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10.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25.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2.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لوحة التحكم" sheetId="1" state="visible" r:id="rId3"/>
    <sheet name="داشبورد المخزون" sheetId="2" state="visible" r:id="rId4"/>
    <sheet name="دليل الجرد" sheetId="3" state="visible" r:id="rId5"/>
    <sheet name="التعليمات" sheetId="4" state="visible" r:id="rId6"/>
    <sheet name="المكونات" sheetId="5" state="visible" r:id="rId7"/>
    <sheet name="تغيّر الأسعار" sheetId="6" state="visible" r:id="rId8"/>
    <sheet name="تأثير الأسعار على الأصناف" sheetId="7" state="visible" r:id="rId9"/>
    <sheet name="المنيو" sheetId="8" state="visible" r:id="rId10"/>
    <sheet name="الريسبي" sheetId="9" state="visible" r:id="rId11"/>
    <sheet name="تحليل التكلفة والسعر" sheetId="10" state="visible" r:id="rId12"/>
    <sheet name="تكلفة العروض" sheetId="11" state="visible" r:id="rId13"/>
    <sheet name="تتبع الهدر" sheetId="12" state="visible" r:id="rId14"/>
    <sheet name="هندسة المنيو" sheetId="13" state="visible" r:id="rId15"/>
    <sheet name="المصروفات غير المباشرة" sheetId="14" state="visible" r:id="rId16"/>
    <sheet name="مقارنة الفروع" sheetId="15" state="visible" r:id="rId17"/>
    <sheet name="قائمة الدخل الشهرية" sheetId="16" state="visible" r:id="rId18"/>
    <sheet name="نقطة التعادل" sheetId="17" state="visible" r:id="rId19"/>
    <sheet name="إعدادات المخزون" sheetId="18" state="visible" r:id="rId20"/>
    <sheet name="مواد المخزون" sheetId="19" state="visible" r:id="rId21"/>
    <sheet name="جرد أول المدة" sheetId="20" state="visible" r:id="rId22"/>
    <sheet name="مبيعات يومية" sheetId="21" state="visible" r:id="rId23"/>
    <sheet name="مشتريات يومية" sheetId="22" state="visible" r:id="rId24"/>
    <sheet name="جرد فعلي" sheetId="23" state="visible" r:id="rId25"/>
    <sheet name="هالك وتحويلات" sheetId="24" state="visible" r:id="rId26"/>
    <sheet name="جرد - محرم بك" sheetId="25" state="visible" r:id="rId27"/>
    <sheet name="جرد - ابراهيمية" sheetId="26" state="visible" r:id="rId28"/>
    <sheet name="جرد - عصافرة" sheetId="27" state="visible" r:id="rId29"/>
    <sheet name="طلبية السنتر كيتشن" sheetId="28" state="visible" r:id="rId30"/>
    <sheet name="مصفوفة الاستهلاك" sheetId="29" state="visible" r:id="rId31"/>
    <sheet name="مصفوفة الاستهلاك (عصافرة)" sheetId="30" state="visible" r:id="rId32"/>
    <sheet name="متجهات المبيعات" sheetId="31" state="visible" r:id="rId33"/>
  </sheets>
  <definedNames>
    <definedName function="false" hidden="true" localSheetId="6" name="_xlnm._FilterDatabase" vbProcedure="false">'تأثير الأسعار على الأصناف'!$A$4:$K$175</definedName>
    <definedName function="false" hidden="true" localSheetId="5" name="_xlnm._FilterDatabase" vbProcedure="false">'تغيّر الأسعار'!$A$4:$J$113</definedName>
    <definedName function="false" hidden="true" localSheetId="25" name="_xlnm._FilterDatabase" vbProcedure="false">'جرد - ابراهيمية'!$A$6:$W$95</definedName>
    <definedName function="false" hidden="true" localSheetId="26" name="_xlnm._FilterDatabase" vbProcedure="false">'جرد - عصافرة'!$A$6:$W$95</definedName>
    <definedName function="false" hidden="true" localSheetId="24" name="_xlnm._FilterDatabase" vbProcedure="false">'جرد - محرم بك'!$A$6:$W$95</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FreeSans"/>
            <family val="2"/>
          </rPr>
          <t xml:space="preserve">الوحدات دي متخمنة من اسم الصنف مش من نظام الكاشير - راجعها وصحّح اللي غلط</t>
        </r>
        <r>
          <rPr>
            <sz val="10"/>
            <rFont val="Arial"/>
            <family val="2"/>
          </rPr>
          <t xml:space="preserve">.</t>
        </r>
      </text>
    </comment>
    <comment ref="C2" authorId="0">
      <text>
        <r>
          <rPr>
            <sz val="10"/>
            <rFont val="FreeSans"/>
            <family val="2"/>
          </rPr>
          <t xml:space="preserve">من تقرير مشتريات فرع محرم بك (</t>
        </r>
        <r>
          <rPr>
            <sz val="10"/>
            <rFont val="Arial"/>
            <family val="2"/>
          </rPr>
          <t xml:space="preserve">1-28 يوليو 2026): تكلفة الوحدة = صافي القيمة ÷ صافي الكمية</t>
        </r>
      </text>
    </comment>
    <comment ref="F2" authorId="0">
      <text>
        <r>
          <rPr>
            <sz val="10"/>
            <rFont val="FreeSans"/>
            <family val="2"/>
          </rPr>
          <t xml:space="preserve">تاريخ آخر مرة اتأكد فيها سعر هذا المكون. حدّث التاريخ يدويًا كل مرة تراجع/تغيّر فيها السعر، عشان تعرف الأسعار اتراجعت من امتى</t>
        </r>
        <r>
          <rPr>
            <sz val="10"/>
            <rFont val="Arial"/>
            <family val="2"/>
          </rPr>
          <t xml:space="preserve">.</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F2" authorId="0">
      <text>
        <r>
          <rPr>
            <sz val="10"/>
            <rFont val="FreeSans"/>
            <family val="2"/>
          </rPr>
          <t xml:space="preserve">خلية الافتراض: النسبة المستهدفة لتكلفة الطعام = </t>
        </r>
        <r>
          <rPr>
            <sz val="10"/>
            <rFont val="Arial"/>
            <family val="2"/>
          </rPr>
          <t xml:space="preserve">37.5% (نص المدى 35%-40% اللي اتحدد). غيّرها هنا وهتتحدث تلقائيًا في كل الصفوف تحتها.</t>
        </r>
      </text>
    </comment>
    <comment ref="J2" authorId="0">
      <text>
        <r>
          <rPr>
            <sz val="10"/>
            <rFont val="FreeSans"/>
            <family val="2"/>
          </rPr>
          <t xml:space="preserve">تكلفة العمالة المقدرة كنسبة من المبيعات = </t>
        </r>
        <r>
          <rPr>
            <sz val="10"/>
            <rFont val="Arial"/>
            <family val="2"/>
          </rPr>
          <t xml:space="preserve">25% (حسب تأكيد صاحب الملف). قاعدة عامة: Prime Cost (</t>
        </r>
        <r>
          <rPr>
            <sz val="10"/>
            <rFont val="FreeSans"/>
            <family val="2"/>
          </rPr>
          <t xml:space="preserve">تكلفة الطعام + العمالة</t>
        </r>
        <r>
          <rPr>
            <sz val="10"/>
            <rFont val="Arial"/>
            <family val="2"/>
          </rPr>
          <t xml:space="preserve">) </t>
        </r>
        <r>
          <rPr>
            <sz val="10"/>
            <rFont val="FreeSans"/>
            <family val="2"/>
          </rPr>
          <t xml:space="preserve">الصحي بيتراوح </t>
        </r>
        <r>
          <rPr>
            <sz val="10"/>
            <rFont val="Arial"/>
            <family val="2"/>
          </rPr>
          <t xml:space="preserve">60%-65% من المبيعات.</t>
        </r>
      </text>
    </comment>
    <comment ref="M2" authorId="0">
      <text>
        <r>
          <rPr>
            <sz val="10"/>
            <rFont val="FreeSans"/>
            <family val="2"/>
          </rPr>
          <t xml:space="preserve">تكلفة إضافية للوحدة تغطي المكونات المعيارية اللي بتتحط بالعين مش بميزان في كل الأصناف (زيت، سمنة، بهارات) ومش داخلة في أي ريسبي بشكل مباشر. الحساب: (إجمالي قيمة شراء الزيت + السمنة + البهارات خلال يوليو </t>
        </r>
        <r>
          <rPr>
            <sz val="10"/>
            <rFont val="Arial"/>
            <family val="2"/>
          </rPr>
          <t xml:space="preserve">2026 كامل من تقرير المشتريات = 10,197.5 جنيه) ÷ (إجمالي عدد الوحدات المباعة في نفس الشهر من المنيو العادي + الأبليكيشن = 10,943 وحدة) ≈ 0.93 جنيه/وحدة. الزبدة والدقيق اتستبعدوا من الحساب ده لأنهم بالفعل داخلين في ريسبي الكاسترد وعجين الكريب فمحسوبين هناك. حدّث الرقم ده شهريًا من تقرير مشتريات ومبيعات الشهر الجديد.</t>
        </r>
      </text>
    </comment>
  </commentList>
</comments>
</file>

<file path=xl/sharedStrings.xml><?xml version="1.0" encoding="utf-8"?>
<sst xmlns="http://schemas.openxmlformats.org/spreadsheetml/2006/main" count="19250" uniqueCount="859">
  <si>
    <t xml:space="preserve">لوحة تحكم Cost Control - Satamoni (أكتوبر 2026)</t>
  </si>
  <si>
    <t xml:space="preserve">عدد الأصناف (بريسبي كامل)</t>
  </si>
  <si>
    <t xml:space="preserve">متوسط % تكلفة الطعام</t>
  </si>
  <si>
    <t xml:space="preserve">متوسط % Prime Cost</t>
  </si>
  <si>
    <t xml:space="preserve">عدد الأصناف فوق الهدف</t>
  </si>
  <si>
    <t xml:space="preserve">متوسط % هامش الربح</t>
  </si>
  <si>
    <t xml:space="preserve">متوسط التكلفة حسب القسم</t>
  </si>
  <si>
    <t xml:space="preserve">القسم</t>
  </si>
  <si>
    <t xml:space="preserve">عدد الأصناف</t>
  </si>
  <si>
    <t xml:space="preserve">قسم البيتزا</t>
  </si>
  <si>
    <t xml:space="preserve">قسم الفطير الحادق</t>
  </si>
  <si>
    <t xml:space="preserve">قسم الفطير الحلو</t>
  </si>
  <si>
    <t xml:space="preserve">قسم البرجر</t>
  </si>
  <si>
    <t xml:space="preserve">قسم المكرونات</t>
  </si>
  <si>
    <t xml:space="preserve">قسم الكريب</t>
  </si>
  <si>
    <t xml:space="preserve">قسم البطاطس</t>
  </si>
  <si>
    <t xml:space="preserve">قسم البيتزا الصيامي</t>
  </si>
  <si>
    <t xml:space="preserve">قسم الفطير الحادق الصيامي</t>
  </si>
  <si>
    <t xml:space="preserve">قسم الفطير الحلو الصيامي</t>
  </si>
  <si>
    <t xml:space="preserve">قسم البرجر الصيامي</t>
  </si>
  <si>
    <t xml:space="preserve">قسم المكرونات الصيامي</t>
  </si>
  <si>
    <t xml:space="preserve">قسم الكريب الصيامي</t>
  </si>
  <si>
    <t xml:space="preserve">أعلى 5 أصناف هامش ربح</t>
  </si>
  <si>
    <t xml:space="preserve">اسم الصنف</t>
  </si>
  <si>
    <t xml:space="preserve">سعر البيع</t>
  </si>
  <si>
    <t xml:space="preserve">% تكلفة الطعام</t>
  </si>
  <si>
    <t xml:space="preserve">% هامش الربح</t>
  </si>
  <si>
    <t xml:space="preserve">أقل 5 أصناف هامش ربح (محتاجة مراجعة)</t>
  </si>
  <si>
    <t xml:space="preserve">ملحوظة: الجدولين أعلاه بيتحدثوا أوتوماتيك مع أي تعديل في شيت تحليل التكلفة والسعر.</t>
  </si>
  <si>
    <t xml:space="preserve">داشبورد المالك - الجرد والمخزون</t>
  </si>
  <si>
    <t xml:space="preserve">غيّر "تاريخ التقرير" من شيت إعدادات المخزون. الأرقام التراكمية = من بداية الشهر لحد التاريخ، وأرقام "اليوم" = اليوم نفسه.</t>
  </si>
  <si>
    <t xml:space="preserve">المؤشر</t>
  </si>
  <si>
    <t xml:space="preserve">محرم بك</t>
  </si>
  <si>
    <t xml:space="preserve">ابراهيمية</t>
  </si>
  <si>
    <t xml:space="preserve">عصافرة</t>
  </si>
  <si>
    <t xml:space="preserve">الإجمالي</t>
  </si>
  <si>
    <t xml:space="preserve">— الجرد (تراكمي من بداية الشهر) —</t>
  </si>
  <si>
    <t xml:space="preserve">عدد المواد المتتبعة</t>
  </si>
  <si>
    <t xml:space="preserve">اتجرد النهاردة</t>
  </si>
  <si>
    <t xml:space="preserve">نسبة إتمام الجرد</t>
  </si>
  <si>
    <t xml:space="preserve">قيمة المخزون الدفتري (جنيه)</t>
  </si>
  <si>
    <t xml:space="preserve">إجمالي العجز (جنيه)</t>
  </si>
  <si>
    <t xml:space="preserve">إجمالي الزيادة (جنيه)</t>
  </si>
  <si>
    <t xml:space="preserve">صافي الفرق (جنيه)</t>
  </si>
  <si>
    <t xml:space="preserve">معدل الانحراف %</t>
  </si>
  <si>
    <t xml:space="preserve">مواد خارج التسامح</t>
  </si>
  <si>
    <t xml:space="preserve">— الجرد اليومي —</t>
  </si>
  <si>
    <t xml:space="preserve">عجز اليوم (جنيه)</t>
  </si>
  <si>
    <t xml:space="preserve">زيادة اليوم (جنيه)</t>
  </si>
  <si>
    <t xml:space="preserve">— المبيعات والمشتريات —</t>
  </si>
  <si>
    <t xml:space="preserve">إيراد اليوم (جنيه)</t>
  </si>
  <si>
    <t xml:space="preserve">إيراد الشهر (جنيه)</t>
  </si>
  <si>
    <t xml:space="preserve">تكلفة المبيعات النظرية - الشهر (جنيه)</t>
  </si>
  <si>
    <t xml:space="preserve">% تكلفة نظرية من الإيراد</t>
  </si>
  <si>
    <t xml:space="preserve">مشتريات اليوم (جنيه)</t>
  </si>
  <si>
    <t xml:space="preserve">مشتريات الشهر (جنيه)</t>
  </si>
  <si>
    <t xml:space="preserve">% مشتريات من إيراد الشهر</t>
  </si>
  <si>
    <t xml:space="preserve">أكبر 10 عجز (بالقيمة) لكل فرع</t>
  </si>
  <si>
    <t xml:space="preserve">فرع محرم بك</t>
  </si>
  <si>
    <t xml:space="preserve">المكون</t>
  </si>
  <si>
    <t xml:space="preserve">الفرق (كمية)</t>
  </si>
  <si>
    <t xml:space="preserve">الوحدة</t>
  </si>
  <si>
    <t xml:space="preserve">قيمة العجز (جنيه)</t>
  </si>
  <si>
    <t xml:space="preserve">فرع ابراهيمية</t>
  </si>
  <si>
    <t xml:space="preserve">فرع عصافرة</t>
  </si>
  <si>
    <t xml:space="preserve">اتجاه يومي (الشهر كامل)</t>
  </si>
  <si>
    <t xml:space="preserve">التاريخ</t>
  </si>
  <si>
    <t xml:space="preserve">إيراد محرم بك</t>
  </si>
  <si>
    <t xml:space="preserve">إيراد ابراهيمية</t>
  </si>
  <si>
    <t xml:space="preserve">إيراد عصافرة</t>
  </si>
  <si>
    <t xml:space="preserve">إجمالي الإيراد</t>
  </si>
  <si>
    <t xml:space="preserve">إجمالي المشتريات</t>
  </si>
  <si>
    <t xml:space="preserve">تكلفة نظرية</t>
  </si>
  <si>
    <t xml:space="preserve">دليل استخدام الجرد والمخزون</t>
  </si>
  <si>
    <t xml:space="preserve">الخطوة</t>
  </si>
  <si>
    <t xml:space="preserve">التفاصيل</t>
  </si>
  <si>
    <t xml:space="preserve">الفكرة</t>
  </si>
  <si>
    <t xml:space="preserve">الدفتري = جرد أول المدة + المشتريات + التحويلات - الاستهلاك النظري (مبيعات الأصناف × الريسبي) - الهالك. الفرق = الجرد الفعلي - الدفتري. سالب = عجز، موجب = زيادة. الفرق تراكمي من بداية الشهر.</t>
  </si>
  <si>
    <t xml:space="preserve">كل يوم 1: المبيعات</t>
  </si>
  <si>
    <t xml:space="preserve">في شيت "مبيعات يومية": سطر لكل (تاريخ، فرع، صنف) بالكمية المباعة. اسم الصنف من القايمة المنسدلة (نفس أسماء المنيو). مثال: 2026-10-13 | محرم بك | بيتزا مارجريتا وسط | 24.</t>
  </si>
  <si>
    <t xml:space="preserve">كل يوم 2: المشتريات</t>
  </si>
  <si>
    <t xml:space="preserve">في "مشتريات يومية": التاريخ، الفرع، المكون، الكمية بوحدة الجرد، القيمة. مثال: 2026-10-13 | ابراهيمية | عجين بيتزا | 40 | 880. (مشتريات 1-12 أكتوبر محمّلة تجميعي من تقارير الكاشير على تاريخ 2026-10-01.)</t>
  </si>
  <si>
    <t xml:space="preserve">كل يوم 3: الجرد الفعلي</t>
  </si>
  <si>
    <t xml:space="preserve">في "جرد فعلي": الكمية اللي عدّيتوها فعلاً آخر اليوم لكل مكون. مثال: 2026-10-13 | عصافرة | طماطم | 12.5. اللي ما اتجردش بيظهر "لم يُجرد".</t>
  </si>
  <si>
    <t xml:space="preserve">كل يوم 4: الهالك والتحويل</t>
  </si>
  <si>
    <t xml:space="preserve">في "هالك وتحويلات": الهالك والضيافة وأكل الموظفين والتحويلات بين الفروع والسنتر. تحويل صادر من فرع لازم يتسجل تحويل وارد للفرع التاني.</t>
  </si>
  <si>
    <t xml:space="preserve">كل يوم 5: التقرير</t>
  </si>
  <si>
    <t xml:space="preserve">غيّر "تاريخ التقرير" في "إعدادات المخزون" لليوم، وشوف شيتات "جرد - اسم الفرع" والداشبورد وطلبية السنتر.</t>
  </si>
  <si>
    <t xml:space="preserve">الطلبية المقترحة</t>
  </si>
  <si>
    <t xml:space="preserve">بتتحسب من متوسط استهلاك آخر 7 أيام (أو من بداية الفترة) × أيام التغطية والتوريد والأمان - المخزون الحالي. أيام التغطية وحجم العبوة من الإعدادات.</t>
  </si>
  <si>
    <t xml:space="preserve">مهم</t>
  </si>
  <si>
    <t xml:space="preserve">مبيعات أكتوبر من 1 لحد اليوم لازم تتسجل علشان الدفتري يطلع صح، وإلا الدفتري هيبقى أعلى من الفعلي ويظهر عجز كبير غير حقيقي.</t>
  </si>
  <si>
    <t xml:space="preserve">حدود الشيت</t>
  </si>
  <si>
    <t xml:space="preserve">الجداول بتستوعب ~14000 سطر مبيعات، ~4000 مشتريات، ~12000 جرد فعلي، ~3000 هالك. الأعمدة المحسوبة (سعر، إيراد، تكلفة) جاهزة. مبيعات 1-12 أكتوبر محمّلة تجميعي من تقارير الكاشير (عادي + طلبات) وموزعة بالتساوي على الأيام، فاستبدلها بالمبيعات اليومية الفعلية لما تتوفر.</t>
  </si>
  <si>
    <t xml:space="preserve">خارج الجرد</t>
  </si>
  <si>
    <t xml:space="preserve">مواد التنظيف والمكتبية والزيت مش مرتبطة بالمبيعات فمش في الجرد. المكونات المصنّعة جوه المطعم (كاسترد، عجين كريب) استهلاكها بيتحسب على خاماتها.</t>
  </si>
  <si>
    <t xml:space="preserve">دليل استخدام شيت تكلفة المنيو - Satamoni</t>
  </si>
  <si>
    <t xml:space="preserve">ترتيب الشيتات</t>
  </si>
  <si>
    <t xml:space="preserve">المكونات ← المنيو ← الريسبي ← تحليل التكلفة والسعر ← تكلفة العروض</t>
  </si>
  <si>
    <t xml:space="preserve">1. شيت المكونات</t>
  </si>
  <si>
    <t xml:space="preserve">اكتب فيه كل مكون بتشتريه (دقيق، جبنة، صوص...) مع وحدة القياس وسعر الوحدة. أي مكون مش موجود هنا مش هيتحسب في أي ريسبي.</t>
  </si>
  <si>
    <t xml:space="preserve">2. شيت المنيو</t>
  </si>
  <si>
    <t xml:space="preserve">اكتب فيه كل صنف في المنيو مع تصنيفه وسعر بيعه الحالي. اسم الصنف هنا هو المفتاح اللي هيتربط بيه كل حاجة، فاكتبه بالظبط زي ما هيتكرر في شيت الريسبي.</t>
  </si>
  <si>
    <t xml:space="preserve">3. شيت الريسبي</t>
  </si>
  <si>
    <t xml:space="preserve">لكل صنف، اكتب سطر منفصل لكل مكون داخل في الريسبي بتاعه مع الكمية المستخدمة. تكلفة الوحدة والوحدة بيتجابوا أوتوماتيك من شيت المكونات.</t>
  </si>
  <si>
    <t xml:space="preserve">4. شيت تحليل التكلفة والسعر</t>
  </si>
  <si>
    <t xml:space="preserve">بيتجمع فيه تلقائيًا تكلفة كل صنف من شيت الريسبي، ويحسب نسبة تكلفة الطعام، والسعر العادل لتحقيق النسبة المستهدفة اللي بتحددها.</t>
  </si>
  <si>
    <t xml:space="preserve">5. شيت تكلفة العروض</t>
  </si>
  <si>
    <t xml:space="preserve">لعمل عرض (كومبو) بيضم أكتر من صنف، اختار اسم العرض والأصناف الداخلة فيه وكميتها، والشيت هيحسب تكلفة العرض كامل ونسبة تكلفته من سعر البيع المقترح.</t>
  </si>
  <si>
    <t xml:space="preserve">الألوان</t>
  </si>
  <si>
    <t xml:space="preserve">أصفر = خانة لازم تملاها انت. أزرق = رقم مدخل يدوي. أخضر = رابط جاي من شيت تاني. أسود = معادلة تلقائية، متلمسهاش.</t>
  </si>
  <si>
    <t xml:space="preserve">النسبة المستهدفة</t>
  </si>
  <si>
    <t xml:space="preserve">الافتراضي متحطوط 37.5% (نص المدى اللي حددته 35%-40%) في خلية صفراء بشيت تحليل التكلفة، وتقدر تغيره في أي وقت.</t>
  </si>
  <si>
    <t xml:space="preserve">متغيرش اسم أي صنف أو مكون في شيت وبس - غيره في كل الشيتات اللي اتكرر فيها، لأن الربط بيتم بالاسم بالظبط (حروف كبيرة/صغيرة ومسافات فارقة).</t>
  </si>
  <si>
    <t xml:space="preserve">نسخة أكتوبر 2026</t>
  </si>
  <si>
    <t xml:space="preserve">اتحدثت أسعار الخامات في شيت المكونات من تقارير الكاشير (مشتريات 1-12 أكتوبر + جرد 30 سبتمبر). شوف شيت "تغيّر الأسعار" للمقارنة مع يوليو، و"تأثير الأسعار على الأصناف" لأثرها على تكلفة كل صنف. أسعار البيع في المنيو = أسعار يوليو + 10 جنيه لكل صنف (ما عدا عيش كريب وبيبسي لتر: فضلوا على سعر يوليو). اتضافت 18 صنف جديد آخر المنيو (فطيرة نوتيلا، مكرونة مفروم، كريب جمبري، كريب فراخ جريل، وجبات الأطفال، وإضافات ومشروبات) بريسبي مقترح من أصناف مشابهة وسعر من تقارير المبيعات: راجعهم. واتضاف 3 مكونات جديدة (عصير، بيبسي 2 لتر، مياه معدنية صغير).</t>
  </si>
  <si>
    <t xml:space="preserve">اسم المكون</t>
  </si>
  <si>
    <t xml:space="preserve">وحدة القياس</t>
  </si>
  <si>
    <t xml:space="preserve">تكلفة الوحدة (جنيه)</t>
  </si>
  <si>
    <t xml:space="preserve">ملاحظات</t>
  </si>
  <si>
    <t xml:space="preserve">كود الصنف (من نظام الكاشير)</t>
  </si>
  <si>
    <t xml:space="preserve">تاريخ آخر تحديث للسعر</t>
  </si>
  <si>
    <t xml:space="preserve">اطباق سيلفر مكرونة</t>
  </si>
  <si>
    <t xml:space="preserve">قطعة</t>
  </si>
  <si>
    <t xml:space="preserve">[أكتوبر 2026] مشتريات 1-12 أكتوبر (يوليو: 3.3). من تقرير مشتريات فرع محرم بك (1-28 يوليو 2026): تكلفة الوحدة = صافي القيمة ÷ صافي الكمية</t>
  </si>
  <si>
    <t xml:space="preserve">اطباق فوم كيلو</t>
  </si>
  <si>
    <t xml:space="preserve">[أكتوبر 2026] مشتريات 1-12 أكتوبر (يوليو: 0.7). الوحدة تخمين من اسم الصنف - يُرجى التأكيد</t>
  </si>
  <si>
    <t xml:space="preserve">اطباق فوم نص كيلو</t>
  </si>
  <si>
    <t xml:space="preserve">[أكتوبر 2026] مشتريات 1-12 أكتوبر (يوليو: 0.5). الوحدة تخمين من اسم الصنف - يُرجى التأكيد</t>
  </si>
  <si>
    <t xml:space="preserve">اكياس بيضاء</t>
  </si>
  <si>
    <t xml:space="preserve">[أكتوبر 2026] مشتريات 1-12 أكتوبر (يوليو: 120). الوحدة تخمين من اسم الصنف - يُرجى التأكيد</t>
  </si>
  <si>
    <t xml:space="preserve">اكياس قمامة</t>
  </si>
  <si>
    <t xml:space="preserve">[أكتوبر 2026] مشتريات 1-12 أكتوبر (يوليو: 74.29). الوحدة تخمين من اسم الصنف - يُرجى التأكيد</t>
  </si>
  <si>
    <t xml:space="preserve">اكياس مطبوعة كبير</t>
  </si>
  <si>
    <t xml:space="preserve">قطعة (كيس)</t>
  </si>
  <si>
    <t xml:space="preserve">[أكتوبر 2026] مشتريات 1-12 أكتوبر (يوليو: 1.523). 1 كجم ≈ 50 كيس - حسب تأكيد صاحب الملف</t>
  </si>
  <si>
    <t xml:space="preserve">اكياس مطبوعة وسط</t>
  </si>
  <si>
    <t xml:space="preserve">[أكتوبر 2026] مشتريات 1-12 أكتوبر (يوليو: 1.6). 1 كجم ≈ 50 كيس - حسب تأكيد صاحب الملف (نفس نسبة الكبير)</t>
  </si>
  <si>
    <t xml:space="preserve">اوفر هيد</t>
  </si>
  <si>
    <t xml:space="preserve">[أكتوبر 2026] مشتريات 1-12 أكتوبر (يوليو: 60). الوحدة تخمين من اسم الصنف - يُرجى التأكيد</t>
  </si>
  <si>
    <t xml:space="preserve">برجر 100 جرام</t>
  </si>
  <si>
    <t xml:space="preserve">[أكتوبر 2026] مشتريات 1-12 أكتوبر (يوليو: 18.76). الوحدة تخمين من اسم الصنف - يُرجى التأكيد</t>
  </si>
  <si>
    <t xml:space="preserve">برسيون بسطرمة صغير</t>
  </si>
  <si>
    <t xml:space="preserve">[أكتوبر 2026] مشتريات 1-12 أكتوبر (يوليو: 33.5). تم تأكيد الوحدة (قطعة) من صاحب الملف</t>
  </si>
  <si>
    <t xml:space="preserve">برسيون بسطرمة كبير</t>
  </si>
  <si>
    <t xml:space="preserve">[أكتوبر 2026] مشتريات 1-12 أكتوبر (يوليو: 43). تم تأكيد الوحدة (قطعة) من صاحب الملف</t>
  </si>
  <si>
    <t xml:space="preserve">برسيون بطاطس</t>
  </si>
  <si>
    <t xml:space="preserve">[أكتوبر 2026] مشتريات 1-12 أكتوبر (يوليو: 5.5). تم تأكيد الوحدة (قطعة) من صاحب الملف</t>
  </si>
  <si>
    <t xml:space="preserve">برسيون جبنة رومي صغير</t>
  </si>
  <si>
    <t xml:space="preserve">[أكتوبر 2026] مشتريات 1-12 أكتوبر (يوليو: 9). تم تأكيد الوحدة (قطعة) من صاحب الملف</t>
  </si>
  <si>
    <t xml:space="preserve">برسيون جمبري صغير</t>
  </si>
  <si>
    <t xml:space="preserve">[أكتوبر 2026] مشتريات 1-12 أكتوبر (يوليو: 95.62). تم تأكيد الوحدة (قطعة) من صاحب الملف</t>
  </si>
  <si>
    <t xml:space="preserve">برسيون سدق صغير</t>
  </si>
  <si>
    <t xml:space="preserve">[أكتوبر 2026] مشتريات 1-12 أكتوبر (يوليو: 34). تم تأكيد الوحدة (قطعة) من صاحب الملف</t>
  </si>
  <si>
    <t xml:space="preserve">برسيون سدق كبير</t>
  </si>
  <si>
    <t xml:space="preserve">[أكتوبر 2026] مشتريات 1-12 أكتوبر (يوليو: 46.49). تم تأكيد الوحدة (قطعة) من صاحب الملف</t>
  </si>
  <si>
    <t xml:space="preserve">برسيون سلامي صغير</t>
  </si>
  <si>
    <t xml:space="preserve">[أكتوبر 2026] مشتريات 1-12 أكتوبر (يوليو: 25.82). تم تأكيد الوحدة (قطعة) من صاحب الملف</t>
  </si>
  <si>
    <t xml:space="preserve">برسيون فراخ جريل صغير</t>
  </si>
  <si>
    <t xml:space="preserve">[أكتوبر 2026] مشتريات 1-12 أكتوبر (يوليو: 35). تم تأكيد الوحدة (قطعة) من صاحب الملف</t>
  </si>
  <si>
    <t xml:space="preserve">برسيون فراخ جريل كبير</t>
  </si>
  <si>
    <t xml:space="preserve">[أكتوبر 2026] مشتريات 1-12 أكتوبر (يوليو: 50.54). تم تأكيد الوحدة (قطعة) من صاحب الملف</t>
  </si>
  <si>
    <t xml:space="preserve">برسيون فراخ كريسبي صغير</t>
  </si>
  <si>
    <t xml:space="preserve">[أكتوبر 2026] مشتريات 1-12 أكتوبر (يوليو: 31.9). تم تأكيد الوحدة (قطعة) من صاحب الملف</t>
  </si>
  <si>
    <t xml:space="preserve">برسيون فراخ كريسبي كبير</t>
  </si>
  <si>
    <t xml:space="preserve">[أكتوبر 2026] مشتريات 1-12 أكتوبر (يوليو: 44). تم تأكيد الوحدة (قطعة) من صاحب الملف</t>
  </si>
  <si>
    <t xml:space="preserve">برسيون قشطة</t>
  </si>
  <si>
    <t xml:space="preserve">[أكتوبر 2026] مشتريات 1-12 أكتوبر (يوليو: 22). تم تأكيد الوحدة (قطعة) من صاحب الملف</t>
  </si>
  <si>
    <t xml:space="preserve">برسيون لحمة مفرومة</t>
  </si>
  <si>
    <t xml:space="preserve">[أكتوبر 2026] مشتريات 1-12 أكتوبر (يوليو: 21). تم تأكيد الوحدة (قطعة) من صاحب الملف</t>
  </si>
  <si>
    <t xml:space="preserve">برسيون مكسرات</t>
  </si>
  <si>
    <t xml:space="preserve">[أكتوبر 2026] مشتريات 1-12 أكتوبر (يوليو: 22.94). تم تأكيد الوحدة (قطعة) من صاحب الملف</t>
  </si>
  <si>
    <t xml:space="preserve">برسيون موتزريلا بيتزا صغير</t>
  </si>
  <si>
    <t xml:space="preserve">[أكتوبر 2026] مشتريات 1-12 أكتوبر (يوليو: 20). تم تأكيد الوحدة (قطعة) من صاحب الملف</t>
  </si>
  <si>
    <t xml:space="preserve">برسيون موتزريلا بيتزا كبير</t>
  </si>
  <si>
    <t xml:space="preserve">[أكتوبر 2026] مشتريات 1-12 أكتوبر (يوليو: 29). تم تأكيد الوحدة (قطعة) من صاحب الملف</t>
  </si>
  <si>
    <t xml:space="preserve">برسيون موتزريلا فطير صغير</t>
  </si>
  <si>
    <t xml:space="preserve">[أكتوبر 2026] مشتريات 1-12 أكتوبر (يوليو: 17.5). تم تأكيد الوحدة (قطعة) من صاحب الملف</t>
  </si>
  <si>
    <t xml:space="preserve">برسيون موتزريلا فطير كبير</t>
  </si>
  <si>
    <t xml:space="preserve">[أكتوبر 2026] مشتريات 1-12 أكتوبر (يوليو: 25). تم تأكيد الوحدة (قطعة) من صاحب الملف</t>
  </si>
  <si>
    <t xml:space="preserve">بسكوت اوريو مجروش</t>
  </si>
  <si>
    <t xml:space="preserve">كجم</t>
  </si>
  <si>
    <t xml:space="preserve">[أكتوبر 2026] مشتريات 1-12 أكتوبر (يوليو: 100). الوحدة تخمين من اسم الصنف - يُرجى التأكيد</t>
  </si>
  <si>
    <t xml:space="preserve">بسكوت للوتس باكو</t>
  </si>
  <si>
    <t xml:space="preserve">[أكتوبر 2026] متوسط تكلفة جرد 30-9 (يوليو: 110). الوحدة تخمين من اسم الصنف - يُرجى التأكيد</t>
  </si>
  <si>
    <t xml:space="preserve">بسكوت للوتس مجروش</t>
  </si>
  <si>
    <t xml:space="preserve">بشاميل مصنع</t>
  </si>
  <si>
    <t xml:space="preserve">[أكتوبر 2026] مشتريات 1-12 أكتوبر (يوليو: 41). الوحدة تخمين من اسم الصنف - يُرجى التأكيد</t>
  </si>
  <si>
    <t xml:space="preserve">بشاميل مصنع صيامي</t>
  </si>
  <si>
    <t xml:space="preserve">الوحدة تخمين من اسم الصنف - يُرجى التأكيد</t>
  </si>
  <si>
    <t xml:space="preserve">بصل</t>
  </si>
  <si>
    <t xml:space="preserve">[أكتوبر 2026] مشتريات 1-12 أكتوبر (يوليو: 14). الوحدة تخمين من اسم الصنف - يُرجى التأكيد</t>
  </si>
  <si>
    <t xml:space="preserve">بكر استريتش</t>
  </si>
  <si>
    <t xml:space="preserve">قطعة (لفة استخدام)</t>
  </si>
  <si>
    <t xml:space="preserve">[أكتوبر 2026] مشتريات 1-12 أكتوبر (يوليو: 2.95). 1 رول ≈ 200 استخدام (فطيرة) - حسب تأكيد صاحب الملف</t>
  </si>
  <si>
    <t xml:space="preserve">بكر كاشير</t>
  </si>
  <si>
    <t xml:space="preserve">رول</t>
  </si>
  <si>
    <t xml:space="preserve">[أكتوبر 2026] مشتريات 1-12 أكتوبر (يوليو: 30). الوحدة تخمين من اسم الصنف - يُرجى التأكيد</t>
  </si>
  <si>
    <t xml:space="preserve">بهارات شرق اقصي</t>
  </si>
  <si>
    <t xml:space="preserve">[أكتوبر 2026] متوسط تكلفة جرد 30-9 (يوليو: 175). الوحدة تخمين من اسم الصنف - يُرجى التأكيد</t>
  </si>
  <si>
    <t xml:space="preserve">بيبسي اكشن</t>
  </si>
  <si>
    <t xml:space="preserve">[أكتوبر 2026] متوسط تكلفة جرد 30-9 (يوليو: 6.06). الوحدة تخمين من اسم الصنف - يُرجى التأكيد</t>
  </si>
  <si>
    <t xml:space="preserve">بيبسي كانز</t>
  </si>
  <si>
    <t xml:space="preserve">[أكتوبر 2026] مشتريات 1-12 أكتوبر (يوليو: 15). الوحدة تخمين من اسم الصنف - يُرجى التأكيد</t>
  </si>
  <si>
    <t xml:space="preserve">بيبسي لتر</t>
  </si>
  <si>
    <t xml:space="preserve">لتر</t>
  </si>
  <si>
    <t xml:space="preserve">[أكتوبر 2026] مشتريات 1-12 أكتوبر (يوليو: 35). الوحدة تخمين من اسم الصنف - يُرجى التأكيد</t>
  </si>
  <si>
    <t xml:space="preserve">جبنة رومي/شيدر صيامي</t>
  </si>
  <si>
    <t xml:space="preserve">جلافزات سوداء</t>
  </si>
  <si>
    <t xml:space="preserve">علبة</t>
  </si>
  <si>
    <t xml:space="preserve">[أكتوبر 2026] مشتريات 1-12 أكتوبر (يوليو: 165). الوحدة تخمين من اسم الصنف - يُرجى التأكيد</t>
  </si>
  <si>
    <t xml:space="preserve">جلافزات شفاف</t>
  </si>
  <si>
    <t xml:space="preserve">قطعة (جلفز)</t>
  </si>
  <si>
    <t xml:space="preserve">[أكتوبر 2026] مشتريات 1-12 أكتوبر (يوليو: 0.16). 1 علبة ≈ 50 جلفز - حسب تأكيد صاحب الملف</t>
  </si>
  <si>
    <t xml:space="preserve">جوزهند</t>
  </si>
  <si>
    <t xml:space="preserve">[أكتوبر 2026] مشتريات 1-12 أكتوبر (يوليو: 186.67). الوحدة تخمين من اسم الصنف - يُرجى التأكيد</t>
  </si>
  <si>
    <t xml:space="preserve">خلة خشب</t>
  </si>
  <si>
    <t xml:space="preserve">خيار مخلل</t>
  </si>
  <si>
    <t xml:space="preserve">دقيق</t>
  </si>
  <si>
    <t xml:space="preserve">[أكتوبر 2026] مشتريات 1-12 أكتوبر (يوليو: 18). الوحدة تخمين من اسم الصنف - يُرجى التأكيد</t>
  </si>
  <si>
    <t xml:space="preserve">زبدة</t>
  </si>
  <si>
    <t xml:space="preserve">زبيب</t>
  </si>
  <si>
    <t xml:space="preserve">[أكتوبر 2026] مشتريات 1-12 أكتوبر (يوليو: 216.67). الوحدة تخمين من اسم الصنف - يُرجى التأكيد</t>
  </si>
  <si>
    <t xml:space="preserve">زيت اولين</t>
  </si>
  <si>
    <t xml:space="preserve">[أكتوبر 2026] مشتريات 1-12 أكتوبر (يوليو: 70). الوحدة تخمين من اسم الصنف - يُرجى التأكيد</t>
  </si>
  <si>
    <t xml:space="preserve">زيت لتر</t>
  </si>
  <si>
    <t xml:space="preserve">[أكتوبر 2026] مشتريات 1-12 أكتوبر (يوليو: 75.48). الوحدة تخمين من اسم الصنف - يُرجى التأكيد</t>
  </si>
  <si>
    <t xml:space="preserve">زيتون</t>
  </si>
  <si>
    <t xml:space="preserve">[أكتوبر 2026] مشتريات 1-12 أكتوبر (يوليو: 125). الوحدة تخمين من اسم الصنف - يُرجى التأكيد</t>
  </si>
  <si>
    <t xml:space="preserve">سكر بودرة</t>
  </si>
  <si>
    <t xml:space="preserve">سلك مواعين</t>
  </si>
  <si>
    <t xml:space="preserve">[أكتوبر 2026] مشتريات 1-12 أكتوبر (يوليو: 7.1). الوحدة تخمين من اسم الصنف - يُرجى التأكيد</t>
  </si>
  <si>
    <t xml:space="preserve">سمنة الشيخ</t>
  </si>
  <si>
    <t xml:space="preserve">[أكتوبر 2026] مشتريات 1-12 أكتوبر (يوليو: 370). الوحدة تخمين من اسم الصنف - يُرجى التأكيد</t>
  </si>
  <si>
    <t xml:space="preserve">سيلفر رول</t>
  </si>
  <si>
    <t xml:space="preserve">قطعة (استخدام)</t>
  </si>
  <si>
    <t xml:space="preserve">[أكتوبر 2026] متوسط تكلفة جرد 30-9 (يوليو: 2.5284). 1 رول ≈ 200 استخدام - حسب تأكيد صاحب الملف</t>
  </si>
  <si>
    <t xml:space="preserve">شرايح بلاستيك كبير</t>
  </si>
  <si>
    <t xml:space="preserve">[أكتوبر 2026] متوسط تكلفة جرد 30-9 (يوليو: 0.55). غير مستخدم في أي ريسبي حاليًا - نسبة 200/كجم افتراضية لو استخدمتها لاحقًا</t>
  </si>
  <si>
    <t xml:space="preserve">شرايح بلاستيك وسط</t>
  </si>
  <si>
    <t xml:space="preserve">[أكتوبر 2026] مشتريات 1-12 أكتوبر (يوليو: 0.675). 1 كجم ≈ 200 قطعة - حسب تأكيد صاحب الملف</t>
  </si>
  <si>
    <t xml:space="preserve">شطة</t>
  </si>
  <si>
    <t xml:space="preserve">[أكتوبر 2026] مشتريات 1-12 أكتوبر (يوليو: 95). الوحدة تخمين من اسم الصنف - يُرجى التأكيد</t>
  </si>
  <si>
    <t xml:space="preserve">شوك بلاستيك</t>
  </si>
  <si>
    <t xml:space="preserve">[أكتوبر 2026] مشتريات 1-12 أكتوبر (يوليو: 0.3). الوحدة تخمين من اسم الصنف - يُرجى التأكيد</t>
  </si>
  <si>
    <t xml:space="preserve">شيكولاتة بني</t>
  </si>
  <si>
    <t xml:space="preserve">[أكتوبر 2026] مشتريات 1-12 أكتوبر (يوليو: 110). الوحدة تخمين من اسم الصنف - يُرجى التأكيد</t>
  </si>
  <si>
    <t xml:space="preserve">شيكولاتة بيضاء</t>
  </si>
  <si>
    <t xml:space="preserve">صابون سايل</t>
  </si>
  <si>
    <t xml:space="preserve">[أكتوبر 2026] مشتريات 1-12 أكتوبر (يوليو: 13.18). الوحدة تخمين من اسم الصنف - يُرجى التأكيد</t>
  </si>
  <si>
    <t xml:space="preserve">صلصة مصنع</t>
  </si>
  <si>
    <t xml:space="preserve">[أكتوبر 2026] مشتريات 1-12 أكتوبر (يوليو: 32.97). الوحدة تخمين من اسم الصنف - يُرجى التأكيد</t>
  </si>
  <si>
    <t xml:space="preserve">صوص باربيكيو كيلو</t>
  </si>
  <si>
    <t xml:space="preserve">[أكتوبر 2026] مشتريات 1-12 أكتوبر (يوليو: 68.75). الوحدة تخمين من اسم الصنف - يُرجى التأكيد</t>
  </si>
  <si>
    <t xml:space="preserve">صوص تكساس برجر</t>
  </si>
  <si>
    <t xml:space="preserve">[أكتوبر 2026] مشتريات 1-12 أكتوبر (يوليو: 140). الوحدة تخمين من اسم الصنف - يُرجى التأكيد</t>
  </si>
  <si>
    <t xml:space="preserve">صوص رانش كيلو</t>
  </si>
  <si>
    <t xml:space="preserve">[أكتوبر 2026] مشتريات 1-12 أكتوبر (يوليو: 105). الوحدة تخمين من اسم الصنف - يُرجى التأكيد</t>
  </si>
  <si>
    <t xml:space="preserve">صوص شيدر كيلو</t>
  </si>
  <si>
    <t xml:space="preserve">[أكتوبر 2026] مشتريات 1-12 أكتوبر (يوليو: 135). الوحدة تخمين من اسم الصنف - يُرجى التأكيد</t>
  </si>
  <si>
    <t xml:space="preserve">طماطم</t>
  </si>
  <si>
    <t xml:space="preserve">[أكتوبر 2026] مشتريات 1-12 أكتوبر (يوليو: 20.91). الوحدة تخمين من اسم الصنف - يُرجى التأكيد</t>
  </si>
  <si>
    <t xml:space="preserve">عجين بيتزا</t>
  </si>
  <si>
    <t xml:space="preserve">[أكتوبر 2026] مشتريات 1-12 أكتوبر (يوليو: 19). الوحدة تخمين من اسم الصنف - يُرجى التأكيد</t>
  </si>
  <si>
    <t xml:space="preserve">عجين فطير</t>
  </si>
  <si>
    <t xml:space="preserve">[أكتوبر 2026] مشتريات 1-12 أكتوبر (يوليو: 4). الوحدة تخمين من اسم الصنف - يُرجى التأكيد</t>
  </si>
  <si>
    <t xml:space="preserve">عسل ابيض</t>
  </si>
  <si>
    <t xml:space="preserve">[أكتوبر 2026] مشتريات 1-12 أكتوبر (يوليو: 130). الوحدة تخمين من اسم الصنف - يُرجى التأكيد</t>
  </si>
  <si>
    <t xml:space="preserve">علب بيتزا كبير</t>
  </si>
  <si>
    <t xml:space="preserve">[أكتوبر 2026] متوسط تكلفة جرد 30-9 (يوليو: 5.5). الوحدة تخمين من اسم الصنف - يُرجى التأكيد</t>
  </si>
  <si>
    <t xml:space="preserve">علب بيتزا وسط</t>
  </si>
  <si>
    <t xml:space="preserve">[أكتوبر 2026] مشتريات 1-12 أكتوبر (يوليو: 4.4). الوحدة تخمين من اسم الصنف - يُرجى التأكيد</t>
  </si>
  <si>
    <t xml:space="preserve">علب صوصات</t>
  </si>
  <si>
    <t xml:space="preserve">[أكتوبر 2026] متوسط تكلفة جرد 30-9 (يوليو: 0.5). الوحدة تخمين من اسم الصنف - يُرجى التأكيد</t>
  </si>
  <si>
    <t xml:space="preserve">علبة بطاطس صغير</t>
  </si>
  <si>
    <t xml:space="preserve">[أكتوبر 2026] مشتريات 1-12 أكتوبر (يوليو: 1.7). الوحدة تخمين من اسم الصنف - يُرجى التأكيد</t>
  </si>
  <si>
    <t xml:space="preserve">علبة بطاطس كبير</t>
  </si>
  <si>
    <t xml:space="preserve">[أكتوبر 2026] مشتريات 1-12 أكتوبر (يوليو: 2). الوحدة تخمين من اسم الصنف - يُرجى التأكيد</t>
  </si>
  <si>
    <t xml:space="preserve">علبة بلاستيك وجبات</t>
  </si>
  <si>
    <t xml:space="preserve">[أكتوبر 2026] مشتريات 1-12 أكتوبر (يوليو: 3.1). الوحدة تخمين من اسم الصنف - يُرجى التأكيد</t>
  </si>
  <si>
    <t xml:space="preserve">علبة تونة صغير</t>
  </si>
  <si>
    <t xml:space="preserve">[أكتوبر 2026] متوسط تكلفة جرد 30-9 (يوليو: 42). الوحدة تخمين من اسم الصنف - يُرجى التأكيد</t>
  </si>
  <si>
    <t xml:space="preserve">فراخ كريسبي صيامي</t>
  </si>
  <si>
    <t xml:space="preserve">[أكتوبر 2026] متوسط تكلفة جرد 30-9 (يوليو: 130). الوحدة تخمين من اسم الصنف - يُرجى التأكيد</t>
  </si>
  <si>
    <t xml:space="preserve">فلفل كوبي</t>
  </si>
  <si>
    <t xml:space="preserve">[أكتوبر 2026] مشتريات 1-12 أكتوبر (يوليو: 27). الوحدة تخمين من اسم الصنف - يُرجى التأكيد</t>
  </si>
  <si>
    <t xml:space="preserve">فوط يد</t>
  </si>
  <si>
    <t xml:space="preserve">[أكتوبر 2026] متوسط تكلفة جرد 30-9 (يوليو: 10). الوحدة تخمين من اسم الصنف - يُرجى التأكيد</t>
  </si>
  <si>
    <t xml:space="preserve">قطعة جبنة كيري</t>
  </si>
  <si>
    <t xml:space="preserve">[أكتوبر 2026] مشتريات 1-12 أكتوبر (يوليو: 7). الوحدة تخمين من اسم الصنف - يُرجى التأكيد</t>
  </si>
  <si>
    <t xml:space="preserve">كاتشب ظرف</t>
  </si>
  <si>
    <t xml:space="preserve">كاستر بودر</t>
  </si>
  <si>
    <t xml:space="preserve">[أكتوبر 2026] مشتريات 1-12 أكتوبر (يوليو: 90). الوحدة تخمين من اسم الصنف - يُرجى التأكيد</t>
  </si>
  <si>
    <t xml:space="preserve">كراسي بيتزا</t>
  </si>
  <si>
    <t xml:space="preserve">[أكتوبر 2026] مشتريات 1-12 أكتوبر (يوليو: 0.49). الوحدة تخمين من اسم الصنف - يُرجى التأكيد</t>
  </si>
  <si>
    <t xml:space="preserve">كريز احمر</t>
  </si>
  <si>
    <t xml:space="preserve">[أكتوبر 2026] مشتريات 1-12 أكتوبر (يوليو: 420). الوحدة تخمين من اسم الصنف - يُرجى التأكيد</t>
  </si>
  <si>
    <t xml:space="preserve">كفرات كريب</t>
  </si>
  <si>
    <t xml:space="preserve">لبن</t>
  </si>
  <si>
    <t xml:space="preserve">[أكتوبر 2026] مشتريات 1-12 أكتوبر (يوليو: 20). الوحدة تخمين من اسم الصنف - يُرجى التأكيد</t>
  </si>
  <si>
    <t xml:space="preserve">لعبة اطفال</t>
  </si>
  <si>
    <t xml:space="preserve">[أكتوبر 2026] مشتريات 1-12 أكتوبر (يوليو: 6). الوحدة تخمين من اسم الصنف - يُرجى التأكيد</t>
  </si>
  <si>
    <t xml:space="preserve">للوتس سبريد</t>
  </si>
  <si>
    <t xml:space="preserve">ليف مواعين</t>
  </si>
  <si>
    <t xml:space="preserve">[أكتوبر 2026] مشتريات 1-12 أكتوبر (يوليو: 5). الوحدة تخمين من اسم الصنف - يُرجى التأكيد</t>
  </si>
  <si>
    <t xml:space="preserve">مساحة</t>
  </si>
  <si>
    <t xml:space="preserve">[أكتوبر 2026] مشتريات 1-12 أكتوبر (يوليو: 25). الوحدة تخمين من اسم الصنف - يُرجى التأكيد</t>
  </si>
  <si>
    <t xml:space="preserve">مشروم فريش</t>
  </si>
  <si>
    <t xml:space="preserve">[أكتوبر 2026] مشتريات 1-12 أكتوبر (يوليو: 233.33). الوحدة تخمين من اسم الصنف - يُرجى التأكيد</t>
  </si>
  <si>
    <t xml:space="preserve">مكرونة خام</t>
  </si>
  <si>
    <t xml:space="preserve">[أكتوبر 2026] مشتريات 1-12 أكتوبر (يوليو: 24). الوحدة تخمين من اسم الصنف - يُرجى التأكيد</t>
  </si>
  <si>
    <t xml:space="preserve">مكنسة</t>
  </si>
  <si>
    <t xml:space="preserve">[أكتوبر 2026] متوسط تكلفة جرد 30-9 (يوليو: 25). الوحدة تخمين من اسم الصنف - يُرجى التأكيد</t>
  </si>
  <si>
    <t xml:space="preserve">ملح</t>
  </si>
  <si>
    <t xml:space="preserve">[أكتوبر 2026] متوسط تكلفة جرد 30-9 (يوليو: 8). الوحدة تخمين من اسم الصنف - يُرجى التأكيد</t>
  </si>
  <si>
    <t xml:space="preserve">مناديل عادية</t>
  </si>
  <si>
    <t xml:space="preserve">[أكتوبر 2026] متوسط تكلفة جرد 30-9 (يوليو: 9). الوحدة تخمين من اسم الصنف - يُرجى التأكيد</t>
  </si>
  <si>
    <t xml:space="preserve">نوتيلا كيلو</t>
  </si>
  <si>
    <t xml:space="preserve">[أكتوبر 2026] مشتريات 1-12 أكتوبر (يوليو: 595). الوحدة تخمين من اسم الصنف - يُرجى التأكيد</t>
  </si>
  <si>
    <t xml:space="preserve">ورق زبدة وسط كيلو 500 ورقة</t>
  </si>
  <si>
    <t xml:space="preserve">قطعة (ورقة)</t>
  </si>
  <si>
    <t xml:space="preserve">[أكتوبر 2026] متوسط تكلفة جرد 30-9 (يوليو: 0.28). 1 كجم ≈ 100-150 ورقة (متوسط 125) - حسب تأكيد صاحب الملف</t>
  </si>
  <si>
    <t xml:space="preserve">اكياس كفرات</t>
  </si>
  <si>
    <t xml:space="preserve">[أكتوبر 2026] مشتريات 1-12 أكتوبر (يوليو: 0.65). أضيف يدويًا: 130 جنيه/كجم، 1 كجم ≈ 200 كيس - بيانات من صاحب الملف</t>
  </si>
  <si>
    <t xml:space="preserve">جديد</t>
  </si>
  <si>
    <t xml:space="preserve">كاسترد مصنع (خليط بودر + لبن)</t>
  </si>
  <si>
    <t xml:space="preserve">مكون مركب: 850 جم كاستر بودر + 2 كيلو لبن ⇐ 5 كيلو كاسترد نهائي (حسب صاحب الملف). التكلفة بتتحسب أوتوماتيك من أسعار كاستر بودر ولبن أعلاه.</t>
  </si>
  <si>
    <t xml:space="preserve">مركب</t>
  </si>
  <si>
    <t xml:space="preserve">علبة كاليزوني</t>
  </si>
  <si>
    <t xml:space="preserve">[أكتوبر 2026] متوسط تكلفة جرد 30-9 (يوليو: 4.4). مسمى مكرر/خطأ في نظام الكاشير - دي نفس "علب مكرونة" (كود 1820) فعليًا حسب تأكيد صاحب الملف. مش مستخدمة في أي ريسبي حاليًا.</t>
  </si>
  <si>
    <t xml:space="preserve">عجين كريب (مصنع بالمطعم)</t>
  </si>
  <si>
    <t xml:space="preserve">مكون مركب: 2 كيلو لبن + 250 جم زبدة + 5 كيلو دقيق + 250 جم سكر بودرة ⇐ 60 عجينة كريب (حسب صاحب الملف). التكلفة بتتحسب أوتوماتيك من أسعار لبن/زبدة/دقيق/سكر بودرة أعلاه.</t>
  </si>
  <si>
    <t xml:space="preserve">كاسترد مصنع صيامي (بدون لبن)</t>
  </si>
  <si>
    <t xml:space="preserve">نسخة صيامي من الكاسترد: نفس التركيبة بدون اللبن (اتعوض بمية بدون تكلفة تذكر حسب صاحب الملف).</t>
  </si>
  <si>
    <t xml:space="preserve">عجين كريب صيامي (بدون لبن)</t>
  </si>
  <si>
    <t xml:space="preserve">نسخة صيامي من عجين الكريب: نفس التركيبة بدون اللبن (اتعوض بمية بدون تكلفة تذكر حسب صاحب الملف).</t>
  </si>
  <si>
    <t xml:space="preserve">سوسيس/سدق صيامي</t>
  </si>
  <si>
    <t xml:space="preserve">[أكتوبر 2026] متوسط تكلفة جرد 30-9 (يوليو: 220). أضيف يدويًا: كود 2232، 220 جنيه/كجم - بيانات من صاحب الملف</t>
  </si>
  <si>
    <t xml:space="preserve">شاورما فراخ/سدق صيامي</t>
  </si>
  <si>
    <t xml:space="preserve">[أكتوبر 2026] متوسط تكلفة جرد 30-9 (يوليو: 220). أضيف يدويًا: كود 2234، 220 جنيه/كجم - بيانات من صاحب الملف</t>
  </si>
  <si>
    <t xml:space="preserve">برجر صيامي</t>
  </si>
  <si>
    <t xml:space="preserve">[أكتوبر 2026] متوسط تكلفة جرد 30-9 (يوليو: 6). أضيف يدويًا: كود 2236، 6 جنيه/قطعة - بيانات من صاحب الملف</t>
  </si>
  <si>
    <t xml:space="preserve">سكينة بلاستيك</t>
  </si>
  <si>
    <t xml:space="preserve">[أكتوبر 2026] مشتريات 1-12 أكتوبر (يوليو: 0.3). نفس سعر شوك بلاستيك (0.3 جنيه/قطعة) - حسب تأكيد صاحب الملف. كود 1825 من تقرير الجرد.</t>
  </si>
  <si>
    <t xml:space="preserve">علب مكرونة</t>
  </si>
  <si>
    <t xml:space="preserve">[أكتوبر 2026] متوسط تكلفة جرد 30-9 (يوليو: 4.4). كود 1820، 4.40 جنيه - من تقرير الجرد. الصح للمكرونة والبرجر (كانت متسجلة غلط باسم كاليزوني/بلاستيك وجبات).</t>
  </si>
  <si>
    <t xml:space="preserve">علب بيتزا كيك</t>
  </si>
  <si>
    <t xml:space="preserve">[أكتوبر 2026] مشتريات 1-12 أكتوبر (يوليو: 35). كود 1821، 35 جنيه - من تقرير الجرد. مستخدمة في شيكاغو بيتزا برجر حسب ريسبي الكاشير.</t>
  </si>
  <si>
    <t xml:space="preserve">تكلفة زيت القلي المخصصة للوحدة</t>
  </si>
  <si>
    <t xml:space="preserve">تكلفة مخصصة لزيت اولين (القلاية) موزعة على الأصناف اللي بتتقلى بس. الحساب: إجمالي شراء زيت اولين الشهر (1,400 جنيه لـ20 لتر، من تقرير مشتريات يوليو الكامل) ÷ إجمالي مبيعات الأصناف اللي بتتقلى (كريسبي + بطاطس، 251 وحدة في يوليو) ≈ 5.58 جنيه/وحدة. بتتضاف كسطر ريسبي منفصل لكل صنف بيتقلى بس، مش كل المنيو.</t>
  </si>
  <si>
    <t xml:space="preserve">عصير</t>
  </si>
  <si>
    <t xml:space="preserve">[أكتوبر 2026] عصير وجبات الأطفال: تكلفة تقريبية 7 جنيه حسب صاحب الملف</t>
  </si>
  <si>
    <t xml:space="preserve">بيبسي 2 لتر</t>
  </si>
  <si>
    <t xml:space="preserve">[أكتوبر 2026] كود 1723: سعر الجرد 40 (فرع عصافرة) ومشتريات 45. تقريبي - راجعه</t>
  </si>
  <si>
    <t xml:space="preserve">مياة معدنية صغير</t>
  </si>
  <si>
    <t xml:space="preserve">[أكتوبر 2026] كود 2252: من جرد 30-9 (7 جنيه)</t>
  </si>
  <si>
    <t xml:space="preserve">تغيّر أسعار الخامات: يوليو 2026 ← أكتوبر 2026</t>
  </si>
  <si>
    <t xml:space="preserve">مصدر أكتوبر: تقارير المشتريات (1-12 أكتوبر، فرعين) وتقارير الجرد المقيّم بمتوسط التكلفة (30 سبتمبر، 3 فروع). سعر أكتوبر هنا مربوط بشيت المكونات (لو عدلته هناك يتحدث هنا). الخلايا المظللة بالأصفر في المكونات = تغير أكبر من 20% محتاج تأكيد.</t>
  </si>
  <si>
    <t xml:space="preserve">سعر يوليو (جنيه)</t>
  </si>
  <si>
    <t xml:space="preserve">سعر أكتوبر (جنيه)</t>
  </si>
  <si>
    <t xml:space="preserve">الفرق (جنيه)</t>
  </si>
  <si>
    <t xml:space="preserve">% التغير</t>
  </si>
  <si>
    <t xml:space="preserve">مصدر سعر أكتوبر</t>
  </si>
  <si>
    <t xml:space="preserve">سعر الوحدة في تقرير الكاشير</t>
  </si>
  <si>
    <t xml:space="preserve">معامل التحويل</t>
  </si>
  <si>
    <t xml:space="preserve">يحتاج مراجعة؟</t>
  </si>
  <si>
    <t xml:space="preserve">مشتريات 1-12 أكتوبر</t>
  </si>
  <si>
    <t xml:space="preserve">⚠ تغير &gt;20% — اتأكد</t>
  </si>
  <si>
    <t xml:space="preserve">متوسط تكلفة جرد 30-9</t>
  </si>
  <si>
    <t xml:space="preserve">لم يتحدث (غير موجود في التقارير) — السعر القديم</t>
  </si>
  <si>
    <t xml:space="preserve">⚠ بدون تحديث — ابعت السعر</t>
  </si>
  <si>
    <t xml:space="preserve">تأثير أسعار أكتوبر على تكلفة الأصناف (مع زيادة أسعار البيع 10 جنيه)</t>
  </si>
  <si>
    <t xml:space="preserve">تكلفة يوليو أرقام ثابتة من النسخة القديمة. تكلفة أكتوبر مربوطة بشيت تحليل التكلفة. مرتّب بالأكثر تأثرًا.</t>
  </si>
  <si>
    <t xml:space="preserve">تكلفة الريسبي - يوليو</t>
  </si>
  <si>
    <t xml:space="preserve">تكلفة الريسبي - أكتوبر</t>
  </si>
  <si>
    <t xml:space="preserve">سعر البيع - يوليو</t>
  </si>
  <si>
    <t xml:space="preserve">سعر البيع - أكتوبر</t>
  </si>
  <si>
    <t xml:space="preserve">% تكلفة الطعام - يوليو</t>
  </si>
  <si>
    <t xml:space="preserve">% تكلفة الطعام - أكتوبر</t>
  </si>
  <si>
    <t xml:space="preserve">الفرق بالنقاط</t>
  </si>
  <si>
    <t xml:space="preserve">قسم الإضافات</t>
  </si>
  <si>
    <t xml:space="preserve">اضافة مشروم (بيتزا وسط)</t>
  </si>
  <si>
    <t xml:space="preserve">اضافة مشروم (بيتزا كبير)</t>
  </si>
  <si>
    <t xml:space="preserve">اضافة مشروم (فطير وسط)</t>
  </si>
  <si>
    <t xml:space="preserve">اضافة مشروم (فطير كبير)</t>
  </si>
  <si>
    <t xml:space="preserve">اضافة فراخ كريسبي (فطير كبير)</t>
  </si>
  <si>
    <t xml:space="preserve">اضافة شيكولاتة (عام)</t>
  </si>
  <si>
    <t xml:space="preserve">فطيرة مشروم صيامي مخصوص</t>
  </si>
  <si>
    <t xml:space="preserve">بيتزا فراخ كريسبي رانش حجم اكبر</t>
  </si>
  <si>
    <t xml:space="preserve">فطيرة مشروم صيامي وسط</t>
  </si>
  <si>
    <t xml:space="preserve">بيتزا مشروم صيامي مخصوص</t>
  </si>
  <si>
    <t xml:space="preserve">قسم المشروبات</t>
  </si>
  <si>
    <t xml:space="preserve">فطيرة فراخ كريسبي رانش حجم اكبر</t>
  </si>
  <si>
    <t xml:space="preserve">اضافة قشطة (عام)</t>
  </si>
  <si>
    <t xml:space="preserve">بيتزا فراخ كريسبي شيدر حجم اكبر</t>
  </si>
  <si>
    <t xml:space="preserve">بيتزا مشروم صيامي وسط</t>
  </si>
  <si>
    <t xml:space="preserve">شيكاغو بيتزا برجر</t>
  </si>
  <si>
    <t xml:space="preserve">فطيرة فراخ كريسبي شيدر حجم اكبر</t>
  </si>
  <si>
    <t xml:space="preserve">مكرونة مشروم صيامي</t>
  </si>
  <si>
    <t xml:space="preserve">فطيرة شيكولاتة صيامي</t>
  </si>
  <si>
    <t xml:space="preserve">اضافة بسطرمة (فطير كبير)</t>
  </si>
  <si>
    <t xml:space="preserve">فطيرة شيكولاتة</t>
  </si>
  <si>
    <t xml:space="preserve">اضافة جبنة موتزريلا (بيتزا كبير)</t>
  </si>
  <si>
    <t xml:space="preserve">إضافة وش بيتزا (مخصوص) (كبير)</t>
  </si>
  <si>
    <t xml:space="preserve">اضافة حشو للاطراف (Medium)</t>
  </si>
  <si>
    <t xml:space="preserve">قنبلة كريسبي صيامي</t>
  </si>
  <si>
    <t xml:space="preserve">مكرونة تجرسكو (فراخ ومشروم)</t>
  </si>
  <si>
    <t xml:space="preserve">بهججة كريسبي صيامي</t>
  </si>
  <si>
    <t xml:space="preserve">اضافة فراخ كريسبي (بيتزا وسط)</t>
  </si>
  <si>
    <t xml:space="preserve">اضافة فراخ كريسبي (فطير وسط)</t>
  </si>
  <si>
    <t xml:space="preserve">فطيرة قشطة عسل مكسرات</t>
  </si>
  <si>
    <t xml:space="preserve">بيتزا فراخ باربيكيو صيامي وسط</t>
  </si>
  <si>
    <t xml:space="preserve">بيتزا فراخ باربيكيو صيامي مخصوص</t>
  </si>
  <si>
    <t xml:space="preserve">اضافة سلامي (بيتزا وسط)</t>
  </si>
  <si>
    <t xml:space="preserve">اضافة بسطرمة (بيتزا وسط)</t>
  </si>
  <si>
    <t xml:space="preserve">اضافة بسطرمة (فطير وسط)</t>
  </si>
  <si>
    <t xml:space="preserve">اضافة فراخ جريل (بيتزا كبير)</t>
  </si>
  <si>
    <t xml:space="preserve">اضافة فراخ جريل (فطير كبير)</t>
  </si>
  <si>
    <t xml:space="preserve">بيتزا مارجريتا حجم اكبر</t>
  </si>
  <si>
    <t xml:space="preserve">فطيرة فراخ باربيكيو صيامي وسط</t>
  </si>
  <si>
    <t xml:space="preserve">فطيرة فراخ باربيكيو صيامي مخصوص</t>
  </si>
  <si>
    <t xml:space="preserve">كريب فراخ باربيكيو صيامي</t>
  </si>
  <si>
    <t xml:space="preserve">مكرونة فراخ باربيكيو صيامي</t>
  </si>
  <si>
    <t xml:space="preserve">فطيرة سكر / كاستر صيامي</t>
  </si>
  <si>
    <t xml:space="preserve">بيتزا فراخ باربيكيو حجم اكبر</t>
  </si>
  <si>
    <t xml:space="preserve">بيتزا فراخ رانش حجم اكبر</t>
  </si>
  <si>
    <t xml:space="preserve">بيتزا سدق حجم اكبر</t>
  </si>
  <si>
    <t xml:space="preserve">فطيرة بسطرمة حجم اكبر</t>
  </si>
  <si>
    <t xml:space="preserve">فطيرة نوتيلا قشطة مكسرات</t>
  </si>
  <si>
    <t xml:space="preserve">صوص شيدر إضافي (M)</t>
  </si>
  <si>
    <t xml:space="preserve">صوص شيدر إضافي (L)</t>
  </si>
  <si>
    <t xml:space="preserve">عيش كريب</t>
  </si>
  <si>
    <t xml:space="preserve">فطيرة فورسيزون ستاموني</t>
  </si>
  <si>
    <t xml:space="preserve">اضافة فراخ جريل (بيتزا وسط)</t>
  </si>
  <si>
    <t xml:space="preserve">كريب فراخ كريسبي شيدر</t>
  </si>
  <si>
    <t xml:space="preserve">فطيرة سكر / كاستر</t>
  </si>
  <si>
    <t xml:space="preserve">كريب مشكل فراخ</t>
  </si>
  <si>
    <t xml:space="preserve">اضافة سدق (فطير كبير)</t>
  </si>
  <si>
    <t xml:space="preserve">كريب بسطرمة</t>
  </si>
  <si>
    <t xml:space="preserve">فطيرة ملوكي زبيب وجوزهند صيامي</t>
  </si>
  <si>
    <t xml:space="preserve">باكت بطاطس جبنة (كبير)</t>
  </si>
  <si>
    <t xml:space="preserve">بيتزا دبل سلامي / بيبروني وسط</t>
  </si>
  <si>
    <t xml:space="preserve">فطيرة ملوكي زبيب وجوزهند</t>
  </si>
  <si>
    <t xml:space="preserve">بيتزا بسطرمة وسط</t>
  </si>
  <si>
    <t xml:space="preserve">باكت بطاطس جبنة (وسط)</t>
  </si>
  <si>
    <t xml:space="preserve">فطيرة فراخ كريسبي رانش وسط</t>
  </si>
  <si>
    <t xml:space="preserve">قنبلة برجر صيامي</t>
  </si>
  <si>
    <t xml:space="preserve">فطيرة فراخ رانش حجم اكبر</t>
  </si>
  <si>
    <t xml:space="preserve">فطيرة فراخ باربيكيو حجم اكبر</t>
  </si>
  <si>
    <t xml:space="preserve">كريب سدق</t>
  </si>
  <si>
    <t xml:space="preserve">كريب فراخ باربيكيو</t>
  </si>
  <si>
    <t xml:space="preserve">بهججة بيتزا برجر صيامي</t>
  </si>
  <si>
    <t xml:space="preserve">مكرونة كريسبي رانش</t>
  </si>
  <si>
    <t xml:space="preserve">فطيرة بسطرمة وسط</t>
  </si>
  <si>
    <t xml:space="preserve">فطيرة سدق حجم اكبر</t>
  </si>
  <si>
    <t xml:space="preserve">مكرونة صوص ابيض بسطرمة</t>
  </si>
  <si>
    <t xml:space="preserve">باكت بطاطس كبير</t>
  </si>
  <si>
    <t xml:space="preserve">صوص باربيكيو إضافي (M)</t>
  </si>
  <si>
    <t xml:space="preserve">صوص باربيكيو إضافي (L)</t>
  </si>
  <si>
    <t xml:space="preserve">فطيرة فراخ كريسبي شيدر وسط</t>
  </si>
  <si>
    <t xml:space="preserve">فطيرة مشلتت بالسمنة البلدي صغير</t>
  </si>
  <si>
    <t xml:space="preserve">فطيرة فراخ رانش وسط</t>
  </si>
  <si>
    <t xml:space="preserve">بيتزا بسطرمة حجم اكبر</t>
  </si>
  <si>
    <t xml:space="preserve">فطيرة فراخ باربيكيو وسط</t>
  </si>
  <si>
    <t xml:space="preserve">بيتزا فراخ كريسبي رانش وسط</t>
  </si>
  <si>
    <t xml:space="preserve">بيتزا جمبري حجم اكبر</t>
  </si>
  <si>
    <t xml:space="preserve">بيتزا مشكل لحوم النكش وسط</t>
  </si>
  <si>
    <t xml:space="preserve">مكرونة كريسبي شيدر</t>
  </si>
  <si>
    <t xml:space="preserve">فطيرة مشلتت بالسمنة البلدي وسط</t>
  </si>
  <si>
    <t xml:space="preserve">بيتزا مشكل جبن حجم اكبر</t>
  </si>
  <si>
    <t xml:space="preserve">باكت بطاطس وسط</t>
  </si>
  <si>
    <t xml:space="preserve">بيتزا مارجريتا صيامي وسط</t>
  </si>
  <si>
    <t xml:space="preserve">بيتزا مشكل جبن وسط</t>
  </si>
  <si>
    <t xml:space="preserve">بيتزا مارجريتا وسط</t>
  </si>
  <si>
    <t xml:space="preserve">فطيرة مشلتت بالسمنة البلدي كبير</t>
  </si>
  <si>
    <t xml:space="preserve">فطيرة ميكس بسطرمة وسدق بالكيري حجم اكبر</t>
  </si>
  <si>
    <t xml:space="preserve">فطيرة مشكل لحوم النكش حجم اكبر</t>
  </si>
  <si>
    <t xml:space="preserve">فطيرة ميكس بسطرمة وسدق بالكيري وسط</t>
  </si>
  <si>
    <t xml:space="preserve">فطيرة خضروات صيامي مخصوص</t>
  </si>
  <si>
    <t xml:space="preserve">فطيرة مشكل لحوم النكش وسط</t>
  </si>
  <si>
    <t xml:space="preserve">بيتزا مشكل جبن صيامي وسط</t>
  </si>
  <si>
    <t xml:space="preserve">بيتزا فراخ كريسبي شيدر وسط</t>
  </si>
  <si>
    <t xml:space="preserve">فطيررجر</t>
  </si>
  <si>
    <t xml:space="preserve">كريب جمبري صيامي</t>
  </si>
  <si>
    <t xml:space="preserve">بيتزا فراخ رانش وسط</t>
  </si>
  <si>
    <t xml:space="preserve">فطيرة مشكل جبن صيامي مخصوص</t>
  </si>
  <si>
    <t xml:space="preserve">كريب سوسيس / شاورما لحم فراخ صيامي</t>
  </si>
  <si>
    <t xml:space="preserve">بيتزا سوسيس صيامي وسط</t>
  </si>
  <si>
    <t xml:space="preserve">بيتزا فراخ باربيكيو وسط</t>
  </si>
  <si>
    <t xml:space="preserve">فطيرة جمبري حجم اكبر</t>
  </si>
  <si>
    <t xml:space="preserve">فطيرة جمبري صيامي مخصوص</t>
  </si>
  <si>
    <t xml:space="preserve">فطيرة شاورما لحم / فراخ صيامي مخصوص</t>
  </si>
  <si>
    <t xml:space="preserve">فطيرة لوتس صيامي</t>
  </si>
  <si>
    <t xml:space="preserve">فطيرة مشكل لحوم صيامي مخصوص</t>
  </si>
  <si>
    <t xml:space="preserve">بيتزا سدق وسط</t>
  </si>
  <si>
    <t xml:space="preserve">بيتزا تونة صيامي وسط</t>
  </si>
  <si>
    <t xml:space="preserve">اضافة جمبري (بيتزا وسط)</t>
  </si>
  <si>
    <t xml:space="preserve">بيتزا مارجريتا صيامي مخصوص</t>
  </si>
  <si>
    <t xml:space="preserve">فطيرة سوسيس صيامي مخصوص</t>
  </si>
  <si>
    <t xml:space="preserve">كريب بطاطس صيامي</t>
  </si>
  <si>
    <t xml:space="preserve">فطيرة جمبري وسط</t>
  </si>
  <si>
    <t xml:space="preserve">فطيرة جمبري صيامي وسط</t>
  </si>
  <si>
    <t xml:space="preserve">بيتزا شاورما لحم / فراخ صيامي وسط</t>
  </si>
  <si>
    <t xml:space="preserve">مكرونة جمبري صيامي</t>
  </si>
  <si>
    <t xml:space="preserve">قنبلة كريسبي</t>
  </si>
  <si>
    <t xml:space="preserve">مكرونة جمبري</t>
  </si>
  <si>
    <t xml:space="preserve">بيتزا مشكل جبن صيامي مخصوص</t>
  </si>
  <si>
    <t xml:space="preserve">فطيرة مشكل جبن وسط</t>
  </si>
  <si>
    <t xml:space="preserve">فطيرة تونة صيامي مخصوص</t>
  </si>
  <si>
    <t xml:space="preserve">فطيرة خضروات صيامي وسط</t>
  </si>
  <si>
    <t xml:space="preserve">فطيرة شاورما لحم / فراخ صيامي وسط</t>
  </si>
  <si>
    <t xml:space="preserve">بيتزا سوسيس صيامي مخصوص</t>
  </si>
  <si>
    <t xml:space="preserve">بهججة بيتزا برجر</t>
  </si>
  <si>
    <t xml:space="preserve">بيتزا جمبري صيامي مخصوص</t>
  </si>
  <si>
    <t xml:space="preserve">بيتزا تونة صيامي مخصوص</t>
  </si>
  <si>
    <t xml:space="preserve">بيتزا دبل سلامي / بيبروني حجم اكبر</t>
  </si>
  <si>
    <t xml:space="preserve">فطيرة مشكل جبن صيامي وسط</t>
  </si>
  <si>
    <t xml:space="preserve">فطيرة مشكل لحوم صيامي وسط</t>
  </si>
  <si>
    <t xml:space="preserve">اضافة مكسرات (وسط)</t>
  </si>
  <si>
    <t xml:space="preserve">اضافة مكسرات (كبير)</t>
  </si>
  <si>
    <t xml:space="preserve">مكرونة صوص ابيض خضروات صيامي</t>
  </si>
  <si>
    <t xml:space="preserve">فطيرة سوسيس صيامي وسط</t>
  </si>
  <si>
    <t xml:space="preserve">فطيرة مشكل جبن حجم اكبر</t>
  </si>
  <si>
    <t xml:space="preserve">فطيرة سدق وسط</t>
  </si>
  <si>
    <t xml:space="preserve">بيتزا شاورما لحم / فراخ صيامي مخصوص</t>
  </si>
  <si>
    <t xml:space="preserve">فطيرة تونة صيامي وسط</t>
  </si>
  <si>
    <t xml:space="preserve">مكرونة سوسيس صيامي</t>
  </si>
  <si>
    <t xml:space="preserve">بيتزا جمبري صيامي وسط</t>
  </si>
  <si>
    <t xml:space="preserve">بيتزا جمبري وسط</t>
  </si>
  <si>
    <t xml:space="preserve">مكرونة صوص ابيض سدق</t>
  </si>
  <si>
    <t xml:space="preserve">قنبلة برجر</t>
  </si>
  <si>
    <t xml:space="preserve">بيتزا مشكل لحوم النكش حجم اكبر</t>
  </si>
  <si>
    <t xml:space="preserve">اضافة تونة (بيتزا وسط)</t>
  </si>
  <si>
    <t xml:space="preserve">بهججة كريسبي</t>
  </si>
  <si>
    <t xml:space="preserve">اضافة جبنة كيري (فطير M)</t>
  </si>
  <si>
    <t xml:space="preserve">اضافة جبنة كيري (فطير L)</t>
  </si>
  <si>
    <t xml:space="preserve">اضافة جبنة كيري (بيتزا وسط)</t>
  </si>
  <si>
    <t xml:space="preserve">اضافة جبنة موتزريلا (فطير M)</t>
  </si>
  <si>
    <t xml:space="preserve">اضافة جبنة موتزريلا (فطير L)</t>
  </si>
  <si>
    <t xml:space="preserve">اضافة جبنة موتزريلا (بيتزا وسط)</t>
  </si>
  <si>
    <t xml:space="preserve">اضافة جبنة رومي (بيتزا وسط)</t>
  </si>
  <si>
    <t xml:space="preserve">اضافة جبنة رومي (فطير وسط)</t>
  </si>
  <si>
    <t xml:space="preserve">اضافة جبنة رومي (فطير كبير)</t>
  </si>
  <si>
    <t xml:space="preserve">اضافة مفروم (بيتزا وسط)</t>
  </si>
  <si>
    <t xml:space="preserve">اضافة مفروم (فطير وسط)</t>
  </si>
  <si>
    <t xml:space="preserve">اضافة سدق (بيتزا وسط)</t>
  </si>
  <si>
    <t xml:space="preserve">اضافة سدق (فطير وسط)</t>
  </si>
  <si>
    <t xml:space="preserve">إضافة وش بيتزا (مخصوص) (وسط)</t>
  </si>
  <si>
    <t xml:space="preserve">اضافة حشو للاطراف (Small)</t>
  </si>
  <si>
    <t xml:space="preserve">صوص رانش إضافي (M)</t>
  </si>
  <si>
    <t xml:space="preserve">صوص رانش إضافي (L)</t>
  </si>
  <si>
    <t xml:space="preserve">التصنيف</t>
  </si>
  <si>
    <t xml:space="preserve">سعر البيع الحالي (جنيه)</t>
  </si>
  <si>
    <t xml:space="preserve">فطيرة نوتيلا</t>
  </si>
  <si>
    <t xml:space="preserve">مكرونة صوص ابيض مفروم</t>
  </si>
  <si>
    <t xml:space="preserve">كريب جمبري</t>
  </si>
  <si>
    <t xml:space="preserve">كريب فراخ جريل</t>
  </si>
  <si>
    <t xml:space="preserve">اضافة بسطرمة (بيتزا كبير)</t>
  </si>
  <si>
    <t xml:space="preserve">اضافة جبنة كيري (بيتزا كبير)</t>
  </si>
  <si>
    <t xml:space="preserve">اضافة سدق (بيتزا كبير)</t>
  </si>
  <si>
    <t xml:space="preserve">اضافة فراخ كريسبي (بيتزا كبير)</t>
  </si>
  <si>
    <t xml:space="preserve">اضافة فراخ جريل (فطير وسط)</t>
  </si>
  <si>
    <t xml:space="preserve">اضافة سلامي (فطير وسط)</t>
  </si>
  <si>
    <t xml:space="preserve">قسم وجبات الأطفال</t>
  </si>
  <si>
    <t xml:space="preserve">وجبة أطفال بيتزا مارجريتا</t>
  </si>
  <si>
    <t xml:space="preserve">وجبة أطفال بيتزا سلامي</t>
  </si>
  <si>
    <t xml:space="preserve">وجبة أطفال استربس + بطاطس</t>
  </si>
  <si>
    <t xml:space="preserve">وجبة أطفال استربس + مكرونة</t>
  </si>
  <si>
    <t xml:space="preserve">اضافة برجر</t>
  </si>
  <si>
    <t xml:space="preserve">اضافة وش شرقي (بيض وجبنة رومي) كبير</t>
  </si>
  <si>
    <t xml:space="preserve">مياه معدنية M</t>
  </si>
  <si>
    <t xml:space="preserve">اسم الصنف (من المنيو)</t>
  </si>
  <si>
    <t xml:space="preserve">اسم المكون (من المكونات)</t>
  </si>
  <si>
    <t xml:space="preserve">الكمية المستخدمة</t>
  </si>
  <si>
    <t xml:space="preserve">تكلفة السطر (جنيه)</t>
  </si>
  <si>
    <t xml:space="preserve">تكلفة الريسبي الكلية (جنيه)</t>
  </si>
  <si>
    <t xml:space="preserve">% تكلفة الطعام (من سعر البيع)</t>
  </si>
  <si>
    <t xml:space="preserve">السعر العادل لتحقيق الهدف (جنيه)</t>
  </si>
  <si>
    <t xml:space="preserve">الربح لكل صنف (جنيه)</t>
  </si>
  <si>
    <t xml:space="preserve">% تكلفة العمالة المقدرة</t>
  </si>
  <si>
    <t xml:space="preserve">% Prime Cost (طعام + عمالة)</t>
  </si>
  <si>
    <t xml:space="preserve">مساعد ترتيب (مخفي)</t>
  </si>
  <si>
    <t xml:space="preserve">تكلفة إضافية معيارية للوحدة (جنيه)</t>
  </si>
  <si>
    <t xml:space="preserve">إجمالي التكلفة شاملة الأوفرهيد (جنيه)</t>
  </si>
  <si>
    <t xml:space="preserve">أ) مكونات كل عرض (اكتب اسم العرض والأصناف الداخلة فيه)</t>
  </si>
  <si>
    <t xml:space="preserve">اسم العرض</t>
  </si>
  <si>
    <t xml:space="preserve">الصنف الداخل في العرض (من المنيو)</t>
  </si>
  <si>
    <t xml:space="preserve">الكمية</t>
  </si>
  <si>
    <t xml:space="preserve">كومبو بيتزا مارجريتا + كريب بسطرمة</t>
  </si>
  <si>
    <t xml:space="preserve">كومبو هدية (برسيون بطاطس + بيبسي اكشن)</t>
  </si>
  <si>
    <t xml:space="preserve">هدية نص فطيرة كاستر</t>
  </si>
  <si>
    <t xml:space="preserve">هدية نص فطيرة شيكولاتة</t>
  </si>
  <si>
    <t xml:space="preserve">عرض التريبل بيتزا (مثال: مارجريتا+سدق+بسطرمة)</t>
  </si>
  <si>
    <t xml:space="preserve">عرض الاكيلة (سدق+بسطرمة+سكر كاستر)</t>
  </si>
  <si>
    <t xml:space="preserve">عرض البرجر (مثال: قنبلة برجر + كومبو هدية)</t>
  </si>
  <si>
    <t xml:space="preserve">عرض الدويتو (مثال: مارجريتا+سلامي)</t>
  </si>
  <si>
    <t xml:space="preserve">ب) ملخص تكلفة وسعر كل عرض</t>
  </si>
  <si>
    <t xml:space="preserve">إجمالي تكلفة العرض (جنيه)</t>
  </si>
  <si>
    <t xml:space="preserve">سعر بيع العرض المقترح (جنيه)</t>
  </si>
  <si>
    <t xml:space="preserve">% تكلفة الطعام للعرض</t>
  </si>
  <si>
    <t xml:space="preserve">السعر العادل لتحقيق النسبة المستهدفة</t>
  </si>
  <si>
    <t xml:space="preserve">الربح لكل عرض (جنيه)</t>
  </si>
  <si>
    <t xml:space="preserve">تتبع الهدر (الفرق بين التكلفة النظرية والفعلية)</t>
  </si>
  <si>
    <t xml:space="preserve">طريقة الاستخدام: كل فترة جرد (أسبوعي/شهري)، هات إجمالي كمية كل مكون خرجت فعليًا من المخزن (من الجرد)، والشيت هيقارنها بالكمية النظرية اللي المفروض تتستهلك حسب مبيعات الفترة والريسبي. الفرق = هدر أو تسرب أو أخطاء تحضير.</t>
  </si>
  <si>
    <t xml:space="preserve">الفترة (من - إلى)</t>
  </si>
  <si>
    <t xml:space="preserve">الفرع</t>
  </si>
  <si>
    <t xml:space="preserve">اسم المكون (من شيت المكونات)</t>
  </si>
  <si>
    <t xml:space="preserve">الكمية النظرية المفروضة (حسب المبيعات والريسبي)</t>
  </si>
  <si>
    <t xml:space="preserve">الكمية الفعلية المنصرفة (من الجرد)</t>
  </si>
  <si>
    <t xml:space="preserve">الفرق (هدر)</t>
  </si>
  <si>
    <t xml:space="preserve">% الهدر</t>
  </si>
  <si>
    <t xml:space="preserve">تكلفة الهدر (جنيه)</t>
  </si>
  <si>
    <t xml:space="preserve">هندسة المنيو (Menu Engineering)</t>
  </si>
  <si>
    <t xml:space="preserve">الكميات من تقرير مبيعات يوليو 2026 (فرع محرم بك) - المنيو العادي والأبليكيشن اتحسبوا منفصلين لأن سعر الأبليكيشن أعلى (عمولة ~35%). العروض والكومبوهات (زي عرض التريبل، نص كاستر، نص شيكولاتة) مش داخلة هنا لأنها مبيعات مشتركة بين أكتر من صنف. التصنيف: نجم = مبيعات ومكسب فوق المتوسط، حصان عمل = مبيعات عالية بس مكسب أقل من المتوسط، لغز = مكسب عالي بس مبيعات قليلة، كلب = الاتنين تحت المتوسط.</t>
  </si>
  <si>
    <t xml:space="preserve">كمية المبيعات - المنيو العادي (يوليو)</t>
  </si>
  <si>
    <t xml:space="preserve">تصنيف Menu Engineering - المنيو العادي</t>
  </si>
  <si>
    <t xml:space="preserve">كمية المبيعات - الأبليكيشن (يوليو)</t>
  </si>
  <si>
    <t xml:space="preserve">تصنيف Menu Engineering - الأبليكيشن</t>
  </si>
  <si>
    <t xml:space="preserve">المصروفات التشغيلية غير المباشرة (شهري)</t>
  </si>
  <si>
    <t xml:space="preserve">دي كل الخامات اللي بتشتريها كل شهر بس مش بتدخل في ريسبي أي صنف بالتحديد (منظفات، مستلزمات مكتبية) - بنجمعها هنا كمصروف تشغيلي شهري منفصل عشان متفضلش خارج الحساب. الأرقام دي من تقرير مشتريات يوليو 2026 (فرع محرم بك) - حدّثها كل شهر بنفس الطريقة.</t>
  </si>
  <si>
    <t xml:space="preserve">البند</t>
  </si>
  <si>
    <t xml:space="preserve">الكمية المشتراة</t>
  </si>
  <si>
    <t xml:space="preserve">القيمة الإجمالية الشهرية (جنيه)</t>
  </si>
  <si>
    <t xml:space="preserve">تنظيف</t>
  </si>
  <si>
    <t xml:space="preserve">تنظيف/تجهيز</t>
  </si>
  <si>
    <t xml:space="preserve">تجهيز</t>
  </si>
  <si>
    <t xml:space="preserve">مكتبية</t>
  </si>
  <si>
    <t xml:space="preserve">إجمالي المصروفات غير المباشرة الشهرية</t>
  </si>
  <si>
    <t xml:space="preserve">مقارنة أداء الفروع الثلاثة (شهري)</t>
  </si>
  <si>
    <t xml:space="preserve">الأسعار واحدة في الفروع التلاتة، فالمقارنة الحقيقية بتبقى في حجم المبيعات ونسبة التكلفة الفعلية والهدر. املأ بيانات كل فرع شهريًا (من تقرير المبيعات والمشتريات بتاعه) والشيت هيحسب الفروق تلقائي. بيانات محرم بك حاليًا تقديرية من يوليو 2026 - حدّثها بأرقامك الدقيقة.</t>
  </si>
  <si>
    <t xml:space="preserve">إجمالي المبيعات الشهرية (جنيه)</t>
  </si>
  <si>
    <t xml:space="preserve">% تكلفة الطعام الفعلية</t>
  </si>
  <si>
    <t xml:space="preserve">% تكلفة العمالة</t>
  </si>
  <si>
    <t xml:space="preserve">المصروفات غير المباشرة (جنيه)</t>
  </si>
  <si>
    <t xml:space="preserve">% Prime Cost</t>
  </si>
  <si>
    <t xml:space="preserve">صافي الربح التقديري (جنيه)</t>
  </si>
  <si>
    <t xml:space="preserve">إجمالي المشتريات الشهرية الفعلية (جنيه)</t>
  </si>
  <si>
    <t xml:space="preserve">قيمة جرد أول المدة (جنيه)</t>
  </si>
  <si>
    <t xml:space="preserve">المطبخ المركزي</t>
  </si>
  <si>
    <t xml:space="preserve">ملحوظة: أرقام أكتوبر 2026: قيمة جرد أول المدة = جرد 30-9 المقيّم بمتوسط التكلفة، والمشتريات = مشتريات 1-12 أكتوبر فقط (مش شهر كامل). الفروع التلاتة مؤكدة من الملفات المتسمية بكل فرع. المطبخ المركزي مفيش له تقارير.</t>
  </si>
  <si>
    <t xml:space="preserve">قائمة الدخل الشهرية (P&amp;L) - Satamoni</t>
  </si>
  <si>
    <t xml:space="preserve">املأ الخلايا الصفراء بأرقام الشهر (من تقرير المبيعات، وأرقام الرواتب والإيجار الفعلية)، والباقي بيتحسب أوتوماتيك.</t>
  </si>
  <si>
    <t xml:space="preserve">إجمالي المبيعات</t>
  </si>
  <si>
    <t xml:space="preserve">(-) تكلفة الطعام (COGS)</t>
  </si>
  <si>
    <t xml:space="preserve">(=) مجمل الربح (Gross Profit)</t>
  </si>
  <si>
    <t xml:space="preserve">(-) تكلفة العمالة</t>
  </si>
  <si>
    <t xml:space="preserve">(-) المصروفات التشغيلية غير المباشرة</t>
  </si>
  <si>
    <t xml:space="preserve">(-) الإيجار الشهري</t>
  </si>
  <si>
    <t xml:space="preserve">(-) مصاريف تانية (صيانة/تسويق/إلخ)</t>
  </si>
  <si>
    <t xml:space="preserve">(=) صافي الربح (Net Profit)</t>
  </si>
  <si>
    <t xml:space="preserve">تحليل نقطة التعادل (Break-even Analysis)</t>
  </si>
  <si>
    <t xml:space="preserve">نقطة التعادل = إجمالي مبيعات الشهر اللازمة عشان تغطي كل مصاريفك الثابتة والمتغيرة من غير ربح ولا خسارة. أي مبيعات فوق الرقم ده = ربح صافي.</t>
  </si>
  <si>
    <t xml:space="preserve">التكاليف الثابتة الشهرية (إيجار)</t>
  </si>
  <si>
    <t xml:space="preserve">(+) المصروفات غير المباشرة (شبه ثابتة)</t>
  </si>
  <si>
    <t xml:space="preserve">(+) مصاريف تانية شبه ثابتة</t>
  </si>
  <si>
    <t xml:space="preserve">(=) إجمالي التكاليف الثابتة</t>
  </si>
  <si>
    <t xml:space="preserve">% تكلفة الطعام (متغيرة)</t>
  </si>
  <si>
    <t xml:space="preserve">% تكلفة العمالة (متغيرة)</t>
  </si>
  <si>
    <t xml:space="preserve">% هامش المساهمة (Contribution Margin)</t>
  </si>
  <si>
    <t xml:space="preserve">نقطة التعادل (مبيعات شهرية مطلوبة، جنيه)</t>
  </si>
  <si>
    <t xml:space="preserve">نقطة التعادل اليومية التقريبية (÷30 يوم)</t>
  </si>
  <si>
    <t xml:space="preserve">إعدادات الجرد والمخزون</t>
  </si>
  <si>
    <t xml:space="preserve">الخلايا الصفراء هي اللي بتغيرها. باقي الشيتات بتقرأ منها.</t>
  </si>
  <si>
    <t xml:space="preserve">الإعداد</t>
  </si>
  <si>
    <t xml:space="preserve">القيمة</t>
  </si>
  <si>
    <t xml:space="preserve">ملاحظة</t>
  </si>
  <si>
    <t xml:space="preserve">تاريخ التقرير (اليوم اللي عايز تشوفه)</t>
  </si>
  <si>
    <t xml:space="preserve">كل الأرقام في شيتات الجرد والداشبورد بتتحسب لحد اليوم ده. غيّره كل يوم.</t>
  </si>
  <si>
    <t xml:space="preserve">بداية الفترة (أول يوم في الشهر)</t>
  </si>
  <si>
    <t xml:space="preserve">المشتريات والمبيعات والهالك بتتجمع من هنا.</t>
  </si>
  <si>
    <t xml:space="preserve">تاريخ جرد أول المدة</t>
  </si>
  <si>
    <t xml:space="preserve">تاريخ الجرد المفتوح في شيت "جرد أول المدة" (جرد 30-9 من الكاشير).</t>
  </si>
  <si>
    <t xml:space="preserve">نسبة التسامح في الانحراف</t>
  </si>
  <si>
    <t xml:space="preserve">فرق أقل من النسبة دي (+/-) بيتعلّم "مطابق".</t>
  </si>
  <si>
    <t xml:space="preserve">أيام تغطية المخزون المطلوبة</t>
  </si>
  <si>
    <t xml:space="preserve">المخزون المستهدف = متوسط الاستهلاك اليومي × (أيام التغطية + أيام التوريد).</t>
  </si>
  <si>
    <t xml:space="preserve">أيام التوريد (من الطلب للاستلام)</t>
  </si>
  <si>
    <t xml:space="preserve">أيام مخزون الأمان</t>
  </si>
  <si>
    <t xml:space="preserve">مخزون إضافي فوق التغطية.</t>
  </si>
  <si>
    <t xml:space="preserve">عدد أيام متوسط الاستهلاك</t>
  </si>
  <si>
    <t xml:space="preserve">متوسط الاستهلاك اليومي بيتحسب من آخر عدد أيام كده (أو من بداية الفترة لو أقل).</t>
  </si>
  <si>
    <t xml:space="preserve">قايمة الفروع (بتظهر في القوايم المنسدلة)</t>
  </si>
  <si>
    <t xml:space="preserve">أنواع حركات الهالك والتحويل</t>
  </si>
  <si>
    <t xml:space="preserve">هالك</t>
  </si>
  <si>
    <t xml:space="preserve">ضيافة / أكل موظفين</t>
  </si>
  <si>
    <t xml:space="preserve">تحويل وارد</t>
  </si>
  <si>
    <t xml:space="preserve">تحويل صادر</t>
  </si>
  <si>
    <t xml:space="preserve">وحدة الجرد</t>
  </si>
  <si>
    <t xml:space="preserve">وحدة الوصفة</t>
  </si>
  <si>
    <t xml:space="preserve">معامل التحويل (وحدات وصفة لكل وحدة جرد)</t>
  </si>
  <si>
    <t xml:space="preserve">سعر وحدة الجرد (جنيه)</t>
  </si>
  <si>
    <t xml:space="preserve">حجم عبوة الطلب</t>
  </si>
  <si>
    <t xml:space="preserve">يتوفر من السنتر كيتشن؟</t>
  </si>
  <si>
    <t xml:space="preserve">ترتيب في طلبية السنتر</t>
  </si>
  <si>
    <t xml:space="preserve">الفئة</t>
  </si>
  <si>
    <t xml:space="preserve">لا</t>
  </si>
  <si>
    <t xml:space="preserve">تغليف</t>
  </si>
  <si>
    <t xml:space="preserve">خام</t>
  </si>
  <si>
    <t xml:space="preserve">نعم</t>
  </si>
  <si>
    <t xml:space="preserve">مُصنّع</t>
  </si>
  <si>
    <t xml:space="preserve">وحدة الجرد = الوحدة اللي بتتجرد وتتشترى بيها في الكاشير. وحدة الوصفة = اللي مكتوبة في الريسبي. المعامل = كام وحدة وصفة في وحدة الجرد الواحدة (مثلاً 1 كجم أكياس = 50 كيس).</t>
  </si>
  <si>
    <t xml:space="preserve">مراجعة المعاملات: ورق الزبدة (125 ورقة/كجم) والأكياس والبكر والسيلفر رول من تأكيدات يوليو. غيّرها هنا لو اتغيرت.</t>
  </si>
  <si>
    <t xml:space="preserve">حجم عبوة الطلب: بيتقرب له الطلب المقترح (مثلاً عجين بيتزا بالـ 10 كجم). الافتراضي 1.</t>
  </si>
  <si>
    <t xml:space="preserve">"يتوفر من السنتر كيتشن": اللي معلّم "نعم" بيظهر في شيت طلبية السنتر. افتراضياً العجين والصلصة والبشاميل والكاسترد، عدّل حسب شغلك.</t>
  </si>
  <si>
    <t xml:space="preserve">المكونات المصنّعة جوه المطعم (كاسترد، عجين كريب) مش بتتجرد كمكون، واستهلاكها بيتحسب على خاماتها (لبن، زبدة، دقيق، سكر بودرة، كاستر بودر).</t>
  </si>
  <si>
    <t xml:space="preserve">مواد التنظيف والمكتبية والزيت مش مرتبطة بمبيعات الأصناف فمش داخلة في الجرد.</t>
  </si>
  <si>
    <t xml:space="preserve">جرد أول المدة (رصيد 30 سبتمبر 2026)</t>
  </si>
  <si>
    <t xml:space="preserve">الأرصدة الدفترية من تقارير "الجرد المقيم بمتوسط التكلفة" لكل فرع من الكاشير. بوحدة الجرد. عدّلها لو عملتوا جرد فعلي أول الشهر.</t>
  </si>
  <si>
    <t xml:space="preserve">قيمة محرم بك</t>
  </si>
  <si>
    <t xml:space="preserve">قيمة ابراهيمية</t>
  </si>
  <si>
    <t xml:space="preserve">قيمة عصافرة</t>
  </si>
  <si>
    <t xml:space="preserve">قيمة المطبخ المركزي</t>
  </si>
  <si>
    <t xml:space="preserve">إجمالي القيمة</t>
  </si>
  <si>
    <t xml:space="preserve">ملحوظة: إجمالي القيمة هنا بأسعار أكتوبر الجديدة للمواد المتتبعة بس، فبيختلف عن إجمالي تقرير الكاشير (بمتوسط التكلفة وكل الأصناف).</t>
  </si>
  <si>
    <t xml:space="preserve">الصنف (من المنيو)</t>
  </si>
  <si>
    <t xml:space="preserve">الكمية المباعة</t>
  </si>
  <si>
    <t xml:space="preserve">الإيراد</t>
  </si>
  <si>
    <t xml:space="preserve">التكلفة النظرية</t>
  </si>
  <si>
    <r>
      <rPr>
        <sz val="11"/>
        <color theme="1"/>
        <rFont val="FreeSans"/>
        <family val="2"/>
      </rPr>
      <t xml:space="preserve">إضافة وش بيتزا </t>
    </r>
    <r>
      <rPr>
        <sz val="11"/>
        <color theme="1"/>
        <rFont val="Calibri"/>
        <family val="2"/>
        <charset val="1"/>
      </rPr>
      <t xml:space="preserve">(</t>
    </r>
    <r>
      <rPr>
        <sz val="11"/>
        <color theme="1"/>
        <rFont val="FreeSans"/>
        <family val="2"/>
      </rPr>
      <t xml:space="preserve">مخصوص</t>
    </r>
    <r>
      <rPr>
        <sz val="11"/>
        <color theme="1"/>
        <rFont val="Calibri"/>
        <family val="2"/>
        <charset val="1"/>
      </rPr>
      <t xml:space="preserve">) (</t>
    </r>
    <r>
      <rPr>
        <sz val="11"/>
        <color theme="1"/>
        <rFont val="FreeSans"/>
        <family val="2"/>
      </rPr>
      <t xml:space="preserve">وسط</t>
    </r>
    <r>
      <rPr>
        <sz val="11"/>
        <color theme="1"/>
        <rFont val="Calibri"/>
        <family val="2"/>
        <charset val="1"/>
      </rPr>
      <t xml:space="preserve">)</t>
    </r>
  </si>
  <si>
    <r>
      <rPr>
        <sz val="11"/>
        <color theme="1"/>
        <rFont val="FreeSans"/>
        <family val="2"/>
      </rPr>
      <t xml:space="preserve">تقرير مبيعات تجميعي </t>
    </r>
    <r>
      <rPr>
        <sz val="11"/>
        <color theme="1"/>
        <rFont val="Calibri"/>
        <family val="2"/>
        <charset val="1"/>
      </rPr>
      <t xml:space="preserve">1-12 </t>
    </r>
    <r>
      <rPr>
        <sz val="11"/>
        <color theme="1"/>
        <rFont val="FreeSans"/>
        <family val="2"/>
      </rPr>
      <t xml:space="preserve">أكتوبر </t>
    </r>
    <r>
      <rPr>
        <sz val="11"/>
        <color theme="1"/>
        <rFont val="Calibri"/>
        <family val="2"/>
        <charset val="1"/>
      </rPr>
      <t xml:space="preserve">(</t>
    </r>
    <r>
      <rPr>
        <sz val="11"/>
        <color theme="1"/>
        <rFont val="FreeSans"/>
        <family val="2"/>
      </rPr>
      <t xml:space="preserve">عادي </t>
    </r>
    <r>
      <rPr>
        <sz val="11"/>
        <color theme="1"/>
        <rFont val="Calibri"/>
        <family val="2"/>
        <charset val="1"/>
      </rPr>
      <t xml:space="preserve">+ </t>
    </r>
    <r>
      <rPr>
        <sz val="11"/>
        <color theme="1"/>
        <rFont val="FreeSans"/>
        <family val="2"/>
      </rPr>
      <t xml:space="preserve">طلبات </t>
    </r>
    <r>
      <rPr>
        <sz val="11"/>
        <color theme="1"/>
        <rFont val="Calibri"/>
        <family val="2"/>
        <charset val="1"/>
      </rPr>
      <t xml:space="preserve">+ </t>
    </r>
    <r>
      <rPr>
        <sz val="11"/>
        <color theme="1"/>
        <rFont val="FreeSans"/>
        <family val="2"/>
      </rPr>
      <t xml:space="preserve">صالة</t>
    </r>
    <r>
      <rPr>
        <sz val="11"/>
        <color theme="1"/>
        <rFont val="Calibri"/>
        <family val="2"/>
        <charset val="1"/>
      </rPr>
      <t xml:space="preserve">) </t>
    </r>
    <r>
      <rPr>
        <sz val="11"/>
        <color theme="1"/>
        <rFont val="FreeSans"/>
        <family val="2"/>
      </rPr>
      <t xml:space="preserve">موزّع بالتساوي على الأيام</t>
    </r>
    <r>
      <rPr>
        <sz val="11"/>
        <color theme="1"/>
        <rFont val="Calibri"/>
        <family val="2"/>
        <charset val="1"/>
      </rPr>
      <t xml:space="preserve">. </t>
    </r>
    <r>
      <rPr>
        <sz val="11"/>
        <color theme="1"/>
        <rFont val="FreeSans"/>
        <family val="2"/>
      </rPr>
      <t xml:space="preserve">السعر </t>
    </r>
    <r>
      <rPr>
        <sz val="11"/>
        <color theme="1"/>
        <rFont val="Calibri"/>
        <family val="2"/>
        <charset val="1"/>
      </rPr>
      <t xml:space="preserve">= </t>
    </r>
    <r>
      <rPr>
        <sz val="11"/>
        <color theme="1"/>
        <rFont val="FreeSans"/>
        <family val="2"/>
      </rPr>
      <t xml:space="preserve">صافي القيمة </t>
    </r>
    <r>
      <rPr>
        <sz val="11"/>
        <color theme="1"/>
        <rFont val="Calibri"/>
        <family val="2"/>
        <charset val="1"/>
      </rPr>
      <t xml:space="preserve">÷ </t>
    </r>
    <r>
      <rPr>
        <sz val="11"/>
        <color theme="1"/>
        <rFont val="FreeSans"/>
        <family val="2"/>
      </rPr>
      <t xml:space="preserve">الكمية من التقرير</t>
    </r>
  </si>
  <si>
    <r>
      <rPr>
        <sz val="11"/>
        <color theme="1"/>
        <rFont val="FreeSans"/>
        <family val="2"/>
      </rPr>
      <t xml:space="preserve">اضافة بسطرمة </t>
    </r>
    <r>
      <rPr>
        <sz val="11"/>
        <color theme="1"/>
        <rFont val="Calibri"/>
        <family val="2"/>
        <charset val="1"/>
      </rPr>
      <t xml:space="preserve">(</t>
    </r>
    <r>
      <rPr>
        <sz val="11"/>
        <color theme="1"/>
        <rFont val="FreeSans"/>
        <family val="2"/>
      </rPr>
      <t xml:space="preserve">بيتزا كبير</t>
    </r>
    <r>
      <rPr>
        <sz val="11"/>
        <color theme="1"/>
        <rFont val="Calibri"/>
        <family val="2"/>
        <charset val="1"/>
      </rPr>
      <t xml:space="preserve">)</t>
    </r>
  </si>
  <si>
    <r>
      <rPr>
        <sz val="11"/>
        <color theme="1"/>
        <rFont val="FreeSans"/>
        <family val="2"/>
      </rPr>
      <t xml:space="preserve">اضافة بسطرمة </t>
    </r>
    <r>
      <rPr>
        <sz val="11"/>
        <color theme="1"/>
        <rFont val="Calibri"/>
        <family val="2"/>
        <charset val="1"/>
      </rPr>
      <t xml:space="preserve">(</t>
    </r>
    <r>
      <rPr>
        <sz val="11"/>
        <color theme="1"/>
        <rFont val="FreeSans"/>
        <family val="2"/>
      </rPr>
      <t xml:space="preserve">فطير وسط</t>
    </r>
    <r>
      <rPr>
        <sz val="11"/>
        <color theme="1"/>
        <rFont val="Calibri"/>
        <family val="2"/>
        <charset val="1"/>
      </rPr>
      <t xml:space="preserve">)</t>
    </r>
  </si>
  <si>
    <r>
      <rPr>
        <sz val="11"/>
        <color theme="1"/>
        <rFont val="FreeSans"/>
        <family val="2"/>
      </rPr>
      <t xml:space="preserve">اضافة جبنة كيري </t>
    </r>
    <r>
      <rPr>
        <sz val="11"/>
        <color theme="1"/>
        <rFont val="Calibri"/>
        <family val="2"/>
        <charset val="1"/>
      </rPr>
      <t xml:space="preserve">(</t>
    </r>
    <r>
      <rPr>
        <sz val="11"/>
        <color theme="1"/>
        <rFont val="FreeSans"/>
        <family val="2"/>
      </rPr>
      <t xml:space="preserve">بيتزا كبير</t>
    </r>
    <r>
      <rPr>
        <sz val="11"/>
        <color theme="1"/>
        <rFont val="Calibri"/>
        <family val="2"/>
        <charset val="1"/>
      </rPr>
      <t xml:space="preserve">)</t>
    </r>
  </si>
  <si>
    <r>
      <rPr>
        <sz val="11"/>
        <color theme="1"/>
        <rFont val="FreeSans"/>
        <family val="2"/>
      </rPr>
      <t xml:space="preserve">اضافة جبنة كيري </t>
    </r>
    <r>
      <rPr>
        <sz val="11"/>
        <color theme="1"/>
        <rFont val="Calibri"/>
        <family val="2"/>
        <charset val="1"/>
      </rPr>
      <t xml:space="preserve">(</t>
    </r>
    <r>
      <rPr>
        <sz val="11"/>
        <color theme="1"/>
        <rFont val="FreeSans"/>
        <family val="2"/>
      </rPr>
      <t xml:space="preserve">بيتزا وسط</t>
    </r>
    <r>
      <rPr>
        <sz val="11"/>
        <color theme="1"/>
        <rFont val="Calibri"/>
        <family val="2"/>
        <charset val="1"/>
      </rPr>
      <t xml:space="preserve">)</t>
    </r>
  </si>
  <si>
    <r>
      <rPr>
        <sz val="11"/>
        <color theme="1"/>
        <rFont val="FreeSans"/>
        <family val="2"/>
      </rPr>
      <t xml:space="preserve">اضافة جبنة كيري </t>
    </r>
    <r>
      <rPr>
        <sz val="11"/>
        <color theme="1"/>
        <rFont val="Calibri"/>
        <family val="2"/>
        <charset val="1"/>
      </rPr>
      <t xml:space="preserve">(</t>
    </r>
    <r>
      <rPr>
        <sz val="11"/>
        <color theme="1"/>
        <rFont val="FreeSans"/>
        <family val="2"/>
      </rPr>
      <t xml:space="preserve">فطير </t>
    </r>
    <r>
      <rPr>
        <sz val="11"/>
        <color theme="1"/>
        <rFont val="Calibri"/>
        <family val="2"/>
        <charset val="1"/>
      </rPr>
      <t xml:space="preserve">L)</t>
    </r>
  </si>
  <si>
    <r>
      <rPr>
        <sz val="11"/>
        <color theme="1"/>
        <rFont val="FreeSans"/>
        <family val="2"/>
      </rPr>
      <t xml:space="preserve">اضافة جبنة كيري </t>
    </r>
    <r>
      <rPr>
        <sz val="11"/>
        <color theme="1"/>
        <rFont val="Calibri"/>
        <family val="2"/>
        <charset val="1"/>
      </rPr>
      <t xml:space="preserve">(</t>
    </r>
    <r>
      <rPr>
        <sz val="11"/>
        <color theme="1"/>
        <rFont val="FreeSans"/>
        <family val="2"/>
      </rPr>
      <t xml:space="preserve">فطير </t>
    </r>
    <r>
      <rPr>
        <sz val="11"/>
        <color theme="1"/>
        <rFont val="Calibri"/>
        <family val="2"/>
        <charset val="1"/>
      </rPr>
      <t xml:space="preserve">M)</t>
    </r>
  </si>
  <si>
    <r>
      <rPr>
        <sz val="11"/>
        <color theme="1"/>
        <rFont val="FreeSans"/>
        <family val="2"/>
      </rPr>
      <t xml:space="preserve">اضافة جبنة موتزريلا </t>
    </r>
    <r>
      <rPr>
        <sz val="11"/>
        <color theme="1"/>
        <rFont val="Calibri"/>
        <family val="2"/>
        <charset val="1"/>
      </rPr>
      <t xml:space="preserve">(</t>
    </r>
    <r>
      <rPr>
        <sz val="11"/>
        <color theme="1"/>
        <rFont val="FreeSans"/>
        <family val="2"/>
      </rPr>
      <t xml:space="preserve">بيتزا كبير</t>
    </r>
    <r>
      <rPr>
        <sz val="11"/>
        <color theme="1"/>
        <rFont val="Calibri"/>
        <family val="2"/>
        <charset val="1"/>
      </rPr>
      <t xml:space="preserve">)</t>
    </r>
  </si>
  <si>
    <r>
      <rPr>
        <sz val="11"/>
        <color theme="1"/>
        <rFont val="FreeSans"/>
        <family val="2"/>
      </rPr>
      <t xml:space="preserve">اضافة جبنة موتزريلا </t>
    </r>
    <r>
      <rPr>
        <sz val="11"/>
        <color theme="1"/>
        <rFont val="Calibri"/>
        <family val="2"/>
        <charset val="1"/>
      </rPr>
      <t xml:space="preserve">(</t>
    </r>
    <r>
      <rPr>
        <sz val="11"/>
        <color theme="1"/>
        <rFont val="FreeSans"/>
        <family val="2"/>
      </rPr>
      <t xml:space="preserve">بيتزا وسط</t>
    </r>
    <r>
      <rPr>
        <sz val="11"/>
        <color theme="1"/>
        <rFont val="Calibri"/>
        <family val="2"/>
        <charset val="1"/>
      </rPr>
      <t xml:space="preserve">)</t>
    </r>
  </si>
  <si>
    <r>
      <rPr>
        <sz val="11"/>
        <color theme="1"/>
        <rFont val="FreeSans"/>
        <family val="2"/>
      </rPr>
      <t xml:space="preserve">اضافة جبنة موتزريلا </t>
    </r>
    <r>
      <rPr>
        <sz val="11"/>
        <color theme="1"/>
        <rFont val="Calibri"/>
        <family val="2"/>
        <charset val="1"/>
      </rPr>
      <t xml:space="preserve">(</t>
    </r>
    <r>
      <rPr>
        <sz val="11"/>
        <color theme="1"/>
        <rFont val="FreeSans"/>
        <family val="2"/>
      </rPr>
      <t xml:space="preserve">فطير </t>
    </r>
    <r>
      <rPr>
        <sz val="11"/>
        <color theme="1"/>
        <rFont val="Calibri"/>
        <family val="2"/>
        <charset val="1"/>
      </rPr>
      <t xml:space="preserve">L)</t>
    </r>
  </si>
  <si>
    <r>
      <rPr>
        <sz val="11"/>
        <color theme="1"/>
        <rFont val="FreeSans"/>
        <family val="2"/>
      </rPr>
      <t xml:space="preserve">اضافة جبنة موتزريلا </t>
    </r>
    <r>
      <rPr>
        <sz val="11"/>
        <color theme="1"/>
        <rFont val="Calibri"/>
        <family val="2"/>
        <charset val="1"/>
      </rPr>
      <t xml:space="preserve">(</t>
    </r>
    <r>
      <rPr>
        <sz val="11"/>
        <color theme="1"/>
        <rFont val="FreeSans"/>
        <family val="2"/>
      </rPr>
      <t xml:space="preserve">فطير </t>
    </r>
    <r>
      <rPr>
        <sz val="11"/>
        <color theme="1"/>
        <rFont val="Calibri"/>
        <family val="2"/>
        <charset val="1"/>
      </rPr>
      <t xml:space="preserve">M)</t>
    </r>
  </si>
  <si>
    <r>
      <rPr>
        <sz val="11"/>
        <color theme="1"/>
        <rFont val="FreeSans"/>
        <family val="2"/>
      </rPr>
      <t xml:space="preserve">اضافة حشو للاطراف </t>
    </r>
    <r>
      <rPr>
        <sz val="11"/>
        <color theme="1"/>
        <rFont val="Calibri"/>
        <family val="2"/>
        <charset val="1"/>
      </rPr>
      <t xml:space="preserve">(Small)</t>
    </r>
  </si>
  <si>
    <r>
      <rPr>
        <sz val="11"/>
        <color theme="1"/>
        <rFont val="FreeSans"/>
        <family val="2"/>
      </rPr>
      <t xml:space="preserve">اضافة سدق </t>
    </r>
    <r>
      <rPr>
        <sz val="11"/>
        <color theme="1"/>
        <rFont val="Calibri"/>
        <family val="2"/>
        <charset val="1"/>
      </rPr>
      <t xml:space="preserve">(</t>
    </r>
    <r>
      <rPr>
        <sz val="11"/>
        <color theme="1"/>
        <rFont val="FreeSans"/>
        <family val="2"/>
      </rPr>
      <t xml:space="preserve">بيتزا كبير</t>
    </r>
    <r>
      <rPr>
        <sz val="11"/>
        <color theme="1"/>
        <rFont val="Calibri"/>
        <family val="2"/>
        <charset val="1"/>
      </rPr>
      <t xml:space="preserve">)</t>
    </r>
  </si>
  <si>
    <r>
      <rPr>
        <sz val="11"/>
        <color theme="1"/>
        <rFont val="FreeSans"/>
        <family val="2"/>
      </rPr>
      <t xml:space="preserve">اضافة سدق </t>
    </r>
    <r>
      <rPr>
        <sz val="11"/>
        <color theme="1"/>
        <rFont val="Calibri"/>
        <family val="2"/>
        <charset val="1"/>
      </rPr>
      <t xml:space="preserve">(</t>
    </r>
    <r>
      <rPr>
        <sz val="11"/>
        <color theme="1"/>
        <rFont val="FreeSans"/>
        <family val="2"/>
      </rPr>
      <t xml:space="preserve">فطير كبير</t>
    </r>
    <r>
      <rPr>
        <sz val="11"/>
        <color theme="1"/>
        <rFont val="Calibri"/>
        <family val="2"/>
        <charset val="1"/>
      </rPr>
      <t xml:space="preserve">)</t>
    </r>
  </si>
  <si>
    <r>
      <rPr>
        <sz val="11"/>
        <color theme="1"/>
        <rFont val="FreeSans"/>
        <family val="2"/>
      </rPr>
      <t xml:space="preserve">اضافة شيكولاتة </t>
    </r>
    <r>
      <rPr>
        <sz val="11"/>
        <color theme="1"/>
        <rFont val="Calibri"/>
        <family val="2"/>
        <charset val="1"/>
      </rPr>
      <t xml:space="preserve">(</t>
    </r>
    <r>
      <rPr>
        <sz val="11"/>
        <color theme="1"/>
        <rFont val="FreeSans"/>
        <family val="2"/>
      </rPr>
      <t xml:space="preserve">عام</t>
    </r>
    <r>
      <rPr>
        <sz val="11"/>
        <color theme="1"/>
        <rFont val="Calibri"/>
        <family val="2"/>
        <charset val="1"/>
      </rPr>
      <t xml:space="preserve">)</t>
    </r>
  </si>
  <si>
    <r>
      <rPr>
        <sz val="11"/>
        <color theme="1"/>
        <rFont val="FreeSans"/>
        <family val="2"/>
      </rPr>
      <t xml:space="preserve">اضافة فراخ جريل </t>
    </r>
    <r>
      <rPr>
        <sz val="11"/>
        <color theme="1"/>
        <rFont val="Calibri"/>
        <family val="2"/>
        <charset val="1"/>
      </rPr>
      <t xml:space="preserve">(</t>
    </r>
    <r>
      <rPr>
        <sz val="11"/>
        <color theme="1"/>
        <rFont val="FreeSans"/>
        <family val="2"/>
      </rPr>
      <t xml:space="preserve">بيتزا وسط</t>
    </r>
    <r>
      <rPr>
        <sz val="11"/>
        <color theme="1"/>
        <rFont val="Calibri"/>
        <family val="2"/>
        <charset val="1"/>
      </rPr>
      <t xml:space="preserve">)</t>
    </r>
  </si>
  <si>
    <r>
      <rPr>
        <sz val="11"/>
        <color theme="1"/>
        <rFont val="FreeSans"/>
        <family val="2"/>
      </rPr>
      <t xml:space="preserve">اضافة فراخ جريل </t>
    </r>
    <r>
      <rPr>
        <sz val="11"/>
        <color theme="1"/>
        <rFont val="Calibri"/>
        <family val="2"/>
        <charset val="1"/>
      </rPr>
      <t xml:space="preserve">(</t>
    </r>
    <r>
      <rPr>
        <sz val="11"/>
        <color theme="1"/>
        <rFont val="FreeSans"/>
        <family val="2"/>
      </rPr>
      <t xml:space="preserve">فطير وسط</t>
    </r>
    <r>
      <rPr>
        <sz val="11"/>
        <color theme="1"/>
        <rFont val="Calibri"/>
        <family val="2"/>
        <charset val="1"/>
      </rPr>
      <t xml:space="preserve">)</t>
    </r>
  </si>
  <si>
    <r>
      <rPr>
        <sz val="11"/>
        <color theme="1"/>
        <rFont val="FreeSans"/>
        <family val="2"/>
      </rPr>
      <t xml:space="preserve">اضافة فراخ كريسبي </t>
    </r>
    <r>
      <rPr>
        <sz val="11"/>
        <color theme="1"/>
        <rFont val="Calibri"/>
        <family val="2"/>
        <charset val="1"/>
      </rPr>
      <t xml:space="preserve">(</t>
    </r>
    <r>
      <rPr>
        <sz val="11"/>
        <color theme="1"/>
        <rFont val="FreeSans"/>
        <family val="2"/>
      </rPr>
      <t xml:space="preserve">بيتزا كبير</t>
    </r>
    <r>
      <rPr>
        <sz val="11"/>
        <color theme="1"/>
        <rFont val="Calibri"/>
        <family val="2"/>
        <charset val="1"/>
      </rPr>
      <t xml:space="preserve">)</t>
    </r>
  </si>
  <si>
    <r>
      <rPr>
        <sz val="11"/>
        <color theme="1"/>
        <rFont val="FreeSans"/>
        <family val="2"/>
      </rPr>
      <t xml:space="preserve">اضافة قشطة </t>
    </r>
    <r>
      <rPr>
        <sz val="11"/>
        <color theme="1"/>
        <rFont val="Calibri"/>
        <family val="2"/>
        <charset val="1"/>
      </rPr>
      <t xml:space="preserve">(</t>
    </r>
    <r>
      <rPr>
        <sz val="11"/>
        <color theme="1"/>
        <rFont val="FreeSans"/>
        <family val="2"/>
      </rPr>
      <t xml:space="preserve">عام</t>
    </r>
    <r>
      <rPr>
        <sz val="11"/>
        <color theme="1"/>
        <rFont val="Calibri"/>
        <family val="2"/>
        <charset val="1"/>
      </rPr>
      <t xml:space="preserve">)</t>
    </r>
  </si>
  <si>
    <r>
      <rPr>
        <sz val="11"/>
        <color theme="1"/>
        <rFont val="FreeSans"/>
        <family val="2"/>
      </rPr>
      <t xml:space="preserve">اضافة مفروم </t>
    </r>
    <r>
      <rPr>
        <sz val="11"/>
        <color theme="1"/>
        <rFont val="Calibri"/>
        <family val="2"/>
        <charset val="1"/>
      </rPr>
      <t xml:space="preserve">(</t>
    </r>
    <r>
      <rPr>
        <sz val="11"/>
        <color theme="1"/>
        <rFont val="FreeSans"/>
        <family val="2"/>
      </rPr>
      <t xml:space="preserve">بيتزا وسط</t>
    </r>
    <r>
      <rPr>
        <sz val="11"/>
        <color theme="1"/>
        <rFont val="Calibri"/>
        <family val="2"/>
        <charset val="1"/>
      </rPr>
      <t xml:space="preserve">)</t>
    </r>
  </si>
  <si>
    <r>
      <rPr>
        <sz val="11"/>
        <color theme="1"/>
        <rFont val="FreeSans"/>
        <family val="2"/>
      </rPr>
      <t xml:space="preserve">اضافة وش شرقي </t>
    </r>
    <r>
      <rPr>
        <sz val="11"/>
        <color theme="1"/>
        <rFont val="Calibri"/>
        <family val="2"/>
        <charset val="1"/>
      </rPr>
      <t xml:space="preserve">(</t>
    </r>
    <r>
      <rPr>
        <sz val="11"/>
        <color theme="1"/>
        <rFont val="FreeSans"/>
        <family val="2"/>
      </rPr>
      <t xml:space="preserve">بيض وجبنة رومي</t>
    </r>
    <r>
      <rPr>
        <sz val="11"/>
        <color theme="1"/>
        <rFont val="Calibri"/>
        <family val="2"/>
        <charset val="1"/>
      </rPr>
      <t xml:space="preserve">) </t>
    </r>
    <r>
      <rPr>
        <sz val="11"/>
        <color theme="1"/>
        <rFont val="FreeSans"/>
        <family val="2"/>
      </rPr>
      <t xml:space="preserve">كبير</t>
    </r>
  </si>
  <si>
    <r>
      <rPr>
        <sz val="11"/>
        <color theme="1"/>
        <rFont val="FreeSans"/>
        <family val="2"/>
      </rPr>
      <t xml:space="preserve">باكت بطاطس جبنة </t>
    </r>
    <r>
      <rPr>
        <sz val="11"/>
        <color theme="1"/>
        <rFont val="Calibri"/>
        <family val="2"/>
        <charset val="1"/>
      </rPr>
      <t xml:space="preserve">(</t>
    </r>
    <r>
      <rPr>
        <sz val="11"/>
        <color theme="1"/>
        <rFont val="FreeSans"/>
        <family val="2"/>
      </rPr>
      <t xml:space="preserve">كبير</t>
    </r>
    <r>
      <rPr>
        <sz val="11"/>
        <color theme="1"/>
        <rFont val="Calibri"/>
        <family val="2"/>
        <charset val="1"/>
      </rPr>
      <t xml:space="preserve">)</t>
    </r>
  </si>
  <si>
    <r>
      <rPr>
        <sz val="11"/>
        <color theme="1"/>
        <rFont val="FreeSans"/>
        <family val="2"/>
      </rPr>
      <t xml:space="preserve">باكت بطاطس جبنة </t>
    </r>
    <r>
      <rPr>
        <sz val="11"/>
        <color theme="1"/>
        <rFont val="Calibri"/>
        <family val="2"/>
        <charset val="1"/>
      </rPr>
      <t xml:space="preserve">(</t>
    </r>
    <r>
      <rPr>
        <sz val="11"/>
        <color theme="1"/>
        <rFont val="FreeSans"/>
        <family val="2"/>
      </rPr>
      <t xml:space="preserve">وسط</t>
    </r>
    <r>
      <rPr>
        <sz val="11"/>
        <color theme="1"/>
        <rFont val="Calibri"/>
        <family val="2"/>
        <charset val="1"/>
      </rPr>
      <t xml:space="preserve">)</t>
    </r>
  </si>
  <si>
    <r>
      <rPr>
        <sz val="11"/>
        <color theme="1"/>
        <rFont val="FreeSans"/>
        <family val="2"/>
      </rPr>
      <t xml:space="preserve">بيبسي </t>
    </r>
    <r>
      <rPr>
        <sz val="11"/>
        <color theme="1"/>
        <rFont val="Calibri"/>
        <family val="2"/>
        <charset val="1"/>
      </rPr>
      <t xml:space="preserve">2 </t>
    </r>
    <r>
      <rPr>
        <sz val="11"/>
        <color theme="1"/>
        <rFont val="FreeSans"/>
        <family val="2"/>
      </rPr>
      <t xml:space="preserve">لتر</t>
    </r>
  </si>
  <si>
    <r>
      <rPr>
        <sz val="11"/>
        <color theme="1"/>
        <rFont val="FreeSans"/>
        <family val="2"/>
      </rPr>
      <t xml:space="preserve">بيتزا دبل سلامي </t>
    </r>
    <r>
      <rPr>
        <sz val="11"/>
        <color theme="1"/>
        <rFont val="Calibri"/>
        <family val="2"/>
        <charset val="1"/>
      </rPr>
      <t xml:space="preserve">/ </t>
    </r>
    <r>
      <rPr>
        <sz val="11"/>
        <color theme="1"/>
        <rFont val="FreeSans"/>
        <family val="2"/>
      </rPr>
      <t xml:space="preserve">بيبروني حجم اكبر</t>
    </r>
  </si>
  <si>
    <r>
      <rPr>
        <sz val="11"/>
        <color theme="1"/>
        <rFont val="FreeSans"/>
        <family val="2"/>
      </rPr>
      <t xml:space="preserve">بيتزا دبل سلامي </t>
    </r>
    <r>
      <rPr>
        <sz val="11"/>
        <color theme="1"/>
        <rFont val="Calibri"/>
        <family val="2"/>
        <charset val="1"/>
      </rPr>
      <t xml:space="preserve">/ </t>
    </r>
    <r>
      <rPr>
        <sz val="11"/>
        <color theme="1"/>
        <rFont val="FreeSans"/>
        <family val="2"/>
      </rPr>
      <t xml:space="preserve">بيبروني وسط</t>
    </r>
  </si>
  <si>
    <r>
      <rPr>
        <sz val="11"/>
        <color theme="1"/>
        <rFont val="FreeSans"/>
        <family val="2"/>
      </rPr>
      <t xml:space="preserve">صوص باربيكيو إضافي </t>
    </r>
    <r>
      <rPr>
        <sz val="11"/>
        <color theme="1"/>
        <rFont val="Calibri"/>
        <family val="2"/>
        <charset val="1"/>
      </rPr>
      <t xml:space="preserve">(L)</t>
    </r>
  </si>
  <si>
    <r>
      <rPr>
        <sz val="11"/>
        <color theme="1"/>
        <rFont val="FreeSans"/>
        <family val="2"/>
      </rPr>
      <t xml:space="preserve">صوص باربيكيو إضافي </t>
    </r>
    <r>
      <rPr>
        <sz val="11"/>
        <color theme="1"/>
        <rFont val="Calibri"/>
        <family val="2"/>
        <charset val="1"/>
      </rPr>
      <t xml:space="preserve">(M)</t>
    </r>
  </si>
  <si>
    <r>
      <rPr>
        <sz val="11"/>
        <color theme="1"/>
        <rFont val="FreeSans"/>
        <family val="2"/>
      </rPr>
      <t xml:space="preserve">صوص رانش إضافي </t>
    </r>
    <r>
      <rPr>
        <sz val="11"/>
        <color theme="1"/>
        <rFont val="Calibri"/>
        <family val="2"/>
        <charset val="1"/>
      </rPr>
      <t xml:space="preserve">(M)</t>
    </r>
  </si>
  <si>
    <r>
      <rPr>
        <sz val="11"/>
        <color theme="1"/>
        <rFont val="FreeSans"/>
        <family val="2"/>
      </rPr>
      <t xml:space="preserve">صوص شيدر إضافي </t>
    </r>
    <r>
      <rPr>
        <sz val="11"/>
        <color theme="1"/>
        <rFont val="Calibri"/>
        <family val="2"/>
        <charset val="1"/>
      </rPr>
      <t xml:space="preserve">(L)</t>
    </r>
  </si>
  <si>
    <r>
      <rPr>
        <sz val="11"/>
        <color theme="1"/>
        <rFont val="FreeSans"/>
        <family val="2"/>
      </rPr>
      <t xml:space="preserve">صوص شيدر إضافي </t>
    </r>
    <r>
      <rPr>
        <sz val="11"/>
        <color theme="1"/>
        <rFont val="Calibri"/>
        <family val="2"/>
        <charset val="1"/>
      </rPr>
      <t xml:space="preserve">(M)</t>
    </r>
  </si>
  <si>
    <r>
      <rPr>
        <sz val="11"/>
        <color theme="1"/>
        <rFont val="FreeSans"/>
        <family val="2"/>
      </rPr>
      <t xml:space="preserve">فطيرة سكر </t>
    </r>
    <r>
      <rPr>
        <sz val="11"/>
        <color theme="1"/>
        <rFont val="Calibri"/>
        <family val="2"/>
        <charset val="1"/>
      </rPr>
      <t xml:space="preserve">/ </t>
    </r>
    <r>
      <rPr>
        <sz val="11"/>
        <color theme="1"/>
        <rFont val="FreeSans"/>
        <family val="2"/>
      </rPr>
      <t xml:space="preserve">كاستر</t>
    </r>
  </si>
  <si>
    <r>
      <rPr>
        <sz val="11"/>
        <color theme="1"/>
        <rFont val="FreeSans"/>
        <family val="2"/>
      </rPr>
      <t xml:space="preserve">مكرونة تجرسكو </t>
    </r>
    <r>
      <rPr>
        <sz val="11"/>
        <color theme="1"/>
        <rFont val="Calibri"/>
        <family val="2"/>
        <charset val="1"/>
      </rPr>
      <t xml:space="preserve">(</t>
    </r>
    <r>
      <rPr>
        <sz val="11"/>
        <color theme="1"/>
        <rFont val="FreeSans"/>
        <family val="2"/>
      </rPr>
      <t xml:space="preserve">فراخ ومشروم</t>
    </r>
    <r>
      <rPr>
        <sz val="11"/>
        <color theme="1"/>
        <rFont val="Calibri"/>
        <family val="2"/>
        <charset val="1"/>
      </rPr>
      <t xml:space="preserve">)</t>
    </r>
  </si>
  <si>
    <r>
      <rPr>
        <sz val="11"/>
        <color theme="1"/>
        <rFont val="FreeSans"/>
        <family val="2"/>
      </rPr>
      <t xml:space="preserve">مياه معدنية </t>
    </r>
    <r>
      <rPr>
        <sz val="11"/>
        <color theme="1"/>
        <rFont val="Calibri"/>
        <family val="2"/>
        <charset val="1"/>
      </rPr>
      <t xml:space="preserve">M</t>
    </r>
  </si>
  <si>
    <r>
      <rPr>
        <sz val="11"/>
        <color theme="1"/>
        <rFont val="FreeSans"/>
        <family val="2"/>
      </rPr>
      <t xml:space="preserve">اضافة حشو للاطراف </t>
    </r>
    <r>
      <rPr>
        <sz val="11"/>
        <color theme="1"/>
        <rFont val="Calibri"/>
        <family val="2"/>
        <charset val="1"/>
      </rPr>
      <t xml:space="preserve">(Medium)</t>
    </r>
  </si>
  <si>
    <r>
      <rPr>
        <sz val="11"/>
        <color theme="1"/>
        <rFont val="FreeSans"/>
        <family val="2"/>
      </rPr>
      <t xml:space="preserve">اضافة سدق </t>
    </r>
    <r>
      <rPr>
        <sz val="11"/>
        <color theme="1"/>
        <rFont val="Calibri"/>
        <family val="2"/>
        <charset val="1"/>
      </rPr>
      <t xml:space="preserve">(</t>
    </r>
    <r>
      <rPr>
        <sz val="11"/>
        <color theme="1"/>
        <rFont val="FreeSans"/>
        <family val="2"/>
      </rPr>
      <t xml:space="preserve">فطير وسط</t>
    </r>
    <r>
      <rPr>
        <sz val="11"/>
        <color theme="1"/>
        <rFont val="Calibri"/>
        <family val="2"/>
        <charset val="1"/>
      </rPr>
      <t xml:space="preserve">)</t>
    </r>
  </si>
  <si>
    <r>
      <rPr>
        <sz val="11"/>
        <color theme="1"/>
        <rFont val="FreeSans"/>
        <family val="2"/>
      </rPr>
      <t xml:space="preserve">اضافة مشروم </t>
    </r>
    <r>
      <rPr>
        <sz val="11"/>
        <color theme="1"/>
        <rFont val="Calibri"/>
        <family val="2"/>
        <charset val="1"/>
      </rPr>
      <t xml:space="preserve">(</t>
    </r>
    <r>
      <rPr>
        <sz val="11"/>
        <color theme="1"/>
        <rFont val="FreeSans"/>
        <family val="2"/>
      </rPr>
      <t xml:space="preserve">فطير وسط</t>
    </r>
    <r>
      <rPr>
        <sz val="11"/>
        <color theme="1"/>
        <rFont val="Calibri"/>
        <family val="2"/>
        <charset val="1"/>
      </rPr>
      <t xml:space="preserve">)</t>
    </r>
  </si>
  <si>
    <r>
      <rPr>
        <sz val="11"/>
        <color theme="1"/>
        <rFont val="FreeSans"/>
        <family val="2"/>
      </rPr>
      <t xml:space="preserve">اضافة مفروم </t>
    </r>
    <r>
      <rPr>
        <sz val="11"/>
        <color theme="1"/>
        <rFont val="Calibri"/>
        <family val="2"/>
        <charset val="1"/>
      </rPr>
      <t xml:space="preserve">(</t>
    </r>
    <r>
      <rPr>
        <sz val="11"/>
        <color theme="1"/>
        <rFont val="FreeSans"/>
        <family val="2"/>
      </rPr>
      <t xml:space="preserve">فطير وسط</t>
    </r>
    <r>
      <rPr>
        <sz val="11"/>
        <color theme="1"/>
        <rFont val="Calibri"/>
        <family val="2"/>
        <charset val="1"/>
      </rPr>
      <t xml:space="preserve">)</t>
    </r>
  </si>
  <si>
    <r>
      <rPr>
        <sz val="11"/>
        <color theme="1"/>
        <rFont val="FreeSans"/>
        <family val="2"/>
      </rPr>
      <t xml:space="preserve">اضافة مكسرات </t>
    </r>
    <r>
      <rPr>
        <sz val="11"/>
        <color theme="1"/>
        <rFont val="Calibri"/>
        <family val="2"/>
        <charset val="1"/>
      </rPr>
      <t xml:space="preserve">(</t>
    </r>
    <r>
      <rPr>
        <sz val="11"/>
        <color theme="1"/>
        <rFont val="FreeSans"/>
        <family val="2"/>
      </rPr>
      <t xml:space="preserve">وسط</t>
    </r>
    <r>
      <rPr>
        <sz val="11"/>
        <color theme="1"/>
        <rFont val="Calibri"/>
        <family val="2"/>
        <charset val="1"/>
      </rPr>
      <t xml:space="preserve">)</t>
    </r>
  </si>
  <si>
    <r>
      <rPr>
        <sz val="11"/>
        <color theme="1"/>
        <rFont val="FreeSans"/>
        <family val="2"/>
      </rPr>
      <t xml:space="preserve">فطيرة سكر </t>
    </r>
    <r>
      <rPr>
        <sz val="11"/>
        <color theme="1"/>
        <rFont val="Calibri"/>
        <family val="2"/>
        <charset val="1"/>
      </rPr>
      <t xml:space="preserve">/ </t>
    </r>
    <r>
      <rPr>
        <sz val="11"/>
        <color theme="1"/>
        <rFont val="FreeSans"/>
        <family val="2"/>
      </rPr>
      <t xml:space="preserve">كاستر صيامي</t>
    </r>
  </si>
  <si>
    <r>
      <rPr>
        <sz val="11"/>
        <color theme="1"/>
        <rFont val="FreeSans"/>
        <family val="2"/>
      </rPr>
      <t xml:space="preserve">وجبة أطفال استربس </t>
    </r>
    <r>
      <rPr>
        <sz val="11"/>
        <color theme="1"/>
        <rFont val="Calibri"/>
        <family val="2"/>
        <charset val="1"/>
      </rPr>
      <t xml:space="preserve">+ </t>
    </r>
    <r>
      <rPr>
        <sz val="11"/>
        <color theme="1"/>
        <rFont val="FreeSans"/>
        <family val="2"/>
      </rPr>
      <t xml:space="preserve">بطاطس</t>
    </r>
  </si>
  <si>
    <r>
      <rPr>
        <sz val="11"/>
        <color theme="1"/>
        <rFont val="FreeSans"/>
        <family val="2"/>
      </rPr>
      <t xml:space="preserve">وجبة أطفال استربس </t>
    </r>
    <r>
      <rPr>
        <sz val="11"/>
        <color theme="1"/>
        <rFont val="Calibri"/>
        <family val="2"/>
        <charset val="1"/>
      </rPr>
      <t xml:space="preserve">+ </t>
    </r>
    <r>
      <rPr>
        <sz val="11"/>
        <color theme="1"/>
        <rFont val="FreeSans"/>
        <family val="2"/>
      </rPr>
      <t xml:space="preserve">مكرونة</t>
    </r>
  </si>
  <si>
    <r>
      <rPr>
        <sz val="11"/>
        <color theme="1"/>
        <rFont val="FreeSans"/>
        <family val="2"/>
      </rPr>
      <t xml:space="preserve">اضافة بسطرمة </t>
    </r>
    <r>
      <rPr>
        <sz val="11"/>
        <color theme="1"/>
        <rFont val="Calibri"/>
        <family val="2"/>
        <charset val="1"/>
      </rPr>
      <t xml:space="preserve">(</t>
    </r>
    <r>
      <rPr>
        <sz val="11"/>
        <color theme="1"/>
        <rFont val="FreeSans"/>
        <family val="2"/>
      </rPr>
      <t xml:space="preserve">بيتزا وسط</t>
    </r>
    <r>
      <rPr>
        <sz val="11"/>
        <color theme="1"/>
        <rFont val="Calibri"/>
        <family val="2"/>
        <charset val="1"/>
      </rPr>
      <t xml:space="preserve">)</t>
    </r>
  </si>
  <si>
    <r>
      <rPr>
        <sz val="11"/>
        <color theme="1"/>
        <rFont val="FreeSans"/>
        <family val="2"/>
      </rPr>
      <t xml:space="preserve">اضافة بسطرمة </t>
    </r>
    <r>
      <rPr>
        <sz val="11"/>
        <color theme="1"/>
        <rFont val="Calibri"/>
        <family val="2"/>
        <charset val="1"/>
      </rPr>
      <t xml:space="preserve">(</t>
    </r>
    <r>
      <rPr>
        <sz val="11"/>
        <color theme="1"/>
        <rFont val="FreeSans"/>
        <family val="2"/>
      </rPr>
      <t xml:space="preserve">فطير كبير</t>
    </r>
    <r>
      <rPr>
        <sz val="11"/>
        <color theme="1"/>
        <rFont val="Calibri"/>
        <family val="2"/>
        <charset val="1"/>
      </rPr>
      <t xml:space="preserve">)</t>
    </r>
  </si>
  <si>
    <r>
      <rPr>
        <sz val="11"/>
        <color theme="1"/>
        <rFont val="FreeSans"/>
        <family val="2"/>
      </rPr>
      <t xml:space="preserve">اضافة جبنة رومي </t>
    </r>
    <r>
      <rPr>
        <sz val="11"/>
        <color theme="1"/>
        <rFont val="Calibri"/>
        <family val="2"/>
        <charset val="1"/>
      </rPr>
      <t xml:space="preserve">(</t>
    </r>
    <r>
      <rPr>
        <sz val="11"/>
        <color theme="1"/>
        <rFont val="FreeSans"/>
        <family val="2"/>
      </rPr>
      <t xml:space="preserve">بيتزا وسط</t>
    </r>
    <r>
      <rPr>
        <sz val="11"/>
        <color theme="1"/>
        <rFont val="Calibri"/>
        <family val="2"/>
        <charset val="1"/>
      </rPr>
      <t xml:space="preserve">)</t>
    </r>
  </si>
  <si>
    <r>
      <rPr>
        <sz val="11"/>
        <color theme="1"/>
        <rFont val="FreeSans"/>
        <family val="2"/>
      </rPr>
      <t xml:space="preserve">اضافة سدق </t>
    </r>
    <r>
      <rPr>
        <sz val="11"/>
        <color theme="1"/>
        <rFont val="Calibri"/>
        <family val="2"/>
        <charset val="1"/>
      </rPr>
      <t xml:space="preserve">(</t>
    </r>
    <r>
      <rPr>
        <sz val="11"/>
        <color theme="1"/>
        <rFont val="FreeSans"/>
        <family val="2"/>
      </rPr>
      <t xml:space="preserve">بيتزا وسط</t>
    </r>
    <r>
      <rPr>
        <sz val="11"/>
        <color theme="1"/>
        <rFont val="Calibri"/>
        <family val="2"/>
        <charset val="1"/>
      </rPr>
      <t xml:space="preserve">)</t>
    </r>
  </si>
  <si>
    <r>
      <rPr>
        <sz val="11"/>
        <color theme="1"/>
        <rFont val="FreeSans"/>
        <family val="2"/>
      </rPr>
      <t xml:space="preserve">اضافة سلامي </t>
    </r>
    <r>
      <rPr>
        <sz val="11"/>
        <color theme="1"/>
        <rFont val="Calibri"/>
        <family val="2"/>
        <charset val="1"/>
      </rPr>
      <t xml:space="preserve">(</t>
    </r>
    <r>
      <rPr>
        <sz val="11"/>
        <color theme="1"/>
        <rFont val="FreeSans"/>
        <family val="2"/>
      </rPr>
      <t xml:space="preserve">فطير وسط</t>
    </r>
    <r>
      <rPr>
        <sz val="11"/>
        <color theme="1"/>
        <rFont val="Calibri"/>
        <family val="2"/>
        <charset val="1"/>
      </rPr>
      <t xml:space="preserve">)</t>
    </r>
  </si>
  <si>
    <r>
      <rPr>
        <sz val="11"/>
        <color theme="1"/>
        <rFont val="FreeSans"/>
        <family val="2"/>
      </rPr>
      <t xml:space="preserve">اضافة فراخ جريل </t>
    </r>
    <r>
      <rPr>
        <sz val="11"/>
        <color theme="1"/>
        <rFont val="Calibri"/>
        <family val="2"/>
        <charset val="1"/>
      </rPr>
      <t xml:space="preserve">(</t>
    </r>
    <r>
      <rPr>
        <sz val="11"/>
        <color theme="1"/>
        <rFont val="FreeSans"/>
        <family val="2"/>
      </rPr>
      <t xml:space="preserve">بيتزا كبير</t>
    </r>
    <r>
      <rPr>
        <sz val="11"/>
        <color theme="1"/>
        <rFont val="Calibri"/>
        <family val="2"/>
        <charset val="1"/>
      </rPr>
      <t xml:space="preserve">)</t>
    </r>
  </si>
  <si>
    <r>
      <rPr>
        <sz val="11"/>
        <color theme="1"/>
        <rFont val="FreeSans"/>
        <family val="2"/>
      </rPr>
      <t xml:space="preserve">عرض الاكيلة </t>
    </r>
    <r>
      <rPr>
        <sz val="11"/>
        <color theme="1"/>
        <rFont val="Calibri"/>
        <family val="2"/>
        <charset val="1"/>
      </rPr>
      <t xml:space="preserve">(</t>
    </r>
    <r>
      <rPr>
        <sz val="11"/>
        <color theme="1"/>
        <rFont val="FreeSans"/>
        <family val="2"/>
      </rPr>
      <t xml:space="preserve">فطير</t>
    </r>
    <r>
      <rPr>
        <sz val="11"/>
        <color theme="1"/>
        <rFont val="Calibri"/>
        <family val="2"/>
        <charset val="1"/>
      </rPr>
      <t xml:space="preserve">)</t>
    </r>
  </si>
  <si>
    <r>
      <rPr>
        <sz val="11"/>
        <color theme="1"/>
        <rFont val="FreeSans"/>
        <family val="2"/>
      </rPr>
      <t xml:space="preserve">إيراد فقط </t>
    </r>
    <r>
      <rPr>
        <sz val="11"/>
        <color theme="1"/>
        <rFont val="Calibri"/>
        <family val="2"/>
        <charset val="1"/>
      </rPr>
      <t xml:space="preserve">(</t>
    </r>
    <r>
      <rPr>
        <sz val="11"/>
        <color theme="1"/>
        <rFont val="FreeSans"/>
        <family val="2"/>
      </rPr>
      <t xml:space="preserve">عرض أو صنف مش في المنيو</t>
    </r>
    <r>
      <rPr>
        <sz val="11"/>
        <color theme="1"/>
        <rFont val="Calibri"/>
        <family val="2"/>
        <charset val="1"/>
      </rPr>
      <t xml:space="preserve">/</t>
    </r>
    <r>
      <rPr>
        <sz val="11"/>
        <color theme="1"/>
        <rFont val="FreeSans"/>
        <family val="2"/>
      </rPr>
      <t xml:space="preserve">الريسبي</t>
    </r>
    <r>
      <rPr>
        <sz val="11"/>
        <color theme="1"/>
        <rFont val="Calibri"/>
        <family val="2"/>
        <charset val="1"/>
      </rPr>
      <t xml:space="preserve">) - </t>
    </r>
    <r>
      <rPr>
        <sz val="11"/>
        <color theme="1"/>
        <rFont val="FreeSans"/>
        <family val="2"/>
      </rPr>
      <t xml:space="preserve">مش داخل في الاستهلاك</t>
    </r>
  </si>
  <si>
    <r>
      <rPr>
        <sz val="11"/>
        <color theme="1"/>
        <rFont val="FreeSans"/>
        <family val="2"/>
      </rPr>
      <t xml:space="preserve">عرض الاكيلة </t>
    </r>
    <r>
      <rPr>
        <sz val="11"/>
        <color theme="1"/>
        <rFont val="Calibri"/>
        <family val="2"/>
        <charset val="1"/>
      </rPr>
      <t xml:space="preserve">2</t>
    </r>
  </si>
  <si>
    <t xml:space="preserve">عرض البرجر</t>
  </si>
  <si>
    <r>
      <rPr>
        <sz val="11"/>
        <color theme="1"/>
        <rFont val="FreeSans"/>
        <family val="2"/>
      </rPr>
      <t xml:space="preserve">عرض القنابل </t>
    </r>
    <r>
      <rPr>
        <sz val="11"/>
        <color theme="1"/>
        <rFont val="Calibri"/>
        <family val="2"/>
        <charset val="1"/>
      </rPr>
      <t xml:space="preserve">+ 2 </t>
    </r>
    <r>
      <rPr>
        <sz val="11"/>
        <color theme="1"/>
        <rFont val="FreeSans"/>
        <family val="2"/>
      </rPr>
      <t xml:space="preserve">كومبو</t>
    </r>
  </si>
  <si>
    <t xml:space="preserve">الكمية (وحدة الجرد)</t>
  </si>
  <si>
    <t xml:space="preserve">القيمة (جنيه)</t>
  </si>
  <si>
    <t xml:space="preserve">سعر الوحدة</t>
  </si>
  <si>
    <t xml:space="preserve">داخل في الجرد؟</t>
  </si>
  <si>
    <r>
      <rPr>
        <sz val="11"/>
        <color theme="1"/>
        <rFont val="FreeSans"/>
        <family val="2"/>
      </rPr>
      <t xml:space="preserve">تجميعي مشتريات </t>
    </r>
    <r>
      <rPr>
        <sz val="11"/>
        <color theme="1"/>
        <rFont val="Calibri"/>
        <family val="2"/>
        <charset val="1"/>
      </rPr>
      <t xml:space="preserve">1-12 </t>
    </r>
    <r>
      <rPr>
        <sz val="11"/>
        <color theme="1"/>
        <rFont val="FreeSans"/>
        <family val="2"/>
      </rPr>
      <t xml:space="preserve">أكتوبر </t>
    </r>
    <r>
      <rPr>
        <sz val="11"/>
        <color theme="1"/>
        <rFont val="Calibri"/>
        <family val="2"/>
        <charset val="1"/>
      </rPr>
      <t xml:space="preserve">(</t>
    </r>
    <r>
      <rPr>
        <sz val="11"/>
        <color theme="1"/>
        <rFont val="FreeSans"/>
        <family val="2"/>
      </rPr>
      <t xml:space="preserve">تقرير الكاشير</t>
    </r>
    <r>
      <rPr>
        <sz val="11"/>
        <color theme="1"/>
        <rFont val="Calibri"/>
        <family val="2"/>
        <charset val="1"/>
      </rPr>
      <t xml:space="preserve">) - </t>
    </r>
    <r>
      <rPr>
        <sz val="11"/>
        <color theme="1"/>
        <rFont val="FreeSans"/>
        <family val="2"/>
      </rPr>
      <t xml:space="preserve">متسجل على أول الفترة</t>
    </r>
  </si>
  <si>
    <r>
      <rPr>
        <sz val="11"/>
        <color theme="1"/>
        <rFont val="FreeSans"/>
        <family val="2"/>
      </rPr>
      <t xml:space="preserve">برجر </t>
    </r>
    <r>
      <rPr>
        <sz val="11"/>
        <color theme="1"/>
        <rFont val="Calibri"/>
        <family val="2"/>
        <charset val="1"/>
      </rPr>
      <t xml:space="preserve">100 </t>
    </r>
    <r>
      <rPr>
        <sz val="11"/>
        <color theme="1"/>
        <rFont val="FreeSans"/>
        <family val="2"/>
      </rPr>
      <t xml:space="preserve">جرام</t>
    </r>
  </si>
  <si>
    <t xml:space="preserve">برسيون سلامي كبير</t>
  </si>
  <si>
    <t xml:space="preserve">ثوم</t>
  </si>
  <si>
    <t xml:space="preserve">زعتر</t>
  </si>
  <si>
    <t xml:space="preserve">فلفل اسمر</t>
  </si>
  <si>
    <t xml:space="preserve">كلور</t>
  </si>
  <si>
    <t xml:space="preserve">معطر ارضيات</t>
  </si>
  <si>
    <r>
      <rPr>
        <sz val="11"/>
        <color theme="1"/>
        <rFont val="FreeSans"/>
        <family val="2"/>
      </rPr>
      <t xml:space="preserve">ورق زبدة وسط كيلو </t>
    </r>
    <r>
      <rPr>
        <sz val="11"/>
        <color theme="1"/>
        <rFont val="Calibri"/>
        <family val="2"/>
        <charset val="1"/>
      </rPr>
      <t xml:space="preserve">500 </t>
    </r>
    <r>
      <rPr>
        <sz val="11"/>
        <color theme="1"/>
        <rFont val="FreeSans"/>
        <family val="2"/>
      </rPr>
      <t xml:space="preserve">ورقة</t>
    </r>
  </si>
  <si>
    <t xml:space="preserve">اكياس زرقاء</t>
  </si>
  <si>
    <t xml:space="preserve">اكياس زيرو</t>
  </si>
  <si>
    <t xml:space="preserve">بيض بالعدد</t>
  </si>
  <si>
    <t xml:space="preserve">شرايج بلاستيك وسط</t>
  </si>
  <si>
    <t xml:space="preserve">شرشوبة</t>
  </si>
  <si>
    <t xml:space="preserve">عجين كريب</t>
  </si>
  <si>
    <t xml:space="preserve">مايونيز كيلو</t>
  </si>
  <si>
    <t xml:space="preserve">مسطردة كيلو</t>
  </si>
  <si>
    <t xml:space="preserve">سمسم وحبة البركة</t>
  </si>
  <si>
    <t xml:space="preserve">عصاية مكنسة</t>
  </si>
  <si>
    <t xml:space="preserve">مرقه دجاج بودر</t>
  </si>
  <si>
    <t xml:space="preserve">الكمية الفعلية (وحدة الجرد)</t>
  </si>
  <si>
    <t xml:space="preserve">النوع</t>
  </si>
  <si>
    <t xml:space="preserve">السبب / ملاحظة</t>
  </si>
  <si>
    <t xml:space="preserve">الجرد اليومي والشهري - فرع محرم بك</t>
  </si>
  <si>
    <r>
      <rPr>
        <sz val="11"/>
        <color theme="1"/>
        <rFont val="FreeSans"/>
        <family val="2"/>
      </rPr>
      <t xml:space="preserve">اسم الفرع </t>
    </r>
    <r>
      <rPr>
        <sz val="11"/>
        <color theme="1"/>
        <rFont val="Calibri"/>
        <family val="2"/>
        <charset val="1"/>
      </rPr>
      <t xml:space="preserve">(</t>
    </r>
    <r>
      <rPr>
        <sz val="11"/>
        <color theme="1"/>
        <rFont val="FreeSans"/>
        <family val="2"/>
      </rPr>
      <t xml:space="preserve">لازم يطابق قايمة الفروع</t>
    </r>
    <r>
      <rPr>
        <sz val="11"/>
        <color theme="1"/>
        <rFont val="Calibri"/>
        <family val="2"/>
        <charset val="1"/>
      </rPr>
      <t xml:space="preserve">)</t>
    </r>
  </si>
  <si>
    <t xml:space="preserve">تاريخ التقرير</t>
  </si>
  <si>
    <t xml:space="preserve">الدفتري = أول المدة + مشتريات + تحويلات - استهلاك نظري - هالك. الفرق = الفعلي - الدفتري (سالب = عجز). الفرق تراكمي من بداية الفترة؛ "فرق اليوم" = تغير الفرق بين أمس واليوم.</t>
  </si>
  <si>
    <t xml:space="preserve">جرد أول المدة</t>
  </si>
  <si>
    <t xml:space="preserve">مشتريات الفترة</t>
  </si>
  <si>
    <t xml:space="preserve">تحويلات واردة</t>
  </si>
  <si>
    <t xml:space="preserve">تحويلات صادرة</t>
  </si>
  <si>
    <t xml:space="preserve">استهلاك نظري (مبيعات × ريسبي)</t>
  </si>
  <si>
    <t xml:space="preserve">هالك وضيافة</t>
  </si>
  <si>
    <t xml:space="preserve">الرصيد الدفتري</t>
  </si>
  <si>
    <t xml:space="preserve">اتجرد؟</t>
  </si>
  <si>
    <t xml:space="preserve">الجرد الفعلي</t>
  </si>
  <si>
    <t xml:space="preserve">الفرق %</t>
  </si>
  <si>
    <t xml:space="preserve">قيمة الفرق (جنيه)</t>
  </si>
  <si>
    <t xml:space="preserve">الحالة</t>
  </si>
  <si>
    <t xml:space="preserve">دفتري أمس</t>
  </si>
  <si>
    <t xml:space="preserve">فعلي أمس</t>
  </si>
  <si>
    <t xml:space="preserve">فرق اليوم (كمية)</t>
  </si>
  <si>
    <t xml:space="preserve">فرق اليوم (جنيه)</t>
  </si>
  <si>
    <t xml:space="preserve">مخزون الطلبية</t>
  </si>
  <si>
    <t xml:space="preserve">متوسط استهلاك يومي</t>
  </si>
  <si>
    <t xml:space="preserve">كمية الطلب المقترحة</t>
  </si>
  <si>
    <t xml:space="preserve">مفتاح ترتيب العجز</t>
  </si>
  <si>
    <t xml:space="preserve">مفتاح ترتيب الزيادة</t>
  </si>
  <si>
    <t xml:space="preserve">صافي حركة اليوم</t>
  </si>
  <si>
    <t xml:space="preserve">فرق (جنيه) رقمي</t>
  </si>
  <si>
    <t xml:space="preserve">قيمة دفتري للمجرود</t>
  </si>
  <si>
    <t xml:space="preserve">فرق اليوم (جنيه) رقمي</t>
  </si>
  <si>
    <t xml:space="preserve">إجمالي قيمة الفرق (جنيه)</t>
  </si>
  <si>
    <t xml:space="preserve">الجرد اليومي والشهري - فرع ابراهيمية</t>
  </si>
  <si>
    <t xml:space="preserve">الجرد اليومي والشهري - فرع عصافرة</t>
  </si>
  <si>
    <t xml:space="preserve">الطلبية المقترحة من السنتر كيتشن</t>
  </si>
  <si>
    <t xml:space="preserve">الطلب = متوسط الاستهلاك اليومي × (أيام التغطية + التوريد + الأمان) - المخزون الحالي (آخر جرد فعلي لو اتجرد النهاردة وإلا الدفتري)، مقرّب لحجم العبوة. يظهر هنا المكونات المعلّمة "نعم" في شيت مواد المخزون.</t>
  </si>
  <si>
    <t xml:space="preserve">#</t>
  </si>
  <si>
    <t xml:space="preserve">وحدة</t>
  </si>
  <si>
    <t xml:space="preserve">مخزون محرم بك</t>
  </si>
  <si>
    <t xml:space="preserve">متوسط يومي محرم بك</t>
  </si>
  <si>
    <t xml:space="preserve">طلب محرم بك</t>
  </si>
  <si>
    <t xml:space="preserve">مخزون ابراهيمية</t>
  </si>
  <si>
    <t xml:space="preserve">متوسط يومي ابراهيمية</t>
  </si>
  <si>
    <t xml:space="preserve">طلب ابراهيمية</t>
  </si>
  <si>
    <t xml:space="preserve">مخزون عصافرة</t>
  </si>
  <si>
    <t xml:space="preserve">متوسط يومي عصافرة</t>
  </si>
  <si>
    <t xml:space="preserve">طلب عصافرة</t>
  </si>
  <si>
    <t xml:space="preserve">إجمالي الطلبية</t>
  </si>
  <si>
    <t xml:space="preserve">قيمة الطلبية (جنيه)</t>
  </si>
  <si>
    <t xml:space="preserve">إجمالي قيمة الطلبية</t>
  </si>
  <si>
    <t xml:space="preserve">الصنف \ المكون (كمية الوصفة لكل وحدة بيع)</t>
  </si>
  <si>
    <t xml:space="preserve">الصنف \ المكون (كمية الوصفة لكل وحدة بيع) - ريسبي فرع عصافرة</t>
  </si>
  <si>
    <t xml:space="preserve">الصنف</t>
  </si>
  <si>
    <t xml:space="preserve">محرم بك | اليوم</t>
  </si>
  <si>
    <t xml:space="preserve">محرم بك | حتى اليوم (تراكمي)</t>
  </si>
  <si>
    <t xml:space="preserve">محرم بك | آخر فترة المتوسط</t>
  </si>
  <si>
    <t xml:space="preserve">ابراهيمية | اليوم</t>
  </si>
  <si>
    <t xml:space="preserve">ابراهيمية | حتى اليوم (تراكمي)</t>
  </si>
  <si>
    <t xml:space="preserve">ابراهيمية | آخر فترة المتوسط</t>
  </si>
  <si>
    <t xml:space="preserve">عصافرة | اليوم</t>
  </si>
  <si>
    <t xml:space="preserve">عصافرة | حتى اليوم (تراكمي)</t>
  </si>
  <si>
    <t xml:space="preserve">عصافرة | آخر فترة المتوسط</t>
  </si>
</sst>
</file>

<file path=xl/styles.xml><?xml version="1.0" encoding="utf-8"?>
<styleSheet xmlns="http://schemas.openxmlformats.org/spreadsheetml/2006/main">
  <numFmts count="20">
    <numFmt numFmtId="164" formatCode="General"/>
    <numFmt numFmtId="165" formatCode="#,##0"/>
    <numFmt numFmtId="166" formatCode="0.0%"/>
    <numFmt numFmtId="167" formatCode="#,##0.00"/>
    <numFmt numFmtId="168" formatCode="0"/>
    <numFmt numFmtId="169" formatCode="0%"/>
    <numFmt numFmtId="170" formatCode="#,##0;\(#,##0\);\-"/>
    <numFmt numFmtId="171" formatCode="#,##0.###"/>
    <numFmt numFmtId="172" formatCode="#,##0.00;\(#,##0.00\);\-"/>
    <numFmt numFmtId="173" formatCode="dd\-mm"/>
    <numFmt numFmtId="174" formatCode="yyyy\-mm\-dd"/>
    <numFmt numFmtId="175" formatCode="#,##0.00;\(#,##0.00\);\-"/>
    <numFmt numFmtId="176" formatCode="0.0%;\-0.0%;\-"/>
    <numFmt numFmtId="177" formatCode="0.00%"/>
    <numFmt numFmtId="178" formatCode="#,##0.0000"/>
    <numFmt numFmtId="179" formatCode="#,##0.000"/>
    <numFmt numFmtId="180" formatCode="#,##0.###;\-#,##0.###;\-"/>
    <numFmt numFmtId="181" formatCode="#,##0.00;\-#,##0.00;\-"/>
    <numFmt numFmtId="182" formatCode="0.####;\-0.####;;"/>
    <numFmt numFmtId="183" formatCode="General"/>
  </numFmts>
  <fonts count="41">
    <font>
      <sz val="11"/>
      <color theme="1"/>
      <name val="Calibri"/>
      <family val="2"/>
      <charset val="1"/>
    </font>
    <font>
      <sz val="10"/>
      <name val="Arial"/>
      <family val="0"/>
    </font>
    <font>
      <sz val="10"/>
      <name val="Arial"/>
      <family val="0"/>
    </font>
    <font>
      <sz val="10"/>
      <name val="Arial"/>
      <family val="0"/>
    </font>
    <font>
      <b val="true"/>
      <sz val="18"/>
      <color rgb="FF1F2937"/>
      <name val="Arial"/>
      <family val="0"/>
      <charset val="1"/>
    </font>
    <font>
      <sz val="10"/>
      <color rgb="FF6B7280"/>
      <name val="Arial"/>
      <family val="0"/>
      <charset val="1"/>
    </font>
    <font>
      <b val="true"/>
      <sz val="18"/>
      <color rgb="FF1F6FEB"/>
      <name val="Arial"/>
      <family val="0"/>
      <charset val="1"/>
    </font>
    <font>
      <b val="true"/>
      <sz val="18"/>
      <color rgb="FF9333EA"/>
      <name val="Arial"/>
      <family val="0"/>
      <charset val="1"/>
    </font>
    <font>
      <b val="true"/>
      <sz val="18"/>
      <color rgb="FFDC2626"/>
      <name val="Arial"/>
      <family val="0"/>
      <charset val="1"/>
    </font>
    <font>
      <b val="true"/>
      <sz val="18"/>
      <color rgb="FF16A34A"/>
      <name val="Arial"/>
      <family val="0"/>
      <charset val="1"/>
    </font>
    <font>
      <b val="true"/>
      <sz val="11"/>
      <color rgb="FF000000"/>
      <name val="Arial"/>
      <family val="0"/>
      <charset val="1"/>
    </font>
    <font>
      <b val="true"/>
      <sz val="12"/>
      <color rgb="FFFFFFFF"/>
      <name val="Arial"/>
      <family val="0"/>
      <charset val="1"/>
    </font>
    <font>
      <sz val="11"/>
      <color rgb="FF000000"/>
      <name val="Arial"/>
      <family val="0"/>
      <charset val="1"/>
    </font>
    <font>
      <i val="true"/>
      <sz val="9"/>
      <color rgb="FF6B7280"/>
      <name val="Arial"/>
      <family val="0"/>
      <charset val="1"/>
    </font>
    <font>
      <b val="true"/>
      <sz val="18"/>
      <color rgb="FF000000"/>
      <name val="FreeSans"/>
      <family val="2"/>
    </font>
    <font>
      <b val="true"/>
      <sz val="18"/>
      <color rgb="FF000000"/>
      <name val="Calibri"/>
      <family val="2"/>
    </font>
    <font>
      <sz val="10"/>
      <color rgb="FF000000"/>
      <name val="Calibri"/>
      <family val="2"/>
    </font>
    <font>
      <b val="true"/>
      <sz val="10"/>
      <color rgb="FF000000"/>
      <name val="FreeSans"/>
      <family val="2"/>
    </font>
    <font>
      <b val="true"/>
      <sz val="10"/>
      <color rgb="FF000000"/>
      <name val="Calibri"/>
      <family val="2"/>
    </font>
    <font>
      <b val="true"/>
      <sz val="18"/>
      <name val="Arial"/>
      <family val="0"/>
      <charset val="1"/>
    </font>
    <font>
      <i val="true"/>
      <sz val="11"/>
      <name val="Arial"/>
      <family val="0"/>
      <charset val="1"/>
    </font>
    <font>
      <i val="true"/>
      <sz val="10"/>
      <name val="Arial"/>
      <family val="0"/>
      <charset val="1"/>
    </font>
    <font>
      <b val="true"/>
      <sz val="11"/>
      <color rgb="FFFFFFFF"/>
      <name val="Arial"/>
      <family val="0"/>
      <charset val="1"/>
    </font>
    <font>
      <b val="true"/>
      <sz val="11"/>
      <name val="Arial"/>
      <family val="0"/>
      <charset val="1"/>
    </font>
    <font>
      <sz val="11"/>
      <name val="Arial"/>
      <family val="0"/>
      <charset val="1"/>
    </font>
    <font>
      <b val="true"/>
      <sz val="13"/>
      <name val="Arial"/>
      <family val="0"/>
      <charset val="1"/>
    </font>
    <font>
      <sz val="10"/>
      <name val="Arial"/>
      <family val="0"/>
      <charset val="1"/>
    </font>
    <font>
      <b val="true"/>
      <sz val="15"/>
      <name val="Arial"/>
      <family val="0"/>
      <charset val="1"/>
    </font>
    <font>
      <b val="true"/>
      <sz val="16"/>
      <color rgb="FF1F2937"/>
      <name val="Arial"/>
      <family val="0"/>
      <charset val="1"/>
    </font>
    <font>
      <sz val="11"/>
      <color rgb="FF0000FF"/>
      <name val="Arial"/>
      <family val="0"/>
      <charset val="1"/>
    </font>
    <font>
      <sz val="10"/>
      <name val="FreeSans"/>
      <family val="2"/>
    </font>
    <font>
      <sz val="10"/>
      <name val="Arial"/>
      <family val="2"/>
    </font>
    <font>
      <b val="true"/>
      <sz val="14"/>
      <name val="Arial"/>
      <family val="0"/>
      <charset val="1"/>
    </font>
    <font>
      <sz val="11"/>
      <color rgb="FF008000"/>
      <name val="Arial"/>
      <family val="0"/>
      <charset val="1"/>
    </font>
    <font>
      <sz val="11"/>
      <color theme="1"/>
      <name val="FreeSans"/>
      <family val="2"/>
      <charset val="1"/>
    </font>
    <font>
      <b val="true"/>
      <sz val="14"/>
      <color rgb="FF1F2937"/>
      <name val="Arial"/>
      <family val="0"/>
      <charset val="1"/>
    </font>
    <font>
      <sz val="11"/>
      <color theme="1"/>
      <name val="FreeSans"/>
      <family val="2"/>
    </font>
    <font>
      <b val="true"/>
      <sz val="11"/>
      <color rgb="FF0000FF"/>
      <name val="Arial"/>
      <family val="0"/>
      <charset val="1"/>
    </font>
    <font>
      <b val="true"/>
      <sz val="10"/>
      <name val="Arial"/>
      <family val="0"/>
      <charset val="1"/>
    </font>
    <font>
      <b val="true"/>
      <sz val="9"/>
      <name val="Arial"/>
      <family val="0"/>
      <charset val="1"/>
    </font>
    <font>
      <sz val="9"/>
      <name val="Arial"/>
      <family val="0"/>
      <charset val="1"/>
    </font>
  </fonts>
  <fills count="11">
    <fill>
      <patternFill patternType="none"/>
    </fill>
    <fill>
      <patternFill patternType="gray125"/>
    </fill>
    <fill>
      <patternFill patternType="solid">
        <fgColor rgb="FFF3F4F6"/>
        <bgColor rgb="FFEFF6FF"/>
      </patternFill>
    </fill>
    <fill>
      <patternFill patternType="solid">
        <fgColor rgb="FFD9D9D9"/>
        <bgColor rgb="FFD1D5DB"/>
      </patternFill>
    </fill>
    <fill>
      <patternFill patternType="solid">
        <fgColor rgb="FF1F2937"/>
        <bgColor rgb="FF333300"/>
      </patternFill>
    </fill>
    <fill>
      <patternFill patternType="solid">
        <fgColor rgb="FFE5E7EB"/>
        <bgColor rgb="FFE8F0FE"/>
      </patternFill>
    </fill>
    <fill>
      <patternFill patternType="solid">
        <fgColor rgb="FFFFFF00"/>
        <bgColor rgb="FFFFCC00"/>
      </patternFill>
    </fill>
    <fill>
      <patternFill patternType="solid">
        <fgColor rgb="FFFFFF99"/>
        <bgColor rgb="FFFFEB9C"/>
      </patternFill>
    </fill>
    <fill>
      <patternFill patternType="solid">
        <fgColor rgb="FFFFC7CE"/>
        <bgColor rgb="FFD9D9D9"/>
      </patternFill>
    </fill>
    <fill>
      <patternFill patternType="solid">
        <fgColor rgb="FFE8F0FE"/>
        <bgColor rgb="FFEFF6FF"/>
      </patternFill>
    </fill>
    <fill>
      <patternFill patternType="solid">
        <fgColor rgb="FFEFF6FF"/>
        <bgColor rgb="FFF3F4F6"/>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6" fontId="6" fillId="2" borderId="1" xfId="0" applyFont="true" applyBorder="true" applyAlignment="true" applyProtection="false">
      <alignment horizontal="center" vertical="center" textRotation="0" wrapText="true" indent="0" shrinkToFit="false"/>
      <protection locked="true" hidden="false"/>
    </xf>
    <xf numFmtId="166" fontId="7" fillId="2"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true" applyProtection="false">
      <alignment horizontal="center" vertical="center" textRotation="0" wrapText="true" indent="0" shrinkToFit="false"/>
      <protection locked="true" hidden="false"/>
    </xf>
    <xf numFmtId="166" fontId="9" fillId="2" borderId="1"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right"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right" vertical="center" textRotation="0" wrapText="true" indent="0" shrinkToFit="false"/>
      <protection locked="true" hidden="false"/>
    </xf>
    <xf numFmtId="166" fontId="12" fillId="0" borderId="1" xfId="0" applyFont="true" applyBorder="true" applyAlignment="true" applyProtection="false">
      <alignment horizontal="right" vertical="center" textRotation="0" wrapText="true" indent="0" shrinkToFit="false"/>
      <protection locked="true" hidden="false"/>
    </xf>
    <xf numFmtId="167" fontId="12" fillId="0" borderId="1"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4" borderId="0" xfId="0" applyFont="true" applyBorder="false" applyAlignment="true" applyProtection="false">
      <alignment horizontal="center" vertical="center" textRotation="0" wrapText="true" indent="0" shrinkToFit="false"/>
      <protection locked="true" hidden="false"/>
    </xf>
    <xf numFmtId="164" fontId="23"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24" fillId="0" borderId="2" xfId="0" applyFont="true" applyBorder="true" applyAlignment="false" applyProtection="false">
      <alignment horizontal="general" vertical="bottom" textRotation="0" wrapText="false" indent="0" shrinkToFit="false"/>
      <protection locked="true" hidden="false"/>
    </xf>
    <xf numFmtId="168" fontId="24" fillId="0" borderId="2" xfId="0" applyFont="true" applyBorder="true" applyAlignment="true" applyProtection="false">
      <alignment horizontal="center" vertical="bottom" textRotation="0" wrapText="false" indent="0" shrinkToFit="false"/>
      <protection locked="true" hidden="false"/>
    </xf>
    <xf numFmtId="168" fontId="23" fillId="0" borderId="2" xfId="0" applyFont="true" applyBorder="true" applyAlignment="true" applyProtection="false">
      <alignment horizontal="center" vertical="bottom" textRotation="0" wrapText="false" indent="0" shrinkToFit="false"/>
      <protection locked="true" hidden="false"/>
    </xf>
    <xf numFmtId="169" fontId="24" fillId="0" borderId="2" xfId="0" applyFont="true" applyBorder="true" applyAlignment="true" applyProtection="false">
      <alignment horizontal="center" vertical="bottom" textRotation="0" wrapText="false" indent="0" shrinkToFit="false"/>
      <protection locked="true" hidden="false"/>
    </xf>
    <xf numFmtId="169" fontId="23" fillId="0" borderId="2" xfId="0" applyFont="true" applyBorder="true" applyAlignment="true" applyProtection="false">
      <alignment horizontal="center" vertical="bottom" textRotation="0" wrapText="false" indent="0" shrinkToFit="false"/>
      <protection locked="true" hidden="false"/>
    </xf>
    <xf numFmtId="165" fontId="24" fillId="0" borderId="2" xfId="0" applyFont="true" applyBorder="true" applyAlignment="true" applyProtection="false">
      <alignment horizontal="center" vertical="bottom" textRotation="0" wrapText="false" indent="0" shrinkToFit="false"/>
      <protection locked="true" hidden="false"/>
    </xf>
    <xf numFmtId="165" fontId="23" fillId="0" borderId="2" xfId="0" applyFont="true" applyBorder="true" applyAlignment="true" applyProtection="false">
      <alignment horizontal="center" vertical="bottom" textRotation="0" wrapText="false" indent="0" shrinkToFit="false"/>
      <protection locked="true" hidden="false"/>
    </xf>
    <xf numFmtId="170" fontId="24" fillId="0" borderId="2" xfId="0" applyFont="true" applyBorder="true" applyAlignment="true" applyProtection="false">
      <alignment horizontal="center" vertical="bottom" textRotation="0" wrapText="false" indent="0" shrinkToFit="false"/>
      <protection locked="true" hidden="false"/>
    </xf>
    <xf numFmtId="170" fontId="23" fillId="0" borderId="2" xfId="0" applyFont="true" applyBorder="true" applyAlignment="true" applyProtection="false">
      <alignment horizontal="center" vertical="bottom" textRotation="0" wrapText="false" indent="0" shrinkToFit="false"/>
      <protection locked="true" hidden="false"/>
    </xf>
    <xf numFmtId="166" fontId="24" fillId="0" borderId="2" xfId="0" applyFont="true" applyBorder="true" applyAlignment="true" applyProtection="false">
      <alignment horizontal="center" vertical="bottom" textRotation="0" wrapText="false" indent="0" shrinkToFit="false"/>
      <protection locked="true" hidden="false"/>
    </xf>
    <xf numFmtId="166" fontId="23" fillId="0" borderId="2" xfId="0" applyFont="true" applyBorder="true" applyAlignment="true" applyProtection="false">
      <alignment horizontal="center"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6" fillId="0" borderId="2" xfId="0" applyFont="true" applyBorder="true" applyAlignment="true" applyProtection="false">
      <alignment horizontal="right" vertical="bottom" textRotation="0" wrapText="false" indent="0" shrinkToFit="false"/>
      <protection locked="true" hidden="false"/>
    </xf>
    <xf numFmtId="171" fontId="26" fillId="0" borderId="2" xfId="0" applyFont="true" applyBorder="true" applyAlignment="true" applyProtection="false">
      <alignment horizontal="center" vertical="bottom" textRotation="0" wrapText="false" indent="0" shrinkToFit="false"/>
      <protection locked="true" hidden="false"/>
    </xf>
    <xf numFmtId="164" fontId="26" fillId="0" borderId="2" xfId="0" applyFont="true" applyBorder="true" applyAlignment="true" applyProtection="false">
      <alignment horizontal="center" vertical="bottom" textRotation="0" wrapText="false" indent="0" shrinkToFit="false"/>
      <protection locked="true" hidden="false"/>
    </xf>
    <xf numFmtId="172" fontId="26" fillId="0" borderId="2" xfId="0" applyFont="true" applyBorder="true" applyAlignment="true" applyProtection="false">
      <alignment horizontal="center" vertical="bottom" textRotation="0" wrapText="false" indent="0" shrinkToFit="false"/>
      <protection locked="true" hidden="false"/>
    </xf>
    <xf numFmtId="173" fontId="26" fillId="0" borderId="2" xfId="0" applyFont="true" applyBorder="true" applyAlignment="true" applyProtection="false">
      <alignment horizontal="center" vertical="bottom" textRotation="0" wrapText="false" indent="0" shrinkToFit="false"/>
      <protection locked="true" hidden="false"/>
    </xf>
    <xf numFmtId="165" fontId="26" fillId="0" borderId="2"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right" vertical="top" textRotation="0" wrapText="tru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right"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right" vertical="bottom" textRotation="0" wrapText="true" indent="0" shrinkToFit="false"/>
      <protection locked="true" hidden="false"/>
    </xf>
    <xf numFmtId="164" fontId="29" fillId="6" borderId="1" xfId="0" applyFont="true" applyBorder="true" applyAlignment="true" applyProtection="false">
      <alignment horizontal="right" vertical="center" textRotation="0" wrapText="true" indent="0" shrinkToFit="false"/>
      <protection locked="true" hidden="false"/>
    </xf>
    <xf numFmtId="174" fontId="12" fillId="0" borderId="1" xfId="0" applyFont="true" applyBorder="true" applyAlignment="true" applyProtection="false">
      <alignment horizontal="right" vertical="center" textRotation="0" wrapText="true" indent="0" shrinkToFit="false"/>
      <protection locked="true" hidden="false"/>
    </xf>
    <xf numFmtId="167" fontId="12" fillId="7" borderId="1" xfId="0" applyFont="true" applyBorder="true" applyAlignment="true" applyProtection="false">
      <alignment horizontal="right" vertical="center" textRotation="0" wrapText="true" indent="0" shrinkToFit="false"/>
      <protection locked="true" hidden="false"/>
    </xf>
    <xf numFmtId="164" fontId="29" fillId="0" borderId="1" xfId="0" applyFont="true" applyBorder="true" applyAlignment="true" applyProtection="false">
      <alignment horizontal="right" vertical="center" textRotation="0" wrapText="true" indent="0" shrinkToFit="false"/>
      <protection locked="true" hidden="false"/>
    </xf>
    <xf numFmtId="167" fontId="29" fillId="0" borderId="1" xfId="0" applyFont="true" applyBorder="true" applyAlignment="true" applyProtection="false">
      <alignment horizontal="right" vertical="center" textRotation="0" wrapText="true" indent="0" shrinkToFit="false"/>
      <protection locked="true" hidden="false"/>
    </xf>
    <xf numFmtId="174" fontId="29" fillId="0" borderId="1" xfId="0" applyFont="true" applyBorder="true" applyAlignment="true" applyProtection="false">
      <alignment horizontal="right" vertical="center" textRotation="0" wrapText="tru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right" vertical="top" textRotation="0" wrapText="tru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75" fontId="29" fillId="0" borderId="0" xfId="0" applyFont="true" applyBorder="false" applyAlignment="true" applyProtection="false">
      <alignment horizontal="center" vertical="bottom" textRotation="0" wrapText="false" indent="0" shrinkToFit="false"/>
      <protection locked="true" hidden="false"/>
    </xf>
    <xf numFmtId="175" fontId="12" fillId="0" borderId="0" xfId="0" applyFont="true" applyBorder="false" applyAlignment="true" applyProtection="false">
      <alignment horizontal="center" vertical="bottom" textRotation="0" wrapText="false" indent="0" shrinkToFit="false"/>
      <protection locked="true" hidden="false"/>
    </xf>
    <xf numFmtId="176" fontId="12" fillId="0" borderId="0" xfId="0" applyFont="true" applyBorder="false" applyAlignment="true" applyProtection="false">
      <alignment horizontal="center" vertical="bottom" textRotation="0" wrapText="false" indent="0" shrinkToFit="false"/>
      <protection locked="true" hidden="false"/>
    </xf>
    <xf numFmtId="164" fontId="12" fillId="7" borderId="0" xfId="0" applyFont="true" applyBorder="false" applyAlignment="true" applyProtection="false">
      <alignment horizontal="right" vertical="bottom" textRotation="0" wrapText="false" indent="0" shrinkToFit="false"/>
      <protection locked="true" hidden="false"/>
    </xf>
    <xf numFmtId="164" fontId="12" fillId="8" borderId="0" xfId="0" applyFont="true" applyBorder="false" applyAlignment="true" applyProtection="false">
      <alignment horizontal="right"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right" vertical="bottom" textRotation="0" wrapText="false" indent="0" shrinkToFit="false"/>
      <protection locked="true" hidden="false"/>
    </xf>
    <xf numFmtId="175" fontId="24" fillId="0" borderId="0" xfId="0" applyFont="true" applyBorder="false" applyAlignment="true" applyProtection="false">
      <alignment horizontal="center" vertical="bottom" textRotation="0" wrapText="false" indent="0" shrinkToFit="false"/>
      <protection locked="true" hidden="false"/>
    </xf>
    <xf numFmtId="176" fontId="24" fillId="0" borderId="0" xfId="0" applyFont="true" applyBorder="false" applyAlignment="true" applyProtection="false">
      <alignment horizontal="center" vertical="bottom" textRotation="0" wrapText="false" indent="0" shrinkToFit="false"/>
      <protection locked="true" hidden="false"/>
    </xf>
    <xf numFmtId="167" fontId="29" fillId="7" borderId="1" xfId="0" applyFont="true" applyBorder="true" applyAlignment="true" applyProtection="false">
      <alignment horizontal="right" vertical="center" textRotation="0" wrapText="true" indent="0" shrinkToFit="false"/>
      <protection locked="true" hidden="false"/>
    </xf>
    <xf numFmtId="164" fontId="29" fillId="9" borderId="1" xfId="0" applyFont="true" applyBorder="true" applyAlignment="true" applyProtection="false">
      <alignment horizontal="right" vertical="center" textRotation="0" wrapText="true" indent="0" shrinkToFit="false"/>
      <protection locked="true" hidden="false"/>
    </xf>
    <xf numFmtId="164" fontId="33" fillId="9" borderId="1" xfId="0" applyFont="true" applyBorder="true" applyAlignment="true" applyProtection="false">
      <alignment horizontal="right" vertical="center" textRotation="0" wrapText="true" indent="0" shrinkToFit="false"/>
      <protection locked="true" hidden="false"/>
    </xf>
    <xf numFmtId="167" fontId="33" fillId="9" borderId="1" xfId="0" applyFont="true" applyBorder="true" applyAlignment="true" applyProtection="false">
      <alignment horizontal="right" vertical="center" textRotation="0" wrapText="true" indent="0" shrinkToFit="false"/>
      <protection locked="true" hidden="false"/>
    </xf>
    <xf numFmtId="167" fontId="12" fillId="9" borderId="1" xfId="0" applyFont="true" applyBorder="true" applyAlignment="true" applyProtection="false">
      <alignment horizontal="right" vertical="center" textRotation="0" wrapText="true" indent="0" shrinkToFit="false"/>
      <protection locked="true" hidden="false"/>
    </xf>
    <xf numFmtId="164" fontId="33" fillId="0" borderId="1" xfId="0" applyFont="true" applyBorder="true" applyAlignment="true" applyProtection="false">
      <alignment horizontal="right" vertical="center" textRotation="0" wrapText="true" indent="0" shrinkToFit="false"/>
      <protection locked="true" hidden="false"/>
    </xf>
    <xf numFmtId="167" fontId="33" fillId="0" borderId="1" xfId="0" applyFont="true" applyBorder="true" applyAlignment="true" applyProtection="false">
      <alignment horizontal="right" vertical="center"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6" fontId="29" fillId="6" borderId="1" xfId="0" applyFont="true" applyBorder="true" applyAlignment="true" applyProtection="false">
      <alignment horizontal="center" vertical="center" textRotation="0" wrapText="true" indent="0" shrinkToFit="false"/>
      <protection locked="true" hidden="false"/>
    </xf>
    <xf numFmtId="177" fontId="12" fillId="0" borderId="1" xfId="0" applyFont="true" applyBorder="true" applyAlignment="true" applyProtection="false">
      <alignment horizontal="right" vertical="center" textRotation="0" wrapText="true" indent="0" shrinkToFit="false"/>
      <protection locked="true" hidden="false"/>
    </xf>
    <xf numFmtId="178" fontId="29" fillId="6" borderId="1" xfId="0" applyFont="true" applyBorder="true" applyAlignment="true" applyProtection="false">
      <alignment horizontal="center" vertical="center" textRotation="0" wrapText="true" indent="0" shrinkToFit="false"/>
      <protection locked="true" hidden="false"/>
    </xf>
    <xf numFmtId="166" fontId="33" fillId="0" borderId="1" xfId="0" applyFont="true" applyBorder="true" applyAlignment="true" applyProtection="false">
      <alignment horizontal="center" vertical="center" textRotation="0" wrapText="true" indent="0" shrinkToFit="false"/>
      <protection locked="true" hidden="false"/>
    </xf>
    <xf numFmtId="178" fontId="33" fillId="0" borderId="1" xfId="0" applyFont="true" applyBorder="true" applyAlignment="true" applyProtection="false">
      <alignment horizontal="center" vertical="center" textRotation="0" wrapText="true" indent="0" shrinkToFit="false"/>
      <protection locked="true" hidden="false"/>
    </xf>
    <xf numFmtId="167" fontId="29" fillId="9" borderId="1" xfId="0" applyFont="true" applyBorder="true" applyAlignment="true" applyProtection="false">
      <alignment horizontal="right" vertical="center" textRotation="0" wrapText="true" indent="0" shrinkToFit="false"/>
      <protection locked="true" hidden="false"/>
    </xf>
    <xf numFmtId="166" fontId="12" fillId="9" borderId="1" xfId="0" applyFont="true" applyBorder="true" applyAlignment="true" applyProtection="false">
      <alignment horizontal="right" vertical="center" textRotation="0" wrapText="true" indent="0" shrinkToFit="false"/>
      <protection locked="true" hidden="false"/>
    </xf>
    <xf numFmtId="164" fontId="35" fillId="0" borderId="0" xfId="0" applyFont="true" applyBorder="true" applyAlignment="true" applyProtection="false">
      <alignment horizontal="general" vertical="bottom" textRotation="0" wrapText="false" indent="0" shrinkToFit="false"/>
      <protection locked="true" hidden="false"/>
    </xf>
    <xf numFmtId="179" fontId="29" fillId="0" borderId="1" xfId="0" applyFont="true" applyBorder="true" applyAlignment="true" applyProtection="false">
      <alignment horizontal="right" vertical="center" textRotation="0" wrapText="true" indent="0" shrinkToFit="false"/>
      <protection locked="true" hidden="false"/>
    </xf>
    <xf numFmtId="179" fontId="12" fillId="0" borderId="1" xfId="0" applyFont="true" applyBorder="true" applyAlignment="true" applyProtection="false">
      <alignment horizontal="right" vertical="center" textRotation="0" wrapText="true" indent="0" shrinkToFit="false"/>
      <protection locked="true" hidden="false"/>
    </xf>
    <xf numFmtId="167" fontId="29" fillId="6" borderId="1" xfId="0" applyFont="true" applyBorder="true" applyAlignment="true" applyProtection="false">
      <alignment horizontal="right" vertical="center" textRotation="0" wrapText="true" indent="0" shrinkToFit="false"/>
      <protection locked="true" hidden="false"/>
    </xf>
    <xf numFmtId="164" fontId="0" fillId="0" borderId="1" xfId="0" applyFont="false" applyBorder="true" applyAlignment="true" applyProtection="false">
      <alignment horizontal="right" vertical="center"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7" fontId="10" fillId="3" borderId="1" xfId="0" applyFont="true" applyBorder="true" applyAlignment="true" applyProtection="false">
      <alignment horizontal="general" vertical="bottom" textRotation="0" wrapText="false" indent="0" shrinkToFit="false"/>
      <protection locked="true" hidden="false"/>
    </xf>
    <xf numFmtId="166" fontId="33" fillId="0" borderId="1" xfId="0" applyFont="true" applyBorder="true" applyAlignment="true" applyProtection="false">
      <alignment horizontal="right" vertical="center" textRotation="0" wrapText="true" indent="0" shrinkToFit="false"/>
      <protection locked="true" hidden="false"/>
    </xf>
    <xf numFmtId="166" fontId="29" fillId="6" borderId="1" xfId="0" applyFont="true" applyBorder="true" applyAlignment="true" applyProtection="false">
      <alignment horizontal="right" vertical="center" textRotation="0" wrapText="true" indent="0" shrinkToFit="false"/>
      <protection locked="true" hidden="false"/>
    </xf>
    <xf numFmtId="167" fontId="33" fillId="7" borderId="1" xfId="0" applyFont="true" applyBorder="true" applyAlignment="true" applyProtection="false">
      <alignment horizontal="right" vertical="center" textRotation="0" wrapText="true" indent="0" shrinkToFit="false"/>
      <protection locked="true" hidden="false"/>
    </xf>
    <xf numFmtId="166" fontId="0" fillId="0" borderId="1" xfId="0" applyFont="false" applyBorder="true" applyAlignment="true" applyProtection="false">
      <alignment horizontal="right"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74" fontId="29" fillId="7"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6" fontId="29" fillId="7" borderId="0" xfId="0" applyFont="true" applyBorder="false" applyAlignment="false" applyProtection="false">
      <alignment horizontal="general" vertical="bottom" textRotation="0" wrapText="false" indent="0" shrinkToFit="false"/>
      <protection locked="true" hidden="false"/>
    </xf>
    <xf numFmtId="164" fontId="29" fillId="7"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false" applyAlignment="true" applyProtection="false">
      <alignment horizontal="center" vertical="bottom" textRotation="0" wrapText="false" indent="0" shrinkToFit="false"/>
      <protection locked="true" hidden="false"/>
    </xf>
    <xf numFmtId="167" fontId="24" fillId="0" borderId="0" xfId="0" applyFont="true" applyBorder="false" applyAlignment="true" applyProtection="false">
      <alignment horizontal="center" vertical="bottom" textRotation="0" wrapText="false" indent="0" shrinkToFit="false"/>
      <protection locked="true" hidden="false"/>
    </xf>
    <xf numFmtId="164" fontId="29" fillId="7" borderId="0" xfId="0" applyFont="true" applyBorder="false" applyAlignment="true" applyProtection="false">
      <alignment horizontal="center" vertical="bottom" textRotation="0" wrapText="false" indent="0" shrinkToFit="false"/>
      <protection locked="true" hidden="false"/>
    </xf>
    <xf numFmtId="180" fontId="29" fillId="0" borderId="0" xfId="0" applyFont="true" applyBorder="false" applyAlignment="true" applyProtection="false">
      <alignment horizontal="center" vertical="bottom" textRotation="0" wrapText="false" indent="0" shrinkToFit="false"/>
      <protection locked="true" hidden="false"/>
    </xf>
    <xf numFmtId="172" fontId="24" fillId="0" borderId="0" xfId="0" applyFont="true" applyBorder="false" applyAlignment="true" applyProtection="false">
      <alignment horizontal="center" vertical="bottom" textRotation="0" wrapText="false" indent="0" shrinkToFit="false"/>
      <protection locked="true" hidden="false"/>
    </xf>
    <xf numFmtId="165" fontId="23"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7" fontId="29"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37" fillId="7" borderId="0" xfId="0" applyFont="true" applyBorder="false" applyAlignment="false" applyProtection="false">
      <alignment horizontal="general" vertical="bottom" textRotation="0" wrapText="false" indent="0" shrinkToFit="false"/>
      <protection locked="true" hidden="false"/>
    </xf>
    <xf numFmtId="181" fontId="26" fillId="0" borderId="2" xfId="0" applyFont="true" applyBorder="true" applyAlignment="true" applyProtection="false">
      <alignment horizontal="center" vertical="bottom" textRotation="0" wrapText="false" indent="0" shrinkToFit="false"/>
      <protection locked="true" hidden="false"/>
    </xf>
    <xf numFmtId="180" fontId="26" fillId="0" borderId="2" xfId="0" applyFont="true" applyBorder="true" applyAlignment="true" applyProtection="false">
      <alignment horizontal="center" vertical="bottom" textRotation="0" wrapText="false" indent="0" shrinkToFit="false"/>
      <protection locked="true" hidden="false"/>
    </xf>
    <xf numFmtId="180" fontId="26" fillId="10" borderId="2" xfId="0" applyFont="true" applyBorder="true" applyAlignment="true" applyProtection="false">
      <alignment horizontal="center" vertical="bottom" textRotation="0" wrapText="false" indent="0" shrinkToFit="false"/>
      <protection locked="true" hidden="false"/>
    </xf>
    <xf numFmtId="176" fontId="26" fillId="0" borderId="2" xfId="0" applyFont="true" applyBorder="true" applyAlignment="true" applyProtection="false">
      <alignment horizontal="center" vertical="bottom" textRotation="0" wrapText="false" indent="0" shrinkToFit="false"/>
      <protection locked="true" hidden="false"/>
    </xf>
    <xf numFmtId="172" fontId="23" fillId="0" borderId="0" xfId="0" applyFont="true" applyBorder="false" applyAlignment="false" applyProtection="false">
      <alignment horizontal="general" vertical="bottom" textRotation="0" wrapText="false" indent="0" shrinkToFit="false"/>
      <protection locked="true" hidden="false"/>
    </xf>
    <xf numFmtId="180" fontId="38" fillId="0" borderId="2" xfId="0" applyFont="true" applyBorder="true" applyAlignment="true" applyProtection="false">
      <alignment horizontal="center" vertical="bottom" textRotation="0" wrapText="false" indent="0" shrinkToFit="false"/>
      <protection locked="true" hidden="false"/>
    </xf>
    <xf numFmtId="164" fontId="39" fillId="0" borderId="0" xfId="0" applyFont="true" applyBorder="false" applyAlignment="true" applyProtection="false">
      <alignment horizontal="center" vertical="bottom" textRotation="0" wrapText="tru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82" fontId="0" fillId="0" borderId="0" xfId="0" applyFont="false" applyBorder="false" applyAlignment="false" applyProtection="false">
      <alignment horizontal="general" vertical="bottom" textRotation="0" wrapText="false" indent="0" shrinkToFit="false"/>
      <protection locked="true" hidden="false"/>
    </xf>
    <xf numFmtId="183"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bgColor rgb="FFFFC7CE"/>
        </patternFill>
      </fill>
    </dxf>
    <dxf>
      <fill>
        <patternFill patternType="solid">
          <fgColor rgb="FF1F293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C7CE"/>
          <bgColor rgb="FF000000"/>
        </patternFill>
      </fill>
    </dxf>
    <dxf>
      <fill>
        <patternFill patternType="solid">
          <fgColor rgb="FFFFFF99"/>
          <bgColor rgb="FF000000"/>
        </patternFill>
      </fill>
    </dxf>
    <dxf>
      <fill>
        <patternFill>
          <bgColor rgb="FFC6EFCE"/>
        </patternFill>
      </fill>
    </dxf>
    <dxf>
      <fill>
        <patternFill>
          <bgColor rgb="FFFFEB9C"/>
        </patternFill>
      </fill>
    </dxf>
    <dxf>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BDD7EE"/>
        </patternFill>
      </fill>
    </dxf>
    <dxf>
      <fill>
        <patternFill patternType="solid">
          <fgColor rgb="FFEFF6FF"/>
          <bgColor rgb="FF000000"/>
        </patternFill>
      </fill>
    </dxf>
    <dxf>
      <fill>
        <patternFill>
          <bgColor rgb="FFFFEB9C"/>
        </patternFill>
      </fill>
    </dxf>
    <dxf>
      <fill>
        <patternFill>
          <bgColor rgb="FFC6EFCE"/>
        </patternFill>
      </fill>
    </dxf>
  </dxfs>
  <colors>
    <indexedColors>
      <rgbColor rgb="FF000000"/>
      <rgbColor rgb="FFFFFFFF"/>
      <rgbColor rgb="FFDC2626"/>
      <rgbColor rgb="FF00FF00"/>
      <rgbColor rgb="FF0000FF"/>
      <rgbColor rgb="FFFFFF00"/>
      <rgbColor rgb="FFFF00FF"/>
      <rgbColor rgb="FF00FFFF"/>
      <rgbColor rgb="FF9C0006"/>
      <rgbColor rgb="FF008000"/>
      <rgbColor rgb="FF000080"/>
      <rgbColor rgb="FF9C6500"/>
      <rgbColor rgb="FF800080"/>
      <rgbColor rgb="FF4F81BD"/>
      <rgbColor rgb="FFB7B7B7"/>
      <rgbColor rgb="FF878787"/>
      <rgbColor rgb="FF9999FF"/>
      <rgbColor rgb="FFC0504D"/>
      <rgbColor rgb="FFF3F4F6"/>
      <rgbColor rgb="FFE8F0FE"/>
      <rgbColor rgb="FF660066"/>
      <rgbColor rgb="FFFF8080"/>
      <rgbColor rgb="FF0066CC"/>
      <rgbColor rgb="FFBDD7EE"/>
      <rgbColor rgb="FF000080"/>
      <rgbColor rgb="FFFF00FF"/>
      <rgbColor rgb="FFFFEB9C"/>
      <rgbColor rgb="FF00FFFF"/>
      <rgbColor rgb="FF800080"/>
      <rgbColor rgb="FF800000"/>
      <rgbColor rgb="FF008080"/>
      <rgbColor rgb="FF0000FF"/>
      <rgbColor rgb="FF00CCFF"/>
      <rgbColor rgb="FFEFF6FF"/>
      <rgbColor rgb="FFC6EFCE"/>
      <rgbColor rgb="FFFFFF99"/>
      <rgbColor rgb="FFD1D5DB"/>
      <rgbColor rgb="FFE5E7EB"/>
      <rgbColor rgb="FFD9D9D9"/>
      <rgbColor rgb="FFFFC7CE"/>
      <rgbColor rgb="FF1F6FEB"/>
      <rgbColor rgb="FF33CCCC"/>
      <rgbColor rgb="FF99CC00"/>
      <rgbColor rgb="FFFFCC00"/>
      <rgbColor rgb="FFFF9900"/>
      <rgbColor rgb="FFFF6600"/>
      <rgbColor rgb="FF6B7280"/>
      <rgbColor rgb="FFB3B3B3"/>
      <rgbColor rgb="FF003366"/>
      <rgbColor rgb="FF16A34A"/>
      <rgbColor rgb="FF006100"/>
      <rgbColor rgb="FF333300"/>
      <rgbColor rgb="FF993300"/>
      <rgbColor rgb="FF9333EA"/>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متوسط % تكلفة الطعام حسب القسم</a:t>
            </a:r>
          </a:p>
        </c:rich>
      </c:tx>
      <c:overlay val="0"/>
      <c:spPr>
        <a:noFill/>
        <a:ln w="0">
          <a:noFill/>
        </a:ln>
      </c:spPr>
    </c:title>
    <c:autoTitleDeleted val="0"/>
    <c:plotArea>
      <c:barChart>
        <c:barDir val="col"/>
        <c:grouping val="clustered"/>
        <c:varyColors val="0"/>
        <c:ser>
          <c:idx val="0"/>
          <c:order val="0"/>
          <c:tx>
            <c:strRef>
              <c:f>'لوحة التحكم'!C7</c:f>
              <c:strCache>
                <c:ptCount val="1"/>
                <c:pt idx="0">
                  <c:v>متوسط % تكلفة الطعام</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التحكم'!$A$8:$A$20</c:f>
              <c:strCache>
                <c:ptCount val="13"/>
                <c:pt idx="0">
                  <c:v>قسم البيتزا</c:v>
                </c:pt>
                <c:pt idx="1">
                  <c:v>قسم الفطير الحادق</c:v>
                </c:pt>
                <c:pt idx="2">
                  <c:v>قسم الفطير الحلو</c:v>
                </c:pt>
                <c:pt idx="3">
                  <c:v>قسم البرجر</c:v>
                </c:pt>
                <c:pt idx="4">
                  <c:v>قسم المكرونات</c:v>
                </c:pt>
                <c:pt idx="5">
                  <c:v>قسم الكريب</c:v>
                </c:pt>
                <c:pt idx="6">
                  <c:v>قسم البطاطس</c:v>
                </c:pt>
                <c:pt idx="7">
                  <c:v>قسم البيتزا الصيامي</c:v>
                </c:pt>
                <c:pt idx="8">
                  <c:v>قسم الفطير الحادق الصيامي</c:v>
                </c:pt>
                <c:pt idx="9">
                  <c:v>قسم الفطير الحلو الصيامي</c:v>
                </c:pt>
                <c:pt idx="10">
                  <c:v>قسم البرجر الصيامي</c:v>
                </c:pt>
                <c:pt idx="11">
                  <c:v>قسم المكرونات الصيامي</c:v>
                </c:pt>
                <c:pt idx="12">
                  <c:v>قسم الكريب الصيامي</c:v>
                </c:pt>
              </c:strCache>
            </c:strRef>
          </c:cat>
          <c:val>
            <c:numRef>
              <c:f>'لوحة التحكم'!$C$8:$C$19</c:f>
              <c:numCache>
                <c:formatCode>0.0%</c:formatCode>
                <c:ptCount val="12"/>
                <c:pt idx="0">
                  <c:v>0.515786970175194</c:v>
                </c:pt>
                <c:pt idx="1">
                  <c:v>0.513523342816414</c:v>
                </c:pt>
                <c:pt idx="2">
                  <c:v>0.521445946199634</c:v>
                </c:pt>
                <c:pt idx="3">
                  <c:v>0.538281880013369</c:v>
                </c:pt>
                <c:pt idx="4">
                  <c:v>0.534887567398177</c:v>
                </c:pt>
                <c:pt idx="5">
                  <c:v>0.596556850405486</c:v>
                </c:pt>
                <c:pt idx="6">
                  <c:v>0.42991955952381</c:v>
                </c:pt>
                <c:pt idx="7">
                  <c:v>0.450000521454293</c:v>
                </c:pt>
                <c:pt idx="8">
                  <c:v>0.43161676007867</c:v>
                </c:pt>
                <c:pt idx="9">
                  <c:v>0.395458837142857</c:v>
                </c:pt>
                <c:pt idx="10">
                  <c:v>0.415925413602941</c:v>
                </c:pt>
                <c:pt idx="11">
                  <c:v>0.442230549230769</c:v>
                </c:pt>
              </c:numCache>
            </c:numRef>
          </c:val>
        </c:ser>
        <c:gapWidth val="150"/>
        <c:overlap val="0"/>
        <c:axId val="16400502"/>
        <c:axId val="94758075"/>
      </c:barChart>
      <c:catAx>
        <c:axId val="1640050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القسم</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758075"/>
        <c:crosses val="autoZero"/>
        <c:auto val="1"/>
        <c:lblAlgn val="ctr"/>
        <c:lblOffset val="100"/>
        <c:noMultiLvlLbl val="0"/>
      </c:catAx>
      <c:valAx>
        <c:axId val="9475807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40050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العجز والزيادة (جنيه) - تراكمي</a:t>
            </a:r>
          </a:p>
        </c:rich>
      </c:tx>
      <c:overlay val="0"/>
      <c:spPr>
        <a:noFill/>
        <a:ln w="0">
          <a:noFill/>
        </a:ln>
      </c:spPr>
    </c:title>
    <c:autoTitleDeleted val="0"/>
    <c:plotArea>
      <c:barChart>
        <c:barDir val="col"/>
        <c:grouping val="clustered"/>
        <c:varyColors val="0"/>
        <c:ser>
          <c:idx val="0"/>
          <c:order val="0"/>
          <c:tx>
            <c:strRef>
              <c:f>'داشبورد المخزون'!A11</c:f>
              <c:strCache>
                <c:ptCount val="1"/>
                <c:pt idx="0">
                  <c:v>إجمالي العجز (جنيه)</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'داشبورد المخزون'!$B$5:$D$5</c:f>
              <c:strCache>
                <c:ptCount val="3"/>
                <c:pt idx="0">
                  <c:v>محرم بك</c:v>
                </c:pt>
                <c:pt idx="1">
                  <c:v>ابراهيمية</c:v>
                </c:pt>
                <c:pt idx="2">
                  <c:v>عصافرة</c:v>
                </c:pt>
              </c:strCache>
            </c:strRef>
          </c:cat>
          <c:val>
            <c:numRef>
              <c:f>'داشبورد المخزون'!$B$11:$D$11</c:f>
              <c:numCache>
                <c:formatCode>#,##0;\(#,##0\);\-</c:formatCode>
                <c:ptCount val="3"/>
                <c:pt idx="0">
                  <c:v>0</c:v>
                </c:pt>
                <c:pt idx="1">
                  <c:v>0</c:v>
                </c:pt>
                <c:pt idx="2">
                  <c:v>0</c:v>
                </c:pt>
              </c:numCache>
            </c:numRef>
          </c:val>
        </c:ser>
        <c:ser>
          <c:idx val="1"/>
          <c:order val="1"/>
          <c:tx>
            <c:strRef>
              <c:f>'داشبورد المخزون'!A12</c:f>
              <c:strCache>
                <c:ptCount val="1"/>
                <c:pt idx="0">
                  <c:v>إجمالي الزيادة (جنيه)</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'داشبورد المخزون'!$B$5:$D$5</c:f>
              <c:strCache>
                <c:ptCount val="3"/>
                <c:pt idx="0">
                  <c:v>محرم بك</c:v>
                </c:pt>
                <c:pt idx="1">
                  <c:v>ابراهيمية</c:v>
                </c:pt>
                <c:pt idx="2">
                  <c:v>عصافرة</c:v>
                </c:pt>
              </c:strCache>
            </c:strRef>
          </c:cat>
          <c:val>
            <c:numRef>
              <c:f>'داشبورد المخزون'!$B$12:$D$12</c:f>
              <c:numCache>
                <c:formatCode>#,##0;\(#,##0\);\-</c:formatCode>
                <c:ptCount val="3"/>
                <c:pt idx="0">
                  <c:v>0</c:v>
                </c:pt>
                <c:pt idx="1">
                  <c:v>0</c:v>
                </c:pt>
                <c:pt idx="2">
                  <c:v>0</c:v>
                </c:pt>
              </c:numCache>
            </c:numRef>
          </c:val>
        </c:ser>
        <c:gapWidth val="150"/>
        <c:overlap val="0"/>
        <c:axId val="92888590"/>
        <c:axId val="90550832"/>
      </c:barChart>
      <c:catAx>
        <c:axId val="9288859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0550832"/>
        <c:crosses val="autoZero"/>
        <c:auto val="1"/>
        <c:lblAlgn val="ctr"/>
        <c:lblOffset val="100"/>
        <c:noMultiLvlLbl val="0"/>
      </c:catAx>
      <c:valAx>
        <c:axId val="90550832"/>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288859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معدل الانحراف % لكل فرع</a:t>
            </a:r>
          </a:p>
        </c:rich>
      </c:tx>
      <c:overlay val="0"/>
      <c:spPr>
        <a:noFill/>
        <a:ln w="0">
          <a:noFill/>
        </a:ln>
      </c:spPr>
    </c:title>
    <c:autoTitleDeleted val="0"/>
    <c:plotArea>
      <c:barChart>
        <c:barDir val="col"/>
        <c:grouping val="clustered"/>
        <c:varyColors val="0"/>
        <c:ser>
          <c:idx val="0"/>
          <c:order val="0"/>
          <c:tx>
            <c:strRef>
              <c:f>'داشبورد المخزون'!A14</c:f>
              <c:strCache>
                <c:ptCount val="1"/>
                <c:pt idx="0">
                  <c:v>معدل الانحراف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'داشبورد المخزون'!$B$5:$D$5</c:f>
              <c:strCache>
                <c:ptCount val="3"/>
                <c:pt idx="0">
                  <c:v>محرم بك</c:v>
                </c:pt>
                <c:pt idx="1">
                  <c:v>ابراهيمية</c:v>
                </c:pt>
                <c:pt idx="2">
                  <c:v>عصافرة</c:v>
                </c:pt>
              </c:strCache>
            </c:strRef>
          </c:cat>
          <c:val>
            <c:numRef>
              <c:f>'داشبورد المخزون'!$B$14:$D$14</c:f>
              <c:numCache>
                <c:formatCode>0.0%</c:formatCode>
                <c:ptCount val="3"/>
                <c:pt idx="0">
                  <c:v>0</c:v>
                </c:pt>
                <c:pt idx="1">
                  <c:v>0</c:v>
                </c:pt>
                <c:pt idx="2">
                  <c:v>0</c:v>
                </c:pt>
              </c:numCache>
            </c:numRef>
          </c:val>
        </c:ser>
        <c:gapWidth val="150"/>
        <c:overlap val="0"/>
        <c:axId val="83261419"/>
        <c:axId val="2926962"/>
      </c:barChart>
      <c:catAx>
        <c:axId val="8326141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926962"/>
        <c:crosses val="autoZero"/>
        <c:auto val="1"/>
        <c:lblAlgn val="ctr"/>
        <c:lblOffset val="100"/>
        <c:noMultiLvlLbl val="0"/>
      </c:catAx>
      <c:valAx>
        <c:axId val="2926962"/>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326141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الإيراد اليومي لكل فرع</a:t>
            </a:r>
          </a:p>
        </c:rich>
      </c:tx>
      <c:overlay val="0"/>
      <c:spPr>
        <a:noFill/>
        <a:ln w="0">
          <a:noFill/>
        </a:ln>
      </c:spPr>
    </c:title>
    <c:autoTitleDeleted val="0"/>
    <c:plotArea>
      <c:lineChart>
        <c:grouping val="standard"/>
        <c:varyColors val="0"/>
        <c:ser>
          <c:idx val="0"/>
          <c:order val="0"/>
          <c:tx>
            <c:strRef>
              <c:f>'داشبورد المخزون'!B71</c:f>
              <c:strCache>
                <c:ptCount val="1"/>
                <c:pt idx="0">
                  <c:v>إيراد محرم بك</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'داشبورد المخزون'!$A$72:$A$102</c:f>
              <c:strCache>
                <c:ptCount val="31"/>
                <c:pt idx="0">
                  <c:v>01-10</c:v>
                </c:pt>
                <c:pt idx="1">
                  <c:v>02-10</c:v>
                </c:pt>
                <c:pt idx="2">
                  <c:v>03-10</c:v>
                </c:pt>
                <c:pt idx="3">
                  <c:v>04-10</c:v>
                </c:pt>
                <c:pt idx="4">
                  <c:v>05-10</c:v>
                </c:pt>
                <c:pt idx="5">
                  <c:v>06-10</c:v>
                </c:pt>
                <c:pt idx="6">
                  <c:v>07-10</c:v>
                </c:pt>
                <c:pt idx="7">
                  <c:v>08-10</c:v>
                </c:pt>
                <c:pt idx="8">
                  <c:v>09-10</c:v>
                </c:pt>
                <c:pt idx="9">
                  <c:v>10-10</c:v>
                </c:pt>
                <c:pt idx="10">
                  <c:v>11-10</c:v>
                </c:pt>
                <c:pt idx="11">
                  <c:v>12-10</c:v>
                </c:pt>
                <c:pt idx="12">
                  <c:v>13-10</c:v>
                </c:pt>
                <c:pt idx="13">
                  <c:v>14-10</c:v>
                </c:pt>
                <c:pt idx="14">
                  <c:v>15-10</c:v>
                </c:pt>
                <c:pt idx="15">
                  <c:v>16-10</c:v>
                </c:pt>
                <c:pt idx="16">
                  <c:v>17-10</c:v>
                </c:pt>
                <c:pt idx="17">
                  <c:v>18-10</c:v>
                </c:pt>
                <c:pt idx="18">
                  <c:v>19-10</c:v>
                </c:pt>
                <c:pt idx="19">
                  <c:v>20-10</c:v>
                </c:pt>
                <c:pt idx="20">
                  <c:v>21-10</c:v>
                </c:pt>
                <c:pt idx="21">
                  <c:v>22-10</c:v>
                </c:pt>
                <c:pt idx="22">
                  <c:v>23-10</c:v>
                </c:pt>
                <c:pt idx="23">
                  <c:v>24-10</c:v>
                </c:pt>
                <c:pt idx="24">
                  <c:v>25-10</c:v>
                </c:pt>
                <c:pt idx="25">
                  <c:v>26-10</c:v>
                </c:pt>
                <c:pt idx="26">
                  <c:v>27-10</c:v>
                </c:pt>
                <c:pt idx="27">
                  <c:v>28-10</c:v>
                </c:pt>
                <c:pt idx="28">
                  <c:v>29-10</c:v>
                </c:pt>
                <c:pt idx="29">
                  <c:v>30-10</c:v>
                </c:pt>
                <c:pt idx="30">
                  <c:v>31-10</c:v>
                </c:pt>
              </c:strCache>
            </c:strRef>
          </c:cat>
          <c:val>
            <c:numRef>
              <c:f>'داشبورد المخزون'!$B$72:$B$102</c:f>
              <c:numCache>
                <c:formatCode>#,##0</c:formatCode>
                <c:ptCount val="31"/>
                <c:pt idx="0">
                  <c:v>25466.22818358</c:v>
                </c:pt>
                <c:pt idx="1">
                  <c:v>25466.22818358</c:v>
                </c:pt>
                <c:pt idx="2">
                  <c:v>25466.22818358</c:v>
                </c:pt>
                <c:pt idx="3">
                  <c:v>25466.22818358</c:v>
                </c:pt>
                <c:pt idx="4">
                  <c:v>25466.22818358</c:v>
                </c:pt>
                <c:pt idx="5">
                  <c:v>25466.22818358</c:v>
                </c:pt>
                <c:pt idx="6">
                  <c:v>25466.22818358</c:v>
                </c:pt>
                <c:pt idx="7">
                  <c:v>25466.22818358</c:v>
                </c:pt>
                <c:pt idx="8">
                  <c:v>25466.22818358</c:v>
                </c:pt>
                <c:pt idx="9">
                  <c:v>25466.22818358</c:v>
                </c:pt>
                <c:pt idx="10">
                  <c:v>25466.22818358</c:v>
                </c:pt>
                <c:pt idx="11">
                  <c:v>25466.22818358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1"/>
        </c:ser>
        <c:ser>
          <c:idx val="1"/>
          <c:order val="1"/>
          <c:tx>
            <c:strRef>
              <c:f>'داشبورد المخزون'!C71</c:f>
              <c:strCache>
                <c:ptCount val="1"/>
                <c:pt idx="0">
                  <c:v>إيراد ابراهيمية</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'داشبورد المخزون'!$A$72:$A$102</c:f>
              <c:strCache>
                <c:ptCount val="31"/>
                <c:pt idx="0">
                  <c:v>01-10</c:v>
                </c:pt>
                <c:pt idx="1">
                  <c:v>02-10</c:v>
                </c:pt>
                <c:pt idx="2">
                  <c:v>03-10</c:v>
                </c:pt>
                <c:pt idx="3">
                  <c:v>04-10</c:v>
                </c:pt>
                <c:pt idx="4">
                  <c:v>05-10</c:v>
                </c:pt>
                <c:pt idx="5">
                  <c:v>06-10</c:v>
                </c:pt>
                <c:pt idx="6">
                  <c:v>07-10</c:v>
                </c:pt>
                <c:pt idx="7">
                  <c:v>08-10</c:v>
                </c:pt>
                <c:pt idx="8">
                  <c:v>09-10</c:v>
                </c:pt>
                <c:pt idx="9">
                  <c:v>10-10</c:v>
                </c:pt>
                <c:pt idx="10">
                  <c:v>11-10</c:v>
                </c:pt>
                <c:pt idx="11">
                  <c:v>12-10</c:v>
                </c:pt>
                <c:pt idx="12">
                  <c:v>13-10</c:v>
                </c:pt>
                <c:pt idx="13">
                  <c:v>14-10</c:v>
                </c:pt>
                <c:pt idx="14">
                  <c:v>15-10</c:v>
                </c:pt>
                <c:pt idx="15">
                  <c:v>16-10</c:v>
                </c:pt>
                <c:pt idx="16">
                  <c:v>17-10</c:v>
                </c:pt>
                <c:pt idx="17">
                  <c:v>18-10</c:v>
                </c:pt>
                <c:pt idx="18">
                  <c:v>19-10</c:v>
                </c:pt>
                <c:pt idx="19">
                  <c:v>20-10</c:v>
                </c:pt>
                <c:pt idx="20">
                  <c:v>21-10</c:v>
                </c:pt>
                <c:pt idx="21">
                  <c:v>22-10</c:v>
                </c:pt>
                <c:pt idx="22">
                  <c:v>23-10</c:v>
                </c:pt>
                <c:pt idx="23">
                  <c:v>24-10</c:v>
                </c:pt>
                <c:pt idx="24">
                  <c:v>25-10</c:v>
                </c:pt>
                <c:pt idx="25">
                  <c:v>26-10</c:v>
                </c:pt>
                <c:pt idx="26">
                  <c:v>27-10</c:v>
                </c:pt>
                <c:pt idx="27">
                  <c:v>28-10</c:v>
                </c:pt>
                <c:pt idx="28">
                  <c:v>29-10</c:v>
                </c:pt>
                <c:pt idx="29">
                  <c:v>30-10</c:v>
                </c:pt>
                <c:pt idx="30">
                  <c:v>31-10</c:v>
                </c:pt>
              </c:strCache>
            </c:strRef>
          </c:cat>
          <c:val>
            <c:numRef>
              <c:f>'داشبورد المخزون'!$C$72:$C$102</c:f>
              <c:numCache>
                <c:formatCode>#,##0</c:formatCode>
                <c:ptCount val="31"/>
                <c:pt idx="0">
                  <c:v>23196.76092893</c:v>
                </c:pt>
                <c:pt idx="1">
                  <c:v>23196.76092893</c:v>
                </c:pt>
                <c:pt idx="2">
                  <c:v>23196.76092893</c:v>
                </c:pt>
                <c:pt idx="3">
                  <c:v>23196.76092893</c:v>
                </c:pt>
                <c:pt idx="4">
                  <c:v>23196.76092893</c:v>
                </c:pt>
                <c:pt idx="5">
                  <c:v>23196.76092893</c:v>
                </c:pt>
                <c:pt idx="6">
                  <c:v>23196.76092893</c:v>
                </c:pt>
                <c:pt idx="7">
                  <c:v>23196.76092893</c:v>
                </c:pt>
                <c:pt idx="8">
                  <c:v>23196.76092893</c:v>
                </c:pt>
                <c:pt idx="9">
                  <c:v>23196.76092893</c:v>
                </c:pt>
                <c:pt idx="10">
                  <c:v>23196.76092893</c:v>
                </c:pt>
                <c:pt idx="11">
                  <c:v>23196.76092893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1"/>
        </c:ser>
        <c:ser>
          <c:idx val="2"/>
          <c:order val="2"/>
          <c:tx>
            <c:strRef>
              <c:f>'داشبورد المخزون'!D71</c:f>
              <c:strCache>
                <c:ptCount val="1"/>
                <c:pt idx="0">
                  <c:v>إيراد عصافرة</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'داشبورد المخزون'!$A$72:$A$102</c:f>
              <c:strCache>
                <c:ptCount val="31"/>
                <c:pt idx="0">
                  <c:v>01-10</c:v>
                </c:pt>
                <c:pt idx="1">
                  <c:v>02-10</c:v>
                </c:pt>
                <c:pt idx="2">
                  <c:v>03-10</c:v>
                </c:pt>
                <c:pt idx="3">
                  <c:v>04-10</c:v>
                </c:pt>
                <c:pt idx="4">
                  <c:v>05-10</c:v>
                </c:pt>
                <c:pt idx="5">
                  <c:v>06-10</c:v>
                </c:pt>
                <c:pt idx="6">
                  <c:v>07-10</c:v>
                </c:pt>
                <c:pt idx="7">
                  <c:v>08-10</c:v>
                </c:pt>
                <c:pt idx="8">
                  <c:v>09-10</c:v>
                </c:pt>
                <c:pt idx="9">
                  <c:v>10-10</c:v>
                </c:pt>
                <c:pt idx="10">
                  <c:v>11-10</c:v>
                </c:pt>
                <c:pt idx="11">
                  <c:v>12-10</c:v>
                </c:pt>
                <c:pt idx="12">
                  <c:v>13-10</c:v>
                </c:pt>
                <c:pt idx="13">
                  <c:v>14-10</c:v>
                </c:pt>
                <c:pt idx="14">
                  <c:v>15-10</c:v>
                </c:pt>
                <c:pt idx="15">
                  <c:v>16-10</c:v>
                </c:pt>
                <c:pt idx="16">
                  <c:v>17-10</c:v>
                </c:pt>
                <c:pt idx="17">
                  <c:v>18-10</c:v>
                </c:pt>
                <c:pt idx="18">
                  <c:v>19-10</c:v>
                </c:pt>
                <c:pt idx="19">
                  <c:v>20-10</c:v>
                </c:pt>
                <c:pt idx="20">
                  <c:v>21-10</c:v>
                </c:pt>
                <c:pt idx="21">
                  <c:v>22-10</c:v>
                </c:pt>
                <c:pt idx="22">
                  <c:v>23-10</c:v>
                </c:pt>
                <c:pt idx="23">
                  <c:v>24-10</c:v>
                </c:pt>
                <c:pt idx="24">
                  <c:v>25-10</c:v>
                </c:pt>
                <c:pt idx="25">
                  <c:v>26-10</c:v>
                </c:pt>
                <c:pt idx="26">
                  <c:v>27-10</c:v>
                </c:pt>
                <c:pt idx="27">
                  <c:v>28-10</c:v>
                </c:pt>
                <c:pt idx="28">
                  <c:v>29-10</c:v>
                </c:pt>
                <c:pt idx="29">
                  <c:v>30-10</c:v>
                </c:pt>
                <c:pt idx="30">
                  <c:v>31-10</c:v>
                </c:pt>
              </c:strCache>
            </c:strRef>
          </c:cat>
          <c:val>
            <c:numRef>
              <c:f>'داشبورد المخزون'!$D$72:$D$102</c:f>
              <c:numCache>
                <c:formatCode>#,##0</c:formatCode>
                <c:ptCount val="31"/>
                <c:pt idx="0">
                  <c:v>26153.31909354</c:v>
                </c:pt>
                <c:pt idx="1">
                  <c:v>26153.31909354</c:v>
                </c:pt>
                <c:pt idx="2">
                  <c:v>26153.31909354</c:v>
                </c:pt>
                <c:pt idx="3">
                  <c:v>26153.31909354</c:v>
                </c:pt>
                <c:pt idx="4">
                  <c:v>26153.31909354</c:v>
                </c:pt>
                <c:pt idx="5">
                  <c:v>26153.31909354</c:v>
                </c:pt>
                <c:pt idx="6">
                  <c:v>26153.31909354</c:v>
                </c:pt>
                <c:pt idx="7">
                  <c:v>26153.31909354</c:v>
                </c:pt>
                <c:pt idx="8">
                  <c:v>26153.31909354</c:v>
                </c:pt>
                <c:pt idx="9">
                  <c:v>26153.31909354</c:v>
                </c:pt>
                <c:pt idx="10">
                  <c:v>26153.31909354</c:v>
                </c:pt>
                <c:pt idx="11">
                  <c:v>26153.31909354</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1"/>
        </c:ser>
        <c:hiLowLines>
          <c:spPr>
            <a:ln w="0">
              <a:noFill/>
            </a:ln>
          </c:spPr>
        </c:hiLowLines>
        <c:marker val="0"/>
        <c:axId val="47876392"/>
        <c:axId val="34826772"/>
      </c:lineChart>
      <c:catAx>
        <c:axId val="47876392"/>
        <c:scaling>
          <c:orientation val="minMax"/>
        </c:scaling>
        <c:delete val="0"/>
        <c:axPos val="b"/>
        <c:numFmt formatCode="dd\-mm"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4826772"/>
        <c:crosses val="autoZero"/>
        <c:auto val="1"/>
        <c:lblAlgn val="ctr"/>
        <c:lblOffset val="100"/>
        <c:noMultiLvlLbl val="0"/>
      </c:catAx>
      <c:valAx>
        <c:axId val="34826772"/>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787639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المشتريات مقابل التكلفة النظرية (يومي)</a:t>
            </a:r>
          </a:p>
        </c:rich>
      </c:tx>
      <c:overlay val="0"/>
      <c:spPr>
        <a:noFill/>
        <a:ln w="0">
          <a:noFill/>
        </a:ln>
      </c:spPr>
    </c:title>
    <c:autoTitleDeleted val="0"/>
    <c:plotArea>
      <c:lineChart>
        <c:grouping val="standard"/>
        <c:varyColors val="0"/>
        <c:ser>
          <c:idx val="0"/>
          <c:order val="0"/>
          <c:tx>
            <c:strRef>
              <c:f>'داشبورد المخزون'!F71</c:f>
              <c:strCache>
                <c:ptCount val="1"/>
                <c:pt idx="0">
                  <c:v>إجمالي المشتريات</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'داشبورد المخزون'!$A$72:$A$102</c:f>
              <c:strCache>
                <c:ptCount val="31"/>
                <c:pt idx="0">
                  <c:v>01-10</c:v>
                </c:pt>
                <c:pt idx="1">
                  <c:v>02-10</c:v>
                </c:pt>
                <c:pt idx="2">
                  <c:v>03-10</c:v>
                </c:pt>
                <c:pt idx="3">
                  <c:v>04-10</c:v>
                </c:pt>
                <c:pt idx="4">
                  <c:v>05-10</c:v>
                </c:pt>
                <c:pt idx="5">
                  <c:v>06-10</c:v>
                </c:pt>
                <c:pt idx="6">
                  <c:v>07-10</c:v>
                </c:pt>
                <c:pt idx="7">
                  <c:v>08-10</c:v>
                </c:pt>
                <c:pt idx="8">
                  <c:v>09-10</c:v>
                </c:pt>
                <c:pt idx="9">
                  <c:v>10-10</c:v>
                </c:pt>
                <c:pt idx="10">
                  <c:v>11-10</c:v>
                </c:pt>
                <c:pt idx="11">
                  <c:v>12-10</c:v>
                </c:pt>
                <c:pt idx="12">
                  <c:v>13-10</c:v>
                </c:pt>
                <c:pt idx="13">
                  <c:v>14-10</c:v>
                </c:pt>
                <c:pt idx="14">
                  <c:v>15-10</c:v>
                </c:pt>
                <c:pt idx="15">
                  <c:v>16-10</c:v>
                </c:pt>
                <c:pt idx="16">
                  <c:v>17-10</c:v>
                </c:pt>
                <c:pt idx="17">
                  <c:v>18-10</c:v>
                </c:pt>
                <c:pt idx="18">
                  <c:v>19-10</c:v>
                </c:pt>
                <c:pt idx="19">
                  <c:v>20-10</c:v>
                </c:pt>
                <c:pt idx="20">
                  <c:v>21-10</c:v>
                </c:pt>
                <c:pt idx="21">
                  <c:v>22-10</c:v>
                </c:pt>
                <c:pt idx="22">
                  <c:v>23-10</c:v>
                </c:pt>
                <c:pt idx="23">
                  <c:v>24-10</c:v>
                </c:pt>
                <c:pt idx="24">
                  <c:v>25-10</c:v>
                </c:pt>
                <c:pt idx="25">
                  <c:v>26-10</c:v>
                </c:pt>
                <c:pt idx="26">
                  <c:v>27-10</c:v>
                </c:pt>
                <c:pt idx="27">
                  <c:v>28-10</c:v>
                </c:pt>
                <c:pt idx="28">
                  <c:v>29-10</c:v>
                </c:pt>
                <c:pt idx="29">
                  <c:v>30-10</c:v>
                </c:pt>
                <c:pt idx="30">
                  <c:v>31-10</c:v>
                </c:pt>
              </c:strCache>
            </c:strRef>
          </c:cat>
          <c:val>
            <c:numRef>
              <c:f>'داشبورد المخزون'!$F$72:$F$102</c:f>
              <c:numCache>
                <c:formatCode>#,##0</c:formatCode>
                <c:ptCount val="31"/>
                <c:pt idx="0">
                  <c:v>488165.53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1"/>
        </c:ser>
        <c:ser>
          <c:idx val="1"/>
          <c:order val="1"/>
          <c:tx>
            <c:strRef>
              <c:f>'داشبورد المخزون'!G71</c:f>
              <c:strCache>
                <c:ptCount val="1"/>
                <c:pt idx="0">
                  <c:v>تكلفة نظرية</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'داشبورد المخزون'!$A$72:$A$102</c:f>
              <c:strCache>
                <c:ptCount val="31"/>
                <c:pt idx="0">
                  <c:v>01-10</c:v>
                </c:pt>
                <c:pt idx="1">
                  <c:v>02-10</c:v>
                </c:pt>
                <c:pt idx="2">
                  <c:v>03-10</c:v>
                </c:pt>
                <c:pt idx="3">
                  <c:v>04-10</c:v>
                </c:pt>
                <c:pt idx="4">
                  <c:v>05-10</c:v>
                </c:pt>
                <c:pt idx="5">
                  <c:v>06-10</c:v>
                </c:pt>
                <c:pt idx="6">
                  <c:v>07-10</c:v>
                </c:pt>
                <c:pt idx="7">
                  <c:v>08-10</c:v>
                </c:pt>
                <c:pt idx="8">
                  <c:v>09-10</c:v>
                </c:pt>
                <c:pt idx="9">
                  <c:v>10-10</c:v>
                </c:pt>
                <c:pt idx="10">
                  <c:v>11-10</c:v>
                </c:pt>
                <c:pt idx="11">
                  <c:v>12-10</c:v>
                </c:pt>
                <c:pt idx="12">
                  <c:v>13-10</c:v>
                </c:pt>
                <c:pt idx="13">
                  <c:v>14-10</c:v>
                </c:pt>
                <c:pt idx="14">
                  <c:v>15-10</c:v>
                </c:pt>
                <c:pt idx="15">
                  <c:v>16-10</c:v>
                </c:pt>
                <c:pt idx="16">
                  <c:v>17-10</c:v>
                </c:pt>
                <c:pt idx="17">
                  <c:v>18-10</c:v>
                </c:pt>
                <c:pt idx="18">
                  <c:v>19-10</c:v>
                </c:pt>
                <c:pt idx="19">
                  <c:v>20-10</c:v>
                </c:pt>
                <c:pt idx="20">
                  <c:v>21-10</c:v>
                </c:pt>
                <c:pt idx="21">
                  <c:v>22-10</c:v>
                </c:pt>
                <c:pt idx="22">
                  <c:v>23-10</c:v>
                </c:pt>
                <c:pt idx="23">
                  <c:v>24-10</c:v>
                </c:pt>
                <c:pt idx="24">
                  <c:v>25-10</c:v>
                </c:pt>
                <c:pt idx="25">
                  <c:v>26-10</c:v>
                </c:pt>
                <c:pt idx="26">
                  <c:v>27-10</c:v>
                </c:pt>
                <c:pt idx="27">
                  <c:v>28-10</c:v>
                </c:pt>
                <c:pt idx="28">
                  <c:v>29-10</c:v>
                </c:pt>
                <c:pt idx="29">
                  <c:v>30-10</c:v>
                </c:pt>
                <c:pt idx="30">
                  <c:v>31-10</c:v>
                </c:pt>
              </c:strCache>
            </c:strRef>
          </c:cat>
          <c:val>
            <c:numRef>
              <c:f>'داشبورد المخزون'!$G$72:$G$102</c:f>
              <c:numCache>
                <c:formatCode>#,##0</c:formatCode>
                <c:ptCount val="31"/>
                <c:pt idx="0">
                  <c:v>40665.7726074423</c:v>
                </c:pt>
                <c:pt idx="1">
                  <c:v>40665.7726074423</c:v>
                </c:pt>
                <c:pt idx="2">
                  <c:v>40665.7726074423</c:v>
                </c:pt>
                <c:pt idx="3">
                  <c:v>40665.7726074423</c:v>
                </c:pt>
                <c:pt idx="4">
                  <c:v>40665.7726074423</c:v>
                </c:pt>
                <c:pt idx="5">
                  <c:v>40665.7726074423</c:v>
                </c:pt>
                <c:pt idx="6">
                  <c:v>40665.7726074423</c:v>
                </c:pt>
                <c:pt idx="7">
                  <c:v>40665.7726074423</c:v>
                </c:pt>
                <c:pt idx="8">
                  <c:v>40665.7726074423</c:v>
                </c:pt>
                <c:pt idx="9">
                  <c:v>40665.7726074423</c:v>
                </c:pt>
                <c:pt idx="10">
                  <c:v>40665.7726074423</c:v>
                </c:pt>
                <c:pt idx="11">
                  <c:v>40665.7726074423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1"/>
        </c:ser>
        <c:hiLowLines>
          <c:spPr>
            <a:ln w="0">
              <a:noFill/>
            </a:ln>
          </c:spPr>
        </c:hiLowLines>
        <c:marker val="0"/>
        <c:axId val="59972966"/>
        <c:axId val="4725477"/>
      </c:lineChart>
      <c:catAx>
        <c:axId val="59972966"/>
        <c:scaling>
          <c:orientation val="minMax"/>
        </c:scaling>
        <c:delete val="0"/>
        <c:axPos val="b"/>
        <c:numFmt formatCode="dd\-mm"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725477"/>
        <c:crosses val="autoZero"/>
        <c:auto val="1"/>
        <c:lblAlgn val="ctr"/>
        <c:lblOffset val="100"/>
        <c:noMultiLvlLbl val="0"/>
      </c:catAx>
      <c:valAx>
        <c:axId val="4725477"/>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997296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-493920</xdr:colOff>
      <xdr:row>6</xdr:row>
      <xdr:rowOff>0</xdr:rowOff>
    </xdr:from>
    <xdr:to>
      <xdr:col>9</xdr:col>
      <xdr:colOff>-798840</xdr:colOff>
      <xdr:row>20</xdr:row>
      <xdr:rowOff>97560</xdr:rowOff>
    </xdr:to>
    <xdr:graphicFrame>
      <xdr:nvGraphicFramePr>
        <xdr:cNvPr id="0" name="Chart 1"/>
        <xdr:cNvGraphicFramePr/>
      </xdr:nvGraphicFramePr>
      <xdr:xfrm>
        <a:off x="-11209680" y="1647720"/>
        <a:ext cx="575892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-351360</xdr:colOff>
      <xdr:row>3</xdr:row>
      <xdr:rowOff>106920</xdr:rowOff>
    </xdr:from>
    <xdr:to>
      <xdr:col>14</xdr:col>
      <xdr:colOff>0</xdr:colOff>
      <xdr:row>18</xdr:row>
      <xdr:rowOff>118440</xdr:rowOff>
    </xdr:to>
    <xdr:graphicFrame>
      <xdr:nvGraphicFramePr>
        <xdr:cNvPr id="1" name="Chart 1"/>
        <xdr:cNvGraphicFramePr/>
      </xdr:nvGraphicFramePr>
      <xdr:xfrm>
        <a:off x="-14217840" y="76212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-255960</xdr:colOff>
      <xdr:row>3</xdr:row>
      <xdr:rowOff>106920</xdr:rowOff>
    </xdr:from>
    <xdr:to>
      <xdr:col>25</xdr:col>
      <xdr:colOff>0</xdr:colOff>
      <xdr:row>18</xdr:row>
      <xdr:rowOff>118440</xdr:rowOff>
    </xdr:to>
    <xdr:graphicFrame>
      <xdr:nvGraphicFramePr>
        <xdr:cNvPr id="2" name="Chart 2"/>
        <xdr:cNvGraphicFramePr/>
      </xdr:nvGraphicFramePr>
      <xdr:xfrm>
        <a:off x="-20849040" y="762120"/>
        <a:ext cx="575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-351360</xdr:colOff>
      <xdr:row>21</xdr:row>
      <xdr:rowOff>106560</xdr:rowOff>
    </xdr:from>
    <xdr:to>
      <xdr:col>14</xdr:col>
      <xdr:colOff>0</xdr:colOff>
      <xdr:row>37</xdr:row>
      <xdr:rowOff>3960</xdr:rowOff>
    </xdr:to>
    <xdr:graphicFrame>
      <xdr:nvGraphicFramePr>
        <xdr:cNvPr id="3" name="Chart 3"/>
        <xdr:cNvGraphicFramePr/>
      </xdr:nvGraphicFramePr>
      <xdr:xfrm>
        <a:off x="-14217840" y="4381560"/>
        <a:ext cx="575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-255960</xdr:colOff>
      <xdr:row>21</xdr:row>
      <xdr:rowOff>106560</xdr:rowOff>
    </xdr:from>
    <xdr:to>
      <xdr:col>25</xdr:col>
      <xdr:colOff>0</xdr:colOff>
      <xdr:row>37</xdr:row>
      <xdr:rowOff>3960</xdr:rowOff>
    </xdr:to>
    <xdr:graphicFrame>
      <xdr:nvGraphicFramePr>
        <xdr:cNvPr id="4" name="Chart 4"/>
        <xdr:cNvGraphicFramePr/>
      </xdr:nvGraphicFramePr>
      <xdr:xfrm>
        <a:off x="-20849040" y="4381560"/>
        <a:ext cx="575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25.xml.rels><?xml version="1.0" encoding="UTF-8"?>
<Relationships xmlns="http://schemas.openxmlformats.org/package/2006/relationships"><Relationship Id="rId1" Type="http://schemas.openxmlformats.org/officeDocument/2006/relationships/drawing" Target="../drawings/drawing5.xml"/>
</Relationships>
</file>

<file path=xl/worksheets/_rels/sheet26.xml.rels><?xml version="1.0" encoding="UTF-8"?>
<Relationships xmlns="http://schemas.openxmlformats.org/package/2006/relationships"><Relationship Id="rId1" Type="http://schemas.openxmlformats.org/officeDocument/2006/relationships/drawing" Target="../drawings/drawing6.xml"/>
</Relationships>
</file>

<file path=xl/worksheets/_rels/sheet27.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6" min="2" style="1" width="20"/>
  </cols>
  <sheetData>
    <row r="1" customFormat="false" ht="31.5" hidden="false" customHeight="true" outlineLevel="0" collapsed="false">
      <c r="A1" s="2" t="s">
        <v>0</v>
      </c>
      <c r="B1" s="2"/>
      <c r="C1" s="2"/>
      <c r="D1" s="2"/>
      <c r="E1" s="2"/>
      <c r="F1" s="2"/>
    </row>
    <row r="3" customFormat="false" ht="19.5" hidden="false" customHeight="true" outlineLevel="0" collapsed="false">
      <c r="A3" s="3" t="s">
        <v>1</v>
      </c>
      <c r="B3" s="3" t="s">
        <v>2</v>
      </c>
      <c r="C3" s="3" t="s">
        <v>3</v>
      </c>
      <c r="D3" s="3" t="s">
        <v>4</v>
      </c>
      <c r="E3" s="3" t="s">
        <v>5</v>
      </c>
    </row>
    <row r="4" customFormat="false" ht="33.75" hidden="false" customHeight="true" outlineLevel="0" collapsed="false">
      <c r="A4" s="4" t="n">
        <f aca="false">COUNTIFS('تحليل التكلفة والسعر'!$C$2:$C$700,"&gt;0")</f>
        <v>189</v>
      </c>
      <c r="B4" s="5" t="n">
        <f aca="false">IFERROR(AVERAGEIFS('تحليل التكلفة والسعر'!$E$2:$E$700,'تحليل التكلفة والسعر'!$C$2:$C$700,"&gt;0"),"")</f>
        <v>0.467176643087999</v>
      </c>
      <c r="C4" s="6" t="n">
        <f aca="false">IFERROR(AVERAGEIFS('تحليل التكلفة والسعر'!$K$2:$K$700,'تحليل التكلفة والسعر'!$C$2:$C$700,"&gt;0"),"")</f>
        <v>0.717176643087999</v>
      </c>
      <c r="D4" s="7" t="n">
        <f aca="false">SUMPRODUCT((ISNUMBER('تحليل التكلفة والسعر'!$C$2:$C$700))*('تحليل التكلفة والسعر'!$C$2:$C$700&gt;0)*(ISNUMBER('تحليل التكلفة والسعر'!$E$2:$E$700))*('تحليل التكلفة والسعر'!$E$2:$E$700&gt;'تحليل التكلفة والسعر'!$F$2:$F$700))</f>
        <v>156</v>
      </c>
      <c r="E4" s="8" t="n">
        <f aca="false">IFERROR(AVERAGEIFS('تحليل التكلفة والسعر'!$I$2:$I$700,'تحليل التكلفة والسعر'!$C$2:$C$700,"&gt;0"),"")</f>
        <v>0.532823356912001</v>
      </c>
    </row>
    <row r="6" customFormat="false" ht="15" hidden="false" customHeight="true" outlineLevel="0" collapsed="false">
      <c r="A6" s="9" t="s">
        <v>6</v>
      </c>
      <c r="B6" s="9"/>
      <c r="C6" s="9"/>
      <c r="D6" s="9"/>
    </row>
    <row r="7" customFormat="false" ht="24" hidden="false" customHeight="true" outlineLevel="0" collapsed="false">
      <c r="A7" s="10" t="s">
        <v>7</v>
      </c>
      <c r="B7" s="10" t="s">
        <v>8</v>
      </c>
      <c r="C7" s="10" t="s">
        <v>2</v>
      </c>
      <c r="D7" s="10" t="s">
        <v>3</v>
      </c>
    </row>
    <row r="8" customFormat="false" ht="15" hidden="false" customHeight="true" outlineLevel="0" collapsed="false">
      <c r="A8" s="11" t="s">
        <v>9</v>
      </c>
      <c r="B8" s="11" t="n">
        <f aca="false">COUNTIF('تحليل التكلفة والسعر'!$A$2:$A$700,$A8)</f>
        <v>22</v>
      </c>
      <c r="C8" s="12" t="n">
        <f aca="false">IFERROR(AVERAGEIFS('تحليل التكلفة والسعر'!$E$2:$E$700,'تحليل التكلفة والسعر'!$A$2:$A$700,$A8,'تحليل التكلفة والسعر'!$C$2:$C$700,"&gt;0"),"")</f>
        <v>0.515786970175194</v>
      </c>
      <c r="D8" s="12" t="n">
        <f aca="false">IFERROR(AVERAGEIFS('تحليل التكلفة والسعر'!$K$2:$K$700,'تحليل التكلفة والسعر'!$A$2:$A$700,$A8,'تحليل التكلفة والسعر'!$C$2:$C$700,"&gt;0"),"")</f>
        <v>0.765786970175194</v>
      </c>
    </row>
    <row r="9" customFormat="false" ht="15" hidden="false" customHeight="true" outlineLevel="0" collapsed="false">
      <c r="A9" s="11" t="s">
        <v>10</v>
      </c>
      <c r="B9" s="11" t="n">
        <f aca="false">COUNTIF('تحليل التكلفة والسعر'!$A$2:$A$700,$A9)</f>
        <v>23</v>
      </c>
      <c r="C9" s="12" t="n">
        <f aca="false">IFERROR(AVERAGEIFS('تحليل التكلفة والسعر'!$E$2:$E$700,'تحليل التكلفة والسعر'!$A$2:$A$700,$A9,'تحليل التكلفة والسعر'!$C$2:$C$700,"&gt;0"),"")</f>
        <v>0.513523342816414</v>
      </c>
      <c r="D9" s="12" t="n">
        <f aca="false">IFERROR(AVERAGEIFS('تحليل التكلفة والسعر'!$K$2:$K$700,'تحليل التكلفة والسعر'!$A$2:$A$700,$A9,'تحليل التكلفة والسعر'!$C$2:$C$700,"&gt;0"),"")</f>
        <v>0.763523342816414</v>
      </c>
    </row>
    <row r="10" customFormat="false" ht="15" hidden="false" customHeight="true" outlineLevel="0" collapsed="false">
      <c r="A10" s="11" t="s">
        <v>11</v>
      </c>
      <c r="B10" s="11" t="n">
        <f aca="false">COUNTIF('تحليل التكلفة والسعر'!$A$2:$A$700,$A10)</f>
        <v>7</v>
      </c>
      <c r="C10" s="12" t="n">
        <f aca="false">IFERROR(AVERAGEIFS('تحليل التكلفة والسعر'!$E$2:$E$700,'تحليل التكلفة والسعر'!$A$2:$A$700,$A10,'تحليل التكلفة والسعر'!$C$2:$C$700,"&gt;0"),"")</f>
        <v>0.521445946199634</v>
      </c>
      <c r="D10" s="12" t="n">
        <f aca="false">IFERROR(AVERAGEIFS('تحليل التكلفة والسعر'!$K$2:$K$700,'تحليل التكلفة والسعر'!$A$2:$A$700,$A10,'تحليل التكلفة والسعر'!$C$2:$C$700,"&gt;0"),"")</f>
        <v>0.771445946199634</v>
      </c>
    </row>
    <row r="11" customFormat="false" ht="15" hidden="false" customHeight="true" outlineLevel="0" collapsed="false">
      <c r="A11" s="11" t="s">
        <v>12</v>
      </c>
      <c r="B11" s="11" t="n">
        <f aca="false">COUNTIF('تحليل التكلفة والسعر'!$A$2:$A$700,$A11)</f>
        <v>6</v>
      </c>
      <c r="C11" s="12" t="n">
        <f aca="false">IFERROR(AVERAGEIFS('تحليل التكلفة والسعر'!$E$2:$E$700,'تحليل التكلفة والسعر'!$A$2:$A$700,$A11,'تحليل التكلفة والسعر'!$C$2:$C$700,"&gt;0"),"")</f>
        <v>0.538281880013369</v>
      </c>
      <c r="D11" s="12" t="n">
        <f aca="false">IFERROR(AVERAGEIFS('تحليل التكلفة والسعر'!$K$2:$K$700,'تحليل التكلفة والسعر'!$A$2:$A$700,$A11,'تحليل التكلفة والسعر'!$C$2:$C$700,"&gt;0"),"")</f>
        <v>0.788281880013369</v>
      </c>
    </row>
    <row r="12" customFormat="false" ht="15" hidden="false" customHeight="true" outlineLevel="0" collapsed="false">
      <c r="A12" s="11" t="s">
        <v>13</v>
      </c>
      <c r="B12" s="11" t="n">
        <f aca="false">COUNTIF('تحليل التكلفة والسعر'!$A$2:$A$700,$A12)</f>
        <v>7</v>
      </c>
      <c r="C12" s="12" t="n">
        <f aca="false">IFERROR(AVERAGEIFS('تحليل التكلفة والسعر'!$E$2:$E$700,'تحليل التكلفة والسعر'!$A$2:$A$700,$A12,'تحليل التكلفة والسعر'!$C$2:$C$700,"&gt;0"),"")</f>
        <v>0.534887567398177</v>
      </c>
      <c r="D12" s="12" t="n">
        <f aca="false">IFERROR(AVERAGEIFS('تحليل التكلفة والسعر'!$K$2:$K$700,'تحليل التكلفة والسعر'!$A$2:$A$700,$A12,'تحليل التكلفة والسعر'!$C$2:$C$700,"&gt;0"),"")</f>
        <v>0.784887567398177</v>
      </c>
    </row>
    <row r="13" customFormat="false" ht="15" hidden="false" customHeight="true" outlineLevel="0" collapsed="false">
      <c r="A13" s="11" t="s">
        <v>14</v>
      </c>
      <c r="B13" s="11" t="n">
        <f aca="false">COUNTIF('تحليل التكلفة والسعر'!$A$2:$A$700,$A13)</f>
        <v>8</v>
      </c>
      <c r="C13" s="12" t="n">
        <f aca="false">IFERROR(AVERAGEIFS('تحليل التكلفة والسعر'!$E$2:$E$700,'تحليل التكلفة والسعر'!$A$2:$A$700,$A13,'تحليل التكلفة والسعر'!$C$2:$C$700,"&gt;0"),"")</f>
        <v>0.596556850405486</v>
      </c>
      <c r="D13" s="12" t="n">
        <f aca="false">IFERROR(AVERAGEIFS('تحليل التكلفة والسعر'!$K$2:$K$700,'تحليل التكلفة والسعر'!$A$2:$A$700,$A13,'تحليل التكلفة والسعر'!$C$2:$C$700,"&gt;0"),"")</f>
        <v>0.846556850405486</v>
      </c>
    </row>
    <row r="14" customFormat="false" ht="15" hidden="false" customHeight="true" outlineLevel="0" collapsed="false">
      <c r="A14" s="11" t="s">
        <v>15</v>
      </c>
      <c r="B14" s="11" t="n">
        <f aca="false">COUNTIF('تحليل التكلفة والسعر'!$A$2:$A$700,$A14)</f>
        <v>4</v>
      </c>
      <c r="C14" s="12" t="n">
        <f aca="false">IFERROR(AVERAGEIFS('تحليل التكلفة والسعر'!$E$2:$E$700,'تحليل التكلفة والسعر'!$A$2:$A$700,$A14,'تحليل التكلفة والسعر'!$C$2:$C$700,"&gt;0"),"")</f>
        <v>0.42991955952381</v>
      </c>
      <c r="D14" s="12" t="n">
        <f aca="false">IFERROR(AVERAGEIFS('تحليل التكلفة والسعر'!$K$2:$K$700,'تحليل التكلفة والسعر'!$A$2:$A$700,$A14,'تحليل التكلفة والسعر'!$C$2:$C$700,"&gt;0"),"")</f>
        <v>0.67991955952381</v>
      </c>
    </row>
    <row r="15" customFormat="false" ht="15" hidden="false" customHeight="true" outlineLevel="0" collapsed="false">
      <c r="A15" s="11" t="s">
        <v>16</v>
      </c>
      <c r="B15" s="11" t="n">
        <f aca="false">COUNTIF('تحليل التكلفة والسعر'!$A$2:$A$700,$A15)</f>
        <v>16</v>
      </c>
      <c r="C15" s="12" t="n">
        <f aca="false">IFERROR(AVERAGEIFS('تحليل التكلفة والسعر'!$E$2:$E$700,'تحليل التكلفة والسعر'!$A$2:$A$700,$A15,'تحليل التكلفة والسعر'!$C$2:$C$700,"&gt;0"),"")</f>
        <v>0.450000521454293</v>
      </c>
      <c r="D15" s="12" t="n">
        <f aca="false">IFERROR(AVERAGEIFS('تحليل التكلفة والسعر'!$K$2:$K$700,'تحليل التكلفة والسعر'!$A$2:$A$700,$A15,'تحليل التكلفة والسعر'!$C$2:$C$700,"&gt;0"),"")</f>
        <v>0.700000521454293</v>
      </c>
    </row>
    <row r="16" customFormat="false" ht="15" hidden="false" customHeight="true" outlineLevel="0" collapsed="false">
      <c r="A16" s="11" t="s">
        <v>17</v>
      </c>
      <c r="B16" s="11" t="n">
        <f aca="false">COUNTIF('تحليل التكلفة والسعر'!$A$2:$A$700,$A16)</f>
        <v>18</v>
      </c>
      <c r="C16" s="12" t="n">
        <f aca="false">IFERROR(AVERAGEIFS('تحليل التكلفة والسعر'!$E$2:$E$700,'تحليل التكلفة والسعر'!$A$2:$A$700,$A16,'تحليل التكلفة والسعر'!$C$2:$C$700,"&gt;0"),"")</f>
        <v>0.43161676007867</v>
      </c>
      <c r="D16" s="12" t="n">
        <f aca="false">IFERROR(AVERAGEIFS('تحليل التكلفة والسعر'!$K$2:$K$700,'تحليل التكلفة والسعر'!$A$2:$A$700,$A16,'تحليل التكلفة والسعر'!$C$2:$C$700,"&gt;0"),"")</f>
        <v>0.68161676007867</v>
      </c>
    </row>
    <row r="17" customFormat="false" ht="15" hidden="false" customHeight="true" outlineLevel="0" collapsed="false">
      <c r="A17" s="11" t="s">
        <v>18</v>
      </c>
      <c r="B17" s="11" t="n">
        <f aca="false">COUNTIF('تحليل التكلفة والسعر'!$A$2:$A$700,$A17)</f>
        <v>4</v>
      </c>
      <c r="C17" s="12" t="n">
        <f aca="false">IFERROR(AVERAGEIFS('تحليل التكلفة والسعر'!$E$2:$E$700,'تحليل التكلفة والسعر'!$A$2:$A$700,$A17,'تحليل التكلفة والسعر'!$C$2:$C$700,"&gt;0"),"")</f>
        <v>0.395458837142857</v>
      </c>
      <c r="D17" s="12" t="n">
        <f aca="false">IFERROR(AVERAGEIFS('تحليل التكلفة والسعر'!$K$2:$K$700,'تحليل التكلفة والسعر'!$A$2:$A$700,$A17,'تحليل التكلفة والسعر'!$C$2:$C$700,"&gt;0"),"")</f>
        <v>0.645458837142857</v>
      </c>
    </row>
    <row r="18" customFormat="false" ht="15" hidden="false" customHeight="true" outlineLevel="0" collapsed="false">
      <c r="A18" s="11" t="s">
        <v>19</v>
      </c>
      <c r="B18" s="11" t="n">
        <f aca="false">COUNTIF('تحليل التكلفة والسعر'!$A$2:$A$700,$A18)</f>
        <v>4</v>
      </c>
      <c r="C18" s="12" t="n">
        <f aca="false">IFERROR(AVERAGEIFS('تحليل التكلفة والسعر'!$E$2:$E$700,'تحليل التكلفة والسعر'!$A$2:$A$700,$A18,'تحليل التكلفة والسعر'!$C$2:$C$700,"&gt;0"),"")</f>
        <v>0.415925413602941</v>
      </c>
      <c r="D18" s="12" t="n">
        <f aca="false">IFERROR(AVERAGEIFS('تحليل التكلفة والسعر'!$K$2:$K$700,'تحليل التكلفة والسعر'!$A$2:$A$700,$A18,'تحليل التكلفة والسعر'!$C$2:$C$700,"&gt;0"),"")</f>
        <v>0.665925413602941</v>
      </c>
    </row>
    <row r="19" customFormat="false" ht="15" hidden="false" customHeight="true" outlineLevel="0" collapsed="false">
      <c r="A19" s="11" t="s">
        <v>20</v>
      </c>
      <c r="B19" s="11" t="n">
        <f aca="false">COUNTIF('تحليل التكلفة والسعر'!$A$2:$A$700,$A19)</f>
        <v>5</v>
      </c>
      <c r="C19" s="12" t="n">
        <f aca="false">IFERROR(AVERAGEIFS('تحليل التكلفة والسعر'!$E$2:$E$700,'تحليل التكلفة والسعر'!$A$2:$A$700,$A19,'تحليل التكلفة والسعر'!$C$2:$C$700,"&gt;0"),"")</f>
        <v>0.442230549230769</v>
      </c>
      <c r="D19" s="12" t="n">
        <f aca="false">IFERROR(AVERAGEIFS('تحليل التكلفة والسعر'!$K$2:$K$700,'تحليل التكلفة والسعر'!$A$2:$A$700,$A19,'تحليل التكلفة والسعر'!$C$2:$C$700,"&gt;0"),"")</f>
        <v>0.692230549230769</v>
      </c>
    </row>
    <row r="20" customFormat="false" ht="15" hidden="false" customHeight="true" outlineLevel="0" collapsed="false">
      <c r="A20" s="11" t="s">
        <v>21</v>
      </c>
      <c r="B20" s="11" t="n">
        <f aca="false">COUNTIF('تحليل التكلفة والسعر'!$A$2:$A$700,$A20)</f>
        <v>4</v>
      </c>
      <c r="C20" s="12" t="n">
        <f aca="false">IFERROR(AVERAGEIFS('تحليل التكلفة والسعر'!$E$2:$E$700,'تحليل التكلفة والسعر'!$A$2:$A$700,$A20,'تحليل التكلفة والسعر'!$C$2:$C$700,"&gt;0"),"")</f>
        <v>0.460220133213938</v>
      </c>
      <c r="D20" s="12" t="n">
        <f aca="false">IFERROR(AVERAGEIFS('تحليل التكلفة والسعر'!$K$2:$K$700,'تحليل التكلفة والسعر'!$A$2:$A$700,$A20,'تحليل التكلفة والسعر'!$C$2:$C$700,"&gt;0"),"")</f>
        <v>0.710220133213938</v>
      </c>
    </row>
    <row r="23" customFormat="false" ht="15" hidden="false" customHeight="true" outlineLevel="0" collapsed="false">
      <c r="A23" s="9" t="s">
        <v>22</v>
      </c>
      <c r="B23" s="9"/>
      <c r="C23" s="9"/>
      <c r="D23" s="9"/>
    </row>
    <row r="24" customFormat="false" ht="21.75" hidden="false" customHeight="true" outlineLevel="0" collapsed="false">
      <c r="A24" s="10" t="s">
        <v>23</v>
      </c>
      <c r="B24" s="10" t="s">
        <v>24</v>
      </c>
      <c r="C24" s="10" t="s">
        <v>25</v>
      </c>
      <c r="D24" s="10" t="s">
        <v>26</v>
      </c>
    </row>
    <row r="25" customFormat="false" ht="15" hidden="false" customHeight="true" outlineLevel="0" collapsed="false">
      <c r="A25" s="11" t="str">
        <f aca="false">IFERROR(INDEX('تحليل التكلفة والسعر'!$B$2:$B$700,MATCH(LARGE('تحليل التكلفة والسعر'!$L$2:$L$700,1),'تحليل التكلفة والسعر'!$L$2:$L$700,0)),"")</f>
        <v>اضافة حشو للاطراف (Small)</v>
      </c>
      <c r="B25" s="13" t="n">
        <f aca="false">IFERROR(INDEX('تحليل التكلفة والسعر'!$D$2:$D$700,MATCH(LARGE('تحليل التكلفة والسعر'!$L$2:$L$700,1),'تحليل التكلفة والسعر'!$L$2:$L$700,0)),"")</f>
        <v>50</v>
      </c>
      <c r="C25" s="12" t="n">
        <f aca="false">IFERROR(INDEX('تحليل التكلفة والسعر'!$E$2:$E$700,MATCH(LARGE('تحليل التكلفة والسعر'!$L$2:$L$700,1),'تحليل التكلفة والسعر'!$L$2:$L$700,0)),"")</f>
        <v>0.218638</v>
      </c>
      <c r="D25" s="12" t="n">
        <f aca="false">IFERROR(INDEX('تحليل التكلفة والسعر'!$I$2:$I$700,MATCH(LARGE('تحليل التكلفة والسعر'!$L$2:$L$700,1),'تحليل التكلفة والسعر'!$L$2:$L$700,0)),"")</f>
        <v>0.781362</v>
      </c>
    </row>
    <row r="26" customFormat="false" ht="15" hidden="false" customHeight="true" outlineLevel="0" collapsed="false">
      <c r="A26" s="11" t="str">
        <f aca="false">IFERROR(INDEX('تحليل التكلفة والسعر'!$B$2:$B$700,MATCH(LARGE('تحليل التكلفة والسعر'!$L$2:$L$700,2),'تحليل التكلفة والسعر'!$L$2:$L$700,0)),"")</f>
        <v>صوص باربيكيو إضافي (M)</v>
      </c>
      <c r="B26" s="13" t="n">
        <f aca="false">IFERROR(INDEX('تحليل التكلفة والسعر'!$D$2:$D$700,MATCH(LARGE('تحليل التكلفة والسعر'!$L$2:$L$700,2),'تحليل التكلفة والسعر'!$L$2:$L$700,0)),"")</f>
        <v>34.5</v>
      </c>
      <c r="C26" s="12" t="n">
        <f aca="false">IFERROR(INDEX('تحليل التكلفة والسعر'!$E$2:$E$700,MATCH(LARGE('تحليل التكلفة والسعر'!$L$2:$L$700,2),'تحليل التكلفة والسعر'!$L$2:$L$700,0)),"")</f>
        <v>0.229910144927536</v>
      </c>
      <c r="D26" s="12" t="n">
        <f aca="false">IFERROR(INDEX('تحليل التكلفة والسعر'!$I$2:$I$700,MATCH(LARGE('تحليل التكلفة والسعر'!$L$2:$L$700,2),'تحليل التكلفة والسعر'!$L$2:$L$700,0)),"")</f>
        <v>0.770089855072464</v>
      </c>
    </row>
    <row r="27" customFormat="false" ht="15" hidden="false" customHeight="true" outlineLevel="0" collapsed="false">
      <c r="A27" s="11" t="str">
        <f aca="false">IFERROR(INDEX('تحليل التكلفة والسعر'!$B$2:$B$700,MATCH(LARGE('تحليل التكلفة والسعر'!$L$2:$L$700,3),'تحليل التكلفة والسعر'!$L$2:$L$700,0)),"")</f>
        <v>اضافة فراخ كريسبي (فطير كبير)</v>
      </c>
      <c r="B27" s="13" t="n">
        <f aca="false">IFERROR(INDEX('تحليل التكلفة والسعر'!$D$2:$D$700,MATCH(LARGE('تحليل التكلفة والسعر'!$L$2:$L$700,3),'تحليل التكلفة والسعر'!$L$2:$L$700,0)),"")</f>
        <v>130</v>
      </c>
      <c r="C27" s="12" t="n">
        <f aca="false">IFERROR(INDEX('تحليل التكلفة والسعر'!$E$2:$E$700,MATCH(LARGE('تحليل التكلفة والسعر'!$L$2:$L$700,3),'تحليل التكلفة والسعر'!$L$2:$L$700,0)),"")</f>
        <v>0.230245384615385</v>
      </c>
      <c r="D27" s="12" t="n">
        <f aca="false">IFERROR(INDEX('تحليل التكلفة والسعر'!$I$2:$I$700,MATCH(LARGE('تحليل التكلفة والسعر'!$L$2:$L$700,3),'تحليل التكلفة والسعر'!$L$2:$L$700,0)),"")</f>
        <v>0.769754615384615</v>
      </c>
    </row>
    <row r="28" customFormat="false" ht="15" hidden="false" customHeight="true" outlineLevel="0" collapsed="false">
      <c r="A28" s="11" t="str">
        <f aca="false">IFERROR(INDEX('تحليل التكلفة والسعر'!$B$2:$B$700,MATCH(LARGE('تحليل التكلفة والسعر'!$L$2:$L$700,4),'تحليل التكلفة والسعر'!$L$2:$L$700,0)),"")</f>
        <v>اضافة جبنة رومي (فطير وسط)</v>
      </c>
      <c r="B28" s="13" t="n">
        <f aca="false">IFERROR(INDEX('تحليل التكلفة والسعر'!$D$2:$D$700,MATCH(LARGE('تحليل التكلفة والسعر'!$L$2:$L$700,4),'تحليل التكلفة والسعر'!$L$2:$L$700,0)),"")</f>
        <v>40</v>
      </c>
      <c r="C28" s="12" t="n">
        <f aca="false">IFERROR(INDEX('تحليل التكلفة والسعر'!$E$2:$E$700,MATCH(LARGE('تحليل التكلفة والسعر'!$L$2:$L$700,4),'تحليل التكلفة والسعر'!$L$2:$L$700,0)),"")</f>
        <v>0.2482975</v>
      </c>
      <c r="D28" s="12" t="n">
        <f aca="false">IFERROR(INDEX('تحليل التكلفة والسعر'!$I$2:$I$700,MATCH(LARGE('تحليل التكلفة والسعر'!$L$2:$L$700,4),'تحليل التكلفة والسعر'!$L$2:$L$700,0)),"")</f>
        <v>0.7517025</v>
      </c>
    </row>
    <row r="29" customFormat="false" ht="15" hidden="false" customHeight="true" outlineLevel="0" collapsed="false">
      <c r="A29" s="11" t="str">
        <f aca="false">IFERROR(INDEX('تحليل التكلفة والسعر'!$B$2:$B$700,MATCH(LARGE('تحليل التكلفة والسعر'!$L$2:$L$700,5),'تحليل التكلفة والسعر'!$L$2:$L$700,0)),"")</f>
        <v>اضافة جبنة رومي (بيتزا وسط)</v>
      </c>
      <c r="B29" s="13" t="n">
        <f aca="false">IFERROR(INDEX('تحليل التكلفة والسعر'!$D$2:$D$700,MATCH(LARGE('تحليل التكلفة والسعر'!$L$2:$L$700,5),'تحليل التكلفة والسعر'!$L$2:$L$700,0)),"")</f>
        <v>40</v>
      </c>
      <c r="C29" s="12" t="n">
        <f aca="false">IFERROR(INDEX('تحليل التكلفة والسعر'!$E$2:$E$700,MATCH(LARGE('تحليل التكلفة والسعر'!$L$2:$L$700,5),'تحليل التكلفة والسعر'!$L$2:$L$700,0)),"")</f>
        <v>0.2482975</v>
      </c>
      <c r="D29" s="12" t="n">
        <f aca="false">IFERROR(INDEX('تحليل التكلفة والسعر'!$I$2:$I$700,MATCH(LARGE('تحليل التكلفة والسعر'!$L$2:$L$700,5),'تحليل التكلفة والسعر'!$L$2:$L$700,0)),"")</f>
        <v>0.7517025</v>
      </c>
    </row>
    <row r="31" customFormat="false" ht="15" hidden="false" customHeight="true" outlineLevel="0" collapsed="false">
      <c r="A31" s="9" t="s">
        <v>27</v>
      </c>
      <c r="B31" s="9"/>
      <c r="C31" s="9"/>
      <c r="D31" s="9"/>
    </row>
    <row r="32" customFormat="false" ht="21.75" hidden="false" customHeight="true" outlineLevel="0" collapsed="false">
      <c r="A32" s="10" t="s">
        <v>23</v>
      </c>
      <c r="B32" s="10" t="s">
        <v>24</v>
      </c>
      <c r="C32" s="10" t="s">
        <v>25</v>
      </c>
      <c r="D32" s="10" t="s">
        <v>26</v>
      </c>
    </row>
    <row r="33" customFormat="false" ht="15" hidden="false" customHeight="true" outlineLevel="0" collapsed="false">
      <c r="A33" s="11" t="str">
        <f aca="false">IFERROR(INDEX('تحليل التكلفة والسعر'!$B$2:$B$700,MATCH(SMALL('تحليل التكلفة والسعر'!$L$2:$L$700,1),'تحليل التكلفة والسعر'!$L$2:$L$700,0)),"")</f>
        <v>عيش كريب</v>
      </c>
      <c r="B33" s="13" t="n">
        <f aca="false">IFERROR(INDEX('تحليل التكلفة والسعر'!$D$2:$D$700,MATCH(SMALL('تحليل التكلفة والسعر'!$L$2:$L$700,1),'تحليل التكلفة والسعر'!$L$2:$L$700,0)),"")</f>
        <v>5</v>
      </c>
      <c r="C33" s="12" t="n">
        <f aca="false">IFERROR(INDEX('تحليل التكلفة والسعر'!$E$2:$E$700,MATCH(SMALL('تحليل التكلفة والسعر'!$L$2:$L$700,1),'تحليل التكلفة والسعر'!$L$2:$L$700,0)),"")</f>
        <v>1.18899241666667</v>
      </c>
      <c r="D33" s="12" t="n">
        <f aca="false">IFERROR(INDEX('تحليل التكلفة والسعر'!$I$2:$I$700,MATCH(SMALL('تحليل التكلفة والسعر'!$L$2:$L$700,1),'تحليل التكلفة والسعر'!$L$2:$L$700,0)),"")</f>
        <v>-0.188992416666667</v>
      </c>
    </row>
    <row r="34" customFormat="false" ht="15" hidden="false" customHeight="true" outlineLevel="0" collapsed="false">
      <c r="A34" s="11" t="str">
        <f aca="false">IFERROR(INDEX('تحليل التكلفة والسعر'!$B$2:$B$700,MATCH(SMALL('تحليل التكلفة والسعر'!$L$2:$L$700,2),'تحليل التكلفة والسعر'!$L$2:$L$700,0)),"")</f>
        <v>مياه معدنية M</v>
      </c>
      <c r="B34" s="13" t="n">
        <f aca="false">IFERROR(INDEX('تحليل التكلفة والسعر'!$D$2:$D$700,MATCH(SMALL('تحليل التكلفة والسعر'!$L$2:$L$700,2),'تحليل التكلفة والسعر'!$L$2:$L$700,0)),"")</f>
        <v>8</v>
      </c>
      <c r="C34" s="12" t="n">
        <f aca="false">IFERROR(INDEX('تحليل التكلفة والسعر'!$E$2:$E$700,MATCH(SMALL('تحليل التكلفة والسعر'!$L$2:$L$700,2),'تحليل التكلفة والسعر'!$L$2:$L$700,0)),"")</f>
        <v>0.9914875</v>
      </c>
      <c r="D34" s="12" t="n">
        <f aca="false">IFERROR(INDEX('تحليل التكلفة والسعر'!$I$2:$I$700,MATCH(SMALL('تحليل التكلفة والسعر'!$L$2:$L$700,2),'تحليل التكلفة والسعر'!$L$2:$L$700,0)),"")</f>
        <v>0.00851250000000003</v>
      </c>
    </row>
    <row r="35" customFormat="false" ht="15" hidden="false" customHeight="true" outlineLevel="0" collapsed="false">
      <c r="A35" s="11" t="str">
        <f aca="false">IFERROR(INDEX('تحليل التكلفة والسعر'!$B$2:$B$700,MATCH(SMALL('تحليل التكلفة والسعر'!$L$2:$L$700,3),'تحليل التكلفة والسعر'!$L$2:$L$700,0)),"")</f>
        <v>بيبسي 2 لتر</v>
      </c>
      <c r="B35" s="13" t="n">
        <f aca="false">IFERROR(INDEX('تحليل التكلفة والسعر'!$D$2:$D$700,MATCH(SMALL('تحليل التكلفة والسعر'!$L$2:$L$700,3),'تحليل التكلفة والسعر'!$L$2:$L$700,0)),"")</f>
        <v>45</v>
      </c>
      <c r="C35" s="12" t="n">
        <f aca="false">IFERROR(INDEX('تحليل التكلفة والسعر'!$E$2:$E$700,MATCH(SMALL('تحليل التكلفة والسعر'!$L$2:$L$700,3),'تحليل التكلفة والسعر'!$L$2:$L$700,0)),"")</f>
        <v>0.909597777777778</v>
      </c>
      <c r="D35" s="12" t="n">
        <f aca="false">IFERROR(INDEX('تحليل التكلفة والسعر'!$I$2:$I$700,MATCH(SMALL('تحليل التكلفة والسعر'!$L$2:$L$700,3),'تحليل التكلفة والسعر'!$L$2:$L$700,0)),"")</f>
        <v>0.0904022222222222</v>
      </c>
    </row>
    <row r="36" customFormat="false" ht="15" hidden="false" customHeight="true" outlineLevel="0" collapsed="false">
      <c r="A36" s="11" t="str">
        <f aca="false">IFERROR(INDEX('تحليل التكلفة والسعر'!$B$2:$B$700,MATCH(SMALL('تحليل التكلفة والسعر'!$L$2:$L$700,4),'تحليل التكلفة والسعر'!$L$2:$L$700,0)),"")</f>
        <v>بيبسي لتر</v>
      </c>
      <c r="B36" s="13" t="n">
        <f aca="false">IFERROR(INDEX('تحليل التكلفة والسعر'!$D$2:$D$700,MATCH(SMALL('تحليل التكلفة والسعر'!$L$2:$L$700,4),'تحليل التكلفة والسعر'!$L$2:$L$700,0)),"")</f>
        <v>35</v>
      </c>
      <c r="C36" s="12" t="n">
        <f aca="false">IFERROR(INDEX('تحليل التكلفة والسعر'!$E$2:$E$700,MATCH(SMALL('تحليل التكلفة والسعر'!$L$2:$L$700,4),'تحليل التكلفة والسعر'!$L$2:$L$700,0)),"")</f>
        <v>0.883768571428571</v>
      </c>
      <c r="D36" s="12" t="n">
        <f aca="false">IFERROR(INDEX('تحليل التكلفة والسعر'!$I$2:$I$700,MATCH(SMALL('تحليل التكلفة والسعر'!$L$2:$L$700,4),'تحليل التكلفة والسعر'!$L$2:$L$700,0)),"")</f>
        <v>0.116231428571429</v>
      </c>
    </row>
    <row r="37" customFormat="false" ht="15" hidden="false" customHeight="true" outlineLevel="0" collapsed="false">
      <c r="A37" s="11" t="str">
        <f aca="false">IFERROR(INDEX('تحليل التكلفة والسعر'!$B$2:$B$700,MATCH(SMALL('تحليل التكلفة والسعر'!$L$2:$L$700,5),'تحليل التكلفة والسعر'!$L$2:$L$700,0)),"")</f>
        <v>اضافة جمبري (بيتزا وسط)</v>
      </c>
      <c r="B37" s="13" t="n">
        <f aca="false">IFERROR(INDEX('تحليل التكلفة والسعر'!$D$2:$D$700,MATCH(SMALL('تحليل التكلفة والسعر'!$L$2:$L$700,5),'تحليل التكلفة والسعر'!$L$2:$L$700,0)),"")</f>
        <v>140</v>
      </c>
      <c r="C37" s="12" t="n">
        <f aca="false">IFERROR(INDEX('تحليل التكلفة والسعر'!$E$2:$E$700,MATCH(SMALL('تحليل التكلفة والسعر'!$L$2:$L$700,5),'تحليل التكلفة والسعر'!$L$2:$L$700,0)),"")</f>
        <v>0.685227857142857</v>
      </c>
      <c r="D37" s="12" t="n">
        <f aca="false">IFERROR(INDEX('تحليل التكلفة والسعر'!$I$2:$I$700,MATCH(SMALL('تحليل التكلفة والسعر'!$L$2:$L$700,5),'تحليل التكلفة والسعر'!$L$2:$L$700,0)),"")</f>
        <v>0.314772142857143</v>
      </c>
    </row>
    <row r="39" customFormat="false" ht="11.25" hidden="false" customHeight="true" outlineLevel="0" collapsed="false">
      <c r="A39" s="14" t="s">
        <v>28</v>
      </c>
      <c r="B39" s="14"/>
      <c r="C39" s="14"/>
      <c r="D39" s="14"/>
      <c r="E39" s="14"/>
      <c r="F39" s="14"/>
    </row>
  </sheetData>
  <mergeCells count="5">
    <mergeCell ref="A1:F1"/>
    <mergeCell ref="A6:D6"/>
    <mergeCell ref="A23:D23"/>
    <mergeCell ref="A31:D31"/>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6"/>
  </cols>
  <sheetData>
    <row r="1" customFormat="false" ht="21.6" hidden="false" customHeight="false" outlineLevel="0" collapsed="false">
      <c r="A1" s="15" t="s">
        <v>29</v>
      </c>
    </row>
    <row r="2" customFormat="false" ht="15" hidden="false" customHeight="false" outlineLevel="0" collapsed="false">
      <c r="A2" s="16" t="str">
        <f aca="false">"بيانات لحد يوم: "&amp;TEXT('إعدادات المخزون'!$B$4,"yyyy-mm-dd")&amp;"   |   بداية الفترة: "&amp;TEXT('إعدادات المخزون'!$B$5,"yyyy-mm-dd")&amp;"   |   نسبة التسامح: "&amp;TEXT('إعدادات المخزون'!$B$7,"0.0%")</f>
        <v>بيانات لحد يوم: 2026-10-12   |   بداية الفترة: 2026-10-01   |   نسبة التسامح: 3.0%</v>
      </c>
    </row>
    <row r="3" customFormat="false" ht="15" hidden="false" customHeight="false" outlineLevel="0" collapsed="false">
      <c r="A3" s="17" t="s">
        <v>30</v>
      </c>
    </row>
    <row r="5" customFormat="false" ht="30" hidden="false" customHeight="true" outlineLevel="0" collapsed="false">
      <c r="A5" s="18" t="s">
        <v>31</v>
      </c>
      <c r="B5" s="18" t="s">
        <v>32</v>
      </c>
      <c r="C5" s="18" t="s">
        <v>33</v>
      </c>
      <c r="D5" s="18" t="s">
        <v>34</v>
      </c>
      <c r="E5" s="18" t="s">
        <v>35</v>
      </c>
    </row>
    <row r="6" customFormat="false" ht="15" hidden="false" customHeight="false" outlineLevel="0" collapsed="false">
      <c r="A6" s="19" t="s">
        <v>36</v>
      </c>
      <c r="B6" s="20"/>
      <c r="C6" s="20"/>
      <c r="D6" s="20"/>
      <c r="E6" s="20"/>
    </row>
    <row r="7" customFormat="false" ht="15" hidden="false" customHeight="false" outlineLevel="0" collapsed="false">
      <c r="A7" s="21" t="s">
        <v>37</v>
      </c>
      <c r="B7" s="22" t="n">
        <f aca="false">89</f>
        <v>89</v>
      </c>
      <c r="C7" s="22" t="n">
        <f aca="false">89</f>
        <v>89</v>
      </c>
      <c r="D7" s="22" t="n">
        <f aca="false">89</f>
        <v>89</v>
      </c>
      <c r="E7" s="23" t="n">
        <f aca="false">MAX(B7:D7)</f>
        <v>89</v>
      </c>
    </row>
    <row r="8" customFormat="false" ht="15" hidden="false" customHeight="false" outlineLevel="0" collapsed="false">
      <c r="A8" s="21" t="s">
        <v>38</v>
      </c>
      <c r="B8" s="22" t="n">
        <f aca="false">COUNTIF('جرد - محرم بك'!$K$7:$K$95,"نعم")</f>
        <v>0</v>
      </c>
      <c r="C8" s="22" t="n">
        <f aca="false">COUNTIF('جرد - ابراهيمية'!$K$7:$K$95,"نعم")</f>
        <v>0</v>
      </c>
      <c r="D8" s="22" t="n">
        <f aca="false">COUNTIF('جرد - عصافرة'!$K$7:$K$95,"نعم")</f>
        <v>0</v>
      </c>
      <c r="E8" s="23" t="n">
        <f aca="false">SUM(B8:D8)</f>
        <v>0</v>
      </c>
    </row>
    <row r="9" customFormat="false" ht="15" hidden="false" customHeight="false" outlineLevel="0" collapsed="false">
      <c r="A9" s="21" t="s">
        <v>39</v>
      </c>
      <c r="B9" s="24" t="n">
        <f aca="false">IFERROR(COUNTIF('جرد - محرم بك'!$K$7:$K$95,"نعم")/89,0)</f>
        <v>0</v>
      </c>
      <c r="C9" s="24" t="n">
        <f aca="false">IFERROR(COUNTIF('جرد - ابراهيمية'!$K$7:$K$95,"نعم")/89,0)</f>
        <v>0</v>
      </c>
      <c r="D9" s="24" t="n">
        <f aca="false">IFERROR(COUNTIF('جرد - عصافرة'!$K$7:$K$95,"نعم")/89,0)</f>
        <v>0</v>
      </c>
      <c r="E9" s="25" t="n">
        <f aca="false">AVERAGE(B9:D9)</f>
        <v>0</v>
      </c>
    </row>
    <row r="10" customFormat="false" ht="15" hidden="false" customHeight="false" outlineLevel="0" collapsed="false">
      <c r="A10" s="21" t="s">
        <v>40</v>
      </c>
      <c r="B10" s="26" t="n">
        <f aca="false">SUMPRODUCT('جرد - محرم بك'!$J$7:$J$95,'جرد - محرم بك'!$C$7:$C$95)</f>
        <v>65102.7768993215</v>
      </c>
      <c r="C10" s="26" t="n">
        <f aca="false">SUMPRODUCT('جرد - ابراهيمية'!$J$7:$J$95,'جرد - ابراهيمية'!$C$7:$C$95)</f>
        <v>71951.4289992175</v>
      </c>
      <c r="D10" s="26" t="n">
        <f aca="false">SUMPRODUCT('جرد - عصافرة'!$J$7:$J$95,'جرد - عصافرة'!$C$7:$C$95)</f>
        <v>86384.4537492493</v>
      </c>
      <c r="E10" s="27" t="n">
        <f aca="false">SUM(B10:D10)</f>
        <v>223438.659647788</v>
      </c>
    </row>
    <row r="11" customFormat="false" ht="15" hidden="false" customHeight="false" outlineLevel="0" collapsed="false">
      <c r="A11" s="21" t="s">
        <v>41</v>
      </c>
      <c r="B11" s="28" t="n">
        <f aca="false">SUMIF('جرد - محرم بك'!$AA$7:$AA$95,"&lt;0")</f>
        <v>0</v>
      </c>
      <c r="C11" s="28" t="n">
        <f aca="false">SUMIF('جرد - ابراهيمية'!$AA$7:$AA$95,"&lt;0")</f>
        <v>0</v>
      </c>
      <c r="D11" s="28" t="n">
        <f aca="false">SUMIF('جرد - عصافرة'!$AA$7:$AA$95,"&lt;0")</f>
        <v>0</v>
      </c>
      <c r="E11" s="29" t="n">
        <f aca="false">SUM(B11:D11)</f>
        <v>0</v>
      </c>
    </row>
    <row r="12" customFormat="false" ht="15" hidden="false" customHeight="false" outlineLevel="0" collapsed="false">
      <c r="A12" s="21" t="s">
        <v>42</v>
      </c>
      <c r="B12" s="28" t="n">
        <f aca="false">SUMIF('جرد - محرم بك'!$AA$7:$AA$95,"&gt;0")</f>
        <v>0</v>
      </c>
      <c r="C12" s="28" t="n">
        <f aca="false">SUMIF('جرد - ابراهيمية'!$AA$7:$AA$95,"&gt;0")</f>
        <v>0</v>
      </c>
      <c r="D12" s="28" t="n">
        <f aca="false">SUMIF('جرد - عصافرة'!$AA$7:$AA$95,"&gt;0")</f>
        <v>0</v>
      </c>
      <c r="E12" s="29" t="n">
        <f aca="false">SUM(B12:D12)</f>
        <v>0</v>
      </c>
    </row>
    <row r="13" customFormat="false" ht="15" hidden="false" customHeight="false" outlineLevel="0" collapsed="false">
      <c r="A13" s="21" t="s">
        <v>43</v>
      </c>
      <c r="B13" s="28" t="n">
        <f aca="false">SUM('جرد - محرم بك'!$AA$7:$AA$95)</f>
        <v>0</v>
      </c>
      <c r="C13" s="28" t="n">
        <f aca="false">SUM('جرد - ابراهيمية'!$AA$7:$AA$95)</f>
        <v>0</v>
      </c>
      <c r="D13" s="28" t="n">
        <f aca="false">SUM('جرد - عصافرة'!$AA$7:$AA$95)</f>
        <v>0</v>
      </c>
      <c r="E13" s="29" t="n">
        <f aca="false">SUM(B13:D13)</f>
        <v>0</v>
      </c>
    </row>
    <row r="14" customFormat="false" ht="15" hidden="false" customHeight="false" outlineLevel="0" collapsed="false">
      <c r="A14" s="21" t="s">
        <v>44</v>
      </c>
      <c r="B14" s="30" t="n">
        <f aca="false">IFERROR(SUMPRODUCT(ABS('جرد - محرم بك'!$AA$7:$AA$95))/SUM('جرد - محرم بك'!$AB$7:$AB$95),0)</f>
        <v>0</v>
      </c>
      <c r="C14" s="30" t="n">
        <f aca="false">IFERROR(SUMPRODUCT(ABS('جرد - ابراهيمية'!$AA$7:$AA$95))/SUM('جرد - ابراهيمية'!$AB$7:$AB$95),0)</f>
        <v>0</v>
      </c>
      <c r="D14" s="30" t="n">
        <f aca="false">IFERROR(SUMPRODUCT(ABS('جرد - عصافرة'!$AA$7:$AA$95))/SUM('جرد - عصافرة'!$AB$7:$AB$95),0)</f>
        <v>0</v>
      </c>
      <c r="E14" s="31" t="n">
        <f aca="false">IFERROR((SUMPRODUCT(ABS('جرد - محرم بك'!$AA$7:$AA$95))+SUMPRODUCT(ABS('جرد - ابراهيمية'!$AA$7:$AA$95))+SUMPRODUCT(ABS('جرد - عصافرة'!$AA$7:$AA$95)))/(SUM('جرد - محرم بك'!$AB$7:$AB$95)+SUM('جرد - ابراهيمية'!$AB$7:$AB$95)+SUM('جرد - عصافرة'!$AB$7:$AB$95)),0)</f>
        <v>0</v>
      </c>
    </row>
    <row r="15" customFormat="false" ht="15" hidden="false" customHeight="false" outlineLevel="0" collapsed="false">
      <c r="A15" s="21" t="s">
        <v>45</v>
      </c>
      <c r="B15" s="22" t="n">
        <f aca="false">COUNTIF('جرد - محرم بك'!$P$7:$P$95,"عجز")+COUNTIF('جرد - محرم بك'!$P$7:$P$95,"زيادة")</f>
        <v>0</v>
      </c>
      <c r="C15" s="22" t="n">
        <f aca="false">COUNTIF('جرد - ابراهيمية'!$P$7:$P$95,"عجز")+COUNTIF('جرد - ابراهيمية'!$P$7:$P$95,"زيادة")</f>
        <v>0</v>
      </c>
      <c r="D15" s="22" t="n">
        <f aca="false">COUNTIF('جرد - عصافرة'!$P$7:$P$95,"عجز")+COUNTIF('جرد - عصافرة'!$P$7:$P$95,"زيادة")</f>
        <v>0</v>
      </c>
      <c r="E15" s="23" t="n">
        <f aca="false">SUM(B15:D15)</f>
        <v>0</v>
      </c>
    </row>
    <row r="16" customFormat="false" ht="15" hidden="false" customHeight="false" outlineLevel="0" collapsed="false">
      <c r="A16" s="19" t="s">
        <v>46</v>
      </c>
      <c r="B16" s="20"/>
      <c r="C16" s="20"/>
      <c r="D16" s="20"/>
      <c r="E16" s="20"/>
    </row>
    <row r="17" customFormat="false" ht="15" hidden="false" customHeight="false" outlineLevel="0" collapsed="false">
      <c r="A17" s="21" t="s">
        <v>47</v>
      </c>
      <c r="B17" s="28" t="n">
        <f aca="false">SUMIF('جرد - محرم بك'!$AC$7:$AC$95,"&lt;0")</f>
        <v>0</v>
      </c>
      <c r="C17" s="28" t="n">
        <f aca="false">SUMIF('جرد - ابراهيمية'!$AC$7:$AC$95,"&lt;0")</f>
        <v>0</v>
      </c>
      <c r="D17" s="28" t="n">
        <f aca="false">SUMIF('جرد - عصافرة'!$AC$7:$AC$95,"&lt;0")</f>
        <v>0</v>
      </c>
      <c r="E17" s="29" t="n">
        <f aca="false">SUM(B17:D17)</f>
        <v>0</v>
      </c>
    </row>
    <row r="18" customFormat="false" ht="15" hidden="false" customHeight="false" outlineLevel="0" collapsed="false">
      <c r="A18" s="21" t="s">
        <v>48</v>
      </c>
      <c r="B18" s="28" t="n">
        <f aca="false">SUMIF('جرد - محرم بك'!$AC$7:$AC$95,"&gt;0")</f>
        <v>0</v>
      </c>
      <c r="C18" s="28" t="n">
        <f aca="false">SUMIF('جرد - ابراهيمية'!$AC$7:$AC$95,"&gt;0")</f>
        <v>0</v>
      </c>
      <c r="D18" s="28" t="n">
        <f aca="false">SUMIF('جرد - عصافرة'!$AC$7:$AC$95,"&gt;0")</f>
        <v>0</v>
      </c>
      <c r="E18" s="29" t="n">
        <f aca="false">SUM(B18:D18)</f>
        <v>0</v>
      </c>
    </row>
    <row r="19" customFormat="false" ht="15" hidden="false" customHeight="false" outlineLevel="0" collapsed="false">
      <c r="A19" s="19" t="s">
        <v>49</v>
      </c>
      <c r="B19" s="20"/>
      <c r="C19" s="20"/>
      <c r="D19" s="20"/>
      <c r="E19" s="20"/>
    </row>
    <row r="20" customFormat="false" ht="15" hidden="false" customHeight="false" outlineLevel="0" collapsed="false">
      <c r="A20" s="21" t="s">
        <v>50</v>
      </c>
      <c r="B20" s="26" t="n">
        <f aca="false">SUMIFS('مبيعات يومية'!$F$2:$F$14001,'مبيعات يومية'!$B$2:$B$14001,'إعدادات المخزون'!$A$15,'مبيعات يومية'!$A$2:$A$14001,'إعدادات المخزون'!$B$4)</f>
        <v>25466.22818358</v>
      </c>
      <c r="C20" s="26" t="n">
        <f aca="false">SUMIFS('مبيعات يومية'!$F$2:$F$14001,'مبيعات يومية'!$B$2:$B$14001,'إعدادات المخزون'!$A$16,'مبيعات يومية'!$A$2:$A$14001,'إعدادات المخزون'!$B$4)</f>
        <v>23196.76092893</v>
      </c>
      <c r="D20" s="26" t="n">
        <f aca="false">SUMIFS('مبيعات يومية'!$F$2:$F$14001,'مبيعات يومية'!$B$2:$B$14001,'إعدادات المخزون'!$A$17,'مبيعات يومية'!$A$2:$A$14001,'إعدادات المخزون'!$B$4)</f>
        <v>26153.31909354</v>
      </c>
      <c r="E20" s="27" t="n">
        <f aca="false">SUM(B20:D20)</f>
        <v>74816.30820605</v>
      </c>
    </row>
    <row r="21" customFormat="false" ht="15" hidden="false" customHeight="false" outlineLevel="0" collapsed="false">
      <c r="A21" s="21" t="s">
        <v>51</v>
      </c>
      <c r="B21" s="26" t="n">
        <f aca="false">SUMIFS('مبيعات يومية'!$F$2:$F$14001,'مبيعات يومية'!$B$2:$B$14001,'إعدادات المخزون'!$A$15,'مبيعات يومية'!$A$2:$A$14001,"&gt;="&amp;'إعدادات المخزون'!$B$5,'مبيعات يومية'!$A$2:$A$14001,"&lt;="&amp;'إعدادات المخزون'!$B$4)</f>
        <v>305594.73820296</v>
      </c>
      <c r="C21" s="26" t="n">
        <f aca="false">SUMIFS('مبيعات يومية'!$F$2:$F$14001,'مبيعات يومية'!$B$2:$B$14001,'إعدادات المخزون'!$A$16,'مبيعات يومية'!$A$2:$A$14001,"&gt;="&amp;'إعدادات المخزون'!$B$5,'مبيعات يومية'!$A$2:$A$14001,"&lt;="&amp;'إعدادات المخزون'!$B$4)</f>
        <v>278361.13114716</v>
      </c>
      <c r="D21" s="26" t="n">
        <f aca="false">SUMIFS('مبيعات يومية'!$F$2:$F$14001,'مبيعات يومية'!$B$2:$B$14001,'إعدادات المخزون'!$A$17,'مبيعات يومية'!$A$2:$A$14001,"&gt;="&amp;'إعدادات المخزون'!$B$5,'مبيعات يومية'!$A$2:$A$14001,"&lt;="&amp;'إعدادات المخزون'!$B$4)</f>
        <v>313839.82912248</v>
      </c>
      <c r="E21" s="27" t="n">
        <f aca="false">SUM(B21:D21)</f>
        <v>897795.6984726</v>
      </c>
    </row>
    <row r="22" customFormat="false" ht="15" hidden="false" customHeight="false" outlineLevel="0" collapsed="false">
      <c r="A22" s="21" t="s">
        <v>52</v>
      </c>
      <c r="B22" s="26" t="n">
        <f aca="false">SUMIFS('مبيعات يومية'!$G$2:$G$14001,'مبيعات يومية'!$B$2:$B$14001,'إعدادات المخزون'!$A$15,'مبيعات يومية'!$A$2:$A$14001,"&gt;="&amp;'إعدادات المخزون'!$B$5,'مبيعات يومية'!$A$2:$A$14001,"&lt;="&amp;'إعدادات المخزون'!$B$4)</f>
        <v>167160.731592711</v>
      </c>
      <c r="C22" s="26" t="n">
        <f aca="false">SUMIFS('مبيعات يومية'!$G$2:$G$14001,'مبيعات يومية'!$B$2:$B$14001,'إعدادات المخزون'!$A$16,'مبيعات يومية'!$A$2:$A$14001,"&gt;="&amp;'إعدادات المخزون'!$B$5,'مبيعات يومية'!$A$2:$A$14001,"&lt;="&amp;'إعدادات المخزون'!$B$4)</f>
        <v>150387.254421708</v>
      </c>
      <c r="D22" s="26" t="n">
        <f aca="false">SUMIFS('مبيعات يومية'!$G$2:$G$14001,'مبيعات يومية'!$B$2:$B$14001,'إعدادات المخزون'!$A$17,'مبيعات يومية'!$A$2:$A$14001,"&gt;="&amp;'إعدادات المخزون'!$B$5,'مبيعات يومية'!$A$2:$A$14001,"&lt;="&amp;'إعدادات المخزون'!$B$4)</f>
        <v>170441.285274889</v>
      </c>
      <c r="E22" s="27" t="n">
        <f aca="false">SUM(B22:D22)</f>
        <v>487989.271289308</v>
      </c>
    </row>
    <row r="23" customFormat="false" ht="15" hidden="false" customHeight="false" outlineLevel="0" collapsed="false">
      <c r="A23" s="21" t="s">
        <v>53</v>
      </c>
      <c r="B23" s="30" t="n">
        <f aca="false">IFERROR(B22/B21,0)</f>
        <v>0.547001340977578</v>
      </c>
      <c r="C23" s="30" t="n">
        <f aca="false">IFERROR(C22/C21,0)</f>
        <v>0.540259531932291</v>
      </c>
      <c r="D23" s="30" t="n">
        <f aca="false">IFERROR(D22/D21,0)</f>
        <v>0.543083667077744</v>
      </c>
      <c r="E23" s="31" t="n">
        <f aca="false">IFERROR(E22/E21,0)</f>
        <v>0.543541556413684</v>
      </c>
    </row>
    <row r="24" customFormat="false" ht="15" hidden="false" customHeight="false" outlineLevel="0" collapsed="false">
      <c r="A24" s="21" t="s">
        <v>54</v>
      </c>
      <c r="B24" s="26" t="n">
        <f aca="false">SUMIFS('مشتريات يومية'!$E$2:$E$4001,'مشتريات يومية'!$B$2:$B$4001,'إعدادات المخزون'!$A$15,'مشتريات يومية'!$A$2:$A$4001,'إعدادات المخزون'!$B$4)</f>
        <v>0</v>
      </c>
      <c r="C24" s="26" t="n">
        <f aca="false">SUMIFS('مشتريات يومية'!$E$2:$E$4001,'مشتريات يومية'!$B$2:$B$4001,'إعدادات المخزون'!$A$16,'مشتريات يومية'!$A$2:$A$4001,'إعدادات المخزون'!$B$4)</f>
        <v>0</v>
      </c>
      <c r="D24" s="26" t="n">
        <f aca="false">SUMIFS('مشتريات يومية'!$E$2:$E$4001,'مشتريات يومية'!$B$2:$B$4001,'إعدادات المخزون'!$A$17,'مشتريات يومية'!$A$2:$A$4001,'إعدادات المخزون'!$B$4)</f>
        <v>0</v>
      </c>
      <c r="E24" s="27" t="n">
        <f aca="false">SUM(B24:D24)</f>
        <v>0</v>
      </c>
    </row>
    <row r="25" customFormat="false" ht="15" hidden="false" customHeight="false" outlineLevel="0" collapsed="false">
      <c r="A25" s="21" t="s">
        <v>55</v>
      </c>
      <c r="B25" s="26" t="n">
        <f aca="false">SUMIFS('مشتريات يومية'!$E$2:$E$4001,'مشتريات يومية'!$B$2:$B$4001,'إعدادات المخزون'!$A$15,'مشتريات يومية'!$A$2:$A$4001,"&gt;="&amp;'إعدادات المخزون'!$B$5,'مشتريات يومية'!$A$2:$A$4001,"&lt;="&amp;'إعدادات المخزون'!$B$4)</f>
        <v>174165.05</v>
      </c>
      <c r="C25" s="26" t="n">
        <f aca="false">SUMIFS('مشتريات يومية'!$E$2:$E$4001,'مشتريات يومية'!$B$2:$B$4001,'إعدادات المخزون'!$A$16,'مشتريات يومية'!$A$2:$A$4001,"&gt;="&amp;'إعدادات المخزون'!$B$5,'مشتريات يومية'!$A$2:$A$4001,"&lt;="&amp;'إعدادات المخزون'!$B$4)</f>
        <v>146929.8</v>
      </c>
      <c r="D25" s="26" t="n">
        <f aca="false">SUMIFS('مشتريات يومية'!$E$2:$E$4001,'مشتريات يومية'!$B$2:$B$4001,'إعدادات المخزون'!$A$17,'مشتريات يومية'!$A$2:$A$4001,"&gt;="&amp;'إعدادات المخزون'!$B$5,'مشتريات يومية'!$A$2:$A$4001,"&lt;="&amp;'إعدادات المخزون'!$B$4)</f>
        <v>167070.68</v>
      </c>
      <c r="E25" s="27" t="n">
        <f aca="false">SUM(B25:D25)</f>
        <v>488165.53</v>
      </c>
    </row>
    <row r="26" customFormat="false" ht="15" hidden="false" customHeight="false" outlineLevel="0" collapsed="false">
      <c r="A26" s="21" t="s">
        <v>56</v>
      </c>
      <c r="B26" s="30" t="n">
        <f aca="false">IFERROR(B25/B21,0)</f>
        <v>0.569921625693466</v>
      </c>
      <c r="C26" s="30" t="n">
        <f aca="false">IFERROR(C25/C21,0)</f>
        <v>0.527838780488082</v>
      </c>
      <c r="D26" s="30" t="n">
        <f aca="false">IFERROR(D25/D21,0)</f>
        <v>0.532343776974205</v>
      </c>
      <c r="E26" s="31" t="n">
        <f aca="false">IFERROR(E25/E21,0)</f>
        <v>0.543737880266641</v>
      </c>
    </row>
    <row r="29" customFormat="false" ht="15" hidden="false" customHeight="false" outlineLevel="0" collapsed="false">
      <c r="A29" s="32" t="s">
        <v>57</v>
      </c>
    </row>
    <row r="30" customFormat="false" ht="15" hidden="false" customHeight="false" outlineLevel="0" collapsed="false">
      <c r="A30" s="33" t="s">
        <v>58</v>
      </c>
    </row>
    <row r="31" customFormat="false" ht="24" hidden="false" customHeight="true" outlineLevel="0" collapsed="false">
      <c r="A31" s="18" t="s">
        <v>59</v>
      </c>
      <c r="B31" s="18" t="s">
        <v>60</v>
      </c>
      <c r="C31" s="18" t="s">
        <v>61</v>
      </c>
      <c r="D31" s="18" t="s">
        <v>62</v>
      </c>
    </row>
    <row r="32" customFormat="false" ht="15" hidden="false" customHeight="false" outlineLevel="0" collapsed="false">
      <c r="A32" s="34" t="str">
        <f aca="false">IF(LARGE('جرد - محرم بك'!$X$7:$X$95,1)&lt;=0,"",INDEX('جرد - محرم بك'!$A$7:$A$95,MATCH(LARGE('جرد - محرم بك'!$X$7:$X$95,1),'جرد - محرم بك'!$X$7:$X$95,0)))</f>
        <v/>
      </c>
      <c r="B32" s="35" t="str">
        <f aca="false">IF($A32="","",INDEX('جرد - محرم بك'!$M$7:$M$95,MATCH(LARGE('جرد - محرم بك'!$X$7:$X$95,1),'جرد - محرم بك'!$X$7:$X$95,0)))</f>
        <v/>
      </c>
      <c r="C32" s="36" t="str">
        <f aca="false">IF($A32="","",INDEX('جرد - محرم بك'!$B$7:$B$95,MATCH(LARGE('جرد - محرم بك'!$X$7:$X$95,1),'جرد - محرم بك'!$X$7:$X$95,0)))</f>
        <v/>
      </c>
      <c r="D32" s="37" t="str">
        <f aca="false">IF($A32="","",INDEX('جرد - محرم بك'!$O$7:$O$95,MATCH(LARGE('جرد - محرم بك'!$X$7:$X$95,1),'جرد - محرم بك'!$X$7:$X$95,0)))</f>
        <v/>
      </c>
    </row>
    <row r="33" customFormat="false" ht="15" hidden="false" customHeight="false" outlineLevel="0" collapsed="false">
      <c r="A33" s="34" t="str">
        <f aca="false">IF(LARGE('جرد - محرم بك'!$X$7:$X$95,2)&lt;=0,"",INDEX('جرد - محرم بك'!$A$7:$A$95,MATCH(LARGE('جرد - محرم بك'!$X$7:$X$95,2),'جرد - محرم بك'!$X$7:$X$95,0)))</f>
        <v/>
      </c>
      <c r="B33" s="35" t="str">
        <f aca="false">IF($A33="","",INDEX('جرد - محرم بك'!$M$7:$M$95,MATCH(LARGE('جرد - محرم بك'!$X$7:$X$95,2),'جرد - محرم بك'!$X$7:$X$95,0)))</f>
        <v/>
      </c>
      <c r="C33" s="36" t="str">
        <f aca="false">IF($A33="","",INDEX('جرد - محرم بك'!$B$7:$B$95,MATCH(LARGE('جرد - محرم بك'!$X$7:$X$95,2),'جرد - محرم بك'!$X$7:$X$95,0)))</f>
        <v/>
      </c>
      <c r="D33" s="37" t="str">
        <f aca="false">IF($A33="","",INDEX('جرد - محرم بك'!$O$7:$O$95,MATCH(LARGE('جرد - محرم بك'!$X$7:$X$95,2),'جرد - محرم بك'!$X$7:$X$95,0)))</f>
        <v/>
      </c>
    </row>
    <row r="34" customFormat="false" ht="15" hidden="false" customHeight="false" outlineLevel="0" collapsed="false">
      <c r="A34" s="34" t="str">
        <f aca="false">IF(LARGE('جرد - محرم بك'!$X$7:$X$95,3)&lt;=0,"",INDEX('جرد - محرم بك'!$A$7:$A$95,MATCH(LARGE('جرد - محرم بك'!$X$7:$X$95,3),'جرد - محرم بك'!$X$7:$X$95,0)))</f>
        <v/>
      </c>
      <c r="B34" s="35" t="str">
        <f aca="false">IF($A34="","",INDEX('جرد - محرم بك'!$M$7:$M$95,MATCH(LARGE('جرد - محرم بك'!$X$7:$X$95,3),'جرد - محرم بك'!$X$7:$X$95,0)))</f>
        <v/>
      </c>
      <c r="C34" s="36" t="str">
        <f aca="false">IF($A34="","",INDEX('جرد - محرم بك'!$B$7:$B$95,MATCH(LARGE('جرد - محرم بك'!$X$7:$X$95,3),'جرد - محرم بك'!$X$7:$X$95,0)))</f>
        <v/>
      </c>
      <c r="D34" s="37" t="str">
        <f aca="false">IF($A34="","",INDEX('جرد - محرم بك'!$O$7:$O$95,MATCH(LARGE('جرد - محرم بك'!$X$7:$X$95,3),'جرد - محرم بك'!$X$7:$X$95,0)))</f>
        <v/>
      </c>
    </row>
    <row r="35" customFormat="false" ht="15" hidden="false" customHeight="false" outlineLevel="0" collapsed="false">
      <c r="A35" s="34" t="str">
        <f aca="false">IF(LARGE('جرد - محرم بك'!$X$7:$X$95,4)&lt;=0,"",INDEX('جرد - محرم بك'!$A$7:$A$95,MATCH(LARGE('جرد - محرم بك'!$X$7:$X$95,4),'جرد - محرم بك'!$X$7:$X$95,0)))</f>
        <v/>
      </c>
      <c r="B35" s="35" t="str">
        <f aca="false">IF($A35="","",INDEX('جرد - محرم بك'!$M$7:$M$95,MATCH(LARGE('جرد - محرم بك'!$X$7:$X$95,4),'جرد - محرم بك'!$X$7:$X$95,0)))</f>
        <v/>
      </c>
      <c r="C35" s="36" t="str">
        <f aca="false">IF($A35="","",INDEX('جرد - محرم بك'!$B$7:$B$95,MATCH(LARGE('جرد - محرم بك'!$X$7:$X$95,4),'جرد - محرم بك'!$X$7:$X$95,0)))</f>
        <v/>
      </c>
      <c r="D35" s="37" t="str">
        <f aca="false">IF($A35="","",INDEX('جرد - محرم بك'!$O$7:$O$95,MATCH(LARGE('جرد - محرم بك'!$X$7:$X$95,4),'جرد - محرم بك'!$X$7:$X$95,0)))</f>
        <v/>
      </c>
    </row>
    <row r="36" customFormat="false" ht="15" hidden="false" customHeight="false" outlineLevel="0" collapsed="false">
      <c r="A36" s="34" t="str">
        <f aca="false">IF(LARGE('جرد - محرم بك'!$X$7:$X$95,5)&lt;=0,"",INDEX('جرد - محرم بك'!$A$7:$A$95,MATCH(LARGE('جرد - محرم بك'!$X$7:$X$95,5),'جرد - محرم بك'!$X$7:$X$95,0)))</f>
        <v/>
      </c>
      <c r="B36" s="35" t="str">
        <f aca="false">IF($A36="","",INDEX('جرد - محرم بك'!$M$7:$M$95,MATCH(LARGE('جرد - محرم بك'!$X$7:$X$95,5),'جرد - محرم بك'!$X$7:$X$95,0)))</f>
        <v/>
      </c>
      <c r="C36" s="36" t="str">
        <f aca="false">IF($A36="","",INDEX('جرد - محرم بك'!$B$7:$B$95,MATCH(LARGE('جرد - محرم بك'!$X$7:$X$95,5),'جرد - محرم بك'!$X$7:$X$95,0)))</f>
        <v/>
      </c>
      <c r="D36" s="37" t="str">
        <f aca="false">IF($A36="","",INDEX('جرد - محرم بك'!$O$7:$O$95,MATCH(LARGE('جرد - محرم بك'!$X$7:$X$95,5),'جرد - محرم بك'!$X$7:$X$95,0)))</f>
        <v/>
      </c>
    </row>
    <row r="37" customFormat="false" ht="15" hidden="false" customHeight="false" outlineLevel="0" collapsed="false">
      <c r="A37" s="34" t="str">
        <f aca="false">IF(LARGE('جرد - محرم بك'!$X$7:$X$95,6)&lt;=0,"",INDEX('جرد - محرم بك'!$A$7:$A$95,MATCH(LARGE('جرد - محرم بك'!$X$7:$X$95,6),'جرد - محرم بك'!$X$7:$X$95,0)))</f>
        <v/>
      </c>
      <c r="B37" s="35" t="str">
        <f aca="false">IF($A37="","",INDEX('جرد - محرم بك'!$M$7:$M$95,MATCH(LARGE('جرد - محرم بك'!$X$7:$X$95,6),'جرد - محرم بك'!$X$7:$X$95,0)))</f>
        <v/>
      </c>
      <c r="C37" s="36" t="str">
        <f aca="false">IF($A37="","",INDEX('جرد - محرم بك'!$B$7:$B$95,MATCH(LARGE('جرد - محرم بك'!$X$7:$X$95,6),'جرد - محرم بك'!$X$7:$X$95,0)))</f>
        <v/>
      </c>
      <c r="D37" s="37" t="str">
        <f aca="false">IF($A37="","",INDEX('جرد - محرم بك'!$O$7:$O$95,MATCH(LARGE('جرد - محرم بك'!$X$7:$X$95,6),'جرد - محرم بك'!$X$7:$X$95,0)))</f>
        <v/>
      </c>
    </row>
    <row r="38" customFormat="false" ht="15" hidden="false" customHeight="false" outlineLevel="0" collapsed="false">
      <c r="A38" s="34" t="str">
        <f aca="false">IF(LARGE('جرد - محرم بك'!$X$7:$X$95,7)&lt;=0,"",INDEX('جرد - محرم بك'!$A$7:$A$95,MATCH(LARGE('جرد - محرم بك'!$X$7:$X$95,7),'جرد - محرم بك'!$X$7:$X$95,0)))</f>
        <v/>
      </c>
      <c r="B38" s="35" t="str">
        <f aca="false">IF($A38="","",INDEX('جرد - محرم بك'!$M$7:$M$95,MATCH(LARGE('جرد - محرم بك'!$X$7:$X$95,7),'جرد - محرم بك'!$X$7:$X$95,0)))</f>
        <v/>
      </c>
      <c r="C38" s="36" t="str">
        <f aca="false">IF($A38="","",INDEX('جرد - محرم بك'!$B$7:$B$95,MATCH(LARGE('جرد - محرم بك'!$X$7:$X$95,7),'جرد - محرم بك'!$X$7:$X$95,0)))</f>
        <v/>
      </c>
      <c r="D38" s="37" t="str">
        <f aca="false">IF($A38="","",INDEX('جرد - محرم بك'!$O$7:$O$95,MATCH(LARGE('جرد - محرم بك'!$X$7:$X$95,7),'جرد - محرم بك'!$X$7:$X$95,0)))</f>
        <v/>
      </c>
    </row>
    <row r="39" customFormat="false" ht="15" hidden="false" customHeight="false" outlineLevel="0" collapsed="false">
      <c r="A39" s="34" t="str">
        <f aca="false">IF(LARGE('جرد - محرم بك'!$X$7:$X$95,8)&lt;=0,"",INDEX('جرد - محرم بك'!$A$7:$A$95,MATCH(LARGE('جرد - محرم بك'!$X$7:$X$95,8),'جرد - محرم بك'!$X$7:$X$95,0)))</f>
        <v/>
      </c>
      <c r="B39" s="35" t="str">
        <f aca="false">IF($A39="","",INDEX('جرد - محرم بك'!$M$7:$M$95,MATCH(LARGE('جرد - محرم بك'!$X$7:$X$95,8),'جرد - محرم بك'!$X$7:$X$95,0)))</f>
        <v/>
      </c>
      <c r="C39" s="36" t="str">
        <f aca="false">IF($A39="","",INDEX('جرد - محرم بك'!$B$7:$B$95,MATCH(LARGE('جرد - محرم بك'!$X$7:$X$95,8),'جرد - محرم بك'!$X$7:$X$95,0)))</f>
        <v/>
      </c>
      <c r="D39" s="37" t="str">
        <f aca="false">IF($A39="","",INDEX('جرد - محرم بك'!$O$7:$O$95,MATCH(LARGE('جرد - محرم بك'!$X$7:$X$95,8),'جرد - محرم بك'!$X$7:$X$95,0)))</f>
        <v/>
      </c>
    </row>
    <row r="40" customFormat="false" ht="15" hidden="false" customHeight="false" outlineLevel="0" collapsed="false">
      <c r="A40" s="34" t="str">
        <f aca="false">IF(LARGE('جرد - محرم بك'!$X$7:$X$95,9)&lt;=0,"",INDEX('جرد - محرم بك'!$A$7:$A$95,MATCH(LARGE('جرد - محرم بك'!$X$7:$X$95,9),'جرد - محرم بك'!$X$7:$X$95,0)))</f>
        <v/>
      </c>
      <c r="B40" s="35" t="str">
        <f aca="false">IF($A40="","",INDEX('جرد - محرم بك'!$M$7:$M$95,MATCH(LARGE('جرد - محرم بك'!$X$7:$X$95,9),'جرد - محرم بك'!$X$7:$X$95,0)))</f>
        <v/>
      </c>
      <c r="C40" s="36" t="str">
        <f aca="false">IF($A40="","",INDEX('جرد - محرم بك'!$B$7:$B$95,MATCH(LARGE('جرد - محرم بك'!$X$7:$X$95,9),'جرد - محرم بك'!$X$7:$X$95,0)))</f>
        <v/>
      </c>
      <c r="D40" s="37" t="str">
        <f aca="false">IF($A40="","",INDEX('جرد - محرم بك'!$O$7:$O$95,MATCH(LARGE('جرد - محرم بك'!$X$7:$X$95,9),'جرد - محرم بك'!$X$7:$X$95,0)))</f>
        <v/>
      </c>
    </row>
    <row r="41" customFormat="false" ht="15" hidden="false" customHeight="false" outlineLevel="0" collapsed="false">
      <c r="A41" s="34" t="str">
        <f aca="false">IF(LARGE('جرد - محرم بك'!$X$7:$X$95,10)&lt;=0,"",INDEX('جرد - محرم بك'!$A$7:$A$95,MATCH(LARGE('جرد - محرم بك'!$X$7:$X$95,10),'جرد - محرم بك'!$X$7:$X$95,0)))</f>
        <v/>
      </c>
      <c r="B41" s="35" t="str">
        <f aca="false">IF($A41="","",INDEX('جرد - محرم بك'!$M$7:$M$95,MATCH(LARGE('جرد - محرم بك'!$X$7:$X$95,10),'جرد - محرم بك'!$X$7:$X$95,0)))</f>
        <v/>
      </c>
      <c r="C41" s="36" t="str">
        <f aca="false">IF($A41="","",INDEX('جرد - محرم بك'!$B$7:$B$95,MATCH(LARGE('جرد - محرم بك'!$X$7:$X$95,10),'جرد - محرم بك'!$X$7:$X$95,0)))</f>
        <v/>
      </c>
      <c r="D41" s="37" t="str">
        <f aca="false">IF($A41="","",INDEX('جرد - محرم بك'!$O$7:$O$95,MATCH(LARGE('جرد - محرم بك'!$X$7:$X$95,10),'جرد - محرم بك'!$X$7:$X$95,0)))</f>
        <v/>
      </c>
    </row>
    <row r="43" customFormat="false" ht="15" hidden="false" customHeight="false" outlineLevel="0" collapsed="false">
      <c r="A43" s="33" t="s">
        <v>63</v>
      </c>
    </row>
    <row r="44" customFormat="false" ht="24" hidden="false" customHeight="true" outlineLevel="0" collapsed="false">
      <c r="A44" s="18" t="s">
        <v>59</v>
      </c>
      <c r="B44" s="18" t="s">
        <v>60</v>
      </c>
      <c r="C44" s="18" t="s">
        <v>61</v>
      </c>
      <c r="D44" s="18" t="s">
        <v>62</v>
      </c>
    </row>
    <row r="45" customFormat="false" ht="15" hidden="false" customHeight="false" outlineLevel="0" collapsed="false">
      <c r="A45" s="34" t="str">
        <f aca="false">IF(LARGE('جرد - ابراهيمية'!$X$7:$X$95,1)&lt;=0,"",INDEX('جرد - ابراهيمية'!$A$7:$A$95,MATCH(LARGE('جرد - ابراهيمية'!$X$7:$X$95,1),'جرد - ابراهيمية'!$X$7:$X$95,0)))</f>
        <v/>
      </c>
      <c r="B45" s="35" t="str">
        <f aca="false">IF($A45="","",INDEX('جرد - ابراهيمية'!$M$7:$M$95,MATCH(LARGE('جرد - ابراهيمية'!$X$7:$X$95,1),'جرد - ابراهيمية'!$X$7:$X$95,0)))</f>
        <v/>
      </c>
      <c r="C45" s="36" t="str">
        <f aca="false">IF($A45="","",INDEX('جرد - ابراهيمية'!$B$7:$B$95,MATCH(LARGE('جرد - ابراهيمية'!$X$7:$X$95,1),'جرد - ابراهيمية'!$X$7:$X$95,0)))</f>
        <v/>
      </c>
      <c r="D45" s="37" t="str">
        <f aca="false">IF($A45="","",INDEX('جرد - ابراهيمية'!$O$7:$O$95,MATCH(LARGE('جرد - ابراهيمية'!$X$7:$X$95,1),'جرد - ابراهيمية'!$X$7:$X$95,0)))</f>
        <v/>
      </c>
    </row>
    <row r="46" customFormat="false" ht="15" hidden="false" customHeight="false" outlineLevel="0" collapsed="false">
      <c r="A46" s="34" t="str">
        <f aca="false">IF(LARGE('جرد - ابراهيمية'!$X$7:$X$95,2)&lt;=0,"",INDEX('جرد - ابراهيمية'!$A$7:$A$95,MATCH(LARGE('جرد - ابراهيمية'!$X$7:$X$95,2),'جرد - ابراهيمية'!$X$7:$X$95,0)))</f>
        <v/>
      </c>
      <c r="B46" s="35" t="str">
        <f aca="false">IF($A46="","",INDEX('جرد - ابراهيمية'!$M$7:$M$95,MATCH(LARGE('جرد - ابراهيمية'!$X$7:$X$95,2),'جرد - ابراهيمية'!$X$7:$X$95,0)))</f>
        <v/>
      </c>
      <c r="C46" s="36" t="str">
        <f aca="false">IF($A46="","",INDEX('جرد - ابراهيمية'!$B$7:$B$95,MATCH(LARGE('جرد - ابراهيمية'!$X$7:$X$95,2),'جرد - ابراهيمية'!$X$7:$X$95,0)))</f>
        <v/>
      </c>
      <c r="D46" s="37" t="str">
        <f aca="false">IF($A46="","",INDEX('جرد - ابراهيمية'!$O$7:$O$95,MATCH(LARGE('جرد - ابراهيمية'!$X$7:$X$95,2),'جرد - ابراهيمية'!$X$7:$X$95,0)))</f>
        <v/>
      </c>
    </row>
    <row r="47" customFormat="false" ht="15" hidden="false" customHeight="false" outlineLevel="0" collapsed="false">
      <c r="A47" s="34" t="str">
        <f aca="false">IF(LARGE('جرد - ابراهيمية'!$X$7:$X$95,3)&lt;=0,"",INDEX('جرد - ابراهيمية'!$A$7:$A$95,MATCH(LARGE('جرد - ابراهيمية'!$X$7:$X$95,3),'جرد - ابراهيمية'!$X$7:$X$95,0)))</f>
        <v/>
      </c>
      <c r="B47" s="35" t="str">
        <f aca="false">IF($A47="","",INDEX('جرد - ابراهيمية'!$M$7:$M$95,MATCH(LARGE('جرد - ابراهيمية'!$X$7:$X$95,3),'جرد - ابراهيمية'!$X$7:$X$95,0)))</f>
        <v/>
      </c>
      <c r="C47" s="36" t="str">
        <f aca="false">IF($A47="","",INDEX('جرد - ابراهيمية'!$B$7:$B$95,MATCH(LARGE('جرد - ابراهيمية'!$X$7:$X$95,3),'جرد - ابراهيمية'!$X$7:$X$95,0)))</f>
        <v/>
      </c>
      <c r="D47" s="37" t="str">
        <f aca="false">IF($A47="","",INDEX('جرد - ابراهيمية'!$O$7:$O$95,MATCH(LARGE('جرد - ابراهيمية'!$X$7:$X$95,3),'جرد - ابراهيمية'!$X$7:$X$95,0)))</f>
        <v/>
      </c>
    </row>
    <row r="48" customFormat="false" ht="15" hidden="false" customHeight="false" outlineLevel="0" collapsed="false">
      <c r="A48" s="34" t="str">
        <f aca="false">IF(LARGE('جرد - ابراهيمية'!$X$7:$X$95,4)&lt;=0,"",INDEX('جرد - ابراهيمية'!$A$7:$A$95,MATCH(LARGE('جرد - ابراهيمية'!$X$7:$X$95,4),'جرد - ابراهيمية'!$X$7:$X$95,0)))</f>
        <v/>
      </c>
      <c r="B48" s="35" t="str">
        <f aca="false">IF($A48="","",INDEX('جرد - ابراهيمية'!$M$7:$M$95,MATCH(LARGE('جرد - ابراهيمية'!$X$7:$X$95,4),'جرد - ابراهيمية'!$X$7:$X$95,0)))</f>
        <v/>
      </c>
      <c r="C48" s="36" t="str">
        <f aca="false">IF($A48="","",INDEX('جرد - ابراهيمية'!$B$7:$B$95,MATCH(LARGE('جرد - ابراهيمية'!$X$7:$X$95,4),'جرد - ابراهيمية'!$X$7:$X$95,0)))</f>
        <v/>
      </c>
      <c r="D48" s="37" t="str">
        <f aca="false">IF($A48="","",INDEX('جرد - ابراهيمية'!$O$7:$O$95,MATCH(LARGE('جرد - ابراهيمية'!$X$7:$X$95,4),'جرد - ابراهيمية'!$X$7:$X$95,0)))</f>
        <v/>
      </c>
    </row>
    <row r="49" customFormat="false" ht="15" hidden="false" customHeight="false" outlineLevel="0" collapsed="false">
      <c r="A49" s="34" t="str">
        <f aca="false">IF(LARGE('جرد - ابراهيمية'!$X$7:$X$95,5)&lt;=0,"",INDEX('جرد - ابراهيمية'!$A$7:$A$95,MATCH(LARGE('جرد - ابراهيمية'!$X$7:$X$95,5),'جرد - ابراهيمية'!$X$7:$X$95,0)))</f>
        <v/>
      </c>
      <c r="B49" s="35" t="str">
        <f aca="false">IF($A49="","",INDEX('جرد - ابراهيمية'!$M$7:$M$95,MATCH(LARGE('جرد - ابراهيمية'!$X$7:$X$95,5),'جرد - ابراهيمية'!$X$7:$X$95,0)))</f>
        <v/>
      </c>
      <c r="C49" s="36" t="str">
        <f aca="false">IF($A49="","",INDEX('جرد - ابراهيمية'!$B$7:$B$95,MATCH(LARGE('جرد - ابراهيمية'!$X$7:$X$95,5),'جرد - ابراهيمية'!$X$7:$X$95,0)))</f>
        <v/>
      </c>
      <c r="D49" s="37" t="str">
        <f aca="false">IF($A49="","",INDEX('جرد - ابراهيمية'!$O$7:$O$95,MATCH(LARGE('جرد - ابراهيمية'!$X$7:$X$95,5),'جرد - ابراهيمية'!$X$7:$X$95,0)))</f>
        <v/>
      </c>
    </row>
    <row r="50" customFormat="false" ht="15" hidden="false" customHeight="false" outlineLevel="0" collapsed="false">
      <c r="A50" s="34" t="str">
        <f aca="false">IF(LARGE('جرد - ابراهيمية'!$X$7:$X$95,6)&lt;=0,"",INDEX('جرد - ابراهيمية'!$A$7:$A$95,MATCH(LARGE('جرد - ابراهيمية'!$X$7:$X$95,6),'جرد - ابراهيمية'!$X$7:$X$95,0)))</f>
        <v/>
      </c>
      <c r="B50" s="35" t="str">
        <f aca="false">IF($A50="","",INDEX('جرد - ابراهيمية'!$M$7:$M$95,MATCH(LARGE('جرد - ابراهيمية'!$X$7:$X$95,6),'جرد - ابراهيمية'!$X$7:$X$95,0)))</f>
        <v/>
      </c>
      <c r="C50" s="36" t="str">
        <f aca="false">IF($A50="","",INDEX('جرد - ابراهيمية'!$B$7:$B$95,MATCH(LARGE('جرد - ابراهيمية'!$X$7:$X$95,6),'جرد - ابراهيمية'!$X$7:$X$95,0)))</f>
        <v/>
      </c>
      <c r="D50" s="37" t="str">
        <f aca="false">IF($A50="","",INDEX('جرد - ابراهيمية'!$O$7:$O$95,MATCH(LARGE('جرد - ابراهيمية'!$X$7:$X$95,6),'جرد - ابراهيمية'!$X$7:$X$95,0)))</f>
        <v/>
      </c>
    </row>
    <row r="51" customFormat="false" ht="15" hidden="false" customHeight="false" outlineLevel="0" collapsed="false">
      <c r="A51" s="34" t="str">
        <f aca="false">IF(LARGE('جرد - ابراهيمية'!$X$7:$X$95,7)&lt;=0,"",INDEX('جرد - ابراهيمية'!$A$7:$A$95,MATCH(LARGE('جرد - ابراهيمية'!$X$7:$X$95,7),'جرد - ابراهيمية'!$X$7:$X$95,0)))</f>
        <v/>
      </c>
      <c r="B51" s="35" t="str">
        <f aca="false">IF($A51="","",INDEX('جرد - ابراهيمية'!$M$7:$M$95,MATCH(LARGE('جرد - ابراهيمية'!$X$7:$X$95,7),'جرد - ابراهيمية'!$X$7:$X$95,0)))</f>
        <v/>
      </c>
      <c r="C51" s="36" t="str">
        <f aca="false">IF($A51="","",INDEX('جرد - ابراهيمية'!$B$7:$B$95,MATCH(LARGE('جرد - ابراهيمية'!$X$7:$X$95,7),'جرد - ابراهيمية'!$X$7:$X$95,0)))</f>
        <v/>
      </c>
      <c r="D51" s="37" t="str">
        <f aca="false">IF($A51="","",INDEX('جرد - ابراهيمية'!$O$7:$O$95,MATCH(LARGE('جرد - ابراهيمية'!$X$7:$X$95,7),'جرد - ابراهيمية'!$X$7:$X$95,0)))</f>
        <v/>
      </c>
    </row>
    <row r="52" customFormat="false" ht="15" hidden="false" customHeight="false" outlineLevel="0" collapsed="false">
      <c r="A52" s="34" t="str">
        <f aca="false">IF(LARGE('جرد - ابراهيمية'!$X$7:$X$95,8)&lt;=0,"",INDEX('جرد - ابراهيمية'!$A$7:$A$95,MATCH(LARGE('جرد - ابراهيمية'!$X$7:$X$95,8),'جرد - ابراهيمية'!$X$7:$X$95,0)))</f>
        <v/>
      </c>
      <c r="B52" s="35" t="str">
        <f aca="false">IF($A52="","",INDEX('جرد - ابراهيمية'!$M$7:$M$95,MATCH(LARGE('جرد - ابراهيمية'!$X$7:$X$95,8),'جرد - ابراهيمية'!$X$7:$X$95,0)))</f>
        <v/>
      </c>
      <c r="C52" s="36" t="str">
        <f aca="false">IF($A52="","",INDEX('جرد - ابراهيمية'!$B$7:$B$95,MATCH(LARGE('جرد - ابراهيمية'!$X$7:$X$95,8),'جرد - ابراهيمية'!$X$7:$X$95,0)))</f>
        <v/>
      </c>
      <c r="D52" s="37" t="str">
        <f aca="false">IF($A52="","",INDEX('جرد - ابراهيمية'!$O$7:$O$95,MATCH(LARGE('جرد - ابراهيمية'!$X$7:$X$95,8),'جرد - ابراهيمية'!$X$7:$X$95,0)))</f>
        <v/>
      </c>
    </row>
    <row r="53" customFormat="false" ht="15" hidden="false" customHeight="false" outlineLevel="0" collapsed="false">
      <c r="A53" s="34" t="str">
        <f aca="false">IF(LARGE('جرد - ابراهيمية'!$X$7:$X$95,9)&lt;=0,"",INDEX('جرد - ابراهيمية'!$A$7:$A$95,MATCH(LARGE('جرد - ابراهيمية'!$X$7:$X$95,9),'جرد - ابراهيمية'!$X$7:$X$95,0)))</f>
        <v/>
      </c>
      <c r="B53" s="35" t="str">
        <f aca="false">IF($A53="","",INDEX('جرد - ابراهيمية'!$M$7:$M$95,MATCH(LARGE('جرد - ابراهيمية'!$X$7:$X$95,9),'جرد - ابراهيمية'!$X$7:$X$95,0)))</f>
        <v/>
      </c>
      <c r="C53" s="36" t="str">
        <f aca="false">IF($A53="","",INDEX('جرد - ابراهيمية'!$B$7:$B$95,MATCH(LARGE('جرد - ابراهيمية'!$X$7:$X$95,9),'جرد - ابراهيمية'!$X$7:$X$95,0)))</f>
        <v/>
      </c>
      <c r="D53" s="37" t="str">
        <f aca="false">IF($A53="","",INDEX('جرد - ابراهيمية'!$O$7:$O$95,MATCH(LARGE('جرد - ابراهيمية'!$X$7:$X$95,9),'جرد - ابراهيمية'!$X$7:$X$95,0)))</f>
        <v/>
      </c>
    </row>
    <row r="54" customFormat="false" ht="15" hidden="false" customHeight="false" outlineLevel="0" collapsed="false">
      <c r="A54" s="34" t="str">
        <f aca="false">IF(LARGE('جرد - ابراهيمية'!$X$7:$X$95,10)&lt;=0,"",INDEX('جرد - ابراهيمية'!$A$7:$A$95,MATCH(LARGE('جرد - ابراهيمية'!$X$7:$X$95,10),'جرد - ابراهيمية'!$X$7:$X$95,0)))</f>
        <v/>
      </c>
      <c r="B54" s="35" t="str">
        <f aca="false">IF($A54="","",INDEX('جرد - ابراهيمية'!$M$7:$M$95,MATCH(LARGE('جرد - ابراهيمية'!$X$7:$X$95,10),'جرد - ابراهيمية'!$X$7:$X$95,0)))</f>
        <v/>
      </c>
      <c r="C54" s="36" t="str">
        <f aca="false">IF($A54="","",INDEX('جرد - ابراهيمية'!$B$7:$B$95,MATCH(LARGE('جرد - ابراهيمية'!$X$7:$X$95,10),'جرد - ابراهيمية'!$X$7:$X$95,0)))</f>
        <v/>
      </c>
      <c r="D54" s="37" t="str">
        <f aca="false">IF($A54="","",INDEX('جرد - ابراهيمية'!$O$7:$O$95,MATCH(LARGE('جرد - ابراهيمية'!$X$7:$X$95,10),'جرد - ابراهيمية'!$X$7:$X$95,0)))</f>
        <v/>
      </c>
    </row>
    <row r="56" customFormat="false" ht="15" hidden="false" customHeight="false" outlineLevel="0" collapsed="false">
      <c r="A56" s="33" t="s">
        <v>64</v>
      </c>
    </row>
    <row r="57" customFormat="false" ht="24" hidden="false" customHeight="true" outlineLevel="0" collapsed="false">
      <c r="A57" s="18" t="s">
        <v>59</v>
      </c>
      <c r="B57" s="18" t="s">
        <v>60</v>
      </c>
      <c r="C57" s="18" t="s">
        <v>61</v>
      </c>
      <c r="D57" s="18" t="s">
        <v>62</v>
      </c>
    </row>
    <row r="58" customFormat="false" ht="15" hidden="false" customHeight="false" outlineLevel="0" collapsed="false">
      <c r="A58" s="34" t="str">
        <f aca="false">IF(LARGE('جرد - عصافرة'!$X$7:$X$95,1)&lt;=0,"",INDEX('جرد - عصافرة'!$A$7:$A$95,MATCH(LARGE('جرد - عصافرة'!$X$7:$X$95,1),'جرد - عصافرة'!$X$7:$X$95,0)))</f>
        <v/>
      </c>
      <c r="B58" s="35" t="str">
        <f aca="false">IF($A58="","",INDEX('جرد - عصافرة'!$M$7:$M$95,MATCH(LARGE('جرد - عصافرة'!$X$7:$X$95,1),'جرد - عصافرة'!$X$7:$X$95,0)))</f>
        <v/>
      </c>
      <c r="C58" s="36" t="str">
        <f aca="false">IF($A58="","",INDEX('جرد - عصافرة'!$B$7:$B$95,MATCH(LARGE('جرد - عصافرة'!$X$7:$X$95,1),'جرد - عصافرة'!$X$7:$X$95,0)))</f>
        <v/>
      </c>
      <c r="D58" s="37" t="str">
        <f aca="false">IF($A58="","",INDEX('جرد - عصافرة'!$O$7:$O$95,MATCH(LARGE('جرد - عصافرة'!$X$7:$X$95,1),'جرد - عصافرة'!$X$7:$X$95,0)))</f>
        <v/>
      </c>
    </row>
    <row r="59" customFormat="false" ht="15" hidden="false" customHeight="false" outlineLevel="0" collapsed="false">
      <c r="A59" s="34" t="str">
        <f aca="false">IF(LARGE('جرد - عصافرة'!$X$7:$X$95,2)&lt;=0,"",INDEX('جرد - عصافرة'!$A$7:$A$95,MATCH(LARGE('جرد - عصافرة'!$X$7:$X$95,2),'جرد - عصافرة'!$X$7:$X$95,0)))</f>
        <v/>
      </c>
      <c r="B59" s="35" t="str">
        <f aca="false">IF($A59="","",INDEX('جرد - عصافرة'!$M$7:$M$95,MATCH(LARGE('جرد - عصافرة'!$X$7:$X$95,2),'جرد - عصافرة'!$X$7:$X$95,0)))</f>
        <v/>
      </c>
      <c r="C59" s="36" t="str">
        <f aca="false">IF($A59="","",INDEX('جرد - عصافرة'!$B$7:$B$95,MATCH(LARGE('جرد - عصافرة'!$X$7:$X$95,2),'جرد - عصافرة'!$X$7:$X$95,0)))</f>
        <v/>
      </c>
      <c r="D59" s="37" t="str">
        <f aca="false">IF($A59="","",INDEX('جرد - عصافرة'!$O$7:$O$95,MATCH(LARGE('جرد - عصافرة'!$X$7:$X$95,2),'جرد - عصافرة'!$X$7:$X$95,0)))</f>
        <v/>
      </c>
    </row>
    <row r="60" customFormat="false" ht="15" hidden="false" customHeight="false" outlineLevel="0" collapsed="false">
      <c r="A60" s="34" t="str">
        <f aca="false">IF(LARGE('جرد - عصافرة'!$X$7:$X$95,3)&lt;=0,"",INDEX('جرد - عصافرة'!$A$7:$A$95,MATCH(LARGE('جرد - عصافرة'!$X$7:$X$95,3),'جرد - عصافرة'!$X$7:$X$95,0)))</f>
        <v/>
      </c>
      <c r="B60" s="35" t="str">
        <f aca="false">IF($A60="","",INDEX('جرد - عصافرة'!$M$7:$M$95,MATCH(LARGE('جرد - عصافرة'!$X$7:$X$95,3),'جرد - عصافرة'!$X$7:$X$95,0)))</f>
        <v/>
      </c>
      <c r="C60" s="36" t="str">
        <f aca="false">IF($A60="","",INDEX('جرد - عصافرة'!$B$7:$B$95,MATCH(LARGE('جرد - عصافرة'!$X$7:$X$95,3),'جرد - عصافرة'!$X$7:$X$95,0)))</f>
        <v/>
      </c>
      <c r="D60" s="37" t="str">
        <f aca="false">IF($A60="","",INDEX('جرد - عصافرة'!$O$7:$O$95,MATCH(LARGE('جرد - عصافرة'!$X$7:$X$95,3),'جرد - عصافرة'!$X$7:$X$95,0)))</f>
        <v/>
      </c>
    </row>
    <row r="61" customFormat="false" ht="15" hidden="false" customHeight="false" outlineLevel="0" collapsed="false">
      <c r="A61" s="34" t="str">
        <f aca="false">IF(LARGE('جرد - عصافرة'!$X$7:$X$95,4)&lt;=0,"",INDEX('جرد - عصافرة'!$A$7:$A$95,MATCH(LARGE('جرد - عصافرة'!$X$7:$X$95,4),'جرد - عصافرة'!$X$7:$X$95,0)))</f>
        <v/>
      </c>
      <c r="B61" s="35" t="str">
        <f aca="false">IF($A61="","",INDEX('جرد - عصافرة'!$M$7:$M$95,MATCH(LARGE('جرد - عصافرة'!$X$7:$X$95,4),'جرد - عصافرة'!$X$7:$X$95,0)))</f>
        <v/>
      </c>
      <c r="C61" s="36" t="str">
        <f aca="false">IF($A61="","",INDEX('جرد - عصافرة'!$B$7:$B$95,MATCH(LARGE('جرد - عصافرة'!$X$7:$X$95,4),'جرد - عصافرة'!$X$7:$X$95,0)))</f>
        <v/>
      </c>
      <c r="D61" s="37" t="str">
        <f aca="false">IF($A61="","",INDEX('جرد - عصافرة'!$O$7:$O$95,MATCH(LARGE('جرد - عصافرة'!$X$7:$X$95,4),'جرد - عصافرة'!$X$7:$X$95,0)))</f>
        <v/>
      </c>
    </row>
    <row r="62" customFormat="false" ht="15" hidden="false" customHeight="false" outlineLevel="0" collapsed="false">
      <c r="A62" s="34" t="str">
        <f aca="false">IF(LARGE('جرد - عصافرة'!$X$7:$X$95,5)&lt;=0,"",INDEX('جرد - عصافرة'!$A$7:$A$95,MATCH(LARGE('جرد - عصافرة'!$X$7:$X$95,5),'جرد - عصافرة'!$X$7:$X$95,0)))</f>
        <v/>
      </c>
      <c r="B62" s="35" t="str">
        <f aca="false">IF($A62="","",INDEX('جرد - عصافرة'!$M$7:$M$95,MATCH(LARGE('جرد - عصافرة'!$X$7:$X$95,5),'جرد - عصافرة'!$X$7:$X$95,0)))</f>
        <v/>
      </c>
      <c r="C62" s="36" t="str">
        <f aca="false">IF($A62="","",INDEX('جرد - عصافرة'!$B$7:$B$95,MATCH(LARGE('جرد - عصافرة'!$X$7:$X$95,5),'جرد - عصافرة'!$X$7:$X$95,0)))</f>
        <v/>
      </c>
      <c r="D62" s="37" t="str">
        <f aca="false">IF($A62="","",INDEX('جرد - عصافرة'!$O$7:$O$95,MATCH(LARGE('جرد - عصافرة'!$X$7:$X$95,5),'جرد - عصافرة'!$X$7:$X$95,0)))</f>
        <v/>
      </c>
    </row>
    <row r="63" customFormat="false" ht="15" hidden="false" customHeight="false" outlineLevel="0" collapsed="false">
      <c r="A63" s="34" t="str">
        <f aca="false">IF(LARGE('جرد - عصافرة'!$X$7:$X$95,6)&lt;=0,"",INDEX('جرد - عصافرة'!$A$7:$A$95,MATCH(LARGE('جرد - عصافرة'!$X$7:$X$95,6),'جرد - عصافرة'!$X$7:$X$95,0)))</f>
        <v/>
      </c>
      <c r="B63" s="35" t="str">
        <f aca="false">IF($A63="","",INDEX('جرد - عصافرة'!$M$7:$M$95,MATCH(LARGE('جرد - عصافرة'!$X$7:$X$95,6),'جرد - عصافرة'!$X$7:$X$95,0)))</f>
        <v/>
      </c>
      <c r="C63" s="36" t="str">
        <f aca="false">IF($A63="","",INDEX('جرد - عصافرة'!$B$7:$B$95,MATCH(LARGE('جرد - عصافرة'!$X$7:$X$95,6),'جرد - عصافرة'!$X$7:$X$95,0)))</f>
        <v/>
      </c>
      <c r="D63" s="37" t="str">
        <f aca="false">IF($A63="","",INDEX('جرد - عصافرة'!$O$7:$O$95,MATCH(LARGE('جرد - عصافرة'!$X$7:$X$95,6),'جرد - عصافرة'!$X$7:$X$95,0)))</f>
        <v/>
      </c>
    </row>
    <row r="64" customFormat="false" ht="15" hidden="false" customHeight="false" outlineLevel="0" collapsed="false">
      <c r="A64" s="34" t="str">
        <f aca="false">IF(LARGE('جرد - عصافرة'!$X$7:$X$95,7)&lt;=0,"",INDEX('جرد - عصافرة'!$A$7:$A$95,MATCH(LARGE('جرد - عصافرة'!$X$7:$X$95,7),'جرد - عصافرة'!$X$7:$X$95,0)))</f>
        <v/>
      </c>
      <c r="B64" s="35" t="str">
        <f aca="false">IF($A64="","",INDEX('جرد - عصافرة'!$M$7:$M$95,MATCH(LARGE('جرد - عصافرة'!$X$7:$X$95,7),'جرد - عصافرة'!$X$7:$X$95,0)))</f>
        <v/>
      </c>
      <c r="C64" s="36" t="str">
        <f aca="false">IF($A64="","",INDEX('جرد - عصافرة'!$B$7:$B$95,MATCH(LARGE('جرد - عصافرة'!$X$7:$X$95,7),'جرد - عصافرة'!$X$7:$X$95,0)))</f>
        <v/>
      </c>
      <c r="D64" s="37" t="str">
        <f aca="false">IF($A64="","",INDEX('جرد - عصافرة'!$O$7:$O$95,MATCH(LARGE('جرد - عصافرة'!$X$7:$X$95,7),'جرد - عصافرة'!$X$7:$X$95,0)))</f>
        <v/>
      </c>
    </row>
    <row r="65" customFormat="false" ht="15" hidden="false" customHeight="false" outlineLevel="0" collapsed="false">
      <c r="A65" s="34" t="str">
        <f aca="false">IF(LARGE('جرد - عصافرة'!$X$7:$X$95,8)&lt;=0,"",INDEX('جرد - عصافرة'!$A$7:$A$95,MATCH(LARGE('جرد - عصافرة'!$X$7:$X$95,8),'جرد - عصافرة'!$X$7:$X$95,0)))</f>
        <v/>
      </c>
      <c r="B65" s="35" t="str">
        <f aca="false">IF($A65="","",INDEX('جرد - عصافرة'!$M$7:$M$95,MATCH(LARGE('جرد - عصافرة'!$X$7:$X$95,8),'جرد - عصافرة'!$X$7:$X$95,0)))</f>
        <v/>
      </c>
      <c r="C65" s="36" t="str">
        <f aca="false">IF($A65="","",INDEX('جرد - عصافرة'!$B$7:$B$95,MATCH(LARGE('جرد - عصافرة'!$X$7:$X$95,8),'جرد - عصافرة'!$X$7:$X$95,0)))</f>
        <v/>
      </c>
      <c r="D65" s="37" t="str">
        <f aca="false">IF($A65="","",INDEX('جرد - عصافرة'!$O$7:$O$95,MATCH(LARGE('جرد - عصافرة'!$X$7:$X$95,8),'جرد - عصافرة'!$X$7:$X$95,0)))</f>
        <v/>
      </c>
    </row>
    <row r="66" customFormat="false" ht="15" hidden="false" customHeight="false" outlineLevel="0" collapsed="false">
      <c r="A66" s="34" t="str">
        <f aca="false">IF(LARGE('جرد - عصافرة'!$X$7:$X$95,9)&lt;=0,"",INDEX('جرد - عصافرة'!$A$7:$A$95,MATCH(LARGE('جرد - عصافرة'!$X$7:$X$95,9),'جرد - عصافرة'!$X$7:$X$95,0)))</f>
        <v/>
      </c>
      <c r="B66" s="35" t="str">
        <f aca="false">IF($A66="","",INDEX('جرد - عصافرة'!$M$7:$M$95,MATCH(LARGE('جرد - عصافرة'!$X$7:$X$95,9),'جرد - عصافرة'!$X$7:$X$95,0)))</f>
        <v/>
      </c>
      <c r="C66" s="36" t="str">
        <f aca="false">IF($A66="","",INDEX('جرد - عصافرة'!$B$7:$B$95,MATCH(LARGE('جرد - عصافرة'!$X$7:$X$95,9),'جرد - عصافرة'!$X$7:$X$95,0)))</f>
        <v/>
      </c>
      <c r="D66" s="37" t="str">
        <f aca="false">IF($A66="","",INDEX('جرد - عصافرة'!$O$7:$O$95,MATCH(LARGE('جرد - عصافرة'!$X$7:$X$95,9),'جرد - عصافرة'!$X$7:$X$95,0)))</f>
        <v/>
      </c>
    </row>
    <row r="67" customFormat="false" ht="15" hidden="false" customHeight="false" outlineLevel="0" collapsed="false">
      <c r="A67" s="34" t="str">
        <f aca="false">IF(LARGE('جرد - عصافرة'!$X$7:$X$95,10)&lt;=0,"",INDEX('جرد - عصافرة'!$A$7:$A$95,MATCH(LARGE('جرد - عصافرة'!$X$7:$X$95,10),'جرد - عصافرة'!$X$7:$X$95,0)))</f>
        <v/>
      </c>
      <c r="B67" s="35" t="str">
        <f aca="false">IF($A67="","",INDEX('جرد - عصافرة'!$M$7:$M$95,MATCH(LARGE('جرد - عصافرة'!$X$7:$X$95,10),'جرد - عصافرة'!$X$7:$X$95,0)))</f>
        <v/>
      </c>
      <c r="C67" s="36" t="str">
        <f aca="false">IF($A67="","",INDEX('جرد - عصافرة'!$B$7:$B$95,MATCH(LARGE('جرد - عصافرة'!$X$7:$X$95,10),'جرد - عصافرة'!$X$7:$X$95,0)))</f>
        <v/>
      </c>
      <c r="D67" s="37" t="str">
        <f aca="false">IF($A67="","",INDEX('جرد - عصافرة'!$O$7:$O$95,MATCH(LARGE('جرد - عصافرة'!$X$7:$X$95,10),'جرد - عصافرة'!$X$7:$X$95,0)))</f>
        <v/>
      </c>
    </row>
    <row r="70" customFormat="false" ht="15" hidden="false" customHeight="false" outlineLevel="0" collapsed="false">
      <c r="A70" s="32" t="s">
        <v>65</v>
      </c>
    </row>
    <row r="71" customFormat="false" ht="30" hidden="false" customHeight="true" outlineLevel="0" collapsed="false">
      <c r="A71" s="18" t="s">
        <v>66</v>
      </c>
      <c r="B71" s="18" t="s">
        <v>67</v>
      </c>
      <c r="C71" s="18" t="s">
        <v>68</v>
      </c>
      <c r="D71" s="18" t="s">
        <v>69</v>
      </c>
      <c r="E71" s="18" t="s">
        <v>70</v>
      </c>
      <c r="F71" s="18" t="s">
        <v>71</v>
      </c>
      <c r="G71" s="18" t="s">
        <v>72</v>
      </c>
    </row>
    <row r="72" customFormat="false" ht="15" hidden="false" customHeight="false" outlineLevel="0" collapsed="false">
      <c r="A72" s="38" t="n">
        <f aca="false">'إعدادات المخزون'!$B$5+0</f>
        <v>46296</v>
      </c>
      <c r="B72" s="39" t="n">
        <f aca="false">SUMIFS('مبيعات يومية'!$F$2:$F$14001,'مبيعات يومية'!$B$2:$B$14001,'إعدادات المخزون'!$A$15,'مبيعات يومية'!$A$2:$A$14001,$A72)</f>
        <v>25466.22818358</v>
      </c>
      <c r="C72" s="39" t="n">
        <f aca="false">SUMIFS('مبيعات يومية'!$F$2:$F$14001,'مبيعات يومية'!$B$2:$B$14001,'إعدادات المخزون'!$A$16,'مبيعات يومية'!$A$2:$A$14001,$A72)</f>
        <v>23196.76092893</v>
      </c>
      <c r="D72" s="39" t="n">
        <f aca="false">SUMIFS('مبيعات يومية'!$F$2:$F$14001,'مبيعات يومية'!$B$2:$B$14001,'إعدادات المخزون'!$A$17,'مبيعات يومية'!$A$2:$A$14001,$A72)</f>
        <v>26153.31909354</v>
      </c>
      <c r="E72" s="39" t="n">
        <f aca="false">SUM(B72:D72)</f>
        <v>74816.30820605</v>
      </c>
      <c r="F72" s="39" t="n">
        <f aca="false">SUMIFS('مشتريات يومية'!$E$2:$E$4001,'مشتريات يومية'!$A$2:$A$4001,$A72)</f>
        <v>488165.53</v>
      </c>
      <c r="G72" s="39" t="n">
        <f aca="false">SUMIFS('مبيعات يومية'!$G$2:$G$14001,'مبيعات يومية'!$A$2:$A$14001,$A72)</f>
        <v>40665.7726074423</v>
      </c>
    </row>
    <row r="73" customFormat="false" ht="15" hidden="false" customHeight="false" outlineLevel="0" collapsed="false">
      <c r="A73" s="38" t="n">
        <f aca="false">'إعدادات المخزون'!$B$5+1</f>
        <v>46297</v>
      </c>
      <c r="B73" s="39" t="n">
        <f aca="false">SUMIFS('مبيعات يومية'!$F$2:$F$14001,'مبيعات يومية'!$B$2:$B$14001,'إعدادات المخزون'!$A$15,'مبيعات يومية'!$A$2:$A$14001,$A73)</f>
        <v>25466.22818358</v>
      </c>
      <c r="C73" s="39" t="n">
        <f aca="false">SUMIFS('مبيعات يومية'!$F$2:$F$14001,'مبيعات يومية'!$B$2:$B$14001,'إعدادات المخزون'!$A$16,'مبيعات يومية'!$A$2:$A$14001,$A73)</f>
        <v>23196.76092893</v>
      </c>
      <c r="D73" s="39" t="n">
        <f aca="false">SUMIFS('مبيعات يومية'!$F$2:$F$14001,'مبيعات يومية'!$B$2:$B$14001,'إعدادات المخزون'!$A$17,'مبيعات يومية'!$A$2:$A$14001,$A73)</f>
        <v>26153.31909354</v>
      </c>
      <c r="E73" s="39" t="n">
        <f aca="false">SUM(B73:D73)</f>
        <v>74816.30820605</v>
      </c>
      <c r="F73" s="39" t="n">
        <f aca="false">SUMIFS('مشتريات يومية'!$E$2:$E$4001,'مشتريات يومية'!$A$2:$A$4001,$A73)</f>
        <v>0</v>
      </c>
      <c r="G73" s="39" t="n">
        <f aca="false">SUMIFS('مبيعات يومية'!$G$2:$G$14001,'مبيعات يومية'!$A$2:$A$14001,$A73)</f>
        <v>40665.7726074423</v>
      </c>
    </row>
    <row r="74" customFormat="false" ht="15" hidden="false" customHeight="false" outlineLevel="0" collapsed="false">
      <c r="A74" s="38" t="n">
        <f aca="false">'إعدادات المخزون'!$B$5+2</f>
        <v>46298</v>
      </c>
      <c r="B74" s="39" t="n">
        <f aca="false">SUMIFS('مبيعات يومية'!$F$2:$F$14001,'مبيعات يومية'!$B$2:$B$14001,'إعدادات المخزون'!$A$15,'مبيعات يومية'!$A$2:$A$14001,$A74)</f>
        <v>25466.22818358</v>
      </c>
      <c r="C74" s="39" t="n">
        <f aca="false">SUMIFS('مبيعات يومية'!$F$2:$F$14001,'مبيعات يومية'!$B$2:$B$14001,'إعدادات المخزون'!$A$16,'مبيعات يومية'!$A$2:$A$14001,$A74)</f>
        <v>23196.76092893</v>
      </c>
      <c r="D74" s="39" t="n">
        <f aca="false">SUMIFS('مبيعات يومية'!$F$2:$F$14001,'مبيعات يومية'!$B$2:$B$14001,'إعدادات المخزون'!$A$17,'مبيعات يومية'!$A$2:$A$14001,$A74)</f>
        <v>26153.31909354</v>
      </c>
      <c r="E74" s="39" t="n">
        <f aca="false">SUM(B74:D74)</f>
        <v>74816.30820605</v>
      </c>
      <c r="F74" s="39" t="n">
        <f aca="false">SUMIFS('مشتريات يومية'!$E$2:$E$4001,'مشتريات يومية'!$A$2:$A$4001,$A74)</f>
        <v>0</v>
      </c>
      <c r="G74" s="39" t="n">
        <f aca="false">SUMIFS('مبيعات يومية'!$G$2:$G$14001,'مبيعات يومية'!$A$2:$A$14001,$A74)</f>
        <v>40665.7726074423</v>
      </c>
    </row>
    <row r="75" customFormat="false" ht="15" hidden="false" customHeight="false" outlineLevel="0" collapsed="false">
      <c r="A75" s="38" t="n">
        <f aca="false">'إعدادات المخزون'!$B$5+3</f>
        <v>46299</v>
      </c>
      <c r="B75" s="39" t="n">
        <f aca="false">SUMIFS('مبيعات يومية'!$F$2:$F$14001,'مبيعات يومية'!$B$2:$B$14001,'إعدادات المخزون'!$A$15,'مبيعات يومية'!$A$2:$A$14001,$A75)</f>
        <v>25466.22818358</v>
      </c>
      <c r="C75" s="39" t="n">
        <f aca="false">SUMIFS('مبيعات يومية'!$F$2:$F$14001,'مبيعات يومية'!$B$2:$B$14001,'إعدادات المخزون'!$A$16,'مبيعات يومية'!$A$2:$A$14001,$A75)</f>
        <v>23196.76092893</v>
      </c>
      <c r="D75" s="39" t="n">
        <f aca="false">SUMIFS('مبيعات يومية'!$F$2:$F$14001,'مبيعات يومية'!$B$2:$B$14001,'إعدادات المخزون'!$A$17,'مبيعات يومية'!$A$2:$A$14001,$A75)</f>
        <v>26153.31909354</v>
      </c>
      <c r="E75" s="39" t="n">
        <f aca="false">SUM(B75:D75)</f>
        <v>74816.30820605</v>
      </c>
      <c r="F75" s="39" t="n">
        <f aca="false">SUMIFS('مشتريات يومية'!$E$2:$E$4001,'مشتريات يومية'!$A$2:$A$4001,$A75)</f>
        <v>0</v>
      </c>
      <c r="G75" s="39" t="n">
        <f aca="false">SUMIFS('مبيعات يومية'!$G$2:$G$14001,'مبيعات يومية'!$A$2:$A$14001,$A75)</f>
        <v>40665.7726074423</v>
      </c>
    </row>
    <row r="76" customFormat="false" ht="15" hidden="false" customHeight="false" outlineLevel="0" collapsed="false">
      <c r="A76" s="38" t="n">
        <f aca="false">'إعدادات المخزون'!$B$5+4</f>
        <v>46300</v>
      </c>
      <c r="B76" s="39" t="n">
        <f aca="false">SUMIFS('مبيعات يومية'!$F$2:$F$14001,'مبيعات يومية'!$B$2:$B$14001,'إعدادات المخزون'!$A$15,'مبيعات يومية'!$A$2:$A$14001,$A76)</f>
        <v>25466.22818358</v>
      </c>
      <c r="C76" s="39" t="n">
        <f aca="false">SUMIFS('مبيعات يومية'!$F$2:$F$14001,'مبيعات يومية'!$B$2:$B$14001,'إعدادات المخزون'!$A$16,'مبيعات يومية'!$A$2:$A$14001,$A76)</f>
        <v>23196.76092893</v>
      </c>
      <c r="D76" s="39" t="n">
        <f aca="false">SUMIFS('مبيعات يومية'!$F$2:$F$14001,'مبيعات يومية'!$B$2:$B$14001,'إعدادات المخزون'!$A$17,'مبيعات يومية'!$A$2:$A$14001,$A76)</f>
        <v>26153.31909354</v>
      </c>
      <c r="E76" s="39" t="n">
        <f aca="false">SUM(B76:D76)</f>
        <v>74816.30820605</v>
      </c>
      <c r="F76" s="39" t="n">
        <f aca="false">SUMIFS('مشتريات يومية'!$E$2:$E$4001,'مشتريات يومية'!$A$2:$A$4001,$A76)</f>
        <v>0</v>
      </c>
      <c r="G76" s="39" t="n">
        <f aca="false">SUMIFS('مبيعات يومية'!$G$2:$G$14001,'مبيعات يومية'!$A$2:$A$14001,$A76)</f>
        <v>40665.7726074423</v>
      </c>
    </row>
    <row r="77" customFormat="false" ht="15" hidden="false" customHeight="false" outlineLevel="0" collapsed="false">
      <c r="A77" s="38" t="n">
        <f aca="false">'إعدادات المخزون'!$B$5+5</f>
        <v>46301</v>
      </c>
      <c r="B77" s="39" t="n">
        <f aca="false">SUMIFS('مبيعات يومية'!$F$2:$F$14001,'مبيعات يومية'!$B$2:$B$14001,'إعدادات المخزون'!$A$15,'مبيعات يومية'!$A$2:$A$14001,$A77)</f>
        <v>25466.22818358</v>
      </c>
      <c r="C77" s="39" t="n">
        <f aca="false">SUMIFS('مبيعات يومية'!$F$2:$F$14001,'مبيعات يومية'!$B$2:$B$14001,'إعدادات المخزون'!$A$16,'مبيعات يومية'!$A$2:$A$14001,$A77)</f>
        <v>23196.76092893</v>
      </c>
      <c r="D77" s="39" t="n">
        <f aca="false">SUMIFS('مبيعات يومية'!$F$2:$F$14001,'مبيعات يومية'!$B$2:$B$14001,'إعدادات المخزون'!$A$17,'مبيعات يومية'!$A$2:$A$14001,$A77)</f>
        <v>26153.31909354</v>
      </c>
      <c r="E77" s="39" t="n">
        <f aca="false">SUM(B77:D77)</f>
        <v>74816.30820605</v>
      </c>
      <c r="F77" s="39" t="n">
        <f aca="false">SUMIFS('مشتريات يومية'!$E$2:$E$4001,'مشتريات يومية'!$A$2:$A$4001,$A77)</f>
        <v>0</v>
      </c>
      <c r="G77" s="39" t="n">
        <f aca="false">SUMIFS('مبيعات يومية'!$G$2:$G$14001,'مبيعات يومية'!$A$2:$A$14001,$A77)</f>
        <v>40665.7726074423</v>
      </c>
    </row>
    <row r="78" customFormat="false" ht="15" hidden="false" customHeight="false" outlineLevel="0" collapsed="false">
      <c r="A78" s="38" t="n">
        <f aca="false">'إعدادات المخزون'!$B$5+6</f>
        <v>46302</v>
      </c>
      <c r="B78" s="39" t="n">
        <f aca="false">SUMIFS('مبيعات يومية'!$F$2:$F$14001,'مبيعات يومية'!$B$2:$B$14001,'إعدادات المخزون'!$A$15,'مبيعات يومية'!$A$2:$A$14001,$A78)</f>
        <v>25466.22818358</v>
      </c>
      <c r="C78" s="39" t="n">
        <f aca="false">SUMIFS('مبيعات يومية'!$F$2:$F$14001,'مبيعات يومية'!$B$2:$B$14001,'إعدادات المخزون'!$A$16,'مبيعات يومية'!$A$2:$A$14001,$A78)</f>
        <v>23196.76092893</v>
      </c>
      <c r="D78" s="39" t="n">
        <f aca="false">SUMIFS('مبيعات يومية'!$F$2:$F$14001,'مبيعات يومية'!$B$2:$B$14001,'إعدادات المخزون'!$A$17,'مبيعات يومية'!$A$2:$A$14001,$A78)</f>
        <v>26153.31909354</v>
      </c>
      <c r="E78" s="39" t="n">
        <f aca="false">SUM(B78:D78)</f>
        <v>74816.30820605</v>
      </c>
      <c r="F78" s="39" t="n">
        <f aca="false">SUMIFS('مشتريات يومية'!$E$2:$E$4001,'مشتريات يومية'!$A$2:$A$4001,$A78)</f>
        <v>0</v>
      </c>
      <c r="G78" s="39" t="n">
        <f aca="false">SUMIFS('مبيعات يومية'!$G$2:$G$14001,'مبيعات يومية'!$A$2:$A$14001,$A78)</f>
        <v>40665.7726074423</v>
      </c>
    </row>
    <row r="79" customFormat="false" ht="15" hidden="false" customHeight="false" outlineLevel="0" collapsed="false">
      <c r="A79" s="38" t="n">
        <f aca="false">'إعدادات المخزون'!$B$5+7</f>
        <v>46303</v>
      </c>
      <c r="B79" s="39" t="n">
        <f aca="false">SUMIFS('مبيعات يومية'!$F$2:$F$14001,'مبيعات يومية'!$B$2:$B$14001,'إعدادات المخزون'!$A$15,'مبيعات يومية'!$A$2:$A$14001,$A79)</f>
        <v>25466.22818358</v>
      </c>
      <c r="C79" s="39" t="n">
        <f aca="false">SUMIFS('مبيعات يومية'!$F$2:$F$14001,'مبيعات يومية'!$B$2:$B$14001,'إعدادات المخزون'!$A$16,'مبيعات يومية'!$A$2:$A$14001,$A79)</f>
        <v>23196.76092893</v>
      </c>
      <c r="D79" s="39" t="n">
        <f aca="false">SUMIFS('مبيعات يومية'!$F$2:$F$14001,'مبيعات يومية'!$B$2:$B$14001,'إعدادات المخزون'!$A$17,'مبيعات يومية'!$A$2:$A$14001,$A79)</f>
        <v>26153.31909354</v>
      </c>
      <c r="E79" s="39" t="n">
        <f aca="false">SUM(B79:D79)</f>
        <v>74816.30820605</v>
      </c>
      <c r="F79" s="39" t="n">
        <f aca="false">SUMIFS('مشتريات يومية'!$E$2:$E$4001,'مشتريات يومية'!$A$2:$A$4001,$A79)</f>
        <v>0</v>
      </c>
      <c r="G79" s="39" t="n">
        <f aca="false">SUMIFS('مبيعات يومية'!$G$2:$G$14001,'مبيعات يومية'!$A$2:$A$14001,$A79)</f>
        <v>40665.7726074423</v>
      </c>
    </row>
    <row r="80" customFormat="false" ht="15" hidden="false" customHeight="false" outlineLevel="0" collapsed="false">
      <c r="A80" s="38" t="n">
        <f aca="false">'إعدادات المخزون'!$B$5+8</f>
        <v>46304</v>
      </c>
      <c r="B80" s="39" t="n">
        <f aca="false">SUMIFS('مبيعات يومية'!$F$2:$F$14001,'مبيعات يومية'!$B$2:$B$14001,'إعدادات المخزون'!$A$15,'مبيعات يومية'!$A$2:$A$14001,$A80)</f>
        <v>25466.22818358</v>
      </c>
      <c r="C80" s="39" t="n">
        <f aca="false">SUMIFS('مبيعات يومية'!$F$2:$F$14001,'مبيعات يومية'!$B$2:$B$14001,'إعدادات المخزون'!$A$16,'مبيعات يومية'!$A$2:$A$14001,$A80)</f>
        <v>23196.76092893</v>
      </c>
      <c r="D80" s="39" t="n">
        <f aca="false">SUMIFS('مبيعات يومية'!$F$2:$F$14001,'مبيعات يومية'!$B$2:$B$14001,'إعدادات المخزون'!$A$17,'مبيعات يومية'!$A$2:$A$14001,$A80)</f>
        <v>26153.31909354</v>
      </c>
      <c r="E80" s="39" t="n">
        <f aca="false">SUM(B80:D80)</f>
        <v>74816.30820605</v>
      </c>
      <c r="F80" s="39" t="n">
        <f aca="false">SUMIFS('مشتريات يومية'!$E$2:$E$4001,'مشتريات يومية'!$A$2:$A$4001,$A80)</f>
        <v>0</v>
      </c>
      <c r="G80" s="39" t="n">
        <f aca="false">SUMIFS('مبيعات يومية'!$G$2:$G$14001,'مبيعات يومية'!$A$2:$A$14001,$A80)</f>
        <v>40665.7726074423</v>
      </c>
    </row>
    <row r="81" customFormat="false" ht="15" hidden="false" customHeight="false" outlineLevel="0" collapsed="false">
      <c r="A81" s="38" t="n">
        <f aca="false">'إعدادات المخزون'!$B$5+9</f>
        <v>46305</v>
      </c>
      <c r="B81" s="39" t="n">
        <f aca="false">SUMIFS('مبيعات يومية'!$F$2:$F$14001,'مبيعات يومية'!$B$2:$B$14001,'إعدادات المخزون'!$A$15,'مبيعات يومية'!$A$2:$A$14001,$A81)</f>
        <v>25466.22818358</v>
      </c>
      <c r="C81" s="39" t="n">
        <f aca="false">SUMIFS('مبيعات يومية'!$F$2:$F$14001,'مبيعات يومية'!$B$2:$B$14001,'إعدادات المخزون'!$A$16,'مبيعات يومية'!$A$2:$A$14001,$A81)</f>
        <v>23196.76092893</v>
      </c>
      <c r="D81" s="39" t="n">
        <f aca="false">SUMIFS('مبيعات يومية'!$F$2:$F$14001,'مبيعات يومية'!$B$2:$B$14001,'إعدادات المخزون'!$A$17,'مبيعات يومية'!$A$2:$A$14001,$A81)</f>
        <v>26153.31909354</v>
      </c>
      <c r="E81" s="39" t="n">
        <f aca="false">SUM(B81:D81)</f>
        <v>74816.30820605</v>
      </c>
      <c r="F81" s="39" t="n">
        <f aca="false">SUMIFS('مشتريات يومية'!$E$2:$E$4001,'مشتريات يومية'!$A$2:$A$4001,$A81)</f>
        <v>0</v>
      </c>
      <c r="G81" s="39" t="n">
        <f aca="false">SUMIFS('مبيعات يومية'!$G$2:$G$14001,'مبيعات يومية'!$A$2:$A$14001,$A81)</f>
        <v>40665.7726074423</v>
      </c>
    </row>
    <row r="82" customFormat="false" ht="15" hidden="false" customHeight="false" outlineLevel="0" collapsed="false">
      <c r="A82" s="38" t="n">
        <f aca="false">'إعدادات المخزون'!$B$5+10</f>
        <v>46306</v>
      </c>
      <c r="B82" s="39" t="n">
        <f aca="false">SUMIFS('مبيعات يومية'!$F$2:$F$14001,'مبيعات يومية'!$B$2:$B$14001,'إعدادات المخزون'!$A$15,'مبيعات يومية'!$A$2:$A$14001,$A82)</f>
        <v>25466.22818358</v>
      </c>
      <c r="C82" s="39" t="n">
        <f aca="false">SUMIFS('مبيعات يومية'!$F$2:$F$14001,'مبيعات يومية'!$B$2:$B$14001,'إعدادات المخزون'!$A$16,'مبيعات يومية'!$A$2:$A$14001,$A82)</f>
        <v>23196.76092893</v>
      </c>
      <c r="D82" s="39" t="n">
        <f aca="false">SUMIFS('مبيعات يومية'!$F$2:$F$14001,'مبيعات يومية'!$B$2:$B$14001,'إعدادات المخزون'!$A$17,'مبيعات يومية'!$A$2:$A$14001,$A82)</f>
        <v>26153.31909354</v>
      </c>
      <c r="E82" s="39" t="n">
        <f aca="false">SUM(B82:D82)</f>
        <v>74816.30820605</v>
      </c>
      <c r="F82" s="39" t="n">
        <f aca="false">SUMIFS('مشتريات يومية'!$E$2:$E$4001,'مشتريات يومية'!$A$2:$A$4001,$A82)</f>
        <v>0</v>
      </c>
      <c r="G82" s="39" t="n">
        <f aca="false">SUMIFS('مبيعات يومية'!$G$2:$G$14001,'مبيعات يومية'!$A$2:$A$14001,$A82)</f>
        <v>40665.7726074423</v>
      </c>
    </row>
    <row r="83" customFormat="false" ht="15" hidden="false" customHeight="false" outlineLevel="0" collapsed="false">
      <c r="A83" s="38" t="n">
        <f aca="false">'إعدادات المخزون'!$B$5+11</f>
        <v>46307</v>
      </c>
      <c r="B83" s="39" t="n">
        <f aca="false">SUMIFS('مبيعات يومية'!$F$2:$F$14001,'مبيعات يومية'!$B$2:$B$14001,'إعدادات المخزون'!$A$15,'مبيعات يومية'!$A$2:$A$14001,$A83)</f>
        <v>25466.22818358</v>
      </c>
      <c r="C83" s="39" t="n">
        <f aca="false">SUMIFS('مبيعات يومية'!$F$2:$F$14001,'مبيعات يومية'!$B$2:$B$14001,'إعدادات المخزون'!$A$16,'مبيعات يومية'!$A$2:$A$14001,$A83)</f>
        <v>23196.76092893</v>
      </c>
      <c r="D83" s="39" t="n">
        <f aca="false">SUMIFS('مبيعات يومية'!$F$2:$F$14001,'مبيعات يومية'!$B$2:$B$14001,'إعدادات المخزون'!$A$17,'مبيعات يومية'!$A$2:$A$14001,$A83)</f>
        <v>26153.31909354</v>
      </c>
      <c r="E83" s="39" t="n">
        <f aca="false">SUM(B83:D83)</f>
        <v>74816.30820605</v>
      </c>
      <c r="F83" s="39" t="n">
        <f aca="false">SUMIFS('مشتريات يومية'!$E$2:$E$4001,'مشتريات يومية'!$A$2:$A$4001,$A83)</f>
        <v>0</v>
      </c>
      <c r="G83" s="39" t="n">
        <f aca="false">SUMIFS('مبيعات يومية'!$G$2:$G$14001,'مبيعات يومية'!$A$2:$A$14001,$A83)</f>
        <v>40665.7726074423</v>
      </c>
    </row>
    <row r="84" customFormat="false" ht="15" hidden="false" customHeight="false" outlineLevel="0" collapsed="false">
      <c r="A84" s="38" t="n">
        <f aca="false">'إعدادات المخزون'!$B$5+12</f>
        <v>46308</v>
      </c>
      <c r="B84" s="39" t="n">
        <f aca="false">SUMIFS('مبيعات يومية'!$F$2:$F$14001,'مبيعات يومية'!$B$2:$B$14001,'إعدادات المخزون'!$A$15,'مبيعات يومية'!$A$2:$A$14001,$A84)</f>
        <v>0</v>
      </c>
      <c r="C84" s="39" t="n">
        <f aca="false">SUMIFS('مبيعات يومية'!$F$2:$F$14001,'مبيعات يومية'!$B$2:$B$14001,'إعدادات المخزون'!$A$16,'مبيعات يومية'!$A$2:$A$14001,$A84)</f>
        <v>0</v>
      </c>
      <c r="D84" s="39" t="n">
        <f aca="false">SUMIFS('مبيعات يومية'!$F$2:$F$14001,'مبيعات يومية'!$B$2:$B$14001,'إعدادات المخزون'!$A$17,'مبيعات يومية'!$A$2:$A$14001,$A84)</f>
        <v>0</v>
      </c>
      <c r="E84" s="39" t="n">
        <f aca="false">SUM(B84:D84)</f>
        <v>0</v>
      </c>
      <c r="F84" s="39" t="n">
        <f aca="false">SUMIFS('مشتريات يومية'!$E$2:$E$4001,'مشتريات يومية'!$A$2:$A$4001,$A84)</f>
        <v>0</v>
      </c>
      <c r="G84" s="39" t="n">
        <f aca="false">SUMIFS('مبيعات يومية'!$G$2:$G$14001,'مبيعات يومية'!$A$2:$A$14001,$A84)</f>
        <v>0</v>
      </c>
    </row>
    <row r="85" customFormat="false" ht="15" hidden="false" customHeight="false" outlineLevel="0" collapsed="false">
      <c r="A85" s="38" t="n">
        <f aca="false">'إعدادات المخزون'!$B$5+13</f>
        <v>46309</v>
      </c>
      <c r="B85" s="39" t="n">
        <f aca="false">SUMIFS('مبيعات يومية'!$F$2:$F$14001,'مبيعات يومية'!$B$2:$B$14001,'إعدادات المخزون'!$A$15,'مبيعات يومية'!$A$2:$A$14001,$A85)</f>
        <v>0</v>
      </c>
      <c r="C85" s="39" t="n">
        <f aca="false">SUMIFS('مبيعات يومية'!$F$2:$F$14001,'مبيعات يومية'!$B$2:$B$14001,'إعدادات المخزون'!$A$16,'مبيعات يومية'!$A$2:$A$14001,$A85)</f>
        <v>0</v>
      </c>
      <c r="D85" s="39" t="n">
        <f aca="false">SUMIFS('مبيعات يومية'!$F$2:$F$14001,'مبيعات يومية'!$B$2:$B$14001,'إعدادات المخزون'!$A$17,'مبيعات يومية'!$A$2:$A$14001,$A85)</f>
        <v>0</v>
      </c>
      <c r="E85" s="39" t="n">
        <f aca="false">SUM(B85:D85)</f>
        <v>0</v>
      </c>
      <c r="F85" s="39" t="n">
        <f aca="false">SUMIFS('مشتريات يومية'!$E$2:$E$4001,'مشتريات يومية'!$A$2:$A$4001,$A85)</f>
        <v>0</v>
      </c>
      <c r="G85" s="39" t="n">
        <f aca="false">SUMIFS('مبيعات يومية'!$G$2:$G$14001,'مبيعات يومية'!$A$2:$A$14001,$A85)</f>
        <v>0</v>
      </c>
    </row>
    <row r="86" customFormat="false" ht="15" hidden="false" customHeight="false" outlineLevel="0" collapsed="false">
      <c r="A86" s="38" t="n">
        <f aca="false">'إعدادات المخزون'!$B$5+14</f>
        <v>46310</v>
      </c>
      <c r="B86" s="39" t="n">
        <f aca="false">SUMIFS('مبيعات يومية'!$F$2:$F$14001,'مبيعات يومية'!$B$2:$B$14001,'إعدادات المخزون'!$A$15,'مبيعات يومية'!$A$2:$A$14001,$A86)</f>
        <v>0</v>
      </c>
      <c r="C86" s="39" t="n">
        <f aca="false">SUMIFS('مبيعات يومية'!$F$2:$F$14001,'مبيعات يومية'!$B$2:$B$14001,'إعدادات المخزون'!$A$16,'مبيعات يومية'!$A$2:$A$14001,$A86)</f>
        <v>0</v>
      </c>
      <c r="D86" s="39" t="n">
        <f aca="false">SUMIFS('مبيعات يومية'!$F$2:$F$14001,'مبيعات يومية'!$B$2:$B$14001,'إعدادات المخزون'!$A$17,'مبيعات يومية'!$A$2:$A$14001,$A86)</f>
        <v>0</v>
      </c>
      <c r="E86" s="39" t="n">
        <f aca="false">SUM(B86:D86)</f>
        <v>0</v>
      </c>
      <c r="F86" s="39" t="n">
        <f aca="false">SUMIFS('مشتريات يومية'!$E$2:$E$4001,'مشتريات يومية'!$A$2:$A$4001,$A86)</f>
        <v>0</v>
      </c>
      <c r="G86" s="39" t="n">
        <f aca="false">SUMIFS('مبيعات يومية'!$G$2:$G$14001,'مبيعات يومية'!$A$2:$A$14001,$A86)</f>
        <v>0</v>
      </c>
    </row>
    <row r="87" customFormat="false" ht="15" hidden="false" customHeight="false" outlineLevel="0" collapsed="false">
      <c r="A87" s="38" t="n">
        <f aca="false">'إعدادات المخزون'!$B$5+15</f>
        <v>46311</v>
      </c>
      <c r="B87" s="39" t="n">
        <f aca="false">SUMIFS('مبيعات يومية'!$F$2:$F$14001,'مبيعات يومية'!$B$2:$B$14001,'إعدادات المخزون'!$A$15,'مبيعات يومية'!$A$2:$A$14001,$A87)</f>
        <v>0</v>
      </c>
      <c r="C87" s="39" t="n">
        <f aca="false">SUMIFS('مبيعات يومية'!$F$2:$F$14001,'مبيعات يومية'!$B$2:$B$14001,'إعدادات المخزون'!$A$16,'مبيعات يومية'!$A$2:$A$14001,$A87)</f>
        <v>0</v>
      </c>
      <c r="D87" s="39" t="n">
        <f aca="false">SUMIFS('مبيعات يومية'!$F$2:$F$14001,'مبيعات يومية'!$B$2:$B$14001,'إعدادات المخزون'!$A$17,'مبيعات يومية'!$A$2:$A$14001,$A87)</f>
        <v>0</v>
      </c>
      <c r="E87" s="39" t="n">
        <f aca="false">SUM(B87:D87)</f>
        <v>0</v>
      </c>
      <c r="F87" s="39" t="n">
        <f aca="false">SUMIFS('مشتريات يومية'!$E$2:$E$4001,'مشتريات يومية'!$A$2:$A$4001,$A87)</f>
        <v>0</v>
      </c>
      <c r="G87" s="39" t="n">
        <f aca="false">SUMIFS('مبيعات يومية'!$G$2:$G$14001,'مبيعات يومية'!$A$2:$A$14001,$A87)</f>
        <v>0</v>
      </c>
    </row>
    <row r="88" customFormat="false" ht="15" hidden="false" customHeight="false" outlineLevel="0" collapsed="false">
      <c r="A88" s="38" t="n">
        <f aca="false">'إعدادات المخزون'!$B$5+16</f>
        <v>46312</v>
      </c>
      <c r="B88" s="39" t="n">
        <f aca="false">SUMIFS('مبيعات يومية'!$F$2:$F$14001,'مبيعات يومية'!$B$2:$B$14001,'إعدادات المخزون'!$A$15,'مبيعات يومية'!$A$2:$A$14001,$A88)</f>
        <v>0</v>
      </c>
      <c r="C88" s="39" t="n">
        <f aca="false">SUMIFS('مبيعات يومية'!$F$2:$F$14001,'مبيعات يومية'!$B$2:$B$14001,'إعدادات المخزون'!$A$16,'مبيعات يومية'!$A$2:$A$14001,$A88)</f>
        <v>0</v>
      </c>
      <c r="D88" s="39" t="n">
        <f aca="false">SUMIFS('مبيعات يومية'!$F$2:$F$14001,'مبيعات يومية'!$B$2:$B$14001,'إعدادات المخزون'!$A$17,'مبيعات يومية'!$A$2:$A$14001,$A88)</f>
        <v>0</v>
      </c>
      <c r="E88" s="39" t="n">
        <f aca="false">SUM(B88:D88)</f>
        <v>0</v>
      </c>
      <c r="F88" s="39" t="n">
        <f aca="false">SUMIFS('مشتريات يومية'!$E$2:$E$4001,'مشتريات يومية'!$A$2:$A$4001,$A88)</f>
        <v>0</v>
      </c>
      <c r="G88" s="39" t="n">
        <f aca="false">SUMIFS('مبيعات يومية'!$G$2:$G$14001,'مبيعات يومية'!$A$2:$A$14001,$A88)</f>
        <v>0</v>
      </c>
    </row>
    <row r="89" customFormat="false" ht="15" hidden="false" customHeight="false" outlineLevel="0" collapsed="false">
      <c r="A89" s="38" t="n">
        <f aca="false">'إعدادات المخزون'!$B$5+17</f>
        <v>46313</v>
      </c>
      <c r="B89" s="39" t="n">
        <f aca="false">SUMIFS('مبيعات يومية'!$F$2:$F$14001,'مبيعات يومية'!$B$2:$B$14001,'إعدادات المخزون'!$A$15,'مبيعات يومية'!$A$2:$A$14001,$A89)</f>
        <v>0</v>
      </c>
      <c r="C89" s="39" t="n">
        <f aca="false">SUMIFS('مبيعات يومية'!$F$2:$F$14001,'مبيعات يومية'!$B$2:$B$14001,'إعدادات المخزون'!$A$16,'مبيعات يومية'!$A$2:$A$14001,$A89)</f>
        <v>0</v>
      </c>
      <c r="D89" s="39" t="n">
        <f aca="false">SUMIFS('مبيعات يومية'!$F$2:$F$14001,'مبيعات يومية'!$B$2:$B$14001,'إعدادات المخزون'!$A$17,'مبيعات يومية'!$A$2:$A$14001,$A89)</f>
        <v>0</v>
      </c>
      <c r="E89" s="39" t="n">
        <f aca="false">SUM(B89:D89)</f>
        <v>0</v>
      </c>
      <c r="F89" s="39" t="n">
        <f aca="false">SUMIFS('مشتريات يومية'!$E$2:$E$4001,'مشتريات يومية'!$A$2:$A$4001,$A89)</f>
        <v>0</v>
      </c>
      <c r="G89" s="39" t="n">
        <f aca="false">SUMIFS('مبيعات يومية'!$G$2:$G$14001,'مبيعات يومية'!$A$2:$A$14001,$A89)</f>
        <v>0</v>
      </c>
    </row>
    <row r="90" customFormat="false" ht="15" hidden="false" customHeight="false" outlineLevel="0" collapsed="false">
      <c r="A90" s="38" t="n">
        <f aca="false">'إعدادات المخزون'!$B$5+18</f>
        <v>46314</v>
      </c>
      <c r="B90" s="39" t="n">
        <f aca="false">SUMIFS('مبيعات يومية'!$F$2:$F$14001,'مبيعات يومية'!$B$2:$B$14001,'إعدادات المخزون'!$A$15,'مبيعات يومية'!$A$2:$A$14001,$A90)</f>
        <v>0</v>
      </c>
      <c r="C90" s="39" t="n">
        <f aca="false">SUMIFS('مبيعات يومية'!$F$2:$F$14001,'مبيعات يومية'!$B$2:$B$14001,'إعدادات المخزون'!$A$16,'مبيعات يومية'!$A$2:$A$14001,$A90)</f>
        <v>0</v>
      </c>
      <c r="D90" s="39" t="n">
        <f aca="false">SUMIFS('مبيعات يومية'!$F$2:$F$14001,'مبيعات يومية'!$B$2:$B$14001,'إعدادات المخزون'!$A$17,'مبيعات يومية'!$A$2:$A$14001,$A90)</f>
        <v>0</v>
      </c>
      <c r="E90" s="39" t="n">
        <f aca="false">SUM(B90:D90)</f>
        <v>0</v>
      </c>
      <c r="F90" s="39" t="n">
        <f aca="false">SUMIFS('مشتريات يومية'!$E$2:$E$4001,'مشتريات يومية'!$A$2:$A$4001,$A90)</f>
        <v>0</v>
      </c>
      <c r="G90" s="39" t="n">
        <f aca="false">SUMIFS('مبيعات يومية'!$G$2:$G$14001,'مبيعات يومية'!$A$2:$A$14001,$A90)</f>
        <v>0</v>
      </c>
    </row>
    <row r="91" customFormat="false" ht="15" hidden="false" customHeight="false" outlineLevel="0" collapsed="false">
      <c r="A91" s="38" t="n">
        <f aca="false">'إعدادات المخزون'!$B$5+19</f>
        <v>46315</v>
      </c>
      <c r="B91" s="39" t="n">
        <f aca="false">SUMIFS('مبيعات يومية'!$F$2:$F$14001,'مبيعات يومية'!$B$2:$B$14001,'إعدادات المخزون'!$A$15,'مبيعات يومية'!$A$2:$A$14001,$A91)</f>
        <v>0</v>
      </c>
      <c r="C91" s="39" t="n">
        <f aca="false">SUMIFS('مبيعات يومية'!$F$2:$F$14001,'مبيعات يومية'!$B$2:$B$14001,'إعدادات المخزون'!$A$16,'مبيعات يومية'!$A$2:$A$14001,$A91)</f>
        <v>0</v>
      </c>
      <c r="D91" s="39" t="n">
        <f aca="false">SUMIFS('مبيعات يومية'!$F$2:$F$14001,'مبيعات يومية'!$B$2:$B$14001,'إعدادات المخزون'!$A$17,'مبيعات يومية'!$A$2:$A$14001,$A91)</f>
        <v>0</v>
      </c>
      <c r="E91" s="39" t="n">
        <f aca="false">SUM(B91:D91)</f>
        <v>0</v>
      </c>
      <c r="F91" s="39" t="n">
        <f aca="false">SUMIFS('مشتريات يومية'!$E$2:$E$4001,'مشتريات يومية'!$A$2:$A$4001,$A91)</f>
        <v>0</v>
      </c>
      <c r="G91" s="39" t="n">
        <f aca="false">SUMIFS('مبيعات يومية'!$G$2:$G$14001,'مبيعات يومية'!$A$2:$A$14001,$A91)</f>
        <v>0</v>
      </c>
    </row>
    <row r="92" customFormat="false" ht="15" hidden="false" customHeight="false" outlineLevel="0" collapsed="false">
      <c r="A92" s="38" t="n">
        <f aca="false">'إعدادات المخزون'!$B$5+20</f>
        <v>46316</v>
      </c>
      <c r="B92" s="39" t="n">
        <f aca="false">SUMIFS('مبيعات يومية'!$F$2:$F$14001,'مبيعات يومية'!$B$2:$B$14001,'إعدادات المخزون'!$A$15,'مبيعات يومية'!$A$2:$A$14001,$A92)</f>
        <v>0</v>
      </c>
      <c r="C92" s="39" t="n">
        <f aca="false">SUMIFS('مبيعات يومية'!$F$2:$F$14001,'مبيعات يومية'!$B$2:$B$14001,'إعدادات المخزون'!$A$16,'مبيعات يومية'!$A$2:$A$14001,$A92)</f>
        <v>0</v>
      </c>
      <c r="D92" s="39" t="n">
        <f aca="false">SUMIFS('مبيعات يومية'!$F$2:$F$14001,'مبيعات يومية'!$B$2:$B$14001,'إعدادات المخزون'!$A$17,'مبيعات يومية'!$A$2:$A$14001,$A92)</f>
        <v>0</v>
      </c>
      <c r="E92" s="39" t="n">
        <f aca="false">SUM(B92:D92)</f>
        <v>0</v>
      </c>
      <c r="F92" s="39" t="n">
        <f aca="false">SUMIFS('مشتريات يومية'!$E$2:$E$4001,'مشتريات يومية'!$A$2:$A$4001,$A92)</f>
        <v>0</v>
      </c>
      <c r="G92" s="39" t="n">
        <f aca="false">SUMIFS('مبيعات يومية'!$G$2:$G$14001,'مبيعات يومية'!$A$2:$A$14001,$A92)</f>
        <v>0</v>
      </c>
    </row>
    <row r="93" customFormat="false" ht="15" hidden="false" customHeight="false" outlineLevel="0" collapsed="false">
      <c r="A93" s="38" t="n">
        <f aca="false">'إعدادات المخزون'!$B$5+21</f>
        <v>46317</v>
      </c>
      <c r="B93" s="39" t="n">
        <f aca="false">SUMIFS('مبيعات يومية'!$F$2:$F$14001,'مبيعات يومية'!$B$2:$B$14001,'إعدادات المخزون'!$A$15,'مبيعات يومية'!$A$2:$A$14001,$A93)</f>
        <v>0</v>
      </c>
      <c r="C93" s="39" t="n">
        <f aca="false">SUMIFS('مبيعات يومية'!$F$2:$F$14001,'مبيعات يومية'!$B$2:$B$14001,'إعدادات المخزون'!$A$16,'مبيعات يومية'!$A$2:$A$14001,$A93)</f>
        <v>0</v>
      </c>
      <c r="D93" s="39" t="n">
        <f aca="false">SUMIFS('مبيعات يومية'!$F$2:$F$14001,'مبيعات يومية'!$B$2:$B$14001,'إعدادات المخزون'!$A$17,'مبيعات يومية'!$A$2:$A$14001,$A93)</f>
        <v>0</v>
      </c>
      <c r="E93" s="39" t="n">
        <f aca="false">SUM(B93:D93)</f>
        <v>0</v>
      </c>
      <c r="F93" s="39" t="n">
        <f aca="false">SUMIFS('مشتريات يومية'!$E$2:$E$4001,'مشتريات يومية'!$A$2:$A$4001,$A93)</f>
        <v>0</v>
      </c>
      <c r="G93" s="39" t="n">
        <f aca="false">SUMIFS('مبيعات يومية'!$G$2:$G$14001,'مبيعات يومية'!$A$2:$A$14001,$A93)</f>
        <v>0</v>
      </c>
    </row>
    <row r="94" customFormat="false" ht="15" hidden="false" customHeight="false" outlineLevel="0" collapsed="false">
      <c r="A94" s="38" t="n">
        <f aca="false">'إعدادات المخزون'!$B$5+22</f>
        <v>46318</v>
      </c>
      <c r="B94" s="39" t="n">
        <f aca="false">SUMIFS('مبيعات يومية'!$F$2:$F$14001,'مبيعات يومية'!$B$2:$B$14001,'إعدادات المخزون'!$A$15,'مبيعات يومية'!$A$2:$A$14001,$A94)</f>
        <v>0</v>
      </c>
      <c r="C94" s="39" t="n">
        <f aca="false">SUMIFS('مبيعات يومية'!$F$2:$F$14001,'مبيعات يومية'!$B$2:$B$14001,'إعدادات المخزون'!$A$16,'مبيعات يومية'!$A$2:$A$14001,$A94)</f>
        <v>0</v>
      </c>
      <c r="D94" s="39" t="n">
        <f aca="false">SUMIFS('مبيعات يومية'!$F$2:$F$14001,'مبيعات يومية'!$B$2:$B$14001,'إعدادات المخزون'!$A$17,'مبيعات يومية'!$A$2:$A$14001,$A94)</f>
        <v>0</v>
      </c>
      <c r="E94" s="39" t="n">
        <f aca="false">SUM(B94:D94)</f>
        <v>0</v>
      </c>
      <c r="F94" s="39" t="n">
        <f aca="false">SUMIFS('مشتريات يومية'!$E$2:$E$4001,'مشتريات يومية'!$A$2:$A$4001,$A94)</f>
        <v>0</v>
      </c>
      <c r="G94" s="39" t="n">
        <f aca="false">SUMIFS('مبيعات يومية'!$G$2:$G$14001,'مبيعات يومية'!$A$2:$A$14001,$A94)</f>
        <v>0</v>
      </c>
    </row>
    <row r="95" customFormat="false" ht="15" hidden="false" customHeight="false" outlineLevel="0" collapsed="false">
      <c r="A95" s="38" t="n">
        <f aca="false">'إعدادات المخزون'!$B$5+23</f>
        <v>46319</v>
      </c>
      <c r="B95" s="39" t="n">
        <f aca="false">SUMIFS('مبيعات يومية'!$F$2:$F$14001,'مبيعات يومية'!$B$2:$B$14001,'إعدادات المخزون'!$A$15,'مبيعات يومية'!$A$2:$A$14001,$A95)</f>
        <v>0</v>
      </c>
      <c r="C95" s="39" t="n">
        <f aca="false">SUMIFS('مبيعات يومية'!$F$2:$F$14001,'مبيعات يومية'!$B$2:$B$14001,'إعدادات المخزون'!$A$16,'مبيعات يومية'!$A$2:$A$14001,$A95)</f>
        <v>0</v>
      </c>
      <c r="D95" s="39" t="n">
        <f aca="false">SUMIFS('مبيعات يومية'!$F$2:$F$14001,'مبيعات يومية'!$B$2:$B$14001,'إعدادات المخزون'!$A$17,'مبيعات يومية'!$A$2:$A$14001,$A95)</f>
        <v>0</v>
      </c>
      <c r="E95" s="39" t="n">
        <f aca="false">SUM(B95:D95)</f>
        <v>0</v>
      </c>
      <c r="F95" s="39" t="n">
        <f aca="false">SUMIFS('مشتريات يومية'!$E$2:$E$4001,'مشتريات يومية'!$A$2:$A$4001,$A95)</f>
        <v>0</v>
      </c>
      <c r="G95" s="39" t="n">
        <f aca="false">SUMIFS('مبيعات يومية'!$G$2:$G$14001,'مبيعات يومية'!$A$2:$A$14001,$A95)</f>
        <v>0</v>
      </c>
    </row>
    <row r="96" customFormat="false" ht="15" hidden="false" customHeight="false" outlineLevel="0" collapsed="false">
      <c r="A96" s="38" t="n">
        <f aca="false">'إعدادات المخزون'!$B$5+24</f>
        <v>46320</v>
      </c>
      <c r="B96" s="39" t="n">
        <f aca="false">SUMIFS('مبيعات يومية'!$F$2:$F$14001,'مبيعات يومية'!$B$2:$B$14001,'إعدادات المخزون'!$A$15,'مبيعات يومية'!$A$2:$A$14001,$A96)</f>
        <v>0</v>
      </c>
      <c r="C96" s="39" t="n">
        <f aca="false">SUMIFS('مبيعات يومية'!$F$2:$F$14001,'مبيعات يومية'!$B$2:$B$14001,'إعدادات المخزون'!$A$16,'مبيعات يومية'!$A$2:$A$14001,$A96)</f>
        <v>0</v>
      </c>
      <c r="D96" s="39" t="n">
        <f aca="false">SUMIFS('مبيعات يومية'!$F$2:$F$14001,'مبيعات يومية'!$B$2:$B$14001,'إعدادات المخزون'!$A$17,'مبيعات يومية'!$A$2:$A$14001,$A96)</f>
        <v>0</v>
      </c>
      <c r="E96" s="39" t="n">
        <f aca="false">SUM(B96:D96)</f>
        <v>0</v>
      </c>
      <c r="F96" s="39" t="n">
        <f aca="false">SUMIFS('مشتريات يومية'!$E$2:$E$4001,'مشتريات يومية'!$A$2:$A$4001,$A96)</f>
        <v>0</v>
      </c>
      <c r="G96" s="39" t="n">
        <f aca="false">SUMIFS('مبيعات يومية'!$G$2:$G$14001,'مبيعات يومية'!$A$2:$A$14001,$A96)</f>
        <v>0</v>
      </c>
    </row>
    <row r="97" customFormat="false" ht="15" hidden="false" customHeight="false" outlineLevel="0" collapsed="false">
      <c r="A97" s="38" t="n">
        <f aca="false">'إعدادات المخزون'!$B$5+25</f>
        <v>46321</v>
      </c>
      <c r="B97" s="39" t="n">
        <f aca="false">SUMIFS('مبيعات يومية'!$F$2:$F$14001,'مبيعات يومية'!$B$2:$B$14001,'إعدادات المخزون'!$A$15,'مبيعات يومية'!$A$2:$A$14001,$A97)</f>
        <v>0</v>
      </c>
      <c r="C97" s="39" t="n">
        <f aca="false">SUMIFS('مبيعات يومية'!$F$2:$F$14001,'مبيعات يومية'!$B$2:$B$14001,'إعدادات المخزون'!$A$16,'مبيعات يومية'!$A$2:$A$14001,$A97)</f>
        <v>0</v>
      </c>
      <c r="D97" s="39" t="n">
        <f aca="false">SUMIFS('مبيعات يومية'!$F$2:$F$14001,'مبيعات يومية'!$B$2:$B$14001,'إعدادات المخزون'!$A$17,'مبيعات يومية'!$A$2:$A$14001,$A97)</f>
        <v>0</v>
      </c>
      <c r="E97" s="39" t="n">
        <f aca="false">SUM(B97:D97)</f>
        <v>0</v>
      </c>
      <c r="F97" s="39" t="n">
        <f aca="false">SUMIFS('مشتريات يومية'!$E$2:$E$4001,'مشتريات يومية'!$A$2:$A$4001,$A97)</f>
        <v>0</v>
      </c>
      <c r="G97" s="39" t="n">
        <f aca="false">SUMIFS('مبيعات يومية'!$G$2:$G$14001,'مبيعات يومية'!$A$2:$A$14001,$A97)</f>
        <v>0</v>
      </c>
    </row>
    <row r="98" customFormat="false" ht="15" hidden="false" customHeight="false" outlineLevel="0" collapsed="false">
      <c r="A98" s="38" t="n">
        <f aca="false">'إعدادات المخزون'!$B$5+26</f>
        <v>46322</v>
      </c>
      <c r="B98" s="39" t="n">
        <f aca="false">SUMIFS('مبيعات يومية'!$F$2:$F$14001,'مبيعات يومية'!$B$2:$B$14001,'إعدادات المخزون'!$A$15,'مبيعات يومية'!$A$2:$A$14001,$A98)</f>
        <v>0</v>
      </c>
      <c r="C98" s="39" t="n">
        <f aca="false">SUMIFS('مبيعات يومية'!$F$2:$F$14001,'مبيعات يومية'!$B$2:$B$14001,'إعدادات المخزون'!$A$16,'مبيعات يومية'!$A$2:$A$14001,$A98)</f>
        <v>0</v>
      </c>
      <c r="D98" s="39" t="n">
        <f aca="false">SUMIFS('مبيعات يومية'!$F$2:$F$14001,'مبيعات يومية'!$B$2:$B$14001,'إعدادات المخزون'!$A$17,'مبيعات يومية'!$A$2:$A$14001,$A98)</f>
        <v>0</v>
      </c>
      <c r="E98" s="39" t="n">
        <f aca="false">SUM(B98:D98)</f>
        <v>0</v>
      </c>
      <c r="F98" s="39" t="n">
        <f aca="false">SUMIFS('مشتريات يومية'!$E$2:$E$4001,'مشتريات يومية'!$A$2:$A$4001,$A98)</f>
        <v>0</v>
      </c>
      <c r="G98" s="39" t="n">
        <f aca="false">SUMIFS('مبيعات يومية'!$G$2:$G$14001,'مبيعات يومية'!$A$2:$A$14001,$A98)</f>
        <v>0</v>
      </c>
    </row>
    <row r="99" customFormat="false" ht="15" hidden="false" customHeight="false" outlineLevel="0" collapsed="false">
      <c r="A99" s="38" t="n">
        <f aca="false">'إعدادات المخزون'!$B$5+27</f>
        <v>46323</v>
      </c>
      <c r="B99" s="39" t="n">
        <f aca="false">SUMIFS('مبيعات يومية'!$F$2:$F$14001,'مبيعات يومية'!$B$2:$B$14001,'إعدادات المخزون'!$A$15,'مبيعات يومية'!$A$2:$A$14001,$A99)</f>
        <v>0</v>
      </c>
      <c r="C99" s="39" t="n">
        <f aca="false">SUMIFS('مبيعات يومية'!$F$2:$F$14001,'مبيعات يومية'!$B$2:$B$14001,'إعدادات المخزون'!$A$16,'مبيعات يومية'!$A$2:$A$14001,$A99)</f>
        <v>0</v>
      </c>
      <c r="D99" s="39" t="n">
        <f aca="false">SUMIFS('مبيعات يومية'!$F$2:$F$14001,'مبيعات يومية'!$B$2:$B$14001,'إعدادات المخزون'!$A$17,'مبيعات يومية'!$A$2:$A$14001,$A99)</f>
        <v>0</v>
      </c>
      <c r="E99" s="39" t="n">
        <f aca="false">SUM(B99:D99)</f>
        <v>0</v>
      </c>
      <c r="F99" s="39" t="n">
        <f aca="false">SUMIFS('مشتريات يومية'!$E$2:$E$4001,'مشتريات يومية'!$A$2:$A$4001,$A99)</f>
        <v>0</v>
      </c>
      <c r="G99" s="39" t="n">
        <f aca="false">SUMIFS('مبيعات يومية'!$G$2:$G$14001,'مبيعات يومية'!$A$2:$A$14001,$A99)</f>
        <v>0</v>
      </c>
    </row>
    <row r="100" customFormat="false" ht="15" hidden="false" customHeight="false" outlineLevel="0" collapsed="false">
      <c r="A100" s="38" t="n">
        <f aca="false">'إعدادات المخزون'!$B$5+28</f>
        <v>46324</v>
      </c>
      <c r="B100" s="39" t="n">
        <f aca="false">SUMIFS('مبيعات يومية'!$F$2:$F$14001,'مبيعات يومية'!$B$2:$B$14001,'إعدادات المخزون'!$A$15,'مبيعات يومية'!$A$2:$A$14001,$A100)</f>
        <v>0</v>
      </c>
      <c r="C100" s="39" t="n">
        <f aca="false">SUMIFS('مبيعات يومية'!$F$2:$F$14001,'مبيعات يومية'!$B$2:$B$14001,'إعدادات المخزون'!$A$16,'مبيعات يومية'!$A$2:$A$14001,$A100)</f>
        <v>0</v>
      </c>
      <c r="D100" s="39" t="n">
        <f aca="false">SUMIFS('مبيعات يومية'!$F$2:$F$14001,'مبيعات يومية'!$B$2:$B$14001,'إعدادات المخزون'!$A$17,'مبيعات يومية'!$A$2:$A$14001,$A100)</f>
        <v>0</v>
      </c>
      <c r="E100" s="39" t="n">
        <f aca="false">SUM(B100:D100)</f>
        <v>0</v>
      </c>
      <c r="F100" s="39" t="n">
        <f aca="false">SUMIFS('مشتريات يومية'!$E$2:$E$4001,'مشتريات يومية'!$A$2:$A$4001,$A100)</f>
        <v>0</v>
      </c>
      <c r="G100" s="39" t="n">
        <f aca="false">SUMIFS('مبيعات يومية'!$G$2:$G$14001,'مبيعات يومية'!$A$2:$A$14001,$A100)</f>
        <v>0</v>
      </c>
    </row>
    <row r="101" customFormat="false" ht="15" hidden="false" customHeight="false" outlineLevel="0" collapsed="false">
      <c r="A101" s="38" t="n">
        <f aca="false">'إعدادات المخزون'!$B$5+29</f>
        <v>46325</v>
      </c>
      <c r="B101" s="39" t="n">
        <f aca="false">SUMIFS('مبيعات يومية'!$F$2:$F$14001,'مبيعات يومية'!$B$2:$B$14001,'إعدادات المخزون'!$A$15,'مبيعات يومية'!$A$2:$A$14001,$A101)</f>
        <v>0</v>
      </c>
      <c r="C101" s="39" t="n">
        <f aca="false">SUMIFS('مبيعات يومية'!$F$2:$F$14001,'مبيعات يومية'!$B$2:$B$14001,'إعدادات المخزون'!$A$16,'مبيعات يومية'!$A$2:$A$14001,$A101)</f>
        <v>0</v>
      </c>
      <c r="D101" s="39" t="n">
        <f aca="false">SUMIFS('مبيعات يومية'!$F$2:$F$14001,'مبيعات يومية'!$B$2:$B$14001,'إعدادات المخزون'!$A$17,'مبيعات يومية'!$A$2:$A$14001,$A101)</f>
        <v>0</v>
      </c>
      <c r="E101" s="39" t="n">
        <f aca="false">SUM(B101:D101)</f>
        <v>0</v>
      </c>
      <c r="F101" s="39" t="n">
        <f aca="false">SUMIFS('مشتريات يومية'!$E$2:$E$4001,'مشتريات يومية'!$A$2:$A$4001,$A101)</f>
        <v>0</v>
      </c>
      <c r="G101" s="39" t="n">
        <f aca="false">SUMIFS('مبيعات يومية'!$G$2:$G$14001,'مبيعات يومية'!$A$2:$A$14001,$A101)</f>
        <v>0</v>
      </c>
    </row>
    <row r="102" customFormat="false" ht="15" hidden="false" customHeight="false" outlineLevel="0" collapsed="false">
      <c r="A102" s="38" t="n">
        <f aca="false">'إعدادات المخزون'!$B$5+30</f>
        <v>46326</v>
      </c>
      <c r="B102" s="39" t="n">
        <f aca="false">SUMIFS('مبيعات يومية'!$F$2:$F$14001,'مبيعات يومية'!$B$2:$B$14001,'إعدادات المخزون'!$A$15,'مبيعات يومية'!$A$2:$A$14001,$A102)</f>
        <v>0</v>
      </c>
      <c r="C102" s="39" t="n">
        <f aca="false">SUMIFS('مبيعات يومية'!$F$2:$F$14001,'مبيعات يومية'!$B$2:$B$14001,'إعدادات المخزون'!$A$16,'مبيعات يومية'!$A$2:$A$14001,$A102)</f>
        <v>0</v>
      </c>
      <c r="D102" s="39" t="n">
        <f aca="false">SUMIFS('مبيعات يومية'!$F$2:$F$14001,'مبيعات يومية'!$B$2:$B$14001,'إعدادات المخزون'!$A$17,'مبيعات يومية'!$A$2:$A$14001,$A102)</f>
        <v>0</v>
      </c>
      <c r="E102" s="39" t="n">
        <f aca="false">SUM(B102:D102)</f>
        <v>0</v>
      </c>
      <c r="F102" s="39" t="n">
        <f aca="false">SUMIFS('مشتريات يومية'!$E$2:$E$4001,'مشتريات يومية'!$A$2:$A$4001,$A102)</f>
        <v>0</v>
      </c>
      <c r="G102" s="39" t="n">
        <f aca="false">SUMIFS('مبيعات يومية'!$G$2:$G$14001,'مبيعات يومية'!$A$2:$A$14001,$A102)</f>
        <v>0</v>
      </c>
    </row>
  </sheetData>
  <conditionalFormatting sqref="B14:E14">
    <cfRule type="expression" priority="2" aboveAverage="0" equalAverage="0" bottom="0" percent="0" rank="0" text="" dxfId="0">
      <formula>B14&gt;'إعدادات المخزون'!$B$7</formula>
    </cfRule>
  </conditionalFormatting>
  <conditionalFormatting sqref="B13:E13">
    <cfRule type="cellIs" priority="3"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8.55" hidden="false" customHeight="false" outlineLevel="0" collapsed="false">
      <c r="A1" s="40" t="s">
        <v>73</v>
      </c>
    </row>
    <row r="3" customFormat="false" ht="25.5" hidden="false" customHeight="true" outlineLevel="0" collapsed="false">
      <c r="A3" s="18" t="s">
        <v>74</v>
      </c>
      <c r="B3" s="18" t="s">
        <v>75</v>
      </c>
    </row>
    <row r="4" customFormat="false" ht="48" hidden="false" customHeight="true" outlineLevel="0" collapsed="false">
      <c r="A4" s="33" t="s">
        <v>76</v>
      </c>
      <c r="B4" s="41" t="s">
        <v>77</v>
      </c>
    </row>
    <row r="5" customFormat="false" ht="48" hidden="false" customHeight="true" outlineLevel="0" collapsed="false">
      <c r="A5" s="33" t="s">
        <v>78</v>
      </c>
      <c r="B5" s="41" t="s">
        <v>79</v>
      </c>
    </row>
    <row r="6" customFormat="false" ht="48" hidden="false" customHeight="true" outlineLevel="0" collapsed="false">
      <c r="A6" s="33" t="s">
        <v>80</v>
      </c>
      <c r="B6" s="41" t="s">
        <v>81</v>
      </c>
    </row>
    <row r="7" customFormat="false" ht="48" hidden="false" customHeight="true" outlineLevel="0" collapsed="false">
      <c r="A7" s="33" t="s">
        <v>82</v>
      </c>
      <c r="B7" s="41" t="s">
        <v>83</v>
      </c>
    </row>
    <row r="8" customFormat="false" ht="48" hidden="false" customHeight="true" outlineLevel="0" collapsed="false">
      <c r="A8" s="33" t="s">
        <v>84</v>
      </c>
      <c r="B8" s="41" t="s">
        <v>85</v>
      </c>
    </row>
    <row r="9" customFormat="false" ht="48" hidden="false" customHeight="true" outlineLevel="0" collapsed="false">
      <c r="A9" s="33" t="s">
        <v>86</v>
      </c>
      <c r="B9" s="41" t="s">
        <v>87</v>
      </c>
    </row>
    <row r="10" customFormat="false" ht="48" hidden="false" customHeight="true" outlineLevel="0" collapsed="false">
      <c r="A10" s="33" t="s">
        <v>88</v>
      </c>
      <c r="B10" s="41" t="s">
        <v>89</v>
      </c>
    </row>
    <row r="11" customFormat="false" ht="48" hidden="false" customHeight="true" outlineLevel="0" collapsed="false">
      <c r="A11" s="33" t="s">
        <v>90</v>
      </c>
      <c r="B11" s="41" t="s">
        <v>91</v>
      </c>
    </row>
    <row r="12" customFormat="false" ht="48" hidden="false" customHeight="true" outlineLevel="0" collapsed="false">
      <c r="A12" s="33" t="s">
        <v>92</v>
      </c>
      <c r="B12" s="41" t="s">
        <v>93</v>
      </c>
    </row>
    <row r="13" customFormat="false" ht="48" hidden="false" customHeight="true" outlineLevel="0" collapsed="false">
      <c r="A13" s="33" t="s">
        <v>94</v>
      </c>
      <c r="B13" s="41"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90"/>
  </cols>
  <sheetData>
    <row r="1" customFormat="false" ht="30" hidden="false" customHeight="true" outlineLevel="0" collapsed="false">
      <c r="A1" s="42" t="s">
        <v>96</v>
      </c>
      <c r="B1" s="42"/>
    </row>
    <row r="3" customFormat="false" ht="45" hidden="false" customHeight="true" outlineLevel="0" collapsed="false">
      <c r="A3" s="43" t="s">
        <v>97</v>
      </c>
      <c r="B3" s="11" t="s">
        <v>98</v>
      </c>
    </row>
    <row r="4" customFormat="false" ht="45" hidden="false" customHeight="true" outlineLevel="0" collapsed="false">
      <c r="A4" s="43" t="s">
        <v>99</v>
      </c>
      <c r="B4" s="11" t="s">
        <v>100</v>
      </c>
    </row>
    <row r="5" customFormat="false" ht="45" hidden="false" customHeight="true" outlineLevel="0" collapsed="false">
      <c r="A5" s="43" t="s">
        <v>101</v>
      </c>
      <c r="B5" s="11" t="s">
        <v>102</v>
      </c>
    </row>
    <row r="6" customFormat="false" ht="45" hidden="false" customHeight="true" outlineLevel="0" collapsed="false">
      <c r="A6" s="43" t="s">
        <v>103</v>
      </c>
      <c r="B6" s="11" t="s">
        <v>104</v>
      </c>
    </row>
    <row r="7" customFormat="false" ht="45" hidden="false" customHeight="true" outlineLevel="0" collapsed="false">
      <c r="A7" s="43" t="s">
        <v>105</v>
      </c>
      <c r="B7" s="11" t="s">
        <v>106</v>
      </c>
    </row>
    <row r="8" customFormat="false" ht="45" hidden="false" customHeight="true" outlineLevel="0" collapsed="false">
      <c r="A8" s="43" t="s">
        <v>107</v>
      </c>
      <c r="B8" s="11" t="s">
        <v>108</v>
      </c>
    </row>
    <row r="9" customFormat="false" ht="45" hidden="false" customHeight="true" outlineLevel="0" collapsed="false">
      <c r="A9" s="43" t="s">
        <v>109</v>
      </c>
      <c r="B9" s="11" t="s">
        <v>110</v>
      </c>
    </row>
    <row r="10" customFormat="false" ht="45" hidden="false" customHeight="true" outlineLevel="0" collapsed="false">
      <c r="A10" s="43" t="s">
        <v>111</v>
      </c>
      <c r="B10" s="11" t="s">
        <v>112</v>
      </c>
    </row>
    <row r="11" customFormat="false" ht="45" hidden="false" customHeight="true" outlineLevel="0" collapsed="false">
      <c r="A11" s="43" t="s">
        <v>90</v>
      </c>
      <c r="B11" s="11" t="s">
        <v>113</v>
      </c>
    </row>
    <row r="13" customFormat="false" ht="64.5" hidden="false" customHeight="true" outlineLevel="0" collapsed="false">
      <c r="A13" s="44" t="s">
        <v>114</v>
      </c>
      <c r="B13" s="45" t="s">
        <v>115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18"/>
    <col collapsed="false" customWidth="true" hidden="false" outlineLevel="0" max="4" min="4" style="1" width="40"/>
    <col collapsed="false" customWidth="true" hidden="false" outlineLevel="0" max="6" min="5" style="1" width="20"/>
  </cols>
  <sheetData>
    <row r="1" customFormat="false" ht="27.75" hidden="false" customHeight="true" outlineLevel="0" collapsed="false">
      <c r="A1" s="10" t="s">
        <v>116</v>
      </c>
      <c r="B1" s="10" t="s">
        <v>117</v>
      </c>
      <c r="C1" s="10" t="s">
        <v>118</v>
      </c>
      <c r="D1" s="10" t="s">
        <v>119</v>
      </c>
      <c r="E1" s="10" t="s">
        <v>120</v>
      </c>
      <c r="F1" s="10" t="s">
        <v>121</v>
      </c>
    </row>
    <row r="2" customFormat="false" ht="26.25" hidden="false" customHeight="true" outlineLevel="0" collapsed="false">
      <c r="A2" s="11" t="s">
        <v>122</v>
      </c>
      <c r="B2" s="46" t="s">
        <v>123</v>
      </c>
      <c r="C2" s="13" t="n">
        <v>3.3</v>
      </c>
      <c r="D2" s="11" t="s">
        <v>124</v>
      </c>
      <c r="E2" s="11" t="n">
        <v>1823</v>
      </c>
      <c r="F2" s="47" t="n">
        <v>46307</v>
      </c>
    </row>
    <row r="3" customFormat="false" ht="15" hidden="false" customHeight="true" outlineLevel="0" collapsed="false">
      <c r="A3" s="11" t="s">
        <v>125</v>
      </c>
      <c r="B3" s="46" t="s">
        <v>123</v>
      </c>
      <c r="C3" s="13" t="n">
        <v>0.8</v>
      </c>
      <c r="D3" s="11" t="s">
        <v>126</v>
      </c>
      <c r="E3" s="11" t="n">
        <v>1814</v>
      </c>
      <c r="F3" s="47" t="n">
        <v>46307</v>
      </c>
    </row>
    <row r="4" customFormat="false" ht="15" hidden="false" customHeight="true" outlineLevel="0" collapsed="false">
      <c r="A4" s="11" t="s">
        <v>127</v>
      </c>
      <c r="B4" s="46" t="s">
        <v>123</v>
      </c>
      <c r="C4" s="13" t="n">
        <v>0.5</v>
      </c>
      <c r="D4" s="11" t="s">
        <v>128</v>
      </c>
      <c r="E4" s="11" t="n">
        <v>1815</v>
      </c>
      <c r="F4" s="47" t="n">
        <v>46307</v>
      </c>
    </row>
    <row r="5" customFormat="false" ht="15" hidden="false" customHeight="true" outlineLevel="0" collapsed="false">
      <c r="A5" s="11" t="s">
        <v>129</v>
      </c>
      <c r="B5" s="46" t="s">
        <v>123</v>
      </c>
      <c r="C5" s="48" t="n">
        <v>150</v>
      </c>
      <c r="D5" s="11" t="s">
        <v>130</v>
      </c>
      <c r="E5" s="11" t="n">
        <v>2291</v>
      </c>
      <c r="F5" s="47" t="n">
        <v>46307</v>
      </c>
    </row>
    <row r="6" customFormat="false" ht="15" hidden="false" customHeight="true" outlineLevel="0" collapsed="false">
      <c r="A6" s="11" t="s">
        <v>131</v>
      </c>
      <c r="B6" s="46" t="s">
        <v>123</v>
      </c>
      <c r="C6" s="13" t="n">
        <v>80</v>
      </c>
      <c r="D6" s="11" t="s">
        <v>132</v>
      </c>
      <c r="E6" s="11" t="n">
        <v>2280</v>
      </c>
      <c r="F6" s="47" t="n">
        <v>46307</v>
      </c>
    </row>
    <row r="7" customFormat="false" ht="15" hidden="false" customHeight="true" outlineLevel="0" collapsed="false">
      <c r="A7" s="11" t="s">
        <v>133</v>
      </c>
      <c r="B7" s="49" t="s">
        <v>134</v>
      </c>
      <c r="C7" s="13" t="n">
        <v>1.4</v>
      </c>
      <c r="D7" s="11" t="s">
        <v>135</v>
      </c>
      <c r="E7" s="11" t="n">
        <v>1828</v>
      </c>
      <c r="F7" s="47" t="n">
        <v>46307</v>
      </c>
    </row>
    <row r="8" customFormat="false" ht="26.25" hidden="false" customHeight="true" outlineLevel="0" collapsed="false">
      <c r="A8" s="11" t="s">
        <v>136</v>
      </c>
      <c r="B8" s="49" t="s">
        <v>134</v>
      </c>
      <c r="C8" s="13" t="n">
        <v>1.4</v>
      </c>
      <c r="D8" s="11" t="s">
        <v>137</v>
      </c>
      <c r="E8" s="11" t="n">
        <v>1827</v>
      </c>
      <c r="F8" s="47" t="n">
        <v>46307</v>
      </c>
    </row>
    <row r="9" customFormat="false" ht="15" hidden="false" customHeight="true" outlineLevel="0" collapsed="false">
      <c r="A9" s="11" t="s">
        <v>138</v>
      </c>
      <c r="B9" s="46" t="s">
        <v>123</v>
      </c>
      <c r="C9" s="13" t="n">
        <v>60</v>
      </c>
      <c r="D9" s="11" t="s">
        <v>139</v>
      </c>
      <c r="E9" s="11" t="n">
        <v>2275</v>
      </c>
      <c r="F9" s="47" t="n">
        <v>46307</v>
      </c>
    </row>
    <row r="10" customFormat="false" ht="15" hidden="false" customHeight="true" outlineLevel="0" collapsed="false">
      <c r="A10" s="11" t="s">
        <v>140</v>
      </c>
      <c r="B10" s="46" t="s">
        <v>123</v>
      </c>
      <c r="C10" s="13" t="n">
        <v>18</v>
      </c>
      <c r="D10" s="11" t="s">
        <v>141</v>
      </c>
      <c r="E10" s="11" t="n">
        <v>2215</v>
      </c>
      <c r="F10" s="47" t="n">
        <v>46307</v>
      </c>
    </row>
    <row r="11" customFormat="false" ht="15" hidden="false" customHeight="true" outlineLevel="0" collapsed="false">
      <c r="A11" s="11" t="s">
        <v>142</v>
      </c>
      <c r="B11" s="49" t="s">
        <v>123</v>
      </c>
      <c r="C11" s="13" t="n">
        <v>35</v>
      </c>
      <c r="D11" s="11" t="s">
        <v>143</v>
      </c>
      <c r="E11" s="11" t="n">
        <v>1748</v>
      </c>
      <c r="F11" s="47" t="n">
        <v>46307</v>
      </c>
    </row>
    <row r="12" customFormat="false" ht="15" hidden="false" customHeight="true" outlineLevel="0" collapsed="false">
      <c r="A12" s="11" t="s">
        <v>144</v>
      </c>
      <c r="B12" s="49" t="s">
        <v>123</v>
      </c>
      <c r="C12" s="13" t="n">
        <v>46.6667</v>
      </c>
      <c r="D12" s="11" t="s">
        <v>145</v>
      </c>
      <c r="E12" s="11" t="n">
        <v>2581</v>
      </c>
      <c r="F12" s="47" t="n">
        <v>46307</v>
      </c>
    </row>
    <row r="13" customFormat="false" ht="15" hidden="false" customHeight="true" outlineLevel="0" collapsed="false">
      <c r="A13" s="11" t="s">
        <v>146</v>
      </c>
      <c r="B13" s="49" t="s">
        <v>123</v>
      </c>
      <c r="C13" s="13" t="n">
        <v>5.65</v>
      </c>
      <c r="D13" s="11" t="s">
        <v>147</v>
      </c>
      <c r="E13" s="11" t="n">
        <v>2344</v>
      </c>
      <c r="F13" s="47" t="n">
        <v>46307</v>
      </c>
    </row>
    <row r="14" customFormat="false" ht="15" hidden="false" customHeight="true" outlineLevel="0" collapsed="false">
      <c r="A14" s="11" t="s">
        <v>148</v>
      </c>
      <c r="B14" s="49" t="s">
        <v>123</v>
      </c>
      <c r="C14" s="13" t="n">
        <v>9</v>
      </c>
      <c r="D14" s="11" t="s">
        <v>149</v>
      </c>
      <c r="E14" s="11" t="n">
        <v>2343</v>
      </c>
      <c r="F14" s="47" t="n">
        <v>46307</v>
      </c>
    </row>
    <row r="15" customFormat="false" ht="15" hidden="false" customHeight="true" outlineLevel="0" collapsed="false">
      <c r="A15" s="11" t="s">
        <v>150</v>
      </c>
      <c r="B15" s="49" t="s">
        <v>123</v>
      </c>
      <c r="C15" s="13" t="n">
        <v>95</v>
      </c>
      <c r="D15" s="11" t="s">
        <v>151</v>
      </c>
      <c r="E15" s="11" t="n">
        <v>1831</v>
      </c>
      <c r="F15" s="47" t="n">
        <v>46307</v>
      </c>
    </row>
    <row r="16" customFormat="false" ht="15" hidden="false" customHeight="true" outlineLevel="0" collapsed="false">
      <c r="A16" s="11" t="s">
        <v>152</v>
      </c>
      <c r="B16" s="49" t="s">
        <v>123</v>
      </c>
      <c r="C16" s="13" t="n">
        <v>34</v>
      </c>
      <c r="D16" s="11" t="s">
        <v>153</v>
      </c>
      <c r="E16" s="11" t="n">
        <v>1752</v>
      </c>
      <c r="F16" s="47" t="n">
        <v>46307</v>
      </c>
    </row>
    <row r="17" customFormat="false" ht="15" hidden="false" customHeight="true" outlineLevel="0" collapsed="false">
      <c r="A17" s="11" t="s">
        <v>154</v>
      </c>
      <c r="B17" s="49" t="s">
        <v>123</v>
      </c>
      <c r="C17" s="13" t="n">
        <v>45</v>
      </c>
      <c r="D17" s="11" t="s">
        <v>155</v>
      </c>
      <c r="E17" s="11" t="n">
        <v>1753</v>
      </c>
      <c r="F17" s="47" t="n">
        <v>46307</v>
      </c>
    </row>
    <row r="18" customFormat="false" ht="15" hidden="false" customHeight="true" outlineLevel="0" collapsed="false">
      <c r="A18" s="11" t="s">
        <v>156</v>
      </c>
      <c r="B18" s="49" t="s">
        <v>123</v>
      </c>
      <c r="C18" s="13" t="n">
        <v>26.9708</v>
      </c>
      <c r="D18" s="11" t="s">
        <v>157</v>
      </c>
      <c r="E18" s="11" t="n">
        <v>1756</v>
      </c>
      <c r="F18" s="47" t="n">
        <v>46307</v>
      </c>
    </row>
    <row r="19" customFormat="false" ht="15" hidden="false" customHeight="true" outlineLevel="0" collapsed="false">
      <c r="A19" s="11" t="s">
        <v>158</v>
      </c>
      <c r="B19" s="49" t="s">
        <v>123</v>
      </c>
      <c r="C19" s="13" t="n">
        <v>33.982</v>
      </c>
      <c r="D19" s="11" t="s">
        <v>159</v>
      </c>
      <c r="E19" s="11" t="n">
        <v>1759</v>
      </c>
      <c r="F19" s="47" t="n">
        <v>46307</v>
      </c>
    </row>
    <row r="20" customFormat="false" ht="15" hidden="false" customHeight="true" outlineLevel="0" collapsed="false">
      <c r="A20" s="11" t="s">
        <v>160</v>
      </c>
      <c r="B20" s="49" t="s">
        <v>123</v>
      </c>
      <c r="C20" s="13" t="n">
        <v>48.7817</v>
      </c>
      <c r="D20" s="11" t="s">
        <v>161</v>
      </c>
      <c r="E20" s="11" t="n">
        <v>2583</v>
      </c>
      <c r="F20" s="47" t="n">
        <v>46307</v>
      </c>
    </row>
    <row r="21" customFormat="false" ht="15" hidden="false" customHeight="true" outlineLevel="0" collapsed="false">
      <c r="A21" s="11" t="s">
        <v>162</v>
      </c>
      <c r="B21" s="49" t="s">
        <v>123</v>
      </c>
      <c r="C21" s="13" t="n">
        <v>30</v>
      </c>
      <c r="D21" s="11" t="s">
        <v>163</v>
      </c>
      <c r="E21" s="11" t="n">
        <v>1760</v>
      </c>
      <c r="F21" s="47" t="n">
        <v>46307</v>
      </c>
    </row>
    <row r="22" customFormat="false" ht="15" hidden="false" customHeight="true" outlineLevel="0" collapsed="false">
      <c r="A22" s="11" t="s">
        <v>164</v>
      </c>
      <c r="B22" s="49" t="s">
        <v>123</v>
      </c>
      <c r="C22" s="48" t="n">
        <v>29</v>
      </c>
      <c r="D22" s="11" t="s">
        <v>165</v>
      </c>
      <c r="E22" s="11" t="n">
        <v>2585</v>
      </c>
      <c r="F22" s="47" t="n">
        <v>46307</v>
      </c>
    </row>
    <row r="23" customFormat="false" ht="15" hidden="false" customHeight="true" outlineLevel="0" collapsed="false">
      <c r="A23" s="11" t="s">
        <v>166</v>
      </c>
      <c r="B23" s="49" t="s">
        <v>123</v>
      </c>
      <c r="C23" s="13" t="n">
        <v>25</v>
      </c>
      <c r="D23" s="11" t="s">
        <v>167</v>
      </c>
      <c r="E23" s="11" t="n">
        <v>1790</v>
      </c>
      <c r="F23" s="47" t="n">
        <v>46307</v>
      </c>
    </row>
    <row r="24" customFormat="false" ht="15" hidden="false" customHeight="true" outlineLevel="0" collapsed="false">
      <c r="A24" s="11" t="s">
        <v>168</v>
      </c>
      <c r="B24" s="49" t="s">
        <v>123</v>
      </c>
      <c r="C24" s="13" t="n">
        <v>21</v>
      </c>
      <c r="D24" s="11" t="s">
        <v>169</v>
      </c>
      <c r="E24" s="11" t="n">
        <v>1754</v>
      </c>
      <c r="F24" s="47" t="n">
        <v>46307</v>
      </c>
    </row>
    <row r="25" customFormat="false" ht="15" hidden="false" customHeight="true" outlineLevel="0" collapsed="false">
      <c r="A25" s="11" t="s">
        <v>170</v>
      </c>
      <c r="B25" s="49" t="s">
        <v>123</v>
      </c>
      <c r="C25" s="13" t="n">
        <v>23</v>
      </c>
      <c r="D25" s="11" t="s">
        <v>171</v>
      </c>
      <c r="E25" s="11" t="n">
        <v>1799</v>
      </c>
      <c r="F25" s="47" t="n">
        <v>46307</v>
      </c>
    </row>
    <row r="26" customFormat="false" ht="15" hidden="false" customHeight="true" outlineLevel="0" collapsed="false">
      <c r="A26" s="11" t="s">
        <v>172</v>
      </c>
      <c r="B26" s="49" t="s">
        <v>123</v>
      </c>
      <c r="C26" s="13" t="n">
        <v>20</v>
      </c>
      <c r="D26" s="11" t="s">
        <v>173</v>
      </c>
      <c r="E26" s="11" t="n">
        <v>1750</v>
      </c>
      <c r="F26" s="47" t="n">
        <v>46307</v>
      </c>
    </row>
    <row r="27" customFormat="false" ht="15" hidden="false" customHeight="true" outlineLevel="0" collapsed="false">
      <c r="A27" s="11" t="s">
        <v>174</v>
      </c>
      <c r="B27" s="49" t="s">
        <v>123</v>
      </c>
      <c r="C27" s="13" t="n">
        <v>27.1395</v>
      </c>
      <c r="D27" s="11" t="s">
        <v>175</v>
      </c>
      <c r="E27" s="11" t="n">
        <v>2586</v>
      </c>
      <c r="F27" s="47" t="n">
        <v>46307</v>
      </c>
    </row>
    <row r="28" customFormat="false" ht="15" hidden="false" customHeight="true" outlineLevel="0" collapsed="false">
      <c r="A28" s="11" t="s">
        <v>176</v>
      </c>
      <c r="B28" s="49" t="s">
        <v>123</v>
      </c>
      <c r="C28" s="13" t="n">
        <v>17.5</v>
      </c>
      <c r="D28" s="11" t="s">
        <v>177</v>
      </c>
      <c r="E28" s="11" t="n">
        <v>1766</v>
      </c>
      <c r="F28" s="47" t="n">
        <v>46307</v>
      </c>
    </row>
    <row r="29" customFormat="false" ht="15" hidden="false" customHeight="true" outlineLevel="0" collapsed="false">
      <c r="A29" s="11" t="s">
        <v>178</v>
      </c>
      <c r="B29" s="49" t="s">
        <v>123</v>
      </c>
      <c r="C29" s="13" t="n">
        <v>25</v>
      </c>
      <c r="D29" s="11" t="s">
        <v>179</v>
      </c>
      <c r="E29" s="11" t="n">
        <v>2587</v>
      </c>
      <c r="F29" s="47" t="n">
        <v>46307</v>
      </c>
    </row>
    <row r="30" customFormat="false" ht="15" hidden="false" customHeight="true" outlineLevel="0" collapsed="false">
      <c r="A30" s="11" t="s">
        <v>180</v>
      </c>
      <c r="B30" s="46" t="s">
        <v>181</v>
      </c>
      <c r="C30" s="13" t="n">
        <v>100</v>
      </c>
      <c r="D30" s="11" t="s">
        <v>182</v>
      </c>
      <c r="E30" s="11" t="n">
        <v>1803</v>
      </c>
      <c r="F30" s="47" t="n">
        <v>46307</v>
      </c>
    </row>
    <row r="31" customFormat="false" ht="15" hidden="false" customHeight="true" outlineLevel="0" collapsed="false">
      <c r="A31" s="11" t="s">
        <v>183</v>
      </c>
      <c r="B31" s="46" t="s">
        <v>181</v>
      </c>
      <c r="C31" s="13" t="n">
        <v>104.58</v>
      </c>
      <c r="D31" s="11" t="s">
        <v>184</v>
      </c>
      <c r="E31" s="11" t="n">
        <v>1795</v>
      </c>
      <c r="F31" s="47" t="n">
        <v>46307</v>
      </c>
    </row>
    <row r="32" customFormat="false" ht="15" hidden="false" customHeight="true" outlineLevel="0" collapsed="false">
      <c r="A32" s="11" t="s">
        <v>185</v>
      </c>
      <c r="B32" s="46" t="s">
        <v>181</v>
      </c>
      <c r="C32" s="13" t="n">
        <v>100</v>
      </c>
      <c r="D32" s="11" t="s">
        <v>182</v>
      </c>
      <c r="E32" s="11" t="n">
        <v>1804</v>
      </c>
      <c r="F32" s="47" t="n">
        <v>46307</v>
      </c>
    </row>
    <row r="33" customFormat="false" ht="15" hidden="false" customHeight="true" outlineLevel="0" collapsed="false">
      <c r="A33" s="11" t="s">
        <v>186</v>
      </c>
      <c r="B33" s="46" t="s">
        <v>181</v>
      </c>
      <c r="C33" s="13" t="n">
        <v>41</v>
      </c>
      <c r="D33" s="11" t="s">
        <v>187</v>
      </c>
      <c r="E33" s="11" t="n">
        <v>1775</v>
      </c>
      <c r="F33" s="47" t="n">
        <v>46307</v>
      </c>
    </row>
    <row r="34" customFormat="false" ht="15" hidden="false" customHeight="true" outlineLevel="0" collapsed="false">
      <c r="A34" s="11" t="s">
        <v>188</v>
      </c>
      <c r="B34" s="46" t="s">
        <v>181</v>
      </c>
      <c r="C34" s="13" t="n">
        <v>25</v>
      </c>
      <c r="D34" s="11" t="s">
        <v>189</v>
      </c>
      <c r="E34" s="11" t="n">
        <v>2229</v>
      </c>
      <c r="F34" s="47" t="n">
        <v>46230</v>
      </c>
    </row>
    <row r="35" customFormat="false" ht="15" hidden="false" customHeight="true" outlineLevel="0" collapsed="false">
      <c r="A35" s="11" t="s">
        <v>190</v>
      </c>
      <c r="B35" s="46" t="s">
        <v>181</v>
      </c>
      <c r="C35" s="48" t="n">
        <v>18</v>
      </c>
      <c r="D35" s="11" t="s">
        <v>191</v>
      </c>
      <c r="E35" s="11" t="n">
        <v>2241</v>
      </c>
      <c r="F35" s="47" t="n">
        <v>46307</v>
      </c>
    </row>
    <row r="36" customFormat="false" ht="26.25" hidden="false" customHeight="true" outlineLevel="0" collapsed="false">
      <c r="A36" s="11" t="s">
        <v>192</v>
      </c>
      <c r="B36" s="49" t="s">
        <v>193</v>
      </c>
      <c r="C36" s="48" t="n">
        <v>3.65</v>
      </c>
      <c r="D36" s="11" t="s">
        <v>194</v>
      </c>
      <c r="E36" s="11" t="n">
        <v>1838</v>
      </c>
      <c r="F36" s="47" t="n">
        <v>46307</v>
      </c>
    </row>
    <row r="37" customFormat="false" ht="15" hidden="false" customHeight="true" outlineLevel="0" collapsed="false">
      <c r="A37" s="11" t="s">
        <v>195</v>
      </c>
      <c r="B37" s="46" t="s">
        <v>196</v>
      </c>
      <c r="C37" s="13" t="n">
        <v>30</v>
      </c>
      <c r="D37" s="11" t="s">
        <v>197</v>
      </c>
      <c r="E37" s="11" t="n">
        <v>1896</v>
      </c>
      <c r="F37" s="47" t="n">
        <v>46307</v>
      </c>
    </row>
    <row r="38" customFormat="false" ht="15" hidden="false" customHeight="true" outlineLevel="0" collapsed="false">
      <c r="A38" s="11" t="s">
        <v>198</v>
      </c>
      <c r="B38" s="46" t="s">
        <v>181</v>
      </c>
      <c r="C38" s="13" t="n">
        <v>175</v>
      </c>
      <c r="D38" s="11" t="s">
        <v>199</v>
      </c>
      <c r="E38" s="11" t="n">
        <v>2226</v>
      </c>
      <c r="F38" s="47" t="n">
        <v>46307</v>
      </c>
    </row>
    <row r="39" customFormat="false" ht="15" hidden="false" customHeight="true" outlineLevel="0" collapsed="false">
      <c r="A39" s="11" t="s">
        <v>200</v>
      </c>
      <c r="B39" s="46" t="s">
        <v>123</v>
      </c>
      <c r="C39" s="13" t="n">
        <v>6.09</v>
      </c>
      <c r="D39" s="11" t="s">
        <v>201</v>
      </c>
      <c r="E39" s="11" t="n">
        <v>2281</v>
      </c>
      <c r="F39" s="47" t="n">
        <v>46307</v>
      </c>
    </row>
    <row r="40" customFormat="false" ht="15" hidden="false" customHeight="true" outlineLevel="0" collapsed="false">
      <c r="A40" s="11" t="s">
        <v>202</v>
      </c>
      <c r="B40" s="46" t="s">
        <v>123</v>
      </c>
      <c r="C40" s="13" t="n">
        <v>17.1875</v>
      </c>
      <c r="D40" s="11" t="s">
        <v>203</v>
      </c>
      <c r="E40" s="11" t="n">
        <v>1725</v>
      </c>
      <c r="F40" s="47" t="n">
        <v>46307</v>
      </c>
    </row>
    <row r="41" customFormat="false" ht="15" hidden="false" customHeight="true" outlineLevel="0" collapsed="false">
      <c r="A41" s="11" t="s">
        <v>204</v>
      </c>
      <c r="B41" s="46" t="s">
        <v>205</v>
      </c>
      <c r="C41" s="13" t="n">
        <v>30</v>
      </c>
      <c r="D41" s="11" t="s">
        <v>206</v>
      </c>
      <c r="E41" s="11" t="n">
        <v>1721</v>
      </c>
      <c r="F41" s="47" t="n">
        <v>46307</v>
      </c>
    </row>
    <row r="42" customFormat="false" ht="15" hidden="false" customHeight="true" outlineLevel="0" collapsed="false">
      <c r="A42" s="11" t="s">
        <v>207</v>
      </c>
      <c r="B42" s="46" t="s">
        <v>181</v>
      </c>
      <c r="C42" s="13" t="n">
        <v>105</v>
      </c>
      <c r="D42" s="11" t="s">
        <v>189</v>
      </c>
      <c r="E42" s="11" t="n">
        <v>2235</v>
      </c>
      <c r="F42" s="47" t="n">
        <v>46230</v>
      </c>
    </row>
    <row r="43" customFormat="false" ht="15" hidden="false" customHeight="true" outlineLevel="0" collapsed="false">
      <c r="A43" s="11" t="s">
        <v>208</v>
      </c>
      <c r="B43" s="46" t="s">
        <v>209</v>
      </c>
      <c r="C43" s="13" t="n">
        <v>181.9048</v>
      </c>
      <c r="D43" s="11" t="s">
        <v>210</v>
      </c>
      <c r="E43" s="11" t="n">
        <v>2572</v>
      </c>
      <c r="F43" s="47" t="n">
        <v>46307</v>
      </c>
    </row>
    <row r="44" customFormat="false" ht="15" hidden="false" customHeight="true" outlineLevel="0" collapsed="false">
      <c r="A44" s="11" t="s">
        <v>211</v>
      </c>
      <c r="B44" s="49" t="s">
        <v>212</v>
      </c>
      <c r="C44" s="13" t="n">
        <v>0.18</v>
      </c>
      <c r="D44" s="11" t="s">
        <v>213</v>
      </c>
      <c r="E44" s="11" t="n">
        <v>2242</v>
      </c>
      <c r="F44" s="47" t="n">
        <v>46307</v>
      </c>
    </row>
    <row r="45" customFormat="false" ht="15" hidden="false" customHeight="true" outlineLevel="0" collapsed="false">
      <c r="A45" s="11" t="s">
        <v>214</v>
      </c>
      <c r="B45" s="46" t="s">
        <v>181</v>
      </c>
      <c r="C45" s="13" t="n">
        <v>200</v>
      </c>
      <c r="D45" s="11" t="s">
        <v>215</v>
      </c>
      <c r="E45" s="11" t="n">
        <v>1801</v>
      </c>
      <c r="F45" s="47" t="n">
        <v>46307</v>
      </c>
    </row>
    <row r="46" customFormat="false" ht="15" hidden="false" customHeight="true" outlineLevel="0" collapsed="false">
      <c r="A46" s="11" t="s">
        <v>216</v>
      </c>
      <c r="B46" s="46" t="s">
        <v>209</v>
      </c>
      <c r="C46" s="13" t="n">
        <v>15</v>
      </c>
      <c r="D46" s="11" t="s">
        <v>203</v>
      </c>
      <c r="E46" s="11" t="n">
        <v>2339</v>
      </c>
      <c r="F46" s="47" t="n">
        <v>46307</v>
      </c>
    </row>
    <row r="47" customFormat="false" ht="15" hidden="false" customHeight="true" outlineLevel="0" collapsed="false">
      <c r="A47" s="11" t="s">
        <v>217</v>
      </c>
      <c r="B47" s="46" t="s">
        <v>181</v>
      </c>
      <c r="C47" s="13" t="n">
        <v>30</v>
      </c>
      <c r="D47" s="11" t="s">
        <v>197</v>
      </c>
      <c r="E47" s="11" t="n">
        <v>2256</v>
      </c>
      <c r="F47" s="47" t="n">
        <v>46307</v>
      </c>
    </row>
    <row r="48" customFormat="false" ht="15" hidden="false" customHeight="true" outlineLevel="0" collapsed="false">
      <c r="A48" s="11" t="s">
        <v>218</v>
      </c>
      <c r="B48" s="46" t="s">
        <v>181</v>
      </c>
      <c r="C48" s="13" t="n">
        <v>20.3571</v>
      </c>
      <c r="D48" s="11" t="s">
        <v>219</v>
      </c>
      <c r="E48" s="11" t="n">
        <v>1809</v>
      </c>
      <c r="F48" s="47" t="n">
        <v>46307</v>
      </c>
    </row>
    <row r="49" customFormat="false" ht="15" hidden="false" customHeight="true" outlineLevel="0" collapsed="false">
      <c r="A49" s="11" t="s">
        <v>220</v>
      </c>
      <c r="B49" s="46" t="s">
        <v>181</v>
      </c>
      <c r="C49" s="13" t="n">
        <v>120</v>
      </c>
      <c r="D49" s="11" t="s">
        <v>130</v>
      </c>
      <c r="E49" s="11" t="n">
        <v>1788</v>
      </c>
      <c r="F49" s="47" t="n">
        <v>46307</v>
      </c>
    </row>
    <row r="50" customFormat="false" ht="15" hidden="false" customHeight="true" outlineLevel="0" collapsed="false">
      <c r="A50" s="11" t="s">
        <v>221</v>
      </c>
      <c r="B50" s="46" t="s">
        <v>181</v>
      </c>
      <c r="C50" s="13" t="n">
        <v>220</v>
      </c>
      <c r="D50" s="11" t="s">
        <v>222</v>
      </c>
      <c r="E50" s="11" t="n">
        <v>1800</v>
      </c>
      <c r="F50" s="47" t="n">
        <v>46307</v>
      </c>
    </row>
    <row r="51" customFormat="false" ht="15" hidden="false" customHeight="true" outlineLevel="0" collapsed="false">
      <c r="A51" s="11" t="s">
        <v>223</v>
      </c>
      <c r="B51" s="46" t="s">
        <v>205</v>
      </c>
      <c r="C51" s="13" t="n">
        <v>72.5</v>
      </c>
      <c r="D51" s="11" t="s">
        <v>224</v>
      </c>
      <c r="E51" s="11" t="n">
        <v>1786</v>
      </c>
      <c r="F51" s="47" t="n">
        <v>46307</v>
      </c>
    </row>
    <row r="52" customFormat="false" ht="15" hidden="false" customHeight="true" outlineLevel="0" collapsed="false">
      <c r="A52" s="11" t="s">
        <v>225</v>
      </c>
      <c r="B52" s="46" t="s">
        <v>205</v>
      </c>
      <c r="C52" s="13" t="n">
        <v>75</v>
      </c>
      <c r="D52" s="11" t="s">
        <v>226</v>
      </c>
      <c r="E52" s="11" t="n">
        <v>1785</v>
      </c>
      <c r="F52" s="47" t="n">
        <v>46307</v>
      </c>
    </row>
    <row r="53" customFormat="false" ht="15" hidden="false" customHeight="true" outlineLevel="0" collapsed="false">
      <c r="A53" s="11" t="s">
        <v>227</v>
      </c>
      <c r="B53" s="46" t="s">
        <v>181</v>
      </c>
      <c r="C53" s="48" t="n">
        <v>95</v>
      </c>
      <c r="D53" s="11" t="s">
        <v>228</v>
      </c>
      <c r="E53" s="11" t="n">
        <v>1771</v>
      </c>
      <c r="F53" s="47" t="n">
        <v>46307</v>
      </c>
    </row>
    <row r="54" customFormat="false" ht="15" hidden="false" customHeight="true" outlineLevel="0" collapsed="false">
      <c r="A54" s="11" t="s">
        <v>229</v>
      </c>
      <c r="B54" s="46" t="s">
        <v>181</v>
      </c>
      <c r="C54" s="13" t="n">
        <v>30.6593</v>
      </c>
      <c r="D54" s="11" t="s">
        <v>197</v>
      </c>
      <c r="E54" s="11" t="n">
        <v>1798</v>
      </c>
      <c r="F54" s="47" t="n">
        <v>46307</v>
      </c>
    </row>
    <row r="55" customFormat="false" ht="15" hidden="false" customHeight="true" outlineLevel="0" collapsed="false">
      <c r="A55" s="11" t="s">
        <v>230</v>
      </c>
      <c r="B55" s="46" t="s">
        <v>209</v>
      </c>
      <c r="C55" s="13" t="n">
        <v>7.1</v>
      </c>
      <c r="D55" s="11" t="s">
        <v>231</v>
      </c>
      <c r="E55" s="11" t="n">
        <v>2320</v>
      </c>
      <c r="F55" s="47" t="n">
        <v>46307</v>
      </c>
    </row>
    <row r="56" customFormat="false" ht="15" hidden="false" customHeight="true" outlineLevel="0" collapsed="false">
      <c r="A56" s="11" t="s">
        <v>232</v>
      </c>
      <c r="B56" s="46" t="s">
        <v>181</v>
      </c>
      <c r="C56" s="13" t="n">
        <v>380</v>
      </c>
      <c r="D56" s="11" t="s">
        <v>233</v>
      </c>
      <c r="E56" s="11" t="n">
        <v>1787</v>
      </c>
      <c r="F56" s="47" t="n">
        <v>46307</v>
      </c>
    </row>
    <row r="57" customFormat="false" ht="15" hidden="false" customHeight="true" outlineLevel="0" collapsed="false">
      <c r="A57" s="11" t="s">
        <v>234</v>
      </c>
      <c r="B57" s="49" t="s">
        <v>235</v>
      </c>
      <c r="C57" s="13" t="n">
        <v>2.5189</v>
      </c>
      <c r="D57" s="11" t="s">
        <v>236</v>
      </c>
      <c r="E57" s="11" t="n">
        <v>1840</v>
      </c>
      <c r="F57" s="47" t="n">
        <v>46307</v>
      </c>
    </row>
    <row r="58" customFormat="false" ht="26.25" hidden="false" customHeight="true" outlineLevel="0" collapsed="false">
      <c r="A58" s="11" t="s">
        <v>237</v>
      </c>
      <c r="B58" s="49" t="s">
        <v>123</v>
      </c>
      <c r="C58" s="13" t="n">
        <v>0.55</v>
      </c>
      <c r="D58" s="11" t="s">
        <v>238</v>
      </c>
      <c r="E58" s="11" t="n">
        <v>2590</v>
      </c>
      <c r="F58" s="47" t="n">
        <v>46307</v>
      </c>
    </row>
    <row r="59" customFormat="false" ht="15" hidden="false" customHeight="true" outlineLevel="0" collapsed="false">
      <c r="A59" s="11" t="s">
        <v>239</v>
      </c>
      <c r="B59" s="49" t="s">
        <v>123</v>
      </c>
      <c r="C59" s="13" t="n">
        <v>0.675</v>
      </c>
      <c r="D59" s="11" t="s">
        <v>240</v>
      </c>
      <c r="E59" s="11" t="n">
        <v>1837</v>
      </c>
      <c r="F59" s="47" t="n">
        <v>46307</v>
      </c>
    </row>
    <row r="60" customFormat="false" ht="15" hidden="false" customHeight="true" outlineLevel="0" collapsed="false">
      <c r="A60" s="11" t="s">
        <v>241</v>
      </c>
      <c r="B60" s="46" t="s">
        <v>181</v>
      </c>
      <c r="C60" s="13" t="n">
        <v>109.9656</v>
      </c>
      <c r="D60" s="11" t="s">
        <v>242</v>
      </c>
      <c r="E60" s="11" t="n">
        <v>2285</v>
      </c>
      <c r="F60" s="47" t="n">
        <v>46307</v>
      </c>
    </row>
    <row r="61" customFormat="false" ht="15" hidden="false" customHeight="true" outlineLevel="0" collapsed="false">
      <c r="A61" s="11" t="s">
        <v>243</v>
      </c>
      <c r="B61" s="46" t="s">
        <v>123</v>
      </c>
      <c r="C61" s="13" t="n">
        <v>0.3</v>
      </c>
      <c r="D61" s="11" t="s">
        <v>244</v>
      </c>
      <c r="E61" s="11" t="n">
        <v>1824</v>
      </c>
      <c r="F61" s="47" t="n">
        <v>46307</v>
      </c>
    </row>
    <row r="62" customFormat="false" ht="15" hidden="false" customHeight="true" outlineLevel="0" collapsed="false">
      <c r="A62" s="11" t="s">
        <v>245</v>
      </c>
      <c r="B62" s="46" t="s">
        <v>181</v>
      </c>
      <c r="C62" s="13" t="n">
        <v>127.6582</v>
      </c>
      <c r="D62" s="11" t="s">
        <v>246</v>
      </c>
      <c r="E62" s="11" t="n">
        <v>1791</v>
      </c>
      <c r="F62" s="47" t="n">
        <v>46307</v>
      </c>
    </row>
    <row r="63" customFormat="false" ht="15" hidden="false" customHeight="true" outlineLevel="0" collapsed="false">
      <c r="A63" s="11" t="s">
        <v>247</v>
      </c>
      <c r="B63" s="46" t="s">
        <v>181</v>
      </c>
      <c r="C63" s="13" t="n">
        <v>100</v>
      </c>
      <c r="D63" s="11" t="s">
        <v>182</v>
      </c>
      <c r="E63" s="11" t="n">
        <v>1792</v>
      </c>
      <c r="F63" s="47" t="n">
        <v>46307</v>
      </c>
    </row>
    <row r="64" customFormat="false" ht="15" hidden="false" customHeight="true" outlineLevel="0" collapsed="false">
      <c r="A64" s="11" t="s">
        <v>248</v>
      </c>
      <c r="B64" s="46" t="s">
        <v>205</v>
      </c>
      <c r="C64" s="13" t="n">
        <v>12</v>
      </c>
      <c r="D64" s="11" t="s">
        <v>249</v>
      </c>
      <c r="E64" s="11" t="n">
        <v>2271</v>
      </c>
      <c r="F64" s="47" t="n">
        <v>46307</v>
      </c>
    </row>
    <row r="65" customFormat="false" ht="15" hidden="false" customHeight="true" outlineLevel="0" collapsed="false">
      <c r="A65" s="11" t="s">
        <v>250</v>
      </c>
      <c r="B65" s="46" t="s">
        <v>181</v>
      </c>
      <c r="C65" s="13" t="n">
        <v>32</v>
      </c>
      <c r="D65" s="11" t="s">
        <v>251</v>
      </c>
      <c r="E65" s="11" t="n">
        <v>1774</v>
      </c>
      <c r="F65" s="47" t="n">
        <v>46307</v>
      </c>
    </row>
    <row r="66" customFormat="false" ht="15" hidden="false" customHeight="true" outlineLevel="0" collapsed="false">
      <c r="A66" s="11" t="s">
        <v>252</v>
      </c>
      <c r="B66" s="46" t="s">
        <v>181</v>
      </c>
      <c r="C66" s="13" t="n">
        <v>70</v>
      </c>
      <c r="D66" s="11" t="s">
        <v>253</v>
      </c>
      <c r="E66" s="11" t="n">
        <v>1780</v>
      </c>
      <c r="F66" s="47" t="n">
        <v>46307</v>
      </c>
    </row>
    <row r="67" customFormat="false" ht="15" hidden="false" customHeight="true" outlineLevel="0" collapsed="false">
      <c r="A67" s="11" t="s">
        <v>254</v>
      </c>
      <c r="B67" s="46" t="s">
        <v>181</v>
      </c>
      <c r="C67" s="13" t="n">
        <v>140</v>
      </c>
      <c r="D67" s="11" t="s">
        <v>255</v>
      </c>
      <c r="E67" s="11" t="n">
        <v>2219</v>
      </c>
      <c r="F67" s="47" t="n">
        <v>46307</v>
      </c>
    </row>
    <row r="68" customFormat="false" ht="15" hidden="false" customHeight="true" outlineLevel="0" collapsed="false">
      <c r="A68" s="11" t="s">
        <v>256</v>
      </c>
      <c r="B68" s="46" t="s">
        <v>181</v>
      </c>
      <c r="C68" s="13" t="n">
        <v>105</v>
      </c>
      <c r="D68" s="11" t="s">
        <v>257</v>
      </c>
      <c r="E68" s="11" t="n">
        <v>1779</v>
      </c>
      <c r="F68" s="47" t="n">
        <v>46307</v>
      </c>
    </row>
    <row r="69" customFormat="false" ht="15" hidden="false" customHeight="true" outlineLevel="0" collapsed="false">
      <c r="A69" s="11" t="s">
        <v>258</v>
      </c>
      <c r="B69" s="46" t="s">
        <v>181</v>
      </c>
      <c r="C69" s="13" t="n">
        <v>140</v>
      </c>
      <c r="D69" s="11" t="s">
        <v>259</v>
      </c>
      <c r="E69" s="11" t="n">
        <v>1778</v>
      </c>
      <c r="F69" s="47" t="n">
        <v>46307</v>
      </c>
    </row>
    <row r="70" customFormat="false" ht="15" hidden="false" customHeight="true" outlineLevel="0" collapsed="false">
      <c r="A70" s="11" t="s">
        <v>260</v>
      </c>
      <c r="B70" s="46" t="s">
        <v>181</v>
      </c>
      <c r="C70" s="13" t="n">
        <v>21</v>
      </c>
      <c r="D70" s="11" t="s">
        <v>261</v>
      </c>
      <c r="E70" s="11" t="n">
        <v>1772</v>
      </c>
      <c r="F70" s="47" t="n">
        <v>46307</v>
      </c>
    </row>
    <row r="71" customFormat="false" ht="15" hidden="false" customHeight="true" outlineLevel="0" collapsed="false">
      <c r="A71" s="11" t="s">
        <v>262</v>
      </c>
      <c r="B71" s="46" t="s">
        <v>181</v>
      </c>
      <c r="C71" s="13" t="n">
        <v>22</v>
      </c>
      <c r="D71" s="11" t="s">
        <v>263</v>
      </c>
      <c r="E71" s="11" t="n">
        <v>1749</v>
      </c>
      <c r="F71" s="47" t="n">
        <v>46307</v>
      </c>
    </row>
    <row r="72" customFormat="false" ht="15" hidden="false" customHeight="true" outlineLevel="0" collapsed="false">
      <c r="A72" s="11" t="s">
        <v>264</v>
      </c>
      <c r="B72" s="46" t="s">
        <v>123</v>
      </c>
      <c r="C72" s="13" t="n">
        <v>4</v>
      </c>
      <c r="D72" s="11" t="s">
        <v>265</v>
      </c>
      <c r="E72" s="11" t="n">
        <v>1806</v>
      </c>
      <c r="F72" s="47" t="n">
        <v>46307</v>
      </c>
    </row>
    <row r="73" customFormat="false" ht="15" hidden="false" customHeight="true" outlineLevel="0" collapsed="false">
      <c r="A73" s="11" t="s">
        <v>266</v>
      </c>
      <c r="B73" s="46" t="s">
        <v>181</v>
      </c>
      <c r="C73" s="13" t="n">
        <v>140</v>
      </c>
      <c r="D73" s="11" t="s">
        <v>267</v>
      </c>
      <c r="E73" s="11" t="n">
        <v>1805</v>
      </c>
      <c r="F73" s="47" t="n">
        <v>46307</v>
      </c>
    </row>
    <row r="74" customFormat="false" ht="15" hidden="false" customHeight="true" outlineLevel="0" collapsed="false">
      <c r="A74" s="11" t="s">
        <v>268</v>
      </c>
      <c r="B74" s="46" t="s">
        <v>123</v>
      </c>
      <c r="C74" s="13" t="n">
        <v>5.5</v>
      </c>
      <c r="D74" s="11" t="s">
        <v>269</v>
      </c>
      <c r="E74" s="11" t="n">
        <v>1818</v>
      </c>
      <c r="F74" s="47" t="n">
        <v>46307</v>
      </c>
    </row>
    <row r="75" customFormat="false" ht="15" hidden="false" customHeight="true" outlineLevel="0" collapsed="false">
      <c r="A75" s="11" t="s">
        <v>270</v>
      </c>
      <c r="B75" s="46" t="s">
        <v>123</v>
      </c>
      <c r="C75" s="13" t="n">
        <v>4.5</v>
      </c>
      <c r="D75" s="11" t="s">
        <v>271</v>
      </c>
      <c r="E75" s="11" t="n">
        <v>1751</v>
      </c>
      <c r="F75" s="47" t="n">
        <v>46307</v>
      </c>
    </row>
    <row r="76" customFormat="false" ht="15" hidden="false" customHeight="true" outlineLevel="0" collapsed="false">
      <c r="A76" s="11" t="s">
        <v>272</v>
      </c>
      <c r="B76" s="46" t="s">
        <v>123</v>
      </c>
      <c r="C76" s="13" t="n">
        <v>0.5</v>
      </c>
      <c r="D76" s="11" t="s">
        <v>273</v>
      </c>
      <c r="E76" s="11" t="n">
        <v>2306</v>
      </c>
      <c r="F76" s="47" t="n">
        <v>46307</v>
      </c>
    </row>
    <row r="77" customFormat="false" ht="15" hidden="false" customHeight="true" outlineLevel="0" collapsed="false">
      <c r="A77" s="11" t="s">
        <v>274</v>
      </c>
      <c r="B77" s="46" t="s">
        <v>123</v>
      </c>
      <c r="C77" s="13" t="n">
        <v>1.7</v>
      </c>
      <c r="D77" s="11" t="s">
        <v>275</v>
      </c>
      <c r="E77" s="11" t="n">
        <v>2437</v>
      </c>
      <c r="F77" s="47" t="n">
        <v>46307</v>
      </c>
    </row>
    <row r="78" customFormat="false" ht="15" hidden="false" customHeight="true" outlineLevel="0" collapsed="false">
      <c r="A78" s="11" t="s">
        <v>276</v>
      </c>
      <c r="B78" s="46" t="s">
        <v>123</v>
      </c>
      <c r="C78" s="13" t="n">
        <v>2</v>
      </c>
      <c r="D78" s="11" t="s">
        <v>277</v>
      </c>
      <c r="E78" s="11" t="n">
        <v>2438</v>
      </c>
      <c r="F78" s="47" t="n">
        <v>46307</v>
      </c>
    </row>
    <row r="79" customFormat="false" ht="15" hidden="false" customHeight="true" outlineLevel="0" collapsed="false">
      <c r="A79" s="11" t="s">
        <v>278</v>
      </c>
      <c r="B79" s="46" t="s">
        <v>123</v>
      </c>
      <c r="C79" s="13" t="n">
        <v>3.1</v>
      </c>
      <c r="D79" s="11" t="s">
        <v>279</v>
      </c>
      <c r="E79" s="11" t="n">
        <v>2413</v>
      </c>
      <c r="F79" s="47" t="n">
        <v>46307</v>
      </c>
    </row>
    <row r="80" customFormat="false" ht="15" hidden="false" customHeight="true" outlineLevel="0" collapsed="false">
      <c r="A80" s="11" t="s">
        <v>280</v>
      </c>
      <c r="B80" s="46" t="s">
        <v>123</v>
      </c>
      <c r="C80" s="13" t="n">
        <v>42.03</v>
      </c>
      <c r="D80" s="11" t="s">
        <v>281</v>
      </c>
      <c r="E80" s="11" t="n">
        <v>1764</v>
      </c>
      <c r="F80" s="47" t="n">
        <v>46307</v>
      </c>
    </row>
    <row r="81" customFormat="false" ht="15" hidden="false" customHeight="true" outlineLevel="0" collapsed="false">
      <c r="A81" s="11" t="s">
        <v>282</v>
      </c>
      <c r="B81" s="46" t="s">
        <v>181</v>
      </c>
      <c r="C81" s="13" t="n">
        <v>150</v>
      </c>
      <c r="D81" s="11" t="s">
        <v>283</v>
      </c>
      <c r="E81" s="11" t="n">
        <v>1890</v>
      </c>
      <c r="F81" s="47" t="n">
        <v>46307</v>
      </c>
    </row>
    <row r="82" customFormat="false" ht="15" hidden="false" customHeight="true" outlineLevel="0" collapsed="false">
      <c r="A82" s="11" t="s">
        <v>284</v>
      </c>
      <c r="B82" s="46" t="s">
        <v>181</v>
      </c>
      <c r="C82" s="13" t="n">
        <v>27</v>
      </c>
      <c r="D82" s="11" t="s">
        <v>285</v>
      </c>
      <c r="E82" s="11" t="n">
        <v>1773</v>
      </c>
      <c r="F82" s="47" t="n">
        <v>46307</v>
      </c>
    </row>
    <row r="83" customFormat="false" ht="15" hidden="false" customHeight="true" outlineLevel="0" collapsed="false">
      <c r="A83" s="11" t="s">
        <v>286</v>
      </c>
      <c r="B83" s="46" t="s">
        <v>123</v>
      </c>
      <c r="C83" s="48" t="n">
        <v>15</v>
      </c>
      <c r="D83" s="11" t="s">
        <v>287</v>
      </c>
      <c r="E83" s="11" t="n">
        <v>2319</v>
      </c>
      <c r="F83" s="47" t="n">
        <v>46307</v>
      </c>
    </row>
    <row r="84" customFormat="false" ht="15" hidden="false" customHeight="true" outlineLevel="0" collapsed="false">
      <c r="A84" s="11" t="s">
        <v>288</v>
      </c>
      <c r="B84" s="46" t="s">
        <v>123</v>
      </c>
      <c r="C84" s="13" t="n">
        <v>7</v>
      </c>
      <c r="D84" s="11" t="s">
        <v>289</v>
      </c>
      <c r="E84" s="11" t="n">
        <v>1767</v>
      </c>
      <c r="F84" s="47" t="n">
        <v>46307</v>
      </c>
    </row>
    <row r="85" customFormat="false" ht="15" hidden="false" customHeight="true" outlineLevel="0" collapsed="false">
      <c r="A85" s="11" t="s">
        <v>290</v>
      </c>
      <c r="B85" s="46" t="s">
        <v>123</v>
      </c>
      <c r="C85" s="13" t="n">
        <v>0.3</v>
      </c>
      <c r="D85" s="11" t="s">
        <v>244</v>
      </c>
      <c r="E85" s="11" t="n">
        <v>1782</v>
      </c>
      <c r="F85" s="47" t="n">
        <v>46307</v>
      </c>
    </row>
    <row r="86" customFormat="false" ht="15" hidden="false" customHeight="true" outlineLevel="0" collapsed="false">
      <c r="A86" s="11" t="s">
        <v>291</v>
      </c>
      <c r="B86" s="46" t="s">
        <v>181</v>
      </c>
      <c r="C86" s="13" t="n">
        <v>90</v>
      </c>
      <c r="D86" s="11" t="s">
        <v>292</v>
      </c>
      <c r="E86" s="11" t="n">
        <v>1776</v>
      </c>
      <c r="F86" s="47" t="n">
        <v>46307</v>
      </c>
    </row>
    <row r="87" customFormat="false" ht="15" hidden="false" customHeight="true" outlineLevel="0" collapsed="false">
      <c r="A87" s="11" t="s">
        <v>293</v>
      </c>
      <c r="B87" s="46" t="s">
        <v>123</v>
      </c>
      <c r="C87" s="13" t="n">
        <v>0.5</v>
      </c>
      <c r="D87" s="11" t="s">
        <v>294</v>
      </c>
      <c r="E87" s="11" t="n">
        <v>1826</v>
      </c>
      <c r="F87" s="47" t="n">
        <v>46307</v>
      </c>
    </row>
    <row r="88" customFormat="false" ht="15" hidden="false" customHeight="true" outlineLevel="0" collapsed="false">
      <c r="A88" s="11" t="s">
        <v>295</v>
      </c>
      <c r="B88" s="46" t="s">
        <v>181</v>
      </c>
      <c r="C88" s="13" t="n">
        <v>420</v>
      </c>
      <c r="D88" s="11" t="s">
        <v>296</v>
      </c>
      <c r="E88" s="11" t="n">
        <v>1839</v>
      </c>
      <c r="F88" s="47" t="n">
        <v>46307</v>
      </c>
    </row>
    <row r="89" customFormat="false" ht="15" hidden="false" customHeight="true" outlineLevel="0" collapsed="false">
      <c r="A89" s="11" t="s">
        <v>297</v>
      </c>
      <c r="B89" s="46" t="s">
        <v>123</v>
      </c>
      <c r="C89" s="13" t="n">
        <v>2</v>
      </c>
      <c r="D89" s="11" t="s">
        <v>277</v>
      </c>
      <c r="E89" s="11" t="n">
        <v>1822</v>
      </c>
      <c r="F89" s="47" t="n">
        <v>46307</v>
      </c>
    </row>
    <row r="90" customFormat="false" ht="15" hidden="false" customHeight="true" outlineLevel="0" collapsed="false">
      <c r="A90" s="11" t="s">
        <v>298</v>
      </c>
      <c r="B90" s="46" t="s">
        <v>205</v>
      </c>
      <c r="C90" s="13" t="n">
        <v>20.6667</v>
      </c>
      <c r="D90" s="11" t="s">
        <v>299</v>
      </c>
      <c r="E90" s="11" t="n">
        <v>1789</v>
      </c>
      <c r="F90" s="47" t="n">
        <v>46307</v>
      </c>
    </row>
    <row r="91" customFormat="false" ht="15" hidden="false" customHeight="true" outlineLevel="0" collapsed="false">
      <c r="A91" s="11" t="s">
        <v>300</v>
      </c>
      <c r="B91" s="46" t="s">
        <v>123</v>
      </c>
      <c r="C91" s="13" t="n">
        <v>6</v>
      </c>
      <c r="D91" s="11" t="s">
        <v>301</v>
      </c>
      <c r="E91" s="11" t="n">
        <v>2249</v>
      </c>
      <c r="F91" s="47" t="n">
        <v>46307</v>
      </c>
    </row>
    <row r="92" customFormat="false" ht="15" hidden="false" customHeight="true" outlineLevel="0" collapsed="false">
      <c r="A92" s="11" t="s">
        <v>302</v>
      </c>
      <c r="B92" s="46" t="s">
        <v>181</v>
      </c>
      <c r="C92" s="13" t="n">
        <v>135</v>
      </c>
      <c r="D92" s="11" t="s">
        <v>259</v>
      </c>
      <c r="E92" s="11" t="n">
        <v>1794</v>
      </c>
      <c r="F92" s="47" t="n">
        <v>46307</v>
      </c>
    </row>
    <row r="93" customFormat="false" ht="15" hidden="false" customHeight="true" outlineLevel="0" collapsed="false">
      <c r="A93" s="11" t="s">
        <v>303</v>
      </c>
      <c r="B93" s="46" t="s">
        <v>123</v>
      </c>
      <c r="C93" s="13" t="n">
        <v>5.5</v>
      </c>
      <c r="D93" s="11" t="s">
        <v>304</v>
      </c>
      <c r="E93" s="11" t="n">
        <v>2321</v>
      </c>
      <c r="F93" s="47" t="n">
        <v>46307</v>
      </c>
    </row>
    <row r="94" customFormat="false" ht="15" hidden="false" customHeight="true" outlineLevel="0" collapsed="false">
      <c r="A94" s="11" t="s">
        <v>305</v>
      </c>
      <c r="B94" s="46" t="s">
        <v>123</v>
      </c>
      <c r="C94" s="13" t="n">
        <v>25</v>
      </c>
      <c r="D94" s="11" t="s">
        <v>306</v>
      </c>
      <c r="E94" s="11" t="n">
        <v>2349</v>
      </c>
      <c r="F94" s="47" t="n">
        <v>46307</v>
      </c>
    </row>
    <row r="95" customFormat="false" ht="15" hidden="false" customHeight="true" outlineLevel="0" collapsed="false">
      <c r="A95" s="11" t="s">
        <v>307</v>
      </c>
      <c r="B95" s="46" t="s">
        <v>181</v>
      </c>
      <c r="C95" s="48" t="n">
        <v>151.2027</v>
      </c>
      <c r="D95" s="11" t="s">
        <v>308</v>
      </c>
      <c r="E95" s="11" t="n">
        <v>1758</v>
      </c>
      <c r="F95" s="47" t="n">
        <v>46307</v>
      </c>
    </row>
    <row r="96" customFormat="false" ht="15" hidden="false" customHeight="true" outlineLevel="0" collapsed="false">
      <c r="A96" s="11" t="s">
        <v>309</v>
      </c>
      <c r="B96" s="46" t="s">
        <v>181</v>
      </c>
      <c r="C96" s="13" t="n">
        <v>24</v>
      </c>
      <c r="D96" s="11" t="s">
        <v>310</v>
      </c>
      <c r="E96" s="11" t="n">
        <v>1811</v>
      </c>
      <c r="F96" s="47" t="n">
        <v>46307</v>
      </c>
    </row>
    <row r="97" customFormat="false" ht="15" hidden="false" customHeight="true" outlineLevel="0" collapsed="false">
      <c r="A97" s="11" t="s">
        <v>311</v>
      </c>
      <c r="B97" s="46" t="s">
        <v>123</v>
      </c>
      <c r="C97" s="13" t="n">
        <v>25</v>
      </c>
      <c r="D97" s="11" t="s">
        <v>312</v>
      </c>
      <c r="E97" s="11" t="n">
        <v>2348</v>
      </c>
      <c r="F97" s="47" t="n">
        <v>46307</v>
      </c>
    </row>
    <row r="98" customFormat="false" ht="15" hidden="false" customHeight="true" outlineLevel="0" collapsed="false">
      <c r="A98" s="11" t="s">
        <v>313</v>
      </c>
      <c r="B98" s="46" t="s">
        <v>181</v>
      </c>
      <c r="C98" s="13" t="n">
        <v>8.37</v>
      </c>
      <c r="D98" s="11" t="s">
        <v>314</v>
      </c>
      <c r="E98" s="11" t="n">
        <v>2254</v>
      </c>
      <c r="F98" s="47" t="n">
        <v>46307</v>
      </c>
    </row>
    <row r="99" customFormat="false" ht="15" hidden="false" customHeight="true" outlineLevel="0" collapsed="false">
      <c r="A99" s="11" t="s">
        <v>315</v>
      </c>
      <c r="B99" s="46" t="s">
        <v>123</v>
      </c>
      <c r="C99" s="13" t="n">
        <v>9</v>
      </c>
      <c r="D99" s="11" t="s">
        <v>316</v>
      </c>
      <c r="E99" s="11" t="n">
        <v>2341</v>
      </c>
      <c r="F99" s="47" t="n">
        <v>46307</v>
      </c>
    </row>
    <row r="100" customFormat="false" ht="15" hidden="false" customHeight="true" outlineLevel="0" collapsed="false">
      <c r="A100" s="11" t="s">
        <v>317</v>
      </c>
      <c r="B100" s="46" t="s">
        <v>181</v>
      </c>
      <c r="C100" s="13" t="n">
        <v>610</v>
      </c>
      <c r="D100" s="11" t="s">
        <v>318</v>
      </c>
      <c r="E100" s="11" t="n">
        <v>1793</v>
      </c>
      <c r="F100" s="47" t="n">
        <v>46307</v>
      </c>
    </row>
    <row r="101" customFormat="false" ht="26.25" hidden="false" customHeight="true" outlineLevel="0" collapsed="false">
      <c r="A101" s="11" t="s">
        <v>319</v>
      </c>
      <c r="B101" s="49" t="s">
        <v>320</v>
      </c>
      <c r="C101" s="48" t="n">
        <v>0.3665</v>
      </c>
      <c r="D101" s="11" t="s">
        <v>321</v>
      </c>
      <c r="E101" s="11" t="n">
        <v>1812</v>
      </c>
      <c r="F101" s="47" t="n">
        <v>46307</v>
      </c>
    </row>
    <row r="102" customFormat="false" ht="26.25" hidden="false" customHeight="true" outlineLevel="0" collapsed="false">
      <c r="A102" s="11" t="s">
        <v>322</v>
      </c>
      <c r="B102" s="49" t="s">
        <v>134</v>
      </c>
      <c r="C102" s="48" t="n">
        <v>1</v>
      </c>
      <c r="D102" s="11" t="s">
        <v>323</v>
      </c>
      <c r="E102" s="11" t="s">
        <v>324</v>
      </c>
      <c r="F102" s="47" t="n">
        <v>46307</v>
      </c>
    </row>
    <row r="103" customFormat="false" ht="39" hidden="false" customHeight="true" outlineLevel="0" collapsed="false">
      <c r="A103" s="11" t="s">
        <v>325</v>
      </c>
      <c r="B103" s="49" t="s">
        <v>181</v>
      </c>
      <c r="C103" s="13" t="n">
        <f aca="false">IFERROR((850/5000)*INDEX($C$2:$C$500,MATCH("كاستر بودر",$A$2:$A$500,0))+(2000/5000)*INDEX($C$2:$C$500,MATCH("لبن",$A$2:$A$500,0)),"")</f>
        <v>23.56668</v>
      </c>
      <c r="D103" s="11" t="s">
        <v>326</v>
      </c>
      <c r="E103" s="11" t="s">
        <v>327</v>
      </c>
      <c r="F103" s="47" t="n">
        <v>46230</v>
      </c>
    </row>
    <row r="104" customFormat="false" ht="39" hidden="false" customHeight="true" outlineLevel="0" collapsed="false">
      <c r="A104" s="11" t="s">
        <v>328</v>
      </c>
      <c r="B104" s="49" t="s">
        <v>123</v>
      </c>
      <c r="C104" s="13" t="n">
        <v>4.47</v>
      </c>
      <c r="D104" s="11" t="s">
        <v>329</v>
      </c>
      <c r="E104" s="11" t="n">
        <v>1819</v>
      </c>
      <c r="F104" s="47" t="n">
        <v>46307</v>
      </c>
    </row>
    <row r="105" customFormat="false" ht="51.75" hidden="false" customHeight="true" outlineLevel="0" collapsed="false">
      <c r="A105" s="11" t="s">
        <v>330</v>
      </c>
      <c r="B105" s="49" t="s">
        <v>123</v>
      </c>
      <c r="C105" s="13" t="n">
        <f aca="false">IFERROR((2*INDEX($C$2:$C$500,MATCH("لبن",$A$2:$A$500,0))+0.25*INDEX($C$2:$C$500,MATCH("زبدة",$A$2:$A$500,0))+5*INDEX($C$2:$C$500,MATCH("دقيق",$A$2:$A$500,0))+0.25*INDEX($C$2:$C$500,MATCH("سكر بودرة",$A$2:$A$500,0)))/60,"")</f>
        <v>3.01306208333333</v>
      </c>
      <c r="D105" s="11" t="s">
        <v>331</v>
      </c>
      <c r="E105" s="11" t="s">
        <v>327</v>
      </c>
      <c r="F105" s="47" t="n">
        <v>46230</v>
      </c>
    </row>
    <row r="106" customFormat="false" ht="26.25" hidden="false" customHeight="true" outlineLevel="0" collapsed="false">
      <c r="A106" s="11" t="s">
        <v>332</v>
      </c>
      <c r="B106" s="49" t="s">
        <v>181</v>
      </c>
      <c r="C106" s="13" t="n">
        <f aca="false">IFERROR((850/5000)*INDEX($C$2:$C$500,MATCH("كاستر بودر",$A$2:$A$500,0)),"")</f>
        <v>15.3</v>
      </c>
      <c r="D106" s="11" t="s">
        <v>333</v>
      </c>
      <c r="E106" s="11" t="s">
        <v>327</v>
      </c>
      <c r="F106" s="47" t="n">
        <v>46230</v>
      </c>
    </row>
    <row r="107" customFormat="false" ht="39" hidden="false" customHeight="true" outlineLevel="0" collapsed="false">
      <c r="A107" s="11" t="s">
        <v>334</v>
      </c>
      <c r="B107" s="49" t="s">
        <v>123</v>
      </c>
      <c r="C107" s="13" t="n">
        <f aca="false">IFERROR((0.25*INDEX($C$2:$C$500,MATCH("زبدة",$A$2:$A$500,0))+5*INDEX($C$2:$C$500,MATCH("دقيق",$A$2:$A$500,0))+0.25*INDEX($C$2:$C$500,MATCH("سكر بودرة",$A$2:$A$500,0)))/60,"")</f>
        <v>2.32417208333333</v>
      </c>
      <c r="D107" s="11" t="s">
        <v>335</v>
      </c>
      <c r="E107" s="11" t="s">
        <v>327</v>
      </c>
      <c r="F107" s="47" t="n">
        <v>46230</v>
      </c>
    </row>
    <row r="108" customFormat="false" ht="26.25" hidden="false" customHeight="true" outlineLevel="0" collapsed="false">
      <c r="A108" s="11" t="s">
        <v>336</v>
      </c>
      <c r="B108" s="49" t="s">
        <v>181</v>
      </c>
      <c r="C108" s="13" t="n">
        <v>220.02</v>
      </c>
      <c r="D108" s="11" t="s">
        <v>337</v>
      </c>
      <c r="E108" s="11" t="n">
        <v>2232</v>
      </c>
      <c r="F108" s="47" t="n">
        <v>46307</v>
      </c>
    </row>
    <row r="109" customFormat="false" ht="26.25" hidden="false" customHeight="true" outlineLevel="0" collapsed="false">
      <c r="A109" s="11" t="s">
        <v>338</v>
      </c>
      <c r="B109" s="49" t="s">
        <v>181</v>
      </c>
      <c r="C109" s="13" t="n">
        <v>219.23</v>
      </c>
      <c r="D109" s="11" t="s">
        <v>339</v>
      </c>
      <c r="E109" s="11" t="n">
        <v>2234</v>
      </c>
      <c r="F109" s="47" t="n">
        <v>46307</v>
      </c>
    </row>
    <row r="110" customFormat="false" ht="26.25" hidden="false" customHeight="true" outlineLevel="0" collapsed="false">
      <c r="A110" s="11" t="s">
        <v>340</v>
      </c>
      <c r="B110" s="49" t="s">
        <v>123</v>
      </c>
      <c r="C110" s="13" t="n">
        <v>6</v>
      </c>
      <c r="D110" s="11" t="s">
        <v>341</v>
      </c>
      <c r="E110" s="11" t="n">
        <v>2236</v>
      </c>
      <c r="F110" s="47" t="n">
        <v>46307</v>
      </c>
    </row>
    <row r="111" customFormat="false" ht="26.25" hidden="false" customHeight="true" outlineLevel="0" collapsed="false">
      <c r="A111" s="11" t="s">
        <v>342</v>
      </c>
      <c r="B111" s="49" t="s">
        <v>123</v>
      </c>
      <c r="C111" s="13" t="n">
        <v>0.3</v>
      </c>
      <c r="D111" s="11" t="s">
        <v>343</v>
      </c>
      <c r="E111" s="11" t="n">
        <v>1825</v>
      </c>
      <c r="F111" s="47" t="n">
        <v>46307</v>
      </c>
    </row>
    <row r="112" customFormat="false" ht="39" hidden="false" customHeight="true" outlineLevel="0" collapsed="false">
      <c r="A112" s="11" t="s">
        <v>344</v>
      </c>
      <c r="B112" s="49" t="s">
        <v>123</v>
      </c>
      <c r="C112" s="13" t="n">
        <v>4.44</v>
      </c>
      <c r="D112" s="11" t="s">
        <v>345</v>
      </c>
      <c r="E112" s="11" t="n">
        <v>1820</v>
      </c>
      <c r="F112" s="47" t="n">
        <v>46307</v>
      </c>
    </row>
    <row r="113" customFormat="false" ht="26.25" hidden="false" customHeight="true" outlineLevel="0" collapsed="false">
      <c r="A113" s="11" t="s">
        <v>346</v>
      </c>
      <c r="B113" s="49" t="s">
        <v>123</v>
      </c>
      <c r="C113" s="48" t="n">
        <v>8</v>
      </c>
      <c r="D113" s="11" t="s">
        <v>347</v>
      </c>
      <c r="E113" s="11" t="n">
        <v>1821</v>
      </c>
      <c r="F113" s="47" t="n">
        <v>46307</v>
      </c>
    </row>
    <row r="114" customFormat="false" ht="90" hidden="false" customHeight="true" outlineLevel="0" collapsed="false">
      <c r="A114" s="11" t="s">
        <v>348</v>
      </c>
      <c r="B114" s="49" t="s">
        <v>123</v>
      </c>
      <c r="C114" s="48" t="n">
        <v>5.5777</v>
      </c>
      <c r="D114" s="11" t="s">
        <v>349</v>
      </c>
      <c r="E114" s="11" t="s">
        <v>324</v>
      </c>
      <c r="F114" s="47" t="n">
        <v>46230</v>
      </c>
    </row>
    <row r="115" customFormat="false" ht="15" hidden="false" customHeight="true" outlineLevel="0" collapsed="false">
      <c r="A115" s="11" t="s">
        <v>350</v>
      </c>
      <c r="B115" s="49" t="s">
        <v>123</v>
      </c>
      <c r="C115" s="48" t="n">
        <v>7</v>
      </c>
      <c r="D115" s="11" t="s">
        <v>351</v>
      </c>
      <c r="E115" s="11" t="s">
        <v>324</v>
      </c>
      <c r="F115" s="47" t="n">
        <v>46307</v>
      </c>
    </row>
    <row r="116" customFormat="false" ht="15" hidden="false" customHeight="true" outlineLevel="0" collapsed="false">
      <c r="A116" s="11" t="s">
        <v>352</v>
      </c>
      <c r="B116" s="49" t="s">
        <v>123</v>
      </c>
      <c r="C116" s="48" t="n">
        <v>40</v>
      </c>
      <c r="D116" s="11" t="s">
        <v>353</v>
      </c>
      <c r="E116" s="11" t="s">
        <v>324</v>
      </c>
      <c r="F116" s="47" t="n">
        <v>46307</v>
      </c>
    </row>
    <row r="117" customFormat="false" ht="15" hidden="false" customHeight="true" outlineLevel="0" collapsed="false">
      <c r="A117" s="11" t="s">
        <v>354</v>
      </c>
      <c r="B117" s="49" t="s">
        <v>123</v>
      </c>
      <c r="C117" s="48" t="n">
        <v>7</v>
      </c>
      <c r="D117" s="11" t="s">
        <v>355</v>
      </c>
      <c r="E117" s="11" t="s">
        <v>324</v>
      </c>
      <c r="F117" s="47" t="n">
        <v>46307</v>
      </c>
    </row>
    <row r="118" customFormat="false" ht="15" hidden="false" customHeight="true" outlineLevel="0" collapsed="false">
      <c r="A118" s="49"/>
      <c r="B118" s="49"/>
      <c r="C118" s="50"/>
      <c r="D118" s="49"/>
      <c r="E118" s="49"/>
      <c r="F118" s="51"/>
    </row>
    <row r="119" customFormat="false" ht="15" hidden="false" customHeight="true" outlineLevel="0" collapsed="false">
      <c r="A119" s="49"/>
      <c r="B119" s="49"/>
      <c r="C119" s="50"/>
      <c r="D119" s="49"/>
      <c r="E119" s="49"/>
      <c r="F119" s="51"/>
    </row>
    <row r="120" customFormat="false" ht="15" hidden="false" customHeight="true" outlineLevel="0" collapsed="false">
      <c r="A120" s="49"/>
      <c r="B120" s="49"/>
      <c r="C120" s="50"/>
      <c r="D120" s="49"/>
      <c r="E120" s="49"/>
      <c r="F120" s="51"/>
    </row>
    <row r="121" customFormat="false" ht="15" hidden="false" customHeight="true" outlineLevel="0" collapsed="false">
      <c r="A121" s="49"/>
      <c r="B121" s="49"/>
      <c r="C121" s="50"/>
      <c r="D121" s="49"/>
      <c r="E121" s="49"/>
      <c r="F121" s="51"/>
    </row>
    <row r="122" customFormat="false" ht="15" hidden="false" customHeight="true" outlineLevel="0" collapsed="false">
      <c r="A122" s="49"/>
      <c r="B122" s="49"/>
      <c r="C122" s="50"/>
      <c r="D122" s="49"/>
      <c r="E122" s="49"/>
      <c r="F122" s="51"/>
    </row>
    <row r="123" customFormat="false" ht="15" hidden="false" customHeight="true" outlineLevel="0" collapsed="false">
      <c r="A123" s="49"/>
      <c r="B123" s="49"/>
      <c r="C123" s="50"/>
      <c r="D123" s="49"/>
      <c r="E123" s="49"/>
      <c r="F123" s="51"/>
    </row>
    <row r="124" customFormat="false" ht="15" hidden="false" customHeight="true" outlineLevel="0" collapsed="false">
      <c r="A124" s="49"/>
      <c r="B124" s="49"/>
      <c r="C124" s="50"/>
      <c r="D124" s="49"/>
      <c r="E124" s="49"/>
      <c r="F124" s="51"/>
    </row>
    <row r="125" customFormat="false" ht="15" hidden="false" customHeight="true" outlineLevel="0" collapsed="false">
      <c r="A125" s="49"/>
      <c r="B125" s="49"/>
      <c r="C125" s="50"/>
      <c r="D125" s="49"/>
      <c r="E125" s="49"/>
      <c r="F125" s="51"/>
    </row>
    <row r="126" customFormat="false" ht="15" hidden="false" customHeight="true" outlineLevel="0" collapsed="false">
      <c r="A126" s="49"/>
      <c r="B126" s="49"/>
      <c r="C126" s="50"/>
      <c r="D126" s="49"/>
      <c r="E126" s="49"/>
      <c r="F126" s="51"/>
    </row>
    <row r="127" customFormat="false" ht="15" hidden="false" customHeight="true" outlineLevel="0" collapsed="false">
      <c r="A127" s="49"/>
      <c r="B127" s="49"/>
      <c r="C127" s="50"/>
      <c r="D127" s="49"/>
      <c r="E127" s="49"/>
      <c r="F127" s="51"/>
    </row>
    <row r="128" customFormat="false" ht="15" hidden="false" customHeight="true" outlineLevel="0" collapsed="false">
      <c r="A128" s="49"/>
      <c r="B128" s="49"/>
      <c r="C128" s="50"/>
      <c r="D128" s="49"/>
      <c r="E128" s="49"/>
      <c r="F128" s="51"/>
    </row>
    <row r="129" customFormat="false" ht="15" hidden="false" customHeight="true" outlineLevel="0" collapsed="false">
      <c r="A129" s="49"/>
      <c r="B129" s="49"/>
      <c r="C129" s="50"/>
      <c r="D129" s="49"/>
      <c r="E129" s="49"/>
      <c r="F129" s="51"/>
    </row>
    <row r="130" customFormat="false" ht="15" hidden="false" customHeight="true" outlineLevel="0" collapsed="false">
      <c r="A130" s="49"/>
      <c r="B130" s="49"/>
      <c r="C130" s="50"/>
      <c r="D130" s="49"/>
      <c r="E130" s="49"/>
      <c r="F130" s="51"/>
    </row>
    <row r="131" customFormat="false" ht="15" hidden="false" customHeight="true" outlineLevel="0" collapsed="false">
      <c r="A131" s="49"/>
      <c r="B131" s="49"/>
      <c r="C131" s="50"/>
      <c r="D131" s="49"/>
      <c r="E131" s="49"/>
      <c r="F131" s="51"/>
    </row>
    <row r="132" customFormat="false" ht="15" hidden="false" customHeight="true" outlineLevel="0" collapsed="false">
      <c r="A132" s="49"/>
      <c r="B132" s="49"/>
      <c r="C132" s="50"/>
      <c r="D132" s="49"/>
      <c r="E132" s="49"/>
      <c r="F132" s="51"/>
    </row>
    <row r="133" customFormat="false" ht="15" hidden="false" customHeight="true" outlineLevel="0" collapsed="false">
      <c r="A133" s="49"/>
      <c r="B133" s="49"/>
      <c r="C133" s="50"/>
      <c r="D133" s="49"/>
      <c r="E133" s="49"/>
      <c r="F133" s="51"/>
    </row>
    <row r="134" customFormat="false" ht="15" hidden="false" customHeight="true" outlineLevel="0" collapsed="false">
      <c r="A134" s="49"/>
      <c r="B134" s="49"/>
      <c r="C134" s="50"/>
      <c r="D134" s="49"/>
      <c r="E134" s="49"/>
      <c r="F134" s="51"/>
    </row>
    <row r="135" customFormat="false" ht="15" hidden="false" customHeight="true" outlineLevel="0" collapsed="false">
      <c r="A135" s="49"/>
      <c r="B135" s="49"/>
      <c r="C135" s="50"/>
      <c r="D135" s="49"/>
      <c r="E135" s="49"/>
      <c r="F135" s="51"/>
    </row>
    <row r="136" customFormat="false" ht="15" hidden="false" customHeight="true" outlineLevel="0" collapsed="false">
      <c r="A136" s="49"/>
      <c r="B136" s="49"/>
      <c r="C136" s="50"/>
      <c r="D136" s="49"/>
      <c r="E136" s="49"/>
      <c r="F136" s="51"/>
    </row>
    <row r="137" customFormat="false" ht="15" hidden="false" customHeight="true" outlineLevel="0" collapsed="false">
      <c r="A137" s="49"/>
      <c r="B137" s="49"/>
      <c r="C137" s="50"/>
      <c r="D137" s="49"/>
      <c r="E137" s="49"/>
      <c r="F137" s="51"/>
    </row>
    <row r="138" customFormat="false" ht="15" hidden="false" customHeight="true" outlineLevel="0" collapsed="false">
      <c r="A138" s="49"/>
      <c r="B138" s="49"/>
      <c r="C138" s="50"/>
      <c r="D138" s="49"/>
      <c r="E138" s="49"/>
      <c r="F138" s="51"/>
    </row>
    <row r="139" customFormat="false" ht="15" hidden="false" customHeight="true" outlineLevel="0" collapsed="false">
      <c r="A139" s="49"/>
      <c r="B139" s="49"/>
      <c r="C139" s="50"/>
      <c r="D139" s="49"/>
      <c r="E139" s="49"/>
      <c r="F139" s="51"/>
    </row>
    <row r="140" customFormat="false" ht="15" hidden="false" customHeight="true" outlineLevel="0" collapsed="false">
      <c r="A140" s="49"/>
      <c r="B140" s="49"/>
      <c r="C140" s="50"/>
      <c r="D140" s="49"/>
      <c r="E140" s="49"/>
      <c r="F140" s="51"/>
    </row>
    <row r="141" customFormat="false" ht="15" hidden="false" customHeight="true" outlineLevel="0" collapsed="false">
      <c r="A141" s="49"/>
      <c r="B141" s="49"/>
      <c r="C141" s="50"/>
      <c r="D141" s="49"/>
      <c r="E141" s="49"/>
      <c r="F141" s="51"/>
    </row>
    <row r="142" customFormat="false" ht="15" hidden="false" customHeight="true" outlineLevel="0" collapsed="false">
      <c r="A142" s="49"/>
      <c r="B142" s="49"/>
      <c r="C142" s="50"/>
      <c r="D142" s="49"/>
      <c r="E142" s="49"/>
      <c r="F142" s="51"/>
    </row>
    <row r="143" customFormat="false" ht="15" hidden="false" customHeight="true" outlineLevel="0" collapsed="false">
      <c r="A143" s="49"/>
      <c r="B143" s="49"/>
      <c r="C143" s="50"/>
      <c r="D143" s="49"/>
      <c r="E143" s="49"/>
      <c r="F143" s="51"/>
    </row>
    <row r="144" customFormat="false" ht="15" hidden="false" customHeight="true" outlineLevel="0" collapsed="false">
      <c r="A144" s="49"/>
      <c r="B144" s="49"/>
      <c r="C144" s="50"/>
      <c r="D144" s="49"/>
      <c r="E144" s="49"/>
      <c r="F144" s="51"/>
    </row>
    <row r="145" customFormat="false" ht="15" hidden="false" customHeight="true" outlineLevel="0" collapsed="false">
      <c r="A145" s="49"/>
      <c r="B145" s="49"/>
      <c r="C145" s="50"/>
      <c r="D145" s="49"/>
      <c r="E145" s="49"/>
      <c r="F145" s="51"/>
    </row>
    <row r="146" customFormat="false" ht="15" hidden="false" customHeight="true" outlineLevel="0" collapsed="false">
      <c r="A146" s="49"/>
      <c r="B146" s="49"/>
      <c r="C146" s="50"/>
      <c r="D146" s="49"/>
      <c r="E146" s="49"/>
      <c r="F146" s="51"/>
    </row>
    <row r="147" customFormat="false" ht="15" hidden="false" customHeight="true" outlineLevel="0" collapsed="false">
      <c r="A147" s="49"/>
      <c r="B147" s="49"/>
      <c r="C147" s="50"/>
      <c r="D147" s="49"/>
      <c r="E147" s="49"/>
      <c r="F147" s="51"/>
    </row>
    <row r="148" customFormat="false" ht="15" hidden="false" customHeight="true" outlineLevel="0" collapsed="false">
      <c r="A148" s="49"/>
      <c r="B148" s="49"/>
      <c r="C148" s="50"/>
      <c r="D148" s="49"/>
      <c r="E148" s="49"/>
      <c r="F148" s="51"/>
    </row>
    <row r="149" customFormat="false" ht="15" hidden="false" customHeight="true" outlineLevel="0" collapsed="false">
      <c r="A149" s="49"/>
      <c r="B149" s="49"/>
      <c r="C149" s="50"/>
      <c r="D149" s="49"/>
      <c r="E149" s="49"/>
      <c r="F149" s="51"/>
    </row>
    <row r="150" customFormat="false" ht="15" hidden="false" customHeight="true" outlineLevel="0" collapsed="false">
      <c r="A150" s="49"/>
      <c r="B150" s="49"/>
      <c r="C150" s="50"/>
      <c r="D150" s="49"/>
      <c r="E150" s="49"/>
      <c r="F150" s="51"/>
    </row>
    <row r="151" customFormat="false" ht="15" hidden="false" customHeight="true" outlineLevel="0" collapsed="false">
      <c r="A151" s="49"/>
      <c r="B151" s="49"/>
      <c r="C151" s="50"/>
      <c r="D151" s="49"/>
      <c r="E151" s="49"/>
      <c r="F151" s="51"/>
    </row>
    <row r="152" customFormat="false" ht="15" hidden="false" customHeight="true" outlineLevel="0" collapsed="false">
      <c r="A152" s="49"/>
      <c r="B152" s="49"/>
      <c r="C152" s="50"/>
      <c r="D152" s="49"/>
      <c r="E152" s="49"/>
      <c r="F152" s="51"/>
    </row>
    <row r="153" customFormat="false" ht="15" hidden="false" customHeight="true" outlineLevel="0" collapsed="false">
      <c r="A153" s="49"/>
      <c r="B153" s="49"/>
      <c r="C153" s="50"/>
      <c r="D153" s="49"/>
      <c r="E153" s="49"/>
      <c r="F153" s="51"/>
    </row>
    <row r="154" customFormat="false" ht="15" hidden="false" customHeight="true" outlineLevel="0" collapsed="false">
      <c r="A154" s="49"/>
      <c r="B154" s="49"/>
      <c r="C154" s="50"/>
      <c r="D154" s="49"/>
      <c r="E154" s="49"/>
      <c r="F154" s="51"/>
    </row>
    <row r="155" customFormat="false" ht="15" hidden="false" customHeight="true" outlineLevel="0" collapsed="false">
      <c r="A155" s="49"/>
      <c r="B155" s="49"/>
      <c r="C155" s="50"/>
      <c r="D155" s="49"/>
      <c r="E155" s="49"/>
      <c r="F155" s="51"/>
    </row>
    <row r="156" customFormat="false" ht="15" hidden="false" customHeight="true" outlineLevel="0" collapsed="false">
      <c r="A156" s="49"/>
      <c r="B156" s="49"/>
      <c r="C156" s="50"/>
      <c r="D156" s="49"/>
      <c r="E156" s="49"/>
      <c r="F156" s="51"/>
    </row>
    <row r="157" customFormat="false" ht="15" hidden="false" customHeight="true" outlineLevel="0" collapsed="false">
      <c r="A157" s="49"/>
      <c r="B157" s="49"/>
      <c r="C157" s="50"/>
      <c r="D157" s="49"/>
      <c r="E157" s="49"/>
      <c r="F157" s="51"/>
    </row>
    <row r="158" customFormat="false" ht="15" hidden="false" customHeight="true" outlineLevel="0" collapsed="false">
      <c r="A158" s="49"/>
      <c r="B158" s="49"/>
      <c r="C158" s="50"/>
      <c r="D158" s="49"/>
      <c r="E158" s="49"/>
      <c r="F158" s="51"/>
    </row>
    <row r="159" customFormat="false" ht="15" hidden="false" customHeight="true" outlineLevel="0" collapsed="false">
      <c r="A159" s="49"/>
      <c r="B159" s="49"/>
      <c r="C159" s="50"/>
      <c r="D159" s="49"/>
      <c r="E159" s="49"/>
      <c r="F159" s="51"/>
    </row>
    <row r="160" customFormat="false" ht="15" hidden="false" customHeight="true" outlineLevel="0" collapsed="false">
      <c r="A160" s="49"/>
      <c r="B160" s="49"/>
      <c r="C160" s="50"/>
      <c r="D160" s="49"/>
      <c r="E160" s="49"/>
      <c r="F160" s="51"/>
    </row>
    <row r="161" customFormat="false" ht="15" hidden="false" customHeight="true" outlineLevel="0" collapsed="false">
      <c r="A161" s="49"/>
      <c r="B161" s="49"/>
      <c r="C161" s="50"/>
      <c r="D161" s="49"/>
      <c r="E161" s="49"/>
      <c r="F161" s="51"/>
    </row>
    <row r="162" customFormat="false" ht="15" hidden="false" customHeight="true" outlineLevel="0" collapsed="false">
      <c r="A162" s="49"/>
      <c r="B162" s="49"/>
      <c r="C162" s="50"/>
      <c r="D162" s="49"/>
      <c r="E162" s="49"/>
      <c r="F162" s="51"/>
    </row>
    <row r="163" customFormat="false" ht="15" hidden="false" customHeight="true" outlineLevel="0" collapsed="false">
      <c r="A163" s="49"/>
      <c r="B163" s="49"/>
      <c r="C163" s="50"/>
      <c r="D163" s="49"/>
      <c r="E163" s="49"/>
      <c r="F163" s="51"/>
    </row>
    <row r="164" customFormat="false" ht="15" hidden="false" customHeight="true" outlineLevel="0" collapsed="false">
      <c r="A164" s="49"/>
      <c r="B164" s="49"/>
      <c r="C164" s="50"/>
      <c r="D164" s="49"/>
      <c r="E164" s="49"/>
      <c r="F164" s="51"/>
    </row>
    <row r="165" customFormat="false" ht="15" hidden="false" customHeight="true" outlineLevel="0" collapsed="false">
      <c r="A165" s="49"/>
      <c r="B165" s="49"/>
      <c r="C165" s="50"/>
      <c r="D165" s="49"/>
      <c r="E165" s="49"/>
      <c r="F165" s="51"/>
    </row>
    <row r="166" customFormat="false" ht="15" hidden="false" customHeight="true" outlineLevel="0" collapsed="false">
      <c r="A166" s="49"/>
      <c r="B166" s="49"/>
      <c r="C166" s="50"/>
      <c r="D166" s="49"/>
      <c r="E166" s="49"/>
      <c r="F166" s="51"/>
    </row>
    <row r="167" customFormat="false" ht="15" hidden="false" customHeight="true" outlineLevel="0" collapsed="false">
      <c r="A167" s="49"/>
      <c r="B167" s="49"/>
      <c r="C167" s="50"/>
      <c r="D167" s="49"/>
      <c r="E167" s="49"/>
      <c r="F167" s="51"/>
    </row>
    <row r="168" customFormat="false" ht="15" hidden="false" customHeight="true" outlineLevel="0" collapsed="false">
      <c r="A168" s="49"/>
      <c r="B168" s="49"/>
      <c r="C168" s="50"/>
      <c r="D168" s="49"/>
      <c r="E168" s="49"/>
      <c r="F168" s="51"/>
    </row>
    <row r="169" customFormat="false" ht="15" hidden="false" customHeight="true" outlineLevel="0" collapsed="false">
      <c r="A169" s="49"/>
      <c r="B169" s="49"/>
      <c r="C169" s="50"/>
      <c r="D169" s="49"/>
      <c r="E169" s="49"/>
      <c r="F169" s="51"/>
    </row>
    <row r="170" customFormat="false" ht="15" hidden="false" customHeight="true" outlineLevel="0" collapsed="false">
      <c r="A170" s="49"/>
      <c r="B170" s="49"/>
      <c r="C170" s="50"/>
      <c r="D170" s="49"/>
      <c r="E170" s="49"/>
      <c r="F170" s="51"/>
    </row>
    <row r="171" customFormat="false" ht="15" hidden="false" customHeight="true" outlineLevel="0" collapsed="false">
      <c r="A171" s="49"/>
      <c r="B171" s="49"/>
      <c r="C171" s="50"/>
      <c r="D171" s="49"/>
      <c r="E171" s="49"/>
      <c r="F171" s="51"/>
    </row>
    <row r="172" customFormat="false" ht="15" hidden="false" customHeight="true" outlineLevel="0" collapsed="false">
      <c r="A172" s="49"/>
      <c r="B172" s="49"/>
      <c r="C172" s="50"/>
      <c r="D172" s="49"/>
      <c r="E172" s="49"/>
      <c r="F172" s="51"/>
    </row>
    <row r="173" customFormat="false" ht="15" hidden="false" customHeight="true" outlineLevel="0" collapsed="false">
      <c r="A173" s="49"/>
      <c r="B173" s="49"/>
      <c r="C173" s="50"/>
      <c r="D173" s="49"/>
      <c r="E173" s="49"/>
      <c r="F173" s="51"/>
    </row>
    <row r="174" customFormat="false" ht="15" hidden="false" customHeight="true" outlineLevel="0" collapsed="false">
      <c r="A174" s="49"/>
      <c r="B174" s="49"/>
      <c r="C174" s="50"/>
      <c r="D174" s="49"/>
      <c r="E174" s="49"/>
      <c r="F174" s="51"/>
    </row>
    <row r="175" customFormat="false" ht="15" hidden="false" customHeight="true" outlineLevel="0" collapsed="false">
      <c r="A175" s="49"/>
      <c r="B175" s="49"/>
      <c r="C175" s="50"/>
      <c r="D175" s="49"/>
      <c r="E175" s="49"/>
      <c r="F175" s="51"/>
    </row>
    <row r="176" customFormat="false" ht="15" hidden="false" customHeight="true" outlineLevel="0" collapsed="false">
      <c r="A176" s="49"/>
      <c r="B176" s="49"/>
      <c r="C176" s="50"/>
      <c r="D176" s="49"/>
      <c r="E176" s="49"/>
      <c r="F176" s="51"/>
    </row>
    <row r="177" customFormat="false" ht="15" hidden="false" customHeight="true" outlineLevel="0" collapsed="false">
      <c r="A177" s="49"/>
      <c r="B177" s="49"/>
      <c r="C177" s="50"/>
      <c r="D177" s="49"/>
      <c r="E177" s="49"/>
      <c r="F177" s="51"/>
    </row>
    <row r="178" customFormat="false" ht="15" hidden="false" customHeight="true" outlineLevel="0" collapsed="false">
      <c r="A178" s="49"/>
      <c r="B178" s="49"/>
      <c r="C178" s="50"/>
      <c r="D178" s="49"/>
      <c r="E178" s="49"/>
      <c r="F178" s="51"/>
    </row>
    <row r="179" customFormat="false" ht="15" hidden="false" customHeight="true" outlineLevel="0" collapsed="false">
      <c r="A179" s="49"/>
      <c r="B179" s="49"/>
      <c r="C179" s="50"/>
      <c r="D179" s="49"/>
      <c r="E179" s="49"/>
      <c r="F179" s="51"/>
    </row>
    <row r="180" customFormat="false" ht="15" hidden="false" customHeight="true" outlineLevel="0" collapsed="false">
      <c r="A180" s="49"/>
      <c r="B180" s="49"/>
      <c r="C180" s="50"/>
      <c r="D180" s="49"/>
      <c r="E180" s="49"/>
      <c r="F180" s="51"/>
    </row>
    <row r="181" customFormat="false" ht="15" hidden="false" customHeight="true" outlineLevel="0" collapsed="false">
      <c r="A181" s="49"/>
      <c r="B181" s="49"/>
      <c r="C181" s="50"/>
      <c r="D181" s="49"/>
      <c r="E181" s="49"/>
      <c r="F181" s="51"/>
    </row>
    <row r="182" customFormat="false" ht="15" hidden="false" customHeight="true" outlineLevel="0" collapsed="false">
      <c r="A182" s="49"/>
      <c r="B182" s="49"/>
      <c r="C182" s="50"/>
      <c r="D182" s="49"/>
      <c r="E182" s="49"/>
      <c r="F182" s="51"/>
    </row>
    <row r="183" customFormat="false" ht="15" hidden="false" customHeight="true" outlineLevel="0" collapsed="false">
      <c r="A183" s="49"/>
      <c r="B183" s="49"/>
      <c r="C183" s="50"/>
      <c r="D183" s="49"/>
      <c r="E183" s="49"/>
      <c r="F183" s="51"/>
    </row>
    <row r="184" customFormat="false" ht="15" hidden="false" customHeight="true" outlineLevel="0" collapsed="false">
      <c r="A184" s="49"/>
      <c r="B184" s="49"/>
      <c r="C184" s="50"/>
      <c r="D184" s="49"/>
      <c r="E184" s="49"/>
      <c r="F184" s="51"/>
    </row>
    <row r="185" customFormat="false" ht="15" hidden="false" customHeight="true" outlineLevel="0" collapsed="false">
      <c r="A185" s="49"/>
      <c r="B185" s="49"/>
      <c r="C185" s="50"/>
      <c r="D185" s="49"/>
      <c r="E185" s="49"/>
      <c r="F185" s="51"/>
    </row>
    <row r="186" customFormat="false" ht="15" hidden="false" customHeight="true" outlineLevel="0" collapsed="false">
      <c r="A186" s="49"/>
      <c r="B186" s="49"/>
      <c r="C186" s="50"/>
      <c r="D186" s="49"/>
      <c r="E186" s="49"/>
      <c r="F186" s="51"/>
    </row>
    <row r="187" customFormat="false" ht="15" hidden="false" customHeight="true" outlineLevel="0" collapsed="false">
      <c r="A187" s="49"/>
      <c r="B187" s="49"/>
      <c r="C187" s="50"/>
      <c r="D187" s="49"/>
      <c r="E187" s="49"/>
      <c r="F187" s="51"/>
    </row>
    <row r="188" customFormat="false" ht="15" hidden="false" customHeight="true" outlineLevel="0" collapsed="false">
      <c r="A188" s="49"/>
      <c r="B188" s="49"/>
      <c r="C188" s="50"/>
      <c r="D188" s="49"/>
      <c r="E188" s="49"/>
      <c r="F188" s="51"/>
    </row>
    <row r="189" customFormat="false" ht="15" hidden="false" customHeight="true" outlineLevel="0" collapsed="false">
      <c r="A189" s="49"/>
      <c r="B189" s="49"/>
      <c r="C189" s="50"/>
      <c r="D189" s="49"/>
      <c r="E189" s="49"/>
      <c r="F189" s="51"/>
    </row>
    <row r="190" customFormat="false" ht="15" hidden="false" customHeight="true" outlineLevel="0" collapsed="false">
      <c r="A190" s="49"/>
      <c r="B190" s="49"/>
      <c r="C190" s="50"/>
      <c r="D190" s="49"/>
      <c r="E190" s="49"/>
      <c r="F190" s="51"/>
    </row>
    <row r="191" customFormat="false" ht="15" hidden="false" customHeight="true" outlineLevel="0" collapsed="false">
      <c r="A191" s="49"/>
      <c r="B191" s="49"/>
      <c r="C191" s="50"/>
      <c r="D191" s="49"/>
      <c r="E191" s="49"/>
      <c r="F191" s="51"/>
    </row>
    <row r="192" customFormat="false" ht="15" hidden="false" customHeight="true" outlineLevel="0" collapsed="false">
      <c r="A192" s="49"/>
      <c r="B192" s="49"/>
      <c r="C192" s="50"/>
      <c r="D192" s="49"/>
      <c r="E192" s="49"/>
      <c r="F192" s="51"/>
    </row>
    <row r="193" customFormat="false" ht="15" hidden="false" customHeight="true" outlineLevel="0" collapsed="false">
      <c r="A193" s="49"/>
      <c r="B193" s="49"/>
      <c r="C193" s="50"/>
      <c r="D193" s="49"/>
      <c r="E193" s="49"/>
      <c r="F193" s="51"/>
    </row>
    <row r="194" customFormat="false" ht="15" hidden="false" customHeight="true" outlineLevel="0" collapsed="false">
      <c r="A194" s="49"/>
      <c r="B194" s="49"/>
      <c r="C194" s="50"/>
      <c r="D194" s="49"/>
      <c r="E194" s="49"/>
      <c r="F194" s="51"/>
    </row>
    <row r="195" customFormat="false" ht="15" hidden="false" customHeight="true" outlineLevel="0" collapsed="false">
      <c r="A195" s="49"/>
      <c r="B195" s="49"/>
      <c r="C195" s="50"/>
      <c r="D195" s="49"/>
      <c r="E195" s="49"/>
      <c r="F195" s="51"/>
    </row>
    <row r="196" customFormat="false" ht="15" hidden="false" customHeight="true" outlineLevel="0" collapsed="false">
      <c r="A196" s="49"/>
      <c r="B196" s="49"/>
      <c r="C196" s="50"/>
      <c r="D196" s="49"/>
      <c r="E196" s="49"/>
      <c r="F196" s="51"/>
    </row>
    <row r="197" customFormat="false" ht="15" hidden="false" customHeight="true" outlineLevel="0" collapsed="false">
      <c r="A197" s="49"/>
      <c r="B197" s="49"/>
      <c r="C197" s="50"/>
      <c r="D197" s="49"/>
      <c r="E197" s="49"/>
      <c r="F197" s="51"/>
    </row>
    <row r="198" customFormat="false" ht="15" hidden="false" customHeight="true" outlineLevel="0" collapsed="false">
      <c r="A198" s="49"/>
      <c r="B198" s="49"/>
      <c r="C198" s="50"/>
      <c r="D198" s="49"/>
      <c r="E198" s="49"/>
      <c r="F198" s="51"/>
    </row>
    <row r="199" customFormat="false" ht="15" hidden="false" customHeight="true" outlineLevel="0" collapsed="false">
      <c r="A199" s="49"/>
      <c r="B199" s="49"/>
      <c r="C199" s="50"/>
      <c r="D199" s="49"/>
      <c r="E199" s="49"/>
      <c r="F199" s="51"/>
    </row>
    <row r="200" customFormat="false" ht="15" hidden="false" customHeight="true" outlineLevel="0" collapsed="false">
      <c r="A200" s="49"/>
      <c r="B200" s="49"/>
      <c r="C200" s="50"/>
      <c r="D200" s="49"/>
      <c r="E200" s="49"/>
      <c r="F200" s="51"/>
    </row>
    <row r="201" customFormat="false" ht="15" hidden="false" customHeight="true" outlineLevel="0" collapsed="false">
      <c r="A201" s="49"/>
      <c r="B201" s="49"/>
      <c r="C201" s="50"/>
      <c r="D201" s="49"/>
      <c r="E201" s="49"/>
      <c r="F201" s="51"/>
    </row>
    <row r="202" customFormat="false" ht="15" hidden="false" customHeight="true" outlineLevel="0" collapsed="false">
      <c r="A202" s="49"/>
      <c r="B202" s="49"/>
      <c r="C202" s="50"/>
      <c r="D202" s="49"/>
      <c r="E202" s="49"/>
      <c r="F202" s="51"/>
    </row>
    <row r="203" customFormat="false" ht="15" hidden="false" customHeight="true" outlineLevel="0" collapsed="false">
      <c r="A203" s="49"/>
      <c r="B203" s="49"/>
      <c r="C203" s="50"/>
      <c r="D203" s="49"/>
      <c r="E203" s="49"/>
      <c r="F203" s="51"/>
    </row>
    <row r="204" customFormat="false" ht="15" hidden="false" customHeight="true" outlineLevel="0" collapsed="false">
      <c r="A204" s="49"/>
      <c r="B204" s="49"/>
      <c r="C204" s="50"/>
      <c r="D204" s="49"/>
      <c r="E204" s="49"/>
      <c r="F204" s="51"/>
    </row>
    <row r="205" customFormat="false" ht="15" hidden="false" customHeight="true" outlineLevel="0" collapsed="false">
      <c r="A205" s="49"/>
      <c r="B205" s="49"/>
      <c r="C205" s="50"/>
      <c r="D205" s="49"/>
      <c r="E205" s="49"/>
      <c r="F205" s="51"/>
    </row>
    <row r="206" customFormat="false" ht="15" hidden="false" customHeight="true" outlineLevel="0" collapsed="false">
      <c r="A206" s="49"/>
      <c r="B206" s="49"/>
      <c r="C206" s="50"/>
      <c r="D206" s="49"/>
      <c r="E206" s="49"/>
      <c r="F206" s="51"/>
    </row>
    <row r="207" customFormat="false" ht="15" hidden="false" customHeight="true" outlineLevel="0" collapsed="false">
      <c r="A207" s="49"/>
      <c r="B207" s="49"/>
      <c r="C207" s="50"/>
      <c r="D207" s="49"/>
      <c r="E207" s="49"/>
      <c r="F207" s="51"/>
    </row>
    <row r="208" customFormat="false" ht="15" hidden="false" customHeight="true" outlineLevel="0" collapsed="false">
      <c r="A208" s="49"/>
      <c r="B208" s="49"/>
      <c r="C208" s="50"/>
      <c r="D208" s="49"/>
      <c r="E208" s="49"/>
      <c r="F208" s="51"/>
    </row>
    <row r="209" customFormat="false" ht="15" hidden="false" customHeight="true" outlineLevel="0" collapsed="false">
      <c r="A209" s="49"/>
      <c r="B209" s="49"/>
      <c r="C209" s="50"/>
      <c r="D209" s="49"/>
      <c r="E209" s="49"/>
      <c r="F209" s="51"/>
    </row>
    <row r="210" customFormat="false" ht="15" hidden="false" customHeight="true" outlineLevel="0" collapsed="false">
      <c r="A210" s="49"/>
      <c r="B210" s="49"/>
      <c r="C210" s="50"/>
      <c r="D210" s="49"/>
      <c r="E210" s="49"/>
      <c r="F210" s="51"/>
    </row>
    <row r="211" customFormat="false" ht="15" hidden="false" customHeight="true" outlineLevel="0" collapsed="false">
      <c r="A211" s="49"/>
      <c r="B211" s="49"/>
      <c r="C211" s="50"/>
      <c r="D211" s="49"/>
      <c r="E211" s="49"/>
      <c r="F211" s="51"/>
    </row>
    <row r="212" customFormat="false" ht="15" hidden="false" customHeight="true" outlineLevel="0" collapsed="false">
      <c r="A212" s="49"/>
      <c r="B212" s="49"/>
      <c r="C212" s="50"/>
      <c r="D212" s="49"/>
      <c r="E212" s="49"/>
      <c r="F212" s="51"/>
    </row>
    <row r="213" customFormat="false" ht="15" hidden="false" customHeight="true" outlineLevel="0" collapsed="false">
      <c r="A213" s="49"/>
      <c r="B213" s="49"/>
      <c r="C213" s="50"/>
      <c r="D213" s="49"/>
      <c r="E213" s="49"/>
      <c r="F213" s="51"/>
    </row>
    <row r="214" customFormat="false" ht="15" hidden="false" customHeight="true" outlineLevel="0" collapsed="false">
      <c r="A214" s="49"/>
      <c r="B214" s="49"/>
      <c r="C214" s="50"/>
      <c r="D214" s="49"/>
      <c r="E214" s="49"/>
      <c r="F214" s="51"/>
    </row>
    <row r="215" customFormat="false" ht="15" hidden="false" customHeight="true" outlineLevel="0" collapsed="false">
      <c r="A215" s="49"/>
      <c r="B215" s="49"/>
      <c r="C215" s="50"/>
      <c r="D215" s="49"/>
      <c r="E215" s="49"/>
      <c r="F215" s="51"/>
    </row>
    <row r="216" customFormat="false" ht="15" hidden="false" customHeight="true" outlineLevel="0" collapsed="false">
      <c r="A216" s="49"/>
      <c r="B216" s="49"/>
      <c r="C216" s="50"/>
      <c r="D216" s="49"/>
      <c r="E216" s="49"/>
      <c r="F216" s="51"/>
    </row>
    <row r="217" customFormat="false" ht="15" hidden="false" customHeight="true" outlineLevel="0" collapsed="false">
      <c r="A217" s="49"/>
      <c r="B217" s="49"/>
      <c r="C217" s="50"/>
      <c r="D217" s="49"/>
      <c r="E217" s="49"/>
      <c r="F217" s="51"/>
    </row>
    <row r="218" customFormat="false" ht="15" hidden="false" customHeight="true" outlineLevel="0" collapsed="false">
      <c r="A218" s="49"/>
      <c r="B218" s="49"/>
      <c r="C218" s="50"/>
      <c r="D218" s="49"/>
      <c r="E218" s="49"/>
      <c r="F218" s="51"/>
    </row>
    <row r="219" customFormat="false" ht="15" hidden="false" customHeight="true" outlineLevel="0" collapsed="false">
      <c r="A219" s="49"/>
      <c r="B219" s="49"/>
      <c r="C219" s="50"/>
      <c r="D219" s="49"/>
      <c r="E219" s="49"/>
      <c r="F219" s="51"/>
    </row>
    <row r="220" customFormat="false" ht="15" hidden="false" customHeight="true" outlineLevel="0" collapsed="false">
      <c r="A220" s="49"/>
      <c r="B220" s="49"/>
      <c r="C220" s="50"/>
      <c r="D220" s="49"/>
      <c r="E220" s="49"/>
      <c r="F220" s="51"/>
    </row>
    <row r="221" customFormat="false" ht="15" hidden="false" customHeight="true" outlineLevel="0" collapsed="false">
      <c r="A221" s="49"/>
      <c r="B221" s="49"/>
      <c r="C221" s="50"/>
      <c r="D221" s="49"/>
      <c r="E221" s="49"/>
      <c r="F221" s="51"/>
    </row>
    <row r="222" customFormat="false" ht="15" hidden="false" customHeight="true" outlineLevel="0" collapsed="false">
      <c r="A222" s="49"/>
      <c r="B222" s="49"/>
      <c r="C222" s="50"/>
      <c r="D222" s="49"/>
      <c r="E222" s="49"/>
      <c r="F222" s="51"/>
    </row>
    <row r="223" customFormat="false" ht="15" hidden="false" customHeight="true" outlineLevel="0" collapsed="false">
      <c r="A223" s="49"/>
      <c r="B223" s="49"/>
      <c r="C223" s="50"/>
      <c r="D223" s="49"/>
      <c r="E223" s="49"/>
      <c r="F223" s="51"/>
    </row>
    <row r="224" customFormat="false" ht="15" hidden="false" customHeight="true" outlineLevel="0" collapsed="false">
      <c r="A224" s="49"/>
      <c r="B224" s="49"/>
      <c r="C224" s="50"/>
      <c r="D224" s="49"/>
      <c r="E224" s="49"/>
      <c r="F224" s="51"/>
    </row>
    <row r="225" customFormat="false" ht="15" hidden="false" customHeight="true" outlineLevel="0" collapsed="false">
      <c r="A225" s="49"/>
      <c r="B225" s="49"/>
      <c r="C225" s="50"/>
      <c r="D225" s="49"/>
      <c r="E225" s="49"/>
      <c r="F225" s="51"/>
    </row>
    <row r="226" customFormat="false" ht="15" hidden="false" customHeight="true" outlineLevel="0" collapsed="false">
      <c r="A226" s="49"/>
      <c r="B226" s="49"/>
      <c r="C226" s="50"/>
      <c r="D226" s="49"/>
      <c r="E226" s="49"/>
      <c r="F226" s="51"/>
    </row>
    <row r="227" customFormat="false" ht="15" hidden="false" customHeight="true" outlineLevel="0" collapsed="false">
      <c r="A227" s="49"/>
      <c r="B227" s="49"/>
      <c r="C227" s="50"/>
      <c r="D227" s="49"/>
      <c r="E227" s="49"/>
      <c r="F227" s="51"/>
    </row>
    <row r="228" customFormat="false" ht="15" hidden="false" customHeight="true" outlineLevel="0" collapsed="false">
      <c r="A228" s="49"/>
      <c r="B228" s="49"/>
      <c r="C228" s="50"/>
      <c r="D228" s="49"/>
      <c r="E228" s="49"/>
      <c r="F228" s="51"/>
    </row>
    <row r="229" customFormat="false" ht="15" hidden="false" customHeight="true" outlineLevel="0" collapsed="false">
      <c r="A229" s="49"/>
      <c r="B229" s="49"/>
      <c r="C229" s="50"/>
      <c r="D229" s="49"/>
      <c r="E229" s="49"/>
      <c r="F229" s="51"/>
    </row>
    <row r="230" customFormat="false" ht="15" hidden="false" customHeight="true" outlineLevel="0" collapsed="false">
      <c r="A230" s="49"/>
      <c r="B230" s="49"/>
      <c r="C230" s="50"/>
      <c r="D230" s="49"/>
      <c r="E230" s="49"/>
      <c r="F230" s="51"/>
    </row>
    <row r="231" customFormat="false" ht="15" hidden="false" customHeight="true" outlineLevel="0" collapsed="false">
      <c r="A231" s="49"/>
      <c r="B231" s="49"/>
      <c r="C231" s="50"/>
      <c r="D231" s="49"/>
      <c r="E231" s="49"/>
      <c r="F231" s="51"/>
    </row>
    <row r="232" customFormat="false" ht="15" hidden="false" customHeight="true" outlineLevel="0" collapsed="false">
      <c r="A232" s="49"/>
      <c r="B232" s="49"/>
      <c r="C232" s="50"/>
      <c r="D232" s="49"/>
      <c r="E232" s="49"/>
      <c r="F232" s="51"/>
    </row>
    <row r="233" customFormat="false" ht="15" hidden="false" customHeight="true" outlineLevel="0" collapsed="false">
      <c r="A233" s="49"/>
      <c r="B233" s="49"/>
      <c r="C233" s="50"/>
      <c r="D233" s="49"/>
      <c r="E233" s="49"/>
      <c r="F233" s="51"/>
    </row>
    <row r="234" customFormat="false" ht="15" hidden="false" customHeight="true" outlineLevel="0" collapsed="false">
      <c r="A234" s="49"/>
      <c r="B234" s="49"/>
      <c r="C234" s="50"/>
      <c r="D234" s="49"/>
      <c r="E234" s="49"/>
      <c r="F234" s="51"/>
    </row>
    <row r="235" customFormat="false" ht="15" hidden="false" customHeight="true" outlineLevel="0" collapsed="false">
      <c r="A235" s="49"/>
      <c r="B235" s="49"/>
      <c r="C235" s="50"/>
      <c r="D235" s="49"/>
      <c r="E235" s="49"/>
      <c r="F235" s="51"/>
    </row>
    <row r="236" customFormat="false" ht="15" hidden="false" customHeight="true" outlineLevel="0" collapsed="false">
      <c r="A236" s="49"/>
      <c r="B236" s="49"/>
      <c r="C236" s="50"/>
      <c r="D236" s="49"/>
      <c r="E236" s="49"/>
      <c r="F236" s="51"/>
    </row>
    <row r="237" customFormat="false" ht="15" hidden="false" customHeight="true" outlineLevel="0" collapsed="false">
      <c r="A237" s="49"/>
      <c r="B237" s="49"/>
      <c r="C237" s="50"/>
      <c r="D237" s="49"/>
      <c r="E237" s="49"/>
      <c r="F237" s="51"/>
    </row>
    <row r="238" customFormat="false" ht="15" hidden="false" customHeight="true" outlineLevel="0" collapsed="false">
      <c r="A238" s="49"/>
      <c r="B238" s="49"/>
      <c r="C238" s="50"/>
      <c r="D238" s="49"/>
      <c r="E238" s="49"/>
      <c r="F238" s="51"/>
    </row>
    <row r="239" customFormat="false" ht="15" hidden="false" customHeight="true" outlineLevel="0" collapsed="false">
      <c r="A239" s="49"/>
      <c r="B239" s="49"/>
      <c r="C239" s="50"/>
      <c r="D239" s="49"/>
      <c r="E239" s="49"/>
      <c r="F239" s="51"/>
    </row>
    <row r="240" customFormat="false" ht="15" hidden="false" customHeight="true" outlineLevel="0" collapsed="false">
      <c r="A240" s="49"/>
      <c r="B240" s="49"/>
      <c r="C240" s="50"/>
      <c r="D240" s="49"/>
      <c r="E240" s="49"/>
      <c r="F240" s="51"/>
    </row>
    <row r="241" customFormat="false" ht="15" hidden="false" customHeight="true" outlineLevel="0" collapsed="false">
      <c r="A241" s="49"/>
      <c r="B241" s="49"/>
      <c r="C241" s="50"/>
      <c r="D241" s="49"/>
      <c r="E241" s="49"/>
      <c r="F241" s="51"/>
    </row>
    <row r="242" customFormat="false" ht="15" hidden="false" customHeight="true" outlineLevel="0" collapsed="false">
      <c r="A242" s="49"/>
      <c r="B242" s="49"/>
      <c r="C242" s="50"/>
      <c r="D242" s="49"/>
      <c r="E242" s="49"/>
      <c r="F242" s="51"/>
    </row>
    <row r="243" customFormat="false" ht="15" hidden="false" customHeight="true" outlineLevel="0" collapsed="false">
      <c r="A243" s="49"/>
      <c r="B243" s="49"/>
      <c r="C243" s="50"/>
      <c r="D243" s="49"/>
      <c r="E243" s="49"/>
      <c r="F243" s="51"/>
    </row>
    <row r="244" customFormat="false" ht="15" hidden="false" customHeight="true" outlineLevel="0" collapsed="false">
      <c r="A244" s="49"/>
      <c r="B244" s="49"/>
      <c r="C244" s="50"/>
      <c r="D244" s="49"/>
      <c r="E244" s="49"/>
      <c r="F244" s="51"/>
    </row>
    <row r="245" customFormat="false" ht="15" hidden="false" customHeight="true" outlineLevel="0" collapsed="false">
      <c r="A245" s="49"/>
      <c r="B245" s="49"/>
      <c r="C245" s="50"/>
      <c r="D245" s="49"/>
      <c r="E245" s="49"/>
      <c r="F245" s="51"/>
    </row>
    <row r="246" customFormat="false" ht="15" hidden="false" customHeight="true" outlineLevel="0" collapsed="false">
      <c r="A246" s="49"/>
      <c r="B246" s="49"/>
      <c r="C246" s="50"/>
      <c r="D246" s="49"/>
      <c r="E246" s="49"/>
      <c r="F246" s="51"/>
    </row>
    <row r="247" customFormat="false" ht="15" hidden="false" customHeight="true" outlineLevel="0" collapsed="false">
      <c r="A247" s="49"/>
      <c r="B247" s="49"/>
      <c r="C247" s="50"/>
      <c r="D247" s="49"/>
      <c r="E247" s="49"/>
      <c r="F247" s="51"/>
    </row>
    <row r="248" customFormat="false" ht="15" hidden="false" customHeight="true" outlineLevel="0" collapsed="false">
      <c r="A248" s="49"/>
      <c r="B248" s="49"/>
      <c r="C248" s="50"/>
      <c r="D248" s="49"/>
      <c r="E248" s="49"/>
      <c r="F248" s="51"/>
    </row>
    <row r="249" customFormat="false" ht="15" hidden="false" customHeight="true" outlineLevel="0" collapsed="false">
      <c r="A249" s="49"/>
      <c r="B249" s="49"/>
      <c r="C249" s="50"/>
      <c r="D249" s="49"/>
      <c r="E249" s="49"/>
      <c r="F249" s="51"/>
    </row>
    <row r="250" customFormat="false" ht="15" hidden="false" customHeight="true" outlineLevel="0" collapsed="false">
      <c r="A250" s="49"/>
      <c r="B250" s="49"/>
      <c r="C250" s="50"/>
      <c r="D250" s="49"/>
      <c r="E250" s="49"/>
      <c r="F250" s="51"/>
    </row>
    <row r="251" customFormat="false" ht="15" hidden="false" customHeight="true" outlineLevel="0" collapsed="false">
      <c r="A251" s="49"/>
      <c r="B251" s="49"/>
      <c r="C251" s="50"/>
      <c r="D251" s="49"/>
      <c r="E251" s="49"/>
      <c r="F251" s="51"/>
    </row>
    <row r="252" customFormat="false" ht="15" hidden="false" customHeight="true" outlineLevel="0" collapsed="false">
      <c r="A252" s="49"/>
      <c r="B252" s="49"/>
      <c r="C252" s="50"/>
      <c r="D252" s="49"/>
      <c r="E252" s="49"/>
      <c r="F252" s="51"/>
    </row>
    <row r="253" customFormat="false" ht="15" hidden="false" customHeight="true" outlineLevel="0" collapsed="false">
      <c r="A253" s="49"/>
      <c r="B253" s="49"/>
      <c r="C253" s="50"/>
      <c r="D253" s="49"/>
      <c r="E253" s="49"/>
      <c r="F253" s="51"/>
    </row>
    <row r="254" customFormat="false" ht="15" hidden="false" customHeight="true" outlineLevel="0" collapsed="false">
      <c r="A254" s="49"/>
      <c r="B254" s="49"/>
      <c r="C254" s="50"/>
      <c r="D254" s="49"/>
      <c r="E254" s="49"/>
      <c r="F254" s="51"/>
    </row>
    <row r="255" customFormat="false" ht="15" hidden="false" customHeight="true" outlineLevel="0" collapsed="false">
      <c r="A255" s="49"/>
      <c r="B255" s="49"/>
      <c r="C255" s="50"/>
      <c r="D255" s="49"/>
      <c r="E255" s="49"/>
      <c r="F255" s="51"/>
    </row>
    <row r="256" customFormat="false" ht="15" hidden="false" customHeight="true" outlineLevel="0" collapsed="false">
      <c r="A256" s="49"/>
      <c r="B256" s="49"/>
      <c r="C256" s="50"/>
      <c r="D256" s="49"/>
      <c r="E256" s="49"/>
      <c r="F256" s="51"/>
    </row>
    <row r="257" customFormat="false" ht="15" hidden="false" customHeight="true" outlineLevel="0" collapsed="false">
      <c r="A257" s="49"/>
      <c r="B257" s="49"/>
      <c r="C257" s="50"/>
      <c r="D257" s="49"/>
      <c r="E257" s="49"/>
      <c r="F257" s="51"/>
    </row>
    <row r="258" customFormat="false" ht="15" hidden="false" customHeight="true" outlineLevel="0" collapsed="false">
      <c r="A258" s="49"/>
      <c r="B258" s="49"/>
      <c r="C258" s="50"/>
      <c r="D258" s="49"/>
      <c r="E258" s="49"/>
      <c r="F258" s="51"/>
    </row>
    <row r="259" customFormat="false" ht="15" hidden="false" customHeight="true" outlineLevel="0" collapsed="false">
      <c r="A259" s="49"/>
      <c r="B259" s="49"/>
      <c r="C259" s="50"/>
      <c r="D259" s="49"/>
      <c r="E259" s="49"/>
      <c r="F259" s="51"/>
    </row>
    <row r="260" customFormat="false" ht="15" hidden="false" customHeight="true" outlineLevel="0" collapsed="false">
      <c r="A260" s="49"/>
      <c r="B260" s="49"/>
      <c r="C260" s="50"/>
      <c r="D260" s="49"/>
      <c r="E260" s="49"/>
      <c r="F260" s="51"/>
    </row>
    <row r="261" customFormat="false" ht="15" hidden="false" customHeight="true" outlineLevel="0" collapsed="false">
      <c r="A261" s="49"/>
      <c r="B261" s="49"/>
      <c r="C261" s="50"/>
      <c r="D261" s="49"/>
      <c r="E261" s="49"/>
      <c r="F261" s="51"/>
    </row>
    <row r="262" customFormat="false" ht="15" hidden="false" customHeight="true" outlineLevel="0" collapsed="false">
      <c r="A262" s="49"/>
      <c r="B262" s="49"/>
      <c r="C262" s="50"/>
      <c r="D262" s="49"/>
      <c r="E262" s="49"/>
      <c r="F262" s="51"/>
    </row>
    <row r="263" customFormat="false" ht="15" hidden="false" customHeight="true" outlineLevel="0" collapsed="false">
      <c r="A263" s="49"/>
      <c r="B263" s="49"/>
      <c r="C263" s="50"/>
      <c r="D263" s="49"/>
      <c r="E263" s="49"/>
      <c r="F263" s="51"/>
    </row>
    <row r="264" customFormat="false" ht="15" hidden="false" customHeight="true" outlineLevel="0" collapsed="false">
      <c r="A264" s="49"/>
      <c r="B264" s="49"/>
      <c r="C264" s="50"/>
      <c r="D264" s="49"/>
      <c r="E264" s="49"/>
      <c r="F264" s="51"/>
    </row>
    <row r="265" customFormat="false" ht="15" hidden="false" customHeight="true" outlineLevel="0" collapsed="false">
      <c r="A265" s="49"/>
      <c r="B265" s="49"/>
      <c r="C265" s="50"/>
      <c r="D265" s="49"/>
      <c r="E265" s="49"/>
      <c r="F265" s="51"/>
    </row>
    <row r="266" customFormat="false" ht="15" hidden="false" customHeight="true" outlineLevel="0" collapsed="false">
      <c r="A266" s="49"/>
      <c r="B266" s="49"/>
      <c r="C266" s="50"/>
      <c r="D266" s="49"/>
      <c r="E266" s="49"/>
      <c r="F266" s="51"/>
    </row>
    <row r="267" customFormat="false" ht="15" hidden="false" customHeight="true" outlineLevel="0" collapsed="false">
      <c r="A267" s="49"/>
      <c r="B267" s="49"/>
      <c r="C267" s="50"/>
      <c r="D267" s="49"/>
      <c r="E267" s="49"/>
      <c r="F267" s="51"/>
    </row>
    <row r="268" customFormat="false" ht="15" hidden="false" customHeight="true" outlineLevel="0" collapsed="false">
      <c r="A268" s="49"/>
      <c r="B268" s="49"/>
      <c r="C268" s="50"/>
      <c r="D268" s="49"/>
      <c r="E268" s="49"/>
      <c r="F268" s="51"/>
    </row>
    <row r="269" customFormat="false" ht="15" hidden="false" customHeight="true" outlineLevel="0" collapsed="false">
      <c r="A269" s="49"/>
      <c r="B269" s="49"/>
      <c r="C269" s="50"/>
      <c r="D269" s="49"/>
      <c r="E269" s="49"/>
      <c r="F269" s="51"/>
    </row>
    <row r="270" customFormat="false" ht="15" hidden="false" customHeight="true" outlineLevel="0" collapsed="false">
      <c r="A270" s="49"/>
      <c r="B270" s="49"/>
      <c r="C270" s="50"/>
      <c r="D270" s="49"/>
      <c r="E270" s="49"/>
      <c r="F270" s="51"/>
    </row>
    <row r="271" customFormat="false" ht="15" hidden="false" customHeight="true" outlineLevel="0" collapsed="false">
      <c r="A271" s="49"/>
      <c r="B271" s="49"/>
      <c r="C271" s="50"/>
      <c r="D271" s="49"/>
      <c r="E271" s="49"/>
      <c r="F271" s="51"/>
    </row>
    <row r="272" customFormat="false" ht="15" hidden="false" customHeight="true" outlineLevel="0" collapsed="false">
      <c r="A272" s="49"/>
      <c r="B272" s="49"/>
      <c r="C272" s="50"/>
      <c r="D272" s="49"/>
      <c r="E272" s="49"/>
      <c r="F272" s="51"/>
    </row>
    <row r="273" customFormat="false" ht="15" hidden="false" customHeight="true" outlineLevel="0" collapsed="false">
      <c r="A273" s="49"/>
      <c r="B273" s="49"/>
      <c r="C273" s="50"/>
      <c r="D273" s="49"/>
      <c r="E273" s="49"/>
      <c r="F273" s="51"/>
    </row>
    <row r="274" customFormat="false" ht="15" hidden="false" customHeight="true" outlineLevel="0" collapsed="false">
      <c r="A274" s="49"/>
      <c r="B274" s="49"/>
      <c r="C274" s="50"/>
      <c r="D274" s="49"/>
      <c r="E274" s="49"/>
      <c r="F274" s="51"/>
    </row>
    <row r="275" customFormat="false" ht="15" hidden="false" customHeight="true" outlineLevel="0" collapsed="false">
      <c r="A275" s="49"/>
      <c r="B275" s="49"/>
      <c r="C275" s="50"/>
      <c r="D275" s="49"/>
      <c r="E275" s="49"/>
      <c r="F275" s="51"/>
    </row>
    <row r="276" customFormat="false" ht="15" hidden="false" customHeight="true" outlineLevel="0" collapsed="false">
      <c r="A276" s="49"/>
      <c r="B276" s="49"/>
      <c r="C276" s="50"/>
      <c r="D276" s="49"/>
      <c r="E276" s="49"/>
      <c r="F276" s="51"/>
    </row>
    <row r="277" customFormat="false" ht="15" hidden="false" customHeight="true" outlineLevel="0" collapsed="false">
      <c r="A277" s="49"/>
      <c r="B277" s="49"/>
      <c r="C277" s="50"/>
      <c r="D277" s="49"/>
      <c r="E277" s="49"/>
      <c r="F277" s="51"/>
    </row>
    <row r="278" customFormat="false" ht="15" hidden="false" customHeight="true" outlineLevel="0" collapsed="false">
      <c r="A278" s="49"/>
      <c r="B278" s="49"/>
      <c r="C278" s="50"/>
      <c r="D278" s="49"/>
      <c r="E278" s="49"/>
      <c r="F278" s="51"/>
    </row>
    <row r="279" customFormat="false" ht="15" hidden="false" customHeight="true" outlineLevel="0" collapsed="false">
      <c r="A279" s="49"/>
      <c r="B279" s="49"/>
      <c r="C279" s="50"/>
      <c r="D279" s="49"/>
      <c r="E279" s="49"/>
      <c r="F279" s="51"/>
    </row>
    <row r="280" customFormat="false" ht="15" hidden="false" customHeight="true" outlineLevel="0" collapsed="false">
      <c r="A280" s="49"/>
      <c r="B280" s="49"/>
      <c r="C280" s="50"/>
      <c r="D280" s="49"/>
      <c r="E280" s="49"/>
      <c r="F280" s="51"/>
    </row>
    <row r="281" customFormat="false" ht="15" hidden="false" customHeight="true" outlineLevel="0" collapsed="false">
      <c r="A281" s="49"/>
      <c r="B281" s="49"/>
      <c r="C281" s="50"/>
      <c r="D281" s="49"/>
      <c r="E281" s="49"/>
      <c r="F281" s="51"/>
    </row>
    <row r="282" customFormat="false" ht="15" hidden="false" customHeight="true" outlineLevel="0" collapsed="false">
      <c r="A282" s="49"/>
      <c r="B282" s="49"/>
      <c r="C282" s="50"/>
      <c r="D282" s="49"/>
      <c r="E282" s="49"/>
      <c r="F282" s="51"/>
    </row>
    <row r="283" customFormat="false" ht="15" hidden="false" customHeight="true" outlineLevel="0" collapsed="false">
      <c r="A283" s="49"/>
      <c r="B283" s="49"/>
      <c r="C283" s="50"/>
      <c r="D283" s="49"/>
      <c r="E283" s="49"/>
      <c r="F283" s="51"/>
    </row>
    <row r="284" customFormat="false" ht="15" hidden="false" customHeight="true" outlineLevel="0" collapsed="false">
      <c r="A284" s="49"/>
      <c r="B284" s="49"/>
      <c r="C284" s="50"/>
      <c r="D284" s="49"/>
      <c r="E284" s="49"/>
      <c r="F284" s="51"/>
    </row>
    <row r="285" customFormat="false" ht="15" hidden="false" customHeight="true" outlineLevel="0" collapsed="false">
      <c r="A285" s="49"/>
      <c r="B285" s="49"/>
      <c r="C285" s="50"/>
      <c r="D285" s="49"/>
      <c r="E285" s="49"/>
      <c r="F285" s="51"/>
    </row>
    <row r="286" customFormat="false" ht="15" hidden="false" customHeight="true" outlineLevel="0" collapsed="false">
      <c r="A286" s="49"/>
      <c r="B286" s="49"/>
      <c r="C286" s="50"/>
      <c r="D286" s="49"/>
      <c r="E286" s="49"/>
      <c r="F286" s="51"/>
    </row>
    <row r="287" customFormat="false" ht="15" hidden="false" customHeight="true" outlineLevel="0" collapsed="false">
      <c r="A287" s="49"/>
      <c r="B287" s="49"/>
      <c r="C287" s="50"/>
      <c r="D287" s="49"/>
      <c r="E287" s="49"/>
      <c r="F287" s="51"/>
    </row>
    <row r="288" customFormat="false" ht="15" hidden="false" customHeight="true" outlineLevel="0" collapsed="false">
      <c r="A288" s="49"/>
      <c r="B288" s="49"/>
      <c r="C288" s="50"/>
      <c r="D288" s="49"/>
      <c r="E288" s="49"/>
      <c r="F288" s="51"/>
    </row>
    <row r="289" customFormat="false" ht="15" hidden="false" customHeight="true" outlineLevel="0" collapsed="false">
      <c r="A289" s="49"/>
      <c r="B289" s="49"/>
      <c r="C289" s="50"/>
      <c r="D289" s="49"/>
      <c r="E289" s="49"/>
      <c r="F289" s="51"/>
    </row>
    <row r="290" customFormat="false" ht="15" hidden="false" customHeight="true" outlineLevel="0" collapsed="false">
      <c r="A290" s="49"/>
      <c r="B290" s="49"/>
      <c r="C290" s="50"/>
      <c r="D290" s="49"/>
      <c r="E290" s="49"/>
      <c r="F290" s="51"/>
    </row>
    <row r="291" customFormat="false" ht="15" hidden="false" customHeight="true" outlineLevel="0" collapsed="false">
      <c r="A291" s="49"/>
      <c r="B291" s="49"/>
      <c r="C291" s="50"/>
      <c r="D291" s="49"/>
      <c r="E291" s="49"/>
      <c r="F291" s="51"/>
    </row>
    <row r="292" customFormat="false" ht="15" hidden="false" customHeight="true" outlineLevel="0" collapsed="false">
      <c r="A292" s="49"/>
      <c r="B292" s="49"/>
      <c r="C292" s="50"/>
      <c r="D292" s="49"/>
      <c r="E292" s="49"/>
      <c r="F292" s="51"/>
    </row>
    <row r="293" customFormat="false" ht="15" hidden="false" customHeight="true" outlineLevel="0" collapsed="false">
      <c r="A293" s="49"/>
      <c r="B293" s="49"/>
      <c r="C293" s="50"/>
      <c r="D293" s="49"/>
      <c r="E293" s="49"/>
      <c r="F293" s="51"/>
    </row>
    <row r="294" customFormat="false" ht="15" hidden="false" customHeight="true" outlineLevel="0" collapsed="false">
      <c r="A294" s="49"/>
      <c r="B294" s="49"/>
      <c r="C294" s="50"/>
      <c r="D294" s="49"/>
      <c r="E294" s="49"/>
      <c r="F294" s="51"/>
    </row>
    <row r="295" customFormat="false" ht="15" hidden="false" customHeight="true" outlineLevel="0" collapsed="false">
      <c r="A295" s="49"/>
      <c r="B295" s="49"/>
      <c r="C295" s="50"/>
      <c r="D295" s="49"/>
      <c r="E295" s="49"/>
      <c r="F295" s="51"/>
    </row>
    <row r="296" customFormat="false" ht="15" hidden="false" customHeight="true" outlineLevel="0" collapsed="false">
      <c r="A296" s="49"/>
      <c r="B296" s="49"/>
      <c r="C296" s="50"/>
      <c r="D296" s="49"/>
      <c r="E296" s="49"/>
      <c r="F296" s="51"/>
    </row>
    <row r="297" customFormat="false" ht="15" hidden="false" customHeight="true" outlineLevel="0" collapsed="false">
      <c r="A297" s="49"/>
      <c r="B297" s="49"/>
      <c r="C297" s="50"/>
      <c r="D297" s="49"/>
      <c r="E297" s="49"/>
      <c r="F297" s="51"/>
    </row>
    <row r="298" customFormat="false" ht="15" hidden="false" customHeight="true" outlineLevel="0" collapsed="false">
      <c r="A298" s="49"/>
      <c r="B298" s="49"/>
      <c r="C298" s="50"/>
      <c r="D298" s="49"/>
      <c r="E298" s="49"/>
      <c r="F298" s="51"/>
    </row>
    <row r="299" customFormat="false" ht="15" hidden="false" customHeight="true" outlineLevel="0" collapsed="false">
      <c r="A299" s="49"/>
      <c r="B299" s="49"/>
      <c r="C299" s="50"/>
      <c r="D299" s="49"/>
      <c r="E299" s="49"/>
      <c r="F299" s="5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5" min="5" style="1" width="14"/>
    <col collapsed="false" customWidth="true" hidden="false" outlineLevel="0" max="6" min="6" style="1" width="12"/>
    <col collapsed="false" customWidth="true" hidden="false" outlineLevel="0" max="7" min="7" style="1" width="34"/>
    <col collapsed="false" customWidth="true" hidden="false" outlineLevel="0" max="8" min="8" style="1" width="22"/>
    <col collapsed="false" customWidth="true" hidden="false" outlineLevel="0" max="9" min="9" style="1" width="14"/>
    <col collapsed="false" customWidth="true" hidden="false" outlineLevel="0" max="10" min="10" style="1" width="26"/>
  </cols>
  <sheetData>
    <row r="1" customFormat="false" ht="16.5" hidden="false" customHeight="true" outlineLevel="0" collapsed="false">
      <c r="A1" s="52" t="s">
        <v>356</v>
      </c>
    </row>
    <row r="2" customFormat="false" ht="48" hidden="false" customHeight="true" outlineLevel="0" collapsed="false">
      <c r="A2" s="53" t="s">
        <v>357</v>
      </c>
      <c r="B2" s="53"/>
      <c r="C2" s="53"/>
      <c r="D2" s="53"/>
      <c r="E2" s="53"/>
      <c r="F2" s="53"/>
      <c r="G2" s="53"/>
      <c r="H2" s="53"/>
      <c r="I2" s="53"/>
      <c r="J2" s="53"/>
    </row>
    <row r="4" customFormat="false" ht="33.75" hidden="false" customHeight="true" outlineLevel="0" collapsed="false">
      <c r="A4" s="18" t="s">
        <v>59</v>
      </c>
      <c r="B4" s="18" t="s">
        <v>61</v>
      </c>
      <c r="C4" s="18" t="s">
        <v>358</v>
      </c>
      <c r="D4" s="18" t="s">
        <v>359</v>
      </c>
      <c r="E4" s="18" t="s">
        <v>360</v>
      </c>
      <c r="F4" s="18" t="s">
        <v>361</v>
      </c>
      <c r="G4" s="18" t="s">
        <v>362</v>
      </c>
      <c r="H4" s="18" t="s">
        <v>363</v>
      </c>
      <c r="I4" s="18" t="s">
        <v>364</v>
      </c>
      <c r="J4" s="18" t="s">
        <v>365</v>
      </c>
    </row>
    <row r="5" customFormat="false" ht="15" hidden="false" customHeight="true" outlineLevel="0" collapsed="false">
      <c r="A5" s="54" t="s">
        <v>346</v>
      </c>
      <c r="B5" s="55" t="s">
        <v>123</v>
      </c>
      <c r="C5" s="56" t="n">
        <v>35</v>
      </c>
      <c r="D5" s="57" t="n">
        <f aca="false">INDEX(المكونات!$C$2:$C$500,MATCH($A5,المكونات!$A$2:$A$500,0))</f>
        <v>8</v>
      </c>
      <c r="E5" s="57" t="n">
        <f aca="false">D5-C5</f>
        <v>-27</v>
      </c>
      <c r="F5" s="58" t="n">
        <f aca="false">IF(C5=0,"",D5/C5-1)</f>
        <v>-0.771428571428572</v>
      </c>
      <c r="G5" s="54" t="s">
        <v>366</v>
      </c>
      <c r="H5" s="55" t="n">
        <v>8</v>
      </c>
      <c r="I5" s="55" t="n">
        <v>1</v>
      </c>
      <c r="J5" s="59" t="s">
        <v>367</v>
      </c>
    </row>
    <row r="6" customFormat="false" ht="15" hidden="false" customHeight="true" outlineLevel="0" collapsed="false">
      <c r="A6" s="54" t="s">
        <v>322</v>
      </c>
      <c r="B6" s="55" t="s">
        <v>134</v>
      </c>
      <c r="C6" s="56" t="n">
        <v>0.65</v>
      </c>
      <c r="D6" s="57" t="n">
        <f aca="false">INDEX(المكونات!$C$2:$C$500,MATCH($A6,المكونات!$A$2:$A$500,0))</f>
        <v>1</v>
      </c>
      <c r="E6" s="57" t="n">
        <f aca="false">D6-C6</f>
        <v>0.35</v>
      </c>
      <c r="F6" s="58" t="n">
        <f aca="false">IF(C6=0,"",D6/C6-1)</f>
        <v>0.538461538461538</v>
      </c>
      <c r="G6" s="54" t="s">
        <v>366</v>
      </c>
      <c r="H6" s="55" t="n">
        <v>200</v>
      </c>
      <c r="I6" s="55" t="n">
        <v>200</v>
      </c>
      <c r="J6" s="59" t="s">
        <v>367</v>
      </c>
    </row>
    <row r="7" customFormat="false" ht="15" hidden="false" customHeight="true" outlineLevel="0" collapsed="false">
      <c r="A7" s="54" t="s">
        <v>286</v>
      </c>
      <c r="B7" s="55" t="s">
        <v>123</v>
      </c>
      <c r="C7" s="56" t="n">
        <v>10</v>
      </c>
      <c r="D7" s="57" t="n">
        <f aca="false">INDEX(المكونات!$C$2:$C$500,MATCH($A7,المكونات!$A$2:$A$500,0))</f>
        <v>15</v>
      </c>
      <c r="E7" s="57" t="n">
        <f aca="false">D7-C7</f>
        <v>5</v>
      </c>
      <c r="F7" s="58" t="n">
        <f aca="false">IF(C7=0,"",D7/C7-1)</f>
        <v>0.5</v>
      </c>
      <c r="G7" s="54" t="s">
        <v>368</v>
      </c>
      <c r="H7" s="55" t="n">
        <v>15</v>
      </c>
      <c r="I7" s="55" t="n">
        <v>1</v>
      </c>
      <c r="J7" s="59" t="s">
        <v>367</v>
      </c>
    </row>
    <row r="8" customFormat="false" ht="15" hidden="false" customHeight="true" outlineLevel="0" collapsed="false">
      <c r="A8" s="54" t="s">
        <v>307</v>
      </c>
      <c r="B8" s="55" t="s">
        <v>181</v>
      </c>
      <c r="C8" s="56" t="n">
        <v>233.33</v>
      </c>
      <c r="D8" s="57" t="n">
        <f aca="false">INDEX(المكونات!$C$2:$C$500,MATCH($A8,المكونات!$A$2:$A$500,0))</f>
        <v>151.2027</v>
      </c>
      <c r="E8" s="57" t="n">
        <f aca="false">D8-C8</f>
        <v>-82.1273</v>
      </c>
      <c r="F8" s="58" t="n">
        <f aca="false">IF(C8=0,"",D8/C8-1)</f>
        <v>-0.351979171131016</v>
      </c>
      <c r="G8" s="54" t="s">
        <v>366</v>
      </c>
      <c r="H8" s="55" t="n">
        <v>151.2027</v>
      </c>
      <c r="I8" s="55" t="n">
        <v>1</v>
      </c>
      <c r="J8" s="59" t="s">
        <v>367</v>
      </c>
    </row>
    <row r="9" customFormat="false" ht="15" hidden="false" customHeight="true" outlineLevel="0" collapsed="false">
      <c r="A9" s="54" t="s">
        <v>164</v>
      </c>
      <c r="B9" s="55" t="s">
        <v>123</v>
      </c>
      <c r="C9" s="56" t="n">
        <v>44</v>
      </c>
      <c r="D9" s="57" t="n">
        <f aca="false">INDEX(المكونات!$C$2:$C$500,MATCH($A9,المكونات!$A$2:$A$500,0))</f>
        <v>29</v>
      </c>
      <c r="E9" s="57" t="n">
        <f aca="false">D9-C9</f>
        <v>-15</v>
      </c>
      <c r="F9" s="58" t="n">
        <f aca="false">IF(C9=0,"",D9/C9-1)</f>
        <v>-0.340909090909091</v>
      </c>
      <c r="G9" s="54" t="s">
        <v>366</v>
      </c>
      <c r="H9" s="55" t="n">
        <v>29</v>
      </c>
      <c r="I9" s="55" t="n">
        <v>1</v>
      </c>
      <c r="J9" s="59" t="s">
        <v>367</v>
      </c>
    </row>
    <row r="10" customFormat="false" ht="15" hidden="false" customHeight="true" outlineLevel="0" collapsed="false">
      <c r="A10" s="54" t="s">
        <v>319</v>
      </c>
      <c r="B10" s="55" t="s">
        <v>320</v>
      </c>
      <c r="C10" s="56" t="n">
        <v>0.28</v>
      </c>
      <c r="D10" s="57" t="n">
        <f aca="false">INDEX(المكونات!$C$2:$C$500,MATCH($A10,المكونات!$A$2:$A$500,0))</f>
        <v>0.3665</v>
      </c>
      <c r="E10" s="57" t="n">
        <f aca="false">D10-C10</f>
        <v>0.0865</v>
      </c>
      <c r="F10" s="58" t="n">
        <f aca="false">IF(C10=0,"",D10/C10-1)</f>
        <v>0.308928571428571</v>
      </c>
      <c r="G10" s="54" t="s">
        <v>368</v>
      </c>
      <c r="H10" s="55" t="n">
        <v>120</v>
      </c>
      <c r="I10" s="55" t="n">
        <v>125</v>
      </c>
      <c r="J10" s="59" t="s">
        <v>367</v>
      </c>
    </row>
    <row r="11" customFormat="false" ht="15" hidden="false" customHeight="true" outlineLevel="0" collapsed="false">
      <c r="A11" s="54" t="s">
        <v>190</v>
      </c>
      <c r="B11" s="55" t="s">
        <v>181</v>
      </c>
      <c r="C11" s="56" t="n">
        <v>14</v>
      </c>
      <c r="D11" s="57" t="n">
        <f aca="false">INDEX(المكونات!$C$2:$C$500,MATCH($A11,المكونات!$A$2:$A$500,0))</f>
        <v>18</v>
      </c>
      <c r="E11" s="57" t="n">
        <f aca="false">D11-C11</f>
        <v>4</v>
      </c>
      <c r="F11" s="58" t="n">
        <f aca="false">IF(C11=0,"",D11/C11-1)</f>
        <v>0.285714285714286</v>
      </c>
      <c r="G11" s="54" t="s">
        <v>366</v>
      </c>
      <c r="H11" s="55" t="n">
        <v>18</v>
      </c>
      <c r="I11" s="55" t="n">
        <v>1</v>
      </c>
      <c r="J11" s="59" t="s">
        <v>367</v>
      </c>
    </row>
    <row r="12" customFormat="false" ht="15" hidden="false" customHeight="true" outlineLevel="0" collapsed="false">
      <c r="A12" s="54" t="s">
        <v>129</v>
      </c>
      <c r="B12" s="55" t="s">
        <v>123</v>
      </c>
      <c r="C12" s="56" t="n">
        <v>120</v>
      </c>
      <c r="D12" s="57" t="n">
        <f aca="false">INDEX(المكونات!$C$2:$C$500,MATCH($A12,المكونات!$A$2:$A$500,0))</f>
        <v>150</v>
      </c>
      <c r="E12" s="57" t="n">
        <f aca="false">D12-C12</f>
        <v>30</v>
      </c>
      <c r="F12" s="58" t="n">
        <f aca="false">IF(C12=0,"",D12/C12-1)</f>
        <v>0.25</v>
      </c>
      <c r="G12" s="54" t="s">
        <v>366</v>
      </c>
      <c r="H12" s="55" t="n">
        <v>150</v>
      </c>
      <c r="I12" s="55" t="n">
        <v>1</v>
      </c>
      <c r="J12" s="59" t="s">
        <v>367</v>
      </c>
    </row>
    <row r="13" customFormat="false" ht="15" hidden="false" customHeight="true" outlineLevel="0" collapsed="false">
      <c r="A13" s="54" t="s">
        <v>227</v>
      </c>
      <c r="B13" s="55" t="s">
        <v>181</v>
      </c>
      <c r="C13" s="56" t="n">
        <v>125</v>
      </c>
      <c r="D13" s="57" t="n">
        <f aca="false">INDEX(المكونات!$C$2:$C$500,MATCH($A13,المكونات!$A$2:$A$500,0))</f>
        <v>95</v>
      </c>
      <c r="E13" s="57" t="n">
        <f aca="false">D13-C13</f>
        <v>-30</v>
      </c>
      <c r="F13" s="58" t="n">
        <f aca="false">IF(C13=0,"",D13/C13-1)</f>
        <v>-0.24</v>
      </c>
      <c r="G13" s="54" t="s">
        <v>366</v>
      </c>
      <c r="H13" s="55" t="n">
        <v>95</v>
      </c>
      <c r="I13" s="55" t="n">
        <v>1</v>
      </c>
      <c r="J13" s="59" t="s">
        <v>367</v>
      </c>
    </row>
    <row r="14" customFormat="false" ht="15" hidden="false" customHeight="true" outlineLevel="0" collapsed="false">
      <c r="A14" s="54" t="s">
        <v>192</v>
      </c>
      <c r="B14" s="55" t="s">
        <v>193</v>
      </c>
      <c r="C14" s="56" t="n">
        <v>2.95</v>
      </c>
      <c r="D14" s="57" t="n">
        <f aca="false">INDEX(المكونات!$C$2:$C$500,MATCH($A14,المكونات!$A$2:$A$500,0))</f>
        <v>3.65</v>
      </c>
      <c r="E14" s="57" t="n">
        <f aca="false">D14-C14</f>
        <v>0.7</v>
      </c>
      <c r="F14" s="58" t="n">
        <f aca="false">IF(C14=0,"",D14/C14-1)</f>
        <v>0.23728813559322</v>
      </c>
      <c r="G14" s="54" t="s">
        <v>366</v>
      </c>
      <c r="H14" s="55" t="n">
        <v>730</v>
      </c>
      <c r="I14" s="55" t="n">
        <v>200</v>
      </c>
      <c r="J14" s="59" t="s">
        <v>367</v>
      </c>
    </row>
    <row r="15" customFormat="false" ht="15" hidden="false" customHeight="true" outlineLevel="0" collapsed="false">
      <c r="A15" s="54" t="s">
        <v>245</v>
      </c>
      <c r="B15" s="55" t="s">
        <v>181</v>
      </c>
      <c r="C15" s="56" t="n">
        <v>110</v>
      </c>
      <c r="D15" s="57" t="n">
        <f aca="false">INDEX(المكونات!$C$2:$C$500,MATCH($A15,المكونات!$A$2:$A$500,0))</f>
        <v>127.6582</v>
      </c>
      <c r="E15" s="57" t="n">
        <f aca="false">D15-C15</f>
        <v>17.6582</v>
      </c>
      <c r="F15" s="58" t="n">
        <f aca="false">IF(C15=0,"",D15/C15-1)</f>
        <v>0.160529090909091</v>
      </c>
      <c r="G15" s="54" t="s">
        <v>366</v>
      </c>
      <c r="H15" s="55" t="n">
        <v>127.6582</v>
      </c>
      <c r="I15" s="55" t="n">
        <v>1</v>
      </c>
      <c r="J15" s="54"/>
    </row>
    <row r="16" customFormat="false" ht="15" hidden="false" customHeight="true" outlineLevel="0" collapsed="false">
      <c r="A16" s="54" t="s">
        <v>262</v>
      </c>
      <c r="B16" s="55" t="s">
        <v>181</v>
      </c>
      <c r="C16" s="56" t="n">
        <v>19</v>
      </c>
      <c r="D16" s="57" t="n">
        <f aca="false">INDEX(المكونات!$C$2:$C$500,MATCH($A16,المكونات!$A$2:$A$500,0))</f>
        <v>22</v>
      </c>
      <c r="E16" s="57" t="n">
        <f aca="false">D16-C16</f>
        <v>3</v>
      </c>
      <c r="F16" s="58" t="n">
        <f aca="false">IF(C16=0,"",D16/C16-1)</f>
        <v>0.157894736842105</v>
      </c>
      <c r="G16" s="54" t="s">
        <v>366</v>
      </c>
      <c r="H16" s="55" t="n">
        <v>22</v>
      </c>
      <c r="I16" s="55" t="n">
        <v>1</v>
      </c>
      <c r="J16" s="54"/>
    </row>
    <row r="17" customFormat="false" ht="15" hidden="false" customHeight="true" outlineLevel="0" collapsed="false">
      <c r="A17" s="54" t="s">
        <v>241</v>
      </c>
      <c r="B17" s="55" t="s">
        <v>181</v>
      </c>
      <c r="C17" s="56" t="n">
        <v>95</v>
      </c>
      <c r="D17" s="57" t="n">
        <f aca="false">INDEX(المكونات!$C$2:$C$500,MATCH($A17,المكونات!$A$2:$A$500,0))</f>
        <v>109.9656</v>
      </c>
      <c r="E17" s="57" t="n">
        <f aca="false">D17-C17</f>
        <v>14.9656</v>
      </c>
      <c r="F17" s="58" t="n">
        <f aca="false">IF(C17=0,"",D17/C17-1)</f>
        <v>0.157532631578947</v>
      </c>
      <c r="G17" s="54" t="s">
        <v>366</v>
      </c>
      <c r="H17" s="55" t="n">
        <v>109.9656</v>
      </c>
      <c r="I17" s="55" t="n">
        <v>1</v>
      </c>
      <c r="J17" s="54"/>
    </row>
    <row r="18" customFormat="false" ht="15" hidden="false" customHeight="true" outlineLevel="0" collapsed="false">
      <c r="A18" s="54" t="s">
        <v>282</v>
      </c>
      <c r="B18" s="55" t="s">
        <v>181</v>
      </c>
      <c r="C18" s="56" t="n">
        <v>130</v>
      </c>
      <c r="D18" s="57" t="n">
        <f aca="false">INDEX(المكونات!$C$2:$C$500,MATCH($A18,المكونات!$A$2:$A$500,0))</f>
        <v>150</v>
      </c>
      <c r="E18" s="57" t="n">
        <f aca="false">D18-C18</f>
        <v>20</v>
      </c>
      <c r="F18" s="58" t="n">
        <f aca="false">IF(C18=0,"",D18/C18-1)</f>
        <v>0.153846153846154</v>
      </c>
      <c r="G18" s="54" t="s">
        <v>368</v>
      </c>
      <c r="H18" s="55" t="n">
        <v>150</v>
      </c>
      <c r="I18" s="55" t="n">
        <v>1</v>
      </c>
      <c r="J18" s="54"/>
    </row>
    <row r="19" customFormat="false" ht="15" hidden="false" customHeight="true" outlineLevel="0" collapsed="false">
      <c r="A19" s="54" t="s">
        <v>202</v>
      </c>
      <c r="B19" s="55" t="s">
        <v>123</v>
      </c>
      <c r="C19" s="56" t="n">
        <v>15</v>
      </c>
      <c r="D19" s="57" t="n">
        <f aca="false">INDEX(المكونات!$C$2:$C$500,MATCH($A19,المكونات!$A$2:$A$500,0))</f>
        <v>17.1875</v>
      </c>
      <c r="E19" s="57" t="n">
        <f aca="false">D19-C19</f>
        <v>2.1875</v>
      </c>
      <c r="F19" s="58" t="n">
        <f aca="false">IF(C19=0,"",D19/C19-1)</f>
        <v>0.145833333333333</v>
      </c>
      <c r="G19" s="54" t="s">
        <v>366</v>
      </c>
      <c r="H19" s="55" t="n">
        <v>17.1875</v>
      </c>
      <c r="I19" s="55" t="n">
        <v>1</v>
      </c>
      <c r="J19" s="54"/>
    </row>
    <row r="20" customFormat="false" ht="15" hidden="false" customHeight="true" outlineLevel="0" collapsed="false">
      <c r="A20" s="54" t="s">
        <v>125</v>
      </c>
      <c r="B20" s="55" t="s">
        <v>123</v>
      </c>
      <c r="C20" s="56" t="n">
        <v>0.7</v>
      </c>
      <c r="D20" s="57" t="n">
        <f aca="false">INDEX(المكونات!$C$2:$C$500,MATCH($A20,المكونات!$A$2:$A$500,0))</f>
        <v>0.8</v>
      </c>
      <c r="E20" s="57" t="n">
        <f aca="false">D20-C20</f>
        <v>0.1</v>
      </c>
      <c r="F20" s="58" t="n">
        <f aca="false">IF(C20=0,"",D20/C20-1)</f>
        <v>0.142857142857143</v>
      </c>
      <c r="G20" s="54" t="s">
        <v>366</v>
      </c>
      <c r="H20" s="55" t="n">
        <v>0.8</v>
      </c>
      <c r="I20" s="55" t="n">
        <v>1</v>
      </c>
      <c r="J20" s="54"/>
    </row>
    <row r="21" customFormat="false" ht="15" hidden="false" customHeight="true" outlineLevel="0" collapsed="false">
      <c r="A21" s="54" t="s">
        <v>204</v>
      </c>
      <c r="B21" s="55" t="s">
        <v>205</v>
      </c>
      <c r="C21" s="56" t="n">
        <v>35</v>
      </c>
      <c r="D21" s="57" t="n">
        <f aca="false">INDEX(المكونات!$C$2:$C$500,MATCH($A21,المكونات!$A$2:$A$500,0))</f>
        <v>30</v>
      </c>
      <c r="E21" s="57" t="n">
        <f aca="false">D21-C21</f>
        <v>-5</v>
      </c>
      <c r="F21" s="58" t="n">
        <f aca="false">IF(C21=0,"",D21/C21-1)</f>
        <v>-0.142857142857143</v>
      </c>
      <c r="G21" s="54" t="s">
        <v>366</v>
      </c>
      <c r="H21" s="55" t="n">
        <v>30</v>
      </c>
      <c r="I21" s="55" t="n">
        <v>1</v>
      </c>
      <c r="J21" s="54"/>
    </row>
    <row r="22" customFormat="false" ht="15" hidden="false" customHeight="true" outlineLevel="0" collapsed="false">
      <c r="A22" s="54" t="s">
        <v>166</v>
      </c>
      <c r="B22" s="55" t="s">
        <v>123</v>
      </c>
      <c r="C22" s="56" t="n">
        <v>22</v>
      </c>
      <c r="D22" s="57" t="n">
        <f aca="false">INDEX(المكونات!$C$2:$C$500,MATCH($A22,المكونات!$A$2:$A$500,0))</f>
        <v>25</v>
      </c>
      <c r="E22" s="57" t="n">
        <f aca="false">D22-C22</f>
        <v>3</v>
      </c>
      <c r="F22" s="58" t="n">
        <f aca="false">IF(C22=0,"",D22/C22-1)</f>
        <v>0.136363636363636</v>
      </c>
      <c r="G22" s="54" t="s">
        <v>366</v>
      </c>
      <c r="H22" s="55" t="n">
        <v>25</v>
      </c>
      <c r="I22" s="55" t="n">
        <v>1</v>
      </c>
      <c r="J22" s="54"/>
    </row>
    <row r="23" customFormat="false" ht="15" hidden="false" customHeight="true" outlineLevel="0" collapsed="false">
      <c r="A23" s="54" t="s">
        <v>218</v>
      </c>
      <c r="B23" s="55" t="s">
        <v>181</v>
      </c>
      <c r="C23" s="56" t="n">
        <v>18</v>
      </c>
      <c r="D23" s="57" t="n">
        <f aca="false">INDEX(المكونات!$C$2:$C$500,MATCH($A23,المكونات!$A$2:$A$500,0))</f>
        <v>20.3571</v>
      </c>
      <c r="E23" s="57" t="n">
        <f aca="false">D23-C23</f>
        <v>2.3571</v>
      </c>
      <c r="F23" s="58" t="n">
        <f aca="false">IF(C23=0,"",D23/C23-1)</f>
        <v>0.13095</v>
      </c>
      <c r="G23" s="54" t="s">
        <v>366</v>
      </c>
      <c r="H23" s="55" t="n">
        <v>20.3571</v>
      </c>
      <c r="I23" s="55" t="n">
        <v>1</v>
      </c>
      <c r="J23" s="54"/>
    </row>
    <row r="24" customFormat="false" ht="15" hidden="false" customHeight="true" outlineLevel="0" collapsed="false">
      <c r="A24" s="54" t="s">
        <v>136</v>
      </c>
      <c r="B24" s="55" t="s">
        <v>134</v>
      </c>
      <c r="C24" s="56" t="n">
        <v>1.6</v>
      </c>
      <c r="D24" s="57" t="n">
        <f aca="false">INDEX(المكونات!$C$2:$C$500,MATCH($A24,المكونات!$A$2:$A$500,0))</f>
        <v>1.4</v>
      </c>
      <c r="E24" s="57" t="n">
        <f aca="false">D24-C24</f>
        <v>-0.2</v>
      </c>
      <c r="F24" s="58" t="n">
        <f aca="false">IF(C24=0,"",D24/C24-1)</f>
        <v>-0.125</v>
      </c>
      <c r="G24" s="54" t="s">
        <v>366</v>
      </c>
      <c r="H24" s="55" t="n">
        <v>70</v>
      </c>
      <c r="I24" s="55" t="n">
        <v>50</v>
      </c>
      <c r="J24" s="54"/>
    </row>
    <row r="25" customFormat="false" ht="15" hidden="false" customHeight="true" outlineLevel="0" collapsed="false">
      <c r="A25" s="54" t="s">
        <v>211</v>
      </c>
      <c r="B25" s="55" t="s">
        <v>212</v>
      </c>
      <c r="C25" s="56" t="n">
        <v>0.16</v>
      </c>
      <c r="D25" s="57" t="n">
        <f aca="false">INDEX(المكونات!$C$2:$C$500,MATCH($A25,المكونات!$A$2:$A$500,0))</f>
        <v>0.18</v>
      </c>
      <c r="E25" s="57" t="n">
        <f aca="false">D25-C25</f>
        <v>0.02</v>
      </c>
      <c r="F25" s="58" t="n">
        <f aca="false">IF(C25=0,"",D25/C25-1)</f>
        <v>0.125</v>
      </c>
      <c r="G25" s="54" t="s">
        <v>366</v>
      </c>
      <c r="H25" s="55" t="n">
        <v>9</v>
      </c>
      <c r="I25" s="55" t="n">
        <v>50</v>
      </c>
      <c r="J25" s="54"/>
    </row>
    <row r="26" customFormat="false" ht="15" hidden="false" customHeight="true" outlineLevel="0" collapsed="false">
      <c r="A26" s="54" t="s">
        <v>208</v>
      </c>
      <c r="B26" s="55" t="s">
        <v>209</v>
      </c>
      <c r="C26" s="56" t="n">
        <v>165</v>
      </c>
      <c r="D26" s="57" t="n">
        <f aca="false">INDEX(المكونات!$C$2:$C$500,MATCH($A26,المكونات!$A$2:$A$500,0))</f>
        <v>181.9048</v>
      </c>
      <c r="E26" s="57" t="n">
        <f aca="false">D26-C26</f>
        <v>16.9048</v>
      </c>
      <c r="F26" s="58" t="n">
        <f aca="false">IF(C26=0,"",D26/C26-1)</f>
        <v>0.102453333333333</v>
      </c>
      <c r="G26" s="54" t="s">
        <v>366</v>
      </c>
      <c r="H26" s="55" t="n">
        <v>181.9048</v>
      </c>
      <c r="I26" s="55" t="n">
        <v>1</v>
      </c>
      <c r="J26" s="54"/>
    </row>
    <row r="27" customFormat="false" ht="15" hidden="false" customHeight="true" outlineLevel="0" collapsed="false">
      <c r="A27" s="54" t="s">
        <v>303</v>
      </c>
      <c r="B27" s="55" t="s">
        <v>123</v>
      </c>
      <c r="C27" s="56" t="n">
        <v>5</v>
      </c>
      <c r="D27" s="57" t="n">
        <f aca="false">INDEX(المكونات!$C$2:$C$500,MATCH($A27,المكونات!$A$2:$A$500,0))</f>
        <v>5.5</v>
      </c>
      <c r="E27" s="57" t="n">
        <f aca="false">D27-C27</f>
        <v>0.5</v>
      </c>
      <c r="F27" s="58" t="n">
        <f aca="false">IF(C27=0,"",D27/C27-1)</f>
        <v>0.1</v>
      </c>
      <c r="G27" s="54" t="s">
        <v>366</v>
      </c>
      <c r="H27" s="55" t="n">
        <v>5.5</v>
      </c>
      <c r="I27" s="55" t="n">
        <v>1</v>
      </c>
      <c r="J27" s="54"/>
    </row>
    <row r="28" customFormat="false" ht="15" hidden="false" customHeight="true" outlineLevel="0" collapsed="false">
      <c r="A28" s="54" t="s">
        <v>248</v>
      </c>
      <c r="B28" s="55" t="s">
        <v>205</v>
      </c>
      <c r="C28" s="56" t="n">
        <v>13.18</v>
      </c>
      <c r="D28" s="57" t="n">
        <f aca="false">INDEX(المكونات!$C$2:$C$500,MATCH($A28,المكونات!$A$2:$A$500,0))</f>
        <v>12</v>
      </c>
      <c r="E28" s="57" t="n">
        <f aca="false">D28-C28</f>
        <v>-1.18</v>
      </c>
      <c r="F28" s="58" t="n">
        <f aca="false">IF(C28=0,"",D28/C28-1)</f>
        <v>-0.0895295902883156</v>
      </c>
      <c r="G28" s="54" t="s">
        <v>366</v>
      </c>
      <c r="H28" s="55" t="n">
        <v>12</v>
      </c>
      <c r="I28" s="55" t="n">
        <v>1</v>
      </c>
      <c r="J28" s="54"/>
    </row>
    <row r="29" customFormat="false" ht="15" hidden="false" customHeight="true" outlineLevel="0" collapsed="false">
      <c r="A29" s="54" t="s">
        <v>144</v>
      </c>
      <c r="B29" s="55" t="s">
        <v>123</v>
      </c>
      <c r="C29" s="56" t="n">
        <v>43</v>
      </c>
      <c r="D29" s="57" t="n">
        <f aca="false">INDEX(المكونات!$C$2:$C$500,MATCH($A29,المكونات!$A$2:$A$500,0))</f>
        <v>46.6667</v>
      </c>
      <c r="E29" s="57" t="n">
        <f aca="false">D29-C29</f>
        <v>3.6667</v>
      </c>
      <c r="F29" s="58" t="n">
        <f aca="false">IF(C29=0,"",D29/C29-1)</f>
        <v>0.0852720930232558</v>
      </c>
      <c r="G29" s="54" t="s">
        <v>366</v>
      </c>
      <c r="H29" s="55" t="n">
        <v>46.6667</v>
      </c>
      <c r="I29" s="55" t="n">
        <v>1</v>
      </c>
      <c r="J29" s="54"/>
    </row>
    <row r="30" customFormat="false" ht="15" hidden="false" customHeight="true" outlineLevel="0" collapsed="false">
      <c r="A30" s="54" t="s">
        <v>133</v>
      </c>
      <c r="B30" s="55" t="s">
        <v>134</v>
      </c>
      <c r="C30" s="56" t="n">
        <v>1.523</v>
      </c>
      <c r="D30" s="57" t="n">
        <f aca="false">INDEX(المكونات!$C$2:$C$500,MATCH($A30,المكونات!$A$2:$A$500,0))</f>
        <v>1.4</v>
      </c>
      <c r="E30" s="57" t="n">
        <f aca="false">D30-C30</f>
        <v>-0.123</v>
      </c>
      <c r="F30" s="58" t="n">
        <f aca="false">IF(C30=0,"",D30/C30-1)</f>
        <v>-0.0807616546290216</v>
      </c>
      <c r="G30" s="54" t="s">
        <v>366</v>
      </c>
      <c r="H30" s="55" t="n">
        <v>70</v>
      </c>
      <c r="I30" s="55" t="n">
        <v>50</v>
      </c>
      <c r="J30" s="54"/>
    </row>
    <row r="31" customFormat="false" ht="15" hidden="false" customHeight="true" outlineLevel="0" collapsed="false">
      <c r="A31" s="54" t="s">
        <v>266</v>
      </c>
      <c r="B31" s="55" t="s">
        <v>181</v>
      </c>
      <c r="C31" s="56" t="n">
        <v>130</v>
      </c>
      <c r="D31" s="57" t="n">
        <f aca="false">INDEX(المكونات!$C$2:$C$500,MATCH($A31,المكونات!$A$2:$A$500,0))</f>
        <v>140</v>
      </c>
      <c r="E31" s="57" t="n">
        <f aca="false">D31-C31</f>
        <v>10</v>
      </c>
      <c r="F31" s="58" t="n">
        <f aca="false">IF(C31=0,"",D31/C31-1)</f>
        <v>0.0769230769230769</v>
      </c>
      <c r="G31" s="54" t="s">
        <v>366</v>
      </c>
      <c r="H31" s="55" t="n">
        <v>140</v>
      </c>
      <c r="I31" s="55" t="n">
        <v>1</v>
      </c>
      <c r="J31" s="54"/>
    </row>
    <row r="32" customFormat="false" ht="15" hidden="false" customHeight="true" outlineLevel="0" collapsed="false">
      <c r="A32" s="54" t="s">
        <v>131</v>
      </c>
      <c r="B32" s="55" t="s">
        <v>123</v>
      </c>
      <c r="C32" s="56" t="n">
        <v>74.29</v>
      </c>
      <c r="D32" s="57" t="n">
        <f aca="false">INDEX(المكونات!$C$2:$C$500,MATCH($A32,المكونات!$A$2:$A$500,0))</f>
        <v>80</v>
      </c>
      <c r="E32" s="57" t="n">
        <f aca="false">D32-C32</f>
        <v>5.70999999999999</v>
      </c>
      <c r="F32" s="58" t="n">
        <f aca="false">IF(C32=0,"",D32/C32-1)</f>
        <v>0.0768609503297886</v>
      </c>
      <c r="G32" s="54" t="s">
        <v>366</v>
      </c>
      <c r="H32" s="55" t="n">
        <v>80</v>
      </c>
      <c r="I32" s="55" t="n">
        <v>1</v>
      </c>
      <c r="J32" s="54"/>
    </row>
    <row r="33" customFormat="false" ht="15" hidden="false" customHeight="true" outlineLevel="0" collapsed="false">
      <c r="A33" s="54" t="s">
        <v>214</v>
      </c>
      <c r="B33" s="55" t="s">
        <v>181</v>
      </c>
      <c r="C33" s="56" t="n">
        <v>186.67</v>
      </c>
      <c r="D33" s="57" t="n">
        <f aca="false">INDEX(المكونات!$C$2:$C$500,MATCH($A33,المكونات!$A$2:$A$500,0))</f>
        <v>200</v>
      </c>
      <c r="E33" s="57" t="n">
        <f aca="false">D33-C33</f>
        <v>13.33</v>
      </c>
      <c r="F33" s="58" t="n">
        <f aca="false">IF(C33=0,"",D33/C33-1)</f>
        <v>0.0714094391171587</v>
      </c>
      <c r="G33" s="54" t="s">
        <v>366</v>
      </c>
      <c r="H33" s="55" t="n">
        <v>200</v>
      </c>
      <c r="I33" s="55" t="n">
        <v>1</v>
      </c>
      <c r="J33" s="54"/>
    </row>
    <row r="34" customFormat="false" ht="15" hidden="false" customHeight="true" outlineLevel="0" collapsed="false">
      <c r="A34" s="54" t="s">
        <v>174</v>
      </c>
      <c r="B34" s="55" t="s">
        <v>123</v>
      </c>
      <c r="C34" s="56" t="n">
        <v>29</v>
      </c>
      <c r="D34" s="57" t="n">
        <f aca="false">INDEX(المكونات!$C$2:$C$500,MATCH($A34,المكونات!$A$2:$A$500,0))</f>
        <v>27.1395</v>
      </c>
      <c r="E34" s="57" t="n">
        <f aca="false">D34-C34</f>
        <v>-1.8605</v>
      </c>
      <c r="F34" s="58" t="n">
        <f aca="false">IF(C34=0,"",D34/C34-1)</f>
        <v>-0.0641551724137931</v>
      </c>
      <c r="G34" s="54" t="s">
        <v>366</v>
      </c>
      <c r="H34" s="55" t="n">
        <v>27.1395</v>
      </c>
      <c r="I34" s="55" t="n">
        <v>1</v>
      </c>
      <c r="J34" s="54"/>
    </row>
    <row r="35" customFormat="false" ht="15" hidden="false" customHeight="true" outlineLevel="0" collapsed="false">
      <c r="A35" s="54" t="s">
        <v>162</v>
      </c>
      <c r="B35" s="55" t="s">
        <v>123</v>
      </c>
      <c r="C35" s="56" t="n">
        <v>31.9</v>
      </c>
      <c r="D35" s="57" t="n">
        <f aca="false">INDEX(المكونات!$C$2:$C$500,MATCH($A35,المكونات!$A$2:$A$500,0))</f>
        <v>30</v>
      </c>
      <c r="E35" s="57" t="n">
        <f aca="false">D35-C35</f>
        <v>-1.9</v>
      </c>
      <c r="F35" s="58" t="n">
        <f aca="false">IF(C35=0,"",D35/C35-1)</f>
        <v>-0.0595611285266457</v>
      </c>
      <c r="G35" s="54" t="s">
        <v>366</v>
      </c>
      <c r="H35" s="55" t="n">
        <v>30</v>
      </c>
      <c r="I35" s="55" t="n">
        <v>1</v>
      </c>
      <c r="J35" s="54"/>
    </row>
    <row r="36" customFormat="false" ht="15" hidden="false" customHeight="true" outlineLevel="0" collapsed="false">
      <c r="A36" s="54" t="s">
        <v>183</v>
      </c>
      <c r="B36" s="55" t="s">
        <v>181</v>
      </c>
      <c r="C36" s="56" t="n">
        <v>110</v>
      </c>
      <c r="D36" s="57" t="n">
        <f aca="false">INDEX(المكونات!$C$2:$C$500,MATCH($A36,المكونات!$A$2:$A$500,0))</f>
        <v>104.58</v>
      </c>
      <c r="E36" s="57" t="n">
        <f aca="false">D36-C36</f>
        <v>-5.42</v>
      </c>
      <c r="F36" s="58" t="n">
        <f aca="false">IF(C36=0,"",D36/C36-1)</f>
        <v>-0.0492727272727272</v>
      </c>
      <c r="G36" s="54" t="s">
        <v>368</v>
      </c>
      <c r="H36" s="55" t="n">
        <v>110</v>
      </c>
      <c r="I36" s="55" t="n">
        <v>1</v>
      </c>
      <c r="J36" s="54"/>
    </row>
    <row r="37" customFormat="false" ht="15" hidden="false" customHeight="true" outlineLevel="0" collapsed="false">
      <c r="A37" s="54" t="s">
        <v>313</v>
      </c>
      <c r="B37" s="55" t="s">
        <v>181</v>
      </c>
      <c r="C37" s="56" t="n">
        <v>8</v>
      </c>
      <c r="D37" s="57" t="n">
        <f aca="false">INDEX(المكونات!$C$2:$C$500,MATCH($A37,المكونات!$A$2:$A$500,0))</f>
        <v>8.37</v>
      </c>
      <c r="E37" s="57" t="n">
        <f aca="false">D37-C37</f>
        <v>0.369999999999999</v>
      </c>
      <c r="F37" s="58" t="n">
        <f aca="false">IF(C37=0,"",D37/C37-1)</f>
        <v>0.0462499999999999</v>
      </c>
      <c r="G37" s="54" t="s">
        <v>368</v>
      </c>
      <c r="H37" s="55" t="n">
        <v>8.37</v>
      </c>
      <c r="I37" s="55" t="n">
        <v>1</v>
      </c>
      <c r="J37" s="54"/>
    </row>
    <row r="38" customFormat="false" ht="15" hidden="false" customHeight="true" outlineLevel="0" collapsed="false">
      <c r="A38" s="54" t="s">
        <v>142</v>
      </c>
      <c r="B38" s="55" t="s">
        <v>123</v>
      </c>
      <c r="C38" s="56" t="n">
        <v>33.5</v>
      </c>
      <c r="D38" s="57" t="n">
        <f aca="false">INDEX(المكونات!$C$2:$C$500,MATCH($A38,المكونات!$A$2:$A$500,0))</f>
        <v>35</v>
      </c>
      <c r="E38" s="57" t="n">
        <f aca="false">D38-C38</f>
        <v>1.5</v>
      </c>
      <c r="F38" s="58" t="n">
        <f aca="false">IF(C38=0,"",D38/C38-1)</f>
        <v>0.044776119402985</v>
      </c>
      <c r="G38" s="54" t="s">
        <v>366</v>
      </c>
      <c r="H38" s="55" t="n">
        <v>35</v>
      </c>
      <c r="I38" s="55" t="n">
        <v>1</v>
      </c>
      <c r="J38" s="54"/>
    </row>
    <row r="39" customFormat="false" ht="15" hidden="false" customHeight="true" outlineLevel="0" collapsed="false">
      <c r="A39" s="54" t="s">
        <v>156</v>
      </c>
      <c r="B39" s="55" t="s">
        <v>123</v>
      </c>
      <c r="C39" s="56" t="n">
        <v>25.82</v>
      </c>
      <c r="D39" s="57" t="n">
        <f aca="false">INDEX(المكونات!$C$2:$C$500,MATCH($A39,المكونات!$A$2:$A$500,0))</f>
        <v>26.9708</v>
      </c>
      <c r="E39" s="57" t="n">
        <f aca="false">D39-C39</f>
        <v>1.1508</v>
      </c>
      <c r="F39" s="58" t="n">
        <f aca="false">IF(C39=0,"",D39/C39-1)</f>
        <v>0.044570100697134</v>
      </c>
      <c r="G39" s="54" t="s">
        <v>366</v>
      </c>
      <c r="H39" s="55" t="n">
        <v>26.9708</v>
      </c>
      <c r="I39" s="55" t="n">
        <v>1</v>
      </c>
      <c r="J39" s="54"/>
    </row>
    <row r="40" customFormat="false" ht="15" hidden="false" customHeight="true" outlineLevel="0" collapsed="false">
      <c r="A40" s="54" t="s">
        <v>140</v>
      </c>
      <c r="B40" s="55" t="s">
        <v>123</v>
      </c>
      <c r="C40" s="56" t="n">
        <v>18.76</v>
      </c>
      <c r="D40" s="57" t="n">
        <f aca="false">INDEX(المكونات!$C$2:$C$500,MATCH($A40,المكونات!$A$2:$A$500,0))</f>
        <v>18</v>
      </c>
      <c r="E40" s="57" t="n">
        <f aca="false">D40-C40</f>
        <v>-0.760000000000002</v>
      </c>
      <c r="F40" s="58" t="n">
        <f aca="false">IF(C40=0,"",D40/C40-1)</f>
        <v>-0.0405117270788914</v>
      </c>
      <c r="G40" s="54" t="s">
        <v>366</v>
      </c>
      <c r="H40" s="55" t="n">
        <v>18</v>
      </c>
      <c r="I40" s="55" t="n">
        <v>1</v>
      </c>
      <c r="J40" s="54"/>
    </row>
    <row r="41" customFormat="false" ht="15" hidden="false" customHeight="true" outlineLevel="0" collapsed="false">
      <c r="A41" s="54" t="s">
        <v>258</v>
      </c>
      <c r="B41" s="55" t="s">
        <v>181</v>
      </c>
      <c r="C41" s="56" t="n">
        <v>135</v>
      </c>
      <c r="D41" s="57" t="n">
        <f aca="false">INDEX(المكونات!$C$2:$C$500,MATCH($A41,المكونات!$A$2:$A$500,0))</f>
        <v>140</v>
      </c>
      <c r="E41" s="57" t="n">
        <f aca="false">D41-C41</f>
        <v>5</v>
      </c>
      <c r="F41" s="58" t="n">
        <f aca="false">IF(C41=0,"",D41/C41-1)</f>
        <v>0.037037037037037</v>
      </c>
      <c r="G41" s="54" t="s">
        <v>366</v>
      </c>
      <c r="H41" s="55" t="n">
        <v>140</v>
      </c>
      <c r="I41" s="55" t="n">
        <v>1</v>
      </c>
      <c r="J41" s="54"/>
    </row>
    <row r="42" customFormat="false" ht="15" hidden="false" customHeight="true" outlineLevel="0" collapsed="false">
      <c r="A42" s="54" t="s">
        <v>223</v>
      </c>
      <c r="B42" s="55" t="s">
        <v>205</v>
      </c>
      <c r="C42" s="56" t="n">
        <v>70</v>
      </c>
      <c r="D42" s="57" t="n">
        <f aca="false">INDEX(المكونات!$C$2:$C$500,MATCH($A42,المكونات!$A$2:$A$500,0))</f>
        <v>72.5</v>
      </c>
      <c r="E42" s="57" t="n">
        <f aca="false">D42-C42</f>
        <v>2.5</v>
      </c>
      <c r="F42" s="58" t="n">
        <f aca="false">IF(C42=0,"",D42/C42-1)</f>
        <v>0.0357142857142858</v>
      </c>
      <c r="G42" s="54" t="s">
        <v>366</v>
      </c>
      <c r="H42" s="55" t="n">
        <v>72.5</v>
      </c>
      <c r="I42" s="55" t="n">
        <v>1</v>
      </c>
      <c r="J42" s="54"/>
    </row>
    <row r="43" customFormat="false" ht="15" hidden="false" customHeight="true" outlineLevel="0" collapsed="false">
      <c r="A43" s="54" t="s">
        <v>160</v>
      </c>
      <c r="B43" s="55" t="s">
        <v>123</v>
      </c>
      <c r="C43" s="56" t="n">
        <v>50.54</v>
      </c>
      <c r="D43" s="57" t="n">
        <f aca="false">INDEX(المكونات!$C$2:$C$500,MATCH($A43,المكونات!$A$2:$A$500,0))</f>
        <v>48.7817</v>
      </c>
      <c r="E43" s="57" t="n">
        <f aca="false">D43-C43</f>
        <v>-1.7583</v>
      </c>
      <c r="F43" s="58" t="n">
        <f aca="false">IF(C43=0,"",D43/C43-1)</f>
        <v>-0.0347902651365255</v>
      </c>
      <c r="G43" s="54" t="s">
        <v>366</v>
      </c>
      <c r="H43" s="55" t="n">
        <v>48.7817</v>
      </c>
      <c r="I43" s="55" t="n">
        <v>1</v>
      </c>
      <c r="J43" s="54"/>
    </row>
    <row r="44" customFormat="false" ht="15" hidden="false" customHeight="true" outlineLevel="0" collapsed="false">
      <c r="A44" s="54" t="s">
        <v>298</v>
      </c>
      <c r="B44" s="55" t="s">
        <v>205</v>
      </c>
      <c r="C44" s="56" t="n">
        <v>20</v>
      </c>
      <c r="D44" s="57" t="n">
        <f aca="false">INDEX(المكونات!$C$2:$C$500,MATCH($A44,المكونات!$A$2:$A$500,0))</f>
        <v>20.6667</v>
      </c>
      <c r="E44" s="57" t="n">
        <f aca="false">D44-C44</f>
        <v>0.666699999999999</v>
      </c>
      <c r="F44" s="58" t="n">
        <f aca="false">IF(C44=0,"",D44/C44-1)</f>
        <v>0.0333349999999999</v>
      </c>
      <c r="G44" s="54" t="s">
        <v>366</v>
      </c>
      <c r="H44" s="55" t="n">
        <v>20.6667</v>
      </c>
      <c r="I44" s="55" t="n">
        <v>1</v>
      </c>
      <c r="J44" s="54"/>
    </row>
    <row r="45" customFormat="false" ht="15" hidden="false" customHeight="true" outlineLevel="0" collapsed="false">
      <c r="A45" s="54" t="s">
        <v>154</v>
      </c>
      <c r="B45" s="55" t="s">
        <v>123</v>
      </c>
      <c r="C45" s="56" t="n">
        <v>46.49</v>
      </c>
      <c r="D45" s="57" t="n">
        <f aca="false">INDEX(المكونات!$C$2:$C$500,MATCH($A45,المكونات!$A$2:$A$500,0))</f>
        <v>45</v>
      </c>
      <c r="E45" s="57" t="n">
        <f aca="false">D45-C45</f>
        <v>-1.49</v>
      </c>
      <c r="F45" s="58" t="n">
        <f aca="false">IF(C45=0,"",D45/C45-1)</f>
        <v>-0.0320499032049904</v>
      </c>
      <c r="G45" s="54" t="s">
        <v>366</v>
      </c>
      <c r="H45" s="55" t="n">
        <v>45</v>
      </c>
      <c r="I45" s="55" t="n">
        <v>1</v>
      </c>
      <c r="J45" s="54"/>
    </row>
    <row r="46" customFormat="false" ht="15" hidden="false" customHeight="true" outlineLevel="0" collapsed="false">
      <c r="A46" s="54" t="s">
        <v>250</v>
      </c>
      <c r="B46" s="55" t="s">
        <v>181</v>
      </c>
      <c r="C46" s="56" t="n">
        <v>32.97</v>
      </c>
      <c r="D46" s="57" t="n">
        <f aca="false">INDEX(المكونات!$C$2:$C$500,MATCH($A46,المكونات!$A$2:$A$500,0))</f>
        <v>32</v>
      </c>
      <c r="E46" s="57" t="n">
        <f aca="false">D46-C46</f>
        <v>-0.969999999999999</v>
      </c>
      <c r="F46" s="58" t="n">
        <f aca="false">IF(C46=0,"",D46/C46-1)</f>
        <v>-0.0294206854716409</v>
      </c>
      <c r="G46" s="54" t="s">
        <v>366</v>
      </c>
      <c r="H46" s="55" t="n">
        <v>32</v>
      </c>
      <c r="I46" s="55" t="n">
        <v>1</v>
      </c>
      <c r="J46" s="54"/>
    </row>
    <row r="47" customFormat="false" ht="15" hidden="false" customHeight="true" outlineLevel="0" collapsed="false">
      <c r="A47" s="54" t="s">
        <v>158</v>
      </c>
      <c r="B47" s="55" t="s">
        <v>123</v>
      </c>
      <c r="C47" s="56" t="n">
        <v>35</v>
      </c>
      <c r="D47" s="57" t="n">
        <f aca="false">INDEX(المكونات!$C$2:$C$500,MATCH($A47,المكونات!$A$2:$A$500,0))</f>
        <v>33.982</v>
      </c>
      <c r="E47" s="57" t="n">
        <f aca="false">D47-C47</f>
        <v>-1.018</v>
      </c>
      <c r="F47" s="58" t="n">
        <f aca="false">IF(C47=0,"",D47/C47-1)</f>
        <v>-0.0290857142857143</v>
      </c>
      <c r="G47" s="54" t="s">
        <v>366</v>
      </c>
      <c r="H47" s="55" t="n">
        <v>33.982</v>
      </c>
      <c r="I47" s="55" t="n">
        <v>1</v>
      </c>
      <c r="J47" s="54"/>
    </row>
    <row r="48" customFormat="false" ht="15" hidden="false" customHeight="true" outlineLevel="0" collapsed="false">
      <c r="A48" s="54" t="s">
        <v>146</v>
      </c>
      <c r="B48" s="55" t="s">
        <v>123</v>
      </c>
      <c r="C48" s="56" t="n">
        <v>5.5</v>
      </c>
      <c r="D48" s="57" t="n">
        <f aca="false">INDEX(المكونات!$C$2:$C$500,MATCH($A48,المكونات!$A$2:$A$500,0))</f>
        <v>5.65</v>
      </c>
      <c r="E48" s="57" t="n">
        <f aca="false">D48-C48</f>
        <v>0.15</v>
      </c>
      <c r="F48" s="58" t="n">
        <f aca="false">IF(C48=0,"",D48/C48-1)</f>
        <v>0.0272727272727273</v>
      </c>
      <c r="G48" s="54" t="s">
        <v>366</v>
      </c>
      <c r="H48" s="55" t="n">
        <v>5.65</v>
      </c>
      <c r="I48" s="55" t="n">
        <v>1</v>
      </c>
      <c r="J48" s="54"/>
    </row>
    <row r="49" customFormat="false" ht="15" hidden="false" customHeight="true" outlineLevel="0" collapsed="false">
      <c r="A49" s="54" t="s">
        <v>232</v>
      </c>
      <c r="B49" s="55" t="s">
        <v>181</v>
      </c>
      <c r="C49" s="56" t="n">
        <v>370</v>
      </c>
      <c r="D49" s="57" t="n">
        <f aca="false">INDEX(المكونات!$C$2:$C$500,MATCH($A49,المكونات!$A$2:$A$500,0))</f>
        <v>380</v>
      </c>
      <c r="E49" s="57" t="n">
        <f aca="false">D49-C49</f>
        <v>10</v>
      </c>
      <c r="F49" s="58" t="n">
        <f aca="false">IF(C49=0,"",D49/C49-1)</f>
        <v>0.027027027027027</v>
      </c>
      <c r="G49" s="54" t="s">
        <v>366</v>
      </c>
      <c r="H49" s="55" t="n">
        <v>380</v>
      </c>
      <c r="I49" s="55" t="n">
        <v>1</v>
      </c>
      <c r="J49" s="54"/>
    </row>
    <row r="50" customFormat="false" ht="15" hidden="false" customHeight="true" outlineLevel="0" collapsed="false">
      <c r="A50" s="54" t="s">
        <v>317</v>
      </c>
      <c r="B50" s="55" t="s">
        <v>181</v>
      </c>
      <c r="C50" s="56" t="n">
        <v>595</v>
      </c>
      <c r="D50" s="57" t="n">
        <f aca="false">INDEX(المكونات!$C$2:$C$500,MATCH($A50,المكونات!$A$2:$A$500,0))</f>
        <v>610</v>
      </c>
      <c r="E50" s="57" t="n">
        <f aca="false">D50-C50</f>
        <v>15</v>
      </c>
      <c r="F50" s="58" t="n">
        <f aca="false">IF(C50=0,"",D50/C50-1)</f>
        <v>0.0252100840336134</v>
      </c>
      <c r="G50" s="54" t="s">
        <v>366</v>
      </c>
      <c r="H50" s="55" t="n">
        <v>610</v>
      </c>
      <c r="I50" s="55" t="n">
        <v>1</v>
      </c>
      <c r="J50" s="54"/>
    </row>
    <row r="51" customFormat="false" ht="15" hidden="false" customHeight="true" outlineLevel="0" collapsed="false">
      <c r="A51" s="54" t="s">
        <v>270</v>
      </c>
      <c r="B51" s="55" t="s">
        <v>123</v>
      </c>
      <c r="C51" s="56" t="n">
        <v>4.4</v>
      </c>
      <c r="D51" s="57" t="n">
        <f aca="false">INDEX(المكونات!$C$2:$C$500,MATCH($A51,المكونات!$A$2:$A$500,0))</f>
        <v>4.5</v>
      </c>
      <c r="E51" s="57" t="n">
        <f aca="false">D51-C51</f>
        <v>0.0999999999999996</v>
      </c>
      <c r="F51" s="58" t="n">
        <f aca="false">IF(C51=0,"",D51/C51-1)</f>
        <v>0.0227272727272727</v>
      </c>
      <c r="G51" s="54" t="s">
        <v>366</v>
      </c>
      <c r="H51" s="55" t="n">
        <v>4.5</v>
      </c>
      <c r="I51" s="55" t="n">
        <v>1</v>
      </c>
      <c r="J51" s="54"/>
    </row>
    <row r="52" customFormat="false" ht="15" hidden="false" customHeight="true" outlineLevel="0" collapsed="false">
      <c r="A52" s="54" t="s">
        <v>229</v>
      </c>
      <c r="B52" s="55" t="s">
        <v>181</v>
      </c>
      <c r="C52" s="56" t="n">
        <v>30</v>
      </c>
      <c r="D52" s="57" t="n">
        <f aca="false">INDEX(المكونات!$C$2:$C$500,MATCH($A52,المكونات!$A$2:$A$500,0))</f>
        <v>30.6593</v>
      </c>
      <c r="E52" s="57" t="n">
        <f aca="false">D52-C52</f>
        <v>0.659300000000002</v>
      </c>
      <c r="F52" s="58" t="n">
        <f aca="false">IF(C52=0,"",D52/C52-1)</f>
        <v>0.0219766666666668</v>
      </c>
      <c r="G52" s="54" t="s">
        <v>366</v>
      </c>
      <c r="H52" s="55" t="n">
        <v>30.6593</v>
      </c>
      <c r="I52" s="55" t="n">
        <v>1</v>
      </c>
      <c r="J52" s="54"/>
    </row>
    <row r="53" customFormat="false" ht="15" hidden="false" customHeight="true" outlineLevel="0" collapsed="false">
      <c r="A53" s="54" t="s">
        <v>293</v>
      </c>
      <c r="B53" s="55" t="s">
        <v>123</v>
      </c>
      <c r="C53" s="56" t="n">
        <v>0.49</v>
      </c>
      <c r="D53" s="57" t="n">
        <f aca="false">INDEX(المكونات!$C$2:$C$500,MATCH($A53,المكونات!$A$2:$A$500,0))</f>
        <v>0.5</v>
      </c>
      <c r="E53" s="57" t="n">
        <f aca="false">D53-C53</f>
        <v>0.01</v>
      </c>
      <c r="F53" s="58" t="n">
        <f aca="false">IF(C53=0,"",D53/C53-1)</f>
        <v>0.0204081632653061</v>
      </c>
      <c r="G53" s="54" t="s">
        <v>366</v>
      </c>
      <c r="H53" s="55" t="n">
        <v>0.5</v>
      </c>
      <c r="I53" s="55" t="n">
        <v>1</v>
      </c>
      <c r="J53" s="54"/>
    </row>
    <row r="54" customFormat="false" ht="15" hidden="false" customHeight="true" outlineLevel="0" collapsed="false">
      <c r="A54" s="54" t="s">
        <v>252</v>
      </c>
      <c r="B54" s="55" t="s">
        <v>181</v>
      </c>
      <c r="C54" s="56" t="n">
        <v>68.75</v>
      </c>
      <c r="D54" s="57" t="n">
        <f aca="false">INDEX(المكونات!$C$2:$C$500,MATCH($A54,المكونات!$A$2:$A$500,0))</f>
        <v>70</v>
      </c>
      <c r="E54" s="57" t="n">
        <f aca="false">D54-C54</f>
        <v>1.25</v>
      </c>
      <c r="F54" s="58" t="n">
        <f aca="false">IF(C54=0,"",D54/C54-1)</f>
        <v>0.0181818181818181</v>
      </c>
      <c r="G54" s="54" t="s">
        <v>366</v>
      </c>
      <c r="H54" s="55" t="n">
        <v>70</v>
      </c>
      <c r="I54" s="55" t="n">
        <v>1</v>
      </c>
      <c r="J54" s="54"/>
    </row>
    <row r="55" customFormat="false" ht="15" hidden="false" customHeight="true" outlineLevel="0" collapsed="false">
      <c r="A55" s="54" t="s">
        <v>328</v>
      </c>
      <c r="B55" s="55" t="s">
        <v>123</v>
      </c>
      <c r="C55" s="56" t="n">
        <v>4.4</v>
      </c>
      <c r="D55" s="57" t="n">
        <f aca="false">INDEX(المكونات!$C$2:$C$500,MATCH($A55,المكونات!$A$2:$A$500,0))</f>
        <v>4.47</v>
      </c>
      <c r="E55" s="57" t="n">
        <f aca="false">D55-C55</f>
        <v>0.0699999999999994</v>
      </c>
      <c r="F55" s="58" t="n">
        <f aca="false">IF(C55=0,"",D55/C55-1)</f>
        <v>0.0159090909090909</v>
      </c>
      <c r="G55" s="54" t="s">
        <v>368</v>
      </c>
      <c r="H55" s="55" t="n">
        <v>4.47</v>
      </c>
      <c r="I55" s="55" t="n">
        <v>1</v>
      </c>
      <c r="J55" s="54"/>
    </row>
    <row r="56" customFormat="false" ht="15" hidden="false" customHeight="true" outlineLevel="0" collapsed="false">
      <c r="A56" s="54" t="s">
        <v>221</v>
      </c>
      <c r="B56" s="55" t="s">
        <v>181</v>
      </c>
      <c r="C56" s="56" t="n">
        <v>216.67</v>
      </c>
      <c r="D56" s="57" t="n">
        <f aca="false">INDEX(المكونات!$C$2:$C$500,MATCH($A56,المكونات!$A$2:$A$500,0))</f>
        <v>220</v>
      </c>
      <c r="E56" s="57" t="n">
        <f aca="false">D56-C56</f>
        <v>3.33000000000001</v>
      </c>
      <c r="F56" s="58" t="n">
        <f aca="false">IF(C56=0,"",D56/C56-1)</f>
        <v>0.0153689943231643</v>
      </c>
      <c r="G56" s="54" t="s">
        <v>366</v>
      </c>
      <c r="H56" s="55" t="n">
        <v>220</v>
      </c>
      <c r="I56" s="55" t="n">
        <v>1</v>
      </c>
      <c r="J56" s="54"/>
    </row>
    <row r="57" customFormat="false" ht="15" hidden="false" customHeight="true" outlineLevel="0" collapsed="false">
      <c r="A57" s="54" t="s">
        <v>344</v>
      </c>
      <c r="B57" s="55" t="s">
        <v>123</v>
      </c>
      <c r="C57" s="56" t="n">
        <v>4.4</v>
      </c>
      <c r="D57" s="57" t="n">
        <f aca="false">INDEX(المكونات!$C$2:$C$500,MATCH($A57,المكونات!$A$2:$A$500,0))</f>
        <v>4.44</v>
      </c>
      <c r="E57" s="57" t="n">
        <f aca="false">D57-C57</f>
        <v>0.04</v>
      </c>
      <c r="F57" s="58" t="n">
        <f aca="false">IF(C57=0,"",D57/C57-1)</f>
        <v>0.00909090909090904</v>
      </c>
      <c r="G57" s="54" t="s">
        <v>368</v>
      </c>
      <c r="H57" s="55" t="n">
        <v>4.44</v>
      </c>
      <c r="I57" s="55" t="n">
        <v>1</v>
      </c>
      <c r="J57" s="54"/>
    </row>
    <row r="58" customFormat="false" ht="15" hidden="false" customHeight="true" outlineLevel="0" collapsed="false">
      <c r="A58" s="54" t="s">
        <v>150</v>
      </c>
      <c r="B58" s="55" t="s">
        <v>123</v>
      </c>
      <c r="C58" s="56" t="n">
        <v>95.62</v>
      </c>
      <c r="D58" s="57" t="n">
        <f aca="false">INDEX(المكونات!$C$2:$C$500,MATCH($A58,المكونات!$A$2:$A$500,0))</f>
        <v>95</v>
      </c>
      <c r="E58" s="57" t="n">
        <f aca="false">D58-C58</f>
        <v>-0.620000000000005</v>
      </c>
      <c r="F58" s="58" t="n">
        <f aca="false">IF(C58=0,"",D58/C58-1)</f>
        <v>-0.00648399916335496</v>
      </c>
      <c r="G58" s="54" t="s">
        <v>366</v>
      </c>
      <c r="H58" s="55" t="n">
        <v>95</v>
      </c>
      <c r="I58" s="55" t="n">
        <v>1</v>
      </c>
      <c r="J58" s="54"/>
    </row>
    <row r="59" customFormat="false" ht="15" hidden="false" customHeight="true" outlineLevel="0" collapsed="false">
      <c r="A59" s="54" t="s">
        <v>225</v>
      </c>
      <c r="B59" s="55" t="s">
        <v>205</v>
      </c>
      <c r="C59" s="56" t="n">
        <v>75.48</v>
      </c>
      <c r="D59" s="57" t="n">
        <f aca="false">INDEX(المكونات!$C$2:$C$500,MATCH($A59,المكونات!$A$2:$A$500,0))</f>
        <v>75</v>
      </c>
      <c r="E59" s="57" t="n">
        <f aca="false">D59-C59</f>
        <v>-0.480000000000004</v>
      </c>
      <c r="F59" s="58" t="n">
        <f aca="false">IF(C59=0,"",D59/C59-1)</f>
        <v>-0.00635930047694755</v>
      </c>
      <c r="G59" s="54" t="s">
        <v>366</v>
      </c>
      <c r="H59" s="55" t="n">
        <v>75</v>
      </c>
      <c r="I59" s="55" t="n">
        <v>1</v>
      </c>
      <c r="J59" s="54"/>
    </row>
    <row r="60" customFormat="false" ht="15" hidden="false" customHeight="true" outlineLevel="0" collapsed="false">
      <c r="A60" s="54" t="s">
        <v>200</v>
      </c>
      <c r="B60" s="55" t="s">
        <v>123</v>
      </c>
      <c r="C60" s="56" t="n">
        <v>6.06</v>
      </c>
      <c r="D60" s="57" t="n">
        <f aca="false">INDEX(المكونات!$C$2:$C$500,MATCH($A60,المكونات!$A$2:$A$500,0))</f>
        <v>6.09</v>
      </c>
      <c r="E60" s="57" t="n">
        <f aca="false">D60-C60</f>
        <v>0.0300000000000003</v>
      </c>
      <c r="F60" s="58" t="n">
        <f aca="false">IF(C60=0,"",D60/C60-1)</f>
        <v>0.00495049504950496</v>
      </c>
      <c r="G60" s="54" t="s">
        <v>368</v>
      </c>
      <c r="H60" s="55" t="n">
        <v>6.09</v>
      </c>
      <c r="I60" s="55" t="n">
        <v>1</v>
      </c>
      <c r="J60" s="54"/>
    </row>
    <row r="61" customFormat="false" ht="15" hidden="false" customHeight="true" outlineLevel="0" collapsed="false">
      <c r="A61" s="54" t="s">
        <v>260</v>
      </c>
      <c r="B61" s="55" t="s">
        <v>181</v>
      </c>
      <c r="C61" s="56" t="n">
        <v>20.91</v>
      </c>
      <c r="D61" s="57" t="n">
        <f aca="false">INDEX(المكونات!$C$2:$C$500,MATCH($A61,المكونات!$A$2:$A$500,0))</f>
        <v>21</v>
      </c>
      <c r="E61" s="57" t="n">
        <f aca="false">D61-C61</f>
        <v>0.0899999999999999</v>
      </c>
      <c r="F61" s="58" t="n">
        <f aca="false">IF(C61=0,"",D61/C61-1)</f>
        <v>0.00430416068866579</v>
      </c>
      <c r="G61" s="54" t="s">
        <v>366</v>
      </c>
      <c r="H61" s="55" t="n">
        <v>21</v>
      </c>
      <c r="I61" s="55" t="n">
        <v>1</v>
      </c>
      <c r="J61" s="54"/>
    </row>
    <row r="62" customFormat="false" ht="15" hidden="false" customHeight="true" outlineLevel="0" collapsed="false">
      <c r="A62" s="54" t="s">
        <v>234</v>
      </c>
      <c r="B62" s="55" t="s">
        <v>235</v>
      </c>
      <c r="C62" s="56" t="n">
        <v>2.5284</v>
      </c>
      <c r="D62" s="57" t="n">
        <f aca="false">INDEX(المكونات!$C$2:$C$500,MATCH($A62,المكونات!$A$2:$A$500,0))</f>
        <v>2.5189</v>
      </c>
      <c r="E62" s="57" t="n">
        <f aca="false">D62-C62</f>
        <v>-0.00950000000000006</v>
      </c>
      <c r="F62" s="58" t="n">
        <f aca="false">IF(C62=0,"",D62/C62-1)</f>
        <v>-0.0037573168802405</v>
      </c>
      <c r="G62" s="54" t="s">
        <v>368</v>
      </c>
      <c r="H62" s="55" t="n">
        <v>530</v>
      </c>
      <c r="I62" s="55" t="n">
        <v>200</v>
      </c>
      <c r="J62" s="54"/>
    </row>
    <row r="63" customFormat="false" ht="15" hidden="false" customHeight="true" outlineLevel="0" collapsed="false">
      <c r="A63" s="54" t="s">
        <v>338</v>
      </c>
      <c r="B63" s="55" t="s">
        <v>181</v>
      </c>
      <c r="C63" s="56" t="n">
        <v>220</v>
      </c>
      <c r="D63" s="57" t="n">
        <f aca="false">INDEX(المكونات!$C$2:$C$500,MATCH($A63,المكونات!$A$2:$A$500,0))</f>
        <v>219.23</v>
      </c>
      <c r="E63" s="57" t="n">
        <f aca="false">D63-C63</f>
        <v>-0.77000000000001</v>
      </c>
      <c r="F63" s="58" t="n">
        <f aca="false">IF(C63=0,"",D63/C63-1)</f>
        <v>-0.00350000000000006</v>
      </c>
      <c r="G63" s="54" t="s">
        <v>368</v>
      </c>
      <c r="H63" s="55" t="n">
        <v>219.23</v>
      </c>
      <c r="I63" s="55" t="n">
        <v>1</v>
      </c>
      <c r="J63" s="54"/>
    </row>
    <row r="64" customFormat="false" ht="15" hidden="false" customHeight="true" outlineLevel="0" collapsed="false">
      <c r="A64" s="54" t="s">
        <v>170</v>
      </c>
      <c r="B64" s="55" t="s">
        <v>123</v>
      </c>
      <c r="C64" s="56" t="n">
        <v>22.94</v>
      </c>
      <c r="D64" s="57" t="n">
        <f aca="false">INDEX(المكونات!$C$2:$C$500,MATCH($A64,المكونات!$A$2:$A$500,0))</f>
        <v>23</v>
      </c>
      <c r="E64" s="57" t="n">
        <f aca="false">D64-C64</f>
        <v>0.0599999999999987</v>
      </c>
      <c r="F64" s="58" t="n">
        <f aca="false">IF(C64=0,"",D64/C64-1)</f>
        <v>0.0026155187445509</v>
      </c>
      <c r="G64" s="54" t="s">
        <v>366</v>
      </c>
      <c r="H64" s="55" t="n">
        <v>23</v>
      </c>
      <c r="I64" s="55" t="n">
        <v>1</v>
      </c>
      <c r="J64" s="54"/>
    </row>
    <row r="65" customFormat="false" ht="15" hidden="false" customHeight="true" outlineLevel="0" collapsed="false">
      <c r="A65" s="54" t="s">
        <v>280</v>
      </c>
      <c r="B65" s="55" t="s">
        <v>123</v>
      </c>
      <c r="C65" s="56" t="n">
        <v>42</v>
      </c>
      <c r="D65" s="57" t="n">
        <f aca="false">INDEX(المكونات!$C$2:$C$500,MATCH($A65,المكونات!$A$2:$A$500,0))</f>
        <v>42.03</v>
      </c>
      <c r="E65" s="57" t="n">
        <f aca="false">D65-C65</f>
        <v>0.0300000000000011</v>
      </c>
      <c r="F65" s="58" t="n">
        <f aca="false">IF(C65=0,"",D65/C65-1)</f>
        <v>0.000714285714285667</v>
      </c>
      <c r="G65" s="54" t="s">
        <v>368</v>
      </c>
      <c r="H65" s="55" t="n">
        <v>42.03</v>
      </c>
      <c r="I65" s="55" t="n">
        <v>1</v>
      </c>
      <c r="J65" s="54"/>
    </row>
    <row r="66" customFormat="false" ht="15" hidden="false" customHeight="true" outlineLevel="0" collapsed="false">
      <c r="A66" s="54" t="s">
        <v>336</v>
      </c>
      <c r="B66" s="55" t="s">
        <v>181</v>
      </c>
      <c r="C66" s="56" t="n">
        <v>220</v>
      </c>
      <c r="D66" s="57" t="n">
        <f aca="false">INDEX(المكونات!$C$2:$C$500,MATCH($A66,المكونات!$A$2:$A$500,0))</f>
        <v>220.02</v>
      </c>
      <c r="E66" s="57" t="n">
        <f aca="false">D66-C66</f>
        <v>0.0200000000000102</v>
      </c>
      <c r="F66" s="58" t="n">
        <f aca="false">IF(C66=0,"",D66/C66-1)</f>
        <v>9.09090909091415E-005</v>
      </c>
      <c r="G66" s="54" t="s">
        <v>368</v>
      </c>
      <c r="H66" s="55" t="n">
        <v>220.02</v>
      </c>
      <c r="I66" s="55" t="n">
        <v>1</v>
      </c>
      <c r="J66" s="54"/>
    </row>
    <row r="67" customFormat="false" ht="15" hidden="false" customHeight="true" outlineLevel="0" collapsed="false">
      <c r="A67" s="54" t="s">
        <v>122</v>
      </c>
      <c r="B67" s="55" t="s">
        <v>123</v>
      </c>
      <c r="C67" s="56" t="n">
        <v>3.3</v>
      </c>
      <c r="D67" s="57" t="n">
        <f aca="false">INDEX(المكونات!$C$2:$C$500,MATCH($A67,المكونات!$A$2:$A$500,0))</f>
        <v>3.3</v>
      </c>
      <c r="E67" s="57" t="n">
        <f aca="false">D67-C67</f>
        <v>0</v>
      </c>
      <c r="F67" s="58" t="n">
        <f aca="false">IF(C67=0,"",D67/C67-1)</f>
        <v>0</v>
      </c>
      <c r="G67" s="54" t="s">
        <v>366</v>
      </c>
      <c r="H67" s="55" t="n">
        <v>3.3</v>
      </c>
      <c r="I67" s="55" t="n">
        <v>1</v>
      </c>
      <c r="J67" s="54"/>
    </row>
    <row r="68" customFormat="false" ht="15" hidden="false" customHeight="true" outlineLevel="0" collapsed="false">
      <c r="A68" s="54" t="s">
        <v>127</v>
      </c>
      <c r="B68" s="55" t="s">
        <v>123</v>
      </c>
      <c r="C68" s="56" t="n">
        <v>0.5</v>
      </c>
      <c r="D68" s="57" t="n">
        <f aca="false">INDEX(المكونات!$C$2:$C$500,MATCH($A68,المكونات!$A$2:$A$500,0))</f>
        <v>0.5</v>
      </c>
      <c r="E68" s="57" t="n">
        <f aca="false">D68-C68</f>
        <v>0</v>
      </c>
      <c r="F68" s="58" t="n">
        <f aca="false">IF(C68=0,"",D68/C68-1)</f>
        <v>0</v>
      </c>
      <c r="G68" s="54" t="s">
        <v>366</v>
      </c>
      <c r="H68" s="55" t="n">
        <v>0.5</v>
      </c>
      <c r="I68" s="55" t="n">
        <v>1</v>
      </c>
      <c r="J68" s="54"/>
    </row>
    <row r="69" customFormat="false" ht="15" hidden="false" customHeight="true" outlineLevel="0" collapsed="false">
      <c r="A69" s="54" t="s">
        <v>138</v>
      </c>
      <c r="B69" s="55" t="s">
        <v>123</v>
      </c>
      <c r="C69" s="56" t="n">
        <v>60</v>
      </c>
      <c r="D69" s="57" t="n">
        <f aca="false">INDEX(المكونات!$C$2:$C$500,MATCH($A69,المكونات!$A$2:$A$500,0))</f>
        <v>60</v>
      </c>
      <c r="E69" s="57" t="n">
        <f aca="false">D69-C69</f>
        <v>0</v>
      </c>
      <c r="F69" s="58" t="n">
        <f aca="false">IF(C69=0,"",D69/C69-1)</f>
        <v>0</v>
      </c>
      <c r="G69" s="54" t="s">
        <v>366</v>
      </c>
      <c r="H69" s="55" t="n">
        <v>60</v>
      </c>
      <c r="I69" s="55" t="n">
        <v>1</v>
      </c>
      <c r="J69" s="54"/>
    </row>
    <row r="70" customFormat="false" ht="15" hidden="false" customHeight="true" outlineLevel="0" collapsed="false">
      <c r="A70" s="54" t="s">
        <v>148</v>
      </c>
      <c r="B70" s="55" t="s">
        <v>123</v>
      </c>
      <c r="C70" s="56" t="n">
        <v>9</v>
      </c>
      <c r="D70" s="57" t="n">
        <f aca="false">INDEX(المكونات!$C$2:$C$500,MATCH($A70,المكونات!$A$2:$A$500,0))</f>
        <v>9</v>
      </c>
      <c r="E70" s="57" t="n">
        <f aca="false">D70-C70</f>
        <v>0</v>
      </c>
      <c r="F70" s="58" t="n">
        <f aca="false">IF(C70=0,"",D70/C70-1)</f>
        <v>0</v>
      </c>
      <c r="G70" s="54" t="s">
        <v>366</v>
      </c>
      <c r="H70" s="55" t="n">
        <v>9</v>
      </c>
      <c r="I70" s="55" t="n">
        <v>1</v>
      </c>
      <c r="J70" s="54"/>
    </row>
    <row r="71" customFormat="false" ht="15" hidden="false" customHeight="true" outlineLevel="0" collapsed="false">
      <c r="A71" s="54" t="s">
        <v>152</v>
      </c>
      <c r="B71" s="55" t="s">
        <v>123</v>
      </c>
      <c r="C71" s="56" t="n">
        <v>34</v>
      </c>
      <c r="D71" s="57" t="n">
        <f aca="false">INDEX(المكونات!$C$2:$C$500,MATCH($A71,المكونات!$A$2:$A$500,0))</f>
        <v>34</v>
      </c>
      <c r="E71" s="57" t="n">
        <f aca="false">D71-C71</f>
        <v>0</v>
      </c>
      <c r="F71" s="58" t="n">
        <f aca="false">IF(C71=0,"",D71/C71-1)</f>
        <v>0</v>
      </c>
      <c r="G71" s="54" t="s">
        <v>366</v>
      </c>
      <c r="H71" s="55" t="n">
        <v>34</v>
      </c>
      <c r="I71" s="55" t="n">
        <v>1</v>
      </c>
      <c r="J71" s="54"/>
    </row>
    <row r="72" customFormat="false" ht="15" hidden="false" customHeight="true" outlineLevel="0" collapsed="false">
      <c r="A72" s="54" t="s">
        <v>168</v>
      </c>
      <c r="B72" s="55" t="s">
        <v>123</v>
      </c>
      <c r="C72" s="56" t="n">
        <v>21</v>
      </c>
      <c r="D72" s="57" t="n">
        <f aca="false">INDEX(المكونات!$C$2:$C$500,MATCH($A72,المكونات!$A$2:$A$500,0))</f>
        <v>21</v>
      </c>
      <c r="E72" s="57" t="n">
        <f aca="false">D72-C72</f>
        <v>0</v>
      </c>
      <c r="F72" s="58" t="n">
        <f aca="false">IF(C72=0,"",D72/C72-1)</f>
        <v>0</v>
      </c>
      <c r="G72" s="54" t="s">
        <v>366</v>
      </c>
      <c r="H72" s="55" t="n">
        <v>21</v>
      </c>
      <c r="I72" s="55" t="n">
        <v>1</v>
      </c>
      <c r="J72" s="54"/>
    </row>
    <row r="73" customFormat="false" ht="15" hidden="false" customHeight="true" outlineLevel="0" collapsed="false">
      <c r="A73" s="54" t="s">
        <v>172</v>
      </c>
      <c r="B73" s="55" t="s">
        <v>123</v>
      </c>
      <c r="C73" s="56" t="n">
        <v>20</v>
      </c>
      <c r="D73" s="57" t="n">
        <f aca="false">INDEX(المكونات!$C$2:$C$500,MATCH($A73,المكونات!$A$2:$A$500,0))</f>
        <v>20</v>
      </c>
      <c r="E73" s="57" t="n">
        <f aca="false">D73-C73</f>
        <v>0</v>
      </c>
      <c r="F73" s="58" t="n">
        <f aca="false">IF(C73=0,"",D73/C73-1)</f>
        <v>0</v>
      </c>
      <c r="G73" s="54" t="s">
        <v>366</v>
      </c>
      <c r="H73" s="55" t="n">
        <v>20</v>
      </c>
      <c r="I73" s="55" t="n">
        <v>1</v>
      </c>
      <c r="J73" s="54"/>
    </row>
    <row r="74" customFormat="false" ht="15" hidden="false" customHeight="true" outlineLevel="0" collapsed="false">
      <c r="A74" s="54" t="s">
        <v>176</v>
      </c>
      <c r="B74" s="55" t="s">
        <v>123</v>
      </c>
      <c r="C74" s="56" t="n">
        <v>17.5</v>
      </c>
      <c r="D74" s="57" t="n">
        <f aca="false">INDEX(المكونات!$C$2:$C$500,MATCH($A74,المكونات!$A$2:$A$500,0))</f>
        <v>17.5</v>
      </c>
      <c r="E74" s="57" t="n">
        <f aca="false">D74-C74</f>
        <v>0</v>
      </c>
      <c r="F74" s="58" t="n">
        <f aca="false">IF(C74=0,"",D74/C74-1)</f>
        <v>0</v>
      </c>
      <c r="G74" s="54" t="s">
        <v>366</v>
      </c>
      <c r="H74" s="55" t="n">
        <v>17.5</v>
      </c>
      <c r="I74" s="55" t="n">
        <v>1</v>
      </c>
      <c r="J74" s="54"/>
    </row>
    <row r="75" customFormat="false" ht="15" hidden="false" customHeight="true" outlineLevel="0" collapsed="false">
      <c r="A75" s="54" t="s">
        <v>178</v>
      </c>
      <c r="B75" s="55" t="s">
        <v>123</v>
      </c>
      <c r="C75" s="56" t="n">
        <v>25</v>
      </c>
      <c r="D75" s="57" t="n">
        <f aca="false">INDEX(المكونات!$C$2:$C$500,MATCH($A75,المكونات!$A$2:$A$500,0))</f>
        <v>25</v>
      </c>
      <c r="E75" s="57" t="n">
        <f aca="false">D75-C75</f>
        <v>0</v>
      </c>
      <c r="F75" s="58" t="n">
        <f aca="false">IF(C75=0,"",D75/C75-1)</f>
        <v>0</v>
      </c>
      <c r="G75" s="54" t="s">
        <v>366</v>
      </c>
      <c r="H75" s="55" t="n">
        <v>25</v>
      </c>
      <c r="I75" s="55" t="n">
        <v>1</v>
      </c>
      <c r="J75" s="54"/>
    </row>
    <row r="76" customFormat="false" ht="15" hidden="false" customHeight="true" outlineLevel="0" collapsed="false">
      <c r="A76" s="54" t="s">
        <v>180</v>
      </c>
      <c r="B76" s="55" t="s">
        <v>181</v>
      </c>
      <c r="C76" s="56" t="n">
        <v>100</v>
      </c>
      <c r="D76" s="57" t="n">
        <f aca="false">INDEX(المكونات!$C$2:$C$500,MATCH($A76,المكونات!$A$2:$A$500,0))</f>
        <v>100</v>
      </c>
      <c r="E76" s="57" t="n">
        <f aca="false">D76-C76</f>
        <v>0</v>
      </c>
      <c r="F76" s="58" t="n">
        <f aca="false">IF(C76=0,"",D76/C76-1)</f>
        <v>0</v>
      </c>
      <c r="G76" s="54" t="s">
        <v>366</v>
      </c>
      <c r="H76" s="55" t="n">
        <v>100</v>
      </c>
      <c r="I76" s="55" t="n">
        <v>1</v>
      </c>
      <c r="J76" s="54"/>
    </row>
    <row r="77" customFormat="false" ht="15" hidden="false" customHeight="true" outlineLevel="0" collapsed="false">
      <c r="A77" s="54" t="s">
        <v>185</v>
      </c>
      <c r="B77" s="55" t="s">
        <v>181</v>
      </c>
      <c r="C77" s="56" t="n">
        <v>100</v>
      </c>
      <c r="D77" s="57" t="n">
        <f aca="false">INDEX(المكونات!$C$2:$C$500,MATCH($A77,المكونات!$A$2:$A$500,0))</f>
        <v>100</v>
      </c>
      <c r="E77" s="57" t="n">
        <f aca="false">D77-C77</f>
        <v>0</v>
      </c>
      <c r="F77" s="58" t="n">
        <f aca="false">IF(C77=0,"",D77/C77-1)</f>
        <v>0</v>
      </c>
      <c r="G77" s="54" t="s">
        <v>366</v>
      </c>
      <c r="H77" s="55" t="n">
        <v>100</v>
      </c>
      <c r="I77" s="55" t="n">
        <v>1</v>
      </c>
      <c r="J77" s="54"/>
    </row>
    <row r="78" customFormat="false" ht="15" hidden="false" customHeight="true" outlineLevel="0" collapsed="false">
      <c r="A78" s="54" t="s">
        <v>186</v>
      </c>
      <c r="B78" s="55" t="s">
        <v>181</v>
      </c>
      <c r="C78" s="56" t="n">
        <v>41</v>
      </c>
      <c r="D78" s="57" t="n">
        <f aca="false">INDEX(المكونات!$C$2:$C$500,MATCH($A78,المكونات!$A$2:$A$500,0))</f>
        <v>41</v>
      </c>
      <c r="E78" s="57" t="n">
        <f aca="false">D78-C78</f>
        <v>0</v>
      </c>
      <c r="F78" s="58" t="n">
        <f aca="false">IF(C78=0,"",D78/C78-1)</f>
        <v>0</v>
      </c>
      <c r="G78" s="54" t="s">
        <v>366</v>
      </c>
      <c r="H78" s="55" t="n">
        <v>41</v>
      </c>
      <c r="I78" s="55" t="n">
        <v>1</v>
      </c>
      <c r="J78" s="54"/>
    </row>
    <row r="79" customFormat="false" ht="15" hidden="false" customHeight="true" outlineLevel="0" collapsed="false">
      <c r="A79" s="54" t="s">
        <v>195</v>
      </c>
      <c r="B79" s="55" t="s">
        <v>196</v>
      </c>
      <c r="C79" s="56" t="n">
        <v>30</v>
      </c>
      <c r="D79" s="57" t="n">
        <f aca="false">INDEX(المكونات!$C$2:$C$500,MATCH($A79,المكونات!$A$2:$A$500,0))</f>
        <v>30</v>
      </c>
      <c r="E79" s="57" t="n">
        <f aca="false">D79-C79</f>
        <v>0</v>
      </c>
      <c r="F79" s="58" t="n">
        <f aca="false">IF(C79=0,"",D79/C79-1)</f>
        <v>0</v>
      </c>
      <c r="G79" s="54" t="s">
        <v>366</v>
      </c>
      <c r="H79" s="55" t="n">
        <v>30</v>
      </c>
      <c r="I79" s="55" t="n">
        <v>1</v>
      </c>
      <c r="J79" s="54"/>
    </row>
    <row r="80" customFormat="false" ht="15" hidden="false" customHeight="true" outlineLevel="0" collapsed="false">
      <c r="A80" s="54" t="s">
        <v>198</v>
      </c>
      <c r="B80" s="55" t="s">
        <v>181</v>
      </c>
      <c r="C80" s="56" t="n">
        <v>175</v>
      </c>
      <c r="D80" s="57" t="n">
        <f aca="false">INDEX(المكونات!$C$2:$C$500,MATCH($A80,المكونات!$A$2:$A$500,0))</f>
        <v>175</v>
      </c>
      <c r="E80" s="57" t="n">
        <f aca="false">D80-C80</f>
        <v>0</v>
      </c>
      <c r="F80" s="58" t="n">
        <f aca="false">IF(C80=0,"",D80/C80-1)</f>
        <v>0</v>
      </c>
      <c r="G80" s="54" t="s">
        <v>368</v>
      </c>
      <c r="H80" s="55" t="n">
        <v>175</v>
      </c>
      <c r="I80" s="55" t="n">
        <v>1</v>
      </c>
      <c r="J80" s="54"/>
    </row>
    <row r="81" customFormat="false" ht="15" hidden="false" customHeight="true" outlineLevel="0" collapsed="false">
      <c r="A81" s="54" t="s">
        <v>216</v>
      </c>
      <c r="B81" s="55" t="s">
        <v>209</v>
      </c>
      <c r="C81" s="56" t="n">
        <v>15</v>
      </c>
      <c r="D81" s="57" t="n">
        <f aca="false">INDEX(المكونات!$C$2:$C$500,MATCH($A81,المكونات!$A$2:$A$500,0))</f>
        <v>15</v>
      </c>
      <c r="E81" s="57" t="n">
        <f aca="false">D81-C81</f>
        <v>0</v>
      </c>
      <c r="F81" s="58" t="n">
        <f aca="false">IF(C81=0,"",D81/C81-1)</f>
        <v>0</v>
      </c>
      <c r="G81" s="54" t="s">
        <v>366</v>
      </c>
      <c r="H81" s="55" t="n">
        <v>15</v>
      </c>
      <c r="I81" s="55" t="n">
        <v>1</v>
      </c>
      <c r="J81" s="54"/>
    </row>
    <row r="82" customFormat="false" ht="15" hidden="false" customHeight="true" outlineLevel="0" collapsed="false">
      <c r="A82" s="54" t="s">
        <v>217</v>
      </c>
      <c r="B82" s="55" t="s">
        <v>181</v>
      </c>
      <c r="C82" s="56" t="n">
        <v>30</v>
      </c>
      <c r="D82" s="57" t="n">
        <f aca="false">INDEX(المكونات!$C$2:$C$500,MATCH($A82,المكونات!$A$2:$A$500,0))</f>
        <v>30</v>
      </c>
      <c r="E82" s="57" t="n">
        <f aca="false">D82-C82</f>
        <v>0</v>
      </c>
      <c r="F82" s="58" t="n">
        <f aca="false">IF(C82=0,"",D82/C82-1)</f>
        <v>0</v>
      </c>
      <c r="G82" s="54" t="s">
        <v>366</v>
      </c>
      <c r="H82" s="55" t="n">
        <v>30</v>
      </c>
      <c r="I82" s="55" t="n">
        <v>1</v>
      </c>
      <c r="J82" s="54"/>
    </row>
    <row r="83" customFormat="false" ht="15" hidden="false" customHeight="true" outlineLevel="0" collapsed="false">
      <c r="A83" s="54" t="s">
        <v>220</v>
      </c>
      <c r="B83" s="55" t="s">
        <v>181</v>
      </c>
      <c r="C83" s="56" t="n">
        <v>120</v>
      </c>
      <c r="D83" s="57" t="n">
        <f aca="false">INDEX(المكونات!$C$2:$C$500,MATCH($A83,المكونات!$A$2:$A$500,0))</f>
        <v>120</v>
      </c>
      <c r="E83" s="57" t="n">
        <f aca="false">D83-C83</f>
        <v>0</v>
      </c>
      <c r="F83" s="58" t="n">
        <f aca="false">IF(C83=0,"",D83/C83-1)</f>
        <v>0</v>
      </c>
      <c r="G83" s="54" t="s">
        <v>366</v>
      </c>
      <c r="H83" s="55" t="n">
        <v>120</v>
      </c>
      <c r="I83" s="55" t="n">
        <v>1</v>
      </c>
      <c r="J83" s="54"/>
    </row>
    <row r="84" customFormat="false" ht="15" hidden="false" customHeight="true" outlineLevel="0" collapsed="false">
      <c r="A84" s="54" t="s">
        <v>230</v>
      </c>
      <c r="B84" s="55" t="s">
        <v>209</v>
      </c>
      <c r="C84" s="56" t="n">
        <v>7.1</v>
      </c>
      <c r="D84" s="57" t="n">
        <f aca="false">INDEX(المكونات!$C$2:$C$500,MATCH($A84,المكونات!$A$2:$A$500,0))</f>
        <v>7.1</v>
      </c>
      <c r="E84" s="57" t="n">
        <f aca="false">D84-C84</f>
        <v>0</v>
      </c>
      <c r="F84" s="58" t="n">
        <f aca="false">IF(C84=0,"",D84/C84-1)</f>
        <v>0</v>
      </c>
      <c r="G84" s="54" t="s">
        <v>366</v>
      </c>
      <c r="H84" s="55" t="n">
        <v>7.1</v>
      </c>
      <c r="I84" s="55" t="n">
        <v>1</v>
      </c>
      <c r="J84" s="54"/>
    </row>
    <row r="85" customFormat="false" ht="15" hidden="false" customHeight="true" outlineLevel="0" collapsed="false">
      <c r="A85" s="54" t="s">
        <v>237</v>
      </c>
      <c r="B85" s="55" t="s">
        <v>123</v>
      </c>
      <c r="C85" s="56" t="n">
        <v>0.55</v>
      </c>
      <c r="D85" s="57" t="n">
        <f aca="false">INDEX(المكونات!$C$2:$C$500,MATCH($A85,المكونات!$A$2:$A$500,0))</f>
        <v>0.55</v>
      </c>
      <c r="E85" s="57" t="n">
        <f aca="false">D85-C85</f>
        <v>0</v>
      </c>
      <c r="F85" s="58" t="n">
        <f aca="false">IF(C85=0,"",D85/C85-1)</f>
        <v>0</v>
      </c>
      <c r="G85" s="54" t="s">
        <v>368</v>
      </c>
      <c r="H85" s="55" t="n">
        <v>110</v>
      </c>
      <c r="I85" s="55" t="n">
        <v>200</v>
      </c>
      <c r="J85" s="54"/>
    </row>
    <row r="86" customFormat="false" ht="15" hidden="false" customHeight="true" outlineLevel="0" collapsed="false">
      <c r="A86" s="54" t="s">
        <v>239</v>
      </c>
      <c r="B86" s="55" t="s">
        <v>123</v>
      </c>
      <c r="C86" s="56" t="n">
        <v>0.675</v>
      </c>
      <c r="D86" s="57" t="n">
        <f aca="false">INDEX(المكونات!$C$2:$C$500,MATCH($A86,المكونات!$A$2:$A$500,0))</f>
        <v>0.675</v>
      </c>
      <c r="E86" s="57" t="n">
        <f aca="false">D86-C86</f>
        <v>0</v>
      </c>
      <c r="F86" s="58" t="n">
        <f aca="false">IF(C86=0,"",D86/C86-1)</f>
        <v>0</v>
      </c>
      <c r="G86" s="54" t="s">
        <v>366</v>
      </c>
      <c r="H86" s="55" t="n">
        <v>135</v>
      </c>
      <c r="I86" s="55" t="n">
        <v>200</v>
      </c>
      <c r="J86" s="54"/>
    </row>
    <row r="87" customFormat="false" ht="15" hidden="false" customHeight="true" outlineLevel="0" collapsed="false">
      <c r="A87" s="54" t="s">
        <v>243</v>
      </c>
      <c r="B87" s="55" t="s">
        <v>123</v>
      </c>
      <c r="C87" s="56" t="n">
        <v>0.3</v>
      </c>
      <c r="D87" s="57" t="n">
        <f aca="false">INDEX(المكونات!$C$2:$C$500,MATCH($A87,المكونات!$A$2:$A$500,0))</f>
        <v>0.3</v>
      </c>
      <c r="E87" s="57" t="n">
        <f aca="false">D87-C87</f>
        <v>0</v>
      </c>
      <c r="F87" s="58" t="n">
        <f aca="false">IF(C87=0,"",D87/C87-1)</f>
        <v>0</v>
      </c>
      <c r="G87" s="54" t="s">
        <v>366</v>
      </c>
      <c r="H87" s="55" t="n">
        <v>0.3</v>
      </c>
      <c r="I87" s="55" t="n">
        <v>1</v>
      </c>
      <c r="J87" s="54"/>
    </row>
    <row r="88" customFormat="false" ht="15" hidden="false" customHeight="true" outlineLevel="0" collapsed="false">
      <c r="A88" s="54" t="s">
        <v>247</v>
      </c>
      <c r="B88" s="55" t="s">
        <v>181</v>
      </c>
      <c r="C88" s="56" t="n">
        <v>100</v>
      </c>
      <c r="D88" s="57" t="n">
        <f aca="false">INDEX(المكونات!$C$2:$C$500,MATCH($A88,المكونات!$A$2:$A$500,0))</f>
        <v>100</v>
      </c>
      <c r="E88" s="57" t="n">
        <f aca="false">D88-C88</f>
        <v>0</v>
      </c>
      <c r="F88" s="58" t="n">
        <f aca="false">IF(C88=0,"",D88/C88-1)</f>
        <v>0</v>
      </c>
      <c r="G88" s="54" t="s">
        <v>366</v>
      </c>
      <c r="H88" s="55" t="n">
        <v>100</v>
      </c>
      <c r="I88" s="55" t="n">
        <v>1</v>
      </c>
      <c r="J88" s="54"/>
    </row>
    <row r="89" customFormat="false" ht="15" hidden="false" customHeight="true" outlineLevel="0" collapsed="false">
      <c r="A89" s="54" t="s">
        <v>254</v>
      </c>
      <c r="B89" s="55" t="s">
        <v>181</v>
      </c>
      <c r="C89" s="56" t="n">
        <v>140</v>
      </c>
      <c r="D89" s="57" t="n">
        <f aca="false">INDEX(المكونات!$C$2:$C$500,MATCH($A89,المكونات!$A$2:$A$500,0))</f>
        <v>140</v>
      </c>
      <c r="E89" s="57" t="n">
        <f aca="false">D89-C89</f>
        <v>0</v>
      </c>
      <c r="F89" s="58" t="n">
        <f aca="false">IF(C89=0,"",D89/C89-1)</f>
        <v>0</v>
      </c>
      <c r="G89" s="54" t="s">
        <v>366</v>
      </c>
      <c r="H89" s="55" t="n">
        <v>140</v>
      </c>
      <c r="I89" s="55" t="n">
        <v>1</v>
      </c>
      <c r="J89" s="54"/>
    </row>
    <row r="90" customFormat="false" ht="15" hidden="false" customHeight="true" outlineLevel="0" collapsed="false">
      <c r="A90" s="54" t="s">
        <v>256</v>
      </c>
      <c r="B90" s="55" t="s">
        <v>181</v>
      </c>
      <c r="C90" s="56" t="n">
        <v>105</v>
      </c>
      <c r="D90" s="57" t="n">
        <f aca="false">INDEX(المكونات!$C$2:$C$500,MATCH($A90,المكونات!$A$2:$A$500,0))</f>
        <v>105</v>
      </c>
      <c r="E90" s="57" t="n">
        <f aca="false">D90-C90</f>
        <v>0</v>
      </c>
      <c r="F90" s="58" t="n">
        <f aca="false">IF(C90=0,"",D90/C90-1)</f>
        <v>0</v>
      </c>
      <c r="G90" s="54" t="s">
        <v>366</v>
      </c>
      <c r="H90" s="55" t="n">
        <v>105</v>
      </c>
      <c r="I90" s="55" t="n">
        <v>1</v>
      </c>
      <c r="J90" s="54"/>
    </row>
    <row r="91" customFormat="false" ht="15" hidden="false" customHeight="true" outlineLevel="0" collapsed="false">
      <c r="A91" s="54" t="s">
        <v>264</v>
      </c>
      <c r="B91" s="55" t="s">
        <v>123</v>
      </c>
      <c r="C91" s="56" t="n">
        <v>4</v>
      </c>
      <c r="D91" s="57" t="n">
        <f aca="false">INDEX(المكونات!$C$2:$C$500,MATCH($A91,المكونات!$A$2:$A$500,0))</f>
        <v>4</v>
      </c>
      <c r="E91" s="57" t="n">
        <f aca="false">D91-C91</f>
        <v>0</v>
      </c>
      <c r="F91" s="58" t="n">
        <f aca="false">IF(C91=0,"",D91/C91-1)</f>
        <v>0</v>
      </c>
      <c r="G91" s="54" t="s">
        <v>366</v>
      </c>
      <c r="H91" s="55" t="n">
        <v>4</v>
      </c>
      <c r="I91" s="55" t="n">
        <v>1</v>
      </c>
      <c r="J91" s="54"/>
    </row>
    <row r="92" customFormat="false" ht="15" hidden="false" customHeight="true" outlineLevel="0" collapsed="false">
      <c r="A92" s="54" t="s">
        <v>268</v>
      </c>
      <c r="B92" s="55" t="s">
        <v>123</v>
      </c>
      <c r="C92" s="56" t="n">
        <v>5.5</v>
      </c>
      <c r="D92" s="57" t="n">
        <f aca="false">INDEX(المكونات!$C$2:$C$500,MATCH($A92,المكونات!$A$2:$A$500,0))</f>
        <v>5.5</v>
      </c>
      <c r="E92" s="57" t="n">
        <f aca="false">D92-C92</f>
        <v>0</v>
      </c>
      <c r="F92" s="58" t="n">
        <f aca="false">IF(C92=0,"",D92/C92-1)</f>
        <v>0</v>
      </c>
      <c r="G92" s="54" t="s">
        <v>368</v>
      </c>
      <c r="H92" s="55" t="n">
        <v>5.5</v>
      </c>
      <c r="I92" s="55" t="n">
        <v>1</v>
      </c>
      <c r="J92" s="54"/>
    </row>
    <row r="93" customFormat="false" ht="15" hidden="false" customHeight="true" outlineLevel="0" collapsed="false">
      <c r="A93" s="54" t="s">
        <v>272</v>
      </c>
      <c r="B93" s="55" t="s">
        <v>123</v>
      </c>
      <c r="C93" s="56" t="n">
        <v>0.5</v>
      </c>
      <c r="D93" s="57" t="n">
        <f aca="false">INDEX(المكونات!$C$2:$C$500,MATCH($A93,المكونات!$A$2:$A$500,0))</f>
        <v>0.5</v>
      </c>
      <c r="E93" s="57" t="n">
        <f aca="false">D93-C93</f>
        <v>0</v>
      </c>
      <c r="F93" s="58" t="n">
        <f aca="false">IF(C93=0,"",D93/C93-1)</f>
        <v>0</v>
      </c>
      <c r="G93" s="54" t="s">
        <v>368</v>
      </c>
      <c r="H93" s="55" t="n">
        <v>0.5</v>
      </c>
      <c r="I93" s="55" t="n">
        <v>1</v>
      </c>
      <c r="J93" s="54"/>
    </row>
    <row r="94" customFormat="false" ht="15" hidden="false" customHeight="true" outlineLevel="0" collapsed="false">
      <c r="A94" s="54" t="s">
        <v>274</v>
      </c>
      <c r="B94" s="55" t="s">
        <v>123</v>
      </c>
      <c r="C94" s="56" t="n">
        <v>1.7</v>
      </c>
      <c r="D94" s="57" t="n">
        <f aca="false">INDEX(المكونات!$C$2:$C$500,MATCH($A94,المكونات!$A$2:$A$500,0))</f>
        <v>1.7</v>
      </c>
      <c r="E94" s="57" t="n">
        <f aca="false">D94-C94</f>
        <v>0</v>
      </c>
      <c r="F94" s="58" t="n">
        <f aca="false">IF(C94=0,"",D94/C94-1)</f>
        <v>0</v>
      </c>
      <c r="G94" s="54" t="s">
        <v>366</v>
      </c>
      <c r="H94" s="55" t="n">
        <v>1.7</v>
      </c>
      <c r="I94" s="55" t="n">
        <v>1</v>
      </c>
      <c r="J94" s="54"/>
    </row>
    <row r="95" customFormat="false" ht="15" hidden="false" customHeight="true" outlineLevel="0" collapsed="false">
      <c r="A95" s="54" t="s">
        <v>276</v>
      </c>
      <c r="B95" s="55" t="s">
        <v>123</v>
      </c>
      <c r="C95" s="56" t="n">
        <v>2</v>
      </c>
      <c r="D95" s="57" t="n">
        <f aca="false">INDEX(المكونات!$C$2:$C$500,MATCH($A95,المكونات!$A$2:$A$500,0))</f>
        <v>2</v>
      </c>
      <c r="E95" s="57" t="n">
        <f aca="false">D95-C95</f>
        <v>0</v>
      </c>
      <c r="F95" s="58" t="n">
        <f aca="false">IF(C95=0,"",D95/C95-1)</f>
        <v>0</v>
      </c>
      <c r="G95" s="54" t="s">
        <v>366</v>
      </c>
      <c r="H95" s="55" t="n">
        <v>2</v>
      </c>
      <c r="I95" s="55" t="n">
        <v>1</v>
      </c>
      <c r="J95" s="54"/>
    </row>
    <row r="96" customFormat="false" ht="15" hidden="false" customHeight="true" outlineLevel="0" collapsed="false">
      <c r="A96" s="54" t="s">
        <v>278</v>
      </c>
      <c r="B96" s="55" t="s">
        <v>123</v>
      </c>
      <c r="C96" s="56" t="n">
        <v>3.1</v>
      </c>
      <c r="D96" s="57" t="n">
        <f aca="false">INDEX(المكونات!$C$2:$C$500,MATCH($A96,المكونات!$A$2:$A$500,0))</f>
        <v>3.1</v>
      </c>
      <c r="E96" s="57" t="n">
        <f aca="false">D96-C96</f>
        <v>0</v>
      </c>
      <c r="F96" s="58" t="n">
        <f aca="false">IF(C96=0,"",D96/C96-1)</f>
        <v>0</v>
      </c>
      <c r="G96" s="54" t="s">
        <v>366</v>
      </c>
      <c r="H96" s="55" t="n">
        <v>3.1</v>
      </c>
      <c r="I96" s="55" t="n">
        <v>1</v>
      </c>
      <c r="J96" s="54"/>
    </row>
    <row r="97" customFormat="false" ht="15" hidden="false" customHeight="true" outlineLevel="0" collapsed="false">
      <c r="A97" s="54" t="s">
        <v>284</v>
      </c>
      <c r="B97" s="55" t="s">
        <v>181</v>
      </c>
      <c r="C97" s="56" t="n">
        <v>27</v>
      </c>
      <c r="D97" s="57" t="n">
        <f aca="false">INDEX(المكونات!$C$2:$C$500,MATCH($A97,المكونات!$A$2:$A$500,0))</f>
        <v>27</v>
      </c>
      <c r="E97" s="57" t="n">
        <f aca="false">D97-C97</f>
        <v>0</v>
      </c>
      <c r="F97" s="58" t="n">
        <f aca="false">IF(C97=0,"",D97/C97-1)</f>
        <v>0</v>
      </c>
      <c r="G97" s="54" t="s">
        <v>366</v>
      </c>
      <c r="H97" s="55" t="n">
        <v>27</v>
      </c>
      <c r="I97" s="55" t="n">
        <v>1</v>
      </c>
      <c r="J97" s="54"/>
    </row>
    <row r="98" customFormat="false" ht="15" hidden="false" customHeight="true" outlineLevel="0" collapsed="false">
      <c r="A98" s="54" t="s">
        <v>288</v>
      </c>
      <c r="B98" s="55" t="s">
        <v>123</v>
      </c>
      <c r="C98" s="56" t="n">
        <v>7</v>
      </c>
      <c r="D98" s="57" t="n">
        <f aca="false">INDEX(المكونات!$C$2:$C$500,MATCH($A98,المكونات!$A$2:$A$500,0))</f>
        <v>7</v>
      </c>
      <c r="E98" s="57" t="n">
        <f aca="false">D98-C98</f>
        <v>0</v>
      </c>
      <c r="F98" s="58" t="n">
        <f aca="false">IF(C98=0,"",D98/C98-1)</f>
        <v>0</v>
      </c>
      <c r="G98" s="54" t="s">
        <v>366</v>
      </c>
      <c r="H98" s="55" t="n">
        <v>7</v>
      </c>
      <c r="I98" s="55" t="n">
        <v>1</v>
      </c>
      <c r="J98" s="54"/>
    </row>
    <row r="99" customFormat="false" ht="15" hidden="false" customHeight="true" outlineLevel="0" collapsed="false">
      <c r="A99" s="54" t="s">
        <v>290</v>
      </c>
      <c r="B99" s="55" t="s">
        <v>123</v>
      </c>
      <c r="C99" s="56" t="n">
        <v>0.3</v>
      </c>
      <c r="D99" s="57" t="n">
        <f aca="false">INDEX(المكونات!$C$2:$C$500,MATCH($A99,المكونات!$A$2:$A$500,0))</f>
        <v>0.3</v>
      </c>
      <c r="E99" s="57" t="n">
        <f aca="false">D99-C99</f>
        <v>0</v>
      </c>
      <c r="F99" s="58" t="n">
        <f aca="false">IF(C99=0,"",D99/C99-1)</f>
        <v>0</v>
      </c>
      <c r="G99" s="54" t="s">
        <v>366</v>
      </c>
      <c r="H99" s="55" t="n">
        <v>0.3</v>
      </c>
      <c r="I99" s="55" t="n">
        <v>1</v>
      </c>
      <c r="J99" s="54"/>
    </row>
    <row r="100" customFormat="false" ht="15" hidden="false" customHeight="true" outlineLevel="0" collapsed="false">
      <c r="A100" s="54" t="s">
        <v>291</v>
      </c>
      <c r="B100" s="55" t="s">
        <v>181</v>
      </c>
      <c r="C100" s="56" t="n">
        <v>90</v>
      </c>
      <c r="D100" s="57" t="n">
        <f aca="false">INDEX(المكونات!$C$2:$C$500,MATCH($A100,المكونات!$A$2:$A$500,0))</f>
        <v>90</v>
      </c>
      <c r="E100" s="57" t="n">
        <f aca="false">D100-C100</f>
        <v>0</v>
      </c>
      <c r="F100" s="58" t="n">
        <f aca="false">IF(C100=0,"",D100/C100-1)</f>
        <v>0</v>
      </c>
      <c r="G100" s="54" t="s">
        <v>366</v>
      </c>
      <c r="H100" s="55" t="n">
        <v>90</v>
      </c>
      <c r="I100" s="55" t="n">
        <v>1</v>
      </c>
      <c r="J100" s="54"/>
    </row>
    <row r="101" customFormat="false" ht="15" hidden="false" customHeight="true" outlineLevel="0" collapsed="false">
      <c r="A101" s="54" t="s">
        <v>295</v>
      </c>
      <c r="B101" s="55" t="s">
        <v>181</v>
      </c>
      <c r="C101" s="56" t="n">
        <v>420</v>
      </c>
      <c r="D101" s="57" t="n">
        <f aca="false">INDEX(المكونات!$C$2:$C$500,MATCH($A101,المكونات!$A$2:$A$500,0))</f>
        <v>420</v>
      </c>
      <c r="E101" s="57" t="n">
        <f aca="false">D101-C101</f>
        <v>0</v>
      </c>
      <c r="F101" s="58" t="n">
        <f aca="false">IF(C101=0,"",D101/C101-1)</f>
        <v>0</v>
      </c>
      <c r="G101" s="54" t="s">
        <v>366</v>
      </c>
      <c r="H101" s="55" t="n">
        <v>420</v>
      </c>
      <c r="I101" s="55" t="n">
        <v>1</v>
      </c>
      <c r="J101" s="54"/>
    </row>
    <row r="102" customFormat="false" ht="15" hidden="false" customHeight="true" outlineLevel="0" collapsed="false">
      <c r="A102" s="54" t="s">
        <v>297</v>
      </c>
      <c r="B102" s="55" t="s">
        <v>123</v>
      </c>
      <c r="C102" s="56" t="n">
        <v>2</v>
      </c>
      <c r="D102" s="57" t="n">
        <f aca="false">INDEX(المكونات!$C$2:$C$500,MATCH($A102,المكونات!$A$2:$A$500,0))</f>
        <v>2</v>
      </c>
      <c r="E102" s="57" t="n">
        <f aca="false">D102-C102</f>
        <v>0</v>
      </c>
      <c r="F102" s="58" t="n">
        <f aca="false">IF(C102=0,"",D102/C102-1)</f>
        <v>0</v>
      </c>
      <c r="G102" s="54" t="s">
        <v>366</v>
      </c>
      <c r="H102" s="55" t="n">
        <v>2</v>
      </c>
      <c r="I102" s="55" t="n">
        <v>1</v>
      </c>
      <c r="J102" s="54"/>
    </row>
    <row r="103" customFormat="false" ht="15" hidden="false" customHeight="true" outlineLevel="0" collapsed="false">
      <c r="A103" s="54" t="s">
        <v>300</v>
      </c>
      <c r="B103" s="55" t="s">
        <v>123</v>
      </c>
      <c r="C103" s="56" t="n">
        <v>6</v>
      </c>
      <c r="D103" s="57" t="n">
        <f aca="false">INDEX(المكونات!$C$2:$C$500,MATCH($A103,المكونات!$A$2:$A$500,0))</f>
        <v>6</v>
      </c>
      <c r="E103" s="57" t="n">
        <f aca="false">D103-C103</f>
        <v>0</v>
      </c>
      <c r="F103" s="58" t="n">
        <f aca="false">IF(C103=0,"",D103/C103-1)</f>
        <v>0</v>
      </c>
      <c r="G103" s="54" t="s">
        <v>366</v>
      </c>
      <c r="H103" s="55" t="n">
        <v>6</v>
      </c>
      <c r="I103" s="55" t="n">
        <v>1</v>
      </c>
      <c r="J103" s="54"/>
    </row>
    <row r="104" customFormat="false" ht="15" hidden="false" customHeight="true" outlineLevel="0" collapsed="false">
      <c r="A104" s="54" t="s">
        <v>302</v>
      </c>
      <c r="B104" s="55" t="s">
        <v>181</v>
      </c>
      <c r="C104" s="56" t="n">
        <v>135</v>
      </c>
      <c r="D104" s="57" t="n">
        <f aca="false">INDEX(المكونات!$C$2:$C$500,MATCH($A104,المكونات!$A$2:$A$500,0))</f>
        <v>135</v>
      </c>
      <c r="E104" s="57" t="n">
        <f aca="false">D104-C104</f>
        <v>0</v>
      </c>
      <c r="F104" s="58" t="n">
        <f aca="false">IF(C104=0,"",D104/C104-1)</f>
        <v>0</v>
      </c>
      <c r="G104" s="54" t="s">
        <v>366</v>
      </c>
      <c r="H104" s="55" t="n">
        <v>135</v>
      </c>
      <c r="I104" s="55" t="n">
        <v>1</v>
      </c>
      <c r="J104" s="54"/>
    </row>
    <row r="105" customFormat="false" ht="15" hidden="false" customHeight="true" outlineLevel="0" collapsed="false">
      <c r="A105" s="54" t="s">
        <v>305</v>
      </c>
      <c r="B105" s="55" t="s">
        <v>123</v>
      </c>
      <c r="C105" s="56" t="n">
        <v>25</v>
      </c>
      <c r="D105" s="57" t="n">
        <f aca="false">INDEX(المكونات!$C$2:$C$500,MATCH($A105,المكونات!$A$2:$A$500,0))</f>
        <v>25</v>
      </c>
      <c r="E105" s="57" t="n">
        <f aca="false">D105-C105</f>
        <v>0</v>
      </c>
      <c r="F105" s="58" t="n">
        <f aca="false">IF(C105=0,"",D105/C105-1)</f>
        <v>0</v>
      </c>
      <c r="G105" s="54" t="s">
        <v>366</v>
      </c>
      <c r="H105" s="55" t="n">
        <v>25</v>
      </c>
      <c r="I105" s="55" t="n">
        <v>1</v>
      </c>
      <c r="J105" s="54"/>
    </row>
    <row r="106" customFormat="false" ht="15" hidden="false" customHeight="true" outlineLevel="0" collapsed="false">
      <c r="A106" s="54" t="s">
        <v>309</v>
      </c>
      <c r="B106" s="55" t="s">
        <v>181</v>
      </c>
      <c r="C106" s="56" t="n">
        <v>24</v>
      </c>
      <c r="D106" s="57" t="n">
        <f aca="false">INDEX(المكونات!$C$2:$C$500,MATCH($A106,المكونات!$A$2:$A$500,0))</f>
        <v>24</v>
      </c>
      <c r="E106" s="57" t="n">
        <f aca="false">D106-C106</f>
        <v>0</v>
      </c>
      <c r="F106" s="58" t="n">
        <f aca="false">IF(C106=0,"",D106/C106-1)</f>
        <v>0</v>
      </c>
      <c r="G106" s="54" t="s">
        <v>366</v>
      </c>
      <c r="H106" s="55" t="n">
        <v>24</v>
      </c>
      <c r="I106" s="55" t="n">
        <v>1</v>
      </c>
      <c r="J106" s="54"/>
    </row>
    <row r="107" customFormat="false" ht="15" hidden="false" customHeight="true" outlineLevel="0" collapsed="false">
      <c r="A107" s="54" t="s">
        <v>311</v>
      </c>
      <c r="B107" s="55" t="s">
        <v>123</v>
      </c>
      <c r="C107" s="56" t="n">
        <v>25</v>
      </c>
      <c r="D107" s="57" t="n">
        <f aca="false">INDEX(المكونات!$C$2:$C$500,MATCH($A107,المكونات!$A$2:$A$500,0))</f>
        <v>25</v>
      </c>
      <c r="E107" s="57" t="n">
        <f aca="false">D107-C107</f>
        <v>0</v>
      </c>
      <c r="F107" s="58" t="n">
        <f aca="false">IF(C107=0,"",D107/C107-1)</f>
        <v>0</v>
      </c>
      <c r="G107" s="54" t="s">
        <v>368</v>
      </c>
      <c r="H107" s="55" t="n">
        <v>25</v>
      </c>
      <c r="I107" s="55" t="n">
        <v>1</v>
      </c>
      <c r="J107" s="54"/>
    </row>
    <row r="108" customFormat="false" ht="15" hidden="false" customHeight="true" outlineLevel="0" collapsed="false">
      <c r="A108" s="54" t="s">
        <v>315</v>
      </c>
      <c r="B108" s="55" t="s">
        <v>123</v>
      </c>
      <c r="C108" s="56" t="n">
        <v>9</v>
      </c>
      <c r="D108" s="57" t="n">
        <f aca="false">INDEX(المكونات!$C$2:$C$500,MATCH($A108,المكونات!$A$2:$A$500,0))</f>
        <v>9</v>
      </c>
      <c r="E108" s="57" t="n">
        <f aca="false">D108-C108</f>
        <v>0</v>
      </c>
      <c r="F108" s="58" t="n">
        <f aca="false">IF(C108=0,"",D108/C108-1)</f>
        <v>0</v>
      </c>
      <c r="G108" s="54" t="s">
        <v>368</v>
      </c>
      <c r="H108" s="55" t="n">
        <v>9</v>
      </c>
      <c r="I108" s="55" t="n">
        <v>1</v>
      </c>
      <c r="J108" s="54"/>
    </row>
    <row r="109" customFormat="false" ht="15" hidden="false" customHeight="true" outlineLevel="0" collapsed="false">
      <c r="A109" s="54" t="s">
        <v>340</v>
      </c>
      <c r="B109" s="55" t="s">
        <v>123</v>
      </c>
      <c r="C109" s="56" t="n">
        <v>6</v>
      </c>
      <c r="D109" s="57" t="n">
        <f aca="false">INDEX(المكونات!$C$2:$C$500,MATCH($A109,المكونات!$A$2:$A$500,0))</f>
        <v>6</v>
      </c>
      <c r="E109" s="57" t="n">
        <f aca="false">D109-C109</f>
        <v>0</v>
      </c>
      <c r="F109" s="58" t="n">
        <f aca="false">IF(C109=0,"",D109/C109-1)</f>
        <v>0</v>
      </c>
      <c r="G109" s="54" t="s">
        <v>368</v>
      </c>
      <c r="H109" s="55" t="n">
        <v>6</v>
      </c>
      <c r="I109" s="55" t="n">
        <v>1</v>
      </c>
      <c r="J109" s="54"/>
    </row>
    <row r="110" customFormat="false" ht="15" hidden="false" customHeight="true" outlineLevel="0" collapsed="false">
      <c r="A110" s="54" t="s">
        <v>342</v>
      </c>
      <c r="B110" s="55" t="s">
        <v>123</v>
      </c>
      <c r="C110" s="56" t="n">
        <v>0.3</v>
      </c>
      <c r="D110" s="57" t="n">
        <f aca="false">INDEX(المكونات!$C$2:$C$500,MATCH($A110,المكونات!$A$2:$A$500,0))</f>
        <v>0.3</v>
      </c>
      <c r="E110" s="57" t="n">
        <f aca="false">D110-C110</f>
        <v>0</v>
      </c>
      <c r="F110" s="58" t="n">
        <f aca="false">IF(C110=0,"",D110/C110-1)</f>
        <v>0</v>
      </c>
      <c r="G110" s="54" t="s">
        <v>366</v>
      </c>
      <c r="H110" s="55" t="n">
        <v>0.3</v>
      </c>
      <c r="I110" s="55" t="n">
        <v>1</v>
      </c>
      <c r="J110" s="54"/>
    </row>
    <row r="111" customFormat="false" ht="15" hidden="false" customHeight="true" outlineLevel="0" collapsed="false">
      <c r="A111" s="54" t="s">
        <v>188</v>
      </c>
      <c r="B111" s="55" t="s">
        <v>181</v>
      </c>
      <c r="C111" s="56" t="n">
        <v>25</v>
      </c>
      <c r="D111" s="57" t="n">
        <f aca="false">INDEX(المكونات!$C$2:$C$500,MATCH($A111,المكونات!$A$2:$A$500,0))</f>
        <v>25</v>
      </c>
      <c r="E111" s="57" t="n">
        <f aca="false">D111-C111</f>
        <v>0</v>
      </c>
      <c r="F111" s="58" t="n">
        <f aca="false">IF(C111=0,"",D111/C111-1)</f>
        <v>0</v>
      </c>
      <c r="G111" s="54" t="s">
        <v>369</v>
      </c>
      <c r="H111" s="55"/>
      <c r="I111" s="55" t="n">
        <v>1</v>
      </c>
      <c r="J111" s="60" t="s">
        <v>370</v>
      </c>
    </row>
    <row r="112" customFormat="false" ht="15" hidden="false" customHeight="true" outlineLevel="0" collapsed="false">
      <c r="A112" s="54" t="s">
        <v>207</v>
      </c>
      <c r="B112" s="55" t="s">
        <v>181</v>
      </c>
      <c r="C112" s="56" t="n">
        <v>105</v>
      </c>
      <c r="D112" s="57" t="n">
        <f aca="false">INDEX(المكونات!$C$2:$C$500,MATCH($A112,المكونات!$A$2:$A$500,0))</f>
        <v>105</v>
      </c>
      <c r="E112" s="57" t="n">
        <f aca="false">D112-C112</f>
        <v>0</v>
      </c>
      <c r="F112" s="58" t="n">
        <f aca="false">IF(C112=0,"",D112/C112-1)</f>
        <v>0</v>
      </c>
      <c r="G112" s="54" t="s">
        <v>369</v>
      </c>
      <c r="H112" s="55"/>
      <c r="I112" s="55" t="n">
        <v>1</v>
      </c>
      <c r="J112" s="60" t="s">
        <v>370</v>
      </c>
    </row>
    <row r="113" customFormat="false" ht="15" hidden="false" customHeight="true" outlineLevel="0" collapsed="false">
      <c r="A113" s="54" t="s">
        <v>348</v>
      </c>
      <c r="B113" s="55" t="s">
        <v>123</v>
      </c>
      <c r="C113" s="56" t="n">
        <v>5.5777</v>
      </c>
      <c r="D113" s="57" t="n">
        <f aca="false">INDEX(المكونات!$C$2:$C$500,MATCH($A113,المكونات!$A$2:$A$500,0))</f>
        <v>5.5777</v>
      </c>
      <c r="E113" s="57" t="n">
        <f aca="false">D113-C113</f>
        <v>0</v>
      </c>
      <c r="F113" s="58" t="n">
        <f aca="false">IF(C113=0,"",D113/C113-1)</f>
        <v>0</v>
      </c>
      <c r="G113" s="54" t="s">
        <v>369</v>
      </c>
      <c r="H113" s="55"/>
      <c r="I113" s="55" t="n">
        <v>1</v>
      </c>
      <c r="J113" s="60" t="s">
        <v>370</v>
      </c>
    </row>
  </sheetData>
  <autoFilter ref="A4:J113"/>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0"/>
    <col collapsed="false" customWidth="true" hidden="false" outlineLevel="0" max="4" min="3" style="1" width="16"/>
    <col collapsed="false" customWidth="true" hidden="false" outlineLevel="0" max="5" min="5" style="1" width="14"/>
    <col collapsed="false" customWidth="true" hidden="false" outlineLevel="0" max="6" min="6" style="1" width="12"/>
    <col collapsed="false" customWidth="true" hidden="false" outlineLevel="0" max="8" min="7" style="1" width="14"/>
    <col collapsed="false" customWidth="true" hidden="false" outlineLevel="0" max="10" min="9" style="1" width="16"/>
    <col collapsed="false" customWidth="true" hidden="false" outlineLevel="0" max="11" min="11" style="1" width="14"/>
  </cols>
  <sheetData>
    <row r="1" customFormat="false" ht="16.5" hidden="false" customHeight="true" outlineLevel="0" collapsed="false">
      <c r="A1" s="52" t="s">
        <v>371</v>
      </c>
    </row>
    <row r="2" customFormat="false" ht="15" hidden="false" customHeight="true" outlineLevel="0" collapsed="false">
      <c r="A2" s="61" t="s">
        <v>372</v>
      </c>
    </row>
    <row r="4" customFormat="false" ht="33.75" hidden="false" customHeight="true" outlineLevel="0" collapsed="false">
      <c r="A4" s="18" t="s">
        <v>7</v>
      </c>
      <c r="B4" s="18" t="s">
        <v>23</v>
      </c>
      <c r="C4" s="18" t="s">
        <v>373</v>
      </c>
      <c r="D4" s="18" t="s">
        <v>374</v>
      </c>
      <c r="E4" s="18" t="s">
        <v>360</v>
      </c>
      <c r="F4" s="18" t="s">
        <v>361</v>
      </c>
      <c r="G4" s="18" t="s">
        <v>375</v>
      </c>
      <c r="H4" s="18" t="s">
        <v>376</v>
      </c>
      <c r="I4" s="18" t="s">
        <v>377</v>
      </c>
      <c r="J4" s="18" t="s">
        <v>378</v>
      </c>
      <c r="K4" s="18" t="s">
        <v>379</v>
      </c>
    </row>
    <row r="5" customFormat="false" ht="15" hidden="false" customHeight="true" outlineLevel="0" collapsed="false">
      <c r="A5" s="62" t="s">
        <v>380</v>
      </c>
      <c r="B5" s="62" t="s">
        <v>381</v>
      </c>
      <c r="C5" s="56" t="n">
        <v>13.9998</v>
      </c>
      <c r="D5" s="63" t="n">
        <f aca="false">INDEX('تحليل التكلفة والسعر'!$C$2:$C$700,MATCH($B5,'تحليل التكلفة والسعر'!$B$2:$B$700,0))</f>
        <v>9.072162</v>
      </c>
      <c r="E5" s="63" t="n">
        <f aca="false">D5-C5</f>
        <v>-4.927638</v>
      </c>
      <c r="F5" s="64" t="n">
        <f aca="false">IF(C5=0,"",D5/C5-1)</f>
        <v>-0.351979171131016</v>
      </c>
      <c r="G5" s="56" t="n">
        <v>30</v>
      </c>
      <c r="H5" s="63" t="n">
        <f aca="false">INDEX('تحليل التكلفة والسعر'!$D$2:$D$700,MATCH($B5,'تحليل التكلفة والسعر'!$B$2:$B$700,0))</f>
        <v>40</v>
      </c>
      <c r="I5" s="64" t="n">
        <f aca="false">IF(OR(G5="",G5=0),"",C5/G5)</f>
        <v>0.46666</v>
      </c>
      <c r="J5" s="64" t="n">
        <f aca="false">IF(OR(H5="",H5=0),"",D5/H5)</f>
        <v>0.22680405</v>
      </c>
      <c r="K5" s="64" t="n">
        <f aca="false">IF(OR(I5="",J5=""),"",J5-I5)</f>
        <v>-0.23985595</v>
      </c>
    </row>
    <row r="6" customFormat="false" ht="15" hidden="false" customHeight="true" outlineLevel="0" collapsed="false">
      <c r="A6" s="62" t="s">
        <v>380</v>
      </c>
      <c r="B6" s="62" t="s">
        <v>382</v>
      </c>
      <c r="C6" s="56" t="n">
        <v>20.9997</v>
      </c>
      <c r="D6" s="63" t="n">
        <f aca="false">INDEX('تحليل التكلفة والسعر'!$C$2:$C$700,MATCH($B6,'تحليل التكلفة والسعر'!$B$2:$B$700,0))</f>
        <v>13.608243</v>
      </c>
      <c r="E6" s="63" t="n">
        <f aca="false">D6-C6</f>
        <v>-7.391457</v>
      </c>
      <c r="F6" s="64" t="n">
        <f aca="false">IF(C6=0,"",D6/C6-1)</f>
        <v>-0.351979171131016</v>
      </c>
      <c r="G6" s="56" t="n">
        <v>45</v>
      </c>
      <c r="H6" s="63" t="n">
        <f aca="false">INDEX('تحليل التكلفة والسعر'!$D$2:$D$700,MATCH($B6,'تحليل التكلفة والسعر'!$B$2:$B$700,0))</f>
        <v>55</v>
      </c>
      <c r="I6" s="64" t="n">
        <f aca="false">IF(OR(G6="",G6=0),"",C6/G6)</f>
        <v>0.46666</v>
      </c>
      <c r="J6" s="64" t="n">
        <f aca="false">IF(OR(H6="",H6=0),"",D6/H6)</f>
        <v>0.2474226</v>
      </c>
      <c r="K6" s="64" t="n">
        <f aca="false">IF(OR(I6="",J6=""),"",J6-I6)</f>
        <v>-0.2192374</v>
      </c>
    </row>
    <row r="7" customFormat="false" ht="15" hidden="false" customHeight="true" outlineLevel="0" collapsed="false">
      <c r="A7" s="62" t="s">
        <v>380</v>
      </c>
      <c r="B7" s="62" t="s">
        <v>383</v>
      </c>
      <c r="C7" s="56" t="n">
        <v>13.9998</v>
      </c>
      <c r="D7" s="63" t="n">
        <f aca="false">INDEX('تحليل التكلفة والسعر'!$C$2:$C$700,MATCH($B7,'تحليل التكلفة والسعر'!$B$2:$B$700,0))</f>
        <v>9.072162</v>
      </c>
      <c r="E7" s="63" t="n">
        <f aca="false">D7-C7</f>
        <v>-4.927638</v>
      </c>
      <c r="F7" s="64" t="n">
        <f aca="false">IF(C7=0,"",D7/C7-1)</f>
        <v>-0.351979171131016</v>
      </c>
      <c r="G7" s="56" t="n">
        <v>30</v>
      </c>
      <c r="H7" s="63" t="n">
        <f aca="false">INDEX('تحليل التكلفة والسعر'!$D$2:$D$700,MATCH($B7,'تحليل التكلفة والسعر'!$B$2:$B$700,0))</f>
        <v>40</v>
      </c>
      <c r="I7" s="64" t="n">
        <f aca="false">IF(OR(G7="",G7=0),"",C7/G7)</f>
        <v>0.46666</v>
      </c>
      <c r="J7" s="64" t="n">
        <f aca="false">IF(OR(H7="",H7=0),"",D7/H7)</f>
        <v>0.22680405</v>
      </c>
      <c r="K7" s="64" t="n">
        <f aca="false">IF(OR(I7="",J7=""),"",J7-I7)</f>
        <v>-0.23985595</v>
      </c>
    </row>
    <row r="8" customFormat="false" ht="15" hidden="false" customHeight="true" outlineLevel="0" collapsed="false">
      <c r="A8" s="62" t="s">
        <v>380</v>
      </c>
      <c r="B8" s="62" t="s">
        <v>384</v>
      </c>
      <c r="C8" s="56" t="n">
        <v>20.9997</v>
      </c>
      <c r="D8" s="63" t="n">
        <f aca="false">INDEX('تحليل التكلفة والسعر'!$C$2:$C$700,MATCH($B8,'تحليل التكلفة والسعر'!$B$2:$B$700,0))</f>
        <v>13.608243</v>
      </c>
      <c r="E8" s="63" t="n">
        <f aca="false">D8-C8</f>
        <v>-7.391457</v>
      </c>
      <c r="F8" s="64" t="n">
        <f aca="false">IF(C8=0,"",D8/C8-1)</f>
        <v>-0.351979171131016</v>
      </c>
      <c r="G8" s="56" t="n">
        <v>45</v>
      </c>
      <c r="H8" s="63" t="n">
        <f aca="false">INDEX('تحليل التكلفة والسعر'!$D$2:$D$700,MATCH($B8,'تحليل التكلفة والسعر'!$B$2:$B$700,0))</f>
        <v>55</v>
      </c>
      <c r="I8" s="64" t="n">
        <f aca="false">IF(OR(G8="",G8=0),"",C8/G8)</f>
        <v>0.46666</v>
      </c>
      <c r="J8" s="64" t="n">
        <f aca="false">IF(OR(H8="",H8=0),"",D8/H8)</f>
        <v>0.2474226</v>
      </c>
      <c r="K8" s="64" t="n">
        <f aca="false">IF(OR(I8="",J8=""),"",J8-I8)</f>
        <v>-0.2192374</v>
      </c>
    </row>
    <row r="9" customFormat="false" ht="15" hidden="false" customHeight="true" outlineLevel="0" collapsed="false">
      <c r="A9" s="62" t="s">
        <v>380</v>
      </c>
      <c r="B9" s="62" t="s">
        <v>385</v>
      </c>
      <c r="C9" s="56" t="n">
        <v>44</v>
      </c>
      <c r="D9" s="63" t="n">
        <f aca="false">INDEX('تحليل التكلفة والسعر'!$C$2:$C$700,MATCH($B9,'تحليل التكلفة والسعر'!$B$2:$B$700,0))</f>
        <v>29</v>
      </c>
      <c r="E9" s="63" t="n">
        <f aca="false">D9-C9</f>
        <v>-15</v>
      </c>
      <c r="F9" s="64" t="n">
        <f aca="false">IF(C9=0,"",D9/C9-1)</f>
        <v>-0.340909090909091</v>
      </c>
      <c r="G9" s="56" t="n">
        <v>120</v>
      </c>
      <c r="H9" s="63" t="n">
        <f aca="false">INDEX('تحليل التكلفة والسعر'!$D$2:$D$700,MATCH($B9,'تحليل التكلفة والسعر'!$B$2:$B$700,0))</f>
        <v>130</v>
      </c>
      <c r="I9" s="64" t="n">
        <f aca="false">IF(OR(G9="",G9=0),"",C9/G9)</f>
        <v>0.366666666666667</v>
      </c>
      <c r="J9" s="64" t="n">
        <f aca="false">IF(OR(H9="",H9=0),"",D9/H9)</f>
        <v>0.223076923076923</v>
      </c>
      <c r="K9" s="64" t="n">
        <f aca="false">IF(OR(I9="",J9=""),"",J9-I9)</f>
        <v>-0.143589743589744</v>
      </c>
    </row>
    <row r="10" customFormat="false" ht="15" hidden="false" customHeight="true" outlineLevel="0" collapsed="false">
      <c r="A10" s="62" t="s">
        <v>380</v>
      </c>
      <c r="B10" s="62" t="s">
        <v>386</v>
      </c>
      <c r="C10" s="56" t="n">
        <v>11</v>
      </c>
      <c r="D10" s="63" t="n">
        <f aca="false">INDEX('تحليل التكلفة والسعر'!$C$2:$C$700,MATCH($B10,'تحليل التكلفة والسعر'!$B$2:$B$700,0))</f>
        <v>12.76582</v>
      </c>
      <c r="E10" s="63" t="n">
        <f aca="false">D10-C10</f>
        <v>1.76582</v>
      </c>
      <c r="F10" s="64" t="n">
        <f aca="false">IF(C10=0,"",D10/C10-1)</f>
        <v>0.160529090909091</v>
      </c>
      <c r="G10" s="56" t="n">
        <v>40</v>
      </c>
      <c r="H10" s="63" t="n">
        <f aca="false">INDEX('تحليل التكلفة والسعر'!$D$2:$D$700,MATCH($B10,'تحليل التكلفة والسعر'!$B$2:$B$700,0))</f>
        <v>50</v>
      </c>
      <c r="I10" s="64" t="n">
        <f aca="false">IF(OR(G10="",G10=0),"",C10/G10)</f>
        <v>0.275</v>
      </c>
      <c r="J10" s="64" t="n">
        <f aca="false">IF(OR(H10="",H10=0),"",D10/H10)</f>
        <v>0.2553164</v>
      </c>
      <c r="K10" s="64" t="n">
        <f aca="false">IF(OR(I10="",J10=""),"",J10-I10)</f>
        <v>-0.0196836</v>
      </c>
    </row>
    <row r="11" customFormat="false" ht="15" hidden="false" customHeight="true" outlineLevel="0" collapsed="false">
      <c r="A11" s="62" t="s">
        <v>17</v>
      </c>
      <c r="B11" s="62" t="s">
        <v>387</v>
      </c>
      <c r="C11" s="56" t="n">
        <v>81.16345</v>
      </c>
      <c r="D11" s="63" t="n">
        <f aca="false">INDEX('تحليل التكلفة والسعر'!$C$2:$C$700,MATCH($B11,'تحليل التكلفة والسعر'!$B$2:$B$700,0))</f>
        <v>68.311905</v>
      </c>
      <c r="E11" s="63" t="n">
        <f aca="false">D11-C11</f>
        <v>-12.851545</v>
      </c>
      <c r="F11" s="64" t="n">
        <f aca="false">IF(C11=0,"",D11/C11-1)</f>
        <v>-0.158341531810193</v>
      </c>
      <c r="G11" s="56" t="n">
        <v>160</v>
      </c>
      <c r="H11" s="63" t="n">
        <f aca="false">INDEX('تحليل التكلفة والسعر'!$D$2:$D$700,MATCH($B11,'تحليل التكلفة والسعر'!$B$2:$B$700,0))</f>
        <v>170</v>
      </c>
      <c r="I11" s="64" t="n">
        <f aca="false">IF(OR(G11="",G11=0),"",C11/G11)</f>
        <v>0.5072715625</v>
      </c>
      <c r="J11" s="64" t="n">
        <f aca="false">IF(OR(H11="",H11=0),"",D11/H11)</f>
        <v>0.401834735294118</v>
      </c>
      <c r="K11" s="64" t="n">
        <f aca="false">IF(OR(I11="",J11=""),"",J11-I11)</f>
        <v>-0.105436827205882</v>
      </c>
    </row>
    <row r="12" customFormat="false" ht="15" hidden="false" customHeight="true" outlineLevel="0" collapsed="false">
      <c r="A12" s="62" t="s">
        <v>9</v>
      </c>
      <c r="B12" s="62" t="s">
        <v>388</v>
      </c>
      <c r="C12" s="56" t="n">
        <v>117.16985</v>
      </c>
      <c r="D12" s="63" t="n">
        <f aca="false">INDEX('تحليل التكلفة والسعر'!$C$2:$C$700,MATCH($B12,'تحليل التكلفة والسعر'!$B$2:$B$700,0))</f>
        <v>100.6187</v>
      </c>
      <c r="E12" s="63" t="n">
        <f aca="false">D12-C12</f>
        <v>-16.55115</v>
      </c>
      <c r="F12" s="64" t="n">
        <f aca="false">IF(C12=0,"",D12/C12-1)</f>
        <v>-0.141257755301385</v>
      </c>
      <c r="G12" s="56" t="n">
        <v>220</v>
      </c>
      <c r="H12" s="63" t="n">
        <f aca="false">INDEX('تحليل التكلفة والسعر'!$D$2:$D$700,MATCH($B12,'تحليل التكلفة والسعر'!$B$2:$B$700,0))</f>
        <v>230</v>
      </c>
      <c r="I12" s="64" t="n">
        <f aca="false">IF(OR(G12="",G12=0),"",C12/G12)</f>
        <v>0.532590227272727</v>
      </c>
      <c r="J12" s="64" t="n">
        <f aca="false">IF(OR(H12="",H12=0),"",D12/H12)</f>
        <v>0.437472608695652</v>
      </c>
      <c r="K12" s="64" t="n">
        <f aca="false">IF(OR(I12="",J12=""),"",J12-I12)</f>
        <v>-0.0951176185770751</v>
      </c>
    </row>
    <row r="13" customFormat="false" ht="15" hidden="false" customHeight="true" outlineLevel="0" collapsed="false">
      <c r="A13" s="62" t="s">
        <v>17</v>
      </c>
      <c r="B13" s="62" t="s">
        <v>389</v>
      </c>
      <c r="C13" s="56" t="n">
        <v>56.7633</v>
      </c>
      <c r="D13" s="63" t="n">
        <f aca="false">INDEX('تحليل التكلفة والسعر'!$C$2:$C$700,MATCH($B13,'تحليل التكلفة والسعر'!$B$2:$B$700,0))</f>
        <v>48.41677</v>
      </c>
      <c r="E13" s="63" t="n">
        <f aca="false">D13-C13</f>
        <v>-8.34653</v>
      </c>
      <c r="F13" s="64" t="n">
        <f aca="false">IF(C13=0,"",D13/C13-1)</f>
        <v>-0.14704095780196</v>
      </c>
      <c r="G13" s="56" t="n">
        <v>105</v>
      </c>
      <c r="H13" s="63" t="n">
        <f aca="false">INDEX('تحليل التكلفة والسعر'!$D$2:$D$700,MATCH($B13,'تحليل التكلفة والسعر'!$B$2:$B$700,0))</f>
        <v>115</v>
      </c>
      <c r="I13" s="64" t="n">
        <f aca="false">IF(OR(G13="",G13=0),"",C13/G13)</f>
        <v>0.540602857142857</v>
      </c>
      <c r="J13" s="64" t="n">
        <f aca="false">IF(OR(H13="",H13=0),"",D13/H13)</f>
        <v>0.421015391304348</v>
      </c>
      <c r="K13" s="64" t="n">
        <f aca="false">IF(OR(I13="",J13=""),"",J13-I13)</f>
        <v>-0.119587465838509</v>
      </c>
    </row>
    <row r="14" customFormat="false" ht="15" hidden="false" customHeight="true" outlineLevel="0" collapsed="false">
      <c r="A14" s="62" t="s">
        <v>16</v>
      </c>
      <c r="B14" s="62" t="s">
        <v>390</v>
      </c>
      <c r="C14" s="56" t="n">
        <v>82.84165</v>
      </c>
      <c r="D14" s="63" t="n">
        <f aca="false">INDEX('تحليل التكلفة والسعر'!$C$2:$C$700,MATCH($B14,'تحليل التكلفة والسعر'!$B$2:$B$700,0))</f>
        <v>70.831905</v>
      </c>
      <c r="E14" s="63" t="n">
        <f aca="false">D14-C14</f>
        <v>-12.009745</v>
      </c>
      <c r="F14" s="64" t="n">
        <f aca="false">IF(C14=0,"",D14/C14-1)</f>
        <v>-0.144972305597486</v>
      </c>
      <c r="G14" s="56" t="n">
        <v>160</v>
      </c>
      <c r="H14" s="63" t="n">
        <f aca="false">INDEX('تحليل التكلفة والسعر'!$D$2:$D$700,MATCH($B14,'تحليل التكلفة والسعر'!$B$2:$B$700,0))</f>
        <v>170</v>
      </c>
      <c r="I14" s="64" t="n">
        <f aca="false">IF(OR(G14="",G14=0),"",C14/G14)</f>
        <v>0.5177603125</v>
      </c>
      <c r="J14" s="64" t="n">
        <f aca="false">IF(OR(H14="",H14=0),"",D14/H14)</f>
        <v>0.416658264705882</v>
      </c>
      <c r="K14" s="64" t="n">
        <f aca="false">IF(OR(I14="",J14=""),"",J14-I14)</f>
        <v>-0.101102047794118</v>
      </c>
    </row>
    <row r="15" customFormat="false" ht="15" hidden="false" customHeight="true" outlineLevel="0" collapsed="false">
      <c r="A15" s="62" t="s">
        <v>391</v>
      </c>
      <c r="B15" s="62" t="s">
        <v>204</v>
      </c>
      <c r="C15" s="56" t="n">
        <v>35</v>
      </c>
      <c r="D15" s="63" t="n">
        <f aca="false">INDEX('تحليل التكلفة والسعر'!$C$2:$C$700,MATCH($B15,'تحليل التكلفة والسعر'!$B$2:$B$700,0))</f>
        <v>30</v>
      </c>
      <c r="E15" s="63" t="n">
        <f aca="false">D15-C15</f>
        <v>-5</v>
      </c>
      <c r="F15" s="64" t="n">
        <f aca="false">IF(C15=0,"",D15/C15-1)</f>
        <v>-0.142857142857143</v>
      </c>
      <c r="G15" s="56" t="n">
        <v>35</v>
      </c>
      <c r="H15" s="63" t="n">
        <f aca="false">INDEX('تحليل التكلفة والسعر'!$D$2:$D$700,MATCH($B15,'تحليل التكلفة والسعر'!$B$2:$B$700,0))</f>
        <v>35</v>
      </c>
      <c r="I15" s="64" t="n">
        <f aca="false">IF(OR(G15="",G15=0),"",C15/G15)</f>
        <v>1</v>
      </c>
      <c r="J15" s="64" t="n">
        <f aca="false">IF(OR(H15="",H15=0),"",D15/H15)</f>
        <v>0.857142857142857</v>
      </c>
      <c r="K15" s="64" t="n">
        <f aca="false">IF(OR(I15="",J15=""),"",J15-I15)</f>
        <v>-0.142857142857143</v>
      </c>
    </row>
    <row r="16" customFormat="false" ht="15" hidden="false" customHeight="true" outlineLevel="0" collapsed="false">
      <c r="A16" s="62" t="s">
        <v>10</v>
      </c>
      <c r="B16" s="62" t="s">
        <v>392</v>
      </c>
      <c r="C16" s="56" t="n">
        <v>111.49165</v>
      </c>
      <c r="D16" s="63" t="n">
        <f aca="false">INDEX('تحليل التكلفة والسعر'!$C$2:$C$700,MATCH($B16,'تحليل التكلفة والسعر'!$B$2:$B$700,0))</f>
        <v>95.9592</v>
      </c>
      <c r="E16" s="63" t="n">
        <f aca="false">D16-C16</f>
        <v>-15.53245</v>
      </c>
      <c r="F16" s="64" t="n">
        <f aca="false">IF(C16=0,"",D16/C16-1)</f>
        <v>-0.139314917305466</v>
      </c>
      <c r="G16" s="56" t="n">
        <v>220</v>
      </c>
      <c r="H16" s="63" t="n">
        <f aca="false">INDEX('تحليل التكلفة والسعر'!$D$2:$D$700,MATCH($B16,'تحليل التكلفة والسعر'!$B$2:$B$700,0))</f>
        <v>230</v>
      </c>
      <c r="I16" s="64" t="n">
        <f aca="false">IF(OR(G16="",G16=0),"",C16/G16)</f>
        <v>0.506780227272727</v>
      </c>
      <c r="J16" s="64" t="n">
        <f aca="false">IF(OR(H16="",H16=0),"",D16/H16)</f>
        <v>0.417213913043478</v>
      </c>
      <c r="K16" s="64" t="n">
        <f aca="false">IF(OR(I16="",J16=""),"",J16-I16)</f>
        <v>-0.089566314229249</v>
      </c>
    </row>
    <row r="17" customFormat="false" ht="15" hidden="false" customHeight="true" outlineLevel="0" collapsed="false">
      <c r="A17" s="62" t="s">
        <v>380</v>
      </c>
      <c r="B17" s="62" t="s">
        <v>393</v>
      </c>
      <c r="C17" s="56" t="n">
        <v>22</v>
      </c>
      <c r="D17" s="63" t="n">
        <f aca="false">INDEX('تحليل التكلفة والسعر'!$C$2:$C$700,MATCH($B17,'تحليل التكلفة والسعر'!$B$2:$B$700,0))</f>
        <v>25</v>
      </c>
      <c r="E17" s="63" t="n">
        <f aca="false">D17-C17</f>
        <v>3</v>
      </c>
      <c r="F17" s="64" t="n">
        <f aca="false">IF(C17=0,"",D17/C17-1)</f>
        <v>0.136363636363636</v>
      </c>
      <c r="G17" s="56" t="n">
        <v>50</v>
      </c>
      <c r="H17" s="63" t="n">
        <f aca="false">INDEX('تحليل التكلفة والسعر'!$D$2:$D$700,MATCH($B17,'تحليل التكلفة والسعر'!$B$2:$B$700,0))</f>
        <v>60</v>
      </c>
      <c r="I17" s="64" t="n">
        <f aca="false">IF(OR(G17="",G17=0),"",C17/G17)</f>
        <v>0.44</v>
      </c>
      <c r="J17" s="64" t="n">
        <f aca="false">IF(OR(H17="",H17=0),"",D17/H17)</f>
        <v>0.416666666666667</v>
      </c>
      <c r="K17" s="64" t="n">
        <f aca="false">IF(OR(I17="",J17=""),"",J17-I17)</f>
        <v>-0.0233333333333333</v>
      </c>
    </row>
    <row r="18" customFormat="false" ht="15" hidden="false" customHeight="true" outlineLevel="0" collapsed="false">
      <c r="A18" s="62" t="s">
        <v>9</v>
      </c>
      <c r="B18" s="62" t="s">
        <v>394</v>
      </c>
      <c r="C18" s="56" t="n">
        <v>121.66985</v>
      </c>
      <c r="D18" s="63" t="n">
        <f aca="false">INDEX('تحليل التكلفة والسعر'!$C$2:$C$700,MATCH($B18,'تحليل التكلفة والسعر'!$B$2:$B$700,0))</f>
        <v>105.8687</v>
      </c>
      <c r="E18" s="63" t="n">
        <f aca="false">D18-C18</f>
        <v>-15.80115</v>
      </c>
      <c r="F18" s="64" t="n">
        <f aca="false">IF(C18=0,"",D18/C18-1)</f>
        <v>-0.129869067809322</v>
      </c>
      <c r="G18" s="56" t="n">
        <v>220</v>
      </c>
      <c r="H18" s="63" t="n">
        <f aca="false">INDEX('تحليل التكلفة والسعر'!$D$2:$D$700,MATCH($B18,'تحليل التكلفة والسعر'!$B$2:$B$700,0))</f>
        <v>230</v>
      </c>
      <c r="I18" s="64" t="n">
        <f aca="false">IF(OR(G18="",G18=0),"",C18/G18)</f>
        <v>0.553044772727273</v>
      </c>
      <c r="J18" s="64" t="n">
        <f aca="false">IF(OR(H18="",H18=0),"",D18/H18)</f>
        <v>0.460298695652174</v>
      </c>
      <c r="K18" s="64" t="n">
        <f aca="false">IF(OR(I18="",J18=""),"",J18-I18)</f>
        <v>-0.0927460770750988</v>
      </c>
    </row>
    <row r="19" customFormat="false" ht="15" hidden="false" customHeight="true" outlineLevel="0" collapsed="false">
      <c r="A19" s="62" t="s">
        <v>16</v>
      </c>
      <c r="B19" s="62" t="s">
        <v>395</v>
      </c>
      <c r="C19" s="56" t="n">
        <v>58.2621</v>
      </c>
      <c r="D19" s="63" t="n">
        <f aca="false">INDEX('تحليل التكلفة والسعر'!$C$2:$C$700,MATCH($B19,'تحليل التكلفة والسعر'!$B$2:$B$700,0))</f>
        <v>50.53677</v>
      </c>
      <c r="E19" s="63" t="n">
        <f aca="false">D19-C19</f>
        <v>-7.72533</v>
      </c>
      <c r="F19" s="64" t="n">
        <f aca="false">IF(C19=0,"",D19/C19-1)</f>
        <v>-0.132596147409723</v>
      </c>
      <c r="G19" s="56" t="n">
        <v>105</v>
      </c>
      <c r="H19" s="63" t="n">
        <f aca="false">INDEX('تحليل التكلفة والسعر'!$D$2:$D$700,MATCH($B19,'تحليل التكلفة والسعر'!$B$2:$B$700,0))</f>
        <v>115</v>
      </c>
      <c r="I19" s="64" t="n">
        <f aca="false">IF(OR(G19="",G19=0),"",C19/G19)</f>
        <v>0.554877142857143</v>
      </c>
      <c r="J19" s="64" t="n">
        <f aca="false">IF(OR(H19="",H19=0),"",D19/H19)</f>
        <v>0.439450173913044</v>
      </c>
      <c r="K19" s="64" t="n">
        <f aca="false">IF(OR(I19="",J19=""),"",J19-I19)</f>
        <v>-0.115426968944099</v>
      </c>
    </row>
    <row r="20" customFormat="false" ht="15" hidden="false" customHeight="true" outlineLevel="0" collapsed="false">
      <c r="A20" s="62" t="s">
        <v>12</v>
      </c>
      <c r="B20" s="62" t="s">
        <v>396</v>
      </c>
      <c r="C20" s="56" t="n">
        <v>207.540825</v>
      </c>
      <c r="D20" s="63" t="n">
        <f aca="false">INDEX('تحليل التكلفة والسعر'!$C$2:$C$700,MATCH($B20,'تحليل التكلفة والسعر'!$B$2:$B$700,0))</f>
        <v>180.20475</v>
      </c>
      <c r="E20" s="63" t="n">
        <f aca="false">D20-C20</f>
        <v>-27.336075</v>
      </c>
      <c r="F20" s="64" t="n">
        <f aca="false">IF(C20=0,"",D20/C20-1)</f>
        <v>-0.131714206108606</v>
      </c>
      <c r="G20" s="56" t="n">
        <v>320</v>
      </c>
      <c r="H20" s="63" t="n">
        <f aca="false">INDEX('تحليل التكلفة والسعر'!$D$2:$D$700,MATCH($B20,'تحليل التكلفة والسعر'!$B$2:$B$700,0))</f>
        <v>330</v>
      </c>
      <c r="I20" s="64" t="n">
        <f aca="false">IF(OR(G20="",G20=0),"",C20/G20)</f>
        <v>0.648565078125</v>
      </c>
      <c r="J20" s="64" t="n">
        <f aca="false">IF(OR(H20="",H20=0),"",D20/H20)</f>
        <v>0.546075</v>
      </c>
      <c r="K20" s="64" t="n">
        <f aca="false">IF(OR(I20="",J20=""),"",J20-I20)</f>
        <v>-0.102490078125</v>
      </c>
    </row>
    <row r="21" customFormat="false" ht="15" hidden="false" customHeight="true" outlineLevel="0" collapsed="false">
      <c r="A21" s="62" t="s">
        <v>10</v>
      </c>
      <c r="B21" s="62" t="s">
        <v>397</v>
      </c>
      <c r="C21" s="56" t="n">
        <v>115.99165</v>
      </c>
      <c r="D21" s="63" t="n">
        <f aca="false">INDEX('تحليل التكلفة والسعر'!$C$2:$C$700,MATCH($B21,'تحليل التكلفة والسعر'!$B$2:$B$700,0))</f>
        <v>101.2092</v>
      </c>
      <c r="E21" s="63" t="n">
        <f aca="false">D21-C21</f>
        <v>-14.78245</v>
      </c>
      <c r="F21" s="64" t="n">
        <f aca="false">IF(C21=0,"",D21/C21-1)</f>
        <v>-0.127444087570097</v>
      </c>
      <c r="G21" s="56" t="n">
        <v>220</v>
      </c>
      <c r="H21" s="63" t="n">
        <f aca="false">INDEX('تحليل التكلفة والسعر'!$D$2:$D$700,MATCH($B21,'تحليل التكلفة والسعر'!$B$2:$B$700,0))</f>
        <v>230</v>
      </c>
      <c r="I21" s="64" t="n">
        <f aca="false">IF(OR(G21="",G21=0),"",C21/G21)</f>
        <v>0.527234772727273</v>
      </c>
      <c r="J21" s="64" t="n">
        <f aca="false">IF(OR(H21="",H21=0),"",D21/H21)</f>
        <v>0.44004</v>
      </c>
      <c r="K21" s="64" t="n">
        <f aca="false">IF(OR(I21="",J21=""),"",J21-I21)</f>
        <v>-0.0871947727272727</v>
      </c>
    </row>
    <row r="22" customFormat="false" ht="15" hidden="false" customHeight="true" outlineLevel="0" collapsed="false">
      <c r="A22" s="62" t="s">
        <v>20</v>
      </c>
      <c r="B22" s="62" t="s">
        <v>398</v>
      </c>
      <c r="C22" s="56" t="n">
        <v>50.6198</v>
      </c>
      <c r="D22" s="63" t="n">
        <f aca="false">INDEX('تحليل التكلفة والسعر'!$C$2:$C$700,MATCH($B22,'تحليل التكلفة والسعر'!$B$2:$B$700,0))</f>
        <v>45.602162</v>
      </c>
      <c r="E22" s="63" t="n">
        <f aca="false">D22-C22</f>
        <v>-5.017638</v>
      </c>
      <c r="F22" s="64" t="n">
        <f aca="false">IF(C22=0,"",D22/C22-1)</f>
        <v>-0.0991240186646332</v>
      </c>
      <c r="G22" s="56" t="n">
        <v>120</v>
      </c>
      <c r="H22" s="63" t="n">
        <f aca="false">INDEX('تحليل التكلفة والسعر'!$D$2:$D$700,MATCH($B22,'تحليل التكلفة والسعر'!$B$2:$B$700,0))</f>
        <v>130</v>
      </c>
      <c r="I22" s="64" t="n">
        <f aca="false">IF(OR(G22="",G22=0),"",C22/G22)</f>
        <v>0.421831666666667</v>
      </c>
      <c r="J22" s="64" t="n">
        <f aca="false">IF(OR(H22="",H22=0),"",D22/H22)</f>
        <v>0.350785861538462</v>
      </c>
      <c r="K22" s="64" t="n">
        <f aca="false">IF(OR(I22="",J22=""),"",J22-I22)</f>
        <v>-0.0710458051282051</v>
      </c>
    </row>
    <row r="23" customFormat="false" ht="15" hidden="false" customHeight="true" outlineLevel="0" collapsed="false">
      <c r="A23" s="62" t="s">
        <v>18</v>
      </c>
      <c r="B23" s="62" t="s">
        <v>399</v>
      </c>
      <c r="C23" s="56" t="n">
        <v>39.045</v>
      </c>
      <c r="D23" s="63" t="n">
        <f aca="false">INDEX('تحليل التكلفة والسعر'!$C$2:$C$700,MATCH($B23,'تحليل التكلفة والسعر'!$B$2:$B$700,0))</f>
        <v>42.370312</v>
      </c>
      <c r="E23" s="63" t="n">
        <f aca="false">D23-C23</f>
        <v>3.325312</v>
      </c>
      <c r="F23" s="64" t="n">
        <f aca="false">IF(C23=0,"",D23/C23-1)</f>
        <v>0.0851661416314509</v>
      </c>
      <c r="G23" s="56" t="n">
        <v>90</v>
      </c>
      <c r="H23" s="63" t="n">
        <f aca="false">INDEX('تحليل التكلفة والسعر'!$D$2:$D$700,MATCH($B23,'تحليل التكلفة والسعر'!$B$2:$B$700,0))</f>
        <v>100</v>
      </c>
      <c r="I23" s="64" t="n">
        <f aca="false">IF(OR(G23="",G23=0),"",C23/G23)</f>
        <v>0.433833333333333</v>
      </c>
      <c r="J23" s="64" t="n">
        <f aca="false">IF(OR(H23="",H23=0),"",D23/H23)</f>
        <v>0.42370312</v>
      </c>
      <c r="K23" s="64" t="n">
        <f aca="false">IF(OR(I23="",J23=""),"",J23-I23)</f>
        <v>-0.0101302133333334</v>
      </c>
    </row>
    <row r="24" customFormat="false" ht="15" hidden="false" customHeight="true" outlineLevel="0" collapsed="false">
      <c r="A24" s="62" t="s">
        <v>380</v>
      </c>
      <c r="B24" s="62" t="s">
        <v>400</v>
      </c>
      <c r="C24" s="56" t="n">
        <v>43</v>
      </c>
      <c r="D24" s="63" t="n">
        <f aca="false">INDEX('تحليل التكلفة والسعر'!$C$2:$C$700,MATCH($B24,'تحليل التكلفة والسعر'!$B$2:$B$700,0))</f>
        <v>46.6667</v>
      </c>
      <c r="E24" s="63" t="n">
        <f aca="false">D24-C24</f>
        <v>3.6667</v>
      </c>
      <c r="F24" s="64" t="n">
        <f aca="false">IF(C24=0,"",D24/C24-1)</f>
        <v>0.0852720930232558</v>
      </c>
      <c r="G24" s="56" t="n">
        <v>90</v>
      </c>
      <c r="H24" s="63" t="n">
        <f aca="false">INDEX('تحليل التكلفة والسعر'!$D$2:$D$700,MATCH($B24,'تحليل التكلفة والسعر'!$B$2:$B$700,0))</f>
        <v>100</v>
      </c>
      <c r="I24" s="64" t="n">
        <f aca="false">IF(OR(G24="",G24=0),"",C24/G24)</f>
        <v>0.477777777777778</v>
      </c>
      <c r="J24" s="64" t="n">
        <f aca="false">IF(OR(H24="",H24=0),"",D24/H24)</f>
        <v>0.466667</v>
      </c>
      <c r="K24" s="64" t="n">
        <f aca="false">IF(OR(I24="",J24=""),"",J24-I24)</f>
        <v>-0.0111107777777778</v>
      </c>
    </row>
    <row r="25" customFormat="false" ht="15" hidden="false" customHeight="true" outlineLevel="0" collapsed="false">
      <c r="A25" s="62" t="s">
        <v>11</v>
      </c>
      <c r="B25" s="62" t="s">
        <v>401</v>
      </c>
      <c r="C25" s="56" t="n">
        <v>40.245</v>
      </c>
      <c r="D25" s="63" t="n">
        <f aca="false">INDEX('تحليل التكلفة والسعر'!$C$2:$C$700,MATCH($B25,'تحليل التكلفة والسعر'!$B$2:$B$700,0))</f>
        <v>43.610314</v>
      </c>
      <c r="E25" s="63" t="n">
        <f aca="false">D25-C25</f>
        <v>3.365314</v>
      </c>
      <c r="F25" s="64" t="n">
        <f aca="false">IF(C25=0,"",D25/C25-1)</f>
        <v>0.0836206733755747</v>
      </c>
      <c r="G25" s="56" t="n">
        <v>90</v>
      </c>
      <c r="H25" s="63" t="n">
        <f aca="false">INDEX('تحليل التكلفة والسعر'!$D$2:$D$700,MATCH($B25,'تحليل التكلفة والسعر'!$B$2:$B$700,0))</f>
        <v>100</v>
      </c>
      <c r="I25" s="64" t="n">
        <f aca="false">IF(OR(G25="",G25=0),"",C25/G25)</f>
        <v>0.447166666666667</v>
      </c>
      <c r="J25" s="64" t="n">
        <f aca="false">IF(OR(H25="",H25=0),"",D25/H25)</f>
        <v>0.43610314</v>
      </c>
      <c r="K25" s="64" t="n">
        <f aca="false">IF(OR(I25="",J25=""),"",J25-I25)</f>
        <v>-0.0110635266666667</v>
      </c>
    </row>
    <row r="26" customFormat="false" ht="15" hidden="false" customHeight="true" outlineLevel="0" collapsed="false">
      <c r="A26" s="62" t="s">
        <v>380</v>
      </c>
      <c r="B26" s="62" t="s">
        <v>402</v>
      </c>
      <c r="C26" s="56" t="n">
        <v>29</v>
      </c>
      <c r="D26" s="63" t="n">
        <f aca="false">INDEX('تحليل التكلفة والسعر'!$C$2:$C$700,MATCH($B26,'تحليل التكلفة والسعر'!$B$2:$B$700,0))</f>
        <v>27.1395</v>
      </c>
      <c r="E26" s="63" t="n">
        <f aca="false">D26-C26</f>
        <v>-1.8605</v>
      </c>
      <c r="F26" s="64" t="n">
        <f aca="false">IF(C26=0,"",D26/C26-1)</f>
        <v>-0.0641551724137931</v>
      </c>
      <c r="G26" s="56" t="n">
        <v>60</v>
      </c>
      <c r="H26" s="63" t="n">
        <f aca="false">INDEX('تحليل التكلفة والسعر'!$D$2:$D$700,MATCH($B26,'تحليل التكلفة والسعر'!$B$2:$B$700,0))</f>
        <v>70</v>
      </c>
      <c r="I26" s="64" t="n">
        <f aca="false">IF(OR(G26="",G26=0),"",C26/G26)</f>
        <v>0.483333333333333</v>
      </c>
      <c r="J26" s="64" t="n">
        <f aca="false">IF(OR(H26="",H26=0),"",D26/H26)</f>
        <v>0.387707142857143</v>
      </c>
      <c r="K26" s="64" t="n">
        <f aca="false">IF(OR(I26="",J26=""),"",J26-I26)</f>
        <v>-0.0956261904761905</v>
      </c>
    </row>
    <row r="27" customFormat="false" ht="15" hidden="false" customHeight="true" outlineLevel="0" collapsed="false">
      <c r="A27" s="62" t="s">
        <v>380</v>
      </c>
      <c r="B27" s="62" t="s">
        <v>403</v>
      </c>
      <c r="C27" s="56" t="n">
        <v>29</v>
      </c>
      <c r="D27" s="63" t="n">
        <f aca="false">INDEX('تحليل التكلفة والسعر'!$C$2:$C$700,MATCH($B27,'تحليل التكلفة والسعر'!$B$2:$B$700,0))</f>
        <v>27.1395</v>
      </c>
      <c r="E27" s="63" t="n">
        <f aca="false">D27-C27</f>
        <v>-1.8605</v>
      </c>
      <c r="F27" s="64" t="n">
        <f aca="false">IF(C27=0,"",D27/C27-1)</f>
        <v>-0.0641551724137931</v>
      </c>
      <c r="G27" s="56" t="n">
        <v>45</v>
      </c>
      <c r="H27" s="63" t="n">
        <f aca="false">INDEX('تحليل التكلفة والسعر'!$D$2:$D$700,MATCH($B27,'تحليل التكلفة والسعر'!$B$2:$B$700,0))</f>
        <v>55</v>
      </c>
      <c r="I27" s="64" t="n">
        <f aca="false">IF(OR(G27="",G27=0),"",C27/G27)</f>
        <v>0.644444444444445</v>
      </c>
      <c r="J27" s="64" t="n">
        <f aca="false">IF(OR(H27="",H27=0),"",D27/H27)</f>
        <v>0.493445454545455</v>
      </c>
      <c r="K27" s="64" t="n">
        <f aca="false">IF(OR(I27="",J27=""),"",J27-I27)</f>
        <v>-0.15099898989899</v>
      </c>
    </row>
    <row r="28" customFormat="false" ht="15" hidden="false" customHeight="true" outlineLevel="0" collapsed="false">
      <c r="A28" s="62" t="s">
        <v>380</v>
      </c>
      <c r="B28" s="62" t="s">
        <v>404</v>
      </c>
      <c r="C28" s="56" t="n">
        <v>21.75</v>
      </c>
      <c r="D28" s="63" t="n">
        <f aca="false">INDEX('تحليل التكلفة والسعر'!$C$2:$C$700,MATCH($B28,'تحليل التكلفة والسعر'!$B$2:$B$700,0))</f>
        <v>20.354625</v>
      </c>
      <c r="E28" s="63" t="n">
        <f aca="false">D28-C28</f>
        <v>-1.395375</v>
      </c>
      <c r="F28" s="64" t="n">
        <f aca="false">IF(C28=0,"",D28/C28-1)</f>
        <v>-0.064155172413793</v>
      </c>
      <c r="G28" s="56" t="n">
        <v>56.25</v>
      </c>
      <c r="H28" s="63" t="n">
        <f aca="false">INDEX('تحليل التكلفة والسعر'!$D$2:$D$700,MATCH($B28,'تحليل التكلفة والسعر'!$B$2:$B$700,0))</f>
        <v>66.25</v>
      </c>
      <c r="I28" s="64" t="n">
        <f aca="false">IF(OR(G28="",G28=0),"",C28/G28)</f>
        <v>0.386666666666667</v>
      </c>
      <c r="J28" s="64" t="n">
        <f aca="false">IF(OR(H28="",H28=0),"",D28/H28)</f>
        <v>0.307239622641509</v>
      </c>
      <c r="K28" s="64" t="n">
        <f aca="false">IF(OR(I28="",J28=""),"",J28-I28)</f>
        <v>-0.0794270440251572</v>
      </c>
    </row>
    <row r="29" customFormat="false" ht="15" hidden="false" customHeight="true" outlineLevel="0" collapsed="false">
      <c r="A29" s="62" t="s">
        <v>19</v>
      </c>
      <c r="B29" s="62" t="s">
        <v>405</v>
      </c>
      <c r="C29" s="56" t="n">
        <v>62.5464</v>
      </c>
      <c r="D29" s="63" t="n">
        <f aca="false">INDEX('تحليل التكلفة والسعر'!$C$2:$C$700,MATCH($B29,'تحليل التكلفة والسعر'!$B$2:$B$700,0))</f>
        <v>66.8042</v>
      </c>
      <c r="E29" s="63" t="n">
        <f aca="false">D29-C29</f>
        <v>4.25780000000001</v>
      </c>
      <c r="F29" s="64" t="n">
        <f aca="false">IF(C29=0,"",D29/C29-1)</f>
        <v>0.0680742616681378</v>
      </c>
      <c r="G29" s="56" t="n">
        <v>150</v>
      </c>
      <c r="H29" s="63" t="n">
        <f aca="false">INDEX('تحليل التكلفة والسعر'!$D$2:$D$700,MATCH($B29,'تحليل التكلفة والسعر'!$B$2:$B$700,0))</f>
        <v>160</v>
      </c>
      <c r="I29" s="64" t="n">
        <f aca="false">IF(OR(G29="",G29=0),"",C29/G29)</f>
        <v>0.416976</v>
      </c>
      <c r="J29" s="64" t="n">
        <f aca="false">IF(OR(H29="",H29=0),"",D29/H29)</f>
        <v>0.41752625</v>
      </c>
      <c r="K29" s="64" t="n">
        <f aca="false">IF(OR(I29="",J29=""),"",J29-I29)</f>
        <v>0.00055025000000003</v>
      </c>
    </row>
    <row r="30" customFormat="false" ht="15" hidden="false" customHeight="true" outlineLevel="0" collapsed="false">
      <c r="A30" s="62" t="s">
        <v>13</v>
      </c>
      <c r="B30" s="62" t="s">
        <v>406</v>
      </c>
      <c r="C30" s="56" t="n">
        <v>93.5198</v>
      </c>
      <c r="D30" s="63" t="n">
        <f aca="false">INDEX('تحليل التكلفة والسعر'!$C$2:$C$700,MATCH($B30,'تحليل التكلفة والسعر'!$B$2:$B$700,0))</f>
        <v>87.517497</v>
      </c>
      <c r="E30" s="63" t="n">
        <f aca="false">D30-C30</f>
        <v>-6.00230300000001</v>
      </c>
      <c r="F30" s="64" t="n">
        <f aca="false">IF(C30=0,"",D30/C30-1)</f>
        <v>-0.0641821624939319</v>
      </c>
      <c r="G30" s="56" t="n">
        <v>150</v>
      </c>
      <c r="H30" s="63" t="n">
        <f aca="false">INDEX('تحليل التكلفة والسعر'!$D$2:$D$700,MATCH($B30,'تحليل التكلفة والسعر'!$B$2:$B$700,0))</f>
        <v>160</v>
      </c>
      <c r="I30" s="64" t="n">
        <f aca="false">IF(OR(G30="",G30=0),"",C30/G30)</f>
        <v>0.623465333333333</v>
      </c>
      <c r="J30" s="64" t="n">
        <f aca="false">IF(OR(H30="",H30=0),"",D30/H30)</f>
        <v>0.54698435625</v>
      </c>
      <c r="K30" s="64" t="n">
        <f aca="false">IF(OR(I30="",J30=""),"",J30-I30)</f>
        <v>-0.0764809770833334</v>
      </c>
    </row>
    <row r="31" customFormat="false" ht="15" hidden="false" customHeight="true" outlineLevel="0" collapsed="false">
      <c r="A31" s="62" t="s">
        <v>19</v>
      </c>
      <c r="B31" s="62" t="s">
        <v>407</v>
      </c>
      <c r="C31" s="56" t="n">
        <v>71.2964</v>
      </c>
      <c r="D31" s="63" t="n">
        <f aca="false">INDEX('تحليل التكلفة والسعر'!$C$2:$C$700,MATCH($B31,'تحليل التكلفة والسعر'!$B$2:$B$700,0))</f>
        <v>75.5542</v>
      </c>
      <c r="E31" s="63" t="n">
        <f aca="false">D31-C31</f>
        <v>4.2578</v>
      </c>
      <c r="F31" s="64" t="n">
        <f aca="false">IF(C31=0,"",D31/C31-1)</f>
        <v>0.0597197053427663</v>
      </c>
      <c r="G31" s="56" t="n">
        <v>160</v>
      </c>
      <c r="H31" s="63" t="n">
        <f aca="false">INDEX('تحليل التكلفة والسعر'!$D$2:$D$700,MATCH($B31,'تحليل التكلفة والسعر'!$B$2:$B$700,0))</f>
        <v>170</v>
      </c>
      <c r="I31" s="64" t="n">
        <f aca="false">IF(OR(G31="",G31=0),"",C31/G31)</f>
        <v>0.4456025</v>
      </c>
      <c r="J31" s="64" t="n">
        <f aca="false">IF(OR(H31="",H31=0),"",D31/H31)</f>
        <v>0.444436470588235</v>
      </c>
      <c r="K31" s="64" t="n">
        <f aca="false">IF(OR(I31="",J31=""),"",J31-I31)</f>
        <v>-0.00116602941176469</v>
      </c>
    </row>
    <row r="32" customFormat="false" ht="15" hidden="false" customHeight="true" outlineLevel="0" collapsed="false">
      <c r="A32" s="62" t="s">
        <v>380</v>
      </c>
      <c r="B32" s="62" t="s">
        <v>408</v>
      </c>
      <c r="C32" s="56" t="n">
        <v>31.9</v>
      </c>
      <c r="D32" s="63" t="n">
        <f aca="false">INDEX('تحليل التكلفة والسعر'!$C$2:$C$700,MATCH($B32,'تحليل التكلفة والسعر'!$B$2:$B$700,0))</f>
        <v>30</v>
      </c>
      <c r="E32" s="63" t="n">
        <f aca="false">D32-C32</f>
        <v>-1.9</v>
      </c>
      <c r="F32" s="64" t="n">
        <f aca="false">IF(C32=0,"",D32/C32-1)</f>
        <v>-0.0595611285266457</v>
      </c>
      <c r="G32" s="56" t="n">
        <v>90</v>
      </c>
      <c r="H32" s="63" t="n">
        <f aca="false">INDEX('تحليل التكلفة والسعر'!$D$2:$D$700,MATCH($B32,'تحليل التكلفة والسعر'!$B$2:$B$700,0))</f>
        <v>100</v>
      </c>
      <c r="I32" s="64" t="n">
        <f aca="false">IF(OR(G32="",G32=0),"",C32/G32)</f>
        <v>0.354444444444444</v>
      </c>
      <c r="J32" s="64" t="n">
        <f aca="false">IF(OR(H32="",H32=0),"",D32/H32)</f>
        <v>0.3</v>
      </c>
      <c r="K32" s="64" t="n">
        <f aca="false">IF(OR(I32="",J32=""),"",J32-I32)</f>
        <v>-0.0544444444444445</v>
      </c>
    </row>
    <row r="33" customFormat="false" ht="15" hidden="false" customHeight="true" outlineLevel="0" collapsed="false">
      <c r="A33" s="62" t="s">
        <v>380</v>
      </c>
      <c r="B33" s="62" t="s">
        <v>409</v>
      </c>
      <c r="C33" s="56" t="n">
        <v>31.9</v>
      </c>
      <c r="D33" s="63" t="n">
        <f aca="false">INDEX('تحليل التكلفة والسعر'!$C$2:$C$700,MATCH($B33,'تحليل التكلفة والسعر'!$B$2:$B$700,0))</f>
        <v>30</v>
      </c>
      <c r="E33" s="63" t="n">
        <f aca="false">D33-C33</f>
        <v>-1.9</v>
      </c>
      <c r="F33" s="64" t="n">
        <f aca="false">IF(C33=0,"",D33/C33-1)</f>
        <v>-0.0595611285266457</v>
      </c>
      <c r="G33" s="56" t="n">
        <v>70</v>
      </c>
      <c r="H33" s="63" t="n">
        <f aca="false">INDEX('تحليل التكلفة والسعر'!$D$2:$D$700,MATCH($B33,'تحليل التكلفة والسعر'!$B$2:$B$700,0))</f>
        <v>80</v>
      </c>
      <c r="I33" s="64" t="n">
        <f aca="false">IF(OR(G33="",G33=0),"",C33/G33)</f>
        <v>0.455714285714286</v>
      </c>
      <c r="J33" s="64" t="n">
        <f aca="false">IF(OR(H33="",H33=0),"",D33/H33)</f>
        <v>0.375</v>
      </c>
      <c r="K33" s="64" t="n">
        <f aca="false">IF(OR(I33="",J33=""),"",J33-I33)</f>
        <v>-0.0807142857142857</v>
      </c>
    </row>
    <row r="34" customFormat="false" ht="15" hidden="false" customHeight="true" outlineLevel="0" collapsed="false">
      <c r="A34" s="62" t="s">
        <v>11</v>
      </c>
      <c r="B34" s="62" t="s">
        <v>410</v>
      </c>
      <c r="C34" s="56" t="n">
        <v>73.985</v>
      </c>
      <c r="D34" s="63" t="n">
        <f aca="false">INDEX('تحليل التكلفة والسعر'!$C$2:$C$700,MATCH($B34,'تحليل التكلفة والسعر'!$B$2:$B$700,0))</f>
        <v>78.417972</v>
      </c>
      <c r="E34" s="63" t="n">
        <f aca="false">D34-C34</f>
        <v>4.43297200000001</v>
      </c>
      <c r="F34" s="64" t="n">
        <f aca="false">IF(C34=0,"",D34/C34-1)</f>
        <v>0.0599171723998109</v>
      </c>
      <c r="G34" s="56" t="n">
        <v>130</v>
      </c>
      <c r="H34" s="63" t="n">
        <f aca="false">INDEX('تحليل التكلفة والسعر'!$D$2:$D$700,MATCH($B34,'تحليل التكلفة والسعر'!$B$2:$B$700,0))</f>
        <v>140</v>
      </c>
      <c r="I34" s="64" t="n">
        <f aca="false">IF(OR(G34="",G34=0),"",C34/G34)</f>
        <v>0.569115384615385</v>
      </c>
      <c r="J34" s="64" t="n">
        <f aca="false">IF(OR(H34="",H34=0),"",D34/H34)</f>
        <v>0.560128371428572</v>
      </c>
      <c r="K34" s="64" t="n">
        <f aca="false">IF(OR(I34="",J34=""),"",J34-I34)</f>
        <v>-0.00898701318681305</v>
      </c>
    </row>
    <row r="35" customFormat="false" ht="15" hidden="false" customHeight="true" outlineLevel="0" collapsed="false">
      <c r="A35" s="62" t="s">
        <v>16</v>
      </c>
      <c r="B35" s="62" t="s">
        <v>411</v>
      </c>
      <c r="C35" s="56" t="n">
        <v>65.5818</v>
      </c>
      <c r="D35" s="63" t="n">
        <f aca="false">INDEX('تحليل التكلفة والسعر'!$C$2:$C$700,MATCH($B35,'تحليل التكلفة والسعر'!$B$2:$B$700,0))</f>
        <v>68.9942</v>
      </c>
      <c r="E35" s="63" t="n">
        <f aca="false">D35-C35</f>
        <v>3.41240000000001</v>
      </c>
      <c r="F35" s="64" t="n">
        <f aca="false">IF(C35=0,"",D35/C35-1)</f>
        <v>0.0520327285923838</v>
      </c>
      <c r="G35" s="56" t="n">
        <v>145</v>
      </c>
      <c r="H35" s="63" t="n">
        <f aca="false">INDEX('تحليل التكلفة والسعر'!$D$2:$D$700,MATCH($B35,'تحليل التكلفة والسعر'!$B$2:$B$700,0))</f>
        <v>155</v>
      </c>
      <c r="I35" s="64" t="n">
        <f aca="false">IF(OR(G35="",G35=0),"",C35/G35)</f>
        <v>0.452288275862069</v>
      </c>
      <c r="J35" s="64" t="n">
        <f aca="false">IF(OR(H35="",H35=0),"",D35/H35)</f>
        <v>0.445123870967742</v>
      </c>
      <c r="K35" s="64" t="n">
        <f aca="false">IF(OR(I35="",J35=""),"",J35-I35)</f>
        <v>-0.00716440489432701</v>
      </c>
    </row>
    <row r="36" customFormat="false" ht="15" hidden="false" customHeight="true" outlineLevel="0" collapsed="false">
      <c r="A36" s="62" t="s">
        <v>16</v>
      </c>
      <c r="B36" s="62" t="s">
        <v>412</v>
      </c>
      <c r="C36" s="56" t="n">
        <v>91.03235</v>
      </c>
      <c r="D36" s="63" t="n">
        <f aca="false">INDEX('تحليل التكلفة والسعر'!$C$2:$C$700,MATCH($B36,'تحليل التكلفة والسعر'!$B$2:$B$700,0))</f>
        <v>95.7292</v>
      </c>
      <c r="E36" s="63" t="n">
        <f aca="false">D36-C36</f>
        <v>4.69685000000001</v>
      </c>
      <c r="F36" s="64" t="n">
        <f aca="false">IF(C36=0,"",D36/C36-1)</f>
        <v>0.051595394384524</v>
      </c>
      <c r="G36" s="56" t="n">
        <v>220</v>
      </c>
      <c r="H36" s="63" t="n">
        <f aca="false">INDEX('تحليل التكلفة والسعر'!$D$2:$D$700,MATCH($B36,'تحليل التكلفة والسعر'!$B$2:$B$700,0))</f>
        <v>230</v>
      </c>
      <c r="I36" s="64" t="n">
        <f aca="false">IF(OR(G36="",G36=0),"",C36/G36)</f>
        <v>0.413783409090909</v>
      </c>
      <c r="J36" s="64" t="n">
        <f aca="false">IF(OR(H36="",H36=0),"",D36/H36)</f>
        <v>0.416213913043478</v>
      </c>
      <c r="K36" s="64" t="n">
        <f aca="false">IF(OR(I36="",J36=""),"",J36-I36)</f>
        <v>0.00243050395256922</v>
      </c>
    </row>
    <row r="37" customFormat="false" ht="15" hidden="false" customHeight="true" outlineLevel="0" collapsed="false">
      <c r="A37" s="62" t="s">
        <v>380</v>
      </c>
      <c r="B37" s="62" t="s">
        <v>413</v>
      </c>
      <c r="C37" s="56" t="n">
        <v>25.82</v>
      </c>
      <c r="D37" s="63" t="n">
        <f aca="false">INDEX('تحليل التكلفة والسعر'!$C$2:$C$700,MATCH($B37,'تحليل التكلفة والسعر'!$B$2:$B$700,0))</f>
        <v>26.9708</v>
      </c>
      <c r="E37" s="63" t="n">
        <f aca="false">D37-C37</f>
        <v>1.1508</v>
      </c>
      <c r="F37" s="64" t="n">
        <f aca="false">IF(C37=0,"",D37/C37-1)</f>
        <v>0.044570100697134</v>
      </c>
      <c r="G37" s="56" t="n">
        <v>50</v>
      </c>
      <c r="H37" s="63" t="n">
        <f aca="false">INDEX('تحليل التكلفة والسعر'!$D$2:$D$700,MATCH($B37,'تحليل التكلفة والسعر'!$B$2:$B$700,0))</f>
        <v>60</v>
      </c>
      <c r="I37" s="64" t="n">
        <f aca="false">IF(OR(G37="",G37=0),"",C37/G37)</f>
        <v>0.5164</v>
      </c>
      <c r="J37" s="64" t="n">
        <f aca="false">IF(OR(H37="",H37=0),"",D37/H37)</f>
        <v>0.449513333333333</v>
      </c>
      <c r="K37" s="64" t="n">
        <f aca="false">IF(OR(I37="",J37=""),"",J37-I37)</f>
        <v>-0.0668866666666667</v>
      </c>
    </row>
    <row r="38" customFormat="false" ht="15" hidden="false" customHeight="true" outlineLevel="0" collapsed="false">
      <c r="A38" s="62" t="s">
        <v>380</v>
      </c>
      <c r="B38" s="62" t="s">
        <v>414</v>
      </c>
      <c r="C38" s="56" t="n">
        <v>33.5</v>
      </c>
      <c r="D38" s="63" t="n">
        <f aca="false">INDEX('تحليل التكلفة والسعر'!$C$2:$C$700,MATCH($B38,'تحليل التكلفة والسعر'!$B$2:$B$700,0))</f>
        <v>35</v>
      </c>
      <c r="E38" s="63" t="n">
        <f aca="false">D38-C38</f>
        <v>1.5</v>
      </c>
      <c r="F38" s="64" t="n">
        <f aca="false">IF(C38=0,"",D38/C38-1)</f>
        <v>0.044776119402985</v>
      </c>
      <c r="G38" s="56" t="n">
        <v>70</v>
      </c>
      <c r="H38" s="63" t="n">
        <f aca="false">INDEX('تحليل التكلفة والسعر'!$D$2:$D$700,MATCH($B38,'تحليل التكلفة والسعر'!$B$2:$B$700,0))</f>
        <v>80</v>
      </c>
      <c r="I38" s="64" t="n">
        <f aca="false">IF(OR(G38="",G38=0),"",C38/G38)</f>
        <v>0.478571428571429</v>
      </c>
      <c r="J38" s="64" t="n">
        <f aca="false">IF(OR(H38="",H38=0),"",D38/H38)</f>
        <v>0.4375</v>
      </c>
      <c r="K38" s="64" t="n">
        <f aca="false">IF(OR(I38="",J38=""),"",J38-I38)</f>
        <v>-0.0410714285714286</v>
      </c>
    </row>
    <row r="39" customFormat="false" ht="15" hidden="false" customHeight="true" outlineLevel="0" collapsed="false">
      <c r="A39" s="62" t="s">
        <v>380</v>
      </c>
      <c r="B39" s="62" t="s">
        <v>415</v>
      </c>
      <c r="C39" s="56" t="n">
        <v>33.5</v>
      </c>
      <c r="D39" s="63" t="n">
        <f aca="false">INDEX('تحليل التكلفة والسعر'!$C$2:$C$700,MATCH($B39,'تحليل التكلفة والسعر'!$B$2:$B$700,0))</f>
        <v>35</v>
      </c>
      <c r="E39" s="63" t="n">
        <f aca="false">D39-C39</f>
        <v>1.5</v>
      </c>
      <c r="F39" s="64" t="n">
        <f aca="false">IF(C39=0,"",D39/C39-1)</f>
        <v>0.044776119402985</v>
      </c>
      <c r="G39" s="56" t="n">
        <v>70</v>
      </c>
      <c r="H39" s="63" t="n">
        <f aca="false">INDEX('تحليل التكلفة والسعر'!$D$2:$D$700,MATCH($B39,'تحليل التكلفة والسعر'!$B$2:$B$700,0))</f>
        <v>80</v>
      </c>
      <c r="I39" s="64" t="n">
        <f aca="false">IF(OR(G39="",G39=0),"",C39/G39)</f>
        <v>0.478571428571429</v>
      </c>
      <c r="J39" s="64" t="n">
        <f aca="false">IF(OR(H39="",H39=0),"",D39/H39)</f>
        <v>0.4375</v>
      </c>
      <c r="K39" s="64" t="n">
        <f aca="false">IF(OR(I39="",J39=""),"",J39-I39)</f>
        <v>-0.0410714285714286</v>
      </c>
    </row>
    <row r="40" customFormat="false" ht="15" hidden="false" customHeight="true" outlineLevel="0" collapsed="false">
      <c r="A40" s="62" t="s">
        <v>380</v>
      </c>
      <c r="B40" s="62" t="s">
        <v>416</v>
      </c>
      <c r="C40" s="56" t="n">
        <v>50.54</v>
      </c>
      <c r="D40" s="63" t="n">
        <f aca="false">INDEX('تحليل التكلفة والسعر'!$C$2:$C$700,MATCH($B40,'تحليل التكلفة والسعر'!$B$2:$B$700,0))</f>
        <v>48.7817</v>
      </c>
      <c r="E40" s="63" t="n">
        <f aca="false">D40-C40</f>
        <v>-1.7583</v>
      </c>
      <c r="F40" s="64" t="n">
        <f aca="false">IF(C40=0,"",D40/C40-1)</f>
        <v>-0.0347902651365255</v>
      </c>
      <c r="G40" s="56" t="n">
        <v>120</v>
      </c>
      <c r="H40" s="63" t="n">
        <f aca="false">INDEX('تحليل التكلفة والسعر'!$D$2:$D$700,MATCH($B40,'تحليل التكلفة والسعر'!$B$2:$B$700,0))</f>
        <v>130</v>
      </c>
      <c r="I40" s="64" t="n">
        <f aca="false">IF(OR(G40="",G40=0),"",C40/G40)</f>
        <v>0.421166666666667</v>
      </c>
      <c r="J40" s="64" t="n">
        <f aca="false">IF(OR(H40="",H40=0),"",D40/H40)</f>
        <v>0.375243846153846</v>
      </c>
      <c r="K40" s="64" t="n">
        <f aca="false">IF(OR(I40="",J40=""),"",J40-I40)</f>
        <v>-0.0459228205128205</v>
      </c>
    </row>
    <row r="41" customFormat="false" ht="15" hidden="false" customHeight="true" outlineLevel="0" collapsed="false">
      <c r="A41" s="62" t="s">
        <v>380</v>
      </c>
      <c r="B41" s="62" t="s">
        <v>417</v>
      </c>
      <c r="C41" s="56" t="n">
        <v>50.54</v>
      </c>
      <c r="D41" s="63" t="n">
        <f aca="false">INDEX('تحليل التكلفة والسعر'!$C$2:$C$700,MATCH($B41,'تحليل التكلفة والسعر'!$B$2:$B$700,0))</f>
        <v>48.7817</v>
      </c>
      <c r="E41" s="63" t="n">
        <f aca="false">D41-C41</f>
        <v>-1.7583</v>
      </c>
      <c r="F41" s="64" t="n">
        <f aca="false">IF(C41=0,"",D41/C41-1)</f>
        <v>-0.0347902651365255</v>
      </c>
      <c r="G41" s="56" t="n">
        <v>120</v>
      </c>
      <c r="H41" s="63" t="n">
        <f aca="false">INDEX('تحليل التكلفة والسعر'!$D$2:$D$700,MATCH($B41,'تحليل التكلفة والسعر'!$B$2:$B$700,0))</f>
        <v>130</v>
      </c>
      <c r="I41" s="64" t="n">
        <f aca="false">IF(OR(G41="",G41=0),"",C41/G41)</f>
        <v>0.421166666666667</v>
      </c>
      <c r="J41" s="64" t="n">
        <f aca="false">IF(OR(H41="",H41=0),"",D41/H41)</f>
        <v>0.375243846153846</v>
      </c>
      <c r="K41" s="64" t="n">
        <f aca="false">IF(OR(I41="",J41=""),"",J41-I41)</f>
        <v>-0.0459228205128205</v>
      </c>
    </row>
    <row r="42" customFormat="false" ht="15" hidden="false" customHeight="true" outlineLevel="0" collapsed="false">
      <c r="A42" s="62" t="s">
        <v>9</v>
      </c>
      <c r="B42" s="62" t="s">
        <v>418</v>
      </c>
      <c r="C42" s="56" t="n">
        <v>51.84215</v>
      </c>
      <c r="D42" s="63" t="n">
        <f aca="false">INDEX('تحليل التكلفة والسعر'!$C$2:$C$700,MATCH($B42,'تحليل التكلفة والسعر'!$B$2:$B$700,0))</f>
        <v>50.291</v>
      </c>
      <c r="E42" s="63" t="n">
        <f aca="false">D42-C42</f>
        <v>-1.55114999999999</v>
      </c>
      <c r="F42" s="64" t="n">
        <f aca="false">IF(C42=0,"",D42/C42-1)</f>
        <v>-0.0299206340786405</v>
      </c>
      <c r="G42" s="56" t="n">
        <v>110</v>
      </c>
      <c r="H42" s="63" t="n">
        <f aca="false">INDEX('تحليل التكلفة والسعر'!$D$2:$D$700,MATCH($B42,'تحليل التكلفة والسعر'!$B$2:$B$700,0))</f>
        <v>120</v>
      </c>
      <c r="I42" s="64" t="n">
        <f aca="false">IF(OR(G42="",G42=0),"",C42/G42)</f>
        <v>0.471292272727273</v>
      </c>
      <c r="J42" s="64" t="n">
        <f aca="false">IF(OR(H42="",H42=0),"",D42/H42)</f>
        <v>0.419091666666667</v>
      </c>
      <c r="K42" s="64" t="n">
        <f aca="false">IF(OR(I42="",J42=""),"",J42-I42)</f>
        <v>-0.052200606060606</v>
      </c>
    </row>
    <row r="43" customFormat="false" ht="15" hidden="false" customHeight="true" outlineLevel="0" collapsed="false">
      <c r="A43" s="62" t="s">
        <v>17</v>
      </c>
      <c r="B43" s="62" t="s">
        <v>419</v>
      </c>
      <c r="C43" s="56" t="n">
        <v>64.083</v>
      </c>
      <c r="D43" s="63" t="n">
        <f aca="false">INDEX('تحليل التكلفة والسعر'!$C$2:$C$700,MATCH($B43,'تحليل التكلفة والسعر'!$B$2:$B$700,0))</f>
        <v>66.8742</v>
      </c>
      <c r="E43" s="63" t="n">
        <f aca="false">D43-C43</f>
        <v>2.7912</v>
      </c>
      <c r="F43" s="64" t="n">
        <f aca="false">IF(C43=0,"",D43/C43-1)</f>
        <v>0.0435560132952577</v>
      </c>
      <c r="G43" s="56" t="n">
        <v>145</v>
      </c>
      <c r="H43" s="63" t="n">
        <f aca="false">INDEX('تحليل التكلفة والسعر'!$D$2:$D$700,MATCH($B43,'تحليل التكلفة والسعر'!$B$2:$B$700,0))</f>
        <v>155</v>
      </c>
      <c r="I43" s="64" t="n">
        <f aca="false">IF(OR(G43="",G43=0),"",C43/G43)</f>
        <v>0.441951724137931</v>
      </c>
      <c r="J43" s="64" t="n">
        <f aca="false">IF(OR(H43="",H43=0),"",D43/H43)</f>
        <v>0.431446451612903</v>
      </c>
      <c r="K43" s="64" t="n">
        <f aca="false">IF(OR(I43="",J43=""),"",J43-I43)</f>
        <v>-0.0105052725250278</v>
      </c>
    </row>
    <row r="44" customFormat="false" ht="15" hidden="false" customHeight="true" outlineLevel="0" collapsed="false">
      <c r="A44" s="62" t="s">
        <v>17</v>
      </c>
      <c r="B44" s="62" t="s">
        <v>420</v>
      </c>
      <c r="C44" s="56" t="n">
        <v>89.35415</v>
      </c>
      <c r="D44" s="63" t="n">
        <f aca="false">INDEX('تحليل التكلفة والسعر'!$C$2:$C$700,MATCH($B44,'تحليل التكلفة والسعر'!$B$2:$B$700,0))</f>
        <v>93.2092</v>
      </c>
      <c r="E44" s="63" t="n">
        <f aca="false">D44-C44</f>
        <v>3.85504999999999</v>
      </c>
      <c r="F44" s="64" t="n">
        <f aca="false">IF(C44=0,"",D44/C44-1)</f>
        <v>0.0431434913767295</v>
      </c>
      <c r="G44" s="56" t="n">
        <v>220</v>
      </c>
      <c r="H44" s="63" t="n">
        <f aca="false">INDEX('تحليل التكلفة والسعر'!$D$2:$D$700,MATCH($B44,'تحليل التكلفة والسعر'!$B$2:$B$700,0))</f>
        <v>230</v>
      </c>
      <c r="I44" s="64" t="n">
        <f aca="false">IF(OR(G44="",G44=0),"",C44/G44)</f>
        <v>0.406155227272727</v>
      </c>
      <c r="J44" s="64" t="n">
        <f aca="false">IF(OR(H44="",H44=0),"",D44/H44)</f>
        <v>0.405257391304348</v>
      </c>
      <c r="K44" s="64" t="n">
        <f aca="false">IF(OR(I44="",J44=""),"",J44-I44)</f>
        <v>-0.000897835968379501</v>
      </c>
    </row>
    <row r="45" customFormat="false" ht="15" hidden="false" customHeight="true" outlineLevel="0" collapsed="false">
      <c r="A45" s="62" t="s">
        <v>21</v>
      </c>
      <c r="B45" s="62" t="s">
        <v>421</v>
      </c>
      <c r="C45" s="56" t="n">
        <v>58.4734</v>
      </c>
      <c r="D45" s="63" t="n">
        <f aca="false">INDEX('تحليل التكلفة والسعر'!$C$2:$C$700,MATCH($B45,'تحليل التكلفة والسعر'!$B$2:$B$700,0))</f>
        <v>60.9907720833333</v>
      </c>
      <c r="E45" s="63" t="n">
        <f aca="false">D45-C45</f>
        <v>2.51737208333334</v>
      </c>
      <c r="F45" s="64" t="n">
        <f aca="false">IF(C45=0,"",D45/C45-1)</f>
        <v>0.0430515770133657</v>
      </c>
      <c r="G45" s="56" t="n">
        <v>115</v>
      </c>
      <c r="H45" s="63" t="n">
        <f aca="false">INDEX('تحليل التكلفة والسعر'!$D$2:$D$700,MATCH($B45,'تحليل التكلفة والسعر'!$B$2:$B$700,0))</f>
        <v>125</v>
      </c>
      <c r="I45" s="64" t="n">
        <f aca="false">IF(OR(G45="",G45=0),"",C45/G45)</f>
        <v>0.508464347826087</v>
      </c>
      <c r="J45" s="64" t="n">
        <f aca="false">IF(OR(H45="",H45=0),"",D45/H45)</f>
        <v>0.487926176666667</v>
      </c>
      <c r="K45" s="64" t="n">
        <f aca="false">IF(OR(I45="",J45=""),"",J45-I45)</f>
        <v>-0.0205381711594203</v>
      </c>
    </row>
    <row r="46" customFormat="false" ht="15" hidden="false" customHeight="true" outlineLevel="0" collapsed="false">
      <c r="A46" s="62" t="s">
        <v>20</v>
      </c>
      <c r="B46" s="62" t="s">
        <v>422</v>
      </c>
      <c r="C46" s="56" t="n">
        <v>67.2727</v>
      </c>
      <c r="D46" s="63" t="n">
        <f aca="false">INDEX('تحليل التكلفة والسعر'!$C$2:$C$700,MATCH($B46,'تحليل التكلفة والسعر'!$B$2:$B$700,0))</f>
        <v>70.1077</v>
      </c>
      <c r="E46" s="63" t="n">
        <f aca="false">D46-C46</f>
        <v>2.83500000000001</v>
      </c>
      <c r="F46" s="64" t="n">
        <f aca="false">IF(C46=0,"",D46/C46-1)</f>
        <v>0.0421419089764497</v>
      </c>
      <c r="G46" s="56" t="n">
        <v>150</v>
      </c>
      <c r="H46" s="63" t="n">
        <f aca="false">INDEX('تحليل التكلفة والسعر'!$D$2:$D$700,MATCH($B46,'تحليل التكلفة والسعر'!$B$2:$B$700,0))</f>
        <v>160</v>
      </c>
      <c r="I46" s="64" t="n">
        <f aca="false">IF(OR(G46="",G46=0),"",C46/G46)</f>
        <v>0.448484666666667</v>
      </c>
      <c r="J46" s="64" t="n">
        <f aca="false">IF(OR(H46="",H46=0),"",D46/H46)</f>
        <v>0.438173125</v>
      </c>
      <c r="K46" s="64" t="n">
        <f aca="false">IF(OR(I46="",J46=""),"",J46-I46)</f>
        <v>-0.0103115416666666</v>
      </c>
    </row>
    <row r="47" customFormat="false" ht="15" hidden="false" customHeight="true" outlineLevel="0" collapsed="false">
      <c r="A47" s="62" t="s">
        <v>18</v>
      </c>
      <c r="B47" s="62" t="s">
        <v>423</v>
      </c>
      <c r="C47" s="56" t="n">
        <v>14.34</v>
      </c>
      <c r="D47" s="63" t="n">
        <f aca="false">INDEX('تحليل التكلفة والسعر'!$C$2:$C$700,MATCH($B47,'تحليل التكلفة والسعر'!$B$2:$B$700,0))</f>
        <v>15.012965</v>
      </c>
      <c r="E47" s="63" t="n">
        <f aca="false">D47-C47</f>
        <v>0.672965</v>
      </c>
      <c r="F47" s="64" t="n">
        <f aca="false">IF(C47=0,"",D47/C47-1)</f>
        <v>0.0469292189679218</v>
      </c>
      <c r="G47" s="56" t="n">
        <v>40</v>
      </c>
      <c r="H47" s="63" t="n">
        <f aca="false">INDEX('تحليل التكلفة والسعر'!$D$2:$D$700,MATCH($B47,'تحليل التكلفة والسعر'!$B$2:$B$700,0))</f>
        <v>50</v>
      </c>
      <c r="I47" s="64" t="n">
        <f aca="false">IF(OR(G47="",G47=0),"",C47/G47)</f>
        <v>0.3585</v>
      </c>
      <c r="J47" s="64" t="n">
        <f aca="false">IF(OR(H47="",H47=0),"",D47/H47)</f>
        <v>0.3002593</v>
      </c>
      <c r="K47" s="64" t="n">
        <f aca="false">IF(OR(I47="",J47=""),"",J47-I47)</f>
        <v>-0.0582407</v>
      </c>
    </row>
    <row r="48" customFormat="false" ht="15" hidden="false" customHeight="true" outlineLevel="0" collapsed="false">
      <c r="A48" s="62" t="s">
        <v>9</v>
      </c>
      <c r="B48" s="62" t="s">
        <v>424</v>
      </c>
      <c r="C48" s="56" t="n">
        <v>112.69465</v>
      </c>
      <c r="D48" s="63" t="n">
        <f aca="false">INDEX('تحليل التكلفة والسعر'!$C$2:$C$700,MATCH($B48,'تحليل التكلفة والسعر'!$B$2:$B$700,0))</f>
        <v>109.5727</v>
      </c>
      <c r="E48" s="63" t="n">
        <f aca="false">D48-C48</f>
        <v>-3.12195</v>
      </c>
      <c r="F48" s="64" t="n">
        <f aca="false">IF(C48=0,"",D48/C48-1)</f>
        <v>-0.0277027347793352</v>
      </c>
      <c r="G48" s="56" t="n">
        <v>220</v>
      </c>
      <c r="H48" s="63" t="n">
        <f aca="false">INDEX('تحليل التكلفة والسعر'!$D$2:$D$700,MATCH($B48,'تحليل التكلفة والسعر'!$B$2:$B$700,0))</f>
        <v>230</v>
      </c>
      <c r="I48" s="64" t="n">
        <f aca="false">IF(OR(G48="",G48=0),"",C48/G48)</f>
        <v>0.512248409090909</v>
      </c>
      <c r="J48" s="64" t="n">
        <f aca="false">IF(OR(H48="",H48=0),"",D48/H48)</f>
        <v>0.476403043478261</v>
      </c>
      <c r="K48" s="64" t="n">
        <f aca="false">IF(OR(I48="",J48=""),"",J48-I48)</f>
        <v>-0.0358453656126482</v>
      </c>
    </row>
    <row r="49" customFormat="false" ht="15" hidden="false" customHeight="true" outlineLevel="0" collapsed="false">
      <c r="A49" s="62" t="s">
        <v>9</v>
      </c>
      <c r="B49" s="62" t="s">
        <v>425</v>
      </c>
      <c r="C49" s="56" t="n">
        <v>118.13215</v>
      </c>
      <c r="D49" s="63" t="n">
        <f aca="false">INDEX('تحليل التكلفة والسعر'!$C$2:$C$700,MATCH($B49,'تحليل التكلفة والسعر'!$B$2:$B$700,0))</f>
        <v>114.8227</v>
      </c>
      <c r="E49" s="63" t="n">
        <f aca="false">D49-C49</f>
        <v>-3.30945</v>
      </c>
      <c r="F49" s="64" t="n">
        <f aca="false">IF(C49=0,"",D49/C49-1)</f>
        <v>-0.0280148122251225</v>
      </c>
      <c r="G49" s="56" t="n">
        <v>220</v>
      </c>
      <c r="H49" s="63" t="n">
        <f aca="false">INDEX('تحليل التكلفة والسعر'!$D$2:$D$700,MATCH($B49,'تحليل التكلفة والسعر'!$B$2:$B$700,0))</f>
        <v>230</v>
      </c>
      <c r="I49" s="64" t="n">
        <f aca="false">IF(OR(G49="",G49=0),"",C49/G49)</f>
        <v>0.536964318181818</v>
      </c>
      <c r="J49" s="64" t="n">
        <f aca="false">IF(OR(H49="",H49=0),"",D49/H49)</f>
        <v>0.499229130434783</v>
      </c>
      <c r="K49" s="64" t="n">
        <f aca="false">IF(OR(I49="",J49=""),"",J49-I49)</f>
        <v>-0.0377351877470355</v>
      </c>
    </row>
    <row r="50" customFormat="false" ht="15" hidden="false" customHeight="true" outlineLevel="0" collapsed="false">
      <c r="A50" s="62" t="s">
        <v>9</v>
      </c>
      <c r="B50" s="62" t="s">
        <v>426</v>
      </c>
      <c r="C50" s="56" t="n">
        <v>98.33215</v>
      </c>
      <c r="D50" s="63" t="n">
        <f aca="false">INDEX('تحليل التكلفة والسعر'!$C$2:$C$700,MATCH($B50,'تحليل التكلفة والسعر'!$B$2:$B$700,0))</f>
        <v>95.291</v>
      </c>
      <c r="E50" s="63" t="n">
        <f aca="false">D50-C50</f>
        <v>-3.04115</v>
      </c>
      <c r="F50" s="64" t="n">
        <f aca="false">IF(C50=0,"",D50/C50-1)</f>
        <v>-0.0309273213287821</v>
      </c>
      <c r="G50" s="56" t="n">
        <v>180</v>
      </c>
      <c r="H50" s="63" t="n">
        <f aca="false">INDEX('تحليل التكلفة والسعر'!$D$2:$D$700,MATCH($B50,'تحليل التكلفة والسعر'!$B$2:$B$700,0))</f>
        <v>190</v>
      </c>
      <c r="I50" s="64" t="n">
        <f aca="false">IF(OR(G50="",G50=0),"",C50/G50)</f>
        <v>0.546289722222222</v>
      </c>
      <c r="J50" s="64" t="n">
        <f aca="false">IF(OR(H50="",H50=0),"",D50/H50)</f>
        <v>0.501531578947368</v>
      </c>
      <c r="K50" s="64" t="n">
        <f aca="false">IF(OR(I50="",J50=""),"",J50-I50)</f>
        <v>-0.0447581432748537</v>
      </c>
    </row>
    <row r="51" customFormat="false" ht="15" hidden="false" customHeight="true" outlineLevel="0" collapsed="false">
      <c r="A51" s="62" t="s">
        <v>10</v>
      </c>
      <c r="B51" s="62" t="s">
        <v>427</v>
      </c>
      <c r="C51" s="56" t="n">
        <v>89.16395</v>
      </c>
      <c r="D51" s="63" t="n">
        <f aca="false">INDEX('تحليل التكلفة والسعر'!$C$2:$C$700,MATCH($B51,'تحليل التكلفة والسعر'!$B$2:$B$700,0))</f>
        <v>92.2982</v>
      </c>
      <c r="E51" s="63" t="n">
        <f aca="false">D51-C51</f>
        <v>3.13424999999999</v>
      </c>
      <c r="F51" s="64" t="n">
        <f aca="false">IF(C51=0,"",D51/C51-1)</f>
        <v>0.0351515382618199</v>
      </c>
      <c r="G51" s="56" t="n">
        <v>190</v>
      </c>
      <c r="H51" s="63" t="n">
        <f aca="false">INDEX('تحليل التكلفة والسعر'!$D$2:$D$700,MATCH($B51,'تحليل التكلفة والسعر'!$B$2:$B$700,0))</f>
        <v>200</v>
      </c>
      <c r="I51" s="64" t="n">
        <f aca="false">IF(OR(G51="",G51=0),"",C51/G51)</f>
        <v>0.469283947368421</v>
      </c>
      <c r="J51" s="64" t="n">
        <f aca="false">IF(OR(H51="",H51=0),"",D51/H51)</f>
        <v>0.461491</v>
      </c>
      <c r="K51" s="64" t="n">
        <f aca="false">IF(OR(I51="",J51=""),"",J51-I51)</f>
        <v>-0.00779294736842107</v>
      </c>
    </row>
    <row r="52" customFormat="false" ht="15" hidden="false" customHeight="true" outlineLevel="0" collapsed="false">
      <c r="A52" s="62" t="s">
        <v>11</v>
      </c>
      <c r="B52" s="62" t="s">
        <v>428</v>
      </c>
      <c r="C52" s="56" t="n">
        <v>158.585</v>
      </c>
      <c r="D52" s="63" t="n">
        <f aca="false">INDEX('تحليل التكلفة والسعر'!$C$2:$C$700,MATCH($B52,'تحليل التكلفة والسعر'!$B$2:$B$700,0))</f>
        <v>164.585002</v>
      </c>
      <c r="E52" s="63" t="n">
        <f aca="false">D52-C52</f>
        <v>6.000002</v>
      </c>
      <c r="F52" s="64" t="n">
        <f aca="false">IF(C52=0,"",D52/C52-1)</f>
        <v>0.0378346123529967</v>
      </c>
      <c r="G52" s="56" t="n">
        <v>250</v>
      </c>
      <c r="H52" s="63" t="n">
        <f aca="false">INDEX('تحليل التكلفة والسعر'!$D$2:$D$700,MATCH($B52,'تحليل التكلفة والسعر'!$B$2:$B$700,0))</f>
        <v>260</v>
      </c>
      <c r="I52" s="64" t="n">
        <f aca="false">IF(OR(G52="",G52=0),"",C52/G52)</f>
        <v>0.63434</v>
      </c>
      <c r="J52" s="64" t="n">
        <f aca="false">IF(OR(H52="",H52=0),"",D52/H52)</f>
        <v>0.633019238461539</v>
      </c>
      <c r="K52" s="64" t="n">
        <f aca="false">IF(OR(I52="",J52=""),"",J52-I52)</f>
        <v>-0.0013207615384615</v>
      </c>
    </row>
    <row r="53" customFormat="false" ht="15" hidden="false" customHeight="true" outlineLevel="0" collapsed="false">
      <c r="A53" s="62" t="s">
        <v>391</v>
      </c>
      <c r="B53" s="62" t="s">
        <v>202</v>
      </c>
      <c r="C53" s="56" t="n">
        <v>15</v>
      </c>
      <c r="D53" s="63" t="n">
        <f aca="false">INDEX('تحليل التكلفة والسعر'!$C$2:$C$700,MATCH($B53,'تحليل التكلفة والسعر'!$B$2:$B$700,0))</f>
        <v>17.1875</v>
      </c>
      <c r="E53" s="63" t="n">
        <f aca="false">D53-C53</f>
        <v>2.1875</v>
      </c>
      <c r="F53" s="64" t="n">
        <f aca="false">IF(C53=0,"",D53/C53-1)</f>
        <v>0.145833333333333</v>
      </c>
      <c r="G53" s="56" t="n">
        <v>20</v>
      </c>
      <c r="H53" s="63" t="n">
        <f aca="false">INDEX('تحليل التكلفة والسعر'!$D$2:$D$700,MATCH($B53,'تحليل التكلفة والسعر'!$B$2:$B$700,0))</f>
        <v>30</v>
      </c>
      <c r="I53" s="64" t="n">
        <f aca="false">IF(OR(G53="",G53=0),"",C53/G53)</f>
        <v>0.75</v>
      </c>
      <c r="J53" s="64" t="n">
        <f aca="false">IF(OR(H53="",H53=0),"",D53/H53)</f>
        <v>0.572916666666667</v>
      </c>
      <c r="K53" s="64" t="n">
        <f aca="false">IF(OR(I53="",J53=""),"",J53-I53)</f>
        <v>-0.177083333333333</v>
      </c>
    </row>
    <row r="54" customFormat="false" ht="15" hidden="false" customHeight="true" outlineLevel="0" collapsed="false">
      <c r="A54" s="62" t="s">
        <v>380</v>
      </c>
      <c r="B54" s="62" t="s">
        <v>429</v>
      </c>
      <c r="C54" s="56" t="n">
        <v>13.5</v>
      </c>
      <c r="D54" s="63" t="n">
        <f aca="false">INDEX('تحليل التكلفة والسعر'!$C$2:$C$700,MATCH($B54,'تحليل التكلفة والسعر'!$B$2:$B$700,0))</f>
        <v>14</v>
      </c>
      <c r="E54" s="63" t="n">
        <f aca="false">D54-C54</f>
        <v>0.5</v>
      </c>
      <c r="F54" s="64" t="n">
        <f aca="false">IF(C54=0,"",D54/C54-1)</f>
        <v>0.037037037037037</v>
      </c>
      <c r="G54" s="56" t="n">
        <v>23.93</v>
      </c>
      <c r="H54" s="63" t="n">
        <f aca="false">INDEX('تحليل التكلفة والسعر'!$D$2:$D$700,MATCH($B54,'تحليل التكلفة والسعر'!$B$2:$B$700,0))</f>
        <v>33.93</v>
      </c>
      <c r="I54" s="64" t="n">
        <f aca="false">IF(OR(G54="",G54=0),"",C54/G54)</f>
        <v>0.564145424153782</v>
      </c>
      <c r="J54" s="64" t="n">
        <f aca="false">IF(OR(H54="",H54=0),"",D54/H54)</f>
        <v>0.412614205717654</v>
      </c>
      <c r="K54" s="64" t="n">
        <f aca="false">IF(OR(I54="",J54=""),"",J54-I54)</f>
        <v>-0.151531218436128</v>
      </c>
    </row>
    <row r="55" customFormat="false" ht="15" hidden="false" customHeight="true" outlineLevel="0" collapsed="false">
      <c r="A55" s="62" t="s">
        <v>380</v>
      </c>
      <c r="B55" s="62" t="s">
        <v>430</v>
      </c>
      <c r="C55" s="56" t="n">
        <v>20.25</v>
      </c>
      <c r="D55" s="63" t="n">
        <f aca="false">INDEX('تحليل التكلفة والسعر'!$C$2:$C$700,MATCH($B55,'تحليل التكلفة والسعر'!$B$2:$B$700,0))</f>
        <v>21</v>
      </c>
      <c r="E55" s="63" t="n">
        <f aca="false">D55-C55</f>
        <v>0.75</v>
      </c>
      <c r="F55" s="64" t="n">
        <f aca="false">IF(C55=0,"",D55/C55-1)</f>
        <v>0.037037037037037</v>
      </c>
      <c r="G55" s="56" t="n">
        <v>38.57</v>
      </c>
      <c r="H55" s="63" t="n">
        <f aca="false">INDEX('تحليل التكلفة والسعر'!$D$2:$D$700,MATCH($B55,'تحليل التكلفة والسعر'!$B$2:$B$700,0))</f>
        <v>48.57</v>
      </c>
      <c r="I55" s="64" t="n">
        <f aca="false">IF(OR(G55="",G55=0),"",C55/G55)</f>
        <v>0.525019445164636</v>
      </c>
      <c r="J55" s="64" t="n">
        <f aca="false">IF(OR(H55="",H55=0),"",D55/H55)</f>
        <v>0.432365657813465</v>
      </c>
      <c r="K55" s="64" t="n">
        <f aca="false">IF(OR(I55="",J55=""),"",J55-I55)</f>
        <v>-0.0926537873511706</v>
      </c>
    </row>
    <row r="56" customFormat="false" ht="15" hidden="false" customHeight="true" outlineLevel="0" collapsed="false">
      <c r="A56" s="62" t="s">
        <v>14</v>
      </c>
      <c r="B56" s="62" t="s">
        <v>431</v>
      </c>
      <c r="C56" s="56" t="n">
        <v>4.79166666666667</v>
      </c>
      <c r="D56" s="63" t="n">
        <f aca="false">INDEX('تحليل التكلفة والسعر'!$C$2:$C$700,MATCH($B56,'تحليل التكلفة والسعر'!$B$2:$B$700,0))</f>
        <v>5.01306208333333</v>
      </c>
      <c r="E56" s="63" t="n">
        <f aca="false">D56-C56</f>
        <v>0.221395416666663</v>
      </c>
      <c r="F56" s="64" t="n">
        <f aca="false">IF(C56=0,"",D56/C56-1)</f>
        <v>0.0462042608695645</v>
      </c>
      <c r="G56" s="56" t="n">
        <v>5</v>
      </c>
      <c r="H56" s="63" t="n">
        <f aca="false">INDEX('تحليل التكلفة والسعر'!$D$2:$D$700,MATCH($B56,'تحليل التكلفة والسعر'!$B$2:$B$700,0))</f>
        <v>5</v>
      </c>
      <c r="I56" s="64" t="n">
        <f aca="false">IF(OR(G56="",G56=0),"",C56/G56)</f>
        <v>0.958333333333334</v>
      </c>
      <c r="J56" s="64" t="n">
        <f aca="false">IF(OR(H56="",H56=0),"",D56/H56)</f>
        <v>1.00261241666667</v>
      </c>
      <c r="K56" s="64" t="n">
        <f aca="false">IF(OR(I56="",J56=""),"",J56-I56)</f>
        <v>0.0442790833333326</v>
      </c>
    </row>
    <row r="57" customFormat="false" ht="15" hidden="false" customHeight="true" outlineLevel="0" collapsed="false">
      <c r="A57" s="62" t="s">
        <v>11</v>
      </c>
      <c r="B57" s="62" t="s">
        <v>432</v>
      </c>
      <c r="C57" s="56" t="n">
        <v>70.9634</v>
      </c>
      <c r="D57" s="63" t="n">
        <f aca="false">INDEX('تحليل التكلفة والسعر'!$C$2:$C$700,MATCH($B57,'تحليل التكلفة والسعر'!$B$2:$B$700,0))</f>
        <v>73.419722</v>
      </c>
      <c r="E57" s="63" t="n">
        <f aca="false">D57-C57</f>
        <v>2.456322</v>
      </c>
      <c r="F57" s="64" t="n">
        <f aca="false">IF(C57=0,"",D57/C57-1)</f>
        <v>0.0346139277430337</v>
      </c>
      <c r="G57" s="56" t="n">
        <v>150</v>
      </c>
      <c r="H57" s="63" t="n">
        <f aca="false">INDEX('تحليل التكلفة والسعر'!$D$2:$D$700,MATCH($B57,'تحليل التكلفة والسعر'!$B$2:$B$700,0))</f>
        <v>160</v>
      </c>
      <c r="I57" s="64" t="n">
        <f aca="false">IF(OR(G57="",G57=0),"",C57/G57)</f>
        <v>0.473089333333333</v>
      </c>
      <c r="J57" s="64" t="n">
        <f aca="false">IF(OR(H57="",H57=0),"",D57/H57)</f>
        <v>0.4588732625</v>
      </c>
      <c r="K57" s="64" t="n">
        <f aca="false">IF(OR(I57="",J57=""),"",J57-I57)</f>
        <v>-0.0142160708333334</v>
      </c>
    </row>
    <row r="58" customFormat="false" ht="15" hidden="false" customHeight="true" outlineLevel="0" collapsed="false">
      <c r="A58" s="62" t="s">
        <v>380</v>
      </c>
      <c r="B58" s="62" t="s">
        <v>433</v>
      </c>
      <c r="C58" s="56" t="n">
        <v>35</v>
      </c>
      <c r="D58" s="63" t="n">
        <f aca="false">INDEX('تحليل التكلفة والسعر'!$C$2:$C$700,MATCH($B58,'تحليل التكلفة والسعر'!$B$2:$B$700,0))</f>
        <v>33.982</v>
      </c>
      <c r="E58" s="63" t="n">
        <f aca="false">D58-C58</f>
        <v>-1.018</v>
      </c>
      <c r="F58" s="64" t="n">
        <f aca="false">IF(C58=0,"",D58/C58-1)</f>
        <v>-0.0290857142857143</v>
      </c>
      <c r="G58" s="56" t="n">
        <v>70</v>
      </c>
      <c r="H58" s="63" t="n">
        <f aca="false">INDEX('تحليل التكلفة والسعر'!$D$2:$D$700,MATCH($B58,'تحليل التكلفة والسعر'!$B$2:$B$700,0))</f>
        <v>80</v>
      </c>
      <c r="I58" s="64" t="n">
        <f aca="false">IF(OR(G58="",G58=0),"",C58/G58)</f>
        <v>0.5</v>
      </c>
      <c r="J58" s="64" t="n">
        <f aca="false">IF(OR(H58="",H58=0),"",D58/H58)</f>
        <v>0.424775</v>
      </c>
      <c r="K58" s="64" t="n">
        <f aca="false">IF(OR(I58="",J58=""),"",J58-I58)</f>
        <v>-0.075225</v>
      </c>
    </row>
    <row r="59" customFormat="false" ht="15" hidden="false" customHeight="true" outlineLevel="0" collapsed="false">
      <c r="A59" s="62" t="s">
        <v>14</v>
      </c>
      <c r="B59" s="62" t="s">
        <v>434</v>
      </c>
      <c r="C59" s="56" t="n">
        <v>65.9650666666667</v>
      </c>
      <c r="D59" s="63" t="n">
        <f aca="false">INDEX('تحليل التكلفة والسعر'!$C$2:$C$700,MATCH($B59,'تحليل التكلفة والسعر'!$B$2:$B$700,0))</f>
        <v>63.6796620833333</v>
      </c>
      <c r="E59" s="63" t="n">
        <f aca="false">D59-C59</f>
        <v>-2.28540458333337</v>
      </c>
      <c r="F59" s="64" t="n">
        <f aca="false">IF(C59=0,"",D59/C59-1)</f>
        <v>-0.0346456798851114</v>
      </c>
      <c r="G59" s="56" t="n">
        <v>115</v>
      </c>
      <c r="H59" s="63" t="n">
        <f aca="false">INDEX('تحليل التكلفة والسعر'!$D$2:$D$700,MATCH($B59,'تحليل التكلفة والسعر'!$B$2:$B$700,0))</f>
        <v>125</v>
      </c>
      <c r="I59" s="64" t="n">
        <f aca="false">IF(OR(G59="",G59=0),"",C59/G59)</f>
        <v>0.573609275362319</v>
      </c>
      <c r="J59" s="64" t="n">
        <f aca="false">IF(OR(H59="",H59=0),"",D59/H59)</f>
        <v>0.509437296666667</v>
      </c>
      <c r="K59" s="64" t="n">
        <f aca="false">IF(OR(I59="",J59=""),"",J59-I59)</f>
        <v>-0.0641719786956524</v>
      </c>
    </row>
    <row r="60" customFormat="false" ht="15" hidden="false" customHeight="true" outlineLevel="0" collapsed="false">
      <c r="A60" s="62" t="s">
        <v>11</v>
      </c>
      <c r="B60" s="62" t="s">
        <v>435</v>
      </c>
      <c r="C60" s="56" t="n">
        <v>18.54</v>
      </c>
      <c r="D60" s="63" t="n">
        <f aca="false">INDEX('تحليل التكلفة والسعر'!$C$2:$C$700,MATCH($B60,'تحليل التكلفة والسعر'!$B$2:$B$700,0))</f>
        <v>19.352972</v>
      </c>
      <c r="E60" s="63" t="n">
        <f aca="false">D60-C60</f>
        <v>0.812972000000002</v>
      </c>
      <c r="F60" s="64" t="n">
        <f aca="false">IF(C60=0,"",D60/C60-1)</f>
        <v>0.0438496224379721</v>
      </c>
      <c r="G60" s="56" t="n">
        <v>40</v>
      </c>
      <c r="H60" s="63" t="n">
        <f aca="false">INDEX('تحليل التكلفة والسعر'!$D$2:$D$700,MATCH($B60,'تحليل التكلفة والسعر'!$B$2:$B$700,0))</f>
        <v>50</v>
      </c>
      <c r="I60" s="64" t="n">
        <f aca="false">IF(OR(G60="",G60=0),"",C60/G60)</f>
        <v>0.4635</v>
      </c>
      <c r="J60" s="64" t="n">
        <f aca="false">IF(OR(H60="",H60=0),"",D60/H60)</f>
        <v>0.38705944</v>
      </c>
      <c r="K60" s="64" t="n">
        <f aca="false">IF(OR(I60="",J60=""),"",J60-I60)</f>
        <v>-0.0764405599999999</v>
      </c>
    </row>
    <row r="61" customFormat="false" ht="15" hidden="false" customHeight="true" outlineLevel="0" collapsed="false">
      <c r="A61" s="62" t="s">
        <v>14</v>
      </c>
      <c r="B61" s="62" t="s">
        <v>436</v>
      </c>
      <c r="C61" s="56" t="n">
        <v>61.9373666666667</v>
      </c>
      <c r="D61" s="63" t="n">
        <f aca="false">INDEX('تحليل التكلفة والسعر'!$C$2:$C$700,MATCH($B61,'تحليل التكلفة والسعر'!$B$2:$B$700,0))</f>
        <v>60.0929620833333</v>
      </c>
      <c r="E61" s="63" t="n">
        <f aca="false">D61-C61</f>
        <v>-1.84440458333336</v>
      </c>
      <c r="F61" s="64" t="n">
        <f aca="false">IF(C61=0,"",D61/C61-1)</f>
        <v>-0.029778543754686</v>
      </c>
      <c r="G61" s="56" t="n">
        <v>115</v>
      </c>
      <c r="H61" s="63" t="n">
        <f aca="false">INDEX('تحليل التكلفة والسعر'!$D$2:$D$700,MATCH($B61,'تحليل التكلفة والسعر'!$B$2:$B$700,0))</f>
        <v>125</v>
      </c>
      <c r="I61" s="64" t="n">
        <f aca="false">IF(OR(G61="",G61=0),"",C61/G61)</f>
        <v>0.53858579710145</v>
      </c>
      <c r="J61" s="64" t="n">
        <f aca="false">IF(OR(H61="",H61=0),"",D61/H61)</f>
        <v>0.480743696666667</v>
      </c>
      <c r="K61" s="64" t="n">
        <f aca="false">IF(OR(I61="",J61=""),"",J61-I61)</f>
        <v>-0.0578421004347828</v>
      </c>
    </row>
    <row r="62" customFormat="false" ht="15" hidden="false" customHeight="true" outlineLevel="0" collapsed="false">
      <c r="A62" s="62" t="s">
        <v>380</v>
      </c>
      <c r="B62" s="62" t="s">
        <v>437</v>
      </c>
      <c r="C62" s="56" t="n">
        <v>46.49</v>
      </c>
      <c r="D62" s="63" t="n">
        <f aca="false">INDEX('تحليل التكلفة والسعر'!$C$2:$C$700,MATCH($B62,'تحليل التكلفة والسعر'!$B$2:$B$700,0))</f>
        <v>45</v>
      </c>
      <c r="E62" s="63" t="n">
        <f aca="false">D62-C62</f>
        <v>-1.49</v>
      </c>
      <c r="F62" s="64" t="n">
        <f aca="false">IF(C62=0,"",D62/C62-1)</f>
        <v>-0.0320499032049904</v>
      </c>
      <c r="G62" s="56" t="n">
        <v>90</v>
      </c>
      <c r="H62" s="63" t="n">
        <f aca="false">INDEX('تحليل التكلفة والسعر'!$D$2:$D$700,MATCH($B62,'تحليل التكلفة والسعر'!$B$2:$B$700,0))</f>
        <v>100</v>
      </c>
      <c r="I62" s="64" t="n">
        <f aca="false">IF(OR(G62="",G62=0),"",C62/G62)</f>
        <v>0.516555555555556</v>
      </c>
      <c r="J62" s="64" t="n">
        <f aca="false">IF(OR(H62="",H62=0),"",D62/H62)</f>
        <v>0.45</v>
      </c>
      <c r="K62" s="64" t="n">
        <f aca="false">IF(OR(I62="",J62=""),"",J62-I62)</f>
        <v>-0.0665555555555555</v>
      </c>
    </row>
    <row r="63" customFormat="false" ht="15" hidden="false" customHeight="true" outlineLevel="0" collapsed="false">
      <c r="A63" s="62" t="s">
        <v>14</v>
      </c>
      <c r="B63" s="62" t="s">
        <v>438</v>
      </c>
      <c r="C63" s="56" t="n">
        <v>49.9873666666667</v>
      </c>
      <c r="D63" s="63" t="n">
        <f aca="false">INDEX('تحليل التكلفة والسعر'!$C$2:$C$700,MATCH($B63,'تحليل التكلفة والسعر'!$B$2:$B$700,0))</f>
        <v>51.4353120833333</v>
      </c>
      <c r="E63" s="63" t="n">
        <f aca="false">D63-C63</f>
        <v>1.44794541666663</v>
      </c>
      <c r="F63" s="64" t="n">
        <f aca="false">IF(C63=0,"",D63/C63-1)</f>
        <v>0.0289662271333881</v>
      </c>
      <c r="G63" s="56" t="n">
        <v>100</v>
      </c>
      <c r="H63" s="63" t="n">
        <f aca="false">INDEX('تحليل التكلفة والسعر'!$D$2:$D$700,MATCH($B63,'تحليل التكلفة والسعر'!$B$2:$B$700,0))</f>
        <v>110</v>
      </c>
      <c r="I63" s="64" t="n">
        <f aca="false">IF(OR(G63="",G63=0),"",C63/G63)</f>
        <v>0.499873666666667</v>
      </c>
      <c r="J63" s="64" t="n">
        <f aca="false">IF(OR(H63="",H63=0),"",D63/H63)</f>
        <v>0.467593746212121</v>
      </c>
      <c r="K63" s="64" t="n">
        <f aca="false">IF(OR(I63="",J63=""),"",J63-I63)</f>
        <v>-0.0322799204545458</v>
      </c>
    </row>
    <row r="64" customFormat="false" ht="15" hidden="false" customHeight="true" outlineLevel="0" collapsed="false">
      <c r="A64" s="62" t="s">
        <v>18</v>
      </c>
      <c r="B64" s="62" t="s">
        <v>439</v>
      </c>
      <c r="C64" s="56" t="n">
        <v>34.3453</v>
      </c>
      <c r="D64" s="63" t="n">
        <f aca="false">INDEX('تحليل التكلفة والسعر'!$C$2:$C$700,MATCH($B64,'تحليل التكلفة والسعر'!$B$2:$B$700,0))</f>
        <v>35.477965</v>
      </c>
      <c r="E64" s="63" t="n">
        <f aca="false">D64-C64</f>
        <v>1.132665</v>
      </c>
      <c r="F64" s="64" t="n">
        <f aca="false">IF(C64=0,"",D64/C64-1)</f>
        <v>0.0329787481838852</v>
      </c>
      <c r="G64" s="56" t="n">
        <v>60</v>
      </c>
      <c r="H64" s="63" t="n">
        <f aca="false">INDEX('تحليل التكلفة والسعر'!$D$2:$D$700,MATCH($B64,'تحليل التكلفة والسعر'!$B$2:$B$700,0))</f>
        <v>70</v>
      </c>
      <c r="I64" s="64" t="n">
        <f aca="false">IF(OR(G64="",G64=0),"",C64/G64)</f>
        <v>0.572421666666667</v>
      </c>
      <c r="J64" s="64" t="n">
        <f aca="false">IF(OR(H64="",H64=0),"",D64/H64)</f>
        <v>0.506828071428571</v>
      </c>
      <c r="K64" s="64" t="n">
        <f aca="false">IF(OR(I64="",J64=""),"",J64-I64)</f>
        <v>-0.0655935952380953</v>
      </c>
    </row>
    <row r="65" customFormat="false" ht="15" hidden="false" customHeight="true" outlineLevel="0" collapsed="false">
      <c r="A65" s="62" t="s">
        <v>15</v>
      </c>
      <c r="B65" s="62" t="s">
        <v>440</v>
      </c>
      <c r="C65" s="56" t="n">
        <v>32.6</v>
      </c>
      <c r="D65" s="63" t="n">
        <f aca="false">INDEX('تحليل التكلفة والسعر'!$C$2:$C$700,MATCH($B65,'تحليل التكلفة والسعر'!$B$2:$B$700,0))</f>
        <v>33.55</v>
      </c>
      <c r="E65" s="63" t="n">
        <f aca="false">D65-C65</f>
        <v>0.950000000000003</v>
      </c>
      <c r="F65" s="64" t="n">
        <f aca="false">IF(C65=0,"",D65/C65-1)</f>
        <v>0.0291411042944787</v>
      </c>
      <c r="G65" s="56" t="n">
        <v>60</v>
      </c>
      <c r="H65" s="63" t="n">
        <f aca="false">INDEX('تحليل التكلفة والسعر'!$D$2:$D$700,MATCH($B65,'تحليل التكلفة والسعر'!$B$2:$B$700,0))</f>
        <v>70</v>
      </c>
      <c r="I65" s="64" t="n">
        <f aca="false">IF(OR(G65="",G65=0),"",C65/G65)</f>
        <v>0.543333333333333</v>
      </c>
      <c r="J65" s="64" t="n">
        <f aca="false">IF(OR(H65="",H65=0),"",D65/H65)</f>
        <v>0.479285714285714</v>
      </c>
      <c r="K65" s="64" t="n">
        <f aca="false">IF(OR(I65="",J65=""),"",J65-I65)</f>
        <v>-0.064047619047619</v>
      </c>
    </row>
    <row r="66" customFormat="false" ht="15" hidden="false" customHeight="true" outlineLevel="0" collapsed="false">
      <c r="A66" s="62" t="s">
        <v>9</v>
      </c>
      <c r="B66" s="62" t="s">
        <v>441</v>
      </c>
      <c r="C66" s="56" t="n">
        <v>63.2491</v>
      </c>
      <c r="D66" s="63" t="n">
        <f aca="false">INDEX('تحليل التكلفة والسعر'!$C$2:$C$700,MATCH($B66,'تحليل التكلفة والسعر'!$B$2:$B$700,0))</f>
        <v>64.8873</v>
      </c>
      <c r="E66" s="63" t="n">
        <f aca="false">D66-C66</f>
        <v>1.6382</v>
      </c>
      <c r="F66" s="64" t="n">
        <f aca="false">IF(C66=0,"",D66/C66-1)</f>
        <v>0.0259007638053348</v>
      </c>
      <c r="G66" s="56" t="n">
        <v>120</v>
      </c>
      <c r="H66" s="63" t="n">
        <f aca="false">INDEX('تحليل التكلفة والسعر'!$D$2:$D$700,MATCH($B66,'تحليل التكلفة والسعر'!$B$2:$B$700,0))</f>
        <v>130</v>
      </c>
      <c r="I66" s="64" t="n">
        <f aca="false">IF(OR(G66="",G66=0),"",C66/G66)</f>
        <v>0.527075833333333</v>
      </c>
      <c r="J66" s="64" t="n">
        <f aca="false">IF(OR(H66="",H66=0),"",D66/H66)</f>
        <v>0.499133076923077</v>
      </c>
      <c r="K66" s="64" t="n">
        <f aca="false">IF(OR(I66="",J66=""),"",J66-I66)</f>
        <v>-0.0279427564102564</v>
      </c>
    </row>
    <row r="67" customFormat="false" ht="15" hidden="false" customHeight="true" outlineLevel="0" collapsed="false">
      <c r="A67" s="62" t="s">
        <v>11</v>
      </c>
      <c r="B67" s="62" t="s">
        <v>442</v>
      </c>
      <c r="C67" s="56" t="n">
        <v>38.5453</v>
      </c>
      <c r="D67" s="63" t="n">
        <f aca="false">INDEX('تحليل التكلفة والسعر'!$C$2:$C$700,MATCH($B67,'تحليل التكلفة والسعر'!$B$2:$B$700,0))</f>
        <v>39.817972</v>
      </c>
      <c r="E67" s="63" t="n">
        <f aca="false">D67-C67</f>
        <v>1.272672</v>
      </c>
      <c r="F67" s="64" t="n">
        <f aca="false">IF(C67=0,"",D67/C67-1)</f>
        <v>0.033017566344016</v>
      </c>
      <c r="G67" s="56" t="n">
        <v>65</v>
      </c>
      <c r="H67" s="63" t="n">
        <f aca="false">INDEX('تحليل التكلفة والسعر'!$D$2:$D$700,MATCH($B67,'تحليل التكلفة والسعر'!$B$2:$B$700,0))</f>
        <v>75</v>
      </c>
      <c r="I67" s="64" t="n">
        <f aca="false">IF(OR(G67="",G67=0),"",C67/G67)</f>
        <v>0.593004615384615</v>
      </c>
      <c r="J67" s="64" t="n">
        <f aca="false">IF(OR(H67="",H67=0),"",D67/H67)</f>
        <v>0.530906293333333</v>
      </c>
      <c r="K67" s="64" t="n">
        <f aca="false">IF(OR(I67="",J67=""),"",J67-I67)</f>
        <v>-0.0620983220512821</v>
      </c>
    </row>
    <row r="68" customFormat="false" ht="15" hidden="false" customHeight="true" outlineLevel="0" collapsed="false">
      <c r="A68" s="62" t="s">
        <v>9</v>
      </c>
      <c r="B68" s="62" t="s">
        <v>443</v>
      </c>
      <c r="C68" s="56" t="n">
        <v>70.9291</v>
      </c>
      <c r="D68" s="63" t="n">
        <f aca="false">INDEX('تحليل التكلفة والسعر'!$C$2:$C$700,MATCH($B68,'تحليل التكلفة والسعر'!$B$2:$B$700,0))</f>
        <v>72.9165</v>
      </c>
      <c r="E68" s="63" t="n">
        <f aca="false">D68-C68</f>
        <v>1.98739999999999</v>
      </c>
      <c r="F68" s="64" t="n">
        <f aca="false">IF(C68=0,"",D68/C68-1)</f>
        <v>0.0280195293610097</v>
      </c>
      <c r="G68" s="56" t="n">
        <v>130</v>
      </c>
      <c r="H68" s="63" t="n">
        <f aca="false">INDEX('تحليل التكلفة والسعر'!$D$2:$D$700,MATCH($B68,'تحليل التكلفة والسعر'!$B$2:$B$700,0))</f>
        <v>140</v>
      </c>
      <c r="I68" s="64" t="n">
        <f aca="false">IF(OR(G68="",G68=0),"",C68/G68)</f>
        <v>0.545608461538462</v>
      </c>
      <c r="J68" s="64" t="n">
        <f aca="false">IF(OR(H68="",H68=0),"",D68/H68)</f>
        <v>0.520832142857143</v>
      </c>
      <c r="K68" s="64" t="n">
        <f aca="false">IF(OR(I68="",J68=""),"",J68-I68)</f>
        <v>-0.0247763186813187</v>
      </c>
    </row>
    <row r="69" customFormat="false" ht="15" hidden="false" customHeight="true" outlineLevel="0" collapsed="false">
      <c r="A69" s="62" t="s">
        <v>15</v>
      </c>
      <c r="B69" s="62" t="s">
        <v>444</v>
      </c>
      <c r="C69" s="56" t="n">
        <v>17</v>
      </c>
      <c r="D69" s="63" t="n">
        <f aca="false">INDEX('تحليل التكلفة والسعر'!$C$2:$C$700,MATCH($B69,'تحليل التكلفة والسعر'!$B$2:$B$700,0))</f>
        <v>17.475</v>
      </c>
      <c r="E69" s="63" t="n">
        <f aca="false">D69-C69</f>
        <v>0.475000000000001</v>
      </c>
      <c r="F69" s="64" t="n">
        <f aca="false">IF(C69=0,"",D69/C69-1)</f>
        <v>0.0279411764705884</v>
      </c>
      <c r="G69" s="56" t="n">
        <v>40</v>
      </c>
      <c r="H69" s="63" t="n">
        <f aca="false">INDEX('تحليل التكلفة والسعر'!$D$2:$D$700,MATCH($B69,'تحليل التكلفة والسعر'!$B$2:$B$700,0))</f>
        <v>50</v>
      </c>
      <c r="I69" s="64" t="n">
        <f aca="false">IF(OR(G69="",G69=0),"",C69/G69)</f>
        <v>0.425</v>
      </c>
      <c r="J69" s="64" t="n">
        <f aca="false">IF(OR(H69="",H69=0),"",D69/H69)</f>
        <v>0.3495</v>
      </c>
      <c r="K69" s="64" t="n">
        <f aca="false">IF(OR(I69="",J69=""),"",J69-I69)</f>
        <v>-0.0755</v>
      </c>
    </row>
    <row r="70" customFormat="false" ht="15" hidden="false" customHeight="true" outlineLevel="0" collapsed="false">
      <c r="A70" s="62" t="s">
        <v>10</v>
      </c>
      <c r="B70" s="62" t="s">
        <v>445</v>
      </c>
      <c r="C70" s="56" t="n">
        <v>81.408</v>
      </c>
      <c r="D70" s="63" t="n">
        <f aca="false">INDEX('تحليل التكلفة والسعر'!$C$2:$C$700,MATCH($B70,'تحليل التكلفة والسعر'!$B$2:$B$700,0))</f>
        <v>79.3742</v>
      </c>
      <c r="E70" s="63" t="n">
        <f aca="false">D70-C70</f>
        <v>-2.0338</v>
      </c>
      <c r="F70" s="64" t="n">
        <f aca="false">IF(C70=0,"",D70/C70-1)</f>
        <v>-0.0249828026729559</v>
      </c>
      <c r="G70" s="56" t="n">
        <v>140</v>
      </c>
      <c r="H70" s="63" t="n">
        <f aca="false">INDEX('تحليل التكلفة والسعر'!$D$2:$D$700,MATCH($B70,'تحليل التكلفة والسعر'!$B$2:$B$700,0))</f>
        <v>150</v>
      </c>
      <c r="I70" s="64" t="n">
        <f aca="false">IF(OR(G70="",G70=0),"",C70/G70)</f>
        <v>0.581485714285714</v>
      </c>
      <c r="J70" s="64" t="n">
        <f aca="false">IF(OR(H70="",H70=0),"",D70/H70)</f>
        <v>0.529161333333333</v>
      </c>
      <c r="K70" s="64" t="n">
        <f aca="false">IF(OR(I70="",J70=""),"",J70-I70)</f>
        <v>-0.0523243809523809</v>
      </c>
    </row>
    <row r="71" customFormat="false" ht="15" hidden="false" customHeight="true" outlineLevel="0" collapsed="false">
      <c r="A71" s="62" t="s">
        <v>19</v>
      </c>
      <c r="B71" s="62" t="s">
        <v>446</v>
      </c>
      <c r="C71" s="56" t="n">
        <v>58.5187</v>
      </c>
      <c r="D71" s="63" t="n">
        <f aca="false">INDEX('تحليل التكلفة والسعر'!$C$2:$C$700,MATCH($B71,'تحليل التكلفة والسعر'!$B$2:$B$700,0))</f>
        <v>59.9765</v>
      </c>
      <c r="E71" s="63" t="n">
        <f aca="false">D71-C71</f>
        <v>1.4578</v>
      </c>
      <c r="F71" s="64" t="n">
        <f aca="false">IF(C71=0,"",D71/C71-1)</f>
        <v>0.0249116948941108</v>
      </c>
      <c r="G71" s="56" t="n">
        <v>150</v>
      </c>
      <c r="H71" s="63" t="n">
        <f aca="false">INDEX('تحليل التكلفة والسعر'!$D$2:$D$700,MATCH($B71,'تحليل التكلفة والسعر'!$B$2:$B$700,0))</f>
        <v>160</v>
      </c>
      <c r="I71" s="64" t="n">
        <f aca="false">IF(OR(G71="",G71=0),"",C71/G71)</f>
        <v>0.390124666666667</v>
      </c>
      <c r="J71" s="64" t="n">
        <f aca="false">IF(OR(H71="",H71=0),"",D71/H71)</f>
        <v>0.374853125</v>
      </c>
      <c r="K71" s="64" t="n">
        <f aca="false">IF(OR(I71="",J71=""),"",J71-I71)</f>
        <v>-0.0152715416666667</v>
      </c>
    </row>
    <row r="72" customFormat="false" ht="15" hidden="false" customHeight="true" outlineLevel="0" collapsed="false">
      <c r="A72" s="62" t="s">
        <v>10</v>
      </c>
      <c r="B72" s="62" t="s">
        <v>447</v>
      </c>
      <c r="C72" s="56" t="n">
        <v>112.45395</v>
      </c>
      <c r="D72" s="63" t="n">
        <f aca="false">INDEX('تحليل التكلفة والسعر'!$C$2:$C$700,MATCH($B72,'تحليل التكلفة والسعر'!$B$2:$B$700,0))</f>
        <v>110.1632</v>
      </c>
      <c r="E72" s="63" t="n">
        <f aca="false">D72-C72</f>
        <v>-2.29075</v>
      </c>
      <c r="F72" s="64" t="n">
        <f aca="false">IF(C72=0,"",D72/C72-1)</f>
        <v>-0.020370560571683</v>
      </c>
      <c r="G72" s="56" t="n">
        <v>240</v>
      </c>
      <c r="H72" s="63" t="n">
        <f aca="false">INDEX('تحليل التكلفة والسعر'!$D$2:$D$700,MATCH($B72,'تحليل التكلفة والسعر'!$B$2:$B$700,0))</f>
        <v>250</v>
      </c>
      <c r="I72" s="64" t="n">
        <f aca="false">IF(OR(G72="",G72=0),"",C72/G72)</f>
        <v>0.468558125</v>
      </c>
      <c r="J72" s="64" t="n">
        <f aca="false">IF(OR(H72="",H72=0),"",D72/H72)</f>
        <v>0.4406528</v>
      </c>
      <c r="K72" s="64" t="n">
        <f aca="false">IF(OR(I72="",J72=""),"",J72-I72)</f>
        <v>-0.027905325</v>
      </c>
    </row>
    <row r="73" customFormat="false" ht="15" hidden="false" customHeight="true" outlineLevel="0" collapsed="false">
      <c r="A73" s="62" t="s">
        <v>10</v>
      </c>
      <c r="B73" s="62" t="s">
        <v>448</v>
      </c>
      <c r="C73" s="56" t="n">
        <v>107.01645</v>
      </c>
      <c r="D73" s="63" t="n">
        <f aca="false">INDEX('تحليل التكلفة والسعر'!$C$2:$C$700,MATCH($B73,'تحليل التكلفة والسعر'!$B$2:$B$700,0))</f>
        <v>104.9132</v>
      </c>
      <c r="E73" s="63" t="n">
        <f aca="false">D73-C73</f>
        <v>-2.10325</v>
      </c>
      <c r="F73" s="64" t="n">
        <f aca="false">IF(C73=0,"",D73/C73-1)</f>
        <v>-0.0196535205568864</v>
      </c>
      <c r="G73" s="56" t="n">
        <v>240</v>
      </c>
      <c r="H73" s="63" t="n">
        <f aca="false">INDEX('تحليل التكلفة والسعر'!$D$2:$D$700,MATCH($B73,'تحليل التكلفة والسعر'!$B$2:$B$700,0))</f>
        <v>250</v>
      </c>
      <c r="I73" s="64" t="n">
        <f aca="false">IF(OR(G73="",G73=0),"",C73/G73)</f>
        <v>0.445901875</v>
      </c>
      <c r="J73" s="64" t="n">
        <f aca="false">IF(OR(H73="",H73=0),"",D73/H73)</f>
        <v>0.4196528</v>
      </c>
      <c r="K73" s="64" t="n">
        <f aca="false">IF(OR(I73="",J73=""),"",J73-I73)</f>
        <v>-0.026249075</v>
      </c>
    </row>
    <row r="74" customFormat="false" ht="15" hidden="false" customHeight="true" outlineLevel="0" collapsed="false">
      <c r="A74" s="62" t="s">
        <v>14</v>
      </c>
      <c r="B74" s="62" t="s">
        <v>449</v>
      </c>
      <c r="C74" s="56" t="n">
        <v>51.7323666666667</v>
      </c>
      <c r="D74" s="63" t="n">
        <f aca="false">INDEX('تحليل التكلفة والسعر'!$C$2:$C$700,MATCH($B74,'تحليل التكلفة والسعر'!$B$2:$B$700,0))</f>
        <v>50.6019620833333</v>
      </c>
      <c r="E74" s="63" t="n">
        <f aca="false">D74-C74</f>
        <v>-1.13040458333337</v>
      </c>
      <c r="F74" s="64" t="n">
        <f aca="false">IF(C74=0,"",D74/C74-1)</f>
        <v>-0.0218510123578346</v>
      </c>
      <c r="G74" s="56" t="n">
        <v>100</v>
      </c>
      <c r="H74" s="63" t="n">
        <f aca="false">INDEX('تحليل التكلفة والسعر'!$D$2:$D$700,MATCH($B74,'تحليل التكلفة والسعر'!$B$2:$B$700,0))</f>
        <v>110</v>
      </c>
      <c r="I74" s="64" t="n">
        <f aca="false">IF(OR(G74="",G74=0),"",C74/G74)</f>
        <v>0.517323666666667</v>
      </c>
      <c r="J74" s="64" t="n">
        <f aca="false">IF(OR(H74="",H74=0),"",D74/H74)</f>
        <v>0.460017837121212</v>
      </c>
      <c r="K74" s="64" t="n">
        <f aca="false">IF(OR(I74="",J74=""),"",J74-I74)</f>
        <v>-0.0573058295454548</v>
      </c>
    </row>
    <row r="75" customFormat="false" ht="15" hidden="false" customHeight="true" outlineLevel="0" collapsed="false">
      <c r="A75" s="62" t="s">
        <v>14</v>
      </c>
      <c r="B75" s="62" t="s">
        <v>450</v>
      </c>
      <c r="C75" s="56" t="n">
        <v>70.3623666666667</v>
      </c>
      <c r="D75" s="63" t="n">
        <f aca="false">INDEX('تحليل التكلفة والسعر'!$C$2:$C$700,MATCH($B75,'تحليل التكلفة والسعر'!$B$2:$B$700,0))</f>
        <v>69.0839620833333</v>
      </c>
      <c r="E75" s="63" t="n">
        <f aca="false">D75-C75</f>
        <v>-1.27840458333337</v>
      </c>
      <c r="F75" s="64" t="n">
        <f aca="false">IF(C75=0,"",D75/C75-1)</f>
        <v>-0.018168868443406</v>
      </c>
      <c r="G75" s="56" t="n">
        <v>110</v>
      </c>
      <c r="H75" s="63" t="n">
        <f aca="false">INDEX('تحليل التكلفة والسعر'!$D$2:$D$700,MATCH($B75,'تحليل التكلفة والسعر'!$B$2:$B$700,0))</f>
        <v>120</v>
      </c>
      <c r="I75" s="64" t="n">
        <f aca="false">IF(OR(G75="",G75=0),"",C75/G75)</f>
        <v>0.639657878787879</v>
      </c>
      <c r="J75" s="64" t="n">
        <f aca="false">IF(OR(H75="",H75=0),"",D75/H75)</f>
        <v>0.575699684027778</v>
      </c>
      <c r="K75" s="64" t="n">
        <f aca="false">IF(OR(I75="",J75=""),"",J75-I75)</f>
        <v>-0.0639581947601013</v>
      </c>
    </row>
    <row r="76" customFormat="false" ht="15" hidden="false" customHeight="true" outlineLevel="0" collapsed="false">
      <c r="A76" s="62" t="s">
        <v>19</v>
      </c>
      <c r="B76" s="62" t="s">
        <v>451</v>
      </c>
      <c r="C76" s="56" t="n">
        <v>67.2687</v>
      </c>
      <c r="D76" s="63" t="n">
        <f aca="false">INDEX('تحليل التكلفة والسعر'!$C$2:$C$700,MATCH($B76,'تحليل التكلفة والسعر'!$B$2:$B$700,0))</f>
        <v>68.7265</v>
      </c>
      <c r="E76" s="63" t="n">
        <f aca="false">D76-C76</f>
        <v>1.45780000000001</v>
      </c>
      <c r="F76" s="64" t="n">
        <f aca="false">IF(C76=0,"",D76/C76-1)</f>
        <v>0.0216712973492874</v>
      </c>
      <c r="G76" s="56" t="n">
        <v>160</v>
      </c>
      <c r="H76" s="63" t="n">
        <f aca="false">INDEX('تحليل التكلفة والسعر'!$D$2:$D$700,MATCH($B76,'تحليل التكلفة والسعر'!$B$2:$B$700,0))</f>
        <v>170</v>
      </c>
      <c r="I76" s="64" t="n">
        <f aca="false">IF(OR(G76="",G76=0),"",C76/G76)</f>
        <v>0.420429375</v>
      </c>
      <c r="J76" s="64" t="n">
        <f aca="false">IF(OR(H76="",H76=0),"",D76/H76)</f>
        <v>0.404273529411765</v>
      </c>
      <c r="K76" s="64" t="n">
        <f aca="false">IF(OR(I76="",J76=""),"",J76-I76)</f>
        <v>-0.0161558455882353</v>
      </c>
    </row>
    <row r="77" customFormat="false" ht="15" hidden="false" customHeight="true" outlineLevel="0" collapsed="false">
      <c r="A77" s="62" t="s">
        <v>13</v>
      </c>
      <c r="B77" s="62" t="s">
        <v>452</v>
      </c>
      <c r="C77" s="56" t="n">
        <v>92.4977</v>
      </c>
      <c r="D77" s="63" t="n">
        <f aca="false">INDEX('تحليل التكلفة والسعر'!$C$2:$C$700,MATCH($B77,'تحليل التكلفة والسعر'!$B$2:$B$700,0))</f>
        <v>90.541035</v>
      </c>
      <c r="E77" s="63" t="n">
        <f aca="false">D77-C77</f>
        <v>-1.956665</v>
      </c>
      <c r="F77" s="64" t="n">
        <f aca="false">IF(C77=0,"",D77/C77-1)</f>
        <v>-0.0211536611180603</v>
      </c>
      <c r="G77" s="56" t="n">
        <v>170</v>
      </c>
      <c r="H77" s="63" t="n">
        <f aca="false">INDEX('تحليل التكلفة والسعر'!$D$2:$D$700,MATCH($B77,'تحليل التكلفة والسعر'!$B$2:$B$700,0))</f>
        <v>180</v>
      </c>
      <c r="I77" s="64" t="n">
        <f aca="false">IF(OR(G77="",G77=0),"",C77/G77)</f>
        <v>0.544104117647059</v>
      </c>
      <c r="J77" s="64" t="n">
        <f aca="false">IF(OR(H77="",H77=0),"",D77/H77)</f>
        <v>0.50300575</v>
      </c>
      <c r="K77" s="64" t="n">
        <f aca="false">IF(OR(I77="",J77=""),"",J77-I77)</f>
        <v>-0.0410983676470589</v>
      </c>
    </row>
    <row r="78" customFormat="false" ht="15" hidden="false" customHeight="true" outlineLevel="0" collapsed="false">
      <c r="A78" s="62" t="s">
        <v>10</v>
      </c>
      <c r="B78" s="62" t="s">
        <v>453</v>
      </c>
      <c r="C78" s="56" t="n">
        <v>66.9303</v>
      </c>
      <c r="D78" s="63" t="n">
        <f aca="false">INDEX('تحليل التكلفة والسعر'!$C$2:$C$700,MATCH($B78,'تحليل التكلفة والسعر'!$B$2:$B$700,0))</f>
        <v>68.2965</v>
      </c>
      <c r="E78" s="63" t="n">
        <f aca="false">D78-C78</f>
        <v>1.36619999999999</v>
      </c>
      <c r="F78" s="64" t="n">
        <f aca="false">IF(C78=0,"",D78/C78-1)</f>
        <v>0.0204122796401629</v>
      </c>
      <c r="G78" s="56" t="n">
        <v>130</v>
      </c>
      <c r="H78" s="63" t="n">
        <f aca="false">INDEX('تحليل التكلفة والسعر'!$D$2:$D$700,MATCH($B78,'تحليل التكلفة والسعر'!$B$2:$B$700,0))</f>
        <v>140</v>
      </c>
      <c r="I78" s="64" t="n">
        <f aca="false">IF(OR(G78="",G78=0),"",C78/G78)</f>
        <v>0.514848461538462</v>
      </c>
      <c r="J78" s="64" t="n">
        <f aca="false">IF(OR(H78="",H78=0),"",D78/H78)</f>
        <v>0.487832142857143</v>
      </c>
      <c r="K78" s="64" t="n">
        <f aca="false">IF(OR(I78="",J78=""),"",J78-I78)</f>
        <v>-0.0270163186813187</v>
      </c>
    </row>
    <row r="79" customFormat="false" ht="15" hidden="false" customHeight="true" outlineLevel="0" collapsed="false">
      <c r="A79" s="62" t="s">
        <v>10</v>
      </c>
      <c r="B79" s="62" t="s">
        <v>454</v>
      </c>
      <c r="C79" s="56" t="n">
        <v>106.15395</v>
      </c>
      <c r="D79" s="63" t="n">
        <f aca="false">INDEX('تحليل التكلفة والسعر'!$C$2:$C$700,MATCH($B79,'تحليل التكلفة والسعر'!$B$2:$B$700,0))</f>
        <v>104.1315</v>
      </c>
      <c r="E79" s="63" t="n">
        <f aca="false">D79-C79</f>
        <v>-2.02244999999999</v>
      </c>
      <c r="F79" s="64" t="n">
        <f aca="false">IF(C79=0,"",D79/C79-1)</f>
        <v>-0.0190520465795195</v>
      </c>
      <c r="G79" s="56" t="n">
        <v>180</v>
      </c>
      <c r="H79" s="63" t="n">
        <f aca="false">INDEX('تحليل التكلفة والسعر'!$D$2:$D$700,MATCH($B79,'تحليل التكلفة والسعر'!$B$2:$B$700,0))</f>
        <v>190</v>
      </c>
      <c r="I79" s="64" t="n">
        <f aca="false">IF(OR(G79="",G79=0),"",C79/G79)</f>
        <v>0.589744166666667</v>
      </c>
      <c r="J79" s="64" t="n">
        <f aca="false">IF(OR(H79="",H79=0),"",D79/H79)</f>
        <v>0.54806052631579</v>
      </c>
      <c r="K79" s="64" t="n">
        <f aca="false">IF(OR(I79="",J79=""),"",J79-I79)</f>
        <v>-0.0416836403508771</v>
      </c>
    </row>
    <row r="80" customFormat="false" ht="15" hidden="false" customHeight="true" outlineLevel="0" collapsed="false">
      <c r="A80" s="62" t="s">
        <v>13</v>
      </c>
      <c r="B80" s="62" t="s">
        <v>455</v>
      </c>
      <c r="C80" s="56" t="n">
        <v>78.02</v>
      </c>
      <c r="D80" s="63" t="n">
        <f aca="false">INDEX('تحليل التكلفة والسعر'!$C$2:$C$700,MATCH($B80,'تحليل التكلفة والسعر'!$B$2:$B$700,0))</f>
        <v>79.463335</v>
      </c>
      <c r="E80" s="63" t="n">
        <f aca="false">D80-C80</f>
        <v>1.443335</v>
      </c>
      <c r="F80" s="64" t="n">
        <f aca="false">IF(C80=0,"",D80/C80-1)</f>
        <v>0.0184995513970778</v>
      </c>
      <c r="G80" s="56" t="n">
        <v>130</v>
      </c>
      <c r="H80" s="63" t="n">
        <f aca="false">INDEX('تحليل التكلفة والسعر'!$D$2:$D$700,MATCH($B80,'تحليل التكلفة والسعر'!$B$2:$B$700,0))</f>
        <v>140</v>
      </c>
      <c r="I80" s="64" t="n">
        <f aca="false">IF(OR(G80="",G80=0),"",C80/G80)</f>
        <v>0.600153846153846</v>
      </c>
      <c r="J80" s="64" t="n">
        <f aca="false">IF(OR(H80="",H80=0),"",D80/H80)</f>
        <v>0.56759525</v>
      </c>
      <c r="K80" s="64" t="n">
        <f aca="false">IF(OR(I80="",J80=""),"",J80-I80)</f>
        <v>-0.0325585961538462</v>
      </c>
    </row>
    <row r="81" customFormat="false" ht="15" hidden="false" customHeight="true" outlineLevel="0" collapsed="false">
      <c r="A81" s="62" t="s">
        <v>15</v>
      </c>
      <c r="B81" s="62" t="s">
        <v>456</v>
      </c>
      <c r="C81" s="56" t="n">
        <v>24.6777</v>
      </c>
      <c r="D81" s="63" t="n">
        <f aca="false">INDEX('تحليل التكلفة والسعر'!$C$2:$C$700,MATCH($B81,'تحليل التكلفة والسعر'!$B$2:$B$700,0))</f>
        <v>25.1277</v>
      </c>
      <c r="E81" s="63" t="n">
        <f aca="false">D81-C81</f>
        <v>0.450000000000003</v>
      </c>
      <c r="F81" s="64" t="n">
        <f aca="false">IF(C81=0,"",D81/C81-1)</f>
        <v>0.0182350867382293</v>
      </c>
      <c r="G81" s="56" t="n">
        <v>50</v>
      </c>
      <c r="H81" s="63" t="n">
        <f aca="false">INDEX('تحليل التكلفة والسعر'!$D$2:$D$700,MATCH($B81,'تحليل التكلفة والسعر'!$B$2:$B$700,0))</f>
        <v>60</v>
      </c>
      <c r="I81" s="64" t="n">
        <f aca="false">IF(OR(G81="",G81=0),"",C81/G81)</f>
        <v>0.493554</v>
      </c>
      <c r="J81" s="64" t="n">
        <f aca="false">IF(OR(H81="",H81=0),"",D81/H81)</f>
        <v>0.418795</v>
      </c>
      <c r="K81" s="64" t="n">
        <f aca="false">IF(OR(I81="",J81=""),"",J81-I81)</f>
        <v>-0.074759</v>
      </c>
    </row>
    <row r="82" customFormat="false" ht="15" hidden="false" customHeight="true" outlineLevel="0" collapsed="false">
      <c r="A82" s="62" t="s">
        <v>380</v>
      </c>
      <c r="B82" s="62" t="s">
        <v>457</v>
      </c>
      <c r="C82" s="56" t="n">
        <v>6.875</v>
      </c>
      <c r="D82" s="63" t="n">
        <f aca="false">INDEX('تحليل التكلفة والسعر'!$C$2:$C$700,MATCH($B82,'تحليل التكلفة والسعر'!$B$2:$B$700,0))</f>
        <v>7</v>
      </c>
      <c r="E82" s="63" t="n">
        <f aca="false">D82-C82</f>
        <v>0.125</v>
      </c>
      <c r="F82" s="64" t="n">
        <f aca="false">IF(C82=0,"",D82/C82-1)</f>
        <v>0.0181818181818181</v>
      </c>
      <c r="G82" s="56" t="n">
        <v>24.5</v>
      </c>
      <c r="H82" s="63" t="n">
        <f aca="false">INDEX('تحليل التكلفة والسعر'!$D$2:$D$700,MATCH($B82,'تحليل التكلفة والسعر'!$B$2:$B$700,0))</f>
        <v>34.5</v>
      </c>
      <c r="I82" s="64" t="n">
        <f aca="false">IF(OR(G82="",G82=0),"",C82/G82)</f>
        <v>0.280612244897959</v>
      </c>
      <c r="J82" s="64" t="n">
        <f aca="false">IF(OR(H82="",H82=0),"",D82/H82)</f>
        <v>0.202898550724638</v>
      </c>
      <c r="K82" s="64" t="n">
        <f aca="false">IF(OR(I82="",J82=""),"",J82-I82)</f>
        <v>-0.0777136941733215</v>
      </c>
    </row>
    <row r="83" customFormat="false" ht="15" hidden="false" customHeight="true" outlineLevel="0" collapsed="false">
      <c r="A83" s="62" t="s">
        <v>380</v>
      </c>
      <c r="B83" s="62" t="s">
        <v>458</v>
      </c>
      <c r="C83" s="56" t="n">
        <v>10.3125</v>
      </c>
      <c r="D83" s="63" t="n">
        <f aca="false">INDEX('تحليل التكلفة والسعر'!$C$2:$C$700,MATCH($B83,'تحليل التكلفة والسعر'!$B$2:$B$700,0))</f>
        <v>10.5</v>
      </c>
      <c r="E83" s="63" t="n">
        <f aca="false">D83-C83</f>
        <v>0.1875</v>
      </c>
      <c r="F83" s="64" t="n">
        <f aca="false">IF(C83=0,"",D83/C83-1)</f>
        <v>0.0181818181818181</v>
      </c>
      <c r="G83" s="56" t="n">
        <v>30</v>
      </c>
      <c r="H83" s="63" t="n">
        <f aca="false">INDEX('تحليل التكلفة والسعر'!$D$2:$D$700,MATCH($B83,'تحليل التكلفة والسعر'!$B$2:$B$700,0))</f>
        <v>40</v>
      </c>
      <c r="I83" s="64" t="n">
        <f aca="false">IF(OR(G83="",G83=0),"",C83/G83)</f>
        <v>0.34375</v>
      </c>
      <c r="J83" s="64" t="n">
        <f aca="false">IF(OR(H83="",H83=0),"",D83/H83)</f>
        <v>0.2625</v>
      </c>
      <c r="K83" s="64" t="n">
        <f aca="false">IF(OR(I83="",J83=""),"",J83-I83)</f>
        <v>-0.08125</v>
      </c>
    </row>
    <row r="84" customFormat="false" ht="15" hidden="false" customHeight="true" outlineLevel="0" collapsed="false">
      <c r="A84" s="62" t="s">
        <v>10</v>
      </c>
      <c r="B84" s="62" t="s">
        <v>459</v>
      </c>
      <c r="C84" s="56" t="n">
        <v>84.408</v>
      </c>
      <c r="D84" s="63" t="n">
        <f aca="false">INDEX('تحليل التكلفة والسعر'!$C$2:$C$700,MATCH($B84,'تحليل التكلفة والسعر'!$B$2:$B$700,0))</f>
        <v>82.8742</v>
      </c>
      <c r="E84" s="63" t="n">
        <f aca="false">D84-C84</f>
        <v>-1.5338</v>
      </c>
      <c r="F84" s="64" t="n">
        <f aca="false">IF(C84=0,"",D84/C84-1)</f>
        <v>-0.0181712633873566</v>
      </c>
      <c r="G84" s="56" t="n">
        <v>140</v>
      </c>
      <c r="H84" s="63" t="n">
        <f aca="false">INDEX('تحليل التكلفة والسعر'!$D$2:$D$700,MATCH($B84,'تحليل التكلفة والسعر'!$B$2:$B$700,0))</f>
        <v>150</v>
      </c>
      <c r="I84" s="64" t="n">
        <f aca="false">IF(OR(G84="",G84=0),"",C84/G84)</f>
        <v>0.602914285714286</v>
      </c>
      <c r="J84" s="64" t="n">
        <f aca="false">IF(OR(H84="",H84=0),"",D84/H84)</f>
        <v>0.552494666666667</v>
      </c>
      <c r="K84" s="64" t="n">
        <f aca="false">IF(OR(I84="",J84=""),"",J84-I84)</f>
        <v>-0.050419619047619</v>
      </c>
    </row>
    <row r="85" customFormat="false" ht="15" hidden="false" customHeight="true" outlineLevel="0" collapsed="false">
      <c r="A85" s="62" t="s">
        <v>10</v>
      </c>
      <c r="B85" s="62" t="s">
        <v>460</v>
      </c>
      <c r="C85" s="56" t="n">
        <v>41.05</v>
      </c>
      <c r="D85" s="63" t="n">
        <f aca="false">INDEX('تحليل التكلفة والسعر'!$C$2:$C$700,MATCH($B85,'تحليل التكلفة والسعر'!$B$2:$B$700,0))</f>
        <v>41.85</v>
      </c>
      <c r="E85" s="63" t="n">
        <f aca="false">D85-C85</f>
        <v>0.800000000000004</v>
      </c>
      <c r="F85" s="64" t="n">
        <f aca="false">IF(C85=0,"",D85/C85-1)</f>
        <v>0.0194884287454324</v>
      </c>
      <c r="G85" s="56" t="n">
        <v>60</v>
      </c>
      <c r="H85" s="63" t="n">
        <f aca="false">INDEX('تحليل التكلفة والسعر'!$D$2:$D$700,MATCH($B85,'تحليل التكلفة والسعر'!$B$2:$B$700,0))</f>
        <v>70</v>
      </c>
      <c r="I85" s="64" t="n">
        <f aca="false">IF(OR(G85="",G85=0),"",C85/G85)</f>
        <v>0.684166666666667</v>
      </c>
      <c r="J85" s="64" t="n">
        <f aca="false">IF(OR(H85="",H85=0),"",D85/H85)</f>
        <v>0.597857142857143</v>
      </c>
      <c r="K85" s="64" t="n">
        <f aca="false">IF(OR(I85="",J85=""),"",J85-I85)</f>
        <v>-0.0863095238095237</v>
      </c>
    </row>
    <row r="86" customFormat="false" ht="15" hidden="false" customHeight="true" outlineLevel="0" collapsed="false">
      <c r="A86" s="62" t="s">
        <v>10</v>
      </c>
      <c r="B86" s="62" t="s">
        <v>461</v>
      </c>
      <c r="C86" s="56" t="n">
        <v>78.9303</v>
      </c>
      <c r="D86" s="63" t="n">
        <f aca="false">INDEX('تحليل التكلفة والسعر'!$C$2:$C$700,MATCH($B86,'تحليل التكلفة والسعر'!$B$2:$B$700,0))</f>
        <v>77.7785</v>
      </c>
      <c r="E86" s="63" t="n">
        <f aca="false">D86-C86</f>
        <v>-1.15180000000001</v>
      </c>
      <c r="F86" s="64" t="n">
        <f aca="false">IF(C86=0,"",D86/C86-1)</f>
        <v>-0.0145926215914548</v>
      </c>
      <c r="G86" s="56" t="n">
        <v>150</v>
      </c>
      <c r="H86" s="63" t="n">
        <f aca="false">INDEX('تحليل التكلفة والسعر'!$D$2:$D$700,MATCH($B86,'تحليل التكلفة والسعر'!$B$2:$B$700,0))</f>
        <v>160</v>
      </c>
      <c r="I86" s="64" t="n">
        <f aca="false">IF(OR(G86="",G86=0),"",C86/G86)</f>
        <v>0.526202</v>
      </c>
      <c r="J86" s="64" t="n">
        <f aca="false">IF(OR(H86="",H86=0),"",D86/H86)</f>
        <v>0.486115625</v>
      </c>
      <c r="K86" s="64" t="n">
        <f aca="false">IF(OR(I86="",J86=""),"",J86-I86)</f>
        <v>-0.0400863750000001</v>
      </c>
    </row>
    <row r="87" customFormat="false" ht="15" hidden="false" customHeight="true" outlineLevel="0" collapsed="false">
      <c r="A87" s="62" t="s">
        <v>9</v>
      </c>
      <c r="B87" s="62" t="s">
        <v>462</v>
      </c>
      <c r="C87" s="56" t="n">
        <v>94.84215</v>
      </c>
      <c r="D87" s="63" t="n">
        <f aca="false">INDEX('تحليل التكلفة والسعر'!$C$2:$C$700,MATCH($B87,'تحليل التكلفة والسعر'!$B$2:$B$700,0))</f>
        <v>96.9577</v>
      </c>
      <c r="E87" s="63" t="n">
        <f aca="false">D87-C87</f>
        <v>2.11555</v>
      </c>
      <c r="F87" s="64" t="n">
        <f aca="false">IF(C87=0,"",D87/C87-1)</f>
        <v>0.0223060105659771</v>
      </c>
      <c r="G87" s="56" t="n">
        <v>190</v>
      </c>
      <c r="H87" s="63" t="n">
        <f aca="false">INDEX('تحليل التكلفة والسعر'!$D$2:$D$700,MATCH($B87,'تحليل التكلفة والسعر'!$B$2:$B$700,0))</f>
        <v>200</v>
      </c>
      <c r="I87" s="64" t="n">
        <f aca="false">IF(OR(G87="",G87=0),"",C87/G87)</f>
        <v>0.499169210526316</v>
      </c>
      <c r="J87" s="64" t="n">
        <f aca="false">IF(OR(H87="",H87=0),"",D87/H87)</f>
        <v>0.4847885</v>
      </c>
      <c r="K87" s="64" t="n">
        <f aca="false">IF(OR(I87="",J87=""),"",J87-I87)</f>
        <v>-0.0143807105263158</v>
      </c>
    </row>
    <row r="88" customFormat="false" ht="15" hidden="false" customHeight="true" outlineLevel="0" collapsed="false">
      <c r="A88" s="62" t="s">
        <v>10</v>
      </c>
      <c r="B88" s="62" t="s">
        <v>463</v>
      </c>
      <c r="C88" s="56" t="n">
        <v>75.3053</v>
      </c>
      <c r="D88" s="63" t="n">
        <f aca="false">INDEX('تحليل التكلفة والسعر'!$C$2:$C$700,MATCH($B88,'تحليل التكلفة والسعر'!$B$2:$B$700,0))</f>
        <v>74.2785</v>
      </c>
      <c r="E88" s="63" t="n">
        <f aca="false">D88-C88</f>
        <v>-1.02680000000001</v>
      </c>
      <c r="F88" s="64" t="n">
        <f aca="false">IF(C88=0,"",D88/C88-1)</f>
        <v>-0.0136351624653246</v>
      </c>
      <c r="G88" s="56" t="n">
        <v>150</v>
      </c>
      <c r="H88" s="63" t="n">
        <f aca="false">INDEX('تحليل التكلفة والسعر'!$D$2:$D$700,MATCH($B88,'تحليل التكلفة والسعر'!$B$2:$B$700,0))</f>
        <v>160</v>
      </c>
      <c r="I88" s="64" t="n">
        <f aca="false">IF(OR(G88="",G88=0),"",C88/G88)</f>
        <v>0.502035333333333</v>
      </c>
      <c r="J88" s="64" t="n">
        <f aca="false">IF(OR(H88="",H88=0),"",D88/H88)</f>
        <v>0.464240625</v>
      </c>
      <c r="K88" s="64" t="n">
        <f aca="false">IF(OR(I88="",J88=""),"",J88-I88)</f>
        <v>-0.0377947083333334</v>
      </c>
    </row>
    <row r="89" customFormat="false" ht="15" hidden="false" customHeight="true" outlineLevel="0" collapsed="false">
      <c r="A89" s="62" t="s">
        <v>9</v>
      </c>
      <c r="B89" s="62" t="s">
        <v>464</v>
      </c>
      <c r="C89" s="56" t="n">
        <v>85.4068</v>
      </c>
      <c r="D89" s="63" t="n">
        <f aca="false">INDEX('تحليل التكلفة والسعر'!$C$2:$C$700,MATCH($B89,'تحليل التكلفة والسعر'!$B$2:$B$700,0))</f>
        <v>83.9942</v>
      </c>
      <c r="E89" s="63" t="n">
        <f aca="false">D89-C89</f>
        <v>-1.4126</v>
      </c>
      <c r="F89" s="64" t="n">
        <f aca="false">IF(C89=0,"",D89/C89-1)</f>
        <v>-0.01653966663076</v>
      </c>
      <c r="G89" s="56" t="n">
        <v>140</v>
      </c>
      <c r="H89" s="63" t="n">
        <f aca="false">INDEX('تحليل التكلفة والسعر'!$D$2:$D$700,MATCH($B89,'تحليل التكلفة والسعر'!$B$2:$B$700,0))</f>
        <v>150</v>
      </c>
      <c r="I89" s="64" t="n">
        <f aca="false">IF(OR(G89="",G89=0),"",C89/G89)</f>
        <v>0.610048571428572</v>
      </c>
      <c r="J89" s="64" t="n">
        <f aca="false">IF(OR(H89="",H89=0),"",D89/H89)</f>
        <v>0.559961333333333</v>
      </c>
      <c r="K89" s="64" t="n">
        <f aca="false">IF(OR(I89="",J89=""),"",J89-I89)</f>
        <v>-0.0500872380952381</v>
      </c>
    </row>
    <row r="90" customFormat="false" ht="15" hidden="false" customHeight="true" outlineLevel="0" collapsed="false">
      <c r="A90" s="62" t="s">
        <v>9</v>
      </c>
      <c r="B90" s="62" t="s">
        <v>465</v>
      </c>
      <c r="C90" s="56" t="n">
        <v>195.27215</v>
      </c>
      <c r="D90" s="63" t="n">
        <f aca="false">INDEX('تحليل التكلفة والسعر'!$C$2:$C$700,MATCH($B90,'تحليل التكلفة والسعر'!$B$2:$B$700,0))</f>
        <v>192.791</v>
      </c>
      <c r="E90" s="63" t="n">
        <f aca="false">D90-C90</f>
        <v>-2.48115000000001</v>
      </c>
      <c r="F90" s="64" t="n">
        <f aca="false">IF(C90=0,"",D90/C90-1)</f>
        <v>-0.0127061129812931</v>
      </c>
      <c r="G90" s="56" t="n">
        <v>350</v>
      </c>
      <c r="H90" s="63" t="n">
        <f aca="false">INDEX('تحليل التكلفة والسعر'!$D$2:$D$700,MATCH($B90,'تحليل التكلفة والسعر'!$B$2:$B$700,0))</f>
        <v>360</v>
      </c>
      <c r="I90" s="64" t="n">
        <f aca="false">IF(OR(G90="",G90=0),"",C90/G90)</f>
        <v>0.557920428571429</v>
      </c>
      <c r="J90" s="64" t="n">
        <f aca="false">IF(OR(H90="",H90=0),"",D90/H90)</f>
        <v>0.535530555555556</v>
      </c>
      <c r="K90" s="64" t="n">
        <f aca="false">IF(OR(I90="",J90=""),"",J90-I90)</f>
        <v>-0.0223898730158731</v>
      </c>
    </row>
    <row r="91" customFormat="false" ht="15" hidden="false" customHeight="true" outlineLevel="0" collapsed="false">
      <c r="A91" s="62" t="s">
        <v>9</v>
      </c>
      <c r="B91" s="62" t="s">
        <v>466</v>
      </c>
      <c r="C91" s="56" t="n">
        <v>125.9291</v>
      </c>
      <c r="D91" s="63" t="n">
        <f aca="false">INDEX('تحليل التكلفة والسعر'!$C$2:$C$700,MATCH($B91,'تحليل التكلفة والسعر'!$B$2:$B$700,0))</f>
        <v>127.9165</v>
      </c>
      <c r="E91" s="63" t="n">
        <f aca="false">D91-C91</f>
        <v>1.98739999999999</v>
      </c>
      <c r="F91" s="64" t="n">
        <f aca="false">IF(C91=0,"",D91/C91-1)</f>
        <v>0.015781896321025</v>
      </c>
      <c r="G91" s="56" t="n">
        <v>220</v>
      </c>
      <c r="H91" s="63" t="n">
        <f aca="false">INDEX('تحليل التكلفة والسعر'!$D$2:$D$700,MATCH($B91,'تحليل التكلفة والسعر'!$B$2:$B$700,0))</f>
        <v>230</v>
      </c>
      <c r="I91" s="64" t="n">
        <f aca="false">IF(OR(G91="",G91=0),"",C91/G91)</f>
        <v>0.572405</v>
      </c>
      <c r="J91" s="64" t="n">
        <f aca="false">IF(OR(H91="",H91=0),"",D91/H91)</f>
        <v>0.556158695652174</v>
      </c>
      <c r="K91" s="64" t="n">
        <f aca="false">IF(OR(I91="",J91=""),"",J91-I91)</f>
        <v>-0.0162463043478261</v>
      </c>
    </row>
    <row r="92" customFormat="false" ht="15" hidden="false" customHeight="true" outlineLevel="0" collapsed="false">
      <c r="A92" s="62" t="s">
        <v>13</v>
      </c>
      <c r="B92" s="62" t="s">
        <v>467</v>
      </c>
      <c r="C92" s="56" t="n">
        <v>95.4977</v>
      </c>
      <c r="D92" s="63" t="n">
        <f aca="false">INDEX('تحليل التكلفة والسعر'!$C$2:$C$700,MATCH($B92,'تحليل التكلفة والسعر'!$B$2:$B$700,0))</f>
        <v>94.041035</v>
      </c>
      <c r="E92" s="63" t="n">
        <f aca="false">D92-C92</f>
        <v>-1.456665</v>
      </c>
      <c r="F92" s="64" t="n">
        <f aca="false">IF(C92=0,"",D92/C92-1)</f>
        <v>-0.0152534040086829</v>
      </c>
      <c r="G92" s="56" t="n">
        <v>170</v>
      </c>
      <c r="H92" s="63" t="n">
        <f aca="false">INDEX('تحليل التكلفة والسعر'!$D$2:$D$700,MATCH($B92,'تحليل التكلفة والسعر'!$B$2:$B$700,0))</f>
        <v>180</v>
      </c>
      <c r="I92" s="64" t="n">
        <f aca="false">IF(OR(G92="",G92=0),"",C92/G92)</f>
        <v>0.561751176470588</v>
      </c>
      <c r="J92" s="64" t="n">
        <f aca="false">IF(OR(H92="",H92=0),"",D92/H92)</f>
        <v>0.522450194444444</v>
      </c>
      <c r="K92" s="64" t="n">
        <f aca="false">IF(OR(I92="",J92=""),"",J92-I92)</f>
        <v>-0.0393009820261439</v>
      </c>
    </row>
    <row r="93" customFormat="false" ht="15" hidden="false" customHeight="true" outlineLevel="0" collapsed="false">
      <c r="A93" s="62" t="s">
        <v>10</v>
      </c>
      <c r="B93" s="62" t="s">
        <v>468</v>
      </c>
      <c r="C93" s="56" t="n">
        <v>62.45</v>
      </c>
      <c r="D93" s="63" t="n">
        <f aca="false">INDEX('تحليل التكلفة والسعر'!$C$2:$C$700,MATCH($B93,'تحليل التكلفة والسعر'!$B$2:$B$700,0))</f>
        <v>63.45</v>
      </c>
      <c r="E93" s="63" t="n">
        <f aca="false">D93-C93</f>
        <v>1</v>
      </c>
      <c r="F93" s="64" t="n">
        <f aca="false">IF(C93=0,"",D93/C93-1)</f>
        <v>0.0160128102481985</v>
      </c>
      <c r="G93" s="56" t="n">
        <v>100</v>
      </c>
      <c r="H93" s="63" t="n">
        <f aca="false">INDEX('تحليل التكلفة والسعر'!$D$2:$D$700,MATCH($B93,'تحليل التكلفة والسعر'!$B$2:$B$700,0))</f>
        <v>110</v>
      </c>
      <c r="I93" s="64" t="n">
        <f aca="false">IF(OR(G93="",G93=0),"",C93/G93)</f>
        <v>0.6245</v>
      </c>
      <c r="J93" s="64" t="n">
        <f aca="false">IF(OR(H93="",H93=0),"",D93/H93)</f>
        <v>0.576818181818182</v>
      </c>
      <c r="K93" s="64" t="n">
        <f aca="false">IF(OR(I93="",J93=""),"",J93-I93)</f>
        <v>-0.0476818181818182</v>
      </c>
    </row>
    <row r="94" customFormat="false" ht="15" hidden="false" customHeight="true" outlineLevel="0" collapsed="false">
      <c r="A94" s="62" t="s">
        <v>9</v>
      </c>
      <c r="B94" s="62" t="s">
        <v>469</v>
      </c>
      <c r="C94" s="56" t="n">
        <v>106.59215</v>
      </c>
      <c r="D94" s="63" t="n">
        <f aca="false">INDEX('تحليل التكلفة والسعر'!$C$2:$C$700,MATCH($B94,'تحليل التكلفة والسعر'!$B$2:$B$700,0))</f>
        <v>105.791</v>
      </c>
      <c r="E94" s="63" t="n">
        <f aca="false">D94-C94</f>
        <v>-0.801150000000007</v>
      </c>
      <c r="F94" s="64" t="n">
        <f aca="false">IF(C94=0,"",D94/C94-1)</f>
        <v>-0.00751603190291228</v>
      </c>
      <c r="G94" s="56" t="n">
        <v>180</v>
      </c>
      <c r="H94" s="63" t="n">
        <f aca="false">INDEX('تحليل التكلفة والسعر'!$D$2:$D$700,MATCH($B94,'تحليل التكلفة والسعر'!$B$2:$B$700,0))</f>
        <v>190</v>
      </c>
      <c r="I94" s="64" t="n">
        <f aca="false">IF(OR(G94="",G94=0),"",C94/G94)</f>
        <v>0.592178611111111</v>
      </c>
      <c r="J94" s="64" t="n">
        <f aca="false">IF(OR(H94="",H94=0),"",D94/H94)</f>
        <v>0.556794736842105</v>
      </c>
      <c r="K94" s="64" t="n">
        <f aca="false">IF(OR(I94="",J94=""),"",J94-I94)</f>
        <v>-0.0353838742690059</v>
      </c>
    </row>
    <row r="95" customFormat="false" ht="15" hidden="false" customHeight="true" outlineLevel="0" collapsed="false">
      <c r="A95" s="62" t="s">
        <v>15</v>
      </c>
      <c r="B95" s="62" t="s">
        <v>470</v>
      </c>
      <c r="C95" s="56" t="n">
        <v>15.8277</v>
      </c>
      <c r="D95" s="63" t="n">
        <f aca="false">INDEX('تحليل التكلفة والسعر'!$C$2:$C$700,MATCH($B95,'تحليل التكلفة والسعر'!$B$2:$B$700,0))</f>
        <v>16.0527</v>
      </c>
      <c r="E95" s="63" t="n">
        <f aca="false">D95-C95</f>
        <v>0.225000000000001</v>
      </c>
      <c r="F95" s="64" t="n">
        <f aca="false">IF(C95=0,"",D95/C95-1)</f>
        <v>0.0142155840709643</v>
      </c>
      <c r="G95" s="56" t="n">
        <v>30</v>
      </c>
      <c r="H95" s="63" t="n">
        <f aca="false">INDEX('تحليل التكلفة والسعر'!$D$2:$D$700,MATCH($B95,'تحليل التكلفة والسعر'!$B$2:$B$700,0))</f>
        <v>40</v>
      </c>
      <c r="I95" s="64" t="n">
        <f aca="false">IF(OR(G95="",G95=0),"",C95/G95)</f>
        <v>0.52759</v>
      </c>
      <c r="J95" s="64" t="n">
        <f aca="false">IF(OR(H95="",H95=0),"",D95/H95)</f>
        <v>0.4013175</v>
      </c>
      <c r="K95" s="64" t="n">
        <f aca="false">IF(OR(I95="",J95=""),"",J95-I95)</f>
        <v>-0.1262725</v>
      </c>
    </row>
    <row r="96" customFormat="false" ht="15" hidden="false" customHeight="true" outlineLevel="0" collapsed="false">
      <c r="A96" s="62" t="s">
        <v>16</v>
      </c>
      <c r="B96" s="62" t="s">
        <v>471</v>
      </c>
      <c r="C96" s="56" t="n">
        <v>34.9291</v>
      </c>
      <c r="D96" s="63" t="n">
        <f aca="false">INDEX('تحليل التكلفة والسعر'!$C$2:$C$700,MATCH($B96,'تحليل التكلفة والسعر'!$B$2:$B$700,0))</f>
        <v>35.4165</v>
      </c>
      <c r="E96" s="63" t="n">
        <f aca="false">D96-C96</f>
        <v>0.487400000000001</v>
      </c>
      <c r="F96" s="64" t="n">
        <f aca="false">IF(C96=0,"",D96/C96-1)</f>
        <v>0.0139539810644993</v>
      </c>
      <c r="G96" s="56" t="n">
        <v>80</v>
      </c>
      <c r="H96" s="63" t="n">
        <f aca="false">INDEX('تحليل التكلفة والسعر'!$D$2:$D$700,MATCH($B96,'تحليل التكلفة والسعر'!$B$2:$B$700,0))</f>
        <v>90</v>
      </c>
      <c r="I96" s="64" t="n">
        <f aca="false">IF(OR(G96="",G96=0),"",C96/G96)</f>
        <v>0.43661375</v>
      </c>
      <c r="J96" s="64" t="n">
        <f aca="false">IF(OR(H96="",H96=0),"",D96/H96)</f>
        <v>0.393516666666667</v>
      </c>
      <c r="K96" s="64" t="n">
        <f aca="false">IF(OR(I96="",J96=""),"",J96-I96)</f>
        <v>-0.0430970833333333</v>
      </c>
    </row>
    <row r="97" customFormat="false" ht="15" hidden="false" customHeight="true" outlineLevel="0" collapsed="false">
      <c r="A97" s="62" t="s">
        <v>9</v>
      </c>
      <c r="B97" s="62" t="s">
        <v>472</v>
      </c>
      <c r="C97" s="56" t="n">
        <v>73.9291</v>
      </c>
      <c r="D97" s="63" t="n">
        <f aca="false">INDEX('تحليل التكلفة والسعر'!$C$2:$C$700,MATCH($B97,'تحليل التكلفة والسعر'!$B$2:$B$700,0))</f>
        <v>74.9165</v>
      </c>
      <c r="E97" s="63" t="n">
        <f aca="false">D97-C97</f>
        <v>0.987399999999994</v>
      </c>
      <c r="F97" s="64" t="n">
        <f aca="false">IF(C97=0,"",D97/C97-1)</f>
        <v>0.0133560397732422</v>
      </c>
      <c r="G97" s="56" t="n">
        <v>120</v>
      </c>
      <c r="H97" s="63" t="n">
        <f aca="false">INDEX('تحليل التكلفة والسعر'!$D$2:$D$700,MATCH($B97,'تحليل التكلفة والسعر'!$B$2:$B$700,0))</f>
        <v>130</v>
      </c>
      <c r="I97" s="64" t="n">
        <f aca="false">IF(OR(G97="",G97=0),"",C97/G97)</f>
        <v>0.616075833333333</v>
      </c>
      <c r="J97" s="64" t="n">
        <f aca="false">IF(OR(H97="",H97=0),"",D97/H97)</f>
        <v>0.576280769230769</v>
      </c>
      <c r="K97" s="64" t="n">
        <f aca="false">IF(OR(I97="",J97=""),"",J97-I97)</f>
        <v>-0.0397950641025642</v>
      </c>
    </row>
    <row r="98" customFormat="false" ht="15" hidden="false" customHeight="true" outlineLevel="0" collapsed="false">
      <c r="A98" s="62" t="s">
        <v>9</v>
      </c>
      <c r="B98" s="62" t="s">
        <v>473</v>
      </c>
      <c r="C98" s="56" t="n">
        <v>37.4291</v>
      </c>
      <c r="D98" s="63" t="n">
        <f aca="false">INDEX('تحليل التكلفة والسعر'!$C$2:$C$700,MATCH($B98,'تحليل التكلفة والسعر'!$B$2:$B$700,0))</f>
        <v>37.9165</v>
      </c>
      <c r="E98" s="63" t="n">
        <f aca="false">D98-C98</f>
        <v>0.487400000000001</v>
      </c>
      <c r="F98" s="64" t="n">
        <f aca="false">IF(C98=0,"",D98/C98-1)</f>
        <v>0.0130219535067635</v>
      </c>
      <c r="G98" s="56" t="n">
        <v>80</v>
      </c>
      <c r="H98" s="63" t="n">
        <f aca="false">INDEX('تحليل التكلفة والسعر'!$D$2:$D$700,MATCH($B98,'تحليل التكلفة والسعر'!$B$2:$B$700,0))</f>
        <v>90</v>
      </c>
      <c r="I98" s="64" t="n">
        <f aca="false">IF(OR(G98="",G98=0),"",C98/G98)</f>
        <v>0.46786375</v>
      </c>
      <c r="J98" s="64" t="n">
        <f aca="false">IF(OR(H98="",H98=0),"",D98/H98)</f>
        <v>0.421294444444444</v>
      </c>
      <c r="K98" s="64" t="n">
        <f aca="false">IF(OR(I98="",J98=""),"",J98-I98)</f>
        <v>-0.0465693055555556</v>
      </c>
    </row>
    <row r="99" customFormat="false" ht="15" hidden="false" customHeight="true" outlineLevel="0" collapsed="false">
      <c r="A99" s="62" t="s">
        <v>10</v>
      </c>
      <c r="B99" s="62" t="s">
        <v>474</v>
      </c>
      <c r="C99" s="56" t="n">
        <v>87.85</v>
      </c>
      <c r="D99" s="63" t="n">
        <f aca="false">INDEX('تحليل التكلفة والسعر'!$C$2:$C$700,MATCH($B99,'تحليل التكلفة والسعر'!$B$2:$B$700,0))</f>
        <v>89.05</v>
      </c>
      <c r="E99" s="63" t="n">
        <f aca="false">D99-C99</f>
        <v>1.2</v>
      </c>
      <c r="F99" s="64" t="n">
        <f aca="false">IF(C99=0,"",D99/C99-1)</f>
        <v>0.0136596471257826</v>
      </c>
      <c r="G99" s="56" t="n">
        <v>160</v>
      </c>
      <c r="H99" s="63" t="n">
        <f aca="false">INDEX('تحليل التكلفة والسعر'!$D$2:$D$700,MATCH($B99,'تحليل التكلفة والسعر'!$B$2:$B$700,0))</f>
        <v>170</v>
      </c>
      <c r="I99" s="64" t="n">
        <f aca="false">IF(OR(G99="",G99=0),"",C99/G99)</f>
        <v>0.5490625</v>
      </c>
      <c r="J99" s="64" t="n">
        <f aca="false">IF(OR(H99="",H99=0),"",D99/H99)</f>
        <v>0.523823529411765</v>
      </c>
      <c r="K99" s="64" t="n">
        <f aca="false">IF(OR(I99="",J99=""),"",J99-I99)</f>
        <v>-0.0252389705882353</v>
      </c>
    </row>
    <row r="100" customFormat="false" ht="15" hidden="false" customHeight="true" outlineLevel="0" collapsed="false">
      <c r="A100" s="62" t="s">
        <v>10</v>
      </c>
      <c r="B100" s="62" t="s">
        <v>475</v>
      </c>
      <c r="C100" s="56" t="n">
        <v>156.65395</v>
      </c>
      <c r="D100" s="63" t="n">
        <f aca="false">INDEX('تحليل التكلفة والسعر'!$C$2:$C$700,MATCH($B100,'تحليل التكلفة والسعر'!$B$2:$B$700,0))</f>
        <v>158.2982</v>
      </c>
      <c r="E100" s="63" t="n">
        <f aca="false">D100-C100</f>
        <v>1.64425</v>
      </c>
      <c r="F100" s="64" t="n">
        <f aca="false">IF(C100=0,"",D100/C100-1)</f>
        <v>0.0104960647337651</v>
      </c>
      <c r="G100" s="56" t="n">
        <v>320</v>
      </c>
      <c r="H100" s="63" t="n">
        <f aca="false">INDEX('تحليل التكلفة والسعر'!$D$2:$D$700,MATCH($B100,'تحليل التكلفة والسعر'!$B$2:$B$700,0))</f>
        <v>330</v>
      </c>
      <c r="I100" s="64" t="n">
        <f aca="false">IF(OR(G100="",G100=0),"",C100/G100)</f>
        <v>0.48954359375</v>
      </c>
      <c r="J100" s="64" t="n">
        <f aca="false">IF(OR(H100="",H100=0),"",D100/H100)</f>
        <v>0.479691515151515</v>
      </c>
      <c r="K100" s="64" t="n">
        <f aca="false">IF(OR(I100="",J100=""),"",J100-I100)</f>
        <v>-0.0098520785984848</v>
      </c>
    </row>
    <row r="101" customFormat="false" ht="15" hidden="false" customHeight="true" outlineLevel="0" collapsed="false">
      <c r="A101" s="62" t="s">
        <v>10</v>
      </c>
      <c r="B101" s="62" t="s">
        <v>476</v>
      </c>
      <c r="C101" s="56" t="n">
        <v>156.65395</v>
      </c>
      <c r="D101" s="63" t="n">
        <f aca="false">INDEX('تحليل التكلفة والسعر'!$C$2:$C$700,MATCH($B101,'تحليل التكلفة والسعر'!$B$2:$B$700,0))</f>
        <v>158.2982</v>
      </c>
      <c r="E101" s="63" t="n">
        <f aca="false">D101-C101</f>
        <v>1.64425</v>
      </c>
      <c r="F101" s="64" t="n">
        <f aca="false">IF(C101=0,"",D101/C101-1)</f>
        <v>0.0104960647337651</v>
      </c>
      <c r="G101" s="56" t="n">
        <v>330</v>
      </c>
      <c r="H101" s="63" t="n">
        <f aca="false">INDEX('تحليل التكلفة والسعر'!$D$2:$D$700,MATCH($B101,'تحليل التكلفة والسعر'!$B$2:$B$700,0))</f>
        <v>340</v>
      </c>
      <c r="I101" s="64" t="n">
        <f aca="false">IF(OR(G101="",G101=0),"",C101/G101)</f>
        <v>0.474708939393939</v>
      </c>
      <c r="J101" s="64" t="n">
        <f aca="false">IF(OR(H101="",H101=0),"",D101/H101)</f>
        <v>0.465582941176471</v>
      </c>
      <c r="K101" s="64" t="n">
        <f aca="false">IF(OR(I101="",J101=""),"",J101-I101)</f>
        <v>-0.00912599821746885</v>
      </c>
    </row>
    <row r="102" customFormat="false" ht="15" hidden="false" customHeight="true" outlineLevel="0" collapsed="false">
      <c r="A102" s="62" t="s">
        <v>10</v>
      </c>
      <c r="B102" s="62" t="s">
        <v>477</v>
      </c>
      <c r="C102" s="56" t="n">
        <v>114.9303</v>
      </c>
      <c r="D102" s="63" t="n">
        <f aca="false">INDEX('تحليل التكلفة والسعر'!$C$2:$C$700,MATCH($B102,'تحليل التكلفة والسعر'!$B$2:$B$700,0))</f>
        <v>116.2965</v>
      </c>
      <c r="E102" s="63" t="n">
        <f aca="false">D102-C102</f>
        <v>1.36619999999999</v>
      </c>
      <c r="F102" s="64" t="n">
        <f aca="false">IF(C102=0,"",D102/C102-1)</f>
        <v>0.0118872046797058</v>
      </c>
      <c r="G102" s="56" t="n">
        <v>200</v>
      </c>
      <c r="H102" s="63" t="n">
        <f aca="false">INDEX('تحليل التكلفة والسعر'!$D$2:$D$700,MATCH($B102,'تحليل التكلفة والسعر'!$B$2:$B$700,0))</f>
        <v>210</v>
      </c>
      <c r="I102" s="64" t="n">
        <f aca="false">IF(OR(G102="",G102=0),"",C102/G102)</f>
        <v>0.5746515</v>
      </c>
      <c r="J102" s="64" t="n">
        <f aca="false">IF(OR(H102="",H102=0),"",D102/H102)</f>
        <v>0.553792857142857</v>
      </c>
      <c r="K102" s="64" t="n">
        <f aca="false">IF(OR(I102="",J102=""),"",J102-I102)</f>
        <v>-0.0208586428571429</v>
      </c>
    </row>
    <row r="103" customFormat="false" ht="15" hidden="false" customHeight="true" outlineLevel="0" collapsed="false">
      <c r="A103" s="62" t="s">
        <v>17</v>
      </c>
      <c r="B103" s="62" t="s">
        <v>478</v>
      </c>
      <c r="C103" s="56" t="n">
        <v>46.16395</v>
      </c>
      <c r="D103" s="63" t="n">
        <f aca="false">INDEX('تحليل التكلفة والسعر'!$C$2:$C$700,MATCH($B103,'تحليل التكلفة والسعر'!$B$2:$B$700,0))</f>
        <v>45.6315</v>
      </c>
      <c r="E103" s="63" t="n">
        <f aca="false">D103-C103</f>
        <v>-0.532449999999997</v>
      </c>
      <c r="F103" s="64" t="n">
        <f aca="false">IF(C103=0,"",D103/C103-1)</f>
        <v>-0.0115338917055408</v>
      </c>
      <c r="G103" s="56" t="n">
        <v>110</v>
      </c>
      <c r="H103" s="63" t="n">
        <f aca="false">INDEX('تحليل التكلفة والسعر'!$D$2:$D$700,MATCH($B103,'تحليل التكلفة والسعر'!$B$2:$B$700,0))</f>
        <v>120</v>
      </c>
      <c r="I103" s="64" t="n">
        <f aca="false">IF(OR(G103="",G103=0),"",C103/G103)</f>
        <v>0.419672272727273</v>
      </c>
      <c r="J103" s="64" t="n">
        <f aca="false">IF(OR(H103="",H103=0),"",D103/H103)</f>
        <v>0.3802625</v>
      </c>
      <c r="K103" s="64" t="n">
        <f aca="false">IF(OR(I103="",J103=""),"",J103-I103)</f>
        <v>-0.0394097727272727</v>
      </c>
    </row>
    <row r="104" customFormat="false" ht="15" hidden="false" customHeight="true" outlineLevel="0" collapsed="false">
      <c r="A104" s="62" t="s">
        <v>10</v>
      </c>
      <c r="B104" s="62" t="s">
        <v>479</v>
      </c>
      <c r="C104" s="56" t="n">
        <v>121.9303</v>
      </c>
      <c r="D104" s="63" t="n">
        <f aca="false">INDEX('تحليل التكلفة والسعر'!$C$2:$C$700,MATCH($B104,'تحليل التكلفة والسعر'!$B$2:$B$700,0))</f>
        <v>123.2965</v>
      </c>
      <c r="E104" s="63" t="n">
        <f aca="false">D104-C104</f>
        <v>1.36619999999999</v>
      </c>
      <c r="F104" s="64" t="n">
        <f aca="false">IF(C104=0,"",D104/C104-1)</f>
        <v>0.0112047620648845</v>
      </c>
      <c r="G104" s="56" t="n">
        <v>220</v>
      </c>
      <c r="H104" s="63" t="n">
        <f aca="false">INDEX('تحليل التكلفة والسعر'!$D$2:$D$700,MATCH($B104,'تحليل التكلفة والسعر'!$B$2:$B$700,0))</f>
        <v>230</v>
      </c>
      <c r="I104" s="64" t="n">
        <f aca="false">IF(OR(G104="",G104=0),"",C104/G104)</f>
        <v>0.554228636363636</v>
      </c>
      <c r="J104" s="64" t="n">
        <f aca="false">IF(OR(H104="",H104=0),"",D104/H104)</f>
        <v>0.536071739130435</v>
      </c>
      <c r="K104" s="64" t="n">
        <f aca="false">IF(OR(I104="",J104=""),"",J104-I104)</f>
        <v>-0.0181568972332017</v>
      </c>
    </row>
    <row r="105" customFormat="false" ht="15" hidden="false" customHeight="true" outlineLevel="0" collapsed="false">
      <c r="A105" s="62" t="s">
        <v>16</v>
      </c>
      <c r="B105" s="62" t="s">
        <v>480</v>
      </c>
      <c r="C105" s="56" t="n">
        <v>45.4291</v>
      </c>
      <c r="D105" s="63" t="n">
        <f aca="false">INDEX('تحليل التكلفة والسعر'!$C$2:$C$700,MATCH($B105,'تحليل التكلفة والسعر'!$B$2:$B$700,0))</f>
        <v>45.9165</v>
      </c>
      <c r="E105" s="63" t="n">
        <f aca="false">D105-C105</f>
        <v>0.487400000000001</v>
      </c>
      <c r="F105" s="64" t="n">
        <f aca="false">IF(C105=0,"",D105/C105-1)</f>
        <v>0.0107288059855908</v>
      </c>
      <c r="G105" s="56" t="n">
        <v>120</v>
      </c>
      <c r="H105" s="63" t="n">
        <f aca="false">INDEX('تحليل التكلفة والسعر'!$D$2:$D$700,MATCH($B105,'تحليل التكلفة والسعر'!$B$2:$B$700,0))</f>
        <v>130</v>
      </c>
      <c r="I105" s="64" t="n">
        <f aca="false">IF(OR(G105="",G105=0),"",C105/G105)</f>
        <v>0.378575833333333</v>
      </c>
      <c r="J105" s="64" t="n">
        <f aca="false">IF(OR(H105="",H105=0),"",D105/H105)</f>
        <v>0.353203846153846</v>
      </c>
      <c r="K105" s="64" t="n">
        <f aca="false">IF(OR(I105="",J105=""),"",J105-I105)</f>
        <v>-0.0253719871794872</v>
      </c>
    </row>
    <row r="106" customFormat="false" ht="15" hidden="false" customHeight="true" outlineLevel="0" collapsed="false">
      <c r="A106" s="62" t="s">
        <v>9</v>
      </c>
      <c r="B106" s="62" t="s">
        <v>481</v>
      </c>
      <c r="C106" s="56" t="n">
        <v>88.4068</v>
      </c>
      <c r="D106" s="63" t="n">
        <f aca="false">INDEX('تحليل التكلفة والسعر'!$C$2:$C$700,MATCH($B106,'تحليل التكلفة والسعر'!$B$2:$B$700,0))</f>
        <v>87.4942</v>
      </c>
      <c r="E106" s="63" t="n">
        <f aca="false">D106-C106</f>
        <v>-0.912599999999998</v>
      </c>
      <c r="F106" s="64" t="n">
        <f aca="false">IF(C106=0,"",D106/C106-1)</f>
        <v>-0.0103227353551989</v>
      </c>
      <c r="G106" s="56" t="n">
        <v>140</v>
      </c>
      <c r="H106" s="63" t="n">
        <f aca="false">INDEX('تحليل التكلفة والسعر'!$D$2:$D$700,MATCH($B106,'تحليل التكلفة والسعر'!$B$2:$B$700,0))</f>
        <v>150</v>
      </c>
      <c r="I106" s="64" t="n">
        <f aca="false">IF(OR(G106="",G106=0),"",C106/G106)</f>
        <v>0.631477142857143</v>
      </c>
      <c r="J106" s="64" t="n">
        <f aca="false">IF(OR(H106="",H106=0),"",D106/H106)</f>
        <v>0.583294666666667</v>
      </c>
      <c r="K106" s="64" t="n">
        <f aca="false">IF(OR(I106="",J106=""),"",J106-I106)</f>
        <v>-0.0481824761904761</v>
      </c>
    </row>
    <row r="107" customFormat="false" ht="15" hidden="false" customHeight="true" outlineLevel="0" collapsed="false">
      <c r="A107" s="62" t="s">
        <v>12</v>
      </c>
      <c r="B107" s="62" t="s">
        <v>482</v>
      </c>
      <c r="C107" s="56" t="n">
        <v>72.8087</v>
      </c>
      <c r="D107" s="63" t="n">
        <f aca="false">INDEX('تحليل التكلفة والسعر'!$C$2:$C$700,MATCH($B107,'تحليل التكلفة والسعر'!$B$2:$B$700,0))</f>
        <v>72.0865</v>
      </c>
      <c r="E107" s="63" t="n">
        <f aca="false">D107-C107</f>
        <v>-0.722200000000001</v>
      </c>
      <c r="F107" s="64" t="n">
        <f aca="false">IF(C107=0,"",D107/C107-1)</f>
        <v>-0.00991914427808771</v>
      </c>
      <c r="G107" s="56" t="n">
        <v>140</v>
      </c>
      <c r="H107" s="63" t="n">
        <f aca="false">INDEX('تحليل التكلفة والسعر'!$D$2:$D$700,MATCH($B107,'تحليل التكلفة والسعر'!$B$2:$B$700,0))</f>
        <v>150</v>
      </c>
      <c r="I107" s="64" t="n">
        <f aca="false">IF(OR(G107="",G107=0),"",C107/G107)</f>
        <v>0.520062142857143</v>
      </c>
      <c r="J107" s="64" t="n">
        <f aca="false">IF(OR(H107="",H107=0),"",D107/H107)</f>
        <v>0.480576666666667</v>
      </c>
      <c r="K107" s="64" t="n">
        <f aca="false">IF(OR(I107="",J107=""),"",J107-I107)</f>
        <v>-0.0394854761904763</v>
      </c>
    </row>
    <row r="108" customFormat="false" ht="15" hidden="false" customHeight="true" outlineLevel="0" collapsed="false">
      <c r="A108" s="62" t="s">
        <v>21</v>
      </c>
      <c r="B108" s="62" t="s">
        <v>483</v>
      </c>
      <c r="C108" s="56" t="n">
        <v>75.6307</v>
      </c>
      <c r="D108" s="63" t="n">
        <f aca="false">INDEX('تحليل التكلفة والسعر'!$C$2:$C$700,MATCH($B108,'تحليل التكلفة والسعر'!$B$2:$B$700,0))</f>
        <v>74.9130720833333</v>
      </c>
      <c r="E108" s="63" t="n">
        <f aca="false">D108-C108</f>
        <v>-0.717627916666672</v>
      </c>
      <c r="F108" s="64" t="n">
        <f aca="false">IF(C108=0,"",D108/C108-1)</f>
        <v>-0.0094885795935602</v>
      </c>
      <c r="G108" s="56" t="n">
        <v>180</v>
      </c>
      <c r="H108" s="63" t="n">
        <f aca="false">INDEX('تحليل التكلفة والسعر'!$D$2:$D$700,MATCH($B108,'تحليل التكلفة والسعر'!$B$2:$B$700,0))</f>
        <v>190</v>
      </c>
      <c r="I108" s="64" t="n">
        <f aca="false">IF(OR(G108="",G108=0),"",C108/G108)</f>
        <v>0.420170555555556</v>
      </c>
      <c r="J108" s="64" t="n">
        <f aca="false">IF(OR(H108="",H108=0),"",D108/H108)</f>
        <v>0.394279326754386</v>
      </c>
      <c r="K108" s="64" t="n">
        <f aca="false">IF(OR(I108="",J108=""),"",J108-I108)</f>
        <v>-0.0258912288011696</v>
      </c>
    </row>
    <row r="109" customFormat="false" ht="15" hidden="false" customHeight="true" outlineLevel="0" collapsed="false">
      <c r="A109" s="62" t="s">
        <v>9</v>
      </c>
      <c r="B109" s="62" t="s">
        <v>484</v>
      </c>
      <c r="C109" s="56" t="n">
        <v>82.9291</v>
      </c>
      <c r="D109" s="63" t="n">
        <f aca="false">INDEX('تحليل التكلفة والسعر'!$C$2:$C$700,MATCH($B109,'تحليل التكلفة والسعر'!$B$2:$B$700,0))</f>
        <v>82.3985</v>
      </c>
      <c r="E109" s="63" t="n">
        <f aca="false">D109-C109</f>
        <v>-0.530600000000007</v>
      </c>
      <c r="F109" s="64" t="n">
        <f aca="false">IF(C109=0,"",D109/C109-1)</f>
        <v>-0.00639823656593408</v>
      </c>
      <c r="G109" s="56" t="n">
        <v>140</v>
      </c>
      <c r="H109" s="63" t="n">
        <f aca="false">INDEX('تحليل التكلفة والسعر'!$D$2:$D$700,MATCH($B109,'تحليل التكلفة والسعر'!$B$2:$B$700,0))</f>
        <v>150</v>
      </c>
      <c r="I109" s="64" t="n">
        <f aca="false">IF(OR(G109="",G109=0),"",C109/G109)</f>
        <v>0.592350714285714</v>
      </c>
      <c r="J109" s="64" t="n">
        <f aca="false">IF(OR(H109="",H109=0),"",D109/H109)</f>
        <v>0.549323333333333</v>
      </c>
      <c r="K109" s="64" t="n">
        <f aca="false">IF(OR(I109="",J109=""),"",J109-I109)</f>
        <v>-0.043027380952381</v>
      </c>
    </row>
    <row r="110" customFormat="false" ht="15" hidden="false" customHeight="true" outlineLevel="0" collapsed="false">
      <c r="A110" s="62" t="s">
        <v>17</v>
      </c>
      <c r="B110" s="62" t="s">
        <v>485</v>
      </c>
      <c r="C110" s="56" t="n">
        <v>61.91395</v>
      </c>
      <c r="D110" s="63" t="n">
        <f aca="false">INDEX('تحليل التكلفة والسعر'!$C$2:$C$700,MATCH($B110,'تحليل التكلفة والسعر'!$B$2:$B$700,0))</f>
        <v>61.3815</v>
      </c>
      <c r="E110" s="63" t="n">
        <f aca="false">D110-C110</f>
        <v>-0.532449999999997</v>
      </c>
      <c r="F110" s="64" t="n">
        <f aca="false">IF(C110=0,"",D110/C110-1)</f>
        <v>-0.00859983897005434</v>
      </c>
      <c r="G110" s="56" t="n">
        <v>180</v>
      </c>
      <c r="H110" s="63" t="n">
        <f aca="false">INDEX('تحليل التكلفة والسعر'!$D$2:$D$700,MATCH($B110,'تحليل التكلفة والسعر'!$B$2:$B$700,0))</f>
        <v>190</v>
      </c>
      <c r="I110" s="64" t="n">
        <f aca="false">IF(OR(G110="",G110=0),"",C110/G110)</f>
        <v>0.343966388888889</v>
      </c>
      <c r="J110" s="64" t="n">
        <f aca="false">IF(OR(H110="",H110=0),"",D110/H110)</f>
        <v>0.323060526315789</v>
      </c>
      <c r="K110" s="64" t="n">
        <f aca="false">IF(OR(I110="",J110=""),"",J110-I110)</f>
        <v>-0.0209058625730994</v>
      </c>
    </row>
    <row r="111" customFormat="false" ht="15" hidden="false" customHeight="true" outlineLevel="0" collapsed="false">
      <c r="A111" s="62" t="s">
        <v>21</v>
      </c>
      <c r="B111" s="62" t="s">
        <v>486</v>
      </c>
      <c r="C111" s="56" t="n">
        <v>58.6207</v>
      </c>
      <c r="D111" s="63" t="n">
        <f aca="false">INDEX('تحليل التكلفة والسعر'!$C$2:$C$700,MATCH($B111,'تحليل التكلفة والسعر'!$B$2:$B$700,0))</f>
        <v>58.1605720833333</v>
      </c>
      <c r="E111" s="63" t="n">
        <f aca="false">D111-C111</f>
        <v>-0.460127916666664</v>
      </c>
      <c r="F111" s="64" t="n">
        <f aca="false">IF(C111=0,"",D111/C111-1)</f>
        <v>-0.00784923954621264</v>
      </c>
      <c r="G111" s="56" t="n">
        <v>100</v>
      </c>
      <c r="H111" s="63" t="n">
        <f aca="false">INDEX('تحليل التكلفة والسعر'!$D$2:$D$700,MATCH($B111,'تحليل التكلفة والسعر'!$B$2:$B$700,0))</f>
        <v>110</v>
      </c>
      <c r="I111" s="64" t="n">
        <f aca="false">IF(OR(G111="",G111=0),"",C111/G111)</f>
        <v>0.586207</v>
      </c>
      <c r="J111" s="64" t="n">
        <f aca="false">IF(OR(H111="",H111=0),"",D111/H111)</f>
        <v>0.528732473484849</v>
      </c>
      <c r="K111" s="64" t="n">
        <f aca="false">IF(OR(I111="",J111=""),"",J111-I111)</f>
        <v>-0.0574745265151515</v>
      </c>
    </row>
    <row r="112" customFormat="false" ht="15" hidden="false" customHeight="true" outlineLevel="0" collapsed="false">
      <c r="A112" s="62" t="s">
        <v>16</v>
      </c>
      <c r="B112" s="62" t="s">
        <v>487</v>
      </c>
      <c r="C112" s="56" t="n">
        <v>61.3291</v>
      </c>
      <c r="D112" s="63" t="n">
        <f aca="false">INDEX('تحليل التكلفة والسعر'!$C$2:$C$700,MATCH($B112,'تحليل التكلفة والسعر'!$B$2:$B$700,0))</f>
        <v>61.8189</v>
      </c>
      <c r="E112" s="63" t="n">
        <f aca="false">D112-C112</f>
        <v>0.489800000000002</v>
      </c>
      <c r="F112" s="64" t="n">
        <f aca="false">IF(C112=0,"",D112/C112-1)</f>
        <v>0.00798642080187051</v>
      </c>
      <c r="G112" s="56" t="n">
        <v>110</v>
      </c>
      <c r="H112" s="63" t="n">
        <f aca="false">INDEX('تحليل التكلفة والسعر'!$D$2:$D$700,MATCH($B112,'تحليل التكلفة والسعر'!$B$2:$B$700,0))</f>
        <v>120</v>
      </c>
      <c r="I112" s="64" t="n">
        <f aca="false">IF(OR(G112="",G112=0),"",C112/G112)</f>
        <v>0.557537272727273</v>
      </c>
      <c r="J112" s="64" t="n">
        <f aca="false">IF(OR(H112="",H112=0),"",D112/H112)</f>
        <v>0.5151575</v>
      </c>
      <c r="K112" s="64" t="n">
        <f aca="false">IF(OR(I112="",J112=""),"",J112-I112)</f>
        <v>-0.0423797727272727</v>
      </c>
    </row>
    <row r="113" customFormat="false" ht="15" hidden="false" customHeight="true" outlineLevel="0" collapsed="false">
      <c r="A113" s="62" t="s">
        <v>9</v>
      </c>
      <c r="B113" s="62" t="s">
        <v>488</v>
      </c>
      <c r="C113" s="56" t="n">
        <v>79.3041</v>
      </c>
      <c r="D113" s="63" t="n">
        <f aca="false">INDEX('تحليل التكلفة والسعر'!$C$2:$C$700,MATCH($B113,'تحليل التكلفة والسعر'!$B$2:$B$700,0))</f>
        <v>78.8985</v>
      </c>
      <c r="E113" s="63" t="n">
        <f aca="false">D113-C113</f>
        <v>-0.405600000000007</v>
      </c>
      <c r="F113" s="64" t="n">
        <f aca="false">IF(C113=0,"",D113/C113-1)</f>
        <v>-0.0051144896669908</v>
      </c>
      <c r="G113" s="56" t="n">
        <v>140</v>
      </c>
      <c r="H113" s="63" t="n">
        <f aca="false">INDEX('تحليل التكلفة والسعر'!$D$2:$D$700,MATCH($B113,'تحليل التكلفة والسعر'!$B$2:$B$700,0))</f>
        <v>150</v>
      </c>
      <c r="I113" s="64" t="n">
        <f aca="false">IF(OR(G113="",G113=0),"",C113/G113)</f>
        <v>0.566457857142857</v>
      </c>
      <c r="J113" s="64" t="n">
        <f aca="false">IF(OR(H113="",H113=0),"",D113/H113)</f>
        <v>0.52599</v>
      </c>
      <c r="K113" s="64" t="n">
        <f aca="false">IF(OR(I113="",J113=""),"",J113-I113)</f>
        <v>-0.0404678571428573</v>
      </c>
    </row>
    <row r="114" customFormat="false" ht="15" hidden="false" customHeight="true" outlineLevel="0" collapsed="false">
      <c r="A114" s="62" t="s">
        <v>10</v>
      </c>
      <c r="B114" s="62" t="s">
        <v>489</v>
      </c>
      <c r="C114" s="56" t="n">
        <v>189.59395</v>
      </c>
      <c r="D114" s="63" t="n">
        <f aca="false">INDEX('تحليل التكلفة والسعر'!$C$2:$C$700,MATCH($B114,'تحليل التكلفة والسعر'!$B$2:$B$700,0))</f>
        <v>188.1315</v>
      </c>
      <c r="E114" s="63" t="n">
        <f aca="false">D114-C114</f>
        <v>-1.46245000000002</v>
      </c>
      <c r="F114" s="64" t="n">
        <f aca="false">IF(C114=0,"",D114/C114-1)</f>
        <v>-0.00771359001698113</v>
      </c>
      <c r="G114" s="56" t="n">
        <v>350</v>
      </c>
      <c r="H114" s="63" t="n">
        <f aca="false">INDEX('تحليل التكلفة والسعر'!$D$2:$D$700,MATCH($B114,'تحليل التكلفة والسعر'!$B$2:$B$700,0))</f>
        <v>360</v>
      </c>
      <c r="I114" s="64" t="n">
        <f aca="false">IF(OR(G114="",G114=0),"",C114/G114)</f>
        <v>0.541697</v>
      </c>
      <c r="J114" s="64" t="n">
        <f aca="false">IF(OR(H114="",H114=0),"",D114/H114)</f>
        <v>0.5225875</v>
      </c>
      <c r="K114" s="64" t="n">
        <f aca="false">IF(OR(I114="",J114=""),"",J114-I114)</f>
        <v>-0.0191095</v>
      </c>
    </row>
    <row r="115" customFormat="false" ht="15" hidden="false" customHeight="true" outlineLevel="0" collapsed="false">
      <c r="A115" s="62" t="s">
        <v>17</v>
      </c>
      <c r="B115" s="62" t="s">
        <v>490</v>
      </c>
      <c r="C115" s="56" t="n">
        <v>189.59395</v>
      </c>
      <c r="D115" s="63" t="n">
        <f aca="false">INDEX('تحليل التكلفة والسعر'!$C$2:$C$700,MATCH($B115,'تحليل التكلفة والسعر'!$B$2:$B$700,0))</f>
        <v>188.1315</v>
      </c>
      <c r="E115" s="63" t="n">
        <f aca="false">D115-C115</f>
        <v>-1.46245000000002</v>
      </c>
      <c r="F115" s="64" t="n">
        <f aca="false">IF(C115=0,"",D115/C115-1)</f>
        <v>-0.00771359001698113</v>
      </c>
      <c r="G115" s="56" t="n">
        <v>350</v>
      </c>
      <c r="H115" s="63" t="n">
        <f aca="false">INDEX('تحليل التكلفة والسعر'!$D$2:$D$700,MATCH($B115,'تحليل التكلفة والسعر'!$B$2:$B$700,0))</f>
        <v>360</v>
      </c>
      <c r="I115" s="64" t="n">
        <f aca="false">IF(OR(G115="",G115=0),"",C115/G115)</f>
        <v>0.541697</v>
      </c>
      <c r="J115" s="64" t="n">
        <f aca="false">IF(OR(H115="",H115=0),"",D115/H115)</f>
        <v>0.5225875</v>
      </c>
      <c r="K115" s="64" t="n">
        <f aca="false">IF(OR(I115="",J115=""),"",J115-I115)</f>
        <v>-0.0191095</v>
      </c>
    </row>
    <row r="116" customFormat="false" ht="15" hidden="false" customHeight="true" outlineLevel="0" collapsed="false">
      <c r="A116" s="62" t="s">
        <v>17</v>
      </c>
      <c r="B116" s="62" t="s">
        <v>491</v>
      </c>
      <c r="C116" s="56" t="n">
        <v>92.36395</v>
      </c>
      <c r="D116" s="63" t="n">
        <f aca="false">INDEX('تحليل التكلفة والسعر'!$C$2:$C$700,MATCH($B116,'تحليل التكلفة والسعر'!$B$2:$B$700,0))</f>
        <v>91.6698</v>
      </c>
      <c r="E116" s="63" t="n">
        <f aca="false">D116-C116</f>
        <v>-0.694150000000008</v>
      </c>
      <c r="F116" s="64" t="n">
        <f aca="false">IF(C116=0,"",D116/C116-1)</f>
        <v>-0.00751537802356883</v>
      </c>
      <c r="G116" s="56" t="n">
        <v>190</v>
      </c>
      <c r="H116" s="63" t="n">
        <f aca="false">INDEX('تحليل التكلفة والسعر'!$D$2:$D$700,MATCH($B116,'تحليل التكلفة والسعر'!$B$2:$B$700,0))</f>
        <v>200</v>
      </c>
      <c r="I116" s="64" t="n">
        <f aca="false">IF(OR(G116="",G116=0),"",C116/G116)</f>
        <v>0.486126052631579</v>
      </c>
      <c r="J116" s="64" t="n">
        <f aca="false">IF(OR(H116="",H116=0),"",D116/H116)</f>
        <v>0.458349</v>
      </c>
      <c r="K116" s="64" t="n">
        <f aca="false">IF(OR(I116="",J116=""),"",J116-I116)</f>
        <v>-0.027777052631579</v>
      </c>
    </row>
    <row r="117" customFormat="false" ht="15" hidden="false" customHeight="true" outlineLevel="0" collapsed="false">
      <c r="A117" s="62" t="s">
        <v>18</v>
      </c>
      <c r="B117" s="62" t="s">
        <v>492</v>
      </c>
      <c r="C117" s="56" t="n">
        <v>42.045</v>
      </c>
      <c r="D117" s="63" t="n">
        <f aca="false">INDEX('تحليل التكلفة والسعر'!$C$2:$C$700,MATCH($B117,'تحليل التكلفة والسعر'!$B$2:$B$700,0))</f>
        <v>42.4366</v>
      </c>
      <c r="E117" s="63" t="n">
        <f aca="false">D117-C117</f>
        <v>0.391599999999997</v>
      </c>
      <c r="F117" s="64" t="n">
        <f aca="false">IF(C117=0,"",D117/C117-1)</f>
        <v>0.00931383041978817</v>
      </c>
      <c r="G117" s="56" t="n">
        <v>130</v>
      </c>
      <c r="H117" s="63" t="n">
        <f aca="false">INDEX('تحليل التكلفة والسعر'!$D$2:$D$700,MATCH($B117,'تحليل التكلفة والسعر'!$B$2:$B$700,0))</f>
        <v>140</v>
      </c>
      <c r="I117" s="64" t="n">
        <f aca="false">IF(OR(G117="",G117=0),"",C117/G117)</f>
        <v>0.323423076923077</v>
      </c>
      <c r="J117" s="64" t="n">
        <f aca="false">IF(OR(H117="",H117=0),"",D117/H117)</f>
        <v>0.303118571428571</v>
      </c>
      <c r="K117" s="64" t="n">
        <f aca="false">IF(OR(I117="",J117=""),"",J117-I117)</f>
        <v>-0.0203045054945055</v>
      </c>
    </row>
    <row r="118" customFormat="false" ht="15" hidden="false" customHeight="true" outlineLevel="0" collapsed="false">
      <c r="A118" s="62" t="s">
        <v>17</v>
      </c>
      <c r="B118" s="62" t="s">
        <v>493</v>
      </c>
      <c r="C118" s="56" t="n">
        <v>89.06395</v>
      </c>
      <c r="D118" s="63" t="n">
        <f aca="false">INDEX('تحليل التكلفة والسعر'!$C$2:$C$700,MATCH($B118,'تحليل التكلفة والسعر'!$B$2:$B$700,0))</f>
        <v>88.45245</v>
      </c>
      <c r="E118" s="63" t="n">
        <f aca="false">D118-C118</f>
        <v>-0.611500000000007</v>
      </c>
      <c r="F118" s="64" t="n">
        <f aca="false">IF(C118=0,"",D118/C118-1)</f>
        <v>-0.00686585313137367</v>
      </c>
      <c r="G118" s="56" t="n">
        <v>210</v>
      </c>
      <c r="H118" s="63" t="n">
        <f aca="false">INDEX('تحليل التكلفة والسعر'!$D$2:$D$700,MATCH($B118,'تحليل التكلفة والسعر'!$B$2:$B$700,0))</f>
        <v>220</v>
      </c>
      <c r="I118" s="64" t="n">
        <f aca="false">IF(OR(G118="",G118=0),"",C118/G118)</f>
        <v>0.424114047619048</v>
      </c>
      <c r="J118" s="64" t="n">
        <f aca="false">IF(OR(H118="",H118=0),"",D118/H118)</f>
        <v>0.402056590909091</v>
      </c>
      <c r="K118" s="64" t="n">
        <f aca="false">IF(OR(I118="",J118=""),"",J118-I118)</f>
        <v>-0.0220574567099567</v>
      </c>
    </row>
    <row r="119" customFormat="false" ht="15" hidden="false" customHeight="true" outlineLevel="0" collapsed="false">
      <c r="A119" s="62" t="s">
        <v>9</v>
      </c>
      <c r="B119" s="62" t="s">
        <v>494</v>
      </c>
      <c r="C119" s="56" t="n">
        <v>71.4291</v>
      </c>
      <c r="D119" s="63" t="n">
        <f aca="false">INDEX('تحليل التكلفة والسعر'!$C$2:$C$700,MATCH($B119,'تحليل التكلفة والسعر'!$B$2:$B$700,0))</f>
        <v>71.9165</v>
      </c>
      <c r="E119" s="63" t="n">
        <f aca="false">D119-C119</f>
        <v>0.487399999999994</v>
      </c>
      <c r="F119" s="64" t="n">
        <f aca="false">IF(C119=0,"",D119/C119-1)</f>
        <v>0.00682354950573361</v>
      </c>
      <c r="G119" s="56" t="n">
        <v>120</v>
      </c>
      <c r="H119" s="63" t="n">
        <f aca="false">INDEX('تحليل التكلفة والسعر'!$D$2:$D$700,MATCH($B119,'تحليل التكلفة والسعر'!$B$2:$B$700,0))</f>
        <v>130</v>
      </c>
      <c r="I119" s="64" t="n">
        <f aca="false">IF(OR(G119="",G119=0),"",C119/G119)</f>
        <v>0.5952425</v>
      </c>
      <c r="J119" s="64" t="n">
        <f aca="false">IF(OR(H119="",H119=0),"",D119/H119)</f>
        <v>0.553203846153846</v>
      </c>
      <c r="K119" s="64" t="n">
        <f aca="false">IF(OR(I119="",J119=""),"",J119-I119)</f>
        <v>-0.0420386538461539</v>
      </c>
    </row>
    <row r="120" customFormat="false" ht="15" hidden="false" customHeight="true" outlineLevel="0" collapsed="false">
      <c r="A120" s="62" t="s">
        <v>16</v>
      </c>
      <c r="B120" s="62" t="s">
        <v>495</v>
      </c>
      <c r="C120" s="56" t="n">
        <v>76.9291</v>
      </c>
      <c r="D120" s="63" t="n">
        <f aca="false">INDEX('تحليل التكلفة والسعر'!$C$2:$C$700,MATCH($B120,'تحليل التكلفة والسعر'!$B$2:$B$700,0))</f>
        <v>77.4465</v>
      </c>
      <c r="E120" s="63" t="n">
        <f aca="false">D120-C120</f>
        <v>0.517399999999995</v>
      </c>
      <c r="F120" s="64" t="n">
        <f aca="false">IF(C120=0,"",D120/C120-1)</f>
        <v>0.00672567337977426</v>
      </c>
      <c r="G120" s="56" t="n">
        <v>170</v>
      </c>
      <c r="H120" s="63" t="n">
        <f aca="false">INDEX('تحليل التكلفة والسعر'!$D$2:$D$700,MATCH($B120,'تحليل التكلفة والسعر'!$B$2:$B$700,0))</f>
        <v>180</v>
      </c>
      <c r="I120" s="64" t="n">
        <f aca="false">IF(OR(G120="",G120=0),"",C120/G120)</f>
        <v>0.452524117647059</v>
      </c>
      <c r="J120" s="64" t="n">
        <f aca="false">IF(OR(H120="",H120=0),"",D120/H120)</f>
        <v>0.430258333333333</v>
      </c>
      <c r="K120" s="64" t="n">
        <f aca="false">IF(OR(I120="",J120=""),"",J120-I120)</f>
        <v>-0.0222657843137255</v>
      </c>
    </row>
    <row r="121" customFormat="false" ht="15" hidden="false" customHeight="true" outlineLevel="0" collapsed="false">
      <c r="A121" s="62" t="s">
        <v>380</v>
      </c>
      <c r="B121" s="62" t="s">
        <v>496</v>
      </c>
      <c r="C121" s="56" t="n">
        <v>95.62</v>
      </c>
      <c r="D121" s="63" t="n">
        <f aca="false">INDEX('تحليل التكلفة والسعر'!$C$2:$C$700,MATCH($B121,'تحليل التكلفة والسعر'!$B$2:$B$700,0))</f>
        <v>95</v>
      </c>
      <c r="E121" s="63" t="n">
        <f aca="false">D121-C121</f>
        <v>-0.620000000000005</v>
      </c>
      <c r="F121" s="64" t="n">
        <f aca="false">IF(C121=0,"",D121/C121-1)</f>
        <v>-0.00648399916335496</v>
      </c>
      <c r="G121" s="56" t="n">
        <v>130</v>
      </c>
      <c r="H121" s="63" t="n">
        <f aca="false">INDEX('تحليل التكلفة والسعر'!$D$2:$D$700,MATCH($B121,'تحليل التكلفة والسعر'!$B$2:$B$700,0))</f>
        <v>140</v>
      </c>
      <c r="I121" s="64" t="n">
        <f aca="false">IF(OR(G121="",G121=0),"",C121/G121)</f>
        <v>0.735538461538462</v>
      </c>
      <c r="J121" s="64" t="n">
        <f aca="false">IF(OR(H121="",H121=0),"",D121/H121)</f>
        <v>0.678571428571429</v>
      </c>
      <c r="K121" s="64" t="n">
        <f aca="false">IF(OR(I121="",J121=""),"",J121-I121)</f>
        <v>-0.056967032967033</v>
      </c>
    </row>
    <row r="122" customFormat="false" ht="15" hidden="false" customHeight="true" outlineLevel="0" collapsed="false">
      <c r="A122" s="62" t="s">
        <v>16</v>
      </c>
      <c r="B122" s="62" t="s">
        <v>497</v>
      </c>
      <c r="C122" s="56" t="n">
        <v>47.84215</v>
      </c>
      <c r="D122" s="63" t="n">
        <f aca="false">INDEX('تحليل التكلفة والسعر'!$C$2:$C$700,MATCH($B122,'تحليل التكلفة والسعر'!$B$2:$B$700,0))</f>
        <v>48.1515</v>
      </c>
      <c r="E122" s="63" t="n">
        <f aca="false">D122-C122</f>
        <v>0.309350000000002</v>
      </c>
      <c r="F122" s="64" t="n">
        <f aca="false">IF(C122=0,"",D122/C122-1)</f>
        <v>0.00646605555979418</v>
      </c>
      <c r="G122" s="56" t="n">
        <v>110</v>
      </c>
      <c r="H122" s="63" t="n">
        <f aca="false">INDEX('تحليل التكلفة والسعر'!$D$2:$D$700,MATCH($B122,'تحليل التكلفة والسعر'!$B$2:$B$700,0))</f>
        <v>120</v>
      </c>
      <c r="I122" s="64" t="n">
        <f aca="false">IF(OR(G122="",G122=0),"",C122/G122)</f>
        <v>0.434928636363636</v>
      </c>
      <c r="J122" s="64" t="n">
        <f aca="false">IF(OR(H122="",H122=0),"",D122/H122)</f>
        <v>0.4012625</v>
      </c>
      <c r="K122" s="64" t="n">
        <f aca="false">IF(OR(I122="",J122=""),"",J122-I122)</f>
        <v>-0.0336661363636364</v>
      </c>
    </row>
    <row r="123" customFormat="false" ht="15" hidden="false" customHeight="true" outlineLevel="0" collapsed="false">
      <c r="A123" s="62" t="s">
        <v>17</v>
      </c>
      <c r="B123" s="62" t="s">
        <v>498</v>
      </c>
      <c r="C123" s="56" t="n">
        <v>85.76395</v>
      </c>
      <c r="D123" s="63" t="n">
        <f aca="false">INDEX('تحليل التكلفة والسعر'!$C$2:$C$700,MATCH($B123,'تحليل التكلفة والسعر'!$B$2:$B$700,0))</f>
        <v>85.2351</v>
      </c>
      <c r="E123" s="63" t="n">
        <f aca="false">D123-C123</f>
        <v>-0.528849999999991</v>
      </c>
      <c r="F123" s="64" t="n">
        <f aca="false">IF(C123=0,"",D123/C123-1)</f>
        <v>-0.00616634378430558</v>
      </c>
      <c r="G123" s="56" t="n">
        <v>180</v>
      </c>
      <c r="H123" s="63" t="n">
        <f aca="false">INDEX('تحليل التكلفة والسعر'!$D$2:$D$700,MATCH($B123,'تحليل التكلفة والسعر'!$B$2:$B$700,0))</f>
        <v>190</v>
      </c>
      <c r="I123" s="64" t="n">
        <f aca="false">IF(OR(G123="",G123=0),"",C123/G123)</f>
        <v>0.476466388888889</v>
      </c>
      <c r="J123" s="64" t="n">
        <f aca="false">IF(OR(H123="",H123=0),"",D123/H123)</f>
        <v>0.448605789473684</v>
      </c>
      <c r="K123" s="64" t="n">
        <f aca="false">IF(OR(I123="",J123=""),"",J123-I123)</f>
        <v>-0.0278605994152046</v>
      </c>
    </row>
    <row r="124" customFormat="false" ht="15" hidden="false" customHeight="true" outlineLevel="0" collapsed="false">
      <c r="A124" s="62" t="s">
        <v>21</v>
      </c>
      <c r="B124" s="62" t="s">
        <v>499</v>
      </c>
      <c r="C124" s="56" t="n">
        <v>36.0707</v>
      </c>
      <c r="D124" s="63" t="n">
        <f aca="false">INDEX('تحليل التكلفة والسعر'!$C$2:$C$700,MATCH($B124,'تحليل التكلفة والسعر'!$B$2:$B$700,0))</f>
        <v>35.8880720833333</v>
      </c>
      <c r="E124" s="63" t="n">
        <f aca="false">D124-C124</f>
        <v>-0.182627916666668</v>
      </c>
      <c r="F124" s="64" t="n">
        <f aca="false">IF(C124=0,"",D124/C124-1)</f>
        <v>-0.00506305440888777</v>
      </c>
      <c r="G124" s="56" t="n">
        <v>80</v>
      </c>
      <c r="H124" s="63" t="n">
        <f aca="false">INDEX('تحليل التكلفة والسعر'!$D$2:$D$700,MATCH($B124,'تحليل التكلفة والسعر'!$B$2:$B$700,0))</f>
        <v>90</v>
      </c>
      <c r="I124" s="64" t="n">
        <f aca="false">IF(OR(G124="",G124=0),"",C124/G124)</f>
        <v>0.45088375</v>
      </c>
      <c r="J124" s="64" t="n">
        <f aca="false">IF(OR(H124="",H124=0),"",D124/H124)</f>
        <v>0.398756356481482</v>
      </c>
      <c r="K124" s="64" t="n">
        <f aca="false">IF(OR(I124="",J124=""),"",J124-I124)</f>
        <v>-0.0521273935185185</v>
      </c>
    </row>
    <row r="125" customFormat="false" ht="15" hidden="false" customHeight="true" outlineLevel="0" collapsed="false">
      <c r="A125" s="62" t="s">
        <v>10</v>
      </c>
      <c r="B125" s="62" t="s">
        <v>500</v>
      </c>
      <c r="C125" s="56" t="n">
        <v>129.0503</v>
      </c>
      <c r="D125" s="63" t="n">
        <f aca="false">INDEX('تحليل التكلفة والسعر'!$C$2:$C$700,MATCH($B125,'تحليل التكلفة والسعر'!$B$2:$B$700,0))</f>
        <v>128.2965</v>
      </c>
      <c r="E125" s="63" t="n">
        <f aca="false">D125-C125</f>
        <v>-0.753799999999984</v>
      </c>
      <c r="F125" s="64" t="n">
        <f aca="false">IF(C125=0,"",D125/C125-1)</f>
        <v>-0.0058411332635413</v>
      </c>
      <c r="G125" s="56" t="n">
        <v>240</v>
      </c>
      <c r="H125" s="63" t="n">
        <f aca="false">INDEX('تحليل التكلفة والسعر'!$D$2:$D$700,MATCH($B125,'تحليل التكلفة والسعر'!$B$2:$B$700,0))</f>
        <v>250</v>
      </c>
      <c r="I125" s="64" t="n">
        <f aca="false">IF(OR(G125="",G125=0),"",C125/G125)</f>
        <v>0.537709583333333</v>
      </c>
      <c r="J125" s="64" t="n">
        <f aca="false">IF(OR(H125="",H125=0),"",D125/H125)</f>
        <v>0.513186</v>
      </c>
      <c r="K125" s="64" t="n">
        <f aca="false">IF(OR(I125="",J125=""),"",J125-I125)</f>
        <v>-0.0245235833333333</v>
      </c>
    </row>
    <row r="126" customFormat="false" ht="15" hidden="false" customHeight="true" outlineLevel="0" collapsed="false">
      <c r="A126" s="62" t="s">
        <v>17</v>
      </c>
      <c r="B126" s="62" t="s">
        <v>501</v>
      </c>
      <c r="C126" s="56" t="n">
        <v>129.0503</v>
      </c>
      <c r="D126" s="63" t="n">
        <f aca="false">INDEX('تحليل التكلفة والسعر'!$C$2:$C$700,MATCH($B126,'تحليل التكلفة والسعر'!$B$2:$B$700,0))</f>
        <v>128.2965</v>
      </c>
      <c r="E126" s="63" t="n">
        <f aca="false">D126-C126</f>
        <v>-0.753799999999984</v>
      </c>
      <c r="F126" s="64" t="n">
        <f aca="false">IF(C126=0,"",D126/C126-1)</f>
        <v>-0.0058411332635413</v>
      </c>
      <c r="G126" s="56" t="n">
        <v>230</v>
      </c>
      <c r="H126" s="63" t="n">
        <f aca="false">INDEX('تحليل التكلفة والسعر'!$D$2:$D$700,MATCH($B126,'تحليل التكلفة والسعر'!$B$2:$B$700,0))</f>
        <v>240</v>
      </c>
      <c r="I126" s="64" t="n">
        <f aca="false">IF(OR(G126="",G126=0),"",C126/G126)</f>
        <v>0.561088260869565</v>
      </c>
      <c r="J126" s="64" t="n">
        <f aca="false">IF(OR(H126="",H126=0),"",D126/H126)</f>
        <v>0.53456875</v>
      </c>
      <c r="K126" s="64" t="n">
        <f aca="false">IF(OR(I126="",J126=""),"",J126-I126)</f>
        <v>-0.0265195108695652</v>
      </c>
    </row>
    <row r="127" customFormat="false" ht="15" hidden="false" customHeight="true" outlineLevel="0" collapsed="false">
      <c r="A127" s="62" t="s">
        <v>16</v>
      </c>
      <c r="B127" s="62" t="s">
        <v>502</v>
      </c>
      <c r="C127" s="56" t="n">
        <v>65.7291</v>
      </c>
      <c r="D127" s="63" t="n">
        <f aca="false">INDEX('تحليل التكلفة والسعر'!$C$2:$C$700,MATCH($B127,'تحليل التكلفة والسعر'!$B$2:$B$700,0))</f>
        <v>66.1087</v>
      </c>
      <c r="E127" s="63" t="n">
        <f aca="false">D127-C127</f>
        <v>0.379599999999996</v>
      </c>
      <c r="F127" s="64" t="n">
        <f aca="false">IF(C127=0,"",D127/C127-1)</f>
        <v>0.00577521980370932</v>
      </c>
      <c r="G127" s="56" t="n">
        <v>120</v>
      </c>
      <c r="H127" s="63" t="n">
        <f aca="false">INDEX('تحليل التكلفة والسعر'!$D$2:$D$700,MATCH($B127,'تحليل التكلفة والسعر'!$B$2:$B$700,0))</f>
        <v>130</v>
      </c>
      <c r="I127" s="64" t="n">
        <f aca="false">IF(OR(G127="",G127=0),"",C127/G127)</f>
        <v>0.5477425</v>
      </c>
      <c r="J127" s="64" t="n">
        <f aca="false">IF(OR(H127="",H127=0),"",D127/H127)</f>
        <v>0.508528461538462</v>
      </c>
      <c r="K127" s="64" t="n">
        <f aca="false">IF(OR(I127="",J127=""),"",J127-I127)</f>
        <v>-0.0392140384615385</v>
      </c>
    </row>
    <row r="128" customFormat="false" ht="15" hidden="false" customHeight="true" outlineLevel="0" collapsed="false">
      <c r="A128" s="62" t="s">
        <v>20</v>
      </c>
      <c r="B128" s="62" t="s">
        <v>503</v>
      </c>
      <c r="C128" s="56" t="n">
        <v>132.24</v>
      </c>
      <c r="D128" s="63" t="n">
        <f aca="false">INDEX('تحليل التكلفة والسعر'!$C$2:$C$700,MATCH($B128,'تحليل التكلفة والسعر'!$B$2:$B$700,0))</f>
        <v>131.53</v>
      </c>
      <c r="E128" s="63" t="n">
        <f aca="false">D128-C128</f>
        <v>-0.710000000000008</v>
      </c>
      <c r="F128" s="64" t="n">
        <f aca="false">IF(C128=0,"",D128/C128-1)</f>
        <v>-0.00536902601330924</v>
      </c>
      <c r="G128" s="56" t="n">
        <v>250</v>
      </c>
      <c r="H128" s="63" t="n">
        <f aca="false">INDEX('تحليل التكلفة والسعر'!$D$2:$D$700,MATCH($B128,'تحليل التكلفة والسعر'!$B$2:$B$700,0))</f>
        <v>260</v>
      </c>
      <c r="I128" s="64" t="n">
        <f aca="false">IF(OR(G128="",G128=0),"",C128/G128)</f>
        <v>0.52896</v>
      </c>
      <c r="J128" s="64" t="n">
        <f aca="false">IF(OR(H128="",H128=0),"",D128/H128)</f>
        <v>0.505884615384615</v>
      </c>
      <c r="K128" s="64" t="n">
        <f aca="false">IF(OR(I128="",J128=""),"",J128-I128)</f>
        <v>-0.0230753846153846</v>
      </c>
    </row>
    <row r="129" customFormat="false" ht="15" hidden="false" customHeight="true" outlineLevel="0" collapsed="false">
      <c r="A129" s="62" t="s">
        <v>12</v>
      </c>
      <c r="B129" s="62" t="s">
        <v>504</v>
      </c>
      <c r="C129" s="56" t="n">
        <v>87.4964</v>
      </c>
      <c r="D129" s="63" t="n">
        <f aca="false">INDEX('تحليل التكلفة والسعر'!$C$2:$C$700,MATCH($B129,'تحليل التكلفة والسعر'!$B$2:$B$700,0))</f>
        <v>87.0542</v>
      </c>
      <c r="E129" s="63" t="n">
        <f aca="false">D129-C129</f>
        <v>-0.4422</v>
      </c>
      <c r="F129" s="64" t="n">
        <f aca="false">IF(C129=0,"",D129/C129-1)</f>
        <v>-0.00505392221851408</v>
      </c>
      <c r="G129" s="56" t="n">
        <v>150</v>
      </c>
      <c r="H129" s="63" t="n">
        <f aca="false">INDEX('تحليل التكلفة والسعر'!$D$2:$D$700,MATCH($B129,'تحليل التكلفة والسعر'!$B$2:$B$700,0))</f>
        <v>160</v>
      </c>
      <c r="I129" s="64" t="n">
        <f aca="false">IF(OR(G129="",G129=0),"",C129/G129)</f>
        <v>0.583309333333333</v>
      </c>
      <c r="J129" s="64" t="n">
        <f aca="false">IF(OR(H129="",H129=0),"",D129/H129)</f>
        <v>0.54408875</v>
      </c>
      <c r="K129" s="64" t="n">
        <f aca="false">IF(OR(I129="",J129=""),"",J129-I129)</f>
        <v>-0.0392205833333333</v>
      </c>
    </row>
    <row r="130" customFormat="false" ht="15" hidden="false" customHeight="true" outlineLevel="0" collapsed="false">
      <c r="A130" s="62" t="s">
        <v>13</v>
      </c>
      <c r="B130" s="62" t="s">
        <v>505</v>
      </c>
      <c r="C130" s="56" t="n">
        <v>140.14</v>
      </c>
      <c r="D130" s="63" t="n">
        <f aca="false">INDEX('تحليل التكلفة والسعر'!$C$2:$C$700,MATCH($B130,'تحليل التكلفة والسعر'!$B$2:$B$700,0))</f>
        <v>139.463335</v>
      </c>
      <c r="E130" s="63" t="n">
        <f aca="false">D130-C130</f>
        <v>-0.676664999999986</v>
      </c>
      <c r="F130" s="64" t="n">
        <f aca="false">IF(C130=0,"",D130/C130-1)</f>
        <v>-0.0048284929356357</v>
      </c>
      <c r="G130" s="56" t="n">
        <v>250</v>
      </c>
      <c r="H130" s="63" t="n">
        <f aca="false">INDEX('تحليل التكلفة والسعر'!$D$2:$D$700,MATCH($B130,'تحليل التكلفة والسعر'!$B$2:$B$700,0))</f>
        <v>260</v>
      </c>
      <c r="I130" s="64" t="n">
        <f aca="false">IF(OR(G130="",G130=0),"",C130/G130)</f>
        <v>0.56056</v>
      </c>
      <c r="J130" s="64" t="n">
        <f aca="false">IF(OR(H130="",H130=0),"",D130/H130)</f>
        <v>0.536397442307692</v>
      </c>
      <c r="K130" s="64" t="n">
        <f aca="false">IF(OR(I130="",J130=""),"",J130-I130)</f>
        <v>-0.0241625576923077</v>
      </c>
    </row>
    <row r="131" customFormat="false" ht="15" hidden="false" customHeight="true" outlineLevel="0" collapsed="false">
      <c r="A131" s="62" t="s">
        <v>16</v>
      </c>
      <c r="B131" s="62" t="s">
        <v>506</v>
      </c>
      <c r="C131" s="56" t="n">
        <v>63.59215</v>
      </c>
      <c r="D131" s="63" t="n">
        <f aca="false">INDEX('تحليل التكلفة والسعر'!$C$2:$C$700,MATCH($B131,'تحليل التكلفة والسعر'!$B$2:$B$700,0))</f>
        <v>63.9015</v>
      </c>
      <c r="E131" s="63" t="n">
        <f aca="false">D131-C131</f>
        <v>0.309350000000002</v>
      </c>
      <c r="F131" s="64" t="n">
        <f aca="false">IF(C131=0,"",D131/C131-1)</f>
        <v>0.00486459413622598</v>
      </c>
      <c r="G131" s="56" t="n">
        <v>180</v>
      </c>
      <c r="H131" s="63" t="n">
        <f aca="false">INDEX('تحليل التكلفة والسعر'!$D$2:$D$700,MATCH($B131,'تحليل التكلفة والسعر'!$B$2:$B$700,0))</f>
        <v>190</v>
      </c>
      <c r="I131" s="64" t="n">
        <f aca="false">IF(OR(G131="",G131=0),"",C131/G131)</f>
        <v>0.353289722222222</v>
      </c>
      <c r="J131" s="64" t="n">
        <f aca="false">IF(OR(H131="",H131=0),"",D131/H131)</f>
        <v>0.336323684210526</v>
      </c>
      <c r="K131" s="64" t="n">
        <f aca="false">IF(OR(I131="",J131=""),"",J131-I131)</f>
        <v>-0.0169660380116959</v>
      </c>
    </row>
    <row r="132" customFormat="false" ht="15" hidden="false" customHeight="true" outlineLevel="0" collapsed="false">
      <c r="A132" s="62" t="s">
        <v>10</v>
      </c>
      <c r="B132" s="62" t="s">
        <v>507</v>
      </c>
      <c r="C132" s="56" t="n">
        <v>78.6803</v>
      </c>
      <c r="D132" s="63" t="n">
        <f aca="false">INDEX('تحليل التكلفة والسعر'!$C$2:$C$700,MATCH($B132,'تحليل التكلفة والسعر'!$B$2:$B$700,0))</f>
        <v>79.0465</v>
      </c>
      <c r="E132" s="63" t="n">
        <f aca="false">D132-C132</f>
        <v>0.366199999999992</v>
      </c>
      <c r="F132" s="64" t="n">
        <f aca="false">IF(C132=0,"",D132/C132-1)</f>
        <v>0.00465427813569597</v>
      </c>
      <c r="G132" s="56" t="n">
        <v>135</v>
      </c>
      <c r="H132" s="63" t="n">
        <f aca="false">INDEX('تحليل التكلفة والسعر'!$D$2:$D$700,MATCH($B132,'تحليل التكلفة والسعر'!$B$2:$B$700,0))</f>
        <v>145</v>
      </c>
      <c r="I132" s="64" t="n">
        <f aca="false">IF(OR(G132="",G132=0),"",C132/G132)</f>
        <v>0.582817037037037</v>
      </c>
      <c r="J132" s="64" t="n">
        <f aca="false">IF(OR(H132="",H132=0),"",D132/H132)</f>
        <v>0.545148275862069</v>
      </c>
      <c r="K132" s="64" t="n">
        <f aca="false">IF(OR(I132="",J132=""),"",J132-I132)</f>
        <v>-0.0376687611749681</v>
      </c>
    </row>
    <row r="133" customFormat="false" ht="15" hidden="false" customHeight="true" outlineLevel="0" collapsed="false">
      <c r="A133" s="62" t="s">
        <v>17</v>
      </c>
      <c r="B133" s="62" t="s">
        <v>508</v>
      </c>
      <c r="C133" s="56" t="n">
        <v>109.16395</v>
      </c>
      <c r="D133" s="63" t="n">
        <f aca="false">INDEX('تحليل التكلفة والسعر'!$C$2:$C$700,MATCH($B133,'تحليل التكلفة والسعر'!$B$2:$B$700,0))</f>
        <v>108.6765</v>
      </c>
      <c r="E133" s="63" t="n">
        <f aca="false">D133-C133</f>
        <v>-0.487449999999996</v>
      </c>
      <c r="F133" s="64" t="n">
        <f aca="false">IF(C133=0,"",D133/C133-1)</f>
        <v>-0.00446530196094952</v>
      </c>
      <c r="G133" s="56" t="n">
        <v>240</v>
      </c>
      <c r="H133" s="63" t="n">
        <f aca="false">INDEX('تحليل التكلفة والسعر'!$D$2:$D$700,MATCH($B133,'تحليل التكلفة والسعر'!$B$2:$B$700,0))</f>
        <v>250</v>
      </c>
      <c r="I133" s="64" t="n">
        <f aca="false">IF(OR(G133="",G133=0),"",C133/G133)</f>
        <v>0.454849791666667</v>
      </c>
      <c r="J133" s="64" t="n">
        <f aca="false">IF(OR(H133="",H133=0),"",D133/H133)</f>
        <v>0.434706</v>
      </c>
      <c r="K133" s="64" t="n">
        <f aca="false">IF(OR(I133="",J133=""),"",J133-I133)</f>
        <v>-0.0201437916666666</v>
      </c>
    </row>
    <row r="134" customFormat="false" ht="15" hidden="false" customHeight="true" outlineLevel="0" collapsed="false">
      <c r="A134" s="62" t="s">
        <v>17</v>
      </c>
      <c r="B134" s="62" t="s">
        <v>509</v>
      </c>
      <c r="C134" s="56" t="n">
        <v>33.4303</v>
      </c>
      <c r="D134" s="63" t="n">
        <f aca="false">INDEX('تحليل التكلفة والسعر'!$C$2:$C$700,MATCH($B134,'تحليل التكلفة والسعر'!$B$2:$B$700,0))</f>
        <v>33.2965</v>
      </c>
      <c r="E134" s="63" t="n">
        <f aca="false">D134-C134</f>
        <v>-0.133800000000001</v>
      </c>
      <c r="F134" s="64" t="n">
        <f aca="false">IF(C134=0,"",D134/C134-1)</f>
        <v>-0.00400235714307085</v>
      </c>
      <c r="G134" s="56" t="n">
        <v>80</v>
      </c>
      <c r="H134" s="63" t="n">
        <f aca="false">INDEX('تحليل التكلفة والسعر'!$D$2:$D$700,MATCH($B134,'تحليل التكلفة والسعر'!$B$2:$B$700,0))</f>
        <v>90</v>
      </c>
      <c r="I134" s="64" t="n">
        <f aca="false">IF(OR(G134="",G134=0),"",C134/G134)</f>
        <v>0.41787875</v>
      </c>
      <c r="J134" s="64" t="n">
        <f aca="false">IF(OR(H134="",H134=0),"",D134/H134)</f>
        <v>0.369961111111111</v>
      </c>
      <c r="K134" s="64" t="n">
        <f aca="false">IF(OR(I134="",J134=""),"",J134-I134)</f>
        <v>-0.0479176388888889</v>
      </c>
    </row>
    <row r="135" customFormat="false" ht="15" hidden="false" customHeight="true" outlineLevel="0" collapsed="false">
      <c r="A135" s="62" t="s">
        <v>17</v>
      </c>
      <c r="B135" s="62" t="s">
        <v>510</v>
      </c>
      <c r="C135" s="56" t="n">
        <v>64.2303</v>
      </c>
      <c r="D135" s="63" t="n">
        <f aca="false">INDEX('تحليل التكلفة والسعر'!$C$2:$C$700,MATCH($B135,'تحليل التكلفة والسعر'!$B$2:$B$700,0))</f>
        <v>63.9887</v>
      </c>
      <c r="E135" s="63" t="n">
        <f aca="false">D135-C135</f>
        <v>-0.241599999999998</v>
      </c>
      <c r="F135" s="64" t="n">
        <f aca="false">IF(C135=0,"",D135/C135-1)</f>
        <v>-0.0037614646047115</v>
      </c>
      <c r="G135" s="56" t="n">
        <v>120</v>
      </c>
      <c r="H135" s="63" t="n">
        <f aca="false">INDEX('تحليل التكلفة والسعر'!$D$2:$D$700,MATCH($B135,'تحليل التكلفة والسعر'!$B$2:$B$700,0))</f>
        <v>130</v>
      </c>
      <c r="I135" s="64" t="n">
        <f aca="false">IF(OR(G135="",G135=0),"",C135/G135)</f>
        <v>0.5352525</v>
      </c>
      <c r="J135" s="64" t="n">
        <f aca="false">IF(OR(H135="",H135=0),"",D135/H135)</f>
        <v>0.492220769230769</v>
      </c>
      <c r="K135" s="64" t="n">
        <f aca="false">IF(OR(I135="",J135=""),"",J135-I135)</f>
        <v>-0.0430317307692308</v>
      </c>
    </row>
    <row r="136" customFormat="false" ht="15" hidden="false" customHeight="true" outlineLevel="0" collapsed="false">
      <c r="A136" s="62" t="s">
        <v>16</v>
      </c>
      <c r="B136" s="62" t="s">
        <v>511</v>
      </c>
      <c r="C136" s="56" t="n">
        <v>87.44215</v>
      </c>
      <c r="D136" s="63" t="n">
        <f aca="false">INDEX('تحليل التكلفة والسعر'!$C$2:$C$700,MATCH($B136,'تحليل التكلفة والسعر'!$B$2:$B$700,0))</f>
        <v>87.7551</v>
      </c>
      <c r="E136" s="63" t="n">
        <f aca="false">D136-C136</f>
        <v>0.312950000000001</v>
      </c>
      <c r="F136" s="64" t="n">
        <f aca="false">IF(C136=0,"",D136/C136-1)</f>
        <v>0.00357893761761341</v>
      </c>
      <c r="G136" s="56" t="n">
        <v>180</v>
      </c>
      <c r="H136" s="63" t="n">
        <f aca="false">INDEX('تحليل التكلفة والسعر'!$D$2:$D$700,MATCH($B136,'تحليل التكلفة والسعر'!$B$2:$B$700,0))</f>
        <v>190</v>
      </c>
      <c r="I136" s="64" t="n">
        <f aca="false">IF(OR(G136="",G136=0),"",C136/G136)</f>
        <v>0.485789722222222</v>
      </c>
      <c r="J136" s="64" t="n">
        <f aca="false">IF(OR(H136="",H136=0),"",D136/H136)</f>
        <v>0.461868947368421</v>
      </c>
      <c r="K136" s="64" t="n">
        <f aca="false">IF(OR(I136="",J136=""),"",J136-I136)</f>
        <v>-0.0239207748538012</v>
      </c>
    </row>
    <row r="137" customFormat="false" ht="15" hidden="false" customHeight="true" outlineLevel="0" collapsed="false">
      <c r="A137" s="62" t="s">
        <v>12</v>
      </c>
      <c r="B137" s="62" t="s">
        <v>512</v>
      </c>
      <c r="C137" s="56" t="n">
        <v>97.0347</v>
      </c>
      <c r="D137" s="63" t="n">
        <f aca="false">INDEX('تحليل التكلفة والسعر'!$C$2:$C$700,MATCH($B137,'تحليل التكلفة والسعر'!$B$2:$B$700,0))</f>
        <v>97.31774</v>
      </c>
      <c r="E137" s="63" t="n">
        <f aca="false">D137-C137</f>
        <v>0.28304</v>
      </c>
      <c r="F137" s="64" t="n">
        <f aca="false">IF(C137=0,"",D137/C137-1)</f>
        <v>0.00291689467788325</v>
      </c>
      <c r="G137" s="56" t="n">
        <v>160</v>
      </c>
      <c r="H137" s="63" t="n">
        <f aca="false">INDEX('تحليل التكلفة والسعر'!$D$2:$D$700,MATCH($B137,'تحليل التكلفة والسعر'!$B$2:$B$700,0))</f>
        <v>170</v>
      </c>
      <c r="I137" s="64" t="n">
        <f aca="false">IF(OR(G137="",G137=0),"",C137/G137)</f>
        <v>0.606466875</v>
      </c>
      <c r="J137" s="64" t="n">
        <f aca="false">IF(OR(H137="",H137=0),"",D137/H137)</f>
        <v>0.572457294117647</v>
      </c>
      <c r="K137" s="64" t="n">
        <f aca="false">IF(OR(I137="",J137=""),"",J137-I137)</f>
        <v>-0.034009580882353</v>
      </c>
    </row>
    <row r="138" customFormat="false" ht="15" hidden="false" customHeight="true" outlineLevel="0" collapsed="false">
      <c r="A138" s="62" t="s">
        <v>16</v>
      </c>
      <c r="B138" s="62" t="s">
        <v>513</v>
      </c>
      <c r="C138" s="56" t="n">
        <v>191.27215</v>
      </c>
      <c r="D138" s="63" t="n">
        <f aca="false">INDEX('تحليل التكلفة والسعر'!$C$2:$C$700,MATCH($B138,'تحليل التكلفة والسعر'!$B$2:$B$700,0))</f>
        <v>190.6515</v>
      </c>
      <c r="E138" s="63" t="n">
        <f aca="false">D138-C138</f>
        <v>-0.620650000000012</v>
      </c>
      <c r="F138" s="64" t="n">
        <f aca="false">IF(C138=0,"",D138/C138-1)</f>
        <v>-0.00324485294905719</v>
      </c>
      <c r="G138" s="56" t="n">
        <v>350</v>
      </c>
      <c r="H138" s="63" t="n">
        <f aca="false">INDEX('تحليل التكلفة والسعر'!$D$2:$D$700,MATCH($B138,'تحليل التكلفة والسعر'!$B$2:$B$700,0))</f>
        <v>360</v>
      </c>
      <c r="I138" s="64" t="n">
        <f aca="false">IF(OR(G138="",G138=0),"",C138/G138)</f>
        <v>0.546491857142857</v>
      </c>
      <c r="J138" s="64" t="n">
        <f aca="false">IF(OR(H138="",H138=0),"",D138/H138)</f>
        <v>0.5295875</v>
      </c>
      <c r="K138" s="64" t="n">
        <f aca="false">IF(OR(I138="",J138=""),"",J138-I138)</f>
        <v>-0.0169043571428572</v>
      </c>
    </row>
    <row r="139" customFormat="false" ht="15" hidden="false" customHeight="true" outlineLevel="0" collapsed="false">
      <c r="A139" s="62" t="s">
        <v>16</v>
      </c>
      <c r="B139" s="62" t="s">
        <v>514</v>
      </c>
      <c r="C139" s="56" t="n">
        <v>110.84215</v>
      </c>
      <c r="D139" s="63" t="n">
        <f aca="false">INDEX('تحليل التكلفة والسعر'!$C$2:$C$700,MATCH($B139,'تحليل التكلفة والسعر'!$B$2:$B$700,0))</f>
        <v>111.1965</v>
      </c>
      <c r="E139" s="63" t="n">
        <f aca="false">D139-C139</f>
        <v>0.354349999999997</v>
      </c>
      <c r="F139" s="64" t="n">
        <f aca="false">IF(C139=0,"",D139/C139-1)</f>
        <v>0.00319688854826428</v>
      </c>
      <c r="G139" s="56" t="n">
        <v>240</v>
      </c>
      <c r="H139" s="63" t="n">
        <f aca="false">INDEX('تحليل التكلفة والسعر'!$D$2:$D$700,MATCH($B139,'تحليل التكلفة والسعر'!$B$2:$B$700,0))</f>
        <v>250</v>
      </c>
      <c r="I139" s="64" t="n">
        <f aca="false">IF(OR(G139="",G139=0),"",C139/G139)</f>
        <v>0.461842291666667</v>
      </c>
      <c r="J139" s="64" t="n">
        <f aca="false">IF(OR(H139="",H139=0),"",D139/H139)</f>
        <v>0.444786</v>
      </c>
      <c r="K139" s="64" t="n">
        <f aca="false">IF(OR(I139="",J139=""),"",J139-I139)</f>
        <v>-0.0170562916666667</v>
      </c>
    </row>
    <row r="140" customFormat="false" ht="15" hidden="false" customHeight="true" outlineLevel="0" collapsed="false">
      <c r="A140" s="62" t="s">
        <v>9</v>
      </c>
      <c r="B140" s="62" t="s">
        <v>515</v>
      </c>
      <c r="C140" s="56" t="n">
        <v>90.57215</v>
      </c>
      <c r="D140" s="63" t="n">
        <f aca="false">INDEX('تحليل التكلفة والسعر'!$C$2:$C$700,MATCH($B140,'تحليل التكلفة والسعر'!$B$2:$B$700,0))</f>
        <v>90.7472</v>
      </c>
      <c r="E140" s="63" t="n">
        <f aca="false">D140-C140</f>
        <v>0.175050000000013</v>
      </c>
      <c r="F140" s="64" t="n">
        <f aca="false">IF(C140=0,"",D140/C140-1)</f>
        <v>0.00193271331198397</v>
      </c>
      <c r="G140" s="56" t="n">
        <v>180</v>
      </c>
      <c r="H140" s="63" t="n">
        <f aca="false">INDEX('تحليل التكلفة والسعر'!$D$2:$D$700,MATCH($B140,'تحليل التكلفة والسعر'!$B$2:$B$700,0))</f>
        <v>190</v>
      </c>
      <c r="I140" s="64" t="n">
        <f aca="false">IF(OR(G140="",G140=0),"",C140/G140)</f>
        <v>0.503178611111111</v>
      </c>
      <c r="J140" s="64" t="n">
        <f aca="false">IF(OR(H140="",H140=0),"",D140/H140)</f>
        <v>0.477616842105263</v>
      </c>
      <c r="K140" s="64" t="n">
        <f aca="false">IF(OR(I140="",J140=""),"",J140-I140)</f>
        <v>-0.0255617690058479</v>
      </c>
    </row>
    <row r="141" customFormat="false" ht="15" hidden="false" customHeight="true" outlineLevel="0" collapsed="false">
      <c r="A141" s="62" t="s">
        <v>17</v>
      </c>
      <c r="B141" s="62" t="s">
        <v>516</v>
      </c>
      <c r="C141" s="56" t="n">
        <v>43.9303</v>
      </c>
      <c r="D141" s="63" t="n">
        <f aca="false">INDEX('تحليل التكلفة والسعر'!$C$2:$C$700,MATCH($B141,'تحليل التكلفة والسعر'!$B$2:$B$700,0))</f>
        <v>43.7965</v>
      </c>
      <c r="E141" s="63" t="n">
        <f aca="false">D141-C141</f>
        <v>-0.133800000000001</v>
      </c>
      <c r="F141" s="64" t="n">
        <f aca="false">IF(C141=0,"",D141/C141-1)</f>
        <v>-0.00304573381014928</v>
      </c>
      <c r="G141" s="56" t="n">
        <v>120</v>
      </c>
      <c r="H141" s="63" t="n">
        <f aca="false">INDEX('تحليل التكلفة والسعر'!$D$2:$D$700,MATCH($B141,'تحليل التكلفة والسعر'!$B$2:$B$700,0))</f>
        <v>130</v>
      </c>
      <c r="I141" s="64" t="n">
        <f aca="false">IF(OR(G141="",G141=0),"",C141/G141)</f>
        <v>0.366085833333333</v>
      </c>
      <c r="J141" s="64" t="n">
        <f aca="false">IF(OR(H141="",H141=0),"",D141/H141)</f>
        <v>0.336896153846154</v>
      </c>
      <c r="K141" s="64" t="n">
        <f aca="false">IF(OR(I141="",J141=""),"",J141-I141)</f>
        <v>-0.0291896794871795</v>
      </c>
    </row>
    <row r="142" customFormat="false" ht="15" hidden="false" customHeight="true" outlineLevel="0" collapsed="false">
      <c r="A142" s="62" t="s">
        <v>17</v>
      </c>
      <c r="B142" s="62" t="s">
        <v>517</v>
      </c>
      <c r="C142" s="56" t="n">
        <v>62.0303</v>
      </c>
      <c r="D142" s="63" t="n">
        <f aca="false">INDEX('تحليل التكلفة والسعر'!$C$2:$C$700,MATCH($B142,'تحليل التكلفة والسعر'!$B$2:$B$700,0))</f>
        <v>61.8438</v>
      </c>
      <c r="E142" s="63" t="n">
        <f aca="false">D142-C142</f>
        <v>-0.186499999999995</v>
      </c>
      <c r="F142" s="64" t="n">
        <f aca="false">IF(C142=0,"",D142/C142-1)</f>
        <v>-0.00300659516397628</v>
      </c>
      <c r="G142" s="56" t="n">
        <v>150</v>
      </c>
      <c r="H142" s="63" t="n">
        <f aca="false">INDEX('تحليل التكلفة والسعر'!$D$2:$D$700,MATCH($B142,'تحليل التكلفة والسعر'!$B$2:$B$700,0))</f>
        <v>160</v>
      </c>
      <c r="I142" s="64" t="n">
        <f aca="false">IF(OR(G142="",G142=0),"",C142/G142)</f>
        <v>0.413535333333333</v>
      </c>
      <c r="J142" s="64" t="n">
        <f aca="false">IF(OR(H142="",H142=0),"",D142/H142)</f>
        <v>0.38652375</v>
      </c>
      <c r="K142" s="64" t="n">
        <f aca="false">IF(OR(I142="",J142=""),"",J142-I142)</f>
        <v>-0.0270115833333333</v>
      </c>
    </row>
    <row r="143" customFormat="false" ht="15" hidden="false" customHeight="true" outlineLevel="0" collapsed="false">
      <c r="A143" s="62" t="s">
        <v>380</v>
      </c>
      <c r="B143" s="62" t="s">
        <v>518</v>
      </c>
      <c r="C143" s="56" t="n">
        <v>22.94</v>
      </c>
      <c r="D143" s="63" t="n">
        <f aca="false">INDEX('تحليل التكلفة والسعر'!$C$2:$C$700,MATCH($B143,'تحليل التكلفة والسعر'!$B$2:$B$700,0))</f>
        <v>23</v>
      </c>
      <c r="E143" s="63" t="n">
        <f aca="false">D143-C143</f>
        <v>0.0599999999999987</v>
      </c>
      <c r="F143" s="64" t="n">
        <f aca="false">IF(C143=0,"",D143/C143-1)</f>
        <v>0.0026155187445509</v>
      </c>
      <c r="G143" s="56" t="n">
        <v>40</v>
      </c>
      <c r="H143" s="63" t="n">
        <f aca="false">INDEX('تحليل التكلفة والسعر'!$D$2:$D$700,MATCH($B143,'تحليل التكلفة والسعر'!$B$2:$B$700,0))</f>
        <v>50</v>
      </c>
      <c r="I143" s="64" t="n">
        <f aca="false">IF(OR(G143="",G143=0),"",C143/G143)</f>
        <v>0.5735</v>
      </c>
      <c r="J143" s="64" t="n">
        <f aca="false">IF(OR(H143="",H143=0),"",D143/H143)</f>
        <v>0.46</v>
      </c>
      <c r="K143" s="64" t="n">
        <f aca="false">IF(OR(I143="",J143=""),"",J143-I143)</f>
        <v>-0.1135</v>
      </c>
    </row>
    <row r="144" customFormat="false" ht="15" hidden="false" customHeight="true" outlineLevel="0" collapsed="false">
      <c r="A144" s="62" t="s">
        <v>380</v>
      </c>
      <c r="B144" s="62" t="s">
        <v>519</v>
      </c>
      <c r="C144" s="56" t="n">
        <v>45.88</v>
      </c>
      <c r="D144" s="63" t="n">
        <f aca="false">INDEX('تحليل التكلفة والسعر'!$C$2:$C$700,MATCH($B144,'تحليل التكلفة والسعر'!$B$2:$B$700,0))</f>
        <v>46</v>
      </c>
      <c r="E144" s="63" t="n">
        <f aca="false">D144-C144</f>
        <v>0.119999999999997</v>
      </c>
      <c r="F144" s="64" t="n">
        <f aca="false">IF(C144=0,"",D144/C144-1)</f>
        <v>0.0026155187445509</v>
      </c>
      <c r="G144" s="56" t="n">
        <v>80</v>
      </c>
      <c r="H144" s="63" t="n">
        <f aca="false">INDEX('تحليل التكلفة والسعر'!$D$2:$D$700,MATCH($B144,'تحليل التكلفة والسعر'!$B$2:$B$700,0))</f>
        <v>90</v>
      </c>
      <c r="I144" s="64" t="n">
        <f aca="false">IF(OR(G144="",G144=0),"",C144/G144)</f>
        <v>0.5735</v>
      </c>
      <c r="J144" s="64" t="n">
        <f aca="false">IF(OR(H144="",H144=0),"",D144/H144)</f>
        <v>0.511111111111111</v>
      </c>
      <c r="K144" s="64" t="n">
        <f aca="false">IF(OR(I144="",J144=""),"",J144-I144)</f>
        <v>-0.0623888888888889</v>
      </c>
    </row>
    <row r="145" customFormat="false" ht="15" hidden="false" customHeight="true" outlineLevel="0" collapsed="false">
      <c r="A145" s="62" t="s">
        <v>20</v>
      </c>
      <c r="B145" s="62" t="s">
        <v>520</v>
      </c>
      <c r="C145" s="56" t="n">
        <v>36.62</v>
      </c>
      <c r="D145" s="63" t="n">
        <f aca="false">INDEX('تحليل التكلفة والسعر'!$C$2:$C$700,MATCH($B145,'تحليل التكلفة والسعر'!$B$2:$B$700,0))</f>
        <v>36.53</v>
      </c>
      <c r="E145" s="63" t="n">
        <f aca="false">D145-C145</f>
        <v>-0.0899999999999963</v>
      </c>
      <c r="F145" s="64" t="n">
        <f aca="false">IF(C145=0,"",D145/C145-1)</f>
        <v>-0.00245767340251224</v>
      </c>
      <c r="G145" s="56" t="n">
        <v>90</v>
      </c>
      <c r="H145" s="63" t="n">
        <f aca="false">INDEX('تحليل التكلفة والسعر'!$D$2:$D$700,MATCH($B145,'تحليل التكلفة والسعر'!$B$2:$B$700,0))</f>
        <v>100</v>
      </c>
      <c r="I145" s="64" t="n">
        <f aca="false">IF(OR(G145="",G145=0),"",C145/G145)</f>
        <v>0.406888888888889</v>
      </c>
      <c r="J145" s="64" t="n">
        <f aca="false">IF(OR(H145="",H145=0),"",D145/H145)</f>
        <v>0.3653</v>
      </c>
      <c r="K145" s="64" t="n">
        <f aca="false">IF(OR(I145="",J145=""),"",J145-I145)</f>
        <v>-0.0415888888888888</v>
      </c>
    </row>
    <row r="146" customFormat="false" ht="15" hidden="false" customHeight="true" outlineLevel="0" collapsed="false">
      <c r="A146" s="62" t="s">
        <v>17</v>
      </c>
      <c r="B146" s="62" t="s">
        <v>521</v>
      </c>
      <c r="C146" s="56" t="n">
        <v>59.8303</v>
      </c>
      <c r="D146" s="63" t="n">
        <f aca="false">INDEX('تحليل التكلفة والسعر'!$C$2:$C$700,MATCH($B146,'تحليل التكلفة والسعر'!$B$2:$B$700,0))</f>
        <v>59.6989</v>
      </c>
      <c r="E146" s="63" t="n">
        <f aca="false">D146-C146</f>
        <v>-0.131399999999999</v>
      </c>
      <c r="F146" s="64" t="n">
        <f aca="false">IF(C146=0,"",D146/C146-1)</f>
        <v>-0.00219621161852768</v>
      </c>
      <c r="G146" s="56" t="n">
        <v>110</v>
      </c>
      <c r="H146" s="63" t="n">
        <f aca="false">INDEX('تحليل التكلفة والسعر'!$D$2:$D$700,MATCH($B146,'تحليل التكلفة والسعر'!$B$2:$B$700,0))</f>
        <v>120</v>
      </c>
      <c r="I146" s="64" t="n">
        <f aca="false">IF(OR(G146="",G146=0),"",C146/G146)</f>
        <v>0.543911818181818</v>
      </c>
      <c r="J146" s="64" t="n">
        <f aca="false">IF(OR(H146="",H146=0),"",D146/H146)</f>
        <v>0.497490833333333</v>
      </c>
      <c r="K146" s="64" t="n">
        <f aca="false">IF(OR(I146="",J146=""),"",J146-I146)</f>
        <v>-0.0464209848484849</v>
      </c>
    </row>
    <row r="147" customFormat="false" ht="15" hidden="false" customHeight="true" outlineLevel="0" collapsed="false">
      <c r="A147" s="62" t="s">
        <v>10</v>
      </c>
      <c r="B147" s="62" t="s">
        <v>522</v>
      </c>
      <c r="C147" s="56" t="n">
        <v>113.41395</v>
      </c>
      <c r="D147" s="63" t="n">
        <f aca="false">INDEX('تحليل التكلفة والسعر'!$C$2:$C$700,MATCH($B147,'تحليل التكلفة والسعر'!$B$2:$B$700,0))</f>
        <v>113.6315</v>
      </c>
      <c r="E147" s="63" t="n">
        <f aca="false">D147-C147</f>
        <v>0.217550000000003</v>
      </c>
      <c r="F147" s="64" t="n">
        <f aca="false">IF(C147=0,"",D147/C147-1)</f>
        <v>0.00191819436674234</v>
      </c>
      <c r="G147" s="56" t="n">
        <v>200</v>
      </c>
      <c r="H147" s="63" t="n">
        <f aca="false">INDEX('تحليل التكلفة والسعر'!$D$2:$D$700,MATCH($B147,'تحليل التكلفة والسعر'!$B$2:$B$700,0))</f>
        <v>210</v>
      </c>
      <c r="I147" s="64" t="n">
        <f aca="false">IF(OR(G147="",G147=0),"",C147/G147)</f>
        <v>0.56706975</v>
      </c>
      <c r="J147" s="64" t="n">
        <f aca="false">IF(OR(H147="",H147=0),"",D147/H147)</f>
        <v>0.541102380952381</v>
      </c>
      <c r="K147" s="64" t="n">
        <f aca="false">IF(OR(I147="",J147=""),"",J147-I147)</f>
        <v>-0.0259673690476191</v>
      </c>
    </row>
    <row r="148" customFormat="false" ht="15" hidden="false" customHeight="true" outlineLevel="0" collapsed="false">
      <c r="A148" s="62" t="s">
        <v>10</v>
      </c>
      <c r="B148" s="62" t="s">
        <v>523</v>
      </c>
      <c r="C148" s="56" t="n">
        <v>76.4303</v>
      </c>
      <c r="D148" s="63" t="n">
        <f aca="false">INDEX('تحليل التكلفة والسعر'!$C$2:$C$700,MATCH($B148,'تحليل التكلفة والسعر'!$B$2:$B$700,0))</f>
        <v>76.2965</v>
      </c>
      <c r="E148" s="63" t="n">
        <f aca="false">D148-C148</f>
        <v>-0.133800000000008</v>
      </c>
      <c r="F148" s="64" t="n">
        <f aca="false">IF(C148=0,"",D148/C148-1)</f>
        <v>-0.00175061461226778</v>
      </c>
      <c r="G148" s="56" t="n">
        <v>120</v>
      </c>
      <c r="H148" s="63" t="n">
        <f aca="false">INDEX('تحليل التكلفة والسعر'!$D$2:$D$700,MATCH($B148,'تحليل التكلفة والسعر'!$B$2:$B$700,0))</f>
        <v>130</v>
      </c>
      <c r="I148" s="64" t="n">
        <f aca="false">IF(OR(G148="",G148=0),"",C148/G148)</f>
        <v>0.636919166666667</v>
      </c>
      <c r="J148" s="64" t="n">
        <f aca="false">IF(OR(H148="",H148=0),"",D148/H148)</f>
        <v>0.586896153846154</v>
      </c>
      <c r="K148" s="64" t="n">
        <f aca="false">IF(OR(I148="",J148=""),"",J148-I148)</f>
        <v>-0.0500230128205129</v>
      </c>
    </row>
    <row r="149" customFormat="false" ht="15" hidden="false" customHeight="true" outlineLevel="0" collapsed="false">
      <c r="A149" s="62" t="s">
        <v>16</v>
      </c>
      <c r="B149" s="62" t="s">
        <v>524</v>
      </c>
      <c r="C149" s="56" t="n">
        <v>94.04215</v>
      </c>
      <c r="D149" s="63" t="n">
        <f aca="false">INDEX('تحليل التكلفة والسعر'!$C$2:$C$700,MATCH($B149,'تحليل التكلفة والسعر'!$B$2:$B$700,0))</f>
        <v>94.1898</v>
      </c>
      <c r="E149" s="63" t="n">
        <f aca="false">D149-C149</f>
        <v>0.147649999999999</v>
      </c>
      <c r="F149" s="64" t="n">
        <f aca="false">IF(C149=0,"",D149/C149-1)</f>
        <v>0.00157004066793442</v>
      </c>
      <c r="G149" s="56" t="n">
        <v>190</v>
      </c>
      <c r="H149" s="63" t="n">
        <f aca="false">INDEX('تحليل التكلفة والسعر'!$D$2:$D$700,MATCH($B149,'تحليل التكلفة والسعر'!$B$2:$B$700,0))</f>
        <v>200</v>
      </c>
      <c r="I149" s="64" t="n">
        <f aca="false">IF(OR(G149="",G149=0),"",C149/G149)</f>
        <v>0.494958684210526</v>
      </c>
      <c r="J149" s="64" t="n">
        <f aca="false">IF(OR(H149="",H149=0),"",D149/H149)</f>
        <v>0.470949</v>
      </c>
      <c r="K149" s="64" t="n">
        <f aca="false">IF(OR(I149="",J149=""),"",J149-I149)</f>
        <v>-0.0240096842105264</v>
      </c>
    </row>
    <row r="150" customFormat="false" ht="15" hidden="false" customHeight="true" outlineLevel="0" collapsed="false">
      <c r="A150" s="62" t="s">
        <v>17</v>
      </c>
      <c r="B150" s="62" t="s">
        <v>525</v>
      </c>
      <c r="C150" s="56" t="n">
        <v>75.4303</v>
      </c>
      <c r="D150" s="63" t="n">
        <f aca="false">INDEX('تحليل التكلفة والسعر'!$C$2:$C$700,MATCH($B150,'تحليل التكلفة والسعر'!$B$2:$B$700,0))</f>
        <v>75.3265</v>
      </c>
      <c r="E150" s="63" t="n">
        <f aca="false">D150-C150</f>
        <v>-0.103800000000007</v>
      </c>
      <c r="F150" s="64" t="n">
        <f aca="false">IF(C150=0,"",D150/C150-1)</f>
        <v>-0.00137610482790085</v>
      </c>
      <c r="G150" s="56" t="n">
        <v>170</v>
      </c>
      <c r="H150" s="63" t="n">
        <f aca="false">INDEX('تحليل التكلفة والسعر'!$D$2:$D$700,MATCH($B150,'تحليل التكلفة والسعر'!$B$2:$B$700,0))</f>
        <v>180</v>
      </c>
      <c r="I150" s="64" t="n">
        <f aca="false">IF(OR(G150="",G150=0),"",C150/G150)</f>
        <v>0.443707647058824</v>
      </c>
      <c r="J150" s="64" t="n">
        <f aca="false">IF(OR(H150="",H150=0),"",D150/H150)</f>
        <v>0.418480555555556</v>
      </c>
      <c r="K150" s="64" t="n">
        <f aca="false">IF(OR(I150="",J150=""),"",J150-I150)</f>
        <v>-0.025227091503268</v>
      </c>
    </row>
    <row r="151" customFormat="false" ht="15" hidden="false" customHeight="true" outlineLevel="0" collapsed="false">
      <c r="A151" s="62" t="s">
        <v>20</v>
      </c>
      <c r="B151" s="62" t="s">
        <v>526</v>
      </c>
      <c r="C151" s="56" t="n">
        <v>67.42</v>
      </c>
      <c r="D151" s="63" t="n">
        <f aca="false">INDEX('تحليل التكلفة والسعر'!$C$2:$C$700,MATCH($B151,'تحليل التكلفة والسعر'!$B$2:$B$700,0))</f>
        <v>67.3328</v>
      </c>
      <c r="E151" s="63" t="n">
        <f aca="false">D151-C151</f>
        <v>-0.0871999999999957</v>
      </c>
      <c r="F151" s="64" t="n">
        <f aca="false">IF(C151=0,"",D151/C151-1)</f>
        <v>-0.00129338475229901</v>
      </c>
      <c r="G151" s="56" t="n">
        <v>120</v>
      </c>
      <c r="H151" s="63" t="n">
        <f aca="false">INDEX('تحليل التكلفة والسعر'!$D$2:$D$700,MATCH($B151,'تحليل التكلفة والسعر'!$B$2:$B$700,0))</f>
        <v>130</v>
      </c>
      <c r="I151" s="64" t="n">
        <f aca="false">IF(OR(G151="",G151=0),"",C151/G151)</f>
        <v>0.561833333333333</v>
      </c>
      <c r="J151" s="64" t="n">
        <f aca="false">IF(OR(H151="",H151=0),"",D151/H151)</f>
        <v>0.517944615384615</v>
      </c>
      <c r="K151" s="64" t="n">
        <f aca="false">IF(OR(I151="",J151=""),"",J151-I151)</f>
        <v>-0.0438887179487179</v>
      </c>
    </row>
    <row r="152" customFormat="false" ht="15" hidden="false" customHeight="true" outlineLevel="0" collapsed="false">
      <c r="A152" s="62" t="s">
        <v>16</v>
      </c>
      <c r="B152" s="62" t="s">
        <v>527</v>
      </c>
      <c r="C152" s="56" t="n">
        <v>130.5491</v>
      </c>
      <c r="D152" s="63" t="n">
        <f aca="false">INDEX('تحليل التكلفة والسعر'!$C$2:$C$700,MATCH($B152,'تحليل التكلفة والسعر'!$B$2:$B$700,0))</f>
        <v>130.4165</v>
      </c>
      <c r="E152" s="63" t="n">
        <f aca="false">D152-C152</f>
        <v>-0.132599999999997</v>
      </c>
      <c r="F152" s="64" t="n">
        <f aca="false">IF(C152=0,"",D152/C152-1)</f>
        <v>-0.00101570979807597</v>
      </c>
      <c r="G152" s="56" t="n">
        <v>230</v>
      </c>
      <c r="H152" s="63" t="n">
        <f aca="false">INDEX('تحليل التكلفة والسعر'!$D$2:$D$700,MATCH($B152,'تحليل التكلفة والسعر'!$B$2:$B$700,0))</f>
        <v>240</v>
      </c>
      <c r="I152" s="64" t="n">
        <f aca="false">IF(OR(G152="",G152=0),"",C152/G152)</f>
        <v>0.567604782608696</v>
      </c>
      <c r="J152" s="64" t="n">
        <f aca="false">IF(OR(H152="",H152=0),"",D152/H152)</f>
        <v>0.543402083333333</v>
      </c>
      <c r="K152" s="64" t="n">
        <f aca="false">IF(OR(I152="",J152=""),"",J152-I152)</f>
        <v>-0.0242026992753623</v>
      </c>
    </row>
    <row r="153" customFormat="false" ht="15" hidden="false" customHeight="true" outlineLevel="0" collapsed="false">
      <c r="A153" s="62" t="s">
        <v>9</v>
      </c>
      <c r="B153" s="62" t="s">
        <v>528</v>
      </c>
      <c r="C153" s="56" t="n">
        <v>133.0491</v>
      </c>
      <c r="D153" s="63" t="n">
        <f aca="false">INDEX('تحليل التكلفة والسعر'!$C$2:$C$700,MATCH($B153,'تحليل التكلفة والسعر'!$B$2:$B$700,0))</f>
        <v>132.9165</v>
      </c>
      <c r="E153" s="63" t="n">
        <f aca="false">D153-C153</f>
        <v>-0.132599999999997</v>
      </c>
      <c r="F153" s="64" t="n">
        <f aca="false">IF(C153=0,"",D153/C153-1)</f>
        <v>-0.000996624554393755</v>
      </c>
      <c r="G153" s="56" t="n">
        <v>230</v>
      </c>
      <c r="H153" s="63" t="n">
        <f aca="false">INDEX('تحليل التكلفة والسعر'!$D$2:$D$700,MATCH($B153,'تحليل التكلفة والسعر'!$B$2:$B$700,0))</f>
        <v>240</v>
      </c>
      <c r="I153" s="64" t="n">
        <f aca="false">IF(OR(G153="",G153=0),"",C153/G153)</f>
        <v>0.578474347826087</v>
      </c>
      <c r="J153" s="64" t="n">
        <f aca="false">IF(OR(H153="",H153=0),"",D153/H153)</f>
        <v>0.55381875</v>
      </c>
      <c r="K153" s="64" t="n">
        <f aca="false">IF(OR(I153="",J153=""),"",J153-I153)</f>
        <v>-0.024655597826087</v>
      </c>
    </row>
    <row r="154" customFormat="false" ht="15" hidden="false" customHeight="true" outlineLevel="0" collapsed="false">
      <c r="A154" s="62" t="s">
        <v>13</v>
      </c>
      <c r="B154" s="62" t="s">
        <v>529</v>
      </c>
      <c r="C154" s="56" t="n">
        <v>78.52</v>
      </c>
      <c r="D154" s="63" t="n">
        <f aca="false">INDEX('تحليل التكلفة والسعر'!$C$2:$C$700,MATCH($B154,'تحليل التكلفة والسعر'!$B$2:$B$700,0))</f>
        <v>78.463335</v>
      </c>
      <c r="E154" s="63" t="n">
        <f aca="false">D154-C154</f>
        <v>-0.0566649999999953</v>
      </c>
      <c r="F154" s="64" t="n">
        <f aca="false">IF(C154=0,"",D154/C154-1)</f>
        <v>-0.000721663270504269</v>
      </c>
      <c r="G154" s="56" t="n">
        <v>130</v>
      </c>
      <c r="H154" s="63" t="n">
        <f aca="false">INDEX('تحليل التكلفة والسعر'!$D$2:$D$700,MATCH($B154,'تحليل التكلفة والسعر'!$B$2:$B$700,0))</f>
        <v>140</v>
      </c>
      <c r="I154" s="64" t="n">
        <f aca="false">IF(OR(G154="",G154=0),"",C154/G154)</f>
        <v>0.604</v>
      </c>
      <c r="J154" s="64" t="n">
        <f aca="false">IF(OR(H154="",H154=0),"",D154/H154)</f>
        <v>0.560452392857143</v>
      </c>
      <c r="K154" s="64" t="n">
        <f aca="false">IF(OR(I154="",J154=""),"",J154-I154)</f>
        <v>-0.0435476071428571</v>
      </c>
    </row>
    <row r="155" customFormat="false" ht="15" hidden="false" customHeight="true" outlineLevel="0" collapsed="false">
      <c r="A155" s="62" t="s">
        <v>12</v>
      </c>
      <c r="B155" s="62" t="s">
        <v>530</v>
      </c>
      <c r="C155" s="56" t="n">
        <v>79.2887</v>
      </c>
      <c r="D155" s="63" t="n">
        <f aca="false">INDEX('تحليل التكلفة والسعر'!$C$2:$C$700,MATCH($B155,'تحليل التكلفة والسعر'!$B$2:$B$700,0))</f>
        <v>79.2265</v>
      </c>
      <c r="E155" s="63" t="n">
        <f aca="false">D155-C155</f>
        <v>-0.0622000000000043</v>
      </c>
      <c r="F155" s="64" t="n">
        <f aca="false">IF(C155=0,"",D155/C155-1)</f>
        <v>-0.000784474963014925</v>
      </c>
      <c r="G155" s="56" t="n">
        <v>150</v>
      </c>
      <c r="H155" s="63" t="n">
        <f aca="false">INDEX('تحليل التكلفة والسعر'!$D$2:$D$700,MATCH($B155,'تحليل التكلفة والسعر'!$B$2:$B$700,0))</f>
        <v>160</v>
      </c>
      <c r="I155" s="64" t="n">
        <f aca="false">IF(OR(G155="",G155=0),"",C155/G155)</f>
        <v>0.528591333333333</v>
      </c>
      <c r="J155" s="64" t="n">
        <f aca="false">IF(OR(H155="",H155=0),"",D155/H155)</f>
        <v>0.495165625</v>
      </c>
      <c r="K155" s="64" t="n">
        <f aca="false">IF(OR(I155="",J155=""),"",J155-I155)</f>
        <v>-0.0334257083333334</v>
      </c>
    </row>
    <row r="156" customFormat="false" ht="15" hidden="false" customHeight="true" outlineLevel="0" collapsed="false">
      <c r="A156" s="62" t="s">
        <v>9</v>
      </c>
      <c r="B156" s="62" t="s">
        <v>531</v>
      </c>
      <c r="C156" s="56" t="n">
        <v>162.33215</v>
      </c>
      <c r="D156" s="63" t="n">
        <f aca="false">INDEX('تحليل التكلفة والسعر'!$C$2:$C$700,MATCH($B156,'تحليل التكلفة والسعر'!$B$2:$B$700,0))</f>
        <v>162.9577</v>
      </c>
      <c r="E156" s="63" t="n">
        <f aca="false">D156-C156</f>
        <v>0.625549999999976</v>
      </c>
      <c r="F156" s="64" t="n">
        <f aca="false">IF(C156=0,"",D156/C156-1)</f>
        <v>0.00385351885008589</v>
      </c>
      <c r="G156" s="56" t="n">
        <v>330</v>
      </c>
      <c r="H156" s="63" t="n">
        <f aca="false">INDEX('تحليل التكلفة والسعر'!$D$2:$D$700,MATCH($B156,'تحليل التكلفة والسعر'!$B$2:$B$700,0))</f>
        <v>340</v>
      </c>
      <c r="I156" s="64" t="n">
        <f aca="false">IF(OR(G156="",G156=0),"",C156/G156)</f>
        <v>0.491915606060606</v>
      </c>
      <c r="J156" s="64" t="n">
        <f aca="false">IF(OR(H156="",H156=0),"",D156/H156)</f>
        <v>0.479287352941176</v>
      </c>
      <c r="K156" s="64" t="n">
        <f aca="false">IF(OR(I156="",J156=""),"",J156-I156)</f>
        <v>-0.0126282531194297</v>
      </c>
    </row>
    <row r="157" customFormat="false" ht="15" hidden="false" customHeight="true" outlineLevel="0" collapsed="false">
      <c r="A157" s="62" t="s">
        <v>380</v>
      </c>
      <c r="B157" s="62" t="s">
        <v>532</v>
      </c>
      <c r="C157" s="56" t="n">
        <v>42</v>
      </c>
      <c r="D157" s="63" t="n">
        <f aca="false">INDEX('تحليل التكلفة والسعر'!$C$2:$C$700,MATCH($B157,'تحليل التكلفة والسعر'!$B$2:$B$700,0))</f>
        <v>42.03</v>
      </c>
      <c r="E157" s="63" t="n">
        <f aca="false">D157-C157</f>
        <v>0.0300000000000011</v>
      </c>
      <c r="F157" s="64" t="n">
        <f aca="false">IF(C157=0,"",D157/C157-1)</f>
        <v>0.000714285714285667</v>
      </c>
      <c r="G157" s="56" t="n">
        <v>70</v>
      </c>
      <c r="H157" s="63" t="n">
        <f aca="false">INDEX('تحليل التكلفة والسعر'!$D$2:$D$700,MATCH($B157,'تحليل التكلفة والسعر'!$B$2:$B$700,0))</f>
        <v>80</v>
      </c>
      <c r="I157" s="64" t="n">
        <f aca="false">IF(OR(G157="",G157=0),"",C157/G157)</f>
        <v>0.6</v>
      </c>
      <c r="J157" s="64" t="n">
        <f aca="false">IF(OR(H157="",H157=0),"",D157/H157)</f>
        <v>0.525375</v>
      </c>
      <c r="K157" s="64" t="n">
        <f aca="false">IF(OR(I157="",J157=""),"",J157-I157)</f>
        <v>-0.0746249999999999</v>
      </c>
    </row>
    <row r="158" customFormat="false" ht="15" hidden="false" customHeight="true" outlineLevel="0" collapsed="false">
      <c r="A158" s="62" t="s">
        <v>12</v>
      </c>
      <c r="B158" s="62" t="s">
        <v>533</v>
      </c>
      <c r="C158" s="56" t="n">
        <v>95.2424</v>
      </c>
      <c r="D158" s="63" t="n">
        <f aca="false">INDEX('تحليل التكلفة والسعر'!$C$2:$C$700,MATCH($B158,'تحليل التكلفة والسعر'!$B$2:$B$700,0))</f>
        <v>95.14544</v>
      </c>
      <c r="E158" s="63" t="n">
        <f aca="false">D158-C158</f>
        <v>-0.0969600000000099</v>
      </c>
      <c r="F158" s="64" t="n">
        <f aca="false">IF(C158=0,"",D158/C158-1)</f>
        <v>-0.001018033984864</v>
      </c>
      <c r="G158" s="56" t="n">
        <v>160</v>
      </c>
      <c r="H158" s="63" t="n">
        <f aca="false">INDEX('تحليل التكلفة والسعر'!$D$2:$D$700,MATCH($B158,'تحليل التكلفة والسعر'!$B$2:$B$700,0))</f>
        <v>170</v>
      </c>
      <c r="I158" s="64" t="n">
        <f aca="false">IF(OR(G158="",G158=0),"",C158/G158)</f>
        <v>0.595265</v>
      </c>
      <c r="J158" s="64" t="n">
        <f aca="false">IF(OR(H158="",H158=0),"",D158/H158)</f>
        <v>0.559679058823529</v>
      </c>
      <c r="K158" s="64" t="n">
        <f aca="false">IF(OR(I158="",J158=""),"",J158-I158)</f>
        <v>-0.0355859411764706</v>
      </c>
    </row>
    <row r="159" customFormat="false" ht="15" hidden="false" customHeight="true" outlineLevel="0" collapsed="false">
      <c r="A159" s="62" t="s">
        <v>380</v>
      </c>
      <c r="B159" s="62" t="s">
        <v>534</v>
      </c>
      <c r="C159" s="56" t="n">
        <v>14</v>
      </c>
      <c r="D159" s="63" t="n">
        <f aca="false">INDEX('تحليل التكلفة والسعر'!$C$2:$C$700,MATCH($B159,'تحليل التكلفة والسعر'!$B$2:$B$700,0))</f>
        <v>14</v>
      </c>
      <c r="E159" s="63" t="n">
        <f aca="false">D159-C159</f>
        <v>0</v>
      </c>
      <c r="F159" s="64" t="n">
        <f aca="false">IF(C159=0,"",D159/C159-1)</f>
        <v>0</v>
      </c>
      <c r="G159" s="56" t="n">
        <v>30.92</v>
      </c>
      <c r="H159" s="63" t="n">
        <f aca="false">INDEX('تحليل التكلفة والسعر'!$D$2:$D$700,MATCH($B159,'تحليل التكلفة والسعر'!$B$2:$B$700,0))</f>
        <v>40.92</v>
      </c>
      <c r="I159" s="64" t="n">
        <f aca="false">IF(OR(G159="",G159=0),"",C159/G159)</f>
        <v>0.452781371280724</v>
      </c>
      <c r="J159" s="64" t="n">
        <f aca="false">IF(OR(H159="",H159=0),"",D159/H159)</f>
        <v>0.342130987292278</v>
      </c>
      <c r="K159" s="64" t="n">
        <f aca="false">IF(OR(I159="",J159=""),"",J159-I159)</f>
        <v>-0.110650383988447</v>
      </c>
    </row>
    <row r="160" customFormat="false" ht="15" hidden="false" customHeight="true" outlineLevel="0" collapsed="false">
      <c r="A160" s="62" t="s">
        <v>380</v>
      </c>
      <c r="B160" s="62" t="s">
        <v>535</v>
      </c>
      <c r="C160" s="56" t="n">
        <v>21</v>
      </c>
      <c r="D160" s="63" t="n">
        <f aca="false">INDEX('تحليل التكلفة والسعر'!$C$2:$C$700,MATCH($B160,'تحليل التكلفة والسعر'!$B$2:$B$700,0))</f>
        <v>21</v>
      </c>
      <c r="E160" s="63" t="n">
        <f aca="false">D160-C160</f>
        <v>0</v>
      </c>
      <c r="F160" s="64" t="n">
        <f aca="false">IF(C160=0,"",D160/C160-1)</f>
        <v>0</v>
      </c>
      <c r="G160" s="56" t="n">
        <v>45.56</v>
      </c>
      <c r="H160" s="63" t="n">
        <f aca="false">INDEX('تحليل التكلفة والسعر'!$D$2:$D$700,MATCH($B160,'تحليل التكلفة والسعر'!$B$2:$B$700,0))</f>
        <v>55.56</v>
      </c>
      <c r="I160" s="64" t="n">
        <f aca="false">IF(OR(G160="",G160=0),"",C160/G160)</f>
        <v>0.460930640913082</v>
      </c>
      <c r="J160" s="64" t="n">
        <f aca="false">IF(OR(H160="",H160=0),"",D160/H160)</f>
        <v>0.377969762419007</v>
      </c>
      <c r="K160" s="64" t="n">
        <f aca="false">IF(OR(I160="",J160=""),"",J160-I160)</f>
        <v>-0.0829608784940751</v>
      </c>
    </row>
    <row r="161" customFormat="false" ht="15" hidden="false" customHeight="true" outlineLevel="0" collapsed="false">
      <c r="A161" s="62" t="s">
        <v>380</v>
      </c>
      <c r="B161" s="62" t="s">
        <v>536</v>
      </c>
      <c r="C161" s="56" t="n">
        <v>14</v>
      </c>
      <c r="D161" s="63" t="n">
        <f aca="false">INDEX('تحليل التكلفة والسعر'!$C$2:$C$700,MATCH($B161,'تحليل التكلفة والسعر'!$B$2:$B$700,0))</f>
        <v>14</v>
      </c>
      <c r="E161" s="63" t="n">
        <f aca="false">D161-C161</f>
        <v>0</v>
      </c>
      <c r="F161" s="64" t="n">
        <f aca="false">IF(C161=0,"",D161/C161-1)</f>
        <v>0</v>
      </c>
      <c r="G161" s="56" t="n">
        <v>30.71</v>
      </c>
      <c r="H161" s="63" t="n">
        <f aca="false">INDEX('تحليل التكلفة والسعر'!$D$2:$D$700,MATCH($B161,'تحليل التكلفة والسعر'!$B$2:$B$700,0))</f>
        <v>40.71</v>
      </c>
      <c r="I161" s="64" t="n">
        <f aca="false">IF(OR(G161="",G161=0),"",C161/G161)</f>
        <v>0.455877564311299</v>
      </c>
      <c r="J161" s="64" t="n">
        <f aca="false">IF(OR(H161="",H161=0),"",D161/H161)</f>
        <v>0.343895848685827</v>
      </c>
      <c r="K161" s="64" t="n">
        <f aca="false">IF(OR(I161="",J161=""),"",J161-I161)</f>
        <v>-0.111981715625473</v>
      </c>
    </row>
    <row r="162" customFormat="false" ht="15" hidden="false" customHeight="true" outlineLevel="0" collapsed="false">
      <c r="A162" s="62" t="s">
        <v>380</v>
      </c>
      <c r="B162" s="62" t="s">
        <v>537</v>
      </c>
      <c r="C162" s="56" t="n">
        <v>17.5</v>
      </c>
      <c r="D162" s="63" t="n">
        <f aca="false">INDEX('تحليل التكلفة والسعر'!$C$2:$C$700,MATCH($B162,'تحليل التكلفة والسعر'!$B$2:$B$700,0))</f>
        <v>17.5</v>
      </c>
      <c r="E162" s="63" t="n">
        <f aca="false">D162-C162</f>
        <v>0</v>
      </c>
      <c r="F162" s="64" t="n">
        <f aca="false">IF(C162=0,"",D162/C162-1)</f>
        <v>0</v>
      </c>
      <c r="G162" s="56" t="n">
        <v>30.62</v>
      </c>
      <c r="H162" s="63" t="n">
        <f aca="false">INDEX('تحليل التكلفة والسعر'!$D$2:$D$700,MATCH($B162,'تحليل التكلفة والسعر'!$B$2:$B$700,0))</f>
        <v>40.62</v>
      </c>
      <c r="I162" s="64" t="n">
        <f aca="false">IF(OR(G162="",G162=0),"",C162/G162)</f>
        <v>0.571521881123449</v>
      </c>
      <c r="J162" s="64" t="n">
        <f aca="false">IF(OR(H162="",H162=0),"",D162/H162)</f>
        <v>0.430822255046775</v>
      </c>
      <c r="K162" s="64" t="n">
        <f aca="false">IF(OR(I162="",J162=""),"",J162-I162)</f>
        <v>-0.140699626076674</v>
      </c>
    </row>
    <row r="163" customFormat="false" ht="15" hidden="false" customHeight="true" outlineLevel="0" collapsed="false">
      <c r="A163" s="62" t="s">
        <v>380</v>
      </c>
      <c r="B163" s="62" t="s">
        <v>538</v>
      </c>
      <c r="C163" s="56" t="n">
        <v>25</v>
      </c>
      <c r="D163" s="63" t="n">
        <f aca="false">INDEX('تحليل التكلفة والسعر'!$C$2:$C$700,MATCH($B163,'تحليل التكلفة والسعر'!$B$2:$B$700,0))</f>
        <v>25</v>
      </c>
      <c r="E163" s="63" t="n">
        <f aca="false">D163-C163</f>
        <v>0</v>
      </c>
      <c r="F163" s="64" t="n">
        <f aca="false">IF(C163=0,"",D163/C163-1)</f>
        <v>0</v>
      </c>
      <c r="G163" s="56" t="n">
        <v>45</v>
      </c>
      <c r="H163" s="63" t="n">
        <f aca="false">INDEX('تحليل التكلفة والسعر'!$D$2:$D$700,MATCH($B163,'تحليل التكلفة والسعر'!$B$2:$B$700,0))</f>
        <v>55</v>
      </c>
      <c r="I163" s="64" t="n">
        <f aca="false">IF(OR(G163="",G163=0),"",C163/G163)</f>
        <v>0.555555555555556</v>
      </c>
      <c r="J163" s="64" t="n">
        <f aca="false">IF(OR(H163="",H163=0),"",D163/H163)</f>
        <v>0.454545454545455</v>
      </c>
      <c r="K163" s="64" t="n">
        <f aca="false">IF(OR(I163="",J163=""),"",J163-I163)</f>
        <v>-0.101010101010101</v>
      </c>
    </row>
    <row r="164" customFormat="false" ht="15" hidden="false" customHeight="true" outlineLevel="0" collapsed="false">
      <c r="A164" s="62" t="s">
        <v>380</v>
      </c>
      <c r="B164" s="62" t="s">
        <v>539</v>
      </c>
      <c r="C164" s="56" t="n">
        <v>20</v>
      </c>
      <c r="D164" s="63" t="n">
        <f aca="false">INDEX('تحليل التكلفة والسعر'!$C$2:$C$700,MATCH($B164,'تحليل التكلفة والسعر'!$B$2:$B$700,0))</f>
        <v>20</v>
      </c>
      <c r="E164" s="63" t="n">
        <f aca="false">D164-C164</f>
        <v>0</v>
      </c>
      <c r="F164" s="64" t="n">
        <f aca="false">IF(C164=0,"",D164/C164-1)</f>
        <v>0</v>
      </c>
      <c r="G164" s="56" t="n">
        <v>31.25</v>
      </c>
      <c r="H164" s="63" t="n">
        <f aca="false">INDEX('تحليل التكلفة والسعر'!$D$2:$D$700,MATCH($B164,'تحليل التكلفة والسعر'!$B$2:$B$700,0))</f>
        <v>41.25</v>
      </c>
      <c r="I164" s="64" t="n">
        <f aca="false">IF(OR(G164="",G164=0),"",C164/G164)</f>
        <v>0.64</v>
      </c>
      <c r="J164" s="64" t="n">
        <f aca="false">IF(OR(H164="",H164=0),"",D164/H164)</f>
        <v>0.484848484848485</v>
      </c>
      <c r="K164" s="64" t="n">
        <f aca="false">IF(OR(I164="",J164=""),"",J164-I164)</f>
        <v>-0.155151515151515</v>
      </c>
    </row>
    <row r="165" customFormat="false" ht="15" hidden="false" customHeight="true" outlineLevel="0" collapsed="false">
      <c r="A165" s="62" t="s">
        <v>380</v>
      </c>
      <c r="B165" s="62" t="s">
        <v>540</v>
      </c>
      <c r="C165" s="56" t="n">
        <v>9</v>
      </c>
      <c r="D165" s="63" t="n">
        <f aca="false">INDEX('تحليل التكلفة والسعر'!$C$2:$C$700,MATCH($B165,'تحليل التكلفة والسعر'!$B$2:$B$700,0))</f>
        <v>9</v>
      </c>
      <c r="E165" s="63" t="n">
        <f aca="false">D165-C165</f>
        <v>0</v>
      </c>
      <c r="F165" s="64" t="n">
        <f aca="false">IF(C165=0,"",D165/C165-1)</f>
        <v>0</v>
      </c>
      <c r="G165" s="56" t="n">
        <v>30</v>
      </c>
      <c r="H165" s="63" t="n">
        <f aca="false">INDEX('تحليل التكلفة والسعر'!$D$2:$D$700,MATCH($B165,'تحليل التكلفة والسعر'!$B$2:$B$700,0))</f>
        <v>40</v>
      </c>
      <c r="I165" s="64" t="n">
        <f aca="false">IF(OR(G165="",G165=0),"",C165/G165)</f>
        <v>0.3</v>
      </c>
      <c r="J165" s="64" t="n">
        <f aca="false">IF(OR(H165="",H165=0),"",D165/H165)</f>
        <v>0.225</v>
      </c>
      <c r="K165" s="64" t="n">
        <f aca="false">IF(OR(I165="",J165=""),"",J165-I165)</f>
        <v>-0.075</v>
      </c>
    </row>
    <row r="166" customFormat="false" ht="15" hidden="false" customHeight="true" outlineLevel="0" collapsed="false">
      <c r="A166" s="62" t="s">
        <v>380</v>
      </c>
      <c r="B166" s="62" t="s">
        <v>541</v>
      </c>
      <c r="C166" s="56" t="n">
        <v>9</v>
      </c>
      <c r="D166" s="63" t="n">
        <f aca="false">INDEX('تحليل التكلفة والسعر'!$C$2:$C$700,MATCH($B166,'تحليل التكلفة والسعر'!$B$2:$B$700,0))</f>
        <v>9</v>
      </c>
      <c r="E166" s="63" t="n">
        <f aca="false">D166-C166</f>
        <v>0</v>
      </c>
      <c r="F166" s="64" t="n">
        <f aca="false">IF(C166=0,"",D166/C166-1)</f>
        <v>0</v>
      </c>
      <c r="G166" s="56" t="n">
        <v>30</v>
      </c>
      <c r="H166" s="63" t="n">
        <f aca="false">INDEX('تحليل التكلفة والسعر'!$D$2:$D$700,MATCH($B166,'تحليل التكلفة والسعر'!$B$2:$B$700,0))</f>
        <v>40</v>
      </c>
      <c r="I166" s="64" t="n">
        <f aca="false">IF(OR(G166="",G166=0),"",C166/G166)</f>
        <v>0.3</v>
      </c>
      <c r="J166" s="64" t="n">
        <f aca="false">IF(OR(H166="",H166=0),"",D166/H166)</f>
        <v>0.225</v>
      </c>
      <c r="K166" s="64" t="n">
        <f aca="false">IF(OR(I166="",J166=""),"",J166-I166)</f>
        <v>-0.075</v>
      </c>
    </row>
    <row r="167" customFormat="false" ht="15" hidden="false" customHeight="true" outlineLevel="0" collapsed="false">
      <c r="A167" s="62" t="s">
        <v>380</v>
      </c>
      <c r="B167" s="62" t="s">
        <v>542</v>
      </c>
      <c r="C167" s="56" t="n">
        <v>13.5</v>
      </c>
      <c r="D167" s="63" t="n">
        <f aca="false">INDEX('تحليل التكلفة والسعر'!$C$2:$C$700,MATCH($B167,'تحليل التكلفة والسعر'!$B$2:$B$700,0))</f>
        <v>13.5</v>
      </c>
      <c r="E167" s="63" t="n">
        <f aca="false">D167-C167</f>
        <v>0</v>
      </c>
      <c r="F167" s="64" t="n">
        <f aca="false">IF(C167=0,"",D167/C167-1)</f>
        <v>0</v>
      </c>
      <c r="G167" s="56" t="n">
        <v>45</v>
      </c>
      <c r="H167" s="63" t="n">
        <f aca="false">INDEX('تحليل التكلفة والسعر'!$D$2:$D$700,MATCH($B167,'تحليل التكلفة والسعر'!$B$2:$B$700,0))</f>
        <v>55</v>
      </c>
      <c r="I167" s="64" t="n">
        <f aca="false">IF(OR(G167="",G167=0),"",C167/G167)</f>
        <v>0.3</v>
      </c>
      <c r="J167" s="64" t="n">
        <f aca="false">IF(OR(H167="",H167=0),"",D167/H167)</f>
        <v>0.245454545454545</v>
      </c>
      <c r="K167" s="64" t="n">
        <f aca="false">IF(OR(I167="",J167=""),"",J167-I167)</f>
        <v>-0.0545454545454545</v>
      </c>
    </row>
    <row r="168" customFormat="false" ht="15" hidden="false" customHeight="true" outlineLevel="0" collapsed="false">
      <c r="A168" s="62" t="s">
        <v>380</v>
      </c>
      <c r="B168" s="62" t="s">
        <v>543</v>
      </c>
      <c r="C168" s="56" t="n">
        <v>21</v>
      </c>
      <c r="D168" s="63" t="n">
        <f aca="false">INDEX('تحليل التكلفة والسعر'!$C$2:$C$700,MATCH($B168,'تحليل التكلفة والسعر'!$B$2:$B$700,0))</f>
        <v>21</v>
      </c>
      <c r="E168" s="63" t="n">
        <f aca="false">D168-C168</f>
        <v>0</v>
      </c>
      <c r="F168" s="64" t="n">
        <f aca="false">IF(C168=0,"",D168/C168-1)</f>
        <v>0</v>
      </c>
      <c r="G168" s="56" t="n">
        <v>50</v>
      </c>
      <c r="H168" s="63" t="n">
        <f aca="false">INDEX('تحليل التكلفة والسعر'!$D$2:$D$700,MATCH($B168,'تحليل التكلفة والسعر'!$B$2:$B$700,0))</f>
        <v>60</v>
      </c>
      <c r="I168" s="64" t="n">
        <f aca="false">IF(OR(G168="",G168=0),"",C168/G168)</f>
        <v>0.42</v>
      </c>
      <c r="J168" s="64" t="n">
        <f aca="false">IF(OR(H168="",H168=0),"",D168/H168)</f>
        <v>0.35</v>
      </c>
      <c r="K168" s="64" t="n">
        <f aca="false">IF(OR(I168="",J168=""),"",J168-I168)</f>
        <v>-0.07</v>
      </c>
    </row>
    <row r="169" customFormat="false" ht="15" hidden="false" customHeight="true" outlineLevel="0" collapsed="false">
      <c r="A169" s="62" t="s">
        <v>380</v>
      </c>
      <c r="B169" s="62" t="s">
        <v>544</v>
      </c>
      <c r="C169" s="56" t="n">
        <v>21</v>
      </c>
      <c r="D169" s="63" t="n">
        <f aca="false">INDEX('تحليل التكلفة والسعر'!$C$2:$C$700,MATCH($B169,'تحليل التكلفة والسعر'!$B$2:$B$700,0))</f>
        <v>21</v>
      </c>
      <c r="E169" s="63" t="n">
        <f aca="false">D169-C169</f>
        <v>0</v>
      </c>
      <c r="F169" s="64" t="n">
        <f aca="false">IF(C169=0,"",D169/C169-1)</f>
        <v>0</v>
      </c>
      <c r="G169" s="56" t="n">
        <v>50</v>
      </c>
      <c r="H169" s="63" t="n">
        <f aca="false">INDEX('تحليل التكلفة والسعر'!$D$2:$D$700,MATCH($B169,'تحليل التكلفة والسعر'!$B$2:$B$700,0))</f>
        <v>60</v>
      </c>
      <c r="I169" s="64" t="n">
        <f aca="false">IF(OR(G169="",G169=0),"",C169/G169)</f>
        <v>0.42</v>
      </c>
      <c r="J169" s="64" t="n">
        <f aca="false">IF(OR(H169="",H169=0),"",D169/H169)</f>
        <v>0.35</v>
      </c>
      <c r="K169" s="64" t="n">
        <f aca="false">IF(OR(I169="",J169=""),"",J169-I169)</f>
        <v>-0.07</v>
      </c>
    </row>
    <row r="170" customFormat="false" ht="15" hidden="false" customHeight="true" outlineLevel="0" collapsed="false">
      <c r="A170" s="62" t="s">
        <v>380</v>
      </c>
      <c r="B170" s="62" t="s">
        <v>545</v>
      </c>
      <c r="C170" s="56" t="n">
        <v>34</v>
      </c>
      <c r="D170" s="63" t="n">
        <f aca="false">INDEX('تحليل التكلفة والسعر'!$C$2:$C$700,MATCH($B170,'تحليل التكلفة والسعر'!$B$2:$B$700,0))</f>
        <v>34</v>
      </c>
      <c r="E170" s="63" t="n">
        <f aca="false">D170-C170</f>
        <v>0</v>
      </c>
      <c r="F170" s="64" t="n">
        <f aca="false">IF(C170=0,"",D170/C170-1)</f>
        <v>0</v>
      </c>
      <c r="G170" s="56" t="n">
        <v>70</v>
      </c>
      <c r="H170" s="63" t="n">
        <f aca="false">INDEX('تحليل التكلفة والسعر'!$D$2:$D$700,MATCH($B170,'تحليل التكلفة والسعر'!$B$2:$B$700,0))</f>
        <v>80</v>
      </c>
      <c r="I170" s="64" t="n">
        <f aca="false">IF(OR(G170="",G170=0),"",C170/G170)</f>
        <v>0.485714285714286</v>
      </c>
      <c r="J170" s="64" t="n">
        <f aca="false">IF(OR(H170="",H170=0),"",D170/H170)</f>
        <v>0.425</v>
      </c>
      <c r="K170" s="64" t="n">
        <f aca="false">IF(OR(I170="",J170=""),"",J170-I170)</f>
        <v>-0.0607142857142857</v>
      </c>
    </row>
    <row r="171" customFormat="false" ht="15" hidden="false" customHeight="true" outlineLevel="0" collapsed="false">
      <c r="A171" s="62" t="s">
        <v>380</v>
      </c>
      <c r="B171" s="62" t="s">
        <v>546</v>
      </c>
      <c r="C171" s="56" t="n">
        <v>34</v>
      </c>
      <c r="D171" s="63" t="n">
        <f aca="false">INDEX('تحليل التكلفة والسعر'!$C$2:$C$700,MATCH($B171,'تحليل التكلفة والسعر'!$B$2:$B$700,0))</f>
        <v>34</v>
      </c>
      <c r="E171" s="63" t="n">
        <f aca="false">D171-C171</f>
        <v>0</v>
      </c>
      <c r="F171" s="64" t="n">
        <f aca="false">IF(C171=0,"",D171/C171-1)</f>
        <v>0</v>
      </c>
      <c r="G171" s="56" t="n">
        <v>73.33</v>
      </c>
      <c r="H171" s="63" t="n">
        <f aca="false">INDEX('تحليل التكلفة والسعر'!$D$2:$D$700,MATCH($B171,'تحليل التكلفة والسعر'!$B$2:$B$700,0))</f>
        <v>83.33</v>
      </c>
      <c r="I171" s="64" t="n">
        <f aca="false">IF(OR(G171="",G171=0),"",C171/G171)</f>
        <v>0.463657438974499</v>
      </c>
      <c r="J171" s="64" t="n">
        <f aca="false">IF(OR(H171="",H171=0),"",D171/H171)</f>
        <v>0.408016320652826</v>
      </c>
      <c r="K171" s="64" t="n">
        <f aca="false">IF(OR(I171="",J171=""),"",J171-I171)</f>
        <v>-0.0556411183216727</v>
      </c>
    </row>
    <row r="172" customFormat="false" ht="15" hidden="false" customHeight="true" outlineLevel="0" collapsed="false">
      <c r="A172" s="62" t="s">
        <v>380</v>
      </c>
      <c r="B172" s="62" t="s">
        <v>547</v>
      </c>
      <c r="C172" s="56" t="n">
        <v>20</v>
      </c>
      <c r="D172" s="63" t="n">
        <f aca="false">INDEX('تحليل التكلفة والسعر'!$C$2:$C$700,MATCH($B172,'تحليل التكلفة والسعر'!$B$2:$B$700,0))</f>
        <v>20</v>
      </c>
      <c r="E172" s="63" t="n">
        <f aca="false">D172-C172</f>
        <v>0</v>
      </c>
      <c r="F172" s="64" t="n">
        <f aca="false">IF(C172=0,"",D172/C172-1)</f>
        <v>0</v>
      </c>
      <c r="G172" s="56" t="n">
        <v>30.83</v>
      </c>
      <c r="H172" s="63" t="n">
        <f aca="false">INDEX('تحليل التكلفة والسعر'!$D$2:$D$700,MATCH($B172,'تحليل التكلفة والسعر'!$B$2:$B$700,0))</f>
        <v>40.83</v>
      </c>
      <c r="I172" s="64" t="n">
        <f aca="false">IF(OR(G172="",G172=0),"",C172/G172)</f>
        <v>0.648718780408693</v>
      </c>
      <c r="J172" s="64" t="n">
        <f aca="false">IF(OR(H172="",H172=0),"",D172/H172)</f>
        <v>0.489835904971834</v>
      </c>
      <c r="K172" s="64" t="n">
        <f aca="false">IF(OR(I172="",J172=""),"",J172-I172)</f>
        <v>-0.158882875436858</v>
      </c>
    </row>
    <row r="173" customFormat="false" ht="15" hidden="false" customHeight="true" outlineLevel="0" collapsed="false">
      <c r="A173" s="62" t="s">
        <v>380</v>
      </c>
      <c r="B173" s="62" t="s">
        <v>548</v>
      </c>
      <c r="C173" s="56" t="n">
        <v>10</v>
      </c>
      <c r="D173" s="63" t="n">
        <f aca="false">INDEX('تحليل التكلفة والسعر'!$C$2:$C$700,MATCH($B173,'تحليل التكلفة والسعر'!$B$2:$B$700,0))</f>
        <v>10</v>
      </c>
      <c r="E173" s="63" t="n">
        <f aca="false">D173-C173</f>
        <v>0</v>
      </c>
      <c r="F173" s="64" t="n">
        <f aca="false">IF(C173=0,"",D173/C173-1)</f>
        <v>0</v>
      </c>
      <c r="G173" s="56" t="n">
        <v>40</v>
      </c>
      <c r="H173" s="63" t="n">
        <f aca="false">INDEX('تحليل التكلفة والسعر'!$D$2:$D$700,MATCH($B173,'تحليل التكلفة والسعر'!$B$2:$B$700,0))</f>
        <v>50</v>
      </c>
      <c r="I173" s="64" t="n">
        <f aca="false">IF(OR(G173="",G173=0),"",C173/G173)</f>
        <v>0.25</v>
      </c>
      <c r="J173" s="64" t="n">
        <f aca="false">IF(OR(H173="",H173=0),"",D173/H173)</f>
        <v>0.2</v>
      </c>
      <c r="K173" s="64" t="n">
        <f aca="false">IF(OR(I173="",J173=""),"",J173-I173)</f>
        <v>-0.05</v>
      </c>
    </row>
    <row r="174" customFormat="false" ht="15" hidden="false" customHeight="true" outlineLevel="0" collapsed="false">
      <c r="A174" s="62" t="s">
        <v>380</v>
      </c>
      <c r="B174" s="62" t="s">
        <v>549</v>
      </c>
      <c r="C174" s="56" t="n">
        <v>10.5</v>
      </c>
      <c r="D174" s="63" t="n">
        <f aca="false">INDEX('تحليل التكلفة والسعر'!$C$2:$C$700,MATCH($B174,'تحليل التكلفة والسعر'!$B$2:$B$700,0))</f>
        <v>10.5</v>
      </c>
      <c r="E174" s="63" t="n">
        <f aca="false">D174-C174</f>
        <v>0</v>
      </c>
      <c r="F174" s="64" t="n">
        <f aca="false">IF(C174=0,"",D174/C174-1)</f>
        <v>0</v>
      </c>
      <c r="G174" s="56" t="n">
        <v>21.47</v>
      </c>
      <c r="H174" s="63" t="n">
        <f aca="false">INDEX('تحليل التكلفة والسعر'!$D$2:$D$700,MATCH($B174,'تحليل التكلفة والسعر'!$B$2:$B$700,0))</f>
        <v>31.47</v>
      </c>
      <c r="I174" s="64" t="n">
        <f aca="false">IF(OR(G174="",G174=0),"",C174/G174)</f>
        <v>0.489054494643689</v>
      </c>
      <c r="J174" s="64" t="n">
        <f aca="false">IF(OR(H174="",H174=0),"",D174/H174)</f>
        <v>0.333651096282174</v>
      </c>
      <c r="K174" s="64" t="n">
        <f aca="false">IF(OR(I174="",J174=""),"",J174-I174)</f>
        <v>-0.155403398361515</v>
      </c>
    </row>
    <row r="175" customFormat="false" ht="15" hidden="false" customHeight="true" outlineLevel="0" collapsed="false">
      <c r="A175" s="62" t="s">
        <v>380</v>
      </c>
      <c r="B175" s="62" t="s">
        <v>550</v>
      </c>
      <c r="C175" s="56" t="n">
        <v>15.75</v>
      </c>
      <c r="D175" s="63" t="n">
        <f aca="false">INDEX('تحليل التكلفة والسعر'!$C$2:$C$700,MATCH($B175,'تحليل التكلفة والسعر'!$B$2:$B$700,0))</f>
        <v>15.75</v>
      </c>
      <c r="E175" s="63" t="n">
        <f aca="false">D175-C175</f>
        <v>0</v>
      </c>
      <c r="F175" s="64" t="n">
        <f aca="false">IF(C175=0,"",D175/C175-1)</f>
        <v>0</v>
      </c>
      <c r="G175" s="56" t="n">
        <v>31.25</v>
      </c>
      <c r="H175" s="63" t="n">
        <f aca="false">INDEX('تحليل التكلفة والسعر'!$D$2:$D$700,MATCH($B175,'تحليل التكلفة والسعر'!$B$2:$B$700,0))</f>
        <v>41.25</v>
      </c>
      <c r="I175" s="64" t="n">
        <f aca="false">IF(OR(G175="",G175=0),"",C175/G175)</f>
        <v>0.504</v>
      </c>
      <c r="J175" s="64" t="n">
        <f aca="false">IF(OR(H175="",H175=0),"",D175/H175)</f>
        <v>0.381818181818182</v>
      </c>
      <c r="K175" s="64" t="n">
        <f aca="false">IF(OR(I175="",J175=""),"",J175-I175)</f>
        <v>-0.122181818181818</v>
      </c>
    </row>
  </sheetData>
  <autoFilter ref="A4:K17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2"/>
    <col collapsed="false" customWidth="true" hidden="false" outlineLevel="0" max="3" min="3" style="1" width="20"/>
  </cols>
  <sheetData>
    <row r="1" customFormat="false" ht="27.75" hidden="false" customHeight="true" outlineLevel="0" collapsed="false">
      <c r="A1" s="10" t="s">
        <v>551</v>
      </c>
      <c r="B1" s="10" t="s">
        <v>23</v>
      </c>
      <c r="C1" s="10" t="s">
        <v>552</v>
      </c>
    </row>
    <row r="2" customFormat="false" ht="15" hidden="false" customHeight="true" outlineLevel="0" collapsed="false">
      <c r="A2" s="49" t="s">
        <v>9</v>
      </c>
      <c r="B2" s="49" t="s">
        <v>473</v>
      </c>
      <c r="C2" s="50" t="n">
        <v>90</v>
      </c>
    </row>
    <row r="3" customFormat="false" ht="15" hidden="false" customHeight="true" outlineLevel="0" collapsed="false">
      <c r="A3" s="49" t="s">
        <v>9</v>
      </c>
      <c r="B3" s="49" t="s">
        <v>418</v>
      </c>
      <c r="C3" s="50" t="n">
        <v>120</v>
      </c>
    </row>
    <row r="4" customFormat="false" ht="15" hidden="false" customHeight="true" outlineLevel="0" collapsed="false">
      <c r="A4" s="49" t="s">
        <v>9</v>
      </c>
      <c r="B4" s="49" t="s">
        <v>443</v>
      </c>
      <c r="C4" s="50" t="n">
        <v>140</v>
      </c>
    </row>
    <row r="5" customFormat="false" ht="15" hidden="false" customHeight="true" outlineLevel="0" collapsed="false">
      <c r="A5" s="49" t="s">
        <v>9</v>
      </c>
      <c r="B5" s="49" t="s">
        <v>462</v>
      </c>
      <c r="C5" s="50" t="n">
        <v>200</v>
      </c>
    </row>
    <row r="6" customFormat="false" ht="15" hidden="false" customHeight="true" outlineLevel="0" collapsed="false">
      <c r="A6" s="49" t="s">
        <v>9</v>
      </c>
      <c r="B6" s="49" t="s">
        <v>494</v>
      </c>
      <c r="C6" s="50" t="n">
        <v>130</v>
      </c>
    </row>
    <row r="7" customFormat="false" ht="15" hidden="false" customHeight="true" outlineLevel="0" collapsed="false">
      <c r="A7" s="49" t="s">
        <v>9</v>
      </c>
      <c r="B7" s="49" t="s">
        <v>426</v>
      </c>
      <c r="C7" s="50" t="n">
        <v>190</v>
      </c>
    </row>
    <row r="8" customFormat="false" ht="15" hidden="false" customHeight="true" outlineLevel="0" collapsed="false">
      <c r="A8" s="49" t="s">
        <v>9</v>
      </c>
      <c r="B8" s="49" t="s">
        <v>441</v>
      </c>
      <c r="C8" s="50" t="n">
        <v>130</v>
      </c>
    </row>
    <row r="9" customFormat="false" ht="15" hidden="false" customHeight="true" outlineLevel="0" collapsed="false">
      <c r="A9" s="49" t="s">
        <v>9</v>
      </c>
      <c r="B9" s="49" t="s">
        <v>515</v>
      </c>
      <c r="C9" s="50" t="n">
        <v>190</v>
      </c>
    </row>
    <row r="10" customFormat="false" ht="15" hidden="false" customHeight="true" outlineLevel="0" collapsed="false">
      <c r="A10" s="49" t="s">
        <v>9</v>
      </c>
      <c r="B10" s="49" t="s">
        <v>472</v>
      </c>
      <c r="C10" s="50" t="n">
        <v>130</v>
      </c>
    </row>
    <row r="11" customFormat="false" ht="15" hidden="false" customHeight="true" outlineLevel="0" collapsed="false">
      <c r="A11" s="49" t="s">
        <v>9</v>
      </c>
      <c r="B11" s="49" t="s">
        <v>469</v>
      </c>
      <c r="C11" s="50" t="n">
        <v>190</v>
      </c>
    </row>
    <row r="12" customFormat="false" ht="15" hidden="false" customHeight="true" outlineLevel="0" collapsed="false">
      <c r="A12" s="49" t="s">
        <v>9</v>
      </c>
      <c r="B12" s="49" t="s">
        <v>484</v>
      </c>
      <c r="C12" s="50" t="n">
        <v>150</v>
      </c>
    </row>
    <row r="13" customFormat="false" ht="15" hidden="false" customHeight="true" outlineLevel="0" collapsed="false">
      <c r="A13" s="49" t="s">
        <v>9</v>
      </c>
      <c r="B13" s="49" t="s">
        <v>425</v>
      </c>
      <c r="C13" s="50" t="n">
        <v>230</v>
      </c>
    </row>
    <row r="14" customFormat="false" ht="15" hidden="false" customHeight="true" outlineLevel="0" collapsed="false">
      <c r="A14" s="49" t="s">
        <v>9</v>
      </c>
      <c r="B14" s="49" t="s">
        <v>488</v>
      </c>
      <c r="C14" s="50" t="n">
        <v>150</v>
      </c>
    </row>
    <row r="15" customFormat="false" ht="15" hidden="false" customHeight="true" outlineLevel="0" collapsed="false">
      <c r="A15" s="49" t="s">
        <v>9</v>
      </c>
      <c r="B15" s="49" t="s">
        <v>424</v>
      </c>
      <c r="C15" s="50" t="n">
        <v>230</v>
      </c>
    </row>
    <row r="16" customFormat="false" ht="15" hidden="false" customHeight="true" outlineLevel="0" collapsed="false">
      <c r="A16" s="49" t="s">
        <v>9</v>
      </c>
      <c r="B16" s="49" t="s">
        <v>464</v>
      </c>
      <c r="C16" s="50" t="n">
        <v>150</v>
      </c>
    </row>
    <row r="17" customFormat="false" ht="15" hidden="false" customHeight="true" outlineLevel="0" collapsed="false">
      <c r="A17" s="49" t="s">
        <v>9</v>
      </c>
      <c r="B17" s="49" t="s">
        <v>388</v>
      </c>
      <c r="C17" s="50" t="n">
        <v>230</v>
      </c>
    </row>
    <row r="18" customFormat="false" ht="15" hidden="false" customHeight="true" outlineLevel="0" collapsed="false">
      <c r="A18" s="49" t="s">
        <v>9</v>
      </c>
      <c r="B18" s="49" t="s">
        <v>481</v>
      </c>
      <c r="C18" s="50" t="n">
        <v>150</v>
      </c>
    </row>
    <row r="19" customFormat="false" ht="15" hidden="false" customHeight="true" outlineLevel="0" collapsed="false">
      <c r="A19" s="49" t="s">
        <v>9</v>
      </c>
      <c r="B19" s="49" t="s">
        <v>394</v>
      </c>
      <c r="C19" s="50" t="n">
        <v>230</v>
      </c>
    </row>
    <row r="20" customFormat="false" ht="15" hidden="false" customHeight="true" outlineLevel="0" collapsed="false">
      <c r="A20" s="49" t="s">
        <v>9</v>
      </c>
      <c r="B20" s="49" t="s">
        <v>466</v>
      </c>
      <c r="C20" s="50" t="n">
        <v>230</v>
      </c>
    </row>
    <row r="21" customFormat="false" ht="15" hidden="false" customHeight="true" outlineLevel="0" collapsed="false">
      <c r="A21" s="49" t="s">
        <v>9</v>
      </c>
      <c r="B21" s="49" t="s">
        <v>531</v>
      </c>
      <c r="C21" s="50" t="n">
        <v>340</v>
      </c>
    </row>
    <row r="22" customFormat="false" ht="15" hidden="false" customHeight="true" outlineLevel="0" collapsed="false">
      <c r="A22" s="49" t="s">
        <v>9</v>
      </c>
      <c r="B22" s="49" t="s">
        <v>528</v>
      </c>
      <c r="C22" s="50" t="n">
        <v>240</v>
      </c>
    </row>
    <row r="23" customFormat="false" ht="15" hidden="false" customHeight="true" outlineLevel="0" collapsed="false">
      <c r="A23" s="49" t="s">
        <v>9</v>
      </c>
      <c r="B23" s="49" t="s">
        <v>465</v>
      </c>
      <c r="C23" s="50" t="n">
        <v>360</v>
      </c>
    </row>
    <row r="24" customFormat="false" ht="15" hidden="false" customHeight="true" outlineLevel="0" collapsed="false">
      <c r="A24" s="49" t="s">
        <v>10</v>
      </c>
      <c r="B24" s="49" t="s">
        <v>523</v>
      </c>
      <c r="C24" s="50" t="n">
        <v>130</v>
      </c>
    </row>
    <row r="25" customFormat="false" ht="15" hidden="false" customHeight="true" outlineLevel="0" collapsed="false">
      <c r="A25" s="49" t="s">
        <v>10</v>
      </c>
      <c r="B25" s="49" t="s">
        <v>454</v>
      </c>
      <c r="C25" s="50" t="n">
        <v>190</v>
      </c>
    </row>
    <row r="26" customFormat="false" ht="15" hidden="false" customHeight="true" outlineLevel="0" collapsed="false">
      <c r="A26" s="49" t="s">
        <v>10</v>
      </c>
      <c r="B26" s="49" t="s">
        <v>453</v>
      </c>
      <c r="C26" s="50" t="n">
        <v>140</v>
      </c>
    </row>
    <row r="27" customFormat="false" ht="15" hidden="false" customHeight="true" outlineLevel="0" collapsed="false">
      <c r="A27" s="49" t="s">
        <v>10</v>
      </c>
      <c r="B27" s="49" t="s">
        <v>427</v>
      </c>
      <c r="C27" s="50" t="n">
        <v>200</v>
      </c>
    </row>
    <row r="28" customFormat="false" ht="15" hidden="false" customHeight="true" outlineLevel="0" collapsed="false">
      <c r="A28" s="49" t="s">
        <v>10</v>
      </c>
      <c r="B28" s="49" t="s">
        <v>477</v>
      </c>
      <c r="C28" s="50" t="n">
        <v>210</v>
      </c>
    </row>
    <row r="29" customFormat="false" ht="26.25" hidden="false" customHeight="true" outlineLevel="0" collapsed="false">
      <c r="A29" s="49" t="s">
        <v>10</v>
      </c>
      <c r="B29" s="49" t="s">
        <v>475</v>
      </c>
      <c r="C29" s="50" t="n">
        <v>330</v>
      </c>
    </row>
    <row r="30" customFormat="false" ht="15" hidden="false" customHeight="true" outlineLevel="0" collapsed="false">
      <c r="A30" s="49" t="s">
        <v>10</v>
      </c>
      <c r="B30" s="49" t="s">
        <v>507</v>
      </c>
      <c r="C30" s="50" t="n">
        <v>145</v>
      </c>
    </row>
    <row r="31" customFormat="false" ht="15" hidden="false" customHeight="true" outlineLevel="0" collapsed="false">
      <c r="A31" s="49" t="s">
        <v>10</v>
      </c>
      <c r="B31" s="49" t="s">
        <v>522</v>
      </c>
      <c r="C31" s="50" t="n">
        <v>210</v>
      </c>
    </row>
    <row r="32" customFormat="false" ht="15" hidden="false" customHeight="true" outlineLevel="0" collapsed="false">
      <c r="A32" s="49" t="s">
        <v>10</v>
      </c>
      <c r="B32" s="49" t="s">
        <v>461</v>
      </c>
      <c r="C32" s="50" t="n">
        <v>160</v>
      </c>
    </row>
    <row r="33" customFormat="false" ht="15" hidden="false" customHeight="true" outlineLevel="0" collapsed="false">
      <c r="A33" s="49" t="s">
        <v>10</v>
      </c>
      <c r="B33" s="49" t="s">
        <v>447</v>
      </c>
      <c r="C33" s="50" t="n">
        <v>250</v>
      </c>
    </row>
    <row r="34" customFormat="false" ht="15" hidden="false" customHeight="true" outlineLevel="0" collapsed="false">
      <c r="A34" s="49" t="s">
        <v>10</v>
      </c>
      <c r="B34" s="49" t="s">
        <v>463</v>
      </c>
      <c r="C34" s="50" t="n">
        <v>160</v>
      </c>
    </row>
    <row r="35" customFormat="false" ht="15" hidden="false" customHeight="true" outlineLevel="0" collapsed="false">
      <c r="A35" s="49" t="s">
        <v>10</v>
      </c>
      <c r="B35" s="49" t="s">
        <v>448</v>
      </c>
      <c r="C35" s="50" t="n">
        <v>250</v>
      </c>
    </row>
    <row r="36" customFormat="false" ht="15" hidden="false" customHeight="true" outlineLevel="0" collapsed="false">
      <c r="A36" s="49" t="s">
        <v>10</v>
      </c>
      <c r="B36" s="49" t="s">
        <v>445</v>
      </c>
      <c r="C36" s="50" t="n">
        <v>150</v>
      </c>
    </row>
    <row r="37" customFormat="false" ht="15" hidden="false" customHeight="true" outlineLevel="0" collapsed="false">
      <c r="A37" s="49" t="s">
        <v>10</v>
      </c>
      <c r="B37" s="49" t="s">
        <v>392</v>
      </c>
      <c r="C37" s="50" t="n">
        <v>230</v>
      </c>
    </row>
    <row r="38" customFormat="false" ht="15" hidden="false" customHeight="true" outlineLevel="0" collapsed="false">
      <c r="A38" s="49" t="s">
        <v>10</v>
      </c>
      <c r="B38" s="49" t="s">
        <v>459</v>
      </c>
      <c r="C38" s="50" t="n">
        <v>150</v>
      </c>
    </row>
    <row r="39" customFormat="false" ht="15" hidden="false" customHeight="true" outlineLevel="0" collapsed="false">
      <c r="A39" s="49" t="s">
        <v>10</v>
      </c>
      <c r="B39" s="49" t="s">
        <v>397</v>
      </c>
      <c r="C39" s="50" t="n">
        <v>230</v>
      </c>
    </row>
    <row r="40" customFormat="false" ht="15" hidden="false" customHeight="true" outlineLevel="0" collapsed="false">
      <c r="A40" s="49" t="s">
        <v>10</v>
      </c>
      <c r="B40" s="49" t="s">
        <v>479</v>
      </c>
      <c r="C40" s="50" t="n">
        <v>230</v>
      </c>
    </row>
    <row r="41" customFormat="false" ht="15" hidden="false" customHeight="true" outlineLevel="0" collapsed="false">
      <c r="A41" s="49" t="s">
        <v>10</v>
      </c>
      <c r="B41" s="49" t="s">
        <v>476</v>
      </c>
      <c r="C41" s="50" t="n">
        <v>340</v>
      </c>
    </row>
    <row r="42" customFormat="false" ht="15" hidden="false" customHeight="true" outlineLevel="0" collapsed="false">
      <c r="A42" s="49" t="s">
        <v>10</v>
      </c>
      <c r="B42" s="49" t="s">
        <v>460</v>
      </c>
      <c r="C42" s="50" t="n">
        <v>70</v>
      </c>
    </row>
    <row r="43" customFormat="false" ht="15" hidden="false" customHeight="true" outlineLevel="0" collapsed="false">
      <c r="A43" s="49" t="s">
        <v>10</v>
      </c>
      <c r="B43" s="49" t="s">
        <v>468</v>
      </c>
      <c r="C43" s="50" t="n">
        <v>110</v>
      </c>
    </row>
    <row r="44" customFormat="false" ht="15" hidden="false" customHeight="true" outlineLevel="0" collapsed="false">
      <c r="A44" s="49" t="s">
        <v>10</v>
      </c>
      <c r="B44" s="49" t="s">
        <v>474</v>
      </c>
      <c r="C44" s="50" t="n">
        <v>170</v>
      </c>
    </row>
    <row r="45" customFormat="false" ht="15" hidden="false" customHeight="true" outlineLevel="0" collapsed="false">
      <c r="A45" s="49" t="s">
        <v>10</v>
      </c>
      <c r="B45" s="49" t="s">
        <v>500</v>
      </c>
      <c r="C45" s="50" t="n">
        <v>250</v>
      </c>
    </row>
    <row r="46" customFormat="false" ht="15" hidden="false" customHeight="true" outlineLevel="0" collapsed="false">
      <c r="A46" s="49" t="s">
        <v>10</v>
      </c>
      <c r="B46" s="49" t="s">
        <v>489</v>
      </c>
      <c r="C46" s="50" t="n">
        <v>360</v>
      </c>
    </row>
    <row r="47" customFormat="false" ht="15" hidden="false" customHeight="true" outlineLevel="0" collapsed="false">
      <c r="A47" s="49" t="s">
        <v>11</v>
      </c>
      <c r="B47" s="49" t="s">
        <v>435</v>
      </c>
      <c r="C47" s="50" t="n">
        <v>50</v>
      </c>
    </row>
    <row r="48" customFormat="false" ht="15" hidden="false" customHeight="true" outlineLevel="0" collapsed="false">
      <c r="A48" s="49" t="s">
        <v>11</v>
      </c>
      <c r="B48" s="49" t="s">
        <v>442</v>
      </c>
      <c r="C48" s="50" t="n">
        <v>75</v>
      </c>
    </row>
    <row r="49" customFormat="false" ht="15" hidden="false" customHeight="true" outlineLevel="0" collapsed="false">
      <c r="A49" s="49" t="s">
        <v>11</v>
      </c>
      <c r="B49" s="49" t="s">
        <v>410</v>
      </c>
      <c r="C49" s="50" t="n">
        <v>140</v>
      </c>
    </row>
    <row r="50" customFormat="false" ht="15" hidden="false" customHeight="true" outlineLevel="0" collapsed="false">
      <c r="A50" s="49" t="s">
        <v>11</v>
      </c>
      <c r="B50" s="49" t="s">
        <v>401</v>
      </c>
      <c r="C50" s="50" t="n">
        <v>100</v>
      </c>
    </row>
    <row r="51" customFormat="false" ht="15" hidden="false" customHeight="true" outlineLevel="0" collapsed="false">
      <c r="A51" s="49" t="s">
        <v>11</v>
      </c>
      <c r="B51" s="49" t="s">
        <v>428</v>
      </c>
      <c r="C51" s="50" t="n">
        <v>260</v>
      </c>
    </row>
    <row r="52" customFormat="false" ht="15" hidden="false" customHeight="true" outlineLevel="0" collapsed="false">
      <c r="A52" s="49" t="s">
        <v>11</v>
      </c>
      <c r="B52" s="49" t="s">
        <v>432</v>
      </c>
      <c r="C52" s="50" t="n">
        <v>160</v>
      </c>
    </row>
    <row r="53" customFormat="false" ht="15" hidden="false" customHeight="true" outlineLevel="0" collapsed="false">
      <c r="A53" s="49" t="s">
        <v>12</v>
      </c>
      <c r="B53" s="49" t="s">
        <v>530</v>
      </c>
      <c r="C53" s="50" t="n">
        <v>160</v>
      </c>
    </row>
    <row r="54" customFormat="false" ht="15" hidden="false" customHeight="true" outlineLevel="0" collapsed="false">
      <c r="A54" s="49" t="s">
        <v>12</v>
      </c>
      <c r="B54" s="49" t="s">
        <v>504</v>
      </c>
      <c r="C54" s="50" t="n">
        <v>160</v>
      </c>
    </row>
    <row r="55" customFormat="false" ht="15" hidden="false" customHeight="true" outlineLevel="0" collapsed="false">
      <c r="A55" s="49" t="s">
        <v>12</v>
      </c>
      <c r="B55" s="49" t="s">
        <v>512</v>
      </c>
      <c r="C55" s="50" t="n">
        <v>170</v>
      </c>
    </row>
    <row r="56" customFormat="false" ht="15" hidden="false" customHeight="true" outlineLevel="0" collapsed="false">
      <c r="A56" s="49" t="s">
        <v>12</v>
      </c>
      <c r="B56" s="49" t="s">
        <v>533</v>
      </c>
      <c r="C56" s="50" t="n">
        <v>170</v>
      </c>
    </row>
    <row r="57" customFormat="false" ht="15" hidden="false" customHeight="true" outlineLevel="0" collapsed="false">
      <c r="A57" s="49" t="s">
        <v>12</v>
      </c>
      <c r="B57" s="49" t="s">
        <v>396</v>
      </c>
      <c r="C57" s="50" t="n">
        <v>330</v>
      </c>
    </row>
    <row r="58" customFormat="false" ht="15" hidden="false" customHeight="true" outlineLevel="0" collapsed="false">
      <c r="A58" s="49" t="s">
        <v>12</v>
      </c>
      <c r="B58" s="49" t="s">
        <v>482</v>
      </c>
      <c r="C58" s="50" t="n">
        <v>150</v>
      </c>
    </row>
    <row r="59" customFormat="false" ht="15" hidden="false" customHeight="true" outlineLevel="0" collapsed="false">
      <c r="A59" s="49" t="s">
        <v>13</v>
      </c>
      <c r="B59" s="49" t="s">
        <v>406</v>
      </c>
      <c r="C59" s="50" t="n">
        <v>160</v>
      </c>
    </row>
    <row r="60" customFormat="false" ht="15" hidden="false" customHeight="true" outlineLevel="0" collapsed="false">
      <c r="A60" s="49" t="s">
        <v>13</v>
      </c>
      <c r="B60" s="49" t="s">
        <v>467</v>
      </c>
      <c r="C60" s="50" t="n">
        <v>180</v>
      </c>
    </row>
    <row r="61" customFormat="false" ht="15" hidden="false" customHeight="true" outlineLevel="0" collapsed="false">
      <c r="A61" s="49" t="s">
        <v>13</v>
      </c>
      <c r="B61" s="49" t="s">
        <v>452</v>
      </c>
      <c r="C61" s="50" t="n">
        <v>180</v>
      </c>
    </row>
    <row r="62" customFormat="false" ht="15" hidden="false" customHeight="true" outlineLevel="0" collapsed="false">
      <c r="A62" s="49" t="s">
        <v>13</v>
      </c>
      <c r="B62" s="49" t="s">
        <v>505</v>
      </c>
      <c r="C62" s="50" t="n">
        <v>260</v>
      </c>
    </row>
    <row r="63" customFormat="false" ht="15" hidden="false" customHeight="true" outlineLevel="0" collapsed="false">
      <c r="A63" s="49" t="s">
        <v>13</v>
      </c>
      <c r="B63" s="49" t="s">
        <v>529</v>
      </c>
      <c r="C63" s="50" t="n">
        <v>140</v>
      </c>
    </row>
    <row r="64" customFormat="false" ht="15" hidden="false" customHeight="true" outlineLevel="0" collapsed="false">
      <c r="A64" s="49" t="s">
        <v>13</v>
      </c>
      <c r="B64" s="49" t="s">
        <v>455</v>
      </c>
      <c r="C64" s="50" t="n">
        <v>140</v>
      </c>
    </row>
    <row r="65" customFormat="false" ht="15" hidden="false" customHeight="true" outlineLevel="0" collapsed="false">
      <c r="A65" s="49" t="s">
        <v>14</v>
      </c>
      <c r="B65" s="49" t="s">
        <v>434</v>
      </c>
      <c r="C65" s="50" t="n">
        <v>125</v>
      </c>
    </row>
    <row r="66" customFormat="false" ht="15" hidden="false" customHeight="true" outlineLevel="0" collapsed="false">
      <c r="A66" s="49" t="s">
        <v>14</v>
      </c>
      <c r="B66" s="49" t="s">
        <v>436</v>
      </c>
      <c r="C66" s="50" t="n">
        <v>125</v>
      </c>
    </row>
    <row r="67" customFormat="false" ht="15" hidden="false" customHeight="true" outlineLevel="0" collapsed="false">
      <c r="A67" s="49" t="s">
        <v>14</v>
      </c>
      <c r="B67" s="49" t="s">
        <v>438</v>
      </c>
      <c r="C67" s="50" t="n">
        <v>110</v>
      </c>
    </row>
    <row r="68" customFormat="false" ht="15" hidden="false" customHeight="true" outlineLevel="0" collapsed="false">
      <c r="A68" s="49" t="s">
        <v>14</v>
      </c>
      <c r="B68" s="49" t="s">
        <v>449</v>
      </c>
      <c r="C68" s="50" t="n">
        <v>110</v>
      </c>
    </row>
    <row r="69" customFormat="false" ht="15" hidden="false" customHeight="true" outlineLevel="0" collapsed="false">
      <c r="A69" s="49" t="s">
        <v>14</v>
      </c>
      <c r="B69" s="49" t="s">
        <v>450</v>
      </c>
      <c r="C69" s="50" t="n">
        <v>120</v>
      </c>
    </row>
    <row r="70" customFormat="false" ht="15" hidden="false" customHeight="true" outlineLevel="0" collapsed="false">
      <c r="A70" s="49" t="s">
        <v>14</v>
      </c>
      <c r="B70" s="49" t="s">
        <v>431</v>
      </c>
      <c r="C70" s="50" t="n">
        <v>5</v>
      </c>
    </row>
    <row r="71" customFormat="false" ht="15" hidden="false" customHeight="true" outlineLevel="0" collapsed="false">
      <c r="A71" s="49" t="s">
        <v>15</v>
      </c>
      <c r="B71" s="49" t="s">
        <v>470</v>
      </c>
      <c r="C71" s="50" t="n">
        <v>40</v>
      </c>
    </row>
    <row r="72" customFormat="false" ht="15" hidden="false" customHeight="true" outlineLevel="0" collapsed="false">
      <c r="A72" s="49" t="s">
        <v>15</v>
      </c>
      <c r="B72" s="49" t="s">
        <v>456</v>
      </c>
      <c r="C72" s="50" t="n">
        <v>60</v>
      </c>
    </row>
    <row r="73" customFormat="false" ht="15" hidden="false" customHeight="true" outlineLevel="0" collapsed="false">
      <c r="A73" s="49" t="s">
        <v>15</v>
      </c>
      <c r="B73" s="49" t="s">
        <v>444</v>
      </c>
      <c r="C73" s="50" t="n">
        <v>50</v>
      </c>
    </row>
    <row r="74" customFormat="false" ht="15" hidden="false" customHeight="true" outlineLevel="0" collapsed="false">
      <c r="A74" s="49" t="s">
        <v>15</v>
      </c>
      <c r="B74" s="49" t="s">
        <v>440</v>
      </c>
      <c r="C74" s="50" t="n">
        <v>70</v>
      </c>
    </row>
    <row r="75" customFormat="false" ht="15" hidden="false" customHeight="true" outlineLevel="0" collapsed="false">
      <c r="A75" s="49" t="s">
        <v>391</v>
      </c>
      <c r="B75" s="49" t="s">
        <v>202</v>
      </c>
      <c r="C75" s="50" t="n">
        <v>30</v>
      </c>
    </row>
    <row r="76" customFormat="false" ht="15" hidden="false" customHeight="true" outlineLevel="0" collapsed="false">
      <c r="A76" s="49" t="s">
        <v>391</v>
      </c>
      <c r="B76" s="49" t="s">
        <v>204</v>
      </c>
      <c r="C76" s="50" t="n">
        <v>35</v>
      </c>
    </row>
    <row r="77" customFormat="false" ht="15" hidden="false" customHeight="true" outlineLevel="0" collapsed="false">
      <c r="A77" s="49" t="s">
        <v>16</v>
      </c>
      <c r="B77" s="49" t="s">
        <v>471</v>
      </c>
      <c r="C77" s="50" t="n">
        <v>90</v>
      </c>
    </row>
    <row r="78" customFormat="false" ht="15" hidden="false" customHeight="true" outlineLevel="0" collapsed="false">
      <c r="A78" s="49" t="s">
        <v>16</v>
      </c>
      <c r="B78" s="49" t="s">
        <v>497</v>
      </c>
      <c r="C78" s="50" t="n">
        <v>120</v>
      </c>
    </row>
    <row r="79" customFormat="false" ht="15" hidden="false" customHeight="true" outlineLevel="0" collapsed="false">
      <c r="A79" s="49" t="s">
        <v>16</v>
      </c>
      <c r="B79" s="49" t="s">
        <v>395</v>
      </c>
      <c r="C79" s="50" t="n">
        <v>115</v>
      </c>
    </row>
    <row r="80" customFormat="false" ht="15" hidden="false" customHeight="true" outlineLevel="0" collapsed="false">
      <c r="A80" s="49" t="s">
        <v>16</v>
      </c>
      <c r="B80" s="49" t="s">
        <v>390</v>
      </c>
      <c r="C80" s="50" t="n">
        <v>170</v>
      </c>
    </row>
    <row r="81" customFormat="false" ht="15" hidden="false" customHeight="true" outlineLevel="0" collapsed="false">
      <c r="A81" s="49" t="s">
        <v>16</v>
      </c>
      <c r="B81" s="49" t="s">
        <v>487</v>
      </c>
      <c r="C81" s="50" t="n">
        <v>120</v>
      </c>
    </row>
    <row r="82" customFormat="false" ht="15" hidden="false" customHeight="true" outlineLevel="0" collapsed="false">
      <c r="A82" s="49" t="s">
        <v>16</v>
      </c>
      <c r="B82" s="49" t="s">
        <v>511</v>
      </c>
      <c r="C82" s="50" t="n">
        <v>190</v>
      </c>
    </row>
    <row r="83" customFormat="false" ht="15" hidden="false" customHeight="true" outlineLevel="0" collapsed="false">
      <c r="A83" s="49" t="s">
        <v>16</v>
      </c>
      <c r="B83" s="49" t="s">
        <v>502</v>
      </c>
      <c r="C83" s="50" t="n">
        <v>130</v>
      </c>
    </row>
    <row r="84" customFormat="false" ht="15" hidden="false" customHeight="true" outlineLevel="0" collapsed="false">
      <c r="A84" s="49" t="s">
        <v>16</v>
      </c>
      <c r="B84" s="49" t="s">
        <v>524</v>
      </c>
      <c r="C84" s="50" t="n">
        <v>200</v>
      </c>
    </row>
    <row r="85" customFormat="false" ht="15" hidden="false" customHeight="true" outlineLevel="0" collapsed="false">
      <c r="A85" s="49" t="s">
        <v>16</v>
      </c>
      <c r="B85" s="49" t="s">
        <v>480</v>
      </c>
      <c r="C85" s="50" t="n">
        <v>130</v>
      </c>
    </row>
    <row r="86" customFormat="false" ht="15" hidden="false" customHeight="true" outlineLevel="0" collapsed="false">
      <c r="A86" s="49" t="s">
        <v>16</v>
      </c>
      <c r="B86" s="49" t="s">
        <v>506</v>
      </c>
      <c r="C86" s="50" t="n">
        <v>190</v>
      </c>
    </row>
    <row r="87" customFormat="false" ht="15" hidden="false" customHeight="true" outlineLevel="0" collapsed="false">
      <c r="A87" s="49" t="s">
        <v>16</v>
      </c>
      <c r="B87" s="49" t="s">
        <v>411</v>
      </c>
      <c r="C87" s="50" t="n">
        <v>155</v>
      </c>
    </row>
    <row r="88" customFormat="false" ht="15" hidden="false" customHeight="true" outlineLevel="0" collapsed="false">
      <c r="A88" s="49" t="s">
        <v>16</v>
      </c>
      <c r="B88" s="49" t="s">
        <v>412</v>
      </c>
      <c r="C88" s="50" t="n">
        <v>230</v>
      </c>
    </row>
    <row r="89" customFormat="false" ht="15" hidden="false" customHeight="true" outlineLevel="0" collapsed="false">
      <c r="A89" s="49" t="s">
        <v>16</v>
      </c>
      <c r="B89" s="49" t="s">
        <v>527</v>
      </c>
      <c r="C89" s="50" t="n">
        <v>240</v>
      </c>
    </row>
    <row r="90" customFormat="false" ht="15" hidden="false" customHeight="true" outlineLevel="0" collapsed="false">
      <c r="A90" s="49" t="s">
        <v>16</v>
      </c>
      <c r="B90" s="49" t="s">
        <v>513</v>
      </c>
      <c r="C90" s="50" t="n">
        <v>360</v>
      </c>
    </row>
    <row r="91" customFormat="false" ht="15" hidden="false" customHeight="true" outlineLevel="0" collapsed="false">
      <c r="A91" s="49" t="s">
        <v>16</v>
      </c>
      <c r="B91" s="49" t="s">
        <v>495</v>
      </c>
      <c r="C91" s="50" t="n">
        <v>180</v>
      </c>
    </row>
    <row r="92" customFormat="false" ht="15" hidden="false" customHeight="true" outlineLevel="0" collapsed="false">
      <c r="A92" s="49" t="s">
        <v>16</v>
      </c>
      <c r="B92" s="49" t="s">
        <v>514</v>
      </c>
      <c r="C92" s="50" t="n">
        <v>250</v>
      </c>
    </row>
    <row r="93" customFormat="false" ht="26.25" hidden="false" customHeight="true" outlineLevel="0" collapsed="false">
      <c r="A93" s="49" t="s">
        <v>17</v>
      </c>
      <c r="B93" s="49" t="s">
        <v>509</v>
      </c>
      <c r="C93" s="50" t="n">
        <v>90</v>
      </c>
    </row>
    <row r="94" customFormat="false" ht="26.25" hidden="false" customHeight="true" outlineLevel="0" collapsed="false">
      <c r="A94" s="49" t="s">
        <v>17</v>
      </c>
      <c r="B94" s="49" t="s">
        <v>478</v>
      </c>
      <c r="C94" s="50" t="n">
        <v>120</v>
      </c>
    </row>
    <row r="95" customFormat="false" ht="26.25" hidden="false" customHeight="true" outlineLevel="0" collapsed="false">
      <c r="A95" s="49" t="s">
        <v>17</v>
      </c>
      <c r="B95" s="49" t="s">
        <v>389</v>
      </c>
      <c r="C95" s="50" t="n">
        <v>115</v>
      </c>
    </row>
    <row r="96" customFormat="false" ht="26.25" hidden="false" customHeight="true" outlineLevel="0" collapsed="false">
      <c r="A96" s="49" t="s">
        <v>17</v>
      </c>
      <c r="B96" s="49" t="s">
        <v>387</v>
      </c>
      <c r="C96" s="50" t="n">
        <v>170</v>
      </c>
    </row>
    <row r="97" customFormat="false" ht="26.25" hidden="false" customHeight="true" outlineLevel="0" collapsed="false">
      <c r="A97" s="49" t="s">
        <v>17</v>
      </c>
      <c r="B97" s="49" t="s">
        <v>521</v>
      </c>
      <c r="C97" s="50" t="n">
        <v>120</v>
      </c>
    </row>
    <row r="98" customFormat="false" ht="26.25" hidden="false" customHeight="true" outlineLevel="0" collapsed="false">
      <c r="A98" s="49" t="s">
        <v>17</v>
      </c>
      <c r="B98" s="49" t="s">
        <v>498</v>
      </c>
      <c r="C98" s="50" t="n">
        <v>190</v>
      </c>
    </row>
    <row r="99" customFormat="false" ht="26.25" hidden="false" customHeight="true" outlineLevel="0" collapsed="false">
      <c r="A99" s="49" t="s">
        <v>17</v>
      </c>
      <c r="B99" s="49" t="s">
        <v>510</v>
      </c>
      <c r="C99" s="50" t="n">
        <v>130</v>
      </c>
    </row>
    <row r="100" customFormat="false" ht="26.25" hidden="false" customHeight="true" outlineLevel="0" collapsed="false">
      <c r="A100" s="49" t="s">
        <v>17</v>
      </c>
      <c r="B100" s="49" t="s">
        <v>491</v>
      </c>
      <c r="C100" s="50" t="n">
        <v>200</v>
      </c>
    </row>
    <row r="101" customFormat="false" ht="26.25" hidden="false" customHeight="true" outlineLevel="0" collapsed="false">
      <c r="A101" s="49" t="s">
        <v>17</v>
      </c>
      <c r="B101" s="49" t="s">
        <v>517</v>
      </c>
      <c r="C101" s="50" t="n">
        <v>160</v>
      </c>
    </row>
    <row r="102" customFormat="false" ht="26.25" hidden="false" customHeight="true" outlineLevel="0" collapsed="false">
      <c r="A102" s="49" t="s">
        <v>17</v>
      </c>
      <c r="B102" s="49" t="s">
        <v>493</v>
      </c>
      <c r="C102" s="50" t="n">
        <v>220</v>
      </c>
    </row>
    <row r="103" customFormat="false" ht="26.25" hidden="false" customHeight="true" outlineLevel="0" collapsed="false">
      <c r="A103" s="49" t="s">
        <v>17</v>
      </c>
      <c r="B103" s="49" t="s">
        <v>516</v>
      </c>
      <c r="C103" s="50" t="n">
        <v>130</v>
      </c>
    </row>
    <row r="104" customFormat="false" ht="26.25" hidden="false" customHeight="true" outlineLevel="0" collapsed="false">
      <c r="A104" s="49" t="s">
        <v>17</v>
      </c>
      <c r="B104" s="49" t="s">
        <v>485</v>
      </c>
      <c r="C104" s="50" t="n">
        <v>190</v>
      </c>
    </row>
    <row r="105" customFormat="false" ht="26.25" hidden="false" customHeight="true" outlineLevel="0" collapsed="false">
      <c r="A105" s="49" t="s">
        <v>17</v>
      </c>
      <c r="B105" s="49" t="s">
        <v>419</v>
      </c>
      <c r="C105" s="50" t="n">
        <v>155</v>
      </c>
    </row>
    <row r="106" customFormat="false" ht="26.25" hidden="false" customHeight="true" outlineLevel="0" collapsed="false">
      <c r="A106" s="49" t="s">
        <v>17</v>
      </c>
      <c r="B106" s="49" t="s">
        <v>420</v>
      </c>
      <c r="C106" s="50" t="n">
        <v>230</v>
      </c>
    </row>
    <row r="107" customFormat="false" ht="26.25" hidden="false" customHeight="true" outlineLevel="0" collapsed="false">
      <c r="A107" s="49" t="s">
        <v>17</v>
      </c>
      <c r="B107" s="49" t="s">
        <v>501</v>
      </c>
      <c r="C107" s="50" t="n">
        <v>240</v>
      </c>
    </row>
    <row r="108" customFormat="false" ht="26.25" hidden="false" customHeight="true" outlineLevel="0" collapsed="false">
      <c r="A108" s="49" t="s">
        <v>17</v>
      </c>
      <c r="B108" s="49" t="s">
        <v>490</v>
      </c>
      <c r="C108" s="50" t="n">
        <v>360</v>
      </c>
    </row>
    <row r="109" customFormat="false" ht="26.25" hidden="false" customHeight="true" outlineLevel="0" collapsed="false">
      <c r="A109" s="49" t="s">
        <v>17</v>
      </c>
      <c r="B109" s="49" t="s">
        <v>525</v>
      </c>
      <c r="C109" s="50" t="n">
        <v>180</v>
      </c>
    </row>
    <row r="110" customFormat="false" ht="26.25" hidden="false" customHeight="true" outlineLevel="0" collapsed="false">
      <c r="A110" s="49" t="s">
        <v>17</v>
      </c>
      <c r="B110" s="49" t="s">
        <v>508</v>
      </c>
      <c r="C110" s="50" t="n">
        <v>250</v>
      </c>
    </row>
    <row r="111" customFormat="false" ht="15" hidden="false" customHeight="true" outlineLevel="0" collapsed="false">
      <c r="A111" s="49" t="s">
        <v>18</v>
      </c>
      <c r="B111" s="49" t="s">
        <v>423</v>
      </c>
      <c r="C111" s="50" t="n">
        <v>50</v>
      </c>
    </row>
    <row r="112" customFormat="false" ht="15" hidden="false" customHeight="true" outlineLevel="0" collapsed="false">
      <c r="A112" s="49" t="s">
        <v>18</v>
      </c>
      <c r="B112" s="49" t="s">
        <v>439</v>
      </c>
      <c r="C112" s="50" t="n">
        <v>70</v>
      </c>
    </row>
    <row r="113" customFormat="false" ht="15" hidden="false" customHeight="true" outlineLevel="0" collapsed="false">
      <c r="A113" s="49" t="s">
        <v>18</v>
      </c>
      <c r="B113" s="49" t="s">
        <v>399</v>
      </c>
      <c r="C113" s="50" t="n">
        <v>100</v>
      </c>
    </row>
    <row r="114" customFormat="false" ht="15" hidden="false" customHeight="true" outlineLevel="0" collapsed="false">
      <c r="A114" s="49" t="s">
        <v>18</v>
      </c>
      <c r="B114" s="49" t="s">
        <v>492</v>
      </c>
      <c r="C114" s="50" t="n">
        <v>140</v>
      </c>
    </row>
    <row r="115" customFormat="false" ht="15" hidden="false" customHeight="true" outlineLevel="0" collapsed="false">
      <c r="A115" s="49" t="s">
        <v>19</v>
      </c>
      <c r="B115" s="49" t="s">
        <v>446</v>
      </c>
      <c r="C115" s="50" t="n">
        <v>160</v>
      </c>
    </row>
    <row r="116" customFormat="false" ht="15" hidden="false" customHeight="true" outlineLevel="0" collapsed="false">
      <c r="A116" s="49" t="s">
        <v>19</v>
      </c>
      <c r="B116" s="49" t="s">
        <v>405</v>
      </c>
      <c r="C116" s="50" t="n">
        <v>160</v>
      </c>
    </row>
    <row r="117" customFormat="false" ht="15" hidden="false" customHeight="true" outlineLevel="0" collapsed="false">
      <c r="A117" s="49" t="s">
        <v>19</v>
      </c>
      <c r="B117" s="49" t="s">
        <v>451</v>
      </c>
      <c r="C117" s="50" t="n">
        <v>170</v>
      </c>
    </row>
    <row r="118" customFormat="false" ht="15" hidden="false" customHeight="true" outlineLevel="0" collapsed="false">
      <c r="A118" s="49" t="s">
        <v>19</v>
      </c>
      <c r="B118" s="49" t="s">
        <v>407</v>
      </c>
      <c r="C118" s="50" t="n">
        <v>170</v>
      </c>
    </row>
    <row r="119" customFormat="false" ht="15" hidden="false" customHeight="true" outlineLevel="0" collapsed="false">
      <c r="A119" s="49" t="s">
        <v>20</v>
      </c>
      <c r="B119" s="49" t="s">
        <v>520</v>
      </c>
      <c r="C119" s="50" t="n">
        <v>100</v>
      </c>
    </row>
    <row r="120" customFormat="false" ht="15" hidden="false" customHeight="true" outlineLevel="0" collapsed="false">
      <c r="A120" s="49" t="s">
        <v>20</v>
      </c>
      <c r="B120" s="49" t="s">
        <v>398</v>
      </c>
      <c r="C120" s="50" t="n">
        <v>130</v>
      </c>
    </row>
    <row r="121" customFormat="false" ht="15" hidden="false" customHeight="true" outlineLevel="0" collapsed="false">
      <c r="A121" s="49" t="s">
        <v>20</v>
      </c>
      <c r="B121" s="49" t="s">
        <v>526</v>
      </c>
      <c r="C121" s="50" t="n">
        <v>130</v>
      </c>
    </row>
    <row r="122" customFormat="false" ht="15" hidden="false" customHeight="true" outlineLevel="0" collapsed="false">
      <c r="A122" s="49" t="s">
        <v>20</v>
      </c>
      <c r="B122" s="49" t="s">
        <v>422</v>
      </c>
      <c r="C122" s="50" t="n">
        <v>160</v>
      </c>
    </row>
    <row r="123" customFormat="false" ht="15" hidden="false" customHeight="true" outlineLevel="0" collapsed="false">
      <c r="A123" s="49" t="s">
        <v>20</v>
      </c>
      <c r="B123" s="49" t="s">
        <v>503</v>
      </c>
      <c r="C123" s="50" t="n">
        <v>260</v>
      </c>
    </row>
    <row r="124" customFormat="false" ht="15" hidden="false" customHeight="true" outlineLevel="0" collapsed="false">
      <c r="A124" s="49" t="s">
        <v>21</v>
      </c>
      <c r="B124" s="49" t="s">
        <v>499</v>
      </c>
      <c r="C124" s="50" t="n">
        <v>90</v>
      </c>
    </row>
    <row r="125" customFormat="false" ht="15" hidden="false" customHeight="true" outlineLevel="0" collapsed="false">
      <c r="A125" s="49" t="s">
        <v>21</v>
      </c>
      <c r="B125" s="49" t="s">
        <v>421</v>
      </c>
      <c r="C125" s="50" t="n">
        <v>125</v>
      </c>
    </row>
    <row r="126" customFormat="false" ht="15" hidden="false" customHeight="true" outlineLevel="0" collapsed="false">
      <c r="A126" s="49" t="s">
        <v>21</v>
      </c>
      <c r="B126" s="49" t="s">
        <v>486</v>
      </c>
      <c r="C126" s="50" t="n">
        <v>110</v>
      </c>
    </row>
    <row r="127" customFormat="false" ht="15" hidden="false" customHeight="true" outlineLevel="0" collapsed="false">
      <c r="A127" s="49" t="s">
        <v>21</v>
      </c>
      <c r="B127" s="49" t="s">
        <v>483</v>
      </c>
      <c r="C127" s="50" t="n">
        <v>190</v>
      </c>
    </row>
    <row r="128" customFormat="false" ht="15" hidden="false" customHeight="true" outlineLevel="0" collapsed="false">
      <c r="A128" s="49" t="s">
        <v>380</v>
      </c>
      <c r="B128" s="49" t="s">
        <v>534</v>
      </c>
      <c r="C128" s="50" t="n">
        <v>40.92</v>
      </c>
    </row>
    <row r="129" customFormat="false" ht="15" hidden="false" customHeight="true" outlineLevel="0" collapsed="false">
      <c r="A129" s="49" t="s">
        <v>380</v>
      </c>
      <c r="B129" s="49" t="s">
        <v>535</v>
      </c>
      <c r="C129" s="50" t="n">
        <v>55.56</v>
      </c>
    </row>
    <row r="130" customFormat="false" ht="15" hidden="false" customHeight="true" outlineLevel="0" collapsed="false">
      <c r="A130" s="49" t="s">
        <v>380</v>
      </c>
      <c r="B130" s="49" t="s">
        <v>536</v>
      </c>
      <c r="C130" s="50" t="n">
        <v>40.71</v>
      </c>
    </row>
    <row r="131" customFormat="false" ht="15" hidden="false" customHeight="true" outlineLevel="0" collapsed="false">
      <c r="A131" s="49" t="s">
        <v>380</v>
      </c>
      <c r="B131" s="49" t="s">
        <v>537</v>
      </c>
      <c r="C131" s="50" t="n">
        <v>40.62</v>
      </c>
    </row>
    <row r="132" customFormat="false" ht="15" hidden="false" customHeight="true" outlineLevel="0" collapsed="false">
      <c r="A132" s="49" t="s">
        <v>380</v>
      </c>
      <c r="B132" s="49" t="s">
        <v>538</v>
      </c>
      <c r="C132" s="50" t="n">
        <v>55</v>
      </c>
    </row>
    <row r="133" customFormat="false" ht="15" hidden="false" customHeight="true" outlineLevel="0" collapsed="false">
      <c r="A133" s="49" t="s">
        <v>380</v>
      </c>
      <c r="B133" s="49" t="s">
        <v>539</v>
      </c>
      <c r="C133" s="50" t="n">
        <v>41.25</v>
      </c>
    </row>
    <row r="134" customFormat="false" ht="15" hidden="false" customHeight="true" outlineLevel="0" collapsed="false">
      <c r="A134" s="49" t="s">
        <v>380</v>
      </c>
      <c r="B134" s="49" t="s">
        <v>402</v>
      </c>
      <c r="C134" s="50" t="n">
        <v>70</v>
      </c>
    </row>
    <row r="135" customFormat="false" ht="15" hidden="false" customHeight="true" outlineLevel="0" collapsed="false">
      <c r="A135" s="49" t="s">
        <v>380</v>
      </c>
      <c r="B135" s="49" t="s">
        <v>540</v>
      </c>
      <c r="C135" s="50" t="n">
        <v>40</v>
      </c>
    </row>
    <row r="136" customFormat="false" ht="15" hidden="false" customHeight="true" outlineLevel="0" collapsed="false">
      <c r="A136" s="49" t="s">
        <v>380</v>
      </c>
      <c r="B136" s="49" t="s">
        <v>541</v>
      </c>
      <c r="C136" s="50" t="n">
        <v>40</v>
      </c>
    </row>
    <row r="137" customFormat="false" ht="15" hidden="false" customHeight="true" outlineLevel="0" collapsed="false">
      <c r="A137" s="49" t="s">
        <v>380</v>
      </c>
      <c r="B137" s="49" t="s">
        <v>542</v>
      </c>
      <c r="C137" s="50" t="n">
        <v>55</v>
      </c>
    </row>
    <row r="138" customFormat="false" ht="15" hidden="false" customHeight="true" outlineLevel="0" collapsed="false">
      <c r="A138" s="49" t="s">
        <v>380</v>
      </c>
      <c r="B138" s="49" t="s">
        <v>518</v>
      </c>
      <c r="C138" s="50" t="n">
        <v>50</v>
      </c>
    </row>
    <row r="139" customFormat="false" ht="15" hidden="false" customHeight="true" outlineLevel="0" collapsed="false">
      <c r="A139" s="49" t="s">
        <v>380</v>
      </c>
      <c r="B139" s="49" t="s">
        <v>519</v>
      </c>
      <c r="C139" s="50" t="n">
        <v>90</v>
      </c>
    </row>
    <row r="140" customFormat="false" ht="15" hidden="false" customHeight="true" outlineLevel="0" collapsed="false">
      <c r="A140" s="49" t="s">
        <v>380</v>
      </c>
      <c r="B140" s="49" t="s">
        <v>386</v>
      </c>
      <c r="C140" s="50" t="n">
        <v>50</v>
      </c>
    </row>
    <row r="141" customFormat="false" ht="15" hidden="false" customHeight="true" outlineLevel="0" collapsed="false">
      <c r="A141" s="49" t="s">
        <v>380</v>
      </c>
      <c r="B141" s="49" t="s">
        <v>393</v>
      </c>
      <c r="C141" s="50" t="n">
        <v>60</v>
      </c>
    </row>
    <row r="142" customFormat="false" ht="15" hidden="false" customHeight="true" outlineLevel="0" collapsed="false">
      <c r="A142" s="49" t="s">
        <v>380</v>
      </c>
      <c r="B142" s="49" t="s">
        <v>543</v>
      </c>
      <c r="C142" s="50" t="n">
        <v>60</v>
      </c>
    </row>
    <row r="143" customFormat="false" ht="15" hidden="false" customHeight="true" outlineLevel="0" collapsed="false">
      <c r="A143" s="49" t="s">
        <v>380</v>
      </c>
      <c r="B143" s="49" t="s">
        <v>544</v>
      </c>
      <c r="C143" s="50" t="n">
        <v>60</v>
      </c>
    </row>
    <row r="144" customFormat="false" ht="15" hidden="false" customHeight="true" outlineLevel="0" collapsed="false">
      <c r="A144" s="49" t="s">
        <v>380</v>
      </c>
      <c r="B144" s="49" t="s">
        <v>545</v>
      </c>
      <c r="C144" s="50" t="n">
        <v>80</v>
      </c>
    </row>
    <row r="145" customFormat="false" ht="15" hidden="false" customHeight="true" outlineLevel="0" collapsed="false">
      <c r="A145" s="49" t="s">
        <v>380</v>
      </c>
      <c r="B145" s="49" t="s">
        <v>546</v>
      </c>
      <c r="C145" s="50" t="n">
        <v>83.33</v>
      </c>
    </row>
    <row r="146" customFormat="false" ht="15" hidden="false" customHeight="true" outlineLevel="0" collapsed="false">
      <c r="A146" s="49" t="s">
        <v>380</v>
      </c>
      <c r="B146" s="49" t="s">
        <v>437</v>
      </c>
      <c r="C146" s="50" t="n">
        <v>100</v>
      </c>
    </row>
    <row r="147" customFormat="false" ht="15" hidden="false" customHeight="true" outlineLevel="0" collapsed="false">
      <c r="A147" s="49" t="s">
        <v>380</v>
      </c>
      <c r="B147" s="49" t="s">
        <v>414</v>
      </c>
      <c r="C147" s="50" t="n">
        <v>80</v>
      </c>
    </row>
    <row r="148" customFormat="false" ht="15" hidden="false" customHeight="true" outlineLevel="0" collapsed="false">
      <c r="A148" s="49" t="s">
        <v>380</v>
      </c>
      <c r="B148" s="49" t="s">
        <v>415</v>
      </c>
      <c r="C148" s="50" t="n">
        <v>80</v>
      </c>
    </row>
    <row r="149" customFormat="false" ht="15" hidden="false" customHeight="true" outlineLevel="0" collapsed="false">
      <c r="A149" s="49" t="s">
        <v>380</v>
      </c>
      <c r="B149" s="49" t="s">
        <v>400</v>
      </c>
      <c r="C149" s="50" t="n">
        <v>100</v>
      </c>
    </row>
    <row r="150" customFormat="false" ht="15" hidden="false" customHeight="true" outlineLevel="0" collapsed="false">
      <c r="A150" s="49" t="s">
        <v>380</v>
      </c>
      <c r="B150" s="49" t="s">
        <v>413</v>
      </c>
      <c r="C150" s="50" t="n">
        <v>60</v>
      </c>
    </row>
    <row r="151" customFormat="false" ht="15" hidden="false" customHeight="true" outlineLevel="0" collapsed="false">
      <c r="A151" s="49" t="s">
        <v>380</v>
      </c>
      <c r="B151" s="49" t="s">
        <v>532</v>
      </c>
      <c r="C151" s="50" t="n">
        <v>80</v>
      </c>
    </row>
    <row r="152" customFormat="false" ht="15" hidden="false" customHeight="true" outlineLevel="0" collapsed="false">
      <c r="A152" s="49" t="s">
        <v>380</v>
      </c>
      <c r="B152" s="49" t="s">
        <v>496</v>
      </c>
      <c r="C152" s="50" t="n">
        <v>140</v>
      </c>
    </row>
    <row r="153" customFormat="false" ht="15" hidden="false" customHeight="true" outlineLevel="0" collapsed="false">
      <c r="A153" s="49" t="s">
        <v>380</v>
      </c>
      <c r="B153" s="49" t="s">
        <v>433</v>
      </c>
      <c r="C153" s="50" t="n">
        <v>80</v>
      </c>
    </row>
    <row r="154" customFormat="false" ht="15" hidden="false" customHeight="true" outlineLevel="0" collapsed="false">
      <c r="A154" s="49" t="s">
        <v>380</v>
      </c>
      <c r="B154" s="49" t="s">
        <v>416</v>
      </c>
      <c r="C154" s="50" t="n">
        <v>130</v>
      </c>
    </row>
    <row r="155" customFormat="false" ht="15" hidden="false" customHeight="true" outlineLevel="0" collapsed="false">
      <c r="A155" s="49" t="s">
        <v>380</v>
      </c>
      <c r="B155" s="49" t="s">
        <v>417</v>
      </c>
      <c r="C155" s="50" t="n">
        <v>130</v>
      </c>
    </row>
    <row r="156" customFormat="false" ht="15" hidden="false" customHeight="true" outlineLevel="0" collapsed="false">
      <c r="A156" s="49" t="s">
        <v>380</v>
      </c>
      <c r="B156" s="49" t="s">
        <v>408</v>
      </c>
      <c r="C156" s="50" t="n">
        <v>100</v>
      </c>
    </row>
    <row r="157" customFormat="false" ht="15" hidden="false" customHeight="true" outlineLevel="0" collapsed="false">
      <c r="A157" s="49" t="s">
        <v>380</v>
      </c>
      <c r="B157" s="49" t="s">
        <v>409</v>
      </c>
      <c r="C157" s="50" t="n">
        <v>80</v>
      </c>
    </row>
    <row r="158" customFormat="false" ht="15" hidden="false" customHeight="true" outlineLevel="0" collapsed="false">
      <c r="A158" s="49" t="s">
        <v>380</v>
      </c>
      <c r="B158" s="49" t="s">
        <v>385</v>
      </c>
      <c r="C158" s="50" t="n">
        <v>130</v>
      </c>
    </row>
    <row r="159" customFormat="false" ht="15" hidden="false" customHeight="true" outlineLevel="0" collapsed="false">
      <c r="A159" s="49" t="s">
        <v>380</v>
      </c>
      <c r="B159" s="49" t="s">
        <v>381</v>
      </c>
      <c r="C159" s="50" t="n">
        <v>40</v>
      </c>
    </row>
    <row r="160" customFormat="false" ht="15" hidden="false" customHeight="true" outlineLevel="0" collapsed="false">
      <c r="A160" s="49" t="s">
        <v>380</v>
      </c>
      <c r="B160" s="49" t="s">
        <v>382</v>
      </c>
      <c r="C160" s="50" t="n">
        <v>55</v>
      </c>
    </row>
    <row r="161" customFormat="false" ht="15" hidden="false" customHeight="true" outlineLevel="0" collapsed="false">
      <c r="A161" s="49" t="s">
        <v>380</v>
      </c>
      <c r="B161" s="49" t="s">
        <v>383</v>
      </c>
      <c r="C161" s="50" t="n">
        <v>40</v>
      </c>
    </row>
    <row r="162" customFormat="false" ht="15" hidden="false" customHeight="true" outlineLevel="0" collapsed="false">
      <c r="A162" s="49" t="s">
        <v>380</v>
      </c>
      <c r="B162" s="49" t="s">
        <v>384</v>
      </c>
      <c r="C162" s="50" t="n">
        <v>55</v>
      </c>
    </row>
    <row r="163" customFormat="false" ht="15" hidden="false" customHeight="true" outlineLevel="0" collapsed="false">
      <c r="A163" s="49" t="s">
        <v>380</v>
      </c>
      <c r="B163" s="49" t="s">
        <v>547</v>
      </c>
      <c r="C163" s="50" t="n">
        <v>40.83</v>
      </c>
    </row>
    <row r="164" customFormat="false" ht="15" hidden="false" customHeight="true" outlineLevel="0" collapsed="false">
      <c r="A164" s="49" t="s">
        <v>380</v>
      </c>
      <c r="B164" s="49" t="s">
        <v>403</v>
      </c>
      <c r="C164" s="50" t="n">
        <v>55</v>
      </c>
    </row>
    <row r="165" customFormat="false" ht="15" hidden="false" customHeight="true" outlineLevel="0" collapsed="false">
      <c r="A165" s="49" t="s">
        <v>380</v>
      </c>
      <c r="B165" s="49" t="s">
        <v>548</v>
      </c>
      <c r="C165" s="50" t="n">
        <v>50</v>
      </c>
    </row>
    <row r="166" customFormat="false" ht="15" hidden="false" customHeight="true" outlineLevel="0" collapsed="false">
      <c r="A166" s="49" t="s">
        <v>380</v>
      </c>
      <c r="B166" s="49" t="s">
        <v>404</v>
      </c>
      <c r="C166" s="50" t="n">
        <v>66.25</v>
      </c>
    </row>
    <row r="167" customFormat="false" ht="15" hidden="false" customHeight="true" outlineLevel="0" collapsed="false">
      <c r="A167" s="49" t="s">
        <v>380</v>
      </c>
      <c r="B167" s="49" t="s">
        <v>549</v>
      </c>
      <c r="C167" s="50" t="n">
        <v>31.47</v>
      </c>
    </row>
    <row r="168" customFormat="false" ht="15" hidden="false" customHeight="true" outlineLevel="0" collapsed="false">
      <c r="A168" s="49" t="s">
        <v>380</v>
      </c>
      <c r="B168" s="49" t="s">
        <v>550</v>
      </c>
      <c r="C168" s="50" t="n">
        <v>41.25</v>
      </c>
    </row>
    <row r="169" customFormat="false" ht="15" hidden="false" customHeight="true" outlineLevel="0" collapsed="false">
      <c r="A169" s="49" t="s">
        <v>380</v>
      </c>
      <c r="B169" s="49" t="s">
        <v>429</v>
      </c>
      <c r="C169" s="50" t="n">
        <v>33.93</v>
      </c>
    </row>
    <row r="170" customFormat="false" ht="15" hidden="false" customHeight="true" outlineLevel="0" collapsed="false">
      <c r="A170" s="49" t="s">
        <v>380</v>
      </c>
      <c r="B170" s="49" t="s">
        <v>430</v>
      </c>
      <c r="C170" s="50" t="n">
        <v>48.57</v>
      </c>
    </row>
    <row r="171" customFormat="false" ht="15" hidden="false" customHeight="true" outlineLevel="0" collapsed="false">
      <c r="A171" s="49" t="s">
        <v>380</v>
      </c>
      <c r="B171" s="49" t="s">
        <v>457</v>
      </c>
      <c r="C171" s="50" t="n">
        <v>34.5</v>
      </c>
    </row>
    <row r="172" customFormat="false" ht="15" hidden="false" customHeight="true" outlineLevel="0" collapsed="false">
      <c r="A172" s="49" t="s">
        <v>380</v>
      </c>
      <c r="B172" s="49" t="s">
        <v>458</v>
      </c>
      <c r="C172" s="65" t="n">
        <v>40</v>
      </c>
    </row>
    <row r="173" customFormat="false" ht="15" hidden="false" customHeight="true" outlineLevel="0" collapsed="false">
      <c r="A173" s="49" t="s">
        <v>11</v>
      </c>
      <c r="B173" s="49" t="s">
        <v>553</v>
      </c>
      <c r="C173" s="65" t="n">
        <v>200</v>
      </c>
    </row>
    <row r="174" customFormat="false" ht="15" hidden="false" customHeight="true" outlineLevel="0" collapsed="false">
      <c r="A174" s="49" t="s">
        <v>13</v>
      </c>
      <c r="B174" s="49" t="s">
        <v>554</v>
      </c>
      <c r="C174" s="65" t="n">
        <v>140</v>
      </c>
    </row>
    <row r="175" customFormat="false" ht="15" hidden="false" customHeight="true" outlineLevel="0" collapsed="false">
      <c r="A175" s="49" t="s">
        <v>14</v>
      </c>
      <c r="B175" s="49" t="s">
        <v>555</v>
      </c>
      <c r="C175" s="65" t="n">
        <v>170</v>
      </c>
    </row>
    <row r="176" customFormat="false" ht="15" hidden="false" customHeight="true" outlineLevel="0" collapsed="false">
      <c r="A176" s="49" t="s">
        <v>14</v>
      </c>
      <c r="B176" s="49" t="s">
        <v>556</v>
      </c>
      <c r="C176" s="65" t="n">
        <v>105</v>
      </c>
    </row>
    <row r="177" customFormat="false" ht="15" hidden="false" customHeight="true" outlineLevel="0" collapsed="false">
      <c r="A177" s="49" t="s">
        <v>380</v>
      </c>
      <c r="B177" s="49" t="s">
        <v>557</v>
      </c>
      <c r="C177" s="65" t="n">
        <v>95</v>
      </c>
    </row>
    <row r="178" customFormat="false" ht="15" hidden="false" customHeight="true" outlineLevel="0" collapsed="false">
      <c r="A178" s="49" t="s">
        <v>380</v>
      </c>
      <c r="B178" s="49" t="s">
        <v>558</v>
      </c>
      <c r="C178" s="65" t="n">
        <v>55</v>
      </c>
    </row>
    <row r="179" customFormat="false" ht="15" hidden="false" customHeight="true" outlineLevel="0" collapsed="false">
      <c r="A179" s="49" t="s">
        <v>380</v>
      </c>
      <c r="B179" s="49" t="s">
        <v>559</v>
      </c>
      <c r="C179" s="65" t="n">
        <v>90</v>
      </c>
    </row>
    <row r="180" customFormat="false" ht="15" hidden="false" customHeight="true" outlineLevel="0" collapsed="false">
      <c r="A180" s="49" t="s">
        <v>380</v>
      </c>
      <c r="B180" s="49" t="s">
        <v>560</v>
      </c>
      <c r="C180" s="65" t="n">
        <v>110</v>
      </c>
    </row>
    <row r="181" customFormat="false" ht="15" hidden="false" customHeight="true" outlineLevel="0" collapsed="false">
      <c r="A181" s="49" t="s">
        <v>380</v>
      </c>
      <c r="B181" s="49" t="s">
        <v>561</v>
      </c>
      <c r="C181" s="65" t="n">
        <v>70</v>
      </c>
    </row>
    <row r="182" customFormat="false" ht="15" hidden="false" customHeight="true" outlineLevel="0" collapsed="false">
      <c r="A182" s="49" t="s">
        <v>380</v>
      </c>
      <c r="B182" s="49" t="s">
        <v>562</v>
      </c>
      <c r="C182" s="65" t="n">
        <v>50</v>
      </c>
    </row>
    <row r="183" customFormat="false" ht="15" hidden="false" customHeight="true" outlineLevel="0" collapsed="false">
      <c r="A183" s="49" t="s">
        <v>563</v>
      </c>
      <c r="B183" s="49" t="s">
        <v>564</v>
      </c>
      <c r="C183" s="65" t="n">
        <v>120</v>
      </c>
    </row>
    <row r="184" customFormat="false" ht="15" hidden="false" customHeight="true" outlineLevel="0" collapsed="false">
      <c r="A184" s="49" t="s">
        <v>563</v>
      </c>
      <c r="B184" s="49" t="s">
        <v>565</v>
      </c>
      <c r="C184" s="65" t="n">
        <v>140</v>
      </c>
    </row>
    <row r="185" customFormat="false" ht="15" hidden="false" customHeight="true" outlineLevel="0" collapsed="false">
      <c r="A185" s="49" t="s">
        <v>563</v>
      </c>
      <c r="B185" s="49" t="s">
        <v>566</v>
      </c>
      <c r="C185" s="65" t="n">
        <v>120</v>
      </c>
    </row>
    <row r="186" customFormat="false" ht="15" hidden="false" customHeight="true" outlineLevel="0" collapsed="false">
      <c r="A186" s="49" t="s">
        <v>563</v>
      </c>
      <c r="B186" s="49" t="s">
        <v>567</v>
      </c>
      <c r="C186" s="65" t="n">
        <v>170</v>
      </c>
    </row>
    <row r="187" customFormat="false" ht="15" hidden="false" customHeight="true" outlineLevel="0" collapsed="false">
      <c r="A187" s="49" t="s">
        <v>380</v>
      </c>
      <c r="B187" s="49" t="s">
        <v>568</v>
      </c>
      <c r="C187" s="65" t="n">
        <v>40</v>
      </c>
    </row>
    <row r="188" customFormat="false" ht="15" hidden="false" customHeight="true" outlineLevel="0" collapsed="false">
      <c r="A188" s="49" t="s">
        <v>380</v>
      </c>
      <c r="B188" s="49" t="s">
        <v>569</v>
      </c>
      <c r="C188" s="65" t="n">
        <v>45</v>
      </c>
    </row>
    <row r="189" customFormat="false" ht="15" hidden="false" customHeight="true" outlineLevel="0" collapsed="false">
      <c r="A189" s="49" t="s">
        <v>391</v>
      </c>
      <c r="B189" s="49" t="s">
        <v>352</v>
      </c>
      <c r="C189" s="65" t="n">
        <v>45</v>
      </c>
    </row>
    <row r="190" customFormat="false" ht="15" hidden="false" customHeight="true" outlineLevel="0" collapsed="false">
      <c r="A190" s="49" t="s">
        <v>391</v>
      </c>
      <c r="B190" s="49" t="s">
        <v>570</v>
      </c>
      <c r="C190" s="65" t="n">
        <v>8</v>
      </c>
    </row>
    <row r="191" customFormat="false" ht="15" hidden="false" customHeight="true" outlineLevel="0" collapsed="false">
      <c r="A191" s="49"/>
      <c r="B191" s="49"/>
      <c r="C191" s="50"/>
    </row>
    <row r="192" customFormat="false" ht="15" hidden="false" customHeight="true" outlineLevel="0" collapsed="false">
      <c r="A192" s="49"/>
      <c r="B192" s="49"/>
      <c r="C192" s="50"/>
    </row>
    <row r="193" customFormat="false" ht="15" hidden="false" customHeight="true" outlineLevel="0" collapsed="false">
      <c r="A193" s="49"/>
      <c r="B193" s="49"/>
      <c r="C193" s="50"/>
    </row>
    <row r="194" customFormat="false" ht="15" hidden="false" customHeight="true" outlineLevel="0" collapsed="false">
      <c r="A194" s="49"/>
      <c r="B194" s="49"/>
      <c r="C194" s="50"/>
    </row>
    <row r="195" customFormat="false" ht="15" hidden="false" customHeight="true" outlineLevel="0" collapsed="false">
      <c r="A195" s="49"/>
      <c r="B195" s="49"/>
      <c r="C195" s="50"/>
    </row>
    <row r="196" customFormat="false" ht="15" hidden="false" customHeight="true" outlineLevel="0" collapsed="false">
      <c r="A196" s="49"/>
      <c r="B196" s="49"/>
      <c r="C196" s="50"/>
    </row>
    <row r="197" customFormat="false" ht="15" hidden="false" customHeight="true" outlineLevel="0" collapsed="false">
      <c r="A197" s="49"/>
      <c r="B197" s="49"/>
      <c r="C197" s="50"/>
    </row>
    <row r="198" customFormat="false" ht="15" hidden="false" customHeight="true" outlineLevel="0" collapsed="false">
      <c r="A198" s="49"/>
      <c r="B198" s="49"/>
      <c r="C198" s="50"/>
    </row>
    <row r="199" customFormat="false" ht="15" hidden="false" customHeight="true" outlineLevel="0" collapsed="false">
      <c r="A199" s="49"/>
      <c r="B199" s="49"/>
      <c r="C199" s="50"/>
    </row>
    <row r="200" customFormat="false" ht="15" hidden="false" customHeight="true" outlineLevel="0" collapsed="false">
      <c r="A200" s="49"/>
      <c r="B200" s="49"/>
      <c r="C200" s="50"/>
    </row>
    <row r="201" customFormat="false" ht="15" hidden="false" customHeight="true" outlineLevel="0" collapsed="false">
      <c r="A201" s="49"/>
      <c r="B201" s="49"/>
      <c r="C201" s="50"/>
    </row>
    <row r="202" customFormat="false" ht="15" hidden="false" customHeight="true" outlineLevel="0" collapsed="false">
      <c r="A202" s="49"/>
      <c r="B202" s="49"/>
      <c r="C202" s="50"/>
    </row>
    <row r="203" customFormat="false" ht="15" hidden="false" customHeight="true" outlineLevel="0" collapsed="false">
      <c r="A203" s="49"/>
      <c r="B203" s="49"/>
      <c r="C203" s="50"/>
    </row>
    <row r="204" customFormat="false" ht="15" hidden="false" customHeight="true" outlineLevel="0" collapsed="false">
      <c r="A204" s="49"/>
      <c r="B204" s="49"/>
      <c r="C204" s="50"/>
    </row>
    <row r="205" customFormat="false" ht="15" hidden="false" customHeight="true" outlineLevel="0" collapsed="false">
      <c r="A205" s="49"/>
      <c r="B205" s="49"/>
      <c r="C205" s="50"/>
    </row>
    <row r="206" customFormat="false" ht="15" hidden="false" customHeight="true" outlineLevel="0" collapsed="false">
      <c r="A206" s="49"/>
      <c r="B206" s="49"/>
      <c r="C206" s="50"/>
    </row>
    <row r="207" customFormat="false" ht="15" hidden="false" customHeight="true" outlineLevel="0" collapsed="false">
      <c r="A207" s="49"/>
      <c r="B207" s="49"/>
      <c r="C207" s="50"/>
    </row>
    <row r="208" customFormat="false" ht="15" hidden="false" customHeight="true" outlineLevel="0" collapsed="false">
      <c r="A208" s="49"/>
      <c r="B208" s="49"/>
      <c r="C208" s="50"/>
    </row>
    <row r="209" customFormat="false" ht="15" hidden="false" customHeight="true" outlineLevel="0" collapsed="false">
      <c r="A209" s="49"/>
      <c r="B209" s="49"/>
      <c r="C209" s="50"/>
    </row>
    <row r="210" customFormat="false" ht="15" hidden="false" customHeight="true" outlineLevel="0" collapsed="false">
      <c r="A210" s="49"/>
      <c r="B210" s="49"/>
      <c r="C210" s="50"/>
    </row>
    <row r="211" customFormat="false" ht="15" hidden="false" customHeight="true" outlineLevel="0" collapsed="false">
      <c r="A211" s="49"/>
      <c r="B211" s="49"/>
      <c r="C211" s="50"/>
    </row>
    <row r="212" customFormat="false" ht="15" hidden="false" customHeight="true" outlineLevel="0" collapsed="false">
      <c r="A212" s="49"/>
      <c r="B212" s="49"/>
      <c r="C212" s="50"/>
    </row>
    <row r="213" customFormat="false" ht="15" hidden="false" customHeight="true" outlineLevel="0" collapsed="false">
      <c r="A213" s="49"/>
      <c r="B213" s="49"/>
      <c r="C213" s="50"/>
    </row>
    <row r="214" customFormat="false" ht="15" hidden="false" customHeight="true" outlineLevel="0" collapsed="false">
      <c r="A214" s="49"/>
      <c r="B214" s="49"/>
      <c r="C214" s="50"/>
    </row>
    <row r="215" customFormat="false" ht="15" hidden="false" customHeight="true" outlineLevel="0" collapsed="false">
      <c r="A215" s="49"/>
      <c r="B215" s="49"/>
      <c r="C215" s="50"/>
    </row>
    <row r="216" customFormat="false" ht="15" hidden="false" customHeight="true" outlineLevel="0" collapsed="false">
      <c r="A216" s="49"/>
      <c r="B216" s="49"/>
      <c r="C216" s="50"/>
    </row>
    <row r="217" customFormat="false" ht="15" hidden="false" customHeight="true" outlineLevel="0" collapsed="false">
      <c r="A217" s="49"/>
      <c r="B217" s="49"/>
      <c r="C217" s="50"/>
    </row>
    <row r="218" customFormat="false" ht="15" hidden="false" customHeight="true" outlineLevel="0" collapsed="false">
      <c r="A218" s="49"/>
      <c r="B218" s="49"/>
      <c r="C218" s="50"/>
    </row>
    <row r="219" customFormat="false" ht="15" hidden="false" customHeight="true" outlineLevel="0" collapsed="false">
      <c r="A219" s="49"/>
      <c r="B219" s="49"/>
      <c r="C219" s="50"/>
    </row>
    <row r="220" customFormat="false" ht="15" hidden="false" customHeight="true" outlineLevel="0" collapsed="false">
      <c r="A220" s="49"/>
      <c r="B220" s="49"/>
      <c r="C220" s="50"/>
    </row>
    <row r="221" customFormat="false" ht="15" hidden="false" customHeight="true" outlineLevel="0" collapsed="false">
      <c r="A221" s="49"/>
      <c r="B221" s="49"/>
      <c r="C221" s="50"/>
    </row>
    <row r="222" customFormat="false" ht="15" hidden="false" customHeight="true" outlineLevel="0" collapsed="false">
      <c r="A222" s="49"/>
      <c r="B222" s="49"/>
      <c r="C222" s="50"/>
    </row>
    <row r="223" customFormat="false" ht="15" hidden="false" customHeight="true" outlineLevel="0" collapsed="false">
      <c r="A223" s="49"/>
      <c r="B223" s="49"/>
      <c r="C223" s="50"/>
    </row>
    <row r="224" customFormat="false" ht="15" hidden="false" customHeight="true" outlineLevel="0" collapsed="false">
      <c r="A224" s="49"/>
      <c r="B224" s="49"/>
      <c r="C224" s="50"/>
    </row>
    <row r="225" customFormat="false" ht="15" hidden="false" customHeight="true" outlineLevel="0" collapsed="false">
      <c r="A225" s="49"/>
      <c r="B225" s="49"/>
      <c r="C225" s="50"/>
    </row>
    <row r="226" customFormat="false" ht="15" hidden="false" customHeight="true" outlineLevel="0" collapsed="false">
      <c r="A226" s="49"/>
      <c r="B226" s="49"/>
      <c r="C226" s="50"/>
    </row>
    <row r="227" customFormat="false" ht="15" hidden="false" customHeight="true" outlineLevel="0" collapsed="false">
      <c r="A227" s="49"/>
      <c r="B227" s="49"/>
      <c r="C227" s="50"/>
    </row>
    <row r="228" customFormat="false" ht="15" hidden="false" customHeight="true" outlineLevel="0" collapsed="false">
      <c r="A228" s="49"/>
      <c r="B228" s="49"/>
      <c r="C228" s="50"/>
    </row>
    <row r="229" customFormat="false" ht="15" hidden="false" customHeight="true" outlineLevel="0" collapsed="false">
      <c r="A229" s="49"/>
      <c r="B229" s="49"/>
      <c r="C229" s="50"/>
    </row>
    <row r="230" customFormat="false" ht="15" hidden="false" customHeight="true" outlineLevel="0" collapsed="false">
      <c r="A230" s="49"/>
      <c r="B230" s="49"/>
      <c r="C230" s="50"/>
    </row>
    <row r="231" customFormat="false" ht="15" hidden="false" customHeight="true" outlineLevel="0" collapsed="false">
      <c r="A231" s="49"/>
      <c r="B231" s="49"/>
      <c r="C231" s="50"/>
    </row>
    <row r="232" customFormat="false" ht="15" hidden="false" customHeight="true" outlineLevel="0" collapsed="false">
      <c r="A232" s="49"/>
      <c r="B232" s="49"/>
      <c r="C232" s="50"/>
    </row>
    <row r="233" customFormat="false" ht="15" hidden="false" customHeight="true" outlineLevel="0" collapsed="false">
      <c r="A233" s="49"/>
      <c r="B233" s="49"/>
      <c r="C233" s="50"/>
    </row>
    <row r="234" customFormat="false" ht="15" hidden="false" customHeight="true" outlineLevel="0" collapsed="false">
      <c r="A234" s="49"/>
      <c r="B234" s="49"/>
      <c r="C234" s="50"/>
    </row>
    <row r="235" customFormat="false" ht="15" hidden="false" customHeight="true" outlineLevel="0" collapsed="false">
      <c r="A235" s="49"/>
      <c r="B235" s="49"/>
      <c r="C235" s="50"/>
    </row>
    <row r="236" customFormat="false" ht="15" hidden="false" customHeight="true" outlineLevel="0" collapsed="false">
      <c r="A236" s="49"/>
      <c r="B236" s="49"/>
      <c r="C236" s="50"/>
    </row>
    <row r="237" customFormat="false" ht="15" hidden="false" customHeight="true" outlineLevel="0" collapsed="false">
      <c r="A237" s="49"/>
      <c r="B237" s="49"/>
      <c r="C237" s="50"/>
    </row>
    <row r="238" customFormat="false" ht="15" hidden="false" customHeight="true" outlineLevel="0" collapsed="false">
      <c r="A238" s="49"/>
      <c r="B238" s="49"/>
      <c r="C238" s="50"/>
    </row>
    <row r="239" customFormat="false" ht="15" hidden="false" customHeight="true" outlineLevel="0" collapsed="false">
      <c r="A239" s="49"/>
      <c r="B239" s="49"/>
      <c r="C239" s="50"/>
    </row>
    <row r="240" customFormat="false" ht="15" hidden="false" customHeight="true" outlineLevel="0" collapsed="false">
      <c r="A240" s="49"/>
      <c r="B240" s="49"/>
      <c r="C240" s="50"/>
    </row>
    <row r="241" customFormat="false" ht="15" hidden="false" customHeight="true" outlineLevel="0" collapsed="false">
      <c r="A241" s="49"/>
      <c r="B241" s="49"/>
      <c r="C241" s="50"/>
    </row>
    <row r="242" customFormat="false" ht="15" hidden="false" customHeight="true" outlineLevel="0" collapsed="false">
      <c r="A242" s="49"/>
      <c r="B242" s="49"/>
      <c r="C242" s="50"/>
    </row>
    <row r="243" customFormat="false" ht="15" hidden="false" customHeight="true" outlineLevel="0" collapsed="false">
      <c r="A243" s="49"/>
      <c r="B243" s="49"/>
      <c r="C243" s="50"/>
    </row>
    <row r="244" customFormat="false" ht="15" hidden="false" customHeight="true" outlineLevel="0" collapsed="false">
      <c r="A244" s="49"/>
      <c r="B244" s="49"/>
      <c r="C244" s="50"/>
    </row>
    <row r="245" customFormat="false" ht="15" hidden="false" customHeight="true" outlineLevel="0" collapsed="false">
      <c r="A245" s="49"/>
      <c r="B245" s="49"/>
      <c r="C245" s="50"/>
    </row>
    <row r="246" customFormat="false" ht="15" hidden="false" customHeight="true" outlineLevel="0" collapsed="false">
      <c r="A246" s="49"/>
      <c r="B246" s="49"/>
      <c r="C246" s="50"/>
    </row>
    <row r="247" customFormat="false" ht="15" hidden="false" customHeight="true" outlineLevel="0" collapsed="false">
      <c r="A247" s="49"/>
      <c r="B247" s="49"/>
      <c r="C247" s="50"/>
    </row>
    <row r="248" customFormat="false" ht="15" hidden="false" customHeight="true" outlineLevel="0" collapsed="false">
      <c r="A248" s="49"/>
      <c r="B248" s="49"/>
      <c r="C248" s="50"/>
    </row>
    <row r="249" customFormat="false" ht="15" hidden="false" customHeight="true" outlineLevel="0" collapsed="false">
      <c r="A249" s="49"/>
      <c r="B249" s="49"/>
      <c r="C249" s="50"/>
    </row>
    <row r="250" customFormat="false" ht="15" hidden="false" customHeight="true" outlineLevel="0" collapsed="false">
      <c r="A250" s="49"/>
      <c r="B250" s="49"/>
      <c r="C250" s="50"/>
    </row>
    <row r="251" customFormat="false" ht="15" hidden="false" customHeight="true" outlineLevel="0" collapsed="false">
      <c r="A251" s="49"/>
      <c r="B251" s="49"/>
      <c r="C251" s="50"/>
    </row>
    <row r="252" customFormat="false" ht="15" hidden="false" customHeight="true" outlineLevel="0" collapsed="false">
      <c r="A252" s="49"/>
      <c r="B252" s="49"/>
      <c r="C252" s="50"/>
    </row>
    <row r="253" customFormat="false" ht="15" hidden="false" customHeight="true" outlineLevel="0" collapsed="false">
      <c r="A253" s="49"/>
      <c r="B253" s="49"/>
      <c r="C253" s="50"/>
    </row>
    <row r="254" customFormat="false" ht="15" hidden="false" customHeight="true" outlineLevel="0" collapsed="false">
      <c r="A254" s="49"/>
      <c r="B254" s="49"/>
      <c r="C254" s="50"/>
    </row>
    <row r="255" customFormat="false" ht="15" hidden="false" customHeight="true" outlineLevel="0" collapsed="false">
      <c r="A255" s="49"/>
      <c r="B255" s="49"/>
      <c r="C255" s="50"/>
    </row>
    <row r="256" customFormat="false" ht="15" hidden="false" customHeight="true" outlineLevel="0" collapsed="false">
      <c r="A256" s="49"/>
      <c r="B256" s="49"/>
      <c r="C256" s="50"/>
    </row>
    <row r="257" customFormat="false" ht="15" hidden="false" customHeight="true" outlineLevel="0" collapsed="false">
      <c r="A257" s="49"/>
      <c r="B257" s="49"/>
      <c r="C257" s="50"/>
    </row>
    <row r="258" customFormat="false" ht="15" hidden="false" customHeight="true" outlineLevel="0" collapsed="false">
      <c r="A258" s="49"/>
      <c r="B258" s="49"/>
      <c r="C258" s="50"/>
    </row>
    <row r="259" customFormat="false" ht="15" hidden="false" customHeight="true" outlineLevel="0" collapsed="false">
      <c r="A259" s="49"/>
      <c r="B259" s="49"/>
      <c r="C259" s="50"/>
    </row>
    <row r="260" customFormat="false" ht="15" hidden="false" customHeight="true" outlineLevel="0" collapsed="false">
      <c r="A260" s="49"/>
      <c r="B260" s="49"/>
      <c r="C260" s="50"/>
    </row>
    <row r="261" customFormat="false" ht="15" hidden="false" customHeight="true" outlineLevel="0" collapsed="false">
      <c r="A261" s="49"/>
      <c r="B261" s="49"/>
      <c r="C261" s="50"/>
    </row>
    <row r="262" customFormat="false" ht="15" hidden="false" customHeight="true" outlineLevel="0" collapsed="false">
      <c r="A262" s="49"/>
      <c r="B262" s="49"/>
      <c r="C262" s="50"/>
    </row>
    <row r="263" customFormat="false" ht="15" hidden="false" customHeight="true" outlineLevel="0" collapsed="false">
      <c r="A263" s="49"/>
      <c r="B263" s="49"/>
      <c r="C263" s="50"/>
    </row>
    <row r="264" customFormat="false" ht="15" hidden="false" customHeight="true" outlineLevel="0" collapsed="false">
      <c r="A264" s="49"/>
      <c r="B264" s="49"/>
      <c r="C264" s="50"/>
    </row>
    <row r="265" customFormat="false" ht="15" hidden="false" customHeight="true" outlineLevel="0" collapsed="false">
      <c r="A265" s="49"/>
      <c r="B265" s="49"/>
      <c r="C265" s="50"/>
    </row>
    <row r="266" customFormat="false" ht="15" hidden="false" customHeight="true" outlineLevel="0" collapsed="false">
      <c r="A266" s="49"/>
      <c r="B266" s="49"/>
      <c r="C266" s="50"/>
    </row>
    <row r="267" customFormat="false" ht="15" hidden="false" customHeight="true" outlineLevel="0" collapsed="false">
      <c r="A267" s="49"/>
      <c r="B267" s="49"/>
      <c r="C267" s="50"/>
    </row>
    <row r="268" customFormat="false" ht="15" hidden="false" customHeight="true" outlineLevel="0" collapsed="false">
      <c r="A268" s="49"/>
      <c r="B268" s="49"/>
      <c r="C268" s="50"/>
    </row>
    <row r="269" customFormat="false" ht="15" hidden="false" customHeight="true" outlineLevel="0" collapsed="false">
      <c r="A269" s="49"/>
      <c r="B269" s="49"/>
      <c r="C269" s="50"/>
    </row>
    <row r="270" customFormat="false" ht="15" hidden="false" customHeight="true" outlineLevel="0" collapsed="false">
      <c r="A270" s="49"/>
      <c r="B270" s="49"/>
      <c r="C270" s="50"/>
    </row>
    <row r="271" customFormat="false" ht="15" hidden="false" customHeight="true" outlineLevel="0" collapsed="false">
      <c r="A271" s="49"/>
      <c r="B271" s="49"/>
      <c r="C271" s="50"/>
    </row>
    <row r="272" customFormat="false" ht="15" hidden="false" customHeight="true" outlineLevel="0" collapsed="false">
      <c r="A272" s="49"/>
      <c r="B272" s="49"/>
      <c r="C272" s="50"/>
    </row>
    <row r="273" customFormat="false" ht="15" hidden="false" customHeight="true" outlineLevel="0" collapsed="false">
      <c r="A273" s="49"/>
      <c r="B273" s="49"/>
      <c r="C273" s="50"/>
    </row>
    <row r="274" customFormat="false" ht="15" hidden="false" customHeight="true" outlineLevel="0" collapsed="false">
      <c r="A274" s="49"/>
      <c r="B274" s="49"/>
      <c r="C274" s="50"/>
    </row>
    <row r="275" customFormat="false" ht="15" hidden="false" customHeight="true" outlineLevel="0" collapsed="false">
      <c r="A275" s="49"/>
      <c r="B275" s="49"/>
      <c r="C275" s="50"/>
    </row>
    <row r="276" customFormat="false" ht="15" hidden="false" customHeight="true" outlineLevel="0" collapsed="false">
      <c r="A276" s="49"/>
      <c r="B276" s="49"/>
      <c r="C276" s="50"/>
    </row>
    <row r="277" customFormat="false" ht="15" hidden="false" customHeight="true" outlineLevel="0" collapsed="false">
      <c r="A277" s="49"/>
      <c r="B277" s="49"/>
      <c r="C277" s="50"/>
    </row>
    <row r="278" customFormat="false" ht="15" hidden="false" customHeight="true" outlineLevel="0" collapsed="false">
      <c r="A278" s="49"/>
      <c r="B278" s="49"/>
      <c r="C278" s="50"/>
    </row>
    <row r="279" customFormat="false" ht="15" hidden="false" customHeight="true" outlineLevel="0" collapsed="false">
      <c r="A279" s="49"/>
      <c r="B279" s="49"/>
      <c r="C279" s="50"/>
    </row>
    <row r="280" customFormat="false" ht="15" hidden="false" customHeight="true" outlineLevel="0" collapsed="false">
      <c r="A280" s="49"/>
      <c r="B280" s="49"/>
      <c r="C280" s="50"/>
    </row>
    <row r="281" customFormat="false" ht="15" hidden="false" customHeight="true" outlineLevel="0" collapsed="false">
      <c r="A281" s="49"/>
      <c r="B281" s="49"/>
      <c r="C281" s="50"/>
    </row>
    <row r="282" customFormat="false" ht="15" hidden="false" customHeight="true" outlineLevel="0" collapsed="false">
      <c r="A282" s="49"/>
      <c r="B282" s="49"/>
      <c r="C282" s="50"/>
    </row>
    <row r="283" customFormat="false" ht="15" hidden="false" customHeight="true" outlineLevel="0" collapsed="false">
      <c r="A283" s="49"/>
      <c r="B283" s="49"/>
      <c r="C283" s="50"/>
    </row>
    <row r="284" customFormat="false" ht="15" hidden="false" customHeight="true" outlineLevel="0" collapsed="false">
      <c r="A284" s="49"/>
      <c r="B284" s="49"/>
      <c r="C284" s="50"/>
    </row>
    <row r="285" customFormat="false" ht="15" hidden="false" customHeight="true" outlineLevel="0" collapsed="false">
      <c r="A285" s="49"/>
      <c r="B285" s="49"/>
      <c r="C285" s="50"/>
    </row>
    <row r="286" customFormat="false" ht="15" hidden="false" customHeight="true" outlineLevel="0" collapsed="false">
      <c r="A286" s="49"/>
      <c r="B286" s="49"/>
      <c r="C286" s="50"/>
    </row>
    <row r="287" customFormat="false" ht="15" hidden="false" customHeight="true" outlineLevel="0" collapsed="false">
      <c r="A287" s="49"/>
      <c r="B287" s="49"/>
      <c r="C287" s="50"/>
    </row>
    <row r="288" customFormat="false" ht="15" hidden="false" customHeight="true" outlineLevel="0" collapsed="false">
      <c r="A288" s="49"/>
      <c r="B288" s="49"/>
      <c r="C288" s="50"/>
    </row>
    <row r="289" customFormat="false" ht="15" hidden="false" customHeight="true" outlineLevel="0" collapsed="false">
      <c r="A289" s="49"/>
      <c r="B289" s="49"/>
      <c r="C289" s="50"/>
    </row>
    <row r="290" customFormat="false" ht="15" hidden="false" customHeight="true" outlineLevel="0" collapsed="false">
      <c r="A290" s="49"/>
      <c r="B290" s="49"/>
      <c r="C290" s="50"/>
    </row>
    <row r="291" customFormat="false" ht="15" hidden="false" customHeight="true" outlineLevel="0" collapsed="false">
      <c r="A291" s="49"/>
      <c r="B291" s="49"/>
      <c r="C291" s="50"/>
    </row>
    <row r="292" customFormat="false" ht="15" hidden="false" customHeight="true" outlineLevel="0" collapsed="false">
      <c r="A292" s="49"/>
      <c r="B292" s="49"/>
      <c r="C292" s="50"/>
    </row>
    <row r="293" customFormat="false" ht="15" hidden="false" customHeight="true" outlineLevel="0" collapsed="false">
      <c r="A293" s="49"/>
      <c r="B293" s="49"/>
      <c r="C293" s="50"/>
    </row>
    <row r="294" customFormat="false" ht="15" hidden="false" customHeight="true" outlineLevel="0" collapsed="false">
      <c r="A294" s="49"/>
      <c r="B294" s="49"/>
      <c r="C294" s="50"/>
    </row>
    <row r="295" customFormat="false" ht="15" hidden="false" customHeight="true" outlineLevel="0" collapsed="false">
      <c r="A295" s="49"/>
      <c r="B295" s="49"/>
      <c r="C295" s="50"/>
    </row>
    <row r="296" customFormat="false" ht="15" hidden="false" customHeight="true" outlineLevel="0" collapsed="false">
      <c r="A296" s="49"/>
      <c r="B296" s="49"/>
      <c r="C296" s="50"/>
    </row>
    <row r="297" customFormat="false" ht="15" hidden="false" customHeight="true" outlineLevel="0" collapsed="false">
      <c r="A297" s="49"/>
      <c r="B297" s="49"/>
      <c r="C297" s="50"/>
    </row>
    <row r="298" customFormat="false" ht="15" hidden="false" customHeight="true" outlineLevel="0" collapsed="false">
      <c r="A298" s="49"/>
      <c r="B298" s="49"/>
      <c r="C298" s="50"/>
    </row>
    <row r="299" customFormat="false" ht="15" hidden="false" customHeight="true" outlineLevel="0" collapsed="false">
      <c r="A299" s="49"/>
      <c r="B299" s="49"/>
      <c r="C299" s="5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9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0"/>
    <col collapsed="false" customWidth="true" hidden="false" outlineLevel="0" max="4" min="3" style="1" width="14"/>
    <col collapsed="false" customWidth="true" hidden="false" outlineLevel="0" max="5" min="5" style="1" width="20"/>
    <col collapsed="false" customWidth="true" hidden="false" outlineLevel="0" max="6" min="6" style="1" width="18"/>
  </cols>
  <sheetData>
    <row r="1" customFormat="false" ht="27.75" hidden="false" customHeight="true" outlineLevel="0" collapsed="false">
      <c r="A1" s="10" t="s">
        <v>571</v>
      </c>
      <c r="B1" s="10" t="s">
        <v>572</v>
      </c>
      <c r="C1" s="10" t="s">
        <v>573</v>
      </c>
      <c r="D1" s="10" t="s">
        <v>61</v>
      </c>
      <c r="E1" s="10" t="s">
        <v>118</v>
      </c>
      <c r="F1" s="10" t="s">
        <v>574</v>
      </c>
    </row>
    <row r="2" customFormat="false" ht="15" hidden="false" customHeight="true" outlineLevel="0" collapsed="false">
      <c r="A2" s="66" t="s">
        <v>473</v>
      </c>
      <c r="B2" s="66" t="s">
        <v>262</v>
      </c>
      <c r="C2" s="66" t="n">
        <v>0.22</v>
      </c>
      <c r="D2" s="67" t="str">
        <f aca="false">IFERROR(INDEX(المكونات!$B$2:$B$500,MATCH($B2,المكونات!$A$2:$A$500,0)),"")</f>
        <v>كجم</v>
      </c>
      <c r="E2" s="68" t="n">
        <f aca="false">IFERROR(INDEX(المكونات!$C$2:$C$500,MATCH($B2,المكونات!$A$2:$A$500,0)),"")</f>
        <v>22</v>
      </c>
      <c r="F2" s="69" t="n">
        <f aca="false">IFERROR($C2*$E2,"")</f>
        <v>4.84</v>
      </c>
    </row>
    <row r="3" customFormat="false" ht="15" hidden="false" customHeight="true" outlineLevel="0" collapsed="false">
      <c r="A3" s="66" t="s">
        <v>473</v>
      </c>
      <c r="B3" s="66" t="s">
        <v>250</v>
      </c>
      <c r="C3" s="66" t="n">
        <v>0.04</v>
      </c>
      <c r="D3" s="67" t="str">
        <f aca="false">IFERROR(INDEX(المكونات!$B$2:$B$500,MATCH($B3,المكونات!$A$2:$A$500,0)),"")</f>
        <v>كجم</v>
      </c>
      <c r="E3" s="68" t="n">
        <f aca="false">IFERROR(INDEX(المكونات!$C$2:$C$500,MATCH($B3,المكونات!$A$2:$A$500,0)),"")</f>
        <v>32</v>
      </c>
      <c r="F3" s="69" t="n">
        <f aca="false">IFERROR($C3*$E3,"")</f>
        <v>1.28</v>
      </c>
    </row>
    <row r="4" customFormat="false" ht="15" hidden="false" customHeight="true" outlineLevel="0" collapsed="false">
      <c r="A4" s="66" t="s">
        <v>473</v>
      </c>
      <c r="B4" s="66" t="s">
        <v>260</v>
      </c>
      <c r="C4" s="66" t="n">
        <v>0.03</v>
      </c>
      <c r="D4" s="67" t="str">
        <f aca="false">IFERROR(INDEX(المكونات!$B$2:$B$500,MATCH($B4,المكونات!$A$2:$A$500,0)),"")</f>
        <v>كجم</v>
      </c>
      <c r="E4" s="68" t="n">
        <f aca="false">IFERROR(INDEX(المكونات!$C$2:$C$500,MATCH($B4,المكونات!$A$2:$A$500,0)),"")</f>
        <v>21</v>
      </c>
      <c r="F4" s="69" t="n">
        <f aca="false">IFERROR($C4*$E4,"")</f>
        <v>0.63</v>
      </c>
    </row>
    <row r="5" customFormat="false" ht="15" hidden="false" customHeight="true" outlineLevel="0" collapsed="false">
      <c r="A5" s="66" t="s">
        <v>473</v>
      </c>
      <c r="B5" s="66" t="s">
        <v>284</v>
      </c>
      <c r="C5" s="66" t="n">
        <v>0.02</v>
      </c>
      <c r="D5" s="67" t="str">
        <f aca="false">IFERROR(INDEX(المكونات!$B$2:$B$500,MATCH($B5,المكونات!$A$2:$A$500,0)),"")</f>
        <v>كجم</v>
      </c>
      <c r="E5" s="68" t="n">
        <f aca="false">IFERROR(INDEX(المكونات!$C$2:$C$500,MATCH($B5,المكونات!$A$2:$A$500,0)),"")</f>
        <v>27</v>
      </c>
      <c r="F5" s="69" t="n">
        <f aca="false">IFERROR($C5*$E5,"")</f>
        <v>0.54</v>
      </c>
    </row>
    <row r="6" customFormat="false" ht="15" hidden="false" customHeight="true" outlineLevel="0" collapsed="false">
      <c r="A6" s="66" t="s">
        <v>473</v>
      </c>
      <c r="B6" s="66" t="s">
        <v>227</v>
      </c>
      <c r="C6" s="66" t="n">
        <v>0.02</v>
      </c>
      <c r="D6" s="67" t="str">
        <f aca="false">IFERROR(INDEX(المكونات!$B$2:$B$500,MATCH($B6,المكونات!$A$2:$A$500,0)),"")</f>
        <v>كجم</v>
      </c>
      <c r="E6" s="68" t="n">
        <f aca="false">IFERROR(INDEX(المكونات!$C$2:$C$500,MATCH($B6,المكونات!$A$2:$A$500,0)),"")</f>
        <v>95</v>
      </c>
      <c r="F6" s="69" t="n">
        <f aca="false">IFERROR($C6*$E6,"")</f>
        <v>1.9</v>
      </c>
    </row>
    <row r="7" customFormat="false" ht="15" hidden="false" customHeight="true" outlineLevel="0" collapsed="false">
      <c r="A7" s="66" t="s">
        <v>473</v>
      </c>
      <c r="B7" s="66" t="s">
        <v>172</v>
      </c>
      <c r="C7" s="66" t="n">
        <v>1</v>
      </c>
      <c r="D7" s="67" t="str">
        <f aca="false">IFERROR(INDEX(المكونات!$B$2:$B$500,MATCH($B7,المكونات!$A$2:$A$500,0)),"")</f>
        <v>قطعة</v>
      </c>
      <c r="E7" s="68" t="n">
        <f aca="false">IFERROR(INDEX(المكونات!$C$2:$C$500,MATCH($B7,المكونات!$A$2:$A$500,0)),"")</f>
        <v>20</v>
      </c>
      <c r="F7" s="69" t="n">
        <f aca="false">IFERROR($C7*$E7,"")</f>
        <v>20</v>
      </c>
    </row>
    <row r="8" customFormat="false" ht="15" hidden="false" customHeight="true" outlineLevel="0" collapsed="false">
      <c r="A8" s="66" t="s">
        <v>473</v>
      </c>
      <c r="B8" s="66" t="s">
        <v>270</v>
      </c>
      <c r="C8" s="66" t="n">
        <v>1</v>
      </c>
      <c r="D8" s="67" t="str">
        <f aca="false">IFERROR(INDEX(المكونات!$B$2:$B$500,MATCH($B8,المكونات!$A$2:$A$500,0)),"")</f>
        <v>قطعة</v>
      </c>
      <c r="E8" s="68" t="n">
        <f aca="false">IFERROR(INDEX(المكونات!$C$2:$C$500,MATCH($B8,المكونات!$A$2:$A$500,0)),"")</f>
        <v>4.5</v>
      </c>
      <c r="F8" s="69" t="n">
        <f aca="false">IFERROR($C8*$E8,"")</f>
        <v>4.5</v>
      </c>
    </row>
    <row r="9" customFormat="false" ht="15" hidden="false" customHeight="true" outlineLevel="0" collapsed="false">
      <c r="A9" s="66" t="s">
        <v>473</v>
      </c>
      <c r="B9" s="66" t="s">
        <v>290</v>
      </c>
      <c r="C9" s="66" t="n">
        <v>2</v>
      </c>
      <c r="D9" s="67" t="str">
        <f aca="false">IFERROR(INDEX(المكونات!$B$2:$B$500,MATCH($B9,المكونات!$A$2:$A$500,0)),"")</f>
        <v>قطعة</v>
      </c>
      <c r="E9" s="68" t="n">
        <f aca="false">IFERROR(INDEX(المكونات!$C$2:$C$500,MATCH($B9,المكونات!$A$2:$A$500,0)),"")</f>
        <v>0.3</v>
      </c>
      <c r="F9" s="69" t="n">
        <f aca="false">IFERROR($C9*$E9,"")</f>
        <v>0.6</v>
      </c>
    </row>
    <row r="10" customFormat="false" ht="15" hidden="false" customHeight="true" outlineLevel="0" collapsed="false">
      <c r="A10" s="66" t="s">
        <v>473</v>
      </c>
      <c r="B10" s="66" t="s">
        <v>319</v>
      </c>
      <c r="C10" s="66" t="n">
        <v>1</v>
      </c>
      <c r="D10" s="67" t="str">
        <f aca="false">IFERROR(INDEX(المكونات!$B$2:$B$500,MATCH($B10,المكونات!$A$2:$A$500,0)),"")</f>
        <v>قطعة (ورقة)</v>
      </c>
      <c r="E10" s="68" t="n">
        <f aca="false">IFERROR(INDEX(المكونات!$C$2:$C$500,MATCH($B10,المكونات!$A$2:$A$500,0)),"")</f>
        <v>0.3665</v>
      </c>
      <c r="F10" s="69" t="n">
        <f aca="false">IFERROR($C10*$E10,"")</f>
        <v>0.3665</v>
      </c>
    </row>
    <row r="11" customFormat="false" ht="15" hidden="false" customHeight="true" outlineLevel="0" collapsed="false">
      <c r="A11" s="66" t="s">
        <v>473</v>
      </c>
      <c r="B11" s="66" t="s">
        <v>133</v>
      </c>
      <c r="C11" s="66" t="n">
        <v>1</v>
      </c>
      <c r="D11" s="67" t="str">
        <f aca="false">IFERROR(INDEX(المكونات!$B$2:$B$500,MATCH($B11,المكونات!$A$2:$A$500,0)),"")</f>
        <v>قطعة (كيس)</v>
      </c>
      <c r="E11" s="68" t="n">
        <f aca="false">IFERROR(INDEX(المكونات!$C$2:$C$500,MATCH($B11,المكونات!$A$2:$A$500,0)),"")</f>
        <v>1.4</v>
      </c>
      <c r="F11" s="69" t="n">
        <f aca="false">IFERROR($C11*$E11,"")</f>
        <v>1.4</v>
      </c>
    </row>
    <row r="12" customFormat="false" ht="15" hidden="false" customHeight="true" outlineLevel="0" collapsed="false">
      <c r="A12" s="66" t="s">
        <v>473</v>
      </c>
      <c r="B12" s="66" t="s">
        <v>293</v>
      </c>
      <c r="C12" s="66" t="n">
        <v>1</v>
      </c>
      <c r="D12" s="67" t="str">
        <f aca="false">IFERROR(INDEX(المكونات!$B$2:$B$500,MATCH($B12,المكونات!$A$2:$A$500,0)),"")</f>
        <v>قطعة</v>
      </c>
      <c r="E12" s="68" t="n">
        <f aca="false">IFERROR(INDEX(المكونات!$C$2:$C$500,MATCH($B12,المكونات!$A$2:$A$500,0)),"")</f>
        <v>0.5</v>
      </c>
      <c r="F12" s="69" t="n">
        <f aca="false">IFERROR($C12*$E12,"")</f>
        <v>0.5</v>
      </c>
    </row>
    <row r="13" customFormat="false" ht="15" hidden="false" customHeight="true" outlineLevel="0" collapsed="false">
      <c r="A13" s="66" t="s">
        <v>473</v>
      </c>
      <c r="B13" s="66" t="s">
        <v>211</v>
      </c>
      <c r="C13" s="66" t="n">
        <v>2</v>
      </c>
      <c r="D13" s="67" t="str">
        <f aca="false">IFERROR(INDEX(المكونات!$B$2:$B$500,MATCH($B13,المكونات!$A$2:$A$500,0)),"")</f>
        <v>قطعة (جلفز)</v>
      </c>
      <c r="E13" s="68" t="n">
        <f aca="false">IFERROR(INDEX(المكونات!$C$2:$C$500,MATCH($B13,المكونات!$A$2:$A$500,0)),"")</f>
        <v>0.18</v>
      </c>
      <c r="F13" s="69" t="n">
        <f aca="false">IFERROR($C13*$E13,"")</f>
        <v>0.36</v>
      </c>
    </row>
    <row r="14" customFormat="false" ht="15" hidden="false" customHeight="true" outlineLevel="0" collapsed="false">
      <c r="A14" s="66" t="s">
        <v>473</v>
      </c>
      <c r="B14" s="66" t="s">
        <v>322</v>
      </c>
      <c r="C14" s="66" t="n">
        <v>1</v>
      </c>
      <c r="D14" s="67" t="str">
        <f aca="false">IFERROR(INDEX(المكونات!$B$2:$B$500,MATCH($B14,المكونات!$A$2:$A$500,0)),"")</f>
        <v>قطعة (كيس)</v>
      </c>
      <c r="E14" s="68" t="n">
        <f aca="false">IFERROR(INDEX(المكونات!$C$2:$C$500,MATCH($B14,المكونات!$A$2:$A$500,0)),"")</f>
        <v>1</v>
      </c>
      <c r="F14" s="69" t="n">
        <f aca="false">IFERROR($C14*$E14,"")</f>
        <v>1</v>
      </c>
    </row>
    <row r="15" customFormat="false" ht="15" hidden="false" customHeight="true" outlineLevel="0" collapsed="false">
      <c r="A15" s="66" t="s">
        <v>418</v>
      </c>
      <c r="B15" s="66" t="s">
        <v>262</v>
      </c>
      <c r="C15" s="66" t="n">
        <v>0.3</v>
      </c>
      <c r="D15" s="67" t="str">
        <f aca="false">IFERROR(INDEX(المكونات!$B$2:$B$500,MATCH($B15,المكونات!$A$2:$A$500,0)),"")</f>
        <v>كجم</v>
      </c>
      <c r="E15" s="68" t="n">
        <f aca="false">IFERROR(INDEX(المكونات!$C$2:$C$500,MATCH($B15,المكونات!$A$2:$A$500,0)),"")</f>
        <v>22</v>
      </c>
      <c r="F15" s="69" t="n">
        <f aca="false">IFERROR($C15*$E15,"")</f>
        <v>6.6</v>
      </c>
    </row>
    <row r="16" customFormat="false" ht="15" hidden="false" customHeight="true" outlineLevel="0" collapsed="false">
      <c r="A16" s="66" t="s">
        <v>418</v>
      </c>
      <c r="B16" s="66" t="s">
        <v>250</v>
      </c>
      <c r="C16" s="66" t="n">
        <v>0.06</v>
      </c>
      <c r="D16" s="67" t="str">
        <f aca="false">IFERROR(INDEX(المكونات!$B$2:$B$500,MATCH($B16,المكونات!$A$2:$A$500,0)),"")</f>
        <v>كجم</v>
      </c>
      <c r="E16" s="68" t="n">
        <f aca="false">IFERROR(INDEX(المكونات!$C$2:$C$500,MATCH($B16,المكونات!$A$2:$A$500,0)),"")</f>
        <v>32</v>
      </c>
      <c r="F16" s="69" t="n">
        <f aca="false">IFERROR($C16*$E16,"")</f>
        <v>1.92</v>
      </c>
    </row>
    <row r="17" customFormat="false" ht="15" hidden="false" customHeight="true" outlineLevel="0" collapsed="false">
      <c r="A17" s="66" t="s">
        <v>418</v>
      </c>
      <c r="B17" s="66" t="s">
        <v>260</v>
      </c>
      <c r="C17" s="66" t="n">
        <v>0.045</v>
      </c>
      <c r="D17" s="67" t="str">
        <f aca="false">IFERROR(INDEX(المكونات!$B$2:$B$500,MATCH($B17,المكونات!$A$2:$A$500,0)),"")</f>
        <v>كجم</v>
      </c>
      <c r="E17" s="68" t="n">
        <f aca="false">IFERROR(INDEX(المكونات!$C$2:$C$500,MATCH($B17,المكونات!$A$2:$A$500,0)),"")</f>
        <v>21</v>
      </c>
      <c r="F17" s="69" t="n">
        <f aca="false">IFERROR($C17*$E17,"")</f>
        <v>0.945</v>
      </c>
    </row>
    <row r="18" customFormat="false" ht="15" hidden="false" customHeight="true" outlineLevel="0" collapsed="false">
      <c r="A18" s="66" t="s">
        <v>418</v>
      </c>
      <c r="B18" s="66" t="s">
        <v>284</v>
      </c>
      <c r="C18" s="66" t="n">
        <v>0.03</v>
      </c>
      <c r="D18" s="67" t="str">
        <f aca="false">IFERROR(INDEX(المكونات!$B$2:$B$500,MATCH($B18,المكونات!$A$2:$A$500,0)),"")</f>
        <v>كجم</v>
      </c>
      <c r="E18" s="68" t="n">
        <f aca="false">IFERROR(INDEX(المكونات!$C$2:$C$500,MATCH($B18,المكونات!$A$2:$A$500,0)),"")</f>
        <v>27</v>
      </c>
      <c r="F18" s="69" t="n">
        <f aca="false">IFERROR($C18*$E18,"")</f>
        <v>0.81</v>
      </c>
    </row>
    <row r="19" customFormat="false" ht="15" hidden="false" customHeight="true" outlineLevel="0" collapsed="false">
      <c r="A19" s="66" t="s">
        <v>418</v>
      </c>
      <c r="B19" s="66" t="s">
        <v>227</v>
      </c>
      <c r="C19" s="66" t="n">
        <v>0.03</v>
      </c>
      <c r="D19" s="67" t="str">
        <f aca="false">IFERROR(INDEX(المكونات!$B$2:$B$500,MATCH($B19,المكونات!$A$2:$A$500,0)),"")</f>
        <v>كجم</v>
      </c>
      <c r="E19" s="68" t="n">
        <f aca="false">IFERROR(INDEX(المكونات!$C$2:$C$500,MATCH($B19,المكونات!$A$2:$A$500,0)),"")</f>
        <v>95</v>
      </c>
      <c r="F19" s="69" t="n">
        <f aca="false">IFERROR($C19*$E19,"")</f>
        <v>2.85</v>
      </c>
    </row>
    <row r="20" customFormat="false" ht="15" hidden="false" customHeight="true" outlineLevel="0" collapsed="false">
      <c r="A20" s="66" t="s">
        <v>418</v>
      </c>
      <c r="B20" s="66" t="s">
        <v>174</v>
      </c>
      <c r="C20" s="66" t="n">
        <v>1</v>
      </c>
      <c r="D20" s="67" t="str">
        <f aca="false">IFERROR(INDEX(المكونات!$B$2:$B$500,MATCH($B20,المكونات!$A$2:$A$500,0)),"")</f>
        <v>قطعة</v>
      </c>
      <c r="E20" s="68" t="n">
        <f aca="false">IFERROR(INDEX(المكونات!$C$2:$C$500,MATCH($B20,المكونات!$A$2:$A$500,0)),"")</f>
        <v>27.1395</v>
      </c>
      <c r="F20" s="69" t="n">
        <f aca="false">IFERROR($C20*$E20,"")</f>
        <v>27.1395</v>
      </c>
    </row>
    <row r="21" customFormat="false" ht="15" hidden="false" customHeight="true" outlineLevel="0" collapsed="false">
      <c r="A21" s="66" t="s">
        <v>418</v>
      </c>
      <c r="B21" s="66" t="s">
        <v>268</v>
      </c>
      <c r="C21" s="66" t="n">
        <v>1</v>
      </c>
      <c r="D21" s="67" t="str">
        <f aca="false">IFERROR(INDEX(المكونات!$B$2:$B$500,MATCH($B21,المكونات!$A$2:$A$500,0)),"")</f>
        <v>قطعة</v>
      </c>
      <c r="E21" s="68" t="n">
        <f aca="false">IFERROR(INDEX(المكونات!$C$2:$C$500,MATCH($B21,المكونات!$A$2:$A$500,0)),"")</f>
        <v>5.5</v>
      </c>
      <c r="F21" s="69" t="n">
        <f aca="false">IFERROR($C21*$E21,"")</f>
        <v>5.5</v>
      </c>
    </row>
    <row r="22" customFormat="false" ht="15" hidden="false" customHeight="true" outlineLevel="0" collapsed="false">
      <c r="A22" s="66" t="s">
        <v>418</v>
      </c>
      <c r="B22" s="66" t="s">
        <v>290</v>
      </c>
      <c r="C22" s="66" t="n">
        <v>3</v>
      </c>
      <c r="D22" s="67" t="str">
        <f aca="false">IFERROR(INDEX(المكونات!$B$2:$B$500,MATCH($B22,المكونات!$A$2:$A$500,0)),"")</f>
        <v>قطعة</v>
      </c>
      <c r="E22" s="68" t="n">
        <f aca="false">IFERROR(INDEX(المكونات!$C$2:$C$500,MATCH($B22,المكونات!$A$2:$A$500,0)),"")</f>
        <v>0.3</v>
      </c>
      <c r="F22" s="69" t="n">
        <f aca="false">IFERROR($C22*$E22,"")</f>
        <v>0.9</v>
      </c>
    </row>
    <row r="23" customFormat="false" ht="15" hidden="false" customHeight="true" outlineLevel="0" collapsed="false">
      <c r="A23" s="66" t="s">
        <v>418</v>
      </c>
      <c r="B23" s="66" t="s">
        <v>319</v>
      </c>
      <c r="C23" s="66" t="n">
        <v>1</v>
      </c>
      <c r="D23" s="67" t="str">
        <f aca="false">IFERROR(INDEX(المكونات!$B$2:$B$500,MATCH($B23,المكونات!$A$2:$A$500,0)),"")</f>
        <v>قطعة (ورقة)</v>
      </c>
      <c r="E23" s="68" t="n">
        <f aca="false">IFERROR(INDEX(المكونات!$C$2:$C$500,MATCH($B23,المكونات!$A$2:$A$500,0)),"")</f>
        <v>0.3665</v>
      </c>
      <c r="F23" s="69" t="n">
        <f aca="false">IFERROR($C23*$E23,"")</f>
        <v>0.3665</v>
      </c>
    </row>
    <row r="24" customFormat="false" ht="15" hidden="false" customHeight="true" outlineLevel="0" collapsed="false">
      <c r="A24" s="66" t="s">
        <v>418</v>
      </c>
      <c r="B24" s="66" t="s">
        <v>133</v>
      </c>
      <c r="C24" s="66" t="n">
        <v>1</v>
      </c>
      <c r="D24" s="67" t="str">
        <f aca="false">IFERROR(INDEX(المكونات!$B$2:$B$500,MATCH($B24,المكونات!$A$2:$A$500,0)),"")</f>
        <v>قطعة (كيس)</v>
      </c>
      <c r="E24" s="68" t="n">
        <f aca="false">IFERROR(INDEX(المكونات!$C$2:$C$500,MATCH($B24,المكونات!$A$2:$A$500,0)),"")</f>
        <v>1.4</v>
      </c>
      <c r="F24" s="69" t="n">
        <f aca="false">IFERROR($C24*$E24,"")</f>
        <v>1.4</v>
      </c>
    </row>
    <row r="25" customFormat="false" ht="15" hidden="false" customHeight="true" outlineLevel="0" collapsed="false">
      <c r="A25" s="66" t="s">
        <v>418</v>
      </c>
      <c r="B25" s="66" t="s">
        <v>293</v>
      </c>
      <c r="C25" s="66" t="n">
        <v>1</v>
      </c>
      <c r="D25" s="67" t="str">
        <f aca="false">IFERROR(INDEX(المكونات!$B$2:$B$500,MATCH($B25,المكونات!$A$2:$A$500,0)),"")</f>
        <v>قطعة</v>
      </c>
      <c r="E25" s="68" t="n">
        <f aca="false">IFERROR(INDEX(المكونات!$C$2:$C$500,MATCH($B25,المكونات!$A$2:$A$500,0)),"")</f>
        <v>0.5</v>
      </c>
      <c r="F25" s="69" t="n">
        <f aca="false">IFERROR($C25*$E25,"")</f>
        <v>0.5</v>
      </c>
    </row>
    <row r="26" customFormat="false" ht="15" hidden="false" customHeight="true" outlineLevel="0" collapsed="false">
      <c r="A26" s="66" t="s">
        <v>418</v>
      </c>
      <c r="B26" s="66" t="s">
        <v>211</v>
      </c>
      <c r="C26" s="66" t="n">
        <v>2</v>
      </c>
      <c r="D26" s="67" t="str">
        <f aca="false">IFERROR(INDEX(المكونات!$B$2:$B$500,MATCH($B26,المكونات!$A$2:$A$500,0)),"")</f>
        <v>قطعة (جلفز)</v>
      </c>
      <c r="E26" s="68" t="n">
        <f aca="false">IFERROR(INDEX(المكونات!$C$2:$C$500,MATCH($B26,المكونات!$A$2:$A$500,0)),"")</f>
        <v>0.18</v>
      </c>
      <c r="F26" s="69" t="n">
        <f aca="false">IFERROR($C26*$E26,"")</f>
        <v>0.36</v>
      </c>
    </row>
    <row r="27" customFormat="false" ht="15" hidden="false" customHeight="true" outlineLevel="0" collapsed="false">
      <c r="A27" s="66" t="s">
        <v>418</v>
      </c>
      <c r="B27" s="66" t="s">
        <v>322</v>
      </c>
      <c r="C27" s="66" t="n">
        <v>1</v>
      </c>
      <c r="D27" s="67" t="str">
        <f aca="false">IFERROR(INDEX(المكونات!$B$2:$B$500,MATCH($B27,المكونات!$A$2:$A$500,0)),"")</f>
        <v>قطعة (كيس)</v>
      </c>
      <c r="E27" s="68" t="n">
        <f aca="false">IFERROR(INDEX(المكونات!$C$2:$C$500,MATCH($B27,المكونات!$A$2:$A$500,0)),"")</f>
        <v>1</v>
      </c>
      <c r="F27" s="69" t="n">
        <f aca="false">IFERROR($C27*$E27,"")</f>
        <v>1</v>
      </c>
    </row>
    <row r="28" customFormat="false" ht="15" hidden="false" customHeight="true" outlineLevel="0" collapsed="false">
      <c r="A28" s="66" t="s">
        <v>443</v>
      </c>
      <c r="B28" s="66" t="s">
        <v>262</v>
      </c>
      <c r="C28" s="66" t="n">
        <v>0.22</v>
      </c>
      <c r="D28" s="67" t="str">
        <f aca="false">IFERROR(INDEX(المكونات!$B$2:$B$500,MATCH($B28,المكونات!$A$2:$A$500,0)),"")</f>
        <v>كجم</v>
      </c>
      <c r="E28" s="68" t="n">
        <f aca="false">IFERROR(INDEX(المكونات!$C$2:$C$500,MATCH($B28,المكونات!$A$2:$A$500,0)),"")</f>
        <v>22</v>
      </c>
      <c r="F28" s="69" t="n">
        <f aca="false">IFERROR($C28*$E28,"")</f>
        <v>4.84</v>
      </c>
    </row>
    <row r="29" customFormat="false" ht="15" hidden="false" customHeight="true" outlineLevel="0" collapsed="false">
      <c r="A29" s="66" t="s">
        <v>443</v>
      </c>
      <c r="B29" s="66" t="s">
        <v>250</v>
      </c>
      <c r="C29" s="66" t="n">
        <v>0.04</v>
      </c>
      <c r="D29" s="67" t="str">
        <f aca="false">IFERROR(INDEX(المكونات!$B$2:$B$500,MATCH($B29,المكونات!$A$2:$A$500,0)),"")</f>
        <v>كجم</v>
      </c>
      <c r="E29" s="68" t="n">
        <f aca="false">IFERROR(INDEX(المكونات!$C$2:$C$500,MATCH($B29,المكونات!$A$2:$A$500,0)),"")</f>
        <v>32</v>
      </c>
      <c r="F29" s="69" t="n">
        <f aca="false">IFERROR($C29*$E29,"")</f>
        <v>1.28</v>
      </c>
    </row>
    <row r="30" customFormat="false" ht="15" hidden="false" customHeight="true" outlineLevel="0" collapsed="false">
      <c r="A30" s="66" t="s">
        <v>443</v>
      </c>
      <c r="B30" s="66" t="s">
        <v>260</v>
      </c>
      <c r="C30" s="66" t="n">
        <v>0.03</v>
      </c>
      <c r="D30" s="67" t="str">
        <f aca="false">IFERROR(INDEX(المكونات!$B$2:$B$500,MATCH($B30,المكونات!$A$2:$A$500,0)),"")</f>
        <v>كجم</v>
      </c>
      <c r="E30" s="68" t="n">
        <f aca="false">IFERROR(INDEX(المكونات!$C$2:$C$500,MATCH($B30,المكونات!$A$2:$A$500,0)),"")</f>
        <v>21</v>
      </c>
      <c r="F30" s="69" t="n">
        <f aca="false">IFERROR($C30*$E30,"")</f>
        <v>0.63</v>
      </c>
    </row>
    <row r="31" customFormat="false" ht="15" hidden="false" customHeight="true" outlineLevel="0" collapsed="false">
      <c r="A31" s="66" t="s">
        <v>443</v>
      </c>
      <c r="B31" s="66" t="s">
        <v>284</v>
      </c>
      <c r="C31" s="66" t="n">
        <v>0.02</v>
      </c>
      <c r="D31" s="67" t="str">
        <f aca="false">IFERROR(INDEX(المكونات!$B$2:$B$500,MATCH($B31,المكونات!$A$2:$A$500,0)),"")</f>
        <v>كجم</v>
      </c>
      <c r="E31" s="68" t="n">
        <f aca="false">IFERROR(INDEX(المكونات!$C$2:$C$500,MATCH($B31,المكونات!$A$2:$A$500,0)),"")</f>
        <v>27</v>
      </c>
      <c r="F31" s="69" t="n">
        <f aca="false">IFERROR($C31*$E31,"")</f>
        <v>0.54</v>
      </c>
    </row>
    <row r="32" customFormat="false" ht="15" hidden="false" customHeight="true" outlineLevel="0" collapsed="false">
      <c r="A32" s="66" t="s">
        <v>443</v>
      </c>
      <c r="B32" s="66" t="s">
        <v>227</v>
      </c>
      <c r="C32" s="66" t="n">
        <v>0.02</v>
      </c>
      <c r="D32" s="67" t="str">
        <f aca="false">IFERROR(INDEX(المكونات!$B$2:$B$500,MATCH($B32,المكونات!$A$2:$A$500,0)),"")</f>
        <v>كجم</v>
      </c>
      <c r="E32" s="68" t="n">
        <f aca="false">IFERROR(INDEX(المكونات!$C$2:$C$500,MATCH($B32,المكونات!$A$2:$A$500,0)),"")</f>
        <v>95</v>
      </c>
      <c r="F32" s="69" t="n">
        <f aca="false">IFERROR($C32*$E32,"")</f>
        <v>1.9</v>
      </c>
    </row>
    <row r="33" customFormat="false" ht="15" hidden="false" customHeight="true" outlineLevel="0" collapsed="false">
      <c r="A33" s="66" t="s">
        <v>443</v>
      </c>
      <c r="B33" s="66" t="s">
        <v>172</v>
      </c>
      <c r="C33" s="66" t="n">
        <v>1</v>
      </c>
      <c r="D33" s="67" t="str">
        <f aca="false">IFERROR(INDEX(المكونات!$B$2:$B$500,MATCH($B33,المكونات!$A$2:$A$500,0)),"")</f>
        <v>قطعة</v>
      </c>
      <c r="E33" s="68" t="n">
        <f aca="false">IFERROR(INDEX(المكونات!$C$2:$C$500,MATCH($B33,المكونات!$A$2:$A$500,0)),"")</f>
        <v>20</v>
      </c>
      <c r="F33" s="69" t="n">
        <f aca="false">IFERROR($C33*$E33,"")</f>
        <v>20</v>
      </c>
    </row>
    <row r="34" customFormat="false" ht="15" hidden="false" customHeight="true" outlineLevel="0" collapsed="false">
      <c r="A34" s="66" t="s">
        <v>443</v>
      </c>
      <c r="B34" s="66" t="s">
        <v>270</v>
      </c>
      <c r="C34" s="66" t="n">
        <v>1</v>
      </c>
      <c r="D34" s="67" t="str">
        <f aca="false">IFERROR(INDEX(المكونات!$B$2:$B$500,MATCH($B34,المكونات!$A$2:$A$500,0)),"")</f>
        <v>قطعة</v>
      </c>
      <c r="E34" s="68" t="n">
        <f aca="false">IFERROR(INDEX(المكونات!$C$2:$C$500,MATCH($B34,المكونات!$A$2:$A$500,0)),"")</f>
        <v>4.5</v>
      </c>
      <c r="F34" s="69" t="n">
        <f aca="false">IFERROR($C34*$E34,"")</f>
        <v>4.5</v>
      </c>
    </row>
    <row r="35" customFormat="false" ht="15" hidden="false" customHeight="true" outlineLevel="0" collapsed="false">
      <c r="A35" s="66" t="s">
        <v>443</v>
      </c>
      <c r="B35" s="66" t="s">
        <v>290</v>
      </c>
      <c r="C35" s="66" t="n">
        <v>2</v>
      </c>
      <c r="D35" s="67" t="str">
        <f aca="false">IFERROR(INDEX(المكونات!$B$2:$B$500,MATCH($B35,المكونات!$A$2:$A$500,0)),"")</f>
        <v>قطعة</v>
      </c>
      <c r="E35" s="68" t="n">
        <f aca="false">IFERROR(INDEX(المكونات!$C$2:$C$500,MATCH($B35,المكونات!$A$2:$A$500,0)),"")</f>
        <v>0.3</v>
      </c>
      <c r="F35" s="69" t="n">
        <f aca="false">IFERROR($C35*$E35,"")</f>
        <v>0.6</v>
      </c>
    </row>
    <row r="36" customFormat="false" ht="15" hidden="false" customHeight="true" outlineLevel="0" collapsed="false">
      <c r="A36" s="66" t="s">
        <v>443</v>
      </c>
      <c r="B36" s="66" t="s">
        <v>319</v>
      </c>
      <c r="C36" s="66" t="n">
        <v>1</v>
      </c>
      <c r="D36" s="67" t="str">
        <f aca="false">IFERROR(INDEX(المكونات!$B$2:$B$500,MATCH($B36,المكونات!$A$2:$A$500,0)),"")</f>
        <v>قطعة (ورقة)</v>
      </c>
      <c r="E36" s="68" t="n">
        <f aca="false">IFERROR(INDEX(المكونات!$C$2:$C$500,MATCH($B36,المكونات!$A$2:$A$500,0)),"")</f>
        <v>0.3665</v>
      </c>
      <c r="F36" s="69" t="n">
        <f aca="false">IFERROR($C36*$E36,"")</f>
        <v>0.3665</v>
      </c>
    </row>
    <row r="37" customFormat="false" ht="15" hidden="false" customHeight="true" outlineLevel="0" collapsed="false">
      <c r="A37" s="66" t="s">
        <v>443</v>
      </c>
      <c r="B37" s="66" t="s">
        <v>133</v>
      </c>
      <c r="C37" s="66" t="n">
        <v>1</v>
      </c>
      <c r="D37" s="67" t="str">
        <f aca="false">IFERROR(INDEX(المكونات!$B$2:$B$500,MATCH($B37,المكونات!$A$2:$A$500,0)),"")</f>
        <v>قطعة (كيس)</v>
      </c>
      <c r="E37" s="68" t="n">
        <f aca="false">IFERROR(INDEX(المكونات!$C$2:$C$500,MATCH($B37,المكونات!$A$2:$A$500,0)),"")</f>
        <v>1.4</v>
      </c>
      <c r="F37" s="69" t="n">
        <f aca="false">IFERROR($C37*$E37,"")</f>
        <v>1.4</v>
      </c>
    </row>
    <row r="38" customFormat="false" ht="15" hidden="false" customHeight="true" outlineLevel="0" collapsed="false">
      <c r="A38" s="66" t="s">
        <v>443</v>
      </c>
      <c r="B38" s="66" t="s">
        <v>293</v>
      </c>
      <c r="C38" s="66" t="n">
        <v>1</v>
      </c>
      <c r="D38" s="67" t="str">
        <f aca="false">IFERROR(INDEX(المكونات!$B$2:$B$500,MATCH($B38,المكونات!$A$2:$A$500,0)),"")</f>
        <v>قطعة</v>
      </c>
      <c r="E38" s="68" t="n">
        <f aca="false">IFERROR(INDEX(المكونات!$C$2:$C$500,MATCH($B38,المكونات!$A$2:$A$500,0)),"")</f>
        <v>0.5</v>
      </c>
      <c r="F38" s="69" t="n">
        <f aca="false">IFERROR($C38*$E38,"")</f>
        <v>0.5</v>
      </c>
    </row>
    <row r="39" customFormat="false" ht="15" hidden="false" customHeight="true" outlineLevel="0" collapsed="false">
      <c r="A39" s="66" t="s">
        <v>443</v>
      </c>
      <c r="B39" s="66" t="s">
        <v>211</v>
      </c>
      <c r="C39" s="66" t="n">
        <v>2</v>
      </c>
      <c r="D39" s="67" t="str">
        <f aca="false">IFERROR(INDEX(المكونات!$B$2:$B$500,MATCH($B39,المكونات!$A$2:$A$500,0)),"")</f>
        <v>قطعة (جلفز)</v>
      </c>
      <c r="E39" s="68" t="n">
        <f aca="false">IFERROR(INDEX(المكونات!$C$2:$C$500,MATCH($B39,المكونات!$A$2:$A$500,0)),"")</f>
        <v>0.18</v>
      </c>
      <c r="F39" s="69" t="n">
        <f aca="false">IFERROR($C39*$E39,"")</f>
        <v>0.36</v>
      </c>
    </row>
    <row r="40" customFormat="false" ht="15" hidden="false" customHeight="true" outlineLevel="0" collapsed="false">
      <c r="A40" s="66" t="s">
        <v>443</v>
      </c>
      <c r="B40" s="66" t="s">
        <v>322</v>
      </c>
      <c r="C40" s="66" t="n">
        <v>1</v>
      </c>
      <c r="D40" s="67" t="str">
        <f aca="false">IFERROR(INDEX(المكونات!$B$2:$B$500,MATCH($B40,المكونات!$A$2:$A$500,0)),"")</f>
        <v>قطعة (كيس)</v>
      </c>
      <c r="E40" s="68" t="n">
        <f aca="false">IFERROR(INDEX(المكونات!$C$2:$C$500,MATCH($B40,المكونات!$A$2:$A$500,0)),"")</f>
        <v>1</v>
      </c>
      <c r="F40" s="69" t="n">
        <f aca="false">IFERROR($C40*$E40,"")</f>
        <v>1</v>
      </c>
    </row>
    <row r="41" customFormat="false" ht="15" hidden="false" customHeight="true" outlineLevel="0" collapsed="false">
      <c r="A41" s="66" t="s">
        <v>443</v>
      </c>
      <c r="B41" s="66" t="s">
        <v>142</v>
      </c>
      <c r="C41" s="66" t="n">
        <v>1</v>
      </c>
      <c r="D41" s="67" t="str">
        <f aca="false">IFERROR(INDEX(المكونات!$B$2:$B$500,MATCH($B41,المكونات!$A$2:$A$500,0)),"")</f>
        <v>قطعة</v>
      </c>
      <c r="E41" s="68" t="n">
        <f aca="false">IFERROR(INDEX(المكونات!$C$2:$C$500,MATCH($B41,المكونات!$A$2:$A$500,0)),"")</f>
        <v>35</v>
      </c>
      <c r="F41" s="69" t="n">
        <f aca="false">IFERROR($C41*$E41,"")</f>
        <v>35</v>
      </c>
    </row>
    <row r="42" customFormat="false" ht="15" hidden="false" customHeight="true" outlineLevel="0" collapsed="false">
      <c r="A42" s="66" t="s">
        <v>462</v>
      </c>
      <c r="B42" s="66" t="s">
        <v>262</v>
      </c>
      <c r="C42" s="66" t="n">
        <v>0.3</v>
      </c>
      <c r="D42" s="67" t="str">
        <f aca="false">IFERROR(INDEX(المكونات!$B$2:$B$500,MATCH($B42,المكونات!$A$2:$A$500,0)),"")</f>
        <v>كجم</v>
      </c>
      <c r="E42" s="68" t="n">
        <f aca="false">IFERROR(INDEX(المكونات!$C$2:$C$500,MATCH($B42,المكونات!$A$2:$A$500,0)),"")</f>
        <v>22</v>
      </c>
      <c r="F42" s="69" t="n">
        <f aca="false">IFERROR($C42*$E42,"")</f>
        <v>6.6</v>
      </c>
    </row>
    <row r="43" customFormat="false" ht="15" hidden="false" customHeight="true" outlineLevel="0" collapsed="false">
      <c r="A43" s="66" t="s">
        <v>462</v>
      </c>
      <c r="B43" s="66" t="s">
        <v>250</v>
      </c>
      <c r="C43" s="66" t="n">
        <v>0.06</v>
      </c>
      <c r="D43" s="67" t="str">
        <f aca="false">IFERROR(INDEX(المكونات!$B$2:$B$500,MATCH($B43,المكونات!$A$2:$A$500,0)),"")</f>
        <v>كجم</v>
      </c>
      <c r="E43" s="68" t="n">
        <f aca="false">IFERROR(INDEX(المكونات!$C$2:$C$500,MATCH($B43,المكونات!$A$2:$A$500,0)),"")</f>
        <v>32</v>
      </c>
      <c r="F43" s="69" t="n">
        <f aca="false">IFERROR($C43*$E43,"")</f>
        <v>1.92</v>
      </c>
    </row>
    <row r="44" customFormat="false" ht="15" hidden="false" customHeight="true" outlineLevel="0" collapsed="false">
      <c r="A44" s="66" t="s">
        <v>462</v>
      </c>
      <c r="B44" s="66" t="s">
        <v>260</v>
      </c>
      <c r="C44" s="66" t="n">
        <v>0.045</v>
      </c>
      <c r="D44" s="67" t="str">
        <f aca="false">IFERROR(INDEX(المكونات!$B$2:$B$500,MATCH($B44,المكونات!$A$2:$A$500,0)),"")</f>
        <v>كجم</v>
      </c>
      <c r="E44" s="68" t="n">
        <f aca="false">IFERROR(INDEX(المكونات!$C$2:$C$500,MATCH($B44,المكونات!$A$2:$A$500,0)),"")</f>
        <v>21</v>
      </c>
      <c r="F44" s="69" t="n">
        <f aca="false">IFERROR($C44*$E44,"")</f>
        <v>0.945</v>
      </c>
    </row>
    <row r="45" customFormat="false" ht="15" hidden="false" customHeight="true" outlineLevel="0" collapsed="false">
      <c r="A45" s="66" t="s">
        <v>462</v>
      </c>
      <c r="B45" s="66" t="s">
        <v>284</v>
      </c>
      <c r="C45" s="66" t="n">
        <v>0.03</v>
      </c>
      <c r="D45" s="67" t="str">
        <f aca="false">IFERROR(INDEX(المكونات!$B$2:$B$500,MATCH($B45,المكونات!$A$2:$A$500,0)),"")</f>
        <v>كجم</v>
      </c>
      <c r="E45" s="68" t="n">
        <f aca="false">IFERROR(INDEX(المكونات!$C$2:$C$500,MATCH($B45,المكونات!$A$2:$A$500,0)),"")</f>
        <v>27</v>
      </c>
      <c r="F45" s="69" t="n">
        <f aca="false">IFERROR($C45*$E45,"")</f>
        <v>0.81</v>
      </c>
    </row>
    <row r="46" customFormat="false" ht="15" hidden="false" customHeight="true" outlineLevel="0" collapsed="false">
      <c r="A46" s="66" t="s">
        <v>462</v>
      </c>
      <c r="B46" s="66" t="s">
        <v>227</v>
      </c>
      <c r="C46" s="66" t="n">
        <v>0.03</v>
      </c>
      <c r="D46" s="67" t="str">
        <f aca="false">IFERROR(INDEX(المكونات!$B$2:$B$500,MATCH($B46,المكونات!$A$2:$A$500,0)),"")</f>
        <v>كجم</v>
      </c>
      <c r="E46" s="68" t="n">
        <f aca="false">IFERROR(INDEX(المكونات!$C$2:$C$500,MATCH($B46,المكونات!$A$2:$A$500,0)),"")</f>
        <v>95</v>
      </c>
      <c r="F46" s="69" t="n">
        <f aca="false">IFERROR($C46*$E46,"")</f>
        <v>2.85</v>
      </c>
    </row>
    <row r="47" customFormat="false" ht="15" hidden="false" customHeight="true" outlineLevel="0" collapsed="false">
      <c r="A47" s="66" t="s">
        <v>462</v>
      </c>
      <c r="B47" s="66" t="s">
        <v>174</v>
      </c>
      <c r="C47" s="66" t="n">
        <v>1</v>
      </c>
      <c r="D47" s="67" t="str">
        <f aca="false">IFERROR(INDEX(المكونات!$B$2:$B$500,MATCH($B47,المكونات!$A$2:$A$500,0)),"")</f>
        <v>قطعة</v>
      </c>
      <c r="E47" s="68" t="n">
        <f aca="false">IFERROR(INDEX(المكونات!$C$2:$C$500,MATCH($B47,المكونات!$A$2:$A$500,0)),"")</f>
        <v>27.1395</v>
      </c>
      <c r="F47" s="69" t="n">
        <f aca="false">IFERROR($C47*$E47,"")</f>
        <v>27.1395</v>
      </c>
    </row>
    <row r="48" customFormat="false" ht="15" hidden="false" customHeight="true" outlineLevel="0" collapsed="false">
      <c r="A48" s="66" t="s">
        <v>462</v>
      </c>
      <c r="B48" s="66" t="s">
        <v>268</v>
      </c>
      <c r="C48" s="66" t="n">
        <v>1</v>
      </c>
      <c r="D48" s="67" t="str">
        <f aca="false">IFERROR(INDEX(المكونات!$B$2:$B$500,MATCH($B48,المكونات!$A$2:$A$500,0)),"")</f>
        <v>قطعة</v>
      </c>
      <c r="E48" s="68" t="n">
        <f aca="false">IFERROR(INDEX(المكونات!$C$2:$C$500,MATCH($B48,المكونات!$A$2:$A$500,0)),"")</f>
        <v>5.5</v>
      </c>
      <c r="F48" s="69" t="n">
        <f aca="false">IFERROR($C48*$E48,"")</f>
        <v>5.5</v>
      </c>
    </row>
    <row r="49" customFormat="false" ht="15" hidden="false" customHeight="true" outlineLevel="0" collapsed="false">
      <c r="A49" s="66" t="s">
        <v>462</v>
      </c>
      <c r="B49" s="66" t="s">
        <v>290</v>
      </c>
      <c r="C49" s="66" t="n">
        <v>3</v>
      </c>
      <c r="D49" s="67" t="str">
        <f aca="false">IFERROR(INDEX(المكونات!$B$2:$B$500,MATCH($B49,المكونات!$A$2:$A$500,0)),"")</f>
        <v>قطعة</v>
      </c>
      <c r="E49" s="68" t="n">
        <f aca="false">IFERROR(INDEX(المكونات!$C$2:$C$500,MATCH($B49,المكونات!$A$2:$A$500,0)),"")</f>
        <v>0.3</v>
      </c>
      <c r="F49" s="69" t="n">
        <f aca="false">IFERROR($C49*$E49,"")</f>
        <v>0.9</v>
      </c>
    </row>
    <row r="50" customFormat="false" ht="15" hidden="false" customHeight="true" outlineLevel="0" collapsed="false">
      <c r="A50" s="66" t="s">
        <v>462</v>
      </c>
      <c r="B50" s="66" t="s">
        <v>319</v>
      </c>
      <c r="C50" s="66" t="n">
        <v>1</v>
      </c>
      <c r="D50" s="67" t="str">
        <f aca="false">IFERROR(INDEX(المكونات!$B$2:$B$500,MATCH($B50,المكونات!$A$2:$A$500,0)),"")</f>
        <v>قطعة (ورقة)</v>
      </c>
      <c r="E50" s="68" t="n">
        <f aca="false">IFERROR(INDEX(المكونات!$C$2:$C$500,MATCH($B50,المكونات!$A$2:$A$500,0)),"")</f>
        <v>0.3665</v>
      </c>
      <c r="F50" s="69" t="n">
        <f aca="false">IFERROR($C50*$E50,"")</f>
        <v>0.3665</v>
      </c>
    </row>
    <row r="51" customFormat="false" ht="15" hidden="false" customHeight="true" outlineLevel="0" collapsed="false">
      <c r="A51" s="66" t="s">
        <v>462</v>
      </c>
      <c r="B51" s="66" t="s">
        <v>133</v>
      </c>
      <c r="C51" s="66" t="n">
        <v>1</v>
      </c>
      <c r="D51" s="67" t="str">
        <f aca="false">IFERROR(INDEX(المكونات!$B$2:$B$500,MATCH($B51,المكونات!$A$2:$A$500,0)),"")</f>
        <v>قطعة (كيس)</v>
      </c>
      <c r="E51" s="68" t="n">
        <f aca="false">IFERROR(INDEX(المكونات!$C$2:$C$500,MATCH($B51,المكونات!$A$2:$A$500,0)),"")</f>
        <v>1.4</v>
      </c>
      <c r="F51" s="69" t="n">
        <f aca="false">IFERROR($C51*$E51,"")</f>
        <v>1.4</v>
      </c>
    </row>
    <row r="52" customFormat="false" ht="15" hidden="false" customHeight="true" outlineLevel="0" collapsed="false">
      <c r="A52" s="66" t="s">
        <v>462</v>
      </c>
      <c r="B52" s="66" t="s">
        <v>293</v>
      </c>
      <c r="C52" s="66" t="n">
        <v>1</v>
      </c>
      <c r="D52" s="67" t="str">
        <f aca="false">IFERROR(INDEX(المكونات!$B$2:$B$500,MATCH($B52,المكونات!$A$2:$A$500,0)),"")</f>
        <v>قطعة</v>
      </c>
      <c r="E52" s="68" t="n">
        <f aca="false">IFERROR(INDEX(المكونات!$C$2:$C$500,MATCH($B52,المكونات!$A$2:$A$500,0)),"")</f>
        <v>0.5</v>
      </c>
      <c r="F52" s="69" t="n">
        <f aca="false">IFERROR($C52*$E52,"")</f>
        <v>0.5</v>
      </c>
    </row>
    <row r="53" customFormat="false" ht="15" hidden="false" customHeight="true" outlineLevel="0" collapsed="false">
      <c r="A53" s="66" t="s">
        <v>462</v>
      </c>
      <c r="B53" s="66" t="s">
        <v>211</v>
      </c>
      <c r="C53" s="66" t="n">
        <v>2</v>
      </c>
      <c r="D53" s="67" t="str">
        <f aca="false">IFERROR(INDEX(المكونات!$B$2:$B$500,MATCH($B53,المكونات!$A$2:$A$500,0)),"")</f>
        <v>قطعة (جلفز)</v>
      </c>
      <c r="E53" s="68" t="n">
        <f aca="false">IFERROR(INDEX(المكونات!$C$2:$C$500,MATCH($B53,المكونات!$A$2:$A$500,0)),"")</f>
        <v>0.18</v>
      </c>
      <c r="F53" s="69" t="n">
        <f aca="false">IFERROR($C53*$E53,"")</f>
        <v>0.36</v>
      </c>
    </row>
    <row r="54" customFormat="false" ht="15" hidden="false" customHeight="true" outlineLevel="0" collapsed="false">
      <c r="A54" s="66" t="s">
        <v>462</v>
      </c>
      <c r="B54" s="66" t="s">
        <v>322</v>
      </c>
      <c r="C54" s="66" t="n">
        <v>1</v>
      </c>
      <c r="D54" s="67" t="str">
        <f aca="false">IFERROR(INDEX(المكونات!$B$2:$B$500,MATCH($B54,المكونات!$A$2:$A$500,0)),"")</f>
        <v>قطعة (كيس)</v>
      </c>
      <c r="E54" s="68" t="n">
        <f aca="false">IFERROR(INDEX(المكونات!$C$2:$C$500,MATCH($B54,المكونات!$A$2:$A$500,0)),"")</f>
        <v>1</v>
      </c>
      <c r="F54" s="69" t="n">
        <f aca="false">IFERROR($C54*$E54,"")</f>
        <v>1</v>
      </c>
    </row>
    <row r="55" customFormat="false" ht="15" hidden="false" customHeight="true" outlineLevel="0" collapsed="false">
      <c r="A55" s="66" t="s">
        <v>462</v>
      </c>
      <c r="B55" s="66" t="s">
        <v>144</v>
      </c>
      <c r="C55" s="66" t="n">
        <v>1</v>
      </c>
      <c r="D55" s="67" t="str">
        <f aca="false">IFERROR(INDEX(المكونات!$B$2:$B$500,MATCH($B55,المكونات!$A$2:$A$500,0)),"")</f>
        <v>قطعة</v>
      </c>
      <c r="E55" s="68" t="n">
        <f aca="false">IFERROR(INDEX(المكونات!$C$2:$C$500,MATCH($B55,المكونات!$A$2:$A$500,0)),"")</f>
        <v>46.6667</v>
      </c>
      <c r="F55" s="69" t="n">
        <f aca="false">IFERROR($C55*$E55,"")</f>
        <v>46.6667</v>
      </c>
    </row>
    <row r="56" customFormat="false" ht="15" hidden="false" customHeight="true" outlineLevel="0" collapsed="false">
      <c r="A56" s="66" t="s">
        <v>494</v>
      </c>
      <c r="B56" s="66" t="s">
        <v>262</v>
      </c>
      <c r="C56" s="66" t="n">
        <v>0.22</v>
      </c>
      <c r="D56" s="67" t="str">
        <f aca="false">IFERROR(INDEX(المكونات!$B$2:$B$500,MATCH($B56,المكونات!$A$2:$A$500,0)),"")</f>
        <v>كجم</v>
      </c>
      <c r="E56" s="68" t="n">
        <f aca="false">IFERROR(INDEX(المكونات!$C$2:$C$500,MATCH($B56,المكونات!$A$2:$A$500,0)),"")</f>
        <v>22</v>
      </c>
      <c r="F56" s="69" t="n">
        <f aca="false">IFERROR($C56*$E56,"")</f>
        <v>4.84</v>
      </c>
    </row>
    <row r="57" customFormat="false" ht="15" hidden="false" customHeight="true" outlineLevel="0" collapsed="false">
      <c r="A57" s="66" t="s">
        <v>494</v>
      </c>
      <c r="B57" s="66" t="s">
        <v>250</v>
      </c>
      <c r="C57" s="66" t="n">
        <v>0.04</v>
      </c>
      <c r="D57" s="67" t="str">
        <f aca="false">IFERROR(INDEX(المكونات!$B$2:$B$500,MATCH($B57,المكونات!$A$2:$A$500,0)),"")</f>
        <v>كجم</v>
      </c>
      <c r="E57" s="68" t="n">
        <f aca="false">IFERROR(INDEX(المكونات!$C$2:$C$500,MATCH($B57,المكونات!$A$2:$A$500,0)),"")</f>
        <v>32</v>
      </c>
      <c r="F57" s="69" t="n">
        <f aca="false">IFERROR($C57*$E57,"")</f>
        <v>1.28</v>
      </c>
    </row>
    <row r="58" customFormat="false" ht="15" hidden="false" customHeight="true" outlineLevel="0" collapsed="false">
      <c r="A58" s="66" t="s">
        <v>494</v>
      </c>
      <c r="B58" s="66" t="s">
        <v>260</v>
      </c>
      <c r="C58" s="66" t="n">
        <v>0.03</v>
      </c>
      <c r="D58" s="67" t="str">
        <f aca="false">IFERROR(INDEX(المكونات!$B$2:$B$500,MATCH($B58,المكونات!$A$2:$A$500,0)),"")</f>
        <v>كجم</v>
      </c>
      <c r="E58" s="68" t="n">
        <f aca="false">IFERROR(INDEX(المكونات!$C$2:$C$500,MATCH($B58,المكونات!$A$2:$A$500,0)),"")</f>
        <v>21</v>
      </c>
      <c r="F58" s="69" t="n">
        <f aca="false">IFERROR($C58*$E58,"")</f>
        <v>0.63</v>
      </c>
    </row>
    <row r="59" customFormat="false" ht="15" hidden="false" customHeight="true" outlineLevel="0" collapsed="false">
      <c r="A59" s="66" t="s">
        <v>494</v>
      </c>
      <c r="B59" s="66" t="s">
        <v>284</v>
      </c>
      <c r="C59" s="66" t="n">
        <v>0.02</v>
      </c>
      <c r="D59" s="67" t="str">
        <f aca="false">IFERROR(INDEX(المكونات!$B$2:$B$500,MATCH($B59,المكونات!$A$2:$A$500,0)),"")</f>
        <v>كجم</v>
      </c>
      <c r="E59" s="68" t="n">
        <f aca="false">IFERROR(INDEX(المكونات!$C$2:$C$500,MATCH($B59,المكونات!$A$2:$A$500,0)),"")</f>
        <v>27</v>
      </c>
      <c r="F59" s="69" t="n">
        <f aca="false">IFERROR($C59*$E59,"")</f>
        <v>0.54</v>
      </c>
    </row>
    <row r="60" customFormat="false" ht="15" hidden="false" customHeight="true" outlineLevel="0" collapsed="false">
      <c r="A60" s="66" t="s">
        <v>494</v>
      </c>
      <c r="B60" s="66" t="s">
        <v>227</v>
      </c>
      <c r="C60" s="66" t="n">
        <v>0.02</v>
      </c>
      <c r="D60" s="67" t="str">
        <f aca="false">IFERROR(INDEX(المكونات!$B$2:$B$500,MATCH($B60,المكونات!$A$2:$A$500,0)),"")</f>
        <v>كجم</v>
      </c>
      <c r="E60" s="68" t="n">
        <f aca="false">IFERROR(INDEX(المكونات!$C$2:$C$500,MATCH($B60,المكونات!$A$2:$A$500,0)),"")</f>
        <v>95</v>
      </c>
      <c r="F60" s="69" t="n">
        <f aca="false">IFERROR($C60*$E60,"")</f>
        <v>1.9</v>
      </c>
    </row>
    <row r="61" customFormat="false" ht="15" hidden="false" customHeight="true" outlineLevel="0" collapsed="false">
      <c r="A61" s="66" t="s">
        <v>494</v>
      </c>
      <c r="B61" s="66" t="s">
        <v>172</v>
      </c>
      <c r="C61" s="66" t="n">
        <v>1</v>
      </c>
      <c r="D61" s="67" t="str">
        <f aca="false">IFERROR(INDEX(المكونات!$B$2:$B$500,MATCH($B61,المكونات!$A$2:$A$500,0)),"")</f>
        <v>قطعة</v>
      </c>
      <c r="E61" s="68" t="n">
        <f aca="false">IFERROR(INDEX(المكونات!$C$2:$C$500,MATCH($B61,المكونات!$A$2:$A$500,0)),"")</f>
        <v>20</v>
      </c>
      <c r="F61" s="69" t="n">
        <f aca="false">IFERROR($C61*$E61,"")</f>
        <v>20</v>
      </c>
    </row>
    <row r="62" customFormat="false" ht="15" hidden="false" customHeight="true" outlineLevel="0" collapsed="false">
      <c r="A62" s="66" t="s">
        <v>494</v>
      </c>
      <c r="B62" s="66" t="s">
        <v>270</v>
      </c>
      <c r="C62" s="66" t="n">
        <v>1</v>
      </c>
      <c r="D62" s="67" t="str">
        <f aca="false">IFERROR(INDEX(المكونات!$B$2:$B$500,MATCH($B62,المكونات!$A$2:$A$500,0)),"")</f>
        <v>قطعة</v>
      </c>
      <c r="E62" s="68" t="n">
        <f aca="false">IFERROR(INDEX(المكونات!$C$2:$C$500,MATCH($B62,المكونات!$A$2:$A$500,0)),"")</f>
        <v>4.5</v>
      </c>
      <c r="F62" s="69" t="n">
        <f aca="false">IFERROR($C62*$E62,"")</f>
        <v>4.5</v>
      </c>
    </row>
    <row r="63" customFormat="false" ht="15" hidden="false" customHeight="true" outlineLevel="0" collapsed="false">
      <c r="A63" s="66" t="s">
        <v>494</v>
      </c>
      <c r="B63" s="66" t="s">
        <v>290</v>
      </c>
      <c r="C63" s="66" t="n">
        <v>2</v>
      </c>
      <c r="D63" s="67" t="str">
        <f aca="false">IFERROR(INDEX(المكونات!$B$2:$B$500,MATCH($B63,المكونات!$A$2:$A$500,0)),"")</f>
        <v>قطعة</v>
      </c>
      <c r="E63" s="68" t="n">
        <f aca="false">IFERROR(INDEX(المكونات!$C$2:$C$500,MATCH($B63,المكونات!$A$2:$A$500,0)),"")</f>
        <v>0.3</v>
      </c>
      <c r="F63" s="69" t="n">
        <f aca="false">IFERROR($C63*$E63,"")</f>
        <v>0.6</v>
      </c>
    </row>
    <row r="64" customFormat="false" ht="15" hidden="false" customHeight="true" outlineLevel="0" collapsed="false">
      <c r="A64" s="66" t="s">
        <v>494</v>
      </c>
      <c r="B64" s="66" t="s">
        <v>319</v>
      </c>
      <c r="C64" s="66" t="n">
        <v>1</v>
      </c>
      <c r="D64" s="67" t="str">
        <f aca="false">IFERROR(INDEX(المكونات!$B$2:$B$500,MATCH($B64,المكونات!$A$2:$A$500,0)),"")</f>
        <v>قطعة (ورقة)</v>
      </c>
      <c r="E64" s="68" t="n">
        <f aca="false">IFERROR(INDEX(المكونات!$C$2:$C$500,MATCH($B64,المكونات!$A$2:$A$500,0)),"")</f>
        <v>0.3665</v>
      </c>
      <c r="F64" s="69" t="n">
        <f aca="false">IFERROR($C64*$E64,"")</f>
        <v>0.3665</v>
      </c>
    </row>
    <row r="65" customFormat="false" ht="15" hidden="false" customHeight="true" outlineLevel="0" collapsed="false">
      <c r="A65" s="66" t="s">
        <v>494</v>
      </c>
      <c r="B65" s="66" t="s">
        <v>133</v>
      </c>
      <c r="C65" s="66" t="n">
        <v>1</v>
      </c>
      <c r="D65" s="67" t="str">
        <f aca="false">IFERROR(INDEX(المكونات!$B$2:$B$500,MATCH($B65,المكونات!$A$2:$A$500,0)),"")</f>
        <v>قطعة (كيس)</v>
      </c>
      <c r="E65" s="68" t="n">
        <f aca="false">IFERROR(INDEX(المكونات!$C$2:$C$500,MATCH($B65,المكونات!$A$2:$A$500,0)),"")</f>
        <v>1.4</v>
      </c>
      <c r="F65" s="69" t="n">
        <f aca="false">IFERROR($C65*$E65,"")</f>
        <v>1.4</v>
      </c>
    </row>
    <row r="66" customFormat="false" ht="15" hidden="false" customHeight="true" outlineLevel="0" collapsed="false">
      <c r="A66" s="66" t="s">
        <v>494</v>
      </c>
      <c r="B66" s="66" t="s">
        <v>293</v>
      </c>
      <c r="C66" s="66" t="n">
        <v>1</v>
      </c>
      <c r="D66" s="67" t="str">
        <f aca="false">IFERROR(INDEX(المكونات!$B$2:$B$500,MATCH($B66,المكونات!$A$2:$A$500,0)),"")</f>
        <v>قطعة</v>
      </c>
      <c r="E66" s="68" t="n">
        <f aca="false">IFERROR(INDEX(المكونات!$C$2:$C$500,MATCH($B66,المكونات!$A$2:$A$500,0)),"")</f>
        <v>0.5</v>
      </c>
      <c r="F66" s="69" t="n">
        <f aca="false">IFERROR($C66*$E66,"")</f>
        <v>0.5</v>
      </c>
    </row>
    <row r="67" customFormat="false" ht="15" hidden="false" customHeight="true" outlineLevel="0" collapsed="false">
      <c r="A67" s="66" t="s">
        <v>494</v>
      </c>
      <c r="B67" s="66" t="s">
        <v>211</v>
      </c>
      <c r="C67" s="66" t="n">
        <v>2</v>
      </c>
      <c r="D67" s="67" t="str">
        <f aca="false">IFERROR(INDEX(المكونات!$B$2:$B$500,MATCH($B67,المكونات!$A$2:$A$500,0)),"")</f>
        <v>قطعة (جلفز)</v>
      </c>
      <c r="E67" s="68" t="n">
        <f aca="false">IFERROR(INDEX(المكونات!$C$2:$C$500,MATCH($B67,المكونات!$A$2:$A$500,0)),"")</f>
        <v>0.18</v>
      </c>
      <c r="F67" s="69" t="n">
        <f aca="false">IFERROR($C67*$E67,"")</f>
        <v>0.36</v>
      </c>
    </row>
    <row r="68" customFormat="false" ht="15" hidden="false" customHeight="true" outlineLevel="0" collapsed="false">
      <c r="A68" s="66" t="s">
        <v>494</v>
      </c>
      <c r="B68" s="66" t="s">
        <v>322</v>
      </c>
      <c r="C68" s="66" t="n">
        <v>1</v>
      </c>
      <c r="D68" s="67" t="str">
        <f aca="false">IFERROR(INDEX(المكونات!$B$2:$B$500,MATCH($B68,المكونات!$A$2:$A$500,0)),"")</f>
        <v>قطعة (كيس)</v>
      </c>
      <c r="E68" s="68" t="n">
        <f aca="false">IFERROR(INDEX(المكونات!$C$2:$C$500,MATCH($B68,المكونات!$A$2:$A$500,0)),"")</f>
        <v>1</v>
      </c>
      <c r="F68" s="69" t="n">
        <f aca="false">IFERROR($C68*$E68,"")</f>
        <v>1</v>
      </c>
    </row>
    <row r="69" customFormat="false" ht="15" hidden="false" customHeight="true" outlineLevel="0" collapsed="false">
      <c r="A69" s="66" t="s">
        <v>494</v>
      </c>
      <c r="B69" s="66" t="s">
        <v>152</v>
      </c>
      <c r="C69" s="66" t="n">
        <v>1</v>
      </c>
      <c r="D69" s="67" t="str">
        <f aca="false">IFERROR(INDEX(المكونات!$B$2:$B$500,MATCH($B69,المكونات!$A$2:$A$500,0)),"")</f>
        <v>قطعة</v>
      </c>
      <c r="E69" s="68" t="n">
        <f aca="false">IFERROR(INDEX(المكونات!$C$2:$C$500,MATCH($B69,المكونات!$A$2:$A$500,0)),"")</f>
        <v>34</v>
      </c>
      <c r="F69" s="69" t="n">
        <f aca="false">IFERROR($C69*$E69,"")</f>
        <v>34</v>
      </c>
    </row>
    <row r="70" customFormat="false" ht="15" hidden="false" customHeight="true" outlineLevel="0" collapsed="false">
      <c r="A70" s="66" t="s">
        <v>426</v>
      </c>
      <c r="B70" s="66" t="s">
        <v>262</v>
      </c>
      <c r="C70" s="66" t="n">
        <v>0.3</v>
      </c>
      <c r="D70" s="67" t="str">
        <f aca="false">IFERROR(INDEX(المكونات!$B$2:$B$500,MATCH($B70,المكونات!$A$2:$A$500,0)),"")</f>
        <v>كجم</v>
      </c>
      <c r="E70" s="68" t="n">
        <f aca="false">IFERROR(INDEX(المكونات!$C$2:$C$500,MATCH($B70,المكونات!$A$2:$A$500,0)),"")</f>
        <v>22</v>
      </c>
      <c r="F70" s="69" t="n">
        <f aca="false">IFERROR($C70*$E70,"")</f>
        <v>6.6</v>
      </c>
    </row>
    <row r="71" customFormat="false" ht="15" hidden="false" customHeight="true" outlineLevel="0" collapsed="false">
      <c r="A71" s="66" t="s">
        <v>426</v>
      </c>
      <c r="B71" s="66" t="s">
        <v>250</v>
      </c>
      <c r="C71" s="66" t="n">
        <v>0.06</v>
      </c>
      <c r="D71" s="67" t="str">
        <f aca="false">IFERROR(INDEX(المكونات!$B$2:$B$500,MATCH($B71,المكونات!$A$2:$A$500,0)),"")</f>
        <v>كجم</v>
      </c>
      <c r="E71" s="68" t="n">
        <f aca="false">IFERROR(INDEX(المكونات!$C$2:$C$500,MATCH($B71,المكونات!$A$2:$A$500,0)),"")</f>
        <v>32</v>
      </c>
      <c r="F71" s="69" t="n">
        <f aca="false">IFERROR($C71*$E71,"")</f>
        <v>1.92</v>
      </c>
    </row>
    <row r="72" customFormat="false" ht="15" hidden="false" customHeight="true" outlineLevel="0" collapsed="false">
      <c r="A72" s="66" t="s">
        <v>426</v>
      </c>
      <c r="B72" s="66" t="s">
        <v>260</v>
      </c>
      <c r="C72" s="66" t="n">
        <v>0.045</v>
      </c>
      <c r="D72" s="67" t="str">
        <f aca="false">IFERROR(INDEX(المكونات!$B$2:$B$500,MATCH($B72,المكونات!$A$2:$A$500,0)),"")</f>
        <v>كجم</v>
      </c>
      <c r="E72" s="68" t="n">
        <f aca="false">IFERROR(INDEX(المكونات!$C$2:$C$500,MATCH($B72,المكونات!$A$2:$A$500,0)),"")</f>
        <v>21</v>
      </c>
      <c r="F72" s="69" t="n">
        <f aca="false">IFERROR($C72*$E72,"")</f>
        <v>0.945</v>
      </c>
    </row>
    <row r="73" customFormat="false" ht="15" hidden="false" customHeight="true" outlineLevel="0" collapsed="false">
      <c r="A73" s="66" t="s">
        <v>426</v>
      </c>
      <c r="B73" s="66" t="s">
        <v>284</v>
      </c>
      <c r="C73" s="66" t="n">
        <v>0.03</v>
      </c>
      <c r="D73" s="67" t="str">
        <f aca="false">IFERROR(INDEX(المكونات!$B$2:$B$500,MATCH($B73,المكونات!$A$2:$A$500,0)),"")</f>
        <v>كجم</v>
      </c>
      <c r="E73" s="68" t="n">
        <f aca="false">IFERROR(INDEX(المكونات!$C$2:$C$500,MATCH($B73,المكونات!$A$2:$A$500,0)),"")</f>
        <v>27</v>
      </c>
      <c r="F73" s="69" t="n">
        <f aca="false">IFERROR($C73*$E73,"")</f>
        <v>0.81</v>
      </c>
    </row>
    <row r="74" customFormat="false" ht="15" hidden="false" customHeight="true" outlineLevel="0" collapsed="false">
      <c r="A74" s="66" t="s">
        <v>426</v>
      </c>
      <c r="B74" s="66" t="s">
        <v>227</v>
      </c>
      <c r="C74" s="66" t="n">
        <v>0.03</v>
      </c>
      <c r="D74" s="67" t="str">
        <f aca="false">IFERROR(INDEX(المكونات!$B$2:$B$500,MATCH($B74,المكونات!$A$2:$A$500,0)),"")</f>
        <v>كجم</v>
      </c>
      <c r="E74" s="68" t="n">
        <f aca="false">IFERROR(INDEX(المكونات!$C$2:$C$500,MATCH($B74,المكونات!$A$2:$A$500,0)),"")</f>
        <v>95</v>
      </c>
      <c r="F74" s="69" t="n">
        <f aca="false">IFERROR($C74*$E74,"")</f>
        <v>2.85</v>
      </c>
    </row>
    <row r="75" customFormat="false" ht="15" hidden="false" customHeight="true" outlineLevel="0" collapsed="false">
      <c r="A75" s="66" t="s">
        <v>426</v>
      </c>
      <c r="B75" s="66" t="s">
        <v>174</v>
      </c>
      <c r="C75" s="66" t="n">
        <v>1</v>
      </c>
      <c r="D75" s="67" t="str">
        <f aca="false">IFERROR(INDEX(المكونات!$B$2:$B$500,MATCH($B75,المكونات!$A$2:$A$500,0)),"")</f>
        <v>قطعة</v>
      </c>
      <c r="E75" s="68" t="n">
        <f aca="false">IFERROR(INDEX(المكونات!$C$2:$C$500,MATCH($B75,المكونات!$A$2:$A$500,0)),"")</f>
        <v>27.1395</v>
      </c>
      <c r="F75" s="69" t="n">
        <f aca="false">IFERROR($C75*$E75,"")</f>
        <v>27.1395</v>
      </c>
    </row>
    <row r="76" customFormat="false" ht="15" hidden="false" customHeight="true" outlineLevel="0" collapsed="false">
      <c r="A76" s="66" t="s">
        <v>426</v>
      </c>
      <c r="B76" s="66" t="s">
        <v>268</v>
      </c>
      <c r="C76" s="66" t="n">
        <v>1</v>
      </c>
      <c r="D76" s="67" t="str">
        <f aca="false">IFERROR(INDEX(المكونات!$B$2:$B$500,MATCH($B76,المكونات!$A$2:$A$500,0)),"")</f>
        <v>قطعة</v>
      </c>
      <c r="E76" s="68" t="n">
        <f aca="false">IFERROR(INDEX(المكونات!$C$2:$C$500,MATCH($B76,المكونات!$A$2:$A$500,0)),"")</f>
        <v>5.5</v>
      </c>
      <c r="F76" s="69" t="n">
        <f aca="false">IFERROR($C76*$E76,"")</f>
        <v>5.5</v>
      </c>
    </row>
    <row r="77" customFormat="false" ht="15" hidden="false" customHeight="true" outlineLevel="0" collapsed="false">
      <c r="A77" s="66" t="s">
        <v>426</v>
      </c>
      <c r="B77" s="66" t="s">
        <v>290</v>
      </c>
      <c r="C77" s="66" t="n">
        <v>3</v>
      </c>
      <c r="D77" s="67" t="str">
        <f aca="false">IFERROR(INDEX(المكونات!$B$2:$B$500,MATCH($B77,المكونات!$A$2:$A$500,0)),"")</f>
        <v>قطعة</v>
      </c>
      <c r="E77" s="68" t="n">
        <f aca="false">IFERROR(INDEX(المكونات!$C$2:$C$500,MATCH($B77,المكونات!$A$2:$A$500,0)),"")</f>
        <v>0.3</v>
      </c>
      <c r="F77" s="69" t="n">
        <f aca="false">IFERROR($C77*$E77,"")</f>
        <v>0.9</v>
      </c>
    </row>
    <row r="78" customFormat="false" ht="15" hidden="false" customHeight="true" outlineLevel="0" collapsed="false">
      <c r="A78" s="66" t="s">
        <v>426</v>
      </c>
      <c r="B78" s="66" t="s">
        <v>319</v>
      </c>
      <c r="C78" s="66" t="n">
        <v>1</v>
      </c>
      <c r="D78" s="67" t="str">
        <f aca="false">IFERROR(INDEX(المكونات!$B$2:$B$500,MATCH($B78,المكونات!$A$2:$A$500,0)),"")</f>
        <v>قطعة (ورقة)</v>
      </c>
      <c r="E78" s="68" t="n">
        <f aca="false">IFERROR(INDEX(المكونات!$C$2:$C$500,MATCH($B78,المكونات!$A$2:$A$500,0)),"")</f>
        <v>0.3665</v>
      </c>
      <c r="F78" s="69" t="n">
        <f aca="false">IFERROR($C78*$E78,"")</f>
        <v>0.3665</v>
      </c>
    </row>
    <row r="79" customFormat="false" ht="15" hidden="false" customHeight="true" outlineLevel="0" collapsed="false">
      <c r="A79" s="66" t="s">
        <v>426</v>
      </c>
      <c r="B79" s="66" t="s">
        <v>133</v>
      </c>
      <c r="C79" s="66" t="n">
        <v>1</v>
      </c>
      <c r="D79" s="67" t="str">
        <f aca="false">IFERROR(INDEX(المكونات!$B$2:$B$500,MATCH($B79,المكونات!$A$2:$A$500,0)),"")</f>
        <v>قطعة (كيس)</v>
      </c>
      <c r="E79" s="68" t="n">
        <f aca="false">IFERROR(INDEX(المكونات!$C$2:$C$500,MATCH($B79,المكونات!$A$2:$A$500,0)),"")</f>
        <v>1.4</v>
      </c>
      <c r="F79" s="69" t="n">
        <f aca="false">IFERROR($C79*$E79,"")</f>
        <v>1.4</v>
      </c>
    </row>
    <row r="80" customFormat="false" ht="15" hidden="false" customHeight="true" outlineLevel="0" collapsed="false">
      <c r="A80" s="66" t="s">
        <v>426</v>
      </c>
      <c r="B80" s="66" t="s">
        <v>293</v>
      </c>
      <c r="C80" s="66" t="n">
        <v>1</v>
      </c>
      <c r="D80" s="67" t="str">
        <f aca="false">IFERROR(INDEX(المكونات!$B$2:$B$500,MATCH($B80,المكونات!$A$2:$A$500,0)),"")</f>
        <v>قطعة</v>
      </c>
      <c r="E80" s="68" t="n">
        <f aca="false">IFERROR(INDEX(المكونات!$C$2:$C$500,MATCH($B80,المكونات!$A$2:$A$500,0)),"")</f>
        <v>0.5</v>
      </c>
      <c r="F80" s="69" t="n">
        <f aca="false">IFERROR($C80*$E80,"")</f>
        <v>0.5</v>
      </c>
    </row>
    <row r="81" customFormat="false" ht="15" hidden="false" customHeight="true" outlineLevel="0" collapsed="false">
      <c r="A81" s="66" t="s">
        <v>426</v>
      </c>
      <c r="B81" s="66" t="s">
        <v>211</v>
      </c>
      <c r="C81" s="66" t="n">
        <v>2</v>
      </c>
      <c r="D81" s="67" t="str">
        <f aca="false">IFERROR(INDEX(المكونات!$B$2:$B$500,MATCH($B81,المكونات!$A$2:$A$500,0)),"")</f>
        <v>قطعة (جلفز)</v>
      </c>
      <c r="E81" s="68" t="n">
        <f aca="false">IFERROR(INDEX(المكونات!$C$2:$C$500,MATCH($B81,المكونات!$A$2:$A$500,0)),"")</f>
        <v>0.18</v>
      </c>
      <c r="F81" s="69" t="n">
        <f aca="false">IFERROR($C81*$E81,"")</f>
        <v>0.36</v>
      </c>
    </row>
    <row r="82" customFormat="false" ht="15" hidden="false" customHeight="true" outlineLevel="0" collapsed="false">
      <c r="A82" s="66" t="s">
        <v>426</v>
      </c>
      <c r="B82" s="66" t="s">
        <v>322</v>
      </c>
      <c r="C82" s="66" t="n">
        <v>1</v>
      </c>
      <c r="D82" s="67" t="str">
        <f aca="false">IFERROR(INDEX(المكونات!$B$2:$B$500,MATCH($B82,المكونات!$A$2:$A$500,0)),"")</f>
        <v>قطعة (كيس)</v>
      </c>
      <c r="E82" s="68" t="n">
        <f aca="false">IFERROR(INDEX(المكونات!$C$2:$C$500,MATCH($B82,المكونات!$A$2:$A$500,0)),"")</f>
        <v>1</v>
      </c>
      <c r="F82" s="69" t="n">
        <f aca="false">IFERROR($C82*$E82,"")</f>
        <v>1</v>
      </c>
    </row>
    <row r="83" customFormat="false" ht="15" hidden="false" customHeight="true" outlineLevel="0" collapsed="false">
      <c r="A83" s="66" t="s">
        <v>426</v>
      </c>
      <c r="B83" s="66" t="s">
        <v>154</v>
      </c>
      <c r="C83" s="66" t="n">
        <v>1</v>
      </c>
      <c r="D83" s="67" t="str">
        <f aca="false">IFERROR(INDEX(المكونات!$B$2:$B$500,MATCH($B83,المكونات!$A$2:$A$500,0)),"")</f>
        <v>قطعة</v>
      </c>
      <c r="E83" s="68" t="n">
        <f aca="false">IFERROR(INDEX(المكونات!$C$2:$C$500,MATCH($B83,المكونات!$A$2:$A$500,0)),"")</f>
        <v>45</v>
      </c>
      <c r="F83" s="69" t="n">
        <f aca="false">IFERROR($C83*$E83,"")</f>
        <v>45</v>
      </c>
    </row>
    <row r="84" customFormat="false" ht="15" hidden="false" customHeight="true" outlineLevel="0" collapsed="false">
      <c r="A84" s="66" t="s">
        <v>441</v>
      </c>
      <c r="B84" s="66" t="s">
        <v>262</v>
      </c>
      <c r="C84" s="66" t="n">
        <v>0.22</v>
      </c>
      <c r="D84" s="67" t="str">
        <f aca="false">IFERROR(INDEX(المكونات!$B$2:$B$500,MATCH($B84,المكونات!$A$2:$A$500,0)),"")</f>
        <v>كجم</v>
      </c>
      <c r="E84" s="68" t="n">
        <f aca="false">IFERROR(INDEX(المكونات!$C$2:$C$500,MATCH($B84,المكونات!$A$2:$A$500,0)),"")</f>
        <v>22</v>
      </c>
      <c r="F84" s="69" t="n">
        <f aca="false">IFERROR($C84*$E84,"")</f>
        <v>4.84</v>
      </c>
    </row>
    <row r="85" customFormat="false" ht="15" hidden="false" customHeight="true" outlineLevel="0" collapsed="false">
      <c r="A85" s="66" t="s">
        <v>441</v>
      </c>
      <c r="B85" s="66" t="s">
        <v>250</v>
      </c>
      <c r="C85" s="66" t="n">
        <v>0.04</v>
      </c>
      <c r="D85" s="67" t="str">
        <f aca="false">IFERROR(INDEX(المكونات!$B$2:$B$500,MATCH($B85,المكونات!$A$2:$A$500,0)),"")</f>
        <v>كجم</v>
      </c>
      <c r="E85" s="68" t="n">
        <f aca="false">IFERROR(INDEX(المكونات!$C$2:$C$500,MATCH($B85,المكونات!$A$2:$A$500,0)),"")</f>
        <v>32</v>
      </c>
      <c r="F85" s="69" t="n">
        <f aca="false">IFERROR($C85*$E85,"")</f>
        <v>1.28</v>
      </c>
    </row>
    <row r="86" customFormat="false" ht="15" hidden="false" customHeight="true" outlineLevel="0" collapsed="false">
      <c r="A86" s="66" t="s">
        <v>441</v>
      </c>
      <c r="B86" s="66" t="s">
        <v>260</v>
      </c>
      <c r="C86" s="66" t="n">
        <v>0.03</v>
      </c>
      <c r="D86" s="67" t="str">
        <f aca="false">IFERROR(INDEX(المكونات!$B$2:$B$500,MATCH($B86,المكونات!$A$2:$A$500,0)),"")</f>
        <v>كجم</v>
      </c>
      <c r="E86" s="68" t="n">
        <f aca="false">IFERROR(INDEX(المكونات!$C$2:$C$500,MATCH($B86,المكونات!$A$2:$A$500,0)),"")</f>
        <v>21</v>
      </c>
      <c r="F86" s="69" t="n">
        <f aca="false">IFERROR($C86*$E86,"")</f>
        <v>0.63</v>
      </c>
    </row>
    <row r="87" customFormat="false" ht="15" hidden="false" customHeight="true" outlineLevel="0" collapsed="false">
      <c r="A87" s="66" t="s">
        <v>441</v>
      </c>
      <c r="B87" s="66" t="s">
        <v>284</v>
      </c>
      <c r="C87" s="66" t="n">
        <v>0.02</v>
      </c>
      <c r="D87" s="67" t="str">
        <f aca="false">IFERROR(INDEX(المكونات!$B$2:$B$500,MATCH($B87,المكونات!$A$2:$A$500,0)),"")</f>
        <v>كجم</v>
      </c>
      <c r="E87" s="68" t="n">
        <f aca="false">IFERROR(INDEX(المكونات!$C$2:$C$500,MATCH($B87,المكونات!$A$2:$A$500,0)),"")</f>
        <v>27</v>
      </c>
      <c r="F87" s="69" t="n">
        <f aca="false">IFERROR($C87*$E87,"")</f>
        <v>0.54</v>
      </c>
    </row>
    <row r="88" customFormat="false" ht="15" hidden="false" customHeight="true" outlineLevel="0" collapsed="false">
      <c r="A88" s="66" t="s">
        <v>441</v>
      </c>
      <c r="B88" s="66" t="s">
        <v>227</v>
      </c>
      <c r="C88" s="66" t="n">
        <v>0.02</v>
      </c>
      <c r="D88" s="67" t="str">
        <f aca="false">IFERROR(INDEX(المكونات!$B$2:$B$500,MATCH($B88,المكونات!$A$2:$A$500,0)),"")</f>
        <v>كجم</v>
      </c>
      <c r="E88" s="68" t="n">
        <f aca="false">IFERROR(INDEX(المكونات!$C$2:$C$500,MATCH($B88,المكونات!$A$2:$A$500,0)),"")</f>
        <v>95</v>
      </c>
      <c r="F88" s="69" t="n">
        <f aca="false">IFERROR($C88*$E88,"")</f>
        <v>1.9</v>
      </c>
    </row>
    <row r="89" customFormat="false" ht="15" hidden="false" customHeight="true" outlineLevel="0" collapsed="false">
      <c r="A89" s="66" t="s">
        <v>441</v>
      </c>
      <c r="B89" s="66" t="s">
        <v>172</v>
      </c>
      <c r="C89" s="66" t="n">
        <v>1</v>
      </c>
      <c r="D89" s="67" t="str">
        <f aca="false">IFERROR(INDEX(المكونات!$B$2:$B$500,MATCH($B89,المكونات!$A$2:$A$500,0)),"")</f>
        <v>قطعة</v>
      </c>
      <c r="E89" s="68" t="n">
        <f aca="false">IFERROR(INDEX(المكونات!$C$2:$C$500,MATCH($B89,المكونات!$A$2:$A$500,0)),"")</f>
        <v>20</v>
      </c>
      <c r="F89" s="69" t="n">
        <f aca="false">IFERROR($C89*$E89,"")</f>
        <v>20</v>
      </c>
    </row>
    <row r="90" customFormat="false" ht="15" hidden="false" customHeight="true" outlineLevel="0" collapsed="false">
      <c r="A90" s="66" t="s">
        <v>441</v>
      </c>
      <c r="B90" s="66" t="s">
        <v>270</v>
      </c>
      <c r="C90" s="66" t="n">
        <v>1</v>
      </c>
      <c r="D90" s="67" t="str">
        <f aca="false">IFERROR(INDEX(المكونات!$B$2:$B$500,MATCH($B90,المكونات!$A$2:$A$500,0)),"")</f>
        <v>قطعة</v>
      </c>
      <c r="E90" s="68" t="n">
        <f aca="false">IFERROR(INDEX(المكونات!$C$2:$C$500,MATCH($B90,المكونات!$A$2:$A$500,0)),"")</f>
        <v>4.5</v>
      </c>
      <c r="F90" s="69" t="n">
        <f aca="false">IFERROR($C90*$E90,"")</f>
        <v>4.5</v>
      </c>
    </row>
    <row r="91" customFormat="false" ht="15" hidden="false" customHeight="true" outlineLevel="0" collapsed="false">
      <c r="A91" s="66" t="s">
        <v>441</v>
      </c>
      <c r="B91" s="66" t="s">
        <v>290</v>
      </c>
      <c r="C91" s="66" t="n">
        <v>2</v>
      </c>
      <c r="D91" s="67" t="str">
        <f aca="false">IFERROR(INDEX(المكونات!$B$2:$B$500,MATCH($B91,المكونات!$A$2:$A$500,0)),"")</f>
        <v>قطعة</v>
      </c>
      <c r="E91" s="68" t="n">
        <f aca="false">IFERROR(INDEX(المكونات!$C$2:$C$500,MATCH($B91,المكونات!$A$2:$A$500,0)),"")</f>
        <v>0.3</v>
      </c>
      <c r="F91" s="69" t="n">
        <f aca="false">IFERROR($C91*$E91,"")</f>
        <v>0.6</v>
      </c>
    </row>
    <row r="92" customFormat="false" ht="15" hidden="false" customHeight="true" outlineLevel="0" collapsed="false">
      <c r="A92" s="66" t="s">
        <v>441</v>
      </c>
      <c r="B92" s="66" t="s">
        <v>319</v>
      </c>
      <c r="C92" s="66" t="n">
        <v>1</v>
      </c>
      <c r="D92" s="67" t="str">
        <f aca="false">IFERROR(INDEX(المكونات!$B$2:$B$500,MATCH($B92,المكونات!$A$2:$A$500,0)),"")</f>
        <v>قطعة (ورقة)</v>
      </c>
      <c r="E92" s="68" t="n">
        <f aca="false">IFERROR(INDEX(المكونات!$C$2:$C$500,MATCH($B92,المكونات!$A$2:$A$500,0)),"")</f>
        <v>0.3665</v>
      </c>
      <c r="F92" s="69" t="n">
        <f aca="false">IFERROR($C92*$E92,"")</f>
        <v>0.3665</v>
      </c>
    </row>
    <row r="93" customFormat="false" ht="15" hidden="false" customHeight="true" outlineLevel="0" collapsed="false">
      <c r="A93" s="66" t="s">
        <v>441</v>
      </c>
      <c r="B93" s="66" t="s">
        <v>133</v>
      </c>
      <c r="C93" s="66" t="n">
        <v>1</v>
      </c>
      <c r="D93" s="67" t="str">
        <f aca="false">IFERROR(INDEX(المكونات!$B$2:$B$500,MATCH($B93,المكونات!$A$2:$A$500,0)),"")</f>
        <v>قطعة (كيس)</v>
      </c>
      <c r="E93" s="68" t="n">
        <f aca="false">IFERROR(INDEX(المكونات!$C$2:$C$500,MATCH($B93,المكونات!$A$2:$A$500,0)),"")</f>
        <v>1.4</v>
      </c>
      <c r="F93" s="69" t="n">
        <f aca="false">IFERROR($C93*$E93,"")</f>
        <v>1.4</v>
      </c>
    </row>
    <row r="94" customFormat="false" ht="15" hidden="false" customHeight="true" outlineLevel="0" collapsed="false">
      <c r="A94" s="66" t="s">
        <v>441</v>
      </c>
      <c r="B94" s="66" t="s">
        <v>293</v>
      </c>
      <c r="C94" s="66" t="n">
        <v>1</v>
      </c>
      <c r="D94" s="67" t="str">
        <f aca="false">IFERROR(INDEX(المكونات!$B$2:$B$500,MATCH($B94,المكونات!$A$2:$A$500,0)),"")</f>
        <v>قطعة</v>
      </c>
      <c r="E94" s="68" t="n">
        <f aca="false">IFERROR(INDEX(المكونات!$C$2:$C$500,MATCH($B94,المكونات!$A$2:$A$500,0)),"")</f>
        <v>0.5</v>
      </c>
      <c r="F94" s="69" t="n">
        <f aca="false">IFERROR($C94*$E94,"")</f>
        <v>0.5</v>
      </c>
    </row>
    <row r="95" customFormat="false" ht="15" hidden="false" customHeight="true" outlineLevel="0" collapsed="false">
      <c r="A95" s="66" t="s">
        <v>441</v>
      </c>
      <c r="B95" s="66" t="s">
        <v>211</v>
      </c>
      <c r="C95" s="66" t="n">
        <v>2</v>
      </c>
      <c r="D95" s="67" t="str">
        <f aca="false">IFERROR(INDEX(المكونات!$B$2:$B$500,MATCH($B95,المكونات!$A$2:$A$500,0)),"")</f>
        <v>قطعة (جلفز)</v>
      </c>
      <c r="E95" s="68" t="n">
        <f aca="false">IFERROR(INDEX(المكونات!$C$2:$C$500,MATCH($B95,المكونات!$A$2:$A$500,0)),"")</f>
        <v>0.18</v>
      </c>
      <c r="F95" s="69" t="n">
        <f aca="false">IFERROR($C95*$E95,"")</f>
        <v>0.36</v>
      </c>
    </row>
    <row r="96" customFormat="false" ht="15" hidden="false" customHeight="true" outlineLevel="0" collapsed="false">
      <c r="A96" s="66" t="s">
        <v>441</v>
      </c>
      <c r="B96" s="66" t="s">
        <v>322</v>
      </c>
      <c r="C96" s="66" t="n">
        <v>1</v>
      </c>
      <c r="D96" s="67" t="str">
        <f aca="false">IFERROR(INDEX(المكونات!$B$2:$B$500,MATCH($B96,المكونات!$A$2:$A$500,0)),"")</f>
        <v>قطعة (كيس)</v>
      </c>
      <c r="E96" s="68" t="n">
        <f aca="false">IFERROR(INDEX(المكونات!$C$2:$C$500,MATCH($B96,المكونات!$A$2:$A$500,0)),"")</f>
        <v>1</v>
      </c>
      <c r="F96" s="69" t="n">
        <f aca="false">IFERROR($C96*$E96,"")</f>
        <v>1</v>
      </c>
    </row>
    <row r="97" customFormat="false" ht="15" hidden="false" customHeight="true" outlineLevel="0" collapsed="false">
      <c r="A97" s="66" t="s">
        <v>441</v>
      </c>
      <c r="B97" s="66" t="s">
        <v>156</v>
      </c>
      <c r="C97" s="66" t="n">
        <v>1</v>
      </c>
      <c r="D97" s="67" t="str">
        <f aca="false">IFERROR(INDEX(المكونات!$B$2:$B$500,MATCH($B97,المكونات!$A$2:$A$500,0)),"")</f>
        <v>قطعة</v>
      </c>
      <c r="E97" s="68" t="n">
        <f aca="false">IFERROR(INDEX(المكونات!$C$2:$C$500,MATCH($B97,المكونات!$A$2:$A$500,0)),"")</f>
        <v>26.9708</v>
      </c>
      <c r="F97" s="69" t="n">
        <f aca="false">IFERROR($C97*$E97,"")</f>
        <v>26.9708</v>
      </c>
    </row>
    <row r="98" customFormat="false" ht="15" hidden="false" customHeight="true" outlineLevel="0" collapsed="false">
      <c r="A98" s="66" t="s">
        <v>515</v>
      </c>
      <c r="B98" s="66" t="s">
        <v>262</v>
      </c>
      <c r="C98" s="66" t="n">
        <v>0.3</v>
      </c>
      <c r="D98" s="67" t="str">
        <f aca="false">IFERROR(INDEX(المكونات!$B$2:$B$500,MATCH($B98,المكونات!$A$2:$A$500,0)),"")</f>
        <v>كجم</v>
      </c>
      <c r="E98" s="68" t="n">
        <f aca="false">IFERROR(INDEX(المكونات!$C$2:$C$500,MATCH($B98,المكونات!$A$2:$A$500,0)),"")</f>
        <v>22</v>
      </c>
      <c r="F98" s="69" t="n">
        <f aca="false">IFERROR($C98*$E98,"")</f>
        <v>6.6</v>
      </c>
    </row>
    <row r="99" customFormat="false" ht="15" hidden="false" customHeight="true" outlineLevel="0" collapsed="false">
      <c r="A99" s="66" t="s">
        <v>515</v>
      </c>
      <c r="B99" s="66" t="s">
        <v>250</v>
      </c>
      <c r="C99" s="66" t="n">
        <v>0.06</v>
      </c>
      <c r="D99" s="67" t="str">
        <f aca="false">IFERROR(INDEX(المكونات!$B$2:$B$500,MATCH($B99,المكونات!$A$2:$A$500,0)),"")</f>
        <v>كجم</v>
      </c>
      <c r="E99" s="68" t="n">
        <f aca="false">IFERROR(INDEX(المكونات!$C$2:$C$500,MATCH($B99,المكونات!$A$2:$A$500,0)),"")</f>
        <v>32</v>
      </c>
      <c r="F99" s="69" t="n">
        <f aca="false">IFERROR($C99*$E99,"")</f>
        <v>1.92</v>
      </c>
    </row>
    <row r="100" customFormat="false" ht="15" hidden="false" customHeight="true" outlineLevel="0" collapsed="false">
      <c r="A100" s="66" t="s">
        <v>515</v>
      </c>
      <c r="B100" s="66" t="s">
        <v>260</v>
      </c>
      <c r="C100" s="66" t="n">
        <v>0.045</v>
      </c>
      <c r="D100" s="67" t="str">
        <f aca="false">IFERROR(INDEX(المكونات!$B$2:$B$500,MATCH($B100,المكونات!$A$2:$A$500,0)),"")</f>
        <v>كجم</v>
      </c>
      <c r="E100" s="68" t="n">
        <f aca="false">IFERROR(INDEX(المكونات!$C$2:$C$500,MATCH($B100,المكونات!$A$2:$A$500,0)),"")</f>
        <v>21</v>
      </c>
      <c r="F100" s="69" t="n">
        <f aca="false">IFERROR($C100*$E100,"")</f>
        <v>0.945</v>
      </c>
    </row>
    <row r="101" customFormat="false" ht="15" hidden="false" customHeight="true" outlineLevel="0" collapsed="false">
      <c r="A101" s="66" t="s">
        <v>515</v>
      </c>
      <c r="B101" s="66" t="s">
        <v>284</v>
      </c>
      <c r="C101" s="66" t="n">
        <v>0.03</v>
      </c>
      <c r="D101" s="67" t="str">
        <f aca="false">IFERROR(INDEX(المكونات!$B$2:$B$500,MATCH($B101,المكونات!$A$2:$A$500,0)),"")</f>
        <v>كجم</v>
      </c>
      <c r="E101" s="68" t="n">
        <f aca="false">IFERROR(INDEX(المكونات!$C$2:$C$500,MATCH($B101,المكونات!$A$2:$A$500,0)),"")</f>
        <v>27</v>
      </c>
      <c r="F101" s="69" t="n">
        <f aca="false">IFERROR($C101*$E101,"")</f>
        <v>0.81</v>
      </c>
    </row>
    <row r="102" customFormat="false" ht="15" hidden="false" customHeight="true" outlineLevel="0" collapsed="false">
      <c r="A102" s="66" t="s">
        <v>515</v>
      </c>
      <c r="B102" s="66" t="s">
        <v>227</v>
      </c>
      <c r="C102" s="66" t="n">
        <v>0.03</v>
      </c>
      <c r="D102" s="67" t="str">
        <f aca="false">IFERROR(INDEX(المكونات!$B$2:$B$500,MATCH($B102,المكونات!$A$2:$A$500,0)),"")</f>
        <v>كجم</v>
      </c>
      <c r="E102" s="68" t="n">
        <f aca="false">IFERROR(INDEX(المكونات!$C$2:$C$500,MATCH($B102,المكونات!$A$2:$A$500,0)),"")</f>
        <v>95</v>
      </c>
      <c r="F102" s="69" t="n">
        <f aca="false">IFERROR($C102*$E102,"")</f>
        <v>2.85</v>
      </c>
    </row>
    <row r="103" customFormat="false" ht="15" hidden="false" customHeight="true" outlineLevel="0" collapsed="false">
      <c r="A103" s="66" t="s">
        <v>515</v>
      </c>
      <c r="B103" s="66" t="s">
        <v>174</v>
      </c>
      <c r="C103" s="66" t="n">
        <v>1</v>
      </c>
      <c r="D103" s="67" t="str">
        <f aca="false">IFERROR(INDEX(المكونات!$B$2:$B$500,MATCH($B103,المكونات!$A$2:$A$500,0)),"")</f>
        <v>قطعة</v>
      </c>
      <c r="E103" s="68" t="n">
        <f aca="false">IFERROR(INDEX(المكونات!$C$2:$C$500,MATCH($B103,المكونات!$A$2:$A$500,0)),"")</f>
        <v>27.1395</v>
      </c>
      <c r="F103" s="69" t="n">
        <f aca="false">IFERROR($C103*$E103,"")</f>
        <v>27.1395</v>
      </c>
    </row>
    <row r="104" customFormat="false" ht="15" hidden="false" customHeight="true" outlineLevel="0" collapsed="false">
      <c r="A104" s="66" t="s">
        <v>515</v>
      </c>
      <c r="B104" s="66" t="s">
        <v>268</v>
      </c>
      <c r="C104" s="66" t="n">
        <v>1</v>
      </c>
      <c r="D104" s="67" t="str">
        <f aca="false">IFERROR(INDEX(المكونات!$B$2:$B$500,MATCH($B104,المكونات!$A$2:$A$500,0)),"")</f>
        <v>قطعة</v>
      </c>
      <c r="E104" s="68" t="n">
        <f aca="false">IFERROR(INDEX(المكونات!$C$2:$C$500,MATCH($B104,المكونات!$A$2:$A$500,0)),"")</f>
        <v>5.5</v>
      </c>
      <c r="F104" s="69" t="n">
        <f aca="false">IFERROR($C104*$E104,"")</f>
        <v>5.5</v>
      </c>
    </row>
    <row r="105" customFormat="false" ht="15" hidden="false" customHeight="true" outlineLevel="0" collapsed="false">
      <c r="A105" s="66" t="s">
        <v>515</v>
      </c>
      <c r="B105" s="66" t="s">
        <v>290</v>
      </c>
      <c r="C105" s="66" t="n">
        <v>3</v>
      </c>
      <c r="D105" s="67" t="str">
        <f aca="false">IFERROR(INDEX(المكونات!$B$2:$B$500,MATCH($B105,المكونات!$A$2:$A$500,0)),"")</f>
        <v>قطعة</v>
      </c>
      <c r="E105" s="68" t="n">
        <f aca="false">IFERROR(INDEX(المكونات!$C$2:$C$500,MATCH($B105,المكونات!$A$2:$A$500,0)),"")</f>
        <v>0.3</v>
      </c>
      <c r="F105" s="69" t="n">
        <f aca="false">IFERROR($C105*$E105,"")</f>
        <v>0.9</v>
      </c>
    </row>
    <row r="106" customFormat="false" ht="15" hidden="false" customHeight="true" outlineLevel="0" collapsed="false">
      <c r="A106" s="66" t="s">
        <v>515</v>
      </c>
      <c r="B106" s="66" t="s">
        <v>319</v>
      </c>
      <c r="C106" s="66" t="n">
        <v>1</v>
      </c>
      <c r="D106" s="67" t="str">
        <f aca="false">IFERROR(INDEX(المكونات!$B$2:$B$500,MATCH($B106,المكونات!$A$2:$A$500,0)),"")</f>
        <v>قطعة (ورقة)</v>
      </c>
      <c r="E106" s="68" t="n">
        <f aca="false">IFERROR(INDEX(المكونات!$C$2:$C$500,MATCH($B106,المكونات!$A$2:$A$500,0)),"")</f>
        <v>0.3665</v>
      </c>
      <c r="F106" s="69" t="n">
        <f aca="false">IFERROR($C106*$E106,"")</f>
        <v>0.3665</v>
      </c>
    </row>
    <row r="107" customFormat="false" ht="15" hidden="false" customHeight="true" outlineLevel="0" collapsed="false">
      <c r="A107" s="66" t="s">
        <v>515</v>
      </c>
      <c r="B107" s="66" t="s">
        <v>133</v>
      </c>
      <c r="C107" s="66" t="n">
        <v>1</v>
      </c>
      <c r="D107" s="67" t="str">
        <f aca="false">IFERROR(INDEX(المكونات!$B$2:$B$500,MATCH($B107,المكونات!$A$2:$A$500,0)),"")</f>
        <v>قطعة (كيس)</v>
      </c>
      <c r="E107" s="68" t="n">
        <f aca="false">IFERROR(INDEX(المكونات!$C$2:$C$500,MATCH($B107,المكونات!$A$2:$A$500,0)),"")</f>
        <v>1.4</v>
      </c>
      <c r="F107" s="69" t="n">
        <f aca="false">IFERROR($C107*$E107,"")</f>
        <v>1.4</v>
      </c>
    </row>
    <row r="108" customFormat="false" ht="15" hidden="false" customHeight="true" outlineLevel="0" collapsed="false">
      <c r="A108" s="66" t="s">
        <v>515</v>
      </c>
      <c r="B108" s="66" t="s">
        <v>293</v>
      </c>
      <c r="C108" s="66" t="n">
        <v>1</v>
      </c>
      <c r="D108" s="67" t="str">
        <f aca="false">IFERROR(INDEX(المكونات!$B$2:$B$500,MATCH($B108,المكونات!$A$2:$A$500,0)),"")</f>
        <v>قطعة</v>
      </c>
      <c r="E108" s="68" t="n">
        <f aca="false">IFERROR(INDEX(المكونات!$C$2:$C$500,MATCH($B108,المكونات!$A$2:$A$500,0)),"")</f>
        <v>0.5</v>
      </c>
      <c r="F108" s="69" t="n">
        <f aca="false">IFERROR($C108*$E108,"")</f>
        <v>0.5</v>
      </c>
    </row>
    <row r="109" customFormat="false" ht="15" hidden="false" customHeight="true" outlineLevel="0" collapsed="false">
      <c r="A109" s="66" t="s">
        <v>515</v>
      </c>
      <c r="B109" s="66" t="s">
        <v>211</v>
      </c>
      <c r="C109" s="66" t="n">
        <v>2</v>
      </c>
      <c r="D109" s="67" t="str">
        <f aca="false">IFERROR(INDEX(المكونات!$B$2:$B$500,MATCH($B109,المكونات!$A$2:$A$500,0)),"")</f>
        <v>قطعة (جلفز)</v>
      </c>
      <c r="E109" s="68" t="n">
        <f aca="false">IFERROR(INDEX(المكونات!$C$2:$C$500,MATCH($B109,المكونات!$A$2:$A$500,0)),"")</f>
        <v>0.18</v>
      </c>
      <c r="F109" s="69" t="n">
        <f aca="false">IFERROR($C109*$E109,"")</f>
        <v>0.36</v>
      </c>
    </row>
    <row r="110" customFormat="false" ht="15" hidden="false" customHeight="true" outlineLevel="0" collapsed="false">
      <c r="A110" s="66" t="s">
        <v>515</v>
      </c>
      <c r="B110" s="66" t="s">
        <v>322</v>
      </c>
      <c r="C110" s="66" t="n">
        <v>1</v>
      </c>
      <c r="D110" s="67" t="str">
        <f aca="false">IFERROR(INDEX(المكونات!$B$2:$B$500,MATCH($B110,المكونات!$A$2:$A$500,0)),"")</f>
        <v>قطعة (كيس)</v>
      </c>
      <c r="E110" s="68" t="n">
        <f aca="false">IFERROR(INDEX(المكونات!$C$2:$C$500,MATCH($B110,المكونات!$A$2:$A$500,0)),"")</f>
        <v>1</v>
      </c>
      <c r="F110" s="69" t="n">
        <f aca="false">IFERROR($C110*$E110,"")</f>
        <v>1</v>
      </c>
    </row>
    <row r="111" customFormat="false" ht="15" hidden="false" customHeight="true" outlineLevel="0" collapsed="false">
      <c r="A111" s="66" t="s">
        <v>515</v>
      </c>
      <c r="B111" s="66" t="s">
        <v>156</v>
      </c>
      <c r="C111" s="66" t="n">
        <v>1.5</v>
      </c>
      <c r="D111" s="67" t="str">
        <f aca="false">IFERROR(INDEX(المكونات!$B$2:$B$500,MATCH($B111,المكونات!$A$2:$A$500,0)),"")</f>
        <v>قطعة</v>
      </c>
      <c r="E111" s="68" t="n">
        <f aca="false">IFERROR(INDEX(المكونات!$C$2:$C$500,MATCH($B111,المكونات!$A$2:$A$500,0)),"")</f>
        <v>26.9708</v>
      </c>
      <c r="F111" s="69" t="n">
        <f aca="false">IFERROR($C111*$E111,"")</f>
        <v>40.4562</v>
      </c>
    </row>
    <row r="112" customFormat="false" ht="15" hidden="false" customHeight="true" outlineLevel="0" collapsed="false">
      <c r="A112" s="66" t="s">
        <v>472</v>
      </c>
      <c r="B112" s="66" t="s">
        <v>262</v>
      </c>
      <c r="C112" s="66" t="n">
        <v>0.22</v>
      </c>
      <c r="D112" s="67" t="str">
        <f aca="false">IFERROR(INDEX(المكونات!$B$2:$B$500,MATCH($B112,المكونات!$A$2:$A$500,0)),"")</f>
        <v>كجم</v>
      </c>
      <c r="E112" s="68" t="n">
        <f aca="false">IFERROR(INDEX(المكونات!$C$2:$C$500,MATCH($B112,المكونات!$A$2:$A$500,0)),"")</f>
        <v>22</v>
      </c>
      <c r="F112" s="69" t="n">
        <f aca="false">IFERROR($C112*$E112,"")</f>
        <v>4.84</v>
      </c>
    </row>
    <row r="113" customFormat="false" ht="15" hidden="false" customHeight="true" outlineLevel="0" collapsed="false">
      <c r="A113" s="66" t="s">
        <v>472</v>
      </c>
      <c r="B113" s="66" t="s">
        <v>250</v>
      </c>
      <c r="C113" s="66" t="n">
        <v>0.04</v>
      </c>
      <c r="D113" s="67" t="str">
        <f aca="false">IFERROR(INDEX(المكونات!$B$2:$B$500,MATCH($B113,المكونات!$A$2:$A$500,0)),"")</f>
        <v>كجم</v>
      </c>
      <c r="E113" s="68" t="n">
        <f aca="false">IFERROR(INDEX(المكونات!$C$2:$C$500,MATCH($B113,المكونات!$A$2:$A$500,0)),"")</f>
        <v>32</v>
      </c>
      <c r="F113" s="69" t="n">
        <f aca="false">IFERROR($C113*$E113,"")</f>
        <v>1.28</v>
      </c>
    </row>
    <row r="114" customFormat="false" ht="15" hidden="false" customHeight="true" outlineLevel="0" collapsed="false">
      <c r="A114" s="66" t="s">
        <v>472</v>
      </c>
      <c r="B114" s="66" t="s">
        <v>260</v>
      </c>
      <c r="C114" s="66" t="n">
        <v>0.03</v>
      </c>
      <c r="D114" s="67" t="str">
        <f aca="false">IFERROR(INDEX(المكونات!$B$2:$B$500,MATCH($B114,المكونات!$A$2:$A$500,0)),"")</f>
        <v>كجم</v>
      </c>
      <c r="E114" s="68" t="n">
        <f aca="false">IFERROR(INDEX(المكونات!$C$2:$C$500,MATCH($B114,المكونات!$A$2:$A$500,0)),"")</f>
        <v>21</v>
      </c>
      <c r="F114" s="69" t="n">
        <f aca="false">IFERROR($C114*$E114,"")</f>
        <v>0.63</v>
      </c>
    </row>
    <row r="115" customFormat="false" ht="15" hidden="false" customHeight="true" outlineLevel="0" collapsed="false">
      <c r="A115" s="66" t="s">
        <v>472</v>
      </c>
      <c r="B115" s="66" t="s">
        <v>284</v>
      </c>
      <c r="C115" s="66" t="n">
        <v>0.02</v>
      </c>
      <c r="D115" s="67" t="str">
        <f aca="false">IFERROR(INDEX(المكونات!$B$2:$B$500,MATCH($B115,المكونات!$A$2:$A$500,0)),"")</f>
        <v>كجم</v>
      </c>
      <c r="E115" s="68" t="n">
        <f aca="false">IFERROR(INDEX(المكونات!$C$2:$C$500,MATCH($B115,المكونات!$A$2:$A$500,0)),"")</f>
        <v>27</v>
      </c>
      <c r="F115" s="69" t="n">
        <f aca="false">IFERROR($C115*$E115,"")</f>
        <v>0.54</v>
      </c>
    </row>
    <row r="116" customFormat="false" ht="15" hidden="false" customHeight="true" outlineLevel="0" collapsed="false">
      <c r="A116" s="66" t="s">
        <v>472</v>
      </c>
      <c r="B116" s="66" t="s">
        <v>227</v>
      </c>
      <c r="C116" s="66" t="n">
        <v>0.02</v>
      </c>
      <c r="D116" s="67" t="str">
        <f aca="false">IFERROR(INDEX(المكونات!$B$2:$B$500,MATCH($B116,المكونات!$A$2:$A$500,0)),"")</f>
        <v>كجم</v>
      </c>
      <c r="E116" s="68" t="n">
        <f aca="false">IFERROR(INDEX(المكونات!$C$2:$C$500,MATCH($B116,المكونات!$A$2:$A$500,0)),"")</f>
        <v>95</v>
      </c>
      <c r="F116" s="69" t="n">
        <f aca="false">IFERROR($C116*$E116,"")</f>
        <v>1.9</v>
      </c>
    </row>
    <row r="117" customFormat="false" ht="15" hidden="false" customHeight="true" outlineLevel="0" collapsed="false">
      <c r="A117" s="66" t="s">
        <v>472</v>
      </c>
      <c r="B117" s="66" t="s">
        <v>172</v>
      </c>
      <c r="C117" s="66" t="n">
        <v>1</v>
      </c>
      <c r="D117" s="67" t="str">
        <f aca="false">IFERROR(INDEX(المكونات!$B$2:$B$500,MATCH($B117,المكونات!$A$2:$A$500,0)),"")</f>
        <v>قطعة</v>
      </c>
      <c r="E117" s="68" t="n">
        <f aca="false">IFERROR(INDEX(المكونات!$C$2:$C$500,MATCH($B117,المكونات!$A$2:$A$500,0)),"")</f>
        <v>20</v>
      </c>
      <c r="F117" s="69" t="n">
        <f aca="false">IFERROR($C117*$E117,"")</f>
        <v>20</v>
      </c>
    </row>
    <row r="118" customFormat="false" ht="15" hidden="false" customHeight="true" outlineLevel="0" collapsed="false">
      <c r="A118" s="66" t="s">
        <v>472</v>
      </c>
      <c r="B118" s="66" t="s">
        <v>270</v>
      </c>
      <c r="C118" s="66" t="n">
        <v>1</v>
      </c>
      <c r="D118" s="67" t="str">
        <f aca="false">IFERROR(INDEX(المكونات!$B$2:$B$500,MATCH($B118,المكونات!$A$2:$A$500,0)),"")</f>
        <v>قطعة</v>
      </c>
      <c r="E118" s="68" t="n">
        <f aca="false">IFERROR(INDEX(المكونات!$C$2:$C$500,MATCH($B118,المكونات!$A$2:$A$500,0)),"")</f>
        <v>4.5</v>
      </c>
      <c r="F118" s="69" t="n">
        <f aca="false">IFERROR($C118*$E118,"")</f>
        <v>4.5</v>
      </c>
    </row>
    <row r="119" customFormat="false" ht="15" hidden="false" customHeight="true" outlineLevel="0" collapsed="false">
      <c r="A119" s="66" t="s">
        <v>472</v>
      </c>
      <c r="B119" s="66" t="s">
        <v>290</v>
      </c>
      <c r="C119" s="66" t="n">
        <v>2</v>
      </c>
      <c r="D119" s="67" t="str">
        <f aca="false">IFERROR(INDEX(المكونات!$B$2:$B$500,MATCH($B119,المكونات!$A$2:$A$500,0)),"")</f>
        <v>قطعة</v>
      </c>
      <c r="E119" s="68" t="n">
        <f aca="false">IFERROR(INDEX(المكونات!$C$2:$C$500,MATCH($B119,المكونات!$A$2:$A$500,0)),"")</f>
        <v>0.3</v>
      </c>
      <c r="F119" s="69" t="n">
        <f aca="false">IFERROR($C119*$E119,"")</f>
        <v>0.6</v>
      </c>
    </row>
    <row r="120" customFormat="false" ht="15" hidden="false" customHeight="true" outlineLevel="0" collapsed="false">
      <c r="A120" s="66" t="s">
        <v>472</v>
      </c>
      <c r="B120" s="66" t="s">
        <v>319</v>
      </c>
      <c r="C120" s="66" t="n">
        <v>1</v>
      </c>
      <c r="D120" s="67" t="str">
        <f aca="false">IFERROR(INDEX(المكونات!$B$2:$B$500,MATCH($B120,المكونات!$A$2:$A$500,0)),"")</f>
        <v>قطعة (ورقة)</v>
      </c>
      <c r="E120" s="68" t="n">
        <f aca="false">IFERROR(INDEX(المكونات!$C$2:$C$500,MATCH($B120,المكونات!$A$2:$A$500,0)),"")</f>
        <v>0.3665</v>
      </c>
      <c r="F120" s="69" t="n">
        <f aca="false">IFERROR($C120*$E120,"")</f>
        <v>0.3665</v>
      </c>
    </row>
    <row r="121" customFormat="false" ht="15" hidden="false" customHeight="true" outlineLevel="0" collapsed="false">
      <c r="A121" s="66" t="s">
        <v>472</v>
      </c>
      <c r="B121" s="66" t="s">
        <v>133</v>
      </c>
      <c r="C121" s="66" t="n">
        <v>1</v>
      </c>
      <c r="D121" s="67" t="str">
        <f aca="false">IFERROR(INDEX(المكونات!$B$2:$B$500,MATCH($B121,المكونات!$A$2:$A$500,0)),"")</f>
        <v>قطعة (كيس)</v>
      </c>
      <c r="E121" s="68" t="n">
        <f aca="false">IFERROR(INDEX(المكونات!$C$2:$C$500,MATCH($B121,المكونات!$A$2:$A$500,0)),"")</f>
        <v>1.4</v>
      </c>
      <c r="F121" s="69" t="n">
        <f aca="false">IFERROR($C121*$E121,"")</f>
        <v>1.4</v>
      </c>
    </row>
    <row r="122" customFormat="false" ht="15" hidden="false" customHeight="true" outlineLevel="0" collapsed="false">
      <c r="A122" s="66" t="s">
        <v>472</v>
      </c>
      <c r="B122" s="66" t="s">
        <v>293</v>
      </c>
      <c r="C122" s="66" t="n">
        <v>1</v>
      </c>
      <c r="D122" s="67" t="str">
        <f aca="false">IFERROR(INDEX(المكونات!$B$2:$B$500,MATCH($B122,المكونات!$A$2:$A$500,0)),"")</f>
        <v>قطعة</v>
      </c>
      <c r="E122" s="68" t="n">
        <f aca="false">IFERROR(INDEX(المكونات!$C$2:$C$500,MATCH($B122,المكونات!$A$2:$A$500,0)),"")</f>
        <v>0.5</v>
      </c>
      <c r="F122" s="69" t="n">
        <f aca="false">IFERROR($C122*$E122,"")</f>
        <v>0.5</v>
      </c>
    </row>
    <row r="123" customFormat="false" ht="15" hidden="false" customHeight="true" outlineLevel="0" collapsed="false">
      <c r="A123" s="66" t="s">
        <v>472</v>
      </c>
      <c r="B123" s="66" t="s">
        <v>211</v>
      </c>
      <c r="C123" s="66" t="n">
        <v>2</v>
      </c>
      <c r="D123" s="67" t="str">
        <f aca="false">IFERROR(INDEX(المكونات!$B$2:$B$500,MATCH($B123,المكونات!$A$2:$A$500,0)),"")</f>
        <v>قطعة (جلفز)</v>
      </c>
      <c r="E123" s="68" t="n">
        <f aca="false">IFERROR(INDEX(المكونات!$C$2:$C$500,MATCH($B123,المكونات!$A$2:$A$500,0)),"")</f>
        <v>0.18</v>
      </c>
      <c r="F123" s="69" t="n">
        <f aca="false">IFERROR($C123*$E123,"")</f>
        <v>0.36</v>
      </c>
    </row>
    <row r="124" customFormat="false" ht="15" hidden="false" customHeight="true" outlineLevel="0" collapsed="false">
      <c r="A124" s="66" t="s">
        <v>472</v>
      </c>
      <c r="B124" s="66" t="s">
        <v>322</v>
      </c>
      <c r="C124" s="66" t="n">
        <v>1</v>
      </c>
      <c r="D124" s="67" t="str">
        <f aca="false">IFERROR(INDEX(المكونات!$B$2:$B$500,MATCH($B124,المكونات!$A$2:$A$500,0)),"")</f>
        <v>قطعة (كيس)</v>
      </c>
      <c r="E124" s="68" t="n">
        <f aca="false">IFERROR(INDEX(المكونات!$C$2:$C$500,MATCH($B124,المكونات!$A$2:$A$500,0)),"")</f>
        <v>1</v>
      </c>
      <c r="F124" s="69" t="n">
        <f aca="false">IFERROR($C124*$E124,"")</f>
        <v>1</v>
      </c>
    </row>
    <row r="125" customFormat="false" ht="15" hidden="false" customHeight="true" outlineLevel="0" collapsed="false">
      <c r="A125" s="66" t="s">
        <v>472</v>
      </c>
      <c r="B125" s="66" t="s">
        <v>148</v>
      </c>
      <c r="C125" s="66" t="n">
        <v>1</v>
      </c>
      <c r="D125" s="67" t="str">
        <f aca="false">IFERROR(INDEX(المكونات!$B$2:$B$500,MATCH($B125,المكونات!$A$2:$A$500,0)),"")</f>
        <v>قطعة</v>
      </c>
      <c r="E125" s="68" t="n">
        <f aca="false">IFERROR(INDEX(المكونات!$C$2:$C$500,MATCH($B125,المكونات!$A$2:$A$500,0)),"")</f>
        <v>9</v>
      </c>
      <c r="F125" s="69" t="n">
        <f aca="false">IFERROR($C125*$E125,"")</f>
        <v>9</v>
      </c>
    </row>
    <row r="126" customFormat="false" ht="15" hidden="false" customHeight="true" outlineLevel="0" collapsed="false">
      <c r="A126" s="66" t="s">
        <v>472</v>
      </c>
      <c r="B126" s="66" t="s">
        <v>288</v>
      </c>
      <c r="C126" s="66" t="n">
        <v>2</v>
      </c>
      <c r="D126" s="67" t="str">
        <f aca="false">IFERROR(INDEX(المكونات!$B$2:$B$500,MATCH($B126,المكونات!$A$2:$A$500,0)),"")</f>
        <v>قطعة</v>
      </c>
      <c r="E126" s="68" t="n">
        <f aca="false">IFERROR(INDEX(المكونات!$C$2:$C$500,MATCH($B126,المكونات!$A$2:$A$500,0)),"")</f>
        <v>7</v>
      </c>
      <c r="F126" s="69" t="n">
        <f aca="false">IFERROR($C126*$E126,"")</f>
        <v>14</v>
      </c>
    </row>
    <row r="127" customFormat="false" ht="15" hidden="false" customHeight="true" outlineLevel="0" collapsed="false">
      <c r="A127" s="66" t="s">
        <v>472</v>
      </c>
      <c r="B127" s="66" t="s">
        <v>258</v>
      </c>
      <c r="C127" s="66" t="n">
        <v>0.1</v>
      </c>
      <c r="D127" s="67" t="str">
        <f aca="false">IFERROR(INDEX(المكونات!$B$2:$B$500,MATCH($B127,المكونات!$A$2:$A$500,0)),"")</f>
        <v>كجم</v>
      </c>
      <c r="E127" s="68" t="n">
        <f aca="false">IFERROR(INDEX(المكونات!$C$2:$C$500,MATCH($B127,المكونات!$A$2:$A$500,0)),"")</f>
        <v>140</v>
      </c>
      <c r="F127" s="69" t="n">
        <f aca="false">IFERROR($C127*$E127,"")</f>
        <v>14</v>
      </c>
    </row>
    <row r="128" customFormat="false" ht="15" hidden="false" customHeight="true" outlineLevel="0" collapsed="false">
      <c r="A128" s="66" t="s">
        <v>469</v>
      </c>
      <c r="B128" s="66" t="s">
        <v>262</v>
      </c>
      <c r="C128" s="66" t="n">
        <v>0.3</v>
      </c>
      <c r="D128" s="67" t="str">
        <f aca="false">IFERROR(INDEX(المكونات!$B$2:$B$500,MATCH($B128,المكونات!$A$2:$A$500,0)),"")</f>
        <v>كجم</v>
      </c>
      <c r="E128" s="68" t="n">
        <f aca="false">IFERROR(INDEX(المكونات!$C$2:$C$500,MATCH($B128,المكونات!$A$2:$A$500,0)),"")</f>
        <v>22</v>
      </c>
      <c r="F128" s="69" t="n">
        <f aca="false">IFERROR($C128*$E128,"")</f>
        <v>6.6</v>
      </c>
    </row>
    <row r="129" customFormat="false" ht="15" hidden="false" customHeight="true" outlineLevel="0" collapsed="false">
      <c r="A129" s="66" t="s">
        <v>469</v>
      </c>
      <c r="B129" s="66" t="s">
        <v>250</v>
      </c>
      <c r="C129" s="66" t="n">
        <v>0.06</v>
      </c>
      <c r="D129" s="67" t="str">
        <f aca="false">IFERROR(INDEX(المكونات!$B$2:$B$500,MATCH($B129,المكونات!$A$2:$A$500,0)),"")</f>
        <v>كجم</v>
      </c>
      <c r="E129" s="68" t="n">
        <f aca="false">IFERROR(INDEX(المكونات!$C$2:$C$500,MATCH($B129,المكونات!$A$2:$A$500,0)),"")</f>
        <v>32</v>
      </c>
      <c r="F129" s="69" t="n">
        <f aca="false">IFERROR($C129*$E129,"")</f>
        <v>1.92</v>
      </c>
    </row>
    <row r="130" customFormat="false" ht="15" hidden="false" customHeight="true" outlineLevel="0" collapsed="false">
      <c r="A130" s="66" t="s">
        <v>469</v>
      </c>
      <c r="B130" s="66" t="s">
        <v>260</v>
      </c>
      <c r="C130" s="66" t="n">
        <v>0.045</v>
      </c>
      <c r="D130" s="67" t="str">
        <f aca="false">IFERROR(INDEX(المكونات!$B$2:$B$500,MATCH($B130,المكونات!$A$2:$A$500,0)),"")</f>
        <v>كجم</v>
      </c>
      <c r="E130" s="68" t="n">
        <f aca="false">IFERROR(INDEX(المكونات!$C$2:$C$500,MATCH($B130,المكونات!$A$2:$A$500,0)),"")</f>
        <v>21</v>
      </c>
      <c r="F130" s="69" t="n">
        <f aca="false">IFERROR($C130*$E130,"")</f>
        <v>0.945</v>
      </c>
    </row>
    <row r="131" customFormat="false" ht="15" hidden="false" customHeight="true" outlineLevel="0" collapsed="false">
      <c r="A131" s="66" t="s">
        <v>469</v>
      </c>
      <c r="B131" s="66" t="s">
        <v>284</v>
      </c>
      <c r="C131" s="66" t="n">
        <v>0.03</v>
      </c>
      <c r="D131" s="67" t="str">
        <f aca="false">IFERROR(INDEX(المكونات!$B$2:$B$500,MATCH($B131,المكونات!$A$2:$A$500,0)),"")</f>
        <v>كجم</v>
      </c>
      <c r="E131" s="68" t="n">
        <f aca="false">IFERROR(INDEX(المكونات!$C$2:$C$500,MATCH($B131,المكونات!$A$2:$A$500,0)),"")</f>
        <v>27</v>
      </c>
      <c r="F131" s="69" t="n">
        <f aca="false">IFERROR($C131*$E131,"")</f>
        <v>0.81</v>
      </c>
    </row>
    <row r="132" customFormat="false" ht="15" hidden="false" customHeight="true" outlineLevel="0" collapsed="false">
      <c r="A132" s="66" t="s">
        <v>469</v>
      </c>
      <c r="B132" s="66" t="s">
        <v>227</v>
      </c>
      <c r="C132" s="66" t="n">
        <v>0.03</v>
      </c>
      <c r="D132" s="67" t="str">
        <f aca="false">IFERROR(INDEX(المكونات!$B$2:$B$500,MATCH($B132,المكونات!$A$2:$A$500,0)),"")</f>
        <v>كجم</v>
      </c>
      <c r="E132" s="68" t="n">
        <f aca="false">IFERROR(INDEX(المكونات!$C$2:$C$500,MATCH($B132,المكونات!$A$2:$A$500,0)),"")</f>
        <v>95</v>
      </c>
      <c r="F132" s="69" t="n">
        <f aca="false">IFERROR($C132*$E132,"")</f>
        <v>2.85</v>
      </c>
    </row>
    <row r="133" customFormat="false" ht="15" hidden="false" customHeight="true" outlineLevel="0" collapsed="false">
      <c r="A133" s="66" t="s">
        <v>469</v>
      </c>
      <c r="B133" s="66" t="s">
        <v>174</v>
      </c>
      <c r="C133" s="66" t="n">
        <v>1</v>
      </c>
      <c r="D133" s="67" t="str">
        <f aca="false">IFERROR(INDEX(المكونات!$B$2:$B$500,MATCH($B133,المكونات!$A$2:$A$500,0)),"")</f>
        <v>قطعة</v>
      </c>
      <c r="E133" s="68" t="n">
        <f aca="false">IFERROR(INDEX(المكونات!$C$2:$C$500,MATCH($B133,المكونات!$A$2:$A$500,0)),"")</f>
        <v>27.1395</v>
      </c>
      <c r="F133" s="69" t="n">
        <f aca="false">IFERROR($C133*$E133,"")</f>
        <v>27.1395</v>
      </c>
    </row>
    <row r="134" customFormat="false" ht="15" hidden="false" customHeight="true" outlineLevel="0" collapsed="false">
      <c r="A134" s="66" t="s">
        <v>469</v>
      </c>
      <c r="B134" s="66" t="s">
        <v>268</v>
      </c>
      <c r="C134" s="66" t="n">
        <v>1</v>
      </c>
      <c r="D134" s="67" t="str">
        <f aca="false">IFERROR(INDEX(المكونات!$B$2:$B$500,MATCH($B134,المكونات!$A$2:$A$500,0)),"")</f>
        <v>قطعة</v>
      </c>
      <c r="E134" s="68" t="n">
        <f aca="false">IFERROR(INDEX(المكونات!$C$2:$C$500,MATCH($B134,المكونات!$A$2:$A$500,0)),"")</f>
        <v>5.5</v>
      </c>
      <c r="F134" s="69" t="n">
        <f aca="false">IFERROR($C134*$E134,"")</f>
        <v>5.5</v>
      </c>
    </row>
    <row r="135" customFormat="false" ht="15" hidden="false" customHeight="true" outlineLevel="0" collapsed="false">
      <c r="A135" s="66" t="s">
        <v>469</v>
      </c>
      <c r="B135" s="66" t="s">
        <v>290</v>
      </c>
      <c r="C135" s="66" t="n">
        <v>3</v>
      </c>
      <c r="D135" s="67" t="str">
        <f aca="false">IFERROR(INDEX(المكونات!$B$2:$B$500,MATCH($B135,المكونات!$A$2:$A$500,0)),"")</f>
        <v>قطعة</v>
      </c>
      <c r="E135" s="68" t="n">
        <f aca="false">IFERROR(INDEX(المكونات!$C$2:$C$500,MATCH($B135,المكونات!$A$2:$A$500,0)),"")</f>
        <v>0.3</v>
      </c>
      <c r="F135" s="69" t="n">
        <f aca="false">IFERROR($C135*$E135,"")</f>
        <v>0.9</v>
      </c>
    </row>
    <row r="136" customFormat="false" ht="15" hidden="false" customHeight="true" outlineLevel="0" collapsed="false">
      <c r="A136" s="66" t="s">
        <v>469</v>
      </c>
      <c r="B136" s="66" t="s">
        <v>319</v>
      </c>
      <c r="C136" s="66" t="n">
        <v>1</v>
      </c>
      <c r="D136" s="67" t="str">
        <f aca="false">IFERROR(INDEX(المكونات!$B$2:$B$500,MATCH($B136,المكونات!$A$2:$A$500,0)),"")</f>
        <v>قطعة (ورقة)</v>
      </c>
      <c r="E136" s="68" t="n">
        <f aca="false">IFERROR(INDEX(المكونات!$C$2:$C$500,MATCH($B136,المكونات!$A$2:$A$500,0)),"")</f>
        <v>0.3665</v>
      </c>
      <c r="F136" s="69" t="n">
        <f aca="false">IFERROR($C136*$E136,"")</f>
        <v>0.3665</v>
      </c>
    </row>
    <row r="137" customFormat="false" ht="15" hidden="false" customHeight="true" outlineLevel="0" collapsed="false">
      <c r="A137" s="66" t="s">
        <v>469</v>
      </c>
      <c r="B137" s="66" t="s">
        <v>133</v>
      </c>
      <c r="C137" s="66" t="n">
        <v>1</v>
      </c>
      <c r="D137" s="67" t="str">
        <f aca="false">IFERROR(INDEX(المكونات!$B$2:$B$500,MATCH($B137,المكونات!$A$2:$A$500,0)),"")</f>
        <v>قطعة (كيس)</v>
      </c>
      <c r="E137" s="68" t="n">
        <f aca="false">IFERROR(INDEX(المكونات!$C$2:$C$500,MATCH($B137,المكونات!$A$2:$A$500,0)),"")</f>
        <v>1.4</v>
      </c>
      <c r="F137" s="69" t="n">
        <f aca="false">IFERROR($C137*$E137,"")</f>
        <v>1.4</v>
      </c>
    </row>
    <row r="138" customFormat="false" ht="15" hidden="false" customHeight="true" outlineLevel="0" collapsed="false">
      <c r="A138" s="66" t="s">
        <v>469</v>
      </c>
      <c r="B138" s="66" t="s">
        <v>293</v>
      </c>
      <c r="C138" s="66" t="n">
        <v>1</v>
      </c>
      <c r="D138" s="67" t="str">
        <f aca="false">IFERROR(INDEX(المكونات!$B$2:$B$500,MATCH($B138,المكونات!$A$2:$A$500,0)),"")</f>
        <v>قطعة</v>
      </c>
      <c r="E138" s="68" t="n">
        <f aca="false">IFERROR(INDEX(المكونات!$C$2:$C$500,MATCH($B138,المكونات!$A$2:$A$500,0)),"")</f>
        <v>0.5</v>
      </c>
      <c r="F138" s="69" t="n">
        <f aca="false">IFERROR($C138*$E138,"")</f>
        <v>0.5</v>
      </c>
    </row>
    <row r="139" customFormat="false" ht="15" hidden="false" customHeight="true" outlineLevel="0" collapsed="false">
      <c r="A139" s="66" t="s">
        <v>469</v>
      </c>
      <c r="B139" s="66" t="s">
        <v>211</v>
      </c>
      <c r="C139" s="66" t="n">
        <v>2</v>
      </c>
      <c r="D139" s="67" t="str">
        <f aca="false">IFERROR(INDEX(المكونات!$B$2:$B$500,MATCH($B139,المكونات!$A$2:$A$500,0)),"")</f>
        <v>قطعة (جلفز)</v>
      </c>
      <c r="E139" s="68" t="n">
        <f aca="false">IFERROR(INDEX(المكونات!$C$2:$C$500,MATCH($B139,المكونات!$A$2:$A$500,0)),"")</f>
        <v>0.18</v>
      </c>
      <c r="F139" s="69" t="n">
        <f aca="false">IFERROR($C139*$E139,"")</f>
        <v>0.36</v>
      </c>
    </row>
    <row r="140" customFormat="false" ht="15" hidden="false" customHeight="true" outlineLevel="0" collapsed="false">
      <c r="A140" s="66" t="s">
        <v>469</v>
      </c>
      <c r="B140" s="66" t="s">
        <v>322</v>
      </c>
      <c r="C140" s="66" t="n">
        <v>1</v>
      </c>
      <c r="D140" s="67" t="str">
        <f aca="false">IFERROR(INDEX(المكونات!$B$2:$B$500,MATCH($B140,المكونات!$A$2:$A$500,0)),"")</f>
        <v>قطعة (كيس)</v>
      </c>
      <c r="E140" s="68" t="n">
        <f aca="false">IFERROR(INDEX(المكونات!$C$2:$C$500,MATCH($B140,المكونات!$A$2:$A$500,0)),"")</f>
        <v>1</v>
      </c>
      <c r="F140" s="69" t="n">
        <f aca="false">IFERROR($C140*$E140,"")</f>
        <v>1</v>
      </c>
    </row>
    <row r="141" customFormat="false" ht="15" hidden="false" customHeight="true" outlineLevel="0" collapsed="false">
      <c r="A141" s="66" t="s">
        <v>469</v>
      </c>
      <c r="B141" s="66" t="s">
        <v>148</v>
      </c>
      <c r="C141" s="66" t="n">
        <v>1.5</v>
      </c>
      <c r="D141" s="67" t="str">
        <f aca="false">IFERROR(INDEX(المكونات!$B$2:$B$500,MATCH($B141,المكونات!$A$2:$A$500,0)),"")</f>
        <v>قطعة</v>
      </c>
      <c r="E141" s="68" t="n">
        <f aca="false">IFERROR(INDEX(المكونات!$C$2:$C$500,MATCH($B141,المكونات!$A$2:$A$500,0)),"")</f>
        <v>9</v>
      </c>
      <c r="F141" s="69" t="n">
        <f aca="false">IFERROR($C141*$E141,"")</f>
        <v>13.5</v>
      </c>
    </row>
    <row r="142" customFormat="false" ht="15" hidden="false" customHeight="true" outlineLevel="0" collapsed="false">
      <c r="A142" s="66" t="s">
        <v>469</v>
      </c>
      <c r="B142" s="66" t="s">
        <v>288</v>
      </c>
      <c r="C142" s="66" t="n">
        <v>3</v>
      </c>
      <c r="D142" s="67" t="str">
        <f aca="false">IFERROR(INDEX(المكونات!$B$2:$B$500,MATCH($B142,المكونات!$A$2:$A$500,0)),"")</f>
        <v>قطعة</v>
      </c>
      <c r="E142" s="68" t="n">
        <f aca="false">IFERROR(INDEX(المكونات!$C$2:$C$500,MATCH($B142,المكونات!$A$2:$A$500,0)),"")</f>
        <v>7</v>
      </c>
      <c r="F142" s="69" t="n">
        <f aca="false">IFERROR($C142*$E142,"")</f>
        <v>21</v>
      </c>
    </row>
    <row r="143" customFormat="false" ht="15" hidden="false" customHeight="true" outlineLevel="0" collapsed="false">
      <c r="A143" s="66" t="s">
        <v>469</v>
      </c>
      <c r="B143" s="66" t="s">
        <v>258</v>
      </c>
      <c r="C143" s="66" t="n">
        <v>0.15</v>
      </c>
      <c r="D143" s="67" t="str">
        <f aca="false">IFERROR(INDEX(المكونات!$B$2:$B$500,MATCH($B143,المكونات!$A$2:$A$500,0)),"")</f>
        <v>كجم</v>
      </c>
      <c r="E143" s="68" t="n">
        <f aca="false">IFERROR(INDEX(المكونات!$C$2:$C$500,MATCH($B143,المكونات!$A$2:$A$500,0)),"")</f>
        <v>140</v>
      </c>
      <c r="F143" s="69" t="n">
        <f aca="false">IFERROR($C143*$E143,"")</f>
        <v>21</v>
      </c>
    </row>
    <row r="144" customFormat="false" ht="15" hidden="false" customHeight="true" outlineLevel="0" collapsed="false">
      <c r="A144" s="66" t="s">
        <v>484</v>
      </c>
      <c r="B144" s="66" t="s">
        <v>262</v>
      </c>
      <c r="C144" s="66" t="n">
        <v>0.22</v>
      </c>
      <c r="D144" s="67" t="str">
        <f aca="false">IFERROR(INDEX(المكونات!$B$2:$B$500,MATCH($B144,المكونات!$A$2:$A$500,0)),"")</f>
        <v>كجم</v>
      </c>
      <c r="E144" s="68" t="n">
        <f aca="false">IFERROR(INDEX(المكونات!$C$2:$C$500,MATCH($B144,المكونات!$A$2:$A$500,0)),"")</f>
        <v>22</v>
      </c>
      <c r="F144" s="69" t="n">
        <f aca="false">IFERROR($C144*$E144,"")</f>
        <v>4.84</v>
      </c>
    </row>
    <row r="145" customFormat="false" ht="15" hidden="false" customHeight="true" outlineLevel="0" collapsed="false">
      <c r="A145" s="66" t="s">
        <v>484</v>
      </c>
      <c r="B145" s="66" t="s">
        <v>250</v>
      </c>
      <c r="C145" s="66" t="n">
        <v>0.04</v>
      </c>
      <c r="D145" s="67" t="str">
        <f aca="false">IFERROR(INDEX(المكونات!$B$2:$B$500,MATCH($B145,المكونات!$A$2:$A$500,0)),"")</f>
        <v>كجم</v>
      </c>
      <c r="E145" s="68" t="n">
        <f aca="false">IFERROR(INDEX(المكونات!$C$2:$C$500,MATCH($B145,المكونات!$A$2:$A$500,0)),"")</f>
        <v>32</v>
      </c>
      <c r="F145" s="69" t="n">
        <f aca="false">IFERROR($C145*$E145,"")</f>
        <v>1.28</v>
      </c>
    </row>
    <row r="146" customFormat="false" ht="15" hidden="false" customHeight="true" outlineLevel="0" collapsed="false">
      <c r="A146" s="66" t="s">
        <v>484</v>
      </c>
      <c r="B146" s="66" t="s">
        <v>260</v>
      </c>
      <c r="C146" s="66" t="n">
        <v>0.03</v>
      </c>
      <c r="D146" s="67" t="str">
        <f aca="false">IFERROR(INDEX(المكونات!$B$2:$B$500,MATCH($B146,المكونات!$A$2:$A$500,0)),"")</f>
        <v>كجم</v>
      </c>
      <c r="E146" s="68" t="n">
        <f aca="false">IFERROR(INDEX(المكونات!$C$2:$C$500,MATCH($B146,المكونات!$A$2:$A$500,0)),"")</f>
        <v>21</v>
      </c>
      <c r="F146" s="69" t="n">
        <f aca="false">IFERROR($C146*$E146,"")</f>
        <v>0.63</v>
      </c>
    </row>
    <row r="147" customFormat="false" ht="15" hidden="false" customHeight="true" outlineLevel="0" collapsed="false">
      <c r="A147" s="66" t="s">
        <v>484</v>
      </c>
      <c r="B147" s="66" t="s">
        <v>284</v>
      </c>
      <c r="C147" s="66" t="n">
        <v>0.02</v>
      </c>
      <c r="D147" s="67" t="str">
        <f aca="false">IFERROR(INDEX(المكونات!$B$2:$B$500,MATCH($B147,المكونات!$A$2:$A$500,0)),"")</f>
        <v>كجم</v>
      </c>
      <c r="E147" s="68" t="n">
        <f aca="false">IFERROR(INDEX(المكونات!$C$2:$C$500,MATCH($B147,المكونات!$A$2:$A$500,0)),"")</f>
        <v>27</v>
      </c>
      <c r="F147" s="69" t="n">
        <f aca="false">IFERROR($C147*$E147,"")</f>
        <v>0.54</v>
      </c>
    </row>
    <row r="148" customFormat="false" ht="15" hidden="false" customHeight="true" outlineLevel="0" collapsed="false">
      <c r="A148" s="66" t="s">
        <v>484</v>
      </c>
      <c r="B148" s="66" t="s">
        <v>227</v>
      </c>
      <c r="C148" s="66" t="n">
        <v>0.02</v>
      </c>
      <c r="D148" s="67" t="str">
        <f aca="false">IFERROR(INDEX(المكونات!$B$2:$B$500,MATCH($B148,المكونات!$A$2:$A$500,0)),"")</f>
        <v>كجم</v>
      </c>
      <c r="E148" s="68" t="n">
        <f aca="false">IFERROR(INDEX(المكونات!$C$2:$C$500,MATCH($B148,المكونات!$A$2:$A$500,0)),"")</f>
        <v>95</v>
      </c>
      <c r="F148" s="69" t="n">
        <f aca="false">IFERROR($C148*$E148,"")</f>
        <v>1.9</v>
      </c>
    </row>
    <row r="149" customFormat="false" ht="15" hidden="false" customHeight="true" outlineLevel="0" collapsed="false">
      <c r="A149" s="66" t="s">
        <v>484</v>
      </c>
      <c r="B149" s="66" t="s">
        <v>172</v>
      </c>
      <c r="C149" s="66" t="n">
        <v>1</v>
      </c>
      <c r="D149" s="67" t="str">
        <f aca="false">IFERROR(INDEX(المكونات!$B$2:$B$500,MATCH($B149,المكونات!$A$2:$A$500,0)),"")</f>
        <v>قطعة</v>
      </c>
      <c r="E149" s="68" t="n">
        <f aca="false">IFERROR(INDEX(المكونات!$C$2:$C$500,MATCH($B149,المكونات!$A$2:$A$500,0)),"")</f>
        <v>20</v>
      </c>
      <c r="F149" s="69" t="n">
        <f aca="false">IFERROR($C149*$E149,"")</f>
        <v>20</v>
      </c>
    </row>
    <row r="150" customFormat="false" ht="15" hidden="false" customHeight="true" outlineLevel="0" collapsed="false">
      <c r="A150" s="66" t="s">
        <v>484</v>
      </c>
      <c r="B150" s="66" t="s">
        <v>270</v>
      </c>
      <c r="C150" s="66" t="n">
        <v>1</v>
      </c>
      <c r="D150" s="67" t="str">
        <f aca="false">IFERROR(INDEX(المكونات!$B$2:$B$500,MATCH($B150,المكونات!$A$2:$A$500,0)),"")</f>
        <v>قطعة</v>
      </c>
      <c r="E150" s="68" t="n">
        <f aca="false">IFERROR(INDEX(المكونات!$C$2:$C$500,MATCH($B150,المكونات!$A$2:$A$500,0)),"")</f>
        <v>4.5</v>
      </c>
      <c r="F150" s="69" t="n">
        <f aca="false">IFERROR($C150*$E150,"")</f>
        <v>4.5</v>
      </c>
    </row>
    <row r="151" customFormat="false" ht="15" hidden="false" customHeight="true" outlineLevel="0" collapsed="false">
      <c r="A151" s="66" t="s">
        <v>484</v>
      </c>
      <c r="B151" s="66" t="s">
        <v>290</v>
      </c>
      <c r="C151" s="66" t="n">
        <v>2</v>
      </c>
      <c r="D151" s="67" t="str">
        <f aca="false">IFERROR(INDEX(المكونات!$B$2:$B$500,MATCH($B151,المكونات!$A$2:$A$500,0)),"")</f>
        <v>قطعة</v>
      </c>
      <c r="E151" s="68" t="n">
        <f aca="false">IFERROR(INDEX(المكونات!$C$2:$C$500,MATCH($B151,المكونات!$A$2:$A$500,0)),"")</f>
        <v>0.3</v>
      </c>
      <c r="F151" s="69" t="n">
        <f aca="false">IFERROR($C151*$E151,"")</f>
        <v>0.6</v>
      </c>
    </row>
    <row r="152" customFormat="false" ht="15" hidden="false" customHeight="true" outlineLevel="0" collapsed="false">
      <c r="A152" s="66" t="s">
        <v>484</v>
      </c>
      <c r="B152" s="66" t="s">
        <v>319</v>
      </c>
      <c r="C152" s="66" t="n">
        <v>1</v>
      </c>
      <c r="D152" s="67" t="str">
        <f aca="false">IFERROR(INDEX(المكونات!$B$2:$B$500,MATCH($B152,المكونات!$A$2:$A$500,0)),"")</f>
        <v>قطعة (ورقة)</v>
      </c>
      <c r="E152" s="68" t="n">
        <f aca="false">IFERROR(INDEX(المكونات!$C$2:$C$500,MATCH($B152,المكونات!$A$2:$A$500,0)),"")</f>
        <v>0.3665</v>
      </c>
      <c r="F152" s="69" t="n">
        <f aca="false">IFERROR($C152*$E152,"")</f>
        <v>0.3665</v>
      </c>
    </row>
    <row r="153" customFormat="false" ht="15" hidden="false" customHeight="true" outlineLevel="0" collapsed="false">
      <c r="A153" s="66" t="s">
        <v>484</v>
      </c>
      <c r="B153" s="66" t="s">
        <v>133</v>
      </c>
      <c r="C153" s="66" t="n">
        <v>1</v>
      </c>
      <c r="D153" s="67" t="str">
        <f aca="false">IFERROR(INDEX(المكونات!$B$2:$B$500,MATCH($B153,المكونات!$A$2:$A$500,0)),"")</f>
        <v>قطعة (كيس)</v>
      </c>
      <c r="E153" s="68" t="n">
        <f aca="false">IFERROR(INDEX(المكونات!$C$2:$C$500,MATCH($B153,المكونات!$A$2:$A$500,0)),"")</f>
        <v>1.4</v>
      </c>
      <c r="F153" s="69" t="n">
        <f aca="false">IFERROR($C153*$E153,"")</f>
        <v>1.4</v>
      </c>
    </row>
    <row r="154" customFormat="false" ht="15" hidden="false" customHeight="true" outlineLevel="0" collapsed="false">
      <c r="A154" s="66" t="s">
        <v>484</v>
      </c>
      <c r="B154" s="66" t="s">
        <v>293</v>
      </c>
      <c r="C154" s="66" t="n">
        <v>1</v>
      </c>
      <c r="D154" s="67" t="str">
        <f aca="false">IFERROR(INDEX(المكونات!$B$2:$B$500,MATCH($B154,المكونات!$A$2:$A$500,0)),"")</f>
        <v>قطعة</v>
      </c>
      <c r="E154" s="68" t="n">
        <f aca="false">IFERROR(INDEX(المكونات!$C$2:$C$500,MATCH($B154,المكونات!$A$2:$A$500,0)),"")</f>
        <v>0.5</v>
      </c>
      <c r="F154" s="69" t="n">
        <f aca="false">IFERROR($C154*$E154,"")</f>
        <v>0.5</v>
      </c>
    </row>
    <row r="155" customFormat="false" ht="15" hidden="false" customHeight="true" outlineLevel="0" collapsed="false">
      <c r="A155" s="66" t="s">
        <v>484</v>
      </c>
      <c r="B155" s="66" t="s">
        <v>211</v>
      </c>
      <c r="C155" s="66" t="n">
        <v>2</v>
      </c>
      <c r="D155" s="67" t="str">
        <f aca="false">IFERROR(INDEX(المكونات!$B$2:$B$500,MATCH($B155,المكونات!$A$2:$A$500,0)),"")</f>
        <v>قطعة (جلفز)</v>
      </c>
      <c r="E155" s="68" t="n">
        <f aca="false">IFERROR(INDEX(المكونات!$C$2:$C$500,MATCH($B155,المكونات!$A$2:$A$500,0)),"")</f>
        <v>0.18</v>
      </c>
      <c r="F155" s="69" t="n">
        <f aca="false">IFERROR($C155*$E155,"")</f>
        <v>0.36</v>
      </c>
    </row>
    <row r="156" customFormat="false" ht="15" hidden="false" customHeight="true" outlineLevel="0" collapsed="false">
      <c r="A156" s="66" t="s">
        <v>484</v>
      </c>
      <c r="B156" s="66" t="s">
        <v>322</v>
      </c>
      <c r="C156" s="66" t="n">
        <v>1</v>
      </c>
      <c r="D156" s="67" t="str">
        <f aca="false">IFERROR(INDEX(المكونات!$B$2:$B$500,MATCH($B156,المكونات!$A$2:$A$500,0)),"")</f>
        <v>قطعة (كيس)</v>
      </c>
      <c r="E156" s="68" t="n">
        <f aca="false">IFERROR(INDEX(المكونات!$C$2:$C$500,MATCH($B156,المكونات!$A$2:$A$500,0)),"")</f>
        <v>1</v>
      </c>
      <c r="F156" s="69" t="n">
        <f aca="false">IFERROR($C156*$E156,"")</f>
        <v>1</v>
      </c>
    </row>
    <row r="157" customFormat="false" ht="15" hidden="false" customHeight="true" outlineLevel="0" collapsed="false">
      <c r="A157" s="66" t="s">
        <v>484</v>
      </c>
      <c r="B157" s="66" t="s">
        <v>158</v>
      </c>
      <c r="C157" s="66" t="n">
        <v>1</v>
      </c>
      <c r="D157" s="67" t="str">
        <f aca="false">IFERROR(INDEX(المكونات!$B$2:$B$500,MATCH($B157,المكونات!$A$2:$A$500,0)),"")</f>
        <v>قطعة</v>
      </c>
      <c r="E157" s="68" t="n">
        <f aca="false">IFERROR(INDEX(المكونات!$C$2:$C$500,MATCH($B157,المكونات!$A$2:$A$500,0)),"")</f>
        <v>33.982</v>
      </c>
      <c r="F157" s="69" t="n">
        <f aca="false">IFERROR($C157*$E157,"")</f>
        <v>33.982</v>
      </c>
    </row>
    <row r="158" customFormat="false" ht="15" hidden="false" customHeight="true" outlineLevel="0" collapsed="false">
      <c r="A158" s="66" t="s">
        <v>484</v>
      </c>
      <c r="B158" s="66" t="s">
        <v>256</v>
      </c>
      <c r="C158" s="66" t="n">
        <v>0.1</v>
      </c>
      <c r="D158" s="67" t="str">
        <f aca="false">IFERROR(INDEX(المكونات!$B$2:$B$500,MATCH($B158,المكونات!$A$2:$A$500,0)),"")</f>
        <v>كجم</v>
      </c>
      <c r="E158" s="68" t="n">
        <f aca="false">IFERROR(INDEX(المكونات!$C$2:$C$500,MATCH($B158,المكونات!$A$2:$A$500,0)),"")</f>
        <v>105</v>
      </c>
      <c r="F158" s="69" t="n">
        <f aca="false">IFERROR($C158*$E158,"")</f>
        <v>10.5</v>
      </c>
    </row>
    <row r="159" customFormat="false" ht="15" hidden="false" customHeight="true" outlineLevel="0" collapsed="false">
      <c r="A159" s="66" t="s">
        <v>425</v>
      </c>
      <c r="B159" s="66" t="s">
        <v>262</v>
      </c>
      <c r="C159" s="66" t="n">
        <v>0.3</v>
      </c>
      <c r="D159" s="67" t="str">
        <f aca="false">IFERROR(INDEX(المكونات!$B$2:$B$500,MATCH($B159,المكونات!$A$2:$A$500,0)),"")</f>
        <v>كجم</v>
      </c>
      <c r="E159" s="68" t="n">
        <f aca="false">IFERROR(INDEX(المكونات!$C$2:$C$500,MATCH($B159,المكونات!$A$2:$A$500,0)),"")</f>
        <v>22</v>
      </c>
      <c r="F159" s="69" t="n">
        <f aca="false">IFERROR($C159*$E159,"")</f>
        <v>6.6</v>
      </c>
    </row>
    <row r="160" customFormat="false" ht="15" hidden="false" customHeight="true" outlineLevel="0" collapsed="false">
      <c r="A160" s="66" t="s">
        <v>425</v>
      </c>
      <c r="B160" s="66" t="s">
        <v>250</v>
      </c>
      <c r="C160" s="66" t="n">
        <v>0.06</v>
      </c>
      <c r="D160" s="67" t="str">
        <f aca="false">IFERROR(INDEX(المكونات!$B$2:$B$500,MATCH($B160,المكونات!$A$2:$A$500,0)),"")</f>
        <v>كجم</v>
      </c>
      <c r="E160" s="68" t="n">
        <f aca="false">IFERROR(INDEX(المكونات!$C$2:$C$500,MATCH($B160,المكونات!$A$2:$A$500,0)),"")</f>
        <v>32</v>
      </c>
      <c r="F160" s="69" t="n">
        <f aca="false">IFERROR($C160*$E160,"")</f>
        <v>1.92</v>
      </c>
    </row>
    <row r="161" customFormat="false" ht="15" hidden="false" customHeight="true" outlineLevel="0" collapsed="false">
      <c r="A161" s="66" t="s">
        <v>425</v>
      </c>
      <c r="B161" s="66" t="s">
        <v>260</v>
      </c>
      <c r="C161" s="66" t="n">
        <v>0.045</v>
      </c>
      <c r="D161" s="67" t="str">
        <f aca="false">IFERROR(INDEX(المكونات!$B$2:$B$500,MATCH($B161,المكونات!$A$2:$A$500,0)),"")</f>
        <v>كجم</v>
      </c>
      <c r="E161" s="68" t="n">
        <f aca="false">IFERROR(INDEX(المكونات!$C$2:$C$500,MATCH($B161,المكونات!$A$2:$A$500,0)),"")</f>
        <v>21</v>
      </c>
      <c r="F161" s="69" t="n">
        <f aca="false">IFERROR($C161*$E161,"")</f>
        <v>0.945</v>
      </c>
    </row>
    <row r="162" customFormat="false" ht="15" hidden="false" customHeight="true" outlineLevel="0" collapsed="false">
      <c r="A162" s="66" t="s">
        <v>425</v>
      </c>
      <c r="B162" s="66" t="s">
        <v>284</v>
      </c>
      <c r="C162" s="66" t="n">
        <v>0.03</v>
      </c>
      <c r="D162" s="67" t="str">
        <f aca="false">IFERROR(INDEX(المكونات!$B$2:$B$500,MATCH($B162,المكونات!$A$2:$A$500,0)),"")</f>
        <v>كجم</v>
      </c>
      <c r="E162" s="68" t="n">
        <f aca="false">IFERROR(INDEX(المكونات!$C$2:$C$500,MATCH($B162,المكونات!$A$2:$A$500,0)),"")</f>
        <v>27</v>
      </c>
      <c r="F162" s="69" t="n">
        <f aca="false">IFERROR($C162*$E162,"")</f>
        <v>0.81</v>
      </c>
    </row>
    <row r="163" customFormat="false" ht="15" hidden="false" customHeight="true" outlineLevel="0" collapsed="false">
      <c r="A163" s="66" t="s">
        <v>425</v>
      </c>
      <c r="B163" s="66" t="s">
        <v>227</v>
      </c>
      <c r="C163" s="66" t="n">
        <v>0.03</v>
      </c>
      <c r="D163" s="67" t="str">
        <f aca="false">IFERROR(INDEX(المكونات!$B$2:$B$500,MATCH($B163,المكونات!$A$2:$A$500,0)),"")</f>
        <v>كجم</v>
      </c>
      <c r="E163" s="68" t="n">
        <f aca="false">IFERROR(INDEX(المكونات!$C$2:$C$500,MATCH($B163,المكونات!$A$2:$A$500,0)),"")</f>
        <v>95</v>
      </c>
      <c r="F163" s="69" t="n">
        <f aca="false">IFERROR($C163*$E163,"")</f>
        <v>2.85</v>
      </c>
    </row>
    <row r="164" customFormat="false" ht="15" hidden="false" customHeight="true" outlineLevel="0" collapsed="false">
      <c r="A164" s="66" t="s">
        <v>425</v>
      </c>
      <c r="B164" s="66" t="s">
        <v>174</v>
      </c>
      <c r="C164" s="66" t="n">
        <v>1</v>
      </c>
      <c r="D164" s="67" t="str">
        <f aca="false">IFERROR(INDEX(المكونات!$B$2:$B$500,MATCH($B164,المكونات!$A$2:$A$500,0)),"")</f>
        <v>قطعة</v>
      </c>
      <c r="E164" s="68" t="n">
        <f aca="false">IFERROR(INDEX(المكونات!$C$2:$C$500,MATCH($B164,المكونات!$A$2:$A$500,0)),"")</f>
        <v>27.1395</v>
      </c>
      <c r="F164" s="69" t="n">
        <f aca="false">IFERROR($C164*$E164,"")</f>
        <v>27.1395</v>
      </c>
    </row>
    <row r="165" customFormat="false" ht="15" hidden="false" customHeight="true" outlineLevel="0" collapsed="false">
      <c r="A165" s="66" t="s">
        <v>425</v>
      </c>
      <c r="B165" s="66" t="s">
        <v>268</v>
      </c>
      <c r="C165" s="66" t="n">
        <v>1</v>
      </c>
      <c r="D165" s="67" t="str">
        <f aca="false">IFERROR(INDEX(المكونات!$B$2:$B$500,MATCH($B165,المكونات!$A$2:$A$500,0)),"")</f>
        <v>قطعة</v>
      </c>
      <c r="E165" s="68" t="n">
        <f aca="false">IFERROR(INDEX(المكونات!$C$2:$C$500,MATCH($B165,المكونات!$A$2:$A$500,0)),"")</f>
        <v>5.5</v>
      </c>
      <c r="F165" s="69" t="n">
        <f aca="false">IFERROR($C165*$E165,"")</f>
        <v>5.5</v>
      </c>
    </row>
    <row r="166" customFormat="false" ht="15" hidden="false" customHeight="true" outlineLevel="0" collapsed="false">
      <c r="A166" s="66" t="s">
        <v>425</v>
      </c>
      <c r="B166" s="66" t="s">
        <v>290</v>
      </c>
      <c r="C166" s="66" t="n">
        <v>3</v>
      </c>
      <c r="D166" s="67" t="str">
        <f aca="false">IFERROR(INDEX(المكونات!$B$2:$B$500,MATCH($B166,المكونات!$A$2:$A$500,0)),"")</f>
        <v>قطعة</v>
      </c>
      <c r="E166" s="68" t="n">
        <f aca="false">IFERROR(INDEX(المكونات!$C$2:$C$500,MATCH($B166,المكونات!$A$2:$A$500,0)),"")</f>
        <v>0.3</v>
      </c>
      <c r="F166" s="69" t="n">
        <f aca="false">IFERROR($C166*$E166,"")</f>
        <v>0.9</v>
      </c>
    </row>
    <row r="167" customFormat="false" ht="15" hidden="false" customHeight="true" outlineLevel="0" collapsed="false">
      <c r="A167" s="66" t="s">
        <v>425</v>
      </c>
      <c r="B167" s="66" t="s">
        <v>319</v>
      </c>
      <c r="C167" s="66" t="n">
        <v>1</v>
      </c>
      <c r="D167" s="67" t="str">
        <f aca="false">IFERROR(INDEX(المكونات!$B$2:$B$500,MATCH($B167,المكونات!$A$2:$A$500,0)),"")</f>
        <v>قطعة (ورقة)</v>
      </c>
      <c r="E167" s="68" t="n">
        <f aca="false">IFERROR(INDEX(المكونات!$C$2:$C$500,MATCH($B167,المكونات!$A$2:$A$500,0)),"")</f>
        <v>0.3665</v>
      </c>
      <c r="F167" s="69" t="n">
        <f aca="false">IFERROR($C167*$E167,"")</f>
        <v>0.3665</v>
      </c>
    </row>
    <row r="168" customFormat="false" ht="15" hidden="false" customHeight="true" outlineLevel="0" collapsed="false">
      <c r="A168" s="66" t="s">
        <v>425</v>
      </c>
      <c r="B168" s="66" t="s">
        <v>133</v>
      </c>
      <c r="C168" s="66" t="n">
        <v>1</v>
      </c>
      <c r="D168" s="67" t="str">
        <f aca="false">IFERROR(INDEX(المكونات!$B$2:$B$500,MATCH($B168,المكونات!$A$2:$A$500,0)),"")</f>
        <v>قطعة (كيس)</v>
      </c>
      <c r="E168" s="68" t="n">
        <f aca="false">IFERROR(INDEX(المكونات!$C$2:$C$500,MATCH($B168,المكونات!$A$2:$A$500,0)),"")</f>
        <v>1.4</v>
      </c>
      <c r="F168" s="69" t="n">
        <f aca="false">IFERROR($C168*$E168,"")</f>
        <v>1.4</v>
      </c>
    </row>
    <row r="169" customFormat="false" ht="15" hidden="false" customHeight="true" outlineLevel="0" collapsed="false">
      <c r="A169" s="66" t="s">
        <v>425</v>
      </c>
      <c r="B169" s="66" t="s">
        <v>293</v>
      </c>
      <c r="C169" s="66" t="n">
        <v>1</v>
      </c>
      <c r="D169" s="67" t="str">
        <f aca="false">IFERROR(INDEX(المكونات!$B$2:$B$500,MATCH($B169,المكونات!$A$2:$A$500,0)),"")</f>
        <v>قطعة</v>
      </c>
      <c r="E169" s="68" t="n">
        <f aca="false">IFERROR(INDEX(المكونات!$C$2:$C$500,MATCH($B169,المكونات!$A$2:$A$500,0)),"")</f>
        <v>0.5</v>
      </c>
      <c r="F169" s="69" t="n">
        <f aca="false">IFERROR($C169*$E169,"")</f>
        <v>0.5</v>
      </c>
    </row>
    <row r="170" customFormat="false" ht="15" hidden="false" customHeight="true" outlineLevel="0" collapsed="false">
      <c r="A170" s="66" t="s">
        <v>425</v>
      </c>
      <c r="B170" s="66" t="s">
        <v>211</v>
      </c>
      <c r="C170" s="66" t="n">
        <v>2</v>
      </c>
      <c r="D170" s="67" t="str">
        <f aca="false">IFERROR(INDEX(المكونات!$B$2:$B$500,MATCH($B170,المكونات!$A$2:$A$500,0)),"")</f>
        <v>قطعة (جلفز)</v>
      </c>
      <c r="E170" s="68" t="n">
        <f aca="false">IFERROR(INDEX(المكونات!$C$2:$C$500,MATCH($B170,المكونات!$A$2:$A$500,0)),"")</f>
        <v>0.18</v>
      </c>
      <c r="F170" s="69" t="n">
        <f aca="false">IFERROR($C170*$E170,"")</f>
        <v>0.36</v>
      </c>
    </row>
    <row r="171" customFormat="false" ht="15" hidden="false" customHeight="true" outlineLevel="0" collapsed="false">
      <c r="A171" s="66" t="s">
        <v>425</v>
      </c>
      <c r="B171" s="66" t="s">
        <v>322</v>
      </c>
      <c r="C171" s="66" t="n">
        <v>1</v>
      </c>
      <c r="D171" s="67" t="str">
        <f aca="false">IFERROR(INDEX(المكونات!$B$2:$B$500,MATCH($B171,المكونات!$A$2:$A$500,0)),"")</f>
        <v>قطعة (كيس)</v>
      </c>
      <c r="E171" s="68" t="n">
        <f aca="false">IFERROR(INDEX(المكونات!$C$2:$C$500,MATCH($B171,المكونات!$A$2:$A$500,0)),"")</f>
        <v>1</v>
      </c>
      <c r="F171" s="69" t="n">
        <f aca="false">IFERROR($C171*$E171,"")</f>
        <v>1</v>
      </c>
    </row>
    <row r="172" customFormat="false" ht="15" hidden="false" customHeight="true" outlineLevel="0" collapsed="false">
      <c r="A172" s="66" t="s">
        <v>425</v>
      </c>
      <c r="B172" s="66" t="s">
        <v>160</v>
      </c>
      <c r="C172" s="66" t="n">
        <v>1</v>
      </c>
      <c r="D172" s="67" t="str">
        <f aca="false">IFERROR(INDEX(المكونات!$B$2:$B$500,MATCH($B172,المكونات!$A$2:$A$500,0)),"")</f>
        <v>قطعة</v>
      </c>
      <c r="E172" s="68" t="n">
        <f aca="false">IFERROR(INDEX(المكونات!$C$2:$C$500,MATCH($B172,المكونات!$A$2:$A$500,0)),"")</f>
        <v>48.7817</v>
      </c>
      <c r="F172" s="69" t="n">
        <f aca="false">IFERROR($C172*$E172,"")</f>
        <v>48.7817</v>
      </c>
    </row>
    <row r="173" customFormat="false" ht="15" hidden="false" customHeight="true" outlineLevel="0" collapsed="false">
      <c r="A173" s="66" t="s">
        <v>425</v>
      </c>
      <c r="B173" s="66" t="s">
        <v>256</v>
      </c>
      <c r="C173" s="66" t="n">
        <v>0.15</v>
      </c>
      <c r="D173" s="67" t="str">
        <f aca="false">IFERROR(INDEX(المكونات!$B$2:$B$500,MATCH($B173,المكونات!$A$2:$A$500,0)),"")</f>
        <v>كجم</v>
      </c>
      <c r="E173" s="68" t="n">
        <f aca="false">IFERROR(INDEX(المكونات!$C$2:$C$500,MATCH($B173,المكونات!$A$2:$A$500,0)),"")</f>
        <v>105</v>
      </c>
      <c r="F173" s="69" t="n">
        <f aca="false">IFERROR($C173*$E173,"")</f>
        <v>15.75</v>
      </c>
    </row>
    <row r="174" customFormat="false" ht="15" hidden="false" customHeight="true" outlineLevel="0" collapsed="false">
      <c r="A174" s="66" t="s">
        <v>488</v>
      </c>
      <c r="B174" s="66" t="s">
        <v>262</v>
      </c>
      <c r="C174" s="66" t="n">
        <v>0.22</v>
      </c>
      <c r="D174" s="67" t="str">
        <f aca="false">IFERROR(INDEX(المكونات!$B$2:$B$500,MATCH($B174,المكونات!$A$2:$A$500,0)),"")</f>
        <v>كجم</v>
      </c>
      <c r="E174" s="68" t="n">
        <f aca="false">IFERROR(INDEX(المكونات!$C$2:$C$500,MATCH($B174,المكونات!$A$2:$A$500,0)),"")</f>
        <v>22</v>
      </c>
      <c r="F174" s="69" t="n">
        <f aca="false">IFERROR($C174*$E174,"")</f>
        <v>4.84</v>
      </c>
    </row>
    <row r="175" customFormat="false" ht="15" hidden="false" customHeight="true" outlineLevel="0" collapsed="false">
      <c r="A175" s="66" t="s">
        <v>488</v>
      </c>
      <c r="B175" s="66" t="s">
        <v>250</v>
      </c>
      <c r="C175" s="66" t="n">
        <v>0.04</v>
      </c>
      <c r="D175" s="67" t="str">
        <f aca="false">IFERROR(INDEX(المكونات!$B$2:$B$500,MATCH($B175,المكونات!$A$2:$A$500,0)),"")</f>
        <v>كجم</v>
      </c>
      <c r="E175" s="68" t="n">
        <f aca="false">IFERROR(INDEX(المكونات!$C$2:$C$500,MATCH($B175,المكونات!$A$2:$A$500,0)),"")</f>
        <v>32</v>
      </c>
      <c r="F175" s="69" t="n">
        <f aca="false">IFERROR($C175*$E175,"")</f>
        <v>1.28</v>
      </c>
    </row>
    <row r="176" customFormat="false" ht="15" hidden="false" customHeight="true" outlineLevel="0" collapsed="false">
      <c r="A176" s="66" t="s">
        <v>488</v>
      </c>
      <c r="B176" s="66" t="s">
        <v>260</v>
      </c>
      <c r="C176" s="66" t="n">
        <v>0.03</v>
      </c>
      <c r="D176" s="67" t="str">
        <f aca="false">IFERROR(INDEX(المكونات!$B$2:$B$500,MATCH($B176,المكونات!$A$2:$A$500,0)),"")</f>
        <v>كجم</v>
      </c>
      <c r="E176" s="68" t="n">
        <f aca="false">IFERROR(INDEX(المكونات!$C$2:$C$500,MATCH($B176,المكونات!$A$2:$A$500,0)),"")</f>
        <v>21</v>
      </c>
      <c r="F176" s="69" t="n">
        <f aca="false">IFERROR($C176*$E176,"")</f>
        <v>0.63</v>
      </c>
    </row>
    <row r="177" customFormat="false" ht="15" hidden="false" customHeight="true" outlineLevel="0" collapsed="false">
      <c r="A177" s="66" t="s">
        <v>488</v>
      </c>
      <c r="B177" s="66" t="s">
        <v>284</v>
      </c>
      <c r="C177" s="66" t="n">
        <v>0.02</v>
      </c>
      <c r="D177" s="67" t="str">
        <f aca="false">IFERROR(INDEX(المكونات!$B$2:$B$500,MATCH($B177,المكونات!$A$2:$A$500,0)),"")</f>
        <v>كجم</v>
      </c>
      <c r="E177" s="68" t="n">
        <f aca="false">IFERROR(INDEX(المكونات!$C$2:$C$500,MATCH($B177,المكونات!$A$2:$A$500,0)),"")</f>
        <v>27</v>
      </c>
      <c r="F177" s="69" t="n">
        <f aca="false">IFERROR($C177*$E177,"")</f>
        <v>0.54</v>
      </c>
    </row>
    <row r="178" customFormat="false" ht="15" hidden="false" customHeight="true" outlineLevel="0" collapsed="false">
      <c r="A178" s="66" t="s">
        <v>488</v>
      </c>
      <c r="B178" s="66" t="s">
        <v>227</v>
      </c>
      <c r="C178" s="66" t="n">
        <v>0.02</v>
      </c>
      <c r="D178" s="67" t="str">
        <f aca="false">IFERROR(INDEX(المكونات!$B$2:$B$500,MATCH($B178,المكونات!$A$2:$A$500,0)),"")</f>
        <v>كجم</v>
      </c>
      <c r="E178" s="68" t="n">
        <f aca="false">IFERROR(INDEX(المكونات!$C$2:$C$500,MATCH($B178,المكونات!$A$2:$A$500,0)),"")</f>
        <v>95</v>
      </c>
      <c r="F178" s="69" t="n">
        <f aca="false">IFERROR($C178*$E178,"")</f>
        <v>1.9</v>
      </c>
    </row>
    <row r="179" customFormat="false" ht="15" hidden="false" customHeight="true" outlineLevel="0" collapsed="false">
      <c r="A179" s="66" t="s">
        <v>488</v>
      </c>
      <c r="B179" s="66" t="s">
        <v>172</v>
      </c>
      <c r="C179" s="66" t="n">
        <v>1</v>
      </c>
      <c r="D179" s="67" t="str">
        <f aca="false">IFERROR(INDEX(المكونات!$B$2:$B$500,MATCH($B179,المكونات!$A$2:$A$500,0)),"")</f>
        <v>قطعة</v>
      </c>
      <c r="E179" s="68" t="n">
        <f aca="false">IFERROR(INDEX(المكونات!$C$2:$C$500,MATCH($B179,المكونات!$A$2:$A$500,0)),"")</f>
        <v>20</v>
      </c>
      <c r="F179" s="69" t="n">
        <f aca="false">IFERROR($C179*$E179,"")</f>
        <v>20</v>
      </c>
    </row>
    <row r="180" customFormat="false" ht="15" hidden="false" customHeight="true" outlineLevel="0" collapsed="false">
      <c r="A180" s="66" t="s">
        <v>488</v>
      </c>
      <c r="B180" s="66" t="s">
        <v>270</v>
      </c>
      <c r="C180" s="66" t="n">
        <v>1</v>
      </c>
      <c r="D180" s="67" t="str">
        <f aca="false">IFERROR(INDEX(المكونات!$B$2:$B$500,MATCH($B180,المكونات!$A$2:$A$500,0)),"")</f>
        <v>قطعة</v>
      </c>
      <c r="E180" s="68" t="n">
        <f aca="false">IFERROR(INDEX(المكونات!$C$2:$C$500,MATCH($B180,المكونات!$A$2:$A$500,0)),"")</f>
        <v>4.5</v>
      </c>
      <c r="F180" s="69" t="n">
        <f aca="false">IFERROR($C180*$E180,"")</f>
        <v>4.5</v>
      </c>
    </row>
    <row r="181" customFormat="false" ht="15" hidden="false" customHeight="true" outlineLevel="0" collapsed="false">
      <c r="A181" s="66" t="s">
        <v>488</v>
      </c>
      <c r="B181" s="66" t="s">
        <v>290</v>
      </c>
      <c r="C181" s="66" t="n">
        <v>2</v>
      </c>
      <c r="D181" s="67" t="str">
        <f aca="false">IFERROR(INDEX(المكونات!$B$2:$B$500,MATCH($B181,المكونات!$A$2:$A$500,0)),"")</f>
        <v>قطعة</v>
      </c>
      <c r="E181" s="68" t="n">
        <f aca="false">IFERROR(INDEX(المكونات!$C$2:$C$500,MATCH($B181,المكونات!$A$2:$A$500,0)),"")</f>
        <v>0.3</v>
      </c>
      <c r="F181" s="69" t="n">
        <f aca="false">IFERROR($C181*$E181,"")</f>
        <v>0.6</v>
      </c>
    </row>
    <row r="182" customFormat="false" ht="15" hidden="false" customHeight="true" outlineLevel="0" collapsed="false">
      <c r="A182" s="66" t="s">
        <v>488</v>
      </c>
      <c r="B182" s="66" t="s">
        <v>319</v>
      </c>
      <c r="C182" s="66" t="n">
        <v>1</v>
      </c>
      <c r="D182" s="67" t="str">
        <f aca="false">IFERROR(INDEX(المكونات!$B$2:$B$500,MATCH($B182,المكونات!$A$2:$A$500,0)),"")</f>
        <v>قطعة (ورقة)</v>
      </c>
      <c r="E182" s="68" t="n">
        <f aca="false">IFERROR(INDEX(المكونات!$C$2:$C$500,MATCH($B182,المكونات!$A$2:$A$500,0)),"")</f>
        <v>0.3665</v>
      </c>
      <c r="F182" s="69" t="n">
        <f aca="false">IFERROR($C182*$E182,"")</f>
        <v>0.3665</v>
      </c>
    </row>
    <row r="183" customFormat="false" ht="15" hidden="false" customHeight="true" outlineLevel="0" collapsed="false">
      <c r="A183" s="66" t="s">
        <v>488</v>
      </c>
      <c r="B183" s="66" t="s">
        <v>133</v>
      </c>
      <c r="C183" s="66" t="n">
        <v>1</v>
      </c>
      <c r="D183" s="67" t="str">
        <f aca="false">IFERROR(INDEX(المكونات!$B$2:$B$500,MATCH($B183,المكونات!$A$2:$A$500,0)),"")</f>
        <v>قطعة (كيس)</v>
      </c>
      <c r="E183" s="68" t="n">
        <f aca="false">IFERROR(INDEX(المكونات!$C$2:$C$500,MATCH($B183,المكونات!$A$2:$A$500,0)),"")</f>
        <v>1.4</v>
      </c>
      <c r="F183" s="69" t="n">
        <f aca="false">IFERROR($C183*$E183,"")</f>
        <v>1.4</v>
      </c>
    </row>
    <row r="184" customFormat="false" ht="15" hidden="false" customHeight="true" outlineLevel="0" collapsed="false">
      <c r="A184" s="66" t="s">
        <v>488</v>
      </c>
      <c r="B184" s="66" t="s">
        <v>293</v>
      </c>
      <c r="C184" s="66" t="n">
        <v>1</v>
      </c>
      <c r="D184" s="67" t="str">
        <f aca="false">IFERROR(INDEX(المكونات!$B$2:$B$500,MATCH($B184,المكونات!$A$2:$A$500,0)),"")</f>
        <v>قطعة</v>
      </c>
      <c r="E184" s="68" t="n">
        <f aca="false">IFERROR(INDEX(المكونات!$C$2:$C$500,MATCH($B184,المكونات!$A$2:$A$500,0)),"")</f>
        <v>0.5</v>
      </c>
      <c r="F184" s="69" t="n">
        <f aca="false">IFERROR($C184*$E184,"")</f>
        <v>0.5</v>
      </c>
    </row>
    <row r="185" customFormat="false" ht="15" hidden="false" customHeight="true" outlineLevel="0" collapsed="false">
      <c r="A185" s="66" t="s">
        <v>488</v>
      </c>
      <c r="B185" s="66" t="s">
        <v>211</v>
      </c>
      <c r="C185" s="66" t="n">
        <v>2</v>
      </c>
      <c r="D185" s="67" t="str">
        <f aca="false">IFERROR(INDEX(المكونات!$B$2:$B$500,MATCH($B185,المكونات!$A$2:$A$500,0)),"")</f>
        <v>قطعة (جلفز)</v>
      </c>
      <c r="E185" s="68" t="n">
        <f aca="false">IFERROR(INDEX(المكونات!$C$2:$C$500,MATCH($B185,المكونات!$A$2:$A$500,0)),"")</f>
        <v>0.18</v>
      </c>
      <c r="F185" s="69" t="n">
        <f aca="false">IFERROR($C185*$E185,"")</f>
        <v>0.36</v>
      </c>
    </row>
    <row r="186" customFormat="false" ht="15" hidden="false" customHeight="true" outlineLevel="0" collapsed="false">
      <c r="A186" s="66" t="s">
        <v>488</v>
      </c>
      <c r="B186" s="66" t="s">
        <v>322</v>
      </c>
      <c r="C186" s="66" t="n">
        <v>1</v>
      </c>
      <c r="D186" s="67" t="str">
        <f aca="false">IFERROR(INDEX(المكونات!$B$2:$B$500,MATCH($B186,المكونات!$A$2:$A$500,0)),"")</f>
        <v>قطعة (كيس)</v>
      </c>
      <c r="E186" s="68" t="n">
        <f aca="false">IFERROR(INDEX(المكونات!$C$2:$C$500,MATCH($B186,المكونات!$A$2:$A$500,0)),"")</f>
        <v>1</v>
      </c>
      <c r="F186" s="69" t="n">
        <f aca="false">IFERROR($C186*$E186,"")</f>
        <v>1</v>
      </c>
    </row>
    <row r="187" customFormat="false" ht="15" hidden="false" customHeight="true" outlineLevel="0" collapsed="false">
      <c r="A187" s="66" t="s">
        <v>488</v>
      </c>
      <c r="B187" s="66" t="s">
        <v>158</v>
      </c>
      <c r="C187" s="66" t="n">
        <v>1</v>
      </c>
      <c r="D187" s="67" t="str">
        <f aca="false">IFERROR(INDEX(المكونات!$B$2:$B$500,MATCH($B187,المكونات!$A$2:$A$500,0)),"")</f>
        <v>قطعة</v>
      </c>
      <c r="E187" s="68" t="n">
        <f aca="false">IFERROR(INDEX(المكونات!$C$2:$C$500,MATCH($B187,المكونات!$A$2:$A$500,0)),"")</f>
        <v>33.982</v>
      </c>
      <c r="F187" s="69" t="n">
        <f aca="false">IFERROR($C187*$E187,"")</f>
        <v>33.982</v>
      </c>
    </row>
    <row r="188" customFormat="false" ht="15" hidden="false" customHeight="true" outlineLevel="0" collapsed="false">
      <c r="A188" s="66" t="s">
        <v>488</v>
      </c>
      <c r="B188" s="66" t="s">
        <v>252</v>
      </c>
      <c r="C188" s="66" t="n">
        <v>0.1</v>
      </c>
      <c r="D188" s="67" t="str">
        <f aca="false">IFERROR(INDEX(المكونات!$B$2:$B$500,MATCH($B188,المكونات!$A$2:$A$500,0)),"")</f>
        <v>كجم</v>
      </c>
      <c r="E188" s="68" t="n">
        <f aca="false">IFERROR(INDEX(المكونات!$C$2:$C$500,MATCH($B188,المكونات!$A$2:$A$500,0)),"")</f>
        <v>70</v>
      </c>
      <c r="F188" s="69" t="n">
        <f aca="false">IFERROR($C188*$E188,"")</f>
        <v>7</v>
      </c>
    </row>
    <row r="189" customFormat="false" ht="15" hidden="false" customHeight="true" outlineLevel="0" collapsed="false">
      <c r="A189" s="66" t="s">
        <v>424</v>
      </c>
      <c r="B189" s="66" t="s">
        <v>262</v>
      </c>
      <c r="C189" s="66" t="n">
        <v>0.3</v>
      </c>
      <c r="D189" s="67" t="str">
        <f aca="false">IFERROR(INDEX(المكونات!$B$2:$B$500,MATCH($B189,المكونات!$A$2:$A$500,0)),"")</f>
        <v>كجم</v>
      </c>
      <c r="E189" s="68" t="n">
        <f aca="false">IFERROR(INDEX(المكونات!$C$2:$C$500,MATCH($B189,المكونات!$A$2:$A$500,0)),"")</f>
        <v>22</v>
      </c>
      <c r="F189" s="69" t="n">
        <f aca="false">IFERROR($C189*$E189,"")</f>
        <v>6.6</v>
      </c>
    </row>
    <row r="190" customFormat="false" ht="15" hidden="false" customHeight="true" outlineLevel="0" collapsed="false">
      <c r="A190" s="66" t="s">
        <v>424</v>
      </c>
      <c r="B190" s="66" t="s">
        <v>250</v>
      </c>
      <c r="C190" s="66" t="n">
        <v>0.06</v>
      </c>
      <c r="D190" s="67" t="str">
        <f aca="false">IFERROR(INDEX(المكونات!$B$2:$B$500,MATCH($B190,المكونات!$A$2:$A$500,0)),"")</f>
        <v>كجم</v>
      </c>
      <c r="E190" s="68" t="n">
        <f aca="false">IFERROR(INDEX(المكونات!$C$2:$C$500,MATCH($B190,المكونات!$A$2:$A$500,0)),"")</f>
        <v>32</v>
      </c>
      <c r="F190" s="69" t="n">
        <f aca="false">IFERROR($C190*$E190,"")</f>
        <v>1.92</v>
      </c>
    </row>
    <row r="191" customFormat="false" ht="15" hidden="false" customHeight="true" outlineLevel="0" collapsed="false">
      <c r="A191" s="66" t="s">
        <v>424</v>
      </c>
      <c r="B191" s="66" t="s">
        <v>260</v>
      </c>
      <c r="C191" s="66" t="n">
        <v>0.045</v>
      </c>
      <c r="D191" s="67" t="str">
        <f aca="false">IFERROR(INDEX(المكونات!$B$2:$B$500,MATCH($B191,المكونات!$A$2:$A$500,0)),"")</f>
        <v>كجم</v>
      </c>
      <c r="E191" s="68" t="n">
        <f aca="false">IFERROR(INDEX(المكونات!$C$2:$C$500,MATCH($B191,المكونات!$A$2:$A$500,0)),"")</f>
        <v>21</v>
      </c>
      <c r="F191" s="69" t="n">
        <f aca="false">IFERROR($C191*$E191,"")</f>
        <v>0.945</v>
      </c>
    </row>
    <row r="192" customFormat="false" ht="15" hidden="false" customHeight="true" outlineLevel="0" collapsed="false">
      <c r="A192" s="66" t="s">
        <v>424</v>
      </c>
      <c r="B192" s="66" t="s">
        <v>284</v>
      </c>
      <c r="C192" s="66" t="n">
        <v>0.03</v>
      </c>
      <c r="D192" s="67" t="str">
        <f aca="false">IFERROR(INDEX(المكونات!$B$2:$B$500,MATCH($B192,المكونات!$A$2:$A$500,0)),"")</f>
        <v>كجم</v>
      </c>
      <c r="E192" s="68" t="n">
        <f aca="false">IFERROR(INDEX(المكونات!$C$2:$C$500,MATCH($B192,المكونات!$A$2:$A$500,0)),"")</f>
        <v>27</v>
      </c>
      <c r="F192" s="69" t="n">
        <f aca="false">IFERROR($C192*$E192,"")</f>
        <v>0.81</v>
      </c>
    </row>
    <row r="193" customFormat="false" ht="15" hidden="false" customHeight="true" outlineLevel="0" collapsed="false">
      <c r="A193" s="66" t="s">
        <v>424</v>
      </c>
      <c r="B193" s="66" t="s">
        <v>227</v>
      </c>
      <c r="C193" s="66" t="n">
        <v>0.03</v>
      </c>
      <c r="D193" s="67" t="str">
        <f aca="false">IFERROR(INDEX(المكونات!$B$2:$B$500,MATCH($B193,المكونات!$A$2:$A$500,0)),"")</f>
        <v>كجم</v>
      </c>
      <c r="E193" s="68" t="n">
        <f aca="false">IFERROR(INDEX(المكونات!$C$2:$C$500,MATCH($B193,المكونات!$A$2:$A$500,0)),"")</f>
        <v>95</v>
      </c>
      <c r="F193" s="69" t="n">
        <f aca="false">IFERROR($C193*$E193,"")</f>
        <v>2.85</v>
      </c>
    </row>
    <row r="194" customFormat="false" ht="15" hidden="false" customHeight="true" outlineLevel="0" collapsed="false">
      <c r="A194" s="66" t="s">
        <v>424</v>
      </c>
      <c r="B194" s="66" t="s">
        <v>174</v>
      </c>
      <c r="C194" s="66" t="n">
        <v>1</v>
      </c>
      <c r="D194" s="67" t="str">
        <f aca="false">IFERROR(INDEX(المكونات!$B$2:$B$500,MATCH($B194,المكونات!$A$2:$A$500,0)),"")</f>
        <v>قطعة</v>
      </c>
      <c r="E194" s="68" t="n">
        <f aca="false">IFERROR(INDEX(المكونات!$C$2:$C$500,MATCH($B194,المكونات!$A$2:$A$500,0)),"")</f>
        <v>27.1395</v>
      </c>
      <c r="F194" s="69" t="n">
        <f aca="false">IFERROR($C194*$E194,"")</f>
        <v>27.1395</v>
      </c>
    </row>
    <row r="195" customFormat="false" ht="15" hidden="false" customHeight="true" outlineLevel="0" collapsed="false">
      <c r="A195" s="66" t="s">
        <v>424</v>
      </c>
      <c r="B195" s="66" t="s">
        <v>268</v>
      </c>
      <c r="C195" s="66" t="n">
        <v>1</v>
      </c>
      <c r="D195" s="67" t="str">
        <f aca="false">IFERROR(INDEX(المكونات!$B$2:$B$500,MATCH($B195,المكونات!$A$2:$A$500,0)),"")</f>
        <v>قطعة</v>
      </c>
      <c r="E195" s="68" t="n">
        <f aca="false">IFERROR(INDEX(المكونات!$C$2:$C$500,MATCH($B195,المكونات!$A$2:$A$500,0)),"")</f>
        <v>5.5</v>
      </c>
      <c r="F195" s="69" t="n">
        <f aca="false">IFERROR($C195*$E195,"")</f>
        <v>5.5</v>
      </c>
    </row>
    <row r="196" customFormat="false" ht="15" hidden="false" customHeight="true" outlineLevel="0" collapsed="false">
      <c r="A196" s="66" t="s">
        <v>424</v>
      </c>
      <c r="B196" s="66" t="s">
        <v>290</v>
      </c>
      <c r="C196" s="66" t="n">
        <v>3</v>
      </c>
      <c r="D196" s="67" t="str">
        <f aca="false">IFERROR(INDEX(المكونات!$B$2:$B$500,MATCH($B196,المكونات!$A$2:$A$500,0)),"")</f>
        <v>قطعة</v>
      </c>
      <c r="E196" s="68" t="n">
        <f aca="false">IFERROR(INDEX(المكونات!$C$2:$C$500,MATCH($B196,المكونات!$A$2:$A$500,0)),"")</f>
        <v>0.3</v>
      </c>
      <c r="F196" s="69" t="n">
        <f aca="false">IFERROR($C196*$E196,"")</f>
        <v>0.9</v>
      </c>
    </row>
    <row r="197" customFormat="false" ht="15" hidden="false" customHeight="true" outlineLevel="0" collapsed="false">
      <c r="A197" s="66" t="s">
        <v>424</v>
      </c>
      <c r="B197" s="66" t="s">
        <v>319</v>
      </c>
      <c r="C197" s="66" t="n">
        <v>1</v>
      </c>
      <c r="D197" s="67" t="str">
        <f aca="false">IFERROR(INDEX(المكونات!$B$2:$B$500,MATCH($B197,المكونات!$A$2:$A$500,0)),"")</f>
        <v>قطعة (ورقة)</v>
      </c>
      <c r="E197" s="68" t="n">
        <f aca="false">IFERROR(INDEX(المكونات!$C$2:$C$500,MATCH($B197,المكونات!$A$2:$A$500,0)),"")</f>
        <v>0.3665</v>
      </c>
      <c r="F197" s="69" t="n">
        <f aca="false">IFERROR($C197*$E197,"")</f>
        <v>0.3665</v>
      </c>
    </row>
    <row r="198" customFormat="false" ht="15" hidden="false" customHeight="true" outlineLevel="0" collapsed="false">
      <c r="A198" s="66" t="s">
        <v>424</v>
      </c>
      <c r="B198" s="66" t="s">
        <v>133</v>
      </c>
      <c r="C198" s="66" t="n">
        <v>1</v>
      </c>
      <c r="D198" s="67" t="str">
        <f aca="false">IFERROR(INDEX(المكونات!$B$2:$B$500,MATCH($B198,المكونات!$A$2:$A$500,0)),"")</f>
        <v>قطعة (كيس)</v>
      </c>
      <c r="E198" s="68" t="n">
        <f aca="false">IFERROR(INDEX(المكونات!$C$2:$C$500,MATCH($B198,المكونات!$A$2:$A$500,0)),"")</f>
        <v>1.4</v>
      </c>
      <c r="F198" s="69" t="n">
        <f aca="false">IFERROR($C198*$E198,"")</f>
        <v>1.4</v>
      </c>
    </row>
    <row r="199" customFormat="false" ht="15" hidden="false" customHeight="true" outlineLevel="0" collapsed="false">
      <c r="A199" s="66" t="s">
        <v>424</v>
      </c>
      <c r="B199" s="66" t="s">
        <v>293</v>
      </c>
      <c r="C199" s="66" t="n">
        <v>1</v>
      </c>
      <c r="D199" s="67" t="str">
        <f aca="false">IFERROR(INDEX(المكونات!$B$2:$B$500,MATCH($B199,المكونات!$A$2:$A$500,0)),"")</f>
        <v>قطعة</v>
      </c>
      <c r="E199" s="68" t="n">
        <f aca="false">IFERROR(INDEX(المكونات!$C$2:$C$500,MATCH($B199,المكونات!$A$2:$A$500,0)),"")</f>
        <v>0.5</v>
      </c>
      <c r="F199" s="69" t="n">
        <f aca="false">IFERROR($C199*$E199,"")</f>
        <v>0.5</v>
      </c>
    </row>
    <row r="200" customFormat="false" ht="15" hidden="false" customHeight="true" outlineLevel="0" collapsed="false">
      <c r="A200" s="66" t="s">
        <v>424</v>
      </c>
      <c r="B200" s="66" t="s">
        <v>211</v>
      </c>
      <c r="C200" s="66" t="n">
        <v>2</v>
      </c>
      <c r="D200" s="67" t="str">
        <f aca="false">IFERROR(INDEX(المكونات!$B$2:$B$500,MATCH($B200,المكونات!$A$2:$A$500,0)),"")</f>
        <v>قطعة (جلفز)</v>
      </c>
      <c r="E200" s="68" t="n">
        <f aca="false">IFERROR(INDEX(المكونات!$C$2:$C$500,MATCH($B200,المكونات!$A$2:$A$500,0)),"")</f>
        <v>0.18</v>
      </c>
      <c r="F200" s="69" t="n">
        <f aca="false">IFERROR($C200*$E200,"")</f>
        <v>0.36</v>
      </c>
    </row>
    <row r="201" customFormat="false" ht="15" hidden="false" customHeight="true" outlineLevel="0" collapsed="false">
      <c r="A201" s="66" t="s">
        <v>424</v>
      </c>
      <c r="B201" s="66" t="s">
        <v>322</v>
      </c>
      <c r="C201" s="66" t="n">
        <v>1</v>
      </c>
      <c r="D201" s="67" t="str">
        <f aca="false">IFERROR(INDEX(المكونات!$B$2:$B$500,MATCH($B201,المكونات!$A$2:$A$500,0)),"")</f>
        <v>قطعة (كيس)</v>
      </c>
      <c r="E201" s="68" t="n">
        <f aca="false">IFERROR(INDEX(المكونات!$C$2:$C$500,MATCH($B201,المكونات!$A$2:$A$500,0)),"")</f>
        <v>1</v>
      </c>
      <c r="F201" s="69" t="n">
        <f aca="false">IFERROR($C201*$E201,"")</f>
        <v>1</v>
      </c>
    </row>
    <row r="202" customFormat="false" ht="15" hidden="false" customHeight="true" outlineLevel="0" collapsed="false">
      <c r="A202" s="66" t="s">
        <v>424</v>
      </c>
      <c r="B202" s="66" t="s">
        <v>160</v>
      </c>
      <c r="C202" s="66" t="n">
        <v>1</v>
      </c>
      <c r="D202" s="67" t="str">
        <f aca="false">IFERROR(INDEX(المكونات!$B$2:$B$500,MATCH($B202,المكونات!$A$2:$A$500,0)),"")</f>
        <v>قطعة</v>
      </c>
      <c r="E202" s="68" t="n">
        <f aca="false">IFERROR(INDEX(المكونات!$C$2:$C$500,MATCH($B202,المكونات!$A$2:$A$500,0)),"")</f>
        <v>48.7817</v>
      </c>
      <c r="F202" s="69" t="n">
        <f aca="false">IFERROR($C202*$E202,"")</f>
        <v>48.7817</v>
      </c>
    </row>
    <row r="203" customFormat="false" ht="15" hidden="false" customHeight="true" outlineLevel="0" collapsed="false">
      <c r="A203" s="66" t="s">
        <v>424</v>
      </c>
      <c r="B203" s="66" t="s">
        <v>252</v>
      </c>
      <c r="C203" s="66" t="n">
        <v>0.15</v>
      </c>
      <c r="D203" s="67" t="str">
        <f aca="false">IFERROR(INDEX(المكونات!$B$2:$B$500,MATCH($B203,المكونات!$A$2:$A$500,0)),"")</f>
        <v>كجم</v>
      </c>
      <c r="E203" s="68" t="n">
        <f aca="false">IFERROR(INDEX(المكونات!$C$2:$C$500,MATCH($B203,المكونات!$A$2:$A$500,0)),"")</f>
        <v>70</v>
      </c>
      <c r="F203" s="69" t="n">
        <f aca="false">IFERROR($C203*$E203,"")</f>
        <v>10.5</v>
      </c>
    </row>
    <row r="204" customFormat="false" ht="15" hidden="false" customHeight="true" outlineLevel="0" collapsed="false">
      <c r="A204" s="66" t="s">
        <v>528</v>
      </c>
      <c r="B204" s="66" t="s">
        <v>262</v>
      </c>
      <c r="C204" s="66" t="n">
        <v>0.22</v>
      </c>
      <c r="D204" s="67" t="str">
        <f aca="false">IFERROR(INDEX(المكونات!$B$2:$B$500,MATCH($B204,المكونات!$A$2:$A$500,0)),"")</f>
        <v>كجم</v>
      </c>
      <c r="E204" s="68" t="n">
        <f aca="false">IFERROR(INDEX(المكونات!$C$2:$C$500,MATCH($B204,المكونات!$A$2:$A$500,0)),"")</f>
        <v>22</v>
      </c>
      <c r="F204" s="69" t="n">
        <f aca="false">IFERROR($C204*$E204,"")</f>
        <v>4.84</v>
      </c>
    </row>
    <row r="205" customFormat="false" ht="15" hidden="false" customHeight="true" outlineLevel="0" collapsed="false">
      <c r="A205" s="66" t="s">
        <v>528</v>
      </c>
      <c r="B205" s="66" t="s">
        <v>250</v>
      </c>
      <c r="C205" s="66" t="n">
        <v>0.04</v>
      </c>
      <c r="D205" s="67" t="str">
        <f aca="false">IFERROR(INDEX(المكونات!$B$2:$B$500,MATCH($B205,المكونات!$A$2:$A$500,0)),"")</f>
        <v>كجم</v>
      </c>
      <c r="E205" s="68" t="n">
        <f aca="false">IFERROR(INDEX(المكونات!$C$2:$C$500,MATCH($B205,المكونات!$A$2:$A$500,0)),"")</f>
        <v>32</v>
      </c>
      <c r="F205" s="69" t="n">
        <f aca="false">IFERROR($C205*$E205,"")</f>
        <v>1.28</v>
      </c>
    </row>
    <row r="206" customFormat="false" ht="15" hidden="false" customHeight="true" outlineLevel="0" collapsed="false">
      <c r="A206" s="66" t="s">
        <v>528</v>
      </c>
      <c r="B206" s="66" t="s">
        <v>260</v>
      </c>
      <c r="C206" s="66" t="n">
        <v>0.03</v>
      </c>
      <c r="D206" s="67" t="str">
        <f aca="false">IFERROR(INDEX(المكونات!$B$2:$B$500,MATCH($B206,المكونات!$A$2:$A$500,0)),"")</f>
        <v>كجم</v>
      </c>
      <c r="E206" s="68" t="n">
        <f aca="false">IFERROR(INDEX(المكونات!$C$2:$C$500,MATCH($B206,المكونات!$A$2:$A$500,0)),"")</f>
        <v>21</v>
      </c>
      <c r="F206" s="69" t="n">
        <f aca="false">IFERROR($C206*$E206,"")</f>
        <v>0.63</v>
      </c>
    </row>
    <row r="207" customFormat="false" ht="15" hidden="false" customHeight="true" outlineLevel="0" collapsed="false">
      <c r="A207" s="66" t="s">
        <v>528</v>
      </c>
      <c r="B207" s="66" t="s">
        <v>284</v>
      </c>
      <c r="C207" s="66" t="n">
        <v>0.02</v>
      </c>
      <c r="D207" s="67" t="str">
        <f aca="false">IFERROR(INDEX(المكونات!$B$2:$B$500,MATCH($B207,المكونات!$A$2:$A$500,0)),"")</f>
        <v>كجم</v>
      </c>
      <c r="E207" s="68" t="n">
        <f aca="false">IFERROR(INDEX(المكونات!$C$2:$C$500,MATCH($B207,المكونات!$A$2:$A$500,0)),"")</f>
        <v>27</v>
      </c>
      <c r="F207" s="69" t="n">
        <f aca="false">IFERROR($C207*$E207,"")</f>
        <v>0.54</v>
      </c>
    </row>
    <row r="208" customFormat="false" ht="15" hidden="false" customHeight="true" outlineLevel="0" collapsed="false">
      <c r="A208" s="66" t="s">
        <v>528</v>
      </c>
      <c r="B208" s="66" t="s">
        <v>227</v>
      </c>
      <c r="C208" s="66" t="n">
        <v>0.02</v>
      </c>
      <c r="D208" s="67" t="str">
        <f aca="false">IFERROR(INDEX(المكونات!$B$2:$B$500,MATCH($B208,المكونات!$A$2:$A$500,0)),"")</f>
        <v>كجم</v>
      </c>
      <c r="E208" s="68" t="n">
        <f aca="false">IFERROR(INDEX(المكونات!$C$2:$C$500,MATCH($B208,المكونات!$A$2:$A$500,0)),"")</f>
        <v>95</v>
      </c>
      <c r="F208" s="69" t="n">
        <f aca="false">IFERROR($C208*$E208,"")</f>
        <v>1.9</v>
      </c>
    </row>
    <row r="209" customFormat="false" ht="15" hidden="false" customHeight="true" outlineLevel="0" collapsed="false">
      <c r="A209" s="66" t="s">
        <v>528</v>
      </c>
      <c r="B209" s="66" t="s">
        <v>172</v>
      </c>
      <c r="C209" s="66" t="n">
        <v>1</v>
      </c>
      <c r="D209" s="67" t="str">
        <f aca="false">IFERROR(INDEX(المكونات!$B$2:$B$500,MATCH($B209,المكونات!$A$2:$A$500,0)),"")</f>
        <v>قطعة</v>
      </c>
      <c r="E209" s="68" t="n">
        <f aca="false">IFERROR(INDEX(المكونات!$C$2:$C$500,MATCH($B209,المكونات!$A$2:$A$500,0)),"")</f>
        <v>20</v>
      </c>
      <c r="F209" s="69" t="n">
        <f aca="false">IFERROR($C209*$E209,"")</f>
        <v>20</v>
      </c>
    </row>
    <row r="210" customFormat="false" ht="15" hidden="false" customHeight="true" outlineLevel="0" collapsed="false">
      <c r="A210" s="66" t="s">
        <v>528</v>
      </c>
      <c r="B210" s="66" t="s">
        <v>270</v>
      </c>
      <c r="C210" s="66" t="n">
        <v>1</v>
      </c>
      <c r="D210" s="67" t="str">
        <f aca="false">IFERROR(INDEX(المكونات!$B$2:$B$500,MATCH($B210,المكونات!$A$2:$A$500,0)),"")</f>
        <v>قطعة</v>
      </c>
      <c r="E210" s="68" t="n">
        <f aca="false">IFERROR(INDEX(المكونات!$C$2:$C$500,MATCH($B210,المكونات!$A$2:$A$500,0)),"")</f>
        <v>4.5</v>
      </c>
      <c r="F210" s="69" t="n">
        <f aca="false">IFERROR($C210*$E210,"")</f>
        <v>4.5</v>
      </c>
    </row>
    <row r="211" customFormat="false" ht="15" hidden="false" customHeight="true" outlineLevel="0" collapsed="false">
      <c r="A211" s="66" t="s">
        <v>528</v>
      </c>
      <c r="B211" s="66" t="s">
        <v>290</v>
      </c>
      <c r="C211" s="66" t="n">
        <v>2</v>
      </c>
      <c r="D211" s="67" t="str">
        <f aca="false">IFERROR(INDEX(المكونات!$B$2:$B$500,MATCH($B211,المكونات!$A$2:$A$500,0)),"")</f>
        <v>قطعة</v>
      </c>
      <c r="E211" s="68" t="n">
        <f aca="false">IFERROR(INDEX(المكونات!$C$2:$C$500,MATCH($B211,المكونات!$A$2:$A$500,0)),"")</f>
        <v>0.3</v>
      </c>
      <c r="F211" s="69" t="n">
        <f aca="false">IFERROR($C211*$E211,"")</f>
        <v>0.6</v>
      </c>
    </row>
    <row r="212" customFormat="false" ht="15" hidden="false" customHeight="true" outlineLevel="0" collapsed="false">
      <c r="A212" s="66" t="s">
        <v>528</v>
      </c>
      <c r="B212" s="66" t="s">
        <v>319</v>
      </c>
      <c r="C212" s="66" t="n">
        <v>1</v>
      </c>
      <c r="D212" s="67" t="str">
        <f aca="false">IFERROR(INDEX(المكونات!$B$2:$B$500,MATCH($B212,المكونات!$A$2:$A$500,0)),"")</f>
        <v>قطعة (ورقة)</v>
      </c>
      <c r="E212" s="68" t="n">
        <f aca="false">IFERROR(INDEX(المكونات!$C$2:$C$500,MATCH($B212,المكونات!$A$2:$A$500,0)),"")</f>
        <v>0.3665</v>
      </c>
      <c r="F212" s="69" t="n">
        <f aca="false">IFERROR($C212*$E212,"")</f>
        <v>0.3665</v>
      </c>
    </row>
    <row r="213" customFormat="false" ht="15" hidden="false" customHeight="true" outlineLevel="0" collapsed="false">
      <c r="A213" s="66" t="s">
        <v>528</v>
      </c>
      <c r="B213" s="66" t="s">
        <v>133</v>
      </c>
      <c r="C213" s="66" t="n">
        <v>1</v>
      </c>
      <c r="D213" s="67" t="str">
        <f aca="false">IFERROR(INDEX(المكونات!$B$2:$B$500,MATCH($B213,المكونات!$A$2:$A$500,0)),"")</f>
        <v>قطعة (كيس)</v>
      </c>
      <c r="E213" s="68" t="n">
        <f aca="false">IFERROR(INDEX(المكونات!$C$2:$C$500,MATCH($B213,المكونات!$A$2:$A$500,0)),"")</f>
        <v>1.4</v>
      </c>
      <c r="F213" s="69" t="n">
        <f aca="false">IFERROR($C213*$E213,"")</f>
        <v>1.4</v>
      </c>
    </row>
    <row r="214" customFormat="false" ht="15" hidden="false" customHeight="true" outlineLevel="0" collapsed="false">
      <c r="A214" s="66" t="s">
        <v>528</v>
      </c>
      <c r="B214" s="66" t="s">
        <v>293</v>
      </c>
      <c r="C214" s="66" t="n">
        <v>1</v>
      </c>
      <c r="D214" s="67" t="str">
        <f aca="false">IFERROR(INDEX(المكونات!$B$2:$B$500,MATCH($B214,المكونات!$A$2:$A$500,0)),"")</f>
        <v>قطعة</v>
      </c>
      <c r="E214" s="68" t="n">
        <f aca="false">IFERROR(INDEX(المكونات!$C$2:$C$500,MATCH($B214,المكونات!$A$2:$A$500,0)),"")</f>
        <v>0.5</v>
      </c>
      <c r="F214" s="69" t="n">
        <f aca="false">IFERROR($C214*$E214,"")</f>
        <v>0.5</v>
      </c>
    </row>
    <row r="215" customFormat="false" ht="15" hidden="false" customHeight="true" outlineLevel="0" collapsed="false">
      <c r="A215" s="66" t="s">
        <v>528</v>
      </c>
      <c r="B215" s="66" t="s">
        <v>211</v>
      </c>
      <c r="C215" s="66" t="n">
        <v>2</v>
      </c>
      <c r="D215" s="67" t="str">
        <f aca="false">IFERROR(INDEX(المكونات!$B$2:$B$500,MATCH($B215,المكونات!$A$2:$A$500,0)),"")</f>
        <v>قطعة (جلفز)</v>
      </c>
      <c r="E215" s="68" t="n">
        <f aca="false">IFERROR(INDEX(المكونات!$C$2:$C$500,MATCH($B215,المكونات!$A$2:$A$500,0)),"")</f>
        <v>0.18</v>
      </c>
      <c r="F215" s="69" t="n">
        <f aca="false">IFERROR($C215*$E215,"")</f>
        <v>0.36</v>
      </c>
    </row>
    <row r="216" customFormat="false" ht="15" hidden="false" customHeight="true" outlineLevel="0" collapsed="false">
      <c r="A216" s="66" t="s">
        <v>528</v>
      </c>
      <c r="B216" s="66" t="s">
        <v>322</v>
      </c>
      <c r="C216" s="66" t="n">
        <v>1</v>
      </c>
      <c r="D216" s="67" t="str">
        <f aca="false">IFERROR(INDEX(المكونات!$B$2:$B$500,MATCH($B216,المكونات!$A$2:$A$500,0)),"")</f>
        <v>قطعة (كيس)</v>
      </c>
      <c r="E216" s="68" t="n">
        <f aca="false">IFERROR(INDEX(المكونات!$C$2:$C$500,MATCH($B216,المكونات!$A$2:$A$500,0)),"")</f>
        <v>1</v>
      </c>
      <c r="F216" s="69" t="n">
        <f aca="false">IFERROR($C216*$E216,"")</f>
        <v>1</v>
      </c>
    </row>
    <row r="217" customFormat="false" ht="15" hidden="false" customHeight="true" outlineLevel="0" collapsed="false">
      <c r="A217" s="66" t="s">
        <v>528</v>
      </c>
      <c r="B217" s="66" t="s">
        <v>150</v>
      </c>
      <c r="C217" s="66" t="n">
        <v>1</v>
      </c>
      <c r="D217" s="67" t="str">
        <f aca="false">IFERROR(INDEX(المكونات!$B$2:$B$500,MATCH($B217,المكونات!$A$2:$A$500,0)),"")</f>
        <v>قطعة</v>
      </c>
      <c r="E217" s="68" t="n">
        <f aca="false">IFERROR(INDEX(المكونات!$C$2:$C$500,MATCH($B217,المكونات!$A$2:$A$500,0)),"")</f>
        <v>95</v>
      </c>
      <c r="F217" s="69" t="n">
        <f aca="false">IFERROR($C217*$E217,"")</f>
        <v>95</v>
      </c>
    </row>
    <row r="218" customFormat="false" ht="15" hidden="false" customHeight="true" outlineLevel="0" collapsed="false">
      <c r="A218" s="66" t="s">
        <v>465</v>
      </c>
      <c r="B218" s="66" t="s">
        <v>262</v>
      </c>
      <c r="C218" s="66" t="n">
        <v>0.3</v>
      </c>
      <c r="D218" s="67" t="str">
        <f aca="false">IFERROR(INDEX(المكونات!$B$2:$B$500,MATCH($B218,المكونات!$A$2:$A$500,0)),"")</f>
        <v>كجم</v>
      </c>
      <c r="E218" s="68" t="n">
        <f aca="false">IFERROR(INDEX(المكونات!$C$2:$C$500,MATCH($B218,المكونات!$A$2:$A$500,0)),"")</f>
        <v>22</v>
      </c>
      <c r="F218" s="69" t="n">
        <f aca="false">IFERROR($C218*$E218,"")</f>
        <v>6.6</v>
      </c>
    </row>
    <row r="219" customFormat="false" ht="15" hidden="false" customHeight="true" outlineLevel="0" collapsed="false">
      <c r="A219" s="66" t="s">
        <v>465</v>
      </c>
      <c r="B219" s="66" t="s">
        <v>250</v>
      </c>
      <c r="C219" s="66" t="n">
        <v>0.06</v>
      </c>
      <c r="D219" s="67" t="str">
        <f aca="false">IFERROR(INDEX(المكونات!$B$2:$B$500,MATCH($B219,المكونات!$A$2:$A$500,0)),"")</f>
        <v>كجم</v>
      </c>
      <c r="E219" s="68" t="n">
        <f aca="false">IFERROR(INDEX(المكونات!$C$2:$C$500,MATCH($B219,المكونات!$A$2:$A$500,0)),"")</f>
        <v>32</v>
      </c>
      <c r="F219" s="69" t="n">
        <f aca="false">IFERROR($C219*$E219,"")</f>
        <v>1.92</v>
      </c>
    </row>
    <row r="220" customFormat="false" ht="15" hidden="false" customHeight="true" outlineLevel="0" collapsed="false">
      <c r="A220" s="66" t="s">
        <v>465</v>
      </c>
      <c r="B220" s="66" t="s">
        <v>260</v>
      </c>
      <c r="C220" s="66" t="n">
        <v>0.045</v>
      </c>
      <c r="D220" s="67" t="str">
        <f aca="false">IFERROR(INDEX(المكونات!$B$2:$B$500,MATCH($B220,المكونات!$A$2:$A$500,0)),"")</f>
        <v>كجم</v>
      </c>
      <c r="E220" s="68" t="n">
        <f aca="false">IFERROR(INDEX(المكونات!$C$2:$C$500,MATCH($B220,المكونات!$A$2:$A$500,0)),"")</f>
        <v>21</v>
      </c>
      <c r="F220" s="69" t="n">
        <f aca="false">IFERROR($C220*$E220,"")</f>
        <v>0.945</v>
      </c>
    </row>
    <row r="221" customFormat="false" ht="15" hidden="false" customHeight="true" outlineLevel="0" collapsed="false">
      <c r="A221" s="66" t="s">
        <v>465</v>
      </c>
      <c r="B221" s="66" t="s">
        <v>284</v>
      </c>
      <c r="C221" s="66" t="n">
        <v>0.03</v>
      </c>
      <c r="D221" s="67" t="str">
        <f aca="false">IFERROR(INDEX(المكونات!$B$2:$B$500,MATCH($B221,المكونات!$A$2:$A$500,0)),"")</f>
        <v>كجم</v>
      </c>
      <c r="E221" s="68" t="n">
        <f aca="false">IFERROR(INDEX(المكونات!$C$2:$C$500,MATCH($B221,المكونات!$A$2:$A$500,0)),"")</f>
        <v>27</v>
      </c>
      <c r="F221" s="69" t="n">
        <f aca="false">IFERROR($C221*$E221,"")</f>
        <v>0.81</v>
      </c>
    </row>
    <row r="222" customFormat="false" ht="15" hidden="false" customHeight="true" outlineLevel="0" collapsed="false">
      <c r="A222" s="66" t="s">
        <v>465</v>
      </c>
      <c r="B222" s="66" t="s">
        <v>227</v>
      </c>
      <c r="C222" s="66" t="n">
        <v>0.03</v>
      </c>
      <c r="D222" s="67" t="str">
        <f aca="false">IFERROR(INDEX(المكونات!$B$2:$B$500,MATCH($B222,المكونات!$A$2:$A$500,0)),"")</f>
        <v>كجم</v>
      </c>
      <c r="E222" s="68" t="n">
        <f aca="false">IFERROR(INDEX(المكونات!$C$2:$C$500,MATCH($B222,المكونات!$A$2:$A$500,0)),"")</f>
        <v>95</v>
      </c>
      <c r="F222" s="69" t="n">
        <f aca="false">IFERROR($C222*$E222,"")</f>
        <v>2.85</v>
      </c>
    </row>
    <row r="223" customFormat="false" ht="15" hidden="false" customHeight="true" outlineLevel="0" collapsed="false">
      <c r="A223" s="66" t="s">
        <v>465</v>
      </c>
      <c r="B223" s="66" t="s">
        <v>174</v>
      </c>
      <c r="C223" s="66" t="n">
        <v>1</v>
      </c>
      <c r="D223" s="67" t="str">
        <f aca="false">IFERROR(INDEX(المكونات!$B$2:$B$500,MATCH($B223,المكونات!$A$2:$A$500,0)),"")</f>
        <v>قطعة</v>
      </c>
      <c r="E223" s="68" t="n">
        <f aca="false">IFERROR(INDEX(المكونات!$C$2:$C$500,MATCH($B223,المكونات!$A$2:$A$500,0)),"")</f>
        <v>27.1395</v>
      </c>
      <c r="F223" s="69" t="n">
        <f aca="false">IFERROR($C223*$E223,"")</f>
        <v>27.1395</v>
      </c>
    </row>
    <row r="224" customFormat="false" ht="15" hidden="false" customHeight="true" outlineLevel="0" collapsed="false">
      <c r="A224" s="66" t="s">
        <v>465</v>
      </c>
      <c r="B224" s="66" t="s">
        <v>268</v>
      </c>
      <c r="C224" s="66" t="n">
        <v>1</v>
      </c>
      <c r="D224" s="67" t="str">
        <f aca="false">IFERROR(INDEX(المكونات!$B$2:$B$500,MATCH($B224,المكونات!$A$2:$A$500,0)),"")</f>
        <v>قطعة</v>
      </c>
      <c r="E224" s="68" t="n">
        <f aca="false">IFERROR(INDEX(المكونات!$C$2:$C$500,MATCH($B224,المكونات!$A$2:$A$500,0)),"")</f>
        <v>5.5</v>
      </c>
      <c r="F224" s="69" t="n">
        <f aca="false">IFERROR($C224*$E224,"")</f>
        <v>5.5</v>
      </c>
    </row>
    <row r="225" customFormat="false" ht="15" hidden="false" customHeight="true" outlineLevel="0" collapsed="false">
      <c r="A225" s="66" t="s">
        <v>465</v>
      </c>
      <c r="B225" s="66" t="s">
        <v>290</v>
      </c>
      <c r="C225" s="66" t="n">
        <v>3</v>
      </c>
      <c r="D225" s="67" t="str">
        <f aca="false">IFERROR(INDEX(المكونات!$B$2:$B$500,MATCH($B225,المكونات!$A$2:$A$500,0)),"")</f>
        <v>قطعة</v>
      </c>
      <c r="E225" s="68" t="n">
        <f aca="false">IFERROR(INDEX(المكونات!$C$2:$C$500,MATCH($B225,المكونات!$A$2:$A$500,0)),"")</f>
        <v>0.3</v>
      </c>
      <c r="F225" s="69" t="n">
        <f aca="false">IFERROR($C225*$E225,"")</f>
        <v>0.9</v>
      </c>
    </row>
    <row r="226" customFormat="false" ht="15" hidden="false" customHeight="true" outlineLevel="0" collapsed="false">
      <c r="A226" s="66" t="s">
        <v>465</v>
      </c>
      <c r="B226" s="66" t="s">
        <v>319</v>
      </c>
      <c r="C226" s="66" t="n">
        <v>1</v>
      </c>
      <c r="D226" s="67" t="str">
        <f aca="false">IFERROR(INDEX(المكونات!$B$2:$B$500,MATCH($B226,المكونات!$A$2:$A$500,0)),"")</f>
        <v>قطعة (ورقة)</v>
      </c>
      <c r="E226" s="68" t="n">
        <f aca="false">IFERROR(INDEX(المكونات!$C$2:$C$500,MATCH($B226,المكونات!$A$2:$A$500,0)),"")</f>
        <v>0.3665</v>
      </c>
      <c r="F226" s="69" t="n">
        <f aca="false">IFERROR($C226*$E226,"")</f>
        <v>0.3665</v>
      </c>
    </row>
    <row r="227" customFormat="false" ht="15" hidden="false" customHeight="true" outlineLevel="0" collapsed="false">
      <c r="A227" s="66" t="s">
        <v>465</v>
      </c>
      <c r="B227" s="66" t="s">
        <v>133</v>
      </c>
      <c r="C227" s="66" t="n">
        <v>1</v>
      </c>
      <c r="D227" s="67" t="str">
        <f aca="false">IFERROR(INDEX(المكونات!$B$2:$B$500,MATCH($B227,المكونات!$A$2:$A$500,0)),"")</f>
        <v>قطعة (كيس)</v>
      </c>
      <c r="E227" s="68" t="n">
        <f aca="false">IFERROR(INDEX(المكونات!$C$2:$C$500,MATCH($B227,المكونات!$A$2:$A$500,0)),"")</f>
        <v>1.4</v>
      </c>
      <c r="F227" s="69" t="n">
        <f aca="false">IFERROR($C227*$E227,"")</f>
        <v>1.4</v>
      </c>
    </row>
    <row r="228" customFormat="false" ht="15" hidden="false" customHeight="true" outlineLevel="0" collapsed="false">
      <c r="A228" s="66" t="s">
        <v>465</v>
      </c>
      <c r="B228" s="66" t="s">
        <v>293</v>
      </c>
      <c r="C228" s="66" t="n">
        <v>1</v>
      </c>
      <c r="D228" s="67" t="str">
        <f aca="false">IFERROR(INDEX(المكونات!$B$2:$B$500,MATCH($B228,المكونات!$A$2:$A$500,0)),"")</f>
        <v>قطعة</v>
      </c>
      <c r="E228" s="68" t="n">
        <f aca="false">IFERROR(INDEX(المكونات!$C$2:$C$500,MATCH($B228,المكونات!$A$2:$A$500,0)),"")</f>
        <v>0.5</v>
      </c>
      <c r="F228" s="69" t="n">
        <f aca="false">IFERROR($C228*$E228,"")</f>
        <v>0.5</v>
      </c>
    </row>
    <row r="229" customFormat="false" ht="15" hidden="false" customHeight="true" outlineLevel="0" collapsed="false">
      <c r="A229" s="66" t="s">
        <v>465</v>
      </c>
      <c r="B229" s="66" t="s">
        <v>211</v>
      </c>
      <c r="C229" s="66" t="n">
        <v>2</v>
      </c>
      <c r="D229" s="67" t="str">
        <f aca="false">IFERROR(INDEX(المكونات!$B$2:$B$500,MATCH($B229,المكونات!$A$2:$A$500,0)),"")</f>
        <v>قطعة (جلفز)</v>
      </c>
      <c r="E229" s="68" t="n">
        <f aca="false">IFERROR(INDEX(المكونات!$C$2:$C$500,MATCH($B229,المكونات!$A$2:$A$500,0)),"")</f>
        <v>0.18</v>
      </c>
      <c r="F229" s="69" t="n">
        <f aca="false">IFERROR($C229*$E229,"")</f>
        <v>0.36</v>
      </c>
    </row>
    <row r="230" customFormat="false" ht="15" hidden="false" customHeight="true" outlineLevel="0" collapsed="false">
      <c r="A230" s="66" t="s">
        <v>465</v>
      </c>
      <c r="B230" s="66" t="s">
        <v>322</v>
      </c>
      <c r="C230" s="66" t="n">
        <v>1</v>
      </c>
      <c r="D230" s="67" t="str">
        <f aca="false">IFERROR(INDEX(المكونات!$B$2:$B$500,MATCH($B230,المكونات!$A$2:$A$500,0)),"")</f>
        <v>قطعة (كيس)</v>
      </c>
      <c r="E230" s="68" t="n">
        <f aca="false">IFERROR(INDEX(المكونات!$C$2:$C$500,MATCH($B230,المكونات!$A$2:$A$500,0)),"")</f>
        <v>1</v>
      </c>
      <c r="F230" s="69" t="n">
        <f aca="false">IFERROR($C230*$E230,"")</f>
        <v>1</v>
      </c>
    </row>
    <row r="231" customFormat="false" ht="15" hidden="false" customHeight="true" outlineLevel="0" collapsed="false">
      <c r="A231" s="66" t="s">
        <v>465</v>
      </c>
      <c r="B231" s="66" t="s">
        <v>150</v>
      </c>
      <c r="C231" s="66" t="n">
        <v>1.5</v>
      </c>
      <c r="D231" s="67" t="str">
        <f aca="false">IFERROR(INDEX(المكونات!$B$2:$B$500,MATCH($B231,المكونات!$A$2:$A$500,0)),"")</f>
        <v>قطعة</v>
      </c>
      <c r="E231" s="68" t="n">
        <f aca="false">IFERROR(INDEX(المكونات!$C$2:$C$500,MATCH($B231,المكونات!$A$2:$A$500,0)),"")</f>
        <v>95</v>
      </c>
      <c r="F231" s="69" t="n">
        <f aca="false">IFERROR($C231*$E231,"")</f>
        <v>142.5</v>
      </c>
    </row>
    <row r="232" customFormat="false" ht="15" hidden="false" customHeight="true" outlineLevel="0" collapsed="false">
      <c r="A232" s="66" t="s">
        <v>464</v>
      </c>
      <c r="B232" s="66" t="s">
        <v>262</v>
      </c>
      <c r="C232" s="66" t="n">
        <v>0.22</v>
      </c>
      <c r="D232" s="67" t="str">
        <f aca="false">IFERROR(INDEX(المكونات!$B$2:$B$500,MATCH($B232,المكونات!$A$2:$A$500,0)),"")</f>
        <v>كجم</v>
      </c>
      <c r="E232" s="68" t="n">
        <f aca="false">IFERROR(INDEX(المكونات!$C$2:$C$500,MATCH($B232,المكونات!$A$2:$A$500,0)),"")</f>
        <v>22</v>
      </c>
      <c r="F232" s="69" t="n">
        <f aca="false">IFERROR($C232*$E232,"")</f>
        <v>4.84</v>
      </c>
    </row>
    <row r="233" customFormat="false" ht="15" hidden="false" customHeight="true" outlineLevel="0" collapsed="false">
      <c r="A233" s="66" t="s">
        <v>464</v>
      </c>
      <c r="B233" s="66" t="s">
        <v>250</v>
      </c>
      <c r="C233" s="66" t="n">
        <v>0.04</v>
      </c>
      <c r="D233" s="67" t="str">
        <f aca="false">IFERROR(INDEX(المكونات!$B$2:$B$500,MATCH($B233,المكونات!$A$2:$A$500,0)),"")</f>
        <v>كجم</v>
      </c>
      <c r="E233" s="68" t="n">
        <f aca="false">IFERROR(INDEX(المكونات!$C$2:$C$500,MATCH($B233,المكونات!$A$2:$A$500,0)),"")</f>
        <v>32</v>
      </c>
      <c r="F233" s="69" t="n">
        <f aca="false">IFERROR($C233*$E233,"")</f>
        <v>1.28</v>
      </c>
    </row>
    <row r="234" customFormat="false" ht="15" hidden="false" customHeight="true" outlineLevel="0" collapsed="false">
      <c r="A234" s="66" t="s">
        <v>464</v>
      </c>
      <c r="B234" s="66" t="s">
        <v>260</v>
      </c>
      <c r="C234" s="66" t="n">
        <v>0.03</v>
      </c>
      <c r="D234" s="67" t="str">
        <f aca="false">IFERROR(INDEX(المكونات!$B$2:$B$500,MATCH($B234,المكونات!$A$2:$A$500,0)),"")</f>
        <v>كجم</v>
      </c>
      <c r="E234" s="68" t="n">
        <f aca="false">IFERROR(INDEX(المكونات!$C$2:$C$500,MATCH($B234,المكونات!$A$2:$A$500,0)),"")</f>
        <v>21</v>
      </c>
      <c r="F234" s="69" t="n">
        <f aca="false">IFERROR($C234*$E234,"")</f>
        <v>0.63</v>
      </c>
    </row>
    <row r="235" customFormat="false" ht="15" hidden="false" customHeight="true" outlineLevel="0" collapsed="false">
      <c r="A235" s="66" t="s">
        <v>464</v>
      </c>
      <c r="B235" s="66" t="s">
        <v>284</v>
      </c>
      <c r="C235" s="66" t="n">
        <v>0.02</v>
      </c>
      <c r="D235" s="67" t="str">
        <f aca="false">IFERROR(INDEX(المكونات!$B$2:$B$500,MATCH($B235,المكونات!$A$2:$A$500,0)),"")</f>
        <v>كجم</v>
      </c>
      <c r="E235" s="68" t="n">
        <f aca="false">IFERROR(INDEX(المكونات!$C$2:$C$500,MATCH($B235,المكونات!$A$2:$A$500,0)),"")</f>
        <v>27</v>
      </c>
      <c r="F235" s="69" t="n">
        <f aca="false">IFERROR($C235*$E235,"")</f>
        <v>0.54</v>
      </c>
    </row>
    <row r="236" customFormat="false" ht="15" hidden="false" customHeight="true" outlineLevel="0" collapsed="false">
      <c r="A236" s="66" t="s">
        <v>464</v>
      </c>
      <c r="B236" s="66" t="s">
        <v>227</v>
      </c>
      <c r="C236" s="66" t="n">
        <v>0.02</v>
      </c>
      <c r="D236" s="67" t="str">
        <f aca="false">IFERROR(INDEX(المكونات!$B$2:$B$500,MATCH($B236,المكونات!$A$2:$A$500,0)),"")</f>
        <v>كجم</v>
      </c>
      <c r="E236" s="68" t="n">
        <f aca="false">IFERROR(INDEX(المكونات!$C$2:$C$500,MATCH($B236,المكونات!$A$2:$A$500,0)),"")</f>
        <v>95</v>
      </c>
      <c r="F236" s="69" t="n">
        <f aca="false">IFERROR($C236*$E236,"")</f>
        <v>1.9</v>
      </c>
    </row>
    <row r="237" customFormat="false" ht="15" hidden="false" customHeight="true" outlineLevel="0" collapsed="false">
      <c r="A237" s="66" t="s">
        <v>464</v>
      </c>
      <c r="B237" s="66" t="s">
        <v>172</v>
      </c>
      <c r="C237" s="66" t="n">
        <v>1</v>
      </c>
      <c r="D237" s="67" t="str">
        <f aca="false">IFERROR(INDEX(المكونات!$B$2:$B$500,MATCH($B237,المكونات!$A$2:$A$500,0)),"")</f>
        <v>قطعة</v>
      </c>
      <c r="E237" s="68" t="n">
        <f aca="false">IFERROR(INDEX(المكونات!$C$2:$C$500,MATCH($B237,المكونات!$A$2:$A$500,0)),"")</f>
        <v>20</v>
      </c>
      <c r="F237" s="69" t="n">
        <f aca="false">IFERROR($C237*$E237,"")</f>
        <v>20</v>
      </c>
    </row>
    <row r="238" customFormat="false" ht="15" hidden="false" customHeight="true" outlineLevel="0" collapsed="false">
      <c r="A238" s="66" t="s">
        <v>464</v>
      </c>
      <c r="B238" s="66" t="s">
        <v>270</v>
      </c>
      <c r="C238" s="66" t="n">
        <v>1</v>
      </c>
      <c r="D238" s="67" t="str">
        <f aca="false">IFERROR(INDEX(المكونات!$B$2:$B$500,MATCH($B238,المكونات!$A$2:$A$500,0)),"")</f>
        <v>قطعة</v>
      </c>
      <c r="E238" s="68" t="n">
        <f aca="false">IFERROR(INDEX(المكونات!$C$2:$C$500,MATCH($B238,المكونات!$A$2:$A$500,0)),"")</f>
        <v>4.5</v>
      </c>
      <c r="F238" s="69" t="n">
        <f aca="false">IFERROR($C238*$E238,"")</f>
        <v>4.5</v>
      </c>
    </row>
    <row r="239" customFormat="false" ht="15" hidden="false" customHeight="true" outlineLevel="0" collapsed="false">
      <c r="A239" s="66" t="s">
        <v>464</v>
      </c>
      <c r="B239" s="66" t="s">
        <v>290</v>
      </c>
      <c r="C239" s="66" t="n">
        <v>2</v>
      </c>
      <c r="D239" s="67" t="str">
        <f aca="false">IFERROR(INDEX(المكونات!$B$2:$B$500,MATCH($B239,المكونات!$A$2:$A$500,0)),"")</f>
        <v>قطعة</v>
      </c>
      <c r="E239" s="68" t="n">
        <f aca="false">IFERROR(INDEX(المكونات!$C$2:$C$500,MATCH($B239,المكونات!$A$2:$A$500,0)),"")</f>
        <v>0.3</v>
      </c>
      <c r="F239" s="69" t="n">
        <f aca="false">IFERROR($C239*$E239,"")</f>
        <v>0.6</v>
      </c>
    </row>
    <row r="240" customFormat="false" ht="15" hidden="false" customHeight="true" outlineLevel="0" collapsed="false">
      <c r="A240" s="66" t="s">
        <v>464</v>
      </c>
      <c r="B240" s="66" t="s">
        <v>319</v>
      </c>
      <c r="C240" s="66" t="n">
        <v>1</v>
      </c>
      <c r="D240" s="67" t="str">
        <f aca="false">IFERROR(INDEX(المكونات!$B$2:$B$500,MATCH($B240,المكونات!$A$2:$A$500,0)),"")</f>
        <v>قطعة (ورقة)</v>
      </c>
      <c r="E240" s="68" t="n">
        <f aca="false">IFERROR(INDEX(المكونات!$C$2:$C$500,MATCH($B240,المكونات!$A$2:$A$500,0)),"")</f>
        <v>0.3665</v>
      </c>
      <c r="F240" s="69" t="n">
        <f aca="false">IFERROR($C240*$E240,"")</f>
        <v>0.3665</v>
      </c>
    </row>
    <row r="241" customFormat="false" ht="15" hidden="false" customHeight="true" outlineLevel="0" collapsed="false">
      <c r="A241" s="66" t="s">
        <v>464</v>
      </c>
      <c r="B241" s="66" t="s">
        <v>133</v>
      </c>
      <c r="C241" s="66" t="n">
        <v>1</v>
      </c>
      <c r="D241" s="67" t="str">
        <f aca="false">IFERROR(INDEX(المكونات!$B$2:$B$500,MATCH($B241,المكونات!$A$2:$A$500,0)),"")</f>
        <v>قطعة (كيس)</v>
      </c>
      <c r="E241" s="68" t="n">
        <f aca="false">IFERROR(INDEX(المكونات!$C$2:$C$500,MATCH($B241,المكونات!$A$2:$A$500,0)),"")</f>
        <v>1.4</v>
      </c>
      <c r="F241" s="69" t="n">
        <f aca="false">IFERROR($C241*$E241,"")</f>
        <v>1.4</v>
      </c>
    </row>
    <row r="242" customFormat="false" ht="15" hidden="false" customHeight="true" outlineLevel="0" collapsed="false">
      <c r="A242" s="66" t="s">
        <v>464</v>
      </c>
      <c r="B242" s="66" t="s">
        <v>293</v>
      </c>
      <c r="C242" s="66" t="n">
        <v>1</v>
      </c>
      <c r="D242" s="67" t="str">
        <f aca="false">IFERROR(INDEX(المكونات!$B$2:$B$500,MATCH($B242,المكونات!$A$2:$A$500,0)),"")</f>
        <v>قطعة</v>
      </c>
      <c r="E242" s="68" t="n">
        <f aca="false">IFERROR(INDEX(المكونات!$C$2:$C$500,MATCH($B242,المكونات!$A$2:$A$500,0)),"")</f>
        <v>0.5</v>
      </c>
      <c r="F242" s="69" t="n">
        <f aca="false">IFERROR($C242*$E242,"")</f>
        <v>0.5</v>
      </c>
    </row>
    <row r="243" customFormat="false" ht="15" hidden="false" customHeight="true" outlineLevel="0" collapsed="false">
      <c r="A243" s="66" t="s">
        <v>464</v>
      </c>
      <c r="B243" s="66" t="s">
        <v>211</v>
      </c>
      <c r="C243" s="66" t="n">
        <v>2</v>
      </c>
      <c r="D243" s="67" t="str">
        <f aca="false">IFERROR(INDEX(المكونات!$B$2:$B$500,MATCH($B243,المكونات!$A$2:$A$500,0)),"")</f>
        <v>قطعة (جلفز)</v>
      </c>
      <c r="E243" s="68" t="n">
        <f aca="false">IFERROR(INDEX(المكونات!$C$2:$C$500,MATCH($B243,المكونات!$A$2:$A$500,0)),"")</f>
        <v>0.18</v>
      </c>
      <c r="F243" s="69" t="n">
        <f aca="false">IFERROR($C243*$E243,"")</f>
        <v>0.36</v>
      </c>
    </row>
    <row r="244" customFormat="false" ht="15" hidden="false" customHeight="true" outlineLevel="0" collapsed="false">
      <c r="A244" s="66" t="s">
        <v>464</v>
      </c>
      <c r="B244" s="66" t="s">
        <v>322</v>
      </c>
      <c r="C244" s="66" t="n">
        <v>1</v>
      </c>
      <c r="D244" s="67" t="str">
        <f aca="false">IFERROR(INDEX(المكونات!$B$2:$B$500,MATCH($B244,المكونات!$A$2:$A$500,0)),"")</f>
        <v>قطعة (كيس)</v>
      </c>
      <c r="E244" s="68" t="n">
        <f aca="false">IFERROR(INDEX(المكونات!$C$2:$C$500,MATCH($B244,المكونات!$A$2:$A$500,0)),"")</f>
        <v>1</v>
      </c>
      <c r="F244" s="69" t="n">
        <f aca="false">IFERROR($C244*$E244,"")</f>
        <v>1</v>
      </c>
    </row>
    <row r="245" customFormat="false" ht="15" hidden="false" customHeight="true" outlineLevel="0" collapsed="false">
      <c r="A245" s="66" t="s">
        <v>464</v>
      </c>
      <c r="B245" s="66" t="s">
        <v>162</v>
      </c>
      <c r="C245" s="66" t="n">
        <v>1</v>
      </c>
      <c r="D245" s="67" t="str">
        <f aca="false">IFERROR(INDEX(المكونات!$B$2:$B$500,MATCH($B245,المكونات!$A$2:$A$500,0)),"")</f>
        <v>قطعة</v>
      </c>
      <c r="E245" s="68" t="n">
        <f aca="false">IFERROR(INDEX(المكونات!$C$2:$C$500,MATCH($B245,المكونات!$A$2:$A$500,0)),"")</f>
        <v>30</v>
      </c>
      <c r="F245" s="69" t="n">
        <f aca="false">IFERROR($C245*$E245,"")</f>
        <v>30</v>
      </c>
    </row>
    <row r="246" customFormat="false" ht="15" hidden="false" customHeight="true" outlineLevel="0" collapsed="false">
      <c r="A246" s="66" t="s">
        <v>464</v>
      </c>
      <c r="B246" s="66" t="s">
        <v>256</v>
      </c>
      <c r="C246" s="66" t="n">
        <v>0.1</v>
      </c>
      <c r="D246" s="67" t="str">
        <f aca="false">IFERROR(INDEX(المكونات!$B$2:$B$500,MATCH($B246,المكونات!$A$2:$A$500,0)),"")</f>
        <v>كجم</v>
      </c>
      <c r="E246" s="68" t="n">
        <f aca="false">IFERROR(INDEX(المكونات!$C$2:$C$500,MATCH($B246,المكونات!$A$2:$A$500,0)),"")</f>
        <v>105</v>
      </c>
      <c r="F246" s="69" t="n">
        <f aca="false">IFERROR($C246*$E246,"")</f>
        <v>10.5</v>
      </c>
    </row>
    <row r="247" customFormat="false" ht="15" hidden="false" customHeight="true" outlineLevel="0" collapsed="false">
      <c r="A247" s="66" t="s">
        <v>388</v>
      </c>
      <c r="B247" s="66" t="s">
        <v>262</v>
      </c>
      <c r="C247" s="66" t="n">
        <v>0.3</v>
      </c>
      <c r="D247" s="67" t="str">
        <f aca="false">IFERROR(INDEX(المكونات!$B$2:$B$500,MATCH($B247,المكونات!$A$2:$A$500,0)),"")</f>
        <v>كجم</v>
      </c>
      <c r="E247" s="68" t="n">
        <f aca="false">IFERROR(INDEX(المكونات!$C$2:$C$500,MATCH($B247,المكونات!$A$2:$A$500,0)),"")</f>
        <v>22</v>
      </c>
      <c r="F247" s="69" t="n">
        <f aca="false">IFERROR($C247*$E247,"")</f>
        <v>6.6</v>
      </c>
    </row>
    <row r="248" customFormat="false" ht="15" hidden="false" customHeight="true" outlineLevel="0" collapsed="false">
      <c r="A248" s="66" t="s">
        <v>388</v>
      </c>
      <c r="B248" s="66" t="s">
        <v>250</v>
      </c>
      <c r="C248" s="66" t="n">
        <v>0.06</v>
      </c>
      <c r="D248" s="67" t="str">
        <f aca="false">IFERROR(INDEX(المكونات!$B$2:$B$500,MATCH($B248,المكونات!$A$2:$A$500,0)),"")</f>
        <v>كجم</v>
      </c>
      <c r="E248" s="68" t="n">
        <f aca="false">IFERROR(INDEX(المكونات!$C$2:$C$500,MATCH($B248,المكونات!$A$2:$A$500,0)),"")</f>
        <v>32</v>
      </c>
      <c r="F248" s="69" t="n">
        <f aca="false">IFERROR($C248*$E248,"")</f>
        <v>1.92</v>
      </c>
    </row>
    <row r="249" customFormat="false" ht="15" hidden="false" customHeight="true" outlineLevel="0" collapsed="false">
      <c r="A249" s="66" t="s">
        <v>388</v>
      </c>
      <c r="B249" s="66" t="s">
        <v>260</v>
      </c>
      <c r="C249" s="66" t="n">
        <v>0.045</v>
      </c>
      <c r="D249" s="67" t="str">
        <f aca="false">IFERROR(INDEX(المكونات!$B$2:$B$500,MATCH($B249,المكونات!$A$2:$A$500,0)),"")</f>
        <v>كجم</v>
      </c>
      <c r="E249" s="68" t="n">
        <f aca="false">IFERROR(INDEX(المكونات!$C$2:$C$500,MATCH($B249,المكونات!$A$2:$A$500,0)),"")</f>
        <v>21</v>
      </c>
      <c r="F249" s="69" t="n">
        <f aca="false">IFERROR($C249*$E249,"")</f>
        <v>0.945</v>
      </c>
    </row>
    <row r="250" customFormat="false" ht="15" hidden="false" customHeight="true" outlineLevel="0" collapsed="false">
      <c r="A250" s="66" t="s">
        <v>388</v>
      </c>
      <c r="B250" s="66" t="s">
        <v>284</v>
      </c>
      <c r="C250" s="66" t="n">
        <v>0.03</v>
      </c>
      <c r="D250" s="67" t="str">
        <f aca="false">IFERROR(INDEX(المكونات!$B$2:$B$500,MATCH($B250,المكونات!$A$2:$A$500,0)),"")</f>
        <v>كجم</v>
      </c>
      <c r="E250" s="68" t="n">
        <f aca="false">IFERROR(INDEX(المكونات!$C$2:$C$500,MATCH($B250,المكونات!$A$2:$A$500,0)),"")</f>
        <v>27</v>
      </c>
      <c r="F250" s="69" t="n">
        <f aca="false">IFERROR($C250*$E250,"")</f>
        <v>0.81</v>
      </c>
    </row>
    <row r="251" customFormat="false" ht="15" hidden="false" customHeight="true" outlineLevel="0" collapsed="false">
      <c r="A251" s="66" t="s">
        <v>388</v>
      </c>
      <c r="B251" s="66" t="s">
        <v>227</v>
      </c>
      <c r="C251" s="66" t="n">
        <v>0.03</v>
      </c>
      <c r="D251" s="67" t="str">
        <f aca="false">IFERROR(INDEX(المكونات!$B$2:$B$500,MATCH($B251,المكونات!$A$2:$A$500,0)),"")</f>
        <v>كجم</v>
      </c>
      <c r="E251" s="68" t="n">
        <f aca="false">IFERROR(INDEX(المكونات!$C$2:$C$500,MATCH($B251,المكونات!$A$2:$A$500,0)),"")</f>
        <v>95</v>
      </c>
      <c r="F251" s="69" t="n">
        <f aca="false">IFERROR($C251*$E251,"")</f>
        <v>2.85</v>
      </c>
    </row>
    <row r="252" customFormat="false" ht="15" hidden="false" customHeight="true" outlineLevel="0" collapsed="false">
      <c r="A252" s="66" t="s">
        <v>388</v>
      </c>
      <c r="B252" s="66" t="s">
        <v>174</v>
      </c>
      <c r="C252" s="66" t="n">
        <v>1</v>
      </c>
      <c r="D252" s="67" t="str">
        <f aca="false">IFERROR(INDEX(المكونات!$B$2:$B$500,MATCH($B252,المكونات!$A$2:$A$500,0)),"")</f>
        <v>قطعة</v>
      </c>
      <c r="E252" s="68" t="n">
        <f aca="false">IFERROR(INDEX(المكونات!$C$2:$C$500,MATCH($B252,المكونات!$A$2:$A$500,0)),"")</f>
        <v>27.1395</v>
      </c>
      <c r="F252" s="69" t="n">
        <f aca="false">IFERROR($C252*$E252,"")</f>
        <v>27.1395</v>
      </c>
    </row>
    <row r="253" customFormat="false" ht="15" hidden="false" customHeight="true" outlineLevel="0" collapsed="false">
      <c r="A253" s="66" t="s">
        <v>388</v>
      </c>
      <c r="B253" s="66" t="s">
        <v>268</v>
      </c>
      <c r="C253" s="66" t="n">
        <v>1</v>
      </c>
      <c r="D253" s="67" t="str">
        <f aca="false">IFERROR(INDEX(المكونات!$B$2:$B$500,MATCH($B253,المكونات!$A$2:$A$500,0)),"")</f>
        <v>قطعة</v>
      </c>
      <c r="E253" s="68" t="n">
        <f aca="false">IFERROR(INDEX(المكونات!$C$2:$C$500,MATCH($B253,المكونات!$A$2:$A$500,0)),"")</f>
        <v>5.5</v>
      </c>
      <c r="F253" s="69" t="n">
        <f aca="false">IFERROR($C253*$E253,"")</f>
        <v>5.5</v>
      </c>
    </row>
    <row r="254" customFormat="false" ht="15" hidden="false" customHeight="true" outlineLevel="0" collapsed="false">
      <c r="A254" s="66" t="s">
        <v>388</v>
      </c>
      <c r="B254" s="66" t="s">
        <v>290</v>
      </c>
      <c r="C254" s="66" t="n">
        <v>3</v>
      </c>
      <c r="D254" s="67" t="str">
        <f aca="false">IFERROR(INDEX(المكونات!$B$2:$B$500,MATCH($B254,المكونات!$A$2:$A$500,0)),"")</f>
        <v>قطعة</v>
      </c>
      <c r="E254" s="68" t="n">
        <f aca="false">IFERROR(INDEX(المكونات!$C$2:$C$500,MATCH($B254,المكونات!$A$2:$A$500,0)),"")</f>
        <v>0.3</v>
      </c>
      <c r="F254" s="69" t="n">
        <f aca="false">IFERROR($C254*$E254,"")</f>
        <v>0.9</v>
      </c>
    </row>
    <row r="255" customFormat="false" ht="15" hidden="false" customHeight="true" outlineLevel="0" collapsed="false">
      <c r="A255" s="66" t="s">
        <v>388</v>
      </c>
      <c r="B255" s="66" t="s">
        <v>319</v>
      </c>
      <c r="C255" s="66" t="n">
        <v>1</v>
      </c>
      <c r="D255" s="67" t="str">
        <f aca="false">IFERROR(INDEX(المكونات!$B$2:$B$500,MATCH($B255,المكونات!$A$2:$A$500,0)),"")</f>
        <v>قطعة (ورقة)</v>
      </c>
      <c r="E255" s="68" t="n">
        <f aca="false">IFERROR(INDEX(المكونات!$C$2:$C$500,MATCH($B255,المكونات!$A$2:$A$500,0)),"")</f>
        <v>0.3665</v>
      </c>
      <c r="F255" s="69" t="n">
        <f aca="false">IFERROR($C255*$E255,"")</f>
        <v>0.3665</v>
      </c>
    </row>
    <row r="256" customFormat="false" ht="15" hidden="false" customHeight="true" outlineLevel="0" collapsed="false">
      <c r="A256" s="66" t="s">
        <v>388</v>
      </c>
      <c r="B256" s="66" t="s">
        <v>133</v>
      </c>
      <c r="C256" s="66" t="n">
        <v>1</v>
      </c>
      <c r="D256" s="67" t="str">
        <f aca="false">IFERROR(INDEX(المكونات!$B$2:$B$500,MATCH($B256,المكونات!$A$2:$A$500,0)),"")</f>
        <v>قطعة (كيس)</v>
      </c>
      <c r="E256" s="68" t="n">
        <f aca="false">IFERROR(INDEX(المكونات!$C$2:$C$500,MATCH($B256,المكونات!$A$2:$A$500,0)),"")</f>
        <v>1.4</v>
      </c>
      <c r="F256" s="69" t="n">
        <f aca="false">IFERROR($C256*$E256,"")</f>
        <v>1.4</v>
      </c>
    </row>
    <row r="257" customFormat="false" ht="15" hidden="false" customHeight="true" outlineLevel="0" collapsed="false">
      <c r="A257" s="66" t="s">
        <v>388</v>
      </c>
      <c r="B257" s="66" t="s">
        <v>293</v>
      </c>
      <c r="C257" s="66" t="n">
        <v>1</v>
      </c>
      <c r="D257" s="67" t="str">
        <f aca="false">IFERROR(INDEX(المكونات!$B$2:$B$500,MATCH($B257,المكونات!$A$2:$A$500,0)),"")</f>
        <v>قطعة</v>
      </c>
      <c r="E257" s="68" t="n">
        <f aca="false">IFERROR(INDEX(المكونات!$C$2:$C$500,MATCH($B257,المكونات!$A$2:$A$500,0)),"")</f>
        <v>0.5</v>
      </c>
      <c r="F257" s="69" t="n">
        <f aca="false">IFERROR($C257*$E257,"")</f>
        <v>0.5</v>
      </c>
    </row>
    <row r="258" customFormat="false" ht="15" hidden="false" customHeight="true" outlineLevel="0" collapsed="false">
      <c r="A258" s="66" t="s">
        <v>388</v>
      </c>
      <c r="B258" s="66" t="s">
        <v>211</v>
      </c>
      <c r="C258" s="66" t="n">
        <v>2</v>
      </c>
      <c r="D258" s="67" t="str">
        <f aca="false">IFERROR(INDEX(المكونات!$B$2:$B$500,MATCH($B258,المكونات!$A$2:$A$500,0)),"")</f>
        <v>قطعة (جلفز)</v>
      </c>
      <c r="E258" s="68" t="n">
        <f aca="false">IFERROR(INDEX(المكونات!$C$2:$C$500,MATCH($B258,المكونات!$A$2:$A$500,0)),"")</f>
        <v>0.18</v>
      </c>
      <c r="F258" s="69" t="n">
        <f aca="false">IFERROR($C258*$E258,"")</f>
        <v>0.36</v>
      </c>
    </row>
    <row r="259" customFormat="false" ht="15" hidden="false" customHeight="true" outlineLevel="0" collapsed="false">
      <c r="A259" s="66" t="s">
        <v>388</v>
      </c>
      <c r="B259" s="66" t="s">
        <v>322</v>
      </c>
      <c r="C259" s="66" t="n">
        <v>1</v>
      </c>
      <c r="D259" s="67" t="str">
        <f aca="false">IFERROR(INDEX(المكونات!$B$2:$B$500,MATCH($B259,المكونات!$A$2:$A$500,0)),"")</f>
        <v>قطعة (كيس)</v>
      </c>
      <c r="E259" s="68" t="n">
        <f aca="false">IFERROR(INDEX(المكونات!$C$2:$C$500,MATCH($B259,المكونات!$A$2:$A$500,0)),"")</f>
        <v>1</v>
      </c>
      <c r="F259" s="69" t="n">
        <f aca="false">IFERROR($C259*$E259,"")</f>
        <v>1</v>
      </c>
    </row>
    <row r="260" customFormat="false" ht="15" hidden="false" customHeight="true" outlineLevel="0" collapsed="false">
      <c r="A260" s="66" t="s">
        <v>388</v>
      </c>
      <c r="B260" s="66" t="s">
        <v>164</v>
      </c>
      <c r="C260" s="66" t="n">
        <v>1</v>
      </c>
      <c r="D260" s="67" t="str">
        <f aca="false">IFERROR(INDEX(المكونات!$B$2:$B$500,MATCH($B260,المكونات!$A$2:$A$500,0)),"")</f>
        <v>قطعة</v>
      </c>
      <c r="E260" s="68" t="n">
        <f aca="false">IFERROR(INDEX(المكونات!$C$2:$C$500,MATCH($B260,المكونات!$A$2:$A$500,0)),"")</f>
        <v>29</v>
      </c>
      <c r="F260" s="69" t="n">
        <f aca="false">IFERROR($C260*$E260,"")</f>
        <v>29</v>
      </c>
    </row>
    <row r="261" customFormat="false" ht="15" hidden="false" customHeight="true" outlineLevel="0" collapsed="false">
      <c r="A261" s="66" t="s">
        <v>388</v>
      </c>
      <c r="B261" s="66" t="s">
        <v>256</v>
      </c>
      <c r="C261" s="66" t="n">
        <v>0.15</v>
      </c>
      <c r="D261" s="67" t="str">
        <f aca="false">IFERROR(INDEX(المكونات!$B$2:$B$500,MATCH($B261,المكونات!$A$2:$A$500,0)),"")</f>
        <v>كجم</v>
      </c>
      <c r="E261" s="68" t="n">
        <f aca="false">IFERROR(INDEX(المكونات!$C$2:$C$500,MATCH($B261,المكونات!$A$2:$A$500,0)),"")</f>
        <v>105</v>
      </c>
      <c r="F261" s="69" t="n">
        <f aca="false">IFERROR($C261*$E261,"")</f>
        <v>15.75</v>
      </c>
    </row>
    <row r="262" customFormat="false" ht="15" hidden="false" customHeight="true" outlineLevel="0" collapsed="false">
      <c r="A262" s="66" t="s">
        <v>481</v>
      </c>
      <c r="B262" s="66" t="s">
        <v>262</v>
      </c>
      <c r="C262" s="66" t="n">
        <v>0.22</v>
      </c>
      <c r="D262" s="67" t="str">
        <f aca="false">IFERROR(INDEX(المكونات!$B$2:$B$500,MATCH($B262,المكونات!$A$2:$A$500,0)),"")</f>
        <v>كجم</v>
      </c>
      <c r="E262" s="68" t="n">
        <f aca="false">IFERROR(INDEX(المكونات!$C$2:$C$500,MATCH($B262,المكونات!$A$2:$A$500,0)),"")</f>
        <v>22</v>
      </c>
      <c r="F262" s="69" t="n">
        <f aca="false">IFERROR($C262*$E262,"")</f>
        <v>4.84</v>
      </c>
    </row>
    <row r="263" customFormat="false" ht="15" hidden="false" customHeight="true" outlineLevel="0" collapsed="false">
      <c r="A263" s="66" t="s">
        <v>481</v>
      </c>
      <c r="B263" s="66" t="s">
        <v>250</v>
      </c>
      <c r="C263" s="66" t="n">
        <v>0.04</v>
      </c>
      <c r="D263" s="67" t="str">
        <f aca="false">IFERROR(INDEX(المكونات!$B$2:$B$500,MATCH($B263,المكونات!$A$2:$A$500,0)),"")</f>
        <v>كجم</v>
      </c>
      <c r="E263" s="68" t="n">
        <f aca="false">IFERROR(INDEX(المكونات!$C$2:$C$500,MATCH($B263,المكونات!$A$2:$A$500,0)),"")</f>
        <v>32</v>
      </c>
      <c r="F263" s="69" t="n">
        <f aca="false">IFERROR($C263*$E263,"")</f>
        <v>1.28</v>
      </c>
    </row>
    <row r="264" customFormat="false" ht="15" hidden="false" customHeight="true" outlineLevel="0" collapsed="false">
      <c r="A264" s="66" t="s">
        <v>481</v>
      </c>
      <c r="B264" s="66" t="s">
        <v>260</v>
      </c>
      <c r="C264" s="66" t="n">
        <v>0.03</v>
      </c>
      <c r="D264" s="67" t="str">
        <f aca="false">IFERROR(INDEX(المكونات!$B$2:$B$500,MATCH($B264,المكونات!$A$2:$A$500,0)),"")</f>
        <v>كجم</v>
      </c>
      <c r="E264" s="68" t="n">
        <f aca="false">IFERROR(INDEX(المكونات!$C$2:$C$500,MATCH($B264,المكونات!$A$2:$A$500,0)),"")</f>
        <v>21</v>
      </c>
      <c r="F264" s="69" t="n">
        <f aca="false">IFERROR($C264*$E264,"")</f>
        <v>0.63</v>
      </c>
    </row>
    <row r="265" customFormat="false" ht="15" hidden="false" customHeight="true" outlineLevel="0" collapsed="false">
      <c r="A265" s="66" t="s">
        <v>481</v>
      </c>
      <c r="B265" s="66" t="s">
        <v>284</v>
      </c>
      <c r="C265" s="66" t="n">
        <v>0.02</v>
      </c>
      <c r="D265" s="67" t="str">
        <f aca="false">IFERROR(INDEX(المكونات!$B$2:$B$500,MATCH($B265,المكونات!$A$2:$A$500,0)),"")</f>
        <v>كجم</v>
      </c>
      <c r="E265" s="68" t="n">
        <f aca="false">IFERROR(INDEX(المكونات!$C$2:$C$500,MATCH($B265,المكونات!$A$2:$A$500,0)),"")</f>
        <v>27</v>
      </c>
      <c r="F265" s="69" t="n">
        <f aca="false">IFERROR($C265*$E265,"")</f>
        <v>0.54</v>
      </c>
    </row>
    <row r="266" customFormat="false" ht="15" hidden="false" customHeight="true" outlineLevel="0" collapsed="false">
      <c r="A266" s="66" t="s">
        <v>481</v>
      </c>
      <c r="B266" s="66" t="s">
        <v>227</v>
      </c>
      <c r="C266" s="66" t="n">
        <v>0.02</v>
      </c>
      <c r="D266" s="67" t="str">
        <f aca="false">IFERROR(INDEX(المكونات!$B$2:$B$500,MATCH($B266,المكونات!$A$2:$A$500,0)),"")</f>
        <v>كجم</v>
      </c>
      <c r="E266" s="68" t="n">
        <f aca="false">IFERROR(INDEX(المكونات!$C$2:$C$500,MATCH($B266,المكونات!$A$2:$A$500,0)),"")</f>
        <v>95</v>
      </c>
      <c r="F266" s="69" t="n">
        <f aca="false">IFERROR($C266*$E266,"")</f>
        <v>1.9</v>
      </c>
    </row>
    <row r="267" customFormat="false" ht="15" hidden="false" customHeight="true" outlineLevel="0" collapsed="false">
      <c r="A267" s="66" t="s">
        <v>481</v>
      </c>
      <c r="B267" s="66" t="s">
        <v>172</v>
      </c>
      <c r="C267" s="66" t="n">
        <v>1</v>
      </c>
      <c r="D267" s="67" t="str">
        <f aca="false">IFERROR(INDEX(المكونات!$B$2:$B$500,MATCH($B267,المكونات!$A$2:$A$500,0)),"")</f>
        <v>قطعة</v>
      </c>
      <c r="E267" s="68" t="n">
        <f aca="false">IFERROR(INDEX(المكونات!$C$2:$C$500,MATCH($B267,المكونات!$A$2:$A$500,0)),"")</f>
        <v>20</v>
      </c>
      <c r="F267" s="69" t="n">
        <f aca="false">IFERROR($C267*$E267,"")</f>
        <v>20</v>
      </c>
    </row>
    <row r="268" customFormat="false" ht="15" hidden="false" customHeight="true" outlineLevel="0" collapsed="false">
      <c r="A268" s="66" t="s">
        <v>481</v>
      </c>
      <c r="B268" s="66" t="s">
        <v>270</v>
      </c>
      <c r="C268" s="66" t="n">
        <v>1</v>
      </c>
      <c r="D268" s="67" t="str">
        <f aca="false">IFERROR(INDEX(المكونات!$B$2:$B$500,MATCH($B268,المكونات!$A$2:$A$500,0)),"")</f>
        <v>قطعة</v>
      </c>
      <c r="E268" s="68" t="n">
        <f aca="false">IFERROR(INDEX(المكونات!$C$2:$C$500,MATCH($B268,المكونات!$A$2:$A$500,0)),"")</f>
        <v>4.5</v>
      </c>
      <c r="F268" s="69" t="n">
        <f aca="false">IFERROR($C268*$E268,"")</f>
        <v>4.5</v>
      </c>
    </row>
    <row r="269" customFormat="false" ht="15" hidden="false" customHeight="true" outlineLevel="0" collapsed="false">
      <c r="A269" s="66" t="s">
        <v>481</v>
      </c>
      <c r="B269" s="66" t="s">
        <v>290</v>
      </c>
      <c r="C269" s="66" t="n">
        <v>2</v>
      </c>
      <c r="D269" s="67" t="str">
        <f aca="false">IFERROR(INDEX(المكونات!$B$2:$B$500,MATCH($B269,المكونات!$A$2:$A$500,0)),"")</f>
        <v>قطعة</v>
      </c>
      <c r="E269" s="68" t="n">
        <f aca="false">IFERROR(INDEX(المكونات!$C$2:$C$500,MATCH($B269,المكونات!$A$2:$A$500,0)),"")</f>
        <v>0.3</v>
      </c>
      <c r="F269" s="69" t="n">
        <f aca="false">IFERROR($C269*$E269,"")</f>
        <v>0.6</v>
      </c>
    </row>
    <row r="270" customFormat="false" ht="15" hidden="false" customHeight="true" outlineLevel="0" collapsed="false">
      <c r="A270" s="66" t="s">
        <v>481</v>
      </c>
      <c r="B270" s="66" t="s">
        <v>319</v>
      </c>
      <c r="C270" s="66" t="n">
        <v>1</v>
      </c>
      <c r="D270" s="67" t="str">
        <f aca="false">IFERROR(INDEX(المكونات!$B$2:$B$500,MATCH($B270,المكونات!$A$2:$A$500,0)),"")</f>
        <v>قطعة (ورقة)</v>
      </c>
      <c r="E270" s="68" t="n">
        <f aca="false">IFERROR(INDEX(المكونات!$C$2:$C$500,MATCH($B270,المكونات!$A$2:$A$500,0)),"")</f>
        <v>0.3665</v>
      </c>
      <c r="F270" s="69" t="n">
        <f aca="false">IFERROR($C270*$E270,"")</f>
        <v>0.3665</v>
      </c>
    </row>
    <row r="271" customFormat="false" ht="15" hidden="false" customHeight="true" outlineLevel="0" collapsed="false">
      <c r="A271" s="66" t="s">
        <v>481</v>
      </c>
      <c r="B271" s="66" t="s">
        <v>133</v>
      </c>
      <c r="C271" s="66" t="n">
        <v>1</v>
      </c>
      <c r="D271" s="67" t="str">
        <f aca="false">IFERROR(INDEX(المكونات!$B$2:$B$500,MATCH($B271,المكونات!$A$2:$A$500,0)),"")</f>
        <v>قطعة (كيس)</v>
      </c>
      <c r="E271" s="68" t="n">
        <f aca="false">IFERROR(INDEX(المكونات!$C$2:$C$500,MATCH($B271,المكونات!$A$2:$A$500,0)),"")</f>
        <v>1.4</v>
      </c>
      <c r="F271" s="69" t="n">
        <f aca="false">IFERROR($C271*$E271,"")</f>
        <v>1.4</v>
      </c>
    </row>
    <row r="272" customFormat="false" ht="15" hidden="false" customHeight="true" outlineLevel="0" collapsed="false">
      <c r="A272" s="66" t="s">
        <v>481</v>
      </c>
      <c r="B272" s="66" t="s">
        <v>293</v>
      </c>
      <c r="C272" s="66" t="n">
        <v>1</v>
      </c>
      <c r="D272" s="67" t="str">
        <f aca="false">IFERROR(INDEX(المكونات!$B$2:$B$500,MATCH($B272,المكونات!$A$2:$A$500,0)),"")</f>
        <v>قطعة</v>
      </c>
      <c r="E272" s="68" t="n">
        <f aca="false">IFERROR(INDEX(المكونات!$C$2:$C$500,MATCH($B272,المكونات!$A$2:$A$500,0)),"")</f>
        <v>0.5</v>
      </c>
      <c r="F272" s="69" t="n">
        <f aca="false">IFERROR($C272*$E272,"")</f>
        <v>0.5</v>
      </c>
    </row>
    <row r="273" customFormat="false" ht="15" hidden="false" customHeight="true" outlineLevel="0" collapsed="false">
      <c r="A273" s="66" t="s">
        <v>481</v>
      </c>
      <c r="B273" s="66" t="s">
        <v>211</v>
      </c>
      <c r="C273" s="66" t="n">
        <v>2</v>
      </c>
      <c r="D273" s="67" t="str">
        <f aca="false">IFERROR(INDEX(المكونات!$B$2:$B$500,MATCH($B273,المكونات!$A$2:$A$500,0)),"")</f>
        <v>قطعة (جلفز)</v>
      </c>
      <c r="E273" s="68" t="n">
        <f aca="false">IFERROR(INDEX(المكونات!$C$2:$C$500,MATCH($B273,المكونات!$A$2:$A$500,0)),"")</f>
        <v>0.18</v>
      </c>
      <c r="F273" s="69" t="n">
        <f aca="false">IFERROR($C273*$E273,"")</f>
        <v>0.36</v>
      </c>
    </row>
    <row r="274" customFormat="false" ht="15" hidden="false" customHeight="true" outlineLevel="0" collapsed="false">
      <c r="A274" s="66" t="s">
        <v>481</v>
      </c>
      <c r="B274" s="66" t="s">
        <v>322</v>
      </c>
      <c r="C274" s="66" t="n">
        <v>1</v>
      </c>
      <c r="D274" s="67" t="str">
        <f aca="false">IFERROR(INDEX(المكونات!$B$2:$B$500,MATCH($B274,المكونات!$A$2:$A$500,0)),"")</f>
        <v>قطعة (كيس)</v>
      </c>
      <c r="E274" s="68" t="n">
        <f aca="false">IFERROR(INDEX(المكونات!$C$2:$C$500,MATCH($B274,المكونات!$A$2:$A$500,0)),"")</f>
        <v>1</v>
      </c>
      <c r="F274" s="69" t="n">
        <f aca="false">IFERROR($C274*$E274,"")</f>
        <v>1</v>
      </c>
    </row>
    <row r="275" customFormat="false" ht="15" hidden="false" customHeight="true" outlineLevel="0" collapsed="false">
      <c r="A275" s="66" t="s">
        <v>481</v>
      </c>
      <c r="B275" s="66" t="s">
        <v>162</v>
      </c>
      <c r="C275" s="66" t="n">
        <v>1</v>
      </c>
      <c r="D275" s="67" t="str">
        <f aca="false">IFERROR(INDEX(المكونات!$B$2:$B$500,MATCH($B275,المكونات!$A$2:$A$500,0)),"")</f>
        <v>قطعة</v>
      </c>
      <c r="E275" s="68" t="n">
        <f aca="false">IFERROR(INDEX(المكونات!$C$2:$C$500,MATCH($B275,المكونات!$A$2:$A$500,0)),"")</f>
        <v>30</v>
      </c>
      <c r="F275" s="69" t="n">
        <f aca="false">IFERROR($C275*$E275,"")</f>
        <v>30</v>
      </c>
    </row>
    <row r="276" customFormat="false" ht="15" hidden="false" customHeight="true" outlineLevel="0" collapsed="false">
      <c r="A276" s="66" t="s">
        <v>481</v>
      </c>
      <c r="B276" s="66" t="s">
        <v>258</v>
      </c>
      <c r="C276" s="66" t="n">
        <v>0.1</v>
      </c>
      <c r="D276" s="67" t="str">
        <f aca="false">IFERROR(INDEX(المكونات!$B$2:$B$500,MATCH($B276,المكونات!$A$2:$A$500,0)),"")</f>
        <v>كجم</v>
      </c>
      <c r="E276" s="68" t="n">
        <f aca="false">IFERROR(INDEX(المكونات!$C$2:$C$500,MATCH($B276,المكونات!$A$2:$A$500,0)),"")</f>
        <v>140</v>
      </c>
      <c r="F276" s="69" t="n">
        <f aca="false">IFERROR($C276*$E276,"")</f>
        <v>14</v>
      </c>
    </row>
    <row r="277" customFormat="false" ht="15" hidden="false" customHeight="true" outlineLevel="0" collapsed="false">
      <c r="A277" s="66" t="s">
        <v>394</v>
      </c>
      <c r="B277" s="66" t="s">
        <v>262</v>
      </c>
      <c r="C277" s="66" t="n">
        <v>0.3</v>
      </c>
      <c r="D277" s="67" t="str">
        <f aca="false">IFERROR(INDEX(المكونات!$B$2:$B$500,MATCH($B277,المكونات!$A$2:$A$500,0)),"")</f>
        <v>كجم</v>
      </c>
      <c r="E277" s="68" t="n">
        <f aca="false">IFERROR(INDEX(المكونات!$C$2:$C$500,MATCH($B277,المكونات!$A$2:$A$500,0)),"")</f>
        <v>22</v>
      </c>
      <c r="F277" s="69" t="n">
        <f aca="false">IFERROR($C277*$E277,"")</f>
        <v>6.6</v>
      </c>
    </row>
    <row r="278" customFormat="false" ht="15" hidden="false" customHeight="true" outlineLevel="0" collapsed="false">
      <c r="A278" s="66" t="s">
        <v>394</v>
      </c>
      <c r="B278" s="66" t="s">
        <v>250</v>
      </c>
      <c r="C278" s="66" t="n">
        <v>0.06</v>
      </c>
      <c r="D278" s="67" t="str">
        <f aca="false">IFERROR(INDEX(المكونات!$B$2:$B$500,MATCH($B278,المكونات!$A$2:$A$500,0)),"")</f>
        <v>كجم</v>
      </c>
      <c r="E278" s="68" t="n">
        <f aca="false">IFERROR(INDEX(المكونات!$C$2:$C$500,MATCH($B278,المكونات!$A$2:$A$500,0)),"")</f>
        <v>32</v>
      </c>
      <c r="F278" s="69" t="n">
        <f aca="false">IFERROR($C278*$E278,"")</f>
        <v>1.92</v>
      </c>
    </row>
    <row r="279" customFormat="false" ht="15" hidden="false" customHeight="true" outlineLevel="0" collapsed="false">
      <c r="A279" s="66" t="s">
        <v>394</v>
      </c>
      <c r="B279" s="66" t="s">
        <v>260</v>
      </c>
      <c r="C279" s="66" t="n">
        <v>0.045</v>
      </c>
      <c r="D279" s="67" t="str">
        <f aca="false">IFERROR(INDEX(المكونات!$B$2:$B$500,MATCH($B279,المكونات!$A$2:$A$500,0)),"")</f>
        <v>كجم</v>
      </c>
      <c r="E279" s="68" t="n">
        <f aca="false">IFERROR(INDEX(المكونات!$C$2:$C$500,MATCH($B279,المكونات!$A$2:$A$500,0)),"")</f>
        <v>21</v>
      </c>
      <c r="F279" s="69" t="n">
        <f aca="false">IFERROR($C279*$E279,"")</f>
        <v>0.945</v>
      </c>
    </row>
    <row r="280" customFormat="false" ht="15" hidden="false" customHeight="true" outlineLevel="0" collapsed="false">
      <c r="A280" s="66" t="s">
        <v>394</v>
      </c>
      <c r="B280" s="66" t="s">
        <v>284</v>
      </c>
      <c r="C280" s="66" t="n">
        <v>0.03</v>
      </c>
      <c r="D280" s="67" t="str">
        <f aca="false">IFERROR(INDEX(المكونات!$B$2:$B$500,MATCH($B280,المكونات!$A$2:$A$500,0)),"")</f>
        <v>كجم</v>
      </c>
      <c r="E280" s="68" t="n">
        <f aca="false">IFERROR(INDEX(المكونات!$C$2:$C$500,MATCH($B280,المكونات!$A$2:$A$500,0)),"")</f>
        <v>27</v>
      </c>
      <c r="F280" s="69" t="n">
        <f aca="false">IFERROR($C280*$E280,"")</f>
        <v>0.81</v>
      </c>
    </row>
    <row r="281" customFormat="false" ht="15" hidden="false" customHeight="true" outlineLevel="0" collapsed="false">
      <c r="A281" s="66" t="s">
        <v>394</v>
      </c>
      <c r="B281" s="66" t="s">
        <v>227</v>
      </c>
      <c r="C281" s="66" t="n">
        <v>0.03</v>
      </c>
      <c r="D281" s="67" t="str">
        <f aca="false">IFERROR(INDEX(المكونات!$B$2:$B$500,MATCH($B281,المكونات!$A$2:$A$500,0)),"")</f>
        <v>كجم</v>
      </c>
      <c r="E281" s="68" t="n">
        <f aca="false">IFERROR(INDEX(المكونات!$C$2:$C$500,MATCH($B281,المكونات!$A$2:$A$500,0)),"")</f>
        <v>95</v>
      </c>
      <c r="F281" s="69" t="n">
        <f aca="false">IFERROR($C281*$E281,"")</f>
        <v>2.85</v>
      </c>
    </row>
    <row r="282" customFormat="false" ht="15" hidden="false" customHeight="true" outlineLevel="0" collapsed="false">
      <c r="A282" s="66" t="s">
        <v>394</v>
      </c>
      <c r="B282" s="66" t="s">
        <v>174</v>
      </c>
      <c r="C282" s="66" t="n">
        <v>1</v>
      </c>
      <c r="D282" s="67" t="str">
        <f aca="false">IFERROR(INDEX(المكونات!$B$2:$B$500,MATCH($B282,المكونات!$A$2:$A$500,0)),"")</f>
        <v>قطعة</v>
      </c>
      <c r="E282" s="68" t="n">
        <f aca="false">IFERROR(INDEX(المكونات!$C$2:$C$500,MATCH($B282,المكونات!$A$2:$A$500,0)),"")</f>
        <v>27.1395</v>
      </c>
      <c r="F282" s="69" t="n">
        <f aca="false">IFERROR($C282*$E282,"")</f>
        <v>27.1395</v>
      </c>
    </row>
    <row r="283" customFormat="false" ht="15" hidden="false" customHeight="true" outlineLevel="0" collapsed="false">
      <c r="A283" s="66" t="s">
        <v>394</v>
      </c>
      <c r="B283" s="66" t="s">
        <v>268</v>
      </c>
      <c r="C283" s="66" t="n">
        <v>1</v>
      </c>
      <c r="D283" s="67" t="str">
        <f aca="false">IFERROR(INDEX(المكونات!$B$2:$B$500,MATCH($B283,المكونات!$A$2:$A$500,0)),"")</f>
        <v>قطعة</v>
      </c>
      <c r="E283" s="68" t="n">
        <f aca="false">IFERROR(INDEX(المكونات!$C$2:$C$500,MATCH($B283,المكونات!$A$2:$A$500,0)),"")</f>
        <v>5.5</v>
      </c>
      <c r="F283" s="69" t="n">
        <f aca="false">IFERROR($C283*$E283,"")</f>
        <v>5.5</v>
      </c>
    </row>
    <row r="284" customFormat="false" ht="15" hidden="false" customHeight="true" outlineLevel="0" collapsed="false">
      <c r="A284" s="66" t="s">
        <v>394</v>
      </c>
      <c r="B284" s="66" t="s">
        <v>290</v>
      </c>
      <c r="C284" s="66" t="n">
        <v>3</v>
      </c>
      <c r="D284" s="67" t="str">
        <f aca="false">IFERROR(INDEX(المكونات!$B$2:$B$500,MATCH($B284,المكونات!$A$2:$A$500,0)),"")</f>
        <v>قطعة</v>
      </c>
      <c r="E284" s="68" t="n">
        <f aca="false">IFERROR(INDEX(المكونات!$C$2:$C$500,MATCH($B284,المكونات!$A$2:$A$500,0)),"")</f>
        <v>0.3</v>
      </c>
      <c r="F284" s="69" t="n">
        <f aca="false">IFERROR($C284*$E284,"")</f>
        <v>0.9</v>
      </c>
    </row>
    <row r="285" customFormat="false" ht="15" hidden="false" customHeight="true" outlineLevel="0" collapsed="false">
      <c r="A285" s="66" t="s">
        <v>394</v>
      </c>
      <c r="B285" s="66" t="s">
        <v>319</v>
      </c>
      <c r="C285" s="66" t="n">
        <v>1</v>
      </c>
      <c r="D285" s="67" t="str">
        <f aca="false">IFERROR(INDEX(المكونات!$B$2:$B$500,MATCH($B285,المكونات!$A$2:$A$500,0)),"")</f>
        <v>قطعة (ورقة)</v>
      </c>
      <c r="E285" s="68" t="n">
        <f aca="false">IFERROR(INDEX(المكونات!$C$2:$C$500,MATCH($B285,المكونات!$A$2:$A$500,0)),"")</f>
        <v>0.3665</v>
      </c>
      <c r="F285" s="69" t="n">
        <f aca="false">IFERROR($C285*$E285,"")</f>
        <v>0.3665</v>
      </c>
    </row>
    <row r="286" customFormat="false" ht="15" hidden="false" customHeight="true" outlineLevel="0" collapsed="false">
      <c r="A286" s="66" t="s">
        <v>394</v>
      </c>
      <c r="B286" s="66" t="s">
        <v>133</v>
      </c>
      <c r="C286" s="66" t="n">
        <v>1</v>
      </c>
      <c r="D286" s="67" t="str">
        <f aca="false">IFERROR(INDEX(المكونات!$B$2:$B$500,MATCH($B286,المكونات!$A$2:$A$500,0)),"")</f>
        <v>قطعة (كيس)</v>
      </c>
      <c r="E286" s="68" t="n">
        <f aca="false">IFERROR(INDEX(المكونات!$C$2:$C$500,MATCH($B286,المكونات!$A$2:$A$500,0)),"")</f>
        <v>1.4</v>
      </c>
      <c r="F286" s="69" t="n">
        <f aca="false">IFERROR($C286*$E286,"")</f>
        <v>1.4</v>
      </c>
    </row>
    <row r="287" customFormat="false" ht="15" hidden="false" customHeight="true" outlineLevel="0" collapsed="false">
      <c r="A287" s="66" t="s">
        <v>394</v>
      </c>
      <c r="B287" s="66" t="s">
        <v>293</v>
      </c>
      <c r="C287" s="66" t="n">
        <v>1</v>
      </c>
      <c r="D287" s="67" t="str">
        <f aca="false">IFERROR(INDEX(المكونات!$B$2:$B$500,MATCH($B287,المكونات!$A$2:$A$500,0)),"")</f>
        <v>قطعة</v>
      </c>
      <c r="E287" s="68" t="n">
        <f aca="false">IFERROR(INDEX(المكونات!$C$2:$C$500,MATCH($B287,المكونات!$A$2:$A$500,0)),"")</f>
        <v>0.5</v>
      </c>
      <c r="F287" s="69" t="n">
        <f aca="false">IFERROR($C287*$E287,"")</f>
        <v>0.5</v>
      </c>
    </row>
    <row r="288" customFormat="false" ht="15" hidden="false" customHeight="true" outlineLevel="0" collapsed="false">
      <c r="A288" s="66" t="s">
        <v>394</v>
      </c>
      <c r="B288" s="66" t="s">
        <v>211</v>
      </c>
      <c r="C288" s="66" t="n">
        <v>2</v>
      </c>
      <c r="D288" s="67" t="str">
        <f aca="false">IFERROR(INDEX(المكونات!$B$2:$B$500,MATCH($B288,المكونات!$A$2:$A$500,0)),"")</f>
        <v>قطعة (جلفز)</v>
      </c>
      <c r="E288" s="68" t="n">
        <f aca="false">IFERROR(INDEX(المكونات!$C$2:$C$500,MATCH($B288,المكونات!$A$2:$A$500,0)),"")</f>
        <v>0.18</v>
      </c>
      <c r="F288" s="69" t="n">
        <f aca="false">IFERROR($C288*$E288,"")</f>
        <v>0.36</v>
      </c>
    </row>
    <row r="289" customFormat="false" ht="15" hidden="false" customHeight="true" outlineLevel="0" collapsed="false">
      <c r="A289" s="66" t="s">
        <v>394</v>
      </c>
      <c r="B289" s="66" t="s">
        <v>322</v>
      </c>
      <c r="C289" s="66" t="n">
        <v>1</v>
      </c>
      <c r="D289" s="67" t="str">
        <f aca="false">IFERROR(INDEX(المكونات!$B$2:$B$500,MATCH($B289,المكونات!$A$2:$A$500,0)),"")</f>
        <v>قطعة (كيس)</v>
      </c>
      <c r="E289" s="68" t="n">
        <f aca="false">IFERROR(INDEX(المكونات!$C$2:$C$500,MATCH($B289,المكونات!$A$2:$A$500,0)),"")</f>
        <v>1</v>
      </c>
      <c r="F289" s="69" t="n">
        <f aca="false">IFERROR($C289*$E289,"")</f>
        <v>1</v>
      </c>
    </row>
    <row r="290" customFormat="false" ht="15" hidden="false" customHeight="true" outlineLevel="0" collapsed="false">
      <c r="A290" s="66" t="s">
        <v>394</v>
      </c>
      <c r="B290" s="66" t="s">
        <v>164</v>
      </c>
      <c r="C290" s="66" t="n">
        <v>1</v>
      </c>
      <c r="D290" s="67" t="str">
        <f aca="false">IFERROR(INDEX(المكونات!$B$2:$B$500,MATCH($B290,المكونات!$A$2:$A$500,0)),"")</f>
        <v>قطعة</v>
      </c>
      <c r="E290" s="68" t="n">
        <f aca="false">IFERROR(INDEX(المكونات!$C$2:$C$500,MATCH($B290,المكونات!$A$2:$A$500,0)),"")</f>
        <v>29</v>
      </c>
      <c r="F290" s="69" t="n">
        <f aca="false">IFERROR($C290*$E290,"")</f>
        <v>29</v>
      </c>
    </row>
    <row r="291" customFormat="false" ht="15" hidden="false" customHeight="true" outlineLevel="0" collapsed="false">
      <c r="A291" s="66" t="s">
        <v>394</v>
      </c>
      <c r="B291" s="66" t="s">
        <v>258</v>
      </c>
      <c r="C291" s="66" t="n">
        <v>0.15</v>
      </c>
      <c r="D291" s="67" t="str">
        <f aca="false">IFERROR(INDEX(المكونات!$B$2:$B$500,MATCH($B291,المكونات!$A$2:$A$500,0)),"")</f>
        <v>كجم</v>
      </c>
      <c r="E291" s="68" t="n">
        <f aca="false">IFERROR(INDEX(المكونات!$C$2:$C$500,MATCH($B291,المكونات!$A$2:$A$500,0)),"")</f>
        <v>140</v>
      </c>
      <c r="F291" s="69" t="n">
        <f aca="false">IFERROR($C291*$E291,"")</f>
        <v>21</v>
      </c>
    </row>
    <row r="292" customFormat="false" ht="15" hidden="false" customHeight="true" outlineLevel="0" collapsed="false">
      <c r="A292" s="66" t="s">
        <v>466</v>
      </c>
      <c r="B292" s="66" t="s">
        <v>262</v>
      </c>
      <c r="C292" s="66" t="n">
        <v>0.22</v>
      </c>
      <c r="D292" s="67" t="str">
        <f aca="false">IFERROR(INDEX(المكونات!$B$2:$B$500,MATCH($B292,المكونات!$A$2:$A$500,0)),"")</f>
        <v>كجم</v>
      </c>
      <c r="E292" s="68" t="n">
        <f aca="false">IFERROR(INDEX(المكونات!$C$2:$C$500,MATCH($B292,المكونات!$A$2:$A$500,0)),"")</f>
        <v>22</v>
      </c>
      <c r="F292" s="69" t="n">
        <f aca="false">IFERROR($C292*$E292,"")</f>
        <v>4.84</v>
      </c>
    </row>
    <row r="293" customFormat="false" ht="15" hidden="false" customHeight="true" outlineLevel="0" collapsed="false">
      <c r="A293" s="66" t="s">
        <v>466</v>
      </c>
      <c r="B293" s="66" t="s">
        <v>250</v>
      </c>
      <c r="C293" s="66" t="n">
        <v>0.04</v>
      </c>
      <c r="D293" s="67" t="str">
        <f aca="false">IFERROR(INDEX(المكونات!$B$2:$B$500,MATCH($B293,المكونات!$A$2:$A$500,0)),"")</f>
        <v>كجم</v>
      </c>
      <c r="E293" s="68" t="n">
        <f aca="false">IFERROR(INDEX(المكونات!$C$2:$C$500,MATCH($B293,المكونات!$A$2:$A$500,0)),"")</f>
        <v>32</v>
      </c>
      <c r="F293" s="69" t="n">
        <f aca="false">IFERROR($C293*$E293,"")</f>
        <v>1.28</v>
      </c>
    </row>
    <row r="294" customFormat="false" ht="15" hidden="false" customHeight="true" outlineLevel="0" collapsed="false">
      <c r="A294" s="66" t="s">
        <v>466</v>
      </c>
      <c r="B294" s="66" t="s">
        <v>260</v>
      </c>
      <c r="C294" s="66" t="n">
        <v>0.03</v>
      </c>
      <c r="D294" s="67" t="str">
        <f aca="false">IFERROR(INDEX(المكونات!$B$2:$B$500,MATCH($B294,المكونات!$A$2:$A$500,0)),"")</f>
        <v>كجم</v>
      </c>
      <c r="E294" s="68" t="n">
        <f aca="false">IFERROR(INDEX(المكونات!$C$2:$C$500,MATCH($B294,المكونات!$A$2:$A$500,0)),"")</f>
        <v>21</v>
      </c>
      <c r="F294" s="69" t="n">
        <f aca="false">IFERROR($C294*$E294,"")</f>
        <v>0.63</v>
      </c>
    </row>
    <row r="295" customFormat="false" ht="15" hidden="false" customHeight="true" outlineLevel="0" collapsed="false">
      <c r="A295" s="66" t="s">
        <v>466</v>
      </c>
      <c r="B295" s="66" t="s">
        <v>284</v>
      </c>
      <c r="C295" s="66" t="n">
        <v>0.02</v>
      </c>
      <c r="D295" s="67" t="str">
        <f aca="false">IFERROR(INDEX(المكونات!$B$2:$B$500,MATCH($B295,المكونات!$A$2:$A$500,0)),"")</f>
        <v>كجم</v>
      </c>
      <c r="E295" s="68" t="n">
        <f aca="false">IFERROR(INDEX(المكونات!$C$2:$C$500,MATCH($B295,المكونات!$A$2:$A$500,0)),"")</f>
        <v>27</v>
      </c>
      <c r="F295" s="69" t="n">
        <f aca="false">IFERROR($C295*$E295,"")</f>
        <v>0.54</v>
      </c>
    </row>
    <row r="296" customFormat="false" ht="15" hidden="false" customHeight="true" outlineLevel="0" collapsed="false">
      <c r="A296" s="66" t="s">
        <v>466</v>
      </c>
      <c r="B296" s="66" t="s">
        <v>227</v>
      </c>
      <c r="C296" s="66" t="n">
        <v>0.02</v>
      </c>
      <c r="D296" s="67" t="str">
        <f aca="false">IFERROR(INDEX(المكونات!$B$2:$B$500,MATCH($B296,المكونات!$A$2:$A$500,0)),"")</f>
        <v>كجم</v>
      </c>
      <c r="E296" s="68" t="n">
        <f aca="false">IFERROR(INDEX(المكونات!$C$2:$C$500,MATCH($B296,المكونات!$A$2:$A$500,0)),"")</f>
        <v>95</v>
      </c>
      <c r="F296" s="69" t="n">
        <f aca="false">IFERROR($C296*$E296,"")</f>
        <v>1.9</v>
      </c>
    </row>
    <row r="297" customFormat="false" ht="15" hidden="false" customHeight="true" outlineLevel="0" collapsed="false">
      <c r="A297" s="66" t="s">
        <v>466</v>
      </c>
      <c r="B297" s="66" t="s">
        <v>172</v>
      </c>
      <c r="C297" s="66" t="n">
        <v>1</v>
      </c>
      <c r="D297" s="67" t="str">
        <f aca="false">IFERROR(INDEX(المكونات!$B$2:$B$500,MATCH($B297,المكونات!$A$2:$A$500,0)),"")</f>
        <v>قطعة</v>
      </c>
      <c r="E297" s="68" t="n">
        <f aca="false">IFERROR(INDEX(المكونات!$C$2:$C$500,MATCH($B297,المكونات!$A$2:$A$500,0)),"")</f>
        <v>20</v>
      </c>
      <c r="F297" s="69" t="n">
        <f aca="false">IFERROR($C297*$E297,"")</f>
        <v>20</v>
      </c>
    </row>
    <row r="298" customFormat="false" ht="15" hidden="false" customHeight="true" outlineLevel="0" collapsed="false">
      <c r="A298" s="66" t="s">
        <v>466</v>
      </c>
      <c r="B298" s="66" t="s">
        <v>270</v>
      </c>
      <c r="C298" s="66" t="n">
        <v>1</v>
      </c>
      <c r="D298" s="67" t="str">
        <f aca="false">IFERROR(INDEX(المكونات!$B$2:$B$500,MATCH($B298,المكونات!$A$2:$A$500,0)),"")</f>
        <v>قطعة</v>
      </c>
      <c r="E298" s="68" t="n">
        <f aca="false">IFERROR(INDEX(المكونات!$C$2:$C$500,MATCH($B298,المكونات!$A$2:$A$500,0)),"")</f>
        <v>4.5</v>
      </c>
      <c r="F298" s="69" t="n">
        <f aca="false">IFERROR($C298*$E298,"")</f>
        <v>4.5</v>
      </c>
    </row>
    <row r="299" customFormat="false" ht="15" hidden="false" customHeight="true" outlineLevel="0" collapsed="false">
      <c r="A299" s="66" t="s">
        <v>466</v>
      </c>
      <c r="B299" s="66" t="s">
        <v>290</v>
      </c>
      <c r="C299" s="66" t="n">
        <v>2</v>
      </c>
      <c r="D299" s="67" t="str">
        <f aca="false">IFERROR(INDEX(المكونات!$B$2:$B$500,MATCH($B299,المكونات!$A$2:$A$500,0)),"")</f>
        <v>قطعة</v>
      </c>
      <c r="E299" s="68" t="n">
        <f aca="false">IFERROR(INDEX(المكونات!$C$2:$C$500,MATCH($B299,المكونات!$A$2:$A$500,0)),"")</f>
        <v>0.3</v>
      </c>
      <c r="F299" s="69" t="n">
        <f aca="false">IFERROR($C299*$E299,"")</f>
        <v>0.6</v>
      </c>
    </row>
    <row r="300" customFormat="false" ht="15" hidden="false" customHeight="true" outlineLevel="0" collapsed="false">
      <c r="A300" s="66" t="s">
        <v>466</v>
      </c>
      <c r="B300" s="66" t="s">
        <v>319</v>
      </c>
      <c r="C300" s="66" t="n">
        <v>1</v>
      </c>
      <c r="D300" s="67" t="str">
        <f aca="false">IFERROR(INDEX(المكونات!$B$2:$B$500,MATCH($B300,المكونات!$A$2:$A$500,0)),"")</f>
        <v>قطعة (ورقة)</v>
      </c>
      <c r="E300" s="68" t="n">
        <f aca="false">IFERROR(INDEX(المكونات!$C$2:$C$500,MATCH($B300,المكونات!$A$2:$A$500,0)),"")</f>
        <v>0.3665</v>
      </c>
      <c r="F300" s="69" t="n">
        <f aca="false">IFERROR($C300*$E300,"")</f>
        <v>0.3665</v>
      </c>
    </row>
    <row r="301" customFormat="false" ht="15" hidden="false" customHeight="true" outlineLevel="0" collapsed="false">
      <c r="A301" s="66" t="s">
        <v>466</v>
      </c>
      <c r="B301" s="66" t="s">
        <v>133</v>
      </c>
      <c r="C301" s="66" t="n">
        <v>1</v>
      </c>
      <c r="D301" s="67" t="str">
        <f aca="false">IFERROR(INDEX(المكونات!$B$2:$B$500,MATCH($B301,المكونات!$A$2:$A$500,0)),"")</f>
        <v>قطعة (كيس)</v>
      </c>
      <c r="E301" s="68" t="n">
        <f aca="false">IFERROR(INDEX(المكونات!$C$2:$C$500,MATCH($B301,المكونات!$A$2:$A$500,0)),"")</f>
        <v>1.4</v>
      </c>
      <c r="F301" s="69" t="n">
        <f aca="false">IFERROR($C301*$E301,"")</f>
        <v>1.4</v>
      </c>
    </row>
    <row r="302" customFormat="false" ht="15" hidden="false" customHeight="true" outlineLevel="0" collapsed="false">
      <c r="A302" s="66" t="s">
        <v>466</v>
      </c>
      <c r="B302" s="66" t="s">
        <v>293</v>
      </c>
      <c r="C302" s="66" t="n">
        <v>1</v>
      </c>
      <c r="D302" s="67" t="str">
        <f aca="false">IFERROR(INDEX(المكونات!$B$2:$B$500,MATCH($B302,المكونات!$A$2:$A$500,0)),"")</f>
        <v>قطعة</v>
      </c>
      <c r="E302" s="68" t="n">
        <f aca="false">IFERROR(INDEX(المكونات!$C$2:$C$500,MATCH($B302,المكونات!$A$2:$A$500,0)),"")</f>
        <v>0.5</v>
      </c>
      <c r="F302" s="69" t="n">
        <f aca="false">IFERROR($C302*$E302,"")</f>
        <v>0.5</v>
      </c>
    </row>
    <row r="303" customFormat="false" ht="15" hidden="false" customHeight="true" outlineLevel="0" collapsed="false">
      <c r="A303" s="66" t="s">
        <v>466</v>
      </c>
      <c r="B303" s="66" t="s">
        <v>211</v>
      </c>
      <c r="C303" s="66" t="n">
        <v>2</v>
      </c>
      <c r="D303" s="67" t="str">
        <f aca="false">IFERROR(INDEX(المكونات!$B$2:$B$500,MATCH($B303,المكونات!$A$2:$A$500,0)),"")</f>
        <v>قطعة (جلفز)</v>
      </c>
      <c r="E303" s="68" t="n">
        <f aca="false">IFERROR(INDEX(المكونات!$C$2:$C$500,MATCH($B303,المكونات!$A$2:$A$500,0)),"")</f>
        <v>0.18</v>
      </c>
      <c r="F303" s="69" t="n">
        <f aca="false">IFERROR($C303*$E303,"")</f>
        <v>0.36</v>
      </c>
    </row>
    <row r="304" customFormat="false" ht="15" hidden="false" customHeight="true" outlineLevel="0" collapsed="false">
      <c r="A304" s="66" t="s">
        <v>466</v>
      </c>
      <c r="B304" s="66" t="s">
        <v>322</v>
      </c>
      <c r="C304" s="66" t="n">
        <v>1</v>
      </c>
      <c r="D304" s="67" t="str">
        <f aca="false">IFERROR(INDEX(المكونات!$B$2:$B$500,MATCH($B304,المكونات!$A$2:$A$500,0)),"")</f>
        <v>قطعة (كيس)</v>
      </c>
      <c r="E304" s="68" t="n">
        <f aca="false">IFERROR(INDEX(المكونات!$C$2:$C$500,MATCH($B304,المكونات!$A$2:$A$500,0)),"")</f>
        <v>1</v>
      </c>
      <c r="F304" s="69" t="n">
        <f aca="false">IFERROR($C304*$E304,"")</f>
        <v>1</v>
      </c>
    </row>
    <row r="305" customFormat="false" ht="15" hidden="false" customHeight="true" outlineLevel="0" collapsed="false">
      <c r="A305" s="66" t="s">
        <v>466</v>
      </c>
      <c r="B305" s="66" t="s">
        <v>142</v>
      </c>
      <c r="C305" s="66" t="n">
        <v>1</v>
      </c>
      <c r="D305" s="67" t="str">
        <f aca="false">IFERROR(INDEX(المكونات!$B$2:$B$500,MATCH($B305,المكونات!$A$2:$A$500,0)),"")</f>
        <v>قطعة</v>
      </c>
      <c r="E305" s="68" t="n">
        <f aca="false">IFERROR(INDEX(المكونات!$C$2:$C$500,MATCH($B305,المكونات!$A$2:$A$500,0)),"")</f>
        <v>35</v>
      </c>
      <c r="F305" s="69" t="n">
        <f aca="false">IFERROR($C305*$E305,"")</f>
        <v>35</v>
      </c>
    </row>
    <row r="306" customFormat="false" ht="15" hidden="false" customHeight="true" outlineLevel="0" collapsed="false">
      <c r="A306" s="66" t="s">
        <v>466</v>
      </c>
      <c r="B306" s="66" t="s">
        <v>152</v>
      </c>
      <c r="C306" s="66" t="n">
        <v>1</v>
      </c>
      <c r="D306" s="67" t="str">
        <f aca="false">IFERROR(INDEX(المكونات!$B$2:$B$500,MATCH($B306,المكونات!$A$2:$A$500,0)),"")</f>
        <v>قطعة</v>
      </c>
      <c r="E306" s="68" t="n">
        <f aca="false">IFERROR(INDEX(المكونات!$C$2:$C$500,MATCH($B306,المكونات!$A$2:$A$500,0)),"")</f>
        <v>34</v>
      </c>
      <c r="F306" s="69" t="n">
        <f aca="false">IFERROR($C306*$E306,"")</f>
        <v>34</v>
      </c>
    </row>
    <row r="307" customFormat="false" ht="15" hidden="false" customHeight="true" outlineLevel="0" collapsed="false">
      <c r="A307" s="66" t="s">
        <v>466</v>
      </c>
      <c r="B307" s="66" t="s">
        <v>168</v>
      </c>
      <c r="C307" s="66" t="n">
        <v>1</v>
      </c>
      <c r="D307" s="67" t="str">
        <f aca="false">IFERROR(INDEX(المكونات!$B$2:$B$500,MATCH($B307,المكونات!$A$2:$A$500,0)),"")</f>
        <v>قطعة</v>
      </c>
      <c r="E307" s="68" t="n">
        <f aca="false">IFERROR(INDEX(المكونات!$C$2:$C$500,MATCH($B307,المكونات!$A$2:$A$500,0)),"")</f>
        <v>21</v>
      </c>
      <c r="F307" s="69" t="n">
        <f aca="false">IFERROR($C307*$E307,"")</f>
        <v>21</v>
      </c>
    </row>
    <row r="308" customFormat="false" ht="15" hidden="false" customHeight="true" outlineLevel="0" collapsed="false">
      <c r="A308" s="66" t="s">
        <v>531</v>
      </c>
      <c r="B308" s="66" t="s">
        <v>262</v>
      </c>
      <c r="C308" s="66" t="n">
        <v>0.3</v>
      </c>
      <c r="D308" s="67" t="str">
        <f aca="false">IFERROR(INDEX(المكونات!$B$2:$B$500,MATCH($B308,المكونات!$A$2:$A$500,0)),"")</f>
        <v>كجم</v>
      </c>
      <c r="E308" s="68" t="n">
        <f aca="false">IFERROR(INDEX(المكونات!$C$2:$C$500,MATCH($B308,المكونات!$A$2:$A$500,0)),"")</f>
        <v>22</v>
      </c>
      <c r="F308" s="69" t="n">
        <f aca="false">IFERROR($C308*$E308,"")</f>
        <v>6.6</v>
      </c>
    </row>
    <row r="309" customFormat="false" ht="15" hidden="false" customHeight="true" outlineLevel="0" collapsed="false">
      <c r="A309" s="66" t="s">
        <v>531</v>
      </c>
      <c r="B309" s="66" t="s">
        <v>250</v>
      </c>
      <c r="C309" s="66" t="n">
        <v>0.06</v>
      </c>
      <c r="D309" s="67" t="str">
        <f aca="false">IFERROR(INDEX(المكونات!$B$2:$B$500,MATCH($B309,المكونات!$A$2:$A$500,0)),"")</f>
        <v>كجم</v>
      </c>
      <c r="E309" s="68" t="n">
        <f aca="false">IFERROR(INDEX(المكونات!$C$2:$C$500,MATCH($B309,المكونات!$A$2:$A$500,0)),"")</f>
        <v>32</v>
      </c>
      <c r="F309" s="69" t="n">
        <f aca="false">IFERROR($C309*$E309,"")</f>
        <v>1.92</v>
      </c>
    </row>
    <row r="310" customFormat="false" ht="15" hidden="false" customHeight="true" outlineLevel="0" collapsed="false">
      <c r="A310" s="66" t="s">
        <v>531</v>
      </c>
      <c r="B310" s="66" t="s">
        <v>260</v>
      </c>
      <c r="C310" s="66" t="n">
        <v>0.045</v>
      </c>
      <c r="D310" s="67" t="str">
        <f aca="false">IFERROR(INDEX(المكونات!$B$2:$B$500,MATCH($B310,المكونات!$A$2:$A$500,0)),"")</f>
        <v>كجم</v>
      </c>
      <c r="E310" s="68" t="n">
        <f aca="false">IFERROR(INDEX(المكونات!$C$2:$C$500,MATCH($B310,المكونات!$A$2:$A$500,0)),"")</f>
        <v>21</v>
      </c>
      <c r="F310" s="69" t="n">
        <f aca="false">IFERROR($C310*$E310,"")</f>
        <v>0.945</v>
      </c>
    </row>
    <row r="311" customFormat="false" ht="15" hidden="false" customHeight="true" outlineLevel="0" collapsed="false">
      <c r="A311" s="66" t="s">
        <v>531</v>
      </c>
      <c r="B311" s="66" t="s">
        <v>284</v>
      </c>
      <c r="C311" s="66" t="n">
        <v>0.03</v>
      </c>
      <c r="D311" s="67" t="str">
        <f aca="false">IFERROR(INDEX(المكونات!$B$2:$B$500,MATCH($B311,المكونات!$A$2:$A$500,0)),"")</f>
        <v>كجم</v>
      </c>
      <c r="E311" s="68" t="n">
        <f aca="false">IFERROR(INDEX(المكونات!$C$2:$C$500,MATCH($B311,المكونات!$A$2:$A$500,0)),"")</f>
        <v>27</v>
      </c>
      <c r="F311" s="69" t="n">
        <f aca="false">IFERROR($C311*$E311,"")</f>
        <v>0.81</v>
      </c>
    </row>
    <row r="312" customFormat="false" ht="15" hidden="false" customHeight="true" outlineLevel="0" collapsed="false">
      <c r="A312" s="66" t="s">
        <v>531</v>
      </c>
      <c r="B312" s="66" t="s">
        <v>227</v>
      </c>
      <c r="C312" s="66" t="n">
        <v>0.03</v>
      </c>
      <c r="D312" s="67" t="str">
        <f aca="false">IFERROR(INDEX(المكونات!$B$2:$B$500,MATCH($B312,المكونات!$A$2:$A$500,0)),"")</f>
        <v>كجم</v>
      </c>
      <c r="E312" s="68" t="n">
        <f aca="false">IFERROR(INDEX(المكونات!$C$2:$C$500,MATCH($B312,المكونات!$A$2:$A$500,0)),"")</f>
        <v>95</v>
      </c>
      <c r="F312" s="69" t="n">
        <f aca="false">IFERROR($C312*$E312,"")</f>
        <v>2.85</v>
      </c>
    </row>
    <row r="313" customFormat="false" ht="15" hidden="false" customHeight="true" outlineLevel="0" collapsed="false">
      <c r="A313" s="66" t="s">
        <v>531</v>
      </c>
      <c r="B313" s="66" t="s">
        <v>174</v>
      </c>
      <c r="C313" s="66" t="n">
        <v>1</v>
      </c>
      <c r="D313" s="67" t="str">
        <f aca="false">IFERROR(INDEX(المكونات!$B$2:$B$500,MATCH($B313,المكونات!$A$2:$A$500,0)),"")</f>
        <v>قطعة</v>
      </c>
      <c r="E313" s="68" t="n">
        <f aca="false">IFERROR(INDEX(المكونات!$C$2:$C$500,MATCH($B313,المكونات!$A$2:$A$500,0)),"")</f>
        <v>27.1395</v>
      </c>
      <c r="F313" s="69" t="n">
        <f aca="false">IFERROR($C313*$E313,"")</f>
        <v>27.1395</v>
      </c>
    </row>
    <row r="314" customFormat="false" ht="15" hidden="false" customHeight="true" outlineLevel="0" collapsed="false">
      <c r="A314" s="66" t="s">
        <v>531</v>
      </c>
      <c r="B314" s="66" t="s">
        <v>268</v>
      </c>
      <c r="C314" s="66" t="n">
        <v>1</v>
      </c>
      <c r="D314" s="67" t="str">
        <f aca="false">IFERROR(INDEX(المكونات!$B$2:$B$500,MATCH($B314,المكونات!$A$2:$A$500,0)),"")</f>
        <v>قطعة</v>
      </c>
      <c r="E314" s="68" t="n">
        <f aca="false">IFERROR(INDEX(المكونات!$C$2:$C$500,MATCH($B314,المكونات!$A$2:$A$500,0)),"")</f>
        <v>5.5</v>
      </c>
      <c r="F314" s="69" t="n">
        <f aca="false">IFERROR($C314*$E314,"")</f>
        <v>5.5</v>
      </c>
    </row>
    <row r="315" customFormat="false" ht="15" hidden="false" customHeight="true" outlineLevel="0" collapsed="false">
      <c r="A315" s="66" t="s">
        <v>531</v>
      </c>
      <c r="B315" s="66" t="s">
        <v>290</v>
      </c>
      <c r="C315" s="66" t="n">
        <v>3</v>
      </c>
      <c r="D315" s="67" t="str">
        <f aca="false">IFERROR(INDEX(المكونات!$B$2:$B$500,MATCH($B315,المكونات!$A$2:$A$500,0)),"")</f>
        <v>قطعة</v>
      </c>
      <c r="E315" s="68" t="n">
        <f aca="false">IFERROR(INDEX(المكونات!$C$2:$C$500,MATCH($B315,المكونات!$A$2:$A$500,0)),"")</f>
        <v>0.3</v>
      </c>
      <c r="F315" s="69" t="n">
        <f aca="false">IFERROR($C315*$E315,"")</f>
        <v>0.9</v>
      </c>
    </row>
    <row r="316" customFormat="false" ht="15" hidden="false" customHeight="true" outlineLevel="0" collapsed="false">
      <c r="A316" s="66" t="s">
        <v>531</v>
      </c>
      <c r="B316" s="66" t="s">
        <v>319</v>
      </c>
      <c r="C316" s="66" t="n">
        <v>1</v>
      </c>
      <c r="D316" s="67" t="str">
        <f aca="false">IFERROR(INDEX(المكونات!$B$2:$B$500,MATCH($B316,المكونات!$A$2:$A$500,0)),"")</f>
        <v>قطعة (ورقة)</v>
      </c>
      <c r="E316" s="68" t="n">
        <f aca="false">IFERROR(INDEX(المكونات!$C$2:$C$500,MATCH($B316,المكونات!$A$2:$A$500,0)),"")</f>
        <v>0.3665</v>
      </c>
      <c r="F316" s="69" t="n">
        <f aca="false">IFERROR($C316*$E316,"")</f>
        <v>0.3665</v>
      </c>
    </row>
    <row r="317" customFormat="false" ht="15" hidden="false" customHeight="true" outlineLevel="0" collapsed="false">
      <c r="A317" s="66" t="s">
        <v>531</v>
      </c>
      <c r="B317" s="66" t="s">
        <v>133</v>
      </c>
      <c r="C317" s="66" t="n">
        <v>1</v>
      </c>
      <c r="D317" s="67" t="str">
        <f aca="false">IFERROR(INDEX(المكونات!$B$2:$B$500,MATCH($B317,المكونات!$A$2:$A$500,0)),"")</f>
        <v>قطعة (كيس)</v>
      </c>
      <c r="E317" s="68" t="n">
        <f aca="false">IFERROR(INDEX(المكونات!$C$2:$C$500,MATCH($B317,المكونات!$A$2:$A$500,0)),"")</f>
        <v>1.4</v>
      </c>
      <c r="F317" s="69" t="n">
        <f aca="false">IFERROR($C317*$E317,"")</f>
        <v>1.4</v>
      </c>
    </row>
    <row r="318" customFormat="false" ht="15" hidden="false" customHeight="true" outlineLevel="0" collapsed="false">
      <c r="A318" s="66" t="s">
        <v>531</v>
      </c>
      <c r="B318" s="66" t="s">
        <v>293</v>
      </c>
      <c r="C318" s="66" t="n">
        <v>1</v>
      </c>
      <c r="D318" s="67" t="str">
        <f aca="false">IFERROR(INDEX(المكونات!$B$2:$B$500,MATCH($B318,المكونات!$A$2:$A$500,0)),"")</f>
        <v>قطعة</v>
      </c>
      <c r="E318" s="68" t="n">
        <f aca="false">IFERROR(INDEX(المكونات!$C$2:$C$500,MATCH($B318,المكونات!$A$2:$A$500,0)),"")</f>
        <v>0.5</v>
      </c>
      <c r="F318" s="69" t="n">
        <f aca="false">IFERROR($C318*$E318,"")</f>
        <v>0.5</v>
      </c>
    </row>
    <row r="319" customFormat="false" ht="15" hidden="false" customHeight="true" outlineLevel="0" collapsed="false">
      <c r="A319" s="66" t="s">
        <v>531</v>
      </c>
      <c r="B319" s="66" t="s">
        <v>211</v>
      </c>
      <c r="C319" s="66" t="n">
        <v>2</v>
      </c>
      <c r="D319" s="67" t="str">
        <f aca="false">IFERROR(INDEX(المكونات!$B$2:$B$500,MATCH($B319,المكونات!$A$2:$A$500,0)),"")</f>
        <v>قطعة (جلفز)</v>
      </c>
      <c r="E319" s="68" t="n">
        <f aca="false">IFERROR(INDEX(المكونات!$C$2:$C$500,MATCH($B319,المكونات!$A$2:$A$500,0)),"")</f>
        <v>0.18</v>
      </c>
      <c r="F319" s="69" t="n">
        <f aca="false">IFERROR($C319*$E319,"")</f>
        <v>0.36</v>
      </c>
    </row>
    <row r="320" customFormat="false" ht="15" hidden="false" customHeight="true" outlineLevel="0" collapsed="false">
      <c r="A320" s="66" t="s">
        <v>531</v>
      </c>
      <c r="B320" s="66" t="s">
        <v>322</v>
      </c>
      <c r="C320" s="66" t="n">
        <v>1</v>
      </c>
      <c r="D320" s="67" t="str">
        <f aca="false">IFERROR(INDEX(المكونات!$B$2:$B$500,MATCH($B320,المكونات!$A$2:$A$500,0)),"")</f>
        <v>قطعة (كيس)</v>
      </c>
      <c r="E320" s="68" t="n">
        <f aca="false">IFERROR(INDEX(المكونات!$C$2:$C$500,MATCH($B320,المكونات!$A$2:$A$500,0)),"")</f>
        <v>1</v>
      </c>
      <c r="F320" s="69" t="n">
        <f aca="false">IFERROR($C320*$E320,"")</f>
        <v>1</v>
      </c>
    </row>
    <row r="321" customFormat="false" ht="15" hidden="false" customHeight="true" outlineLevel="0" collapsed="false">
      <c r="A321" s="66" t="s">
        <v>531</v>
      </c>
      <c r="B321" s="66" t="s">
        <v>144</v>
      </c>
      <c r="C321" s="66" t="n">
        <v>1</v>
      </c>
      <c r="D321" s="67" t="str">
        <f aca="false">IFERROR(INDEX(المكونات!$B$2:$B$500,MATCH($B321,المكونات!$A$2:$A$500,0)),"")</f>
        <v>قطعة</v>
      </c>
      <c r="E321" s="68" t="n">
        <f aca="false">IFERROR(INDEX(المكونات!$C$2:$C$500,MATCH($B321,المكونات!$A$2:$A$500,0)),"")</f>
        <v>46.6667</v>
      </c>
      <c r="F321" s="69" t="n">
        <f aca="false">IFERROR($C321*$E321,"")</f>
        <v>46.6667</v>
      </c>
    </row>
    <row r="322" customFormat="false" ht="15" hidden="false" customHeight="true" outlineLevel="0" collapsed="false">
      <c r="A322" s="66" t="s">
        <v>531</v>
      </c>
      <c r="B322" s="66" t="s">
        <v>154</v>
      </c>
      <c r="C322" s="66" t="n">
        <v>1</v>
      </c>
      <c r="D322" s="67" t="str">
        <f aca="false">IFERROR(INDEX(المكونات!$B$2:$B$500,MATCH($B322,المكونات!$A$2:$A$500,0)),"")</f>
        <v>قطعة</v>
      </c>
      <c r="E322" s="68" t="n">
        <f aca="false">IFERROR(INDEX(المكونات!$C$2:$C$500,MATCH($B322,المكونات!$A$2:$A$500,0)),"")</f>
        <v>45</v>
      </c>
      <c r="F322" s="69" t="n">
        <f aca="false">IFERROR($C322*$E322,"")</f>
        <v>45</v>
      </c>
    </row>
    <row r="323" customFormat="false" ht="15" hidden="false" customHeight="true" outlineLevel="0" collapsed="false">
      <c r="A323" s="66" t="s">
        <v>531</v>
      </c>
      <c r="B323" s="66" t="s">
        <v>168</v>
      </c>
      <c r="C323" s="66" t="n">
        <v>1</v>
      </c>
      <c r="D323" s="67" t="str">
        <f aca="false">IFERROR(INDEX(المكونات!$B$2:$B$500,MATCH($B323,المكونات!$A$2:$A$500,0)),"")</f>
        <v>قطعة</v>
      </c>
      <c r="E323" s="68" t="n">
        <f aca="false">IFERROR(INDEX(المكونات!$C$2:$C$500,MATCH($B323,المكونات!$A$2:$A$500,0)),"")</f>
        <v>21</v>
      </c>
      <c r="F323" s="69" t="n">
        <f aca="false">IFERROR($C323*$E323,"")</f>
        <v>21</v>
      </c>
    </row>
    <row r="324" customFormat="false" ht="15" hidden="false" customHeight="true" outlineLevel="0" collapsed="false">
      <c r="A324" s="66" t="s">
        <v>523</v>
      </c>
      <c r="B324" s="66" t="s">
        <v>264</v>
      </c>
      <c r="C324" s="66" t="n">
        <v>1</v>
      </c>
      <c r="D324" s="67" t="str">
        <f aca="false">IFERROR(INDEX(المكونات!$B$2:$B$500,MATCH($B324,المكونات!$A$2:$A$500,0)),"")</f>
        <v>قطعة</v>
      </c>
      <c r="E324" s="68" t="n">
        <f aca="false">IFERROR(INDEX(المكونات!$C$2:$C$500,MATCH($B324,المكونات!$A$2:$A$500,0)),"")</f>
        <v>4</v>
      </c>
      <c r="F324" s="69" t="n">
        <f aca="false">IFERROR($C324*$E324,"")</f>
        <v>4</v>
      </c>
    </row>
    <row r="325" customFormat="false" ht="15" hidden="false" customHeight="true" outlineLevel="0" collapsed="false">
      <c r="A325" s="66" t="s">
        <v>523</v>
      </c>
      <c r="B325" s="66" t="s">
        <v>260</v>
      </c>
      <c r="C325" s="66" t="n">
        <v>0.03</v>
      </c>
      <c r="D325" s="67" t="str">
        <f aca="false">IFERROR(INDEX(المكونات!$B$2:$B$500,MATCH($B325,المكونات!$A$2:$A$500,0)),"")</f>
        <v>كجم</v>
      </c>
      <c r="E325" s="68" t="n">
        <f aca="false">IFERROR(INDEX(المكونات!$C$2:$C$500,MATCH($B325,المكونات!$A$2:$A$500,0)),"")</f>
        <v>21</v>
      </c>
      <c r="F325" s="69" t="n">
        <f aca="false">IFERROR($C325*$E325,"")</f>
        <v>0.63</v>
      </c>
    </row>
    <row r="326" customFormat="false" ht="15" hidden="false" customHeight="true" outlineLevel="0" collapsed="false">
      <c r="A326" s="66" t="s">
        <v>523</v>
      </c>
      <c r="B326" s="66" t="s">
        <v>284</v>
      </c>
      <c r="C326" s="66" t="n">
        <v>0.02</v>
      </c>
      <c r="D326" s="67" t="str">
        <f aca="false">IFERROR(INDEX(المكونات!$B$2:$B$500,MATCH($B326,المكونات!$A$2:$A$500,0)),"")</f>
        <v>كجم</v>
      </c>
      <c r="E326" s="68" t="n">
        <f aca="false">IFERROR(INDEX(المكونات!$C$2:$C$500,MATCH($B326,المكونات!$A$2:$A$500,0)),"")</f>
        <v>27</v>
      </c>
      <c r="F326" s="69" t="n">
        <f aca="false">IFERROR($C326*$E326,"")</f>
        <v>0.54</v>
      </c>
    </row>
    <row r="327" customFormat="false" ht="15" hidden="false" customHeight="true" outlineLevel="0" collapsed="false">
      <c r="A327" s="66" t="s">
        <v>523</v>
      </c>
      <c r="B327" s="66" t="s">
        <v>227</v>
      </c>
      <c r="C327" s="66" t="n">
        <v>0.02</v>
      </c>
      <c r="D327" s="67" t="str">
        <f aca="false">IFERROR(INDEX(المكونات!$B$2:$B$500,MATCH($B327,المكونات!$A$2:$A$500,0)),"")</f>
        <v>كجم</v>
      </c>
      <c r="E327" s="68" t="n">
        <f aca="false">IFERROR(INDEX(المكونات!$C$2:$C$500,MATCH($B327,المكونات!$A$2:$A$500,0)),"")</f>
        <v>95</v>
      </c>
      <c r="F327" s="69" t="n">
        <f aca="false">IFERROR($C327*$E327,"")</f>
        <v>1.9</v>
      </c>
    </row>
    <row r="328" customFormat="false" ht="15" hidden="false" customHeight="true" outlineLevel="0" collapsed="false">
      <c r="A328" s="66" t="s">
        <v>523</v>
      </c>
      <c r="B328" s="66" t="s">
        <v>176</v>
      </c>
      <c r="C328" s="66" t="n">
        <v>1</v>
      </c>
      <c r="D328" s="67" t="str">
        <f aca="false">IFERROR(INDEX(المكونات!$B$2:$B$500,MATCH($B328,المكونات!$A$2:$A$500,0)),"")</f>
        <v>قطعة</v>
      </c>
      <c r="E328" s="68" t="n">
        <f aca="false">IFERROR(INDEX(المكونات!$C$2:$C$500,MATCH($B328,المكونات!$A$2:$A$500,0)),"")</f>
        <v>17.5</v>
      </c>
      <c r="F328" s="69" t="n">
        <f aca="false">IFERROR($C328*$E328,"")</f>
        <v>17.5</v>
      </c>
    </row>
    <row r="329" customFormat="false" ht="15" hidden="false" customHeight="true" outlineLevel="0" collapsed="false">
      <c r="A329" s="66" t="s">
        <v>523</v>
      </c>
      <c r="B329" s="66" t="s">
        <v>270</v>
      </c>
      <c r="C329" s="66" t="n">
        <v>1</v>
      </c>
      <c r="D329" s="67" t="str">
        <f aca="false">IFERROR(INDEX(المكونات!$B$2:$B$500,MATCH($B329,المكونات!$A$2:$A$500,0)),"")</f>
        <v>قطعة</v>
      </c>
      <c r="E329" s="68" t="n">
        <f aca="false">IFERROR(INDEX(المكونات!$C$2:$C$500,MATCH($B329,المكونات!$A$2:$A$500,0)),"")</f>
        <v>4.5</v>
      </c>
      <c r="F329" s="69" t="n">
        <f aca="false">IFERROR($C329*$E329,"")</f>
        <v>4.5</v>
      </c>
    </row>
    <row r="330" customFormat="false" ht="15" hidden="false" customHeight="true" outlineLevel="0" collapsed="false">
      <c r="A330" s="66" t="s">
        <v>523</v>
      </c>
      <c r="B330" s="66" t="s">
        <v>290</v>
      </c>
      <c r="C330" s="66" t="n">
        <v>2</v>
      </c>
      <c r="D330" s="67" t="str">
        <f aca="false">IFERROR(INDEX(المكونات!$B$2:$B$500,MATCH($B330,المكونات!$A$2:$A$500,0)),"")</f>
        <v>قطعة</v>
      </c>
      <c r="E330" s="68" t="n">
        <f aca="false">IFERROR(INDEX(المكونات!$C$2:$C$500,MATCH($B330,المكونات!$A$2:$A$500,0)),"")</f>
        <v>0.3</v>
      </c>
      <c r="F330" s="69" t="n">
        <f aca="false">IFERROR($C330*$E330,"")</f>
        <v>0.6</v>
      </c>
    </row>
    <row r="331" customFormat="false" ht="15" hidden="false" customHeight="true" outlineLevel="0" collapsed="false">
      <c r="A331" s="66" t="s">
        <v>523</v>
      </c>
      <c r="B331" s="66" t="s">
        <v>319</v>
      </c>
      <c r="C331" s="66" t="n">
        <v>1</v>
      </c>
      <c r="D331" s="67" t="str">
        <f aca="false">IFERROR(INDEX(المكونات!$B$2:$B$500,MATCH($B331,المكونات!$A$2:$A$500,0)),"")</f>
        <v>قطعة (ورقة)</v>
      </c>
      <c r="E331" s="68" t="n">
        <f aca="false">IFERROR(INDEX(المكونات!$C$2:$C$500,MATCH($B331,المكونات!$A$2:$A$500,0)),"")</f>
        <v>0.3665</v>
      </c>
      <c r="F331" s="69" t="n">
        <f aca="false">IFERROR($C331*$E331,"")</f>
        <v>0.3665</v>
      </c>
    </row>
    <row r="332" customFormat="false" ht="15" hidden="false" customHeight="true" outlineLevel="0" collapsed="false">
      <c r="A332" s="66" t="s">
        <v>523</v>
      </c>
      <c r="B332" s="66" t="s">
        <v>133</v>
      </c>
      <c r="C332" s="66" t="n">
        <v>1</v>
      </c>
      <c r="D332" s="67" t="str">
        <f aca="false">IFERROR(INDEX(المكونات!$B$2:$B$500,MATCH($B332,المكونات!$A$2:$A$500,0)),"")</f>
        <v>قطعة (كيس)</v>
      </c>
      <c r="E332" s="68" t="n">
        <f aca="false">IFERROR(INDEX(المكونات!$C$2:$C$500,MATCH($B332,المكونات!$A$2:$A$500,0)),"")</f>
        <v>1.4</v>
      </c>
      <c r="F332" s="69" t="n">
        <f aca="false">IFERROR($C332*$E332,"")</f>
        <v>1.4</v>
      </c>
    </row>
    <row r="333" customFormat="false" ht="15" hidden="false" customHeight="true" outlineLevel="0" collapsed="false">
      <c r="A333" s="66" t="s">
        <v>523</v>
      </c>
      <c r="B333" s="66" t="s">
        <v>293</v>
      </c>
      <c r="C333" s="66" t="n">
        <v>1</v>
      </c>
      <c r="D333" s="67" t="str">
        <f aca="false">IFERROR(INDEX(المكونات!$B$2:$B$500,MATCH($B333,المكونات!$A$2:$A$500,0)),"")</f>
        <v>قطعة</v>
      </c>
      <c r="E333" s="68" t="n">
        <f aca="false">IFERROR(INDEX(المكونات!$C$2:$C$500,MATCH($B333,المكونات!$A$2:$A$500,0)),"")</f>
        <v>0.5</v>
      </c>
      <c r="F333" s="69" t="n">
        <f aca="false">IFERROR($C333*$E333,"")</f>
        <v>0.5</v>
      </c>
    </row>
    <row r="334" customFormat="false" ht="15" hidden="false" customHeight="true" outlineLevel="0" collapsed="false">
      <c r="A334" s="66" t="s">
        <v>523</v>
      </c>
      <c r="B334" s="66" t="s">
        <v>211</v>
      </c>
      <c r="C334" s="66" t="n">
        <v>2</v>
      </c>
      <c r="D334" s="67" t="str">
        <f aca="false">IFERROR(INDEX(المكونات!$B$2:$B$500,MATCH($B334,المكونات!$A$2:$A$500,0)),"")</f>
        <v>قطعة (جلفز)</v>
      </c>
      <c r="E334" s="68" t="n">
        <f aca="false">IFERROR(INDEX(المكونات!$C$2:$C$500,MATCH($B334,المكونات!$A$2:$A$500,0)),"")</f>
        <v>0.18</v>
      </c>
      <c r="F334" s="69" t="n">
        <f aca="false">IFERROR($C334*$E334,"")</f>
        <v>0.36</v>
      </c>
    </row>
    <row r="335" customFormat="false" ht="15" hidden="false" customHeight="true" outlineLevel="0" collapsed="false">
      <c r="A335" s="66" t="s">
        <v>523</v>
      </c>
      <c r="B335" s="66" t="s">
        <v>322</v>
      </c>
      <c r="C335" s="66" t="n">
        <v>1</v>
      </c>
      <c r="D335" s="67" t="str">
        <f aca="false">IFERROR(INDEX(المكونات!$B$2:$B$500,MATCH($B335,المكونات!$A$2:$A$500,0)),"")</f>
        <v>قطعة (كيس)</v>
      </c>
      <c r="E335" s="68" t="n">
        <f aca="false">IFERROR(INDEX(المكونات!$C$2:$C$500,MATCH($B335,المكونات!$A$2:$A$500,0)),"")</f>
        <v>1</v>
      </c>
      <c r="F335" s="69" t="n">
        <f aca="false">IFERROR($C335*$E335,"")</f>
        <v>1</v>
      </c>
    </row>
    <row r="336" customFormat="false" ht="15" hidden="false" customHeight="true" outlineLevel="0" collapsed="false">
      <c r="A336" s="66" t="s">
        <v>523</v>
      </c>
      <c r="B336" s="66" t="s">
        <v>152</v>
      </c>
      <c r="C336" s="66" t="n">
        <v>1</v>
      </c>
      <c r="D336" s="67" t="str">
        <f aca="false">IFERROR(INDEX(المكونات!$B$2:$B$500,MATCH($B336,المكونات!$A$2:$A$500,0)),"")</f>
        <v>قطعة</v>
      </c>
      <c r="E336" s="68" t="n">
        <f aca="false">IFERROR(INDEX(المكونات!$C$2:$C$500,MATCH($B336,المكونات!$A$2:$A$500,0)),"")</f>
        <v>34</v>
      </c>
      <c r="F336" s="69" t="n">
        <f aca="false">IFERROR($C336*$E336,"")</f>
        <v>34</v>
      </c>
    </row>
    <row r="337" customFormat="false" ht="15" hidden="false" customHeight="true" outlineLevel="0" collapsed="false">
      <c r="A337" s="66" t="s">
        <v>523</v>
      </c>
      <c r="B337" s="66" t="s">
        <v>148</v>
      </c>
      <c r="C337" s="66" t="n">
        <v>1</v>
      </c>
      <c r="D337" s="67" t="str">
        <f aca="false">IFERROR(INDEX(المكونات!$B$2:$B$500,MATCH($B337,المكونات!$A$2:$A$500,0)),"")</f>
        <v>قطعة</v>
      </c>
      <c r="E337" s="68" t="n">
        <f aca="false">IFERROR(INDEX(المكونات!$C$2:$C$500,MATCH($B337,المكونات!$A$2:$A$500,0)),"")</f>
        <v>9</v>
      </c>
      <c r="F337" s="69" t="n">
        <f aca="false">IFERROR($C337*$E337,"")</f>
        <v>9</v>
      </c>
    </row>
    <row r="338" customFormat="false" ht="15" hidden="false" customHeight="true" outlineLevel="0" collapsed="false">
      <c r="A338" s="66" t="s">
        <v>454</v>
      </c>
      <c r="B338" s="66" t="s">
        <v>264</v>
      </c>
      <c r="C338" s="66" t="n">
        <v>1.5</v>
      </c>
      <c r="D338" s="67" t="str">
        <f aca="false">IFERROR(INDEX(المكونات!$B$2:$B$500,MATCH($B338,المكونات!$A$2:$A$500,0)),"")</f>
        <v>قطعة</v>
      </c>
      <c r="E338" s="68" t="n">
        <f aca="false">IFERROR(INDEX(المكونات!$C$2:$C$500,MATCH($B338,المكونات!$A$2:$A$500,0)),"")</f>
        <v>4</v>
      </c>
      <c r="F338" s="69" t="n">
        <f aca="false">IFERROR($C338*$E338,"")</f>
        <v>6</v>
      </c>
    </row>
    <row r="339" customFormat="false" ht="15" hidden="false" customHeight="true" outlineLevel="0" collapsed="false">
      <c r="A339" s="66" t="s">
        <v>454</v>
      </c>
      <c r="B339" s="66" t="s">
        <v>260</v>
      </c>
      <c r="C339" s="66" t="n">
        <v>0.045</v>
      </c>
      <c r="D339" s="67" t="str">
        <f aca="false">IFERROR(INDEX(المكونات!$B$2:$B$500,MATCH($B339,المكونات!$A$2:$A$500,0)),"")</f>
        <v>كجم</v>
      </c>
      <c r="E339" s="68" t="n">
        <f aca="false">IFERROR(INDEX(المكونات!$C$2:$C$500,MATCH($B339,المكونات!$A$2:$A$500,0)),"")</f>
        <v>21</v>
      </c>
      <c r="F339" s="69" t="n">
        <f aca="false">IFERROR($C339*$E339,"")</f>
        <v>0.945</v>
      </c>
    </row>
    <row r="340" customFormat="false" ht="15" hidden="false" customHeight="true" outlineLevel="0" collapsed="false">
      <c r="A340" s="66" t="s">
        <v>454</v>
      </c>
      <c r="B340" s="66" t="s">
        <v>284</v>
      </c>
      <c r="C340" s="66" t="n">
        <v>0.03</v>
      </c>
      <c r="D340" s="67" t="str">
        <f aca="false">IFERROR(INDEX(المكونات!$B$2:$B$500,MATCH($B340,المكونات!$A$2:$A$500,0)),"")</f>
        <v>كجم</v>
      </c>
      <c r="E340" s="68" t="n">
        <f aca="false">IFERROR(INDEX(المكونات!$C$2:$C$500,MATCH($B340,المكونات!$A$2:$A$500,0)),"")</f>
        <v>27</v>
      </c>
      <c r="F340" s="69" t="n">
        <f aca="false">IFERROR($C340*$E340,"")</f>
        <v>0.81</v>
      </c>
    </row>
    <row r="341" customFormat="false" ht="15" hidden="false" customHeight="true" outlineLevel="0" collapsed="false">
      <c r="A341" s="66" t="s">
        <v>454</v>
      </c>
      <c r="B341" s="66" t="s">
        <v>227</v>
      </c>
      <c r="C341" s="66" t="n">
        <v>0.03</v>
      </c>
      <c r="D341" s="67" t="str">
        <f aca="false">IFERROR(INDEX(المكونات!$B$2:$B$500,MATCH($B341,المكونات!$A$2:$A$500,0)),"")</f>
        <v>كجم</v>
      </c>
      <c r="E341" s="68" t="n">
        <f aca="false">IFERROR(INDEX(المكونات!$C$2:$C$500,MATCH($B341,المكونات!$A$2:$A$500,0)),"")</f>
        <v>95</v>
      </c>
      <c r="F341" s="69" t="n">
        <f aca="false">IFERROR($C341*$E341,"")</f>
        <v>2.85</v>
      </c>
    </row>
    <row r="342" customFormat="false" ht="15" hidden="false" customHeight="true" outlineLevel="0" collapsed="false">
      <c r="A342" s="66" t="s">
        <v>454</v>
      </c>
      <c r="B342" s="66" t="s">
        <v>178</v>
      </c>
      <c r="C342" s="66" t="n">
        <v>1</v>
      </c>
      <c r="D342" s="67" t="str">
        <f aca="false">IFERROR(INDEX(المكونات!$B$2:$B$500,MATCH($B342,المكونات!$A$2:$A$500,0)),"")</f>
        <v>قطعة</v>
      </c>
      <c r="E342" s="68" t="n">
        <f aca="false">IFERROR(INDEX(المكونات!$C$2:$C$500,MATCH($B342,المكونات!$A$2:$A$500,0)),"")</f>
        <v>25</v>
      </c>
      <c r="F342" s="69" t="n">
        <f aca="false">IFERROR($C342*$E342,"")</f>
        <v>25</v>
      </c>
    </row>
    <row r="343" customFormat="false" ht="15" hidden="false" customHeight="true" outlineLevel="0" collapsed="false">
      <c r="A343" s="66" t="s">
        <v>454</v>
      </c>
      <c r="B343" s="66" t="s">
        <v>268</v>
      </c>
      <c r="C343" s="66" t="n">
        <v>1</v>
      </c>
      <c r="D343" s="67" t="str">
        <f aca="false">IFERROR(INDEX(المكونات!$B$2:$B$500,MATCH($B343,المكونات!$A$2:$A$500,0)),"")</f>
        <v>قطعة</v>
      </c>
      <c r="E343" s="68" t="n">
        <f aca="false">IFERROR(INDEX(المكونات!$C$2:$C$500,MATCH($B343,المكونات!$A$2:$A$500,0)),"")</f>
        <v>5.5</v>
      </c>
      <c r="F343" s="69" t="n">
        <f aca="false">IFERROR($C343*$E343,"")</f>
        <v>5.5</v>
      </c>
    </row>
    <row r="344" customFormat="false" ht="15" hidden="false" customHeight="true" outlineLevel="0" collapsed="false">
      <c r="A344" s="66" t="s">
        <v>454</v>
      </c>
      <c r="B344" s="66" t="s">
        <v>290</v>
      </c>
      <c r="C344" s="66" t="n">
        <v>3</v>
      </c>
      <c r="D344" s="67" t="str">
        <f aca="false">IFERROR(INDEX(المكونات!$B$2:$B$500,MATCH($B344,المكونات!$A$2:$A$500,0)),"")</f>
        <v>قطعة</v>
      </c>
      <c r="E344" s="68" t="n">
        <f aca="false">IFERROR(INDEX(المكونات!$C$2:$C$500,MATCH($B344,المكونات!$A$2:$A$500,0)),"")</f>
        <v>0.3</v>
      </c>
      <c r="F344" s="69" t="n">
        <f aca="false">IFERROR($C344*$E344,"")</f>
        <v>0.9</v>
      </c>
    </row>
    <row r="345" customFormat="false" ht="15" hidden="false" customHeight="true" outlineLevel="0" collapsed="false">
      <c r="A345" s="66" t="s">
        <v>454</v>
      </c>
      <c r="B345" s="66" t="s">
        <v>319</v>
      </c>
      <c r="C345" s="66" t="n">
        <v>1</v>
      </c>
      <c r="D345" s="67" t="str">
        <f aca="false">IFERROR(INDEX(المكونات!$B$2:$B$500,MATCH($B345,المكونات!$A$2:$A$500,0)),"")</f>
        <v>قطعة (ورقة)</v>
      </c>
      <c r="E345" s="68" t="n">
        <f aca="false">IFERROR(INDEX(المكونات!$C$2:$C$500,MATCH($B345,المكونات!$A$2:$A$500,0)),"")</f>
        <v>0.3665</v>
      </c>
      <c r="F345" s="69" t="n">
        <f aca="false">IFERROR($C345*$E345,"")</f>
        <v>0.3665</v>
      </c>
    </row>
    <row r="346" customFormat="false" ht="15" hidden="false" customHeight="true" outlineLevel="0" collapsed="false">
      <c r="A346" s="66" t="s">
        <v>454</v>
      </c>
      <c r="B346" s="66" t="s">
        <v>133</v>
      </c>
      <c r="C346" s="66" t="n">
        <v>1</v>
      </c>
      <c r="D346" s="67" t="str">
        <f aca="false">IFERROR(INDEX(المكونات!$B$2:$B$500,MATCH($B346,المكونات!$A$2:$A$500,0)),"")</f>
        <v>قطعة (كيس)</v>
      </c>
      <c r="E346" s="68" t="n">
        <f aca="false">IFERROR(INDEX(المكونات!$C$2:$C$500,MATCH($B346,المكونات!$A$2:$A$500,0)),"")</f>
        <v>1.4</v>
      </c>
      <c r="F346" s="69" t="n">
        <f aca="false">IFERROR($C346*$E346,"")</f>
        <v>1.4</v>
      </c>
    </row>
    <row r="347" customFormat="false" ht="15" hidden="false" customHeight="true" outlineLevel="0" collapsed="false">
      <c r="A347" s="66" t="s">
        <v>454</v>
      </c>
      <c r="B347" s="66" t="s">
        <v>293</v>
      </c>
      <c r="C347" s="66" t="n">
        <v>1</v>
      </c>
      <c r="D347" s="67" t="str">
        <f aca="false">IFERROR(INDEX(المكونات!$B$2:$B$500,MATCH($B347,المكونات!$A$2:$A$500,0)),"")</f>
        <v>قطعة</v>
      </c>
      <c r="E347" s="68" t="n">
        <f aca="false">IFERROR(INDEX(المكونات!$C$2:$C$500,MATCH($B347,المكونات!$A$2:$A$500,0)),"")</f>
        <v>0.5</v>
      </c>
      <c r="F347" s="69" t="n">
        <f aca="false">IFERROR($C347*$E347,"")</f>
        <v>0.5</v>
      </c>
    </row>
    <row r="348" customFormat="false" ht="15" hidden="false" customHeight="true" outlineLevel="0" collapsed="false">
      <c r="A348" s="66" t="s">
        <v>454</v>
      </c>
      <c r="B348" s="66" t="s">
        <v>211</v>
      </c>
      <c r="C348" s="66" t="n">
        <v>2</v>
      </c>
      <c r="D348" s="67" t="str">
        <f aca="false">IFERROR(INDEX(المكونات!$B$2:$B$500,MATCH($B348,المكونات!$A$2:$A$500,0)),"")</f>
        <v>قطعة (جلفز)</v>
      </c>
      <c r="E348" s="68" t="n">
        <f aca="false">IFERROR(INDEX(المكونات!$C$2:$C$500,MATCH($B348,المكونات!$A$2:$A$500,0)),"")</f>
        <v>0.18</v>
      </c>
      <c r="F348" s="69" t="n">
        <f aca="false">IFERROR($C348*$E348,"")</f>
        <v>0.36</v>
      </c>
    </row>
    <row r="349" customFormat="false" ht="15" hidden="false" customHeight="true" outlineLevel="0" collapsed="false">
      <c r="A349" s="66" t="s">
        <v>454</v>
      </c>
      <c r="B349" s="66" t="s">
        <v>322</v>
      </c>
      <c r="C349" s="66" t="n">
        <v>1</v>
      </c>
      <c r="D349" s="67" t="str">
        <f aca="false">IFERROR(INDEX(المكونات!$B$2:$B$500,MATCH($B349,المكونات!$A$2:$A$500,0)),"")</f>
        <v>قطعة (كيس)</v>
      </c>
      <c r="E349" s="68" t="n">
        <f aca="false">IFERROR(INDEX(المكونات!$C$2:$C$500,MATCH($B349,المكونات!$A$2:$A$500,0)),"")</f>
        <v>1</v>
      </c>
      <c r="F349" s="69" t="n">
        <f aca="false">IFERROR($C349*$E349,"")</f>
        <v>1</v>
      </c>
    </row>
    <row r="350" customFormat="false" ht="15" hidden="false" customHeight="true" outlineLevel="0" collapsed="false">
      <c r="A350" s="66" t="s">
        <v>454</v>
      </c>
      <c r="B350" s="66" t="s">
        <v>154</v>
      </c>
      <c r="C350" s="66" t="n">
        <v>1</v>
      </c>
      <c r="D350" s="67" t="str">
        <f aca="false">IFERROR(INDEX(المكونات!$B$2:$B$500,MATCH($B350,المكونات!$A$2:$A$500,0)),"")</f>
        <v>قطعة</v>
      </c>
      <c r="E350" s="68" t="n">
        <f aca="false">IFERROR(INDEX(المكونات!$C$2:$C$500,MATCH($B350,المكونات!$A$2:$A$500,0)),"")</f>
        <v>45</v>
      </c>
      <c r="F350" s="69" t="n">
        <f aca="false">IFERROR($C350*$E350,"")</f>
        <v>45</v>
      </c>
    </row>
    <row r="351" customFormat="false" ht="15" hidden="false" customHeight="true" outlineLevel="0" collapsed="false">
      <c r="A351" s="66" t="s">
        <v>454</v>
      </c>
      <c r="B351" s="66" t="s">
        <v>148</v>
      </c>
      <c r="C351" s="66" t="n">
        <v>1.5</v>
      </c>
      <c r="D351" s="67" t="str">
        <f aca="false">IFERROR(INDEX(المكونات!$B$2:$B$500,MATCH($B351,المكونات!$A$2:$A$500,0)),"")</f>
        <v>قطعة</v>
      </c>
      <c r="E351" s="68" t="n">
        <f aca="false">IFERROR(INDEX(المكونات!$C$2:$C$500,MATCH($B351,المكونات!$A$2:$A$500,0)),"")</f>
        <v>9</v>
      </c>
      <c r="F351" s="69" t="n">
        <f aca="false">IFERROR($C351*$E351,"")</f>
        <v>13.5</v>
      </c>
    </row>
    <row r="352" customFormat="false" ht="15" hidden="false" customHeight="true" outlineLevel="0" collapsed="false">
      <c r="A352" s="66" t="s">
        <v>453</v>
      </c>
      <c r="B352" s="66" t="s">
        <v>264</v>
      </c>
      <c r="C352" s="66" t="n">
        <v>1</v>
      </c>
      <c r="D352" s="67" t="str">
        <f aca="false">IFERROR(INDEX(المكونات!$B$2:$B$500,MATCH($B352,المكونات!$A$2:$A$500,0)),"")</f>
        <v>قطعة</v>
      </c>
      <c r="E352" s="68" t="n">
        <f aca="false">IFERROR(INDEX(المكونات!$C$2:$C$500,MATCH($B352,المكونات!$A$2:$A$500,0)),"")</f>
        <v>4</v>
      </c>
      <c r="F352" s="69" t="n">
        <f aca="false">IFERROR($C352*$E352,"")</f>
        <v>4</v>
      </c>
    </row>
    <row r="353" customFormat="false" ht="15" hidden="false" customHeight="true" outlineLevel="0" collapsed="false">
      <c r="A353" s="66" t="s">
        <v>453</v>
      </c>
      <c r="B353" s="66" t="s">
        <v>260</v>
      </c>
      <c r="C353" s="66" t="n">
        <v>0.03</v>
      </c>
      <c r="D353" s="67" t="str">
        <f aca="false">IFERROR(INDEX(المكونات!$B$2:$B$500,MATCH($B353,المكونات!$A$2:$A$500,0)),"")</f>
        <v>كجم</v>
      </c>
      <c r="E353" s="68" t="n">
        <f aca="false">IFERROR(INDEX(المكونات!$C$2:$C$500,MATCH($B353,المكونات!$A$2:$A$500,0)),"")</f>
        <v>21</v>
      </c>
      <c r="F353" s="69" t="n">
        <f aca="false">IFERROR($C353*$E353,"")</f>
        <v>0.63</v>
      </c>
    </row>
    <row r="354" customFormat="false" ht="15" hidden="false" customHeight="true" outlineLevel="0" collapsed="false">
      <c r="A354" s="66" t="s">
        <v>453</v>
      </c>
      <c r="B354" s="66" t="s">
        <v>284</v>
      </c>
      <c r="C354" s="66" t="n">
        <v>0.02</v>
      </c>
      <c r="D354" s="67" t="str">
        <f aca="false">IFERROR(INDEX(المكونات!$B$2:$B$500,MATCH($B354,المكونات!$A$2:$A$500,0)),"")</f>
        <v>كجم</v>
      </c>
      <c r="E354" s="68" t="n">
        <f aca="false">IFERROR(INDEX(المكونات!$C$2:$C$500,MATCH($B354,المكونات!$A$2:$A$500,0)),"")</f>
        <v>27</v>
      </c>
      <c r="F354" s="69" t="n">
        <f aca="false">IFERROR($C354*$E354,"")</f>
        <v>0.54</v>
      </c>
    </row>
    <row r="355" customFormat="false" ht="15" hidden="false" customHeight="true" outlineLevel="0" collapsed="false">
      <c r="A355" s="66" t="s">
        <v>453</v>
      </c>
      <c r="B355" s="66" t="s">
        <v>227</v>
      </c>
      <c r="C355" s="66" t="n">
        <v>0.02</v>
      </c>
      <c r="D355" s="67" t="str">
        <f aca="false">IFERROR(INDEX(المكونات!$B$2:$B$500,MATCH($B355,المكونات!$A$2:$A$500,0)),"")</f>
        <v>كجم</v>
      </c>
      <c r="E355" s="68" t="n">
        <f aca="false">IFERROR(INDEX(المكونات!$C$2:$C$500,MATCH($B355,المكونات!$A$2:$A$500,0)),"")</f>
        <v>95</v>
      </c>
      <c r="F355" s="69" t="n">
        <f aca="false">IFERROR($C355*$E355,"")</f>
        <v>1.9</v>
      </c>
    </row>
    <row r="356" customFormat="false" ht="15" hidden="false" customHeight="true" outlineLevel="0" collapsed="false">
      <c r="A356" s="66" t="s">
        <v>453</v>
      </c>
      <c r="B356" s="66" t="s">
        <v>176</v>
      </c>
      <c r="C356" s="66" t="n">
        <v>1</v>
      </c>
      <c r="D356" s="67" t="str">
        <f aca="false">IFERROR(INDEX(المكونات!$B$2:$B$500,MATCH($B356,المكونات!$A$2:$A$500,0)),"")</f>
        <v>قطعة</v>
      </c>
      <c r="E356" s="68" t="n">
        <f aca="false">IFERROR(INDEX(المكونات!$C$2:$C$500,MATCH($B356,المكونات!$A$2:$A$500,0)),"")</f>
        <v>17.5</v>
      </c>
      <c r="F356" s="69" t="n">
        <f aca="false">IFERROR($C356*$E356,"")</f>
        <v>17.5</v>
      </c>
    </row>
    <row r="357" customFormat="false" ht="15" hidden="false" customHeight="true" outlineLevel="0" collapsed="false">
      <c r="A357" s="66" t="s">
        <v>453</v>
      </c>
      <c r="B357" s="66" t="s">
        <v>270</v>
      </c>
      <c r="C357" s="66" t="n">
        <v>1</v>
      </c>
      <c r="D357" s="67" t="str">
        <f aca="false">IFERROR(INDEX(المكونات!$B$2:$B$500,MATCH($B357,المكونات!$A$2:$A$500,0)),"")</f>
        <v>قطعة</v>
      </c>
      <c r="E357" s="68" t="n">
        <f aca="false">IFERROR(INDEX(المكونات!$C$2:$C$500,MATCH($B357,المكونات!$A$2:$A$500,0)),"")</f>
        <v>4.5</v>
      </c>
      <c r="F357" s="69" t="n">
        <f aca="false">IFERROR($C357*$E357,"")</f>
        <v>4.5</v>
      </c>
    </row>
    <row r="358" customFormat="false" ht="15" hidden="false" customHeight="true" outlineLevel="0" collapsed="false">
      <c r="A358" s="66" t="s">
        <v>453</v>
      </c>
      <c r="B358" s="66" t="s">
        <v>290</v>
      </c>
      <c r="C358" s="66" t="n">
        <v>2</v>
      </c>
      <c r="D358" s="67" t="str">
        <f aca="false">IFERROR(INDEX(المكونات!$B$2:$B$500,MATCH($B358,المكونات!$A$2:$A$500,0)),"")</f>
        <v>قطعة</v>
      </c>
      <c r="E358" s="68" t="n">
        <f aca="false">IFERROR(INDEX(المكونات!$C$2:$C$500,MATCH($B358,المكونات!$A$2:$A$500,0)),"")</f>
        <v>0.3</v>
      </c>
      <c r="F358" s="69" t="n">
        <f aca="false">IFERROR($C358*$E358,"")</f>
        <v>0.6</v>
      </c>
    </row>
    <row r="359" customFormat="false" ht="15" hidden="false" customHeight="true" outlineLevel="0" collapsed="false">
      <c r="A359" s="66" t="s">
        <v>453</v>
      </c>
      <c r="B359" s="66" t="s">
        <v>319</v>
      </c>
      <c r="C359" s="66" t="n">
        <v>1</v>
      </c>
      <c r="D359" s="67" t="str">
        <f aca="false">IFERROR(INDEX(المكونات!$B$2:$B$500,MATCH($B359,المكونات!$A$2:$A$500,0)),"")</f>
        <v>قطعة (ورقة)</v>
      </c>
      <c r="E359" s="68" t="n">
        <f aca="false">IFERROR(INDEX(المكونات!$C$2:$C$500,MATCH($B359,المكونات!$A$2:$A$500,0)),"")</f>
        <v>0.3665</v>
      </c>
      <c r="F359" s="69" t="n">
        <f aca="false">IFERROR($C359*$E359,"")</f>
        <v>0.3665</v>
      </c>
    </row>
    <row r="360" customFormat="false" ht="15" hidden="false" customHeight="true" outlineLevel="0" collapsed="false">
      <c r="A360" s="66" t="s">
        <v>453</v>
      </c>
      <c r="B360" s="66" t="s">
        <v>133</v>
      </c>
      <c r="C360" s="66" t="n">
        <v>1</v>
      </c>
      <c r="D360" s="67" t="str">
        <f aca="false">IFERROR(INDEX(المكونات!$B$2:$B$500,MATCH($B360,المكونات!$A$2:$A$500,0)),"")</f>
        <v>قطعة (كيس)</v>
      </c>
      <c r="E360" s="68" t="n">
        <f aca="false">IFERROR(INDEX(المكونات!$C$2:$C$500,MATCH($B360,المكونات!$A$2:$A$500,0)),"")</f>
        <v>1.4</v>
      </c>
      <c r="F360" s="69" t="n">
        <f aca="false">IFERROR($C360*$E360,"")</f>
        <v>1.4</v>
      </c>
    </row>
    <row r="361" customFormat="false" ht="15" hidden="false" customHeight="true" outlineLevel="0" collapsed="false">
      <c r="A361" s="66" t="s">
        <v>453</v>
      </c>
      <c r="B361" s="66" t="s">
        <v>293</v>
      </c>
      <c r="C361" s="66" t="n">
        <v>1</v>
      </c>
      <c r="D361" s="67" t="str">
        <f aca="false">IFERROR(INDEX(المكونات!$B$2:$B$500,MATCH($B361,المكونات!$A$2:$A$500,0)),"")</f>
        <v>قطعة</v>
      </c>
      <c r="E361" s="68" t="n">
        <f aca="false">IFERROR(INDEX(المكونات!$C$2:$C$500,MATCH($B361,المكونات!$A$2:$A$500,0)),"")</f>
        <v>0.5</v>
      </c>
      <c r="F361" s="69" t="n">
        <f aca="false">IFERROR($C361*$E361,"")</f>
        <v>0.5</v>
      </c>
    </row>
    <row r="362" customFormat="false" ht="15" hidden="false" customHeight="true" outlineLevel="0" collapsed="false">
      <c r="A362" s="66" t="s">
        <v>453</v>
      </c>
      <c r="B362" s="66" t="s">
        <v>211</v>
      </c>
      <c r="C362" s="66" t="n">
        <v>2</v>
      </c>
      <c r="D362" s="67" t="str">
        <f aca="false">IFERROR(INDEX(المكونات!$B$2:$B$500,MATCH($B362,المكونات!$A$2:$A$500,0)),"")</f>
        <v>قطعة (جلفز)</v>
      </c>
      <c r="E362" s="68" t="n">
        <f aca="false">IFERROR(INDEX(المكونات!$C$2:$C$500,MATCH($B362,المكونات!$A$2:$A$500,0)),"")</f>
        <v>0.18</v>
      </c>
      <c r="F362" s="69" t="n">
        <f aca="false">IFERROR($C362*$E362,"")</f>
        <v>0.36</v>
      </c>
    </row>
    <row r="363" customFormat="false" ht="15" hidden="false" customHeight="true" outlineLevel="0" collapsed="false">
      <c r="A363" s="66" t="s">
        <v>453</v>
      </c>
      <c r="B363" s="66" t="s">
        <v>322</v>
      </c>
      <c r="C363" s="66" t="n">
        <v>1</v>
      </c>
      <c r="D363" s="67" t="str">
        <f aca="false">IFERROR(INDEX(المكونات!$B$2:$B$500,MATCH($B363,المكونات!$A$2:$A$500,0)),"")</f>
        <v>قطعة (كيس)</v>
      </c>
      <c r="E363" s="68" t="n">
        <f aca="false">IFERROR(INDEX(المكونات!$C$2:$C$500,MATCH($B363,المكونات!$A$2:$A$500,0)),"")</f>
        <v>1</v>
      </c>
      <c r="F363" s="69" t="n">
        <f aca="false">IFERROR($C363*$E363,"")</f>
        <v>1</v>
      </c>
    </row>
    <row r="364" customFormat="false" ht="15" hidden="false" customHeight="true" outlineLevel="0" collapsed="false">
      <c r="A364" s="66" t="s">
        <v>453</v>
      </c>
      <c r="B364" s="66" t="s">
        <v>142</v>
      </c>
      <c r="C364" s="66" t="n">
        <v>1</v>
      </c>
      <c r="D364" s="67" t="str">
        <f aca="false">IFERROR(INDEX(المكونات!$B$2:$B$500,MATCH($B364,المكونات!$A$2:$A$500,0)),"")</f>
        <v>قطعة</v>
      </c>
      <c r="E364" s="68" t="n">
        <f aca="false">IFERROR(INDEX(المكونات!$C$2:$C$500,MATCH($B364,المكونات!$A$2:$A$500,0)),"")</f>
        <v>35</v>
      </c>
      <c r="F364" s="69" t="n">
        <f aca="false">IFERROR($C364*$E364,"")</f>
        <v>35</v>
      </c>
    </row>
    <row r="365" customFormat="false" ht="15" hidden="false" customHeight="true" outlineLevel="0" collapsed="false">
      <c r="A365" s="66" t="s">
        <v>427</v>
      </c>
      <c r="B365" s="66" t="s">
        <v>264</v>
      </c>
      <c r="C365" s="66" t="n">
        <v>1.5</v>
      </c>
      <c r="D365" s="67" t="str">
        <f aca="false">IFERROR(INDEX(المكونات!$B$2:$B$500,MATCH($B365,المكونات!$A$2:$A$500,0)),"")</f>
        <v>قطعة</v>
      </c>
      <c r="E365" s="68" t="n">
        <f aca="false">IFERROR(INDEX(المكونات!$C$2:$C$500,MATCH($B365,المكونات!$A$2:$A$500,0)),"")</f>
        <v>4</v>
      </c>
      <c r="F365" s="69" t="n">
        <f aca="false">IFERROR($C365*$E365,"")</f>
        <v>6</v>
      </c>
    </row>
    <row r="366" customFormat="false" ht="15" hidden="false" customHeight="true" outlineLevel="0" collapsed="false">
      <c r="A366" s="66" t="s">
        <v>427</v>
      </c>
      <c r="B366" s="66" t="s">
        <v>260</v>
      </c>
      <c r="C366" s="66" t="n">
        <v>0.045</v>
      </c>
      <c r="D366" s="67" t="str">
        <f aca="false">IFERROR(INDEX(المكونات!$B$2:$B$500,MATCH($B366,المكونات!$A$2:$A$500,0)),"")</f>
        <v>كجم</v>
      </c>
      <c r="E366" s="68" t="n">
        <f aca="false">IFERROR(INDEX(المكونات!$C$2:$C$500,MATCH($B366,المكونات!$A$2:$A$500,0)),"")</f>
        <v>21</v>
      </c>
      <c r="F366" s="69" t="n">
        <f aca="false">IFERROR($C366*$E366,"")</f>
        <v>0.945</v>
      </c>
    </row>
    <row r="367" customFormat="false" ht="15" hidden="false" customHeight="true" outlineLevel="0" collapsed="false">
      <c r="A367" s="66" t="s">
        <v>427</v>
      </c>
      <c r="B367" s="66" t="s">
        <v>284</v>
      </c>
      <c r="C367" s="66" t="n">
        <v>0.03</v>
      </c>
      <c r="D367" s="67" t="str">
        <f aca="false">IFERROR(INDEX(المكونات!$B$2:$B$500,MATCH($B367,المكونات!$A$2:$A$500,0)),"")</f>
        <v>كجم</v>
      </c>
      <c r="E367" s="68" t="n">
        <f aca="false">IFERROR(INDEX(المكونات!$C$2:$C$500,MATCH($B367,المكونات!$A$2:$A$500,0)),"")</f>
        <v>27</v>
      </c>
      <c r="F367" s="69" t="n">
        <f aca="false">IFERROR($C367*$E367,"")</f>
        <v>0.81</v>
      </c>
    </row>
    <row r="368" customFormat="false" ht="15" hidden="false" customHeight="true" outlineLevel="0" collapsed="false">
      <c r="A368" s="66" t="s">
        <v>427</v>
      </c>
      <c r="B368" s="66" t="s">
        <v>227</v>
      </c>
      <c r="C368" s="66" t="n">
        <v>0.03</v>
      </c>
      <c r="D368" s="67" t="str">
        <f aca="false">IFERROR(INDEX(المكونات!$B$2:$B$500,MATCH($B368,المكونات!$A$2:$A$500,0)),"")</f>
        <v>كجم</v>
      </c>
      <c r="E368" s="68" t="n">
        <f aca="false">IFERROR(INDEX(المكونات!$C$2:$C$500,MATCH($B368,المكونات!$A$2:$A$500,0)),"")</f>
        <v>95</v>
      </c>
      <c r="F368" s="69" t="n">
        <f aca="false">IFERROR($C368*$E368,"")</f>
        <v>2.85</v>
      </c>
    </row>
    <row r="369" customFormat="false" ht="15" hidden="false" customHeight="true" outlineLevel="0" collapsed="false">
      <c r="A369" s="66" t="s">
        <v>427</v>
      </c>
      <c r="B369" s="66" t="s">
        <v>178</v>
      </c>
      <c r="C369" s="66" t="n">
        <v>1</v>
      </c>
      <c r="D369" s="67" t="str">
        <f aca="false">IFERROR(INDEX(المكونات!$B$2:$B$500,MATCH($B369,المكونات!$A$2:$A$500,0)),"")</f>
        <v>قطعة</v>
      </c>
      <c r="E369" s="68" t="n">
        <f aca="false">IFERROR(INDEX(المكونات!$C$2:$C$500,MATCH($B369,المكونات!$A$2:$A$500,0)),"")</f>
        <v>25</v>
      </c>
      <c r="F369" s="69" t="n">
        <f aca="false">IFERROR($C369*$E369,"")</f>
        <v>25</v>
      </c>
    </row>
    <row r="370" customFormat="false" ht="15" hidden="false" customHeight="true" outlineLevel="0" collapsed="false">
      <c r="A370" s="66" t="s">
        <v>427</v>
      </c>
      <c r="B370" s="66" t="s">
        <v>268</v>
      </c>
      <c r="C370" s="66" t="n">
        <v>1</v>
      </c>
      <c r="D370" s="67" t="str">
        <f aca="false">IFERROR(INDEX(المكونات!$B$2:$B$500,MATCH($B370,المكونات!$A$2:$A$500,0)),"")</f>
        <v>قطعة</v>
      </c>
      <c r="E370" s="68" t="n">
        <f aca="false">IFERROR(INDEX(المكونات!$C$2:$C$500,MATCH($B370,المكونات!$A$2:$A$500,0)),"")</f>
        <v>5.5</v>
      </c>
      <c r="F370" s="69" t="n">
        <f aca="false">IFERROR($C370*$E370,"")</f>
        <v>5.5</v>
      </c>
    </row>
    <row r="371" customFormat="false" ht="15" hidden="false" customHeight="true" outlineLevel="0" collapsed="false">
      <c r="A371" s="66" t="s">
        <v>427</v>
      </c>
      <c r="B371" s="66" t="s">
        <v>290</v>
      </c>
      <c r="C371" s="66" t="n">
        <v>3</v>
      </c>
      <c r="D371" s="67" t="str">
        <f aca="false">IFERROR(INDEX(المكونات!$B$2:$B$500,MATCH($B371,المكونات!$A$2:$A$500,0)),"")</f>
        <v>قطعة</v>
      </c>
      <c r="E371" s="68" t="n">
        <f aca="false">IFERROR(INDEX(المكونات!$C$2:$C$500,MATCH($B371,المكونات!$A$2:$A$500,0)),"")</f>
        <v>0.3</v>
      </c>
      <c r="F371" s="69" t="n">
        <f aca="false">IFERROR($C371*$E371,"")</f>
        <v>0.9</v>
      </c>
    </row>
    <row r="372" customFormat="false" ht="15" hidden="false" customHeight="true" outlineLevel="0" collapsed="false">
      <c r="A372" s="66" t="s">
        <v>427</v>
      </c>
      <c r="B372" s="66" t="s">
        <v>319</v>
      </c>
      <c r="C372" s="66" t="n">
        <v>1</v>
      </c>
      <c r="D372" s="67" t="str">
        <f aca="false">IFERROR(INDEX(المكونات!$B$2:$B$500,MATCH($B372,المكونات!$A$2:$A$500,0)),"")</f>
        <v>قطعة (ورقة)</v>
      </c>
      <c r="E372" s="68" t="n">
        <f aca="false">IFERROR(INDEX(المكونات!$C$2:$C$500,MATCH($B372,المكونات!$A$2:$A$500,0)),"")</f>
        <v>0.3665</v>
      </c>
      <c r="F372" s="69" t="n">
        <f aca="false">IFERROR($C372*$E372,"")</f>
        <v>0.3665</v>
      </c>
    </row>
    <row r="373" customFormat="false" ht="15" hidden="false" customHeight="true" outlineLevel="0" collapsed="false">
      <c r="A373" s="66" t="s">
        <v>427</v>
      </c>
      <c r="B373" s="66" t="s">
        <v>133</v>
      </c>
      <c r="C373" s="66" t="n">
        <v>1</v>
      </c>
      <c r="D373" s="67" t="str">
        <f aca="false">IFERROR(INDEX(المكونات!$B$2:$B$500,MATCH($B373,المكونات!$A$2:$A$500,0)),"")</f>
        <v>قطعة (كيس)</v>
      </c>
      <c r="E373" s="68" t="n">
        <f aca="false">IFERROR(INDEX(المكونات!$C$2:$C$500,MATCH($B373,المكونات!$A$2:$A$500,0)),"")</f>
        <v>1.4</v>
      </c>
      <c r="F373" s="69" t="n">
        <f aca="false">IFERROR($C373*$E373,"")</f>
        <v>1.4</v>
      </c>
    </row>
    <row r="374" customFormat="false" ht="15" hidden="false" customHeight="true" outlineLevel="0" collapsed="false">
      <c r="A374" s="66" t="s">
        <v>427</v>
      </c>
      <c r="B374" s="66" t="s">
        <v>293</v>
      </c>
      <c r="C374" s="66" t="n">
        <v>1</v>
      </c>
      <c r="D374" s="67" t="str">
        <f aca="false">IFERROR(INDEX(المكونات!$B$2:$B$500,MATCH($B374,المكونات!$A$2:$A$500,0)),"")</f>
        <v>قطعة</v>
      </c>
      <c r="E374" s="68" t="n">
        <f aca="false">IFERROR(INDEX(المكونات!$C$2:$C$500,MATCH($B374,المكونات!$A$2:$A$500,0)),"")</f>
        <v>0.5</v>
      </c>
      <c r="F374" s="69" t="n">
        <f aca="false">IFERROR($C374*$E374,"")</f>
        <v>0.5</v>
      </c>
    </row>
    <row r="375" customFormat="false" ht="15" hidden="false" customHeight="true" outlineLevel="0" collapsed="false">
      <c r="A375" s="66" t="s">
        <v>427</v>
      </c>
      <c r="B375" s="66" t="s">
        <v>211</v>
      </c>
      <c r="C375" s="66" t="n">
        <v>2</v>
      </c>
      <c r="D375" s="67" t="str">
        <f aca="false">IFERROR(INDEX(المكونات!$B$2:$B$500,MATCH($B375,المكونات!$A$2:$A$500,0)),"")</f>
        <v>قطعة (جلفز)</v>
      </c>
      <c r="E375" s="68" t="n">
        <f aca="false">IFERROR(INDEX(المكونات!$C$2:$C$500,MATCH($B375,المكونات!$A$2:$A$500,0)),"")</f>
        <v>0.18</v>
      </c>
      <c r="F375" s="69" t="n">
        <f aca="false">IFERROR($C375*$E375,"")</f>
        <v>0.36</v>
      </c>
    </row>
    <row r="376" customFormat="false" ht="15" hidden="false" customHeight="true" outlineLevel="0" collapsed="false">
      <c r="A376" s="66" t="s">
        <v>427</v>
      </c>
      <c r="B376" s="66" t="s">
        <v>322</v>
      </c>
      <c r="C376" s="66" t="n">
        <v>1</v>
      </c>
      <c r="D376" s="67" t="str">
        <f aca="false">IFERROR(INDEX(المكونات!$B$2:$B$500,MATCH($B376,المكونات!$A$2:$A$500,0)),"")</f>
        <v>قطعة (كيس)</v>
      </c>
      <c r="E376" s="68" t="n">
        <f aca="false">IFERROR(INDEX(المكونات!$C$2:$C$500,MATCH($B376,المكونات!$A$2:$A$500,0)),"")</f>
        <v>1</v>
      </c>
      <c r="F376" s="69" t="n">
        <f aca="false">IFERROR($C376*$E376,"")</f>
        <v>1</v>
      </c>
    </row>
    <row r="377" customFormat="false" ht="15" hidden="false" customHeight="true" outlineLevel="0" collapsed="false">
      <c r="A377" s="66" t="s">
        <v>427</v>
      </c>
      <c r="B377" s="66" t="s">
        <v>144</v>
      </c>
      <c r="C377" s="66" t="n">
        <v>1</v>
      </c>
      <c r="D377" s="67" t="str">
        <f aca="false">IFERROR(INDEX(المكونات!$B$2:$B$500,MATCH($B377,المكونات!$A$2:$A$500,0)),"")</f>
        <v>قطعة</v>
      </c>
      <c r="E377" s="68" t="n">
        <f aca="false">IFERROR(INDEX(المكونات!$C$2:$C$500,MATCH($B377,المكونات!$A$2:$A$500,0)),"")</f>
        <v>46.6667</v>
      </c>
      <c r="F377" s="69" t="n">
        <f aca="false">IFERROR($C377*$E377,"")</f>
        <v>46.6667</v>
      </c>
    </row>
    <row r="378" customFormat="false" ht="15" hidden="false" customHeight="true" outlineLevel="0" collapsed="false">
      <c r="A378" s="66" t="s">
        <v>477</v>
      </c>
      <c r="B378" s="66" t="s">
        <v>264</v>
      </c>
      <c r="C378" s="66" t="n">
        <v>1</v>
      </c>
      <c r="D378" s="67" t="str">
        <f aca="false">IFERROR(INDEX(المكونات!$B$2:$B$500,MATCH($B378,المكونات!$A$2:$A$500,0)),"")</f>
        <v>قطعة</v>
      </c>
      <c r="E378" s="68" t="n">
        <f aca="false">IFERROR(INDEX(المكونات!$C$2:$C$500,MATCH($B378,المكونات!$A$2:$A$500,0)),"")</f>
        <v>4</v>
      </c>
      <c r="F378" s="69" t="n">
        <f aca="false">IFERROR($C378*$E378,"")</f>
        <v>4</v>
      </c>
    </row>
    <row r="379" customFormat="false" ht="15" hidden="false" customHeight="true" outlineLevel="0" collapsed="false">
      <c r="A379" s="66" t="s">
        <v>477</v>
      </c>
      <c r="B379" s="66" t="s">
        <v>260</v>
      </c>
      <c r="C379" s="66" t="n">
        <v>0.03</v>
      </c>
      <c r="D379" s="67" t="str">
        <f aca="false">IFERROR(INDEX(المكونات!$B$2:$B$500,MATCH($B379,المكونات!$A$2:$A$500,0)),"")</f>
        <v>كجم</v>
      </c>
      <c r="E379" s="68" t="n">
        <f aca="false">IFERROR(INDEX(المكونات!$C$2:$C$500,MATCH($B379,المكونات!$A$2:$A$500,0)),"")</f>
        <v>21</v>
      </c>
      <c r="F379" s="69" t="n">
        <f aca="false">IFERROR($C379*$E379,"")</f>
        <v>0.63</v>
      </c>
    </row>
    <row r="380" customFormat="false" ht="15" hidden="false" customHeight="true" outlineLevel="0" collapsed="false">
      <c r="A380" s="66" t="s">
        <v>477</v>
      </c>
      <c r="B380" s="66" t="s">
        <v>284</v>
      </c>
      <c r="C380" s="66" t="n">
        <v>0.02</v>
      </c>
      <c r="D380" s="67" t="str">
        <f aca="false">IFERROR(INDEX(المكونات!$B$2:$B$500,MATCH($B380,المكونات!$A$2:$A$500,0)),"")</f>
        <v>كجم</v>
      </c>
      <c r="E380" s="68" t="n">
        <f aca="false">IFERROR(INDEX(المكونات!$C$2:$C$500,MATCH($B380,المكونات!$A$2:$A$500,0)),"")</f>
        <v>27</v>
      </c>
      <c r="F380" s="69" t="n">
        <f aca="false">IFERROR($C380*$E380,"")</f>
        <v>0.54</v>
      </c>
    </row>
    <row r="381" customFormat="false" ht="15" hidden="false" customHeight="true" outlineLevel="0" collapsed="false">
      <c r="A381" s="66" t="s">
        <v>477</v>
      </c>
      <c r="B381" s="66" t="s">
        <v>227</v>
      </c>
      <c r="C381" s="66" t="n">
        <v>0.02</v>
      </c>
      <c r="D381" s="67" t="str">
        <f aca="false">IFERROR(INDEX(المكونات!$B$2:$B$500,MATCH($B381,المكونات!$A$2:$A$500,0)),"")</f>
        <v>كجم</v>
      </c>
      <c r="E381" s="68" t="n">
        <f aca="false">IFERROR(INDEX(المكونات!$C$2:$C$500,MATCH($B381,المكونات!$A$2:$A$500,0)),"")</f>
        <v>95</v>
      </c>
      <c r="F381" s="69" t="n">
        <f aca="false">IFERROR($C381*$E381,"")</f>
        <v>1.9</v>
      </c>
    </row>
    <row r="382" customFormat="false" ht="15" hidden="false" customHeight="true" outlineLevel="0" collapsed="false">
      <c r="A382" s="66" t="s">
        <v>477</v>
      </c>
      <c r="B382" s="66" t="s">
        <v>176</v>
      </c>
      <c r="C382" s="66" t="n">
        <v>1</v>
      </c>
      <c r="D382" s="67" t="str">
        <f aca="false">IFERROR(INDEX(المكونات!$B$2:$B$500,MATCH($B382,المكونات!$A$2:$A$500,0)),"")</f>
        <v>قطعة</v>
      </c>
      <c r="E382" s="68" t="n">
        <f aca="false">IFERROR(INDEX(المكونات!$C$2:$C$500,MATCH($B382,المكونات!$A$2:$A$500,0)),"")</f>
        <v>17.5</v>
      </c>
      <c r="F382" s="69" t="n">
        <f aca="false">IFERROR($C382*$E382,"")</f>
        <v>17.5</v>
      </c>
    </row>
    <row r="383" customFormat="false" ht="15" hidden="false" customHeight="true" outlineLevel="0" collapsed="false">
      <c r="A383" s="66" t="s">
        <v>477</v>
      </c>
      <c r="B383" s="66" t="s">
        <v>270</v>
      </c>
      <c r="C383" s="66" t="n">
        <v>1</v>
      </c>
      <c r="D383" s="67" t="str">
        <f aca="false">IFERROR(INDEX(المكونات!$B$2:$B$500,MATCH($B383,المكونات!$A$2:$A$500,0)),"")</f>
        <v>قطعة</v>
      </c>
      <c r="E383" s="68" t="n">
        <f aca="false">IFERROR(INDEX(المكونات!$C$2:$C$500,MATCH($B383,المكونات!$A$2:$A$500,0)),"")</f>
        <v>4.5</v>
      </c>
      <c r="F383" s="69" t="n">
        <f aca="false">IFERROR($C383*$E383,"")</f>
        <v>4.5</v>
      </c>
    </row>
    <row r="384" customFormat="false" ht="15" hidden="false" customHeight="true" outlineLevel="0" collapsed="false">
      <c r="A384" s="66" t="s">
        <v>477</v>
      </c>
      <c r="B384" s="66" t="s">
        <v>290</v>
      </c>
      <c r="C384" s="66" t="n">
        <v>2</v>
      </c>
      <c r="D384" s="67" t="str">
        <f aca="false">IFERROR(INDEX(المكونات!$B$2:$B$500,MATCH($B384,المكونات!$A$2:$A$500,0)),"")</f>
        <v>قطعة</v>
      </c>
      <c r="E384" s="68" t="n">
        <f aca="false">IFERROR(INDEX(المكونات!$C$2:$C$500,MATCH($B384,المكونات!$A$2:$A$500,0)),"")</f>
        <v>0.3</v>
      </c>
      <c r="F384" s="69" t="n">
        <f aca="false">IFERROR($C384*$E384,"")</f>
        <v>0.6</v>
      </c>
    </row>
    <row r="385" customFormat="false" ht="15" hidden="false" customHeight="true" outlineLevel="0" collapsed="false">
      <c r="A385" s="66" t="s">
        <v>477</v>
      </c>
      <c r="B385" s="66" t="s">
        <v>319</v>
      </c>
      <c r="C385" s="66" t="n">
        <v>1</v>
      </c>
      <c r="D385" s="67" t="str">
        <f aca="false">IFERROR(INDEX(المكونات!$B$2:$B$500,MATCH($B385,المكونات!$A$2:$A$500,0)),"")</f>
        <v>قطعة (ورقة)</v>
      </c>
      <c r="E385" s="68" t="n">
        <f aca="false">IFERROR(INDEX(المكونات!$C$2:$C$500,MATCH($B385,المكونات!$A$2:$A$500,0)),"")</f>
        <v>0.3665</v>
      </c>
      <c r="F385" s="69" t="n">
        <f aca="false">IFERROR($C385*$E385,"")</f>
        <v>0.3665</v>
      </c>
    </row>
    <row r="386" customFormat="false" ht="15" hidden="false" customHeight="true" outlineLevel="0" collapsed="false">
      <c r="A386" s="66" t="s">
        <v>477</v>
      </c>
      <c r="B386" s="66" t="s">
        <v>133</v>
      </c>
      <c r="C386" s="66" t="n">
        <v>1</v>
      </c>
      <c r="D386" s="67" t="str">
        <f aca="false">IFERROR(INDEX(المكونات!$B$2:$B$500,MATCH($B386,المكونات!$A$2:$A$500,0)),"")</f>
        <v>قطعة (كيس)</v>
      </c>
      <c r="E386" s="68" t="n">
        <f aca="false">IFERROR(INDEX(المكونات!$C$2:$C$500,MATCH($B386,المكونات!$A$2:$A$500,0)),"")</f>
        <v>1.4</v>
      </c>
      <c r="F386" s="69" t="n">
        <f aca="false">IFERROR($C386*$E386,"")</f>
        <v>1.4</v>
      </c>
    </row>
    <row r="387" customFormat="false" ht="15" hidden="false" customHeight="true" outlineLevel="0" collapsed="false">
      <c r="A387" s="66" t="s">
        <v>477</v>
      </c>
      <c r="B387" s="66" t="s">
        <v>293</v>
      </c>
      <c r="C387" s="66" t="n">
        <v>1</v>
      </c>
      <c r="D387" s="67" t="str">
        <f aca="false">IFERROR(INDEX(المكونات!$B$2:$B$500,MATCH($B387,المكونات!$A$2:$A$500,0)),"")</f>
        <v>قطعة</v>
      </c>
      <c r="E387" s="68" t="n">
        <f aca="false">IFERROR(INDEX(المكونات!$C$2:$C$500,MATCH($B387,المكونات!$A$2:$A$500,0)),"")</f>
        <v>0.5</v>
      </c>
      <c r="F387" s="69" t="n">
        <f aca="false">IFERROR($C387*$E387,"")</f>
        <v>0.5</v>
      </c>
    </row>
    <row r="388" customFormat="false" ht="15" hidden="false" customHeight="true" outlineLevel="0" collapsed="false">
      <c r="A388" s="66" t="s">
        <v>477</v>
      </c>
      <c r="B388" s="66" t="s">
        <v>211</v>
      </c>
      <c r="C388" s="66" t="n">
        <v>2</v>
      </c>
      <c r="D388" s="67" t="str">
        <f aca="false">IFERROR(INDEX(المكونات!$B$2:$B$500,MATCH($B388,المكونات!$A$2:$A$500,0)),"")</f>
        <v>قطعة (جلفز)</v>
      </c>
      <c r="E388" s="68" t="n">
        <f aca="false">IFERROR(INDEX(المكونات!$C$2:$C$500,MATCH($B388,المكونات!$A$2:$A$500,0)),"")</f>
        <v>0.18</v>
      </c>
      <c r="F388" s="69" t="n">
        <f aca="false">IFERROR($C388*$E388,"")</f>
        <v>0.36</v>
      </c>
    </row>
    <row r="389" customFormat="false" ht="15" hidden="false" customHeight="true" outlineLevel="0" collapsed="false">
      <c r="A389" s="66" t="s">
        <v>477</v>
      </c>
      <c r="B389" s="66" t="s">
        <v>322</v>
      </c>
      <c r="C389" s="66" t="n">
        <v>1</v>
      </c>
      <c r="D389" s="67" t="str">
        <f aca="false">IFERROR(INDEX(المكونات!$B$2:$B$500,MATCH($B389,المكونات!$A$2:$A$500,0)),"")</f>
        <v>قطعة (كيس)</v>
      </c>
      <c r="E389" s="68" t="n">
        <f aca="false">IFERROR(INDEX(المكونات!$C$2:$C$500,MATCH($B389,المكونات!$A$2:$A$500,0)),"")</f>
        <v>1</v>
      </c>
      <c r="F389" s="69" t="n">
        <f aca="false">IFERROR($C389*$E389,"")</f>
        <v>1</v>
      </c>
    </row>
    <row r="390" customFormat="false" ht="15" hidden="false" customHeight="true" outlineLevel="0" collapsed="false">
      <c r="A390" s="66" t="s">
        <v>477</v>
      </c>
      <c r="B390" s="66" t="s">
        <v>142</v>
      </c>
      <c r="C390" s="66" t="n">
        <v>1</v>
      </c>
      <c r="D390" s="67" t="str">
        <f aca="false">IFERROR(INDEX(المكونات!$B$2:$B$500,MATCH($B390,المكونات!$A$2:$A$500,0)),"")</f>
        <v>قطعة</v>
      </c>
      <c r="E390" s="68" t="n">
        <f aca="false">IFERROR(INDEX(المكونات!$C$2:$C$500,MATCH($B390,المكونات!$A$2:$A$500,0)),"")</f>
        <v>35</v>
      </c>
      <c r="F390" s="69" t="n">
        <f aca="false">IFERROR($C390*$E390,"")</f>
        <v>35</v>
      </c>
    </row>
    <row r="391" customFormat="false" ht="15" hidden="false" customHeight="true" outlineLevel="0" collapsed="false">
      <c r="A391" s="66" t="s">
        <v>477</v>
      </c>
      <c r="B391" s="66" t="s">
        <v>152</v>
      </c>
      <c r="C391" s="66" t="n">
        <v>1</v>
      </c>
      <c r="D391" s="67" t="str">
        <f aca="false">IFERROR(INDEX(المكونات!$B$2:$B$500,MATCH($B391,المكونات!$A$2:$A$500,0)),"")</f>
        <v>قطعة</v>
      </c>
      <c r="E391" s="68" t="n">
        <f aca="false">IFERROR(INDEX(المكونات!$C$2:$C$500,MATCH($B391,المكونات!$A$2:$A$500,0)),"")</f>
        <v>34</v>
      </c>
      <c r="F391" s="69" t="n">
        <f aca="false">IFERROR($C391*$E391,"")</f>
        <v>34</v>
      </c>
    </row>
    <row r="392" customFormat="false" ht="15" hidden="false" customHeight="true" outlineLevel="0" collapsed="false">
      <c r="A392" s="66" t="s">
        <v>477</v>
      </c>
      <c r="B392" s="66" t="s">
        <v>288</v>
      </c>
      <c r="C392" s="66" t="n">
        <v>2</v>
      </c>
      <c r="D392" s="67" t="str">
        <f aca="false">IFERROR(INDEX(المكونات!$B$2:$B$500,MATCH($B392,المكونات!$A$2:$A$500,0)),"")</f>
        <v>قطعة</v>
      </c>
      <c r="E392" s="68" t="n">
        <f aca="false">IFERROR(INDEX(المكونات!$C$2:$C$500,MATCH($B392,المكونات!$A$2:$A$500,0)),"")</f>
        <v>7</v>
      </c>
      <c r="F392" s="69" t="n">
        <f aca="false">IFERROR($C392*$E392,"")</f>
        <v>14</v>
      </c>
    </row>
    <row r="393" customFormat="false" ht="26.25" hidden="false" customHeight="true" outlineLevel="0" collapsed="false">
      <c r="A393" s="66" t="s">
        <v>475</v>
      </c>
      <c r="B393" s="66" t="s">
        <v>264</v>
      </c>
      <c r="C393" s="66" t="n">
        <v>1.5</v>
      </c>
      <c r="D393" s="67" t="str">
        <f aca="false">IFERROR(INDEX(المكونات!$B$2:$B$500,MATCH($B393,المكونات!$A$2:$A$500,0)),"")</f>
        <v>قطعة</v>
      </c>
      <c r="E393" s="68" t="n">
        <f aca="false">IFERROR(INDEX(المكونات!$C$2:$C$500,MATCH($B393,المكونات!$A$2:$A$500,0)),"")</f>
        <v>4</v>
      </c>
      <c r="F393" s="69" t="n">
        <f aca="false">IFERROR($C393*$E393,"")</f>
        <v>6</v>
      </c>
    </row>
    <row r="394" customFormat="false" ht="26.25" hidden="false" customHeight="true" outlineLevel="0" collapsed="false">
      <c r="A394" s="66" t="s">
        <v>475</v>
      </c>
      <c r="B394" s="66" t="s">
        <v>260</v>
      </c>
      <c r="C394" s="66" t="n">
        <v>0.045</v>
      </c>
      <c r="D394" s="67" t="str">
        <f aca="false">IFERROR(INDEX(المكونات!$B$2:$B$500,MATCH($B394,المكونات!$A$2:$A$500,0)),"")</f>
        <v>كجم</v>
      </c>
      <c r="E394" s="68" t="n">
        <f aca="false">IFERROR(INDEX(المكونات!$C$2:$C$500,MATCH($B394,المكونات!$A$2:$A$500,0)),"")</f>
        <v>21</v>
      </c>
      <c r="F394" s="69" t="n">
        <f aca="false">IFERROR($C394*$E394,"")</f>
        <v>0.945</v>
      </c>
    </row>
    <row r="395" customFormat="false" ht="26.25" hidden="false" customHeight="true" outlineLevel="0" collapsed="false">
      <c r="A395" s="66" t="s">
        <v>475</v>
      </c>
      <c r="B395" s="66" t="s">
        <v>284</v>
      </c>
      <c r="C395" s="66" t="n">
        <v>0.03</v>
      </c>
      <c r="D395" s="67" t="str">
        <f aca="false">IFERROR(INDEX(المكونات!$B$2:$B$500,MATCH($B395,المكونات!$A$2:$A$500,0)),"")</f>
        <v>كجم</v>
      </c>
      <c r="E395" s="68" t="n">
        <f aca="false">IFERROR(INDEX(المكونات!$C$2:$C$500,MATCH($B395,المكونات!$A$2:$A$500,0)),"")</f>
        <v>27</v>
      </c>
      <c r="F395" s="69" t="n">
        <f aca="false">IFERROR($C395*$E395,"")</f>
        <v>0.81</v>
      </c>
    </row>
    <row r="396" customFormat="false" ht="26.25" hidden="false" customHeight="true" outlineLevel="0" collapsed="false">
      <c r="A396" s="66" t="s">
        <v>475</v>
      </c>
      <c r="B396" s="66" t="s">
        <v>227</v>
      </c>
      <c r="C396" s="66" t="n">
        <v>0.03</v>
      </c>
      <c r="D396" s="67" t="str">
        <f aca="false">IFERROR(INDEX(المكونات!$B$2:$B$500,MATCH($B396,المكونات!$A$2:$A$500,0)),"")</f>
        <v>كجم</v>
      </c>
      <c r="E396" s="68" t="n">
        <f aca="false">IFERROR(INDEX(المكونات!$C$2:$C$500,MATCH($B396,المكونات!$A$2:$A$500,0)),"")</f>
        <v>95</v>
      </c>
      <c r="F396" s="69" t="n">
        <f aca="false">IFERROR($C396*$E396,"")</f>
        <v>2.85</v>
      </c>
    </row>
    <row r="397" customFormat="false" ht="26.25" hidden="false" customHeight="true" outlineLevel="0" collapsed="false">
      <c r="A397" s="66" t="s">
        <v>475</v>
      </c>
      <c r="B397" s="66" t="s">
        <v>178</v>
      </c>
      <c r="C397" s="66" t="n">
        <v>1</v>
      </c>
      <c r="D397" s="67" t="str">
        <f aca="false">IFERROR(INDEX(المكونات!$B$2:$B$500,MATCH($B397,المكونات!$A$2:$A$500,0)),"")</f>
        <v>قطعة</v>
      </c>
      <c r="E397" s="68" t="n">
        <f aca="false">IFERROR(INDEX(المكونات!$C$2:$C$500,MATCH($B397,المكونات!$A$2:$A$500,0)),"")</f>
        <v>25</v>
      </c>
      <c r="F397" s="69" t="n">
        <f aca="false">IFERROR($C397*$E397,"")</f>
        <v>25</v>
      </c>
    </row>
    <row r="398" customFormat="false" ht="26.25" hidden="false" customHeight="true" outlineLevel="0" collapsed="false">
      <c r="A398" s="66" t="s">
        <v>475</v>
      </c>
      <c r="B398" s="66" t="s">
        <v>268</v>
      </c>
      <c r="C398" s="66" t="n">
        <v>1</v>
      </c>
      <c r="D398" s="67" t="str">
        <f aca="false">IFERROR(INDEX(المكونات!$B$2:$B$500,MATCH($B398,المكونات!$A$2:$A$500,0)),"")</f>
        <v>قطعة</v>
      </c>
      <c r="E398" s="68" t="n">
        <f aca="false">IFERROR(INDEX(المكونات!$C$2:$C$500,MATCH($B398,المكونات!$A$2:$A$500,0)),"")</f>
        <v>5.5</v>
      </c>
      <c r="F398" s="69" t="n">
        <f aca="false">IFERROR($C398*$E398,"")</f>
        <v>5.5</v>
      </c>
    </row>
    <row r="399" customFormat="false" ht="26.25" hidden="false" customHeight="true" outlineLevel="0" collapsed="false">
      <c r="A399" s="66" t="s">
        <v>475</v>
      </c>
      <c r="B399" s="66" t="s">
        <v>290</v>
      </c>
      <c r="C399" s="66" t="n">
        <v>3</v>
      </c>
      <c r="D399" s="67" t="str">
        <f aca="false">IFERROR(INDEX(المكونات!$B$2:$B$500,MATCH($B399,المكونات!$A$2:$A$500,0)),"")</f>
        <v>قطعة</v>
      </c>
      <c r="E399" s="68" t="n">
        <f aca="false">IFERROR(INDEX(المكونات!$C$2:$C$500,MATCH($B399,المكونات!$A$2:$A$500,0)),"")</f>
        <v>0.3</v>
      </c>
      <c r="F399" s="69" t="n">
        <f aca="false">IFERROR($C399*$E399,"")</f>
        <v>0.9</v>
      </c>
    </row>
    <row r="400" customFormat="false" ht="26.25" hidden="false" customHeight="true" outlineLevel="0" collapsed="false">
      <c r="A400" s="66" t="s">
        <v>475</v>
      </c>
      <c r="B400" s="66" t="s">
        <v>319</v>
      </c>
      <c r="C400" s="66" t="n">
        <v>1</v>
      </c>
      <c r="D400" s="67" t="str">
        <f aca="false">IFERROR(INDEX(المكونات!$B$2:$B$500,MATCH($B400,المكونات!$A$2:$A$500,0)),"")</f>
        <v>قطعة (ورقة)</v>
      </c>
      <c r="E400" s="68" t="n">
        <f aca="false">IFERROR(INDEX(المكونات!$C$2:$C$500,MATCH($B400,المكونات!$A$2:$A$500,0)),"")</f>
        <v>0.3665</v>
      </c>
      <c r="F400" s="69" t="n">
        <f aca="false">IFERROR($C400*$E400,"")</f>
        <v>0.3665</v>
      </c>
    </row>
    <row r="401" customFormat="false" ht="26.25" hidden="false" customHeight="true" outlineLevel="0" collapsed="false">
      <c r="A401" s="66" t="s">
        <v>475</v>
      </c>
      <c r="B401" s="66" t="s">
        <v>133</v>
      </c>
      <c r="C401" s="66" t="n">
        <v>1</v>
      </c>
      <c r="D401" s="67" t="str">
        <f aca="false">IFERROR(INDEX(المكونات!$B$2:$B$500,MATCH($B401,المكونات!$A$2:$A$500,0)),"")</f>
        <v>قطعة (كيس)</v>
      </c>
      <c r="E401" s="68" t="n">
        <f aca="false">IFERROR(INDEX(المكونات!$C$2:$C$500,MATCH($B401,المكونات!$A$2:$A$500,0)),"")</f>
        <v>1.4</v>
      </c>
      <c r="F401" s="69" t="n">
        <f aca="false">IFERROR($C401*$E401,"")</f>
        <v>1.4</v>
      </c>
    </row>
    <row r="402" customFormat="false" ht="26.25" hidden="false" customHeight="true" outlineLevel="0" collapsed="false">
      <c r="A402" s="66" t="s">
        <v>475</v>
      </c>
      <c r="B402" s="66" t="s">
        <v>293</v>
      </c>
      <c r="C402" s="66" t="n">
        <v>1</v>
      </c>
      <c r="D402" s="67" t="str">
        <f aca="false">IFERROR(INDEX(المكونات!$B$2:$B$500,MATCH($B402,المكونات!$A$2:$A$500,0)),"")</f>
        <v>قطعة</v>
      </c>
      <c r="E402" s="68" t="n">
        <f aca="false">IFERROR(INDEX(المكونات!$C$2:$C$500,MATCH($B402,المكونات!$A$2:$A$500,0)),"")</f>
        <v>0.5</v>
      </c>
      <c r="F402" s="69" t="n">
        <f aca="false">IFERROR($C402*$E402,"")</f>
        <v>0.5</v>
      </c>
    </row>
    <row r="403" customFormat="false" ht="26.25" hidden="false" customHeight="true" outlineLevel="0" collapsed="false">
      <c r="A403" s="66" t="s">
        <v>475</v>
      </c>
      <c r="B403" s="66" t="s">
        <v>211</v>
      </c>
      <c r="C403" s="66" t="n">
        <v>2</v>
      </c>
      <c r="D403" s="67" t="str">
        <f aca="false">IFERROR(INDEX(المكونات!$B$2:$B$500,MATCH($B403,المكونات!$A$2:$A$500,0)),"")</f>
        <v>قطعة (جلفز)</v>
      </c>
      <c r="E403" s="68" t="n">
        <f aca="false">IFERROR(INDEX(المكونات!$C$2:$C$500,MATCH($B403,المكونات!$A$2:$A$500,0)),"")</f>
        <v>0.18</v>
      </c>
      <c r="F403" s="69" t="n">
        <f aca="false">IFERROR($C403*$E403,"")</f>
        <v>0.36</v>
      </c>
    </row>
    <row r="404" customFormat="false" ht="26.25" hidden="false" customHeight="true" outlineLevel="0" collapsed="false">
      <c r="A404" s="66" t="s">
        <v>475</v>
      </c>
      <c r="B404" s="66" t="s">
        <v>322</v>
      </c>
      <c r="C404" s="66" t="n">
        <v>1</v>
      </c>
      <c r="D404" s="67" t="str">
        <f aca="false">IFERROR(INDEX(المكونات!$B$2:$B$500,MATCH($B404,المكونات!$A$2:$A$500,0)),"")</f>
        <v>قطعة (كيس)</v>
      </c>
      <c r="E404" s="68" t="n">
        <f aca="false">IFERROR(INDEX(المكونات!$C$2:$C$500,MATCH($B404,المكونات!$A$2:$A$500,0)),"")</f>
        <v>1</v>
      </c>
      <c r="F404" s="69" t="n">
        <f aca="false">IFERROR($C404*$E404,"")</f>
        <v>1</v>
      </c>
    </row>
    <row r="405" customFormat="false" ht="26.25" hidden="false" customHeight="true" outlineLevel="0" collapsed="false">
      <c r="A405" s="66" t="s">
        <v>475</v>
      </c>
      <c r="B405" s="66" t="s">
        <v>144</v>
      </c>
      <c r="C405" s="66" t="n">
        <v>1</v>
      </c>
      <c r="D405" s="67" t="str">
        <f aca="false">IFERROR(INDEX(المكونات!$B$2:$B$500,MATCH($B405,المكونات!$A$2:$A$500,0)),"")</f>
        <v>قطعة</v>
      </c>
      <c r="E405" s="68" t="n">
        <f aca="false">IFERROR(INDEX(المكونات!$C$2:$C$500,MATCH($B405,المكونات!$A$2:$A$500,0)),"")</f>
        <v>46.6667</v>
      </c>
      <c r="F405" s="69" t="n">
        <f aca="false">IFERROR($C405*$E405,"")</f>
        <v>46.6667</v>
      </c>
    </row>
    <row r="406" customFormat="false" ht="26.25" hidden="false" customHeight="true" outlineLevel="0" collapsed="false">
      <c r="A406" s="66" t="s">
        <v>475</v>
      </c>
      <c r="B406" s="66" t="s">
        <v>154</v>
      </c>
      <c r="C406" s="66" t="n">
        <v>1</v>
      </c>
      <c r="D406" s="67" t="str">
        <f aca="false">IFERROR(INDEX(المكونات!$B$2:$B$500,MATCH($B406,المكونات!$A$2:$A$500,0)),"")</f>
        <v>قطعة</v>
      </c>
      <c r="E406" s="68" t="n">
        <f aca="false">IFERROR(INDEX(المكونات!$C$2:$C$500,MATCH($B406,المكونات!$A$2:$A$500,0)),"")</f>
        <v>45</v>
      </c>
      <c r="F406" s="69" t="n">
        <f aca="false">IFERROR($C406*$E406,"")</f>
        <v>45</v>
      </c>
    </row>
    <row r="407" customFormat="false" ht="26.25" hidden="false" customHeight="true" outlineLevel="0" collapsed="false">
      <c r="A407" s="66" t="s">
        <v>475</v>
      </c>
      <c r="B407" s="66" t="s">
        <v>288</v>
      </c>
      <c r="C407" s="66" t="n">
        <v>3</v>
      </c>
      <c r="D407" s="67" t="str">
        <f aca="false">IFERROR(INDEX(المكونات!$B$2:$B$500,MATCH($B407,المكونات!$A$2:$A$500,0)),"")</f>
        <v>قطعة</v>
      </c>
      <c r="E407" s="68" t="n">
        <f aca="false">IFERROR(INDEX(المكونات!$C$2:$C$500,MATCH($B407,المكونات!$A$2:$A$500,0)),"")</f>
        <v>7</v>
      </c>
      <c r="F407" s="69" t="n">
        <f aca="false">IFERROR($C407*$E407,"")</f>
        <v>21</v>
      </c>
    </row>
    <row r="408" customFormat="false" ht="15" hidden="false" customHeight="true" outlineLevel="0" collapsed="false">
      <c r="A408" s="66" t="s">
        <v>507</v>
      </c>
      <c r="B408" s="66" t="s">
        <v>264</v>
      </c>
      <c r="C408" s="66" t="n">
        <v>1</v>
      </c>
      <c r="D408" s="67" t="str">
        <f aca="false">IFERROR(INDEX(المكونات!$B$2:$B$500,MATCH($B408,المكونات!$A$2:$A$500,0)),"")</f>
        <v>قطعة</v>
      </c>
      <c r="E408" s="68" t="n">
        <f aca="false">IFERROR(INDEX(المكونات!$C$2:$C$500,MATCH($B408,المكونات!$A$2:$A$500,0)),"")</f>
        <v>4</v>
      </c>
      <c r="F408" s="69" t="n">
        <f aca="false">IFERROR($C408*$E408,"")</f>
        <v>4</v>
      </c>
    </row>
    <row r="409" customFormat="false" ht="15" hidden="false" customHeight="true" outlineLevel="0" collapsed="false">
      <c r="A409" s="66" t="s">
        <v>507</v>
      </c>
      <c r="B409" s="66" t="s">
        <v>260</v>
      </c>
      <c r="C409" s="66" t="n">
        <v>0.03</v>
      </c>
      <c r="D409" s="67" t="str">
        <f aca="false">IFERROR(INDEX(المكونات!$B$2:$B$500,MATCH($B409,المكونات!$A$2:$A$500,0)),"")</f>
        <v>كجم</v>
      </c>
      <c r="E409" s="68" t="n">
        <f aca="false">IFERROR(INDEX(المكونات!$C$2:$C$500,MATCH($B409,المكونات!$A$2:$A$500,0)),"")</f>
        <v>21</v>
      </c>
      <c r="F409" s="69" t="n">
        <f aca="false">IFERROR($C409*$E409,"")</f>
        <v>0.63</v>
      </c>
    </row>
    <row r="410" customFormat="false" ht="15" hidden="false" customHeight="true" outlineLevel="0" collapsed="false">
      <c r="A410" s="66" t="s">
        <v>507</v>
      </c>
      <c r="B410" s="66" t="s">
        <v>284</v>
      </c>
      <c r="C410" s="66" t="n">
        <v>0.02</v>
      </c>
      <c r="D410" s="67" t="str">
        <f aca="false">IFERROR(INDEX(المكونات!$B$2:$B$500,MATCH($B410,المكونات!$A$2:$A$500,0)),"")</f>
        <v>كجم</v>
      </c>
      <c r="E410" s="68" t="n">
        <f aca="false">IFERROR(INDEX(المكونات!$C$2:$C$500,MATCH($B410,المكونات!$A$2:$A$500,0)),"")</f>
        <v>27</v>
      </c>
      <c r="F410" s="69" t="n">
        <f aca="false">IFERROR($C410*$E410,"")</f>
        <v>0.54</v>
      </c>
    </row>
    <row r="411" customFormat="false" ht="15" hidden="false" customHeight="true" outlineLevel="0" collapsed="false">
      <c r="A411" s="66" t="s">
        <v>507</v>
      </c>
      <c r="B411" s="66" t="s">
        <v>227</v>
      </c>
      <c r="C411" s="66" t="n">
        <v>0.02</v>
      </c>
      <c r="D411" s="67" t="str">
        <f aca="false">IFERROR(INDEX(المكونات!$B$2:$B$500,MATCH($B411,المكونات!$A$2:$A$500,0)),"")</f>
        <v>كجم</v>
      </c>
      <c r="E411" s="68" t="n">
        <f aca="false">IFERROR(INDEX(المكونات!$C$2:$C$500,MATCH($B411,المكونات!$A$2:$A$500,0)),"")</f>
        <v>95</v>
      </c>
      <c r="F411" s="69" t="n">
        <f aca="false">IFERROR($C411*$E411,"")</f>
        <v>1.9</v>
      </c>
    </row>
    <row r="412" customFormat="false" ht="15" hidden="false" customHeight="true" outlineLevel="0" collapsed="false">
      <c r="A412" s="66" t="s">
        <v>507</v>
      </c>
      <c r="B412" s="66" t="s">
        <v>176</v>
      </c>
      <c r="C412" s="66" t="n">
        <v>1</v>
      </c>
      <c r="D412" s="67" t="str">
        <f aca="false">IFERROR(INDEX(المكونات!$B$2:$B$500,MATCH($B412,المكونات!$A$2:$A$500,0)),"")</f>
        <v>قطعة</v>
      </c>
      <c r="E412" s="68" t="n">
        <f aca="false">IFERROR(INDEX(المكونات!$C$2:$C$500,MATCH($B412,المكونات!$A$2:$A$500,0)),"")</f>
        <v>17.5</v>
      </c>
      <c r="F412" s="69" t="n">
        <f aca="false">IFERROR($C412*$E412,"")</f>
        <v>17.5</v>
      </c>
    </row>
    <row r="413" customFormat="false" ht="15" hidden="false" customHeight="true" outlineLevel="0" collapsed="false">
      <c r="A413" s="66" t="s">
        <v>507</v>
      </c>
      <c r="B413" s="66" t="s">
        <v>270</v>
      </c>
      <c r="C413" s="66" t="n">
        <v>1</v>
      </c>
      <c r="D413" s="67" t="str">
        <f aca="false">IFERROR(INDEX(المكونات!$B$2:$B$500,MATCH($B413,المكونات!$A$2:$A$500,0)),"")</f>
        <v>قطعة</v>
      </c>
      <c r="E413" s="68" t="n">
        <f aca="false">IFERROR(INDEX(المكونات!$C$2:$C$500,MATCH($B413,المكونات!$A$2:$A$500,0)),"")</f>
        <v>4.5</v>
      </c>
      <c r="F413" s="69" t="n">
        <f aca="false">IFERROR($C413*$E413,"")</f>
        <v>4.5</v>
      </c>
    </row>
    <row r="414" customFormat="false" ht="15" hidden="false" customHeight="true" outlineLevel="0" collapsed="false">
      <c r="A414" s="66" t="s">
        <v>507</v>
      </c>
      <c r="B414" s="66" t="s">
        <v>290</v>
      </c>
      <c r="C414" s="66" t="n">
        <v>2</v>
      </c>
      <c r="D414" s="67" t="str">
        <f aca="false">IFERROR(INDEX(المكونات!$B$2:$B$500,MATCH($B414,المكونات!$A$2:$A$500,0)),"")</f>
        <v>قطعة</v>
      </c>
      <c r="E414" s="68" t="n">
        <f aca="false">IFERROR(INDEX(المكونات!$C$2:$C$500,MATCH($B414,المكونات!$A$2:$A$500,0)),"")</f>
        <v>0.3</v>
      </c>
      <c r="F414" s="69" t="n">
        <f aca="false">IFERROR($C414*$E414,"")</f>
        <v>0.6</v>
      </c>
    </row>
    <row r="415" customFormat="false" ht="15" hidden="false" customHeight="true" outlineLevel="0" collapsed="false">
      <c r="A415" s="66" t="s">
        <v>507</v>
      </c>
      <c r="B415" s="66" t="s">
        <v>319</v>
      </c>
      <c r="C415" s="66" t="n">
        <v>1</v>
      </c>
      <c r="D415" s="67" t="str">
        <f aca="false">IFERROR(INDEX(المكونات!$B$2:$B$500,MATCH($B415,المكونات!$A$2:$A$500,0)),"")</f>
        <v>قطعة (ورقة)</v>
      </c>
      <c r="E415" s="68" t="n">
        <f aca="false">IFERROR(INDEX(المكونات!$C$2:$C$500,MATCH($B415,المكونات!$A$2:$A$500,0)),"")</f>
        <v>0.3665</v>
      </c>
      <c r="F415" s="69" t="n">
        <f aca="false">IFERROR($C415*$E415,"")</f>
        <v>0.3665</v>
      </c>
    </row>
    <row r="416" customFormat="false" ht="15" hidden="false" customHeight="true" outlineLevel="0" collapsed="false">
      <c r="A416" s="66" t="s">
        <v>507</v>
      </c>
      <c r="B416" s="66" t="s">
        <v>133</v>
      </c>
      <c r="C416" s="66" t="n">
        <v>1</v>
      </c>
      <c r="D416" s="67" t="str">
        <f aca="false">IFERROR(INDEX(المكونات!$B$2:$B$500,MATCH($B416,المكونات!$A$2:$A$500,0)),"")</f>
        <v>قطعة (كيس)</v>
      </c>
      <c r="E416" s="68" t="n">
        <f aca="false">IFERROR(INDEX(المكونات!$C$2:$C$500,MATCH($B416,المكونات!$A$2:$A$500,0)),"")</f>
        <v>1.4</v>
      </c>
      <c r="F416" s="69" t="n">
        <f aca="false">IFERROR($C416*$E416,"")</f>
        <v>1.4</v>
      </c>
    </row>
    <row r="417" customFormat="false" ht="15" hidden="false" customHeight="true" outlineLevel="0" collapsed="false">
      <c r="A417" s="66" t="s">
        <v>507</v>
      </c>
      <c r="B417" s="66" t="s">
        <v>293</v>
      </c>
      <c r="C417" s="66" t="n">
        <v>1</v>
      </c>
      <c r="D417" s="67" t="str">
        <f aca="false">IFERROR(INDEX(المكونات!$B$2:$B$500,MATCH($B417,المكونات!$A$2:$A$500,0)),"")</f>
        <v>قطعة</v>
      </c>
      <c r="E417" s="68" t="n">
        <f aca="false">IFERROR(INDEX(المكونات!$C$2:$C$500,MATCH($B417,المكونات!$A$2:$A$500,0)),"")</f>
        <v>0.5</v>
      </c>
      <c r="F417" s="69" t="n">
        <f aca="false">IFERROR($C417*$E417,"")</f>
        <v>0.5</v>
      </c>
    </row>
    <row r="418" customFormat="false" ht="15" hidden="false" customHeight="true" outlineLevel="0" collapsed="false">
      <c r="A418" s="66" t="s">
        <v>507</v>
      </c>
      <c r="B418" s="66" t="s">
        <v>211</v>
      </c>
      <c r="C418" s="66" t="n">
        <v>2</v>
      </c>
      <c r="D418" s="67" t="str">
        <f aca="false">IFERROR(INDEX(المكونات!$B$2:$B$500,MATCH($B418,المكونات!$A$2:$A$500,0)),"")</f>
        <v>قطعة (جلفز)</v>
      </c>
      <c r="E418" s="68" t="n">
        <f aca="false">IFERROR(INDEX(المكونات!$C$2:$C$500,MATCH($B418,المكونات!$A$2:$A$500,0)),"")</f>
        <v>0.18</v>
      </c>
      <c r="F418" s="69" t="n">
        <f aca="false">IFERROR($C418*$E418,"")</f>
        <v>0.36</v>
      </c>
    </row>
    <row r="419" customFormat="false" ht="15" hidden="false" customHeight="true" outlineLevel="0" collapsed="false">
      <c r="A419" s="66" t="s">
        <v>507</v>
      </c>
      <c r="B419" s="66" t="s">
        <v>322</v>
      </c>
      <c r="C419" s="66" t="n">
        <v>1</v>
      </c>
      <c r="D419" s="67" t="str">
        <f aca="false">IFERROR(INDEX(المكونات!$B$2:$B$500,MATCH($B419,المكونات!$A$2:$A$500,0)),"")</f>
        <v>قطعة (كيس)</v>
      </c>
      <c r="E419" s="68" t="n">
        <f aca="false">IFERROR(INDEX(المكونات!$C$2:$C$500,MATCH($B419,المكونات!$A$2:$A$500,0)),"")</f>
        <v>1</v>
      </c>
      <c r="F419" s="69" t="n">
        <f aca="false">IFERROR($C419*$E419,"")</f>
        <v>1</v>
      </c>
    </row>
    <row r="420" customFormat="false" ht="15" hidden="false" customHeight="true" outlineLevel="0" collapsed="false">
      <c r="A420" s="66" t="s">
        <v>507</v>
      </c>
      <c r="B420" s="66" t="s">
        <v>148</v>
      </c>
      <c r="C420" s="66" t="n">
        <v>1</v>
      </c>
      <c r="D420" s="67" t="str">
        <f aca="false">IFERROR(INDEX(المكونات!$B$2:$B$500,MATCH($B420,المكونات!$A$2:$A$500,0)),"")</f>
        <v>قطعة</v>
      </c>
      <c r="E420" s="68" t="n">
        <f aca="false">IFERROR(INDEX(المكونات!$C$2:$C$500,MATCH($B420,المكونات!$A$2:$A$500,0)),"")</f>
        <v>9</v>
      </c>
      <c r="F420" s="69" t="n">
        <f aca="false">IFERROR($C420*$E420,"")</f>
        <v>9</v>
      </c>
    </row>
    <row r="421" customFormat="false" ht="15" hidden="false" customHeight="true" outlineLevel="0" collapsed="false">
      <c r="A421" s="66" t="s">
        <v>507</v>
      </c>
      <c r="B421" s="66" t="s">
        <v>288</v>
      </c>
      <c r="C421" s="66" t="n">
        <v>2</v>
      </c>
      <c r="D421" s="67" t="str">
        <f aca="false">IFERROR(INDEX(المكونات!$B$2:$B$500,MATCH($B421,المكونات!$A$2:$A$500,0)),"")</f>
        <v>قطعة</v>
      </c>
      <c r="E421" s="68" t="n">
        <f aca="false">IFERROR(INDEX(المكونات!$C$2:$C$500,MATCH($B421,المكونات!$A$2:$A$500,0)),"")</f>
        <v>7</v>
      </c>
      <c r="F421" s="69" t="n">
        <f aca="false">IFERROR($C421*$E421,"")</f>
        <v>14</v>
      </c>
    </row>
    <row r="422" customFormat="false" ht="15" hidden="false" customHeight="true" outlineLevel="0" collapsed="false">
      <c r="A422" s="66" t="s">
        <v>507</v>
      </c>
      <c r="B422" s="66" t="s">
        <v>258</v>
      </c>
      <c r="C422" s="66" t="n">
        <v>0.1</v>
      </c>
      <c r="D422" s="67" t="str">
        <f aca="false">IFERROR(INDEX(المكونات!$B$2:$B$500,MATCH($B422,المكونات!$A$2:$A$500,0)),"")</f>
        <v>كجم</v>
      </c>
      <c r="E422" s="68" t="n">
        <f aca="false">IFERROR(INDEX(المكونات!$C$2:$C$500,MATCH($B422,المكونات!$A$2:$A$500,0)),"")</f>
        <v>140</v>
      </c>
      <c r="F422" s="69" t="n">
        <f aca="false">IFERROR($C422*$E422,"")</f>
        <v>14</v>
      </c>
    </row>
    <row r="423" customFormat="false" ht="15" hidden="false" customHeight="true" outlineLevel="0" collapsed="false">
      <c r="A423" s="66" t="s">
        <v>507</v>
      </c>
      <c r="B423" s="66" t="s">
        <v>176</v>
      </c>
      <c r="C423" s="66" t="n">
        <v>0.5</v>
      </c>
      <c r="D423" s="67" t="str">
        <f aca="false">IFERROR(INDEX(المكونات!$B$2:$B$500,MATCH($B423,المكونات!$A$2:$A$500,0)),"")</f>
        <v>قطعة</v>
      </c>
      <c r="E423" s="68" t="n">
        <f aca="false">IFERROR(INDEX(المكونات!$C$2:$C$500,MATCH($B423,المكونات!$A$2:$A$500,0)),"")</f>
        <v>17.5</v>
      </c>
      <c r="F423" s="69" t="n">
        <f aca="false">IFERROR($C423*$E423,"")</f>
        <v>8.75</v>
      </c>
    </row>
    <row r="424" customFormat="false" ht="15" hidden="false" customHeight="true" outlineLevel="0" collapsed="false">
      <c r="A424" s="66" t="s">
        <v>522</v>
      </c>
      <c r="B424" s="66" t="s">
        <v>264</v>
      </c>
      <c r="C424" s="66" t="n">
        <v>1.5</v>
      </c>
      <c r="D424" s="67" t="str">
        <f aca="false">IFERROR(INDEX(المكونات!$B$2:$B$500,MATCH($B424,المكونات!$A$2:$A$500,0)),"")</f>
        <v>قطعة</v>
      </c>
      <c r="E424" s="68" t="n">
        <f aca="false">IFERROR(INDEX(المكونات!$C$2:$C$500,MATCH($B424,المكونات!$A$2:$A$500,0)),"")</f>
        <v>4</v>
      </c>
      <c r="F424" s="69" t="n">
        <f aca="false">IFERROR($C424*$E424,"")</f>
        <v>6</v>
      </c>
    </row>
    <row r="425" customFormat="false" ht="15" hidden="false" customHeight="true" outlineLevel="0" collapsed="false">
      <c r="A425" s="66" t="s">
        <v>522</v>
      </c>
      <c r="B425" s="66" t="s">
        <v>260</v>
      </c>
      <c r="C425" s="66" t="n">
        <v>0.045</v>
      </c>
      <c r="D425" s="67" t="str">
        <f aca="false">IFERROR(INDEX(المكونات!$B$2:$B$500,MATCH($B425,المكونات!$A$2:$A$500,0)),"")</f>
        <v>كجم</v>
      </c>
      <c r="E425" s="68" t="n">
        <f aca="false">IFERROR(INDEX(المكونات!$C$2:$C$500,MATCH($B425,المكونات!$A$2:$A$500,0)),"")</f>
        <v>21</v>
      </c>
      <c r="F425" s="69" t="n">
        <f aca="false">IFERROR($C425*$E425,"")</f>
        <v>0.945</v>
      </c>
    </row>
    <row r="426" customFormat="false" ht="15" hidden="false" customHeight="true" outlineLevel="0" collapsed="false">
      <c r="A426" s="66" t="s">
        <v>522</v>
      </c>
      <c r="B426" s="66" t="s">
        <v>284</v>
      </c>
      <c r="C426" s="66" t="n">
        <v>0.03</v>
      </c>
      <c r="D426" s="67" t="str">
        <f aca="false">IFERROR(INDEX(المكونات!$B$2:$B$500,MATCH($B426,المكونات!$A$2:$A$500,0)),"")</f>
        <v>كجم</v>
      </c>
      <c r="E426" s="68" t="n">
        <f aca="false">IFERROR(INDEX(المكونات!$C$2:$C$500,MATCH($B426,المكونات!$A$2:$A$500,0)),"")</f>
        <v>27</v>
      </c>
      <c r="F426" s="69" t="n">
        <f aca="false">IFERROR($C426*$E426,"")</f>
        <v>0.81</v>
      </c>
    </row>
    <row r="427" customFormat="false" ht="15" hidden="false" customHeight="true" outlineLevel="0" collapsed="false">
      <c r="A427" s="66" t="s">
        <v>522</v>
      </c>
      <c r="B427" s="66" t="s">
        <v>227</v>
      </c>
      <c r="C427" s="66" t="n">
        <v>0.03</v>
      </c>
      <c r="D427" s="67" t="str">
        <f aca="false">IFERROR(INDEX(المكونات!$B$2:$B$500,MATCH($B427,المكونات!$A$2:$A$500,0)),"")</f>
        <v>كجم</v>
      </c>
      <c r="E427" s="68" t="n">
        <f aca="false">IFERROR(INDEX(المكونات!$C$2:$C$500,MATCH($B427,المكونات!$A$2:$A$500,0)),"")</f>
        <v>95</v>
      </c>
      <c r="F427" s="69" t="n">
        <f aca="false">IFERROR($C427*$E427,"")</f>
        <v>2.85</v>
      </c>
    </row>
    <row r="428" customFormat="false" ht="15" hidden="false" customHeight="true" outlineLevel="0" collapsed="false">
      <c r="A428" s="66" t="s">
        <v>522</v>
      </c>
      <c r="B428" s="66" t="s">
        <v>178</v>
      </c>
      <c r="C428" s="66" t="n">
        <v>1</v>
      </c>
      <c r="D428" s="67" t="str">
        <f aca="false">IFERROR(INDEX(المكونات!$B$2:$B$500,MATCH($B428,المكونات!$A$2:$A$500,0)),"")</f>
        <v>قطعة</v>
      </c>
      <c r="E428" s="68" t="n">
        <f aca="false">IFERROR(INDEX(المكونات!$C$2:$C$500,MATCH($B428,المكونات!$A$2:$A$500,0)),"")</f>
        <v>25</v>
      </c>
      <c r="F428" s="69" t="n">
        <f aca="false">IFERROR($C428*$E428,"")</f>
        <v>25</v>
      </c>
    </row>
    <row r="429" customFormat="false" ht="15" hidden="false" customHeight="true" outlineLevel="0" collapsed="false">
      <c r="A429" s="66" t="s">
        <v>522</v>
      </c>
      <c r="B429" s="66" t="s">
        <v>268</v>
      </c>
      <c r="C429" s="66" t="n">
        <v>1</v>
      </c>
      <c r="D429" s="67" t="str">
        <f aca="false">IFERROR(INDEX(المكونات!$B$2:$B$500,MATCH($B429,المكونات!$A$2:$A$500,0)),"")</f>
        <v>قطعة</v>
      </c>
      <c r="E429" s="68" t="n">
        <f aca="false">IFERROR(INDEX(المكونات!$C$2:$C$500,MATCH($B429,المكونات!$A$2:$A$500,0)),"")</f>
        <v>5.5</v>
      </c>
      <c r="F429" s="69" t="n">
        <f aca="false">IFERROR($C429*$E429,"")</f>
        <v>5.5</v>
      </c>
    </row>
    <row r="430" customFormat="false" ht="15" hidden="false" customHeight="true" outlineLevel="0" collapsed="false">
      <c r="A430" s="66" t="s">
        <v>522</v>
      </c>
      <c r="B430" s="66" t="s">
        <v>290</v>
      </c>
      <c r="C430" s="66" t="n">
        <v>3</v>
      </c>
      <c r="D430" s="67" t="str">
        <f aca="false">IFERROR(INDEX(المكونات!$B$2:$B$500,MATCH($B430,المكونات!$A$2:$A$500,0)),"")</f>
        <v>قطعة</v>
      </c>
      <c r="E430" s="68" t="n">
        <f aca="false">IFERROR(INDEX(المكونات!$C$2:$C$500,MATCH($B430,المكونات!$A$2:$A$500,0)),"")</f>
        <v>0.3</v>
      </c>
      <c r="F430" s="69" t="n">
        <f aca="false">IFERROR($C430*$E430,"")</f>
        <v>0.9</v>
      </c>
    </row>
    <row r="431" customFormat="false" ht="15" hidden="false" customHeight="true" outlineLevel="0" collapsed="false">
      <c r="A431" s="66" t="s">
        <v>522</v>
      </c>
      <c r="B431" s="66" t="s">
        <v>319</v>
      </c>
      <c r="C431" s="66" t="n">
        <v>1</v>
      </c>
      <c r="D431" s="67" t="str">
        <f aca="false">IFERROR(INDEX(المكونات!$B$2:$B$500,MATCH($B431,المكونات!$A$2:$A$500,0)),"")</f>
        <v>قطعة (ورقة)</v>
      </c>
      <c r="E431" s="68" t="n">
        <f aca="false">IFERROR(INDEX(المكونات!$C$2:$C$500,MATCH($B431,المكونات!$A$2:$A$500,0)),"")</f>
        <v>0.3665</v>
      </c>
      <c r="F431" s="69" t="n">
        <f aca="false">IFERROR($C431*$E431,"")</f>
        <v>0.3665</v>
      </c>
    </row>
    <row r="432" customFormat="false" ht="15" hidden="false" customHeight="true" outlineLevel="0" collapsed="false">
      <c r="A432" s="66" t="s">
        <v>522</v>
      </c>
      <c r="B432" s="66" t="s">
        <v>133</v>
      </c>
      <c r="C432" s="66" t="n">
        <v>1</v>
      </c>
      <c r="D432" s="67" t="str">
        <f aca="false">IFERROR(INDEX(المكونات!$B$2:$B$500,MATCH($B432,المكونات!$A$2:$A$500,0)),"")</f>
        <v>قطعة (كيس)</v>
      </c>
      <c r="E432" s="68" t="n">
        <f aca="false">IFERROR(INDEX(المكونات!$C$2:$C$500,MATCH($B432,المكونات!$A$2:$A$500,0)),"")</f>
        <v>1.4</v>
      </c>
      <c r="F432" s="69" t="n">
        <f aca="false">IFERROR($C432*$E432,"")</f>
        <v>1.4</v>
      </c>
    </row>
    <row r="433" customFormat="false" ht="15" hidden="false" customHeight="true" outlineLevel="0" collapsed="false">
      <c r="A433" s="66" t="s">
        <v>522</v>
      </c>
      <c r="B433" s="66" t="s">
        <v>293</v>
      </c>
      <c r="C433" s="66" t="n">
        <v>1</v>
      </c>
      <c r="D433" s="67" t="str">
        <f aca="false">IFERROR(INDEX(المكونات!$B$2:$B$500,MATCH($B433,المكونات!$A$2:$A$500,0)),"")</f>
        <v>قطعة</v>
      </c>
      <c r="E433" s="68" t="n">
        <f aca="false">IFERROR(INDEX(المكونات!$C$2:$C$500,MATCH($B433,المكونات!$A$2:$A$500,0)),"")</f>
        <v>0.5</v>
      </c>
      <c r="F433" s="69" t="n">
        <f aca="false">IFERROR($C433*$E433,"")</f>
        <v>0.5</v>
      </c>
    </row>
    <row r="434" customFormat="false" ht="15" hidden="false" customHeight="true" outlineLevel="0" collapsed="false">
      <c r="A434" s="66" t="s">
        <v>522</v>
      </c>
      <c r="B434" s="66" t="s">
        <v>211</v>
      </c>
      <c r="C434" s="66" t="n">
        <v>2</v>
      </c>
      <c r="D434" s="67" t="str">
        <f aca="false">IFERROR(INDEX(المكونات!$B$2:$B$500,MATCH($B434,المكونات!$A$2:$A$500,0)),"")</f>
        <v>قطعة (جلفز)</v>
      </c>
      <c r="E434" s="68" t="n">
        <f aca="false">IFERROR(INDEX(المكونات!$C$2:$C$500,MATCH($B434,المكونات!$A$2:$A$500,0)),"")</f>
        <v>0.18</v>
      </c>
      <c r="F434" s="69" t="n">
        <f aca="false">IFERROR($C434*$E434,"")</f>
        <v>0.36</v>
      </c>
    </row>
    <row r="435" customFormat="false" ht="15" hidden="false" customHeight="true" outlineLevel="0" collapsed="false">
      <c r="A435" s="66" t="s">
        <v>522</v>
      </c>
      <c r="B435" s="66" t="s">
        <v>322</v>
      </c>
      <c r="C435" s="66" t="n">
        <v>1</v>
      </c>
      <c r="D435" s="67" t="str">
        <f aca="false">IFERROR(INDEX(المكونات!$B$2:$B$500,MATCH($B435,المكونات!$A$2:$A$500,0)),"")</f>
        <v>قطعة (كيس)</v>
      </c>
      <c r="E435" s="68" t="n">
        <f aca="false">IFERROR(INDEX(المكونات!$C$2:$C$500,MATCH($B435,المكونات!$A$2:$A$500,0)),"")</f>
        <v>1</v>
      </c>
      <c r="F435" s="69" t="n">
        <f aca="false">IFERROR($C435*$E435,"")</f>
        <v>1</v>
      </c>
    </row>
    <row r="436" customFormat="false" ht="15" hidden="false" customHeight="true" outlineLevel="0" collapsed="false">
      <c r="A436" s="66" t="s">
        <v>522</v>
      </c>
      <c r="B436" s="66" t="s">
        <v>148</v>
      </c>
      <c r="C436" s="66" t="n">
        <v>1.5</v>
      </c>
      <c r="D436" s="67" t="str">
        <f aca="false">IFERROR(INDEX(المكونات!$B$2:$B$500,MATCH($B436,المكونات!$A$2:$A$500,0)),"")</f>
        <v>قطعة</v>
      </c>
      <c r="E436" s="68" t="n">
        <f aca="false">IFERROR(INDEX(المكونات!$C$2:$C$500,MATCH($B436,المكونات!$A$2:$A$500,0)),"")</f>
        <v>9</v>
      </c>
      <c r="F436" s="69" t="n">
        <f aca="false">IFERROR($C436*$E436,"")</f>
        <v>13.5</v>
      </c>
    </row>
    <row r="437" customFormat="false" ht="15" hidden="false" customHeight="true" outlineLevel="0" collapsed="false">
      <c r="A437" s="66" t="s">
        <v>522</v>
      </c>
      <c r="B437" s="66" t="s">
        <v>288</v>
      </c>
      <c r="C437" s="66" t="n">
        <v>3</v>
      </c>
      <c r="D437" s="67" t="str">
        <f aca="false">IFERROR(INDEX(المكونات!$B$2:$B$500,MATCH($B437,المكونات!$A$2:$A$500,0)),"")</f>
        <v>قطعة</v>
      </c>
      <c r="E437" s="68" t="n">
        <f aca="false">IFERROR(INDEX(المكونات!$C$2:$C$500,MATCH($B437,المكونات!$A$2:$A$500,0)),"")</f>
        <v>7</v>
      </c>
      <c r="F437" s="69" t="n">
        <f aca="false">IFERROR($C437*$E437,"")</f>
        <v>21</v>
      </c>
    </row>
    <row r="438" customFormat="false" ht="15" hidden="false" customHeight="true" outlineLevel="0" collapsed="false">
      <c r="A438" s="66" t="s">
        <v>522</v>
      </c>
      <c r="B438" s="66" t="s">
        <v>258</v>
      </c>
      <c r="C438" s="66" t="n">
        <v>0.15</v>
      </c>
      <c r="D438" s="67" t="str">
        <f aca="false">IFERROR(INDEX(المكونات!$B$2:$B$500,MATCH($B438,المكونات!$A$2:$A$500,0)),"")</f>
        <v>كجم</v>
      </c>
      <c r="E438" s="68" t="n">
        <f aca="false">IFERROR(INDEX(المكونات!$C$2:$C$500,MATCH($B438,المكونات!$A$2:$A$500,0)),"")</f>
        <v>140</v>
      </c>
      <c r="F438" s="69" t="n">
        <f aca="false">IFERROR($C438*$E438,"")</f>
        <v>21</v>
      </c>
    </row>
    <row r="439" customFormat="false" ht="15" hidden="false" customHeight="true" outlineLevel="0" collapsed="false">
      <c r="A439" s="66" t="s">
        <v>522</v>
      </c>
      <c r="B439" s="66" t="s">
        <v>178</v>
      </c>
      <c r="C439" s="66" t="n">
        <v>0.5</v>
      </c>
      <c r="D439" s="67" t="str">
        <f aca="false">IFERROR(INDEX(المكونات!$B$2:$B$500,MATCH($B439,المكونات!$A$2:$A$500,0)),"")</f>
        <v>قطعة</v>
      </c>
      <c r="E439" s="68" t="n">
        <f aca="false">IFERROR(INDEX(المكونات!$C$2:$C$500,MATCH($B439,المكونات!$A$2:$A$500,0)),"")</f>
        <v>25</v>
      </c>
      <c r="F439" s="69" t="n">
        <f aca="false">IFERROR($C439*$E439,"")</f>
        <v>12.5</v>
      </c>
    </row>
    <row r="440" customFormat="false" ht="15" hidden="false" customHeight="true" outlineLevel="0" collapsed="false">
      <c r="A440" s="66" t="s">
        <v>461</v>
      </c>
      <c r="B440" s="66" t="s">
        <v>264</v>
      </c>
      <c r="C440" s="66" t="n">
        <v>1</v>
      </c>
      <c r="D440" s="67" t="str">
        <f aca="false">IFERROR(INDEX(المكونات!$B$2:$B$500,MATCH($B440,المكونات!$A$2:$A$500,0)),"")</f>
        <v>قطعة</v>
      </c>
      <c r="E440" s="68" t="n">
        <f aca="false">IFERROR(INDEX(المكونات!$C$2:$C$500,MATCH($B440,المكونات!$A$2:$A$500,0)),"")</f>
        <v>4</v>
      </c>
      <c r="F440" s="69" t="n">
        <f aca="false">IFERROR($C440*$E440,"")</f>
        <v>4</v>
      </c>
    </row>
    <row r="441" customFormat="false" ht="15" hidden="false" customHeight="true" outlineLevel="0" collapsed="false">
      <c r="A441" s="66" t="s">
        <v>461</v>
      </c>
      <c r="B441" s="66" t="s">
        <v>260</v>
      </c>
      <c r="C441" s="66" t="n">
        <v>0.03</v>
      </c>
      <c r="D441" s="67" t="str">
        <f aca="false">IFERROR(INDEX(المكونات!$B$2:$B$500,MATCH($B441,المكونات!$A$2:$A$500,0)),"")</f>
        <v>كجم</v>
      </c>
      <c r="E441" s="68" t="n">
        <f aca="false">IFERROR(INDEX(المكونات!$C$2:$C$500,MATCH($B441,المكونات!$A$2:$A$500,0)),"")</f>
        <v>21</v>
      </c>
      <c r="F441" s="69" t="n">
        <f aca="false">IFERROR($C441*$E441,"")</f>
        <v>0.63</v>
      </c>
    </row>
    <row r="442" customFormat="false" ht="15" hidden="false" customHeight="true" outlineLevel="0" collapsed="false">
      <c r="A442" s="66" t="s">
        <v>461</v>
      </c>
      <c r="B442" s="66" t="s">
        <v>284</v>
      </c>
      <c r="C442" s="66" t="n">
        <v>0.02</v>
      </c>
      <c r="D442" s="67" t="str">
        <f aca="false">IFERROR(INDEX(المكونات!$B$2:$B$500,MATCH($B442,المكونات!$A$2:$A$500,0)),"")</f>
        <v>كجم</v>
      </c>
      <c r="E442" s="68" t="n">
        <f aca="false">IFERROR(INDEX(المكونات!$C$2:$C$500,MATCH($B442,المكونات!$A$2:$A$500,0)),"")</f>
        <v>27</v>
      </c>
      <c r="F442" s="69" t="n">
        <f aca="false">IFERROR($C442*$E442,"")</f>
        <v>0.54</v>
      </c>
    </row>
    <row r="443" customFormat="false" ht="15" hidden="false" customHeight="true" outlineLevel="0" collapsed="false">
      <c r="A443" s="66" t="s">
        <v>461</v>
      </c>
      <c r="B443" s="66" t="s">
        <v>227</v>
      </c>
      <c r="C443" s="66" t="n">
        <v>0.02</v>
      </c>
      <c r="D443" s="67" t="str">
        <f aca="false">IFERROR(INDEX(المكونات!$B$2:$B$500,MATCH($B443,المكونات!$A$2:$A$500,0)),"")</f>
        <v>كجم</v>
      </c>
      <c r="E443" s="68" t="n">
        <f aca="false">IFERROR(INDEX(المكونات!$C$2:$C$500,MATCH($B443,المكونات!$A$2:$A$500,0)),"")</f>
        <v>95</v>
      </c>
      <c r="F443" s="69" t="n">
        <f aca="false">IFERROR($C443*$E443,"")</f>
        <v>1.9</v>
      </c>
    </row>
    <row r="444" customFormat="false" ht="15" hidden="false" customHeight="true" outlineLevel="0" collapsed="false">
      <c r="A444" s="66" t="s">
        <v>461</v>
      </c>
      <c r="B444" s="66" t="s">
        <v>176</v>
      </c>
      <c r="C444" s="66" t="n">
        <v>1</v>
      </c>
      <c r="D444" s="67" t="str">
        <f aca="false">IFERROR(INDEX(المكونات!$B$2:$B$500,MATCH($B444,المكونات!$A$2:$A$500,0)),"")</f>
        <v>قطعة</v>
      </c>
      <c r="E444" s="68" t="n">
        <f aca="false">IFERROR(INDEX(المكونات!$C$2:$C$500,MATCH($B444,المكونات!$A$2:$A$500,0)),"")</f>
        <v>17.5</v>
      </c>
      <c r="F444" s="69" t="n">
        <f aca="false">IFERROR($C444*$E444,"")</f>
        <v>17.5</v>
      </c>
    </row>
    <row r="445" customFormat="false" ht="15" hidden="false" customHeight="true" outlineLevel="0" collapsed="false">
      <c r="A445" s="66" t="s">
        <v>461</v>
      </c>
      <c r="B445" s="66" t="s">
        <v>270</v>
      </c>
      <c r="C445" s="66" t="n">
        <v>1</v>
      </c>
      <c r="D445" s="67" t="str">
        <f aca="false">IFERROR(INDEX(المكونات!$B$2:$B$500,MATCH($B445,المكونات!$A$2:$A$500,0)),"")</f>
        <v>قطعة</v>
      </c>
      <c r="E445" s="68" t="n">
        <f aca="false">IFERROR(INDEX(المكونات!$C$2:$C$500,MATCH($B445,المكونات!$A$2:$A$500,0)),"")</f>
        <v>4.5</v>
      </c>
      <c r="F445" s="69" t="n">
        <f aca="false">IFERROR($C445*$E445,"")</f>
        <v>4.5</v>
      </c>
    </row>
    <row r="446" customFormat="false" ht="15" hidden="false" customHeight="true" outlineLevel="0" collapsed="false">
      <c r="A446" s="66" t="s">
        <v>461</v>
      </c>
      <c r="B446" s="66" t="s">
        <v>290</v>
      </c>
      <c r="C446" s="66" t="n">
        <v>2</v>
      </c>
      <c r="D446" s="67" t="str">
        <f aca="false">IFERROR(INDEX(المكونات!$B$2:$B$500,MATCH($B446,المكونات!$A$2:$A$500,0)),"")</f>
        <v>قطعة</v>
      </c>
      <c r="E446" s="68" t="n">
        <f aca="false">IFERROR(INDEX(المكونات!$C$2:$C$500,MATCH($B446,المكونات!$A$2:$A$500,0)),"")</f>
        <v>0.3</v>
      </c>
      <c r="F446" s="69" t="n">
        <f aca="false">IFERROR($C446*$E446,"")</f>
        <v>0.6</v>
      </c>
    </row>
    <row r="447" customFormat="false" ht="15" hidden="false" customHeight="true" outlineLevel="0" collapsed="false">
      <c r="A447" s="66" t="s">
        <v>461</v>
      </c>
      <c r="B447" s="66" t="s">
        <v>319</v>
      </c>
      <c r="C447" s="66" t="n">
        <v>1</v>
      </c>
      <c r="D447" s="67" t="str">
        <f aca="false">IFERROR(INDEX(المكونات!$B$2:$B$500,MATCH($B447,المكونات!$A$2:$A$500,0)),"")</f>
        <v>قطعة (ورقة)</v>
      </c>
      <c r="E447" s="68" t="n">
        <f aca="false">IFERROR(INDEX(المكونات!$C$2:$C$500,MATCH($B447,المكونات!$A$2:$A$500,0)),"")</f>
        <v>0.3665</v>
      </c>
      <c r="F447" s="69" t="n">
        <f aca="false">IFERROR($C447*$E447,"")</f>
        <v>0.3665</v>
      </c>
    </row>
    <row r="448" customFormat="false" ht="15" hidden="false" customHeight="true" outlineLevel="0" collapsed="false">
      <c r="A448" s="66" t="s">
        <v>461</v>
      </c>
      <c r="B448" s="66" t="s">
        <v>133</v>
      </c>
      <c r="C448" s="66" t="n">
        <v>1</v>
      </c>
      <c r="D448" s="67" t="str">
        <f aca="false">IFERROR(INDEX(المكونات!$B$2:$B$500,MATCH($B448,المكونات!$A$2:$A$500,0)),"")</f>
        <v>قطعة (كيس)</v>
      </c>
      <c r="E448" s="68" t="n">
        <f aca="false">IFERROR(INDEX(المكونات!$C$2:$C$500,MATCH($B448,المكونات!$A$2:$A$500,0)),"")</f>
        <v>1.4</v>
      </c>
      <c r="F448" s="69" t="n">
        <f aca="false">IFERROR($C448*$E448,"")</f>
        <v>1.4</v>
      </c>
    </row>
    <row r="449" customFormat="false" ht="15" hidden="false" customHeight="true" outlineLevel="0" collapsed="false">
      <c r="A449" s="66" t="s">
        <v>461</v>
      </c>
      <c r="B449" s="66" t="s">
        <v>293</v>
      </c>
      <c r="C449" s="66" t="n">
        <v>1</v>
      </c>
      <c r="D449" s="67" t="str">
        <f aca="false">IFERROR(INDEX(المكونات!$B$2:$B$500,MATCH($B449,المكونات!$A$2:$A$500,0)),"")</f>
        <v>قطعة</v>
      </c>
      <c r="E449" s="68" t="n">
        <f aca="false">IFERROR(INDEX(المكونات!$C$2:$C$500,MATCH($B449,المكونات!$A$2:$A$500,0)),"")</f>
        <v>0.5</v>
      </c>
      <c r="F449" s="69" t="n">
        <f aca="false">IFERROR($C449*$E449,"")</f>
        <v>0.5</v>
      </c>
    </row>
    <row r="450" customFormat="false" ht="15" hidden="false" customHeight="true" outlineLevel="0" collapsed="false">
      <c r="A450" s="66" t="s">
        <v>461</v>
      </c>
      <c r="B450" s="66" t="s">
        <v>211</v>
      </c>
      <c r="C450" s="66" t="n">
        <v>2</v>
      </c>
      <c r="D450" s="67" t="str">
        <f aca="false">IFERROR(INDEX(المكونات!$B$2:$B$500,MATCH($B450,المكونات!$A$2:$A$500,0)),"")</f>
        <v>قطعة (جلفز)</v>
      </c>
      <c r="E450" s="68" t="n">
        <f aca="false">IFERROR(INDEX(المكونات!$C$2:$C$500,MATCH($B450,المكونات!$A$2:$A$500,0)),"")</f>
        <v>0.18</v>
      </c>
      <c r="F450" s="69" t="n">
        <f aca="false">IFERROR($C450*$E450,"")</f>
        <v>0.36</v>
      </c>
    </row>
    <row r="451" customFormat="false" ht="15" hidden="false" customHeight="true" outlineLevel="0" collapsed="false">
      <c r="A451" s="66" t="s">
        <v>461</v>
      </c>
      <c r="B451" s="66" t="s">
        <v>322</v>
      </c>
      <c r="C451" s="66" t="n">
        <v>1</v>
      </c>
      <c r="D451" s="67" t="str">
        <f aca="false">IFERROR(INDEX(المكونات!$B$2:$B$500,MATCH($B451,المكونات!$A$2:$A$500,0)),"")</f>
        <v>قطعة (كيس)</v>
      </c>
      <c r="E451" s="68" t="n">
        <f aca="false">IFERROR(INDEX(المكونات!$C$2:$C$500,MATCH($B451,المكونات!$A$2:$A$500,0)),"")</f>
        <v>1</v>
      </c>
      <c r="F451" s="69" t="n">
        <f aca="false">IFERROR($C451*$E451,"")</f>
        <v>1</v>
      </c>
    </row>
    <row r="452" customFormat="false" ht="15" hidden="false" customHeight="true" outlineLevel="0" collapsed="false">
      <c r="A452" s="66" t="s">
        <v>461</v>
      </c>
      <c r="B452" s="66" t="s">
        <v>158</v>
      </c>
      <c r="C452" s="66" t="n">
        <v>1</v>
      </c>
      <c r="D452" s="67" t="str">
        <f aca="false">IFERROR(INDEX(المكونات!$B$2:$B$500,MATCH($B452,المكونات!$A$2:$A$500,0)),"")</f>
        <v>قطعة</v>
      </c>
      <c r="E452" s="68" t="n">
        <f aca="false">IFERROR(INDEX(المكونات!$C$2:$C$500,MATCH($B452,المكونات!$A$2:$A$500,0)),"")</f>
        <v>33.982</v>
      </c>
      <c r="F452" s="69" t="n">
        <f aca="false">IFERROR($C452*$E452,"")</f>
        <v>33.982</v>
      </c>
    </row>
    <row r="453" customFormat="false" ht="15" hidden="false" customHeight="true" outlineLevel="0" collapsed="false">
      <c r="A453" s="66" t="s">
        <v>461</v>
      </c>
      <c r="B453" s="66" t="s">
        <v>256</v>
      </c>
      <c r="C453" s="66" t="n">
        <v>0.1</v>
      </c>
      <c r="D453" s="67" t="str">
        <f aca="false">IFERROR(INDEX(المكونات!$B$2:$B$500,MATCH($B453,المكونات!$A$2:$A$500,0)),"")</f>
        <v>كجم</v>
      </c>
      <c r="E453" s="68" t="n">
        <f aca="false">IFERROR(INDEX(المكونات!$C$2:$C$500,MATCH($B453,المكونات!$A$2:$A$500,0)),"")</f>
        <v>105</v>
      </c>
      <c r="F453" s="69" t="n">
        <f aca="false">IFERROR($C453*$E453,"")</f>
        <v>10.5</v>
      </c>
    </row>
    <row r="454" customFormat="false" ht="15" hidden="false" customHeight="true" outlineLevel="0" collapsed="false">
      <c r="A454" s="66" t="s">
        <v>447</v>
      </c>
      <c r="B454" s="66" t="s">
        <v>264</v>
      </c>
      <c r="C454" s="66" t="n">
        <v>1.5</v>
      </c>
      <c r="D454" s="67" t="str">
        <f aca="false">IFERROR(INDEX(المكونات!$B$2:$B$500,MATCH($B454,المكونات!$A$2:$A$500,0)),"")</f>
        <v>قطعة</v>
      </c>
      <c r="E454" s="68" t="n">
        <f aca="false">IFERROR(INDEX(المكونات!$C$2:$C$500,MATCH($B454,المكونات!$A$2:$A$500,0)),"")</f>
        <v>4</v>
      </c>
      <c r="F454" s="69" t="n">
        <f aca="false">IFERROR($C454*$E454,"")</f>
        <v>6</v>
      </c>
    </row>
    <row r="455" customFormat="false" ht="15" hidden="false" customHeight="true" outlineLevel="0" collapsed="false">
      <c r="A455" s="66" t="s">
        <v>447</v>
      </c>
      <c r="B455" s="66" t="s">
        <v>260</v>
      </c>
      <c r="C455" s="66" t="n">
        <v>0.045</v>
      </c>
      <c r="D455" s="67" t="str">
        <f aca="false">IFERROR(INDEX(المكونات!$B$2:$B$500,MATCH($B455,المكونات!$A$2:$A$500,0)),"")</f>
        <v>كجم</v>
      </c>
      <c r="E455" s="68" t="n">
        <f aca="false">IFERROR(INDEX(المكونات!$C$2:$C$500,MATCH($B455,المكونات!$A$2:$A$500,0)),"")</f>
        <v>21</v>
      </c>
      <c r="F455" s="69" t="n">
        <f aca="false">IFERROR($C455*$E455,"")</f>
        <v>0.945</v>
      </c>
    </row>
    <row r="456" customFormat="false" ht="15" hidden="false" customHeight="true" outlineLevel="0" collapsed="false">
      <c r="A456" s="66" t="s">
        <v>447</v>
      </c>
      <c r="B456" s="66" t="s">
        <v>284</v>
      </c>
      <c r="C456" s="66" t="n">
        <v>0.03</v>
      </c>
      <c r="D456" s="67" t="str">
        <f aca="false">IFERROR(INDEX(المكونات!$B$2:$B$500,MATCH($B456,المكونات!$A$2:$A$500,0)),"")</f>
        <v>كجم</v>
      </c>
      <c r="E456" s="68" t="n">
        <f aca="false">IFERROR(INDEX(المكونات!$C$2:$C$500,MATCH($B456,المكونات!$A$2:$A$500,0)),"")</f>
        <v>27</v>
      </c>
      <c r="F456" s="69" t="n">
        <f aca="false">IFERROR($C456*$E456,"")</f>
        <v>0.81</v>
      </c>
    </row>
    <row r="457" customFormat="false" ht="15" hidden="false" customHeight="true" outlineLevel="0" collapsed="false">
      <c r="A457" s="66" t="s">
        <v>447</v>
      </c>
      <c r="B457" s="66" t="s">
        <v>227</v>
      </c>
      <c r="C457" s="66" t="n">
        <v>0.03</v>
      </c>
      <c r="D457" s="67" t="str">
        <f aca="false">IFERROR(INDEX(المكونات!$B$2:$B$500,MATCH($B457,المكونات!$A$2:$A$500,0)),"")</f>
        <v>كجم</v>
      </c>
      <c r="E457" s="68" t="n">
        <f aca="false">IFERROR(INDEX(المكونات!$C$2:$C$500,MATCH($B457,المكونات!$A$2:$A$500,0)),"")</f>
        <v>95</v>
      </c>
      <c r="F457" s="69" t="n">
        <f aca="false">IFERROR($C457*$E457,"")</f>
        <v>2.85</v>
      </c>
    </row>
    <row r="458" customFormat="false" ht="15" hidden="false" customHeight="true" outlineLevel="0" collapsed="false">
      <c r="A458" s="66" t="s">
        <v>447</v>
      </c>
      <c r="B458" s="66" t="s">
        <v>178</v>
      </c>
      <c r="C458" s="66" t="n">
        <v>1</v>
      </c>
      <c r="D458" s="67" t="str">
        <f aca="false">IFERROR(INDEX(المكونات!$B$2:$B$500,MATCH($B458,المكونات!$A$2:$A$500,0)),"")</f>
        <v>قطعة</v>
      </c>
      <c r="E458" s="68" t="n">
        <f aca="false">IFERROR(INDEX(المكونات!$C$2:$C$500,MATCH($B458,المكونات!$A$2:$A$500,0)),"")</f>
        <v>25</v>
      </c>
      <c r="F458" s="69" t="n">
        <f aca="false">IFERROR($C458*$E458,"")</f>
        <v>25</v>
      </c>
    </row>
    <row r="459" customFormat="false" ht="15" hidden="false" customHeight="true" outlineLevel="0" collapsed="false">
      <c r="A459" s="66" t="s">
        <v>447</v>
      </c>
      <c r="B459" s="66" t="s">
        <v>268</v>
      </c>
      <c r="C459" s="66" t="n">
        <v>1</v>
      </c>
      <c r="D459" s="67" t="str">
        <f aca="false">IFERROR(INDEX(المكونات!$B$2:$B$500,MATCH($B459,المكونات!$A$2:$A$500,0)),"")</f>
        <v>قطعة</v>
      </c>
      <c r="E459" s="68" t="n">
        <f aca="false">IFERROR(INDEX(المكونات!$C$2:$C$500,MATCH($B459,المكونات!$A$2:$A$500,0)),"")</f>
        <v>5.5</v>
      </c>
      <c r="F459" s="69" t="n">
        <f aca="false">IFERROR($C459*$E459,"")</f>
        <v>5.5</v>
      </c>
    </row>
    <row r="460" customFormat="false" ht="15" hidden="false" customHeight="true" outlineLevel="0" collapsed="false">
      <c r="A460" s="66" t="s">
        <v>447</v>
      </c>
      <c r="B460" s="66" t="s">
        <v>290</v>
      </c>
      <c r="C460" s="66" t="n">
        <v>3</v>
      </c>
      <c r="D460" s="67" t="str">
        <f aca="false">IFERROR(INDEX(المكونات!$B$2:$B$500,MATCH($B460,المكونات!$A$2:$A$500,0)),"")</f>
        <v>قطعة</v>
      </c>
      <c r="E460" s="68" t="n">
        <f aca="false">IFERROR(INDEX(المكونات!$C$2:$C$500,MATCH($B460,المكونات!$A$2:$A$500,0)),"")</f>
        <v>0.3</v>
      </c>
      <c r="F460" s="69" t="n">
        <f aca="false">IFERROR($C460*$E460,"")</f>
        <v>0.9</v>
      </c>
    </row>
    <row r="461" customFormat="false" ht="15" hidden="false" customHeight="true" outlineLevel="0" collapsed="false">
      <c r="A461" s="66" t="s">
        <v>447</v>
      </c>
      <c r="B461" s="66" t="s">
        <v>319</v>
      </c>
      <c r="C461" s="66" t="n">
        <v>1</v>
      </c>
      <c r="D461" s="67" t="str">
        <f aca="false">IFERROR(INDEX(المكونات!$B$2:$B$500,MATCH($B461,المكونات!$A$2:$A$500,0)),"")</f>
        <v>قطعة (ورقة)</v>
      </c>
      <c r="E461" s="68" t="n">
        <f aca="false">IFERROR(INDEX(المكونات!$C$2:$C$500,MATCH($B461,المكونات!$A$2:$A$500,0)),"")</f>
        <v>0.3665</v>
      </c>
      <c r="F461" s="69" t="n">
        <f aca="false">IFERROR($C461*$E461,"")</f>
        <v>0.3665</v>
      </c>
    </row>
    <row r="462" customFormat="false" ht="15" hidden="false" customHeight="true" outlineLevel="0" collapsed="false">
      <c r="A462" s="66" t="s">
        <v>447</v>
      </c>
      <c r="B462" s="66" t="s">
        <v>133</v>
      </c>
      <c r="C462" s="66" t="n">
        <v>1</v>
      </c>
      <c r="D462" s="67" t="str">
        <f aca="false">IFERROR(INDEX(المكونات!$B$2:$B$500,MATCH($B462,المكونات!$A$2:$A$500,0)),"")</f>
        <v>قطعة (كيس)</v>
      </c>
      <c r="E462" s="68" t="n">
        <f aca="false">IFERROR(INDEX(المكونات!$C$2:$C$500,MATCH($B462,المكونات!$A$2:$A$500,0)),"")</f>
        <v>1.4</v>
      </c>
      <c r="F462" s="69" t="n">
        <f aca="false">IFERROR($C462*$E462,"")</f>
        <v>1.4</v>
      </c>
    </row>
    <row r="463" customFormat="false" ht="15" hidden="false" customHeight="true" outlineLevel="0" collapsed="false">
      <c r="A463" s="66" t="s">
        <v>447</v>
      </c>
      <c r="B463" s="66" t="s">
        <v>293</v>
      </c>
      <c r="C463" s="66" t="n">
        <v>1</v>
      </c>
      <c r="D463" s="67" t="str">
        <f aca="false">IFERROR(INDEX(المكونات!$B$2:$B$500,MATCH($B463,المكونات!$A$2:$A$500,0)),"")</f>
        <v>قطعة</v>
      </c>
      <c r="E463" s="68" t="n">
        <f aca="false">IFERROR(INDEX(المكونات!$C$2:$C$500,MATCH($B463,المكونات!$A$2:$A$500,0)),"")</f>
        <v>0.5</v>
      </c>
      <c r="F463" s="69" t="n">
        <f aca="false">IFERROR($C463*$E463,"")</f>
        <v>0.5</v>
      </c>
    </row>
    <row r="464" customFormat="false" ht="15" hidden="false" customHeight="true" outlineLevel="0" collapsed="false">
      <c r="A464" s="66" t="s">
        <v>447</v>
      </c>
      <c r="B464" s="66" t="s">
        <v>211</v>
      </c>
      <c r="C464" s="66" t="n">
        <v>2</v>
      </c>
      <c r="D464" s="67" t="str">
        <f aca="false">IFERROR(INDEX(المكونات!$B$2:$B$500,MATCH($B464,المكونات!$A$2:$A$500,0)),"")</f>
        <v>قطعة (جلفز)</v>
      </c>
      <c r="E464" s="68" t="n">
        <f aca="false">IFERROR(INDEX(المكونات!$C$2:$C$500,MATCH($B464,المكونات!$A$2:$A$500,0)),"")</f>
        <v>0.18</v>
      </c>
      <c r="F464" s="69" t="n">
        <f aca="false">IFERROR($C464*$E464,"")</f>
        <v>0.36</v>
      </c>
    </row>
    <row r="465" customFormat="false" ht="15" hidden="false" customHeight="true" outlineLevel="0" collapsed="false">
      <c r="A465" s="66" t="s">
        <v>447</v>
      </c>
      <c r="B465" s="66" t="s">
        <v>322</v>
      </c>
      <c r="C465" s="66" t="n">
        <v>1</v>
      </c>
      <c r="D465" s="67" t="str">
        <f aca="false">IFERROR(INDEX(المكونات!$B$2:$B$500,MATCH($B465,المكونات!$A$2:$A$500,0)),"")</f>
        <v>قطعة (كيس)</v>
      </c>
      <c r="E465" s="68" t="n">
        <f aca="false">IFERROR(INDEX(المكونات!$C$2:$C$500,MATCH($B465,المكونات!$A$2:$A$500,0)),"")</f>
        <v>1</v>
      </c>
      <c r="F465" s="69" t="n">
        <f aca="false">IFERROR($C465*$E465,"")</f>
        <v>1</v>
      </c>
    </row>
    <row r="466" customFormat="false" ht="15" hidden="false" customHeight="true" outlineLevel="0" collapsed="false">
      <c r="A466" s="66" t="s">
        <v>447</v>
      </c>
      <c r="B466" s="66" t="s">
        <v>160</v>
      </c>
      <c r="C466" s="66" t="n">
        <v>1</v>
      </c>
      <c r="D466" s="67" t="str">
        <f aca="false">IFERROR(INDEX(المكونات!$B$2:$B$500,MATCH($B466,المكونات!$A$2:$A$500,0)),"")</f>
        <v>قطعة</v>
      </c>
      <c r="E466" s="68" t="n">
        <f aca="false">IFERROR(INDEX(المكونات!$C$2:$C$500,MATCH($B466,المكونات!$A$2:$A$500,0)),"")</f>
        <v>48.7817</v>
      </c>
      <c r="F466" s="69" t="n">
        <f aca="false">IFERROR($C466*$E466,"")</f>
        <v>48.7817</v>
      </c>
    </row>
    <row r="467" customFormat="false" ht="15" hidden="false" customHeight="true" outlineLevel="0" collapsed="false">
      <c r="A467" s="66" t="s">
        <v>447</v>
      </c>
      <c r="B467" s="66" t="s">
        <v>256</v>
      </c>
      <c r="C467" s="66" t="n">
        <v>0.15</v>
      </c>
      <c r="D467" s="67" t="str">
        <f aca="false">IFERROR(INDEX(المكونات!$B$2:$B$500,MATCH($B467,المكونات!$A$2:$A$500,0)),"")</f>
        <v>كجم</v>
      </c>
      <c r="E467" s="68" t="n">
        <f aca="false">IFERROR(INDEX(المكونات!$C$2:$C$500,MATCH($B467,المكونات!$A$2:$A$500,0)),"")</f>
        <v>105</v>
      </c>
      <c r="F467" s="69" t="n">
        <f aca="false">IFERROR($C467*$E467,"")</f>
        <v>15.75</v>
      </c>
    </row>
    <row r="468" customFormat="false" ht="15" hidden="false" customHeight="true" outlineLevel="0" collapsed="false">
      <c r="A468" s="66" t="s">
        <v>463</v>
      </c>
      <c r="B468" s="66" t="s">
        <v>264</v>
      </c>
      <c r="C468" s="66" t="n">
        <v>1</v>
      </c>
      <c r="D468" s="67" t="str">
        <f aca="false">IFERROR(INDEX(المكونات!$B$2:$B$500,MATCH($B468,المكونات!$A$2:$A$500,0)),"")</f>
        <v>قطعة</v>
      </c>
      <c r="E468" s="68" t="n">
        <f aca="false">IFERROR(INDEX(المكونات!$C$2:$C$500,MATCH($B468,المكونات!$A$2:$A$500,0)),"")</f>
        <v>4</v>
      </c>
      <c r="F468" s="69" t="n">
        <f aca="false">IFERROR($C468*$E468,"")</f>
        <v>4</v>
      </c>
    </row>
    <row r="469" customFormat="false" ht="15" hidden="false" customHeight="true" outlineLevel="0" collapsed="false">
      <c r="A469" s="66" t="s">
        <v>463</v>
      </c>
      <c r="B469" s="66" t="s">
        <v>260</v>
      </c>
      <c r="C469" s="66" t="n">
        <v>0.03</v>
      </c>
      <c r="D469" s="67" t="str">
        <f aca="false">IFERROR(INDEX(المكونات!$B$2:$B$500,MATCH($B469,المكونات!$A$2:$A$500,0)),"")</f>
        <v>كجم</v>
      </c>
      <c r="E469" s="68" t="n">
        <f aca="false">IFERROR(INDEX(المكونات!$C$2:$C$500,MATCH($B469,المكونات!$A$2:$A$500,0)),"")</f>
        <v>21</v>
      </c>
      <c r="F469" s="69" t="n">
        <f aca="false">IFERROR($C469*$E469,"")</f>
        <v>0.63</v>
      </c>
    </row>
    <row r="470" customFormat="false" ht="15" hidden="false" customHeight="true" outlineLevel="0" collapsed="false">
      <c r="A470" s="66" t="s">
        <v>463</v>
      </c>
      <c r="B470" s="66" t="s">
        <v>284</v>
      </c>
      <c r="C470" s="66" t="n">
        <v>0.02</v>
      </c>
      <c r="D470" s="67" t="str">
        <f aca="false">IFERROR(INDEX(المكونات!$B$2:$B$500,MATCH($B470,المكونات!$A$2:$A$500,0)),"")</f>
        <v>كجم</v>
      </c>
      <c r="E470" s="68" t="n">
        <f aca="false">IFERROR(INDEX(المكونات!$C$2:$C$500,MATCH($B470,المكونات!$A$2:$A$500,0)),"")</f>
        <v>27</v>
      </c>
      <c r="F470" s="69" t="n">
        <f aca="false">IFERROR($C470*$E470,"")</f>
        <v>0.54</v>
      </c>
    </row>
    <row r="471" customFormat="false" ht="15" hidden="false" customHeight="true" outlineLevel="0" collapsed="false">
      <c r="A471" s="66" t="s">
        <v>463</v>
      </c>
      <c r="B471" s="66" t="s">
        <v>227</v>
      </c>
      <c r="C471" s="66" t="n">
        <v>0.02</v>
      </c>
      <c r="D471" s="67" t="str">
        <f aca="false">IFERROR(INDEX(المكونات!$B$2:$B$500,MATCH($B471,المكونات!$A$2:$A$500,0)),"")</f>
        <v>كجم</v>
      </c>
      <c r="E471" s="68" t="n">
        <f aca="false">IFERROR(INDEX(المكونات!$C$2:$C$500,MATCH($B471,المكونات!$A$2:$A$500,0)),"")</f>
        <v>95</v>
      </c>
      <c r="F471" s="69" t="n">
        <f aca="false">IFERROR($C471*$E471,"")</f>
        <v>1.9</v>
      </c>
    </row>
    <row r="472" customFormat="false" ht="15" hidden="false" customHeight="true" outlineLevel="0" collapsed="false">
      <c r="A472" s="66" t="s">
        <v>463</v>
      </c>
      <c r="B472" s="66" t="s">
        <v>176</v>
      </c>
      <c r="C472" s="66" t="n">
        <v>1</v>
      </c>
      <c r="D472" s="67" t="str">
        <f aca="false">IFERROR(INDEX(المكونات!$B$2:$B$500,MATCH($B472,المكونات!$A$2:$A$500,0)),"")</f>
        <v>قطعة</v>
      </c>
      <c r="E472" s="68" t="n">
        <f aca="false">IFERROR(INDEX(المكونات!$C$2:$C$500,MATCH($B472,المكونات!$A$2:$A$500,0)),"")</f>
        <v>17.5</v>
      </c>
      <c r="F472" s="69" t="n">
        <f aca="false">IFERROR($C472*$E472,"")</f>
        <v>17.5</v>
      </c>
    </row>
    <row r="473" customFormat="false" ht="15" hidden="false" customHeight="true" outlineLevel="0" collapsed="false">
      <c r="A473" s="66" t="s">
        <v>463</v>
      </c>
      <c r="B473" s="66" t="s">
        <v>270</v>
      </c>
      <c r="C473" s="66" t="n">
        <v>1</v>
      </c>
      <c r="D473" s="67" t="str">
        <f aca="false">IFERROR(INDEX(المكونات!$B$2:$B$500,MATCH($B473,المكونات!$A$2:$A$500,0)),"")</f>
        <v>قطعة</v>
      </c>
      <c r="E473" s="68" t="n">
        <f aca="false">IFERROR(INDEX(المكونات!$C$2:$C$500,MATCH($B473,المكونات!$A$2:$A$500,0)),"")</f>
        <v>4.5</v>
      </c>
      <c r="F473" s="69" t="n">
        <f aca="false">IFERROR($C473*$E473,"")</f>
        <v>4.5</v>
      </c>
    </row>
    <row r="474" customFormat="false" ht="15" hidden="false" customHeight="true" outlineLevel="0" collapsed="false">
      <c r="A474" s="66" t="s">
        <v>463</v>
      </c>
      <c r="B474" s="66" t="s">
        <v>290</v>
      </c>
      <c r="C474" s="66" t="n">
        <v>2</v>
      </c>
      <c r="D474" s="67" t="str">
        <f aca="false">IFERROR(INDEX(المكونات!$B$2:$B$500,MATCH($B474,المكونات!$A$2:$A$500,0)),"")</f>
        <v>قطعة</v>
      </c>
      <c r="E474" s="68" t="n">
        <f aca="false">IFERROR(INDEX(المكونات!$C$2:$C$500,MATCH($B474,المكونات!$A$2:$A$500,0)),"")</f>
        <v>0.3</v>
      </c>
      <c r="F474" s="69" t="n">
        <f aca="false">IFERROR($C474*$E474,"")</f>
        <v>0.6</v>
      </c>
    </row>
    <row r="475" customFormat="false" ht="15" hidden="false" customHeight="true" outlineLevel="0" collapsed="false">
      <c r="A475" s="66" t="s">
        <v>463</v>
      </c>
      <c r="B475" s="66" t="s">
        <v>319</v>
      </c>
      <c r="C475" s="66" t="n">
        <v>1</v>
      </c>
      <c r="D475" s="67" t="str">
        <f aca="false">IFERROR(INDEX(المكونات!$B$2:$B$500,MATCH($B475,المكونات!$A$2:$A$500,0)),"")</f>
        <v>قطعة (ورقة)</v>
      </c>
      <c r="E475" s="68" t="n">
        <f aca="false">IFERROR(INDEX(المكونات!$C$2:$C$500,MATCH($B475,المكونات!$A$2:$A$500,0)),"")</f>
        <v>0.3665</v>
      </c>
      <c r="F475" s="69" t="n">
        <f aca="false">IFERROR($C475*$E475,"")</f>
        <v>0.3665</v>
      </c>
    </row>
    <row r="476" customFormat="false" ht="15" hidden="false" customHeight="true" outlineLevel="0" collapsed="false">
      <c r="A476" s="66" t="s">
        <v>463</v>
      </c>
      <c r="B476" s="66" t="s">
        <v>133</v>
      </c>
      <c r="C476" s="66" t="n">
        <v>1</v>
      </c>
      <c r="D476" s="67" t="str">
        <f aca="false">IFERROR(INDEX(المكونات!$B$2:$B$500,MATCH($B476,المكونات!$A$2:$A$500,0)),"")</f>
        <v>قطعة (كيس)</v>
      </c>
      <c r="E476" s="68" t="n">
        <f aca="false">IFERROR(INDEX(المكونات!$C$2:$C$500,MATCH($B476,المكونات!$A$2:$A$500,0)),"")</f>
        <v>1.4</v>
      </c>
      <c r="F476" s="69" t="n">
        <f aca="false">IFERROR($C476*$E476,"")</f>
        <v>1.4</v>
      </c>
    </row>
    <row r="477" customFormat="false" ht="15" hidden="false" customHeight="true" outlineLevel="0" collapsed="false">
      <c r="A477" s="66" t="s">
        <v>463</v>
      </c>
      <c r="B477" s="66" t="s">
        <v>293</v>
      </c>
      <c r="C477" s="66" t="n">
        <v>1</v>
      </c>
      <c r="D477" s="67" t="str">
        <f aca="false">IFERROR(INDEX(المكونات!$B$2:$B$500,MATCH($B477,المكونات!$A$2:$A$500,0)),"")</f>
        <v>قطعة</v>
      </c>
      <c r="E477" s="68" t="n">
        <f aca="false">IFERROR(INDEX(المكونات!$C$2:$C$500,MATCH($B477,المكونات!$A$2:$A$500,0)),"")</f>
        <v>0.5</v>
      </c>
      <c r="F477" s="69" t="n">
        <f aca="false">IFERROR($C477*$E477,"")</f>
        <v>0.5</v>
      </c>
    </row>
    <row r="478" customFormat="false" ht="15" hidden="false" customHeight="true" outlineLevel="0" collapsed="false">
      <c r="A478" s="66" t="s">
        <v>463</v>
      </c>
      <c r="B478" s="66" t="s">
        <v>211</v>
      </c>
      <c r="C478" s="66" t="n">
        <v>2</v>
      </c>
      <c r="D478" s="67" t="str">
        <f aca="false">IFERROR(INDEX(المكونات!$B$2:$B$500,MATCH($B478,المكونات!$A$2:$A$500,0)),"")</f>
        <v>قطعة (جلفز)</v>
      </c>
      <c r="E478" s="68" t="n">
        <f aca="false">IFERROR(INDEX(المكونات!$C$2:$C$500,MATCH($B478,المكونات!$A$2:$A$500,0)),"")</f>
        <v>0.18</v>
      </c>
      <c r="F478" s="69" t="n">
        <f aca="false">IFERROR($C478*$E478,"")</f>
        <v>0.36</v>
      </c>
    </row>
    <row r="479" customFormat="false" ht="15" hidden="false" customHeight="true" outlineLevel="0" collapsed="false">
      <c r="A479" s="66" t="s">
        <v>463</v>
      </c>
      <c r="B479" s="66" t="s">
        <v>322</v>
      </c>
      <c r="C479" s="66" t="n">
        <v>1</v>
      </c>
      <c r="D479" s="67" t="str">
        <f aca="false">IFERROR(INDEX(المكونات!$B$2:$B$500,MATCH($B479,المكونات!$A$2:$A$500,0)),"")</f>
        <v>قطعة (كيس)</v>
      </c>
      <c r="E479" s="68" t="n">
        <f aca="false">IFERROR(INDEX(المكونات!$C$2:$C$500,MATCH($B479,المكونات!$A$2:$A$500,0)),"")</f>
        <v>1</v>
      </c>
      <c r="F479" s="69" t="n">
        <f aca="false">IFERROR($C479*$E479,"")</f>
        <v>1</v>
      </c>
    </row>
    <row r="480" customFormat="false" ht="15" hidden="false" customHeight="true" outlineLevel="0" collapsed="false">
      <c r="A480" s="66" t="s">
        <v>463</v>
      </c>
      <c r="B480" s="66" t="s">
        <v>158</v>
      </c>
      <c r="C480" s="66" t="n">
        <v>1</v>
      </c>
      <c r="D480" s="67" t="str">
        <f aca="false">IFERROR(INDEX(المكونات!$B$2:$B$500,MATCH($B480,المكونات!$A$2:$A$500,0)),"")</f>
        <v>قطعة</v>
      </c>
      <c r="E480" s="68" t="n">
        <f aca="false">IFERROR(INDEX(المكونات!$C$2:$C$500,MATCH($B480,المكونات!$A$2:$A$500,0)),"")</f>
        <v>33.982</v>
      </c>
      <c r="F480" s="69" t="n">
        <f aca="false">IFERROR($C480*$E480,"")</f>
        <v>33.982</v>
      </c>
    </row>
    <row r="481" customFormat="false" ht="15" hidden="false" customHeight="true" outlineLevel="0" collapsed="false">
      <c r="A481" s="66" t="s">
        <v>463</v>
      </c>
      <c r="B481" s="66" t="s">
        <v>252</v>
      </c>
      <c r="C481" s="66" t="n">
        <v>0.1</v>
      </c>
      <c r="D481" s="67" t="str">
        <f aca="false">IFERROR(INDEX(المكونات!$B$2:$B$500,MATCH($B481,المكونات!$A$2:$A$500,0)),"")</f>
        <v>كجم</v>
      </c>
      <c r="E481" s="68" t="n">
        <f aca="false">IFERROR(INDEX(المكونات!$C$2:$C$500,MATCH($B481,المكونات!$A$2:$A$500,0)),"")</f>
        <v>70</v>
      </c>
      <c r="F481" s="69" t="n">
        <f aca="false">IFERROR($C481*$E481,"")</f>
        <v>7</v>
      </c>
    </row>
    <row r="482" customFormat="false" ht="15" hidden="false" customHeight="true" outlineLevel="0" collapsed="false">
      <c r="A482" s="66" t="s">
        <v>448</v>
      </c>
      <c r="B482" s="66" t="s">
        <v>264</v>
      </c>
      <c r="C482" s="66" t="n">
        <v>1.5</v>
      </c>
      <c r="D482" s="67" t="str">
        <f aca="false">IFERROR(INDEX(المكونات!$B$2:$B$500,MATCH($B482,المكونات!$A$2:$A$500,0)),"")</f>
        <v>قطعة</v>
      </c>
      <c r="E482" s="68" t="n">
        <f aca="false">IFERROR(INDEX(المكونات!$C$2:$C$500,MATCH($B482,المكونات!$A$2:$A$500,0)),"")</f>
        <v>4</v>
      </c>
      <c r="F482" s="69" t="n">
        <f aca="false">IFERROR($C482*$E482,"")</f>
        <v>6</v>
      </c>
    </row>
    <row r="483" customFormat="false" ht="15" hidden="false" customHeight="true" outlineLevel="0" collapsed="false">
      <c r="A483" s="66" t="s">
        <v>448</v>
      </c>
      <c r="B483" s="66" t="s">
        <v>260</v>
      </c>
      <c r="C483" s="66" t="n">
        <v>0.045</v>
      </c>
      <c r="D483" s="67" t="str">
        <f aca="false">IFERROR(INDEX(المكونات!$B$2:$B$500,MATCH($B483,المكونات!$A$2:$A$500,0)),"")</f>
        <v>كجم</v>
      </c>
      <c r="E483" s="68" t="n">
        <f aca="false">IFERROR(INDEX(المكونات!$C$2:$C$500,MATCH($B483,المكونات!$A$2:$A$500,0)),"")</f>
        <v>21</v>
      </c>
      <c r="F483" s="69" t="n">
        <f aca="false">IFERROR($C483*$E483,"")</f>
        <v>0.945</v>
      </c>
    </row>
    <row r="484" customFormat="false" ht="15" hidden="false" customHeight="true" outlineLevel="0" collapsed="false">
      <c r="A484" s="66" t="s">
        <v>448</v>
      </c>
      <c r="B484" s="66" t="s">
        <v>284</v>
      </c>
      <c r="C484" s="66" t="n">
        <v>0.03</v>
      </c>
      <c r="D484" s="67" t="str">
        <f aca="false">IFERROR(INDEX(المكونات!$B$2:$B$500,MATCH($B484,المكونات!$A$2:$A$500,0)),"")</f>
        <v>كجم</v>
      </c>
      <c r="E484" s="68" t="n">
        <f aca="false">IFERROR(INDEX(المكونات!$C$2:$C$500,MATCH($B484,المكونات!$A$2:$A$500,0)),"")</f>
        <v>27</v>
      </c>
      <c r="F484" s="69" t="n">
        <f aca="false">IFERROR($C484*$E484,"")</f>
        <v>0.81</v>
      </c>
    </row>
    <row r="485" customFormat="false" ht="15" hidden="false" customHeight="true" outlineLevel="0" collapsed="false">
      <c r="A485" s="66" t="s">
        <v>448</v>
      </c>
      <c r="B485" s="66" t="s">
        <v>227</v>
      </c>
      <c r="C485" s="66" t="n">
        <v>0.03</v>
      </c>
      <c r="D485" s="67" t="str">
        <f aca="false">IFERROR(INDEX(المكونات!$B$2:$B$500,MATCH($B485,المكونات!$A$2:$A$500,0)),"")</f>
        <v>كجم</v>
      </c>
      <c r="E485" s="68" t="n">
        <f aca="false">IFERROR(INDEX(المكونات!$C$2:$C$500,MATCH($B485,المكونات!$A$2:$A$500,0)),"")</f>
        <v>95</v>
      </c>
      <c r="F485" s="69" t="n">
        <f aca="false">IFERROR($C485*$E485,"")</f>
        <v>2.85</v>
      </c>
    </row>
    <row r="486" customFormat="false" ht="15" hidden="false" customHeight="true" outlineLevel="0" collapsed="false">
      <c r="A486" s="66" t="s">
        <v>448</v>
      </c>
      <c r="B486" s="66" t="s">
        <v>178</v>
      </c>
      <c r="C486" s="66" t="n">
        <v>1</v>
      </c>
      <c r="D486" s="67" t="str">
        <f aca="false">IFERROR(INDEX(المكونات!$B$2:$B$500,MATCH($B486,المكونات!$A$2:$A$500,0)),"")</f>
        <v>قطعة</v>
      </c>
      <c r="E486" s="68" t="n">
        <f aca="false">IFERROR(INDEX(المكونات!$C$2:$C$500,MATCH($B486,المكونات!$A$2:$A$500,0)),"")</f>
        <v>25</v>
      </c>
      <c r="F486" s="69" t="n">
        <f aca="false">IFERROR($C486*$E486,"")</f>
        <v>25</v>
      </c>
    </row>
    <row r="487" customFormat="false" ht="15" hidden="false" customHeight="true" outlineLevel="0" collapsed="false">
      <c r="A487" s="66" t="s">
        <v>448</v>
      </c>
      <c r="B487" s="66" t="s">
        <v>268</v>
      </c>
      <c r="C487" s="66" t="n">
        <v>1</v>
      </c>
      <c r="D487" s="67" t="str">
        <f aca="false">IFERROR(INDEX(المكونات!$B$2:$B$500,MATCH($B487,المكونات!$A$2:$A$500,0)),"")</f>
        <v>قطعة</v>
      </c>
      <c r="E487" s="68" t="n">
        <f aca="false">IFERROR(INDEX(المكونات!$C$2:$C$500,MATCH($B487,المكونات!$A$2:$A$500,0)),"")</f>
        <v>5.5</v>
      </c>
      <c r="F487" s="69" t="n">
        <f aca="false">IFERROR($C487*$E487,"")</f>
        <v>5.5</v>
      </c>
    </row>
    <row r="488" customFormat="false" ht="15" hidden="false" customHeight="true" outlineLevel="0" collapsed="false">
      <c r="A488" s="66" t="s">
        <v>448</v>
      </c>
      <c r="B488" s="66" t="s">
        <v>290</v>
      </c>
      <c r="C488" s="66" t="n">
        <v>3</v>
      </c>
      <c r="D488" s="67" t="str">
        <f aca="false">IFERROR(INDEX(المكونات!$B$2:$B$500,MATCH($B488,المكونات!$A$2:$A$500,0)),"")</f>
        <v>قطعة</v>
      </c>
      <c r="E488" s="68" t="n">
        <f aca="false">IFERROR(INDEX(المكونات!$C$2:$C$500,MATCH($B488,المكونات!$A$2:$A$500,0)),"")</f>
        <v>0.3</v>
      </c>
      <c r="F488" s="69" t="n">
        <f aca="false">IFERROR($C488*$E488,"")</f>
        <v>0.9</v>
      </c>
    </row>
    <row r="489" customFormat="false" ht="15" hidden="false" customHeight="true" outlineLevel="0" collapsed="false">
      <c r="A489" s="66" t="s">
        <v>448</v>
      </c>
      <c r="B489" s="66" t="s">
        <v>319</v>
      </c>
      <c r="C489" s="66" t="n">
        <v>1</v>
      </c>
      <c r="D489" s="67" t="str">
        <f aca="false">IFERROR(INDEX(المكونات!$B$2:$B$500,MATCH($B489,المكونات!$A$2:$A$500,0)),"")</f>
        <v>قطعة (ورقة)</v>
      </c>
      <c r="E489" s="68" t="n">
        <f aca="false">IFERROR(INDEX(المكونات!$C$2:$C$500,MATCH($B489,المكونات!$A$2:$A$500,0)),"")</f>
        <v>0.3665</v>
      </c>
      <c r="F489" s="69" t="n">
        <f aca="false">IFERROR($C489*$E489,"")</f>
        <v>0.3665</v>
      </c>
    </row>
    <row r="490" customFormat="false" ht="15" hidden="false" customHeight="true" outlineLevel="0" collapsed="false">
      <c r="A490" s="66" t="s">
        <v>448</v>
      </c>
      <c r="B490" s="66" t="s">
        <v>133</v>
      </c>
      <c r="C490" s="66" t="n">
        <v>1</v>
      </c>
      <c r="D490" s="67" t="str">
        <f aca="false">IFERROR(INDEX(المكونات!$B$2:$B$500,MATCH($B490,المكونات!$A$2:$A$500,0)),"")</f>
        <v>قطعة (كيس)</v>
      </c>
      <c r="E490" s="68" t="n">
        <f aca="false">IFERROR(INDEX(المكونات!$C$2:$C$500,MATCH($B490,المكونات!$A$2:$A$500,0)),"")</f>
        <v>1.4</v>
      </c>
      <c r="F490" s="69" t="n">
        <f aca="false">IFERROR($C490*$E490,"")</f>
        <v>1.4</v>
      </c>
    </row>
    <row r="491" customFormat="false" ht="15" hidden="false" customHeight="true" outlineLevel="0" collapsed="false">
      <c r="A491" s="66" t="s">
        <v>448</v>
      </c>
      <c r="B491" s="66" t="s">
        <v>293</v>
      </c>
      <c r="C491" s="66" t="n">
        <v>1</v>
      </c>
      <c r="D491" s="67" t="str">
        <f aca="false">IFERROR(INDEX(المكونات!$B$2:$B$500,MATCH($B491,المكونات!$A$2:$A$500,0)),"")</f>
        <v>قطعة</v>
      </c>
      <c r="E491" s="68" t="n">
        <f aca="false">IFERROR(INDEX(المكونات!$C$2:$C$500,MATCH($B491,المكونات!$A$2:$A$500,0)),"")</f>
        <v>0.5</v>
      </c>
      <c r="F491" s="69" t="n">
        <f aca="false">IFERROR($C491*$E491,"")</f>
        <v>0.5</v>
      </c>
    </row>
    <row r="492" customFormat="false" ht="15" hidden="false" customHeight="true" outlineLevel="0" collapsed="false">
      <c r="A492" s="66" t="s">
        <v>448</v>
      </c>
      <c r="B492" s="66" t="s">
        <v>211</v>
      </c>
      <c r="C492" s="66" t="n">
        <v>2</v>
      </c>
      <c r="D492" s="67" t="str">
        <f aca="false">IFERROR(INDEX(المكونات!$B$2:$B$500,MATCH($B492,المكونات!$A$2:$A$500,0)),"")</f>
        <v>قطعة (جلفز)</v>
      </c>
      <c r="E492" s="68" t="n">
        <f aca="false">IFERROR(INDEX(المكونات!$C$2:$C$500,MATCH($B492,المكونات!$A$2:$A$500,0)),"")</f>
        <v>0.18</v>
      </c>
      <c r="F492" s="69" t="n">
        <f aca="false">IFERROR($C492*$E492,"")</f>
        <v>0.36</v>
      </c>
    </row>
    <row r="493" customFormat="false" ht="15" hidden="false" customHeight="true" outlineLevel="0" collapsed="false">
      <c r="A493" s="66" t="s">
        <v>448</v>
      </c>
      <c r="B493" s="66" t="s">
        <v>322</v>
      </c>
      <c r="C493" s="66" t="n">
        <v>1</v>
      </c>
      <c r="D493" s="67" t="str">
        <f aca="false">IFERROR(INDEX(المكونات!$B$2:$B$500,MATCH($B493,المكونات!$A$2:$A$500,0)),"")</f>
        <v>قطعة (كيس)</v>
      </c>
      <c r="E493" s="68" t="n">
        <f aca="false">IFERROR(INDEX(المكونات!$C$2:$C$500,MATCH($B493,المكونات!$A$2:$A$500,0)),"")</f>
        <v>1</v>
      </c>
      <c r="F493" s="69" t="n">
        <f aca="false">IFERROR($C493*$E493,"")</f>
        <v>1</v>
      </c>
    </row>
    <row r="494" customFormat="false" ht="15" hidden="false" customHeight="true" outlineLevel="0" collapsed="false">
      <c r="A494" s="66" t="s">
        <v>448</v>
      </c>
      <c r="B494" s="66" t="s">
        <v>160</v>
      </c>
      <c r="C494" s="66" t="n">
        <v>1</v>
      </c>
      <c r="D494" s="67" t="str">
        <f aca="false">IFERROR(INDEX(المكونات!$B$2:$B$500,MATCH($B494,المكونات!$A$2:$A$500,0)),"")</f>
        <v>قطعة</v>
      </c>
      <c r="E494" s="68" t="n">
        <f aca="false">IFERROR(INDEX(المكونات!$C$2:$C$500,MATCH($B494,المكونات!$A$2:$A$500,0)),"")</f>
        <v>48.7817</v>
      </c>
      <c r="F494" s="69" t="n">
        <f aca="false">IFERROR($C494*$E494,"")</f>
        <v>48.7817</v>
      </c>
    </row>
    <row r="495" customFormat="false" ht="15" hidden="false" customHeight="true" outlineLevel="0" collapsed="false">
      <c r="A495" s="66" t="s">
        <v>448</v>
      </c>
      <c r="B495" s="66" t="s">
        <v>252</v>
      </c>
      <c r="C495" s="66" t="n">
        <v>0.15</v>
      </c>
      <c r="D495" s="67" t="str">
        <f aca="false">IFERROR(INDEX(المكونات!$B$2:$B$500,MATCH($B495,المكونات!$A$2:$A$500,0)),"")</f>
        <v>كجم</v>
      </c>
      <c r="E495" s="68" t="n">
        <f aca="false">IFERROR(INDEX(المكونات!$C$2:$C$500,MATCH($B495,المكونات!$A$2:$A$500,0)),"")</f>
        <v>70</v>
      </c>
      <c r="F495" s="69" t="n">
        <f aca="false">IFERROR($C495*$E495,"")</f>
        <v>10.5</v>
      </c>
    </row>
    <row r="496" customFormat="false" ht="15" hidden="false" customHeight="true" outlineLevel="0" collapsed="false">
      <c r="A496" s="66" t="s">
        <v>500</v>
      </c>
      <c r="B496" s="66" t="s">
        <v>264</v>
      </c>
      <c r="C496" s="66" t="n">
        <v>1</v>
      </c>
      <c r="D496" s="67" t="str">
        <f aca="false">IFERROR(INDEX(المكونات!$B$2:$B$500,MATCH($B496,المكونات!$A$2:$A$500,0)),"")</f>
        <v>قطعة</v>
      </c>
      <c r="E496" s="68" t="n">
        <f aca="false">IFERROR(INDEX(المكونات!$C$2:$C$500,MATCH($B496,المكونات!$A$2:$A$500,0)),"")</f>
        <v>4</v>
      </c>
      <c r="F496" s="69" t="n">
        <f aca="false">IFERROR($C496*$E496,"")</f>
        <v>4</v>
      </c>
    </row>
    <row r="497" customFormat="false" ht="15" hidden="false" customHeight="true" outlineLevel="0" collapsed="false">
      <c r="A497" s="66" t="s">
        <v>500</v>
      </c>
      <c r="B497" s="66" t="s">
        <v>260</v>
      </c>
      <c r="C497" s="66" t="n">
        <v>0.03</v>
      </c>
      <c r="D497" s="67" t="str">
        <f aca="false">IFERROR(INDEX(المكونات!$B$2:$B$500,MATCH($B497,المكونات!$A$2:$A$500,0)),"")</f>
        <v>كجم</v>
      </c>
      <c r="E497" s="68" t="n">
        <f aca="false">IFERROR(INDEX(المكونات!$C$2:$C$500,MATCH($B497,المكونات!$A$2:$A$500,0)),"")</f>
        <v>21</v>
      </c>
      <c r="F497" s="69" t="n">
        <f aca="false">IFERROR($C497*$E497,"")</f>
        <v>0.63</v>
      </c>
    </row>
    <row r="498" customFormat="false" ht="15" hidden="false" customHeight="true" outlineLevel="0" collapsed="false">
      <c r="A498" s="66" t="s">
        <v>500</v>
      </c>
      <c r="B498" s="66" t="s">
        <v>284</v>
      </c>
      <c r="C498" s="66" t="n">
        <v>0.02</v>
      </c>
      <c r="D498" s="67" t="str">
        <f aca="false">IFERROR(INDEX(المكونات!$B$2:$B$500,MATCH($B498,المكونات!$A$2:$A$500,0)),"")</f>
        <v>كجم</v>
      </c>
      <c r="E498" s="68" t="n">
        <f aca="false">IFERROR(INDEX(المكونات!$C$2:$C$500,MATCH($B498,المكونات!$A$2:$A$500,0)),"")</f>
        <v>27</v>
      </c>
      <c r="F498" s="69" t="n">
        <f aca="false">IFERROR($C498*$E498,"")</f>
        <v>0.54</v>
      </c>
    </row>
    <row r="499" customFormat="false" ht="15" hidden="false" customHeight="true" outlineLevel="0" collapsed="false">
      <c r="A499" s="66" t="s">
        <v>500</v>
      </c>
      <c r="B499" s="66" t="s">
        <v>227</v>
      </c>
      <c r="C499" s="66" t="n">
        <v>0.02</v>
      </c>
      <c r="D499" s="67" t="str">
        <f aca="false">IFERROR(INDEX(المكونات!$B$2:$B$500,MATCH($B499,المكونات!$A$2:$A$500,0)),"")</f>
        <v>كجم</v>
      </c>
      <c r="E499" s="68" t="n">
        <f aca="false">IFERROR(INDEX(المكونات!$C$2:$C$500,MATCH($B499,المكونات!$A$2:$A$500,0)),"")</f>
        <v>95</v>
      </c>
      <c r="F499" s="69" t="n">
        <f aca="false">IFERROR($C499*$E499,"")</f>
        <v>1.9</v>
      </c>
    </row>
    <row r="500" customFormat="false" ht="15" hidden="false" customHeight="true" outlineLevel="0" collapsed="false">
      <c r="A500" s="66" t="s">
        <v>500</v>
      </c>
      <c r="B500" s="66" t="s">
        <v>176</v>
      </c>
      <c r="C500" s="66" t="n">
        <v>1</v>
      </c>
      <c r="D500" s="67" t="str">
        <f aca="false">IFERROR(INDEX(المكونات!$B$2:$B$500,MATCH($B500,المكونات!$A$2:$A$500,0)),"")</f>
        <v>قطعة</v>
      </c>
      <c r="E500" s="68" t="n">
        <f aca="false">IFERROR(INDEX(المكونات!$C$2:$C$500,MATCH($B500,المكونات!$A$2:$A$500,0)),"")</f>
        <v>17.5</v>
      </c>
      <c r="F500" s="69" t="n">
        <f aca="false">IFERROR($C500*$E500,"")</f>
        <v>17.5</v>
      </c>
    </row>
    <row r="501" customFormat="false" ht="15" hidden="false" customHeight="true" outlineLevel="0" collapsed="false">
      <c r="A501" s="66" t="s">
        <v>500</v>
      </c>
      <c r="B501" s="66" t="s">
        <v>270</v>
      </c>
      <c r="C501" s="66" t="n">
        <v>1</v>
      </c>
      <c r="D501" s="67" t="str">
        <f aca="false">IFERROR(INDEX(المكونات!$B$2:$B$500,MATCH($B501,المكونات!$A$2:$A$500,0)),"")</f>
        <v>قطعة</v>
      </c>
      <c r="E501" s="68" t="n">
        <f aca="false">IFERROR(INDEX(المكونات!$C$2:$C$500,MATCH($B501,المكونات!$A$2:$A$500,0)),"")</f>
        <v>4.5</v>
      </c>
      <c r="F501" s="69" t="n">
        <f aca="false">IFERROR($C501*$E501,"")</f>
        <v>4.5</v>
      </c>
    </row>
    <row r="502" customFormat="false" ht="15" hidden="false" customHeight="true" outlineLevel="0" collapsed="false">
      <c r="A502" s="66" t="s">
        <v>500</v>
      </c>
      <c r="B502" s="66" t="s">
        <v>290</v>
      </c>
      <c r="C502" s="66" t="n">
        <v>2</v>
      </c>
      <c r="D502" s="67" t="str">
        <f aca="false">IFERROR(INDEX(المكونات!$B$2:$B$500,MATCH($B502,المكونات!$A$2:$A$500,0)),"")</f>
        <v>قطعة</v>
      </c>
      <c r="E502" s="68" t="n">
        <f aca="false">IFERROR(INDEX(المكونات!$C$2:$C$500,MATCH($B502,المكونات!$A$2:$A$500,0)),"")</f>
        <v>0.3</v>
      </c>
      <c r="F502" s="69" t="n">
        <f aca="false">IFERROR($C502*$E502,"")</f>
        <v>0.6</v>
      </c>
    </row>
    <row r="503" customFormat="false" ht="15" hidden="false" customHeight="true" outlineLevel="0" collapsed="false">
      <c r="A503" s="66" t="s">
        <v>500</v>
      </c>
      <c r="B503" s="66" t="s">
        <v>319</v>
      </c>
      <c r="C503" s="66" t="n">
        <v>1</v>
      </c>
      <c r="D503" s="67" t="str">
        <f aca="false">IFERROR(INDEX(المكونات!$B$2:$B$500,MATCH($B503,المكونات!$A$2:$A$500,0)),"")</f>
        <v>قطعة (ورقة)</v>
      </c>
      <c r="E503" s="68" t="n">
        <f aca="false">IFERROR(INDEX(المكونات!$C$2:$C$500,MATCH($B503,المكونات!$A$2:$A$500,0)),"")</f>
        <v>0.3665</v>
      </c>
      <c r="F503" s="69" t="n">
        <f aca="false">IFERROR($C503*$E503,"")</f>
        <v>0.3665</v>
      </c>
    </row>
    <row r="504" customFormat="false" ht="15" hidden="false" customHeight="true" outlineLevel="0" collapsed="false">
      <c r="A504" s="66" t="s">
        <v>500</v>
      </c>
      <c r="B504" s="66" t="s">
        <v>133</v>
      </c>
      <c r="C504" s="66" t="n">
        <v>1</v>
      </c>
      <c r="D504" s="67" t="str">
        <f aca="false">IFERROR(INDEX(المكونات!$B$2:$B$500,MATCH($B504,المكونات!$A$2:$A$500,0)),"")</f>
        <v>قطعة (كيس)</v>
      </c>
      <c r="E504" s="68" t="n">
        <f aca="false">IFERROR(INDEX(المكونات!$C$2:$C$500,MATCH($B504,المكونات!$A$2:$A$500,0)),"")</f>
        <v>1.4</v>
      </c>
      <c r="F504" s="69" t="n">
        <f aca="false">IFERROR($C504*$E504,"")</f>
        <v>1.4</v>
      </c>
    </row>
    <row r="505" customFormat="false" ht="15" hidden="false" customHeight="true" outlineLevel="0" collapsed="false">
      <c r="A505" s="66" t="s">
        <v>500</v>
      </c>
      <c r="B505" s="66" t="s">
        <v>293</v>
      </c>
      <c r="C505" s="66" t="n">
        <v>1</v>
      </c>
      <c r="D505" s="67" t="str">
        <f aca="false">IFERROR(INDEX(المكونات!$B$2:$B$500,MATCH($B505,المكونات!$A$2:$A$500,0)),"")</f>
        <v>قطعة</v>
      </c>
      <c r="E505" s="68" t="n">
        <f aca="false">IFERROR(INDEX(المكونات!$C$2:$C$500,MATCH($B505,المكونات!$A$2:$A$500,0)),"")</f>
        <v>0.5</v>
      </c>
      <c r="F505" s="69" t="n">
        <f aca="false">IFERROR($C505*$E505,"")</f>
        <v>0.5</v>
      </c>
    </row>
    <row r="506" customFormat="false" ht="15" hidden="false" customHeight="true" outlineLevel="0" collapsed="false">
      <c r="A506" s="66" t="s">
        <v>500</v>
      </c>
      <c r="B506" s="66" t="s">
        <v>211</v>
      </c>
      <c r="C506" s="66" t="n">
        <v>2</v>
      </c>
      <c r="D506" s="67" t="str">
        <f aca="false">IFERROR(INDEX(المكونات!$B$2:$B$500,MATCH($B506,المكونات!$A$2:$A$500,0)),"")</f>
        <v>قطعة (جلفز)</v>
      </c>
      <c r="E506" s="68" t="n">
        <f aca="false">IFERROR(INDEX(المكونات!$C$2:$C$500,MATCH($B506,المكونات!$A$2:$A$500,0)),"")</f>
        <v>0.18</v>
      </c>
      <c r="F506" s="69" t="n">
        <f aca="false">IFERROR($C506*$E506,"")</f>
        <v>0.36</v>
      </c>
    </row>
    <row r="507" customFormat="false" ht="15" hidden="false" customHeight="true" outlineLevel="0" collapsed="false">
      <c r="A507" s="66" t="s">
        <v>500</v>
      </c>
      <c r="B507" s="66" t="s">
        <v>322</v>
      </c>
      <c r="C507" s="66" t="n">
        <v>1</v>
      </c>
      <c r="D507" s="67" t="str">
        <f aca="false">IFERROR(INDEX(المكونات!$B$2:$B$500,MATCH($B507,المكونات!$A$2:$A$500,0)),"")</f>
        <v>قطعة (كيس)</v>
      </c>
      <c r="E507" s="68" t="n">
        <f aca="false">IFERROR(INDEX(المكونات!$C$2:$C$500,MATCH($B507,المكونات!$A$2:$A$500,0)),"")</f>
        <v>1</v>
      </c>
      <c r="F507" s="69" t="n">
        <f aca="false">IFERROR($C507*$E507,"")</f>
        <v>1</v>
      </c>
    </row>
    <row r="508" customFormat="false" ht="15" hidden="false" customHeight="true" outlineLevel="0" collapsed="false">
      <c r="A508" s="66" t="s">
        <v>500</v>
      </c>
      <c r="B508" s="66" t="s">
        <v>150</v>
      </c>
      <c r="C508" s="66" t="n">
        <v>1</v>
      </c>
      <c r="D508" s="67" t="str">
        <f aca="false">IFERROR(INDEX(المكونات!$B$2:$B$500,MATCH($B508,المكونات!$A$2:$A$500,0)),"")</f>
        <v>قطعة</v>
      </c>
      <c r="E508" s="68" t="n">
        <f aca="false">IFERROR(INDEX(المكونات!$C$2:$C$500,MATCH($B508,المكونات!$A$2:$A$500,0)),"")</f>
        <v>95</v>
      </c>
      <c r="F508" s="69" t="n">
        <f aca="false">IFERROR($C508*$E508,"")</f>
        <v>95</v>
      </c>
    </row>
    <row r="509" customFormat="false" ht="15" hidden="false" customHeight="true" outlineLevel="0" collapsed="false">
      <c r="A509" s="66" t="s">
        <v>489</v>
      </c>
      <c r="B509" s="66" t="s">
        <v>264</v>
      </c>
      <c r="C509" s="66" t="n">
        <v>1.5</v>
      </c>
      <c r="D509" s="67" t="str">
        <f aca="false">IFERROR(INDEX(المكونات!$B$2:$B$500,MATCH($B509,المكونات!$A$2:$A$500,0)),"")</f>
        <v>قطعة</v>
      </c>
      <c r="E509" s="68" t="n">
        <f aca="false">IFERROR(INDEX(المكونات!$C$2:$C$500,MATCH($B509,المكونات!$A$2:$A$500,0)),"")</f>
        <v>4</v>
      </c>
      <c r="F509" s="69" t="n">
        <f aca="false">IFERROR($C509*$E509,"")</f>
        <v>6</v>
      </c>
    </row>
    <row r="510" customFormat="false" ht="15" hidden="false" customHeight="true" outlineLevel="0" collapsed="false">
      <c r="A510" s="66" t="s">
        <v>489</v>
      </c>
      <c r="B510" s="66" t="s">
        <v>260</v>
      </c>
      <c r="C510" s="66" t="n">
        <v>0.045</v>
      </c>
      <c r="D510" s="67" t="str">
        <f aca="false">IFERROR(INDEX(المكونات!$B$2:$B$500,MATCH($B510,المكونات!$A$2:$A$500,0)),"")</f>
        <v>كجم</v>
      </c>
      <c r="E510" s="68" t="n">
        <f aca="false">IFERROR(INDEX(المكونات!$C$2:$C$500,MATCH($B510,المكونات!$A$2:$A$500,0)),"")</f>
        <v>21</v>
      </c>
      <c r="F510" s="69" t="n">
        <f aca="false">IFERROR($C510*$E510,"")</f>
        <v>0.945</v>
      </c>
    </row>
    <row r="511" customFormat="false" ht="15" hidden="false" customHeight="true" outlineLevel="0" collapsed="false">
      <c r="A511" s="66" t="s">
        <v>489</v>
      </c>
      <c r="B511" s="66" t="s">
        <v>284</v>
      </c>
      <c r="C511" s="66" t="n">
        <v>0.03</v>
      </c>
      <c r="D511" s="67" t="str">
        <f aca="false">IFERROR(INDEX(المكونات!$B$2:$B$500,MATCH($B511,المكونات!$A$2:$A$500,0)),"")</f>
        <v>كجم</v>
      </c>
      <c r="E511" s="68" t="n">
        <f aca="false">IFERROR(INDEX(المكونات!$C$2:$C$500,MATCH($B511,المكونات!$A$2:$A$500,0)),"")</f>
        <v>27</v>
      </c>
      <c r="F511" s="69" t="n">
        <f aca="false">IFERROR($C511*$E511,"")</f>
        <v>0.81</v>
      </c>
    </row>
    <row r="512" customFormat="false" ht="15" hidden="false" customHeight="true" outlineLevel="0" collapsed="false">
      <c r="A512" s="66" t="s">
        <v>489</v>
      </c>
      <c r="B512" s="66" t="s">
        <v>227</v>
      </c>
      <c r="C512" s="66" t="n">
        <v>0.03</v>
      </c>
      <c r="D512" s="67" t="str">
        <f aca="false">IFERROR(INDEX(المكونات!$B$2:$B$500,MATCH($B512,المكونات!$A$2:$A$500,0)),"")</f>
        <v>كجم</v>
      </c>
      <c r="E512" s="68" t="n">
        <f aca="false">IFERROR(INDEX(المكونات!$C$2:$C$500,MATCH($B512,المكونات!$A$2:$A$500,0)),"")</f>
        <v>95</v>
      </c>
      <c r="F512" s="69" t="n">
        <f aca="false">IFERROR($C512*$E512,"")</f>
        <v>2.85</v>
      </c>
    </row>
    <row r="513" customFormat="false" ht="15" hidden="false" customHeight="true" outlineLevel="0" collapsed="false">
      <c r="A513" s="66" t="s">
        <v>489</v>
      </c>
      <c r="B513" s="66" t="s">
        <v>178</v>
      </c>
      <c r="C513" s="66" t="n">
        <v>1</v>
      </c>
      <c r="D513" s="67" t="str">
        <f aca="false">IFERROR(INDEX(المكونات!$B$2:$B$500,MATCH($B513,المكونات!$A$2:$A$500,0)),"")</f>
        <v>قطعة</v>
      </c>
      <c r="E513" s="68" t="n">
        <f aca="false">IFERROR(INDEX(المكونات!$C$2:$C$500,MATCH($B513,المكونات!$A$2:$A$500,0)),"")</f>
        <v>25</v>
      </c>
      <c r="F513" s="69" t="n">
        <f aca="false">IFERROR($C513*$E513,"")</f>
        <v>25</v>
      </c>
    </row>
    <row r="514" customFormat="false" ht="15" hidden="false" customHeight="true" outlineLevel="0" collapsed="false">
      <c r="A514" s="66" t="s">
        <v>489</v>
      </c>
      <c r="B514" s="66" t="s">
        <v>268</v>
      </c>
      <c r="C514" s="66" t="n">
        <v>1</v>
      </c>
      <c r="D514" s="67" t="str">
        <f aca="false">IFERROR(INDEX(المكونات!$B$2:$B$500,MATCH($B514,المكونات!$A$2:$A$500,0)),"")</f>
        <v>قطعة</v>
      </c>
      <c r="E514" s="68" t="n">
        <f aca="false">IFERROR(INDEX(المكونات!$C$2:$C$500,MATCH($B514,المكونات!$A$2:$A$500,0)),"")</f>
        <v>5.5</v>
      </c>
      <c r="F514" s="69" t="n">
        <f aca="false">IFERROR($C514*$E514,"")</f>
        <v>5.5</v>
      </c>
    </row>
    <row r="515" customFormat="false" ht="15" hidden="false" customHeight="true" outlineLevel="0" collapsed="false">
      <c r="A515" s="66" t="s">
        <v>489</v>
      </c>
      <c r="B515" s="66" t="s">
        <v>290</v>
      </c>
      <c r="C515" s="66" t="n">
        <v>3</v>
      </c>
      <c r="D515" s="67" t="str">
        <f aca="false">IFERROR(INDEX(المكونات!$B$2:$B$500,MATCH($B515,المكونات!$A$2:$A$500,0)),"")</f>
        <v>قطعة</v>
      </c>
      <c r="E515" s="68" t="n">
        <f aca="false">IFERROR(INDEX(المكونات!$C$2:$C$500,MATCH($B515,المكونات!$A$2:$A$500,0)),"")</f>
        <v>0.3</v>
      </c>
      <c r="F515" s="69" t="n">
        <f aca="false">IFERROR($C515*$E515,"")</f>
        <v>0.9</v>
      </c>
    </row>
    <row r="516" customFormat="false" ht="15" hidden="false" customHeight="true" outlineLevel="0" collapsed="false">
      <c r="A516" s="66" t="s">
        <v>489</v>
      </c>
      <c r="B516" s="66" t="s">
        <v>319</v>
      </c>
      <c r="C516" s="66" t="n">
        <v>1</v>
      </c>
      <c r="D516" s="67" t="str">
        <f aca="false">IFERROR(INDEX(المكونات!$B$2:$B$500,MATCH($B516,المكونات!$A$2:$A$500,0)),"")</f>
        <v>قطعة (ورقة)</v>
      </c>
      <c r="E516" s="68" t="n">
        <f aca="false">IFERROR(INDEX(المكونات!$C$2:$C$500,MATCH($B516,المكونات!$A$2:$A$500,0)),"")</f>
        <v>0.3665</v>
      </c>
      <c r="F516" s="69" t="n">
        <f aca="false">IFERROR($C516*$E516,"")</f>
        <v>0.3665</v>
      </c>
    </row>
    <row r="517" customFormat="false" ht="15" hidden="false" customHeight="true" outlineLevel="0" collapsed="false">
      <c r="A517" s="66" t="s">
        <v>489</v>
      </c>
      <c r="B517" s="66" t="s">
        <v>133</v>
      </c>
      <c r="C517" s="66" t="n">
        <v>1</v>
      </c>
      <c r="D517" s="67" t="str">
        <f aca="false">IFERROR(INDEX(المكونات!$B$2:$B$500,MATCH($B517,المكونات!$A$2:$A$500,0)),"")</f>
        <v>قطعة (كيس)</v>
      </c>
      <c r="E517" s="68" t="n">
        <f aca="false">IFERROR(INDEX(المكونات!$C$2:$C$500,MATCH($B517,المكونات!$A$2:$A$500,0)),"")</f>
        <v>1.4</v>
      </c>
      <c r="F517" s="69" t="n">
        <f aca="false">IFERROR($C517*$E517,"")</f>
        <v>1.4</v>
      </c>
    </row>
    <row r="518" customFormat="false" ht="15" hidden="false" customHeight="true" outlineLevel="0" collapsed="false">
      <c r="A518" s="66" t="s">
        <v>489</v>
      </c>
      <c r="B518" s="66" t="s">
        <v>293</v>
      </c>
      <c r="C518" s="66" t="n">
        <v>1</v>
      </c>
      <c r="D518" s="67" t="str">
        <f aca="false">IFERROR(INDEX(المكونات!$B$2:$B$500,MATCH($B518,المكونات!$A$2:$A$500,0)),"")</f>
        <v>قطعة</v>
      </c>
      <c r="E518" s="68" t="n">
        <f aca="false">IFERROR(INDEX(المكونات!$C$2:$C$500,MATCH($B518,المكونات!$A$2:$A$500,0)),"")</f>
        <v>0.5</v>
      </c>
      <c r="F518" s="69" t="n">
        <f aca="false">IFERROR($C518*$E518,"")</f>
        <v>0.5</v>
      </c>
    </row>
    <row r="519" customFormat="false" ht="15" hidden="false" customHeight="true" outlineLevel="0" collapsed="false">
      <c r="A519" s="66" t="s">
        <v>489</v>
      </c>
      <c r="B519" s="66" t="s">
        <v>211</v>
      </c>
      <c r="C519" s="66" t="n">
        <v>2</v>
      </c>
      <c r="D519" s="67" t="str">
        <f aca="false">IFERROR(INDEX(المكونات!$B$2:$B$500,MATCH($B519,المكونات!$A$2:$A$500,0)),"")</f>
        <v>قطعة (جلفز)</v>
      </c>
      <c r="E519" s="68" t="n">
        <f aca="false">IFERROR(INDEX(المكونات!$C$2:$C$500,MATCH($B519,المكونات!$A$2:$A$500,0)),"")</f>
        <v>0.18</v>
      </c>
      <c r="F519" s="69" t="n">
        <f aca="false">IFERROR($C519*$E519,"")</f>
        <v>0.36</v>
      </c>
    </row>
    <row r="520" customFormat="false" ht="15" hidden="false" customHeight="true" outlineLevel="0" collapsed="false">
      <c r="A520" s="66" t="s">
        <v>489</v>
      </c>
      <c r="B520" s="66" t="s">
        <v>322</v>
      </c>
      <c r="C520" s="66" t="n">
        <v>1</v>
      </c>
      <c r="D520" s="67" t="str">
        <f aca="false">IFERROR(INDEX(المكونات!$B$2:$B$500,MATCH($B520,المكونات!$A$2:$A$500,0)),"")</f>
        <v>قطعة (كيس)</v>
      </c>
      <c r="E520" s="68" t="n">
        <f aca="false">IFERROR(INDEX(المكونات!$C$2:$C$500,MATCH($B520,المكونات!$A$2:$A$500,0)),"")</f>
        <v>1</v>
      </c>
      <c r="F520" s="69" t="n">
        <f aca="false">IFERROR($C520*$E520,"")</f>
        <v>1</v>
      </c>
    </row>
    <row r="521" customFormat="false" ht="15" hidden="false" customHeight="true" outlineLevel="0" collapsed="false">
      <c r="A521" s="66" t="s">
        <v>489</v>
      </c>
      <c r="B521" s="66" t="s">
        <v>150</v>
      </c>
      <c r="C521" s="66" t="n">
        <v>1.5</v>
      </c>
      <c r="D521" s="67" t="str">
        <f aca="false">IFERROR(INDEX(المكونات!$B$2:$B$500,MATCH($B521,المكونات!$A$2:$A$500,0)),"")</f>
        <v>قطعة</v>
      </c>
      <c r="E521" s="68" t="n">
        <f aca="false">IFERROR(INDEX(المكونات!$C$2:$C$500,MATCH($B521,المكونات!$A$2:$A$500,0)),"")</f>
        <v>95</v>
      </c>
      <c r="F521" s="69" t="n">
        <f aca="false">IFERROR($C521*$E521,"")</f>
        <v>142.5</v>
      </c>
    </row>
    <row r="522" customFormat="false" ht="15" hidden="false" customHeight="true" outlineLevel="0" collapsed="false">
      <c r="A522" s="66" t="s">
        <v>445</v>
      </c>
      <c r="B522" s="66" t="s">
        <v>264</v>
      </c>
      <c r="C522" s="66" t="n">
        <v>1</v>
      </c>
      <c r="D522" s="67" t="str">
        <f aca="false">IFERROR(INDEX(المكونات!$B$2:$B$500,MATCH($B522,المكونات!$A$2:$A$500,0)),"")</f>
        <v>قطعة</v>
      </c>
      <c r="E522" s="68" t="n">
        <f aca="false">IFERROR(INDEX(المكونات!$C$2:$C$500,MATCH($B522,المكونات!$A$2:$A$500,0)),"")</f>
        <v>4</v>
      </c>
      <c r="F522" s="69" t="n">
        <f aca="false">IFERROR($C522*$E522,"")</f>
        <v>4</v>
      </c>
    </row>
    <row r="523" customFormat="false" ht="15" hidden="false" customHeight="true" outlineLevel="0" collapsed="false">
      <c r="A523" s="66" t="s">
        <v>445</v>
      </c>
      <c r="B523" s="66" t="s">
        <v>260</v>
      </c>
      <c r="C523" s="66" t="n">
        <v>0.03</v>
      </c>
      <c r="D523" s="67" t="str">
        <f aca="false">IFERROR(INDEX(المكونات!$B$2:$B$500,MATCH($B523,المكونات!$A$2:$A$500,0)),"")</f>
        <v>كجم</v>
      </c>
      <c r="E523" s="68" t="n">
        <f aca="false">IFERROR(INDEX(المكونات!$C$2:$C$500,MATCH($B523,المكونات!$A$2:$A$500,0)),"")</f>
        <v>21</v>
      </c>
      <c r="F523" s="69" t="n">
        <f aca="false">IFERROR($C523*$E523,"")</f>
        <v>0.63</v>
      </c>
    </row>
    <row r="524" customFormat="false" ht="15" hidden="false" customHeight="true" outlineLevel="0" collapsed="false">
      <c r="A524" s="66" t="s">
        <v>445</v>
      </c>
      <c r="B524" s="66" t="s">
        <v>284</v>
      </c>
      <c r="C524" s="66" t="n">
        <v>0.02</v>
      </c>
      <c r="D524" s="67" t="str">
        <f aca="false">IFERROR(INDEX(المكونات!$B$2:$B$500,MATCH($B524,المكونات!$A$2:$A$500,0)),"")</f>
        <v>كجم</v>
      </c>
      <c r="E524" s="68" t="n">
        <f aca="false">IFERROR(INDEX(المكونات!$C$2:$C$500,MATCH($B524,المكونات!$A$2:$A$500,0)),"")</f>
        <v>27</v>
      </c>
      <c r="F524" s="69" t="n">
        <f aca="false">IFERROR($C524*$E524,"")</f>
        <v>0.54</v>
      </c>
    </row>
    <row r="525" customFormat="false" ht="15" hidden="false" customHeight="true" outlineLevel="0" collapsed="false">
      <c r="A525" s="66" t="s">
        <v>445</v>
      </c>
      <c r="B525" s="66" t="s">
        <v>227</v>
      </c>
      <c r="C525" s="66" t="n">
        <v>0.02</v>
      </c>
      <c r="D525" s="67" t="str">
        <f aca="false">IFERROR(INDEX(المكونات!$B$2:$B$500,MATCH($B525,المكونات!$A$2:$A$500,0)),"")</f>
        <v>كجم</v>
      </c>
      <c r="E525" s="68" t="n">
        <f aca="false">IFERROR(INDEX(المكونات!$C$2:$C$500,MATCH($B525,المكونات!$A$2:$A$500,0)),"")</f>
        <v>95</v>
      </c>
      <c r="F525" s="69" t="n">
        <f aca="false">IFERROR($C525*$E525,"")</f>
        <v>1.9</v>
      </c>
    </row>
    <row r="526" customFormat="false" ht="15" hidden="false" customHeight="true" outlineLevel="0" collapsed="false">
      <c r="A526" s="66" t="s">
        <v>445</v>
      </c>
      <c r="B526" s="66" t="s">
        <v>176</v>
      </c>
      <c r="C526" s="66" t="n">
        <v>1</v>
      </c>
      <c r="D526" s="67" t="str">
        <f aca="false">IFERROR(INDEX(المكونات!$B$2:$B$500,MATCH($B526,المكونات!$A$2:$A$500,0)),"")</f>
        <v>قطعة</v>
      </c>
      <c r="E526" s="68" t="n">
        <f aca="false">IFERROR(INDEX(المكونات!$C$2:$C$500,MATCH($B526,المكونات!$A$2:$A$500,0)),"")</f>
        <v>17.5</v>
      </c>
      <c r="F526" s="69" t="n">
        <f aca="false">IFERROR($C526*$E526,"")</f>
        <v>17.5</v>
      </c>
    </row>
    <row r="527" customFormat="false" ht="15" hidden="false" customHeight="true" outlineLevel="0" collapsed="false">
      <c r="A527" s="66" t="s">
        <v>445</v>
      </c>
      <c r="B527" s="66" t="s">
        <v>270</v>
      </c>
      <c r="C527" s="66" t="n">
        <v>1</v>
      </c>
      <c r="D527" s="67" t="str">
        <f aca="false">IFERROR(INDEX(المكونات!$B$2:$B$500,MATCH($B527,المكونات!$A$2:$A$500,0)),"")</f>
        <v>قطعة</v>
      </c>
      <c r="E527" s="68" t="n">
        <f aca="false">IFERROR(INDEX(المكونات!$C$2:$C$500,MATCH($B527,المكونات!$A$2:$A$500,0)),"")</f>
        <v>4.5</v>
      </c>
      <c r="F527" s="69" t="n">
        <f aca="false">IFERROR($C527*$E527,"")</f>
        <v>4.5</v>
      </c>
    </row>
    <row r="528" customFormat="false" ht="15" hidden="false" customHeight="true" outlineLevel="0" collapsed="false">
      <c r="A528" s="66" t="s">
        <v>445</v>
      </c>
      <c r="B528" s="66" t="s">
        <v>290</v>
      </c>
      <c r="C528" s="66" t="n">
        <v>2</v>
      </c>
      <c r="D528" s="67" t="str">
        <f aca="false">IFERROR(INDEX(المكونات!$B$2:$B$500,MATCH($B528,المكونات!$A$2:$A$500,0)),"")</f>
        <v>قطعة</v>
      </c>
      <c r="E528" s="68" t="n">
        <f aca="false">IFERROR(INDEX(المكونات!$C$2:$C$500,MATCH($B528,المكونات!$A$2:$A$500,0)),"")</f>
        <v>0.3</v>
      </c>
      <c r="F528" s="69" t="n">
        <f aca="false">IFERROR($C528*$E528,"")</f>
        <v>0.6</v>
      </c>
    </row>
    <row r="529" customFormat="false" ht="15" hidden="false" customHeight="true" outlineLevel="0" collapsed="false">
      <c r="A529" s="66" t="s">
        <v>445</v>
      </c>
      <c r="B529" s="66" t="s">
        <v>319</v>
      </c>
      <c r="C529" s="66" t="n">
        <v>1</v>
      </c>
      <c r="D529" s="67" t="str">
        <f aca="false">IFERROR(INDEX(المكونات!$B$2:$B$500,MATCH($B529,المكونات!$A$2:$A$500,0)),"")</f>
        <v>قطعة (ورقة)</v>
      </c>
      <c r="E529" s="68" t="n">
        <f aca="false">IFERROR(INDEX(المكونات!$C$2:$C$500,MATCH($B529,المكونات!$A$2:$A$500,0)),"")</f>
        <v>0.3665</v>
      </c>
      <c r="F529" s="69" t="n">
        <f aca="false">IFERROR($C529*$E529,"")</f>
        <v>0.3665</v>
      </c>
    </row>
    <row r="530" customFormat="false" ht="15" hidden="false" customHeight="true" outlineLevel="0" collapsed="false">
      <c r="A530" s="66" t="s">
        <v>445</v>
      </c>
      <c r="B530" s="66" t="s">
        <v>133</v>
      </c>
      <c r="C530" s="66" t="n">
        <v>1</v>
      </c>
      <c r="D530" s="67" t="str">
        <f aca="false">IFERROR(INDEX(المكونات!$B$2:$B$500,MATCH($B530,المكونات!$A$2:$A$500,0)),"")</f>
        <v>قطعة (كيس)</v>
      </c>
      <c r="E530" s="68" t="n">
        <f aca="false">IFERROR(INDEX(المكونات!$C$2:$C$500,MATCH($B530,المكونات!$A$2:$A$500,0)),"")</f>
        <v>1.4</v>
      </c>
      <c r="F530" s="69" t="n">
        <f aca="false">IFERROR($C530*$E530,"")</f>
        <v>1.4</v>
      </c>
    </row>
    <row r="531" customFormat="false" ht="15" hidden="false" customHeight="true" outlineLevel="0" collapsed="false">
      <c r="A531" s="66" t="s">
        <v>445</v>
      </c>
      <c r="B531" s="66" t="s">
        <v>293</v>
      </c>
      <c r="C531" s="66" t="n">
        <v>1</v>
      </c>
      <c r="D531" s="67" t="str">
        <f aca="false">IFERROR(INDEX(المكونات!$B$2:$B$500,MATCH($B531,المكونات!$A$2:$A$500,0)),"")</f>
        <v>قطعة</v>
      </c>
      <c r="E531" s="68" t="n">
        <f aca="false">IFERROR(INDEX(المكونات!$C$2:$C$500,MATCH($B531,المكونات!$A$2:$A$500,0)),"")</f>
        <v>0.5</v>
      </c>
      <c r="F531" s="69" t="n">
        <f aca="false">IFERROR($C531*$E531,"")</f>
        <v>0.5</v>
      </c>
    </row>
    <row r="532" customFormat="false" ht="15" hidden="false" customHeight="true" outlineLevel="0" collapsed="false">
      <c r="A532" s="66" t="s">
        <v>445</v>
      </c>
      <c r="B532" s="66" t="s">
        <v>211</v>
      </c>
      <c r="C532" s="66" t="n">
        <v>2</v>
      </c>
      <c r="D532" s="67" t="str">
        <f aca="false">IFERROR(INDEX(المكونات!$B$2:$B$500,MATCH($B532,المكونات!$A$2:$A$500,0)),"")</f>
        <v>قطعة (جلفز)</v>
      </c>
      <c r="E532" s="68" t="n">
        <f aca="false">IFERROR(INDEX(المكونات!$C$2:$C$500,MATCH($B532,المكونات!$A$2:$A$500,0)),"")</f>
        <v>0.18</v>
      </c>
      <c r="F532" s="69" t="n">
        <f aca="false">IFERROR($C532*$E532,"")</f>
        <v>0.36</v>
      </c>
    </row>
    <row r="533" customFormat="false" ht="15" hidden="false" customHeight="true" outlineLevel="0" collapsed="false">
      <c r="A533" s="66" t="s">
        <v>445</v>
      </c>
      <c r="B533" s="66" t="s">
        <v>322</v>
      </c>
      <c r="C533" s="66" t="n">
        <v>1</v>
      </c>
      <c r="D533" s="67" t="str">
        <f aca="false">IFERROR(INDEX(المكونات!$B$2:$B$500,MATCH($B533,المكونات!$A$2:$A$500,0)),"")</f>
        <v>قطعة (كيس)</v>
      </c>
      <c r="E533" s="68" t="n">
        <f aca="false">IFERROR(INDEX(المكونات!$C$2:$C$500,MATCH($B533,المكونات!$A$2:$A$500,0)),"")</f>
        <v>1</v>
      </c>
      <c r="F533" s="69" t="n">
        <f aca="false">IFERROR($C533*$E533,"")</f>
        <v>1</v>
      </c>
    </row>
    <row r="534" customFormat="false" ht="15" hidden="false" customHeight="true" outlineLevel="0" collapsed="false">
      <c r="A534" s="66" t="s">
        <v>445</v>
      </c>
      <c r="B534" s="66" t="s">
        <v>162</v>
      </c>
      <c r="C534" s="66" t="n">
        <v>1</v>
      </c>
      <c r="D534" s="67" t="str">
        <f aca="false">IFERROR(INDEX(المكونات!$B$2:$B$500,MATCH($B534,المكونات!$A$2:$A$500,0)),"")</f>
        <v>قطعة</v>
      </c>
      <c r="E534" s="68" t="n">
        <f aca="false">IFERROR(INDEX(المكونات!$C$2:$C$500,MATCH($B534,المكونات!$A$2:$A$500,0)),"")</f>
        <v>30</v>
      </c>
      <c r="F534" s="69" t="n">
        <f aca="false">IFERROR($C534*$E534,"")</f>
        <v>30</v>
      </c>
    </row>
    <row r="535" customFormat="false" ht="15" hidden="false" customHeight="true" outlineLevel="0" collapsed="false">
      <c r="A535" s="66" t="s">
        <v>445</v>
      </c>
      <c r="B535" s="66" t="s">
        <v>256</v>
      </c>
      <c r="C535" s="66" t="n">
        <v>0.1</v>
      </c>
      <c r="D535" s="67" t="str">
        <f aca="false">IFERROR(INDEX(المكونات!$B$2:$B$500,MATCH($B535,المكونات!$A$2:$A$500,0)),"")</f>
        <v>كجم</v>
      </c>
      <c r="E535" s="68" t="n">
        <f aca="false">IFERROR(INDEX(المكونات!$C$2:$C$500,MATCH($B535,المكونات!$A$2:$A$500,0)),"")</f>
        <v>105</v>
      </c>
      <c r="F535" s="69" t="n">
        <f aca="false">IFERROR($C535*$E535,"")</f>
        <v>10.5</v>
      </c>
    </row>
    <row r="536" customFormat="false" ht="15" hidden="false" customHeight="true" outlineLevel="0" collapsed="false">
      <c r="A536" s="66" t="s">
        <v>392</v>
      </c>
      <c r="B536" s="66" t="s">
        <v>264</v>
      </c>
      <c r="C536" s="66" t="n">
        <v>1.5</v>
      </c>
      <c r="D536" s="67" t="str">
        <f aca="false">IFERROR(INDEX(المكونات!$B$2:$B$500,MATCH($B536,المكونات!$A$2:$A$500,0)),"")</f>
        <v>قطعة</v>
      </c>
      <c r="E536" s="68" t="n">
        <f aca="false">IFERROR(INDEX(المكونات!$C$2:$C$500,MATCH($B536,المكونات!$A$2:$A$500,0)),"")</f>
        <v>4</v>
      </c>
      <c r="F536" s="69" t="n">
        <f aca="false">IFERROR($C536*$E536,"")</f>
        <v>6</v>
      </c>
    </row>
    <row r="537" customFormat="false" ht="15" hidden="false" customHeight="true" outlineLevel="0" collapsed="false">
      <c r="A537" s="66" t="s">
        <v>392</v>
      </c>
      <c r="B537" s="66" t="s">
        <v>260</v>
      </c>
      <c r="C537" s="66" t="n">
        <v>0.045</v>
      </c>
      <c r="D537" s="67" t="str">
        <f aca="false">IFERROR(INDEX(المكونات!$B$2:$B$500,MATCH($B537,المكونات!$A$2:$A$500,0)),"")</f>
        <v>كجم</v>
      </c>
      <c r="E537" s="68" t="n">
        <f aca="false">IFERROR(INDEX(المكونات!$C$2:$C$500,MATCH($B537,المكونات!$A$2:$A$500,0)),"")</f>
        <v>21</v>
      </c>
      <c r="F537" s="69" t="n">
        <f aca="false">IFERROR($C537*$E537,"")</f>
        <v>0.945</v>
      </c>
    </row>
    <row r="538" customFormat="false" ht="15" hidden="false" customHeight="true" outlineLevel="0" collapsed="false">
      <c r="A538" s="66" t="s">
        <v>392</v>
      </c>
      <c r="B538" s="66" t="s">
        <v>284</v>
      </c>
      <c r="C538" s="66" t="n">
        <v>0.03</v>
      </c>
      <c r="D538" s="67" t="str">
        <f aca="false">IFERROR(INDEX(المكونات!$B$2:$B$500,MATCH($B538,المكونات!$A$2:$A$500,0)),"")</f>
        <v>كجم</v>
      </c>
      <c r="E538" s="68" t="n">
        <f aca="false">IFERROR(INDEX(المكونات!$C$2:$C$500,MATCH($B538,المكونات!$A$2:$A$500,0)),"")</f>
        <v>27</v>
      </c>
      <c r="F538" s="69" t="n">
        <f aca="false">IFERROR($C538*$E538,"")</f>
        <v>0.81</v>
      </c>
    </row>
    <row r="539" customFormat="false" ht="15" hidden="false" customHeight="true" outlineLevel="0" collapsed="false">
      <c r="A539" s="66" t="s">
        <v>392</v>
      </c>
      <c r="B539" s="66" t="s">
        <v>227</v>
      </c>
      <c r="C539" s="66" t="n">
        <v>0.03</v>
      </c>
      <c r="D539" s="67" t="str">
        <f aca="false">IFERROR(INDEX(المكونات!$B$2:$B$500,MATCH($B539,المكونات!$A$2:$A$500,0)),"")</f>
        <v>كجم</v>
      </c>
      <c r="E539" s="68" t="n">
        <f aca="false">IFERROR(INDEX(المكونات!$C$2:$C$500,MATCH($B539,المكونات!$A$2:$A$500,0)),"")</f>
        <v>95</v>
      </c>
      <c r="F539" s="69" t="n">
        <f aca="false">IFERROR($C539*$E539,"")</f>
        <v>2.85</v>
      </c>
    </row>
    <row r="540" customFormat="false" ht="15" hidden="false" customHeight="true" outlineLevel="0" collapsed="false">
      <c r="A540" s="66" t="s">
        <v>392</v>
      </c>
      <c r="B540" s="66" t="s">
        <v>178</v>
      </c>
      <c r="C540" s="66" t="n">
        <v>1</v>
      </c>
      <c r="D540" s="67" t="str">
        <f aca="false">IFERROR(INDEX(المكونات!$B$2:$B$500,MATCH($B540,المكونات!$A$2:$A$500,0)),"")</f>
        <v>قطعة</v>
      </c>
      <c r="E540" s="68" t="n">
        <f aca="false">IFERROR(INDEX(المكونات!$C$2:$C$500,MATCH($B540,المكونات!$A$2:$A$500,0)),"")</f>
        <v>25</v>
      </c>
      <c r="F540" s="69" t="n">
        <f aca="false">IFERROR($C540*$E540,"")</f>
        <v>25</v>
      </c>
    </row>
    <row r="541" customFormat="false" ht="15" hidden="false" customHeight="true" outlineLevel="0" collapsed="false">
      <c r="A541" s="66" t="s">
        <v>392</v>
      </c>
      <c r="B541" s="66" t="s">
        <v>268</v>
      </c>
      <c r="C541" s="66" t="n">
        <v>1</v>
      </c>
      <c r="D541" s="67" t="str">
        <f aca="false">IFERROR(INDEX(المكونات!$B$2:$B$500,MATCH($B541,المكونات!$A$2:$A$500,0)),"")</f>
        <v>قطعة</v>
      </c>
      <c r="E541" s="68" t="n">
        <f aca="false">IFERROR(INDEX(المكونات!$C$2:$C$500,MATCH($B541,المكونات!$A$2:$A$500,0)),"")</f>
        <v>5.5</v>
      </c>
      <c r="F541" s="69" t="n">
        <f aca="false">IFERROR($C541*$E541,"")</f>
        <v>5.5</v>
      </c>
    </row>
    <row r="542" customFormat="false" ht="15" hidden="false" customHeight="true" outlineLevel="0" collapsed="false">
      <c r="A542" s="66" t="s">
        <v>392</v>
      </c>
      <c r="B542" s="66" t="s">
        <v>290</v>
      </c>
      <c r="C542" s="66" t="n">
        <v>3</v>
      </c>
      <c r="D542" s="67" t="str">
        <f aca="false">IFERROR(INDEX(المكونات!$B$2:$B$500,MATCH($B542,المكونات!$A$2:$A$500,0)),"")</f>
        <v>قطعة</v>
      </c>
      <c r="E542" s="68" t="n">
        <f aca="false">IFERROR(INDEX(المكونات!$C$2:$C$500,MATCH($B542,المكونات!$A$2:$A$500,0)),"")</f>
        <v>0.3</v>
      </c>
      <c r="F542" s="69" t="n">
        <f aca="false">IFERROR($C542*$E542,"")</f>
        <v>0.9</v>
      </c>
    </row>
    <row r="543" customFormat="false" ht="15" hidden="false" customHeight="true" outlineLevel="0" collapsed="false">
      <c r="A543" s="66" t="s">
        <v>392</v>
      </c>
      <c r="B543" s="66" t="s">
        <v>319</v>
      </c>
      <c r="C543" s="66" t="n">
        <v>1</v>
      </c>
      <c r="D543" s="67" t="str">
        <f aca="false">IFERROR(INDEX(المكونات!$B$2:$B$500,MATCH($B543,المكونات!$A$2:$A$500,0)),"")</f>
        <v>قطعة (ورقة)</v>
      </c>
      <c r="E543" s="68" t="n">
        <f aca="false">IFERROR(INDEX(المكونات!$C$2:$C$500,MATCH($B543,المكونات!$A$2:$A$500,0)),"")</f>
        <v>0.3665</v>
      </c>
      <c r="F543" s="69" t="n">
        <f aca="false">IFERROR($C543*$E543,"")</f>
        <v>0.3665</v>
      </c>
    </row>
    <row r="544" customFormat="false" ht="15" hidden="false" customHeight="true" outlineLevel="0" collapsed="false">
      <c r="A544" s="66" t="s">
        <v>392</v>
      </c>
      <c r="B544" s="66" t="s">
        <v>133</v>
      </c>
      <c r="C544" s="66" t="n">
        <v>1</v>
      </c>
      <c r="D544" s="67" t="str">
        <f aca="false">IFERROR(INDEX(المكونات!$B$2:$B$500,MATCH($B544,المكونات!$A$2:$A$500,0)),"")</f>
        <v>قطعة (كيس)</v>
      </c>
      <c r="E544" s="68" t="n">
        <f aca="false">IFERROR(INDEX(المكونات!$C$2:$C$500,MATCH($B544,المكونات!$A$2:$A$500,0)),"")</f>
        <v>1.4</v>
      </c>
      <c r="F544" s="69" t="n">
        <f aca="false">IFERROR($C544*$E544,"")</f>
        <v>1.4</v>
      </c>
    </row>
    <row r="545" customFormat="false" ht="15" hidden="false" customHeight="true" outlineLevel="0" collapsed="false">
      <c r="A545" s="66" t="s">
        <v>392</v>
      </c>
      <c r="B545" s="66" t="s">
        <v>293</v>
      </c>
      <c r="C545" s="66" t="n">
        <v>1</v>
      </c>
      <c r="D545" s="67" t="str">
        <f aca="false">IFERROR(INDEX(المكونات!$B$2:$B$500,MATCH($B545,المكونات!$A$2:$A$500,0)),"")</f>
        <v>قطعة</v>
      </c>
      <c r="E545" s="68" t="n">
        <f aca="false">IFERROR(INDEX(المكونات!$C$2:$C$500,MATCH($B545,المكونات!$A$2:$A$500,0)),"")</f>
        <v>0.5</v>
      </c>
      <c r="F545" s="69" t="n">
        <f aca="false">IFERROR($C545*$E545,"")</f>
        <v>0.5</v>
      </c>
    </row>
    <row r="546" customFormat="false" ht="15" hidden="false" customHeight="true" outlineLevel="0" collapsed="false">
      <c r="A546" s="66" t="s">
        <v>392</v>
      </c>
      <c r="B546" s="66" t="s">
        <v>211</v>
      </c>
      <c r="C546" s="66" t="n">
        <v>2</v>
      </c>
      <c r="D546" s="67" t="str">
        <f aca="false">IFERROR(INDEX(المكونات!$B$2:$B$500,MATCH($B546,المكونات!$A$2:$A$500,0)),"")</f>
        <v>قطعة (جلفز)</v>
      </c>
      <c r="E546" s="68" t="n">
        <f aca="false">IFERROR(INDEX(المكونات!$C$2:$C$500,MATCH($B546,المكونات!$A$2:$A$500,0)),"")</f>
        <v>0.18</v>
      </c>
      <c r="F546" s="69" t="n">
        <f aca="false">IFERROR($C546*$E546,"")</f>
        <v>0.36</v>
      </c>
    </row>
    <row r="547" customFormat="false" ht="15" hidden="false" customHeight="true" outlineLevel="0" collapsed="false">
      <c r="A547" s="66" t="s">
        <v>392</v>
      </c>
      <c r="B547" s="66" t="s">
        <v>322</v>
      </c>
      <c r="C547" s="66" t="n">
        <v>1</v>
      </c>
      <c r="D547" s="67" t="str">
        <f aca="false">IFERROR(INDEX(المكونات!$B$2:$B$500,MATCH($B547,المكونات!$A$2:$A$500,0)),"")</f>
        <v>قطعة (كيس)</v>
      </c>
      <c r="E547" s="68" t="n">
        <f aca="false">IFERROR(INDEX(المكونات!$C$2:$C$500,MATCH($B547,المكونات!$A$2:$A$500,0)),"")</f>
        <v>1</v>
      </c>
      <c r="F547" s="69" t="n">
        <f aca="false">IFERROR($C547*$E547,"")</f>
        <v>1</v>
      </c>
    </row>
    <row r="548" customFormat="false" ht="15" hidden="false" customHeight="true" outlineLevel="0" collapsed="false">
      <c r="A548" s="66" t="s">
        <v>392</v>
      </c>
      <c r="B548" s="66" t="s">
        <v>164</v>
      </c>
      <c r="C548" s="66" t="n">
        <v>1</v>
      </c>
      <c r="D548" s="67" t="str">
        <f aca="false">IFERROR(INDEX(المكونات!$B$2:$B$500,MATCH($B548,المكونات!$A$2:$A$500,0)),"")</f>
        <v>قطعة</v>
      </c>
      <c r="E548" s="68" t="n">
        <f aca="false">IFERROR(INDEX(المكونات!$C$2:$C$500,MATCH($B548,المكونات!$A$2:$A$500,0)),"")</f>
        <v>29</v>
      </c>
      <c r="F548" s="69" t="n">
        <f aca="false">IFERROR($C548*$E548,"")</f>
        <v>29</v>
      </c>
    </row>
    <row r="549" customFormat="false" ht="15" hidden="false" customHeight="true" outlineLevel="0" collapsed="false">
      <c r="A549" s="66" t="s">
        <v>392</v>
      </c>
      <c r="B549" s="66" t="s">
        <v>256</v>
      </c>
      <c r="C549" s="66" t="n">
        <v>0.15</v>
      </c>
      <c r="D549" s="67" t="str">
        <f aca="false">IFERROR(INDEX(المكونات!$B$2:$B$500,MATCH($B549,المكونات!$A$2:$A$500,0)),"")</f>
        <v>كجم</v>
      </c>
      <c r="E549" s="68" t="n">
        <f aca="false">IFERROR(INDEX(المكونات!$C$2:$C$500,MATCH($B549,المكونات!$A$2:$A$500,0)),"")</f>
        <v>105</v>
      </c>
      <c r="F549" s="69" t="n">
        <f aca="false">IFERROR($C549*$E549,"")</f>
        <v>15.75</v>
      </c>
    </row>
    <row r="550" customFormat="false" ht="15" hidden="false" customHeight="true" outlineLevel="0" collapsed="false">
      <c r="A550" s="66" t="s">
        <v>459</v>
      </c>
      <c r="B550" s="66" t="s">
        <v>264</v>
      </c>
      <c r="C550" s="66" t="n">
        <v>1</v>
      </c>
      <c r="D550" s="67" t="str">
        <f aca="false">IFERROR(INDEX(المكونات!$B$2:$B$500,MATCH($B550,المكونات!$A$2:$A$500,0)),"")</f>
        <v>قطعة</v>
      </c>
      <c r="E550" s="68" t="n">
        <f aca="false">IFERROR(INDEX(المكونات!$C$2:$C$500,MATCH($B550,المكونات!$A$2:$A$500,0)),"")</f>
        <v>4</v>
      </c>
      <c r="F550" s="69" t="n">
        <f aca="false">IFERROR($C550*$E550,"")</f>
        <v>4</v>
      </c>
    </row>
    <row r="551" customFormat="false" ht="15" hidden="false" customHeight="true" outlineLevel="0" collapsed="false">
      <c r="A551" s="66" t="s">
        <v>459</v>
      </c>
      <c r="B551" s="66" t="s">
        <v>260</v>
      </c>
      <c r="C551" s="66" t="n">
        <v>0.03</v>
      </c>
      <c r="D551" s="67" t="str">
        <f aca="false">IFERROR(INDEX(المكونات!$B$2:$B$500,MATCH($B551,المكونات!$A$2:$A$500,0)),"")</f>
        <v>كجم</v>
      </c>
      <c r="E551" s="68" t="n">
        <f aca="false">IFERROR(INDEX(المكونات!$C$2:$C$500,MATCH($B551,المكونات!$A$2:$A$500,0)),"")</f>
        <v>21</v>
      </c>
      <c r="F551" s="69" t="n">
        <f aca="false">IFERROR($C551*$E551,"")</f>
        <v>0.63</v>
      </c>
    </row>
    <row r="552" customFormat="false" ht="15" hidden="false" customHeight="true" outlineLevel="0" collapsed="false">
      <c r="A552" s="66" t="s">
        <v>459</v>
      </c>
      <c r="B552" s="66" t="s">
        <v>284</v>
      </c>
      <c r="C552" s="66" t="n">
        <v>0.02</v>
      </c>
      <c r="D552" s="67" t="str">
        <f aca="false">IFERROR(INDEX(المكونات!$B$2:$B$500,MATCH($B552,المكونات!$A$2:$A$500,0)),"")</f>
        <v>كجم</v>
      </c>
      <c r="E552" s="68" t="n">
        <f aca="false">IFERROR(INDEX(المكونات!$C$2:$C$500,MATCH($B552,المكونات!$A$2:$A$500,0)),"")</f>
        <v>27</v>
      </c>
      <c r="F552" s="69" t="n">
        <f aca="false">IFERROR($C552*$E552,"")</f>
        <v>0.54</v>
      </c>
    </row>
    <row r="553" customFormat="false" ht="15" hidden="false" customHeight="true" outlineLevel="0" collapsed="false">
      <c r="A553" s="66" t="s">
        <v>459</v>
      </c>
      <c r="B553" s="66" t="s">
        <v>227</v>
      </c>
      <c r="C553" s="66" t="n">
        <v>0.02</v>
      </c>
      <c r="D553" s="67" t="str">
        <f aca="false">IFERROR(INDEX(المكونات!$B$2:$B$500,MATCH($B553,المكونات!$A$2:$A$500,0)),"")</f>
        <v>كجم</v>
      </c>
      <c r="E553" s="68" t="n">
        <f aca="false">IFERROR(INDEX(المكونات!$C$2:$C$500,MATCH($B553,المكونات!$A$2:$A$500,0)),"")</f>
        <v>95</v>
      </c>
      <c r="F553" s="69" t="n">
        <f aca="false">IFERROR($C553*$E553,"")</f>
        <v>1.9</v>
      </c>
    </row>
    <row r="554" customFormat="false" ht="15" hidden="false" customHeight="true" outlineLevel="0" collapsed="false">
      <c r="A554" s="66" t="s">
        <v>459</v>
      </c>
      <c r="B554" s="66" t="s">
        <v>176</v>
      </c>
      <c r="C554" s="66" t="n">
        <v>1</v>
      </c>
      <c r="D554" s="67" t="str">
        <f aca="false">IFERROR(INDEX(المكونات!$B$2:$B$500,MATCH($B554,المكونات!$A$2:$A$500,0)),"")</f>
        <v>قطعة</v>
      </c>
      <c r="E554" s="68" t="n">
        <f aca="false">IFERROR(INDEX(المكونات!$C$2:$C$500,MATCH($B554,المكونات!$A$2:$A$500,0)),"")</f>
        <v>17.5</v>
      </c>
      <c r="F554" s="69" t="n">
        <f aca="false">IFERROR($C554*$E554,"")</f>
        <v>17.5</v>
      </c>
    </row>
    <row r="555" customFormat="false" ht="15" hidden="false" customHeight="true" outlineLevel="0" collapsed="false">
      <c r="A555" s="66" t="s">
        <v>459</v>
      </c>
      <c r="B555" s="66" t="s">
        <v>270</v>
      </c>
      <c r="C555" s="66" t="n">
        <v>1</v>
      </c>
      <c r="D555" s="67" t="str">
        <f aca="false">IFERROR(INDEX(المكونات!$B$2:$B$500,MATCH($B555,المكونات!$A$2:$A$500,0)),"")</f>
        <v>قطعة</v>
      </c>
      <c r="E555" s="68" t="n">
        <f aca="false">IFERROR(INDEX(المكونات!$C$2:$C$500,MATCH($B555,المكونات!$A$2:$A$500,0)),"")</f>
        <v>4.5</v>
      </c>
      <c r="F555" s="69" t="n">
        <f aca="false">IFERROR($C555*$E555,"")</f>
        <v>4.5</v>
      </c>
    </row>
    <row r="556" customFormat="false" ht="15" hidden="false" customHeight="true" outlineLevel="0" collapsed="false">
      <c r="A556" s="66" t="s">
        <v>459</v>
      </c>
      <c r="B556" s="66" t="s">
        <v>290</v>
      </c>
      <c r="C556" s="66" t="n">
        <v>2</v>
      </c>
      <c r="D556" s="67" t="str">
        <f aca="false">IFERROR(INDEX(المكونات!$B$2:$B$500,MATCH($B556,المكونات!$A$2:$A$500,0)),"")</f>
        <v>قطعة</v>
      </c>
      <c r="E556" s="68" t="n">
        <f aca="false">IFERROR(INDEX(المكونات!$C$2:$C$500,MATCH($B556,المكونات!$A$2:$A$500,0)),"")</f>
        <v>0.3</v>
      </c>
      <c r="F556" s="69" t="n">
        <f aca="false">IFERROR($C556*$E556,"")</f>
        <v>0.6</v>
      </c>
    </row>
    <row r="557" customFormat="false" ht="15" hidden="false" customHeight="true" outlineLevel="0" collapsed="false">
      <c r="A557" s="66" t="s">
        <v>459</v>
      </c>
      <c r="B557" s="66" t="s">
        <v>319</v>
      </c>
      <c r="C557" s="66" t="n">
        <v>1</v>
      </c>
      <c r="D557" s="67" t="str">
        <f aca="false">IFERROR(INDEX(المكونات!$B$2:$B$500,MATCH($B557,المكونات!$A$2:$A$500,0)),"")</f>
        <v>قطعة (ورقة)</v>
      </c>
      <c r="E557" s="68" t="n">
        <f aca="false">IFERROR(INDEX(المكونات!$C$2:$C$500,MATCH($B557,المكونات!$A$2:$A$500,0)),"")</f>
        <v>0.3665</v>
      </c>
      <c r="F557" s="69" t="n">
        <f aca="false">IFERROR($C557*$E557,"")</f>
        <v>0.3665</v>
      </c>
    </row>
    <row r="558" customFormat="false" ht="15" hidden="false" customHeight="true" outlineLevel="0" collapsed="false">
      <c r="A558" s="66" t="s">
        <v>459</v>
      </c>
      <c r="B558" s="66" t="s">
        <v>133</v>
      </c>
      <c r="C558" s="66" t="n">
        <v>1</v>
      </c>
      <c r="D558" s="67" t="str">
        <f aca="false">IFERROR(INDEX(المكونات!$B$2:$B$500,MATCH($B558,المكونات!$A$2:$A$500,0)),"")</f>
        <v>قطعة (كيس)</v>
      </c>
      <c r="E558" s="68" t="n">
        <f aca="false">IFERROR(INDEX(المكونات!$C$2:$C$500,MATCH($B558,المكونات!$A$2:$A$500,0)),"")</f>
        <v>1.4</v>
      </c>
      <c r="F558" s="69" t="n">
        <f aca="false">IFERROR($C558*$E558,"")</f>
        <v>1.4</v>
      </c>
    </row>
    <row r="559" customFormat="false" ht="15" hidden="false" customHeight="true" outlineLevel="0" collapsed="false">
      <c r="A559" s="66" t="s">
        <v>459</v>
      </c>
      <c r="B559" s="66" t="s">
        <v>293</v>
      </c>
      <c r="C559" s="66" t="n">
        <v>1</v>
      </c>
      <c r="D559" s="67" t="str">
        <f aca="false">IFERROR(INDEX(المكونات!$B$2:$B$500,MATCH($B559,المكونات!$A$2:$A$500,0)),"")</f>
        <v>قطعة</v>
      </c>
      <c r="E559" s="68" t="n">
        <f aca="false">IFERROR(INDEX(المكونات!$C$2:$C$500,MATCH($B559,المكونات!$A$2:$A$500,0)),"")</f>
        <v>0.5</v>
      </c>
      <c r="F559" s="69" t="n">
        <f aca="false">IFERROR($C559*$E559,"")</f>
        <v>0.5</v>
      </c>
    </row>
    <row r="560" customFormat="false" ht="15" hidden="false" customHeight="true" outlineLevel="0" collapsed="false">
      <c r="A560" s="66" t="s">
        <v>459</v>
      </c>
      <c r="B560" s="66" t="s">
        <v>211</v>
      </c>
      <c r="C560" s="66" t="n">
        <v>2</v>
      </c>
      <c r="D560" s="67" t="str">
        <f aca="false">IFERROR(INDEX(المكونات!$B$2:$B$500,MATCH($B560,المكونات!$A$2:$A$500,0)),"")</f>
        <v>قطعة (جلفز)</v>
      </c>
      <c r="E560" s="68" t="n">
        <f aca="false">IFERROR(INDEX(المكونات!$C$2:$C$500,MATCH($B560,المكونات!$A$2:$A$500,0)),"")</f>
        <v>0.18</v>
      </c>
      <c r="F560" s="69" t="n">
        <f aca="false">IFERROR($C560*$E560,"")</f>
        <v>0.36</v>
      </c>
    </row>
    <row r="561" customFormat="false" ht="15" hidden="false" customHeight="true" outlineLevel="0" collapsed="false">
      <c r="A561" s="66" t="s">
        <v>459</v>
      </c>
      <c r="B561" s="66" t="s">
        <v>322</v>
      </c>
      <c r="C561" s="66" t="n">
        <v>1</v>
      </c>
      <c r="D561" s="67" t="str">
        <f aca="false">IFERROR(INDEX(المكونات!$B$2:$B$500,MATCH($B561,المكونات!$A$2:$A$500,0)),"")</f>
        <v>قطعة (كيس)</v>
      </c>
      <c r="E561" s="68" t="n">
        <f aca="false">IFERROR(INDEX(المكونات!$C$2:$C$500,MATCH($B561,المكونات!$A$2:$A$500,0)),"")</f>
        <v>1</v>
      </c>
      <c r="F561" s="69" t="n">
        <f aca="false">IFERROR($C561*$E561,"")</f>
        <v>1</v>
      </c>
    </row>
    <row r="562" customFormat="false" ht="15" hidden="false" customHeight="true" outlineLevel="0" collapsed="false">
      <c r="A562" s="66" t="s">
        <v>459</v>
      </c>
      <c r="B562" s="66" t="s">
        <v>162</v>
      </c>
      <c r="C562" s="66" t="n">
        <v>1</v>
      </c>
      <c r="D562" s="67" t="str">
        <f aca="false">IFERROR(INDEX(المكونات!$B$2:$B$500,MATCH($B562,المكونات!$A$2:$A$500,0)),"")</f>
        <v>قطعة</v>
      </c>
      <c r="E562" s="68" t="n">
        <f aca="false">IFERROR(INDEX(المكونات!$C$2:$C$500,MATCH($B562,المكونات!$A$2:$A$500,0)),"")</f>
        <v>30</v>
      </c>
      <c r="F562" s="69" t="n">
        <f aca="false">IFERROR($C562*$E562,"")</f>
        <v>30</v>
      </c>
    </row>
    <row r="563" customFormat="false" ht="15" hidden="false" customHeight="true" outlineLevel="0" collapsed="false">
      <c r="A563" s="66" t="s">
        <v>459</v>
      </c>
      <c r="B563" s="66" t="s">
        <v>258</v>
      </c>
      <c r="C563" s="66" t="n">
        <v>0.1</v>
      </c>
      <c r="D563" s="67" t="str">
        <f aca="false">IFERROR(INDEX(المكونات!$B$2:$B$500,MATCH($B563,المكونات!$A$2:$A$500,0)),"")</f>
        <v>كجم</v>
      </c>
      <c r="E563" s="68" t="n">
        <f aca="false">IFERROR(INDEX(المكونات!$C$2:$C$500,MATCH($B563,المكونات!$A$2:$A$500,0)),"")</f>
        <v>140</v>
      </c>
      <c r="F563" s="69" t="n">
        <f aca="false">IFERROR($C563*$E563,"")</f>
        <v>14</v>
      </c>
    </row>
    <row r="564" customFormat="false" ht="15" hidden="false" customHeight="true" outlineLevel="0" collapsed="false">
      <c r="A564" s="66" t="s">
        <v>397</v>
      </c>
      <c r="B564" s="66" t="s">
        <v>264</v>
      </c>
      <c r="C564" s="66" t="n">
        <v>1.5</v>
      </c>
      <c r="D564" s="67" t="str">
        <f aca="false">IFERROR(INDEX(المكونات!$B$2:$B$500,MATCH($B564,المكونات!$A$2:$A$500,0)),"")</f>
        <v>قطعة</v>
      </c>
      <c r="E564" s="68" t="n">
        <f aca="false">IFERROR(INDEX(المكونات!$C$2:$C$500,MATCH($B564,المكونات!$A$2:$A$500,0)),"")</f>
        <v>4</v>
      </c>
      <c r="F564" s="69" t="n">
        <f aca="false">IFERROR($C564*$E564,"")</f>
        <v>6</v>
      </c>
    </row>
    <row r="565" customFormat="false" ht="15" hidden="false" customHeight="true" outlineLevel="0" collapsed="false">
      <c r="A565" s="66" t="s">
        <v>397</v>
      </c>
      <c r="B565" s="66" t="s">
        <v>260</v>
      </c>
      <c r="C565" s="66" t="n">
        <v>0.045</v>
      </c>
      <c r="D565" s="67" t="str">
        <f aca="false">IFERROR(INDEX(المكونات!$B$2:$B$500,MATCH($B565,المكونات!$A$2:$A$500,0)),"")</f>
        <v>كجم</v>
      </c>
      <c r="E565" s="68" t="n">
        <f aca="false">IFERROR(INDEX(المكونات!$C$2:$C$500,MATCH($B565,المكونات!$A$2:$A$500,0)),"")</f>
        <v>21</v>
      </c>
      <c r="F565" s="69" t="n">
        <f aca="false">IFERROR($C565*$E565,"")</f>
        <v>0.945</v>
      </c>
    </row>
    <row r="566" customFormat="false" ht="15" hidden="false" customHeight="true" outlineLevel="0" collapsed="false">
      <c r="A566" s="66" t="s">
        <v>397</v>
      </c>
      <c r="B566" s="66" t="s">
        <v>284</v>
      </c>
      <c r="C566" s="66" t="n">
        <v>0.03</v>
      </c>
      <c r="D566" s="67" t="str">
        <f aca="false">IFERROR(INDEX(المكونات!$B$2:$B$500,MATCH($B566,المكونات!$A$2:$A$500,0)),"")</f>
        <v>كجم</v>
      </c>
      <c r="E566" s="68" t="n">
        <f aca="false">IFERROR(INDEX(المكونات!$C$2:$C$500,MATCH($B566,المكونات!$A$2:$A$500,0)),"")</f>
        <v>27</v>
      </c>
      <c r="F566" s="69" t="n">
        <f aca="false">IFERROR($C566*$E566,"")</f>
        <v>0.81</v>
      </c>
    </row>
    <row r="567" customFormat="false" ht="15" hidden="false" customHeight="true" outlineLevel="0" collapsed="false">
      <c r="A567" s="66" t="s">
        <v>397</v>
      </c>
      <c r="B567" s="66" t="s">
        <v>227</v>
      </c>
      <c r="C567" s="66" t="n">
        <v>0.03</v>
      </c>
      <c r="D567" s="67" t="str">
        <f aca="false">IFERROR(INDEX(المكونات!$B$2:$B$500,MATCH($B567,المكونات!$A$2:$A$500,0)),"")</f>
        <v>كجم</v>
      </c>
      <c r="E567" s="68" t="n">
        <f aca="false">IFERROR(INDEX(المكونات!$C$2:$C$500,MATCH($B567,المكونات!$A$2:$A$500,0)),"")</f>
        <v>95</v>
      </c>
      <c r="F567" s="69" t="n">
        <f aca="false">IFERROR($C567*$E567,"")</f>
        <v>2.85</v>
      </c>
    </row>
    <row r="568" customFormat="false" ht="15" hidden="false" customHeight="true" outlineLevel="0" collapsed="false">
      <c r="A568" s="66" t="s">
        <v>397</v>
      </c>
      <c r="B568" s="66" t="s">
        <v>178</v>
      </c>
      <c r="C568" s="66" t="n">
        <v>1</v>
      </c>
      <c r="D568" s="67" t="str">
        <f aca="false">IFERROR(INDEX(المكونات!$B$2:$B$500,MATCH($B568,المكونات!$A$2:$A$500,0)),"")</f>
        <v>قطعة</v>
      </c>
      <c r="E568" s="68" t="n">
        <f aca="false">IFERROR(INDEX(المكونات!$C$2:$C$500,MATCH($B568,المكونات!$A$2:$A$500,0)),"")</f>
        <v>25</v>
      </c>
      <c r="F568" s="69" t="n">
        <f aca="false">IFERROR($C568*$E568,"")</f>
        <v>25</v>
      </c>
    </row>
    <row r="569" customFormat="false" ht="15" hidden="false" customHeight="true" outlineLevel="0" collapsed="false">
      <c r="A569" s="66" t="s">
        <v>397</v>
      </c>
      <c r="B569" s="66" t="s">
        <v>268</v>
      </c>
      <c r="C569" s="66" t="n">
        <v>1</v>
      </c>
      <c r="D569" s="67" t="str">
        <f aca="false">IFERROR(INDEX(المكونات!$B$2:$B$500,MATCH($B569,المكونات!$A$2:$A$500,0)),"")</f>
        <v>قطعة</v>
      </c>
      <c r="E569" s="68" t="n">
        <f aca="false">IFERROR(INDEX(المكونات!$C$2:$C$500,MATCH($B569,المكونات!$A$2:$A$500,0)),"")</f>
        <v>5.5</v>
      </c>
      <c r="F569" s="69" t="n">
        <f aca="false">IFERROR($C569*$E569,"")</f>
        <v>5.5</v>
      </c>
    </row>
    <row r="570" customFormat="false" ht="15" hidden="false" customHeight="true" outlineLevel="0" collapsed="false">
      <c r="A570" s="66" t="s">
        <v>397</v>
      </c>
      <c r="B570" s="66" t="s">
        <v>290</v>
      </c>
      <c r="C570" s="66" t="n">
        <v>3</v>
      </c>
      <c r="D570" s="67" t="str">
        <f aca="false">IFERROR(INDEX(المكونات!$B$2:$B$500,MATCH($B570,المكونات!$A$2:$A$500,0)),"")</f>
        <v>قطعة</v>
      </c>
      <c r="E570" s="68" t="n">
        <f aca="false">IFERROR(INDEX(المكونات!$C$2:$C$500,MATCH($B570,المكونات!$A$2:$A$500,0)),"")</f>
        <v>0.3</v>
      </c>
      <c r="F570" s="69" t="n">
        <f aca="false">IFERROR($C570*$E570,"")</f>
        <v>0.9</v>
      </c>
    </row>
    <row r="571" customFormat="false" ht="15" hidden="false" customHeight="true" outlineLevel="0" collapsed="false">
      <c r="A571" s="66" t="s">
        <v>397</v>
      </c>
      <c r="B571" s="66" t="s">
        <v>319</v>
      </c>
      <c r="C571" s="66" t="n">
        <v>1</v>
      </c>
      <c r="D571" s="67" t="str">
        <f aca="false">IFERROR(INDEX(المكونات!$B$2:$B$500,MATCH($B571,المكونات!$A$2:$A$500,0)),"")</f>
        <v>قطعة (ورقة)</v>
      </c>
      <c r="E571" s="68" t="n">
        <f aca="false">IFERROR(INDEX(المكونات!$C$2:$C$500,MATCH($B571,المكونات!$A$2:$A$500,0)),"")</f>
        <v>0.3665</v>
      </c>
      <c r="F571" s="69" t="n">
        <f aca="false">IFERROR($C571*$E571,"")</f>
        <v>0.3665</v>
      </c>
    </row>
    <row r="572" customFormat="false" ht="15" hidden="false" customHeight="true" outlineLevel="0" collapsed="false">
      <c r="A572" s="66" t="s">
        <v>397</v>
      </c>
      <c r="B572" s="66" t="s">
        <v>133</v>
      </c>
      <c r="C572" s="66" t="n">
        <v>1</v>
      </c>
      <c r="D572" s="67" t="str">
        <f aca="false">IFERROR(INDEX(المكونات!$B$2:$B$500,MATCH($B572,المكونات!$A$2:$A$500,0)),"")</f>
        <v>قطعة (كيس)</v>
      </c>
      <c r="E572" s="68" t="n">
        <f aca="false">IFERROR(INDEX(المكونات!$C$2:$C$500,MATCH($B572,المكونات!$A$2:$A$500,0)),"")</f>
        <v>1.4</v>
      </c>
      <c r="F572" s="69" t="n">
        <f aca="false">IFERROR($C572*$E572,"")</f>
        <v>1.4</v>
      </c>
    </row>
    <row r="573" customFormat="false" ht="15" hidden="false" customHeight="true" outlineLevel="0" collapsed="false">
      <c r="A573" s="66" t="s">
        <v>397</v>
      </c>
      <c r="B573" s="66" t="s">
        <v>293</v>
      </c>
      <c r="C573" s="66" t="n">
        <v>1</v>
      </c>
      <c r="D573" s="67" t="str">
        <f aca="false">IFERROR(INDEX(المكونات!$B$2:$B$500,MATCH($B573,المكونات!$A$2:$A$500,0)),"")</f>
        <v>قطعة</v>
      </c>
      <c r="E573" s="68" t="n">
        <f aca="false">IFERROR(INDEX(المكونات!$C$2:$C$500,MATCH($B573,المكونات!$A$2:$A$500,0)),"")</f>
        <v>0.5</v>
      </c>
      <c r="F573" s="69" t="n">
        <f aca="false">IFERROR($C573*$E573,"")</f>
        <v>0.5</v>
      </c>
    </row>
    <row r="574" customFormat="false" ht="15" hidden="false" customHeight="true" outlineLevel="0" collapsed="false">
      <c r="A574" s="66" t="s">
        <v>397</v>
      </c>
      <c r="B574" s="66" t="s">
        <v>211</v>
      </c>
      <c r="C574" s="66" t="n">
        <v>2</v>
      </c>
      <c r="D574" s="67" t="str">
        <f aca="false">IFERROR(INDEX(المكونات!$B$2:$B$500,MATCH($B574,المكونات!$A$2:$A$500,0)),"")</f>
        <v>قطعة (جلفز)</v>
      </c>
      <c r="E574" s="68" t="n">
        <f aca="false">IFERROR(INDEX(المكونات!$C$2:$C$500,MATCH($B574,المكونات!$A$2:$A$500,0)),"")</f>
        <v>0.18</v>
      </c>
      <c r="F574" s="69" t="n">
        <f aca="false">IFERROR($C574*$E574,"")</f>
        <v>0.36</v>
      </c>
    </row>
    <row r="575" customFormat="false" ht="15" hidden="false" customHeight="true" outlineLevel="0" collapsed="false">
      <c r="A575" s="66" t="s">
        <v>397</v>
      </c>
      <c r="B575" s="66" t="s">
        <v>322</v>
      </c>
      <c r="C575" s="66" t="n">
        <v>1</v>
      </c>
      <c r="D575" s="67" t="str">
        <f aca="false">IFERROR(INDEX(المكونات!$B$2:$B$500,MATCH($B575,المكونات!$A$2:$A$500,0)),"")</f>
        <v>قطعة (كيس)</v>
      </c>
      <c r="E575" s="68" t="n">
        <f aca="false">IFERROR(INDEX(المكونات!$C$2:$C$500,MATCH($B575,المكونات!$A$2:$A$500,0)),"")</f>
        <v>1</v>
      </c>
      <c r="F575" s="69" t="n">
        <f aca="false">IFERROR($C575*$E575,"")</f>
        <v>1</v>
      </c>
    </row>
    <row r="576" customFormat="false" ht="15" hidden="false" customHeight="true" outlineLevel="0" collapsed="false">
      <c r="A576" s="66" t="s">
        <v>397</v>
      </c>
      <c r="B576" s="66" t="s">
        <v>164</v>
      </c>
      <c r="C576" s="66" t="n">
        <v>1</v>
      </c>
      <c r="D576" s="67" t="str">
        <f aca="false">IFERROR(INDEX(المكونات!$B$2:$B$500,MATCH($B576,المكونات!$A$2:$A$500,0)),"")</f>
        <v>قطعة</v>
      </c>
      <c r="E576" s="68" t="n">
        <f aca="false">IFERROR(INDEX(المكونات!$C$2:$C$500,MATCH($B576,المكونات!$A$2:$A$500,0)),"")</f>
        <v>29</v>
      </c>
      <c r="F576" s="69" t="n">
        <f aca="false">IFERROR($C576*$E576,"")</f>
        <v>29</v>
      </c>
    </row>
    <row r="577" customFormat="false" ht="15" hidden="false" customHeight="true" outlineLevel="0" collapsed="false">
      <c r="A577" s="66" t="s">
        <v>397</v>
      </c>
      <c r="B577" s="66" t="s">
        <v>258</v>
      </c>
      <c r="C577" s="66" t="n">
        <v>0.15</v>
      </c>
      <c r="D577" s="67" t="str">
        <f aca="false">IFERROR(INDEX(المكونات!$B$2:$B$500,MATCH($B577,المكونات!$A$2:$A$500,0)),"")</f>
        <v>كجم</v>
      </c>
      <c r="E577" s="68" t="n">
        <f aca="false">IFERROR(INDEX(المكونات!$C$2:$C$500,MATCH($B577,المكونات!$A$2:$A$500,0)),"")</f>
        <v>140</v>
      </c>
      <c r="F577" s="69" t="n">
        <f aca="false">IFERROR($C577*$E577,"")</f>
        <v>21</v>
      </c>
    </row>
    <row r="578" customFormat="false" ht="15" hidden="false" customHeight="true" outlineLevel="0" collapsed="false">
      <c r="A578" s="66" t="s">
        <v>479</v>
      </c>
      <c r="B578" s="66" t="s">
        <v>264</v>
      </c>
      <c r="C578" s="66" t="n">
        <v>1</v>
      </c>
      <c r="D578" s="67" t="str">
        <f aca="false">IFERROR(INDEX(المكونات!$B$2:$B$500,MATCH($B578,المكونات!$A$2:$A$500,0)),"")</f>
        <v>قطعة</v>
      </c>
      <c r="E578" s="68" t="n">
        <f aca="false">IFERROR(INDEX(المكونات!$C$2:$C$500,MATCH($B578,المكونات!$A$2:$A$500,0)),"")</f>
        <v>4</v>
      </c>
      <c r="F578" s="69" t="n">
        <f aca="false">IFERROR($C578*$E578,"")</f>
        <v>4</v>
      </c>
    </row>
    <row r="579" customFormat="false" ht="15" hidden="false" customHeight="true" outlineLevel="0" collapsed="false">
      <c r="A579" s="66" t="s">
        <v>479</v>
      </c>
      <c r="B579" s="66" t="s">
        <v>260</v>
      </c>
      <c r="C579" s="66" t="n">
        <v>0.03</v>
      </c>
      <c r="D579" s="67" t="str">
        <f aca="false">IFERROR(INDEX(المكونات!$B$2:$B$500,MATCH($B579,المكونات!$A$2:$A$500,0)),"")</f>
        <v>كجم</v>
      </c>
      <c r="E579" s="68" t="n">
        <f aca="false">IFERROR(INDEX(المكونات!$C$2:$C$500,MATCH($B579,المكونات!$A$2:$A$500,0)),"")</f>
        <v>21</v>
      </c>
      <c r="F579" s="69" t="n">
        <f aca="false">IFERROR($C579*$E579,"")</f>
        <v>0.63</v>
      </c>
    </row>
    <row r="580" customFormat="false" ht="15" hidden="false" customHeight="true" outlineLevel="0" collapsed="false">
      <c r="A580" s="66" t="s">
        <v>479</v>
      </c>
      <c r="B580" s="66" t="s">
        <v>284</v>
      </c>
      <c r="C580" s="66" t="n">
        <v>0.02</v>
      </c>
      <c r="D580" s="67" t="str">
        <f aca="false">IFERROR(INDEX(المكونات!$B$2:$B$500,MATCH($B580,المكونات!$A$2:$A$500,0)),"")</f>
        <v>كجم</v>
      </c>
      <c r="E580" s="68" t="n">
        <f aca="false">IFERROR(INDEX(المكونات!$C$2:$C$500,MATCH($B580,المكونات!$A$2:$A$500,0)),"")</f>
        <v>27</v>
      </c>
      <c r="F580" s="69" t="n">
        <f aca="false">IFERROR($C580*$E580,"")</f>
        <v>0.54</v>
      </c>
    </row>
    <row r="581" customFormat="false" ht="15" hidden="false" customHeight="true" outlineLevel="0" collapsed="false">
      <c r="A581" s="66" t="s">
        <v>479</v>
      </c>
      <c r="B581" s="66" t="s">
        <v>227</v>
      </c>
      <c r="C581" s="66" t="n">
        <v>0.02</v>
      </c>
      <c r="D581" s="67" t="str">
        <f aca="false">IFERROR(INDEX(المكونات!$B$2:$B$500,MATCH($B581,المكونات!$A$2:$A$500,0)),"")</f>
        <v>كجم</v>
      </c>
      <c r="E581" s="68" t="n">
        <f aca="false">IFERROR(INDEX(المكونات!$C$2:$C$500,MATCH($B581,المكونات!$A$2:$A$500,0)),"")</f>
        <v>95</v>
      </c>
      <c r="F581" s="69" t="n">
        <f aca="false">IFERROR($C581*$E581,"")</f>
        <v>1.9</v>
      </c>
    </row>
    <row r="582" customFormat="false" ht="15" hidden="false" customHeight="true" outlineLevel="0" collapsed="false">
      <c r="A582" s="66" t="s">
        <v>479</v>
      </c>
      <c r="B582" s="66" t="s">
        <v>176</v>
      </c>
      <c r="C582" s="66" t="n">
        <v>1</v>
      </c>
      <c r="D582" s="67" t="str">
        <f aca="false">IFERROR(INDEX(المكونات!$B$2:$B$500,MATCH($B582,المكونات!$A$2:$A$500,0)),"")</f>
        <v>قطعة</v>
      </c>
      <c r="E582" s="68" t="n">
        <f aca="false">IFERROR(INDEX(المكونات!$C$2:$C$500,MATCH($B582,المكونات!$A$2:$A$500,0)),"")</f>
        <v>17.5</v>
      </c>
      <c r="F582" s="69" t="n">
        <f aca="false">IFERROR($C582*$E582,"")</f>
        <v>17.5</v>
      </c>
    </row>
    <row r="583" customFormat="false" ht="15" hidden="false" customHeight="true" outlineLevel="0" collapsed="false">
      <c r="A583" s="66" t="s">
        <v>479</v>
      </c>
      <c r="B583" s="66" t="s">
        <v>270</v>
      </c>
      <c r="C583" s="66" t="n">
        <v>1</v>
      </c>
      <c r="D583" s="67" t="str">
        <f aca="false">IFERROR(INDEX(المكونات!$B$2:$B$500,MATCH($B583,المكونات!$A$2:$A$500,0)),"")</f>
        <v>قطعة</v>
      </c>
      <c r="E583" s="68" t="n">
        <f aca="false">IFERROR(INDEX(المكونات!$C$2:$C$500,MATCH($B583,المكونات!$A$2:$A$500,0)),"")</f>
        <v>4.5</v>
      </c>
      <c r="F583" s="69" t="n">
        <f aca="false">IFERROR($C583*$E583,"")</f>
        <v>4.5</v>
      </c>
    </row>
    <row r="584" customFormat="false" ht="15" hidden="false" customHeight="true" outlineLevel="0" collapsed="false">
      <c r="A584" s="66" t="s">
        <v>479</v>
      </c>
      <c r="B584" s="66" t="s">
        <v>290</v>
      </c>
      <c r="C584" s="66" t="n">
        <v>2</v>
      </c>
      <c r="D584" s="67" t="str">
        <f aca="false">IFERROR(INDEX(المكونات!$B$2:$B$500,MATCH($B584,المكونات!$A$2:$A$500,0)),"")</f>
        <v>قطعة</v>
      </c>
      <c r="E584" s="68" t="n">
        <f aca="false">IFERROR(INDEX(المكونات!$C$2:$C$500,MATCH($B584,المكونات!$A$2:$A$500,0)),"")</f>
        <v>0.3</v>
      </c>
      <c r="F584" s="69" t="n">
        <f aca="false">IFERROR($C584*$E584,"")</f>
        <v>0.6</v>
      </c>
    </row>
    <row r="585" customFormat="false" ht="15" hidden="false" customHeight="true" outlineLevel="0" collapsed="false">
      <c r="A585" s="66" t="s">
        <v>479</v>
      </c>
      <c r="B585" s="66" t="s">
        <v>319</v>
      </c>
      <c r="C585" s="66" t="n">
        <v>1</v>
      </c>
      <c r="D585" s="67" t="str">
        <f aca="false">IFERROR(INDEX(المكونات!$B$2:$B$500,MATCH($B585,المكونات!$A$2:$A$500,0)),"")</f>
        <v>قطعة (ورقة)</v>
      </c>
      <c r="E585" s="68" t="n">
        <f aca="false">IFERROR(INDEX(المكونات!$C$2:$C$500,MATCH($B585,المكونات!$A$2:$A$500,0)),"")</f>
        <v>0.3665</v>
      </c>
      <c r="F585" s="69" t="n">
        <f aca="false">IFERROR($C585*$E585,"")</f>
        <v>0.3665</v>
      </c>
    </row>
    <row r="586" customFormat="false" ht="15" hidden="false" customHeight="true" outlineLevel="0" collapsed="false">
      <c r="A586" s="66" t="s">
        <v>479</v>
      </c>
      <c r="B586" s="66" t="s">
        <v>133</v>
      </c>
      <c r="C586" s="66" t="n">
        <v>1</v>
      </c>
      <c r="D586" s="67" t="str">
        <f aca="false">IFERROR(INDEX(المكونات!$B$2:$B$500,MATCH($B586,المكونات!$A$2:$A$500,0)),"")</f>
        <v>قطعة (كيس)</v>
      </c>
      <c r="E586" s="68" t="n">
        <f aca="false">IFERROR(INDEX(المكونات!$C$2:$C$500,MATCH($B586,المكونات!$A$2:$A$500,0)),"")</f>
        <v>1.4</v>
      </c>
      <c r="F586" s="69" t="n">
        <f aca="false">IFERROR($C586*$E586,"")</f>
        <v>1.4</v>
      </c>
    </row>
    <row r="587" customFormat="false" ht="15" hidden="false" customHeight="true" outlineLevel="0" collapsed="false">
      <c r="A587" s="66" t="s">
        <v>479</v>
      </c>
      <c r="B587" s="66" t="s">
        <v>293</v>
      </c>
      <c r="C587" s="66" t="n">
        <v>1</v>
      </c>
      <c r="D587" s="67" t="str">
        <f aca="false">IFERROR(INDEX(المكونات!$B$2:$B$500,MATCH($B587,المكونات!$A$2:$A$500,0)),"")</f>
        <v>قطعة</v>
      </c>
      <c r="E587" s="68" t="n">
        <f aca="false">IFERROR(INDEX(المكونات!$C$2:$C$500,MATCH($B587,المكونات!$A$2:$A$500,0)),"")</f>
        <v>0.5</v>
      </c>
      <c r="F587" s="69" t="n">
        <f aca="false">IFERROR($C587*$E587,"")</f>
        <v>0.5</v>
      </c>
    </row>
    <row r="588" customFormat="false" ht="15" hidden="false" customHeight="true" outlineLevel="0" collapsed="false">
      <c r="A588" s="66" t="s">
        <v>479</v>
      </c>
      <c r="B588" s="66" t="s">
        <v>211</v>
      </c>
      <c r="C588" s="66" t="n">
        <v>2</v>
      </c>
      <c r="D588" s="67" t="str">
        <f aca="false">IFERROR(INDEX(المكونات!$B$2:$B$500,MATCH($B588,المكونات!$A$2:$A$500,0)),"")</f>
        <v>قطعة (جلفز)</v>
      </c>
      <c r="E588" s="68" t="n">
        <f aca="false">IFERROR(INDEX(المكونات!$C$2:$C$500,MATCH($B588,المكونات!$A$2:$A$500,0)),"")</f>
        <v>0.18</v>
      </c>
      <c r="F588" s="69" t="n">
        <f aca="false">IFERROR($C588*$E588,"")</f>
        <v>0.36</v>
      </c>
    </row>
    <row r="589" customFormat="false" ht="15" hidden="false" customHeight="true" outlineLevel="0" collapsed="false">
      <c r="A589" s="66" t="s">
        <v>479</v>
      </c>
      <c r="B589" s="66" t="s">
        <v>322</v>
      </c>
      <c r="C589" s="66" t="n">
        <v>1</v>
      </c>
      <c r="D589" s="67" t="str">
        <f aca="false">IFERROR(INDEX(المكونات!$B$2:$B$500,MATCH($B589,المكونات!$A$2:$A$500,0)),"")</f>
        <v>قطعة (كيس)</v>
      </c>
      <c r="E589" s="68" t="n">
        <f aca="false">IFERROR(INDEX(المكونات!$C$2:$C$500,MATCH($B589,المكونات!$A$2:$A$500,0)),"")</f>
        <v>1</v>
      </c>
      <c r="F589" s="69" t="n">
        <f aca="false">IFERROR($C589*$E589,"")</f>
        <v>1</v>
      </c>
    </row>
    <row r="590" customFormat="false" ht="15" hidden="false" customHeight="true" outlineLevel="0" collapsed="false">
      <c r="A590" s="66" t="s">
        <v>479</v>
      </c>
      <c r="B590" s="66" t="s">
        <v>142</v>
      </c>
      <c r="C590" s="66" t="n">
        <v>1</v>
      </c>
      <c r="D590" s="67" t="str">
        <f aca="false">IFERROR(INDEX(المكونات!$B$2:$B$500,MATCH($B590,المكونات!$A$2:$A$500,0)),"")</f>
        <v>قطعة</v>
      </c>
      <c r="E590" s="68" t="n">
        <f aca="false">IFERROR(INDEX(المكونات!$C$2:$C$500,MATCH($B590,المكونات!$A$2:$A$500,0)),"")</f>
        <v>35</v>
      </c>
      <c r="F590" s="69" t="n">
        <f aca="false">IFERROR($C590*$E590,"")</f>
        <v>35</v>
      </c>
    </row>
    <row r="591" customFormat="false" ht="15" hidden="false" customHeight="true" outlineLevel="0" collapsed="false">
      <c r="A591" s="66" t="s">
        <v>479</v>
      </c>
      <c r="B591" s="66" t="s">
        <v>152</v>
      </c>
      <c r="C591" s="66" t="n">
        <v>1</v>
      </c>
      <c r="D591" s="67" t="str">
        <f aca="false">IFERROR(INDEX(المكونات!$B$2:$B$500,MATCH($B591,المكونات!$A$2:$A$500,0)),"")</f>
        <v>قطعة</v>
      </c>
      <c r="E591" s="68" t="n">
        <f aca="false">IFERROR(INDEX(المكونات!$C$2:$C$500,MATCH($B591,المكونات!$A$2:$A$500,0)),"")</f>
        <v>34</v>
      </c>
      <c r="F591" s="69" t="n">
        <f aca="false">IFERROR($C591*$E591,"")</f>
        <v>34</v>
      </c>
    </row>
    <row r="592" customFormat="false" ht="15" hidden="false" customHeight="true" outlineLevel="0" collapsed="false">
      <c r="A592" s="66" t="s">
        <v>479</v>
      </c>
      <c r="B592" s="66" t="s">
        <v>168</v>
      </c>
      <c r="C592" s="66" t="n">
        <v>1</v>
      </c>
      <c r="D592" s="67" t="str">
        <f aca="false">IFERROR(INDEX(المكونات!$B$2:$B$500,MATCH($B592,المكونات!$A$2:$A$500,0)),"")</f>
        <v>قطعة</v>
      </c>
      <c r="E592" s="68" t="n">
        <f aca="false">IFERROR(INDEX(المكونات!$C$2:$C$500,MATCH($B592,المكونات!$A$2:$A$500,0)),"")</f>
        <v>21</v>
      </c>
      <c r="F592" s="69" t="n">
        <f aca="false">IFERROR($C592*$E592,"")</f>
        <v>21</v>
      </c>
    </row>
    <row r="593" customFormat="false" ht="15" hidden="false" customHeight="true" outlineLevel="0" collapsed="false">
      <c r="A593" s="66" t="s">
        <v>476</v>
      </c>
      <c r="B593" s="66" t="s">
        <v>264</v>
      </c>
      <c r="C593" s="66" t="n">
        <v>1.5</v>
      </c>
      <c r="D593" s="67" t="str">
        <f aca="false">IFERROR(INDEX(المكونات!$B$2:$B$500,MATCH($B593,المكونات!$A$2:$A$500,0)),"")</f>
        <v>قطعة</v>
      </c>
      <c r="E593" s="68" t="n">
        <f aca="false">IFERROR(INDEX(المكونات!$C$2:$C$500,MATCH($B593,المكونات!$A$2:$A$500,0)),"")</f>
        <v>4</v>
      </c>
      <c r="F593" s="69" t="n">
        <f aca="false">IFERROR($C593*$E593,"")</f>
        <v>6</v>
      </c>
    </row>
    <row r="594" customFormat="false" ht="15" hidden="false" customHeight="true" outlineLevel="0" collapsed="false">
      <c r="A594" s="66" t="s">
        <v>476</v>
      </c>
      <c r="B594" s="66" t="s">
        <v>260</v>
      </c>
      <c r="C594" s="66" t="n">
        <v>0.045</v>
      </c>
      <c r="D594" s="67" t="str">
        <f aca="false">IFERROR(INDEX(المكونات!$B$2:$B$500,MATCH($B594,المكونات!$A$2:$A$500,0)),"")</f>
        <v>كجم</v>
      </c>
      <c r="E594" s="68" t="n">
        <f aca="false">IFERROR(INDEX(المكونات!$C$2:$C$500,MATCH($B594,المكونات!$A$2:$A$500,0)),"")</f>
        <v>21</v>
      </c>
      <c r="F594" s="69" t="n">
        <f aca="false">IFERROR($C594*$E594,"")</f>
        <v>0.945</v>
      </c>
    </row>
    <row r="595" customFormat="false" ht="15" hidden="false" customHeight="true" outlineLevel="0" collapsed="false">
      <c r="A595" s="66" t="s">
        <v>476</v>
      </c>
      <c r="B595" s="66" t="s">
        <v>284</v>
      </c>
      <c r="C595" s="66" t="n">
        <v>0.03</v>
      </c>
      <c r="D595" s="67" t="str">
        <f aca="false">IFERROR(INDEX(المكونات!$B$2:$B$500,MATCH($B595,المكونات!$A$2:$A$500,0)),"")</f>
        <v>كجم</v>
      </c>
      <c r="E595" s="68" t="n">
        <f aca="false">IFERROR(INDEX(المكونات!$C$2:$C$500,MATCH($B595,المكونات!$A$2:$A$500,0)),"")</f>
        <v>27</v>
      </c>
      <c r="F595" s="69" t="n">
        <f aca="false">IFERROR($C595*$E595,"")</f>
        <v>0.81</v>
      </c>
    </row>
    <row r="596" customFormat="false" ht="15" hidden="false" customHeight="true" outlineLevel="0" collapsed="false">
      <c r="A596" s="66" t="s">
        <v>476</v>
      </c>
      <c r="B596" s="66" t="s">
        <v>227</v>
      </c>
      <c r="C596" s="66" t="n">
        <v>0.03</v>
      </c>
      <c r="D596" s="67" t="str">
        <f aca="false">IFERROR(INDEX(المكونات!$B$2:$B$500,MATCH($B596,المكونات!$A$2:$A$500,0)),"")</f>
        <v>كجم</v>
      </c>
      <c r="E596" s="68" t="n">
        <f aca="false">IFERROR(INDEX(المكونات!$C$2:$C$500,MATCH($B596,المكونات!$A$2:$A$500,0)),"")</f>
        <v>95</v>
      </c>
      <c r="F596" s="69" t="n">
        <f aca="false">IFERROR($C596*$E596,"")</f>
        <v>2.85</v>
      </c>
    </row>
    <row r="597" customFormat="false" ht="15" hidden="false" customHeight="true" outlineLevel="0" collapsed="false">
      <c r="A597" s="66" t="s">
        <v>476</v>
      </c>
      <c r="B597" s="66" t="s">
        <v>178</v>
      </c>
      <c r="C597" s="66" t="n">
        <v>1</v>
      </c>
      <c r="D597" s="67" t="str">
        <f aca="false">IFERROR(INDEX(المكونات!$B$2:$B$500,MATCH($B597,المكونات!$A$2:$A$500,0)),"")</f>
        <v>قطعة</v>
      </c>
      <c r="E597" s="68" t="n">
        <f aca="false">IFERROR(INDEX(المكونات!$C$2:$C$500,MATCH($B597,المكونات!$A$2:$A$500,0)),"")</f>
        <v>25</v>
      </c>
      <c r="F597" s="69" t="n">
        <f aca="false">IFERROR($C597*$E597,"")</f>
        <v>25</v>
      </c>
    </row>
    <row r="598" customFormat="false" ht="15" hidden="false" customHeight="true" outlineLevel="0" collapsed="false">
      <c r="A598" s="66" t="s">
        <v>476</v>
      </c>
      <c r="B598" s="66" t="s">
        <v>268</v>
      </c>
      <c r="C598" s="66" t="n">
        <v>1</v>
      </c>
      <c r="D598" s="67" t="str">
        <f aca="false">IFERROR(INDEX(المكونات!$B$2:$B$500,MATCH($B598,المكونات!$A$2:$A$500,0)),"")</f>
        <v>قطعة</v>
      </c>
      <c r="E598" s="68" t="n">
        <f aca="false">IFERROR(INDEX(المكونات!$C$2:$C$500,MATCH($B598,المكونات!$A$2:$A$500,0)),"")</f>
        <v>5.5</v>
      </c>
      <c r="F598" s="69" t="n">
        <f aca="false">IFERROR($C598*$E598,"")</f>
        <v>5.5</v>
      </c>
    </row>
    <row r="599" customFormat="false" ht="15" hidden="false" customHeight="true" outlineLevel="0" collapsed="false">
      <c r="A599" s="66" t="s">
        <v>476</v>
      </c>
      <c r="B599" s="66" t="s">
        <v>290</v>
      </c>
      <c r="C599" s="66" t="n">
        <v>3</v>
      </c>
      <c r="D599" s="67" t="str">
        <f aca="false">IFERROR(INDEX(المكونات!$B$2:$B$500,MATCH($B599,المكونات!$A$2:$A$500,0)),"")</f>
        <v>قطعة</v>
      </c>
      <c r="E599" s="68" t="n">
        <f aca="false">IFERROR(INDEX(المكونات!$C$2:$C$500,MATCH($B599,المكونات!$A$2:$A$500,0)),"")</f>
        <v>0.3</v>
      </c>
      <c r="F599" s="69" t="n">
        <f aca="false">IFERROR($C599*$E599,"")</f>
        <v>0.9</v>
      </c>
    </row>
    <row r="600" customFormat="false" ht="15" hidden="false" customHeight="true" outlineLevel="0" collapsed="false">
      <c r="A600" s="66" t="s">
        <v>476</v>
      </c>
      <c r="B600" s="66" t="s">
        <v>319</v>
      </c>
      <c r="C600" s="66" t="n">
        <v>1</v>
      </c>
      <c r="D600" s="67" t="str">
        <f aca="false">IFERROR(INDEX(المكونات!$B$2:$B$500,MATCH($B600,المكونات!$A$2:$A$500,0)),"")</f>
        <v>قطعة (ورقة)</v>
      </c>
      <c r="E600" s="68" t="n">
        <f aca="false">IFERROR(INDEX(المكونات!$C$2:$C$500,MATCH($B600,المكونات!$A$2:$A$500,0)),"")</f>
        <v>0.3665</v>
      </c>
      <c r="F600" s="69" t="n">
        <f aca="false">IFERROR($C600*$E600,"")</f>
        <v>0.3665</v>
      </c>
    </row>
    <row r="601" customFormat="false" ht="15" hidden="false" customHeight="true" outlineLevel="0" collapsed="false">
      <c r="A601" s="66" t="s">
        <v>476</v>
      </c>
      <c r="B601" s="66" t="s">
        <v>133</v>
      </c>
      <c r="C601" s="66" t="n">
        <v>1</v>
      </c>
      <c r="D601" s="67" t="str">
        <f aca="false">IFERROR(INDEX(المكونات!$B$2:$B$500,MATCH($B601,المكونات!$A$2:$A$500,0)),"")</f>
        <v>قطعة (كيس)</v>
      </c>
      <c r="E601" s="68" t="n">
        <f aca="false">IFERROR(INDEX(المكونات!$C$2:$C$500,MATCH($B601,المكونات!$A$2:$A$500,0)),"")</f>
        <v>1.4</v>
      </c>
      <c r="F601" s="69" t="n">
        <f aca="false">IFERROR($C601*$E601,"")</f>
        <v>1.4</v>
      </c>
    </row>
    <row r="602" customFormat="false" ht="15" hidden="false" customHeight="true" outlineLevel="0" collapsed="false">
      <c r="A602" s="66" t="s">
        <v>476</v>
      </c>
      <c r="B602" s="66" t="s">
        <v>293</v>
      </c>
      <c r="C602" s="66" t="n">
        <v>1</v>
      </c>
      <c r="D602" s="67" t="str">
        <f aca="false">IFERROR(INDEX(المكونات!$B$2:$B$500,MATCH($B602,المكونات!$A$2:$A$500,0)),"")</f>
        <v>قطعة</v>
      </c>
      <c r="E602" s="68" t="n">
        <f aca="false">IFERROR(INDEX(المكونات!$C$2:$C$500,MATCH($B602,المكونات!$A$2:$A$500,0)),"")</f>
        <v>0.5</v>
      </c>
      <c r="F602" s="69" t="n">
        <f aca="false">IFERROR($C602*$E602,"")</f>
        <v>0.5</v>
      </c>
    </row>
    <row r="603" customFormat="false" ht="15" hidden="false" customHeight="true" outlineLevel="0" collapsed="false">
      <c r="A603" s="66" t="s">
        <v>476</v>
      </c>
      <c r="B603" s="66" t="s">
        <v>211</v>
      </c>
      <c r="C603" s="66" t="n">
        <v>2</v>
      </c>
      <c r="D603" s="67" t="str">
        <f aca="false">IFERROR(INDEX(المكونات!$B$2:$B$500,MATCH($B603,المكونات!$A$2:$A$500,0)),"")</f>
        <v>قطعة (جلفز)</v>
      </c>
      <c r="E603" s="68" t="n">
        <f aca="false">IFERROR(INDEX(المكونات!$C$2:$C$500,MATCH($B603,المكونات!$A$2:$A$500,0)),"")</f>
        <v>0.18</v>
      </c>
      <c r="F603" s="69" t="n">
        <f aca="false">IFERROR($C603*$E603,"")</f>
        <v>0.36</v>
      </c>
    </row>
    <row r="604" customFormat="false" ht="15" hidden="false" customHeight="true" outlineLevel="0" collapsed="false">
      <c r="A604" s="66" t="s">
        <v>476</v>
      </c>
      <c r="B604" s="66" t="s">
        <v>322</v>
      </c>
      <c r="C604" s="66" t="n">
        <v>1</v>
      </c>
      <c r="D604" s="67" t="str">
        <f aca="false">IFERROR(INDEX(المكونات!$B$2:$B$500,MATCH($B604,المكونات!$A$2:$A$500,0)),"")</f>
        <v>قطعة (كيس)</v>
      </c>
      <c r="E604" s="68" t="n">
        <f aca="false">IFERROR(INDEX(المكونات!$C$2:$C$500,MATCH($B604,المكونات!$A$2:$A$500,0)),"")</f>
        <v>1</v>
      </c>
      <c r="F604" s="69" t="n">
        <f aca="false">IFERROR($C604*$E604,"")</f>
        <v>1</v>
      </c>
    </row>
    <row r="605" customFormat="false" ht="15" hidden="false" customHeight="true" outlineLevel="0" collapsed="false">
      <c r="A605" s="66" t="s">
        <v>476</v>
      </c>
      <c r="B605" s="66" t="s">
        <v>144</v>
      </c>
      <c r="C605" s="66" t="n">
        <v>1</v>
      </c>
      <c r="D605" s="67" t="str">
        <f aca="false">IFERROR(INDEX(المكونات!$B$2:$B$500,MATCH($B605,المكونات!$A$2:$A$500,0)),"")</f>
        <v>قطعة</v>
      </c>
      <c r="E605" s="68" t="n">
        <f aca="false">IFERROR(INDEX(المكونات!$C$2:$C$500,MATCH($B605,المكونات!$A$2:$A$500,0)),"")</f>
        <v>46.6667</v>
      </c>
      <c r="F605" s="69" t="n">
        <f aca="false">IFERROR($C605*$E605,"")</f>
        <v>46.6667</v>
      </c>
    </row>
    <row r="606" customFormat="false" ht="15" hidden="false" customHeight="true" outlineLevel="0" collapsed="false">
      <c r="A606" s="66" t="s">
        <v>476</v>
      </c>
      <c r="B606" s="66" t="s">
        <v>154</v>
      </c>
      <c r="C606" s="66" t="n">
        <v>1</v>
      </c>
      <c r="D606" s="67" t="str">
        <f aca="false">IFERROR(INDEX(المكونات!$B$2:$B$500,MATCH($B606,المكونات!$A$2:$A$500,0)),"")</f>
        <v>قطعة</v>
      </c>
      <c r="E606" s="68" t="n">
        <f aca="false">IFERROR(INDEX(المكونات!$C$2:$C$500,MATCH($B606,المكونات!$A$2:$A$500,0)),"")</f>
        <v>45</v>
      </c>
      <c r="F606" s="69" t="n">
        <f aca="false">IFERROR($C606*$E606,"")</f>
        <v>45</v>
      </c>
    </row>
    <row r="607" customFormat="false" ht="15" hidden="false" customHeight="true" outlineLevel="0" collapsed="false">
      <c r="A607" s="66" t="s">
        <v>476</v>
      </c>
      <c r="B607" s="66" t="s">
        <v>168</v>
      </c>
      <c r="C607" s="66" t="n">
        <v>1</v>
      </c>
      <c r="D607" s="67" t="str">
        <f aca="false">IFERROR(INDEX(المكونات!$B$2:$B$500,MATCH($B607,المكونات!$A$2:$A$500,0)),"")</f>
        <v>قطعة</v>
      </c>
      <c r="E607" s="68" t="n">
        <f aca="false">IFERROR(INDEX(المكونات!$C$2:$C$500,MATCH($B607,المكونات!$A$2:$A$500,0)),"")</f>
        <v>21</v>
      </c>
      <c r="F607" s="69" t="n">
        <f aca="false">IFERROR($C607*$E607,"")</f>
        <v>21</v>
      </c>
    </row>
    <row r="608" customFormat="false" ht="15" hidden="false" customHeight="true" outlineLevel="0" collapsed="false">
      <c r="A608" s="66" t="s">
        <v>435</v>
      </c>
      <c r="B608" s="66" t="s">
        <v>264</v>
      </c>
      <c r="C608" s="66" t="n">
        <v>1</v>
      </c>
      <c r="D608" s="67" t="str">
        <f aca="false">IFERROR(INDEX(المكونات!$B$2:$B$500,MATCH($B608,المكونات!$A$2:$A$500,0)),"")</f>
        <v>قطعة</v>
      </c>
      <c r="E608" s="68" t="n">
        <f aca="false">IFERROR(INDEX(المكونات!$C$2:$C$500,MATCH($B608,المكونات!$A$2:$A$500,0)),"")</f>
        <v>4</v>
      </c>
      <c r="F608" s="69" t="n">
        <f aca="false">IFERROR($C608*$E608,"")</f>
        <v>4</v>
      </c>
    </row>
    <row r="609" customFormat="false" ht="15" hidden="false" customHeight="true" outlineLevel="0" collapsed="false">
      <c r="A609" s="66" t="s">
        <v>435</v>
      </c>
      <c r="B609" s="66" t="s">
        <v>325</v>
      </c>
      <c r="C609" s="66" t="n">
        <v>0.15</v>
      </c>
      <c r="D609" s="67" t="str">
        <f aca="false">IFERROR(INDEX(المكونات!$B$2:$B$500,MATCH($B609,المكونات!$A$2:$A$500,0)),"")</f>
        <v>كجم</v>
      </c>
      <c r="E609" s="68" t="n">
        <f aca="false">IFERROR(INDEX(المكونات!$C$2:$C$500,MATCH($B609,المكونات!$A$2:$A$500,0)),"")</f>
        <v>23.56668</v>
      </c>
      <c r="F609" s="69" t="n">
        <f aca="false">IFERROR($C609*$E609,"")</f>
        <v>3.535002</v>
      </c>
    </row>
    <row r="610" customFormat="false" ht="15" hidden="false" customHeight="true" outlineLevel="0" collapsed="false">
      <c r="A610" s="66" t="s">
        <v>435</v>
      </c>
      <c r="B610" s="66" t="s">
        <v>229</v>
      </c>
      <c r="C610" s="66" t="n">
        <v>0.05</v>
      </c>
      <c r="D610" s="67" t="str">
        <f aca="false">IFERROR(INDEX(المكونات!$B$2:$B$500,MATCH($B610,المكونات!$A$2:$A$500,0)),"")</f>
        <v>كجم</v>
      </c>
      <c r="E610" s="68" t="n">
        <f aca="false">IFERROR(INDEX(المكونات!$C$2:$C$500,MATCH($B610,المكونات!$A$2:$A$500,0)),"")</f>
        <v>30.6593</v>
      </c>
      <c r="F610" s="69" t="n">
        <f aca="false">IFERROR($C610*$E610,"")</f>
        <v>1.532965</v>
      </c>
    </row>
    <row r="611" customFormat="false" ht="15" hidden="false" customHeight="true" outlineLevel="0" collapsed="false">
      <c r="A611" s="66" t="s">
        <v>435</v>
      </c>
      <c r="B611" s="66" t="s">
        <v>298</v>
      </c>
      <c r="C611" s="66" t="n">
        <v>0.15</v>
      </c>
      <c r="D611" s="67" t="str">
        <f aca="false">IFERROR(INDEX(المكونات!$B$2:$B$500,MATCH($B611,المكونات!$A$2:$A$500,0)),"")</f>
        <v>لتر</v>
      </c>
      <c r="E611" s="68" t="n">
        <f aca="false">IFERROR(INDEX(المكونات!$C$2:$C$500,MATCH($B611,المكونات!$A$2:$A$500,0)),"")</f>
        <v>20.6667</v>
      </c>
      <c r="F611" s="69" t="n">
        <f aca="false">IFERROR($C611*$E611,"")</f>
        <v>3.100005</v>
      </c>
    </row>
    <row r="612" customFormat="false" ht="15" hidden="false" customHeight="true" outlineLevel="0" collapsed="false">
      <c r="A612" s="66" t="s">
        <v>435</v>
      </c>
      <c r="B612" s="66" t="s">
        <v>125</v>
      </c>
      <c r="C612" s="66" t="n">
        <v>1</v>
      </c>
      <c r="D612" s="67" t="str">
        <f aca="false">IFERROR(INDEX(المكونات!$B$2:$B$500,MATCH($B612,المكونات!$A$2:$A$500,0)),"")</f>
        <v>قطعة</v>
      </c>
      <c r="E612" s="68" t="n">
        <f aca="false">IFERROR(INDEX(المكونات!$C$2:$C$500,MATCH($B612,المكونات!$A$2:$A$500,0)),"")</f>
        <v>0.8</v>
      </c>
      <c r="F612" s="69" t="n">
        <f aca="false">IFERROR($C612*$E612,"")</f>
        <v>0.8</v>
      </c>
    </row>
    <row r="613" customFormat="false" ht="26.25" hidden="false" customHeight="true" outlineLevel="0" collapsed="false">
      <c r="A613" s="66" t="s">
        <v>435</v>
      </c>
      <c r="B613" s="66" t="s">
        <v>192</v>
      </c>
      <c r="C613" s="66" t="n">
        <v>1</v>
      </c>
      <c r="D613" s="67" t="str">
        <f aca="false">IFERROR(INDEX(المكونات!$B$2:$B$500,MATCH($B613,المكونات!$A$2:$A$500,0)),"")</f>
        <v>قطعة (لفة استخدام)</v>
      </c>
      <c r="E613" s="68" t="n">
        <f aca="false">IFERROR(INDEX(المكونات!$C$2:$C$500,MATCH($B613,المكونات!$A$2:$A$500,0)),"")</f>
        <v>3.65</v>
      </c>
      <c r="F613" s="69" t="n">
        <f aca="false">IFERROR($C613*$E613,"")</f>
        <v>3.65</v>
      </c>
    </row>
    <row r="614" customFormat="false" ht="15" hidden="false" customHeight="true" outlineLevel="0" collapsed="false">
      <c r="A614" s="66" t="s">
        <v>435</v>
      </c>
      <c r="B614" s="66" t="s">
        <v>239</v>
      </c>
      <c r="C614" s="66" t="n">
        <v>1</v>
      </c>
      <c r="D614" s="67" t="str">
        <f aca="false">IFERROR(INDEX(المكونات!$B$2:$B$500,MATCH($B614,المكونات!$A$2:$A$500,0)),"")</f>
        <v>قطعة</v>
      </c>
      <c r="E614" s="68" t="n">
        <f aca="false">IFERROR(INDEX(المكونات!$C$2:$C$500,MATCH($B614,المكونات!$A$2:$A$500,0)),"")</f>
        <v>0.675</v>
      </c>
      <c r="F614" s="69" t="n">
        <f aca="false">IFERROR($C614*$E614,"")</f>
        <v>0.675</v>
      </c>
    </row>
    <row r="615" customFormat="false" ht="15" hidden="false" customHeight="true" outlineLevel="0" collapsed="false">
      <c r="A615" s="66" t="s">
        <v>435</v>
      </c>
      <c r="B615" s="66" t="s">
        <v>243</v>
      </c>
      <c r="C615" s="66" t="n">
        <v>1</v>
      </c>
      <c r="D615" s="67" t="str">
        <f aca="false">IFERROR(INDEX(المكونات!$B$2:$B$500,MATCH($B615,المكونات!$A$2:$A$500,0)),"")</f>
        <v>قطعة</v>
      </c>
      <c r="E615" s="68" t="n">
        <f aca="false">IFERROR(INDEX(المكونات!$C$2:$C$500,MATCH($B615,المكونات!$A$2:$A$500,0)),"")</f>
        <v>0.3</v>
      </c>
      <c r="F615" s="69" t="n">
        <f aca="false">IFERROR($C615*$E615,"")</f>
        <v>0.3</v>
      </c>
    </row>
    <row r="616" customFormat="false" ht="15" hidden="false" customHeight="true" outlineLevel="0" collapsed="false">
      <c r="A616" s="66" t="s">
        <v>435</v>
      </c>
      <c r="B616" s="66" t="s">
        <v>211</v>
      </c>
      <c r="C616" s="66" t="n">
        <v>2</v>
      </c>
      <c r="D616" s="67" t="str">
        <f aca="false">IFERROR(INDEX(المكونات!$B$2:$B$500,MATCH($B616,المكونات!$A$2:$A$500,0)),"")</f>
        <v>قطعة (جلفز)</v>
      </c>
      <c r="E616" s="68" t="n">
        <f aca="false">IFERROR(INDEX(المكونات!$C$2:$C$500,MATCH($B616,المكونات!$A$2:$A$500,0)),"")</f>
        <v>0.18</v>
      </c>
      <c r="F616" s="69" t="n">
        <f aca="false">IFERROR($C616*$E616,"")</f>
        <v>0.36</v>
      </c>
    </row>
    <row r="617" customFormat="false" ht="15" hidden="false" customHeight="true" outlineLevel="0" collapsed="false">
      <c r="A617" s="66" t="s">
        <v>435</v>
      </c>
      <c r="B617" s="66" t="s">
        <v>136</v>
      </c>
      <c r="C617" s="66" t="n">
        <v>1</v>
      </c>
      <c r="D617" s="67" t="str">
        <f aca="false">IFERROR(INDEX(المكونات!$B$2:$B$500,MATCH($B617,المكونات!$A$2:$A$500,0)),"")</f>
        <v>قطعة (كيس)</v>
      </c>
      <c r="E617" s="68" t="n">
        <f aca="false">IFERROR(INDEX(المكونات!$C$2:$C$500,MATCH($B617,المكونات!$A$2:$A$500,0)),"")</f>
        <v>1.4</v>
      </c>
      <c r="F617" s="69" t="n">
        <f aca="false">IFERROR($C617*$E617,"")</f>
        <v>1.4</v>
      </c>
    </row>
    <row r="618" customFormat="false" ht="15" hidden="false" customHeight="true" outlineLevel="0" collapsed="false">
      <c r="A618" s="66" t="s">
        <v>442</v>
      </c>
      <c r="B618" s="66" t="s">
        <v>264</v>
      </c>
      <c r="C618" s="66" t="n">
        <v>1</v>
      </c>
      <c r="D618" s="67" t="str">
        <f aca="false">IFERROR(INDEX(المكونات!$B$2:$B$500,MATCH($B618,المكونات!$A$2:$A$500,0)),"")</f>
        <v>قطعة</v>
      </c>
      <c r="E618" s="68" t="n">
        <f aca="false">IFERROR(INDEX(المكونات!$C$2:$C$500,MATCH($B618,المكونات!$A$2:$A$500,0)),"")</f>
        <v>4</v>
      </c>
      <c r="F618" s="69" t="n">
        <f aca="false">IFERROR($C618*$E618,"")</f>
        <v>4</v>
      </c>
    </row>
    <row r="619" customFormat="false" ht="15" hidden="false" customHeight="true" outlineLevel="0" collapsed="false">
      <c r="A619" s="66" t="s">
        <v>442</v>
      </c>
      <c r="B619" s="66" t="s">
        <v>325</v>
      </c>
      <c r="C619" s="66" t="n">
        <v>0.15</v>
      </c>
      <c r="D619" s="67" t="str">
        <f aca="false">IFERROR(INDEX(المكونات!$B$2:$B$500,MATCH($B619,المكونات!$A$2:$A$500,0)),"")</f>
        <v>كجم</v>
      </c>
      <c r="E619" s="68" t="n">
        <f aca="false">IFERROR(INDEX(المكونات!$C$2:$C$500,MATCH($B619,المكونات!$A$2:$A$500,0)),"")</f>
        <v>23.56668</v>
      </c>
      <c r="F619" s="69" t="n">
        <f aca="false">IFERROR($C619*$E619,"")</f>
        <v>3.535002</v>
      </c>
    </row>
    <row r="620" customFormat="false" ht="15" hidden="false" customHeight="true" outlineLevel="0" collapsed="false">
      <c r="A620" s="66" t="s">
        <v>442</v>
      </c>
      <c r="B620" s="66" t="s">
        <v>221</v>
      </c>
      <c r="C620" s="66" t="n">
        <v>0.06</v>
      </c>
      <c r="D620" s="67" t="str">
        <f aca="false">IFERROR(INDEX(المكونات!$B$2:$B$500,MATCH($B620,المكونات!$A$2:$A$500,0)),"")</f>
        <v>كجم</v>
      </c>
      <c r="E620" s="68" t="n">
        <f aca="false">IFERROR(INDEX(المكونات!$C$2:$C$500,MATCH($B620,المكونات!$A$2:$A$500,0)),"")</f>
        <v>220</v>
      </c>
      <c r="F620" s="69" t="n">
        <f aca="false">IFERROR($C620*$E620,"")</f>
        <v>13.2</v>
      </c>
    </row>
    <row r="621" customFormat="false" ht="15" hidden="false" customHeight="true" outlineLevel="0" collapsed="false">
      <c r="A621" s="66" t="s">
        <v>442</v>
      </c>
      <c r="B621" s="66" t="s">
        <v>214</v>
      </c>
      <c r="C621" s="66" t="n">
        <v>0.03</v>
      </c>
      <c r="D621" s="67" t="str">
        <f aca="false">IFERROR(INDEX(المكونات!$B$2:$B$500,MATCH($B621,المكونات!$A$2:$A$500,0)),"")</f>
        <v>كجم</v>
      </c>
      <c r="E621" s="68" t="n">
        <f aca="false">IFERROR(INDEX(المكونات!$C$2:$C$500,MATCH($B621,المكونات!$A$2:$A$500,0)),"")</f>
        <v>200</v>
      </c>
      <c r="F621" s="69" t="n">
        <f aca="false">IFERROR($C621*$E621,"")</f>
        <v>6</v>
      </c>
    </row>
    <row r="622" customFormat="false" ht="15" hidden="false" customHeight="true" outlineLevel="0" collapsed="false">
      <c r="A622" s="66" t="s">
        <v>442</v>
      </c>
      <c r="B622" s="66" t="s">
        <v>229</v>
      </c>
      <c r="C622" s="66" t="n">
        <v>0.05</v>
      </c>
      <c r="D622" s="67" t="str">
        <f aca="false">IFERROR(INDEX(المكونات!$B$2:$B$500,MATCH($B622,المكونات!$A$2:$A$500,0)),"")</f>
        <v>كجم</v>
      </c>
      <c r="E622" s="68" t="n">
        <f aca="false">IFERROR(INDEX(المكونات!$C$2:$C$500,MATCH($B622,المكونات!$A$2:$A$500,0)),"")</f>
        <v>30.6593</v>
      </c>
      <c r="F622" s="69" t="n">
        <f aca="false">IFERROR($C622*$E622,"")</f>
        <v>1.532965</v>
      </c>
    </row>
    <row r="623" customFormat="false" ht="15" hidden="false" customHeight="true" outlineLevel="0" collapsed="false">
      <c r="A623" s="66" t="s">
        <v>442</v>
      </c>
      <c r="B623" s="66" t="s">
        <v>298</v>
      </c>
      <c r="C623" s="66" t="n">
        <v>0.15</v>
      </c>
      <c r="D623" s="67" t="str">
        <f aca="false">IFERROR(INDEX(المكونات!$B$2:$B$500,MATCH($B623,المكونات!$A$2:$A$500,0)),"")</f>
        <v>لتر</v>
      </c>
      <c r="E623" s="68" t="n">
        <f aca="false">IFERROR(INDEX(المكونات!$C$2:$C$500,MATCH($B623,المكونات!$A$2:$A$500,0)),"")</f>
        <v>20.6667</v>
      </c>
      <c r="F623" s="69" t="n">
        <f aca="false">IFERROR($C623*$E623,"")</f>
        <v>3.100005</v>
      </c>
    </row>
    <row r="624" customFormat="false" ht="26.25" hidden="false" customHeight="true" outlineLevel="0" collapsed="false">
      <c r="A624" s="66" t="s">
        <v>442</v>
      </c>
      <c r="B624" s="66" t="s">
        <v>192</v>
      </c>
      <c r="C624" s="66" t="n">
        <v>1</v>
      </c>
      <c r="D624" s="67" t="str">
        <f aca="false">IFERROR(INDEX(المكونات!$B$2:$B$500,MATCH($B624,المكونات!$A$2:$A$500,0)),"")</f>
        <v>قطعة (لفة استخدام)</v>
      </c>
      <c r="E624" s="68" t="n">
        <f aca="false">IFERROR(INDEX(المكونات!$C$2:$C$500,MATCH($B624,المكونات!$A$2:$A$500,0)),"")</f>
        <v>3.65</v>
      </c>
      <c r="F624" s="69" t="n">
        <f aca="false">IFERROR($C624*$E624,"")</f>
        <v>3.65</v>
      </c>
    </row>
    <row r="625" customFormat="false" ht="15" hidden="false" customHeight="true" outlineLevel="0" collapsed="false">
      <c r="A625" s="66" t="s">
        <v>442</v>
      </c>
      <c r="B625" s="66" t="s">
        <v>278</v>
      </c>
      <c r="C625" s="66" t="n">
        <v>1</v>
      </c>
      <c r="D625" s="67" t="str">
        <f aca="false">IFERROR(INDEX(المكونات!$B$2:$B$500,MATCH($B625,المكونات!$A$2:$A$500,0)),"")</f>
        <v>قطعة</v>
      </c>
      <c r="E625" s="68" t="n">
        <f aca="false">IFERROR(INDEX(المكونات!$C$2:$C$500,MATCH($B625,المكونات!$A$2:$A$500,0)),"")</f>
        <v>3.1</v>
      </c>
      <c r="F625" s="69" t="n">
        <f aca="false">IFERROR($C625*$E625,"")</f>
        <v>3.1</v>
      </c>
    </row>
    <row r="626" customFormat="false" ht="15" hidden="false" customHeight="true" outlineLevel="0" collapsed="false">
      <c r="A626" s="66" t="s">
        <v>442</v>
      </c>
      <c r="B626" s="66" t="s">
        <v>243</v>
      </c>
      <c r="C626" s="66" t="n">
        <v>1</v>
      </c>
      <c r="D626" s="67" t="str">
        <f aca="false">IFERROR(INDEX(المكونات!$B$2:$B$500,MATCH($B626,المكونات!$A$2:$A$500,0)),"")</f>
        <v>قطعة</v>
      </c>
      <c r="E626" s="68" t="n">
        <f aca="false">IFERROR(INDEX(المكونات!$C$2:$C$500,MATCH($B626,المكونات!$A$2:$A$500,0)),"")</f>
        <v>0.3</v>
      </c>
      <c r="F626" s="69" t="n">
        <f aca="false">IFERROR($C626*$E626,"")</f>
        <v>0.3</v>
      </c>
    </row>
    <row r="627" customFormat="false" ht="15" hidden="false" customHeight="true" outlineLevel="0" collapsed="false">
      <c r="A627" s="66" t="s">
        <v>442</v>
      </c>
      <c r="B627" s="66" t="s">
        <v>136</v>
      </c>
      <c r="C627" s="66" t="n">
        <v>1</v>
      </c>
      <c r="D627" s="67" t="str">
        <f aca="false">IFERROR(INDEX(المكونات!$B$2:$B$500,MATCH($B627,المكونات!$A$2:$A$500,0)),"")</f>
        <v>قطعة (كيس)</v>
      </c>
      <c r="E627" s="68" t="n">
        <f aca="false">IFERROR(INDEX(المكونات!$C$2:$C$500,MATCH($B627,المكونات!$A$2:$A$500,0)),"")</f>
        <v>1.4</v>
      </c>
      <c r="F627" s="69" t="n">
        <f aca="false">IFERROR($C627*$E627,"")</f>
        <v>1.4</v>
      </c>
    </row>
    <row r="628" customFormat="false" ht="15" hidden="false" customHeight="true" outlineLevel="0" collapsed="false">
      <c r="A628" s="66" t="s">
        <v>410</v>
      </c>
      <c r="B628" s="66" t="s">
        <v>264</v>
      </c>
      <c r="C628" s="66" t="n">
        <v>1</v>
      </c>
      <c r="D628" s="67" t="str">
        <f aca="false">IFERROR(INDEX(المكونات!$B$2:$B$500,MATCH($B628,المكونات!$A$2:$A$500,0)),"")</f>
        <v>قطعة</v>
      </c>
      <c r="E628" s="68" t="n">
        <f aca="false">IFERROR(INDEX(المكونات!$C$2:$C$500,MATCH($B628,المكونات!$A$2:$A$500,0)),"")</f>
        <v>4</v>
      </c>
      <c r="F628" s="69" t="n">
        <f aca="false">IFERROR($C628*$E628,"")</f>
        <v>4</v>
      </c>
    </row>
    <row r="629" customFormat="false" ht="15" hidden="false" customHeight="true" outlineLevel="0" collapsed="false">
      <c r="A629" s="66" t="s">
        <v>410</v>
      </c>
      <c r="B629" s="66" t="s">
        <v>325</v>
      </c>
      <c r="C629" s="66" t="n">
        <v>0.15</v>
      </c>
      <c r="D629" s="67" t="str">
        <f aca="false">IFERROR(INDEX(المكونات!$B$2:$B$500,MATCH($B629,المكونات!$A$2:$A$500,0)),"")</f>
        <v>كجم</v>
      </c>
      <c r="E629" s="68" t="n">
        <f aca="false">IFERROR(INDEX(المكونات!$C$2:$C$500,MATCH($B629,المكونات!$A$2:$A$500,0)),"")</f>
        <v>23.56668</v>
      </c>
      <c r="F629" s="69" t="n">
        <f aca="false">IFERROR($C629*$E629,"")</f>
        <v>3.535002</v>
      </c>
    </row>
    <row r="630" customFormat="false" ht="15" hidden="false" customHeight="true" outlineLevel="0" collapsed="false">
      <c r="A630" s="66" t="s">
        <v>410</v>
      </c>
      <c r="B630" s="66" t="s">
        <v>166</v>
      </c>
      <c r="C630" s="66" t="n">
        <v>1</v>
      </c>
      <c r="D630" s="67" t="str">
        <f aca="false">IFERROR(INDEX(المكونات!$B$2:$B$500,MATCH($B630,المكونات!$A$2:$A$500,0)),"")</f>
        <v>قطعة</v>
      </c>
      <c r="E630" s="68" t="n">
        <f aca="false">IFERROR(INDEX(المكونات!$C$2:$C$500,MATCH($B630,المكونات!$A$2:$A$500,0)),"")</f>
        <v>25</v>
      </c>
      <c r="F630" s="69" t="n">
        <f aca="false">IFERROR($C630*$E630,"")</f>
        <v>25</v>
      </c>
    </row>
    <row r="631" customFormat="false" ht="15" hidden="false" customHeight="true" outlineLevel="0" collapsed="false">
      <c r="A631" s="66" t="s">
        <v>410</v>
      </c>
      <c r="B631" s="66" t="s">
        <v>170</v>
      </c>
      <c r="C631" s="66" t="n">
        <v>1</v>
      </c>
      <c r="D631" s="67" t="str">
        <f aca="false">IFERROR(INDEX(المكونات!$B$2:$B$500,MATCH($B631,المكونات!$A$2:$A$500,0)),"")</f>
        <v>قطعة</v>
      </c>
      <c r="E631" s="68" t="n">
        <f aca="false">IFERROR(INDEX(المكونات!$C$2:$C$500,MATCH($B631,المكونات!$A$2:$A$500,0)),"")</f>
        <v>23</v>
      </c>
      <c r="F631" s="69" t="n">
        <f aca="false">IFERROR($C631*$E631,"")</f>
        <v>23</v>
      </c>
    </row>
    <row r="632" customFormat="false" ht="15" hidden="false" customHeight="true" outlineLevel="0" collapsed="false">
      <c r="A632" s="66" t="s">
        <v>410</v>
      </c>
      <c r="B632" s="66" t="s">
        <v>229</v>
      </c>
      <c r="C632" s="66" t="n">
        <v>0.05</v>
      </c>
      <c r="D632" s="67" t="str">
        <f aca="false">IFERROR(INDEX(المكونات!$B$2:$B$500,MATCH($B632,المكونات!$A$2:$A$500,0)),"")</f>
        <v>كجم</v>
      </c>
      <c r="E632" s="68" t="n">
        <f aca="false">IFERROR(INDEX(المكونات!$C$2:$C$500,MATCH($B632,المكونات!$A$2:$A$500,0)),"")</f>
        <v>30.6593</v>
      </c>
      <c r="F632" s="69" t="n">
        <f aca="false">IFERROR($C632*$E632,"")</f>
        <v>1.532965</v>
      </c>
    </row>
    <row r="633" customFormat="false" ht="15" hidden="false" customHeight="true" outlineLevel="0" collapsed="false">
      <c r="A633" s="66" t="s">
        <v>410</v>
      </c>
      <c r="B633" s="66" t="s">
        <v>298</v>
      </c>
      <c r="C633" s="66" t="n">
        <v>0.15</v>
      </c>
      <c r="D633" s="67" t="str">
        <f aca="false">IFERROR(INDEX(المكونات!$B$2:$B$500,MATCH($B633,المكونات!$A$2:$A$500,0)),"")</f>
        <v>لتر</v>
      </c>
      <c r="E633" s="68" t="n">
        <f aca="false">IFERROR(INDEX(المكونات!$C$2:$C$500,MATCH($B633,المكونات!$A$2:$A$500,0)),"")</f>
        <v>20.6667</v>
      </c>
      <c r="F633" s="69" t="n">
        <f aca="false">IFERROR($C633*$E633,"")</f>
        <v>3.100005</v>
      </c>
    </row>
    <row r="634" customFormat="false" ht="15" hidden="false" customHeight="true" outlineLevel="0" collapsed="false">
      <c r="A634" s="66" t="s">
        <v>410</v>
      </c>
      <c r="B634" s="66" t="s">
        <v>266</v>
      </c>
      <c r="C634" s="66" t="n">
        <v>0.07</v>
      </c>
      <c r="D634" s="67" t="str">
        <f aca="false">IFERROR(INDEX(المكونات!$B$2:$B$500,MATCH($B634,المكونات!$A$2:$A$500,0)),"")</f>
        <v>كجم</v>
      </c>
      <c r="E634" s="68" t="n">
        <f aca="false">IFERROR(INDEX(المكونات!$C$2:$C$500,MATCH($B634,المكونات!$A$2:$A$500,0)),"")</f>
        <v>140</v>
      </c>
      <c r="F634" s="69" t="n">
        <f aca="false">IFERROR($C634*$E634,"")</f>
        <v>9.8</v>
      </c>
    </row>
    <row r="635" customFormat="false" ht="26.25" hidden="false" customHeight="true" outlineLevel="0" collapsed="false">
      <c r="A635" s="66" t="s">
        <v>410</v>
      </c>
      <c r="B635" s="66" t="s">
        <v>192</v>
      </c>
      <c r="C635" s="66" t="n">
        <v>1</v>
      </c>
      <c r="D635" s="67" t="str">
        <f aca="false">IFERROR(INDEX(المكونات!$B$2:$B$500,MATCH($B635,المكونات!$A$2:$A$500,0)),"")</f>
        <v>قطعة (لفة استخدام)</v>
      </c>
      <c r="E635" s="68" t="n">
        <f aca="false">IFERROR(INDEX(المكونات!$C$2:$C$500,MATCH($B635,المكونات!$A$2:$A$500,0)),"")</f>
        <v>3.65</v>
      </c>
      <c r="F635" s="69" t="n">
        <f aca="false">IFERROR($C635*$E635,"")</f>
        <v>3.65</v>
      </c>
    </row>
    <row r="636" customFormat="false" ht="15" hidden="false" customHeight="true" outlineLevel="0" collapsed="false">
      <c r="A636" s="66" t="s">
        <v>410</v>
      </c>
      <c r="B636" s="66" t="s">
        <v>278</v>
      </c>
      <c r="C636" s="66" t="n">
        <v>1</v>
      </c>
      <c r="D636" s="67" t="str">
        <f aca="false">IFERROR(INDEX(المكونات!$B$2:$B$500,MATCH($B636,المكونات!$A$2:$A$500,0)),"")</f>
        <v>قطعة</v>
      </c>
      <c r="E636" s="68" t="n">
        <f aca="false">IFERROR(INDEX(المكونات!$C$2:$C$500,MATCH($B636,المكونات!$A$2:$A$500,0)),"")</f>
        <v>3.1</v>
      </c>
      <c r="F636" s="69" t="n">
        <f aca="false">IFERROR($C636*$E636,"")</f>
        <v>3.1</v>
      </c>
    </row>
    <row r="637" customFormat="false" ht="15" hidden="false" customHeight="true" outlineLevel="0" collapsed="false">
      <c r="A637" s="66" t="s">
        <v>410</v>
      </c>
      <c r="B637" s="66" t="s">
        <v>243</v>
      </c>
      <c r="C637" s="66" t="n">
        <v>1</v>
      </c>
      <c r="D637" s="67" t="str">
        <f aca="false">IFERROR(INDEX(المكونات!$B$2:$B$500,MATCH($B637,المكونات!$A$2:$A$500,0)),"")</f>
        <v>قطعة</v>
      </c>
      <c r="E637" s="68" t="n">
        <f aca="false">IFERROR(INDEX(المكونات!$C$2:$C$500,MATCH($B637,المكونات!$A$2:$A$500,0)),"")</f>
        <v>0.3</v>
      </c>
      <c r="F637" s="69" t="n">
        <f aca="false">IFERROR($C637*$E637,"")</f>
        <v>0.3</v>
      </c>
    </row>
    <row r="638" customFormat="false" ht="15" hidden="false" customHeight="true" outlineLevel="0" collapsed="false">
      <c r="A638" s="66" t="s">
        <v>410</v>
      </c>
      <c r="B638" s="66" t="s">
        <v>136</v>
      </c>
      <c r="C638" s="66" t="n">
        <v>1</v>
      </c>
      <c r="D638" s="67" t="str">
        <f aca="false">IFERROR(INDEX(المكونات!$B$2:$B$500,MATCH($B638,المكونات!$A$2:$A$500,0)),"")</f>
        <v>قطعة (كيس)</v>
      </c>
      <c r="E638" s="68" t="n">
        <f aca="false">IFERROR(INDEX(المكونات!$C$2:$C$500,MATCH($B638,المكونات!$A$2:$A$500,0)),"")</f>
        <v>1.4</v>
      </c>
      <c r="F638" s="69" t="n">
        <f aca="false">IFERROR($C638*$E638,"")</f>
        <v>1.4</v>
      </c>
    </row>
    <row r="639" customFormat="false" ht="15" hidden="false" customHeight="true" outlineLevel="0" collapsed="false">
      <c r="A639" s="66" t="s">
        <v>401</v>
      </c>
      <c r="B639" s="66" t="s">
        <v>264</v>
      </c>
      <c r="C639" s="66" t="n">
        <v>1</v>
      </c>
      <c r="D639" s="67" t="str">
        <f aca="false">IFERROR(INDEX(المكونات!$B$2:$B$500,MATCH($B639,المكونات!$A$2:$A$500,0)),"")</f>
        <v>قطعة</v>
      </c>
      <c r="E639" s="68" t="n">
        <f aca="false">IFERROR(INDEX(المكونات!$C$2:$C$500,MATCH($B639,المكونات!$A$2:$A$500,0)),"")</f>
        <v>4</v>
      </c>
      <c r="F639" s="69" t="n">
        <f aca="false">IFERROR($C639*$E639,"")</f>
        <v>4</v>
      </c>
    </row>
    <row r="640" customFormat="false" ht="15" hidden="false" customHeight="true" outlineLevel="0" collapsed="false">
      <c r="A640" s="66" t="s">
        <v>401</v>
      </c>
      <c r="B640" s="66" t="s">
        <v>325</v>
      </c>
      <c r="C640" s="66" t="n">
        <v>0.15</v>
      </c>
      <c r="D640" s="67" t="str">
        <f aca="false">IFERROR(INDEX(المكونات!$B$2:$B$500,MATCH($B640,المكونات!$A$2:$A$500,0)),"")</f>
        <v>كجم</v>
      </c>
      <c r="E640" s="68" t="n">
        <f aca="false">IFERROR(INDEX(المكونات!$C$2:$C$500,MATCH($B640,المكونات!$A$2:$A$500,0)),"")</f>
        <v>23.56668</v>
      </c>
      <c r="F640" s="69" t="n">
        <f aca="false">IFERROR($C640*$E640,"")</f>
        <v>3.535002</v>
      </c>
    </row>
    <row r="641" customFormat="false" ht="15" hidden="false" customHeight="true" outlineLevel="0" collapsed="false">
      <c r="A641" s="66" t="s">
        <v>401</v>
      </c>
      <c r="B641" s="66" t="s">
        <v>245</v>
      </c>
      <c r="C641" s="66" t="n">
        <v>0.16</v>
      </c>
      <c r="D641" s="67" t="str">
        <f aca="false">IFERROR(INDEX(المكونات!$B$2:$B$500,MATCH($B641,المكونات!$A$2:$A$500,0)),"")</f>
        <v>كجم</v>
      </c>
      <c r="E641" s="68" t="n">
        <f aca="false">IFERROR(INDEX(المكونات!$C$2:$C$500,MATCH($B641,المكونات!$A$2:$A$500,0)),"")</f>
        <v>127.6582</v>
      </c>
      <c r="F641" s="69" t="n">
        <f aca="false">IFERROR($C641*$E641,"")</f>
        <v>20.425312</v>
      </c>
    </row>
    <row r="642" customFormat="false" ht="15" hidden="false" customHeight="true" outlineLevel="0" collapsed="false">
      <c r="A642" s="66" t="s">
        <v>401</v>
      </c>
      <c r="B642" s="66" t="s">
        <v>247</v>
      </c>
      <c r="C642" s="66" t="n">
        <v>0.03</v>
      </c>
      <c r="D642" s="67" t="str">
        <f aca="false">IFERROR(INDEX(المكونات!$B$2:$B$500,MATCH($B642,المكونات!$A$2:$A$500,0)),"")</f>
        <v>كجم</v>
      </c>
      <c r="E642" s="68" t="n">
        <f aca="false">IFERROR(INDEX(المكونات!$C$2:$C$500,MATCH($B642,المكونات!$A$2:$A$500,0)),"")</f>
        <v>100</v>
      </c>
      <c r="F642" s="69" t="n">
        <f aca="false">IFERROR($C642*$E642,"")</f>
        <v>3</v>
      </c>
    </row>
    <row r="643" customFormat="false" ht="15" hidden="false" customHeight="true" outlineLevel="0" collapsed="false">
      <c r="A643" s="66" t="s">
        <v>401</v>
      </c>
      <c r="B643" s="66" t="s">
        <v>295</v>
      </c>
      <c r="C643" s="66" t="n">
        <v>0.01</v>
      </c>
      <c r="D643" s="67" t="str">
        <f aca="false">IFERROR(INDEX(المكونات!$B$2:$B$500,MATCH($B643,المكونات!$A$2:$A$500,0)),"")</f>
        <v>كجم</v>
      </c>
      <c r="E643" s="68" t="n">
        <f aca="false">IFERROR(INDEX(المكونات!$C$2:$C$500,MATCH($B643,المكونات!$A$2:$A$500,0)),"")</f>
        <v>420</v>
      </c>
      <c r="F643" s="69" t="n">
        <f aca="false">IFERROR($C643*$E643,"")</f>
        <v>4.2</v>
      </c>
    </row>
    <row r="644" customFormat="false" ht="26.25" hidden="false" customHeight="true" outlineLevel="0" collapsed="false">
      <c r="A644" s="66" t="s">
        <v>401</v>
      </c>
      <c r="B644" s="66" t="s">
        <v>192</v>
      </c>
      <c r="C644" s="66" t="n">
        <v>1</v>
      </c>
      <c r="D644" s="67" t="str">
        <f aca="false">IFERROR(INDEX(المكونات!$B$2:$B$500,MATCH($B644,المكونات!$A$2:$A$500,0)),"")</f>
        <v>قطعة (لفة استخدام)</v>
      </c>
      <c r="E644" s="68" t="n">
        <f aca="false">IFERROR(INDEX(المكونات!$C$2:$C$500,MATCH($B644,المكونات!$A$2:$A$500,0)),"")</f>
        <v>3.65</v>
      </c>
      <c r="F644" s="69" t="n">
        <f aca="false">IFERROR($C644*$E644,"")</f>
        <v>3.65</v>
      </c>
    </row>
    <row r="645" customFormat="false" ht="15" hidden="false" customHeight="true" outlineLevel="0" collapsed="false">
      <c r="A645" s="66" t="s">
        <v>401</v>
      </c>
      <c r="B645" s="66" t="s">
        <v>278</v>
      </c>
      <c r="C645" s="66" t="n">
        <v>1</v>
      </c>
      <c r="D645" s="67" t="str">
        <f aca="false">IFERROR(INDEX(المكونات!$B$2:$B$500,MATCH($B645,المكونات!$A$2:$A$500,0)),"")</f>
        <v>قطعة</v>
      </c>
      <c r="E645" s="68" t="n">
        <f aca="false">IFERROR(INDEX(المكونات!$C$2:$C$500,MATCH($B645,المكونات!$A$2:$A$500,0)),"")</f>
        <v>3.1</v>
      </c>
      <c r="F645" s="69" t="n">
        <f aca="false">IFERROR($C645*$E645,"")</f>
        <v>3.1</v>
      </c>
    </row>
    <row r="646" customFormat="false" ht="15" hidden="false" customHeight="true" outlineLevel="0" collapsed="false">
      <c r="A646" s="66" t="s">
        <v>401</v>
      </c>
      <c r="B646" s="66" t="s">
        <v>243</v>
      </c>
      <c r="C646" s="66" t="n">
        <v>1</v>
      </c>
      <c r="D646" s="67" t="str">
        <f aca="false">IFERROR(INDEX(المكونات!$B$2:$B$500,MATCH($B646,المكونات!$A$2:$A$500,0)),"")</f>
        <v>قطعة</v>
      </c>
      <c r="E646" s="68" t="n">
        <f aca="false">IFERROR(INDEX(المكونات!$C$2:$C$500,MATCH($B646,المكونات!$A$2:$A$500,0)),"")</f>
        <v>0.3</v>
      </c>
      <c r="F646" s="69" t="n">
        <f aca="false">IFERROR($C646*$E646,"")</f>
        <v>0.3</v>
      </c>
    </row>
    <row r="647" customFormat="false" ht="15" hidden="false" customHeight="true" outlineLevel="0" collapsed="false">
      <c r="A647" s="66" t="s">
        <v>401</v>
      </c>
      <c r="B647" s="66" t="s">
        <v>136</v>
      </c>
      <c r="C647" s="66" t="n">
        <v>1</v>
      </c>
      <c r="D647" s="67" t="str">
        <f aca="false">IFERROR(INDEX(المكونات!$B$2:$B$500,MATCH($B647,المكونات!$A$2:$A$500,0)),"")</f>
        <v>قطعة (كيس)</v>
      </c>
      <c r="E647" s="68" t="n">
        <f aca="false">IFERROR(INDEX(المكونات!$C$2:$C$500,MATCH($B647,المكونات!$A$2:$A$500,0)),"")</f>
        <v>1.4</v>
      </c>
      <c r="F647" s="69" t="n">
        <f aca="false">IFERROR($C647*$E647,"")</f>
        <v>1.4</v>
      </c>
    </row>
    <row r="648" customFormat="false" ht="15" hidden="false" customHeight="true" outlineLevel="0" collapsed="false">
      <c r="A648" s="66" t="s">
        <v>428</v>
      </c>
      <c r="B648" s="66" t="s">
        <v>264</v>
      </c>
      <c r="C648" s="66" t="n">
        <v>1</v>
      </c>
      <c r="D648" s="67" t="str">
        <f aca="false">IFERROR(INDEX(المكونات!$B$2:$B$500,MATCH($B648,المكونات!$A$2:$A$500,0)),"")</f>
        <v>قطعة</v>
      </c>
      <c r="E648" s="68" t="n">
        <f aca="false">IFERROR(INDEX(المكونات!$C$2:$C$500,MATCH($B648,المكونات!$A$2:$A$500,0)),"")</f>
        <v>4</v>
      </c>
      <c r="F648" s="69" t="n">
        <f aca="false">IFERROR($C648*$E648,"")</f>
        <v>4</v>
      </c>
    </row>
    <row r="649" customFormat="false" ht="15" hidden="false" customHeight="true" outlineLevel="0" collapsed="false">
      <c r="A649" s="66" t="s">
        <v>428</v>
      </c>
      <c r="B649" s="66" t="s">
        <v>325</v>
      </c>
      <c r="C649" s="66" t="n">
        <v>0.15</v>
      </c>
      <c r="D649" s="67" t="str">
        <f aca="false">IFERROR(INDEX(المكونات!$B$2:$B$500,MATCH($B649,المكونات!$A$2:$A$500,0)),"")</f>
        <v>كجم</v>
      </c>
      <c r="E649" s="68" t="n">
        <f aca="false">IFERROR(INDEX(المكونات!$C$2:$C$500,MATCH($B649,المكونات!$A$2:$A$500,0)),"")</f>
        <v>23.56668</v>
      </c>
      <c r="F649" s="69" t="n">
        <f aca="false">IFERROR($C649*$E649,"")</f>
        <v>3.535002</v>
      </c>
    </row>
    <row r="650" customFormat="false" ht="15" hidden="false" customHeight="true" outlineLevel="0" collapsed="false">
      <c r="A650" s="66" t="s">
        <v>428</v>
      </c>
      <c r="B650" s="66" t="s">
        <v>317</v>
      </c>
      <c r="C650" s="66" t="n">
        <v>0.16</v>
      </c>
      <c r="D650" s="67" t="str">
        <f aca="false">IFERROR(INDEX(المكونات!$B$2:$B$500,MATCH($B650,المكونات!$A$2:$A$500,0)),"")</f>
        <v>كجم</v>
      </c>
      <c r="E650" s="68" t="n">
        <f aca="false">IFERROR(INDEX(المكونات!$C$2:$C$500,MATCH($B650,المكونات!$A$2:$A$500,0)),"")</f>
        <v>610</v>
      </c>
      <c r="F650" s="69" t="n">
        <f aca="false">IFERROR($C650*$E650,"")</f>
        <v>97.6</v>
      </c>
    </row>
    <row r="651" customFormat="false" ht="15" hidden="false" customHeight="true" outlineLevel="0" collapsed="false">
      <c r="A651" s="66" t="s">
        <v>428</v>
      </c>
      <c r="B651" s="66" t="s">
        <v>247</v>
      </c>
      <c r="C651" s="66" t="n">
        <v>0.03</v>
      </c>
      <c r="D651" s="67" t="str">
        <f aca="false">IFERROR(INDEX(المكونات!$B$2:$B$500,MATCH($B651,المكونات!$A$2:$A$500,0)),"")</f>
        <v>كجم</v>
      </c>
      <c r="E651" s="68" t="n">
        <f aca="false">IFERROR(INDEX(المكونات!$C$2:$C$500,MATCH($B651,المكونات!$A$2:$A$500,0)),"")</f>
        <v>100</v>
      </c>
      <c r="F651" s="69" t="n">
        <f aca="false">IFERROR($C651*$E651,"")</f>
        <v>3</v>
      </c>
    </row>
    <row r="652" customFormat="false" ht="15" hidden="false" customHeight="true" outlineLevel="0" collapsed="false">
      <c r="A652" s="66" t="s">
        <v>428</v>
      </c>
      <c r="B652" s="66" t="s">
        <v>166</v>
      </c>
      <c r="C652" s="66" t="n">
        <v>1</v>
      </c>
      <c r="D652" s="67" t="str">
        <f aca="false">IFERROR(INDEX(المكونات!$B$2:$B$500,MATCH($B652,المكونات!$A$2:$A$500,0)),"")</f>
        <v>قطعة</v>
      </c>
      <c r="E652" s="68" t="n">
        <f aca="false">IFERROR(INDEX(المكونات!$C$2:$C$500,MATCH($B652,المكونات!$A$2:$A$500,0)),"")</f>
        <v>25</v>
      </c>
      <c r="F652" s="69" t="n">
        <f aca="false">IFERROR($C652*$E652,"")</f>
        <v>25</v>
      </c>
    </row>
    <row r="653" customFormat="false" ht="15" hidden="false" customHeight="true" outlineLevel="0" collapsed="false">
      <c r="A653" s="66" t="s">
        <v>428</v>
      </c>
      <c r="B653" s="66" t="s">
        <v>170</v>
      </c>
      <c r="C653" s="66" t="n">
        <v>1</v>
      </c>
      <c r="D653" s="67" t="str">
        <f aca="false">IFERROR(INDEX(المكونات!$B$2:$B$500,MATCH($B653,المكونات!$A$2:$A$500,0)),"")</f>
        <v>قطعة</v>
      </c>
      <c r="E653" s="68" t="n">
        <f aca="false">IFERROR(INDEX(المكونات!$C$2:$C$500,MATCH($B653,المكونات!$A$2:$A$500,0)),"")</f>
        <v>23</v>
      </c>
      <c r="F653" s="69" t="n">
        <f aca="false">IFERROR($C653*$E653,"")</f>
        <v>23</v>
      </c>
    </row>
    <row r="654" customFormat="false" ht="26.25" hidden="false" customHeight="true" outlineLevel="0" collapsed="false">
      <c r="A654" s="66" t="s">
        <v>428</v>
      </c>
      <c r="B654" s="66" t="s">
        <v>192</v>
      </c>
      <c r="C654" s="66" t="n">
        <v>1</v>
      </c>
      <c r="D654" s="67" t="str">
        <f aca="false">IFERROR(INDEX(المكونات!$B$2:$B$500,MATCH($B654,المكونات!$A$2:$A$500,0)),"")</f>
        <v>قطعة (لفة استخدام)</v>
      </c>
      <c r="E654" s="68" t="n">
        <f aca="false">IFERROR(INDEX(المكونات!$C$2:$C$500,MATCH($B654,المكونات!$A$2:$A$500,0)),"")</f>
        <v>3.65</v>
      </c>
      <c r="F654" s="69" t="n">
        <f aca="false">IFERROR($C654*$E654,"")</f>
        <v>3.65</v>
      </c>
    </row>
    <row r="655" customFormat="false" ht="15" hidden="false" customHeight="true" outlineLevel="0" collapsed="false">
      <c r="A655" s="66" t="s">
        <v>428</v>
      </c>
      <c r="B655" s="66" t="s">
        <v>278</v>
      </c>
      <c r="C655" s="66" t="n">
        <v>1</v>
      </c>
      <c r="D655" s="67" t="str">
        <f aca="false">IFERROR(INDEX(المكونات!$B$2:$B$500,MATCH($B655,المكونات!$A$2:$A$500,0)),"")</f>
        <v>قطعة</v>
      </c>
      <c r="E655" s="68" t="n">
        <f aca="false">IFERROR(INDEX(المكونات!$C$2:$C$500,MATCH($B655,المكونات!$A$2:$A$500,0)),"")</f>
        <v>3.1</v>
      </c>
      <c r="F655" s="69" t="n">
        <f aca="false">IFERROR($C655*$E655,"")</f>
        <v>3.1</v>
      </c>
    </row>
    <row r="656" customFormat="false" ht="15" hidden="false" customHeight="true" outlineLevel="0" collapsed="false">
      <c r="A656" s="66" t="s">
        <v>428</v>
      </c>
      <c r="B656" s="66" t="s">
        <v>243</v>
      </c>
      <c r="C656" s="66" t="n">
        <v>1</v>
      </c>
      <c r="D656" s="67" t="str">
        <f aca="false">IFERROR(INDEX(المكونات!$B$2:$B$500,MATCH($B656,المكونات!$A$2:$A$500,0)),"")</f>
        <v>قطعة</v>
      </c>
      <c r="E656" s="68" t="n">
        <f aca="false">IFERROR(INDEX(المكونات!$C$2:$C$500,MATCH($B656,المكونات!$A$2:$A$500,0)),"")</f>
        <v>0.3</v>
      </c>
      <c r="F656" s="69" t="n">
        <f aca="false">IFERROR($C656*$E656,"")</f>
        <v>0.3</v>
      </c>
    </row>
    <row r="657" customFormat="false" ht="15" hidden="false" customHeight="true" outlineLevel="0" collapsed="false">
      <c r="A657" s="66" t="s">
        <v>428</v>
      </c>
      <c r="B657" s="66" t="s">
        <v>136</v>
      </c>
      <c r="C657" s="66" t="n">
        <v>1</v>
      </c>
      <c r="D657" s="67" t="str">
        <f aca="false">IFERROR(INDEX(المكونات!$B$2:$B$500,MATCH($B657,المكونات!$A$2:$A$500,0)),"")</f>
        <v>قطعة (كيس)</v>
      </c>
      <c r="E657" s="68" t="n">
        <f aca="false">IFERROR(INDEX(المكونات!$C$2:$C$500,MATCH($B657,المكونات!$A$2:$A$500,0)),"")</f>
        <v>1.4</v>
      </c>
      <c r="F657" s="69" t="n">
        <f aca="false">IFERROR($C657*$E657,"")</f>
        <v>1.4</v>
      </c>
    </row>
    <row r="658" customFormat="false" ht="15" hidden="false" customHeight="true" outlineLevel="0" collapsed="false">
      <c r="A658" s="66" t="s">
        <v>432</v>
      </c>
      <c r="B658" s="66" t="s">
        <v>264</v>
      </c>
      <c r="C658" s="66" t="n">
        <v>1</v>
      </c>
      <c r="D658" s="67" t="str">
        <f aca="false">IFERROR(INDEX(المكونات!$B$2:$B$500,MATCH($B658,المكونات!$A$2:$A$500,0)),"")</f>
        <v>قطعة</v>
      </c>
      <c r="E658" s="68" t="n">
        <f aca="false">IFERROR(INDEX(المكونات!$C$2:$C$500,MATCH($B658,المكونات!$A$2:$A$500,0)),"")</f>
        <v>4</v>
      </c>
      <c r="F658" s="69" t="n">
        <f aca="false">IFERROR($C658*$E658,"")</f>
        <v>4</v>
      </c>
    </row>
    <row r="659" customFormat="false" ht="15" hidden="false" customHeight="true" outlineLevel="0" collapsed="false">
      <c r="A659" s="66" t="s">
        <v>432</v>
      </c>
      <c r="B659" s="66" t="s">
        <v>325</v>
      </c>
      <c r="C659" s="66" t="n">
        <v>0.15</v>
      </c>
      <c r="D659" s="67" t="str">
        <f aca="false">IFERROR(INDEX(المكونات!$B$2:$B$500,MATCH($B659,المكونات!$A$2:$A$500,0)),"")</f>
        <v>كجم</v>
      </c>
      <c r="E659" s="68" t="n">
        <f aca="false">IFERROR(INDEX(المكونات!$C$2:$C$500,MATCH($B659,المكونات!$A$2:$A$500,0)),"")</f>
        <v>23.56668</v>
      </c>
      <c r="F659" s="69" t="n">
        <f aca="false">IFERROR($C659*$E659,"")</f>
        <v>3.535002</v>
      </c>
    </row>
    <row r="660" customFormat="false" ht="15" hidden="false" customHeight="true" outlineLevel="0" collapsed="false">
      <c r="A660" s="66" t="s">
        <v>432</v>
      </c>
      <c r="B660" s="66" t="s">
        <v>245</v>
      </c>
      <c r="C660" s="66" t="n">
        <v>0.1</v>
      </c>
      <c r="D660" s="67" t="str">
        <f aca="false">IFERROR(INDEX(المكونات!$B$2:$B$500,MATCH($B660,المكونات!$A$2:$A$500,0)),"")</f>
        <v>كجم</v>
      </c>
      <c r="E660" s="68" t="n">
        <f aca="false">IFERROR(INDEX(المكونات!$C$2:$C$500,MATCH($B660,المكونات!$A$2:$A$500,0)),"")</f>
        <v>127.6582</v>
      </c>
      <c r="F660" s="69" t="n">
        <f aca="false">IFERROR($C660*$E660,"")</f>
        <v>12.76582</v>
      </c>
    </row>
    <row r="661" customFormat="false" ht="15" hidden="false" customHeight="true" outlineLevel="0" collapsed="false">
      <c r="A661" s="66" t="s">
        <v>432</v>
      </c>
      <c r="B661" s="66" t="s">
        <v>302</v>
      </c>
      <c r="C661" s="66" t="n">
        <v>0.05</v>
      </c>
      <c r="D661" s="67" t="str">
        <f aca="false">IFERROR(INDEX(المكونات!$B$2:$B$500,MATCH($B661,المكونات!$A$2:$A$500,0)),"")</f>
        <v>كجم</v>
      </c>
      <c r="E661" s="68" t="n">
        <f aca="false">IFERROR(INDEX(المكونات!$C$2:$C$500,MATCH($B661,المكونات!$A$2:$A$500,0)),"")</f>
        <v>135</v>
      </c>
      <c r="F661" s="69" t="n">
        <f aca="false">IFERROR($C661*$E661,"")</f>
        <v>6.75</v>
      </c>
    </row>
    <row r="662" customFormat="false" ht="15" hidden="false" customHeight="true" outlineLevel="0" collapsed="false">
      <c r="A662" s="66" t="s">
        <v>432</v>
      </c>
      <c r="B662" s="66" t="s">
        <v>247</v>
      </c>
      <c r="C662" s="66" t="n">
        <v>0.05</v>
      </c>
      <c r="D662" s="67" t="str">
        <f aca="false">IFERROR(INDEX(المكونات!$B$2:$B$500,MATCH($B662,المكونات!$A$2:$A$500,0)),"")</f>
        <v>كجم</v>
      </c>
      <c r="E662" s="68" t="n">
        <f aca="false">IFERROR(INDEX(المكونات!$C$2:$C$500,MATCH($B662,المكونات!$A$2:$A$500,0)),"")</f>
        <v>100</v>
      </c>
      <c r="F662" s="69" t="n">
        <f aca="false">IFERROR($C662*$E662,"")</f>
        <v>5</v>
      </c>
    </row>
    <row r="663" customFormat="false" ht="15" hidden="false" customHeight="true" outlineLevel="0" collapsed="false">
      <c r="A663" s="66" t="s">
        <v>432</v>
      </c>
      <c r="B663" s="66" t="s">
        <v>185</v>
      </c>
      <c r="C663" s="66" t="n">
        <v>0.03</v>
      </c>
      <c r="D663" s="67" t="str">
        <f aca="false">IFERROR(INDEX(المكونات!$B$2:$B$500,MATCH($B663,المكونات!$A$2:$A$500,0)),"")</f>
        <v>كجم</v>
      </c>
      <c r="E663" s="68" t="n">
        <f aca="false">IFERROR(INDEX(المكونات!$C$2:$C$500,MATCH($B663,المكونات!$A$2:$A$500,0)),"")</f>
        <v>100</v>
      </c>
      <c r="F663" s="69" t="n">
        <f aca="false">IFERROR($C663*$E663,"")</f>
        <v>3</v>
      </c>
    </row>
    <row r="664" customFormat="false" ht="15" hidden="false" customHeight="true" outlineLevel="0" collapsed="false">
      <c r="A664" s="66" t="s">
        <v>432</v>
      </c>
      <c r="B664" s="66" t="s">
        <v>180</v>
      </c>
      <c r="C664" s="66" t="n">
        <v>0.03</v>
      </c>
      <c r="D664" s="67" t="str">
        <f aca="false">IFERROR(INDEX(المكونات!$B$2:$B$500,MATCH($B664,المكونات!$A$2:$A$500,0)),"")</f>
        <v>كجم</v>
      </c>
      <c r="E664" s="68" t="n">
        <f aca="false">IFERROR(INDEX(المكونات!$C$2:$C$500,MATCH($B664,المكونات!$A$2:$A$500,0)),"")</f>
        <v>100</v>
      </c>
      <c r="F664" s="69" t="n">
        <f aca="false">IFERROR($C664*$E664,"")</f>
        <v>3</v>
      </c>
    </row>
    <row r="665" customFormat="false" ht="15" hidden="false" customHeight="true" outlineLevel="0" collapsed="false">
      <c r="A665" s="66" t="s">
        <v>432</v>
      </c>
      <c r="B665" s="66" t="s">
        <v>170</v>
      </c>
      <c r="C665" s="66" t="n">
        <v>1</v>
      </c>
      <c r="D665" s="67" t="str">
        <f aca="false">IFERROR(INDEX(المكونات!$B$2:$B$500,MATCH($B665,المكونات!$A$2:$A$500,0)),"")</f>
        <v>قطعة</v>
      </c>
      <c r="E665" s="68" t="n">
        <f aca="false">IFERROR(INDEX(المكونات!$C$2:$C$500,MATCH($B665,المكونات!$A$2:$A$500,0)),"")</f>
        <v>23</v>
      </c>
      <c r="F665" s="69" t="n">
        <f aca="false">IFERROR($C665*$E665,"")</f>
        <v>23</v>
      </c>
    </row>
    <row r="666" customFormat="false" ht="15" hidden="false" customHeight="true" outlineLevel="0" collapsed="false">
      <c r="A666" s="66" t="s">
        <v>432</v>
      </c>
      <c r="B666" s="66" t="s">
        <v>234</v>
      </c>
      <c r="C666" s="66" t="n">
        <v>1</v>
      </c>
      <c r="D666" s="67" t="str">
        <f aca="false">IFERROR(INDEX(المكونات!$B$2:$B$500,MATCH($B666,المكونات!$A$2:$A$500,0)),"")</f>
        <v>قطعة (استخدام)</v>
      </c>
      <c r="E666" s="68" t="n">
        <f aca="false">IFERROR(INDEX(المكونات!$C$2:$C$500,MATCH($B666,المكونات!$A$2:$A$500,0)),"")</f>
        <v>2.5189</v>
      </c>
      <c r="F666" s="69" t="n">
        <f aca="false">IFERROR($C666*$E666,"")</f>
        <v>2.5189</v>
      </c>
    </row>
    <row r="667" customFormat="false" ht="15" hidden="false" customHeight="true" outlineLevel="0" collapsed="false">
      <c r="A667" s="66" t="s">
        <v>432</v>
      </c>
      <c r="B667" s="66" t="s">
        <v>270</v>
      </c>
      <c r="C667" s="66" t="n">
        <v>1</v>
      </c>
      <c r="D667" s="67" t="str">
        <f aca="false">IFERROR(INDEX(المكونات!$B$2:$B$500,MATCH($B667,المكونات!$A$2:$A$500,0)),"")</f>
        <v>قطعة</v>
      </c>
      <c r="E667" s="68" t="n">
        <f aca="false">IFERROR(INDEX(المكونات!$C$2:$C$500,MATCH($B667,المكونات!$A$2:$A$500,0)),"")</f>
        <v>4.5</v>
      </c>
      <c r="F667" s="69" t="n">
        <f aca="false">IFERROR($C667*$E667,"")</f>
        <v>4.5</v>
      </c>
    </row>
    <row r="668" customFormat="false" ht="26.25" hidden="false" customHeight="true" outlineLevel="0" collapsed="false">
      <c r="A668" s="66" t="s">
        <v>432</v>
      </c>
      <c r="B668" s="66" t="s">
        <v>192</v>
      </c>
      <c r="C668" s="66" t="n">
        <v>1</v>
      </c>
      <c r="D668" s="67" t="str">
        <f aca="false">IFERROR(INDEX(المكونات!$B$2:$B$500,MATCH($B668,المكونات!$A$2:$A$500,0)),"")</f>
        <v>قطعة (لفة استخدام)</v>
      </c>
      <c r="E668" s="68" t="n">
        <f aca="false">IFERROR(INDEX(المكونات!$C$2:$C$500,MATCH($B668,المكونات!$A$2:$A$500,0)),"")</f>
        <v>3.65</v>
      </c>
      <c r="F668" s="69" t="n">
        <f aca="false">IFERROR($C668*$E668,"")</f>
        <v>3.65</v>
      </c>
    </row>
    <row r="669" customFormat="false" ht="15" hidden="false" customHeight="true" outlineLevel="0" collapsed="false">
      <c r="A669" s="66" t="s">
        <v>432</v>
      </c>
      <c r="B669" s="66" t="s">
        <v>243</v>
      </c>
      <c r="C669" s="66" t="n">
        <v>1</v>
      </c>
      <c r="D669" s="67" t="str">
        <f aca="false">IFERROR(INDEX(المكونات!$B$2:$B$500,MATCH($B669,المكونات!$A$2:$A$500,0)),"")</f>
        <v>قطعة</v>
      </c>
      <c r="E669" s="68" t="n">
        <f aca="false">IFERROR(INDEX(المكونات!$C$2:$C$500,MATCH($B669,المكونات!$A$2:$A$500,0)),"")</f>
        <v>0.3</v>
      </c>
      <c r="F669" s="69" t="n">
        <f aca="false">IFERROR($C669*$E669,"")</f>
        <v>0.3</v>
      </c>
    </row>
    <row r="670" customFormat="false" ht="15" hidden="false" customHeight="true" outlineLevel="0" collapsed="false">
      <c r="A670" s="66" t="s">
        <v>432</v>
      </c>
      <c r="B670" s="66" t="s">
        <v>136</v>
      </c>
      <c r="C670" s="66" t="n">
        <v>1</v>
      </c>
      <c r="D670" s="67" t="str">
        <f aca="false">IFERROR(INDEX(المكونات!$B$2:$B$500,MATCH($B670,المكونات!$A$2:$A$500,0)),"")</f>
        <v>قطعة (كيس)</v>
      </c>
      <c r="E670" s="68" t="n">
        <f aca="false">IFERROR(INDEX(المكونات!$C$2:$C$500,MATCH($B670,المكونات!$A$2:$A$500,0)),"")</f>
        <v>1.4</v>
      </c>
      <c r="F670" s="69" t="n">
        <f aca="false">IFERROR($C670*$E670,"")</f>
        <v>1.4</v>
      </c>
    </row>
    <row r="671" customFormat="false" ht="15" hidden="false" customHeight="true" outlineLevel="0" collapsed="false">
      <c r="A671" s="66" t="s">
        <v>530</v>
      </c>
      <c r="B671" s="66" t="s">
        <v>262</v>
      </c>
      <c r="C671" s="66" t="n">
        <v>0.22</v>
      </c>
      <c r="D671" s="67" t="str">
        <f aca="false">IFERROR(INDEX(المكونات!$B$2:$B$500,MATCH($B671,المكونات!$A$2:$A$500,0)),"")</f>
        <v>كجم</v>
      </c>
      <c r="E671" s="68" t="n">
        <f aca="false">IFERROR(INDEX(المكونات!$C$2:$C$500,MATCH($B671,المكونات!$A$2:$A$500,0)),"")</f>
        <v>22</v>
      </c>
      <c r="F671" s="69" t="n">
        <f aca="false">IFERROR($C671*$E671,"")</f>
        <v>4.84</v>
      </c>
    </row>
    <row r="672" customFormat="false" ht="15" hidden="false" customHeight="true" outlineLevel="0" collapsed="false">
      <c r="A672" s="66" t="s">
        <v>530</v>
      </c>
      <c r="B672" s="66" t="s">
        <v>140</v>
      </c>
      <c r="C672" s="66" t="n">
        <v>2</v>
      </c>
      <c r="D672" s="67" t="str">
        <f aca="false">IFERROR(INDEX(المكونات!$B$2:$B$500,MATCH($B672,المكونات!$A$2:$A$500,0)),"")</f>
        <v>قطعة</v>
      </c>
      <c r="E672" s="68" t="n">
        <f aca="false">IFERROR(INDEX(المكونات!$C$2:$C$500,MATCH($B672,المكونات!$A$2:$A$500,0)),"")</f>
        <v>18</v>
      </c>
      <c r="F672" s="69" t="n">
        <f aca="false">IFERROR($C672*$E672,"")</f>
        <v>36</v>
      </c>
    </row>
    <row r="673" customFormat="false" ht="15" hidden="false" customHeight="true" outlineLevel="0" collapsed="false">
      <c r="A673" s="66" t="s">
        <v>530</v>
      </c>
      <c r="B673" s="66" t="s">
        <v>172</v>
      </c>
      <c r="C673" s="66" t="n">
        <v>0.5</v>
      </c>
      <c r="D673" s="67" t="str">
        <f aca="false">IFERROR(INDEX(المكونات!$B$2:$B$500,MATCH($B673,المكونات!$A$2:$A$500,0)),"")</f>
        <v>قطعة</v>
      </c>
      <c r="E673" s="68" t="n">
        <f aca="false">IFERROR(INDEX(المكونات!$C$2:$C$500,MATCH($B673,المكونات!$A$2:$A$500,0)),"")</f>
        <v>20</v>
      </c>
      <c r="F673" s="69" t="n">
        <f aca="false">IFERROR($C673*$E673,"")</f>
        <v>10</v>
      </c>
    </row>
    <row r="674" customFormat="false" ht="15" hidden="false" customHeight="true" outlineLevel="0" collapsed="false">
      <c r="A674" s="66" t="s">
        <v>530</v>
      </c>
      <c r="B674" s="66" t="s">
        <v>342</v>
      </c>
      <c r="C674" s="66" t="n">
        <v>1</v>
      </c>
      <c r="D674" s="67" t="str">
        <f aca="false">IFERROR(INDEX(المكونات!$B$2:$B$500,MATCH($B674,المكونات!$A$2:$A$500,0)),"")</f>
        <v>قطعة</v>
      </c>
      <c r="E674" s="68" t="n">
        <f aca="false">IFERROR(INDEX(المكونات!$C$2:$C$500,MATCH($B674,المكونات!$A$2:$A$500,0)),"")</f>
        <v>0.3</v>
      </c>
      <c r="F674" s="69" t="n">
        <f aca="false">IFERROR($C674*$E674,"")</f>
        <v>0.3</v>
      </c>
    </row>
    <row r="675" customFormat="false" ht="15" hidden="false" customHeight="true" outlineLevel="0" collapsed="false">
      <c r="A675" s="66" t="s">
        <v>530</v>
      </c>
      <c r="B675" s="66" t="s">
        <v>260</v>
      </c>
      <c r="C675" s="66" t="n">
        <v>0.02</v>
      </c>
      <c r="D675" s="67" t="str">
        <f aca="false">IFERROR(INDEX(المكونات!$B$2:$B$500,MATCH($B675,المكونات!$A$2:$A$500,0)),"")</f>
        <v>كجم</v>
      </c>
      <c r="E675" s="68" t="n">
        <f aca="false">IFERROR(INDEX(المكونات!$C$2:$C$500,MATCH($B675,المكونات!$A$2:$A$500,0)),"")</f>
        <v>21</v>
      </c>
      <c r="F675" s="69" t="n">
        <f aca="false">IFERROR($C675*$E675,"")</f>
        <v>0.42</v>
      </c>
    </row>
    <row r="676" customFormat="false" ht="15" hidden="false" customHeight="true" outlineLevel="0" collapsed="false">
      <c r="A676" s="66" t="s">
        <v>530</v>
      </c>
      <c r="B676" s="66" t="s">
        <v>284</v>
      </c>
      <c r="C676" s="66" t="n">
        <v>0.02</v>
      </c>
      <c r="D676" s="67" t="str">
        <f aca="false">IFERROR(INDEX(المكونات!$B$2:$B$500,MATCH($B676,المكونات!$A$2:$A$500,0)),"")</f>
        <v>كجم</v>
      </c>
      <c r="E676" s="68" t="n">
        <f aca="false">IFERROR(INDEX(المكونات!$C$2:$C$500,MATCH($B676,المكونات!$A$2:$A$500,0)),"")</f>
        <v>27</v>
      </c>
      <c r="F676" s="69" t="n">
        <f aca="false">IFERROR($C676*$E676,"")</f>
        <v>0.54</v>
      </c>
    </row>
    <row r="677" customFormat="false" ht="15" hidden="false" customHeight="true" outlineLevel="0" collapsed="false">
      <c r="A677" s="66" t="s">
        <v>530</v>
      </c>
      <c r="B677" s="66" t="s">
        <v>190</v>
      </c>
      <c r="C677" s="66" t="n">
        <v>0.02</v>
      </c>
      <c r="D677" s="67" t="str">
        <f aca="false">IFERROR(INDEX(المكونات!$B$2:$B$500,MATCH($B677,المكونات!$A$2:$A$500,0)),"")</f>
        <v>كجم</v>
      </c>
      <c r="E677" s="68" t="n">
        <f aca="false">IFERROR(INDEX(المكونات!$C$2:$C$500,MATCH($B677,المكونات!$A$2:$A$500,0)),"")</f>
        <v>18</v>
      </c>
      <c r="F677" s="69" t="n">
        <f aca="false">IFERROR($C677*$E677,"")</f>
        <v>0.36</v>
      </c>
    </row>
    <row r="678" customFormat="false" ht="15" hidden="false" customHeight="true" outlineLevel="0" collapsed="false">
      <c r="A678" s="66" t="s">
        <v>530</v>
      </c>
      <c r="B678" s="66" t="s">
        <v>217</v>
      </c>
      <c r="C678" s="66" t="n">
        <v>0.02</v>
      </c>
      <c r="D678" s="67" t="str">
        <f aca="false">IFERROR(INDEX(المكونات!$B$2:$B$500,MATCH($B678,المكونات!$A$2:$A$500,0)),"")</f>
        <v>كجم</v>
      </c>
      <c r="E678" s="68" t="n">
        <f aca="false">IFERROR(INDEX(المكونات!$C$2:$C$500,MATCH($B678,المكونات!$A$2:$A$500,0)),"")</f>
        <v>30</v>
      </c>
      <c r="F678" s="69" t="n">
        <f aca="false">IFERROR($C678*$E678,"")</f>
        <v>0.6</v>
      </c>
    </row>
    <row r="679" customFormat="false" ht="15" hidden="false" customHeight="true" outlineLevel="0" collapsed="false">
      <c r="A679" s="66" t="s">
        <v>530</v>
      </c>
      <c r="B679" s="66" t="s">
        <v>254</v>
      </c>
      <c r="C679" s="66" t="n">
        <v>0.05</v>
      </c>
      <c r="D679" s="67" t="str">
        <f aca="false">IFERROR(INDEX(المكونات!$B$2:$B$500,MATCH($B679,المكونات!$A$2:$A$500,0)),"")</f>
        <v>كجم</v>
      </c>
      <c r="E679" s="68" t="n">
        <f aca="false">IFERROR(INDEX(المكونات!$C$2:$C$500,MATCH($B679,المكونات!$A$2:$A$500,0)),"")</f>
        <v>140</v>
      </c>
      <c r="F679" s="69" t="n">
        <f aca="false">IFERROR($C679*$E679,"")</f>
        <v>7</v>
      </c>
    </row>
    <row r="680" customFormat="false" ht="15" hidden="false" customHeight="true" outlineLevel="0" collapsed="false">
      <c r="A680" s="66" t="s">
        <v>530</v>
      </c>
      <c r="B680" s="66" t="s">
        <v>252</v>
      </c>
      <c r="C680" s="66" t="n">
        <v>0.05</v>
      </c>
      <c r="D680" s="67" t="str">
        <f aca="false">IFERROR(INDEX(المكونات!$B$2:$B$500,MATCH($B680,المكونات!$A$2:$A$500,0)),"")</f>
        <v>كجم</v>
      </c>
      <c r="E680" s="68" t="n">
        <f aca="false">IFERROR(INDEX(المكونات!$C$2:$C$500,MATCH($B680,المكونات!$A$2:$A$500,0)),"")</f>
        <v>70</v>
      </c>
      <c r="F680" s="69" t="n">
        <f aca="false">IFERROR($C680*$E680,"")</f>
        <v>3.5</v>
      </c>
    </row>
    <row r="681" customFormat="false" ht="15" hidden="false" customHeight="true" outlineLevel="0" collapsed="false">
      <c r="A681" s="66" t="s">
        <v>530</v>
      </c>
      <c r="B681" s="66" t="s">
        <v>258</v>
      </c>
      <c r="C681" s="66" t="n">
        <v>0.05</v>
      </c>
      <c r="D681" s="67" t="str">
        <f aca="false">IFERROR(INDEX(المكونات!$B$2:$B$500,MATCH($B681,المكونات!$A$2:$A$500,0)),"")</f>
        <v>كجم</v>
      </c>
      <c r="E681" s="68" t="n">
        <f aca="false">IFERROR(INDEX(المكونات!$C$2:$C$500,MATCH($B681,المكونات!$A$2:$A$500,0)),"")</f>
        <v>140</v>
      </c>
      <c r="F681" s="69" t="n">
        <f aca="false">IFERROR($C681*$E681,"")</f>
        <v>7</v>
      </c>
    </row>
    <row r="682" customFormat="false" ht="15" hidden="false" customHeight="true" outlineLevel="0" collapsed="false">
      <c r="A682" s="66" t="s">
        <v>530</v>
      </c>
      <c r="B682" s="66" t="s">
        <v>290</v>
      </c>
      <c r="C682" s="66" t="n">
        <v>2</v>
      </c>
      <c r="D682" s="67" t="str">
        <f aca="false">IFERROR(INDEX(المكونات!$B$2:$B$500,MATCH($B682,المكونات!$A$2:$A$500,0)),"")</f>
        <v>قطعة</v>
      </c>
      <c r="E682" s="68" t="n">
        <f aca="false">IFERROR(INDEX(المكونات!$C$2:$C$500,MATCH($B682,المكونات!$A$2:$A$500,0)),"")</f>
        <v>0.3</v>
      </c>
      <c r="F682" s="69" t="n">
        <f aca="false">IFERROR($C682*$E682,"")</f>
        <v>0.6</v>
      </c>
    </row>
    <row r="683" customFormat="false" ht="15" hidden="false" customHeight="true" outlineLevel="0" collapsed="false">
      <c r="A683" s="66" t="s">
        <v>530</v>
      </c>
      <c r="B683" s="66" t="s">
        <v>319</v>
      </c>
      <c r="C683" s="66" t="n">
        <v>1</v>
      </c>
      <c r="D683" s="67" t="str">
        <f aca="false">IFERROR(INDEX(المكونات!$B$2:$B$500,MATCH($B683,المكونات!$A$2:$A$500,0)),"")</f>
        <v>قطعة (ورقة)</v>
      </c>
      <c r="E683" s="68" t="n">
        <f aca="false">IFERROR(INDEX(المكونات!$C$2:$C$500,MATCH($B683,المكونات!$A$2:$A$500,0)),"")</f>
        <v>0.3665</v>
      </c>
      <c r="F683" s="69" t="n">
        <f aca="false">IFERROR($C683*$E683,"")</f>
        <v>0.3665</v>
      </c>
    </row>
    <row r="684" customFormat="false" ht="15" hidden="false" customHeight="true" outlineLevel="0" collapsed="false">
      <c r="A684" s="66" t="s">
        <v>530</v>
      </c>
      <c r="B684" s="66" t="s">
        <v>133</v>
      </c>
      <c r="C684" s="66" t="n">
        <v>1</v>
      </c>
      <c r="D684" s="67" t="str">
        <f aca="false">IFERROR(INDEX(المكونات!$B$2:$B$500,MATCH($B684,المكونات!$A$2:$A$500,0)),"")</f>
        <v>قطعة (كيس)</v>
      </c>
      <c r="E684" s="68" t="n">
        <f aca="false">IFERROR(INDEX(المكونات!$C$2:$C$500,MATCH($B684,المكونات!$A$2:$A$500,0)),"")</f>
        <v>1.4</v>
      </c>
      <c r="F684" s="69" t="n">
        <f aca="false">IFERROR($C684*$E684,"")</f>
        <v>1.4</v>
      </c>
    </row>
    <row r="685" customFormat="false" ht="15" hidden="false" customHeight="true" outlineLevel="0" collapsed="false">
      <c r="A685" s="66" t="s">
        <v>530</v>
      </c>
      <c r="B685" s="66" t="s">
        <v>293</v>
      </c>
      <c r="C685" s="66" t="n">
        <v>1</v>
      </c>
      <c r="D685" s="67" t="str">
        <f aca="false">IFERROR(INDEX(المكونات!$B$2:$B$500,MATCH($B685,المكونات!$A$2:$A$500,0)),"")</f>
        <v>قطعة</v>
      </c>
      <c r="E685" s="68" t="n">
        <f aca="false">IFERROR(INDEX(المكونات!$C$2:$C$500,MATCH($B685,المكونات!$A$2:$A$500,0)),"")</f>
        <v>0.5</v>
      </c>
      <c r="F685" s="69" t="n">
        <f aca="false">IFERROR($C685*$E685,"")</f>
        <v>0.5</v>
      </c>
    </row>
    <row r="686" customFormat="false" ht="15" hidden="false" customHeight="true" outlineLevel="0" collapsed="false">
      <c r="A686" s="66" t="s">
        <v>530</v>
      </c>
      <c r="B686" s="66" t="s">
        <v>211</v>
      </c>
      <c r="C686" s="66" t="n">
        <v>2</v>
      </c>
      <c r="D686" s="67" t="str">
        <f aca="false">IFERROR(INDEX(المكونات!$B$2:$B$500,MATCH($B686,المكونات!$A$2:$A$500,0)),"")</f>
        <v>قطعة (جلفز)</v>
      </c>
      <c r="E686" s="68" t="n">
        <f aca="false">IFERROR(INDEX(المكونات!$C$2:$C$500,MATCH($B686,المكونات!$A$2:$A$500,0)),"")</f>
        <v>0.18</v>
      </c>
      <c r="F686" s="69" t="n">
        <f aca="false">IFERROR($C686*$E686,"")</f>
        <v>0.36</v>
      </c>
    </row>
    <row r="687" customFormat="false" ht="15" hidden="false" customHeight="true" outlineLevel="0" collapsed="false">
      <c r="A687" s="66" t="s">
        <v>530</v>
      </c>
      <c r="B687" s="66" t="s">
        <v>322</v>
      </c>
      <c r="C687" s="66" t="n">
        <v>1</v>
      </c>
      <c r="D687" s="67" t="str">
        <f aca="false">IFERROR(INDEX(المكونات!$B$2:$B$500,MATCH($B687,المكونات!$A$2:$A$500,0)),"")</f>
        <v>قطعة (كيس)</v>
      </c>
      <c r="E687" s="68" t="n">
        <f aca="false">IFERROR(INDEX(المكونات!$C$2:$C$500,MATCH($B687,المكونات!$A$2:$A$500,0)),"")</f>
        <v>1</v>
      </c>
      <c r="F687" s="69" t="n">
        <f aca="false">IFERROR($C687*$E687,"")</f>
        <v>1</v>
      </c>
    </row>
    <row r="688" customFormat="false" ht="15" hidden="false" customHeight="true" outlineLevel="0" collapsed="false">
      <c r="A688" s="66" t="s">
        <v>530</v>
      </c>
      <c r="B688" s="66" t="s">
        <v>344</v>
      </c>
      <c r="C688" s="66" t="n">
        <v>1</v>
      </c>
      <c r="D688" s="67" t="str">
        <f aca="false">IFERROR(INDEX(المكونات!$B$2:$B$500,MATCH($B688,المكونات!$A$2:$A$500,0)),"")</f>
        <v>قطعة</v>
      </c>
      <c r="E688" s="68" t="n">
        <f aca="false">IFERROR(INDEX(المكونات!$C$2:$C$500,MATCH($B688,المكونات!$A$2:$A$500,0)),"")</f>
        <v>4.44</v>
      </c>
      <c r="F688" s="69" t="n">
        <f aca="false">IFERROR($C688*$E688,"")</f>
        <v>4.44</v>
      </c>
    </row>
    <row r="689" customFormat="false" ht="15" hidden="false" customHeight="true" outlineLevel="0" collapsed="false">
      <c r="A689" s="66" t="s">
        <v>504</v>
      </c>
      <c r="B689" s="66" t="s">
        <v>262</v>
      </c>
      <c r="C689" s="66" t="n">
        <v>0.22</v>
      </c>
      <c r="D689" s="67" t="str">
        <f aca="false">IFERROR(INDEX(المكونات!$B$2:$B$500,MATCH($B689,المكونات!$A$2:$A$500,0)),"")</f>
        <v>كجم</v>
      </c>
      <c r="E689" s="68" t="n">
        <f aca="false">IFERROR(INDEX(المكونات!$C$2:$C$500,MATCH($B689,المكونات!$A$2:$A$500,0)),"")</f>
        <v>22</v>
      </c>
      <c r="F689" s="69" t="n">
        <f aca="false">IFERROR($C689*$E689,"")</f>
        <v>4.84</v>
      </c>
    </row>
    <row r="690" customFormat="false" ht="15" hidden="false" customHeight="true" outlineLevel="0" collapsed="false">
      <c r="A690" s="66" t="s">
        <v>504</v>
      </c>
      <c r="B690" s="66" t="s">
        <v>172</v>
      </c>
      <c r="C690" s="66" t="n">
        <v>1</v>
      </c>
      <c r="D690" s="67" t="str">
        <f aca="false">IFERROR(INDEX(المكونات!$B$2:$B$500,MATCH($B690,المكونات!$A$2:$A$500,0)),"")</f>
        <v>قطعة</v>
      </c>
      <c r="E690" s="68" t="n">
        <f aca="false">IFERROR(INDEX(المكونات!$C$2:$C$500,MATCH($B690,المكونات!$A$2:$A$500,0)),"")</f>
        <v>20</v>
      </c>
      <c r="F690" s="69" t="n">
        <f aca="false">IFERROR($C690*$E690,"")</f>
        <v>20</v>
      </c>
    </row>
    <row r="691" customFormat="false" ht="15" hidden="false" customHeight="true" outlineLevel="0" collapsed="false">
      <c r="A691" s="66" t="s">
        <v>504</v>
      </c>
      <c r="B691" s="66" t="s">
        <v>162</v>
      </c>
      <c r="C691" s="66" t="n">
        <v>1</v>
      </c>
      <c r="D691" s="67" t="str">
        <f aca="false">IFERROR(INDEX(المكونات!$B$2:$B$500,MATCH($B691,المكونات!$A$2:$A$500,0)),"")</f>
        <v>قطعة</v>
      </c>
      <c r="E691" s="68" t="n">
        <f aca="false">IFERROR(INDEX(المكونات!$C$2:$C$500,MATCH($B691,المكونات!$A$2:$A$500,0)),"")</f>
        <v>30</v>
      </c>
      <c r="F691" s="69" t="n">
        <f aca="false">IFERROR($C691*$E691,"")</f>
        <v>30</v>
      </c>
    </row>
    <row r="692" customFormat="false" ht="15" hidden="false" customHeight="true" outlineLevel="0" collapsed="false">
      <c r="A692" s="66" t="s">
        <v>504</v>
      </c>
      <c r="B692" s="66" t="s">
        <v>342</v>
      </c>
      <c r="C692" s="66" t="n">
        <v>1</v>
      </c>
      <c r="D692" s="67" t="str">
        <f aca="false">IFERROR(INDEX(المكونات!$B$2:$B$500,MATCH($B692,المكونات!$A$2:$A$500,0)),"")</f>
        <v>قطعة</v>
      </c>
      <c r="E692" s="68" t="n">
        <f aca="false">IFERROR(INDEX(المكونات!$C$2:$C$500,MATCH($B692,المكونات!$A$2:$A$500,0)),"")</f>
        <v>0.3</v>
      </c>
      <c r="F692" s="69" t="n">
        <f aca="false">IFERROR($C692*$E692,"")</f>
        <v>0.3</v>
      </c>
    </row>
    <row r="693" customFormat="false" ht="15" hidden="false" customHeight="true" outlineLevel="0" collapsed="false">
      <c r="A693" s="66" t="s">
        <v>504</v>
      </c>
      <c r="B693" s="66" t="s">
        <v>260</v>
      </c>
      <c r="C693" s="66" t="n">
        <v>0.02</v>
      </c>
      <c r="D693" s="67" t="str">
        <f aca="false">IFERROR(INDEX(المكونات!$B$2:$B$500,MATCH($B693,المكونات!$A$2:$A$500,0)),"")</f>
        <v>كجم</v>
      </c>
      <c r="E693" s="68" t="n">
        <f aca="false">IFERROR(INDEX(المكونات!$C$2:$C$500,MATCH($B693,المكونات!$A$2:$A$500,0)),"")</f>
        <v>21</v>
      </c>
      <c r="F693" s="69" t="n">
        <f aca="false">IFERROR($C693*$E693,"")</f>
        <v>0.42</v>
      </c>
    </row>
    <row r="694" customFormat="false" ht="15" hidden="false" customHeight="true" outlineLevel="0" collapsed="false">
      <c r="A694" s="66" t="s">
        <v>504</v>
      </c>
      <c r="B694" s="66" t="s">
        <v>284</v>
      </c>
      <c r="C694" s="66" t="n">
        <v>0.02</v>
      </c>
      <c r="D694" s="67" t="str">
        <f aca="false">IFERROR(INDEX(المكونات!$B$2:$B$500,MATCH($B694,المكونات!$A$2:$A$500,0)),"")</f>
        <v>كجم</v>
      </c>
      <c r="E694" s="68" t="n">
        <f aca="false">IFERROR(INDEX(المكونات!$C$2:$C$500,MATCH($B694,المكونات!$A$2:$A$500,0)),"")</f>
        <v>27</v>
      </c>
      <c r="F694" s="69" t="n">
        <f aca="false">IFERROR($C694*$E694,"")</f>
        <v>0.54</v>
      </c>
    </row>
    <row r="695" customFormat="false" ht="15" hidden="false" customHeight="true" outlineLevel="0" collapsed="false">
      <c r="A695" s="66" t="s">
        <v>504</v>
      </c>
      <c r="B695" s="66" t="s">
        <v>190</v>
      </c>
      <c r="C695" s="66" t="n">
        <v>0.02</v>
      </c>
      <c r="D695" s="67" t="str">
        <f aca="false">IFERROR(INDEX(المكونات!$B$2:$B$500,MATCH($B695,المكونات!$A$2:$A$500,0)),"")</f>
        <v>كجم</v>
      </c>
      <c r="E695" s="68" t="n">
        <f aca="false">IFERROR(INDEX(المكونات!$C$2:$C$500,MATCH($B695,المكونات!$A$2:$A$500,0)),"")</f>
        <v>18</v>
      </c>
      <c r="F695" s="69" t="n">
        <f aca="false">IFERROR($C695*$E695,"")</f>
        <v>0.36</v>
      </c>
    </row>
    <row r="696" customFormat="false" ht="15" hidden="false" customHeight="true" outlineLevel="0" collapsed="false">
      <c r="A696" s="66" t="s">
        <v>504</v>
      </c>
      <c r="B696" s="66" t="s">
        <v>217</v>
      </c>
      <c r="C696" s="66" t="n">
        <v>0.02</v>
      </c>
      <c r="D696" s="67" t="str">
        <f aca="false">IFERROR(INDEX(المكونات!$B$2:$B$500,MATCH($B696,المكونات!$A$2:$A$500,0)),"")</f>
        <v>كجم</v>
      </c>
      <c r="E696" s="68" t="n">
        <f aca="false">IFERROR(INDEX(المكونات!$C$2:$C$500,MATCH($B696,المكونات!$A$2:$A$500,0)),"")</f>
        <v>30</v>
      </c>
      <c r="F696" s="69" t="n">
        <f aca="false">IFERROR($C696*$E696,"")</f>
        <v>0.6</v>
      </c>
    </row>
    <row r="697" customFormat="false" ht="15" hidden="false" customHeight="true" outlineLevel="0" collapsed="false">
      <c r="A697" s="66" t="s">
        <v>504</v>
      </c>
      <c r="B697" s="66" t="s">
        <v>256</v>
      </c>
      <c r="C697" s="66" t="n">
        <v>0.05</v>
      </c>
      <c r="D697" s="67" t="str">
        <f aca="false">IFERROR(INDEX(المكونات!$B$2:$B$500,MATCH($B697,المكونات!$A$2:$A$500,0)),"")</f>
        <v>كجم</v>
      </c>
      <c r="E697" s="68" t="n">
        <f aca="false">IFERROR(INDEX(المكونات!$C$2:$C$500,MATCH($B697,المكونات!$A$2:$A$500,0)),"")</f>
        <v>105</v>
      </c>
      <c r="F697" s="69" t="n">
        <f aca="false">IFERROR($C697*$E697,"")</f>
        <v>5.25</v>
      </c>
    </row>
    <row r="698" customFormat="false" ht="15" hidden="false" customHeight="true" outlineLevel="0" collapsed="false">
      <c r="A698" s="66" t="s">
        <v>504</v>
      </c>
      <c r="B698" s="66" t="s">
        <v>252</v>
      </c>
      <c r="C698" s="66" t="n">
        <v>0.05</v>
      </c>
      <c r="D698" s="67" t="str">
        <f aca="false">IFERROR(INDEX(المكونات!$B$2:$B$500,MATCH($B698,المكونات!$A$2:$A$500,0)),"")</f>
        <v>كجم</v>
      </c>
      <c r="E698" s="68" t="n">
        <f aca="false">IFERROR(INDEX(المكونات!$C$2:$C$500,MATCH($B698,المكونات!$A$2:$A$500,0)),"")</f>
        <v>70</v>
      </c>
      <c r="F698" s="69" t="n">
        <f aca="false">IFERROR($C698*$E698,"")</f>
        <v>3.5</v>
      </c>
    </row>
    <row r="699" customFormat="false" ht="15" hidden="false" customHeight="true" outlineLevel="0" collapsed="false">
      <c r="A699" s="66" t="s">
        <v>504</v>
      </c>
      <c r="B699" s="66" t="s">
        <v>258</v>
      </c>
      <c r="C699" s="66" t="n">
        <v>0.05</v>
      </c>
      <c r="D699" s="67" t="str">
        <f aca="false">IFERROR(INDEX(المكونات!$B$2:$B$500,MATCH($B699,المكونات!$A$2:$A$500,0)),"")</f>
        <v>كجم</v>
      </c>
      <c r="E699" s="68" t="n">
        <f aca="false">IFERROR(INDEX(المكونات!$C$2:$C$500,MATCH($B699,المكونات!$A$2:$A$500,0)),"")</f>
        <v>140</v>
      </c>
      <c r="F699" s="69" t="n">
        <f aca="false">IFERROR($C699*$E699,"")</f>
        <v>7</v>
      </c>
    </row>
    <row r="700" customFormat="false" ht="15" hidden="false" customHeight="true" outlineLevel="0" collapsed="false">
      <c r="A700" s="66" t="s">
        <v>504</v>
      </c>
      <c r="B700" s="66" t="s">
        <v>290</v>
      </c>
      <c r="C700" s="66" t="n">
        <v>2</v>
      </c>
      <c r="D700" s="67" t="str">
        <f aca="false">IFERROR(INDEX(المكونات!$B$2:$B$500,MATCH($B700,المكونات!$A$2:$A$500,0)),"")</f>
        <v>قطعة</v>
      </c>
      <c r="E700" s="68" t="n">
        <f aca="false">IFERROR(INDEX(المكونات!$C$2:$C$500,MATCH($B700,المكونات!$A$2:$A$500,0)),"")</f>
        <v>0.3</v>
      </c>
      <c r="F700" s="69" t="n">
        <f aca="false">IFERROR($C700*$E700,"")</f>
        <v>0.6</v>
      </c>
    </row>
    <row r="701" customFormat="false" ht="15" hidden="false" customHeight="true" outlineLevel="0" collapsed="false">
      <c r="A701" s="66" t="s">
        <v>504</v>
      </c>
      <c r="B701" s="66" t="s">
        <v>319</v>
      </c>
      <c r="C701" s="66" t="n">
        <v>1</v>
      </c>
      <c r="D701" s="67" t="str">
        <f aca="false">IFERROR(INDEX(المكونات!$B$2:$B$500,MATCH($B701,المكونات!$A$2:$A$500,0)),"")</f>
        <v>قطعة (ورقة)</v>
      </c>
      <c r="E701" s="68" t="n">
        <f aca="false">IFERROR(INDEX(المكونات!$C$2:$C$500,MATCH($B701,المكونات!$A$2:$A$500,0)),"")</f>
        <v>0.3665</v>
      </c>
      <c r="F701" s="69" t="n">
        <f aca="false">IFERROR($C701*$E701,"")</f>
        <v>0.3665</v>
      </c>
    </row>
    <row r="702" customFormat="false" ht="15" hidden="false" customHeight="true" outlineLevel="0" collapsed="false">
      <c r="A702" s="66" t="s">
        <v>504</v>
      </c>
      <c r="B702" s="66" t="s">
        <v>133</v>
      </c>
      <c r="C702" s="66" t="n">
        <v>1</v>
      </c>
      <c r="D702" s="67" t="str">
        <f aca="false">IFERROR(INDEX(المكونات!$B$2:$B$500,MATCH($B702,المكونات!$A$2:$A$500,0)),"")</f>
        <v>قطعة (كيس)</v>
      </c>
      <c r="E702" s="68" t="n">
        <f aca="false">IFERROR(INDEX(المكونات!$C$2:$C$500,MATCH($B702,المكونات!$A$2:$A$500,0)),"")</f>
        <v>1.4</v>
      </c>
      <c r="F702" s="69" t="n">
        <f aca="false">IFERROR($C702*$E702,"")</f>
        <v>1.4</v>
      </c>
    </row>
    <row r="703" customFormat="false" ht="15" hidden="false" customHeight="true" outlineLevel="0" collapsed="false">
      <c r="A703" s="66" t="s">
        <v>504</v>
      </c>
      <c r="B703" s="66" t="s">
        <v>293</v>
      </c>
      <c r="C703" s="66" t="n">
        <v>1</v>
      </c>
      <c r="D703" s="67" t="str">
        <f aca="false">IFERROR(INDEX(المكونات!$B$2:$B$500,MATCH($B703,المكونات!$A$2:$A$500,0)),"")</f>
        <v>قطعة</v>
      </c>
      <c r="E703" s="68" t="n">
        <f aca="false">IFERROR(INDEX(المكونات!$C$2:$C$500,MATCH($B703,المكونات!$A$2:$A$500,0)),"")</f>
        <v>0.5</v>
      </c>
      <c r="F703" s="69" t="n">
        <f aca="false">IFERROR($C703*$E703,"")</f>
        <v>0.5</v>
      </c>
    </row>
    <row r="704" customFormat="false" ht="15" hidden="false" customHeight="true" outlineLevel="0" collapsed="false">
      <c r="A704" s="66" t="s">
        <v>504</v>
      </c>
      <c r="B704" s="66" t="s">
        <v>211</v>
      </c>
      <c r="C704" s="66" t="n">
        <v>2</v>
      </c>
      <c r="D704" s="67" t="str">
        <f aca="false">IFERROR(INDEX(المكونات!$B$2:$B$500,MATCH($B704,المكونات!$A$2:$A$500,0)),"")</f>
        <v>قطعة (جلفز)</v>
      </c>
      <c r="E704" s="68" t="n">
        <f aca="false">IFERROR(INDEX(المكونات!$C$2:$C$500,MATCH($B704,المكونات!$A$2:$A$500,0)),"")</f>
        <v>0.18</v>
      </c>
      <c r="F704" s="69" t="n">
        <f aca="false">IFERROR($C704*$E704,"")</f>
        <v>0.36</v>
      </c>
    </row>
    <row r="705" customFormat="false" ht="15" hidden="false" customHeight="true" outlineLevel="0" collapsed="false">
      <c r="A705" s="66" t="s">
        <v>504</v>
      </c>
      <c r="B705" s="66" t="s">
        <v>322</v>
      </c>
      <c r="C705" s="66" t="n">
        <v>1</v>
      </c>
      <c r="D705" s="67" t="str">
        <f aca="false">IFERROR(INDEX(المكونات!$B$2:$B$500,MATCH($B705,المكونات!$A$2:$A$500,0)),"")</f>
        <v>قطعة (كيس)</v>
      </c>
      <c r="E705" s="68" t="n">
        <f aca="false">IFERROR(INDEX(المكونات!$C$2:$C$500,MATCH($B705,المكونات!$A$2:$A$500,0)),"")</f>
        <v>1</v>
      </c>
      <c r="F705" s="69" t="n">
        <f aca="false">IFERROR($C705*$E705,"")</f>
        <v>1</v>
      </c>
    </row>
    <row r="706" customFormat="false" ht="15" hidden="false" customHeight="true" outlineLevel="0" collapsed="false">
      <c r="A706" s="66" t="s">
        <v>504</v>
      </c>
      <c r="B706" s="66" t="s">
        <v>344</v>
      </c>
      <c r="C706" s="66" t="n">
        <v>1</v>
      </c>
      <c r="D706" s="67" t="str">
        <f aca="false">IFERROR(INDEX(المكونات!$B$2:$B$500,MATCH($B706,المكونات!$A$2:$A$500,0)),"")</f>
        <v>قطعة</v>
      </c>
      <c r="E706" s="68" t="n">
        <f aca="false">IFERROR(INDEX(المكونات!$C$2:$C$500,MATCH($B706,المكونات!$A$2:$A$500,0)),"")</f>
        <v>4.44</v>
      </c>
      <c r="F706" s="69" t="n">
        <f aca="false">IFERROR($C706*$E706,"")</f>
        <v>4.44</v>
      </c>
    </row>
    <row r="707" customFormat="false" ht="15" hidden="false" customHeight="true" outlineLevel="0" collapsed="false">
      <c r="A707" s="66" t="s">
        <v>512</v>
      </c>
      <c r="B707" s="66" t="s">
        <v>262</v>
      </c>
      <c r="C707" s="66" t="n">
        <v>0.22</v>
      </c>
      <c r="D707" s="67" t="str">
        <f aca="false">IFERROR(INDEX(المكونات!$B$2:$B$500,MATCH($B707,المكونات!$A$2:$A$500,0)),"")</f>
        <v>كجم</v>
      </c>
      <c r="E707" s="68" t="n">
        <f aca="false">IFERROR(INDEX(المكونات!$C$2:$C$500,MATCH($B707,المكونات!$A$2:$A$500,0)),"")</f>
        <v>22</v>
      </c>
      <c r="F707" s="69" t="n">
        <f aca="false">IFERROR($C707*$E707,"")</f>
        <v>4.84</v>
      </c>
    </row>
    <row r="708" customFormat="false" ht="15" hidden="false" customHeight="true" outlineLevel="0" collapsed="false">
      <c r="A708" s="66" t="s">
        <v>512</v>
      </c>
      <c r="B708" s="66" t="s">
        <v>140</v>
      </c>
      <c r="C708" s="66" t="n">
        <v>2</v>
      </c>
      <c r="D708" s="67" t="str">
        <f aca="false">IFERROR(INDEX(المكونات!$B$2:$B$500,MATCH($B708,المكونات!$A$2:$A$500,0)),"")</f>
        <v>قطعة</v>
      </c>
      <c r="E708" s="68" t="n">
        <f aca="false">IFERROR(INDEX(المكونات!$C$2:$C$500,MATCH($B708,المكونات!$A$2:$A$500,0)),"")</f>
        <v>18</v>
      </c>
      <c r="F708" s="69" t="n">
        <f aca="false">IFERROR($C708*$E708,"")</f>
        <v>36</v>
      </c>
    </row>
    <row r="709" customFormat="false" ht="15" hidden="false" customHeight="true" outlineLevel="0" collapsed="false">
      <c r="A709" s="66" t="s">
        <v>512</v>
      </c>
      <c r="B709" s="66" t="s">
        <v>172</v>
      </c>
      <c r="C709" s="66" t="n">
        <v>1</v>
      </c>
      <c r="D709" s="67" t="str">
        <f aca="false">IFERROR(INDEX(المكونات!$B$2:$B$500,MATCH($B709,المكونات!$A$2:$A$500,0)),"")</f>
        <v>قطعة</v>
      </c>
      <c r="E709" s="68" t="n">
        <f aca="false">IFERROR(INDEX(المكونات!$C$2:$C$500,MATCH($B709,المكونات!$A$2:$A$500,0)),"")</f>
        <v>20</v>
      </c>
      <c r="F709" s="69" t="n">
        <f aca="false">IFERROR($C709*$E709,"")</f>
        <v>20</v>
      </c>
    </row>
    <row r="710" customFormat="false" ht="15" hidden="false" customHeight="true" outlineLevel="0" collapsed="false">
      <c r="A710" s="66" t="s">
        <v>512</v>
      </c>
      <c r="B710" s="66" t="s">
        <v>156</v>
      </c>
      <c r="C710" s="66" t="n">
        <v>0.3</v>
      </c>
      <c r="D710" s="67" t="str">
        <f aca="false">IFERROR(INDEX(المكونات!$B$2:$B$500,MATCH($B710,المكونات!$A$2:$A$500,0)),"")</f>
        <v>قطعة</v>
      </c>
      <c r="E710" s="68" t="n">
        <f aca="false">IFERROR(INDEX(المكونات!$C$2:$C$500,MATCH($B710,المكونات!$A$2:$A$500,0)),"")</f>
        <v>26.9708</v>
      </c>
      <c r="F710" s="69" t="n">
        <f aca="false">IFERROR($C710*$E710,"")</f>
        <v>8.09124</v>
      </c>
    </row>
    <row r="711" customFormat="false" ht="15" hidden="false" customHeight="true" outlineLevel="0" collapsed="false">
      <c r="A711" s="66" t="s">
        <v>512</v>
      </c>
      <c r="B711" s="66" t="s">
        <v>342</v>
      </c>
      <c r="C711" s="66" t="n">
        <v>1</v>
      </c>
      <c r="D711" s="67" t="str">
        <f aca="false">IFERROR(INDEX(المكونات!$B$2:$B$500,MATCH($B711,المكونات!$A$2:$A$500,0)),"")</f>
        <v>قطعة</v>
      </c>
      <c r="E711" s="68" t="n">
        <f aca="false">IFERROR(INDEX(المكونات!$C$2:$C$500,MATCH($B711,المكونات!$A$2:$A$500,0)),"")</f>
        <v>0.3</v>
      </c>
      <c r="F711" s="69" t="n">
        <f aca="false">IFERROR($C711*$E711,"")</f>
        <v>0.3</v>
      </c>
    </row>
    <row r="712" customFormat="false" ht="15" hidden="false" customHeight="true" outlineLevel="0" collapsed="false">
      <c r="A712" s="66" t="s">
        <v>512</v>
      </c>
      <c r="B712" s="66" t="s">
        <v>260</v>
      </c>
      <c r="C712" s="66" t="n">
        <v>0.02</v>
      </c>
      <c r="D712" s="67" t="str">
        <f aca="false">IFERROR(INDEX(المكونات!$B$2:$B$500,MATCH($B712,المكونات!$A$2:$A$500,0)),"")</f>
        <v>كجم</v>
      </c>
      <c r="E712" s="68" t="n">
        <f aca="false">IFERROR(INDEX(المكونات!$C$2:$C$500,MATCH($B712,المكونات!$A$2:$A$500,0)),"")</f>
        <v>21</v>
      </c>
      <c r="F712" s="69" t="n">
        <f aca="false">IFERROR($C712*$E712,"")</f>
        <v>0.42</v>
      </c>
    </row>
    <row r="713" customFormat="false" ht="15" hidden="false" customHeight="true" outlineLevel="0" collapsed="false">
      <c r="A713" s="66" t="s">
        <v>512</v>
      </c>
      <c r="B713" s="66" t="s">
        <v>284</v>
      </c>
      <c r="C713" s="66" t="n">
        <v>0.02</v>
      </c>
      <c r="D713" s="67" t="str">
        <f aca="false">IFERROR(INDEX(المكونات!$B$2:$B$500,MATCH($B713,المكونات!$A$2:$A$500,0)),"")</f>
        <v>كجم</v>
      </c>
      <c r="E713" s="68" t="n">
        <f aca="false">IFERROR(INDEX(المكونات!$C$2:$C$500,MATCH($B713,المكونات!$A$2:$A$500,0)),"")</f>
        <v>27</v>
      </c>
      <c r="F713" s="69" t="n">
        <f aca="false">IFERROR($C713*$E713,"")</f>
        <v>0.54</v>
      </c>
    </row>
    <row r="714" customFormat="false" ht="15" hidden="false" customHeight="true" outlineLevel="0" collapsed="false">
      <c r="A714" s="66" t="s">
        <v>512</v>
      </c>
      <c r="B714" s="66" t="s">
        <v>190</v>
      </c>
      <c r="C714" s="66" t="n">
        <v>0.02</v>
      </c>
      <c r="D714" s="67" t="str">
        <f aca="false">IFERROR(INDEX(المكونات!$B$2:$B$500,MATCH($B714,المكونات!$A$2:$A$500,0)),"")</f>
        <v>كجم</v>
      </c>
      <c r="E714" s="68" t="n">
        <f aca="false">IFERROR(INDEX(المكونات!$C$2:$C$500,MATCH($B714,المكونات!$A$2:$A$500,0)),"")</f>
        <v>18</v>
      </c>
      <c r="F714" s="69" t="n">
        <f aca="false">IFERROR($C714*$E714,"")</f>
        <v>0.36</v>
      </c>
    </row>
    <row r="715" customFormat="false" ht="15" hidden="false" customHeight="true" outlineLevel="0" collapsed="false">
      <c r="A715" s="66" t="s">
        <v>512</v>
      </c>
      <c r="B715" s="66" t="s">
        <v>217</v>
      </c>
      <c r="C715" s="66" t="n">
        <v>0.02</v>
      </c>
      <c r="D715" s="67" t="str">
        <f aca="false">IFERROR(INDEX(المكونات!$B$2:$B$500,MATCH($B715,المكونات!$A$2:$A$500,0)),"")</f>
        <v>كجم</v>
      </c>
      <c r="E715" s="68" t="n">
        <f aca="false">IFERROR(INDEX(المكونات!$C$2:$C$500,MATCH($B715,المكونات!$A$2:$A$500,0)),"")</f>
        <v>30</v>
      </c>
      <c r="F715" s="69" t="n">
        <f aca="false">IFERROR($C715*$E715,"")</f>
        <v>0.6</v>
      </c>
    </row>
    <row r="716" customFormat="false" ht="15" hidden="false" customHeight="true" outlineLevel="0" collapsed="false">
      <c r="A716" s="66" t="s">
        <v>512</v>
      </c>
      <c r="B716" s="66" t="s">
        <v>254</v>
      </c>
      <c r="C716" s="66" t="n">
        <v>0.05</v>
      </c>
      <c r="D716" s="67" t="str">
        <f aca="false">IFERROR(INDEX(المكونات!$B$2:$B$500,MATCH($B716,المكونات!$A$2:$A$500,0)),"")</f>
        <v>كجم</v>
      </c>
      <c r="E716" s="68" t="n">
        <f aca="false">IFERROR(INDEX(المكونات!$C$2:$C$500,MATCH($B716,المكونات!$A$2:$A$500,0)),"")</f>
        <v>140</v>
      </c>
      <c r="F716" s="69" t="n">
        <f aca="false">IFERROR($C716*$E716,"")</f>
        <v>7</v>
      </c>
    </row>
    <row r="717" customFormat="false" ht="15" hidden="false" customHeight="true" outlineLevel="0" collapsed="false">
      <c r="A717" s="66" t="s">
        <v>512</v>
      </c>
      <c r="B717" s="66" t="s">
        <v>252</v>
      </c>
      <c r="C717" s="66" t="n">
        <v>0.05</v>
      </c>
      <c r="D717" s="67" t="str">
        <f aca="false">IFERROR(INDEX(المكونات!$B$2:$B$500,MATCH($B717,المكونات!$A$2:$A$500,0)),"")</f>
        <v>كجم</v>
      </c>
      <c r="E717" s="68" t="n">
        <f aca="false">IFERROR(INDEX(المكونات!$C$2:$C$500,MATCH($B717,المكونات!$A$2:$A$500,0)),"")</f>
        <v>70</v>
      </c>
      <c r="F717" s="69" t="n">
        <f aca="false">IFERROR($C717*$E717,"")</f>
        <v>3.5</v>
      </c>
    </row>
    <row r="718" customFormat="false" ht="15" hidden="false" customHeight="true" outlineLevel="0" collapsed="false">
      <c r="A718" s="66" t="s">
        <v>512</v>
      </c>
      <c r="B718" s="66" t="s">
        <v>258</v>
      </c>
      <c r="C718" s="66" t="n">
        <v>0.05</v>
      </c>
      <c r="D718" s="67" t="str">
        <f aca="false">IFERROR(INDEX(المكونات!$B$2:$B$500,MATCH($B718,المكونات!$A$2:$A$500,0)),"")</f>
        <v>كجم</v>
      </c>
      <c r="E718" s="68" t="n">
        <f aca="false">IFERROR(INDEX(المكونات!$C$2:$C$500,MATCH($B718,المكونات!$A$2:$A$500,0)),"")</f>
        <v>140</v>
      </c>
      <c r="F718" s="69" t="n">
        <f aca="false">IFERROR($C718*$E718,"")</f>
        <v>7</v>
      </c>
    </row>
    <row r="719" customFormat="false" ht="15" hidden="false" customHeight="true" outlineLevel="0" collapsed="false">
      <c r="A719" s="66" t="s">
        <v>512</v>
      </c>
      <c r="B719" s="66" t="s">
        <v>290</v>
      </c>
      <c r="C719" s="66" t="n">
        <v>2</v>
      </c>
      <c r="D719" s="67" t="str">
        <f aca="false">IFERROR(INDEX(المكونات!$B$2:$B$500,MATCH($B719,المكونات!$A$2:$A$500,0)),"")</f>
        <v>قطعة</v>
      </c>
      <c r="E719" s="68" t="n">
        <f aca="false">IFERROR(INDEX(المكونات!$C$2:$C$500,MATCH($B719,المكونات!$A$2:$A$500,0)),"")</f>
        <v>0.3</v>
      </c>
      <c r="F719" s="69" t="n">
        <f aca="false">IFERROR($C719*$E719,"")</f>
        <v>0.6</v>
      </c>
    </row>
    <row r="720" customFormat="false" ht="15" hidden="false" customHeight="true" outlineLevel="0" collapsed="false">
      <c r="A720" s="66" t="s">
        <v>512</v>
      </c>
      <c r="B720" s="66" t="s">
        <v>319</v>
      </c>
      <c r="C720" s="66" t="n">
        <v>1</v>
      </c>
      <c r="D720" s="67" t="str">
        <f aca="false">IFERROR(INDEX(المكونات!$B$2:$B$500,MATCH($B720,المكونات!$A$2:$A$500,0)),"")</f>
        <v>قطعة (ورقة)</v>
      </c>
      <c r="E720" s="68" t="n">
        <f aca="false">IFERROR(INDEX(المكونات!$C$2:$C$500,MATCH($B720,المكونات!$A$2:$A$500,0)),"")</f>
        <v>0.3665</v>
      </c>
      <c r="F720" s="69" t="n">
        <f aca="false">IFERROR($C720*$E720,"")</f>
        <v>0.3665</v>
      </c>
    </row>
    <row r="721" customFormat="false" ht="15" hidden="false" customHeight="true" outlineLevel="0" collapsed="false">
      <c r="A721" s="66" t="s">
        <v>512</v>
      </c>
      <c r="B721" s="66" t="s">
        <v>133</v>
      </c>
      <c r="C721" s="66" t="n">
        <v>1</v>
      </c>
      <c r="D721" s="67" t="str">
        <f aca="false">IFERROR(INDEX(المكونات!$B$2:$B$500,MATCH($B721,المكونات!$A$2:$A$500,0)),"")</f>
        <v>قطعة (كيس)</v>
      </c>
      <c r="E721" s="68" t="n">
        <f aca="false">IFERROR(INDEX(المكونات!$C$2:$C$500,MATCH($B721,المكونات!$A$2:$A$500,0)),"")</f>
        <v>1.4</v>
      </c>
      <c r="F721" s="69" t="n">
        <f aca="false">IFERROR($C721*$E721,"")</f>
        <v>1.4</v>
      </c>
    </row>
    <row r="722" customFormat="false" ht="15" hidden="false" customHeight="true" outlineLevel="0" collapsed="false">
      <c r="A722" s="66" t="s">
        <v>512</v>
      </c>
      <c r="B722" s="66" t="s">
        <v>293</v>
      </c>
      <c r="C722" s="66" t="n">
        <v>1</v>
      </c>
      <c r="D722" s="67" t="str">
        <f aca="false">IFERROR(INDEX(المكونات!$B$2:$B$500,MATCH($B722,المكونات!$A$2:$A$500,0)),"")</f>
        <v>قطعة</v>
      </c>
      <c r="E722" s="68" t="n">
        <f aca="false">IFERROR(INDEX(المكونات!$C$2:$C$500,MATCH($B722,المكونات!$A$2:$A$500,0)),"")</f>
        <v>0.5</v>
      </c>
      <c r="F722" s="69" t="n">
        <f aca="false">IFERROR($C722*$E722,"")</f>
        <v>0.5</v>
      </c>
    </row>
    <row r="723" customFormat="false" ht="15" hidden="false" customHeight="true" outlineLevel="0" collapsed="false">
      <c r="A723" s="66" t="s">
        <v>512</v>
      </c>
      <c r="B723" s="66" t="s">
        <v>211</v>
      </c>
      <c r="C723" s="66" t="n">
        <v>2</v>
      </c>
      <c r="D723" s="67" t="str">
        <f aca="false">IFERROR(INDEX(المكونات!$B$2:$B$500,MATCH($B723,المكونات!$A$2:$A$500,0)),"")</f>
        <v>قطعة (جلفز)</v>
      </c>
      <c r="E723" s="68" t="n">
        <f aca="false">IFERROR(INDEX(المكونات!$C$2:$C$500,MATCH($B723,المكونات!$A$2:$A$500,0)),"")</f>
        <v>0.18</v>
      </c>
      <c r="F723" s="69" t="n">
        <f aca="false">IFERROR($C723*$E723,"")</f>
        <v>0.36</v>
      </c>
    </row>
    <row r="724" customFormat="false" ht="15" hidden="false" customHeight="true" outlineLevel="0" collapsed="false">
      <c r="A724" s="66" t="s">
        <v>512</v>
      </c>
      <c r="B724" s="66" t="s">
        <v>322</v>
      </c>
      <c r="C724" s="66" t="n">
        <v>1</v>
      </c>
      <c r="D724" s="67" t="str">
        <f aca="false">IFERROR(INDEX(المكونات!$B$2:$B$500,MATCH($B724,المكونات!$A$2:$A$500,0)),"")</f>
        <v>قطعة (كيس)</v>
      </c>
      <c r="E724" s="68" t="n">
        <f aca="false">IFERROR(INDEX(المكونات!$C$2:$C$500,MATCH($B724,المكونات!$A$2:$A$500,0)),"")</f>
        <v>1</v>
      </c>
      <c r="F724" s="69" t="n">
        <f aca="false">IFERROR($C724*$E724,"")</f>
        <v>1</v>
      </c>
    </row>
    <row r="725" customFormat="false" ht="15" hidden="false" customHeight="true" outlineLevel="0" collapsed="false">
      <c r="A725" s="66" t="s">
        <v>512</v>
      </c>
      <c r="B725" s="66" t="s">
        <v>344</v>
      </c>
      <c r="C725" s="66" t="n">
        <v>1</v>
      </c>
      <c r="D725" s="67" t="str">
        <f aca="false">IFERROR(INDEX(المكونات!$B$2:$B$500,MATCH($B725,المكونات!$A$2:$A$500,0)),"")</f>
        <v>قطعة</v>
      </c>
      <c r="E725" s="68" t="n">
        <f aca="false">IFERROR(INDEX(المكونات!$C$2:$C$500,MATCH($B725,المكونات!$A$2:$A$500,0)),"")</f>
        <v>4.44</v>
      </c>
      <c r="F725" s="69" t="n">
        <f aca="false">IFERROR($C725*$E725,"")</f>
        <v>4.44</v>
      </c>
    </row>
    <row r="726" customFormat="false" ht="15" hidden="false" customHeight="true" outlineLevel="0" collapsed="false">
      <c r="A726" s="66" t="s">
        <v>533</v>
      </c>
      <c r="B726" s="66" t="s">
        <v>262</v>
      </c>
      <c r="C726" s="66" t="n">
        <v>0.22</v>
      </c>
      <c r="D726" s="67" t="str">
        <f aca="false">IFERROR(INDEX(المكونات!$B$2:$B$500,MATCH($B726,المكونات!$A$2:$A$500,0)),"")</f>
        <v>كجم</v>
      </c>
      <c r="E726" s="68" t="n">
        <f aca="false">IFERROR(INDEX(المكونات!$C$2:$C$500,MATCH($B726,المكونات!$A$2:$A$500,0)),"")</f>
        <v>22</v>
      </c>
      <c r="F726" s="69" t="n">
        <f aca="false">IFERROR($C726*$E726,"")</f>
        <v>4.84</v>
      </c>
    </row>
    <row r="727" customFormat="false" ht="15" hidden="false" customHeight="true" outlineLevel="0" collapsed="false">
      <c r="A727" s="66" t="s">
        <v>533</v>
      </c>
      <c r="B727" s="66" t="s">
        <v>172</v>
      </c>
      <c r="C727" s="66" t="n">
        <v>1</v>
      </c>
      <c r="D727" s="67" t="str">
        <f aca="false">IFERROR(INDEX(المكونات!$B$2:$B$500,MATCH($B727,المكونات!$A$2:$A$500,0)),"")</f>
        <v>قطعة</v>
      </c>
      <c r="E727" s="68" t="n">
        <f aca="false">IFERROR(INDEX(المكونات!$C$2:$C$500,MATCH($B727,المكونات!$A$2:$A$500,0)),"")</f>
        <v>20</v>
      </c>
      <c r="F727" s="69" t="n">
        <f aca="false">IFERROR($C727*$E727,"")</f>
        <v>20</v>
      </c>
    </row>
    <row r="728" customFormat="false" ht="15" hidden="false" customHeight="true" outlineLevel="0" collapsed="false">
      <c r="A728" s="66" t="s">
        <v>533</v>
      </c>
      <c r="B728" s="66" t="s">
        <v>162</v>
      </c>
      <c r="C728" s="66" t="n">
        <v>1</v>
      </c>
      <c r="D728" s="67" t="str">
        <f aca="false">IFERROR(INDEX(المكونات!$B$2:$B$500,MATCH($B728,المكونات!$A$2:$A$500,0)),"")</f>
        <v>قطعة</v>
      </c>
      <c r="E728" s="68" t="n">
        <f aca="false">IFERROR(INDEX(المكونات!$C$2:$C$500,MATCH($B728,المكونات!$A$2:$A$500,0)),"")</f>
        <v>30</v>
      </c>
      <c r="F728" s="69" t="n">
        <f aca="false">IFERROR($C728*$E728,"")</f>
        <v>30</v>
      </c>
    </row>
    <row r="729" customFormat="false" ht="15" hidden="false" customHeight="true" outlineLevel="0" collapsed="false">
      <c r="A729" s="66" t="s">
        <v>533</v>
      </c>
      <c r="B729" s="66" t="s">
        <v>156</v>
      </c>
      <c r="C729" s="66" t="n">
        <v>0.3</v>
      </c>
      <c r="D729" s="67" t="str">
        <f aca="false">IFERROR(INDEX(المكونات!$B$2:$B$500,MATCH($B729,المكونات!$A$2:$A$500,0)),"")</f>
        <v>قطعة</v>
      </c>
      <c r="E729" s="68" t="n">
        <f aca="false">IFERROR(INDEX(المكونات!$C$2:$C$500,MATCH($B729,المكونات!$A$2:$A$500,0)),"")</f>
        <v>26.9708</v>
      </c>
      <c r="F729" s="69" t="n">
        <f aca="false">IFERROR($C729*$E729,"")</f>
        <v>8.09124</v>
      </c>
    </row>
    <row r="730" customFormat="false" ht="15" hidden="false" customHeight="true" outlineLevel="0" collapsed="false">
      <c r="A730" s="66" t="s">
        <v>533</v>
      </c>
      <c r="B730" s="66" t="s">
        <v>342</v>
      </c>
      <c r="C730" s="66" t="n">
        <v>1</v>
      </c>
      <c r="D730" s="67" t="str">
        <f aca="false">IFERROR(INDEX(المكونات!$B$2:$B$500,MATCH($B730,المكونات!$A$2:$A$500,0)),"")</f>
        <v>قطعة</v>
      </c>
      <c r="E730" s="68" t="n">
        <f aca="false">IFERROR(INDEX(المكونات!$C$2:$C$500,MATCH($B730,المكونات!$A$2:$A$500,0)),"")</f>
        <v>0.3</v>
      </c>
      <c r="F730" s="69" t="n">
        <f aca="false">IFERROR($C730*$E730,"")</f>
        <v>0.3</v>
      </c>
    </row>
    <row r="731" customFormat="false" ht="15" hidden="false" customHeight="true" outlineLevel="0" collapsed="false">
      <c r="A731" s="66" t="s">
        <v>533</v>
      </c>
      <c r="B731" s="66" t="s">
        <v>260</v>
      </c>
      <c r="C731" s="66" t="n">
        <v>0.02</v>
      </c>
      <c r="D731" s="67" t="str">
        <f aca="false">IFERROR(INDEX(المكونات!$B$2:$B$500,MATCH($B731,المكونات!$A$2:$A$500,0)),"")</f>
        <v>كجم</v>
      </c>
      <c r="E731" s="68" t="n">
        <f aca="false">IFERROR(INDEX(المكونات!$C$2:$C$500,MATCH($B731,المكونات!$A$2:$A$500,0)),"")</f>
        <v>21</v>
      </c>
      <c r="F731" s="69" t="n">
        <f aca="false">IFERROR($C731*$E731,"")</f>
        <v>0.42</v>
      </c>
    </row>
    <row r="732" customFormat="false" ht="15" hidden="false" customHeight="true" outlineLevel="0" collapsed="false">
      <c r="A732" s="66" t="s">
        <v>533</v>
      </c>
      <c r="B732" s="66" t="s">
        <v>284</v>
      </c>
      <c r="C732" s="66" t="n">
        <v>0.02</v>
      </c>
      <c r="D732" s="67" t="str">
        <f aca="false">IFERROR(INDEX(المكونات!$B$2:$B$500,MATCH($B732,المكونات!$A$2:$A$500,0)),"")</f>
        <v>كجم</v>
      </c>
      <c r="E732" s="68" t="n">
        <f aca="false">IFERROR(INDEX(المكونات!$C$2:$C$500,MATCH($B732,المكونات!$A$2:$A$500,0)),"")</f>
        <v>27</v>
      </c>
      <c r="F732" s="69" t="n">
        <f aca="false">IFERROR($C732*$E732,"")</f>
        <v>0.54</v>
      </c>
    </row>
    <row r="733" customFormat="false" ht="15" hidden="false" customHeight="true" outlineLevel="0" collapsed="false">
      <c r="A733" s="66" t="s">
        <v>533</v>
      </c>
      <c r="B733" s="66" t="s">
        <v>190</v>
      </c>
      <c r="C733" s="66" t="n">
        <v>0.02</v>
      </c>
      <c r="D733" s="67" t="str">
        <f aca="false">IFERROR(INDEX(المكونات!$B$2:$B$500,MATCH($B733,المكونات!$A$2:$A$500,0)),"")</f>
        <v>كجم</v>
      </c>
      <c r="E733" s="68" t="n">
        <f aca="false">IFERROR(INDEX(المكونات!$C$2:$C$500,MATCH($B733,المكونات!$A$2:$A$500,0)),"")</f>
        <v>18</v>
      </c>
      <c r="F733" s="69" t="n">
        <f aca="false">IFERROR($C733*$E733,"")</f>
        <v>0.36</v>
      </c>
    </row>
    <row r="734" customFormat="false" ht="15" hidden="false" customHeight="true" outlineLevel="0" collapsed="false">
      <c r="A734" s="66" t="s">
        <v>533</v>
      </c>
      <c r="B734" s="66" t="s">
        <v>217</v>
      </c>
      <c r="C734" s="66" t="n">
        <v>0.02</v>
      </c>
      <c r="D734" s="67" t="str">
        <f aca="false">IFERROR(INDEX(المكونات!$B$2:$B$500,MATCH($B734,المكونات!$A$2:$A$500,0)),"")</f>
        <v>كجم</v>
      </c>
      <c r="E734" s="68" t="n">
        <f aca="false">IFERROR(INDEX(المكونات!$C$2:$C$500,MATCH($B734,المكونات!$A$2:$A$500,0)),"")</f>
        <v>30</v>
      </c>
      <c r="F734" s="69" t="n">
        <f aca="false">IFERROR($C734*$E734,"")</f>
        <v>0.6</v>
      </c>
    </row>
    <row r="735" customFormat="false" ht="15" hidden="false" customHeight="true" outlineLevel="0" collapsed="false">
      <c r="A735" s="66" t="s">
        <v>533</v>
      </c>
      <c r="B735" s="66" t="s">
        <v>256</v>
      </c>
      <c r="C735" s="66" t="n">
        <v>0.05</v>
      </c>
      <c r="D735" s="67" t="str">
        <f aca="false">IFERROR(INDEX(المكونات!$B$2:$B$500,MATCH($B735,المكونات!$A$2:$A$500,0)),"")</f>
        <v>كجم</v>
      </c>
      <c r="E735" s="68" t="n">
        <f aca="false">IFERROR(INDEX(المكونات!$C$2:$C$500,MATCH($B735,المكونات!$A$2:$A$500,0)),"")</f>
        <v>105</v>
      </c>
      <c r="F735" s="69" t="n">
        <f aca="false">IFERROR($C735*$E735,"")</f>
        <v>5.25</v>
      </c>
    </row>
    <row r="736" customFormat="false" ht="15" hidden="false" customHeight="true" outlineLevel="0" collapsed="false">
      <c r="A736" s="66" t="s">
        <v>533</v>
      </c>
      <c r="B736" s="66" t="s">
        <v>252</v>
      </c>
      <c r="C736" s="66" t="n">
        <v>0.05</v>
      </c>
      <c r="D736" s="67" t="str">
        <f aca="false">IFERROR(INDEX(المكونات!$B$2:$B$500,MATCH($B736,المكونات!$A$2:$A$500,0)),"")</f>
        <v>كجم</v>
      </c>
      <c r="E736" s="68" t="n">
        <f aca="false">IFERROR(INDEX(المكونات!$C$2:$C$500,MATCH($B736,المكونات!$A$2:$A$500,0)),"")</f>
        <v>70</v>
      </c>
      <c r="F736" s="69" t="n">
        <f aca="false">IFERROR($C736*$E736,"")</f>
        <v>3.5</v>
      </c>
    </row>
    <row r="737" customFormat="false" ht="15" hidden="false" customHeight="true" outlineLevel="0" collapsed="false">
      <c r="A737" s="66" t="s">
        <v>533</v>
      </c>
      <c r="B737" s="66" t="s">
        <v>258</v>
      </c>
      <c r="C737" s="66" t="n">
        <v>0.05</v>
      </c>
      <c r="D737" s="67" t="str">
        <f aca="false">IFERROR(INDEX(المكونات!$B$2:$B$500,MATCH($B737,المكونات!$A$2:$A$500,0)),"")</f>
        <v>كجم</v>
      </c>
      <c r="E737" s="68" t="n">
        <f aca="false">IFERROR(INDEX(المكونات!$C$2:$C$500,MATCH($B737,المكونات!$A$2:$A$500,0)),"")</f>
        <v>140</v>
      </c>
      <c r="F737" s="69" t="n">
        <f aca="false">IFERROR($C737*$E737,"")</f>
        <v>7</v>
      </c>
    </row>
    <row r="738" customFormat="false" ht="15" hidden="false" customHeight="true" outlineLevel="0" collapsed="false">
      <c r="A738" s="66" t="s">
        <v>533</v>
      </c>
      <c r="B738" s="66" t="s">
        <v>290</v>
      </c>
      <c r="C738" s="66" t="n">
        <v>2</v>
      </c>
      <c r="D738" s="67" t="str">
        <f aca="false">IFERROR(INDEX(المكونات!$B$2:$B$500,MATCH($B738,المكونات!$A$2:$A$500,0)),"")</f>
        <v>قطعة</v>
      </c>
      <c r="E738" s="68" t="n">
        <f aca="false">IFERROR(INDEX(المكونات!$C$2:$C$500,MATCH($B738,المكونات!$A$2:$A$500,0)),"")</f>
        <v>0.3</v>
      </c>
      <c r="F738" s="69" t="n">
        <f aca="false">IFERROR($C738*$E738,"")</f>
        <v>0.6</v>
      </c>
    </row>
    <row r="739" customFormat="false" ht="15" hidden="false" customHeight="true" outlineLevel="0" collapsed="false">
      <c r="A739" s="66" t="s">
        <v>533</v>
      </c>
      <c r="B739" s="66" t="s">
        <v>319</v>
      </c>
      <c r="C739" s="66" t="n">
        <v>1</v>
      </c>
      <c r="D739" s="67" t="str">
        <f aca="false">IFERROR(INDEX(المكونات!$B$2:$B$500,MATCH($B739,المكونات!$A$2:$A$500,0)),"")</f>
        <v>قطعة (ورقة)</v>
      </c>
      <c r="E739" s="68" t="n">
        <f aca="false">IFERROR(INDEX(المكونات!$C$2:$C$500,MATCH($B739,المكونات!$A$2:$A$500,0)),"")</f>
        <v>0.3665</v>
      </c>
      <c r="F739" s="69" t="n">
        <f aca="false">IFERROR($C739*$E739,"")</f>
        <v>0.3665</v>
      </c>
    </row>
    <row r="740" customFormat="false" ht="15" hidden="false" customHeight="true" outlineLevel="0" collapsed="false">
      <c r="A740" s="66" t="s">
        <v>533</v>
      </c>
      <c r="B740" s="66" t="s">
        <v>133</v>
      </c>
      <c r="C740" s="66" t="n">
        <v>1</v>
      </c>
      <c r="D740" s="67" t="str">
        <f aca="false">IFERROR(INDEX(المكونات!$B$2:$B$500,MATCH($B740,المكونات!$A$2:$A$500,0)),"")</f>
        <v>قطعة (كيس)</v>
      </c>
      <c r="E740" s="68" t="n">
        <f aca="false">IFERROR(INDEX(المكونات!$C$2:$C$500,MATCH($B740,المكونات!$A$2:$A$500,0)),"")</f>
        <v>1.4</v>
      </c>
      <c r="F740" s="69" t="n">
        <f aca="false">IFERROR($C740*$E740,"")</f>
        <v>1.4</v>
      </c>
    </row>
    <row r="741" customFormat="false" ht="15" hidden="false" customHeight="true" outlineLevel="0" collapsed="false">
      <c r="A741" s="66" t="s">
        <v>533</v>
      </c>
      <c r="B741" s="66" t="s">
        <v>293</v>
      </c>
      <c r="C741" s="66" t="n">
        <v>1</v>
      </c>
      <c r="D741" s="67" t="str">
        <f aca="false">IFERROR(INDEX(المكونات!$B$2:$B$500,MATCH($B741,المكونات!$A$2:$A$500,0)),"")</f>
        <v>قطعة</v>
      </c>
      <c r="E741" s="68" t="n">
        <f aca="false">IFERROR(INDEX(المكونات!$C$2:$C$500,MATCH($B741,المكونات!$A$2:$A$500,0)),"")</f>
        <v>0.5</v>
      </c>
      <c r="F741" s="69" t="n">
        <f aca="false">IFERROR($C741*$E741,"")</f>
        <v>0.5</v>
      </c>
    </row>
    <row r="742" customFormat="false" ht="15" hidden="false" customHeight="true" outlineLevel="0" collapsed="false">
      <c r="A742" s="66" t="s">
        <v>533</v>
      </c>
      <c r="B742" s="66" t="s">
        <v>211</v>
      </c>
      <c r="C742" s="66" t="n">
        <v>2</v>
      </c>
      <c r="D742" s="67" t="str">
        <f aca="false">IFERROR(INDEX(المكونات!$B$2:$B$500,MATCH($B742,المكونات!$A$2:$A$500,0)),"")</f>
        <v>قطعة (جلفز)</v>
      </c>
      <c r="E742" s="68" t="n">
        <f aca="false">IFERROR(INDEX(المكونات!$C$2:$C$500,MATCH($B742,المكونات!$A$2:$A$500,0)),"")</f>
        <v>0.18</v>
      </c>
      <c r="F742" s="69" t="n">
        <f aca="false">IFERROR($C742*$E742,"")</f>
        <v>0.36</v>
      </c>
    </row>
    <row r="743" customFormat="false" ht="15" hidden="false" customHeight="true" outlineLevel="0" collapsed="false">
      <c r="A743" s="66" t="s">
        <v>533</v>
      </c>
      <c r="B743" s="66" t="s">
        <v>322</v>
      </c>
      <c r="C743" s="66" t="n">
        <v>1</v>
      </c>
      <c r="D743" s="67" t="str">
        <f aca="false">IFERROR(INDEX(المكونات!$B$2:$B$500,MATCH($B743,المكونات!$A$2:$A$500,0)),"")</f>
        <v>قطعة (كيس)</v>
      </c>
      <c r="E743" s="68" t="n">
        <f aca="false">IFERROR(INDEX(المكونات!$C$2:$C$500,MATCH($B743,المكونات!$A$2:$A$500,0)),"")</f>
        <v>1</v>
      </c>
      <c r="F743" s="69" t="n">
        <f aca="false">IFERROR($C743*$E743,"")</f>
        <v>1</v>
      </c>
    </row>
    <row r="744" customFormat="false" ht="15" hidden="false" customHeight="true" outlineLevel="0" collapsed="false">
      <c r="A744" s="66" t="s">
        <v>533</v>
      </c>
      <c r="B744" s="66" t="s">
        <v>344</v>
      </c>
      <c r="C744" s="66" t="n">
        <v>1</v>
      </c>
      <c r="D744" s="67" t="str">
        <f aca="false">IFERROR(INDEX(المكونات!$B$2:$B$500,MATCH($B744,المكونات!$A$2:$A$500,0)),"")</f>
        <v>قطعة</v>
      </c>
      <c r="E744" s="68" t="n">
        <f aca="false">IFERROR(INDEX(المكونات!$C$2:$C$500,MATCH($B744,المكونات!$A$2:$A$500,0)),"")</f>
        <v>4.44</v>
      </c>
      <c r="F744" s="69" t="n">
        <f aca="false">IFERROR($C744*$E744,"")</f>
        <v>4.44</v>
      </c>
    </row>
    <row r="745" customFormat="false" ht="15" hidden="false" customHeight="true" outlineLevel="0" collapsed="false">
      <c r="A745" s="66" t="s">
        <v>396</v>
      </c>
      <c r="B745" s="66" t="s">
        <v>262</v>
      </c>
      <c r="C745" s="66" t="n">
        <v>0.3</v>
      </c>
      <c r="D745" s="67" t="str">
        <f aca="false">IFERROR(INDEX(المكونات!$B$2:$B$500,MATCH($B745,المكونات!$A$2:$A$500,0)),"")</f>
        <v>كجم</v>
      </c>
      <c r="E745" s="68" t="n">
        <f aca="false">IFERROR(INDEX(المكونات!$C$2:$C$500,MATCH($B745,المكونات!$A$2:$A$500,0)),"")</f>
        <v>22</v>
      </c>
      <c r="F745" s="69" t="n">
        <f aca="false">IFERROR($C745*$E745,"")</f>
        <v>6.6</v>
      </c>
    </row>
    <row r="746" customFormat="false" ht="15" hidden="false" customHeight="true" outlineLevel="0" collapsed="false">
      <c r="A746" s="66" t="s">
        <v>396</v>
      </c>
      <c r="B746" s="66" t="s">
        <v>140</v>
      </c>
      <c r="C746" s="66" t="n">
        <v>3</v>
      </c>
      <c r="D746" s="67" t="str">
        <f aca="false">IFERROR(INDEX(المكونات!$B$2:$B$500,MATCH($B746,المكونات!$A$2:$A$500,0)),"")</f>
        <v>قطعة</v>
      </c>
      <c r="E746" s="68" t="n">
        <f aca="false">IFERROR(INDEX(المكونات!$C$2:$C$500,MATCH($B746,المكونات!$A$2:$A$500,0)),"")</f>
        <v>18</v>
      </c>
      <c r="F746" s="69" t="n">
        <f aca="false">IFERROR($C746*$E746,"")</f>
        <v>54</v>
      </c>
    </row>
    <row r="747" customFormat="false" ht="15" hidden="false" customHeight="true" outlineLevel="0" collapsed="false">
      <c r="A747" s="66" t="s">
        <v>396</v>
      </c>
      <c r="B747" s="66" t="s">
        <v>172</v>
      </c>
      <c r="C747" s="66" t="n">
        <v>4</v>
      </c>
      <c r="D747" s="67" t="str">
        <f aca="false">IFERROR(INDEX(المكونات!$B$2:$B$500,MATCH($B747,المكونات!$A$2:$A$500,0)),"")</f>
        <v>قطعة</v>
      </c>
      <c r="E747" s="68" t="n">
        <f aca="false">IFERROR(INDEX(المكونات!$C$2:$C$500,MATCH($B747,المكونات!$A$2:$A$500,0)),"")</f>
        <v>20</v>
      </c>
      <c r="F747" s="69" t="n">
        <f aca="false">IFERROR($C747*$E747,"")</f>
        <v>80</v>
      </c>
    </row>
    <row r="748" customFormat="false" ht="15" hidden="false" customHeight="true" outlineLevel="0" collapsed="false">
      <c r="A748" s="66" t="s">
        <v>396</v>
      </c>
      <c r="B748" s="66" t="s">
        <v>260</v>
      </c>
      <c r="C748" s="66" t="n">
        <v>0.02</v>
      </c>
      <c r="D748" s="67" t="str">
        <f aca="false">IFERROR(INDEX(المكونات!$B$2:$B$500,MATCH($B748,المكونات!$A$2:$A$500,0)),"")</f>
        <v>كجم</v>
      </c>
      <c r="E748" s="68" t="n">
        <f aca="false">IFERROR(INDEX(المكونات!$C$2:$C$500,MATCH($B748,المكونات!$A$2:$A$500,0)),"")</f>
        <v>21</v>
      </c>
      <c r="F748" s="69" t="n">
        <f aca="false">IFERROR($C748*$E748,"")</f>
        <v>0.42</v>
      </c>
    </row>
    <row r="749" customFormat="false" ht="15" hidden="false" customHeight="true" outlineLevel="0" collapsed="false">
      <c r="A749" s="66" t="s">
        <v>396</v>
      </c>
      <c r="B749" s="66" t="s">
        <v>284</v>
      </c>
      <c r="C749" s="66" t="n">
        <v>0.02</v>
      </c>
      <c r="D749" s="67" t="str">
        <f aca="false">IFERROR(INDEX(المكونات!$B$2:$B$500,MATCH($B749,المكونات!$A$2:$A$500,0)),"")</f>
        <v>كجم</v>
      </c>
      <c r="E749" s="68" t="n">
        <f aca="false">IFERROR(INDEX(المكونات!$C$2:$C$500,MATCH($B749,المكونات!$A$2:$A$500,0)),"")</f>
        <v>27</v>
      </c>
      <c r="F749" s="69" t="n">
        <f aca="false">IFERROR($C749*$E749,"")</f>
        <v>0.54</v>
      </c>
    </row>
    <row r="750" customFormat="false" ht="15" hidden="false" customHeight="true" outlineLevel="0" collapsed="false">
      <c r="A750" s="66" t="s">
        <v>396</v>
      </c>
      <c r="B750" s="66" t="s">
        <v>190</v>
      </c>
      <c r="C750" s="66" t="n">
        <v>0.02</v>
      </c>
      <c r="D750" s="67" t="str">
        <f aca="false">IFERROR(INDEX(المكونات!$B$2:$B$500,MATCH($B750,المكونات!$A$2:$A$500,0)),"")</f>
        <v>كجم</v>
      </c>
      <c r="E750" s="68" t="n">
        <f aca="false">IFERROR(INDEX(المكونات!$C$2:$C$500,MATCH($B750,المكونات!$A$2:$A$500,0)),"")</f>
        <v>18</v>
      </c>
      <c r="F750" s="69" t="n">
        <f aca="false">IFERROR($C750*$E750,"")</f>
        <v>0.36</v>
      </c>
    </row>
    <row r="751" customFormat="false" ht="15" hidden="false" customHeight="true" outlineLevel="0" collapsed="false">
      <c r="A751" s="66" t="s">
        <v>396</v>
      </c>
      <c r="B751" s="66" t="s">
        <v>217</v>
      </c>
      <c r="C751" s="66" t="n">
        <v>0.02</v>
      </c>
      <c r="D751" s="67" t="str">
        <f aca="false">IFERROR(INDEX(المكونات!$B$2:$B$500,MATCH($B751,المكونات!$A$2:$A$500,0)),"")</f>
        <v>كجم</v>
      </c>
      <c r="E751" s="68" t="n">
        <f aca="false">IFERROR(INDEX(المكونات!$C$2:$C$500,MATCH($B751,المكونات!$A$2:$A$500,0)),"")</f>
        <v>30</v>
      </c>
      <c r="F751" s="69" t="n">
        <f aca="false">IFERROR($C751*$E751,"")</f>
        <v>0.6</v>
      </c>
    </row>
    <row r="752" customFormat="false" ht="15" hidden="false" customHeight="true" outlineLevel="0" collapsed="false">
      <c r="A752" s="66" t="s">
        <v>396</v>
      </c>
      <c r="B752" s="66" t="s">
        <v>254</v>
      </c>
      <c r="C752" s="66" t="n">
        <v>0.0667</v>
      </c>
      <c r="D752" s="67" t="str">
        <f aca="false">IFERROR(INDEX(المكونات!$B$2:$B$500,MATCH($B752,المكونات!$A$2:$A$500,0)),"")</f>
        <v>كجم</v>
      </c>
      <c r="E752" s="68" t="n">
        <f aca="false">IFERROR(INDEX(المكونات!$C$2:$C$500,MATCH($B752,المكونات!$A$2:$A$500,0)),"")</f>
        <v>140</v>
      </c>
      <c r="F752" s="69" t="n">
        <f aca="false">IFERROR($C752*$E752,"")</f>
        <v>9.338</v>
      </c>
    </row>
    <row r="753" customFormat="false" ht="15" hidden="false" customHeight="true" outlineLevel="0" collapsed="false">
      <c r="A753" s="66" t="s">
        <v>396</v>
      </c>
      <c r="B753" s="66" t="s">
        <v>252</v>
      </c>
      <c r="C753" s="66" t="n">
        <v>0.0667</v>
      </c>
      <c r="D753" s="67" t="str">
        <f aca="false">IFERROR(INDEX(المكونات!$B$2:$B$500,MATCH($B753,المكونات!$A$2:$A$500,0)),"")</f>
        <v>كجم</v>
      </c>
      <c r="E753" s="68" t="n">
        <f aca="false">IFERROR(INDEX(المكونات!$C$2:$C$500,MATCH($B753,المكونات!$A$2:$A$500,0)),"")</f>
        <v>70</v>
      </c>
      <c r="F753" s="69" t="n">
        <f aca="false">IFERROR($C753*$E753,"")</f>
        <v>4.669</v>
      </c>
    </row>
    <row r="754" customFormat="false" ht="15" hidden="false" customHeight="true" outlineLevel="0" collapsed="false">
      <c r="A754" s="66" t="s">
        <v>396</v>
      </c>
      <c r="B754" s="66" t="s">
        <v>258</v>
      </c>
      <c r="C754" s="66" t="n">
        <v>0.0667</v>
      </c>
      <c r="D754" s="67" t="str">
        <f aca="false">IFERROR(INDEX(المكونات!$B$2:$B$500,MATCH($B754,المكونات!$A$2:$A$500,0)),"")</f>
        <v>كجم</v>
      </c>
      <c r="E754" s="68" t="n">
        <f aca="false">IFERROR(INDEX(المكونات!$C$2:$C$500,MATCH($B754,المكونات!$A$2:$A$500,0)),"")</f>
        <v>140</v>
      </c>
      <c r="F754" s="69" t="n">
        <f aca="false">IFERROR($C754*$E754,"")</f>
        <v>9.338</v>
      </c>
    </row>
    <row r="755" customFormat="false" ht="15" hidden="false" customHeight="true" outlineLevel="0" collapsed="false">
      <c r="A755" s="66" t="s">
        <v>396</v>
      </c>
      <c r="B755" s="66" t="s">
        <v>290</v>
      </c>
      <c r="C755" s="66" t="n">
        <v>3</v>
      </c>
      <c r="D755" s="67" t="str">
        <f aca="false">IFERROR(INDEX(المكونات!$B$2:$B$500,MATCH($B755,المكونات!$A$2:$A$500,0)),"")</f>
        <v>قطعة</v>
      </c>
      <c r="E755" s="68" t="n">
        <f aca="false">IFERROR(INDEX(المكونات!$C$2:$C$500,MATCH($B755,المكونات!$A$2:$A$500,0)),"")</f>
        <v>0.3</v>
      </c>
      <c r="F755" s="69" t="n">
        <f aca="false">IFERROR($C755*$E755,"")</f>
        <v>0.9</v>
      </c>
    </row>
    <row r="756" customFormat="false" ht="15" hidden="false" customHeight="true" outlineLevel="0" collapsed="false">
      <c r="A756" s="66" t="s">
        <v>396</v>
      </c>
      <c r="B756" s="66" t="s">
        <v>319</v>
      </c>
      <c r="C756" s="66" t="n">
        <v>1.5</v>
      </c>
      <c r="D756" s="67" t="str">
        <f aca="false">IFERROR(INDEX(المكونات!$B$2:$B$500,MATCH($B756,المكونات!$A$2:$A$500,0)),"")</f>
        <v>قطعة (ورقة)</v>
      </c>
      <c r="E756" s="68" t="n">
        <f aca="false">IFERROR(INDEX(المكونات!$C$2:$C$500,MATCH($B756,المكونات!$A$2:$A$500,0)),"")</f>
        <v>0.3665</v>
      </c>
      <c r="F756" s="69" t="n">
        <f aca="false">IFERROR($C756*$E756,"")</f>
        <v>0.54975</v>
      </c>
    </row>
    <row r="757" customFormat="false" ht="15" hidden="false" customHeight="true" outlineLevel="0" collapsed="false">
      <c r="A757" s="66" t="s">
        <v>396</v>
      </c>
      <c r="B757" s="66" t="s">
        <v>133</v>
      </c>
      <c r="C757" s="66" t="n">
        <v>1.5</v>
      </c>
      <c r="D757" s="67" t="str">
        <f aca="false">IFERROR(INDEX(المكونات!$B$2:$B$500,MATCH($B757,المكونات!$A$2:$A$500,0)),"")</f>
        <v>قطعة (كيس)</v>
      </c>
      <c r="E757" s="68" t="n">
        <f aca="false">IFERROR(INDEX(المكونات!$C$2:$C$500,MATCH($B757,المكونات!$A$2:$A$500,0)),"")</f>
        <v>1.4</v>
      </c>
      <c r="F757" s="69" t="n">
        <f aca="false">IFERROR($C757*$E757,"")</f>
        <v>2.1</v>
      </c>
    </row>
    <row r="758" customFormat="false" ht="15" hidden="false" customHeight="true" outlineLevel="0" collapsed="false">
      <c r="A758" s="66" t="s">
        <v>396</v>
      </c>
      <c r="B758" s="66" t="s">
        <v>293</v>
      </c>
      <c r="C758" s="66" t="n">
        <v>1.5</v>
      </c>
      <c r="D758" s="67" t="str">
        <f aca="false">IFERROR(INDEX(المكونات!$B$2:$B$500,MATCH($B758,المكونات!$A$2:$A$500,0)),"")</f>
        <v>قطعة</v>
      </c>
      <c r="E758" s="68" t="n">
        <f aca="false">IFERROR(INDEX(المكونات!$C$2:$C$500,MATCH($B758,المكونات!$A$2:$A$500,0)),"")</f>
        <v>0.5</v>
      </c>
      <c r="F758" s="69" t="n">
        <f aca="false">IFERROR($C758*$E758,"")</f>
        <v>0.75</v>
      </c>
    </row>
    <row r="759" customFormat="false" ht="15" hidden="false" customHeight="true" outlineLevel="0" collapsed="false">
      <c r="A759" s="66" t="s">
        <v>396</v>
      </c>
      <c r="B759" s="66" t="s">
        <v>211</v>
      </c>
      <c r="C759" s="66" t="n">
        <v>3</v>
      </c>
      <c r="D759" s="67" t="str">
        <f aca="false">IFERROR(INDEX(المكونات!$B$2:$B$500,MATCH($B759,المكونات!$A$2:$A$500,0)),"")</f>
        <v>قطعة (جلفز)</v>
      </c>
      <c r="E759" s="68" t="n">
        <f aca="false">IFERROR(INDEX(المكونات!$C$2:$C$500,MATCH($B759,المكونات!$A$2:$A$500,0)),"")</f>
        <v>0.18</v>
      </c>
      <c r="F759" s="69" t="n">
        <f aca="false">IFERROR($C759*$E759,"")</f>
        <v>0.54</v>
      </c>
    </row>
    <row r="760" customFormat="false" ht="15" hidden="false" customHeight="true" outlineLevel="0" collapsed="false">
      <c r="A760" s="66" t="s">
        <v>396</v>
      </c>
      <c r="B760" s="66" t="s">
        <v>322</v>
      </c>
      <c r="C760" s="66" t="n">
        <v>1.5</v>
      </c>
      <c r="D760" s="67" t="str">
        <f aca="false">IFERROR(INDEX(المكونات!$B$2:$B$500,MATCH($B760,المكونات!$A$2:$A$500,0)),"")</f>
        <v>قطعة (كيس)</v>
      </c>
      <c r="E760" s="68" t="n">
        <f aca="false">IFERROR(INDEX(المكونات!$C$2:$C$500,MATCH($B760,المكونات!$A$2:$A$500,0)),"")</f>
        <v>1</v>
      </c>
      <c r="F760" s="69" t="n">
        <f aca="false">IFERROR($C760*$E760,"")</f>
        <v>1.5</v>
      </c>
    </row>
    <row r="761" customFormat="false" ht="15" hidden="false" customHeight="true" outlineLevel="0" collapsed="false">
      <c r="A761" s="66" t="s">
        <v>396</v>
      </c>
      <c r="B761" s="66" t="s">
        <v>346</v>
      </c>
      <c r="C761" s="66" t="n">
        <v>1</v>
      </c>
      <c r="D761" s="67" t="str">
        <f aca="false">IFERROR(INDEX(المكونات!$B$2:$B$500,MATCH($B761,المكونات!$A$2:$A$500,0)),"")</f>
        <v>قطعة</v>
      </c>
      <c r="E761" s="68" t="n">
        <f aca="false">IFERROR(INDEX(المكونات!$C$2:$C$500,MATCH($B761,المكونات!$A$2:$A$500,0)),"")</f>
        <v>8</v>
      </c>
      <c r="F761" s="69" t="n">
        <f aca="false">IFERROR($C761*$E761,"")</f>
        <v>8</v>
      </c>
    </row>
    <row r="762" customFormat="false" ht="15" hidden="false" customHeight="true" outlineLevel="0" collapsed="false">
      <c r="A762" s="66" t="s">
        <v>482</v>
      </c>
      <c r="B762" s="66" t="s">
        <v>264</v>
      </c>
      <c r="C762" s="66" t="n">
        <v>2</v>
      </c>
      <c r="D762" s="67" t="str">
        <f aca="false">IFERROR(INDEX(المكونات!$B$2:$B$500,MATCH($B762,المكونات!$A$2:$A$500,0)),"")</f>
        <v>قطعة</v>
      </c>
      <c r="E762" s="68" t="n">
        <f aca="false">IFERROR(INDEX(المكونات!$C$2:$C$500,MATCH($B762,المكونات!$A$2:$A$500,0)),"")</f>
        <v>4</v>
      </c>
      <c r="F762" s="69" t="n">
        <f aca="false">IFERROR($C762*$E762,"")</f>
        <v>8</v>
      </c>
    </row>
    <row r="763" customFormat="false" ht="15" hidden="false" customHeight="true" outlineLevel="0" collapsed="false">
      <c r="A763" s="66" t="s">
        <v>482</v>
      </c>
      <c r="B763" s="66" t="s">
        <v>140</v>
      </c>
      <c r="C763" s="66" t="n">
        <v>2</v>
      </c>
      <c r="D763" s="67" t="str">
        <f aca="false">IFERROR(INDEX(المكونات!$B$2:$B$500,MATCH($B763,المكونات!$A$2:$A$500,0)),"")</f>
        <v>قطعة</v>
      </c>
      <c r="E763" s="68" t="n">
        <f aca="false">IFERROR(INDEX(المكونات!$C$2:$C$500,MATCH($B763,المكونات!$A$2:$A$500,0)),"")</f>
        <v>18</v>
      </c>
      <c r="F763" s="69" t="n">
        <f aca="false">IFERROR($C763*$E763,"")</f>
        <v>36</v>
      </c>
    </row>
    <row r="764" customFormat="false" ht="15" hidden="false" customHeight="true" outlineLevel="0" collapsed="false">
      <c r="A764" s="66" t="s">
        <v>482</v>
      </c>
      <c r="B764" s="66" t="s">
        <v>260</v>
      </c>
      <c r="C764" s="66" t="n">
        <v>0.02</v>
      </c>
      <c r="D764" s="67" t="str">
        <f aca="false">IFERROR(INDEX(المكونات!$B$2:$B$500,MATCH($B764,المكونات!$A$2:$A$500,0)),"")</f>
        <v>كجم</v>
      </c>
      <c r="E764" s="68" t="n">
        <f aca="false">IFERROR(INDEX(المكونات!$C$2:$C$500,MATCH($B764,المكونات!$A$2:$A$500,0)),"")</f>
        <v>21</v>
      </c>
      <c r="F764" s="69" t="n">
        <f aca="false">IFERROR($C764*$E764,"")</f>
        <v>0.42</v>
      </c>
    </row>
    <row r="765" customFormat="false" ht="15" hidden="false" customHeight="true" outlineLevel="0" collapsed="false">
      <c r="A765" s="66" t="s">
        <v>482</v>
      </c>
      <c r="B765" s="66" t="s">
        <v>284</v>
      </c>
      <c r="C765" s="66" t="n">
        <v>0.02</v>
      </c>
      <c r="D765" s="67" t="str">
        <f aca="false">IFERROR(INDEX(المكونات!$B$2:$B$500,MATCH($B765,المكونات!$A$2:$A$500,0)),"")</f>
        <v>كجم</v>
      </c>
      <c r="E765" s="68" t="n">
        <f aca="false">IFERROR(INDEX(المكونات!$C$2:$C$500,MATCH($B765,المكونات!$A$2:$A$500,0)),"")</f>
        <v>27</v>
      </c>
      <c r="F765" s="69" t="n">
        <f aca="false">IFERROR($C765*$E765,"")</f>
        <v>0.54</v>
      </c>
    </row>
    <row r="766" customFormat="false" ht="15" hidden="false" customHeight="true" outlineLevel="0" collapsed="false">
      <c r="A766" s="66" t="s">
        <v>482</v>
      </c>
      <c r="B766" s="66" t="s">
        <v>190</v>
      </c>
      <c r="C766" s="66" t="n">
        <v>0.02</v>
      </c>
      <c r="D766" s="67" t="str">
        <f aca="false">IFERROR(INDEX(المكونات!$B$2:$B$500,MATCH($B766,المكونات!$A$2:$A$500,0)),"")</f>
        <v>كجم</v>
      </c>
      <c r="E766" s="68" t="n">
        <f aca="false">IFERROR(INDEX(المكونات!$C$2:$C$500,MATCH($B766,المكونات!$A$2:$A$500,0)),"")</f>
        <v>18</v>
      </c>
      <c r="F766" s="69" t="n">
        <f aca="false">IFERROR($C766*$E766,"")</f>
        <v>0.36</v>
      </c>
    </row>
    <row r="767" customFormat="false" ht="15" hidden="false" customHeight="true" outlineLevel="0" collapsed="false">
      <c r="A767" s="66" t="s">
        <v>482</v>
      </c>
      <c r="B767" s="66" t="s">
        <v>217</v>
      </c>
      <c r="C767" s="66" t="n">
        <v>0.02</v>
      </c>
      <c r="D767" s="67" t="str">
        <f aca="false">IFERROR(INDEX(المكونات!$B$2:$B$500,MATCH($B767,المكونات!$A$2:$A$500,0)),"")</f>
        <v>كجم</v>
      </c>
      <c r="E767" s="68" t="n">
        <f aca="false">IFERROR(INDEX(المكونات!$C$2:$C$500,MATCH($B767,المكونات!$A$2:$A$500,0)),"")</f>
        <v>30</v>
      </c>
      <c r="F767" s="69" t="n">
        <f aca="false">IFERROR($C767*$E767,"")</f>
        <v>0.6</v>
      </c>
    </row>
    <row r="768" customFormat="false" ht="15" hidden="false" customHeight="true" outlineLevel="0" collapsed="false">
      <c r="A768" s="66" t="s">
        <v>482</v>
      </c>
      <c r="B768" s="66" t="s">
        <v>254</v>
      </c>
      <c r="C768" s="66" t="n">
        <v>0.05</v>
      </c>
      <c r="D768" s="67" t="str">
        <f aca="false">IFERROR(INDEX(المكونات!$B$2:$B$500,MATCH($B768,المكونات!$A$2:$A$500,0)),"")</f>
        <v>كجم</v>
      </c>
      <c r="E768" s="68" t="n">
        <f aca="false">IFERROR(INDEX(المكونات!$C$2:$C$500,MATCH($B768,المكونات!$A$2:$A$500,0)),"")</f>
        <v>140</v>
      </c>
      <c r="F768" s="69" t="n">
        <f aca="false">IFERROR($C768*$E768,"")</f>
        <v>7</v>
      </c>
    </row>
    <row r="769" customFormat="false" ht="15" hidden="false" customHeight="true" outlineLevel="0" collapsed="false">
      <c r="A769" s="66" t="s">
        <v>482</v>
      </c>
      <c r="B769" s="66" t="s">
        <v>252</v>
      </c>
      <c r="C769" s="66" t="n">
        <v>0.05</v>
      </c>
      <c r="D769" s="67" t="str">
        <f aca="false">IFERROR(INDEX(المكونات!$B$2:$B$500,MATCH($B769,المكونات!$A$2:$A$500,0)),"")</f>
        <v>كجم</v>
      </c>
      <c r="E769" s="68" t="n">
        <f aca="false">IFERROR(INDEX(المكونات!$C$2:$C$500,MATCH($B769,المكونات!$A$2:$A$500,0)),"")</f>
        <v>70</v>
      </c>
      <c r="F769" s="69" t="n">
        <f aca="false">IFERROR($C769*$E769,"")</f>
        <v>3.5</v>
      </c>
    </row>
    <row r="770" customFormat="false" ht="15" hidden="false" customHeight="true" outlineLevel="0" collapsed="false">
      <c r="A770" s="66" t="s">
        <v>482</v>
      </c>
      <c r="B770" s="66" t="s">
        <v>258</v>
      </c>
      <c r="C770" s="66" t="n">
        <v>0.05</v>
      </c>
      <c r="D770" s="67" t="str">
        <f aca="false">IFERROR(INDEX(المكونات!$B$2:$B$500,MATCH($B770,المكونات!$A$2:$A$500,0)),"")</f>
        <v>كجم</v>
      </c>
      <c r="E770" s="68" t="n">
        <f aca="false">IFERROR(INDEX(المكونات!$C$2:$C$500,MATCH($B770,المكونات!$A$2:$A$500,0)),"")</f>
        <v>140</v>
      </c>
      <c r="F770" s="69" t="n">
        <f aca="false">IFERROR($C770*$E770,"")</f>
        <v>7</v>
      </c>
    </row>
    <row r="771" customFormat="false" ht="15" hidden="false" customHeight="true" outlineLevel="0" collapsed="false">
      <c r="A771" s="66" t="s">
        <v>482</v>
      </c>
      <c r="B771" s="66" t="s">
        <v>290</v>
      </c>
      <c r="C771" s="66" t="n">
        <v>2</v>
      </c>
      <c r="D771" s="67" t="str">
        <f aca="false">IFERROR(INDEX(المكونات!$B$2:$B$500,MATCH($B771,المكونات!$A$2:$A$500,0)),"")</f>
        <v>قطعة</v>
      </c>
      <c r="E771" s="68" t="n">
        <f aca="false">IFERROR(INDEX(المكونات!$C$2:$C$500,MATCH($B771,المكونات!$A$2:$A$500,0)),"")</f>
        <v>0.3</v>
      </c>
      <c r="F771" s="69" t="n">
        <f aca="false">IFERROR($C771*$E771,"")</f>
        <v>0.6</v>
      </c>
    </row>
    <row r="772" customFormat="false" ht="15" hidden="false" customHeight="true" outlineLevel="0" collapsed="false">
      <c r="A772" s="66" t="s">
        <v>482</v>
      </c>
      <c r="B772" s="66" t="s">
        <v>319</v>
      </c>
      <c r="C772" s="66" t="n">
        <v>1</v>
      </c>
      <c r="D772" s="67" t="str">
        <f aca="false">IFERROR(INDEX(المكونات!$B$2:$B$500,MATCH($B772,المكونات!$A$2:$A$500,0)),"")</f>
        <v>قطعة (ورقة)</v>
      </c>
      <c r="E772" s="68" t="n">
        <f aca="false">IFERROR(INDEX(المكونات!$C$2:$C$500,MATCH($B772,المكونات!$A$2:$A$500,0)),"")</f>
        <v>0.3665</v>
      </c>
      <c r="F772" s="69" t="n">
        <f aca="false">IFERROR($C772*$E772,"")</f>
        <v>0.3665</v>
      </c>
    </row>
    <row r="773" customFormat="false" ht="15" hidden="false" customHeight="true" outlineLevel="0" collapsed="false">
      <c r="A773" s="66" t="s">
        <v>482</v>
      </c>
      <c r="B773" s="66" t="s">
        <v>133</v>
      </c>
      <c r="C773" s="66" t="n">
        <v>1</v>
      </c>
      <c r="D773" s="67" t="str">
        <f aca="false">IFERROR(INDEX(المكونات!$B$2:$B$500,MATCH($B773,المكونات!$A$2:$A$500,0)),"")</f>
        <v>قطعة (كيس)</v>
      </c>
      <c r="E773" s="68" t="n">
        <f aca="false">IFERROR(INDEX(المكونات!$C$2:$C$500,MATCH($B773,المكونات!$A$2:$A$500,0)),"")</f>
        <v>1.4</v>
      </c>
      <c r="F773" s="69" t="n">
        <f aca="false">IFERROR($C773*$E773,"")</f>
        <v>1.4</v>
      </c>
    </row>
    <row r="774" customFormat="false" ht="15" hidden="false" customHeight="true" outlineLevel="0" collapsed="false">
      <c r="A774" s="66" t="s">
        <v>482</v>
      </c>
      <c r="B774" s="66" t="s">
        <v>293</v>
      </c>
      <c r="C774" s="66" t="n">
        <v>1</v>
      </c>
      <c r="D774" s="67" t="str">
        <f aca="false">IFERROR(INDEX(المكونات!$B$2:$B$500,MATCH($B774,المكونات!$A$2:$A$500,0)),"")</f>
        <v>قطعة</v>
      </c>
      <c r="E774" s="68" t="n">
        <f aca="false">IFERROR(INDEX(المكونات!$C$2:$C$500,MATCH($B774,المكونات!$A$2:$A$500,0)),"")</f>
        <v>0.5</v>
      </c>
      <c r="F774" s="69" t="n">
        <f aca="false">IFERROR($C774*$E774,"")</f>
        <v>0.5</v>
      </c>
    </row>
    <row r="775" customFormat="false" ht="15" hidden="false" customHeight="true" outlineLevel="0" collapsed="false">
      <c r="A775" s="66" t="s">
        <v>482</v>
      </c>
      <c r="B775" s="66" t="s">
        <v>211</v>
      </c>
      <c r="C775" s="66" t="n">
        <v>2</v>
      </c>
      <c r="D775" s="67" t="str">
        <f aca="false">IFERROR(INDEX(المكونات!$B$2:$B$500,MATCH($B775,المكونات!$A$2:$A$500,0)),"")</f>
        <v>قطعة (جلفز)</v>
      </c>
      <c r="E775" s="68" t="n">
        <f aca="false">IFERROR(INDEX(المكونات!$C$2:$C$500,MATCH($B775,المكونات!$A$2:$A$500,0)),"")</f>
        <v>0.18</v>
      </c>
      <c r="F775" s="69" t="n">
        <f aca="false">IFERROR($C775*$E775,"")</f>
        <v>0.36</v>
      </c>
    </row>
    <row r="776" customFormat="false" ht="15" hidden="false" customHeight="true" outlineLevel="0" collapsed="false">
      <c r="A776" s="66" t="s">
        <v>482</v>
      </c>
      <c r="B776" s="66" t="s">
        <v>322</v>
      </c>
      <c r="C776" s="66" t="n">
        <v>1</v>
      </c>
      <c r="D776" s="67" t="str">
        <f aca="false">IFERROR(INDEX(المكونات!$B$2:$B$500,MATCH($B776,المكونات!$A$2:$A$500,0)),"")</f>
        <v>قطعة (كيس)</v>
      </c>
      <c r="E776" s="68" t="n">
        <f aca="false">IFERROR(INDEX(المكونات!$C$2:$C$500,MATCH($B776,المكونات!$A$2:$A$500,0)),"")</f>
        <v>1</v>
      </c>
      <c r="F776" s="69" t="n">
        <f aca="false">IFERROR($C776*$E776,"")</f>
        <v>1</v>
      </c>
    </row>
    <row r="777" customFormat="false" ht="15" hidden="false" customHeight="true" outlineLevel="0" collapsed="false">
      <c r="A777" s="66" t="s">
        <v>482</v>
      </c>
      <c r="B777" s="66" t="s">
        <v>344</v>
      </c>
      <c r="C777" s="66" t="n">
        <v>1</v>
      </c>
      <c r="D777" s="67" t="str">
        <f aca="false">IFERROR(INDEX(المكونات!$B$2:$B$500,MATCH($B777,المكونات!$A$2:$A$500,0)),"")</f>
        <v>قطعة</v>
      </c>
      <c r="E777" s="68" t="n">
        <f aca="false">IFERROR(INDEX(المكونات!$C$2:$C$500,MATCH($B777,المكونات!$A$2:$A$500,0)),"")</f>
        <v>4.44</v>
      </c>
      <c r="F777" s="69" t="n">
        <f aca="false">IFERROR($C777*$E777,"")</f>
        <v>4.44</v>
      </c>
    </row>
    <row r="778" customFormat="false" ht="15" hidden="false" customHeight="true" outlineLevel="0" collapsed="false">
      <c r="A778" s="66" t="s">
        <v>406</v>
      </c>
      <c r="B778" s="66" t="s">
        <v>309</v>
      </c>
      <c r="C778" s="66" t="n">
        <v>0.15</v>
      </c>
      <c r="D778" s="67" t="str">
        <f aca="false">IFERROR(INDEX(المكونات!$B$2:$B$500,MATCH($B778,المكونات!$A$2:$A$500,0)),"")</f>
        <v>كجم</v>
      </c>
      <c r="E778" s="68" t="n">
        <f aca="false">IFERROR(INDEX(المكونات!$C$2:$C$500,MATCH($B778,المكونات!$A$2:$A$500,0)),"")</f>
        <v>24</v>
      </c>
      <c r="F778" s="69" t="n">
        <f aca="false">IFERROR($C778*$E778,"")</f>
        <v>3.6</v>
      </c>
    </row>
    <row r="779" customFormat="false" ht="15" hidden="false" customHeight="true" outlineLevel="0" collapsed="false">
      <c r="A779" s="66" t="s">
        <v>406</v>
      </c>
      <c r="B779" s="66" t="s">
        <v>186</v>
      </c>
      <c r="C779" s="66" t="n">
        <v>0.2</v>
      </c>
      <c r="D779" s="67" t="str">
        <f aca="false">IFERROR(INDEX(المكونات!$B$2:$B$500,MATCH($B779,المكونات!$A$2:$A$500,0)),"")</f>
        <v>كجم</v>
      </c>
      <c r="E779" s="68" t="n">
        <f aca="false">IFERROR(INDEX(المكونات!$C$2:$C$500,MATCH($B779,المكونات!$A$2:$A$500,0)),"")</f>
        <v>41</v>
      </c>
      <c r="F779" s="69" t="n">
        <f aca="false">IFERROR($C779*$E779,"")</f>
        <v>8.2</v>
      </c>
    </row>
    <row r="780" customFormat="false" ht="15" hidden="false" customHeight="true" outlineLevel="0" collapsed="false">
      <c r="A780" s="66" t="s">
        <v>406</v>
      </c>
      <c r="B780" s="66" t="s">
        <v>298</v>
      </c>
      <c r="C780" s="66" t="n">
        <v>0.05</v>
      </c>
      <c r="D780" s="67" t="str">
        <f aca="false">IFERROR(INDEX(المكونات!$B$2:$B$500,MATCH($B780,المكونات!$A$2:$A$500,0)),"")</f>
        <v>لتر</v>
      </c>
      <c r="E780" s="68" t="n">
        <f aca="false">IFERROR(INDEX(المكونات!$C$2:$C$500,MATCH($B780,المكونات!$A$2:$A$500,0)),"")</f>
        <v>20.6667</v>
      </c>
      <c r="F780" s="69" t="n">
        <f aca="false">IFERROR($C780*$E780,"")</f>
        <v>1.033335</v>
      </c>
    </row>
    <row r="781" customFormat="false" ht="15" hidden="false" customHeight="true" outlineLevel="0" collapsed="false">
      <c r="A781" s="66" t="s">
        <v>406</v>
      </c>
      <c r="B781" s="66" t="s">
        <v>220</v>
      </c>
      <c r="C781" s="66" t="n">
        <v>0.01</v>
      </c>
      <c r="D781" s="67" t="str">
        <f aca="false">IFERROR(INDEX(المكونات!$B$2:$B$500,MATCH($B781,المكونات!$A$2:$A$500,0)),"")</f>
        <v>كجم</v>
      </c>
      <c r="E781" s="68" t="n">
        <f aca="false">IFERROR(INDEX(المكونات!$C$2:$C$500,MATCH($B781,المكونات!$A$2:$A$500,0)),"")</f>
        <v>120</v>
      </c>
      <c r="F781" s="69" t="n">
        <f aca="false">IFERROR($C781*$E781,"")</f>
        <v>1.2</v>
      </c>
    </row>
    <row r="782" customFormat="false" ht="15" hidden="false" customHeight="true" outlineLevel="0" collapsed="false">
      <c r="A782" s="66" t="s">
        <v>406</v>
      </c>
      <c r="B782" s="66" t="s">
        <v>172</v>
      </c>
      <c r="C782" s="66" t="n">
        <v>1</v>
      </c>
      <c r="D782" s="67" t="str">
        <f aca="false">IFERROR(INDEX(المكونات!$B$2:$B$500,MATCH($B782,المكونات!$A$2:$A$500,0)),"")</f>
        <v>قطعة</v>
      </c>
      <c r="E782" s="68" t="n">
        <f aca="false">IFERROR(INDEX(المكونات!$C$2:$C$500,MATCH($B782,المكونات!$A$2:$A$500,0)),"")</f>
        <v>20</v>
      </c>
      <c r="F782" s="69" t="n">
        <f aca="false">IFERROR($C782*$E782,"")</f>
        <v>20</v>
      </c>
    </row>
    <row r="783" customFormat="false" ht="15" hidden="false" customHeight="true" outlineLevel="0" collapsed="false">
      <c r="A783" s="66" t="s">
        <v>406</v>
      </c>
      <c r="B783" s="66" t="s">
        <v>158</v>
      </c>
      <c r="C783" s="66" t="n">
        <v>1</v>
      </c>
      <c r="D783" s="67" t="str">
        <f aca="false">IFERROR(INDEX(المكونات!$B$2:$B$500,MATCH($B783,المكونات!$A$2:$A$500,0)),"")</f>
        <v>قطعة</v>
      </c>
      <c r="E783" s="68" t="n">
        <f aca="false">IFERROR(INDEX(المكونات!$C$2:$C$500,MATCH($B783,المكونات!$A$2:$A$500,0)),"")</f>
        <v>33.982</v>
      </c>
      <c r="F783" s="69" t="n">
        <f aca="false">IFERROR($C783*$E783,"")</f>
        <v>33.982</v>
      </c>
    </row>
    <row r="784" customFormat="false" ht="15" hidden="false" customHeight="true" outlineLevel="0" collapsed="false">
      <c r="A784" s="66" t="s">
        <v>406</v>
      </c>
      <c r="B784" s="66" t="s">
        <v>307</v>
      </c>
      <c r="C784" s="66" t="n">
        <v>0.06</v>
      </c>
      <c r="D784" s="67" t="str">
        <f aca="false">IFERROR(INDEX(المكونات!$B$2:$B$500,MATCH($B784,المكونات!$A$2:$A$500,0)),"")</f>
        <v>كجم</v>
      </c>
      <c r="E784" s="68" t="n">
        <f aca="false">IFERROR(INDEX(المكونات!$C$2:$C$500,MATCH($B784,المكونات!$A$2:$A$500,0)),"")</f>
        <v>151.2027</v>
      </c>
      <c r="F784" s="69" t="n">
        <f aca="false">IFERROR($C784*$E784,"")</f>
        <v>9.072162</v>
      </c>
    </row>
    <row r="785" customFormat="false" ht="15" hidden="false" customHeight="true" outlineLevel="0" collapsed="false">
      <c r="A785" s="66" t="s">
        <v>406</v>
      </c>
      <c r="B785" s="66" t="s">
        <v>328</v>
      </c>
      <c r="C785" s="66" t="n">
        <v>1</v>
      </c>
      <c r="D785" s="67" t="str">
        <f aca="false">IFERROR(INDEX(المكونات!$B$2:$B$500,MATCH($B785,المكونات!$A$2:$A$500,0)),"")</f>
        <v>قطعة</v>
      </c>
      <c r="E785" s="68" t="n">
        <f aca="false">IFERROR(INDEX(المكونات!$C$2:$C$500,MATCH($B785,المكونات!$A$2:$A$500,0)),"")</f>
        <v>4.47</v>
      </c>
      <c r="F785" s="69" t="n">
        <f aca="false">IFERROR($C785*$E785,"")</f>
        <v>4.47</v>
      </c>
    </row>
    <row r="786" customFormat="false" ht="15" hidden="false" customHeight="true" outlineLevel="0" collapsed="false">
      <c r="A786" s="66" t="s">
        <v>406</v>
      </c>
      <c r="B786" s="66" t="s">
        <v>122</v>
      </c>
      <c r="C786" s="66" t="n">
        <v>1</v>
      </c>
      <c r="D786" s="67" t="str">
        <f aca="false">IFERROR(INDEX(المكونات!$B$2:$B$500,MATCH($B786,المكونات!$A$2:$A$500,0)),"")</f>
        <v>قطعة</v>
      </c>
      <c r="E786" s="68" t="n">
        <f aca="false">IFERROR(INDEX(المكونات!$C$2:$C$500,MATCH($B786,المكونات!$A$2:$A$500,0)),"")</f>
        <v>3.3</v>
      </c>
      <c r="F786" s="69" t="n">
        <f aca="false">IFERROR($C786*$E786,"")</f>
        <v>3.3</v>
      </c>
    </row>
    <row r="787" customFormat="false" ht="15" hidden="false" customHeight="true" outlineLevel="0" collapsed="false">
      <c r="A787" s="66" t="s">
        <v>406</v>
      </c>
      <c r="B787" s="66" t="s">
        <v>243</v>
      </c>
      <c r="C787" s="66" t="n">
        <v>1</v>
      </c>
      <c r="D787" s="67" t="str">
        <f aca="false">IFERROR(INDEX(المكونات!$B$2:$B$500,MATCH($B787,المكونات!$A$2:$A$500,0)),"")</f>
        <v>قطعة</v>
      </c>
      <c r="E787" s="68" t="n">
        <f aca="false">IFERROR(INDEX(المكونات!$C$2:$C$500,MATCH($B787,المكونات!$A$2:$A$500,0)),"")</f>
        <v>0.3</v>
      </c>
      <c r="F787" s="69" t="n">
        <f aca="false">IFERROR($C787*$E787,"")</f>
        <v>0.3</v>
      </c>
    </row>
    <row r="788" customFormat="false" ht="15" hidden="false" customHeight="true" outlineLevel="0" collapsed="false">
      <c r="A788" s="66" t="s">
        <v>406</v>
      </c>
      <c r="B788" s="66" t="s">
        <v>290</v>
      </c>
      <c r="C788" s="66" t="n">
        <v>2</v>
      </c>
      <c r="D788" s="67" t="str">
        <f aca="false">IFERROR(INDEX(المكونات!$B$2:$B$500,MATCH($B788,المكونات!$A$2:$A$500,0)),"")</f>
        <v>قطعة</v>
      </c>
      <c r="E788" s="68" t="n">
        <f aca="false">IFERROR(INDEX(المكونات!$C$2:$C$500,MATCH($B788,المكونات!$A$2:$A$500,0)),"")</f>
        <v>0.3</v>
      </c>
      <c r="F788" s="69" t="n">
        <f aca="false">IFERROR($C788*$E788,"")</f>
        <v>0.6</v>
      </c>
    </row>
    <row r="789" customFormat="false" ht="15" hidden="false" customHeight="true" outlineLevel="0" collapsed="false">
      <c r="A789" s="66" t="s">
        <v>406</v>
      </c>
      <c r="B789" s="66" t="s">
        <v>211</v>
      </c>
      <c r="C789" s="66" t="n">
        <v>2</v>
      </c>
      <c r="D789" s="67" t="str">
        <f aca="false">IFERROR(INDEX(المكونات!$B$2:$B$500,MATCH($B789,المكونات!$A$2:$A$500,0)),"")</f>
        <v>قطعة (جلفز)</v>
      </c>
      <c r="E789" s="68" t="n">
        <f aca="false">IFERROR(INDEX(المكونات!$C$2:$C$500,MATCH($B789,المكونات!$A$2:$A$500,0)),"")</f>
        <v>0.18</v>
      </c>
      <c r="F789" s="69" t="n">
        <f aca="false">IFERROR($C789*$E789,"")</f>
        <v>0.36</v>
      </c>
    </row>
    <row r="790" customFormat="false" ht="15" hidden="false" customHeight="true" outlineLevel="0" collapsed="false">
      <c r="A790" s="66" t="s">
        <v>406</v>
      </c>
      <c r="B790" s="66" t="s">
        <v>136</v>
      </c>
      <c r="C790" s="66" t="n">
        <v>1</v>
      </c>
      <c r="D790" s="67" t="str">
        <f aca="false">IFERROR(INDEX(المكونات!$B$2:$B$500,MATCH($B790,المكونات!$A$2:$A$500,0)),"")</f>
        <v>قطعة (كيس)</v>
      </c>
      <c r="E790" s="68" t="n">
        <f aca="false">IFERROR(INDEX(المكونات!$C$2:$C$500,MATCH($B790,المكونات!$A$2:$A$500,0)),"")</f>
        <v>1.4</v>
      </c>
      <c r="F790" s="69" t="n">
        <f aca="false">IFERROR($C790*$E790,"")</f>
        <v>1.4</v>
      </c>
    </row>
    <row r="791" customFormat="false" ht="15" hidden="false" customHeight="true" outlineLevel="0" collapsed="false">
      <c r="A791" s="66" t="s">
        <v>467</v>
      </c>
      <c r="B791" s="66" t="s">
        <v>309</v>
      </c>
      <c r="C791" s="66" t="n">
        <v>0.15</v>
      </c>
      <c r="D791" s="67" t="str">
        <f aca="false">IFERROR(INDEX(المكونات!$B$2:$B$500,MATCH($B791,المكونات!$A$2:$A$500,0)),"")</f>
        <v>كجم</v>
      </c>
      <c r="E791" s="68" t="n">
        <f aca="false">IFERROR(INDEX(المكونات!$C$2:$C$500,MATCH($B791,المكونات!$A$2:$A$500,0)),"")</f>
        <v>24</v>
      </c>
      <c r="F791" s="69" t="n">
        <f aca="false">IFERROR($C791*$E791,"")</f>
        <v>3.6</v>
      </c>
    </row>
    <row r="792" customFormat="false" ht="15" hidden="false" customHeight="true" outlineLevel="0" collapsed="false">
      <c r="A792" s="66" t="s">
        <v>467</v>
      </c>
      <c r="B792" s="66" t="s">
        <v>186</v>
      </c>
      <c r="C792" s="66" t="n">
        <v>0.2</v>
      </c>
      <c r="D792" s="67" t="str">
        <f aca="false">IFERROR(INDEX(المكونات!$B$2:$B$500,MATCH($B792,المكونات!$A$2:$A$500,0)),"")</f>
        <v>كجم</v>
      </c>
      <c r="E792" s="68" t="n">
        <f aca="false">IFERROR(INDEX(المكونات!$C$2:$C$500,MATCH($B792,المكونات!$A$2:$A$500,0)),"")</f>
        <v>41</v>
      </c>
      <c r="F792" s="69" t="n">
        <f aca="false">IFERROR($C792*$E792,"")</f>
        <v>8.2</v>
      </c>
    </row>
    <row r="793" customFormat="false" ht="15" hidden="false" customHeight="true" outlineLevel="0" collapsed="false">
      <c r="A793" s="66" t="s">
        <v>467</v>
      </c>
      <c r="B793" s="66" t="s">
        <v>298</v>
      </c>
      <c r="C793" s="66" t="n">
        <v>0.05</v>
      </c>
      <c r="D793" s="67" t="str">
        <f aca="false">IFERROR(INDEX(المكونات!$B$2:$B$500,MATCH($B793,المكونات!$A$2:$A$500,0)),"")</f>
        <v>لتر</v>
      </c>
      <c r="E793" s="68" t="n">
        <f aca="false">IFERROR(INDEX(المكونات!$C$2:$C$500,MATCH($B793,المكونات!$A$2:$A$500,0)),"")</f>
        <v>20.6667</v>
      </c>
      <c r="F793" s="69" t="n">
        <f aca="false">IFERROR($C793*$E793,"")</f>
        <v>1.033335</v>
      </c>
    </row>
    <row r="794" customFormat="false" ht="15" hidden="false" customHeight="true" outlineLevel="0" collapsed="false">
      <c r="A794" s="66" t="s">
        <v>467</v>
      </c>
      <c r="B794" s="66" t="s">
        <v>220</v>
      </c>
      <c r="C794" s="66" t="n">
        <v>0.01</v>
      </c>
      <c r="D794" s="67" t="str">
        <f aca="false">IFERROR(INDEX(المكونات!$B$2:$B$500,MATCH($B794,المكونات!$A$2:$A$500,0)),"")</f>
        <v>كجم</v>
      </c>
      <c r="E794" s="68" t="n">
        <f aca="false">IFERROR(INDEX(المكونات!$C$2:$C$500,MATCH($B794,المكونات!$A$2:$A$500,0)),"")</f>
        <v>120</v>
      </c>
      <c r="F794" s="69" t="n">
        <f aca="false">IFERROR($C794*$E794,"")</f>
        <v>1.2</v>
      </c>
    </row>
    <row r="795" customFormat="false" ht="15" hidden="false" customHeight="true" outlineLevel="0" collapsed="false">
      <c r="A795" s="66" t="s">
        <v>467</v>
      </c>
      <c r="B795" s="66" t="s">
        <v>172</v>
      </c>
      <c r="C795" s="66" t="n">
        <v>1</v>
      </c>
      <c r="D795" s="67" t="str">
        <f aca="false">IFERROR(INDEX(المكونات!$B$2:$B$500,MATCH($B795,المكونات!$A$2:$A$500,0)),"")</f>
        <v>قطعة</v>
      </c>
      <c r="E795" s="68" t="n">
        <f aca="false">IFERROR(INDEX(المكونات!$C$2:$C$500,MATCH($B795,المكونات!$A$2:$A$500,0)),"")</f>
        <v>20</v>
      </c>
      <c r="F795" s="69" t="n">
        <f aca="false">IFERROR($C795*$E795,"")</f>
        <v>20</v>
      </c>
    </row>
    <row r="796" customFormat="false" ht="15" hidden="false" customHeight="true" outlineLevel="0" collapsed="false">
      <c r="A796" s="66" t="s">
        <v>467</v>
      </c>
      <c r="B796" s="66" t="s">
        <v>162</v>
      </c>
      <c r="C796" s="66" t="n">
        <v>1</v>
      </c>
      <c r="D796" s="67" t="str">
        <f aca="false">IFERROR(INDEX(المكونات!$B$2:$B$500,MATCH($B796,المكونات!$A$2:$A$500,0)),"")</f>
        <v>قطعة</v>
      </c>
      <c r="E796" s="68" t="n">
        <f aca="false">IFERROR(INDEX(المكونات!$C$2:$C$500,MATCH($B796,المكونات!$A$2:$A$500,0)),"")</f>
        <v>30</v>
      </c>
      <c r="F796" s="69" t="n">
        <f aca="false">IFERROR($C796*$E796,"")</f>
        <v>30</v>
      </c>
    </row>
    <row r="797" customFormat="false" ht="15" hidden="false" customHeight="true" outlineLevel="0" collapsed="false">
      <c r="A797" s="66" t="s">
        <v>467</v>
      </c>
      <c r="B797" s="66" t="s">
        <v>258</v>
      </c>
      <c r="C797" s="66" t="n">
        <v>0.1</v>
      </c>
      <c r="D797" s="67" t="str">
        <f aca="false">IFERROR(INDEX(المكونات!$B$2:$B$500,MATCH($B797,المكونات!$A$2:$A$500,0)),"")</f>
        <v>كجم</v>
      </c>
      <c r="E797" s="68" t="n">
        <f aca="false">IFERROR(INDEX(المكونات!$C$2:$C$500,MATCH($B797,المكونات!$A$2:$A$500,0)),"")</f>
        <v>140</v>
      </c>
      <c r="F797" s="69" t="n">
        <f aca="false">IFERROR($C797*$E797,"")</f>
        <v>14</v>
      </c>
    </row>
    <row r="798" customFormat="false" ht="15" hidden="false" customHeight="true" outlineLevel="0" collapsed="false">
      <c r="A798" s="66" t="s">
        <v>467</v>
      </c>
      <c r="B798" s="66" t="s">
        <v>328</v>
      </c>
      <c r="C798" s="66" t="n">
        <v>1</v>
      </c>
      <c r="D798" s="67" t="str">
        <f aca="false">IFERROR(INDEX(المكونات!$B$2:$B$500,MATCH($B798,المكونات!$A$2:$A$500,0)),"")</f>
        <v>قطعة</v>
      </c>
      <c r="E798" s="68" t="n">
        <f aca="false">IFERROR(INDEX(المكونات!$C$2:$C$500,MATCH($B798,المكونات!$A$2:$A$500,0)),"")</f>
        <v>4.47</v>
      </c>
      <c r="F798" s="69" t="n">
        <f aca="false">IFERROR($C798*$E798,"")</f>
        <v>4.47</v>
      </c>
    </row>
    <row r="799" customFormat="false" ht="15" hidden="false" customHeight="true" outlineLevel="0" collapsed="false">
      <c r="A799" s="66" t="s">
        <v>467</v>
      </c>
      <c r="B799" s="66" t="s">
        <v>122</v>
      </c>
      <c r="C799" s="66" t="n">
        <v>1</v>
      </c>
      <c r="D799" s="67" t="str">
        <f aca="false">IFERROR(INDEX(المكونات!$B$2:$B$500,MATCH($B799,المكونات!$A$2:$A$500,0)),"")</f>
        <v>قطعة</v>
      </c>
      <c r="E799" s="68" t="n">
        <f aca="false">IFERROR(INDEX(المكونات!$C$2:$C$500,MATCH($B799,المكونات!$A$2:$A$500,0)),"")</f>
        <v>3.3</v>
      </c>
      <c r="F799" s="69" t="n">
        <f aca="false">IFERROR($C799*$E799,"")</f>
        <v>3.3</v>
      </c>
    </row>
    <row r="800" customFormat="false" ht="15" hidden="false" customHeight="true" outlineLevel="0" collapsed="false">
      <c r="A800" s="66" t="s">
        <v>467</v>
      </c>
      <c r="B800" s="66" t="s">
        <v>243</v>
      </c>
      <c r="C800" s="66" t="n">
        <v>1</v>
      </c>
      <c r="D800" s="67" t="str">
        <f aca="false">IFERROR(INDEX(المكونات!$B$2:$B$500,MATCH($B800,المكونات!$A$2:$A$500,0)),"")</f>
        <v>قطعة</v>
      </c>
      <c r="E800" s="68" t="n">
        <f aca="false">IFERROR(INDEX(المكونات!$C$2:$C$500,MATCH($B800,المكونات!$A$2:$A$500,0)),"")</f>
        <v>0.3</v>
      </c>
      <c r="F800" s="69" t="n">
        <f aca="false">IFERROR($C800*$E800,"")</f>
        <v>0.3</v>
      </c>
    </row>
    <row r="801" customFormat="false" ht="15" hidden="false" customHeight="true" outlineLevel="0" collapsed="false">
      <c r="A801" s="66" t="s">
        <v>467</v>
      </c>
      <c r="B801" s="66" t="s">
        <v>290</v>
      </c>
      <c r="C801" s="66" t="n">
        <v>2</v>
      </c>
      <c r="D801" s="67" t="str">
        <f aca="false">IFERROR(INDEX(المكونات!$B$2:$B$500,MATCH($B801,المكونات!$A$2:$A$500,0)),"")</f>
        <v>قطعة</v>
      </c>
      <c r="E801" s="68" t="n">
        <f aca="false">IFERROR(INDEX(المكونات!$C$2:$C$500,MATCH($B801,المكونات!$A$2:$A$500,0)),"")</f>
        <v>0.3</v>
      </c>
      <c r="F801" s="69" t="n">
        <f aca="false">IFERROR($C801*$E801,"")</f>
        <v>0.6</v>
      </c>
    </row>
    <row r="802" customFormat="false" ht="15" hidden="false" customHeight="true" outlineLevel="0" collapsed="false">
      <c r="A802" s="66" t="s">
        <v>467</v>
      </c>
      <c r="B802" s="66" t="s">
        <v>211</v>
      </c>
      <c r="C802" s="66" t="n">
        <v>2</v>
      </c>
      <c r="D802" s="67" t="str">
        <f aca="false">IFERROR(INDEX(المكونات!$B$2:$B$500,MATCH($B802,المكونات!$A$2:$A$500,0)),"")</f>
        <v>قطعة (جلفز)</v>
      </c>
      <c r="E802" s="68" t="n">
        <f aca="false">IFERROR(INDEX(المكونات!$C$2:$C$500,MATCH($B802,المكونات!$A$2:$A$500,0)),"")</f>
        <v>0.18</v>
      </c>
      <c r="F802" s="69" t="n">
        <f aca="false">IFERROR($C802*$E802,"")</f>
        <v>0.36</v>
      </c>
    </row>
    <row r="803" customFormat="false" ht="15" hidden="false" customHeight="true" outlineLevel="0" collapsed="false">
      <c r="A803" s="66" t="s">
        <v>467</v>
      </c>
      <c r="B803" s="66" t="s">
        <v>136</v>
      </c>
      <c r="C803" s="66" t="n">
        <v>1</v>
      </c>
      <c r="D803" s="67" t="str">
        <f aca="false">IFERROR(INDEX(المكونات!$B$2:$B$500,MATCH($B803,المكونات!$A$2:$A$500,0)),"")</f>
        <v>قطعة (كيس)</v>
      </c>
      <c r="E803" s="68" t="n">
        <f aca="false">IFERROR(INDEX(المكونات!$C$2:$C$500,MATCH($B803,المكونات!$A$2:$A$500,0)),"")</f>
        <v>1.4</v>
      </c>
      <c r="F803" s="69" t="n">
        <f aca="false">IFERROR($C803*$E803,"")</f>
        <v>1.4</v>
      </c>
    </row>
    <row r="804" customFormat="false" ht="15" hidden="false" customHeight="true" outlineLevel="0" collapsed="false">
      <c r="A804" s="66" t="s">
        <v>452</v>
      </c>
      <c r="B804" s="66" t="s">
        <v>309</v>
      </c>
      <c r="C804" s="66" t="n">
        <v>0.15</v>
      </c>
      <c r="D804" s="67" t="str">
        <f aca="false">IFERROR(INDEX(المكونات!$B$2:$B$500,MATCH($B804,المكونات!$A$2:$A$500,0)),"")</f>
        <v>كجم</v>
      </c>
      <c r="E804" s="68" t="n">
        <f aca="false">IFERROR(INDEX(المكونات!$C$2:$C$500,MATCH($B804,المكونات!$A$2:$A$500,0)),"")</f>
        <v>24</v>
      </c>
      <c r="F804" s="69" t="n">
        <f aca="false">IFERROR($C804*$E804,"")</f>
        <v>3.6</v>
      </c>
    </row>
    <row r="805" customFormat="false" ht="15" hidden="false" customHeight="true" outlineLevel="0" collapsed="false">
      <c r="A805" s="66" t="s">
        <v>452</v>
      </c>
      <c r="B805" s="66" t="s">
        <v>186</v>
      </c>
      <c r="C805" s="66" t="n">
        <v>0.2</v>
      </c>
      <c r="D805" s="67" t="str">
        <f aca="false">IFERROR(INDEX(المكونات!$B$2:$B$500,MATCH($B805,المكونات!$A$2:$A$500,0)),"")</f>
        <v>كجم</v>
      </c>
      <c r="E805" s="68" t="n">
        <f aca="false">IFERROR(INDEX(المكونات!$C$2:$C$500,MATCH($B805,المكونات!$A$2:$A$500,0)),"")</f>
        <v>41</v>
      </c>
      <c r="F805" s="69" t="n">
        <f aca="false">IFERROR($C805*$E805,"")</f>
        <v>8.2</v>
      </c>
    </row>
    <row r="806" customFormat="false" ht="15" hidden="false" customHeight="true" outlineLevel="0" collapsed="false">
      <c r="A806" s="66" t="s">
        <v>452</v>
      </c>
      <c r="B806" s="66" t="s">
        <v>298</v>
      </c>
      <c r="C806" s="66" t="n">
        <v>0.05</v>
      </c>
      <c r="D806" s="67" t="str">
        <f aca="false">IFERROR(INDEX(المكونات!$B$2:$B$500,MATCH($B806,المكونات!$A$2:$A$500,0)),"")</f>
        <v>لتر</v>
      </c>
      <c r="E806" s="68" t="n">
        <f aca="false">IFERROR(INDEX(المكونات!$C$2:$C$500,MATCH($B806,المكونات!$A$2:$A$500,0)),"")</f>
        <v>20.6667</v>
      </c>
      <c r="F806" s="69" t="n">
        <f aca="false">IFERROR($C806*$E806,"")</f>
        <v>1.033335</v>
      </c>
    </row>
    <row r="807" customFormat="false" ht="15" hidden="false" customHeight="true" outlineLevel="0" collapsed="false">
      <c r="A807" s="66" t="s">
        <v>452</v>
      </c>
      <c r="B807" s="66" t="s">
        <v>220</v>
      </c>
      <c r="C807" s="66" t="n">
        <v>0.01</v>
      </c>
      <c r="D807" s="67" t="str">
        <f aca="false">IFERROR(INDEX(المكونات!$B$2:$B$500,MATCH($B807,المكونات!$A$2:$A$500,0)),"")</f>
        <v>كجم</v>
      </c>
      <c r="E807" s="68" t="n">
        <f aca="false">IFERROR(INDEX(المكونات!$C$2:$C$500,MATCH($B807,المكونات!$A$2:$A$500,0)),"")</f>
        <v>120</v>
      </c>
      <c r="F807" s="69" t="n">
        <f aca="false">IFERROR($C807*$E807,"")</f>
        <v>1.2</v>
      </c>
    </row>
    <row r="808" customFormat="false" ht="15" hidden="false" customHeight="true" outlineLevel="0" collapsed="false">
      <c r="A808" s="66" t="s">
        <v>452</v>
      </c>
      <c r="B808" s="66" t="s">
        <v>172</v>
      </c>
      <c r="C808" s="66" t="n">
        <v>1</v>
      </c>
      <c r="D808" s="67" t="str">
        <f aca="false">IFERROR(INDEX(المكونات!$B$2:$B$500,MATCH($B808,المكونات!$A$2:$A$500,0)),"")</f>
        <v>قطعة</v>
      </c>
      <c r="E808" s="68" t="n">
        <f aca="false">IFERROR(INDEX(المكونات!$C$2:$C$500,MATCH($B808,المكونات!$A$2:$A$500,0)),"")</f>
        <v>20</v>
      </c>
      <c r="F808" s="69" t="n">
        <f aca="false">IFERROR($C808*$E808,"")</f>
        <v>20</v>
      </c>
    </row>
    <row r="809" customFormat="false" ht="15" hidden="false" customHeight="true" outlineLevel="0" collapsed="false">
      <c r="A809" s="66" t="s">
        <v>452</v>
      </c>
      <c r="B809" s="66" t="s">
        <v>162</v>
      </c>
      <c r="C809" s="66" t="n">
        <v>1</v>
      </c>
      <c r="D809" s="67" t="str">
        <f aca="false">IFERROR(INDEX(المكونات!$B$2:$B$500,MATCH($B809,المكونات!$A$2:$A$500,0)),"")</f>
        <v>قطعة</v>
      </c>
      <c r="E809" s="68" t="n">
        <f aca="false">IFERROR(INDEX(المكونات!$C$2:$C$500,MATCH($B809,المكونات!$A$2:$A$500,0)),"")</f>
        <v>30</v>
      </c>
      <c r="F809" s="69" t="n">
        <f aca="false">IFERROR($C809*$E809,"")</f>
        <v>30</v>
      </c>
    </row>
    <row r="810" customFormat="false" ht="15" hidden="false" customHeight="true" outlineLevel="0" collapsed="false">
      <c r="A810" s="66" t="s">
        <v>452</v>
      </c>
      <c r="B810" s="66" t="s">
        <v>256</v>
      </c>
      <c r="C810" s="66" t="n">
        <v>0.1</v>
      </c>
      <c r="D810" s="67" t="str">
        <f aca="false">IFERROR(INDEX(المكونات!$B$2:$B$500,MATCH($B810,المكونات!$A$2:$A$500,0)),"")</f>
        <v>كجم</v>
      </c>
      <c r="E810" s="68" t="n">
        <f aca="false">IFERROR(INDEX(المكونات!$C$2:$C$500,MATCH($B810,المكونات!$A$2:$A$500,0)),"")</f>
        <v>105</v>
      </c>
      <c r="F810" s="69" t="n">
        <f aca="false">IFERROR($C810*$E810,"")</f>
        <v>10.5</v>
      </c>
    </row>
    <row r="811" customFormat="false" ht="15" hidden="false" customHeight="true" outlineLevel="0" collapsed="false">
      <c r="A811" s="66" t="s">
        <v>452</v>
      </c>
      <c r="B811" s="66" t="s">
        <v>328</v>
      </c>
      <c r="C811" s="66" t="n">
        <v>1</v>
      </c>
      <c r="D811" s="67" t="str">
        <f aca="false">IFERROR(INDEX(المكونات!$B$2:$B$500,MATCH($B811,المكونات!$A$2:$A$500,0)),"")</f>
        <v>قطعة</v>
      </c>
      <c r="E811" s="68" t="n">
        <f aca="false">IFERROR(INDEX(المكونات!$C$2:$C$500,MATCH($B811,المكونات!$A$2:$A$500,0)),"")</f>
        <v>4.47</v>
      </c>
      <c r="F811" s="69" t="n">
        <f aca="false">IFERROR($C811*$E811,"")</f>
        <v>4.47</v>
      </c>
    </row>
    <row r="812" customFormat="false" ht="15" hidden="false" customHeight="true" outlineLevel="0" collapsed="false">
      <c r="A812" s="66" t="s">
        <v>452</v>
      </c>
      <c r="B812" s="66" t="s">
        <v>122</v>
      </c>
      <c r="C812" s="66" t="n">
        <v>1</v>
      </c>
      <c r="D812" s="67" t="str">
        <f aca="false">IFERROR(INDEX(المكونات!$B$2:$B$500,MATCH($B812,المكونات!$A$2:$A$500,0)),"")</f>
        <v>قطعة</v>
      </c>
      <c r="E812" s="68" t="n">
        <f aca="false">IFERROR(INDEX(المكونات!$C$2:$C$500,MATCH($B812,المكونات!$A$2:$A$500,0)),"")</f>
        <v>3.3</v>
      </c>
      <c r="F812" s="69" t="n">
        <f aca="false">IFERROR($C812*$E812,"")</f>
        <v>3.3</v>
      </c>
    </row>
    <row r="813" customFormat="false" ht="15" hidden="false" customHeight="true" outlineLevel="0" collapsed="false">
      <c r="A813" s="66" t="s">
        <v>452</v>
      </c>
      <c r="B813" s="66" t="s">
        <v>243</v>
      </c>
      <c r="C813" s="66" t="n">
        <v>1</v>
      </c>
      <c r="D813" s="67" t="str">
        <f aca="false">IFERROR(INDEX(المكونات!$B$2:$B$500,MATCH($B813,المكونات!$A$2:$A$500,0)),"")</f>
        <v>قطعة</v>
      </c>
      <c r="E813" s="68" t="n">
        <f aca="false">IFERROR(INDEX(المكونات!$C$2:$C$500,MATCH($B813,المكونات!$A$2:$A$500,0)),"")</f>
        <v>0.3</v>
      </c>
      <c r="F813" s="69" t="n">
        <f aca="false">IFERROR($C813*$E813,"")</f>
        <v>0.3</v>
      </c>
    </row>
    <row r="814" customFormat="false" ht="15" hidden="false" customHeight="true" outlineLevel="0" collapsed="false">
      <c r="A814" s="66" t="s">
        <v>452</v>
      </c>
      <c r="B814" s="66" t="s">
        <v>290</v>
      </c>
      <c r="C814" s="66" t="n">
        <v>2</v>
      </c>
      <c r="D814" s="67" t="str">
        <f aca="false">IFERROR(INDEX(المكونات!$B$2:$B$500,MATCH($B814,المكونات!$A$2:$A$500,0)),"")</f>
        <v>قطعة</v>
      </c>
      <c r="E814" s="68" t="n">
        <f aca="false">IFERROR(INDEX(المكونات!$C$2:$C$500,MATCH($B814,المكونات!$A$2:$A$500,0)),"")</f>
        <v>0.3</v>
      </c>
      <c r="F814" s="69" t="n">
        <f aca="false">IFERROR($C814*$E814,"")</f>
        <v>0.6</v>
      </c>
    </row>
    <row r="815" customFormat="false" ht="15" hidden="false" customHeight="true" outlineLevel="0" collapsed="false">
      <c r="A815" s="66" t="s">
        <v>452</v>
      </c>
      <c r="B815" s="66" t="s">
        <v>211</v>
      </c>
      <c r="C815" s="66" t="n">
        <v>2</v>
      </c>
      <c r="D815" s="67" t="str">
        <f aca="false">IFERROR(INDEX(المكونات!$B$2:$B$500,MATCH($B815,المكونات!$A$2:$A$500,0)),"")</f>
        <v>قطعة (جلفز)</v>
      </c>
      <c r="E815" s="68" t="n">
        <f aca="false">IFERROR(INDEX(المكونات!$C$2:$C$500,MATCH($B815,المكونات!$A$2:$A$500,0)),"")</f>
        <v>0.18</v>
      </c>
      <c r="F815" s="69" t="n">
        <f aca="false">IFERROR($C815*$E815,"")</f>
        <v>0.36</v>
      </c>
    </row>
    <row r="816" customFormat="false" ht="15" hidden="false" customHeight="true" outlineLevel="0" collapsed="false">
      <c r="A816" s="66" t="s">
        <v>452</v>
      </c>
      <c r="B816" s="66" t="s">
        <v>136</v>
      </c>
      <c r="C816" s="66" t="n">
        <v>1</v>
      </c>
      <c r="D816" s="67" t="str">
        <f aca="false">IFERROR(INDEX(المكونات!$B$2:$B$500,MATCH($B816,المكونات!$A$2:$A$500,0)),"")</f>
        <v>قطعة (كيس)</v>
      </c>
      <c r="E816" s="68" t="n">
        <f aca="false">IFERROR(INDEX(المكونات!$C$2:$C$500,MATCH($B816,المكونات!$A$2:$A$500,0)),"")</f>
        <v>1.4</v>
      </c>
      <c r="F816" s="69" t="n">
        <f aca="false">IFERROR($C816*$E816,"")</f>
        <v>1.4</v>
      </c>
    </row>
    <row r="817" customFormat="false" ht="15" hidden="false" customHeight="true" outlineLevel="0" collapsed="false">
      <c r="A817" s="66" t="s">
        <v>505</v>
      </c>
      <c r="B817" s="66" t="s">
        <v>309</v>
      </c>
      <c r="C817" s="66" t="n">
        <v>0.15</v>
      </c>
      <c r="D817" s="67" t="str">
        <f aca="false">IFERROR(INDEX(المكونات!$B$2:$B$500,MATCH($B817,المكونات!$A$2:$A$500,0)),"")</f>
        <v>كجم</v>
      </c>
      <c r="E817" s="68" t="n">
        <f aca="false">IFERROR(INDEX(المكونات!$C$2:$C$500,MATCH($B817,المكونات!$A$2:$A$500,0)),"")</f>
        <v>24</v>
      </c>
      <c r="F817" s="69" t="n">
        <f aca="false">IFERROR($C817*$E817,"")</f>
        <v>3.6</v>
      </c>
    </row>
    <row r="818" customFormat="false" ht="15" hidden="false" customHeight="true" outlineLevel="0" collapsed="false">
      <c r="A818" s="66" t="s">
        <v>505</v>
      </c>
      <c r="B818" s="66" t="s">
        <v>186</v>
      </c>
      <c r="C818" s="66" t="n">
        <v>0.2</v>
      </c>
      <c r="D818" s="67" t="str">
        <f aca="false">IFERROR(INDEX(المكونات!$B$2:$B$500,MATCH($B818,المكونات!$A$2:$A$500,0)),"")</f>
        <v>كجم</v>
      </c>
      <c r="E818" s="68" t="n">
        <f aca="false">IFERROR(INDEX(المكونات!$C$2:$C$500,MATCH($B818,المكونات!$A$2:$A$500,0)),"")</f>
        <v>41</v>
      </c>
      <c r="F818" s="69" t="n">
        <f aca="false">IFERROR($C818*$E818,"")</f>
        <v>8.2</v>
      </c>
    </row>
    <row r="819" customFormat="false" ht="15" hidden="false" customHeight="true" outlineLevel="0" collapsed="false">
      <c r="A819" s="66" t="s">
        <v>505</v>
      </c>
      <c r="B819" s="66" t="s">
        <v>298</v>
      </c>
      <c r="C819" s="66" t="n">
        <v>0.05</v>
      </c>
      <c r="D819" s="67" t="str">
        <f aca="false">IFERROR(INDEX(المكونات!$B$2:$B$500,MATCH($B819,المكونات!$A$2:$A$500,0)),"")</f>
        <v>لتر</v>
      </c>
      <c r="E819" s="68" t="n">
        <f aca="false">IFERROR(INDEX(المكونات!$C$2:$C$500,MATCH($B819,المكونات!$A$2:$A$500,0)),"")</f>
        <v>20.6667</v>
      </c>
      <c r="F819" s="69" t="n">
        <f aca="false">IFERROR($C819*$E819,"")</f>
        <v>1.033335</v>
      </c>
    </row>
    <row r="820" customFormat="false" ht="15" hidden="false" customHeight="true" outlineLevel="0" collapsed="false">
      <c r="A820" s="66" t="s">
        <v>505</v>
      </c>
      <c r="B820" s="66" t="s">
        <v>220</v>
      </c>
      <c r="C820" s="66" t="n">
        <v>0.01</v>
      </c>
      <c r="D820" s="67" t="str">
        <f aca="false">IFERROR(INDEX(المكونات!$B$2:$B$500,MATCH($B820,المكونات!$A$2:$A$500,0)),"")</f>
        <v>كجم</v>
      </c>
      <c r="E820" s="68" t="n">
        <f aca="false">IFERROR(INDEX(المكونات!$C$2:$C$500,MATCH($B820,المكونات!$A$2:$A$500,0)),"")</f>
        <v>120</v>
      </c>
      <c r="F820" s="69" t="n">
        <f aca="false">IFERROR($C820*$E820,"")</f>
        <v>1.2</v>
      </c>
    </row>
    <row r="821" customFormat="false" ht="15" hidden="false" customHeight="true" outlineLevel="0" collapsed="false">
      <c r="A821" s="66" t="s">
        <v>505</v>
      </c>
      <c r="B821" s="66" t="s">
        <v>172</v>
      </c>
      <c r="C821" s="66" t="n">
        <v>1</v>
      </c>
      <c r="D821" s="67" t="str">
        <f aca="false">IFERROR(INDEX(المكونات!$B$2:$B$500,MATCH($B821,المكونات!$A$2:$A$500,0)),"")</f>
        <v>قطعة</v>
      </c>
      <c r="E821" s="68" t="n">
        <f aca="false">IFERROR(INDEX(المكونات!$C$2:$C$500,MATCH($B821,المكونات!$A$2:$A$500,0)),"")</f>
        <v>20</v>
      </c>
      <c r="F821" s="69" t="n">
        <f aca="false">IFERROR($C821*$E821,"")</f>
        <v>20</v>
      </c>
    </row>
    <row r="822" customFormat="false" ht="15" hidden="false" customHeight="true" outlineLevel="0" collapsed="false">
      <c r="A822" s="66" t="s">
        <v>505</v>
      </c>
      <c r="B822" s="66" t="s">
        <v>150</v>
      </c>
      <c r="C822" s="66" t="n">
        <v>1</v>
      </c>
      <c r="D822" s="67" t="str">
        <f aca="false">IFERROR(INDEX(المكونات!$B$2:$B$500,MATCH($B822,المكونات!$A$2:$A$500,0)),"")</f>
        <v>قطعة</v>
      </c>
      <c r="E822" s="68" t="n">
        <f aca="false">IFERROR(INDEX(المكونات!$C$2:$C$500,MATCH($B822,المكونات!$A$2:$A$500,0)),"")</f>
        <v>95</v>
      </c>
      <c r="F822" s="69" t="n">
        <f aca="false">IFERROR($C822*$E822,"")</f>
        <v>95</v>
      </c>
    </row>
    <row r="823" customFormat="false" ht="15" hidden="false" customHeight="true" outlineLevel="0" collapsed="false">
      <c r="A823" s="66" t="s">
        <v>505</v>
      </c>
      <c r="B823" s="66" t="s">
        <v>328</v>
      </c>
      <c r="C823" s="66" t="n">
        <v>1</v>
      </c>
      <c r="D823" s="67" t="str">
        <f aca="false">IFERROR(INDEX(المكونات!$B$2:$B$500,MATCH($B823,المكونات!$A$2:$A$500,0)),"")</f>
        <v>قطعة</v>
      </c>
      <c r="E823" s="68" t="n">
        <f aca="false">IFERROR(INDEX(المكونات!$C$2:$C$500,MATCH($B823,المكونات!$A$2:$A$500,0)),"")</f>
        <v>4.47</v>
      </c>
      <c r="F823" s="69" t="n">
        <f aca="false">IFERROR($C823*$E823,"")</f>
        <v>4.47</v>
      </c>
    </row>
    <row r="824" customFormat="false" ht="15" hidden="false" customHeight="true" outlineLevel="0" collapsed="false">
      <c r="A824" s="66" t="s">
        <v>505</v>
      </c>
      <c r="B824" s="66" t="s">
        <v>122</v>
      </c>
      <c r="C824" s="66" t="n">
        <v>1</v>
      </c>
      <c r="D824" s="67" t="str">
        <f aca="false">IFERROR(INDEX(المكونات!$B$2:$B$500,MATCH($B824,المكونات!$A$2:$A$500,0)),"")</f>
        <v>قطعة</v>
      </c>
      <c r="E824" s="68" t="n">
        <f aca="false">IFERROR(INDEX(المكونات!$C$2:$C$500,MATCH($B824,المكونات!$A$2:$A$500,0)),"")</f>
        <v>3.3</v>
      </c>
      <c r="F824" s="69" t="n">
        <f aca="false">IFERROR($C824*$E824,"")</f>
        <v>3.3</v>
      </c>
    </row>
    <row r="825" customFormat="false" ht="15" hidden="false" customHeight="true" outlineLevel="0" collapsed="false">
      <c r="A825" s="66" t="s">
        <v>505</v>
      </c>
      <c r="B825" s="66" t="s">
        <v>243</v>
      </c>
      <c r="C825" s="66" t="n">
        <v>1</v>
      </c>
      <c r="D825" s="67" t="str">
        <f aca="false">IFERROR(INDEX(المكونات!$B$2:$B$500,MATCH($B825,المكونات!$A$2:$A$500,0)),"")</f>
        <v>قطعة</v>
      </c>
      <c r="E825" s="68" t="n">
        <f aca="false">IFERROR(INDEX(المكونات!$C$2:$C$500,MATCH($B825,المكونات!$A$2:$A$500,0)),"")</f>
        <v>0.3</v>
      </c>
      <c r="F825" s="69" t="n">
        <f aca="false">IFERROR($C825*$E825,"")</f>
        <v>0.3</v>
      </c>
    </row>
    <row r="826" customFormat="false" ht="15" hidden="false" customHeight="true" outlineLevel="0" collapsed="false">
      <c r="A826" s="66" t="s">
        <v>505</v>
      </c>
      <c r="B826" s="66" t="s">
        <v>290</v>
      </c>
      <c r="C826" s="66" t="n">
        <v>2</v>
      </c>
      <c r="D826" s="67" t="str">
        <f aca="false">IFERROR(INDEX(المكونات!$B$2:$B$500,MATCH($B826,المكونات!$A$2:$A$500,0)),"")</f>
        <v>قطعة</v>
      </c>
      <c r="E826" s="68" t="n">
        <f aca="false">IFERROR(INDEX(المكونات!$C$2:$C$500,MATCH($B826,المكونات!$A$2:$A$500,0)),"")</f>
        <v>0.3</v>
      </c>
      <c r="F826" s="69" t="n">
        <f aca="false">IFERROR($C826*$E826,"")</f>
        <v>0.6</v>
      </c>
    </row>
    <row r="827" customFormat="false" ht="15" hidden="false" customHeight="true" outlineLevel="0" collapsed="false">
      <c r="A827" s="66" t="s">
        <v>505</v>
      </c>
      <c r="B827" s="66" t="s">
        <v>211</v>
      </c>
      <c r="C827" s="66" t="n">
        <v>2</v>
      </c>
      <c r="D827" s="67" t="str">
        <f aca="false">IFERROR(INDEX(المكونات!$B$2:$B$500,MATCH($B827,المكونات!$A$2:$A$500,0)),"")</f>
        <v>قطعة (جلفز)</v>
      </c>
      <c r="E827" s="68" t="n">
        <f aca="false">IFERROR(INDEX(المكونات!$C$2:$C$500,MATCH($B827,المكونات!$A$2:$A$500,0)),"")</f>
        <v>0.18</v>
      </c>
      <c r="F827" s="69" t="n">
        <f aca="false">IFERROR($C827*$E827,"")</f>
        <v>0.36</v>
      </c>
    </row>
    <row r="828" customFormat="false" ht="15" hidden="false" customHeight="true" outlineLevel="0" collapsed="false">
      <c r="A828" s="66" t="s">
        <v>505</v>
      </c>
      <c r="B828" s="66" t="s">
        <v>136</v>
      </c>
      <c r="C828" s="66" t="n">
        <v>1</v>
      </c>
      <c r="D828" s="67" t="str">
        <f aca="false">IFERROR(INDEX(المكونات!$B$2:$B$500,MATCH($B828,المكونات!$A$2:$A$500,0)),"")</f>
        <v>قطعة (كيس)</v>
      </c>
      <c r="E828" s="68" t="n">
        <f aca="false">IFERROR(INDEX(المكونات!$C$2:$C$500,MATCH($B828,المكونات!$A$2:$A$500,0)),"")</f>
        <v>1.4</v>
      </c>
      <c r="F828" s="69" t="n">
        <f aca="false">IFERROR($C828*$E828,"")</f>
        <v>1.4</v>
      </c>
    </row>
    <row r="829" customFormat="false" ht="15" hidden="false" customHeight="true" outlineLevel="0" collapsed="false">
      <c r="A829" s="66" t="s">
        <v>529</v>
      </c>
      <c r="B829" s="66" t="s">
        <v>309</v>
      </c>
      <c r="C829" s="66" t="n">
        <v>0.15</v>
      </c>
      <c r="D829" s="67" t="str">
        <f aca="false">IFERROR(INDEX(المكونات!$B$2:$B$500,MATCH($B829,المكونات!$A$2:$A$500,0)),"")</f>
        <v>كجم</v>
      </c>
      <c r="E829" s="68" t="n">
        <f aca="false">IFERROR(INDEX(المكونات!$C$2:$C$500,MATCH($B829,المكونات!$A$2:$A$500,0)),"")</f>
        <v>24</v>
      </c>
      <c r="F829" s="69" t="n">
        <f aca="false">IFERROR($C829*$E829,"")</f>
        <v>3.6</v>
      </c>
    </row>
    <row r="830" customFormat="false" ht="15" hidden="false" customHeight="true" outlineLevel="0" collapsed="false">
      <c r="A830" s="66" t="s">
        <v>529</v>
      </c>
      <c r="B830" s="66" t="s">
        <v>186</v>
      </c>
      <c r="C830" s="66" t="n">
        <v>0.2</v>
      </c>
      <c r="D830" s="67" t="str">
        <f aca="false">IFERROR(INDEX(المكونات!$B$2:$B$500,MATCH($B830,المكونات!$A$2:$A$500,0)),"")</f>
        <v>كجم</v>
      </c>
      <c r="E830" s="68" t="n">
        <f aca="false">IFERROR(INDEX(المكونات!$C$2:$C$500,MATCH($B830,المكونات!$A$2:$A$500,0)),"")</f>
        <v>41</v>
      </c>
      <c r="F830" s="69" t="n">
        <f aca="false">IFERROR($C830*$E830,"")</f>
        <v>8.2</v>
      </c>
    </row>
    <row r="831" customFormat="false" ht="15" hidden="false" customHeight="true" outlineLevel="0" collapsed="false">
      <c r="A831" s="66" t="s">
        <v>529</v>
      </c>
      <c r="B831" s="66" t="s">
        <v>298</v>
      </c>
      <c r="C831" s="66" t="n">
        <v>0.05</v>
      </c>
      <c r="D831" s="67" t="str">
        <f aca="false">IFERROR(INDEX(المكونات!$B$2:$B$500,MATCH($B831,المكونات!$A$2:$A$500,0)),"")</f>
        <v>لتر</v>
      </c>
      <c r="E831" s="68" t="n">
        <f aca="false">IFERROR(INDEX(المكونات!$C$2:$C$500,MATCH($B831,المكونات!$A$2:$A$500,0)),"")</f>
        <v>20.6667</v>
      </c>
      <c r="F831" s="69" t="n">
        <f aca="false">IFERROR($C831*$E831,"")</f>
        <v>1.033335</v>
      </c>
    </row>
    <row r="832" customFormat="false" ht="15" hidden="false" customHeight="true" outlineLevel="0" collapsed="false">
      <c r="A832" s="66" t="s">
        <v>529</v>
      </c>
      <c r="B832" s="66" t="s">
        <v>220</v>
      </c>
      <c r="C832" s="66" t="n">
        <v>0.01</v>
      </c>
      <c r="D832" s="67" t="str">
        <f aca="false">IFERROR(INDEX(المكونات!$B$2:$B$500,MATCH($B832,المكونات!$A$2:$A$500,0)),"")</f>
        <v>كجم</v>
      </c>
      <c r="E832" s="68" t="n">
        <f aca="false">IFERROR(INDEX(المكونات!$C$2:$C$500,MATCH($B832,المكونات!$A$2:$A$500,0)),"")</f>
        <v>120</v>
      </c>
      <c r="F832" s="69" t="n">
        <f aca="false">IFERROR($C832*$E832,"")</f>
        <v>1.2</v>
      </c>
    </row>
    <row r="833" customFormat="false" ht="15" hidden="false" customHeight="true" outlineLevel="0" collapsed="false">
      <c r="A833" s="66" t="s">
        <v>529</v>
      </c>
      <c r="B833" s="66" t="s">
        <v>172</v>
      </c>
      <c r="C833" s="66" t="n">
        <v>1</v>
      </c>
      <c r="D833" s="67" t="str">
        <f aca="false">IFERROR(INDEX(المكونات!$B$2:$B$500,MATCH($B833,المكونات!$A$2:$A$500,0)),"")</f>
        <v>قطعة</v>
      </c>
      <c r="E833" s="68" t="n">
        <f aca="false">IFERROR(INDEX(المكونات!$C$2:$C$500,MATCH($B833,المكونات!$A$2:$A$500,0)),"")</f>
        <v>20</v>
      </c>
      <c r="F833" s="69" t="n">
        <f aca="false">IFERROR($C833*$E833,"")</f>
        <v>20</v>
      </c>
    </row>
    <row r="834" customFormat="false" ht="15" hidden="false" customHeight="true" outlineLevel="0" collapsed="false">
      <c r="A834" s="66" t="s">
        <v>529</v>
      </c>
      <c r="B834" s="66" t="s">
        <v>152</v>
      </c>
      <c r="C834" s="66" t="n">
        <v>1</v>
      </c>
      <c r="D834" s="67" t="str">
        <f aca="false">IFERROR(INDEX(المكونات!$B$2:$B$500,MATCH($B834,المكونات!$A$2:$A$500,0)),"")</f>
        <v>قطعة</v>
      </c>
      <c r="E834" s="68" t="n">
        <f aca="false">IFERROR(INDEX(المكونات!$C$2:$C$500,MATCH($B834,المكونات!$A$2:$A$500,0)),"")</f>
        <v>34</v>
      </c>
      <c r="F834" s="69" t="n">
        <f aca="false">IFERROR($C834*$E834,"")</f>
        <v>34</v>
      </c>
    </row>
    <row r="835" customFormat="false" ht="15" hidden="false" customHeight="true" outlineLevel="0" collapsed="false">
      <c r="A835" s="66" t="s">
        <v>529</v>
      </c>
      <c r="B835" s="66" t="s">
        <v>328</v>
      </c>
      <c r="C835" s="66" t="n">
        <v>1</v>
      </c>
      <c r="D835" s="67" t="str">
        <f aca="false">IFERROR(INDEX(المكونات!$B$2:$B$500,MATCH($B835,المكونات!$A$2:$A$500,0)),"")</f>
        <v>قطعة</v>
      </c>
      <c r="E835" s="68" t="n">
        <f aca="false">IFERROR(INDEX(المكونات!$C$2:$C$500,MATCH($B835,المكونات!$A$2:$A$500,0)),"")</f>
        <v>4.47</v>
      </c>
      <c r="F835" s="69" t="n">
        <f aca="false">IFERROR($C835*$E835,"")</f>
        <v>4.47</v>
      </c>
    </row>
    <row r="836" customFormat="false" ht="15" hidden="false" customHeight="true" outlineLevel="0" collapsed="false">
      <c r="A836" s="66" t="s">
        <v>529</v>
      </c>
      <c r="B836" s="66" t="s">
        <v>122</v>
      </c>
      <c r="C836" s="66" t="n">
        <v>1</v>
      </c>
      <c r="D836" s="67" t="str">
        <f aca="false">IFERROR(INDEX(المكونات!$B$2:$B$500,MATCH($B836,المكونات!$A$2:$A$500,0)),"")</f>
        <v>قطعة</v>
      </c>
      <c r="E836" s="68" t="n">
        <f aca="false">IFERROR(INDEX(المكونات!$C$2:$C$500,MATCH($B836,المكونات!$A$2:$A$500,0)),"")</f>
        <v>3.3</v>
      </c>
      <c r="F836" s="69" t="n">
        <f aca="false">IFERROR($C836*$E836,"")</f>
        <v>3.3</v>
      </c>
    </row>
    <row r="837" customFormat="false" ht="15" hidden="false" customHeight="true" outlineLevel="0" collapsed="false">
      <c r="A837" s="66" t="s">
        <v>529</v>
      </c>
      <c r="B837" s="66" t="s">
        <v>243</v>
      </c>
      <c r="C837" s="66" t="n">
        <v>1</v>
      </c>
      <c r="D837" s="67" t="str">
        <f aca="false">IFERROR(INDEX(المكونات!$B$2:$B$500,MATCH($B837,المكونات!$A$2:$A$500,0)),"")</f>
        <v>قطعة</v>
      </c>
      <c r="E837" s="68" t="n">
        <f aca="false">IFERROR(INDEX(المكونات!$C$2:$C$500,MATCH($B837,المكونات!$A$2:$A$500,0)),"")</f>
        <v>0.3</v>
      </c>
      <c r="F837" s="69" t="n">
        <f aca="false">IFERROR($C837*$E837,"")</f>
        <v>0.3</v>
      </c>
    </row>
    <row r="838" customFormat="false" ht="15" hidden="false" customHeight="true" outlineLevel="0" collapsed="false">
      <c r="A838" s="66" t="s">
        <v>529</v>
      </c>
      <c r="B838" s="66" t="s">
        <v>290</v>
      </c>
      <c r="C838" s="66" t="n">
        <v>2</v>
      </c>
      <c r="D838" s="67" t="str">
        <f aca="false">IFERROR(INDEX(المكونات!$B$2:$B$500,MATCH($B838,المكونات!$A$2:$A$500,0)),"")</f>
        <v>قطعة</v>
      </c>
      <c r="E838" s="68" t="n">
        <f aca="false">IFERROR(INDEX(المكونات!$C$2:$C$500,MATCH($B838,المكونات!$A$2:$A$500,0)),"")</f>
        <v>0.3</v>
      </c>
      <c r="F838" s="69" t="n">
        <f aca="false">IFERROR($C838*$E838,"")</f>
        <v>0.6</v>
      </c>
    </row>
    <row r="839" customFormat="false" ht="15" hidden="false" customHeight="true" outlineLevel="0" collapsed="false">
      <c r="A839" s="66" t="s">
        <v>529</v>
      </c>
      <c r="B839" s="66" t="s">
        <v>211</v>
      </c>
      <c r="C839" s="66" t="n">
        <v>2</v>
      </c>
      <c r="D839" s="67" t="str">
        <f aca="false">IFERROR(INDEX(المكونات!$B$2:$B$500,MATCH($B839,المكونات!$A$2:$A$500,0)),"")</f>
        <v>قطعة (جلفز)</v>
      </c>
      <c r="E839" s="68" t="n">
        <f aca="false">IFERROR(INDEX(المكونات!$C$2:$C$500,MATCH($B839,المكونات!$A$2:$A$500,0)),"")</f>
        <v>0.18</v>
      </c>
      <c r="F839" s="69" t="n">
        <f aca="false">IFERROR($C839*$E839,"")</f>
        <v>0.36</v>
      </c>
    </row>
    <row r="840" customFormat="false" ht="15" hidden="false" customHeight="true" outlineLevel="0" collapsed="false">
      <c r="A840" s="66" t="s">
        <v>529</v>
      </c>
      <c r="B840" s="66" t="s">
        <v>136</v>
      </c>
      <c r="C840" s="66" t="n">
        <v>1</v>
      </c>
      <c r="D840" s="67" t="str">
        <f aca="false">IFERROR(INDEX(المكونات!$B$2:$B$500,MATCH($B840,المكونات!$A$2:$A$500,0)),"")</f>
        <v>قطعة (كيس)</v>
      </c>
      <c r="E840" s="68" t="n">
        <f aca="false">IFERROR(INDEX(المكونات!$C$2:$C$500,MATCH($B840,المكونات!$A$2:$A$500,0)),"")</f>
        <v>1.4</v>
      </c>
      <c r="F840" s="69" t="n">
        <f aca="false">IFERROR($C840*$E840,"")</f>
        <v>1.4</v>
      </c>
    </row>
    <row r="841" customFormat="false" ht="15" hidden="false" customHeight="true" outlineLevel="0" collapsed="false">
      <c r="A841" s="66" t="s">
        <v>455</v>
      </c>
      <c r="B841" s="66" t="s">
        <v>309</v>
      </c>
      <c r="C841" s="66" t="n">
        <v>0.15</v>
      </c>
      <c r="D841" s="67" t="str">
        <f aca="false">IFERROR(INDEX(المكونات!$B$2:$B$500,MATCH($B841,المكونات!$A$2:$A$500,0)),"")</f>
        <v>كجم</v>
      </c>
      <c r="E841" s="68" t="n">
        <f aca="false">IFERROR(INDEX(المكونات!$C$2:$C$500,MATCH($B841,المكونات!$A$2:$A$500,0)),"")</f>
        <v>24</v>
      </c>
      <c r="F841" s="69" t="n">
        <f aca="false">IFERROR($C841*$E841,"")</f>
        <v>3.6</v>
      </c>
    </row>
    <row r="842" customFormat="false" ht="15" hidden="false" customHeight="true" outlineLevel="0" collapsed="false">
      <c r="A842" s="66" t="s">
        <v>455</v>
      </c>
      <c r="B842" s="66" t="s">
        <v>186</v>
      </c>
      <c r="C842" s="66" t="n">
        <v>0.2</v>
      </c>
      <c r="D842" s="67" t="str">
        <f aca="false">IFERROR(INDEX(المكونات!$B$2:$B$500,MATCH($B842,المكونات!$A$2:$A$500,0)),"")</f>
        <v>كجم</v>
      </c>
      <c r="E842" s="68" t="n">
        <f aca="false">IFERROR(INDEX(المكونات!$C$2:$C$500,MATCH($B842,المكونات!$A$2:$A$500,0)),"")</f>
        <v>41</v>
      </c>
      <c r="F842" s="69" t="n">
        <f aca="false">IFERROR($C842*$E842,"")</f>
        <v>8.2</v>
      </c>
    </row>
    <row r="843" customFormat="false" ht="15" hidden="false" customHeight="true" outlineLevel="0" collapsed="false">
      <c r="A843" s="66" t="s">
        <v>455</v>
      </c>
      <c r="B843" s="66" t="s">
        <v>298</v>
      </c>
      <c r="C843" s="66" t="n">
        <v>0.05</v>
      </c>
      <c r="D843" s="67" t="str">
        <f aca="false">IFERROR(INDEX(المكونات!$B$2:$B$500,MATCH($B843,المكونات!$A$2:$A$500,0)),"")</f>
        <v>لتر</v>
      </c>
      <c r="E843" s="68" t="n">
        <f aca="false">IFERROR(INDEX(المكونات!$C$2:$C$500,MATCH($B843,المكونات!$A$2:$A$500,0)),"")</f>
        <v>20.6667</v>
      </c>
      <c r="F843" s="69" t="n">
        <f aca="false">IFERROR($C843*$E843,"")</f>
        <v>1.033335</v>
      </c>
    </row>
    <row r="844" customFormat="false" ht="15" hidden="false" customHeight="true" outlineLevel="0" collapsed="false">
      <c r="A844" s="66" t="s">
        <v>455</v>
      </c>
      <c r="B844" s="66" t="s">
        <v>220</v>
      </c>
      <c r="C844" s="66" t="n">
        <v>0.01</v>
      </c>
      <c r="D844" s="67" t="str">
        <f aca="false">IFERROR(INDEX(المكونات!$B$2:$B$500,MATCH($B844,المكونات!$A$2:$A$500,0)),"")</f>
        <v>كجم</v>
      </c>
      <c r="E844" s="68" t="n">
        <f aca="false">IFERROR(INDEX(المكونات!$C$2:$C$500,MATCH($B844,المكونات!$A$2:$A$500,0)),"")</f>
        <v>120</v>
      </c>
      <c r="F844" s="69" t="n">
        <f aca="false">IFERROR($C844*$E844,"")</f>
        <v>1.2</v>
      </c>
    </row>
    <row r="845" customFormat="false" ht="15" hidden="false" customHeight="true" outlineLevel="0" collapsed="false">
      <c r="A845" s="66" t="s">
        <v>455</v>
      </c>
      <c r="B845" s="66" t="s">
        <v>172</v>
      </c>
      <c r="C845" s="66" t="n">
        <v>1</v>
      </c>
      <c r="D845" s="67" t="str">
        <f aca="false">IFERROR(INDEX(المكونات!$B$2:$B$500,MATCH($B845,المكونات!$A$2:$A$500,0)),"")</f>
        <v>قطعة</v>
      </c>
      <c r="E845" s="68" t="n">
        <f aca="false">IFERROR(INDEX(المكونات!$C$2:$C$500,MATCH($B845,المكونات!$A$2:$A$500,0)),"")</f>
        <v>20</v>
      </c>
      <c r="F845" s="69" t="n">
        <f aca="false">IFERROR($C845*$E845,"")</f>
        <v>20</v>
      </c>
    </row>
    <row r="846" customFormat="false" ht="15" hidden="false" customHeight="true" outlineLevel="0" collapsed="false">
      <c r="A846" s="66" t="s">
        <v>455</v>
      </c>
      <c r="B846" s="66" t="s">
        <v>142</v>
      </c>
      <c r="C846" s="66" t="n">
        <v>1</v>
      </c>
      <c r="D846" s="67" t="str">
        <f aca="false">IFERROR(INDEX(المكونات!$B$2:$B$500,MATCH($B846,المكونات!$A$2:$A$500,0)),"")</f>
        <v>قطعة</v>
      </c>
      <c r="E846" s="68" t="n">
        <f aca="false">IFERROR(INDEX(المكونات!$C$2:$C$500,MATCH($B846,المكونات!$A$2:$A$500,0)),"")</f>
        <v>35</v>
      </c>
      <c r="F846" s="69" t="n">
        <f aca="false">IFERROR($C846*$E846,"")</f>
        <v>35</v>
      </c>
    </row>
    <row r="847" customFormat="false" ht="15" hidden="false" customHeight="true" outlineLevel="0" collapsed="false">
      <c r="A847" s="66" t="s">
        <v>455</v>
      </c>
      <c r="B847" s="66" t="s">
        <v>328</v>
      </c>
      <c r="C847" s="66" t="n">
        <v>1</v>
      </c>
      <c r="D847" s="67" t="str">
        <f aca="false">IFERROR(INDEX(المكونات!$B$2:$B$500,MATCH($B847,المكونات!$A$2:$A$500,0)),"")</f>
        <v>قطعة</v>
      </c>
      <c r="E847" s="68" t="n">
        <f aca="false">IFERROR(INDEX(المكونات!$C$2:$C$500,MATCH($B847,المكونات!$A$2:$A$500,0)),"")</f>
        <v>4.47</v>
      </c>
      <c r="F847" s="69" t="n">
        <f aca="false">IFERROR($C847*$E847,"")</f>
        <v>4.47</v>
      </c>
    </row>
    <row r="848" customFormat="false" ht="15" hidden="false" customHeight="true" outlineLevel="0" collapsed="false">
      <c r="A848" s="66" t="s">
        <v>455</v>
      </c>
      <c r="B848" s="66" t="s">
        <v>122</v>
      </c>
      <c r="C848" s="66" t="n">
        <v>1</v>
      </c>
      <c r="D848" s="67" t="str">
        <f aca="false">IFERROR(INDEX(المكونات!$B$2:$B$500,MATCH($B848,المكونات!$A$2:$A$500,0)),"")</f>
        <v>قطعة</v>
      </c>
      <c r="E848" s="68" t="n">
        <f aca="false">IFERROR(INDEX(المكونات!$C$2:$C$500,MATCH($B848,المكونات!$A$2:$A$500,0)),"")</f>
        <v>3.3</v>
      </c>
      <c r="F848" s="69" t="n">
        <f aca="false">IFERROR($C848*$E848,"")</f>
        <v>3.3</v>
      </c>
    </row>
    <row r="849" customFormat="false" ht="15" hidden="false" customHeight="true" outlineLevel="0" collapsed="false">
      <c r="A849" s="66" t="s">
        <v>455</v>
      </c>
      <c r="B849" s="66" t="s">
        <v>243</v>
      </c>
      <c r="C849" s="66" t="n">
        <v>1</v>
      </c>
      <c r="D849" s="67" t="str">
        <f aca="false">IFERROR(INDEX(المكونات!$B$2:$B$500,MATCH($B849,المكونات!$A$2:$A$500,0)),"")</f>
        <v>قطعة</v>
      </c>
      <c r="E849" s="68" t="n">
        <f aca="false">IFERROR(INDEX(المكونات!$C$2:$C$500,MATCH($B849,المكونات!$A$2:$A$500,0)),"")</f>
        <v>0.3</v>
      </c>
      <c r="F849" s="69" t="n">
        <f aca="false">IFERROR($C849*$E849,"")</f>
        <v>0.3</v>
      </c>
    </row>
    <row r="850" customFormat="false" ht="15" hidden="false" customHeight="true" outlineLevel="0" collapsed="false">
      <c r="A850" s="66" t="s">
        <v>455</v>
      </c>
      <c r="B850" s="66" t="s">
        <v>290</v>
      </c>
      <c r="C850" s="66" t="n">
        <v>2</v>
      </c>
      <c r="D850" s="67" t="str">
        <f aca="false">IFERROR(INDEX(المكونات!$B$2:$B$500,MATCH($B850,المكونات!$A$2:$A$500,0)),"")</f>
        <v>قطعة</v>
      </c>
      <c r="E850" s="68" t="n">
        <f aca="false">IFERROR(INDEX(المكونات!$C$2:$C$500,MATCH($B850,المكونات!$A$2:$A$500,0)),"")</f>
        <v>0.3</v>
      </c>
      <c r="F850" s="69" t="n">
        <f aca="false">IFERROR($C850*$E850,"")</f>
        <v>0.6</v>
      </c>
    </row>
    <row r="851" customFormat="false" ht="15" hidden="false" customHeight="true" outlineLevel="0" collapsed="false">
      <c r="A851" s="66" t="s">
        <v>455</v>
      </c>
      <c r="B851" s="66" t="s">
        <v>211</v>
      </c>
      <c r="C851" s="66" t="n">
        <v>2</v>
      </c>
      <c r="D851" s="67" t="str">
        <f aca="false">IFERROR(INDEX(المكونات!$B$2:$B$500,MATCH($B851,المكونات!$A$2:$A$500,0)),"")</f>
        <v>قطعة (جلفز)</v>
      </c>
      <c r="E851" s="68" t="n">
        <f aca="false">IFERROR(INDEX(المكونات!$C$2:$C$500,MATCH($B851,المكونات!$A$2:$A$500,0)),"")</f>
        <v>0.18</v>
      </c>
      <c r="F851" s="69" t="n">
        <f aca="false">IFERROR($C851*$E851,"")</f>
        <v>0.36</v>
      </c>
    </row>
    <row r="852" customFormat="false" ht="15" hidden="false" customHeight="true" outlineLevel="0" collapsed="false">
      <c r="A852" s="66" t="s">
        <v>455</v>
      </c>
      <c r="B852" s="66" t="s">
        <v>136</v>
      </c>
      <c r="C852" s="66" t="n">
        <v>1</v>
      </c>
      <c r="D852" s="67" t="str">
        <f aca="false">IFERROR(INDEX(المكونات!$B$2:$B$500,MATCH($B852,المكونات!$A$2:$A$500,0)),"")</f>
        <v>قطعة (كيس)</v>
      </c>
      <c r="E852" s="68" t="n">
        <f aca="false">IFERROR(INDEX(المكونات!$C$2:$C$500,MATCH($B852,المكونات!$A$2:$A$500,0)),"")</f>
        <v>1.4</v>
      </c>
      <c r="F852" s="69" t="n">
        <f aca="false">IFERROR($C852*$E852,"")</f>
        <v>1.4</v>
      </c>
    </row>
    <row r="853" customFormat="false" ht="15" hidden="false" customHeight="true" outlineLevel="0" collapsed="false">
      <c r="A853" s="66" t="s">
        <v>434</v>
      </c>
      <c r="B853" s="66" t="s">
        <v>330</v>
      </c>
      <c r="C853" s="66" t="n">
        <v>1</v>
      </c>
      <c r="D853" s="67" t="str">
        <f aca="false">IFERROR(INDEX(المكونات!$B$2:$B$500,MATCH($B853,المكونات!$A$2:$A$500,0)),"")</f>
        <v>قطعة</v>
      </c>
      <c r="E853" s="68" t="n">
        <f aca="false">IFERROR(INDEX(المكونات!$C$2:$C$500,MATCH($B853,المكونات!$A$2:$A$500,0)),"")</f>
        <v>3.01306208333333</v>
      </c>
      <c r="F853" s="69" t="n">
        <f aca="false">IFERROR($C853*$E853,"")</f>
        <v>3.01306208333333</v>
      </c>
    </row>
    <row r="854" customFormat="false" ht="15" hidden="false" customHeight="true" outlineLevel="0" collapsed="false">
      <c r="A854" s="66" t="s">
        <v>434</v>
      </c>
      <c r="B854" s="66" t="s">
        <v>176</v>
      </c>
      <c r="C854" s="66" t="n">
        <v>1</v>
      </c>
      <c r="D854" s="67" t="str">
        <f aca="false">IFERROR(INDEX(المكونات!$B$2:$B$500,MATCH($B854,المكونات!$A$2:$A$500,0)),"")</f>
        <v>قطعة</v>
      </c>
      <c r="E854" s="68" t="n">
        <f aca="false">IFERROR(INDEX(المكونات!$C$2:$C$500,MATCH($B854,المكونات!$A$2:$A$500,0)),"")</f>
        <v>17.5</v>
      </c>
      <c r="F854" s="69" t="n">
        <f aca="false">IFERROR($C854*$E854,"")</f>
        <v>17.5</v>
      </c>
    </row>
    <row r="855" customFormat="false" ht="15" hidden="false" customHeight="true" outlineLevel="0" collapsed="false">
      <c r="A855" s="66" t="s">
        <v>434</v>
      </c>
      <c r="B855" s="66" t="s">
        <v>260</v>
      </c>
      <c r="C855" s="66" t="n">
        <v>0.03</v>
      </c>
      <c r="D855" s="67" t="str">
        <f aca="false">IFERROR(INDEX(المكونات!$B$2:$B$500,MATCH($B855,المكونات!$A$2:$A$500,0)),"")</f>
        <v>كجم</v>
      </c>
      <c r="E855" s="68" t="n">
        <f aca="false">IFERROR(INDEX(المكونات!$C$2:$C$500,MATCH($B855,المكونات!$A$2:$A$500,0)),"")</f>
        <v>21</v>
      </c>
      <c r="F855" s="69" t="n">
        <f aca="false">IFERROR($C855*$E855,"")</f>
        <v>0.63</v>
      </c>
    </row>
    <row r="856" customFormat="false" ht="15" hidden="false" customHeight="true" outlineLevel="0" collapsed="false">
      <c r="A856" s="66" t="s">
        <v>434</v>
      </c>
      <c r="B856" s="66" t="s">
        <v>284</v>
      </c>
      <c r="C856" s="66" t="n">
        <v>0.02</v>
      </c>
      <c r="D856" s="67" t="str">
        <f aca="false">IFERROR(INDEX(المكونات!$B$2:$B$500,MATCH($B856,المكونات!$A$2:$A$500,0)),"")</f>
        <v>كجم</v>
      </c>
      <c r="E856" s="68" t="n">
        <f aca="false">IFERROR(INDEX(المكونات!$C$2:$C$500,MATCH($B856,المكونات!$A$2:$A$500,0)),"")</f>
        <v>27</v>
      </c>
      <c r="F856" s="69" t="n">
        <f aca="false">IFERROR($C856*$E856,"")</f>
        <v>0.54</v>
      </c>
    </row>
    <row r="857" customFormat="false" ht="15" hidden="false" customHeight="true" outlineLevel="0" collapsed="false">
      <c r="A857" s="66" t="s">
        <v>434</v>
      </c>
      <c r="B857" s="66" t="s">
        <v>227</v>
      </c>
      <c r="C857" s="66" t="n">
        <v>0.02</v>
      </c>
      <c r="D857" s="67" t="str">
        <f aca="false">IFERROR(INDEX(المكونات!$B$2:$B$500,MATCH($B857,المكونات!$A$2:$A$500,0)),"")</f>
        <v>كجم</v>
      </c>
      <c r="E857" s="68" t="n">
        <f aca="false">IFERROR(INDEX(المكونات!$C$2:$C$500,MATCH($B857,المكونات!$A$2:$A$500,0)),"")</f>
        <v>95</v>
      </c>
      <c r="F857" s="69" t="n">
        <f aca="false">IFERROR($C857*$E857,"")</f>
        <v>1.9</v>
      </c>
    </row>
    <row r="858" customFormat="false" ht="15" hidden="false" customHeight="true" outlineLevel="0" collapsed="false">
      <c r="A858" s="66" t="s">
        <v>434</v>
      </c>
      <c r="B858" s="66" t="s">
        <v>297</v>
      </c>
      <c r="C858" s="66" t="n">
        <v>1</v>
      </c>
      <c r="D858" s="67" t="str">
        <f aca="false">IFERROR(INDEX(المكونات!$B$2:$B$500,MATCH($B858,المكونات!$A$2:$A$500,0)),"")</f>
        <v>قطعة</v>
      </c>
      <c r="E858" s="68" t="n">
        <f aca="false">IFERROR(INDEX(المكونات!$C$2:$C$500,MATCH($B858,المكونات!$A$2:$A$500,0)),"")</f>
        <v>2</v>
      </c>
      <c r="F858" s="69" t="n">
        <f aca="false">IFERROR($C858*$E858,"")</f>
        <v>2</v>
      </c>
    </row>
    <row r="859" customFormat="false" ht="15" hidden="false" customHeight="true" outlineLevel="0" collapsed="false">
      <c r="A859" s="66" t="s">
        <v>434</v>
      </c>
      <c r="B859" s="66" t="s">
        <v>234</v>
      </c>
      <c r="C859" s="66" t="n">
        <v>1</v>
      </c>
      <c r="D859" s="67" t="str">
        <f aca="false">IFERROR(INDEX(المكونات!$B$2:$B$500,MATCH($B859,المكونات!$A$2:$A$500,0)),"")</f>
        <v>قطعة (استخدام)</v>
      </c>
      <c r="E859" s="68" t="n">
        <f aca="false">IFERROR(INDEX(المكونات!$C$2:$C$500,MATCH($B859,المكونات!$A$2:$A$500,0)),"")</f>
        <v>2.5189</v>
      </c>
      <c r="F859" s="69" t="n">
        <f aca="false">IFERROR($C859*$E859,"")</f>
        <v>2.5189</v>
      </c>
    </row>
    <row r="860" customFormat="false" ht="15" hidden="false" customHeight="true" outlineLevel="0" collapsed="false">
      <c r="A860" s="66" t="s">
        <v>434</v>
      </c>
      <c r="B860" s="66" t="s">
        <v>162</v>
      </c>
      <c r="C860" s="66" t="n">
        <v>1</v>
      </c>
      <c r="D860" s="67" t="str">
        <f aca="false">IFERROR(INDEX(المكونات!$B$2:$B$500,MATCH($B860,المكونات!$A$2:$A$500,0)),"")</f>
        <v>قطعة</v>
      </c>
      <c r="E860" s="68" t="n">
        <f aca="false">IFERROR(INDEX(المكونات!$C$2:$C$500,MATCH($B860,المكونات!$A$2:$A$500,0)),"")</f>
        <v>30</v>
      </c>
      <c r="F860" s="69" t="n">
        <f aca="false">IFERROR($C860*$E860,"")</f>
        <v>30</v>
      </c>
    </row>
    <row r="861" customFormat="false" ht="15" hidden="false" customHeight="true" outlineLevel="0" collapsed="false">
      <c r="A861" s="66" t="s">
        <v>436</v>
      </c>
      <c r="B861" s="66" t="s">
        <v>330</v>
      </c>
      <c r="C861" s="66" t="n">
        <v>1</v>
      </c>
      <c r="D861" s="67" t="str">
        <f aca="false">IFERROR(INDEX(المكونات!$B$2:$B$500,MATCH($B861,المكونات!$A$2:$A$500,0)),"")</f>
        <v>قطعة</v>
      </c>
      <c r="E861" s="68" t="n">
        <f aca="false">IFERROR(INDEX(المكونات!$C$2:$C$500,MATCH($B861,المكونات!$A$2:$A$500,0)),"")</f>
        <v>3.01306208333333</v>
      </c>
      <c r="F861" s="69" t="n">
        <f aca="false">IFERROR($C861*$E861,"")</f>
        <v>3.01306208333333</v>
      </c>
    </row>
    <row r="862" customFormat="false" ht="15" hidden="false" customHeight="true" outlineLevel="0" collapsed="false">
      <c r="A862" s="66" t="s">
        <v>436</v>
      </c>
      <c r="B862" s="66" t="s">
        <v>176</v>
      </c>
      <c r="C862" s="66" t="n">
        <v>1</v>
      </c>
      <c r="D862" s="67" t="str">
        <f aca="false">IFERROR(INDEX(المكونات!$B$2:$B$500,MATCH($B862,المكونات!$A$2:$A$500,0)),"")</f>
        <v>قطعة</v>
      </c>
      <c r="E862" s="68" t="n">
        <f aca="false">IFERROR(INDEX(المكونات!$C$2:$C$500,MATCH($B862,المكونات!$A$2:$A$500,0)),"")</f>
        <v>17.5</v>
      </c>
      <c r="F862" s="69" t="n">
        <f aca="false">IFERROR($C862*$E862,"")</f>
        <v>17.5</v>
      </c>
    </row>
    <row r="863" customFormat="false" ht="15" hidden="false" customHeight="true" outlineLevel="0" collapsed="false">
      <c r="A863" s="66" t="s">
        <v>436</v>
      </c>
      <c r="B863" s="66" t="s">
        <v>260</v>
      </c>
      <c r="C863" s="66" t="n">
        <v>0.03</v>
      </c>
      <c r="D863" s="67" t="str">
        <f aca="false">IFERROR(INDEX(المكونات!$B$2:$B$500,MATCH($B863,المكونات!$A$2:$A$500,0)),"")</f>
        <v>كجم</v>
      </c>
      <c r="E863" s="68" t="n">
        <f aca="false">IFERROR(INDEX(المكونات!$C$2:$C$500,MATCH($B863,المكونات!$A$2:$A$500,0)),"")</f>
        <v>21</v>
      </c>
      <c r="F863" s="69" t="n">
        <f aca="false">IFERROR($C863*$E863,"")</f>
        <v>0.63</v>
      </c>
    </row>
    <row r="864" customFormat="false" ht="15" hidden="false" customHeight="true" outlineLevel="0" collapsed="false">
      <c r="A864" s="66" t="s">
        <v>436</v>
      </c>
      <c r="B864" s="66" t="s">
        <v>284</v>
      </c>
      <c r="C864" s="66" t="n">
        <v>0.02</v>
      </c>
      <c r="D864" s="67" t="str">
        <f aca="false">IFERROR(INDEX(المكونات!$B$2:$B$500,MATCH($B864,المكونات!$A$2:$A$500,0)),"")</f>
        <v>كجم</v>
      </c>
      <c r="E864" s="68" t="n">
        <f aca="false">IFERROR(INDEX(المكونات!$C$2:$C$500,MATCH($B864,المكونات!$A$2:$A$500,0)),"")</f>
        <v>27</v>
      </c>
      <c r="F864" s="69" t="n">
        <f aca="false">IFERROR($C864*$E864,"")</f>
        <v>0.54</v>
      </c>
    </row>
    <row r="865" customFormat="false" ht="15" hidden="false" customHeight="true" outlineLevel="0" collapsed="false">
      <c r="A865" s="66" t="s">
        <v>436</v>
      </c>
      <c r="B865" s="66" t="s">
        <v>227</v>
      </c>
      <c r="C865" s="66" t="n">
        <v>0.02</v>
      </c>
      <c r="D865" s="67" t="str">
        <f aca="false">IFERROR(INDEX(المكونات!$B$2:$B$500,MATCH($B865,المكونات!$A$2:$A$500,0)),"")</f>
        <v>كجم</v>
      </c>
      <c r="E865" s="68" t="n">
        <f aca="false">IFERROR(INDEX(المكونات!$C$2:$C$500,MATCH($B865,المكونات!$A$2:$A$500,0)),"")</f>
        <v>95</v>
      </c>
      <c r="F865" s="69" t="n">
        <f aca="false">IFERROR($C865*$E865,"")</f>
        <v>1.9</v>
      </c>
    </row>
    <row r="866" customFormat="false" ht="15" hidden="false" customHeight="true" outlineLevel="0" collapsed="false">
      <c r="A866" s="66" t="s">
        <v>436</v>
      </c>
      <c r="B866" s="66" t="s">
        <v>297</v>
      </c>
      <c r="C866" s="66" t="n">
        <v>1</v>
      </c>
      <c r="D866" s="67" t="str">
        <f aca="false">IFERROR(INDEX(المكونات!$B$2:$B$500,MATCH($B866,المكونات!$A$2:$A$500,0)),"")</f>
        <v>قطعة</v>
      </c>
      <c r="E866" s="68" t="n">
        <f aca="false">IFERROR(INDEX(المكونات!$C$2:$C$500,MATCH($B866,المكونات!$A$2:$A$500,0)),"")</f>
        <v>2</v>
      </c>
      <c r="F866" s="69" t="n">
        <f aca="false">IFERROR($C866*$E866,"")</f>
        <v>2</v>
      </c>
    </row>
    <row r="867" customFormat="false" ht="15" hidden="false" customHeight="true" outlineLevel="0" collapsed="false">
      <c r="A867" s="66" t="s">
        <v>436</v>
      </c>
      <c r="B867" s="66" t="s">
        <v>234</v>
      </c>
      <c r="C867" s="66" t="n">
        <v>1</v>
      </c>
      <c r="D867" s="67" t="str">
        <f aca="false">IFERROR(INDEX(المكونات!$B$2:$B$500,MATCH($B867,المكونات!$A$2:$A$500,0)),"")</f>
        <v>قطعة (استخدام)</v>
      </c>
      <c r="E867" s="68" t="n">
        <f aca="false">IFERROR(INDEX(المكونات!$C$2:$C$500,MATCH($B867,المكونات!$A$2:$A$500,0)),"")</f>
        <v>2.5189</v>
      </c>
      <c r="F867" s="69" t="n">
        <f aca="false">IFERROR($C867*$E867,"")</f>
        <v>2.5189</v>
      </c>
    </row>
    <row r="868" customFormat="false" ht="15" hidden="false" customHeight="true" outlineLevel="0" collapsed="false">
      <c r="A868" s="66" t="s">
        <v>436</v>
      </c>
      <c r="B868" s="66" t="s">
        <v>158</v>
      </c>
      <c r="C868" s="66" t="n">
        <v>0.5</v>
      </c>
      <c r="D868" s="67" t="str">
        <f aca="false">IFERROR(INDEX(المكونات!$B$2:$B$500,MATCH($B868,المكونات!$A$2:$A$500,0)),"")</f>
        <v>قطعة</v>
      </c>
      <c r="E868" s="68" t="n">
        <f aca="false">IFERROR(INDEX(المكونات!$C$2:$C$500,MATCH($B868,المكونات!$A$2:$A$500,0)),"")</f>
        <v>33.982</v>
      </c>
      <c r="F868" s="69" t="n">
        <f aca="false">IFERROR($C868*$E868,"")</f>
        <v>16.991</v>
      </c>
    </row>
    <row r="869" customFormat="false" ht="15" hidden="false" customHeight="true" outlineLevel="0" collapsed="false">
      <c r="A869" s="66" t="s">
        <v>436</v>
      </c>
      <c r="B869" s="66" t="s">
        <v>162</v>
      </c>
      <c r="C869" s="66" t="n">
        <v>0.5</v>
      </c>
      <c r="D869" s="67" t="str">
        <f aca="false">IFERROR(INDEX(المكونات!$B$2:$B$500,MATCH($B869,المكونات!$A$2:$A$500,0)),"")</f>
        <v>قطعة</v>
      </c>
      <c r="E869" s="68" t="n">
        <f aca="false">IFERROR(INDEX(المكونات!$C$2:$C$500,MATCH($B869,المكونات!$A$2:$A$500,0)),"")</f>
        <v>30</v>
      </c>
      <c r="F869" s="69" t="n">
        <f aca="false">IFERROR($C869*$E869,"")</f>
        <v>15</v>
      </c>
    </row>
    <row r="870" customFormat="false" ht="15" hidden="false" customHeight="true" outlineLevel="0" collapsed="false">
      <c r="A870" s="66" t="s">
        <v>438</v>
      </c>
      <c r="B870" s="66" t="s">
        <v>330</v>
      </c>
      <c r="C870" s="66" t="n">
        <v>1</v>
      </c>
      <c r="D870" s="67" t="str">
        <f aca="false">IFERROR(INDEX(المكونات!$B$2:$B$500,MATCH($B870,المكونات!$A$2:$A$500,0)),"")</f>
        <v>قطعة</v>
      </c>
      <c r="E870" s="68" t="n">
        <f aca="false">IFERROR(INDEX(المكونات!$C$2:$C$500,MATCH($B870,المكونات!$A$2:$A$500,0)),"")</f>
        <v>3.01306208333333</v>
      </c>
      <c r="F870" s="69" t="n">
        <f aca="false">IFERROR($C870*$E870,"")</f>
        <v>3.01306208333333</v>
      </c>
    </row>
    <row r="871" customFormat="false" ht="15" hidden="false" customHeight="true" outlineLevel="0" collapsed="false">
      <c r="A871" s="66" t="s">
        <v>438</v>
      </c>
      <c r="B871" s="66" t="s">
        <v>176</v>
      </c>
      <c r="C871" s="66" t="n">
        <v>1</v>
      </c>
      <c r="D871" s="67" t="str">
        <f aca="false">IFERROR(INDEX(المكونات!$B$2:$B$500,MATCH($B871,المكونات!$A$2:$A$500,0)),"")</f>
        <v>قطعة</v>
      </c>
      <c r="E871" s="68" t="n">
        <f aca="false">IFERROR(INDEX(المكونات!$C$2:$C$500,MATCH($B871,المكونات!$A$2:$A$500,0)),"")</f>
        <v>17.5</v>
      </c>
      <c r="F871" s="69" t="n">
        <f aca="false">IFERROR($C871*$E871,"")</f>
        <v>17.5</v>
      </c>
    </row>
    <row r="872" customFormat="false" ht="15" hidden="false" customHeight="true" outlineLevel="0" collapsed="false">
      <c r="A872" s="66" t="s">
        <v>438</v>
      </c>
      <c r="B872" s="66" t="s">
        <v>260</v>
      </c>
      <c r="C872" s="66" t="n">
        <v>0.03</v>
      </c>
      <c r="D872" s="67" t="str">
        <f aca="false">IFERROR(INDEX(المكونات!$B$2:$B$500,MATCH($B872,المكونات!$A$2:$A$500,0)),"")</f>
        <v>كجم</v>
      </c>
      <c r="E872" s="68" t="n">
        <f aca="false">IFERROR(INDEX(المكونات!$C$2:$C$500,MATCH($B872,المكونات!$A$2:$A$500,0)),"")</f>
        <v>21</v>
      </c>
      <c r="F872" s="69" t="n">
        <f aca="false">IFERROR($C872*$E872,"")</f>
        <v>0.63</v>
      </c>
    </row>
    <row r="873" customFormat="false" ht="15" hidden="false" customHeight="true" outlineLevel="0" collapsed="false">
      <c r="A873" s="66" t="s">
        <v>438</v>
      </c>
      <c r="B873" s="66" t="s">
        <v>284</v>
      </c>
      <c r="C873" s="66" t="n">
        <v>0.02</v>
      </c>
      <c r="D873" s="67" t="str">
        <f aca="false">IFERROR(INDEX(المكونات!$B$2:$B$500,MATCH($B873,المكونات!$A$2:$A$500,0)),"")</f>
        <v>كجم</v>
      </c>
      <c r="E873" s="68" t="n">
        <f aca="false">IFERROR(INDEX(المكونات!$C$2:$C$500,MATCH($B873,المكونات!$A$2:$A$500,0)),"")</f>
        <v>27</v>
      </c>
      <c r="F873" s="69" t="n">
        <f aca="false">IFERROR($C873*$E873,"")</f>
        <v>0.54</v>
      </c>
    </row>
    <row r="874" customFormat="false" ht="15" hidden="false" customHeight="true" outlineLevel="0" collapsed="false">
      <c r="A874" s="66" t="s">
        <v>438</v>
      </c>
      <c r="B874" s="66" t="s">
        <v>227</v>
      </c>
      <c r="C874" s="66" t="n">
        <v>0.02</v>
      </c>
      <c r="D874" s="67" t="str">
        <f aca="false">IFERROR(INDEX(المكونات!$B$2:$B$500,MATCH($B874,المكونات!$A$2:$A$500,0)),"")</f>
        <v>كجم</v>
      </c>
      <c r="E874" s="68" t="n">
        <f aca="false">IFERROR(INDEX(المكونات!$C$2:$C$500,MATCH($B874,المكونات!$A$2:$A$500,0)),"")</f>
        <v>95</v>
      </c>
      <c r="F874" s="69" t="n">
        <f aca="false">IFERROR($C874*$E874,"")</f>
        <v>1.9</v>
      </c>
    </row>
    <row r="875" customFormat="false" ht="15" hidden="false" customHeight="true" outlineLevel="0" collapsed="false">
      <c r="A875" s="66" t="s">
        <v>438</v>
      </c>
      <c r="B875" s="66" t="s">
        <v>297</v>
      </c>
      <c r="C875" s="66" t="n">
        <v>1</v>
      </c>
      <c r="D875" s="67" t="str">
        <f aca="false">IFERROR(INDEX(المكونات!$B$2:$B$500,MATCH($B875,المكونات!$A$2:$A$500,0)),"")</f>
        <v>قطعة</v>
      </c>
      <c r="E875" s="68" t="n">
        <f aca="false">IFERROR(INDEX(المكونات!$C$2:$C$500,MATCH($B875,المكونات!$A$2:$A$500,0)),"")</f>
        <v>2</v>
      </c>
      <c r="F875" s="69" t="n">
        <f aca="false">IFERROR($C875*$E875,"")</f>
        <v>2</v>
      </c>
    </row>
    <row r="876" customFormat="false" ht="15" hidden="false" customHeight="true" outlineLevel="0" collapsed="false">
      <c r="A876" s="66" t="s">
        <v>438</v>
      </c>
      <c r="B876" s="66" t="s">
        <v>234</v>
      </c>
      <c r="C876" s="66" t="n">
        <v>1</v>
      </c>
      <c r="D876" s="67" t="str">
        <f aca="false">IFERROR(INDEX(المكونات!$B$2:$B$500,MATCH($B876,المكونات!$A$2:$A$500,0)),"")</f>
        <v>قطعة (استخدام)</v>
      </c>
      <c r="E876" s="68" t="n">
        <f aca="false">IFERROR(INDEX(المكونات!$C$2:$C$500,MATCH($B876,المكونات!$A$2:$A$500,0)),"")</f>
        <v>2.5189</v>
      </c>
      <c r="F876" s="69" t="n">
        <f aca="false">IFERROR($C876*$E876,"")</f>
        <v>2.5189</v>
      </c>
    </row>
    <row r="877" customFormat="false" ht="15" hidden="false" customHeight="true" outlineLevel="0" collapsed="false">
      <c r="A877" s="66" t="s">
        <v>438</v>
      </c>
      <c r="B877" s="66" t="s">
        <v>144</v>
      </c>
      <c r="C877" s="66" t="n">
        <v>0.5</v>
      </c>
      <c r="D877" s="67" t="str">
        <f aca="false">IFERROR(INDEX(المكونات!$B$2:$B$500,MATCH($B877,المكونات!$A$2:$A$500,0)),"")</f>
        <v>قطعة</v>
      </c>
      <c r="E877" s="68" t="n">
        <f aca="false">IFERROR(INDEX(المكونات!$C$2:$C$500,MATCH($B877,المكونات!$A$2:$A$500,0)),"")</f>
        <v>46.6667</v>
      </c>
      <c r="F877" s="69" t="n">
        <f aca="false">IFERROR($C877*$E877,"")</f>
        <v>23.33335</v>
      </c>
    </row>
    <row r="878" customFormat="false" ht="15" hidden="false" customHeight="true" outlineLevel="0" collapsed="false">
      <c r="A878" s="66" t="s">
        <v>449</v>
      </c>
      <c r="B878" s="66" t="s">
        <v>330</v>
      </c>
      <c r="C878" s="66" t="n">
        <v>1</v>
      </c>
      <c r="D878" s="67" t="str">
        <f aca="false">IFERROR(INDEX(المكونات!$B$2:$B$500,MATCH($B878,المكونات!$A$2:$A$500,0)),"")</f>
        <v>قطعة</v>
      </c>
      <c r="E878" s="68" t="n">
        <f aca="false">IFERROR(INDEX(المكونات!$C$2:$C$500,MATCH($B878,المكونات!$A$2:$A$500,0)),"")</f>
        <v>3.01306208333333</v>
      </c>
      <c r="F878" s="69" t="n">
        <f aca="false">IFERROR($C878*$E878,"")</f>
        <v>3.01306208333333</v>
      </c>
    </row>
    <row r="879" customFormat="false" ht="15" hidden="false" customHeight="true" outlineLevel="0" collapsed="false">
      <c r="A879" s="66" t="s">
        <v>449</v>
      </c>
      <c r="B879" s="66" t="s">
        <v>176</v>
      </c>
      <c r="C879" s="66" t="n">
        <v>1</v>
      </c>
      <c r="D879" s="67" t="str">
        <f aca="false">IFERROR(INDEX(المكونات!$B$2:$B$500,MATCH($B879,المكونات!$A$2:$A$500,0)),"")</f>
        <v>قطعة</v>
      </c>
      <c r="E879" s="68" t="n">
        <f aca="false">IFERROR(INDEX(المكونات!$C$2:$C$500,MATCH($B879,المكونات!$A$2:$A$500,0)),"")</f>
        <v>17.5</v>
      </c>
      <c r="F879" s="69" t="n">
        <f aca="false">IFERROR($C879*$E879,"")</f>
        <v>17.5</v>
      </c>
    </row>
    <row r="880" customFormat="false" ht="15" hidden="false" customHeight="true" outlineLevel="0" collapsed="false">
      <c r="A880" s="66" t="s">
        <v>449</v>
      </c>
      <c r="B880" s="66" t="s">
        <v>260</v>
      </c>
      <c r="C880" s="66" t="n">
        <v>0.03</v>
      </c>
      <c r="D880" s="67" t="str">
        <f aca="false">IFERROR(INDEX(المكونات!$B$2:$B$500,MATCH($B880,المكونات!$A$2:$A$500,0)),"")</f>
        <v>كجم</v>
      </c>
      <c r="E880" s="68" t="n">
        <f aca="false">IFERROR(INDEX(المكونات!$C$2:$C$500,MATCH($B880,المكونات!$A$2:$A$500,0)),"")</f>
        <v>21</v>
      </c>
      <c r="F880" s="69" t="n">
        <f aca="false">IFERROR($C880*$E880,"")</f>
        <v>0.63</v>
      </c>
    </row>
    <row r="881" customFormat="false" ht="15" hidden="false" customHeight="true" outlineLevel="0" collapsed="false">
      <c r="A881" s="66" t="s">
        <v>449</v>
      </c>
      <c r="B881" s="66" t="s">
        <v>284</v>
      </c>
      <c r="C881" s="66" t="n">
        <v>0.02</v>
      </c>
      <c r="D881" s="67" t="str">
        <f aca="false">IFERROR(INDEX(المكونات!$B$2:$B$500,MATCH($B881,المكونات!$A$2:$A$500,0)),"")</f>
        <v>كجم</v>
      </c>
      <c r="E881" s="68" t="n">
        <f aca="false">IFERROR(INDEX(المكونات!$C$2:$C$500,MATCH($B881,المكونات!$A$2:$A$500,0)),"")</f>
        <v>27</v>
      </c>
      <c r="F881" s="69" t="n">
        <f aca="false">IFERROR($C881*$E881,"")</f>
        <v>0.54</v>
      </c>
    </row>
    <row r="882" customFormat="false" ht="15" hidden="false" customHeight="true" outlineLevel="0" collapsed="false">
      <c r="A882" s="66" t="s">
        <v>449</v>
      </c>
      <c r="B882" s="66" t="s">
        <v>227</v>
      </c>
      <c r="C882" s="66" t="n">
        <v>0.02</v>
      </c>
      <c r="D882" s="67" t="str">
        <f aca="false">IFERROR(INDEX(المكونات!$B$2:$B$500,MATCH($B882,المكونات!$A$2:$A$500,0)),"")</f>
        <v>كجم</v>
      </c>
      <c r="E882" s="68" t="n">
        <f aca="false">IFERROR(INDEX(المكونات!$C$2:$C$500,MATCH($B882,المكونات!$A$2:$A$500,0)),"")</f>
        <v>95</v>
      </c>
      <c r="F882" s="69" t="n">
        <f aca="false">IFERROR($C882*$E882,"")</f>
        <v>1.9</v>
      </c>
    </row>
    <row r="883" customFormat="false" ht="15" hidden="false" customHeight="true" outlineLevel="0" collapsed="false">
      <c r="A883" s="66" t="s">
        <v>449</v>
      </c>
      <c r="B883" s="66" t="s">
        <v>297</v>
      </c>
      <c r="C883" s="66" t="n">
        <v>1</v>
      </c>
      <c r="D883" s="67" t="str">
        <f aca="false">IFERROR(INDEX(المكونات!$B$2:$B$500,MATCH($B883,المكونات!$A$2:$A$500,0)),"")</f>
        <v>قطعة</v>
      </c>
      <c r="E883" s="68" t="n">
        <f aca="false">IFERROR(INDEX(المكونات!$C$2:$C$500,MATCH($B883,المكونات!$A$2:$A$500,0)),"")</f>
        <v>2</v>
      </c>
      <c r="F883" s="69" t="n">
        <f aca="false">IFERROR($C883*$E883,"")</f>
        <v>2</v>
      </c>
    </row>
    <row r="884" customFormat="false" ht="15" hidden="false" customHeight="true" outlineLevel="0" collapsed="false">
      <c r="A884" s="66" t="s">
        <v>449</v>
      </c>
      <c r="B884" s="66" t="s">
        <v>234</v>
      </c>
      <c r="C884" s="66" t="n">
        <v>1</v>
      </c>
      <c r="D884" s="67" t="str">
        <f aca="false">IFERROR(INDEX(المكونات!$B$2:$B$500,MATCH($B884,المكونات!$A$2:$A$500,0)),"")</f>
        <v>قطعة (استخدام)</v>
      </c>
      <c r="E884" s="68" t="n">
        <f aca="false">IFERROR(INDEX(المكونات!$C$2:$C$500,MATCH($B884,المكونات!$A$2:$A$500,0)),"")</f>
        <v>2.5189</v>
      </c>
      <c r="F884" s="69" t="n">
        <f aca="false">IFERROR($C884*$E884,"")</f>
        <v>2.5189</v>
      </c>
    </row>
    <row r="885" customFormat="false" ht="15" hidden="false" customHeight="true" outlineLevel="0" collapsed="false">
      <c r="A885" s="66" t="s">
        <v>449</v>
      </c>
      <c r="B885" s="66" t="s">
        <v>154</v>
      </c>
      <c r="C885" s="66" t="n">
        <v>0.5</v>
      </c>
      <c r="D885" s="67" t="str">
        <f aca="false">IFERROR(INDEX(المكونات!$B$2:$B$500,MATCH($B885,المكونات!$A$2:$A$500,0)),"")</f>
        <v>قطعة</v>
      </c>
      <c r="E885" s="68" t="n">
        <f aca="false">IFERROR(INDEX(المكونات!$C$2:$C$500,MATCH($B885,المكونات!$A$2:$A$500,0)),"")</f>
        <v>45</v>
      </c>
      <c r="F885" s="69" t="n">
        <f aca="false">IFERROR($C885*$E885,"")</f>
        <v>22.5</v>
      </c>
    </row>
    <row r="886" customFormat="false" ht="15" hidden="false" customHeight="true" outlineLevel="0" collapsed="false">
      <c r="A886" s="66" t="s">
        <v>450</v>
      </c>
      <c r="B886" s="66" t="s">
        <v>330</v>
      </c>
      <c r="C886" s="66" t="n">
        <v>1</v>
      </c>
      <c r="D886" s="67" t="str">
        <f aca="false">IFERROR(INDEX(المكونات!$B$2:$B$500,MATCH($B886,المكونات!$A$2:$A$500,0)),"")</f>
        <v>قطعة</v>
      </c>
      <c r="E886" s="68" t="n">
        <f aca="false">IFERROR(INDEX(المكونات!$C$2:$C$500,MATCH($B886,المكونات!$A$2:$A$500,0)),"")</f>
        <v>3.01306208333333</v>
      </c>
      <c r="F886" s="69" t="n">
        <f aca="false">IFERROR($C886*$E886,"")</f>
        <v>3.01306208333333</v>
      </c>
    </row>
    <row r="887" customFormat="false" ht="15" hidden="false" customHeight="true" outlineLevel="0" collapsed="false">
      <c r="A887" s="66" t="s">
        <v>450</v>
      </c>
      <c r="B887" s="66" t="s">
        <v>176</v>
      </c>
      <c r="C887" s="66" t="n">
        <v>1</v>
      </c>
      <c r="D887" s="67" t="str">
        <f aca="false">IFERROR(INDEX(المكونات!$B$2:$B$500,MATCH($B887,المكونات!$A$2:$A$500,0)),"")</f>
        <v>قطعة</v>
      </c>
      <c r="E887" s="68" t="n">
        <f aca="false">IFERROR(INDEX(المكونات!$C$2:$C$500,MATCH($B887,المكونات!$A$2:$A$500,0)),"")</f>
        <v>17.5</v>
      </c>
      <c r="F887" s="69" t="n">
        <f aca="false">IFERROR($C887*$E887,"")</f>
        <v>17.5</v>
      </c>
    </row>
    <row r="888" customFormat="false" ht="15" hidden="false" customHeight="true" outlineLevel="0" collapsed="false">
      <c r="A888" s="66" t="s">
        <v>450</v>
      </c>
      <c r="B888" s="66" t="s">
        <v>260</v>
      </c>
      <c r="C888" s="66" t="n">
        <v>0.03</v>
      </c>
      <c r="D888" s="67" t="str">
        <f aca="false">IFERROR(INDEX(المكونات!$B$2:$B$500,MATCH($B888,المكونات!$A$2:$A$500,0)),"")</f>
        <v>كجم</v>
      </c>
      <c r="E888" s="68" t="n">
        <f aca="false">IFERROR(INDEX(المكونات!$C$2:$C$500,MATCH($B888,المكونات!$A$2:$A$500,0)),"")</f>
        <v>21</v>
      </c>
      <c r="F888" s="69" t="n">
        <f aca="false">IFERROR($C888*$E888,"")</f>
        <v>0.63</v>
      </c>
    </row>
    <row r="889" customFormat="false" ht="15" hidden="false" customHeight="true" outlineLevel="0" collapsed="false">
      <c r="A889" s="66" t="s">
        <v>450</v>
      </c>
      <c r="B889" s="66" t="s">
        <v>284</v>
      </c>
      <c r="C889" s="66" t="n">
        <v>0.02</v>
      </c>
      <c r="D889" s="67" t="str">
        <f aca="false">IFERROR(INDEX(المكونات!$B$2:$B$500,MATCH($B889,المكونات!$A$2:$A$500,0)),"")</f>
        <v>كجم</v>
      </c>
      <c r="E889" s="68" t="n">
        <f aca="false">IFERROR(INDEX(المكونات!$C$2:$C$500,MATCH($B889,المكونات!$A$2:$A$500,0)),"")</f>
        <v>27</v>
      </c>
      <c r="F889" s="69" t="n">
        <f aca="false">IFERROR($C889*$E889,"")</f>
        <v>0.54</v>
      </c>
    </row>
    <row r="890" customFormat="false" ht="15" hidden="false" customHeight="true" outlineLevel="0" collapsed="false">
      <c r="A890" s="66" t="s">
        <v>450</v>
      </c>
      <c r="B890" s="66" t="s">
        <v>227</v>
      </c>
      <c r="C890" s="66" t="n">
        <v>0.02</v>
      </c>
      <c r="D890" s="67" t="str">
        <f aca="false">IFERROR(INDEX(المكونات!$B$2:$B$500,MATCH($B890,المكونات!$A$2:$A$500,0)),"")</f>
        <v>كجم</v>
      </c>
      <c r="E890" s="68" t="n">
        <f aca="false">IFERROR(INDEX(المكونات!$C$2:$C$500,MATCH($B890,المكونات!$A$2:$A$500,0)),"")</f>
        <v>95</v>
      </c>
      <c r="F890" s="69" t="n">
        <f aca="false">IFERROR($C890*$E890,"")</f>
        <v>1.9</v>
      </c>
    </row>
    <row r="891" customFormat="false" ht="15" hidden="false" customHeight="true" outlineLevel="0" collapsed="false">
      <c r="A891" s="66" t="s">
        <v>450</v>
      </c>
      <c r="B891" s="66" t="s">
        <v>297</v>
      </c>
      <c r="C891" s="66" t="n">
        <v>1</v>
      </c>
      <c r="D891" s="67" t="str">
        <f aca="false">IFERROR(INDEX(المكونات!$B$2:$B$500,MATCH($B891,المكونات!$A$2:$A$500,0)),"")</f>
        <v>قطعة</v>
      </c>
      <c r="E891" s="68" t="n">
        <f aca="false">IFERROR(INDEX(المكونات!$C$2:$C$500,MATCH($B891,المكونات!$A$2:$A$500,0)),"")</f>
        <v>2</v>
      </c>
      <c r="F891" s="69" t="n">
        <f aca="false">IFERROR($C891*$E891,"")</f>
        <v>2</v>
      </c>
    </row>
    <row r="892" customFormat="false" ht="15" hidden="false" customHeight="true" outlineLevel="0" collapsed="false">
      <c r="A892" s="66" t="s">
        <v>450</v>
      </c>
      <c r="B892" s="66" t="s">
        <v>234</v>
      </c>
      <c r="C892" s="66" t="n">
        <v>1</v>
      </c>
      <c r="D892" s="67" t="str">
        <f aca="false">IFERROR(INDEX(المكونات!$B$2:$B$500,MATCH($B892,المكونات!$A$2:$A$500,0)),"")</f>
        <v>قطعة (استخدام)</v>
      </c>
      <c r="E892" s="68" t="n">
        <f aca="false">IFERROR(INDEX(المكونات!$C$2:$C$500,MATCH($B892,المكونات!$A$2:$A$500,0)),"")</f>
        <v>2.5189</v>
      </c>
      <c r="F892" s="69" t="n">
        <f aca="false">IFERROR($C892*$E892,"")</f>
        <v>2.5189</v>
      </c>
    </row>
    <row r="893" customFormat="false" ht="15" hidden="false" customHeight="true" outlineLevel="0" collapsed="false">
      <c r="A893" s="66" t="s">
        <v>450</v>
      </c>
      <c r="B893" s="66" t="s">
        <v>158</v>
      </c>
      <c r="C893" s="66" t="n">
        <v>1</v>
      </c>
      <c r="D893" s="67" t="str">
        <f aca="false">IFERROR(INDEX(المكونات!$B$2:$B$500,MATCH($B893,المكونات!$A$2:$A$500,0)),"")</f>
        <v>قطعة</v>
      </c>
      <c r="E893" s="68" t="n">
        <f aca="false">IFERROR(INDEX(المكونات!$C$2:$C$500,MATCH($B893,المكونات!$A$2:$A$500,0)),"")</f>
        <v>33.982</v>
      </c>
      <c r="F893" s="69" t="n">
        <f aca="false">IFERROR($C893*$E893,"")</f>
        <v>33.982</v>
      </c>
    </row>
    <row r="894" customFormat="false" ht="15" hidden="false" customHeight="true" outlineLevel="0" collapsed="false">
      <c r="A894" s="66" t="s">
        <v>450</v>
      </c>
      <c r="B894" s="66" t="s">
        <v>252</v>
      </c>
      <c r="C894" s="66" t="n">
        <v>0.1</v>
      </c>
      <c r="D894" s="67" t="str">
        <f aca="false">IFERROR(INDEX(المكونات!$B$2:$B$500,MATCH($B894,المكونات!$A$2:$A$500,0)),"")</f>
        <v>كجم</v>
      </c>
      <c r="E894" s="68" t="n">
        <f aca="false">IFERROR(INDEX(المكونات!$C$2:$C$500,MATCH($B894,المكونات!$A$2:$A$500,0)),"")</f>
        <v>70</v>
      </c>
      <c r="F894" s="69" t="n">
        <f aca="false">IFERROR($C894*$E894,"")</f>
        <v>7</v>
      </c>
    </row>
    <row r="895" customFormat="false" ht="15" hidden="false" customHeight="true" outlineLevel="0" collapsed="false">
      <c r="A895" s="66" t="s">
        <v>431</v>
      </c>
      <c r="B895" s="66" t="s">
        <v>330</v>
      </c>
      <c r="C895" s="66" t="n">
        <v>1</v>
      </c>
      <c r="D895" s="67" t="str">
        <f aca="false">IFERROR(INDEX(المكونات!$B$2:$B$500,MATCH($B895,المكونات!$A$2:$A$500,0)),"")</f>
        <v>قطعة</v>
      </c>
      <c r="E895" s="68" t="n">
        <f aca="false">IFERROR(INDEX(المكونات!$C$2:$C$500,MATCH($B895,المكونات!$A$2:$A$500,0)),"")</f>
        <v>3.01306208333333</v>
      </c>
      <c r="F895" s="69" t="n">
        <f aca="false">IFERROR($C895*$E895,"")</f>
        <v>3.01306208333333</v>
      </c>
    </row>
    <row r="896" customFormat="false" ht="15" hidden="false" customHeight="true" outlineLevel="0" collapsed="false">
      <c r="A896" s="66" t="s">
        <v>431</v>
      </c>
      <c r="B896" s="66" t="s">
        <v>297</v>
      </c>
      <c r="C896" s="66" t="n">
        <v>1</v>
      </c>
      <c r="D896" s="67" t="str">
        <f aca="false">IFERROR(INDEX(المكونات!$B$2:$B$500,MATCH($B896,المكونات!$A$2:$A$500,0)),"")</f>
        <v>قطعة</v>
      </c>
      <c r="E896" s="68" t="n">
        <f aca="false">IFERROR(INDEX(المكونات!$C$2:$C$500,MATCH($B896,المكونات!$A$2:$A$500,0)),"")</f>
        <v>2</v>
      </c>
      <c r="F896" s="69" t="n">
        <f aca="false">IFERROR($C896*$E896,"")</f>
        <v>2</v>
      </c>
    </row>
    <row r="897" customFormat="false" ht="15" hidden="false" customHeight="true" outlineLevel="0" collapsed="false">
      <c r="A897" s="66" t="s">
        <v>202</v>
      </c>
      <c r="B897" s="66" t="s">
        <v>202</v>
      </c>
      <c r="C897" s="66" t="n">
        <v>1</v>
      </c>
      <c r="D897" s="67" t="str">
        <f aca="false">IFERROR(INDEX(المكونات!$B$2:$B$500,MATCH($B897,المكونات!$A$2:$A$500,0)),"")</f>
        <v>قطعة</v>
      </c>
      <c r="E897" s="68" t="n">
        <f aca="false">IFERROR(INDEX(المكونات!$C$2:$C$500,MATCH($B897,المكونات!$A$2:$A$500,0)),"")</f>
        <v>17.1875</v>
      </c>
      <c r="F897" s="69" t="n">
        <f aca="false">IFERROR($C897*$E897,"")</f>
        <v>17.1875</v>
      </c>
    </row>
    <row r="898" customFormat="false" ht="15" hidden="false" customHeight="true" outlineLevel="0" collapsed="false">
      <c r="A898" s="66" t="s">
        <v>204</v>
      </c>
      <c r="B898" s="66" t="s">
        <v>204</v>
      </c>
      <c r="C898" s="66" t="n">
        <v>1</v>
      </c>
      <c r="D898" s="67" t="str">
        <f aca="false">IFERROR(INDEX(المكونات!$B$2:$B$500,MATCH($B898,المكونات!$A$2:$A$500,0)),"")</f>
        <v>لتر</v>
      </c>
      <c r="E898" s="68" t="n">
        <f aca="false">IFERROR(INDEX(المكونات!$C$2:$C$500,MATCH($B898,المكونات!$A$2:$A$500,0)),"")</f>
        <v>30</v>
      </c>
      <c r="F898" s="69" t="n">
        <f aca="false">IFERROR($C898*$E898,"")</f>
        <v>30</v>
      </c>
    </row>
    <row r="899" customFormat="false" ht="15" hidden="false" customHeight="true" outlineLevel="0" collapsed="false">
      <c r="A899" s="66" t="s">
        <v>470</v>
      </c>
      <c r="B899" s="66" t="s">
        <v>146</v>
      </c>
      <c r="C899" s="66" t="n">
        <v>1.5</v>
      </c>
      <c r="D899" s="67" t="str">
        <f aca="false">IFERROR(INDEX(المكونات!$B$2:$B$500,MATCH($B899,المكونات!$A$2:$A$500,0)),"")</f>
        <v>قطعة</v>
      </c>
      <c r="E899" s="68" t="n">
        <f aca="false">IFERROR(INDEX(المكونات!$C$2:$C$500,MATCH($B899,المكونات!$A$2:$A$500,0)),"")</f>
        <v>5.65</v>
      </c>
      <c r="F899" s="69" t="n">
        <f aca="false">IFERROR($C899*$E899,"")</f>
        <v>8.475</v>
      </c>
    </row>
    <row r="900" customFormat="false" ht="15" hidden="false" customHeight="true" outlineLevel="0" collapsed="false">
      <c r="A900" s="66" t="s">
        <v>470</v>
      </c>
      <c r="B900" s="66" t="s">
        <v>274</v>
      </c>
      <c r="C900" s="66" t="n">
        <v>1</v>
      </c>
      <c r="D900" s="67" t="str">
        <f aca="false">IFERROR(INDEX(المكونات!$B$2:$B$500,MATCH($B900,المكونات!$A$2:$A$500,0)),"")</f>
        <v>قطعة</v>
      </c>
      <c r="E900" s="68" t="n">
        <f aca="false">IFERROR(INDEX(المكونات!$C$2:$C$500,MATCH($B900,المكونات!$A$2:$A$500,0)),"")</f>
        <v>1.7</v>
      </c>
      <c r="F900" s="69" t="n">
        <f aca="false">IFERROR($C900*$E900,"")</f>
        <v>1.7</v>
      </c>
    </row>
    <row r="901" customFormat="false" ht="15" hidden="false" customHeight="true" outlineLevel="0" collapsed="false">
      <c r="A901" s="66" t="s">
        <v>470</v>
      </c>
      <c r="B901" s="66" t="s">
        <v>290</v>
      </c>
      <c r="C901" s="66" t="n">
        <v>1</v>
      </c>
      <c r="D901" s="67" t="str">
        <f aca="false">IFERROR(INDEX(المكونات!$B$2:$B$500,MATCH($B901,المكونات!$A$2:$A$500,0)),"")</f>
        <v>قطعة</v>
      </c>
      <c r="E901" s="68" t="n">
        <f aca="false">IFERROR(INDEX(المكونات!$C$2:$C$500,MATCH($B901,المكونات!$A$2:$A$500,0)),"")</f>
        <v>0.3</v>
      </c>
      <c r="F901" s="69" t="n">
        <f aca="false">IFERROR($C901*$E901,"")</f>
        <v>0.3</v>
      </c>
    </row>
    <row r="902" customFormat="false" ht="15" hidden="false" customHeight="true" outlineLevel="0" collapsed="false">
      <c r="A902" s="66" t="s">
        <v>456</v>
      </c>
      <c r="B902" s="66" t="s">
        <v>146</v>
      </c>
      <c r="C902" s="66" t="n">
        <v>3</v>
      </c>
      <c r="D902" s="67" t="str">
        <f aca="false">IFERROR(INDEX(المكونات!$B$2:$B$500,MATCH($B902,المكونات!$A$2:$A$500,0)),"")</f>
        <v>قطعة</v>
      </c>
      <c r="E902" s="68" t="n">
        <f aca="false">IFERROR(INDEX(المكونات!$C$2:$C$500,MATCH($B902,المكونات!$A$2:$A$500,0)),"")</f>
        <v>5.65</v>
      </c>
      <c r="F902" s="69" t="n">
        <f aca="false">IFERROR($C902*$E902,"")</f>
        <v>16.95</v>
      </c>
    </row>
    <row r="903" customFormat="false" ht="15" hidden="false" customHeight="true" outlineLevel="0" collapsed="false">
      <c r="A903" s="66" t="s">
        <v>456</v>
      </c>
      <c r="B903" s="66" t="s">
        <v>276</v>
      </c>
      <c r="C903" s="66" t="n">
        <v>1</v>
      </c>
      <c r="D903" s="67" t="str">
        <f aca="false">IFERROR(INDEX(المكونات!$B$2:$B$500,MATCH($B903,المكونات!$A$2:$A$500,0)),"")</f>
        <v>قطعة</v>
      </c>
      <c r="E903" s="68" t="n">
        <f aca="false">IFERROR(INDEX(المكونات!$C$2:$C$500,MATCH($B903,المكونات!$A$2:$A$500,0)),"")</f>
        <v>2</v>
      </c>
      <c r="F903" s="69" t="n">
        <f aca="false">IFERROR($C903*$E903,"")</f>
        <v>2</v>
      </c>
    </row>
    <row r="904" customFormat="false" ht="15" hidden="false" customHeight="true" outlineLevel="0" collapsed="false">
      <c r="A904" s="66" t="s">
        <v>456</v>
      </c>
      <c r="B904" s="66" t="s">
        <v>290</v>
      </c>
      <c r="C904" s="66" t="n">
        <v>2</v>
      </c>
      <c r="D904" s="67" t="str">
        <f aca="false">IFERROR(INDEX(المكونات!$B$2:$B$500,MATCH($B904,المكونات!$A$2:$A$500,0)),"")</f>
        <v>قطعة</v>
      </c>
      <c r="E904" s="68" t="n">
        <f aca="false">IFERROR(INDEX(المكونات!$C$2:$C$500,MATCH($B904,المكونات!$A$2:$A$500,0)),"")</f>
        <v>0.3</v>
      </c>
      <c r="F904" s="69" t="n">
        <f aca="false">IFERROR($C904*$E904,"")</f>
        <v>0.6</v>
      </c>
    </row>
    <row r="905" customFormat="false" ht="15" hidden="false" customHeight="true" outlineLevel="0" collapsed="false">
      <c r="A905" s="66" t="s">
        <v>444</v>
      </c>
      <c r="B905" s="66" t="s">
        <v>146</v>
      </c>
      <c r="C905" s="66" t="n">
        <v>1.5</v>
      </c>
      <c r="D905" s="67" t="str">
        <f aca="false">IFERROR(INDEX(المكونات!$B$2:$B$500,MATCH($B905,المكونات!$A$2:$A$500,0)),"")</f>
        <v>قطعة</v>
      </c>
      <c r="E905" s="68" t="n">
        <f aca="false">IFERROR(INDEX(المكونات!$C$2:$C$500,MATCH($B905,المكونات!$A$2:$A$500,0)),"")</f>
        <v>5.65</v>
      </c>
      <c r="F905" s="69" t="n">
        <f aca="false">IFERROR($C905*$E905,"")</f>
        <v>8.475</v>
      </c>
    </row>
    <row r="906" customFormat="false" ht="15" hidden="false" customHeight="true" outlineLevel="0" collapsed="false">
      <c r="A906" s="66" t="s">
        <v>444</v>
      </c>
      <c r="B906" s="66" t="s">
        <v>274</v>
      </c>
      <c r="C906" s="66" t="n">
        <v>1</v>
      </c>
      <c r="D906" s="67" t="str">
        <f aca="false">IFERROR(INDEX(المكونات!$B$2:$B$500,MATCH($B906,المكونات!$A$2:$A$500,0)),"")</f>
        <v>قطعة</v>
      </c>
      <c r="E906" s="68" t="n">
        <f aca="false">IFERROR(INDEX(المكونات!$C$2:$C$500,MATCH($B906,المكونات!$A$2:$A$500,0)),"")</f>
        <v>1.7</v>
      </c>
      <c r="F906" s="69" t="n">
        <f aca="false">IFERROR($C906*$E906,"")</f>
        <v>1.7</v>
      </c>
    </row>
    <row r="907" customFormat="false" ht="15" hidden="false" customHeight="true" outlineLevel="0" collapsed="false">
      <c r="A907" s="66" t="s">
        <v>444</v>
      </c>
      <c r="B907" s="66" t="s">
        <v>290</v>
      </c>
      <c r="C907" s="66" t="n">
        <v>1</v>
      </c>
      <c r="D907" s="67" t="str">
        <f aca="false">IFERROR(INDEX(المكونات!$B$2:$B$500,MATCH($B907,المكونات!$A$2:$A$500,0)),"")</f>
        <v>قطعة</v>
      </c>
      <c r="E907" s="68" t="n">
        <f aca="false">IFERROR(INDEX(المكونات!$C$2:$C$500,MATCH($B907,المكونات!$A$2:$A$500,0)),"")</f>
        <v>0.3</v>
      </c>
      <c r="F907" s="69" t="n">
        <f aca="false">IFERROR($C907*$E907,"")</f>
        <v>0.3</v>
      </c>
    </row>
    <row r="908" customFormat="false" ht="15" hidden="false" customHeight="true" outlineLevel="0" collapsed="false">
      <c r="A908" s="66" t="s">
        <v>444</v>
      </c>
      <c r="B908" s="66" t="s">
        <v>258</v>
      </c>
      <c r="C908" s="66" t="n">
        <v>0.05</v>
      </c>
      <c r="D908" s="67" t="str">
        <f aca="false">IFERROR(INDEX(المكونات!$B$2:$B$500,MATCH($B908,المكونات!$A$2:$A$500,0)),"")</f>
        <v>كجم</v>
      </c>
      <c r="E908" s="68" t="n">
        <f aca="false">IFERROR(INDEX(المكونات!$C$2:$C$500,MATCH($B908,المكونات!$A$2:$A$500,0)),"")</f>
        <v>140</v>
      </c>
      <c r="F908" s="69" t="n">
        <f aca="false">IFERROR($C908*$E908,"")</f>
        <v>7</v>
      </c>
    </row>
    <row r="909" customFormat="false" ht="15" hidden="false" customHeight="true" outlineLevel="0" collapsed="false">
      <c r="A909" s="66" t="s">
        <v>440</v>
      </c>
      <c r="B909" s="66" t="s">
        <v>146</v>
      </c>
      <c r="C909" s="66" t="n">
        <v>3</v>
      </c>
      <c r="D909" s="67" t="str">
        <f aca="false">IFERROR(INDEX(المكونات!$B$2:$B$500,MATCH($B909,المكونات!$A$2:$A$500,0)),"")</f>
        <v>قطعة</v>
      </c>
      <c r="E909" s="68" t="n">
        <f aca="false">IFERROR(INDEX(المكونات!$C$2:$C$500,MATCH($B909,المكونات!$A$2:$A$500,0)),"")</f>
        <v>5.65</v>
      </c>
      <c r="F909" s="69" t="n">
        <f aca="false">IFERROR($C909*$E909,"")</f>
        <v>16.95</v>
      </c>
    </row>
    <row r="910" customFormat="false" ht="15" hidden="false" customHeight="true" outlineLevel="0" collapsed="false">
      <c r="A910" s="66" t="s">
        <v>440</v>
      </c>
      <c r="B910" s="66" t="s">
        <v>276</v>
      </c>
      <c r="C910" s="66" t="n">
        <v>1</v>
      </c>
      <c r="D910" s="67" t="str">
        <f aca="false">IFERROR(INDEX(المكونات!$B$2:$B$500,MATCH($B910,المكونات!$A$2:$A$500,0)),"")</f>
        <v>قطعة</v>
      </c>
      <c r="E910" s="68" t="n">
        <f aca="false">IFERROR(INDEX(المكونات!$C$2:$C$500,MATCH($B910,المكونات!$A$2:$A$500,0)),"")</f>
        <v>2</v>
      </c>
      <c r="F910" s="69" t="n">
        <f aca="false">IFERROR($C910*$E910,"")</f>
        <v>2</v>
      </c>
    </row>
    <row r="911" customFormat="false" ht="15" hidden="false" customHeight="true" outlineLevel="0" collapsed="false">
      <c r="A911" s="66" t="s">
        <v>440</v>
      </c>
      <c r="B911" s="66" t="s">
        <v>290</v>
      </c>
      <c r="C911" s="66" t="n">
        <v>2</v>
      </c>
      <c r="D911" s="67" t="str">
        <f aca="false">IFERROR(INDEX(المكونات!$B$2:$B$500,MATCH($B911,المكونات!$A$2:$A$500,0)),"")</f>
        <v>قطعة</v>
      </c>
      <c r="E911" s="68" t="n">
        <f aca="false">IFERROR(INDEX(المكونات!$C$2:$C$500,MATCH($B911,المكونات!$A$2:$A$500,0)),"")</f>
        <v>0.3</v>
      </c>
      <c r="F911" s="69" t="n">
        <f aca="false">IFERROR($C911*$E911,"")</f>
        <v>0.6</v>
      </c>
    </row>
    <row r="912" customFormat="false" ht="15" hidden="false" customHeight="true" outlineLevel="0" collapsed="false">
      <c r="A912" s="66" t="s">
        <v>440</v>
      </c>
      <c r="B912" s="66" t="s">
        <v>258</v>
      </c>
      <c r="C912" s="66" t="n">
        <v>0.1</v>
      </c>
      <c r="D912" s="67" t="str">
        <f aca="false">IFERROR(INDEX(المكونات!$B$2:$B$500,MATCH($B912,المكونات!$A$2:$A$500,0)),"")</f>
        <v>كجم</v>
      </c>
      <c r="E912" s="68" t="n">
        <f aca="false">IFERROR(INDEX(المكونات!$C$2:$C$500,MATCH($B912,المكونات!$A$2:$A$500,0)),"")</f>
        <v>140</v>
      </c>
      <c r="F912" s="69" t="n">
        <f aca="false">IFERROR($C912*$E912,"")</f>
        <v>14</v>
      </c>
    </row>
    <row r="913" customFormat="false" ht="15" hidden="false" customHeight="true" outlineLevel="0" collapsed="false">
      <c r="A913" s="66" t="s">
        <v>460</v>
      </c>
      <c r="B913" s="66" t="s">
        <v>264</v>
      </c>
      <c r="C913" s="66" t="n">
        <v>4</v>
      </c>
      <c r="D913" s="67" t="str">
        <f aca="false">IFERROR(INDEX(المكونات!$B$2:$B$500,MATCH($B913,المكونات!$A$2:$A$500,0)),"")</f>
        <v>قطعة</v>
      </c>
      <c r="E913" s="68" t="n">
        <f aca="false">IFERROR(INDEX(المكونات!$C$2:$C$500,MATCH($B913,المكونات!$A$2:$A$500,0)),"")</f>
        <v>4</v>
      </c>
      <c r="F913" s="69" t="n">
        <f aca="false">IFERROR($C913*$E913,"")</f>
        <v>16</v>
      </c>
    </row>
    <row r="914" customFormat="false" ht="15" hidden="false" customHeight="true" outlineLevel="0" collapsed="false">
      <c r="A914" s="66" t="s">
        <v>460</v>
      </c>
      <c r="B914" s="66" t="s">
        <v>232</v>
      </c>
      <c r="C914" s="66" t="n">
        <v>0.03</v>
      </c>
      <c r="D914" s="67" t="str">
        <f aca="false">IFERROR(INDEX(المكونات!$B$2:$B$500,MATCH($B914,المكونات!$A$2:$A$500,0)),"")</f>
        <v>كجم</v>
      </c>
      <c r="E914" s="68" t="n">
        <f aca="false">IFERROR(INDEX(المكونات!$C$2:$C$500,MATCH($B914,المكونات!$A$2:$A$500,0)),"")</f>
        <v>380</v>
      </c>
      <c r="F914" s="69" t="n">
        <f aca="false">IFERROR($C914*$E914,"")</f>
        <v>11.4</v>
      </c>
    </row>
    <row r="915" customFormat="false" ht="15" hidden="false" customHeight="true" outlineLevel="0" collapsed="false">
      <c r="A915" s="66" t="s">
        <v>460</v>
      </c>
      <c r="B915" s="66" t="s">
        <v>220</v>
      </c>
      <c r="C915" s="66" t="n">
        <v>0.05</v>
      </c>
      <c r="D915" s="67" t="str">
        <f aca="false">IFERROR(INDEX(المكونات!$B$2:$B$500,MATCH($B915,المكونات!$A$2:$A$500,0)),"")</f>
        <v>كجم</v>
      </c>
      <c r="E915" s="68" t="n">
        <f aca="false">IFERROR(INDEX(المكونات!$C$2:$C$500,MATCH($B915,المكونات!$A$2:$A$500,0)),"")</f>
        <v>120</v>
      </c>
      <c r="F915" s="69" t="n">
        <f aca="false">IFERROR($C915*$E915,"")</f>
        <v>6</v>
      </c>
    </row>
    <row r="916" customFormat="false" ht="26.25" hidden="false" customHeight="true" outlineLevel="0" collapsed="false">
      <c r="A916" s="66" t="s">
        <v>460</v>
      </c>
      <c r="B916" s="66" t="s">
        <v>192</v>
      </c>
      <c r="C916" s="66" t="n">
        <v>1</v>
      </c>
      <c r="D916" s="67" t="str">
        <f aca="false">IFERROR(INDEX(المكونات!$B$2:$B$500,MATCH($B916,المكونات!$A$2:$A$500,0)),"")</f>
        <v>قطعة (لفة استخدام)</v>
      </c>
      <c r="E916" s="68" t="n">
        <f aca="false">IFERROR(INDEX(المكونات!$C$2:$C$500,MATCH($B916,المكونات!$A$2:$A$500,0)),"")</f>
        <v>3.65</v>
      </c>
      <c r="F916" s="69" t="n">
        <f aca="false">IFERROR($C916*$E916,"")</f>
        <v>3.65</v>
      </c>
    </row>
    <row r="917" customFormat="false" ht="15" hidden="false" customHeight="true" outlineLevel="0" collapsed="false">
      <c r="A917" s="66" t="s">
        <v>460</v>
      </c>
      <c r="B917" s="66" t="s">
        <v>278</v>
      </c>
      <c r="C917" s="66" t="n">
        <v>1</v>
      </c>
      <c r="D917" s="67" t="str">
        <f aca="false">IFERROR(INDEX(المكونات!$B$2:$B$500,MATCH($B917,المكونات!$A$2:$A$500,0)),"")</f>
        <v>قطعة</v>
      </c>
      <c r="E917" s="68" t="n">
        <f aca="false">IFERROR(INDEX(المكونات!$C$2:$C$500,MATCH($B917,المكونات!$A$2:$A$500,0)),"")</f>
        <v>3.1</v>
      </c>
      <c r="F917" s="69" t="n">
        <f aca="false">IFERROR($C917*$E917,"")</f>
        <v>3.1</v>
      </c>
    </row>
    <row r="918" customFormat="false" ht="15" hidden="false" customHeight="true" outlineLevel="0" collapsed="false">
      <c r="A918" s="66" t="s">
        <v>460</v>
      </c>
      <c r="B918" s="66" t="s">
        <v>243</v>
      </c>
      <c r="C918" s="66" t="n">
        <v>1</v>
      </c>
      <c r="D918" s="67" t="str">
        <f aca="false">IFERROR(INDEX(المكونات!$B$2:$B$500,MATCH($B918,المكونات!$A$2:$A$500,0)),"")</f>
        <v>قطعة</v>
      </c>
      <c r="E918" s="68" t="n">
        <f aca="false">IFERROR(INDEX(المكونات!$C$2:$C$500,MATCH($B918,المكونات!$A$2:$A$500,0)),"")</f>
        <v>0.3</v>
      </c>
      <c r="F918" s="69" t="n">
        <f aca="false">IFERROR($C918*$E918,"")</f>
        <v>0.3</v>
      </c>
    </row>
    <row r="919" customFormat="false" ht="15" hidden="false" customHeight="true" outlineLevel="0" collapsed="false">
      <c r="A919" s="66" t="s">
        <v>460</v>
      </c>
      <c r="B919" s="66" t="s">
        <v>136</v>
      </c>
      <c r="C919" s="66" t="n">
        <v>1</v>
      </c>
      <c r="D919" s="67" t="str">
        <f aca="false">IFERROR(INDEX(المكونات!$B$2:$B$500,MATCH($B919,المكونات!$A$2:$A$500,0)),"")</f>
        <v>قطعة (كيس)</v>
      </c>
      <c r="E919" s="68" t="n">
        <f aca="false">IFERROR(INDEX(المكونات!$C$2:$C$500,MATCH($B919,المكونات!$A$2:$A$500,0)),"")</f>
        <v>1.4</v>
      </c>
      <c r="F919" s="69" t="n">
        <f aca="false">IFERROR($C919*$E919,"")</f>
        <v>1.4</v>
      </c>
    </row>
    <row r="920" customFormat="false" ht="15" hidden="false" customHeight="true" outlineLevel="0" collapsed="false">
      <c r="A920" s="66" t="s">
        <v>468</v>
      </c>
      <c r="B920" s="66" t="s">
        <v>264</v>
      </c>
      <c r="C920" s="66" t="n">
        <v>6</v>
      </c>
      <c r="D920" s="67" t="str">
        <f aca="false">IFERROR(INDEX(المكونات!$B$2:$B$500,MATCH($B920,المكونات!$A$2:$A$500,0)),"")</f>
        <v>قطعة</v>
      </c>
      <c r="E920" s="68" t="n">
        <f aca="false">IFERROR(INDEX(المكونات!$C$2:$C$500,MATCH($B920,المكونات!$A$2:$A$500,0)),"")</f>
        <v>4</v>
      </c>
      <c r="F920" s="69" t="n">
        <f aca="false">IFERROR($C920*$E920,"")</f>
        <v>24</v>
      </c>
    </row>
    <row r="921" customFormat="false" ht="15" hidden="false" customHeight="true" outlineLevel="0" collapsed="false">
      <c r="A921" s="66" t="s">
        <v>468</v>
      </c>
      <c r="B921" s="66" t="s">
        <v>232</v>
      </c>
      <c r="C921" s="66" t="n">
        <v>0.05</v>
      </c>
      <c r="D921" s="67" t="str">
        <f aca="false">IFERROR(INDEX(المكونات!$B$2:$B$500,MATCH($B921,المكونات!$A$2:$A$500,0)),"")</f>
        <v>كجم</v>
      </c>
      <c r="E921" s="68" t="n">
        <f aca="false">IFERROR(INDEX(المكونات!$C$2:$C$500,MATCH($B921,المكونات!$A$2:$A$500,0)),"")</f>
        <v>380</v>
      </c>
      <c r="F921" s="69" t="n">
        <f aca="false">IFERROR($C921*$E921,"")</f>
        <v>19</v>
      </c>
    </row>
    <row r="922" customFormat="false" ht="15" hidden="false" customHeight="true" outlineLevel="0" collapsed="false">
      <c r="A922" s="66" t="s">
        <v>468</v>
      </c>
      <c r="B922" s="66" t="s">
        <v>220</v>
      </c>
      <c r="C922" s="66" t="n">
        <v>0.1</v>
      </c>
      <c r="D922" s="67" t="str">
        <f aca="false">IFERROR(INDEX(المكونات!$B$2:$B$500,MATCH($B922,المكونات!$A$2:$A$500,0)),"")</f>
        <v>كجم</v>
      </c>
      <c r="E922" s="68" t="n">
        <f aca="false">IFERROR(INDEX(المكونات!$C$2:$C$500,MATCH($B922,المكونات!$A$2:$A$500,0)),"")</f>
        <v>120</v>
      </c>
      <c r="F922" s="69" t="n">
        <f aca="false">IFERROR($C922*$E922,"")</f>
        <v>12</v>
      </c>
    </row>
    <row r="923" customFormat="false" ht="26.25" hidden="false" customHeight="true" outlineLevel="0" collapsed="false">
      <c r="A923" s="66" t="s">
        <v>468</v>
      </c>
      <c r="B923" s="66" t="s">
        <v>192</v>
      </c>
      <c r="C923" s="66" t="n">
        <v>1</v>
      </c>
      <c r="D923" s="67" t="str">
        <f aca="false">IFERROR(INDEX(المكونات!$B$2:$B$500,MATCH($B923,المكونات!$A$2:$A$500,0)),"")</f>
        <v>قطعة (لفة استخدام)</v>
      </c>
      <c r="E923" s="68" t="n">
        <f aca="false">IFERROR(INDEX(المكونات!$C$2:$C$500,MATCH($B923,المكونات!$A$2:$A$500,0)),"")</f>
        <v>3.65</v>
      </c>
      <c r="F923" s="69" t="n">
        <f aca="false">IFERROR($C923*$E923,"")</f>
        <v>3.65</v>
      </c>
    </row>
    <row r="924" customFormat="false" ht="15" hidden="false" customHeight="true" outlineLevel="0" collapsed="false">
      <c r="A924" s="66" t="s">
        <v>468</v>
      </c>
      <c r="B924" s="66" t="s">
        <v>278</v>
      </c>
      <c r="C924" s="66" t="n">
        <v>1</v>
      </c>
      <c r="D924" s="67" t="str">
        <f aca="false">IFERROR(INDEX(المكونات!$B$2:$B$500,MATCH($B924,المكونات!$A$2:$A$500,0)),"")</f>
        <v>قطعة</v>
      </c>
      <c r="E924" s="68" t="n">
        <f aca="false">IFERROR(INDEX(المكونات!$C$2:$C$500,MATCH($B924,المكونات!$A$2:$A$500,0)),"")</f>
        <v>3.1</v>
      </c>
      <c r="F924" s="69" t="n">
        <f aca="false">IFERROR($C924*$E924,"")</f>
        <v>3.1</v>
      </c>
    </row>
    <row r="925" customFormat="false" ht="15" hidden="false" customHeight="true" outlineLevel="0" collapsed="false">
      <c r="A925" s="66" t="s">
        <v>468</v>
      </c>
      <c r="B925" s="66" t="s">
        <v>243</v>
      </c>
      <c r="C925" s="66" t="n">
        <v>1</v>
      </c>
      <c r="D925" s="67" t="str">
        <f aca="false">IFERROR(INDEX(المكونات!$B$2:$B$500,MATCH($B925,المكونات!$A$2:$A$500,0)),"")</f>
        <v>قطعة</v>
      </c>
      <c r="E925" s="68" t="n">
        <f aca="false">IFERROR(INDEX(المكونات!$C$2:$C$500,MATCH($B925,المكونات!$A$2:$A$500,0)),"")</f>
        <v>0.3</v>
      </c>
      <c r="F925" s="69" t="n">
        <f aca="false">IFERROR($C925*$E925,"")</f>
        <v>0.3</v>
      </c>
    </row>
    <row r="926" customFormat="false" ht="15" hidden="false" customHeight="true" outlineLevel="0" collapsed="false">
      <c r="A926" s="66" t="s">
        <v>468</v>
      </c>
      <c r="B926" s="66" t="s">
        <v>136</v>
      </c>
      <c r="C926" s="66" t="n">
        <v>1</v>
      </c>
      <c r="D926" s="67" t="str">
        <f aca="false">IFERROR(INDEX(المكونات!$B$2:$B$500,MATCH($B926,المكونات!$A$2:$A$500,0)),"")</f>
        <v>قطعة (كيس)</v>
      </c>
      <c r="E926" s="68" t="n">
        <f aca="false">IFERROR(INDEX(المكونات!$C$2:$C$500,MATCH($B926,المكونات!$A$2:$A$500,0)),"")</f>
        <v>1.4</v>
      </c>
      <c r="F926" s="69" t="n">
        <f aca="false">IFERROR($C926*$E926,"")</f>
        <v>1.4</v>
      </c>
    </row>
    <row r="927" customFormat="false" ht="15" hidden="false" customHeight="true" outlineLevel="0" collapsed="false">
      <c r="A927" s="66" t="s">
        <v>474</v>
      </c>
      <c r="B927" s="66" t="s">
        <v>264</v>
      </c>
      <c r="C927" s="66" t="n">
        <v>9</v>
      </c>
      <c r="D927" s="67" t="str">
        <f aca="false">IFERROR(INDEX(المكونات!$B$2:$B$500,MATCH($B927,المكونات!$A$2:$A$500,0)),"")</f>
        <v>قطعة</v>
      </c>
      <c r="E927" s="68" t="n">
        <f aca="false">IFERROR(INDEX(المكونات!$C$2:$C$500,MATCH($B927,المكونات!$A$2:$A$500,0)),"")</f>
        <v>4</v>
      </c>
      <c r="F927" s="69" t="n">
        <f aca="false">IFERROR($C927*$E927,"")</f>
        <v>36</v>
      </c>
    </row>
    <row r="928" customFormat="false" ht="15" hidden="false" customHeight="true" outlineLevel="0" collapsed="false">
      <c r="A928" s="66" t="s">
        <v>474</v>
      </c>
      <c r="B928" s="66" t="s">
        <v>232</v>
      </c>
      <c r="C928" s="66" t="n">
        <v>0.07</v>
      </c>
      <c r="D928" s="67" t="str">
        <f aca="false">IFERROR(INDEX(المكونات!$B$2:$B$500,MATCH($B928,المكونات!$A$2:$A$500,0)),"")</f>
        <v>كجم</v>
      </c>
      <c r="E928" s="68" t="n">
        <f aca="false">IFERROR(INDEX(المكونات!$C$2:$C$500,MATCH($B928,المكونات!$A$2:$A$500,0)),"")</f>
        <v>380</v>
      </c>
      <c r="F928" s="69" t="n">
        <f aca="false">IFERROR($C928*$E928,"")</f>
        <v>26.6</v>
      </c>
    </row>
    <row r="929" customFormat="false" ht="15" hidden="false" customHeight="true" outlineLevel="0" collapsed="false">
      <c r="A929" s="66" t="s">
        <v>474</v>
      </c>
      <c r="B929" s="66" t="s">
        <v>220</v>
      </c>
      <c r="C929" s="66" t="n">
        <v>0.15</v>
      </c>
      <c r="D929" s="67" t="str">
        <f aca="false">IFERROR(INDEX(المكونات!$B$2:$B$500,MATCH($B929,المكونات!$A$2:$A$500,0)),"")</f>
        <v>كجم</v>
      </c>
      <c r="E929" s="68" t="n">
        <f aca="false">IFERROR(INDEX(المكونات!$C$2:$C$500,MATCH($B929,المكونات!$A$2:$A$500,0)),"")</f>
        <v>120</v>
      </c>
      <c r="F929" s="69" t="n">
        <f aca="false">IFERROR($C929*$E929,"")</f>
        <v>18</v>
      </c>
    </row>
    <row r="930" customFormat="false" ht="26.25" hidden="false" customHeight="true" outlineLevel="0" collapsed="false">
      <c r="A930" s="66" t="s">
        <v>474</v>
      </c>
      <c r="B930" s="66" t="s">
        <v>192</v>
      </c>
      <c r="C930" s="66" t="n">
        <v>1</v>
      </c>
      <c r="D930" s="67" t="str">
        <f aca="false">IFERROR(INDEX(المكونات!$B$2:$B$500,MATCH($B930,المكونات!$A$2:$A$500,0)),"")</f>
        <v>قطعة (لفة استخدام)</v>
      </c>
      <c r="E930" s="68" t="n">
        <f aca="false">IFERROR(INDEX(المكونات!$C$2:$C$500,MATCH($B930,المكونات!$A$2:$A$500,0)),"")</f>
        <v>3.65</v>
      </c>
      <c r="F930" s="69" t="n">
        <f aca="false">IFERROR($C930*$E930,"")</f>
        <v>3.65</v>
      </c>
    </row>
    <row r="931" customFormat="false" ht="15" hidden="false" customHeight="true" outlineLevel="0" collapsed="false">
      <c r="A931" s="66" t="s">
        <v>474</v>
      </c>
      <c r="B931" s="66" t="s">
        <v>278</v>
      </c>
      <c r="C931" s="66" t="n">
        <v>1</v>
      </c>
      <c r="D931" s="67" t="str">
        <f aca="false">IFERROR(INDEX(المكونات!$B$2:$B$500,MATCH($B931,المكونات!$A$2:$A$500,0)),"")</f>
        <v>قطعة</v>
      </c>
      <c r="E931" s="68" t="n">
        <f aca="false">IFERROR(INDEX(المكونات!$C$2:$C$500,MATCH($B931,المكونات!$A$2:$A$500,0)),"")</f>
        <v>3.1</v>
      </c>
      <c r="F931" s="69" t="n">
        <f aca="false">IFERROR($C931*$E931,"")</f>
        <v>3.1</v>
      </c>
    </row>
    <row r="932" customFormat="false" ht="15" hidden="false" customHeight="true" outlineLevel="0" collapsed="false">
      <c r="A932" s="66" t="s">
        <v>474</v>
      </c>
      <c r="B932" s="66" t="s">
        <v>243</v>
      </c>
      <c r="C932" s="66" t="n">
        <v>1</v>
      </c>
      <c r="D932" s="67" t="str">
        <f aca="false">IFERROR(INDEX(المكونات!$B$2:$B$500,MATCH($B932,المكونات!$A$2:$A$500,0)),"")</f>
        <v>قطعة</v>
      </c>
      <c r="E932" s="68" t="n">
        <f aca="false">IFERROR(INDEX(المكونات!$C$2:$C$500,MATCH($B932,المكونات!$A$2:$A$500,0)),"")</f>
        <v>0.3</v>
      </c>
      <c r="F932" s="69" t="n">
        <f aca="false">IFERROR($C932*$E932,"")</f>
        <v>0.3</v>
      </c>
    </row>
    <row r="933" customFormat="false" ht="15" hidden="false" customHeight="true" outlineLevel="0" collapsed="false">
      <c r="A933" s="66" t="s">
        <v>474</v>
      </c>
      <c r="B933" s="66" t="s">
        <v>136</v>
      </c>
      <c r="C933" s="66" t="n">
        <v>1</v>
      </c>
      <c r="D933" s="67" t="str">
        <f aca="false">IFERROR(INDEX(المكونات!$B$2:$B$500,MATCH($B933,المكونات!$A$2:$A$500,0)),"")</f>
        <v>قطعة (كيس)</v>
      </c>
      <c r="E933" s="68" t="n">
        <f aca="false">IFERROR(INDEX(المكونات!$C$2:$C$500,MATCH($B933,المكونات!$A$2:$A$500,0)),"")</f>
        <v>1.4</v>
      </c>
      <c r="F933" s="69" t="n">
        <f aca="false">IFERROR($C933*$E933,"")</f>
        <v>1.4</v>
      </c>
    </row>
    <row r="934" customFormat="false" ht="15" hidden="false" customHeight="true" outlineLevel="0" collapsed="false">
      <c r="A934" s="66" t="s">
        <v>471</v>
      </c>
      <c r="B934" s="66" t="s">
        <v>262</v>
      </c>
      <c r="C934" s="66" t="n">
        <v>0.22</v>
      </c>
      <c r="D934" s="67" t="str">
        <f aca="false">IFERROR(INDEX(المكونات!$B$2:$B$500,MATCH($B934,المكونات!$A$2:$A$500,0)),"")</f>
        <v>كجم</v>
      </c>
      <c r="E934" s="68" t="n">
        <f aca="false">IFERROR(INDEX(المكونات!$C$2:$C$500,MATCH($B934,المكونات!$A$2:$A$500,0)),"")</f>
        <v>22</v>
      </c>
      <c r="F934" s="69" t="n">
        <f aca="false">IFERROR($C934*$E934,"")</f>
        <v>4.84</v>
      </c>
    </row>
    <row r="935" customFormat="false" ht="15" hidden="false" customHeight="true" outlineLevel="0" collapsed="false">
      <c r="A935" s="66" t="s">
        <v>471</v>
      </c>
      <c r="B935" s="66" t="s">
        <v>250</v>
      </c>
      <c r="C935" s="66" t="n">
        <v>0.04</v>
      </c>
      <c r="D935" s="67" t="str">
        <f aca="false">IFERROR(INDEX(المكونات!$B$2:$B$500,MATCH($B935,المكونات!$A$2:$A$500,0)),"")</f>
        <v>كجم</v>
      </c>
      <c r="E935" s="68" t="n">
        <f aca="false">IFERROR(INDEX(المكونات!$C$2:$C$500,MATCH($B935,المكونات!$A$2:$A$500,0)),"")</f>
        <v>32</v>
      </c>
      <c r="F935" s="69" t="n">
        <f aca="false">IFERROR($C935*$E935,"")</f>
        <v>1.28</v>
      </c>
    </row>
    <row r="936" customFormat="false" ht="15" hidden="false" customHeight="true" outlineLevel="0" collapsed="false">
      <c r="A936" s="66" t="s">
        <v>471</v>
      </c>
      <c r="B936" s="66" t="s">
        <v>260</v>
      </c>
      <c r="C936" s="66" t="n">
        <v>0.03</v>
      </c>
      <c r="D936" s="67" t="str">
        <f aca="false">IFERROR(INDEX(المكونات!$B$2:$B$500,MATCH($B936,المكونات!$A$2:$A$500,0)),"")</f>
        <v>كجم</v>
      </c>
      <c r="E936" s="68" t="n">
        <f aca="false">IFERROR(INDEX(المكونات!$C$2:$C$500,MATCH($B936,المكونات!$A$2:$A$500,0)),"")</f>
        <v>21</v>
      </c>
      <c r="F936" s="69" t="n">
        <f aca="false">IFERROR($C936*$E936,"")</f>
        <v>0.63</v>
      </c>
    </row>
    <row r="937" customFormat="false" ht="15" hidden="false" customHeight="true" outlineLevel="0" collapsed="false">
      <c r="A937" s="66" t="s">
        <v>471</v>
      </c>
      <c r="B937" s="66" t="s">
        <v>284</v>
      </c>
      <c r="C937" s="66" t="n">
        <v>0.02</v>
      </c>
      <c r="D937" s="67" t="str">
        <f aca="false">IFERROR(INDEX(المكونات!$B$2:$B$500,MATCH($B937,المكونات!$A$2:$A$500,0)),"")</f>
        <v>كجم</v>
      </c>
      <c r="E937" s="68" t="n">
        <f aca="false">IFERROR(INDEX(المكونات!$C$2:$C$500,MATCH($B937,المكونات!$A$2:$A$500,0)),"")</f>
        <v>27</v>
      </c>
      <c r="F937" s="69" t="n">
        <f aca="false">IFERROR($C937*$E937,"")</f>
        <v>0.54</v>
      </c>
    </row>
    <row r="938" customFormat="false" ht="15" hidden="false" customHeight="true" outlineLevel="0" collapsed="false">
      <c r="A938" s="66" t="s">
        <v>471</v>
      </c>
      <c r="B938" s="66" t="s">
        <v>227</v>
      </c>
      <c r="C938" s="66" t="n">
        <v>0.02</v>
      </c>
      <c r="D938" s="67" t="str">
        <f aca="false">IFERROR(INDEX(المكونات!$B$2:$B$500,MATCH($B938,المكونات!$A$2:$A$500,0)),"")</f>
        <v>كجم</v>
      </c>
      <c r="E938" s="68" t="n">
        <f aca="false">IFERROR(INDEX(المكونات!$C$2:$C$500,MATCH($B938,المكونات!$A$2:$A$500,0)),"")</f>
        <v>95</v>
      </c>
      <c r="F938" s="69" t="n">
        <f aca="false">IFERROR($C938*$E938,"")</f>
        <v>1.9</v>
      </c>
    </row>
    <row r="939" customFormat="false" ht="15" hidden="false" customHeight="true" outlineLevel="0" collapsed="false">
      <c r="A939" s="66" t="s">
        <v>471</v>
      </c>
      <c r="B939" s="66" t="s">
        <v>176</v>
      </c>
      <c r="C939" s="66" t="n">
        <v>1</v>
      </c>
      <c r="D939" s="67" t="str">
        <f aca="false">IFERROR(INDEX(المكونات!$B$2:$B$500,MATCH($B939,المكونات!$A$2:$A$500,0)),"")</f>
        <v>قطعة</v>
      </c>
      <c r="E939" s="68" t="n">
        <f aca="false">IFERROR(INDEX(المكونات!$C$2:$C$500,MATCH($B939,المكونات!$A$2:$A$500,0)),"")</f>
        <v>17.5</v>
      </c>
      <c r="F939" s="69" t="n">
        <f aca="false">IFERROR($C939*$E939,"")</f>
        <v>17.5</v>
      </c>
    </row>
    <row r="940" customFormat="false" ht="15" hidden="false" customHeight="true" outlineLevel="0" collapsed="false">
      <c r="A940" s="66" t="s">
        <v>471</v>
      </c>
      <c r="B940" s="66" t="s">
        <v>270</v>
      </c>
      <c r="C940" s="66" t="n">
        <v>1</v>
      </c>
      <c r="D940" s="67" t="str">
        <f aca="false">IFERROR(INDEX(المكونات!$B$2:$B$500,MATCH($B940,المكونات!$A$2:$A$500,0)),"")</f>
        <v>قطعة</v>
      </c>
      <c r="E940" s="68" t="n">
        <f aca="false">IFERROR(INDEX(المكونات!$C$2:$C$500,MATCH($B940,المكونات!$A$2:$A$500,0)),"")</f>
        <v>4.5</v>
      </c>
      <c r="F940" s="69" t="n">
        <f aca="false">IFERROR($C940*$E940,"")</f>
        <v>4.5</v>
      </c>
    </row>
    <row r="941" customFormat="false" ht="15" hidden="false" customHeight="true" outlineLevel="0" collapsed="false">
      <c r="A941" s="66" t="s">
        <v>471</v>
      </c>
      <c r="B941" s="66" t="s">
        <v>290</v>
      </c>
      <c r="C941" s="66" t="n">
        <v>2</v>
      </c>
      <c r="D941" s="67" t="str">
        <f aca="false">IFERROR(INDEX(المكونات!$B$2:$B$500,MATCH($B941,المكونات!$A$2:$A$500,0)),"")</f>
        <v>قطعة</v>
      </c>
      <c r="E941" s="68" t="n">
        <f aca="false">IFERROR(INDEX(المكونات!$C$2:$C$500,MATCH($B941,المكونات!$A$2:$A$500,0)),"")</f>
        <v>0.3</v>
      </c>
      <c r="F941" s="69" t="n">
        <f aca="false">IFERROR($C941*$E941,"")</f>
        <v>0.6</v>
      </c>
    </row>
    <row r="942" customFormat="false" ht="15" hidden="false" customHeight="true" outlineLevel="0" collapsed="false">
      <c r="A942" s="66" t="s">
        <v>471</v>
      </c>
      <c r="B942" s="66" t="s">
        <v>319</v>
      </c>
      <c r="C942" s="66" t="n">
        <v>1</v>
      </c>
      <c r="D942" s="67" t="str">
        <f aca="false">IFERROR(INDEX(المكونات!$B$2:$B$500,MATCH($B942,المكونات!$A$2:$A$500,0)),"")</f>
        <v>قطعة (ورقة)</v>
      </c>
      <c r="E942" s="68" t="n">
        <f aca="false">IFERROR(INDEX(المكونات!$C$2:$C$500,MATCH($B942,المكونات!$A$2:$A$500,0)),"")</f>
        <v>0.3665</v>
      </c>
      <c r="F942" s="69" t="n">
        <f aca="false">IFERROR($C942*$E942,"")</f>
        <v>0.3665</v>
      </c>
    </row>
    <row r="943" customFormat="false" ht="15" hidden="false" customHeight="true" outlineLevel="0" collapsed="false">
      <c r="A943" s="66" t="s">
        <v>471</v>
      </c>
      <c r="B943" s="66" t="s">
        <v>133</v>
      </c>
      <c r="C943" s="66" t="n">
        <v>1</v>
      </c>
      <c r="D943" s="67" t="str">
        <f aca="false">IFERROR(INDEX(المكونات!$B$2:$B$500,MATCH($B943,المكونات!$A$2:$A$500,0)),"")</f>
        <v>قطعة (كيس)</v>
      </c>
      <c r="E943" s="68" t="n">
        <f aca="false">IFERROR(INDEX(المكونات!$C$2:$C$500,MATCH($B943,المكونات!$A$2:$A$500,0)),"")</f>
        <v>1.4</v>
      </c>
      <c r="F943" s="69" t="n">
        <f aca="false">IFERROR($C943*$E943,"")</f>
        <v>1.4</v>
      </c>
    </row>
    <row r="944" customFormat="false" ht="15" hidden="false" customHeight="true" outlineLevel="0" collapsed="false">
      <c r="A944" s="66" t="s">
        <v>471</v>
      </c>
      <c r="B944" s="66" t="s">
        <v>293</v>
      </c>
      <c r="C944" s="66" t="n">
        <v>1</v>
      </c>
      <c r="D944" s="67" t="str">
        <f aca="false">IFERROR(INDEX(المكونات!$B$2:$B$500,MATCH($B944,المكونات!$A$2:$A$500,0)),"")</f>
        <v>قطعة</v>
      </c>
      <c r="E944" s="68" t="n">
        <f aca="false">IFERROR(INDEX(المكونات!$C$2:$C$500,MATCH($B944,المكونات!$A$2:$A$500,0)),"")</f>
        <v>0.5</v>
      </c>
      <c r="F944" s="69" t="n">
        <f aca="false">IFERROR($C944*$E944,"")</f>
        <v>0.5</v>
      </c>
    </row>
    <row r="945" customFormat="false" ht="15" hidden="false" customHeight="true" outlineLevel="0" collapsed="false">
      <c r="A945" s="66" t="s">
        <v>471</v>
      </c>
      <c r="B945" s="66" t="s">
        <v>211</v>
      </c>
      <c r="C945" s="66" t="n">
        <v>2</v>
      </c>
      <c r="D945" s="67" t="str">
        <f aca="false">IFERROR(INDEX(المكونات!$B$2:$B$500,MATCH($B945,المكونات!$A$2:$A$500,0)),"")</f>
        <v>قطعة (جلفز)</v>
      </c>
      <c r="E945" s="68" t="n">
        <f aca="false">IFERROR(INDEX(المكونات!$C$2:$C$500,MATCH($B945,المكونات!$A$2:$A$500,0)),"")</f>
        <v>0.18</v>
      </c>
      <c r="F945" s="69" t="n">
        <f aca="false">IFERROR($C945*$E945,"")</f>
        <v>0.36</v>
      </c>
    </row>
    <row r="946" customFormat="false" ht="15" hidden="false" customHeight="true" outlineLevel="0" collapsed="false">
      <c r="A946" s="66" t="s">
        <v>471</v>
      </c>
      <c r="B946" s="66" t="s">
        <v>322</v>
      </c>
      <c r="C946" s="66" t="n">
        <v>1</v>
      </c>
      <c r="D946" s="67" t="str">
        <f aca="false">IFERROR(INDEX(المكونات!$B$2:$B$500,MATCH($B946,المكونات!$A$2:$A$500,0)),"")</f>
        <v>قطعة (كيس)</v>
      </c>
      <c r="E946" s="68" t="n">
        <f aca="false">IFERROR(INDEX(المكونات!$C$2:$C$500,MATCH($B946,المكونات!$A$2:$A$500,0)),"")</f>
        <v>1</v>
      </c>
      <c r="F946" s="69" t="n">
        <f aca="false">IFERROR($C946*$E946,"")</f>
        <v>1</v>
      </c>
    </row>
    <row r="947" customFormat="false" ht="15" hidden="false" customHeight="true" outlineLevel="0" collapsed="false">
      <c r="A947" s="66" t="s">
        <v>497</v>
      </c>
      <c r="B947" s="66" t="s">
        <v>262</v>
      </c>
      <c r="C947" s="66" t="n">
        <v>0.3</v>
      </c>
      <c r="D947" s="67" t="str">
        <f aca="false">IFERROR(INDEX(المكونات!$B$2:$B$500,MATCH($B947,المكونات!$A$2:$A$500,0)),"")</f>
        <v>كجم</v>
      </c>
      <c r="E947" s="68" t="n">
        <f aca="false">IFERROR(INDEX(المكونات!$C$2:$C$500,MATCH($B947,المكونات!$A$2:$A$500,0)),"")</f>
        <v>22</v>
      </c>
      <c r="F947" s="69" t="n">
        <f aca="false">IFERROR($C947*$E947,"")</f>
        <v>6.6</v>
      </c>
    </row>
    <row r="948" customFormat="false" ht="15" hidden="false" customHeight="true" outlineLevel="0" collapsed="false">
      <c r="A948" s="66" t="s">
        <v>497</v>
      </c>
      <c r="B948" s="66" t="s">
        <v>250</v>
      </c>
      <c r="C948" s="66" t="n">
        <v>0.06</v>
      </c>
      <c r="D948" s="67" t="str">
        <f aca="false">IFERROR(INDEX(المكونات!$B$2:$B$500,MATCH($B948,المكونات!$A$2:$A$500,0)),"")</f>
        <v>كجم</v>
      </c>
      <c r="E948" s="68" t="n">
        <f aca="false">IFERROR(INDEX(المكونات!$C$2:$C$500,MATCH($B948,المكونات!$A$2:$A$500,0)),"")</f>
        <v>32</v>
      </c>
      <c r="F948" s="69" t="n">
        <f aca="false">IFERROR($C948*$E948,"")</f>
        <v>1.92</v>
      </c>
    </row>
    <row r="949" customFormat="false" ht="15" hidden="false" customHeight="true" outlineLevel="0" collapsed="false">
      <c r="A949" s="66" t="s">
        <v>497</v>
      </c>
      <c r="B949" s="66" t="s">
        <v>260</v>
      </c>
      <c r="C949" s="66" t="n">
        <v>0.045</v>
      </c>
      <c r="D949" s="67" t="str">
        <f aca="false">IFERROR(INDEX(المكونات!$B$2:$B$500,MATCH($B949,المكونات!$A$2:$A$500,0)),"")</f>
        <v>كجم</v>
      </c>
      <c r="E949" s="68" t="n">
        <f aca="false">IFERROR(INDEX(المكونات!$C$2:$C$500,MATCH($B949,المكونات!$A$2:$A$500,0)),"")</f>
        <v>21</v>
      </c>
      <c r="F949" s="69" t="n">
        <f aca="false">IFERROR($C949*$E949,"")</f>
        <v>0.945</v>
      </c>
    </row>
    <row r="950" customFormat="false" ht="15" hidden="false" customHeight="true" outlineLevel="0" collapsed="false">
      <c r="A950" s="66" t="s">
        <v>497</v>
      </c>
      <c r="B950" s="66" t="s">
        <v>284</v>
      </c>
      <c r="C950" s="66" t="n">
        <v>0.03</v>
      </c>
      <c r="D950" s="67" t="str">
        <f aca="false">IFERROR(INDEX(المكونات!$B$2:$B$500,MATCH($B950,المكونات!$A$2:$A$500,0)),"")</f>
        <v>كجم</v>
      </c>
      <c r="E950" s="68" t="n">
        <f aca="false">IFERROR(INDEX(المكونات!$C$2:$C$500,MATCH($B950,المكونات!$A$2:$A$500,0)),"")</f>
        <v>27</v>
      </c>
      <c r="F950" s="69" t="n">
        <f aca="false">IFERROR($C950*$E950,"")</f>
        <v>0.81</v>
      </c>
    </row>
    <row r="951" customFormat="false" ht="15" hidden="false" customHeight="true" outlineLevel="0" collapsed="false">
      <c r="A951" s="66" t="s">
        <v>497</v>
      </c>
      <c r="B951" s="66" t="s">
        <v>227</v>
      </c>
      <c r="C951" s="66" t="n">
        <v>0.03</v>
      </c>
      <c r="D951" s="67" t="str">
        <f aca="false">IFERROR(INDEX(المكونات!$B$2:$B$500,MATCH($B951,المكونات!$A$2:$A$500,0)),"")</f>
        <v>كجم</v>
      </c>
      <c r="E951" s="68" t="n">
        <f aca="false">IFERROR(INDEX(المكونات!$C$2:$C$500,MATCH($B951,المكونات!$A$2:$A$500,0)),"")</f>
        <v>95</v>
      </c>
      <c r="F951" s="69" t="n">
        <f aca="false">IFERROR($C951*$E951,"")</f>
        <v>2.85</v>
      </c>
    </row>
    <row r="952" customFormat="false" ht="15" hidden="false" customHeight="true" outlineLevel="0" collapsed="false">
      <c r="A952" s="66" t="s">
        <v>497</v>
      </c>
      <c r="B952" s="66" t="s">
        <v>178</v>
      </c>
      <c r="C952" s="66" t="n">
        <v>1</v>
      </c>
      <c r="D952" s="67" t="str">
        <f aca="false">IFERROR(INDEX(المكونات!$B$2:$B$500,MATCH($B952,المكونات!$A$2:$A$500,0)),"")</f>
        <v>قطعة</v>
      </c>
      <c r="E952" s="68" t="n">
        <f aca="false">IFERROR(INDEX(المكونات!$C$2:$C$500,MATCH($B952,المكونات!$A$2:$A$500,0)),"")</f>
        <v>25</v>
      </c>
      <c r="F952" s="69" t="n">
        <f aca="false">IFERROR($C952*$E952,"")</f>
        <v>25</v>
      </c>
    </row>
    <row r="953" customFormat="false" ht="15" hidden="false" customHeight="true" outlineLevel="0" collapsed="false">
      <c r="A953" s="66" t="s">
        <v>497</v>
      </c>
      <c r="B953" s="66" t="s">
        <v>268</v>
      </c>
      <c r="C953" s="66" t="n">
        <v>1</v>
      </c>
      <c r="D953" s="67" t="str">
        <f aca="false">IFERROR(INDEX(المكونات!$B$2:$B$500,MATCH($B953,المكونات!$A$2:$A$500,0)),"")</f>
        <v>قطعة</v>
      </c>
      <c r="E953" s="68" t="n">
        <f aca="false">IFERROR(INDEX(المكونات!$C$2:$C$500,MATCH($B953,المكونات!$A$2:$A$500,0)),"")</f>
        <v>5.5</v>
      </c>
      <c r="F953" s="69" t="n">
        <f aca="false">IFERROR($C953*$E953,"")</f>
        <v>5.5</v>
      </c>
    </row>
    <row r="954" customFormat="false" ht="15" hidden="false" customHeight="true" outlineLevel="0" collapsed="false">
      <c r="A954" s="66" t="s">
        <v>497</v>
      </c>
      <c r="B954" s="66" t="s">
        <v>290</v>
      </c>
      <c r="C954" s="66" t="n">
        <v>3</v>
      </c>
      <c r="D954" s="67" t="str">
        <f aca="false">IFERROR(INDEX(المكونات!$B$2:$B$500,MATCH($B954,المكونات!$A$2:$A$500,0)),"")</f>
        <v>قطعة</v>
      </c>
      <c r="E954" s="68" t="n">
        <f aca="false">IFERROR(INDEX(المكونات!$C$2:$C$500,MATCH($B954,المكونات!$A$2:$A$500,0)),"")</f>
        <v>0.3</v>
      </c>
      <c r="F954" s="69" t="n">
        <f aca="false">IFERROR($C954*$E954,"")</f>
        <v>0.9</v>
      </c>
    </row>
    <row r="955" customFormat="false" ht="15" hidden="false" customHeight="true" outlineLevel="0" collapsed="false">
      <c r="A955" s="66" t="s">
        <v>497</v>
      </c>
      <c r="B955" s="66" t="s">
        <v>319</v>
      </c>
      <c r="C955" s="66" t="n">
        <v>1</v>
      </c>
      <c r="D955" s="67" t="str">
        <f aca="false">IFERROR(INDEX(المكونات!$B$2:$B$500,MATCH($B955,المكونات!$A$2:$A$500,0)),"")</f>
        <v>قطعة (ورقة)</v>
      </c>
      <c r="E955" s="68" t="n">
        <f aca="false">IFERROR(INDEX(المكونات!$C$2:$C$500,MATCH($B955,المكونات!$A$2:$A$500,0)),"")</f>
        <v>0.3665</v>
      </c>
      <c r="F955" s="69" t="n">
        <f aca="false">IFERROR($C955*$E955,"")</f>
        <v>0.3665</v>
      </c>
    </row>
    <row r="956" customFormat="false" ht="15" hidden="false" customHeight="true" outlineLevel="0" collapsed="false">
      <c r="A956" s="66" t="s">
        <v>497</v>
      </c>
      <c r="B956" s="66" t="s">
        <v>133</v>
      </c>
      <c r="C956" s="66" t="n">
        <v>1</v>
      </c>
      <c r="D956" s="67" t="str">
        <f aca="false">IFERROR(INDEX(المكونات!$B$2:$B$500,MATCH($B956,المكونات!$A$2:$A$500,0)),"")</f>
        <v>قطعة (كيس)</v>
      </c>
      <c r="E956" s="68" t="n">
        <f aca="false">IFERROR(INDEX(المكونات!$C$2:$C$500,MATCH($B956,المكونات!$A$2:$A$500,0)),"")</f>
        <v>1.4</v>
      </c>
      <c r="F956" s="69" t="n">
        <f aca="false">IFERROR($C956*$E956,"")</f>
        <v>1.4</v>
      </c>
    </row>
    <row r="957" customFormat="false" ht="15" hidden="false" customHeight="true" outlineLevel="0" collapsed="false">
      <c r="A957" s="66" t="s">
        <v>497</v>
      </c>
      <c r="B957" s="66" t="s">
        <v>293</v>
      </c>
      <c r="C957" s="66" t="n">
        <v>1</v>
      </c>
      <c r="D957" s="67" t="str">
        <f aca="false">IFERROR(INDEX(المكونات!$B$2:$B$500,MATCH($B957,المكونات!$A$2:$A$500,0)),"")</f>
        <v>قطعة</v>
      </c>
      <c r="E957" s="68" t="n">
        <f aca="false">IFERROR(INDEX(المكونات!$C$2:$C$500,MATCH($B957,المكونات!$A$2:$A$500,0)),"")</f>
        <v>0.5</v>
      </c>
      <c r="F957" s="69" t="n">
        <f aca="false">IFERROR($C957*$E957,"")</f>
        <v>0.5</v>
      </c>
    </row>
    <row r="958" customFormat="false" ht="15" hidden="false" customHeight="true" outlineLevel="0" collapsed="false">
      <c r="A958" s="66" t="s">
        <v>497</v>
      </c>
      <c r="B958" s="66" t="s">
        <v>211</v>
      </c>
      <c r="C958" s="66" t="n">
        <v>2</v>
      </c>
      <c r="D958" s="67" t="str">
        <f aca="false">IFERROR(INDEX(المكونات!$B$2:$B$500,MATCH($B958,المكونات!$A$2:$A$500,0)),"")</f>
        <v>قطعة (جلفز)</v>
      </c>
      <c r="E958" s="68" t="n">
        <f aca="false">IFERROR(INDEX(المكونات!$C$2:$C$500,MATCH($B958,المكونات!$A$2:$A$500,0)),"")</f>
        <v>0.18</v>
      </c>
      <c r="F958" s="69" t="n">
        <f aca="false">IFERROR($C958*$E958,"")</f>
        <v>0.36</v>
      </c>
    </row>
    <row r="959" customFormat="false" ht="15" hidden="false" customHeight="true" outlineLevel="0" collapsed="false">
      <c r="A959" s="66" t="s">
        <v>497</v>
      </c>
      <c r="B959" s="66" t="s">
        <v>322</v>
      </c>
      <c r="C959" s="66" t="n">
        <v>1</v>
      </c>
      <c r="D959" s="67" t="str">
        <f aca="false">IFERROR(INDEX(المكونات!$B$2:$B$500,MATCH($B959,المكونات!$A$2:$A$500,0)),"")</f>
        <v>قطعة (كيس)</v>
      </c>
      <c r="E959" s="68" t="n">
        <f aca="false">IFERROR(INDEX(المكونات!$C$2:$C$500,MATCH($B959,المكونات!$A$2:$A$500,0)),"")</f>
        <v>1</v>
      </c>
      <c r="F959" s="69" t="n">
        <f aca="false">IFERROR($C959*$E959,"")</f>
        <v>1</v>
      </c>
    </row>
    <row r="960" customFormat="false" ht="15" hidden="false" customHeight="true" outlineLevel="0" collapsed="false">
      <c r="A960" s="66" t="s">
        <v>395</v>
      </c>
      <c r="B960" s="66" t="s">
        <v>262</v>
      </c>
      <c r="C960" s="66" t="n">
        <v>0.22</v>
      </c>
      <c r="D960" s="67" t="str">
        <f aca="false">IFERROR(INDEX(المكونات!$B$2:$B$500,MATCH($B960,المكونات!$A$2:$A$500,0)),"")</f>
        <v>كجم</v>
      </c>
      <c r="E960" s="68" t="n">
        <f aca="false">IFERROR(INDEX(المكونات!$C$2:$C$500,MATCH($B960,المكونات!$A$2:$A$500,0)),"")</f>
        <v>22</v>
      </c>
      <c r="F960" s="69" t="n">
        <f aca="false">IFERROR($C960*$E960,"")</f>
        <v>4.84</v>
      </c>
    </row>
    <row r="961" customFormat="false" ht="15" hidden="false" customHeight="true" outlineLevel="0" collapsed="false">
      <c r="A961" s="66" t="s">
        <v>395</v>
      </c>
      <c r="B961" s="66" t="s">
        <v>250</v>
      </c>
      <c r="C961" s="66" t="n">
        <v>0.04</v>
      </c>
      <c r="D961" s="67" t="str">
        <f aca="false">IFERROR(INDEX(المكونات!$B$2:$B$500,MATCH($B961,المكونات!$A$2:$A$500,0)),"")</f>
        <v>كجم</v>
      </c>
      <c r="E961" s="68" t="n">
        <f aca="false">IFERROR(INDEX(المكونات!$C$2:$C$500,MATCH($B961,المكونات!$A$2:$A$500,0)),"")</f>
        <v>32</v>
      </c>
      <c r="F961" s="69" t="n">
        <f aca="false">IFERROR($C961*$E961,"")</f>
        <v>1.28</v>
      </c>
    </row>
    <row r="962" customFormat="false" ht="15" hidden="false" customHeight="true" outlineLevel="0" collapsed="false">
      <c r="A962" s="66" t="s">
        <v>395</v>
      </c>
      <c r="B962" s="66" t="s">
        <v>260</v>
      </c>
      <c r="C962" s="66" t="n">
        <v>0.03</v>
      </c>
      <c r="D962" s="67" t="str">
        <f aca="false">IFERROR(INDEX(المكونات!$B$2:$B$500,MATCH($B962,المكونات!$A$2:$A$500,0)),"")</f>
        <v>كجم</v>
      </c>
      <c r="E962" s="68" t="n">
        <f aca="false">IFERROR(INDEX(المكونات!$C$2:$C$500,MATCH($B962,المكونات!$A$2:$A$500,0)),"")</f>
        <v>21</v>
      </c>
      <c r="F962" s="69" t="n">
        <f aca="false">IFERROR($C962*$E962,"")</f>
        <v>0.63</v>
      </c>
    </row>
    <row r="963" customFormat="false" ht="15" hidden="false" customHeight="true" outlineLevel="0" collapsed="false">
      <c r="A963" s="66" t="s">
        <v>395</v>
      </c>
      <c r="B963" s="66" t="s">
        <v>284</v>
      </c>
      <c r="C963" s="66" t="n">
        <v>0.02</v>
      </c>
      <c r="D963" s="67" t="str">
        <f aca="false">IFERROR(INDEX(المكونات!$B$2:$B$500,MATCH($B963,المكونات!$A$2:$A$500,0)),"")</f>
        <v>كجم</v>
      </c>
      <c r="E963" s="68" t="n">
        <f aca="false">IFERROR(INDEX(المكونات!$C$2:$C$500,MATCH($B963,المكونات!$A$2:$A$500,0)),"")</f>
        <v>27</v>
      </c>
      <c r="F963" s="69" t="n">
        <f aca="false">IFERROR($C963*$E963,"")</f>
        <v>0.54</v>
      </c>
    </row>
    <row r="964" customFormat="false" ht="15" hidden="false" customHeight="true" outlineLevel="0" collapsed="false">
      <c r="A964" s="66" t="s">
        <v>395</v>
      </c>
      <c r="B964" s="66" t="s">
        <v>227</v>
      </c>
      <c r="C964" s="66" t="n">
        <v>0.02</v>
      </c>
      <c r="D964" s="67" t="str">
        <f aca="false">IFERROR(INDEX(المكونات!$B$2:$B$500,MATCH($B964,المكونات!$A$2:$A$500,0)),"")</f>
        <v>كجم</v>
      </c>
      <c r="E964" s="68" t="n">
        <f aca="false">IFERROR(INDEX(المكونات!$C$2:$C$500,MATCH($B964,المكونات!$A$2:$A$500,0)),"")</f>
        <v>95</v>
      </c>
      <c r="F964" s="69" t="n">
        <f aca="false">IFERROR($C964*$E964,"")</f>
        <v>1.9</v>
      </c>
    </row>
    <row r="965" customFormat="false" ht="15" hidden="false" customHeight="true" outlineLevel="0" collapsed="false">
      <c r="A965" s="66" t="s">
        <v>395</v>
      </c>
      <c r="B965" s="66" t="s">
        <v>176</v>
      </c>
      <c r="C965" s="66" t="n">
        <v>1</v>
      </c>
      <c r="D965" s="67" t="str">
        <f aca="false">IFERROR(INDEX(المكونات!$B$2:$B$500,MATCH($B965,المكونات!$A$2:$A$500,0)),"")</f>
        <v>قطعة</v>
      </c>
      <c r="E965" s="68" t="n">
        <f aca="false">IFERROR(INDEX(المكونات!$C$2:$C$500,MATCH($B965,المكونات!$A$2:$A$500,0)),"")</f>
        <v>17.5</v>
      </c>
      <c r="F965" s="69" t="n">
        <f aca="false">IFERROR($C965*$E965,"")</f>
        <v>17.5</v>
      </c>
    </row>
    <row r="966" customFormat="false" ht="15" hidden="false" customHeight="true" outlineLevel="0" collapsed="false">
      <c r="A966" s="66" t="s">
        <v>395</v>
      </c>
      <c r="B966" s="66" t="s">
        <v>270</v>
      </c>
      <c r="C966" s="66" t="n">
        <v>1</v>
      </c>
      <c r="D966" s="67" t="str">
        <f aca="false">IFERROR(INDEX(المكونات!$B$2:$B$500,MATCH($B966,المكونات!$A$2:$A$500,0)),"")</f>
        <v>قطعة</v>
      </c>
      <c r="E966" s="68" t="n">
        <f aca="false">IFERROR(INDEX(المكونات!$C$2:$C$500,MATCH($B966,المكونات!$A$2:$A$500,0)),"")</f>
        <v>4.5</v>
      </c>
      <c r="F966" s="69" t="n">
        <f aca="false">IFERROR($C966*$E966,"")</f>
        <v>4.5</v>
      </c>
    </row>
    <row r="967" customFormat="false" ht="15" hidden="false" customHeight="true" outlineLevel="0" collapsed="false">
      <c r="A967" s="66" t="s">
        <v>395</v>
      </c>
      <c r="B967" s="66" t="s">
        <v>290</v>
      </c>
      <c r="C967" s="66" t="n">
        <v>2</v>
      </c>
      <c r="D967" s="67" t="str">
        <f aca="false">IFERROR(INDEX(المكونات!$B$2:$B$500,MATCH($B967,المكونات!$A$2:$A$500,0)),"")</f>
        <v>قطعة</v>
      </c>
      <c r="E967" s="68" t="n">
        <f aca="false">IFERROR(INDEX(المكونات!$C$2:$C$500,MATCH($B967,المكونات!$A$2:$A$500,0)),"")</f>
        <v>0.3</v>
      </c>
      <c r="F967" s="69" t="n">
        <f aca="false">IFERROR($C967*$E967,"")</f>
        <v>0.6</v>
      </c>
    </row>
    <row r="968" customFormat="false" ht="15" hidden="false" customHeight="true" outlineLevel="0" collapsed="false">
      <c r="A968" s="66" t="s">
        <v>395</v>
      </c>
      <c r="B968" s="66" t="s">
        <v>319</v>
      </c>
      <c r="C968" s="66" t="n">
        <v>1</v>
      </c>
      <c r="D968" s="67" t="str">
        <f aca="false">IFERROR(INDEX(المكونات!$B$2:$B$500,MATCH($B968,المكونات!$A$2:$A$500,0)),"")</f>
        <v>قطعة (ورقة)</v>
      </c>
      <c r="E968" s="68" t="n">
        <f aca="false">IFERROR(INDEX(المكونات!$C$2:$C$500,MATCH($B968,المكونات!$A$2:$A$500,0)),"")</f>
        <v>0.3665</v>
      </c>
      <c r="F968" s="69" t="n">
        <f aca="false">IFERROR($C968*$E968,"")</f>
        <v>0.3665</v>
      </c>
    </row>
    <row r="969" customFormat="false" ht="15" hidden="false" customHeight="true" outlineLevel="0" collapsed="false">
      <c r="A969" s="66" t="s">
        <v>395</v>
      </c>
      <c r="B969" s="66" t="s">
        <v>133</v>
      </c>
      <c r="C969" s="66" t="n">
        <v>1</v>
      </c>
      <c r="D969" s="67" t="str">
        <f aca="false">IFERROR(INDEX(المكونات!$B$2:$B$500,MATCH($B969,المكونات!$A$2:$A$500,0)),"")</f>
        <v>قطعة (كيس)</v>
      </c>
      <c r="E969" s="68" t="n">
        <f aca="false">IFERROR(INDEX(المكونات!$C$2:$C$500,MATCH($B969,المكونات!$A$2:$A$500,0)),"")</f>
        <v>1.4</v>
      </c>
      <c r="F969" s="69" t="n">
        <f aca="false">IFERROR($C969*$E969,"")</f>
        <v>1.4</v>
      </c>
    </row>
    <row r="970" customFormat="false" ht="15" hidden="false" customHeight="true" outlineLevel="0" collapsed="false">
      <c r="A970" s="66" t="s">
        <v>395</v>
      </c>
      <c r="B970" s="66" t="s">
        <v>293</v>
      </c>
      <c r="C970" s="66" t="n">
        <v>1</v>
      </c>
      <c r="D970" s="67" t="str">
        <f aca="false">IFERROR(INDEX(المكونات!$B$2:$B$500,MATCH($B970,المكونات!$A$2:$A$500,0)),"")</f>
        <v>قطعة</v>
      </c>
      <c r="E970" s="68" t="n">
        <f aca="false">IFERROR(INDEX(المكونات!$C$2:$C$500,MATCH($B970,المكونات!$A$2:$A$500,0)),"")</f>
        <v>0.5</v>
      </c>
      <c r="F970" s="69" t="n">
        <f aca="false">IFERROR($C970*$E970,"")</f>
        <v>0.5</v>
      </c>
    </row>
    <row r="971" customFormat="false" ht="15" hidden="false" customHeight="true" outlineLevel="0" collapsed="false">
      <c r="A971" s="66" t="s">
        <v>395</v>
      </c>
      <c r="B971" s="66" t="s">
        <v>211</v>
      </c>
      <c r="C971" s="66" t="n">
        <v>2</v>
      </c>
      <c r="D971" s="67" t="str">
        <f aca="false">IFERROR(INDEX(المكونات!$B$2:$B$500,MATCH($B971,المكونات!$A$2:$A$500,0)),"")</f>
        <v>قطعة (جلفز)</v>
      </c>
      <c r="E971" s="68" t="n">
        <f aca="false">IFERROR(INDEX(المكونات!$C$2:$C$500,MATCH($B971,المكونات!$A$2:$A$500,0)),"")</f>
        <v>0.18</v>
      </c>
      <c r="F971" s="69" t="n">
        <f aca="false">IFERROR($C971*$E971,"")</f>
        <v>0.36</v>
      </c>
    </row>
    <row r="972" customFormat="false" ht="15" hidden="false" customHeight="true" outlineLevel="0" collapsed="false">
      <c r="A972" s="66" t="s">
        <v>395</v>
      </c>
      <c r="B972" s="66" t="s">
        <v>322</v>
      </c>
      <c r="C972" s="66" t="n">
        <v>1</v>
      </c>
      <c r="D972" s="67" t="str">
        <f aca="false">IFERROR(INDEX(المكونات!$B$2:$B$500,MATCH($B972,المكونات!$A$2:$A$500,0)),"")</f>
        <v>قطعة (كيس)</v>
      </c>
      <c r="E972" s="68" t="n">
        <f aca="false">IFERROR(INDEX(المكونات!$C$2:$C$500,MATCH($B972,المكونات!$A$2:$A$500,0)),"")</f>
        <v>1</v>
      </c>
      <c r="F972" s="69" t="n">
        <f aca="false">IFERROR($C972*$E972,"")</f>
        <v>1</v>
      </c>
    </row>
    <row r="973" customFormat="false" ht="15" hidden="false" customHeight="true" outlineLevel="0" collapsed="false">
      <c r="A973" s="66" t="s">
        <v>395</v>
      </c>
      <c r="B973" s="66" t="s">
        <v>307</v>
      </c>
      <c r="C973" s="66" t="n">
        <v>0.1</v>
      </c>
      <c r="D973" s="67" t="str">
        <f aca="false">IFERROR(INDEX(المكونات!$B$2:$B$500,MATCH($B973,المكونات!$A$2:$A$500,0)),"")</f>
        <v>كجم</v>
      </c>
      <c r="E973" s="68" t="n">
        <f aca="false">IFERROR(INDEX(المكونات!$C$2:$C$500,MATCH($B973,المكونات!$A$2:$A$500,0)),"")</f>
        <v>151.2027</v>
      </c>
      <c r="F973" s="69" t="n">
        <f aca="false">IFERROR($C973*$E973,"")</f>
        <v>15.12027</v>
      </c>
    </row>
    <row r="974" customFormat="false" ht="15" hidden="false" customHeight="true" outlineLevel="0" collapsed="false">
      <c r="A974" s="66" t="s">
        <v>390</v>
      </c>
      <c r="B974" s="66" t="s">
        <v>262</v>
      </c>
      <c r="C974" s="66" t="n">
        <v>0.3</v>
      </c>
      <c r="D974" s="67" t="str">
        <f aca="false">IFERROR(INDEX(المكونات!$B$2:$B$500,MATCH($B974,المكونات!$A$2:$A$500,0)),"")</f>
        <v>كجم</v>
      </c>
      <c r="E974" s="68" t="n">
        <f aca="false">IFERROR(INDEX(المكونات!$C$2:$C$500,MATCH($B974,المكونات!$A$2:$A$500,0)),"")</f>
        <v>22</v>
      </c>
      <c r="F974" s="69" t="n">
        <f aca="false">IFERROR($C974*$E974,"")</f>
        <v>6.6</v>
      </c>
    </row>
    <row r="975" customFormat="false" ht="15" hidden="false" customHeight="true" outlineLevel="0" collapsed="false">
      <c r="A975" s="66" t="s">
        <v>390</v>
      </c>
      <c r="B975" s="66" t="s">
        <v>250</v>
      </c>
      <c r="C975" s="66" t="n">
        <v>0.06</v>
      </c>
      <c r="D975" s="67" t="str">
        <f aca="false">IFERROR(INDEX(المكونات!$B$2:$B$500,MATCH($B975,المكونات!$A$2:$A$500,0)),"")</f>
        <v>كجم</v>
      </c>
      <c r="E975" s="68" t="n">
        <f aca="false">IFERROR(INDEX(المكونات!$C$2:$C$500,MATCH($B975,المكونات!$A$2:$A$500,0)),"")</f>
        <v>32</v>
      </c>
      <c r="F975" s="69" t="n">
        <f aca="false">IFERROR($C975*$E975,"")</f>
        <v>1.92</v>
      </c>
    </row>
    <row r="976" customFormat="false" ht="15" hidden="false" customHeight="true" outlineLevel="0" collapsed="false">
      <c r="A976" s="66" t="s">
        <v>390</v>
      </c>
      <c r="B976" s="66" t="s">
        <v>260</v>
      </c>
      <c r="C976" s="66" t="n">
        <v>0.045</v>
      </c>
      <c r="D976" s="67" t="str">
        <f aca="false">IFERROR(INDEX(المكونات!$B$2:$B$500,MATCH($B976,المكونات!$A$2:$A$500,0)),"")</f>
        <v>كجم</v>
      </c>
      <c r="E976" s="68" t="n">
        <f aca="false">IFERROR(INDEX(المكونات!$C$2:$C$500,MATCH($B976,المكونات!$A$2:$A$500,0)),"")</f>
        <v>21</v>
      </c>
      <c r="F976" s="69" t="n">
        <f aca="false">IFERROR($C976*$E976,"")</f>
        <v>0.945</v>
      </c>
    </row>
    <row r="977" customFormat="false" ht="15" hidden="false" customHeight="true" outlineLevel="0" collapsed="false">
      <c r="A977" s="66" t="s">
        <v>390</v>
      </c>
      <c r="B977" s="66" t="s">
        <v>284</v>
      </c>
      <c r="C977" s="66" t="n">
        <v>0.03</v>
      </c>
      <c r="D977" s="67" t="str">
        <f aca="false">IFERROR(INDEX(المكونات!$B$2:$B$500,MATCH($B977,المكونات!$A$2:$A$500,0)),"")</f>
        <v>كجم</v>
      </c>
      <c r="E977" s="68" t="n">
        <f aca="false">IFERROR(INDEX(المكونات!$C$2:$C$500,MATCH($B977,المكونات!$A$2:$A$500,0)),"")</f>
        <v>27</v>
      </c>
      <c r="F977" s="69" t="n">
        <f aca="false">IFERROR($C977*$E977,"")</f>
        <v>0.81</v>
      </c>
    </row>
    <row r="978" customFormat="false" ht="15" hidden="false" customHeight="true" outlineLevel="0" collapsed="false">
      <c r="A978" s="66" t="s">
        <v>390</v>
      </c>
      <c r="B978" s="66" t="s">
        <v>227</v>
      </c>
      <c r="C978" s="66" t="n">
        <v>0.03</v>
      </c>
      <c r="D978" s="67" t="str">
        <f aca="false">IFERROR(INDEX(المكونات!$B$2:$B$500,MATCH($B978,المكونات!$A$2:$A$500,0)),"")</f>
        <v>كجم</v>
      </c>
      <c r="E978" s="68" t="n">
        <f aca="false">IFERROR(INDEX(المكونات!$C$2:$C$500,MATCH($B978,المكونات!$A$2:$A$500,0)),"")</f>
        <v>95</v>
      </c>
      <c r="F978" s="69" t="n">
        <f aca="false">IFERROR($C978*$E978,"")</f>
        <v>2.85</v>
      </c>
    </row>
    <row r="979" customFormat="false" ht="15" hidden="false" customHeight="true" outlineLevel="0" collapsed="false">
      <c r="A979" s="66" t="s">
        <v>390</v>
      </c>
      <c r="B979" s="66" t="s">
        <v>178</v>
      </c>
      <c r="C979" s="66" t="n">
        <v>1</v>
      </c>
      <c r="D979" s="67" t="str">
        <f aca="false">IFERROR(INDEX(المكونات!$B$2:$B$500,MATCH($B979,المكونات!$A$2:$A$500,0)),"")</f>
        <v>قطعة</v>
      </c>
      <c r="E979" s="68" t="n">
        <f aca="false">IFERROR(INDEX(المكونات!$C$2:$C$500,MATCH($B979,المكونات!$A$2:$A$500,0)),"")</f>
        <v>25</v>
      </c>
      <c r="F979" s="69" t="n">
        <f aca="false">IFERROR($C979*$E979,"")</f>
        <v>25</v>
      </c>
    </row>
    <row r="980" customFormat="false" ht="15" hidden="false" customHeight="true" outlineLevel="0" collapsed="false">
      <c r="A980" s="66" t="s">
        <v>390</v>
      </c>
      <c r="B980" s="66" t="s">
        <v>268</v>
      </c>
      <c r="C980" s="66" t="n">
        <v>1</v>
      </c>
      <c r="D980" s="67" t="str">
        <f aca="false">IFERROR(INDEX(المكونات!$B$2:$B$500,MATCH($B980,المكونات!$A$2:$A$500,0)),"")</f>
        <v>قطعة</v>
      </c>
      <c r="E980" s="68" t="n">
        <f aca="false">IFERROR(INDEX(المكونات!$C$2:$C$500,MATCH($B980,المكونات!$A$2:$A$500,0)),"")</f>
        <v>5.5</v>
      </c>
      <c r="F980" s="69" t="n">
        <f aca="false">IFERROR($C980*$E980,"")</f>
        <v>5.5</v>
      </c>
    </row>
    <row r="981" customFormat="false" ht="15" hidden="false" customHeight="true" outlineLevel="0" collapsed="false">
      <c r="A981" s="66" t="s">
        <v>390</v>
      </c>
      <c r="B981" s="66" t="s">
        <v>290</v>
      </c>
      <c r="C981" s="66" t="n">
        <v>3</v>
      </c>
      <c r="D981" s="67" t="str">
        <f aca="false">IFERROR(INDEX(المكونات!$B$2:$B$500,MATCH($B981,المكونات!$A$2:$A$500,0)),"")</f>
        <v>قطعة</v>
      </c>
      <c r="E981" s="68" t="n">
        <f aca="false">IFERROR(INDEX(المكونات!$C$2:$C$500,MATCH($B981,المكونات!$A$2:$A$500,0)),"")</f>
        <v>0.3</v>
      </c>
      <c r="F981" s="69" t="n">
        <f aca="false">IFERROR($C981*$E981,"")</f>
        <v>0.9</v>
      </c>
    </row>
    <row r="982" customFormat="false" ht="15" hidden="false" customHeight="true" outlineLevel="0" collapsed="false">
      <c r="A982" s="66" t="s">
        <v>390</v>
      </c>
      <c r="B982" s="66" t="s">
        <v>319</v>
      </c>
      <c r="C982" s="66" t="n">
        <v>1</v>
      </c>
      <c r="D982" s="67" t="str">
        <f aca="false">IFERROR(INDEX(المكونات!$B$2:$B$500,MATCH($B982,المكونات!$A$2:$A$500,0)),"")</f>
        <v>قطعة (ورقة)</v>
      </c>
      <c r="E982" s="68" t="n">
        <f aca="false">IFERROR(INDEX(المكونات!$C$2:$C$500,MATCH($B982,المكونات!$A$2:$A$500,0)),"")</f>
        <v>0.3665</v>
      </c>
      <c r="F982" s="69" t="n">
        <f aca="false">IFERROR($C982*$E982,"")</f>
        <v>0.3665</v>
      </c>
    </row>
    <row r="983" customFormat="false" ht="15" hidden="false" customHeight="true" outlineLevel="0" collapsed="false">
      <c r="A983" s="66" t="s">
        <v>390</v>
      </c>
      <c r="B983" s="66" t="s">
        <v>133</v>
      </c>
      <c r="C983" s="66" t="n">
        <v>1</v>
      </c>
      <c r="D983" s="67" t="str">
        <f aca="false">IFERROR(INDEX(المكونات!$B$2:$B$500,MATCH($B983,المكونات!$A$2:$A$500,0)),"")</f>
        <v>قطعة (كيس)</v>
      </c>
      <c r="E983" s="68" t="n">
        <f aca="false">IFERROR(INDEX(المكونات!$C$2:$C$500,MATCH($B983,المكونات!$A$2:$A$500,0)),"")</f>
        <v>1.4</v>
      </c>
      <c r="F983" s="69" t="n">
        <f aca="false">IFERROR($C983*$E983,"")</f>
        <v>1.4</v>
      </c>
    </row>
    <row r="984" customFormat="false" ht="15" hidden="false" customHeight="true" outlineLevel="0" collapsed="false">
      <c r="A984" s="66" t="s">
        <v>390</v>
      </c>
      <c r="B984" s="66" t="s">
        <v>293</v>
      </c>
      <c r="C984" s="66" t="n">
        <v>1</v>
      </c>
      <c r="D984" s="67" t="str">
        <f aca="false">IFERROR(INDEX(المكونات!$B$2:$B$500,MATCH($B984,المكونات!$A$2:$A$500,0)),"")</f>
        <v>قطعة</v>
      </c>
      <c r="E984" s="68" t="n">
        <f aca="false">IFERROR(INDEX(المكونات!$C$2:$C$500,MATCH($B984,المكونات!$A$2:$A$500,0)),"")</f>
        <v>0.5</v>
      </c>
      <c r="F984" s="69" t="n">
        <f aca="false">IFERROR($C984*$E984,"")</f>
        <v>0.5</v>
      </c>
    </row>
    <row r="985" customFormat="false" ht="15" hidden="false" customHeight="true" outlineLevel="0" collapsed="false">
      <c r="A985" s="66" t="s">
        <v>390</v>
      </c>
      <c r="B985" s="66" t="s">
        <v>211</v>
      </c>
      <c r="C985" s="66" t="n">
        <v>2</v>
      </c>
      <c r="D985" s="67" t="str">
        <f aca="false">IFERROR(INDEX(المكونات!$B$2:$B$500,MATCH($B985,المكونات!$A$2:$A$500,0)),"")</f>
        <v>قطعة (جلفز)</v>
      </c>
      <c r="E985" s="68" t="n">
        <f aca="false">IFERROR(INDEX(المكونات!$C$2:$C$500,MATCH($B985,المكونات!$A$2:$A$500,0)),"")</f>
        <v>0.18</v>
      </c>
      <c r="F985" s="69" t="n">
        <f aca="false">IFERROR($C985*$E985,"")</f>
        <v>0.36</v>
      </c>
    </row>
    <row r="986" customFormat="false" ht="15" hidden="false" customHeight="true" outlineLevel="0" collapsed="false">
      <c r="A986" s="66" t="s">
        <v>390</v>
      </c>
      <c r="B986" s="66" t="s">
        <v>322</v>
      </c>
      <c r="C986" s="66" t="n">
        <v>1</v>
      </c>
      <c r="D986" s="67" t="str">
        <f aca="false">IFERROR(INDEX(المكونات!$B$2:$B$500,MATCH($B986,المكونات!$A$2:$A$500,0)),"")</f>
        <v>قطعة (كيس)</v>
      </c>
      <c r="E986" s="68" t="n">
        <f aca="false">IFERROR(INDEX(المكونات!$C$2:$C$500,MATCH($B986,المكونات!$A$2:$A$500,0)),"")</f>
        <v>1</v>
      </c>
      <c r="F986" s="69" t="n">
        <f aca="false">IFERROR($C986*$E986,"")</f>
        <v>1</v>
      </c>
    </row>
    <row r="987" customFormat="false" ht="15" hidden="false" customHeight="true" outlineLevel="0" collapsed="false">
      <c r="A987" s="66" t="s">
        <v>390</v>
      </c>
      <c r="B987" s="66" t="s">
        <v>307</v>
      </c>
      <c r="C987" s="66" t="n">
        <v>0.15</v>
      </c>
      <c r="D987" s="67" t="str">
        <f aca="false">IFERROR(INDEX(المكونات!$B$2:$B$500,MATCH($B987,المكونات!$A$2:$A$500,0)),"")</f>
        <v>كجم</v>
      </c>
      <c r="E987" s="68" t="n">
        <f aca="false">IFERROR(INDEX(المكونات!$C$2:$C$500,MATCH($B987,المكونات!$A$2:$A$500,0)),"")</f>
        <v>151.2027</v>
      </c>
      <c r="F987" s="69" t="n">
        <f aca="false">IFERROR($C987*$E987,"")</f>
        <v>22.680405</v>
      </c>
    </row>
    <row r="988" customFormat="false" ht="15" hidden="false" customHeight="true" outlineLevel="0" collapsed="false">
      <c r="A988" s="66" t="s">
        <v>487</v>
      </c>
      <c r="B988" s="66" t="s">
        <v>262</v>
      </c>
      <c r="C988" s="66" t="n">
        <v>0.22</v>
      </c>
      <c r="D988" s="67" t="str">
        <f aca="false">IFERROR(INDEX(المكونات!$B$2:$B$500,MATCH($B988,المكونات!$A$2:$A$500,0)),"")</f>
        <v>كجم</v>
      </c>
      <c r="E988" s="68" t="n">
        <f aca="false">IFERROR(INDEX(المكونات!$C$2:$C$500,MATCH($B988,المكونات!$A$2:$A$500,0)),"")</f>
        <v>22</v>
      </c>
      <c r="F988" s="69" t="n">
        <f aca="false">IFERROR($C988*$E988,"")</f>
        <v>4.84</v>
      </c>
    </row>
    <row r="989" customFormat="false" ht="15" hidden="false" customHeight="true" outlineLevel="0" collapsed="false">
      <c r="A989" s="66" t="s">
        <v>487</v>
      </c>
      <c r="B989" s="66" t="s">
        <v>250</v>
      </c>
      <c r="C989" s="66" t="n">
        <v>0.04</v>
      </c>
      <c r="D989" s="67" t="str">
        <f aca="false">IFERROR(INDEX(المكونات!$B$2:$B$500,MATCH($B989,المكونات!$A$2:$A$500,0)),"")</f>
        <v>كجم</v>
      </c>
      <c r="E989" s="68" t="n">
        <f aca="false">IFERROR(INDEX(المكونات!$C$2:$C$500,MATCH($B989,المكونات!$A$2:$A$500,0)),"")</f>
        <v>32</v>
      </c>
      <c r="F989" s="69" t="n">
        <f aca="false">IFERROR($C989*$E989,"")</f>
        <v>1.28</v>
      </c>
    </row>
    <row r="990" customFormat="false" ht="15" hidden="false" customHeight="true" outlineLevel="0" collapsed="false">
      <c r="A990" s="66" t="s">
        <v>487</v>
      </c>
      <c r="B990" s="66" t="s">
        <v>260</v>
      </c>
      <c r="C990" s="66" t="n">
        <v>0.03</v>
      </c>
      <c r="D990" s="67" t="str">
        <f aca="false">IFERROR(INDEX(المكونات!$B$2:$B$500,MATCH($B990,المكونات!$A$2:$A$500,0)),"")</f>
        <v>كجم</v>
      </c>
      <c r="E990" s="68" t="n">
        <f aca="false">IFERROR(INDEX(المكونات!$C$2:$C$500,MATCH($B990,المكونات!$A$2:$A$500,0)),"")</f>
        <v>21</v>
      </c>
      <c r="F990" s="69" t="n">
        <f aca="false">IFERROR($C990*$E990,"")</f>
        <v>0.63</v>
      </c>
    </row>
    <row r="991" customFormat="false" ht="15" hidden="false" customHeight="true" outlineLevel="0" collapsed="false">
      <c r="A991" s="66" t="s">
        <v>487</v>
      </c>
      <c r="B991" s="66" t="s">
        <v>284</v>
      </c>
      <c r="C991" s="66" t="n">
        <v>0.02</v>
      </c>
      <c r="D991" s="67" t="str">
        <f aca="false">IFERROR(INDEX(المكونات!$B$2:$B$500,MATCH($B991,المكونات!$A$2:$A$500,0)),"")</f>
        <v>كجم</v>
      </c>
      <c r="E991" s="68" t="n">
        <f aca="false">IFERROR(INDEX(المكونات!$C$2:$C$500,MATCH($B991,المكونات!$A$2:$A$500,0)),"")</f>
        <v>27</v>
      </c>
      <c r="F991" s="69" t="n">
        <f aca="false">IFERROR($C991*$E991,"")</f>
        <v>0.54</v>
      </c>
    </row>
    <row r="992" customFormat="false" ht="15" hidden="false" customHeight="true" outlineLevel="0" collapsed="false">
      <c r="A992" s="66" t="s">
        <v>487</v>
      </c>
      <c r="B992" s="66" t="s">
        <v>227</v>
      </c>
      <c r="C992" s="66" t="n">
        <v>0.02</v>
      </c>
      <c r="D992" s="67" t="str">
        <f aca="false">IFERROR(INDEX(المكونات!$B$2:$B$500,MATCH($B992,المكونات!$A$2:$A$500,0)),"")</f>
        <v>كجم</v>
      </c>
      <c r="E992" s="68" t="n">
        <f aca="false">IFERROR(INDEX(المكونات!$C$2:$C$500,MATCH($B992,المكونات!$A$2:$A$500,0)),"")</f>
        <v>95</v>
      </c>
      <c r="F992" s="69" t="n">
        <f aca="false">IFERROR($C992*$E992,"")</f>
        <v>1.9</v>
      </c>
    </row>
    <row r="993" customFormat="false" ht="15" hidden="false" customHeight="true" outlineLevel="0" collapsed="false">
      <c r="A993" s="66" t="s">
        <v>487</v>
      </c>
      <c r="B993" s="66" t="s">
        <v>176</v>
      </c>
      <c r="C993" s="66" t="n">
        <v>1</v>
      </c>
      <c r="D993" s="67" t="str">
        <f aca="false">IFERROR(INDEX(المكونات!$B$2:$B$500,MATCH($B993,المكونات!$A$2:$A$500,0)),"")</f>
        <v>قطعة</v>
      </c>
      <c r="E993" s="68" t="n">
        <f aca="false">IFERROR(INDEX(المكونات!$C$2:$C$500,MATCH($B993,المكونات!$A$2:$A$500,0)),"")</f>
        <v>17.5</v>
      </c>
      <c r="F993" s="69" t="n">
        <f aca="false">IFERROR($C993*$E993,"")</f>
        <v>17.5</v>
      </c>
    </row>
    <row r="994" customFormat="false" ht="15" hidden="false" customHeight="true" outlineLevel="0" collapsed="false">
      <c r="A994" s="66" t="s">
        <v>487</v>
      </c>
      <c r="B994" s="66" t="s">
        <v>270</v>
      </c>
      <c r="C994" s="66" t="n">
        <v>1</v>
      </c>
      <c r="D994" s="67" t="str">
        <f aca="false">IFERROR(INDEX(المكونات!$B$2:$B$500,MATCH($B994,المكونات!$A$2:$A$500,0)),"")</f>
        <v>قطعة</v>
      </c>
      <c r="E994" s="68" t="n">
        <f aca="false">IFERROR(INDEX(المكونات!$C$2:$C$500,MATCH($B994,المكونات!$A$2:$A$500,0)),"")</f>
        <v>4.5</v>
      </c>
      <c r="F994" s="69" t="n">
        <f aca="false">IFERROR($C994*$E994,"")</f>
        <v>4.5</v>
      </c>
    </row>
    <row r="995" customFormat="false" ht="15" hidden="false" customHeight="true" outlineLevel="0" collapsed="false">
      <c r="A995" s="66" t="s">
        <v>487</v>
      </c>
      <c r="B995" s="66" t="s">
        <v>290</v>
      </c>
      <c r="C995" s="66" t="n">
        <v>2</v>
      </c>
      <c r="D995" s="67" t="str">
        <f aca="false">IFERROR(INDEX(المكونات!$B$2:$B$500,MATCH($B995,المكونات!$A$2:$A$500,0)),"")</f>
        <v>قطعة</v>
      </c>
      <c r="E995" s="68" t="n">
        <f aca="false">IFERROR(INDEX(المكونات!$C$2:$C$500,MATCH($B995,المكونات!$A$2:$A$500,0)),"")</f>
        <v>0.3</v>
      </c>
      <c r="F995" s="69" t="n">
        <f aca="false">IFERROR($C995*$E995,"")</f>
        <v>0.6</v>
      </c>
    </row>
    <row r="996" customFormat="false" ht="15" hidden="false" customHeight="true" outlineLevel="0" collapsed="false">
      <c r="A996" s="66" t="s">
        <v>487</v>
      </c>
      <c r="B996" s="66" t="s">
        <v>319</v>
      </c>
      <c r="C996" s="66" t="n">
        <v>1</v>
      </c>
      <c r="D996" s="67" t="str">
        <f aca="false">IFERROR(INDEX(المكونات!$B$2:$B$500,MATCH($B996,المكونات!$A$2:$A$500,0)),"")</f>
        <v>قطعة (ورقة)</v>
      </c>
      <c r="E996" s="68" t="n">
        <f aca="false">IFERROR(INDEX(المكونات!$C$2:$C$500,MATCH($B996,المكونات!$A$2:$A$500,0)),"")</f>
        <v>0.3665</v>
      </c>
      <c r="F996" s="69" t="n">
        <f aca="false">IFERROR($C996*$E996,"")</f>
        <v>0.3665</v>
      </c>
    </row>
    <row r="997" customFormat="false" ht="15" hidden="false" customHeight="true" outlineLevel="0" collapsed="false">
      <c r="A997" s="66" t="s">
        <v>487</v>
      </c>
      <c r="B997" s="66" t="s">
        <v>133</v>
      </c>
      <c r="C997" s="66" t="n">
        <v>1</v>
      </c>
      <c r="D997" s="67" t="str">
        <f aca="false">IFERROR(INDEX(المكونات!$B$2:$B$500,MATCH($B997,المكونات!$A$2:$A$500,0)),"")</f>
        <v>قطعة (كيس)</v>
      </c>
      <c r="E997" s="68" t="n">
        <f aca="false">IFERROR(INDEX(المكونات!$C$2:$C$500,MATCH($B997,المكونات!$A$2:$A$500,0)),"")</f>
        <v>1.4</v>
      </c>
      <c r="F997" s="69" t="n">
        <f aca="false">IFERROR($C997*$E997,"")</f>
        <v>1.4</v>
      </c>
    </row>
    <row r="998" customFormat="false" ht="15" hidden="false" customHeight="true" outlineLevel="0" collapsed="false">
      <c r="A998" s="66" t="s">
        <v>487</v>
      </c>
      <c r="B998" s="66" t="s">
        <v>293</v>
      </c>
      <c r="C998" s="66" t="n">
        <v>1</v>
      </c>
      <c r="D998" s="67" t="str">
        <f aca="false">IFERROR(INDEX(المكونات!$B$2:$B$500,MATCH($B998,المكونات!$A$2:$A$500,0)),"")</f>
        <v>قطعة</v>
      </c>
      <c r="E998" s="68" t="n">
        <f aca="false">IFERROR(INDEX(المكونات!$C$2:$C$500,MATCH($B998,المكونات!$A$2:$A$500,0)),"")</f>
        <v>0.5</v>
      </c>
      <c r="F998" s="69" t="n">
        <f aca="false">IFERROR($C998*$E998,"")</f>
        <v>0.5</v>
      </c>
    </row>
    <row r="999" customFormat="false" ht="15" hidden="false" customHeight="true" outlineLevel="0" collapsed="false">
      <c r="A999" s="66" t="s">
        <v>487</v>
      </c>
      <c r="B999" s="66" t="s">
        <v>211</v>
      </c>
      <c r="C999" s="66" t="n">
        <v>2</v>
      </c>
      <c r="D999" s="67" t="str">
        <f aca="false">IFERROR(INDEX(المكونات!$B$2:$B$500,MATCH($B999,المكونات!$A$2:$A$500,0)),"")</f>
        <v>قطعة (جلفز)</v>
      </c>
      <c r="E999" s="68" t="n">
        <f aca="false">IFERROR(INDEX(المكونات!$C$2:$C$500,MATCH($B999,المكونات!$A$2:$A$500,0)),"")</f>
        <v>0.18</v>
      </c>
      <c r="F999" s="69" t="n">
        <f aca="false">IFERROR($C999*$E999,"")</f>
        <v>0.36</v>
      </c>
    </row>
    <row r="1000" customFormat="false" ht="15" hidden="false" customHeight="true" outlineLevel="0" collapsed="false">
      <c r="A1000" s="66" t="s">
        <v>487</v>
      </c>
      <c r="B1000" s="66" t="s">
        <v>322</v>
      </c>
      <c r="C1000" s="66" t="n">
        <v>1</v>
      </c>
      <c r="D1000" s="67" t="str">
        <f aca="false">IFERROR(INDEX(المكونات!$B$2:$B$500,MATCH($B1000,المكونات!$A$2:$A$500,0)),"")</f>
        <v>قطعة (كيس)</v>
      </c>
      <c r="E1000" s="68" t="n">
        <f aca="false">IFERROR(INDEX(المكونات!$C$2:$C$500,MATCH($B1000,المكونات!$A$2:$A$500,0)),"")</f>
        <v>1</v>
      </c>
      <c r="F1000" s="69" t="n">
        <f aca="false">IFERROR($C1000*$E1000,"")</f>
        <v>1</v>
      </c>
    </row>
    <row r="1001" customFormat="false" ht="15" hidden="false" customHeight="true" outlineLevel="0" collapsed="false">
      <c r="A1001" s="66" t="s">
        <v>487</v>
      </c>
      <c r="B1001" s="66" t="s">
        <v>336</v>
      </c>
      <c r="C1001" s="66" t="n">
        <v>0.12</v>
      </c>
      <c r="D1001" s="67" t="str">
        <f aca="false">IFERROR(INDEX(المكونات!$B$2:$B$500,MATCH($B1001,المكونات!$A$2:$A$500,0)),"")</f>
        <v>كجم</v>
      </c>
      <c r="E1001" s="68" t="n">
        <f aca="false">IFERROR(INDEX(المكونات!$C$2:$C$500,MATCH($B1001,المكونات!$A$2:$A$500,0)),"")</f>
        <v>220.02</v>
      </c>
      <c r="F1001" s="69" t="n">
        <f aca="false">IFERROR($C1001*$E1001,"")</f>
        <v>26.4024</v>
      </c>
    </row>
    <row r="1002" customFormat="false" ht="15" hidden="false" customHeight="true" outlineLevel="0" collapsed="false">
      <c r="A1002" s="66" t="s">
        <v>511</v>
      </c>
      <c r="B1002" s="66" t="s">
        <v>262</v>
      </c>
      <c r="C1002" s="66" t="n">
        <v>0.3</v>
      </c>
      <c r="D1002" s="67" t="str">
        <f aca="false">IFERROR(INDEX(المكونات!$B$2:$B$500,MATCH($B1002,المكونات!$A$2:$A$500,0)),"")</f>
        <v>كجم</v>
      </c>
      <c r="E1002" s="68" t="n">
        <f aca="false">IFERROR(INDEX(المكونات!$C$2:$C$500,MATCH($B1002,المكونات!$A$2:$A$500,0)),"")</f>
        <v>22</v>
      </c>
      <c r="F1002" s="69" t="n">
        <f aca="false">IFERROR($C1002*$E1002,"")</f>
        <v>6.6</v>
      </c>
    </row>
    <row r="1003" customFormat="false" ht="15" hidden="false" customHeight="true" outlineLevel="0" collapsed="false">
      <c r="A1003" s="66" t="s">
        <v>511</v>
      </c>
      <c r="B1003" s="66" t="s">
        <v>250</v>
      </c>
      <c r="C1003" s="66" t="n">
        <v>0.06</v>
      </c>
      <c r="D1003" s="67" t="str">
        <f aca="false">IFERROR(INDEX(المكونات!$B$2:$B$500,MATCH($B1003,المكونات!$A$2:$A$500,0)),"")</f>
        <v>كجم</v>
      </c>
      <c r="E1003" s="68" t="n">
        <f aca="false">IFERROR(INDEX(المكونات!$C$2:$C$500,MATCH($B1003,المكونات!$A$2:$A$500,0)),"")</f>
        <v>32</v>
      </c>
      <c r="F1003" s="69" t="n">
        <f aca="false">IFERROR($C1003*$E1003,"")</f>
        <v>1.92</v>
      </c>
    </row>
    <row r="1004" customFormat="false" ht="15" hidden="false" customHeight="true" outlineLevel="0" collapsed="false">
      <c r="A1004" s="66" t="s">
        <v>511</v>
      </c>
      <c r="B1004" s="66" t="s">
        <v>260</v>
      </c>
      <c r="C1004" s="66" t="n">
        <v>0.045</v>
      </c>
      <c r="D1004" s="67" t="str">
        <f aca="false">IFERROR(INDEX(المكونات!$B$2:$B$500,MATCH($B1004,المكونات!$A$2:$A$500,0)),"")</f>
        <v>كجم</v>
      </c>
      <c r="E1004" s="68" t="n">
        <f aca="false">IFERROR(INDEX(المكونات!$C$2:$C$500,MATCH($B1004,المكونات!$A$2:$A$500,0)),"")</f>
        <v>21</v>
      </c>
      <c r="F1004" s="69" t="n">
        <f aca="false">IFERROR($C1004*$E1004,"")</f>
        <v>0.945</v>
      </c>
    </row>
    <row r="1005" customFormat="false" ht="15" hidden="false" customHeight="true" outlineLevel="0" collapsed="false">
      <c r="A1005" s="66" t="s">
        <v>511</v>
      </c>
      <c r="B1005" s="66" t="s">
        <v>284</v>
      </c>
      <c r="C1005" s="66" t="n">
        <v>0.03</v>
      </c>
      <c r="D1005" s="67" t="str">
        <f aca="false">IFERROR(INDEX(المكونات!$B$2:$B$500,MATCH($B1005,المكونات!$A$2:$A$500,0)),"")</f>
        <v>كجم</v>
      </c>
      <c r="E1005" s="68" t="n">
        <f aca="false">IFERROR(INDEX(المكونات!$C$2:$C$500,MATCH($B1005,المكونات!$A$2:$A$500,0)),"")</f>
        <v>27</v>
      </c>
      <c r="F1005" s="69" t="n">
        <f aca="false">IFERROR($C1005*$E1005,"")</f>
        <v>0.81</v>
      </c>
    </row>
    <row r="1006" customFormat="false" ht="15" hidden="false" customHeight="true" outlineLevel="0" collapsed="false">
      <c r="A1006" s="66" t="s">
        <v>511</v>
      </c>
      <c r="B1006" s="66" t="s">
        <v>227</v>
      </c>
      <c r="C1006" s="66" t="n">
        <v>0.03</v>
      </c>
      <c r="D1006" s="67" t="str">
        <f aca="false">IFERROR(INDEX(المكونات!$B$2:$B$500,MATCH($B1006,المكونات!$A$2:$A$500,0)),"")</f>
        <v>كجم</v>
      </c>
      <c r="E1006" s="68" t="n">
        <f aca="false">IFERROR(INDEX(المكونات!$C$2:$C$500,MATCH($B1006,المكونات!$A$2:$A$500,0)),"")</f>
        <v>95</v>
      </c>
      <c r="F1006" s="69" t="n">
        <f aca="false">IFERROR($C1006*$E1006,"")</f>
        <v>2.85</v>
      </c>
    </row>
    <row r="1007" customFormat="false" ht="15" hidden="false" customHeight="true" outlineLevel="0" collapsed="false">
      <c r="A1007" s="66" t="s">
        <v>511</v>
      </c>
      <c r="B1007" s="66" t="s">
        <v>178</v>
      </c>
      <c r="C1007" s="66" t="n">
        <v>1</v>
      </c>
      <c r="D1007" s="67" t="str">
        <f aca="false">IFERROR(INDEX(المكونات!$B$2:$B$500,MATCH($B1007,المكونات!$A$2:$A$500,0)),"")</f>
        <v>قطعة</v>
      </c>
      <c r="E1007" s="68" t="n">
        <f aca="false">IFERROR(INDEX(المكونات!$C$2:$C$500,MATCH($B1007,المكونات!$A$2:$A$500,0)),"")</f>
        <v>25</v>
      </c>
      <c r="F1007" s="69" t="n">
        <f aca="false">IFERROR($C1007*$E1007,"")</f>
        <v>25</v>
      </c>
    </row>
    <row r="1008" customFormat="false" ht="15" hidden="false" customHeight="true" outlineLevel="0" collapsed="false">
      <c r="A1008" s="66" t="s">
        <v>511</v>
      </c>
      <c r="B1008" s="66" t="s">
        <v>268</v>
      </c>
      <c r="C1008" s="66" t="n">
        <v>1</v>
      </c>
      <c r="D1008" s="67" t="str">
        <f aca="false">IFERROR(INDEX(المكونات!$B$2:$B$500,MATCH($B1008,المكونات!$A$2:$A$500,0)),"")</f>
        <v>قطعة</v>
      </c>
      <c r="E1008" s="68" t="n">
        <f aca="false">IFERROR(INDEX(المكونات!$C$2:$C$500,MATCH($B1008,المكونات!$A$2:$A$500,0)),"")</f>
        <v>5.5</v>
      </c>
      <c r="F1008" s="69" t="n">
        <f aca="false">IFERROR($C1008*$E1008,"")</f>
        <v>5.5</v>
      </c>
    </row>
    <row r="1009" customFormat="false" ht="15" hidden="false" customHeight="true" outlineLevel="0" collapsed="false">
      <c r="A1009" s="66" t="s">
        <v>511</v>
      </c>
      <c r="B1009" s="66" t="s">
        <v>290</v>
      </c>
      <c r="C1009" s="66" t="n">
        <v>3</v>
      </c>
      <c r="D1009" s="67" t="str">
        <f aca="false">IFERROR(INDEX(المكونات!$B$2:$B$500,MATCH($B1009,المكونات!$A$2:$A$500,0)),"")</f>
        <v>قطعة</v>
      </c>
      <c r="E1009" s="68" t="n">
        <f aca="false">IFERROR(INDEX(المكونات!$C$2:$C$500,MATCH($B1009,المكونات!$A$2:$A$500,0)),"")</f>
        <v>0.3</v>
      </c>
      <c r="F1009" s="69" t="n">
        <f aca="false">IFERROR($C1009*$E1009,"")</f>
        <v>0.9</v>
      </c>
    </row>
    <row r="1010" customFormat="false" ht="15" hidden="false" customHeight="true" outlineLevel="0" collapsed="false">
      <c r="A1010" s="66" t="s">
        <v>511</v>
      </c>
      <c r="B1010" s="66" t="s">
        <v>319</v>
      </c>
      <c r="C1010" s="66" t="n">
        <v>1</v>
      </c>
      <c r="D1010" s="67" t="str">
        <f aca="false">IFERROR(INDEX(المكونات!$B$2:$B$500,MATCH($B1010,المكونات!$A$2:$A$500,0)),"")</f>
        <v>قطعة (ورقة)</v>
      </c>
      <c r="E1010" s="68" t="n">
        <f aca="false">IFERROR(INDEX(المكونات!$C$2:$C$500,MATCH($B1010,المكونات!$A$2:$A$500,0)),"")</f>
        <v>0.3665</v>
      </c>
      <c r="F1010" s="69" t="n">
        <f aca="false">IFERROR($C1010*$E1010,"")</f>
        <v>0.3665</v>
      </c>
    </row>
    <row r="1011" customFormat="false" ht="15" hidden="false" customHeight="true" outlineLevel="0" collapsed="false">
      <c r="A1011" s="66" t="s">
        <v>511</v>
      </c>
      <c r="B1011" s="66" t="s">
        <v>133</v>
      </c>
      <c r="C1011" s="66" t="n">
        <v>1</v>
      </c>
      <c r="D1011" s="67" t="str">
        <f aca="false">IFERROR(INDEX(المكونات!$B$2:$B$500,MATCH($B1011,المكونات!$A$2:$A$500,0)),"")</f>
        <v>قطعة (كيس)</v>
      </c>
      <c r="E1011" s="68" t="n">
        <f aca="false">IFERROR(INDEX(المكونات!$C$2:$C$500,MATCH($B1011,المكونات!$A$2:$A$500,0)),"")</f>
        <v>1.4</v>
      </c>
      <c r="F1011" s="69" t="n">
        <f aca="false">IFERROR($C1011*$E1011,"")</f>
        <v>1.4</v>
      </c>
    </row>
    <row r="1012" customFormat="false" ht="15" hidden="false" customHeight="true" outlineLevel="0" collapsed="false">
      <c r="A1012" s="66" t="s">
        <v>511</v>
      </c>
      <c r="B1012" s="66" t="s">
        <v>293</v>
      </c>
      <c r="C1012" s="66" t="n">
        <v>1</v>
      </c>
      <c r="D1012" s="67" t="str">
        <f aca="false">IFERROR(INDEX(المكونات!$B$2:$B$500,MATCH($B1012,المكونات!$A$2:$A$500,0)),"")</f>
        <v>قطعة</v>
      </c>
      <c r="E1012" s="68" t="n">
        <f aca="false">IFERROR(INDEX(المكونات!$C$2:$C$500,MATCH($B1012,المكونات!$A$2:$A$500,0)),"")</f>
        <v>0.5</v>
      </c>
      <c r="F1012" s="69" t="n">
        <f aca="false">IFERROR($C1012*$E1012,"")</f>
        <v>0.5</v>
      </c>
    </row>
    <row r="1013" customFormat="false" ht="15" hidden="false" customHeight="true" outlineLevel="0" collapsed="false">
      <c r="A1013" s="66" t="s">
        <v>511</v>
      </c>
      <c r="B1013" s="66" t="s">
        <v>211</v>
      </c>
      <c r="C1013" s="66" t="n">
        <v>2</v>
      </c>
      <c r="D1013" s="67" t="str">
        <f aca="false">IFERROR(INDEX(المكونات!$B$2:$B$500,MATCH($B1013,المكونات!$A$2:$A$500,0)),"")</f>
        <v>قطعة (جلفز)</v>
      </c>
      <c r="E1013" s="68" t="n">
        <f aca="false">IFERROR(INDEX(المكونات!$C$2:$C$500,MATCH($B1013,المكونات!$A$2:$A$500,0)),"")</f>
        <v>0.18</v>
      </c>
      <c r="F1013" s="69" t="n">
        <f aca="false">IFERROR($C1013*$E1013,"")</f>
        <v>0.36</v>
      </c>
    </row>
    <row r="1014" customFormat="false" ht="15" hidden="false" customHeight="true" outlineLevel="0" collapsed="false">
      <c r="A1014" s="66" t="s">
        <v>511</v>
      </c>
      <c r="B1014" s="66" t="s">
        <v>322</v>
      </c>
      <c r="C1014" s="66" t="n">
        <v>1</v>
      </c>
      <c r="D1014" s="67" t="str">
        <f aca="false">IFERROR(INDEX(المكونات!$B$2:$B$500,MATCH($B1014,المكونات!$A$2:$A$500,0)),"")</f>
        <v>قطعة (كيس)</v>
      </c>
      <c r="E1014" s="68" t="n">
        <f aca="false">IFERROR(INDEX(المكونات!$C$2:$C$500,MATCH($B1014,المكونات!$A$2:$A$500,0)),"")</f>
        <v>1</v>
      </c>
      <c r="F1014" s="69" t="n">
        <f aca="false">IFERROR($C1014*$E1014,"")</f>
        <v>1</v>
      </c>
    </row>
    <row r="1015" customFormat="false" ht="15" hidden="false" customHeight="true" outlineLevel="0" collapsed="false">
      <c r="A1015" s="66" t="s">
        <v>511</v>
      </c>
      <c r="B1015" s="66" t="s">
        <v>336</v>
      </c>
      <c r="C1015" s="66" t="n">
        <v>0.18</v>
      </c>
      <c r="D1015" s="67" t="str">
        <f aca="false">IFERROR(INDEX(المكونات!$B$2:$B$500,MATCH($B1015,المكونات!$A$2:$A$500,0)),"")</f>
        <v>كجم</v>
      </c>
      <c r="E1015" s="68" t="n">
        <f aca="false">IFERROR(INDEX(المكونات!$C$2:$C$500,MATCH($B1015,المكونات!$A$2:$A$500,0)),"")</f>
        <v>220.02</v>
      </c>
      <c r="F1015" s="69" t="n">
        <f aca="false">IFERROR($C1015*$E1015,"")</f>
        <v>39.6036</v>
      </c>
    </row>
    <row r="1016" customFormat="false" ht="15" hidden="false" customHeight="true" outlineLevel="0" collapsed="false">
      <c r="A1016" s="66" t="s">
        <v>502</v>
      </c>
      <c r="B1016" s="66" t="s">
        <v>262</v>
      </c>
      <c r="C1016" s="66" t="n">
        <v>0.22</v>
      </c>
      <c r="D1016" s="67" t="str">
        <f aca="false">IFERROR(INDEX(المكونات!$B$2:$B$500,MATCH($B1016,المكونات!$A$2:$A$500,0)),"")</f>
        <v>كجم</v>
      </c>
      <c r="E1016" s="68" t="n">
        <f aca="false">IFERROR(INDEX(المكونات!$C$2:$C$500,MATCH($B1016,المكونات!$A$2:$A$500,0)),"")</f>
        <v>22</v>
      </c>
      <c r="F1016" s="69" t="n">
        <f aca="false">IFERROR($C1016*$E1016,"")</f>
        <v>4.84</v>
      </c>
    </row>
    <row r="1017" customFormat="false" ht="15" hidden="false" customHeight="true" outlineLevel="0" collapsed="false">
      <c r="A1017" s="66" t="s">
        <v>502</v>
      </c>
      <c r="B1017" s="66" t="s">
        <v>250</v>
      </c>
      <c r="C1017" s="66" t="n">
        <v>0.04</v>
      </c>
      <c r="D1017" s="67" t="str">
        <f aca="false">IFERROR(INDEX(المكونات!$B$2:$B$500,MATCH($B1017,المكونات!$A$2:$A$500,0)),"")</f>
        <v>كجم</v>
      </c>
      <c r="E1017" s="68" t="n">
        <f aca="false">IFERROR(INDEX(المكونات!$C$2:$C$500,MATCH($B1017,المكونات!$A$2:$A$500,0)),"")</f>
        <v>32</v>
      </c>
      <c r="F1017" s="69" t="n">
        <f aca="false">IFERROR($C1017*$E1017,"")</f>
        <v>1.28</v>
      </c>
    </row>
    <row r="1018" customFormat="false" ht="15" hidden="false" customHeight="true" outlineLevel="0" collapsed="false">
      <c r="A1018" s="66" t="s">
        <v>502</v>
      </c>
      <c r="B1018" s="66" t="s">
        <v>260</v>
      </c>
      <c r="C1018" s="66" t="n">
        <v>0.03</v>
      </c>
      <c r="D1018" s="67" t="str">
        <f aca="false">IFERROR(INDEX(المكونات!$B$2:$B$500,MATCH($B1018,المكونات!$A$2:$A$500,0)),"")</f>
        <v>كجم</v>
      </c>
      <c r="E1018" s="68" t="n">
        <f aca="false">IFERROR(INDEX(المكونات!$C$2:$C$500,MATCH($B1018,المكونات!$A$2:$A$500,0)),"")</f>
        <v>21</v>
      </c>
      <c r="F1018" s="69" t="n">
        <f aca="false">IFERROR($C1018*$E1018,"")</f>
        <v>0.63</v>
      </c>
    </row>
    <row r="1019" customFormat="false" ht="15" hidden="false" customHeight="true" outlineLevel="0" collapsed="false">
      <c r="A1019" s="66" t="s">
        <v>502</v>
      </c>
      <c r="B1019" s="66" t="s">
        <v>284</v>
      </c>
      <c r="C1019" s="66" t="n">
        <v>0.02</v>
      </c>
      <c r="D1019" s="67" t="str">
        <f aca="false">IFERROR(INDEX(المكونات!$B$2:$B$500,MATCH($B1019,المكونات!$A$2:$A$500,0)),"")</f>
        <v>كجم</v>
      </c>
      <c r="E1019" s="68" t="n">
        <f aca="false">IFERROR(INDEX(المكونات!$C$2:$C$500,MATCH($B1019,المكونات!$A$2:$A$500,0)),"")</f>
        <v>27</v>
      </c>
      <c r="F1019" s="69" t="n">
        <f aca="false">IFERROR($C1019*$E1019,"")</f>
        <v>0.54</v>
      </c>
    </row>
    <row r="1020" customFormat="false" ht="15" hidden="false" customHeight="true" outlineLevel="0" collapsed="false">
      <c r="A1020" s="66" t="s">
        <v>502</v>
      </c>
      <c r="B1020" s="66" t="s">
        <v>227</v>
      </c>
      <c r="C1020" s="66" t="n">
        <v>0.02</v>
      </c>
      <c r="D1020" s="67" t="str">
        <f aca="false">IFERROR(INDEX(المكونات!$B$2:$B$500,MATCH($B1020,المكونات!$A$2:$A$500,0)),"")</f>
        <v>كجم</v>
      </c>
      <c r="E1020" s="68" t="n">
        <f aca="false">IFERROR(INDEX(المكونات!$C$2:$C$500,MATCH($B1020,المكونات!$A$2:$A$500,0)),"")</f>
        <v>95</v>
      </c>
      <c r="F1020" s="69" t="n">
        <f aca="false">IFERROR($C1020*$E1020,"")</f>
        <v>1.9</v>
      </c>
    </row>
    <row r="1021" customFormat="false" ht="15" hidden="false" customHeight="true" outlineLevel="0" collapsed="false">
      <c r="A1021" s="66" t="s">
        <v>502</v>
      </c>
      <c r="B1021" s="66" t="s">
        <v>176</v>
      </c>
      <c r="C1021" s="66" t="n">
        <v>1</v>
      </c>
      <c r="D1021" s="67" t="str">
        <f aca="false">IFERROR(INDEX(المكونات!$B$2:$B$500,MATCH($B1021,المكونات!$A$2:$A$500,0)),"")</f>
        <v>قطعة</v>
      </c>
      <c r="E1021" s="68" t="n">
        <f aca="false">IFERROR(INDEX(المكونات!$C$2:$C$500,MATCH($B1021,المكونات!$A$2:$A$500,0)),"")</f>
        <v>17.5</v>
      </c>
      <c r="F1021" s="69" t="n">
        <f aca="false">IFERROR($C1021*$E1021,"")</f>
        <v>17.5</v>
      </c>
    </row>
    <row r="1022" customFormat="false" ht="15" hidden="false" customHeight="true" outlineLevel="0" collapsed="false">
      <c r="A1022" s="66" t="s">
        <v>502</v>
      </c>
      <c r="B1022" s="66" t="s">
        <v>270</v>
      </c>
      <c r="C1022" s="66" t="n">
        <v>1</v>
      </c>
      <c r="D1022" s="67" t="str">
        <f aca="false">IFERROR(INDEX(المكونات!$B$2:$B$500,MATCH($B1022,المكونات!$A$2:$A$500,0)),"")</f>
        <v>قطعة</v>
      </c>
      <c r="E1022" s="68" t="n">
        <f aca="false">IFERROR(INDEX(المكونات!$C$2:$C$500,MATCH($B1022,المكونات!$A$2:$A$500,0)),"")</f>
        <v>4.5</v>
      </c>
      <c r="F1022" s="69" t="n">
        <f aca="false">IFERROR($C1022*$E1022,"")</f>
        <v>4.5</v>
      </c>
    </row>
    <row r="1023" customFormat="false" ht="15" hidden="false" customHeight="true" outlineLevel="0" collapsed="false">
      <c r="A1023" s="66" t="s">
        <v>502</v>
      </c>
      <c r="B1023" s="66" t="s">
        <v>290</v>
      </c>
      <c r="C1023" s="66" t="n">
        <v>2</v>
      </c>
      <c r="D1023" s="67" t="str">
        <f aca="false">IFERROR(INDEX(المكونات!$B$2:$B$500,MATCH($B1023,المكونات!$A$2:$A$500,0)),"")</f>
        <v>قطعة</v>
      </c>
      <c r="E1023" s="68" t="n">
        <f aca="false">IFERROR(INDEX(المكونات!$C$2:$C$500,MATCH($B1023,المكونات!$A$2:$A$500,0)),"")</f>
        <v>0.3</v>
      </c>
      <c r="F1023" s="69" t="n">
        <f aca="false">IFERROR($C1023*$E1023,"")</f>
        <v>0.6</v>
      </c>
    </row>
    <row r="1024" customFormat="false" ht="15" hidden="false" customHeight="true" outlineLevel="0" collapsed="false">
      <c r="A1024" s="66" t="s">
        <v>502</v>
      </c>
      <c r="B1024" s="66" t="s">
        <v>319</v>
      </c>
      <c r="C1024" s="66" t="n">
        <v>1</v>
      </c>
      <c r="D1024" s="67" t="str">
        <f aca="false">IFERROR(INDEX(المكونات!$B$2:$B$500,MATCH($B1024,المكونات!$A$2:$A$500,0)),"")</f>
        <v>قطعة (ورقة)</v>
      </c>
      <c r="E1024" s="68" t="n">
        <f aca="false">IFERROR(INDEX(المكونات!$C$2:$C$500,MATCH($B1024,المكونات!$A$2:$A$500,0)),"")</f>
        <v>0.3665</v>
      </c>
      <c r="F1024" s="69" t="n">
        <f aca="false">IFERROR($C1024*$E1024,"")</f>
        <v>0.3665</v>
      </c>
    </row>
    <row r="1025" customFormat="false" ht="15" hidden="false" customHeight="true" outlineLevel="0" collapsed="false">
      <c r="A1025" s="66" t="s">
        <v>502</v>
      </c>
      <c r="B1025" s="66" t="s">
        <v>133</v>
      </c>
      <c r="C1025" s="66" t="n">
        <v>1</v>
      </c>
      <c r="D1025" s="67" t="str">
        <f aca="false">IFERROR(INDEX(المكونات!$B$2:$B$500,MATCH($B1025,المكونات!$A$2:$A$500,0)),"")</f>
        <v>قطعة (كيس)</v>
      </c>
      <c r="E1025" s="68" t="n">
        <f aca="false">IFERROR(INDEX(المكونات!$C$2:$C$500,MATCH($B1025,المكونات!$A$2:$A$500,0)),"")</f>
        <v>1.4</v>
      </c>
      <c r="F1025" s="69" t="n">
        <f aca="false">IFERROR($C1025*$E1025,"")</f>
        <v>1.4</v>
      </c>
    </row>
    <row r="1026" customFormat="false" ht="15" hidden="false" customHeight="true" outlineLevel="0" collapsed="false">
      <c r="A1026" s="66" t="s">
        <v>502</v>
      </c>
      <c r="B1026" s="66" t="s">
        <v>293</v>
      </c>
      <c r="C1026" s="66" t="n">
        <v>1</v>
      </c>
      <c r="D1026" s="67" t="str">
        <f aca="false">IFERROR(INDEX(المكونات!$B$2:$B$500,MATCH($B1026,المكونات!$A$2:$A$500,0)),"")</f>
        <v>قطعة</v>
      </c>
      <c r="E1026" s="68" t="n">
        <f aca="false">IFERROR(INDEX(المكونات!$C$2:$C$500,MATCH($B1026,المكونات!$A$2:$A$500,0)),"")</f>
        <v>0.5</v>
      </c>
      <c r="F1026" s="69" t="n">
        <f aca="false">IFERROR($C1026*$E1026,"")</f>
        <v>0.5</v>
      </c>
    </row>
    <row r="1027" customFormat="false" ht="15" hidden="false" customHeight="true" outlineLevel="0" collapsed="false">
      <c r="A1027" s="66" t="s">
        <v>502</v>
      </c>
      <c r="B1027" s="66" t="s">
        <v>211</v>
      </c>
      <c r="C1027" s="66" t="n">
        <v>2</v>
      </c>
      <c r="D1027" s="67" t="str">
        <f aca="false">IFERROR(INDEX(المكونات!$B$2:$B$500,MATCH($B1027,المكونات!$A$2:$A$500,0)),"")</f>
        <v>قطعة (جلفز)</v>
      </c>
      <c r="E1027" s="68" t="n">
        <f aca="false">IFERROR(INDEX(المكونات!$C$2:$C$500,MATCH($B1027,المكونات!$A$2:$A$500,0)),"")</f>
        <v>0.18</v>
      </c>
      <c r="F1027" s="69" t="n">
        <f aca="false">IFERROR($C1027*$E1027,"")</f>
        <v>0.36</v>
      </c>
    </row>
    <row r="1028" customFormat="false" ht="15" hidden="false" customHeight="true" outlineLevel="0" collapsed="false">
      <c r="A1028" s="66" t="s">
        <v>502</v>
      </c>
      <c r="B1028" s="66" t="s">
        <v>322</v>
      </c>
      <c r="C1028" s="66" t="n">
        <v>1</v>
      </c>
      <c r="D1028" s="67" t="str">
        <f aca="false">IFERROR(INDEX(المكونات!$B$2:$B$500,MATCH($B1028,المكونات!$A$2:$A$500,0)),"")</f>
        <v>قطعة (كيس)</v>
      </c>
      <c r="E1028" s="68" t="n">
        <f aca="false">IFERROR(INDEX(المكونات!$C$2:$C$500,MATCH($B1028,المكونات!$A$2:$A$500,0)),"")</f>
        <v>1</v>
      </c>
      <c r="F1028" s="69" t="n">
        <f aca="false">IFERROR($C1028*$E1028,"")</f>
        <v>1</v>
      </c>
    </row>
    <row r="1029" customFormat="false" ht="15" hidden="false" customHeight="true" outlineLevel="0" collapsed="false">
      <c r="A1029" s="66" t="s">
        <v>502</v>
      </c>
      <c r="B1029" s="66" t="s">
        <v>338</v>
      </c>
      <c r="C1029" s="66" t="n">
        <v>0.14</v>
      </c>
      <c r="D1029" s="67" t="str">
        <f aca="false">IFERROR(INDEX(المكونات!$B$2:$B$500,MATCH($B1029,المكونات!$A$2:$A$500,0)),"")</f>
        <v>كجم</v>
      </c>
      <c r="E1029" s="68" t="n">
        <f aca="false">IFERROR(INDEX(المكونات!$C$2:$C$500,MATCH($B1029,المكونات!$A$2:$A$500,0)),"")</f>
        <v>219.23</v>
      </c>
      <c r="F1029" s="69" t="n">
        <f aca="false">IFERROR($C1029*$E1029,"")</f>
        <v>30.6922</v>
      </c>
    </row>
    <row r="1030" customFormat="false" ht="15" hidden="false" customHeight="true" outlineLevel="0" collapsed="false">
      <c r="A1030" s="66" t="s">
        <v>524</v>
      </c>
      <c r="B1030" s="66" t="s">
        <v>262</v>
      </c>
      <c r="C1030" s="66" t="n">
        <v>0.3</v>
      </c>
      <c r="D1030" s="67" t="str">
        <f aca="false">IFERROR(INDEX(المكونات!$B$2:$B$500,MATCH($B1030,المكونات!$A$2:$A$500,0)),"")</f>
        <v>كجم</v>
      </c>
      <c r="E1030" s="68" t="n">
        <f aca="false">IFERROR(INDEX(المكونات!$C$2:$C$500,MATCH($B1030,المكونات!$A$2:$A$500,0)),"")</f>
        <v>22</v>
      </c>
      <c r="F1030" s="69" t="n">
        <f aca="false">IFERROR($C1030*$E1030,"")</f>
        <v>6.6</v>
      </c>
    </row>
    <row r="1031" customFormat="false" ht="15" hidden="false" customHeight="true" outlineLevel="0" collapsed="false">
      <c r="A1031" s="66" t="s">
        <v>524</v>
      </c>
      <c r="B1031" s="66" t="s">
        <v>250</v>
      </c>
      <c r="C1031" s="66" t="n">
        <v>0.06</v>
      </c>
      <c r="D1031" s="67" t="str">
        <f aca="false">IFERROR(INDEX(المكونات!$B$2:$B$500,MATCH($B1031,المكونات!$A$2:$A$500,0)),"")</f>
        <v>كجم</v>
      </c>
      <c r="E1031" s="68" t="n">
        <f aca="false">IFERROR(INDEX(المكونات!$C$2:$C$500,MATCH($B1031,المكونات!$A$2:$A$500,0)),"")</f>
        <v>32</v>
      </c>
      <c r="F1031" s="69" t="n">
        <f aca="false">IFERROR($C1031*$E1031,"")</f>
        <v>1.92</v>
      </c>
    </row>
    <row r="1032" customFormat="false" ht="15" hidden="false" customHeight="true" outlineLevel="0" collapsed="false">
      <c r="A1032" s="66" t="s">
        <v>524</v>
      </c>
      <c r="B1032" s="66" t="s">
        <v>260</v>
      </c>
      <c r="C1032" s="66" t="n">
        <v>0.045</v>
      </c>
      <c r="D1032" s="67" t="str">
        <f aca="false">IFERROR(INDEX(المكونات!$B$2:$B$500,MATCH($B1032,المكونات!$A$2:$A$500,0)),"")</f>
        <v>كجم</v>
      </c>
      <c r="E1032" s="68" t="n">
        <f aca="false">IFERROR(INDEX(المكونات!$C$2:$C$500,MATCH($B1032,المكونات!$A$2:$A$500,0)),"")</f>
        <v>21</v>
      </c>
      <c r="F1032" s="69" t="n">
        <f aca="false">IFERROR($C1032*$E1032,"")</f>
        <v>0.945</v>
      </c>
    </row>
    <row r="1033" customFormat="false" ht="15" hidden="false" customHeight="true" outlineLevel="0" collapsed="false">
      <c r="A1033" s="66" t="s">
        <v>524</v>
      </c>
      <c r="B1033" s="66" t="s">
        <v>284</v>
      </c>
      <c r="C1033" s="66" t="n">
        <v>0.03</v>
      </c>
      <c r="D1033" s="67" t="str">
        <f aca="false">IFERROR(INDEX(المكونات!$B$2:$B$500,MATCH($B1033,المكونات!$A$2:$A$500,0)),"")</f>
        <v>كجم</v>
      </c>
      <c r="E1033" s="68" t="n">
        <f aca="false">IFERROR(INDEX(المكونات!$C$2:$C$500,MATCH($B1033,المكونات!$A$2:$A$500,0)),"")</f>
        <v>27</v>
      </c>
      <c r="F1033" s="69" t="n">
        <f aca="false">IFERROR($C1033*$E1033,"")</f>
        <v>0.81</v>
      </c>
    </row>
    <row r="1034" customFormat="false" ht="15" hidden="false" customHeight="true" outlineLevel="0" collapsed="false">
      <c r="A1034" s="66" t="s">
        <v>524</v>
      </c>
      <c r="B1034" s="66" t="s">
        <v>227</v>
      </c>
      <c r="C1034" s="66" t="n">
        <v>0.03</v>
      </c>
      <c r="D1034" s="67" t="str">
        <f aca="false">IFERROR(INDEX(المكونات!$B$2:$B$500,MATCH($B1034,المكونات!$A$2:$A$500,0)),"")</f>
        <v>كجم</v>
      </c>
      <c r="E1034" s="68" t="n">
        <f aca="false">IFERROR(INDEX(المكونات!$C$2:$C$500,MATCH($B1034,المكونات!$A$2:$A$500,0)),"")</f>
        <v>95</v>
      </c>
      <c r="F1034" s="69" t="n">
        <f aca="false">IFERROR($C1034*$E1034,"")</f>
        <v>2.85</v>
      </c>
    </row>
    <row r="1035" customFormat="false" ht="15" hidden="false" customHeight="true" outlineLevel="0" collapsed="false">
      <c r="A1035" s="66" t="s">
        <v>524</v>
      </c>
      <c r="B1035" s="66" t="s">
        <v>178</v>
      </c>
      <c r="C1035" s="66" t="n">
        <v>1</v>
      </c>
      <c r="D1035" s="67" t="str">
        <f aca="false">IFERROR(INDEX(المكونات!$B$2:$B$500,MATCH($B1035,المكونات!$A$2:$A$500,0)),"")</f>
        <v>قطعة</v>
      </c>
      <c r="E1035" s="68" t="n">
        <f aca="false">IFERROR(INDEX(المكونات!$C$2:$C$500,MATCH($B1035,المكونات!$A$2:$A$500,0)),"")</f>
        <v>25</v>
      </c>
      <c r="F1035" s="69" t="n">
        <f aca="false">IFERROR($C1035*$E1035,"")</f>
        <v>25</v>
      </c>
    </row>
    <row r="1036" customFormat="false" ht="15" hidden="false" customHeight="true" outlineLevel="0" collapsed="false">
      <c r="A1036" s="66" t="s">
        <v>524</v>
      </c>
      <c r="B1036" s="66" t="s">
        <v>268</v>
      </c>
      <c r="C1036" s="66" t="n">
        <v>1</v>
      </c>
      <c r="D1036" s="67" t="str">
        <f aca="false">IFERROR(INDEX(المكونات!$B$2:$B$500,MATCH($B1036,المكونات!$A$2:$A$500,0)),"")</f>
        <v>قطعة</v>
      </c>
      <c r="E1036" s="68" t="n">
        <f aca="false">IFERROR(INDEX(المكونات!$C$2:$C$500,MATCH($B1036,المكونات!$A$2:$A$500,0)),"")</f>
        <v>5.5</v>
      </c>
      <c r="F1036" s="69" t="n">
        <f aca="false">IFERROR($C1036*$E1036,"")</f>
        <v>5.5</v>
      </c>
    </row>
    <row r="1037" customFormat="false" ht="15" hidden="false" customHeight="true" outlineLevel="0" collapsed="false">
      <c r="A1037" s="66" t="s">
        <v>524</v>
      </c>
      <c r="B1037" s="66" t="s">
        <v>290</v>
      </c>
      <c r="C1037" s="66" t="n">
        <v>3</v>
      </c>
      <c r="D1037" s="67" t="str">
        <f aca="false">IFERROR(INDEX(المكونات!$B$2:$B$500,MATCH($B1037,المكونات!$A$2:$A$500,0)),"")</f>
        <v>قطعة</v>
      </c>
      <c r="E1037" s="68" t="n">
        <f aca="false">IFERROR(INDEX(المكونات!$C$2:$C$500,MATCH($B1037,المكونات!$A$2:$A$500,0)),"")</f>
        <v>0.3</v>
      </c>
      <c r="F1037" s="69" t="n">
        <f aca="false">IFERROR($C1037*$E1037,"")</f>
        <v>0.9</v>
      </c>
    </row>
    <row r="1038" customFormat="false" ht="15" hidden="false" customHeight="true" outlineLevel="0" collapsed="false">
      <c r="A1038" s="66" t="s">
        <v>524</v>
      </c>
      <c r="B1038" s="66" t="s">
        <v>319</v>
      </c>
      <c r="C1038" s="66" t="n">
        <v>1</v>
      </c>
      <c r="D1038" s="67" t="str">
        <f aca="false">IFERROR(INDEX(المكونات!$B$2:$B$500,MATCH($B1038,المكونات!$A$2:$A$500,0)),"")</f>
        <v>قطعة (ورقة)</v>
      </c>
      <c r="E1038" s="68" t="n">
        <f aca="false">IFERROR(INDEX(المكونات!$C$2:$C$500,MATCH($B1038,المكونات!$A$2:$A$500,0)),"")</f>
        <v>0.3665</v>
      </c>
      <c r="F1038" s="69" t="n">
        <f aca="false">IFERROR($C1038*$E1038,"")</f>
        <v>0.3665</v>
      </c>
    </row>
    <row r="1039" customFormat="false" ht="15" hidden="false" customHeight="true" outlineLevel="0" collapsed="false">
      <c r="A1039" s="66" t="s">
        <v>524</v>
      </c>
      <c r="B1039" s="66" t="s">
        <v>133</v>
      </c>
      <c r="C1039" s="66" t="n">
        <v>1</v>
      </c>
      <c r="D1039" s="67" t="str">
        <f aca="false">IFERROR(INDEX(المكونات!$B$2:$B$500,MATCH($B1039,المكونات!$A$2:$A$500,0)),"")</f>
        <v>قطعة (كيس)</v>
      </c>
      <c r="E1039" s="68" t="n">
        <f aca="false">IFERROR(INDEX(المكونات!$C$2:$C$500,MATCH($B1039,المكونات!$A$2:$A$500,0)),"")</f>
        <v>1.4</v>
      </c>
      <c r="F1039" s="69" t="n">
        <f aca="false">IFERROR($C1039*$E1039,"")</f>
        <v>1.4</v>
      </c>
    </row>
    <row r="1040" customFormat="false" ht="15" hidden="false" customHeight="true" outlineLevel="0" collapsed="false">
      <c r="A1040" s="66" t="s">
        <v>524</v>
      </c>
      <c r="B1040" s="66" t="s">
        <v>293</v>
      </c>
      <c r="C1040" s="66" t="n">
        <v>1</v>
      </c>
      <c r="D1040" s="67" t="str">
        <f aca="false">IFERROR(INDEX(المكونات!$B$2:$B$500,MATCH($B1040,المكونات!$A$2:$A$500,0)),"")</f>
        <v>قطعة</v>
      </c>
      <c r="E1040" s="68" t="n">
        <f aca="false">IFERROR(INDEX(المكونات!$C$2:$C$500,MATCH($B1040,المكونات!$A$2:$A$500,0)),"")</f>
        <v>0.5</v>
      </c>
      <c r="F1040" s="69" t="n">
        <f aca="false">IFERROR($C1040*$E1040,"")</f>
        <v>0.5</v>
      </c>
    </row>
    <row r="1041" customFormat="false" ht="15" hidden="false" customHeight="true" outlineLevel="0" collapsed="false">
      <c r="A1041" s="66" t="s">
        <v>524</v>
      </c>
      <c r="B1041" s="66" t="s">
        <v>211</v>
      </c>
      <c r="C1041" s="66" t="n">
        <v>2</v>
      </c>
      <c r="D1041" s="67" t="str">
        <f aca="false">IFERROR(INDEX(المكونات!$B$2:$B$500,MATCH($B1041,المكونات!$A$2:$A$500,0)),"")</f>
        <v>قطعة (جلفز)</v>
      </c>
      <c r="E1041" s="68" t="n">
        <f aca="false">IFERROR(INDEX(المكونات!$C$2:$C$500,MATCH($B1041,المكونات!$A$2:$A$500,0)),"")</f>
        <v>0.18</v>
      </c>
      <c r="F1041" s="69" t="n">
        <f aca="false">IFERROR($C1041*$E1041,"")</f>
        <v>0.36</v>
      </c>
    </row>
    <row r="1042" customFormat="false" ht="15" hidden="false" customHeight="true" outlineLevel="0" collapsed="false">
      <c r="A1042" s="66" t="s">
        <v>524</v>
      </c>
      <c r="B1042" s="66" t="s">
        <v>322</v>
      </c>
      <c r="C1042" s="66" t="n">
        <v>1</v>
      </c>
      <c r="D1042" s="67" t="str">
        <f aca="false">IFERROR(INDEX(المكونات!$B$2:$B$500,MATCH($B1042,المكونات!$A$2:$A$500,0)),"")</f>
        <v>قطعة (كيس)</v>
      </c>
      <c r="E1042" s="68" t="n">
        <f aca="false">IFERROR(INDEX(المكونات!$C$2:$C$500,MATCH($B1042,المكونات!$A$2:$A$500,0)),"")</f>
        <v>1</v>
      </c>
      <c r="F1042" s="69" t="n">
        <f aca="false">IFERROR($C1042*$E1042,"")</f>
        <v>1</v>
      </c>
    </row>
    <row r="1043" customFormat="false" ht="15" hidden="false" customHeight="true" outlineLevel="0" collapsed="false">
      <c r="A1043" s="66" t="s">
        <v>524</v>
      </c>
      <c r="B1043" s="66" t="s">
        <v>338</v>
      </c>
      <c r="C1043" s="66" t="n">
        <v>0.21</v>
      </c>
      <c r="D1043" s="67" t="str">
        <f aca="false">IFERROR(INDEX(المكونات!$B$2:$B$500,MATCH($B1043,المكونات!$A$2:$A$500,0)),"")</f>
        <v>كجم</v>
      </c>
      <c r="E1043" s="68" t="n">
        <f aca="false">IFERROR(INDEX(المكونات!$C$2:$C$500,MATCH($B1043,المكونات!$A$2:$A$500,0)),"")</f>
        <v>219.23</v>
      </c>
      <c r="F1043" s="69" t="n">
        <f aca="false">IFERROR($C1043*$E1043,"")</f>
        <v>46.0383</v>
      </c>
    </row>
    <row r="1044" customFormat="false" ht="15" hidden="false" customHeight="true" outlineLevel="0" collapsed="false">
      <c r="A1044" s="66" t="s">
        <v>480</v>
      </c>
      <c r="B1044" s="66" t="s">
        <v>262</v>
      </c>
      <c r="C1044" s="66" t="n">
        <v>0.22</v>
      </c>
      <c r="D1044" s="67" t="str">
        <f aca="false">IFERROR(INDEX(المكونات!$B$2:$B$500,MATCH($B1044,المكونات!$A$2:$A$500,0)),"")</f>
        <v>كجم</v>
      </c>
      <c r="E1044" s="68" t="n">
        <f aca="false">IFERROR(INDEX(المكونات!$C$2:$C$500,MATCH($B1044,المكونات!$A$2:$A$500,0)),"")</f>
        <v>22</v>
      </c>
      <c r="F1044" s="69" t="n">
        <f aca="false">IFERROR($C1044*$E1044,"")</f>
        <v>4.84</v>
      </c>
    </row>
    <row r="1045" customFormat="false" ht="15" hidden="false" customHeight="true" outlineLevel="0" collapsed="false">
      <c r="A1045" s="66" t="s">
        <v>480</v>
      </c>
      <c r="B1045" s="66" t="s">
        <v>250</v>
      </c>
      <c r="C1045" s="66" t="n">
        <v>0.04</v>
      </c>
      <c r="D1045" s="67" t="str">
        <f aca="false">IFERROR(INDEX(المكونات!$B$2:$B$500,MATCH($B1045,المكونات!$A$2:$A$500,0)),"")</f>
        <v>كجم</v>
      </c>
      <c r="E1045" s="68" t="n">
        <f aca="false">IFERROR(INDEX(المكونات!$C$2:$C$500,MATCH($B1045,المكونات!$A$2:$A$500,0)),"")</f>
        <v>32</v>
      </c>
      <c r="F1045" s="69" t="n">
        <f aca="false">IFERROR($C1045*$E1045,"")</f>
        <v>1.28</v>
      </c>
    </row>
    <row r="1046" customFormat="false" ht="15" hidden="false" customHeight="true" outlineLevel="0" collapsed="false">
      <c r="A1046" s="66" t="s">
        <v>480</v>
      </c>
      <c r="B1046" s="66" t="s">
        <v>260</v>
      </c>
      <c r="C1046" s="66" t="n">
        <v>0.03</v>
      </c>
      <c r="D1046" s="67" t="str">
        <f aca="false">IFERROR(INDEX(المكونات!$B$2:$B$500,MATCH($B1046,المكونات!$A$2:$A$500,0)),"")</f>
        <v>كجم</v>
      </c>
      <c r="E1046" s="68" t="n">
        <f aca="false">IFERROR(INDEX(المكونات!$C$2:$C$500,MATCH($B1046,المكونات!$A$2:$A$500,0)),"")</f>
        <v>21</v>
      </c>
      <c r="F1046" s="69" t="n">
        <f aca="false">IFERROR($C1046*$E1046,"")</f>
        <v>0.63</v>
      </c>
    </row>
    <row r="1047" customFormat="false" ht="15" hidden="false" customHeight="true" outlineLevel="0" collapsed="false">
      <c r="A1047" s="66" t="s">
        <v>480</v>
      </c>
      <c r="B1047" s="66" t="s">
        <v>284</v>
      </c>
      <c r="C1047" s="66" t="n">
        <v>0.02</v>
      </c>
      <c r="D1047" s="67" t="str">
        <f aca="false">IFERROR(INDEX(المكونات!$B$2:$B$500,MATCH($B1047,المكونات!$A$2:$A$500,0)),"")</f>
        <v>كجم</v>
      </c>
      <c r="E1047" s="68" t="n">
        <f aca="false">IFERROR(INDEX(المكونات!$C$2:$C$500,MATCH($B1047,المكونات!$A$2:$A$500,0)),"")</f>
        <v>27</v>
      </c>
      <c r="F1047" s="69" t="n">
        <f aca="false">IFERROR($C1047*$E1047,"")</f>
        <v>0.54</v>
      </c>
    </row>
    <row r="1048" customFormat="false" ht="15" hidden="false" customHeight="true" outlineLevel="0" collapsed="false">
      <c r="A1048" s="66" t="s">
        <v>480</v>
      </c>
      <c r="B1048" s="66" t="s">
        <v>227</v>
      </c>
      <c r="C1048" s="66" t="n">
        <v>0.02</v>
      </c>
      <c r="D1048" s="67" t="str">
        <f aca="false">IFERROR(INDEX(المكونات!$B$2:$B$500,MATCH($B1048,المكونات!$A$2:$A$500,0)),"")</f>
        <v>كجم</v>
      </c>
      <c r="E1048" s="68" t="n">
        <f aca="false">IFERROR(INDEX(المكونات!$C$2:$C$500,MATCH($B1048,المكونات!$A$2:$A$500,0)),"")</f>
        <v>95</v>
      </c>
      <c r="F1048" s="69" t="n">
        <f aca="false">IFERROR($C1048*$E1048,"")</f>
        <v>1.9</v>
      </c>
    </row>
    <row r="1049" customFormat="false" ht="15" hidden="false" customHeight="true" outlineLevel="0" collapsed="false">
      <c r="A1049" s="66" t="s">
        <v>480</v>
      </c>
      <c r="B1049" s="66" t="s">
        <v>176</v>
      </c>
      <c r="C1049" s="66" t="n">
        <v>1</v>
      </c>
      <c r="D1049" s="67" t="str">
        <f aca="false">IFERROR(INDEX(المكونات!$B$2:$B$500,MATCH($B1049,المكونات!$A$2:$A$500,0)),"")</f>
        <v>قطعة</v>
      </c>
      <c r="E1049" s="68" t="n">
        <f aca="false">IFERROR(INDEX(المكونات!$C$2:$C$500,MATCH($B1049,المكونات!$A$2:$A$500,0)),"")</f>
        <v>17.5</v>
      </c>
      <c r="F1049" s="69" t="n">
        <f aca="false">IFERROR($C1049*$E1049,"")</f>
        <v>17.5</v>
      </c>
    </row>
    <row r="1050" customFormat="false" ht="15" hidden="false" customHeight="true" outlineLevel="0" collapsed="false">
      <c r="A1050" s="66" t="s">
        <v>480</v>
      </c>
      <c r="B1050" s="66" t="s">
        <v>270</v>
      </c>
      <c r="C1050" s="66" t="n">
        <v>1</v>
      </c>
      <c r="D1050" s="67" t="str">
        <f aca="false">IFERROR(INDEX(المكونات!$B$2:$B$500,MATCH($B1050,المكونات!$A$2:$A$500,0)),"")</f>
        <v>قطعة</v>
      </c>
      <c r="E1050" s="68" t="n">
        <f aca="false">IFERROR(INDEX(المكونات!$C$2:$C$500,MATCH($B1050,المكونات!$A$2:$A$500,0)),"")</f>
        <v>4.5</v>
      </c>
      <c r="F1050" s="69" t="n">
        <f aca="false">IFERROR($C1050*$E1050,"")</f>
        <v>4.5</v>
      </c>
    </row>
    <row r="1051" customFormat="false" ht="15" hidden="false" customHeight="true" outlineLevel="0" collapsed="false">
      <c r="A1051" s="66" t="s">
        <v>480</v>
      </c>
      <c r="B1051" s="66" t="s">
        <v>290</v>
      </c>
      <c r="C1051" s="66" t="n">
        <v>2</v>
      </c>
      <c r="D1051" s="67" t="str">
        <f aca="false">IFERROR(INDEX(المكونات!$B$2:$B$500,MATCH($B1051,المكونات!$A$2:$A$500,0)),"")</f>
        <v>قطعة</v>
      </c>
      <c r="E1051" s="68" t="n">
        <f aca="false">IFERROR(INDEX(المكونات!$C$2:$C$500,MATCH($B1051,المكونات!$A$2:$A$500,0)),"")</f>
        <v>0.3</v>
      </c>
      <c r="F1051" s="69" t="n">
        <f aca="false">IFERROR($C1051*$E1051,"")</f>
        <v>0.6</v>
      </c>
    </row>
    <row r="1052" customFormat="false" ht="15" hidden="false" customHeight="true" outlineLevel="0" collapsed="false">
      <c r="A1052" s="66" t="s">
        <v>480</v>
      </c>
      <c r="B1052" s="66" t="s">
        <v>319</v>
      </c>
      <c r="C1052" s="66" t="n">
        <v>1</v>
      </c>
      <c r="D1052" s="67" t="str">
        <f aca="false">IFERROR(INDEX(المكونات!$B$2:$B$500,MATCH($B1052,المكونات!$A$2:$A$500,0)),"")</f>
        <v>قطعة (ورقة)</v>
      </c>
      <c r="E1052" s="68" t="n">
        <f aca="false">IFERROR(INDEX(المكونات!$C$2:$C$500,MATCH($B1052,المكونات!$A$2:$A$500,0)),"")</f>
        <v>0.3665</v>
      </c>
      <c r="F1052" s="69" t="n">
        <f aca="false">IFERROR($C1052*$E1052,"")</f>
        <v>0.3665</v>
      </c>
    </row>
    <row r="1053" customFormat="false" ht="15" hidden="false" customHeight="true" outlineLevel="0" collapsed="false">
      <c r="A1053" s="66" t="s">
        <v>480</v>
      </c>
      <c r="B1053" s="66" t="s">
        <v>133</v>
      </c>
      <c r="C1053" s="66" t="n">
        <v>1</v>
      </c>
      <c r="D1053" s="67" t="str">
        <f aca="false">IFERROR(INDEX(المكونات!$B$2:$B$500,MATCH($B1053,المكونات!$A$2:$A$500,0)),"")</f>
        <v>قطعة (كيس)</v>
      </c>
      <c r="E1053" s="68" t="n">
        <f aca="false">IFERROR(INDEX(المكونات!$C$2:$C$500,MATCH($B1053,المكونات!$A$2:$A$500,0)),"")</f>
        <v>1.4</v>
      </c>
      <c r="F1053" s="69" t="n">
        <f aca="false">IFERROR($C1053*$E1053,"")</f>
        <v>1.4</v>
      </c>
    </row>
    <row r="1054" customFormat="false" ht="15" hidden="false" customHeight="true" outlineLevel="0" collapsed="false">
      <c r="A1054" s="66" t="s">
        <v>480</v>
      </c>
      <c r="B1054" s="66" t="s">
        <v>293</v>
      </c>
      <c r="C1054" s="66" t="n">
        <v>1</v>
      </c>
      <c r="D1054" s="67" t="str">
        <f aca="false">IFERROR(INDEX(المكونات!$B$2:$B$500,MATCH($B1054,المكونات!$A$2:$A$500,0)),"")</f>
        <v>قطعة</v>
      </c>
      <c r="E1054" s="68" t="n">
        <f aca="false">IFERROR(INDEX(المكونات!$C$2:$C$500,MATCH($B1054,المكونات!$A$2:$A$500,0)),"")</f>
        <v>0.5</v>
      </c>
      <c r="F1054" s="69" t="n">
        <f aca="false">IFERROR($C1054*$E1054,"")</f>
        <v>0.5</v>
      </c>
    </row>
    <row r="1055" customFormat="false" ht="15" hidden="false" customHeight="true" outlineLevel="0" collapsed="false">
      <c r="A1055" s="66" t="s">
        <v>480</v>
      </c>
      <c r="B1055" s="66" t="s">
        <v>211</v>
      </c>
      <c r="C1055" s="66" t="n">
        <v>2</v>
      </c>
      <c r="D1055" s="67" t="str">
        <f aca="false">IFERROR(INDEX(المكونات!$B$2:$B$500,MATCH($B1055,المكونات!$A$2:$A$500,0)),"")</f>
        <v>قطعة (جلفز)</v>
      </c>
      <c r="E1055" s="68" t="n">
        <f aca="false">IFERROR(INDEX(المكونات!$C$2:$C$500,MATCH($B1055,المكونات!$A$2:$A$500,0)),"")</f>
        <v>0.18</v>
      </c>
      <c r="F1055" s="69" t="n">
        <f aca="false">IFERROR($C1055*$E1055,"")</f>
        <v>0.36</v>
      </c>
    </row>
    <row r="1056" customFormat="false" ht="15" hidden="false" customHeight="true" outlineLevel="0" collapsed="false">
      <c r="A1056" s="66" t="s">
        <v>480</v>
      </c>
      <c r="B1056" s="66" t="s">
        <v>322</v>
      </c>
      <c r="C1056" s="66" t="n">
        <v>1</v>
      </c>
      <c r="D1056" s="67" t="str">
        <f aca="false">IFERROR(INDEX(المكونات!$B$2:$B$500,MATCH($B1056,المكونات!$A$2:$A$500,0)),"")</f>
        <v>قطعة (كيس)</v>
      </c>
      <c r="E1056" s="68" t="n">
        <f aca="false">IFERROR(INDEX(المكونات!$C$2:$C$500,MATCH($B1056,المكونات!$A$2:$A$500,0)),"")</f>
        <v>1</v>
      </c>
      <c r="F1056" s="69" t="n">
        <f aca="false">IFERROR($C1056*$E1056,"")</f>
        <v>1</v>
      </c>
    </row>
    <row r="1057" customFormat="false" ht="15" hidden="false" customHeight="true" outlineLevel="0" collapsed="false">
      <c r="A1057" s="66" t="s">
        <v>480</v>
      </c>
      <c r="B1057" s="66" t="s">
        <v>207</v>
      </c>
      <c r="C1057" s="66" t="n">
        <v>0.1</v>
      </c>
      <c r="D1057" s="67" t="str">
        <f aca="false">IFERROR(INDEX(المكونات!$B$2:$B$500,MATCH($B1057,المكونات!$A$2:$A$500,0)),"")</f>
        <v>كجم</v>
      </c>
      <c r="E1057" s="68" t="n">
        <f aca="false">IFERROR(INDEX(المكونات!$C$2:$C$500,MATCH($B1057,المكونات!$A$2:$A$500,0)),"")</f>
        <v>105</v>
      </c>
      <c r="F1057" s="69" t="n">
        <f aca="false">IFERROR($C1057*$E1057,"")</f>
        <v>10.5</v>
      </c>
    </row>
    <row r="1058" customFormat="false" ht="15" hidden="false" customHeight="true" outlineLevel="0" collapsed="false">
      <c r="A1058" s="66" t="s">
        <v>506</v>
      </c>
      <c r="B1058" s="66" t="s">
        <v>262</v>
      </c>
      <c r="C1058" s="66" t="n">
        <v>0.3</v>
      </c>
      <c r="D1058" s="67" t="str">
        <f aca="false">IFERROR(INDEX(المكونات!$B$2:$B$500,MATCH($B1058,المكونات!$A$2:$A$500,0)),"")</f>
        <v>كجم</v>
      </c>
      <c r="E1058" s="68" t="n">
        <f aca="false">IFERROR(INDEX(المكونات!$C$2:$C$500,MATCH($B1058,المكونات!$A$2:$A$500,0)),"")</f>
        <v>22</v>
      </c>
      <c r="F1058" s="69" t="n">
        <f aca="false">IFERROR($C1058*$E1058,"")</f>
        <v>6.6</v>
      </c>
    </row>
    <row r="1059" customFormat="false" ht="15" hidden="false" customHeight="true" outlineLevel="0" collapsed="false">
      <c r="A1059" s="66" t="s">
        <v>506</v>
      </c>
      <c r="B1059" s="66" t="s">
        <v>250</v>
      </c>
      <c r="C1059" s="66" t="n">
        <v>0.06</v>
      </c>
      <c r="D1059" s="67" t="str">
        <f aca="false">IFERROR(INDEX(المكونات!$B$2:$B$500,MATCH($B1059,المكونات!$A$2:$A$500,0)),"")</f>
        <v>كجم</v>
      </c>
      <c r="E1059" s="68" t="n">
        <f aca="false">IFERROR(INDEX(المكونات!$C$2:$C$500,MATCH($B1059,المكونات!$A$2:$A$500,0)),"")</f>
        <v>32</v>
      </c>
      <c r="F1059" s="69" t="n">
        <f aca="false">IFERROR($C1059*$E1059,"")</f>
        <v>1.92</v>
      </c>
    </row>
    <row r="1060" customFormat="false" ht="15" hidden="false" customHeight="true" outlineLevel="0" collapsed="false">
      <c r="A1060" s="66" t="s">
        <v>506</v>
      </c>
      <c r="B1060" s="66" t="s">
        <v>260</v>
      </c>
      <c r="C1060" s="66" t="n">
        <v>0.045</v>
      </c>
      <c r="D1060" s="67" t="str">
        <f aca="false">IFERROR(INDEX(المكونات!$B$2:$B$500,MATCH($B1060,المكونات!$A$2:$A$500,0)),"")</f>
        <v>كجم</v>
      </c>
      <c r="E1060" s="68" t="n">
        <f aca="false">IFERROR(INDEX(المكونات!$C$2:$C$500,MATCH($B1060,المكونات!$A$2:$A$500,0)),"")</f>
        <v>21</v>
      </c>
      <c r="F1060" s="69" t="n">
        <f aca="false">IFERROR($C1060*$E1060,"")</f>
        <v>0.945</v>
      </c>
    </row>
    <row r="1061" customFormat="false" ht="15" hidden="false" customHeight="true" outlineLevel="0" collapsed="false">
      <c r="A1061" s="66" t="s">
        <v>506</v>
      </c>
      <c r="B1061" s="66" t="s">
        <v>284</v>
      </c>
      <c r="C1061" s="66" t="n">
        <v>0.03</v>
      </c>
      <c r="D1061" s="67" t="str">
        <f aca="false">IFERROR(INDEX(المكونات!$B$2:$B$500,MATCH($B1061,المكونات!$A$2:$A$500,0)),"")</f>
        <v>كجم</v>
      </c>
      <c r="E1061" s="68" t="n">
        <f aca="false">IFERROR(INDEX(المكونات!$C$2:$C$500,MATCH($B1061,المكونات!$A$2:$A$500,0)),"")</f>
        <v>27</v>
      </c>
      <c r="F1061" s="69" t="n">
        <f aca="false">IFERROR($C1061*$E1061,"")</f>
        <v>0.81</v>
      </c>
    </row>
    <row r="1062" customFormat="false" ht="15" hidden="false" customHeight="true" outlineLevel="0" collapsed="false">
      <c r="A1062" s="66" t="s">
        <v>506</v>
      </c>
      <c r="B1062" s="66" t="s">
        <v>227</v>
      </c>
      <c r="C1062" s="66" t="n">
        <v>0.03</v>
      </c>
      <c r="D1062" s="67" t="str">
        <f aca="false">IFERROR(INDEX(المكونات!$B$2:$B$500,MATCH($B1062,المكونات!$A$2:$A$500,0)),"")</f>
        <v>كجم</v>
      </c>
      <c r="E1062" s="68" t="n">
        <f aca="false">IFERROR(INDEX(المكونات!$C$2:$C$500,MATCH($B1062,المكونات!$A$2:$A$500,0)),"")</f>
        <v>95</v>
      </c>
      <c r="F1062" s="69" t="n">
        <f aca="false">IFERROR($C1062*$E1062,"")</f>
        <v>2.85</v>
      </c>
    </row>
    <row r="1063" customFormat="false" ht="15" hidden="false" customHeight="true" outlineLevel="0" collapsed="false">
      <c r="A1063" s="66" t="s">
        <v>506</v>
      </c>
      <c r="B1063" s="66" t="s">
        <v>178</v>
      </c>
      <c r="C1063" s="66" t="n">
        <v>1</v>
      </c>
      <c r="D1063" s="67" t="str">
        <f aca="false">IFERROR(INDEX(المكونات!$B$2:$B$500,MATCH($B1063,المكونات!$A$2:$A$500,0)),"")</f>
        <v>قطعة</v>
      </c>
      <c r="E1063" s="68" t="n">
        <f aca="false">IFERROR(INDEX(المكونات!$C$2:$C$500,MATCH($B1063,المكونات!$A$2:$A$500,0)),"")</f>
        <v>25</v>
      </c>
      <c r="F1063" s="69" t="n">
        <f aca="false">IFERROR($C1063*$E1063,"")</f>
        <v>25</v>
      </c>
    </row>
    <row r="1064" customFormat="false" ht="15" hidden="false" customHeight="true" outlineLevel="0" collapsed="false">
      <c r="A1064" s="66" t="s">
        <v>506</v>
      </c>
      <c r="B1064" s="66" t="s">
        <v>268</v>
      </c>
      <c r="C1064" s="66" t="n">
        <v>1</v>
      </c>
      <c r="D1064" s="67" t="str">
        <f aca="false">IFERROR(INDEX(المكونات!$B$2:$B$500,MATCH($B1064,المكونات!$A$2:$A$500,0)),"")</f>
        <v>قطعة</v>
      </c>
      <c r="E1064" s="68" t="n">
        <f aca="false">IFERROR(INDEX(المكونات!$C$2:$C$500,MATCH($B1064,المكونات!$A$2:$A$500,0)),"")</f>
        <v>5.5</v>
      </c>
      <c r="F1064" s="69" t="n">
        <f aca="false">IFERROR($C1064*$E1064,"")</f>
        <v>5.5</v>
      </c>
    </row>
    <row r="1065" customFormat="false" ht="15" hidden="false" customHeight="true" outlineLevel="0" collapsed="false">
      <c r="A1065" s="66" t="s">
        <v>506</v>
      </c>
      <c r="B1065" s="66" t="s">
        <v>290</v>
      </c>
      <c r="C1065" s="66" t="n">
        <v>3</v>
      </c>
      <c r="D1065" s="67" t="str">
        <f aca="false">IFERROR(INDEX(المكونات!$B$2:$B$500,MATCH($B1065,المكونات!$A$2:$A$500,0)),"")</f>
        <v>قطعة</v>
      </c>
      <c r="E1065" s="68" t="n">
        <f aca="false">IFERROR(INDEX(المكونات!$C$2:$C$500,MATCH($B1065,المكونات!$A$2:$A$500,0)),"")</f>
        <v>0.3</v>
      </c>
      <c r="F1065" s="69" t="n">
        <f aca="false">IFERROR($C1065*$E1065,"")</f>
        <v>0.9</v>
      </c>
    </row>
    <row r="1066" customFormat="false" ht="15" hidden="false" customHeight="true" outlineLevel="0" collapsed="false">
      <c r="A1066" s="66" t="s">
        <v>506</v>
      </c>
      <c r="B1066" s="66" t="s">
        <v>319</v>
      </c>
      <c r="C1066" s="66" t="n">
        <v>1</v>
      </c>
      <c r="D1066" s="67" t="str">
        <f aca="false">IFERROR(INDEX(المكونات!$B$2:$B$500,MATCH($B1066,المكونات!$A$2:$A$500,0)),"")</f>
        <v>قطعة (ورقة)</v>
      </c>
      <c r="E1066" s="68" t="n">
        <f aca="false">IFERROR(INDEX(المكونات!$C$2:$C$500,MATCH($B1066,المكونات!$A$2:$A$500,0)),"")</f>
        <v>0.3665</v>
      </c>
      <c r="F1066" s="69" t="n">
        <f aca="false">IFERROR($C1066*$E1066,"")</f>
        <v>0.3665</v>
      </c>
    </row>
    <row r="1067" customFormat="false" ht="15" hidden="false" customHeight="true" outlineLevel="0" collapsed="false">
      <c r="A1067" s="66" t="s">
        <v>506</v>
      </c>
      <c r="B1067" s="66" t="s">
        <v>133</v>
      </c>
      <c r="C1067" s="66" t="n">
        <v>1</v>
      </c>
      <c r="D1067" s="67" t="str">
        <f aca="false">IFERROR(INDEX(المكونات!$B$2:$B$500,MATCH($B1067,المكونات!$A$2:$A$500,0)),"")</f>
        <v>قطعة (كيس)</v>
      </c>
      <c r="E1067" s="68" t="n">
        <f aca="false">IFERROR(INDEX(المكونات!$C$2:$C$500,MATCH($B1067,المكونات!$A$2:$A$500,0)),"")</f>
        <v>1.4</v>
      </c>
      <c r="F1067" s="69" t="n">
        <f aca="false">IFERROR($C1067*$E1067,"")</f>
        <v>1.4</v>
      </c>
    </row>
    <row r="1068" customFormat="false" ht="15" hidden="false" customHeight="true" outlineLevel="0" collapsed="false">
      <c r="A1068" s="66" t="s">
        <v>506</v>
      </c>
      <c r="B1068" s="66" t="s">
        <v>293</v>
      </c>
      <c r="C1068" s="66" t="n">
        <v>1</v>
      </c>
      <c r="D1068" s="67" t="str">
        <f aca="false">IFERROR(INDEX(المكونات!$B$2:$B$500,MATCH($B1068,المكونات!$A$2:$A$500,0)),"")</f>
        <v>قطعة</v>
      </c>
      <c r="E1068" s="68" t="n">
        <f aca="false">IFERROR(INDEX(المكونات!$C$2:$C$500,MATCH($B1068,المكونات!$A$2:$A$500,0)),"")</f>
        <v>0.5</v>
      </c>
      <c r="F1068" s="69" t="n">
        <f aca="false">IFERROR($C1068*$E1068,"")</f>
        <v>0.5</v>
      </c>
    </row>
    <row r="1069" customFormat="false" ht="15" hidden="false" customHeight="true" outlineLevel="0" collapsed="false">
      <c r="A1069" s="66" t="s">
        <v>506</v>
      </c>
      <c r="B1069" s="66" t="s">
        <v>211</v>
      </c>
      <c r="C1069" s="66" t="n">
        <v>2</v>
      </c>
      <c r="D1069" s="67" t="str">
        <f aca="false">IFERROR(INDEX(المكونات!$B$2:$B$500,MATCH($B1069,المكونات!$A$2:$A$500,0)),"")</f>
        <v>قطعة (جلفز)</v>
      </c>
      <c r="E1069" s="68" t="n">
        <f aca="false">IFERROR(INDEX(المكونات!$C$2:$C$500,MATCH($B1069,المكونات!$A$2:$A$500,0)),"")</f>
        <v>0.18</v>
      </c>
      <c r="F1069" s="69" t="n">
        <f aca="false">IFERROR($C1069*$E1069,"")</f>
        <v>0.36</v>
      </c>
    </row>
    <row r="1070" customFormat="false" ht="15" hidden="false" customHeight="true" outlineLevel="0" collapsed="false">
      <c r="A1070" s="66" t="s">
        <v>506</v>
      </c>
      <c r="B1070" s="66" t="s">
        <v>322</v>
      </c>
      <c r="C1070" s="66" t="n">
        <v>1</v>
      </c>
      <c r="D1070" s="67" t="str">
        <f aca="false">IFERROR(INDEX(المكونات!$B$2:$B$500,MATCH($B1070,المكونات!$A$2:$A$500,0)),"")</f>
        <v>قطعة (كيس)</v>
      </c>
      <c r="E1070" s="68" t="n">
        <f aca="false">IFERROR(INDEX(المكونات!$C$2:$C$500,MATCH($B1070,المكونات!$A$2:$A$500,0)),"")</f>
        <v>1</v>
      </c>
      <c r="F1070" s="69" t="n">
        <f aca="false">IFERROR($C1070*$E1070,"")</f>
        <v>1</v>
      </c>
    </row>
    <row r="1071" customFormat="false" ht="15" hidden="false" customHeight="true" outlineLevel="0" collapsed="false">
      <c r="A1071" s="66" t="s">
        <v>506</v>
      </c>
      <c r="B1071" s="66" t="s">
        <v>207</v>
      </c>
      <c r="C1071" s="66" t="n">
        <v>0.15</v>
      </c>
      <c r="D1071" s="67" t="str">
        <f aca="false">IFERROR(INDEX(المكونات!$B$2:$B$500,MATCH($B1071,المكونات!$A$2:$A$500,0)),"")</f>
        <v>كجم</v>
      </c>
      <c r="E1071" s="68" t="n">
        <f aca="false">IFERROR(INDEX(المكونات!$C$2:$C$500,MATCH($B1071,المكونات!$A$2:$A$500,0)),"")</f>
        <v>105</v>
      </c>
      <c r="F1071" s="69" t="n">
        <f aca="false">IFERROR($C1071*$E1071,"")</f>
        <v>15.75</v>
      </c>
    </row>
    <row r="1072" customFormat="false" ht="15" hidden="false" customHeight="true" outlineLevel="0" collapsed="false">
      <c r="A1072" s="66" t="s">
        <v>411</v>
      </c>
      <c r="B1072" s="66" t="s">
        <v>262</v>
      </c>
      <c r="C1072" s="66" t="n">
        <v>0.22</v>
      </c>
      <c r="D1072" s="67" t="str">
        <f aca="false">IFERROR(INDEX(المكونات!$B$2:$B$500,MATCH($B1072,المكونات!$A$2:$A$500,0)),"")</f>
        <v>كجم</v>
      </c>
      <c r="E1072" s="68" t="n">
        <f aca="false">IFERROR(INDEX(المكونات!$C$2:$C$500,MATCH($B1072,المكونات!$A$2:$A$500,0)),"")</f>
        <v>22</v>
      </c>
      <c r="F1072" s="69" t="n">
        <f aca="false">IFERROR($C1072*$E1072,"")</f>
        <v>4.84</v>
      </c>
    </row>
    <row r="1073" customFormat="false" ht="15" hidden="false" customHeight="true" outlineLevel="0" collapsed="false">
      <c r="A1073" s="66" t="s">
        <v>411</v>
      </c>
      <c r="B1073" s="66" t="s">
        <v>250</v>
      </c>
      <c r="C1073" s="66" t="n">
        <v>0.04</v>
      </c>
      <c r="D1073" s="67" t="str">
        <f aca="false">IFERROR(INDEX(المكونات!$B$2:$B$500,MATCH($B1073,المكونات!$A$2:$A$500,0)),"")</f>
        <v>كجم</v>
      </c>
      <c r="E1073" s="68" t="n">
        <f aca="false">IFERROR(INDEX(المكونات!$C$2:$C$500,MATCH($B1073,المكونات!$A$2:$A$500,0)),"")</f>
        <v>32</v>
      </c>
      <c r="F1073" s="69" t="n">
        <f aca="false">IFERROR($C1073*$E1073,"")</f>
        <v>1.28</v>
      </c>
    </row>
    <row r="1074" customFormat="false" ht="15" hidden="false" customHeight="true" outlineLevel="0" collapsed="false">
      <c r="A1074" s="66" t="s">
        <v>411</v>
      </c>
      <c r="B1074" s="66" t="s">
        <v>260</v>
      </c>
      <c r="C1074" s="66" t="n">
        <v>0.03</v>
      </c>
      <c r="D1074" s="67" t="str">
        <f aca="false">IFERROR(INDEX(المكونات!$B$2:$B$500,MATCH($B1074,المكونات!$A$2:$A$500,0)),"")</f>
        <v>كجم</v>
      </c>
      <c r="E1074" s="68" t="n">
        <f aca="false">IFERROR(INDEX(المكونات!$C$2:$C$500,MATCH($B1074,المكونات!$A$2:$A$500,0)),"")</f>
        <v>21</v>
      </c>
      <c r="F1074" s="69" t="n">
        <f aca="false">IFERROR($C1074*$E1074,"")</f>
        <v>0.63</v>
      </c>
    </row>
    <row r="1075" customFormat="false" ht="15" hidden="false" customHeight="true" outlineLevel="0" collapsed="false">
      <c r="A1075" s="66" t="s">
        <v>411</v>
      </c>
      <c r="B1075" s="66" t="s">
        <v>284</v>
      </c>
      <c r="C1075" s="66" t="n">
        <v>0.02</v>
      </c>
      <c r="D1075" s="67" t="str">
        <f aca="false">IFERROR(INDEX(المكونات!$B$2:$B$500,MATCH($B1075,المكونات!$A$2:$A$500,0)),"")</f>
        <v>كجم</v>
      </c>
      <c r="E1075" s="68" t="n">
        <f aca="false">IFERROR(INDEX(المكونات!$C$2:$C$500,MATCH($B1075,المكونات!$A$2:$A$500,0)),"")</f>
        <v>27</v>
      </c>
      <c r="F1075" s="69" t="n">
        <f aca="false">IFERROR($C1075*$E1075,"")</f>
        <v>0.54</v>
      </c>
    </row>
    <row r="1076" customFormat="false" ht="15" hidden="false" customHeight="true" outlineLevel="0" collapsed="false">
      <c r="A1076" s="66" t="s">
        <v>411</v>
      </c>
      <c r="B1076" s="66" t="s">
        <v>227</v>
      </c>
      <c r="C1076" s="66" t="n">
        <v>0.02</v>
      </c>
      <c r="D1076" s="67" t="str">
        <f aca="false">IFERROR(INDEX(المكونات!$B$2:$B$500,MATCH($B1076,المكونات!$A$2:$A$500,0)),"")</f>
        <v>كجم</v>
      </c>
      <c r="E1076" s="68" t="n">
        <f aca="false">IFERROR(INDEX(المكونات!$C$2:$C$500,MATCH($B1076,المكونات!$A$2:$A$500,0)),"")</f>
        <v>95</v>
      </c>
      <c r="F1076" s="69" t="n">
        <f aca="false">IFERROR($C1076*$E1076,"")</f>
        <v>1.9</v>
      </c>
    </row>
    <row r="1077" customFormat="false" ht="15" hidden="false" customHeight="true" outlineLevel="0" collapsed="false">
      <c r="A1077" s="66" t="s">
        <v>411</v>
      </c>
      <c r="B1077" s="66" t="s">
        <v>176</v>
      </c>
      <c r="C1077" s="66" t="n">
        <v>1</v>
      </c>
      <c r="D1077" s="67" t="str">
        <f aca="false">IFERROR(INDEX(المكونات!$B$2:$B$500,MATCH($B1077,المكونات!$A$2:$A$500,0)),"")</f>
        <v>قطعة</v>
      </c>
      <c r="E1077" s="68" t="n">
        <f aca="false">IFERROR(INDEX(المكونات!$C$2:$C$500,MATCH($B1077,المكونات!$A$2:$A$500,0)),"")</f>
        <v>17.5</v>
      </c>
      <c r="F1077" s="69" t="n">
        <f aca="false">IFERROR($C1077*$E1077,"")</f>
        <v>17.5</v>
      </c>
    </row>
    <row r="1078" customFormat="false" ht="15" hidden="false" customHeight="true" outlineLevel="0" collapsed="false">
      <c r="A1078" s="66" t="s">
        <v>411</v>
      </c>
      <c r="B1078" s="66" t="s">
        <v>270</v>
      </c>
      <c r="C1078" s="66" t="n">
        <v>1</v>
      </c>
      <c r="D1078" s="67" t="str">
        <f aca="false">IFERROR(INDEX(المكونات!$B$2:$B$500,MATCH($B1078,المكونات!$A$2:$A$500,0)),"")</f>
        <v>قطعة</v>
      </c>
      <c r="E1078" s="68" t="n">
        <f aca="false">IFERROR(INDEX(المكونات!$C$2:$C$500,MATCH($B1078,المكونات!$A$2:$A$500,0)),"")</f>
        <v>4.5</v>
      </c>
      <c r="F1078" s="69" t="n">
        <f aca="false">IFERROR($C1078*$E1078,"")</f>
        <v>4.5</v>
      </c>
    </row>
    <row r="1079" customFormat="false" ht="15" hidden="false" customHeight="true" outlineLevel="0" collapsed="false">
      <c r="A1079" s="66" t="s">
        <v>411</v>
      </c>
      <c r="B1079" s="66" t="s">
        <v>290</v>
      </c>
      <c r="C1079" s="66" t="n">
        <v>2</v>
      </c>
      <c r="D1079" s="67" t="str">
        <f aca="false">IFERROR(INDEX(المكونات!$B$2:$B$500,MATCH($B1079,المكونات!$A$2:$A$500,0)),"")</f>
        <v>قطعة</v>
      </c>
      <c r="E1079" s="68" t="n">
        <f aca="false">IFERROR(INDEX(المكونات!$C$2:$C$500,MATCH($B1079,المكونات!$A$2:$A$500,0)),"")</f>
        <v>0.3</v>
      </c>
      <c r="F1079" s="69" t="n">
        <f aca="false">IFERROR($C1079*$E1079,"")</f>
        <v>0.6</v>
      </c>
    </row>
    <row r="1080" customFormat="false" ht="15" hidden="false" customHeight="true" outlineLevel="0" collapsed="false">
      <c r="A1080" s="66" t="s">
        <v>411</v>
      </c>
      <c r="B1080" s="66" t="s">
        <v>319</v>
      </c>
      <c r="C1080" s="66" t="n">
        <v>1</v>
      </c>
      <c r="D1080" s="67" t="str">
        <f aca="false">IFERROR(INDEX(المكونات!$B$2:$B$500,MATCH($B1080,المكونات!$A$2:$A$500,0)),"")</f>
        <v>قطعة (ورقة)</v>
      </c>
      <c r="E1080" s="68" t="n">
        <f aca="false">IFERROR(INDEX(المكونات!$C$2:$C$500,MATCH($B1080,المكونات!$A$2:$A$500,0)),"")</f>
        <v>0.3665</v>
      </c>
      <c r="F1080" s="69" t="n">
        <f aca="false">IFERROR($C1080*$E1080,"")</f>
        <v>0.3665</v>
      </c>
    </row>
    <row r="1081" customFormat="false" ht="15" hidden="false" customHeight="true" outlineLevel="0" collapsed="false">
      <c r="A1081" s="66" t="s">
        <v>411</v>
      </c>
      <c r="B1081" s="66" t="s">
        <v>133</v>
      </c>
      <c r="C1081" s="66" t="n">
        <v>1</v>
      </c>
      <c r="D1081" s="67" t="str">
        <f aca="false">IFERROR(INDEX(المكونات!$B$2:$B$500,MATCH($B1081,المكونات!$A$2:$A$500,0)),"")</f>
        <v>قطعة (كيس)</v>
      </c>
      <c r="E1081" s="68" t="n">
        <f aca="false">IFERROR(INDEX(المكونات!$C$2:$C$500,MATCH($B1081,المكونات!$A$2:$A$500,0)),"")</f>
        <v>1.4</v>
      </c>
      <c r="F1081" s="69" t="n">
        <f aca="false">IFERROR($C1081*$E1081,"")</f>
        <v>1.4</v>
      </c>
    </row>
    <row r="1082" customFormat="false" ht="15" hidden="false" customHeight="true" outlineLevel="0" collapsed="false">
      <c r="A1082" s="66" t="s">
        <v>411</v>
      </c>
      <c r="B1082" s="66" t="s">
        <v>293</v>
      </c>
      <c r="C1082" s="66" t="n">
        <v>1</v>
      </c>
      <c r="D1082" s="67" t="str">
        <f aca="false">IFERROR(INDEX(المكونات!$B$2:$B$500,MATCH($B1082,المكونات!$A$2:$A$500,0)),"")</f>
        <v>قطعة</v>
      </c>
      <c r="E1082" s="68" t="n">
        <f aca="false">IFERROR(INDEX(المكونات!$C$2:$C$500,MATCH($B1082,المكونات!$A$2:$A$500,0)),"")</f>
        <v>0.5</v>
      </c>
      <c r="F1082" s="69" t="n">
        <f aca="false">IFERROR($C1082*$E1082,"")</f>
        <v>0.5</v>
      </c>
    </row>
    <row r="1083" customFormat="false" ht="15" hidden="false" customHeight="true" outlineLevel="0" collapsed="false">
      <c r="A1083" s="66" t="s">
        <v>411</v>
      </c>
      <c r="B1083" s="66" t="s">
        <v>211</v>
      </c>
      <c r="C1083" s="66" t="n">
        <v>2</v>
      </c>
      <c r="D1083" s="67" t="str">
        <f aca="false">IFERROR(INDEX(المكونات!$B$2:$B$500,MATCH($B1083,المكونات!$A$2:$A$500,0)),"")</f>
        <v>قطعة (جلفز)</v>
      </c>
      <c r="E1083" s="68" t="n">
        <f aca="false">IFERROR(INDEX(المكونات!$C$2:$C$500,MATCH($B1083,المكونات!$A$2:$A$500,0)),"")</f>
        <v>0.18</v>
      </c>
      <c r="F1083" s="69" t="n">
        <f aca="false">IFERROR($C1083*$E1083,"")</f>
        <v>0.36</v>
      </c>
    </row>
    <row r="1084" customFormat="false" ht="15" hidden="false" customHeight="true" outlineLevel="0" collapsed="false">
      <c r="A1084" s="66" t="s">
        <v>411</v>
      </c>
      <c r="B1084" s="66" t="s">
        <v>322</v>
      </c>
      <c r="C1084" s="66" t="n">
        <v>1</v>
      </c>
      <c r="D1084" s="67" t="str">
        <f aca="false">IFERROR(INDEX(المكونات!$B$2:$B$500,MATCH($B1084,المكونات!$A$2:$A$500,0)),"")</f>
        <v>قطعة (كيس)</v>
      </c>
      <c r="E1084" s="68" t="n">
        <f aca="false">IFERROR(INDEX(المكونات!$C$2:$C$500,MATCH($B1084,المكونات!$A$2:$A$500,0)),"")</f>
        <v>1</v>
      </c>
      <c r="F1084" s="69" t="n">
        <f aca="false">IFERROR($C1084*$E1084,"")</f>
        <v>1</v>
      </c>
    </row>
    <row r="1085" customFormat="false" ht="15" hidden="false" customHeight="true" outlineLevel="0" collapsed="false">
      <c r="A1085" s="66" t="s">
        <v>411</v>
      </c>
      <c r="B1085" s="66" t="s">
        <v>282</v>
      </c>
      <c r="C1085" s="66" t="n">
        <v>0.14</v>
      </c>
      <c r="D1085" s="67" t="str">
        <f aca="false">IFERROR(INDEX(المكونات!$B$2:$B$500,MATCH($B1085,المكونات!$A$2:$A$500,0)),"")</f>
        <v>كجم</v>
      </c>
      <c r="E1085" s="68" t="n">
        <f aca="false">IFERROR(INDEX(المكونات!$C$2:$C$500,MATCH($B1085,المكونات!$A$2:$A$500,0)),"")</f>
        <v>150</v>
      </c>
      <c r="F1085" s="69" t="n">
        <f aca="false">IFERROR($C1085*$E1085,"")</f>
        <v>21</v>
      </c>
    </row>
    <row r="1086" customFormat="false" ht="15" hidden="false" customHeight="true" outlineLevel="0" collapsed="false">
      <c r="A1086" s="66" t="s">
        <v>411</v>
      </c>
      <c r="B1086" s="66" t="s">
        <v>252</v>
      </c>
      <c r="C1086" s="66" t="n">
        <v>0.1</v>
      </c>
      <c r="D1086" s="67" t="str">
        <f aca="false">IFERROR(INDEX(المكونات!$B$2:$B$500,MATCH($B1086,المكونات!$A$2:$A$500,0)),"")</f>
        <v>كجم</v>
      </c>
      <c r="E1086" s="68" t="n">
        <f aca="false">IFERROR(INDEX(المكونات!$C$2:$C$500,MATCH($B1086,المكونات!$A$2:$A$500,0)),"")</f>
        <v>70</v>
      </c>
      <c r="F1086" s="69" t="n">
        <f aca="false">IFERROR($C1086*$E1086,"")</f>
        <v>7</v>
      </c>
    </row>
    <row r="1087" customFormat="false" ht="15" hidden="false" customHeight="true" outlineLevel="0" collapsed="false">
      <c r="A1087" s="66" t="s">
        <v>412</v>
      </c>
      <c r="B1087" s="66" t="s">
        <v>262</v>
      </c>
      <c r="C1087" s="66" t="n">
        <v>0.3</v>
      </c>
      <c r="D1087" s="67" t="str">
        <f aca="false">IFERROR(INDEX(المكونات!$B$2:$B$500,MATCH($B1087,المكونات!$A$2:$A$500,0)),"")</f>
        <v>كجم</v>
      </c>
      <c r="E1087" s="68" t="n">
        <f aca="false">IFERROR(INDEX(المكونات!$C$2:$C$500,MATCH($B1087,المكونات!$A$2:$A$500,0)),"")</f>
        <v>22</v>
      </c>
      <c r="F1087" s="69" t="n">
        <f aca="false">IFERROR($C1087*$E1087,"")</f>
        <v>6.6</v>
      </c>
    </row>
    <row r="1088" customFormat="false" ht="15" hidden="false" customHeight="true" outlineLevel="0" collapsed="false">
      <c r="A1088" s="66" t="s">
        <v>412</v>
      </c>
      <c r="B1088" s="66" t="s">
        <v>250</v>
      </c>
      <c r="C1088" s="66" t="n">
        <v>0.06</v>
      </c>
      <c r="D1088" s="67" t="str">
        <f aca="false">IFERROR(INDEX(المكونات!$B$2:$B$500,MATCH($B1088,المكونات!$A$2:$A$500,0)),"")</f>
        <v>كجم</v>
      </c>
      <c r="E1088" s="68" t="n">
        <f aca="false">IFERROR(INDEX(المكونات!$C$2:$C$500,MATCH($B1088,المكونات!$A$2:$A$500,0)),"")</f>
        <v>32</v>
      </c>
      <c r="F1088" s="69" t="n">
        <f aca="false">IFERROR($C1088*$E1088,"")</f>
        <v>1.92</v>
      </c>
    </row>
    <row r="1089" customFormat="false" ht="15" hidden="false" customHeight="true" outlineLevel="0" collapsed="false">
      <c r="A1089" s="66" t="s">
        <v>412</v>
      </c>
      <c r="B1089" s="66" t="s">
        <v>260</v>
      </c>
      <c r="C1089" s="66" t="n">
        <v>0.045</v>
      </c>
      <c r="D1089" s="67" t="str">
        <f aca="false">IFERROR(INDEX(المكونات!$B$2:$B$500,MATCH($B1089,المكونات!$A$2:$A$500,0)),"")</f>
        <v>كجم</v>
      </c>
      <c r="E1089" s="68" t="n">
        <f aca="false">IFERROR(INDEX(المكونات!$C$2:$C$500,MATCH($B1089,المكونات!$A$2:$A$500,0)),"")</f>
        <v>21</v>
      </c>
      <c r="F1089" s="69" t="n">
        <f aca="false">IFERROR($C1089*$E1089,"")</f>
        <v>0.945</v>
      </c>
    </row>
    <row r="1090" customFormat="false" ht="15" hidden="false" customHeight="true" outlineLevel="0" collapsed="false">
      <c r="A1090" s="66" t="s">
        <v>412</v>
      </c>
      <c r="B1090" s="66" t="s">
        <v>284</v>
      </c>
      <c r="C1090" s="66" t="n">
        <v>0.03</v>
      </c>
      <c r="D1090" s="67" t="str">
        <f aca="false">IFERROR(INDEX(المكونات!$B$2:$B$500,MATCH($B1090,المكونات!$A$2:$A$500,0)),"")</f>
        <v>كجم</v>
      </c>
      <c r="E1090" s="68" t="n">
        <f aca="false">IFERROR(INDEX(المكونات!$C$2:$C$500,MATCH($B1090,المكونات!$A$2:$A$500,0)),"")</f>
        <v>27</v>
      </c>
      <c r="F1090" s="69" t="n">
        <f aca="false">IFERROR($C1090*$E1090,"")</f>
        <v>0.81</v>
      </c>
    </row>
    <row r="1091" customFormat="false" ht="15" hidden="false" customHeight="true" outlineLevel="0" collapsed="false">
      <c r="A1091" s="66" t="s">
        <v>412</v>
      </c>
      <c r="B1091" s="66" t="s">
        <v>227</v>
      </c>
      <c r="C1091" s="66" t="n">
        <v>0.03</v>
      </c>
      <c r="D1091" s="67" t="str">
        <f aca="false">IFERROR(INDEX(المكونات!$B$2:$B$500,MATCH($B1091,المكونات!$A$2:$A$500,0)),"")</f>
        <v>كجم</v>
      </c>
      <c r="E1091" s="68" t="n">
        <f aca="false">IFERROR(INDEX(المكونات!$C$2:$C$500,MATCH($B1091,المكونات!$A$2:$A$500,0)),"")</f>
        <v>95</v>
      </c>
      <c r="F1091" s="69" t="n">
        <f aca="false">IFERROR($C1091*$E1091,"")</f>
        <v>2.85</v>
      </c>
    </row>
    <row r="1092" customFormat="false" ht="15" hidden="false" customHeight="true" outlineLevel="0" collapsed="false">
      <c r="A1092" s="66" t="s">
        <v>412</v>
      </c>
      <c r="B1092" s="66" t="s">
        <v>178</v>
      </c>
      <c r="C1092" s="66" t="n">
        <v>1</v>
      </c>
      <c r="D1092" s="67" t="str">
        <f aca="false">IFERROR(INDEX(المكونات!$B$2:$B$500,MATCH($B1092,المكونات!$A$2:$A$500,0)),"")</f>
        <v>قطعة</v>
      </c>
      <c r="E1092" s="68" t="n">
        <f aca="false">IFERROR(INDEX(المكونات!$C$2:$C$500,MATCH($B1092,المكونات!$A$2:$A$500,0)),"")</f>
        <v>25</v>
      </c>
      <c r="F1092" s="69" t="n">
        <f aca="false">IFERROR($C1092*$E1092,"")</f>
        <v>25</v>
      </c>
    </row>
    <row r="1093" customFormat="false" ht="15" hidden="false" customHeight="true" outlineLevel="0" collapsed="false">
      <c r="A1093" s="66" t="s">
        <v>412</v>
      </c>
      <c r="B1093" s="66" t="s">
        <v>268</v>
      </c>
      <c r="C1093" s="66" t="n">
        <v>1</v>
      </c>
      <c r="D1093" s="67" t="str">
        <f aca="false">IFERROR(INDEX(المكونات!$B$2:$B$500,MATCH($B1093,المكونات!$A$2:$A$500,0)),"")</f>
        <v>قطعة</v>
      </c>
      <c r="E1093" s="68" t="n">
        <f aca="false">IFERROR(INDEX(المكونات!$C$2:$C$500,MATCH($B1093,المكونات!$A$2:$A$500,0)),"")</f>
        <v>5.5</v>
      </c>
      <c r="F1093" s="69" t="n">
        <f aca="false">IFERROR($C1093*$E1093,"")</f>
        <v>5.5</v>
      </c>
    </row>
    <row r="1094" customFormat="false" ht="15" hidden="false" customHeight="true" outlineLevel="0" collapsed="false">
      <c r="A1094" s="66" t="s">
        <v>412</v>
      </c>
      <c r="B1094" s="66" t="s">
        <v>290</v>
      </c>
      <c r="C1094" s="66" t="n">
        <v>3</v>
      </c>
      <c r="D1094" s="67" t="str">
        <f aca="false">IFERROR(INDEX(المكونات!$B$2:$B$500,MATCH($B1094,المكونات!$A$2:$A$500,0)),"")</f>
        <v>قطعة</v>
      </c>
      <c r="E1094" s="68" t="n">
        <f aca="false">IFERROR(INDEX(المكونات!$C$2:$C$500,MATCH($B1094,المكونات!$A$2:$A$500,0)),"")</f>
        <v>0.3</v>
      </c>
      <c r="F1094" s="69" t="n">
        <f aca="false">IFERROR($C1094*$E1094,"")</f>
        <v>0.9</v>
      </c>
    </row>
    <row r="1095" customFormat="false" ht="15" hidden="false" customHeight="true" outlineLevel="0" collapsed="false">
      <c r="A1095" s="66" t="s">
        <v>412</v>
      </c>
      <c r="B1095" s="66" t="s">
        <v>319</v>
      </c>
      <c r="C1095" s="66" t="n">
        <v>1</v>
      </c>
      <c r="D1095" s="67" t="str">
        <f aca="false">IFERROR(INDEX(المكونات!$B$2:$B$500,MATCH($B1095,المكونات!$A$2:$A$500,0)),"")</f>
        <v>قطعة (ورقة)</v>
      </c>
      <c r="E1095" s="68" t="n">
        <f aca="false">IFERROR(INDEX(المكونات!$C$2:$C$500,MATCH($B1095,المكونات!$A$2:$A$500,0)),"")</f>
        <v>0.3665</v>
      </c>
      <c r="F1095" s="69" t="n">
        <f aca="false">IFERROR($C1095*$E1095,"")</f>
        <v>0.3665</v>
      </c>
    </row>
    <row r="1096" customFormat="false" ht="15" hidden="false" customHeight="true" outlineLevel="0" collapsed="false">
      <c r="A1096" s="66" t="s">
        <v>412</v>
      </c>
      <c r="B1096" s="66" t="s">
        <v>133</v>
      </c>
      <c r="C1096" s="66" t="n">
        <v>1</v>
      </c>
      <c r="D1096" s="67" t="str">
        <f aca="false">IFERROR(INDEX(المكونات!$B$2:$B$500,MATCH($B1096,المكونات!$A$2:$A$500,0)),"")</f>
        <v>قطعة (كيس)</v>
      </c>
      <c r="E1096" s="68" t="n">
        <f aca="false">IFERROR(INDEX(المكونات!$C$2:$C$500,MATCH($B1096,المكونات!$A$2:$A$500,0)),"")</f>
        <v>1.4</v>
      </c>
      <c r="F1096" s="69" t="n">
        <f aca="false">IFERROR($C1096*$E1096,"")</f>
        <v>1.4</v>
      </c>
    </row>
    <row r="1097" customFormat="false" ht="15" hidden="false" customHeight="true" outlineLevel="0" collapsed="false">
      <c r="A1097" s="66" t="s">
        <v>412</v>
      </c>
      <c r="B1097" s="66" t="s">
        <v>293</v>
      </c>
      <c r="C1097" s="66" t="n">
        <v>1</v>
      </c>
      <c r="D1097" s="67" t="str">
        <f aca="false">IFERROR(INDEX(المكونات!$B$2:$B$500,MATCH($B1097,المكونات!$A$2:$A$500,0)),"")</f>
        <v>قطعة</v>
      </c>
      <c r="E1097" s="68" t="n">
        <f aca="false">IFERROR(INDEX(المكونات!$C$2:$C$500,MATCH($B1097,المكونات!$A$2:$A$500,0)),"")</f>
        <v>0.5</v>
      </c>
      <c r="F1097" s="69" t="n">
        <f aca="false">IFERROR($C1097*$E1097,"")</f>
        <v>0.5</v>
      </c>
    </row>
    <row r="1098" customFormat="false" ht="15" hidden="false" customHeight="true" outlineLevel="0" collapsed="false">
      <c r="A1098" s="66" t="s">
        <v>412</v>
      </c>
      <c r="B1098" s="66" t="s">
        <v>211</v>
      </c>
      <c r="C1098" s="66" t="n">
        <v>2</v>
      </c>
      <c r="D1098" s="67" t="str">
        <f aca="false">IFERROR(INDEX(المكونات!$B$2:$B$500,MATCH($B1098,المكونات!$A$2:$A$500,0)),"")</f>
        <v>قطعة (جلفز)</v>
      </c>
      <c r="E1098" s="68" t="n">
        <f aca="false">IFERROR(INDEX(المكونات!$C$2:$C$500,MATCH($B1098,المكونات!$A$2:$A$500,0)),"")</f>
        <v>0.18</v>
      </c>
      <c r="F1098" s="69" t="n">
        <f aca="false">IFERROR($C1098*$E1098,"")</f>
        <v>0.36</v>
      </c>
    </row>
    <row r="1099" customFormat="false" ht="15" hidden="false" customHeight="true" outlineLevel="0" collapsed="false">
      <c r="A1099" s="66" t="s">
        <v>412</v>
      </c>
      <c r="B1099" s="66" t="s">
        <v>322</v>
      </c>
      <c r="C1099" s="66" t="n">
        <v>1</v>
      </c>
      <c r="D1099" s="67" t="str">
        <f aca="false">IFERROR(INDEX(المكونات!$B$2:$B$500,MATCH($B1099,المكونات!$A$2:$A$500,0)),"")</f>
        <v>قطعة (كيس)</v>
      </c>
      <c r="E1099" s="68" t="n">
        <f aca="false">IFERROR(INDEX(المكونات!$C$2:$C$500,MATCH($B1099,المكونات!$A$2:$A$500,0)),"")</f>
        <v>1</v>
      </c>
      <c r="F1099" s="69" t="n">
        <f aca="false">IFERROR($C1099*$E1099,"")</f>
        <v>1</v>
      </c>
    </row>
    <row r="1100" customFormat="false" ht="15" hidden="false" customHeight="true" outlineLevel="0" collapsed="false">
      <c r="A1100" s="66" t="s">
        <v>412</v>
      </c>
      <c r="B1100" s="66" t="s">
        <v>282</v>
      </c>
      <c r="C1100" s="66" t="n">
        <v>0.21</v>
      </c>
      <c r="D1100" s="67" t="str">
        <f aca="false">IFERROR(INDEX(المكونات!$B$2:$B$500,MATCH($B1100,المكونات!$A$2:$A$500,0)),"")</f>
        <v>كجم</v>
      </c>
      <c r="E1100" s="68" t="n">
        <f aca="false">IFERROR(INDEX(المكونات!$C$2:$C$500,MATCH($B1100,المكونات!$A$2:$A$500,0)),"")</f>
        <v>150</v>
      </c>
      <c r="F1100" s="69" t="n">
        <f aca="false">IFERROR($C1100*$E1100,"")</f>
        <v>31.5</v>
      </c>
    </row>
    <row r="1101" customFormat="false" ht="15" hidden="false" customHeight="true" outlineLevel="0" collapsed="false">
      <c r="A1101" s="66" t="s">
        <v>412</v>
      </c>
      <c r="B1101" s="66" t="s">
        <v>252</v>
      </c>
      <c r="C1101" s="66" t="n">
        <v>0.15</v>
      </c>
      <c r="D1101" s="67" t="str">
        <f aca="false">IFERROR(INDEX(المكونات!$B$2:$B$500,MATCH($B1101,المكونات!$A$2:$A$500,0)),"")</f>
        <v>كجم</v>
      </c>
      <c r="E1101" s="68" t="n">
        <f aca="false">IFERROR(INDEX(المكونات!$C$2:$C$500,MATCH($B1101,المكونات!$A$2:$A$500,0)),"")</f>
        <v>70</v>
      </c>
      <c r="F1101" s="69" t="n">
        <f aca="false">IFERROR($C1101*$E1101,"")</f>
        <v>10.5</v>
      </c>
    </row>
    <row r="1102" customFormat="false" ht="15" hidden="false" customHeight="true" outlineLevel="0" collapsed="false">
      <c r="A1102" s="66" t="s">
        <v>527</v>
      </c>
      <c r="B1102" s="66" t="s">
        <v>262</v>
      </c>
      <c r="C1102" s="66" t="n">
        <v>0.22</v>
      </c>
      <c r="D1102" s="67" t="str">
        <f aca="false">IFERROR(INDEX(المكونات!$B$2:$B$500,MATCH($B1102,المكونات!$A$2:$A$500,0)),"")</f>
        <v>كجم</v>
      </c>
      <c r="E1102" s="68" t="n">
        <f aca="false">IFERROR(INDEX(المكونات!$C$2:$C$500,MATCH($B1102,المكونات!$A$2:$A$500,0)),"")</f>
        <v>22</v>
      </c>
      <c r="F1102" s="69" t="n">
        <f aca="false">IFERROR($C1102*$E1102,"")</f>
        <v>4.84</v>
      </c>
    </row>
    <row r="1103" customFormat="false" ht="15" hidden="false" customHeight="true" outlineLevel="0" collapsed="false">
      <c r="A1103" s="66" t="s">
        <v>527</v>
      </c>
      <c r="B1103" s="66" t="s">
        <v>250</v>
      </c>
      <c r="C1103" s="66" t="n">
        <v>0.04</v>
      </c>
      <c r="D1103" s="67" t="str">
        <f aca="false">IFERROR(INDEX(المكونات!$B$2:$B$500,MATCH($B1103,المكونات!$A$2:$A$500,0)),"")</f>
        <v>كجم</v>
      </c>
      <c r="E1103" s="68" t="n">
        <f aca="false">IFERROR(INDEX(المكونات!$C$2:$C$500,MATCH($B1103,المكونات!$A$2:$A$500,0)),"")</f>
        <v>32</v>
      </c>
      <c r="F1103" s="69" t="n">
        <f aca="false">IFERROR($C1103*$E1103,"")</f>
        <v>1.28</v>
      </c>
    </row>
    <row r="1104" customFormat="false" ht="15" hidden="false" customHeight="true" outlineLevel="0" collapsed="false">
      <c r="A1104" s="66" t="s">
        <v>527</v>
      </c>
      <c r="B1104" s="66" t="s">
        <v>260</v>
      </c>
      <c r="C1104" s="66" t="n">
        <v>0.03</v>
      </c>
      <c r="D1104" s="67" t="str">
        <f aca="false">IFERROR(INDEX(المكونات!$B$2:$B$500,MATCH($B1104,المكونات!$A$2:$A$500,0)),"")</f>
        <v>كجم</v>
      </c>
      <c r="E1104" s="68" t="n">
        <f aca="false">IFERROR(INDEX(المكونات!$C$2:$C$500,MATCH($B1104,المكونات!$A$2:$A$500,0)),"")</f>
        <v>21</v>
      </c>
      <c r="F1104" s="69" t="n">
        <f aca="false">IFERROR($C1104*$E1104,"")</f>
        <v>0.63</v>
      </c>
    </row>
    <row r="1105" customFormat="false" ht="15" hidden="false" customHeight="true" outlineLevel="0" collapsed="false">
      <c r="A1105" s="66" t="s">
        <v>527</v>
      </c>
      <c r="B1105" s="66" t="s">
        <v>284</v>
      </c>
      <c r="C1105" s="66" t="n">
        <v>0.02</v>
      </c>
      <c r="D1105" s="67" t="str">
        <f aca="false">IFERROR(INDEX(المكونات!$B$2:$B$500,MATCH($B1105,المكونات!$A$2:$A$500,0)),"")</f>
        <v>كجم</v>
      </c>
      <c r="E1105" s="68" t="n">
        <f aca="false">IFERROR(INDEX(المكونات!$C$2:$C$500,MATCH($B1105,المكونات!$A$2:$A$500,0)),"")</f>
        <v>27</v>
      </c>
      <c r="F1105" s="69" t="n">
        <f aca="false">IFERROR($C1105*$E1105,"")</f>
        <v>0.54</v>
      </c>
    </row>
    <row r="1106" customFormat="false" ht="15" hidden="false" customHeight="true" outlineLevel="0" collapsed="false">
      <c r="A1106" s="66" t="s">
        <v>527</v>
      </c>
      <c r="B1106" s="66" t="s">
        <v>227</v>
      </c>
      <c r="C1106" s="66" t="n">
        <v>0.02</v>
      </c>
      <c r="D1106" s="67" t="str">
        <f aca="false">IFERROR(INDEX(المكونات!$B$2:$B$500,MATCH($B1106,المكونات!$A$2:$A$500,0)),"")</f>
        <v>كجم</v>
      </c>
      <c r="E1106" s="68" t="n">
        <f aca="false">IFERROR(INDEX(المكونات!$C$2:$C$500,MATCH($B1106,المكونات!$A$2:$A$500,0)),"")</f>
        <v>95</v>
      </c>
      <c r="F1106" s="69" t="n">
        <f aca="false">IFERROR($C1106*$E1106,"")</f>
        <v>1.9</v>
      </c>
    </row>
    <row r="1107" customFormat="false" ht="15" hidden="false" customHeight="true" outlineLevel="0" collapsed="false">
      <c r="A1107" s="66" t="s">
        <v>527</v>
      </c>
      <c r="B1107" s="66" t="s">
        <v>176</v>
      </c>
      <c r="C1107" s="66" t="n">
        <v>1</v>
      </c>
      <c r="D1107" s="67" t="str">
        <f aca="false">IFERROR(INDEX(المكونات!$B$2:$B$500,MATCH($B1107,المكونات!$A$2:$A$500,0)),"")</f>
        <v>قطعة</v>
      </c>
      <c r="E1107" s="68" t="n">
        <f aca="false">IFERROR(INDEX(المكونات!$C$2:$C$500,MATCH($B1107,المكونات!$A$2:$A$500,0)),"")</f>
        <v>17.5</v>
      </c>
      <c r="F1107" s="69" t="n">
        <f aca="false">IFERROR($C1107*$E1107,"")</f>
        <v>17.5</v>
      </c>
    </row>
    <row r="1108" customFormat="false" ht="15" hidden="false" customHeight="true" outlineLevel="0" collapsed="false">
      <c r="A1108" s="66" t="s">
        <v>527</v>
      </c>
      <c r="B1108" s="66" t="s">
        <v>270</v>
      </c>
      <c r="C1108" s="66" t="n">
        <v>1</v>
      </c>
      <c r="D1108" s="67" t="str">
        <f aca="false">IFERROR(INDEX(المكونات!$B$2:$B$500,MATCH($B1108,المكونات!$A$2:$A$500,0)),"")</f>
        <v>قطعة</v>
      </c>
      <c r="E1108" s="68" t="n">
        <f aca="false">IFERROR(INDEX(المكونات!$C$2:$C$500,MATCH($B1108,المكونات!$A$2:$A$500,0)),"")</f>
        <v>4.5</v>
      </c>
      <c r="F1108" s="69" t="n">
        <f aca="false">IFERROR($C1108*$E1108,"")</f>
        <v>4.5</v>
      </c>
    </row>
    <row r="1109" customFormat="false" ht="15" hidden="false" customHeight="true" outlineLevel="0" collapsed="false">
      <c r="A1109" s="66" t="s">
        <v>527</v>
      </c>
      <c r="B1109" s="66" t="s">
        <v>290</v>
      </c>
      <c r="C1109" s="66" t="n">
        <v>2</v>
      </c>
      <c r="D1109" s="67" t="str">
        <f aca="false">IFERROR(INDEX(المكونات!$B$2:$B$500,MATCH($B1109,المكونات!$A$2:$A$500,0)),"")</f>
        <v>قطعة</v>
      </c>
      <c r="E1109" s="68" t="n">
        <f aca="false">IFERROR(INDEX(المكونات!$C$2:$C$500,MATCH($B1109,المكونات!$A$2:$A$500,0)),"")</f>
        <v>0.3</v>
      </c>
      <c r="F1109" s="69" t="n">
        <f aca="false">IFERROR($C1109*$E1109,"")</f>
        <v>0.6</v>
      </c>
    </row>
    <row r="1110" customFormat="false" ht="15" hidden="false" customHeight="true" outlineLevel="0" collapsed="false">
      <c r="A1110" s="66" t="s">
        <v>527</v>
      </c>
      <c r="B1110" s="66" t="s">
        <v>319</v>
      </c>
      <c r="C1110" s="66" t="n">
        <v>1</v>
      </c>
      <c r="D1110" s="67" t="str">
        <f aca="false">IFERROR(INDEX(المكونات!$B$2:$B$500,MATCH($B1110,المكونات!$A$2:$A$500,0)),"")</f>
        <v>قطعة (ورقة)</v>
      </c>
      <c r="E1110" s="68" t="n">
        <f aca="false">IFERROR(INDEX(المكونات!$C$2:$C$500,MATCH($B1110,المكونات!$A$2:$A$500,0)),"")</f>
        <v>0.3665</v>
      </c>
      <c r="F1110" s="69" t="n">
        <f aca="false">IFERROR($C1110*$E1110,"")</f>
        <v>0.3665</v>
      </c>
    </row>
    <row r="1111" customFormat="false" ht="15" hidden="false" customHeight="true" outlineLevel="0" collapsed="false">
      <c r="A1111" s="66" t="s">
        <v>527</v>
      </c>
      <c r="B1111" s="66" t="s">
        <v>133</v>
      </c>
      <c r="C1111" s="66" t="n">
        <v>1</v>
      </c>
      <c r="D1111" s="67" t="str">
        <f aca="false">IFERROR(INDEX(المكونات!$B$2:$B$500,MATCH($B1111,المكونات!$A$2:$A$500,0)),"")</f>
        <v>قطعة (كيس)</v>
      </c>
      <c r="E1111" s="68" t="n">
        <f aca="false">IFERROR(INDEX(المكونات!$C$2:$C$500,MATCH($B1111,المكونات!$A$2:$A$500,0)),"")</f>
        <v>1.4</v>
      </c>
      <c r="F1111" s="69" t="n">
        <f aca="false">IFERROR($C1111*$E1111,"")</f>
        <v>1.4</v>
      </c>
    </row>
    <row r="1112" customFormat="false" ht="15" hidden="false" customHeight="true" outlineLevel="0" collapsed="false">
      <c r="A1112" s="66" t="s">
        <v>527</v>
      </c>
      <c r="B1112" s="66" t="s">
        <v>293</v>
      </c>
      <c r="C1112" s="66" t="n">
        <v>1</v>
      </c>
      <c r="D1112" s="67" t="str">
        <f aca="false">IFERROR(INDEX(المكونات!$B$2:$B$500,MATCH($B1112,المكونات!$A$2:$A$500,0)),"")</f>
        <v>قطعة</v>
      </c>
      <c r="E1112" s="68" t="n">
        <f aca="false">IFERROR(INDEX(المكونات!$C$2:$C$500,MATCH($B1112,المكونات!$A$2:$A$500,0)),"")</f>
        <v>0.5</v>
      </c>
      <c r="F1112" s="69" t="n">
        <f aca="false">IFERROR($C1112*$E1112,"")</f>
        <v>0.5</v>
      </c>
    </row>
    <row r="1113" customFormat="false" ht="15" hidden="false" customHeight="true" outlineLevel="0" collapsed="false">
      <c r="A1113" s="66" t="s">
        <v>527</v>
      </c>
      <c r="B1113" s="66" t="s">
        <v>211</v>
      </c>
      <c r="C1113" s="66" t="n">
        <v>2</v>
      </c>
      <c r="D1113" s="67" t="str">
        <f aca="false">IFERROR(INDEX(المكونات!$B$2:$B$500,MATCH($B1113,المكونات!$A$2:$A$500,0)),"")</f>
        <v>قطعة (جلفز)</v>
      </c>
      <c r="E1113" s="68" t="n">
        <f aca="false">IFERROR(INDEX(المكونات!$C$2:$C$500,MATCH($B1113,المكونات!$A$2:$A$500,0)),"")</f>
        <v>0.18</v>
      </c>
      <c r="F1113" s="69" t="n">
        <f aca="false">IFERROR($C1113*$E1113,"")</f>
        <v>0.36</v>
      </c>
    </row>
    <row r="1114" customFormat="false" ht="15" hidden="false" customHeight="true" outlineLevel="0" collapsed="false">
      <c r="A1114" s="66" t="s">
        <v>527</v>
      </c>
      <c r="B1114" s="66" t="s">
        <v>322</v>
      </c>
      <c r="C1114" s="66" t="n">
        <v>1</v>
      </c>
      <c r="D1114" s="67" t="str">
        <f aca="false">IFERROR(INDEX(المكونات!$B$2:$B$500,MATCH($B1114,المكونات!$A$2:$A$500,0)),"")</f>
        <v>قطعة (كيس)</v>
      </c>
      <c r="E1114" s="68" t="n">
        <f aca="false">IFERROR(INDEX(المكونات!$C$2:$C$500,MATCH($B1114,المكونات!$A$2:$A$500,0)),"")</f>
        <v>1</v>
      </c>
      <c r="F1114" s="69" t="n">
        <f aca="false">IFERROR($C1114*$E1114,"")</f>
        <v>1</v>
      </c>
    </row>
    <row r="1115" customFormat="false" ht="15" hidden="false" customHeight="true" outlineLevel="0" collapsed="false">
      <c r="A1115" s="66" t="s">
        <v>527</v>
      </c>
      <c r="B1115" s="66" t="s">
        <v>150</v>
      </c>
      <c r="C1115" s="66" t="n">
        <v>1</v>
      </c>
      <c r="D1115" s="67" t="str">
        <f aca="false">IFERROR(INDEX(المكونات!$B$2:$B$500,MATCH($B1115,المكونات!$A$2:$A$500,0)),"")</f>
        <v>قطعة</v>
      </c>
      <c r="E1115" s="68" t="n">
        <f aca="false">IFERROR(INDEX(المكونات!$C$2:$C$500,MATCH($B1115,المكونات!$A$2:$A$500,0)),"")</f>
        <v>95</v>
      </c>
      <c r="F1115" s="69" t="n">
        <f aca="false">IFERROR($C1115*$E1115,"")</f>
        <v>95</v>
      </c>
    </row>
    <row r="1116" customFormat="false" ht="15" hidden="false" customHeight="true" outlineLevel="0" collapsed="false">
      <c r="A1116" s="66" t="s">
        <v>513</v>
      </c>
      <c r="B1116" s="66" t="s">
        <v>262</v>
      </c>
      <c r="C1116" s="66" t="n">
        <v>0.3</v>
      </c>
      <c r="D1116" s="67" t="str">
        <f aca="false">IFERROR(INDEX(المكونات!$B$2:$B$500,MATCH($B1116,المكونات!$A$2:$A$500,0)),"")</f>
        <v>كجم</v>
      </c>
      <c r="E1116" s="68" t="n">
        <f aca="false">IFERROR(INDEX(المكونات!$C$2:$C$500,MATCH($B1116,المكونات!$A$2:$A$500,0)),"")</f>
        <v>22</v>
      </c>
      <c r="F1116" s="69" t="n">
        <f aca="false">IFERROR($C1116*$E1116,"")</f>
        <v>6.6</v>
      </c>
    </row>
    <row r="1117" customFormat="false" ht="15" hidden="false" customHeight="true" outlineLevel="0" collapsed="false">
      <c r="A1117" s="66" t="s">
        <v>513</v>
      </c>
      <c r="B1117" s="66" t="s">
        <v>250</v>
      </c>
      <c r="C1117" s="66" t="n">
        <v>0.06</v>
      </c>
      <c r="D1117" s="67" t="str">
        <f aca="false">IFERROR(INDEX(المكونات!$B$2:$B$500,MATCH($B1117,المكونات!$A$2:$A$500,0)),"")</f>
        <v>كجم</v>
      </c>
      <c r="E1117" s="68" t="n">
        <f aca="false">IFERROR(INDEX(المكونات!$C$2:$C$500,MATCH($B1117,المكونات!$A$2:$A$500,0)),"")</f>
        <v>32</v>
      </c>
      <c r="F1117" s="69" t="n">
        <f aca="false">IFERROR($C1117*$E1117,"")</f>
        <v>1.92</v>
      </c>
    </row>
    <row r="1118" customFormat="false" ht="15" hidden="false" customHeight="true" outlineLevel="0" collapsed="false">
      <c r="A1118" s="66" t="s">
        <v>513</v>
      </c>
      <c r="B1118" s="66" t="s">
        <v>260</v>
      </c>
      <c r="C1118" s="66" t="n">
        <v>0.045</v>
      </c>
      <c r="D1118" s="67" t="str">
        <f aca="false">IFERROR(INDEX(المكونات!$B$2:$B$500,MATCH($B1118,المكونات!$A$2:$A$500,0)),"")</f>
        <v>كجم</v>
      </c>
      <c r="E1118" s="68" t="n">
        <f aca="false">IFERROR(INDEX(المكونات!$C$2:$C$500,MATCH($B1118,المكونات!$A$2:$A$500,0)),"")</f>
        <v>21</v>
      </c>
      <c r="F1118" s="69" t="n">
        <f aca="false">IFERROR($C1118*$E1118,"")</f>
        <v>0.945</v>
      </c>
    </row>
    <row r="1119" customFormat="false" ht="15" hidden="false" customHeight="true" outlineLevel="0" collapsed="false">
      <c r="A1119" s="66" t="s">
        <v>513</v>
      </c>
      <c r="B1119" s="66" t="s">
        <v>284</v>
      </c>
      <c r="C1119" s="66" t="n">
        <v>0.03</v>
      </c>
      <c r="D1119" s="67" t="str">
        <f aca="false">IFERROR(INDEX(المكونات!$B$2:$B$500,MATCH($B1119,المكونات!$A$2:$A$500,0)),"")</f>
        <v>كجم</v>
      </c>
      <c r="E1119" s="68" t="n">
        <f aca="false">IFERROR(INDEX(المكونات!$C$2:$C$500,MATCH($B1119,المكونات!$A$2:$A$500,0)),"")</f>
        <v>27</v>
      </c>
      <c r="F1119" s="69" t="n">
        <f aca="false">IFERROR($C1119*$E1119,"")</f>
        <v>0.81</v>
      </c>
    </row>
    <row r="1120" customFormat="false" ht="15" hidden="false" customHeight="true" outlineLevel="0" collapsed="false">
      <c r="A1120" s="66" t="s">
        <v>513</v>
      </c>
      <c r="B1120" s="66" t="s">
        <v>227</v>
      </c>
      <c r="C1120" s="66" t="n">
        <v>0.03</v>
      </c>
      <c r="D1120" s="67" t="str">
        <f aca="false">IFERROR(INDEX(المكونات!$B$2:$B$500,MATCH($B1120,المكونات!$A$2:$A$500,0)),"")</f>
        <v>كجم</v>
      </c>
      <c r="E1120" s="68" t="n">
        <f aca="false">IFERROR(INDEX(المكونات!$C$2:$C$500,MATCH($B1120,المكونات!$A$2:$A$500,0)),"")</f>
        <v>95</v>
      </c>
      <c r="F1120" s="69" t="n">
        <f aca="false">IFERROR($C1120*$E1120,"")</f>
        <v>2.85</v>
      </c>
    </row>
    <row r="1121" customFormat="false" ht="15" hidden="false" customHeight="true" outlineLevel="0" collapsed="false">
      <c r="A1121" s="66" t="s">
        <v>513</v>
      </c>
      <c r="B1121" s="66" t="s">
        <v>178</v>
      </c>
      <c r="C1121" s="66" t="n">
        <v>1</v>
      </c>
      <c r="D1121" s="67" t="str">
        <f aca="false">IFERROR(INDEX(المكونات!$B$2:$B$500,MATCH($B1121,المكونات!$A$2:$A$500,0)),"")</f>
        <v>قطعة</v>
      </c>
      <c r="E1121" s="68" t="n">
        <f aca="false">IFERROR(INDEX(المكونات!$C$2:$C$500,MATCH($B1121,المكونات!$A$2:$A$500,0)),"")</f>
        <v>25</v>
      </c>
      <c r="F1121" s="69" t="n">
        <f aca="false">IFERROR($C1121*$E1121,"")</f>
        <v>25</v>
      </c>
    </row>
    <row r="1122" customFormat="false" ht="15" hidden="false" customHeight="true" outlineLevel="0" collapsed="false">
      <c r="A1122" s="66" t="s">
        <v>513</v>
      </c>
      <c r="B1122" s="66" t="s">
        <v>268</v>
      </c>
      <c r="C1122" s="66" t="n">
        <v>1</v>
      </c>
      <c r="D1122" s="67" t="str">
        <f aca="false">IFERROR(INDEX(المكونات!$B$2:$B$500,MATCH($B1122,المكونات!$A$2:$A$500,0)),"")</f>
        <v>قطعة</v>
      </c>
      <c r="E1122" s="68" t="n">
        <f aca="false">IFERROR(INDEX(المكونات!$C$2:$C$500,MATCH($B1122,المكونات!$A$2:$A$500,0)),"")</f>
        <v>5.5</v>
      </c>
      <c r="F1122" s="69" t="n">
        <f aca="false">IFERROR($C1122*$E1122,"")</f>
        <v>5.5</v>
      </c>
    </row>
    <row r="1123" customFormat="false" ht="15" hidden="false" customHeight="true" outlineLevel="0" collapsed="false">
      <c r="A1123" s="66" t="s">
        <v>513</v>
      </c>
      <c r="B1123" s="66" t="s">
        <v>290</v>
      </c>
      <c r="C1123" s="66" t="n">
        <v>3</v>
      </c>
      <c r="D1123" s="67" t="str">
        <f aca="false">IFERROR(INDEX(المكونات!$B$2:$B$500,MATCH($B1123,المكونات!$A$2:$A$500,0)),"")</f>
        <v>قطعة</v>
      </c>
      <c r="E1123" s="68" t="n">
        <f aca="false">IFERROR(INDEX(المكونات!$C$2:$C$500,MATCH($B1123,المكونات!$A$2:$A$500,0)),"")</f>
        <v>0.3</v>
      </c>
      <c r="F1123" s="69" t="n">
        <f aca="false">IFERROR($C1123*$E1123,"")</f>
        <v>0.9</v>
      </c>
    </row>
    <row r="1124" customFormat="false" ht="15" hidden="false" customHeight="true" outlineLevel="0" collapsed="false">
      <c r="A1124" s="66" t="s">
        <v>513</v>
      </c>
      <c r="B1124" s="66" t="s">
        <v>319</v>
      </c>
      <c r="C1124" s="66" t="n">
        <v>1</v>
      </c>
      <c r="D1124" s="67" t="str">
        <f aca="false">IFERROR(INDEX(المكونات!$B$2:$B$500,MATCH($B1124,المكونات!$A$2:$A$500,0)),"")</f>
        <v>قطعة (ورقة)</v>
      </c>
      <c r="E1124" s="68" t="n">
        <f aca="false">IFERROR(INDEX(المكونات!$C$2:$C$500,MATCH($B1124,المكونات!$A$2:$A$500,0)),"")</f>
        <v>0.3665</v>
      </c>
      <c r="F1124" s="69" t="n">
        <f aca="false">IFERROR($C1124*$E1124,"")</f>
        <v>0.3665</v>
      </c>
    </row>
    <row r="1125" customFormat="false" ht="15" hidden="false" customHeight="true" outlineLevel="0" collapsed="false">
      <c r="A1125" s="66" t="s">
        <v>513</v>
      </c>
      <c r="B1125" s="66" t="s">
        <v>133</v>
      </c>
      <c r="C1125" s="66" t="n">
        <v>1</v>
      </c>
      <c r="D1125" s="67" t="str">
        <f aca="false">IFERROR(INDEX(المكونات!$B$2:$B$500,MATCH($B1125,المكونات!$A$2:$A$500,0)),"")</f>
        <v>قطعة (كيس)</v>
      </c>
      <c r="E1125" s="68" t="n">
        <f aca="false">IFERROR(INDEX(المكونات!$C$2:$C$500,MATCH($B1125,المكونات!$A$2:$A$500,0)),"")</f>
        <v>1.4</v>
      </c>
      <c r="F1125" s="69" t="n">
        <f aca="false">IFERROR($C1125*$E1125,"")</f>
        <v>1.4</v>
      </c>
    </row>
    <row r="1126" customFormat="false" ht="15" hidden="false" customHeight="true" outlineLevel="0" collapsed="false">
      <c r="A1126" s="66" t="s">
        <v>513</v>
      </c>
      <c r="B1126" s="66" t="s">
        <v>293</v>
      </c>
      <c r="C1126" s="66" t="n">
        <v>1</v>
      </c>
      <c r="D1126" s="67" t="str">
        <f aca="false">IFERROR(INDEX(المكونات!$B$2:$B$500,MATCH($B1126,المكونات!$A$2:$A$500,0)),"")</f>
        <v>قطعة</v>
      </c>
      <c r="E1126" s="68" t="n">
        <f aca="false">IFERROR(INDEX(المكونات!$C$2:$C$500,MATCH($B1126,المكونات!$A$2:$A$500,0)),"")</f>
        <v>0.5</v>
      </c>
      <c r="F1126" s="69" t="n">
        <f aca="false">IFERROR($C1126*$E1126,"")</f>
        <v>0.5</v>
      </c>
    </row>
    <row r="1127" customFormat="false" ht="15" hidden="false" customHeight="true" outlineLevel="0" collapsed="false">
      <c r="A1127" s="66" t="s">
        <v>513</v>
      </c>
      <c r="B1127" s="66" t="s">
        <v>211</v>
      </c>
      <c r="C1127" s="66" t="n">
        <v>2</v>
      </c>
      <c r="D1127" s="67" t="str">
        <f aca="false">IFERROR(INDEX(المكونات!$B$2:$B$500,MATCH($B1127,المكونات!$A$2:$A$500,0)),"")</f>
        <v>قطعة (جلفز)</v>
      </c>
      <c r="E1127" s="68" t="n">
        <f aca="false">IFERROR(INDEX(المكونات!$C$2:$C$500,MATCH($B1127,المكونات!$A$2:$A$500,0)),"")</f>
        <v>0.18</v>
      </c>
      <c r="F1127" s="69" t="n">
        <f aca="false">IFERROR($C1127*$E1127,"")</f>
        <v>0.36</v>
      </c>
    </row>
    <row r="1128" customFormat="false" ht="15" hidden="false" customHeight="true" outlineLevel="0" collapsed="false">
      <c r="A1128" s="66" t="s">
        <v>513</v>
      </c>
      <c r="B1128" s="66" t="s">
        <v>322</v>
      </c>
      <c r="C1128" s="66" t="n">
        <v>1</v>
      </c>
      <c r="D1128" s="67" t="str">
        <f aca="false">IFERROR(INDEX(المكونات!$B$2:$B$500,MATCH($B1128,المكونات!$A$2:$A$500,0)),"")</f>
        <v>قطعة (كيس)</v>
      </c>
      <c r="E1128" s="68" t="n">
        <f aca="false">IFERROR(INDEX(المكونات!$C$2:$C$500,MATCH($B1128,المكونات!$A$2:$A$500,0)),"")</f>
        <v>1</v>
      </c>
      <c r="F1128" s="69" t="n">
        <f aca="false">IFERROR($C1128*$E1128,"")</f>
        <v>1</v>
      </c>
    </row>
    <row r="1129" customFormat="false" ht="15" hidden="false" customHeight="true" outlineLevel="0" collapsed="false">
      <c r="A1129" s="66" t="s">
        <v>513</v>
      </c>
      <c r="B1129" s="66" t="s">
        <v>150</v>
      </c>
      <c r="C1129" s="66" t="n">
        <v>1.5</v>
      </c>
      <c r="D1129" s="67" t="str">
        <f aca="false">IFERROR(INDEX(المكونات!$B$2:$B$500,MATCH($B1129,المكونات!$A$2:$A$500,0)),"")</f>
        <v>قطعة</v>
      </c>
      <c r="E1129" s="68" t="n">
        <f aca="false">IFERROR(INDEX(المكونات!$C$2:$C$500,MATCH($B1129,المكونات!$A$2:$A$500,0)),"")</f>
        <v>95</v>
      </c>
      <c r="F1129" s="69" t="n">
        <f aca="false">IFERROR($C1129*$E1129,"")</f>
        <v>142.5</v>
      </c>
    </row>
    <row r="1130" customFormat="false" ht="15" hidden="false" customHeight="true" outlineLevel="0" collapsed="false">
      <c r="A1130" s="66" t="s">
        <v>495</v>
      </c>
      <c r="B1130" s="66" t="s">
        <v>262</v>
      </c>
      <c r="C1130" s="66" t="n">
        <v>0.22</v>
      </c>
      <c r="D1130" s="67" t="str">
        <f aca="false">IFERROR(INDEX(المكونات!$B$2:$B$500,MATCH($B1130,المكونات!$A$2:$A$500,0)),"")</f>
        <v>كجم</v>
      </c>
      <c r="E1130" s="68" t="n">
        <f aca="false">IFERROR(INDEX(المكونات!$C$2:$C$500,MATCH($B1130,المكونات!$A$2:$A$500,0)),"")</f>
        <v>22</v>
      </c>
      <c r="F1130" s="69" t="n">
        <f aca="false">IFERROR($C1130*$E1130,"")</f>
        <v>4.84</v>
      </c>
    </row>
    <row r="1131" customFormat="false" ht="15" hidden="false" customHeight="true" outlineLevel="0" collapsed="false">
      <c r="A1131" s="66" t="s">
        <v>495</v>
      </c>
      <c r="B1131" s="66" t="s">
        <v>250</v>
      </c>
      <c r="C1131" s="66" t="n">
        <v>0.04</v>
      </c>
      <c r="D1131" s="67" t="str">
        <f aca="false">IFERROR(INDEX(المكونات!$B$2:$B$500,MATCH($B1131,المكونات!$A$2:$A$500,0)),"")</f>
        <v>كجم</v>
      </c>
      <c r="E1131" s="68" t="n">
        <f aca="false">IFERROR(INDEX(المكونات!$C$2:$C$500,MATCH($B1131,المكونات!$A$2:$A$500,0)),"")</f>
        <v>32</v>
      </c>
      <c r="F1131" s="69" t="n">
        <f aca="false">IFERROR($C1131*$E1131,"")</f>
        <v>1.28</v>
      </c>
    </row>
    <row r="1132" customFormat="false" ht="15" hidden="false" customHeight="true" outlineLevel="0" collapsed="false">
      <c r="A1132" s="66" t="s">
        <v>495</v>
      </c>
      <c r="B1132" s="66" t="s">
        <v>260</v>
      </c>
      <c r="C1132" s="66" t="n">
        <v>0.03</v>
      </c>
      <c r="D1132" s="67" t="str">
        <f aca="false">IFERROR(INDEX(المكونات!$B$2:$B$500,MATCH($B1132,المكونات!$A$2:$A$500,0)),"")</f>
        <v>كجم</v>
      </c>
      <c r="E1132" s="68" t="n">
        <f aca="false">IFERROR(INDEX(المكونات!$C$2:$C$500,MATCH($B1132,المكونات!$A$2:$A$500,0)),"")</f>
        <v>21</v>
      </c>
      <c r="F1132" s="69" t="n">
        <f aca="false">IFERROR($C1132*$E1132,"")</f>
        <v>0.63</v>
      </c>
    </row>
    <row r="1133" customFormat="false" ht="15" hidden="false" customHeight="true" outlineLevel="0" collapsed="false">
      <c r="A1133" s="66" t="s">
        <v>495</v>
      </c>
      <c r="B1133" s="66" t="s">
        <v>284</v>
      </c>
      <c r="C1133" s="66" t="n">
        <v>0.02</v>
      </c>
      <c r="D1133" s="67" t="str">
        <f aca="false">IFERROR(INDEX(المكونات!$B$2:$B$500,MATCH($B1133,المكونات!$A$2:$A$500,0)),"")</f>
        <v>كجم</v>
      </c>
      <c r="E1133" s="68" t="n">
        <f aca="false">IFERROR(INDEX(المكونات!$C$2:$C$500,MATCH($B1133,المكونات!$A$2:$A$500,0)),"")</f>
        <v>27</v>
      </c>
      <c r="F1133" s="69" t="n">
        <f aca="false">IFERROR($C1133*$E1133,"")</f>
        <v>0.54</v>
      </c>
    </row>
    <row r="1134" customFormat="false" ht="15" hidden="false" customHeight="true" outlineLevel="0" collapsed="false">
      <c r="A1134" s="66" t="s">
        <v>495</v>
      </c>
      <c r="B1134" s="66" t="s">
        <v>227</v>
      </c>
      <c r="C1134" s="66" t="n">
        <v>0.02</v>
      </c>
      <c r="D1134" s="67" t="str">
        <f aca="false">IFERROR(INDEX(المكونات!$B$2:$B$500,MATCH($B1134,المكونات!$A$2:$A$500,0)),"")</f>
        <v>كجم</v>
      </c>
      <c r="E1134" s="68" t="n">
        <f aca="false">IFERROR(INDEX(المكونات!$C$2:$C$500,MATCH($B1134,المكونات!$A$2:$A$500,0)),"")</f>
        <v>95</v>
      </c>
      <c r="F1134" s="69" t="n">
        <f aca="false">IFERROR($C1134*$E1134,"")</f>
        <v>1.9</v>
      </c>
    </row>
    <row r="1135" customFormat="false" ht="15" hidden="false" customHeight="true" outlineLevel="0" collapsed="false">
      <c r="A1135" s="66" t="s">
        <v>495</v>
      </c>
      <c r="B1135" s="66" t="s">
        <v>176</v>
      </c>
      <c r="C1135" s="66" t="n">
        <v>1</v>
      </c>
      <c r="D1135" s="67" t="str">
        <f aca="false">IFERROR(INDEX(المكونات!$B$2:$B$500,MATCH($B1135,المكونات!$A$2:$A$500,0)),"")</f>
        <v>قطعة</v>
      </c>
      <c r="E1135" s="68" t="n">
        <f aca="false">IFERROR(INDEX(المكونات!$C$2:$C$500,MATCH($B1135,المكونات!$A$2:$A$500,0)),"")</f>
        <v>17.5</v>
      </c>
      <c r="F1135" s="69" t="n">
        <f aca="false">IFERROR($C1135*$E1135,"")</f>
        <v>17.5</v>
      </c>
    </row>
    <row r="1136" customFormat="false" ht="15" hidden="false" customHeight="true" outlineLevel="0" collapsed="false">
      <c r="A1136" s="66" t="s">
        <v>495</v>
      </c>
      <c r="B1136" s="66" t="s">
        <v>270</v>
      </c>
      <c r="C1136" s="66" t="n">
        <v>1</v>
      </c>
      <c r="D1136" s="67" t="str">
        <f aca="false">IFERROR(INDEX(المكونات!$B$2:$B$500,MATCH($B1136,المكونات!$A$2:$A$500,0)),"")</f>
        <v>قطعة</v>
      </c>
      <c r="E1136" s="68" t="n">
        <f aca="false">IFERROR(INDEX(المكونات!$C$2:$C$500,MATCH($B1136,المكونات!$A$2:$A$500,0)),"")</f>
        <v>4.5</v>
      </c>
      <c r="F1136" s="69" t="n">
        <f aca="false">IFERROR($C1136*$E1136,"")</f>
        <v>4.5</v>
      </c>
    </row>
    <row r="1137" customFormat="false" ht="15" hidden="false" customHeight="true" outlineLevel="0" collapsed="false">
      <c r="A1137" s="66" t="s">
        <v>495</v>
      </c>
      <c r="B1137" s="66" t="s">
        <v>290</v>
      </c>
      <c r="C1137" s="66" t="n">
        <v>2</v>
      </c>
      <c r="D1137" s="67" t="str">
        <f aca="false">IFERROR(INDEX(المكونات!$B$2:$B$500,MATCH($B1137,المكونات!$A$2:$A$500,0)),"")</f>
        <v>قطعة</v>
      </c>
      <c r="E1137" s="68" t="n">
        <f aca="false">IFERROR(INDEX(المكونات!$C$2:$C$500,MATCH($B1137,المكونات!$A$2:$A$500,0)),"")</f>
        <v>0.3</v>
      </c>
      <c r="F1137" s="69" t="n">
        <f aca="false">IFERROR($C1137*$E1137,"")</f>
        <v>0.6</v>
      </c>
    </row>
    <row r="1138" customFormat="false" ht="15" hidden="false" customHeight="true" outlineLevel="0" collapsed="false">
      <c r="A1138" s="66" t="s">
        <v>495</v>
      </c>
      <c r="B1138" s="66" t="s">
        <v>319</v>
      </c>
      <c r="C1138" s="66" t="n">
        <v>1</v>
      </c>
      <c r="D1138" s="67" t="str">
        <f aca="false">IFERROR(INDEX(المكونات!$B$2:$B$500,MATCH($B1138,المكونات!$A$2:$A$500,0)),"")</f>
        <v>قطعة (ورقة)</v>
      </c>
      <c r="E1138" s="68" t="n">
        <f aca="false">IFERROR(INDEX(المكونات!$C$2:$C$500,MATCH($B1138,المكونات!$A$2:$A$500,0)),"")</f>
        <v>0.3665</v>
      </c>
      <c r="F1138" s="69" t="n">
        <f aca="false">IFERROR($C1138*$E1138,"")</f>
        <v>0.3665</v>
      </c>
    </row>
    <row r="1139" customFormat="false" ht="15" hidden="false" customHeight="true" outlineLevel="0" collapsed="false">
      <c r="A1139" s="66" t="s">
        <v>495</v>
      </c>
      <c r="B1139" s="66" t="s">
        <v>133</v>
      </c>
      <c r="C1139" s="66" t="n">
        <v>1</v>
      </c>
      <c r="D1139" s="67" t="str">
        <f aca="false">IFERROR(INDEX(المكونات!$B$2:$B$500,MATCH($B1139,المكونات!$A$2:$A$500,0)),"")</f>
        <v>قطعة (كيس)</v>
      </c>
      <c r="E1139" s="68" t="n">
        <f aca="false">IFERROR(INDEX(المكونات!$C$2:$C$500,MATCH($B1139,المكونات!$A$2:$A$500,0)),"")</f>
        <v>1.4</v>
      </c>
      <c r="F1139" s="69" t="n">
        <f aca="false">IFERROR($C1139*$E1139,"")</f>
        <v>1.4</v>
      </c>
    </row>
    <row r="1140" customFormat="false" ht="15" hidden="false" customHeight="true" outlineLevel="0" collapsed="false">
      <c r="A1140" s="66" t="s">
        <v>495</v>
      </c>
      <c r="B1140" s="66" t="s">
        <v>293</v>
      </c>
      <c r="C1140" s="66" t="n">
        <v>1</v>
      </c>
      <c r="D1140" s="67" t="str">
        <f aca="false">IFERROR(INDEX(المكونات!$B$2:$B$500,MATCH($B1140,المكونات!$A$2:$A$500,0)),"")</f>
        <v>قطعة</v>
      </c>
      <c r="E1140" s="68" t="n">
        <f aca="false">IFERROR(INDEX(المكونات!$C$2:$C$500,MATCH($B1140,المكونات!$A$2:$A$500,0)),"")</f>
        <v>0.5</v>
      </c>
      <c r="F1140" s="69" t="n">
        <f aca="false">IFERROR($C1140*$E1140,"")</f>
        <v>0.5</v>
      </c>
    </row>
    <row r="1141" customFormat="false" ht="15" hidden="false" customHeight="true" outlineLevel="0" collapsed="false">
      <c r="A1141" s="66" t="s">
        <v>495</v>
      </c>
      <c r="B1141" s="66" t="s">
        <v>211</v>
      </c>
      <c r="C1141" s="66" t="n">
        <v>2</v>
      </c>
      <c r="D1141" s="67" t="str">
        <f aca="false">IFERROR(INDEX(المكونات!$B$2:$B$500,MATCH($B1141,المكونات!$A$2:$A$500,0)),"")</f>
        <v>قطعة (جلفز)</v>
      </c>
      <c r="E1141" s="68" t="n">
        <f aca="false">IFERROR(INDEX(المكونات!$C$2:$C$500,MATCH($B1141,المكونات!$A$2:$A$500,0)),"")</f>
        <v>0.18</v>
      </c>
      <c r="F1141" s="69" t="n">
        <f aca="false">IFERROR($C1141*$E1141,"")</f>
        <v>0.36</v>
      </c>
    </row>
    <row r="1142" customFormat="false" ht="15" hidden="false" customHeight="true" outlineLevel="0" collapsed="false">
      <c r="A1142" s="66" t="s">
        <v>495</v>
      </c>
      <c r="B1142" s="66" t="s">
        <v>322</v>
      </c>
      <c r="C1142" s="66" t="n">
        <v>1</v>
      </c>
      <c r="D1142" s="67" t="str">
        <f aca="false">IFERROR(INDEX(المكونات!$B$2:$B$500,MATCH($B1142,المكونات!$A$2:$A$500,0)),"")</f>
        <v>قطعة (كيس)</v>
      </c>
      <c r="E1142" s="68" t="n">
        <f aca="false">IFERROR(INDEX(المكونات!$C$2:$C$500,MATCH($B1142,المكونات!$A$2:$A$500,0)),"")</f>
        <v>1</v>
      </c>
      <c r="F1142" s="69" t="n">
        <f aca="false">IFERROR($C1142*$E1142,"")</f>
        <v>1</v>
      </c>
    </row>
    <row r="1143" customFormat="false" ht="15" hidden="false" customHeight="true" outlineLevel="0" collapsed="false">
      <c r="A1143" s="66" t="s">
        <v>495</v>
      </c>
      <c r="B1143" s="66" t="s">
        <v>280</v>
      </c>
      <c r="C1143" s="66" t="n">
        <v>1</v>
      </c>
      <c r="D1143" s="67" t="str">
        <f aca="false">IFERROR(INDEX(المكونات!$B$2:$B$500,MATCH($B1143,المكونات!$A$2:$A$500,0)),"")</f>
        <v>قطعة</v>
      </c>
      <c r="E1143" s="68" t="n">
        <f aca="false">IFERROR(INDEX(المكونات!$C$2:$C$500,MATCH($B1143,المكونات!$A$2:$A$500,0)),"")</f>
        <v>42.03</v>
      </c>
      <c r="F1143" s="69" t="n">
        <f aca="false">IFERROR($C1143*$E1143,"")</f>
        <v>42.03</v>
      </c>
    </row>
    <row r="1144" customFormat="false" ht="15" hidden="false" customHeight="true" outlineLevel="0" collapsed="false">
      <c r="A1144" s="66" t="s">
        <v>514</v>
      </c>
      <c r="B1144" s="66" t="s">
        <v>262</v>
      </c>
      <c r="C1144" s="66" t="n">
        <v>0.3</v>
      </c>
      <c r="D1144" s="67" t="str">
        <f aca="false">IFERROR(INDEX(المكونات!$B$2:$B$500,MATCH($B1144,المكونات!$A$2:$A$500,0)),"")</f>
        <v>كجم</v>
      </c>
      <c r="E1144" s="68" t="n">
        <f aca="false">IFERROR(INDEX(المكونات!$C$2:$C$500,MATCH($B1144,المكونات!$A$2:$A$500,0)),"")</f>
        <v>22</v>
      </c>
      <c r="F1144" s="69" t="n">
        <f aca="false">IFERROR($C1144*$E1144,"")</f>
        <v>6.6</v>
      </c>
    </row>
    <row r="1145" customFormat="false" ht="15" hidden="false" customHeight="true" outlineLevel="0" collapsed="false">
      <c r="A1145" s="66" t="s">
        <v>514</v>
      </c>
      <c r="B1145" s="66" t="s">
        <v>250</v>
      </c>
      <c r="C1145" s="66" t="n">
        <v>0.06</v>
      </c>
      <c r="D1145" s="67" t="str">
        <f aca="false">IFERROR(INDEX(المكونات!$B$2:$B$500,MATCH($B1145,المكونات!$A$2:$A$500,0)),"")</f>
        <v>كجم</v>
      </c>
      <c r="E1145" s="68" t="n">
        <f aca="false">IFERROR(INDEX(المكونات!$C$2:$C$500,MATCH($B1145,المكونات!$A$2:$A$500,0)),"")</f>
        <v>32</v>
      </c>
      <c r="F1145" s="69" t="n">
        <f aca="false">IFERROR($C1145*$E1145,"")</f>
        <v>1.92</v>
      </c>
    </row>
    <row r="1146" customFormat="false" ht="15" hidden="false" customHeight="true" outlineLevel="0" collapsed="false">
      <c r="A1146" s="66" t="s">
        <v>514</v>
      </c>
      <c r="B1146" s="66" t="s">
        <v>260</v>
      </c>
      <c r="C1146" s="66" t="n">
        <v>0.045</v>
      </c>
      <c r="D1146" s="67" t="str">
        <f aca="false">IFERROR(INDEX(المكونات!$B$2:$B$500,MATCH($B1146,المكونات!$A$2:$A$500,0)),"")</f>
        <v>كجم</v>
      </c>
      <c r="E1146" s="68" t="n">
        <f aca="false">IFERROR(INDEX(المكونات!$C$2:$C$500,MATCH($B1146,المكونات!$A$2:$A$500,0)),"")</f>
        <v>21</v>
      </c>
      <c r="F1146" s="69" t="n">
        <f aca="false">IFERROR($C1146*$E1146,"")</f>
        <v>0.945</v>
      </c>
    </row>
    <row r="1147" customFormat="false" ht="15" hidden="false" customHeight="true" outlineLevel="0" collapsed="false">
      <c r="A1147" s="66" t="s">
        <v>514</v>
      </c>
      <c r="B1147" s="66" t="s">
        <v>284</v>
      </c>
      <c r="C1147" s="66" t="n">
        <v>0.03</v>
      </c>
      <c r="D1147" s="67" t="str">
        <f aca="false">IFERROR(INDEX(المكونات!$B$2:$B$500,MATCH($B1147,المكونات!$A$2:$A$500,0)),"")</f>
        <v>كجم</v>
      </c>
      <c r="E1147" s="68" t="n">
        <f aca="false">IFERROR(INDEX(المكونات!$C$2:$C$500,MATCH($B1147,المكونات!$A$2:$A$500,0)),"")</f>
        <v>27</v>
      </c>
      <c r="F1147" s="69" t="n">
        <f aca="false">IFERROR($C1147*$E1147,"")</f>
        <v>0.81</v>
      </c>
    </row>
    <row r="1148" customFormat="false" ht="15" hidden="false" customHeight="true" outlineLevel="0" collapsed="false">
      <c r="A1148" s="66" t="s">
        <v>514</v>
      </c>
      <c r="B1148" s="66" t="s">
        <v>227</v>
      </c>
      <c r="C1148" s="66" t="n">
        <v>0.03</v>
      </c>
      <c r="D1148" s="67" t="str">
        <f aca="false">IFERROR(INDEX(المكونات!$B$2:$B$500,MATCH($B1148,المكونات!$A$2:$A$500,0)),"")</f>
        <v>كجم</v>
      </c>
      <c r="E1148" s="68" t="n">
        <f aca="false">IFERROR(INDEX(المكونات!$C$2:$C$500,MATCH($B1148,المكونات!$A$2:$A$500,0)),"")</f>
        <v>95</v>
      </c>
      <c r="F1148" s="69" t="n">
        <f aca="false">IFERROR($C1148*$E1148,"")</f>
        <v>2.85</v>
      </c>
    </row>
    <row r="1149" customFormat="false" ht="15" hidden="false" customHeight="true" outlineLevel="0" collapsed="false">
      <c r="A1149" s="66" t="s">
        <v>514</v>
      </c>
      <c r="B1149" s="66" t="s">
        <v>178</v>
      </c>
      <c r="C1149" s="66" t="n">
        <v>1</v>
      </c>
      <c r="D1149" s="67" t="str">
        <f aca="false">IFERROR(INDEX(المكونات!$B$2:$B$500,MATCH($B1149,المكونات!$A$2:$A$500,0)),"")</f>
        <v>قطعة</v>
      </c>
      <c r="E1149" s="68" t="n">
        <f aca="false">IFERROR(INDEX(المكونات!$C$2:$C$500,MATCH($B1149,المكونات!$A$2:$A$500,0)),"")</f>
        <v>25</v>
      </c>
      <c r="F1149" s="69" t="n">
        <f aca="false">IFERROR($C1149*$E1149,"")</f>
        <v>25</v>
      </c>
    </row>
    <row r="1150" customFormat="false" ht="15" hidden="false" customHeight="true" outlineLevel="0" collapsed="false">
      <c r="A1150" s="66" t="s">
        <v>514</v>
      </c>
      <c r="B1150" s="66" t="s">
        <v>268</v>
      </c>
      <c r="C1150" s="66" t="n">
        <v>1</v>
      </c>
      <c r="D1150" s="67" t="str">
        <f aca="false">IFERROR(INDEX(المكونات!$B$2:$B$500,MATCH($B1150,المكونات!$A$2:$A$500,0)),"")</f>
        <v>قطعة</v>
      </c>
      <c r="E1150" s="68" t="n">
        <f aca="false">IFERROR(INDEX(المكونات!$C$2:$C$500,MATCH($B1150,المكونات!$A$2:$A$500,0)),"")</f>
        <v>5.5</v>
      </c>
      <c r="F1150" s="69" t="n">
        <f aca="false">IFERROR($C1150*$E1150,"")</f>
        <v>5.5</v>
      </c>
    </row>
    <row r="1151" customFormat="false" ht="15" hidden="false" customHeight="true" outlineLevel="0" collapsed="false">
      <c r="A1151" s="66" t="s">
        <v>514</v>
      </c>
      <c r="B1151" s="66" t="s">
        <v>290</v>
      </c>
      <c r="C1151" s="66" t="n">
        <v>3</v>
      </c>
      <c r="D1151" s="67" t="str">
        <f aca="false">IFERROR(INDEX(المكونات!$B$2:$B$500,MATCH($B1151,المكونات!$A$2:$A$500,0)),"")</f>
        <v>قطعة</v>
      </c>
      <c r="E1151" s="68" t="n">
        <f aca="false">IFERROR(INDEX(المكونات!$C$2:$C$500,MATCH($B1151,المكونات!$A$2:$A$500,0)),"")</f>
        <v>0.3</v>
      </c>
      <c r="F1151" s="69" t="n">
        <f aca="false">IFERROR($C1151*$E1151,"")</f>
        <v>0.9</v>
      </c>
    </row>
    <row r="1152" customFormat="false" ht="15" hidden="false" customHeight="true" outlineLevel="0" collapsed="false">
      <c r="A1152" s="66" t="s">
        <v>514</v>
      </c>
      <c r="B1152" s="66" t="s">
        <v>319</v>
      </c>
      <c r="C1152" s="66" t="n">
        <v>1</v>
      </c>
      <c r="D1152" s="67" t="str">
        <f aca="false">IFERROR(INDEX(المكونات!$B$2:$B$500,MATCH($B1152,المكونات!$A$2:$A$500,0)),"")</f>
        <v>قطعة (ورقة)</v>
      </c>
      <c r="E1152" s="68" t="n">
        <f aca="false">IFERROR(INDEX(المكونات!$C$2:$C$500,MATCH($B1152,المكونات!$A$2:$A$500,0)),"")</f>
        <v>0.3665</v>
      </c>
      <c r="F1152" s="69" t="n">
        <f aca="false">IFERROR($C1152*$E1152,"")</f>
        <v>0.3665</v>
      </c>
    </row>
    <row r="1153" customFormat="false" ht="15" hidden="false" customHeight="true" outlineLevel="0" collapsed="false">
      <c r="A1153" s="66" t="s">
        <v>514</v>
      </c>
      <c r="B1153" s="66" t="s">
        <v>133</v>
      </c>
      <c r="C1153" s="66" t="n">
        <v>1</v>
      </c>
      <c r="D1153" s="67" t="str">
        <f aca="false">IFERROR(INDEX(المكونات!$B$2:$B$500,MATCH($B1153,المكونات!$A$2:$A$500,0)),"")</f>
        <v>قطعة (كيس)</v>
      </c>
      <c r="E1153" s="68" t="n">
        <f aca="false">IFERROR(INDEX(المكونات!$C$2:$C$500,MATCH($B1153,المكونات!$A$2:$A$500,0)),"")</f>
        <v>1.4</v>
      </c>
      <c r="F1153" s="69" t="n">
        <f aca="false">IFERROR($C1153*$E1153,"")</f>
        <v>1.4</v>
      </c>
    </row>
    <row r="1154" customFormat="false" ht="15" hidden="false" customHeight="true" outlineLevel="0" collapsed="false">
      <c r="A1154" s="66" t="s">
        <v>514</v>
      </c>
      <c r="B1154" s="66" t="s">
        <v>293</v>
      </c>
      <c r="C1154" s="66" t="n">
        <v>1</v>
      </c>
      <c r="D1154" s="67" t="str">
        <f aca="false">IFERROR(INDEX(المكونات!$B$2:$B$500,MATCH($B1154,المكونات!$A$2:$A$500,0)),"")</f>
        <v>قطعة</v>
      </c>
      <c r="E1154" s="68" t="n">
        <f aca="false">IFERROR(INDEX(المكونات!$C$2:$C$500,MATCH($B1154,المكونات!$A$2:$A$500,0)),"")</f>
        <v>0.5</v>
      </c>
      <c r="F1154" s="69" t="n">
        <f aca="false">IFERROR($C1154*$E1154,"")</f>
        <v>0.5</v>
      </c>
    </row>
    <row r="1155" customFormat="false" ht="15" hidden="false" customHeight="true" outlineLevel="0" collapsed="false">
      <c r="A1155" s="66" t="s">
        <v>514</v>
      </c>
      <c r="B1155" s="66" t="s">
        <v>211</v>
      </c>
      <c r="C1155" s="66" t="n">
        <v>2</v>
      </c>
      <c r="D1155" s="67" t="str">
        <f aca="false">IFERROR(INDEX(المكونات!$B$2:$B$500,MATCH($B1155,المكونات!$A$2:$A$500,0)),"")</f>
        <v>قطعة (جلفز)</v>
      </c>
      <c r="E1155" s="68" t="n">
        <f aca="false">IFERROR(INDEX(المكونات!$C$2:$C$500,MATCH($B1155,المكونات!$A$2:$A$500,0)),"")</f>
        <v>0.18</v>
      </c>
      <c r="F1155" s="69" t="n">
        <f aca="false">IFERROR($C1155*$E1155,"")</f>
        <v>0.36</v>
      </c>
    </row>
    <row r="1156" customFormat="false" ht="15" hidden="false" customHeight="true" outlineLevel="0" collapsed="false">
      <c r="A1156" s="66" t="s">
        <v>514</v>
      </c>
      <c r="B1156" s="66" t="s">
        <v>322</v>
      </c>
      <c r="C1156" s="66" t="n">
        <v>1</v>
      </c>
      <c r="D1156" s="67" t="str">
        <f aca="false">IFERROR(INDEX(المكونات!$B$2:$B$500,MATCH($B1156,المكونات!$A$2:$A$500,0)),"")</f>
        <v>قطعة (كيس)</v>
      </c>
      <c r="E1156" s="68" t="n">
        <f aca="false">IFERROR(INDEX(المكونات!$C$2:$C$500,MATCH($B1156,المكونات!$A$2:$A$500,0)),"")</f>
        <v>1</v>
      </c>
      <c r="F1156" s="69" t="n">
        <f aca="false">IFERROR($C1156*$E1156,"")</f>
        <v>1</v>
      </c>
    </row>
    <row r="1157" customFormat="false" ht="15" hidden="false" customHeight="true" outlineLevel="0" collapsed="false">
      <c r="A1157" s="66" t="s">
        <v>514</v>
      </c>
      <c r="B1157" s="66" t="s">
        <v>280</v>
      </c>
      <c r="C1157" s="66" t="n">
        <v>1.5</v>
      </c>
      <c r="D1157" s="67" t="str">
        <f aca="false">IFERROR(INDEX(المكونات!$B$2:$B$500,MATCH($B1157,المكونات!$A$2:$A$500,0)),"")</f>
        <v>قطعة</v>
      </c>
      <c r="E1157" s="68" t="n">
        <f aca="false">IFERROR(INDEX(المكونات!$C$2:$C$500,MATCH($B1157,المكونات!$A$2:$A$500,0)),"")</f>
        <v>42.03</v>
      </c>
      <c r="F1157" s="69" t="n">
        <f aca="false">IFERROR($C1157*$E1157,"")</f>
        <v>63.045</v>
      </c>
    </row>
    <row r="1158" customFormat="false" ht="15" hidden="false" customHeight="true" outlineLevel="0" collapsed="false">
      <c r="A1158" s="66" t="s">
        <v>509</v>
      </c>
      <c r="B1158" s="66" t="s">
        <v>264</v>
      </c>
      <c r="C1158" s="66" t="n">
        <v>1</v>
      </c>
      <c r="D1158" s="67" t="str">
        <f aca="false">IFERROR(INDEX(المكونات!$B$2:$B$500,MATCH($B1158,المكونات!$A$2:$A$500,0)),"")</f>
        <v>قطعة</v>
      </c>
      <c r="E1158" s="68" t="n">
        <f aca="false">IFERROR(INDEX(المكونات!$C$2:$C$500,MATCH($B1158,المكونات!$A$2:$A$500,0)),"")</f>
        <v>4</v>
      </c>
      <c r="F1158" s="69" t="n">
        <f aca="false">IFERROR($C1158*$E1158,"")</f>
        <v>4</v>
      </c>
    </row>
    <row r="1159" customFormat="false" ht="15" hidden="false" customHeight="true" outlineLevel="0" collapsed="false">
      <c r="A1159" s="66" t="s">
        <v>509</v>
      </c>
      <c r="B1159" s="66" t="s">
        <v>260</v>
      </c>
      <c r="C1159" s="66" t="n">
        <v>0.03</v>
      </c>
      <c r="D1159" s="67" t="str">
        <f aca="false">IFERROR(INDEX(المكونات!$B$2:$B$500,MATCH($B1159,المكونات!$A$2:$A$500,0)),"")</f>
        <v>كجم</v>
      </c>
      <c r="E1159" s="68" t="n">
        <f aca="false">IFERROR(INDEX(المكونات!$C$2:$C$500,MATCH($B1159,المكونات!$A$2:$A$500,0)),"")</f>
        <v>21</v>
      </c>
      <c r="F1159" s="69" t="n">
        <f aca="false">IFERROR($C1159*$E1159,"")</f>
        <v>0.63</v>
      </c>
    </row>
    <row r="1160" customFormat="false" ht="15" hidden="false" customHeight="true" outlineLevel="0" collapsed="false">
      <c r="A1160" s="66" t="s">
        <v>509</v>
      </c>
      <c r="B1160" s="66" t="s">
        <v>284</v>
      </c>
      <c r="C1160" s="66" t="n">
        <v>0.02</v>
      </c>
      <c r="D1160" s="67" t="str">
        <f aca="false">IFERROR(INDEX(المكونات!$B$2:$B$500,MATCH($B1160,المكونات!$A$2:$A$500,0)),"")</f>
        <v>كجم</v>
      </c>
      <c r="E1160" s="68" t="n">
        <f aca="false">IFERROR(INDEX(المكونات!$C$2:$C$500,MATCH($B1160,المكونات!$A$2:$A$500,0)),"")</f>
        <v>27</v>
      </c>
      <c r="F1160" s="69" t="n">
        <f aca="false">IFERROR($C1160*$E1160,"")</f>
        <v>0.54</v>
      </c>
    </row>
    <row r="1161" customFormat="false" ht="15" hidden="false" customHeight="true" outlineLevel="0" collapsed="false">
      <c r="A1161" s="66" t="s">
        <v>509</v>
      </c>
      <c r="B1161" s="66" t="s">
        <v>227</v>
      </c>
      <c r="C1161" s="66" t="n">
        <v>0.02</v>
      </c>
      <c r="D1161" s="67" t="str">
        <f aca="false">IFERROR(INDEX(المكونات!$B$2:$B$500,MATCH($B1161,المكونات!$A$2:$A$500,0)),"")</f>
        <v>كجم</v>
      </c>
      <c r="E1161" s="68" t="n">
        <f aca="false">IFERROR(INDEX(المكونات!$C$2:$C$500,MATCH($B1161,المكونات!$A$2:$A$500,0)),"")</f>
        <v>95</v>
      </c>
      <c r="F1161" s="69" t="n">
        <f aca="false">IFERROR($C1161*$E1161,"")</f>
        <v>1.9</v>
      </c>
    </row>
    <row r="1162" customFormat="false" ht="15" hidden="false" customHeight="true" outlineLevel="0" collapsed="false">
      <c r="A1162" s="66" t="s">
        <v>509</v>
      </c>
      <c r="B1162" s="66" t="s">
        <v>176</v>
      </c>
      <c r="C1162" s="66" t="n">
        <v>1</v>
      </c>
      <c r="D1162" s="67" t="str">
        <f aca="false">IFERROR(INDEX(المكونات!$B$2:$B$500,MATCH($B1162,المكونات!$A$2:$A$500,0)),"")</f>
        <v>قطعة</v>
      </c>
      <c r="E1162" s="68" t="n">
        <f aca="false">IFERROR(INDEX(المكونات!$C$2:$C$500,MATCH($B1162,المكونات!$A$2:$A$500,0)),"")</f>
        <v>17.5</v>
      </c>
      <c r="F1162" s="69" t="n">
        <f aca="false">IFERROR($C1162*$E1162,"")</f>
        <v>17.5</v>
      </c>
    </row>
    <row r="1163" customFormat="false" ht="15" hidden="false" customHeight="true" outlineLevel="0" collapsed="false">
      <c r="A1163" s="66" t="s">
        <v>509</v>
      </c>
      <c r="B1163" s="66" t="s">
        <v>270</v>
      </c>
      <c r="C1163" s="66" t="n">
        <v>1</v>
      </c>
      <c r="D1163" s="67" t="str">
        <f aca="false">IFERROR(INDEX(المكونات!$B$2:$B$500,MATCH($B1163,المكونات!$A$2:$A$500,0)),"")</f>
        <v>قطعة</v>
      </c>
      <c r="E1163" s="68" t="n">
        <f aca="false">IFERROR(INDEX(المكونات!$C$2:$C$500,MATCH($B1163,المكونات!$A$2:$A$500,0)),"")</f>
        <v>4.5</v>
      </c>
      <c r="F1163" s="69" t="n">
        <f aca="false">IFERROR($C1163*$E1163,"")</f>
        <v>4.5</v>
      </c>
    </row>
    <row r="1164" customFormat="false" ht="15" hidden="false" customHeight="true" outlineLevel="0" collapsed="false">
      <c r="A1164" s="66" t="s">
        <v>509</v>
      </c>
      <c r="B1164" s="66" t="s">
        <v>290</v>
      </c>
      <c r="C1164" s="66" t="n">
        <v>2</v>
      </c>
      <c r="D1164" s="67" t="str">
        <f aca="false">IFERROR(INDEX(المكونات!$B$2:$B$500,MATCH($B1164,المكونات!$A$2:$A$500,0)),"")</f>
        <v>قطعة</v>
      </c>
      <c r="E1164" s="68" t="n">
        <f aca="false">IFERROR(INDEX(المكونات!$C$2:$C$500,MATCH($B1164,المكونات!$A$2:$A$500,0)),"")</f>
        <v>0.3</v>
      </c>
      <c r="F1164" s="69" t="n">
        <f aca="false">IFERROR($C1164*$E1164,"")</f>
        <v>0.6</v>
      </c>
    </row>
    <row r="1165" customFormat="false" ht="15" hidden="false" customHeight="true" outlineLevel="0" collapsed="false">
      <c r="A1165" s="66" t="s">
        <v>509</v>
      </c>
      <c r="B1165" s="66" t="s">
        <v>319</v>
      </c>
      <c r="C1165" s="66" t="n">
        <v>1</v>
      </c>
      <c r="D1165" s="67" t="str">
        <f aca="false">IFERROR(INDEX(المكونات!$B$2:$B$500,MATCH($B1165,المكونات!$A$2:$A$500,0)),"")</f>
        <v>قطعة (ورقة)</v>
      </c>
      <c r="E1165" s="68" t="n">
        <f aca="false">IFERROR(INDEX(المكونات!$C$2:$C$500,MATCH($B1165,المكونات!$A$2:$A$500,0)),"")</f>
        <v>0.3665</v>
      </c>
      <c r="F1165" s="69" t="n">
        <f aca="false">IFERROR($C1165*$E1165,"")</f>
        <v>0.3665</v>
      </c>
    </row>
    <row r="1166" customFormat="false" ht="15" hidden="false" customHeight="true" outlineLevel="0" collapsed="false">
      <c r="A1166" s="66" t="s">
        <v>509</v>
      </c>
      <c r="B1166" s="66" t="s">
        <v>133</v>
      </c>
      <c r="C1166" s="66" t="n">
        <v>1</v>
      </c>
      <c r="D1166" s="67" t="str">
        <f aca="false">IFERROR(INDEX(المكونات!$B$2:$B$500,MATCH($B1166,المكونات!$A$2:$A$500,0)),"")</f>
        <v>قطعة (كيس)</v>
      </c>
      <c r="E1166" s="68" t="n">
        <f aca="false">IFERROR(INDEX(المكونات!$C$2:$C$500,MATCH($B1166,المكونات!$A$2:$A$500,0)),"")</f>
        <v>1.4</v>
      </c>
      <c r="F1166" s="69" t="n">
        <f aca="false">IFERROR($C1166*$E1166,"")</f>
        <v>1.4</v>
      </c>
    </row>
    <row r="1167" customFormat="false" ht="15" hidden="false" customHeight="true" outlineLevel="0" collapsed="false">
      <c r="A1167" s="66" t="s">
        <v>509</v>
      </c>
      <c r="B1167" s="66" t="s">
        <v>293</v>
      </c>
      <c r="C1167" s="66" t="n">
        <v>1</v>
      </c>
      <c r="D1167" s="67" t="str">
        <f aca="false">IFERROR(INDEX(المكونات!$B$2:$B$500,MATCH($B1167,المكونات!$A$2:$A$500,0)),"")</f>
        <v>قطعة</v>
      </c>
      <c r="E1167" s="68" t="n">
        <f aca="false">IFERROR(INDEX(المكونات!$C$2:$C$500,MATCH($B1167,المكونات!$A$2:$A$500,0)),"")</f>
        <v>0.5</v>
      </c>
      <c r="F1167" s="69" t="n">
        <f aca="false">IFERROR($C1167*$E1167,"")</f>
        <v>0.5</v>
      </c>
    </row>
    <row r="1168" customFormat="false" ht="15" hidden="false" customHeight="true" outlineLevel="0" collapsed="false">
      <c r="A1168" s="66" t="s">
        <v>509</v>
      </c>
      <c r="B1168" s="66" t="s">
        <v>211</v>
      </c>
      <c r="C1168" s="66" t="n">
        <v>2</v>
      </c>
      <c r="D1168" s="67" t="str">
        <f aca="false">IFERROR(INDEX(المكونات!$B$2:$B$500,MATCH($B1168,المكونات!$A$2:$A$500,0)),"")</f>
        <v>قطعة (جلفز)</v>
      </c>
      <c r="E1168" s="68" t="n">
        <f aca="false">IFERROR(INDEX(المكونات!$C$2:$C$500,MATCH($B1168,المكونات!$A$2:$A$500,0)),"")</f>
        <v>0.18</v>
      </c>
      <c r="F1168" s="69" t="n">
        <f aca="false">IFERROR($C1168*$E1168,"")</f>
        <v>0.36</v>
      </c>
    </row>
    <row r="1169" customFormat="false" ht="15" hidden="false" customHeight="true" outlineLevel="0" collapsed="false">
      <c r="A1169" s="66" t="s">
        <v>509</v>
      </c>
      <c r="B1169" s="66" t="s">
        <v>322</v>
      </c>
      <c r="C1169" s="66" t="n">
        <v>1</v>
      </c>
      <c r="D1169" s="67" t="str">
        <f aca="false">IFERROR(INDEX(المكونات!$B$2:$B$500,MATCH($B1169,المكونات!$A$2:$A$500,0)),"")</f>
        <v>قطعة (كيس)</v>
      </c>
      <c r="E1169" s="68" t="n">
        <f aca="false">IFERROR(INDEX(المكونات!$C$2:$C$500,MATCH($B1169,المكونات!$A$2:$A$500,0)),"")</f>
        <v>1</v>
      </c>
      <c r="F1169" s="69" t="n">
        <f aca="false">IFERROR($C1169*$E1169,"")</f>
        <v>1</v>
      </c>
    </row>
    <row r="1170" customFormat="false" ht="15" hidden="false" customHeight="true" outlineLevel="0" collapsed="false">
      <c r="A1170" s="66" t="s">
        <v>478</v>
      </c>
      <c r="B1170" s="66" t="s">
        <v>264</v>
      </c>
      <c r="C1170" s="66" t="n">
        <v>1.5</v>
      </c>
      <c r="D1170" s="67" t="str">
        <f aca="false">IFERROR(INDEX(المكونات!$B$2:$B$500,MATCH($B1170,المكونات!$A$2:$A$500,0)),"")</f>
        <v>قطعة</v>
      </c>
      <c r="E1170" s="68" t="n">
        <f aca="false">IFERROR(INDEX(المكونات!$C$2:$C$500,MATCH($B1170,المكونات!$A$2:$A$500,0)),"")</f>
        <v>4</v>
      </c>
      <c r="F1170" s="69" t="n">
        <f aca="false">IFERROR($C1170*$E1170,"")</f>
        <v>6</v>
      </c>
    </row>
    <row r="1171" customFormat="false" ht="15" hidden="false" customHeight="true" outlineLevel="0" collapsed="false">
      <c r="A1171" s="66" t="s">
        <v>478</v>
      </c>
      <c r="B1171" s="66" t="s">
        <v>260</v>
      </c>
      <c r="C1171" s="66" t="n">
        <v>0.045</v>
      </c>
      <c r="D1171" s="67" t="str">
        <f aca="false">IFERROR(INDEX(المكونات!$B$2:$B$500,MATCH($B1171,المكونات!$A$2:$A$500,0)),"")</f>
        <v>كجم</v>
      </c>
      <c r="E1171" s="68" t="n">
        <f aca="false">IFERROR(INDEX(المكونات!$C$2:$C$500,MATCH($B1171,المكونات!$A$2:$A$500,0)),"")</f>
        <v>21</v>
      </c>
      <c r="F1171" s="69" t="n">
        <f aca="false">IFERROR($C1171*$E1171,"")</f>
        <v>0.945</v>
      </c>
    </row>
    <row r="1172" customFormat="false" ht="15" hidden="false" customHeight="true" outlineLevel="0" collapsed="false">
      <c r="A1172" s="66" t="s">
        <v>478</v>
      </c>
      <c r="B1172" s="66" t="s">
        <v>284</v>
      </c>
      <c r="C1172" s="66" t="n">
        <v>0.03</v>
      </c>
      <c r="D1172" s="67" t="str">
        <f aca="false">IFERROR(INDEX(المكونات!$B$2:$B$500,MATCH($B1172,المكونات!$A$2:$A$500,0)),"")</f>
        <v>كجم</v>
      </c>
      <c r="E1172" s="68" t="n">
        <f aca="false">IFERROR(INDEX(المكونات!$C$2:$C$500,MATCH($B1172,المكونات!$A$2:$A$500,0)),"")</f>
        <v>27</v>
      </c>
      <c r="F1172" s="69" t="n">
        <f aca="false">IFERROR($C1172*$E1172,"")</f>
        <v>0.81</v>
      </c>
    </row>
    <row r="1173" customFormat="false" ht="15" hidden="false" customHeight="true" outlineLevel="0" collapsed="false">
      <c r="A1173" s="66" t="s">
        <v>478</v>
      </c>
      <c r="B1173" s="66" t="s">
        <v>227</v>
      </c>
      <c r="C1173" s="66" t="n">
        <v>0.03</v>
      </c>
      <c r="D1173" s="67" t="str">
        <f aca="false">IFERROR(INDEX(المكونات!$B$2:$B$500,MATCH($B1173,المكونات!$A$2:$A$500,0)),"")</f>
        <v>كجم</v>
      </c>
      <c r="E1173" s="68" t="n">
        <f aca="false">IFERROR(INDEX(المكونات!$C$2:$C$500,MATCH($B1173,المكونات!$A$2:$A$500,0)),"")</f>
        <v>95</v>
      </c>
      <c r="F1173" s="69" t="n">
        <f aca="false">IFERROR($C1173*$E1173,"")</f>
        <v>2.85</v>
      </c>
    </row>
    <row r="1174" customFormat="false" ht="15" hidden="false" customHeight="true" outlineLevel="0" collapsed="false">
      <c r="A1174" s="66" t="s">
        <v>478</v>
      </c>
      <c r="B1174" s="66" t="s">
        <v>178</v>
      </c>
      <c r="C1174" s="66" t="n">
        <v>1</v>
      </c>
      <c r="D1174" s="67" t="str">
        <f aca="false">IFERROR(INDEX(المكونات!$B$2:$B$500,MATCH($B1174,المكونات!$A$2:$A$500,0)),"")</f>
        <v>قطعة</v>
      </c>
      <c r="E1174" s="68" t="n">
        <f aca="false">IFERROR(INDEX(المكونات!$C$2:$C$500,MATCH($B1174,المكونات!$A$2:$A$500,0)),"")</f>
        <v>25</v>
      </c>
      <c r="F1174" s="69" t="n">
        <f aca="false">IFERROR($C1174*$E1174,"")</f>
        <v>25</v>
      </c>
    </row>
    <row r="1175" customFormat="false" ht="15" hidden="false" customHeight="true" outlineLevel="0" collapsed="false">
      <c r="A1175" s="66" t="s">
        <v>478</v>
      </c>
      <c r="B1175" s="66" t="s">
        <v>268</v>
      </c>
      <c r="C1175" s="66" t="n">
        <v>1</v>
      </c>
      <c r="D1175" s="67" t="str">
        <f aca="false">IFERROR(INDEX(المكونات!$B$2:$B$500,MATCH($B1175,المكونات!$A$2:$A$500,0)),"")</f>
        <v>قطعة</v>
      </c>
      <c r="E1175" s="68" t="n">
        <f aca="false">IFERROR(INDEX(المكونات!$C$2:$C$500,MATCH($B1175,المكونات!$A$2:$A$500,0)),"")</f>
        <v>5.5</v>
      </c>
      <c r="F1175" s="69" t="n">
        <f aca="false">IFERROR($C1175*$E1175,"")</f>
        <v>5.5</v>
      </c>
    </row>
    <row r="1176" customFormat="false" ht="15" hidden="false" customHeight="true" outlineLevel="0" collapsed="false">
      <c r="A1176" s="66" t="s">
        <v>478</v>
      </c>
      <c r="B1176" s="66" t="s">
        <v>290</v>
      </c>
      <c r="C1176" s="66" t="n">
        <v>3</v>
      </c>
      <c r="D1176" s="67" t="str">
        <f aca="false">IFERROR(INDEX(المكونات!$B$2:$B$500,MATCH($B1176,المكونات!$A$2:$A$500,0)),"")</f>
        <v>قطعة</v>
      </c>
      <c r="E1176" s="68" t="n">
        <f aca="false">IFERROR(INDEX(المكونات!$C$2:$C$500,MATCH($B1176,المكونات!$A$2:$A$500,0)),"")</f>
        <v>0.3</v>
      </c>
      <c r="F1176" s="69" t="n">
        <f aca="false">IFERROR($C1176*$E1176,"")</f>
        <v>0.9</v>
      </c>
    </row>
    <row r="1177" customFormat="false" ht="15" hidden="false" customHeight="true" outlineLevel="0" collapsed="false">
      <c r="A1177" s="66" t="s">
        <v>478</v>
      </c>
      <c r="B1177" s="66" t="s">
        <v>319</v>
      </c>
      <c r="C1177" s="66" t="n">
        <v>1</v>
      </c>
      <c r="D1177" s="67" t="str">
        <f aca="false">IFERROR(INDEX(المكونات!$B$2:$B$500,MATCH($B1177,المكونات!$A$2:$A$500,0)),"")</f>
        <v>قطعة (ورقة)</v>
      </c>
      <c r="E1177" s="68" t="n">
        <f aca="false">IFERROR(INDEX(المكونات!$C$2:$C$500,MATCH($B1177,المكونات!$A$2:$A$500,0)),"")</f>
        <v>0.3665</v>
      </c>
      <c r="F1177" s="69" t="n">
        <f aca="false">IFERROR($C1177*$E1177,"")</f>
        <v>0.3665</v>
      </c>
    </row>
    <row r="1178" customFormat="false" ht="15" hidden="false" customHeight="true" outlineLevel="0" collapsed="false">
      <c r="A1178" s="66" t="s">
        <v>478</v>
      </c>
      <c r="B1178" s="66" t="s">
        <v>133</v>
      </c>
      <c r="C1178" s="66" t="n">
        <v>1</v>
      </c>
      <c r="D1178" s="67" t="str">
        <f aca="false">IFERROR(INDEX(المكونات!$B$2:$B$500,MATCH($B1178,المكونات!$A$2:$A$500,0)),"")</f>
        <v>قطعة (كيس)</v>
      </c>
      <c r="E1178" s="68" t="n">
        <f aca="false">IFERROR(INDEX(المكونات!$C$2:$C$500,MATCH($B1178,المكونات!$A$2:$A$500,0)),"")</f>
        <v>1.4</v>
      </c>
      <c r="F1178" s="69" t="n">
        <f aca="false">IFERROR($C1178*$E1178,"")</f>
        <v>1.4</v>
      </c>
    </row>
    <row r="1179" customFormat="false" ht="15" hidden="false" customHeight="true" outlineLevel="0" collapsed="false">
      <c r="A1179" s="66" t="s">
        <v>478</v>
      </c>
      <c r="B1179" s="66" t="s">
        <v>293</v>
      </c>
      <c r="C1179" s="66" t="n">
        <v>1</v>
      </c>
      <c r="D1179" s="67" t="str">
        <f aca="false">IFERROR(INDEX(المكونات!$B$2:$B$500,MATCH($B1179,المكونات!$A$2:$A$500,0)),"")</f>
        <v>قطعة</v>
      </c>
      <c r="E1179" s="68" t="n">
        <f aca="false">IFERROR(INDEX(المكونات!$C$2:$C$500,MATCH($B1179,المكونات!$A$2:$A$500,0)),"")</f>
        <v>0.5</v>
      </c>
      <c r="F1179" s="69" t="n">
        <f aca="false">IFERROR($C1179*$E1179,"")</f>
        <v>0.5</v>
      </c>
    </row>
    <row r="1180" customFormat="false" ht="15" hidden="false" customHeight="true" outlineLevel="0" collapsed="false">
      <c r="A1180" s="66" t="s">
        <v>478</v>
      </c>
      <c r="B1180" s="66" t="s">
        <v>211</v>
      </c>
      <c r="C1180" s="66" t="n">
        <v>2</v>
      </c>
      <c r="D1180" s="67" t="str">
        <f aca="false">IFERROR(INDEX(المكونات!$B$2:$B$500,MATCH($B1180,المكونات!$A$2:$A$500,0)),"")</f>
        <v>قطعة (جلفز)</v>
      </c>
      <c r="E1180" s="68" t="n">
        <f aca="false">IFERROR(INDEX(المكونات!$C$2:$C$500,MATCH($B1180,المكونات!$A$2:$A$500,0)),"")</f>
        <v>0.18</v>
      </c>
      <c r="F1180" s="69" t="n">
        <f aca="false">IFERROR($C1180*$E1180,"")</f>
        <v>0.36</v>
      </c>
    </row>
    <row r="1181" customFormat="false" ht="15" hidden="false" customHeight="true" outlineLevel="0" collapsed="false">
      <c r="A1181" s="66" t="s">
        <v>478</v>
      </c>
      <c r="B1181" s="66" t="s">
        <v>322</v>
      </c>
      <c r="C1181" s="66" t="n">
        <v>1</v>
      </c>
      <c r="D1181" s="67" t="str">
        <f aca="false">IFERROR(INDEX(المكونات!$B$2:$B$500,MATCH($B1181,المكونات!$A$2:$A$500,0)),"")</f>
        <v>قطعة (كيس)</v>
      </c>
      <c r="E1181" s="68" t="n">
        <f aca="false">IFERROR(INDEX(المكونات!$C$2:$C$500,MATCH($B1181,المكونات!$A$2:$A$500,0)),"")</f>
        <v>1</v>
      </c>
      <c r="F1181" s="69" t="n">
        <f aca="false">IFERROR($C1181*$E1181,"")</f>
        <v>1</v>
      </c>
    </row>
    <row r="1182" customFormat="false" ht="15" hidden="false" customHeight="true" outlineLevel="0" collapsed="false">
      <c r="A1182" s="66" t="s">
        <v>389</v>
      </c>
      <c r="B1182" s="66" t="s">
        <v>264</v>
      </c>
      <c r="C1182" s="66" t="n">
        <v>1</v>
      </c>
      <c r="D1182" s="67" t="str">
        <f aca="false">IFERROR(INDEX(المكونات!$B$2:$B$500,MATCH($B1182,المكونات!$A$2:$A$500,0)),"")</f>
        <v>قطعة</v>
      </c>
      <c r="E1182" s="68" t="n">
        <f aca="false">IFERROR(INDEX(المكونات!$C$2:$C$500,MATCH($B1182,المكونات!$A$2:$A$500,0)),"")</f>
        <v>4</v>
      </c>
      <c r="F1182" s="69" t="n">
        <f aca="false">IFERROR($C1182*$E1182,"")</f>
        <v>4</v>
      </c>
    </row>
    <row r="1183" customFormat="false" ht="15" hidden="false" customHeight="true" outlineLevel="0" collapsed="false">
      <c r="A1183" s="66" t="s">
        <v>389</v>
      </c>
      <c r="B1183" s="66" t="s">
        <v>260</v>
      </c>
      <c r="C1183" s="66" t="n">
        <v>0.03</v>
      </c>
      <c r="D1183" s="67" t="str">
        <f aca="false">IFERROR(INDEX(المكونات!$B$2:$B$500,MATCH($B1183,المكونات!$A$2:$A$500,0)),"")</f>
        <v>كجم</v>
      </c>
      <c r="E1183" s="68" t="n">
        <f aca="false">IFERROR(INDEX(المكونات!$C$2:$C$500,MATCH($B1183,المكونات!$A$2:$A$500,0)),"")</f>
        <v>21</v>
      </c>
      <c r="F1183" s="69" t="n">
        <f aca="false">IFERROR($C1183*$E1183,"")</f>
        <v>0.63</v>
      </c>
    </row>
    <row r="1184" customFormat="false" ht="15" hidden="false" customHeight="true" outlineLevel="0" collapsed="false">
      <c r="A1184" s="66" t="s">
        <v>389</v>
      </c>
      <c r="B1184" s="66" t="s">
        <v>284</v>
      </c>
      <c r="C1184" s="66" t="n">
        <v>0.02</v>
      </c>
      <c r="D1184" s="67" t="str">
        <f aca="false">IFERROR(INDEX(المكونات!$B$2:$B$500,MATCH($B1184,المكونات!$A$2:$A$500,0)),"")</f>
        <v>كجم</v>
      </c>
      <c r="E1184" s="68" t="n">
        <f aca="false">IFERROR(INDEX(المكونات!$C$2:$C$500,MATCH($B1184,المكونات!$A$2:$A$500,0)),"")</f>
        <v>27</v>
      </c>
      <c r="F1184" s="69" t="n">
        <f aca="false">IFERROR($C1184*$E1184,"")</f>
        <v>0.54</v>
      </c>
    </row>
    <row r="1185" customFormat="false" ht="15" hidden="false" customHeight="true" outlineLevel="0" collapsed="false">
      <c r="A1185" s="66" t="s">
        <v>389</v>
      </c>
      <c r="B1185" s="66" t="s">
        <v>227</v>
      </c>
      <c r="C1185" s="66" t="n">
        <v>0.02</v>
      </c>
      <c r="D1185" s="67" t="str">
        <f aca="false">IFERROR(INDEX(المكونات!$B$2:$B$500,MATCH($B1185,المكونات!$A$2:$A$500,0)),"")</f>
        <v>كجم</v>
      </c>
      <c r="E1185" s="68" t="n">
        <f aca="false">IFERROR(INDEX(المكونات!$C$2:$C$500,MATCH($B1185,المكونات!$A$2:$A$500,0)),"")</f>
        <v>95</v>
      </c>
      <c r="F1185" s="69" t="n">
        <f aca="false">IFERROR($C1185*$E1185,"")</f>
        <v>1.9</v>
      </c>
    </row>
    <row r="1186" customFormat="false" ht="15" hidden="false" customHeight="true" outlineLevel="0" collapsed="false">
      <c r="A1186" s="66" t="s">
        <v>389</v>
      </c>
      <c r="B1186" s="66" t="s">
        <v>176</v>
      </c>
      <c r="C1186" s="66" t="n">
        <v>1</v>
      </c>
      <c r="D1186" s="67" t="str">
        <f aca="false">IFERROR(INDEX(المكونات!$B$2:$B$500,MATCH($B1186,المكونات!$A$2:$A$500,0)),"")</f>
        <v>قطعة</v>
      </c>
      <c r="E1186" s="68" t="n">
        <f aca="false">IFERROR(INDEX(المكونات!$C$2:$C$500,MATCH($B1186,المكونات!$A$2:$A$500,0)),"")</f>
        <v>17.5</v>
      </c>
      <c r="F1186" s="69" t="n">
        <f aca="false">IFERROR($C1186*$E1186,"")</f>
        <v>17.5</v>
      </c>
    </row>
    <row r="1187" customFormat="false" ht="15" hidden="false" customHeight="true" outlineLevel="0" collapsed="false">
      <c r="A1187" s="66" t="s">
        <v>389</v>
      </c>
      <c r="B1187" s="66" t="s">
        <v>270</v>
      </c>
      <c r="C1187" s="66" t="n">
        <v>1</v>
      </c>
      <c r="D1187" s="67" t="str">
        <f aca="false">IFERROR(INDEX(المكونات!$B$2:$B$500,MATCH($B1187,المكونات!$A$2:$A$500,0)),"")</f>
        <v>قطعة</v>
      </c>
      <c r="E1187" s="68" t="n">
        <f aca="false">IFERROR(INDEX(المكونات!$C$2:$C$500,MATCH($B1187,المكونات!$A$2:$A$500,0)),"")</f>
        <v>4.5</v>
      </c>
      <c r="F1187" s="69" t="n">
        <f aca="false">IFERROR($C1187*$E1187,"")</f>
        <v>4.5</v>
      </c>
    </row>
    <row r="1188" customFormat="false" ht="15" hidden="false" customHeight="true" outlineLevel="0" collapsed="false">
      <c r="A1188" s="66" t="s">
        <v>389</v>
      </c>
      <c r="B1188" s="66" t="s">
        <v>290</v>
      </c>
      <c r="C1188" s="66" t="n">
        <v>2</v>
      </c>
      <c r="D1188" s="67" t="str">
        <f aca="false">IFERROR(INDEX(المكونات!$B$2:$B$500,MATCH($B1188,المكونات!$A$2:$A$500,0)),"")</f>
        <v>قطعة</v>
      </c>
      <c r="E1188" s="68" t="n">
        <f aca="false">IFERROR(INDEX(المكونات!$C$2:$C$500,MATCH($B1188,المكونات!$A$2:$A$500,0)),"")</f>
        <v>0.3</v>
      </c>
      <c r="F1188" s="69" t="n">
        <f aca="false">IFERROR($C1188*$E1188,"")</f>
        <v>0.6</v>
      </c>
    </row>
    <row r="1189" customFormat="false" ht="15" hidden="false" customHeight="true" outlineLevel="0" collapsed="false">
      <c r="A1189" s="66" t="s">
        <v>389</v>
      </c>
      <c r="B1189" s="66" t="s">
        <v>319</v>
      </c>
      <c r="C1189" s="66" t="n">
        <v>1</v>
      </c>
      <c r="D1189" s="67" t="str">
        <f aca="false">IFERROR(INDEX(المكونات!$B$2:$B$500,MATCH($B1189,المكونات!$A$2:$A$500,0)),"")</f>
        <v>قطعة (ورقة)</v>
      </c>
      <c r="E1189" s="68" t="n">
        <f aca="false">IFERROR(INDEX(المكونات!$C$2:$C$500,MATCH($B1189,المكونات!$A$2:$A$500,0)),"")</f>
        <v>0.3665</v>
      </c>
      <c r="F1189" s="69" t="n">
        <f aca="false">IFERROR($C1189*$E1189,"")</f>
        <v>0.3665</v>
      </c>
    </row>
    <row r="1190" customFormat="false" ht="15" hidden="false" customHeight="true" outlineLevel="0" collapsed="false">
      <c r="A1190" s="66" t="s">
        <v>389</v>
      </c>
      <c r="B1190" s="66" t="s">
        <v>133</v>
      </c>
      <c r="C1190" s="66" t="n">
        <v>1</v>
      </c>
      <c r="D1190" s="67" t="str">
        <f aca="false">IFERROR(INDEX(المكونات!$B$2:$B$500,MATCH($B1190,المكونات!$A$2:$A$500,0)),"")</f>
        <v>قطعة (كيس)</v>
      </c>
      <c r="E1190" s="68" t="n">
        <f aca="false">IFERROR(INDEX(المكونات!$C$2:$C$500,MATCH($B1190,المكونات!$A$2:$A$500,0)),"")</f>
        <v>1.4</v>
      </c>
      <c r="F1190" s="69" t="n">
        <f aca="false">IFERROR($C1190*$E1190,"")</f>
        <v>1.4</v>
      </c>
    </row>
    <row r="1191" customFormat="false" ht="15" hidden="false" customHeight="true" outlineLevel="0" collapsed="false">
      <c r="A1191" s="66" t="s">
        <v>389</v>
      </c>
      <c r="B1191" s="66" t="s">
        <v>293</v>
      </c>
      <c r="C1191" s="66" t="n">
        <v>1</v>
      </c>
      <c r="D1191" s="67" t="str">
        <f aca="false">IFERROR(INDEX(المكونات!$B$2:$B$500,MATCH($B1191,المكونات!$A$2:$A$500,0)),"")</f>
        <v>قطعة</v>
      </c>
      <c r="E1191" s="68" t="n">
        <f aca="false">IFERROR(INDEX(المكونات!$C$2:$C$500,MATCH($B1191,المكونات!$A$2:$A$500,0)),"")</f>
        <v>0.5</v>
      </c>
      <c r="F1191" s="69" t="n">
        <f aca="false">IFERROR($C1191*$E1191,"")</f>
        <v>0.5</v>
      </c>
    </row>
    <row r="1192" customFormat="false" ht="15" hidden="false" customHeight="true" outlineLevel="0" collapsed="false">
      <c r="A1192" s="66" t="s">
        <v>389</v>
      </c>
      <c r="B1192" s="66" t="s">
        <v>211</v>
      </c>
      <c r="C1192" s="66" t="n">
        <v>2</v>
      </c>
      <c r="D1192" s="67" t="str">
        <f aca="false">IFERROR(INDEX(المكونات!$B$2:$B$500,MATCH($B1192,المكونات!$A$2:$A$500,0)),"")</f>
        <v>قطعة (جلفز)</v>
      </c>
      <c r="E1192" s="68" t="n">
        <f aca="false">IFERROR(INDEX(المكونات!$C$2:$C$500,MATCH($B1192,المكونات!$A$2:$A$500,0)),"")</f>
        <v>0.18</v>
      </c>
      <c r="F1192" s="69" t="n">
        <f aca="false">IFERROR($C1192*$E1192,"")</f>
        <v>0.36</v>
      </c>
    </row>
    <row r="1193" customFormat="false" ht="15" hidden="false" customHeight="true" outlineLevel="0" collapsed="false">
      <c r="A1193" s="66" t="s">
        <v>389</v>
      </c>
      <c r="B1193" s="66" t="s">
        <v>322</v>
      </c>
      <c r="C1193" s="66" t="n">
        <v>1</v>
      </c>
      <c r="D1193" s="67" t="str">
        <f aca="false">IFERROR(INDEX(المكونات!$B$2:$B$500,MATCH($B1193,المكونات!$A$2:$A$500,0)),"")</f>
        <v>قطعة (كيس)</v>
      </c>
      <c r="E1193" s="68" t="n">
        <f aca="false">IFERROR(INDEX(المكونات!$C$2:$C$500,MATCH($B1193,المكونات!$A$2:$A$500,0)),"")</f>
        <v>1</v>
      </c>
      <c r="F1193" s="69" t="n">
        <f aca="false">IFERROR($C1193*$E1193,"")</f>
        <v>1</v>
      </c>
    </row>
    <row r="1194" customFormat="false" ht="15" hidden="false" customHeight="true" outlineLevel="0" collapsed="false">
      <c r="A1194" s="66" t="s">
        <v>389</v>
      </c>
      <c r="B1194" s="66" t="s">
        <v>307</v>
      </c>
      <c r="C1194" s="66" t="n">
        <v>0.1</v>
      </c>
      <c r="D1194" s="67" t="str">
        <f aca="false">IFERROR(INDEX(المكونات!$B$2:$B$500,MATCH($B1194,المكونات!$A$2:$A$500,0)),"")</f>
        <v>كجم</v>
      </c>
      <c r="E1194" s="68" t="n">
        <f aca="false">IFERROR(INDEX(المكونات!$C$2:$C$500,MATCH($B1194,المكونات!$A$2:$A$500,0)),"")</f>
        <v>151.2027</v>
      </c>
      <c r="F1194" s="69" t="n">
        <f aca="false">IFERROR($C1194*$E1194,"")</f>
        <v>15.12027</v>
      </c>
    </row>
    <row r="1195" customFormat="false" ht="15" hidden="false" customHeight="true" outlineLevel="0" collapsed="false">
      <c r="A1195" s="66" t="s">
        <v>387</v>
      </c>
      <c r="B1195" s="66" t="s">
        <v>264</v>
      </c>
      <c r="C1195" s="66" t="n">
        <v>1.5</v>
      </c>
      <c r="D1195" s="67" t="str">
        <f aca="false">IFERROR(INDEX(المكونات!$B$2:$B$500,MATCH($B1195,المكونات!$A$2:$A$500,0)),"")</f>
        <v>قطعة</v>
      </c>
      <c r="E1195" s="68" t="n">
        <f aca="false">IFERROR(INDEX(المكونات!$C$2:$C$500,MATCH($B1195,المكونات!$A$2:$A$500,0)),"")</f>
        <v>4</v>
      </c>
      <c r="F1195" s="69" t="n">
        <f aca="false">IFERROR($C1195*$E1195,"")</f>
        <v>6</v>
      </c>
    </row>
    <row r="1196" customFormat="false" ht="15" hidden="false" customHeight="true" outlineLevel="0" collapsed="false">
      <c r="A1196" s="66" t="s">
        <v>387</v>
      </c>
      <c r="B1196" s="66" t="s">
        <v>260</v>
      </c>
      <c r="C1196" s="66" t="n">
        <v>0.045</v>
      </c>
      <c r="D1196" s="67" t="str">
        <f aca="false">IFERROR(INDEX(المكونات!$B$2:$B$500,MATCH($B1196,المكونات!$A$2:$A$500,0)),"")</f>
        <v>كجم</v>
      </c>
      <c r="E1196" s="68" t="n">
        <f aca="false">IFERROR(INDEX(المكونات!$C$2:$C$500,MATCH($B1196,المكونات!$A$2:$A$500,0)),"")</f>
        <v>21</v>
      </c>
      <c r="F1196" s="69" t="n">
        <f aca="false">IFERROR($C1196*$E1196,"")</f>
        <v>0.945</v>
      </c>
    </row>
    <row r="1197" customFormat="false" ht="15" hidden="false" customHeight="true" outlineLevel="0" collapsed="false">
      <c r="A1197" s="66" t="s">
        <v>387</v>
      </c>
      <c r="B1197" s="66" t="s">
        <v>284</v>
      </c>
      <c r="C1197" s="66" t="n">
        <v>0.03</v>
      </c>
      <c r="D1197" s="67" t="str">
        <f aca="false">IFERROR(INDEX(المكونات!$B$2:$B$500,MATCH($B1197,المكونات!$A$2:$A$500,0)),"")</f>
        <v>كجم</v>
      </c>
      <c r="E1197" s="68" t="n">
        <f aca="false">IFERROR(INDEX(المكونات!$C$2:$C$500,MATCH($B1197,المكونات!$A$2:$A$500,0)),"")</f>
        <v>27</v>
      </c>
      <c r="F1197" s="69" t="n">
        <f aca="false">IFERROR($C1197*$E1197,"")</f>
        <v>0.81</v>
      </c>
    </row>
    <row r="1198" customFormat="false" ht="15" hidden="false" customHeight="true" outlineLevel="0" collapsed="false">
      <c r="A1198" s="66" t="s">
        <v>387</v>
      </c>
      <c r="B1198" s="66" t="s">
        <v>227</v>
      </c>
      <c r="C1198" s="66" t="n">
        <v>0.03</v>
      </c>
      <c r="D1198" s="67" t="str">
        <f aca="false">IFERROR(INDEX(المكونات!$B$2:$B$500,MATCH($B1198,المكونات!$A$2:$A$500,0)),"")</f>
        <v>كجم</v>
      </c>
      <c r="E1198" s="68" t="n">
        <f aca="false">IFERROR(INDEX(المكونات!$C$2:$C$500,MATCH($B1198,المكونات!$A$2:$A$500,0)),"")</f>
        <v>95</v>
      </c>
      <c r="F1198" s="69" t="n">
        <f aca="false">IFERROR($C1198*$E1198,"")</f>
        <v>2.85</v>
      </c>
    </row>
    <row r="1199" customFormat="false" ht="15" hidden="false" customHeight="true" outlineLevel="0" collapsed="false">
      <c r="A1199" s="66" t="s">
        <v>387</v>
      </c>
      <c r="B1199" s="66" t="s">
        <v>178</v>
      </c>
      <c r="C1199" s="66" t="n">
        <v>1</v>
      </c>
      <c r="D1199" s="67" t="str">
        <f aca="false">IFERROR(INDEX(المكونات!$B$2:$B$500,MATCH($B1199,المكونات!$A$2:$A$500,0)),"")</f>
        <v>قطعة</v>
      </c>
      <c r="E1199" s="68" t="n">
        <f aca="false">IFERROR(INDEX(المكونات!$C$2:$C$500,MATCH($B1199,المكونات!$A$2:$A$500,0)),"")</f>
        <v>25</v>
      </c>
      <c r="F1199" s="69" t="n">
        <f aca="false">IFERROR($C1199*$E1199,"")</f>
        <v>25</v>
      </c>
    </row>
    <row r="1200" customFormat="false" ht="15" hidden="false" customHeight="true" outlineLevel="0" collapsed="false">
      <c r="A1200" s="66" t="s">
        <v>387</v>
      </c>
      <c r="B1200" s="66" t="s">
        <v>268</v>
      </c>
      <c r="C1200" s="66" t="n">
        <v>1</v>
      </c>
      <c r="D1200" s="67" t="str">
        <f aca="false">IFERROR(INDEX(المكونات!$B$2:$B$500,MATCH($B1200,المكونات!$A$2:$A$500,0)),"")</f>
        <v>قطعة</v>
      </c>
      <c r="E1200" s="68" t="n">
        <f aca="false">IFERROR(INDEX(المكونات!$C$2:$C$500,MATCH($B1200,المكونات!$A$2:$A$500,0)),"")</f>
        <v>5.5</v>
      </c>
      <c r="F1200" s="69" t="n">
        <f aca="false">IFERROR($C1200*$E1200,"")</f>
        <v>5.5</v>
      </c>
    </row>
    <row r="1201" customFormat="false" ht="15" hidden="false" customHeight="true" outlineLevel="0" collapsed="false">
      <c r="A1201" s="66" t="s">
        <v>387</v>
      </c>
      <c r="B1201" s="66" t="s">
        <v>290</v>
      </c>
      <c r="C1201" s="66" t="n">
        <v>3</v>
      </c>
      <c r="D1201" s="67" t="str">
        <f aca="false">IFERROR(INDEX(المكونات!$B$2:$B$500,MATCH($B1201,المكونات!$A$2:$A$500,0)),"")</f>
        <v>قطعة</v>
      </c>
      <c r="E1201" s="68" t="n">
        <f aca="false">IFERROR(INDEX(المكونات!$C$2:$C$500,MATCH($B1201,المكونات!$A$2:$A$500,0)),"")</f>
        <v>0.3</v>
      </c>
      <c r="F1201" s="69" t="n">
        <f aca="false">IFERROR($C1201*$E1201,"")</f>
        <v>0.9</v>
      </c>
    </row>
    <row r="1202" customFormat="false" ht="15" hidden="false" customHeight="true" outlineLevel="0" collapsed="false">
      <c r="A1202" s="66" t="s">
        <v>387</v>
      </c>
      <c r="B1202" s="66" t="s">
        <v>319</v>
      </c>
      <c r="C1202" s="66" t="n">
        <v>1</v>
      </c>
      <c r="D1202" s="67" t="str">
        <f aca="false">IFERROR(INDEX(المكونات!$B$2:$B$500,MATCH($B1202,المكونات!$A$2:$A$500,0)),"")</f>
        <v>قطعة (ورقة)</v>
      </c>
      <c r="E1202" s="68" t="n">
        <f aca="false">IFERROR(INDEX(المكونات!$C$2:$C$500,MATCH($B1202,المكونات!$A$2:$A$500,0)),"")</f>
        <v>0.3665</v>
      </c>
      <c r="F1202" s="69" t="n">
        <f aca="false">IFERROR($C1202*$E1202,"")</f>
        <v>0.3665</v>
      </c>
    </row>
    <row r="1203" customFormat="false" ht="15" hidden="false" customHeight="true" outlineLevel="0" collapsed="false">
      <c r="A1203" s="66" t="s">
        <v>387</v>
      </c>
      <c r="B1203" s="66" t="s">
        <v>133</v>
      </c>
      <c r="C1203" s="66" t="n">
        <v>1</v>
      </c>
      <c r="D1203" s="67" t="str">
        <f aca="false">IFERROR(INDEX(المكونات!$B$2:$B$500,MATCH($B1203,المكونات!$A$2:$A$500,0)),"")</f>
        <v>قطعة (كيس)</v>
      </c>
      <c r="E1203" s="68" t="n">
        <f aca="false">IFERROR(INDEX(المكونات!$C$2:$C$500,MATCH($B1203,المكونات!$A$2:$A$500,0)),"")</f>
        <v>1.4</v>
      </c>
      <c r="F1203" s="69" t="n">
        <f aca="false">IFERROR($C1203*$E1203,"")</f>
        <v>1.4</v>
      </c>
    </row>
    <row r="1204" customFormat="false" ht="15" hidden="false" customHeight="true" outlineLevel="0" collapsed="false">
      <c r="A1204" s="66" t="s">
        <v>387</v>
      </c>
      <c r="B1204" s="66" t="s">
        <v>293</v>
      </c>
      <c r="C1204" s="66" t="n">
        <v>1</v>
      </c>
      <c r="D1204" s="67" t="str">
        <f aca="false">IFERROR(INDEX(المكونات!$B$2:$B$500,MATCH($B1204,المكونات!$A$2:$A$500,0)),"")</f>
        <v>قطعة</v>
      </c>
      <c r="E1204" s="68" t="n">
        <f aca="false">IFERROR(INDEX(المكونات!$C$2:$C$500,MATCH($B1204,المكونات!$A$2:$A$500,0)),"")</f>
        <v>0.5</v>
      </c>
      <c r="F1204" s="69" t="n">
        <f aca="false">IFERROR($C1204*$E1204,"")</f>
        <v>0.5</v>
      </c>
    </row>
    <row r="1205" customFormat="false" ht="15" hidden="false" customHeight="true" outlineLevel="0" collapsed="false">
      <c r="A1205" s="66" t="s">
        <v>387</v>
      </c>
      <c r="B1205" s="66" t="s">
        <v>211</v>
      </c>
      <c r="C1205" s="66" t="n">
        <v>2</v>
      </c>
      <c r="D1205" s="67" t="str">
        <f aca="false">IFERROR(INDEX(المكونات!$B$2:$B$500,MATCH($B1205,المكونات!$A$2:$A$500,0)),"")</f>
        <v>قطعة (جلفز)</v>
      </c>
      <c r="E1205" s="68" t="n">
        <f aca="false">IFERROR(INDEX(المكونات!$C$2:$C$500,MATCH($B1205,المكونات!$A$2:$A$500,0)),"")</f>
        <v>0.18</v>
      </c>
      <c r="F1205" s="69" t="n">
        <f aca="false">IFERROR($C1205*$E1205,"")</f>
        <v>0.36</v>
      </c>
    </row>
    <row r="1206" customFormat="false" ht="15" hidden="false" customHeight="true" outlineLevel="0" collapsed="false">
      <c r="A1206" s="66" t="s">
        <v>387</v>
      </c>
      <c r="B1206" s="66" t="s">
        <v>322</v>
      </c>
      <c r="C1206" s="66" t="n">
        <v>1</v>
      </c>
      <c r="D1206" s="67" t="str">
        <f aca="false">IFERROR(INDEX(المكونات!$B$2:$B$500,MATCH($B1206,المكونات!$A$2:$A$500,0)),"")</f>
        <v>قطعة (كيس)</v>
      </c>
      <c r="E1206" s="68" t="n">
        <f aca="false">IFERROR(INDEX(المكونات!$C$2:$C$500,MATCH($B1206,المكونات!$A$2:$A$500,0)),"")</f>
        <v>1</v>
      </c>
      <c r="F1206" s="69" t="n">
        <f aca="false">IFERROR($C1206*$E1206,"")</f>
        <v>1</v>
      </c>
    </row>
    <row r="1207" customFormat="false" ht="15" hidden="false" customHeight="true" outlineLevel="0" collapsed="false">
      <c r="A1207" s="66" t="s">
        <v>387</v>
      </c>
      <c r="B1207" s="66" t="s">
        <v>307</v>
      </c>
      <c r="C1207" s="66" t="n">
        <v>0.15</v>
      </c>
      <c r="D1207" s="67" t="str">
        <f aca="false">IFERROR(INDEX(المكونات!$B$2:$B$500,MATCH($B1207,المكونات!$A$2:$A$500,0)),"")</f>
        <v>كجم</v>
      </c>
      <c r="E1207" s="68" t="n">
        <f aca="false">IFERROR(INDEX(المكونات!$C$2:$C$500,MATCH($B1207,المكونات!$A$2:$A$500,0)),"")</f>
        <v>151.2027</v>
      </c>
      <c r="F1207" s="69" t="n">
        <f aca="false">IFERROR($C1207*$E1207,"")</f>
        <v>22.680405</v>
      </c>
    </row>
    <row r="1208" customFormat="false" ht="15" hidden="false" customHeight="true" outlineLevel="0" collapsed="false">
      <c r="A1208" s="66" t="s">
        <v>521</v>
      </c>
      <c r="B1208" s="66" t="s">
        <v>264</v>
      </c>
      <c r="C1208" s="66" t="n">
        <v>1</v>
      </c>
      <c r="D1208" s="67" t="str">
        <f aca="false">IFERROR(INDEX(المكونات!$B$2:$B$500,MATCH($B1208,المكونات!$A$2:$A$500,0)),"")</f>
        <v>قطعة</v>
      </c>
      <c r="E1208" s="68" t="n">
        <f aca="false">IFERROR(INDEX(المكونات!$C$2:$C$500,MATCH($B1208,المكونات!$A$2:$A$500,0)),"")</f>
        <v>4</v>
      </c>
      <c r="F1208" s="69" t="n">
        <f aca="false">IFERROR($C1208*$E1208,"")</f>
        <v>4</v>
      </c>
    </row>
    <row r="1209" customFormat="false" ht="15" hidden="false" customHeight="true" outlineLevel="0" collapsed="false">
      <c r="A1209" s="66" t="s">
        <v>521</v>
      </c>
      <c r="B1209" s="66" t="s">
        <v>260</v>
      </c>
      <c r="C1209" s="66" t="n">
        <v>0.03</v>
      </c>
      <c r="D1209" s="67" t="str">
        <f aca="false">IFERROR(INDEX(المكونات!$B$2:$B$500,MATCH($B1209,المكونات!$A$2:$A$500,0)),"")</f>
        <v>كجم</v>
      </c>
      <c r="E1209" s="68" t="n">
        <f aca="false">IFERROR(INDEX(المكونات!$C$2:$C$500,MATCH($B1209,المكونات!$A$2:$A$500,0)),"")</f>
        <v>21</v>
      </c>
      <c r="F1209" s="69" t="n">
        <f aca="false">IFERROR($C1209*$E1209,"")</f>
        <v>0.63</v>
      </c>
    </row>
    <row r="1210" customFormat="false" ht="15" hidden="false" customHeight="true" outlineLevel="0" collapsed="false">
      <c r="A1210" s="66" t="s">
        <v>521</v>
      </c>
      <c r="B1210" s="66" t="s">
        <v>284</v>
      </c>
      <c r="C1210" s="66" t="n">
        <v>0.02</v>
      </c>
      <c r="D1210" s="67" t="str">
        <f aca="false">IFERROR(INDEX(المكونات!$B$2:$B$500,MATCH($B1210,المكونات!$A$2:$A$500,0)),"")</f>
        <v>كجم</v>
      </c>
      <c r="E1210" s="68" t="n">
        <f aca="false">IFERROR(INDEX(المكونات!$C$2:$C$500,MATCH($B1210,المكونات!$A$2:$A$500,0)),"")</f>
        <v>27</v>
      </c>
      <c r="F1210" s="69" t="n">
        <f aca="false">IFERROR($C1210*$E1210,"")</f>
        <v>0.54</v>
      </c>
    </row>
    <row r="1211" customFormat="false" ht="15" hidden="false" customHeight="true" outlineLevel="0" collapsed="false">
      <c r="A1211" s="66" t="s">
        <v>521</v>
      </c>
      <c r="B1211" s="66" t="s">
        <v>227</v>
      </c>
      <c r="C1211" s="66" t="n">
        <v>0.02</v>
      </c>
      <c r="D1211" s="67" t="str">
        <f aca="false">IFERROR(INDEX(المكونات!$B$2:$B$500,MATCH($B1211,المكونات!$A$2:$A$500,0)),"")</f>
        <v>كجم</v>
      </c>
      <c r="E1211" s="68" t="n">
        <f aca="false">IFERROR(INDEX(المكونات!$C$2:$C$500,MATCH($B1211,المكونات!$A$2:$A$500,0)),"")</f>
        <v>95</v>
      </c>
      <c r="F1211" s="69" t="n">
        <f aca="false">IFERROR($C1211*$E1211,"")</f>
        <v>1.9</v>
      </c>
    </row>
    <row r="1212" customFormat="false" ht="15" hidden="false" customHeight="true" outlineLevel="0" collapsed="false">
      <c r="A1212" s="66" t="s">
        <v>521</v>
      </c>
      <c r="B1212" s="66" t="s">
        <v>176</v>
      </c>
      <c r="C1212" s="66" t="n">
        <v>1</v>
      </c>
      <c r="D1212" s="67" t="str">
        <f aca="false">IFERROR(INDEX(المكونات!$B$2:$B$500,MATCH($B1212,المكونات!$A$2:$A$500,0)),"")</f>
        <v>قطعة</v>
      </c>
      <c r="E1212" s="68" t="n">
        <f aca="false">IFERROR(INDEX(المكونات!$C$2:$C$500,MATCH($B1212,المكونات!$A$2:$A$500,0)),"")</f>
        <v>17.5</v>
      </c>
      <c r="F1212" s="69" t="n">
        <f aca="false">IFERROR($C1212*$E1212,"")</f>
        <v>17.5</v>
      </c>
    </row>
    <row r="1213" customFormat="false" ht="15" hidden="false" customHeight="true" outlineLevel="0" collapsed="false">
      <c r="A1213" s="66" t="s">
        <v>521</v>
      </c>
      <c r="B1213" s="66" t="s">
        <v>270</v>
      </c>
      <c r="C1213" s="66" t="n">
        <v>1</v>
      </c>
      <c r="D1213" s="67" t="str">
        <f aca="false">IFERROR(INDEX(المكونات!$B$2:$B$500,MATCH($B1213,المكونات!$A$2:$A$500,0)),"")</f>
        <v>قطعة</v>
      </c>
      <c r="E1213" s="68" t="n">
        <f aca="false">IFERROR(INDEX(المكونات!$C$2:$C$500,MATCH($B1213,المكونات!$A$2:$A$500,0)),"")</f>
        <v>4.5</v>
      </c>
      <c r="F1213" s="69" t="n">
        <f aca="false">IFERROR($C1213*$E1213,"")</f>
        <v>4.5</v>
      </c>
    </row>
    <row r="1214" customFormat="false" ht="15" hidden="false" customHeight="true" outlineLevel="0" collapsed="false">
      <c r="A1214" s="66" t="s">
        <v>521</v>
      </c>
      <c r="B1214" s="66" t="s">
        <v>290</v>
      </c>
      <c r="C1214" s="66" t="n">
        <v>2</v>
      </c>
      <c r="D1214" s="67" t="str">
        <f aca="false">IFERROR(INDEX(المكونات!$B$2:$B$500,MATCH($B1214,المكونات!$A$2:$A$500,0)),"")</f>
        <v>قطعة</v>
      </c>
      <c r="E1214" s="68" t="n">
        <f aca="false">IFERROR(INDEX(المكونات!$C$2:$C$500,MATCH($B1214,المكونات!$A$2:$A$500,0)),"")</f>
        <v>0.3</v>
      </c>
      <c r="F1214" s="69" t="n">
        <f aca="false">IFERROR($C1214*$E1214,"")</f>
        <v>0.6</v>
      </c>
    </row>
    <row r="1215" customFormat="false" ht="15" hidden="false" customHeight="true" outlineLevel="0" collapsed="false">
      <c r="A1215" s="66" t="s">
        <v>521</v>
      </c>
      <c r="B1215" s="66" t="s">
        <v>319</v>
      </c>
      <c r="C1215" s="66" t="n">
        <v>1</v>
      </c>
      <c r="D1215" s="67" t="str">
        <f aca="false">IFERROR(INDEX(المكونات!$B$2:$B$500,MATCH($B1215,المكونات!$A$2:$A$500,0)),"")</f>
        <v>قطعة (ورقة)</v>
      </c>
      <c r="E1215" s="68" t="n">
        <f aca="false">IFERROR(INDEX(المكونات!$C$2:$C$500,MATCH($B1215,المكونات!$A$2:$A$500,0)),"")</f>
        <v>0.3665</v>
      </c>
      <c r="F1215" s="69" t="n">
        <f aca="false">IFERROR($C1215*$E1215,"")</f>
        <v>0.3665</v>
      </c>
    </row>
    <row r="1216" customFormat="false" ht="15" hidden="false" customHeight="true" outlineLevel="0" collapsed="false">
      <c r="A1216" s="66" t="s">
        <v>521</v>
      </c>
      <c r="B1216" s="66" t="s">
        <v>133</v>
      </c>
      <c r="C1216" s="66" t="n">
        <v>1</v>
      </c>
      <c r="D1216" s="67" t="str">
        <f aca="false">IFERROR(INDEX(المكونات!$B$2:$B$500,MATCH($B1216,المكونات!$A$2:$A$500,0)),"")</f>
        <v>قطعة (كيس)</v>
      </c>
      <c r="E1216" s="68" t="n">
        <f aca="false">IFERROR(INDEX(المكونات!$C$2:$C$500,MATCH($B1216,المكونات!$A$2:$A$500,0)),"")</f>
        <v>1.4</v>
      </c>
      <c r="F1216" s="69" t="n">
        <f aca="false">IFERROR($C1216*$E1216,"")</f>
        <v>1.4</v>
      </c>
    </row>
    <row r="1217" customFormat="false" ht="15" hidden="false" customHeight="true" outlineLevel="0" collapsed="false">
      <c r="A1217" s="66" t="s">
        <v>521</v>
      </c>
      <c r="B1217" s="66" t="s">
        <v>293</v>
      </c>
      <c r="C1217" s="66" t="n">
        <v>1</v>
      </c>
      <c r="D1217" s="67" t="str">
        <f aca="false">IFERROR(INDEX(المكونات!$B$2:$B$500,MATCH($B1217,المكونات!$A$2:$A$500,0)),"")</f>
        <v>قطعة</v>
      </c>
      <c r="E1217" s="68" t="n">
        <f aca="false">IFERROR(INDEX(المكونات!$C$2:$C$500,MATCH($B1217,المكونات!$A$2:$A$500,0)),"")</f>
        <v>0.5</v>
      </c>
      <c r="F1217" s="69" t="n">
        <f aca="false">IFERROR($C1217*$E1217,"")</f>
        <v>0.5</v>
      </c>
    </row>
    <row r="1218" customFormat="false" ht="15" hidden="false" customHeight="true" outlineLevel="0" collapsed="false">
      <c r="A1218" s="66" t="s">
        <v>521</v>
      </c>
      <c r="B1218" s="66" t="s">
        <v>211</v>
      </c>
      <c r="C1218" s="66" t="n">
        <v>2</v>
      </c>
      <c r="D1218" s="67" t="str">
        <f aca="false">IFERROR(INDEX(المكونات!$B$2:$B$500,MATCH($B1218,المكونات!$A$2:$A$500,0)),"")</f>
        <v>قطعة (جلفز)</v>
      </c>
      <c r="E1218" s="68" t="n">
        <f aca="false">IFERROR(INDEX(المكونات!$C$2:$C$500,MATCH($B1218,المكونات!$A$2:$A$500,0)),"")</f>
        <v>0.18</v>
      </c>
      <c r="F1218" s="69" t="n">
        <f aca="false">IFERROR($C1218*$E1218,"")</f>
        <v>0.36</v>
      </c>
    </row>
    <row r="1219" customFormat="false" ht="15" hidden="false" customHeight="true" outlineLevel="0" collapsed="false">
      <c r="A1219" s="66" t="s">
        <v>521</v>
      </c>
      <c r="B1219" s="66" t="s">
        <v>322</v>
      </c>
      <c r="C1219" s="66" t="n">
        <v>1</v>
      </c>
      <c r="D1219" s="67" t="str">
        <f aca="false">IFERROR(INDEX(المكونات!$B$2:$B$500,MATCH($B1219,المكونات!$A$2:$A$500,0)),"")</f>
        <v>قطعة (كيس)</v>
      </c>
      <c r="E1219" s="68" t="n">
        <f aca="false">IFERROR(INDEX(المكونات!$C$2:$C$500,MATCH($B1219,المكونات!$A$2:$A$500,0)),"")</f>
        <v>1</v>
      </c>
      <c r="F1219" s="69" t="n">
        <f aca="false">IFERROR($C1219*$E1219,"")</f>
        <v>1</v>
      </c>
    </row>
    <row r="1220" customFormat="false" ht="15" hidden="false" customHeight="true" outlineLevel="0" collapsed="false">
      <c r="A1220" s="66" t="s">
        <v>521</v>
      </c>
      <c r="B1220" s="66" t="s">
        <v>336</v>
      </c>
      <c r="C1220" s="66" t="n">
        <v>0.12</v>
      </c>
      <c r="D1220" s="67" t="str">
        <f aca="false">IFERROR(INDEX(المكونات!$B$2:$B$500,MATCH($B1220,المكونات!$A$2:$A$500,0)),"")</f>
        <v>كجم</v>
      </c>
      <c r="E1220" s="68" t="n">
        <f aca="false">IFERROR(INDEX(المكونات!$C$2:$C$500,MATCH($B1220,المكونات!$A$2:$A$500,0)),"")</f>
        <v>220.02</v>
      </c>
      <c r="F1220" s="69" t="n">
        <f aca="false">IFERROR($C1220*$E1220,"")</f>
        <v>26.4024</v>
      </c>
    </row>
    <row r="1221" customFormat="false" ht="15" hidden="false" customHeight="true" outlineLevel="0" collapsed="false">
      <c r="A1221" s="66" t="s">
        <v>498</v>
      </c>
      <c r="B1221" s="66" t="s">
        <v>264</v>
      </c>
      <c r="C1221" s="66" t="n">
        <v>1.5</v>
      </c>
      <c r="D1221" s="67" t="str">
        <f aca="false">IFERROR(INDEX(المكونات!$B$2:$B$500,MATCH($B1221,المكونات!$A$2:$A$500,0)),"")</f>
        <v>قطعة</v>
      </c>
      <c r="E1221" s="68" t="n">
        <f aca="false">IFERROR(INDEX(المكونات!$C$2:$C$500,MATCH($B1221,المكونات!$A$2:$A$500,0)),"")</f>
        <v>4</v>
      </c>
      <c r="F1221" s="69" t="n">
        <f aca="false">IFERROR($C1221*$E1221,"")</f>
        <v>6</v>
      </c>
    </row>
    <row r="1222" customFormat="false" ht="15" hidden="false" customHeight="true" outlineLevel="0" collapsed="false">
      <c r="A1222" s="66" t="s">
        <v>498</v>
      </c>
      <c r="B1222" s="66" t="s">
        <v>260</v>
      </c>
      <c r="C1222" s="66" t="n">
        <v>0.045</v>
      </c>
      <c r="D1222" s="67" t="str">
        <f aca="false">IFERROR(INDEX(المكونات!$B$2:$B$500,MATCH($B1222,المكونات!$A$2:$A$500,0)),"")</f>
        <v>كجم</v>
      </c>
      <c r="E1222" s="68" t="n">
        <f aca="false">IFERROR(INDEX(المكونات!$C$2:$C$500,MATCH($B1222,المكونات!$A$2:$A$500,0)),"")</f>
        <v>21</v>
      </c>
      <c r="F1222" s="69" t="n">
        <f aca="false">IFERROR($C1222*$E1222,"")</f>
        <v>0.945</v>
      </c>
    </row>
    <row r="1223" customFormat="false" ht="15" hidden="false" customHeight="true" outlineLevel="0" collapsed="false">
      <c r="A1223" s="66" t="s">
        <v>498</v>
      </c>
      <c r="B1223" s="66" t="s">
        <v>284</v>
      </c>
      <c r="C1223" s="66" t="n">
        <v>0.03</v>
      </c>
      <c r="D1223" s="67" t="str">
        <f aca="false">IFERROR(INDEX(المكونات!$B$2:$B$500,MATCH($B1223,المكونات!$A$2:$A$500,0)),"")</f>
        <v>كجم</v>
      </c>
      <c r="E1223" s="68" t="n">
        <f aca="false">IFERROR(INDEX(المكونات!$C$2:$C$500,MATCH($B1223,المكونات!$A$2:$A$500,0)),"")</f>
        <v>27</v>
      </c>
      <c r="F1223" s="69" t="n">
        <f aca="false">IFERROR($C1223*$E1223,"")</f>
        <v>0.81</v>
      </c>
    </row>
    <row r="1224" customFormat="false" ht="15" hidden="false" customHeight="true" outlineLevel="0" collapsed="false">
      <c r="A1224" s="66" t="s">
        <v>498</v>
      </c>
      <c r="B1224" s="66" t="s">
        <v>227</v>
      </c>
      <c r="C1224" s="66" t="n">
        <v>0.03</v>
      </c>
      <c r="D1224" s="67" t="str">
        <f aca="false">IFERROR(INDEX(المكونات!$B$2:$B$500,MATCH($B1224,المكونات!$A$2:$A$500,0)),"")</f>
        <v>كجم</v>
      </c>
      <c r="E1224" s="68" t="n">
        <f aca="false">IFERROR(INDEX(المكونات!$C$2:$C$500,MATCH($B1224,المكونات!$A$2:$A$500,0)),"")</f>
        <v>95</v>
      </c>
      <c r="F1224" s="69" t="n">
        <f aca="false">IFERROR($C1224*$E1224,"")</f>
        <v>2.85</v>
      </c>
    </row>
    <row r="1225" customFormat="false" ht="15" hidden="false" customHeight="true" outlineLevel="0" collapsed="false">
      <c r="A1225" s="66" t="s">
        <v>498</v>
      </c>
      <c r="B1225" s="66" t="s">
        <v>178</v>
      </c>
      <c r="C1225" s="66" t="n">
        <v>1</v>
      </c>
      <c r="D1225" s="67" t="str">
        <f aca="false">IFERROR(INDEX(المكونات!$B$2:$B$500,MATCH($B1225,المكونات!$A$2:$A$500,0)),"")</f>
        <v>قطعة</v>
      </c>
      <c r="E1225" s="68" t="n">
        <f aca="false">IFERROR(INDEX(المكونات!$C$2:$C$500,MATCH($B1225,المكونات!$A$2:$A$500,0)),"")</f>
        <v>25</v>
      </c>
      <c r="F1225" s="69" t="n">
        <f aca="false">IFERROR($C1225*$E1225,"")</f>
        <v>25</v>
      </c>
    </row>
    <row r="1226" customFormat="false" ht="15" hidden="false" customHeight="true" outlineLevel="0" collapsed="false">
      <c r="A1226" s="66" t="s">
        <v>498</v>
      </c>
      <c r="B1226" s="66" t="s">
        <v>268</v>
      </c>
      <c r="C1226" s="66" t="n">
        <v>1</v>
      </c>
      <c r="D1226" s="67" t="str">
        <f aca="false">IFERROR(INDEX(المكونات!$B$2:$B$500,MATCH($B1226,المكونات!$A$2:$A$500,0)),"")</f>
        <v>قطعة</v>
      </c>
      <c r="E1226" s="68" t="n">
        <f aca="false">IFERROR(INDEX(المكونات!$C$2:$C$500,MATCH($B1226,المكونات!$A$2:$A$500,0)),"")</f>
        <v>5.5</v>
      </c>
      <c r="F1226" s="69" t="n">
        <f aca="false">IFERROR($C1226*$E1226,"")</f>
        <v>5.5</v>
      </c>
    </row>
    <row r="1227" customFormat="false" ht="15" hidden="false" customHeight="true" outlineLevel="0" collapsed="false">
      <c r="A1227" s="66" t="s">
        <v>498</v>
      </c>
      <c r="B1227" s="66" t="s">
        <v>290</v>
      </c>
      <c r="C1227" s="66" t="n">
        <v>3</v>
      </c>
      <c r="D1227" s="67" t="str">
        <f aca="false">IFERROR(INDEX(المكونات!$B$2:$B$500,MATCH($B1227,المكونات!$A$2:$A$500,0)),"")</f>
        <v>قطعة</v>
      </c>
      <c r="E1227" s="68" t="n">
        <f aca="false">IFERROR(INDEX(المكونات!$C$2:$C$500,MATCH($B1227,المكونات!$A$2:$A$500,0)),"")</f>
        <v>0.3</v>
      </c>
      <c r="F1227" s="69" t="n">
        <f aca="false">IFERROR($C1227*$E1227,"")</f>
        <v>0.9</v>
      </c>
    </row>
    <row r="1228" customFormat="false" ht="15" hidden="false" customHeight="true" outlineLevel="0" collapsed="false">
      <c r="A1228" s="66" t="s">
        <v>498</v>
      </c>
      <c r="B1228" s="66" t="s">
        <v>319</v>
      </c>
      <c r="C1228" s="66" t="n">
        <v>1</v>
      </c>
      <c r="D1228" s="67" t="str">
        <f aca="false">IFERROR(INDEX(المكونات!$B$2:$B$500,MATCH($B1228,المكونات!$A$2:$A$500,0)),"")</f>
        <v>قطعة (ورقة)</v>
      </c>
      <c r="E1228" s="68" t="n">
        <f aca="false">IFERROR(INDEX(المكونات!$C$2:$C$500,MATCH($B1228,المكونات!$A$2:$A$500,0)),"")</f>
        <v>0.3665</v>
      </c>
      <c r="F1228" s="69" t="n">
        <f aca="false">IFERROR($C1228*$E1228,"")</f>
        <v>0.3665</v>
      </c>
    </row>
    <row r="1229" customFormat="false" ht="15" hidden="false" customHeight="true" outlineLevel="0" collapsed="false">
      <c r="A1229" s="66" t="s">
        <v>498</v>
      </c>
      <c r="B1229" s="66" t="s">
        <v>133</v>
      </c>
      <c r="C1229" s="66" t="n">
        <v>1</v>
      </c>
      <c r="D1229" s="67" t="str">
        <f aca="false">IFERROR(INDEX(المكونات!$B$2:$B$500,MATCH($B1229,المكونات!$A$2:$A$500,0)),"")</f>
        <v>قطعة (كيس)</v>
      </c>
      <c r="E1229" s="68" t="n">
        <f aca="false">IFERROR(INDEX(المكونات!$C$2:$C$500,MATCH($B1229,المكونات!$A$2:$A$500,0)),"")</f>
        <v>1.4</v>
      </c>
      <c r="F1229" s="69" t="n">
        <f aca="false">IFERROR($C1229*$E1229,"")</f>
        <v>1.4</v>
      </c>
    </row>
    <row r="1230" customFormat="false" ht="15" hidden="false" customHeight="true" outlineLevel="0" collapsed="false">
      <c r="A1230" s="66" t="s">
        <v>498</v>
      </c>
      <c r="B1230" s="66" t="s">
        <v>293</v>
      </c>
      <c r="C1230" s="66" t="n">
        <v>1</v>
      </c>
      <c r="D1230" s="67" t="str">
        <f aca="false">IFERROR(INDEX(المكونات!$B$2:$B$500,MATCH($B1230,المكونات!$A$2:$A$500,0)),"")</f>
        <v>قطعة</v>
      </c>
      <c r="E1230" s="68" t="n">
        <f aca="false">IFERROR(INDEX(المكونات!$C$2:$C$500,MATCH($B1230,المكونات!$A$2:$A$500,0)),"")</f>
        <v>0.5</v>
      </c>
      <c r="F1230" s="69" t="n">
        <f aca="false">IFERROR($C1230*$E1230,"")</f>
        <v>0.5</v>
      </c>
    </row>
    <row r="1231" customFormat="false" ht="15" hidden="false" customHeight="true" outlineLevel="0" collapsed="false">
      <c r="A1231" s="66" t="s">
        <v>498</v>
      </c>
      <c r="B1231" s="66" t="s">
        <v>211</v>
      </c>
      <c r="C1231" s="66" t="n">
        <v>2</v>
      </c>
      <c r="D1231" s="67" t="str">
        <f aca="false">IFERROR(INDEX(المكونات!$B$2:$B$500,MATCH($B1231,المكونات!$A$2:$A$500,0)),"")</f>
        <v>قطعة (جلفز)</v>
      </c>
      <c r="E1231" s="68" t="n">
        <f aca="false">IFERROR(INDEX(المكونات!$C$2:$C$500,MATCH($B1231,المكونات!$A$2:$A$500,0)),"")</f>
        <v>0.18</v>
      </c>
      <c r="F1231" s="69" t="n">
        <f aca="false">IFERROR($C1231*$E1231,"")</f>
        <v>0.36</v>
      </c>
    </row>
    <row r="1232" customFormat="false" ht="15" hidden="false" customHeight="true" outlineLevel="0" collapsed="false">
      <c r="A1232" s="66" t="s">
        <v>498</v>
      </c>
      <c r="B1232" s="66" t="s">
        <v>322</v>
      </c>
      <c r="C1232" s="66" t="n">
        <v>1</v>
      </c>
      <c r="D1232" s="67" t="str">
        <f aca="false">IFERROR(INDEX(المكونات!$B$2:$B$500,MATCH($B1232,المكونات!$A$2:$A$500,0)),"")</f>
        <v>قطعة (كيس)</v>
      </c>
      <c r="E1232" s="68" t="n">
        <f aca="false">IFERROR(INDEX(المكونات!$C$2:$C$500,MATCH($B1232,المكونات!$A$2:$A$500,0)),"")</f>
        <v>1</v>
      </c>
      <c r="F1232" s="69" t="n">
        <f aca="false">IFERROR($C1232*$E1232,"")</f>
        <v>1</v>
      </c>
    </row>
    <row r="1233" customFormat="false" ht="15" hidden="false" customHeight="true" outlineLevel="0" collapsed="false">
      <c r="A1233" s="66" t="s">
        <v>498</v>
      </c>
      <c r="B1233" s="66" t="s">
        <v>336</v>
      </c>
      <c r="C1233" s="66" t="n">
        <v>0.18</v>
      </c>
      <c r="D1233" s="67" t="str">
        <f aca="false">IFERROR(INDEX(المكونات!$B$2:$B$500,MATCH($B1233,المكونات!$A$2:$A$500,0)),"")</f>
        <v>كجم</v>
      </c>
      <c r="E1233" s="68" t="n">
        <f aca="false">IFERROR(INDEX(المكونات!$C$2:$C$500,MATCH($B1233,المكونات!$A$2:$A$500,0)),"")</f>
        <v>220.02</v>
      </c>
      <c r="F1233" s="69" t="n">
        <f aca="false">IFERROR($C1233*$E1233,"")</f>
        <v>39.6036</v>
      </c>
    </row>
    <row r="1234" customFormat="false" ht="15" hidden="false" customHeight="true" outlineLevel="0" collapsed="false">
      <c r="A1234" s="66" t="s">
        <v>510</v>
      </c>
      <c r="B1234" s="66" t="s">
        <v>264</v>
      </c>
      <c r="C1234" s="66" t="n">
        <v>1</v>
      </c>
      <c r="D1234" s="67" t="str">
        <f aca="false">IFERROR(INDEX(المكونات!$B$2:$B$500,MATCH($B1234,المكونات!$A$2:$A$500,0)),"")</f>
        <v>قطعة</v>
      </c>
      <c r="E1234" s="68" t="n">
        <f aca="false">IFERROR(INDEX(المكونات!$C$2:$C$500,MATCH($B1234,المكونات!$A$2:$A$500,0)),"")</f>
        <v>4</v>
      </c>
      <c r="F1234" s="69" t="n">
        <f aca="false">IFERROR($C1234*$E1234,"")</f>
        <v>4</v>
      </c>
    </row>
    <row r="1235" customFormat="false" ht="15" hidden="false" customHeight="true" outlineLevel="0" collapsed="false">
      <c r="A1235" s="66" t="s">
        <v>510</v>
      </c>
      <c r="B1235" s="66" t="s">
        <v>260</v>
      </c>
      <c r="C1235" s="66" t="n">
        <v>0.03</v>
      </c>
      <c r="D1235" s="67" t="str">
        <f aca="false">IFERROR(INDEX(المكونات!$B$2:$B$500,MATCH($B1235,المكونات!$A$2:$A$500,0)),"")</f>
        <v>كجم</v>
      </c>
      <c r="E1235" s="68" t="n">
        <f aca="false">IFERROR(INDEX(المكونات!$C$2:$C$500,MATCH($B1235,المكونات!$A$2:$A$500,0)),"")</f>
        <v>21</v>
      </c>
      <c r="F1235" s="69" t="n">
        <f aca="false">IFERROR($C1235*$E1235,"")</f>
        <v>0.63</v>
      </c>
    </row>
    <row r="1236" customFormat="false" ht="15" hidden="false" customHeight="true" outlineLevel="0" collapsed="false">
      <c r="A1236" s="66" t="s">
        <v>510</v>
      </c>
      <c r="B1236" s="66" t="s">
        <v>284</v>
      </c>
      <c r="C1236" s="66" t="n">
        <v>0.02</v>
      </c>
      <c r="D1236" s="67" t="str">
        <f aca="false">IFERROR(INDEX(المكونات!$B$2:$B$500,MATCH($B1236,المكونات!$A$2:$A$500,0)),"")</f>
        <v>كجم</v>
      </c>
      <c r="E1236" s="68" t="n">
        <f aca="false">IFERROR(INDEX(المكونات!$C$2:$C$500,MATCH($B1236,المكونات!$A$2:$A$500,0)),"")</f>
        <v>27</v>
      </c>
      <c r="F1236" s="69" t="n">
        <f aca="false">IFERROR($C1236*$E1236,"")</f>
        <v>0.54</v>
      </c>
    </row>
    <row r="1237" customFormat="false" ht="15" hidden="false" customHeight="true" outlineLevel="0" collapsed="false">
      <c r="A1237" s="66" t="s">
        <v>510</v>
      </c>
      <c r="B1237" s="66" t="s">
        <v>227</v>
      </c>
      <c r="C1237" s="66" t="n">
        <v>0.02</v>
      </c>
      <c r="D1237" s="67" t="str">
        <f aca="false">IFERROR(INDEX(المكونات!$B$2:$B$500,MATCH($B1237,المكونات!$A$2:$A$500,0)),"")</f>
        <v>كجم</v>
      </c>
      <c r="E1237" s="68" t="n">
        <f aca="false">IFERROR(INDEX(المكونات!$C$2:$C$500,MATCH($B1237,المكونات!$A$2:$A$500,0)),"")</f>
        <v>95</v>
      </c>
      <c r="F1237" s="69" t="n">
        <f aca="false">IFERROR($C1237*$E1237,"")</f>
        <v>1.9</v>
      </c>
    </row>
    <row r="1238" customFormat="false" ht="15" hidden="false" customHeight="true" outlineLevel="0" collapsed="false">
      <c r="A1238" s="66" t="s">
        <v>510</v>
      </c>
      <c r="B1238" s="66" t="s">
        <v>176</v>
      </c>
      <c r="C1238" s="66" t="n">
        <v>1</v>
      </c>
      <c r="D1238" s="67" t="str">
        <f aca="false">IFERROR(INDEX(المكونات!$B$2:$B$500,MATCH($B1238,المكونات!$A$2:$A$500,0)),"")</f>
        <v>قطعة</v>
      </c>
      <c r="E1238" s="68" t="n">
        <f aca="false">IFERROR(INDEX(المكونات!$C$2:$C$500,MATCH($B1238,المكونات!$A$2:$A$500,0)),"")</f>
        <v>17.5</v>
      </c>
      <c r="F1238" s="69" t="n">
        <f aca="false">IFERROR($C1238*$E1238,"")</f>
        <v>17.5</v>
      </c>
    </row>
    <row r="1239" customFormat="false" ht="15" hidden="false" customHeight="true" outlineLevel="0" collapsed="false">
      <c r="A1239" s="66" t="s">
        <v>510</v>
      </c>
      <c r="B1239" s="66" t="s">
        <v>270</v>
      </c>
      <c r="C1239" s="66" t="n">
        <v>1</v>
      </c>
      <c r="D1239" s="67" t="str">
        <f aca="false">IFERROR(INDEX(المكونات!$B$2:$B$500,MATCH($B1239,المكونات!$A$2:$A$500,0)),"")</f>
        <v>قطعة</v>
      </c>
      <c r="E1239" s="68" t="n">
        <f aca="false">IFERROR(INDEX(المكونات!$C$2:$C$500,MATCH($B1239,المكونات!$A$2:$A$500,0)),"")</f>
        <v>4.5</v>
      </c>
      <c r="F1239" s="69" t="n">
        <f aca="false">IFERROR($C1239*$E1239,"")</f>
        <v>4.5</v>
      </c>
    </row>
    <row r="1240" customFormat="false" ht="15" hidden="false" customHeight="true" outlineLevel="0" collapsed="false">
      <c r="A1240" s="66" t="s">
        <v>510</v>
      </c>
      <c r="B1240" s="66" t="s">
        <v>290</v>
      </c>
      <c r="C1240" s="66" t="n">
        <v>2</v>
      </c>
      <c r="D1240" s="67" t="str">
        <f aca="false">IFERROR(INDEX(المكونات!$B$2:$B$500,MATCH($B1240,المكونات!$A$2:$A$500,0)),"")</f>
        <v>قطعة</v>
      </c>
      <c r="E1240" s="68" t="n">
        <f aca="false">IFERROR(INDEX(المكونات!$C$2:$C$500,MATCH($B1240,المكونات!$A$2:$A$500,0)),"")</f>
        <v>0.3</v>
      </c>
      <c r="F1240" s="69" t="n">
        <f aca="false">IFERROR($C1240*$E1240,"")</f>
        <v>0.6</v>
      </c>
    </row>
    <row r="1241" customFormat="false" ht="15" hidden="false" customHeight="true" outlineLevel="0" collapsed="false">
      <c r="A1241" s="66" t="s">
        <v>510</v>
      </c>
      <c r="B1241" s="66" t="s">
        <v>319</v>
      </c>
      <c r="C1241" s="66" t="n">
        <v>1</v>
      </c>
      <c r="D1241" s="67" t="str">
        <f aca="false">IFERROR(INDEX(المكونات!$B$2:$B$500,MATCH($B1241,المكونات!$A$2:$A$500,0)),"")</f>
        <v>قطعة (ورقة)</v>
      </c>
      <c r="E1241" s="68" t="n">
        <f aca="false">IFERROR(INDEX(المكونات!$C$2:$C$500,MATCH($B1241,المكونات!$A$2:$A$500,0)),"")</f>
        <v>0.3665</v>
      </c>
      <c r="F1241" s="69" t="n">
        <f aca="false">IFERROR($C1241*$E1241,"")</f>
        <v>0.3665</v>
      </c>
    </row>
    <row r="1242" customFormat="false" ht="15" hidden="false" customHeight="true" outlineLevel="0" collapsed="false">
      <c r="A1242" s="66" t="s">
        <v>510</v>
      </c>
      <c r="B1242" s="66" t="s">
        <v>133</v>
      </c>
      <c r="C1242" s="66" t="n">
        <v>1</v>
      </c>
      <c r="D1242" s="67" t="str">
        <f aca="false">IFERROR(INDEX(المكونات!$B$2:$B$500,MATCH($B1242,المكونات!$A$2:$A$500,0)),"")</f>
        <v>قطعة (كيس)</v>
      </c>
      <c r="E1242" s="68" t="n">
        <f aca="false">IFERROR(INDEX(المكونات!$C$2:$C$500,MATCH($B1242,المكونات!$A$2:$A$500,0)),"")</f>
        <v>1.4</v>
      </c>
      <c r="F1242" s="69" t="n">
        <f aca="false">IFERROR($C1242*$E1242,"")</f>
        <v>1.4</v>
      </c>
    </row>
    <row r="1243" customFormat="false" ht="15" hidden="false" customHeight="true" outlineLevel="0" collapsed="false">
      <c r="A1243" s="66" t="s">
        <v>510</v>
      </c>
      <c r="B1243" s="66" t="s">
        <v>293</v>
      </c>
      <c r="C1243" s="66" t="n">
        <v>1</v>
      </c>
      <c r="D1243" s="67" t="str">
        <f aca="false">IFERROR(INDEX(المكونات!$B$2:$B$500,MATCH($B1243,المكونات!$A$2:$A$500,0)),"")</f>
        <v>قطعة</v>
      </c>
      <c r="E1243" s="68" t="n">
        <f aca="false">IFERROR(INDEX(المكونات!$C$2:$C$500,MATCH($B1243,المكونات!$A$2:$A$500,0)),"")</f>
        <v>0.5</v>
      </c>
      <c r="F1243" s="69" t="n">
        <f aca="false">IFERROR($C1243*$E1243,"")</f>
        <v>0.5</v>
      </c>
    </row>
    <row r="1244" customFormat="false" ht="15" hidden="false" customHeight="true" outlineLevel="0" collapsed="false">
      <c r="A1244" s="66" t="s">
        <v>510</v>
      </c>
      <c r="B1244" s="66" t="s">
        <v>211</v>
      </c>
      <c r="C1244" s="66" t="n">
        <v>2</v>
      </c>
      <c r="D1244" s="67" t="str">
        <f aca="false">IFERROR(INDEX(المكونات!$B$2:$B$500,MATCH($B1244,المكونات!$A$2:$A$500,0)),"")</f>
        <v>قطعة (جلفز)</v>
      </c>
      <c r="E1244" s="68" t="n">
        <f aca="false">IFERROR(INDEX(المكونات!$C$2:$C$500,MATCH($B1244,المكونات!$A$2:$A$500,0)),"")</f>
        <v>0.18</v>
      </c>
      <c r="F1244" s="69" t="n">
        <f aca="false">IFERROR($C1244*$E1244,"")</f>
        <v>0.36</v>
      </c>
    </row>
    <row r="1245" customFormat="false" ht="15" hidden="false" customHeight="true" outlineLevel="0" collapsed="false">
      <c r="A1245" s="66" t="s">
        <v>510</v>
      </c>
      <c r="B1245" s="66" t="s">
        <v>322</v>
      </c>
      <c r="C1245" s="66" t="n">
        <v>1</v>
      </c>
      <c r="D1245" s="67" t="str">
        <f aca="false">IFERROR(INDEX(المكونات!$B$2:$B$500,MATCH($B1245,المكونات!$A$2:$A$500,0)),"")</f>
        <v>قطعة (كيس)</v>
      </c>
      <c r="E1245" s="68" t="n">
        <f aca="false">IFERROR(INDEX(المكونات!$C$2:$C$500,MATCH($B1245,المكونات!$A$2:$A$500,0)),"")</f>
        <v>1</v>
      </c>
      <c r="F1245" s="69" t="n">
        <f aca="false">IFERROR($C1245*$E1245,"")</f>
        <v>1</v>
      </c>
    </row>
    <row r="1246" customFormat="false" ht="15" hidden="false" customHeight="true" outlineLevel="0" collapsed="false">
      <c r="A1246" s="66" t="s">
        <v>510</v>
      </c>
      <c r="B1246" s="66" t="s">
        <v>338</v>
      </c>
      <c r="C1246" s="66" t="n">
        <v>0.14</v>
      </c>
      <c r="D1246" s="67" t="str">
        <f aca="false">IFERROR(INDEX(المكونات!$B$2:$B$500,MATCH($B1246,المكونات!$A$2:$A$500,0)),"")</f>
        <v>كجم</v>
      </c>
      <c r="E1246" s="68" t="n">
        <f aca="false">IFERROR(INDEX(المكونات!$C$2:$C$500,MATCH($B1246,المكونات!$A$2:$A$500,0)),"")</f>
        <v>219.23</v>
      </c>
      <c r="F1246" s="69" t="n">
        <f aca="false">IFERROR($C1246*$E1246,"")</f>
        <v>30.6922</v>
      </c>
    </row>
    <row r="1247" customFormat="false" ht="15" hidden="false" customHeight="true" outlineLevel="0" collapsed="false">
      <c r="A1247" s="66" t="s">
        <v>491</v>
      </c>
      <c r="B1247" s="66" t="s">
        <v>264</v>
      </c>
      <c r="C1247" s="66" t="n">
        <v>1.5</v>
      </c>
      <c r="D1247" s="67" t="str">
        <f aca="false">IFERROR(INDEX(المكونات!$B$2:$B$500,MATCH($B1247,المكونات!$A$2:$A$500,0)),"")</f>
        <v>قطعة</v>
      </c>
      <c r="E1247" s="68" t="n">
        <f aca="false">IFERROR(INDEX(المكونات!$C$2:$C$500,MATCH($B1247,المكونات!$A$2:$A$500,0)),"")</f>
        <v>4</v>
      </c>
      <c r="F1247" s="69" t="n">
        <f aca="false">IFERROR($C1247*$E1247,"")</f>
        <v>6</v>
      </c>
    </row>
    <row r="1248" customFormat="false" ht="15" hidden="false" customHeight="true" outlineLevel="0" collapsed="false">
      <c r="A1248" s="66" t="s">
        <v>491</v>
      </c>
      <c r="B1248" s="66" t="s">
        <v>260</v>
      </c>
      <c r="C1248" s="66" t="n">
        <v>0.045</v>
      </c>
      <c r="D1248" s="67" t="str">
        <f aca="false">IFERROR(INDEX(المكونات!$B$2:$B$500,MATCH($B1248,المكونات!$A$2:$A$500,0)),"")</f>
        <v>كجم</v>
      </c>
      <c r="E1248" s="68" t="n">
        <f aca="false">IFERROR(INDEX(المكونات!$C$2:$C$500,MATCH($B1248,المكونات!$A$2:$A$500,0)),"")</f>
        <v>21</v>
      </c>
      <c r="F1248" s="69" t="n">
        <f aca="false">IFERROR($C1248*$E1248,"")</f>
        <v>0.945</v>
      </c>
    </row>
    <row r="1249" customFormat="false" ht="15" hidden="false" customHeight="true" outlineLevel="0" collapsed="false">
      <c r="A1249" s="66" t="s">
        <v>491</v>
      </c>
      <c r="B1249" s="66" t="s">
        <v>284</v>
      </c>
      <c r="C1249" s="66" t="n">
        <v>0.03</v>
      </c>
      <c r="D1249" s="67" t="str">
        <f aca="false">IFERROR(INDEX(المكونات!$B$2:$B$500,MATCH($B1249,المكونات!$A$2:$A$500,0)),"")</f>
        <v>كجم</v>
      </c>
      <c r="E1249" s="68" t="n">
        <f aca="false">IFERROR(INDEX(المكونات!$C$2:$C$500,MATCH($B1249,المكونات!$A$2:$A$500,0)),"")</f>
        <v>27</v>
      </c>
      <c r="F1249" s="69" t="n">
        <f aca="false">IFERROR($C1249*$E1249,"")</f>
        <v>0.81</v>
      </c>
    </row>
    <row r="1250" customFormat="false" ht="15" hidden="false" customHeight="true" outlineLevel="0" collapsed="false">
      <c r="A1250" s="66" t="s">
        <v>491</v>
      </c>
      <c r="B1250" s="66" t="s">
        <v>227</v>
      </c>
      <c r="C1250" s="66" t="n">
        <v>0.03</v>
      </c>
      <c r="D1250" s="67" t="str">
        <f aca="false">IFERROR(INDEX(المكونات!$B$2:$B$500,MATCH($B1250,المكونات!$A$2:$A$500,0)),"")</f>
        <v>كجم</v>
      </c>
      <c r="E1250" s="68" t="n">
        <f aca="false">IFERROR(INDEX(المكونات!$C$2:$C$500,MATCH($B1250,المكونات!$A$2:$A$500,0)),"")</f>
        <v>95</v>
      </c>
      <c r="F1250" s="69" t="n">
        <f aca="false">IFERROR($C1250*$E1250,"")</f>
        <v>2.85</v>
      </c>
    </row>
    <row r="1251" customFormat="false" ht="15" hidden="false" customHeight="true" outlineLevel="0" collapsed="false">
      <c r="A1251" s="66" t="s">
        <v>491</v>
      </c>
      <c r="B1251" s="66" t="s">
        <v>178</v>
      </c>
      <c r="C1251" s="66" t="n">
        <v>1</v>
      </c>
      <c r="D1251" s="67" t="str">
        <f aca="false">IFERROR(INDEX(المكونات!$B$2:$B$500,MATCH($B1251,المكونات!$A$2:$A$500,0)),"")</f>
        <v>قطعة</v>
      </c>
      <c r="E1251" s="68" t="n">
        <f aca="false">IFERROR(INDEX(المكونات!$C$2:$C$500,MATCH($B1251,المكونات!$A$2:$A$500,0)),"")</f>
        <v>25</v>
      </c>
      <c r="F1251" s="69" t="n">
        <f aca="false">IFERROR($C1251*$E1251,"")</f>
        <v>25</v>
      </c>
    </row>
    <row r="1252" customFormat="false" ht="15" hidden="false" customHeight="true" outlineLevel="0" collapsed="false">
      <c r="A1252" s="66" t="s">
        <v>491</v>
      </c>
      <c r="B1252" s="66" t="s">
        <v>268</v>
      </c>
      <c r="C1252" s="66" t="n">
        <v>1</v>
      </c>
      <c r="D1252" s="67" t="str">
        <f aca="false">IFERROR(INDEX(المكونات!$B$2:$B$500,MATCH($B1252,المكونات!$A$2:$A$500,0)),"")</f>
        <v>قطعة</v>
      </c>
      <c r="E1252" s="68" t="n">
        <f aca="false">IFERROR(INDEX(المكونات!$C$2:$C$500,MATCH($B1252,المكونات!$A$2:$A$500,0)),"")</f>
        <v>5.5</v>
      </c>
      <c r="F1252" s="69" t="n">
        <f aca="false">IFERROR($C1252*$E1252,"")</f>
        <v>5.5</v>
      </c>
    </row>
    <row r="1253" customFormat="false" ht="15" hidden="false" customHeight="true" outlineLevel="0" collapsed="false">
      <c r="A1253" s="66" t="s">
        <v>491</v>
      </c>
      <c r="B1253" s="66" t="s">
        <v>290</v>
      </c>
      <c r="C1253" s="66" t="n">
        <v>3</v>
      </c>
      <c r="D1253" s="67" t="str">
        <f aca="false">IFERROR(INDEX(المكونات!$B$2:$B$500,MATCH($B1253,المكونات!$A$2:$A$500,0)),"")</f>
        <v>قطعة</v>
      </c>
      <c r="E1253" s="68" t="n">
        <f aca="false">IFERROR(INDEX(المكونات!$C$2:$C$500,MATCH($B1253,المكونات!$A$2:$A$500,0)),"")</f>
        <v>0.3</v>
      </c>
      <c r="F1253" s="69" t="n">
        <f aca="false">IFERROR($C1253*$E1253,"")</f>
        <v>0.9</v>
      </c>
    </row>
    <row r="1254" customFormat="false" ht="15" hidden="false" customHeight="true" outlineLevel="0" collapsed="false">
      <c r="A1254" s="66" t="s">
        <v>491</v>
      </c>
      <c r="B1254" s="66" t="s">
        <v>319</v>
      </c>
      <c r="C1254" s="66" t="n">
        <v>1</v>
      </c>
      <c r="D1254" s="67" t="str">
        <f aca="false">IFERROR(INDEX(المكونات!$B$2:$B$500,MATCH($B1254,المكونات!$A$2:$A$500,0)),"")</f>
        <v>قطعة (ورقة)</v>
      </c>
      <c r="E1254" s="68" t="n">
        <f aca="false">IFERROR(INDEX(المكونات!$C$2:$C$500,MATCH($B1254,المكونات!$A$2:$A$500,0)),"")</f>
        <v>0.3665</v>
      </c>
      <c r="F1254" s="69" t="n">
        <f aca="false">IFERROR($C1254*$E1254,"")</f>
        <v>0.3665</v>
      </c>
    </row>
    <row r="1255" customFormat="false" ht="15" hidden="false" customHeight="true" outlineLevel="0" collapsed="false">
      <c r="A1255" s="66" t="s">
        <v>491</v>
      </c>
      <c r="B1255" s="66" t="s">
        <v>133</v>
      </c>
      <c r="C1255" s="66" t="n">
        <v>1</v>
      </c>
      <c r="D1255" s="67" t="str">
        <f aca="false">IFERROR(INDEX(المكونات!$B$2:$B$500,MATCH($B1255,المكونات!$A$2:$A$500,0)),"")</f>
        <v>قطعة (كيس)</v>
      </c>
      <c r="E1255" s="68" t="n">
        <f aca="false">IFERROR(INDEX(المكونات!$C$2:$C$500,MATCH($B1255,المكونات!$A$2:$A$500,0)),"")</f>
        <v>1.4</v>
      </c>
      <c r="F1255" s="69" t="n">
        <f aca="false">IFERROR($C1255*$E1255,"")</f>
        <v>1.4</v>
      </c>
    </row>
    <row r="1256" customFormat="false" ht="15" hidden="false" customHeight="true" outlineLevel="0" collapsed="false">
      <c r="A1256" s="66" t="s">
        <v>491</v>
      </c>
      <c r="B1256" s="66" t="s">
        <v>293</v>
      </c>
      <c r="C1256" s="66" t="n">
        <v>1</v>
      </c>
      <c r="D1256" s="67" t="str">
        <f aca="false">IFERROR(INDEX(المكونات!$B$2:$B$500,MATCH($B1256,المكونات!$A$2:$A$500,0)),"")</f>
        <v>قطعة</v>
      </c>
      <c r="E1256" s="68" t="n">
        <f aca="false">IFERROR(INDEX(المكونات!$C$2:$C$500,MATCH($B1256,المكونات!$A$2:$A$500,0)),"")</f>
        <v>0.5</v>
      </c>
      <c r="F1256" s="69" t="n">
        <f aca="false">IFERROR($C1256*$E1256,"")</f>
        <v>0.5</v>
      </c>
    </row>
    <row r="1257" customFormat="false" ht="15" hidden="false" customHeight="true" outlineLevel="0" collapsed="false">
      <c r="A1257" s="66" t="s">
        <v>491</v>
      </c>
      <c r="B1257" s="66" t="s">
        <v>211</v>
      </c>
      <c r="C1257" s="66" t="n">
        <v>2</v>
      </c>
      <c r="D1257" s="67" t="str">
        <f aca="false">IFERROR(INDEX(المكونات!$B$2:$B$500,MATCH($B1257,المكونات!$A$2:$A$500,0)),"")</f>
        <v>قطعة (جلفز)</v>
      </c>
      <c r="E1257" s="68" t="n">
        <f aca="false">IFERROR(INDEX(المكونات!$C$2:$C$500,MATCH($B1257,المكونات!$A$2:$A$500,0)),"")</f>
        <v>0.18</v>
      </c>
      <c r="F1257" s="69" t="n">
        <f aca="false">IFERROR($C1257*$E1257,"")</f>
        <v>0.36</v>
      </c>
    </row>
    <row r="1258" customFormat="false" ht="15" hidden="false" customHeight="true" outlineLevel="0" collapsed="false">
      <c r="A1258" s="66" t="s">
        <v>491</v>
      </c>
      <c r="B1258" s="66" t="s">
        <v>322</v>
      </c>
      <c r="C1258" s="66" t="n">
        <v>1</v>
      </c>
      <c r="D1258" s="67" t="str">
        <f aca="false">IFERROR(INDEX(المكونات!$B$2:$B$500,MATCH($B1258,المكونات!$A$2:$A$500,0)),"")</f>
        <v>قطعة (كيس)</v>
      </c>
      <c r="E1258" s="68" t="n">
        <f aca="false">IFERROR(INDEX(المكونات!$C$2:$C$500,MATCH($B1258,المكونات!$A$2:$A$500,0)),"")</f>
        <v>1</v>
      </c>
      <c r="F1258" s="69" t="n">
        <f aca="false">IFERROR($C1258*$E1258,"")</f>
        <v>1</v>
      </c>
    </row>
    <row r="1259" customFormat="false" ht="15" hidden="false" customHeight="true" outlineLevel="0" collapsed="false">
      <c r="A1259" s="66" t="s">
        <v>491</v>
      </c>
      <c r="B1259" s="66" t="s">
        <v>338</v>
      </c>
      <c r="C1259" s="66" t="n">
        <v>0.21</v>
      </c>
      <c r="D1259" s="67" t="str">
        <f aca="false">IFERROR(INDEX(المكونات!$B$2:$B$500,MATCH($B1259,المكونات!$A$2:$A$500,0)),"")</f>
        <v>كجم</v>
      </c>
      <c r="E1259" s="68" t="n">
        <f aca="false">IFERROR(INDEX(المكونات!$C$2:$C$500,MATCH($B1259,المكونات!$A$2:$A$500,0)),"")</f>
        <v>219.23</v>
      </c>
      <c r="F1259" s="69" t="n">
        <f aca="false">IFERROR($C1259*$E1259,"")</f>
        <v>46.0383</v>
      </c>
    </row>
    <row r="1260" customFormat="false" ht="15" hidden="false" customHeight="true" outlineLevel="0" collapsed="false">
      <c r="A1260" s="66" t="s">
        <v>517</v>
      </c>
      <c r="B1260" s="66" t="s">
        <v>264</v>
      </c>
      <c r="C1260" s="66" t="n">
        <v>1</v>
      </c>
      <c r="D1260" s="67" t="str">
        <f aca="false">IFERROR(INDEX(المكونات!$B$2:$B$500,MATCH($B1260,المكونات!$A$2:$A$500,0)),"")</f>
        <v>قطعة</v>
      </c>
      <c r="E1260" s="68" t="n">
        <f aca="false">IFERROR(INDEX(المكونات!$C$2:$C$500,MATCH($B1260,المكونات!$A$2:$A$500,0)),"")</f>
        <v>4</v>
      </c>
      <c r="F1260" s="69" t="n">
        <f aca="false">IFERROR($C1260*$E1260,"")</f>
        <v>4</v>
      </c>
    </row>
    <row r="1261" customFormat="false" ht="15" hidden="false" customHeight="true" outlineLevel="0" collapsed="false">
      <c r="A1261" s="66" t="s">
        <v>517</v>
      </c>
      <c r="B1261" s="66" t="s">
        <v>260</v>
      </c>
      <c r="C1261" s="66" t="n">
        <v>0.03</v>
      </c>
      <c r="D1261" s="67" t="str">
        <f aca="false">IFERROR(INDEX(المكونات!$B$2:$B$500,MATCH($B1261,المكونات!$A$2:$A$500,0)),"")</f>
        <v>كجم</v>
      </c>
      <c r="E1261" s="68" t="n">
        <f aca="false">IFERROR(INDEX(المكونات!$C$2:$C$500,MATCH($B1261,المكونات!$A$2:$A$500,0)),"")</f>
        <v>21</v>
      </c>
      <c r="F1261" s="69" t="n">
        <f aca="false">IFERROR($C1261*$E1261,"")</f>
        <v>0.63</v>
      </c>
    </row>
    <row r="1262" customFormat="false" ht="15" hidden="false" customHeight="true" outlineLevel="0" collapsed="false">
      <c r="A1262" s="66" t="s">
        <v>517</v>
      </c>
      <c r="B1262" s="66" t="s">
        <v>284</v>
      </c>
      <c r="C1262" s="66" t="n">
        <v>0.02</v>
      </c>
      <c r="D1262" s="67" t="str">
        <f aca="false">IFERROR(INDEX(المكونات!$B$2:$B$500,MATCH($B1262,المكونات!$A$2:$A$500,0)),"")</f>
        <v>كجم</v>
      </c>
      <c r="E1262" s="68" t="n">
        <f aca="false">IFERROR(INDEX(المكونات!$C$2:$C$500,MATCH($B1262,المكونات!$A$2:$A$500,0)),"")</f>
        <v>27</v>
      </c>
      <c r="F1262" s="69" t="n">
        <f aca="false">IFERROR($C1262*$E1262,"")</f>
        <v>0.54</v>
      </c>
    </row>
    <row r="1263" customFormat="false" ht="15" hidden="false" customHeight="true" outlineLevel="0" collapsed="false">
      <c r="A1263" s="66" t="s">
        <v>517</v>
      </c>
      <c r="B1263" s="66" t="s">
        <v>227</v>
      </c>
      <c r="C1263" s="66" t="n">
        <v>0.02</v>
      </c>
      <c r="D1263" s="67" t="str">
        <f aca="false">IFERROR(INDEX(المكونات!$B$2:$B$500,MATCH($B1263,المكونات!$A$2:$A$500,0)),"")</f>
        <v>كجم</v>
      </c>
      <c r="E1263" s="68" t="n">
        <f aca="false">IFERROR(INDEX(المكونات!$C$2:$C$500,MATCH($B1263,المكونات!$A$2:$A$500,0)),"")</f>
        <v>95</v>
      </c>
      <c r="F1263" s="69" t="n">
        <f aca="false">IFERROR($C1263*$E1263,"")</f>
        <v>1.9</v>
      </c>
    </row>
    <row r="1264" customFormat="false" ht="15" hidden="false" customHeight="true" outlineLevel="0" collapsed="false">
      <c r="A1264" s="66" t="s">
        <v>517</v>
      </c>
      <c r="B1264" s="66" t="s">
        <v>176</v>
      </c>
      <c r="C1264" s="66" t="n">
        <v>1</v>
      </c>
      <c r="D1264" s="67" t="str">
        <f aca="false">IFERROR(INDEX(المكونات!$B$2:$B$500,MATCH($B1264,المكونات!$A$2:$A$500,0)),"")</f>
        <v>قطعة</v>
      </c>
      <c r="E1264" s="68" t="n">
        <f aca="false">IFERROR(INDEX(المكونات!$C$2:$C$500,MATCH($B1264,المكونات!$A$2:$A$500,0)),"")</f>
        <v>17.5</v>
      </c>
      <c r="F1264" s="69" t="n">
        <f aca="false">IFERROR($C1264*$E1264,"")</f>
        <v>17.5</v>
      </c>
    </row>
    <row r="1265" customFormat="false" ht="15" hidden="false" customHeight="true" outlineLevel="0" collapsed="false">
      <c r="A1265" s="66" t="s">
        <v>517</v>
      </c>
      <c r="B1265" s="66" t="s">
        <v>270</v>
      </c>
      <c r="C1265" s="66" t="n">
        <v>1</v>
      </c>
      <c r="D1265" s="67" t="str">
        <f aca="false">IFERROR(INDEX(المكونات!$B$2:$B$500,MATCH($B1265,المكونات!$A$2:$A$500,0)),"")</f>
        <v>قطعة</v>
      </c>
      <c r="E1265" s="68" t="n">
        <f aca="false">IFERROR(INDEX(المكونات!$C$2:$C$500,MATCH($B1265,المكونات!$A$2:$A$500,0)),"")</f>
        <v>4.5</v>
      </c>
      <c r="F1265" s="69" t="n">
        <f aca="false">IFERROR($C1265*$E1265,"")</f>
        <v>4.5</v>
      </c>
    </row>
    <row r="1266" customFormat="false" ht="15" hidden="false" customHeight="true" outlineLevel="0" collapsed="false">
      <c r="A1266" s="66" t="s">
        <v>517</v>
      </c>
      <c r="B1266" s="66" t="s">
        <v>290</v>
      </c>
      <c r="C1266" s="66" t="n">
        <v>2</v>
      </c>
      <c r="D1266" s="67" t="str">
        <f aca="false">IFERROR(INDEX(المكونات!$B$2:$B$500,MATCH($B1266,المكونات!$A$2:$A$500,0)),"")</f>
        <v>قطعة</v>
      </c>
      <c r="E1266" s="68" t="n">
        <f aca="false">IFERROR(INDEX(المكونات!$C$2:$C$500,MATCH($B1266,المكونات!$A$2:$A$500,0)),"")</f>
        <v>0.3</v>
      </c>
      <c r="F1266" s="69" t="n">
        <f aca="false">IFERROR($C1266*$E1266,"")</f>
        <v>0.6</v>
      </c>
    </row>
    <row r="1267" customFormat="false" ht="15" hidden="false" customHeight="true" outlineLevel="0" collapsed="false">
      <c r="A1267" s="66" t="s">
        <v>517</v>
      </c>
      <c r="B1267" s="66" t="s">
        <v>319</v>
      </c>
      <c r="C1267" s="66" t="n">
        <v>1</v>
      </c>
      <c r="D1267" s="67" t="str">
        <f aca="false">IFERROR(INDEX(المكونات!$B$2:$B$500,MATCH($B1267,المكونات!$A$2:$A$500,0)),"")</f>
        <v>قطعة (ورقة)</v>
      </c>
      <c r="E1267" s="68" t="n">
        <f aca="false">IFERROR(INDEX(المكونات!$C$2:$C$500,MATCH($B1267,المكونات!$A$2:$A$500,0)),"")</f>
        <v>0.3665</v>
      </c>
      <c r="F1267" s="69" t="n">
        <f aca="false">IFERROR($C1267*$E1267,"")</f>
        <v>0.3665</v>
      </c>
    </row>
    <row r="1268" customFormat="false" ht="15" hidden="false" customHeight="true" outlineLevel="0" collapsed="false">
      <c r="A1268" s="66" t="s">
        <v>517</v>
      </c>
      <c r="B1268" s="66" t="s">
        <v>133</v>
      </c>
      <c r="C1268" s="66" t="n">
        <v>1</v>
      </c>
      <c r="D1268" s="67" t="str">
        <f aca="false">IFERROR(INDEX(المكونات!$B$2:$B$500,MATCH($B1268,المكونات!$A$2:$A$500,0)),"")</f>
        <v>قطعة (كيس)</v>
      </c>
      <c r="E1268" s="68" t="n">
        <f aca="false">IFERROR(INDEX(المكونات!$C$2:$C$500,MATCH($B1268,المكونات!$A$2:$A$500,0)),"")</f>
        <v>1.4</v>
      </c>
      <c r="F1268" s="69" t="n">
        <f aca="false">IFERROR($C1268*$E1268,"")</f>
        <v>1.4</v>
      </c>
    </row>
    <row r="1269" customFormat="false" ht="15" hidden="false" customHeight="true" outlineLevel="0" collapsed="false">
      <c r="A1269" s="66" t="s">
        <v>517</v>
      </c>
      <c r="B1269" s="66" t="s">
        <v>293</v>
      </c>
      <c r="C1269" s="66" t="n">
        <v>1</v>
      </c>
      <c r="D1269" s="67" t="str">
        <f aca="false">IFERROR(INDEX(المكونات!$B$2:$B$500,MATCH($B1269,المكونات!$A$2:$A$500,0)),"")</f>
        <v>قطعة</v>
      </c>
      <c r="E1269" s="68" t="n">
        <f aca="false">IFERROR(INDEX(المكونات!$C$2:$C$500,MATCH($B1269,المكونات!$A$2:$A$500,0)),"")</f>
        <v>0.5</v>
      </c>
      <c r="F1269" s="69" t="n">
        <f aca="false">IFERROR($C1269*$E1269,"")</f>
        <v>0.5</v>
      </c>
    </row>
    <row r="1270" customFormat="false" ht="15" hidden="false" customHeight="true" outlineLevel="0" collapsed="false">
      <c r="A1270" s="66" t="s">
        <v>517</v>
      </c>
      <c r="B1270" s="66" t="s">
        <v>211</v>
      </c>
      <c r="C1270" s="66" t="n">
        <v>2</v>
      </c>
      <c r="D1270" s="67" t="str">
        <f aca="false">IFERROR(INDEX(المكونات!$B$2:$B$500,MATCH($B1270,المكونات!$A$2:$A$500,0)),"")</f>
        <v>قطعة (جلفز)</v>
      </c>
      <c r="E1270" s="68" t="n">
        <f aca="false">IFERROR(INDEX(المكونات!$C$2:$C$500,MATCH($B1270,المكونات!$A$2:$A$500,0)),"")</f>
        <v>0.18</v>
      </c>
      <c r="F1270" s="69" t="n">
        <f aca="false">IFERROR($C1270*$E1270,"")</f>
        <v>0.36</v>
      </c>
    </row>
    <row r="1271" customFormat="false" ht="15" hidden="false" customHeight="true" outlineLevel="0" collapsed="false">
      <c r="A1271" s="66" t="s">
        <v>517</v>
      </c>
      <c r="B1271" s="66" t="s">
        <v>322</v>
      </c>
      <c r="C1271" s="66" t="n">
        <v>1</v>
      </c>
      <c r="D1271" s="67" t="str">
        <f aca="false">IFERROR(INDEX(المكونات!$B$2:$B$500,MATCH($B1271,المكونات!$A$2:$A$500,0)),"")</f>
        <v>قطعة (كيس)</v>
      </c>
      <c r="E1271" s="68" t="n">
        <f aca="false">IFERROR(INDEX(المكونات!$C$2:$C$500,MATCH($B1271,المكونات!$A$2:$A$500,0)),"")</f>
        <v>1</v>
      </c>
      <c r="F1271" s="69" t="n">
        <f aca="false">IFERROR($C1271*$E1271,"")</f>
        <v>1</v>
      </c>
    </row>
    <row r="1272" customFormat="false" ht="15" hidden="false" customHeight="true" outlineLevel="0" collapsed="false">
      <c r="A1272" s="66" t="s">
        <v>517</v>
      </c>
      <c r="B1272" s="66" t="s">
        <v>336</v>
      </c>
      <c r="C1272" s="66" t="n">
        <v>0.06</v>
      </c>
      <c r="D1272" s="67" t="str">
        <f aca="false">IFERROR(INDEX(المكونات!$B$2:$B$500,MATCH($B1272,المكونات!$A$2:$A$500,0)),"")</f>
        <v>كجم</v>
      </c>
      <c r="E1272" s="68" t="n">
        <f aca="false">IFERROR(INDEX(المكونات!$C$2:$C$500,MATCH($B1272,المكونات!$A$2:$A$500,0)),"")</f>
        <v>220.02</v>
      </c>
      <c r="F1272" s="69" t="n">
        <f aca="false">IFERROR($C1272*$E1272,"")</f>
        <v>13.2012</v>
      </c>
    </row>
    <row r="1273" customFormat="false" ht="15" hidden="false" customHeight="true" outlineLevel="0" collapsed="false">
      <c r="A1273" s="66" t="s">
        <v>517</v>
      </c>
      <c r="B1273" s="66" t="s">
        <v>338</v>
      </c>
      <c r="C1273" s="66" t="n">
        <v>0.07</v>
      </c>
      <c r="D1273" s="67" t="str">
        <f aca="false">IFERROR(INDEX(المكونات!$B$2:$B$500,MATCH($B1273,المكونات!$A$2:$A$500,0)),"")</f>
        <v>كجم</v>
      </c>
      <c r="E1273" s="68" t="n">
        <f aca="false">IFERROR(INDEX(المكونات!$C$2:$C$500,MATCH($B1273,المكونات!$A$2:$A$500,0)),"")</f>
        <v>219.23</v>
      </c>
      <c r="F1273" s="69" t="n">
        <f aca="false">IFERROR($C1273*$E1273,"")</f>
        <v>15.3461</v>
      </c>
    </row>
    <row r="1274" customFormat="false" ht="15" hidden="false" customHeight="true" outlineLevel="0" collapsed="false">
      <c r="A1274" s="66" t="s">
        <v>493</v>
      </c>
      <c r="B1274" s="66" t="s">
        <v>264</v>
      </c>
      <c r="C1274" s="66" t="n">
        <v>1.5</v>
      </c>
      <c r="D1274" s="67" t="str">
        <f aca="false">IFERROR(INDEX(المكونات!$B$2:$B$500,MATCH($B1274,المكونات!$A$2:$A$500,0)),"")</f>
        <v>قطعة</v>
      </c>
      <c r="E1274" s="68" t="n">
        <f aca="false">IFERROR(INDEX(المكونات!$C$2:$C$500,MATCH($B1274,المكونات!$A$2:$A$500,0)),"")</f>
        <v>4</v>
      </c>
      <c r="F1274" s="69" t="n">
        <f aca="false">IFERROR($C1274*$E1274,"")</f>
        <v>6</v>
      </c>
    </row>
    <row r="1275" customFormat="false" ht="15" hidden="false" customHeight="true" outlineLevel="0" collapsed="false">
      <c r="A1275" s="66" t="s">
        <v>493</v>
      </c>
      <c r="B1275" s="66" t="s">
        <v>260</v>
      </c>
      <c r="C1275" s="66" t="n">
        <v>0.045</v>
      </c>
      <c r="D1275" s="67" t="str">
        <f aca="false">IFERROR(INDEX(المكونات!$B$2:$B$500,MATCH($B1275,المكونات!$A$2:$A$500,0)),"")</f>
        <v>كجم</v>
      </c>
      <c r="E1275" s="68" t="n">
        <f aca="false">IFERROR(INDEX(المكونات!$C$2:$C$500,MATCH($B1275,المكونات!$A$2:$A$500,0)),"")</f>
        <v>21</v>
      </c>
      <c r="F1275" s="69" t="n">
        <f aca="false">IFERROR($C1275*$E1275,"")</f>
        <v>0.945</v>
      </c>
    </row>
    <row r="1276" customFormat="false" ht="15" hidden="false" customHeight="true" outlineLevel="0" collapsed="false">
      <c r="A1276" s="66" t="s">
        <v>493</v>
      </c>
      <c r="B1276" s="66" t="s">
        <v>284</v>
      </c>
      <c r="C1276" s="66" t="n">
        <v>0.03</v>
      </c>
      <c r="D1276" s="67" t="str">
        <f aca="false">IFERROR(INDEX(المكونات!$B$2:$B$500,MATCH($B1276,المكونات!$A$2:$A$500,0)),"")</f>
        <v>كجم</v>
      </c>
      <c r="E1276" s="68" t="n">
        <f aca="false">IFERROR(INDEX(المكونات!$C$2:$C$500,MATCH($B1276,المكونات!$A$2:$A$500,0)),"")</f>
        <v>27</v>
      </c>
      <c r="F1276" s="69" t="n">
        <f aca="false">IFERROR($C1276*$E1276,"")</f>
        <v>0.81</v>
      </c>
    </row>
    <row r="1277" customFormat="false" ht="15" hidden="false" customHeight="true" outlineLevel="0" collapsed="false">
      <c r="A1277" s="66" t="s">
        <v>493</v>
      </c>
      <c r="B1277" s="66" t="s">
        <v>227</v>
      </c>
      <c r="C1277" s="66" t="n">
        <v>0.03</v>
      </c>
      <c r="D1277" s="67" t="str">
        <f aca="false">IFERROR(INDEX(المكونات!$B$2:$B$500,MATCH($B1277,المكونات!$A$2:$A$500,0)),"")</f>
        <v>كجم</v>
      </c>
      <c r="E1277" s="68" t="n">
        <f aca="false">IFERROR(INDEX(المكونات!$C$2:$C$500,MATCH($B1277,المكونات!$A$2:$A$500,0)),"")</f>
        <v>95</v>
      </c>
      <c r="F1277" s="69" t="n">
        <f aca="false">IFERROR($C1277*$E1277,"")</f>
        <v>2.85</v>
      </c>
    </row>
    <row r="1278" customFormat="false" ht="15" hidden="false" customHeight="true" outlineLevel="0" collapsed="false">
      <c r="A1278" s="66" t="s">
        <v>493</v>
      </c>
      <c r="B1278" s="66" t="s">
        <v>178</v>
      </c>
      <c r="C1278" s="66" t="n">
        <v>1</v>
      </c>
      <c r="D1278" s="67" t="str">
        <f aca="false">IFERROR(INDEX(المكونات!$B$2:$B$500,MATCH($B1278,المكونات!$A$2:$A$500,0)),"")</f>
        <v>قطعة</v>
      </c>
      <c r="E1278" s="68" t="n">
        <f aca="false">IFERROR(INDEX(المكونات!$C$2:$C$500,MATCH($B1278,المكونات!$A$2:$A$500,0)),"")</f>
        <v>25</v>
      </c>
      <c r="F1278" s="69" t="n">
        <f aca="false">IFERROR($C1278*$E1278,"")</f>
        <v>25</v>
      </c>
    </row>
    <row r="1279" customFormat="false" ht="15" hidden="false" customHeight="true" outlineLevel="0" collapsed="false">
      <c r="A1279" s="66" t="s">
        <v>493</v>
      </c>
      <c r="B1279" s="66" t="s">
        <v>268</v>
      </c>
      <c r="C1279" s="66" t="n">
        <v>1</v>
      </c>
      <c r="D1279" s="67" t="str">
        <f aca="false">IFERROR(INDEX(المكونات!$B$2:$B$500,MATCH($B1279,المكونات!$A$2:$A$500,0)),"")</f>
        <v>قطعة</v>
      </c>
      <c r="E1279" s="68" t="n">
        <f aca="false">IFERROR(INDEX(المكونات!$C$2:$C$500,MATCH($B1279,المكونات!$A$2:$A$500,0)),"")</f>
        <v>5.5</v>
      </c>
      <c r="F1279" s="69" t="n">
        <f aca="false">IFERROR($C1279*$E1279,"")</f>
        <v>5.5</v>
      </c>
    </row>
    <row r="1280" customFormat="false" ht="15" hidden="false" customHeight="true" outlineLevel="0" collapsed="false">
      <c r="A1280" s="66" t="s">
        <v>493</v>
      </c>
      <c r="B1280" s="66" t="s">
        <v>290</v>
      </c>
      <c r="C1280" s="66" t="n">
        <v>3</v>
      </c>
      <c r="D1280" s="67" t="str">
        <f aca="false">IFERROR(INDEX(المكونات!$B$2:$B$500,MATCH($B1280,المكونات!$A$2:$A$500,0)),"")</f>
        <v>قطعة</v>
      </c>
      <c r="E1280" s="68" t="n">
        <f aca="false">IFERROR(INDEX(المكونات!$C$2:$C$500,MATCH($B1280,المكونات!$A$2:$A$500,0)),"")</f>
        <v>0.3</v>
      </c>
      <c r="F1280" s="69" t="n">
        <f aca="false">IFERROR($C1280*$E1280,"")</f>
        <v>0.9</v>
      </c>
    </row>
    <row r="1281" customFormat="false" ht="15" hidden="false" customHeight="true" outlineLevel="0" collapsed="false">
      <c r="A1281" s="66" t="s">
        <v>493</v>
      </c>
      <c r="B1281" s="66" t="s">
        <v>319</v>
      </c>
      <c r="C1281" s="66" t="n">
        <v>1</v>
      </c>
      <c r="D1281" s="67" t="str">
        <f aca="false">IFERROR(INDEX(المكونات!$B$2:$B$500,MATCH($B1281,المكونات!$A$2:$A$500,0)),"")</f>
        <v>قطعة (ورقة)</v>
      </c>
      <c r="E1281" s="68" t="n">
        <f aca="false">IFERROR(INDEX(المكونات!$C$2:$C$500,MATCH($B1281,المكونات!$A$2:$A$500,0)),"")</f>
        <v>0.3665</v>
      </c>
      <c r="F1281" s="69" t="n">
        <f aca="false">IFERROR($C1281*$E1281,"")</f>
        <v>0.3665</v>
      </c>
    </row>
    <row r="1282" customFormat="false" ht="15" hidden="false" customHeight="true" outlineLevel="0" collapsed="false">
      <c r="A1282" s="66" t="s">
        <v>493</v>
      </c>
      <c r="B1282" s="66" t="s">
        <v>133</v>
      </c>
      <c r="C1282" s="66" t="n">
        <v>1</v>
      </c>
      <c r="D1282" s="67" t="str">
        <f aca="false">IFERROR(INDEX(المكونات!$B$2:$B$500,MATCH($B1282,المكونات!$A$2:$A$500,0)),"")</f>
        <v>قطعة (كيس)</v>
      </c>
      <c r="E1282" s="68" t="n">
        <f aca="false">IFERROR(INDEX(المكونات!$C$2:$C$500,MATCH($B1282,المكونات!$A$2:$A$500,0)),"")</f>
        <v>1.4</v>
      </c>
      <c r="F1282" s="69" t="n">
        <f aca="false">IFERROR($C1282*$E1282,"")</f>
        <v>1.4</v>
      </c>
    </row>
    <row r="1283" customFormat="false" ht="15" hidden="false" customHeight="true" outlineLevel="0" collapsed="false">
      <c r="A1283" s="66" t="s">
        <v>493</v>
      </c>
      <c r="B1283" s="66" t="s">
        <v>293</v>
      </c>
      <c r="C1283" s="66" t="n">
        <v>1</v>
      </c>
      <c r="D1283" s="67" t="str">
        <f aca="false">IFERROR(INDEX(المكونات!$B$2:$B$500,MATCH($B1283,المكونات!$A$2:$A$500,0)),"")</f>
        <v>قطعة</v>
      </c>
      <c r="E1283" s="68" t="n">
        <f aca="false">IFERROR(INDEX(المكونات!$C$2:$C$500,MATCH($B1283,المكونات!$A$2:$A$500,0)),"")</f>
        <v>0.5</v>
      </c>
      <c r="F1283" s="69" t="n">
        <f aca="false">IFERROR($C1283*$E1283,"")</f>
        <v>0.5</v>
      </c>
    </row>
    <row r="1284" customFormat="false" ht="15" hidden="false" customHeight="true" outlineLevel="0" collapsed="false">
      <c r="A1284" s="66" t="s">
        <v>493</v>
      </c>
      <c r="B1284" s="66" t="s">
        <v>211</v>
      </c>
      <c r="C1284" s="66" t="n">
        <v>2</v>
      </c>
      <c r="D1284" s="67" t="str">
        <f aca="false">IFERROR(INDEX(المكونات!$B$2:$B$500,MATCH($B1284,المكونات!$A$2:$A$500,0)),"")</f>
        <v>قطعة (جلفز)</v>
      </c>
      <c r="E1284" s="68" t="n">
        <f aca="false">IFERROR(INDEX(المكونات!$C$2:$C$500,MATCH($B1284,المكونات!$A$2:$A$500,0)),"")</f>
        <v>0.18</v>
      </c>
      <c r="F1284" s="69" t="n">
        <f aca="false">IFERROR($C1284*$E1284,"")</f>
        <v>0.36</v>
      </c>
    </row>
    <row r="1285" customFormat="false" ht="15" hidden="false" customHeight="true" outlineLevel="0" collapsed="false">
      <c r="A1285" s="66" t="s">
        <v>493</v>
      </c>
      <c r="B1285" s="66" t="s">
        <v>322</v>
      </c>
      <c r="C1285" s="66" t="n">
        <v>1</v>
      </c>
      <c r="D1285" s="67" t="str">
        <f aca="false">IFERROR(INDEX(المكونات!$B$2:$B$500,MATCH($B1285,المكونات!$A$2:$A$500,0)),"")</f>
        <v>قطعة (كيس)</v>
      </c>
      <c r="E1285" s="68" t="n">
        <f aca="false">IFERROR(INDEX(المكونات!$C$2:$C$500,MATCH($B1285,المكونات!$A$2:$A$500,0)),"")</f>
        <v>1</v>
      </c>
      <c r="F1285" s="69" t="n">
        <f aca="false">IFERROR($C1285*$E1285,"")</f>
        <v>1</v>
      </c>
    </row>
    <row r="1286" customFormat="false" ht="15" hidden="false" customHeight="true" outlineLevel="0" collapsed="false">
      <c r="A1286" s="66" t="s">
        <v>493</v>
      </c>
      <c r="B1286" s="66" t="s">
        <v>336</v>
      </c>
      <c r="C1286" s="66" t="n">
        <v>0.09</v>
      </c>
      <c r="D1286" s="67" t="str">
        <f aca="false">IFERROR(INDEX(المكونات!$B$2:$B$500,MATCH($B1286,المكونات!$A$2:$A$500,0)),"")</f>
        <v>كجم</v>
      </c>
      <c r="E1286" s="68" t="n">
        <f aca="false">IFERROR(INDEX(المكونات!$C$2:$C$500,MATCH($B1286,المكونات!$A$2:$A$500,0)),"")</f>
        <v>220.02</v>
      </c>
      <c r="F1286" s="69" t="n">
        <f aca="false">IFERROR($C1286*$E1286,"")</f>
        <v>19.8018</v>
      </c>
    </row>
    <row r="1287" customFormat="false" ht="15" hidden="false" customHeight="true" outlineLevel="0" collapsed="false">
      <c r="A1287" s="66" t="s">
        <v>493</v>
      </c>
      <c r="B1287" s="66" t="s">
        <v>338</v>
      </c>
      <c r="C1287" s="66" t="n">
        <v>0.105</v>
      </c>
      <c r="D1287" s="67" t="str">
        <f aca="false">IFERROR(INDEX(المكونات!$B$2:$B$500,MATCH($B1287,المكونات!$A$2:$A$500,0)),"")</f>
        <v>كجم</v>
      </c>
      <c r="E1287" s="68" t="n">
        <f aca="false">IFERROR(INDEX(المكونات!$C$2:$C$500,MATCH($B1287,المكونات!$A$2:$A$500,0)),"")</f>
        <v>219.23</v>
      </c>
      <c r="F1287" s="69" t="n">
        <f aca="false">IFERROR($C1287*$E1287,"")</f>
        <v>23.01915</v>
      </c>
    </row>
    <row r="1288" customFormat="false" ht="15" hidden="false" customHeight="true" outlineLevel="0" collapsed="false">
      <c r="A1288" s="66" t="s">
        <v>516</v>
      </c>
      <c r="B1288" s="66" t="s">
        <v>264</v>
      </c>
      <c r="C1288" s="66" t="n">
        <v>1</v>
      </c>
      <c r="D1288" s="67" t="str">
        <f aca="false">IFERROR(INDEX(المكونات!$B$2:$B$500,MATCH($B1288,المكونات!$A$2:$A$500,0)),"")</f>
        <v>قطعة</v>
      </c>
      <c r="E1288" s="68" t="n">
        <f aca="false">IFERROR(INDEX(المكونات!$C$2:$C$500,MATCH($B1288,المكونات!$A$2:$A$500,0)),"")</f>
        <v>4</v>
      </c>
      <c r="F1288" s="69" t="n">
        <f aca="false">IFERROR($C1288*$E1288,"")</f>
        <v>4</v>
      </c>
    </row>
    <row r="1289" customFormat="false" ht="15" hidden="false" customHeight="true" outlineLevel="0" collapsed="false">
      <c r="A1289" s="66" t="s">
        <v>516</v>
      </c>
      <c r="B1289" s="66" t="s">
        <v>260</v>
      </c>
      <c r="C1289" s="66" t="n">
        <v>0.03</v>
      </c>
      <c r="D1289" s="67" t="str">
        <f aca="false">IFERROR(INDEX(المكونات!$B$2:$B$500,MATCH($B1289,المكونات!$A$2:$A$500,0)),"")</f>
        <v>كجم</v>
      </c>
      <c r="E1289" s="68" t="n">
        <f aca="false">IFERROR(INDEX(المكونات!$C$2:$C$500,MATCH($B1289,المكونات!$A$2:$A$500,0)),"")</f>
        <v>21</v>
      </c>
      <c r="F1289" s="69" t="n">
        <f aca="false">IFERROR($C1289*$E1289,"")</f>
        <v>0.63</v>
      </c>
    </row>
    <row r="1290" customFormat="false" ht="15" hidden="false" customHeight="true" outlineLevel="0" collapsed="false">
      <c r="A1290" s="66" t="s">
        <v>516</v>
      </c>
      <c r="B1290" s="66" t="s">
        <v>284</v>
      </c>
      <c r="C1290" s="66" t="n">
        <v>0.02</v>
      </c>
      <c r="D1290" s="67" t="str">
        <f aca="false">IFERROR(INDEX(المكونات!$B$2:$B$500,MATCH($B1290,المكونات!$A$2:$A$500,0)),"")</f>
        <v>كجم</v>
      </c>
      <c r="E1290" s="68" t="n">
        <f aca="false">IFERROR(INDEX(المكونات!$C$2:$C$500,MATCH($B1290,المكونات!$A$2:$A$500,0)),"")</f>
        <v>27</v>
      </c>
      <c r="F1290" s="69" t="n">
        <f aca="false">IFERROR($C1290*$E1290,"")</f>
        <v>0.54</v>
      </c>
    </row>
    <row r="1291" customFormat="false" ht="15" hidden="false" customHeight="true" outlineLevel="0" collapsed="false">
      <c r="A1291" s="66" t="s">
        <v>516</v>
      </c>
      <c r="B1291" s="66" t="s">
        <v>227</v>
      </c>
      <c r="C1291" s="66" t="n">
        <v>0.02</v>
      </c>
      <c r="D1291" s="67" t="str">
        <f aca="false">IFERROR(INDEX(المكونات!$B$2:$B$500,MATCH($B1291,المكونات!$A$2:$A$500,0)),"")</f>
        <v>كجم</v>
      </c>
      <c r="E1291" s="68" t="n">
        <f aca="false">IFERROR(INDEX(المكونات!$C$2:$C$500,MATCH($B1291,المكونات!$A$2:$A$500,0)),"")</f>
        <v>95</v>
      </c>
      <c r="F1291" s="69" t="n">
        <f aca="false">IFERROR($C1291*$E1291,"")</f>
        <v>1.9</v>
      </c>
    </row>
    <row r="1292" customFormat="false" ht="15" hidden="false" customHeight="true" outlineLevel="0" collapsed="false">
      <c r="A1292" s="66" t="s">
        <v>516</v>
      </c>
      <c r="B1292" s="66" t="s">
        <v>176</v>
      </c>
      <c r="C1292" s="66" t="n">
        <v>1</v>
      </c>
      <c r="D1292" s="67" t="str">
        <f aca="false">IFERROR(INDEX(المكونات!$B$2:$B$500,MATCH($B1292,المكونات!$A$2:$A$500,0)),"")</f>
        <v>قطعة</v>
      </c>
      <c r="E1292" s="68" t="n">
        <f aca="false">IFERROR(INDEX(المكونات!$C$2:$C$500,MATCH($B1292,المكونات!$A$2:$A$500,0)),"")</f>
        <v>17.5</v>
      </c>
      <c r="F1292" s="69" t="n">
        <f aca="false">IFERROR($C1292*$E1292,"")</f>
        <v>17.5</v>
      </c>
    </row>
    <row r="1293" customFormat="false" ht="15" hidden="false" customHeight="true" outlineLevel="0" collapsed="false">
      <c r="A1293" s="66" t="s">
        <v>516</v>
      </c>
      <c r="B1293" s="66" t="s">
        <v>270</v>
      </c>
      <c r="C1293" s="66" t="n">
        <v>1</v>
      </c>
      <c r="D1293" s="67" t="str">
        <f aca="false">IFERROR(INDEX(المكونات!$B$2:$B$500,MATCH($B1293,المكونات!$A$2:$A$500,0)),"")</f>
        <v>قطعة</v>
      </c>
      <c r="E1293" s="68" t="n">
        <f aca="false">IFERROR(INDEX(المكونات!$C$2:$C$500,MATCH($B1293,المكونات!$A$2:$A$500,0)),"")</f>
        <v>4.5</v>
      </c>
      <c r="F1293" s="69" t="n">
        <f aca="false">IFERROR($C1293*$E1293,"")</f>
        <v>4.5</v>
      </c>
    </row>
    <row r="1294" customFormat="false" ht="15" hidden="false" customHeight="true" outlineLevel="0" collapsed="false">
      <c r="A1294" s="66" t="s">
        <v>516</v>
      </c>
      <c r="B1294" s="66" t="s">
        <v>290</v>
      </c>
      <c r="C1294" s="66" t="n">
        <v>2</v>
      </c>
      <c r="D1294" s="67" t="str">
        <f aca="false">IFERROR(INDEX(المكونات!$B$2:$B$500,MATCH($B1294,المكونات!$A$2:$A$500,0)),"")</f>
        <v>قطعة</v>
      </c>
      <c r="E1294" s="68" t="n">
        <f aca="false">IFERROR(INDEX(المكونات!$C$2:$C$500,MATCH($B1294,المكونات!$A$2:$A$500,0)),"")</f>
        <v>0.3</v>
      </c>
      <c r="F1294" s="69" t="n">
        <f aca="false">IFERROR($C1294*$E1294,"")</f>
        <v>0.6</v>
      </c>
    </row>
    <row r="1295" customFormat="false" ht="15" hidden="false" customHeight="true" outlineLevel="0" collapsed="false">
      <c r="A1295" s="66" t="s">
        <v>516</v>
      </c>
      <c r="B1295" s="66" t="s">
        <v>319</v>
      </c>
      <c r="C1295" s="66" t="n">
        <v>1</v>
      </c>
      <c r="D1295" s="67" t="str">
        <f aca="false">IFERROR(INDEX(المكونات!$B$2:$B$500,MATCH($B1295,المكونات!$A$2:$A$500,0)),"")</f>
        <v>قطعة (ورقة)</v>
      </c>
      <c r="E1295" s="68" t="n">
        <f aca="false">IFERROR(INDEX(المكونات!$C$2:$C$500,MATCH($B1295,المكونات!$A$2:$A$500,0)),"")</f>
        <v>0.3665</v>
      </c>
      <c r="F1295" s="69" t="n">
        <f aca="false">IFERROR($C1295*$E1295,"")</f>
        <v>0.3665</v>
      </c>
    </row>
    <row r="1296" customFormat="false" ht="15" hidden="false" customHeight="true" outlineLevel="0" collapsed="false">
      <c r="A1296" s="66" t="s">
        <v>516</v>
      </c>
      <c r="B1296" s="66" t="s">
        <v>133</v>
      </c>
      <c r="C1296" s="66" t="n">
        <v>1</v>
      </c>
      <c r="D1296" s="67" t="str">
        <f aca="false">IFERROR(INDEX(المكونات!$B$2:$B$500,MATCH($B1296,المكونات!$A$2:$A$500,0)),"")</f>
        <v>قطعة (كيس)</v>
      </c>
      <c r="E1296" s="68" t="n">
        <f aca="false">IFERROR(INDEX(المكونات!$C$2:$C$500,MATCH($B1296,المكونات!$A$2:$A$500,0)),"")</f>
        <v>1.4</v>
      </c>
      <c r="F1296" s="69" t="n">
        <f aca="false">IFERROR($C1296*$E1296,"")</f>
        <v>1.4</v>
      </c>
    </row>
    <row r="1297" customFormat="false" ht="15" hidden="false" customHeight="true" outlineLevel="0" collapsed="false">
      <c r="A1297" s="66" t="s">
        <v>516</v>
      </c>
      <c r="B1297" s="66" t="s">
        <v>293</v>
      </c>
      <c r="C1297" s="66" t="n">
        <v>1</v>
      </c>
      <c r="D1297" s="67" t="str">
        <f aca="false">IFERROR(INDEX(المكونات!$B$2:$B$500,MATCH($B1297,المكونات!$A$2:$A$500,0)),"")</f>
        <v>قطعة</v>
      </c>
      <c r="E1297" s="68" t="n">
        <f aca="false">IFERROR(INDEX(المكونات!$C$2:$C$500,MATCH($B1297,المكونات!$A$2:$A$500,0)),"")</f>
        <v>0.5</v>
      </c>
      <c r="F1297" s="69" t="n">
        <f aca="false">IFERROR($C1297*$E1297,"")</f>
        <v>0.5</v>
      </c>
    </row>
    <row r="1298" customFormat="false" ht="15" hidden="false" customHeight="true" outlineLevel="0" collapsed="false">
      <c r="A1298" s="66" t="s">
        <v>516</v>
      </c>
      <c r="B1298" s="66" t="s">
        <v>211</v>
      </c>
      <c r="C1298" s="66" t="n">
        <v>2</v>
      </c>
      <c r="D1298" s="67" t="str">
        <f aca="false">IFERROR(INDEX(المكونات!$B$2:$B$500,MATCH($B1298,المكونات!$A$2:$A$500,0)),"")</f>
        <v>قطعة (جلفز)</v>
      </c>
      <c r="E1298" s="68" t="n">
        <f aca="false">IFERROR(INDEX(المكونات!$C$2:$C$500,MATCH($B1298,المكونات!$A$2:$A$500,0)),"")</f>
        <v>0.18</v>
      </c>
      <c r="F1298" s="69" t="n">
        <f aca="false">IFERROR($C1298*$E1298,"")</f>
        <v>0.36</v>
      </c>
    </row>
    <row r="1299" customFormat="false" ht="15" hidden="false" customHeight="true" outlineLevel="0" collapsed="false">
      <c r="A1299" s="66" t="s">
        <v>516</v>
      </c>
      <c r="B1299" s="66" t="s">
        <v>322</v>
      </c>
      <c r="C1299" s="66" t="n">
        <v>1</v>
      </c>
      <c r="D1299" s="67" t="str">
        <f aca="false">IFERROR(INDEX(المكونات!$B$2:$B$500,MATCH($B1299,المكونات!$A$2:$A$500,0)),"")</f>
        <v>قطعة (كيس)</v>
      </c>
      <c r="E1299" s="68" t="n">
        <f aca="false">IFERROR(INDEX(المكونات!$C$2:$C$500,MATCH($B1299,المكونات!$A$2:$A$500,0)),"")</f>
        <v>1</v>
      </c>
      <c r="F1299" s="69" t="n">
        <f aca="false">IFERROR($C1299*$E1299,"")</f>
        <v>1</v>
      </c>
    </row>
    <row r="1300" customFormat="false" ht="15" hidden="false" customHeight="true" outlineLevel="0" collapsed="false">
      <c r="A1300" s="66" t="s">
        <v>516</v>
      </c>
      <c r="B1300" s="66" t="s">
        <v>207</v>
      </c>
      <c r="C1300" s="66" t="n">
        <v>0.1</v>
      </c>
      <c r="D1300" s="67" t="str">
        <f aca="false">IFERROR(INDEX(المكونات!$B$2:$B$500,MATCH($B1300,المكونات!$A$2:$A$500,0)),"")</f>
        <v>كجم</v>
      </c>
      <c r="E1300" s="68" t="n">
        <f aca="false">IFERROR(INDEX(المكونات!$C$2:$C$500,MATCH($B1300,المكونات!$A$2:$A$500,0)),"")</f>
        <v>105</v>
      </c>
      <c r="F1300" s="69" t="n">
        <f aca="false">IFERROR($C1300*$E1300,"")</f>
        <v>10.5</v>
      </c>
    </row>
    <row r="1301" customFormat="false" ht="15" hidden="false" customHeight="true" outlineLevel="0" collapsed="false">
      <c r="A1301" s="66" t="s">
        <v>485</v>
      </c>
      <c r="B1301" s="66" t="s">
        <v>264</v>
      </c>
      <c r="C1301" s="66" t="n">
        <v>1.5</v>
      </c>
      <c r="D1301" s="67" t="str">
        <f aca="false">IFERROR(INDEX(المكونات!$B$2:$B$500,MATCH($B1301,المكونات!$A$2:$A$500,0)),"")</f>
        <v>قطعة</v>
      </c>
      <c r="E1301" s="68" t="n">
        <f aca="false">IFERROR(INDEX(المكونات!$C$2:$C$500,MATCH($B1301,المكونات!$A$2:$A$500,0)),"")</f>
        <v>4</v>
      </c>
      <c r="F1301" s="69" t="n">
        <f aca="false">IFERROR($C1301*$E1301,"")</f>
        <v>6</v>
      </c>
    </row>
    <row r="1302" customFormat="false" ht="15" hidden="false" customHeight="true" outlineLevel="0" collapsed="false">
      <c r="A1302" s="66" t="s">
        <v>485</v>
      </c>
      <c r="B1302" s="66" t="s">
        <v>260</v>
      </c>
      <c r="C1302" s="66" t="n">
        <v>0.045</v>
      </c>
      <c r="D1302" s="67" t="str">
        <f aca="false">IFERROR(INDEX(المكونات!$B$2:$B$500,MATCH($B1302,المكونات!$A$2:$A$500,0)),"")</f>
        <v>كجم</v>
      </c>
      <c r="E1302" s="68" t="n">
        <f aca="false">IFERROR(INDEX(المكونات!$C$2:$C$500,MATCH($B1302,المكونات!$A$2:$A$500,0)),"")</f>
        <v>21</v>
      </c>
      <c r="F1302" s="69" t="n">
        <f aca="false">IFERROR($C1302*$E1302,"")</f>
        <v>0.945</v>
      </c>
    </row>
    <row r="1303" customFormat="false" ht="15" hidden="false" customHeight="true" outlineLevel="0" collapsed="false">
      <c r="A1303" s="66" t="s">
        <v>485</v>
      </c>
      <c r="B1303" s="66" t="s">
        <v>284</v>
      </c>
      <c r="C1303" s="66" t="n">
        <v>0.03</v>
      </c>
      <c r="D1303" s="67" t="str">
        <f aca="false">IFERROR(INDEX(المكونات!$B$2:$B$500,MATCH($B1303,المكونات!$A$2:$A$500,0)),"")</f>
        <v>كجم</v>
      </c>
      <c r="E1303" s="68" t="n">
        <f aca="false">IFERROR(INDEX(المكونات!$C$2:$C$500,MATCH($B1303,المكونات!$A$2:$A$500,0)),"")</f>
        <v>27</v>
      </c>
      <c r="F1303" s="69" t="n">
        <f aca="false">IFERROR($C1303*$E1303,"")</f>
        <v>0.81</v>
      </c>
    </row>
    <row r="1304" customFormat="false" ht="15" hidden="false" customHeight="true" outlineLevel="0" collapsed="false">
      <c r="A1304" s="66" t="s">
        <v>485</v>
      </c>
      <c r="B1304" s="66" t="s">
        <v>227</v>
      </c>
      <c r="C1304" s="66" t="n">
        <v>0.03</v>
      </c>
      <c r="D1304" s="67" t="str">
        <f aca="false">IFERROR(INDEX(المكونات!$B$2:$B$500,MATCH($B1304,المكونات!$A$2:$A$500,0)),"")</f>
        <v>كجم</v>
      </c>
      <c r="E1304" s="68" t="n">
        <f aca="false">IFERROR(INDEX(المكونات!$C$2:$C$500,MATCH($B1304,المكونات!$A$2:$A$500,0)),"")</f>
        <v>95</v>
      </c>
      <c r="F1304" s="69" t="n">
        <f aca="false">IFERROR($C1304*$E1304,"")</f>
        <v>2.85</v>
      </c>
    </row>
    <row r="1305" customFormat="false" ht="15" hidden="false" customHeight="true" outlineLevel="0" collapsed="false">
      <c r="A1305" s="66" t="s">
        <v>485</v>
      </c>
      <c r="B1305" s="66" t="s">
        <v>178</v>
      </c>
      <c r="C1305" s="66" t="n">
        <v>1</v>
      </c>
      <c r="D1305" s="67" t="str">
        <f aca="false">IFERROR(INDEX(المكونات!$B$2:$B$500,MATCH($B1305,المكونات!$A$2:$A$500,0)),"")</f>
        <v>قطعة</v>
      </c>
      <c r="E1305" s="68" t="n">
        <f aca="false">IFERROR(INDEX(المكونات!$C$2:$C$500,MATCH($B1305,المكونات!$A$2:$A$500,0)),"")</f>
        <v>25</v>
      </c>
      <c r="F1305" s="69" t="n">
        <f aca="false">IFERROR($C1305*$E1305,"")</f>
        <v>25</v>
      </c>
    </row>
    <row r="1306" customFormat="false" ht="15" hidden="false" customHeight="true" outlineLevel="0" collapsed="false">
      <c r="A1306" s="66" t="s">
        <v>485</v>
      </c>
      <c r="B1306" s="66" t="s">
        <v>268</v>
      </c>
      <c r="C1306" s="66" t="n">
        <v>1</v>
      </c>
      <c r="D1306" s="67" t="str">
        <f aca="false">IFERROR(INDEX(المكونات!$B$2:$B$500,MATCH($B1306,المكونات!$A$2:$A$500,0)),"")</f>
        <v>قطعة</v>
      </c>
      <c r="E1306" s="68" t="n">
        <f aca="false">IFERROR(INDEX(المكونات!$C$2:$C$500,MATCH($B1306,المكونات!$A$2:$A$500,0)),"")</f>
        <v>5.5</v>
      </c>
      <c r="F1306" s="69" t="n">
        <f aca="false">IFERROR($C1306*$E1306,"")</f>
        <v>5.5</v>
      </c>
    </row>
    <row r="1307" customFormat="false" ht="15" hidden="false" customHeight="true" outlineLevel="0" collapsed="false">
      <c r="A1307" s="66" t="s">
        <v>485</v>
      </c>
      <c r="B1307" s="66" t="s">
        <v>290</v>
      </c>
      <c r="C1307" s="66" t="n">
        <v>3</v>
      </c>
      <c r="D1307" s="67" t="str">
        <f aca="false">IFERROR(INDEX(المكونات!$B$2:$B$500,MATCH($B1307,المكونات!$A$2:$A$500,0)),"")</f>
        <v>قطعة</v>
      </c>
      <c r="E1307" s="68" t="n">
        <f aca="false">IFERROR(INDEX(المكونات!$C$2:$C$500,MATCH($B1307,المكونات!$A$2:$A$500,0)),"")</f>
        <v>0.3</v>
      </c>
      <c r="F1307" s="69" t="n">
        <f aca="false">IFERROR($C1307*$E1307,"")</f>
        <v>0.9</v>
      </c>
    </row>
    <row r="1308" customFormat="false" ht="15" hidden="false" customHeight="true" outlineLevel="0" collapsed="false">
      <c r="A1308" s="66" t="s">
        <v>485</v>
      </c>
      <c r="B1308" s="66" t="s">
        <v>319</v>
      </c>
      <c r="C1308" s="66" t="n">
        <v>1</v>
      </c>
      <c r="D1308" s="67" t="str">
        <f aca="false">IFERROR(INDEX(المكونات!$B$2:$B$500,MATCH($B1308,المكونات!$A$2:$A$500,0)),"")</f>
        <v>قطعة (ورقة)</v>
      </c>
      <c r="E1308" s="68" t="n">
        <f aca="false">IFERROR(INDEX(المكونات!$C$2:$C$500,MATCH($B1308,المكونات!$A$2:$A$500,0)),"")</f>
        <v>0.3665</v>
      </c>
      <c r="F1308" s="69" t="n">
        <f aca="false">IFERROR($C1308*$E1308,"")</f>
        <v>0.3665</v>
      </c>
    </row>
    <row r="1309" customFormat="false" ht="15" hidden="false" customHeight="true" outlineLevel="0" collapsed="false">
      <c r="A1309" s="66" t="s">
        <v>485</v>
      </c>
      <c r="B1309" s="66" t="s">
        <v>133</v>
      </c>
      <c r="C1309" s="66" t="n">
        <v>1</v>
      </c>
      <c r="D1309" s="67" t="str">
        <f aca="false">IFERROR(INDEX(المكونات!$B$2:$B$500,MATCH($B1309,المكونات!$A$2:$A$500,0)),"")</f>
        <v>قطعة (كيس)</v>
      </c>
      <c r="E1309" s="68" t="n">
        <f aca="false">IFERROR(INDEX(المكونات!$C$2:$C$500,MATCH($B1309,المكونات!$A$2:$A$500,0)),"")</f>
        <v>1.4</v>
      </c>
      <c r="F1309" s="69" t="n">
        <f aca="false">IFERROR($C1309*$E1309,"")</f>
        <v>1.4</v>
      </c>
    </row>
    <row r="1310" customFormat="false" ht="15" hidden="false" customHeight="true" outlineLevel="0" collapsed="false">
      <c r="A1310" s="66" t="s">
        <v>485</v>
      </c>
      <c r="B1310" s="66" t="s">
        <v>293</v>
      </c>
      <c r="C1310" s="66" t="n">
        <v>1</v>
      </c>
      <c r="D1310" s="67" t="str">
        <f aca="false">IFERROR(INDEX(المكونات!$B$2:$B$500,MATCH($B1310,المكونات!$A$2:$A$500,0)),"")</f>
        <v>قطعة</v>
      </c>
      <c r="E1310" s="68" t="n">
        <f aca="false">IFERROR(INDEX(المكونات!$C$2:$C$500,MATCH($B1310,المكونات!$A$2:$A$500,0)),"")</f>
        <v>0.5</v>
      </c>
      <c r="F1310" s="69" t="n">
        <f aca="false">IFERROR($C1310*$E1310,"")</f>
        <v>0.5</v>
      </c>
    </row>
    <row r="1311" customFormat="false" ht="15" hidden="false" customHeight="true" outlineLevel="0" collapsed="false">
      <c r="A1311" s="66" t="s">
        <v>485</v>
      </c>
      <c r="B1311" s="66" t="s">
        <v>211</v>
      </c>
      <c r="C1311" s="66" t="n">
        <v>2</v>
      </c>
      <c r="D1311" s="67" t="str">
        <f aca="false">IFERROR(INDEX(المكونات!$B$2:$B$500,MATCH($B1311,المكونات!$A$2:$A$500,0)),"")</f>
        <v>قطعة (جلفز)</v>
      </c>
      <c r="E1311" s="68" t="n">
        <f aca="false">IFERROR(INDEX(المكونات!$C$2:$C$500,MATCH($B1311,المكونات!$A$2:$A$500,0)),"")</f>
        <v>0.18</v>
      </c>
      <c r="F1311" s="69" t="n">
        <f aca="false">IFERROR($C1311*$E1311,"")</f>
        <v>0.36</v>
      </c>
    </row>
    <row r="1312" customFormat="false" ht="15" hidden="false" customHeight="true" outlineLevel="0" collapsed="false">
      <c r="A1312" s="66" t="s">
        <v>485</v>
      </c>
      <c r="B1312" s="66" t="s">
        <v>322</v>
      </c>
      <c r="C1312" s="66" t="n">
        <v>1</v>
      </c>
      <c r="D1312" s="67" t="str">
        <f aca="false">IFERROR(INDEX(المكونات!$B$2:$B$500,MATCH($B1312,المكونات!$A$2:$A$500,0)),"")</f>
        <v>قطعة (كيس)</v>
      </c>
      <c r="E1312" s="68" t="n">
        <f aca="false">IFERROR(INDEX(المكونات!$C$2:$C$500,MATCH($B1312,المكونات!$A$2:$A$500,0)),"")</f>
        <v>1</v>
      </c>
      <c r="F1312" s="69" t="n">
        <f aca="false">IFERROR($C1312*$E1312,"")</f>
        <v>1</v>
      </c>
    </row>
    <row r="1313" customFormat="false" ht="15" hidden="false" customHeight="true" outlineLevel="0" collapsed="false">
      <c r="A1313" s="66" t="s">
        <v>485</v>
      </c>
      <c r="B1313" s="66" t="s">
        <v>207</v>
      </c>
      <c r="C1313" s="66" t="n">
        <v>0.15</v>
      </c>
      <c r="D1313" s="67" t="str">
        <f aca="false">IFERROR(INDEX(المكونات!$B$2:$B$500,MATCH($B1313,المكونات!$A$2:$A$500,0)),"")</f>
        <v>كجم</v>
      </c>
      <c r="E1313" s="68" t="n">
        <f aca="false">IFERROR(INDEX(المكونات!$C$2:$C$500,MATCH($B1313,المكونات!$A$2:$A$500,0)),"")</f>
        <v>105</v>
      </c>
      <c r="F1313" s="69" t="n">
        <f aca="false">IFERROR($C1313*$E1313,"")</f>
        <v>15.75</v>
      </c>
    </row>
    <row r="1314" customFormat="false" ht="15" hidden="false" customHeight="true" outlineLevel="0" collapsed="false">
      <c r="A1314" s="66" t="s">
        <v>419</v>
      </c>
      <c r="B1314" s="66" t="s">
        <v>264</v>
      </c>
      <c r="C1314" s="66" t="n">
        <v>1</v>
      </c>
      <c r="D1314" s="67" t="str">
        <f aca="false">IFERROR(INDEX(المكونات!$B$2:$B$500,MATCH($B1314,المكونات!$A$2:$A$500,0)),"")</f>
        <v>قطعة</v>
      </c>
      <c r="E1314" s="68" t="n">
        <f aca="false">IFERROR(INDEX(المكونات!$C$2:$C$500,MATCH($B1314,المكونات!$A$2:$A$500,0)),"")</f>
        <v>4</v>
      </c>
      <c r="F1314" s="69" t="n">
        <f aca="false">IFERROR($C1314*$E1314,"")</f>
        <v>4</v>
      </c>
    </row>
    <row r="1315" customFormat="false" ht="15" hidden="false" customHeight="true" outlineLevel="0" collapsed="false">
      <c r="A1315" s="66" t="s">
        <v>419</v>
      </c>
      <c r="B1315" s="66" t="s">
        <v>260</v>
      </c>
      <c r="C1315" s="66" t="n">
        <v>0.03</v>
      </c>
      <c r="D1315" s="67" t="str">
        <f aca="false">IFERROR(INDEX(المكونات!$B$2:$B$500,MATCH($B1315,المكونات!$A$2:$A$500,0)),"")</f>
        <v>كجم</v>
      </c>
      <c r="E1315" s="68" t="n">
        <f aca="false">IFERROR(INDEX(المكونات!$C$2:$C$500,MATCH($B1315,المكونات!$A$2:$A$500,0)),"")</f>
        <v>21</v>
      </c>
      <c r="F1315" s="69" t="n">
        <f aca="false">IFERROR($C1315*$E1315,"")</f>
        <v>0.63</v>
      </c>
    </row>
    <row r="1316" customFormat="false" ht="15" hidden="false" customHeight="true" outlineLevel="0" collapsed="false">
      <c r="A1316" s="66" t="s">
        <v>419</v>
      </c>
      <c r="B1316" s="66" t="s">
        <v>284</v>
      </c>
      <c r="C1316" s="66" t="n">
        <v>0.02</v>
      </c>
      <c r="D1316" s="67" t="str">
        <f aca="false">IFERROR(INDEX(المكونات!$B$2:$B$500,MATCH($B1316,المكونات!$A$2:$A$500,0)),"")</f>
        <v>كجم</v>
      </c>
      <c r="E1316" s="68" t="n">
        <f aca="false">IFERROR(INDEX(المكونات!$C$2:$C$500,MATCH($B1316,المكونات!$A$2:$A$500,0)),"")</f>
        <v>27</v>
      </c>
      <c r="F1316" s="69" t="n">
        <f aca="false">IFERROR($C1316*$E1316,"")</f>
        <v>0.54</v>
      </c>
    </row>
    <row r="1317" customFormat="false" ht="15" hidden="false" customHeight="true" outlineLevel="0" collapsed="false">
      <c r="A1317" s="66" t="s">
        <v>419</v>
      </c>
      <c r="B1317" s="66" t="s">
        <v>227</v>
      </c>
      <c r="C1317" s="66" t="n">
        <v>0.02</v>
      </c>
      <c r="D1317" s="67" t="str">
        <f aca="false">IFERROR(INDEX(المكونات!$B$2:$B$500,MATCH($B1317,المكونات!$A$2:$A$500,0)),"")</f>
        <v>كجم</v>
      </c>
      <c r="E1317" s="68" t="n">
        <f aca="false">IFERROR(INDEX(المكونات!$C$2:$C$500,MATCH($B1317,المكونات!$A$2:$A$500,0)),"")</f>
        <v>95</v>
      </c>
      <c r="F1317" s="69" t="n">
        <f aca="false">IFERROR($C1317*$E1317,"")</f>
        <v>1.9</v>
      </c>
    </row>
    <row r="1318" customFormat="false" ht="15" hidden="false" customHeight="true" outlineLevel="0" collapsed="false">
      <c r="A1318" s="66" t="s">
        <v>419</v>
      </c>
      <c r="B1318" s="66" t="s">
        <v>176</v>
      </c>
      <c r="C1318" s="66" t="n">
        <v>1</v>
      </c>
      <c r="D1318" s="67" t="str">
        <f aca="false">IFERROR(INDEX(المكونات!$B$2:$B$500,MATCH($B1318,المكونات!$A$2:$A$500,0)),"")</f>
        <v>قطعة</v>
      </c>
      <c r="E1318" s="68" t="n">
        <f aca="false">IFERROR(INDEX(المكونات!$C$2:$C$500,MATCH($B1318,المكونات!$A$2:$A$500,0)),"")</f>
        <v>17.5</v>
      </c>
      <c r="F1318" s="69" t="n">
        <f aca="false">IFERROR($C1318*$E1318,"")</f>
        <v>17.5</v>
      </c>
    </row>
    <row r="1319" customFormat="false" ht="15" hidden="false" customHeight="true" outlineLevel="0" collapsed="false">
      <c r="A1319" s="66" t="s">
        <v>419</v>
      </c>
      <c r="B1319" s="66" t="s">
        <v>270</v>
      </c>
      <c r="C1319" s="66" t="n">
        <v>1</v>
      </c>
      <c r="D1319" s="67" t="str">
        <f aca="false">IFERROR(INDEX(المكونات!$B$2:$B$500,MATCH($B1319,المكونات!$A$2:$A$500,0)),"")</f>
        <v>قطعة</v>
      </c>
      <c r="E1319" s="68" t="n">
        <f aca="false">IFERROR(INDEX(المكونات!$C$2:$C$500,MATCH($B1319,المكونات!$A$2:$A$500,0)),"")</f>
        <v>4.5</v>
      </c>
      <c r="F1319" s="69" t="n">
        <f aca="false">IFERROR($C1319*$E1319,"")</f>
        <v>4.5</v>
      </c>
    </row>
    <row r="1320" customFormat="false" ht="15" hidden="false" customHeight="true" outlineLevel="0" collapsed="false">
      <c r="A1320" s="66" t="s">
        <v>419</v>
      </c>
      <c r="B1320" s="66" t="s">
        <v>290</v>
      </c>
      <c r="C1320" s="66" t="n">
        <v>2</v>
      </c>
      <c r="D1320" s="67" t="str">
        <f aca="false">IFERROR(INDEX(المكونات!$B$2:$B$500,MATCH($B1320,المكونات!$A$2:$A$500,0)),"")</f>
        <v>قطعة</v>
      </c>
      <c r="E1320" s="68" t="n">
        <f aca="false">IFERROR(INDEX(المكونات!$C$2:$C$500,MATCH($B1320,المكونات!$A$2:$A$500,0)),"")</f>
        <v>0.3</v>
      </c>
      <c r="F1320" s="69" t="n">
        <f aca="false">IFERROR($C1320*$E1320,"")</f>
        <v>0.6</v>
      </c>
    </row>
    <row r="1321" customFormat="false" ht="15" hidden="false" customHeight="true" outlineLevel="0" collapsed="false">
      <c r="A1321" s="66" t="s">
        <v>419</v>
      </c>
      <c r="B1321" s="66" t="s">
        <v>319</v>
      </c>
      <c r="C1321" s="66" t="n">
        <v>1</v>
      </c>
      <c r="D1321" s="67" t="str">
        <f aca="false">IFERROR(INDEX(المكونات!$B$2:$B$500,MATCH($B1321,المكونات!$A$2:$A$500,0)),"")</f>
        <v>قطعة (ورقة)</v>
      </c>
      <c r="E1321" s="68" t="n">
        <f aca="false">IFERROR(INDEX(المكونات!$C$2:$C$500,MATCH($B1321,المكونات!$A$2:$A$500,0)),"")</f>
        <v>0.3665</v>
      </c>
      <c r="F1321" s="69" t="n">
        <f aca="false">IFERROR($C1321*$E1321,"")</f>
        <v>0.3665</v>
      </c>
    </row>
    <row r="1322" customFormat="false" ht="15" hidden="false" customHeight="true" outlineLevel="0" collapsed="false">
      <c r="A1322" s="66" t="s">
        <v>419</v>
      </c>
      <c r="B1322" s="66" t="s">
        <v>133</v>
      </c>
      <c r="C1322" s="66" t="n">
        <v>1</v>
      </c>
      <c r="D1322" s="67" t="str">
        <f aca="false">IFERROR(INDEX(المكونات!$B$2:$B$500,MATCH($B1322,المكونات!$A$2:$A$500,0)),"")</f>
        <v>قطعة (كيس)</v>
      </c>
      <c r="E1322" s="68" t="n">
        <f aca="false">IFERROR(INDEX(المكونات!$C$2:$C$500,MATCH($B1322,المكونات!$A$2:$A$500,0)),"")</f>
        <v>1.4</v>
      </c>
      <c r="F1322" s="69" t="n">
        <f aca="false">IFERROR($C1322*$E1322,"")</f>
        <v>1.4</v>
      </c>
    </row>
    <row r="1323" customFormat="false" ht="15" hidden="false" customHeight="true" outlineLevel="0" collapsed="false">
      <c r="A1323" s="66" t="s">
        <v>419</v>
      </c>
      <c r="B1323" s="66" t="s">
        <v>293</v>
      </c>
      <c r="C1323" s="66" t="n">
        <v>1</v>
      </c>
      <c r="D1323" s="67" t="str">
        <f aca="false">IFERROR(INDEX(المكونات!$B$2:$B$500,MATCH($B1323,المكونات!$A$2:$A$500,0)),"")</f>
        <v>قطعة</v>
      </c>
      <c r="E1323" s="68" t="n">
        <f aca="false">IFERROR(INDEX(المكونات!$C$2:$C$500,MATCH($B1323,المكونات!$A$2:$A$500,0)),"")</f>
        <v>0.5</v>
      </c>
      <c r="F1323" s="69" t="n">
        <f aca="false">IFERROR($C1323*$E1323,"")</f>
        <v>0.5</v>
      </c>
    </row>
    <row r="1324" customFormat="false" ht="15" hidden="false" customHeight="true" outlineLevel="0" collapsed="false">
      <c r="A1324" s="66" t="s">
        <v>419</v>
      </c>
      <c r="B1324" s="66" t="s">
        <v>211</v>
      </c>
      <c r="C1324" s="66" t="n">
        <v>2</v>
      </c>
      <c r="D1324" s="67" t="str">
        <f aca="false">IFERROR(INDEX(المكونات!$B$2:$B$500,MATCH($B1324,المكونات!$A$2:$A$500,0)),"")</f>
        <v>قطعة (جلفز)</v>
      </c>
      <c r="E1324" s="68" t="n">
        <f aca="false">IFERROR(INDEX(المكونات!$C$2:$C$500,MATCH($B1324,المكونات!$A$2:$A$500,0)),"")</f>
        <v>0.18</v>
      </c>
      <c r="F1324" s="69" t="n">
        <f aca="false">IFERROR($C1324*$E1324,"")</f>
        <v>0.36</v>
      </c>
    </row>
    <row r="1325" customFormat="false" ht="15" hidden="false" customHeight="true" outlineLevel="0" collapsed="false">
      <c r="A1325" s="66" t="s">
        <v>419</v>
      </c>
      <c r="B1325" s="66" t="s">
        <v>322</v>
      </c>
      <c r="C1325" s="66" t="n">
        <v>1</v>
      </c>
      <c r="D1325" s="67" t="str">
        <f aca="false">IFERROR(INDEX(المكونات!$B$2:$B$500,MATCH($B1325,المكونات!$A$2:$A$500,0)),"")</f>
        <v>قطعة (كيس)</v>
      </c>
      <c r="E1325" s="68" t="n">
        <f aca="false">IFERROR(INDEX(المكونات!$C$2:$C$500,MATCH($B1325,المكونات!$A$2:$A$500,0)),"")</f>
        <v>1</v>
      </c>
      <c r="F1325" s="69" t="n">
        <f aca="false">IFERROR($C1325*$E1325,"")</f>
        <v>1</v>
      </c>
    </row>
    <row r="1326" customFormat="false" ht="15" hidden="false" customHeight="true" outlineLevel="0" collapsed="false">
      <c r="A1326" s="66" t="s">
        <v>419</v>
      </c>
      <c r="B1326" s="66" t="s">
        <v>282</v>
      </c>
      <c r="C1326" s="66" t="n">
        <v>0.14</v>
      </c>
      <c r="D1326" s="67" t="str">
        <f aca="false">IFERROR(INDEX(المكونات!$B$2:$B$500,MATCH($B1326,المكونات!$A$2:$A$500,0)),"")</f>
        <v>كجم</v>
      </c>
      <c r="E1326" s="68" t="n">
        <f aca="false">IFERROR(INDEX(المكونات!$C$2:$C$500,MATCH($B1326,المكونات!$A$2:$A$500,0)),"")</f>
        <v>150</v>
      </c>
      <c r="F1326" s="69" t="n">
        <f aca="false">IFERROR($C1326*$E1326,"")</f>
        <v>21</v>
      </c>
    </row>
    <row r="1327" customFormat="false" ht="15" hidden="false" customHeight="true" outlineLevel="0" collapsed="false">
      <c r="A1327" s="66" t="s">
        <v>419</v>
      </c>
      <c r="B1327" s="66" t="s">
        <v>252</v>
      </c>
      <c r="C1327" s="66" t="n">
        <v>0.1</v>
      </c>
      <c r="D1327" s="67" t="str">
        <f aca="false">IFERROR(INDEX(المكونات!$B$2:$B$500,MATCH($B1327,المكونات!$A$2:$A$500,0)),"")</f>
        <v>كجم</v>
      </c>
      <c r="E1327" s="68" t="n">
        <f aca="false">IFERROR(INDEX(المكونات!$C$2:$C$500,MATCH($B1327,المكونات!$A$2:$A$500,0)),"")</f>
        <v>70</v>
      </c>
      <c r="F1327" s="69" t="n">
        <f aca="false">IFERROR($C1327*$E1327,"")</f>
        <v>7</v>
      </c>
    </row>
    <row r="1328" customFormat="false" ht="15" hidden="false" customHeight="true" outlineLevel="0" collapsed="false">
      <c r="A1328" s="66" t="s">
        <v>420</v>
      </c>
      <c r="B1328" s="66" t="s">
        <v>264</v>
      </c>
      <c r="C1328" s="66" t="n">
        <v>1.5</v>
      </c>
      <c r="D1328" s="67" t="str">
        <f aca="false">IFERROR(INDEX(المكونات!$B$2:$B$500,MATCH($B1328,المكونات!$A$2:$A$500,0)),"")</f>
        <v>قطعة</v>
      </c>
      <c r="E1328" s="68" t="n">
        <f aca="false">IFERROR(INDEX(المكونات!$C$2:$C$500,MATCH($B1328,المكونات!$A$2:$A$500,0)),"")</f>
        <v>4</v>
      </c>
      <c r="F1328" s="69" t="n">
        <f aca="false">IFERROR($C1328*$E1328,"")</f>
        <v>6</v>
      </c>
    </row>
    <row r="1329" customFormat="false" ht="15" hidden="false" customHeight="true" outlineLevel="0" collapsed="false">
      <c r="A1329" s="66" t="s">
        <v>420</v>
      </c>
      <c r="B1329" s="66" t="s">
        <v>260</v>
      </c>
      <c r="C1329" s="66" t="n">
        <v>0.045</v>
      </c>
      <c r="D1329" s="67" t="str">
        <f aca="false">IFERROR(INDEX(المكونات!$B$2:$B$500,MATCH($B1329,المكونات!$A$2:$A$500,0)),"")</f>
        <v>كجم</v>
      </c>
      <c r="E1329" s="68" t="n">
        <f aca="false">IFERROR(INDEX(المكونات!$C$2:$C$500,MATCH($B1329,المكونات!$A$2:$A$500,0)),"")</f>
        <v>21</v>
      </c>
      <c r="F1329" s="69" t="n">
        <f aca="false">IFERROR($C1329*$E1329,"")</f>
        <v>0.945</v>
      </c>
    </row>
    <row r="1330" customFormat="false" ht="15" hidden="false" customHeight="true" outlineLevel="0" collapsed="false">
      <c r="A1330" s="66" t="s">
        <v>420</v>
      </c>
      <c r="B1330" s="66" t="s">
        <v>284</v>
      </c>
      <c r="C1330" s="66" t="n">
        <v>0.03</v>
      </c>
      <c r="D1330" s="67" t="str">
        <f aca="false">IFERROR(INDEX(المكونات!$B$2:$B$500,MATCH($B1330,المكونات!$A$2:$A$500,0)),"")</f>
        <v>كجم</v>
      </c>
      <c r="E1330" s="68" t="n">
        <f aca="false">IFERROR(INDEX(المكونات!$C$2:$C$500,MATCH($B1330,المكونات!$A$2:$A$500,0)),"")</f>
        <v>27</v>
      </c>
      <c r="F1330" s="69" t="n">
        <f aca="false">IFERROR($C1330*$E1330,"")</f>
        <v>0.81</v>
      </c>
    </row>
    <row r="1331" customFormat="false" ht="15" hidden="false" customHeight="true" outlineLevel="0" collapsed="false">
      <c r="A1331" s="66" t="s">
        <v>420</v>
      </c>
      <c r="B1331" s="66" t="s">
        <v>227</v>
      </c>
      <c r="C1331" s="66" t="n">
        <v>0.03</v>
      </c>
      <c r="D1331" s="67" t="str">
        <f aca="false">IFERROR(INDEX(المكونات!$B$2:$B$500,MATCH($B1331,المكونات!$A$2:$A$500,0)),"")</f>
        <v>كجم</v>
      </c>
      <c r="E1331" s="68" t="n">
        <f aca="false">IFERROR(INDEX(المكونات!$C$2:$C$500,MATCH($B1331,المكونات!$A$2:$A$500,0)),"")</f>
        <v>95</v>
      </c>
      <c r="F1331" s="69" t="n">
        <f aca="false">IFERROR($C1331*$E1331,"")</f>
        <v>2.85</v>
      </c>
    </row>
    <row r="1332" customFormat="false" ht="15" hidden="false" customHeight="true" outlineLevel="0" collapsed="false">
      <c r="A1332" s="66" t="s">
        <v>420</v>
      </c>
      <c r="B1332" s="66" t="s">
        <v>178</v>
      </c>
      <c r="C1332" s="66" t="n">
        <v>1</v>
      </c>
      <c r="D1332" s="67" t="str">
        <f aca="false">IFERROR(INDEX(المكونات!$B$2:$B$500,MATCH($B1332,المكونات!$A$2:$A$500,0)),"")</f>
        <v>قطعة</v>
      </c>
      <c r="E1332" s="68" t="n">
        <f aca="false">IFERROR(INDEX(المكونات!$C$2:$C$500,MATCH($B1332,المكونات!$A$2:$A$500,0)),"")</f>
        <v>25</v>
      </c>
      <c r="F1332" s="69" t="n">
        <f aca="false">IFERROR($C1332*$E1332,"")</f>
        <v>25</v>
      </c>
    </row>
    <row r="1333" customFormat="false" ht="15" hidden="false" customHeight="true" outlineLevel="0" collapsed="false">
      <c r="A1333" s="66" t="s">
        <v>420</v>
      </c>
      <c r="B1333" s="66" t="s">
        <v>268</v>
      </c>
      <c r="C1333" s="66" t="n">
        <v>1</v>
      </c>
      <c r="D1333" s="67" t="str">
        <f aca="false">IFERROR(INDEX(المكونات!$B$2:$B$500,MATCH($B1333,المكونات!$A$2:$A$500,0)),"")</f>
        <v>قطعة</v>
      </c>
      <c r="E1333" s="68" t="n">
        <f aca="false">IFERROR(INDEX(المكونات!$C$2:$C$500,MATCH($B1333,المكونات!$A$2:$A$500,0)),"")</f>
        <v>5.5</v>
      </c>
      <c r="F1333" s="69" t="n">
        <f aca="false">IFERROR($C1333*$E1333,"")</f>
        <v>5.5</v>
      </c>
    </row>
    <row r="1334" customFormat="false" ht="15" hidden="false" customHeight="true" outlineLevel="0" collapsed="false">
      <c r="A1334" s="66" t="s">
        <v>420</v>
      </c>
      <c r="B1334" s="66" t="s">
        <v>290</v>
      </c>
      <c r="C1334" s="66" t="n">
        <v>3</v>
      </c>
      <c r="D1334" s="67" t="str">
        <f aca="false">IFERROR(INDEX(المكونات!$B$2:$B$500,MATCH($B1334,المكونات!$A$2:$A$500,0)),"")</f>
        <v>قطعة</v>
      </c>
      <c r="E1334" s="68" t="n">
        <f aca="false">IFERROR(INDEX(المكونات!$C$2:$C$500,MATCH($B1334,المكونات!$A$2:$A$500,0)),"")</f>
        <v>0.3</v>
      </c>
      <c r="F1334" s="69" t="n">
        <f aca="false">IFERROR($C1334*$E1334,"")</f>
        <v>0.9</v>
      </c>
    </row>
    <row r="1335" customFormat="false" ht="15" hidden="false" customHeight="true" outlineLevel="0" collapsed="false">
      <c r="A1335" s="66" t="s">
        <v>420</v>
      </c>
      <c r="B1335" s="66" t="s">
        <v>319</v>
      </c>
      <c r="C1335" s="66" t="n">
        <v>1</v>
      </c>
      <c r="D1335" s="67" t="str">
        <f aca="false">IFERROR(INDEX(المكونات!$B$2:$B$500,MATCH($B1335,المكونات!$A$2:$A$500,0)),"")</f>
        <v>قطعة (ورقة)</v>
      </c>
      <c r="E1335" s="68" t="n">
        <f aca="false">IFERROR(INDEX(المكونات!$C$2:$C$500,MATCH($B1335,المكونات!$A$2:$A$500,0)),"")</f>
        <v>0.3665</v>
      </c>
      <c r="F1335" s="69" t="n">
        <f aca="false">IFERROR($C1335*$E1335,"")</f>
        <v>0.3665</v>
      </c>
    </row>
    <row r="1336" customFormat="false" ht="15" hidden="false" customHeight="true" outlineLevel="0" collapsed="false">
      <c r="A1336" s="66" t="s">
        <v>420</v>
      </c>
      <c r="B1336" s="66" t="s">
        <v>133</v>
      </c>
      <c r="C1336" s="66" t="n">
        <v>1</v>
      </c>
      <c r="D1336" s="67" t="str">
        <f aca="false">IFERROR(INDEX(المكونات!$B$2:$B$500,MATCH($B1336,المكونات!$A$2:$A$500,0)),"")</f>
        <v>قطعة (كيس)</v>
      </c>
      <c r="E1336" s="68" t="n">
        <f aca="false">IFERROR(INDEX(المكونات!$C$2:$C$500,MATCH($B1336,المكونات!$A$2:$A$500,0)),"")</f>
        <v>1.4</v>
      </c>
      <c r="F1336" s="69" t="n">
        <f aca="false">IFERROR($C1336*$E1336,"")</f>
        <v>1.4</v>
      </c>
    </row>
    <row r="1337" customFormat="false" ht="15" hidden="false" customHeight="true" outlineLevel="0" collapsed="false">
      <c r="A1337" s="66" t="s">
        <v>420</v>
      </c>
      <c r="B1337" s="66" t="s">
        <v>293</v>
      </c>
      <c r="C1337" s="66" t="n">
        <v>1</v>
      </c>
      <c r="D1337" s="67" t="str">
        <f aca="false">IFERROR(INDEX(المكونات!$B$2:$B$500,MATCH($B1337,المكونات!$A$2:$A$500,0)),"")</f>
        <v>قطعة</v>
      </c>
      <c r="E1337" s="68" t="n">
        <f aca="false">IFERROR(INDEX(المكونات!$C$2:$C$500,MATCH($B1337,المكونات!$A$2:$A$500,0)),"")</f>
        <v>0.5</v>
      </c>
      <c r="F1337" s="69" t="n">
        <f aca="false">IFERROR($C1337*$E1337,"")</f>
        <v>0.5</v>
      </c>
    </row>
    <row r="1338" customFormat="false" ht="15" hidden="false" customHeight="true" outlineLevel="0" collapsed="false">
      <c r="A1338" s="66" t="s">
        <v>420</v>
      </c>
      <c r="B1338" s="66" t="s">
        <v>211</v>
      </c>
      <c r="C1338" s="66" t="n">
        <v>2</v>
      </c>
      <c r="D1338" s="67" t="str">
        <f aca="false">IFERROR(INDEX(المكونات!$B$2:$B$500,MATCH($B1338,المكونات!$A$2:$A$500,0)),"")</f>
        <v>قطعة (جلفز)</v>
      </c>
      <c r="E1338" s="68" t="n">
        <f aca="false">IFERROR(INDEX(المكونات!$C$2:$C$500,MATCH($B1338,المكونات!$A$2:$A$500,0)),"")</f>
        <v>0.18</v>
      </c>
      <c r="F1338" s="69" t="n">
        <f aca="false">IFERROR($C1338*$E1338,"")</f>
        <v>0.36</v>
      </c>
    </row>
    <row r="1339" customFormat="false" ht="15" hidden="false" customHeight="true" outlineLevel="0" collapsed="false">
      <c r="A1339" s="66" t="s">
        <v>420</v>
      </c>
      <c r="B1339" s="66" t="s">
        <v>322</v>
      </c>
      <c r="C1339" s="66" t="n">
        <v>1</v>
      </c>
      <c r="D1339" s="67" t="str">
        <f aca="false">IFERROR(INDEX(المكونات!$B$2:$B$500,MATCH($B1339,المكونات!$A$2:$A$500,0)),"")</f>
        <v>قطعة (كيس)</v>
      </c>
      <c r="E1339" s="68" t="n">
        <f aca="false">IFERROR(INDEX(المكونات!$C$2:$C$500,MATCH($B1339,المكونات!$A$2:$A$500,0)),"")</f>
        <v>1</v>
      </c>
      <c r="F1339" s="69" t="n">
        <f aca="false">IFERROR($C1339*$E1339,"")</f>
        <v>1</v>
      </c>
    </row>
    <row r="1340" customFormat="false" ht="15" hidden="false" customHeight="true" outlineLevel="0" collapsed="false">
      <c r="A1340" s="66" t="s">
        <v>420</v>
      </c>
      <c r="B1340" s="66" t="s">
        <v>282</v>
      </c>
      <c r="C1340" s="66" t="n">
        <v>0.21</v>
      </c>
      <c r="D1340" s="67" t="str">
        <f aca="false">IFERROR(INDEX(المكونات!$B$2:$B$500,MATCH($B1340,المكونات!$A$2:$A$500,0)),"")</f>
        <v>كجم</v>
      </c>
      <c r="E1340" s="68" t="n">
        <f aca="false">IFERROR(INDEX(المكونات!$C$2:$C$500,MATCH($B1340,المكونات!$A$2:$A$500,0)),"")</f>
        <v>150</v>
      </c>
      <c r="F1340" s="69" t="n">
        <f aca="false">IFERROR($C1340*$E1340,"")</f>
        <v>31.5</v>
      </c>
    </row>
    <row r="1341" customFormat="false" ht="15" hidden="false" customHeight="true" outlineLevel="0" collapsed="false">
      <c r="A1341" s="66" t="s">
        <v>420</v>
      </c>
      <c r="B1341" s="66" t="s">
        <v>252</v>
      </c>
      <c r="C1341" s="66" t="n">
        <v>0.15</v>
      </c>
      <c r="D1341" s="67" t="str">
        <f aca="false">IFERROR(INDEX(المكونات!$B$2:$B$500,MATCH($B1341,المكونات!$A$2:$A$500,0)),"")</f>
        <v>كجم</v>
      </c>
      <c r="E1341" s="68" t="n">
        <f aca="false">IFERROR(INDEX(المكونات!$C$2:$C$500,MATCH($B1341,المكونات!$A$2:$A$500,0)),"")</f>
        <v>70</v>
      </c>
      <c r="F1341" s="69" t="n">
        <f aca="false">IFERROR($C1341*$E1341,"")</f>
        <v>10.5</v>
      </c>
    </row>
    <row r="1342" customFormat="false" ht="15" hidden="false" customHeight="true" outlineLevel="0" collapsed="false">
      <c r="A1342" s="66" t="s">
        <v>501</v>
      </c>
      <c r="B1342" s="66" t="s">
        <v>264</v>
      </c>
      <c r="C1342" s="66" t="n">
        <v>1</v>
      </c>
      <c r="D1342" s="67" t="str">
        <f aca="false">IFERROR(INDEX(المكونات!$B$2:$B$500,MATCH($B1342,المكونات!$A$2:$A$500,0)),"")</f>
        <v>قطعة</v>
      </c>
      <c r="E1342" s="68" t="n">
        <f aca="false">IFERROR(INDEX(المكونات!$C$2:$C$500,MATCH($B1342,المكونات!$A$2:$A$500,0)),"")</f>
        <v>4</v>
      </c>
      <c r="F1342" s="69" t="n">
        <f aca="false">IFERROR($C1342*$E1342,"")</f>
        <v>4</v>
      </c>
    </row>
    <row r="1343" customFormat="false" ht="15" hidden="false" customHeight="true" outlineLevel="0" collapsed="false">
      <c r="A1343" s="66" t="s">
        <v>501</v>
      </c>
      <c r="B1343" s="66" t="s">
        <v>260</v>
      </c>
      <c r="C1343" s="66" t="n">
        <v>0.03</v>
      </c>
      <c r="D1343" s="67" t="str">
        <f aca="false">IFERROR(INDEX(المكونات!$B$2:$B$500,MATCH($B1343,المكونات!$A$2:$A$500,0)),"")</f>
        <v>كجم</v>
      </c>
      <c r="E1343" s="68" t="n">
        <f aca="false">IFERROR(INDEX(المكونات!$C$2:$C$500,MATCH($B1343,المكونات!$A$2:$A$500,0)),"")</f>
        <v>21</v>
      </c>
      <c r="F1343" s="69" t="n">
        <f aca="false">IFERROR($C1343*$E1343,"")</f>
        <v>0.63</v>
      </c>
    </row>
    <row r="1344" customFormat="false" ht="15" hidden="false" customHeight="true" outlineLevel="0" collapsed="false">
      <c r="A1344" s="66" t="s">
        <v>501</v>
      </c>
      <c r="B1344" s="66" t="s">
        <v>284</v>
      </c>
      <c r="C1344" s="66" t="n">
        <v>0.02</v>
      </c>
      <c r="D1344" s="67" t="str">
        <f aca="false">IFERROR(INDEX(المكونات!$B$2:$B$500,MATCH($B1344,المكونات!$A$2:$A$500,0)),"")</f>
        <v>كجم</v>
      </c>
      <c r="E1344" s="68" t="n">
        <f aca="false">IFERROR(INDEX(المكونات!$C$2:$C$500,MATCH($B1344,المكونات!$A$2:$A$500,0)),"")</f>
        <v>27</v>
      </c>
      <c r="F1344" s="69" t="n">
        <f aca="false">IFERROR($C1344*$E1344,"")</f>
        <v>0.54</v>
      </c>
    </row>
    <row r="1345" customFormat="false" ht="15" hidden="false" customHeight="true" outlineLevel="0" collapsed="false">
      <c r="A1345" s="66" t="s">
        <v>501</v>
      </c>
      <c r="B1345" s="66" t="s">
        <v>227</v>
      </c>
      <c r="C1345" s="66" t="n">
        <v>0.02</v>
      </c>
      <c r="D1345" s="67" t="str">
        <f aca="false">IFERROR(INDEX(المكونات!$B$2:$B$500,MATCH($B1345,المكونات!$A$2:$A$500,0)),"")</f>
        <v>كجم</v>
      </c>
      <c r="E1345" s="68" t="n">
        <f aca="false">IFERROR(INDEX(المكونات!$C$2:$C$500,MATCH($B1345,المكونات!$A$2:$A$500,0)),"")</f>
        <v>95</v>
      </c>
      <c r="F1345" s="69" t="n">
        <f aca="false">IFERROR($C1345*$E1345,"")</f>
        <v>1.9</v>
      </c>
    </row>
    <row r="1346" customFormat="false" ht="15" hidden="false" customHeight="true" outlineLevel="0" collapsed="false">
      <c r="A1346" s="66" t="s">
        <v>501</v>
      </c>
      <c r="B1346" s="66" t="s">
        <v>176</v>
      </c>
      <c r="C1346" s="66" t="n">
        <v>1</v>
      </c>
      <c r="D1346" s="67" t="str">
        <f aca="false">IFERROR(INDEX(المكونات!$B$2:$B$500,MATCH($B1346,المكونات!$A$2:$A$500,0)),"")</f>
        <v>قطعة</v>
      </c>
      <c r="E1346" s="68" t="n">
        <f aca="false">IFERROR(INDEX(المكونات!$C$2:$C$500,MATCH($B1346,المكونات!$A$2:$A$500,0)),"")</f>
        <v>17.5</v>
      </c>
      <c r="F1346" s="69" t="n">
        <f aca="false">IFERROR($C1346*$E1346,"")</f>
        <v>17.5</v>
      </c>
    </row>
    <row r="1347" customFormat="false" ht="15" hidden="false" customHeight="true" outlineLevel="0" collapsed="false">
      <c r="A1347" s="66" t="s">
        <v>501</v>
      </c>
      <c r="B1347" s="66" t="s">
        <v>270</v>
      </c>
      <c r="C1347" s="66" t="n">
        <v>1</v>
      </c>
      <c r="D1347" s="67" t="str">
        <f aca="false">IFERROR(INDEX(المكونات!$B$2:$B$500,MATCH($B1347,المكونات!$A$2:$A$500,0)),"")</f>
        <v>قطعة</v>
      </c>
      <c r="E1347" s="68" t="n">
        <f aca="false">IFERROR(INDEX(المكونات!$C$2:$C$500,MATCH($B1347,المكونات!$A$2:$A$500,0)),"")</f>
        <v>4.5</v>
      </c>
      <c r="F1347" s="69" t="n">
        <f aca="false">IFERROR($C1347*$E1347,"")</f>
        <v>4.5</v>
      </c>
    </row>
    <row r="1348" customFormat="false" ht="15" hidden="false" customHeight="true" outlineLevel="0" collapsed="false">
      <c r="A1348" s="66" t="s">
        <v>501</v>
      </c>
      <c r="B1348" s="66" t="s">
        <v>290</v>
      </c>
      <c r="C1348" s="66" t="n">
        <v>2</v>
      </c>
      <c r="D1348" s="67" t="str">
        <f aca="false">IFERROR(INDEX(المكونات!$B$2:$B$500,MATCH($B1348,المكونات!$A$2:$A$500,0)),"")</f>
        <v>قطعة</v>
      </c>
      <c r="E1348" s="68" t="n">
        <f aca="false">IFERROR(INDEX(المكونات!$C$2:$C$500,MATCH($B1348,المكونات!$A$2:$A$500,0)),"")</f>
        <v>0.3</v>
      </c>
      <c r="F1348" s="69" t="n">
        <f aca="false">IFERROR($C1348*$E1348,"")</f>
        <v>0.6</v>
      </c>
    </row>
    <row r="1349" customFormat="false" ht="15" hidden="false" customHeight="true" outlineLevel="0" collapsed="false">
      <c r="A1349" s="66" t="s">
        <v>501</v>
      </c>
      <c r="B1349" s="66" t="s">
        <v>319</v>
      </c>
      <c r="C1349" s="66" t="n">
        <v>1</v>
      </c>
      <c r="D1349" s="67" t="str">
        <f aca="false">IFERROR(INDEX(المكونات!$B$2:$B$500,MATCH($B1349,المكونات!$A$2:$A$500,0)),"")</f>
        <v>قطعة (ورقة)</v>
      </c>
      <c r="E1349" s="68" t="n">
        <f aca="false">IFERROR(INDEX(المكونات!$C$2:$C$500,MATCH($B1349,المكونات!$A$2:$A$500,0)),"")</f>
        <v>0.3665</v>
      </c>
      <c r="F1349" s="69" t="n">
        <f aca="false">IFERROR($C1349*$E1349,"")</f>
        <v>0.3665</v>
      </c>
    </row>
    <row r="1350" customFormat="false" ht="15" hidden="false" customHeight="true" outlineLevel="0" collapsed="false">
      <c r="A1350" s="66" t="s">
        <v>501</v>
      </c>
      <c r="B1350" s="66" t="s">
        <v>133</v>
      </c>
      <c r="C1350" s="66" t="n">
        <v>1</v>
      </c>
      <c r="D1350" s="67" t="str">
        <f aca="false">IFERROR(INDEX(المكونات!$B$2:$B$500,MATCH($B1350,المكونات!$A$2:$A$500,0)),"")</f>
        <v>قطعة (كيس)</v>
      </c>
      <c r="E1350" s="68" t="n">
        <f aca="false">IFERROR(INDEX(المكونات!$C$2:$C$500,MATCH($B1350,المكونات!$A$2:$A$500,0)),"")</f>
        <v>1.4</v>
      </c>
      <c r="F1350" s="69" t="n">
        <f aca="false">IFERROR($C1350*$E1350,"")</f>
        <v>1.4</v>
      </c>
    </row>
    <row r="1351" customFormat="false" ht="15" hidden="false" customHeight="true" outlineLevel="0" collapsed="false">
      <c r="A1351" s="66" t="s">
        <v>501</v>
      </c>
      <c r="B1351" s="66" t="s">
        <v>293</v>
      </c>
      <c r="C1351" s="66" t="n">
        <v>1</v>
      </c>
      <c r="D1351" s="67" t="str">
        <f aca="false">IFERROR(INDEX(المكونات!$B$2:$B$500,MATCH($B1351,المكونات!$A$2:$A$500,0)),"")</f>
        <v>قطعة</v>
      </c>
      <c r="E1351" s="68" t="n">
        <f aca="false">IFERROR(INDEX(المكونات!$C$2:$C$500,MATCH($B1351,المكونات!$A$2:$A$500,0)),"")</f>
        <v>0.5</v>
      </c>
      <c r="F1351" s="69" t="n">
        <f aca="false">IFERROR($C1351*$E1351,"")</f>
        <v>0.5</v>
      </c>
    </row>
    <row r="1352" customFormat="false" ht="15" hidden="false" customHeight="true" outlineLevel="0" collapsed="false">
      <c r="A1352" s="66" t="s">
        <v>501</v>
      </c>
      <c r="B1352" s="66" t="s">
        <v>211</v>
      </c>
      <c r="C1352" s="66" t="n">
        <v>2</v>
      </c>
      <c r="D1352" s="67" t="str">
        <f aca="false">IFERROR(INDEX(المكونات!$B$2:$B$500,MATCH($B1352,المكونات!$A$2:$A$500,0)),"")</f>
        <v>قطعة (جلفز)</v>
      </c>
      <c r="E1352" s="68" t="n">
        <f aca="false">IFERROR(INDEX(المكونات!$C$2:$C$500,MATCH($B1352,المكونات!$A$2:$A$500,0)),"")</f>
        <v>0.18</v>
      </c>
      <c r="F1352" s="69" t="n">
        <f aca="false">IFERROR($C1352*$E1352,"")</f>
        <v>0.36</v>
      </c>
    </row>
    <row r="1353" customFormat="false" ht="15" hidden="false" customHeight="true" outlineLevel="0" collapsed="false">
      <c r="A1353" s="66" t="s">
        <v>501</v>
      </c>
      <c r="B1353" s="66" t="s">
        <v>322</v>
      </c>
      <c r="C1353" s="66" t="n">
        <v>1</v>
      </c>
      <c r="D1353" s="67" t="str">
        <f aca="false">IFERROR(INDEX(المكونات!$B$2:$B$500,MATCH($B1353,المكونات!$A$2:$A$500,0)),"")</f>
        <v>قطعة (كيس)</v>
      </c>
      <c r="E1353" s="68" t="n">
        <f aca="false">IFERROR(INDEX(المكونات!$C$2:$C$500,MATCH($B1353,المكونات!$A$2:$A$500,0)),"")</f>
        <v>1</v>
      </c>
      <c r="F1353" s="69" t="n">
        <f aca="false">IFERROR($C1353*$E1353,"")</f>
        <v>1</v>
      </c>
    </row>
    <row r="1354" customFormat="false" ht="15" hidden="false" customHeight="true" outlineLevel="0" collapsed="false">
      <c r="A1354" s="66" t="s">
        <v>501</v>
      </c>
      <c r="B1354" s="66" t="s">
        <v>150</v>
      </c>
      <c r="C1354" s="66" t="n">
        <v>1</v>
      </c>
      <c r="D1354" s="67" t="str">
        <f aca="false">IFERROR(INDEX(المكونات!$B$2:$B$500,MATCH($B1354,المكونات!$A$2:$A$500,0)),"")</f>
        <v>قطعة</v>
      </c>
      <c r="E1354" s="68" t="n">
        <f aca="false">IFERROR(INDEX(المكونات!$C$2:$C$500,MATCH($B1354,المكونات!$A$2:$A$500,0)),"")</f>
        <v>95</v>
      </c>
      <c r="F1354" s="69" t="n">
        <f aca="false">IFERROR($C1354*$E1354,"")</f>
        <v>95</v>
      </c>
    </row>
    <row r="1355" customFormat="false" ht="15" hidden="false" customHeight="true" outlineLevel="0" collapsed="false">
      <c r="A1355" s="66" t="s">
        <v>490</v>
      </c>
      <c r="B1355" s="66" t="s">
        <v>264</v>
      </c>
      <c r="C1355" s="66" t="n">
        <v>1.5</v>
      </c>
      <c r="D1355" s="67" t="str">
        <f aca="false">IFERROR(INDEX(المكونات!$B$2:$B$500,MATCH($B1355,المكونات!$A$2:$A$500,0)),"")</f>
        <v>قطعة</v>
      </c>
      <c r="E1355" s="68" t="n">
        <f aca="false">IFERROR(INDEX(المكونات!$C$2:$C$500,MATCH($B1355,المكونات!$A$2:$A$500,0)),"")</f>
        <v>4</v>
      </c>
      <c r="F1355" s="69" t="n">
        <f aca="false">IFERROR($C1355*$E1355,"")</f>
        <v>6</v>
      </c>
    </row>
    <row r="1356" customFormat="false" ht="15" hidden="false" customHeight="true" outlineLevel="0" collapsed="false">
      <c r="A1356" s="66" t="s">
        <v>490</v>
      </c>
      <c r="B1356" s="66" t="s">
        <v>260</v>
      </c>
      <c r="C1356" s="66" t="n">
        <v>0.045</v>
      </c>
      <c r="D1356" s="67" t="str">
        <f aca="false">IFERROR(INDEX(المكونات!$B$2:$B$500,MATCH($B1356,المكونات!$A$2:$A$500,0)),"")</f>
        <v>كجم</v>
      </c>
      <c r="E1356" s="68" t="n">
        <f aca="false">IFERROR(INDEX(المكونات!$C$2:$C$500,MATCH($B1356,المكونات!$A$2:$A$500,0)),"")</f>
        <v>21</v>
      </c>
      <c r="F1356" s="69" t="n">
        <f aca="false">IFERROR($C1356*$E1356,"")</f>
        <v>0.945</v>
      </c>
    </row>
    <row r="1357" customFormat="false" ht="15" hidden="false" customHeight="true" outlineLevel="0" collapsed="false">
      <c r="A1357" s="66" t="s">
        <v>490</v>
      </c>
      <c r="B1357" s="66" t="s">
        <v>284</v>
      </c>
      <c r="C1357" s="66" t="n">
        <v>0.03</v>
      </c>
      <c r="D1357" s="67" t="str">
        <f aca="false">IFERROR(INDEX(المكونات!$B$2:$B$500,MATCH($B1357,المكونات!$A$2:$A$500,0)),"")</f>
        <v>كجم</v>
      </c>
      <c r="E1357" s="68" t="n">
        <f aca="false">IFERROR(INDEX(المكونات!$C$2:$C$500,MATCH($B1357,المكونات!$A$2:$A$500,0)),"")</f>
        <v>27</v>
      </c>
      <c r="F1357" s="69" t="n">
        <f aca="false">IFERROR($C1357*$E1357,"")</f>
        <v>0.81</v>
      </c>
    </row>
    <row r="1358" customFormat="false" ht="15" hidden="false" customHeight="true" outlineLevel="0" collapsed="false">
      <c r="A1358" s="66" t="s">
        <v>490</v>
      </c>
      <c r="B1358" s="66" t="s">
        <v>227</v>
      </c>
      <c r="C1358" s="66" t="n">
        <v>0.03</v>
      </c>
      <c r="D1358" s="67" t="str">
        <f aca="false">IFERROR(INDEX(المكونات!$B$2:$B$500,MATCH($B1358,المكونات!$A$2:$A$500,0)),"")</f>
        <v>كجم</v>
      </c>
      <c r="E1358" s="68" t="n">
        <f aca="false">IFERROR(INDEX(المكونات!$C$2:$C$500,MATCH($B1358,المكونات!$A$2:$A$500,0)),"")</f>
        <v>95</v>
      </c>
      <c r="F1358" s="69" t="n">
        <f aca="false">IFERROR($C1358*$E1358,"")</f>
        <v>2.85</v>
      </c>
    </row>
    <row r="1359" customFormat="false" ht="15" hidden="false" customHeight="true" outlineLevel="0" collapsed="false">
      <c r="A1359" s="66" t="s">
        <v>490</v>
      </c>
      <c r="B1359" s="66" t="s">
        <v>178</v>
      </c>
      <c r="C1359" s="66" t="n">
        <v>1</v>
      </c>
      <c r="D1359" s="67" t="str">
        <f aca="false">IFERROR(INDEX(المكونات!$B$2:$B$500,MATCH($B1359,المكونات!$A$2:$A$500,0)),"")</f>
        <v>قطعة</v>
      </c>
      <c r="E1359" s="68" t="n">
        <f aca="false">IFERROR(INDEX(المكونات!$C$2:$C$500,MATCH($B1359,المكونات!$A$2:$A$500,0)),"")</f>
        <v>25</v>
      </c>
      <c r="F1359" s="69" t="n">
        <f aca="false">IFERROR($C1359*$E1359,"")</f>
        <v>25</v>
      </c>
    </row>
    <row r="1360" customFormat="false" ht="15" hidden="false" customHeight="true" outlineLevel="0" collapsed="false">
      <c r="A1360" s="66" t="s">
        <v>490</v>
      </c>
      <c r="B1360" s="66" t="s">
        <v>268</v>
      </c>
      <c r="C1360" s="66" t="n">
        <v>1</v>
      </c>
      <c r="D1360" s="67" t="str">
        <f aca="false">IFERROR(INDEX(المكونات!$B$2:$B$500,MATCH($B1360,المكونات!$A$2:$A$500,0)),"")</f>
        <v>قطعة</v>
      </c>
      <c r="E1360" s="68" t="n">
        <f aca="false">IFERROR(INDEX(المكونات!$C$2:$C$500,MATCH($B1360,المكونات!$A$2:$A$500,0)),"")</f>
        <v>5.5</v>
      </c>
      <c r="F1360" s="69" t="n">
        <f aca="false">IFERROR($C1360*$E1360,"")</f>
        <v>5.5</v>
      </c>
    </row>
    <row r="1361" customFormat="false" ht="15" hidden="false" customHeight="true" outlineLevel="0" collapsed="false">
      <c r="A1361" s="66" t="s">
        <v>490</v>
      </c>
      <c r="B1361" s="66" t="s">
        <v>290</v>
      </c>
      <c r="C1361" s="66" t="n">
        <v>3</v>
      </c>
      <c r="D1361" s="67" t="str">
        <f aca="false">IFERROR(INDEX(المكونات!$B$2:$B$500,MATCH($B1361,المكونات!$A$2:$A$500,0)),"")</f>
        <v>قطعة</v>
      </c>
      <c r="E1361" s="68" t="n">
        <f aca="false">IFERROR(INDEX(المكونات!$C$2:$C$500,MATCH($B1361,المكونات!$A$2:$A$500,0)),"")</f>
        <v>0.3</v>
      </c>
      <c r="F1361" s="69" t="n">
        <f aca="false">IFERROR($C1361*$E1361,"")</f>
        <v>0.9</v>
      </c>
    </row>
    <row r="1362" customFormat="false" ht="15" hidden="false" customHeight="true" outlineLevel="0" collapsed="false">
      <c r="A1362" s="66" t="s">
        <v>490</v>
      </c>
      <c r="B1362" s="66" t="s">
        <v>319</v>
      </c>
      <c r="C1362" s="66" t="n">
        <v>1</v>
      </c>
      <c r="D1362" s="67" t="str">
        <f aca="false">IFERROR(INDEX(المكونات!$B$2:$B$500,MATCH($B1362,المكونات!$A$2:$A$500,0)),"")</f>
        <v>قطعة (ورقة)</v>
      </c>
      <c r="E1362" s="68" t="n">
        <f aca="false">IFERROR(INDEX(المكونات!$C$2:$C$500,MATCH($B1362,المكونات!$A$2:$A$500,0)),"")</f>
        <v>0.3665</v>
      </c>
      <c r="F1362" s="69" t="n">
        <f aca="false">IFERROR($C1362*$E1362,"")</f>
        <v>0.3665</v>
      </c>
    </row>
    <row r="1363" customFormat="false" ht="15" hidden="false" customHeight="true" outlineLevel="0" collapsed="false">
      <c r="A1363" s="66" t="s">
        <v>490</v>
      </c>
      <c r="B1363" s="66" t="s">
        <v>133</v>
      </c>
      <c r="C1363" s="66" t="n">
        <v>1</v>
      </c>
      <c r="D1363" s="67" t="str">
        <f aca="false">IFERROR(INDEX(المكونات!$B$2:$B$500,MATCH($B1363,المكونات!$A$2:$A$500,0)),"")</f>
        <v>قطعة (كيس)</v>
      </c>
      <c r="E1363" s="68" t="n">
        <f aca="false">IFERROR(INDEX(المكونات!$C$2:$C$500,MATCH($B1363,المكونات!$A$2:$A$500,0)),"")</f>
        <v>1.4</v>
      </c>
      <c r="F1363" s="69" t="n">
        <f aca="false">IFERROR($C1363*$E1363,"")</f>
        <v>1.4</v>
      </c>
    </row>
    <row r="1364" customFormat="false" ht="15" hidden="false" customHeight="true" outlineLevel="0" collapsed="false">
      <c r="A1364" s="66" t="s">
        <v>490</v>
      </c>
      <c r="B1364" s="66" t="s">
        <v>293</v>
      </c>
      <c r="C1364" s="66" t="n">
        <v>1</v>
      </c>
      <c r="D1364" s="67" t="str">
        <f aca="false">IFERROR(INDEX(المكونات!$B$2:$B$500,MATCH($B1364,المكونات!$A$2:$A$500,0)),"")</f>
        <v>قطعة</v>
      </c>
      <c r="E1364" s="68" t="n">
        <f aca="false">IFERROR(INDEX(المكونات!$C$2:$C$500,MATCH($B1364,المكونات!$A$2:$A$500,0)),"")</f>
        <v>0.5</v>
      </c>
      <c r="F1364" s="69" t="n">
        <f aca="false">IFERROR($C1364*$E1364,"")</f>
        <v>0.5</v>
      </c>
    </row>
    <row r="1365" customFormat="false" ht="15" hidden="false" customHeight="true" outlineLevel="0" collapsed="false">
      <c r="A1365" s="66" t="s">
        <v>490</v>
      </c>
      <c r="B1365" s="66" t="s">
        <v>211</v>
      </c>
      <c r="C1365" s="66" t="n">
        <v>2</v>
      </c>
      <c r="D1365" s="67" t="str">
        <f aca="false">IFERROR(INDEX(المكونات!$B$2:$B$500,MATCH($B1365,المكونات!$A$2:$A$500,0)),"")</f>
        <v>قطعة (جلفز)</v>
      </c>
      <c r="E1365" s="68" t="n">
        <f aca="false">IFERROR(INDEX(المكونات!$C$2:$C$500,MATCH($B1365,المكونات!$A$2:$A$500,0)),"")</f>
        <v>0.18</v>
      </c>
      <c r="F1365" s="69" t="n">
        <f aca="false">IFERROR($C1365*$E1365,"")</f>
        <v>0.36</v>
      </c>
    </row>
    <row r="1366" customFormat="false" ht="15" hidden="false" customHeight="true" outlineLevel="0" collapsed="false">
      <c r="A1366" s="66" t="s">
        <v>490</v>
      </c>
      <c r="B1366" s="66" t="s">
        <v>322</v>
      </c>
      <c r="C1366" s="66" t="n">
        <v>1</v>
      </c>
      <c r="D1366" s="67" t="str">
        <f aca="false">IFERROR(INDEX(المكونات!$B$2:$B$500,MATCH($B1366,المكونات!$A$2:$A$500,0)),"")</f>
        <v>قطعة (كيس)</v>
      </c>
      <c r="E1366" s="68" t="n">
        <f aca="false">IFERROR(INDEX(المكونات!$C$2:$C$500,MATCH($B1366,المكونات!$A$2:$A$500,0)),"")</f>
        <v>1</v>
      </c>
      <c r="F1366" s="69" t="n">
        <f aca="false">IFERROR($C1366*$E1366,"")</f>
        <v>1</v>
      </c>
    </row>
    <row r="1367" customFormat="false" ht="15" hidden="false" customHeight="true" outlineLevel="0" collapsed="false">
      <c r="A1367" s="66" t="s">
        <v>490</v>
      </c>
      <c r="B1367" s="66" t="s">
        <v>150</v>
      </c>
      <c r="C1367" s="66" t="n">
        <v>1.5</v>
      </c>
      <c r="D1367" s="67" t="str">
        <f aca="false">IFERROR(INDEX(المكونات!$B$2:$B$500,MATCH($B1367,المكونات!$A$2:$A$500,0)),"")</f>
        <v>قطعة</v>
      </c>
      <c r="E1367" s="68" t="n">
        <f aca="false">IFERROR(INDEX(المكونات!$C$2:$C$500,MATCH($B1367,المكونات!$A$2:$A$500,0)),"")</f>
        <v>95</v>
      </c>
      <c r="F1367" s="69" t="n">
        <f aca="false">IFERROR($C1367*$E1367,"")</f>
        <v>142.5</v>
      </c>
    </row>
    <row r="1368" customFormat="false" ht="15" hidden="false" customHeight="true" outlineLevel="0" collapsed="false">
      <c r="A1368" s="66" t="s">
        <v>525</v>
      </c>
      <c r="B1368" s="66" t="s">
        <v>264</v>
      </c>
      <c r="C1368" s="66" t="n">
        <v>1</v>
      </c>
      <c r="D1368" s="67" t="str">
        <f aca="false">IFERROR(INDEX(المكونات!$B$2:$B$500,MATCH($B1368,المكونات!$A$2:$A$500,0)),"")</f>
        <v>قطعة</v>
      </c>
      <c r="E1368" s="68" t="n">
        <f aca="false">IFERROR(INDEX(المكونات!$C$2:$C$500,MATCH($B1368,المكونات!$A$2:$A$500,0)),"")</f>
        <v>4</v>
      </c>
      <c r="F1368" s="69" t="n">
        <f aca="false">IFERROR($C1368*$E1368,"")</f>
        <v>4</v>
      </c>
    </row>
    <row r="1369" customFormat="false" ht="15" hidden="false" customHeight="true" outlineLevel="0" collapsed="false">
      <c r="A1369" s="66" t="s">
        <v>525</v>
      </c>
      <c r="B1369" s="66" t="s">
        <v>260</v>
      </c>
      <c r="C1369" s="66" t="n">
        <v>0.03</v>
      </c>
      <c r="D1369" s="67" t="str">
        <f aca="false">IFERROR(INDEX(المكونات!$B$2:$B$500,MATCH($B1369,المكونات!$A$2:$A$500,0)),"")</f>
        <v>كجم</v>
      </c>
      <c r="E1369" s="68" t="n">
        <f aca="false">IFERROR(INDEX(المكونات!$C$2:$C$500,MATCH($B1369,المكونات!$A$2:$A$500,0)),"")</f>
        <v>21</v>
      </c>
      <c r="F1369" s="69" t="n">
        <f aca="false">IFERROR($C1369*$E1369,"")</f>
        <v>0.63</v>
      </c>
    </row>
    <row r="1370" customFormat="false" ht="15" hidden="false" customHeight="true" outlineLevel="0" collapsed="false">
      <c r="A1370" s="66" t="s">
        <v>525</v>
      </c>
      <c r="B1370" s="66" t="s">
        <v>284</v>
      </c>
      <c r="C1370" s="66" t="n">
        <v>0.02</v>
      </c>
      <c r="D1370" s="67" t="str">
        <f aca="false">IFERROR(INDEX(المكونات!$B$2:$B$500,MATCH($B1370,المكونات!$A$2:$A$500,0)),"")</f>
        <v>كجم</v>
      </c>
      <c r="E1370" s="68" t="n">
        <f aca="false">IFERROR(INDEX(المكونات!$C$2:$C$500,MATCH($B1370,المكونات!$A$2:$A$500,0)),"")</f>
        <v>27</v>
      </c>
      <c r="F1370" s="69" t="n">
        <f aca="false">IFERROR($C1370*$E1370,"")</f>
        <v>0.54</v>
      </c>
    </row>
    <row r="1371" customFormat="false" ht="15" hidden="false" customHeight="true" outlineLevel="0" collapsed="false">
      <c r="A1371" s="66" t="s">
        <v>525</v>
      </c>
      <c r="B1371" s="66" t="s">
        <v>227</v>
      </c>
      <c r="C1371" s="66" t="n">
        <v>0.02</v>
      </c>
      <c r="D1371" s="67" t="str">
        <f aca="false">IFERROR(INDEX(المكونات!$B$2:$B$500,MATCH($B1371,المكونات!$A$2:$A$500,0)),"")</f>
        <v>كجم</v>
      </c>
      <c r="E1371" s="68" t="n">
        <f aca="false">IFERROR(INDEX(المكونات!$C$2:$C$500,MATCH($B1371,المكونات!$A$2:$A$500,0)),"")</f>
        <v>95</v>
      </c>
      <c r="F1371" s="69" t="n">
        <f aca="false">IFERROR($C1371*$E1371,"")</f>
        <v>1.9</v>
      </c>
    </row>
    <row r="1372" customFormat="false" ht="15" hidden="false" customHeight="true" outlineLevel="0" collapsed="false">
      <c r="A1372" s="66" t="s">
        <v>525</v>
      </c>
      <c r="B1372" s="66" t="s">
        <v>176</v>
      </c>
      <c r="C1372" s="66" t="n">
        <v>1</v>
      </c>
      <c r="D1372" s="67" t="str">
        <f aca="false">IFERROR(INDEX(المكونات!$B$2:$B$500,MATCH($B1372,المكونات!$A$2:$A$500,0)),"")</f>
        <v>قطعة</v>
      </c>
      <c r="E1372" s="68" t="n">
        <f aca="false">IFERROR(INDEX(المكونات!$C$2:$C$500,MATCH($B1372,المكونات!$A$2:$A$500,0)),"")</f>
        <v>17.5</v>
      </c>
      <c r="F1372" s="69" t="n">
        <f aca="false">IFERROR($C1372*$E1372,"")</f>
        <v>17.5</v>
      </c>
    </row>
    <row r="1373" customFormat="false" ht="15" hidden="false" customHeight="true" outlineLevel="0" collapsed="false">
      <c r="A1373" s="66" t="s">
        <v>525</v>
      </c>
      <c r="B1373" s="66" t="s">
        <v>270</v>
      </c>
      <c r="C1373" s="66" t="n">
        <v>1</v>
      </c>
      <c r="D1373" s="67" t="str">
        <f aca="false">IFERROR(INDEX(المكونات!$B$2:$B$500,MATCH($B1373,المكونات!$A$2:$A$500,0)),"")</f>
        <v>قطعة</v>
      </c>
      <c r="E1373" s="68" t="n">
        <f aca="false">IFERROR(INDEX(المكونات!$C$2:$C$500,MATCH($B1373,المكونات!$A$2:$A$500,0)),"")</f>
        <v>4.5</v>
      </c>
      <c r="F1373" s="69" t="n">
        <f aca="false">IFERROR($C1373*$E1373,"")</f>
        <v>4.5</v>
      </c>
    </row>
    <row r="1374" customFormat="false" ht="15" hidden="false" customHeight="true" outlineLevel="0" collapsed="false">
      <c r="A1374" s="66" t="s">
        <v>525</v>
      </c>
      <c r="B1374" s="66" t="s">
        <v>290</v>
      </c>
      <c r="C1374" s="66" t="n">
        <v>2</v>
      </c>
      <c r="D1374" s="67" t="str">
        <f aca="false">IFERROR(INDEX(المكونات!$B$2:$B$500,MATCH($B1374,المكونات!$A$2:$A$500,0)),"")</f>
        <v>قطعة</v>
      </c>
      <c r="E1374" s="68" t="n">
        <f aca="false">IFERROR(INDEX(المكونات!$C$2:$C$500,MATCH($B1374,المكونات!$A$2:$A$500,0)),"")</f>
        <v>0.3</v>
      </c>
      <c r="F1374" s="69" t="n">
        <f aca="false">IFERROR($C1374*$E1374,"")</f>
        <v>0.6</v>
      </c>
    </row>
    <row r="1375" customFormat="false" ht="15" hidden="false" customHeight="true" outlineLevel="0" collapsed="false">
      <c r="A1375" s="66" t="s">
        <v>525</v>
      </c>
      <c r="B1375" s="66" t="s">
        <v>319</v>
      </c>
      <c r="C1375" s="66" t="n">
        <v>1</v>
      </c>
      <c r="D1375" s="67" t="str">
        <f aca="false">IFERROR(INDEX(المكونات!$B$2:$B$500,MATCH($B1375,المكونات!$A$2:$A$500,0)),"")</f>
        <v>قطعة (ورقة)</v>
      </c>
      <c r="E1375" s="68" t="n">
        <f aca="false">IFERROR(INDEX(المكونات!$C$2:$C$500,MATCH($B1375,المكونات!$A$2:$A$500,0)),"")</f>
        <v>0.3665</v>
      </c>
      <c r="F1375" s="69" t="n">
        <f aca="false">IFERROR($C1375*$E1375,"")</f>
        <v>0.3665</v>
      </c>
    </row>
    <row r="1376" customFormat="false" ht="15" hidden="false" customHeight="true" outlineLevel="0" collapsed="false">
      <c r="A1376" s="66" t="s">
        <v>525</v>
      </c>
      <c r="B1376" s="66" t="s">
        <v>133</v>
      </c>
      <c r="C1376" s="66" t="n">
        <v>1</v>
      </c>
      <c r="D1376" s="67" t="str">
        <f aca="false">IFERROR(INDEX(المكونات!$B$2:$B$500,MATCH($B1376,المكونات!$A$2:$A$500,0)),"")</f>
        <v>قطعة (كيس)</v>
      </c>
      <c r="E1376" s="68" t="n">
        <f aca="false">IFERROR(INDEX(المكونات!$C$2:$C$500,MATCH($B1376,المكونات!$A$2:$A$500,0)),"")</f>
        <v>1.4</v>
      </c>
      <c r="F1376" s="69" t="n">
        <f aca="false">IFERROR($C1376*$E1376,"")</f>
        <v>1.4</v>
      </c>
    </row>
    <row r="1377" customFormat="false" ht="15" hidden="false" customHeight="true" outlineLevel="0" collapsed="false">
      <c r="A1377" s="66" t="s">
        <v>525</v>
      </c>
      <c r="B1377" s="66" t="s">
        <v>293</v>
      </c>
      <c r="C1377" s="66" t="n">
        <v>1</v>
      </c>
      <c r="D1377" s="67" t="str">
        <f aca="false">IFERROR(INDEX(المكونات!$B$2:$B$500,MATCH($B1377,المكونات!$A$2:$A$500,0)),"")</f>
        <v>قطعة</v>
      </c>
      <c r="E1377" s="68" t="n">
        <f aca="false">IFERROR(INDEX(المكونات!$C$2:$C$500,MATCH($B1377,المكونات!$A$2:$A$500,0)),"")</f>
        <v>0.5</v>
      </c>
      <c r="F1377" s="69" t="n">
        <f aca="false">IFERROR($C1377*$E1377,"")</f>
        <v>0.5</v>
      </c>
    </row>
    <row r="1378" customFormat="false" ht="15" hidden="false" customHeight="true" outlineLevel="0" collapsed="false">
      <c r="A1378" s="66" t="s">
        <v>525</v>
      </c>
      <c r="B1378" s="66" t="s">
        <v>211</v>
      </c>
      <c r="C1378" s="66" t="n">
        <v>2</v>
      </c>
      <c r="D1378" s="67" t="str">
        <f aca="false">IFERROR(INDEX(المكونات!$B$2:$B$500,MATCH($B1378,المكونات!$A$2:$A$500,0)),"")</f>
        <v>قطعة (جلفز)</v>
      </c>
      <c r="E1378" s="68" t="n">
        <f aca="false">IFERROR(INDEX(المكونات!$C$2:$C$500,MATCH($B1378,المكونات!$A$2:$A$500,0)),"")</f>
        <v>0.18</v>
      </c>
      <c r="F1378" s="69" t="n">
        <f aca="false">IFERROR($C1378*$E1378,"")</f>
        <v>0.36</v>
      </c>
    </row>
    <row r="1379" customFormat="false" ht="15" hidden="false" customHeight="true" outlineLevel="0" collapsed="false">
      <c r="A1379" s="66" t="s">
        <v>525</v>
      </c>
      <c r="B1379" s="66" t="s">
        <v>322</v>
      </c>
      <c r="C1379" s="66" t="n">
        <v>1</v>
      </c>
      <c r="D1379" s="67" t="str">
        <f aca="false">IFERROR(INDEX(المكونات!$B$2:$B$500,MATCH($B1379,المكونات!$A$2:$A$500,0)),"")</f>
        <v>قطعة (كيس)</v>
      </c>
      <c r="E1379" s="68" t="n">
        <f aca="false">IFERROR(INDEX(المكونات!$C$2:$C$500,MATCH($B1379,المكونات!$A$2:$A$500,0)),"")</f>
        <v>1</v>
      </c>
      <c r="F1379" s="69" t="n">
        <f aca="false">IFERROR($C1379*$E1379,"")</f>
        <v>1</v>
      </c>
    </row>
    <row r="1380" customFormat="false" ht="15" hidden="false" customHeight="true" outlineLevel="0" collapsed="false">
      <c r="A1380" s="66" t="s">
        <v>525</v>
      </c>
      <c r="B1380" s="66" t="s">
        <v>280</v>
      </c>
      <c r="C1380" s="66" t="n">
        <v>1</v>
      </c>
      <c r="D1380" s="67" t="str">
        <f aca="false">IFERROR(INDEX(المكونات!$B$2:$B$500,MATCH($B1380,المكونات!$A$2:$A$500,0)),"")</f>
        <v>قطعة</v>
      </c>
      <c r="E1380" s="68" t="n">
        <f aca="false">IFERROR(INDEX(المكونات!$C$2:$C$500,MATCH($B1380,المكونات!$A$2:$A$500,0)),"")</f>
        <v>42.03</v>
      </c>
      <c r="F1380" s="69" t="n">
        <f aca="false">IFERROR($C1380*$E1380,"")</f>
        <v>42.03</v>
      </c>
    </row>
    <row r="1381" customFormat="false" ht="15" hidden="false" customHeight="true" outlineLevel="0" collapsed="false">
      <c r="A1381" s="66" t="s">
        <v>508</v>
      </c>
      <c r="B1381" s="66" t="s">
        <v>264</v>
      </c>
      <c r="C1381" s="66" t="n">
        <v>1.5</v>
      </c>
      <c r="D1381" s="67" t="str">
        <f aca="false">IFERROR(INDEX(المكونات!$B$2:$B$500,MATCH($B1381,المكونات!$A$2:$A$500,0)),"")</f>
        <v>قطعة</v>
      </c>
      <c r="E1381" s="68" t="n">
        <f aca="false">IFERROR(INDEX(المكونات!$C$2:$C$500,MATCH($B1381,المكونات!$A$2:$A$500,0)),"")</f>
        <v>4</v>
      </c>
      <c r="F1381" s="69" t="n">
        <f aca="false">IFERROR($C1381*$E1381,"")</f>
        <v>6</v>
      </c>
    </row>
    <row r="1382" customFormat="false" ht="15" hidden="false" customHeight="true" outlineLevel="0" collapsed="false">
      <c r="A1382" s="66" t="s">
        <v>508</v>
      </c>
      <c r="B1382" s="66" t="s">
        <v>260</v>
      </c>
      <c r="C1382" s="66" t="n">
        <v>0.045</v>
      </c>
      <c r="D1382" s="67" t="str">
        <f aca="false">IFERROR(INDEX(المكونات!$B$2:$B$500,MATCH($B1382,المكونات!$A$2:$A$500,0)),"")</f>
        <v>كجم</v>
      </c>
      <c r="E1382" s="68" t="n">
        <f aca="false">IFERROR(INDEX(المكونات!$C$2:$C$500,MATCH($B1382,المكونات!$A$2:$A$500,0)),"")</f>
        <v>21</v>
      </c>
      <c r="F1382" s="69" t="n">
        <f aca="false">IFERROR($C1382*$E1382,"")</f>
        <v>0.945</v>
      </c>
    </row>
    <row r="1383" customFormat="false" ht="15" hidden="false" customHeight="true" outlineLevel="0" collapsed="false">
      <c r="A1383" s="66" t="s">
        <v>508</v>
      </c>
      <c r="B1383" s="66" t="s">
        <v>284</v>
      </c>
      <c r="C1383" s="66" t="n">
        <v>0.03</v>
      </c>
      <c r="D1383" s="67" t="str">
        <f aca="false">IFERROR(INDEX(المكونات!$B$2:$B$500,MATCH($B1383,المكونات!$A$2:$A$500,0)),"")</f>
        <v>كجم</v>
      </c>
      <c r="E1383" s="68" t="n">
        <f aca="false">IFERROR(INDEX(المكونات!$C$2:$C$500,MATCH($B1383,المكونات!$A$2:$A$500,0)),"")</f>
        <v>27</v>
      </c>
      <c r="F1383" s="69" t="n">
        <f aca="false">IFERROR($C1383*$E1383,"")</f>
        <v>0.81</v>
      </c>
    </row>
    <row r="1384" customFormat="false" ht="15" hidden="false" customHeight="true" outlineLevel="0" collapsed="false">
      <c r="A1384" s="66" t="s">
        <v>508</v>
      </c>
      <c r="B1384" s="66" t="s">
        <v>227</v>
      </c>
      <c r="C1384" s="66" t="n">
        <v>0.03</v>
      </c>
      <c r="D1384" s="67" t="str">
        <f aca="false">IFERROR(INDEX(المكونات!$B$2:$B$500,MATCH($B1384,المكونات!$A$2:$A$500,0)),"")</f>
        <v>كجم</v>
      </c>
      <c r="E1384" s="68" t="n">
        <f aca="false">IFERROR(INDEX(المكونات!$C$2:$C$500,MATCH($B1384,المكونات!$A$2:$A$500,0)),"")</f>
        <v>95</v>
      </c>
      <c r="F1384" s="69" t="n">
        <f aca="false">IFERROR($C1384*$E1384,"")</f>
        <v>2.85</v>
      </c>
    </row>
    <row r="1385" customFormat="false" ht="15" hidden="false" customHeight="true" outlineLevel="0" collapsed="false">
      <c r="A1385" s="66" t="s">
        <v>508</v>
      </c>
      <c r="B1385" s="66" t="s">
        <v>178</v>
      </c>
      <c r="C1385" s="66" t="n">
        <v>1</v>
      </c>
      <c r="D1385" s="67" t="str">
        <f aca="false">IFERROR(INDEX(المكونات!$B$2:$B$500,MATCH($B1385,المكونات!$A$2:$A$500,0)),"")</f>
        <v>قطعة</v>
      </c>
      <c r="E1385" s="68" t="n">
        <f aca="false">IFERROR(INDEX(المكونات!$C$2:$C$500,MATCH($B1385,المكونات!$A$2:$A$500,0)),"")</f>
        <v>25</v>
      </c>
      <c r="F1385" s="69" t="n">
        <f aca="false">IFERROR($C1385*$E1385,"")</f>
        <v>25</v>
      </c>
    </row>
    <row r="1386" customFormat="false" ht="15" hidden="false" customHeight="true" outlineLevel="0" collapsed="false">
      <c r="A1386" s="66" t="s">
        <v>508</v>
      </c>
      <c r="B1386" s="66" t="s">
        <v>268</v>
      </c>
      <c r="C1386" s="66" t="n">
        <v>1</v>
      </c>
      <c r="D1386" s="67" t="str">
        <f aca="false">IFERROR(INDEX(المكونات!$B$2:$B$500,MATCH($B1386,المكونات!$A$2:$A$500,0)),"")</f>
        <v>قطعة</v>
      </c>
      <c r="E1386" s="68" t="n">
        <f aca="false">IFERROR(INDEX(المكونات!$C$2:$C$500,MATCH($B1386,المكونات!$A$2:$A$500,0)),"")</f>
        <v>5.5</v>
      </c>
      <c r="F1386" s="69" t="n">
        <f aca="false">IFERROR($C1386*$E1386,"")</f>
        <v>5.5</v>
      </c>
    </row>
    <row r="1387" customFormat="false" ht="15" hidden="false" customHeight="true" outlineLevel="0" collapsed="false">
      <c r="A1387" s="66" t="s">
        <v>508</v>
      </c>
      <c r="B1387" s="66" t="s">
        <v>290</v>
      </c>
      <c r="C1387" s="66" t="n">
        <v>3</v>
      </c>
      <c r="D1387" s="67" t="str">
        <f aca="false">IFERROR(INDEX(المكونات!$B$2:$B$500,MATCH($B1387,المكونات!$A$2:$A$500,0)),"")</f>
        <v>قطعة</v>
      </c>
      <c r="E1387" s="68" t="n">
        <f aca="false">IFERROR(INDEX(المكونات!$C$2:$C$500,MATCH($B1387,المكونات!$A$2:$A$500,0)),"")</f>
        <v>0.3</v>
      </c>
      <c r="F1387" s="69" t="n">
        <f aca="false">IFERROR($C1387*$E1387,"")</f>
        <v>0.9</v>
      </c>
    </row>
    <row r="1388" customFormat="false" ht="15" hidden="false" customHeight="true" outlineLevel="0" collapsed="false">
      <c r="A1388" s="66" t="s">
        <v>508</v>
      </c>
      <c r="B1388" s="66" t="s">
        <v>319</v>
      </c>
      <c r="C1388" s="66" t="n">
        <v>1</v>
      </c>
      <c r="D1388" s="67" t="str">
        <f aca="false">IFERROR(INDEX(المكونات!$B$2:$B$500,MATCH($B1388,المكونات!$A$2:$A$500,0)),"")</f>
        <v>قطعة (ورقة)</v>
      </c>
      <c r="E1388" s="68" t="n">
        <f aca="false">IFERROR(INDEX(المكونات!$C$2:$C$500,MATCH($B1388,المكونات!$A$2:$A$500,0)),"")</f>
        <v>0.3665</v>
      </c>
      <c r="F1388" s="69" t="n">
        <f aca="false">IFERROR($C1388*$E1388,"")</f>
        <v>0.3665</v>
      </c>
    </row>
    <row r="1389" customFormat="false" ht="15" hidden="false" customHeight="true" outlineLevel="0" collapsed="false">
      <c r="A1389" s="66" t="s">
        <v>508</v>
      </c>
      <c r="B1389" s="66" t="s">
        <v>133</v>
      </c>
      <c r="C1389" s="66" t="n">
        <v>1</v>
      </c>
      <c r="D1389" s="67" t="str">
        <f aca="false">IFERROR(INDEX(المكونات!$B$2:$B$500,MATCH($B1389,المكونات!$A$2:$A$500,0)),"")</f>
        <v>قطعة (كيس)</v>
      </c>
      <c r="E1389" s="68" t="n">
        <f aca="false">IFERROR(INDEX(المكونات!$C$2:$C$500,MATCH($B1389,المكونات!$A$2:$A$500,0)),"")</f>
        <v>1.4</v>
      </c>
      <c r="F1389" s="69" t="n">
        <f aca="false">IFERROR($C1389*$E1389,"")</f>
        <v>1.4</v>
      </c>
    </row>
    <row r="1390" customFormat="false" ht="15" hidden="false" customHeight="true" outlineLevel="0" collapsed="false">
      <c r="A1390" s="66" t="s">
        <v>508</v>
      </c>
      <c r="B1390" s="66" t="s">
        <v>293</v>
      </c>
      <c r="C1390" s="66" t="n">
        <v>1</v>
      </c>
      <c r="D1390" s="67" t="str">
        <f aca="false">IFERROR(INDEX(المكونات!$B$2:$B$500,MATCH($B1390,المكونات!$A$2:$A$500,0)),"")</f>
        <v>قطعة</v>
      </c>
      <c r="E1390" s="68" t="n">
        <f aca="false">IFERROR(INDEX(المكونات!$C$2:$C$500,MATCH($B1390,المكونات!$A$2:$A$500,0)),"")</f>
        <v>0.5</v>
      </c>
      <c r="F1390" s="69" t="n">
        <f aca="false">IFERROR($C1390*$E1390,"")</f>
        <v>0.5</v>
      </c>
    </row>
    <row r="1391" customFormat="false" ht="15" hidden="false" customHeight="true" outlineLevel="0" collapsed="false">
      <c r="A1391" s="66" t="s">
        <v>508</v>
      </c>
      <c r="B1391" s="66" t="s">
        <v>211</v>
      </c>
      <c r="C1391" s="66" t="n">
        <v>2</v>
      </c>
      <c r="D1391" s="67" t="str">
        <f aca="false">IFERROR(INDEX(المكونات!$B$2:$B$500,MATCH($B1391,المكونات!$A$2:$A$500,0)),"")</f>
        <v>قطعة (جلفز)</v>
      </c>
      <c r="E1391" s="68" t="n">
        <f aca="false">IFERROR(INDEX(المكونات!$C$2:$C$500,MATCH($B1391,المكونات!$A$2:$A$500,0)),"")</f>
        <v>0.18</v>
      </c>
      <c r="F1391" s="69" t="n">
        <f aca="false">IFERROR($C1391*$E1391,"")</f>
        <v>0.36</v>
      </c>
    </row>
    <row r="1392" customFormat="false" ht="15" hidden="false" customHeight="true" outlineLevel="0" collapsed="false">
      <c r="A1392" s="66" t="s">
        <v>508</v>
      </c>
      <c r="B1392" s="66" t="s">
        <v>322</v>
      </c>
      <c r="C1392" s="66" t="n">
        <v>1</v>
      </c>
      <c r="D1392" s="67" t="str">
        <f aca="false">IFERROR(INDEX(المكونات!$B$2:$B$500,MATCH($B1392,المكونات!$A$2:$A$500,0)),"")</f>
        <v>قطعة (كيس)</v>
      </c>
      <c r="E1392" s="68" t="n">
        <f aca="false">IFERROR(INDEX(المكونات!$C$2:$C$500,MATCH($B1392,المكونات!$A$2:$A$500,0)),"")</f>
        <v>1</v>
      </c>
      <c r="F1392" s="69" t="n">
        <f aca="false">IFERROR($C1392*$E1392,"")</f>
        <v>1</v>
      </c>
    </row>
    <row r="1393" customFormat="false" ht="15" hidden="false" customHeight="true" outlineLevel="0" collapsed="false">
      <c r="A1393" s="66" t="s">
        <v>508</v>
      </c>
      <c r="B1393" s="66" t="s">
        <v>280</v>
      </c>
      <c r="C1393" s="66" t="n">
        <v>1.5</v>
      </c>
      <c r="D1393" s="67" t="str">
        <f aca="false">IFERROR(INDEX(المكونات!$B$2:$B$500,MATCH($B1393,المكونات!$A$2:$A$500,0)),"")</f>
        <v>قطعة</v>
      </c>
      <c r="E1393" s="68" t="n">
        <f aca="false">IFERROR(INDEX(المكونات!$C$2:$C$500,MATCH($B1393,المكونات!$A$2:$A$500,0)),"")</f>
        <v>42.03</v>
      </c>
      <c r="F1393" s="69" t="n">
        <f aca="false">IFERROR($C1393*$E1393,"")</f>
        <v>63.045</v>
      </c>
    </row>
    <row r="1394" customFormat="false" ht="15" hidden="false" customHeight="true" outlineLevel="0" collapsed="false">
      <c r="A1394" s="66" t="s">
        <v>423</v>
      </c>
      <c r="B1394" s="66" t="s">
        <v>264</v>
      </c>
      <c r="C1394" s="66" t="n">
        <v>1</v>
      </c>
      <c r="D1394" s="67" t="str">
        <f aca="false">IFERROR(INDEX(المكونات!$B$2:$B$500,MATCH($B1394,المكونات!$A$2:$A$500,0)),"")</f>
        <v>قطعة</v>
      </c>
      <c r="E1394" s="68" t="n">
        <f aca="false">IFERROR(INDEX(المكونات!$C$2:$C$500,MATCH($B1394,المكونات!$A$2:$A$500,0)),"")</f>
        <v>4</v>
      </c>
      <c r="F1394" s="69" t="n">
        <f aca="false">IFERROR($C1394*$E1394,"")</f>
        <v>4</v>
      </c>
    </row>
    <row r="1395" customFormat="false" ht="15" hidden="false" customHeight="true" outlineLevel="0" collapsed="false">
      <c r="A1395" s="66" t="s">
        <v>423</v>
      </c>
      <c r="B1395" s="66" t="s">
        <v>332</v>
      </c>
      <c r="C1395" s="66" t="n">
        <v>0.15</v>
      </c>
      <c r="D1395" s="67" t="str">
        <f aca="false">IFERROR(INDEX(المكونات!$B$2:$B$500,MATCH($B1395,المكونات!$A$2:$A$500,0)),"")</f>
        <v>كجم</v>
      </c>
      <c r="E1395" s="68" t="n">
        <f aca="false">IFERROR(INDEX(المكونات!$C$2:$C$500,MATCH($B1395,المكونات!$A$2:$A$500,0)),"")</f>
        <v>15.3</v>
      </c>
      <c r="F1395" s="69" t="n">
        <f aca="false">IFERROR($C1395*$E1395,"")</f>
        <v>2.295</v>
      </c>
    </row>
    <row r="1396" customFormat="false" ht="15" hidden="false" customHeight="true" outlineLevel="0" collapsed="false">
      <c r="A1396" s="66" t="s">
        <v>423</v>
      </c>
      <c r="B1396" s="66" t="s">
        <v>229</v>
      </c>
      <c r="C1396" s="66" t="n">
        <v>0.05</v>
      </c>
      <c r="D1396" s="67" t="str">
        <f aca="false">IFERROR(INDEX(المكونات!$B$2:$B$500,MATCH($B1396,المكونات!$A$2:$A$500,0)),"")</f>
        <v>كجم</v>
      </c>
      <c r="E1396" s="68" t="n">
        <f aca="false">IFERROR(INDEX(المكونات!$C$2:$C$500,MATCH($B1396,المكونات!$A$2:$A$500,0)),"")</f>
        <v>30.6593</v>
      </c>
      <c r="F1396" s="69" t="n">
        <f aca="false">IFERROR($C1396*$E1396,"")</f>
        <v>1.532965</v>
      </c>
    </row>
    <row r="1397" customFormat="false" ht="15" hidden="false" customHeight="true" outlineLevel="0" collapsed="false">
      <c r="A1397" s="66" t="s">
        <v>423</v>
      </c>
      <c r="B1397" s="66" t="s">
        <v>125</v>
      </c>
      <c r="C1397" s="66" t="n">
        <v>1</v>
      </c>
      <c r="D1397" s="67" t="str">
        <f aca="false">IFERROR(INDEX(المكونات!$B$2:$B$500,MATCH($B1397,المكونات!$A$2:$A$500,0)),"")</f>
        <v>قطعة</v>
      </c>
      <c r="E1397" s="68" t="n">
        <f aca="false">IFERROR(INDEX(المكونات!$C$2:$C$500,MATCH($B1397,المكونات!$A$2:$A$500,0)),"")</f>
        <v>0.8</v>
      </c>
      <c r="F1397" s="69" t="n">
        <f aca="false">IFERROR($C1397*$E1397,"")</f>
        <v>0.8</v>
      </c>
    </row>
    <row r="1398" customFormat="false" ht="26.25" hidden="false" customHeight="true" outlineLevel="0" collapsed="false">
      <c r="A1398" s="66" t="s">
        <v>423</v>
      </c>
      <c r="B1398" s="66" t="s">
        <v>192</v>
      </c>
      <c r="C1398" s="66" t="n">
        <v>1</v>
      </c>
      <c r="D1398" s="67" t="str">
        <f aca="false">IFERROR(INDEX(المكونات!$B$2:$B$500,MATCH($B1398,المكونات!$A$2:$A$500,0)),"")</f>
        <v>قطعة (لفة استخدام)</v>
      </c>
      <c r="E1398" s="68" t="n">
        <f aca="false">IFERROR(INDEX(المكونات!$C$2:$C$500,MATCH($B1398,المكونات!$A$2:$A$500,0)),"")</f>
        <v>3.65</v>
      </c>
      <c r="F1398" s="69" t="n">
        <f aca="false">IFERROR($C1398*$E1398,"")</f>
        <v>3.65</v>
      </c>
    </row>
    <row r="1399" customFormat="false" ht="15" hidden="false" customHeight="true" outlineLevel="0" collapsed="false">
      <c r="A1399" s="66" t="s">
        <v>423</v>
      </c>
      <c r="B1399" s="66" t="s">
        <v>239</v>
      </c>
      <c r="C1399" s="66" t="n">
        <v>1</v>
      </c>
      <c r="D1399" s="67" t="str">
        <f aca="false">IFERROR(INDEX(المكونات!$B$2:$B$500,MATCH($B1399,المكونات!$A$2:$A$500,0)),"")</f>
        <v>قطعة</v>
      </c>
      <c r="E1399" s="68" t="n">
        <f aca="false">IFERROR(INDEX(المكونات!$C$2:$C$500,MATCH($B1399,المكونات!$A$2:$A$500,0)),"")</f>
        <v>0.675</v>
      </c>
      <c r="F1399" s="69" t="n">
        <f aca="false">IFERROR($C1399*$E1399,"")</f>
        <v>0.675</v>
      </c>
    </row>
    <row r="1400" customFormat="false" ht="15" hidden="false" customHeight="true" outlineLevel="0" collapsed="false">
      <c r="A1400" s="66" t="s">
        <v>423</v>
      </c>
      <c r="B1400" s="66" t="s">
        <v>243</v>
      </c>
      <c r="C1400" s="66" t="n">
        <v>1</v>
      </c>
      <c r="D1400" s="67" t="str">
        <f aca="false">IFERROR(INDEX(المكونات!$B$2:$B$500,MATCH($B1400,المكونات!$A$2:$A$500,0)),"")</f>
        <v>قطعة</v>
      </c>
      <c r="E1400" s="68" t="n">
        <f aca="false">IFERROR(INDEX(المكونات!$C$2:$C$500,MATCH($B1400,المكونات!$A$2:$A$500,0)),"")</f>
        <v>0.3</v>
      </c>
      <c r="F1400" s="69" t="n">
        <f aca="false">IFERROR($C1400*$E1400,"")</f>
        <v>0.3</v>
      </c>
    </row>
    <row r="1401" customFormat="false" ht="15" hidden="false" customHeight="true" outlineLevel="0" collapsed="false">
      <c r="A1401" s="66" t="s">
        <v>423</v>
      </c>
      <c r="B1401" s="66" t="s">
        <v>211</v>
      </c>
      <c r="C1401" s="66" t="n">
        <v>2</v>
      </c>
      <c r="D1401" s="67" t="str">
        <f aca="false">IFERROR(INDEX(المكونات!$B$2:$B$500,MATCH($B1401,المكونات!$A$2:$A$500,0)),"")</f>
        <v>قطعة (جلفز)</v>
      </c>
      <c r="E1401" s="68" t="n">
        <f aca="false">IFERROR(INDEX(المكونات!$C$2:$C$500,MATCH($B1401,المكونات!$A$2:$A$500,0)),"")</f>
        <v>0.18</v>
      </c>
      <c r="F1401" s="69" t="n">
        <f aca="false">IFERROR($C1401*$E1401,"")</f>
        <v>0.36</v>
      </c>
    </row>
    <row r="1402" customFormat="false" ht="15" hidden="false" customHeight="true" outlineLevel="0" collapsed="false">
      <c r="A1402" s="66" t="s">
        <v>423</v>
      </c>
      <c r="B1402" s="66" t="s">
        <v>136</v>
      </c>
      <c r="C1402" s="66" t="n">
        <v>1</v>
      </c>
      <c r="D1402" s="67" t="str">
        <f aca="false">IFERROR(INDEX(المكونات!$B$2:$B$500,MATCH($B1402,المكونات!$A$2:$A$500,0)),"")</f>
        <v>قطعة (كيس)</v>
      </c>
      <c r="E1402" s="68" t="n">
        <f aca="false">IFERROR(INDEX(المكونات!$C$2:$C$500,MATCH($B1402,المكونات!$A$2:$A$500,0)),"")</f>
        <v>1.4</v>
      </c>
      <c r="F1402" s="69" t="n">
        <f aca="false">IFERROR($C1402*$E1402,"")</f>
        <v>1.4</v>
      </c>
    </row>
    <row r="1403" customFormat="false" ht="15" hidden="false" customHeight="true" outlineLevel="0" collapsed="false">
      <c r="A1403" s="66" t="s">
        <v>439</v>
      </c>
      <c r="B1403" s="66" t="s">
        <v>264</v>
      </c>
      <c r="C1403" s="66" t="n">
        <v>1</v>
      </c>
      <c r="D1403" s="67" t="str">
        <f aca="false">IFERROR(INDEX(المكونات!$B$2:$B$500,MATCH($B1403,المكونات!$A$2:$A$500,0)),"")</f>
        <v>قطعة</v>
      </c>
      <c r="E1403" s="68" t="n">
        <f aca="false">IFERROR(INDEX(المكونات!$C$2:$C$500,MATCH($B1403,المكونات!$A$2:$A$500,0)),"")</f>
        <v>4</v>
      </c>
      <c r="F1403" s="69" t="n">
        <f aca="false">IFERROR($C1403*$E1403,"")</f>
        <v>4</v>
      </c>
    </row>
    <row r="1404" customFormat="false" ht="15" hidden="false" customHeight="true" outlineLevel="0" collapsed="false">
      <c r="A1404" s="66" t="s">
        <v>439</v>
      </c>
      <c r="B1404" s="66" t="s">
        <v>332</v>
      </c>
      <c r="C1404" s="66" t="n">
        <v>0.15</v>
      </c>
      <c r="D1404" s="67" t="str">
        <f aca="false">IFERROR(INDEX(المكونات!$B$2:$B$500,MATCH($B1404,المكونات!$A$2:$A$500,0)),"")</f>
        <v>كجم</v>
      </c>
      <c r="E1404" s="68" t="n">
        <f aca="false">IFERROR(INDEX(المكونات!$C$2:$C$500,MATCH($B1404,المكونات!$A$2:$A$500,0)),"")</f>
        <v>15.3</v>
      </c>
      <c r="F1404" s="69" t="n">
        <f aca="false">IFERROR($C1404*$E1404,"")</f>
        <v>2.295</v>
      </c>
    </row>
    <row r="1405" customFormat="false" ht="15" hidden="false" customHeight="true" outlineLevel="0" collapsed="false">
      <c r="A1405" s="66" t="s">
        <v>439</v>
      </c>
      <c r="B1405" s="66" t="s">
        <v>221</v>
      </c>
      <c r="C1405" s="66" t="n">
        <v>0.06</v>
      </c>
      <c r="D1405" s="67" t="str">
        <f aca="false">IFERROR(INDEX(المكونات!$B$2:$B$500,MATCH($B1405,المكونات!$A$2:$A$500,0)),"")</f>
        <v>كجم</v>
      </c>
      <c r="E1405" s="68" t="n">
        <f aca="false">IFERROR(INDEX(المكونات!$C$2:$C$500,MATCH($B1405,المكونات!$A$2:$A$500,0)),"")</f>
        <v>220</v>
      </c>
      <c r="F1405" s="69" t="n">
        <f aca="false">IFERROR($C1405*$E1405,"")</f>
        <v>13.2</v>
      </c>
    </row>
    <row r="1406" customFormat="false" ht="15" hidden="false" customHeight="true" outlineLevel="0" collapsed="false">
      <c r="A1406" s="66" t="s">
        <v>439</v>
      </c>
      <c r="B1406" s="66" t="s">
        <v>214</v>
      </c>
      <c r="C1406" s="66" t="n">
        <v>0.03</v>
      </c>
      <c r="D1406" s="67" t="str">
        <f aca="false">IFERROR(INDEX(المكونات!$B$2:$B$500,MATCH($B1406,المكونات!$A$2:$A$500,0)),"")</f>
        <v>كجم</v>
      </c>
      <c r="E1406" s="68" t="n">
        <f aca="false">IFERROR(INDEX(المكونات!$C$2:$C$500,MATCH($B1406,المكونات!$A$2:$A$500,0)),"")</f>
        <v>200</v>
      </c>
      <c r="F1406" s="69" t="n">
        <f aca="false">IFERROR($C1406*$E1406,"")</f>
        <v>6</v>
      </c>
    </row>
    <row r="1407" customFormat="false" ht="15" hidden="false" customHeight="true" outlineLevel="0" collapsed="false">
      <c r="A1407" s="66" t="s">
        <v>439</v>
      </c>
      <c r="B1407" s="66" t="s">
        <v>229</v>
      </c>
      <c r="C1407" s="66" t="n">
        <v>0.05</v>
      </c>
      <c r="D1407" s="67" t="str">
        <f aca="false">IFERROR(INDEX(المكونات!$B$2:$B$500,MATCH($B1407,المكونات!$A$2:$A$500,0)),"")</f>
        <v>كجم</v>
      </c>
      <c r="E1407" s="68" t="n">
        <f aca="false">IFERROR(INDEX(المكونات!$C$2:$C$500,MATCH($B1407,المكونات!$A$2:$A$500,0)),"")</f>
        <v>30.6593</v>
      </c>
      <c r="F1407" s="69" t="n">
        <f aca="false">IFERROR($C1407*$E1407,"")</f>
        <v>1.532965</v>
      </c>
    </row>
    <row r="1408" customFormat="false" ht="26.25" hidden="false" customHeight="true" outlineLevel="0" collapsed="false">
      <c r="A1408" s="66" t="s">
        <v>439</v>
      </c>
      <c r="B1408" s="66" t="s">
        <v>192</v>
      </c>
      <c r="C1408" s="66" t="n">
        <v>1</v>
      </c>
      <c r="D1408" s="67" t="str">
        <f aca="false">IFERROR(INDEX(المكونات!$B$2:$B$500,MATCH($B1408,المكونات!$A$2:$A$500,0)),"")</f>
        <v>قطعة (لفة استخدام)</v>
      </c>
      <c r="E1408" s="68" t="n">
        <f aca="false">IFERROR(INDEX(المكونات!$C$2:$C$500,MATCH($B1408,المكونات!$A$2:$A$500,0)),"")</f>
        <v>3.65</v>
      </c>
      <c r="F1408" s="69" t="n">
        <f aca="false">IFERROR($C1408*$E1408,"")</f>
        <v>3.65</v>
      </c>
    </row>
    <row r="1409" customFormat="false" ht="15" hidden="false" customHeight="true" outlineLevel="0" collapsed="false">
      <c r="A1409" s="66" t="s">
        <v>439</v>
      </c>
      <c r="B1409" s="66" t="s">
        <v>278</v>
      </c>
      <c r="C1409" s="66" t="n">
        <v>1</v>
      </c>
      <c r="D1409" s="67" t="str">
        <f aca="false">IFERROR(INDEX(المكونات!$B$2:$B$500,MATCH($B1409,المكونات!$A$2:$A$500,0)),"")</f>
        <v>قطعة</v>
      </c>
      <c r="E1409" s="68" t="n">
        <f aca="false">IFERROR(INDEX(المكونات!$C$2:$C$500,MATCH($B1409,المكونات!$A$2:$A$500,0)),"")</f>
        <v>3.1</v>
      </c>
      <c r="F1409" s="69" t="n">
        <f aca="false">IFERROR($C1409*$E1409,"")</f>
        <v>3.1</v>
      </c>
    </row>
    <row r="1410" customFormat="false" ht="15" hidden="false" customHeight="true" outlineLevel="0" collapsed="false">
      <c r="A1410" s="66" t="s">
        <v>439</v>
      </c>
      <c r="B1410" s="66" t="s">
        <v>243</v>
      </c>
      <c r="C1410" s="66" t="n">
        <v>1</v>
      </c>
      <c r="D1410" s="67" t="str">
        <f aca="false">IFERROR(INDEX(المكونات!$B$2:$B$500,MATCH($B1410,المكونات!$A$2:$A$500,0)),"")</f>
        <v>قطعة</v>
      </c>
      <c r="E1410" s="68" t="n">
        <f aca="false">IFERROR(INDEX(المكونات!$C$2:$C$500,MATCH($B1410,المكونات!$A$2:$A$500,0)),"")</f>
        <v>0.3</v>
      </c>
      <c r="F1410" s="69" t="n">
        <f aca="false">IFERROR($C1410*$E1410,"")</f>
        <v>0.3</v>
      </c>
    </row>
    <row r="1411" customFormat="false" ht="15" hidden="false" customHeight="true" outlineLevel="0" collapsed="false">
      <c r="A1411" s="66" t="s">
        <v>439</v>
      </c>
      <c r="B1411" s="66" t="s">
        <v>136</v>
      </c>
      <c r="C1411" s="66" t="n">
        <v>1</v>
      </c>
      <c r="D1411" s="67" t="str">
        <f aca="false">IFERROR(INDEX(المكونات!$B$2:$B$500,MATCH($B1411,المكونات!$A$2:$A$500,0)),"")</f>
        <v>قطعة (كيس)</v>
      </c>
      <c r="E1411" s="68" t="n">
        <f aca="false">IFERROR(INDEX(المكونات!$C$2:$C$500,MATCH($B1411,المكونات!$A$2:$A$500,0)),"")</f>
        <v>1.4</v>
      </c>
      <c r="F1411" s="69" t="n">
        <f aca="false">IFERROR($C1411*$E1411,"")</f>
        <v>1.4</v>
      </c>
    </row>
    <row r="1412" customFormat="false" ht="15" hidden="false" customHeight="true" outlineLevel="0" collapsed="false">
      <c r="A1412" s="66" t="s">
        <v>399</v>
      </c>
      <c r="B1412" s="66" t="s">
        <v>264</v>
      </c>
      <c r="C1412" s="66" t="n">
        <v>1</v>
      </c>
      <c r="D1412" s="67" t="str">
        <f aca="false">IFERROR(INDEX(المكونات!$B$2:$B$500,MATCH($B1412,المكونات!$A$2:$A$500,0)),"")</f>
        <v>قطعة</v>
      </c>
      <c r="E1412" s="68" t="n">
        <f aca="false">IFERROR(INDEX(المكونات!$C$2:$C$500,MATCH($B1412,المكونات!$A$2:$A$500,0)),"")</f>
        <v>4</v>
      </c>
      <c r="F1412" s="69" t="n">
        <f aca="false">IFERROR($C1412*$E1412,"")</f>
        <v>4</v>
      </c>
    </row>
    <row r="1413" customFormat="false" ht="15" hidden="false" customHeight="true" outlineLevel="0" collapsed="false">
      <c r="A1413" s="66" t="s">
        <v>399</v>
      </c>
      <c r="B1413" s="66" t="s">
        <v>332</v>
      </c>
      <c r="C1413" s="66" t="n">
        <v>0.15</v>
      </c>
      <c r="D1413" s="67" t="str">
        <f aca="false">IFERROR(INDEX(المكونات!$B$2:$B$500,MATCH($B1413,المكونات!$A$2:$A$500,0)),"")</f>
        <v>كجم</v>
      </c>
      <c r="E1413" s="68" t="n">
        <f aca="false">IFERROR(INDEX(المكونات!$C$2:$C$500,MATCH($B1413,المكونات!$A$2:$A$500,0)),"")</f>
        <v>15.3</v>
      </c>
      <c r="F1413" s="69" t="n">
        <f aca="false">IFERROR($C1413*$E1413,"")</f>
        <v>2.295</v>
      </c>
    </row>
    <row r="1414" customFormat="false" ht="15" hidden="false" customHeight="true" outlineLevel="0" collapsed="false">
      <c r="A1414" s="66" t="s">
        <v>399</v>
      </c>
      <c r="B1414" s="66" t="s">
        <v>245</v>
      </c>
      <c r="C1414" s="66" t="n">
        <v>0.16</v>
      </c>
      <c r="D1414" s="67" t="str">
        <f aca="false">IFERROR(INDEX(المكونات!$B$2:$B$500,MATCH($B1414,المكونات!$A$2:$A$500,0)),"")</f>
        <v>كجم</v>
      </c>
      <c r="E1414" s="68" t="n">
        <f aca="false">IFERROR(INDEX(المكونات!$C$2:$C$500,MATCH($B1414,المكونات!$A$2:$A$500,0)),"")</f>
        <v>127.6582</v>
      </c>
      <c r="F1414" s="69" t="n">
        <f aca="false">IFERROR($C1414*$E1414,"")</f>
        <v>20.425312</v>
      </c>
    </row>
    <row r="1415" customFormat="false" ht="15" hidden="false" customHeight="true" outlineLevel="0" collapsed="false">
      <c r="A1415" s="66" t="s">
        <v>399</v>
      </c>
      <c r="B1415" s="66" t="s">
        <v>247</v>
      </c>
      <c r="C1415" s="66" t="n">
        <v>0.03</v>
      </c>
      <c r="D1415" s="67" t="str">
        <f aca="false">IFERROR(INDEX(المكونات!$B$2:$B$500,MATCH($B1415,المكونات!$A$2:$A$500,0)),"")</f>
        <v>كجم</v>
      </c>
      <c r="E1415" s="68" t="n">
        <f aca="false">IFERROR(INDEX(المكونات!$C$2:$C$500,MATCH($B1415,المكونات!$A$2:$A$500,0)),"")</f>
        <v>100</v>
      </c>
      <c r="F1415" s="69" t="n">
        <f aca="false">IFERROR($C1415*$E1415,"")</f>
        <v>3</v>
      </c>
    </row>
    <row r="1416" customFormat="false" ht="15" hidden="false" customHeight="true" outlineLevel="0" collapsed="false">
      <c r="A1416" s="66" t="s">
        <v>399</v>
      </c>
      <c r="B1416" s="66" t="s">
        <v>295</v>
      </c>
      <c r="C1416" s="66" t="n">
        <v>0.01</v>
      </c>
      <c r="D1416" s="67" t="str">
        <f aca="false">IFERROR(INDEX(المكونات!$B$2:$B$500,MATCH($B1416,المكونات!$A$2:$A$500,0)),"")</f>
        <v>كجم</v>
      </c>
      <c r="E1416" s="68" t="n">
        <f aca="false">IFERROR(INDEX(المكونات!$C$2:$C$500,MATCH($B1416,المكونات!$A$2:$A$500,0)),"")</f>
        <v>420</v>
      </c>
      <c r="F1416" s="69" t="n">
        <f aca="false">IFERROR($C1416*$E1416,"")</f>
        <v>4.2</v>
      </c>
    </row>
    <row r="1417" customFormat="false" ht="26.25" hidden="false" customHeight="true" outlineLevel="0" collapsed="false">
      <c r="A1417" s="66" t="s">
        <v>399</v>
      </c>
      <c r="B1417" s="66" t="s">
        <v>192</v>
      </c>
      <c r="C1417" s="66" t="n">
        <v>1</v>
      </c>
      <c r="D1417" s="67" t="str">
        <f aca="false">IFERROR(INDEX(المكونات!$B$2:$B$500,MATCH($B1417,المكونات!$A$2:$A$500,0)),"")</f>
        <v>قطعة (لفة استخدام)</v>
      </c>
      <c r="E1417" s="68" t="n">
        <f aca="false">IFERROR(INDEX(المكونات!$C$2:$C$500,MATCH($B1417,المكونات!$A$2:$A$500,0)),"")</f>
        <v>3.65</v>
      </c>
      <c r="F1417" s="69" t="n">
        <f aca="false">IFERROR($C1417*$E1417,"")</f>
        <v>3.65</v>
      </c>
    </row>
    <row r="1418" customFormat="false" ht="15" hidden="false" customHeight="true" outlineLevel="0" collapsed="false">
      <c r="A1418" s="66" t="s">
        <v>399</v>
      </c>
      <c r="B1418" s="66" t="s">
        <v>278</v>
      </c>
      <c r="C1418" s="66" t="n">
        <v>1</v>
      </c>
      <c r="D1418" s="67" t="str">
        <f aca="false">IFERROR(INDEX(المكونات!$B$2:$B$500,MATCH($B1418,المكونات!$A$2:$A$500,0)),"")</f>
        <v>قطعة</v>
      </c>
      <c r="E1418" s="68" t="n">
        <f aca="false">IFERROR(INDEX(المكونات!$C$2:$C$500,MATCH($B1418,المكونات!$A$2:$A$500,0)),"")</f>
        <v>3.1</v>
      </c>
      <c r="F1418" s="69" t="n">
        <f aca="false">IFERROR($C1418*$E1418,"")</f>
        <v>3.1</v>
      </c>
    </row>
    <row r="1419" customFormat="false" ht="15" hidden="false" customHeight="true" outlineLevel="0" collapsed="false">
      <c r="A1419" s="66" t="s">
        <v>399</v>
      </c>
      <c r="B1419" s="66" t="s">
        <v>243</v>
      </c>
      <c r="C1419" s="66" t="n">
        <v>1</v>
      </c>
      <c r="D1419" s="67" t="str">
        <f aca="false">IFERROR(INDEX(المكونات!$B$2:$B$500,MATCH($B1419,المكونات!$A$2:$A$500,0)),"")</f>
        <v>قطعة</v>
      </c>
      <c r="E1419" s="68" t="n">
        <f aca="false">IFERROR(INDEX(المكونات!$C$2:$C$500,MATCH($B1419,المكونات!$A$2:$A$500,0)),"")</f>
        <v>0.3</v>
      </c>
      <c r="F1419" s="69" t="n">
        <f aca="false">IFERROR($C1419*$E1419,"")</f>
        <v>0.3</v>
      </c>
    </row>
    <row r="1420" customFormat="false" ht="15" hidden="false" customHeight="true" outlineLevel="0" collapsed="false">
      <c r="A1420" s="66" t="s">
        <v>399</v>
      </c>
      <c r="B1420" s="66" t="s">
        <v>136</v>
      </c>
      <c r="C1420" s="66" t="n">
        <v>1</v>
      </c>
      <c r="D1420" s="67" t="str">
        <f aca="false">IFERROR(INDEX(المكونات!$B$2:$B$500,MATCH($B1420,المكونات!$A$2:$A$500,0)),"")</f>
        <v>قطعة (كيس)</v>
      </c>
      <c r="E1420" s="68" t="n">
        <f aca="false">IFERROR(INDEX(المكونات!$C$2:$C$500,MATCH($B1420,المكونات!$A$2:$A$500,0)),"")</f>
        <v>1.4</v>
      </c>
      <c r="F1420" s="69" t="n">
        <f aca="false">IFERROR($C1420*$E1420,"")</f>
        <v>1.4</v>
      </c>
    </row>
    <row r="1421" customFormat="false" ht="15" hidden="false" customHeight="true" outlineLevel="0" collapsed="false">
      <c r="A1421" s="66" t="s">
        <v>492</v>
      </c>
      <c r="B1421" s="66" t="s">
        <v>264</v>
      </c>
      <c r="C1421" s="66" t="n">
        <v>1</v>
      </c>
      <c r="D1421" s="67" t="str">
        <f aca="false">IFERROR(INDEX(المكونات!$B$2:$B$500,MATCH($B1421,المكونات!$A$2:$A$500,0)),"")</f>
        <v>قطعة</v>
      </c>
      <c r="E1421" s="68" t="n">
        <f aca="false">IFERROR(INDEX(المكونات!$C$2:$C$500,MATCH($B1421,المكونات!$A$2:$A$500,0)),"")</f>
        <v>4</v>
      </c>
      <c r="F1421" s="69" t="n">
        <f aca="false">IFERROR($C1421*$E1421,"")</f>
        <v>4</v>
      </c>
    </row>
    <row r="1422" customFormat="false" ht="15" hidden="false" customHeight="true" outlineLevel="0" collapsed="false">
      <c r="A1422" s="66" t="s">
        <v>492</v>
      </c>
      <c r="B1422" s="66" t="s">
        <v>332</v>
      </c>
      <c r="C1422" s="66" t="n">
        <v>0.15</v>
      </c>
      <c r="D1422" s="67" t="str">
        <f aca="false">IFERROR(INDEX(المكونات!$B$2:$B$500,MATCH($B1422,المكونات!$A$2:$A$500,0)),"")</f>
        <v>كجم</v>
      </c>
      <c r="E1422" s="68" t="n">
        <f aca="false">IFERROR(INDEX(المكونات!$C$2:$C$500,MATCH($B1422,المكونات!$A$2:$A$500,0)),"")</f>
        <v>15.3</v>
      </c>
      <c r="F1422" s="69" t="n">
        <f aca="false">IFERROR($C1422*$E1422,"")</f>
        <v>2.295</v>
      </c>
    </row>
    <row r="1423" customFormat="false" ht="15" hidden="false" customHeight="true" outlineLevel="0" collapsed="false">
      <c r="A1423" s="66" t="s">
        <v>492</v>
      </c>
      <c r="B1423" s="66" t="s">
        <v>302</v>
      </c>
      <c r="C1423" s="66" t="n">
        <v>0.16</v>
      </c>
      <c r="D1423" s="67" t="str">
        <f aca="false">IFERROR(INDEX(المكونات!$B$2:$B$500,MATCH($B1423,المكونات!$A$2:$A$500,0)),"")</f>
        <v>كجم</v>
      </c>
      <c r="E1423" s="68" t="n">
        <f aca="false">IFERROR(INDEX(المكونات!$C$2:$C$500,MATCH($B1423,المكونات!$A$2:$A$500,0)),"")</f>
        <v>135</v>
      </c>
      <c r="F1423" s="69" t="n">
        <f aca="false">IFERROR($C1423*$E1423,"")</f>
        <v>21.6</v>
      </c>
    </row>
    <row r="1424" customFormat="false" ht="15" hidden="false" customHeight="true" outlineLevel="0" collapsed="false">
      <c r="A1424" s="66" t="s">
        <v>492</v>
      </c>
      <c r="B1424" s="66" t="s">
        <v>185</v>
      </c>
      <c r="C1424" s="66" t="n">
        <v>0.04</v>
      </c>
      <c r="D1424" s="67" t="str">
        <f aca="false">IFERROR(INDEX(المكونات!$B$2:$B$500,MATCH($B1424,المكونات!$A$2:$A$500,0)),"")</f>
        <v>كجم</v>
      </c>
      <c r="E1424" s="68" t="n">
        <f aca="false">IFERROR(INDEX(المكونات!$C$2:$C$500,MATCH($B1424,المكونات!$A$2:$A$500,0)),"")</f>
        <v>100</v>
      </c>
      <c r="F1424" s="69" t="n">
        <f aca="false">IFERROR($C1424*$E1424,"")</f>
        <v>4</v>
      </c>
    </row>
    <row r="1425" customFormat="false" ht="15" hidden="false" customHeight="true" outlineLevel="0" collapsed="false">
      <c r="A1425" s="66" t="s">
        <v>492</v>
      </c>
      <c r="B1425" s="66" t="s">
        <v>183</v>
      </c>
      <c r="C1425" s="66" t="n">
        <v>0.02</v>
      </c>
      <c r="D1425" s="67" t="str">
        <f aca="false">IFERROR(INDEX(المكونات!$B$2:$B$500,MATCH($B1425,المكونات!$A$2:$A$500,0)),"")</f>
        <v>كجم</v>
      </c>
      <c r="E1425" s="68" t="n">
        <f aca="false">IFERROR(INDEX(المكونات!$C$2:$C$500,MATCH($B1425,المكونات!$A$2:$A$500,0)),"")</f>
        <v>104.58</v>
      </c>
      <c r="F1425" s="69" t="n">
        <f aca="false">IFERROR($C1425*$E1425,"")</f>
        <v>2.0916</v>
      </c>
    </row>
    <row r="1426" customFormat="false" ht="26.25" hidden="false" customHeight="true" outlineLevel="0" collapsed="false">
      <c r="A1426" s="66" t="s">
        <v>492</v>
      </c>
      <c r="B1426" s="66" t="s">
        <v>192</v>
      </c>
      <c r="C1426" s="66" t="n">
        <v>1</v>
      </c>
      <c r="D1426" s="67" t="str">
        <f aca="false">IFERROR(INDEX(المكونات!$B$2:$B$500,MATCH($B1426,المكونات!$A$2:$A$500,0)),"")</f>
        <v>قطعة (لفة استخدام)</v>
      </c>
      <c r="E1426" s="68" t="n">
        <f aca="false">IFERROR(INDEX(المكونات!$C$2:$C$500,MATCH($B1426,المكونات!$A$2:$A$500,0)),"")</f>
        <v>3.65</v>
      </c>
      <c r="F1426" s="69" t="n">
        <f aca="false">IFERROR($C1426*$E1426,"")</f>
        <v>3.65</v>
      </c>
    </row>
    <row r="1427" customFormat="false" ht="15" hidden="false" customHeight="true" outlineLevel="0" collapsed="false">
      <c r="A1427" s="66" t="s">
        <v>492</v>
      </c>
      <c r="B1427" s="66" t="s">
        <v>278</v>
      </c>
      <c r="C1427" s="66" t="n">
        <v>1</v>
      </c>
      <c r="D1427" s="67" t="str">
        <f aca="false">IFERROR(INDEX(المكونات!$B$2:$B$500,MATCH($B1427,المكونات!$A$2:$A$500,0)),"")</f>
        <v>قطعة</v>
      </c>
      <c r="E1427" s="68" t="n">
        <f aca="false">IFERROR(INDEX(المكونات!$C$2:$C$500,MATCH($B1427,المكونات!$A$2:$A$500,0)),"")</f>
        <v>3.1</v>
      </c>
      <c r="F1427" s="69" t="n">
        <f aca="false">IFERROR($C1427*$E1427,"")</f>
        <v>3.1</v>
      </c>
    </row>
    <row r="1428" customFormat="false" ht="15" hidden="false" customHeight="true" outlineLevel="0" collapsed="false">
      <c r="A1428" s="66" t="s">
        <v>492</v>
      </c>
      <c r="B1428" s="66" t="s">
        <v>243</v>
      </c>
      <c r="C1428" s="66" t="n">
        <v>1</v>
      </c>
      <c r="D1428" s="67" t="str">
        <f aca="false">IFERROR(INDEX(المكونات!$B$2:$B$500,MATCH($B1428,المكونات!$A$2:$A$500,0)),"")</f>
        <v>قطعة</v>
      </c>
      <c r="E1428" s="68" t="n">
        <f aca="false">IFERROR(INDEX(المكونات!$C$2:$C$500,MATCH($B1428,المكونات!$A$2:$A$500,0)),"")</f>
        <v>0.3</v>
      </c>
      <c r="F1428" s="69" t="n">
        <f aca="false">IFERROR($C1428*$E1428,"")</f>
        <v>0.3</v>
      </c>
    </row>
    <row r="1429" customFormat="false" ht="15" hidden="false" customHeight="true" outlineLevel="0" collapsed="false">
      <c r="A1429" s="66" t="s">
        <v>492</v>
      </c>
      <c r="B1429" s="66" t="s">
        <v>136</v>
      </c>
      <c r="C1429" s="66" t="n">
        <v>1</v>
      </c>
      <c r="D1429" s="67" t="str">
        <f aca="false">IFERROR(INDEX(المكونات!$B$2:$B$500,MATCH($B1429,المكونات!$A$2:$A$500,0)),"")</f>
        <v>قطعة (كيس)</v>
      </c>
      <c r="E1429" s="68" t="n">
        <f aca="false">IFERROR(INDEX(المكونات!$C$2:$C$500,MATCH($B1429,المكونات!$A$2:$A$500,0)),"")</f>
        <v>1.4</v>
      </c>
      <c r="F1429" s="69" t="n">
        <f aca="false">IFERROR($C1429*$E1429,"")</f>
        <v>1.4</v>
      </c>
    </row>
    <row r="1430" customFormat="false" ht="15" hidden="false" customHeight="true" outlineLevel="0" collapsed="false">
      <c r="A1430" s="66" t="s">
        <v>446</v>
      </c>
      <c r="B1430" s="66" t="s">
        <v>262</v>
      </c>
      <c r="C1430" s="66" t="n">
        <v>0.22</v>
      </c>
      <c r="D1430" s="67" t="str">
        <f aca="false">IFERROR(INDEX(المكونات!$B$2:$B$500,MATCH($B1430,المكونات!$A$2:$A$500,0)),"")</f>
        <v>كجم</v>
      </c>
      <c r="E1430" s="68" t="n">
        <f aca="false">IFERROR(INDEX(المكونات!$C$2:$C$500,MATCH($B1430,المكونات!$A$2:$A$500,0)),"")</f>
        <v>22</v>
      </c>
      <c r="F1430" s="69" t="n">
        <f aca="false">IFERROR($C1430*$E1430,"")</f>
        <v>4.84</v>
      </c>
    </row>
    <row r="1431" customFormat="false" ht="15" hidden="false" customHeight="true" outlineLevel="0" collapsed="false">
      <c r="A1431" s="66" t="s">
        <v>446</v>
      </c>
      <c r="B1431" s="66" t="s">
        <v>340</v>
      </c>
      <c r="C1431" s="66" t="n">
        <v>3</v>
      </c>
      <c r="D1431" s="67" t="str">
        <f aca="false">IFERROR(INDEX(المكونات!$B$2:$B$500,MATCH($B1431,المكونات!$A$2:$A$500,0)),"")</f>
        <v>قطعة</v>
      </c>
      <c r="E1431" s="68" t="n">
        <f aca="false">IFERROR(INDEX(المكونات!$C$2:$C$500,MATCH($B1431,المكونات!$A$2:$A$500,0)),"")</f>
        <v>6</v>
      </c>
      <c r="F1431" s="69" t="n">
        <f aca="false">IFERROR($C1431*$E1431,"")</f>
        <v>18</v>
      </c>
    </row>
    <row r="1432" customFormat="false" ht="15" hidden="false" customHeight="true" outlineLevel="0" collapsed="false">
      <c r="A1432" s="66" t="s">
        <v>446</v>
      </c>
      <c r="B1432" s="66" t="s">
        <v>176</v>
      </c>
      <c r="C1432" s="66" t="n">
        <v>0.5</v>
      </c>
      <c r="D1432" s="67" t="str">
        <f aca="false">IFERROR(INDEX(المكونات!$B$2:$B$500,MATCH($B1432,المكونات!$A$2:$A$500,0)),"")</f>
        <v>قطعة</v>
      </c>
      <c r="E1432" s="68" t="n">
        <f aca="false">IFERROR(INDEX(المكونات!$C$2:$C$500,MATCH($B1432,المكونات!$A$2:$A$500,0)),"")</f>
        <v>17.5</v>
      </c>
      <c r="F1432" s="69" t="n">
        <f aca="false">IFERROR($C1432*$E1432,"")</f>
        <v>8.75</v>
      </c>
    </row>
    <row r="1433" customFormat="false" ht="15" hidden="false" customHeight="true" outlineLevel="0" collapsed="false">
      <c r="A1433" s="66" t="s">
        <v>446</v>
      </c>
      <c r="B1433" s="66" t="s">
        <v>342</v>
      </c>
      <c r="C1433" s="66" t="n">
        <v>1</v>
      </c>
      <c r="D1433" s="67" t="str">
        <f aca="false">IFERROR(INDEX(المكونات!$B$2:$B$500,MATCH($B1433,المكونات!$A$2:$A$500,0)),"")</f>
        <v>قطعة</v>
      </c>
      <c r="E1433" s="68" t="n">
        <f aca="false">IFERROR(INDEX(المكونات!$C$2:$C$500,MATCH($B1433,المكونات!$A$2:$A$500,0)),"")</f>
        <v>0.3</v>
      </c>
      <c r="F1433" s="69" t="n">
        <f aca="false">IFERROR($C1433*$E1433,"")</f>
        <v>0.3</v>
      </c>
    </row>
    <row r="1434" customFormat="false" ht="15" hidden="false" customHeight="true" outlineLevel="0" collapsed="false">
      <c r="A1434" s="66" t="s">
        <v>446</v>
      </c>
      <c r="B1434" s="66" t="s">
        <v>260</v>
      </c>
      <c r="C1434" s="66" t="n">
        <v>0.02</v>
      </c>
      <c r="D1434" s="67" t="str">
        <f aca="false">IFERROR(INDEX(المكونات!$B$2:$B$500,MATCH($B1434,المكونات!$A$2:$A$500,0)),"")</f>
        <v>كجم</v>
      </c>
      <c r="E1434" s="68" t="n">
        <f aca="false">IFERROR(INDEX(المكونات!$C$2:$C$500,MATCH($B1434,المكونات!$A$2:$A$500,0)),"")</f>
        <v>21</v>
      </c>
      <c r="F1434" s="69" t="n">
        <f aca="false">IFERROR($C1434*$E1434,"")</f>
        <v>0.42</v>
      </c>
    </row>
    <row r="1435" customFormat="false" ht="15" hidden="false" customHeight="true" outlineLevel="0" collapsed="false">
      <c r="A1435" s="66" t="s">
        <v>446</v>
      </c>
      <c r="B1435" s="66" t="s">
        <v>284</v>
      </c>
      <c r="C1435" s="66" t="n">
        <v>0.02</v>
      </c>
      <c r="D1435" s="67" t="str">
        <f aca="false">IFERROR(INDEX(المكونات!$B$2:$B$500,MATCH($B1435,المكونات!$A$2:$A$500,0)),"")</f>
        <v>كجم</v>
      </c>
      <c r="E1435" s="68" t="n">
        <f aca="false">IFERROR(INDEX(المكونات!$C$2:$C$500,MATCH($B1435,المكونات!$A$2:$A$500,0)),"")</f>
        <v>27</v>
      </c>
      <c r="F1435" s="69" t="n">
        <f aca="false">IFERROR($C1435*$E1435,"")</f>
        <v>0.54</v>
      </c>
    </row>
    <row r="1436" customFormat="false" ht="15" hidden="false" customHeight="true" outlineLevel="0" collapsed="false">
      <c r="A1436" s="66" t="s">
        <v>446</v>
      </c>
      <c r="B1436" s="66" t="s">
        <v>190</v>
      </c>
      <c r="C1436" s="66" t="n">
        <v>0.02</v>
      </c>
      <c r="D1436" s="67" t="str">
        <f aca="false">IFERROR(INDEX(المكونات!$B$2:$B$500,MATCH($B1436,المكونات!$A$2:$A$500,0)),"")</f>
        <v>كجم</v>
      </c>
      <c r="E1436" s="68" t="n">
        <f aca="false">IFERROR(INDEX(المكونات!$C$2:$C$500,MATCH($B1436,المكونات!$A$2:$A$500,0)),"")</f>
        <v>18</v>
      </c>
      <c r="F1436" s="69" t="n">
        <f aca="false">IFERROR($C1436*$E1436,"")</f>
        <v>0.36</v>
      </c>
    </row>
    <row r="1437" customFormat="false" ht="15" hidden="false" customHeight="true" outlineLevel="0" collapsed="false">
      <c r="A1437" s="66" t="s">
        <v>446</v>
      </c>
      <c r="B1437" s="66" t="s">
        <v>217</v>
      </c>
      <c r="C1437" s="66" t="n">
        <v>0.02</v>
      </c>
      <c r="D1437" s="67" t="str">
        <f aca="false">IFERROR(INDEX(المكونات!$B$2:$B$500,MATCH($B1437,المكونات!$A$2:$A$500,0)),"")</f>
        <v>كجم</v>
      </c>
      <c r="E1437" s="68" t="n">
        <f aca="false">IFERROR(INDEX(المكونات!$C$2:$C$500,MATCH($B1437,المكونات!$A$2:$A$500,0)),"")</f>
        <v>30</v>
      </c>
      <c r="F1437" s="69" t="n">
        <f aca="false">IFERROR($C1437*$E1437,"")</f>
        <v>0.6</v>
      </c>
    </row>
    <row r="1438" customFormat="false" ht="15" hidden="false" customHeight="true" outlineLevel="0" collapsed="false">
      <c r="A1438" s="66" t="s">
        <v>446</v>
      </c>
      <c r="B1438" s="66" t="s">
        <v>254</v>
      </c>
      <c r="C1438" s="66" t="n">
        <v>0.05</v>
      </c>
      <c r="D1438" s="67" t="str">
        <f aca="false">IFERROR(INDEX(المكونات!$B$2:$B$500,MATCH($B1438,المكونات!$A$2:$A$500,0)),"")</f>
        <v>كجم</v>
      </c>
      <c r="E1438" s="68" t="n">
        <f aca="false">IFERROR(INDEX(المكونات!$C$2:$C$500,MATCH($B1438,المكونات!$A$2:$A$500,0)),"")</f>
        <v>140</v>
      </c>
      <c r="F1438" s="69" t="n">
        <f aca="false">IFERROR($C1438*$E1438,"")</f>
        <v>7</v>
      </c>
    </row>
    <row r="1439" customFormat="false" ht="15" hidden="false" customHeight="true" outlineLevel="0" collapsed="false">
      <c r="A1439" s="66" t="s">
        <v>446</v>
      </c>
      <c r="B1439" s="66" t="s">
        <v>252</v>
      </c>
      <c r="C1439" s="66" t="n">
        <v>0.05</v>
      </c>
      <c r="D1439" s="67" t="str">
        <f aca="false">IFERROR(INDEX(المكونات!$B$2:$B$500,MATCH($B1439,المكونات!$A$2:$A$500,0)),"")</f>
        <v>كجم</v>
      </c>
      <c r="E1439" s="68" t="n">
        <f aca="false">IFERROR(INDEX(المكونات!$C$2:$C$500,MATCH($B1439,المكونات!$A$2:$A$500,0)),"")</f>
        <v>70</v>
      </c>
      <c r="F1439" s="69" t="n">
        <f aca="false">IFERROR($C1439*$E1439,"")</f>
        <v>3.5</v>
      </c>
    </row>
    <row r="1440" customFormat="false" ht="15" hidden="false" customHeight="true" outlineLevel="0" collapsed="false">
      <c r="A1440" s="66" t="s">
        <v>446</v>
      </c>
      <c r="B1440" s="66" t="s">
        <v>258</v>
      </c>
      <c r="C1440" s="66" t="n">
        <v>0.05</v>
      </c>
      <c r="D1440" s="67" t="str">
        <f aca="false">IFERROR(INDEX(المكونات!$B$2:$B$500,MATCH($B1440,المكونات!$A$2:$A$500,0)),"")</f>
        <v>كجم</v>
      </c>
      <c r="E1440" s="68" t="n">
        <f aca="false">IFERROR(INDEX(المكونات!$C$2:$C$500,MATCH($B1440,المكونات!$A$2:$A$500,0)),"")</f>
        <v>140</v>
      </c>
      <c r="F1440" s="69" t="n">
        <f aca="false">IFERROR($C1440*$E1440,"")</f>
        <v>7</v>
      </c>
    </row>
    <row r="1441" customFormat="false" ht="15" hidden="false" customHeight="true" outlineLevel="0" collapsed="false">
      <c r="A1441" s="66" t="s">
        <v>446</v>
      </c>
      <c r="B1441" s="66" t="s">
        <v>290</v>
      </c>
      <c r="C1441" s="66" t="n">
        <v>2</v>
      </c>
      <c r="D1441" s="67" t="str">
        <f aca="false">IFERROR(INDEX(المكونات!$B$2:$B$500,MATCH($B1441,المكونات!$A$2:$A$500,0)),"")</f>
        <v>قطعة</v>
      </c>
      <c r="E1441" s="68" t="n">
        <f aca="false">IFERROR(INDEX(المكونات!$C$2:$C$500,MATCH($B1441,المكونات!$A$2:$A$500,0)),"")</f>
        <v>0.3</v>
      </c>
      <c r="F1441" s="69" t="n">
        <f aca="false">IFERROR($C1441*$E1441,"")</f>
        <v>0.6</v>
      </c>
    </row>
    <row r="1442" customFormat="false" ht="15" hidden="false" customHeight="true" outlineLevel="0" collapsed="false">
      <c r="A1442" s="66" t="s">
        <v>446</v>
      </c>
      <c r="B1442" s="66" t="s">
        <v>319</v>
      </c>
      <c r="C1442" s="66" t="n">
        <v>1</v>
      </c>
      <c r="D1442" s="67" t="str">
        <f aca="false">IFERROR(INDEX(المكونات!$B$2:$B$500,MATCH($B1442,المكونات!$A$2:$A$500,0)),"")</f>
        <v>قطعة (ورقة)</v>
      </c>
      <c r="E1442" s="68" t="n">
        <f aca="false">IFERROR(INDEX(المكونات!$C$2:$C$500,MATCH($B1442,المكونات!$A$2:$A$500,0)),"")</f>
        <v>0.3665</v>
      </c>
      <c r="F1442" s="69" t="n">
        <f aca="false">IFERROR($C1442*$E1442,"")</f>
        <v>0.3665</v>
      </c>
    </row>
    <row r="1443" customFormat="false" ht="15" hidden="false" customHeight="true" outlineLevel="0" collapsed="false">
      <c r="A1443" s="66" t="s">
        <v>446</v>
      </c>
      <c r="B1443" s="66" t="s">
        <v>133</v>
      </c>
      <c r="C1443" s="66" t="n">
        <v>1</v>
      </c>
      <c r="D1443" s="67" t="str">
        <f aca="false">IFERROR(INDEX(المكونات!$B$2:$B$500,MATCH($B1443,المكونات!$A$2:$A$500,0)),"")</f>
        <v>قطعة (كيس)</v>
      </c>
      <c r="E1443" s="68" t="n">
        <f aca="false">IFERROR(INDEX(المكونات!$C$2:$C$500,MATCH($B1443,المكونات!$A$2:$A$500,0)),"")</f>
        <v>1.4</v>
      </c>
      <c r="F1443" s="69" t="n">
        <f aca="false">IFERROR($C1443*$E1443,"")</f>
        <v>1.4</v>
      </c>
    </row>
    <row r="1444" customFormat="false" ht="15" hidden="false" customHeight="true" outlineLevel="0" collapsed="false">
      <c r="A1444" s="66" t="s">
        <v>446</v>
      </c>
      <c r="B1444" s="66" t="s">
        <v>293</v>
      </c>
      <c r="C1444" s="66" t="n">
        <v>1</v>
      </c>
      <c r="D1444" s="67" t="str">
        <f aca="false">IFERROR(INDEX(المكونات!$B$2:$B$500,MATCH($B1444,المكونات!$A$2:$A$500,0)),"")</f>
        <v>قطعة</v>
      </c>
      <c r="E1444" s="68" t="n">
        <f aca="false">IFERROR(INDEX(المكونات!$C$2:$C$500,MATCH($B1444,المكونات!$A$2:$A$500,0)),"")</f>
        <v>0.5</v>
      </c>
      <c r="F1444" s="69" t="n">
        <f aca="false">IFERROR($C1444*$E1444,"")</f>
        <v>0.5</v>
      </c>
    </row>
    <row r="1445" customFormat="false" ht="15" hidden="false" customHeight="true" outlineLevel="0" collapsed="false">
      <c r="A1445" s="66" t="s">
        <v>446</v>
      </c>
      <c r="B1445" s="66" t="s">
        <v>211</v>
      </c>
      <c r="C1445" s="66" t="n">
        <v>2</v>
      </c>
      <c r="D1445" s="67" t="str">
        <f aca="false">IFERROR(INDEX(المكونات!$B$2:$B$500,MATCH($B1445,المكونات!$A$2:$A$500,0)),"")</f>
        <v>قطعة (جلفز)</v>
      </c>
      <c r="E1445" s="68" t="n">
        <f aca="false">IFERROR(INDEX(المكونات!$C$2:$C$500,MATCH($B1445,المكونات!$A$2:$A$500,0)),"")</f>
        <v>0.18</v>
      </c>
      <c r="F1445" s="69" t="n">
        <f aca="false">IFERROR($C1445*$E1445,"")</f>
        <v>0.36</v>
      </c>
    </row>
    <row r="1446" customFormat="false" ht="15" hidden="false" customHeight="true" outlineLevel="0" collapsed="false">
      <c r="A1446" s="66" t="s">
        <v>446</v>
      </c>
      <c r="B1446" s="66" t="s">
        <v>322</v>
      </c>
      <c r="C1446" s="66" t="n">
        <v>1</v>
      </c>
      <c r="D1446" s="67" t="str">
        <f aca="false">IFERROR(INDEX(المكونات!$B$2:$B$500,MATCH($B1446,المكونات!$A$2:$A$500,0)),"")</f>
        <v>قطعة (كيس)</v>
      </c>
      <c r="E1446" s="68" t="n">
        <f aca="false">IFERROR(INDEX(المكونات!$C$2:$C$500,MATCH($B1446,المكونات!$A$2:$A$500,0)),"")</f>
        <v>1</v>
      </c>
      <c r="F1446" s="69" t="n">
        <f aca="false">IFERROR($C1446*$E1446,"")</f>
        <v>1</v>
      </c>
    </row>
    <row r="1447" customFormat="false" ht="15" hidden="false" customHeight="true" outlineLevel="0" collapsed="false">
      <c r="A1447" s="66" t="s">
        <v>446</v>
      </c>
      <c r="B1447" s="66" t="s">
        <v>344</v>
      </c>
      <c r="C1447" s="66" t="n">
        <v>1</v>
      </c>
      <c r="D1447" s="67" t="str">
        <f aca="false">IFERROR(INDEX(المكونات!$B$2:$B$500,MATCH($B1447,المكونات!$A$2:$A$500,0)),"")</f>
        <v>قطعة</v>
      </c>
      <c r="E1447" s="68" t="n">
        <f aca="false">IFERROR(INDEX(المكونات!$C$2:$C$500,MATCH($B1447,المكونات!$A$2:$A$500,0)),"")</f>
        <v>4.44</v>
      </c>
      <c r="F1447" s="69" t="n">
        <f aca="false">IFERROR($C1447*$E1447,"")</f>
        <v>4.44</v>
      </c>
    </row>
    <row r="1448" customFormat="false" ht="15" hidden="false" customHeight="true" outlineLevel="0" collapsed="false">
      <c r="A1448" s="66" t="s">
        <v>405</v>
      </c>
      <c r="B1448" s="66" t="s">
        <v>262</v>
      </c>
      <c r="C1448" s="66" t="n">
        <v>0.22</v>
      </c>
      <c r="D1448" s="67" t="str">
        <f aca="false">IFERROR(INDEX(المكونات!$B$2:$B$500,MATCH($B1448,المكونات!$A$2:$A$500,0)),"")</f>
        <v>كجم</v>
      </c>
      <c r="E1448" s="68" t="n">
        <f aca="false">IFERROR(INDEX(المكونات!$C$2:$C$500,MATCH($B1448,المكونات!$A$2:$A$500,0)),"")</f>
        <v>22</v>
      </c>
      <c r="F1448" s="69" t="n">
        <f aca="false">IFERROR($C1448*$E1448,"")</f>
        <v>4.84</v>
      </c>
    </row>
    <row r="1449" customFormat="false" ht="15" hidden="false" customHeight="true" outlineLevel="0" collapsed="false">
      <c r="A1449" s="66" t="s">
        <v>405</v>
      </c>
      <c r="B1449" s="66" t="s">
        <v>282</v>
      </c>
      <c r="C1449" s="66" t="n">
        <v>0.14</v>
      </c>
      <c r="D1449" s="67" t="str">
        <f aca="false">IFERROR(INDEX(المكونات!$B$2:$B$500,MATCH($B1449,المكونات!$A$2:$A$500,0)),"")</f>
        <v>كجم</v>
      </c>
      <c r="E1449" s="68" t="n">
        <f aca="false">IFERROR(INDEX(المكونات!$C$2:$C$500,MATCH($B1449,المكونات!$A$2:$A$500,0)),"")</f>
        <v>150</v>
      </c>
      <c r="F1449" s="69" t="n">
        <f aca="false">IFERROR($C1449*$E1449,"")</f>
        <v>21</v>
      </c>
    </row>
    <row r="1450" customFormat="false" ht="15" hidden="false" customHeight="true" outlineLevel="0" collapsed="false">
      <c r="A1450" s="66" t="s">
        <v>405</v>
      </c>
      <c r="B1450" s="66" t="s">
        <v>176</v>
      </c>
      <c r="C1450" s="66" t="n">
        <v>0.5</v>
      </c>
      <c r="D1450" s="67" t="str">
        <f aca="false">IFERROR(INDEX(المكونات!$B$2:$B$500,MATCH($B1450,المكونات!$A$2:$A$500,0)),"")</f>
        <v>قطعة</v>
      </c>
      <c r="E1450" s="68" t="n">
        <f aca="false">IFERROR(INDEX(المكونات!$C$2:$C$500,MATCH($B1450,المكونات!$A$2:$A$500,0)),"")</f>
        <v>17.5</v>
      </c>
      <c r="F1450" s="69" t="n">
        <f aca="false">IFERROR($C1450*$E1450,"")</f>
        <v>8.75</v>
      </c>
    </row>
    <row r="1451" customFormat="false" ht="15" hidden="false" customHeight="true" outlineLevel="0" collapsed="false">
      <c r="A1451" s="66" t="s">
        <v>405</v>
      </c>
      <c r="B1451" s="66" t="s">
        <v>342</v>
      </c>
      <c r="C1451" s="66" t="n">
        <v>1</v>
      </c>
      <c r="D1451" s="67" t="str">
        <f aca="false">IFERROR(INDEX(المكونات!$B$2:$B$500,MATCH($B1451,المكونات!$A$2:$A$500,0)),"")</f>
        <v>قطعة</v>
      </c>
      <c r="E1451" s="68" t="n">
        <f aca="false">IFERROR(INDEX(المكونات!$C$2:$C$500,MATCH($B1451,المكونات!$A$2:$A$500,0)),"")</f>
        <v>0.3</v>
      </c>
      <c r="F1451" s="69" t="n">
        <f aca="false">IFERROR($C1451*$E1451,"")</f>
        <v>0.3</v>
      </c>
    </row>
    <row r="1452" customFormat="false" ht="15" hidden="false" customHeight="true" outlineLevel="0" collapsed="false">
      <c r="A1452" s="66" t="s">
        <v>405</v>
      </c>
      <c r="B1452" s="66" t="s">
        <v>260</v>
      </c>
      <c r="C1452" s="66" t="n">
        <v>0.02</v>
      </c>
      <c r="D1452" s="67" t="str">
        <f aca="false">IFERROR(INDEX(المكونات!$B$2:$B$500,MATCH($B1452,المكونات!$A$2:$A$500,0)),"")</f>
        <v>كجم</v>
      </c>
      <c r="E1452" s="68" t="n">
        <f aca="false">IFERROR(INDEX(المكونات!$C$2:$C$500,MATCH($B1452,المكونات!$A$2:$A$500,0)),"")</f>
        <v>21</v>
      </c>
      <c r="F1452" s="69" t="n">
        <f aca="false">IFERROR($C1452*$E1452,"")</f>
        <v>0.42</v>
      </c>
    </row>
    <row r="1453" customFormat="false" ht="15" hidden="false" customHeight="true" outlineLevel="0" collapsed="false">
      <c r="A1453" s="66" t="s">
        <v>405</v>
      </c>
      <c r="B1453" s="66" t="s">
        <v>284</v>
      </c>
      <c r="C1453" s="66" t="n">
        <v>0.02</v>
      </c>
      <c r="D1453" s="67" t="str">
        <f aca="false">IFERROR(INDEX(المكونات!$B$2:$B$500,MATCH($B1453,المكونات!$A$2:$A$500,0)),"")</f>
        <v>كجم</v>
      </c>
      <c r="E1453" s="68" t="n">
        <f aca="false">IFERROR(INDEX(المكونات!$C$2:$C$500,MATCH($B1453,المكونات!$A$2:$A$500,0)),"")</f>
        <v>27</v>
      </c>
      <c r="F1453" s="69" t="n">
        <f aca="false">IFERROR($C1453*$E1453,"")</f>
        <v>0.54</v>
      </c>
    </row>
    <row r="1454" customFormat="false" ht="15" hidden="false" customHeight="true" outlineLevel="0" collapsed="false">
      <c r="A1454" s="66" t="s">
        <v>405</v>
      </c>
      <c r="B1454" s="66" t="s">
        <v>190</v>
      </c>
      <c r="C1454" s="66" t="n">
        <v>0.02</v>
      </c>
      <c r="D1454" s="67" t="str">
        <f aca="false">IFERROR(INDEX(المكونات!$B$2:$B$500,MATCH($B1454,المكونات!$A$2:$A$500,0)),"")</f>
        <v>كجم</v>
      </c>
      <c r="E1454" s="68" t="n">
        <f aca="false">IFERROR(INDEX(المكونات!$C$2:$C$500,MATCH($B1454,المكونات!$A$2:$A$500,0)),"")</f>
        <v>18</v>
      </c>
      <c r="F1454" s="69" t="n">
        <f aca="false">IFERROR($C1454*$E1454,"")</f>
        <v>0.36</v>
      </c>
    </row>
    <row r="1455" customFormat="false" ht="15" hidden="false" customHeight="true" outlineLevel="0" collapsed="false">
      <c r="A1455" s="66" t="s">
        <v>405</v>
      </c>
      <c r="B1455" s="66" t="s">
        <v>217</v>
      </c>
      <c r="C1455" s="66" t="n">
        <v>0.02</v>
      </c>
      <c r="D1455" s="67" t="str">
        <f aca="false">IFERROR(INDEX(المكونات!$B$2:$B$500,MATCH($B1455,المكونات!$A$2:$A$500,0)),"")</f>
        <v>كجم</v>
      </c>
      <c r="E1455" s="68" t="n">
        <f aca="false">IFERROR(INDEX(المكونات!$C$2:$C$500,MATCH($B1455,المكونات!$A$2:$A$500,0)),"")</f>
        <v>30</v>
      </c>
      <c r="F1455" s="69" t="n">
        <f aca="false">IFERROR($C1455*$E1455,"")</f>
        <v>0.6</v>
      </c>
    </row>
    <row r="1456" customFormat="false" ht="15" hidden="false" customHeight="true" outlineLevel="0" collapsed="false">
      <c r="A1456" s="66" t="s">
        <v>405</v>
      </c>
      <c r="B1456" s="66" t="s">
        <v>256</v>
      </c>
      <c r="C1456" s="66" t="n">
        <v>0.05</v>
      </c>
      <c r="D1456" s="67" t="str">
        <f aca="false">IFERROR(INDEX(المكونات!$B$2:$B$500,MATCH($B1456,المكونات!$A$2:$A$500,0)),"")</f>
        <v>كجم</v>
      </c>
      <c r="E1456" s="68" t="n">
        <f aca="false">IFERROR(INDEX(المكونات!$C$2:$C$500,MATCH($B1456,المكونات!$A$2:$A$500,0)),"")</f>
        <v>105</v>
      </c>
      <c r="F1456" s="69" t="n">
        <f aca="false">IFERROR($C1456*$E1456,"")</f>
        <v>5.25</v>
      </c>
    </row>
    <row r="1457" customFormat="false" ht="15" hidden="false" customHeight="true" outlineLevel="0" collapsed="false">
      <c r="A1457" s="66" t="s">
        <v>405</v>
      </c>
      <c r="B1457" s="66" t="s">
        <v>252</v>
      </c>
      <c r="C1457" s="66" t="n">
        <v>0.05</v>
      </c>
      <c r="D1457" s="67" t="str">
        <f aca="false">IFERROR(INDEX(المكونات!$B$2:$B$500,MATCH($B1457,المكونات!$A$2:$A$500,0)),"")</f>
        <v>كجم</v>
      </c>
      <c r="E1457" s="68" t="n">
        <f aca="false">IFERROR(INDEX(المكونات!$C$2:$C$500,MATCH($B1457,المكونات!$A$2:$A$500,0)),"")</f>
        <v>70</v>
      </c>
      <c r="F1457" s="69" t="n">
        <f aca="false">IFERROR($C1457*$E1457,"")</f>
        <v>3.5</v>
      </c>
    </row>
    <row r="1458" customFormat="false" ht="15" hidden="false" customHeight="true" outlineLevel="0" collapsed="false">
      <c r="A1458" s="66" t="s">
        <v>405</v>
      </c>
      <c r="B1458" s="66" t="s">
        <v>258</v>
      </c>
      <c r="C1458" s="66" t="n">
        <v>0.05</v>
      </c>
      <c r="D1458" s="67" t="str">
        <f aca="false">IFERROR(INDEX(المكونات!$B$2:$B$500,MATCH($B1458,المكونات!$A$2:$A$500,0)),"")</f>
        <v>كجم</v>
      </c>
      <c r="E1458" s="68" t="n">
        <f aca="false">IFERROR(INDEX(المكونات!$C$2:$C$500,MATCH($B1458,المكونات!$A$2:$A$500,0)),"")</f>
        <v>140</v>
      </c>
      <c r="F1458" s="69" t="n">
        <f aca="false">IFERROR($C1458*$E1458,"")</f>
        <v>7</v>
      </c>
    </row>
    <row r="1459" customFormat="false" ht="15" hidden="false" customHeight="true" outlineLevel="0" collapsed="false">
      <c r="A1459" s="66" t="s">
        <v>405</v>
      </c>
      <c r="B1459" s="66" t="s">
        <v>290</v>
      </c>
      <c r="C1459" s="66" t="n">
        <v>2</v>
      </c>
      <c r="D1459" s="67" t="str">
        <f aca="false">IFERROR(INDEX(المكونات!$B$2:$B$500,MATCH($B1459,المكونات!$A$2:$A$500,0)),"")</f>
        <v>قطعة</v>
      </c>
      <c r="E1459" s="68" t="n">
        <f aca="false">IFERROR(INDEX(المكونات!$C$2:$C$500,MATCH($B1459,المكونات!$A$2:$A$500,0)),"")</f>
        <v>0.3</v>
      </c>
      <c r="F1459" s="69" t="n">
        <f aca="false">IFERROR($C1459*$E1459,"")</f>
        <v>0.6</v>
      </c>
    </row>
    <row r="1460" customFormat="false" ht="15" hidden="false" customHeight="true" outlineLevel="0" collapsed="false">
      <c r="A1460" s="66" t="s">
        <v>405</v>
      </c>
      <c r="B1460" s="66" t="s">
        <v>319</v>
      </c>
      <c r="C1460" s="66" t="n">
        <v>1</v>
      </c>
      <c r="D1460" s="67" t="str">
        <f aca="false">IFERROR(INDEX(المكونات!$B$2:$B$500,MATCH($B1460,المكونات!$A$2:$A$500,0)),"")</f>
        <v>قطعة (ورقة)</v>
      </c>
      <c r="E1460" s="68" t="n">
        <f aca="false">IFERROR(INDEX(المكونات!$C$2:$C$500,MATCH($B1460,المكونات!$A$2:$A$500,0)),"")</f>
        <v>0.3665</v>
      </c>
      <c r="F1460" s="69" t="n">
        <f aca="false">IFERROR($C1460*$E1460,"")</f>
        <v>0.3665</v>
      </c>
    </row>
    <row r="1461" customFormat="false" ht="15" hidden="false" customHeight="true" outlineLevel="0" collapsed="false">
      <c r="A1461" s="66" t="s">
        <v>405</v>
      </c>
      <c r="B1461" s="66" t="s">
        <v>133</v>
      </c>
      <c r="C1461" s="66" t="n">
        <v>1</v>
      </c>
      <c r="D1461" s="67" t="str">
        <f aca="false">IFERROR(INDEX(المكونات!$B$2:$B$500,MATCH($B1461,المكونات!$A$2:$A$500,0)),"")</f>
        <v>قطعة (كيس)</v>
      </c>
      <c r="E1461" s="68" t="n">
        <f aca="false">IFERROR(INDEX(المكونات!$C$2:$C$500,MATCH($B1461,المكونات!$A$2:$A$500,0)),"")</f>
        <v>1.4</v>
      </c>
      <c r="F1461" s="69" t="n">
        <f aca="false">IFERROR($C1461*$E1461,"")</f>
        <v>1.4</v>
      </c>
    </row>
    <row r="1462" customFormat="false" ht="15" hidden="false" customHeight="true" outlineLevel="0" collapsed="false">
      <c r="A1462" s="66" t="s">
        <v>405</v>
      </c>
      <c r="B1462" s="66" t="s">
        <v>293</v>
      </c>
      <c r="C1462" s="66" t="n">
        <v>1</v>
      </c>
      <c r="D1462" s="67" t="str">
        <f aca="false">IFERROR(INDEX(المكونات!$B$2:$B$500,MATCH($B1462,المكونات!$A$2:$A$500,0)),"")</f>
        <v>قطعة</v>
      </c>
      <c r="E1462" s="68" t="n">
        <f aca="false">IFERROR(INDEX(المكونات!$C$2:$C$500,MATCH($B1462,المكونات!$A$2:$A$500,0)),"")</f>
        <v>0.5</v>
      </c>
      <c r="F1462" s="69" t="n">
        <f aca="false">IFERROR($C1462*$E1462,"")</f>
        <v>0.5</v>
      </c>
    </row>
    <row r="1463" customFormat="false" ht="15" hidden="false" customHeight="true" outlineLevel="0" collapsed="false">
      <c r="A1463" s="66" t="s">
        <v>405</v>
      </c>
      <c r="B1463" s="66" t="s">
        <v>211</v>
      </c>
      <c r="C1463" s="66" t="n">
        <v>2</v>
      </c>
      <c r="D1463" s="67" t="str">
        <f aca="false">IFERROR(INDEX(المكونات!$B$2:$B$500,MATCH($B1463,المكونات!$A$2:$A$500,0)),"")</f>
        <v>قطعة (جلفز)</v>
      </c>
      <c r="E1463" s="68" t="n">
        <f aca="false">IFERROR(INDEX(المكونات!$C$2:$C$500,MATCH($B1463,المكونات!$A$2:$A$500,0)),"")</f>
        <v>0.18</v>
      </c>
      <c r="F1463" s="69" t="n">
        <f aca="false">IFERROR($C1463*$E1463,"")</f>
        <v>0.36</v>
      </c>
    </row>
    <row r="1464" customFormat="false" ht="15" hidden="false" customHeight="true" outlineLevel="0" collapsed="false">
      <c r="A1464" s="66" t="s">
        <v>405</v>
      </c>
      <c r="B1464" s="66" t="s">
        <v>322</v>
      </c>
      <c r="C1464" s="66" t="n">
        <v>1</v>
      </c>
      <c r="D1464" s="67" t="str">
        <f aca="false">IFERROR(INDEX(المكونات!$B$2:$B$500,MATCH($B1464,المكونات!$A$2:$A$500,0)),"")</f>
        <v>قطعة (كيس)</v>
      </c>
      <c r="E1464" s="68" t="n">
        <f aca="false">IFERROR(INDEX(المكونات!$C$2:$C$500,MATCH($B1464,المكونات!$A$2:$A$500,0)),"")</f>
        <v>1</v>
      </c>
      <c r="F1464" s="69" t="n">
        <f aca="false">IFERROR($C1464*$E1464,"")</f>
        <v>1</v>
      </c>
    </row>
    <row r="1465" customFormat="false" ht="15" hidden="false" customHeight="true" outlineLevel="0" collapsed="false">
      <c r="A1465" s="66" t="s">
        <v>405</v>
      </c>
      <c r="B1465" s="66" t="s">
        <v>344</v>
      </c>
      <c r="C1465" s="66" t="n">
        <v>1</v>
      </c>
      <c r="D1465" s="67" t="str">
        <f aca="false">IFERROR(INDEX(المكونات!$B$2:$B$500,MATCH($B1465,المكونات!$A$2:$A$500,0)),"")</f>
        <v>قطعة</v>
      </c>
      <c r="E1465" s="68" t="n">
        <f aca="false">IFERROR(INDEX(المكونات!$C$2:$C$500,MATCH($B1465,المكونات!$A$2:$A$500,0)),"")</f>
        <v>4.44</v>
      </c>
      <c r="F1465" s="69" t="n">
        <f aca="false">IFERROR($C1465*$E1465,"")</f>
        <v>4.44</v>
      </c>
    </row>
    <row r="1466" customFormat="false" ht="15" hidden="false" customHeight="true" outlineLevel="0" collapsed="false">
      <c r="A1466" s="66" t="s">
        <v>451</v>
      </c>
      <c r="B1466" s="66" t="s">
        <v>262</v>
      </c>
      <c r="C1466" s="66" t="n">
        <v>0.22</v>
      </c>
      <c r="D1466" s="67" t="str">
        <f aca="false">IFERROR(INDEX(المكونات!$B$2:$B$500,MATCH($B1466,المكونات!$A$2:$A$500,0)),"")</f>
        <v>كجم</v>
      </c>
      <c r="E1466" s="68" t="n">
        <f aca="false">IFERROR(INDEX(المكونات!$C$2:$C$500,MATCH($B1466,المكونات!$A$2:$A$500,0)),"")</f>
        <v>22</v>
      </c>
      <c r="F1466" s="69" t="n">
        <f aca="false">IFERROR($C1466*$E1466,"")</f>
        <v>4.84</v>
      </c>
    </row>
    <row r="1467" customFormat="false" ht="15" hidden="false" customHeight="true" outlineLevel="0" collapsed="false">
      <c r="A1467" s="66" t="s">
        <v>451</v>
      </c>
      <c r="B1467" s="66" t="s">
        <v>340</v>
      </c>
      <c r="C1467" s="66" t="n">
        <v>3</v>
      </c>
      <c r="D1467" s="67" t="str">
        <f aca="false">IFERROR(INDEX(المكونات!$B$2:$B$500,MATCH($B1467,المكونات!$A$2:$A$500,0)),"")</f>
        <v>قطعة</v>
      </c>
      <c r="E1467" s="68" t="n">
        <f aca="false">IFERROR(INDEX(المكونات!$C$2:$C$500,MATCH($B1467,المكونات!$A$2:$A$500,0)),"")</f>
        <v>6</v>
      </c>
      <c r="F1467" s="69" t="n">
        <f aca="false">IFERROR($C1467*$E1467,"")</f>
        <v>18</v>
      </c>
    </row>
    <row r="1468" customFormat="false" ht="15" hidden="false" customHeight="true" outlineLevel="0" collapsed="false">
      <c r="A1468" s="66" t="s">
        <v>451</v>
      </c>
      <c r="B1468" s="66" t="s">
        <v>176</v>
      </c>
      <c r="C1468" s="66" t="n">
        <v>1</v>
      </c>
      <c r="D1468" s="67" t="str">
        <f aca="false">IFERROR(INDEX(المكونات!$B$2:$B$500,MATCH($B1468,المكونات!$A$2:$A$500,0)),"")</f>
        <v>قطعة</v>
      </c>
      <c r="E1468" s="68" t="n">
        <f aca="false">IFERROR(INDEX(المكونات!$C$2:$C$500,MATCH($B1468,المكونات!$A$2:$A$500,0)),"")</f>
        <v>17.5</v>
      </c>
      <c r="F1468" s="69" t="n">
        <f aca="false">IFERROR($C1468*$E1468,"")</f>
        <v>17.5</v>
      </c>
    </row>
    <row r="1469" customFormat="false" ht="15" hidden="false" customHeight="true" outlineLevel="0" collapsed="false">
      <c r="A1469" s="66" t="s">
        <v>451</v>
      </c>
      <c r="B1469" s="66" t="s">
        <v>342</v>
      </c>
      <c r="C1469" s="66" t="n">
        <v>1</v>
      </c>
      <c r="D1469" s="67" t="str">
        <f aca="false">IFERROR(INDEX(المكونات!$B$2:$B$500,MATCH($B1469,المكونات!$A$2:$A$500,0)),"")</f>
        <v>قطعة</v>
      </c>
      <c r="E1469" s="68" t="n">
        <f aca="false">IFERROR(INDEX(المكونات!$C$2:$C$500,MATCH($B1469,المكونات!$A$2:$A$500,0)),"")</f>
        <v>0.3</v>
      </c>
      <c r="F1469" s="69" t="n">
        <f aca="false">IFERROR($C1469*$E1469,"")</f>
        <v>0.3</v>
      </c>
    </row>
    <row r="1470" customFormat="false" ht="15" hidden="false" customHeight="true" outlineLevel="0" collapsed="false">
      <c r="A1470" s="66" t="s">
        <v>451</v>
      </c>
      <c r="B1470" s="66" t="s">
        <v>260</v>
      </c>
      <c r="C1470" s="66" t="n">
        <v>0.02</v>
      </c>
      <c r="D1470" s="67" t="str">
        <f aca="false">IFERROR(INDEX(المكونات!$B$2:$B$500,MATCH($B1470,المكونات!$A$2:$A$500,0)),"")</f>
        <v>كجم</v>
      </c>
      <c r="E1470" s="68" t="n">
        <f aca="false">IFERROR(INDEX(المكونات!$C$2:$C$500,MATCH($B1470,المكونات!$A$2:$A$500,0)),"")</f>
        <v>21</v>
      </c>
      <c r="F1470" s="69" t="n">
        <f aca="false">IFERROR($C1470*$E1470,"")</f>
        <v>0.42</v>
      </c>
    </row>
    <row r="1471" customFormat="false" ht="15" hidden="false" customHeight="true" outlineLevel="0" collapsed="false">
      <c r="A1471" s="66" t="s">
        <v>451</v>
      </c>
      <c r="B1471" s="66" t="s">
        <v>284</v>
      </c>
      <c r="C1471" s="66" t="n">
        <v>0.02</v>
      </c>
      <c r="D1471" s="67" t="str">
        <f aca="false">IFERROR(INDEX(المكونات!$B$2:$B$500,MATCH($B1471,المكونات!$A$2:$A$500,0)),"")</f>
        <v>كجم</v>
      </c>
      <c r="E1471" s="68" t="n">
        <f aca="false">IFERROR(INDEX(المكونات!$C$2:$C$500,MATCH($B1471,المكونات!$A$2:$A$500,0)),"")</f>
        <v>27</v>
      </c>
      <c r="F1471" s="69" t="n">
        <f aca="false">IFERROR($C1471*$E1471,"")</f>
        <v>0.54</v>
      </c>
    </row>
    <row r="1472" customFormat="false" ht="15" hidden="false" customHeight="true" outlineLevel="0" collapsed="false">
      <c r="A1472" s="66" t="s">
        <v>451</v>
      </c>
      <c r="B1472" s="66" t="s">
        <v>190</v>
      </c>
      <c r="C1472" s="66" t="n">
        <v>0.02</v>
      </c>
      <c r="D1472" s="67" t="str">
        <f aca="false">IFERROR(INDEX(المكونات!$B$2:$B$500,MATCH($B1472,المكونات!$A$2:$A$500,0)),"")</f>
        <v>كجم</v>
      </c>
      <c r="E1472" s="68" t="n">
        <f aca="false">IFERROR(INDEX(المكونات!$C$2:$C$500,MATCH($B1472,المكونات!$A$2:$A$500,0)),"")</f>
        <v>18</v>
      </c>
      <c r="F1472" s="69" t="n">
        <f aca="false">IFERROR($C1472*$E1472,"")</f>
        <v>0.36</v>
      </c>
    </row>
    <row r="1473" customFormat="false" ht="15" hidden="false" customHeight="true" outlineLevel="0" collapsed="false">
      <c r="A1473" s="66" t="s">
        <v>451</v>
      </c>
      <c r="B1473" s="66" t="s">
        <v>217</v>
      </c>
      <c r="C1473" s="66" t="n">
        <v>0.02</v>
      </c>
      <c r="D1473" s="67" t="str">
        <f aca="false">IFERROR(INDEX(المكونات!$B$2:$B$500,MATCH($B1473,المكونات!$A$2:$A$500,0)),"")</f>
        <v>كجم</v>
      </c>
      <c r="E1473" s="68" t="n">
        <f aca="false">IFERROR(INDEX(المكونات!$C$2:$C$500,MATCH($B1473,المكونات!$A$2:$A$500,0)),"")</f>
        <v>30</v>
      </c>
      <c r="F1473" s="69" t="n">
        <f aca="false">IFERROR($C1473*$E1473,"")</f>
        <v>0.6</v>
      </c>
    </row>
    <row r="1474" customFormat="false" ht="15" hidden="false" customHeight="true" outlineLevel="0" collapsed="false">
      <c r="A1474" s="66" t="s">
        <v>451</v>
      </c>
      <c r="B1474" s="66" t="s">
        <v>254</v>
      </c>
      <c r="C1474" s="66" t="n">
        <v>0.05</v>
      </c>
      <c r="D1474" s="67" t="str">
        <f aca="false">IFERROR(INDEX(المكونات!$B$2:$B$500,MATCH($B1474,المكونات!$A$2:$A$500,0)),"")</f>
        <v>كجم</v>
      </c>
      <c r="E1474" s="68" t="n">
        <f aca="false">IFERROR(INDEX(المكونات!$C$2:$C$500,MATCH($B1474,المكونات!$A$2:$A$500,0)),"")</f>
        <v>140</v>
      </c>
      <c r="F1474" s="69" t="n">
        <f aca="false">IFERROR($C1474*$E1474,"")</f>
        <v>7</v>
      </c>
    </row>
    <row r="1475" customFormat="false" ht="15" hidden="false" customHeight="true" outlineLevel="0" collapsed="false">
      <c r="A1475" s="66" t="s">
        <v>451</v>
      </c>
      <c r="B1475" s="66" t="s">
        <v>252</v>
      </c>
      <c r="C1475" s="66" t="n">
        <v>0.05</v>
      </c>
      <c r="D1475" s="67" t="str">
        <f aca="false">IFERROR(INDEX(المكونات!$B$2:$B$500,MATCH($B1475,المكونات!$A$2:$A$500,0)),"")</f>
        <v>كجم</v>
      </c>
      <c r="E1475" s="68" t="n">
        <f aca="false">IFERROR(INDEX(المكونات!$C$2:$C$500,MATCH($B1475,المكونات!$A$2:$A$500,0)),"")</f>
        <v>70</v>
      </c>
      <c r="F1475" s="69" t="n">
        <f aca="false">IFERROR($C1475*$E1475,"")</f>
        <v>3.5</v>
      </c>
    </row>
    <row r="1476" customFormat="false" ht="15" hidden="false" customHeight="true" outlineLevel="0" collapsed="false">
      <c r="A1476" s="66" t="s">
        <v>451</v>
      </c>
      <c r="B1476" s="66" t="s">
        <v>258</v>
      </c>
      <c r="C1476" s="66" t="n">
        <v>0.05</v>
      </c>
      <c r="D1476" s="67" t="str">
        <f aca="false">IFERROR(INDEX(المكونات!$B$2:$B$500,MATCH($B1476,المكونات!$A$2:$A$500,0)),"")</f>
        <v>كجم</v>
      </c>
      <c r="E1476" s="68" t="n">
        <f aca="false">IFERROR(INDEX(المكونات!$C$2:$C$500,MATCH($B1476,المكونات!$A$2:$A$500,0)),"")</f>
        <v>140</v>
      </c>
      <c r="F1476" s="69" t="n">
        <f aca="false">IFERROR($C1476*$E1476,"")</f>
        <v>7</v>
      </c>
    </row>
    <row r="1477" customFormat="false" ht="15" hidden="false" customHeight="true" outlineLevel="0" collapsed="false">
      <c r="A1477" s="66" t="s">
        <v>451</v>
      </c>
      <c r="B1477" s="66" t="s">
        <v>290</v>
      </c>
      <c r="C1477" s="66" t="n">
        <v>2</v>
      </c>
      <c r="D1477" s="67" t="str">
        <f aca="false">IFERROR(INDEX(المكونات!$B$2:$B$500,MATCH($B1477,المكونات!$A$2:$A$500,0)),"")</f>
        <v>قطعة</v>
      </c>
      <c r="E1477" s="68" t="n">
        <f aca="false">IFERROR(INDEX(المكونات!$C$2:$C$500,MATCH($B1477,المكونات!$A$2:$A$500,0)),"")</f>
        <v>0.3</v>
      </c>
      <c r="F1477" s="69" t="n">
        <f aca="false">IFERROR($C1477*$E1477,"")</f>
        <v>0.6</v>
      </c>
    </row>
    <row r="1478" customFormat="false" ht="15" hidden="false" customHeight="true" outlineLevel="0" collapsed="false">
      <c r="A1478" s="66" t="s">
        <v>451</v>
      </c>
      <c r="B1478" s="66" t="s">
        <v>319</v>
      </c>
      <c r="C1478" s="66" t="n">
        <v>1</v>
      </c>
      <c r="D1478" s="67" t="str">
        <f aca="false">IFERROR(INDEX(المكونات!$B$2:$B$500,MATCH($B1478,المكونات!$A$2:$A$500,0)),"")</f>
        <v>قطعة (ورقة)</v>
      </c>
      <c r="E1478" s="68" t="n">
        <f aca="false">IFERROR(INDEX(المكونات!$C$2:$C$500,MATCH($B1478,المكونات!$A$2:$A$500,0)),"")</f>
        <v>0.3665</v>
      </c>
      <c r="F1478" s="69" t="n">
        <f aca="false">IFERROR($C1478*$E1478,"")</f>
        <v>0.3665</v>
      </c>
    </row>
    <row r="1479" customFormat="false" ht="15" hidden="false" customHeight="true" outlineLevel="0" collapsed="false">
      <c r="A1479" s="66" t="s">
        <v>451</v>
      </c>
      <c r="B1479" s="66" t="s">
        <v>133</v>
      </c>
      <c r="C1479" s="66" t="n">
        <v>1</v>
      </c>
      <c r="D1479" s="67" t="str">
        <f aca="false">IFERROR(INDEX(المكونات!$B$2:$B$500,MATCH($B1479,المكونات!$A$2:$A$500,0)),"")</f>
        <v>قطعة (كيس)</v>
      </c>
      <c r="E1479" s="68" t="n">
        <f aca="false">IFERROR(INDEX(المكونات!$C$2:$C$500,MATCH($B1479,المكونات!$A$2:$A$500,0)),"")</f>
        <v>1.4</v>
      </c>
      <c r="F1479" s="69" t="n">
        <f aca="false">IFERROR($C1479*$E1479,"")</f>
        <v>1.4</v>
      </c>
    </row>
    <row r="1480" customFormat="false" ht="15" hidden="false" customHeight="true" outlineLevel="0" collapsed="false">
      <c r="A1480" s="66" t="s">
        <v>451</v>
      </c>
      <c r="B1480" s="66" t="s">
        <v>293</v>
      </c>
      <c r="C1480" s="66" t="n">
        <v>1</v>
      </c>
      <c r="D1480" s="67" t="str">
        <f aca="false">IFERROR(INDEX(المكونات!$B$2:$B$500,MATCH($B1480,المكونات!$A$2:$A$500,0)),"")</f>
        <v>قطعة</v>
      </c>
      <c r="E1480" s="68" t="n">
        <f aca="false">IFERROR(INDEX(المكونات!$C$2:$C$500,MATCH($B1480,المكونات!$A$2:$A$500,0)),"")</f>
        <v>0.5</v>
      </c>
      <c r="F1480" s="69" t="n">
        <f aca="false">IFERROR($C1480*$E1480,"")</f>
        <v>0.5</v>
      </c>
    </row>
    <row r="1481" customFormat="false" ht="15" hidden="false" customHeight="true" outlineLevel="0" collapsed="false">
      <c r="A1481" s="66" t="s">
        <v>451</v>
      </c>
      <c r="B1481" s="66" t="s">
        <v>211</v>
      </c>
      <c r="C1481" s="66" t="n">
        <v>2</v>
      </c>
      <c r="D1481" s="67" t="str">
        <f aca="false">IFERROR(INDEX(المكونات!$B$2:$B$500,MATCH($B1481,المكونات!$A$2:$A$500,0)),"")</f>
        <v>قطعة (جلفز)</v>
      </c>
      <c r="E1481" s="68" t="n">
        <f aca="false">IFERROR(INDEX(المكونات!$C$2:$C$500,MATCH($B1481,المكونات!$A$2:$A$500,0)),"")</f>
        <v>0.18</v>
      </c>
      <c r="F1481" s="69" t="n">
        <f aca="false">IFERROR($C1481*$E1481,"")</f>
        <v>0.36</v>
      </c>
    </row>
    <row r="1482" customFormat="false" ht="15" hidden="false" customHeight="true" outlineLevel="0" collapsed="false">
      <c r="A1482" s="66" t="s">
        <v>451</v>
      </c>
      <c r="B1482" s="66" t="s">
        <v>322</v>
      </c>
      <c r="C1482" s="66" t="n">
        <v>1</v>
      </c>
      <c r="D1482" s="67" t="str">
        <f aca="false">IFERROR(INDEX(المكونات!$B$2:$B$500,MATCH($B1482,المكونات!$A$2:$A$500,0)),"")</f>
        <v>قطعة (كيس)</v>
      </c>
      <c r="E1482" s="68" t="n">
        <f aca="false">IFERROR(INDEX(المكونات!$C$2:$C$500,MATCH($B1482,المكونات!$A$2:$A$500,0)),"")</f>
        <v>1</v>
      </c>
      <c r="F1482" s="69" t="n">
        <f aca="false">IFERROR($C1482*$E1482,"")</f>
        <v>1</v>
      </c>
    </row>
    <row r="1483" customFormat="false" ht="15" hidden="false" customHeight="true" outlineLevel="0" collapsed="false">
      <c r="A1483" s="66" t="s">
        <v>451</v>
      </c>
      <c r="B1483" s="66" t="s">
        <v>344</v>
      </c>
      <c r="C1483" s="66" t="n">
        <v>1</v>
      </c>
      <c r="D1483" s="67" t="str">
        <f aca="false">IFERROR(INDEX(المكونات!$B$2:$B$500,MATCH($B1483,المكونات!$A$2:$A$500,0)),"")</f>
        <v>قطعة</v>
      </c>
      <c r="E1483" s="68" t="n">
        <f aca="false">IFERROR(INDEX(المكونات!$C$2:$C$500,MATCH($B1483,المكونات!$A$2:$A$500,0)),"")</f>
        <v>4.44</v>
      </c>
      <c r="F1483" s="69" t="n">
        <f aca="false">IFERROR($C1483*$E1483,"")</f>
        <v>4.44</v>
      </c>
    </row>
    <row r="1484" customFormat="false" ht="15" hidden="false" customHeight="true" outlineLevel="0" collapsed="false">
      <c r="A1484" s="66" t="s">
        <v>407</v>
      </c>
      <c r="B1484" s="66" t="s">
        <v>262</v>
      </c>
      <c r="C1484" s="66" t="n">
        <v>0.22</v>
      </c>
      <c r="D1484" s="67" t="str">
        <f aca="false">IFERROR(INDEX(المكونات!$B$2:$B$500,MATCH($B1484,المكونات!$A$2:$A$500,0)),"")</f>
        <v>كجم</v>
      </c>
      <c r="E1484" s="68" t="n">
        <f aca="false">IFERROR(INDEX(المكونات!$C$2:$C$500,MATCH($B1484,المكونات!$A$2:$A$500,0)),"")</f>
        <v>22</v>
      </c>
      <c r="F1484" s="69" t="n">
        <f aca="false">IFERROR($C1484*$E1484,"")</f>
        <v>4.84</v>
      </c>
    </row>
    <row r="1485" customFormat="false" ht="15" hidden="false" customHeight="true" outlineLevel="0" collapsed="false">
      <c r="A1485" s="66" t="s">
        <v>407</v>
      </c>
      <c r="B1485" s="66" t="s">
        <v>282</v>
      </c>
      <c r="C1485" s="66" t="n">
        <v>0.14</v>
      </c>
      <c r="D1485" s="67" t="str">
        <f aca="false">IFERROR(INDEX(المكونات!$B$2:$B$500,MATCH($B1485,المكونات!$A$2:$A$500,0)),"")</f>
        <v>كجم</v>
      </c>
      <c r="E1485" s="68" t="n">
        <f aca="false">IFERROR(INDEX(المكونات!$C$2:$C$500,MATCH($B1485,المكونات!$A$2:$A$500,0)),"")</f>
        <v>150</v>
      </c>
      <c r="F1485" s="69" t="n">
        <f aca="false">IFERROR($C1485*$E1485,"")</f>
        <v>21</v>
      </c>
    </row>
    <row r="1486" customFormat="false" ht="15" hidden="false" customHeight="true" outlineLevel="0" collapsed="false">
      <c r="A1486" s="66" t="s">
        <v>407</v>
      </c>
      <c r="B1486" s="66" t="s">
        <v>176</v>
      </c>
      <c r="C1486" s="66" t="n">
        <v>1</v>
      </c>
      <c r="D1486" s="67" t="str">
        <f aca="false">IFERROR(INDEX(المكونات!$B$2:$B$500,MATCH($B1486,المكونات!$A$2:$A$500,0)),"")</f>
        <v>قطعة</v>
      </c>
      <c r="E1486" s="68" t="n">
        <f aca="false">IFERROR(INDEX(المكونات!$C$2:$C$500,MATCH($B1486,المكونات!$A$2:$A$500,0)),"")</f>
        <v>17.5</v>
      </c>
      <c r="F1486" s="69" t="n">
        <f aca="false">IFERROR($C1486*$E1486,"")</f>
        <v>17.5</v>
      </c>
    </row>
    <row r="1487" customFormat="false" ht="15" hidden="false" customHeight="true" outlineLevel="0" collapsed="false">
      <c r="A1487" s="66" t="s">
        <v>407</v>
      </c>
      <c r="B1487" s="66" t="s">
        <v>342</v>
      </c>
      <c r="C1487" s="66" t="n">
        <v>1</v>
      </c>
      <c r="D1487" s="67" t="str">
        <f aca="false">IFERROR(INDEX(المكونات!$B$2:$B$500,MATCH($B1487,المكونات!$A$2:$A$500,0)),"")</f>
        <v>قطعة</v>
      </c>
      <c r="E1487" s="68" t="n">
        <f aca="false">IFERROR(INDEX(المكونات!$C$2:$C$500,MATCH($B1487,المكونات!$A$2:$A$500,0)),"")</f>
        <v>0.3</v>
      </c>
      <c r="F1487" s="69" t="n">
        <f aca="false">IFERROR($C1487*$E1487,"")</f>
        <v>0.3</v>
      </c>
    </row>
    <row r="1488" customFormat="false" ht="15" hidden="false" customHeight="true" outlineLevel="0" collapsed="false">
      <c r="A1488" s="66" t="s">
        <v>407</v>
      </c>
      <c r="B1488" s="66" t="s">
        <v>260</v>
      </c>
      <c r="C1488" s="66" t="n">
        <v>0.02</v>
      </c>
      <c r="D1488" s="67" t="str">
        <f aca="false">IFERROR(INDEX(المكونات!$B$2:$B$500,MATCH($B1488,المكونات!$A$2:$A$500,0)),"")</f>
        <v>كجم</v>
      </c>
      <c r="E1488" s="68" t="n">
        <f aca="false">IFERROR(INDEX(المكونات!$C$2:$C$500,MATCH($B1488,المكونات!$A$2:$A$500,0)),"")</f>
        <v>21</v>
      </c>
      <c r="F1488" s="69" t="n">
        <f aca="false">IFERROR($C1488*$E1488,"")</f>
        <v>0.42</v>
      </c>
    </row>
    <row r="1489" customFormat="false" ht="15" hidden="false" customHeight="true" outlineLevel="0" collapsed="false">
      <c r="A1489" s="66" t="s">
        <v>407</v>
      </c>
      <c r="B1489" s="66" t="s">
        <v>284</v>
      </c>
      <c r="C1489" s="66" t="n">
        <v>0.02</v>
      </c>
      <c r="D1489" s="67" t="str">
        <f aca="false">IFERROR(INDEX(المكونات!$B$2:$B$500,MATCH($B1489,المكونات!$A$2:$A$500,0)),"")</f>
        <v>كجم</v>
      </c>
      <c r="E1489" s="68" t="n">
        <f aca="false">IFERROR(INDEX(المكونات!$C$2:$C$500,MATCH($B1489,المكونات!$A$2:$A$500,0)),"")</f>
        <v>27</v>
      </c>
      <c r="F1489" s="69" t="n">
        <f aca="false">IFERROR($C1489*$E1489,"")</f>
        <v>0.54</v>
      </c>
    </row>
    <row r="1490" customFormat="false" ht="15" hidden="false" customHeight="true" outlineLevel="0" collapsed="false">
      <c r="A1490" s="66" t="s">
        <v>407</v>
      </c>
      <c r="B1490" s="66" t="s">
        <v>190</v>
      </c>
      <c r="C1490" s="66" t="n">
        <v>0.02</v>
      </c>
      <c r="D1490" s="67" t="str">
        <f aca="false">IFERROR(INDEX(المكونات!$B$2:$B$500,MATCH($B1490,المكونات!$A$2:$A$500,0)),"")</f>
        <v>كجم</v>
      </c>
      <c r="E1490" s="68" t="n">
        <f aca="false">IFERROR(INDEX(المكونات!$C$2:$C$500,MATCH($B1490,المكونات!$A$2:$A$500,0)),"")</f>
        <v>18</v>
      </c>
      <c r="F1490" s="69" t="n">
        <f aca="false">IFERROR($C1490*$E1490,"")</f>
        <v>0.36</v>
      </c>
    </row>
    <row r="1491" customFormat="false" ht="15" hidden="false" customHeight="true" outlineLevel="0" collapsed="false">
      <c r="A1491" s="66" t="s">
        <v>407</v>
      </c>
      <c r="B1491" s="66" t="s">
        <v>217</v>
      </c>
      <c r="C1491" s="66" t="n">
        <v>0.02</v>
      </c>
      <c r="D1491" s="67" t="str">
        <f aca="false">IFERROR(INDEX(المكونات!$B$2:$B$500,MATCH($B1491,المكونات!$A$2:$A$500,0)),"")</f>
        <v>كجم</v>
      </c>
      <c r="E1491" s="68" t="n">
        <f aca="false">IFERROR(INDEX(المكونات!$C$2:$C$500,MATCH($B1491,المكونات!$A$2:$A$500,0)),"")</f>
        <v>30</v>
      </c>
      <c r="F1491" s="69" t="n">
        <f aca="false">IFERROR($C1491*$E1491,"")</f>
        <v>0.6</v>
      </c>
    </row>
    <row r="1492" customFormat="false" ht="15" hidden="false" customHeight="true" outlineLevel="0" collapsed="false">
      <c r="A1492" s="66" t="s">
        <v>407</v>
      </c>
      <c r="B1492" s="66" t="s">
        <v>256</v>
      </c>
      <c r="C1492" s="66" t="n">
        <v>0.05</v>
      </c>
      <c r="D1492" s="67" t="str">
        <f aca="false">IFERROR(INDEX(المكونات!$B$2:$B$500,MATCH($B1492,المكونات!$A$2:$A$500,0)),"")</f>
        <v>كجم</v>
      </c>
      <c r="E1492" s="68" t="n">
        <f aca="false">IFERROR(INDEX(المكونات!$C$2:$C$500,MATCH($B1492,المكونات!$A$2:$A$500,0)),"")</f>
        <v>105</v>
      </c>
      <c r="F1492" s="69" t="n">
        <f aca="false">IFERROR($C1492*$E1492,"")</f>
        <v>5.25</v>
      </c>
    </row>
    <row r="1493" customFormat="false" ht="15" hidden="false" customHeight="true" outlineLevel="0" collapsed="false">
      <c r="A1493" s="66" t="s">
        <v>407</v>
      </c>
      <c r="B1493" s="66" t="s">
        <v>252</v>
      </c>
      <c r="C1493" s="66" t="n">
        <v>0.05</v>
      </c>
      <c r="D1493" s="67" t="str">
        <f aca="false">IFERROR(INDEX(المكونات!$B$2:$B$500,MATCH($B1493,المكونات!$A$2:$A$500,0)),"")</f>
        <v>كجم</v>
      </c>
      <c r="E1493" s="68" t="n">
        <f aca="false">IFERROR(INDEX(المكونات!$C$2:$C$500,MATCH($B1493,المكونات!$A$2:$A$500,0)),"")</f>
        <v>70</v>
      </c>
      <c r="F1493" s="69" t="n">
        <f aca="false">IFERROR($C1493*$E1493,"")</f>
        <v>3.5</v>
      </c>
    </row>
    <row r="1494" customFormat="false" ht="15" hidden="false" customHeight="true" outlineLevel="0" collapsed="false">
      <c r="A1494" s="66" t="s">
        <v>407</v>
      </c>
      <c r="B1494" s="66" t="s">
        <v>258</v>
      </c>
      <c r="C1494" s="66" t="n">
        <v>0.05</v>
      </c>
      <c r="D1494" s="67" t="str">
        <f aca="false">IFERROR(INDEX(المكونات!$B$2:$B$500,MATCH($B1494,المكونات!$A$2:$A$500,0)),"")</f>
        <v>كجم</v>
      </c>
      <c r="E1494" s="68" t="n">
        <f aca="false">IFERROR(INDEX(المكونات!$C$2:$C$500,MATCH($B1494,المكونات!$A$2:$A$500,0)),"")</f>
        <v>140</v>
      </c>
      <c r="F1494" s="69" t="n">
        <f aca="false">IFERROR($C1494*$E1494,"")</f>
        <v>7</v>
      </c>
    </row>
    <row r="1495" customFormat="false" ht="15" hidden="false" customHeight="true" outlineLevel="0" collapsed="false">
      <c r="A1495" s="66" t="s">
        <v>407</v>
      </c>
      <c r="B1495" s="66" t="s">
        <v>290</v>
      </c>
      <c r="C1495" s="66" t="n">
        <v>2</v>
      </c>
      <c r="D1495" s="67" t="str">
        <f aca="false">IFERROR(INDEX(المكونات!$B$2:$B$500,MATCH($B1495,المكونات!$A$2:$A$500,0)),"")</f>
        <v>قطعة</v>
      </c>
      <c r="E1495" s="68" t="n">
        <f aca="false">IFERROR(INDEX(المكونات!$C$2:$C$500,MATCH($B1495,المكونات!$A$2:$A$500,0)),"")</f>
        <v>0.3</v>
      </c>
      <c r="F1495" s="69" t="n">
        <f aca="false">IFERROR($C1495*$E1495,"")</f>
        <v>0.6</v>
      </c>
    </row>
    <row r="1496" customFormat="false" ht="15" hidden="false" customHeight="true" outlineLevel="0" collapsed="false">
      <c r="A1496" s="66" t="s">
        <v>407</v>
      </c>
      <c r="B1496" s="66" t="s">
        <v>319</v>
      </c>
      <c r="C1496" s="66" t="n">
        <v>1</v>
      </c>
      <c r="D1496" s="67" t="str">
        <f aca="false">IFERROR(INDEX(المكونات!$B$2:$B$500,MATCH($B1496,المكونات!$A$2:$A$500,0)),"")</f>
        <v>قطعة (ورقة)</v>
      </c>
      <c r="E1496" s="68" t="n">
        <f aca="false">IFERROR(INDEX(المكونات!$C$2:$C$500,MATCH($B1496,المكونات!$A$2:$A$500,0)),"")</f>
        <v>0.3665</v>
      </c>
      <c r="F1496" s="69" t="n">
        <f aca="false">IFERROR($C1496*$E1496,"")</f>
        <v>0.3665</v>
      </c>
    </row>
    <row r="1497" customFormat="false" ht="15" hidden="false" customHeight="true" outlineLevel="0" collapsed="false">
      <c r="A1497" s="66" t="s">
        <v>407</v>
      </c>
      <c r="B1497" s="66" t="s">
        <v>133</v>
      </c>
      <c r="C1497" s="66" t="n">
        <v>1</v>
      </c>
      <c r="D1497" s="67" t="str">
        <f aca="false">IFERROR(INDEX(المكونات!$B$2:$B$500,MATCH($B1497,المكونات!$A$2:$A$500,0)),"")</f>
        <v>قطعة (كيس)</v>
      </c>
      <c r="E1497" s="68" t="n">
        <f aca="false">IFERROR(INDEX(المكونات!$C$2:$C$500,MATCH($B1497,المكونات!$A$2:$A$500,0)),"")</f>
        <v>1.4</v>
      </c>
      <c r="F1497" s="69" t="n">
        <f aca="false">IFERROR($C1497*$E1497,"")</f>
        <v>1.4</v>
      </c>
    </row>
    <row r="1498" customFormat="false" ht="15" hidden="false" customHeight="true" outlineLevel="0" collapsed="false">
      <c r="A1498" s="66" t="s">
        <v>407</v>
      </c>
      <c r="B1498" s="66" t="s">
        <v>293</v>
      </c>
      <c r="C1498" s="66" t="n">
        <v>1</v>
      </c>
      <c r="D1498" s="67" t="str">
        <f aca="false">IFERROR(INDEX(المكونات!$B$2:$B$500,MATCH($B1498,المكونات!$A$2:$A$500,0)),"")</f>
        <v>قطعة</v>
      </c>
      <c r="E1498" s="68" t="n">
        <f aca="false">IFERROR(INDEX(المكونات!$C$2:$C$500,MATCH($B1498,المكونات!$A$2:$A$500,0)),"")</f>
        <v>0.5</v>
      </c>
      <c r="F1498" s="69" t="n">
        <f aca="false">IFERROR($C1498*$E1498,"")</f>
        <v>0.5</v>
      </c>
    </row>
    <row r="1499" customFormat="false" ht="15" hidden="false" customHeight="true" outlineLevel="0" collapsed="false">
      <c r="A1499" s="66" t="s">
        <v>407</v>
      </c>
      <c r="B1499" s="66" t="s">
        <v>211</v>
      </c>
      <c r="C1499" s="66" t="n">
        <v>2</v>
      </c>
      <c r="D1499" s="67" t="str">
        <f aca="false">IFERROR(INDEX(المكونات!$B$2:$B$500,MATCH($B1499,المكونات!$A$2:$A$500,0)),"")</f>
        <v>قطعة (جلفز)</v>
      </c>
      <c r="E1499" s="68" t="n">
        <f aca="false">IFERROR(INDEX(المكونات!$C$2:$C$500,MATCH($B1499,المكونات!$A$2:$A$500,0)),"")</f>
        <v>0.18</v>
      </c>
      <c r="F1499" s="69" t="n">
        <f aca="false">IFERROR($C1499*$E1499,"")</f>
        <v>0.36</v>
      </c>
    </row>
    <row r="1500" customFormat="false" ht="15" hidden="false" customHeight="true" outlineLevel="0" collapsed="false">
      <c r="A1500" s="66" t="s">
        <v>407</v>
      </c>
      <c r="B1500" s="66" t="s">
        <v>322</v>
      </c>
      <c r="C1500" s="66" t="n">
        <v>1</v>
      </c>
      <c r="D1500" s="67" t="str">
        <f aca="false">IFERROR(INDEX(المكونات!$B$2:$B$500,MATCH($B1500,المكونات!$A$2:$A$500,0)),"")</f>
        <v>قطعة (كيس)</v>
      </c>
      <c r="E1500" s="68" t="n">
        <f aca="false">IFERROR(INDEX(المكونات!$C$2:$C$500,MATCH($B1500,المكونات!$A$2:$A$500,0)),"")</f>
        <v>1</v>
      </c>
      <c r="F1500" s="69" t="n">
        <f aca="false">IFERROR($C1500*$E1500,"")</f>
        <v>1</v>
      </c>
    </row>
    <row r="1501" customFormat="false" ht="15" hidden="false" customHeight="true" outlineLevel="0" collapsed="false">
      <c r="A1501" s="66" t="s">
        <v>407</v>
      </c>
      <c r="B1501" s="66" t="s">
        <v>344</v>
      </c>
      <c r="C1501" s="66" t="n">
        <v>1</v>
      </c>
      <c r="D1501" s="67" t="str">
        <f aca="false">IFERROR(INDEX(المكونات!$B$2:$B$500,MATCH($B1501,المكونات!$A$2:$A$500,0)),"")</f>
        <v>قطعة</v>
      </c>
      <c r="E1501" s="68" t="n">
        <f aca="false">IFERROR(INDEX(المكونات!$C$2:$C$500,MATCH($B1501,المكونات!$A$2:$A$500,0)),"")</f>
        <v>4.44</v>
      </c>
      <c r="F1501" s="69" t="n">
        <f aca="false">IFERROR($C1501*$E1501,"")</f>
        <v>4.44</v>
      </c>
    </row>
    <row r="1502" customFormat="false" ht="15" hidden="false" customHeight="true" outlineLevel="0" collapsed="false">
      <c r="A1502" s="66" t="s">
        <v>520</v>
      </c>
      <c r="B1502" s="66" t="s">
        <v>309</v>
      </c>
      <c r="C1502" s="66" t="n">
        <v>0.15</v>
      </c>
      <c r="D1502" s="67" t="str">
        <f aca="false">IFERROR(INDEX(المكونات!$B$2:$B$500,MATCH($B1502,المكونات!$A$2:$A$500,0)),"")</f>
        <v>كجم</v>
      </c>
      <c r="E1502" s="68" t="n">
        <f aca="false">IFERROR(INDEX(المكونات!$C$2:$C$500,MATCH($B1502,المكونات!$A$2:$A$500,0)),"")</f>
        <v>24</v>
      </c>
      <c r="F1502" s="69" t="n">
        <f aca="false">IFERROR($C1502*$E1502,"")</f>
        <v>3.6</v>
      </c>
    </row>
    <row r="1503" customFormat="false" ht="15" hidden="false" customHeight="true" outlineLevel="0" collapsed="false">
      <c r="A1503" s="66" t="s">
        <v>520</v>
      </c>
      <c r="B1503" s="66" t="s">
        <v>188</v>
      </c>
      <c r="C1503" s="66" t="n">
        <v>0.2</v>
      </c>
      <c r="D1503" s="67" t="str">
        <f aca="false">IFERROR(INDEX(المكونات!$B$2:$B$500,MATCH($B1503,المكونات!$A$2:$A$500,0)),"")</f>
        <v>كجم</v>
      </c>
      <c r="E1503" s="68" t="n">
        <f aca="false">IFERROR(INDEX(المكونات!$C$2:$C$500,MATCH($B1503,المكونات!$A$2:$A$500,0)),"")</f>
        <v>25</v>
      </c>
      <c r="F1503" s="69" t="n">
        <f aca="false">IFERROR($C1503*$E1503,"")</f>
        <v>5</v>
      </c>
    </row>
    <row r="1504" customFormat="false" ht="15" hidden="false" customHeight="true" outlineLevel="0" collapsed="false">
      <c r="A1504" s="66" t="s">
        <v>520</v>
      </c>
      <c r="B1504" s="66" t="s">
        <v>176</v>
      </c>
      <c r="C1504" s="66" t="n">
        <v>1</v>
      </c>
      <c r="D1504" s="67" t="str">
        <f aca="false">IFERROR(INDEX(المكونات!$B$2:$B$500,MATCH($B1504,المكونات!$A$2:$A$500,0)),"")</f>
        <v>قطعة</v>
      </c>
      <c r="E1504" s="68" t="n">
        <f aca="false">IFERROR(INDEX(المكونات!$C$2:$C$500,MATCH($B1504,المكونات!$A$2:$A$500,0)),"")</f>
        <v>17.5</v>
      </c>
      <c r="F1504" s="69" t="n">
        <f aca="false">IFERROR($C1504*$E1504,"")</f>
        <v>17.5</v>
      </c>
    </row>
    <row r="1505" customFormat="false" ht="15" hidden="false" customHeight="true" outlineLevel="0" collapsed="false">
      <c r="A1505" s="66" t="s">
        <v>520</v>
      </c>
      <c r="B1505" s="66" t="s">
        <v>328</v>
      </c>
      <c r="C1505" s="66" t="n">
        <v>1</v>
      </c>
      <c r="D1505" s="67" t="str">
        <f aca="false">IFERROR(INDEX(المكونات!$B$2:$B$500,MATCH($B1505,المكونات!$A$2:$A$500,0)),"")</f>
        <v>قطعة</v>
      </c>
      <c r="E1505" s="68" t="n">
        <f aca="false">IFERROR(INDEX(المكونات!$C$2:$C$500,MATCH($B1505,المكونات!$A$2:$A$500,0)),"")</f>
        <v>4.47</v>
      </c>
      <c r="F1505" s="69" t="n">
        <f aca="false">IFERROR($C1505*$E1505,"")</f>
        <v>4.47</v>
      </c>
    </row>
    <row r="1506" customFormat="false" ht="15" hidden="false" customHeight="true" outlineLevel="0" collapsed="false">
      <c r="A1506" s="66" t="s">
        <v>520</v>
      </c>
      <c r="B1506" s="66" t="s">
        <v>122</v>
      </c>
      <c r="C1506" s="66" t="n">
        <v>1</v>
      </c>
      <c r="D1506" s="67" t="str">
        <f aca="false">IFERROR(INDEX(المكونات!$B$2:$B$500,MATCH($B1506,المكونات!$A$2:$A$500,0)),"")</f>
        <v>قطعة</v>
      </c>
      <c r="E1506" s="68" t="n">
        <f aca="false">IFERROR(INDEX(المكونات!$C$2:$C$500,MATCH($B1506,المكونات!$A$2:$A$500,0)),"")</f>
        <v>3.3</v>
      </c>
      <c r="F1506" s="69" t="n">
        <f aca="false">IFERROR($C1506*$E1506,"")</f>
        <v>3.3</v>
      </c>
    </row>
    <row r="1507" customFormat="false" ht="15" hidden="false" customHeight="true" outlineLevel="0" collapsed="false">
      <c r="A1507" s="66" t="s">
        <v>520</v>
      </c>
      <c r="B1507" s="66" t="s">
        <v>243</v>
      </c>
      <c r="C1507" s="66" t="n">
        <v>1</v>
      </c>
      <c r="D1507" s="67" t="str">
        <f aca="false">IFERROR(INDEX(المكونات!$B$2:$B$500,MATCH($B1507,المكونات!$A$2:$A$500,0)),"")</f>
        <v>قطعة</v>
      </c>
      <c r="E1507" s="68" t="n">
        <f aca="false">IFERROR(INDEX(المكونات!$C$2:$C$500,MATCH($B1507,المكونات!$A$2:$A$500,0)),"")</f>
        <v>0.3</v>
      </c>
      <c r="F1507" s="69" t="n">
        <f aca="false">IFERROR($C1507*$E1507,"")</f>
        <v>0.3</v>
      </c>
    </row>
    <row r="1508" customFormat="false" ht="15" hidden="false" customHeight="true" outlineLevel="0" collapsed="false">
      <c r="A1508" s="66" t="s">
        <v>520</v>
      </c>
      <c r="B1508" s="66" t="s">
        <v>290</v>
      </c>
      <c r="C1508" s="66" t="n">
        <v>2</v>
      </c>
      <c r="D1508" s="67" t="str">
        <f aca="false">IFERROR(INDEX(المكونات!$B$2:$B$500,MATCH($B1508,المكونات!$A$2:$A$500,0)),"")</f>
        <v>قطعة</v>
      </c>
      <c r="E1508" s="68" t="n">
        <f aca="false">IFERROR(INDEX(المكونات!$C$2:$C$500,MATCH($B1508,المكونات!$A$2:$A$500,0)),"")</f>
        <v>0.3</v>
      </c>
      <c r="F1508" s="69" t="n">
        <f aca="false">IFERROR($C1508*$E1508,"")</f>
        <v>0.6</v>
      </c>
    </row>
    <row r="1509" customFormat="false" ht="15" hidden="false" customHeight="true" outlineLevel="0" collapsed="false">
      <c r="A1509" s="66" t="s">
        <v>520</v>
      </c>
      <c r="B1509" s="66" t="s">
        <v>211</v>
      </c>
      <c r="C1509" s="66" t="n">
        <v>2</v>
      </c>
      <c r="D1509" s="67" t="str">
        <f aca="false">IFERROR(INDEX(المكونات!$B$2:$B$500,MATCH($B1509,المكونات!$A$2:$A$500,0)),"")</f>
        <v>قطعة (جلفز)</v>
      </c>
      <c r="E1509" s="68" t="n">
        <f aca="false">IFERROR(INDEX(المكونات!$C$2:$C$500,MATCH($B1509,المكونات!$A$2:$A$500,0)),"")</f>
        <v>0.18</v>
      </c>
      <c r="F1509" s="69" t="n">
        <f aca="false">IFERROR($C1509*$E1509,"")</f>
        <v>0.36</v>
      </c>
    </row>
    <row r="1510" customFormat="false" ht="15" hidden="false" customHeight="true" outlineLevel="0" collapsed="false">
      <c r="A1510" s="66" t="s">
        <v>520</v>
      </c>
      <c r="B1510" s="66" t="s">
        <v>136</v>
      </c>
      <c r="C1510" s="66" t="n">
        <v>1</v>
      </c>
      <c r="D1510" s="67" t="str">
        <f aca="false">IFERROR(INDEX(المكونات!$B$2:$B$500,MATCH($B1510,المكونات!$A$2:$A$500,0)),"")</f>
        <v>قطعة (كيس)</v>
      </c>
      <c r="E1510" s="68" t="n">
        <f aca="false">IFERROR(INDEX(المكونات!$C$2:$C$500,MATCH($B1510,المكونات!$A$2:$A$500,0)),"")</f>
        <v>1.4</v>
      </c>
      <c r="F1510" s="69" t="n">
        <f aca="false">IFERROR($C1510*$E1510,"")</f>
        <v>1.4</v>
      </c>
    </row>
    <row r="1511" customFormat="false" ht="15" hidden="false" customHeight="true" outlineLevel="0" collapsed="false">
      <c r="A1511" s="66" t="s">
        <v>398</v>
      </c>
      <c r="B1511" s="66" t="s">
        <v>309</v>
      </c>
      <c r="C1511" s="66" t="n">
        <v>0.15</v>
      </c>
      <c r="D1511" s="67" t="str">
        <f aca="false">IFERROR(INDEX(المكونات!$B$2:$B$500,MATCH($B1511,المكونات!$A$2:$A$500,0)),"")</f>
        <v>كجم</v>
      </c>
      <c r="E1511" s="68" t="n">
        <f aca="false">IFERROR(INDEX(المكونات!$C$2:$C$500,MATCH($B1511,المكونات!$A$2:$A$500,0)),"")</f>
        <v>24</v>
      </c>
      <c r="F1511" s="69" t="n">
        <f aca="false">IFERROR($C1511*$E1511,"")</f>
        <v>3.6</v>
      </c>
    </row>
    <row r="1512" customFormat="false" ht="15" hidden="false" customHeight="true" outlineLevel="0" collapsed="false">
      <c r="A1512" s="66" t="s">
        <v>398</v>
      </c>
      <c r="B1512" s="66" t="s">
        <v>188</v>
      </c>
      <c r="C1512" s="66" t="n">
        <v>0.2</v>
      </c>
      <c r="D1512" s="67" t="str">
        <f aca="false">IFERROR(INDEX(المكونات!$B$2:$B$500,MATCH($B1512,المكونات!$A$2:$A$500,0)),"")</f>
        <v>كجم</v>
      </c>
      <c r="E1512" s="68" t="n">
        <f aca="false">IFERROR(INDEX(المكونات!$C$2:$C$500,MATCH($B1512,المكونات!$A$2:$A$500,0)),"")</f>
        <v>25</v>
      </c>
      <c r="F1512" s="69" t="n">
        <f aca="false">IFERROR($C1512*$E1512,"")</f>
        <v>5</v>
      </c>
    </row>
    <row r="1513" customFormat="false" ht="15" hidden="false" customHeight="true" outlineLevel="0" collapsed="false">
      <c r="A1513" s="66" t="s">
        <v>398</v>
      </c>
      <c r="B1513" s="66" t="s">
        <v>176</v>
      </c>
      <c r="C1513" s="66" t="n">
        <v>1</v>
      </c>
      <c r="D1513" s="67" t="str">
        <f aca="false">IFERROR(INDEX(المكونات!$B$2:$B$500,MATCH($B1513,المكونات!$A$2:$A$500,0)),"")</f>
        <v>قطعة</v>
      </c>
      <c r="E1513" s="68" t="n">
        <f aca="false">IFERROR(INDEX(المكونات!$C$2:$C$500,MATCH($B1513,المكونات!$A$2:$A$500,0)),"")</f>
        <v>17.5</v>
      </c>
      <c r="F1513" s="69" t="n">
        <f aca="false">IFERROR($C1513*$E1513,"")</f>
        <v>17.5</v>
      </c>
    </row>
    <row r="1514" customFormat="false" ht="15" hidden="false" customHeight="true" outlineLevel="0" collapsed="false">
      <c r="A1514" s="66" t="s">
        <v>398</v>
      </c>
      <c r="B1514" s="66" t="s">
        <v>307</v>
      </c>
      <c r="C1514" s="66" t="n">
        <v>0.06</v>
      </c>
      <c r="D1514" s="67" t="str">
        <f aca="false">IFERROR(INDEX(المكونات!$B$2:$B$500,MATCH($B1514,المكونات!$A$2:$A$500,0)),"")</f>
        <v>كجم</v>
      </c>
      <c r="E1514" s="68" t="n">
        <f aca="false">IFERROR(INDEX(المكونات!$C$2:$C$500,MATCH($B1514,المكونات!$A$2:$A$500,0)),"")</f>
        <v>151.2027</v>
      </c>
      <c r="F1514" s="69" t="n">
        <f aca="false">IFERROR($C1514*$E1514,"")</f>
        <v>9.072162</v>
      </c>
    </row>
    <row r="1515" customFormat="false" ht="15" hidden="false" customHeight="true" outlineLevel="0" collapsed="false">
      <c r="A1515" s="66" t="s">
        <v>398</v>
      </c>
      <c r="B1515" s="66" t="s">
        <v>328</v>
      </c>
      <c r="C1515" s="66" t="n">
        <v>1</v>
      </c>
      <c r="D1515" s="67" t="str">
        <f aca="false">IFERROR(INDEX(المكونات!$B$2:$B$500,MATCH($B1515,المكونات!$A$2:$A$500,0)),"")</f>
        <v>قطعة</v>
      </c>
      <c r="E1515" s="68" t="n">
        <f aca="false">IFERROR(INDEX(المكونات!$C$2:$C$500,MATCH($B1515,المكونات!$A$2:$A$500,0)),"")</f>
        <v>4.47</v>
      </c>
      <c r="F1515" s="69" t="n">
        <f aca="false">IFERROR($C1515*$E1515,"")</f>
        <v>4.47</v>
      </c>
    </row>
    <row r="1516" customFormat="false" ht="15" hidden="false" customHeight="true" outlineLevel="0" collapsed="false">
      <c r="A1516" s="66" t="s">
        <v>398</v>
      </c>
      <c r="B1516" s="66" t="s">
        <v>122</v>
      </c>
      <c r="C1516" s="66" t="n">
        <v>1</v>
      </c>
      <c r="D1516" s="67" t="str">
        <f aca="false">IFERROR(INDEX(المكونات!$B$2:$B$500,MATCH($B1516,المكونات!$A$2:$A$500,0)),"")</f>
        <v>قطعة</v>
      </c>
      <c r="E1516" s="68" t="n">
        <f aca="false">IFERROR(INDEX(المكونات!$C$2:$C$500,MATCH($B1516,المكونات!$A$2:$A$500,0)),"")</f>
        <v>3.3</v>
      </c>
      <c r="F1516" s="69" t="n">
        <f aca="false">IFERROR($C1516*$E1516,"")</f>
        <v>3.3</v>
      </c>
    </row>
    <row r="1517" customFormat="false" ht="15" hidden="false" customHeight="true" outlineLevel="0" collapsed="false">
      <c r="A1517" s="66" t="s">
        <v>398</v>
      </c>
      <c r="B1517" s="66" t="s">
        <v>243</v>
      </c>
      <c r="C1517" s="66" t="n">
        <v>1</v>
      </c>
      <c r="D1517" s="67" t="str">
        <f aca="false">IFERROR(INDEX(المكونات!$B$2:$B$500,MATCH($B1517,المكونات!$A$2:$A$500,0)),"")</f>
        <v>قطعة</v>
      </c>
      <c r="E1517" s="68" t="n">
        <f aca="false">IFERROR(INDEX(المكونات!$C$2:$C$500,MATCH($B1517,المكونات!$A$2:$A$500,0)),"")</f>
        <v>0.3</v>
      </c>
      <c r="F1517" s="69" t="n">
        <f aca="false">IFERROR($C1517*$E1517,"")</f>
        <v>0.3</v>
      </c>
    </row>
    <row r="1518" customFormat="false" ht="15" hidden="false" customHeight="true" outlineLevel="0" collapsed="false">
      <c r="A1518" s="66" t="s">
        <v>398</v>
      </c>
      <c r="B1518" s="66" t="s">
        <v>290</v>
      </c>
      <c r="C1518" s="66" t="n">
        <v>2</v>
      </c>
      <c r="D1518" s="67" t="str">
        <f aca="false">IFERROR(INDEX(المكونات!$B$2:$B$500,MATCH($B1518,المكونات!$A$2:$A$500,0)),"")</f>
        <v>قطعة</v>
      </c>
      <c r="E1518" s="68" t="n">
        <f aca="false">IFERROR(INDEX(المكونات!$C$2:$C$500,MATCH($B1518,المكونات!$A$2:$A$500,0)),"")</f>
        <v>0.3</v>
      </c>
      <c r="F1518" s="69" t="n">
        <f aca="false">IFERROR($C1518*$E1518,"")</f>
        <v>0.6</v>
      </c>
    </row>
    <row r="1519" customFormat="false" ht="15" hidden="false" customHeight="true" outlineLevel="0" collapsed="false">
      <c r="A1519" s="66" t="s">
        <v>398</v>
      </c>
      <c r="B1519" s="66" t="s">
        <v>211</v>
      </c>
      <c r="C1519" s="66" t="n">
        <v>2</v>
      </c>
      <c r="D1519" s="67" t="str">
        <f aca="false">IFERROR(INDEX(المكونات!$B$2:$B$500,MATCH($B1519,المكونات!$A$2:$A$500,0)),"")</f>
        <v>قطعة (جلفز)</v>
      </c>
      <c r="E1519" s="68" t="n">
        <f aca="false">IFERROR(INDEX(المكونات!$C$2:$C$500,MATCH($B1519,المكونات!$A$2:$A$500,0)),"")</f>
        <v>0.18</v>
      </c>
      <c r="F1519" s="69" t="n">
        <f aca="false">IFERROR($C1519*$E1519,"")</f>
        <v>0.36</v>
      </c>
    </row>
    <row r="1520" customFormat="false" ht="15" hidden="false" customHeight="true" outlineLevel="0" collapsed="false">
      <c r="A1520" s="66" t="s">
        <v>398</v>
      </c>
      <c r="B1520" s="66" t="s">
        <v>136</v>
      </c>
      <c r="C1520" s="66" t="n">
        <v>1</v>
      </c>
      <c r="D1520" s="67" t="str">
        <f aca="false">IFERROR(INDEX(المكونات!$B$2:$B$500,MATCH($B1520,المكونات!$A$2:$A$500,0)),"")</f>
        <v>قطعة (كيس)</v>
      </c>
      <c r="E1520" s="68" t="n">
        <f aca="false">IFERROR(INDEX(المكونات!$C$2:$C$500,MATCH($B1520,المكونات!$A$2:$A$500,0)),"")</f>
        <v>1.4</v>
      </c>
      <c r="F1520" s="69" t="n">
        <f aca="false">IFERROR($C1520*$E1520,"")</f>
        <v>1.4</v>
      </c>
    </row>
    <row r="1521" customFormat="false" ht="15" hidden="false" customHeight="true" outlineLevel="0" collapsed="false">
      <c r="A1521" s="66" t="s">
        <v>526</v>
      </c>
      <c r="B1521" s="66" t="s">
        <v>309</v>
      </c>
      <c r="C1521" s="66" t="n">
        <v>0.15</v>
      </c>
      <c r="D1521" s="67" t="str">
        <f aca="false">IFERROR(INDEX(المكونات!$B$2:$B$500,MATCH($B1521,المكونات!$A$2:$A$500,0)),"")</f>
        <v>كجم</v>
      </c>
      <c r="E1521" s="68" t="n">
        <f aca="false">IFERROR(INDEX(المكونات!$C$2:$C$500,MATCH($B1521,المكونات!$A$2:$A$500,0)),"")</f>
        <v>24</v>
      </c>
      <c r="F1521" s="69" t="n">
        <f aca="false">IFERROR($C1521*$E1521,"")</f>
        <v>3.6</v>
      </c>
    </row>
    <row r="1522" customFormat="false" ht="15" hidden="false" customHeight="true" outlineLevel="0" collapsed="false">
      <c r="A1522" s="66" t="s">
        <v>526</v>
      </c>
      <c r="B1522" s="66" t="s">
        <v>188</v>
      </c>
      <c r="C1522" s="66" t="n">
        <v>0.2</v>
      </c>
      <c r="D1522" s="67" t="str">
        <f aca="false">IFERROR(INDEX(المكونات!$B$2:$B$500,MATCH($B1522,المكونات!$A$2:$A$500,0)),"")</f>
        <v>كجم</v>
      </c>
      <c r="E1522" s="68" t="n">
        <f aca="false">IFERROR(INDEX(المكونات!$C$2:$C$500,MATCH($B1522,المكونات!$A$2:$A$500,0)),"")</f>
        <v>25</v>
      </c>
      <c r="F1522" s="69" t="n">
        <f aca="false">IFERROR($C1522*$E1522,"")</f>
        <v>5</v>
      </c>
    </row>
    <row r="1523" customFormat="false" ht="15" hidden="false" customHeight="true" outlineLevel="0" collapsed="false">
      <c r="A1523" s="66" t="s">
        <v>526</v>
      </c>
      <c r="B1523" s="66" t="s">
        <v>176</v>
      </c>
      <c r="C1523" s="66" t="n">
        <v>1</v>
      </c>
      <c r="D1523" s="67" t="str">
        <f aca="false">IFERROR(INDEX(المكونات!$B$2:$B$500,MATCH($B1523,المكونات!$A$2:$A$500,0)),"")</f>
        <v>قطعة</v>
      </c>
      <c r="E1523" s="68" t="n">
        <f aca="false">IFERROR(INDEX(المكونات!$C$2:$C$500,MATCH($B1523,المكونات!$A$2:$A$500,0)),"")</f>
        <v>17.5</v>
      </c>
      <c r="F1523" s="69" t="n">
        <f aca="false">IFERROR($C1523*$E1523,"")</f>
        <v>17.5</v>
      </c>
    </row>
    <row r="1524" customFormat="false" ht="15" hidden="false" customHeight="true" outlineLevel="0" collapsed="false">
      <c r="A1524" s="66" t="s">
        <v>526</v>
      </c>
      <c r="B1524" s="66" t="s">
        <v>336</v>
      </c>
      <c r="C1524" s="66" t="n">
        <v>0.14</v>
      </c>
      <c r="D1524" s="67" t="str">
        <f aca="false">IFERROR(INDEX(المكونات!$B$2:$B$500,MATCH($B1524,المكونات!$A$2:$A$500,0)),"")</f>
        <v>كجم</v>
      </c>
      <c r="E1524" s="68" t="n">
        <f aca="false">IFERROR(INDEX(المكونات!$C$2:$C$500,MATCH($B1524,المكونات!$A$2:$A$500,0)),"")</f>
        <v>220.02</v>
      </c>
      <c r="F1524" s="69" t="n">
        <f aca="false">IFERROR($C1524*$E1524,"")</f>
        <v>30.8028</v>
      </c>
    </row>
    <row r="1525" customFormat="false" ht="15" hidden="false" customHeight="true" outlineLevel="0" collapsed="false">
      <c r="A1525" s="66" t="s">
        <v>526</v>
      </c>
      <c r="B1525" s="66" t="s">
        <v>328</v>
      </c>
      <c r="C1525" s="66" t="n">
        <v>1</v>
      </c>
      <c r="D1525" s="67" t="str">
        <f aca="false">IFERROR(INDEX(المكونات!$B$2:$B$500,MATCH($B1525,المكونات!$A$2:$A$500,0)),"")</f>
        <v>قطعة</v>
      </c>
      <c r="E1525" s="68" t="n">
        <f aca="false">IFERROR(INDEX(المكونات!$C$2:$C$500,MATCH($B1525,المكونات!$A$2:$A$500,0)),"")</f>
        <v>4.47</v>
      </c>
      <c r="F1525" s="69" t="n">
        <f aca="false">IFERROR($C1525*$E1525,"")</f>
        <v>4.47</v>
      </c>
    </row>
    <row r="1526" customFormat="false" ht="15" hidden="false" customHeight="true" outlineLevel="0" collapsed="false">
      <c r="A1526" s="66" t="s">
        <v>526</v>
      </c>
      <c r="B1526" s="66" t="s">
        <v>122</v>
      </c>
      <c r="C1526" s="66" t="n">
        <v>1</v>
      </c>
      <c r="D1526" s="67" t="str">
        <f aca="false">IFERROR(INDEX(المكونات!$B$2:$B$500,MATCH($B1526,المكونات!$A$2:$A$500,0)),"")</f>
        <v>قطعة</v>
      </c>
      <c r="E1526" s="68" t="n">
        <f aca="false">IFERROR(INDEX(المكونات!$C$2:$C$500,MATCH($B1526,المكونات!$A$2:$A$500,0)),"")</f>
        <v>3.3</v>
      </c>
      <c r="F1526" s="69" t="n">
        <f aca="false">IFERROR($C1526*$E1526,"")</f>
        <v>3.3</v>
      </c>
    </row>
    <row r="1527" customFormat="false" ht="15" hidden="false" customHeight="true" outlineLevel="0" collapsed="false">
      <c r="A1527" s="66" t="s">
        <v>526</v>
      </c>
      <c r="B1527" s="66" t="s">
        <v>243</v>
      </c>
      <c r="C1527" s="66" t="n">
        <v>1</v>
      </c>
      <c r="D1527" s="67" t="str">
        <f aca="false">IFERROR(INDEX(المكونات!$B$2:$B$500,MATCH($B1527,المكونات!$A$2:$A$500,0)),"")</f>
        <v>قطعة</v>
      </c>
      <c r="E1527" s="68" t="n">
        <f aca="false">IFERROR(INDEX(المكونات!$C$2:$C$500,MATCH($B1527,المكونات!$A$2:$A$500,0)),"")</f>
        <v>0.3</v>
      </c>
      <c r="F1527" s="69" t="n">
        <f aca="false">IFERROR($C1527*$E1527,"")</f>
        <v>0.3</v>
      </c>
    </row>
    <row r="1528" customFormat="false" ht="15" hidden="false" customHeight="true" outlineLevel="0" collapsed="false">
      <c r="A1528" s="66" t="s">
        <v>526</v>
      </c>
      <c r="B1528" s="66" t="s">
        <v>290</v>
      </c>
      <c r="C1528" s="66" t="n">
        <v>2</v>
      </c>
      <c r="D1528" s="67" t="str">
        <f aca="false">IFERROR(INDEX(المكونات!$B$2:$B$500,MATCH($B1528,المكونات!$A$2:$A$500,0)),"")</f>
        <v>قطعة</v>
      </c>
      <c r="E1528" s="68" t="n">
        <f aca="false">IFERROR(INDEX(المكونات!$C$2:$C$500,MATCH($B1528,المكونات!$A$2:$A$500,0)),"")</f>
        <v>0.3</v>
      </c>
      <c r="F1528" s="69" t="n">
        <f aca="false">IFERROR($C1528*$E1528,"")</f>
        <v>0.6</v>
      </c>
    </row>
    <row r="1529" customFormat="false" ht="15" hidden="false" customHeight="true" outlineLevel="0" collapsed="false">
      <c r="A1529" s="66" t="s">
        <v>526</v>
      </c>
      <c r="B1529" s="66" t="s">
        <v>211</v>
      </c>
      <c r="C1529" s="66" t="n">
        <v>2</v>
      </c>
      <c r="D1529" s="67" t="str">
        <f aca="false">IFERROR(INDEX(المكونات!$B$2:$B$500,MATCH($B1529,المكونات!$A$2:$A$500,0)),"")</f>
        <v>قطعة (جلفز)</v>
      </c>
      <c r="E1529" s="68" t="n">
        <f aca="false">IFERROR(INDEX(المكونات!$C$2:$C$500,MATCH($B1529,المكونات!$A$2:$A$500,0)),"")</f>
        <v>0.18</v>
      </c>
      <c r="F1529" s="69" t="n">
        <f aca="false">IFERROR($C1529*$E1529,"")</f>
        <v>0.36</v>
      </c>
    </row>
    <row r="1530" customFormat="false" ht="15" hidden="false" customHeight="true" outlineLevel="0" collapsed="false">
      <c r="A1530" s="66" t="s">
        <v>526</v>
      </c>
      <c r="B1530" s="66" t="s">
        <v>136</v>
      </c>
      <c r="C1530" s="66" t="n">
        <v>1</v>
      </c>
      <c r="D1530" s="67" t="str">
        <f aca="false">IFERROR(INDEX(المكونات!$B$2:$B$500,MATCH($B1530,المكونات!$A$2:$A$500,0)),"")</f>
        <v>قطعة (كيس)</v>
      </c>
      <c r="E1530" s="68" t="n">
        <f aca="false">IFERROR(INDEX(المكونات!$C$2:$C$500,MATCH($B1530,المكونات!$A$2:$A$500,0)),"")</f>
        <v>1.4</v>
      </c>
      <c r="F1530" s="69" t="n">
        <f aca="false">IFERROR($C1530*$E1530,"")</f>
        <v>1.4</v>
      </c>
    </row>
    <row r="1531" customFormat="false" ht="15" hidden="false" customHeight="true" outlineLevel="0" collapsed="false">
      <c r="A1531" s="66" t="s">
        <v>422</v>
      </c>
      <c r="B1531" s="66" t="s">
        <v>309</v>
      </c>
      <c r="C1531" s="66" t="n">
        <v>0.15</v>
      </c>
      <c r="D1531" s="67" t="str">
        <f aca="false">IFERROR(INDEX(المكونات!$B$2:$B$500,MATCH($B1531,المكونات!$A$2:$A$500,0)),"")</f>
        <v>كجم</v>
      </c>
      <c r="E1531" s="68" t="n">
        <f aca="false">IFERROR(INDEX(المكونات!$C$2:$C$500,MATCH($B1531,المكونات!$A$2:$A$500,0)),"")</f>
        <v>24</v>
      </c>
      <c r="F1531" s="69" t="n">
        <f aca="false">IFERROR($C1531*$E1531,"")</f>
        <v>3.6</v>
      </c>
    </row>
    <row r="1532" customFormat="false" ht="15" hidden="false" customHeight="true" outlineLevel="0" collapsed="false">
      <c r="A1532" s="66" t="s">
        <v>422</v>
      </c>
      <c r="B1532" s="66" t="s">
        <v>188</v>
      </c>
      <c r="C1532" s="66" t="n">
        <v>0.2</v>
      </c>
      <c r="D1532" s="67" t="str">
        <f aca="false">IFERROR(INDEX(المكونات!$B$2:$B$500,MATCH($B1532,المكونات!$A$2:$A$500,0)),"")</f>
        <v>كجم</v>
      </c>
      <c r="E1532" s="68" t="n">
        <f aca="false">IFERROR(INDEX(المكونات!$C$2:$C$500,MATCH($B1532,المكونات!$A$2:$A$500,0)),"")</f>
        <v>25</v>
      </c>
      <c r="F1532" s="69" t="n">
        <f aca="false">IFERROR($C1532*$E1532,"")</f>
        <v>5</v>
      </c>
    </row>
    <row r="1533" customFormat="false" ht="15" hidden="false" customHeight="true" outlineLevel="0" collapsed="false">
      <c r="A1533" s="66" t="s">
        <v>422</v>
      </c>
      <c r="B1533" s="66" t="s">
        <v>176</v>
      </c>
      <c r="C1533" s="66" t="n">
        <v>1</v>
      </c>
      <c r="D1533" s="67" t="str">
        <f aca="false">IFERROR(INDEX(المكونات!$B$2:$B$500,MATCH($B1533,المكونات!$A$2:$A$500,0)),"")</f>
        <v>قطعة</v>
      </c>
      <c r="E1533" s="68" t="n">
        <f aca="false">IFERROR(INDEX(المكونات!$C$2:$C$500,MATCH($B1533,المكونات!$A$2:$A$500,0)),"")</f>
        <v>17.5</v>
      </c>
      <c r="F1533" s="69" t="n">
        <f aca="false">IFERROR($C1533*$E1533,"")</f>
        <v>17.5</v>
      </c>
    </row>
    <row r="1534" customFormat="false" ht="15" hidden="false" customHeight="true" outlineLevel="0" collapsed="false">
      <c r="A1534" s="66" t="s">
        <v>422</v>
      </c>
      <c r="B1534" s="66" t="s">
        <v>282</v>
      </c>
      <c r="C1534" s="66" t="n">
        <v>0.14</v>
      </c>
      <c r="D1534" s="67" t="str">
        <f aca="false">IFERROR(INDEX(المكونات!$B$2:$B$500,MATCH($B1534,المكونات!$A$2:$A$500,0)),"")</f>
        <v>كجم</v>
      </c>
      <c r="E1534" s="68" t="n">
        <f aca="false">IFERROR(INDEX(المكونات!$C$2:$C$500,MATCH($B1534,المكونات!$A$2:$A$500,0)),"")</f>
        <v>150</v>
      </c>
      <c r="F1534" s="69" t="n">
        <f aca="false">IFERROR($C1534*$E1534,"")</f>
        <v>21</v>
      </c>
    </row>
    <row r="1535" customFormat="false" ht="15" hidden="false" customHeight="true" outlineLevel="0" collapsed="false">
      <c r="A1535" s="66" t="s">
        <v>422</v>
      </c>
      <c r="B1535" s="66" t="s">
        <v>252</v>
      </c>
      <c r="C1535" s="66" t="n">
        <v>0.1</v>
      </c>
      <c r="D1535" s="67" t="str">
        <f aca="false">IFERROR(INDEX(المكونات!$B$2:$B$500,MATCH($B1535,المكونات!$A$2:$A$500,0)),"")</f>
        <v>كجم</v>
      </c>
      <c r="E1535" s="68" t="n">
        <f aca="false">IFERROR(INDEX(المكونات!$C$2:$C$500,MATCH($B1535,المكونات!$A$2:$A$500,0)),"")</f>
        <v>70</v>
      </c>
      <c r="F1535" s="69" t="n">
        <f aca="false">IFERROR($C1535*$E1535,"")</f>
        <v>7</v>
      </c>
    </row>
    <row r="1536" customFormat="false" ht="15" hidden="false" customHeight="true" outlineLevel="0" collapsed="false">
      <c r="A1536" s="66" t="s">
        <v>422</v>
      </c>
      <c r="B1536" s="66" t="s">
        <v>328</v>
      </c>
      <c r="C1536" s="66" t="n">
        <v>1</v>
      </c>
      <c r="D1536" s="67" t="str">
        <f aca="false">IFERROR(INDEX(المكونات!$B$2:$B$500,MATCH($B1536,المكونات!$A$2:$A$500,0)),"")</f>
        <v>قطعة</v>
      </c>
      <c r="E1536" s="68" t="n">
        <f aca="false">IFERROR(INDEX(المكونات!$C$2:$C$500,MATCH($B1536,المكونات!$A$2:$A$500,0)),"")</f>
        <v>4.47</v>
      </c>
      <c r="F1536" s="69" t="n">
        <f aca="false">IFERROR($C1536*$E1536,"")</f>
        <v>4.47</v>
      </c>
    </row>
    <row r="1537" customFormat="false" ht="15" hidden="false" customHeight="true" outlineLevel="0" collapsed="false">
      <c r="A1537" s="66" t="s">
        <v>422</v>
      </c>
      <c r="B1537" s="66" t="s">
        <v>122</v>
      </c>
      <c r="C1537" s="66" t="n">
        <v>1</v>
      </c>
      <c r="D1537" s="67" t="str">
        <f aca="false">IFERROR(INDEX(المكونات!$B$2:$B$500,MATCH($B1537,المكونات!$A$2:$A$500,0)),"")</f>
        <v>قطعة</v>
      </c>
      <c r="E1537" s="68" t="n">
        <f aca="false">IFERROR(INDEX(المكونات!$C$2:$C$500,MATCH($B1537,المكونات!$A$2:$A$500,0)),"")</f>
        <v>3.3</v>
      </c>
      <c r="F1537" s="69" t="n">
        <f aca="false">IFERROR($C1537*$E1537,"")</f>
        <v>3.3</v>
      </c>
    </row>
    <row r="1538" customFormat="false" ht="15" hidden="false" customHeight="true" outlineLevel="0" collapsed="false">
      <c r="A1538" s="66" t="s">
        <v>422</v>
      </c>
      <c r="B1538" s="66" t="s">
        <v>243</v>
      </c>
      <c r="C1538" s="66" t="n">
        <v>1</v>
      </c>
      <c r="D1538" s="67" t="str">
        <f aca="false">IFERROR(INDEX(المكونات!$B$2:$B$500,MATCH($B1538,المكونات!$A$2:$A$500,0)),"")</f>
        <v>قطعة</v>
      </c>
      <c r="E1538" s="68" t="n">
        <f aca="false">IFERROR(INDEX(المكونات!$C$2:$C$500,MATCH($B1538,المكونات!$A$2:$A$500,0)),"")</f>
        <v>0.3</v>
      </c>
      <c r="F1538" s="69" t="n">
        <f aca="false">IFERROR($C1538*$E1538,"")</f>
        <v>0.3</v>
      </c>
    </row>
    <row r="1539" customFormat="false" ht="15" hidden="false" customHeight="true" outlineLevel="0" collapsed="false">
      <c r="A1539" s="66" t="s">
        <v>422</v>
      </c>
      <c r="B1539" s="66" t="s">
        <v>290</v>
      </c>
      <c r="C1539" s="66" t="n">
        <v>2</v>
      </c>
      <c r="D1539" s="67" t="str">
        <f aca="false">IFERROR(INDEX(المكونات!$B$2:$B$500,MATCH($B1539,المكونات!$A$2:$A$500,0)),"")</f>
        <v>قطعة</v>
      </c>
      <c r="E1539" s="68" t="n">
        <f aca="false">IFERROR(INDEX(المكونات!$C$2:$C$500,MATCH($B1539,المكونات!$A$2:$A$500,0)),"")</f>
        <v>0.3</v>
      </c>
      <c r="F1539" s="69" t="n">
        <f aca="false">IFERROR($C1539*$E1539,"")</f>
        <v>0.6</v>
      </c>
    </row>
    <row r="1540" customFormat="false" ht="15" hidden="false" customHeight="true" outlineLevel="0" collapsed="false">
      <c r="A1540" s="66" t="s">
        <v>422</v>
      </c>
      <c r="B1540" s="66" t="s">
        <v>211</v>
      </c>
      <c r="C1540" s="66" t="n">
        <v>2</v>
      </c>
      <c r="D1540" s="67" t="str">
        <f aca="false">IFERROR(INDEX(المكونات!$B$2:$B$500,MATCH($B1540,المكونات!$A$2:$A$500,0)),"")</f>
        <v>قطعة (جلفز)</v>
      </c>
      <c r="E1540" s="68" t="n">
        <f aca="false">IFERROR(INDEX(المكونات!$C$2:$C$500,MATCH($B1540,المكونات!$A$2:$A$500,0)),"")</f>
        <v>0.18</v>
      </c>
      <c r="F1540" s="69" t="n">
        <f aca="false">IFERROR($C1540*$E1540,"")</f>
        <v>0.36</v>
      </c>
    </row>
    <row r="1541" customFormat="false" ht="15" hidden="false" customHeight="true" outlineLevel="0" collapsed="false">
      <c r="A1541" s="66" t="s">
        <v>422</v>
      </c>
      <c r="B1541" s="66" t="s">
        <v>136</v>
      </c>
      <c r="C1541" s="66" t="n">
        <v>1</v>
      </c>
      <c r="D1541" s="67" t="str">
        <f aca="false">IFERROR(INDEX(المكونات!$B$2:$B$500,MATCH($B1541,المكونات!$A$2:$A$500,0)),"")</f>
        <v>قطعة (كيس)</v>
      </c>
      <c r="E1541" s="68" t="n">
        <f aca="false">IFERROR(INDEX(المكونات!$C$2:$C$500,MATCH($B1541,المكونات!$A$2:$A$500,0)),"")</f>
        <v>1.4</v>
      </c>
      <c r="F1541" s="69" t="n">
        <f aca="false">IFERROR($C1541*$E1541,"")</f>
        <v>1.4</v>
      </c>
    </row>
    <row r="1542" customFormat="false" ht="15" hidden="false" customHeight="true" outlineLevel="0" collapsed="false">
      <c r="A1542" s="66" t="s">
        <v>503</v>
      </c>
      <c r="B1542" s="66" t="s">
        <v>309</v>
      </c>
      <c r="C1542" s="66" t="n">
        <v>0.15</v>
      </c>
      <c r="D1542" s="67" t="str">
        <f aca="false">IFERROR(INDEX(المكونات!$B$2:$B$500,MATCH($B1542,المكونات!$A$2:$A$500,0)),"")</f>
        <v>كجم</v>
      </c>
      <c r="E1542" s="68" t="n">
        <f aca="false">IFERROR(INDEX(المكونات!$C$2:$C$500,MATCH($B1542,المكونات!$A$2:$A$500,0)),"")</f>
        <v>24</v>
      </c>
      <c r="F1542" s="69" t="n">
        <f aca="false">IFERROR($C1542*$E1542,"")</f>
        <v>3.6</v>
      </c>
    </row>
    <row r="1543" customFormat="false" ht="15" hidden="false" customHeight="true" outlineLevel="0" collapsed="false">
      <c r="A1543" s="66" t="s">
        <v>503</v>
      </c>
      <c r="B1543" s="66" t="s">
        <v>188</v>
      </c>
      <c r="C1543" s="66" t="n">
        <v>0.2</v>
      </c>
      <c r="D1543" s="67" t="str">
        <f aca="false">IFERROR(INDEX(المكونات!$B$2:$B$500,MATCH($B1543,المكونات!$A$2:$A$500,0)),"")</f>
        <v>كجم</v>
      </c>
      <c r="E1543" s="68" t="n">
        <f aca="false">IFERROR(INDEX(المكونات!$C$2:$C$500,MATCH($B1543,المكونات!$A$2:$A$500,0)),"")</f>
        <v>25</v>
      </c>
      <c r="F1543" s="69" t="n">
        <f aca="false">IFERROR($C1543*$E1543,"")</f>
        <v>5</v>
      </c>
    </row>
    <row r="1544" customFormat="false" ht="15" hidden="false" customHeight="true" outlineLevel="0" collapsed="false">
      <c r="A1544" s="66" t="s">
        <v>503</v>
      </c>
      <c r="B1544" s="66" t="s">
        <v>176</v>
      </c>
      <c r="C1544" s="66" t="n">
        <v>1</v>
      </c>
      <c r="D1544" s="67" t="str">
        <f aca="false">IFERROR(INDEX(المكونات!$B$2:$B$500,MATCH($B1544,المكونات!$A$2:$A$500,0)),"")</f>
        <v>قطعة</v>
      </c>
      <c r="E1544" s="68" t="n">
        <f aca="false">IFERROR(INDEX(المكونات!$C$2:$C$500,MATCH($B1544,المكونات!$A$2:$A$500,0)),"")</f>
        <v>17.5</v>
      </c>
      <c r="F1544" s="69" t="n">
        <f aca="false">IFERROR($C1544*$E1544,"")</f>
        <v>17.5</v>
      </c>
    </row>
    <row r="1545" customFormat="false" ht="15" hidden="false" customHeight="true" outlineLevel="0" collapsed="false">
      <c r="A1545" s="66" t="s">
        <v>503</v>
      </c>
      <c r="B1545" s="66" t="s">
        <v>150</v>
      </c>
      <c r="C1545" s="66" t="n">
        <v>1</v>
      </c>
      <c r="D1545" s="67" t="str">
        <f aca="false">IFERROR(INDEX(المكونات!$B$2:$B$500,MATCH($B1545,المكونات!$A$2:$A$500,0)),"")</f>
        <v>قطعة</v>
      </c>
      <c r="E1545" s="68" t="n">
        <f aca="false">IFERROR(INDEX(المكونات!$C$2:$C$500,MATCH($B1545,المكونات!$A$2:$A$500,0)),"")</f>
        <v>95</v>
      </c>
      <c r="F1545" s="69" t="n">
        <f aca="false">IFERROR($C1545*$E1545,"")</f>
        <v>95</v>
      </c>
    </row>
    <row r="1546" customFormat="false" ht="15" hidden="false" customHeight="true" outlineLevel="0" collapsed="false">
      <c r="A1546" s="66" t="s">
        <v>503</v>
      </c>
      <c r="B1546" s="66" t="s">
        <v>328</v>
      </c>
      <c r="C1546" s="66" t="n">
        <v>1</v>
      </c>
      <c r="D1546" s="67" t="str">
        <f aca="false">IFERROR(INDEX(المكونات!$B$2:$B$500,MATCH($B1546,المكونات!$A$2:$A$500,0)),"")</f>
        <v>قطعة</v>
      </c>
      <c r="E1546" s="68" t="n">
        <f aca="false">IFERROR(INDEX(المكونات!$C$2:$C$500,MATCH($B1546,المكونات!$A$2:$A$500,0)),"")</f>
        <v>4.47</v>
      </c>
      <c r="F1546" s="69" t="n">
        <f aca="false">IFERROR($C1546*$E1546,"")</f>
        <v>4.47</v>
      </c>
    </row>
    <row r="1547" customFormat="false" ht="15" hidden="false" customHeight="true" outlineLevel="0" collapsed="false">
      <c r="A1547" s="66" t="s">
        <v>503</v>
      </c>
      <c r="B1547" s="66" t="s">
        <v>122</v>
      </c>
      <c r="C1547" s="66" t="n">
        <v>1</v>
      </c>
      <c r="D1547" s="67" t="str">
        <f aca="false">IFERROR(INDEX(المكونات!$B$2:$B$500,MATCH($B1547,المكونات!$A$2:$A$500,0)),"")</f>
        <v>قطعة</v>
      </c>
      <c r="E1547" s="68" t="n">
        <f aca="false">IFERROR(INDEX(المكونات!$C$2:$C$500,MATCH($B1547,المكونات!$A$2:$A$500,0)),"")</f>
        <v>3.3</v>
      </c>
      <c r="F1547" s="69" t="n">
        <f aca="false">IFERROR($C1547*$E1547,"")</f>
        <v>3.3</v>
      </c>
    </row>
    <row r="1548" customFormat="false" ht="15" hidden="false" customHeight="true" outlineLevel="0" collapsed="false">
      <c r="A1548" s="66" t="s">
        <v>503</v>
      </c>
      <c r="B1548" s="66" t="s">
        <v>243</v>
      </c>
      <c r="C1548" s="66" t="n">
        <v>1</v>
      </c>
      <c r="D1548" s="67" t="str">
        <f aca="false">IFERROR(INDEX(المكونات!$B$2:$B$500,MATCH($B1548,المكونات!$A$2:$A$500,0)),"")</f>
        <v>قطعة</v>
      </c>
      <c r="E1548" s="68" t="n">
        <f aca="false">IFERROR(INDEX(المكونات!$C$2:$C$500,MATCH($B1548,المكونات!$A$2:$A$500,0)),"")</f>
        <v>0.3</v>
      </c>
      <c r="F1548" s="69" t="n">
        <f aca="false">IFERROR($C1548*$E1548,"")</f>
        <v>0.3</v>
      </c>
    </row>
    <row r="1549" customFormat="false" ht="15" hidden="false" customHeight="true" outlineLevel="0" collapsed="false">
      <c r="A1549" s="66" t="s">
        <v>503</v>
      </c>
      <c r="B1549" s="66" t="s">
        <v>290</v>
      </c>
      <c r="C1549" s="66" t="n">
        <v>2</v>
      </c>
      <c r="D1549" s="67" t="str">
        <f aca="false">IFERROR(INDEX(المكونات!$B$2:$B$500,MATCH($B1549,المكونات!$A$2:$A$500,0)),"")</f>
        <v>قطعة</v>
      </c>
      <c r="E1549" s="68" t="n">
        <f aca="false">IFERROR(INDEX(المكونات!$C$2:$C$500,MATCH($B1549,المكونات!$A$2:$A$500,0)),"")</f>
        <v>0.3</v>
      </c>
      <c r="F1549" s="69" t="n">
        <f aca="false">IFERROR($C1549*$E1549,"")</f>
        <v>0.6</v>
      </c>
    </row>
    <row r="1550" customFormat="false" ht="15" hidden="false" customHeight="true" outlineLevel="0" collapsed="false">
      <c r="A1550" s="66" t="s">
        <v>503</v>
      </c>
      <c r="B1550" s="66" t="s">
        <v>211</v>
      </c>
      <c r="C1550" s="66" t="n">
        <v>2</v>
      </c>
      <c r="D1550" s="67" t="str">
        <f aca="false">IFERROR(INDEX(المكونات!$B$2:$B$500,MATCH($B1550,المكونات!$A$2:$A$500,0)),"")</f>
        <v>قطعة (جلفز)</v>
      </c>
      <c r="E1550" s="68" t="n">
        <f aca="false">IFERROR(INDEX(المكونات!$C$2:$C$500,MATCH($B1550,المكونات!$A$2:$A$500,0)),"")</f>
        <v>0.18</v>
      </c>
      <c r="F1550" s="69" t="n">
        <f aca="false">IFERROR($C1550*$E1550,"")</f>
        <v>0.36</v>
      </c>
    </row>
    <row r="1551" customFormat="false" ht="15" hidden="false" customHeight="true" outlineLevel="0" collapsed="false">
      <c r="A1551" s="66" t="s">
        <v>503</v>
      </c>
      <c r="B1551" s="66" t="s">
        <v>136</v>
      </c>
      <c r="C1551" s="66" t="n">
        <v>1</v>
      </c>
      <c r="D1551" s="67" t="str">
        <f aca="false">IFERROR(INDEX(المكونات!$B$2:$B$500,MATCH($B1551,المكونات!$A$2:$A$500,0)),"")</f>
        <v>قطعة (كيس)</v>
      </c>
      <c r="E1551" s="68" t="n">
        <f aca="false">IFERROR(INDEX(المكونات!$C$2:$C$500,MATCH($B1551,المكونات!$A$2:$A$500,0)),"")</f>
        <v>1.4</v>
      </c>
      <c r="F1551" s="69" t="n">
        <f aca="false">IFERROR($C1551*$E1551,"")</f>
        <v>1.4</v>
      </c>
    </row>
    <row r="1552" customFormat="false" ht="15" hidden="false" customHeight="true" outlineLevel="0" collapsed="false">
      <c r="A1552" s="66" t="s">
        <v>499</v>
      </c>
      <c r="B1552" s="66" t="s">
        <v>334</v>
      </c>
      <c r="C1552" s="66" t="n">
        <v>1</v>
      </c>
      <c r="D1552" s="67" t="str">
        <f aca="false">IFERROR(INDEX(المكونات!$B$2:$B$500,MATCH($B1552,المكونات!$A$2:$A$500,0)),"")</f>
        <v>قطعة</v>
      </c>
      <c r="E1552" s="68" t="n">
        <f aca="false">IFERROR(INDEX(المكونات!$C$2:$C$500,MATCH($B1552,المكونات!$A$2:$A$500,0)),"")</f>
        <v>2.32417208333333</v>
      </c>
      <c r="F1552" s="69" t="n">
        <f aca="false">IFERROR($C1552*$E1552,"")</f>
        <v>2.32417208333333</v>
      </c>
    </row>
    <row r="1553" customFormat="false" ht="15" hidden="false" customHeight="true" outlineLevel="0" collapsed="false">
      <c r="A1553" s="66" t="s">
        <v>499</v>
      </c>
      <c r="B1553" s="66" t="s">
        <v>176</v>
      </c>
      <c r="C1553" s="66" t="n">
        <v>1</v>
      </c>
      <c r="D1553" s="67" t="str">
        <f aca="false">IFERROR(INDEX(المكونات!$B$2:$B$500,MATCH($B1553,المكونات!$A$2:$A$500,0)),"")</f>
        <v>قطعة</v>
      </c>
      <c r="E1553" s="68" t="n">
        <f aca="false">IFERROR(INDEX(المكونات!$C$2:$C$500,MATCH($B1553,المكونات!$A$2:$A$500,0)),"")</f>
        <v>17.5</v>
      </c>
      <c r="F1553" s="69" t="n">
        <f aca="false">IFERROR($C1553*$E1553,"")</f>
        <v>17.5</v>
      </c>
    </row>
    <row r="1554" customFormat="false" ht="15" hidden="false" customHeight="true" outlineLevel="0" collapsed="false">
      <c r="A1554" s="66" t="s">
        <v>499</v>
      </c>
      <c r="B1554" s="66" t="s">
        <v>260</v>
      </c>
      <c r="C1554" s="66" t="n">
        <v>0.03</v>
      </c>
      <c r="D1554" s="67" t="str">
        <f aca="false">IFERROR(INDEX(المكونات!$B$2:$B$500,MATCH($B1554,المكونات!$A$2:$A$500,0)),"")</f>
        <v>كجم</v>
      </c>
      <c r="E1554" s="68" t="n">
        <f aca="false">IFERROR(INDEX(المكونات!$C$2:$C$500,MATCH($B1554,المكونات!$A$2:$A$500,0)),"")</f>
        <v>21</v>
      </c>
      <c r="F1554" s="69" t="n">
        <f aca="false">IFERROR($C1554*$E1554,"")</f>
        <v>0.63</v>
      </c>
    </row>
    <row r="1555" customFormat="false" ht="15" hidden="false" customHeight="true" outlineLevel="0" collapsed="false">
      <c r="A1555" s="66" t="s">
        <v>499</v>
      </c>
      <c r="B1555" s="66" t="s">
        <v>284</v>
      </c>
      <c r="C1555" s="66" t="n">
        <v>0.02</v>
      </c>
      <c r="D1555" s="67" t="str">
        <f aca="false">IFERROR(INDEX(المكونات!$B$2:$B$500,MATCH($B1555,المكونات!$A$2:$A$500,0)),"")</f>
        <v>كجم</v>
      </c>
      <c r="E1555" s="68" t="n">
        <f aca="false">IFERROR(INDEX(المكونات!$C$2:$C$500,MATCH($B1555,المكونات!$A$2:$A$500,0)),"")</f>
        <v>27</v>
      </c>
      <c r="F1555" s="69" t="n">
        <f aca="false">IFERROR($C1555*$E1555,"")</f>
        <v>0.54</v>
      </c>
    </row>
    <row r="1556" customFormat="false" ht="15" hidden="false" customHeight="true" outlineLevel="0" collapsed="false">
      <c r="A1556" s="66" t="s">
        <v>499</v>
      </c>
      <c r="B1556" s="66" t="s">
        <v>227</v>
      </c>
      <c r="C1556" s="66" t="n">
        <v>0.02</v>
      </c>
      <c r="D1556" s="67" t="str">
        <f aca="false">IFERROR(INDEX(المكونات!$B$2:$B$500,MATCH($B1556,المكونات!$A$2:$A$500,0)),"")</f>
        <v>كجم</v>
      </c>
      <c r="E1556" s="68" t="n">
        <f aca="false">IFERROR(INDEX(المكونات!$C$2:$C$500,MATCH($B1556,المكونات!$A$2:$A$500,0)),"")</f>
        <v>95</v>
      </c>
      <c r="F1556" s="69" t="n">
        <f aca="false">IFERROR($C1556*$E1556,"")</f>
        <v>1.9</v>
      </c>
    </row>
    <row r="1557" customFormat="false" ht="15" hidden="false" customHeight="true" outlineLevel="0" collapsed="false">
      <c r="A1557" s="66" t="s">
        <v>499</v>
      </c>
      <c r="B1557" s="66" t="s">
        <v>297</v>
      </c>
      <c r="C1557" s="66" t="n">
        <v>1</v>
      </c>
      <c r="D1557" s="67" t="str">
        <f aca="false">IFERROR(INDEX(المكونات!$B$2:$B$500,MATCH($B1557,المكونات!$A$2:$A$500,0)),"")</f>
        <v>قطعة</v>
      </c>
      <c r="E1557" s="68" t="n">
        <f aca="false">IFERROR(INDEX(المكونات!$C$2:$C$500,MATCH($B1557,المكونات!$A$2:$A$500,0)),"")</f>
        <v>2</v>
      </c>
      <c r="F1557" s="69" t="n">
        <f aca="false">IFERROR($C1557*$E1557,"")</f>
        <v>2</v>
      </c>
    </row>
    <row r="1558" customFormat="false" ht="15" hidden="false" customHeight="true" outlineLevel="0" collapsed="false">
      <c r="A1558" s="66" t="s">
        <v>499</v>
      </c>
      <c r="B1558" s="66" t="s">
        <v>234</v>
      </c>
      <c r="C1558" s="66" t="n">
        <v>1</v>
      </c>
      <c r="D1558" s="67" t="str">
        <f aca="false">IFERROR(INDEX(المكونات!$B$2:$B$500,MATCH($B1558,المكونات!$A$2:$A$500,0)),"")</f>
        <v>قطعة (استخدام)</v>
      </c>
      <c r="E1558" s="68" t="n">
        <f aca="false">IFERROR(INDEX(المكونات!$C$2:$C$500,MATCH($B1558,المكونات!$A$2:$A$500,0)),"")</f>
        <v>2.5189</v>
      </c>
      <c r="F1558" s="69" t="n">
        <f aca="false">IFERROR($C1558*$E1558,"")</f>
        <v>2.5189</v>
      </c>
    </row>
    <row r="1559" customFormat="false" ht="15" hidden="false" customHeight="true" outlineLevel="0" collapsed="false">
      <c r="A1559" s="66" t="s">
        <v>499</v>
      </c>
      <c r="B1559" s="66" t="s">
        <v>146</v>
      </c>
      <c r="C1559" s="66" t="n">
        <v>1.5</v>
      </c>
      <c r="D1559" s="67" t="str">
        <f aca="false">IFERROR(INDEX(المكونات!$B$2:$B$500,MATCH($B1559,المكونات!$A$2:$A$500,0)),"")</f>
        <v>قطعة</v>
      </c>
      <c r="E1559" s="68" t="n">
        <f aca="false">IFERROR(INDEX(المكونات!$C$2:$C$500,MATCH($B1559,المكونات!$A$2:$A$500,0)),"")</f>
        <v>5.65</v>
      </c>
      <c r="F1559" s="69" t="n">
        <f aca="false">IFERROR($C1559*$E1559,"")</f>
        <v>8.475</v>
      </c>
    </row>
    <row r="1560" customFormat="false" ht="15" hidden="false" customHeight="true" outlineLevel="0" collapsed="false">
      <c r="A1560" s="66" t="s">
        <v>421</v>
      </c>
      <c r="B1560" s="66" t="s">
        <v>334</v>
      </c>
      <c r="C1560" s="66" t="n">
        <v>1</v>
      </c>
      <c r="D1560" s="67" t="str">
        <f aca="false">IFERROR(INDEX(المكونات!$B$2:$B$500,MATCH($B1560,المكونات!$A$2:$A$500,0)),"")</f>
        <v>قطعة</v>
      </c>
      <c r="E1560" s="68" t="n">
        <f aca="false">IFERROR(INDEX(المكونات!$C$2:$C$500,MATCH($B1560,المكونات!$A$2:$A$500,0)),"")</f>
        <v>2.32417208333333</v>
      </c>
      <c r="F1560" s="69" t="n">
        <f aca="false">IFERROR($C1560*$E1560,"")</f>
        <v>2.32417208333333</v>
      </c>
    </row>
    <row r="1561" customFormat="false" ht="15" hidden="false" customHeight="true" outlineLevel="0" collapsed="false">
      <c r="A1561" s="66" t="s">
        <v>421</v>
      </c>
      <c r="B1561" s="66" t="s">
        <v>176</v>
      </c>
      <c r="C1561" s="66" t="n">
        <v>1</v>
      </c>
      <c r="D1561" s="67" t="str">
        <f aca="false">IFERROR(INDEX(المكونات!$B$2:$B$500,MATCH($B1561,المكونات!$A$2:$A$500,0)),"")</f>
        <v>قطعة</v>
      </c>
      <c r="E1561" s="68" t="n">
        <f aca="false">IFERROR(INDEX(المكونات!$C$2:$C$500,MATCH($B1561,المكونات!$A$2:$A$500,0)),"")</f>
        <v>17.5</v>
      </c>
      <c r="F1561" s="69" t="n">
        <f aca="false">IFERROR($C1561*$E1561,"")</f>
        <v>17.5</v>
      </c>
    </row>
    <row r="1562" customFormat="false" ht="15" hidden="false" customHeight="true" outlineLevel="0" collapsed="false">
      <c r="A1562" s="66" t="s">
        <v>421</v>
      </c>
      <c r="B1562" s="66" t="s">
        <v>260</v>
      </c>
      <c r="C1562" s="66" t="n">
        <v>0.03</v>
      </c>
      <c r="D1562" s="67" t="str">
        <f aca="false">IFERROR(INDEX(المكونات!$B$2:$B$500,MATCH($B1562,المكونات!$A$2:$A$500,0)),"")</f>
        <v>كجم</v>
      </c>
      <c r="E1562" s="68" t="n">
        <f aca="false">IFERROR(INDEX(المكونات!$C$2:$C$500,MATCH($B1562,المكونات!$A$2:$A$500,0)),"")</f>
        <v>21</v>
      </c>
      <c r="F1562" s="69" t="n">
        <f aca="false">IFERROR($C1562*$E1562,"")</f>
        <v>0.63</v>
      </c>
    </row>
    <row r="1563" customFormat="false" ht="15" hidden="false" customHeight="true" outlineLevel="0" collapsed="false">
      <c r="A1563" s="66" t="s">
        <v>421</v>
      </c>
      <c r="B1563" s="66" t="s">
        <v>284</v>
      </c>
      <c r="C1563" s="66" t="n">
        <v>0.02</v>
      </c>
      <c r="D1563" s="67" t="str">
        <f aca="false">IFERROR(INDEX(المكونات!$B$2:$B$500,MATCH($B1563,المكونات!$A$2:$A$500,0)),"")</f>
        <v>كجم</v>
      </c>
      <c r="E1563" s="68" t="n">
        <f aca="false">IFERROR(INDEX(المكونات!$C$2:$C$500,MATCH($B1563,المكونات!$A$2:$A$500,0)),"")</f>
        <v>27</v>
      </c>
      <c r="F1563" s="69" t="n">
        <f aca="false">IFERROR($C1563*$E1563,"")</f>
        <v>0.54</v>
      </c>
    </row>
    <row r="1564" customFormat="false" ht="15" hidden="false" customHeight="true" outlineLevel="0" collapsed="false">
      <c r="A1564" s="66" t="s">
        <v>421</v>
      </c>
      <c r="B1564" s="66" t="s">
        <v>227</v>
      </c>
      <c r="C1564" s="66" t="n">
        <v>0.02</v>
      </c>
      <c r="D1564" s="67" t="str">
        <f aca="false">IFERROR(INDEX(المكونات!$B$2:$B$500,MATCH($B1564,المكونات!$A$2:$A$500,0)),"")</f>
        <v>كجم</v>
      </c>
      <c r="E1564" s="68" t="n">
        <f aca="false">IFERROR(INDEX(المكونات!$C$2:$C$500,MATCH($B1564,المكونات!$A$2:$A$500,0)),"")</f>
        <v>95</v>
      </c>
      <c r="F1564" s="69" t="n">
        <f aca="false">IFERROR($C1564*$E1564,"")</f>
        <v>1.9</v>
      </c>
    </row>
    <row r="1565" customFormat="false" ht="15" hidden="false" customHeight="true" outlineLevel="0" collapsed="false">
      <c r="A1565" s="66" t="s">
        <v>421</v>
      </c>
      <c r="B1565" s="66" t="s">
        <v>297</v>
      </c>
      <c r="C1565" s="66" t="n">
        <v>1</v>
      </c>
      <c r="D1565" s="67" t="str">
        <f aca="false">IFERROR(INDEX(المكونات!$B$2:$B$500,MATCH($B1565,المكونات!$A$2:$A$500,0)),"")</f>
        <v>قطعة</v>
      </c>
      <c r="E1565" s="68" t="n">
        <f aca="false">IFERROR(INDEX(المكونات!$C$2:$C$500,MATCH($B1565,المكونات!$A$2:$A$500,0)),"")</f>
        <v>2</v>
      </c>
      <c r="F1565" s="69" t="n">
        <f aca="false">IFERROR($C1565*$E1565,"")</f>
        <v>2</v>
      </c>
    </row>
    <row r="1566" customFormat="false" ht="15" hidden="false" customHeight="true" outlineLevel="0" collapsed="false">
      <c r="A1566" s="66" t="s">
        <v>421</v>
      </c>
      <c r="B1566" s="66" t="s">
        <v>234</v>
      </c>
      <c r="C1566" s="66" t="n">
        <v>1</v>
      </c>
      <c r="D1566" s="67" t="str">
        <f aca="false">IFERROR(INDEX(المكونات!$B$2:$B$500,MATCH($B1566,المكونات!$A$2:$A$500,0)),"")</f>
        <v>قطعة (استخدام)</v>
      </c>
      <c r="E1566" s="68" t="n">
        <f aca="false">IFERROR(INDEX(المكونات!$C$2:$C$500,MATCH($B1566,المكونات!$A$2:$A$500,0)),"")</f>
        <v>2.5189</v>
      </c>
      <c r="F1566" s="69" t="n">
        <f aca="false">IFERROR($C1566*$E1566,"")</f>
        <v>2.5189</v>
      </c>
    </row>
    <row r="1567" customFormat="false" ht="15" hidden="false" customHeight="true" outlineLevel="0" collapsed="false">
      <c r="A1567" s="66" t="s">
        <v>421</v>
      </c>
      <c r="B1567" s="66" t="s">
        <v>282</v>
      </c>
      <c r="C1567" s="66" t="n">
        <v>0.14</v>
      </c>
      <c r="D1567" s="67" t="str">
        <f aca="false">IFERROR(INDEX(المكونات!$B$2:$B$500,MATCH($B1567,المكونات!$A$2:$A$500,0)),"")</f>
        <v>كجم</v>
      </c>
      <c r="E1567" s="68" t="n">
        <f aca="false">IFERROR(INDEX(المكونات!$C$2:$C$500,MATCH($B1567,المكونات!$A$2:$A$500,0)),"")</f>
        <v>150</v>
      </c>
      <c r="F1567" s="69" t="n">
        <f aca="false">IFERROR($C1567*$E1567,"")</f>
        <v>21</v>
      </c>
    </row>
    <row r="1568" customFormat="false" ht="15" hidden="false" customHeight="true" outlineLevel="0" collapsed="false">
      <c r="A1568" s="66" t="s">
        <v>421</v>
      </c>
      <c r="B1568" s="66" t="s">
        <v>252</v>
      </c>
      <c r="C1568" s="66" t="n">
        <v>0.1</v>
      </c>
      <c r="D1568" s="67" t="str">
        <f aca="false">IFERROR(INDEX(المكونات!$B$2:$B$500,MATCH($B1568,المكونات!$A$2:$A$500,0)),"")</f>
        <v>كجم</v>
      </c>
      <c r="E1568" s="68" t="n">
        <f aca="false">IFERROR(INDEX(المكونات!$C$2:$C$500,MATCH($B1568,المكونات!$A$2:$A$500,0)),"")</f>
        <v>70</v>
      </c>
      <c r="F1568" s="69" t="n">
        <f aca="false">IFERROR($C1568*$E1568,"")</f>
        <v>7</v>
      </c>
    </row>
    <row r="1569" customFormat="false" ht="15" hidden="false" customHeight="true" outlineLevel="0" collapsed="false">
      <c r="A1569" s="66" t="s">
        <v>486</v>
      </c>
      <c r="B1569" s="66" t="s">
        <v>334</v>
      </c>
      <c r="C1569" s="66" t="n">
        <v>1</v>
      </c>
      <c r="D1569" s="67" t="str">
        <f aca="false">IFERROR(INDEX(المكونات!$B$2:$B$500,MATCH($B1569,المكونات!$A$2:$A$500,0)),"")</f>
        <v>قطعة</v>
      </c>
      <c r="E1569" s="68" t="n">
        <f aca="false">IFERROR(INDEX(المكونات!$C$2:$C$500,MATCH($B1569,المكونات!$A$2:$A$500,0)),"")</f>
        <v>2.32417208333333</v>
      </c>
      <c r="F1569" s="69" t="n">
        <f aca="false">IFERROR($C1569*$E1569,"")</f>
        <v>2.32417208333333</v>
      </c>
    </row>
    <row r="1570" customFormat="false" ht="15" hidden="false" customHeight="true" outlineLevel="0" collapsed="false">
      <c r="A1570" s="66" t="s">
        <v>486</v>
      </c>
      <c r="B1570" s="66" t="s">
        <v>176</v>
      </c>
      <c r="C1570" s="66" t="n">
        <v>1</v>
      </c>
      <c r="D1570" s="67" t="str">
        <f aca="false">IFERROR(INDEX(المكونات!$B$2:$B$500,MATCH($B1570,المكونات!$A$2:$A$500,0)),"")</f>
        <v>قطعة</v>
      </c>
      <c r="E1570" s="68" t="n">
        <f aca="false">IFERROR(INDEX(المكونات!$C$2:$C$500,MATCH($B1570,المكونات!$A$2:$A$500,0)),"")</f>
        <v>17.5</v>
      </c>
      <c r="F1570" s="69" t="n">
        <f aca="false">IFERROR($C1570*$E1570,"")</f>
        <v>17.5</v>
      </c>
    </row>
    <row r="1571" customFormat="false" ht="15" hidden="false" customHeight="true" outlineLevel="0" collapsed="false">
      <c r="A1571" s="66" t="s">
        <v>486</v>
      </c>
      <c r="B1571" s="66" t="s">
        <v>260</v>
      </c>
      <c r="C1571" s="66" t="n">
        <v>0.03</v>
      </c>
      <c r="D1571" s="67" t="str">
        <f aca="false">IFERROR(INDEX(المكونات!$B$2:$B$500,MATCH($B1571,المكونات!$A$2:$A$500,0)),"")</f>
        <v>كجم</v>
      </c>
      <c r="E1571" s="68" t="n">
        <f aca="false">IFERROR(INDEX(المكونات!$C$2:$C$500,MATCH($B1571,المكونات!$A$2:$A$500,0)),"")</f>
        <v>21</v>
      </c>
      <c r="F1571" s="69" t="n">
        <f aca="false">IFERROR($C1571*$E1571,"")</f>
        <v>0.63</v>
      </c>
    </row>
    <row r="1572" customFormat="false" ht="15" hidden="false" customHeight="true" outlineLevel="0" collapsed="false">
      <c r="A1572" s="66" t="s">
        <v>486</v>
      </c>
      <c r="B1572" s="66" t="s">
        <v>284</v>
      </c>
      <c r="C1572" s="66" t="n">
        <v>0.02</v>
      </c>
      <c r="D1572" s="67" t="str">
        <f aca="false">IFERROR(INDEX(المكونات!$B$2:$B$500,MATCH($B1572,المكونات!$A$2:$A$500,0)),"")</f>
        <v>كجم</v>
      </c>
      <c r="E1572" s="68" t="n">
        <f aca="false">IFERROR(INDEX(المكونات!$C$2:$C$500,MATCH($B1572,المكونات!$A$2:$A$500,0)),"")</f>
        <v>27</v>
      </c>
      <c r="F1572" s="69" t="n">
        <f aca="false">IFERROR($C1572*$E1572,"")</f>
        <v>0.54</v>
      </c>
    </row>
    <row r="1573" customFormat="false" ht="15" hidden="false" customHeight="true" outlineLevel="0" collapsed="false">
      <c r="A1573" s="66" t="s">
        <v>486</v>
      </c>
      <c r="B1573" s="66" t="s">
        <v>227</v>
      </c>
      <c r="C1573" s="66" t="n">
        <v>0.02</v>
      </c>
      <c r="D1573" s="67" t="str">
        <f aca="false">IFERROR(INDEX(المكونات!$B$2:$B$500,MATCH($B1573,المكونات!$A$2:$A$500,0)),"")</f>
        <v>كجم</v>
      </c>
      <c r="E1573" s="68" t="n">
        <f aca="false">IFERROR(INDEX(المكونات!$C$2:$C$500,MATCH($B1573,المكونات!$A$2:$A$500,0)),"")</f>
        <v>95</v>
      </c>
      <c r="F1573" s="69" t="n">
        <f aca="false">IFERROR($C1573*$E1573,"")</f>
        <v>1.9</v>
      </c>
    </row>
    <row r="1574" customFormat="false" ht="15" hidden="false" customHeight="true" outlineLevel="0" collapsed="false">
      <c r="A1574" s="66" t="s">
        <v>486</v>
      </c>
      <c r="B1574" s="66" t="s">
        <v>297</v>
      </c>
      <c r="C1574" s="66" t="n">
        <v>1</v>
      </c>
      <c r="D1574" s="67" t="str">
        <f aca="false">IFERROR(INDEX(المكونات!$B$2:$B$500,MATCH($B1574,المكونات!$A$2:$A$500,0)),"")</f>
        <v>قطعة</v>
      </c>
      <c r="E1574" s="68" t="n">
        <f aca="false">IFERROR(INDEX(المكونات!$C$2:$C$500,MATCH($B1574,المكونات!$A$2:$A$500,0)),"")</f>
        <v>2</v>
      </c>
      <c r="F1574" s="69" t="n">
        <f aca="false">IFERROR($C1574*$E1574,"")</f>
        <v>2</v>
      </c>
    </row>
    <row r="1575" customFormat="false" ht="15" hidden="false" customHeight="true" outlineLevel="0" collapsed="false">
      <c r="A1575" s="66" t="s">
        <v>486</v>
      </c>
      <c r="B1575" s="66" t="s">
        <v>234</v>
      </c>
      <c r="C1575" s="66" t="n">
        <v>1</v>
      </c>
      <c r="D1575" s="67" t="str">
        <f aca="false">IFERROR(INDEX(المكونات!$B$2:$B$500,MATCH($B1575,المكونات!$A$2:$A$500,0)),"")</f>
        <v>قطعة (استخدام)</v>
      </c>
      <c r="E1575" s="68" t="n">
        <f aca="false">IFERROR(INDEX(المكونات!$C$2:$C$500,MATCH($B1575,المكونات!$A$2:$A$500,0)),"")</f>
        <v>2.5189</v>
      </c>
      <c r="F1575" s="69" t="n">
        <f aca="false">IFERROR($C1575*$E1575,"")</f>
        <v>2.5189</v>
      </c>
    </row>
    <row r="1576" customFormat="false" ht="15" hidden="false" customHeight="true" outlineLevel="0" collapsed="false">
      <c r="A1576" s="66" t="s">
        <v>486</v>
      </c>
      <c r="B1576" s="66" t="s">
        <v>336</v>
      </c>
      <c r="C1576" s="66" t="n">
        <v>0.07</v>
      </c>
      <c r="D1576" s="67" t="str">
        <f aca="false">IFERROR(INDEX(المكونات!$B$2:$B$500,MATCH($B1576,المكونات!$A$2:$A$500,0)),"")</f>
        <v>كجم</v>
      </c>
      <c r="E1576" s="68" t="n">
        <f aca="false">IFERROR(INDEX(المكونات!$C$2:$C$500,MATCH($B1576,المكونات!$A$2:$A$500,0)),"")</f>
        <v>220.02</v>
      </c>
      <c r="F1576" s="69" t="n">
        <f aca="false">IFERROR($C1576*$E1576,"")</f>
        <v>15.4014</v>
      </c>
    </row>
    <row r="1577" customFormat="false" ht="15" hidden="false" customHeight="true" outlineLevel="0" collapsed="false">
      <c r="A1577" s="66" t="s">
        <v>486</v>
      </c>
      <c r="B1577" s="66" t="s">
        <v>338</v>
      </c>
      <c r="C1577" s="66" t="n">
        <v>0.07</v>
      </c>
      <c r="D1577" s="67" t="str">
        <f aca="false">IFERROR(INDEX(المكونات!$B$2:$B$500,MATCH($B1577,المكونات!$A$2:$A$500,0)),"")</f>
        <v>كجم</v>
      </c>
      <c r="E1577" s="68" t="n">
        <f aca="false">IFERROR(INDEX(المكونات!$C$2:$C$500,MATCH($B1577,المكونات!$A$2:$A$500,0)),"")</f>
        <v>219.23</v>
      </c>
      <c r="F1577" s="69" t="n">
        <f aca="false">IFERROR($C1577*$E1577,"")</f>
        <v>15.3461</v>
      </c>
    </row>
    <row r="1578" customFormat="false" ht="15" hidden="false" customHeight="true" outlineLevel="0" collapsed="false">
      <c r="A1578" s="66" t="s">
        <v>483</v>
      </c>
      <c r="B1578" s="66" t="s">
        <v>334</v>
      </c>
      <c r="C1578" s="66" t="n">
        <v>1</v>
      </c>
      <c r="D1578" s="67" t="str">
        <f aca="false">IFERROR(INDEX(المكونات!$B$2:$B$500,MATCH($B1578,المكونات!$A$2:$A$500,0)),"")</f>
        <v>قطعة</v>
      </c>
      <c r="E1578" s="68" t="n">
        <f aca="false">IFERROR(INDEX(المكونات!$C$2:$C$500,MATCH($B1578,المكونات!$A$2:$A$500,0)),"")</f>
        <v>2.32417208333333</v>
      </c>
      <c r="F1578" s="69" t="n">
        <f aca="false">IFERROR($C1578*$E1578,"")</f>
        <v>2.32417208333333</v>
      </c>
    </row>
    <row r="1579" customFormat="false" ht="15" hidden="false" customHeight="true" outlineLevel="0" collapsed="false">
      <c r="A1579" s="66" t="s">
        <v>483</v>
      </c>
      <c r="B1579" s="66" t="s">
        <v>176</v>
      </c>
      <c r="C1579" s="66" t="n">
        <v>1</v>
      </c>
      <c r="D1579" s="67" t="str">
        <f aca="false">IFERROR(INDEX(المكونات!$B$2:$B$500,MATCH($B1579,المكونات!$A$2:$A$500,0)),"")</f>
        <v>قطعة</v>
      </c>
      <c r="E1579" s="68" t="n">
        <f aca="false">IFERROR(INDEX(المكونات!$C$2:$C$500,MATCH($B1579,المكونات!$A$2:$A$500,0)),"")</f>
        <v>17.5</v>
      </c>
      <c r="F1579" s="69" t="n">
        <f aca="false">IFERROR($C1579*$E1579,"")</f>
        <v>17.5</v>
      </c>
    </row>
    <row r="1580" customFormat="false" ht="15" hidden="false" customHeight="true" outlineLevel="0" collapsed="false">
      <c r="A1580" s="66" t="s">
        <v>483</v>
      </c>
      <c r="B1580" s="66" t="s">
        <v>260</v>
      </c>
      <c r="C1580" s="66" t="n">
        <v>0.03</v>
      </c>
      <c r="D1580" s="67" t="str">
        <f aca="false">IFERROR(INDEX(المكونات!$B$2:$B$500,MATCH($B1580,المكونات!$A$2:$A$500,0)),"")</f>
        <v>كجم</v>
      </c>
      <c r="E1580" s="68" t="n">
        <f aca="false">IFERROR(INDEX(المكونات!$C$2:$C$500,MATCH($B1580,المكونات!$A$2:$A$500,0)),"")</f>
        <v>21</v>
      </c>
      <c r="F1580" s="69" t="n">
        <f aca="false">IFERROR($C1580*$E1580,"")</f>
        <v>0.63</v>
      </c>
    </row>
    <row r="1581" customFormat="false" ht="15" hidden="false" customHeight="true" outlineLevel="0" collapsed="false">
      <c r="A1581" s="66" t="s">
        <v>483</v>
      </c>
      <c r="B1581" s="66" t="s">
        <v>284</v>
      </c>
      <c r="C1581" s="66" t="n">
        <v>0.02</v>
      </c>
      <c r="D1581" s="67" t="str">
        <f aca="false">IFERROR(INDEX(المكونات!$B$2:$B$500,MATCH($B1581,المكونات!$A$2:$A$500,0)),"")</f>
        <v>كجم</v>
      </c>
      <c r="E1581" s="68" t="n">
        <f aca="false">IFERROR(INDEX(المكونات!$C$2:$C$500,MATCH($B1581,المكونات!$A$2:$A$500,0)),"")</f>
        <v>27</v>
      </c>
      <c r="F1581" s="69" t="n">
        <f aca="false">IFERROR($C1581*$E1581,"")</f>
        <v>0.54</v>
      </c>
    </row>
    <row r="1582" customFormat="false" ht="15" hidden="false" customHeight="true" outlineLevel="0" collapsed="false">
      <c r="A1582" s="66" t="s">
        <v>483</v>
      </c>
      <c r="B1582" s="66" t="s">
        <v>227</v>
      </c>
      <c r="C1582" s="66" t="n">
        <v>0.02</v>
      </c>
      <c r="D1582" s="67" t="str">
        <f aca="false">IFERROR(INDEX(المكونات!$B$2:$B$500,MATCH($B1582,المكونات!$A$2:$A$500,0)),"")</f>
        <v>كجم</v>
      </c>
      <c r="E1582" s="68" t="n">
        <f aca="false">IFERROR(INDEX(المكونات!$C$2:$C$500,MATCH($B1582,المكونات!$A$2:$A$500,0)),"")</f>
        <v>95</v>
      </c>
      <c r="F1582" s="69" t="n">
        <f aca="false">IFERROR($C1582*$E1582,"")</f>
        <v>1.9</v>
      </c>
    </row>
    <row r="1583" customFormat="false" ht="15" hidden="false" customHeight="true" outlineLevel="0" collapsed="false">
      <c r="A1583" s="66" t="s">
        <v>483</v>
      </c>
      <c r="B1583" s="66" t="s">
        <v>297</v>
      </c>
      <c r="C1583" s="66" t="n">
        <v>1</v>
      </c>
      <c r="D1583" s="67" t="str">
        <f aca="false">IFERROR(INDEX(المكونات!$B$2:$B$500,MATCH($B1583,المكونات!$A$2:$A$500,0)),"")</f>
        <v>قطعة</v>
      </c>
      <c r="E1583" s="68" t="n">
        <f aca="false">IFERROR(INDEX(المكونات!$C$2:$C$500,MATCH($B1583,المكونات!$A$2:$A$500,0)),"")</f>
        <v>2</v>
      </c>
      <c r="F1583" s="69" t="n">
        <f aca="false">IFERROR($C1583*$E1583,"")</f>
        <v>2</v>
      </c>
    </row>
    <row r="1584" customFormat="false" ht="15" hidden="false" customHeight="true" outlineLevel="0" collapsed="false">
      <c r="A1584" s="66" t="s">
        <v>483</v>
      </c>
      <c r="B1584" s="66" t="s">
        <v>234</v>
      </c>
      <c r="C1584" s="66" t="n">
        <v>1</v>
      </c>
      <c r="D1584" s="67" t="str">
        <f aca="false">IFERROR(INDEX(المكونات!$B$2:$B$500,MATCH($B1584,المكونات!$A$2:$A$500,0)),"")</f>
        <v>قطعة (استخدام)</v>
      </c>
      <c r="E1584" s="68" t="n">
        <f aca="false">IFERROR(INDEX(المكونات!$C$2:$C$500,MATCH($B1584,المكونات!$A$2:$A$500,0)),"")</f>
        <v>2.5189</v>
      </c>
      <c r="F1584" s="69" t="n">
        <f aca="false">IFERROR($C1584*$E1584,"")</f>
        <v>2.5189</v>
      </c>
    </row>
    <row r="1585" customFormat="false" ht="15" hidden="false" customHeight="true" outlineLevel="0" collapsed="false">
      <c r="A1585" s="66" t="s">
        <v>483</v>
      </c>
      <c r="B1585" s="66" t="s">
        <v>150</v>
      </c>
      <c r="C1585" s="66" t="n">
        <v>0.5</v>
      </c>
      <c r="D1585" s="67" t="str">
        <f aca="false">IFERROR(INDEX(المكونات!$B$2:$B$500,MATCH($B1585,المكونات!$A$2:$A$500,0)),"")</f>
        <v>قطعة</v>
      </c>
      <c r="E1585" s="68" t="n">
        <f aca="false">IFERROR(INDEX(المكونات!$C$2:$C$500,MATCH($B1585,المكونات!$A$2:$A$500,0)),"")</f>
        <v>95</v>
      </c>
      <c r="F1585" s="69" t="n">
        <f aca="false">IFERROR($C1585*$E1585,"")</f>
        <v>47.5</v>
      </c>
    </row>
    <row r="1586" customFormat="false" ht="15" hidden="false" customHeight="true" outlineLevel="0" collapsed="false">
      <c r="A1586" s="66" t="s">
        <v>467</v>
      </c>
      <c r="B1586" s="66" t="s">
        <v>348</v>
      </c>
      <c r="C1586" s="66" t="n">
        <v>1</v>
      </c>
      <c r="D1586" s="67" t="str">
        <f aca="false">IFERROR(INDEX(المكونات!$B$2:$B$500,MATCH($B1586,المكونات!$A$2:$A$500,0)),"")</f>
        <v>قطعة</v>
      </c>
      <c r="E1586" s="68" t="n">
        <f aca="false">IFERROR(INDEX(المكونات!$C$2:$C$500,MATCH($B1586,المكونات!$A$2:$A$500,0)),"")</f>
        <v>5.5777</v>
      </c>
      <c r="F1586" s="69" t="n">
        <f aca="false">IFERROR($C1586*$E1586,"")</f>
        <v>5.5777</v>
      </c>
    </row>
    <row r="1587" customFormat="false" ht="15" hidden="false" customHeight="true" outlineLevel="0" collapsed="false">
      <c r="A1587" s="66" t="s">
        <v>452</v>
      </c>
      <c r="B1587" s="66" t="s">
        <v>348</v>
      </c>
      <c r="C1587" s="66" t="n">
        <v>1</v>
      </c>
      <c r="D1587" s="67" t="str">
        <f aca="false">IFERROR(INDEX(المكونات!$B$2:$B$500,MATCH($B1587,المكونات!$A$2:$A$500,0)),"")</f>
        <v>قطعة</v>
      </c>
      <c r="E1587" s="68" t="n">
        <f aca="false">IFERROR(INDEX(المكونات!$C$2:$C$500,MATCH($B1587,المكونات!$A$2:$A$500,0)),"")</f>
        <v>5.5777</v>
      </c>
      <c r="F1587" s="69" t="n">
        <f aca="false">IFERROR($C1587*$E1587,"")</f>
        <v>5.5777</v>
      </c>
    </row>
    <row r="1588" customFormat="false" ht="15" hidden="false" customHeight="true" outlineLevel="0" collapsed="false">
      <c r="A1588" s="66" t="s">
        <v>434</v>
      </c>
      <c r="B1588" s="66" t="s">
        <v>348</v>
      </c>
      <c r="C1588" s="66" t="n">
        <v>1</v>
      </c>
      <c r="D1588" s="67" t="str">
        <f aca="false">IFERROR(INDEX(المكونات!$B$2:$B$500,MATCH($B1588,المكونات!$A$2:$A$500,0)),"")</f>
        <v>قطعة</v>
      </c>
      <c r="E1588" s="68" t="n">
        <f aca="false">IFERROR(INDEX(المكونات!$C$2:$C$500,MATCH($B1588,المكونات!$A$2:$A$500,0)),"")</f>
        <v>5.5777</v>
      </c>
      <c r="F1588" s="69" t="n">
        <f aca="false">IFERROR($C1588*$E1588,"")</f>
        <v>5.5777</v>
      </c>
    </row>
    <row r="1589" customFormat="false" ht="15" hidden="false" customHeight="true" outlineLevel="0" collapsed="false">
      <c r="A1589" s="66" t="s">
        <v>504</v>
      </c>
      <c r="B1589" s="66" t="s">
        <v>348</v>
      </c>
      <c r="C1589" s="66" t="n">
        <v>1</v>
      </c>
      <c r="D1589" s="67" t="str">
        <f aca="false">IFERROR(INDEX(المكونات!$B$2:$B$500,MATCH($B1589,المكونات!$A$2:$A$500,0)),"")</f>
        <v>قطعة</v>
      </c>
      <c r="E1589" s="68" t="n">
        <f aca="false">IFERROR(INDEX(المكونات!$C$2:$C$500,MATCH($B1589,المكونات!$A$2:$A$500,0)),"")</f>
        <v>5.5777</v>
      </c>
      <c r="F1589" s="69" t="n">
        <f aca="false">IFERROR($C1589*$E1589,"")</f>
        <v>5.5777</v>
      </c>
    </row>
    <row r="1590" customFormat="false" ht="15" hidden="false" customHeight="true" outlineLevel="0" collapsed="false">
      <c r="A1590" s="66" t="s">
        <v>533</v>
      </c>
      <c r="B1590" s="66" t="s">
        <v>348</v>
      </c>
      <c r="C1590" s="66" t="n">
        <v>1</v>
      </c>
      <c r="D1590" s="67" t="str">
        <f aca="false">IFERROR(INDEX(المكونات!$B$2:$B$500,MATCH($B1590,المكونات!$A$2:$A$500,0)),"")</f>
        <v>قطعة</v>
      </c>
      <c r="E1590" s="68" t="n">
        <f aca="false">IFERROR(INDEX(المكونات!$C$2:$C$500,MATCH($B1590,المكونات!$A$2:$A$500,0)),"")</f>
        <v>5.5777</v>
      </c>
      <c r="F1590" s="69" t="n">
        <f aca="false">IFERROR($C1590*$E1590,"")</f>
        <v>5.5777</v>
      </c>
    </row>
    <row r="1591" customFormat="false" ht="15" hidden="false" customHeight="true" outlineLevel="0" collapsed="false">
      <c r="A1591" s="66" t="s">
        <v>470</v>
      </c>
      <c r="B1591" s="66" t="s">
        <v>348</v>
      </c>
      <c r="C1591" s="66" t="n">
        <v>1</v>
      </c>
      <c r="D1591" s="67" t="str">
        <f aca="false">IFERROR(INDEX(المكونات!$B$2:$B$500,MATCH($B1591,المكونات!$A$2:$A$500,0)),"")</f>
        <v>قطعة</v>
      </c>
      <c r="E1591" s="68" t="n">
        <f aca="false">IFERROR(INDEX(المكونات!$C$2:$C$500,MATCH($B1591,المكونات!$A$2:$A$500,0)),"")</f>
        <v>5.5777</v>
      </c>
      <c r="F1591" s="69" t="n">
        <f aca="false">IFERROR($C1591*$E1591,"")</f>
        <v>5.5777</v>
      </c>
    </row>
    <row r="1592" customFormat="false" ht="15" hidden="false" customHeight="true" outlineLevel="0" collapsed="false">
      <c r="A1592" s="66" t="s">
        <v>456</v>
      </c>
      <c r="B1592" s="66" t="s">
        <v>348</v>
      </c>
      <c r="C1592" s="66" t="n">
        <v>1</v>
      </c>
      <c r="D1592" s="67" t="str">
        <f aca="false">IFERROR(INDEX(المكونات!$B$2:$B$500,MATCH($B1592,المكونات!$A$2:$A$500,0)),"")</f>
        <v>قطعة</v>
      </c>
      <c r="E1592" s="68" t="n">
        <f aca="false">IFERROR(INDEX(المكونات!$C$2:$C$500,MATCH($B1592,المكونات!$A$2:$A$500,0)),"")</f>
        <v>5.5777</v>
      </c>
      <c r="F1592" s="69" t="n">
        <f aca="false">IFERROR($C1592*$E1592,"")</f>
        <v>5.5777</v>
      </c>
    </row>
    <row r="1593" customFormat="false" ht="15" hidden="false" customHeight="true" outlineLevel="0" collapsed="false">
      <c r="A1593" s="66" t="s">
        <v>411</v>
      </c>
      <c r="B1593" s="66" t="s">
        <v>348</v>
      </c>
      <c r="C1593" s="66" t="n">
        <v>1</v>
      </c>
      <c r="D1593" s="67" t="str">
        <f aca="false">IFERROR(INDEX(المكونات!$B$2:$B$500,MATCH($B1593,المكونات!$A$2:$A$500,0)),"")</f>
        <v>قطعة</v>
      </c>
      <c r="E1593" s="68" t="n">
        <f aca="false">IFERROR(INDEX(المكونات!$C$2:$C$500,MATCH($B1593,المكونات!$A$2:$A$500,0)),"")</f>
        <v>5.5777</v>
      </c>
      <c r="F1593" s="69" t="n">
        <f aca="false">IFERROR($C1593*$E1593,"")</f>
        <v>5.5777</v>
      </c>
    </row>
    <row r="1594" customFormat="false" ht="15" hidden="false" customHeight="true" outlineLevel="0" collapsed="false">
      <c r="A1594" s="66" t="s">
        <v>412</v>
      </c>
      <c r="B1594" s="66" t="s">
        <v>348</v>
      </c>
      <c r="C1594" s="66" t="n">
        <v>1</v>
      </c>
      <c r="D1594" s="67" t="str">
        <f aca="false">IFERROR(INDEX(المكونات!$B$2:$B$500,MATCH($B1594,المكونات!$A$2:$A$500,0)),"")</f>
        <v>قطعة</v>
      </c>
      <c r="E1594" s="68" t="n">
        <f aca="false">IFERROR(INDEX(المكونات!$C$2:$C$500,MATCH($B1594,المكونات!$A$2:$A$500,0)),"")</f>
        <v>5.5777</v>
      </c>
      <c r="F1594" s="69" t="n">
        <f aca="false">IFERROR($C1594*$E1594,"")</f>
        <v>5.5777</v>
      </c>
    </row>
    <row r="1595" customFormat="false" ht="15" hidden="false" customHeight="true" outlineLevel="0" collapsed="false">
      <c r="A1595" s="66" t="s">
        <v>419</v>
      </c>
      <c r="B1595" s="66" t="s">
        <v>348</v>
      </c>
      <c r="C1595" s="66" t="n">
        <v>1</v>
      </c>
      <c r="D1595" s="67" t="str">
        <f aca="false">IFERROR(INDEX(المكونات!$B$2:$B$500,MATCH($B1595,المكونات!$A$2:$A$500,0)),"")</f>
        <v>قطعة</v>
      </c>
      <c r="E1595" s="68" t="n">
        <f aca="false">IFERROR(INDEX(المكونات!$C$2:$C$500,MATCH($B1595,المكونات!$A$2:$A$500,0)),"")</f>
        <v>5.5777</v>
      </c>
      <c r="F1595" s="69" t="n">
        <f aca="false">IFERROR($C1595*$E1595,"")</f>
        <v>5.5777</v>
      </c>
    </row>
    <row r="1596" customFormat="false" ht="15" hidden="false" customHeight="true" outlineLevel="0" collapsed="false">
      <c r="A1596" s="66" t="s">
        <v>420</v>
      </c>
      <c r="B1596" s="66" t="s">
        <v>348</v>
      </c>
      <c r="C1596" s="66" t="n">
        <v>1</v>
      </c>
      <c r="D1596" s="67" t="str">
        <f aca="false">IFERROR(INDEX(المكونات!$B$2:$B$500,MATCH($B1596,المكونات!$A$2:$A$500,0)),"")</f>
        <v>قطعة</v>
      </c>
      <c r="E1596" s="68" t="n">
        <f aca="false">IFERROR(INDEX(المكونات!$C$2:$C$500,MATCH($B1596,المكونات!$A$2:$A$500,0)),"")</f>
        <v>5.5777</v>
      </c>
      <c r="F1596" s="69" t="n">
        <f aca="false">IFERROR($C1596*$E1596,"")</f>
        <v>5.5777</v>
      </c>
    </row>
    <row r="1597" customFormat="false" ht="15" hidden="false" customHeight="true" outlineLevel="0" collapsed="false">
      <c r="A1597" s="66" t="s">
        <v>422</v>
      </c>
      <c r="B1597" s="66" t="s">
        <v>348</v>
      </c>
      <c r="C1597" s="66" t="n">
        <v>1</v>
      </c>
      <c r="D1597" s="67" t="str">
        <f aca="false">IFERROR(INDEX(المكونات!$B$2:$B$500,MATCH($B1597,المكونات!$A$2:$A$500,0)),"")</f>
        <v>قطعة</v>
      </c>
      <c r="E1597" s="68" t="n">
        <f aca="false">IFERROR(INDEX(المكونات!$C$2:$C$500,MATCH($B1597,المكونات!$A$2:$A$500,0)),"")</f>
        <v>5.5777</v>
      </c>
      <c r="F1597" s="69" t="n">
        <f aca="false">IFERROR($C1597*$E1597,"")</f>
        <v>5.5777</v>
      </c>
    </row>
    <row r="1598" customFormat="false" ht="15" hidden="false" customHeight="true" outlineLevel="0" collapsed="false">
      <c r="A1598" s="66" t="s">
        <v>421</v>
      </c>
      <c r="B1598" s="66" t="s">
        <v>348</v>
      </c>
      <c r="C1598" s="66" t="n">
        <v>1</v>
      </c>
      <c r="D1598" s="67" t="str">
        <f aca="false">IFERROR(INDEX(المكونات!$B$2:$B$500,MATCH($B1598,المكونات!$A$2:$A$500,0)),"")</f>
        <v>قطعة</v>
      </c>
      <c r="E1598" s="68" t="n">
        <f aca="false">IFERROR(INDEX(المكونات!$C$2:$C$500,MATCH($B1598,المكونات!$A$2:$A$500,0)),"")</f>
        <v>5.5777</v>
      </c>
      <c r="F1598" s="69" t="n">
        <f aca="false">IFERROR($C1598*$E1598,"")</f>
        <v>5.5777</v>
      </c>
    </row>
    <row r="1599" customFormat="false" ht="15" hidden="false" customHeight="true" outlineLevel="0" collapsed="false">
      <c r="A1599" s="66" t="s">
        <v>405</v>
      </c>
      <c r="B1599" s="66" t="s">
        <v>348</v>
      </c>
      <c r="C1599" s="66" t="n">
        <v>1</v>
      </c>
      <c r="D1599" s="67" t="str">
        <f aca="false">IFERROR(INDEX(المكونات!$B$2:$B$500,MATCH($B1599,المكونات!$A$2:$A$500,0)),"")</f>
        <v>قطعة</v>
      </c>
      <c r="E1599" s="68" t="n">
        <f aca="false">IFERROR(INDEX(المكونات!$C$2:$C$500,MATCH($B1599,المكونات!$A$2:$A$500,0)),"")</f>
        <v>5.5777</v>
      </c>
      <c r="F1599" s="69" t="n">
        <f aca="false">IFERROR($C1599*$E1599,"")</f>
        <v>5.5777</v>
      </c>
    </row>
    <row r="1600" customFormat="false" ht="15" hidden="false" customHeight="true" outlineLevel="0" collapsed="false">
      <c r="A1600" s="66" t="s">
        <v>407</v>
      </c>
      <c r="B1600" s="66" t="s">
        <v>348</v>
      </c>
      <c r="C1600" s="66" t="n">
        <v>1</v>
      </c>
      <c r="D1600" s="67" t="str">
        <f aca="false">IFERROR(INDEX(المكونات!$B$2:$B$500,MATCH($B1600,المكونات!$A$2:$A$500,0)),"")</f>
        <v>قطعة</v>
      </c>
      <c r="E1600" s="68" t="n">
        <f aca="false">IFERROR(INDEX(المكونات!$C$2:$C$500,MATCH($B1600,المكونات!$A$2:$A$500,0)),"")</f>
        <v>5.5777</v>
      </c>
      <c r="F1600" s="69" t="n">
        <f aca="false">IFERROR($C1600*$E1600,"")</f>
        <v>5.5777</v>
      </c>
    </row>
    <row r="1601" customFormat="false" ht="15" hidden="false" customHeight="true" outlineLevel="0" collapsed="false">
      <c r="A1601" s="66" t="s">
        <v>464</v>
      </c>
      <c r="B1601" s="66" t="s">
        <v>348</v>
      </c>
      <c r="C1601" s="66" t="n">
        <v>1</v>
      </c>
      <c r="D1601" s="67" t="str">
        <f aca="false">IFERROR(INDEX(المكونات!$B$2:$B$500,MATCH($B1601,المكونات!$A$2:$A$500,0)),"")</f>
        <v>قطعة</v>
      </c>
      <c r="E1601" s="68" t="n">
        <f aca="false">IFERROR(INDEX(المكونات!$C$2:$C$500,MATCH($B1601,المكونات!$A$2:$A$500,0)),"")</f>
        <v>5.5777</v>
      </c>
      <c r="F1601" s="69" t="n">
        <f aca="false">IFERROR($C1601*$E1601,"")</f>
        <v>5.5777</v>
      </c>
    </row>
    <row r="1602" customFormat="false" ht="15" hidden="false" customHeight="true" outlineLevel="0" collapsed="false">
      <c r="A1602" s="66" t="s">
        <v>388</v>
      </c>
      <c r="B1602" s="66" t="s">
        <v>348</v>
      </c>
      <c r="C1602" s="66" t="n">
        <v>1</v>
      </c>
      <c r="D1602" s="67" t="str">
        <f aca="false">IFERROR(INDEX(المكونات!$B$2:$B$500,MATCH($B1602,المكونات!$A$2:$A$500,0)),"")</f>
        <v>قطعة</v>
      </c>
      <c r="E1602" s="68" t="n">
        <f aca="false">IFERROR(INDEX(المكونات!$C$2:$C$500,MATCH($B1602,المكونات!$A$2:$A$500,0)),"")</f>
        <v>5.5777</v>
      </c>
      <c r="F1602" s="69" t="n">
        <f aca="false">IFERROR($C1602*$E1602,"")</f>
        <v>5.5777</v>
      </c>
    </row>
    <row r="1603" customFormat="false" ht="15" hidden="false" customHeight="true" outlineLevel="0" collapsed="false">
      <c r="A1603" s="66" t="s">
        <v>481</v>
      </c>
      <c r="B1603" s="66" t="s">
        <v>348</v>
      </c>
      <c r="C1603" s="66" t="n">
        <v>1</v>
      </c>
      <c r="D1603" s="67" t="str">
        <f aca="false">IFERROR(INDEX(المكونات!$B$2:$B$500,MATCH($B1603,المكونات!$A$2:$A$500,0)),"")</f>
        <v>قطعة</v>
      </c>
      <c r="E1603" s="68" t="n">
        <f aca="false">IFERROR(INDEX(المكونات!$C$2:$C$500,MATCH($B1603,المكونات!$A$2:$A$500,0)),"")</f>
        <v>5.5777</v>
      </c>
      <c r="F1603" s="69" t="n">
        <f aca="false">IFERROR($C1603*$E1603,"")</f>
        <v>5.5777</v>
      </c>
    </row>
    <row r="1604" customFormat="false" ht="15" hidden="false" customHeight="true" outlineLevel="0" collapsed="false">
      <c r="A1604" s="66" t="s">
        <v>394</v>
      </c>
      <c r="B1604" s="66" t="s">
        <v>348</v>
      </c>
      <c r="C1604" s="66" t="n">
        <v>1</v>
      </c>
      <c r="D1604" s="67" t="str">
        <f aca="false">IFERROR(INDEX(المكونات!$B$2:$B$500,MATCH($B1604,المكونات!$A$2:$A$500,0)),"")</f>
        <v>قطعة</v>
      </c>
      <c r="E1604" s="68" t="n">
        <f aca="false">IFERROR(INDEX(المكونات!$C$2:$C$500,MATCH($B1604,المكونات!$A$2:$A$500,0)),"")</f>
        <v>5.5777</v>
      </c>
      <c r="F1604" s="69" t="n">
        <f aca="false">IFERROR($C1604*$E1604,"")</f>
        <v>5.5777</v>
      </c>
    </row>
    <row r="1605" customFormat="false" ht="15" hidden="false" customHeight="true" outlineLevel="0" collapsed="false">
      <c r="A1605" s="66" t="s">
        <v>445</v>
      </c>
      <c r="B1605" s="66" t="s">
        <v>348</v>
      </c>
      <c r="C1605" s="66" t="n">
        <v>1</v>
      </c>
      <c r="D1605" s="67" t="str">
        <f aca="false">IFERROR(INDEX(المكونات!$B$2:$B$500,MATCH($B1605,المكونات!$A$2:$A$500,0)),"")</f>
        <v>قطعة</v>
      </c>
      <c r="E1605" s="68" t="n">
        <f aca="false">IFERROR(INDEX(المكونات!$C$2:$C$500,MATCH($B1605,المكونات!$A$2:$A$500,0)),"")</f>
        <v>5.5777</v>
      </c>
      <c r="F1605" s="69" t="n">
        <f aca="false">IFERROR($C1605*$E1605,"")</f>
        <v>5.5777</v>
      </c>
    </row>
    <row r="1606" customFormat="false" ht="15" hidden="false" customHeight="true" outlineLevel="0" collapsed="false">
      <c r="A1606" s="66" t="s">
        <v>392</v>
      </c>
      <c r="B1606" s="66" t="s">
        <v>348</v>
      </c>
      <c r="C1606" s="66" t="n">
        <v>1</v>
      </c>
      <c r="D1606" s="67" t="str">
        <f aca="false">IFERROR(INDEX(المكونات!$B$2:$B$500,MATCH($B1606,المكونات!$A$2:$A$500,0)),"")</f>
        <v>قطعة</v>
      </c>
      <c r="E1606" s="68" t="n">
        <f aca="false">IFERROR(INDEX(المكونات!$C$2:$C$500,MATCH($B1606,المكونات!$A$2:$A$500,0)),"")</f>
        <v>5.5777</v>
      </c>
      <c r="F1606" s="69" t="n">
        <f aca="false">IFERROR($C1606*$E1606,"")</f>
        <v>5.5777</v>
      </c>
    </row>
    <row r="1607" customFormat="false" ht="15" hidden="false" customHeight="true" outlineLevel="0" collapsed="false">
      <c r="A1607" s="66" t="s">
        <v>459</v>
      </c>
      <c r="B1607" s="66" t="s">
        <v>348</v>
      </c>
      <c r="C1607" s="66" t="n">
        <v>1</v>
      </c>
      <c r="D1607" s="67" t="str">
        <f aca="false">IFERROR(INDEX(المكونات!$B$2:$B$500,MATCH($B1607,المكونات!$A$2:$A$500,0)),"")</f>
        <v>قطعة</v>
      </c>
      <c r="E1607" s="68" t="n">
        <f aca="false">IFERROR(INDEX(المكونات!$C$2:$C$500,MATCH($B1607,المكونات!$A$2:$A$500,0)),"")</f>
        <v>5.5777</v>
      </c>
      <c r="F1607" s="69" t="n">
        <f aca="false">IFERROR($C1607*$E1607,"")</f>
        <v>5.5777</v>
      </c>
    </row>
    <row r="1608" customFormat="false" ht="15" hidden="false" customHeight="true" outlineLevel="0" collapsed="false">
      <c r="A1608" s="66" t="s">
        <v>397</v>
      </c>
      <c r="B1608" s="66" t="s">
        <v>348</v>
      </c>
      <c r="C1608" s="66" t="n">
        <v>1</v>
      </c>
      <c r="D1608" s="67" t="str">
        <f aca="false">IFERROR(INDEX(المكونات!$B$2:$B$500,MATCH($B1608,المكونات!$A$2:$A$500,0)),"")</f>
        <v>قطعة</v>
      </c>
      <c r="E1608" s="68" t="n">
        <f aca="false">IFERROR(INDEX(المكونات!$C$2:$C$500,MATCH($B1608,المكونات!$A$2:$A$500,0)),"")</f>
        <v>5.5777</v>
      </c>
      <c r="F1608" s="69" t="n">
        <f aca="false">IFERROR($C1608*$E1608,"")</f>
        <v>5.5777</v>
      </c>
    </row>
    <row r="1609" customFormat="false" ht="15" hidden="false" customHeight="true" outlineLevel="0" collapsed="false">
      <c r="A1609" s="66" t="s">
        <v>534</v>
      </c>
      <c r="B1609" s="66" t="s">
        <v>288</v>
      </c>
      <c r="C1609" s="66" t="n">
        <v>2</v>
      </c>
      <c r="D1609" s="67" t="str">
        <f aca="false">IFERROR(INDEX(المكونات!$B$2:$B$500,MATCH($B1609,المكونات!$A$2:$A$500,0)),"")</f>
        <v>قطعة</v>
      </c>
      <c r="E1609" s="68" t="n">
        <f aca="false">IFERROR(INDEX(المكونات!$C$2:$C$500,MATCH($B1609,المكونات!$A$2:$A$500,0)),"")</f>
        <v>7</v>
      </c>
      <c r="F1609" s="69" t="n">
        <f aca="false">IFERROR($C1609*$E1609,"")</f>
        <v>14</v>
      </c>
    </row>
    <row r="1610" customFormat="false" ht="15" hidden="false" customHeight="true" outlineLevel="0" collapsed="false">
      <c r="A1610" s="66" t="s">
        <v>535</v>
      </c>
      <c r="B1610" s="66" t="s">
        <v>288</v>
      </c>
      <c r="C1610" s="66" t="n">
        <v>3</v>
      </c>
      <c r="D1610" s="67" t="str">
        <f aca="false">IFERROR(INDEX(المكونات!$B$2:$B$500,MATCH($B1610,المكونات!$A$2:$A$500,0)),"")</f>
        <v>قطعة</v>
      </c>
      <c r="E1610" s="68" t="n">
        <f aca="false">IFERROR(INDEX(المكونات!$C$2:$C$500,MATCH($B1610,المكونات!$A$2:$A$500,0)),"")</f>
        <v>7</v>
      </c>
      <c r="F1610" s="69" t="n">
        <f aca="false">IFERROR($C1610*$E1610,"")</f>
        <v>21</v>
      </c>
    </row>
    <row r="1611" customFormat="false" ht="15" hidden="false" customHeight="true" outlineLevel="0" collapsed="false">
      <c r="A1611" s="66" t="s">
        <v>536</v>
      </c>
      <c r="B1611" s="66" t="s">
        <v>288</v>
      </c>
      <c r="C1611" s="66" t="n">
        <v>2</v>
      </c>
      <c r="D1611" s="67" t="str">
        <f aca="false">IFERROR(INDEX(المكونات!$B$2:$B$500,MATCH($B1611,المكونات!$A$2:$A$500,0)),"")</f>
        <v>قطعة</v>
      </c>
      <c r="E1611" s="68" t="n">
        <f aca="false">IFERROR(INDEX(المكونات!$C$2:$C$500,MATCH($B1611,المكونات!$A$2:$A$500,0)),"")</f>
        <v>7</v>
      </c>
      <c r="F1611" s="69" t="n">
        <f aca="false">IFERROR($C1611*$E1611,"")</f>
        <v>14</v>
      </c>
    </row>
    <row r="1612" customFormat="false" ht="15" hidden="false" customHeight="true" outlineLevel="0" collapsed="false">
      <c r="A1612" s="66" t="s">
        <v>537</v>
      </c>
      <c r="B1612" s="66" t="s">
        <v>176</v>
      </c>
      <c r="C1612" s="66" t="n">
        <v>1</v>
      </c>
      <c r="D1612" s="67" t="str">
        <f aca="false">IFERROR(INDEX(المكونات!$B$2:$B$500,MATCH($B1612,المكونات!$A$2:$A$500,0)),"")</f>
        <v>قطعة</v>
      </c>
      <c r="E1612" s="68" t="n">
        <f aca="false">IFERROR(INDEX(المكونات!$C$2:$C$500,MATCH($B1612,المكونات!$A$2:$A$500,0)),"")</f>
        <v>17.5</v>
      </c>
      <c r="F1612" s="69" t="n">
        <f aca="false">IFERROR($C1612*$E1612,"")</f>
        <v>17.5</v>
      </c>
    </row>
    <row r="1613" customFormat="false" ht="15" hidden="false" customHeight="true" outlineLevel="0" collapsed="false">
      <c r="A1613" s="66" t="s">
        <v>538</v>
      </c>
      <c r="B1613" s="66" t="s">
        <v>178</v>
      </c>
      <c r="C1613" s="66" t="n">
        <v>1</v>
      </c>
      <c r="D1613" s="67" t="str">
        <f aca="false">IFERROR(INDEX(المكونات!$B$2:$B$500,MATCH($B1613,المكونات!$A$2:$A$500,0)),"")</f>
        <v>قطعة</v>
      </c>
      <c r="E1613" s="68" t="n">
        <f aca="false">IFERROR(INDEX(المكونات!$C$2:$C$500,MATCH($B1613,المكونات!$A$2:$A$500,0)),"")</f>
        <v>25</v>
      </c>
      <c r="F1613" s="69" t="n">
        <f aca="false">IFERROR($C1613*$E1613,"")</f>
        <v>25</v>
      </c>
    </row>
    <row r="1614" customFormat="false" ht="15" hidden="false" customHeight="true" outlineLevel="0" collapsed="false">
      <c r="A1614" s="66" t="s">
        <v>539</v>
      </c>
      <c r="B1614" s="66" t="s">
        <v>172</v>
      </c>
      <c r="C1614" s="66" t="n">
        <v>1</v>
      </c>
      <c r="D1614" s="67" t="str">
        <f aca="false">IFERROR(INDEX(المكونات!$B$2:$B$500,MATCH($B1614,المكونات!$A$2:$A$500,0)),"")</f>
        <v>قطعة</v>
      </c>
      <c r="E1614" s="68" t="n">
        <f aca="false">IFERROR(INDEX(المكونات!$C$2:$C$500,MATCH($B1614,المكونات!$A$2:$A$500,0)),"")</f>
        <v>20</v>
      </c>
      <c r="F1614" s="69" t="n">
        <f aca="false">IFERROR($C1614*$E1614,"")</f>
        <v>20</v>
      </c>
    </row>
    <row r="1615" customFormat="false" ht="15" hidden="false" customHeight="true" outlineLevel="0" collapsed="false">
      <c r="A1615" s="66" t="s">
        <v>402</v>
      </c>
      <c r="B1615" s="66" t="s">
        <v>174</v>
      </c>
      <c r="C1615" s="66" t="n">
        <v>1</v>
      </c>
      <c r="D1615" s="67" t="str">
        <f aca="false">IFERROR(INDEX(المكونات!$B$2:$B$500,MATCH($B1615,المكونات!$A$2:$A$500,0)),"")</f>
        <v>قطعة</v>
      </c>
      <c r="E1615" s="68" t="n">
        <f aca="false">IFERROR(INDEX(المكونات!$C$2:$C$500,MATCH($B1615,المكونات!$A$2:$A$500,0)),"")</f>
        <v>27.1395</v>
      </c>
      <c r="F1615" s="69" t="n">
        <f aca="false">IFERROR($C1615*$E1615,"")</f>
        <v>27.1395</v>
      </c>
    </row>
    <row r="1616" customFormat="false" ht="15" hidden="false" customHeight="true" outlineLevel="0" collapsed="false">
      <c r="A1616" s="66" t="s">
        <v>540</v>
      </c>
      <c r="B1616" s="66" t="s">
        <v>148</v>
      </c>
      <c r="C1616" s="66" t="n">
        <v>1</v>
      </c>
      <c r="D1616" s="67" t="str">
        <f aca="false">IFERROR(INDEX(المكونات!$B$2:$B$500,MATCH($B1616,المكونات!$A$2:$A$500,0)),"")</f>
        <v>قطعة</v>
      </c>
      <c r="E1616" s="68" t="n">
        <f aca="false">IFERROR(INDEX(المكونات!$C$2:$C$500,MATCH($B1616,المكونات!$A$2:$A$500,0)),"")</f>
        <v>9</v>
      </c>
      <c r="F1616" s="69" t="n">
        <f aca="false">IFERROR($C1616*$E1616,"")</f>
        <v>9</v>
      </c>
    </row>
    <row r="1617" customFormat="false" ht="15" hidden="false" customHeight="true" outlineLevel="0" collapsed="false">
      <c r="A1617" s="66" t="s">
        <v>541</v>
      </c>
      <c r="B1617" s="66" t="s">
        <v>148</v>
      </c>
      <c r="C1617" s="66" t="n">
        <v>1</v>
      </c>
      <c r="D1617" s="67" t="str">
        <f aca="false">IFERROR(INDEX(المكونات!$B$2:$B$500,MATCH($B1617,المكونات!$A$2:$A$500,0)),"")</f>
        <v>قطعة</v>
      </c>
      <c r="E1617" s="68" t="n">
        <f aca="false">IFERROR(INDEX(المكونات!$C$2:$C$500,MATCH($B1617,المكونات!$A$2:$A$500,0)),"")</f>
        <v>9</v>
      </c>
      <c r="F1617" s="69" t="n">
        <f aca="false">IFERROR($C1617*$E1617,"")</f>
        <v>9</v>
      </c>
    </row>
    <row r="1618" customFormat="false" ht="15" hidden="false" customHeight="true" outlineLevel="0" collapsed="false">
      <c r="A1618" s="66" t="s">
        <v>542</v>
      </c>
      <c r="B1618" s="66" t="s">
        <v>148</v>
      </c>
      <c r="C1618" s="66" t="n">
        <v>1.5</v>
      </c>
      <c r="D1618" s="67" t="str">
        <f aca="false">IFERROR(INDEX(المكونات!$B$2:$B$500,MATCH($B1618,المكونات!$A$2:$A$500,0)),"")</f>
        <v>قطعة</v>
      </c>
      <c r="E1618" s="68" t="n">
        <f aca="false">IFERROR(INDEX(المكونات!$C$2:$C$500,MATCH($B1618,المكونات!$A$2:$A$500,0)),"")</f>
        <v>9</v>
      </c>
      <c r="F1618" s="69" t="n">
        <f aca="false">IFERROR($C1618*$E1618,"")</f>
        <v>13.5</v>
      </c>
    </row>
    <row r="1619" customFormat="false" ht="15" hidden="false" customHeight="true" outlineLevel="0" collapsed="false">
      <c r="A1619" s="66" t="s">
        <v>518</v>
      </c>
      <c r="B1619" s="66" t="s">
        <v>170</v>
      </c>
      <c r="C1619" s="66" t="n">
        <v>1</v>
      </c>
      <c r="D1619" s="67" t="str">
        <f aca="false">IFERROR(INDEX(المكونات!$B$2:$B$500,MATCH($B1619,المكونات!$A$2:$A$500,0)),"")</f>
        <v>قطعة</v>
      </c>
      <c r="E1619" s="68" t="n">
        <f aca="false">IFERROR(INDEX(المكونات!$C$2:$C$500,MATCH($B1619,المكونات!$A$2:$A$500,0)),"")</f>
        <v>23</v>
      </c>
      <c r="F1619" s="69" t="n">
        <f aca="false">IFERROR($C1619*$E1619,"")</f>
        <v>23</v>
      </c>
    </row>
    <row r="1620" customFormat="false" ht="15" hidden="false" customHeight="true" outlineLevel="0" collapsed="false">
      <c r="A1620" s="66" t="s">
        <v>519</v>
      </c>
      <c r="B1620" s="66" t="s">
        <v>170</v>
      </c>
      <c r="C1620" s="66" t="n">
        <v>2</v>
      </c>
      <c r="D1620" s="67" t="str">
        <f aca="false">IFERROR(INDEX(المكونات!$B$2:$B$500,MATCH($B1620,المكونات!$A$2:$A$500,0)),"")</f>
        <v>قطعة</v>
      </c>
      <c r="E1620" s="68" t="n">
        <f aca="false">IFERROR(INDEX(المكونات!$C$2:$C$500,MATCH($B1620,المكونات!$A$2:$A$500,0)),"")</f>
        <v>23</v>
      </c>
      <c r="F1620" s="69" t="n">
        <f aca="false">IFERROR($C1620*$E1620,"")</f>
        <v>46</v>
      </c>
    </row>
    <row r="1621" customFormat="false" ht="15" hidden="false" customHeight="true" outlineLevel="0" collapsed="false">
      <c r="A1621" s="66" t="s">
        <v>386</v>
      </c>
      <c r="B1621" s="66" t="s">
        <v>245</v>
      </c>
      <c r="C1621" s="66" t="n">
        <v>0.1</v>
      </c>
      <c r="D1621" s="67" t="str">
        <f aca="false">IFERROR(INDEX(المكونات!$B$2:$B$500,MATCH($B1621,المكونات!$A$2:$A$500,0)),"")</f>
        <v>كجم</v>
      </c>
      <c r="E1621" s="68" t="n">
        <f aca="false">IFERROR(INDEX(المكونات!$C$2:$C$500,MATCH($B1621,المكونات!$A$2:$A$500,0)),"")</f>
        <v>127.6582</v>
      </c>
      <c r="F1621" s="69" t="n">
        <f aca="false">IFERROR($C1621*$E1621,"")</f>
        <v>12.76582</v>
      </c>
    </row>
    <row r="1622" customFormat="false" ht="15" hidden="false" customHeight="true" outlineLevel="0" collapsed="false">
      <c r="A1622" s="66" t="s">
        <v>393</v>
      </c>
      <c r="B1622" s="66" t="s">
        <v>166</v>
      </c>
      <c r="C1622" s="66" t="n">
        <v>1</v>
      </c>
      <c r="D1622" s="67" t="str">
        <f aca="false">IFERROR(INDEX(المكونات!$B$2:$B$500,MATCH($B1622,المكونات!$A$2:$A$500,0)),"")</f>
        <v>قطعة</v>
      </c>
      <c r="E1622" s="68" t="n">
        <f aca="false">IFERROR(INDEX(المكونات!$C$2:$C$500,MATCH($B1622,المكونات!$A$2:$A$500,0)),"")</f>
        <v>25</v>
      </c>
      <c r="F1622" s="69" t="n">
        <f aca="false">IFERROR($C1622*$E1622,"")</f>
        <v>25</v>
      </c>
    </row>
    <row r="1623" customFormat="false" ht="15" hidden="false" customHeight="true" outlineLevel="0" collapsed="false">
      <c r="A1623" s="66" t="s">
        <v>543</v>
      </c>
      <c r="B1623" s="66" t="s">
        <v>168</v>
      </c>
      <c r="C1623" s="66" t="n">
        <v>1</v>
      </c>
      <c r="D1623" s="67" t="str">
        <f aca="false">IFERROR(INDEX(المكونات!$B$2:$B$500,MATCH($B1623,المكونات!$A$2:$A$500,0)),"")</f>
        <v>قطعة</v>
      </c>
      <c r="E1623" s="68" t="n">
        <f aca="false">IFERROR(INDEX(المكونات!$C$2:$C$500,MATCH($B1623,المكونات!$A$2:$A$500,0)),"")</f>
        <v>21</v>
      </c>
      <c r="F1623" s="69" t="n">
        <f aca="false">IFERROR($C1623*$E1623,"")</f>
        <v>21</v>
      </c>
    </row>
    <row r="1624" customFormat="false" ht="15" hidden="false" customHeight="true" outlineLevel="0" collapsed="false">
      <c r="A1624" s="66" t="s">
        <v>544</v>
      </c>
      <c r="B1624" s="66" t="s">
        <v>168</v>
      </c>
      <c r="C1624" s="66" t="n">
        <v>1</v>
      </c>
      <c r="D1624" s="67" t="str">
        <f aca="false">IFERROR(INDEX(المكونات!$B$2:$B$500,MATCH($B1624,المكونات!$A$2:$A$500,0)),"")</f>
        <v>قطعة</v>
      </c>
      <c r="E1624" s="68" t="n">
        <f aca="false">IFERROR(INDEX(المكونات!$C$2:$C$500,MATCH($B1624,المكونات!$A$2:$A$500,0)),"")</f>
        <v>21</v>
      </c>
      <c r="F1624" s="69" t="n">
        <f aca="false">IFERROR($C1624*$E1624,"")</f>
        <v>21</v>
      </c>
    </row>
    <row r="1625" customFormat="false" ht="15" hidden="false" customHeight="true" outlineLevel="0" collapsed="false">
      <c r="A1625" s="66" t="s">
        <v>545</v>
      </c>
      <c r="B1625" s="66" t="s">
        <v>152</v>
      </c>
      <c r="C1625" s="66" t="n">
        <v>1</v>
      </c>
      <c r="D1625" s="67" t="str">
        <f aca="false">IFERROR(INDEX(المكونات!$B$2:$B$500,MATCH($B1625,المكونات!$A$2:$A$500,0)),"")</f>
        <v>قطعة</v>
      </c>
      <c r="E1625" s="68" t="n">
        <f aca="false">IFERROR(INDEX(المكونات!$C$2:$C$500,MATCH($B1625,المكونات!$A$2:$A$500,0)),"")</f>
        <v>34</v>
      </c>
      <c r="F1625" s="69" t="n">
        <f aca="false">IFERROR($C1625*$E1625,"")</f>
        <v>34</v>
      </c>
    </row>
    <row r="1626" customFormat="false" ht="15" hidden="false" customHeight="true" outlineLevel="0" collapsed="false">
      <c r="A1626" s="66" t="s">
        <v>546</v>
      </c>
      <c r="B1626" s="66" t="s">
        <v>152</v>
      </c>
      <c r="C1626" s="66" t="n">
        <v>1</v>
      </c>
      <c r="D1626" s="67" t="str">
        <f aca="false">IFERROR(INDEX(المكونات!$B$2:$B$500,MATCH($B1626,المكونات!$A$2:$A$500,0)),"")</f>
        <v>قطعة</v>
      </c>
      <c r="E1626" s="68" t="n">
        <f aca="false">IFERROR(INDEX(المكونات!$C$2:$C$500,MATCH($B1626,المكونات!$A$2:$A$500,0)),"")</f>
        <v>34</v>
      </c>
      <c r="F1626" s="69" t="n">
        <f aca="false">IFERROR($C1626*$E1626,"")</f>
        <v>34</v>
      </c>
    </row>
    <row r="1627" customFormat="false" ht="15" hidden="false" customHeight="true" outlineLevel="0" collapsed="false">
      <c r="A1627" s="66" t="s">
        <v>437</v>
      </c>
      <c r="B1627" s="66" t="s">
        <v>154</v>
      </c>
      <c r="C1627" s="66" t="n">
        <v>1</v>
      </c>
      <c r="D1627" s="67" t="str">
        <f aca="false">IFERROR(INDEX(المكونات!$B$2:$B$500,MATCH($B1627,المكونات!$A$2:$A$500,0)),"")</f>
        <v>قطعة</v>
      </c>
      <c r="E1627" s="68" t="n">
        <f aca="false">IFERROR(INDEX(المكونات!$C$2:$C$500,MATCH($B1627,المكونات!$A$2:$A$500,0)),"")</f>
        <v>45</v>
      </c>
      <c r="F1627" s="69" t="n">
        <f aca="false">IFERROR($C1627*$E1627,"")</f>
        <v>45</v>
      </c>
    </row>
    <row r="1628" customFormat="false" ht="15" hidden="false" customHeight="true" outlineLevel="0" collapsed="false">
      <c r="A1628" s="66" t="s">
        <v>414</v>
      </c>
      <c r="B1628" s="66" t="s">
        <v>142</v>
      </c>
      <c r="C1628" s="66" t="n">
        <v>1</v>
      </c>
      <c r="D1628" s="67" t="str">
        <f aca="false">IFERROR(INDEX(المكونات!$B$2:$B$500,MATCH($B1628,المكونات!$A$2:$A$500,0)),"")</f>
        <v>قطعة</v>
      </c>
      <c r="E1628" s="68" t="n">
        <f aca="false">IFERROR(INDEX(المكونات!$C$2:$C$500,MATCH($B1628,المكونات!$A$2:$A$500,0)),"")</f>
        <v>35</v>
      </c>
      <c r="F1628" s="69" t="n">
        <f aca="false">IFERROR($C1628*$E1628,"")</f>
        <v>35</v>
      </c>
    </row>
    <row r="1629" customFormat="false" ht="15" hidden="false" customHeight="true" outlineLevel="0" collapsed="false">
      <c r="A1629" s="66" t="s">
        <v>415</v>
      </c>
      <c r="B1629" s="66" t="s">
        <v>142</v>
      </c>
      <c r="C1629" s="66" t="n">
        <v>1</v>
      </c>
      <c r="D1629" s="67" t="str">
        <f aca="false">IFERROR(INDEX(المكونات!$B$2:$B$500,MATCH($B1629,المكونات!$A$2:$A$500,0)),"")</f>
        <v>قطعة</v>
      </c>
      <c r="E1629" s="68" t="n">
        <f aca="false">IFERROR(INDEX(المكونات!$C$2:$C$500,MATCH($B1629,المكونات!$A$2:$A$500,0)),"")</f>
        <v>35</v>
      </c>
      <c r="F1629" s="69" t="n">
        <f aca="false">IFERROR($C1629*$E1629,"")</f>
        <v>35</v>
      </c>
    </row>
    <row r="1630" customFormat="false" ht="15" hidden="false" customHeight="true" outlineLevel="0" collapsed="false">
      <c r="A1630" s="66" t="s">
        <v>400</v>
      </c>
      <c r="B1630" s="66" t="s">
        <v>144</v>
      </c>
      <c r="C1630" s="66" t="n">
        <v>1</v>
      </c>
      <c r="D1630" s="67" t="str">
        <f aca="false">IFERROR(INDEX(المكونات!$B$2:$B$500,MATCH($B1630,المكونات!$A$2:$A$500,0)),"")</f>
        <v>قطعة</v>
      </c>
      <c r="E1630" s="68" t="n">
        <f aca="false">IFERROR(INDEX(المكونات!$C$2:$C$500,MATCH($B1630,المكونات!$A$2:$A$500,0)),"")</f>
        <v>46.6667</v>
      </c>
      <c r="F1630" s="69" t="n">
        <f aca="false">IFERROR($C1630*$E1630,"")</f>
        <v>46.6667</v>
      </c>
    </row>
    <row r="1631" customFormat="false" ht="15" hidden="false" customHeight="true" outlineLevel="0" collapsed="false">
      <c r="A1631" s="66" t="s">
        <v>413</v>
      </c>
      <c r="B1631" s="66" t="s">
        <v>156</v>
      </c>
      <c r="C1631" s="66" t="n">
        <v>1</v>
      </c>
      <c r="D1631" s="67" t="str">
        <f aca="false">IFERROR(INDEX(المكونات!$B$2:$B$500,MATCH($B1631,المكونات!$A$2:$A$500,0)),"")</f>
        <v>قطعة</v>
      </c>
      <c r="E1631" s="68" t="n">
        <f aca="false">IFERROR(INDEX(المكونات!$C$2:$C$500,MATCH($B1631,المكونات!$A$2:$A$500,0)),"")</f>
        <v>26.9708</v>
      </c>
      <c r="F1631" s="69" t="n">
        <f aca="false">IFERROR($C1631*$E1631,"")</f>
        <v>26.9708</v>
      </c>
    </row>
    <row r="1632" customFormat="false" ht="15" hidden="false" customHeight="true" outlineLevel="0" collapsed="false">
      <c r="A1632" s="66" t="s">
        <v>532</v>
      </c>
      <c r="B1632" s="66" t="s">
        <v>280</v>
      </c>
      <c r="C1632" s="66" t="n">
        <v>1</v>
      </c>
      <c r="D1632" s="67" t="str">
        <f aca="false">IFERROR(INDEX(المكونات!$B$2:$B$500,MATCH($B1632,المكونات!$A$2:$A$500,0)),"")</f>
        <v>قطعة</v>
      </c>
      <c r="E1632" s="68" t="n">
        <f aca="false">IFERROR(INDEX(المكونات!$C$2:$C$500,MATCH($B1632,المكونات!$A$2:$A$500,0)),"")</f>
        <v>42.03</v>
      </c>
      <c r="F1632" s="69" t="n">
        <f aca="false">IFERROR($C1632*$E1632,"")</f>
        <v>42.03</v>
      </c>
    </row>
    <row r="1633" customFormat="false" ht="15" hidden="false" customHeight="true" outlineLevel="0" collapsed="false">
      <c r="A1633" s="66" t="s">
        <v>496</v>
      </c>
      <c r="B1633" s="66" t="s">
        <v>150</v>
      </c>
      <c r="C1633" s="66" t="n">
        <v>1</v>
      </c>
      <c r="D1633" s="67" t="str">
        <f aca="false">IFERROR(INDEX(المكونات!$B$2:$B$500,MATCH($B1633,المكونات!$A$2:$A$500,0)),"")</f>
        <v>قطعة</v>
      </c>
      <c r="E1633" s="68" t="n">
        <f aca="false">IFERROR(INDEX(المكونات!$C$2:$C$500,MATCH($B1633,المكونات!$A$2:$A$500,0)),"")</f>
        <v>95</v>
      </c>
      <c r="F1633" s="69" t="n">
        <f aca="false">IFERROR($C1633*$E1633,"")</f>
        <v>95</v>
      </c>
    </row>
    <row r="1634" customFormat="false" ht="15" hidden="false" customHeight="true" outlineLevel="0" collapsed="false">
      <c r="A1634" s="66" t="s">
        <v>433</v>
      </c>
      <c r="B1634" s="66" t="s">
        <v>158</v>
      </c>
      <c r="C1634" s="66" t="n">
        <v>1</v>
      </c>
      <c r="D1634" s="67" t="str">
        <f aca="false">IFERROR(INDEX(المكونات!$B$2:$B$500,MATCH($B1634,المكونات!$A$2:$A$500,0)),"")</f>
        <v>قطعة</v>
      </c>
      <c r="E1634" s="68" t="n">
        <f aca="false">IFERROR(INDEX(المكونات!$C$2:$C$500,MATCH($B1634,المكونات!$A$2:$A$500,0)),"")</f>
        <v>33.982</v>
      </c>
      <c r="F1634" s="69" t="n">
        <f aca="false">IFERROR($C1634*$E1634,"")</f>
        <v>33.982</v>
      </c>
    </row>
    <row r="1635" customFormat="false" ht="15" hidden="false" customHeight="true" outlineLevel="0" collapsed="false">
      <c r="A1635" s="66" t="s">
        <v>416</v>
      </c>
      <c r="B1635" s="66" t="s">
        <v>160</v>
      </c>
      <c r="C1635" s="66" t="n">
        <v>1</v>
      </c>
      <c r="D1635" s="67" t="str">
        <f aca="false">IFERROR(INDEX(المكونات!$B$2:$B$500,MATCH($B1635,المكونات!$A$2:$A$500,0)),"")</f>
        <v>قطعة</v>
      </c>
      <c r="E1635" s="68" t="n">
        <f aca="false">IFERROR(INDEX(المكونات!$C$2:$C$500,MATCH($B1635,المكونات!$A$2:$A$500,0)),"")</f>
        <v>48.7817</v>
      </c>
      <c r="F1635" s="69" t="n">
        <f aca="false">IFERROR($C1635*$E1635,"")</f>
        <v>48.7817</v>
      </c>
    </row>
    <row r="1636" customFormat="false" ht="15" hidden="false" customHeight="true" outlineLevel="0" collapsed="false">
      <c r="A1636" s="66" t="s">
        <v>417</v>
      </c>
      <c r="B1636" s="66" t="s">
        <v>160</v>
      </c>
      <c r="C1636" s="66" t="n">
        <v>1</v>
      </c>
      <c r="D1636" s="67" t="str">
        <f aca="false">IFERROR(INDEX(المكونات!$B$2:$B$500,MATCH($B1636,المكونات!$A$2:$A$500,0)),"")</f>
        <v>قطعة</v>
      </c>
      <c r="E1636" s="68" t="n">
        <f aca="false">IFERROR(INDEX(المكونات!$C$2:$C$500,MATCH($B1636,المكونات!$A$2:$A$500,0)),"")</f>
        <v>48.7817</v>
      </c>
      <c r="F1636" s="69" t="n">
        <f aca="false">IFERROR($C1636*$E1636,"")</f>
        <v>48.7817</v>
      </c>
    </row>
    <row r="1637" customFormat="false" ht="15" hidden="false" customHeight="true" outlineLevel="0" collapsed="false">
      <c r="A1637" s="66" t="s">
        <v>408</v>
      </c>
      <c r="B1637" s="66" t="s">
        <v>162</v>
      </c>
      <c r="C1637" s="66" t="n">
        <v>1</v>
      </c>
      <c r="D1637" s="67" t="str">
        <f aca="false">IFERROR(INDEX(المكونات!$B$2:$B$500,MATCH($B1637,المكونات!$A$2:$A$500,0)),"")</f>
        <v>قطعة</v>
      </c>
      <c r="E1637" s="68" t="n">
        <f aca="false">IFERROR(INDEX(المكونات!$C$2:$C$500,MATCH($B1637,المكونات!$A$2:$A$500,0)),"")</f>
        <v>30</v>
      </c>
      <c r="F1637" s="69" t="n">
        <f aca="false">IFERROR($C1637*$E1637,"")</f>
        <v>30</v>
      </c>
    </row>
    <row r="1638" customFormat="false" ht="15" hidden="false" customHeight="true" outlineLevel="0" collapsed="false">
      <c r="A1638" s="66" t="s">
        <v>409</v>
      </c>
      <c r="B1638" s="66" t="s">
        <v>162</v>
      </c>
      <c r="C1638" s="66" t="n">
        <v>1</v>
      </c>
      <c r="D1638" s="67" t="str">
        <f aca="false">IFERROR(INDEX(المكونات!$B$2:$B$500,MATCH($B1638,المكونات!$A$2:$A$500,0)),"")</f>
        <v>قطعة</v>
      </c>
      <c r="E1638" s="68" t="n">
        <f aca="false">IFERROR(INDEX(المكونات!$C$2:$C$500,MATCH($B1638,المكونات!$A$2:$A$500,0)),"")</f>
        <v>30</v>
      </c>
      <c r="F1638" s="69" t="n">
        <f aca="false">IFERROR($C1638*$E1638,"")</f>
        <v>30</v>
      </c>
    </row>
    <row r="1639" customFormat="false" ht="15" hidden="false" customHeight="true" outlineLevel="0" collapsed="false">
      <c r="A1639" s="66" t="s">
        <v>385</v>
      </c>
      <c r="B1639" s="66" t="s">
        <v>164</v>
      </c>
      <c r="C1639" s="66" t="n">
        <v>1</v>
      </c>
      <c r="D1639" s="67" t="str">
        <f aca="false">IFERROR(INDEX(المكونات!$B$2:$B$500,MATCH($B1639,المكونات!$A$2:$A$500,0)),"")</f>
        <v>قطعة</v>
      </c>
      <c r="E1639" s="68" t="n">
        <f aca="false">IFERROR(INDEX(المكونات!$C$2:$C$500,MATCH($B1639,المكونات!$A$2:$A$500,0)),"")</f>
        <v>29</v>
      </c>
      <c r="F1639" s="69" t="n">
        <f aca="false">IFERROR($C1639*$E1639,"")</f>
        <v>29</v>
      </c>
    </row>
    <row r="1640" customFormat="false" ht="15" hidden="false" customHeight="true" outlineLevel="0" collapsed="false">
      <c r="A1640" s="66" t="s">
        <v>381</v>
      </c>
      <c r="B1640" s="66" t="s">
        <v>307</v>
      </c>
      <c r="C1640" s="66" t="n">
        <v>0.06</v>
      </c>
      <c r="D1640" s="67" t="str">
        <f aca="false">IFERROR(INDEX(المكونات!$B$2:$B$500,MATCH($B1640,المكونات!$A$2:$A$500,0)),"")</f>
        <v>كجم</v>
      </c>
      <c r="E1640" s="68" t="n">
        <f aca="false">IFERROR(INDEX(المكونات!$C$2:$C$500,MATCH($B1640,المكونات!$A$2:$A$500,0)),"")</f>
        <v>151.2027</v>
      </c>
      <c r="F1640" s="69" t="n">
        <f aca="false">IFERROR($C1640*$E1640,"")</f>
        <v>9.072162</v>
      </c>
    </row>
    <row r="1641" customFormat="false" ht="15" hidden="false" customHeight="true" outlineLevel="0" collapsed="false">
      <c r="A1641" s="66" t="s">
        <v>382</v>
      </c>
      <c r="B1641" s="66" t="s">
        <v>307</v>
      </c>
      <c r="C1641" s="66" t="n">
        <v>0.09</v>
      </c>
      <c r="D1641" s="67" t="str">
        <f aca="false">IFERROR(INDEX(المكونات!$B$2:$B$500,MATCH($B1641,المكونات!$A$2:$A$500,0)),"")</f>
        <v>كجم</v>
      </c>
      <c r="E1641" s="68" t="n">
        <f aca="false">IFERROR(INDEX(المكونات!$C$2:$C$500,MATCH($B1641,المكونات!$A$2:$A$500,0)),"")</f>
        <v>151.2027</v>
      </c>
      <c r="F1641" s="69" t="n">
        <f aca="false">IFERROR($C1641*$E1641,"")</f>
        <v>13.608243</v>
      </c>
    </row>
    <row r="1642" customFormat="false" ht="15" hidden="false" customHeight="true" outlineLevel="0" collapsed="false">
      <c r="A1642" s="66" t="s">
        <v>383</v>
      </c>
      <c r="B1642" s="66" t="s">
        <v>307</v>
      </c>
      <c r="C1642" s="66" t="n">
        <v>0.06</v>
      </c>
      <c r="D1642" s="67" t="str">
        <f aca="false">IFERROR(INDEX(المكونات!$B$2:$B$500,MATCH($B1642,المكونات!$A$2:$A$500,0)),"")</f>
        <v>كجم</v>
      </c>
      <c r="E1642" s="68" t="n">
        <f aca="false">IFERROR(INDEX(المكونات!$C$2:$C$500,MATCH($B1642,المكونات!$A$2:$A$500,0)),"")</f>
        <v>151.2027</v>
      </c>
      <c r="F1642" s="69" t="n">
        <f aca="false">IFERROR($C1642*$E1642,"")</f>
        <v>9.072162</v>
      </c>
    </row>
    <row r="1643" customFormat="false" ht="15" hidden="false" customHeight="true" outlineLevel="0" collapsed="false">
      <c r="A1643" s="66" t="s">
        <v>384</v>
      </c>
      <c r="B1643" s="66" t="s">
        <v>307</v>
      </c>
      <c r="C1643" s="66" t="n">
        <v>0.09</v>
      </c>
      <c r="D1643" s="67" t="str">
        <f aca="false">IFERROR(INDEX(المكونات!$B$2:$B$500,MATCH($B1643,المكونات!$A$2:$A$500,0)),"")</f>
        <v>كجم</v>
      </c>
      <c r="E1643" s="68" t="n">
        <f aca="false">IFERROR(INDEX(المكونات!$C$2:$C$500,MATCH($B1643,المكونات!$A$2:$A$500,0)),"")</f>
        <v>151.2027</v>
      </c>
      <c r="F1643" s="69" t="n">
        <f aca="false">IFERROR($C1643*$E1643,"")</f>
        <v>13.608243</v>
      </c>
    </row>
    <row r="1644" customFormat="false" ht="15" hidden="false" customHeight="true" outlineLevel="0" collapsed="false">
      <c r="A1644" s="66" t="s">
        <v>547</v>
      </c>
      <c r="B1644" s="66" t="s">
        <v>172</v>
      </c>
      <c r="C1644" s="66" t="n">
        <v>1</v>
      </c>
      <c r="D1644" s="67" t="str">
        <f aca="false">IFERROR(INDEX(المكونات!$B$2:$B$500,MATCH($B1644,المكونات!$A$2:$A$500,0)),"")</f>
        <v>قطعة</v>
      </c>
      <c r="E1644" s="68" t="n">
        <f aca="false">IFERROR(INDEX(المكونات!$C$2:$C$500,MATCH($B1644,المكونات!$A$2:$A$500,0)),"")</f>
        <v>20</v>
      </c>
      <c r="F1644" s="69" t="n">
        <f aca="false">IFERROR($C1644*$E1644,"")</f>
        <v>20</v>
      </c>
    </row>
    <row r="1645" customFormat="false" ht="15" hidden="false" customHeight="true" outlineLevel="0" collapsed="false">
      <c r="A1645" s="66" t="s">
        <v>403</v>
      </c>
      <c r="B1645" s="66" t="s">
        <v>174</v>
      </c>
      <c r="C1645" s="66" t="n">
        <v>1</v>
      </c>
      <c r="D1645" s="67" t="str">
        <f aca="false">IFERROR(INDEX(المكونات!$B$2:$B$500,MATCH($B1645,المكونات!$A$2:$A$500,0)),"")</f>
        <v>قطعة</v>
      </c>
      <c r="E1645" s="68" t="n">
        <f aca="false">IFERROR(INDEX(المكونات!$C$2:$C$500,MATCH($B1645,المكونات!$A$2:$A$500,0)),"")</f>
        <v>27.1395</v>
      </c>
      <c r="F1645" s="69" t="n">
        <f aca="false">IFERROR($C1645*$E1645,"")</f>
        <v>27.1395</v>
      </c>
    </row>
    <row r="1646" customFormat="false" ht="15" hidden="false" customHeight="true" outlineLevel="0" collapsed="false">
      <c r="A1646" s="66" t="s">
        <v>548</v>
      </c>
      <c r="B1646" s="66" t="s">
        <v>172</v>
      </c>
      <c r="C1646" s="66" t="n">
        <v>0.5</v>
      </c>
      <c r="D1646" s="67" t="str">
        <f aca="false">IFERROR(INDEX(المكونات!$B$2:$B$500,MATCH($B1646,المكونات!$A$2:$A$500,0)),"")</f>
        <v>قطعة</v>
      </c>
      <c r="E1646" s="68" t="n">
        <f aca="false">IFERROR(INDEX(المكونات!$C$2:$C$500,MATCH($B1646,المكونات!$A$2:$A$500,0)),"")</f>
        <v>20</v>
      </c>
      <c r="F1646" s="69" t="n">
        <f aca="false">IFERROR($C1646*$E1646,"")</f>
        <v>10</v>
      </c>
    </row>
    <row r="1647" customFormat="false" ht="15" hidden="false" customHeight="true" outlineLevel="0" collapsed="false">
      <c r="A1647" s="66" t="s">
        <v>404</v>
      </c>
      <c r="B1647" s="66" t="s">
        <v>174</v>
      </c>
      <c r="C1647" s="66" t="n">
        <v>0.75</v>
      </c>
      <c r="D1647" s="67" t="str">
        <f aca="false">IFERROR(INDEX(المكونات!$B$2:$B$500,MATCH($B1647,المكونات!$A$2:$A$500,0)),"")</f>
        <v>قطعة</v>
      </c>
      <c r="E1647" s="68" t="n">
        <f aca="false">IFERROR(INDEX(المكونات!$C$2:$C$500,MATCH($B1647,المكونات!$A$2:$A$500,0)),"")</f>
        <v>27.1395</v>
      </c>
      <c r="F1647" s="69" t="n">
        <f aca="false">IFERROR($C1647*$E1647,"")</f>
        <v>20.354625</v>
      </c>
    </row>
    <row r="1648" customFormat="false" ht="15" hidden="false" customHeight="true" outlineLevel="0" collapsed="false">
      <c r="A1648" s="66" t="s">
        <v>549</v>
      </c>
      <c r="B1648" s="66" t="s">
        <v>256</v>
      </c>
      <c r="C1648" s="66" t="n">
        <v>0.1</v>
      </c>
      <c r="D1648" s="67" t="str">
        <f aca="false">IFERROR(INDEX(المكونات!$B$2:$B$500,MATCH($B1648,المكونات!$A$2:$A$500,0)),"")</f>
        <v>كجم</v>
      </c>
      <c r="E1648" s="68" t="n">
        <f aca="false">IFERROR(INDEX(المكونات!$C$2:$C$500,MATCH($B1648,المكونات!$A$2:$A$500,0)),"")</f>
        <v>105</v>
      </c>
      <c r="F1648" s="69" t="n">
        <f aca="false">IFERROR($C1648*$E1648,"")</f>
        <v>10.5</v>
      </c>
    </row>
    <row r="1649" customFormat="false" ht="15" hidden="false" customHeight="true" outlineLevel="0" collapsed="false">
      <c r="A1649" s="66" t="s">
        <v>550</v>
      </c>
      <c r="B1649" s="66" t="s">
        <v>256</v>
      </c>
      <c r="C1649" s="66" t="n">
        <v>0.15</v>
      </c>
      <c r="D1649" s="67" t="str">
        <f aca="false">IFERROR(INDEX(المكونات!$B$2:$B$500,MATCH($B1649,المكونات!$A$2:$A$500,0)),"")</f>
        <v>كجم</v>
      </c>
      <c r="E1649" s="68" t="n">
        <f aca="false">IFERROR(INDEX(المكونات!$C$2:$C$500,MATCH($B1649,المكونات!$A$2:$A$500,0)),"")</f>
        <v>105</v>
      </c>
      <c r="F1649" s="69" t="n">
        <f aca="false">IFERROR($C1649*$E1649,"")</f>
        <v>15.75</v>
      </c>
    </row>
    <row r="1650" customFormat="false" ht="15" hidden="false" customHeight="true" outlineLevel="0" collapsed="false">
      <c r="A1650" s="66" t="s">
        <v>429</v>
      </c>
      <c r="B1650" s="66" t="s">
        <v>258</v>
      </c>
      <c r="C1650" s="66" t="n">
        <v>0.1</v>
      </c>
      <c r="D1650" s="67" t="str">
        <f aca="false">IFERROR(INDEX(المكونات!$B$2:$B$500,MATCH($B1650,المكونات!$A$2:$A$500,0)),"")</f>
        <v>كجم</v>
      </c>
      <c r="E1650" s="68" t="n">
        <f aca="false">IFERROR(INDEX(المكونات!$C$2:$C$500,MATCH($B1650,المكونات!$A$2:$A$500,0)),"")</f>
        <v>140</v>
      </c>
      <c r="F1650" s="69" t="n">
        <f aca="false">IFERROR($C1650*$E1650,"")</f>
        <v>14</v>
      </c>
    </row>
    <row r="1651" customFormat="false" ht="15" hidden="false" customHeight="true" outlineLevel="0" collapsed="false">
      <c r="A1651" s="66" t="s">
        <v>430</v>
      </c>
      <c r="B1651" s="66" t="s">
        <v>258</v>
      </c>
      <c r="C1651" s="66" t="n">
        <v>0.15</v>
      </c>
      <c r="D1651" s="67" t="str">
        <f aca="false">IFERROR(INDEX(المكونات!$B$2:$B$500,MATCH($B1651,المكونات!$A$2:$A$500,0)),"")</f>
        <v>كجم</v>
      </c>
      <c r="E1651" s="68" t="n">
        <f aca="false">IFERROR(INDEX(المكونات!$C$2:$C$500,MATCH($B1651,المكونات!$A$2:$A$500,0)),"")</f>
        <v>140</v>
      </c>
      <c r="F1651" s="69" t="n">
        <f aca="false">IFERROR($C1651*$E1651,"")</f>
        <v>21</v>
      </c>
    </row>
    <row r="1652" customFormat="false" ht="15" hidden="false" customHeight="true" outlineLevel="0" collapsed="false">
      <c r="A1652" s="66" t="s">
        <v>457</v>
      </c>
      <c r="B1652" s="66" t="s">
        <v>252</v>
      </c>
      <c r="C1652" s="66" t="n">
        <v>0.1</v>
      </c>
      <c r="D1652" s="67" t="str">
        <f aca="false">IFERROR(INDEX(المكونات!$B$2:$B$500,MATCH($B1652,المكونات!$A$2:$A$500,0)),"")</f>
        <v>كجم</v>
      </c>
      <c r="E1652" s="68" t="n">
        <f aca="false">IFERROR(INDEX(المكونات!$C$2:$C$500,MATCH($B1652,المكونات!$A$2:$A$500,0)),"")</f>
        <v>70</v>
      </c>
      <c r="F1652" s="69" t="n">
        <f aca="false">IFERROR($C1652*$E1652,"")</f>
        <v>7</v>
      </c>
    </row>
    <row r="1653" customFormat="false" ht="15" hidden="false" customHeight="true" outlineLevel="0" collapsed="false">
      <c r="A1653" s="66" t="s">
        <v>458</v>
      </c>
      <c r="B1653" s="66" t="s">
        <v>252</v>
      </c>
      <c r="C1653" s="66" t="n">
        <v>0.15</v>
      </c>
      <c r="D1653" s="67" t="str">
        <f aca="false">IFERROR(INDEX(المكونات!$B$2:$B$500,MATCH($B1653,المكونات!$A$2:$A$500,0)),"")</f>
        <v>كجم</v>
      </c>
      <c r="E1653" s="68" t="n">
        <f aca="false">IFERROR(INDEX(المكونات!$C$2:$C$500,MATCH($B1653,المكونات!$A$2:$A$500,0)),"")</f>
        <v>70</v>
      </c>
      <c r="F1653" s="69" t="n">
        <f aca="false">IFERROR($C1653*$E1653,"")</f>
        <v>10.5</v>
      </c>
    </row>
    <row r="1654" customFormat="false" ht="15" hidden="false" customHeight="true" outlineLevel="0" collapsed="false">
      <c r="A1654" s="66" t="s">
        <v>553</v>
      </c>
      <c r="B1654" s="66" t="s">
        <v>264</v>
      </c>
      <c r="C1654" s="66" t="n">
        <v>1</v>
      </c>
      <c r="D1654" s="70" t="str">
        <f aca="false">IFERROR(INDEX(المكونات!$B$2:$B$500,MATCH($B1654,المكونات!$A$2:$A$500,0)),"")</f>
        <v>قطعة</v>
      </c>
      <c r="E1654" s="71" t="n">
        <f aca="false">IFERROR(INDEX(المكونات!$C$2:$C$500,MATCH($B1654,المكونات!$A$2:$A$500,0)),"")</f>
        <v>4</v>
      </c>
      <c r="F1654" s="13" t="n">
        <f aca="false">IFERROR($C1654*$E1654,"")</f>
        <v>4</v>
      </c>
    </row>
    <row r="1655" customFormat="false" ht="15" hidden="false" customHeight="true" outlineLevel="0" collapsed="false">
      <c r="A1655" s="66" t="s">
        <v>553</v>
      </c>
      <c r="B1655" s="66" t="s">
        <v>325</v>
      </c>
      <c r="C1655" s="66" t="n">
        <v>0.15</v>
      </c>
      <c r="D1655" s="70" t="str">
        <f aca="false">IFERROR(INDEX(المكونات!$B$2:$B$500,MATCH($B1655,المكونات!$A$2:$A$500,0)),"")</f>
        <v>كجم</v>
      </c>
      <c r="E1655" s="71" t="n">
        <f aca="false">IFERROR(INDEX(المكونات!$C$2:$C$500,MATCH($B1655,المكونات!$A$2:$A$500,0)),"")</f>
        <v>23.56668</v>
      </c>
      <c r="F1655" s="13" t="n">
        <f aca="false">IFERROR($C1655*$E1655,"")</f>
        <v>3.535002</v>
      </c>
    </row>
    <row r="1656" customFormat="false" ht="15" hidden="false" customHeight="true" outlineLevel="0" collapsed="false">
      <c r="A1656" s="66" t="s">
        <v>553</v>
      </c>
      <c r="B1656" s="66" t="s">
        <v>317</v>
      </c>
      <c r="C1656" s="66" t="n">
        <v>0.16</v>
      </c>
      <c r="D1656" s="70" t="str">
        <f aca="false">IFERROR(INDEX(المكونات!$B$2:$B$500,MATCH($B1656,المكونات!$A$2:$A$500,0)),"")</f>
        <v>كجم</v>
      </c>
      <c r="E1656" s="71" t="n">
        <f aca="false">IFERROR(INDEX(المكونات!$C$2:$C$500,MATCH($B1656,المكونات!$A$2:$A$500,0)),"")</f>
        <v>610</v>
      </c>
      <c r="F1656" s="13" t="n">
        <f aca="false">IFERROR($C1656*$E1656,"")</f>
        <v>97.6</v>
      </c>
    </row>
    <row r="1657" customFormat="false" ht="15" hidden="false" customHeight="true" outlineLevel="0" collapsed="false">
      <c r="A1657" s="66" t="s">
        <v>553</v>
      </c>
      <c r="B1657" s="66" t="s">
        <v>247</v>
      </c>
      <c r="C1657" s="66" t="n">
        <v>0.03</v>
      </c>
      <c r="D1657" s="70" t="str">
        <f aca="false">IFERROR(INDEX(المكونات!$B$2:$B$500,MATCH($B1657,المكونات!$A$2:$A$500,0)),"")</f>
        <v>كجم</v>
      </c>
      <c r="E1657" s="71" t="n">
        <f aca="false">IFERROR(INDEX(المكونات!$C$2:$C$500,MATCH($B1657,المكونات!$A$2:$A$500,0)),"")</f>
        <v>100</v>
      </c>
      <c r="F1657" s="13" t="n">
        <f aca="false">IFERROR($C1657*$E1657,"")</f>
        <v>3</v>
      </c>
    </row>
    <row r="1658" customFormat="false" ht="15" hidden="false" customHeight="true" outlineLevel="0" collapsed="false">
      <c r="A1658" s="66" t="s">
        <v>553</v>
      </c>
      <c r="B1658" s="66" t="s">
        <v>192</v>
      </c>
      <c r="C1658" s="66" t="n">
        <v>1</v>
      </c>
      <c r="D1658" s="70" t="str">
        <f aca="false">IFERROR(INDEX(المكونات!$B$2:$B$500,MATCH($B1658,المكونات!$A$2:$A$500,0)),"")</f>
        <v>قطعة (لفة استخدام)</v>
      </c>
      <c r="E1658" s="71" t="n">
        <f aca="false">IFERROR(INDEX(المكونات!$C$2:$C$500,MATCH($B1658,المكونات!$A$2:$A$500,0)),"")</f>
        <v>3.65</v>
      </c>
      <c r="F1658" s="13" t="n">
        <f aca="false">IFERROR($C1658*$E1658,"")</f>
        <v>3.65</v>
      </c>
    </row>
    <row r="1659" customFormat="false" ht="15" hidden="false" customHeight="true" outlineLevel="0" collapsed="false">
      <c r="A1659" s="66" t="s">
        <v>553</v>
      </c>
      <c r="B1659" s="66" t="s">
        <v>278</v>
      </c>
      <c r="C1659" s="66" t="n">
        <v>1</v>
      </c>
      <c r="D1659" s="70" t="str">
        <f aca="false">IFERROR(INDEX(المكونات!$B$2:$B$500,MATCH($B1659,المكونات!$A$2:$A$500,0)),"")</f>
        <v>قطعة</v>
      </c>
      <c r="E1659" s="71" t="n">
        <f aca="false">IFERROR(INDEX(المكونات!$C$2:$C$500,MATCH($B1659,المكونات!$A$2:$A$500,0)),"")</f>
        <v>3.1</v>
      </c>
      <c r="F1659" s="13" t="n">
        <f aca="false">IFERROR($C1659*$E1659,"")</f>
        <v>3.1</v>
      </c>
    </row>
    <row r="1660" customFormat="false" ht="15" hidden="false" customHeight="true" outlineLevel="0" collapsed="false">
      <c r="A1660" s="66" t="s">
        <v>553</v>
      </c>
      <c r="B1660" s="66" t="s">
        <v>243</v>
      </c>
      <c r="C1660" s="66" t="n">
        <v>1</v>
      </c>
      <c r="D1660" s="70" t="str">
        <f aca="false">IFERROR(INDEX(المكونات!$B$2:$B$500,MATCH($B1660,المكونات!$A$2:$A$500,0)),"")</f>
        <v>قطعة</v>
      </c>
      <c r="E1660" s="71" t="n">
        <f aca="false">IFERROR(INDEX(المكونات!$C$2:$C$500,MATCH($B1660,المكونات!$A$2:$A$500,0)),"")</f>
        <v>0.3</v>
      </c>
      <c r="F1660" s="13" t="n">
        <f aca="false">IFERROR($C1660*$E1660,"")</f>
        <v>0.3</v>
      </c>
    </row>
    <row r="1661" customFormat="false" ht="15" hidden="false" customHeight="true" outlineLevel="0" collapsed="false">
      <c r="A1661" s="66" t="s">
        <v>553</v>
      </c>
      <c r="B1661" s="66" t="s">
        <v>136</v>
      </c>
      <c r="C1661" s="66" t="n">
        <v>1</v>
      </c>
      <c r="D1661" s="70" t="str">
        <f aca="false">IFERROR(INDEX(المكونات!$B$2:$B$500,MATCH($B1661,المكونات!$A$2:$A$500,0)),"")</f>
        <v>قطعة (كيس)</v>
      </c>
      <c r="E1661" s="71" t="n">
        <f aca="false">IFERROR(INDEX(المكونات!$C$2:$C$500,MATCH($B1661,المكونات!$A$2:$A$500,0)),"")</f>
        <v>1.4</v>
      </c>
      <c r="F1661" s="13" t="n">
        <f aca="false">IFERROR($C1661*$E1661,"")</f>
        <v>1.4</v>
      </c>
    </row>
    <row r="1662" customFormat="false" ht="15" hidden="false" customHeight="true" outlineLevel="0" collapsed="false">
      <c r="A1662" s="66" t="s">
        <v>554</v>
      </c>
      <c r="B1662" s="66" t="s">
        <v>309</v>
      </c>
      <c r="C1662" s="66" t="n">
        <v>0.15</v>
      </c>
      <c r="D1662" s="70" t="str">
        <f aca="false">IFERROR(INDEX(المكونات!$B$2:$B$500,MATCH($B1662,المكونات!$A$2:$A$500,0)),"")</f>
        <v>كجم</v>
      </c>
      <c r="E1662" s="71" t="n">
        <f aca="false">IFERROR(INDEX(المكونات!$C$2:$C$500,MATCH($B1662,المكونات!$A$2:$A$500,0)),"")</f>
        <v>24</v>
      </c>
      <c r="F1662" s="13" t="n">
        <f aca="false">IFERROR($C1662*$E1662,"")</f>
        <v>3.6</v>
      </c>
    </row>
    <row r="1663" customFormat="false" ht="15" hidden="false" customHeight="true" outlineLevel="0" collapsed="false">
      <c r="A1663" s="66" t="s">
        <v>554</v>
      </c>
      <c r="B1663" s="66" t="s">
        <v>186</v>
      </c>
      <c r="C1663" s="66" t="n">
        <v>0.2</v>
      </c>
      <c r="D1663" s="70" t="str">
        <f aca="false">IFERROR(INDEX(المكونات!$B$2:$B$500,MATCH($B1663,المكونات!$A$2:$A$500,0)),"")</f>
        <v>كجم</v>
      </c>
      <c r="E1663" s="71" t="n">
        <f aca="false">IFERROR(INDEX(المكونات!$C$2:$C$500,MATCH($B1663,المكونات!$A$2:$A$500,0)),"")</f>
        <v>41</v>
      </c>
      <c r="F1663" s="13" t="n">
        <f aca="false">IFERROR($C1663*$E1663,"")</f>
        <v>8.2</v>
      </c>
    </row>
    <row r="1664" customFormat="false" ht="15" hidden="false" customHeight="true" outlineLevel="0" collapsed="false">
      <c r="A1664" s="66" t="s">
        <v>554</v>
      </c>
      <c r="B1664" s="66" t="s">
        <v>298</v>
      </c>
      <c r="C1664" s="66" t="n">
        <v>0.05</v>
      </c>
      <c r="D1664" s="70" t="str">
        <f aca="false">IFERROR(INDEX(المكونات!$B$2:$B$500,MATCH($B1664,المكونات!$A$2:$A$500,0)),"")</f>
        <v>لتر</v>
      </c>
      <c r="E1664" s="71" t="n">
        <f aca="false">IFERROR(INDEX(المكونات!$C$2:$C$500,MATCH($B1664,المكونات!$A$2:$A$500,0)),"")</f>
        <v>20.6667</v>
      </c>
      <c r="F1664" s="13" t="n">
        <f aca="false">IFERROR($C1664*$E1664,"")</f>
        <v>1.033335</v>
      </c>
    </row>
    <row r="1665" customFormat="false" ht="15" hidden="false" customHeight="true" outlineLevel="0" collapsed="false">
      <c r="A1665" s="66" t="s">
        <v>554</v>
      </c>
      <c r="B1665" s="66" t="s">
        <v>220</v>
      </c>
      <c r="C1665" s="66" t="n">
        <v>0.01</v>
      </c>
      <c r="D1665" s="70" t="str">
        <f aca="false">IFERROR(INDEX(المكونات!$B$2:$B$500,MATCH($B1665,المكونات!$A$2:$A$500,0)),"")</f>
        <v>كجم</v>
      </c>
      <c r="E1665" s="71" t="n">
        <f aca="false">IFERROR(INDEX(المكونات!$C$2:$C$500,MATCH($B1665,المكونات!$A$2:$A$500,0)),"")</f>
        <v>120</v>
      </c>
      <c r="F1665" s="13" t="n">
        <f aca="false">IFERROR($C1665*$E1665,"")</f>
        <v>1.2</v>
      </c>
    </row>
    <row r="1666" customFormat="false" ht="15" hidden="false" customHeight="true" outlineLevel="0" collapsed="false">
      <c r="A1666" s="66" t="s">
        <v>554</v>
      </c>
      <c r="B1666" s="66" t="s">
        <v>172</v>
      </c>
      <c r="C1666" s="66" t="n">
        <v>1</v>
      </c>
      <c r="D1666" s="70" t="str">
        <f aca="false">IFERROR(INDEX(المكونات!$B$2:$B$500,MATCH($B1666,المكونات!$A$2:$A$500,0)),"")</f>
        <v>قطعة</v>
      </c>
      <c r="E1666" s="71" t="n">
        <f aca="false">IFERROR(INDEX(المكونات!$C$2:$C$500,MATCH($B1666,المكونات!$A$2:$A$500,0)),"")</f>
        <v>20</v>
      </c>
      <c r="F1666" s="13" t="n">
        <f aca="false">IFERROR($C1666*$E1666,"")</f>
        <v>20</v>
      </c>
    </row>
    <row r="1667" customFormat="false" ht="15" hidden="false" customHeight="true" outlineLevel="0" collapsed="false">
      <c r="A1667" s="66" t="s">
        <v>554</v>
      </c>
      <c r="B1667" s="66" t="s">
        <v>168</v>
      </c>
      <c r="C1667" s="66" t="n">
        <v>1</v>
      </c>
      <c r="D1667" s="70" t="str">
        <f aca="false">IFERROR(INDEX(المكونات!$B$2:$B$500,MATCH($B1667,المكونات!$A$2:$A$500,0)),"")</f>
        <v>قطعة</v>
      </c>
      <c r="E1667" s="71" t="n">
        <f aca="false">IFERROR(INDEX(المكونات!$C$2:$C$500,MATCH($B1667,المكونات!$A$2:$A$500,0)),"")</f>
        <v>21</v>
      </c>
      <c r="F1667" s="13" t="n">
        <f aca="false">IFERROR($C1667*$E1667,"")</f>
        <v>21</v>
      </c>
    </row>
    <row r="1668" customFormat="false" ht="15" hidden="false" customHeight="true" outlineLevel="0" collapsed="false">
      <c r="A1668" s="66" t="s">
        <v>554</v>
      </c>
      <c r="B1668" s="66" t="s">
        <v>328</v>
      </c>
      <c r="C1668" s="66" t="n">
        <v>1</v>
      </c>
      <c r="D1668" s="70" t="str">
        <f aca="false">IFERROR(INDEX(المكونات!$B$2:$B$500,MATCH($B1668,المكونات!$A$2:$A$500,0)),"")</f>
        <v>قطعة</v>
      </c>
      <c r="E1668" s="71" t="n">
        <f aca="false">IFERROR(INDEX(المكونات!$C$2:$C$500,MATCH($B1668,المكونات!$A$2:$A$500,0)),"")</f>
        <v>4.47</v>
      </c>
      <c r="F1668" s="13" t="n">
        <f aca="false">IFERROR($C1668*$E1668,"")</f>
        <v>4.47</v>
      </c>
    </row>
    <row r="1669" customFormat="false" ht="15" hidden="false" customHeight="true" outlineLevel="0" collapsed="false">
      <c r="A1669" s="66" t="s">
        <v>554</v>
      </c>
      <c r="B1669" s="66" t="s">
        <v>122</v>
      </c>
      <c r="C1669" s="66" t="n">
        <v>1</v>
      </c>
      <c r="D1669" s="70" t="str">
        <f aca="false">IFERROR(INDEX(المكونات!$B$2:$B$500,MATCH($B1669,المكونات!$A$2:$A$500,0)),"")</f>
        <v>قطعة</v>
      </c>
      <c r="E1669" s="71" t="n">
        <f aca="false">IFERROR(INDEX(المكونات!$C$2:$C$500,MATCH($B1669,المكونات!$A$2:$A$500,0)),"")</f>
        <v>3.3</v>
      </c>
      <c r="F1669" s="13" t="n">
        <f aca="false">IFERROR($C1669*$E1669,"")</f>
        <v>3.3</v>
      </c>
    </row>
    <row r="1670" customFormat="false" ht="15" hidden="false" customHeight="true" outlineLevel="0" collapsed="false">
      <c r="A1670" s="66" t="s">
        <v>554</v>
      </c>
      <c r="B1670" s="66" t="s">
        <v>243</v>
      </c>
      <c r="C1670" s="66" t="n">
        <v>1</v>
      </c>
      <c r="D1670" s="70" t="str">
        <f aca="false">IFERROR(INDEX(المكونات!$B$2:$B$500,MATCH($B1670,المكونات!$A$2:$A$500,0)),"")</f>
        <v>قطعة</v>
      </c>
      <c r="E1670" s="71" t="n">
        <f aca="false">IFERROR(INDEX(المكونات!$C$2:$C$500,MATCH($B1670,المكونات!$A$2:$A$500,0)),"")</f>
        <v>0.3</v>
      </c>
      <c r="F1670" s="13" t="n">
        <f aca="false">IFERROR($C1670*$E1670,"")</f>
        <v>0.3</v>
      </c>
    </row>
    <row r="1671" customFormat="false" ht="15" hidden="false" customHeight="true" outlineLevel="0" collapsed="false">
      <c r="A1671" s="66" t="s">
        <v>554</v>
      </c>
      <c r="B1671" s="66" t="s">
        <v>290</v>
      </c>
      <c r="C1671" s="66" t="n">
        <v>2</v>
      </c>
      <c r="D1671" s="70" t="str">
        <f aca="false">IFERROR(INDEX(المكونات!$B$2:$B$500,MATCH($B1671,المكونات!$A$2:$A$500,0)),"")</f>
        <v>قطعة</v>
      </c>
      <c r="E1671" s="71" t="n">
        <f aca="false">IFERROR(INDEX(المكونات!$C$2:$C$500,MATCH($B1671,المكونات!$A$2:$A$500,0)),"")</f>
        <v>0.3</v>
      </c>
      <c r="F1671" s="13" t="n">
        <f aca="false">IFERROR($C1671*$E1671,"")</f>
        <v>0.6</v>
      </c>
    </row>
    <row r="1672" customFormat="false" ht="15" hidden="false" customHeight="true" outlineLevel="0" collapsed="false">
      <c r="A1672" s="66" t="s">
        <v>554</v>
      </c>
      <c r="B1672" s="66" t="s">
        <v>211</v>
      </c>
      <c r="C1672" s="66" t="n">
        <v>2</v>
      </c>
      <c r="D1672" s="70" t="str">
        <f aca="false">IFERROR(INDEX(المكونات!$B$2:$B$500,MATCH($B1672,المكونات!$A$2:$A$500,0)),"")</f>
        <v>قطعة (جلفز)</v>
      </c>
      <c r="E1672" s="71" t="n">
        <f aca="false">IFERROR(INDEX(المكونات!$C$2:$C$500,MATCH($B1672,المكونات!$A$2:$A$500,0)),"")</f>
        <v>0.18</v>
      </c>
      <c r="F1672" s="13" t="n">
        <f aca="false">IFERROR($C1672*$E1672,"")</f>
        <v>0.36</v>
      </c>
    </row>
    <row r="1673" customFormat="false" ht="15" hidden="false" customHeight="true" outlineLevel="0" collapsed="false">
      <c r="A1673" s="66" t="s">
        <v>554</v>
      </c>
      <c r="B1673" s="66" t="s">
        <v>136</v>
      </c>
      <c r="C1673" s="66" t="n">
        <v>1</v>
      </c>
      <c r="D1673" s="70" t="str">
        <f aca="false">IFERROR(INDEX(المكونات!$B$2:$B$500,MATCH($B1673,المكونات!$A$2:$A$500,0)),"")</f>
        <v>قطعة (كيس)</v>
      </c>
      <c r="E1673" s="71" t="n">
        <f aca="false">IFERROR(INDEX(المكونات!$C$2:$C$500,MATCH($B1673,المكونات!$A$2:$A$500,0)),"")</f>
        <v>1.4</v>
      </c>
      <c r="F1673" s="13" t="n">
        <f aca="false">IFERROR($C1673*$E1673,"")</f>
        <v>1.4</v>
      </c>
    </row>
    <row r="1674" customFormat="false" ht="15" hidden="false" customHeight="true" outlineLevel="0" collapsed="false">
      <c r="A1674" s="66" t="s">
        <v>555</v>
      </c>
      <c r="B1674" s="66" t="s">
        <v>330</v>
      </c>
      <c r="C1674" s="66" t="n">
        <v>1</v>
      </c>
      <c r="D1674" s="70" t="str">
        <f aca="false">IFERROR(INDEX(المكونات!$B$2:$B$500,MATCH($B1674,المكونات!$A$2:$A$500,0)),"")</f>
        <v>قطعة</v>
      </c>
      <c r="E1674" s="71" t="n">
        <f aca="false">IFERROR(INDEX(المكونات!$C$2:$C$500,MATCH($B1674,المكونات!$A$2:$A$500,0)),"")</f>
        <v>3.01306208333333</v>
      </c>
      <c r="F1674" s="13" t="n">
        <f aca="false">IFERROR($C1674*$E1674,"")</f>
        <v>3.01306208333333</v>
      </c>
    </row>
    <row r="1675" customFormat="false" ht="15" hidden="false" customHeight="true" outlineLevel="0" collapsed="false">
      <c r="A1675" s="66" t="s">
        <v>555</v>
      </c>
      <c r="B1675" s="66" t="s">
        <v>176</v>
      </c>
      <c r="C1675" s="66" t="n">
        <v>1</v>
      </c>
      <c r="D1675" s="70" t="str">
        <f aca="false">IFERROR(INDEX(المكونات!$B$2:$B$500,MATCH($B1675,المكونات!$A$2:$A$500,0)),"")</f>
        <v>قطعة</v>
      </c>
      <c r="E1675" s="71" t="n">
        <f aca="false">IFERROR(INDEX(المكونات!$C$2:$C$500,MATCH($B1675,المكونات!$A$2:$A$500,0)),"")</f>
        <v>17.5</v>
      </c>
      <c r="F1675" s="13" t="n">
        <f aca="false">IFERROR($C1675*$E1675,"")</f>
        <v>17.5</v>
      </c>
    </row>
    <row r="1676" customFormat="false" ht="15" hidden="false" customHeight="true" outlineLevel="0" collapsed="false">
      <c r="A1676" s="66" t="s">
        <v>555</v>
      </c>
      <c r="B1676" s="66" t="s">
        <v>260</v>
      </c>
      <c r="C1676" s="66" t="n">
        <v>0.03</v>
      </c>
      <c r="D1676" s="70" t="str">
        <f aca="false">IFERROR(INDEX(المكونات!$B$2:$B$500,MATCH($B1676,المكونات!$A$2:$A$500,0)),"")</f>
        <v>كجم</v>
      </c>
      <c r="E1676" s="71" t="n">
        <f aca="false">IFERROR(INDEX(المكونات!$C$2:$C$500,MATCH($B1676,المكونات!$A$2:$A$500,0)),"")</f>
        <v>21</v>
      </c>
      <c r="F1676" s="13" t="n">
        <f aca="false">IFERROR($C1676*$E1676,"")</f>
        <v>0.63</v>
      </c>
    </row>
    <row r="1677" customFormat="false" ht="15" hidden="false" customHeight="true" outlineLevel="0" collapsed="false">
      <c r="A1677" s="66" t="s">
        <v>555</v>
      </c>
      <c r="B1677" s="66" t="s">
        <v>284</v>
      </c>
      <c r="C1677" s="66" t="n">
        <v>0.02</v>
      </c>
      <c r="D1677" s="70" t="str">
        <f aca="false">IFERROR(INDEX(المكونات!$B$2:$B$500,MATCH($B1677,المكونات!$A$2:$A$500,0)),"")</f>
        <v>كجم</v>
      </c>
      <c r="E1677" s="71" t="n">
        <f aca="false">IFERROR(INDEX(المكونات!$C$2:$C$500,MATCH($B1677,المكونات!$A$2:$A$500,0)),"")</f>
        <v>27</v>
      </c>
      <c r="F1677" s="13" t="n">
        <f aca="false">IFERROR($C1677*$E1677,"")</f>
        <v>0.54</v>
      </c>
    </row>
    <row r="1678" customFormat="false" ht="15" hidden="false" customHeight="true" outlineLevel="0" collapsed="false">
      <c r="A1678" s="66" t="s">
        <v>555</v>
      </c>
      <c r="B1678" s="66" t="s">
        <v>227</v>
      </c>
      <c r="C1678" s="66" t="n">
        <v>0.02</v>
      </c>
      <c r="D1678" s="70" t="str">
        <f aca="false">IFERROR(INDEX(المكونات!$B$2:$B$500,MATCH($B1678,المكونات!$A$2:$A$500,0)),"")</f>
        <v>كجم</v>
      </c>
      <c r="E1678" s="71" t="n">
        <f aca="false">IFERROR(INDEX(المكونات!$C$2:$C$500,MATCH($B1678,المكونات!$A$2:$A$500,0)),"")</f>
        <v>95</v>
      </c>
      <c r="F1678" s="13" t="n">
        <f aca="false">IFERROR($C1678*$E1678,"")</f>
        <v>1.9</v>
      </c>
    </row>
    <row r="1679" customFormat="false" ht="15" hidden="false" customHeight="true" outlineLevel="0" collapsed="false">
      <c r="A1679" s="66" t="s">
        <v>555</v>
      </c>
      <c r="B1679" s="66" t="s">
        <v>297</v>
      </c>
      <c r="C1679" s="66" t="n">
        <v>1</v>
      </c>
      <c r="D1679" s="70" t="str">
        <f aca="false">IFERROR(INDEX(المكونات!$B$2:$B$500,MATCH($B1679,المكونات!$A$2:$A$500,0)),"")</f>
        <v>قطعة</v>
      </c>
      <c r="E1679" s="71" t="n">
        <f aca="false">IFERROR(INDEX(المكونات!$C$2:$C$500,MATCH($B1679,المكونات!$A$2:$A$500,0)),"")</f>
        <v>2</v>
      </c>
      <c r="F1679" s="13" t="n">
        <f aca="false">IFERROR($C1679*$E1679,"")</f>
        <v>2</v>
      </c>
    </row>
    <row r="1680" customFormat="false" ht="15" hidden="false" customHeight="true" outlineLevel="0" collapsed="false">
      <c r="A1680" s="66" t="s">
        <v>555</v>
      </c>
      <c r="B1680" s="66" t="s">
        <v>234</v>
      </c>
      <c r="C1680" s="66" t="n">
        <v>1</v>
      </c>
      <c r="D1680" s="70" t="str">
        <f aca="false">IFERROR(INDEX(المكونات!$B$2:$B$500,MATCH($B1680,المكونات!$A$2:$A$500,0)),"")</f>
        <v>قطعة (استخدام)</v>
      </c>
      <c r="E1680" s="71" t="n">
        <f aca="false">IFERROR(INDEX(المكونات!$C$2:$C$500,MATCH($B1680,المكونات!$A$2:$A$500,0)),"")</f>
        <v>2.5189</v>
      </c>
      <c r="F1680" s="13" t="n">
        <f aca="false">IFERROR($C1680*$E1680,"")</f>
        <v>2.5189</v>
      </c>
    </row>
    <row r="1681" customFormat="false" ht="15" hidden="false" customHeight="true" outlineLevel="0" collapsed="false">
      <c r="A1681" s="66" t="s">
        <v>555</v>
      </c>
      <c r="B1681" s="66" t="s">
        <v>150</v>
      </c>
      <c r="C1681" s="66" t="n">
        <v>0.5</v>
      </c>
      <c r="D1681" s="70" t="str">
        <f aca="false">IFERROR(INDEX(المكونات!$B$2:$B$500,MATCH($B1681,المكونات!$A$2:$A$500,0)),"")</f>
        <v>قطعة</v>
      </c>
      <c r="E1681" s="71" t="n">
        <f aca="false">IFERROR(INDEX(المكونات!$C$2:$C$500,MATCH($B1681,المكونات!$A$2:$A$500,0)),"")</f>
        <v>95</v>
      </c>
      <c r="F1681" s="13" t="n">
        <f aca="false">IFERROR($C1681*$E1681,"")</f>
        <v>47.5</v>
      </c>
    </row>
    <row r="1682" customFormat="false" ht="15" hidden="false" customHeight="true" outlineLevel="0" collapsed="false">
      <c r="A1682" s="66" t="s">
        <v>556</v>
      </c>
      <c r="B1682" s="66" t="s">
        <v>330</v>
      </c>
      <c r="C1682" s="66" t="n">
        <v>1</v>
      </c>
      <c r="D1682" s="70" t="str">
        <f aca="false">IFERROR(INDEX(المكونات!$B$2:$B$500,MATCH($B1682,المكونات!$A$2:$A$500,0)),"")</f>
        <v>قطعة</v>
      </c>
      <c r="E1682" s="71" t="n">
        <f aca="false">IFERROR(INDEX(المكونات!$C$2:$C$500,MATCH($B1682,المكونات!$A$2:$A$500,0)),"")</f>
        <v>3.01306208333333</v>
      </c>
      <c r="F1682" s="13" t="n">
        <f aca="false">IFERROR($C1682*$E1682,"")</f>
        <v>3.01306208333333</v>
      </c>
    </row>
    <row r="1683" customFormat="false" ht="15" hidden="false" customHeight="true" outlineLevel="0" collapsed="false">
      <c r="A1683" s="66" t="s">
        <v>556</v>
      </c>
      <c r="B1683" s="66" t="s">
        <v>176</v>
      </c>
      <c r="C1683" s="66" t="n">
        <v>1</v>
      </c>
      <c r="D1683" s="70" t="str">
        <f aca="false">IFERROR(INDEX(المكونات!$B$2:$B$500,MATCH($B1683,المكونات!$A$2:$A$500,0)),"")</f>
        <v>قطعة</v>
      </c>
      <c r="E1683" s="71" t="n">
        <f aca="false">IFERROR(INDEX(المكونات!$C$2:$C$500,MATCH($B1683,المكونات!$A$2:$A$500,0)),"")</f>
        <v>17.5</v>
      </c>
      <c r="F1683" s="13" t="n">
        <f aca="false">IFERROR($C1683*$E1683,"")</f>
        <v>17.5</v>
      </c>
    </row>
    <row r="1684" customFormat="false" ht="15" hidden="false" customHeight="true" outlineLevel="0" collapsed="false">
      <c r="A1684" s="66" t="s">
        <v>556</v>
      </c>
      <c r="B1684" s="66" t="s">
        <v>260</v>
      </c>
      <c r="C1684" s="66" t="n">
        <v>0.03</v>
      </c>
      <c r="D1684" s="70" t="str">
        <f aca="false">IFERROR(INDEX(المكونات!$B$2:$B$500,MATCH($B1684,المكونات!$A$2:$A$500,0)),"")</f>
        <v>كجم</v>
      </c>
      <c r="E1684" s="71" t="n">
        <f aca="false">IFERROR(INDEX(المكونات!$C$2:$C$500,MATCH($B1684,المكونات!$A$2:$A$500,0)),"")</f>
        <v>21</v>
      </c>
      <c r="F1684" s="13" t="n">
        <f aca="false">IFERROR($C1684*$E1684,"")</f>
        <v>0.63</v>
      </c>
    </row>
    <row r="1685" customFormat="false" ht="15" hidden="false" customHeight="true" outlineLevel="0" collapsed="false">
      <c r="A1685" s="66" t="s">
        <v>556</v>
      </c>
      <c r="B1685" s="66" t="s">
        <v>284</v>
      </c>
      <c r="C1685" s="66" t="n">
        <v>0.02</v>
      </c>
      <c r="D1685" s="70" t="str">
        <f aca="false">IFERROR(INDEX(المكونات!$B$2:$B$500,MATCH($B1685,المكونات!$A$2:$A$500,0)),"")</f>
        <v>كجم</v>
      </c>
      <c r="E1685" s="71" t="n">
        <f aca="false">IFERROR(INDEX(المكونات!$C$2:$C$500,MATCH($B1685,المكونات!$A$2:$A$500,0)),"")</f>
        <v>27</v>
      </c>
      <c r="F1685" s="13" t="n">
        <f aca="false">IFERROR($C1685*$E1685,"")</f>
        <v>0.54</v>
      </c>
    </row>
    <row r="1686" customFormat="false" ht="15" hidden="false" customHeight="true" outlineLevel="0" collapsed="false">
      <c r="A1686" s="66" t="s">
        <v>556</v>
      </c>
      <c r="B1686" s="66" t="s">
        <v>227</v>
      </c>
      <c r="C1686" s="66" t="n">
        <v>0.02</v>
      </c>
      <c r="D1686" s="70" t="str">
        <f aca="false">IFERROR(INDEX(المكونات!$B$2:$B$500,MATCH($B1686,المكونات!$A$2:$A$500,0)),"")</f>
        <v>كجم</v>
      </c>
      <c r="E1686" s="71" t="n">
        <f aca="false">IFERROR(INDEX(المكونات!$C$2:$C$500,MATCH($B1686,المكونات!$A$2:$A$500,0)),"")</f>
        <v>95</v>
      </c>
      <c r="F1686" s="13" t="n">
        <f aca="false">IFERROR($C1686*$E1686,"")</f>
        <v>1.9</v>
      </c>
    </row>
    <row r="1687" customFormat="false" ht="15" hidden="false" customHeight="true" outlineLevel="0" collapsed="false">
      <c r="A1687" s="66" t="s">
        <v>556</v>
      </c>
      <c r="B1687" s="66" t="s">
        <v>297</v>
      </c>
      <c r="C1687" s="66" t="n">
        <v>1</v>
      </c>
      <c r="D1687" s="70" t="str">
        <f aca="false">IFERROR(INDEX(المكونات!$B$2:$B$500,MATCH($B1687,المكونات!$A$2:$A$500,0)),"")</f>
        <v>قطعة</v>
      </c>
      <c r="E1687" s="71" t="n">
        <f aca="false">IFERROR(INDEX(المكونات!$C$2:$C$500,MATCH($B1687,المكونات!$A$2:$A$500,0)),"")</f>
        <v>2</v>
      </c>
      <c r="F1687" s="13" t="n">
        <f aca="false">IFERROR($C1687*$E1687,"")</f>
        <v>2</v>
      </c>
    </row>
    <row r="1688" customFormat="false" ht="15" hidden="false" customHeight="true" outlineLevel="0" collapsed="false">
      <c r="A1688" s="66" t="s">
        <v>556</v>
      </c>
      <c r="B1688" s="66" t="s">
        <v>234</v>
      </c>
      <c r="C1688" s="66" t="n">
        <v>1</v>
      </c>
      <c r="D1688" s="70" t="str">
        <f aca="false">IFERROR(INDEX(المكونات!$B$2:$B$500,MATCH($B1688,المكونات!$A$2:$A$500,0)),"")</f>
        <v>قطعة (استخدام)</v>
      </c>
      <c r="E1688" s="71" t="n">
        <f aca="false">IFERROR(INDEX(المكونات!$C$2:$C$500,MATCH($B1688,المكونات!$A$2:$A$500,0)),"")</f>
        <v>2.5189</v>
      </c>
      <c r="F1688" s="13" t="n">
        <f aca="false">IFERROR($C1688*$E1688,"")</f>
        <v>2.5189</v>
      </c>
    </row>
    <row r="1689" customFormat="false" ht="15" hidden="false" customHeight="true" outlineLevel="0" collapsed="false">
      <c r="A1689" s="66" t="s">
        <v>556</v>
      </c>
      <c r="B1689" s="66" t="s">
        <v>158</v>
      </c>
      <c r="C1689" s="66" t="n">
        <v>1</v>
      </c>
      <c r="D1689" s="70" t="str">
        <f aca="false">IFERROR(INDEX(المكونات!$B$2:$B$500,MATCH($B1689,المكونات!$A$2:$A$500,0)),"")</f>
        <v>قطعة</v>
      </c>
      <c r="E1689" s="71" t="n">
        <f aca="false">IFERROR(INDEX(المكونات!$C$2:$C$500,MATCH($B1689,المكونات!$A$2:$A$500,0)),"")</f>
        <v>33.982</v>
      </c>
      <c r="F1689" s="13" t="n">
        <f aca="false">IFERROR($C1689*$E1689,"")</f>
        <v>33.982</v>
      </c>
    </row>
    <row r="1690" customFormat="false" ht="15" hidden="false" customHeight="true" outlineLevel="0" collapsed="false">
      <c r="A1690" s="66" t="s">
        <v>557</v>
      </c>
      <c r="B1690" s="66" t="s">
        <v>144</v>
      </c>
      <c r="C1690" s="66" t="n">
        <v>1</v>
      </c>
      <c r="D1690" s="70" t="str">
        <f aca="false">IFERROR(INDEX(المكونات!$B$2:$B$500,MATCH($B1690,المكونات!$A$2:$A$500,0)),"")</f>
        <v>قطعة</v>
      </c>
      <c r="E1690" s="71" t="n">
        <f aca="false">IFERROR(INDEX(المكونات!$C$2:$C$500,MATCH($B1690,المكونات!$A$2:$A$500,0)),"")</f>
        <v>46.6667</v>
      </c>
      <c r="F1690" s="13" t="n">
        <f aca="false">IFERROR($C1690*$E1690,"")</f>
        <v>46.6667</v>
      </c>
    </row>
    <row r="1691" customFormat="false" ht="15" hidden="false" customHeight="true" outlineLevel="0" collapsed="false">
      <c r="A1691" s="66" t="s">
        <v>558</v>
      </c>
      <c r="B1691" s="66" t="s">
        <v>288</v>
      </c>
      <c r="C1691" s="66" t="n">
        <v>3</v>
      </c>
      <c r="D1691" s="70" t="str">
        <f aca="false">IFERROR(INDEX(المكونات!$B$2:$B$500,MATCH($B1691,المكونات!$A$2:$A$500,0)),"")</f>
        <v>قطعة</v>
      </c>
      <c r="E1691" s="71" t="n">
        <f aca="false">IFERROR(INDEX(المكونات!$C$2:$C$500,MATCH($B1691,المكونات!$A$2:$A$500,0)),"")</f>
        <v>7</v>
      </c>
      <c r="F1691" s="13" t="n">
        <f aca="false">IFERROR($C1691*$E1691,"")</f>
        <v>21</v>
      </c>
    </row>
    <row r="1692" customFormat="false" ht="15" hidden="false" customHeight="true" outlineLevel="0" collapsed="false">
      <c r="A1692" s="66" t="s">
        <v>559</v>
      </c>
      <c r="B1692" s="66" t="s">
        <v>154</v>
      </c>
      <c r="C1692" s="66" t="n">
        <v>1</v>
      </c>
      <c r="D1692" s="70" t="str">
        <f aca="false">IFERROR(INDEX(المكونات!$B$2:$B$500,MATCH($B1692,المكونات!$A$2:$A$500,0)),"")</f>
        <v>قطعة</v>
      </c>
      <c r="E1692" s="71" t="n">
        <f aca="false">IFERROR(INDEX(المكونات!$C$2:$C$500,MATCH($B1692,المكونات!$A$2:$A$500,0)),"")</f>
        <v>45</v>
      </c>
      <c r="F1692" s="13" t="n">
        <f aca="false">IFERROR($C1692*$E1692,"")</f>
        <v>45</v>
      </c>
    </row>
    <row r="1693" customFormat="false" ht="15" hidden="false" customHeight="true" outlineLevel="0" collapsed="false">
      <c r="A1693" s="66" t="s">
        <v>560</v>
      </c>
      <c r="B1693" s="66" t="s">
        <v>164</v>
      </c>
      <c r="C1693" s="66" t="n">
        <v>1</v>
      </c>
      <c r="D1693" s="70" t="str">
        <f aca="false">IFERROR(INDEX(المكونات!$B$2:$B$500,MATCH($B1693,المكونات!$A$2:$A$500,0)),"")</f>
        <v>قطعة</v>
      </c>
      <c r="E1693" s="71" t="n">
        <f aca="false">IFERROR(INDEX(المكونات!$C$2:$C$500,MATCH($B1693,المكونات!$A$2:$A$500,0)),"")</f>
        <v>29</v>
      </c>
      <c r="F1693" s="13" t="n">
        <f aca="false">IFERROR($C1693*$E1693,"")</f>
        <v>29</v>
      </c>
    </row>
    <row r="1694" customFormat="false" ht="15" hidden="false" customHeight="true" outlineLevel="0" collapsed="false">
      <c r="A1694" s="66" t="s">
        <v>561</v>
      </c>
      <c r="B1694" s="66" t="s">
        <v>158</v>
      </c>
      <c r="C1694" s="66" t="n">
        <v>1</v>
      </c>
      <c r="D1694" s="70" t="str">
        <f aca="false">IFERROR(INDEX(المكونات!$B$2:$B$500,MATCH($B1694,المكونات!$A$2:$A$500,0)),"")</f>
        <v>قطعة</v>
      </c>
      <c r="E1694" s="71" t="n">
        <f aca="false">IFERROR(INDEX(المكونات!$C$2:$C$500,MATCH($B1694,المكونات!$A$2:$A$500,0)),"")</f>
        <v>33.982</v>
      </c>
      <c r="F1694" s="13" t="n">
        <f aca="false">IFERROR($C1694*$E1694,"")</f>
        <v>33.982</v>
      </c>
    </row>
    <row r="1695" customFormat="false" ht="15" hidden="false" customHeight="true" outlineLevel="0" collapsed="false">
      <c r="A1695" s="66" t="s">
        <v>562</v>
      </c>
      <c r="B1695" s="66" t="s">
        <v>156</v>
      </c>
      <c r="C1695" s="66" t="n">
        <v>1</v>
      </c>
      <c r="D1695" s="70" t="str">
        <f aca="false">IFERROR(INDEX(المكونات!$B$2:$B$500,MATCH($B1695,المكونات!$A$2:$A$500,0)),"")</f>
        <v>قطعة</v>
      </c>
      <c r="E1695" s="71" t="n">
        <f aca="false">IFERROR(INDEX(المكونات!$C$2:$C$500,MATCH($B1695,المكونات!$A$2:$A$500,0)),"")</f>
        <v>26.9708</v>
      </c>
      <c r="F1695" s="13" t="n">
        <f aca="false">IFERROR($C1695*$E1695,"")</f>
        <v>26.9708</v>
      </c>
    </row>
    <row r="1696" customFormat="false" ht="15" hidden="false" customHeight="true" outlineLevel="0" collapsed="false">
      <c r="A1696" s="66" t="s">
        <v>564</v>
      </c>
      <c r="B1696" s="66" t="s">
        <v>262</v>
      </c>
      <c r="C1696" s="66" t="n">
        <v>0.11</v>
      </c>
      <c r="D1696" s="70" t="str">
        <f aca="false">IFERROR(INDEX(المكونات!$B$2:$B$500,MATCH($B1696,المكونات!$A$2:$A$500,0)),"")</f>
        <v>كجم</v>
      </c>
      <c r="E1696" s="71" t="n">
        <f aca="false">IFERROR(INDEX(المكونات!$C$2:$C$500,MATCH($B1696,المكونات!$A$2:$A$500,0)),"")</f>
        <v>22</v>
      </c>
      <c r="F1696" s="13" t="n">
        <f aca="false">IFERROR($C1696*$E1696,"")</f>
        <v>2.42</v>
      </c>
    </row>
    <row r="1697" customFormat="false" ht="15" hidden="false" customHeight="true" outlineLevel="0" collapsed="false">
      <c r="A1697" s="66" t="s">
        <v>564</v>
      </c>
      <c r="B1697" s="66" t="s">
        <v>250</v>
      </c>
      <c r="C1697" s="66" t="n">
        <v>0.02</v>
      </c>
      <c r="D1697" s="70" t="str">
        <f aca="false">IFERROR(INDEX(المكونات!$B$2:$B$500,MATCH($B1697,المكونات!$A$2:$A$500,0)),"")</f>
        <v>كجم</v>
      </c>
      <c r="E1697" s="71" t="n">
        <f aca="false">IFERROR(INDEX(المكونات!$C$2:$C$500,MATCH($B1697,المكونات!$A$2:$A$500,0)),"")</f>
        <v>32</v>
      </c>
      <c r="F1697" s="13" t="n">
        <f aca="false">IFERROR($C1697*$E1697,"")</f>
        <v>0.64</v>
      </c>
    </row>
    <row r="1698" customFormat="false" ht="15" hidden="false" customHeight="true" outlineLevel="0" collapsed="false">
      <c r="A1698" s="66" t="s">
        <v>564</v>
      </c>
      <c r="B1698" s="66" t="s">
        <v>260</v>
      </c>
      <c r="C1698" s="66" t="n">
        <v>0.015</v>
      </c>
      <c r="D1698" s="70" t="str">
        <f aca="false">IFERROR(INDEX(المكونات!$B$2:$B$500,MATCH($B1698,المكونات!$A$2:$A$500,0)),"")</f>
        <v>كجم</v>
      </c>
      <c r="E1698" s="71" t="n">
        <f aca="false">IFERROR(INDEX(المكونات!$C$2:$C$500,MATCH($B1698,المكونات!$A$2:$A$500,0)),"")</f>
        <v>21</v>
      </c>
      <c r="F1698" s="13" t="n">
        <f aca="false">IFERROR($C1698*$E1698,"")</f>
        <v>0.315</v>
      </c>
    </row>
    <row r="1699" customFormat="false" ht="15" hidden="false" customHeight="true" outlineLevel="0" collapsed="false">
      <c r="A1699" s="66" t="s">
        <v>564</v>
      </c>
      <c r="B1699" s="66" t="s">
        <v>284</v>
      </c>
      <c r="C1699" s="66" t="n">
        <v>0.01</v>
      </c>
      <c r="D1699" s="70" t="str">
        <f aca="false">IFERROR(INDEX(المكونات!$B$2:$B$500,MATCH($B1699,المكونات!$A$2:$A$500,0)),"")</f>
        <v>كجم</v>
      </c>
      <c r="E1699" s="71" t="n">
        <f aca="false">IFERROR(INDEX(المكونات!$C$2:$C$500,MATCH($B1699,المكونات!$A$2:$A$500,0)),"")</f>
        <v>27</v>
      </c>
      <c r="F1699" s="13" t="n">
        <f aca="false">IFERROR($C1699*$E1699,"")</f>
        <v>0.27</v>
      </c>
    </row>
    <row r="1700" customFormat="false" ht="15" hidden="false" customHeight="true" outlineLevel="0" collapsed="false">
      <c r="A1700" s="66" t="s">
        <v>564</v>
      </c>
      <c r="B1700" s="66" t="s">
        <v>227</v>
      </c>
      <c r="C1700" s="66" t="n">
        <v>0.01</v>
      </c>
      <c r="D1700" s="70" t="str">
        <f aca="false">IFERROR(INDEX(المكونات!$B$2:$B$500,MATCH($B1700,المكونات!$A$2:$A$500,0)),"")</f>
        <v>كجم</v>
      </c>
      <c r="E1700" s="71" t="n">
        <f aca="false">IFERROR(INDEX(المكونات!$C$2:$C$500,MATCH($B1700,المكونات!$A$2:$A$500,0)),"")</f>
        <v>95</v>
      </c>
      <c r="F1700" s="13" t="n">
        <f aca="false">IFERROR($C1700*$E1700,"")</f>
        <v>0.95</v>
      </c>
    </row>
    <row r="1701" customFormat="false" ht="15" hidden="false" customHeight="true" outlineLevel="0" collapsed="false">
      <c r="A1701" s="66" t="s">
        <v>564</v>
      </c>
      <c r="B1701" s="66" t="s">
        <v>172</v>
      </c>
      <c r="C1701" s="66" t="n">
        <v>0.5</v>
      </c>
      <c r="D1701" s="70" t="str">
        <f aca="false">IFERROR(INDEX(المكونات!$B$2:$B$500,MATCH($B1701,المكونات!$A$2:$A$500,0)),"")</f>
        <v>قطعة</v>
      </c>
      <c r="E1701" s="71" t="n">
        <f aca="false">IFERROR(INDEX(المكونات!$C$2:$C$500,MATCH($B1701,المكونات!$A$2:$A$500,0)),"")</f>
        <v>20</v>
      </c>
      <c r="F1701" s="13" t="n">
        <f aca="false">IFERROR($C1701*$E1701,"")</f>
        <v>10</v>
      </c>
    </row>
    <row r="1702" customFormat="false" ht="15" hidden="false" customHeight="true" outlineLevel="0" collapsed="false">
      <c r="A1702" s="66" t="s">
        <v>564</v>
      </c>
      <c r="B1702" s="66" t="s">
        <v>270</v>
      </c>
      <c r="C1702" s="66" t="n">
        <v>0.5</v>
      </c>
      <c r="D1702" s="70" t="str">
        <f aca="false">IFERROR(INDEX(المكونات!$B$2:$B$500,MATCH($B1702,المكونات!$A$2:$A$500,0)),"")</f>
        <v>قطعة</v>
      </c>
      <c r="E1702" s="71" t="n">
        <f aca="false">IFERROR(INDEX(المكونات!$C$2:$C$500,MATCH($B1702,المكونات!$A$2:$A$500,0)),"")</f>
        <v>4.5</v>
      </c>
      <c r="F1702" s="13" t="n">
        <f aca="false">IFERROR($C1702*$E1702,"")</f>
        <v>2.25</v>
      </c>
    </row>
    <row r="1703" customFormat="false" ht="15" hidden="false" customHeight="true" outlineLevel="0" collapsed="false">
      <c r="A1703" s="66" t="s">
        <v>564</v>
      </c>
      <c r="B1703" s="66" t="s">
        <v>290</v>
      </c>
      <c r="C1703" s="66" t="n">
        <v>1</v>
      </c>
      <c r="D1703" s="70" t="str">
        <f aca="false">IFERROR(INDEX(المكونات!$B$2:$B$500,MATCH($B1703,المكونات!$A$2:$A$500,0)),"")</f>
        <v>قطعة</v>
      </c>
      <c r="E1703" s="71" t="n">
        <f aca="false">IFERROR(INDEX(المكونات!$C$2:$C$500,MATCH($B1703,المكونات!$A$2:$A$500,0)),"")</f>
        <v>0.3</v>
      </c>
      <c r="F1703" s="13" t="n">
        <f aca="false">IFERROR($C1703*$E1703,"")</f>
        <v>0.3</v>
      </c>
    </row>
    <row r="1704" customFormat="false" ht="15" hidden="false" customHeight="true" outlineLevel="0" collapsed="false">
      <c r="A1704" s="66" t="s">
        <v>564</v>
      </c>
      <c r="B1704" s="66" t="s">
        <v>319</v>
      </c>
      <c r="C1704" s="66" t="n">
        <v>0.5</v>
      </c>
      <c r="D1704" s="70" t="str">
        <f aca="false">IFERROR(INDEX(المكونات!$B$2:$B$500,MATCH($B1704,المكونات!$A$2:$A$500,0)),"")</f>
        <v>قطعة (ورقة)</v>
      </c>
      <c r="E1704" s="71" t="n">
        <f aca="false">IFERROR(INDEX(المكونات!$C$2:$C$500,MATCH($B1704,المكونات!$A$2:$A$500,0)),"")</f>
        <v>0.3665</v>
      </c>
      <c r="F1704" s="13" t="n">
        <f aca="false">IFERROR($C1704*$E1704,"")</f>
        <v>0.18325</v>
      </c>
    </row>
    <row r="1705" customFormat="false" ht="15" hidden="false" customHeight="true" outlineLevel="0" collapsed="false">
      <c r="A1705" s="66" t="s">
        <v>564</v>
      </c>
      <c r="B1705" s="66" t="s">
        <v>133</v>
      </c>
      <c r="C1705" s="66" t="n">
        <v>0.5</v>
      </c>
      <c r="D1705" s="70" t="str">
        <f aca="false">IFERROR(INDEX(المكونات!$B$2:$B$500,MATCH($B1705,المكونات!$A$2:$A$500,0)),"")</f>
        <v>قطعة (كيس)</v>
      </c>
      <c r="E1705" s="71" t="n">
        <f aca="false">IFERROR(INDEX(المكونات!$C$2:$C$500,MATCH($B1705,المكونات!$A$2:$A$500,0)),"")</f>
        <v>1.4</v>
      </c>
      <c r="F1705" s="13" t="n">
        <f aca="false">IFERROR($C1705*$E1705,"")</f>
        <v>0.7</v>
      </c>
    </row>
    <row r="1706" customFormat="false" ht="15" hidden="false" customHeight="true" outlineLevel="0" collapsed="false">
      <c r="A1706" s="66" t="s">
        <v>564</v>
      </c>
      <c r="B1706" s="66" t="s">
        <v>293</v>
      </c>
      <c r="C1706" s="66" t="n">
        <v>0.5</v>
      </c>
      <c r="D1706" s="70" t="str">
        <f aca="false">IFERROR(INDEX(المكونات!$B$2:$B$500,MATCH($B1706,المكونات!$A$2:$A$500,0)),"")</f>
        <v>قطعة</v>
      </c>
      <c r="E1706" s="71" t="n">
        <f aca="false">IFERROR(INDEX(المكونات!$C$2:$C$500,MATCH($B1706,المكونات!$A$2:$A$500,0)),"")</f>
        <v>0.5</v>
      </c>
      <c r="F1706" s="13" t="n">
        <f aca="false">IFERROR($C1706*$E1706,"")</f>
        <v>0.25</v>
      </c>
    </row>
    <row r="1707" customFormat="false" ht="15" hidden="false" customHeight="true" outlineLevel="0" collapsed="false">
      <c r="A1707" s="66" t="s">
        <v>564</v>
      </c>
      <c r="B1707" s="66" t="s">
        <v>211</v>
      </c>
      <c r="C1707" s="66" t="n">
        <v>1</v>
      </c>
      <c r="D1707" s="70" t="str">
        <f aca="false">IFERROR(INDEX(المكونات!$B$2:$B$500,MATCH($B1707,المكونات!$A$2:$A$500,0)),"")</f>
        <v>قطعة (جلفز)</v>
      </c>
      <c r="E1707" s="71" t="n">
        <f aca="false">IFERROR(INDEX(المكونات!$C$2:$C$500,MATCH($B1707,المكونات!$A$2:$A$500,0)),"")</f>
        <v>0.18</v>
      </c>
      <c r="F1707" s="13" t="n">
        <f aca="false">IFERROR($C1707*$E1707,"")</f>
        <v>0.18</v>
      </c>
    </row>
    <row r="1708" customFormat="false" ht="15" hidden="false" customHeight="true" outlineLevel="0" collapsed="false">
      <c r="A1708" s="66" t="s">
        <v>564</v>
      </c>
      <c r="B1708" s="66" t="s">
        <v>322</v>
      </c>
      <c r="C1708" s="66" t="n">
        <v>0.5</v>
      </c>
      <c r="D1708" s="70" t="str">
        <f aca="false">IFERROR(INDEX(المكونات!$B$2:$B$500,MATCH($B1708,المكونات!$A$2:$A$500,0)),"")</f>
        <v>قطعة (كيس)</v>
      </c>
      <c r="E1708" s="71" t="n">
        <f aca="false">IFERROR(INDEX(المكونات!$C$2:$C$500,MATCH($B1708,المكونات!$A$2:$A$500,0)),"")</f>
        <v>1</v>
      </c>
      <c r="F1708" s="13" t="n">
        <f aca="false">IFERROR($C1708*$E1708,"")</f>
        <v>0.5</v>
      </c>
    </row>
    <row r="1709" customFormat="false" ht="15" hidden="false" customHeight="true" outlineLevel="0" collapsed="false">
      <c r="A1709" s="66" t="s">
        <v>564</v>
      </c>
      <c r="B1709" s="66" t="s">
        <v>146</v>
      </c>
      <c r="C1709" s="66" t="n">
        <v>1</v>
      </c>
      <c r="D1709" s="70" t="str">
        <f aca="false">IFERROR(INDEX(المكونات!$B$2:$B$500,MATCH($B1709,المكونات!$A$2:$A$500,0)),"")</f>
        <v>قطعة</v>
      </c>
      <c r="E1709" s="71" t="n">
        <f aca="false">IFERROR(INDEX(المكونات!$C$2:$C$500,MATCH($B1709,المكونات!$A$2:$A$500,0)),"")</f>
        <v>5.65</v>
      </c>
      <c r="F1709" s="13" t="n">
        <f aca="false">IFERROR($C1709*$E1709,"")</f>
        <v>5.65</v>
      </c>
    </row>
    <row r="1710" customFormat="false" ht="15" hidden="false" customHeight="true" outlineLevel="0" collapsed="false">
      <c r="A1710" s="66" t="s">
        <v>564</v>
      </c>
      <c r="B1710" s="66" t="s">
        <v>350</v>
      </c>
      <c r="C1710" s="66" t="n">
        <v>1</v>
      </c>
      <c r="D1710" s="70" t="str">
        <f aca="false">IFERROR(INDEX(المكونات!$B$2:$B$500,MATCH($B1710,المكونات!$A$2:$A$500,0)),"")</f>
        <v>قطعة</v>
      </c>
      <c r="E1710" s="71" t="n">
        <f aca="false">IFERROR(INDEX(المكونات!$C$2:$C$500,MATCH($B1710,المكونات!$A$2:$A$500,0)),"")</f>
        <v>7</v>
      </c>
      <c r="F1710" s="13" t="n">
        <f aca="false">IFERROR($C1710*$E1710,"")</f>
        <v>7</v>
      </c>
    </row>
    <row r="1711" customFormat="false" ht="15" hidden="false" customHeight="true" outlineLevel="0" collapsed="false">
      <c r="A1711" s="66" t="s">
        <v>564</v>
      </c>
      <c r="B1711" s="66" t="s">
        <v>300</v>
      </c>
      <c r="C1711" s="66" t="n">
        <v>1</v>
      </c>
      <c r="D1711" s="70" t="str">
        <f aca="false">IFERROR(INDEX(المكونات!$B$2:$B$500,MATCH($B1711,المكونات!$A$2:$A$500,0)),"")</f>
        <v>قطعة</v>
      </c>
      <c r="E1711" s="71" t="n">
        <f aca="false">IFERROR(INDEX(المكونات!$C$2:$C$500,MATCH($B1711,المكونات!$A$2:$A$500,0)),"")</f>
        <v>6</v>
      </c>
      <c r="F1711" s="13" t="n">
        <f aca="false">IFERROR($C1711*$E1711,"")</f>
        <v>6</v>
      </c>
    </row>
    <row r="1712" customFormat="false" ht="15" hidden="false" customHeight="true" outlineLevel="0" collapsed="false">
      <c r="A1712" s="66" t="s">
        <v>565</v>
      </c>
      <c r="B1712" s="66" t="s">
        <v>262</v>
      </c>
      <c r="C1712" s="66" t="n">
        <v>0.11</v>
      </c>
      <c r="D1712" s="70" t="str">
        <f aca="false">IFERROR(INDEX(المكونات!$B$2:$B$500,MATCH($B1712,المكونات!$A$2:$A$500,0)),"")</f>
        <v>كجم</v>
      </c>
      <c r="E1712" s="71" t="n">
        <f aca="false">IFERROR(INDEX(المكونات!$C$2:$C$500,MATCH($B1712,المكونات!$A$2:$A$500,0)),"")</f>
        <v>22</v>
      </c>
      <c r="F1712" s="13" t="n">
        <f aca="false">IFERROR($C1712*$E1712,"")</f>
        <v>2.42</v>
      </c>
    </row>
    <row r="1713" customFormat="false" ht="15" hidden="false" customHeight="true" outlineLevel="0" collapsed="false">
      <c r="A1713" s="66" t="s">
        <v>565</v>
      </c>
      <c r="B1713" s="66" t="s">
        <v>250</v>
      </c>
      <c r="C1713" s="66" t="n">
        <v>0.02</v>
      </c>
      <c r="D1713" s="70" t="str">
        <f aca="false">IFERROR(INDEX(المكونات!$B$2:$B$500,MATCH($B1713,المكونات!$A$2:$A$500,0)),"")</f>
        <v>كجم</v>
      </c>
      <c r="E1713" s="71" t="n">
        <f aca="false">IFERROR(INDEX(المكونات!$C$2:$C$500,MATCH($B1713,المكونات!$A$2:$A$500,0)),"")</f>
        <v>32</v>
      </c>
      <c r="F1713" s="13" t="n">
        <f aca="false">IFERROR($C1713*$E1713,"")</f>
        <v>0.64</v>
      </c>
    </row>
    <row r="1714" customFormat="false" ht="15" hidden="false" customHeight="true" outlineLevel="0" collapsed="false">
      <c r="A1714" s="66" t="s">
        <v>565</v>
      </c>
      <c r="B1714" s="66" t="s">
        <v>260</v>
      </c>
      <c r="C1714" s="66" t="n">
        <v>0.015</v>
      </c>
      <c r="D1714" s="70" t="str">
        <f aca="false">IFERROR(INDEX(المكونات!$B$2:$B$500,MATCH($B1714,المكونات!$A$2:$A$500,0)),"")</f>
        <v>كجم</v>
      </c>
      <c r="E1714" s="71" t="n">
        <f aca="false">IFERROR(INDEX(المكونات!$C$2:$C$500,MATCH($B1714,المكونات!$A$2:$A$500,0)),"")</f>
        <v>21</v>
      </c>
      <c r="F1714" s="13" t="n">
        <f aca="false">IFERROR($C1714*$E1714,"")</f>
        <v>0.315</v>
      </c>
    </row>
    <row r="1715" customFormat="false" ht="15" hidden="false" customHeight="true" outlineLevel="0" collapsed="false">
      <c r="A1715" s="66" t="s">
        <v>565</v>
      </c>
      <c r="B1715" s="66" t="s">
        <v>284</v>
      </c>
      <c r="C1715" s="66" t="n">
        <v>0.01</v>
      </c>
      <c r="D1715" s="70" t="str">
        <f aca="false">IFERROR(INDEX(المكونات!$B$2:$B$500,MATCH($B1715,المكونات!$A$2:$A$500,0)),"")</f>
        <v>كجم</v>
      </c>
      <c r="E1715" s="71" t="n">
        <f aca="false">IFERROR(INDEX(المكونات!$C$2:$C$500,MATCH($B1715,المكونات!$A$2:$A$500,0)),"")</f>
        <v>27</v>
      </c>
      <c r="F1715" s="13" t="n">
        <f aca="false">IFERROR($C1715*$E1715,"")</f>
        <v>0.27</v>
      </c>
    </row>
    <row r="1716" customFormat="false" ht="15" hidden="false" customHeight="true" outlineLevel="0" collapsed="false">
      <c r="A1716" s="66" t="s">
        <v>565</v>
      </c>
      <c r="B1716" s="66" t="s">
        <v>227</v>
      </c>
      <c r="C1716" s="66" t="n">
        <v>0.01</v>
      </c>
      <c r="D1716" s="70" t="str">
        <f aca="false">IFERROR(INDEX(المكونات!$B$2:$B$500,MATCH($B1716,المكونات!$A$2:$A$500,0)),"")</f>
        <v>كجم</v>
      </c>
      <c r="E1716" s="71" t="n">
        <f aca="false">IFERROR(INDEX(المكونات!$C$2:$C$500,MATCH($B1716,المكونات!$A$2:$A$500,0)),"")</f>
        <v>95</v>
      </c>
      <c r="F1716" s="13" t="n">
        <f aca="false">IFERROR($C1716*$E1716,"")</f>
        <v>0.95</v>
      </c>
    </row>
    <row r="1717" customFormat="false" ht="15" hidden="false" customHeight="true" outlineLevel="0" collapsed="false">
      <c r="A1717" s="66" t="s">
        <v>565</v>
      </c>
      <c r="B1717" s="66" t="s">
        <v>172</v>
      </c>
      <c r="C1717" s="66" t="n">
        <v>0.5</v>
      </c>
      <c r="D1717" s="70" t="str">
        <f aca="false">IFERROR(INDEX(المكونات!$B$2:$B$500,MATCH($B1717,المكونات!$A$2:$A$500,0)),"")</f>
        <v>قطعة</v>
      </c>
      <c r="E1717" s="71" t="n">
        <f aca="false">IFERROR(INDEX(المكونات!$C$2:$C$500,MATCH($B1717,المكونات!$A$2:$A$500,0)),"")</f>
        <v>20</v>
      </c>
      <c r="F1717" s="13" t="n">
        <f aca="false">IFERROR($C1717*$E1717,"")</f>
        <v>10</v>
      </c>
    </row>
    <row r="1718" customFormat="false" ht="15" hidden="false" customHeight="true" outlineLevel="0" collapsed="false">
      <c r="A1718" s="66" t="s">
        <v>565</v>
      </c>
      <c r="B1718" s="66" t="s">
        <v>270</v>
      </c>
      <c r="C1718" s="66" t="n">
        <v>0.5</v>
      </c>
      <c r="D1718" s="70" t="str">
        <f aca="false">IFERROR(INDEX(المكونات!$B$2:$B$500,MATCH($B1718,المكونات!$A$2:$A$500,0)),"")</f>
        <v>قطعة</v>
      </c>
      <c r="E1718" s="71" t="n">
        <f aca="false">IFERROR(INDEX(المكونات!$C$2:$C$500,MATCH($B1718,المكونات!$A$2:$A$500,0)),"")</f>
        <v>4.5</v>
      </c>
      <c r="F1718" s="13" t="n">
        <f aca="false">IFERROR($C1718*$E1718,"")</f>
        <v>2.25</v>
      </c>
    </row>
    <row r="1719" customFormat="false" ht="15" hidden="false" customHeight="true" outlineLevel="0" collapsed="false">
      <c r="A1719" s="66" t="s">
        <v>565</v>
      </c>
      <c r="B1719" s="66" t="s">
        <v>290</v>
      </c>
      <c r="C1719" s="66" t="n">
        <v>1</v>
      </c>
      <c r="D1719" s="70" t="str">
        <f aca="false">IFERROR(INDEX(المكونات!$B$2:$B$500,MATCH($B1719,المكونات!$A$2:$A$500,0)),"")</f>
        <v>قطعة</v>
      </c>
      <c r="E1719" s="71" t="n">
        <f aca="false">IFERROR(INDEX(المكونات!$C$2:$C$500,MATCH($B1719,المكونات!$A$2:$A$500,0)),"")</f>
        <v>0.3</v>
      </c>
      <c r="F1719" s="13" t="n">
        <f aca="false">IFERROR($C1719*$E1719,"")</f>
        <v>0.3</v>
      </c>
    </row>
    <row r="1720" customFormat="false" ht="15" hidden="false" customHeight="true" outlineLevel="0" collapsed="false">
      <c r="A1720" s="66" t="s">
        <v>565</v>
      </c>
      <c r="B1720" s="66" t="s">
        <v>319</v>
      </c>
      <c r="C1720" s="66" t="n">
        <v>0.5</v>
      </c>
      <c r="D1720" s="70" t="str">
        <f aca="false">IFERROR(INDEX(المكونات!$B$2:$B$500,MATCH($B1720,المكونات!$A$2:$A$500,0)),"")</f>
        <v>قطعة (ورقة)</v>
      </c>
      <c r="E1720" s="71" t="n">
        <f aca="false">IFERROR(INDEX(المكونات!$C$2:$C$500,MATCH($B1720,المكونات!$A$2:$A$500,0)),"")</f>
        <v>0.3665</v>
      </c>
      <c r="F1720" s="13" t="n">
        <f aca="false">IFERROR($C1720*$E1720,"")</f>
        <v>0.18325</v>
      </c>
    </row>
    <row r="1721" customFormat="false" ht="15" hidden="false" customHeight="true" outlineLevel="0" collapsed="false">
      <c r="A1721" s="66" t="s">
        <v>565</v>
      </c>
      <c r="B1721" s="66" t="s">
        <v>133</v>
      </c>
      <c r="C1721" s="66" t="n">
        <v>0.5</v>
      </c>
      <c r="D1721" s="70" t="str">
        <f aca="false">IFERROR(INDEX(المكونات!$B$2:$B$500,MATCH($B1721,المكونات!$A$2:$A$500,0)),"")</f>
        <v>قطعة (كيس)</v>
      </c>
      <c r="E1721" s="71" t="n">
        <f aca="false">IFERROR(INDEX(المكونات!$C$2:$C$500,MATCH($B1721,المكونات!$A$2:$A$500,0)),"")</f>
        <v>1.4</v>
      </c>
      <c r="F1721" s="13" t="n">
        <f aca="false">IFERROR($C1721*$E1721,"")</f>
        <v>0.7</v>
      </c>
    </row>
    <row r="1722" customFormat="false" ht="15" hidden="false" customHeight="true" outlineLevel="0" collapsed="false">
      <c r="A1722" s="66" t="s">
        <v>565</v>
      </c>
      <c r="B1722" s="66" t="s">
        <v>293</v>
      </c>
      <c r="C1722" s="66" t="n">
        <v>0.5</v>
      </c>
      <c r="D1722" s="70" t="str">
        <f aca="false">IFERROR(INDEX(المكونات!$B$2:$B$500,MATCH($B1722,المكونات!$A$2:$A$500,0)),"")</f>
        <v>قطعة</v>
      </c>
      <c r="E1722" s="71" t="n">
        <f aca="false">IFERROR(INDEX(المكونات!$C$2:$C$500,MATCH($B1722,المكونات!$A$2:$A$500,0)),"")</f>
        <v>0.5</v>
      </c>
      <c r="F1722" s="13" t="n">
        <f aca="false">IFERROR($C1722*$E1722,"")</f>
        <v>0.25</v>
      </c>
    </row>
    <row r="1723" customFormat="false" ht="15" hidden="false" customHeight="true" outlineLevel="0" collapsed="false">
      <c r="A1723" s="66" t="s">
        <v>565</v>
      </c>
      <c r="B1723" s="66" t="s">
        <v>211</v>
      </c>
      <c r="C1723" s="66" t="n">
        <v>1</v>
      </c>
      <c r="D1723" s="70" t="str">
        <f aca="false">IFERROR(INDEX(المكونات!$B$2:$B$500,MATCH($B1723,المكونات!$A$2:$A$500,0)),"")</f>
        <v>قطعة (جلفز)</v>
      </c>
      <c r="E1723" s="71" t="n">
        <f aca="false">IFERROR(INDEX(المكونات!$C$2:$C$500,MATCH($B1723,المكونات!$A$2:$A$500,0)),"")</f>
        <v>0.18</v>
      </c>
      <c r="F1723" s="13" t="n">
        <f aca="false">IFERROR($C1723*$E1723,"")</f>
        <v>0.18</v>
      </c>
    </row>
    <row r="1724" customFormat="false" ht="15" hidden="false" customHeight="true" outlineLevel="0" collapsed="false">
      <c r="A1724" s="66" t="s">
        <v>565</v>
      </c>
      <c r="B1724" s="66" t="s">
        <v>322</v>
      </c>
      <c r="C1724" s="66" t="n">
        <v>0.5</v>
      </c>
      <c r="D1724" s="70" t="str">
        <f aca="false">IFERROR(INDEX(المكونات!$B$2:$B$500,MATCH($B1724,المكونات!$A$2:$A$500,0)),"")</f>
        <v>قطعة (كيس)</v>
      </c>
      <c r="E1724" s="71" t="n">
        <f aca="false">IFERROR(INDEX(المكونات!$C$2:$C$500,MATCH($B1724,المكونات!$A$2:$A$500,0)),"")</f>
        <v>1</v>
      </c>
      <c r="F1724" s="13" t="n">
        <f aca="false">IFERROR($C1724*$E1724,"")</f>
        <v>0.5</v>
      </c>
    </row>
    <row r="1725" customFormat="false" ht="15" hidden="false" customHeight="true" outlineLevel="0" collapsed="false">
      <c r="A1725" s="66" t="s">
        <v>565</v>
      </c>
      <c r="B1725" s="66" t="s">
        <v>156</v>
      </c>
      <c r="C1725" s="66" t="n">
        <v>0.5</v>
      </c>
      <c r="D1725" s="70" t="str">
        <f aca="false">IFERROR(INDEX(المكونات!$B$2:$B$500,MATCH($B1725,المكونات!$A$2:$A$500,0)),"")</f>
        <v>قطعة</v>
      </c>
      <c r="E1725" s="71" t="n">
        <f aca="false">IFERROR(INDEX(المكونات!$C$2:$C$500,MATCH($B1725,المكونات!$A$2:$A$500,0)),"")</f>
        <v>26.9708</v>
      </c>
      <c r="F1725" s="13" t="n">
        <f aca="false">IFERROR($C1725*$E1725,"")</f>
        <v>13.4854</v>
      </c>
    </row>
    <row r="1726" customFormat="false" ht="15" hidden="false" customHeight="true" outlineLevel="0" collapsed="false">
      <c r="A1726" s="66" t="s">
        <v>565</v>
      </c>
      <c r="B1726" s="66" t="s">
        <v>146</v>
      </c>
      <c r="C1726" s="66" t="n">
        <v>1</v>
      </c>
      <c r="D1726" s="70" t="str">
        <f aca="false">IFERROR(INDEX(المكونات!$B$2:$B$500,MATCH($B1726,المكونات!$A$2:$A$500,0)),"")</f>
        <v>قطعة</v>
      </c>
      <c r="E1726" s="71" t="n">
        <f aca="false">IFERROR(INDEX(المكونات!$C$2:$C$500,MATCH($B1726,المكونات!$A$2:$A$500,0)),"")</f>
        <v>5.65</v>
      </c>
      <c r="F1726" s="13" t="n">
        <f aca="false">IFERROR($C1726*$E1726,"")</f>
        <v>5.65</v>
      </c>
    </row>
    <row r="1727" customFormat="false" ht="15" hidden="false" customHeight="true" outlineLevel="0" collapsed="false">
      <c r="A1727" s="66" t="s">
        <v>565</v>
      </c>
      <c r="B1727" s="66" t="s">
        <v>350</v>
      </c>
      <c r="C1727" s="66" t="n">
        <v>1</v>
      </c>
      <c r="D1727" s="70" t="str">
        <f aca="false">IFERROR(INDEX(المكونات!$B$2:$B$500,MATCH($B1727,المكونات!$A$2:$A$500,0)),"")</f>
        <v>قطعة</v>
      </c>
      <c r="E1727" s="71" t="n">
        <f aca="false">IFERROR(INDEX(المكونات!$C$2:$C$500,MATCH($B1727,المكونات!$A$2:$A$500,0)),"")</f>
        <v>7</v>
      </c>
      <c r="F1727" s="13" t="n">
        <f aca="false">IFERROR($C1727*$E1727,"")</f>
        <v>7</v>
      </c>
    </row>
    <row r="1728" customFormat="false" ht="15" hidden="false" customHeight="true" outlineLevel="0" collapsed="false">
      <c r="A1728" s="66" t="s">
        <v>565</v>
      </c>
      <c r="B1728" s="66" t="s">
        <v>300</v>
      </c>
      <c r="C1728" s="66" t="n">
        <v>1</v>
      </c>
      <c r="D1728" s="70" t="str">
        <f aca="false">IFERROR(INDEX(المكونات!$B$2:$B$500,MATCH($B1728,المكونات!$A$2:$A$500,0)),"")</f>
        <v>قطعة</v>
      </c>
      <c r="E1728" s="71" t="n">
        <f aca="false">IFERROR(INDEX(المكونات!$C$2:$C$500,MATCH($B1728,المكونات!$A$2:$A$500,0)),"")</f>
        <v>6</v>
      </c>
      <c r="F1728" s="13" t="n">
        <f aca="false">IFERROR($C1728*$E1728,"")</f>
        <v>6</v>
      </c>
    </row>
    <row r="1729" customFormat="false" ht="15" hidden="false" customHeight="true" outlineLevel="0" collapsed="false">
      <c r="A1729" s="66" t="s">
        <v>566</v>
      </c>
      <c r="B1729" s="66" t="s">
        <v>162</v>
      </c>
      <c r="C1729" s="66" t="n">
        <v>1</v>
      </c>
      <c r="D1729" s="70" t="str">
        <f aca="false">IFERROR(INDEX(المكونات!$B$2:$B$500,MATCH($B1729,المكونات!$A$2:$A$500,0)),"")</f>
        <v>قطعة</v>
      </c>
      <c r="E1729" s="71" t="n">
        <f aca="false">IFERROR(INDEX(المكونات!$C$2:$C$500,MATCH($B1729,المكونات!$A$2:$A$500,0)),"")</f>
        <v>30</v>
      </c>
      <c r="F1729" s="13" t="n">
        <f aca="false">IFERROR($C1729*$E1729,"")</f>
        <v>30</v>
      </c>
    </row>
    <row r="1730" customFormat="false" ht="15" hidden="false" customHeight="true" outlineLevel="0" collapsed="false">
      <c r="A1730" s="66" t="s">
        <v>566</v>
      </c>
      <c r="B1730" s="66" t="s">
        <v>146</v>
      </c>
      <c r="C1730" s="66" t="n">
        <v>1</v>
      </c>
      <c r="D1730" s="70" t="str">
        <f aca="false">IFERROR(INDEX(المكونات!$B$2:$B$500,MATCH($B1730,المكونات!$A$2:$A$500,0)),"")</f>
        <v>قطعة</v>
      </c>
      <c r="E1730" s="71" t="n">
        <f aca="false">IFERROR(INDEX(المكونات!$C$2:$C$500,MATCH($B1730,المكونات!$A$2:$A$500,0)),"")</f>
        <v>5.65</v>
      </c>
      <c r="F1730" s="13" t="n">
        <f aca="false">IFERROR($C1730*$E1730,"")</f>
        <v>5.65</v>
      </c>
    </row>
    <row r="1731" customFormat="false" ht="15" hidden="false" customHeight="true" outlineLevel="0" collapsed="false">
      <c r="A1731" s="66" t="s">
        <v>566</v>
      </c>
      <c r="B1731" s="66" t="s">
        <v>350</v>
      </c>
      <c r="C1731" s="66" t="n">
        <v>1</v>
      </c>
      <c r="D1731" s="70" t="str">
        <f aca="false">IFERROR(INDEX(المكونات!$B$2:$B$500,MATCH($B1731,المكونات!$A$2:$A$500,0)),"")</f>
        <v>قطعة</v>
      </c>
      <c r="E1731" s="71" t="n">
        <f aca="false">IFERROR(INDEX(المكونات!$C$2:$C$500,MATCH($B1731,المكونات!$A$2:$A$500,0)),"")</f>
        <v>7</v>
      </c>
      <c r="F1731" s="13" t="n">
        <f aca="false">IFERROR($C1731*$E1731,"")</f>
        <v>7</v>
      </c>
    </row>
    <row r="1732" customFormat="false" ht="15" hidden="false" customHeight="true" outlineLevel="0" collapsed="false">
      <c r="A1732" s="66" t="s">
        <v>566</v>
      </c>
      <c r="B1732" s="66" t="s">
        <v>300</v>
      </c>
      <c r="C1732" s="66" t="n">
        <v>1</v>
      </c>
      <c r="D1732" s="70" t="str">
        <f aca="false">IFERROR(INDEX(المكونات!$B$2:$B$500,MATCH($B1732,المكونات!$A$2:$A$500,0)),"")</f>
        <v>قطعة</v>
      </c>
      <c r="E1732" s="71" t="n">
        <f aca="false">IFERROR(INDEX(المكونات!$C$2:$C$500,MATCH($B1732,المكونات!$A$2:$A$500,0)),"")</f>
        <v>6</v>
      </c>
      <c r="F1732" s="13" t="n">
        <f aca="false">IFERROR($C1732*$E1732,"")</f>
        <v>6</v>
      </c>
    </row>
    <row r="1733" customFormat="false" ht="15" hidden="false" customHeight="true" outlineLevel="0" collapsed="false">
      <c r="A1733" s="66" t="s">
        <v>567</v>
      </c>
      <c r="B1733" s="66" t="s">
        <v>162</v>
      </c>
      <c r="C1733" s="66" t="n">
        <v>1</v>
      </c>
      <c r="D1733" s="70" t="str">
        <f aca="false">IFERROR(INDEX(المكونات!$B$2:$B$500,MATCH($B1733,المكونات!$A$2:$A$500,0)),"")</f>
        <v>قطعة</v>
      </c>
      <c r="E1733" s="71" t="n">
        <f aca="false">IFERROR(INDEX(المكونات!$C$2:$C$500,MATCH($B1733,المكونات!$A$2:$A$500,0)),"")</f>
        <v>30</v>
      </c>
      <c r="F1733" s="13" t="n">
        <f aca="false">IFERROR($C1733*$E1733,"")</f>
        <v>30</v>
      </c>
    </row>
    <row r="1734" customFormat="false" ht="15" hidden="false" customHeight="true" outlineLevel="0" collapsed="false">
      <c r="A1734" s="66" t="s">
        <v>567</v>
      </c>
      <c r="B1734" s="66" t="s">
        <v>309</v>
      </c>
      <c r="C1734" s="66" t="n">
        <v>0.075</v>
      </c>
      <c r="D1734" s="70" t="str">
        <f aca="false">IFERROR(INDEX(المكونات!$B$2:$B$500,MATCH($B1734,المكونات!$A$2:$A$500,0)),"")</f>
        <v>كجم</v>
      </c>
      <c r="E1734" s="71" t="n">
        <f aca="false">IFERROR(INDEX(المكونات!$C$2:$C$500,MATCH($B1734,المكونات!$A$2:$A$500,0)),"")</f>
        <v>24</v>
      </c>
      <c r="F1734" s="13" t="n">
        <f aca="false">IFERROR($C1734*$E1734,"")</f>
        <v>1.8</v>
      </c>
    </row>
    <row r="1735" customFormat="false" ht="15" hidden="false" customHeight="true" outlineLevel="0" collapsed="false">
      <c r="A1735" s="66" t="s">
        <v>567</v>
      </c>
      <c r="B1735" s="66" t="s">
        <v>186</v>
      </c>
      <c r="C1735" s="66" t="n">
        <v>0.1</v>
      </c>
      <c r="D1735" s="70" t="str">
        <f aca="false">IFERROR(INDEX(المكونات!$B$2:$B$500,MATCH($B1735,المكونات!$A$2:$A$500,0)),"")</f>
        <v>كجم</v>
      </c>
      <c r="E1735" s="71" t="n">
        <f aca="false">IFERROR(INDEX(المكونات!$C$2:$C$500,MATCH($B1735,المكونات!$A$2:$A$500,0)),"")</f>
        <v>41</v>
      </c>
      <c r="F1735" s="13" t="n">
        <f aca="false">IFERROR($C1735*$E1735,"")</f>
        <v>4.1</v>
      </c>
    </row>
    <row r="1736" customFormat="false" ht="15" hidden="false" customHeight="true" outlineLevel="0" collapsed="false">
      <c r="A1736" s="66" t="s">
        <v>567</v>
      </c>
      <c r="B1736" s="66" t="s">
        <v>298</v>
      </c>
      <c r="C1736" s="66" t="n">
        <v>0.025</v>
      </c>
      <c r="D1736" s="70" t="str">
        <f aca="false">IFERROR(INDEX(المكونات!$B$2:$B$500,MATCH($B1736,المكونات!$A$2:$A$500,0)),"")</f>
        <v>لتر</v>
      </c>
      <c r="E1736" s="71" t="n">
        <f aca="false">IFERROR(INDEX(المكونات!$C$2:$C$500,MATCH($B1736,المكونات!$A$2:$A$500,0)),"")</f>
        <v>20.6667</v>
      </c>
      <c r="F1736" s="13" t="n">
        <f aca="false">IFERROR($C1736*$E1736,"")</f>
        <v>0.5166675</v>
      </c>
    </row>
    <row r="1737" customFormat="false" ht="15" hidden="false" customHeight="true" outlineLevel="0" collapsed="false">
      <c r="A1737" s="66" t="s">
        <v>567</v>
      </c>
      <c r="B1737" s="66" t="s">
        <v>220</v>
      </c>
      <c r="C1737" s="66" t="n">
        <v>0.005</v>
      </c>
      <c r="D1737" s="70" t="str">
        <f aca="false">IFERROR(INDEX(المكونات!$B$2:$B$500,MATCH($B1737,المكونات!$A$2:$A$500,0)),"")</f>
        <v>كجم</v>
      </c>
      <c r="E1737" s="71" t="n">
        <f aca="false">IFERROR(INDEX(المكونات!$C$2:$C$500,MATCH($B1737,المكونات!$A$2:$A$500,0)),"")</f>
        <v>120</v>
      </c>
      <c r="F1737" s="13" t="n">
        <f aca="false">IFERROR($C1737*$E1737,"")</f>
        <v>0.6</v>
      </c>
    </row>
    <row r="1738" customFormat="false" ht="15" hidden="false" customHeight="true" outlineLevel="0" collapsed="false">
      <c r="A1738" s="66" t="s">
        <v>567</v>
      </c>
      <c r="B1738" s="66" t="s">
        <v>350</v>
      </c>
      <c r="C1738" s="66" t="n">
        <v>1</v>
      </c>
      <c r="D1738" s="70" t="str">
        <f aca="false">IFERROR(INDEX(المكونات!$B$2:$B$500,MATCH($B1738,المكونات!$A$2:$A$500,0)),"")</f>
        <v>قطعة</v>
      </c>
      <c r="E1738" s="71" t="n">
        <f aca="false">IFERROR(INDEX(المكونات!$C$2:$C$500,MATCH($B1738,المكونات!$A$2:$A$500,0)),"")</f>
        <v>7</v>
      </c>
      <c r="F1738" s="13" t="n">
        <f aca="false">IFERROR($C1738*$E1738,"")</f>
        <v>7</v>
      </c>
    </row>
    <row r="1739" customFormat="false" ht="15" hidden="false" customHeight="true" outlineLevel="0" collapsed="false">
      <c r="A1739" s="66" t="s">
        <v>567</v>
      </c>
      <c r="B1739" s="66" t="s">
        <v>300</v>
      </c>
      <c r="C1739" s="66" t="n">
        <v>1</v>
      </c>
      <c r="D1739" s="70" t="str">
        <f aca="false">IFERROR(INDEX(المكونات!$B$2:$B$500,MATCH($B1739,المكونات!$A$2:$A$500,0)),"")</f>
        <v>قطعة</v>
      </c>
      <c r="E1739" s="71" t="n">
        <f aca="false">IFERROR(INDEX(المكونات!$C$2:$C$500,MATCH($B1739,المكونات!$A$2:$A$500,0)),"")</f>
        <v>6</v>
      </c>
      <c r="F1739" s="13" t="n">
        <f aca="false">IFERROR($C1739*$E1739,"")</f>
        <v>6</v>
      </c>
    </row>
    <row r="1740" customFormat="false" ht="15" hidden="false" customHeight="true" outlineLevel="0" collapsed="false">
      <c r="A1740" s="66" t="s">
        <v>568</v>
      </c>
      <c r="B1740" s="66" t="s">
        <v>140</v>
      </c>
      <c r="C1740" s="66" t="n">
        <v>1</v>
      </c>
      <c r="D1740" s="70" t="str">
        <f aca="false">IFERROR(INDEX(المكونات!$B$2:$B$500,MATCH($B1740,المكونات!$A$2:$A$500,0)),"")</f>
        <v>قطعة</v>
      </c>
      <c r="E1740" s="71" t="n">
        <f aca="false">IFERROR(INDEX(المكونات!$C$2:$C$500,MATCH($B1740,المكونات!$A$2:$A$500,0)),"")</f>
        <v>18</v>
      </c>
      <c r="F1740" s="13" t="n">
        <f aca="false">IFERROR($C1740*$E1740,"")</f>
        <v>18</v>
      </c>
    </row>
    <row r="1741" customFormat="false" ht="15" hidden="false" customHeight="true" outlineLevel="0" collapsed="false">
      <c r="A1741" s="66" t="s">
        <v>569</v>
      </c>
      <c r="B1741" s="66" t="s">
        <v>148</v>
      </c>
      <c r="C1741" s="66" t="n">
        <v>1.5</v>
      </c>
      <c r="D1741" s="70" t="str">
        <f aca="false">IFERROR(INDEX(المكونات!$B$2:$B$500,MATCH($B1741,المكونات!$A$2:$A$500,0)),"")</f>
        <v>قطعة</v>
      </c>
      <c r="E1741" s="71" t="n">
        <f aca="false">IFERROR(INDEX(المكونات!$C$2:$C$500,MATCH($B1741,المكونات!$A$2:$A$500,0)),"")</f>
        <v>9</v>
      </c>
      <c r="F1741" s="13" t="n">
        <f aca="false">IFERROR($C1741*$E1741,"")</f>
        <v>13.5</v>
      </c>
    </row>
    <row r="1742" customFormat="false" ht="15" hidden="false" customHeight="true" outlineLevel="0" collapsed="false">
      <c r="A1742" s="66" t="s">
        <v>352</v>
      </c>
      <c r="B1742" s="66" t="s">
        <v>352</v>
      </c>
      <c r="C1742" s="66" t="n">
        <v>1</v>
      </c>
      <c r="D1742" s="70" t="str">
        <f aca="false">IFERROR(INDEX(المكونات!$B$2:$B$500,MATCH($B1742,المكونات!$A$2:$A$500,0)),"")</f>
        <v>قطعة</v>
      </c>
      <c r="E1742" s="71" t="n">
        <f aca="false">IFERROR(INDEX(المكونات!$C$2:$C$500,MATCH($B1742,المكونات!$A$2:$A$500,0)),"")</f>
        <v>40</v>
      </c>
      <c r="F1742" s="13" t="n">
        <f aca="false">IFERROR($C1742*$E1742,"")</f>
        <v>40</v>
      </c>
    </row>
    <row r="1743" customFormat="false" ht="15" hidden="false" customHeight="true" outlineLevel="0" collapsed="false">
      <c r="A1743" s="66" t="s">
        <v>570</v>
      </c>
      <c r="B1743" s="66" t="s">
        <v>354</v>
      </c>
      <c r="C1743" s="66" t="n">
        <v>1</v>
      </c>
      <c r="D1743" s="70" t="str">
        <f aca="false">IFERROR(INDEX(المكونات!$B$2:$B$500,MATCH($B1743,المكونات!$A$2:$A$500,0)),"")</f>
        <v>قطعة</v>
      </c>
      <c r="E1743" s="71" t="n">
        <f aca="false">IFERROR(INDEX(المكونات!$C$2:$C$500,MATCH($B1743,المكونات!$A$2:$A$500,0)),"")</f>
        <v>7</v>
      </c>
      <c r="F1743" s="13" t="n">
        <f aca="false">IFERROR($C1743*$E1743,"")</f>
        <v>7</v>
      </c>
    </row>
    <row r="1744" customFormat="false" ht="15" hidden="false" customHeight="true" outlineLevel="0" collapsed="false">
      <c r="A1744" s="49"/>
      <c r="B1744" s="49"/>
      <c r="C1744" s="49"/>
      <c r="D1744" s="70" t="str">
        <f aca="false">IFERROR(INDEX(المكونات!$B$2:$B$500,MATCH($B1744,المكونات!$A$2:$A$500,0)),"")</f>
        <v/>
      </c>
      <c r="E1744" s="71" t="str">
        <f aca="false">IFERROR(INDEX(المكونات!$C$2:$C$500,MATCH($B1744,المكونات!$A$2:$A$500,0)),"")</f>
        <v/>
      </c>
      <c r="F1744" s="13" t="str">
        <f aca="false">IFERROR($C1744*$E1744,"")</f>
        <v/>
      </c>
    </row>
    <row r="1745" customFormat="false" ht="15" hidden="false" customHeight="true" outlineLevel="0" collapsed="false">
      <c r="A1745" s="49"/>
      <c r="B1745" s="49"/>
      <c r="C1745" s="49"/>
      <c r="D1745" s="70" t="str">
        <f aca="false">IFERROR(INDEX(المكونات!$B$2:$B$500,MATCH($B1745,المكونات!$A$2:$A$500,0)),"")</f>
        <v/>
      </c>
      <c r="E1745" s="71" t="str">
        <f aca="false">IFERROR(INDEX(المكونات!$C$2:$C$500,MATCH($B1745,المكونات!$A$2:$A$500,0)),"")</f>
        <v/>
      </c>
      <c r="F1745" s="13" t="str">
        <f aca="false">IFERROR($C1745*$E1745,"")</f>
        <v/>
      </c>
    </row>
    <row r="1746" customFormat="false" ht="15" hidden="false" customHeight="true" outlineLevel="0" collapsed="false">
      <c r="A1746" s="49"/>
      <c r="B1746" s="49"/>
      <c r="C1746" s="49"/>
      <c r="D1746" s="70" t="str">
        <f aca="false">IFERROR(INDEX(المكونات!$B$2:$B$500,MATCH($B1746,المكونات!$A$2:$A$500,0)),"")</f>
        <v/>
      </c>
      <c r="E1746" s="71" t="str">
        <f aca="false">IFERROR(INDEX(المكونات!$C$2:$C$500,MATCH($B1746,المكونات!$A$2:$A$500,0)),"")</f>
        <v/>
      </c>
      <c r="F1746" s="13" t="str">
        <f aca="false">IFERROR($C1746*$E1746,"")</f>
        <v/>
      </c>
    </row>
    <row r="1747" customFormat="false" ht="15" hidden="false" customHeight="true" outlineLevel="0" collapsed="false">
      <c r="A1747" s="49"/>
      <c r="B1747" s="49"/>
      <c r="C1747" s="49"/>
      <c r="D1747" s="70" t="str">
        <f aca="false">IFERROR(INDEX(المكونات!$B$2:$B$500,MATCH($B1747,المكونات!$A$2:$A$500,0)),"")</f>
        <v/>
      </c>
      <c r="E1747" s="71" t="str">
        <f aca="false">IFERROR(INDEX(المكونات!$C$2:$C$500,MATCH($B1747,المكونات!$A$2:$A$500,0)),"")</f>
        <v/>
      </c>
      <c r="F1747" s="13" t="str">
        <f aca="false">IFERROR($C1747*$E1747,"")</f>
        <v/>
      </c>
    </row>
    <row r="1748" customFormat="false" ht="15" hidden="false" customHeight="true" outlineLevel="0" collapsed="false">
      <c r="A1748" s="49"/>
      <c r="B1748" s="49"/>
      <c r="C1748" s="49"/>
      <c r="D1748" s="70" t="str">
        <f aca="false">IFERROR(INDEX(المكونات!$B$2:$B$500,MATCH($B1748,المكونات!$A$2:$A$500,0)),"")</f>
        <v/>
      </c>
      <c r="E1748" s="71" t="str">
        <f aca="false">IFERROR(INDEX(المكونات!$C$2:$C$500,MATCH($B1748,المكونات!$A$2:$A$500,0)),"")</f>
        <v/>
      </c>
      <c r="F1748" s="13" t="str">
        <f aca="false">IFERROR($C1748*$E1748,"")</f>
        <v/>
      </c>
    </row>
    <row r="1749" customFormat="false" ht="15" hidden="false" customHeight="true" outlineLevel="0" collapsed="false">
      <c r="A1749" s="49"/>
      <c r="B1749" s="49"/>
      <c r="C1749" s="49"/>
      <c r="D1749" s="70" t="str">
        <f aca="false">IFERROR(INDEX(المكونات!$B$2:$B$500,MATCH($B1749,المكونات!$A$2:$A$500,0)),"")</f>
        <v/>
      </c>
      <c r="E1749" s="71" t="str">
        <f aca="false">IFERROR(INDEX(المكونات!$C$2:$C$500,MATCH($B1749,المكونات!$A$2:$A$500,0)),"")</f>
        <v/>
      </c>
      <c r="F1749" s="13" t="str">
        <f aca="false">IFERROR($C1749*$E1749,"")</f>
        <v/>
      </c>
    </row>
    <row r="1750" customFormat="false" ht="15" hidden="false" customHeight="true" outlineLevel="0" collapsed="false">
      <c r="A1750" s="49"/>
      <c r="B1750" s="49"/>
      <c r="C1750" s="49"/>
      <c r="D1750" s="70" t="str">
        <f aca="false">IFERROR(INDEX(المكونات!$B$2:$B$500,MATCH($B1750,المكونات!$A$2:$A$500,0)),"")</f>
        <v/>
      </c>
      <c r="E1750" s="71" t="str">
        <f aca="false">IFERROR(INDEX(المكونات!$C$2:$C$500,MATCH($B1750,المكونات!$A$2:$A$500,0)),"")</f>
        <v/>
      </c>
      <c r="F1750" s="13" t="str">
        <f aca="false">IFERROR($C1750*$E1750,"")</f>
        <v/>
      </c>
    </row>
    <row r="1751" customFormat="false" ht="15" hidden="false" customHeight="true" outlineLevel="0" collapsed="false">
      <c r="A1751" s="49"/>
      <c r="B1751" s="49"/>
      <c r="C1751" s="49"/>
      <c r="D1751" s="70" t="str">
        <f aca="false">IFERROR(INDEX(المكونات!$B$2:$B$500,MATCH($B1751,المكونات!$A$2:$A$500,0)),"")</f>
        <v/>
      </c>
      <c r="E1751" s="71" t="str">
        <f aca="false">IFERROR(INDEX(المكونات!$C$2:$C$500,MATCH($B1751,المكونات!$A$2:$A$500,0)),"")</f>
        <v/>
      </c>
      <c r="F1751" s="13" t="str">
        <f aca="false">IFERROR($C1751*$E1751,"")</f>
        <v/>
      </c>
    </row>
    <row r="1752" customFormat="false" ht="15" hidden="false" customHeight="true" outlineLevel="0" collapsed="false">
      <c r="A1752" s="49"/>
      <c r="B1752" s="49"/>
      <c r="C1752" s="49"/>
      <c r="D1752" s="70" t="str">
        <f aca="false">IFERROR(INDEX(المكونات!$B$2:$B$500,MATCH($B1752,المكونات!$A$2:$A$500,0)),"")</f>
        <v/>
      </c>
      <c r="E1752" s="71" t="str">
        <f aca="false">IFERROR(INDEX(المكونات!$C$2:$C$500,MATCH($B1752,المكونات!$A$2:$A$500,0)),"")</f>
        <v/>
      </c>
      <c r="F1752" s="13" t="str">
        <f aca="false">IFERROR($C1752*$E1752,"")</f>
        <v/>
      </c>
    </row>
    <row r="1753" customFormat="false" ht="15" hidden="false" customHeight="true" outlineLevel="0" collapsed="false">
      <c r="A1753" s="49"/>
      <c r="B1753" s="49"/>
      <c r="C1753" s="49"/>
      <c r="D1753" s="70" t="str">
        <f aca="false">IFERROR(INDEX(المكونات!$B$2:$B$500,MATCH($B1753,المكونات!$A$2:$A$500,0)),"")</f>
        <v/>
      </c>
      <c r="E1753" s="71" t="str">
        <f aca="false">IFERROR(INDEX(المكونات!$C$2:$C$500,MATCH($B1753,المكونات!$A$2:$A$500,0)),"")</f>
        <v/>
      </c>
      <c r="F1753" s="13" t="str">
        <f aca="false">IFERROR($C1753*$E1753,"")</f>
        <v/>
      </c>
    </row>
    <row r="1754" customFormat="false" ht="15" hidden="false" customHeight="true" outlineLevel="0" collapsed="false">
      <c r="A1754" s="49"/>
      <c r="B1754" s="49"/>
      <c r="C1754" s="49"/>
      <c r="D1754" s="70" t="str">
        <f aca="false">IFERROR(INDEX(المكونات!$B$2:$B$500,MATCH($B1754,المكونات!$A$2:$A$500,0)),"")</f>
        <v/>
      </c>
      <c r="E1754" s="71" t="str">
        <f aca="false">IFERROR(INDEX(المكونات!$C$2:$C$500,MATCH($B1754,المكونات!$A$2:$A$500,0)),"")</f>
        <v/>
      </c>
      <c r="F1754" s="13" t="str">
        <f aca="false">IFERROR($C1754*$E1754,"")</f>
        <v/>
      </c>
    </row>
    <row r="1755" customFormat="false" ht="15" hidden="false" customHeight="true" outlineLevel="0" collapsed="false">
      <c r="A1755" s="49"/>
      <c r="B1755" s="49"/>
      <c r="C1755" s="49"/>
      <c r="D1755" s="70" t="str">
        <f aca="false">IFERROR(INDEX(المكونات!$B$2:$B$500,MATCH($B1755,المكونات!$A$2:$A$500,0)),"")</f>
        <v/>
      </c>
      <c r="E1755" s="71" t="str">
        <f aca="false">IFERROR(INDEX(المكونات!$C$2:$C$500,MATCH($B1755,المكونات!$A$2:$A$500,0)),"")</f>
        <v/>
      </c>
      <c r="F1755" s="13" t="str">
        <f aca="false">IFERROR($C1755*$E1755,"")</f>
        <v/>
      </c>
    </row>
    <row r="1756" customFormat="false" ht="15" hidden="false" customHeight="true" outlineLevel="0" collapsed="false">
      <c r="A1756" s="49"/>
      <c r="B1756" s="49"/>
      <c r="C1756" s="49"/>
      <c r="D1756" s="70" t="str">
        <f aca="false">IFERROR(INDEX(المكونات!$B$2:$B$500,MATCH($B1756,المكونات!$A$2:$A$500,0)),"")</f>
        <v/>
      </c>
      <c r="E1756" s="71" t="str">
        <f aca="false">IFERROR(INDEX(المكونات!$C$2:$C$500,MATCH($B1756,المكونات!$A$2:$A$500,0)),"")</f>
        <v/>
      </c>
      <c r="F1756" s="13" t="str">
        <f aca="false">IFERROR($C1756*$E1756,"")</f>
        <v/>
      </c>
    </row>
    <row r="1757" customFormat="false" ht="15" hidden="false" customHeight="true" outlineLevel="0" collapsed="false">
      <c r="A1757" s="49"/>
      <c r="B1757" s="49"/>
      <c r="C1757" s="49"/>
      <c r="D1757" s="70" t="str">
        <f aca="false">IFERROR(INDEX(المكونات!$B$2:$B$500,MATCH($B1757,المكونات!$A$2:$A$500,0)),"")</f>
        <v/>
      </c>
      <c r="E1757" s="71" t="str">
        <f aca="false">IFERROR(INDEX(المكونات!$C$2:$C$500,MATCH($B1757,المكونات!$A$2:$A$500,0)),"")</f>
        <v/>
      </c>
      <c r="F1757" s="13" t="str">
        <f aca="false">IFERROR($C1757*$E1757,"")</f>
        <v/>
      </c>
    </row>
    <row r="1758" customFormat="false" ht="15" hidden="false" customHeight="true" outlineLevel="0" collapsed="false">
      <c r="A1758" s="49"/>
      <c r="B1758" s="49"/>
      <c r="C1758" s="49"/>
      <c r="D1758" s="70" t="str">
        <f aca="false">IFERROR(INDEX(المكونات!$B$2:$B$500,MATCH($B1758,المكونات!$A$2:$A$500,0)),"")</f>
        <v/>
      </c>
      <c r="E1758" s="71" t="str">
        <f aca="false">IFERROR(INDEX(المكونات!$C$2:$C$500,MATCH($B1758,المكونات!$A$2:$A$500,0)),"")</f>
        <v/>
      </c>
      <c r="F1758" s="13" t="str">
        <f aca="false">IFERROR($C1758*$E1758,"")</f>
        <v/>
      </c>
    </row>
    <row r="1759" customFormat="false" ht="15" hidden="false" customHeight="true" outlineLevel="0" collapsed="false">
      <c r="A1759" s="49"/>
      <c r="B1759" s="49"/>
      <c r="C1759" s="49"/>
      <c r="D1759" s="70" t="str">
        <f aca="false">IFERROR(INDEX(المكونات!$B$2:$B$500,MATCH($B1759,المكونات!$A$2:$A$500,0)),"")</f>
        <v/>
      </c>
      <c r="E1759" s="71" t="str">
        <f aca="false">IFERROR(INDEX(المكونات!$C$2:$C$500,MATCH($B1759,المكونات!$A$2:$A$500,0)),"")</f>
        <v/>
      </c>
      <c r="F1759" s="13" t="str">
        <f aca="false">IFERROR($C1759*$E1759,"")</f>
        <v/>
      </c>
    </row>
    <row r="1760" customFormat="false" ht="15" hidden="false" customHeight="true" outlineLevel="0" collapsed="false">
      <c r="A1760" s="49"/>
      <c r="B1760" s="49"/>
      <c r="C1760" s="49"/>
      <c r="D1760" s="70" t="str">
        <f aca="false">IFERROR(INDEX(المكونات!$B$2:$B$500,MATCH($B1760,المكونات!$A$2:$A$500,0)),"")</f>
        <v/>
      </c>
      <c r="E1760" s="71" t="str">
        <f aca="false">IFERROR(INDEX(المكونات!$C$2:$C$500,MATCH($B1760,المكونات!$A$2:$A$500,0)),"")</f>
        <v/>
      </c>
      <c r="F1760" s="13" t="str">
        <f aca="false">IFERROR($C1760*$E1760,"")</f>
        <v/>
      </c>
    </row>
    <row r="1761" customFormat="false" ht="15" hidden="false" customHeight="true" outlineLevel="0" collapsed="false">
      <c r="A1761" s="49"/>
      <c r="B1761" s="49"/>
      <c r="C1761" s="49"/>
      <c r="D1761" s="70" t="str">
        <f aca="false">IFERROR(INDEX(المكونات!$B$2:$B$500,MATCH($B1761,المكونات!$A$2:$A$500,0)),"")</f>
        <v/>
      </c>
      <c r="E1761" s="71" t="str">
        <f aca="false">IFERROR(INDEX(المكونات!$C$2:$C$500,MATCH($B1761,المكونات!$A$2:$A$500,0)),"")</f>
        <v/>
      </c>
      <c r="F1761" s="13" t="str">
        <f aca="false">IFERROR($C1761*$E1761,"")</f>
        <v/>
      </c>
    </row>
    <row r="1762" customFormat="false" ht="15" hidden="false" customHeight="true" outlineLevel="0" collapsed="false">
      <c r="A1762" s="49"/>
      <c r="B1762" s="49"/>
      <c r="C1762" s="49"/>
      <c r="D1762" s="70" t="str">
        <f aca="false">IFERROR(INDEX(المكونات!$B$2:$B$500,MATCH($B1762,المكونات!$A$2:$A$500,0)),"")</f>
        <v/>
      </c>
      <c r="E1762" s="71" t="str">
        <f aca="false">IFERROR(INDEX(المكونات!$C$2:$C$500,MATCH($B1762,المكونات!$A$2:$A$500,0)),"")</f>
        <v/>
      </c>
      <c r="F1762" s="13" t="str">
        <f aca="false">IFERROR($C1762*$E1762,"")</f>
        <v/>
      </c>
    </row>
    <row r="1763" customFormat="false" ht="15" hidden="false" customHeight="true" outlineLevel="0" collapsed="false">
      <c r="A1763" s="49"/>
      <c r="B1763" s="49"/>
      <c r="C1763" s="49"/>
      <c r="D1763" s="70" t="str">
        <f aca="false">IFERROR(INDEX(المكونات!$B$2:$B$500,MATCH($B1763,المكونات!$A$2:$A$500,0)),"")</f>
        <v/>
      </c>
      <c r="E1763" s="71" t="str">
        <f aca="false">IFERROR(INDEX(المكونات!$C$2:$C$500,MATCH($B1763,المكونات!$A$2:$A$500,0)),"")</f>
        <v/>
      </c>
      <c r="F1763" s="13" t="str">
        <f aca="false">IFERROR($C1763*$E1763,"")</f>
        <v/>
      </c>
    </row>
    <row r="1764" customFormat="false" ht="15" hidden="false" customHeight="true" outlineLevel="0" collapsed="false">
      <c r="A1764" s="49"/>
      <c r="B1764" s="49"/>
      <c r="C1764" s="49"/>
      <c r="D1764" s="70" t="str">
        <f aca="false">IFERROR(INDEX(المكونات!$B$2:$B$500,MATCH($B1764,المكونات!$A$2:$A$500,0)),"")</f>
        <v/>
      </c>
      <c r="E1764" s="71" t="str">
        <f aca="false">IFERROR(INDEX(المكونات!$C$2:$C$500,MATCH($B1764,المكونات!$A$2:$A$500,0)),"")</f>
        <v/>
      </c>
      <c r="F1764" s="13" t="str">
        <f aca="false">IFERROR($C1764*$E1764,"")</f>
        <v/>
      </c>
    </row>
    <row r="1765" customFormat="false" ht="15" hidden="false" customHeight="true" outlineLevel="0" collapsed="false">
      <c r="A1765" s="49"/>
      <c r="B1765" s="49"/>
      <c r="C1765" s="49"/>
      <c r="D1765" s="70" t="str">
        <f aca="false">IFERROR(INDEX(المكونات!$B$2:$B$500,MATCH($B1765,المكونات!$A$2:$A$500,0)),"")</f>
        <v/>
      </c>
      <c r="E1765" s="71" t="str">
        <f aca="false">IFERROR(INDEX(المكونات!$C$2:$C$500,MATCH($B1765,المكونات!$A$2:$A$500,0)),"")</f>
        <v/>
      </c>
      <c r="F1765" s="13" t="str">
        <f aca="false">IFERROR($C1765*$E1765,"")</f>
        <v/>
      </c>
    </row>
    <row r="1766" customFormat="false" ht="15" hidden="false" customHeight="true" outlineLevel="0" collapsed="false">
      <c r="A1766" s="49"/>
      <c r="B1766" s="49"/>
      <c r="C1766" s="49"/>
      <c r="D1766" s="70" t="str">
        <f aca="false">IFERROR(INDEX(المكونات!$B$2:$B$500,MATCH($B1766,المكونات!$A$2:$A$500,0)),"")</f>
        <v/>
      </c>
      <c r="E1766" s="71" t="str">
        <f aca="false">IFERROR(INDEX(المكونات!$C$2:$C$500,MATCH($B1766,المكونات!$A$2:$A$500,0)),"")</f>
        <v/>
      </c>
      <c r="F1766" s="13" t="str">
        <f aca="false">IFERROR($C1766*$E1766,"")</f>
        <v/>
      </c>
    </row>
    <row r="1767" customFormat="false" ht="15" hidden="false" customHeight="true" outlineLevel="0" collapsed="false">
      <c r="A1767" s="49"/>
      <c r="B1767" s="49"/>
      <c r="C1767" s="49"/>
      <c r="D1767" s="70" t="str">
        <f aca="false">IFERROR(INDEX(المكونات!$B$2:$B$500,MATCH($B1767,المكونات!$A$2:$A$500,0)),"")</f>
        <v/>
      </c>
      <c r="E1767" s="71" t="str">
        <f aca="false">IFERROR(INDEX(المكونات!$C$2:$C$500,MATCH($B1767,المكونات!$A$2:$A$500,0)),"")</f>
        <v/>
      </c>
      <c r="F1767" s="13" t="str">
        <f aca="false">IFERROR($C1767*$E1767,"")</f>
        <v/>
      </c>
    </row>
    <row r="1768" customFormat="false" ht="15" hidden="false" customHeight="true" outlineLevel="0" collapsed="false">
      <c r="A1768" s="49"/>
      <c r="B1768" s="49"/>
      <c r="C1768" s="49"/>
      <c r="D1768" s="70" t="str">
        <f aca="false">IFERROR(INDEX(المكونات!$B$2:$B$500,MATCH($B1768,المكونات!$A$2:$A$500,0)),"")</f>
        <v/>
      </c>
      <c r="E1768" s="71" t="str">
        <f aca="false">IFERROR(INDEX(المكونات!$C$2:$C$500,MATCH($B1768,المكونات!$A$2:$A$500,0)),"")</f>
        <v/>
      </c>
      <c r="F1768" s="13" t="str">
        <f aca="false">IFERROR($C1768*$E1768,"")</f>
        <v/>
      </c>
    </row>
    <row r="1769" customFormat="false" ht="15" hidden="false" customHeight="true" outlineLevel="0" collapsed="false">
      <c r="A1769" s="49"/>
      <c r="B1769" s="49"/>
      <c r="C1769" s="49"/>
      <c r="D1769" s="70" t="str">
        <f aca="false">IFERROR(INDEX(المكونات!$B$2:$B$500,MATCH($B1769,المكونات!$A$2:$A$500,0)),"")</f>
        <v/>
      </c>
      <c r="E1769" s="71" t="str">
        <f aca="false">IFERROR(INDEX(المكونات!$C$2:$C$500,MATCH($B1769,المكونات!$A$2:$A$500,0)),"")</f>
        <v/>
      </c>
      <c r="F1769" s="13" t="str">
        <f aca="false">IFERROR($C1769*$E1769,"")</f>
        <v/>
      </c>
    </row>
    <row r="1770" customFormat="false" ht="15" hidden="false" customHeight="true" outlineLevel="0" collapsed="false">
      <c r="A1770" s="49"/>
      <c r="B1770" s="49"/>
      <c r="C1770" s="49"/>
      <c r="D1770" s="70" t="str">
        <f aca="false">IFERROR(INDEX(المكونات!$B$2:$B$500,MATCH($B1770,المكونات!$A$2:$A$500,0)),"")</f>
        <v/>
      </c>
      <c r="E1770" s="71" t="str">
        <f aca="false">IFERROR(INDEX(المكونات!$C$2:$C$500,MATCH($B1770,المكونات!$A$2:$A$500,0)),"")</f>
        <v/>
      </c>
      <c r="F1770" s="13" t="str">
        <f aca="false">IFERROR($C1770*$E1770,"")</f>
        <v/>
      </c>
    </row>
    <row r="1771" customFormat="false" ht="15" hidden="false" customHeight="true" outlineLevel="0" collapsed="false">
      <c r="A1771" s="49"/>
      <c r="B1771" s="49"/>
      <c r="C1771" s="49"/>
      <c r="D1771" s="70" t="str">
        <f aca="false">IFERROR(INDEX(المكونات!$B$2:$B$500,MATCH($B1771,المكونات!$A$2:$A$500,0)),"")</f>
        <v/>
      </c>
      <c r="E1771" s="71" t="str">
        <f aca="false">IFERROR(INDEX(المكونات!$C$2:$C$500,MATCH($B1771,المكونات!$A$2:$A$500,0)),"")</f>
        <v/>
      </c>
      <c r="F1771" s="13" t="str">
        <f aca="false">IFERROR($C1771*$E1771,"")</f>
        <v/>
      </c>
    </row>
    <row r="1772" customFormat="false" ht="15" hidden="false" customHeight="true" outlineLevel="0" collapsed="false">
      <c r="A1772" s="49"/>
      <c r="B1772" s="49"/>
      <c r="C1772" s="49"/>
      <c r="D1772" s="70" t="str">
        <f aca="false">IFERROR(INDEX(المكونات!$B$2:$B$500,MATCH($B1772,المكونات!$A$2:$A$500,0)),"")</f>
        <v/>
      </c>
      <c r="E1772" s="71" t="str">
        <f aca="false">IFERROR(INDEX(المكونات!$C$2:$C$500,MATCH($B1772,المكونات!$A$2:$A$500,0)),"")</f>
        <v/>
      </c>
      <c r="F1772" s="13" t="str">
        <f aca="false">IFERROR($C1772*$E1772,"")</f>
        <v/>
      </c>
    </row>
    <row r="1773" customFormat="false" ht="15" hidden="false" customHeight="true" outlineLevel="0" collapsed="false">
      <c r="A1773" s="49"/>
      <c r="B1773" s="49"/>
      <c r="C1773" s="49"/>
      <c r="D1773" s="70" t="str">
        <f aca="false">IFERROR(INDEX(المكونات!$B$2:$B$500,MATCH($B1773,المكونات!$A$2:$A$500,0)),"")</f>
        <v/>
      </c>
      <c r="E1773" s="71" t="str">
        <f aca="false">IFERROR(INDEX(المكونات!$C$2:$C$500,MATCH($B1773,المكونات!$A$2:$A$500,0)),"")</f>
        <v/>
      </c>
      <c r="F1773" s="13" t="str">
        <f aca="false">IFERROR($C1773*$E1773,"")</f>
        <v/>
      </c>
    </row>
    <row r="1774" customFormat="false" ht="15" hidden="false" customHeight="true" outlineLevel="0" collapsed="false">
      <c r="A1774" s="49"/>
      <c r="B1774" s="49"/>
      <c r="C1774" s="49"/>
      <c r="D1774" s="70" t="str">
        <f aca="false">IFERROR(INDEX(المكونات!$B$2:$B$500,MATCH($B1774,المكونات!$A$2:$A$500,0)),"")</f>
        <v/>
      </c>
      <c r="E1774" s="71" t="str">
        <f aca="false">IFERROR(INDEX(المكونات!$C$2:$C$500,MATCH($B1774,المكونات!$A$2:$A$500,0)),"")</f>
        <v/>
      </c>
      <c r="F1774" s="13" t="str">
        <f aca="false">IFERROR($C1774*$E1774,"")</f>
        <v/>
      </c>
    </row>
    <row r="1775" customFormat="false" ht="15" hidden="false" customHeight="true" outlineLevel="0" collapsed="false">
      <c r="A1775" s="49"/>
      <c r="B1775" s="49"/>
      <c r="C1775" s="49"/>
      <c r="D1775" s="70" t="str">
        <f aca="false">IFERROR(INDEX(المكونات!$B$2:$B$500,MATCH($B1775,المكونات!$A$2:$A$500,0)),"")</f>
        <v/>
      </c>
      <c r="E1775" s="71" t="str">
        <f aca="false">IFERROR(INDEX(المكونات!$C$2:$C$500,MATCH($B1775,المكونات!$A$2:$A$500,0)),"")</f>
        <v/>
      </c>
      <c r="F1775" s="13" t="str">
        <f aca="false">IFERROR($C1775*$E1775,"")</f>
        <v/>
      </c>
    </row>
    <row r="1776" customFormat="false" ht="15" hidden="false" customHeight="true" outlineLevel="0" collapsed="false">
      <c r="A1776" s="49"/>
      <c r="B1776" s="49"/>
      <c r="C1776" s="49"/>
      <c r="D1776" s="70" t="str">
        <f aca="false">IFERROR(INDEX(المكونات!$B$2:$B$500,MATCH($B1776,المكونات!$A$2:$A$500,0)),"")</f>
        <v/>
      </c>
      <c r="E1776" s="71" t="str">
        <f aca="false">IFERROR(INDEX(المكونات!$C$2:$C$500,MATCH($B1776,المكونات!$A$2:$A$500,0)),"")</f>
        <v/>
      </c>
      <c r="F1776" s="13" t="str">
        <f aca="false">IFERROR($C1776*$E1776,"")</f>
        <v/>
      </c>
    </row>
    <row r="1777" customFormat="false" ht="15" hidden="false" customHeight="true" outlineLevel="0" collapsed="false">
      <c r="A1777" s="49"/>
      <c r="B1777" s="49"/>
      <c r="C1777" s="49"/>
      <c r="D1777" s="70" t="str">
        <f aca="false">IFERROR(INDEX(المكونات!$B$2:$B$500,MATCH($B1777,المكونات!$A$2:$A$500,0)),"")</f>
        <v/>
      </c>
      <c r="E1777" s="71" t="str">
        <f aca="false">IFERROR(INDEX(المكونات!$C$2:$C$500,MATCH($B1777,المكونات!$A$2:$A$500,0)),"")</f>
        <v/>
      </c>
      <c r="F1777" s="13" t="str">
        <f aca="false">IFERROR($C1777*$E1777,"")</f>
        <v/>
      </c>
    </row>
    <row r="1778" customFormat="false" ht="15" hidden="false" customHeight="true" outlineLevel="0" collapsed="false">
      <c r="A1778" s="49"/>
      <c r="B1778" s="49"/>
      <c r="C1778" s="49"/>
      <c r="D1778" s="70" t="str">
        <f aca="false">IFERROR(INDEX(المكونات!$B$2:$B$500,MATCH($B1778,المكونات!$A$2:$A$500,0)),"")</f>
        <v/>
      </c>
      <c r="E1778" s="71" t="str">
        <f aca="false">IFERROR(INDEX(المكونات!$C$2:$C$500,MATCH($B1778,المكونات!$A$2:$A$500,0)),"")</f>
        <v/>
      </c>
      <c r="F1778" s="13" t="str">
        <f aca="false">IFERROR($C1778*$E1778,"")</f>
        <v/>
      </c>
    </row>
    <row r="1779" customFormat="false" ht="15" hidden="false" customHeight="true" outlineLevel="0" collapsed="false">
      <c r="A1779" s="49"/>
      <c r="B1779" s="49"/>
      <c r="C1779" s="49"/>
      <c r="D1779" s="70" t="str">
        <f aca="false">IFERROR(INDEX(المكونات!$B$2:$B$500,MATCH($B1779,المكونات!$A$2:$A$500,0)),"")</f>
        <v/>
      </c>
      <c r="E1779" s="71" t="str">
        <f aca="false">IFERROR(INDEX(المكونات!$C$2:$C$500,MATCH($B1779,المكونات!$A$2:$A$500,0)),"")</f>
        <v/>
      </c>
      <c r="F1779" s="13" t="str">
        <f aca="false">IFERROR($C1779*$E1779,"")</f>
        <v/>
      </c>
    </row>
    <row r="1780" customFormat="false" ht="15" hidden="false" customHeight="true" outlineLevel="0" collapsed="false">
      <c r="A1780" s="49"/>
      <c r="B1780" s="49"/>
      <c r="C1780" s="49"/>
      <c r="D1780" s="70" t="str">
        <f aca="false">IFERROR(INDEX(المكونات!$B$2:$B$500,MATCH($B1780,المكونات!$A$2:$A$500,0)),"")</f>
        <v/>
      </c>
      <c r="E1780" s="71" t="str">
        <f aca="false">IFERROR(INDEX(المكونات!$C$2:$C$500,MATCH($B1780,المكونات!$A$2:$A$500,0)),"")</f>
        <v/>
      </c>
      <c r="F1780" s="13" t="str">
        <f aca="false">IFERROR($C1780*$E1780,"")</f>
        <v/>
      </c>
    </row>
    <row r="1781" customFormat="false" ht="15" hidden="false" customHeight="true" outlineLevel="0" collapsed="false">
      <c r="A1781" s="49"/>
      <c r="B1781" s="49"/>
      <c r="C1781" s="49"/>
      <c r="D1781" s="70" t="str">
        <f aca="false">IFERROR(INDEX(المكونات!$B$2:$B$500,MATCH($B1781,المكونات!$A$2:$A$500,0)),"")</f>
        <v/>
      </c>
      <c r="E1781" s="71" t="str">
        <f aca="false">IFERROR(INDEX(المكونات!$C$2:$C$500,MATCH($B1781,المكونات!$A$2:$A$500,0)),"")</f>
        <v/>
      </c>
      <c r="F1781" s="13" t="str">
        <f aca="false">IFERROR($C1781*$E1781,"")</f>
        <v/>
      </c>
    </row>
    <row r="1782" customFormat="false" ht="15" hidden="false" customHeight="true" outlineLevel="0" collapsed="false">
      <c r="A1782" s="49"/>
      <c r="B1782" s="49"/>
      <c r="C1782" s="49"/>
      <c r="D1782" s="70" t="str">
        <f aca="false">IFERROR(INDEX(المكونات!$B$2:$B$500,MATCH($B1782,المكونات!$A$2:$A$500,0)),"")</f>
        <v/>
      </c>
      <c r="E1782" s="71" t="str">
        <f aca="false">IFERROR(INDEX(المكونات!$C$2:$C$500,MATCH($B1782,المكونات!$A$2:$A$500,0)),"")</f>
        <v/>
      </c>
      <c r="F1782" s="13" t="str">
        <f aca="false">IFERROR($C1782*$E1782,"")</f>
        <v/>
      </c>
    </row>
    <row r="1783" customFormat="false" ht="15" hidden="false" customHeight="true" outlineLevel="0" collapsed="false">
      <c r="A1783" s="49"/>
      <c r="B1783" s="49"/>
      <c r="C1783" s="49"/>
      <c r="D1783" s="70" t="str">
        <f aca="false">IFERROR(INDEX(المكونات!$B$2:$B$500,MATCH($B1783,المكونات!$A$2:$A$500,0)),"")</f>
        <v/>
      </c>
      <c r="E1783" s="71" t="str">
        <f aca="false">IFERROR(INDEX(المكونات!$C$2:$C$500,MATCH($B1783,المكونات!$A$2:$A$500,0)),"")</f>
        <v/>
      </c>
      <c r="F1783" s="13" t="str">
        <f aca="false">IFERROR($C1783*$E1783,"")</f>
        <v/>
      </c>
    </row>
    <row r="1784" customFormat="false" ht="15" hidden="false" customHeight="true" outlineLevel="0" collapsed="false">
      <c r="A1784" s="49"/>
      <c r="B1784" s="49"/>
      <c r="C1784" s="49"/>
      <c r="D1784" s="70" t="str">
        <f aca="false">IFERROR(INDEX(المكونات!$B$2:$B$500,MATCH($B1784,المكونات!$A$2:$A$500,0)),"")</f>
        <v/>
      </c>
      <c r="E1784" s="71" t="str">
        <f aca="false">IFERROR(INDEX(المكونات!$C$2:$C$500,MATCH($B1784,المكونات!$A$2:$A$500,0)),"")</f>
        <v/>
      </c>
      <c r="F1784" s="13" t="str">
        <f aca="false">IFERROR($C1784*$E1784,"")</f>
        <v/>
      </c>
    </row>
    <row r="1785" customFormat="false" ht="15" hidden="false" customHeight="true" outlineLevel="0" collapsed="false">
      <c r="A1785" s="49"/>
      <c r="B1785" s="49"/>
      <c r="C1785" s="49"/>
      <c r="D1785" s="70" t="str">
        <f aca="false">IFERROR(INDEX(المكونات!$B$2:$B$500,MATCH($B1785,المكونات!$A$2:$A$500,0)),"")</f>
        <v/>
      </c>
      <c r="E1785" s="71" t="str">
        <f aca="false">IFERROR(INDEX(المكونات!$C$2:$C$500,MATCH($B1785,المكونات!$A$2:$A$500,0)),"")</f>
        <v/>
      </c>
      <c r="F1785" s="13" t="str">
        <f aca="false">IFERROR($C1785*$E1785,"")</f>
        <v/>
      </c>
    </row>
    <row r="1786" customFormat="false" ht="15" hidden="false" customHeight="true" outlineLevel="0" collapsed="false">
      <c r="A1786" s="49"/>
      <c r="B1786" s="49"/>
      <c r="C1786" s="49"/>
      <c r="D1786" s="70" t="str">
        <f aca="false">IFERROR(INDEX(المكونات!$B$2:$B$500,MATCH($B1786,المكونات!$A$2:$A$500,0)),"")</f>
        <v/>
      </c>
      <c r="E1786" s="71" t="str">
        <f aca="false">IFERROR(INDEX(المكونات!$C$2:$C$500,MATCH($B1786,المكونات!$A$2:$A$500,0)),"")</f>
        <v/>
      </c>
      <c r="F1786" s="13" t="str">
        <f aca="false">IFERROR($C1786*$E1786,"")</f>
        <v/>
      </c>
    </row>
    <row r="1787" customFormat="false" ht="15" hidden="false" customHeight="true" outlineLevel="0" collapsed="false">
      <c r="A1787" s="49"/>
      <c r="B1787" s="49"/>
      <c r="C1787" s="49"/>
      <c r="D1787" s="70" t="str">
        <f aca="false">IFERROR(INDEX(المكونات!$B$2:$B$500,MATCH($B1787,المكونات!$A$2:$A$500,0)),"")</f>
        <v/>
      </c>
      <c r="E1787" s="71" t="str">
        <f aca="false">IFERROR(INDEX(المكونات!$C$2:$C$500,MATCH($B1787,المكونات!$A$2:$A$500,0)),"")</f>
        <v/>
      </c>
      <c r="F1787" s="13" t="str">
        <f aca="false">IFERROR($C1787*$E1787,"")</f>
        <v/>
      </c>
    </row>
    <row r="1788" customFormat="false" ht="15" hidden="false" customHeight="true" outlineLevel="0" collapsed="false">
      <c r="A1788" s="49"/>
      <c r="B1788" s="49"/>
      <c r="C1788" s="49"/>
      <c r="D1788" s="70" t="str">
        <f aca="false">IFERROR(INDEX(المكونات!$B$2:$B$500,MATCH($B1788,المكونات!$A$2:$A$500,0)),"")</f>
        <v/>
      </c>
      <c r="E1788" s="71" t="str">
        <f aca="false">IFERROR(INDEX(المكونات!$C$2:$C$500,MATCH($B1788,المكونات!$A$2:$A$500,0)),"")</f>
        <v/>
      </c>
      <c r="F1788" s="13" t="str">
        <f aca="false">IFERROR($C1788*$E1788,"")</f>
        <v/>
      </c>
    </row>
    <row r="1789" customFormat="false" ht="15" hidden="false" customHeight="true" outlineLevel="0" collapsed="false">
      <c r="A1789" s="49"/>
      <c r="B1789" s="49"/>
      <c r="C1789" s="49"/>
      <c r="D1789" s="70" t="str">
        <f aca="false">IFERROR(INDEX(المكونات!$B$2:$B$500,MATCH($B1789,المكونات!$A$2:$A$500,0)),"")</f>
        <v/>
      </c>
      <c r="E1789" s="71" t="str">
        <f aca="false">IFERROR(INDEX(المكونات!$C$2:$C$500,MATCH($B1789,المكونات!$A$2:$A$500,0)),"")</f>
        <v/>
      </c>
      <c r="F1789" s="13" t="str">
        <f aca="false">IFERROR($C1789*$E1789,"")</f>
        <v/>
      </c>
    </row>
    <row r="1790" customFormat="false" ht="15" hidden="false" customHeight="true" outlineLevel="0" collapsed="false">
      <c r="A1790" s="49"/>
      <c r="B1790" s="49"/>
      <c r="C1790" s="49"/>
      <c r="D1790" s="70" t="str">
        <f aca="false">IFERROR(INDEX(المكونات!$B$2:$B$500,MATCH($B1790,المكونات!$A$2:$A$500,0)),"")</f>
        <v/>
      </c>
      <c r="E1790" s="71" t="str">
        <f aca="false">IFERROR(INDEX(المكونات!$C$2:$C$500,MATCH($B1790,المكونات!$A$2:$A$500,0)),"")</f>
        <v/>
      </c>
      <c r="F1790" s="13" t="str">
        <f aca="false">IFERROR($C1790*$E1790,"")</f>
        <v/>
      </c>
    </row>
    <row r="1791" customFormat="false" ht="15" hidden="false" customHeight="true" outlineLevel="0" collapsed="false">
      <c r="A1791" s="49"/>
      <c r="B1791" s="49"/>
      <c r="C1791" s="49"/>
      <c r="D1791" s="70" t="str">
        <f aca="false">IFERROR(INDEX(المكونات!$B$2:$B$500,MATCH($B1791,المكونات!$A$2:$A$500,0)),"")</f>
        <v/>
      </c>
      <c r="E1791" s="71" t="str">
        <f aca="false">IFERROR(INDEX(المكونات!$C$2:$C$500,MATCH($B1791,المكونات!$A$2:$A$500,0)),"")</f>
        <v/>
      </c>
      <c r="F1791" s="13" t="str">
        <f aca="false">IFERROR($C1791*$E1791,"")</f>
        <v/>
      </c>
    </row>
    <row r="1792" customFormat="false" ht="15" hidden="false" customHeight="true" outlineLevel="0" collapsed="false">
      <c r="A1792" s="49"/>
      <c r="B1792" s="49"/>
      <c r="C1792" s="49"/>
      <c r="D1792" s="70" t="str">
        <f aca="false">IFERROR(INDEX(المكونات!$B$2:$B$500,MATCH($B1792,المكونات!$A$2:$A$500,0)),"")</f>
        <v/>
      </c>
      <c r="E1792" s="71" t="str">
        <f aca="false">IFERROR(INDEX(المكونات!$C$2:$C$500,MATCH($B1792,المكونات!$A$2:$A$500,0)),"")</f>
        <v/>
      </c>
      <c r="F1792" s="13" t="str">
        <f aca="false">IFERROR($C1792*$E1792,"")</f>
        <v/>
      </c>
    </row>
    <row r="1793" customFormat="false" ht="15" hidden="false" customHeight="true" outlineLevel="0" collapsed="false">
      <c r="A1793" s="49"/>
      <c r="B1793" s="49"/>
      <c r="C1793" s="49"/>
      <c r="D1793" s="70" t="str">
        <f aca="false">IFERROR(INDEX(المكونات!$B$2:$B$500,MATCH($B1793,المكونات!$A$2:$A$500,0)),"")</f>
        <v/>
      </c>
      <c r="E1793" s="71" t="str">
        <f aca="false">IFERROR(INDEX(المكونات!$C$2:$C$500,MATCH($B1793,المكونات!$A$2:$A$500,0)),"")</f>
        <v/>
      </c>
      <c r="F1793" s="13" t="str">
        <f aca="false">IFERROR($C1793*$E1793,"")</f>
        <v/>
      </c>
    </row>
    <row r="1794" customFormat="false" ht="15" hidden="false" customHeight="true" outlineLevel="0" collapsed="false">
      <c r="A1794" s="49"/>
      <c r="B1794" s="49"/>
      <c r="C1794" s="49"/>
      <c r="D1794" s="70" t="str">
        <f aca="false">IFERROR(INDEX(المكونات!$B$2:$B$500,MATCH($B1794,المكونات!$A$2:$A$500,0)),"")</f>
        <v/>
      </c>
      <c r="E1794" s="71" t="str">
        <f aca="false">IFERROR(INDEX(المكونات!$C$2:$C$500,MATCH($B1794,المكونات!$A$2:$A$500,0)),"")</f>
        <v/>
      </c>
      <c r="F1794" s="13" t="str">
        <f aca="false">IFERROR($C1794*$E1794,"")</f>
        <v/>
      </c>
    </row>
    <row r="1795" customFormat="false" ht="15" hidden="false" customHeight="true" outlineLevel="0" collapsed="false">
      <c r="A1795" s="49"/>
      <c r="B1795" s="49"/>
      <c r="C1795" s="49"/>
      <c r="D1795" s="70" t="str">
        <f aca="false">IFERROR(INDEX(المكونات!$B$2:$B$500,MATCH($B1795,المكونات!$A$2:$A$500,0)),"")</f>
        <v/>
      </c>
      <c r="E1795" s="71" t="str">
        <f aca="false">IFERROR(INDEX(المكونات!$C$2:$C$500,MATCH($B1795,المكونات!$A$2:$A$500,0)),"")</f>
        <v/>
      </c>
      <c r="F1795" s="13" t="str">
        <f aca="false">IFERROR($C1795*$E1795,"")</f>
        <v/>
      </c>
    </row>
    <row r="1796" customFormat="false" ht="15" hidden="false" customHeight="true" outlineLevel="0" collapsed="false">
      <c r="A1796" s="49"/>
      <c r="B1796" s="49"/>
      <c r="C1796" s="49"/>
      <c r="D1796" s="70" t="str">
        <f aca="false">IFERROR(INDEX(المكونات!$B$2:$B$500,MATCH($B1796,المكونات!$A$2:$A$500,0)),"")</f>
        <v/>
      </c>
      <c r="E1796" s="71" t="str">
        <f aca="false">IFERROR(INDEX(المكونات!$C$2:$C$500,MATCH($B1796,المكونات!$A$2:$A$500,0)),"")</f>
        <v/>
      </c>
      <c r="F1796" s="13" t="str">
        <f aca="false">IFERROR($C1796*$E1796,"")</f>
        <v/>
      </c>
    </row>
    <row r="1797" customFormat="false" ht="15" hidden="false" customHeight="true" outlineLevel="0" collapsed="false">
      <c r="A1797" s="49"/>
      <c r="B1797" s="49"/>
      <c r="C1797" s="49"/>
      <c r="D1797" s="70" t="str">
        <f aca="false">IFERROR(INDEX(المكونات!$B$2:$B$500,MATCH($B1797,المكونات!$A$2:$A$500,0)),"")</f>
        <v/>
      </c>
      <c r="E1797" s="71" t="str">
        <f aca="false">IFERROR(INDEX(المكونات!$C$2:$C$500,MATCH($B1797,المكونات!$A$2:$A$500,0)),"")</f>
        <v/>
      </c>
      <c r="F1797" s="13" t="str">
        <f aca="false">IFERROR($C1797*$E1797,"")</f>
        <v/>
      </c>
    </row>
    <row r="1798" customFormat="false" ht="15" hidden="false" customHeight="true" outlineLevel="0" collapsed="false">
      <c r="A1798" s="49"/>
      <c r="B1798" s="49"/>
      <c r="C1798" s="49"/>
      <c r="D1798" s="70" t="str">
        <f aca="false">IFERROR(INDEX(المكونات!$B$2:$B$500,MATCH($B1798,المكونات!$A$2:$A$500,0)),"")</f>
        <v/>
      </c>
      <c r="E1798" s="71" t="str">
        <f aca="false">IFERROR(INDEX(المكونات!$C$2:$C$500,MATCH($B1798,المكونات!$A$2:$A$500,0)),"")</f>
        <v/>
      </c>
      <c r="F1798" s="13" t="str">
        <f aca="false">IFERROR($C1798*$E1798,"")</f>
        <v/>
      </c>
    </row>
    <row r="1799" customFormat="false" ht="15" hidden="false" customHeight="true" outlineLevel="0" collapsed="false">
      <c r="A1799" s="49"/>
      <c r="B1799" s="49"/>
      <c r="C1799" s="49"/>
      <c r="D1799" s="70" t="str">
        <f aca="false">IFERROR(INDEX(المكونات!$B$2:$B$500,MATCH($B1799,المكونات!$A$2:$A$500,0)),"")</f>
        <v/>
      </c>
      <c r="E1799" s="71" t="str">
        <f aca="false">IFERROR(INDEX(المكونات!$C$2:$C$500,MATCH($B1799,المكونات!$A$2:$A$500,0)),"")</f>
        <v/>
      </c>
      <c r="F1799" s="13" t="str">
        <f aca="false">IFERROR($C1799*$E1799,"")</f>
        <v/>
      </c>
    </row>
  </sheetData>
  <dataValidations count="2">
    <dataValidation allowBlank="true" errorStyle="stop" operator="between" showDropDown="false" showErrorMessage="false" showInputMessage="false" sqref="A2:A1800" type="list">
      <formula1>المنيو!$B$2:$B$300</formula1>
      <formula2>0</formula2>
    </dataValidation>
    <dataValidation allowBlank="true" errorStyle="stop" operator="between" showDropDown="false" showErrorMessage="false" showInputMessage="false" sqref="B2:B1800" type="list">
      <formula1>المكونات!$A$2:$A$200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4" min="3" style="1" width="20"/>
    <col collapsed="false" customWidth="true" hidden="false" outlineLevel="0" max="5" min="5" style="1" width="22"/>
    <col collapsed="false" customWidth="true" hidden="false" outlineLevel="0" max="6" min="6" style="1" width="18"/>
    <col collapsed="false" customWidth="true" hidden="false" outlineLevel="0" max="7" min="7" style="1" width="20"/>
    <col collapsed="false" customWidth="true" hidden="false" outlineLevel="0" max="9" min="8" style="1" width="18"/>
    <col collapsed="false" customWidth="true" hidden="false" outlineLevel="0" max="10" min="10" style="1" width="20"/>
    <col collapsed="false" customWidth="true" hidden="false" outlineLevel="0" max="11" min="11" style="1" width="24"/>
    <col collapsed="false" customWidth="true" hidden="true" outlineLevel="0" max="12" min="12" style="1" width="4"/>
    <col collapsed="false" customWidth="true" hidden="false" outlineLevel="0" max="13" min="13" style="1" width="26"/>
    <col collapsed="false" customWidth="true" hidden="false" outlineLevel="0" max="14" min="14" style="1" width="28"/>
  </cols>
  <sheetData>
    <row r="1" customFormat="false" ht="39.75" hidden="false" customHeight="true" outlineLevel="0" collapsed="false">
      <c r="A1" s="10" t="s">
        <v>551</v>
      </c>
      <c r="B1" s="10" t="s">
        <v>23</v>
      </c>
      <c r="C1" s="10" t="s">
        <v>575</v>
      </c>
      <c r="D1" s="10" t="s">
        <v>552</v>
      </c>
      <c r="E1" s="10" t="s">
        <v>576</v>
      </c>
      <c r="F1" s="10" t="s">
        <v>111</v>
      </c>
      <c r="G1" s="10" t="s">
        <v>577</v>
      </c>
      <c r="H1" s="10" t="s">
        <v>578</v>
      </c>
      <c r="I1" s="10" t="s">
        <v>26</v>
      </c>
      <c r="J1" s="10" t="s">
        <v>579</v>
      </c>
      <c r="K1" s="10" t="s">
        <v>580</v>
      </c>
      <c r="L1" s="72" t="s">
        <v>581</v>
      </c>
      <c r="M1" s="10" t="s">
        <v>582</v>
      </c>
      <c r="N1" s="10" t="s">
        <v>583</v>
      </c>
    </row>
    <row r="2" customFormat="false" ht="39" hidden="false" customHeight="true" outlineLevel="0" collapsed="false">
      <c r="A2" s="70" t="str">
        <f aca="false">IFERROR(IF(المنيو!$B2="","",المنيو!$A2),"")</f>
        <v>قسم البيتزا</v>
      </c>
      <c r="B2" s="70" t="str">
        <f aca="false">IFERROR(المنيو!$B2,"")</f>
        <v>بيتزا مارجريتا وسط</v>
      </c>
      <c r="C2" s="13" t="n">
        <f aca="false">IFERROR(IF($B2="","",SUMIFS(الريسبي!$F$2:$F$1800,الريسبي!$A$2:$A$1800,$B2)),"")</f>
        <v>37.9165</v>
      </c>
      <c r="D2" s="71" t="n">
        <f aca="false">IFERROR(IF($B2="","",المنيو!$C2),"")</f>
        <v>90</v>
      </c>
      <c r="E2" s="12" t="n">
        <f aca="false">IFERROR(IF(OR($B2="",$D2=0,$D2=""),"",$N2/$D2),"")</f>
        <v>0.431648888888889</v>
      </c>
      <c r="F2" s="73" t="n">
        <v>0.375</v>
      </c>
      <c r="G2" s="13" t="n">
        <f aca="false">IFERROR(IF($B2="","",$N2/$F2),"")</f>
        <v>103.595733333333</v>
      </c>
      <c r="H2" s="13" t="n">
        <f aca="false">IFERROR(IF($B2="","",$D2-$N2),"")</f>
        <v>51.1516</v>
      </c>
      <c r="I2" s="12" t="n">
        <f aca="false">IFERROR(IF(OR($B2="",$D2=0,$D2=""),"",$H2/$D2),"")</f>
        <v>0.568351111111111</v>
      </c>
      <c r="J2" s="73" t="n">
        <v>0.25</v>
      </c>
      <c r="K2" s="12" t="n">
        <f aca="false">IFERROR(IF($B2="","",$E2+$J2),"")</f>
        <v>0.681648888888889</v>
      </c>
      <c r="L2" s="74" t="n">
        <f aca="false">IFERROR(IF(OR($B2="",$C2=0,$C2=""),"",$I2+ROW()*0.0000001),"")</f>
        <v>0.568351311111111</v>
      </c>
      <c r="M2" s="75" t="n">
        <v>0.9319</v>
      </c>
      <c r="N2" s="13" t="n">
        <f aca="false">IFERROR(IF($B2="","",$C2+$M2),"")</f>
        <v>38.8484</v>
      </c>
    </row>
    <row r="3" customFormat="false" ht="39" hidden="false" customHeight="true" outlineLevel="0" collapsed="false">
      <c r="A3" s="70" t="str">
        <f aca="false">IFERROR(IF(المنيو!$B3="","",المنيو!$A3),"")</f>
        <v>قسم البيتزا</v>
      </c>
      <c r="B3" s="70" t="str">
        <f aca="false">IFERROR(المنيو!$B3,"")</f>
        <v>بيتزا مارجريتا حجم اكبر</v>
      </c>
      <c r="C3" s="13" t="n">
        <f aca="false">IFERROR(IF($B3="","",SUMIFS(الريسبي!$F$2:$F$1800,الريسبي!$A$2:$A$1800,$B3)),"")</f>
        <v>50.291</v>
      </c>
      <c r="D3" s="71" t="n">
        <f aca="false">IFERROR(IF($B3="","",المنيو!$C3),"")</f>
        <v>120</v>
      </c>
      <c r="E3" s="12" t="n">
        <f aca="false">IFERROR(IF(OR($B3="",$D3=0,$D3=""),"",$N3/$D3),"")</f>
        <v>0.4268575</v>
      </c>
      <c r="F3" s="76" t="n">
        <f aca="false">$F$2</f>
        <v>0.375</v>
      </c>
      <c r="G3" s="13" t="n">
        <f aca="false">IFERROR(IF($B3="","",$N3/$F3),"")</f>
        <v>136.5944</v>
      </c>
      <c r="H3" s="13" t="n">
        <f aca="false">IFERROR(IF($B3="","",$D3-$N3),"")</f>
        <v>68.7771</v>
      </c>
      <c r="I3" s="12" t="n">
        <f aca="false">IFERROR(IF(OR($B3="",$D3=0,$D3=""),"",$H3/$D3),"")</f>
        <v>0.5731425</v>
      </c>
      <c r="J3" s="76" t="n">
        <f aca="false">$J$2</f>
        <v>0.25</v>
      </c>
      <c r="K3" s="12" t="n">
        <f aca="false">IFERROR(IF($B3="","",$E3+$J3),"")</f>
        <v>0.6768575</v>
      </c>
      <c r="L3" s="74" t="n">
        <f aca="false">IFERROR(IF(OR($B3="",$C3=0,$C3=""),"",$I3+ROW()*0.0000001),"")</f>
        <v>0.5731428</v>
      </c>
      <c r="M3" s="77" t="n">
        <f aca="false">$M$2</f>
        <v>0.9319</v>
      </c>
      <c r="N3" s="13" t="n">
        <f aca="false">IFERROR(IF($B3="","",$C3+$M3),"")</f>
        <v>51.2229</v>
      </c>
    </row>
    <row r="4" customFormat="false" ht="39" hidden="false" customHeight="true" outlineLevel="0" collapsed="false">
      <c r="A4" s="70" t="str">
        <f aca="false">IFERROR(IF(المنيو!$B4="","",المنيو!$A4),"")</f>
        <v>قسم البيتزا</v>
      </c>
      <c r="B4" s="70" t="str">
        <f aca="false">IFERROR(المنيو!$B4,"")</f>
        <v>بيتزا بسطرمة وسط</v>
      </c>
      <c r="C4" s="13" t="n">
        <f aca="false">IFERROR(IF($B4="","",SUMIFS(الريسبي!$F$2:$F$1800,الريسبي!$A$2:$A$1800,$B4)),"")</f>
        <v>72.9165</v>
      </c>
      <c r="D4" s="71" t="n">
        <f aca="false">IFERROR(IF($B4="","",المنيو!$C4),"")</f>
        <v>140</v>
      </c>
      <c r="E4" s="12" t="n">
        <f aca="false">IFERROR(IF(OR($B4="",$D4=0,$D4=""),"",$N4/$D4),"")</f>
        <v>0.527488571428571</v>
      </c>
      <c r="F4" s="76" t="n">
        <f aca="false">$F$2</f>
        <v>0.375</v>
      </c>
      <c r="G4" s="13" t="n">
        <f aca="false">IFERROR(IF($B4="","",$N4/$F4),"")</f>
        <v>196.929066666667</v>
      </c>
      <c r="H4" s="13" t="n">
        <f aca="false">IFERROR(IF($B4="","",$D4-$N4),"")</f>
        <v>66.1516</v>
      </c>
      <c r="I4" s="12" t="n">
        <f aca="false">IFERROR(IF(OR($B4="",$D4=0,$D4=""),"",$H4/$D4),"")</f>
        <v>0.472511428571429</v>
      </c>
      <c r="J4" s="76" t="n">
        <f aca="false">$J$2</f>
        <v>0.25</v>
      </c>
      <c r="K4" s="12" t="n">
        <f aca="false">IFERROR(IF($B4="","",$E4+$J4),"")</f>
        <v>0.777488571428571</v>
      </c>
      <c r="L4" s="74" t="n">
        <f aca="false">IFERROR(IF(OR($B4="",$C4=0,$C4=""),"",$I4+ROW()*0.0000001),"")</f>
        <v>0.472511828571429</v>
      </c>
      <c r="M4" s="77" t="n">
        <f aca="false">$M$2</f>
        <v>0.9319</v>
      </c>
      <c r="N4" s="13" t="n">
        <f aca="false">IFERROR(IF($B4="","",$C4+$M4),"")</f>
        <v>73.8484</v>
      </c>
    </row>
    <row r="5" customFormat="false" ht="39" hidden="false" customHeight="true" outlineLevel="0" collapsed="false">
      <c r="A5" s="70" t="str">
        <f aca="false">IFERROR(IF(المنيو!$B5="","",المنيو!$A5),"")</f>
        <v>قسم البيتزا</v>
      </c>
      <c r="B5" s="70" t="str">
        <f aca="false">IFERROR(المنيو!$B5,"")</f>
        <v>بيتزا بسطرمة حجم اكبر</v>
      </c>
      <c r="C5" s="13" t="n">
        <f aca="false">IFERROR(IF($B5="","",SUMIFS(الريسبي!$F$2:$F$1800,الريسبي!$A$2:$A$1800,$B5)),"")</f>
        <v>96.9577</v>
      </c>
      <c r="D5" s="71" t="n">
        <f aca="false">IFERROR(IF($B5="","",المنيو!$C5),"")</f>
        <v>200</v>
      </c>
      <c r="E5" s="12" t="n">
        <f aca="false">IFERROR(IF(OR($B5="",$D5=0,$D5=""),"",$N5/$D5),"")</f>
        <v>0.489448</v>
      </c>
      <c r="F5" s="76" t="n">
        <f aca="false">$F$2</f>
        <v>0.375</v>
      </c>
      <c r="G5" s="13" t="n">
        <f aca="false">IFERROR(IF($B5="","",$N5/$F5),"")</f>
        <v>261.038933333333</v>
      </c>
      <c r="H5" s="13" t="n">
        <f aca="false">IFERROR(IF($B5="","",$D5-$N5),"")</f>
        <v>102.1104</v>
      </c>
      <c r="I5" s="12" t="n">
        <f aca="false">IFERROR(IF(OR($B5="",$D5=0,$D5=""),"",$H5/$D5),"")</f>
        <v>0.510552</v>
      </c>
      <c r="J5" s="76" t="n">
        <f aca="false">$J$2</f>
        <v>0.25</v>
      </c>
      <c r="K5" s="12" t="n">
        <f aca="false">IFERROR(IF($B5="","",$E5+$J5),"")</f>
        <v>0.739448</v>
      </c>
      <c r="L5" s="74" t="n">
        <f aca="false">IFERROR(IF(OR($B5="",$C5=0,$C5=""),"",$I5+ROW()*0.0000001),"")</f>
        <v>0.5105525</v>
      </c>
      <c r="M5" s="77" t="n">
        <f aca="false">$M$2</f>
        <v>0.9319</v>
      </c>
      <c r="N5" s="13" t="n">
        <f aca="false">IFERROR(IF($B5="","",$C5+$M5),"")</f>
        <v>97.8896</v>
      </c>
    </row>
    <row r="6" customFormat="false" ht="39" hidden="false" customHeight="true" outlineLevel="0" collapsed="false">
      <c r="A6" s="70" t="str">
        <f aca="false">IFERROR(IF(المنيو!$B6="","",المنيو!$A6),"")</f>
        <v>قسم البيتزا</v>
      </c>
      <c r="B6" s="70" t="str">
        <f aca="false">IFERROR(المنيو!$B6,"")</f>
        <v>بيتزا سدق وسط</v>
      </c>
      <c r="C6" s="13" t="n">
        <f aca="false">IFERROR(IF($B6="","",SUMIFS(الريسبي!$F$2:$F$1800,الريسبي!$A$2:$A$1800,$B6)),"")</f>
        <v>71.9165</v>
      </c>
      <c r="D6" s="71" t="n">
        <f aca="false">IFERROR(IF($B6="","",المنيو!$C6),"")</f>
        <v>130</v>
      </c>
      <c r="E6" s="12" t="n">
        <f aca="false">IFERROR(IF(OR($B6="",$D6=0,$D6=""),"",$N6/$D6),"")</f>
        <v>0.560372307692308</v>
      </c>
      <c r="F6" s="76" t="n">
        <f aca="false">$F$2</f>
        <v>0.375</v>
      </c>
      <c r="G6" s="13" t="n">
        <f aca="false">IFERROR(IF($B6="","",$N6/$F6),"")</f>
        <v>194.2624</v>
      </c>
      <c r="H6" s="13" t="n">
        <f aca="false">IFERROR(IF($B6="","",$D6-$N6),"")</f>
        <v>57.1516</v>
      </c>
      <c r="I6" s="12" t="n">
        <f aca="false">IFERROR(IF(OR($B6="",$D6=0,$D6=""),"",$H6/$D6),"")</f>
        <v>0.439627692307692</v>
      </c>
      <c r="J6" s="76" t="n">
        <f aca="false">$J$2</f>
        <v>0.25</v>
      </c>
      <c r="K6" s="12" t="n">
        <f aca="false">IFERROR(IF($B6="","",$E6+$J6),"")</f>
        <v>0.810372307692308</v>
      </c>
      <c r="L6" s="74" t="n">
        <f aca="false">IFERROR(IF(OR($B6="",$C6=0,$C6=""),"",$I6+ROW()*0.0000001),"")</f>
        <v>0.439628292307692</v>
      </c>
      <c r="M6" s="77" t="n">
        <f aca="false">$M$2</f>
        <v>0.9319</v>
      </c>
      <c r="N6" s="13" t="n">
        <f aca="false">IFERROR(IF($B6="","",$C6+$M6),"")</f>
        <v>72.8484</v>
      </c>
    </row>
    <row r="7" customFormat="false" ht="39" hidden="false" customHeight="true" outlineLevel="0" collapsed="false">
      <c r="A7" s="70" t="str">
        <f aca="false">IFERROR(IF(المنيو!$B7="","",المنيو!$A7),"")</f>
        <v>قسم البيتزا</v>
      </c>
      <c r="B7" s="70" t="str">
        <f aca="false">IFERROR(المنيو!$B7,"")</f>
        <v>بيتزا سدق حجم اكبر</v>
      </c>
      <c r="C7" s="13" t="n">
        <f aca="false">IFERROR(IF($B7="","",SUMIFS(الريسبي!$F$2:$F$1800,الريسبي!$A$2:$A$1800,$B7)),"")</f>
        <v>95.291</v>
      </c>
      <c r="D7" s="71" t="n">
        <f aca="false">IFERROR(IF($B7="","",المنيو!$C7),"")</f>
        <v>190</v>
      </c>
      <c r="E7" s="12" t="n">
        <f aca="false">IFERROR(IF(OR($B7="",$D7=0,$D7=""),"",$N7/$D7),"")</f>
        <v>0.506436315789474</v>
      </c>
      <c r="F7" s="76" t="n">
        <f aca="false">$F$2</f>
        <v>0.375</v>
      </c>
      <c r="G7" s="13" t="n">
        <f aca="false">IFERROR(IF($B7="","",$N7/$F7),"")</f>
        <v>256.5944</v>
      </c>
      <c r="H7" s="13" t="n">
        <f aca="false">IFERROR(IF($B7="","",$D7-$N7),"")</f>
        <v>93.7771</v>
      </c>
      <c r="I7" s="12" t="n">
        <f aca="false">IFERROR(IF(OR($B7="",$D7=0,$D7=""),"",$H7/$D7),"")</f>
        <v>0.493563684210526</v>
      </c>
      <c r="J7" s="76" t="n">
        <f aca="false">$J$2</f>
        <v>0.25</v>
      </c>
      <c r="K7" s="12" t="n">
        <f aca="false">IFERROR(IF($B7="","",$E7+$J7),"")</f>
        <v>0.756436315789474</v>
      </c>
      <c r="L7" s="74" t="n">
        <f aca="false">IFERROR(IF(OR($B7="",$C7=0,$C7=""),"",$I7+ROW()*0.0000001),"")</f>
        <v>0.493564384210526</v>
      </c>
      <c r="M7" s="77" t="n">
        <f aca="false">$M$2</f>
        <v>0.9319</v>
      </c>
      <c r="N7" s="13" t="n">
        <f aca="false">IFERROR(IF($B7="","",$C7+$M7),"")</f>
        <v>96.2229</v>
      </c>
    </row>
    <row r="8" customFormat="false" ht="39" hidden="false" customHeight="true" outlineLevel="0" collapsed="false">
      <c r="A8" s="70" t="str">
        <f aca="false">IFERROR(IF(المنيو!$B8="","",المنيو!$A8),"")</f>
        <v>قسم البيتزا</v>
      </c>
      <c r="B8" s="70" t="str">
        <f aca="false">IFERROR(المنيو!$B8,"")</f>
        <v>بيتزا دبل سلامي / بيبروني وسط</v>
      </c>
      <c r="C8" s="13" t="n">
        <f aca="false">IFERROR(IF($B8="","",SUMIFS(الريسبي!$F$2:$F$1800,الريسبي!$A$2:$A$1800,$B8)),"")</f>
        <v>64.8873</v>
      </c>
      <c r="D8" s="71" t="n">
        <f aca="false">IFERROR(IF($B8="","",المنيو!$C8),"")</f>
        <v>130</v>
      </c>
      <c r="E8" s="12" t="n">
        <f aca="false">IFERROR(IF(OR($B8="",$D8=0,$D8=""),"",$N8/$D8),"")</f>
        <v>0.506301538461539</v>
      </c>
      <c r="F8" s="76" t="n">
        <f aca="false">$F$2</f>
        <v>0.375</v>
      </c>
      <c r="G8" s="13" t="n">
        <f aca="false">IFERROR(IF($B8="","",$N8/$F8),"")</f>
        <v>175.517866666667</v>
      </c>
      <c r="H8" s="13" t="n">
        <f aca="false">IFERROR(IF($B8="","",$D8-$N8),"")</f>
        <v>64.1808</v>
      </c>
      <c r="I8" s="12" t="n">
        <f aca="false">IFERROR(IF(OR($B8="",$D8=0,$D8=""),"",$H8/$D8),"")</f>
        <v>0.493698461538462</v>
      </c>
      <c r="J8" s="76" t="n">
        <f aca="false">$J$2</f>
        <v>0.25</v>
      </c>
      <c r="K8" s="12" t="n">
        <f aca="false">IFERROR(IF($B8="","",$E8+$J8),"")</f>
        <v>0.756301538461539</v>
      </c>
      <c r="L8" s="74" t="n">
        <f aca="false">IFERROR(IF(OR($B8="",$C8=0,$C8=""),"",$I8+ROW()*0.0000001),"")</f>
        <v>0.493699261538462</v>
      </c>
      <c r="M8" s="77" t="n">
        <f aca="false">$M$2</f>
        <v>0.9319</v>
      </c>
      <c r="N8" s="13" t="n">
        <f aca="false">IFERROR(IF($B8="","",$C8+$M8),"")</f>
        <v>65.8192</v>
      </c>
    </row>
    <row r="9" customFormat="false" ht="39" hidden="false" customHeight="true" outlineLevel="0" collapsed="false">
      <c r="A9" s="70" t="str">
        <f aca="false">IFERROR(IF(المنيو!$B9="","",المنيو!$A9),"")</f>
        <v>قسم البيتزا</v>
      </c>
      <c r="B9" s="70" t="str">
        <f aca="false">IFERROR(المنيو!$B9,"")</f>
        <v>بيتزا دبل سلامي / بيبروني حجم اكبر</v>
      </c>
      <c r="C9" s="13" t="n">
        <f aca="false">IFERROR(IF($B9="","",SUMIFS(الريسبي!$F$2:$F$1800,الريسبي!$A$2:$A$1800,$B9)),"")</f>
        <v>90.7472</v>
      </c>
      <c r="D9" s="71" t="n">
        <f aca="false">IFERROR(IF($B9="","",المنيو!$C9),"")</f>
        <v>190</v>
      </c>
      <c r="E9" s="12" t="n">
        <f aca="false">IFERROR(IF(OR($B9="",$D9=0,$D9=""),"",$N9/$D9),"")</f>
        <v>0.482521578947368</v>
      </c>
      <c r="F9" s="76" t="n">
        <f aca="false">$F$2</f>
        <v>0.375</v>
      </c>
      <c r="G9" s="13" t="n">
        <f aca="false">IFERROR(IF($B9="","",$N9/$F9),"")</f>
        <v>244.4776</v>
      </c>
      <c r="H9" s="13" t="n">
        <f aca="false">IFERROR(IF($B9="","",$D9-$N9),"")</f>
        <v>98.3209</v>
      </c>
      <c r="I9" s="12" t="n">
        <f aca="false">IFERROR(IF(OR($B9="",$D9=0,$D9=""),"",$H9/$D9),"")</f>
        <v>0.517478421052632</v>
      </c>
      <c r="J9" s="76" t="n">
        <f aca="false">$J$2</f>
        <v>0.25</v>
      </c>
      <c r="K9" s="12" t="n">
        <f aca="false">IFERROR(IF($B9="","",$E9+$J9),"")</f>
        <v>0.732521578947369</v>
      </c>
      <c r="L9" s="74" t="n">
        <f aca="false">IFERROR(IF(OR($B9="",$C9=0,$C9=""),"",$I9+ROW()*0.0000001),"")</f>
        <v>0.517479321052632</v>
      </c>
      <c r="M9" s="77" t="n">
        <f aca="false">$M$2</f>
        <v>0.9319</v>
      </c>
      <c r="N9" s="13" t="n">
        <f aca="false">IFERROR(IF($B9="","",$C9+$M9),"")</f>
        <v>91.6791</v>
      </c>
    </row>
    <row r="10" customFormat="false" ht="39" hidden="false" customHeight="true" outlineLevel="0" collapsed="false">
      <c r="A10" s="70" t="str">
        <f aca="false">IFERROR(IF(المنيو!$B10="","",المنيو!$A10),"")</f>
        <v>قسم البيتزا</v>
      </c>
      <c r="B10" s="70" t="str">
        <f aca="false">IFERROR(المنيو!$B10,"")</f>
        <v>بيتزا مشكل جبن وسط</v>
      </c>
      <c r="C10" s="13" t="n">
        <f aca="false">IFERROR(IF($B10="","",SUMIFS(الريسبي!$F$2:$F$1800,الريسبي!$A$2:$A$1800,$B10)),"")</f>
        <v>74.9165</v>
      </c>
      <c r="D10" s="71" t="n">
        <f aca="false">IFERROR(IF($B10="","",المنيو!$C10),"")</f>
        <v>130</v>
      </c>
      <c r="E10" s="12" t="n">
        <f aca="false">IFERROR(IF(OR($B10="",$D10=0,$D10=""),"",$N10/$D10),"")</f>
        <v>0.583449230769231</v>
      </c>
      <c r="F10" s="76" t="n">
        <f aca="false">$F$2</f>
        <v>0.375</v>
      </c>
      <c r="G10" s="13" t="n">
        <f aca="false">IFERROR(IF($B10="","",$N10/$F10),"")</f>
        <v>202.2624</v>
      </c>
      <c r="H10" s="13" t="n">
        <f aca="false">IFERROR(IF($B10="","",$D10-$N10),"")</f>
        <v>54.1516</v>
      </c>
      <c r="I10" s="12" t="n">
        <f aca="false">IFERROR(IF(OR($B10="",$D10=0,$D10=""),"",$H10/$D10),"")</f>
        <v>0.416550769230769</v>
      </c>
      <c r="J10" s="76" t="n">
        <f aca="false">$J$2</f>
        <v>0.25</v>
      </c>
      <c r="K10" s="12" t="n">
        <f aca="false">IFERROR(IF($B10="","",$E10+$J10),"")</f>
        <v>0.833449230769231</v>
      </c>
      <c r="L10" s="74" t="n">
        <f aca="false">IFERROR(IF(OR($B10="",$C10=0,$C10=""),"",$I10+ROW()*0.0000001),"")</f>
        <v>0.416551769230769</v>
      </c>
      <c r="M10" s="77" t="n">
        <f aca="false">$M$2</f>
        <v>0.9319</v>
      </c>
      <c r="N10" s="13" t="n">
        <f aca="false">IFERROR(IF($B10="","",$C10+$M10),"")</f>
        <v>75.8484</v>
      </c>
    </row>
    <row r="11" customFormat="false" ht="39" hidden="false" customHeight="true" outlineLevel="0" collapsed="false">
      <c r="A11" s="70" t="str">
        <f aca="false">IFERROR(IF(المنيو!$B11="","",المنيو!$A11),"")</f>
        <v>قسم البيتزا</v>
      </c>
      <c r="B11" s="70" t="str">
        <f aca="false">IFERROR(المنيو!$B11,"")</f>
        <v>بيتزا مشكل جبن حجم اكبر</v>
      </c>
      <c r="C11" s="13" t="n">
        <f aca="false">IFERROR(IF($B11="","",SUMIFS(الريسبي!$F$2:$F$1800,الريسبي!$A$2:$A$1800,$B11)),"")</f>
        <v>105.791</v>
      </c>
      <c r="D11" s="71" t="n">
        <f aca="false">IFERROR(IF($B11="","",المنيو!$C11),"")</f>
        <v>190</v>
      </c>
      <c r="E11" s="12" t="n">
        <f aca="false">IFERROR(IF(OR($B11="",$D11=0,$D11=""),"",$N11/$D11),"")</f>
        <v>0.561699473684211</v>
      </c>
      <c r="F11" s="76" t="n">
        <f aca="false">$F$2</f>
        <v>0.375</v>
      </c>
      <c r="G11" s="13" t="n">
        <f aca="false">IFERROR(IF($B11="","",$N11/$F11),"")</f>
        <v>284.5944</v>
      </c>
      <c r="H11" s="13" t="n">
        <f aca="false">IFERROR(IF($B11="","",$D11-$N11),"")</f>
        <v>83.2771</v>
      </c>
      <c r="I11" s="12" t="n">
        <f aca="false">IFERROR(IF(OR($B11="",$D11=0,$D11=""),"",$H11/$D11),"")</f>
        <v>0.43830052631579</v>
      </c>
      <c r="J11" s="76" t="n">
        <f aca="false">$J$2</f>
        <v>0.25</v>
      </c>
      <c r="K11" s="12" t="n">
        <f aca="false">IFERROR(IF($B11="","",$E11+$J11),"")</f>
        <v>0.811699473684211</v>
      </c>
      <c r="L11" s="74" t="n">
        <f aca="false">IFERROR(IF(OR($B11="",$C11=0,$C11=""),"",$I11+ROW()*0.0000001),"")</f>
        <v>0.438301626315789</v>
      </c>
      <c r="M11" s="77" t="n">
        <f aca="false">$M$2</f>
        <v>0.9319</v>
      </c>
      <c r="N11" s="13" t="n">
        <f aca="false">IFERROR(IF($B11="","",$C11+$M11),"")</f>
        <v>106.7229</v>
      </c>
    </row>
    <row r="12" customFormat="false" ht="39" hidden="false" customHeight="true" outlineLevel="0" collapsed="false">
      <c r="A12" s="70" t="str">
        <f aca="false">IFERROR(IF(المنيو!$B12="","",المنيو!$A12),"")</f>
        <v>قسم البيتزا</v>
      </c>
      <c r="B12" s="70" t="str">
        <f aca="false">IFERROR(المنيو!$B12,"")</f>
        <v>بيتزا فراخ رانش وسط</v>
      </c>
      <c r="C12" s="13" t="n">
        <f aca="false">IFERROR(IF($B12="","",SUMIFS(الريسبي!$F$2:$F$1800,الريسبي!$A$2:$A$1800,$B12)),"")</f>
        <v>82.3985</v>
      </c>
      <c r="D12" s="71" t="n">
        <f aca="false">IFERROR(IF($B12="","",المنيو!$C12),"")</f>
        <v>150</v>
      </c>
      <c r="E12" s="12" t="n">
        <f aca="false">IFERROR(IF(OR($B12="",$D12=0,$D12=""),"",$N12/$D12),"")</f>
        <v>0.555536</v>
      </c>
      <c r="F12" s="76" t="n">
        <f aca="false">$F$2</f>
        <v>0.375</v>
      </c>
      <c r="G12" s="13" t="n">
        <f aca="false">IFERROR(IF($B12="","",$N12/$F12),"")</f>
        <v>222.2144</v>
      </c>
      <c r="H12" s="13" t="n">
        <f aca="false">IFERROR(IF($B12="","",$D12-$N12),"")</f>
        <v>66.6696</v>
      </c>
      <c r="I12" s="12" t="n">
        <f aca="false">IFERROR(IF(OR($B12="",$D12=0,$D12=""),"",$H12/$D12),"")</f>
        <v>0.444464</v>
      </c>
      <c r="J12" s="76" t="n">
        <f aca="false">$J$2</f>
        <v>0.25</v>
      </c>
      <c r="K12" s="12" t="n">
        <f aca="false">IFERROR(IF($B12="","",$E12+$J12),"")</f>
        <v>0.805536</v>
      </c>
      <c r="L12" s="74" t="n">
        <f aca="false">IFERROR(IF(OR($B12="",$C12=0,$C12=""),"",$I12+ROW()*0.0000001),"")</f>
        <v>0.4444652</v>
      </c>
      <c r="M12" s="77" t="n">
        <f aca="false">$M$2</f>
        <v>0.9319</v>
      </c>
      <c r="N12" s="13" t="n">
        <f aca="false">IFERROR(IF($B12="","",$C12+$M12),"")</f>
        <v>83.3304</v>
      </c>
    </row>
    <row r="13" customFormat="false" ht="39" hidden="false" customHeight="true" outlineLevel="0" collapsed="false">
      <c r="A13" s="70" t="str">
        <f aca="false">IFERROR(IF(المنيو!$B13="","",المنيو!$A13),"")</f>
        <v>قسم البيتزا</v>
      </c>
      <c r="B13" s="70" t="str">
        <f aca="false">IFERROR(المنيو!$B13,"")</f>
        <v>بيتزا فراخ رانش حجم اكبر</v>
      </c>
      <c r="C13" s="13" t="n">
        <f aca="false">IFERROR(IF($B13="","",SUMIFS(الريسبي!$F$2:$F$1800,الريسبي!$A$2:$A$1800,$B13)),"")</f>
        <v>114.8227</v>
      </c>
      <c r="D13" s="71" t="n">
        <f aca="false">IFERROR(IF($B13="","",المنيو!$C13),"")</f>
        <v>230</v>
      </c>
      <c r="E13" s="12" t="n">
        <f aca="false">IFERROR(IF(OR($B13="",$D13=0,$D13=""),"",$N13/$D13),"")</f>
        <v>0.503280869565217</v>
      </c>
      <c r="F13" s="76" t="n">
        <f aca="false">$F$2</f>
        <v>0.375</v>
      </c>
      <c r="G13" s="13" t="n">
        <f aca="false">IFERROR(IF($B13="","",$N13/$F13),"")</f>
        <v>308.678933333333</v>
      </c>
      <c r="H13" s="13" t="n">
        <f aca="false">IFERROR(IF($B13="","",$D13-$N13),"")</f>
        <v>114.2454</v>
      </c>
      <c r="I13" s="12" t="n">
        <f aca="false">IFERROR(IF(OR($B13="",$D13=0,$D13=""),"",$H13/$D13),"")</f>
        <v>0.496719130434783</v>
      </c>
      <c r="J13" s="76" t="n">
        <f aca="false">$J$2</f>
        <v>0.25</v>
      </c>
      <c r="K13" s="12" t="n">
        <f aca="false">IFERROR(IF($B13="","",$E13+$J13),"")</f>
        <v>0.753280869565217</v>
      </c>
      <c r="L13" s="74" t="n">
        <f aca="false">IFERROR(IF(OR($B13="",$C13=0,$C13=""),"",$I13+ROW()*0.0000001),"")</f>
        <v>0.496720430434783</v>
      </c>
      <c r="M13" s="77" t="n">
        <f aca="false">$M$2</f>
        <v>0.9319</v>
      </c>
      <c r="N13" s="13" t="n">
        <f aca="false">IFERROR(IF($B13="","",$C13+$M13),"")</f>
        <v>115.7546</v>
      </c>
    </row>
    <row r="14" customFormat="false" ht="39" hidden="false" customHeight="true" outlineLevel="0" collapsed="false">
      <c r="A14" s="70" t="str">
        <f aca="false">IFERROR(IF(المنيو!$B14="","",المنيو!$A14),"")</f>
        <v>قسم البيتزا</v>
      </c>
      <c r="B14" s="70" t="str">
        <f aca="false">IFERROR(المنيو!$B14,"")</f>
        <v>بيتزا فراخ باربيكيو وسط</v>
      </c>
      <c r="C14" s="13" t="n">
        <f aca="false">IFERROR(IF($B14="","",SUMIFS(الريسبي!$F$2:$F$1800,الريسبي!$A$2:$A$1800,$B14)),"")</f>
        <v>78.8985</v>
      </c>
      <c r="D14" s="71" t="n">
        <f aca="false">IFERROR(IF($B14="","",المنيو!$C14),"")</f>
        <v>150</v>
      </c>
      <c r="E14" s="12" t="n">
        <f aca="false">IFERROR(IF(OR($B14="",$D14=0,$D14=""),"",$N14/$D14),"")</f>
        <v>0.532202666666667</v>
      </c>
      <c r="F14" s="76" t="n">
        <f aca="false">$F$2</f>
        <v>0.375</v>
      </c>
      <c r="G14" s="13" t="n">
        <f aca="false">IFERROR(IF($B14="","",$N14/$F14),"")</f>
        <v>212.881066666667</v>
      </c>
      <c r="H14" s="13" t="n">
        <f aca="false">IFERROR(IF($B14="","",$D14-$N14),"")</f>
        <v>70.1696</v>
      </c>
      <c r="I14" s="12" t="n">
        <f aca="false">IFERROR(IF(OR($B14="",$D14=0,$D14=""),"",$H14/$D14),"")</f>
        <v>0.467797333333333</v>
      </c>
      <c r="J14" s="76" t="n">
        <f aca="false">$J$2</f>
        <v>0.25</v>
      </c>
      <c r="K14" s="12" t="n">
        <f aca="false">IFERROR(IF($B14="","",$E14+$J14),"")</f>
        <v>0.782202666666667</v>
      </c>
      <c r="L14" s="74" t="n">
        <f aca="false">IFERROR(IF(OR($B14="",$C14=0,$C14=""),"",$I14+ROW()*0.0000001),"")</f>
        <v>0.467798733333333</v>
      </c>
      <c r="M14" s="77" t="n">
        <f aca="false">$M$2</f>
        <v>0.9319</v>
      </c>
      <c r="N14" s="13" t="n">
        <f aca="false">IFERROR(IF($B14="","",$C14+$M14),"")</f>
        <v>79.8304</v>
      </c>
    </row>
    <row r="15" customFormat="false" ht="39" hidden="false" customHeight="true" outlineLevel="0" collapsed="false">
      <c r="A15" s="70" t="str">
        <f aca="false">IFERROR(IF(المنيو!$B15="","",المنيو!$A15),"")</f>
        <v>قسم البيتزا</v>
      </c>
      <c r="B15" s="70" t="str">
        <f aca="false">IFERROR(المنيو!$B15,"")</f>
        <v>بيتزا فراخ باربيكيو حجم اكبر</v>
      </c>
      <c r="C15" s="13" t="n">
        <f aca="false">IFERROR(IF($B15="","",SUMIFS(الريسبي!$F$2:$F$1800,الريسبي!$A$2:$A$1800,$B15)),"")</f>
        <v>109.5727</v>
      </c>
      <c r="D15" s="71" t="n">
        <f aca="false">IFERROR(IF($B15="","",المنيو!$C15),"")</f>
        <v>230</v>
      </c>
      <c r="E15" s="12" t="n">
        <f aca="false">IFERROR(IF(OR($B15="",$D15=0,$D15=""),"",$N15/$D15),"")</f>
        <v>0.480454782608696</v>
      </c>
      <c r="F15" s="76" t="n">
        <f aca="false">$F$2</f>
        <v>0.375</v>
      </c>
      <c r="G15" s="13" t="n">
        <f aca="false">IFERROR(IF($B15="","",$N15/$F15),"")</f>
        <v>294.678933333333</v>
      </c>
      <c r="H15" s="13" t="n">
        <f aca="false">IFERROR(IF($B15="","",$D15-$N15),"")</f>
        <v>119.4954</v>
      </c>
      <c r="I15" s="12" t="n">
        <f aca="false">IFERROR(IF(OR($B15="",$D15=0,$D15=""),"",$H15/$D15),"")</f>
        <v>0.519545217391304</v>
      </c>
      <c r="J15" s="76" t="n">
        <f aca="false">$J$2</f>
        <v>0.25</v>
      </c>
      <c r="K15" s="12" t="n">
        <f aca="false">IFERROR(IF($B15="","",$E15+$J15),"")</f>
        <v>0.730454782608696</v>
      </c>
      <c r="L15" s="74" t="n">
        <f aca="false">IFERROR(IF(OR($B15="",$C15=0,$C15=""),"",$I15+ROW()*0.0000001),"")</f>
        <v>0.519546717391304</v>
      </c>
      <c r="M15" s="77" t="n">
        <f aca="false">$M$2</f>
        <v>0.9319</v>
      </c>
      <c r="N15" s="13" t="n">
        <f aca="false">IFERROR(IF($B15="","",$C15+$M15),"")</f>
        <v>110.5046</v>
      </c>
    </row>
    <row r="16" customFormat="false" ht="39" hidden="false" customHeight="true" outlineLevel="0" collapsed="false">
      <c r="A16" s="70" t="str">
        <f aca="false">IFERROR(IF(المنيو!$B16="","",المنيو!$A16),"")</f>
        <v>قسم البيتزا</v>
      </c>
      <c r="B16" s="70" t="str">
        <f aca="false">IFERROR(المنيو!$B16,"")</f>
        <v>بيتزا فراخ كريسبي رانش وسط</v>
      </c>
      <c r="C16" s="13" t="n">
        <f aca="false">IFERROR(IF($B16="","",SUMIFS(الريسبي!$F$2:$F$1800,الريسبي!$A$2:$A$1800,$B16)),"")</f>
        <v>83.9942</v>
      </c>
      <c r="D16" s="71" t="n">
        <f aca="false">IFERROR(IF($B16="","",المنيو!$C16),"")</f>
        <v>150</v>
      </c>
      <c r="E16" s="12" t="n">
        <f aca="false">IFERROR(IF(OR($B16="",$D16=0,$D16=""),"",$N16/$D16),"")</f>
        <v>0.566174</v>
      </c>
      <c r="F16" s="76" t="n">
        <f aca="false">$F$2</f>
        <v>0.375</v>
      </c>
      <c r="G16" s="13" t="n">
        <f aca="false">IFERROR(IF($B16="","",$N16/$F16),"")</f>
        <v>226.4696</v>
      </c>
      <c r="H16" s="13" t="n">
        <f aca="false">IFERROR(IF($B16="","",$D16-$N16),"")</f>
        <v>65.0739</v>
      </c>
      <c r="I16" s="12" t="n">
        <f aca="false">IFERROR(IF(OR($B16="",$D16=0,$D16=""),"",$H16/$D16),"")</f>
        <v>0.433826</v>
      </c>
      <c r="J16" s="76" t="n">
        <f aca="false">$J$2</f>
        <v>0.25</v>
      </c>
      <c r="K16" s="12" t="n">
        <f aca="false">IFERROR(IF($B16="","",$E16+$J16),"")</f>
        <v>0.816174</v>
      </c>
      <c r="L16" s="74" t="n">
        <f aca="false">IFERROR(IF(OR($B16="",$C16=0,$C16=""),"",$I16+ROW()*0.0000001),"")</f>
        <v>0.4338276</v>
      </c>
      <c r="M16" s="77" t="n">
        <f aca="false">$M$2</f>
        <v>0.9319</v>
      </c>
      <c r="N16" s="13" t="n">
        <f aca="false">IFERROR(IF($B16="","",$C16+$M16),"")</f>
        <v>84.9261</v>
      </c>
    </row>
    <row r="17" customFormat="false" ht="39" hidden="false" customHeight="true" outlineLevel="0" collapsed="false">
      <c r="A17" s="70" t="str">
        <f aca="false">IFERROR(IF(المنيو!$B17="","",المنيو!$A17),"")</f>
        <v>قسم البيتزا</v>
      </c>
      <c r="B17" s="70" t="str">
        <f aca="false">IFERROR(المنيو!$B17,"")</f>
        <v>بيتزا فراخ كريسبي رانش حجم اكبر</v>
      </c>
      <c r="C17" s="13" t="n">
        <f aca="false">IFERROR(IF($B17="","",SUMIFS(الريسبي!$F$2:$F$1800,الريسبي!$A$2:$A$1800,$B17)),"")</f>
        <v>100.6187</v>
      </c>
      <c r="D17" s="71" t="n">
        <f aca="false">IFERROR(IF($B17="","",المنيو!$C17),"")</f>
        <v>230</v>
      </c>
      <c r="E17" s="12" t="n">
        <f aca="false">IFERROR(IF(OR($B17="",$D17=0,$D17=""),"",$N17/$D17),"")</f>
        <v>0.441524347826087</v>
      </c>
      <c r="F17" s="76" t="n">
        <f aca="false">$F$2</f>
        <v>0.375</v>
      </c>
      <c r="G17" s="13" t="n">
        <f aca="false">IFERROR(IF($B17="","",$N17/$F17),"")</f>
        <v>270.8016</v>
      </c>
      <c r="H17" s="13" t="n">
        <f aca="false">IFERROR(IF($B17="","",$D17-$N17),"")</f>
        <v>128.4494</v>
      </c>
      <c r="I17" s="12" t="n">
        <f aca="false">IFERROR(IF(OR($B17="",$D17=0,$D17=""),"",$H17/$D17),"")</f>
        <v>0.558475652173913</v>
      </c>
      <c r="J17" s="76" t="n">
        <f aca="false">$J$2</f>
        <v>0.25</v>
      </c>
      <c r="K17" s="12" t="n">
        <f aca="false">IFERROR(IF($B17="","",$E17+$J17),"")</f>
        <v>0.691524347826087</v>
      </c>
      <c r="L17" s="74" t="n">
        <f aca="false">IFERROR(IF(OR($B17="",$C17=0,$C17=""),"",$I17+ROW()*0.0000001),"")</f>
        <v>0.558477352173913</v>
      </c>
      <c r="M17" s="77" t="n">
        <f aca="false">$M$2</f>
        <v>0.9319</v>
      </c>
      <c r="N17" s="13" t="n">
        <f aca="false">IFERROR(IF($B17="","",$C17+$M17),"")</f>
        <v>101.5506</v>
      </c>
    </row>
    <row r="18" customFormat="false" ht="39" hidden="false" customHeight="true" outlineLevel="0" collapsed="false">
      <c r="A18" s="70" t="str">
        <f aca="false">IFERROR(IF(المنيو!$B18="","",المنيو!$A18),"")</f>
        <v>قسم البيتزا</v>
      </c>
      <c r="B18" s="70" t="str">
        <f aca="false">IFERROR(المنيو!$B18,"")</f>
        <v>بيتزا فراخ كريسبي شيدر وسط</v>
      </c>
      <c r="C18" s="13" t="n">
        <f aca="false">IFERROR(IF($B18="","",SUMIFS(الريسبي!$F$2:$F$1800,الريسبي!$A$2:$A$1800,$B18)),"")</f>
        <v>87.4942</v>
      </c>
      <c r="D18" s="71" t="n">
        <f aca="false">IFERROR(IF($B18="","",المنيو!$C18),"")</f>
        <v>150</v>
      </c>
      <c r="E18" s="12" t="n">
        <f aca="false">IFERROR(IF(OR($B18="",$D18=0,$D18=""),"",$N18/$D18),"")</f>
        <v>0.589507333333333</v>
      </c>
      <c r="F18" s="76" t="n">
        <f aca="false">$F$2</f>
        <v>0.375</v>
      </c>
      <c r="G18" s="13" t="n">
        <f aca="false">IFERROR(IF($B18="","",$N18/$F18),"")</f>
        <v>235.802933333333</v>
      </c>
      <c r="H18" s="13" t="n">
        <f aca="false">IFERROR(IF($B18="","",$D18-$N18),"")</f>
        <v>61.5739</v>
      </c>
      <c r="I18" s="12" t="n">
        <f aca="false">IFERROR(IF(OR($B18="",$D18=0,$D18=""),"",$H18/$D18),"")</f>
        <v>0.410492666666667</v>
      </c>
      <c r="J18" s="76" t="n">
        <f aca="false">$J$2</f>
        <v>0.25</v>
      </c>
      <c r="K18" s="12" t="n">
        <f aca="false">IFERROR(IF($B18="","",$E18+$J18),"")</f>
        <v>0.839507333333333</v>
      </c>
      <c r="L18" s="74" t="n">
        <f aca="false">IFERROR(IF(OR($B18="",$C18=0,$C18=""),"",$I18+ROW()*0.0000001),"")</f>
        <v>0.410494466666667</v>
      </c>
      <c r="M18" s="77" t="n">
        <f aca="false">$M$2</f>
        <v>0.9319</v>
      </c>
      <c r="N18" s="13" t="n">
        <f aca="false">IFERROR(IF($B18="","",$C18+$M18),"")</f>
        <v>88.4261</v>
      </c>
    </row>
    <row r="19" customFormat="false" ht="39" hidden="false" customHeight="true" outlineLevel="0" collapsed="false">
      <c r="A19" s="70" t="str">
        <f aca="false">IFERROR(IF(المنيو!$B19="","",المنيو!$A19),"")</f>
        <v>قسم البيتزا</v>
      </c>
      <c r="B19" s="70" t="str">
        <f aca="false">IFERROR(المنيو!$B19,"")</f>
        <v>بيتزا فراخ كريسبي شيدر حجم اكبر</v>
      </c>
      <c r="C19" s="13" t="n">
        <f aca="false">IFERROR(IF($B19="","",SUMIFS(الريسبي!$F$2:$F$1800,الريسبي!$A$2:$A$1800,$B19)),"")</f>
        <v>105.8687</v>
      </c>
      <c r="D19" s="71" t="n">
        <f aca="false">IFERROR(IF($B19="","",المنيو!$C19),"")</f>
        <v>230</v>
      </c>
      <c r="E19" s="12" t="n">
        <f aca="false">IFERROR(IF(OR($B19="",$D19=0,$D19=""),"",$N19/$D19),"")</f>
        <v>0.464350434782609</v>
      </c>
      <c r="F19" s="76" t="n">
        <f aca="false">$F$2</f>
        <v>0.375</v>
      </c>
      <c r="G19" s="13" t="n">
        <f aca="false">IFERROR(IF($B19="","",$N19/$F19),"")</f>
        <v>284.8016</v>
      </c>
      <c r="H19" s="13" t="n">
        <f aca="false">IFERROR(IF($B19="","",$D19-$N19),"")</f>
        <v>123.1994</v>
      </c>
      <c r="I19" s="12" t="n">
        <f aca="false">IFERROR(IF(OR($B19="",$D19=0,$D19=""),"",$H19/$D19),"")</f>
        <v>0.535649565217391</v>
      </c>
      <c r="J19" s="76" t="n">
        <f aca="false">$J$2</f>
        <v>0.25</v>
      </c>
      <c r="K19" s="12" t="n">
        <f aca="false">IFERROR(IF($B19="","",$E19+$J19),"")</f>
        <v>0.714350434782609</v>
      </c>
      <c r="L19" s="74" t="n">
        <f aca="false">IFERROR(IF(OR($B19="",$C19=0,$C19=""),"",$I19+ROW()*0.0000001),"")</f>
        <v>0.535651465217391</v>
      </c>
      <c r="M19" s="77" t="n">
        <f aca="false">$M$2</f>
        <v>0.9319</v>
      </c>
      <c r="N19" s="13" t="n">
        <f aca="false">IFERROR(IF($B19="","",$C19+$M19),"")</f>
        <v>106.8006</v>
      </c>
    </row>
    <row r="20" customFormat="false" ht="39" hidden="false" customHeight="true" outlineLevel="0" collapsed="false">
      <c r="A20" s="70" t="str">
        <f aca="false">IFERROR(IF(المنيو!$B20="","",المنيو!$A20),"")</f>
        <v>قسم البيتزا</v>
      </c>
      <c r="B20" s="70" t="str">
        <f aca="false">IFERROR(المنيو!$B20,"")</f>
        <v>بيتزا مشكل لحوم النكش وسط</v>
      </c>
      <c r="C20" s="13" t="n">
        <f aca="false">IFERROR(IF($B20="","",SUMIFS(الريسبي!$F$2:$F$1800,الريسبي!$A$2:$A$1800,$B20)),"")</f>
        <v>127.9165</v>
      </c>
      <c r="D20" s="71" t="n">
        <f aca="false">IFERROR(IF($B20="","",المنيو!$C20),"")</f>
        <v>230</v>
      </c>
      <c r="E20" s="12" t="n">
        <f aca="false">IFERROR(IF(OR($B20="",$D20=0,$D20=""),"",$N20/$D20),"")</f>
        <v>0.560210434782609</v>
      </c>
      <c r="F20" s="76" t="n">
        <f aca="false">$F$2</f>
        <v>0.375</v>
      </c>
      <c r="G20" s="13" t="n">
        <f aca="false">IFERROR(IF($B20="","",$N20/$F20),"")</f>
        <v>343.595733333333</v>
      </c>
      <c r="H20" s="13" t="n">
        <f aca="false">IFERROR(IF($B20="","",$D20-$N20),"")</f>
        <v>101.1516</v>
      </c>
      <c r="I20" s="12" t="n">
        <f aca="false">IFERROR(IF(OR($B20="",$D20=0,$D20=""),"",$H20/$D20),"")</f>
        <v>0.439789565217391</v>
      </c>
      <c r="J20" s="76" t="n">
        <f aca="false">$J$2</f>
        <v>0.25</v>
      </c>
      <c r="K20" s="12" t="n">
        <f aca="false">IFERROR(IF($B20="","",$E20+$J20),"")</f>
        <v>0.810210434782609</v>
      </c>
      <c r="L20" s="74" t="n">
        <f aca="false">IFERROR(IF(OR($B20="",$C20=0,$C20=""),"",$I20+ROW()*0.0000001),"")</f>
        <v>0.439791565217391</v>
      </c>
      <c r="M20" s="77" t="n">
        <f aca="false">$M$2</f>
        <v>0.9319</v>
      </c>
      <c r="N20" s="13" t="n">
        <f aca="false">IFERROR(IF($B20="","",$C20+$M20),"")</f>
        <v>128.8484</v>
      </c>
    </row>
    <row r="21" customFormat="false" ht="39" hidden="false" customHeight="true" outlineLevel="0" collapsed="false">
      <c r="A21" s="70" t="str">
        <f aca="false">IFERROR(IF(المنيو!$B21="","",المنيو!$A21),"")</f>
        <v>قسم البيتزا</v>
      </c>
      <c r="B21" s="70" t="str">
        <f aca="false">IFERROR(المنيو!$B21,"")</f>
        <v>بيتزا مشكل لحوم النكش حجم اكبر</v>
      </c>
      <c r="C21" s="13" t="n">
        <f aca="false">IFERROR(IF($B21="","",SUMIFS(الريسبي!$F$2:$F$1800,الريسبي!$A$2:$A$1800,$B21)),"")</f>
        <v>162.9577</v>
      </c>
      <c r="D21" s="71" t="n">
        <f aca="false">IFERROR(IF($B21="","",المنيو!$C21),"")</f>
        <v>340</v>
      </c>
      <c r="E21" s="12" t="n">
        <f aca="false">IFERROR(IF(OR($B21="",$D21=0,$D21=""),"",$N21/$D21),"")</f>
        <v>0.482028235294118</v>
      </c>
      <c r="F21" s="76" t="n">
        <f aca="false">$F$2</f>
        <v>0.375</v>
      </c>
      <c r="G21" s="13" t="n">
        <f aca="false">IFERROR(IF($B21="","",$N21/$F21),"")</f>
        <v>437.038933333333</v>
      </c>
      <c r="H21" s="13" t="n">
        <f aca="false">IFERROR(IF($B21="","",$D21-$N21),"")</f>
        <v>176.1104</v>
      </c>
      <c r="I21" s="12" t="n">
        <f aca="false">IFERROR(IF(OR($B21="",$D21=0,$D21=""),"",$H21/$D21),"")</f>
        <v>0.517971764705882</v>
      </c>
      <c r="J21" s="76" t="n">
        <f aca="false">$J$2</f>
        <v>0.25</v>
      </c>
      <c r="K21" s="12" t="n">
        <f aca="false">IFERROR(IF($B21="","",$E21+$J21),"")</f>
        <v>0.732028235294118</v>
      </c>
      <c r="L21" s="74" t="n">
        <f aca="false">IFERROR(IF(OR($B21="",$C21=0,$C21=""),"",$I21+ROW()*0.0000001),"")</f>
        <v>0.517973864705882</v>
      </c>
      <c r="M21" s="77" t="n">
        <f aca="false">$M$2</f>
        <v>0.9319</v>
      </c>
      <c r="N21" s="13" t="n">
        <f aca="false">IFERROR(IF($B21="","",$C21+$M21),"")</f>
        <v>163.8896</v>
      </c>
    </row>
    <row r="22" customFormat="false" ht="39" hidden="false" customHeight="true" outlineLevel="0" collapsed="false">
      <c r="A22" s="70" t="str">
        <f aca="false">IFERROR(IF(المنيو!$B22="","",المنيو!$A22),"")</f>
        <v>قسم البيتزا</v>
      </c>
      <c r="B22" s="70" t="str">
        <f aca="false">IFERROR(المنيو!$B22,"")</f>
        <v>بيتزا جمبري وسط</v>
      </c>
      <c r="C22" s="13" t="n">
        <f aca="false">IFERROR(IF($B22="","",SUMIFS(الريسبي!$F$2:$F$1800,الريسبي!$A$2:$A$1800,$B22)),"")</f>
        <v>132.9165</v>
      </c>
      <c r="D22" s="71" t="n">
        <f aca="false">IFERROR(IF($B22="","",المنيو!$C22),"")</f>
        <v>240</v>
      </c>
      <c r="E22" s="12" t="n">
        <f aca="false">IFERROR(IF(OR($B22="",$D22=0,$D22=""),"",$N22/$D22),"")</f>
        <v>0.557701666666667</v>
      </c>
      <c r="F22" s="76" t="n">
        <f aca="false">$F$2</f>
        <v>0.375</v>
      </c>
      <c r="G22" s="13" t="n">
        <f aca="false">IFERROR(IF($B22="","",$N22/$F22),"")</f>
        <v>356.929066666667</v>
      </c>
      <c r="H22" s="13" t="n">
        <f aca="false">IFERROR(IF($B22="","",$D22-$N22),"")</f>
        <v>106.1516</v>
      </c>
      <c r="I22" s="12" t="n">
        <f aca="false">IFERROR(IF(OR($B22="",$D22=0,$D22=""),"",$H22/$D22),"")</f>
        <v>0.442298333333333</v>
      </c>
      <c r="J22" s="76" t="n">
        <f aca="false">$J$2</f>
        <v>0.25</v>
      </c>
      <c r="K22" s="12" t="n">
        <f aca="false">IFERROR(IF($B22="","",$E22+$J22),"")</f>
        <v>0.807701666666667</v>
      </c>
      <c r="L22" s="74" t="n">
        <f aca="false">IFERROR(IF(OR($B22="",$C22=0,$C22=""),"",$I22+ROW()*0.0000001),"")</f>
        <v>0.442300533333333</v>
      </c>
      <c r="M22" s="77" t="n">
        <f aca="false">$M$2</f>
        <v>0.9319</v>
      </c>
      <c r="N22" s="13" t="n">
        <f aca="false">IFERROR(IF($B22="","",$C22+$M22),"")</f>
        <v>133.8484</v>
      </c>
    </row>
    <row r="23" customFormat="false" ht="39" hidden="false" customHeight="true" outlineLevel="0" collapsed="false">
      <c r="A23" s="70" t="str">
        <f aca="false">IFERROR(IF(المنيو!$B23="","",المنيو!$A23),"")</f>
        <v>قسم البيتزا</v>
      </c>
      <c r="B23" s="70" t="str">
        <f aca="false">IFERROR(المنيو!$B23,"")</f>
        <v>بيتزا جمبري حجم اكبر</v>
      </c>
      <c r="C23" s="13" t="n">
        <f aca="false">IFERROR(IF($B23="","",SUMIFS(الريسبي!$F$2:$F$1800,الريسبي!$A$2:$A$1800,$B23)),"")</f>
        <v>192.791</v>
      </c>
      <c r="D23" s="71" t="n">
        <f aca="false">IFERROR(IF($B23="","",المنيو!$C23),"")</f>
        <v>360</v>
      </c>
      <c r="E23" s="12" t="n">
        <f aca="false">IFERROR(IF(OR($B23="",$D23=0,$D23=""),"",$N23/$D23),"")</f>
        <v>0.538119166666667</v>
      </c>
      <c r="F23" s="76" t="n">
        <f aca="false">$F$2</f>
        <v>0.375</v>
      </c>
      <c r="G23" s="13" t="n">
        <f aca="false">IFERROR(IF($B23="","",$N23/$F23),"")</f>
        <v>516.5944</v>
      </c>
      <c r="H23" s="13" t="n">
        <f aca="false">IFERROR(IF($B23="","",$D23-$N23),"")</f>
        <v>166.2771</v>
      </c>
      <c r="I23" s="12" t="n">
        <f aca="false">IFERROR(IF(OR($B23="",$D23=0,$D23=""),"",$H23/$D23),"")</f>
        <v>0.461880833333333</v>
      </c>
      <c r="J23" s="76" t="n">
        <f aca="false">$J$2</f>
        <v>0.25</v>
      </c>
      <c r="K23" s="12" t="n">
        <f aca="false">IFERROR(IF($B23="","",$E23+$J23),"")</f>
        <v>0.788119166666667</v>
      </c>
      <c r="L23" s="74" t="n">
        <f aca="false">IFERROR(IF(OR($B23="",$C23=0,$C23=""),"",$I23+ROW()*0.0000001),"")</f>
        <v>0.461883133333333</v>
      </c>
      <c r="M23" s="77" t="n">
        <f aca="false">$M$2</f>
        <v>0.9319</v>
      </c>
      <c r="N23" s="13" t="n">
        <f aca="false">IFERROR(IF($B23="","",$C23+$M23),"")</f>
        <v>193.7229</v>
      </c>
    </row>
    <row r="24" customFormat="false" ht="39" hidden="false" customHeight="true" outlineLevel="0" collapsed="false">
      <c r="A24" s="70" t="str">
        <f aca="false">IFERROR(IF(المنيو!$B24="","",المنيو!$A24),"")</f>
        <v>قسم الفطير الحادق</v>
      </c>
      <c r="B24" s="70" t="str">
        <f aca="false">IFERROR(المنيو!$B24,"")</f>
        <v>فطيرة سدق وسط</v>
      </c>
      <c r="C24" s="13" t="n">
        <f aca="false">IFERROR(IF($B24="","",SUMIFS(الريسبي!$F$2:$F$1800,الريسبي!$A$2:$A$1800,$B24)),"")</f>
        <v>76.2965</v>
      </c>
      <c r="D24" s="71" t="n">
        <f aca="false">IFERROR(IF($B24="","",المنيو!$C24),"")</f>
        <v>130</v>
      </c>
      <c r="E24" s="12" t="n">
        <f aca="false">IFERROR(IF(OR($B24="",$D24=0,$D24=""),"",$N24/$D24),"")</f>
        <v>0.594064615384615</v>
      </c>
      <c r="F24" s="76" t="n">
        <f aca="false">$F$2</f>
        <v>0.375</v>
      </c>
      <c r="G24" s="13" t="n">
        <f aca="false">IFERROR(IF($B24="","",$N24/$F24),"")</f>
        <v>205.9424</v>
      </c>
      <c r="H24" s="13" t="n">
        <f aca="false">IFERROR(IF($B24="","",$D24-$N24),"")</f>
        <v>52.7716</v>
      </c>
      <c r="I24" s="12" t="n">
        <f aca="false">IFERROR(IF(OR($B24="",$D24=0,$D24=""),"",$H24/$D24),"")</f>
        <v>0.405935384615385</v>
      </c>
      <c r="J24" s="76" t="n">
        <f aca="false">$J$2</f>
        <v>0.25</v>
      </c>
      <c r="K24" s="12" t="n">
        <f aca="false">IFERROR(IF($B24="","",$E24+$J24),"")</f>
        <v>0.844064615384615</v>
      </c>
      <c r="L24" s="74" t="n">
        <f aca="false">IFERROR(IF(OR($B24="",$C24=0,$C24=""),"",$I24+ROW()*0.0000001),"")</f>
        <v>0.405937784615385</v>
      </c>
      <c r="M24" s="77" t="n">
        <f aca="false">$M$2</f>
        <v>0.9319</v>
      </c>
      <c r="N24" s="13" t="n">
        <f aca="false">IFERROR(IF($B24="","",$C24+$M24),"")</f>
        <v>77.2284</v>
      </c>
    </row>
    <row r="25" customFormat="false" ht="39" hidden="false" customHeight="true" outlineLevel="0" collapsed="false">
      <c r="A25" s="70" t="str">
        <f aca="false">IFERROR(IF(المنيو!$B25="","",المنيو!$A25),"")</f>
        <v>قسم الفطير الحادق</v>
      </c>
      <c r="B25" s="70" t="str">
        <f aca="false">IFERROR(المنيو!$B25,"")</f>
        <v>فطيرة سدق حجم اكبر</v>
      </c>
      <c r="C25" s="13" t="n">
        <f aca="false">IFERROR(IF($B25="","",SUMIFS(الريسبي!$F$2:$F$1800,الريسبي!$A$2:$A$1800,$B25)),"")</f>
        <v>104.1315</v>
      </c>
      <c r="D25" s="71" t="n">
        <f aca="false">IFERROR(IF($B25="","",المنيو!$C25),"")</f>
        <v>190</v>
      </c>
      <c r="E25" s="12" t="n">
        <f aca="false">IFERROR(IF(OR($B25="",$D25=0,$D25=""),"",$N25/$D25),"")</f>
        <v>0.552965263157895</v>
      </c>
      <c r="F25" s="76" t="n">
        <f aca="false">$F$2</f>
        <v>0.375</v>
      </c>
      <c r="G25" s="13" t="n">
        <f aca="false">IFERROR(IF($B25="","",$N25/$F25),"")</f>
        <v>280.169066666667</v>
      </c>
      <c r="H25" s="13" t="n">
        <f aca="false">IFERROR(IF($B25="","",$D25-$N25),"")</f>
        <v>84.9366</v>
      </c>
      <c r="I25" s="12" t="n">
        <f aca="false">IFERROR(IF(OR($B25="",$D25=0,$D25=""),"",$H25/$D25),"")</f>
        <v>0.447034736842105</v>
      </c>
      <c r="J25" s="76" t="n">
        <f aca="false">$J$2</f>
        <v>0.25</v>
      </c>
      <c r="K25" s="12" t="n">
        <f aca="false">IFERROR(IF($B25="","",$E25+$J25),"")</f>
        <v>0.802965263157895</v>
      </c>
      <c r="L25" s="74" t="n">
        <f aca="false">IFERROR(IF(OR($B25="",$C25=0,$C25=""),"",$I25+ROW()*0.0000001),"")</f>
        <v>0.447037236842105</v>
      </c>
      <c r="M25" s="77" t="n">
        <f aca="false">$M$2</f>
        <v>0.9319</v>
      </c>
      <c r="N25" s="13" t="n">
        <f aca="false">IFERROR(IF($B25="","",$C25+$M25),"")</f>
        <v>105.0634</v>
      </c>
    </row>
    <row r="26" customFormat="false" ht="39" hidden="false" customHeight="true" outlineLevel="0" collapsed="false">
      <c r="A26" s="70" t="str">
        <f aca="false">IFERROR(IF(المنيو!$B26="","",المنيو!$A26),"")</f>
        <v>قسم الفطير الحادق</v>
      </c>
      <c r="B26" s="70" t="str">
        <f aca="false">IFERROR(المنيو!$B26,"")</f>
        <v>فطيرة بسطرمة وسط</v>
      </c>
      <c r="C26" s="13" t="n">
        <f aca="false">IFERROR(IF($B26="","",SUMIFS(الريسبي!$F$2:$F$1800,الريسبي!$A$2:$A$1800,$B26)),"")</f>
        <v>68.2965</v>
      </c>
      <c r="D26" s="71" t="n">
        <f aca="false">IFERROR(IF($B26="","",المنيو!$C26),"")</f>
        <v>140</v>
      </c>
      <c r="E26" s="12" t="n">
        <f aca="false">IFERROR(IF(OR($B26="",$D26=0,$D26=""),"",$N26/$D26),"")</f>
        <v>0.494488571428571</v>
      </c>
      <c r="F26" s="76" t="n">
        <f aca="false">$F$2</f>
        <v>0.375</v>
      </c>
      <c r="G26" s="13" t="n">
        <f aca="false">IFERROR(IF($B26="","",$N26/$F26),"")</f>
        <v>184.609066666667</v>
      </c>
      <c r="H26" s="13" t="n">
        <f aca="false">IFERROR(IF($B26="","",$D26-$N26),"")</f>
        <v>70.7716</v>
      </c>
      <c r="I26" s="12" t="n">
        <f aca="false">IFERROR(IF(OR($B26="",$D26=0,$D26=""),"",$H26/$D26),"")</f>
        <v>0.505511428571429</v>
      </c>
      <c r="J26" s="76" t="n">
        <f aca="false">$J$2</f>
        <v>0.25</v>
      </c>
      <c r="K26" s="12" t="n">
        <f aca="false">IFERROR(IF($B26="","",$E26+$J26),"")</f>
        <v>0.744488571428571</v>
      </c>
      <c r="L26" s="74" t="n">
        <f aca="false">IFERROR(IF(OR($B26="",$C26=0,$C26=""),"",$I26+ROW()*0.0000001),"")</f>
        <v>0.505514028571429</v>
      </c>
      <c r="M26" s="77" t="n">
        <f aca="false">$M$2</f>
        <v>0.9319</v>
      </c>
      <c r="N26" s="13" t="n">
        <f aca="false">IFERROR(IF($B26="","",$C26+$M26),"")</f>
        <v>69.2284</v>
      </c>
    </row>
    <row r="27" customFormat="false" ht="39" hidden="false" customHeight="true" outlineLevel="0" collapsed="false">
      <c r="A27" s="70" t="str">
        <f aca="false">IFERROR(IF(المنيو!$B27="","",المنيو!$A27),"")</f>
        <v>قسم الفطير الحادق</v>
      </c>
      <c r="B27" s="70" t="str">
        <f aca="false">IFERROR(المنيو!$B27,"")</f>
        <v>فطيرة بسطرمة حجم اكبر</v>
      </c>
      <c r="C27" s="13" t="n">
        <f aca="false">IFERROR(IF($B27="","",SUMIFS(الريسبي!$F$2:$F$1800,الريسبي!$A$2:$A$1800,$B27)),"")</f>
        <v>92.2982</v>
      </c>
      <c r="D27" s="71" t="n">
        <f aca="false">IFERROR(IF($B27="","",المنيو!$C27),"")</f>
        <v>200</v>
      </c>
      <c r="E27" s="12" t="n">
        <f aca="false">IFERROR(IF(OR($B27="",$D27=0,$D27=""),"",$N27/$D27),"")</f>
        <v>0.4661505</v>
      </c>
      <c r="F27" s="76" t="n">
        <f aca="false">$F$2</f>
        <v>0.375</v>
      </c>
      <c r="G27" s="13" t="n">
        <f aca="false">IFERROR(IF($B27="","",$N27/$F27),"")</f>
        <v>248.6136</v>
      </c>
      <c r="H27" s="13" t="n">
        <f aca="false">IFERROR(IF($B27="","",$D27-$N27),"")</f>
        <v>106.7699</v>
      </c>
      <c r="I27" s="12" t="n">
        <f aca="false">IFERROR(IF(OR($B27="",$D27=0,$D27=""),"",$H27/$D27),"")</f>
        <v>0.5338495</v>
      </c>
      <c r="J27" s="76" t="n">
        <f aca="false">$J$2</f>
        <v>0.25</v>
      </c>
      <c r="K27" s="12" t="n">
        <f aca="false">IFERROR(IF($B27="","",$E27+$J27),"")</f>
        <v>0.7161505</v>
      </c>
      <c r="L27" s="74" t="n">
        <f aca="false">IFERROR(IF(OR($B27="",$C27=0,$C27=""),"",$I27+ROW()*0.0000001),"")</f>
        <v>0.5338522</v>
      </c>
      <c r="M27" s="77" t="n">
        <f aca="false">$M$2</f>
        <v>0.9319</v>
      </c>
      <c r="N27" s="13" t="n">
        <f aca="false">IFERROR(IF($B27="","",$C27+$M27),"")</f>
        <v>93.2301</v>
      </c>
    </row>
    <row r="28" customFormat="false" ht="39" hidden="false" customHeight="true" outlineLevel="0" collapsed="false">
      <c r="A28" s="70" t="str">
        <f aca="false">IFERROR(IF(المنيو!$B28="","",المنيو!$A28),"")</f>
        <v>قسم الفطير الحادق</v>
      </c>
      <c r="B28" s="70" t="str">
        <f aca="false">IFERROR(المنيو!$B28,"")</f>
        <v>فطيرة ميكس بسطرمة وسدق بالكيري وسط</v>
      </c>
      <c r="C28" s="13" t="n">
        <f aca="false">IFERROR(IF($B28="","",SUMIFS(الريسبي!$F$2:$F$1800,الريسبي!$A$2:$A$1800,$B28)),"")</f>
        <v>116.2965</v>
      </c>
      <c r="D28" s="71" t="n">
        <f aca="false">IFERROR(IF($B28="","",المنيو!$C28),"")</f>
        <v>210</v>
      </c>
      <c r="E28" s="12" t="n">
        <f aca="false">IFERROR(IF(OR($B28="",$D28=0,$D28=""),"",$N28/$D28),"")</f>
        <v>0.558230476190476</v>
      </c>
      <c r="F28" s="76" t="n">
        <f aca="false">$F$2</f>
        <v>0.375</v>
      </c>
      <c r="G28" s="13" t="n">
        <f aca="false">IFERROR(IF($B28="","",$N28/$F28),"")</f>
        <v>312.609066666667</v>
      </c>
      <c r="H28" s="13" t="n">
        <f aca="false">IFERROR(IF($B28="","",$D28-$N28),"")</f>
        <v>92.7716</v>
      </c>
      <c r="I28" s="12" t="n">
        <f aca="false">IFERROR(IF(OR($B28="",$D28=0,$D28=""),"",$H28/$D28),"")</f>
        <v>0.441769523809524</v>
      </c>
      <c r="J28" s="76" t="n">
        <f aca="false">$J$2</f>
        <v>0.25</v>
      </c>
      <c r="K28" s="12" t="n">
        <f aca="false">IFERROR(IF($B28="","",$E28+$J28),"")</f>
        <v>0.808230476190476</v>
      </c>
      <c r="L28" s="74" t="n">
        <f aca="false">IFERROR(IF(OR($B28="",$C28=0,$C28=""),"",$I28+ROW()*0.0000001),"")</f>
        <v>0.441772323809524</v>
      </c>
      <c r="M28" s="77" t="n">
        <f aca="false">$M$2</f>
        <v>0.9319</v>
      </c>
      <c r="N28" s="13" t="n">
        <f aca="false">IFERROR(IF($B28="","",$C28+$M28),"")</f>
        <v>117.2284</v>
      </c>
    </row>
    <row r="29" customFormat="false" ht="39" hidden="false" customHeight="true" outlineLevel="0" collapsed="false">
      <c r="A29" s="70" t="str">
        <f aca="false">IFERROR(IF(المنيو!$B29="","",المنيو!$A29),"")</f>
        <v>قسم الفطير الحادق</v>
      </c>
      <c r="B29" s="70" t="str">
        <f aca="false">IFERROR(المنيو!$B29,"")</f>
        <v>فطيرة ميكس بسطرمة وسدق بالكيري حجم اكبر</v>
      </c>
      <c r="C29" s="13" t="n">
        <f aca="false">IFERROR(IF($B29="","",SUMIFS(الريسبي!$F$2:$F$1800,الريسبي!$A$2:$A$1800,$B29)),"")</f>
        <v>158.2982</v>
      </c>
      <c r="D29" s="71" t="n">
        <f aca="false">IFERROR(IF($B29="","",المنيو!$C29),"")</f>
        <v>330</v>
      </c>
      <c r="E29" s="12" t="n">
        <f aca="false">IFERROR(IF(OR($B29="",$D29=0,$D29=""),"",$N29/$D29),"")</f>
        <v>0.482515454545455</v>
      </c>
      <c r="F29" s="76" t="n">
        <f aca="false">$F$2</f>
        <v>0.375</v>
      </c>
      <c r="G29" s="13" t="n">
        <f aca="false">IFERROR(IF($B29="","",$N29/$F29),"")</f>
        <v>424.6136</v>
      </c>
      <c r="H29" s="13" t="n">
        <f aca="false">IFERROR(IF($B29="","",$D29-$N29),"")</f>
        <v>170.7699</v>
      </c>
      <c r="I29" s="12" t="n">
        <f aca="false">IFERROR(IF(OR($B29="",$D29=0,$D29=""),"",$H29/$D29),"")</f>
        <v>0.517484545454545</v>
      </c>
      <c r="J29" s="76" t="n">
        <f aca="false">$J$2</f>
        <v>0.25</v>
      </c>
      <c r="K29" s="12" t="n">
        <f aca="false">IFERROR(IF($B29="","",$E29+$J29),"")</f>
        <v>0.732515454545455</v>
      </c>
      <c r="L29" s="74" t="n">
        <f aca="false">IFERROR(IF(OR($B29="",$C29=0,$C29=""),"",$I29+ROW()*0.0000001),"")</f>
        <v>0.517487445454545</v>
      </c>
      <c r="M29" s="77" t="n">
        <f aca="false">$M$2</f>
        <v>0.9319</v>
      </c>
      <c r="N29" s="13" t="n">
        <f aca="false">IFERROR(IF($B29="","",$C29+$M29),"")</f>
        <v>159.2301</v>
      </c>
    </row>
    <row r="30" customFormat="false" ht="39" hidden="false" customHeight="true" outlineLevel="0" collapsed="false">
      <c r="A30" s="70" t="str">
        <f aca="false">IFERROR(IF(المنيو!$B30="","",المنيو!$A30),"")</f>
        <v>قسم الفطير الحادق</v>
      </c>
      <c r="B30" s="70" t="str">
        <f aca="false">IFERROR(المنيو!$B30,"")</f>
        <v>فطيرة مشكل جبن وسط</v>
      </c>
      <c r="C30" s="13" t="n">
        <f aca="false">IFERROR(IF($B30="","",SUMIFS(الريسبي!$F$2:$F$1800,الريسبي!$A$2:$A$1800,$B30)),"")</f>
        <v>79.0465</v>
      </c>
      <c r="D30" s="71" t="n">
        <f aca="false">IFERROR(IF($B30="","",المنيو!$C30),"")</f>
        <v>145</v>
      </c>
      <c r="E30" s="12" t="n">
        <f aca="false">IFERROR(IF(OR($B30="",$D30=0,$D30=""),"",$N30/$D30),"")</f>
        <v>0.551575172413793</v>
      </c>
      <c r="F30" s="76" t="n">
        <f aca="false">$F$2</f>
        <v>0.375</v>
      </c>
      <c r="G30" s="13" t="n">
        <f aca="false">IFERROR(IF($B30="","",$N30/$F30),"")</f>
        <v>213.275733333333</v>
      </c>
      <c r="H30" s="13" t="n">
        <f aca="false">IFERROR(IF($B30="","",$D30-$N30),"")</f>
        <v>65.0216</v>
      </c>
      <c r="I30" s="12" t="n">
        <f aca="false">IFERROR(IF(OR($B30="",$D30=0,$D30=""),"",$H30/$D30),"")</f>
        <v>0.448424827586207</v>
      </c>
      <c r="J30" s="76" t="n">
        <f aca="false">$J$2</f>
        <v>0.25</v>
      </c>
      <c r="K30" s="12" t="n">
        <f aca="false">IFERROR(IF($B30="","",$E30+$J30),"")</f>
        <v>0.801575172413793</v>
      </c>
      <c r="L30" s="74" t="n">
        <f aca="false">IFERROR(IF(OR($B30="",$C30=0,$C30=""),"",$I30+ROW()*0.0000001),"")</f>
        <v>0.448427827586207</v>
      </c>
      <c r="M30" s="77" t="n">
        <f aca="false">$M$2</f>
        <v>0.9319</v>
      </c>
      <c r="N30" s="13" t="n">
        <f aca="false">IFERROR(IF($B30="","",$C30+$M30),"")</f>
        <v>79.9784</v>
      </c>
    </row>
    <row r="31" customFormat="false" ht="39" hidden="false" customHeight="true" outlineLevel="0" collapsed="false">
      <c r="A31" s="70" t="str">
        <f aca="false">IFERROR(IF(المنيو!$B31="","",المنيو!$A31),"")</f>
        <v>قسم الفطير الحادق</v>
      </c>
      <c r="B31" s="70" t="str">
        <f aca="false">IFERROR(المنيو!$B31,"")</f>
        <v>فطيرة مشكل جبن حجم اكبر</v>
      </c>
      <c r="C31" s="13" t="n">
        <f aca="false">IFERROR(IF($B31="","",SUMIFS(الريسبي!$F$2:$F$1800,الريسبي!$A$2:$A$1800,$B31)),"")</f>
        <v>113.6315</v>
      </c>
      <c r="D31" s="71" t="n">
        <f aca="false">IFERROR(IF($B31="","",المنيو!$C31),"")</f>
        <v>210</v>
      </c>
      <c r="E31" s="12" t="n">
        <f aca="false">IFERROR(IF(OR($B31="",$D31=0,$D31=""),"",$N31/$D31),"")</f>
        <v>0.54554</v>
      </c>
      <c r="F31" s="76" t="n">
        <f aca="false">$F$2</f>
        <v>0.375</v>
      </c>
      <c r="G31" s="13" t="n">
        <f aca="false">IFERROR(IF($B31="","",$N31/$F31),"")</f>
        <v>305.5024</v>
      </c>
      <c r="H31" s="13" t="n">
        <f aca="false">IFERROR(IF($B31="","",$D31-$N31),"")</f>
        <v>95.4366</v>
      </c>
      <c r="I31" s="12" t="n">
        <f aca="false">IFERROR(IF(OR($B31="",$D31=0,$D31=""),"",$H31/$D31),"")</f>
        <v>0.45446</v>
      </c>
      <c r="J31" s="76" t="n">
        <f aca="false">$J$2</f>
        <v>0.25</v>
      </c>
      <c r="K31" s="12" t="n">
        <f aca="false">IFERROR(IF($B31="","",$E31+$J31),"")</f>
        <v>0.79554</v>
      </c>
      <c r="L31" s="74" t="n">
        <f aca="false">IFERROR(IF(OR($B31="",$C31=0,$C31=""),"",$I31+ROW()*0.0000001),"")</f>
        <v>0.4544631</v>
      </c>
      <c r="M31" s="77" t="n">
        <f aca="false">$M$2</f>
        <v>0.9319</v>
      </c>
      <c r="N31" s="13" t="n">
        <f aca="false">IFERROR(IF($B31="","",$C31+$M31),"")</f>
        <v>114.5634</v>
      </c>
    </row>
    <row r="32" customFormat="false" ht="39" hidden="false" customHeight="true" outlineLevel="0" collapsed="false">
      <c r="A32" s="70" t="str">
        <f aca="false">IFERROR(IF(المنيو!$B32="","",المنيو!$A32),"")</f>
        <v>قسم الفطير الحادق</v>
      </c>
      <c r="B32" s="70" t="str">
        <f aca="false">IFERROR(المنيو!$B32,"")</f>
        <v>فطيرة فراخ رانش وسط</v>
      </c>
      <c r="C32" s="13" t="n">
        <f aca="false">IFERROR(IF($B32="","",SUMIFS(الريسبي!$F$2:$F$1800,الريسبي!$A$2:$A$1800,$B32)),"")</f>
        <v>77.7785</v>
      </c>
      <c r="D32" s="71" t="n">
        <f aca="false">IFERROR(IF($B32="","",المنيو!$C32),"")</f>
        <v>160</v>
      </c>
      <c r="E32" s="12" t="n">
        <f aca="false">IFERROR(IF(OR($B32="",$D32=0,$D32=""),"",$N32/$D32),"")</f>
        <v>0.49194</v>
      </c>
      <c r="F32" s="76" t="n">
        <f aca="false">$F$2</f>
        <v>0.375</v>
      </c>
      <c r="G32" s="13" t="n">
        <f aca="false">IFERROR(IF($B32="","",$N32/$F32),"")</f>
        <v>209.8944</v>
      </c>
      <c r="H32" s="13" t="n">
        <f aca="false">IFERROR(IF($B32="","",$D32-$N32),"")</f>
        <v>81.2896</v>
      </c>
      <c r="I32" s="12" t="n">
        <f aca="false">IFERROR(IF(OR($B32="",$D32=0,$D32=""),"",$H32/$D32),"")</f>
        <v>0.50806</v>
      </c>
      <c r="J32" s="76" t="n">
        <f aca="false">$J$2</f>
        <v>0.25</v>
      </c>
      <c r="K32" s="12" t="n">
        <f aca="false">IFERROR(IF($B32="","",$E32+$J32),"")</f>
        <v>0.74194</v>
      </c>
      <c r="L32" s="74" t="n">
        <f aca="false">IFERROR(IF(OR($B32="",$C32=0,$C32=""),"",$I32+ROW()*0.0000001),"")</f>
        <v>0.5080632</v>
      </c>
      <c r="M32" s="77" t="n">
        <f aca="false">$M$2</f>
        <v>0.9319</v>
      </c>
      <c r="N32" s="13" t="n">
        <f aca="false">IFERROR(IF($B32="","",$C32+$M32),"")</f>
        <v>78.7104</v>
      </c>
    </row>
    <row r="33" customFormat="false" ht="39" hidden="false" customHeight="true" outlineLevel="0" collapsed="false">
      <c r="A33" s="70" t="str">
        <f aca="false">IFERROR(IF(المنيو!$B33="","",المنيو!$A33),"")</f>
        <v>قسم الفطير الحادق</v>
      </c>
      <c r="B33" s="70" t="str">
        <f aca="false">IFERROR(المنيو!$B33,"")</f>
        <v>فطيرة فراخ رانش حجم اكبر</v>
      </c>
      <c r="C33" s="13" t="n">
        <f aca="false">IFERROR(IF($B33="","",SUMIFS(الريسبي!$F$2:$F$1800,الريسبي!$A$2:$A$1800,$B33)),"")</f>
        <v>110.1632</v>
      </c>
      <c r="D33" s="71" t="n">
        <f aca="false">IFERROR(IF($B33="","",المنيو!$C33),"")</f>
        <v>250</v>
      </c>
      <c r="E33" s="12" t="n">
        <f aca="false">IFERROR(IF(OR($B33="",$D33=0,$D33=""),"",$N33/$D33),"")</f>
        <v>0.4443804</v>
      </c>
      <c r="F33" s="76" t="n">
        <f aca="false">$F$2</f>
        <v>0.375</v>
      </c>
      <c r="G33" s="13" t="n">
        <f aca="false">IFERROR(IF($B33="","",$N33/$F33),"")</f>
        <v>296.2536</v>
      </c>
      <c r="H33" s="13" t="n">
        <f aca="false">IFERROR(IF($B33="","",$D33-$N33),"")</f>
        <v>138.9049</v>
      </c>
      <c r="I33" s="12" t="n">
        <f aca="false">IFERROR(IF(OR($B33="",$D33=0,$D33=""),"",$H33/$D33),"")</f>
        <v>0.5556196</v>
      </c>
      <c r="J33" s="76" t="n">
        <f aca="false">$J$2</f>
        <v>0.25</v>
      </c>
      <c r="K33" s="12" t="n">
        <f aca="false">IFERROR(IF($B33="","",$E33+$J33),"")</f>
        <v>0.6943804</v>
      </c>
      <c r="L33" s="74" t="n">
        <f aca="false">IFERROR(IF(OR($B33="",$C33=0,$C33=""),"",$I33+ROW()*0.0000001),"")</f>
        <v>0.5556229</v>
      </c>
      <c r="M33" s="77" t="n">
        <f aca="false">$M$2</f>
        <v>0.9319</v>
      </c>
      <c r="N33" s="13" t="n">
        <f aca="false">IFERROR(IF($B33="","",$C33+$M33),"")</f>
        <v>111.0951</v>
      </c>
    </row>
    <row r="34" customFormat="false" ht="39" hidden="false" customHeight="true" outlineLevel="0" collapsed="false">
      <c r="A34" s="70" t="str">
        <f aca="false">IFERROR(IF(المنيو!$B34="","",المنيو!$A34),"")</f>
        <v>قسم الفطير الحادق</v>
      </c>
      <c r="B34" s="70" t="str">
        <f aca="false">IFERROR(المنيو!$B34,"")</f>
        <v>فطيرة فراخ باربيكيو وسط</v>
      </c>
      <c r="C34" s="13" t="n">
        <f aca="false">IFERROR(IF($B34="","",SUMIFS(الريسبي!$F$2:$F$1800,الريسبي!$A$2:$A$1800,$B34)),"")</f>
        <v>74.2785</v>
      </c>
      <c r="D34" s="71" t="n">
        <f aca="false">IFERROR(IF($B34="","",المنيو!$C34),"")</f>
        <v>160</v>
      </c>
      <c r="E34" s="12" t="n">
        <f aca="false">IFERROR(IF(OR($B34="",$D34=0,$D34=""),"",$N34/$D34),"")</f>
        <v>0.470065</v>
      </c>
      <c r="F34" s="76" t="n">
        <f aca="false">$F$2</f>
        <v>0.375</v>
      </c>
      <c r="G34" s="13" t="n">
        <f aca="false">IFERROR(IF($B34="","",$N34/$F34),"")</f>
        <v>200.561066666667</v>
      </c>
      <c r="H34" s="13" t="n">
        <f aca="false">IFERROR(IF($B34="","",$D34-$N34),"")</f>
        <v>84.7896</v>
      </c>
      <c r="I34" s="12" t="n">
        <f aca="false">IFERROR(IF(OR($B34="",$D34=0,$D34=""),"",$H34/$D34),"")</f>
        <v>0.529935</v>
      </c>
      <c r="J34" s="76" t="n">
        <f aca="false">$J$2</f>
        <v>0.25</v>
      </c>
      <c r="K34" s="12" t="n">
        <f aca="false">IFERROR(IF($B34="","",$E34+$J34),"")</f>
        <v>0.720065</v>
      </c>
      <c r="L34" s="74" t="n">
        <f aca="false">IFERROR(IF(OR($B34="",$C34=0,$C34=""),"",$I34+ROW()*0.0000001),"")</f>
        <v>0.5299384</v>
      </c>
      <c r="M34" s="77" t="n">
        <f aca="false">$M$2</f>
        <v>0.9319</v>
      </c>
      <c r="N34" s="13" t="n">
        <f aca="false">IFERROR(IF($B34="","",$C34+$M34),"")</f>
        <v>75.2104</v>
      </c>
    </row>
    <row r="35" customFormat="false" ht="39" hidden="false" customHeight="true" outlineLevel="0" collapsed="false">
      <c r="A35" s="70" t="str">
        <f aca="false">IFERROR(IF(المنيو!$B35="","",المنيو!$A35),"")</f>
        <v>قسم الفطير الحادق</v>
      </c>
      <c r="B35" s="70" t="str">
        <f aca="false">IFERROR(المنيو!$B35,"")</f>
        <v>فطيرة فراخ باربيكيو حجم اكبر</v>
      </c>
      <c r="C35" s="13" t="n">
        <f aca="false">IFERROR(IF($B35="","",SUMIFS(الريسبي!$F$2:$F$1800,الريسبي!$A$2:$A$1800,$B35)),"")</f>
        <v>104.9132</v>
      </c>
      <c r="D35" s="71" t="n">
        <f aca="false">IFERROR(IF($B35="","",المنيو!$C35),"")</f>
        <v>250</v>
      </c>
      <c r="E35" s="12" t="n">
        <f aca="false">IFERROR(IF(OR($B35="",$D35=0,$D35=""),"",$N35/$D35),"")</f>
        <v>0.4233804</v>
      </c>
      <c r="F35" s="76" t="n">
        <f aca="false">$F$2</f>
        <v>0.375</v>
      </c>
      <c r="G35" s="13" t="n">
        <f aca="false">IFERROR(IF($B35="","",$N35/$F35),"")</f>
        <v>282.2536</v>
      </c>
      <c r="H35" s="13" t="n">
        <f aca="false">IFERROR(IF($B35="","",$D35-$N35),"")</f>
        <v>144.1549</v>
      </c>
      <c r="I35" s="12" t="n">
        <f aca="false">IFERROR(IF(OR($B35="",$D35=0,$D35=""),"",$H35/$D35),"")</f>
        <v>0.5766196</v>
      </c>
      <c r="J35" s="76" t="n">
        <f aca="false">$J$2</f>
        <v>0.25</v>
      </c>
      <c r="K35" s="12" t="n">
        <f aca="false">IFERROR(IF($B35="","",$E35+$J35),"")</f>
        <v>0.6733804</v>
      </c>
      <c r="L35" s="74" t="n">
        <f aca="false">IFERROR(IF(OR($B35="",$C35=0,$C35=""),"",$I35+ROW()*0.0000001),"")</f>
        <v>0.5766231</v>
      </c>
      <c r="M35" s="77" t="n">
        <f aca="false">$M$2</f>
        <v>0.9319</v>
      </c>
      <c r="N35" s="13" t="n">
        <f aca="false">IFERROR(IF($B35="","",$C35+$M35),"")</f>
        <v>105.8451</v>
      </c>
    </row>
    <row r="36" customFormat="false" ht="39" hidden="false" customHeight="true" outlineLevel="0" collapsed="false">
      <c r="A36" s="70" t="str">
        <f aca="false">IFERROR(IF(المنيو!$B36="","",المنيو!$A36),"")</f>
        <v>قسم الفطير الحادق</v>
      </c>
      <c r="B36" s="70" t="str">
        <f aca="false">IFERROR(المنيو!$B36,"")</f>
        <v>فطيرة فراخ كريسبي رانش وسط</v>
      </c>
      <c r="C36" s="13" t="n">
        <f aca="false">IFERROR(IF($B36="","",SUMIFS(الريسبي!$F$2:$F$1800,الريسبي!$A$2:$A$1800,$B36)),"")</f>
        <v>79.3742</v>
      </c>
      <c r="D36" s="71" t="n">
        <f aca="false">IFERROR(IF($B36="","",المنيو!$C36),"")</f>
        <v>150</v>
      </c>
      <c r="E36" s="12" t="n">
        <f aca="false">IFERROR(IF(OR($B36="",$D36=0,$D36=""),"",$N36/$D36),"")</f>
        <v>0.535374</v>
      </c>
      <c r="F36" s="76" t="n">
        <f aca="false">$F$2</f>
        <v>0.375</v>
      </c>
      <c r="G36" s="13" t="n">
        <f aca="false">IFERROR(IF($B36="","",$N36/$F36),"")</f>
        <v>214.1496</v>
      </c>
      <c r="H36" s="13" t="n">
        <f aca="false">IFERROR(IF($B36="","",$D36-$N36),"")</f>
        <v>69.6939</v>
      </c>
      <c r="I36" s="12" t="n">
        <f aca="false">IFERROR(IF(OR($B36="",$D36=0,$D36=""),"",$H36/$D36),"")</f>
        <v>0.464626</v>
      </c>
      <c r="J36" s="76" t="n">
        <f aca="false">$J$2</f>
        <v>0.25</v>
      </c>
      <c r="K36" s="12" t="n">
        <f aca="false">IFERROR(IF($B36="","",$E36+$J36),"")</f>
        <v>0.785374</v>
      </c>
      <c r="L36" s="74" t="n">
        <f aca="false">IFERROR(IF(OR($B36="",$C36=0,$C36=""),"",$I36+ROW()*0.0000001),"")</f>
        <v>0.4646296</v>
      </c>
      <c r="M36" s="77" t="n">
        <f aca="false">$M$2</f>
        <v>0.9319</v>
      </c>
      <c r="N36" s="13" t="n">
        <f aca="false">IFERROR(IF($B36="","",$C36+$M36),"")</f>
        <v>80.3061</v>
      </c>
    </row>
    <row r="37" customFormat="false" ht="39" hidden="false" customHeight="true" outlineLevel="0" collapsed="false">
      <c r="A37" s="70" t="str">
        <f aca="false">IFERROR(IF(المنيو!$B37="","",المنيو!$A37),"")</f>
        <v>قسم الفطير الحادق</v>
      </c>
      <c r="B37" s="70" t="str">
        <f aca="false">IFERROR(المنيو!$B37,"")</f>
        <v>فطيرة فراخ كريسبي رانش حجم اكبر</v>
      </c>
      <c r="C37" s="13" t="n">
        <f aca="false">IFERROR(IF($B37="","",SUMIFS(الريسبي!$F$2:$F$1800,الريسبي!$A$2:$A$1800,$B37)),"")</f>
        <v>95.9592</v>
      </c>
      <c r="D37" s="71" t="n">
        <f aca="false">IFERROR(IF($B37="","",المنيو!$C37),"")</f>
        <v>230</v>
      </c>
      <c r="E37" s="12" t="n">
        <f aca="false">IFERROR(IF(OR($B37="",$D37=0,$D37=""),"",$N37/$D37),"")</f>
        <v>0.421265652173913</v>
      </c>
      <c r="F37" s="76" t="n">
        <f aca="false">$F$2</f>
        <v>0.375</v>
      </c>
      <c r="G37" s="13" t="n">
        <f aca="false">IFERROR(IF($B37="","",$N37/$F37),"")</f>
        <v>258.376266666667</v>
      </c>
      <c r="H37" s="13" t="n">
        <f aca="false">IFERROR(IF($B37="","",$D37-$N37),"")</f>
        <v>133.1089</v>
      </c>
      <c r="I37" s="12" t="n">
        <f aca="false">IFERROR(IF(OR($B37="",$D37=0,$D37=""),"",$H37/$D37),"")</f>
        <v>0.578734347826087</v>
      </c>
      <c r="J37" s="76" t="n">
        <f aca="false">$J$2</f>
        <v>0.25</v>
      </c>
      <c r="K37" s="12" t="n">
        <f aca="false">IFERROR(IF($B37="","",$E37+$J37),"")</f>
        <v>0.671265652173913</v>
      </c>
      <c r="L37" s="74" t="n">
        <f aca="false">IFERROR(IF(OR($B37="",$C37=0,$C37=""),"",$I37+ROW()*0.0000001),"")</f>
        <v>0.578738047826087</v>
      </c>
      <c r="M37" s="77" t="n">
        <f aca="false">$M$2</f>
        <v>0.9319</v>
      </c>
      <c r="N37" s="13" t="n">
        <f aca="false">IFERROR(IF($B37="","",$C37+$M37),"")</f>
        <v>96.8911</v>
      </c>
    </row>
    <row r="38" customFormat="false" ht="39" hidden="false" customHeight="true" outlineLevel="0" collapsed="false">
      <c r="A38" s="70" t="str">
        <f aca="false">IFERROR(IF(المنيو!$B38="","",المنيو!$A38),"")</f>
        <v>قسم الفطير الحادق</v>
      </c>
      <c r="B38" s="70" t="str">
        <f aca="false">IFERROR(المنيو!$B38,"")</f>
        <v>فطيرة فراخ كريسبي شيدر وسط</v>
      </c>
      <c r="C38" s="13" t="n">
        <f aca="false">IFERROR(IF($B38="","",SUMIFS(الريسبي!$F$2:$F$1800,الريسبي!$A$2:$A$1800,$B38)),"")</f>
        <v>82.8742</v>
      </c>
      <c r="D38" s="71" t="n">
        <f aca="false">IFERROR(IF($B38="","",المنيو!$C38),"")</f>
        <v>150</v>
      </c>
      <c r="E38" s="12" t="n">
        <f aca="false">IFERROR(IF(OR($B38="",$D38=0,$D38=""),"",$N38/$D38),"")</f>
        <v>0.558707333333333</v>
      </c>
      <c r="F38" s="76" t="n">
        <f aca="false">$F$2</f>
        <v>0.375</v>
      </c>
      <c r="G38" s="13" t="n">
        <f aca="false">IFERROR(IF($B38="","",$N38/$F38),"")</f>
        <v>223.482933333333</v>
      </c>
      <c r="H38" s="13" t="n">
        <f aca="false">IFERROR(IF($B38="","",$D38-$N38),"")</f>
        <v>66.1939</v>
      </c>
      <c r="I38" s="12" t="n">
        <f aca="false">IFERROR(IF(OR($B38="",$D38=0,$D38=""),"",$H38/$D38),"")</f>
        <v>0.441292666666667</v>
      </c>
      <c r="J38" s="76" t="n">
        <f aca="false">$J$2</f>
        <v>0.25</v>
      </c>
      <c r="K38" s="12" t="n">
        <f aca="false">IFERROR(IF($B38="","",$E38+$J38),"")</f>
        <v>0.808707333333333</v>
      </c>
      <c r="L38" s="74" t="n">
        <f aca="false">IFERROR(IF(OR($B38="",$C38=0,$C38=""),"",$I38+ROW()*0.0000001),"")</f>
        <v>0.441296466666667</v>
      </c>
      <c r="M38" s="77" t="n">
        <f aca="false">$M$2</f>
        <v>0.9319</v>
      </c>
      <c r="N38" s="13" t="n">
        <f aca="false">IFERROR(IF($B38="","",$C38+$M38),"")</f>
        <v>83.8061</v>
      </c>
    </row>
    <row r="39" customFormat="false" ht="39" hidden="false" customHeight="true" outlineLevel="0" collapsed="false">
      <c r="A39" s="70" t="str">
        <f aca="false">IFERROR(IF(المنيو!$B39="","",المنيو!$A39),"")</f>
        <v>قسم الفطير الحادق</v>
      </c>
      <c r="B39" s="70" t="str">
        <f aca="false">IFERROR(المنيو!$B39,"")</f>
        <v>فطيرة فراخ كريسبي شيدر حجم اكبر</v>
      </c>
      <c r="C39" s="13" t="n">
        <f aca="false">IFERROR(IF($B39="","",SUMIFS(الريسبي!$F$2:$F$1800,الريسبي!$A$2:$A$1800,$B39)),"")</f>
        <v>101.2092</v>
      </c>
      <c r="D39" s="71" t="n">
        <f aca="false">IFERROR(IF($B39="","",المنيو!$C39),"")</f>
        <v>230</v>
      </c>
      <c r="E39" s="12" t="n">
        <f aca="false">IFERROR(IF(OR($B39="",$D39=0,$D39=""),"",$N39/$D39),"")</f>
        <v>0.444091739130435</v>
      </c>
      <c r="F39" s="76" t="n">
        <f aca="false">$F$2</f>
        <v>0.375</v>
      </c>
      <c r="G39" s="13" t="n">
        <f aca="false">IFERROR(IF($B39="","",$N39/$F39),"")</f>
        <v>272.376266666667</v>
      </c>
      <c r="H39" s="13" t="n">
        <f aca="false">IFERROR(IF($B39="","",$D39-$N39),"")</f>
        <v>127.8589</v>
      </c>
      <c r="I39" s="12" t="n">
        <f aca="false">IFERROR(IF(OR($B39="",$D39=0,$D39=""),"",$H39/$D39),"")</f>
        <v>0.555908260869565</v>
      </c>
      <c r="J39" s="76" t="n">
        <f aca="false">$J$2</f>
        <v>0.25</v>
      </c>
      <c r="K39" s="12" t="n">
        <f aca="false">IFERROR(IF($B39="","",$E39+$J39),"")</f>
        <v>0.694091739130435</v>
      </c>
      <c r="L39" s="74" t="n">
        <f aca="false">IFERROR(IF(OR($B39="",$C39=0,$C39=""),"",$I39+ROW()*0.0000001),"")</f>
        <v>0.555912160869565</v>
      </c>
      <c r="M39" s="77" t="n">
        <f aca="false">$M$2</f>
        <v>0.9319</v>
      </c>
      <c r="N39" s="13" t="n">
        <f aca="false">IFERROR(IF($B39="","",$C39+$M39),"")</f>
        <v>102.1411</v>
      </c>
    </row>
    <row r="40" customFormat="false" ht="39" hidden="false" customHeight="true" outlineLevel="0" collapsed="false">
      <c r="A40" s="70" t="str">
        <f aca="false">IFERROR(IF(المنيو!$B40="","",المنيو!$A40),"")</f>
        <v>قسم الفطير الحادق</v>
      </c>
      <c r="B40" s="70" t="str">
        <f aca="false">IFERROR(المنيو!$B40,"")</f>
        <v>فطيرة مشكل لحوم النكش وسط</v>
      </c>
      <c r="C40" s="13" t="n">
        <f aca="false">IFERROR(IF($B40="","",SUMIFS(الريسبي!$F$2:$F$1800,الريسبي!$A$2:$A$1800,$B40)),"")</f>
        <v>123.2965</v>
      </c>
      <c r="D40" s="71" t="n">
        <f aca="false">IFERROR(IF($B40="","",المنيو!$C40),"")</f>
        <v>230</v>
      </c>
      <c r="E40" s="12" t="n">
        <f aca="false">IFERROR(IF(OR($B40="",$D40=0,$D40=""),"",$N40/$D40),"")</f>
        <v>0.54012347826087</v>
      </c>
      <c r="F40" s="76" t="n">
        <f aca="false">$F$2</f>
        <v>0.375</v>
      </c>
      <c r="G40" s="13" t="n">
        <f aca="false">IFERROR(IF($B40="","",$N40/$F40),"")</f>
        <v>331.275733333333</v>
      </c>
      <c r="H40" s="13" t="n">
        <f aca="false">IFERROR(IF($B40="","",$D40-$N40),"")</f>
        <v>105.7716</v>
      </c>
      <c r="I40" s="12" t="n">
        <f aca="false">IFERROR(IF(OR($B40="",$D40=0,$D40=""),"",$H40/$D40),"")</f>
        <v>0.45987652173913</v>
      </c>
      <c r="J40" s="76" t="n">
        <f aca="false">$J$2</f>
        <v>0.25</v>
      </c>
      <c r="K40" s="12" t="n">
        <f aca="false">IFERROR(IF($B40="","",$E40+$J40),"")</f>
        <v>0.79012347826087</v>
      </c>
      <c r="L40" s="74" t="n">
        <f aca="false">IFERROR(IF(OR($B40="",$C40=0,$C40=""),"",$I40+ROW()*0.0000001),"")</f>
        <v>0.45988052173913</v>
      </c>
      <c r="M40" s="77" t="n">
        <f aca="false">$M$2</f>
        <v>0.9319</v>
      </c>
      <c r="N40" s="13" t="n">
        <f aca="false">IFERROR(IF($B40="","",$C40+$M40),"")</f>
        <v>124.2284</v>
      </c>
    </row>
    <row r="41" customFormat="false" ht="39" hidden="false" customHeight="true" outlineLevel="0" collapsed="false">
      <c r="A41" s="70" t="str">
        <f aca="false">IFERROR(IF(المنيو!$B41="","",المنيو!$A41),"")</f>
        <v>قسم الفطير الحادق</v>
      </c>
      <c r="B41" s="70" t="str">
        <f aca="false">IFERROR(المنيو!$B41,"")</f>
        <v>فطيرة مشكل لحوم النكش حجم اكبر</v>
      </c>
      <c r="C41" s="13" t="n">
        <f aca="false">IFERROR(IF($B41="","",SUMIFS(الريسبي!$F$2:$F$1800,الريسبي!$A$2:$A$1800,$B41)),"")</f>
        <v>158.2982</v>
      </c>
      <c r="D41" s="71" t="n">
        <f aca="false">IFERROR(IF($B41="","",المنيو!$C41),"")</f>
        <v>340</v>
      </c>
      <c r="E41" s="12" t="n">
        <f aca="false">IFERROR(IF(OR($B41="",$D41=0,$D41=""),"",$N41/$D41),"")</f>
        <v>0.468323823529412</v>
      </c>
      <c r="F41" s="76" t="n">
        <f aca="false">$F$2</f>
        <v>0.375</v>
      </c>
      <c r="G41" s="13" t="n">
        <f aca="false">IFERROR(IF($B41="","",$N41/$F41),"")</f>
        <v>424.6136</v>
      </c>
      <c r="H41" s="13" t="n">
        <f aca="false">IFERROR(IF($B41="","",$D41-$N41),"")</f>
        <v>180.7699</v>
      </c>
      <c r="I41" s="12" t="n">
        <f aca="false">IFERROR(IF(OR($B41="",$D41=0,$D41=""),"",$H41/$D41),"")</f>
        <v>0.531676176470588</v>
      </c>
      <c r="J41" s="76" t="n">
        <f aca="false">$J$2</f>
        <v>0.25</v>
      </c>
      <c r="K41" s="12" t="n">
        <f aca="false">IFERROR(IF($B41="","",$E41+$J41),"")</f>
        <v>0.718323823529412</v>
      </c>
      <c r="L41" s="74" t="n">
        <f aca="false">IFERROR(IF(OR($B41="",$C41=0,$C41=""),"",$I41+ROW()*0.0000001),"")</f>
        <v>0.531680276470588</v>
      </c>
      <c r="M41" s="77" t="n">
        <f aca="false">$M$2</f>
        <v>0.9319</v>
      </c>
      <c r="N41" s="13" t="n">
        <f aca="false">IFERROR(IF($B41="","",$C41+$M41),"")</f>
        <v>159.2301</v>
      </c>
    </row>
    <row r="42" customFormat="false" ht="39" hidden="false" customHeight="true" outlineLevel="0" collapsed="false">
      <c r="A42" s="70" t="str">
        <f aca="false">IFERROR(IF(المنيو!$B42="","",المنيو!$A42),"")</f>
        <v>قسم الفطير الحادق</v>
      </c>
      <c r="B42" s="70" t="str">
        <f aca="false">IFERROR(المنيو!$B42,"")</f>
        <v>فطيرة مشلتت بالسمنة البلدي صغير</v>
      </c>
      <c r="C42" s="13" t="n">
        <f aca="false">IFERROR(IF($B42="","",SUMIFS(الريسبي!$F$2:$F$1800,الريسبي!$A$2:$A$1800,$B42)),"")</f>
        <v>41.85</v>
      </c>
      <c r="D42" s="71" t="n">
        <f aca="false">IFERROR(IF($B42="","",المنيو!$C42),"")</f>
        <v>70</v>
      </c>
      <c r="E42" s="12" t="n">
        <f aca="false">IFERROR(IF(OR($B42="",$D42=0,$D42=""),"",$N42/$D42),"")</f>
        <v>0.61117</v>
      </c>
      <c r="F42" s="76" t="n">
        <f aca="false">$F$2</f>
        <v>0.375</v>
      </c>
      <c r="G42" s="13" t="n">
        <f aca="false">IFERROR(IF($B42="","",$N42/$F42),"")</f>
        <v>114.085066666667</v>
      </c>
      <c r="H42" s="13" t="n">
        <f aca="false">IFERROR(IF($B42="","",$D42-$N42),"")</f>
        <v>27.2181</v>
      </c>
      <c r="I42" s="12" t="n">
        <f aca="false">IFERROR(IF(OR($B42="",$D42=0,$D42=""),"",$H42/$D42),"")</f>
        <v>0.38883</v>
      </c>
      <c r="J42" s="76" t="n">
        <f aca="false">$J$2</f>
        <v>0.25</v>
      </c>
      <c r="K42" s="12" t="n">
        <f aca="false">IFERROR(IF($B42="","",$E42+$J42),"")</f>
        <v>0.86117</v>
      </c>
      <c r="L42" s="74" t="n">
        <f aca="false">IFERROR(IF(OR($B42="",$C42=0,$C42=""),"",$I42+ROW()*0.0000001),"")</f>
        <v>0.3888342</v>
      </c>
      <c r="M42" s="77" t="n">
        <f aca="false">$M$2</f>
        <v>0.9319</v>
      </c>
      <c r="N42" s="13" t="n">
        <f aca="false">IFERROR(IF($B42="","",$C42+$M42),"")</f>
        <v>42.7819</v>
      </c>
    </row>
    <row r="43" customFormat="false" ht="39" hidden="false" customHeight="true" outlineLevel="0" collapsed="false">
      <c r="A43" s="70" t="str">
        <f aca="false">IFERROR(IF(المنيو!$B43="","",المنيو!$A43),"")</f>
        <v>قسم الفطير الحادق</v>
      </c>
      <c r="B43" s="70" t="str">
        <f aca="false">IFERROR(المنيو!$B43,"")</f>
        <v>فطيرة مشلتت بالسمنة البلدي وسط</v>
      </c>
      <c r="C43" s="13" t="n">
        <f aca="false">IFERROR(IF($B43="","",SUMIFS(الريسبي!$F$2:$F$1800,الريسبي!$A$2:$A$1800,$B43)),"")</f>
        <v>63.45</v>
      </c>
      <c r="D43" s="71" t="n">
        <f aca="false">IFERROR(IF($B43="","",المنيو!$C43),"")</f>
        <v>110</v>
      </c>
      <c r="E43" s="12" t="n">
        <f aca="false">IFERROR(IF(OR($B43="",$D43=0,$D43=""),"",$N43/$D43),"")</f>
        <v>0.58529</v>
      </c>
      <c r="F43" s="76" t="n">
        <f aca="false">$F$2</f>
        <v>0.375</v>
      </c>
      <c r="G43" s="13" t="n">
        <f aca="false">IFERROR(IF($B43="","",$N43/$F43),"")</f>
        <v>171.685066666667</v>
      </c>
      <c r="H43" s="13" t="n">
        <f aca="false">IFERROR(IF($B43="","",$D43-$N43),"")</f>
        <v>45.6181</v>
      </c>
      <c r="I43" s="12" t="n">
        <f aca="false">IFERROR(IF(OR($B43="",$D43=0,$D43=""),"",$H43/$D43),"")</f>
        <v>0.41471</v>
      </c>
      <c r="J43" s="76" t="n">
        <f aca="false">$J$2</f>
        <v>0.25</v>
      </c>
      <c r="K43" s="12" t="n">
        <f aca="false">IFERROR(IF($B43="","",$E43+$J43),"")</f>
        <v>0.83529</v>
      </c>
      <c r="L43" s="74" t="n">
        <f aca="false">IFERROR(IF(OR($B43="",$C43=0,$C43=""),"",$I43+ROW()*0.0000001),"")</f>
        <v>0.4147143</v>
      </c>
      <c r="M43" s="77" t="n">
        <f aca="false">$M$2</f>
        <v>0.9319</v>
      </c>
      <c r="N43" s="13" t="n">
        <f aca="false">IFERROR(IF($B43="","",$C43+$M43),"")</f>
        <v>64.3819</v>
      </c>
    </row>
    <row r="44" customFormat="false" ht="39" hidden="false" customHeight="true" outlineLevel="0" collapsed="false">
      <c r="A44" s="70" t="str">
        <f aca="false">IFERROR(IF(المنيو!$B44="","",المنيو!$A44),"")</f>
        <v>قسم الفطير الحادق</v>
      </c>
      <c r="B44" s="70" t="str">
        <f aca="false">IFERROR(المنيو!$B44,"")</f>
        <v>فطيرة مشلتت بالسمنة البلدي كبير</v>
      </c>
      <c r="C44" s="13" t="n">
        <f aca="false">IFERROR(IF($B44="","",SUMIFS(الريسبي!$F$2:$F$1800,الريسبي!$A$2:$A$1800,$B44)),"")</f>
        <v>89.05</v>
      </c>
      <c r="D44" s="71" t="n">
        <f aca="false">IFERROR(IF($B44="","",المنيو!$C44),"")</f>
        <v>170</v>
      </c>
      <c r="E44" s="12" t="n">
        <f aca="false">IFERROR(IF(OR($B44="",$D44=0,$D44=""),"",$N44/$D44),"")</f>
        <v>0.529305294117647</v>
      </c>
      <c r="F44" s="76" t="n">
        <f aca="false">$F$2</f>
        <v>0.375</v>
      </c>
      <c r="G44" s="13" t="n">
        <f aca="false">IFERROR(IF($B44="","",$N44/$F44),"")</f>
        <v>239.951733333333</v>
      </c>
      <c r="H44" s="13" t="n">
        <f aca="false">IFERROR(IF($B44="","",$D44-$N44),"")</f>
        <v>80.0181</v>
      </c>
      <c r="I44" s="12" t="n">
        <f aca="false">IFERROR(IF(OR($B44="",$D44=0,$D44=""),"",$H44/$D44),"")</f>
        <v>0.470694705882353</v>
      </c>
      <c r="J44" s="76" t="n">
        <f aca="false">$J$2</f>
        <v>0.25</v>
      </c>
      <c r="K44" s="12" t="n">
        <f aca="false">IFERROR(IF($B44="","",$E44+$J44),"")</f>
        <v>0.779305294117647</v>
      </c>
      <c r="L44" s="74" t="n">
        <f aca="false">IFERROR(IF(OR($B44="",$C44=0,$C44=""),"",$I44+ROW()*0.0000001),"")</f>
        <v>0.470699105882353</v>
      </c>
      <c r="M44" s="77" t="n">
        <f aca="false">$M$2</f>
        <v>0.9319</v>
      </c>
      <c r="N44" s="13" t="n">
        <f aca="false">IFERROR(IF($B44="","",$C44+$M44),"")</f>
        <v>89.9819</v>
      </c>
    </row>
    <row r="45" customFormat="false" ht="39" hidden="false" customHeight="true" outlineLevel="0" collapsed="false">
      <c r="A45" s="70" t="str">
        <f aca="false">IFERROR(IF(المنيو!$B45="","",المنيو!$A45),"")</f>
        <v>قسم الفطير الحادق</v>
      </c>
      <c r="B45" s="70" t="str">
        <f aca="false">IFERROR(المنيو!$B45,"")</f>
        <v>فطيرة جمبري وسط</v>
      </c>
      <c r="C45" s="13" t="n">
        <f aca="false">IFERROR(IF($B45="","",SUMIFS(الريسبي!$F$2:$F$1800,الريسبي!$A$2:$A$1800,$B45)),"")</f>
        <v>128.2965</v>
      </c>
      <c r="D45" s="71" t="n">
        <f aca="false">IFERROR(IF($B45="","",المنيو!$C45),"")</f>
        <v>250</v>
      </c>
      <c r="E45" s="12" t="n">
        <f aca="false">IFERROR(IF(OR($B45="",$D45=0,$D45=""),"",$N45/$D45),"")</f>
        <v>0.5169136</v>
      </c>
      <c r="F45" s="76" t="n">
        <f aca="false">$F$2</f>
        <v>0.375</v>
      </c>
      <c r="G45" s="13" t="n">
        <f aca="false">IFERROR(IF($B45="","",$N45/$F45),"")</f>
        <v>344.609066666667</v>
      </c>
      <c r="H45" s="13" t="n">
        <f aca="false">IFERROR(IF($B45="","",$D45-$N45),"")</f>
        <v>120.7716</v>
      </c>
      <c r="I45" s="12" t="n">
        <f aca="false">IFERROR(IF(OR($B45="",$D45=0,$D45=""),"",$H45/$D45),"")</f>
        <v>0.4830864</v>
      </c>
      <c r="J45" s="76" t="n">
        <f aca="false">$J$2</f>
        <v>0.25</v>
      </c>
      <c r="K45" s="12" t="n">
        <f aca="false">IFERROR(IF($B45="","",$E45+$J45),"")</f>
        <v>0.7669136</v>
      </c>
      <c r="L45" s="74" t="n">
        <f aca="false">IFERROR(IF(OR($B45="",$C45=0,$C45=""),"",$I45+ROW()*0.0000001),"")</f>
        <v>0.4830909</v>
      </c>
      <c r="M45" s="77" t="n">
        <f aca="false">$M$2</f>
        <v>0.9319</v>
      </c>
      <c r="N45" s="13" t="n">
        <f aca="false">IFERROR(IF($B45="","",$C45+$M45),"")</f>
        <v>129.2284</v>
      </c>
    </row>
    <row r="46" customFormat="false" ht="39" hidden="false" customHeight="true" outlineLevel="0" collapsed="false">
      <c r="A46" s="70" t="str">
        <f aca="false">IFERROR(IF(المنيو!$B46="","",المنيو!$A46),"")</f>
        <v>قسم الفطير الحادق</v>
      </c>
      <c r="B46" s="70" t="str">
        <f aca="false">IFERROR(المنيو!$B46,"")</f>
        <v>فطيرة جمبري حجم اكبر</v>
      </c>
      <c r="C46" s="13" t="n">
        <f aca="false">IFERROR(IF($B46="","",SUMIFS(الريسبي!$F$2:$F$1800,الريسبي!$A$2:$A$1800,$B46)),"")</f>
        <v>188.1315</v>
      </c>
      <c r="D46" s="71" t="n">
        <f aca="false">IFERROR(IF($B46="","",المنيو!$C46),"")</f>
        <v>360</v>
      </c>
      <c r="E46" s="12" t="n">
        <f aca="false">IFERROR(IF(OR($B46="",$D46=0,$D46=""),"",$N46/$D46),"")</f>
        <v>0.525176111111111</v>
      </c>
      <c r="F46" s="76" t="n">
        <f aca="false">$F$2</f>
        <v>0.375</v>
      </c>
      <c r="G46" s="13" t="n">
        <f aca="false">IFERROR(IF($B46="","",$N46/$F46),"")</f>
        <v>504.169066666667</v>
      </c>
      <c r="H46" s="13" t="n">
        <f aca="false">IFERROR(IF($B46="","",$D46-$N46),"")</f>
        <v>170.9366</v>
      </c>
      <c r="I46" s="12" t="n">
        <f aca="false">IFERROR(IF(OR($B46="",$D46=0,$D46=""),"",$H46/$D46),"")</f>
        <v>0.474823888888889</v>
      </c>
      <c r="J46" s="76" t="n">
        <f aca="false">$J$2</f>
        <v>0.25</v>
      </c>
      <c r="K46" s="12" t="n">
        <f aca="false">IFERROR(IF($B46="","",$E46+$J46),"")</f>
        <v>0.775176111111111</v>
      </c>
      <c r="L46" s="74" t="n">
        <f aca="false">IFERROR(IF(OR($B46="",$C46=0,$C46=""),"",$I46+ROW()*0.0000001),"")</f>
        <v>0.474828488888889</v>
      </c>
      <c r="M46" s="77" t="n">
        <f aca="false">$M$2</f>
        <v>0.9319</v>
      </c>
      <c r="N46" s="13" t="n">
        <f aca="false">IFERROR(IF($B46="","",$C46+$M46),"")</f>
        <v>189.0634</v>
      </c>
    </row>
    <row r="47" customFormat="false" ht="39" hidden="false" customHeight="true" outlineLevel="0" collapsed="false">
      <c r="A47" s="70" t="str">
        <f aca="false">IFERROR(IF(المنيو!$B47="","",المنيو!$A47),"")</f>
        <v>قسم الفطير الحلو</v>
      </c>
      <c r="B47" s="70" t="str">
        <f aca="false">IFERROR(المنيو!$B47,"")</f>
        <v>فطيرة سكر / كاستر</v>
      </c>
      <c r="C47" s="13" t="n">
        <f aca="false">IFERROR(IF($B47="","",SUMIFS(الريسبي!$F$2:$F$1800,الريسبي!$A$2:$A$1800,$B47)),"")</f>
        <v>19.352972</v>
      </c>
      <c r="D47" s="71" t="n">
        <f aca="false">IFERROR(IF($B47="","",المنيو!$C47),"")</f>
        <v>50</v>
      </c>
      <c r="E47" s="12" t="n">
        <f aca="false">IFERROR(IF(OR($B47="",$D47=0,$D47=""),"",$N47/$D47),"")</f>
        <v>0.40569744</v>
      </c>
      <c r="F47" s="76" t="n">
        <f aca="false">$F$2</f>
        <v>0.375</v>
      </c>
      <c r="G47" s="13" t="n">
        <f aca="false">IFERROR(IF($B47="","",$N47/$F47),"")</f>
        <v>54.092992</v>
      </c>
      <c r="H47" s="13" t="n">
        <f aca="false">IFERROR(IF($B47="","",$D47-$N47),"")</f>
        <v>29.715128</v>
      </c>
      <c r="I47" s="12" t="n">
        <f aca="false">IFERROR(IF(OR($B47="",$D47=0,$D47=""),"",$H47/$D47),"")</f>
        <v>0.59430256</v>
      </c>
      <c r="J47" s="76" t="n">
        <f aca="false">$J$2</f>
        <v>0.25</v>
      </c>
      <c r="K47" s="12" t="n">
        <f aca="false">IFERROR(IF($B47="","",$E47+$J47),"")</f>
        <v>0.65569744</v>
      </c>
      <c r="L47" s="74" t="n">
        <f aca="false">IFERROR(IF(OR($B47="",$C47=0,$C47=""),"",$I47+ROW()*0.0000001),"")</f>
        <v>0.59430726</v>
      </c>
      <c r="M47" s="77" t="n">
        <f aca="false">$M$2</f>
        <v>0.9319</v>
      </c>
      <c r="N47" s="13" t="n">
        <f aca="false">IFERROR(IF($B47="","",$C47+$M47),"")</f>
        <v>20.284872</v>
      </c>
    </row>
    <row r="48" customFormat="false" ht="39" hidden="false" customHeight="true" outlineLevel="0" collapsed="false">
      <c r="A48" s="70" t="str">
        <f aca="false">IFERROR(IF(المنيو!$B48="","",المنيو!$A48),"")</f>
        <v>قسم الفطير الحلو</v>
      </c>
      <c r="B48" s="70" t="str">
        <f aca="false">IFERROR(المنيو!$B48,"")</f>
        <v>فطيرة ملوكي زبيب وجوزهند</v>
      </c>
      <c r="C48" s="13" t="n">
        <f aca="false">IFERROR(IF($B48="","",SUMIFS(الريسبي!$F$2:$F$1800,الريسبي!$A$2:$A$1800,$B48)),"")</f>
        <v>39.817972</v>
      </c>
      <c r="D48" s="71" t="n">
        <f aca="false">IFERROR(IF($B48="","",المنيو!$C48),"")</f>
        <v>75</v>
      </c>
      <c r="E48" s="12" t="n">
        <f aca="false">IFERROR(IF(OR($B48="",$D48=0,$D48=""),"",$N48/$D48),"")</f>
        <v>0.543331626666667</v>
      </c>
      <c r="F48" s="76" t="n">
        <f aca="false">$F$2</f>
        <v>0.375</v>
      </c>
      <c r="G48" s="13" t="n">
        <f aca="false">IFERROR(IF($B48="","",$N48/$F48),"")</f>
        <v>108.666325333333</v>
      </c>
      <c r="H48" s="13" t="n">
        <f aca="false">IFERROR(IF($B48="","",$D48-$N48),"")</f>
        <v>34.250128</v>
      </c>
      <c r="I48" s="12" t="n">
        <f aca="false">IFERROR(IF(OR($B48="",$D48=0,$D48=""),"",$H48/$D48),"")</f>
        <v>0.456668373333333</v>
      </c>
      <c r="J48" s="76" t="n">
        <f aca="false">$J$2</f>
        <v>0.25</v>
      </c>
      <c r="K48" s="12" t="n">
        <f aca="false">IFERROR(IF($B48="","",$E48+$J48),"")</f>
        <v>0.793331626666667</v>
      </c>
      <c r="L48" s="74" t="n">
        <f aca="false">IFERROR(IF(OR($B48="",$C48=0,$C48=""),"",$I48+ROW()*0.0000001),"")</f>
        <v>0.456673173333333</v>
      </c>
      <c r="M48" s="77" t="n">
        <f aca="false">$M$2</f>
        <v>0.9319</v>
      </c>
      <c r="N48" s="13" t="n">
        <f aca="false">IFERROR(IF($B48="","",$C48+$M48),"")</f>
        <v>40.749872</v>
      </c>
    </row>
    <row r="49" customFormat="false" ht="39" hidden="false" customHeight="true" outlineLevel="0" collapsed="false">
      <c r="A49" s="70" t="str">
        <f aca="false">IFERROR(IF(المنيو!$B49="","",المنيو!$A49),"")</f>
        <v>قسم الفطير الحلو</v>
      </c>
      <c r="B49" s="70" t="str">
        <f aca="false">IFERROR(المنيو!$B49,"")</f>
        <v>فطيرة قشطة عسل مكسرات</v>
      </c>
      <c r="C49" s="13" t="n">
        <f aca="false">IFERROR(IF($B49="","",SUMIFS(الريسبي!$F$2:$F$1800,الريسبي!$A$2:$A$1800,$B49)),"")</f>
        <v>78.417972</v>
      </c>
      <c r="D49" s="71" t="n">
        <f aca="false">IFERROR(IF($B49="","",المنيو!$C49),"")</f>
        <v>140</v>
      </c>
      <c r="E49" s="12" t="n">
        <f aca="false">IFERROR(IF(OR($B49="",$D49=0,$D49=""),"",$N49/$D49),"")</f>
        <v>0.5667848</v>
      </c>
      <c r="F49" s="76" t="n">
        <f aca="false">$F$2</f>
        <v>0.375</v>
      </c>
      <c r="G49" s="13" t="n">
        <f aca="false">IFERROR(IF($B49="","",$N49/$F49),"")</f>
        <v>211.599658666667</v>
      </c>
      <c r="H49" s="13" t="n">
        <f aca="false">IFERROR(IF($B49="","",$D49-$N49),"")</f>
        <v>60.650128</v>
      </c>
      <c r="I49" s="12" t="n">
        <f aca="false">IFERROR(IF(OR($B49="",$D49=0,$D49=""),"",$H49/$D49),"")</f>
        <v>0.4332152</v>
      </c>
      <c r="J49" s="76" t="n">
        <f aca="false">$J$2</f>
        <v>0.25</v>
      </c>
      <c r="K49" s="12" t="n">
        <f aca="false">IFERROR(IF($B49="","",$E49+$J49),"")</f>
        <v>0.8167848</v>
      </c>
      <c r="L49" s="74" t="n">
        <f aca="false">IFERROR(IF(OR($B49="",$C49=0,$C49=""),"",$I49+ROW()*0.0000001),"")</f>
        <v>0.4332201</v>
      </c>
      <c r="M49" s="77" t="n">
        <f aca="false">$M$2</f>
        <v>0.9319</v>
      </c>
      <c r="N49" s="13" t="n">
        <f aca="false">IFERROR(IF($B49="","",$C49+$M49),"")</f>
        <v>79.349872</v>
      </c>
    </row>
    <row r="50" customFormat="false" ht="39" hidden="false" customHeight="true" outlineLevel="0" collapsed="false">
      <c r="A50" s="70" t="str">
        <f aca="false">IFERROR(IF(المنيو!$B50="","",المنيو!$A50),"")</f>
        <v>قسم الفطير الحلو</v>
      </c>
      <c r="B50" s="70" t="str">
        <f aca="false">IFERROR(المنيو!$B50,"")</f>
        <v>فطيرة شيكولاتة</v>
      </c>
      <c r="C50" s="13" t="n">
        <f aca="false">IFERROR(IF($B50="","",SUMIFS(الريسبي!$F$2:$F$1800,الريسبي!$A$2:$A$1800,$B50)),"")</f>
        <v>43.610314</v>
      </c>
      <c r="D50" s="71" t="n">
        <f aca="false">IFERROR(IF($B50="","",المنيو!$C50),"")</f>
        <v>100</v>
      </c>
      <c r="E50" s="12" t="n">
        <f aca="false">IFERROR(IF(OR($B50="",$D50=0,$D50=""),"",$N50/$D50),"")</f>
        <v>0.44542214</v>
      </c>
      <c r="F50" s="76" t="n">
        <f aca="false">$F$2</f>
        <v>0.375</v>
      </c>
      <c r="G50" s="13" t="n">
        <f aca="false">IFERROR(IF($B50="","",$N50/$F50),"")</f>
        <v>118.779237333333</v>
      </c>
      <c r="H50" s="13" t="n">
        <f aca="false">IFERROR(IF($B50="","",$D50-$N50),"")</f>
        <v>55.457786</v>
      </c>
      <c r="I50" s="12" t="n">
        <f aca="false">IFERROR(IF(OR($B50="",$D50=0,$D50=""),"",$H50/$D50),"")</f>
        <v>0.55457786</v>
      </c>
      <c r="J50" s="76" t="n">
        <f aca="false">$J$2</f>
        <v>0.25</v>
      </c>
      <c r="K50" s="12" t="n">
        <f aca="false">IFERROR(IF($B50="","",$E50+$J50),"")</f>
        <v>0.69542214</v>
      </c>
      <c r="L50" s="74" t="n">
        <f aca="false">IFERROR(IF(OR($B50="",$C50=0,$C50=""),"",$I50+ROW()*0.0000001),"")</f>
        <v>0.55458286</v>
      </c>
      <c r="M50" s="77" t="n">
        <f aca="false">$M$2</f>
        <v>0.9319</v>
      </c>
      <c r="N50" s="13" t="n">
        <f aca="false">IFERROR(IF($B50="","",$C50+$M50),"")</f>
        <v>44.542214</v>
      </c>
    </row>
    <row r="51" customFormat="false" ht="39" hidden="false" customHeight="true" outlineLevel="0" collapsed="false">
      <c r="A51" s="70" t="str">
        <f aca="false">IFERROR(IF(المنيو!$B51="","",المنيو!$A51),"")</f>
        <v>قسم الفطير الحلو</v>
      </c>
      <c r="B51" s="70" t="str">
        <f aca="false">IFERROR(المنيو!$B51,"")</f>
        <v>فطيرة نوتيلا قشطة مكسرات</v>
      </c>
      <c r="C51" s="13" t="n">
        <f aca="false">IFERROR(IF($B51="","",SUMIFS(الريسبي!$F$2:$F$1800,الريسبي!$A$2:$A$1800,$B51)),"")</f>
        <v>164.585002</v>
      </c>
      <c r="D51" s="71" t="n">
        <f aca="false">IFERROR(IF($B51="","",المنيو!$C51),"")</f>
        <v>260</v>
      </c>
      <c r="E51" s="12" t="n">
        <f aca="false">IFERROR(IF(OR($B51="",$D51=0,$D51=""),"",$N51/$D51),"")</f>
        <v>0.636603469230769</v>
      </c>
      <c r="F51" s="76" t="n">
        <f aca="false">$F$2</f>
        <v>0.375</v>
      </c>
      <c r="G51" s="13" t="n">
        <f aca="false">IFERROR(IF($B51="","",$N51/$F51),"")</f>
        <v>441.378405333333</v>
      </c>
      <c r="H51" s="13" t="n">
        <f aca="false">IFERROR(IF($B51="","",$D51-$N51),"")</f>
        <v>94.483098</v>
      </c>
      <c r="I51" s="12" t="n">
        <f aca="false">IFERROR(IF(OR($B51="",$D51=0,$D51=""),"",$H51/$D51),"")</f>
        <v>0.363396530769231</v>
      </c>
      <c r="J51" s="76" t="n">
        <f aca="false">$J$2</f>
        <v>0.25</v>
      </c>
      <c r="K51" s="12" t="n">
        <f aca="false">IFERROR(IF($B51="","",$E51+$J51),"")</f>
        <v>0.886603469230769</v>
      </c>
      <c r="L51" s="74" t="n">
        <f aca="false">IFERROR(IF(OR($B51="",$C51=0,$C51=""),"",$I51+ROW()*0.0000001),"")</f>
        <v>0.363401630769231</v>
      </c>
      <c r="M51" s="77" t="n">
        <f aca="false">$M$2</f>
        <v>0.9319</v>
      </c>
      <c r="N51" s="13" t="n">
        <f aca="false">IFERROR(IF($B51="","",$C51+$M51),"")</f>
        <v>165.516902</v>
      </c>
    </row>
    <row r="52" customFormat="false" ht="39" hidden="false" customHeight="true" outlineLevel="0" collapsed="false">
      <c r="A52" s="70" t="str">
        <f aca="false">IFERROR(IF(المنيو!$B52="","",المنيو!$A52),"")</f>
        <v>قسم الفطير الحلو</v>
      </c>
      <c r="B52" s="70" t="str">
        <f aca="false">IFERROR(المنيو!$B52,"")</f>
        <v>فطيرة فورسيزون ستاموني</v>
      </c>
      <c r="C52" s="13" t="n">
        <f aca="false">IFERROR(IF($B52="","",SUMIFS(الريسبي!$F$2:$F$1800,الريسبي!$A$2:$A$1800,$B52)),"")</f>
        <v>73.419722</v>
      </c>
      <c r="D52" s="71" t="n">
        <f aca="false">IFERROR(IF($B52="","",المنيو!$C52),"")</f>
        <v>160</v>
      </c>
      <c r="E52" s="12" t="n">
        <f aca="false">IFERROR(IF(OR($B52="",$D52=0,$D52=""),"",$N52/$D52),"")</f>
        <v>0.4646976375</v>
      </c>
      <c r="F52" s="76" t="n">
        <f aca="false">$F$2</f>
        <v>0.375</v>
      </c>
      <c r="G52" s="13" t="n">
        <f aca="false">IFERROR(IF($B52="","",$N52/$F52),"")</f>
        <v>198.270992</v>
      </c>
      <c r="H52" s="13" t="n">
        <f aca="false">IFERROR(IF($B52="","",$D52-$N52),"")</f>
        <v>85.648378</v>
      </c>
      <c r="I52" s="12" t="n">
        <f aca="false">IFERROR(IF(OR($B52="",$D52=0,$D52=""),"",$H52/$D52),"")</f>
        <v>0.5353023625</v>
      </c>
      <c r="J52" s="76" t="n">
        <f aca="false">$J$2</f>
        <v>0.25</v>
      </c>
      <c r="K52" s="12" t="n">
        <f aca="false">IFERROR(IF($B52="","",$E52+$J52),"")</f>
        <v>0.7146976375</v>
      </c>
      <c r="L52" s="74" t="n">
        <f aca="false">IFERROR(IF(OR($B52="",$C52=0,$C52=""),"",$I52+ROW()*0.0000001),"")</f>
        <v>0.5353075625</v>
      </c>
      <c r="M52" s="77" t="n">
        <f aca="false">$M$2</f>
        <v>0.9319</v>
      </c>
      <c r="N52" s="13" t="n">
        <f aca="false">IFERROR(IF($B52="","",$C52+$M52),"")</f>
        <v>74.351622</v>
      </c>
    </row>
    <row r="53" customFormat="false" ht="39" hidden="false" customHeight="true" outlineLevel="0" collapsed="false">
      <c r="A53" s="70" t="str">
        <f aca="false">IFERROR(IF(المنيو!$B53="","",المنيو!$A53),"")</f>
        <v>قسم البرجر</v>
      </c>
      <c r="B53" s="70" t="str">
        <f aca="false">IFERROR(المنيو!$B53,"")</f>
        <v>قنبلة برجر</v>
      </c>
      <c r="C53" s="13" t="n">
        <f aca="false">IFERROR(IF($B53="","",SUMIFS(الريسبي!$F$2:$F$1800,الريسبي!$A$2:$A$1800,$B53)),"")</f>
        <v>79.2265</v>
      </c>
      <c r="D53" s="71" t="n">
        <f aca="false">IFERROR(IF($B53="","",المنيو!$C53),"")</f>
        <v>160</v>
      </c>
      <c r="E53" s="12" t="n">
        <f aca="false">IFERROR(IF(OR($B53="",$D53=0,$D53=""),"",$N53/$D53),"")</f>
        <v>0.50099</v>
      </c>
      <c r="F53" s="76" t="n">
        <f aca="false">$F$2</f>
        <v>0.375</v>
      </c>
      <c r="G53" s="13" t="n">
        <f aca="false">IFERROR(IF($B53="","",$N53/$F53),"")</f>
        <v>213.755733333333</v>
      </c>
      <c r="H53" s="13" t="n">
        <f aca="false">IFERROR(IF($B53="","",$D53-$N53),"")</f>
        <v>79.8416</v>
      </c>
      <c r="I53" s="12" t="n">
        <f aca="false">IFERROR(IF(OR($B53="",$D53=0,$D53=""),"",$H53/$D53),"")</f>
        <v>0.49901</v>
      </c>
      <c r="J53" s="76" t="n">
        <f aca="false">$J$2</f>
        <v>0.25</v>
      </c>
      <c r="K53" s="12" t="n">
        <f aca="false">IFERROR(IF($B53="","",$E53+$J53),"")</f>
        <v>0.75099</v>
      </c>
      <c r="L53" s="74" t="n">
        <f aca="false">IFERROR(IF(OR($B53="",$C53=0,$C53=""),"",$I53+ROW()*0.0000001),"")</f>
        <v>0.4990153</v>
      </c>
      <c r="M53" s="77" t="n">
        <f aca="false">$M$2</f>
        <v>0.9319</v>
      </c>
      <c r="N53" s="13" t="n">
        <f aca="false">IFERROR(IF($B53="","",$C53+$M53),"")</f>
        <v>80.1584</v>
      </c>
    </row>
    <row r="54" customFormat="false" ht="39" hidden="false" customHeight="true" outlineLevel="0" collapsed="false">
      <c r="A54" s="70" t="str">
        <f aca="false">IFERROR(IF(المنيو!$B54="","",المنيو!$A54),"")</f>
        <v>قسم البرجر</v>
      </c>
      <c r="B54" s="70" t="str">
        <f aca="false">IFERROR(المنيو!$B54,"")</f>
        <v>قنبلة كريسبي</v>
      </c>
      <c r="C54" s="13" t="n">
        <f aca="false">IFERROR(IF($B54="","",SUMIFS(الريسبي!$F$2:$F$1800,الريسبي!$A$2:$A$1800,$B54)),"")</f>
        <v>87.0542</v>
      </c>
      <c r="D54" s="71" t="n">
        <f aca="false">IFERROR(IF($B54="","",المنيو!$C54),"")</f>
        <v>160</v>
      </c>
      <c r="E54" s="12" t="n">
        <f aca="false">IFERROR(IF(OR($B54="",$D54=0,$D54=""),"",$N54/$D54),"")</f>
        <v>0.549913125</v>
      </c>
      <c r="F54" s="76" t="n">
        <f aca="false">$F$2</f>
        <v>0.375</v>
      </c>
      <c r="G54" s="13" t="n">
        <f aca="false">IFERROR(IF($B54="","",$N54/$F54),"")</f>
        <v>234.6296</v>
      </c>
      <c r="H54" s="13" t="n">
        <f aca="false">IFERROR(IF($B54="","",$D54-$N54),"")</f>
        <v>72.0139</v>
      </c>
      <c r="I54" s="12" t="n">
        <f aca="false">IFERROR(IF(OR($B54="",$D54=0,$D54=""),"",$H54/$D54),"")</f>
        <v>0.450086875</v>
      </c>
      <c r="J54" s="76" t="n">
        <f aca="false">$J$2</f>
        <v>0.25</v>
      </c>
      <c r="K54" s="12" t="n">
        <f aca="false">IFERROR(IF($B54="","",$E54+$J54),"")</f>
        <v>0.799913125</v>
      </c>
      <c r="L54" s="74" t="n">
        <f aca="false">IFERROR(IF(OR($B54="",$C54=0,$C54=""),"",$I54+ROW()*0.0000001),"")</f>
        <v>0.450092275</v>
      </c>
      <c r="M54" s="77" t="n">
        <f aca="false">$M$2</f>
        <v>0.9319</v>
      </c>
      <c r="N54" s="13" t="n">
        <f aca="false">IFERROR(IF($B54="","",$C54+$M54),"")</f>
        <v>87.9861</v>
      </c>
    </row>
    <row r="55" customFormat="false" ht="39" hidden="false" customHeight="true" outlineLevel="0" collapsed="false">
      <c r="A55" s="70" t="str">
        <f aca="false">IFERROR(IF(المنيو!$B55="","",المنيو!$A55),"")</f>
        <v>قسم البرجر</v>
      </c>
      <c r="B55" s="70" t="str">
        <f aca="false">IFERROR(المنيو!$B55,"")</f>
        <v>بهججة بيتزا برجر</v>
      </c>
      <c r="C55" s="13" t="n">
        <f aca="false">IFERROR(IF($B55="","",SUMIFS(الريسبي!$F$2:$F$1800,الريسبي!$A$2:$A$1800,$B55)),"")</f>
        <v>97.31774</v>
      </c>
      <c r="D55" s="71" t="n">
        <f aca="false">IFERROR(IF($B55="","",المنيو!$C55),"")</f>
        <v>170</v>
      </c>
      <c r="E55" s="12" t="n">
        <f aca="false">IFERROR(IF(OR($B55="",$D55=0,$D55=""),"",$N55/$D55),"")</f>
        <v>0.577939058823529</v>
      </c>
      <c r="F55" s="76" t="n">
        <f aca="false">$F$2</f>
        <v>0.375</v>
      </c>
      <c r="G55" s="13" t="n">
        <f aca="false">IFERROR(IF($B55="","",$N55/$F55),"")</f>
        <v>261.99904</v>
      </c>
      <c r="H55" s="13" t="n">
        <f aca="false">IFERROR(IF($B55="","",$D55-$N55),"")</f>
        <v>71.75036</v>
      </c>
      <c r="I55" s="12" t="n">
        <f aca="false">IFERROR(IF(OR($B55="",$D55=0,$D55=""),"",$H55/$D55),"")</f>
        <v>0.422060941176471</v>
      </c>
      <c r="J55" s="76" t="n">
        <f aca="false">$J$2</f>
        <v>0.25</v>
      </c>
      <c r="K55" s="12" t="n">
        <f aca="false">IFERROR(IF($B55="","",$E55+$J55),"")</f>
        <v>0.827939058823529</v>
      </c>
      <c r="L55" s="74" t="n">
        <f aca="false">IFERROR(IF(OR($B55="",$C55=0,$C55=""),"",$I55+ROW()*0.0000001),"")</f>
        <v>0.422066441176471</v>
      </c>
      <c r="M55" s="77" t="n">
        <f aca="false">$M$2</f>
        <v>0.9319</v>
      </c>
      <c r="N55" s="13" t="n">
        <f aca="false">IFERROR(IF($B55="","",$C55+$M55),"")</f>
        <v>98.24964</v>
      </c>
    </row>
    <row r="56" customFormat="false" ht="39" hidden="false" customHeight="true" outlineLevel="0" collapsed="false">
      <c r="A56" s="70" t="str">
        <f aca="false">IFERROR(IF(المنيو!$B56="","",المنيو!$A56),"")</f>
        <v>قسم البرجر</v>
      </c>
      <c r="B56" s="70" t="str">
        <f aca="false">IFERROR(المنيو!$B56,"")</f>
        <v>بهججة كريسبي</v>
      </c>
      <c r="C56" s="13" t="n">
        <f aca="false">IFERROR(IF($B56="","",SUMIFS(الريسبي!$F$2:$F$1800,الريسبي!$A$2:$A$1800,$B56)),"")</f>
        <v>95.14544</v>
      </c>
      <c r="D56" s="71" t="n">
        <f aca="false">IFERROR(IF($B56="","",المنيو!$C56),"")</f>
        <v>170</v>
      </c>
      <c r="E56" s="12" t="n">
        <f aca="false">IFERROR(IF(OR($B56="",$D56=0,$D56=""),"",$N56/$D56),"")</f>
        <v>0.565160823529412</v>
      </c>
      <c r="F56" s="76" t="n">
        <f aca="false">$F$2</f>
        <v>0.375</v>
      </c>
      <c r="G56" s="13" t="n">
        <f aca="false">IFERROR(IF($B56="","",$N56/$F56),"")</f>
        <v>256.20624</v>
      </c>
      <c r="H56" s="13" t="n">
        <f aca="false">IFERROR(IF($B56="","",$D56-$N56),"")</f>
        <v>73.92266</v>
      </c>
      <c r="I56" s="12" t="n">
        <f aca="false">IFERROR(IF(OR($B56="",$D56=0,$D56=""),"",$H56/$D56),"")</f>
        <v>0.434839176470588</v>
      </c>
      <c r="J56" s="76" t="n">
        <f aca="false">$J$2</f>
        <v>0.25</v>
      </c>
      <c r="K56" s="12" t="n">
        <f aca="false">IFERROR(IF($B56="","",$E56+$J56),"")</f>
        <v>0.815160823529412</v>
      </c>
      <c r="L56" s="74" t="n">
        <f aca="false">IFERROR(IF(OR($B56="",$C56=0,$C56=""),"",$I56+ROW()*0.0000001),"")</f>
        <v>0.434844776470588</v>
      </c>
      <c r="M56" s="77" t="n">
        <f aca="false">$M$2</f>
        <v>0.9319</v>
      </c>
      <c r="N56" s="13" t="n">
        <f aca="false">IFERROR(IF($B56="","",$C56+$M56),"")</f>
        <v>96.07734</v>
      </c>
    </row>
    <row r="57" customFormat="false" ht="39" hidden="false" customHeight="true" outlineLevel="0" collapsed="false">
      <c r="A57" s="70" t="str">
        <f aca="false">IFERROR(IF(المنيو!$B57="","",المنيو!$A57),"")</f>
        <v>قسم البرجر</v>
      </c>
      <c r="B57" s="70" t="str">
        <f aca="false">IFERROR(المنيو!$B57,"")</f>
        <v>شيكاغو بيتزا برجر</v>
      </c>
      <c r="C57" s="13" t="n">
        <f aca="false">IFERROR(IF($B57="","",SUMIFS(الريسبي!$F$2:$F$1800,الريسبي!$A$2:$A$1800,$B57)),"")</f>
        <v>180.20475</v>
      </c>
      <c r="D57" s="71" t="n">
        <f aca="false">IFERROR(IF($B57="","",المنيو!$C57),"")</f>
        <v>330</v>
      </c>
      <c r="E57" s="12" t="n">
        <f aca="false">IFERROR(IF(OR($B57="",$D57=0,$D57=""),"",$N57/$D57),"")</f>
        <v>0.548898939393939</v>
      </c>
      <c r="F57" s="76" t="n">
        <f aca="false">$F$2</f>
        <v>0.375</v>
      </c>
      <c r="G57" s="13" t="n">
        <f aca="false">IFERROR(IF($B57="","",$N57/$F57),"")</f>
        <v>483.031066666667</v>
      </c>
      <c r="H57" s="13" t="n">
        <f aca="false">IFERROR(IF($B57="","",$D57-$N57),"")</f>
        <v>148.86335</v>
      </c>
      <c r="I57" s="12" t="n">
        <f aca="false">IFERROR(IF(OR($B57="",$D57=0,$D57=""),"",$H57/$D57),"")</f>
        <v>0.451101060606061</v>
      </c>
      <c r="J57" s="76" t="n">
        <f aca="false">$J$2</f>
        <v>0.25</v>
      </c>
      <c r="K57" s="12" t="n">
        <f aca="false">IFERROR(IF($B57="","",$E57+$J57),"")</f>
        <v>0.798898939393939</v>
      </c>
      <c r="L57" s="74" t="n">
        <f aca="false">IFERROR(IF(OR($B57="",$C57=0,$C57=""),"",$I57+ROW()*0.0000001),"")</f>
        <v>0.451106760606061</v>
      </c>
      <c r="M57" s="77" t="n">
        <f aca="false">$M$2</f>
        <v>0.9319</v>
      </c>
      <c r="N57" s="13" t="n">
        <f aca="false">IFERROR(IF($B57="","",$C57+$M57),"")</f>
        <v>181.13665</v>
      </c>
    </row>
    <row r="58" customFormat="false" ht="39" hidden="false" customHeight="true" outlineLevel="0" collapsed="false">
      <c r="A58" s="70" t="str">
        <f aca="false">IFERROR(IF(المنيو!$B58="","",المنيو!$A58),"")</f>
        <v>قسم البرجر</v>
      </c>
      <c r="B58" s="70" t="str">
        <f aca="false">IFERROR(المنيو!$B58,"")</f>
        <v>فطيررجر</v>
      </c>
      <c r="C58" s="13" t="n">
        <f aca="false">IFERROR(IF($B58="","",SUMIFS(الريسبي!$F$2:$F$1800,الريسبي!$A$2:$A$1800,$B58)),"")</f>
        <v>72.0865</v>
      </c>
      <c r="D58" s="71" t="n">
        <f aca="false">IFERROR(IF($B58="","",المنيو!$C58),"")</f>
        <v>150</v>
      </c>
      <c r="E58" s="12" t="n">
        <f aca="false">IFERROR(IF(OR($B58="",$D58=0,$D58=""),"",$N58/$D58),"")</f>
        <v>0.486789333333333</v>
      </c>
      <c r="F58" s="76" t="n">
        <f aca="false">$F$2</f>
        <v>0.375</v>
      </c>
      <c r="G58" s="13" t="n">
        <f aca="false">IFERROR(IF($B58="","",$N58/$F58),"")</f>
        <v>194.715733333333</v>
      </c>
      <c r="H58" s="13" t="n">
        <f aca="false">IFERROR(IF($B58="","",$D58-$N58),"")</f>
        <v>76.9816</v>
      </c>
      <c r="I58" s="12" t="n">
        <f aca="false">IFERROR(IF(OR($B58="",$D58=0,$D58=""),"",$H58/$D58),"")</f>
        <v>0.513210666666667</v>
      </c>
      <c r="J58" s="76" t="n">
        <f aca="false">$J$2</f>
        <v>0.25</v>
      </c>
      <c r="K58" s="12" t="n">
        <f aca="false">IFERROR(IF($B58="","",$E58+$J58),"")</f>
        <v>0.736789333333333</v>
      </c>
      <c r="L58" s="74" t="n">
        <f aca="false">IFERROR(IF(OR($B58="",$C58=0,$C58=""),"",$I58+ROW()*0.0000001),"")</f>
        <v>0.513216466666667</v>
      </c>
      <c r="M58" s="77" t="n">
        <f aca="false">$M$2</f>
        <v>0.9319</v>
      </c>
      <c r="N58" s="13" t="n">
        <f aca="false">IFERROR(IF($B58="","",$C58+$M58),"")</f>
        <v>73.0184</v>
      </c>
    </row>
    <row r="59" customFormat="false" ht="39" hidden="false" customHeight="true" outlineLevel="0" collapsed="false">
      <c r="A59" s="70" t="str">
        <f aca="false">IFERROR(IF(المنيو!$B59="","",المنيو!$A59),"")</f>
        <v>قسم المكرونات</v>
      </c>
      <c r="B59" s="70" t="str">
        <f aca="false">IFERROR(المنيو!$B59,"")</f>
        <v>مكرونة تجرسكو (فراخ ومشروم)</v>
      </c>
      <c r="C59" s="13" t="n">
        <f aca="false">IFERROR(IF($B59="","",SUMIFS(الريسبي!$F$2:$F$1800,الريسبي!$A$2:$A$1800,$B59)),"")</f>
        <v>87.517497</v>
      </c>
      <c r="D59" s="71" t="n">
        <f aca="false">IFERROR(IF($B59="","",المنيو!$C59),"")</f>
        <v>160</v>
      </c>
      <c r="E59" s="12" t="n">
        <f aca="false">IFERROR(IF(OR($B59="",$D59=0,$D59=""),"",$N59/$D59),"")</f>
        <v>0.55280873125</v>
      </c>
      <c r="F59" s="76" t="n">
        <f aca="false">$F$2</f>
        <v>0.375</v>
      </c>
      <c r="G59" s="13" t="n">
        <f aca="false">IFERROR(IF($B59="","",$N59/$F59),"")</f>
        <v>235.865058666667</v>
      </c>
      <c r="H59" s="13" t="n">
        <f aca="false">IFERROR(IF($B59="","",$D59-$N59),"")</f>
        <v>71.550603</v>
      </c>
      <c r="I59" s="12" t="n">
        <f aca="false">IFERROR(IF(OR($B59="",$D59=0,$D59=""),"",$H59/$D59),"")</f>
        <v>0.44719126875</v>
      </c>
      <c r="J59" s="76" t="n">
        <f aca="false">$J$2</f>
        <v>0.25</v>
      </c>
      <c r="K59" s="12" t="n">
        <f aca="false">IFERROR(IF($B59="","",$E59+$J59),"")</f>
        <v>0.80280873125</v>
      </c>
      <c r="L59" s="74" t="n">
        <f aca="false">IFERROR(IF(OR($B59="",$C59=0,$C59=""),"",$I59+ROW()*0.0000001),"")</f>
        <v>0.44719716875</v>
      </c>
      <c r="M59" s="77" t="n">
        <f aca="false">$M$2</f>
        <v>0.9319</v>
      </c>
      <c r="N59" s="13" t="n">
        <f aca="false">IFERROR(IF($B59="","",$C59+$M59),"")</f>
        <v>88.449397</v>
      </c>
    </row>
    <row r="60" customFormat="false" ht="39" hidden="false" customHeight="true" outlineLevel="0" collapsed="false">
      <c r="A60" s="70" t="str">
        <f aca="false">IFERROR(IF(المنيو!$B60="","",المنيو!$A60),"")</f>
        <v>قسم المكرونات</v>
      </c>
      <c r="B60" s="70" t="str">
        <f aca="false">IFERROR(المنيو!$B60,"")</f>
        <v>مكرونة كريسبي شيدر</v>
      </c>
      <c r="C60" s="13" t="n">
        <f aca="false">IFERROR(IF($B60="","",SUMIFS(الريسبي!$F$2:$F$1800,الريسبي!$A$2:$A$1800,$B60)),"")</f>
        <v>94.041035</v>
      </c>
      <c r="D60" s="71" t="n">
        <f aca="false">IFERROR(IF($B60="","",المنيو!$C60),"")</f>
        <v>180</v>
      </c>
      <c r="E60" s="12" t="n">
        <f aca="false">IFERROR(IF(OR($B60="",$D60=0,$D60=""),"",$N60/$D60),"")</f>
        <v>0.527627416666667</v>
      </c>
      <c r="F60" s="76" t="n">
        <f aca="false">$F$2</f>
        <v>0.375</v>
      </c>
      <c r="G60" s="13" t="n">
        <f aca="false">IFERROR(IF($B60="","",$N60/$F60),"")</f>
        <v>253.26116</v>
      </c>
      <c r="H60" s="13" t="n">
        <f aca="false">IFERROR(IF($B60="","",$D60-$N60),"")</f>
        <v>85.027065</v>
      </c>
      <c r="I60" s="12" t="n">
        <f aca="false">IFERROR(IF(OR($B60="",$D60=0,$D60=""),"",$H60/$D60),"")</f>
        <v>0.472372583333333</v>
      </c>
      <c r="J60" s="76" t="n">
        <f aca="false">$J$2</f>
        <v>0.25</v>
      </c>
      <c r="K60" s="12" t="n">
        <f aca="false">IFERROR(IF($B60="","",$E60+$J60),"")</f>
        <v>0.777627416666667</v>
      </c>
      <c r="L60" s="74" t="n">
        <f aca="false">IFERROR(IF(OR($B60="",$C60=0,$C60=""),"",$I60+ROW()*0.0000001),"")</f>
        <v>0.472378583333333</v>
      </c>
      <c r="M60" s="77" t="n">
        <f aca="false">$M$2</f>
        <v>0.9319</v>
      </c>
      <c r="N60" s="13" t="n">
        <f aca="false">IFERROR(IF($B60="","",$C60+$M60),"")</f>
        <v>94.972935</v>
      </c>
    </row>
    <row r="61" customFormat="false" ht="39" hidden="false" customHeight="true" outlineLevel="0" collapsed="false">
      <c r="A61" s="70" t="str">
        <f aca="false">IFERROR(IF(المنيو!$B61="","",المنيو!$A61),"")</f>
        <v>قسم المكرونات</v>
      </c>
      <c r="B61" s="70" t="str">
        <f aca="false">IFERROR(المنيو!$B61,"")</f>
        <v>مكرونة كريسبي رانش</v>
      </c>
      <c r="C61" s="13" t="n">
        <f aca="false">IFERROR(IF($B61="","",SUMIFS(الريسبي!$F$2:$F$1800,الريسبي!$A$2:$A$1800,$B61)),"")</f>
        <v>90.541035</v>
      </c>
      <c r="D61" s="71" t="n">
        <f aca="false">IFERROR(IF($B61="","",المنيو!$C61),"")</f>
        <v>180</v>
      </c>
      <c r="E61" s="12" t="n">
        <f aca="false">IFERROR(IF(OR($B61="",$D61=0,$D61=""),"",$N61/$D61),"")</f>
        <v>0.508182972222222</v>
      </c>
      <c r="F61" s="76" t="n">
        <f aca="false">$F$2</f>
        <v>0.375</v>
      </c>
      <c r="G61" s="13" t="n">
        <f aca="false">IFERROR(IF($B61="","",$N61/$F61),"")</f>
        <v>243.927826666667</v>
      </c>
      <c r="H61" s="13" t="n">
        <f aca="false">IFERROR(IF($B61="","",$D61-$N61),"")</f>
        <v>88.527065</v>
      </c>
      <c r="I61" s="12" t="n">
        <f aca="false">IFERROR(IF(OR($B61="",$D61=0,$D61=""),"",$H61/$D61),"")</f>
        <v>0.491817027777778</v>
      </c>
      <c r="J61" s="76" t="n">
        <f aca="false">$J$2</f>
        <v>0.25</v>
      </c>
      <c r="K61" s="12" t="n">
        <f aca="false">IFERROR(IF($B61="","",$E61+$J61),"")</f>
        <v>0.758182972222222</v>
      </c>
      <c r="L61" s="74" t="n">
        <f aca="false">IFERROR(IF(OR($B61="",$C61=0,$C61=""),"",$I61+ROW()*0.0000001),"")</f>
        <v>0.491823127777778</v>
      </c>
      <c r="M61" s="77" t="n">
        <f aca="false">$M$2</f>
        <v>0.9319</v>
      </c>
      <c r="N61" s="13" t="n">
        <f aca="false">IFERROR(IF($B61="","",$C61+$M61),"")</f>
        <v>91.472935</v>
      </c>
    </row>
    <row r="62" customFormat="false" ht="39" hidden="false" customHeight="true" outlineLevel="0" collapsed="false">
      <c r="A62" s="70" t="str">
        <f aca="false">IFERROR(IF(المنيو!$B62="","",المنيو!$A62),"")</f>
        <v>قسم المكرونات</v>
      </c>
      <c r="B62" s="70" t="str">
        <f aca="false">IFERROR(المنيو!$B62,"")</f>
        <v>مكرونة جمبري</v>
      </c>
      <c r="C62" s="13" t="n">
        <f aca="false">IFERROR(IF($B62="","",SUMIFS(الريسبي!$F$2:$F$1800,الريسبي!$A$2:$A$1800,$B62)),"")</f>
        <v>139.463335</v>
      </c>
      <c r="D62" s="71" t="n">
        <f aca="false">IFERROR(IF($B62="","",المنيو!$C62),"")</f>
        <v>260</v>
      </c>
      <c r="E62" s="12" t="n">
        <f aca="false">IFERROR(IF(OR($B62="",$D62=0,$D62=""),"",$N62/$D62),"")</f>
        <v>0.539981673076923</v>
      </c>
      <c r="F62" s="76" t="n">
        <f aca="false">$F$2</f>
        <v>0.375</v>
      </c>
      <c r="G62" s="13" t="n">
        <f aca="false">IFERROR(IF($B62="","",$N62/$F62),"")</f>
        <v>374.387293333333</v>
      </c>
      <c r="H62" s="13" t="n">
        <f aca="false">IFERROR(IF($B62="","",$D62-$N62),"")</f>
        <v>119.604765</v>
      </c>
      <c r="I62" s="12" t="n">
        <f aca="false">IFERROR(IF(OR($B62="",$D62=0,$D62=""),"",$H62/$D62),"")</f>
        <v>0.460018326923077</v>
      </c>
      <c r="J62" s="76" t="n">
        <f aca="false">$J$2</f>
        <v>0.25</v>
      </c>
      <c r="K62" s="12" t="n">
        <f aca="false">IFERROR(IF($B62="","",$E62+$J62),"")</f>
        <v>0.789981673076923</v>
      </c>
      <c r="L62" s="74" t="n">
        <f aca="false">IFERROR(IF(OR($B62="",$C62=0,$C62=""),"",$I62+ROW()*0.0000001),"")</f>
        <v>0.460024526923077</v>
      </c>
      <c r="M62" s="77" t="n">
        <f aca="false">$M$2</f>
        <v>0.9319</v>
      </c>
      <c r="N62" s="13" t="n">
        <f aca="false">IFERROR(IF($B62="","",$C62+$M62),"")</f>
        <v>140.395235</v>
      </c>
    </row>
    <row r="63" customFormat="false" ht="39" hidden="false" customHeight="true" outlineLevel="0" collapsed="false">
      <c r="A63" s="70" t="str">
        <f aca="false">IFERROR(IF(المنيو!$B63="","",المنيو!$A63),"")</f>
        <v>قسم المكرونات</v>
      </c>
      <c r="B63" s="70" t="str">
        <f aca="false">IFERROR(المنيو!$B63,"")</f>
        <v>مكرونة صوص ابيض سدق</v>
      </c>
      <c r="C63" s="13" t="n">
        <f aca="false">IFERROR(IF($B63="","",SUMIFS(الريسبي!$F$2:$F$1800,الريسبي!$A$2:$A$1800,$B63)),"")</f>
        <v>78.463335</v>
      </c>
      <c r="D63" s="71" t="n">
        <f aca="false">IFERROR(IF($B63="","",المنيو!$C63),"")</f>
        <v>140</v>
      </c>
      <c r="E63" s="12" t="n">
        <f aca="false">IFERROR(IF(OR($B63="",$D63=0,$D63=""),"",$N63/$D63),"")</f>
        <v>0.567108821428571</v>
      </c>
      <c r="F63" s="76" t="n">
        <f aca="false">$F$2</f>
        <v>0.375</v>
      </c>
      <c r="G63" s="13" t="n">
        <f aca="false">IFERROR(IF($B63="","",$N63/$F63),"")</f>
        <v>211.720626666667</v>
      </c>
      <c r="H63" s="13" t="n">
        <f aca="false">IFERROR(IF($B63="","",$D63-$N63),"")</f>
        <v>60.604765</v>
      </c>
      <c r="I63" s="12" t="n">
        <f aca="false">IFERROR(IF(OR($B63="",$D63=0,$D63=""),"",$H63/$D63),"")</f>
        <v>0.432891178571429</v>
      </c>
      <c r="J63" s="76" t="n">
        <f aca="false">$J$2</f>
        <v>0.25</v>
      </c>
      <c r="K63" s="12" t="n">
        <f aca="false">IFERROR(IF($B63="","",$E63+$J63),"")</f>
        <v>0.817108821428571</v>
      </c>
      <c r="L63" s="74" t="n">
        <f aca="false">IFERROR(IF(OR($B63="",$C63=0,$C63=""),"",$I63+ROW()*0.0000001),"")</f>
        <v>0.432897478571429</v>
      </c>
      <c r="M63" s="77" t="n">
        <f aca="false">$M$2</f>
        <v>0.9319</v>
      </c>
      <c r="N63" s="13" t="n">
        <f aca="false">IFERROR(IF($B63="","",$C63+$M63),"")</f>
        <v>79.395235</v>
      </c>
    </row>
    <row r="64" customFormat="false" ht="39" hidden="false" customHeight="true" outlineLevel="0" collapsed="false">
      <c r="A64" s="70" t="str">
        <f aca="false">IFERROR(IF(المنيو!$B64="","",المنيو!$A64),"")</f>
        <v>قسم المكرونات</v>
      </c>
      <c r="B64" s="70" t="str">
        <f aca="false">IFERROR(المنيو!$B64,"")</f>
        <v>مكرونة صوص ابيض بسطرمة</v>
      </c>
      <c r="C64" s="13" t="n">
        <f aca="false">IFERROR(IF($B64="","",SUMIFS(الريسبي!$F$2:$F$1800,الريسبي!$A$2:$A$1800,$B64)),"")</f>
        <v>79.463335</v>
      </c>
      <c r="D64" s="71" t="n">
        <f aca="false">IFERROR(IF($B64="","",المنيو!$C64),"")</f>
        <v>140</v>
      </c>
      <c r="E64" s="12" t="n">
        <f aca="false">IFERROR(IF(OR($B64="",$D64=0,$D64=""),"",$N64/$D64),"")</f>
        <v>0.574251678571429</v>
      </c>
      <c r="F64" s="76" t="n">
        <f aca="false">$F$2</f>
        <v>0.375</v>
      </c>
      <c r="G64" s="13" t="n">
        <f aca="false">IFERROR(IF($B64="","",$N64/$F64),"")</f>
        <v>214.387293333333</v>
      </c>
      <c r="H64" s="13" t="n">
        <f aca="false">IFERROR(IF($B64="","",$D64-$N64),"")</f>
        <v>59.604765</v>
      </c>
      <c r="I64" s="12" t="n">
        <f aca="false">IFERROR(IF(OR($B64="",$D64=0,$D64=""),"",$H64/$D64),"")</f>
        <v>0.425748321428571</v>
      </c>
      <c r="J64" s="76" t="n">
        <f aca="false">$J$2</f>
        <v>0.25</v>
      </c>
      <c r="K64" s="12" t="n">
        <f aca="false">IFERROR(IF($B64="","",$E64+$J64),"")</f>
        <v>0.824251678571429</v>
      </c>
      <c r="L64" s="74" t="n">
        <f aca="false">IFERROR(IF(OR($B64="",$C64=0,$C64=""),"",$I64+ROW()*0.0000001),"")</f>
        <v>0.425754721428571</v>
      </c>
      <c r="M64" s="77" t="n">
        <f aca="false">$M$2</f>
        <v>0.9319</v>
      </c>
      <c r="N64" s="13" t="n">
        <f aca="false">IFERROR(IF($B64="","",$C64+$M64),"")</f>
        <v>80.395235</v>
      </c>
    </row>
    <row r="65" customFormat="false" ht="39" hidden="false" customHeight="true" outlineLevel="0" collapsed="false">
      <c r="A65" s="70" t="str">
        <f aca="false">IFERROR(IF(المنيو!$B65="","",المنيو!$A65),"")</f>
        <v>قسم الكريب</v>
      </c>
      <c r="B65" s="70" t="str">
        <f aca="false">IFERROR(المنيو!$B65,"")</f>
        <v>كريب فراخ كريسبي شيدر</v>
      </c>
      <c r="C65" s="13" t="n">
        <f aca="false">IFERROR(IF($B65="","",SUMIFS(الريسبي!$F$2:$F$1800,الريسبي!$A$2:$A$1800,$B65)),"")</f>
        <v>63.6796620833333</v>
      </c>
      <c r="D65" s="71" t="n">
        <f aca="false">IFERROR(IF($B65="","",المنيو!$C65),"")</f>
        <v>125</v>
      </c>
      <c r="E65" s="12" t="n">
        <f aca="false">IFERROR(IF(OR($B65="",$D65=0,$D65=""),"",$N65/$D65),"")</f>
        <v>0.516892496666667</v>
      </c>
      <c r="F65" s="76" t="n">
        <f aca="false">$F$2</f>
        <v>0.375</v>
      </c>
      <c r="G65" s="13" t="n">
        <f aca="false">IFERROR(IF($B65="","",$N65/$F65),"")</f>
        <v>172.297498888889</v>
      </c>
      <c r="H65" s="13" t="n">
        <f aca="false">IFERROR(IF($B65="","",$D65-$N65),"")</f>
        <v>60.3884379166667</v>
      </c>
      <c r="I65" s="12" t="n">
        <f aca="false">IFERROR(IF(OR($B65="",$D65=0,$D65=""),"",$H65/$D65),"")</f>
        <v>0.483107503333333</v>
      </c>
      <c r="J65" s="76" t="n">
        <f aca="false">$J$2</f>
        <v>0.25</v>
      </c>
      <c r="K65" s="12" t="n">
        <f aca="false">IFERROR(IF($B65="","",$E65+$J65),"")</f>
        <v>0.766892496666667</v>
      </c>
      <c r="L65" s="74" t="n">
        <f aca="false">IFERROR(IF(OR($B65="",$C65=0,$C65=""),"",$I65+ROW()*0.0000001),"")</f>
        <v>0.483114003333333</v>
      </c>
      <c r="M65" s="77" t="n">
        <f aca="false">$M$2</f>
        <v>0.9319</v>
      </c>
      <c r="N65" s="13" t="n">
        <f aca="false">IFERROR(IF($B65="","",$C65+$M65),"")</f>
        <v>64.6115620833333</v>
      </c>
    </row>
    <row r="66" customFormat="false" ht="39" hidden="false" customHeight="true" outlineLevel="0" collapsed="false">
      <c r="A66" s="70" t="str">
        <f aca="false">IFERROR(IF(المنيو!$B66="","",المنيو!$A66),"")</f>
        <v>قسم الكريب</v>
      </c>
      <c r="B66" s="70" t="str">
        <f aca="false">IFERROR(المنيو!$B66,"")</f>
        <v>كريب مشكل فراخ</v>
      </c>
      <c r="C66" s="13" t="n">
        <f aca="false">IFERROR(IF($B66="","",SUMIFS(الريسبي!$F$2:$F$1800,الريسبي!$A$2:$A$1800,$B66)),"")</f>
        <v>60.0929620833333</v>
      </c>
      <c r="D66" s="71" t="n">
        <f aca="false">IFERROR(IF($B66="","",المنيو!$C66),"")</f>
        <v>125</v>
      </c>
      <c r="E66" s="12" t="n">
        <f aca="false">IFERROR(IF(OR($B66="",$D66=0,$D66=""),"",$N66/$D66),"")</f>
        <v>0.488198896666667</v>
      </c>
      <c r="F66" s="76" t="n">
        <f aca="false">$F$2</f>
        <v>0.375</v>
      </c>
      <c r="G66" s="13" t="n">
        <f aca="false">IFERROR(IF($B66="","",$N66/$F66),"")</f>
        <v>162.732965555556</v>
      </c>
      <c r="H66" s="13" t="n">
        <f aca="false">IFERROR(IF($B66="","",$D66-$N66),"")</f>
        <v>63.9751379166667</v>
      </c>
      <c r="I66" s="12" t="n">
        <f aca="false">IFERROR(IF(OR($B66="",$D66=0,$D66=""),"",$H66/$D66),"")</f>
        <v>0.511801103333333</v>
      </c>
      <c r="J66" s="76" t="n">
        <f aca="false">$J$2</f>
        <v>0.25</v>
      </c>
      <c r="K66" s="12" t="n">
        <f aca="false">IFERROR(IF($B66="","",$E66+$J66),"")</f>
        <v>0.738198896666667</v>
      </c>
      <c r="L66" s="74" t="n">
        <f aca="false">IFERROR(IF(OR($B66="",$C66=0,$C66=""),"",$I66+ROW()*0.0000001),"")</f>
        <v>0.511807703333333</v>
      </c>
      <c r="M66" s="77" t="n">
        <f aca="false">$M$2</f>
        <v>0.9319</v>
      </c>
      <c r="N66" s="13" t="n">
        <f aca="false">IFERROR(IF($B66="","",$C66+$M66),"")</f>
        <v>61.0248620833333</v>
      </c>
    </row>
    <row r="67" customFormat="false" ht="39" hidden="false" customHeight="true" outlineLevel="0" collapsed="false">
      <c r="A67" s="70" t="str">
        <f aca="false">IFERROR(IF(المنيو!$B67="","",المنيو!$A67),"")</f>
        <v>قسم الكريب</v>
      </c>
      <c r="B67" s="70" t="str">
        <f aca="false">IFERROR(المنيو!$B67,"")</f>
        <v>كريب بسطرمة</v>
      </c>
      <c r="C67" s="13" t="n">
        <f aca="false">IFERROR(IF($B67="","",SUMIFS(الريسبي!$F$2:$F$1800,الريسبي!$A$2:$A$1800,$B67)),"")</f>
        <v>51.4353120833333</v>
      </c>
      <c r="D67" s="71" t="n">
        <f aca="false">IFERROR(IF($B67="","",المنيو!$C67),"")</f>
        <v>110</v>
      </c>
      <c r="E67" s="12" t="n">
        <f aca="false">IFERROR(IF(OR($B67="",$D67=0,$D67=""),"",$N67/$D67),"")</f>
        <v>0.476065564393939</v>
      </c>
      <c r="F67" s="76" t="n">
        <f aca="false">$F$2</f>
        <v>0.375</v>
      </c>
      <c r="G67" s="13" t="n">
        <f aca="false">IFERROR(IF($B67="","",$N67/$F67),"")</f>
        <v>139.645898888889</v>
      </c>
      <c r="H67" s="13" t="n">
        <f aca="false">IFERROR(IF($B67="","",$D67-$N67),"")</f>
        <v>57.6327879166667</v>
      </c>
      <c r="I67" s="12" t="n">
        <f aca="false">IFERROR(IF(OR($B67="",$D67=0,$D67=""),"",$H67/$D67),"")</f>
        <v>0.523934435606061</v>
      </c>
      <c r="J67" s="76" t="n">
        <f aca="false">$J$2</f>
        <v>0.25</v>
      </c>
      <c r="K67" s="12" t="n">
        <f aca="false">IFERROR(IF($B67="","",$E67+$J67),"")</f>
        <v>0.726065564393939</v>
      </c>
      <c r="L67" s="74" t="n">
        <f aca="false">IFERROR(IF(OR($B67="",$C67=0,$C67=""),"",$I67+ROW()*0.0000001),"")</f>
        <v>0.523941135606061</v>
      </c>
      <c r="M67" s="77" t="n">
        <f aca="false">$M$2</f>
        <v>0.9319</v>
      </c>
      <c r="N67" s="13" t="n">
        <f aca="false">IFERROR(IF($B67="","",$C67+$M67),"")</f>
        <v>52.3672120833333</v>
      </c>
    </row>
    <row r="68" customFormat="false" ht="39" hidden="false" customHeight="true" outlineLevel="0" collapsed="false">
      <c r="A68" s="70" t="str">
        <f aca="false">IFERROR(IF(المنيو!$B68="","",المنيو!$A68),"")</f>
        <v>قسم الكريب</v>
      </c>
      <c r="B68" s="70" t="str">
        <f aca="false">IFERROR(المنيو!$B68,"")</f>
        <v>كريب سدق</v>
      </c>
      <c r="C68" s="13" t="n">
        <f aca="false">IFERROR(IF($B68="","",SUMIFS(الريسبي!$F$2:$F$1800,الريسبي!$A$2:$A$1800,$B68)),"")</f>
        <v>50.6019620833333</v>
      </c>
      <c r="D68" s="71" t="n">
        <f aca="false">IFERROR(IF($B68="","",المنيو!$C68),"")</f>
        <v>110</v>
      </c>
      <c r="E68" s="12" t="n">
        <f aca="false">IFERROR(IF(OR($B68="",$D68=0,$D68=""),"",$N68/$D68),"")</f>
        <v>0.46848965530303</v>
      </c>
      <c r="F68" s="76" t="n">
        <f aca="false">$F$2</f>
        <v>0.375</v>
      </c>
      <c r="G68" s="13" t="n">
        <f aca="false">IFERROR(IF($B68="","",$N68/$F68),"")</f>
        <v>137.423632222222</v>
      </c>
      <c r="H68" s="13" t="n">
        <f aca="false">IFERROR(IF($B68="","",$D68-$N68),"")</f>
        <v>58.4661379166667</v>
      </c>
      <c r="I68" s="12" t="n">
        <f aca="false">IFERROR(IF(OR($B68="",$D68=0,$D68=""),"",$H68/$D68),"")</f>
        <v>0.53151034469697</v>
      </c>
      <c r="J68" s="76" t="n">
        <f aca="false">$J$2</f>
        <v>0.25</v>
      </c>
      <c r="K68" s="12" t="n">
        <f aca="false">IFERROR(IF($B68="","",$E68+$J68),"")</f>
        <v>0.71848965530303</v>
      </c>
      <c r="L68" s="74" t="n">
        <f aca="false">IFERROR(IF(OR($B68="",$C68=0,$C68=""),"",$I68+ROW()*0.0000001),"")</f>
        <v>0.53151714469697</v>
      </c>
      <c r="M68" s="77" t="n">
        <f aca="false">$M$2</f>
        <v>0.9319</v>
      </c>
      <c r="N68" s="13" t="n">
        <f aca="false">IFERROR(IF($B68="","",$C68+$M68),"")</f>
        <v>51.5338620833333</v>
      </c>
    </row>
    <row r="69" customFormat="false" ht="39" hidden="false" customHeight="true" outlineLevel="0" collapsed="false">
      <c r="A69" s="70" t="str">
        <f aca="false">IFERROR(IF(المنيو!$B69="","",المنيو!$A69),"")</f>
        <v>قسم الكريب</v>
      </c>
      <c r="B69" s="70" t="str">
        <f aca="false">IFERROR(المنيو!$B69,"")</f>
        <v>كريب فراخ باربيكيو</v>
      </c>
      <c r="C69" s="13" t="n">
        <f aca="false">IFERROR(IF($B69="","",SUMIFS(الريسبي!$F$2:$F$1800,الريسبي!$A$2:$A$1800,$B69)),"")</f>
        <v>69.0839620833333</v>
      </c>
      <c r="D69" s="71" t="n">
        <f aca="false">IFERROR(IF($B69="","",المنيو!$C69),"")</f>
        <v>120</v>
      </c>
      <c r="E69" s="12" t="n">
        <f aca="false">IFERROR(IF(OR($B69="",$D69=0,$D69=""),"",$N69/$D69),"")</f>
        <v>0.583465517361111</v>
      </c>
      <c r="F69" s="76" t="n">
        <f aca="false">$F$2</f>
        <v>0.375</v>
      </c>
      <c r="G69" s="13" t="n">
        <f aca="false">IFERROR(IF($B69="","",$N69/$F69),"")</f>
        <v>186.708965555556</v>
      </c>
      <c r="H69" s="13" t="n">
        <f aca="false">IFERROR(IF($B69="","",$D69-$N69),"")</f>
        <v>49.9841379166667</v>
      </c>
      <c r="I69" s="12" t="n">
        <f aca="false">IFERROR(IF(OR($B69="",$D69=0,$D69=""),"",$H69/$D69),"")</f>
        <v>0.416534482638889</v>
      </c>
      <c r="J69" s="76" t="n">
        <f aca="false">$J$2</f>
        <v>0.25</v>
      </c>
      <c r="K69" s="12" t="n">
        <f aca="false">IFERROR(IF($B69="","",$E69+$J69),"")</f>
        <v>0.833465517361111</v>
      </c>
      <c r="L69" s="74" t="n">
        <f aca="false">IFERROR(IF(OR($B69="",$C69=0,$C69=""),"",$I69+ROW()*0.0000001),"")</f>
        <v>0.416541382638889</v>
      </c>
      <c r="M69" s="77" t="n">
        <f aca="false">$M$2</f>
        <v>0.9319</v>
      </c>
      <c r="N69" s="13" t="n">
        <f aca="false">IFERROR(IF($B69="","",$C69+$M69),"")</f>
        <v>70.0158620833333</v>
      </c>
    </row>
    <row r="70" customFormat="false" ht="51.75" hidden="false" customHeight="true" outlineLevel="0" collapsed="false">
      <c r="A70" s="70" t="str">
        <f aca="false">IFERROR(IF(المنيو!$B70="","",المنيو!$A70),"")</f>
        <v>قسم الكريب</v>
      </c>
      <c r="B70" s="70" t="str">
        <f aca="false">IFERROR(المنيو!$B70,"")</f>
        <v>عيش كريب</v>
      </c>
      <c r="C70" s="13" t="n">
        <f aca="false">IFERROR(IF($B70="","",SUMIFS(الريسبي!$F$2:$F$1800,الريسبي!$A$2:$A$1800,$B70)),"")</f>
        <v>5.01306208333333</v>
      </c>
      <c r="D70" s="71" t="n">
        <f aca="false">IFERROR(IF($B70="","",المنيو!$C70),"")</f>
        <v>5</v>
      </c>
      <c r="E70" s="12" t="n">
        <f aca="false">IFERROR(IF(OR($B70="",$D70=0,$D70=""),"",$N70/$D70),"")</f>
        <v>1.18899241666667</v>
      </c>
      <c r="F70" s="76" t="n">
        <f aca="false">$F$2</f>
        <v>0.375</v>
      </c>
      <c r="G70" s="13" t="n">
        <f aca="false">IFERROR(IF($B70="","",$N70/$F70),"")</f>
        <v>15.8532322222222</v>
      </c>
      <c r="H70" s="13" t="n">
        <f aca="false">IFERROR(IF($B70="","",$D70-$N70),"")</f>
        <v>-0.944962083333333</v>
      </c>
      <c r="I70" s="12" t="n">
        <f aca="false">IFERROR(IF(OR($B70="",$D70=0,$D70=""),"",$H70/$D70),"")</f>
        <v>-0.188992416666667</v>
      </c>
      <c r="J70" s="76" t="n">
        <f aca="false">$J$2</f>
        <v>0.25</v>
      </c>
      <c r="K70" s="12" t="n">
        <f aca="false">IFERROR(IF($B70="","",$E70+$J70),"")</f>
        <v>1.43899241666667</v>
      </c>
      <c r="L70" s="74" t="n">
        <f aca="false">IFERROR(IF(OR($B70="",$C70=0,$C70=""),"",$I70+ROW()*0.0000001),"")</f>
        <v>-0.188985416666667</v>
      </c>
      <c r="M70" s="77" t="n">
        <f aca="false">$M$2</f>
        <v>0.9319</v>
      </c>
      <c r="N70" s="13" t="n">
        <f aca="false">IFERROR(IF($B70="","",$C70+$M70),"")</f>
        <v>5.94496208333333</v>
      </c>
    </row>
    <row r="71" customFormat="false" ht="39" hidden="false" customHeight="true" outlineLevel="0" collapsed="false">
      <c r="A71" s="70" t="str">
        <f aca="false">IFERROR(IF(المنيو!$B71="","",المنيو!$A71),"")</f>
        <v>قسم البطاطس</v>
      </c>
      <c r="B71" s="70" t="str">
        <f aca="false">IFERROR(المنيو!$B71,"")</f>
        <v>باكت بطاطس وسط</v>
      </c>
      <c r="C71" s="13" t="n">
        <f aca="false">IFERROR(IF($B71="","",SUMIFS(الريسبي!$F$2:$F$1800,الريسبي!$A$2:$A$1800,$B71)),"")</f>
        <v>16.0527</v>
      </c>
      <c r="D71" s="71" t="n">
        <f aca="false">IFERROR(IF($B71="","",المنيو!$C71),"")</f>
        <v>40</v>
      </c>
      <c r="E71" s="12" t="n">
        <f aca="false">IFERROR(IF(OR($B71="",$D71=0,$D71=""),"",$N71/$D71),"")</f>
        <v>0.424615</v>
      </c>
      <c r="F71" s="76" t="n">
        <f aca="false">$F$2</f>
        <v>0.375</v>
      </c>
      <c r="G71" s="13" t="n">
        <f aca="false">IFERROR(IF($B71="","",$N71/$F71),"")</f>
        <v>45.2922666666667</v>
      </c>
      <c r="H71" s="13" t="n">
        <f aca="false">IFERROR(IF($B71="","",$D71-$N71),"")</f>
        <v>23.0154</v>
      </c>
      <c r="I71" s="12" t="n">
        <f aca="false">IFERROR(IF(OR($B71="",$D71=0,$D71=""),"",$H71/$D71),"")</f>
        <v>0.575385</v>
      </c>
      <c r="J71" s="76" t="n">
        <f aca="false">$J$2</f>
        <v>0.25</v>
      </c>
      <c r="K71" s="12" t="n">
        <f aca="false">IFERROR(IF($B71="","",$E71+$J71),"")</f>
        <v>0.674615</v>
      </c>
      <c r="L71" s="74" t="n">
        <f aca="false">IFERROR(IF(OR($B71="",$C71=0,$C71=""),"",$I71+ROW()*0.0000001),"")</f>
        <v>0.5753921</v>
      </c>
      <c r="M71" s="77" t="n">
        <f aca="false">$M$2</f>
        <v>0.9319</v>
      </c>
      <c r="N71" s="13" t="n">
        <f aca="false">IFERROR(IF($B71="","",$C71+$M71),"")</f>
        <v>16.9846</v>
      </c>
    </row>
    <row r="72" customFormat="false" ht="39" hidden="false" customHeight="true" outlineLevel="0" collapsed="false">
      <c r="A72" s="70" t="str">
        <f aca="false">IFERROR(IF(المنيو!$B72="","",المنيو!$A72),"")</f>
        <v>قسم البطاطس</v>
      </c>
      <c r="B72" s="70" t="str">
        <f aca="false">IFERROR(المنيو!$B72,"")</f>
        <v>باكت بطاطس كبير</v>
      </c>
      <c r="C72" s="13" t="n">
        <f aca="false">IFERROR(IF($B72="","",SUMIFS(الريسبي!$F$2:$F$1800,الريسبي!$A$2:$A$1800,$B72)),"")</f>
        <v>25.1277</v>
      </c>
      <c r="D72" s="71" t="n">
        <f aca="false">IFERROR(IF($B72="","",المنيو!$C72),"")</f>
        <v>60</v>
      </c>
      <c r="E72" s="12" t="n">
        <f aca="false">IFERROR(IF(OR($B72="",$D72=0,$D72=""),"",$N72/$D72),"")</f>
        <v>0.434326666666667</v>
      </c>
      <c r="F72" s="76" t="n">
        <f aca="false">$F$2</f>
        <v>0.375</v>
      </c>
      <c r="G72" s="13" t="n">
        <f aca="false">IFERROR(IF($B72="","",$N72/$F72),"")</f>
        <v>69.4922666666667</v>
      </c>
      <c r="H72" s="13" t="n">
        <f aca="false">IFERROR(IF($B72="","",$D72-$N72),"")</f>
        <v>33.9404</v>
      </c>
      <c r="I72" s="12" t="n">
        <f aca="false">IFERROR(IF(OR($B72="",$D72=0,$D72=""),"",$H72/$D72),"")</f>
        <v>0.565673333333333</v>
      </c>
      <c r="J72" s="76" t="n">
        <f aca="false">$J$2</f>
        <v>0.25</v>
      </c>
      <c r="K72" s="12" t="n">
        <f aca="false">IFERROR(IF($B72="","",$E72+$J72),"")</f>
        <v>0.684326666666667</v>
      </c>
      <c r="L72" s="74" t="n">
        <f aca="false">IFERROR(IF(OR($B72="",$C72=0,$C72=""),"",$I72+ROW()*0.0000001),"")</f>
        <v>0.565680533333333</v>
      </c>
      <c r="M72" s="77" t="n">
        <f aca="false">$M$2</f>
        <v>0.9319</v>
      </c>
      <c r="N72" s="13" t="n">
        <f aca="false">IFERROR(IF($B72="","",$C72+$M72),"")</f>
        <v>26.0596</v>
      </c>
    </row>
    <row r="73" customFormat="false" ht="39" hidden="false" customHeight="true" outlineLevel="0" collapsed="false">
      <c r="A73" s="70" t="str">
        <f aca="false">IFERROR(IF(المنيو!$B73="","",المنيو!$A73),"")</f>
        <v>قسم البطاطس</v>
      </c>
      <c r="B73" s="70" t="str">
        <f aca="false">IFERROR(المنيو!$B73,"")</f>
        <v>باكت بطاطس جبنة (وسط)</v>
      </c>
      <c r="C73" s="13" t="n">
        <f aca="false">IFERROR(IF($B73="","",SUMIFS(الريسبي!$F$2:$F$1800,الريسبي!$A$2:$A$1800,$B73)),"")</f>
        <v>17.475</v>
      </c>
      <c r="D73" s="71" t="n">
        <f aca="false">IFERROR(IF($B73="","",المنيو!$C73),"")</f>
        <v>50</v>
      </c>
      <c r="E73" s="12" t="n">
        <f aca="false">IFERROR(IF(OR($B73="",$D73=0,$D73=""),"",$N73/$D73),"")</f>
        <v>0.368138</v>
      </c>
      <c r="F73" s="76" t="n">
        <f aca="false">$F$2</f>
        <v>0.375</v>
      </c>
      <c r="G73" s="13" t="n">
        <f aca="false">IFERROR(IF($B73="","",$N73/$F73),"")</f>
        <v>49.0850666666667</v>
      </c>
      <c r="H73" s="13" t="n">
        <f aca="false">IFERROR(IF($B73="","",$D73-$N73),"")</f>
        <v>31.5931</v>
      </c>
      <c r="I73" s="12" t="n">
        <f aca="false">IFERROR(IF(OR($B73="",$D73=0,$D73=""),"",$H73/$D73),"")</f>
        <v>0.631862</v>
      </c>
      <c r="J73" s="76" t="n">
        <f aca="false">$J$2</f>
        <v>0.25</v>
      </c>
      <c r="K73" s="12" t="n">
        <f aca="false">IFERROR(IF($B73="","",$E73+$J73),"")</f>
        <v>0.618138</v>
      </c>
      <c r="L73" s="74" t="n">
        <f aca="false">IFERROR(IF(OR($B73="",$C73=0,$C73=""),"",$I73+ROW()*0.0000001),"")</f>
        <v>0.6318693</v>
      </c>
      <c r="M73" s="77" t="n">
        <f aca="false">$M$2</f>
        <v>0.9319</v>
      </c>
      <c r="N73" s="13" t="n">
        <f aca="false">IFERROR(IF($B73="","",$C73+$M73),"")</f>
        <v>18.4069</v>
      </c>
    </row>
    <row r="74" customFormat="false" ht="39" hidden="false" customHeight="true" outlineLevel="0" collapsed="false">
      <c r="A74" s="70" t="str">
        <f aca="false">IFERROR(IF(المنيو!$B74="","",المنيو!$A74),"")</f>
        <v>قسم البطاطس</v>
      </c>
      <c r="B74" s="70" t="str">
        <f aca="false">IFERROR(المنيو!$B74,"")</f>
        <v>باكت بطاطس جبنة (كبير)</v>
      </c>
      <c r="C74" s="13" t="n">
        <f aca="false">IFERROR(IF($B74="","",SUMIFS(الريسبي!$F$2:$F$1800,الريسبي!$A$2:$A$1800,$B74)),"")</f>
        <v>33.55</v>
      </c>
      <c r="D74" s="71" t="n">
        <f aca="false">IFERROR(IF($B74="","",المنيو!$C74),"")</f>
        <v>70</v>
      </c>
      <c r="E74" s="12" t="n">
        <f aca="false">IFERROR(IF(OR($B74="",$D74=0,$D74=""),"",$N74/$D74),"")</f>
        <v>0.492598571428572</v>
      </c>
      <c r="F74" s="76" t="n">
        <f aca="false">$F$2</f>
        <v>0.375</v>
      </c>
      <c r="G74" s="13" t="n">
        <f aca="false">IFERROR(IF($B74="","",$N74/$F74),"")</f>
        <v>91.9517333333333</v>
      </c>
      <c r="H74" s="13" t="n">
        <f aca="false">IFERROR(IF($B74="","",$D74-$N74),"")</f>
        <v>35.5181</v>
      </c>
      <c r="I74" s="12" t="n">
        <f aca="false">IFERROR(IF(OR($B74="",$D74=0,$D74=""),"",$H74/$D74),"")</f>
        <v>0.507401428571429</v>
      </c>
      <c r="J74" s="76" t="n">
        <f aca="false">$J$2</f>
        <v>0.25</v>
      </c>
      <c r="K74" s="12" t="n">
        <f aca="false">IFERROR(IF($B74="","",$E74+$J74),"")</f>
        <v>0.742598571428571</v>
      </c>
      <c r="L74" s="74" t="n">
        <f aca="false">IFERROR(IF(OR($B74="",$C74=0,$C74=""),"",$I74+ROW()*0.0000001),"")</f>
        <v>0.507408828571429</v>
      </c>
      <c r="M74" s="77" t="n">
        <f aca="false">$M$2</f>
        <v>0.9319</v>
      </c>
      <c r="N74" s="13" t="n">
        <f aca="false">IFERROR(IF($B74="","",$C74+$M74),"")</f>
        <v>34.4819</v>
      </c>
    </row>
    <row r="75" customFormat="false" ht="39" hidden="false" customHeight="true" outlineLevel="0" collapsed="false">
      <c r="A75" s="70" t="str">
        <f aca="false">IFERROR(IF(المنيو!$B75="","",المنيو!$A75),"")</f>
        <v>قسم المشروبات</v>
      </c>
      <c r="B75" s="70" t="str">
        <f aca="false">IFERROR(المنيو!$B75,"")</f>
        <v>بيبسي كانز</v>
      </c>
      <c r="C75" s="13" t="n">
        <f aca="false">IFERROR(IF($B75="","",SUMIFS(الريسبي!$F$2:$F$1800,الريسبي!$A$2:$A$1800,$B75)),"")</f>
        <v>17.1875</v>
      </c>
      <c r="D75" s="71" t="n">
        <f aca="false">IFERROR(IF($B75="","",المنيو!$C75),"")</f>
        <v>30</v>
      </c>
      <c r="E75" s="12" t="n">
        <f aca="false">IFERROR(IF(OR($B75="",$D75=0,$D75=""),"",$N75/$D75),"")</f>
        <v>0.60398</v>
      </c>
      <c r="F75" s="76" t="n">
        <f aca="false">$F$2</f>
        <v>0.375</v>
      </c>
      <c r="G75" s="13" t="n">
        <f aca="false">IFERROR(IF($B75="","",$N75/$F75),"")</f>
        <v>48.3184</v>
      </c>
      <c r="H75" s="13" t="n">
        <f aca="false">IFERROR(IF($B75="","",$D75-$N75),"")</f>
        <v>11.8806</v>
      </c>
      <c r="I75" s="12" t="n">
        <f aca="false">IFERROR(IF(OR($B75="",$D75=0,$D75=""),"",$H75/$D75),"")</f>
        <v>0.39602</v>
      </c>
      <c r="J75" s="76" t="n">
        <f aca="false">$J$2</f>
        <v>0.25</v>
      </c>
      <c r="K75" s="12" t="n">
        <f aca="false">IFERROR(IF($B75="","",$E75+$J75),"")</f>
        <v>0.85398</v>
      </c>
      <c r="L75" s="74" t="n">
        <f aca="false">IFERROR(IF(OR($B75="",$C75=0,$C75=""),"",$I75+ROW()*0.0000001),"")</f>
        <v>0.3960275</v>
      </c>
      <c r="M75" s="77" t="n">
        <f aca="false">$M$2</f>
        <v>0.9319</v>
      </c>
      <c r="N75" s="13" t="n">
        <f aca="false">IFERROR(IF($B75="","",$C75+$M75),"")</f>
        <v>18.1194</v>
      </c>
    </row>
    <row r="76" customFormat="false" ht="39" hidden="false" customHeight="true" outlineLevel="0" collapsed="false">
      <c r="A76" s="70" t="str">
        <f aca="false">IFERROR(IF(المنيو!$B76="","",المنيو!$A76),"")</f>
        <v>قسم المشروبات</v>
      </c>
      <c r="B76" s="70" t="str">
        <f aca="false">IFERROR(المنيو!$B76,"")</f>
        <v>بيبسي لتر</v>
      </c>
      <c r="C76" s="13" t="n">
        <f aca="false">IFERROR(IF($B76="","",SUMIFS(الريسبي!$F$2:$F$1800,الريسبي!$A$2:$A$1800,$B76)),"")</f>
        <v>30</v>
      </c>
      <c r="D76" s="71" t="n">
        <f aca="false">IFERROR(IF($B76="","",المنيو!$C76),"")</f>
        <v>35</v>
      </c>
      <c r="E76" s="12" t="n">
        <f aca="false">IFERROR(IF(OR($B76="",$D76=0,$D76=""),"",$N76/$D76),"")</f>
        <v>0.883768571428571</v>
      </c>
      <c r="F76" s="76" t="n">
        <f aca="false">$F$2</f>
        <v>0.375</v>
      </c>
      <c r="G76" s="13" t="n">
        <f aca="false">IFERROR(IF($B76="","",$N76/$F76),"")</f>
        <v>82.4850666666667</v>
      </c>
      <c r="H76" s="13" t="n">
        <f aca="false">IFERROR(IF($B76="","",$D76-$N76),"")</f>
        <v>4.0681</v>
      </c>
      <c r="I76" s="12" t="n">
        <f aca="false">IFERROR(IF(OR($B76="",$D76=0,$D76=""),"",$H76/$D76),"")</f>
        <v>0.116231428571429</v>
      </c>
      <c r="J76" s="76" t="n">
        <f aca="false">$J$2</f>
        <v>0.25</v>
      </c>
      <c r="K76" s="12" t="n">
        <f aca="false">IFERROR(IF($B76="","",$E76+$J76),"")</f>
        <v>1.13376857142857</v>
      </c>
      <c r="L76" s="74" t="n">
        <f aca="false">IFERROR(IF(OR($B76="",$C76=0,$C76=""),"",$I76+ROW()*0.0000001),"")</f>
        <v>0.116239028571429</v>
      </c>
      <c r="M76" s="77" t="n">
        <f aca="false">$M$2</f>
        <v>0.9319</v>
      </c>
      <c r="N76" s="13" t="n">
        <f aca="false">IFERROR(IF($B76="","",$C76+$M76),"")</f>
        <v>30.9319</v>
      </c>
    </row>
    <row r="77" customFormat="false" ht="39" hidden="false" customHeight="true" outlineLevel="0" collapsed="false">
      <c r="A77" s="70" t="str">
        <f aca="false">IFERROR(IF(المنيو!$B77="","",المنيو!$A77),"")</f>
        <v>قسم البيتزا الصيامي</v>
      </c>
      <c r="B77" s="70" t="str">
        <f aca="false">IFERROR(المنيو!$B77,"")</f>
        <v>بيتزا مارجريتا صيامي وسط</v>
      </c>
      <c r="C77" s="13" t="n">
        <f aca="false">IFERROR(IF($B77="","",SUMIFS(الريسبي!$F$2:$F$1800,الريسبي!$A$2:$A$1800,$B77)),"")</f>
        <v>35.4165</v>
      </c>
      <c r="D77" s="71" t="n">
        <f aca="false">IFERROR(IF($B77="","",المنيو!$C77),"")</f>
        <v>90</v>
      </c>
      <c r="E77" s="12" t="n">
        <f aca="false">IFERROR(IF(OR($B77="",$D77=0,$D77=""),"",$N77/$D77),"")</f>
        <v>0.403871111111111</v>
      </c>
      <c r="F77" s="76" t="n">
        <f aca="false">$F$2</f>
        <v>0.375</v>
      </c>
      <c r="G77" s="13" t="n">
        <f aca="false">IFERROR(IF($B77="","",$N77/$F77),"")</f>
        <v>96.9290666666667</v>
      </c>
      <c r="H77" s="13" t="n">
        <f aca="false">IFERROR(IF($B77="","",$D77-$N77),"")</f>
        <v>53.6516</v>
      </c>
      <c r="I77" s="12" t="n">
        <f aca="false">IFERROR(IF(OR($B77="",$D77=0,$D77=""),"",$H77/$D77),"")</f>
        <v>0.596128888888889</v>
      </c>
      <c r="J77" s="76" t="n">
        <f aca="false">$J$2</f>
        <v>0.25</v>
      </c>
      <c r="K77" s="12" t="n">
        <f aca="false">IFERROR(IF($B77="","",$E77+$J77),"")</f>
        <v>0.653871111111111</v>
      </c>
      <c r="L77" s="74" t="n">
        <f aca="false">IFERROR(IF(OR($B77="",$C77=0,$C77=""),"",$I77+ROW()*0.0000001),"")</f>
        <v>0.596136588888889</v>
      </c>
      <c r="M77" s="77" t="n">
        <f aca="false">$M$2</f>
        <v>0.9319</v>
      </c>
      <c r="N77" s="13" t="n">
        <f aca="false">IFERROR(IF($B77="","",$C77+$M77),"")</f>
        <v>36.3484</v>
      </c>
    </row>
    <row r="78" customFormat="false" ht="39" hidden="false" customHeight="true" outlineLevel="0" collapsed="false">
      <c r="A78" s="70" t="str">
        <f aca="false">IFERROR(IF(المنيو!$B78="","",المنيو!$A78),"")</f>
        <v>قسم البيتزا الصيامي</v>
      </c>
      <c r="B78" s="70" t="str">
        <f aca="false">IFERROR(المنيو!$B78,"")</f>
        <v>بيتزا مارجريتا صيامي مخصوص</v>
      </c>
      <c r="C78" s="13" t="n">
        <f aca="false">IFERROR(IF($B78="","",SUMIFS(الريسبي!$F$2:$F$1800,الريسبي!$A$2:$A$1800,$B78)),"")</f>
        <v>48.1515</v>
      </c>
      <c r="D78" s="71" t="n">
        <f aca="false">IFERROR(IF($B78="","",المنيو!$C78),"")</f>
        <v>120</v>
      </c>
      <c r="E78" s="12" t="n">
        <f aca="false">IFERROR(IF(OR($B78="",$D78=0,$D78=""),"",$N78/$D78),"")</f>
        <v>0.409028333333333</v>
      </c>
      <c r="F78" s="76" t="n">
        <f aca="false">$F$2</f>
        <v>0.375</v>
      </c>
      <c r="G78" s="13" t="n">
        <f aca="false">IFERROR(IF($B78="","",$N78/$F78),"")</f>
        <v>130.889066666667</v>
      </c>
      <c r="H78" s="13" t="n">
        <f aca="false">IFERROR(IF($B78="","",$D78-$N78),"")</f>
        <v>70.9166</v>
      </c>
      <c r="I78" s="12" t="n">
        <f aca="false">IFERROR(IF(OR($B78="",$D78=0,$D78=""),"",$H78/$D78),"")</f>
        <v>0.590971666666667</v>
      </c>
      <c r="J78" s="76" t="n">
        <f aca="false">$J$2</f>
        <v>0.25</v>
      </c>
      <c r="K78" s="12" t="n">
        <f aca="false">IFERROR(IF($B78="","",$E78+$J78),"")</f>
        <v>0.659028333333333</v>
      </c>
      <c r="L78" s="74" t="n">
        <f aca="false">IFERROR(IF(OR($B78="",$C78=0,$C78=""),"",$I78+ROW()*0.0000001),"")</f>
        <v>0.590979466666667</v>
      </c>
      <c r="M78" s="77" t="n">
        <f aca="false">$M$2</f>
        <v>0.9319</v>
      </c>
      <c r="N78" s="13" t="n">
        <f aca="false">IFERROR(IF($B78="","",$C78+$M78),"")</f>
        <v>49.0834</v>
      </c>
    </row>
    <row r="79" customFormat="false" ht="39" hidden="false" customHeight="true" outlineLevel="0" collapsed="false">
      <c r="A79" s="70" t="str">
        <f aca="false">IFERROR(IF(المنيو!$B79="","",المنيو!$A79),"")</f>
        <v>قسم البيتزا الصيامي</v>
      </c>
      <c r="B79" s="70" t="str">
        <f aca="false">IFERROR(المنيو!$B79,"")</f>
        <v>بيتزا مشروم صيامي وسط</v>
      </c>
      <c r="C79" s="13" t="n">
        <f aca="false">IFERROR(IF($B79="","",SUMIFS(الريسبي!$F$2:$F$1800,الريسبي!$A$2:$A$1800,$B79)),"")</f>
        <v>50.53677</v>
      </c>
      <c r="D79" s="71" t="n">
        <f aca="false">IFERROR(IF($B79="","",المنيو!$C79),"")</f>
        <v>115</v>
      </c>
      <c r="E79" s="12" t="n">
        <f aca="false">IFERROR(IF(OR($B79="",$D79=0,$D79=""),"",$N79/$D79),"")</f>
        <v>0.447553652173913</v>
      </c>
      <c r="F79" s="76" t="n">
        <f aca="false">$F$2</f>
        <v>0.375</v>
      </c>
      <c r="G79" s="13" t="n">
        <f aca="false">IFERROR(IF($B79="","",$N79/$F79),"")</f>
        <v>137.249786666667</v>
      </c>
      <c r="H79" s="13" t="n">
        <f aca="false">IFERROR(IF($B79="","",$D79-$N79),"")</f>
        <v>63.53133</v>
      </c>
      <c r="I79" s="12" t="n">
        <f aca="false">IFERROR(IF(OR($B79="",$D79=0,$D79=""),"",$H79/$D79),"")</f>
        <v>0.552446347826087</v>
      </c>
      <c r="J79" s="76" t="n">
        <f aca="false">$J$2</f>
        <v>0.25</v>
      </c>
      <c r="K79" s="12" t="n">
        <f aca="false">IFERROR(IF($B79="","",$E79+$J79),"")</f>
        <v>0.697553652173913</v>
      </c>
      <c r="L79" s="74" t="n">
        <f aca="false">IFERROR(IF(OR($B79="",$C79=0,$C79=""),"",$I79+ROW()*0.0000001),"")</f>
        <v>0.552454247826087</v>
      </c>
      <c r="M79" s="77" t="n">
        <f aca="false">$M$2</f>
        <v>0.9319</v>
      </c>
      <c r="N79" s="13" t="n">
        <f aca="false">IFERROR(IF($B79="","",$C79+$M79),"")</f>
        <v>51.46867</v>
      </c>
    </row>
    <row r="80" customFormat="false" ht="39" hidden="false" customHeight="true" outlineLevel="0" collapsed="false">
      <c r="A80" s="70" t="str">
        <f aca="false">IFERROR(IF(المنيو!$B80="","",المنيو!$A80),"")</f>
        <v>قسم البيتزا الصيامي</v>
      </c>
      <c r="B80" s="70" t="str">
        <f aca="false">IFERROR(المنيو!$B80,"")</f>
        <v>بيتزا مشروم صيامي مخصوص</v>
      </c>
      <c r="C80" s="13" t="n">
        <f aca="false">IFERROR(IF($B80="","",SUMIFS(الريسبي!$F$2:$F$1800,الريسبي!$A$2:$A$1800,$B80)),"")</f>
        <v>70.831905</v>
      </c>
      <c r="D80" s="71" t="n">
        <f aca="false">IFERROR(IF($B80="","",المنيو!$C80),"")</f>
        <v>170</v>
      </c>
      <c r="E80" s="12" t="n">
        <f aca="false">IFERROR(IF(OR($B80="",$D80=0,$D80=""),"",$N80/$D80),"")</f>
        <v>0.422140029411765</v>
      </c>
      <c r="F80" s="76" t="n">
        <f aca="false">$F$2</f>
        <v>0.375</v>
      </c>
      <c r="G80" s="13" t="n">
        <f aca="false">IFERROR(IF($B80="","",$N80/$F80),"")</f>
        <v>191.370146666667</v>
      </c>
      <c r="H80" s="13" t="n">
        <f aca="false">IFERROR(IF($B80="","",$D80-$N80),"")</f>
        <v>98.236195</v>
      </c>
      <c r="I80" s="12" t="n">
        <f aca="false">IFERROR(IF(OR($B80="",$D80=0,$D80=""),"",$H80/$D80),"")</f>
        <v>0.577859970588235</v>
      </c>
      <c r="J80" s="76" t="n">
        <f aca="false">$J$2</f>
        <v>0.25</v>
      </c>
      <c r="K80" s="12" t="n">
        <f aca="false">IFERROR(IF($B80="","",$E80+$J80),"")</f>
        <v>0.672140029411765</v>
      </c>
      <c r="L80" s="74" t="n">
        <f aca="false">IFERROR(IF(OR($B80="",$C80=0,$C80=""),"",$I80+ROW()*0.0000001),"")</f>
        <v>0.577867970588235</v>
      </c>
      <c r="M80" s="77" t="n">
        <f aca="false">$M$2</f>
        <v>0.9319</v>
      </c>
      <c r="N80" s="13" t="n">
        <f aca="false">IFERROR(IF($B80="","",$C80+$M80),"")</f>
        <v>71.763805</v>
      </c>
    </row>
    <row r="81" customFormat="false" ht="39" hidden="false" customHeight="true" outlineLevel="0" collapsed="false">
      <c r="A81" s="70" t="str">
        <f aca="false">IFERROR(IF(المنيو!$B81="","",المنيو!$A81),"")</f>
        <v>قسم البيتزا الصيامي</v>
      </c>
      <c r="B81" s="70" t="str">
        <f aca="false">IFERROR(المنيو!$B81,"")</f>
        <v>بيتزا سوسيس صيامي وسط</v>
      </c>
      <c r="C81" s="13" t="n">
        <f aca="false">IFERROR(IF($B81="","",SUMIFS(الريسبي!$F$2:$F$1800,الريسبي!$A$2:$A$1800,$B81)),"")</f>
        <v>61.8189</v>
      </c>
      <c r="D81" s="71" t="n">
        <f aca="false">IFERROR(IF($B81="","",المنيو!$C81),"")</f>
        <v>120</v>
      </c>
      <c r="E81" s="12" t="n">
        <f aca="false">IFERROR(IF(OR($B81="",$D81=0,$D81=""),"",$N81/$D81),"")</f>
        <v>0.522923333333333</v>
      </c>
      <c r="F81" s="76" t="n">
        <f aca="false">$F$2</f>
        <v>0.375</v>
      </c>
      <c r="G81" s="13" t="n">
        <f aca="false">IFERROR(IF($B81="","",$N81/$F81),"")</f>
        <v>167.335466666667</v>
      </c>
      <c r="H81" s="13" t="n">
        <f aca="false">IFERROR(IF($B81="","",$D81-$N81),"")</f>
        <v>57.2492</v>
      </c>
      <c r="I81" s="12" t="n">
        <f aca="false">IFERROR(IF(OR($B81="",$D81=0,$D81=""),"",$H81/$D81),"")</f>
        <v>0.477076666666667</v>
      </c>
      <c r="J81" s="76" t="n">
        <f aca="false">$J$2</f>
        <v>0.25</v>
      </c>
      <c r="K81" s="12" t="n">
        <f aca="false">IFERROR(IF($B81="","",$E81+$J81),"")</f>
        <v>0.772923333333333</v>
      </c>
      <c r="L81" s="74" t="n">
        <f aca="false">IFERROR(IF(OR($B81="",$C81=0,$C81=""),"",$I81+ROW()*0.0000001),"")</f>
        <v>0.477084766666667</v>
      </c>
      <c r="M81" s="77" t="n">
        <f aca="false">$M$2</f>
        <v>0.9319</v>
      </c>
      <c r="N81" s="13" t="n">
        <f aca="false">IFERROR(IF($B81="","",$C81+$M81),"")</f>
        <v>62.7508</v>
      </c>
    </row>
    <row r="82" customFormat="false" ht="39" hidden="false" customHeight="true" outlineLevel="0" collapsed="false">
      <c r="A82" s="70" t="str">
        <f aca="false">IFERROR(IF(المنيو!$B82="","",المنيو!$A82),"")</f>
        <v>قسم البيتزا الصيامي</v>
      </c>
      <c r="B82" s="70" t="str">
        <f aca="false">IFERROR(المنيو!$B82,"")</f>
        <v>بيتزا سوسيس صيامي مخصوص</v>
      </c>
      <c r="C82" s="13" t="n">
        <f aca="false">IFERROR(IF($B82="","",SUMIFS(الريسبي!$F$2:$F$1800,الريسبي!$A$2:$A$1800,$B82)),"")</f>
        <v>87.7551</v>
      </c>
      <c r="D82" s="71" t="n">
        <f aca="false">IFERROR(IF($B82="","",المنيو!$C82),"")</f>
        <v>190</v>
      </c>
      <c r="E82" s="12" t="n">
        <f aca="false">IFERROR(IF(OR($B82="",$D82=0,$D82=""),"",$N82/$D82),"")</f>
        <v>0.466773684210526</v>
      </c>
      <c r="F82" s="76" t="n">
        <f aca="false">$F$2</f>
        <v>0.375</v>
      </c>
      <c r="G82" s="13" t="n">
        <f aca="false">IFERROR(IF($B82="","",$N82/$F82),"")</f>
        <v>236.498666666667</v>
      </c>
      <c r="H82" s="13" t="n">
        <f aca="false">IFERROR(IF($B82="","",$D82-$N82),"")</f>
        <v>101.313</v>
      </c>
      <c r="I82" s="12" t="n">
        <f aca="false">IFERROR(IF(OR($B82="",$D82=0,$D82=""),"",$H82/$D82),"")</f>
        <v>0.533226315789474</v>
      </c>
      <c r="J82" s="76" t="n">
        <f aca="false">$J$2</f>
        <v>0.25</v>
      </c>
      <c r="K82" s="12" t="n">
        <f aca="false">IFERROR(IF($B82="","",$E82+$J82),"")</f>
        <v>0.716773684210526</v>
      </c>
      <c r="L82" s="74" t="n">
        <f aca="false">IFERROR(IF(OR($B82="",$C82=0,$C82=""),"",$I82+ROW()*0.0000001),"")</f>
        <v>0.533234515789474</v>
      </c>
      <c r="M82" s="77" t="n">
        <f aca="false">$M$2</f>
        <v>0.9319</v>
      </c>
      <c r="N82" s="13" t="n">
        <f aca="false">IFERROR(IF($B82="","",$C82+$M82),"")</f>
        <v>88.687</v>
      </c>
    </row>
    <row r="83" customFormat="false" ht="39" hidden="false" customHeight="true" outlineLevel="0" collapsed="false">
      <c r="A83" s="70" t="str">
        <f aca="false">IFERROR(IF(المنيو!$B83="","",المنيو!$A83),"")</f>
        <v>قسم البيتزا الصيامي</v>
      </c>
      <c r="B83" s="70" t="str">
        <f aca="false">IFERROR(المنيو!$B83,"")</f>
        <v>بيتزا شاورما لحم / فراخ صيامي وسط</v>
      </c>
      <c r="C83" s="13" t="n">
        <f aca="false">IFERROR(IF($B83="","",SUMIFS(الريسبي!$F$2:$F$1800,الريسبي!$A$2:$A$1800,$B83)),"")</f>
        <v>66.1087</v>
      </c>
      <c r="D83" s="71" t="n">
        <f aca="false">IFERROR(IF($B83="","",المنيو!$C83),"")</f>
        <v>130</v>
      </c>
      <c r="E83" s="12" t="n">
        <f aca="false">IFERROR(IF(OR($B83="",$D83=0,$D83=""),"",$N83/$D83),"")</f>
        <v>0.515696923076923</v>
      </c>
      <c r="F83" s="76" t="n">
        <f aca="false">$F$2</f>
        <v>0.375</v>
      </c>
      <c r="G83" s="13" t="n">
        <f aca="false">IFERROR(IF($B83="","",$N83/$F83),"")</f>
        <v>178.774933333333</v>
      </c>
      <c r="H83" s="13" t="n">
        <f aca="false">IFERROR(IF($B83="","",$D83-$N83),"")</f>
        <v>62.9594</v>
      </c>
      <c r="I83" s="12" t="n">
        <f aca="false">IFERROR(IF(OR($B83="",$D83=0,$D83=""),"",$H83/$D83),"")</f>
        <v>0.484303076923077</v>
      </c>
      <c r="J83" s="76" t="n">
        <f aca="false">$J$2</f>
        <v>0.25</v>
      </c>
      <c r="K83" s="12" t="n">
        <f aca="false">IFERROR(IF($B83="","",$E83+$J83),"")</f>
        <v>0.765696923076923</v>
      </c>
      <c r="L83" s="74" t="n">
        <f aca="false">IFERROR(IF(OR($B83="",$C83=0,$C83=""),"",$I83+ROW()*0.0000001),"")</f>
        <v>0.484311376923077</v>
      </c>
      <c r="M83" s="77" t="n">
        <f aca="false">$M$2</f>
        <v>0.9319</v>
      </c>
      <c r="N83" s="13" t="n">
        <f aca="false">IFERROR(IF($B83="","",$C83+$M83),"")</f>
        <v>67.0406</v>
      </c>
    </row>
    <row r="84" customFormat="false" ht="39" hidden="false" customHeight="true" outlineLevel="0" collapsed="false">
      <c r="A84" s="70" t="str">
        <f aca="false">IFERROR(IF(المنيو!$B84="","",المنيو!$A84),"")</f>
        <v>قسم البيتزا الصيامي</v>
      </c>
      <c r="B84" s="70" t="str">
        <f aca="false">IFERROR(المنيو!$B84,"")</f>
        <v>بيتزا شاورما لحم / فراخ صيامي مخصوص</v>
      </c>
      <c r="C84" s="13" t="n">
        <f aca="false">IFERROR(IF($B84="","",SUMIFS(الريسبي!$F$2:$F$1800,الريسبي!$A$2:$A$1800,$B84)),"")</f>
        <v>94.1898</v>
      </c>
      <c r="D84" s="71" t="n">
        <f aca="false">IFERROR(IF($B84="","",المنيو!$C84),"")</f>
        <v>200</v>
      </c>
      <c r="E84" s="12" t="n">
        <f aca="false">IFERROR(IF(OR($B84="",$D84=0,$D84=""),"",$N84/$D84),"")</f>
        <v>0.4756085</v>
      </c>
      <c r="F84" s="76" t="n">
        <f aca="false">$F$2</f>
        <v>0.375</v>
      </c>
      <c r="G84" s="13" t="n">
        <f aca="false">IFERROR(IF($B84="","",$N84/$F84),"")</f>
        <v>253.657866666667</v>
      </c>
      <c r="H84" s="13" t="n">
        <f aca="false">IFERROR(IF($B84="","",$D84-$N84),"")</f>
        <v>104.8783</v>
      </c>
      <c r="I84" s="12" t="n">
        <f aca="false">IFERROR(IF(OR($B84="",$D84=0,$D84=""),"",$H84/$D84),"")</f>
        <v>0.5243915</v>
      </c>
      <c r="J84" s="76" t="n">
        <f aca="false">$J$2</f>
        <v>0.25</v>
      </c>
      <c r="K84" s="12" t="n">
        <f aca="false">IFERROR(IF($B84="","",$E84+$J84),"")</f>
        <v>0.7256085</v>
      </c>
      <c r="L84" s="74" t="n">
        <f aca="false">IFERROR(IF(OR($B84="",$C84=0,$C84=""),"",$I84+ROW()*0.0000001),"")</f>
        <v>0.5243999</v>
      </c>
      <c r="M84" s="77" t="n">
        <f aca="false">$M$2</f>
        <v>0.9319</v>
      </c>
      <c r="N84" s="13" t="n">
        <f aca="false">IFERROR(IF($B84="","",$C84+$M84),"")</f>
        <v>95.1217</v>
      </c>
    </row>
    <row r="85" customFormat="false" ht="39" hidden="false" customHeight="true" outlineLevel="0" collapsed="false">
      <c r="A85" s="70" t="str">
        <f aca="false">IFERROR(IF(المنيو!$B85="","",المنيو!$A85),"")</f>
        <v>قسم البيتزا الصيامي</v>
      </c>
      <c r="B85" s="70" t="str">
        <f aca="false">IFERROR(المنيو!$B85,"")</f>
        <v>بيتزا مشكل جبن صيامي وسط</v>
      </c>
      <c r="C85" s="13" t="n">
        <f aca="false">IFERROR(IF($B85="","",SUMIFS(الريسبي!$F$2:$F$1800,الريسبي!$A$2:$A$1800,$B85)),"")</f>
        <v>45.9165</v>
      </c>
      <c r="D85" s="71" t="n">
        <f aca="false">IFERROR(IF($B85="","",المنيو!$C85),"")</f>
        <v>130</v>
      </c>
      <c r="E85" s="12" t="n">
        <f aca="false">IFERROR(IF(OR($B85="",$D85=0,$D85=""),"",$N85/$D85),"")</f>
        <v>0.360372307692308</v>
      </c>
      <c r="F85" s="76" t="n">
        <f aca="false">$F$2</f>
        <v>0.375</v>
      </c>
      <c r="G85" s="13" t="n">
        <f aca="false">IFERROR(IF($B85="","",$N85/$F85),"")</f>
        <v>124.929066666667</v>
      </c>
      <c r="H85" s="13" t="n">
        <f aca="false">IFERROR(IF($B85="","",$D85-$N85),"")</f>
        <v>83.1516</v>
      </c>
      <c r="I85" s="12" t="n">
        <f aca="false">IFERROR(IF(OR($B85="",$D85=0,$D85=""),"",$H85/$D85),"")</f>
        <v>0.639627692307692</v>
      </c>
      <c r="J85" s="76" t="n">
        <f aca="false">$J$2</f>
        <v>0.25</v>
      </c>
      <c r="K85" s="12" t="n">
        <f aca="false">IFERROR(IF($B85="","",$E85+$J85),"")</f>
        <v>0.610372307692308</v>
      </c>
      <c r="L85" s="74" t="n">
        <f aca="false">IFERROR(IF(OR($B85="",$C85=0,$C85=""),"",$I85+ROW()*0.0000001),"")</f>
        <v>0.639636192307692</v>
      </c>
      <c r="M85" s="77" t="n">
        <f aca="false">$M$2</f>
        <v>0.9319</v>
      </c>
      <c r="N85" s="13" t="n">
        <f aca="false">IFERROR(IF($B85="","",$C85+$M85),"")</f>
        <v>46.8484</v>
      </c>
    </row>
    <row r="86" customFormat="false" ht="39" hidden="false" customHeight="true" outlineLevel="0" collapsed="false">
      <c r="A86" s="70" t="str">
        <f aca="false">IFERROR(IF(المنيو!$B86="","",المنيو!$A86),"")</f>
        <v>قسم البيتزا الصيامي</v>
      </c>
      <c r="B86" s="70" t="str">
        <f aca="false">IFERROR(المنيو!$B86,"")</f>
        <v>بيتزا مشكل جبن صيامي مخصوص</v>
      </c>
      <c r="C86" s="13" t="n">
        <f aca="false">IFERROR(IF($B86="","",SUMIFS(الريسبي!$F$2:$F$1800,الريسبي!$A$2:$A$1800,$B86)),"")</f>
        <v>63.9015</v>
      </c>
      <c r="D86" s="71" t="n">
        <f aca="false">IFERROR(IF($B86="","",المنيو!$C86),"")</f>
        <v>190</v>
      </c>
      <c r="E86" s="12" t="n">
        <f aca="false">IFERROR(IF(OR($B86="",$D86=0,$D86=""),"",$N86/$D86),"")</f>
        <v>0.341228421052632</v>
      </c>
      <c r="F86" s="76" t="n">
        <f aca="false">$F$2</f>
        <v>0.375</v>
      </c>
      <c r="G86" s="13" t="n">
        <f aca="false">IFERROR(IF($B86="","",$N86/$F86),"")</f>
        <v>172.889066666667</v>
      </c>
      <c r="H86" s="13" t="n">
        <f aca="false">IFERROR(IF($B86="","",$D86-$N86),"")</f>
        <v>125.1666</v>
      </c>
      <c r="I86" s="12" t="n">
        <f aca="false">IFERROR(IF(OR($B86="",$D86=0,$D86=""),"",$H86/$D86),"")</f>
        <v>0.658771578947369</v>
      </c>
      <c r="J86" s="76" t="n">
        <f aca="false">$J$2</f>
        <v>0.25</v>
      </c>
      <c r="K86" s="12" t="n">
        <f aca="false">IFERROR(IF($B86="","",$E86+$J86),"")</f>
        <v>0.591228421052632</v>
      </c>
      <c r="L86" s="74" t="n">
        <f aca="false">IFERROR(IF(OR($B86="",$C86=0,$C86=""),"",$I86+ROW()*0.0000001),"")</f>
        <v>0.658780178947369</v>
      </c>
      <c r="M86" s="77" t="n">
        <f aca="false">$M$2</f>
        <v>0.9319</v>
      </c>
      <c r="N86" s="13" t="n">
        <f aca="false">IFERROR(IF($B86="","",$C86+$M86),"")</f>
        <v>64.8334</v>
      </c>
    </row>
    <row r="87" customFormat="false" ht="39" hidden="false" customHeight="true" outlineLevel="0" collapsed="false">
      <c r="A87" s="70" t="str">
        <f aca="false">IFERROR(IF(المنيو!$B87="","",المنيو!$A87),"")</f>
        <v>قسم البيتزا الصيامي</v>
      </c>
      <c r="B87" s="70" t="str">
        <f aca="false">IFERROR(المنيو!$B87,"")</f>
        <v>بيتزا فراخ باربيكيو صيامي وسط</v>
      </c>
      <c r="C87" s="13" t="n">
        <f aca="false">IFERROR(IF($B87="","",SUMIFS(الريسبي!$F$2:$F$1800,الريسبي!$A$2:$A$1800,$B87)),"")</f>
        <v>68.9942</v>
      </c>
      <c r="D87" s="71" t="n">
        <f aca="false">IFERROR(IF($B87="","",المنيو!$C87),"")</f>
        <v>155</v>
      </c>
      <c r="E87" s="12" t="n">
        <f aca="false">IFERROR(IF(OR($B87="",$D87=0,$D87=""),"",$N87/$D87),"")</f>
        <v>0.451136129032258</v>
      </c>
      <c r="F87" s="76" t="n">
        <f aca="false">$F$2</f>
        <v>0.375</v>
      </c>
      <c r="G87" s="13" t="n">
        <f aca="false">IFERROR(IF($B87="","",$N87/$F87),"")</f>
        <v>186.4696</v>
      </c>
      <c r="H87" s="13" t="n">
        <f aca="false">IFERROR(IF($B87="","",$D87-$N87),"")</f>
        <v>85.0739</v>
      </c>
      <c r="I87" s="12" t="n">
        <f aca="false">IFERROR(IF(OR($B87="",$D87=0,$D87=""),"",$H87/$D87),"")</f>
        <v>0.548863870967742</v>
      </c>
      <c r="J87" s="76" t="n">
        <f aca="false">$J$2</f>
        <v>0.25</v>
      </c>
      <c r="K87" s="12" t="n">
        <f aca="false">IFERROR(IF($B87="","",$E87+$J87),"")</f>
        <v>0.701136129032258</v>
      </c>
      <c r="L87" s="74" t="n">
        <f aca="false">IFERROR(IF(OR($B87="",$C87=0,$C87=""),"",$I87+ROW()*0.0000001),"")</f>
        <v>0.548872570967742</v>
      </c>
      <c r="M87" s="77" t="n">
        <f aca="false">$M$2</f>
        <v>0.9319</v>
      </c>
      <c r="N87" s="13" t="n">
        <f aca="false">IFERROR(IF($B87="","",$C87+$M87),"")</f>
        <v>69.9261</v>
      </c>
    </row>
    <row r="88" customFormat="false" ht="39" hidden="false" customHeight="true" outlineLevel="0" collapsed="false">
      <c r="A88" s="70" t="str">
        <f aca="false">IFERROR(IF(المنيو!$B88="","",المنيو!$A88),"")</f>
        <v>قسم البيتزا الصيامي</v>
      </c>
      <c r="B88" s="70" t="str">
        <f aca="false">IFERROR(المنيو!$B88,"")</f>
        <v>بيتزا فراخ باربيكيو صيامي مخصوص</v>
      </c>
      <c r="C88" s="13" t="n">
        <f aca="false">IFERROR(IF($B88="","",SUMIFS(الريسبي!$F$2:$F$1800,الريسبي!$A$2:$A$1800,$B88)),"")</f>
        <v>95.7292</v>
      </c>
      <c r="D88" s="71" t="n">
        <f aca="false">IFERROR(IF($B88="","",المنيو!$C88),"")</f>
        <v>230</v>
      </c>
      <c r="E88" s="12" t="n">
        <f aca="false">IFERROR(IF(OR($B88="",$D88=0,$D88=""),"",$N88/$D88),"")</f>
        <v>0.420265652173913</v>
      </c>
      <c r="F88" s="76" t="n">
        <f aca="false">$F$2</f>
        <v>0.375</v>
      </c>
      <c r="G88" s="13" t="n">
        <f aca="false">IFERROR(IF($B88="","",$N88/$F88),"")</f>
        <v>257.762933333333</v>
      </c>
      <c r="H88" s="13" t="n">
        <f aca="false">IFERROR(IF($B88="","",$D88-$N88),"")</f>
        <v>133.3389</v>
      </c>
      <c r="I88" s="12" t="n">
        <f aca="false">IFERROR(IF(OR($B88="",$D88=0,$D88=""),"",$H88/$D88),"")</f>
        <v>0.579734347826087</v>
      </c>
      <c r="J88" s="76" t="n">
        <f aca="false">$J$2</f>
        <v>0.25</v>
      </c>
      <c r="K88" s="12" t="n">
        <f aca="false">IFERROR(IF($B88="","",$E88+$J88),"")</f>
        <v>0.670265652173913</v>
      </c>
      <c r="L88" s="74" t="n">
        <f aca="false">IFERROR(IF(OR($B88="",$C88=0,$C88=""),"",$I88+ROW()*0.0000001),"")</f>
        <v>0.579743147826087</v>
      </c>
      <c r="M88" s="77" t="n">
        <f aca="false">$M$2</f>
        <v>0.9319</v>
      </c>
      <c r="N88" s="13" t="n">
        <f aca="false">IFERROR(IF($B88="","",$C88+$M88),"")</f>
        <v>96.6611</v>
      </c>
    </row>
    <row r="89" customFormat="false" ht="39" hidden="false" customHeight="true" outlineLevel="0" collapsed="false">
      <c r="A89" s="70" t="str">
        <f aca="false">IFERROR(IF(المنيو!$B89="","",المنيو!$A89),"")</f>
        <v>قسم البيتزا الصيامي</v>
      </c>
      <c r="B89" s="70" t="str">
        <f aca="false">IFERROR(المنيو!$B89,"")</f>
        <v>بيتزا جمبري صيامي وسط</v>
      </c>
      <c r="C89" s="13" t="n">
        <f aca="false">IFERROR(IF($B89="","",SUMIFS(الريسبي!$F$2:$F$1800,الريسبي!$A$2:$A$1800,$B89)),"")</f>
        <v>130.4165</v>
      </c>
      <c r="D89" s="71" t="n">
        <f aca="false">IFERROR(IF($B89="","",المنيو!$C89),"")</f>
        <v>240</v>
      </c>
      <c r="E89" s="12" t="n">
        <f aca="false">IFERROR(IF(OR($B89="",$D89=0,$D89=""),"",$N89/$D89),"")</f>
        <v>0.547285</v>
      </c>
      <c r="F89" s="76" t="n">
        <f aca="false">$F$2</f>
        <v>0.375</v>
      </c>
      <c r="G89" s="13" t="n">
        <f aca="false">IFERROR(IF($B89="","",$N89/$F89),"")</f>
        <v>350.2624</v>
      </c>
      <c r="H89" s="13" t="n">
        <f aca="false">IFERROR(IF($B89="","",$D89-$N89),"")</f>
        <v>108.6516</v>
      </c>
      <c r="I89" s="12" t="n">
        <f aca="false">IFERROR(IF(OR($B89="",$D89=0,$D89=""),"",$H89/$D89),"")</f>
        <v>0.452715</v>
      </c>
      <c r="J89" s="76" t="n">
        <f aca="false">$J$2</f>
        <v>0.25</v>
      </c>
      <c r="K89" s="12" t="n">
        <f aca="false">IFERROR(IF($B89="","",$E89+$J89),"")</f>
        <v>0.797285</v>
      </c>
      <c r="L89" s="74" t="n">
        <f aca="false">IFERROR(IF(OR($B89="",$C89=0,$C89=""),"",$I89+ROW()*0.0000001),"")</f>
        <v>0.4527239</v>
      </c>
      <c r="M89" s="77" t="n">
        <f aca="false">$M$2</f>
        <v>0.9319</v>
      </c>
      <c r="N89" s="13" t="n">
        <f aca="false">IFERROR(IF($B89="","",$C89+$M89),"")</f>
        <v>131.3484</v>
      </c>
    </row>
    <row r="90" customFormat="false" ht="39" hidden="false" customHeight="true" outlineLevel="0" collapsed="false">
      <c r="A90" s="70" t="str">
        <f aca="false">IFERROR(IF(المنيو!$B90="","",المنيو!$A90),"")</f>
        <v>قسم البيتزا الصيامي</v>
      </c>
      <c r="B90" s="70" t="str">
        <f aca="false">IFERROR(المنيو!$B90,"")</f>
        <v>بيتزا جمبري صيامي مخصوص</v>
      </c>
      <c r="C90" s="13" t="n">
        <f aca="false">IFERROR(IF($B90="","",SUMIFS(الريسبي!$F$2:$F$1800,الريسبي!$A$2:$A$1800,$B90)),"")</f>
        <v>190.6515</v>
      </c>
      <c r="D90" s="71" t="n">
        <f aca="false">IFERROR(IF($B90="","",المنيو!$C90),"")</f>
        <v>360</v>
      </c>
      <c r="E90" s="12" t="n">
        <f aca="false">IFERROR(IF(OR($B90="",$D90=0,$D90=""),"",$N90/$D90),"")</f>
        <v>0.532176111111111</v>
      </c>
      <c r="F90" s="76" t="n">
        <f aca="false">$F$2</f>
        <v>0.375</v>
      </c>
      <c r="G90" s="13" t="n">
        <f aca="false">IFERROR(IF($B90="","",$N90/$F90),"")</f>
        <v>510.889066666667</v>
      </c>
      <c r="H90" s="13" t="n">
        <f aca="false">IFERROR(IF($B90="","",$D90-$N90),"")</f>
        <v>168.4166</v>
      </c>
      <c r="I90" s="12" t="n">
        <f aca="false">IFERROR(IF(OR($B90="",$D90=0,$D90=""),"",$H90/$D90),"")</f>
        <v>0.467823888888889</v>
      </c>
      <c r="J90" s="76" t="n">
        <f aca="false">$J$2</f>
        <v>0.25</v>
      </c>
      <c r="K90" s="12" t="n">
        <f aca="false">IFERROR(IF($B90="","",$E90+$J90),"")</f>
        <v>0.782176111111111</v>
      </c>
      <c r="L90" s="74" t="n">
        <f aca="false">IFERROR(IF(OR($B90="",$C90=0,$C90=""),"",$I90+ROW()*0.0000001),"")</f>
        <v>0.467832888888889</v>
      </c>
      <c r="M90" s="77" t="n">
        <f aca="false">$M$2</f>
        <v>0.9319</v>
      </c>
      <c r="N90" s="13" t="n">
        <f aca="false">IFERROR(IF($B90="","",$C90+$M90),"")</f>
        <v>191.5834</v>
      </c>
    </row>
    <row r="91" customFormat="false" ht="39" hidden="false" customHeight="true" outlineLevel="0" collapsed="false">
      <c r="A91" s="70" t="str">
        <f aca="false">IFERROR(IF(المنيو!$B91="","",المنيو!$A91),"")</f>
        <v>قسم البيتزا الصيامي</v>
      </c>
      <c r="B91" s="70" t="str">
        <f aca="false">IFERROR(المنيو!$B91,"")</f>
        <v>بيتزا تونة صيامي وسط</v>
      </c>
      <c r="C91" s="13" t="n">
        <f aca="false">IFERROR(IF($B91="","",SUMIFS(الريسبي!$F$2:$F$1800,الريسبي!$A$2:$A$1800,$B91)),"")</f>
        <v>77.4465</v>
      </c>
      <c r="D91" s="71" t="n">
        <f aca="false">IFERROR(IF($B91="","",المنيو!$C91),"")</f>
        <v>180</v>
      </c>
      <c r="E91" s="12" t="n">
        <f aca="false">IFERROR(IF(OR($B91="",$D91=0,$D91=""),"",$N91/$D91),"")</f>
        <v>0.435435555555556</v>
      </c>
      <c r="F91" s="76" t="n">
        <f aca="false">$F$2</f>
        <v>0.375</v>
      </c>
      <c r="G91" s="13" t="n">
        <f aca="false">IFERROR(IF($B91="","",$N91/$F91),"")</f>
        <v>209.009066666667</v>
      </c>
      <c r="H91" s="13" t="n">
        <f aca="false">IFERROR(IF($B91="","",$D91-$N91),"")</f>
        <v>101.6216</v>
      </c>
      <c r="I91" s="12" t="n">
        <f aca="false">IFERROR(IF(OR($B91="",$D91=0,$D91=""),"",$H91/$D91),"")</f>
        <v>0.564564444444444</v>
      </c>
      <c r="J91" s="76" t="n">
        <f aca="false">$J$2</f>
        <v>0.25</v>
      </c>
      <c r="K91" s="12" t="n">
        <f aca="false">IFERROR(IF($B91="","",$E91+$J91),"")</f>
        <v>0.685435555555556</v>
      </c>
      <c r="L91" s="74" t="n">
        <f aca="false">IFERROR(IF(OR($B91="",$C91=0,$C91=""),"",$I91+ROW()*0.0000001),"")</f>
        <v>0.564573544444444</v>
      </c>
      <c r="M91" s="77" t="n">
        <f aca="false">$M$2</f>
        <v>0.9319</v>
      </c>
      <c r="N91" s="13" t="n">
        <f aca="false">IFERROR(IF($B91="","",$C91+$M91),"")</f>
        <v>78.3784</v>
      </c>
    </row>
    <row r="92" customFormat="false" ht="39" hidden="false" customHeight="true" outlineLevel="0" collapsed="false">
      <c r="A92" s="70" t="str">
        <f aca="false">IFERROR(IF(المنيو!$B92="","",المنيو!$A92),"")</f>
        <v>قسم البيتزا الصيامي</v>
      </c>
      <c r="B92" s="70" t="str">
        <f aca="false">IFERROR(المنيو!$B92,"")</f>
        <v>بيتزا تونة صيامي مخصوص</v>
      </c>
      <c r="C92" s="13" t="n">
        <f aca="false">IFERROR(IF($B92="","",SUMIFS(الريسبي!$F$2:$F$1800,الريسبي!$A$2:$A$1800,$B92)),"")</f>
        <v>111.1965</v>
      </c>
      <c r="D92" s="71" t="n">
        <f aca="false">IFERROR(IF($B92="","",المنيو!$C92),"")</f>
        <v>250</v>
      </c>
      <c r="E92" s="12" t="n">
        <f aca="false">IFERROR(IF(OR($B92="",$D92=0,$D92=""),"",$N92/$D92),"")</f>
        <v>0.4485136</v>
      </c>
      <c r="F92" s="76" t="n">
        <f aca="false">$F$2</f>
        <v>0.375</v>
      </c>
      <c r="G92" s="13" t="n">
        <f aca="false">IFERROR(IF($B92="","",$N92/$F92),"")</f>
        <v>299.009066666667</v>
      </c>
      <c r="H92" s="13" t="n">
        <f aca="false">IFERROR(IF($B92="","",$D92-$N92),"")</f>
        <v>137.8716</v>
      </c>
      <c r="I92" s="12" t="n">
        <f aca="false">IFERROR(IF(OR($B92="",$D92=0,$D92=""),"",$H92/$D92),"")</f>
        <v>0.5514864</v>
      </c>
      <c r="J92" s="76" t="n">
        <f aca="false">$J$2</f>
        <v>0.25</v>
      </c>
      <c r="K92" s="12" t="n">
        <f aca="false">IFERROR(IF($B92="","",$E92+$J92),"")</f>
        <v>0.6985136</v>
      </c>
      <c r="L92" s="74" t="n">
        <f aca="false">IFERROR(IF(OR($B92="",$C92=0,$C92=""),"",$I92+ROW()*0.0000001),"")</f>
        <v>0.5514956</v>
      </c>
      <c r="M92" s="77" t="n">
        <f aca="false">$M$2</f>
        <v>0.9319</v>
      </c>
      <c r="N92" s="13" t="n">
        <f aca="false">IFERROR(IF($B92="","",$C92+$M92),"")</f>
        <v>112.1284</v>
      </c>
    </row>
    <row r="93" customFormat="false" ht="39" hidden="false" customHeight="true" outlineLevel="0" collapsed="false">
      <c r="A93" s="70" t="str">
        <f aca="false">IFERROR(IF(المنيو!$B93="","",المنيو!$A93),"")</f>
        <v>قسم الفطير الحادق الصيامي</v>
      </c>
      <c r="B93" s="70" t="str">
        <f aca="false">IFERROR(المنيو!$B93,"")</f>
        <v>فطيرة خضروات صيامي وسط</v>
      </c>
      <c r="C93" s="13" t="n">
        <f aca="false">IFERROR(IF($B93="","",SUMIFS(الريسبي!$F$2:$F$1800,الريسبي!$A$2:$A$1800,$B93)),"")</f>
        <v>33.2965</v>
      </c>
      <c r="D93" s="71" t="n">
        <f aca="false">IFERROR(IF($B93="","",المنيو!$C93),"")</f>
        <v>90</v>
      </c>
      <c r="E93" s="12" t="n">
        <f aca="false">IFERROR(IF(OR($B93="",$D93=0,$D93=""),"",$N93/$D93),"")</f>
        <v>0.380315555555556</v>
      </c>
      <c r="F93" s="76" t="n">
        <f aca="false">$F$2</f>
        <v>0.375</v>
      </c>
      <c r="G93" s="13" t="n">
        <f aca="false">IFERROR(IF($B93="","",$N93/$F93),"")</f>
        <v>91.2757333333333</v>
      </c>
      <c r="H93" s="13" t="n">
        <f aca="false">IFERROR(IF($B93="","",$D93-$N93),"")</f>
        <v>55.7716</v>
      </c>
      <c r="I93" s="12" t="n">
        <f aca="false">IFERROR(IF(OR($B93="",$D93=0,$D93=""),"",$H93/$D93),"")</f>
        <v>0.619684444444445</v>
      </c>
      <c r="J93" s="76" t="n">
        <f aca="false">$J$2</f>
        <v>0.25</v>
      </c>
      <c r="K93" s="12" t="n">
        <f aca="false">IFERROR(IF($B93="","",$E93+$J93),"")</f>
        <v>0.630315555555556</v>
      </c>
      <c r="L93" s="74" t="n">
        <f aca="false">IFERROR(IF(OR($B93="",$C93=0,$C93=""),"",$I93+ROW()*0.0000001),"")</f>
        <v>0.619693744444445</v>
      </c>
      <c r="M93" s="77" t="n">
        <f aca="false">$M$2</f>
        <v>0.9319</v>
      </c>
      <c r="N93" s="13" t="n">
        <f aca="false">IFERROR(IF($B93="","",$C93+$M93),"")</f>
        <v>34.2284</v>
      </c>
    </row>
    <row r="94" customFormat="false" ht="39" hidden="false" customHeight="true" outlineLevel="0" collapsed="false">
      <c r="A94" s="70" t="str">
        <f aca="false">IFERROR(IF(المنيو!$B94="","",المنيو!$A94),"")</f>
        <v>قسم الفطير الحادق الصيامي</v>
      </c>
      <c r="B94" s="70" t="str">
        <f aca="false">IFERROR(المنيو!$B94,"")</f>
        <v>فطيرة خضروات صيامي مخصوص</v>
      </c>
      <c r="C94" s="13" t="n">
        <f aca="false">IFERROR(IF($B94="","",SUMIFS(الريسبي!$F$2:$F$1800,الريسبي!$A$2:$A$1800,$B94)),"")</f>
        <v>45.6315</v>
      </c>
      <c r="D94" s="71" t="n">
        <f aca="false">IFERROR(IF($B94="","",المنيو!$C94),"")</f>
        <v>120</v>
      </c>
      <c r="E94" s="12" t="n">
        <f aca="false">IFERROR(IF(OR($B94="",$D94=0,$D94=""),"",$N94/$D94),"")</f>
        <v>0.388028333333333</v>
      </c>
      <c r="F94" s="76" t="n">
        <f aca="false">$F$2</f>
        <v>0.375</v>
      </c>
      <c r="G94" s="13" t="n">
        <f aca="false">IFERROR(IF($B94="","",$N94/$F94),"")</f>
        <v>124.169066666667</v>
      </c>
      <c r="H94" s="13" t="n">
        <f aca="false">IFERROR(IF($B94="","",$D94-$N94),"")</f>
        <v>73.4366</v>
      </c>
      <c r="I94" s="12" t="n">
        <f aca="false">IFERROR(IF(OR($B94="",$D94=0,$D94=""),"",$H94/$D94),"")</f>
        <v>0.611971666666667</v>
      </c>
      <c r="J94" s="76" t="n">
        <f aca="false">$J$2</f>
        <v>0.25</v>
      </c>
      <c r="K94" s="12" t="n">
        <f aca="false">IFERROR(IF($B94="","",$E94+$J94),"")</f>
        <v>0.638028333333333</v>
      </c>
      <c r="L94" s="74" t="n">
        <f aca="false">IFERROR(IF(OR($B94="",$C94=0,$C94=""),"",$I94+ROW()*0.0000001),"")</f>
        <v>0.611981066666667</v>
      </c>
      <c r="M94" s="77" t="n">
        <f aca="false">$M$2</f>
        <v>0.9319</v>
      </c>
      <c r="N94" s="13" t="n">
        <f aca="false">IFERROR(IF($B94="","",$C94+$M94),"")</f>
        <v>46.5634</v>
      </c>
    </row>
    <row r="95" customFormat="false" ht="39" hidden="false" customHeight="true" outlineLevel="0" collapsed="false">
      <c r="A95" s="70" t="str">
        <f aca="false">IFERROR(IF(المنيو!$B95="","",المنيو!$A95),"")</f>
        <v>قسم الفطير الحادق الصيامي</v>
      </c>
      <c r="B95" s="70" t="str">
        <f aca="false">IFERROR(المنيو!$B95,"")</f>
        <v>فطيرة مشروم صيامي وسط</v>
      </c>
      <c r="C95" s="13" t="n">
        <f aca="false">IFERROR(IF($B95="","",SUMIFS(الريسبي!$F$2:$F$1800,الريسبي!$A$2:$A$1800,$B95)),"")</f>
        <v>48.41677</v>
      </c>
      <c r="D95" s="71" t="n">
        <f aca="false">IFERROR(IF($B95="","",المنيو!$C95),"")</f>
        <v>115</v>
      </c>
      <c r="E95" s="12" t="n">
        <f aca="false">IFERROR(IF(OR($B95="",$D95=0,$D95=""),"",$N95/$D95),"")</f>
        <v>0.429118869565217</v>
      </c>
      <c r="F95" s="76" t="n">
        <f aca="false">$F$2</f>
        <v>0.375</v>
      </c>
      <c r="G95" s="13" t="n">
        <f aca="false">IFERROR(IF($B95="","",$N95/$F95),"")</f>
        <v>131.596453333333</v>
      </c>
      <c r="H95" s="13" t="n">
        <f aca="false">IFERROR(IF($B95="","",$D95-$N95),"")</f>
        <v>65.65133</v>
      </c>
      <c r="I95" s="12" t="n">
        <f aca="false">IFERROR(IF(OR($B95="",$D95=0,$D95=""),"",$H95/$D95),"")</f>
        <v>0.570881130434783</v>
      </c>
      <c r="J95" s="76" t="n">
        <f aca="false">$J$2</f>
        <v>0.25</v>
      </c>
      <c r="K95" s="12" t="n">
        <f aca="false">IFERROR(IF($B95="","",$E95+$J95),"")</f>
        <v>0.679118869565217</v>
      </c>
      <c r="L95" s="74" t="n">
        <f aca="false">IFERROR(IF(OR($B95="",$C95=0,$C95=""),"",$I95+ROW()*0.0000001),"")</f>
        <v>0.570890630434783</v>
      </c>
      <c r="M95" s="77" t="n">
        <f aca="false">$M$2</f>
        <v>0.9319</v>
      </c>
      <c r="N95" s="13" t="n">
        <f aca="false">IFERROR(IF($B95="","",$C95+$M95),"")</f>
        <v>49.34867</v>
      </c>
    </row>
    <row r="96" customFormat="false" ht="39" hidden="false" customHeight="true" outlineLevel="0" collapsed="false">
      <c r="A96" s="70" t="str">
        <f aca="false">IFERROR(IF(المنيو!$B96="","",المنيو!$A96),"")</f>
        <v>قسم الفطير الحادق الصيامي</v>
      </c>
      <c r="B96" s="70" t="str">
        <f aca="false">IFERROR(المنيو!$B96,"")</f>
        <v>فطيرة مشروم صيامي مخصوص</v>
      </c>
      <c r="C96" s="13" t="n">
        <f aca="false">IFERROR(IF($B96="","",SUMIFS(الريسبي!$F$2:$F$1800,الريسبي!$A$2:$A$1800,$B96)),"")</f>
        <v>68.311905</v>
      </c>
      <c r="D96" s="71" t="n">
        <f aca="false">IFERROR(IF($B96="","",المنيو!$C96),"")</f>
        <v>170</v>
      </c>
      <c r="E96" s="12" t="n">
        <f aca="false">IFERROR(IF(OR($B96="",$D96=0,$D96=""),"",$N96/$D96),"")</f>
        <v>0.4073165</v>
      </c>
      <c r="F96" s="76" t="n">
        <f aca="false">$F$2</f>
        <v>0.375</v>
      </c>
      <c r="G96" s="13" t="n">
        <f aca="false">IFERROR(IF($B96="","",$N96/$F96),"")</f>
        <v>184.650146666667</v>
      </c>
      <c r="H96" s="13" t="n">
        <f aca="false">IFERROR(IF($B96="","",$D96-$N96),"")</f>
        <v>100.756195</v>
      </c>
      <c r="I96" s="12" t="n">
        <f aca="false">IFERROR(IF(OR($B96="",$D96=0,$D96=""),"",$H96/$D96),"")</f>
        <v>0.5926835</v>
      </c>
      <c r="J96" s="76" t="n">
        <f aca="false">$J$2</f>
        <v>0.25</v>
      </c>
      <c r="K96" s="12" t="n">
        <f aca="false">IFERROR(IF($B96="","",$E96+$J96),"")</f>
        <v>0.6573165</v>
      </c>
      <c r="L96" s="74" t="n">
        <f aca="false">IFERROR(IF(OR($B96="",$C96=0,$C96=""),"",$I96+ROW()*0.0000001),"")</f>
        <v>0.5926931</v>
      </c>
      <c r="M96" s="77" t="n">
        <f aca="false">$M$2</f>
        <v>0.9319</v>
      </c>
      <c r="N96" s="13" t="n">
        <f aca="false">IFERROR(IF($B96="","",$C96+$M96),"")</f>
        <v>69.243805</v>
      </c>
    </row>
    <row r="97" customFormat="false" ht="39" hidden="false" customHeight="true" outlineLevel="0" collapsed="false">
      <c r="A97" s="70" t="str">
        <f aca="false">IFERROR(IF(المنيو!$B97="","",المنيو!$A97),"")</f>
        <v>قسم الفطير الحادق الصيامي</v>
      </c>
      <c r="B97" s="70" t="str">
        <f aca="false">IFERROR(المنيو!$B97,"")</f>
        <v>فطيرة سوسيس صيامي وسط</v>
      </c>
      <c r="C97" s="13" t="n">
        <f aca="false">IFERROR(IF($B97="","",SUMIFS(الريسبي!$F$2:$F$1800,الريسبي!$A$2:$A$1800,$B97)),"")</f>
        <v>59.6989</v>
      </c>
      <c r="D97" s="71" t="n">
        <f aca="false">IFERROR(IF($B97="","",المنيو!$C97),"")</f>
        <v>120</v>
      </c>
      <c r="E97" s="12" t="n">
        <f aca="false">IFERROR(IF(OR($B97="",$D97=0,$D97=""),"",$N97/$D97),"")</f>
        <v>0.505256666666667</v>
      </c>
      <c r="F97" s="76" t="n">
        <f aca="false">$F$2</f>
        <v>0.375</v>
      </c>
      <c r="G97" s="13" t="n">
        <f aca="false">IFERROR(IF($B97="","",$N97/$F97),"")</f>
        <v>161.682133333333</v>
      </c>
      <c r="H97" s="13" t="n">
        <f aca="false">IFERROR(IF($B97="","",$D97-$N97),"")</f>
        <v>59.3692</v>
      </c>
      <c r="I97" s="12" t="n">
        <f aca="false">IFERROR(IF(OR($B97="",$D97=0,$D97=""),"",$H97/$D97),"")</f>
        <v>0.494743333333333</v>
      </c>
      <c r="J97" s="76" t="n">
        <f aca="false">$J$2</f>
        <v>0.25</v>
      </c>
      <c r="K97" s="12" t="n">
        <f aca="false">IFERROR(IF($B97="","",$E97+$J97),"")</f>
        <v>0.755256666666667</v>
      </c>
      <c r="L97" s="74" t="n">
        <f aca="false">IFERROR(IF(OR($B97="",$C97=0,$C97=""),"",$I97+ROW()*0.0000001),"")</f>
        <v>0.494753033333333</v>
      </c>
      <c r="M97" s="77" t="n">
        <f aca="false">$M$2</f>
        <v>0.9319</v>
      </c>
      <c r="N97" s="13" t="n">
        <f aca="false">IFERROR(IF($B97="","",$C97+$M97),"")</f>
        <v>60.6308</v>
      </c>
    </row>
    <row r="98" customFormat="false" ht="39" hidden="false" customHeight="true" outlineLevel="0" collapsed="false">
      <c r="A98" s="70" t="str">
        <f aca="false">IFERROR(IF(المنيو!$B98="","",المنيو!$A98),"")</f>
        <v>قسم الفطير الحادق الصيامي</v>
      </c>
      <c r="B98" s="70" t="str">
        <f aca="false">IFERROR(المنيو!$B98,"")</f>
        <v>فطيرة سوسيس صيامي مخصوص</v>
      </c>
      <c r="C98" s="13" t="n">
        <f aca="false">IFERROR(IF($B98="","",SUMIFS(الريسبي!$F$2:$F$1800,الريسبي!$A$2:$A$1800,$B98)),"")</f>
        <v>85.2351</v>
      </c>
      <c r="D98" s="71" t="n">
        <f aca="false">IFERROR(IF($B98="","",المنيو!$C98),"")</f>
        <v>190</v>
      </c>
      <c r="E98" s="12" t="n">
        <f aca="false">IFERROR(IF(OR($B98="",$D98=0,$D98=""),"",$N98/$D98),"")</f>
        <v>0.45351052631579</v>
      </c>
      <c r="F98" s="76" t="n">
        <f aca="false">$F$2</f>
        <v>0.375</v>
      </c>
      <c r="G98" s="13" t="n">
        <f aca="false">IFERROR(IF($B98="","",$N98/$F98),"")</f>
        <v>229.778666666667</v>
      </c>
      <c r="H98" s="13" t="n">
        <f aca="false">IFERROR(IF($B98="","",$D98-$N98),"")</f>
        <v>103.833</v>
      </c>
      <c r="I98" s="12" t="n">
        <f aca="false">IFERROR(IF(OR($B98="",$D98=0,$D98=""),"",$H98/$D98),"")</f>
        <v>0.546489473684211</v>
      </c>
      <c r="J98" s="76" t="n">
        <f aca="false">$J$2</f>
        <v>0.25</v>
      </c>
      <c r="K98" s="12" t="n">
        <f aca="false">IFERROR(IF($B98="","",$E98+$J98),"")</f>
        <v>0.70351052631579</v>
      </c>
      <c r="L98" s="74" t="n">
        <f aca="false">IFERROR(IF(OR($B98="",$C98=0,$C98=""),"",$I98+ROW()*0.0000001),"")</f>
        <v>0.546499273684211</v>
      </c>
      <c r="M98" s="77" t="n">
        <f aca="false">$M$2</f>
        <v>0.9319</v>
      </c>
      <c r="N98" s="13" t="n">
        <f aca="false">IFERROR(IF($B98="","",$C98+$M98),"")</f>
        <v>86.167</v>
      </c>
    </row>
    <row r="99" customFormat="false" ht="39" hidden="false" customHeight="true" outlineLevel="0" collapsed="false">
      <c r="A99" s="70" t="str">
        <f aca="false">IFERROR(IF(المنيو!$B99="","",المنيو!$A99),"")</f>
        <v>قسم الفطير الحادق الصيامي</v>
      </c>
      <c r="B99" s="70" t="str">
        <f aca="false">IFERROR(المنيو!$B99,"")</f>
        <v>فطيرة شاورما لحم / فراخ صيامي وسط</v>
      </c>
      <c r="C99" s="13" t="n">
        <f aca="false">IFERROR(IF($B99="","",SUMIFS(الريسبي!$F$2:$F$1800,الريسبي!$A$2:$A$1800,$B99)),"")</f>
        <v>63.9887</v>
      </c>
      <c r="D99" s="71" t="n">
        <f aca="false">IFERROR(IF($B99="","",المنيو!$C99),"")</f>
        <v>130</v>
      </c>
      <c r="E99" s="12" t="n">
        <f aca="false">IFERROR(IF(OR($B99="",$D99=0,$D99=""),"",$N99/$D99),"")</f>
        <v>0.499389230769231</v>
      </c>
      <c r="F99" s="76" t="n">
        <f aca="false">$F$2</f>
        <v>0.375</v>
      </c>
      <c r="G99" s="13" t="n">
        <f aca="false">IFERROR(IF($B99="","",$N99/$F99),"")</f>
        <v>173.1216</v>
      </c>
      <c r="H99" s="13" t="n">
        <f aca="false">IFERROR(IF($B99="","",$D99-$N99),"")</f>
        <v>65.0794</v>
      </c>
      <c r="I99" s="12" t="n">
        <f aca="false">IFERROR(IF(OR($B99="",$D99=0,$D99=""),"",$H99/$D99),"")</f>
        <v>0.500610769230769</v>
      </c>
      <c r="J99" s="76" t="n">
        <f aca="false">$J$2</f>
        <v>0.25</v>
      </c>
      <c r="K99" s="12" t="n">
        <f aca="false">IFERROR(IF($B99="","",$E99+$J99),"")</f>
        <v>0.749389230769231</v>
      </c>
      <c r="L99" s="74" t="n">
        <f aca="false">IFERROR(IF(OR($B99="",$C99=0,$C99=""),"",$I99+ROW()*0.0000001),"")</f>
        <v>0.500620669230769</v>
      </c>
      <c r="M99" s="77" t="n">
        <f aca="false">$M$2</f>
        <v>0.9319</v>
      </c>
      <c r="N99" s="13" t="n">
        <f aca="false">IFERROR(IF($B99="","",$C99+$M99),"")</f>
        <v>64.9206</v>
      </c>
    </row>
    <row r="100" customFormat="false" ht="39" hidden="false" customHeight="true" outlineLevel="0" collapsed="false">
      <c r="A100" s="70" t="str">
        <f aca="false">IFERROR(IF(المنيو!$B100="","",المنيو!$A100),"")</f>
        <v>قسم الفطير الحادق الصيامي</v>
      </c>
      <c r="B100" s="70" t="str">
        <f aca="false">IFERROR(المنيو!$B100,"")</f>
        <v>فطيرة شاورما لحم / فراخ صيامي مخصوص</v>
      </c>
      <c r="C100" s="13" t="n">
        <f aca="false">IFERROR(IF($B100="","",SUMIFS(الريسبي!$F$2:$F$1800,الريسبي!$A$2:$A$1800,$B100)),"")</f>
        <v>91.6698</v>
      </c>
      <c r="D100" s="71" t="n">
        <f aca="false">IFERROR(IF($B100="","",المنيو!$C100),"")</f>
        <v>200</v>
      </c>
      <c r="E100" s="12" t="n">
        <f aca="false">IFERROR(IF(OR($B100="",$D100=0,$D100=""),"",$N100/$D100),"")</f>
        <v>0.4630085</v>
      </c>
      <c r="F100" s="76" t="n">
        <f aca="false">$F$2</f>
        <v>0.375</v>
      </c>
      <c r="G100" s="13" t="n">
        <f aca="false">IFERROR(IF($B100="","",$N100/$F100),"")</f>
        <v>246.937866666667</v>
      </c>
      <c r="H100" s="13" t="n">
        <f aca="false">IFERROR(IF($B100="","",$D100-$N100),"")</f>
        <v>107.3983</v>
      </c>
      <c r="I100" s="12" t="n">
        <f aca="false">IFERROR(IF(OR($B100="",$D100=0,$D100=""),"",$H100/$D100),"")</f>
        <v>0.5369915</v>
      </c>
      <c r="J100" s="76" t="n">
        <f aca="false">$J$2</f>
        <v>0.25</v>
      </c>
      <c r="K100" s="12" t="n">
        <f aca="false">IFERROR(IF($B100="","",$E100+$J100),"")</f>
        <v>0.7130085</v>
      </c>
      <c r="L100" s="74" t="n">
        <f aca="false">IFERROR(IF(OR($B100="",$C100=0,$C100=""),"",$I100+ROW()*0.0000001),"")</f>
        <v>0.5370015</v>
      </c>
      <c r="M100" s="77" t="n">
        <f aca="false">$M$2</f>
        <v>0.9319</v>
      </c>
      <c r="N100" s="13" t="n">
        <f aca="false">IFERROR(IF($B100="","",$C100+$M100),"")</f>
        <v>92.6017</v>
      </c>
    </row>
    <row r="101" customFormat="false" ht="39" hidden="false" customHeight="true" outlineLevel="0" collapsed="false">
      <c r="A101" s="70" t="str">
        <f aca="false">IFERROR(IF(المنيو!$B101="","",المنيو!$A101),"")</f>
        <v>قسم الفطير الحادق الصيامي</v>
      </c>
      <c r="B101" s="70" t="str">
        <f aca="false">IFERROR(المنيو!$B101,"")</f>
        <v>فطيرة مشكل لحوم صيامي وسط</v>
      </c>
      <c r="C101" s="13" t="n">
        <f aca="false">IFERROR(IF($B101="","",SUMIFS(الريسبي!$F$2:$F$1800,الريسبي!$A$2:$A$1800,$B101)),"")</f>
        <v>61.8438</v>
      </c>
      <c r="D101" s="71" t="n">
        <f aca="false">IFERROR(IF($B101="","",المنيو!$C101),"")</f>
        <v>160</v>
      </c>
      <c r="E101" s="12" t="n">
        <f aca="false">IFERROR(IF(OR($B101="",$D101=0,$D101=""),"",$N101/$D101),"")</f>
        <v>0.392348125</v>
      </c>
      <c r="F101" s="76" t="n">
        <f aca="false">$F$2</f>
        <v>0.375</v>
      </c>
      <c r="G101" s="13" t="n">
        <f aca="false">IFERROR(IF($B101="","",$N101/$F101),"")</f>
        <v>167.401866666667</v>
      </c>
      <c r="H101" s="13" t="n">
        <f aca="false">IFERROR(IF($B101="","",$D101-$N101),"")</f>
        <v>97.2243</v>
      </c>
      <c r="I101" s="12" t="n">
        <f aca="false">IFERROR(IF(OR($B101="",$D101=0,$D101=""),"",$H101/$D101),"")</f>
        <v>0.607651875</v>
      </c>
      <c r="J101" s="76" t="n">
        <f aca="false">$J$2</f>
        <v>0.25</v>
      </c>
      <c r="K101" s="12" t="n">
        <f aca="false">IFERROR(IF($B101="","",$E101+$J101),"")</f>
        <v>0.642348125</v>
      </c>
      <c r="L101" s="74" t="n">
        <f aca="false">IFERROR(IF(OR($B101="",$C101=0,$C101=""),"",$I101+ROW()*0.0000001),"")</f>
        <v>0.607661975</v>
      </c>
      <c r="M101" s="77" t="n">
        <f aca="false">$M$2</f>
        <v>0.9319</v>
      </c>
      <c r="N101" s="13" t="n">
        <f aca="false">IFERROR(IF($B101="","",$C101+$M101),"")</f>
        <v>62.7757</v>
      </c>
    </row>
    <row r="102" customFormat="false" ht="39" hidden="false" customHeight="true" outlineLevel="0" collapsed="false">
      <c r="A102" s="70" t="str">
        <f aca="false">IFERROR(IF(المنيو!$B102="","",المنيو!$A102),"")</f>
        <v>قسم الفطير الحادق الصيامي</v>
      </c>
      <c r="B102" s="70" t="str">
        <f aca="false">IFERROR(المنيو!$B102,"")</f>
        <v>فطيرة مشكل لحوم صيامي مخصوص</v>
      </c>
      <c r="C102" s="13" t="n">
        <f aca="false">IFERROR(IF($B102="","",SUMIFS(الريسبي!$F$2:$F$1800,الريسبي!$A$2:$A$1800,$B102)),"")</f>
        <v>88.45245</v>
      </c>
      <c r="D102" s="71" t="n">
        <f aca="false">IFERROR(IF($B102="","",المنيو!$C102),"")</f>
        <v>220</v>
      </c>
      <c r="E102" s="12" t="n">
        <f aca="false">IFERROR(IF(OR($B102="",$D102=0,$D102=""),"",$N102/$D102),"")</f>
        <v>0.4062925</v>
      </c>
      <c r="F102" s="76" t="n">
        <f aca="false">$F$2</f>
        <v>0.375</v>
      </c>
      <c r="G102" s="13" t="n">
        <f aca="false">IFERROR(IF($B102="","",$N102/$F102),"")</f>
        <v>238.358266666667</v>
      </c>
      <c r="H102" s="13" t="n">
        <f aca="false">IFERROR(IF($B102="","",$D102-$N102),"")</f>
        <v>130.61565</v>
      </c>
      <c r="I102" s="12" t="n">
        <f aca="false">IFERROR(IF(OR($B102="",$D102=0,$D102=""),"",$H102/$D102),"")</f>
        <v>0.5937075</v>
      </c>
      <c r="J102" s="76" t="n">
        <f aca="false">$J$2</f>
        <v>0.25</v>
      </c>
      <c r="K102" s="12" t="n">
        <f aca="false">IFERROR(IF($B102="","",$E102+$J102),"")</f>
        <v>0.6562925</v>
      </c>
      <c r="L102" s="74" t="n">
        <f aca="false">IFERROR(IF(OR($B102="",$C102=0,$C102=""),"",$I102+ROW()*0.0000001),"")</f>
        <v>0.5937177</v>
      </c>
      <c r="M102" s="77" t="n">
        <f aca="false">$M$2</f>
        <v>0.9319</v>
      </c>
      <c r="N102" s="13" t="n">
        <f aca="false">IFERROR(IF($B102="","",$C102+$M102),"")</f>
        <v>89.38435</v>
      </c>
    </row>
    <row r="103" customFormat="false" ht="39" hidden="false" customHeight="true" outlineLevel="0" collapsed="false">
      <c r="A103" s="70" t="str">
        <f aca="false">IFERROR(IF(المنيو!$B103="","",المنيو!$A103),"")</f>
        <v>قسم الفطير الحادق الصيامي</v>
      </c>
      <c r="B103" s="70" t="str">
        <f aca="false">IFERROR(المنيو!$B103,"")</f>
        <v>فطيرة مشكل جبن صيامي وسط</v>
      </c>
      <c r="C103" s="13" t="n">
        <f aca="false">IFERROR(IF($B103="","",SUMIFS(الريسبي!$F$2:$F$1800,الريسبي!$A$2:$A$1800,$B103)),"")</f>
        <v>43.7965</v>
      </c>
      <c r="D103" s="71" t="n">
        <f aca="false">IFERROR(IF($B103="","",المنيو!$C103),"")</f>
        <v>130</v>
      </c>
      <c r="E103" s="12" t="n">
        <f aca="false">IFERROR(IF(OR($B103="",$D103=0,$D103=""),"",$N103/$D103),"")</f>
        <v>0.344064615384615</v>
      </c>
      <c r="F103" s="76" t="n">
        <f aca="false">$F$2</f>
        <v>0.375</v>
      </c>
      <c r="G103" s="13" t="n">
        <f aca="false">IFERROR(IF($B103="","",$N103/$F103),"")</f>
        <v>119.275733333333</v>
      </c>
      <c r="H103" s="13" t="n">
        <f aca="false">IFERROR(IF($B103="","",$D103-$N103),"")</f>
        <v>85.2716</v>
      </c>
      <c r="I103" s="12" t="n">
        <f aca="false">IFERROR(IF(OR($B103="",$D103=0,$D103=""),"",$H103/$D103),"")</f>
        <v>0.655935384615385</v>
      </c>
      <c r="J103" s="76" t="n">
        <f aca="false">$J$2</f>
        <v>0.25</v>
      </c>
      <c r="K103" s="12" t="n">
        <f aca="false">IFERROR(IF($B103="","",$E103+$J103),"")</f>
        <v>0.594064615384615</v>
      </c>
      <c r="L103" s="74" t="n">
        <f aca="false">IFERROR(IF(OR($B103="",$C103=0,$C103=""),"",$I103+ROW()*0.0000001),"")</f>
        <v>0.655945684615385</v>
      </c>
      <c r="M103" s="77" t="n">
        <f aca="false">$M$2</f>
        <v>0.9319</v>
      </c>
      <c r="N103" s="13" t="n">
        <f aca="false">IFERROR(IF($B103="","",$C103+$M103),"")</f>
        <v>44.7284</v>
      </c>
    </row>
    <row r="104" customFormat="false" ht="39" hidden="false" customHeight="true" outlineLevel="0" collapsed="false">
      <c r="A104" s="70" t="str">
        <f aca="false">IFERROR(IF(المنيو!$B104="","",المنيو!$A104),"")</f>
        <v>قسم الفطير الحادق الصيامي</v>
      </c>
      <c r="B104" s="70" t="str">
        <f aca="false">IFERROR(المنيو!$B104,"")</f>
        <v>فطيرة مشكل جبن صيامي مخصوص</v>
      </c>
      <c r="C104" s="13" t="n">
        <f aca="false">IFERROR(IF($B104="","",SUMIFS(الريسبي!$F$2:$F$1800,الريسبي!$A$2:$A$1800,$B104)),"")</f>
        <v>61.3815</v>
      </c>
      <c r="D104" s="71" t="n">
        <f aca="false">IFERROR(IF($B104="","",المنيو!$C104),"")</f>
        <v>190</v>
      </c>
      <c r="E104" s="12" t="n">
        <f aca="false">IFERROR(IF(OR($B104="",$D104=0,$D104=""),"",$N104/$D104),"")</f>
        <v>0.327965263157895</v>
      </c>
      <c r="F104" s="76" t="n">
        <f aca="false">$F$2</f>
        <v>0.375</v>
      </c>
      <c r="G104" s="13" t="n">
        <f aca="false">IFERROR(IF($B104="","",$N104/$F104),"")</f>
        <v>166.169066666667</v>
      </c>
      <c r="H104" s="13" t="n">
        <f aca="false">IFERROR(IF($B104="","",$D104-$N104),"")</f>
        <v>127.6866</v>
      </c>
      <c r="I104" s="12" t="n">
        <f aca="false">IFERROR(IF(OR($B104="",$D104=0,$D104=""),"",$H104/$D104),"")</f>
        <v>0.672034736842105</v>
      </c>
      <c r="J104" s="76" t="n">
        <f aca="false">$J$2</f>
        <v>0.25</v>
      </c>
      <c r="K104" s="12" t="n">
        <f aca="false">IFERROR(IF($B104="","",$E104+$J104),"")</f>
        <v>0.577965263157895</v>
      </c>
      <c r="L104" s="74" t="n">
        <f aca="false">IFERROR(IF(OR($B104="",$C104=0,$C104=""),"",$I104+ROW()*0.0000001),"")</f>
        <v>0.672045136842105</v>
      </c>
      <c r="M104" s="77" t="n">
        <f aca="false">$M$2</f>
        <v>0.9319</v>
      </c>
      <c r="N104" s="13" t="n">
        <f aca="false">IFERROR(IF($B104="","",$C104+$M104),"")</f>
        <v>62.3134</v>
      </c>
    </row>
    <row r="105" customFormat="false" ht="39" hidden="false" customHeight="true" outlineLevel="0" collapsed="false">
      <c r="A105" s="70" t="str">
        <f aca="false">IFERROR(IF(المنيو!$B105="","",المنيو!$A105),"")</f>
        <v>قسم الفطير الحادق الصيامي</v>
      </c>
      <c r="B105" s="70" t="str">
        <f aca="false">IFERROR(المنيو!$B105,"")</f>
        <v>فطيرة فراخ باربيكيو صيامي وسط</v>
      </c>
      <c r="C105" s="13" t="n">
        <f aca="false">IFERROR(IF($B105="","",SUMIFS(الريسبي!$F$2:$F$1800,الريسبي!$A$2:$A$1800,$B105)),"")</f>
        <v>66.8742</v>
      </c>
      <c r="D105" s="71" t="n">
        <f aca="false">IFERROR(IF($B105="","",المنيو!$C105),"")</f>
        <v>155</v>
      </c>
      <c r="E105" s="12" t="n">
        <f aca="false">IFERROR(IF(OR($B105="",$D105=0,$D105=""),"",$N105/$D105),"")</f>
        <v>0.437458709677419</v>
      </c>
      <c r="F105" s="76" t="n">
        <f aca="false">$F$2</f>
        <v>0.375</v>
      </c>
      <c r="G105" s="13" t="n">
        <f aca="false">IFERROR(IF($B105="","",$N105/$F105),"")</f>
        <v>180.816266666667</v>
      </c>
      <c r="H105" s="13" t="n">
        <f aca="false">IFERROR(IF($B105="","",$D105-$N105),"")</f>
        <v>87.1939</v>
      </c>
      <c r="I105" s="12" t="n">
        <f aca="false">IFERROR(IF(OR($B105="",$D105=0,$D105=""),"",$H105/$D105),"")</f>
        <v>0.562541290322581</v>
      </c>
      <c r="J105" s="76" t="n">
        <f aca="false">$J$2</f>
        <v>0.25</v>
      </c>
      <c r="K105" s="12" t="n">
        <f aca="false">IFERROR(IF($B105="","",$E105+$J105),"")</f>
        <v>0.687458709677419</v>
      </c>
      <c r="L105" s="74" t="n">
        <f aca="false">IFERROR(IF(OR($B105="",$C105=0,$C105=""),"",$I105+ROW()*0.0000001),"")</f>
        <v>0.562551790322581</v>
      </c>
      <c r="M105" s="77" t="n">
        <f aca="false">$M$2</f>
        <v>0.9319</v>
      </c>
      <c r="N105" s="13" t="n">
        <f aca="false">IFERROR(IF($B105="","",$C105+$M105),"")</f>
        <v>67.8061</v>
      </c>
    </row>
    <row r="106" customFormat="false" ht="39" hidden="false" customHeight="true" outlineLevel="0" collapsed="false">
      <c r="A106" s="70" t="str">
        <f aca="false">IFERROR(IF(المنيو!$B106="","",المنيو!$A106),"")</f>
        <v>قسم الفطير الحادق الصيامي</v>
      </c>
      <c r="B106" s="70" t="str">
        <f aca="false">IFERROR(المنيو!$B106,"")</f>
        <v>فطيرة فراخ باربيكيو صيامي مخصوص</v>
      </c>
      <c r="C106" s="13" t="n">
        <f aca="false">IFERROR(IF($B106="","",SUMIFS(الريسبي!$F$2:$F$1800,الريسبي!$A$2:$A$1800,$B106)),"")</f>
        <v>93.2092</v>
      </c>
      <c r="D106" s="71" t="n">
        <f aca="false">IFERROR(IF($B106="","",المنيو!$C106),"")</f>
        <v>230</v>
      </c>
      <c r="E106" s="12" t="n">
        <f aca="false">IFERROR(IF(OR($B106="",$D106=0,$D106=""),"",$N106/$D106),"")</f>
        <v>0.409309130434783</v>
      </c>
      <c r="F106" s="76" t="n">
        <f aca="false">$F$2</f>
        <v>0.375</v>
      </c>
      <c r="G106" s="13" t="n">
        <f aca="false">IFERROR(IF($B106="","",$N106/$F106),"")</f>
        <v>251.042933333333</v>
      </c>
      <c r="H106" s="13" t="n">
        <f aca="false">IFERROR(IF($B106="","",$D106-$N106),"")</f>
        <v>135.8589</v>
      </c>
      <c r="I106" s="12" t="n">
        <f aca="false">IFERROR(IF(OR($B106="",$D106=0,$D106=""),"",$H106/$D106),"")</f>
        <v>0.590690869565217</v>
      </c>
      <c r="J106" s="76" t="n">
        <f aca="false">$J$2</f>
        <v>0.25</v>
      </c>
      <c r="K106" s="12" t="n">
        <f aca="false">IFERROR(IF($B106="","",$E106+$J106),"")</f>
        <v>0.659309130434783</v>
      </c>
      <c r="L106" s="74" t="n">
        <f aca="false">IFERROR(IF(OR($B106="",$C106=0,$C106=""),"",$I106+ROW()*0.0000001),"")</f>
        <v>0.590701469565217</v>
      </c>
      <c r="M106" s="77" t="n">
        <f aca="false">$M$2</f>
        <v>0.9319</v>
      </c>
      <c r="N106" s="13" t="n">
        <f aca="false">IFERROR(IF($B106="","",$C106+$M106),"")</f>
        <v>94.1411</v>
      </c>
    </row>
    <row r="107" customFormat="false" ht="39" hidden="false" customHeight="true" outlineLevel="0" collapsed="false">
      <c r="A107" s="70" t="str">
        <f aca="false">IFERROR(IF(المنيو!$B107="","",المنيو!$A107),"")</f>
        <v>قسم الفطير الحادق الصيامي</v>
      </c>
      <c r="B107" s="70" t="str">
        <f aca="false">IFERROR(المنيو!$B107,"")</f>
        <v>فطيرة جمبري صيامي وسط</v>
      </c>
      <c r="C107" s="13" t="n">
        <f aca="false">IFERROR(IF($B107="","",SUMIFS(الريسبي!$F$2:$F$1800,الريسبي!$A$2:$A$1800,$B107)),"")</f>
        <v>128.2965</v>
      </c>
      <c r="D107" s="71" t="n">
        <f aca="false">IFERROR(IF($B107="","",المنيو!$C107),"")</f>
        <v>240</v>
      </c>
      <c r="E107" s="12" t="n">
        <f aca="false">IFERROR(IF(OR($B107="",$D107=0,$D107=""),"",$N107/$D107),"")</f>
        <v>0.538451666666667</v>
      </c>
      <c r="F107" s="76" t="n">
        <f aca="false">$F$2</f>
        <v>0.375</v>
      </c>
      <c r="G107" s="13" t="n">
        <f aca="false">IFERROR(IF($B107="","",$N107/$F107),"")</f>
        <v>344.609066666667</v>
      </c>
      <c r="H107" s="13" t="n">
        <f aca="false">IFERROR(IF($B107="","",$D107-$N107),"")</f>
        <v>110.7716</v>
      </c>
      <c r="I107" s="12" t="n">
        <f aca="false">IFERROR(IF(OR($B107="",$D107=0,$D107=""),"",$H107/$D107),"")</f>
        <v>0.461548333333333</v>
      </c>
      <c r="J107" s="76" t="n">
        <f aca="false">$J$2</f>
        <v>0.25</v>
      </c>
      <c r="K107" s="12" t="n">
        <f aca="false">IFERROR(IF($B107="","",$E107+$J107),"")</f>
        <v>0.788451666666667</v>
      </c>
      <c r="L107" s="74" t="n">
        <f aca="false">IFERROR(IF(OR($B107="",$C107=0,$C107=""),"",$I107+ROW()*0.0000001),"")</f>
        <v>0.461559033333333</v>
      </c>
      <c r="M107" s="77" t="n">
        <f aca="false">$M$2</f>
        <v>0.9319</v>
      </c>
      <c r="N107" s="13" t="n">
        <f aca="false">IFERROR(IF($B107="","",$C107+$M107),"")</f>
        <v>129.2284</v>
      </c>
    </row>
    <row r="108" customFormat="false" ht="39" hidden="false" customHeight="true" outlineLevel="0" collapsed="false">
      <c r="A108" s="70" t="str">
        <f aca="false">IFERROR(IF(المنيو!$B108="","",المنيو!$A108),"")</f>
        <v>قسم الفطير الحادق الصيامي</v>
      </c>
      <c r="B108" s="70" t="str">
        <f aca="false">IFERROR(المنيو!$B108,"")</f>
        <v>فطيرة جمبري صيامي مخصوص</v>
      </c>
      <c r="C108" s="13" t="n">
        <f aca="false">IFERROR(IF($B108="","",SUMIFS(الريسبي!$F$2:$F$1800,الريسبي!$A$2:$A$1800,$B108)),"")</f>
        <v>188.1315</v>
      </c>
      <c r="D108" s="71" t="n">
        <f aca="false">IFERROR(IF($B108="","",المنيو!$C108),"")</f>
        <v>360</v>
      </c>
      <c r="E108" s="12" t="n">
        <f aca="false">IFERROR(IF(OR($B108="",$D108=0,$D108=""),"",$N108/$D108),"")</f>
        <v>0.525176111111111</v>
      </c>
      <c r="F108" s="76" t="n">
        <f aca="false">$F$2</f>
        <v>0.375</v>
      </c>
      <c r="G108" s="13" t="n">
        <f aca="false">IFERROR(IF($B108="","",$N108/$F108),"")</f>
        <v>504.169066666667</v>
      </c>
      <c r="H108" s="13" t="n">
        <f aca="false">IFERROR(IF($B108="","",$D108-$N108),"")</f>
        <v>170.9366</v>
      </c>
      <c r="I108" s="12" t="n">
        <f aca="false">IFERROR(IF(OR($B108="",$D108=0,$D108=""),"",$H108/$D108),"")</f>
        <v>0.474823888888889</v>
      </c>
      <c r="J108" s="76" t="n">
        <f aca="false">$J$2</f>
        <v>0.25</v>
      </c>
      <c r="K108" s="12" t="n">
        <f aca="false">IFERROR(IF($B108="","",$E108+$J108),"")</f>
        <v>0.775176111111111</v>
      </c>
      <c r="L108" s="74" t="n">
        <f aca="false">IFERROR(IF(OR($B108="",$C108=0,$C108=""),"",$I108+ROW()*0.0000001),"")</f>
        <v>0.474834688888889</v>
      </c>
      <c r="M108" s="77" t="n">
        <f aca="false">$M$2</f>
        <v>0.9319</v>
      </c>
      <c r="N108" s="13" t="n">
        <f aca="false">IFERROR(IF($B108="","",$C108+$M108),"")</f>
        <v>189.0634</v>
      </c>
    </row>
    <row r="109" customFormat="false" ht="39" hidden="false" customHeight="true" outlineLevel="0" collapsed="false">
      <c r="A109" s="70" t="str">
        <f aca="false">IFERROR(IF(المنيو!$B109="","",المنيو!$A109),"")</f>
        <v>قسم الفطير الحادق الصيامي</v>
      </c>
      <c r="B109" s="70" t="str">
        <f aca="false">IFERROR(المنيو!$B109,"")</f>
        <v>فطيرة تونة صيامي وسط</v>
      </c>
      <c r="C109" s="13" t="n">
        <f aca="false">IFERROR(IF($B109="","",SUMIFS(الريسبي!$F$2:$F$1800,الريسبي!$A$2:$A$1800,$B109)),"")</f>
        <v>75.3265</v>
      </c>
      <c r="D109" s="71" t="n">
        <f aca="false">IFERROR(IF($B109="","",المنيو!$C109),"")</f>
        <v>180</v>
      </c>
      <c r="E109" s="12" t="n">
        <f aca="false">IFERROR(IF(OR($B109="",$D109=0,$D109=""),"",$N109/$D109),"")</f>
        <v>0.423657777777778</v>
      </c>
      <c r="F109" s="76" t="n">
        <f aca="false">$F$2</f>
        <v>0.375</v>
      </c>
      <c r="G109" s="13" t="n">
        <f aca="false">IFERROR(IF($B109="","",$N109/$F109),"")</f>
        <v>203.355733333333</v>
      </c>
      <c r="H109" s="13" t="n">
        <f aca="false">IFERROR(IF($B109="","",$D109-$N109),"")</f>
        <v>103.7416</v>
      </c>
      <c r="I109" s="12" t="n">
        <f aca="false">IFERROR(IF(OR($B109="",$D109=0,$D109=""),"",$H109/$D109),"")</f>
        <v>0.576342222222222</v>
      </c>
      <c r="J109" s="76" t="n">
        <f aca="false">$J$2</f>
        <v>0.25</v>
      </c>
      <c r="K109" s="12" t="n">
        <f aca="false">IFERROR(IF($B109="","",$E109+$J109),"")</f>
        <v>0.673657777777778</v>
      </c>
      <c r="L109" s="74" t="n">
        <f aca="false">IFERROR(IF(OR($B109="",$C109=0,$C109=""),"",$I109+ROW()*0.0000001),"")</f>
        <v>0.576353122222222</v>
      </c>
      <c r="M109" s="77" t="n">
        <f aca="false">$M$2</f>
        <v>0.9319</v>
      </c>
      <c r="N109" s="13" t="n">
        <f aca="false">IFERROR(IF($B109="","",$C109+$M109),"")</f>
        <v>76.2584</v>
      </c>
    </row>
    <row r="110" customFormat="false" ht="39" hidden="false" customHeight="true" outlineLevel="0" collapsed="false">
      <c r="A110" s="70" t="str">
        <f aca="false">IFERROR(IF(المنيو!$B110="","",المنيو!$A110),"")</f>
        <v>قسم الفطير الحادق الصيامي</v>
      </c>
      <c r="B110" s="70" t="str">
        <f aca="false">IFERROR(المنيو!$B110,"")</f>
        <v>فطيرة تونة صيامي مخصوص</v>
      </c>
      <c r="C110" s="13" t="n">
        <f aca="false">IFERROR(IF($B110="","",SUMIFS(الريسبي!$F$2:$F$1800,الريسبي!$A$2:$A$1800,$B110)),"")</f>
        <v>108.6765</v>
      </c>
      <c r="D110" s="71" t="n">
        <f aca="false">IFERROR(IF($B110="","",المنيو!$C110),"")</f>
        <v>250</v>
      </c>
      <c r="E110" s="12" t="n">
        <f aca="false">IFERROR(IF(OR($B110="",$D110=0,$D110=""),"",$N110/$D110),"")</f>
        <v>0.4384336</v>
      </c>
      <c r="F110" s="76" t="n">
        <f aca="false">$F$2</f>
        <v>0.375</v>
      </c>
      <c r="G110" s="13" t="n">
        <f aca="false">IFERROR(IF($B110="","",$N110/$F110),"")</f>
        <v>292.289066666667</v>
      </c>
      <c r="H110" s="13" t="n">
        <f aca="false">IFERROR(IF($B110="","",$D110-$N110),"")</f>
        <v>140.3916</v>
      </c>
      <c r="I110" s="12" t="n">
        <f aca="false">IFERROR(IF(OR($B110="",$D110=0,$D110=""),"",$H110/$D110),"")</f>
        <v>0.5615664</v>
      </c>
      <c r="J110" s="76" t="n">
        <f aca="false">$J$2</f>
        <v>0.25</v>
      </c>
      <c r="K110" s="12" t="n">
        <f aca="false">IFERROR(IF($B110="","",$E110+$J110),"")</f>
        <v>0.6884336</v>
      </c>
      <c r="L110" s="74" t="n">
        <f aca="false">IFERROR(IF(OR($B110="",$C110=0,$C110=""),"",$I110+ROW()*0.0000001),"")</f>
        <v>0.5615774</v>
      </c>
      <c r="M110" s="77" t="n">
        <f aca="false">$M$2</f>
        <v>0.9319</v>
      </c>
      <c r="N110" s="13" t="n">
        <f aca="false">IFERROR(IF($B110="","",$C110+$M110),"")</f>
        <v>109.6084</v>
      </c>
    </row>
    <row r="111" customFormat="false" ht="39" hidden="false" customHeight="true" outlineLevel="0" collapsed="false">
      <c r="A111" s="70" t="str">
        <f aca="false">IFERROR(IF(المنيو!$B111="","",المنيو!$A111),"")</f>
        <v>قسم الفطير الحلو الصيامي</v>
      </c>
      <c r="B111" s="70" t="str">
        <f aca="false">IFERROR(المنيو!$B111,"")</f>
        <v>فطيرة سكر / كاستر صيامي</v>
      </c>
      <c r="C111" s="13" t="n">
        <f aca="false">IFERROR(IF($B111="","",SUMIFS(الريسبي!$F$2:$F$1800,الريسبي!$A$2:$A$1800,$B111)),"")</f>
        <v>15.012965</v>
      </c>
      <c r="D111" s="71" t="n">
        <f aca="false">IFERROR(IF($B111="","",المنيو!$C111),"")</f>
        <v>50</v>
      </c>
      <c r="E111" s="12" t="n">
        <f aca="false">IFERROR(IF(OR($B111="",$D111=0,$D111=""),"",$N111/$D111),"")</f>
        <v>0.3188973</v>
      </c>
      <c r="F111" s="76" t="n">
        <f aca="false">$F$2</f>
        <v>0.375</v>
      </c>
      <c r="G111" s="13" t="n">
        <f aca="false">IFERROR(IF($B111="","",$N111/$F111),"")</f>
        <v>42.51964</v>
      </c>
      <c r="H111" s="13" t="n">
        <f aca="false">IFERROR(IF($B111="","",$D111-$N111),"")</f>
        <v>34.055135</v>
      </c>
      <c r="I111" s="12" t="n">
        <f aca="false">IFERROR(IF(OR($B111="",$D111=0,$D111=""),"",$H111/$D111),"")</f>
        <v>0.6811027</v>
      </c>
      <c r="J111" s="76" t="n">
        <f aca="false">$J$2</f>
        <v>0.25</v>
      </c>
      <c r="K111" s="12" t="n">
        <f aca="false">IFERROR(IF($B111="","",$E111+$J111),"")</f>
        <v>0.5688973</v>
      </c>
      <c r="L111" s="74" t="n">
        <f aca="false">IFERROR(IF(OR($B111="",$C111=0,$C111=""),"",$I111+ROW()*0.0000001),"")</f>
        <v>0.6811138</v>
      </c>
      <c r="M111" s="77" t="n">
        <f aca="false">$M$2</f>
        <v>0.9319</v>
      </c>
      <c r="N111" s="13" t="n">
        <f aca="false">IFERROR(IF($B111="","",$C111+$M111),"")</f>
        <v>15.944865</v>
      </c>
    </row>
    <row r="112" customFormat="false" ht="39" hidden="false" customHeight="true" outlineLevel="0" collapsed="false">
      <c r="A112" s="70" t="str">
        <f aca="false">IFERROR(IF(المنيو!$B112="","",المنيو!$A112),"")</f>
        <v>قسم الفطير الحلو الصيامي</v>
      </c>
      <c r="B112" s="70" t="str">
        <f aca="false">IFERROR(المنيو!$B112,"")</f>
        <v>فطيرة ملوكي زبيب وجوزهند صيامي</v>
      </c>
      <c r="C112" s="13" t="n">
        <f aca="false">IFERROR(IF($B112="","",SUMIFS(الريسبي!$F$2:$F$1800,الريسبي!$A$2:$A$1800,$B112)),"")</f>
        <v>35.477965</v>
      </c>
      <c r="D112" s="71" t="n">
        <f aca="false">IFERROR(IF($B112="","",المنيو!$C112),"")</f>
        <v>70</v>
      </c>
      <c r="E112" s="12" t="n">
        <f aca="false">IFERROR(IF(OR($B112="",$D112=0,$D112=""),"",$N112/$D112),"")</f>
        <v>0.520140928571429</v>
      </c>
      <c r="F112" s="76" t="n">
        <f aca="false">$F$2</f>
        <v>0.375</v>
      </c>
      <c r="G112" s="13" t="n">
        <f aca="false">IFERROR(IF($B112="","",$N112/$F112),"")</f>
        <v>97.0929733333333</v>
      </c>
      <c r="H112" s="13" t="n">
        <f aca="false">IFERROR(IF($B112="","",$D112-$N112),"")</f>
        <v>33.590135</v>
      </c>
      <c r="I112" s="12" t="n">
        <f aca="false">IFERROR(IF(OR($B112="",$D112=0,$D112=""),"",$H112/$D112),"")</f>
        <v>0.479859071428572</v>
      </c>
      <c r="J112" s="76" t="n">
        <f aca="false">$J$2</f>
        <v>0.25</v>
      </c>
      <c r="K112" s="12" t="n">
        <f aca="false">IFERROR(IF($B112="","",$E112+$J112),"")</f>
        <v>0.770140928571429</v>
      </c>
      <c r="L112" s="74" t="n">
        <f aca="false">IFERROR(IF(OR($B112="",$C112=0,$C112=""),"",$I112+ROW()*0.0000001),"")</f>
        <v>0.479870271428571</v>
      </c>
      <c r="M112" s="77" t="n">
        <f aca="false">$M$2</f>
        <v>0.9319</v>
      </c>
      <c r="N112" s="13" t="n">
        <f aca="false">IFERROR(IF($B112="","",$C112+$M112),"")</f>
        <v>36.409865</v>
      </c>
    </row>
    <row r="113" customFormat="false" ht="39" hidden="false" customHeight="true" outlineLevel="0" collapsed="false">
      <c r="A113" s="70" t="str">
        <f aca="false">IFERROR(IF(المنيو!$B113="","",المنيو!$A113),"")</f>
        <v>قسم الفطير الحلو الصيامي</v>
      </c>
      <c r="B113" s="70" t="str">
        <f aca="false">IFERROR(المنيو!$B113,"")</f>
        <v>فطيرة شيكولاتة صيامي</v>
      </c>
      <c r="C113" s="13" t="n">
        <f aca="false">IFERROR(IF($B113="","",SUMIFS(الريسبي!$F$2:$F$1800,الريسبي!$A$2:$A$1800,$B113)),"")</f>
        <v>42.370312</v>
      </c>
      <c r="D113" s="71" t="n">
        <f aca="false">IFERROR(IF($B113="","",المنيو!$C113),"")</f>
        <v>100</v>
      </c>
      <c r="E113" s="12" t="n">
        <f aca="false">IFERROR(IF(OR($B113="",$D113=0,$D113=""),"",$N113/$D113),"")</f>
        <v>0.43302212</v>
      </c>
      <c r="F113" s="76" t="n">
        <f aca="false">$F$2</f>
        <v>0.375</v>
      </c>
      <c r="G113" s="13" t="n">
        <f aca="false">IFERROR(IF($B113="","",$N113/$F113),"")</f>
        <v>115.472565333333</v>
      </c>
      <c r="H113" s="13" t="n">
        <f aca="false">IFERROR(IF($B113="","",$D113-$N113),"")</f>
        <v>56.697788</v>
      </c>
      <c r="I113" s="12" t="n">
        <f aca="false">IFERROR(IF(OR($B113="",$D113=0,$D113=""),"",$H113/$D113),"")</f>
        <v>0.56697788</v>
      </c>
      <c r="J113" s="76" t="n">
        <f aca="false">$J$2</f>
        <v>0.25</v>
      </c>
      <c r="K113" s="12" t="n">
        <f aca="false">IFERROR(IF($B113="","",$E113+$J113),"")</f>
        <v>0.68302212</v>
      </c>
      <c r="L113" s="74" t="n">
        <f aca="false">IFERROR(IF(OR($B113="",$C113=0,$C113=""),"",$I113+ROW()*0.0000001),"")</f>
        <v>0.56698918</v>
      </c>
      <c r="M113" s="77" t="n">
        <f aca="false">$M$2</f>
        <v>0.9319</v>
      </c>
      <c r="N113" s="13" t="n">
        <f aca="false">IFERROR(IF($B113="","",$C113+$M113),"")</f>
        <v>43.302212</v>
      </c>
    </row>
    <row r="114" customFormat="false" ht="39" hidden="false" customHeight="true" outlineLevel="0" collapsed="false">
      <c r="A114" s="70" t="str">
        <f aca="false">IFERROR(IF(المنيو!$B114="","",المنيو!$A114),"")</f>
        <v>قسم الفطير الحلو الصيامي</v>
      </c>
      <c r="B114" s="70" t="str">
        <f aca="false">IFERROR(المنيو!$B114,"")</f>
        <v>فطيرة لوتس صيامي</v>
      </c>
      <c r="C114" s="13" t="n">
        <f aca="false">IFERROR(IF($B114="","",SUMIFS(الريسبي!$F$2:$F$1800,الريسبي!$A$2:$A$1800,$B114)),"")</f>
        <v>42.4366</v>
      </c>
      <c r="D114" s="71" t="n">
        <f aca="false">IFERROR(IF($B114="","",المنيو!$C114),"")</f>
        <v>140</v>
      </c>
      <c r="E114" s="12" t="n">
        <f aca="false">IFERROR(IF(OR($B114="",$D114=0,$D114=""),"",$N114/$D114),"")</f>
        <v>0.309775</v>
      </c>
      <c r="F114" s="76" t="n">
        <f aca="false">$F$2</f>
        <v>0.375</v>
      </c>
      <c r="G114" s="13" t="n">
        <f aca="false">IFERROR(IF($B114="","",$N114/$F114),"")</f>
        <v>115.649333333333</v>
      </c>
      <c r="H114" s="13" t="n">
        <f aca="false">IFERROR(IF($B114="","",$D114-$N114),"")</f>
        <v>96.6315</v>
      </c>
      <c r="I114" s="12" t="n">
        <f aca="false">IFERROR(IF(OR($B114="",$D114=0,$D114=""),"",$H114/$D114),"")</f>
        <v>0.690225</v>
      </c>
      <c r="J114" s="76" t="n">
        <f aca="false">$J$2</f>
        <v>0.25</v>
      </c>
      <c r="K114" s="12" t="n">
        <f aca="false">IFERROR(IF($B114="","",$E114+$J114),"")</f>
        <v>0.559775</v>
      </c>
      <c r="L114" s="74" t="n">
        <f aca="false">IFERROR(IF(OR($B114="",$C114=0,$C114=""),"",$I114+ROW()*0.0000001),"")</f>
        <v>0.6902364</v>
      </c>
      <c r="M114" s="77" t="n">
        <f aca="false">$M$2</f>
        <v>0.9319</v>
      </c>
      <c r="N114" s="13" t="n">
        <f aca="false">IFERROR(IF($B114="","",$C114+$M114),"")</f>
        <v>43.3685</v>
      </c>
    </row>
    <row r="115" customFormat="false" ht="39" hidden="false" customHeight="true" outlineLevel="0" collapsed="false">
      <c r="A115" s="70" t="str">
        <f aca="false">IFERROR(IF(المنيو!$B115="","",المنيو!$A115),"")</f>
        <v>قسم البرجر الصيامي</v>
      </c>
      <c r="B115" s="70" t="str">
        <f aca="false">IFERROR(المنيو!$B115,"")</f>
        <v>قنبلة برجر صيامي</v>
      </c>
      <c r="C115" s="13" t="n">
        <f aca="false">IFERROR(IF($B115="","",SUMIFS(الريسبي!$F$2:$F$1800,الريسبي!$A$2:$A$1800,$B115)),"")</f>
        <v>59.9765</v>
      </c>
      <c r="D115" s="71" t="n">
        <f aca="false">IFERROR(IF($B115="","",المنيو!$C115),"")</f>
        <v>160</v>
      </c>
      <c r="E115" s="12" t="n">
        <f aca="false">IFERROR(IF(OR($B115="",$D115=0,$D115=""),"",$N115/$D115),"")</f>
        <v>0.3806775</v>
      </c>
      <c r="F115" s="76" t="n">
        <f aca="false">$F$2</f>
        <v>0.375</v>
      </c>
      <c r="G115" s="13" t="n">
        <f aca="false">IFERROR(IF($B115="","",$N115/$F115),"")</f>
        <v>162.4224</v>
      </c>
      <c r="H115" s="13" t="n">
        <f aca="false">IFERROR(IF($B115="","",$D115-$N115),"")</f>
        <v>99.0916</v>
      </c>
      <c r="I115" s="12" t="n">
        <f aca="false">IFERROR(IF(OR($B115="",$D115=0,$D115=""),"",$H115/$D115),"")</f>
        <v>0.6193225</v>
      </c>
      <c r="J115" s="76" t="n">
        <f aca="false">$J$2</f>
        <v>0.25</v>
      </c>
      <c r="K115" s="12" t="n">
        <f aca="false">IFERROR(IF($B115="","",$E115+$J115),"")</f>
        <v>0.6306775</v>
      </c>
      <c r="L115" s="74" t="n">
        <f aca="false">IFERROR(IF(OR($B115="",$C115=0,$C115=""),"",$I115+ROW()*0.0000001),"")</f>
        <v>0.619334</v>
      </c>
      <c r="M115" s="77" t="n">
        <f aca="false">$M$2</f>
        <v>0.9319</v>
      </c>
      <c r="N115" s="13" t="n">
        <f aca="false">IFERROR(IF($B115="","",$C115+$M115),"")</f>
        <v>60.9084</v>
      </c>
    </row>
    <row r="116" customFormat="false" ht="39" hidden="false" customHeight="true" outlineLevel="0" collapsed="false">
      <c r="A116" s="70" t="str">
        <f aca="false">IFERROR(IF(المنيو!$B116="","",المنيو!$A116),"")</f>
        <v>قسم البرجر الصيامي</v>
      </c>
      <c r="B116" s="70" t="str">
        <f aca="false">IFERROR(المنيو!$B116,"")</f>
        <v>قنبلة كريسبي صيامي</v>
      </c>
      <c r="C116" s="13" t="n">
        <f aca="false">IFERROR(IF($B116="","",SUMIFS(الريسبي!$F$2:$F$1800,الريسبي!$A$2:$A$1800,$B116)),"")</f>
        <v>66.8042</v>
      </c>
      <c r="D116" s="71" t="n">
        <f aca="false">IFERROR(IF($B116="","",المنيو!$C116),"")</f>
        <v>160</v>
      </c>
      <c r="E116" s="12" t="n">
        <f aca="false">IFERROR(IF(OR($B116="",$D116=0,$D116=""),"",$N116/$D116),"")</f>
        <v>0.423350625</v>
      </c>
      <c r="F116" s="76" t="n">
        <f aca="false">$F$2</f>
        <v>0.375</v>
      </c>
      <c r="G116" s="13" t="n">
        <f aca="false">IFERROR(IF($B116="","",$N116/$F116),"")</f>
        <v>180.6296</v>
      </c>
      <c r="H116" s="13" t="n">
        <f aca="false">IFERROR(IF($B116="","",$D116-$N116),"")</f>
        <v>92.2639</v>
      </c>
      <c r="I116" s="12" t="n">
        <f aca="false">IFERROR(IF(OR($B116="",$D116=0,$D116=""),"",$H116/$D116),"")</f>
        <v>0.576649375</v>
      </c>
      <c r="J116" s="76" t="n">
        <f aca="false">$J$2</f>
        <v>0.25</v>
      </c>
      <c r="K116" s="12" t="n">
        <f aca="false">IFERROR(IF($B116="","",$E116+$J116),"")</f>
        <v>0.673350625</v>
      </c>
      <c r="L116" s="74" t="n">
        <f aca="false">IFERROR(IF(OR($B116="",$C116=0,$C116=""),"",$I116+ROW()*0.0000001),"")</f>
        <v>0.576660975</v>
      </c>
      <c r="M116" s="77" t="n">
        <f aca="false">$M$2</f>
        <v>0.9319</v>
      </c>
      <c r="N116" s="13" t="n">
        <f aca="false">IFERROR(IF($B116="","",$C116+$M116),"")</f>
        <v>67.7361</v>
      </c>
    </row>
    <row r="117" customFormat="false" ht="39" hidden="false" customHeight="true" outlineLevel="0" collapsed="false">
      <c r="A117" s="70" t="str">
        <f aca="false">IFERROR(IF(المنيو!$B117="","",المنيو!$A117),"")</f>
        <v>قسم البرجر الصيامي</v>
      </c>
      <c r="B117" s="70" t="str">
        <f aca="false">IFERROR(المنيو!$B117,"")</f>
        <v>بهججة بيتزا برجر صيامي</v>
      </c>
      <c r="C117" s="13" t="n">
        <f aca="false">IFERROR(IF($B117="","",SUMIFS(الريسبي!$F$2:$F$1800,الريسبي!$A$2:$A$1800,$B117)),"")</f>
        <v>68.7265</v>
      </c>
      <c r="D117" s="71" t="n">
        <f aca="false">IFERROR(IF($B117="","",المنيو!$C117),"")</f>
        <v>170</v>
      </c>
      <c r="E117" s="12" t="n">
        <f aca="false">IFERROR(IF(OR($B117="",$D117=0,$D117=""),"",$N117/$D117),"")</f>
        <v>0.409755294117647</v>
      </c>
      <c r="F117" s="76" t="n">
        <f aca="false">$F$2</f>
        <v>0.375</v>
      </c>
      <c r="G117" s="13" t="n">
        <f aca="false">IFERROR(IF($B117="","",$N117/$F117),"")</f>
        <v>185.755733333333</v>
      </c>
      <c r="H117" s="13" t="n">
        <f aca="false">IFERROR(IF($B117="","",$D117-$N117),"")</f>
        <v>100.3416</v>
      </c>
      <c r="I117" s="12" t="n">
        <f aca="false">IFERROR(IF(OR($B117="",$D117=0,$D117=""),"",$H117/$D117),"")</f>
        <v>0.590244705882353</v>
      </c>
      <c r="J117" s="76" t="n">
        <f aca="false">$J$2</f>
        <v>0.25</v>
      </c>
      <c r="K117" s="12" t="n">
        <f aca="false">IFERROR(IF($B117="","",$E117+$J117),"")</f>
        <v>0.659755294117647</v>
      </c>
      <c r="L117" s="74" t="n">
        <f aca="false">IFERROR(IF(OR($B117="",$C117=0,$C117=""),"",$I117+ROW()*0.0000001),"")</f>
        <v>0.590256405882353</v>
      </c>
      <c r="M117" s="77" t="n">
        <f aca="false">$M$2</f>
        <v>0.9319</v>
      </c>
      <c r="N117" s="13" t="n">
        <f aca="false">IFERROR(IF($B117="","",$C117+$M117),"")</f>
        <v>69.6584</v>
      </c>
    </row>
    <row r="118" customFormat="false" ht="39" hidden="false" customHeight="true" outlineLevel="0" collapsed="false">
      <c r="A118" s="70" t="str">
        <f aca="false">IFERROR(IF(المنيو!$B118="","",المنيو!$A118),"")</f>
        <v>قسم البرجر الصيامي</v>
      </c>
      <c r="B118" s="70" t="str">
        <f aca="false">IFERROR(المنيو!$B118,"")</f>
        <v>بهججة كريسبي صيامي</v>
      </c>
      <c r="C118" s="13" t="n">
        <f aca="false">IFERROR(IF($B118="","",SUMIFS(الريسبي!$F$2:$F$1800,الريسبي!$A$2:$A$1800,$B118)),"")</f>
        <v>75.5542</v>
      </c>
      <c r="D118" s="71" t="n">
        <f aca="false">IFERROR(IF($B118="","",المنيو!$C118),"")</f>
        <v>170</v>
      </c>
      <c r="E118" s="12" t="n">
        <f aca="false">IFERROR(IF(OR($B118="",$D118=0,$D118=""),"",$N118/$D118),"")</f>
        <v>0.449918235294118</v>
      </c>
      <c r="F118" s="76" t="n">
        <f aca="false">$F$2</f>
        <v>0.375</v>
      </c>
      <c r="G118" s="13" t="n">
        <f aca="false">IFERROR(IF($B118="","",$N118/$F118),"")</f>
        <v>203.962933333333</v>
      </c>
      <c r="H118" s="13" t="n">
        <f aca="false">IFERROR(IF($B118="","",$D118-$N118),"")</f>
        <v>93.5139</v>
      </c>
      <c r="I118" s="12" t="n">
        <f aca="false">IFERROR(IF(OR($B118="",$D118=0,$D118=""),"",$H118/$D118),"")</f>
        <v>0.550081764705882</v>
      </c>
      <c r="J118" s="76" t="n">
        <f aca="false">$J$2</f>
        <v>0.25</v>
      </c>
      <c r="K118" s="12" t="n">
        <f aca="false">IFERROR(IF($B118="","",$E118+$J118),"")</f>
        <v>0.699918235294118</v>
      </c>
      <c r="L118" s="74" t="n">
        <f aca="false">IFERROR(IF(OR($B118="",$C118=0,$C118=""),"",$I118+ROW()*0.0000001),"")</f>
        <v>0.550093564705882</v>
      </c>
      <c r="M118" s="77" t="n">
        <f aca="false">$M$2</f>
        <v>0.9319</v>
      </c>
      <c r="N118" s="13" t="n">
        <f aca="false">IFERROR(IF($B118="","",$C118+$M118),"")</f>
        <v>76.4861</v>
      </c>
    </row>
    <row r="119" customFormat="false" ht="39" hidden="false" customHeight="true" outlineLevel="0" collapsed="false">
      <c r="A119" s="70" t="str">
        <f aca="false">IFERROR(IF(المنيو!$B119="","",المنيو!$A119),"")</f>
        <v>قسم المكرونات الصيامي</v>
      </c>
      <c r="B119" s="70" t="str">
        <f aca="false">IFERROR(المنيو!$B119,"")</f>
        <v>مكرونة صوص ابيض خضروات صيامي</v>
      </c>
      <c r="C119" s="13" t="n">
        <f aca="false">IFERROR(IF($B119="","",SUMIFS(الريسبي!$F$2:$F$1800,الريسبي!$A$2:$A$1800,$B119)),"")</f>
        <v>36.53</v>
      </c>
      <c r="D119" s="71" t="n">
        <f aca="false">IFERROR(IF($B119="","",المنيو!$C119),"")</f>
        <v>100</v>
      </c>
      <c r="E119" s="12" t="n">
        <f aca="false">IFERROR(IF(OR($B119="",$D119=0,$D119=""),"",$N119/$D119),"")</f>
        <v>0.374619</v>
      </c>
      <c r="F119" s="76" t="n">
        <f aca="false">$F$2</f>
        <v>0.375</v>
      </c>
      <c r="G119" s="13" t="n">
        <f aca="false">IFERROR(IF($B119="","",$N119/$F119),"")</f>
        <v>99.8984</v>
      </c>
      <c r="H119" s="13" t="n">
        <f aca="false">IFERROR(IF($B119="","",$D119-$N119),"")</f>
        <v>62.5381</v>
      </c>
      <c r="I119" s="12" t="n">
        <f aca="false">IFERROR(IF(OR($B119="",$D119=0,$D119=""),"",$H119/$D119),"")</f>
        <v>0.625381</v>
      </c>
      <c r="J119" s="76" t="n">
        <f aca="false">$J$2</f>
        <v>0.25</v>
      </c>
      <c r="K119" s="12" t="n">
        <f aca="false">IFERROR(IF($B119="","",$E119+$J119),"")</f>
        <v>0.624619</v>
      </c>
      <c r="L119" s="74" t="n">
        <f aca="false">IFERROR(IF(OR($B119="",$C119=0,$C119=""),"",$I119+ROW()*0.0000001),"")</f>
        <v>0.6253929</v>
      </c>
      <c r="M119" s="77" t="n">
        <f aca="false">$M$2</f>
        <v>0.9319</v>
      </c>
      <c r="N119" s="13" t="n">
        <f aca="false">IFERROR(IF($B119="","",$C119+$M119),"")</f>
        <v>37.4619</v>
      </c>
    </row>
    <row r="120" customFormat="false" ht="39" hidden="false" customHeight="true" outlineLevel="0" collapsed="false">
      <c r="A120" s="70" t="str">
        <f aca="false">IFERROR(IF(المنيو!$B120="","",المنيو!$A120),"")</f>
        <v>قسم المكرونات الصيامي</v>
      </c>
      <c r="B120" s="70" t="str">
        <f aca="false">IFERROR(المنيو!$B120,"")</f>
        <v>مكرونة مشروم صيامي</v>
      </c>
      <c r="C120" s="13" t="n">
        <f aca="false">IFERROR(IF($B120="","",SUMIFS(الريسبي!$F$2:$F$1800,الريسبي!$A$2:$A$1800,$B120)),"")</f>
        <v>45.602162</v>
      </c>
      <c r="D120" s="71" t="n">
        <f aca="false">IFERROR(IF($B120="","",المنيو!$C120),"")</f>
        <v>130</v>
      </c>
      <c r="E120" s="12" t="n">
        <f aca="false">IFERROR(IF(OR($B120="",$D120=0,$D120=""),"",$N120/$D120),"")</f>
        <v>0.357954323076923</v>
      </c>
      <c r="F120" s="76" t="n">
        <f aca="false">$F$2</f>
        <v>0.375</v>
      </c>
      <c r="G120" s="13" t="n">
        <f aca="false">IFERROR(IF($B120="","",$N120/$F120),"")</f>
        <v>124.090832</v>
      </c>
      <c r="H120" s="13" t="n">
        <f aca="false">IFERROR(IF($B120="","",$D120-$N120),"")</f>
        <v>83.465938</v>
      </c>
      <c r="I120" s="12" t="n">
        <f aca="false">IFERROR(IF(OR($B120="",$D120=0,$D120=""),"",$H120/$D120),"")</f>
        <v>0.642045676923077</v>
      </c>
      <c r="J120" s="76" t="n">
        <f aca="false">$J$2</f>
        <v>0.25</v>
      </c>
      <c r="K120" s="12" t="n">
        <f aca="false">IFERROR(IF($B120="","",$E120+$J120),"")</f>
        <v>0.607954323076923</v>
      </c>
      <c r="L120" s="74" t="n">
        <f aca="false">IFERROR(IF(OR($B120="",$C120=0,$C120=""),"",$I120+ROW()*0.0000001),"")</f>
        <v>0.642057676923077</v>
      </c>
      <c r="M120" s="77" t="n">
        <f aca="false">$M$2</f>
        <v>0.9319</v>
      </c>
      <c r="N120" s="13" t="n">
        <f aca="false">IFERROR(IF($B120="","",$C120+$M120),"")</f>
        <v>46.534062</v>
      </c>
    </row>
    <row r="121" customFormat="false" ht="39" hidden="false" customHeight="true" outlineLevel="0" collapsed="false">
      <c r="A121" s="70" t="str">
        <f aca="false">IFERROR(IF(المنيو!$B121="","",المنيو!$A121),"")</f>
        <v>قسم المكرونات الصيامي</v>
      </c>
      <c r="B121" s="70" t="str">
        <f aca="false">IFERROR(المنيو!$B121,"")</f>
        <v>مكرونة سوسيس صيامي</v>
      </c>
      <c r="C121" s="13" t="n">
        <f aca="false">IFERROR(IF($B121="","",SUMIFS(الريسبي!$F$2:$F$1800,الريسبي!$A$2:$A$1800,$B121)),"")</f>
        <v>67.3328</v>
      </c>
      <c r="D121" s="71" t="n">
        <f aca="false">IFERROR(IF($B121="","",المنيو!$C121),"")</f>
        <v>130</v>
      </c>
      <c r="E121" s="12" t="n">
        <f aca="false">IFERROR(IF(OR($B121="",$D121=0,$D121=""),"",$N121/$D121),"")</f>
        <v>0.525113076923077</v>
      </c>
      <c r="F121" s="76" t="n">
        <f aca="false">$F$2</f>
        <v>0.375</v>
      </c>
      <c r="G121" s="13" t="n">
        <f aca="false">IFERROR(IF($B121="","",$N121/$F121),"")</f>
        <v>182.0392</v>
      </c>
      <c r="H121" s="13" t="n">
        <f aca="false">IFERROR(IF($B121="","",$D121-$N121),"")</f>
        <v>61.7353</v>
      </c>
      <c r="I121" s="12" t="n">
        <f aca="false">IFERROR(IF(OR($B121="",$D121=0,$D121=""),"",$H121/$D121),"")</f>
        <v>0.474886923076923</v>
      </c>
      <c r="J121" s="76" t="n">
        <f aca="false">$J$2</f>
        <v>0.25</v>
      </c>
      <c r="K121" s="12" t="n">
        <f aca="false">IFERROR(IF($B121="","",$E121+$J121),"")</f>
        <v>0.775113076923077</v>
      </c>
      <c r="L121" s="74" t="n">
        <f aca="false">IFERROR(IF(OR($B121="",$C121=0,$C121=""),"",$I121+ROW()*0.0000001),"")</f>
        <v>0.474899023076923</v>
      </c>
      <c r="M121" s="77" t="n">
        <f aca="false">$M$2</f>
        <v>0.9319</v>
      </c>
      <c r="N121" s="13" t="n">
        <f aca="false">IFERROR(IF($B121="","",$C121+$M121),"")</f>
        <v>68.2647</v>
      </c>
    </row>
    <row r="122" customFormat="false" ht="39" hidden="false" customHeight="true" outlineLevel="0" collapsed="false">
      <c r="A122" s="70" t="str">
        <f aca="false">IFERROR(IF(المنيو!$B122="","",المنيو!$A122),"")</f>
        <v>قسم المكرونات الصيامي</v>
      </c>
      <c r="B122" s="70" t="str">
        <f aca="false">IFERROR(المنيو!$B122,"")</f>
        <v>مكرونة فراخ باربيكيو صيامي</v>
      </c>
      <c r="C122" s="13" t="n">
        <f aca="false">IFERROR(IF($B122="","",SUMIFS(الريسبي!$F$2:$F$1800,الريسبي!$A$2:$A$1800,$B122)),"")</f>
        <v>70.1077</v>
      </c>
      <c r="D122" s="71" t="n">
        <f aca="false">IFERROR(IF($B122="","",المنيو!$C122),"")</f>
        <v>160</v>
      </c>
      <c r="E122" s="12" t="n">
        <f aca="false">IFERROR(IF(OR($B122="",$D122=0,$D122=""),"",$N122/$D122),"")</f>
        <v>0.4439975</v>
      </c>
      <c r="F122" s="76" t="n">
        <f aca="false">$F$2</f>
        <v>0.375</v>
      </c>
      <c r="G122" s="13" t="n">
        <f aca="false">IFERROR(IF($B122="","",$N122/$F122),"")</f>
        <v>189.438933333333</v>
      </c>
      <c r="H122" s="13" t="n">
        <f aca="false">IFERROR(IF($B122="","",$D122-$N122),"")</f>
        <v>88.9604</v>
      </c>
      <c r="I122" s="12" t="n">
        <f aca="false">IFERROR(IF(OR($B122="",$D122=0,$D122=""),"",$H122/$D122),"")</f>
        <v>0.5560025</v>
      </c>
      <c r="J122" s="76" t="n">
        <f aca="false">$J$2</f>
        <v>0.25</v>
      </c>
      <c r="K122" s="12" t="n">
        <f aca="false">IFERROR(IF($B122="","",$E122+$J122),"")</f>
        <v>0.6939975</v>
      </c>
      <c r="L122" s="74" t="n">
        <f aca="false">IFERROR(IF(OR($B122="",$C122=0,$C122=""),"",$I122+ROW()*0.0000001),"")</f>
        <v>0.5560147</v>
      </c>
      <c r="M122" s="77" t="n">
        <f aca="false">$M$2</f>
        <v>0.9319</v>
      </c>
      <c r="N122" s="13" t="n">
        <f aca="false">IFERROR(IF($B122="","",$C122+$M122),"")</f>
        <v>71.0396</v>
      </c>
    </row>
    <row r="123" customFormat="false" ht="39" hidden="false" customHeight="true" outlineLevel="0" collapsed="false">
      <c r="A123" s="70" t="str">
        <f aca="false">IFERROR(IF(المنيو!$B123="","",المنيو!$A123),"")</f>
        <v>قسم المكرونات الصيامي</v>
      </c>
      <c r="B123" s="70" t="str">
        <f aca="false">IFERROR(المنيو!$B123,"")</f>
        <v>مكرونة جمبري صيامي</v>
      </c>
      <c r="C123" s="13" t="n">
        <f aca="false">IFERROR(IF($B123="","",SUMIFS(الريسبي!$F$2:$F$1800,الريسبي!$A$2:$A$1800,$B123)),"")</f>
        <v>131.53</v>
      </c>
      <c r="D123" s="71" t="n">
        <f aca="false">IFERROR(IF($B123="","",المنيو!$C123),"")</f>
        <v>260</v>
      </c>
      <c r="E123" s="12" t="n">
        <f aca="false">IFERROR(IF(OR($B123="",$D123=0,$D123=""),"",$N123/$D123),"")</f>
        <v>0.509468846153846</v>
      </c>
      <c r="F123" s="76" t="n">
        <f aca="false">$F$2</f>
        <v>0.375</v>
      </c>
      <c r="G123" s="13" t="n">
        <f aca="false">IFERROR(IF($B123="","",$N123/$F123),"")</f>
        <v>353.231733333333</v>
      </c>
      <c r="H123" s="13" t="n">
        <f aca="false">IFERROR(IF($B123="","",$D123-$N123),"")</f>
        <v>127.5381</v>
      </c>
      <c r="I123" s="12" t="n">
        <f aca="false">IFERROR(IF(OR($B123="",$D123=0,$D123=""),"",$H123/$D123),"")</f>
        <v>0.490531153846154</v>
      </c>
      <c r="J123" s="76" t="n">
        <f aca="false">$J$2</f>
        <v>0.25</v>
      </c>
      <c r="K123" s="12" t="n">
        <f aca="false">IFERROR(IF($B123="","",$E123+$J123),"")</f>
        <v>0.759468846153846</v>
      </c>
      <c r="L123" s="74" t="n">
        <f aca="false">IFERROR(IF(OR($B123="",$C123=0,$C123=""),"",$I123+ROW()*0.0000001),"")</f>
        <v>0.490543453846154</v>
      </c>
      <c r="M123" s="77" t="n">
        <f aca="false">$M$2</f>
        <v>0.9319</v>
      </c>
      <c r="N123" s="13" t="n">
        <f aca="false">IFERROR(IF($B123="","",$C123+$M123),"")</f>
        <v>132.4619</v>
      </c>
    </row>
    <row r="124" customFormat="false" ht="39" hidden="false" customHeight="true" outlineLevel="0" collapsed="false">
      <c r="A124" s="70" t="str">
        <f aca="false">IFERROR(IF(المنيو!$B124="","",المنيو!$A124),"")</f>
        <v>قسم الكريب الصيامي</v>
      </c>
      <c r="B124" s="70" t="str">
        <f aca="false">IFERROR(المنيو!$B124,"")</f>
        <v>كريب بطاطس صيامي</v>
      </c>
      <c r="C124" s="13" t="n">
        <f aca="false">IFERROR(IF($B124="","",SUMIFS(الريسبي!$F$2:$F$1800,الريسبي!$A$2:$A$1800,$B124)),"")</f>
        <v>35.8880720833333</v>
      </c>
      <c r="D124" s="71" t="n">
        <f aca="false">IFERROR(IF($B124="","",المنيو!$C124),"")</f>
        <v>90</v>
      </c>
      <c r="E124" s="12" t="n">
        <f aca="false">IFERROR(IF(OR($B124="",$D124=0,$D124=""),"",$N124/$D124),"")</f>
        <v>0.409110800925926</v>
      </c>
      <c r="F124" s="76" t="n">
        <f aca="false">$F$2</f>
        <v>0.375</v>
      </c>
      <c r="G124" s="13" t="n">
        <f aca="false">IFERROR(IF($B124="","",$N124/$F124),"")</f>
        <v>98.1865922222222</v>
      </c>
      <c r="H124" s="13" t="n">
        <f aca="false">IFERROR(IF($B124="","",$D124-$N124),"")</f>
        <v>53.1800279166667</v>
      </c>
      <c r="I124" s="12" t="n">
        <f aca="false">IFERROR(IF(OR($B124="",$D124=0,$D124=""),"",$H124/$D124),"")</f>
        <v>0.590889199074074</v>
      </c>
      <c r="J124" s="76" t="n">
        <f aca="false">$J$2</f>
        <v>0.25</v>
      </c>
      <c r="K124" s="12" t="n">
        <f aca="false">IFERROR(IF($B124="","",$E124+$J124),"")</f>
        <v>0.659110800925926</v>
      </c>
      <c r="L124" s="74" t="n">
        <f aca="false">IFERROR(IF(OR($B124="",$C124=0,$C124=""),"",$I124+ROW()*0.0000001),"")</f>
        <v>0.590901599074074</v>
      </c>
      <c r="M124" s="77" t="n">
        <f aca="false">$M$2</f>
        <v>0.9319</v>
      </c>
      <c r="N124" s="13" t="n">
        <f aca="false">IFERROR(IF($B124="","",$C124+$M124),"")</f>
        <v>36.8199720833333</v>
      </c>
    </row>
    <row r="125" customFormat="false" ht="39" hidden="false" customHeight="true" outlineLevel="0" collapsed="false">
      <c r="A125" s="70" t="str">
        <f aca="false">IFERROR(IF(المنيو!$B125="","",المنيو!$A125),"")</f>
        <v>قسم الكريب الصيامي</v>
      </c>
      <c r="B125" s="70" t="str">
        <f aca="false">IFERROR(المنيو!$B125,"")</f>
        <v>كريب فراخ باربيكيو صيامي</v>
      </c>
      <c r="C125" s="13" t="n">
        <f aca="false">IFERROR(IF($B125="","",SUMIFS(الريسبي!$F$2:$F$1800,الريسبي!$A$2:$A$1800,$B125)),"")</f>
        <v>60.9907720833333</v>
      </c>
      <c r="D125" s="71" t="n">
        <f aca="false">IFERROR(IF($B125="","",المنيو!$C125),"")</f>
        <v>125</v>
      </c>
      <c r="E125" s="12" t="n">
        <f aca="false">IFERROR(IF(OR($B125="",$D125=0,$D125=""),"",$N125/$D125),"")</f>
        <v>0.495381376666667</v>
      </c>
      <c r="F125" s="76" t="n">
        <f aca="false">$F$2</f>
        <v>0.375</v>
      </c>
      <c r="G125" s="13" t="n">
        <f aca="false">IFERROR(IF($B125="","",$N125/$F125),"")</f>
        <v>165.127125555556</v>
      </c>
      <c r="H125" s="13" t="n">
        <f aca="false">IFERROR(IF($B125="","",$D125-$N125),"")</f>
        <v>63.0773279166667</v>
      </c>
      <c r="I125" s="12" t="n">
        <f aca="false">IFERROR(IF(OR($B125="",$D125=0,$D125=""),"",$H125/$D125),"")</f>
        <v>0.504618623333333</v>
      </c>
      <c r="J125" s="76" t="n">
        <f aca="false">$J$2</f>
        <v>0.25</v>
      </c>
      <c r="K125" s="12" t="n">
        <f aca="false">IFERROR(IF($B125="","",$E125+$J125),"")</f>
        <v>0.745381376666667</v>
      </c>
      <c r="L125" s="74" t="n">
        <f aca="false">IFERROR(IF(OR($B125="",$C125=0,$C125=""),"",$I125+ROW()*0.0000001),"")</f>
        <v>0.504631123333333</v>
      </c>
      <c r="M125" s="77" t="n">
        <f aca="false">$M$2</f>
        <v>0.9319</v>
      </c>
      <c r="N125" s="13" t="n">
        <f aca="false">IFERROR(IF($B125="","",$C125+$M125),"")</f>
        <v>61.9226720833333</v>
      </c>
    </row>
    <row r="126" customFormat="false" ht="39" hidden="false" customHeight="true" outlineLevel="0" collapsed="false">
      <c r="A126" s="70" t="str">
        <f aca="false">IFERROR(IF(المنيو!$B126="","",المنيو!$A126),"")</f>
        <v>قسم الكريب الصيامي</v>
      </c>
      <c r="B126" s="70" t="str">
        <f aca="false">IFERROR(المنيو!$B126,"")</f>
        <v>كريب سوسيس / شاورما لحم فراخ صيامي</v>
      </c>
      <c r="C126" s="13" t="n">
        <f aca="false">IFERROR(IF($B126="","",SUMIFS(الريسبي!$F$2:$F$1800,الريسبي!$A$2:$A$1800,$B126)),"")</f>
        <v>58.1605720833333</v>
      </c>
      <c r="D126" s="71" t="n">
        <f aca="false">IFERROR(IF($B126="","",المنيو!$C126),"")</f>
        <v>110</v>
      </c>
      <c r="E126" s="12" t="n">
        <f aca="false">IFERROR(IF(OR($B126="",$D126=0,$D126=""),"",$N126/$D126),"")</f>
        <v>0.537204291666667</v>
      </c>
      <c r="F126" s="76" t="n">
        <f aca="false">$F$2</f>
        <v>0.375</v>
      </c>
      <c r="G126" s="13" t="n">
        <f aca="false">IFERROR(IF($B126="","",$N126/$F126),"")</f>
        <v>157.579925555556</v>
      </c>
      <c r="H126" s="13" t="n">
        <f aca="false">IFERROR(IF($B126="","",$D126-$N126),"")</f>
        <v>50.9075279166667</v>
      </c>
      <c r="I126" s="12" t="n">
        <f aca="false">IFERROR(IF(OR($B126="",$D126=0,$D126=""),"",$H126/$D126),"")</f>
        <v>0.462795708333333</v>
      </c>
      <c r="J126" s="76" t="n">
        <f aca="false">$J$2</f>
        <v>0.25</v>
      </c>
      <c r="K126" s="12" t="n">
        <f aca="false">IFERROR(IF($B126="","",$E126+$J126),"")</f>
        <v>0.787204291666667</v>
      </c>
      <c r="L126" s="74" t="n">
        <f aca="false">IFERROR(IF(OR($B126="",$C126=0,$C126=""),"",$I126+ROW()*0.0000001),"")</f>
        <v>0.462808308333333</v>
      </c>
      <c r="M126" s="77" t="n">
        <f aca="false">$M$2</f>
        <v>0.9319</v>
      </c>
      <c r="N126" s="13" t="n">
        <f aca="false">IFERROR(IF($B126="","",$C126+$M126),"")</f>
        <v>59.0924720833333</v>
      </c>
    </row>
    <row r="127" customFormat="false" ht="39" hidden="false" customHeight="true" outlineLevel="0" collapsed="false">
      <c r="A127" s="70" t="str">
        <f aca="false">IFERROR(IF(المنيو!$B127="","",المنيو!$A127),"")</f>
        <v>قسم الكريب الصيامي</v>
      </c>
      <c r="B127" s="70" t="str">
        <f aca="false">IFERROR(المنيو!$B127,"")</f>
        <v>كريب جمبري صيامي</v>
      </c>
      <c r="C127" s="13" t="n">
        <f aca="false">IFERROR(IF($B127="","",SUMIFS(الريسبي!$F$2:$F$1800,الريسبي!$A$2:$A$1800,$B127)),"")</f>
        <v>74.9130720833333</v>
      </c>
      <c r="D127" s="71" t="n">
        <f aca="false">IFERROR(IF($B127="","",المنيو!$C127),"")</f>
        <v>190</v>
      </c>
      <c r="E127" s="12" t="n">
        <f aca="false">IFERROR(IF(OR($B127="",$D127=0,$D127=""),"",$N127/$D127),"")</f>
        <v>0.399184063596491</v>
      </c>
      <c r="F127" s="76" t="n">
        <f aca="false">$F$2</f>
        <v>0.375</v>
      </c>
      <c r="G127" s="13" t="n">
        <f aca="false">IFERROR(IF($B127="","",$N127/$F127),"")</f>
        <v>202.253258888889</v>
      </c>
      <c r="H127" s="13" t="n">
        <f aca="false">IFERROR(IF($B127="","",$D127-$N127),"")</f>
        <v>114.155027916667</v>
      </c>
      <c r="I127" s="12" t="n">
        <f aca="false">IFERROR(IF(OR($B127="",$D127=0,$D127=""),"",$H127/$D127),"")</f>
        <v>0.600815936403509</v>
      </c>
      <c r="J127" s="76" t="n">
        <f aca="false">$J$2</f>
        <v>0.25</v>
      </c>
      <c r="K127" s="12" t="n">
        <f aca="false">IFERROR(IF($B127="","",$E127+$J127),"")</f>
        <v>0.649184063596491</v>
      </c>
      <c r="L127" s="74" t="n">
        <f aca="false">IFERROR(IF(OR($B127="",$C127=0,$C127=""),"",$I127+ROW()*0.0000001),"")</f>
        <v>0.600828636403509</v>
      </c>
      <c r="M127" s="77" t="n">
        <f aca="false">$M$2</f>
        <v>0.9319</v>
      </c>
      <c r="N127" s="13" t="n">
        <f aca="false">IFERROR(IF($B127="","",$C127+$M127),"")</f>
        <v>75.8449720833333</v>
      </c>
    </row>
    <row r="128" customFormat="false" ht="39" hidden="false" customHeight="true" outlineLevel="0" collapsed="false">
      <c r="A128" s="70" t="str">
        <f aca="false">IFERROR(IF(المنيو!$B128="","",المنيو!$A128),"")</f>
        <v>قسم الإضافات</v>
      </c>
      <c r="B128" s="70" t="str">
        <f aca="false">IFERROR(المنيو!$B128,"")</f>
        <v>اضافة جبنة كيري (فطير M)</v>
      </c>
      <c r="C128" s="13" t="n">
        <f aca="false">IFERROR(IF($B128="","",SUMIFS(الريسبي!$F$2:$F$1800,الريسبي!$A$2:$A$1800,$B128)),"")</f>
        <v>14</v>
      </c>
      <c r="D128" s="71" t="n">
        <f aca="false">IFERROR(IF($B128="","",المنيو!$C128),"")</f>
        <v>40.92</v>
      </c>
      <c r="E128" s="12" t="n">
        <f aca="false">IFERROR(IF(OR($B128="",$D128=0,$D128=""),"",$N128/$D128),"")</f>
        <v>0.364904692082111</v>
      </c>
      <c r="F128" s="76" t="n">
        <f aca="false">$F$2</f>
        <v>0.375</v>
      </c>
      <c r="G128" s="13" t="n">
        <f aca="false">IFERROR(IF($B128="","",$N128/$F128),"")</f>
        <v>39.8184</v>
      </c>
      <c r="H128" s="13" t="n">
        <f aca="false">IFERROR(IF($B128="","",$D128-$N128),"")</f>
        <v>25.9881</v>
      </c>
      <c r="I128" s="12" t="n">
        <f aca="false">IFERROR(IF(OR($B128="",$D128=0,$D128=""),"",$H128/$D128),"")</f>
        <v>0.635095307917889</v>
      </c>
      <c r="J128" s="76" t="n">
        <f aca="false">$J$2</f>
        <v>0.25</v>
      </c>
      <c r="K128" s="12" t="n">
        <f aca="false">IFERROR(IF($B128="","",$E128+$J128),"")</f>
        <v>0.614904692082112</v>
      </c>
      <c r="L128" s="74" t="n">
        <f aca="false">IFERROR(IF(OR($B128="",$C128=0,$C128=""),"",$I128+ROW()*0.0000001),"")</f>
        <v>0.635108107917889</v>
      </c>
      <c r="M128" s="77" t="n">
        <f aca="false">$M$2</f>
        <v>0.9319</v>
      </c>
      <c r="N128" s="13" t="n">
        <f aca="false">IFERROR(IF($B128="","",$C128+$M128),"")</f>
        <v>14.9319</v>
      </c>
    </row>
    <row r="129" customFormat="false" ht="39" hidden="false" customHeight="true" outlineLevel="0" collapsed="false">
      <c r="A129" s="70" t="str">
        <f aca="false">IFERROR(IF(المنيو!$B129="","",المنيو!$A129),"")</f>
        <v>قسم الإضافات</v>
      </c>
      <c r="B129" s="70" t="str">
        <f aca="false">IFERROR(المنيو!$B129,"")</f>
        <v>اضافة جبنة كيري (فطير L)</v>
      </c>
      <c r="C129" s="13" t="n">
        <f aca="false">IFERROR(IF($B129="","",SUMIFS(الريسبي!$F$2:$F$1800,الريسبي!$A$2:$A$1800,$B129)),"")</f>
        <v>21</v>
      </c>
      <c r="D129" s="71" t="n">
        <f aca="false">IFERROR(IF($B129="","",المنيو!$C129),"")</f>
        <v>55.56</v>
      </c>
      <c r="E129" s="12" t="n">
        <f aca="false">IFERROR(IF(OR($B129="",$D129=0,$D129=""),"",$N129/$D129),"")</f>
        <v>0.394742620590353</v>
      </c>
      <c r="F129" s="76" t="n">
        <f aca="false">$F$2</f>
        <v>0.375</v>
      </c>
      <c r="G129" s="13" t="n">
        <f aca="false">IFERROR(IF($B129="","",$N129/$F129),"")</f>
        <v>58.4850666666667</v>
      </c>
      <c r="H129" s="13" t="n">
        <f aca="false">IFERROR(IF($B129="","",$D129-$N129),"")</f>
        <v>33.6281</v>
      </c>
      <c r="I129" s="12" t="n">
        <f aca="false">IFERROR(IF(OR($B129="",$D129=0,$D129=""),"",$H129/$D129),"")</f>
        <v>0.605257379409647</v>
      </c>
      <c r="J129" s="76" t="n">
        <f aca="false">$J$2</f>
        <v>0.25</v>
      </c>
      <c r="K129" s="12" t="n">
        <f aca="false">IFERROR(IF($B129="","",$E129+$J129),"")</f>
        <v>0.644742620590353</v>
      </c>
      <c r="L129" s="74" t="n">
        <f aca="false">IFERROR(IF(OR($B129="",$C129=0,$C129=""),"",$I129+ROW()*0.0000001),"")</f>
        <v>0.605270279409647</v>
      </c>
      <c r="M129" s="77" t="n">
        <f aca="false">$M$2</f>
        <v>0.9319</v>
      </c>
      <c r="N129" s="13" t="n">
        <f aca="false">IFERROR(IF($B129="","",$C129+$M129),"")</f>
        <v>21.9319</v>
      </c>
    </row>
    <row r="130" customFormat="false" ht="39" hidden="false" customHeight="true" outlineLevel="0" collapsed="false">
      <c r="A130" s="70" t="str">
        <f aca="false">IFERROR(IF(المنيو!$B130="","",المنيو!$A130),"")</f>
        <v>قسم الإضافات</v>
      </c>
      <c r="B130" s="70" t="str">
        <f aca="false">IFERROR(المنيو!$B130,"")</f>
        <v>اضافة جبنة كيري (بيتزا وسط)</v>
      </c>
      <c r="C130" s="13" t="n">
        <f aca="false">IFERROR(IF($B130="","",SUMIFS(الريسبي!$F$2:$F$1800,الريسبي!$A$2:$A$1800,$B130)),"")</f>
        <v>14</v>
      </c>
      <c r="D130" s="71" t="n">
        <f aca="false">IFERROR(IF($B130="","",المنيو!$C130),"")</f>
        <v>40.71</v>
      </c>
      <c r="E130" s="12" t="n">
        <f aca="false">IFERROR(IF(OR($B130="",$D130=0,$D130=""),"",$N130/$D130),"")</f>
        <v>0.366787030213707</v>
      </c>
      <c r="F130" s="76" t="n">
        <f aca="false">$F$2</f>
        <v>0.375</v>
      </c>
      <c r="G130" s="13" t="n">
        <f aca="false">IFERROR(IF($B130="","",$N130/$F130),"")</f>
        <v>39.8184</v>
      </c>
      <c r="H130" s="13" t="n">
        <f aca="false">IFERROR(IF($B130="","",$D130-$N130),"")</f>
        <v>25.7781</v>
      </c>
      <c r="I130" s="12" t="n">
        <f aca="false">IFERROR(IF(OR($B130="",$D130=0,$D130=""),"",$H130/$D130),"")</f>
        <v>0.633212969786293</v>
      </c>
      <c r="J130" s="76" t="n">
        <f aca="false">$J$2</f>
        <v>0.25</v>
      </c>
      <c r="K130" s="12" t="n">
        <f aca="false">IFERROR(IF($B130="","",$E130+$J130),"")</f>
        <v>0.616787030213707</v>
      </c>
      <c r="L130" s="74" t="n">
        <f aca="false">IFERROR(IF(OR($B130="",$C130=0,$C130=""),"",$I130+ROW()*0.0000001),"")</f>
        <v>0.633225969786293</v>
      </c>
      <c r="M130" s="77" t="n">
        <f aca="false">$M$2</f>
        <v>0.9319</v>
      </c>
      <c r="N130" s="13" t="n">
        <f aca="false">IFERROR(IF($B130="","",$C130+$M130),"")</f>
        <v>14.9319</v>
      </c>
    </row>
    <row r="131" customFormat="false" ht="39" hidden="false" customHeight="true" outlineLevel="0" collapsed="false">
      <c r="A131" s="70" t="str">
        <f aca="false">IFERROR(IF(المنيو!$B131="","",المنيو!$A131),"")</f>
        <v>قسم الإضافات</v>
      </c>
      <c r="B131" s="70" t="str">
        <f aca="false">IFERROR(المنيو!$B131,"")</f>
        <v>اضافة جبنة موتزريلا (فطير M)</v>
      </c>
      <c r="C131" s="13" t="n">
        <f aca="false">IFERROR(IF($B131="","",SUMIFS(الريسبي!$F$2:$F$1800,الريسبي!$A$2:$A$1800,$B131)),"")</f>
        <v>17.5</v>
      </c>
      <c r="D131" s="71" t="n">
        <f aca="false">IFERROR(IF($B131="","",المنيو!$C131),"")</f>
        <v>40.62</v>
      </c>
      <c r="E131" s="12" t="n">
        <f aca="false">IFERROR(IF(OR($B131="",$D131=0,$D131=""),"",$N131/$D131),"")</f>
        <v>0.45376415558838</v>
      </c>
      <c r="F131" s="76" t="n">
        <f aca="false">$F$2</f>
        <v>0.375</v>
      </c>
      <c r="G131" s="13" t="n">
        <f aca="false">IFERROR(IF($B131="","",$N131/$F131),"")</f>
        <v>49.1517333333333</v>
      </c>
      <c r="H131" s="13" t="n">
        <f aca="false">IFERROR(IF($B131="","",$D131-$N131),"")</f>
        <v>22.1881</v>
      </c>
      <c r="I131" s="12" t="n">
        <f aca="false">IFERROR(IF(OR($B131="",$D131=0,$D131=""),"",$H131/$D131),"")</f>
        <v>0.54623584441162</v>
      </c>
      <c r="J131" s="76" t="n">
        <f aca="false">$J$2</f>
        <v>0.25</v>
      </c>
      <c r="K131" s="12" t="n">
        <f aca="false">IFERROR(IF($B131="","",$E131+$J131),"")</f>
        <v>0.70376415558838</v>
      </c>
      <c r="L131" s="74" t="n">
        <f aca="false">IFERROR(IF(OR($B131="",$C131=0,$C131=""),"",$I131+ROW()*0.0000001),"")</f>
        <v>0.54624894441162</v>
      </c>
      <c r="M131" s="77" t="n">
        <f aca="false">$M$2</f>
        <v>0.9319</v>
      </c>
      <c r="N131" s="13" t="n">
        <f aca="false">IFERROR(IF($B131="","",$C131+$M131),"")</f>
        <v>18.4319</v>
      </c>
    </row>
    <row r="132" customFormat="false" ht="39" hidden="false" customHeight="true" outlineLevel="0" collapsed="false">
      <c r="A132" s="70" t="str">
        <f aca="false">IFERROR(IF(المنيو!$B132="","",المنيو!$A132),"")</f>
        <v>قسم الإضافات</v>
      </c>
      <c r="B132" s="70" t="str">
        <f aca="false">IFERROR(المنيو!$B132,"")</f>
        <v>اضافة جبنة موتزريلا (فطير L)</v>
      </c>
      <c r="C132" s="13" t="n">
        <f aca="false">IFERROR(IF($B132="","",SUMIFS(الريسبي!$F$2:$F$1800,الريسبي!$A$2:$A$1800,$B132)),"")</f>
        <v>25</v>
      </c>
      <c r="D132" s="71" t="n">
        <f aca="false">IFERROR(IF($B132="","",المنيو!$C132),"")</f>
        <v>55</v>
      </c>
      <c r="E132" s="12" t="n">
        <f aca="false">IFERROR(IF(OR($B132="",$D132=0,$D132=""),"",$N132/$D132),"")</f>
        <v>0.471489090909091</v>
      </c>
      <c r="F132" s="76" t="n">
        <f aca="false">$F$2</f>
        <v>0.375</v>
      </c>
      <c r="G132" s="13" t="n">
        <f aca="false">IFERROR(IF($B132="","",$N132/$F132),"")</f>
        <v>69.1517333333333</v>
      </c>
      <c r="H132" s="13" t="n">
        <f aca="false">IFERROR(IF($B132="","",$D132-$N132),"")</f>
        <v>29.0681</v>
      </c>
      <c r="I132" s="12" t="n">
        <f aca="false">IFERROR(IF(OR($B132="",$D132=0,$D132=""),"",$H132/$D132),"")</f>
        <v>0.528510909090909</v>
      </c>
      <c r="J132" s="76" t="n">
        <f aca="false">$J$2</f>
        <v>0.25</v>
      </c>
      <c r="K132" s="12" t="n">
        <f aca="false">IFERROR(IF($B132="","",$E132+$J132),"")</f>
        <v>0.721489090909091</v>
      </c>
      <c r="L132" s="74" t="n">
        <f aca="false">IFERROR(IF(OR($B132="",$C132=0,$C132=""),"",$I132+ROW()*0.0000001),"")</f>
        <v>0.528524109090909</v>
      </c>
      <c r="M132" s="77" t="n">
        <f aca="false">$M$2</f>
        <v>0.9319</v>
      </c>
      <c r="N132" s="13" t="n">
        <f aca="false">IFERROR(IF($B132="","",$C132+$M132),"")</f>
        <v>25.9319</v>
      </c>
    </row>
    <row r="133" customFormat="false" ht="39" hidden="false" customHeight="true" outlineLevel="0" collapsed="false">
      <c r="A133" s="70" t="str">
        <f aca="false">IFERROR(IF(المنيو!$B133="","",المنيو!$A133),"")</f>
        <v>قسم الإضافات</v>
      </c>
      <c r="B133" s="70" t="str">
        <f aca="false">IFERROR(المنيو!$B133,"")</f>
        <v>اضافة جبنة موتزريلا (بيتزا وسط)</v>
      </c>
      <c r="C133" s="13" t="n">
        <f aca="false">IFERROR(IF($B133="","",SUMIFS(الريسبي!$F$2:$F$1800,الريسبي!$A$2:$A$1800,$B133)),"")</f>
        <v>20</v>
      </c>
      <c r="D133" s="71" t="n">
        <f aca="false">IFERROR(IF($B133="","",المنيو!$C133),"")</f>
        <v>41.25</v>
      </c>
      <c r="E133" s="12" t="n">
        <f aca="false">IFERROR(IF(OR($B133="",$D133=0,$D133=""),"",$N133/$D133),"")</f>
        <v>0.50744</v>
      </c>
      <c r="F133" s="76" t="n">
        <f aca="false">$F$2</f>
        <v>0.375</v>
      </c>
      <c r="G133" s="13" t="n">
        <f aca="false">IFERROR(IF($B133="","",$N133/$F133),"")</f>
        <v>55.8184</v>
      </c>
      <c r="H133" s="13" t="n">
        <f aca="false">IFERROR(IF($B133="","",$D133-$N133),"")</f>
        <v>20.3181</v>
      </c>
      <c r="I133" s="12" t="n">
        <f aca="false">IFERROR(IF(OR($B133="",$D133=0,$D133=""),"",$H133/$D133),"")</f>
        <v>0.49256</v>
      </c>
      <c r="J133" s="76" t="n">
        <f aca="false">$J$2</f>
        <v>0.25</v>
      </c>
      <c r="K133" s="12" t="n">
        <f aca="false">IFERROR(IF($B133="","",$E133+$J133),"")</f>
        <v>0.75744</v>
      </c>
      <c r="L133" s="74" t="n">
        <f aca="false">IFERROR(IF(OR($B133="",$C133=0,$C133=""),"",$I133+ROW()*0.0000001),"")</f>
        <v>0.4925733</v>
      </c>
      <c r="M133" s="77" t="n">
        <f aca="false">$M$2</f>
        <v>0.9319</v>
      </c>
      <c r="N133" s="13" t="n">
        <f aca="false">IFERROR(IF($B133="","",$C133+$M133),"")</f>
        <v>20.9319</v>
      </c>
    </row>
    <row r="134" customFormat="false" ht="39" hidden="false" customHeight="true" outlineLevel="0" collapsed="false">
      <c r="A134" s="70" t="str">
        <f aca="false">IFERROR(IF(المنيو!$B134="","",المنيو!$A134),"")</f>
        <v>قسم الإضافات</v>
      </c>
      <c r="B134" s="70" t="str">
        <f aca="false">IFERROR(المنيو!$B134,"")</f>
        <v>اضافة جبنة موتزريلا (بيتزا كبير)</v>
      </c>
      <c r="C134" s="13" t="n">
        <f aca="false">IFERROR(IF($B134="","",SUMIFS(الريسبي!$F$2:$F$1800,الريسبي!$A$2:$A$1800,$B134)),"")</f>
        <v>27.1395</v>
      </c>
      <c r="D134" s="71" t="n">
        <f aca="false">IFERROR(IF($B134="","",المنيو!$C134),"")</f>
        <v>70</v>
      </c>
      <c r="E134" s="12" t="n">
        <f aca="false">IFERROR(IF(OR($B134="",$D134=0,$D134=""),"",$N134/$D134),"")</f>
        <v>0.40102</v>
      </c>
      <c r="F134" s="76" t="n">
        <f aca="false">$F$2</f>
        <v>0.375</v>
      </c>
      <c r="G134" s="13" t="n">
        <f aca="false">IFERROR(IF($B134="","",$N134/$F134),"")</f>
        <v>74.8570666666667</v>
      </c>
      <c r="H134" s="13" t="n">
        <f aca="false">IFERROR(IF($B134="","",$D134-$N134),"")</f>
        <v>41.9286</v>
      </c>
      <c r="I134" s="12" t="n">
        <f aca="false">IFERROR(IF(OR($B134="",$D134=0,$D134=""),"",$H134/$D134),"")</f>
        <v>0.59898</v>
      </c>
      <c r="J134" s="76" t="n">
        <f aca="false">$J$2</f>
        <v>0.25</v>
      </c>
      <c r="K134" s="12" t="n">
        <f aca="false">IFERROR(IF($B134="","",$E134+$J134),"")</f>
        <v>0.65102</v>
      </c>
      <c r="L134" s="74" t="n">
        <f aca="false">IFERROR(IF(OR($B134="",$C134=0,$C134=""),"",$I134+ROW()*0.0000001),"")</f>
        <v>0.5989934</v>
      </c>
      <c r="M134" s="77" t="n">
        <f aca="false">$M$2</f>
        <v>0.9319</v>
      </c>
      <c r="N134" s="13" t="n">
        <f aca="false">IFERROR(IF($B134="","",$C134+$M134),"")</f>
        <v>28.0714</v>
      </c>
    </row>
    <row r="135" customFormat="false" ht="39" hidden="false" customHeight="true" outlineLevel="0" collapsed="false">
      <c r="A135" s="70" t="str">
        <f aca="false">IFERROR(IF(المنيو!$B135="","",المنيو!$A135),"")</f>
        <v>قسم الإضافات</v>
      </c>
      <c r="B135" s="70" t="str">
        <f aca="false">IFERROR(المنيو!$B135,"")</f>
        <v>اضافة جبنة رومي (بيتزا وسط)</v>
      </c>
      <c r="C135" s="13" t="n">
        <f aca="false">IFERROR(IF($B135="","",SUMIFS(الريسبي!$F$2:$F$1800,الريسبي!$A$2:$A$1800,$B135)),"")</f>
        <v>9</v>
      </c>
      <c r="D135" s="71" t="n">
        <f aca="false">IFERROR(IF($B135="","",المنيو!$C135),"")</f>
        <v>40</v>
      </c>
      <c r="E135" s="12" t="n">
        <f aca="false">IFERROR(IF(OR($B135="",$D135=0,$D135=""),"",$N135/$D135),"")</f>
        <v>0.2482975</v>
      </c>
      <c r="F135" s="76" t="n">
        <f aca="false">$F$2</f>
        <v>0.375</v>
      </c>
      <c r="G135" s="13" t="n">
        <f aca="false">IFERROR(IF($B135="","",$N135/$F135),"")</f>
        <v>26.4850666666667</v>
      </c>
      <c r="H135" s="13" t="n">
        <f aca="false">IFERROR(IF($B135="","",$D135-$N135),"")</f>
        <v>30.0681</v>
      </c>
      <c r="I135" s="12" t="n">
        <f aca="false">IFERROR(IF(OR($B135="",$D135=0,$D135=""),"",$H135/$D135),"")</f>
        <v>0.7517025</v>
      </c>
      <c r="J135" s="76" t="n">
        <f aca="false">$J$2</f>
        <v>0.25</v>
      </c>
      <c r="K135" s="12" t="n">
        <f aca="false">IFERROR(IF($B135="","",$E135+$J135),"")</f>
        <v>0.4982975</v>
      </c>
      <c r="L135" s="74" t="n">
        <f aca="false">IFERROR(IF(OR($B135="",$C135=0,$C135=""),"",$I135+ROW()*0.0000001),"")</f>
        <v>0.751716</v>
      </c>
      <c r="M135" s="77" t="n">
        <f aca="false">$M$2</f>
        <v>0.9319</v>
      </c>
      <c r="N135" s="13" t="n">
        <f aca="false">IFERROR(IF($B135="","",$C135+$M135),"")</f>
        <v>9.9319</v>
      </c>
    </row>
    <row r="136" customFormat="false" ht="39" hidden="false" customHeight="true" outlineLevel="0" collapsed="false">
      <c r="A136" s="70" t="str">
        <f aca="false">IFERROR(IF(المنيو!$B136="","",المنيو!$A136),"")</f>
        <v>قسم الإضافات</v>
      </c>
      <c r="B136" s="70" t="str">
        <f aca="false">IFERROR(المنيو!$B136,"")</f>
        <v>اضافة جبنة رومي (فطير وسط)</v>
      </c>
      <c r="C136" s="13" t="n">
        <f aca="false">IFERROR(IF($B136="","",SUMIFS(الريسبي!$F$2:$F$1800,الريسبي!$A$2:$A$1800,$B136)),"")</f>
        <v>9</v>
      </c>
      <c r="D136" s="71" t="n">
        <f aca="false">IFERROR(IF($B136="","",المنيو!$C136),"")</f>
        <v>40</v>
      </c>
      <c r="E136" s="12" t="n">
        <f aca="false">IFERROR(IF(OR($B136="",$D136=0,$D136=""),"",$N136/$D136),"")</f>
        <v>0.2482975</v>
      </c>
      <c r="F136" s="76" t="n">
        <f aca="false">$F$2</f>
        <v>0.375</v>
      </c>
      <c r="G136" s="13" t="n">
        <f aca="false">IFERROR(IF($B136="","",$N136/$F136),"")</f>
        <v>26.4850666666667</v>
      </c>
      <c r="H136" s="13" t="n">
        <f aca="false">IFERROR(IF($B136="","",$D136-$N136),"")</f>
        <v>30.0681</v>
      </c>
      <c r="I136" s="12" t="n">
        <f aca="false">IFERROR(IF(OR($B136="",$D136=0,$D136=""),"",$H136/$D136),"")</f>
        <v>0.7517025</v>
      </c>
      <c r="J136" s="76" t="n">
        <f aca="false">$J$2</f>
        <v>0.25</v>
      </c>
      <c r="K136" s="12" t="n">
        <f aca="false">IFERROR(IF($B136="","",$E136+$J136),"")</f>
        <v>0.4982975</v>
      </c>
      <c r="L136" s="74" t="n">
        <f aca="false">IFERROR(IF(OR($B136="",$C136=0,$C136=""),"",$I136+ROW()*0.0000001),"")</f>
        <v>0.7517161</v>
      </c>
      <c r="M136" s="77" t="n">
        <f aca="false">$M$2</f>
        <v>0.9319</v>
      </c>
      <c r="N136" s="13" t="n">
        <f aca="false">IFERROR(IF($B136="","",$C136+$M136),"")</f>
        <v>9.9319</v>
      </c>
    </row>
    <row r="137" customFormat="false" ht="39" hidden="false" customHeight="true" outlineLevel="0" collapsed="false">
      <c r="A137" s="70" t="str">
        <f aca="false">IFERROR(IF(المنيو!$B137="","",المنيو!$A137),"")</f>
        <v>قسم الإضافات</v>
      </c>
      <c r="B137" s="70" t="str">
        <f aca="false">IFERROR(المنيو!$B137,"")</f>
        <v>اضافة جبنة رومي (فطير كبير)</v>
      </c>
      <c r="C137" s="13" t="n">
        <f aca="false">IFERROR(IF($B137="","",SUMIFS(الريسبي!$F$2:$F$1800,الريسبي!$A$2:$A$1800,$B137)),"")</f>
        <v>13.5</v>
      </c>
      <c r="D137" s="71" t="n">
        <f aca="false">IFERROR(IF($B137="","",المنيو!$C137),"")</f>
        <v>55</v>
      </c>
      <c r="E137" s="12" t="n">
        <f aca="false">IFERROR(IF(OR($B137="",$D137=0,$D137=""),"",$N137/$D137),"")</f>
        <v>0.262398181818182</v>
      </c>
      <c r="F137" s="76" t="n">
        <f aca="false">$F$2</f>
        <v>0.375</v>
      </c>
      <c r="G137" s="13" t="n">
        <f aca="false">IFERROR(IF($B137="","",$N137/$F137),"")</f>
        <v>38.4850666666667</v>
      </c>
      <c r="H137" s="13" t="n">
        <f aca="false">IFERROR(IF($B137="","",$D137-$N137),"")</f>
        <v>40.5681</v>
      </c>
      <c r="I137" s="12" t="n">
        <f aca="false">IFERROR(IF(OR($B137="",$D137=0,$D137=""),"",$H137/$D137),"")</f>
        <v>0.737601818181818</v>
      </c>
      <c r="J137" s="76" t="n">
        <f aca="false">$J$2</f>
        <v>0.25</v>
      </c>
      <c r="K137" s="12" t="n">
        <f aca="false">IFERROR(IF($B137="","",$E137+$J137),"")</f>
        <v>0.512398181818182</v>
      </c>
      <c r="L137" s="74" t="n">
        <f aca="false">IFERROR(IF(OR($B137="",$C137=0,$C137=""),"",$I137+ROW()*0.0000001),"")</f>
        <v>0.737615518181818</v>
      </c>
      <c r="M137" s="77" t="n">
        <f aca="false">$M$2</f>
        <v>0.9319</v>
      </c>
      <c r="N137" s="13" t="n">
        <f aca="false">IFERROR(IF($B137="","",$C137+$M137),"")</f>
        <v>14.4319</v>
      </c>
    </row>
    <row r="138" customFormat="false" ht="39" hidden="false" customHeight="true" outlineLevel="0" collapsed="false">
      <c r="A138" s="70" t="str">
        <f aca="false">IFERROR(IF(المنيو!$B138="","",المنيو!$A138),"")</f>
        <v>قسم الإضافات</v>
      </c>
      <c r="B138" s="70" t="str">
        <f aca="false">IFERROR(المنيو!$B138,"")</f>
        <v>اضافة مكسرات (وسط)</v>
      </c>
      <c r="C138" s="13" t="n">
        <f aca="false">IFERROR(IF($B138="","",SUMIFS(الريسبي!$F$2:$F$1800,الريسبي!$A$2:$A$1800,$B138)),"")</f>
        <v>23</v>
      </c>
      <c r="D138" s="71" t="n">
        <f aca="false">IFERROR(IF($B138="","",المنيو!$C138),"")</f>
        <v>50</v>
      </c>
      <c r="E138" s="12" t="n">
        <f aca="false">IFERROR(IF(OR($B138="",$D138=0,$D138=""),"",$N138/$D138),"")</f>
        <v>0.478638</v>
      </c>
      <c r="F138" s="76" t="n">
        <f aca="false">$F$2</f>
        <v>0.375</v>
      </c>
      <c r="G138" s="13" t="n">
        <f aca="false">IFERROR(IF($B138="","",$N138/$F138),"")</f>
        <v>63.8184</v>
      </c>
      <c r="H138" s="13" t="n">
        <f aca="false">IFERROR(IF($B138="","",$D138-$N138),"")</f>
        <v>26.0681</v>
      </c>
      <c r="I138" s="12" t="n">
        <f aca="false">IFERROR(IF(OR($B138="",$D138=0,$D138=""),"",$H138/$D138),"")</f>
        <v>0.521362</v>
      </c>
      <c r="J138" s="76" t="n">
        <f aca="false">$J$2</f>
        <v>0.25</v>
      </c>
      <c r="K138" s="12" t="n">
        <f aca="false">IFERROR(IF($B138="","",$E138+$J138),"")</f>
        <v>0.728638</v>
      </c>
      <c r="L138" s="74" t="n">
        <f aca="false">IFERROR(IF(OR($B138="",$C138=0,$C138=""),"",$I138+ROW()*0.0000001),"")</f>
        <v>0.5213758</v>
      </c>
      <c r="M138" s="77" t="n">
        <f aca="false">$M$2</f>
        <v>0.9319</v>
      </c>
      <c r="N138" s="13" t="n">
        <f aca="false">IFERROR(IF($B138="","",$C138+$M138),"")</f>
        <v>23.9319</v>
      </c>
    </row>
    <row r="139" customFormat="false" ht="39" hidden="false" customHeight="true" outlineLevel="0" collapsed="false">
      <c r="A139" s="70" t="str">
        <f aca="false">IFERROR(IF(المنيو!$B139="","",المنيو!$A139),"")</f>
        <v>قسم الإضافات</v>
      </c>
      <c r="B139" s="70" t="str">
        <f aca="false">IFERROR(المنيو!$B139,"")</f>
        <v>اضافة مكسرات (كبير)</v>
      </c>
      <c r="C139" s="13" t="n">
        <f aca="false">IFERROR(IF($B139="","",SUMIFS(الريسبي!$F$2:$F$1800,الريسبي!$A$2:$A$1800,$B139)),"")</f>
        <v>46</v>
      </c>
      <c r="D139" s="71" t="n">
        <f aca="false">IFERROR(IF($B139="","",المنيو!$C139),"")</f>
        <v>90</v>
      </c>
      <c r="E139" s="12" t="n">
        <f aca="false">IFERROR(IF(OR($B139="",$D139=0,$D139=""),"",$N139/$D139),"")</f>
        <v>0.521465555555556</v>
      </c>
      <c r="F139" s="76" t="n">
        <f aca="false">$F$2</f>
        <v>0.375</v>
      </c>
      <c r="G139" s="13" t="n">
        <f aca="false">IFERROR(IF($B139="","",$N139/$F139),"")</f>
        <v>125.151733333333</v>
      </c>
      <c r="H139" s="13" t="n">
        <f aca="false">IFERROR(IF($B139="","",$D139-$N139),"")</f>
        <v>43.0681</v>
      </c>
      <c r="I139" s="12" t="n">
        <f aca="false">IFERROR(IF(OR($B139="",$D139=0,$D139=""),"",$H139/$D139),"")</f>
        <v>0.478534444444445</v>
      </c>
      <c r="J139" s="76" t="n">
        <f aca="false">$J$2</f>
        <v>0.25</v>
      </c>
      <c r="K139" s="12" t="n">
        <f aca="false">IFERROR(IF($B139="","",$E139+$J139),"")</f>
        <v>0.771465555555556</v>
      </c>
      <c r="L139" s="74" t="n">
        <f aca="false">IFERROR(IF(OR($B139="",$C139=0,$C139=""),"",$I139+ROW()*0.0000001),"")</f>
        <v>0.478548344444445</v>
      </c>
      <c r="M139" s="77" t="n">
        <f aca="false">$M$2</f>
        <v>0.9319</v>
      </c>
      <c r="N139" s="13" t="n">
        <f aca="false">IFERROR(IF($B139="","",$C139+$M139),"")</f>
        <v>46.9319</v>
      </c>
    </row>
    <row r="140" customFormat="false" ht="39" hidden="false" customHeight="true" outlineLevel="0" collapsed="false">
      <c r="A140" s="70" t="str">
        <f aca="false">IFERROR(IF(المنيو!$B140="","",المنيو!$A140),"")</f>
        <v>قسم الإضافات</v>
      </c>
      <c r="B140" s="70" t="str">
        <f aca="false">IFERROR(المنيو!$B140,"")</f>
        <v>اضافة شيكولاتة (عام)</v>
      </c>
      <c r="C140" s="13" t="n">
        <f aca="false">IFERROR(IF($B140="","",SUMIFS(الريسبي!$F$2:$F$1800,الريسبي!$A$2:$A$1800,$B140)),"")</f>
        <v>12.76582</v>
      </c>
      <c r="D140" s="71" t="n">
        <f aca="false">IFERROR(IF($B140="","",المنيو!$C140),"")</f>
        <v>50</v>
      </c>
      <c r="E140" s="12" t="n">
        <f aca="false">IFERROR(IF(OR($B140="",$D140=0,$D140=""),"",$N140/$D140),"")</f>
        <v>0.2739544</v>
      </c>
      <c r="F140" s="76" t="n">
        <f aca="false">$F$2</f>
        <v>0.375</v>
      </c>
      <c r="G140" s="13" t="n">
        <f aca="false">IFERROR(IF($B140="","",$N140/$F140),"")</f>
        <v>36.5272533333333</v>
      </c>
      <c r="H140" s="13" t="n">
        <f aca="false">IFERROR(IF($B140="","",$D140-$N140),"")</f>
        <v>36.30228</v>
      </c>
      <c r="I140" s="12" t="n">
        <f aca="false">IFERROR(IF(OR($B140="",$D140=0,$D140=""),"",$H140/$D140),"")</f>
        <v>0.7260456</v>
      </c>
      <c r="J140" s="76" t="n">
        <f aca="false">$J$2</f>
        <v>0.25</v>
      </c>
      <c r="K140" s="12" t="n">
        <f aca="false">IFERROR(IF($B140="","",$E140+$J140),"")</f>
        <v>0.5239544</v>
      </c>
      <c r="L140" s="74" t="n">
        <f aca="false">IFERROR(IF(OR($B140="",$C140=0,$C140=""),"",$I140+ROW()*0.0000001),"")</f>
        <v>0.7260596</v>
      </c>
      <c r="M140" s="77" t="n">
        <f aca="false">$M$2</f>
        <v>0.9319</v>
      </c>
      <c r="N140" s="13" t="n">
        <f aca="false">IFERROR(IF($B140="","",$C140+$M140),"")</f>
        <v>13.69772</v>
      </c>
    </row>
    <row r="141" customFormat="false" ht="39" hidden="false" customHeight="true" outlineLevel="0" collapsed="false">
      <c r="A141" s="70" t="str">
        <f aca="false">IFERROR(IF(المنيو!$B141="","",المنيو!$A141),"")</f>
        <v>قسم الإضافات</v>
      </c>
      <c r="B141" s="70" t="str">
        <f aca="false">IFERROR(المنيو!$B141,"")</f>
        <v>اضافة قشطة (عام)</v>
      </c>
      <c r="C141" s="13" t="n">
        <f aca="false">IFERROR(IF($B141="","",SUMIFS(الريسبي!$F$2:$F$1800,الريسبي!$A$2:$A$1800,$B141)),"")</f>
        <v>25</v>
      </c>
      <c r="D141" s="71" t="n">
        <f aca="false">IFERROR(IF($B141="","",المنيو!$C141),"")</f>
        <v>60</v>
      </c>
      <c r="E141" s="12" t="n">
        <f aca="false">IFERROR(IF(OR($B141="",$D141=0,$D141=""),"",$N141/$D141),"")</f>
        <v>0.432198333333333</v>
      </c>
      <c r="F141" s="76" t="n">
        <f aca="false">$F$2</f>
        <v>0.375</v>
      </c>
      <c r="G141" s="13" t="n">
        <f aca="false">IFERROR(IF($B141="","",$N141/$F141),"")</f>
        <v>69.1517333333333</v>
      </c>
      <c r="H141" s="13" t="n">
        <f aca="false">IFERROR(IF($B141="","",$D141-$N141),"")</f>
        <v>34.0681</v>
      </c>
      <c r="I141" s="12" t="n">
        <f aca="false">IFERROR(IF(OR($B141="",$D141=0,$D141=""),"",$H141/$D141),"")</f>
        <v>0.567801666666667</v>
      </c>
      <c r="J141" s="76" t="n">
        <f aca="false">$J$2</f>
        <v>0.25</v>
      </c>
      <c r="K141" s="12" t="n">
        <f aca="false">IFERROR(IF($B141="","",$E141+$J141),"")</f>
        <v>0.682198333333333</v>
      </c>
      <c r="L141" s="74" t="n">
        <f aca="false">IFERROR(IF(OR($B141="",$C141=0,$C141=""),"",$I141+ROW()*0.0000001),"")</f>
        <v>0.567815766666667</v>
      </c>
      <c r="M141" s="77" t="n">
        <f aca="false">$M$2</f>
        <v>0.9319</v>
      </c>
      <c r="N141" s="13" t="n">
        <f aca="false">IFERROR(IF($B141="","",$C141+$M141),"")</f>
        <v>25.9319</v>
      </c>
    </row>
    <row r="142" customFormat="false" ht="39" hidden="false" customHeight="true" outlineLevel="0" collapsed="false">
      <c r="A142" s="70" t="str">
        <f aca="false">IFERROR(IF(المنيو!$B142="","",المنيو!$A142),"")</f>
        <v>قسم الإضافات</v>
      </c>
      <c r="B142" s="70" t="str">
        <f aca="false">IFERROR(المنيو!$B142,"")</f>
        <v>اضافة مفروم (بيتزا وسط)</v>
      </c>
      <c r="C142" s="13" t="n">
        <f aca="false">IFERROR(IF($B142="","",SUMIFS(الريسبي!$F$2:$F$1800,الريسبي!$A$2:$A$1800,$B142)),"")</f>
        <v>21</v>
      </c>
      <c r="D142" s="71" t="n">
        <f aca="false">IFERROR(IF($B142="","",المنيو!$C142),"")</f>
        <v>60</v>
      </c>
      <c r="E142" s="12" t="n">
        <f aca="false">IFERROR(IF(OR($B142="",$D142=0,$D142=""),"",$N142/$D142),"")</f>
        <v>0.365531666666667</v>
      </c>
      <c r="F142" s="76" t="n">
        <f aca="false">$F$2</f>
        <v>0.375</v>
      </c>
      <c r="G142" s="13" t="n">
        <f aca="false">IFERROR(IF($B142="","",$N142/$F142),"")</f>
        <v>58.4850666666667</v>
      </c>
      <c r="H142" s="13" t="n">
        <f aca="false">IFERROR(IF($B142="","",$D142-$N142),"")</f>
        <v>38.0681</v>
      </c>
      <c r="I142" s="12" t="n">
        <f aca="false">IFERROR(IF(OR($B142="",$D142=0,$D142=""),"",$H142/$D142),"")</f>
        <v>0.634468333333333</v>
      </c>
      <c r="J142" s="76" t="n">
        <f aca="false">$J$2</f>
        <v>0.25</v>
      </c>
      <c r="K142" s="12" t="n">
        <f aca="false">IFERROR(IF($B142="","",$E142+$J142),"")</f>
        <v>0.615531666666667</v>
      </c>
      <c r="L142" s="74" t="n">
        <f aca="false">IFERROR(IF(OR($B142="",$C142=0,$C142=""),"",$I142+ROW()*0.0000001),"")</f>
        <v>0.634482533333333</v>
      </c>
      <c r="M142" s="77" t="n">
        <f aca="false">$M$2</f>
        <v>0.9319</v>
      </c>
      <c r="N142" s="13" t="n">
        <f aca="false">IFERROR(IF($B142="","",$C142+$M142),"")</f>
        <v>21.9319</v>
      </c>
    </row>
    <row r="143" customFormat="false" ht="39" hidden="false" customHeight="true" outlineLevel="0" collapsed="false">
      <c r="A143" s="70" t="str">
        <f aca="false">IFERROR(IF(المنيو!$B143="","",المنيو!$A143),"")</f>
        <v>قسم الإضافات</v>
      </c>
      <c r="B143" s="70" t="str">
        <f aca="false">IFERROR(المنيو!$B143,"")</f>
        <v>اضافة مفروم (فطير وسط)</v>
      </c>
      <c r="C143" s="13" t="n">
        <f aca="false">IFERROR(IF($B143="","",SUMIFS(الريسبي!$F$2:$F$1800,الريسبي!$A$2:$A$1800,$B143)),"")</f>
        <v>21</v>
      </c>
      <c r="D143" s="71" t="n">
        <f aca="false">IFERROR(IF($B143="","",المنيو!$C143),"")</f>
        <v>60</v>
      </c>
      <c r="E143" s="12" t="n">
        <f aca="false">IFERROR(IF(OR($B143="",$D143=0,$D143=""),"",$N143/$D143),"")</f>
        <v>0.365531666666667</v>
      </c>
      <c r="F143" s="76" t="n">
        <f aca="false">$F$2</f>
        <v>0.375</v>
      </c>
      <c r="G143" s="13" t="n">
        <f aca="false">IFERROR(IF($B143="","",$N143/$F143),"")</f>
        <v>58.4850666666667</v>
      </c>
      <c r="H143" s="13" t="n">
        <f aca="false">IFERROR(IF($B143="","",$D143-$N143),"")</f>
        <v>38.0681</v>
      </c>
      <c r="I143" s="12" t="n">
        <f aca="false">IFERROR(IF(OR($B143="",$D143=0,$D143=""),"",$H143/$D143),"")</f>
        <v>0.634468333333333</v>
      </c>
      <c r="J143" s="76" t="n">
        <f aca="false">$J$2</f>
        <v>0.25</v>
      </c>
      <c r="K143" s="12" t="n">
        <f aca="false">IFERROR(IF($B143="","",$E143+$J143),"")</f>
        <v>0.615531666666667</v>
      </c>
      <c r="L143" s="74" t="n">
        <f aca="false">IFERROR(IF(OR($B143="",$C143=0,$C143=""),"",$I143+ROW()*0.0000001),"")</f>
        <v>0.634482633333333</v>
      </c>
      <c r="M143" s="77" t="n">
        <f aca="false">$M$2</f>
        <v>0.9319</v>
      </c>
      <c r="N143" s="13" t="n">
        <f aca="false">IFERROR(IF($B143="","",$C143+$M143),"")</f>
        <v>21.9319</v>
      </c>
    </row>
    <row r="144" customFormat="false" ht="39" hidden="false" customHeight="true" outlineLevel="0" collapsed="false">
      <c r="A144" s="70" t="str">
        <f aca="false">IFERROR(IF(المنيو!$B144="","",المنيو!$A144),"")</f>
        <v>قسم الإضافات</v>
      </c>
      <c r="B144" s="70" t="str">
        <f aca="false">IFERROR(المنيو!$B144,"")</f>
        <v>اضافة سدق (بيتزا وسط)</v>
      </c>
      <c r="C144" s="13" t="n">
        <f aca="false">IFERROR(IF($B144="","",SUMIFS(الريسبي!$F$2:$F$1800,الريسبي!$A$2:$A$1800,$B144)),"")</f>
        <v>34</v>
      </c>
      <c r="D144" s="71" t="n">
        <f aca="false">IFERROR(IF($B144="","",المنيو!$C144),"")</f>
        <v>80</v>
      </c>
      <c r="E144" s="12" t="n">
        <f aca="false">IFERROR(IF(OR($B144="",$D144=0,$D144=""),"",$N144/$D144),"")</f>
        <v>0.43664875</v>
      </c>
      <c r="F144" s="76" t="n">
        <f aca="false">$F$2</f>
        <v>0.375</v>
      </c>
      <c r="G144" s="13" t="n">
        <f aca="false">IFERROR(IF($B144="","",$N144/$F144),"")</f>
        <v>93.1517333333333</v>
      </c>
      <c r="H144" s="13" t="n">
        <f aca="false">IFERROR(IF($B144="","",$D144-$N144),"")</f>
        <v>45.0681</v>
      </c>
      <c r="I144" s="12" t="n">
        <f aca="false">IFERROR(IF(OR($B144="",$D144=0,$D144=""),"",$H144/$D144),"")</f>
        <v>0.56335125</v>
      </c>
      <c r="J144" s="76" t="n">
        <f aca="false">$J$2</f>
        <v>0.25</v>
      </c>
      <c r="K144" s="12" t="n">
        <f aca="false">IFERROR(IF($B144="","",$E144+$J144),"")</f>
        <v>0.68664875</v>
      </c>
      <c r="L144" s="74" t="n">
        <f aca="false">IFERROR(IF(OR($B144="",$C144=0,$C144=""),"",$I144+ROW()*0.0000001),"")</f>
        <v>0.56336565</v>
      </c>
      <c r="M144" s="77" t="n">
        <f aca="false">$M$2</f>
        <v>0.9319</v>
      </c>
      <c r="N144" s="13" t="n">
        <f aca="false">IFERROR(IF($B144="","",$C144+$M144),"")</f>
        <v>34.9319</v>
      </c>
    </row>
    <row r="145" customFormat="false" ht="39" hidden="false" customHeight="true" outlineLevel="0" collapsed="false">
      <c r="A145" s="70" t="str">
        <f aca="false">IFERROR(IF(المنيو!$B145="","",المنيو!$A145),"")</f>
        <v>قسم الإضافات</v>
      </c>
      <c r="B145" s="70" t="str">
        <f aca="false">IFERROR(المنيو!$B145,"")</f>
        <v>اضافة سدق (فطير وسط)</v>
      </c>
      <c r="C145" s="13" t="n">
        <f aca="false">IFERROR(IF($B145="","",SUMIFS(الريسبي!$F$2:$F$1800,الريسبي!$A$2:$A$1800,$B145)),"")</f>
        <v>34</v>
      </c>
      <c r="D145" s="71" t="n">
        <f aca="false">IFERROR(IF($B145="","",المنيو!$C145),"")</f>
        <v>83.33</v>
      </c>
      <c r="E145" s="12" t="n">
        <f aca="false">IFERROR(IF(OR($B145="",$D145=0,$D145=""),"",$N145/$D145),"")</f>
        <v>0.419199567982719</v>
      </c>
      <c r="F145" s="76" t="n">
        <f aca="false">$F$2</f>
        <v>0.375</v>
      </c>
      <c r="G145" s="13" t="n">
        <f aca="false">IFERROR(IF($B145="","",$N145/$F145),"")</f>
        <v>93.1517333333333</v>
      </c>
      <c r="H145" s="13" t="n">
        <f aca="false">IFERROR(IF($B145="","",$D145-$N145),"")</f>
        <v>48.3981</v>
      </c>
      <c r="I145" s="12" t="n">
        <f aca="false">IFERROR(IF(OR($B145="",$D145=0,$D145=""),"",$H145/$D145),"")</f>
        <v>0.580800432017281</v>
      </c>
      <c r="J145" s="76" t="n">
        <f aca="false">$J$2</f>
        <v>0.25</v>
      </c>
      <c r="K145" s="12" t="n">
        <f aca="false">IFERROR(IF($B145="","",$E145+$J145),"")</f>
        <v>0.669199567982719</v>
      </c>
      <c r="L145" s="74" t="n">
        <f aca="false">IFERROR(IF(OR($B145="",$C145=0,$C145=""),"",$I145+ROW()*0.0000001),"")</f>
        <v>0.580814932017281</v>
      </c>
      <c r="M145" s="77" t="n">
        <f aca="false">$M$2</f>
        <v>0.9319</v>
      </c>
      <c r="N145" s="13" t="n">
        <f aca="false">IFERROR(IF($B145="","",$C145+$M145),"")</f>
        <v>34.9319</v>
      </c>
    </row>
    <row r="146" customFormat="false" ht="39" hidden="false" customHeight="true" outlineLevel="0" collapsed="false">
      <c r="A146" s="70" t="str">
        <f aca="false">IFERROR(IF(المنيو!$B146="","",المنيو!$A146),"")</f>
        <v>قسم الإضافات</v>
      </c>
      <c r="B146" s="70" t="str">
        <f aca="false">IFERROR(المنيو!$B146,"")</f>
        <v>اضافة سدق (فطير كبير)</v>
      </c>
      <c r="C146" s="13" t="n">
        <f aca="false">IFERROR(IF($B146="","",SUMIFS(الريسبي!$F$2:$F$1800,الريسبي!$A$2:$A$1800,$B146)),"")</f>
        <v>45</v>
      </c>
      <c r="D146" s="71" t="n">
        <f aca="false">IFERROR(IF($B146="","",المنيو!$C146),"")</f>
        <v>100</v>
      </c>
      <c r="E146" s="12" t="n">
        <f aca="false">IFERROR(IF(OR($B146="",$D146=0,$D146=""),"",$N146/$D146),"")</f>
        <v>0.459319</v>
      </c>
      <c r="F146" s="76" t="n">
        <f aca="false">$F$2</f>
        <v>0.375</v>
      </c>
      <c r="G146" s="13" t="n">
        <f aca="false">IFERROR(IF($B146="","",$N146/$F146),"")</f>
        <v>122.485066666667</v>
      </c>
      <c r="H146" s="13" t="n">
        <f aca="false">IFERROR(IF($B146="","",$D146-$N146),"")</f>
        <v>54.0681</v>
      </c>
      <c r="I146" s="12" t="n">
        <f aca="false">IFERROR(IF(OR($B146="",$D146=0,$D146=""),"",$H146/$D146),"")</f>
        <v>0.540681</v>
      </c>
      <c r="J146" s="76" t="n">
        <f aca="false">$J$2</f>
        <v>0.25</v>
      </c>
      <c r="K146" s="12" t="n">
        <f aca="false">IFERROR(IF($B146="","",$E146+$J146),"")</f>
        <v>0.709319</v>
      </c>
      <c r="L146" s="74" t="n">
        <f aca="false">IFERROR(IF(OR($B146="",$C146=0,$C146=""),"",$I146+ROW()*0.0000001),"")</f>
        <v>0.5406956</v>
      </c>
      <c r="M146" s="77" t="n">
        <f aca="false">$M$2</f>
        <v>0.9319</v>
      </c>
      <c r="N146" s="13" t="n">
        <f aca="false">IFERROR(IF($B146="","",$C146+$M146),"")</f>
        <v>45.9319</v>
      </c>
    </row>
    <row r="147" customFormat="false" ht="39" hidden="false" customHeight="true" outlineLevel="0" collapsed="false">
      <c r="A147" s="70" t="str">
        <f aca="false">IFERROR(IF(المنيو!$B147="","",المنيو!$A147),"")</f>
        <v>قسم الإضافات</v>
      </c>
      <c r="B147" s="70" t="str">
        <f aca="false">IFERROR(المنيو!$B147,"")</f>
        <v>اضافة بسطرمة (بيتزا وسط)</v>
      </c>
      <c r="C147" s="13" t="n">
        <f aca="false">IFERROR(IF($B147="","",SUMIFS(الريسبي!$F$2:$F$1800,الريسبي!$A$2:$A$1800,$B147)),"")</f>
        <v>35</v>
      </c>
      <c r="D147" s="71" t="n">
        <f aca="false">IFERROR(IF($B147="","",المنيو!$C147),"")</f>
        <v>80</v>
      </c>
      <c r="E147" s="12" t="n">
        <f aca="false">IFERROR(IF(OR($B147="",$D147=0,$D147=""),"",$N147/$D147),"")</f>
        <v>0.44914875</v>
      </c>
      <c r="F147" s="76" t="n">
        <f aca="false">$F$2</f>
        <v>0.375</v>
      </c>
      <c r="G147" s="13" t="n">
        <f aca="false">IFERROR(IF($B147="","",$N147/$F147),"")</f>
        <v>95.8184</v>
      </c>
      <c r="H147" s="13" t="n">
        <f aca="false">IFERROR(IF($B147="","",$D147-$N147),"")</f>
        <v>44.0681</v>
      </c>
      <c r="I147" s="12" t="n">
        <f aca="false">IFERROR(IF(OR($B147="",$D147=0,$D147=""),"",$H147/$D147),"")</f>
        <v>0.55085125</v>
      </c>
      <c r="J147" s="76" t="n">
        <f aca="false">$J$2</f>
        <v>0.25</v>
      </c>
      <c r="K147" s="12" t="n">
        <f aca="false">IFERROR(IF($B147="","",$E147+$J147),"")</f>
        <v>0.69914875</v>
      </c>
      <c r="L147" s="74" t="n">
        <f aca="false">IFERROR(IF(OR($B147="",$C147=0,$C147=""),"",$I147+ROW()*0.0000001),"")</f>
        <v>0.55086595</v>
      </c>
      <c r="M147" s="77" t="n">
        <f aca="false">$M$2</f>
        <v>0.9319</v>
      </c>
      <c r="N147" s="13" t="n">
        <f aca="false">IFERROR(IF($B147="","",$C147+$M147),"")</f>
        <v>35.9319</v>
      </c>
    </row>
    <row r="148" customFormat="false" ht="39" hidden="false" customHeight="true" outlineLevel="0" collapsed="false">
      <c r="A148" s="70" t="str">
        <f aca="false">IFERROR(IF(المنيو!$B148="","",المنيو!$A148),"")</f>
        <v>قسم الإضافات</v>
      </c>
      <c r="B148" s="70" t="str">
        <f aca="false">IFERROR(المنيو!$B148,"")</f>
        <v>اضافة بسطرمة (فطير وسط)</v>
      </c>
      <c r="C148" s="13" t="n">
        <f aca="false">IFERROR(IF($B148="","",SUMIFS(الريسبي!$F$2:$F$1800,الريسبي!$A$2:$A$1800,$B148)),"")</f>
        <v>35</v>
      </c>
      <c r="D148" s="71" t="n">
        <f aca="false">IFERROR(IF($B148="","",المنيو!$C148),"")</f>
        <v>80</v>
      </c>
      <c r="E148" s="12" t="n">
        <f aca="false">IFERROR(IF(OR($B148="",$D148=0,$D148=""),"",$N148/$D148),"")</f>
        <v>0.44914875</v>
      </c>
      <c r="F148" s="76" t="n">
        <f aca="false">$F$2</f>
        <v>0.375</v>
      </c>
      <c r="G148" s="13" t="n">
        <f aca="false">IFERROR(IF($B148="","",$N148/$F148),"")</f>
        <v>95.8184</v>
      </c>
      <c r="H148" s="13" t="n">
        <f aca="false">IFERROR(IF($B148="","",$D148-$N148),"")</f>
        <v>44.0681</v>
      </c>
      <c r="I148" s="12" t="n">
        <f aca="false">IFERROR(IF(OR($B148="",$D148=0,$D148=""),"",$H148/$D148),"")</f>
        <v>0.55085125</v>
      </c>
      <c r="J148" s="76" t="n">
        <f aca="false">$J$2</f>
        <v>0.25</v>
      </c>
      <c r="K148" s="12" t="n">
        <f aca="false">IFERROR(IF($B148="","",$E148+$J148),"")</f>
        <v>0.69914875</v>
      </c>
      <c r="L148" s="74" t="n">
        <f aca="false">IFERROR(IF(OR($B148="",$C148=0,$C148=""),"",$I148+ROW()*0.0000001),"")</f>
        <v>0.55086605</v>
      </c>
      <c r="M148" s="77" t="n">
        <f aca="false">$M$2</f>
        <v>0.9319</v>
      </c>
      <c r="N148" s="13" t="n">
        <f aca="false">IFERROR(IF($B148="","",$C148+$M148),"")</f>
        <v>35.9319</v>
      </c>
    </row>
    <row r="149" customFormat="false" ht="39" hidden="false" customHeight="true" outlineLevel="0" collapsed="false">
      <c r="A149" s="70" t="str">
        <f aca="false">IFERROR(IF(المنيو!$B149="","",المنيو!$A149),"")</f>
        <v>قسم الإضافات</v>
      </c>
      <c r="B149" s="70" t="str">
        <f aca="false">IFERROR(المنيو!$B149,"")</f>
        <v>اضافة بسطرمة (فطير كبير)</v>
      </c>
      <c r="C149" s="13" t="n">
        <f aca="false">IFERROR(IF($B149="","",SUMIFS(الريسبي!$F$2:$F$1800,الريسبي!$A$2:$A$1800,$B149)),"")</f>
        <v>46.6667</v>
      </c>
      <c r="D149" s="71" t="n">
        <f aca="false">IFERROR(IF($B149="","",المنيو!$C149),"")</f>
        <v>100</v>
      </c>
      <c r="E149" s="12" t="n">
        <f aca="false">IFERROR(IF(OR($B149="",$D149=0,$D149=""),"",$N149/$D149),"")</f>
        <v>0.475986</v>
      </c>
      <c r="F149" s="76" t="n">
        <f aca="false">$F$2</f>
        <v>0.375</v>
      </c>
      <c r="G149" s="13" t="n">
        <f aca="false">IFERROR(IF($B149="","",$N149/$F149),"")</f>
        <v>126.9296</v>
      </c>
      <c r="H149" s="13" t="n">
        <f aca="false">IFERROR(IF($B149="","",$D149-$N149),"")</f>
        <v>52.4014</v>
      </c>
      <c r="I149" s="12" t="n">
        <f aca="false">IFERROR(IF(OR($B149="",$D149=0,$D149=""),"",$H149/$D149),"")</f>
        <v>0.524014</v>
      </c>
      <c r="J149" s="76" t="n">
        <f aca="false">$J$2</f>
        <v>0.25</v>
      </c>
      <c r="K149" s="12" t="n">
        <f aca="false">IFERROR(IF($B149="","",$E149+$J149),"")</f>
        <v>0.725986</v>
      </c>
      <c r="L149" s="74" t="n">
        <f aca="false">IFERROR(IF(OR($B149="",$C149=0,$C149=""),"",$I149+ROW()*0.0000001),"")</f>
        <v>0.5240289</v>
      </c>
      <c r="M149" s="77" t="n">
        <f aca="false">$M$2</f>
        <v>0.9319</v>
      </c>
      <c r="N149" s="13" t="n">
        <f aca="false">IFERROR(IF($B149="","",$C149+$M149),"")</f>
        <v>47.5986</v>
      </c>
    </row>
    <row r="150" customFormat="false" ht="39" hidden="false" customHeight="true" outlineLevel="0" collapsed="false">
      <c r="A150" s="70" t="str">
        <f aca="false">IFERROR(IF(المنيو!$B150="","",المنيو!$A150),"")</f>
        <v>قسم الإضافات</v>
      </c>
      <c r="B150" s="70" t="str">
        <f aca="false">IFERROR(المنيو!$B150,"")</f>
        <v>اضافة سلامي (بيتزا وسط)</v>
      </c>
      <c r="C150" s="13" t="n">
        <f aca="false">IFERROR(IF($B150="","",SUMIFS(الريسبي!$F$2:$F$1800,الريسبي!$A$2:$A$1800,$B150)),"")</f>
        <v>26.9708</v>
      </c>
      <c r="D150" s="71" t="n">
        <f aca="false">IFERROR(IF($B150="","",المنيو!$C150),"")</f>
        <v>60</v>
      </c>
      <c r="E150" s="12" t="n">
        <f aca="false">IFERROR(IF(OR($B150="",$D150=0,$D150=""),"",$N150/$D150),"")</f>
        <v>0.465045</v>
      </c>
      <c r="F150" s="76" t="n">
        <f aca="false">$F$2</f>
        <v>0.375</v>
      </c>
      <c r="G150" s="13" t="n">
        <f aca="false">IFERROR(IF($B150="","",$N150/$F150),"")</f>
        <v>74.4072</v>
      </c>
      <c r="H150" s="13" t="n">
        <f aca="false">IFERROR(IF($B150="","",$D150-$N150),"")</f>
        <v>32.0973</v>
      </c>
      <c r="I150" s="12" t="n">
        <f aca="false">IFERROR(IF(OR($B150="",$D150=0,$D150=""),"",$H150/$D150),"")</f>
        <v>0.534955</v>
      </c>
      <c r="J150" s="76" t="n">
        <f aca="false">$J$2</f>
        <v>0.25</v>
      </c>
      <c r="K150" s="12" t="n">
        <f aca="false">IFERROR(IF($B150="","",$E150+$J150),"")</f>
        <v>0.715045</v>
      </c>
      <c r="L150" s="74" t="n">
        <f aca="false">IFERROR(IF(OR($B150="",$C150=0,$C150=""),"",$I150+ROW()*0.0000001),"")</f>
        <v>0.53497</v>
      </c>
      <c r="M150" s="77" t="n">
        <f aca="false">$M$2</f>
        <v>0.9319</v>
      </c>
      <c r="N150" s="13" t="n">
        <f aca="false">IFERROR(IF($B150="","",$C150+$M150),"")</f>
        <v>27.9027</v>
      </c>
    </row>
    <row r="151" customFormat="false" ht="39" hidden="false" customHeight="true" outlineLevel="0" collapsed="false">
      <c r="A151" s="70" t="str">
        <f aca="false">IFERROR(IF(المنيو!$B151="","",المنيو!$A151),"")</f>
        <v>قسم الإضافات</v>
      </c>
      <c r="B151" s="70" t="str">
        <f aca="false">IFERROR(المنيو!$B151,"")</f>
        <v>اضافة تونة (بيتزا وسط)</v>
      </c>
      <c r="C151" s="13" t="n">
        <f aca="false">IFERROR(IF($B151="","",SUMIFS(الريسبي!$F$2:$F$1800,الريسبي!$A$2:$A$1800,$B151)),"")</f>
        <v>42.03</v>
      </c>
      <c r="D151" s="71" t="n">
        <f aca="false">IFERROR(IF($B151="","",المنيو!$C151),"")</f>
        <v>80</v>
      </c>
      <c r="E151" s="12" t="n">
        <f aca="false">IFERROR(IF(OR($B151="",$D151=0,$D151=""),"",$N151/$D151),"")</f>
        <v>0.53702375</v>
      </c>
      <c r="F151" s="76" t="n">
        <f aca="false">$F$2</f>
        <v>0.375</v>
      </c>
      <c r="G151" s="13" t="n">
        <f aca="false">IFERROR(IF($B151="","",$N151/$F151),"")</f>
        <v>114.565066666667</v>
      </c>
      <c r="H151" s="13" t="n">
        <f aca="false">IFERROR(IF($B151="","",$D151-$N151),"")</f>
        <v>37.0381</v>
      </c>
      <c r="I151" s="12" t="n">
        <f aca="false">IFERROR(IF(OR($B151="",$D151=0,$D151=""),"",$H151/$D151),"")</f>
        <v>0.46297625</v>
      </c>
      <c r="J151" s="76" t="n">
        <f aca="false">$J$2</f>
        <v>0.25</v>
      </c>
      <c r="K151" s="12" t="n">
        <f aca="false">IFERROR(IF($B151="","",$E151+$J151),"")</f>
        <v>0.78702375</v>
      </c>
      <c r="L151" s="74" t="n">
        <f aca="false">IFERROR(IF(OR($B151="",$C151=0,$C151=""),"",$I151+ROW()*0.0000001),"")</f>
        <v>0.46299135</v>
      </c>
      <c r="M151" s="77" t="n">
        <f aca="false">$M$2</f>
        <v>0.9319</v>
      </c>
      <c r="N151" s="13" t="n">
        <f aca="false">IFERROR(IF($B151="","",$C151+$M151),"")</f>
        <v>42.9619</v>
      </c>
    </row>
    <row r="152" customFormat="false" ht="39" hidden="false" customHeight="true" outlineLevel="0" collapsed="false">
      <c r="A152" s="70" t="str">
        <f aca="false">IFERROR(IF(المنيو!$B152="","",المنيو!$A152),"")</f>
        <v>قسم الإضافات</v>
      </c>
      <c r="B152" s="70" t="str">
        <f aca="false">IFERROR(المنيو!$B152,"")</f>
        <v>اضافة جمبري (بيتزا وسط)</v>
      </c>
      <c r="C152" s="13" t="n">
        <f aca="false">IFERROR(IF($B152="","",SUMIFS(الريسبي!$F$2:$F$1800,الريسبي!$A$2:$A$1800,$B152)),"")</f>
        <v>95</v>
      </c>
      <c r="D152" s="71" t="n">
        <f aca="false">IFERROR(IF($B152="","",المنيو!$C152),"")</f>
        <v>140</v>
      </c>
      <c r="E152" s="12" t="n">
        <f aca="false">IFERROR(IF(OR($B152="",$D152=0,$D152=""),"",$N152/$D152),"")</f>
        <v>0.685227857142857</v>
      </c>
      <c r="F152" s="76" t="n">
        <f aca="false">$F$2</f>
        <v>0.375</v>
      </c>
      <c r="G152" s="13" t="n">
        <f aca="false">IFERROR(IF($B152="","",$N152/$F152),"")</f>
        <v>255.8184</v>
      </c>
      <c r="H152" s="13" t="n">
        <f aca="false">IFERROR(IF($B152="","",$D152-$N152),"")</f>
        <v>44.0681</v>
      </c>
      <c r="I152" s="12" t="n">
        <f aca="false">IFERROR(IF(OR($B152="",$D152=0,$D152=""),"",$H152/$D152),"")</f>
        <v>0.314772142857143</v>
      </c>
      <c r="J152" s="76" t="n">
        <f aca="false">$J$2</f>
        <v>0.25</v>
      </c>
      <c r="K152" s="12" t="n">
        <f aca="false">IFERROR(IF($B152="","",$E152+$J152),"")</f>
        <v>0.935227857142857</v>
      </c>
      <c r="L152" s="74" t="n">
        <f aca="false">IFERROR(IF(OR($B152="",$C152=0,$C152=""),"",$I152+ROW()*0.0000001),"")</f>
        <v>0.314787342857143</v>
      </c>
      <c r="M152" s="77" t="n">
        <f aca="false">$M$2</f>
        <v>0.9319</v>
      </c>
      <c r="N152" s="13" t="n">
        <f aca="false">IFERROR(IF($B152="","",$C152+$M152),"")</f>
        <v>95.9319</v>
      </c>
    </row>
    <row r="153" customFormat="false" ht="39" hidden="false" customHeight="true" outlineLevel="0" collapsed="false">
      <c r="A153" s="70" t="str">
        <f aca="false">IFERROR(IF(المنيو!$B153="","",المنيو!$A153),"")</f>
        <v>قسم الإضافات</v>
      </c>
      <c r="B153" s="70" t="str">
        <f aca="false">IFERROR(المنيو!$B153,"")</f>
        <v>اضافة فراخ جريل (بيتزا وسط)</v>
      </c>
      <c r="C153" s="13" t="n">
        <f aca="false">IFERROR(IF($B153="","",SUMIFS(الريسبي!$F$2:$F$1800,الريسبي!$A$2:$A$1800,$B153)),"")</f>
        <v>33.982</v>
      </c>
      <c r="D153" s="71" t="n">
        <f aca="false">IFERROR(IF($B153="","",المنيو!$C153),"")</f>
        <v>80</v>
      </c>
      <c r="E153" s="12" t="n">
        <f aca="false">IFERROR(IF(OR($B153="",$D153=0,$D153=""),"",$N153/$D153),"")</f>
        <v>0.43642375</v>
      </c>
      <c r="F153" s="76" t="n">
        <f aca="false">$F$2</f>
        <v>0.375</v>
      </c>
      <c r="G153" s="13" t="n">
        <f aca="false">IFERROR(IF($B153="","",$N153/$F153),"")</f>
        <v>93.1037333333333</v>
      </c>
      <c r="H153" s="13" t="n">
        <f aca="false">IFERROR(IF($B153="","",$D153-$N153),"")</f>
        <v>45.0861</v>
      </c>
      <c r="I153" s="12" t="n">
        <f aca="false">IFERROR(IF(OR($B153="",$D153=0,$D153=""),"",$H153/$D153),"")</f>
        <v>0.56357625</v>
      </c>
      <c r="J153" s="76" t="n">
        <f aca="false">$J$2</f>
        <v>0.25</v>
      </c>
      <c r="K153" s="12" t="n">
        <f aca="false">IFERROR(IF($B153="","",$E153+$J153),"")</f>
        <v>0.68642375</v>
      </c>
      <c r="L153" s="74" t="n">
        <f aca="false">IFERROR(IF(OR($B153="",$C153=0,$C153=""),"",$I153+ROW()*0.0000001),"")</f>
        <v>0.56359155</v>
      </c>
      <c r="M153" s="77" t="n">
        <f aca="false">$M$2</f>
        <v>0.9319</v>
      </c>
      <c r="N153" s="13" t="n">
        <f aca="false">IFERROR(IF($B153="","",$C153+$M153),"")</f>
        <v>34.9139</v>
      </c>
    </row>
    <row r="154" customFormat="false" ht="39" hidden="false" customHeight="true" outlineLevel="0" collapsed="false">
      <c r="A154" s="70" t="str">
        <f aca="false">IFERROR(IF(المنيو!$B154="","",المنيو!$A154),"")</f>
        <v>قسم الإضافات</v>
      </c>
      <c r="B154" s="70" t="str">
        <f aca="false">IFERROR(المنيو!$B154,"")</f>
        <v>اضافة فراخ جريل (بيتزا كبير)</v>
      </c>
      <c r="C154" s="13" t="n">
        <f aca="false">IFERROR(IF($B154="","",SUMIFS(الريسبي!$F$2:$F$1800,الريسبي!$A$2:$A$1800,$B154)),"")</f>
        <v>48.7817</v>
      </c>
      <c r="D154" s="71" t="n">
        <f aca="false">IFERROR(IF($B154="","",المنيو!$C154),"")</f>
        <v>130</v>
      </c>
      <c r="E154" s="12" t="n">
        <f aca="false">IFERROR(IF(OR($B154="",$D154=0,$D154=""),"",$N154/$D154),"")</f>
        <v>0.382412307692308</v>
      </c>
      <c r="F154" s="76" t="n">
        <f aca="false">$F$2</f>
        <v>0.375</v>
      </c>
      <c r="G154" s="13" t="n">
        <f aca="false">IFERROR(IF($B154="","",$N154/$F154),"")</f>
        <v>132.5696</v>
      </c>
      <c r="H154" s="13" t="n">
        <f aca="false">IFERROR(IF($B154="","",$D154-$N154),"")</f>
        <v>80.2864</v>
      </c>
      <c r="I154" s="12" t="n">
        <f aca="false">IFERROR(IF(OR($B154="",$D154=0,$D154=""),"",$H154/$D154),"")</f>
        <v>0.617587692307692</v>
      </c>
      <c r="J154" s="76" t="n">
        <f aca="false">$J$2</f>
        <v>0.25</v>
      </c>
      <c r="K154" s="12" t="n">
        <f aca="false">IFERROR(IF($B154="","",$E154+$J154),"")</f>
        <v>0.632412307692308</v>
      </c>
      <c r="L154" s="74" t="n">
        <f aca="false">IFERROR(IF(OR($B154="",$C154=0,$C154=""),"",$I154+ROW()*0.0000001),"")</f>
        <v>0.617603092307692</v>
      </c>
      <c r="M154" s="77" t="n">
        <f aca="false">$M$2</f>
        <v>0.9319</v>
      </c>
      <c r="N154" s="13" t="n">
        <f aca="false">IFERROR(IF($B154="","",$C154+$M154),"")</f>
        <v>49.7136</v>
      </c>
    </row>
    <row r="155" customFormat="false" ht="39" hidden="false" customHeight="true" outlineLevel="0" collapsed="false">
      <c r="A155" s="70" t="str">
        <f aca="false">IFERROR(IF(المنيو!$B155="","",المنيو!$A155),"")</f>
        <v>قسم الإضافات</v>
      </c>
      <c r="B155" s="70" t="str">
        <f aca="false">IFERROR(المنيو!$B155,"")</f>
        <v>اضافة فراخ جريل (فطير كبير)</v>
      </c>
      <c r="C155" s="13" t="n">
        <f aca="false">IFERROR(IF($B155="","",SUMIFS(الريسبي!$F$2:$F$1800,الريسبي!$A$2:$A$1800,$B155)),"")</f>
        <v>48.7817</v>
      </c>
      <c r="D155" s="71" t="n">
        <f aca="false">IFERROR(IF($B155="","",المنيو!$C155),"")</f>
        <v>130</v>
      </c>
      <c r="E155" s="12" t="n">
        <f aca="false">IFERROR(IF(OR($B155="",$D155=0,$D155=""),"",$N155/$D155),"")</f>
        <v>0.382412307692308</v>
      </c>
      <c r="F155" s="76" t="n">
        <f aca="false">$F$2</f>
        <v>0.375</v>
      </c>
      <c r="G155" s="13" t="n">
        <f aca="false">IFERROR(IF($B155="","",$N155/$F155),"")</f>
        <v>132.5696</v>
      </c>
      <c r="H155" s="13" t="n">
        <f aca="false">IFERROR(IF($B155="","",$D155-$N155),"")</f>
        <v>80.2864</v>
      </c>
      <c r="I155" s="12" t="n">
        <f aca="false">IFERROR(IF(OR($B155="",$D155=0,$D155=""),"",$H155/$D155),"")</f>
        <v>0.617587692307692</v>
      </c>
      <c r="J155" s="76" t="n">
        <f aca="false">$J$2</f>
        <v>0.25</v>
      </c>
      <c r="K155" s="12" t="n">
        <f aca="false">IFERROR(IF($B155="","",$E155+$J155),"")</f>
        <v>0.632412307692308</v>
      </c>
      <c r="L155" s="74" t="n">
        <f aca="false">IFERROR(IF(OR($B155="",$C155=0,$C155=""),"",$I155+ROW()*0.0000001),"")</f>
        <v>0.617603192307692</v>
      </c>
      <c r="M155" s="77" t="n">
        <f aca="false">$M$2</f>
        <v>0.9319</v>
      </c>
      <c r="N155" s="13" t="n">
        <f aca="false">IFERROR(IF($B155="","",$C155+$M155),"")</f>
        <v>49.7136</v>
      </c>
    </row>
    <row r="156" customFormat="false" ht="39" hidden="false" customHeight="true" outlineLevel="0" collapsed="false">
      <c r="A156" s="70" t="str">
        <f aca="false">IFERROR(IF(المنيو!$B156="","",المنيو!$A156),"")</f>
        <v>قسم الإضافات</v>
      </c>
      <c r="B156" s="70" t="str">
        <f aca="false">IFERROR(المنيو!$B156,"")</f>
        <v>اضافة فراخ كريسبي (بيتزا وسط)</v>
      </c>
      <c r="C156" s="13" t="n">
        <f aca="false">IFERROR(IF($B156="","",SUMIFS(الريسبي!$F$2:$F$1800,الريسبي!$A$2:$A$1800,$B156)),"")</f>
        <v>30</v>
      </c>
      <c r="D156" s="71" t="n">
        <f aca="false">IFERROR(IF($B156="","",المنيو!$C156),"")</f>
        <v>100</v>
      </c>
      <c r="E156" s="12" t="n">
        <f aca="false">IFERROR(IF(OR($B156="",$D156=0,$D156=""),"",$N156/$D156),"")</f>
        <v>0.309319</v>
      </c>
      <c r="F156" s="76" t="n">
        <f aca="false">$F$2</f>
        <v>0.375</v>
      </c>
      <c r="G156" s="13" t="n">
        <f aca="false">IFERROR(IF($B156="","",$N156/$F156),"")</f>
        <v>82.4850666666667</v>
      </c>
      <c r="H156" s="13" t="n">
        <f aca="false">IFERROR(IF($B156="","",$D156-$N156),"")</f>
        <v>69.0681</v>
      </c>
      <c r="I156" s="12" t="n">
        <f aca="false">IFERROR(IF(OR($B156="",$D156=0,$D156=""),"",$H156/$D156),"")</f>
        <v>0.690681</v>
      </c>
      <c r="J156" s="76" t="n">
        <f aca="false">$J$2</f>
        <v>0.25</v>
      </c>
      <c r="K156" s="12" t="n">
        <f aca="false">IFERROR(IF($B156="","",$E156+$J156),"")</f>
        <v>0.559319</v>
      </c>
      <c r="L156" s="74" t="n">
        <f aca="false">IFERROR(IF(OR($B156="",$C156=0,$C156=""),"",$I156+ROW()*0.0000001),"")</f>
        <v>0.6906966</v>
      </c>
      <c r="M156" s="77" t="n">
        <f aca="false">$M$2</f>
        <v>0.9319</v>
      </c>
      <c r="N156" s="13" t="n">
        <f aca="false">IFERROR(IF($B156="","",$C156+$M156),"")</f>
        <v>30.9319</v>
      </c>
    </row>
    <row r="157" customFormat="false" ht="39" hidden="false" customHeight="true" outlineLevel="0" collapsed="false">
      <c r="A157" s="70" t="str">
        <f aca="false">IFERROR(IF(المنيو!$B157="","",المنيو!$A157),"")</f>
        <v>قسم الإضافات</v>
      </c>
      <c r="B157" s="70" t="str">
        <f aca="false">IFERROR(المنيو!$B157,"")</f>
        <v>اضافة فراخ كريسبي (فطير وسط)</v>
      </c>
      <c r="C157" s="13" t="n">
        <f aca="false">IFERROR(IF($B157="","",SUMIFS(الريسبي!$F$2:$F$1800,الريسبي!$A$2:$A$1800,$B157)),"")</f>
        <v>30</v>
      </c>
      <c r="D157" s="71" t="n">
        <f aca="false">IFERROR(IF($B157="","",المنيو!$C157),"")</f>
        <v>80</v>
      </c>
      <c r="E157" s="12" t="n">
        <f aca="false">IFERROR(IF(OR($B157="",$D157=0,$D157=""),"",$N157/$D157),"")</f>
        <v>0.38664875</v>
      </c>
      <c r="F157" s="76" t="n">
        <f aca="false">$F$2</f>
        <v>0.375</v>
      </c>
      <c r="G157" s="13" t="n">
        <f aca="false">IFERROR(IF($B157="","",$N157/$F157),"")</f>
        <v>82.4850666666667</v>
      </c>
      <c r="H157" s="13" t="n">
        <f aca="false">IFERROR(IF($B157="","",$D157-$N157),"")</f>
        <v>49.0681</v>
      </c>
      <c r="I157" s="12" t="n">
        <f aca="false">IFERROR(IF(OR($B157="",$D157=0,$D157=""),"",$H157/$D157),"")</f>
        <v>0.61335125</v>
      </c>
      <c r="J157" s="76" t="n">
        <f aca="false">$J$2</f>
        <v>0.25</v>
      </c>
      <c r="K157" s="12" t="n">
        <f aca="false">IFERROR(IF($B157="","",$E157+$J157),"")</f>
        <v>0.63664875</v>
      </c>
      <c r="L157" s="74" t="n">
        <f aca="false">IFERROR(IF(OR($B157="",$C157=0,$C157=""),"",$I157+ROW()*0.0000001),"")</f>
        <v>0.61336695</v>
      </c>
      <c r="M157" s="77" t="n">
        <f aca="false">$M$2</f>
        <v>0.9319</v>
      </c>
      <c r="N157" s="13" t="n">
        <f aca="false">IFERROR(IF($B157="","",$C157+$M157),"")</f>
        <v>30.9319</v>
      </c>
    </row>
    <row r="158" customFormat="false" ht="39" hidden="false" customHeight="true" outlineLevel="0" collapsed="false">
      <c r="A158" s="70" t="str">
        <f aca="false">IFERROR(IF(المنيو!$B158="","",المنيو!$A158),"")</f>
        <v>قسم الإضافات</v>
      </c>
      <c r="B158" s="70" t="str">
        <f aca="false">IFERROR(المنيو!$B158,"")</f>
        <v>اضافة فراخ كريسبي (فطير كبير)</v>
      </c>
      <c r="C158" s="13" t="n">
        <f aca="false">IFERROR(IF($B158="","",SUMIFS(الريسبي!$F$2:$F$1800,الريسبي!$A$2:$A$1800,$B158)),"")</f>
        <v>29</v>
      </c>
      <c r="D158" s="71" t="n">
        <f aca="false">IFERROR(IF($B158="","",المنيو!$C158),"")</f>
        <v>130</v>
      </c>
      <c r="E158" s="12" t="n">
        <f aca="false">IFERROR(IF(OR($B158="",$D158=0,$D158=""),"",$N158/$D158),"")</f>
        <v>0.230245384615385</v>
      </c>
      <c r="F158" s="76" t="n">
        <f aca="false">$F$2</f>
        <v>0.375</v>
      </c>
      <c r="G158" s="13" t="n">
        <f aca="false">IFERROR(IF($B158="","",$N158/$F158),"")</f>
        <v>79.8184</v>
      </c>
      <c r="H158" s="13" t="n">
        <f aca="false">IFERROR(IF($B158="","",$D158-$N158),"")</f>
        <v>100.0681</v>
      </c>
      <c r="I158" s="12" t="n">
        <f aca="false">IFERROR(IF(OR($B158="",$D158=0,$D158=""),"",$H158/$D158),"")</f>
        <v>0.769754615384615</v>
      </c>
      <c r="J158" s="76" t="n">
        <f aca="false">$J$2</f>
        <v>0.25</v>
      </c>
      <c r="K158" s="12" t="n">
        <f aca="false">IFERROR(IF($B158="","",$E158+$J158),"")</f>
        <v>0.480245384615385</v>
      </c>
      <c r="L158" s="74" t="n">
        <f aca="false">IFERROR(IF(OR($B158="",$C158=0,$C158=""),"",$I158+ROW()*0.0000001),"")</f>
        <v>0.769770415384615</v>
      </c>
      <c r="M158" s="77" t="n">
        <f aca="false">$M$2</f>
        <v>0.9319</v>
      </c>
      <c r="N158" s="13" t="n">
        <f aca="false">IFERROR(IF($B158="","",$C158+$M158),"")</f>
        <v>29.9319</v>
      </c>
    </row>
    <row r="159" customFormat="false" ht="39" hidden="false" customHeight="true" outlineLevel="0" collapsed="false">
      <c r="A159" s="70" t="str">
        <f aca="false">IFERROR(IF(المنيو!$B159="","",المنيو!$A159),"")</f>
        <v>قسم الإضافات</v>
      </c>
      <c r="B159" s="70" t="str">
        <f aca="false">IFERROR(المنيو!$B159,"")</f>
        <v>اضافة مشروم (بيتزا وسط)</v>
      </c>
      <c r="C159" s="13" t="n">
        <f aca="false">IFERROR(IF($B159="","",SUMIFS(الريسبي!$F$2:$F$1800,الريسبي!$A$2:$A$1800,$B159)),"")</f>
        <v>9.072162</v>
      </c>
      <c r="D159" s="71" t="n">
        <f aca="false">IFERROR(IF($B159="","",المنيو!$C159),"")</f>
        <v>40</v>
      </c>
      <c r="E159" s="12" t="n">
        <f aca="false">IFERROR(IF(OR($B159="",$D159=0,$D159=""),"",$N159/$D159),"")</f>
        <v>0.25010155</v>
      </c>
      <c r="F159" s="76" t="n">
        <f aca="false">$F$2</f>
        <v>0.375</v>
      </c>
      <c r="G159" s="13" t="n">
        <f aca="false">IFERROR(IF($B159="","",$N159/$F159),"")</f>
        <v>26.6774986666667</v>
      </c>
      <c r="H159" s="13" t="n">
        <f aca="false">IFERROR(IF($B159="","",$D159-$N159),"")</f>
        <v>29.995938</v>
      </c>
      <c r="I159" s="12" t="n">
        <f aca="false">IFERROR(IF(OR($B159="",$D159=0,$D159=""),"",$H159/$D159),"")</f>
        <v>0.74989845</v>
      </c>
      <c r="J159" s="76" t="n">
        <f aca="false">$J$2</f>
        <v>0.25</v>
      </c>
      <c r="K159" s="12" t="n">
        <f aca="false">IFERROR(IF($B159="","",$E159+$J159),"")</f>
        <v>0.50010155</v>
      </c>
      <c r="L159" s="74" t="n">
        <f aca="false">IFERROR(IF(OR($B159="",$C159=0,$C159=""),"",$I159+ROW()*0.0000001),"")</f>
        <v>0.74991435</v>
      </c>
      <c r="M159" s="77" t="n">
        <f aca="false">$M$2</f>
        <v>0.9319</v>
      </c>
      <c r="N159" s="13" t="n">
        <f aca="false">IFERROR(IF($B159="","",$C159+$M159),"")</f>
        <v>10.004062</v>
      </c>
    </row>
    <row r="160" customFormat="false" ht="39" hidden="false" customHeight="true" outlineLevel="0" collapsed="false">
      <c r="A160" s="70" t="str">
        <f aca="false">IFERROR(IF(المنيو!$B160="","",المنيو!$A160),"")</f>
        <v>قسم الإضافات</v>
      </c>
      <c r="B160" s="70" t="str">
        <f aca="false">IFERROR(المنيو!$B160,"")</f>
        <v>اضافة مشروم (بيتزا كبير)</v>
      </c>
      <c r="C160" s="13" t="n">
        <f aca="false">IFERROR(IF($B160="","",SUMIFS(الريسبي!$F$2:$F$1800,الريسبي!$A$2:$A$1800,$B160)),"")</f>
        <v>13.608243</v>
      </c>
      <c r="D160" s="71" t="n">
        <f aca="false">IFERROR(IF($B160="","",المنيو!$C160),"")</f>
        <v>55</v>
      </c>
      <c r="E160" s="12" t="n">
        <f aca="false">IFERROR(IF(OR($B160="",$D160=0,$D160=""),"",$N160/$D160),"")</f>
        <v>0.264366236363636</v>
      </c>
      <c r="F160" s="76" t="n">
        <f aca="false">$F$2</f>
        <v>0.375</v>
      </c>
      <c r="G160" s="13" t="n">
        <f aca="false">IFERROR(IF($B160="","",$N160/$F160),"")</f>
        <v>38.7737146666667</v>
      </c>
      <c r="H160" s="13" t="n">
        <f aca="false">IFERROR(IF($B160="","",$D160-$N160),"")</f>
        <v>40.459857</v>
      </c>
      <c r="I160" s="12" t="n">
        <f aca="false">IFERROR(IF(OR($B160="",$D160=0,$D160=""),"",$H160/$D160),"")</f>
        <v>0.735633763636364</v>
      </c>
      <c r="J160" s="76" t="n">
        <f aca="false">$J$2</f>
        <v>0.25</v>
      </c>
      <c r="K160" s="12" t="n">
        <f aca="false">IFERROR(IF($B160="","",$E160+$J160),"")</f>
        <v>0.514366236363636</v>
      </c>
      <c r="L160" s="74" t="n">
        <f aca="false">IFERROR(IF(OR($B160="",$C160=0,$C160=""),"",$I160+ROW()*0.0000001),"")</f>
        <v>0.735649763636364</v>
      </c>
      <c r="M160" s="77" t="n">
        <f aca="false">$M$2</f>
        <v>0.9319</v>
      </c>
      <c r="N160" s="13" t="n">
        <f aca="false">IFERROR(IF($B160="","",$C160+$M160),"")</f>
        <v>14.540143</v>
      </c>
    </row>
    <row r="161" customFormat="false" ht="39" hidden="false" customHeight="true" outlineLevel="0" collapsed="false">
      <c r="A161" s="70" t="str">
        <f aca="false">IFERROR(IF(المنيو!$B161="","",المنيو!$A161),"")</f>
        <v>قسم الإضافات</v>
      </c>
      <c r="B161" s="70" t="str">
        <f aca="false">IFERROR(المنيو!$B161,"")</f>
        <v>اضافة مشروم (فطير وسط)</v>
      </c>
      <c r="C161" s="13" t="n">
        <f aca="false">IFERROR(IF($B161="","",SUMIFS(الريسبي!$F$2:$F$1800,الريسبي!$A$2:$A$1800,$B161)),"")</f>
        <v>9.072162</v>
      </c>
      <c r="D161" s="71" t="n">
        <f aca="false">IFERROR(IF($B161="","",المنيو!$C161),"")</f>
        <v>40</v>
      </c>
      <c r="E161" s="12" t="n">
        <f aca="false">IFERROR(IF(OR($B161="",$D161=0,$D161=""),"",$N161/$D161),"")</f>
        <v>0.25010155</v>
      </c>
      <c r="F161" s="76" t="n">
        <f aca="false">$F$2</f>
        <v>0.375</v>
      </c>
      <c r="G161" s="13" t="n">
        <f aca="false">IFERROR(IF($B161="","",$N161/$F161),"")</f>
        <v>26.6774986666667</v>
      </c>
      <c r="H161" s="13" t="n">
        <f aca="false">IFERROR(IF($B161="","",$D161-$N161),"")</f>
        <v>29.995938</v>
      </c>
      <c r="I161" s="12" t="n">
        <f aca="false">IFERROR(IF(OR($B161="",$D161=0,$D161=""),"",$H161/$D161),"")</f>
        <v>0.74989845</v>
      </c>
      <c r="J161" s="76" t="n">
        <f aca="false">$J$2</f>
        <v>0.25</v>
      </c>
      <c r="K161" s="12" t="n">
        <f aca="false">IFERROR(IF($B161="","",$E161+$J161),"")</f>
        <v>0.50010155</v>
      </c>
      <c r="L161" s="74" t="n">
        <f aca="false">IFERROR(IF(OR($B161="",$C161=0,$C161=""),"",$I161+ROW()*0.0000001),"")</f>
        <v>0.74991455</v>
      </c>
      <c r="M161" s="77" t="n">
        <f aca="false">$M$2</f>
        <v>0.9319</v>
      </c>
      <c r="N161" s="13" t="n">
        <f aca="false">IFERROR(IF($B161="","",$C161+$M161),"")</f>
        <v>10.004062</v>
      </c>
    </row>
    <row r="162" customFormat="false" ht="39" hidden="false" customHeight="true" outlineLevel="0" collapsed="false">
      <c r="A162" s="70" t="str">
        <f aca="false">IFERROR(IF(المنيو!$B162="","",المنيو!$A162),"")</f>
        <v>قسم الإضافات</v>
      </c>
      <c r="B162" s="70" t="str">
        <f aca="false">IFERROR(المنيو!$B162,"")</f>
        <v>اضافة مشروم (فطير كبير)</v>
      </c>
      <c r="C162" s="13" t="n">
        <f aca="false">IFERROR(IF($B162="","",SUMIFS(الريسبي!$F$2:$F$1800,الريسبي!$A$2:$A$1800,$B162)),"")</f>
        <v>13.608243</v>
      </c>
      <c r="D162" s="71" t="n">
        <f aca="false">IFERROR(IF($B162="","",المنيو!$C162),"")</f>
        <v>55</v>
      </c>
      <c r="E162" s="12" t="n">
        <f aca="false">IFERROR(IF(OR($B162="",$D162=0,$D162=""),"",$N162/$D162),"")</f>
        <v>0.264366236363636</v>
      </c>
      <c r="F162" s="76" t="n">
        <f aca="false">$F$2</f>
        <v>0.375</v>
      </c>
      <c r="G162" s="13" t="n">
        <f aca="false">IFERROR(IF($B162="","",$N162/$F162),"")</f>
        <v>38.7737146666667</v>
      </c>
      <c r="H162" s="13" t="n">
        <f aca="false">IFERROR(IF($B162="","",$D162-$N162),"")</f>
        <v>40.459857</v>
      </c>
      <c r="I162" s="12" t="n">
        <f aca="false">IFERROR(IF(OR($B162="",$D162=0,$D162=""),"",$H162/$D162),"")</f>
        <v>0.735633763636364</v>
      </c>
      <c r="J162" s="76" t="n">
        <f aca="false">$J$2</f>
        <v>0.25</v>
      </c>
      <c r="K162" s="12" t="n">
        <f aca="false">IFERROR(IF($B162="","",$E162+$J162),"")</f>
        <v>0.514366236363636</v>
      </c>
      <c r="L162" s="74" t="n">
        <f aca="false">IFERROR(IF(OR($B162="",$C162=0,$C162=""),"",$I162+ROW()*0.0000001),"")</f>
        <v>0.735649963636364</v>
      </c>
      <c r="M162" s="77" t="n">
        <f aca="false">$M$2</f>
        <v>0.9319</v>
      </c>
      <c r="N162" s="13" t="n">
        <f aca="false">IFERROR(IF($B162="","",$C162+$M162),"")</f>
        <v>14.540143</v>
      </c>
    </row>
    <row r="163" customFormat="false" ht="39" hidden="false" customHeight="true" outlineLevel="0" collapsed="false">
      <c r="A163" s="70" t="str">
        <f aca="false">IFERROR(IF(المنيو!$B163="","",المنيو!$A163),"")</f>
        <v>قسم الإضافات</v>
      </c>
      <c r="B163" s="70" t="str">
        <f aca="false">IFERROR(المنيو!$B163,"")</f>
        <v>إضافة وش بيتزا (مخصوص) (وسط)</v>
      </c>
      <c r="C163" s="13" t="n">
        <f aca="false">IFERROR(IF($B163="","",SUMIFS(الريسبي!$F$2:$F$1800,الريسبي!$A$2:$A$1800,$B163)),"")</f>
        <v>20</v>
      </c>
      <c r="D163" s="71" t="n">
        <f aca="false">IFERROR(IF($B163="","",المنيو!$C163),"")</f>
        <v>40.83</v>
      </c>
      <c r="E163" s="12" t="n">
        <f aca="false">IFERROR(IF(OR($B163="",$D163=0,$D163=""),"",$N163/$D163),"")</f>
        <v>0.512659808963997</v>
      </c>
      <c r="F163" s="76" t="n">
        <f aca="false">$F$2</f>
        <v>0.375</v>
      </c>
      <c r="G163" s="13" t="n">
        <f aca="false">IFERROR(IF($B163="","",$N163/$F163),"")</f>
        <v>55.8184</v>
      </c>
      <c r="H163" s="13" t="n">
        <f aca="false">IFERROR(IF($B163="","",$D163-$N163),"")</f>
        <v>19.8981</v>
      </c>
      <c r="I163" s="12" t="n">
        <f aca="false">IFERROR(IF(OR($B163="",$D163=0,$D163=""),"",$H163/$D163),"")</f>
        <v>0.487340191036003</v>
      </c>
      <c r="J163" s="76" t="n">
        <f aca="false">$J$2</f>
        <v>0.25</v>
      </c>
      <c r="K163" s="12" t="n">
        <f aca="false">IFERROR(IF($B163="","",$E163+$J163),"")</f>
        <v>0.762659808963997</v>
      </c>
      <c r="L163" s="74" t="n">
        <f aca="false">IFERROR(IF(OR($B163="",$C163=0,$C163=""),"",$I163+ROW()*0.0000001),"")</f>
        <v>0.487356491036003</v>
      </c>
      <c r="M163" s="77" t="n">
        <f aca="false">$M$2</f>
        <v>0.9319</v>
      </c>
      <c r="N163" s="13" t="n">
        <f aca="false">IFERROR(IF($B163="","",$C163+$M163),"")</f>
        <v>20.9319</v>
      </c>
    </row>
    <row r="164" customFormat="false" ht="39" hidden="false" customHeight="true" outlineLevel="0" collapsed="false">
      <c r="A164" s="70" t="str">
        <f aca="false">IFERROR(IF(المنيو!$B164="","",المنيو!$A164),"")</f>
        <v>قسم الإضافات</v>
      </c>
      <c r="B164" s="70" t="str">
        <f aca="false">IFERROR(المنيو!$B164,"")</f>
        <v>إضافة وش بيتزا (مخصوص) (كبير)</v>
      </c>
      <c r="C164" s="13" t="n">
        <f aca="false">IFERROR(IF($B164="","",SUMIFS(الريسبي!$F$2:$F$1800,الريسبي!$A$2:$A$1800,$B164)),"")</f>
        <v>27.1395</v>
      </c>
      <c r="D164" s="71" t="n">
        <f aca="false">IFERROR(IF($B164="","",المنيو!$C164),"")</f>
        <v>55</v>
      </c>
      <c r="E164" s="12" t="n">
        <f aca="false">IFERROR(IF(OR($B164="",$D164=0,$D164=""),"",$N164/$D164),"")</f>
        <v>0.510389090909091</v>
      </c>
      <c r="F164" s="76" t="n">
        <f aca="false">$F$2</f>
        <v>0.375</v>
      </c>
      <c r="G164" s="13" t="n">
        <f aca="false">IFERROR(IF($B164="","",$N164/$F164),"")</f>
        <v>74.8570666666667</v>
      </c>
      <c r="H164" s="13" t="n">
        <f aca="false">IFERROR(IF($B164="","",$D164-$N164),"")</f>
        <v>26.9286</v>
      </c>
      <c r="I164" s="12" t="n">
        <f aca="false">IFERROR(IF(OR($B164="",$D164=0,$D164=""),"",$H164/$D164),"")</f>
        <v>0.489610909090909</v>
      </c>
      <c r="J164" s="76" t="n">
        <f aca="false">$J$2</f>
        <v>0.25</v>
      </c>
      <c r="K164" s="12" t="n">
        <f aca="false">IFERROR(IF($B164="","",$E164+$J164),"")</f>
        <v>0.760389090909091</v>
      </c>
      <c r="L164" s="74" t="n">
        <f aca="false">IFERROR(IF(OR($B164="",$C164=0,$C164=""),"",$I164+ROW()*0.0000001),"")</f>
        <v>0.489627309090909</v>
      </c>
      <c r="M164" s="77" t="n">
        <f aca="false">$M$2</f>
        <v>0.9319</v>
      </c>
      <c r="N164" s="13" t="n">
        <f aca="false">IFERROR(IF($B164="","",$C164+$M164),"")</f>
        <v>28.0714</v>
      </c>
    </row>
    <row r="165" customFormat="false" ht="39" hidden="false" customHeight="true" outlineLevel="0" collapsed="false">
      <c r="A165" s="70" t="str">
        <f aca="false">IFERROR(IF(المنيو!$B165="","",المنيو!$A165),"")</f>
        <v>قسم الإضافات</v>
      </c>
      <c r="B165" s="70" t="str">
        <f aca="false">IFERROR(المنيو!$B165,"")</f>
        <v>اضافة حشو للاطراف (Small)</v>
      </c>
      <c r="C165" s="13" t="n">
        <f aca="false">IFERROR(IF($B165="","",SUMIFS(الريسبي!$F$2:$F$1800,الريسبي!$A$2:$A$1800,$B165)),"")</f>
        <v>10</v>
      </c>
      <c r="D165" s="71" t="n">
        <f aca="false">IFERROR(IF($B165="","",المنيو!$C165),"")</f>
        <v>50</v>
      </c>
      <c r="E165" s="12" t="n">
        <f aca="false">IFERROR(IF(OR($B165="",$D165=0,$D165=""),"",$N165/$D165),"")</f>
        <v>0.218638</v>
      </c>
      <c r="F165" s="76" t="n">
        <f aca="false">$F$2</f>
        <v>0.375</v>
      </c>
      <c r="G165" s="13" t="n">
        <f aca="false">IFERROR(IF($B165="","",$N165/$F165),"")</f>
        <v>29.1517333333333</v>
      </c>
      <c r="H165" s="13" t="n">
        <f aca="false">IFERROR(IF($B165="","",$D165-$N165),"")</f>
        <v>39.0681</v>
      </c>
      <c r="I165" s="12" t="n">
        <f aca="false">IFERROR(IF(OR($B165="",$D165=0,$D165=""),"",$H165/$D165),"")</f>
        <v>0.781362</v>
      </c>
      <c r="J165" s="76" t="n">
        <f aca="false">$J$2</f>
        <v>0.25</v>
      </c>
      <c r="K165" s="12" t="n">
        <f aca="false">IFERROR(IF($B165="","",$E165+$J165),"")</f>
        <v>0.468638</v>
      </c>
      <c r="L165" s="74" t="n">
        <f aca="false">IFERROR(IF(OR($B165="",$C165=0,$C165=""),"",$I165+ROW()*0.0000001),"")</f>
        <v>0.7813785</v>
      </c>
      <c r="M165" s="77" t="n">
        <f aca="false">$M$2</f>
        <v>0.9319</v>
      </c>
      <c r="N165" s="13" t="n">
        <f aca="false">IFERROR(IF($B165="","",$C165+$M165),"")</f>
        <v>10.9319</v>
      </c>
    </row>
    <row r="166" customFormat="false" ht="39" hidden="false" customHeight="true" outlineLevel="0" collapsed="false">
      <c r="A166" s="70" t="str">
        <f aca="false">IFERROR(IF(المنيو!$B166="","",المنيو!$A166),"")</f>
        <v>قسم الإضافات</v>
      </c>
      <c r="B166" s="70" t="str">
        <f aca="false">IFERROR(المنيو!$B166,"")</f>
        <v>اضافة حشو للاطراف (Medium)</v>
      </c>
      <c r="C166" s="13" t="n">
        <f aca="false">IFERROR(IF($B166="","",SUMIFS(الريسبي!$F$2:$F$1800,الريسبي!$A$2:$A$1800,$B166)),"")</f>
        <v>20.354625</v>
      </c>
      <c r="D166" s="71" t="n">
        <f aca="false">IFERROR(IF($B166="","",المنيو!$C166),"")</f>
        <v>66.25</v>
      </c>
      <c r="E166" s="12" t="n">
        <f aca="false">IFERROR(IF(OR($B166="",$D166=0,$D166=""),"",$N166/$D166),"")</f>
        <v>0.321306037735849</v>
      </c>
      <c r="F166" s="76" t="n">
        <f aca="false">$F$2</f>
        <v>0.375</v>
      </c>
      <c r="G166" s="13" t="n">
        <f aca="false">IFERROR(IF($B166="","",$N166/$F166),"")</f>
        <v>56.7640666666667</v>
      </c>
      <c r="H166" s="13" t="n">
        <f aca="false">IFERROR(IF($B166="","",$D166-$N166),"")</f>
        <v>44.963475</v>
      </c>
      <c r="I166" s="12" t="n">
        <f aca="false">IFERROR(IF(OR($B166="",$D166=0,$D166=""),"",$H166/$D166),"")</f>
        <v>0.678693962264151</v>
      </c>
      <c r="J166" s="76" t="n">
        <f aca="false">$J$2</f>
        <v>0.25</v>
      </c>
      <c r="K166" s="12" t="n">
        <f aca="false">IFERROR(IF($B166="","",$E166+$J166),"")</f>
        <v>0.571306037735849</v>
      </c>
      <c r="L166" s="74" t="n">
        <f aca="false">IFERROR(IF(OR($B166="",$C166=0,$C166=""),"",$I166+ROW()*0.0000001),"")</f>
        <v>0.678710562264151</v>
      </c>
      <c r="M166" s="77" t="n">
        <f aca="false">$M$2</f>
        <v>0.9319</v>
      </c>
      <c r="N166" s="13" t="n">
        <f aca="false">IFERROR(IF($B166="","",$C166+$M166),"")</f>
        <v>21.286525</v>
      </c>
    </row>
    <row r="167" customFormat="false" ht="39" hidden="false" customHeight="true" outlineLevel="0" collapsed="false">
      <c r="A167" s="70" t="str">
        <f aca="false">IFERROR(IF(المنيو!$B167="","",المنيو!$A167),"")</f>
        <v>قسم الإضافات</v>
      </c>
      <c r="B167" s="70" t="str">
        <f aca="false">IFERROR(المنيو!$B167,"")</f>
        <v>صوص رانش إضافي (M)</v>
      </c>
      <c r="C167" s="13" t="n">
        <f aca="false">IFERROR(IF($B167="","",SUMIFS(الريسبي!$F$2:$F$1800,الريسبي!$A$2:$A$1800,$B167)),"")</f>
        <v>10.5</v>
      </c>
      <c r="D167" s="71" t="n">
        <f aca="false">IFERROR(IF($B167="","",المنيو!$C167),"")</f>
        <v>31.47</v>
      </c>
      <c r="E167" s="12" t="n">
        <f aca="false">IFERROR(IF(OR($B167="",$D167=0,$D167=""),"",$N167/$D167),"")</f>
        <v>0.363263425484589</v>
      </c>
      <c r="F167" s="76" t="n">
        <f aca="false">$F$2</f>
        <v>0.375</v>
      </c>
      <c r="G167" s="13" t="n">
        <f aca="false">IFERROR(IF($B167="","",$N167/$F167),"")</f>
        <v>30.4850666666667</v>
      </c>
      <c r="H167" s="13" t="n">
        <f aca="false">IFERROR(IF($B167="","",$D167-$N167),"")</f>
        <v>20.0381</v>
      </c>
      <c r="I167" s="12" t="n">
        <f aca="false">IFERROR(IF(OR($B167="",$D167=0,$D167=""),"",$H167/$D167),"")</f>
        <v>0.636736574515412</v>
      </c>
      <c r="J167" s="76" t="n">
        <f aca="false">$J$2</f>
        <v>0.25</v>
      </c>
      <c r="K167" s="12" t="n">
        <f aca="false">IFERROR(IF($B167="","",$E167+$J167),"")</f>
        <v>0.613263425484589</v>
      </c>
      <c r="L167" s="74" t="n">
        <f aca="false">IFERROR(IF(OR($B167="",$C167=0,$C167=""),"",$I167+ROW()*0.0000001),"")</f>
        <v>0.636753274515412</v>
      </c>
      <c r="M167" s="77" t="n">
        <f aca="false">$M$2</f>
        <v>0.9319</v>
      </c>
      <c r="N167" s="13" t="n">
        <f aca="false">IFERROR(IF($B167="","",$C167+$M167),"")</f>
        <v>11.4319</v>
      </c>
    </row>
    <row r="168" customFormat="false" ht="39" hidden="false" customHeight="true" outlineLevel="0" collapsed="false">
      <c r="A168" s="70" t="str">
        <f aca="false">IFERROR(IF(المنيو!$B168="","",المنيو!$A168),"")</f>
        <v>قسم الإضافات</v>
      </c>
      <c r="B168" s="70" t="str">
        <f aca="false">IFERROR(المنيو!$B168,"")</f>
        <v>صوص رانش إضافي (L)</v>
      </c>
      <c r="C168" s="13" t="n">
        <f aca="false">IFERROR(IF($B168="","",SUMIFS(الريسبي!$F$2:$F$1800,الريسبي!$A$2:$A$1800,$B168)),"")</f>
        <v>15.75</v>
      </c>
      <c r="D168" s="71" t="n">
        <f aca="false">IFERROR(IF($B168="","",المنيو!$C168),"")</f>
        <v>41.25</v>
      </c>
      <c r="E168" s="12" t="n">
        <f aca="false">IFERROR(IF(OR($B168="",$D168=0,$D168=""),"",$N168/$D168),"")</f>
        <v>0.404409696969697</v>
      </c>
      <c r="F168" s="76" t="n">
        <f aca="false">$F$2</f>
        <v>0.375</v>
      </c>
      <c r="G168" s="13" t="n">
        <f aca="false">IFERROR(IF($B168="","",$N168/$F168),"")</f>
        <v>44.4850666666667</v>
      </c>
      <c r="H168" s="13" t="n">
        <f aca="false">IFERROR(IF($B168="","",$D168-$N168),"")</f>
        <v>24.5681</v>
      </c>
      <c r="I168" s="12" t="n">
        <f aca="false">IFERROR(IF(OR($B168="",$D168=0,$D168=""),"",$H168/$D168),"")</f>
        <v>0.595590303030303</v>
      </c>
      <c r="J168" s="76" t="n">
        <f aca="false">$J$2</f>
        <v>0.25</v>
      </c>
      <c r="K168" s="12" t="n">
        <f aca="false">IFERROR(IF($B168="","",$E168+$J168),"")</f>
        <v>0.654409696969697</v>
      </c>
      <c r="L168" s="74" t="n">
        <f aca="false">IFERROR(IF(OR($B168="",$C168=0,$C168=""),"",$I168+ROW()*0.0000001),"")</f>
        <v>0.595607103030303</v>
      </c>
      <c r="M168" s="77" t="n">
        <f aca="false">$M$2</f>
        <v>0.9319</v>
      </c>
      <c r="N168" s="13" t="n">
        <f aca="false">IFERROR(IF($B168="","",$C168+$M168),"")</f>
        <v>16.6819</v>
      </c>
    </row>
    <row r="169" customFormat="false" ht="39" hidden="false" customHeight="true" outlineLevel="0" collapsed="false">
      <c r="A169" s="70" t="str">
        <f aca="false">IFERROR(IF(المنيو!$B169="","",المنيو!$A169),"")</f>
        <v>قسم الإضافات</v>
      </c>
      <c r="B169" s="70" t="str">
        <f aca="false">IFERROR(المنيو!$B169,"")</f>
        <v>صوص شيدر إضافي (M)</v>
      </c>
      <c r="C169" s="13" t="n">
        <f aca="false">IFERROR(IF($B169="","",SUMIFS(الريسبي!$F$2:$F$1800,الريسبي!$A$2:$A$1800,$B169)),"")</f>
        <v>14</v>
      </c>
      <c r="D169" s="71" t="n">
        <f aca="false">IFERROR(IF($B169="","",المنيو!$C169),"")</f>
        <v>33.93</v>
      </c>
      <c r="E169" s="12" t="n">
        <f aca="false">IFERROR(IF(OR($B169="",$D169=0,$D169=""),"",$N169/$D169),"")</f>
        <v>0.440079575596817</v>
      </c>
      <c r="F169" s="76" t="n">
        <f aca="false">$F$2</f>
        <v>0.375</v>
      </c>
      <c r="G169" s="13" t="n">
        <f aca="false">IFERROR(IF($B169="","",$N169/$F169),"")</f>
        <v>39.8184</v>
      </c>
      <c r="H169" s="13" t="n">
        <f aca="false">IFERROR(IF($B169="","",$D169-$N169),"")</f>
        <v>18.9981</v>
      </c>
      <c r="I169" s="12" t="n">
        <f aca="false">IFERROR(IF(OR($B169="",$D169=0,$D169=""),"",$H169/$D169),"")</f>
        <v>0.559920424403183</v>
      </c>
      <c r="J169" s="76" t="n">
        <f aca="false">$J$2</f>
        <v>0.25</v>
      </c>
      <c r="K169" s="12" t="n">
        <f aca="false">IFERROR(IF($B169="","",$E169+$J169),"")</f>
        <v>0.690079575596817</v>
      </c>
      <c r="L169" s="74" t="n">
        <f aca="false">IFERROR(IF(OR($B169="",$C169=0,$C169=""),"",$I169+ROW()*0.0000001),"")</f>
        <v>0.559937324403183</v>
      </c>
      <c r="M169" s="77" t="n">
        <f aca="false">$M$2</f>
        <v>0.9319</v>
      </c>
      <c r="N169" s="13" t="n">
        <f aca="false">IFERROR(IF($B169="","",$C169+$M169),"")</f>
        <v>14.9319</v>
      </c>
    </row>
    <row r="170" customFormat="false" ht="39" hidden="false" customHeight="true" outlineLevel="0" collapsed="false">
      <c r="A170" s="70" t="str">
        <f aca="false">IFERROR(IF(المنيو!$B170="","",المنيو!$A170),"")</f>
        <v>قسم الإضافات</v>
      </c>
      <c r="B170" s="70" t="str">
        <f aca="false">IFERROR(المنيو!$B170,"")</f>
        <v>صوص شيدر إضافي (L)</v>
      </c>
      <c r="C170" s="13" t="n">
        <f aca="false">IFERROR(IF($B170="","",SUMIFS(الريسبي!$F$2:$F$1800,الريسبي!$A$2:$A$1800,$B170)),"")</f>
        <v>21</v>
      </c>
      <c r="D170" s="71" t="n">
        <f aca="false">IFERROR(IF($B170="","",المنيو!$C170),"")</f>
        <v>48.57</v>
      </c>
      <c r="E170" s="12" t="n">
        <f aca="false">IFERROR(IF(OR($B170="",$D170=0,$D170=""),"",$N170/$D170),"")</f>
        <v>0.451552398599959</v>
      </c>
      <c r="F170" s="76" t="n">
        <f aca="false">$F$2</f>
        <v>0.375</v>
      </c>
      <c r="G170" s="13" t="n">
        <f aca="false">IFERROR(IF($B170="","",$N170/$F170),"")</f>
        <v>58.4850666666667</v>
      </c>
      <c r="H170" s="13" t="n">
        <f aca="false">IFERROR(IF($B170="","",$D170-$N170),"")</f>
        <v>26.6381</v>
      </c>
      <c r="I170" s="12" t="n">
        <f aca="false">IFERROR(IF(OR($B170="",$D170=0,$D170=""),"",$H170/$D170),"")</f>
        <v>0.548447601400041</v>
      </c>
      <c r="J170" s="76" t="n">
        <f aca="false">$J$2</f>
        <v>0.25</v>
      </c>
      <c r="K170" s="12" t="n">
        <f aca="false">IFERROR(IF($B170="","",$E170+$J170),"")</f>
        <v>0.701552398599959</v>
      </c>
      <c r="L170" s="74" t="n">
        <f aca="false">IFERROR(IF(OR($B170="",$C170=0,$C170=""),"",$I170+ROW()*0.0000001),"")</f>
        <v>0.548464601400041</v>
      </c>
      <c r="M170" s="77" t="n">
        <f aca="false">$M$2</f>
        <v>0.9319</v>
      </c>
      <c r="N170" s="13" t="n">
        <f aca="false">IFERROR(IF($B170="","",$C170+$M170),"")</f>
        <v>21.9319</v>
      </c>
    </row>
    <row r="171" customFormat="false" ht="39" hidden="false" customHeight="true" outlineLevel="0" collapsed="false">
      <c r="A171" s="70" t="str">
        <f aca="false">IFERROR(IF(المنيو!$B171="","",المنيو!$A171),"")</f>
        <v>قسم الإضافات</v>
      </c>
      <c r="B171" s="70" t="str">
        <f aca="false">IFERROR(المنيو!$B171,"")</f>
        <v>صوص باربيكيو إضافي (M)</v>
      </c>
      <c r="C171" s="13" t="n">
        <f aca="false">IFERROR(IF($B171="","",SUMIFS(الريسبي!$F$2:$F$1800,الريسبي!$A$2:$A$1800,$B171)),"")</f>
        <v>7</v>
      </c>
      <c r="D171" s="71" t="n">
        <f aca="false">IFERROR(IF($B171="","",المنيو!$C171),"")</f>
        <v>34.5</v>
      </c>
      <c r="E171" s="12" t="n">
        <f aca="false">IFERROR(IF(OR($B171="",$D171=0,$D171=""),"",$N171/$D171),"")</f>
        <v>0.229910144927536</v>
      </c>
      <c r="F171" s="76" t="n">
        <f aca="false">$F$2</f>
        <v>0.375</v>
      </c>
      <c r="G171" s="13" t="n">
        <f aca="false">IFERROR(IF($B171="","",$N171/$F171),"")</f>
        <v>21.1517333333333</v>
      </c>
      <c r="H171" s="13" t="n">
        <f aca="false">IFERROR(IF($B171="","",$D171-$N171),"")</f>
        <v>26.5681</v>
      </c>
      <c r="I171" s="12" t="n">
        <f aca="false">IFERROR(IF(OR($B171="",$D171=0,$D171=""),"",$H171/$D171),"")</f>
        <v>0.770089855072464</v>
      </c>
      <c r="J171" s="76" t="n">
        <f aca="false">$J$2</f>
        <v>0.25</v>
      </c>
      <c r="K171" s="12" t="n">
        <f aca="false">IFERROR(IF($B171="","",$E171+$J171),"")</f>
        <v>0.479910144927536</v>
      </c>
      <c r="L171" s="74" t="n">
        <f aca="false">IFERROR(IF(OR($B171="",$C171=0,$C171=""),"",$I171+ROW()*0.0000001),"")</f>
        <v>0.770106955072464</v>
      </c>
      <c r="M171" s="77" t="n">
        <f aca="false">$M$2</f>
        <v>0.9319</v>
      </c>
      <c r="N171" s="13" t="n">
        <f aca="false">IFERROR(IF($B171="","",$C171+$M171),"")</f>
        <v>7.9319</v>
      </c>
    </row>
    <row r="172" customFormat="false" ht="39" hidden="false" customHeight="true" outlineLevel="0" collapsed="false">
      <c r="A172" s="70" t="str">
        <f aca="false">IFERROR(IF(المنيو!$B172="","",المنيو!$A172),"")</f>
        <v>قسم الإضافات</v>
      </c>
      <c r="B172" s="70" t="str">
        <f aca="false">IFERROR(المنيو!$B172,"")</f>
        <v>صوص باربيكيو إضافي (L)</v>
      </c>
      <c r="C172" s="13" t="n">
        <f aca="false">IFERROR(IF($B172="","",SUMIFS(الريسبي!$F$2:$F$1800,الريسبي!$A$2:$A$1800,$B172)),"")</f>
        <v>10.5</v>
      </c>
      <c r="D172" s="71" t="n">
        <f aca="false">IFERROR(IF($B172="","",المنيو!$C172),"")</f>
        <v>40</v>
      </c>
      <c r="E172" s="12" t="n">
        <f aca="false">IFERROR(IF(OR($B172="",$D172=0,$D172=""),"",$N172/$D172),"")</f>
        <v>0.2857975</v>
      </c>
      <c r="F172" s="76" t="n">
        <f aca="false">$F$2</f>
        <v>0.375</v>
      </c>
      <c r="G172" s="13" t="n">
        <f aca="false">IFERROR(IF($B172="","",$N172/$F172),"")</f>
        <v>30.4850666666667</v>
      </c>
      <c r="H172" s="13" t="n">
        <f aca="false">IFERROR(IF($B172="","",$D172-$N172),"")</f>
        <v>28.5681</v>
      </c>
      <c r="I172" s="12" t="n">
        <f aca="false">IFERROR(IF(OR($B172="",$D172=0,$D172=""),"",$H172/$D172),"")</f>
        <v>0.7142025</v>
      </c>
      <c r="J172" s="76" t="n">
        <f aca="false">$J$2</f>
        <v>0.25</v>
      </c>
      <c r="K172" s="12" t="n">
        <f aca="false">IFERROR(IF($B172="","",$E172+$J172),"")</f>
        <v>0.5357975</v>
      </c>
      <c r="L172" s="74" t="n">
        <f aca="false">IFERROR(IF(OR($B172="",$C172=0,$C172=""),"",$I172+ROW()*0.0000001),"")</f>
        <v>0.7142197</v>
      </c>
      <c r="M172" s="77" t="n">
        <f aca="false">$M$2</f>
        <v>0.9319</v>
      </c>
      <c r="N172" s="13" t="n">
        <f aca="false">IFERROR(IF($B172="","",$C172+$M172),"")</f>
        <v>11.4319</v>
      </c>
    </row>
    <row r="173" customFormat="false" ht="15" hidden="false" customHeight="true" outlineLevel="0" collapsed="false">
      <c r="A173" s="70" t="str">
        <f aca="false">IFERROR(IF(المنيو!$B173="","",المنيو!$A173),"")</f>
        <v>قسم الفطير الحلو</v>
      </c>
      <c r="B173" s="70" t="str">
        <f aca="false">IFERROR(المنيو!$B173,"")</f>
        <v>فطيرة نوتيلا</v>
      </c>
      <c r="C173" s="13" t="n">
        <f aca="false">IFERROR(IF($B173="","",SUMIFS(الريسبي!$F$2:$F$1800,الريسبي!$A$2:$A$1800,$B173)),"")</f>
        <v>116.585002</v>
      </c>
      <c r="D173" s="71" t="n">
        <f aca="false">IFERROR(IF($B173="","",المنيو!$C173),"")</f>
        <v>200</v>
      </c>
      <c r="E173" s="12" t="n">
        <f aca="false">IFERROR(IF(OR($B173="",$D173=0,$D173=""),"",$N173/$D173),"")</f>
        <v>0.58758451</v>
      </c>
      <c r="F173" s="76" t="n">
        <f aca="false">$F$2</f>
        <v>0.375</v>
      </c>
      <c r="G173" s="13" t="n">
        <f aca="false">IFERROR(IF($B173="","",$N173/$F173),"")</f>
        <v>313.378405333333</v>
      </c>
      <c r="H173" s="13" t="n">
        <f aca="false">IFERROR(IF($B173="","",$D173-$N173),"")</f>
        <v>82.483098</v>
      </c>
      <c r="I173" s="12" t="n">
        <f aca="false">IFERROR(IF(OR($B173="",$D173=0,$D173=""),"",$H173/$D173),"")</f>
        <v>0.41241549</v>
      </c>
      <c r="J173" s="76" t="n">
        <f aca="false">$J$2</f>
        <v>0.25</v>
      </c>
      <c r="K173" s="12" t="n">
        <f aca="false">IFERROR(IF($B173="","",$E173+$J173),"")</f>
        <v>0.83758451</v>
      </c>
      <c r="L173" s="74" t="n">
        <f aca="false">IFERROR(IF(OR($B173="",$C173=0,$C173=""),"",$I173+ROW()*0.0000001),"")</f>
        <v>0.41243279</v>
      </c>
      <c r="M173" s="77" t="n">
        <f aca="false">$M$2</f>
        <v>0.9319</v>
      </c>
      <c r="N173" s="13" t="n">
        <f aca="false">IFERROR(IF($B173="","",$C173+$M173),"")</f>
        <v>117.516902</v>
      </c>
    </row>
    <row r="174" customFormat="false" ht="15" hidden="false" customHeight="true" outlineLevel="0" collapsed="false">
      <c r="A174" s="70" t="str">
        <f aca="false">IFERROR(IF(المنيو!$B174="","",المنيو!$A174),"")</f>
        <v>قسم المكرونات</v>
      </c>
      <c r="B174" s="70" t="str">
        <f aca="false">IFERROR(المنيو!$B174,"")</f>
        <v>مكرونة صوص ابيض مفروم</v>
      </c>
      <c r="C174" s="13" t="n">
        <f aca="false">IFERROR(IF($B174="","",SUMIFS(الريسبي!$F$2:$F$1800,الريسبي!$A$2:$A$1800,$B174)),"")</f>
        <v>65.463335</v>
      </c>
      <c r="D174" s="71" t="n">
        <f aca="false">IFERROR(IF($B174="","",المنيو!$C174),"")</f>
        <v>140</v>
      </c>
      <c r="E174" s="12" t="n">
        <f aca="false">IFERROR(IF(OR($B174="",$D174=0,$D174=""),"",$N174/$D174),"")</f>
        <v>0.474251678571429</v>
      </c>
      <c r="F174" s="76" t="n">
        <f aca="false">$F$2</f>
        <v>0.375</v>
      </c>
      <c r="G174" s="13" t="n">
        <f aca="false">IFERROR(IF($B174="","",$N174/$F174),"")</f>
        <v>177.05396</v>
      </c>
      <c r="H174" s="13" t="n">
        <f aca="false">IFERROR(IF($B174="","",$D174-$N174),"")</f>
        <v>73.604765</v>
      </c>
      <c r="I174" s="12" t="n">
        <f aca="false">IFERROR(IF(OR($B174="",$D174=0,$D174=""),"",$H174/$D174),"")</f>
        <v>0.525748321428571</v>
      </c>
      <c r="J174" s="76" t="n">
        <f aca="false">$J$2</f>
        <v>0.25</v>
      </c>
      <c r="K174" s="12" t="n">
        <f aca="false">IFERROR(IF($B174="","",$E174+$J174),"")</f>
        <v>0.724251678571429</v>
      </c>
      <c r="L174" s="74" t="n">
        <f aca="false">IFERROR(IF(OR($B174="",$C174=0,$C174=""),"",$I174+ROW()*0.0000001),"")</f>
        <v>0.525765721428571</v>
      </c>
      <c r="M174" s="77" t="n">
        <f aca="false">$M$2</f>
        <v>0.9319</v>
      </c>
      <c r="N174" s="13" t="n">
        <f aca="false">IFERROR(IF($B174="","",$C174+$M174),"")</f>
        <v>66.395235</v>
      </c>
    </row>
    <row r="175" customFormat="false" ht="15" hidden="false" customHeight="true" outlineLevel="0" collapsed="false">
      <c r="A175" s="70" t="str">
        <f aca="false">IFERROR(IF(المنيو!$B175="","",المنيو!$A175),"")</f>
        <v>قسم الكريب</v>
      </c>
      <c r="B175" s="70" t="str">
        <f aca="false">IFERROR(المنيو!$B175,"")</f>
        <v>كريب جمبري</v>
      </c>
      <c r="C175" s="13" t="n">
        <f aca="false">IFERROR(IF($B175="","",SUMIFS(الريسبي!$F$2:$F$1800,الريسبي!$A$2:$A$1800,$B175)),"")</f>
        <v>75.6019620833333</v>
      </c>
      <c r="D175" s="71" t="n">
        <f aca="false">IFERROR(IF($B175="","",المنيو!$C175),"")</f>
        <v>170</v>
      </c>
      <c r="E175" s="12" t="n">
        <f aca="false">IFERROR(IF(OR($B175="",$D175=0,$D175=""),"",$N175/$D175),"")</f>
        <v>0.45019918872549</v>
      </c>
      <c r="F175" s="76" t="n">
        <f aca="false">$F$2</f>
        <v>0.375</v>
      </c>
      <c r="G175" s="13" t="n">
        <f aca="false">IFERROR(IF($B175="","",$N175/$F175),"")</f>
        <v>204.090298888889</v>
      </c>
      <c r="H175" s="13" t="n">
        <f aca="false">IFERROR(IF($B175="","",$D175-$N175),"")</f>
        <v>93.4661379166667</v>
      </c>
      <c r="I175" s="12" t="n">
        <f aca="false">IFERROR(IF(OR($B175="",$D175=0,$D175=""),"",$H175/$D175),"")</f>
        <v>0.54980081127451</v>
      </c>
      <c r="J175" s="76" t="n">
        <f aca="false">$J$2</f>
        <v>0.25</v>
      </c>
      <c r="K175" s="12" t="n">
        <f aca="false">IFERROR(IF($B175="","",$E175+$J175),"")</f>
        <v>0.70019918872549</v>
      </c>
      <c r="L175" s="74" t="n">
        <f aca="false">IFERROR(IF(OR($B175="",$C175=0,$C175=""),"",$I175+ROW()*0.0000001),"")</f>
        <v>0.54981831127451</v>
      </c>
      <c r="M175" s="77" t="n">
        <f aca="false">$M$2</f>
        <v>0.9319</v>
      </c>
      <c r="N175" s="13" t="n">
        <f aca="false">IFERROR(IF($B175="","",$C175+$M175),"")</f>
        <v>76.5338620833333</v>
      </c>
    </row>
    <row r="176" customFormat="false" ht="15" hidden="false" customHeight="true" outlineLevel="0" collapsed="false">
      <c r="A176" s="70" t="str">
        <f aca="false">IFERROR(IF(المنيو!$B176="","",المنيو!$A176),"")</f>
        <v>قسم الكريب</v>
      </c>
      <c r="B176" s="70" t="str">
        <f aca="false">IFERROR(المنيو!$B176,"")</f>
        <v>كريب فراخ جريل</v>
      </c>
      <c r="C176" s="13" t="n">
        <f aca="false">IFERROR(IF($B176="","",SUMIFS(الريسبي!$F$2:$F$1800,الريسبي!$A$2:$A$1800,$B176)),"")</f>
        <v>62.0839620833333</v>
      </c>
      <c r="D176" s="71" t="n">
        <f aca="false">IFERROR(IF($B176="","",المنيو!$C176),"")</f>
        <v>105</v>
      </c>
      <c r="E176" s="12" t="n">
        <f aca="false">IFERROR(IF(OR($B176="",$D176=0,$D176=""),"",$N176/$D176),"")</f>
        <v>0.600151067460317</v>
      </c>
      <c r="F176" s="76" t="n">
        <f aca="false">$F$2</f>
        <v>0.375</v>
      </c>
      <c r="G176" s="13" t="n">
        <f aca="false">IFERROR(IF($B176="","",$N176/$F176),"")</f>
        <v>168.042298888889</v>
      </c>
      <c r="H176" s="13" t="n">
        <f aca="false">IFERROR(IF($B176="","",$D176-$N176),"")</f>
        <v>41.9841379166667</v>
      </c>
      <c r="I176" s="12" t="n">
        <f aca="false">IFERROR(IF(OR($B176="",$D176=0,$D176=""),"",$H176/$D176),"")</f>
        <v>0.399848932539683</v>
      </c>
      <c r="J176" s="76" t="n">
        <f aca="false">$J$2</f>
        <v>0.25</v>
      </c>
      <c r="K176" s="12" t="n">
        <f aca="false">IFERROR(IF($B176="","",$E176+$J176),"")</f>
        <v>0.850151067460317</v>
      </c>
      <c r="L176" s="74" t="n">
        <f aca="false">IFERROR(IF(OR($B176="",$C176=0,$C176=""),"",$I176+ROW()*0.0000001),"")</f>
        <v>0.399866532539683</v>
      </c>
      <c r="M176" s="77" t="n">
        <f aca="false">$M$2</f>
        <v>0.9319</v>
      </c>
      <c r="N176" s="13" t="n">
        <f aca="false">IFERROR(IF($B176="","",$C176+$M176),"")</f>
        <v>63.0158620833333</v>
      </c>
    </row>
    <row r="177" customFormat="false" ht="15" hidden="false" customHeight="true" outlineLevel="0" collapsed="false">
      <c r="A177" s="70" t="str">
        <f aca="false">IFERROR(IF(المنيو!$B177="","",المنيو!$A177),"")</f>
        <v>قسم الإضافات</v>
      </c>
      <c r="B177" s="70" t="str">
        <f aca="false">IFERROR(المنيو!$B177,"")</f>
        <v>اضافة بسطرمة (بيتزا كبير)</v>
      </c>
      <c r="C177" s="13" t="n">
        <f aca="false">IFERROR(IF($B177="","",SUMIFS(الريسبي!$F$2:$F$1800,الريسبي!$A$2:$A$1800,$B177)),"")</f>
        <v>46.6667</v>
      </c>
      <c r="D177" s="71" t="n">
        <f aca="false">IFERROR(IF($B177="","",المنيو!$C177),"")</f>
        <v>95</v>
      </c>
      <c r="E177" s="12" t="n">
        <f aca="false">IFERROR(IF(OR($B177="",$D177=0,$D177=""),"",$N177/$D177),"")</f>
        <v>0.501037894736842</v>
      </c>
      <c r="F177" s="76" t="n">
        <f aca="false">$F$2</f>
        <v>0.375</v>
      </c>
      <c r="G177" s="13" t="n">
        <f aca="false">IFERROR(IF($B177="","",$N177/$F177),"")</f>
        <v>126.9296</v>
      </c>
      <c r="H177" s="13" t="n">
        <f aca="false">IFERROR(IF($B177="","",$D177-$N177),"")</f>
        <v>47.4014</v>
      </c>
      <c r="I177" s="12" t="n">
        <f aca="false">IFERROR(IF(OR($B177="",$D177=0,$D177=""),"",$H177/$D177),"")</f>
        <v>0.498962105263158</v>
      </c>
      <c r="J177" s="76" t="n">
        <f aca="false">$J$2</f>
        <v>0.25</v>
      </c>
      <c r="K177" s="12" t="n">
        <f aca="false">IFERROR(IF($B177="","",$E177+$J177),"")</f>
        <v>0.751037894736842</v>
      </c>
      <c r="L177" s="74" t="n">
        <f aca="false">IFERROR(IF(OR($B177="",$C177=0,$C177=""),"",$I177+ROW()*0.0000001),"")</f>
        <v>0.498979805263158</v>
      </c>
      <c r="M177" s="77" t="n">
        <f aca="false">$M$2</f>
        <v>0.9319</v>
      </c>
      <c r="N177" s="13" t="n">
        <f aca="false">IFERROR(IF($B177="","",$C177+$M177),"")</f>
        <v>47.5986</v>
      </c>
    </row>
    <row r="178" customFormat="false" ht="15" hidden="false" customHeight="true" outlineLevel="0" collapsed="false">
      <c r="A178" s="70" t="str">
        <f aca="false">IFERROR(IF(المنيو!$B178="","",المنيو!$A178),"")</f>
        <v>قسم الإضافات</v>
      </c>
      <c r="B178" s="70" t="str">
        <f aca="false">IFERROR(المنيو!$B178,"")</f>
        <v>اضافة جبنة كيري (بيتزا كبير)</v>
      </c>
      <c r="C178" s="13" t="n">
        <f aca="false">IFERROR(IF($B178="","",SUMIFS(الريسبي!$F$2:$F$1800,الريسبي!$A$2:$A$1800,$B178)),"")</f>
        <v>21</v>
      </c>
      <c r="D178" s="71" t="n">
        <f aca="false">IFERROR(IF($B178="","",المنيو!$C178),"")</f>
        <v>55</v>
      </c>
      <c r="E178" s="12" t="n">
        <f aca="false">IFERROR(IF(OR($B178="",$D178=0,$D178=""),"",$N178/$D178),"")</f>
        <v>0.398761818181818</v>
      </c>
      <c r="F178" s="76" t="n">
        <f aca="false">$F$2</f>
        <v>0.375</v>
      </c>
      <c r="G178" s="13" t="n">
        <f aca="false">IFERROR(IF($B178="","",$N178/$F178),"")</f>
        <v>58.4850666666667</v>
      </c>
      <c r="H178" s="13" t="n">
        <f aca="false">IFERROR(IF($B178="","",$D178-$N178),"")</f>
        <v>33.0681</v>
      </c>
      <c r="I178" s="12" t="n">
        <f aca="false">IFERROR(IF(OR($B178="",$D178=0,$D178=""),"",$H178/$D178),"")</f>
        <v>0.601238181818182</v>
      </c>
      <c r="J178" s="76" t="n">
        <f aca="false">$J$2</f>
        <v>0.25</v>
      </c>
      <c r="K178" s="12" t="n">
        <f aca="false">IFERROR(IF($B178="","",$E178+$J178),"")</f>
        <v>0.648761818181818</v>
      </c>
      <c r="L178" s="74" t="n">
        <f aca="false">IFERROR(IF(OR($B178="",$C178=0,$C178=""),"",$I178+ROW()*0.0000001),"")</f>
        <v>0.601255981818182</v>
      </c>
      <c r="M178" s="77" t="n">
        <f aca="false">$M$2</f>
        <v>0.9319</v>
      </c>
      <c r="N178" s="13" t="n">
        <f aca="false">IFERROR(IF($B178="","",$C178+$M178),"")</f>
        <v>21.9319</v>
      </c>
    </row>
    <row r="179" customFormat="false" ht="15" hidden="false" customHeight="true" outlineLevel="0" collapsed="false">
      <c r="A179" s="70" t="str">
        <f aca="false">IFERROR(IF(المنيو!$B179="","",المنيو!$A179),"")</f>
        <v>قسم الإضافات</v>
      </c>
      <c r="B179" s="70" t="str">
        <f aca="false">IFERROR(المنيو!$B179,"")</f>
        <v>اضافة سدق (بيتزا كبير)</v>
      </c>
      <c r="C179" s="13" t="n">
        <f aca="false">IFERROR(IF($B179="","",SUMIFS(الريسبي!$F$2:$F$1800,الريسبي!$A$2:$A$1800,$B179)),"")</f>
        <v>45</v>
      </c>
      <c r="D179" s="71" t="n">
        <f aca="false">IFERROR(IF($B179="","",المنيو!$C179),"")</f>
        <v>90</v>
      </c>
      <c r="E179" s="12" t="n">
        <f aca="false">IFERROR(IF(OR($B179="",$D179=0,$D179=""),"",$N179/$D179),"")</f>
        <v>0.510354444444444</v>
      </c>
      <c r="F179" s="76" t="n">
        <f aca="false">$F$2</f>
        <v>0.375</v>
      </c>
      <c r="G179" s="13" t="n">
        <f aca="false">IFERROR(IF($B179="","",$N179/$F179),"")</f>
        <v>122.485066666667</v>
      </c>
      <c r="H179" s="13" t="n">
        <f aca="false">IFERROR(IF($B179="","",$D179-$N179),"")</f>
        <v>44.0681</v>
      </c>
      <c r="I179" s="12" t="n">
        <f aca="false">IFERROR(IF(OR($B179="",$D179=0,$D179=""),"",$H179/$D179),"")</f>
        <v>0.489645555555556</v>
      </c>
      <c r="J179" s="76" t="n">
        <f aca="false">$J$2</f>
        <v>0.25</v>
      </c>
      <c r="K179" s="12" t="n">
        <f aca="false">IFERROR(IF($B179="","",$E179+$J179),"")</f>
        <v>0.760354444444444</v>
      </c>
      <c r="L179" s="74" t="n">
        <f aca="false">IFERROR(IF(OR($B179="",$C179=0,$C179=""),"",$I179+ROW()*0.0000001),"")</f>
        <v>0.489663455555556</v>
      </c>
      <c r="M179" s="77" t="n">
        <f aca="false">$M$2</f>
        <v>0.9319</v>
      </c>
      <c r="N179" s="13" t="n">
        <f aca="false">IFERROR(IF($B179="","",$C179+$M179),"")</f>
        <v>45.9319</v>
      </c>
    </row>
    <row r="180" customFormat="false" ht="15" hidden="false" customHeight="true" outlineLevel="0" collapsed="false">
      <c r="A180" s="70" t="str">
        <f aca="false">IFERROR(IF(المنيو!$B180="","",المنيو!$A180),"")</f>
        <v>قسم الإضافات</v>
      </c>
      <c r="B180" s="70" t="str">
        <f aca="false">IFERROR(المنيو!$B180,"")</f>
        <v>اضافة فراخ كريسبي (بيتزا كبير)</v>
      </c>
      <c r="C180" s="13" t="n">
        <f aca="false">IFERROR(IF($B180="","",SUMIFS(الريسبي!$F$2:$F$1800,الريسبي!$A$2:$A$1800,$B180)),"")</f>
        <v>29</v>
      </c>
      <c r="D180" s="71" t="n">
        <f aca="false">IFERROR(IF($B180="","",المنيو!$C180),"")</f>
        <v>110</v>
      </c>
      <c r="E180" s="12" t="n">
        <f aca="false">IFERROR(IF(OR($B180="",$D180=0,$D180=""),"",$N180/$D180),"")</f>
        <v>0.272108181818182</v>
      </c>
      <c r="F180" s="76" t="n">
        <f aca="false">$F$2</f>
        <v>0.375</v>
      </c>
      <c r="G180" s="13" t="n">
        <f aca="false">IFERROR(IF($B180="","",$N180/$F180),"")</f>
        <v>79.8184</v>
      </c>
      <c r="H180" s="13" t="n">
        <f aca="false">IFERROR(IF($B180="","",$D180-$N180),"")</f>
        <v>80.0681</v>
      </c>
      <c r="I180" s="12" t="n">
        <f aca="false">IFERROR(IF(OR($B180="",$D180=0,$D180=""),"",$H180/$D180),"")</f>
        <v>0.727891818181818</v>
      </c>
      <c r="J180" s="76" t="n">
        <f aca="false">$J$2</f>
        <v>0.25</v>
      </c>
      <c r="K180" s="12" t="n">
        <f aca="false">IFERROR(IF($B180="","",$E180+$J180),"")</f>
        <v>0.522108181818182</v>
      </c>
      <c r="L180" s="74" t="n">
        <f aca="false">IFERROR(IF(OR($B180="",$C180=0,$C180=""),"",$I180+ROW()*0.0000001),"")</f>
        <v>0.727909818181818</v>
      </c>
      <c r="M180" s="77" t="n">
        <f aca="false">$M$2</f>
        <v>0.9319</v>
      </c>
      <c r="N180" s="13" t="n">
        <f aca="false">IFERROR(IF($B180="","",$C180+$M180),"")</f>
        <v>29.9319</v>
      </c>
    </row>
    <row r="181" customFormat="false" ht="15" hidden="false" customHeight="true" outlineLevel="0" collapsed="false">
      <c r="A181" s="70" t="str">
        <f aca="false">IFERROR(IF(المنيو!$B181="","",المنيو!$A181),"")</f>
        <v>قسم الإضافات</v>
      </c>
      <c r="B181" s="70" t="str">
        <f aca="false">IFERROR(المنيو!$B181,"")</f>
        <v>اضافة فراخ جريل (فطير وسط)</v>
      </c>
      <c r="C181" s="13" t="n">
        <f aca="false">IFERROR(IF($B181="","",SUMIFS(الريسبي!$F$2:$F$1800,الريسبي!$A$2:$A$1800,$B181)),"")</f>
        <v>33.982</v>
      </c>
      <c r="D181" s="71" t="n">
        <f aca="false">IFERROR(IF($B181="","",المنيو!$C181),"")</f>
        <v>70</v>
      </c>
      <c r="E181" s="12" t="n">
        <f aca="false">IFERROR(IF(OR($B181="",$D181=0,$D181=""),"",$N181/$D181),"")</f>
        <v>0.49877</v>
      </c>
      <c r="F181" s="76" t="n">
        <f aca="false">$F$2</f>
        <v>0.375</v>
      </c>
      <c r="G181" s="13" t="n">
        <f aca="false">IFERROR(IF($B181="","",$N181/$F181),"")</f>
        <v>93.1037333333333</v>
      </c>
      <c r="H181" s="13" t="n">
        <f aca="false">IFERROR(IF($B181="","",$D181-$N181),"")</f>
        <v>35.0861</v>
      </c>
      <c r="I181" s="12" t="n">
        <f aca="false">IFERROR(IF(OR($B181="",$D181=0,$D181=""),"",$H181/$D181),"")</f>
        <v>0.50123</v>
      </c>
      <c r="J181" s="76" t="n">
        <f aca="false">$J$2</f>
        <v>0.25</v>
      </c>
      <c r="K181" s="12" t="n">
        <f aca="false">IFERROR(IF($B181="","",$E181+$J181),"")</f>
        <v>0.74877</v>
      </c>
      <c r="L181" s="74" t="n">
        <f aca="false">IFERROR(IF(OR($B181="",$C181=0,$C181=""),"",$I181+ROW()*0.0000001),"")</f>
        <v>0.5012481</v>
      </c>
      <c r="M181" s="77" t="n">
        <f aca="false">$M$2</f>
        <v>0.9319</v>
      </c>
      <c r="N181" s="13" t="n">
        <f aca="false">IFERROR(IF($B181="","",$C181+$M181),"")</f>
        <v>34.9139</v>
      </c>
    </row>
    <row r="182" customFormat="false" ht="15" hidden="false" customHeight="true" outlineLevel="0" collapsed="false">
      <c r="A182" s="70" t="str">
        <f aca="false">IFERROR(IF(المنيو!$B182="","",المنيو!$A182),"")</f>
        <v>قسم الإضافات</v>
      </c>
      <c r="B182" s="70" t="str">
        <f aca="false">IFERROR(المنيو!$B182,"")</f>
        <v>اضافة سلامي (فطير وسط)</v>
      </c>
      <c r="C182" s="13" t="n">
        <f aca="false">IFERROR(IF($B182="","",SUMIFS(الريسبي!$F$2:$F$1800,الريسبي!$A$2:$A$1800,$B182)),"")</f>
        <v>26.9708</v>
      </c>
      <c r="D182" s="71" t="n">
        <f aca="false">IFERROR(IF($B182="","",المنيو!$C182),"")</f>
        <v>50</v>
      </c>
      <c r="E182" s="12" t="n">
        <f aca="false">IFERROR(IF(OR($B182="",$D182=0,$D182=""),"",$N182/$D182),"")</f>
        <v>0.558054</v>
      </c>
      <c r="F182" s="76" t="n">
        <f aca="false">$F$2</f>
        <v>0.375</v>
      </c>
      <c r="G182" s="13" t="n">
        <f aca="false">IFERROR(IF($B182="","",$N182/$F182),"")</f>
        <v>74.4072</v>
      </c>
      <c r="H182" s="13" t="n">
        <f aca="false">IFERROR(IF($B182="","",$D182-$N182),"")</f>
        <v>22.0973</v>
      </c>
      <c r="I182" s="12" t="n">
        <f aca="false">IFERROR(IF(OR($B182="",$D182=0,$D182=""),"",$H182/$D182),"")</f>
        <v>0.441946</v>
      </c>
      <c r="J182" s="76" t="n">
        <f aca="false">$J$2</f>
        <v>0.25</v>
      </c>
      <c r="K182" s="12" t="n">
        <f aca="false">IFERROR(IF($B182="","",$E182+$J182),"")</f>
        <v>0.808054</v>
      </c>
      <c r="L182" s="74" t="n">
        <f aca="false">IFERROR(IF(OR($B182="",$C182=0,$C182=""),"",$I182+ROW()*0.0000001),"")</f>
        <v>0.4419642</v>
      </c>
      <c r="M182" s="77" t="n">
        <f aca="false">$M$2</f>
        <v>0.9319</v>
      </c>
      <c r="N182" s="13" t="n">
        <f aca="false">IFERROR(IF($B182="","",$C182+$M182),"")</f>
        <v>27.9027</v>
      </c>
    </row>
    <row r="183" customFormat="false" ht="15" hidden="false" customHeight="true" outlineLevel="0" collapsed="false">
      <c r="A183" s="70" t="str">
        <f aca="false">IFERROR(IF(المنيو!$B183="","",المنيو!$A183),"")</f>
        <v>قسم وجبات الأطفال</v>
      </c>
      <c r="B183" s="70" t="str">
        <f aca="false">IFERROR(المنيو!$B183,"")</f>
        <v>وجبة أطفال بيتزا مارجريتا</v>
      </c>
      <c r="C183" s="13" t="n">
        <f aca="false">IFERROR(IF($B183="","",SUMIFS(الريسبي!$F$2:$F$1800,الريسبي!$A$2:$A$1800,$B183)),"")</f>
        <v>37.60825</v>
      </c>
      <c r="D183" s="71" t="n">
        <f aca="false">IFERROR(IF($B183="","",المنيو!$C183),"")</f>
        <v>120</v>
      </c>
      <c r="E183" s="12" t="n">
        <f aca="false">IFERROR(IF(OR($B183="",$D183=0,$D183=""),"",$N183/$D183),"")</f>
        <v>0.321167916666667</v>
      </c>
      <c r="F183" s="76" t="n">
        <f aca="false">$F$2</f>
        <v>0.375</v>
      </c>
      <c r="G183" s="13" t="n">
        <f aca="false">IFERROR(IF($B183="","",$N183/$F183),"")</f>
        <v>102.773733333333</v>
      </c>
      <c r="H183" s="13" t="n">
        <f aca="false">IFERROR(IF($B183="","",$D183-$N183),"")</f>
        <v>81.45985</v>
      </c>
      <c r="I183" s="12" t="n">
        <f aca="false">IFERROR(IF(OR($B183="",$D183=0,$D183=""),"",$H183/$D183),"")</f>
        <v>0.678832083333333</v>
      </c>
      <c r="J183" s="76" t="n">
        <f aca="false">$J$2</f>
        <v>0.25</v>
      </c>
      <c r="K183" s="12" t="n">
        <f aca="false">IFERROR(IF($B183="","",$E183+$J183),"")</f>
        <v>0.571167916666667</v>
      </c>
      <c r="L183" s="74" t="n">
        <f aca="false">IFERROR(IF(OR($B183="",$C183=0,$C183=""),"",$I183+ROW()*0.0000001),"")</f>
        <v>0.678850383333333</v>
      </c>
      <c r="M183" s="77" t="n">
        <f aca="false">$M$2</f>
        <v>0.9319</v>
      </c>
      <c r="N183" s="13" t="n">
        <f aca="false">IFERROR(IF($B183="","",$C183+$M183),"")</f>
        <v>38.54015</v>
      </c>
    </row>
    <row r="184" customFormat="false" ht="15" hidden="false" customHeight="true" outlineLevel="0" collapsed="false">
      <c r="A184" s="70" t="str">
        <f aca="false">IFERROR(IF(المنيو!$B184="","",المنيو!$A184),"")</f>
        <v>قسم وجبات الأطفال</v>
      </c>
      <c r="B184" s="70" t="str">
        <f aca="false">IFERROR(المنيو!$B184,"")</f>
        <v>وجبة أطفال بيتزا سلامي</v>
      </c>
      <c r="C184" s="13" t="n">
        <f aca="false">IFERROR(IF($B184="","",SUMIFS(الريسبي!$F$2:$F$1800,الريسبي!$A$2:$A$1800,$B184)),"")</f>
        <v>51.09365</v>
      </c>
      <c r="D184" s="71" t="n">
        <f aca="false">IFERROR(IF($B184="","",المنيو!$C184),"")</f>
        <v>140</v>
      </c>
      <c r="E184" s="12" t="n">
        <f aca="false">IFERROR(IF(OR($B184="",$D184=0,$D184=""),"",$N184/$D184),"")</f>
        <v>0.371611071428571</v>
      </c>
      <c r="F184" s="76" t="n">
        <f aca="false">$F$2</f>
        <v>0.375</v>
      </c>
      <c r="G184" s="13" t="n">
        <f aca="false">IFERROR(IF($B184="","",$N184/$F184),"")</f>
        <v>138.7348</v>
      </c>
      <c r="H184" s="13" t="n">
        <f aca="false">IFERROR(IF($B184="","",$D184-$N184),"")</f>
        <v>87.97445</v>
      </c>
      <c r="I184" s="12" t="n">
        <f aca="false">IFERROR(IF(OR($B184="",$D184=0,$D184=""),"",$H184/$D184),"")</f>
        <v>0.628388928571429</v>
      </c>
      <c r="J184" s="76" t="n">
        <f aca="false">$J$2</f>
        <v>0.25</v>
      </c>
      <c r="K184" s="12" t="n">
        <f aca="false">IFERROR(IF($B184="","",$E184+$J184),"")</f>
        <v>0.621611071428571</v>
      </c>
      <c r="L184" s="74" t="n">
        <f aca="false">IFERROR(IF(OR($B184="",$C184=0,$C184=""),"",$I184+ROW()*0.0000001),"")</f>
        <v>0.628407328571428</v>
      </c>
      <c r="M184" s="77" t="n">
        <f aca="false">$M$2</f>
        <v>0.9319</v>
      </c>
      <c r="N184" s="13" t="n">
        <f aca="false">IFERROR(IF($B184="","",$C184+$M184),"")</f>
        <v>52.02555</v>
      </c>
    </row>
    <row r="185" customFormat="false" ht="15" hidden="false" customHeight="true" outlineLevel="0" collapsed="false">
      <c r="A185" s="70" t="str">
        <f aca="false">IFERROR(IF(المنيو!$B185="","",المنيو!$A185),"")</f>
        <v>قسم وجبات الأطفال</v>
      </c>
      <c r="B185" s="70" t="str">
        <f aca="false">IFERROR(المنيو!$B185,"")</f>
        <v>وجبة أطفال استربس + بطاطس</v>
      </c>
      <c r="C185" s="13" t="n">
        <f aca="false">IFERROR(IF($B185="","",SUMIFS(الريسبي!$F$2:$F$1800,الريسبي!$A$2:$A$1800,$B185)),"")</f>
        <v>48.65</v>
      </c>
      <c r="D185" s="71" t="n">
        <f aca="false">IFERROR(IF($B185="","",المنيو!$C185),"")</f>
        <v>120</v>
      </c>
      <c r="E185" s="12" t="n">
        <f aca="false">IFERROR(IF(OR($B185="",$D185=0,$D185=""),"",$N185/$D185),"")</f>
        <v>0.4131825</v>
      </c>
      <c r="F185" s="76" t="n">
        <f aca="false">$F$2</f>
        <v>0.375</v>
      </c>
      <c r="G185" s="13" t="n">
        <f aca="false">IFERROR(IF($B185="","",$N185/$F185),"")</f>
        <v>132.2184</v>
      </c>
      <c r="H185" s="13" t="n">
        <f aca="false">IFERROR(IF($B185="","",$D185-$N185),"")</f>
        <v>70.4181</v>
      </c>
      <c r="I185" s="12" t="n">
        <f aca="false">IFERROR(IF(OR($B185="",$D185=0,$D185=""),"",$H185/$D185),"")</f>
        <v>0.5868175</v>
      </c>
      <c r="J185" s="76" t="n">
        <f aca="false">$J$2</f>
        <v>0.25</v>
      </c>
      <c r="K185" s="12" t="n">
        <f aca="false">IFERROR(IF($B185="","",$E185+$J185),"")</f>
        <v>0.6631825</v>
      </c>
      <c r="L185" s="74" t="n">
        <f aca="false">IFERROR(IF(OR($B185="",$C185=0,$C185=""),"",$I185+ROW()*0.0000001),"")</f>
        <v>0.586836</v>
      </c>
      <c r="M185" s="77" t="n">
        <f aca="false">$M$2</f>
        <v>0.9319</v>
      </c>
      <c r="N185" s="13" t="n">
        <f aca="false">IFERROR(IF($B185="","",$C185+$M185),"")</f>
        <v>49.5819</v>
      </c>
    </row>
    <row r="186" customFormat="false" ht="15" hidden="false" customHeight="true" outlineLevel="0" collapsed="false">
      <c r="A186" s="70" t="str">
        <f aca="false">IFERROR(IF(المنيو!$B186="","",المنيو!$A186),"")</f>
        <v>قسم وجبات الأطفال</v>
      </c>
      <c r="B186" s="70" t="str">
        <f aca="false">IFERROR(المنيو!$B186,"")</f>
        <v>وجبة أطفال استربس + مكرونة</v>
      </c>
      <c r="C186" s="13" t="n">
        <f aca="false">IFERROR(IF($B186="","",SUMIFS(الريسبي!$F$2:$F$1800,الريسبي!$A$2:$A$1800,$B186)),"")</f>
        <v>50.0166675</v>
      </c>
      <c r="D186" s="71" t="n">
        <f aca="false">IFERROR(IF($B186="","",المنيو!$C186),"")</f>
        <v>170</v>
      </c>
      <c r="E186" s="12" t="n">
        <f aca="false">IFERROR(IF(OR($B186="",$D186=0,$D186=""),"",$N186/$D186),"")</f>
        <v>0.299697455882353</v>
      </c>
      <c r="F186" s="76" t="n">
        <f aca="false">$F$2</f>
        <v>0.375</v>
      </c>
      <c r="G186" s="13" t="n">
        <f aca="false">IFERROR(IF($B186="","",$N186/$F186),"")</f>
        <v>135.862846666667</v>
      </c>
      <c r="H186" s="13" t="n">
        <f aca="false">IFERROR(IF($B186="","",$D186-$N186),"")</f>
        <v>119.0514325</v>
      </c>
      <c r="I186" s="12" t="n">
        <f aca="false">IFERROR(IF(OR($B186="",$D186=0,$D186=""),"",$H186/$D186),"")</f>
        <v>0.700302544117647</v>
      </c>
      <c r="J186" s="76" t="n">
        <f aca="false">$J$2</f>
        <v>0.25</v>
      </c>
      <c r="K186" s="12" t="n">
        <f aca="false">IFERROR(IF($B186="","",$E186+$J186),"")</f>
        <v>0.549697455882353</v>
      </c>
      <c r="L186" s="74" t="n">
        <f aca="false">IFERROR(IF(OR($B186="",$C186=0,$C186=""),"",$I186+ROW()*0.0000001),"")</f>
        <v>0.700321144117647</v>
      </c>
      <c r="M186" s="77" t="n">
        <f aca="false">$M$2</f>
        <v>0.9319</v>
      </c>
      <c r="N186" s="13" t="n">
        <f aca="false">IFERROR(IF($B186="","",$C186+$M186),"")</f>
        <v>50.9485675</v>
      </c>
    </row>
    <row r="187" customFormat="false" ht="15" hidden="false" customHeight="true" outlineLevel="0" collapsed="false">
      <c r="A187" s="70" t="str">
        <f aca="false">IFERROR(IF(المنيو!$B187="","",المنيو!$A187),"")</f>
        <v>قسم الإضافات</v>
      </c>
      <c r="B187" s="70" t="str">
        <f aca="false">IFERROR(المنيو!$B187,"")</f>
        <v>اضافة برجر</v>
      </c>
      <c r="C187" s="13" t="n">
        <f aca="false">IFERROR(IF($B187="","",SUMIFS(الريسبي!$F$2:$F$1800,الريسبي!$A$2:$A$1800,$B187)),"")</f>
        <v>18</v>
      </c>
      <c r="D187" s="71" t="n">
        <f aca="false">IFERROR(IF($B187="","",المنيو!$C187),"")</f>
        <v>40</v>
      </c>
      <c r="E187" s="12" t="n">
        <f aca="false">IFERROR(IF(OR($B187="",$D187=0,$D187=""),"",$N187/$D187),"")</f>
        <v>0.4732975</v>
      </c>
      <c r="F187" s="76" t="n">
        <f aca="false">$F$2</f>
        <v>0.375</v>
      </c>
      <c r="G187" s="13" t="n">
        <f aca="false">IFERROR(IF($B187="","",$N187/$F187),"")</f>
        <v>50.4850666666667</v>
      </c>
      <c r="H187" s="13" t="n">
        <f aca="false">IFERROR(IF($B187="","",$D187-$N187),"")</f>
        <v>21.0681</v>
      </c>
      <c r="I187" s="12" t="n">
        <f aca="false">IFERROR(IF(OR($B187="",$D187=0,$D187=""),"",$H187/$D187),"")</f>
        <v>0.5267025</v>
      </c>
      <c r="J187" s="76" t="n">
        <f aca="false">$J$2</f>
        <v>0.25</v>
      </c>
      <c r="K187" s="12" t="n">
        <f aca="false">IFERROR(IF($B187="","",$E187+$J187),"")</f>
        <v>0.7232975</v>
      </c>
      <c r="L187" s="74" t="n">
        <f aca="false">IFERROR(IF(OR($B187="",$C187=0,$C187=""),"",$I187+ROW()*0.0000001),"")</f>
        <v>0.5267212</v>
      </c>
      <c r="M187" s="77" t="n">
        <f aca="false">$M$2</f>
        <v>0.9319</v>
      </c>
      <c r="N187" s="13" t="n">
        <f aca="false">IFERROR(IF($B187="","",$C187+$M187),"")</f>
        <v>18.9319</v>
      </c>
    </row>
    <row r="188" customFormat="false" ht="15" hidden="false" customHeight="true" outlineLevel="0" collapsed="false">
      <c r="A188" s="70" t="str">
        <f aca="false">IFERROR(IF(المنيو!$B188="","",المنيو!$A188),"")</f>
        <v>قسم الإضافات</v>
      </c>
      <c r="B188" s="70" t="str">
        <f aca="false">IFERROR(المنيو!$B188,"")</f>
        <v>اضافة وش شرقي (بيض وجبنة رومي) كبير</v>
      </c>
      <c r="C188" s="13" t="n">
        <f aca="false">IFERROR(IF($B188="","",SUMIFS(الريسبي!$F$2:$F$1800,الريسبي!$A$2:$A$1800,$B188)),"")</f>
        <v>13.5</v>
      </c>
      <c r="D188" s="71" t="n">
        <f aca="false">IFERROR(IF($B188="","",المنيو!$C188),"")</f>
        <v>45</v>
      </c>
      <c r="E188" s="12" t="n">
        <f aca="false">IFERROR(IF(OR($B188="",$D188=0,$D188=""),"",$N188/$D188),"")</f>
        <v>0.320708888888889</v>
      </c>
      <c r="F188" s="76" t="n">
        <f aca="false">$F$2</f>
        <v>0.375</v>
      </c>
      <c r="G188" s="13" t="n">
        <f aca="false">IFERROR(IF($B188="","",$N188/$F188),"")</f>
        <v>38.4850666666667</v>
      </c>
      <c r="H188" s="13" t="n">
        <f aca="false">IFERROR(IF($B188="","",$D188-$N188),"")</f>
        <v>30.5681</v>
      </c>
      <c r="I188" s="12" t="n">
        <f aca="false">IFERROR(IF(OR($B188="",$D188=0,$D188=""),"",$H188/$D188),"")</f>
        <v>0.679291111111111</v>
      </c>
      <c r="J188" s="76" t="n">
        <f aca="false">$J$2</f>
        <v>0.25</v>
      </c>
      <c r="K188" s="12" t="n">
        <f aca="false">IFERROR(IF($B188="","",$E188+$J188),"")</f>
        <v>0.570708888888889</v>
      </c>
      <c r="L188" s="74" t="n">
        <f aca="false">IFERROR(IF(OR($B188="",$C188=0,$C188=""),"",$I188+ROW()*0.0000001),"")</f>
        <v>0.679309911111111</v>
      </c>
      <c r="M188" s="77" t="n">
        <f aca="false">$M$2</f>
        <v>0.9319</v>
      </c>
      <c r="N188" s="13" t="n">
        <f aca="false">IFERROR(IF($B188="","",$C188+$M188),"")</f>
        <v>14.4319</v>
      </c>
    </row>
    <row r="189" customFormat="false" ht="15" hidden="false" customHeight="true" outlineLevel="0" collapsed="false">
      <c r="A189" s="70" t="str">
        <f aca="false">IFERROR(IF(المنيو!$B189="","",المنيو!$A189),"")</f>
        <v>قسم المشروبات</v>
      </c>
      <c r="B189" s="70" t="str">
        <f aca="false">IFERROR(المنيو!$B189,"")</f>
        <v>بيبسي 2 لتر</v>
      </c>
      <c r="C189" s="13" t="n">
        <f aca="false">IFERROR(IF($B189="","",SUMIFS(الريسبي!$F$2:$F$1800,الريسبي!$A$2:$A$1800,$B189)),"")</f>
        <v>40</v>
      </c>
      <c r="D189" s="71" t="n">
        <f aca="false">IFERROR(IF($B189="","",المنيو!$C189),"")</f>
        <v>45</v>
      </c>
      <c r="E189" s="12" t="n">
        <f aca="false">IFERROR(IF(OR($B189="",$D189=0,$D189=""),"",$N189/$D189),"")</f>
        <v>0.909597777777778</v>
      </c>
      <c r="F189" s="76" t="n">
        <f aca="false">$F$2</f>
        <v>0.375</v>
      </c>
      <c r="G189" s="13" t="n">
        <f aca="false">IFERROR(IF($B189="","",$N189/$F189),"")</f>
        <v>109.151733333333</v>
      </c>
      <c r="H189" s="13" t="n">
        <f aca="false">IFERROR(IF($B189="","",$D189-$N189),"")</f>
        <v>4.0681</v>
      </c>
      <c r="I189" s="12" t="n">
        <f aca="false">IFERROR(IF(OR($B189="",$D189=0,$D189=""),"",$H189/$D189),"")</f>
        <v>0.0904022222222222</v>
      </c>
      <c r="J189" s="76" t="n">
        <f aca="false">$J$2</f>
        <v>0.25</v>
      </c>
      <c r="K189" s="12" t="n">
        <f aca="false">IFERROR(IF($B189="","",$E189+$J189),"")</f>
        <v>1.15959777777778</v>
      </c>
      <c r="L189" s="74" t="n">
        <f aca="false">IFERROR(IF(OR($B189="",$C189=0,$C189=""),"",$I189+ROW()*0.0000001),"")</f>
        <v>0.0904211222222223</v>
      </c>
      <c r="M189" s="77" t="n">
        <f aca="false">$M$2</f>
        <v>0.9319</v>
      </c>
      <c r="N189" s="13" t="n">
        <f aca="false">IFERROR(IF($B189="","",$C189+$M189),"")</f>
        <v>40.9319</v>
      </c>
    </row>
    <row r="190" customFormat="false" ht="15" hidden="false" customHeight="true" outlineLevel="0" collapsed="false">
      <c r="A190" s="70" t="str">
        <f aca="false">IFERROR(IF(المنيو!$B190="","",المنيو!$A190),"")</f>
        <v>قسم المشروبات</v>
      </c>
      <c r="B190" s="70" t="str">
        <f aca="false">IFERROR(المنيو!$B190,"")</f>
        <v>مياه معدنية M</v>
      </c>
      <c r="C190" s="13" t="n">
        <f aca="false">IFERROR(IF($B190="","",SUMIFS(الريسبي!$F$2:$F$1800,الريسبي!$A$2:$A$1800,$B190)),"")</f>
        <v>7</v>
      </c>
      <c r="D190" s="71" t="n">
        <f aca="false">IFERROR(IF($B190="","",المنيو!$C190),"")</f>
        <v>8</v>
      </c>
      <c r="E190" s="12" t="n">
        <f aca="false">IFERROR(IF(OR($B190="",$D190=0,$D190=""),"",$N190/$D190),"")</f>
        <v>0.9914875</v>
      </c>
      <c r="F190" s="76" t="n">
        <f aca="false">$F$2</f>
        <v>0.375</v>
      </c>
      <c r="G190" s="13" t="n">
        <f aca="false">IFERROR(IF($B190="","",$N190/$F190),"")</f>
        <v>21.1517333333333</v>
      </c>
      <c r="H190" s="13" t="n">
        <f aca="false">IFERROR(IF($B190="","",$D190-$N190),"")</f>
        <v>0.0681000000000003</v>
      </c>
      <c r="I190" s="12" t="n">
        <f aca="false">IFERROR(IF(OR($B190="",$D190=0,$D190=""),"",$H190/$D190),"")</f>
        <v>0.00851250000000003</v>
      </c>
      <c r="J190" s="76" t="n">
        <f aca="false">$J$2</f>
        <v>0.25</v>
      </c>
      <c r="K190" s="12" t="n">
        <f aca="false">IFERROR(IF($B190="","",$E190+$J190),"")</f>
        <v>1.2414875</v>
      </c>
      <c r="L190" s="74" t="n">
        <f aca="false">IFERROR(IF(OR($B190="",$C190=0,$C190=""),"",$I190+ROW()*0.0000001),"")</f>
        <v>0.00853150000000003</v>
      </c>
      <c r="M190" s="77" t="n">
        <f aca="false">$M$2</f>
        <v>0.9319</v>
      </c>
      <c r="N190" s="13" t="n">
        <f aca="false">IFERROR(IF($B190="","",$C190+$M190),"")</f>
        <v>7.9319</v>
      </c>
    </row>
    <row r="191" customFormat="false" ht="15" hidden="false" customHeight="true" outlineLevel="0" collapsed="false">
      <c r="A191" s="70" t="str">
        <f aca="false">IFERROR(IF(المنيو!$B191="","",المنيو!$A191),"")</f>
        <v/>
      </c>
      <c r="B191" s="70" t="n">
        <f aca="false">IFERROR(المنيو!$B191,"")</f>
        <v>0</v>
      </c>
      <c r="C191" s="13" t="str">
        <f aca="false">IFERROR(IF($B191="","",SUMIFS(الريسبي!$F$2:$F$1800,الريسبي!$A$2:$A$1800,$B191)),"")</f>
        <v/>
      </c>
      <c r="D191" s="71" t="str">
        <f aca="false">IFERROR(IF($B191="","",المنيو!$C191),"")</f>
        <v/>
      </c>
      <c r="E191" s="12" t="str">
        <f aca="false">IFERROR(IF(OR($B191="",$D191=0,$D191=""),"",$N191/$D191),"")</f>
        <v/>
      </c>
      <c r="F191" s="76" t="n">
        <f aca="false">$F$2</f>
        <v>0.375</v>
      </c>
      <c r="G191" s="13" t="str">
        <f aca="false">IFERROR(IF($B191="","",$N191/$F191),"")</f>
        <v/>
      </c>
      <c r="H191" s="13" t="str">
        <f aca="false">IFERROR(IF($B191="","",$D191-$N191),"")</f>
        <v/>
      </c>
      <c r="I191" s="12" t="str">
        <f aca="false">IFERROR(IF(OR($B191="",$D191=0,$D191=""),"",$H191/$D191),"")</f>
        <v/>
      </c>
      <c r="J191" s="76" t="n">
        <f aca="false">$J$2</f>
        <v>0.25</v>
      </c>
      <c r="K191" s="12" t="str">
        <f aca="false">IFERROR(IF($B191="","",$E191+$J191),"")</f>
        <v/>
      </c>
      <c r="L191" s="11" t="str">
        <f aca="false">IFERROR(IF(OR($B191="",$C191=0,$C191=""),"",$I191+ROW()*0.0000001),"")</f>
        <v/>
      </c>
      <c r="M191" s="77" t="n">
        <f aca="false">$M$2</f>
        <v>0.9319</v>
      </c>
      <c r="N191" s="13" t="str">
        <f aca="false">IFERROR(IF($B191="","",$C191+$M191),"")</f>
        <v/>
      </c>
    </row>
    <row r="192" customFormat="false" ht="15" hidden="false" customHeight="true" outlineLevel="0" collapsed="false">
      <c r="A192" s="70" t="str">
        <f aca="false">IFERROR(IF(المنيو!$B192="","",المنيو!$A192),"")</f>
        <v/>
      </c>
      <c r="B192" s="70" t="n">
        <f aca="false">IFERROR(المنيو!$B192,"")</f>
        <v>0</v>
      </c>
      <c r="C192" s="13" t="str">
        <f aca="false">IFERROR(IF($B192="","",SUMIFS(الريسبي!$F$2:$F$1800,الريسبي!$A$2:$A$1800,$B192)),"")</f>
        <v/>
      </c>
      <c r="D192" s="71" t="str">
        <f aca="false">IFERROR(IF($B192="","",المنيو!$C192),"")</f>
        <v/>
      </c>
      <c r="E192" s="12" t="str">
        <f aca="false">IFERROR(IF(OR($B192="",$D192=0,$D192=""),"",$N192/$D192),"")</f>
        <v/>
      </c>
      <c r="F192" s="76" t="n">
        <f aca="false">$F$2</f>
        <v>0.375</v>
      </c>
      <c r="G192" s="13" t="str">
        <f aca="false">IFERROR(IF($B192="","",$N192/$F192),"")</f>
        <v/>
      </c>
      <c r="H192" s="13" t="str">
        <f aca="false">IFERROR(IF($B192="","",$D192-$N192),"")</f>
        <v/>
      </c>
      <c r="I192" s="12" t="str">
        <f aca="false">IFERROR(IF(OR($B192="",$D192=0,$D192=""),"",$H192/$D192),"")</f>
        <v/>
      </c>
      <c r="J192" s="76" t="n">
        <f aca="false">$J$2</f>
        <v>0.25</v>
      </c>
      <c r="K192" s="12" t="str">
        <f aca="false">IFERROR(IF($B192="","",$E192+$J192),"")</f>
        <v/>
      </c>
      <c r="L192" s="11" t="str">
        <f aca="false">IFERROR(IF(OR($B192="",$C192=0,$C192=""),"",$I192+ROW()*0.0000001),"")</f>
        <v/>
      </c>
      <c r="M192" s="77" t="n">
        <f aca="false">$M$2</f>
        <v>0.9319</v>
      </c>
      <c r="N192" s="13" t="str">
        <f aca="false">IFERROR(IF($B192="","",$C192+$M192),"")</f>
        <v/>
      </c>
    </row>
    <row r="193" customFormat="false" ht="15" hidden="false" customHeight="true" outlineLevel="0" collapsed="false">
      <c r="A193" s="70" t="str">
        <f aca="false">IFERROR(IF(المنيو!$B193="","",المنيو!$A193),"")</f>
        <v/>
      </c>
      <c r="B193" s="70" t="n">
        <f aca="false">IFERROR(المنيو!$B193,"")</f>
        <v>0</v>
      </c>
      <c r="C193" s="13" t="str">
        <f aca="false">IFERROR(IF($B193="","",SUMIFS(الريسبي!$F$2:$F$1800,الريسبي!$A$2:$A$1800,$B193)),"")</f>
        <v/>
      </c>
      <c r="D193" s="71" t="str">
        <f aca="false">IFERROR(IF($B193="","",المنيو!$C193),"")</f>
        <v/>
      </c>
      <c r="E193" s="12" t="str">
        <f aca="false">IFERROR(IF(OR($B193="",$D193=0,$D193=""),"",$N193/$D193),"")</f>
        <v/>
      </c>
      <c r="F193" s="76" t="n">
        <f aca="false">$F$2</f>
        <v>0.375</v>
      </c>
      <c r="G193" s="13" t="str">
        <f aca="false">IFERROR(IF($B193="","",$N193/$F193),"")</f>
        <v/>
      </c>
      <c r="H193" s="13" t="str">
        <f aca="false">IFERROR(IF($B193="","",$D193-$N193),"")</f>
        <v/>
      </c>
      <c r="I193" s="12" t="str">
        <f aca="false">IFERROR(IF(OR($B193="",$D193=0,$D193=""),"",$H193/$D193),"")</f>
        <v/>
      </c>
      <c r="J193" s="76" t="n">
        <f aca="false">$J$2</f>
        <v>0.25</v>
      </c>
      <c r="K193" s="12" t="str">
        <f aca="false">IFERROR(IF($B193="","",$E193+$J193),"")</f>
        <v/>
      </c>
      <c r="L193" s="11" t="str">
        <f aca="false">IFERROR(IF(OR($B193="",$C193=0,$C193=""),"",$I193+ROW()*0.0000001),"")</f>
        <v/>
      </c>
      <c r="M193" s="77" t="n">
        <f aca="false">$M$2</f>
        <v>0.9319</v>
      </c>
      <c r="N193" s="13" t="str">
        <f aca="false">IFERROR(IF($B193="","",$C193+$M193),"")</f>
        <v/>
      </c>
    </row>
    <row r="194" customFormat="false" ht="15" hidden="false" customHeight="true" outlineLevel="0" collapsed="false">
      <c r="A194" s="70" t="str">
        <f aca="false">IFERROR(IF(المنيو!$B194="","",المنيو!$A194),"")</f>
        <v/>
      </c>
      <c r="B194" s="70" t="n">
        <f aca="false">IFERROR(المنيو!$B194,"")</f>
        <v>0</v>
      </c>
      <c r="C194" s="13" t="str">
        <f aca="false">IFERROR(IF($B194="","",SUMIFS(الريسبي!$F$2:$F$1800,الريسبي!$A$2:$A$1800,$B194)),"")</f>
        <v/>
      </c>
      <c r="D194" s="71" t="str">
        <f aca="false">IFERROR(IF($B194="","",المنيو!$C194),"")</f>
        <v/>
      </c>
      <c r="E194" s="12" t="str">
        <f aca="false">IFERROR(IF(OR($B194="",$D194=0,$D194=""),"",$N194/$D194),"")</f>
        <v/>
      </c>
      <c r="F194" s="76" t="n">
        <f aca="false">$F$2</f>
        <v>0.375</v>
      </c>
      <c r="G194" s="13" t="str">
        <f aca="false">IFERROR(IF($B194="","",$N194/$F194),"")</f>
        <v/>
      </c>
      <c r="H194" s="13" t="str">
        <f aca="false">IFERROR(IF($B194="","",$D194-$N194),"")</f>
        <v/>
      </c>
      <c r="I194" s="12" t="str">
        <f aca="false">IFERROR(IF(OR($B194="",$D194=0,$D194=""),"",$H194/$D194),"")</f>
        <v/>
      </c>
      <c r="J194" s="76" t="n">
        <f aca="false">$J$2</f>
        <v>0.25</v>
      </c>
      <c r="K194" s="12" t="str">
        <f aca="false">IFERROR(IF($B194="","",$E194+$J194),"")</f>
        <v/>
      </c>
      <c r="L194" s="11" t="str">
        <f aca="false">IFERROR(IF(OR($B194="",$C194=0,$C194=""),"",$I194+ROW()*0.0000001),"")</f>
        <v/>
      </c>
      <c r="M194" s="77" t="n">
        <f aca="false">$M$2</f>
        <v>0.9319</v>
      </c>
      <c r="N194" s="13" t="str">
        <f aca="false">IFERROR(IF($B194="","",$C194+$M194),"")</f>
        <v/>
      </c>
    </row>
    <row r="195" customFormat="false" ht="15" hidden="false" customHeight="true" outlineLevel="0" collapsed="false">
      <c r="A195" s="70" t="str">
        <f aca="false">IFERROR(IF(المنيو!$B195="","",المنيو!$A195),"")</f>
        <v/>
      </c>
      <c r="B195" s="70" t="n">
        <f aca="false">IFERROR(المنيو!$B195,"")</f>
        <v>0</v>
      </c>
      <c r="C195" s="13" t="str">
        <f aca="false">IFERROR(IF($B195="","",SUMIFS(الريسبي!$F$2:$F$1800,الريسبي!$A$2:$A$1800,$B195)),"")</f>
        <v/>
      </c>
      <c r="D195" s="71" t="str">
        <f aca="false">IFERROR(IF($B195="","",المنيو!$C195),"")</f>
        <v/>
      </c>
      <c r="E195" s="12" t="str">
        <f aca="false">IFERROR(IF(OR($B195="",$D195=0,$D195=""),"",$N195/$D195),"")</f>
        <v/>
      </c>
      <c r="F195" s="76" t="n">
        <f aca="false">$F$2</f>
        <v>0.375</v>
      </c>
      <c r="G195" s="13" t="str">
        <f aca="false">IFERROR(IF($B195="","",$N195/$F195),"")</f>
        <v/>
      </c>
      <c r="H195" s="13" t="str">
        <f aca="false">IFERROR(IF($B195="","",$D195-$N195),"")</f>
        <v/>
      </c>
      <c r="I195" s="12" t="str">
        <f aca="false">IFERROR(IF(OR($B195="",$D195=0,$D195=""),"",$H195/$D195),"")</f>
        <v/>
      </c>
      <c r="J195" s="76" t="n">
        <f aca="false">$J$2</f>
        <v>0.25</v>
      </c>
      <c r="K195" s="12" t="str">
        <f aca="false">IFERROR(IF($B195="","",$E195+$J195),"")</f>
        <v/>
      </c>
      <c r="L195" s="11" t="str">
        <f aca="false">IFERROR(IF(OR($B195="",$C195=0,$C195=""),"",$I195+ROW()*0.0000001),"")</f>
        <v/>
      </c>
      <c r="M195" s="77" t="n">
        <f aca="false">$M$2</f>
        <v>0.9319</v>
      </c>
      <c r="N195" s="13" t="str">
        <f aca="false">IFERROR(IF($B195="","",$C195+$M195),"")</f>
        <v/>
      </c>
    </row>
    <row r="196" customFormat="false" ht="15" hidden="false" customHeight="true" outlineLevel="0" collapsed="false">
      <c r="A196" s="70" t="str">
        <f aca="false">IFERROR(IF(المنيو!$B196="","",المنيو!$A196),"")</f>
        <v/>
      </c>
      <c r="B196" s="70" t="n">
        <f aca="false">IFERROR(المنيو!$B196,"")</f>
        <v>0</v>
      </c>
      <c r="C196" s="13" t="str">
        <f aca="false">IFERROR(IF($B196="","",SUMIFS(الريسبي!$F$2:$F$1800,الريسبي!$A$2:$A$1800,$B196)),"")</f>
        <v/>
      </c>
      <c r="D196" s="71" t="str">
        <f aca="false">IFERROR(IF($B196="","",المنيو!$C196),"")</f>
        <v/>
      </c>
      <c r="E196" s="12" t="str">
        <f aca="false">IFERROR(IF(OR($B196="",$D196=0,$D196=""),"",$N196/$D196),"")</f>
        <v/>
      </c>
      <c r="F196" s="76" t="n">
        <f aca="false">$F$2</f>
        <v>0.375</v>
      </c>
      <c r="G196" s="13" t="str">
        <f aca="false">IFERROR(IF($B196="","",$N196/$F196),"")</f>
        <v/>
      </c>
      <c r="H196" s="13" t="str">
        <f aca="false">IFERROR(IF($B196="","",$D196-$N196),"")</f>
        <v/>
      </c>
      <c r="I196" s="12" t="str">
        <f aca="false">IFERROR(IF(OR($B196="",$D196=0,$D196=""),"",$H196/$D196),"")</f>
        <v/>
      </c>
      <c r="J196" s="76" t="n">
        <f aca="false">$J$2</f>
        <v>0.25</v>
      </c>
      <c r="K196" s="12" t="str">
        <f aca="false">IFERROR(IF($B196="","",$E196+$J196),"")</f>
        <v/>
      </c>
      <c r="L196" s="11" t="str">
        <f aca="false">IFERROR(IF(OR($B196="",$C196=0,$C196=""),"",$I196+ROW()*0.0000001),"")</f>
        <v/>
      </c>
      <c r="M196" s="77" t="n">
        <f aca="false">$M$2</f>
        <v>0.9319</v>
      </c>
      <c r="N196" s="13" t="str">
        <f aca="false">IFERROR(IF($B196="","",$C196+$M196),"")</f>
        <v/>
      </c>
    </row>
    <row r="197" customFormat="false" ht="15" hidden="false" customHeight="true" outlineLevel="0" collapsed="false">
      <c r="A197" s="70" t="str">
        <f aca="false">IFERROR(IF(المنيو!$B197="","",المنيو!$A197),"")</f>
        <v/>
      </c>
      <c r="B197" s="70" t="n">
        <f aca="false">IFERROR(المنيو!$B197,"")</f>
        <v>0</v>
      </c>
      <c r="C197" s="13" t="str">
        <f aca="false">IFERROR(IF($B197="","",SUMIFS(الريسبي!$F$2:$F$1800,الريسبي!$A$2:$A$1800,$B197)),"")</f>
        <v/>
      </c>
      <c r="D197" s="71" t="str">
        <f aca="false">IFERROR(IF($B197="","",المنيو!$C197),"")</f>
        <v/>
      </c>
      <c r="E197" s="12" t="str">
        <f aca="false">IFERROR(IF(OR($B197="",$D197=0,$D197=""),"",$N197/$D197),"")</f>
        <v/>
      </c>
      <c r="F197" s="76" t="n">
        <f aca="false">$F$2</f>
        <v>0.375</v>
      </c>
      <c r="G197" s="13" t="str">
        <f aca="false">IFERROR(IF($B197="","",$N197/$F197),"")</f>
        <v/>
      </c>
      <c r="H197" s="13" t="str">
        <f aca="false">IFERROR(IF($B197="","",$D197-$N197),"")</f>
        <v/>
      </c>
      <c r="I197" s="12" t="str">
        <f aca="false">IFERROR(IF(OR($B197="",$D197=0,$D197=""),"",$H197/$D197),"")</f>
        <v/>
      </c>
      <c r="J197" s="76" t="n">
        <f aca="false">$J$2</f>
        <v>0.25</v>
      </c>
      <c r="K197" s="12" t="str">
        <f aca="false">IFERROR(IF($B197="","",$E197+$J197),"")</f>
        <v/>
      </c>
      <c r="L197" s="11" t="str">
        <f aca="false">IFERROR(IF(OR($B197="",$C197=0,$C197=""),"",$I197+ROW()*0.0000001),"")</f>
        <v/>
      </c>
      <c r="M197" s="77" t="n">
        <f aca="false">$M$2</f>
        <v>0.9319</v>
      </c>
      <c r="N197" s="13" t="str">
        <f aca="false">IFERROR(IF($B197="","",$C197+$M197),"")</f>
        <v/>
      </c>
    </row>
    <row r="198" customFormat="false" ht="15" hidden="false" customHeight="true" outlineLevel="0" collapsed="false">
      <c r="A198" s="70" t="str">
        <f aca="false">IFERROR(IF(المنيو!$B198="","",المنيو!$A198),"")</f>
        <v/>
      </c>
      <c r="B198" s="70" t="n">
        <f aca="false">IFERROR(المنيو!$B198,"")</f>
        <v>0</v>
      </c>
      <c r="C198" s="13" t="str">
        <f aca="false">IFERROR(IF($B198="","",SUMIFS(الريسبي!$F$2:$F$1800,الريسبي!$A$2:$A$1800,$B198)),"")</f>
        <v/>
      </c>
      <c r="D198" s="71" t="str">
        <f aca="false">IFERROR(IF($B198="","",المنيو!$C198),"")</f>
        <v/>
      </c>
      <c r="E198" s="12" t="str">
        <f aca="false">IFERROR(IF(OR($B198="",$D198=0,$D198=""),"",$N198/$D198),"")</f>
        <v/>
      </c>
      <c r="F198" s="76" t="n">
        <f aca="false">$F$2</f>
        <v>0.375</v>
      </c>
      <c r="G198" s="13" t="str">
        <f aca="false">IFERROR(IF($B198="","",$N198/$F198),"")</f>
        <v/>
      </c>
      <c r="H198" s="13" t="str">
        <f aca="false">IFERROR(IF($B198="","",$D198-$N198),"")</f>
        <v/>
      </c>
      <c r="I198" s="12" t="str">
        <f aca="false">IFERROR(IF(OR($B198="",$D198=0,$D198=""),"",$H198/$D198),"")</f>
        <v/>
      </c>
      <c r="J198" s="76" t="n">
        <f aca="false">$J$2</f>
        <v>0.25</v>
      </c>
      <c r="K198" s="12" t="str">
        <f aca="false">IFERROR(IF($B198="","",$E198+$J198),"")</f>
        <v/>
      </c>
      <c r="L198" s="11" t="str">
        <f aca="false">IFERROR(IF(OR($B198="",$C198=0,$C198=""),"",$I198+ROW()*0.0000001),"")</f>
        <v/>
      </c>
      <c r="M198" s="77" t="n">
        <f aca="false">$M$2</f>
        <v>0.9319</v>
      </c>
      <c r="N198" s="13" t="str">
        <f aca="false">IFERROR(IF($B198="","",$C198+$M198),"")</f>
        <v/>
      </c>
    </row>
    <row r="199" customFormat="false" ht="15" hidden="false" customHeight="true" outlineLevel="0" collapsed="false">
      <c r="A199" s="70" t="str">
        <f aca="false">IFERROR(IF(المنيو!$B199="","",المنيو!$A199),"")</f>
        <v/>
      </c>
      <c r="B199" s="70" t="n">
        <f aca="false">IFERROR(المنيو!$B199,"")</f>
        <v>0</v>
      </c>
      <c r="C199" s="13" t="str">
        <f aca="false">IFERROR(IF($B199="","",SUMIFS(الريسبي!$F$2:$F$1800,الريسبي!$A$2:$A$1800,$B199)),"")</f>
        <v/>
      </c>
      <c r="D199" s="71" t="str">
        <f aca="false">IFERROR(IF($B199="","",المنيو!$C199),"")</f>
        <v/>
      </c>
      <c r="E199" s="12" t="str">
        <f aca="false">IFERROR(IF(OR($B199="",$D199=0,$D199=""),"",$N199/$D199),"")</f>
        <v/>
      </c>
      <c r="F199" s="76" t="n">
        <f aca="false">$F$2</f>
        <v>0.375</v>
      </c>
      <c r="G199" s="13" t="str">
        <f aca="false">IFERROR(IF($B199="","",$N199/$F199),"")</f>
        <v/>
      </c>
      <c r="H199" s="13" t="str">
        <f aca="false">IFERROR(IF($B199="","",$D199-$N199),"")</f>
        <v/>
      </c>
      <c r="I199" s="12" t="str">
        <f aca="false">IFERROR(IF(OR($B199="",$D199=0,$D199=""),"",$H199/$D199),"")</f>
        <v/>
      </c>
      <c r="J199" s="76" t="n">
        <f aca="false">$J$2</f>
        <v>0.25</v>
      </c>
      <c r="K199" s="12" t="str">
        <f aca="false">IFERROR(IF($B199="","",$E199+$J199),"")</f>
        <v/>
      </c>
      <c r="L199" s="11" t="str">
        <f aca="false">IFERROR(IF(OR($B199="",$C199=0,$C199=""),"",$I199+ROW()*0.0000001),"")</f>
        <v/>
      </c>
      <c r="M199" s="77" t="n">
        <f aca="false">$M$2</f>
        <v>0.9319</v>
      </c>
      <c r="N199" s="13" t="str">
        <f aca="false">IFERROR(IF($B199="","",$C199+$M199),"")</f>
        <v/>
      </c>
    </row>
    <row r="200" customFormat="false" ht="15" hidden="false" customHeight="true" outlineLevel="0" collapsed="false">
      <c r="A200" s="70" t="str">
        <f aca="false">IFERROR(IF(المنيو!$B200="","",المنيو!$A200),"")</f>
        <v/>
      </c>
      <c r="B200" s="70" t="n">
        <f aca="false">IFERROR(المنيو!$B200,"")</f>
        <v>0</v>
      </c>
      <c r="C200" s="13" t="str">
        <f aca="false">IFERROR(IF($B200="","",SUMIFS(الريسبي!$F$2:$F$1800,الريسبي!$A$2:$A$1800,$B200)),"")</f>
        <v/>
      </c>
      <c r="D200" s="71" t="str">
        <f aca="false">IFERROR(IF($B200="","",المنيو!$C200),"")</f>
        <v/>
      </c>
      <c r="E200" s="12" t="str">
        <f aca="false">IFERROR(IF(OR($B200="",$D200=0,$D200=""),"",$N200/$D200),"")</f>
        <v/>
      </c>
      <c r="F200" s="76" t="n">
        <f aca="false">$F$2</f>
        <v>0.375</v>
      </c>
      <c r="G200" s="13" t="str">
        <f aca="false">IFERROR(IF($B200="","",$N200/$F200),"")</f>
        <v/>
      </c>
      <c r="H200" s="13" t="str">
        <f aca="false">IFERROR(IF($B200="","",$D200-$N200),"")</f>
        <v/>
      </c>
      <c r="I200" s="12" t="str">
        <f aca="false">IFERROR(IF(OR($B200="",$D200=0,$D200=""),"",$H200/$D200),"")</f>
        <v/>
      </c>
      <c r="J200" s="76" t="n">
        <f aca="false">$J$2</f>
        <v>0.25</v>
      </c>
      <c r="K200" s="12" t="str">
        <f aca="false">IFERROR(IF($B200="","",$E200+$J200),"")</f>
        <v/>
      </c>
      <c r="L200" s="11" t="str">
        <f aca="false">IFERROR(IF(OR($B200="",$C200=0,$C200=""),"",$I200+ROW()*0.0000001),"")</f>
        <v/>
      </c>
      <c r="M200" s="77" t="n">
        <f aca="false">$M$2</f>
        <v>0.9319</v>
      </c>
      <c r="N200" s="13" t="str">
        <f aca="false">IFERROR(IF($B200="","",$C200+$M200),"")</f>
        <v/>
      </c>
    </row>
    <row r="201" customFormat="false" ht="15" hidden="false" customHeight="true" outlineLevel="0" collapsed="false">
      <c r="A201" s="70" t="str">
        <f aca="false">IFERROR(IF(المنيو!$B201="","",المنيو!$A201),"")</f>
        <v/>
      </c>
      <c r="B201" s="70" t="n">
        <f aca="false">IFERROR(المنيو!$B201,"")</f>
        <v>0</v>
      </c>
      <c r="C201" s="13" t="str">
        <f aca="false">IFERROR(IF($B201="","",SUMIFS(الريسبي!$F$2:$F$1800,الريسبي!$A$2:$A$1800,$B201)),"")</f>
        <v/>
      </c>
      <c r="D201" s="71" t="str">
        <f aca="false">IFERROR(IF($B201="","",المنيو!$C201),"")</f>
        <v/>
      </c>
      <c r="E201" s="12" t="str">
        <f aca="false">IFERROR(IF(OR($B201="",$D201=0,$D201=""),"",$N201/$D201),"")</f>
        <v/>
      </c>
      <c r="F201" s="76" t="n">
        <f aca="false">$F$2</f>
        <v>0.375</v>
      </c>
      <c r="G201" s="13" t="str">
        <f aca="false">IFERROR(IF($B201="","",$N201/$F201),"")</f>
        <v/>
      </c>
      <c r="H201" s="13" t="str">
        <f aca="false">IFERROR(IF($B201="","",$D201-$N201),"")</f>
        <v/>
      </c>
      <c r="I201" s="12" t="str">
        <f aca="false">IFERROR(IF(OR($B201="",$D201=0,$D201=""),"",$H201/$D201),"")</f>
        <v/>
      </c>
      <c r="J201" s="76" t="n">
        <f aca="false">$J$2</f>
        <v>0.25</v>
      </c>
      <c r="K201" s="12" t="str">
        <f aca="false">IFERROR(IF($B201="","",$E201+$J201),"")</f>
        <v/>
      </c>
      <c r="L201" s="11" t="str">
        <f aca="false">IFERROR(IF(OR($B201="",$C201=0,$C201=""),"",$I201+ROW()*0.0000001),"")</f>
        <v/>
      </c>
      <c r="M201" s="77" t="n">
        <f aca="false">$M$2</f>
        <v>0.9319</v>
      </c>
      <c r="N201" s="13" t="str">
        <f aca="false">IFERROR(IF($B201="","",$C201+$M201),"")</f>
        <v/>
      </c>
    </row>
    <row r="202" customFormat="false" ht="15" hidden="false" customHeight="true" outlineLevel="0" collapsed="false">
      <c r="A202" s="70" t="str">
        <f aca="false">IFERROR(IF(المنيو!$B202="","",المنيو!$A202),"")</f>
        <v/>
      </c>
      <c r="B202" s="70" t="n">
        <f aca="false">IFERROR(المنيو!$B202,"")</f>
        <v>0</v>
      </c>
      <c r="C202" s="13" t="str">
        <f aca="false">IFERROR(IF($B202="","",SUMIFS(الريسبي!$F$2:$F$1800,الريسبي!$A$2:$A$1800,$B202)),"")</f>
        <v/>
      </c>
      <c r="D202" s="71" t="str">
        <f aca="false">IFERROR(IF($B202="","",المنيو!$C202),"")</f>
        <v/>
      </c>
      <c r="E202" s="12" t="str">
        <f aca="false">IFERROR(IF(OR($B202="",$D202=0,$D202=""),"",$N202/$D202),"")</f>
        <v/>
      </c>
      <c r="F202" s="76" t="n">
        <f aca="false">$F$2</f>
        <v>0.375</v>
      </c>
      <c r="G202" s="13" t="str">
        <f aca="false">IFERROR(IF($B202="","",$N202/$F202),"")</f>
        <v/>
      </c>
      <c r="H202" s="13" t="str">
        <f aca="false">IFERROR(IF($B202="","",$D202-$N202),"")</f>
        <v/>
      </c>
      <c r="I202" s="12" t="str">
        <f aca="false">IFERROR(IF(OR($B202="",$D202=0,$D202=""),"",$H202/$D202),"")</f>
        <v/>
      </c>
      <c r="J202" s="76" t="n">
        <f aca="false">$J$2</f>
        <v>0.25</v>
      </c>
      <c r="K202" s="12" t="str">
        <f aca="false">IFERROR(IF($B202="","",$E202+$J202),"")</f>
        <v/>
      </c>
      <c r="L202" s="11" t="str">
        <f aca="false">IFERROR(IF(OR($B202="",$C202=0,$C202=""),"",$I202+ROW()*0.0000001),"")</f>
        <v/>
      </c>
      <c r="M202" s="77" t="n">
        <f aca="false">$M$2</f>
        <v>0.9319</v>
      </c>
      <c r="N202" s="13" t="str">
        <f aca="false">IFERROR(IF($B202="","",$C202+$M202),"")</f>
        <v/>
      </c>
    </row>
    <row r="203" customFormat="false" ht="15" hidden="false" customHeight="true" outlineLevel="0" collapsed="false">
      <c r="A203" s="70" t="str">
        <f aca="false">IFERROR(IF(المنيو!$B203="","",المنيو!$A203),"")</f>
        <v/>
      </c>
      <c r="B203" s="70" t="n">
        <f aca="false">IFERROR(المنيو!$B203,"")</f>
        <v>0</v>
      </c>
      <c r="C203" s="13" t="str">
        <f aca="false">IFERROR(IF($B203="","",SUMIFS(الريسبي!$F$2:$F$1800,الريسبي!$A$2:$A$1800,$B203)),"")</f>
        <v/>
      </c>
      <c r="D203" s="71" t="str">
        <f aca="false">IFERROR(IF($B203="","",المنيو!$C203),"")</f>
        <v/>
      </c>
      <c r="E203" s="12" t="str">
        <f aca="false">IFERROR(IF(OR($B203="",$D203=0,$D203=""),"",$N203/$D203),"")</f>
        <v/>
      </c>
      <c r="F203" s="76" t="n">
        <f aca="false">$F$2</f>
        <v>0.375</v>
      </c>
      <c r="G203" s="13" t="str">
        <f aca="false">IFERROR(IF($B203="","",$N203/$F203),"")</f>
        <v/>
      </c>
      <c r="H203" s="13" t="str">
        <f aca="false">IFERROR(IF($B203="","",$D203-$N203),"")</f>
        <v/>
      </c>
      <c r="I203" s="12" t="str">
        <f aca="false">IFERROR(IF(OR($B203="",$D203=0,$D203=""),"",$H203/$D203),"")</f>
        <v/>
      </c>
      <c r="J203" s="76" t="n">
        <f aca="false">$J$2</f>
        <v>0.25</v>
      </c>
      <c r="K203" s="12" t="str">
        <f aca="false">IFERROR(IF($B203="","",$E203+$J203),"")</f>
        <v/>
      </c>
      <c r="L203" s="11" t="str">
        <f aca="false">IFERROR(IF(OR($B203="",$C203=0,$C203=""),"",$I203+ROW()*0.0000001),"")</f>
        <v/>
      </c>
      <c r="M203" s="77" t="n">
        <f aca="false">$M$2</f>
        <v>0.9319</v>
      </c>
      <c r="N203" s="13" t="str">
        <f aca="false">IFERROR(IF($B203="","",$C203+$M203),"")</f>
        <v/>
      </c>
    </row>
    <row r="204" customFormat="false" ht="15" hidden="false" customHeight="true" outlineLevel="0" collapsed="false">
      <c r="A204" s="70" t="str">
        <f aca="false">IFERROR(IF(المنيو!$B204="","",المنيو!$A204),"")</f>
        <v/>
      </c>
      <c r="B204" s="70" t="n">
        <f aca="false">IFERROR(المنيو!$B204,"")</f>
        <v>0</v>
      </c>
      <c r="C204" s="13" t="str">
        <f aca="false">IFERROR(IF($B204="","",SUMIFS(الريسبي!$F$2:$F$1800,الريسبي!$A$2:$A$1800,$B204)),"")</f>
        <v/>
      </c>
      <c r="D204" s="71" t="str">
        <f aca="false">IFERROR(IF($B204="","",المنيو!$C204),"")</f>
        <v/>
      </c>
      <c r="E204" s="12" t="str">
        <f aca="false">IFERROR(IF(OR($B204="",$D204=0,$D204=""),"",$N204/$D204),"")</f>
        <v/>
      </c>
      <c r="F204" s="76" t="n">
        <f aca="false">$F$2</f>
        <v>0.375</v>
      </c>
      <c r="G204" s="13" t="str">
        <f aca="false">IFERROR(IF($B204="","",$N204/$F204),"")</f>
        <v/>
      </c>
      <c r="H204" s="13" t="str">
        <f aca="false">IFERROR(IF($B204="","",$D204-$N204),"")</f>
        <v/>
      </c>
      <c r="I204" s="12" t="str">
        <f aca="false">IFERROR(IF(OR($B204="",$D204=0,$D204=""),"",$H204/$D204),"")</f>
        <v/>
      </c>
      <c r="J204" s="76" t="n">
        <f aca="false">$J$2</f>
        <v>0.25</v>
      </c>
      <c r="K204" s="12" t="str">
        <f aca="false">IFERROR(IF($B204="","",$E204+$J204),"")</f>
        <v/>
      </c>
      <c r="L204" s="11" t="str">
        <f aca="false">IFERROR(IF(OR($B204="",$C204=0,$C204=""),"",$I204+ROW()*0.0000001),"")</f>
        <v/>
      </c>
      <c r="M204" s="77" t="n">
        <f aca="false">$M$2</f>
        <v>0.9319</v>
      </c>
      <c r="N204" s="13" t="str">
        <f aca="false">IFERROR(IF($B204="","",$C204+$M204),"")</f>
        <v/>
      </c>
    </row>
    <row r="205" customFormat="false" ht="15" hidden="false" customHeight="true" outlineLevel="0" collapsed="false">
      <c r="A205" s="70" t="str">
        <f aca="false">IFERROR(IF(المنيو!$B205="","",المنيو!$A205),"")</f>
        <v/>
      </c>
      <c r="B205" s="70" t="n">
        <f aca="false">IFERROR(المنيو!$B205,"")</f>
        <v>0</v>
      </c>
      <c r="C205" s="13" t="str">
        <f aca="false">IFERROR(IF($B205="","",SUMIFS(الريسبي!$F$2:$F$1800,الريسبي!$A$2:$A$1800,$B205)),"")</f>
        <v/>
      </c>
      <c r="D205" s="71" t="str">
        <f aca="false">IFERROR(IF($B205="","",المنيو!$C205),"")</f>
        <v/>
      </c>
      <c r="E205" s="12" t="str">
        <f aca="false">IFERROR(IF(OR($B205="",$D205=0,$D205=""),"",$N205/$D205),"")</f>
        <v/>
      </c>
      <c r="F205" s="76" t="n">
        <f aca="false">$F$2</f>
        <v>0.375</v>
      </c>
      <c r="G205" s="13" t="str">
        <f aca="false">IFERROR(IF($B205="","",$N205/$F205),"")</f>
        <v/>
      </c>
      <c r="H205" s="13" t="str">
        <f aca="false">IFERROR(IF($B205="","",$D205-$N205),"")</f>
        <v/>
      </c>
      <c r="I205" s="12" t="str">
        <f aca="false">IFERROR(IF(OR($B205="",$D205=0,$D205=""),"",$H205/$D205),"")</f>
        <v/>
      </c>
      <c r="J205" s="76" t="n">
        <f aca="false">$J$2</f>
        <v>0.25</v>
      </c>
      <c r="K205" s="12" t="str">
        <f aca="false">IFERROR(IF($B205="","",$E205+$J205),"")</f>
        <v/>
      </c>
      <c r="L205" s="11" t="str">
        <f aca="false">IFERROR(IF(OR($B205="",$C205=0,$C205=""),"",$I205+ROW()*0.0000001),"")</f>
        <v/>
      </c>
      <c r="M205" s="77" t="n">
        <f aca="false">$M$2</f>
        <v>0.9319</v>
      </c>
      <c r="N205" s="13" t="str">
        <f aca="false">IFERROR(IF($B205="","",$C205+$M205),"")</f>
        <v/>
      </c>
    </row>
    <row r="206" customFormat="false" ht="15" hidden="false" customHeight="true" outlineLevel="0" collapsed="false">
      <c r="A206" s="70" t="str">
        <f aca="false">IFERROR(IF(المنيو!$B206="","",المنيو!$A206),"")</f>
        <v/>
      </c>
      <c r="B206" s="70" t="n">
        <f aca="false">IFERROR(المنيو!$B206,"")</f>
        <v>0</v>
      </c>
      <c r="C206" s="13" t="str">
        <f aca="false">IFERROR(IF($B206="","",SUMIFS(الريسبي!$F$2:$F$1800,الريسبي!$A$2:$A$1800,$B206)),"")</f>
        <v/>
      </c>
      <c r="D206" s="71" t="str">
        <f aca="false">IFERROR(IF($B206="","",المنيو!$C206),"")</f>
        <v/>
      </c>
      <c r="E206" s="12" t="str">
        <f aca="false">IFERROR(IF(OR($B206="",$D206=0,$D206=""),"",$N206/$D206),"")</f>
        <v/>
      </c>
      <c r="F206" s="76" t="n">
        <f aca="false">$F$2</f>
        <v>0.375</v>
      </c>
      <c r="G206" s="13" t="str">
        <f aca="false">IFERROR(IF($B206="","",$N206/$F206),"")</f>
        <v/>
      </c>
      <c r="H206" s="13" t="str">
        <f aca="false">IFERROR(IF($B206="","",$D206-$N206),"")</f>
        <v/>
      </c>
      <c r="I206" s="12" t="str">
        <f aca="false">IFERROR(IF(OR($B206="",$D206=0,$D206=""),"",$H206/$D206),"")</f>
        <v/>
      </c>
      <c r="J206" s="76" t="n">
        <f aca="false">$J$2</f>
        <v>0.25</v>
      </c>
      <c r="K206" s="12" t="str">
        <f aca="false">IFERROR(IF($B206="","",$E206+$J206),"")</f>
        <v/>
      </c>
      <c r="L206" s="11" t="str">
        <f aca="false">IFERROR(IF(OR($B206="",$C206=0,$C206=""),"",$I206+ROW()*0.0000001),"")</f>
        <v/>
      </c>
      <c r="M206" s="77" t="n">
        <f aca="false">$M$2</f>
        <v>0.9319</v>
      </c>
      <c r="N206" s="13" t="str">
        <f aca="false">IFERROR(IF($B206="","",$C206+$M206),"")</f>
        <v/>
      </c>
    </row>
    <row r="207" customFormat="false" ht="15" hidden="false" customHeight="true" outlineLevel="0" collapsed="false">
      <c r="A207" s="70" t="str">
        <f aca="false">IFERROR(IF(المنيو!$B207="","",المنيو!$A207),"")</f>
        <v/>
      </c>
      <c r="B207" s="70" t="n">
        <f aca="false">IFERROR(المنيو!$B207,"")</f>
        <v>0</v>
      </c>
      <c r="C207" s="13" t="str">
        <f aca="false">IFERROR(IF($B207="","",SUMIFS(الريسبي!$F$2:$F$1800,الريسبي!$A$2:$A$1800,$B207)),"")</f>
        <v/>
      </c>
      <c r="D207" s="71" t="str">
        <f aca="false">IFERROR(IF($B207="","",المنيو!$C207),"")</f>
        <v/>
      </c>
      <c r="E207" s="12" t="str">
        <f aca="false">IFERROR(IF(OR($B207="",$D207=0,$D207=""),"",$N207/$D207),"")</f>
        <v/>
      </c>
      <c r="F207" s="76" t="n">
        <f aca="false">$F$2</f>
        <v>0.375</v>
      </c>
      <c r="G207" s="13" t="str">
        <f aca="false">IFERROR(IF($B207="","",$N207/$F207),"")</f>
        <v/>
      </c>
      <c r="H207" s="13" t="str">
        <f aca="false">IFERROR(IF($B207="","",$D207-$N207),"")</f>
        <v/>
      </c>
      <c r="I207" s="12" t="str">
        <f aca="false">IFERROR(IF(OR($B207="",$D207=0,$D207=""),"",$H207/$D207),"")</f>
        <v/>
      </c>
      <c r="J207" s="76" t="n">
        <f aca="false">$J$2</f>
        <v>0.25</v>
      </c>
      <c r="K207" s="12" t="str">
        <f aca="false">IFERROR(IF($B207="","",$E207+$J207),"")</f>
        <v/>
      </c>
      <c r="L207" s="11" t="str">
        <f aca="false">IFERROR(IF(OR($B207="",$C207=0,$C207=""),"",$I207+ROW()*0.0000001),"")</f>
        <v/>
      </c>
      <c r="M207" s="77" t="n">
        <f aca="false">$M$2</f>
        <v>0.9319</v>
      </c>
      <c r="N207" s="13" t="str">
        <f aca="false">IFERROR(IF($B207="","",$C207+$M207),"")</f>
        <v/>
      </c>
    </row>
    <row r="208" customFormat="false" ht="15" hidden="false" customHeight="true" outlineLevel="0" collapsed="false">
      <c r="A208" s="70" t="str">
        <f aca="false">IFERROR(IF(المنيو!$B208="","",المنيو!$A208),"")</f>
        <v/>
      </c>
      <c r="B208" s="70" t="n">
        <f aca="false">IFERROR(المنيو!$B208,"")</f>
        <v>0</v>
      </c>
      <c r="C208" s="13" t="str">
        <f aca="false">IFERROR(IF($B208="","",SUMIFS(الريسبي!$F$2:$F$1800,الريسبي!$A$2:$A$1800,$B208)),"")</f>
        <v/>
      </c>
      <c r="D208" s="71" t="str">
        <f aca="false">IFERROR(IF($B208="","",المنيو!$C208),"")</f>
        <v/>
      </c>
      <c r="E208" s="12" t="str">
        <f aca="false">IFERROR(IF(OR($B208="",$D208=0,$D208=""),"",$N208/$D208),"")</f>
        <v/>
      </c>
      <c r="F208" s="76" t="n">
        <f aca="false">$F$2</f>
        <v>0.375</v>
      </c>
      <c r="G208" s="13" t="str">
        <f aca="false">IFERROR(IF($B208="","",$N208/$F208),"")</f>
        <v/>
      </c>
      <c r="H208" s="13" t="str">
        <f aca="false">IFERROR(IF($B208="","",$D208-$N208),"")</f>
        <v/>
      </c>
      <c r="I208" s="12" t="str">
        <f aca="false">IFERROR(IF(OR($B208="",$D208=0,$D208=""),"",$H208/$D208),"")</f>
        <v/>
      </c>
      <c r="J208" s="76" t="n">
        <f aca="false">$J$2</f>
        <v>0.25</v>
      </c>
      <c r="K208" s="12" t="str">
        <f aca="false">IFERROR(IF($B208="","",$E208+$J208),"")</f>
        <v/>
      </c>
      <c r="L208" s="11" t="str">
        <f aca="false">IFERROR(IF(OR($B208="",$C208=0,$C208=""),"",$I208+ROW()*0.0000001),"")</f>
        <v/>
      </c>
      <c r="M208" s="77" t="n">
        <f aca="false">$M$2</f>
        <v>0.9319</v>
      </c>
      <c r="N208" s="13" t="str">
        <f aca="false">IFERROR(IF($B208="","",$C208+$M208),"")</f>
        <v/>
      </c>
    </row>
    <row r="209" customFormat="false" ht="15" hidden="false" customHeight="true" outlineLevel="0" collapsed="false">
      <c r="A209" s="70" t="str">
        <f aca="false">IFERROR(IF(المنيو!$B209="","",المنيو!$A209),"")</f>
        <v/>
      </c>
      <c r="B209" s="70" t="n">
        <f aca="false">IFERROR(المنيو!$B209,"")</f>
        <v>0</v>
      </c>
      <c r="C209" s="13" t="str">
        <f aca="false">IFERROR(IF($B209="","",SUMIFS(الريسبي!$F$2:$F$1800,الريسبي!$A$2:$A$1800,$B209)),"")</f>
        <v/>
      </c>
      <c r="D209" s="71" t="str">
        <f aca="false">IFERROR(IF($B209="","",المنيو!$C209),"")</f>
        <v/>
      </c>
      <c r="E209" s="12" t="str">
        <f aca="false">IFERROR(IF(OR($B209="",$D209=0,$D209=""),"",$N209/$D209),"")</f>
        <v/>
      </c>
      <c r="F209" s="76" t="n">
        <f aca="false">$F$2</f>
        <v>0.375</v>
      </c>
      <c r="G209" s="13" t="str">
        <f aca="false">IFERROR(IF($B209="","",$N209/$F209),"")</f>
        <v/>
      </c>
      <c r="H209" s="13" t="str">
        <f aca="false">IFERROR(IF($B209="","",$D209-$N209),"")</f>
        <v/>
      </c>
      <c r="I209" s="12" t="str">
        <f aca="false">IFERROR(IF(OR($B209="",$D209=0,$D209=""),"",$H209/$D209),"")</f>
        <v/>
      </c>
      <c r="J209" s="76" t="n">
        <f aca="false">$J$2</f>
        <v>0.25</v>
      </c>
      <c r="K209" s="12" t="str">
        <f aca="false">IFERROR(IF($B209="","",$E209+$J209),"")</f>
        <v/>
      </c>
      <c r="L209" s="11" t="str">
        <f aca="false">IFERROR(IF(OR($B209="",$C209=0,$C209=""),"",$I209+ROW()*0.0000001),"")</f>
        <v/>
      </c>
      <c r="M209" s="77" t="n">
        <f aca="false">$M$2</f>
        <v>0.9319</v>
      </c>
      <c r="N209" s="13" t="str">
        <f aca="false">IFERROR(IF($B209="","",$C209+$M209),"")</f>
        <v/>
      </c>
    </row>
    <row r="210" customFormat="false" ht="15" hidden="false" customHeight="true" outlineLevel="0" collapsed="false">
      <c r="A210" s="70" t="str">
        <f aca="false">IFERROR(IF(المنيو!$B210="","",المنيو!$A210),"")</f>
        <v/>
      </c>
      <c r="B210" s="70" t="n">
        <f aca="false">IFERROR(المنيو!$B210,"")</f>
        <v>0</v>
      </c>
      <c r="C210" s="13" t="str">
        <f aca="false">IFERROR(IF($B210="","",SUMIFS(الريسبي!$F$2:$F$1800,الريسبي!$A$2:$A$1800,$B210)),"")</f>
        <v/>
      </c>
      <c r="D210" s="71" t="str">
        <f aca="false">IFERROR(IF($B210="","",المنيو!$C210),"")</f>
        <v/>
      </c>
      <c r="E210" s="12" t="str">
        <f aca="false">IFERROR(IF(OR($B210="",$D210=0,$D210=""),"",$N210/$D210),"")</f>
        <v/>
      </c>
      <c r="F210" s="76" t="n">
        <f aca="false">$F$2</f>
        <v>0.375</v>
      </c>
      <c r="G210" s="13" t="str">
        <f aca="false">IFERROR(IF($B210="","",$N210/$F210),"")</f>
        <v/>
      </c>
      <c r="H210" s="13" t="str">
        <f aca="false">IFERROR(IF($B210="","",$D210-$N210),"")</f>
        <v/>
      </c>
      <c r="I210" s="12" t="str">
        <f aca="false">IFERROR(IF(OR($B210="",$D210=0,$D210=""),"",$H210/$D210),"")</f>
        <v/>
      </c>
      <c r="J210" s="76" t="n">
        <f aca="false">$J$2</f>
        <v>0.25</v>
      </c>
      <c r="K210" s="12" t="str">
        <f aca="false">IFERROR(IF($B210="","",$E210+$J210),"")</f>
        <v/>
      </c>
      <c r="L210" s="11" t="str">
        <f aca="false">IFERROR(IF(OR($B210="",$C210=0,$C210=""),"",$I210+ROW()*0.0000001),"")</f>
        <v/>
      </c>
      <c r="M210" s="77" t="n">
        <f aca="false">$M$2</f>
        <v>0.9319</v>
      </c>
      <c r="N210" s="13" t="str">
        <f aca="false">IFERROR(IF($B210="","",$C210+$M210),"")</f>
        <v/>
      </c>
    </row>
    <row r="211" customFormat="false" ht="15" hidden="false" customHeight="true" outlineLevel="0" collapsed="false">
      <c r="A211" s="70" t="str">
        <f aca="false">IFERROR(IF(المنيو!$B211="","",المنيو!$A211),"")</f>
        <v/>
      </c>
      <c r="B211" s="70" t="n">
        <f aca="false">IFERROR(المنيو!$B211,"")</f>
        <v>0</v>
      </c>
      <c r="C211" s="13" t="str">
        <f aca="false">IFERROR(IF($B211="","",SUMIFS(الريسبي!$F$2:$F$1800,الريسبي!$A$2:$A$1800,$B211)),"")</f>
        <v/>
      </c>
      <c r="D211" s="71" t="str">
        <f aca="false">IFERROR(IF($B211="","",المنيو!$C211),"")</f>
        <v/>
      </c>
      <c r="E211" s="12" t="str">
        <f aca="false">IFERROR(IF(OR($B211="",$D211=0,$D211=""),"",$N211/$D211),"")</f>
        <v/>
      </c>
      <c r="F211" s="76" t="n">
        <f aca="false">$F$2</f>
        <v>0.375</v>
      </c>
      <c r="G211" s="13" t="str">
        <f aca="false">IFERROR(IF($B211="","",$N211/$F211),"")</f>
        <v/>
      </c>
      <c r="H211" s="13" t="str">
        <f aca="false">IFERROR(IF($B211="","",$D211-$N211),"")</f>
        <v/>
      </c>
      <c r="I211" s="12" t="str">
        <f aca="false">IFERROR(IF(OR($B211="",$D211=0,$D211=""),"",$H211/$D211),"")</f>
        <v/>
      </c>
      <c r="J211" s="76" t="n">
        <f aca="false">$J$2</f>
        <v>0.25</v>
      </c>
      <c r="K211" s="12" t="str">
        <f aca="false">IFERROR(IF($B211="","",$E211+$J211),"")</f>
        <v/>
      </c>
      <c r="L211" s="11" t="str">
        <f aca="false">IFERROR(IF(OR($B211="",$C211=0,$C211=""),"",$I211+ROW()*0.0000001),"")</f>
        <v/>
      </c>
      <c r="M211" s="77" t="n">
        <f aca="false">$M$2</f>
        <v>0.9319</v>
      </c>
      <c r="N211" s="13" t="str">
        <f aca="false">IFERROR(IF($B211="","",$C211+$M211),"")</f>
        <v/>
      </c>
    </row>
    <row r="212" customFormat="false" ht="15" hidden="false" customHeight="true" outlineLevel="0" collapsed="false">
      <c r="A212" s="70" t="str">
        <f aca="false">IFERROR(IF(المنيو!$B212="","",المنيو!$A212),"")</f>
        <v/>
      </c>
      <c r="B212" s="70" t="n">
        <f aca="false">IFERROR(المنيو!$B212,"")</f>
        <v>0</v>
      </c>
      <c r="C212" s="13" t="str">
        <f aca="false">IFERROR(IF($B212="","",SUMIFS(الريسبي!$F$2:$F$1800,الريسبي!$A$2:$A$1800,$B212)),"")</f>
        <v/>
      </c>
      <c r="D212" s="71" t="str">
        <f aca="false">IFERROR(IF($B212="","",المنيو!$C212),"")</f>
        <v/>
      </c>
      <c r="E212" s="12" t="str">
        <f aca="false">IFERROR(IF(OR($B212="",$D212=0,$D212=""),"",$N212/$D212),"")</f>
        <v/>
      </c>
      <c r="F212" s="76" t="n">
        <f aca="false">$F$2</f>
        <v>0.375</v>
      </c>
      <c r="G212" s="13" t="str">
        <f aca="false">IFERROR(IF($B212="","",$N212/$F212),"")</f>
        <v/>
      </c>
      <c r="H212" s="13" t="str">
        <f aca="false">IFERROR(IF($B212="","",$D212-$N212),"")</f>
        <v/>
      </c>
      <c r="I212" s="12" t="str">
        <f aca="false">IFERROR(IF(OR($B212="",$D212=0,$D212=""),"",$H212/$D212),"")</f>
        <v/>
      </c>
      <c r="J212" s="76" t="n">
        <f aca="false">$J$2</f>
        <v>0.25</v>
      </c>
      <c r="K212" s="12" t="str">
        <f aca="false">IFERROR(IF($B212="","",$E212+$J212),"")</f>
        <v/>
      </c>
      <c r="L212" s="11" t="str">
        <f aca="false">IFERROR(IF(OR($B212="",$C212=0,$C212=""),"",$I212+ROW()*0.0000001),"")</f>
        <v/>
      </c>
      <c r="M212" s="77" t="n">
        <f aca="false">$M$2</f>
        <v>0.9319</v>
      </c>
      <c r="N212" s="13" t="str">
        <f aca="false">IFERROR(IF($B212="","",$C212+$M212),"")</f>
        <v/>
      </c>
    </row>
    <row r="213" customFormat="false" ht="15" hidden="false" customHeight="true" outlineLevel="0" collapsed="false">
      <c r="A213" s="70" t="str">
        <f aca="false">IFERROR(IF(المنيو!$B213="","",المنيو!$A213),"")</f>
        <v/>
      </c>
      <c r="B213" s="70" t="n">
        <f aca="false">IFERROR(المنيو!$B213,"")</f>
        <v>0</v>
      </c>
      <c r="C213" s="13" t="str">
        <f aca="false">IFERROR(IF($B213="","",SUMIFS(الريسبي!$F$2:$F$1800,الريسبي!$A$2:$A$1800,$B213)),"")</f>
        <v/>
      </c>
      <c r="D213" s="71" t="str">
        <f aca="false">IFERROR(IF($B213="","",المنيو!$C213),"")</f>
        <v/>
      </c>
      <c r="E213" s="12" t="str">
        <f aca="false">IFERROR(IF(OR($B213="",$D213=0,$D213=""),"",$N213/$D213),"")</f>
        <v/>
      </c>
      <c r="F213" s="76" t="n">
        <f aca="false">$F$2</f>
        <v>0.375</v>
      </c>
      <c r="G213" s="13" t="str">
        <f aca="false">IFERROR(IF($B213="","",$N213/$F213),"")</f>
        <v/>
      </c>
      <c r="H213" s="13" t="str">
        <f aca="false">IFERROR(IF($B213="","",$D213-$N213),"")</f>
        <v/>
      </c>
      <c r="I213" s="12" t="str">
        <f aca="false">IFERROR(IF(OR($B213="",$D213=0,$D213=""),"",$H213/$D213),"")</f>
        <v/>
      </c>
      <c r="J213" s="76" t="n">
        <f aca="false">$J$2</f>
        <v>0.25</v>
      </c>
      <c r="K213" s="12" t="str">
        <f aca="false">IFERROR(IF($B213="","",$E213+$J213),"")</f>
        <v/>
      </c>
      <c r="L213" s="11" t="str">
        <f aca="false">IFERROR(IF(OR($B213="",$C213=0,$C213=""),"",$I213+ROW()*0.0000001),"")</f>
        <v/>
      </c>
      <c r="M213" s="77" t="n">
        <f aca="false">$M$2</f>
        <v>0.9319</v>
      </c>
      <c r="N213" s="13" t="str">
        <f aca="false">IFERROR(IF($B213="","",$C213+$M213),"")</f>
        <v/>
      </c>
    </row>
    <row r="214" customFormat="false" ht="15" hidden="false" customHeight="true" outlineLevel="0" collapsed="false">
      <c r="A214" s="70" t="str">
        <f aca="false">IFERROR(IF(المنيو!$B214="","",المنيو!$A214),"")</f>
        <v/>
      </c>
      <c r="B214" s="70" t="n">
        <f aca="false">IFERROR(المنيو!$B214,"")</f>
        <v>0</v>
      </c>
      <c r="C214" s="13" t="str">
        <f aca="false">IFERROR(IF($B214="","",SUMIFS(الريسبي!$F$2:$F$1800,الريسبي!$A$2:$A$1800,$B214)),"")</f>
        <v/>
      </c>
      <c r="D214" s="71" t="str">
        <f aca="false">IFERROR(IF($B214="","",المنيو!$C214),"")</f>
        <v/>
      </c>
      <c r="E214" s="12" t="str">
        <f aca="false">IFERROR(IF(OR($B214="",$D214=0,$D214=""),"",$N214/$D214),"")</f>
        <v/>
      </c>
      <c r="F214" s="76" t="n">
        <f aca="false">$F$2</f>
        <v>0.375</v>
      </c>
      <c r="G214" s="13" t="str">
        <f aca="false">IFERROR(IF($B214="","",$N214/$F214),"")</f>
        <v/>
      </c>
      <c r="H214" s="13" t="str">
        <f aca="false">IFERROR(IF($B214="","",$D214-$N214),"")</f>
        <v/>
      </c>
      <c r="I214" s="12" t="str">
        <f aca="false">IFERROR(IF(OR($B214="",$D214=0,$D214=""),"",$H214/$D214),"")</f>
        <v/>
      </c>
      <c r="J214" s="76" t="n">
        <f aca="false">$J$2</f>
        <v>0.25</v>
      </c>
      <c r="K214" s="12" t="str">
        <f aca="false">IFERROR(IF($B214="","",$E214+$J214),"")</f>
        <v/>
      </c>
      <c r="L214" s="11" t="str">
        <f aca="false">IFERROR(IF(OR($B214="",$C214=0,$C214=""),"",$I214+ROW()*0.0000001),"")</f>
        <v/>
      </c>
      <c r="M214" s="77" t="n">
        <f aca="false">$M$2</f>
        <v>0.9319</v>
      </c>
      <c r="N214" s="13" t="str">
        <f aca="false">IFERROR(IF($B214="","",$C214+$M214),"")</f>
        <v/>
      </c>
    </row>
    <row r="215" customFormat="false" ht="15" hidden="false" customHeight="true" outlineLevel="0" collapsed="false">
      <c r="A215" s="70" t="str">
        <f aca="false">IFERROR(IF(المنيو!$B215="","",المنيو!$A215),"")</f>
        <v/>
      </c>
      <c r="B215" s="70" t="n">
        <f aca="false">IFERROR(المنيو!$B215,"")</f>
        <v>0</v>
      </c>
      <c r="C215" s="13" t="str">
        <f aca="false">IFERROR(IF($B215="","",SUMIFS(الريسبي!$F$2:$F$1800,الريسبي!$A$2:$A$1800,$B215)),"")</f>
        <v/>
      </c>
      <c r="D215" s="71" t="str">
        <f aca="false">IFERROR(IF($B215="","",المنيو!$C215),"")</f>
        <v/>
      </c>
      <c r="E215" s="12" t="str">
        <f aca="false">IFERROR(IF(OR($B215="",$D215=0,$D215=""),"",$N215/$D215),"")</f>
        <v/>
      </c>
      <c r="F215" s="76" t="n">
        <f aca="false">$F$2</f>
        <v>0.375</v>
      </c>
      <c r="G215" s="13" t="str">
        <f aca="false">IFERROR(IF($B215="","",$N215/$F215),"")</f>
        <v/>
      </c>
      <c r="H215" s="13" t="str">
        <f aca="false">IFERROR(IF($B215="","",$D215-$N215),"")</f>
        <v/>
      </c>
      <c r="I215" s="12" t="str">
        <f aca="false">IFERROR(IF(OR($B215="",$D215=0,$D215=""),"",$H215/$D215),"")</f>
        <v/>
      </c>
      <c r="J215" s="76" t="n">
        <f aca="false">$J$2</f>
        <v>0.25</v>
      </c>
      <c r="K215" s="12" t="str">
        <f aca="false">IFERROR(IF($B215="","",$E215+$J215),"")</f>
        <v/>
      </c>
      <c r="L215" s="11" t="str">
        <f aca="false">IFERROR(IF(OR($B215="",$C215=0,$C215=""),"",$I215+ROW()*0.0000001),"")</f>
        <v/>
      </c>
      <c r="M215" s="77" t="n">
        <f aca="false">$M$2</f>
        <v>0.9319</v>
      </c>
      <c r="N215" s="13" t="str">
        <f aca="false">IFERROR(IF($B215="","",$C215+$M215),"")</f>
        <v/>
      </c>
    </row>
    <row r="216" customFormat="false" ht="15" hidden="false" customHeight="true" outlineLevel="0" collapsed="false">
      <c r="A216" s="70" t="str">
        <f aca="false">IFERROR(IF(المنيو!$B216="","",المنيو!$A216),"")</f>
        <v/>
      </c>
      <c r="B216" s="70" t="n">
        <f aca="false">IFERROR(المنيو!$B216,"")</f>
        <v>0</v>
      </c>
      <c r="C216" s="13" t="str">
        <f aca="false">IFERROR(IF($B216="","",SUMIFS(الريسبي!$F$2:$F$1800,الريسبي!$A$2:$A$1800,$B216)),"")</f>
        <v/>
      </c>
      <c r="D216" s="71" t="str">
        <f aca="false">IFERROR(IF($B216="","",المنيو!$C216),"")</f>
        <v/>
      </c>
      <c r="E216" s="12" t="str">
        <f aca="false">IFERROR(IF(OR($B216="",$D216=0,$D216=""),"",$N216/$D216),"")</f>
        <v/>
      </c>
      <c r="F216" s="76" t="n">
        <f aca="false">$F$2</f>
        <v>0.375</v>
      </c>
      <c r="G216" s="13" t="str">
        <f aca="false">IFERROR(IF($B216="","",$N216/$F216),"")</f>
        <v/>
      </c>
      <c r="H216" s="13" t="str">
        <f aca="false">IFERROR(IF($B216="","",$D216-$N216),"")</f>
        <v/>
      </c>
      <c r="I216" s="12" t="str">
        <f aca="false">IFERROR(IF(OR($B216="",$D216=0,$D216=""),"",$H216/$D216),"")</f>
        <v/>
      </c>
      <c r="J216" s="76" t="n">
        <f aca="false">$J$2</f>
        <v>0.25</v>
      </c>
      <c r="K216" s="12" t="str">
        <f aca="false">IFERROR(IF($B216="","",$E216+$J216),"")</f>
        <v/>
      </c>
      <c r="L216" s="11" t="str">
        <f aca="false">IFERROR(IF(OR($B216="",$C216=0,$C216=""),"",$I216+ROW()*0.0000001),"")</f>
        <v/>
      </c>
      <c r="M216" s="77" t="n">
        <f aca="false">$M$2</f>
        <v>0.9319</v>
      </c>
      <c r="N216" s="13" t="str">
        <f aca="false">IFERROR(IF($B216="","",$C216+$M216),"")</f>
        <v/>
      </c>
    </row>
    <row r="217" customFormat="false" ht="15" hidden="false" customHeight="true" outlineLevel="0" collapsed="false">
      <c r="A217" s="70" t="str">
        <f aca="false">IFERROR(IF(المنيو!$B217="","",المنيو!$A217),"")</f>
        <v/>
      </c>
      <c r="B217" s="70" t="n">
        <f aca="false">IFERROR(المنيو!$B217,"")</f>
        <v>0</v>
      </c>
      <c r="C217" s="13" t="str">
        <f aca="false">IFERROR(IF($B217="","",SUMIFS(الريسبي!$F$2:$F$1800,الريسبي!$A$2:$A$1800,$B217)),"")</f>
        <v/>
      </c>
      <c r="D217" s="71" t="str">
        <f aca="false">IFERROR(IF($B217="","",المنيو!$C217),"")</f>
        <v/>
      </c>
      <c r="E217" s="12" t="str">
        <f aca="false">IFERROR(IF(OR($B217="",$D217=0,$D217=""),"",$N217/$D217),"")</f>
        <v/>
      </c>
      <c r="F217" s="76" t="n">
        <f aca="false">$F$2</f>
        <v>0.375</v>
      </c>
      <c r="G217" s="13" t="str">
        <f aca="false">IFERROR(IF($B217="","",$N217/$F217),"")</f>
        <v/>
      </c>
      <c r="H217" s="13" t="str">
        <f aca="false">IFERROR(IF($B217="","",$D217-$N217),"")</f>
        <v/>
      </c>
      <c r="I217" s="12" t="str">
        <f aca="false">IFERROR(IF(OR($B217="",$D217=0,$D217=""),"",$H217/$D217),"")</f>
        <v/>
      </c>
      <c r="J217" s="76" t="n">
        <f aca="false">$J$2</f>
        <v>0.25</v>
      </c>
      <c r="K217" s="12" t="str">
        <f aca="false">IFERROR(IF($B217="","",$E217+$J217),"")</f>
        <v/>
      </c>
      <c r="L217" s="11" t="str">
        <f aca="false">IFERROR(IF(OR($B217="",$C217=0,$C217=""),"",$I217+ROW()*0.0000001),"")</f>
        <v/>
      </c>
      <c r="M217" s="77" t="n">
        <f aca="false">$M$2</f>
        <v>0.9319</v>
      </c>
      <c r="N217" s="13" t="str">
        <f aca="false">IFERROR(IF($B217="","",$C217+$M217),"")</f>
        <v/>
      </c>
    </row>
    <row r="218" customFormat="false" ht="15" hidden="false" customHeight="true" outlineLevel="0" collapsed="false">
      <c r="A218" s="70" t="str">
        <f aca="false">IFERROR(IF(المنيو!$B218="","",المنيو!$A218),"")</f>
        <v/>
      </c>
      <c r="B218" s="70" t="n">
        <f aca="false">IFERROR(المنيو!$B218,"")</f>
        <v>0</v>
      </c>
      <c r="C218" s="13" t="str">
        <f aca="false">IFERROR(IF($B218="","",SUMIFS(الريسبي!$F$2:$F$1800,الريسبي!$A$2:$A$1800,$B218)),"")</f>
        <v/>
      </c>
      <c r="D218" s="71" t="str">
        <f aca="false">IFERROR(IF($B218="","",المنيو!$C218),"")</f>
        <v/>
      </c>
      <c r="E218" s="12" t="str">
        <f aca="false">IFERROR(IF(OR($B218="",$D218=0,$D218=""),"",$N218/$D218),"")</f>
        <v/>
      </c>
      <c r="F218" s="76" t="n">
        <f aca="false">$F$2</f>
        <v>0.375</v>
      </c>
      <c r="G218" s="13" t="str">
        <f aca="false">IFERROR(IF($B218="","",$N218/$F218),"")</f>
        <v/>
      </c>
      <c r="H218" s="13" t="str">
        <f aca="false">IFERROR(IF($B218="","",$D218-$N218),"")</f>
        <v/>
      </c>
      <c r="I218" s="12" t="str">
        <f aca="false">IFERROR(IF(OR($B218="",$D218=0,$D218=""),"",$H218/$D218),"")</f>
        <v/>
      </c>
      <c r="J218" s="76" t="n">
        <f aca="false">$J$2</f>
        <v>0.25</v>
      </c>
      <c r="K218" s="12" t="str">
        <f aca="false">IFERROR(IF($B218="","",$E218+$J218),"")</f>
        <v/>
      </c>
      <c r="L218" s="11" t="str">
        <f aca="false">IFERROR(IF(OR($B218="",$C218=0,$C218=""),"",$I218+ROW()*0.0000001),"")</f>
        <v/>
      </c>
      <c r="M218" s="77" t="n">
        <f aca="false">$M$2</f>
        <v>0.9319</v>
      </c>
      <c r="N218" s="13" t="str">
        <f aca="false">IFERROR(IF($B218="","",$C218+$M218),"")</f>
        <v/>
      </c>
    </row>
    <row r="219" customFormat="false" ht="15" hidden="false" customHeight="true" outlineLevel="0" collapsed="false">
      <c r="A219" s="70" t="str">
        <f aca="false">IFERROR(IF(المنيو!$B219="","",المنيو!$A219),"")</f>
        <v/>
      </c>
      <c r="B219" s="70" t="n">
        <f aca="false">IFERROR(المنيو!$B219,"")</f>
        <v>0</v>
      </c>
      <c r="C219" s="13" t="str">
        <f aca="false">IFERROR(IF($B219="","",SUMIFS(الريسبي!$F$2:$F$1800,الريسبي!$A$2:$A$1800,$B219)),"")</f>
        <v/>
      </c>
      <c r="D219" s="71" t="str">
        <f aca="false">IFERROR(IF($B219="","",المنيو!$C219),"")</f>
        <v/>
      </c>
      <c r="E219" s="12" t="str">
        <f aca="false">IFERROR(IF(OR($B219="",$D219=0,$D219=""),"",$N219/$D219),"")</f>
        <v/>
      </c>
      <c r="F219" s="76" t="n">
        <f aca="false">$F$2</f>
        <v>0.375</v>
      </c>
      <c r="G219" s="13" t="str">
        <f aca="false">IFERROR(IF($B219="","",$N219/$F219),"")</f>
        <v/>
      </c>
      <c r="H219" s="13" t="str">
        <f aca="false">IFERROR(IF($B219="","",$D219-$N219),"")</f>
        <v/>
      </c>
      <c r="I219" s="12" t="str">
        <f aca="false">IFERROR(IF(OR($B219="",$D219=0,$D219=""),"",$H219/$D219),"")</f>
        <v/>
      </c>
      <c r="J219" s="76" t="n">
        <f aca="false">$J$2</f>
        <v>0.25</v>
      </c>
      <c r="K219" s="12" t="str">
        <f aca="false">IFERROR(IF($B219="","",$E219+$J219),"")</f>
        <v/>
      </c>
      <c r="L219" s="11" t="str">
        <f aca="false">IFERROR(IF(OR($B219="",$C219=0,$C219=""),"",$I219+ROW()*0.0000001),"")</f>
        <v/>
      </c>
      <c r="M219" s="77" t="n">
        <f aca="false">$M$2</f>
        <v>0.9319</v>
      </c>
      <c r="N219" s="13" t="str">
        <f aca="false">IFERROR(IF($B219="","",$C219+$M219),"")</f>
        <v/>
      </c>
    </row>
    <row r="220" customFormat="false" ht="15" hidden="false" customHeight="true" outlineLevel="0" collapsed="false">
      <c r="A220" s="70" t="str">
        <f aca="false">IFERROR(IF(المنيو!$B220="","",المنيو!$A220),"")</f>
        <v/>
      </c>
      <c r="B220" s="70" t="n">
        <f aca="false">IFERROR(المنيو!$B220,"")</f>
        <v>0</v>
      </c>
      <c r="C220" s="13" t="str">
        <f aca="false">IFERROR(IF($B220="","",SUMIFS(الريسبي!$F$2:$F$1800,الريسبي!$A$2:$A$1800,$B220)),"")</f>
        <v/>
      </c>
      <c r="D220" s="71" t="str">
        <f aca="false">IFERROR(IF($B220="","",المنيو!$C220),"")</f>
        <v/>
      </c>
      <c r="E220" s="12" t="str">
        <f aca="false">IFERROR(IF(OR($B220="",$D220=0,$D220=""),"",$N220/$D220),"")</f>
        <v/>
      </c>
      <c r="F220" s="76" t="n">
        <f aca="false">$F$2</f>
        <v>0.375</v>
      </c>
      <c r="G220" s="13" t="str">
        <f aca="false">IFERROR(IF($B220="","",$N220/$F220),"")</f>
        <v/>
      </c>
      <c r="H220" s="13" t="str">
        <f aca="false">IFERROR(IF($B220="","",$D220-$N220),"")</f>
        <v/>
      </c>
      <c r="I220" s="12" t="str">
        <f aca="false">IFERROR(IF(OR($B220="",$D220=0,$D220=""),"",$H220/$D220),"")</f>
        <v/>
      </c>
      <c r="J220" s="76" t="n">
        <f aca="false">$J$2</f>
        <v>0.25</v>
      </c>
      <c r="K220" s="12" t="str">
        <f aca="false">IFERROR(IF($B220="","",$E220+$J220),"")</f>
        <v/>
      </c>
      <c r="L220" s="11" t="str">
        <f aca="false">IFERROR(IF(OR($B220="",$C220=0,$C220=""),"",$I220+ROW()*0.0000001),"")</f>
        <v/>
      </c>
      <c r="M220" s="77" t="n">
        <f aca="false">$M$2</f>
        <v>0.9319</v>
      </c>
      <c r="N220" s="13" t="str">
        <f aca="false">IFERROR(IF($B220="","",$C220+$M220),"")</f>
        <v/>
      </c>
    </row>
    <row r="221" customFormat="false" ht="15" hidden="false" customHeight="true" outlineLevel="0" collapsed="false">
      <c r="A221" s="70" t="str">
        <f aca="false">IFERROR(IF(المنيو!$B221="","",المنيو!$A221),"")</f>
        <v/>
      </c>
      <c r="B221" s="70" t="n">
        <f aca="false">IFERROR(المنيو!$B221,"")</f>
        <v>0</v>
      </c>
      <c r="C221" s="13" t="str">
        <f aca="false">IFERROR(IF($B221="","",SUMIFS(الريسبي!$F$2:$F$1800,الريسبي!$A$2:$A$1800,$B221)),"")</f>
        <v/>
      </c>
      <c r="D221" s="71" t="str">
        <f aca="false">IFERROR(IF($B221="","",المنيو!$C221),"")</f>
        <v/>
      </c>
      <c r="E221" s="12" t="str">
        <f aca="false">IFERROR(IF(OR($B221="",$D221=0,$D221=""),"",$N221/$D221),"")</f>
        <v/>
      </c>
      <c r="F221" s="76" t="n">
        <f aca="false">$F$2</f>
        <v>0.375</v>
      </c>
      <c r="G221" s="13" t="str">
        <f aca="false">IFERROR(IF($B221="","",$N221/$F221),"")</f>
        <v/>
      </c>
      <c r="H221" s="13" t="str">
        <f aca="false">IFERROR(IF($B221="","",$D221-$N221),"")</f>
        <v/>
      </c>
      <c r="I221" s="12" t="str">
        <f aca="false">IFERROR(IF(OR($B221="",$D221=0,$D221=""),"",$H221/$D221),"")</f>
        <v/>
      </c>
      <c r="J221" s="76" t="n">
        <f aca="false">$J$2</f>
        <v>0.25</v>
      </c>
      <c r="K221" s="12" t="str">
        <f aca="false">IFERROR(IF($B221="","",$E221+$J221),"")</f>
        <v/>
      </c>
      <c r="L221" s="11" t="str">
        <f aca="false">IFERROR(IF(OR($B221="",$C221=0,$C221=""),"",$I221+ROW()*0.0000001),"")</f>
        <v/>
      </c>
      <c r="M221" s="77" t="n">
        <f aca="false">$M$2</f>
        <v>0.9319</v>
      </c>
      <c r="N221" s="13" t="str">
        <f aca="false">IFERROR(IF($B221="","",$C221+$M221),"")</f>
        <v/>
      </c>
    </row>
    <row r="222" customFormat="false" ht="15" hidden="false" customHeight="true" outlineLevel="0" collapsed="false">
      <c r="A222" s="70" t="str">
        <f aca="false">IFERROR(IF(المنيو!$B222="","",المنيو!$A222),"")</f>
        <v/>
      </c>
      <c r="B222" s="70" t="n">
        <f aca="false">IFERROR(المنيو!$B222,"")</f>
        <v>0</v>
      </c>
      <c r="C222" s="13" t="str">
        <f aca="false">IFERROR(IF($B222="","",SUMIFS(الريسبي!$F$2:$F$1800,الريسبي!$A$2:$A$1800,$B222)),"")</f>
        <v/>
      </c>
      <c r="D222" s="71" t="str">
        <f aca="false">IFERROR(IF($B222="","",المنيو!$C222),"")</f>
        <v/>
      </c>
      <c r="E222" s="12" t="str">
        <f aca="false">IFERROR(IF(OR($B222="",$D222=0,$D222=""),"",$N222/$D222),"")</f>
        <v/>
      </c>
      <c r="F222" s="76" t="n">
        <f aca="false">$F$2</f>
        <v>0.375</v>
      </c>
      <c r="G222" s="13" t="str">
        <f aca="false">IFERROR(IF($B222="","",$N222/$F222),"")</f>
        <v/>
      </c>
      <c r="H222" s="13" t="str">
        <f aca="false">IFERROR(IF($B222="","",$D222-$N222),"")</f>
        <v/>
      </c>
      <c r="I222" s="12" t="str">
        <f aca="false">IFERROR(IF(OR($B222="",$D222=0,$D222=""),"",$H222/$D222),"")</f>
        <v/>
      </c>
      <c r="J222" s="76" t="n">
        <f aca="false">$J$2</f>
        <v>0.25</v>
      </c>
      <c r="K222" s="12" t="str">
        <f aca="false">IFERROR(IF($B222="","",$E222+$J222),"")</f>
        <v/>
      </c>
      <c r="L222" s="11" t="str">
        <f aca="false">IFERROR(IF(OR($B222="",$C222=0,$C222=""),"",$I222+ROW()*0.0000001),"")</f>
        <v/>
      </c>
      <c r="M222" s="77" t="n">
        <f aca="false">$M$2</f>
        <v>0.9319</v>
      </c>
      <c r="N222" s="13" t="str">
        <f aca="false">IFERROR(IF($B222="","",$C222+$M222),"")</f>
        <v/>
      </c>
    </row>
    <row r="223" customFormat="false" ht="15" hidden="false" customHeight="true" outlineLevel="0" collapsed="false">
      <c r="A223" s="70" t="str">
        <f aca="false">IFERROR(IF(المنيو!$B223="","",المنيو!$A223),"")</f>
        <v/>
      </c>
      <c r="B223" s="70" t="n">
        <f aca="false">IFERROR(المنيو!$B223,"")</f>
        <v>0</v>
      </c>
      <c r="C223" s="13" t="str">
        <f aca="false">IFERROR(IF($B223="","",SUMIFS(الريسبي!$F$2:$F$1800,الريسبي!$A$2:$A$1800,$B223)),"")</f>
        <v/>
      </c>
      <c r="D223" s="71" t="str">
        <f aca="false">IFERROR(IF($B223="","",المنيو!$C223),"")</f>
        <v/>
      </c>
      <c r="E223" s="12" t="str">
        <f aca="false">IFERROR(IF(OR($B223="",$D223=0,$D223=""),"",$N223/$D223),"")</f>
        <v/>
      </c>
      <c r="F223" s="76" t="n">
        <f aca="false">$F$2</f>
        <v>0.375</v>
      </c>
      <c r="G223" s="13" t="str">
        <f aca="false">IFERROR(IF($B223="","",$N223/$F223),"")</f>
        <v/>
      </c>
      <c r="H223" s="13" t="str">
        <f aca="false">IFERROR(IF($B223="","",$D223-$N223),"")</f>
        <v/>
      </c>
      <c r="I223" s="12" t="str">
        <f aca="false">IFERROR(IF(OR($B223="",$D223=0,$D223=""),"",$H223/$D223),"")</f>
        <v/>
      </c>
      <c r="J223" s="76" t="n">
        <f aca="false">$J$2</f>
        <v>0.25</v>
      </c>
      <c r="K223" s="12" t="str">
        <f aca="false">IFERROR(IF($B223="","",$E223+$J223),"")</f>
        <v/>
      </c>
      <c r="L223" s="11" t="str">
        <f aca="false">IFERROR(IF(OR($B223="",$C223=0,$C223=""),"",$I223+ROW()*0.0000001),"")</f>
        <v/>
      </c>
      <c r="M223" s="77" t="n">
        <f aca="false">$M$2</f>
        <v>0.9319</v>
      </c>
      <c r="N223" s="13" t="str">
        <f aca="false">IFERROR(IF($B223="","",$C223+$M223),"")</f>
        <v/>
      </c>
    </row>
    <row r="224" customFormat="false" ht="15" hidden="false" customHeight="true" outlineLevel="0" collapsed="false">
      <c r="A224" s="70" t="str">
        <f aca="false">IFERROR(IF(المنيو!$B224="","",المنيو!$A224),"")</f>
        <v/>
      </c>
      <c r="B224" s="70" t="n">
        <f aca="false">IFERROR(المنيو!$B224,"")</f>
        <v>0</v>
      </c>
      <c r="C224" s="13" t="str">
        <f aca="false">IFERROR(IF($B224="","",SUMIFS(الريسبي!$F$2:$F$1800,الريسبي!$A$2:$A$1800,$B224)),"")</f>
        <v/>
      </c>
      <c r="D224" s="71" t="str">
        <f aca="false">IFERROR(IF($B224="","",المنيو!$C224),"")</f>
        <v/>
      </c>
      <c r="E224" s="12" t="str">
        <f aca="false">IFERROR(IF(OR($B224="",$D224=0,$D224=""),"",$N224/$D224),"")</f>
        <v/>
      </c>
      <c r="F224" s="76" t="n">
        <f aca="false">$F$2</f>
        <v>0.375</v>
      </c>
      <c r="G224" s="13" t="str">
        <f aca="false">IFERROR(IF($B224="","",$N224/$F224),"")</f>
        <v/>
      </c>
      <c r="H224" s="13" t="str">
        <f aca="false">IFERROR(IF($B224="","",$D224-$N224),"")</f>
        <v/>
      </c>
      <c r="I224" s="12" t="str">
        <f aca="false">IFERROR(IF(OR($B224="",$D224=0,$D224=""),"",$H224/$D224),"")</f>
        <v/>
      </c>
      <c r="J224" s="76" t="n">
        <f aca="false">$J$2</f>
        <v>0.25</v>
      </c>
      <c r="K224" s="12" t="str">
        <f aca="false">IFERROR(IF($B224="","",$E224+$J224),"")</f>
        <v/>
      </c>
      <c r="L224" s="11" t="str">
        <f aca="false">IFERROR(IF(OR($B224="",$C224=0,$C224=""),"",$I224+ROW()*0.0000001),"")</f>
        <v/>
      </c>
      <c r="M224" s="77" t="n">
        <f aca="false">$M$2</f>
        <v>0.9319</v>
      </c>
      <c r="N224" s="13" t="str">
        <f aca="false">IFERROR(IF($B224="","",$C224+$M224),"")</f>
        <v/>
      </c>
    </row>
    <row r="225" customFormat="false" ht="15" hidden="false" customHeight="true" outlineLevel="0" collapsed="false">
      <c r="A225" s="70" t="str">
        <f aca="false">IFERROR(IF(المنيو!$B225="","",المنيو!$A225),"")</f>
        <v/>
      </c>
      <c r="B225" s="70" t="n">
        <f aca="false">IFERROR(المنيو!$B225,"")</f>
        <v>0</v>
      </c>
      <c r="C225" s="13" t="str">
        <f aca="false">IFERROR(IF($B225="","",SUMIFS(الريسبي!$F$2:$F$1800,الريسبي!$A$2:$A$1800,$B225)),"")</f>
        <v/>
      </c>
      <c r="D225" s="71" t="str">
        <f aca="false">IFERROR(IF($B225="","",المنيو!$C225),"")</f>
        <v/>
      </c>
      <c r="E225" s="12" t="str">
        <f aca="false">IFERROR(IF(OR($B225="",$D225=0,$D225=""),"",$N225/$D225),"")</f>
        <v/>
      </c>
      <c r="F225" s="76" t="n">
        <f aca="false">$F$2</f>
        <v>0.375</v>
      </c>
      <c r="G225" s="13" t="str">
        <f aca="false">IFERROR(IF($B225="","",$N225/$F225),"")</f>
        <v/>
      </c>
      <c r="H225" s="13" t="str">
        <f aca="false">IFERROR(IF($B225="","",$D225-$N225),"")</f>
        <v/>
      </c>
      <c r="I225" s="12" t="str">
        <f aca="false">IFERROR(IF(OR($B225="",$D225=0,$D225=""),"",$H225/$D225),"")</f>
        <v/>
      </c>
      <c r="J225" s="76" t="n">
        <f aca="false">$J$2</f>
        <v>0.25</v>
      </c>
      <c r="K225" s="12" t="str">
        <f aca="false">IFERROR(IF($B225="","",$E225+$J225),"")</f>
        <v/>
      </c>
      <c r="L225" s="11" t="str">
        <f aca="false">IFERROR(IF(OR($B225="",$C225=0,$C225=""),"",$I225+ROW()*0.0000001),"")</f>
        <v/>
      </c>
      <c r="M225" s="77" t="n">
        <f aca="false">$M$2</f>
        <v>0.9319</v>
      </c>
      <c r="N225" s="13" t="str">
        <f aca="false">IFERROR(IF($B225="","",$C225+$M225),"")</f>
        <v/>
      </c>
    </row>
    <row r="226" customFormat="false" ht="15" hidden="false" customHeight="true" outlineLevel="0" collapsed="false">
      <c r="A226" s="70" t="str">
        <f aca="false">IFERROR(IF(المنيو!$B226="","",المنيو!$A226),"")</f>
        <v/>
      </c>
      <c r="B226" s="70" t="n">
        <f aca="false">IFERROR(المنيو!$B226,"")</f>
        <v>0</v>
      </c>
      <c r="C226" s="13" t="str">
        <f aca="false">IFERROR(IF($B226="","",SUMIFS(الريسبي!$F$2:$F$1800,الريسبي!$A$2:$A$1800,$B226)),"")</f>
        <v/>
      </c>
      <c r="D226" s="71" t="str">
        <f aca="false">IFERROR(IF($B226="","",المنيو!$C226),"")</f>
        <v/>
      </c>
      <c r="E226" s="12" t="str">
        <f aca="false">IFERROR(IF(OR($B226="",$D226=0,$D226=""),"",$N226/$D226),"")</f>
        <v/>
      </c>
      <c r="F226" s="76" t="n">
        <f aca="false">$F$2</f>
        <v>0.375</v>
      </c>
      <c r="G226" s="13" t="str">
        <f aca="false">IFERROR(IF($B226="","",$N226/$F226),"")</f>
        <v/>
      </c>
      <c r="H226" s="13" t="str">
        <f aca="false">IFERROR(IF($B226="","",$D226-$N226),"")</f>
        <v/>
      </c>
      <c r="I226" s="12" t="str">
        <f aca="false">IFERROR(IF(OR($B226="",$D226=0,$D226=""),"",$H226/$D226),"")</f>
        <v/>
      </c>
      <c r="J226" s="76" t="n">
        <f aca="false">$J$2</f>
        <v>0.25</v>
      </c>
      <c r="K226" s="12" t="str">
        <f aca="false">IFERROR(IF($B226="","",$E226+$J226),"")</f>
        <v/>
      </c>
      <c r="L226" s="11" t="str">
        <f aca="false">IFERROR(IF(OR($B226="",$C226=0,$C226=""),"",$I226+ROW()*0.0000001),"")</f>
        <v/>
      </c>
      <c r="M226" s="77" t="n">
        <f aca="false">$M$2</f>
        <v>0.9319</v>
      </c>
      <c r="N226" s="13" t="str">
        <f aca="false">IFERROR(IF($B226="","",$C226+$M226),"")</f>
        <v/>
      </c>
    </row>
    <row r="227" customFormat="false" ht="15" hidden="false" customHeight="true" outlineLevel="0" collapsed="false">
      <c r="A227" s="70" t="str">
        <f aca="false">IFERROR(IF(المنيو!$B227="","",المنيو!$A227),"")</f>
        <v/>
      </c>
      <c r="B227" s="70" t="n">
        <f aca="false">IFERROR(المنيو!$B227,"")</f>
        <v>0</v>
      </c>
      <c r="C227" s="13" t="str">
        <f aca="false">IFERROR(IF($B227="","",SUMIFS(الريسبي!$F$2:$F$1800,الريسبي!$A$2:$A$1800,$B227)),"")</f>
        <v/>
      </c>
      <c r="D227" s="71" t="str">
        <f aca="false">IFERROR(IF($B227="","",المنيو!$C227),"")</f>
        <v/>
      </c>
      <c r="E227" s="12" t="str">
        <f aca="false">IFERROR(IF(OR($B227="",$D227=0,$D227=""),"",$N227/$D227),"")</f>
        <v/>
      </c>
      <c r="F227" s="76" t="n">
        <f aca="false">$F$2</f>
        <v>0.375</v>
      </c>
      <c r="G227" s="13" t="str">
        <f aca="false">IFERROR(IF($B227="","",$N227/$F227),"")</f>
        <v/>
      </c>
      <c r="H227" s="13" t="str">
        <f aca="false">IFERROR(IF($B227="","",$D227-$N227),"")</f>
        <v/>
      </c>
      <c r="I227" s="12" t="str">
        <f aca="false">IFERROR(IF(OR($B227="",$D227=0,$D227=""),"",$H227/$D227),"")</f>
        <v/>
      </c>
      <c r="J227" s="76" t="n">
        <f aca="false">$J$2</f>
        <v>0.25</v>
      </c>
      <c r="K227" s="12" t="str">
        <f aca="false">IFERROR(IF($B227="","",$E227+$J227),"")</f>
        <v/>
      </c>
      <c r="L227" s="11" t="str">
        <f aca="false">IFERROR(IF(OR($B227="",$C227=0,$C227=""),"",$I227+ROW()*0.0000001),"")</f>
        <v/>
      </c>
      <c r="M227" s="77" t="n">
        <f aca="false">$M$2</f>
        <v>0.9319</v>
      </c>
      <c r="N227" s="13" t="str">
        <f aca="false">IFERROR(IF($B227="","",$C227+$M227),"")</f>
        <v/>
      </c>
    </row>
    <row r="228" customFormat="false" ht="15" hidden="false" customHeight="true" outlineLevel="0" collapsed="false">
      <c r="A228" s="70" t="str">
        <f aca="false">IFERROR(IF(المنيو!$B228="","",المنيو!$A228),"")</f>
        <v/>
      </c>
      <c r="B228" s="70" t="n">
        <f aca="false">IFERROR(المنيو!$B228,"")</f>
        <v>0</v>
      </c>
      <c r="C228" s="13" t="str">
        <f aca="false">IFERROR(IF($B228="","",SUMIFS(الريسبي!$F$2:$F$1800,الريسبي!$A$2:$A$1800,$B228)),"")</f>
        <v/>
      </c>
      <c r="D228" s="71" t="str">
        <f aca="false">IFERROR(IF($B228="","",المنيو!$C228),"")</f>
        <v/>
      </c>
      <c r="E228" s="12" t="str">
        <f aca="false">IFERROR(IF(OR($B228="",$D228=0,$D228=""),"",$N228/$D228),"")</f>
        <v/>
      </c>
      <c r="F228" s="76" t="n">
        <f aca="false">$F$2</f>
        <v>0.375</v>
      </c>
      <c r="G228" s="13" t="str">
        <f aca="false">IFERROR(IF($B228="","",$N228/$F228),"")</f>
        <v/>
      </c>
      <c r="H228" s="13" t="str">
        <f aca="false">IFERROR(IF($B228="","",$D228-$N228),"")</f>
        <v/>
      </c>
      <c r="I228" s="12" t="str">
        <f aca="false">IFERROR(IF(OR($B228="",$D228=0,$D228=""),"",$H228/$D228),"")</f>
        <v/>
      </c>
      <c r="J228" s="76" t="n">
        <f aca="false">$J$2</f>
        <v>0.25</v>
      </c>
      <c r="K228" s="12" t="str">
        <f aca="false">IFERROR(IF($B228="","",$E228+$J228),"")</f>
        <v/>
      </c>
      <c r="L228" s="11" t="str">
        <f aca="false">IFERROR(IF(OR($B228="",$C228=0,$C228=""),"",$I228+ROW()*0.0000001),"")</f>
        <v/>
      </c>
      <c r="M228" s="77" t="n">
        <f aca="false">$M$2</f>
        <v>0.9319</v>
      </c>
      <c r="N228" s="13" t="str">
        <f aca="false">IFERROR(IF($B228="","",$C228+$M228),"")</f>
        <v/>
      </c>
    </row>
    <row r="229" customFormat="false" ht="15" hidden="false" customHeight="true" outlineLevel="0" collapsed="false">
      <c r="A229" s="70" t="str">
        <f aca="false">IFERROR(IF(المنيو!$B229="","",المنيو!$A229),"")</f>
        <v/>
      </c>
      <c r="B229" s="70" t="n">
        <f aca="false">IFERROR(المنيو!$B229,"")</f>
        <v>0</v>
      </c>
      <c r="C229" s="13" t="str">
        <f aca="false">IFERROR(IF($B229="","",SUMIFS(الريسبي!$F$2:$F$1800,الريسبي!$A$2:$A$1800,$B229)),"")</f>
        <v/>
      </c>
      <c r="D229" s="71" t="str">
        <f aca="false">IFERROR(IF($B229="","",المنيو!$C229),"")</f>
        <v/>
      </c>
      <c r="E229" s="12" t="str">
        <f aca="false">IFERROR(IF(OR($B229="",$D229=0,$D229=""),"",$N229/$D229),"")</f>
        <v/>
      </c>
      <c r="F229" s="76" t="n">
        <f aca="false">$F$2</f>
        <v>0.375</v>
      </c>
      <c r="G229" s="13" t="str">
        <f aca="false">IFERROR(IF($B229="","",$N229/$F229),"")</f>
        <v/>
      </c>
      <c r="H229" s="13" t="str">
        <f aca="false">IFERROR(IF($B229="","",$D229-$N229),"")</f>
        <v/>
      </c>
      <c r="I229" s="12" t="str">
        <f aca="false">IFERROR(IF(OR($B229="",$D229=0,$D229=""),"",$H229/$D229),"")</f>
        <v/>
      </c>
      <c r="J229" s="76" t="n">
        <f aca="false">$J$2</f>
        <v>0.25</v>
      </c>
      <c r="K229" s="12" t="str">
        <f aca="false">IFERROR(IF($B229="","",$E229+$J229),"")</f>
        <v/>
      </c>
      <c r="L229" s="11" t="str">
        <f aca="false">IFERROR(IF(OR($B229="",$C229=0,$C229=""),"",$I229+ROW()*0.0000001),"")</f>
        <v/>
      </c>
      <c r="M229" s="77" t="n">
        <f aca="false">$M$2</f>
        <v>0.9319</v>
      </c>
      <c r="N229" s="13" t="str">
        <f aca="false">IFERROR(IF($B229="","",$C229+$M229),"")</f>
        <v/>
      </c>
    </row>
    <row r="230" customFormat="false" ht="15" hidden="false" customHeight="true" outlineLevel="0" collapsed="false">
      <c r="A230" s="70" t="str">
        <f aca="false">IFERROR(IF(المنيو!$B230="","",المنيو!$A230),"")</f>
        <v/>
      </c>
      <c r="B230" s="70" t="n">
        <f aca="false">IFERROR(المنيو!$B230,"")</f>
        <v>0</v>
      </c>
      <c r="C230" s="13" t="str">
        <f aca="false">IFERROR(IF($B230="","",SUMIFS(الريسبي!$F$2:$F$1800,الريسبي!$A$2:$A$1800,$B230)),"")</f>
        <v/>
      </c>
      <c r="D230" s="71" t="str">
        <f aca="false">IFERROR(IF($B230="","",المنيو!$C230),"")</f>
        <v/>
      </c>
      <c r="E230" s="12" t="str">
        <f aca="false">IFERROR(IF(OR($B230="",$D230=0,$D230=""),"",$N230/$D230),"")</f>
        <v/>
      </c>
      <c r="F230" s="76" t="n">
        <f aca="false">$F$2</f>
        <v>0.375</v>
      </c>
      <c r="G230" s="13" t="str">
        <f aca="false">IFERROR(IF($B230="","",$N230/$F230),"")</f>
        <v/>
      </c>
      <c r="H230" s="13" t="str">
        <f aca="false">IFERROR(IF($B230="","",$D230-$N230),"")</f>
        <v/>
      </c>
      <c r="I230" s="12" t="str">
        <f aca="false">IFERROR(IF(OR($B230="",$D230=0,$D230=""),"",$H230/$D230),"")</f>
        <v/>
      </c>
      <c r="J230" s="76" t="n">
        <f aca="false">$J$2</f>
        <v>0.25</v>
      </c>
      <c r="K230" s="12" t="str">
        <f aca="false">IFERROR(IF($B230="","",$E230+$J230),"")</f>
        <v/>
      </c>
      <c r="L230" s="11" t="str">
        <f aca="false">IFERROR(IF(OR($B230="",$C230=0,$C230=""),"",$I230+ROW()*0.0000001),"")</f>
        <v/>
      </c>
      <c r="M230" s="77" t="n">
        <f aca="false">$M$2</f>
        <v>0.9319</v>
      </c>
      <c r="N230" s="13" t="str">
        <f aca="false">IFERROR(IF($B230="","",$C230+$M230),"")</f>
        <v/>
      </c>
    </row>
    <row r="231" customFormat="false" ht="15" hidden="false" customHeight="true" outlineLevel="0" collapsed="false">
      <c r="A231" s="70" t="str">
        <f aca="false">IFERROR(IF(المنيو!$B231="","",المنيو!$A231),"")</f>
        <v/>
      </c>
      <c r="B231" s="70" t="n">
        <f aca="false">IFERROR(المنيو!$B231,"")</f>
        <v>0</v>
      </c>
      <c r="C231" s="13" t="str">
        <f aca="false">IFERROR(IF($B231="","",SUMIFS(الريسبي!$F$2:$F$1800,الريسبي!$A$2:$A$1800,$B231)),"")</f>
        <v/>
      </c>
      <c r="D231" s="71" t="str">
        <f aca="false">IFERROR(IF($B231="","",المنيو!$C231),"")</f>
        <v/>
      </c>
      <c r="E231" s="12" t="str">
        <f aca="false">IFERROR(IF(OR($B231="",$D231=0,$D231=""),"",$N231/$D231),"")</f>
        <v/>
      </c>
      <c r="F231" s="76" t="n">
        <f aca="false">$F$2</f>
        <v>0.375</v>
      </c>
      <c r="G231" s="13" t="str">
        <f aca="false">IFERROR(IF($B231="","",$N231/$F231),"")</f>
        <v/>
      </c>
      <c r="H231" s="13" t="str">
        <f aca="false">IFERROR(IF($B231="","",$D231-$N231),"")</f>
        <v/>
      </c>
      <c r="I231" s="12" t="str">
        <f aca="false">IFERROR(IF(OR($B231="",$D231=0,$D231=""),"",$H231/$D231),"")</f>
        <v/>
      </c>
      <c r="J231" s="76" t="n">
        <f aca="false">$J$2</f>
        <v>0.25</v>
      </c>
      <c r="K231" s="12" t="str">
        <f aca="false">IFERROR(IF($B231="","",$E231+$J231),"")</f>
        <v/>
      </c>
      <c r="L231" s="11" t="str">
        <f aca="false">IFERROR(IF(OR($B231="",$C231=0,$C231=""),"",$I231+ROW()*0.0000001),"")</f>
        <v/>
      </c>
      <c r="M231" s="77" t="n">
        <f aca="false">$M$2</f>
        <v>0.9319</v>
      </c>
      <c r="N231" s="13" t="str">
        <f aca="false">IFERROR(IF($B231="","",$C231+$M231),"")</f>
        <v/>
      </c>
    </row>
    <row r="232" customFormat="false" ht="15" hidden="false" customHeight="true" outlineLevel="0" collapsed="false">
      <c r="A232" s="70" t="str">
        <f aca="false">IFERROR(IF(المنيو!$B232="","",المنيو!$A232),"")</f>
        <v/>
      </c>
      <c r="B232" s="70" t="n">
        <f aca="false">IFERROR(المنيو!$B232,"")</f>
        <v>0</v>
      </c>
      <c r="C232" s="13" t="str">
        <f aca="false">IFERROR(IF($B232="","",SUMIFS(الريسبي!$F$2:$F$1800,الريسبي!$A$2:$A$1800,$B232)),"")</f>
        <v/>
      </c>
      <c r="D232" s="71" t="str">
        <f aca="false">IFERROR(IF($B232="","",المنيو!$C232),"")</f>
        <v/>
      </c>
      <c r="E232" s="12" t="str">
        <f aca="false">IFERROR(IF(OR($B232="",$D232=0,$D232=""),"",$N232/$D232),"")</f>
        <v/>
      </c>
      <c r="F232" s="76" t="n">
        <f aca="false">$F$2</f>
        <v>0.375</v>
      </c>
      <c r="G232" s="13" t="str">
        <f aca="false">IFERROR(IF($B232="","",$N232/$F232),"")</f>
        <v/>
      </c>
      <c r="H232" s="13" t="str">
        <f aca="false">IFERROR(IF($B232="","",$D232-$N232),"")</f>
        <v/>
      </c>
      <c r="I232" s="12" t="str">
        <f aca="false">IFERROR(IF(OR($B232="",$D232=0,$D232=""),"",$H232/$D232),"")</f>
        <v/>
      </c>
      <c r="J232" s="76" t="n">
        <f aca="false">$J$2</f>
        <v>0.25</v>
      </c>
      <c r="K232" s="12" t="str">
        <f aca="false">IFERROR(IF($B232="","",$E232+$J232),"")</f>
        <v/>
      </c>
      <c r="L232" s="11" t="str">
        <f aca="false">IFERROR(IF(OR($B232="",$C232=0,$C232=""),"",$I232+ROW()*0.0000001),"")</f>
        <v/>
      </c>
      <c r="M232" s="77" t="n">
        <f aca="false">$M$2</f>
        <v>0.9319</v>
      </c>
      <c r="N232" s="13" t="str">
        <f aca="false">IFERROR(IF($B232="","",$C232+$M232),"")</f>
        <v/>
      </c>
    </row>
    <row r="233" customFormat="false" ht="15" hidden="false" customHeight="true" outlineLevel="0" collapsed="false">
      <c r="A233" s="70" t="str">
        <f aca="false">IFERROR(IF(المنيو!$B233="","",المنيو!$A233),"")</f>
        <v/>
      </c>
      <c r="B233" s="70" t="n">
        <f aca="false">IFERROR(المنيو!$B233,"")</f>
        <v>0</v>
      </c>
      <c r="C233" s="13" t="str">
        <f aca="false">IFERROR(IF($B233="","",SUMIFS(الريسبي!$F$2:$F$1800,الريسبي!$A$2:$A$1800,$B233)),"")</f>
        <v/>
      </c>
      <c r="D233" s="71" t="str">
        <f aca="false">IFERROR(IF($B233="","",المنيو!$C233),"")</f>
        <v/>
      </c>
      <c r="E233" s="12" t="str">
        <f aca="false">IFERROR(IF(OR($B233="",$D233=0,$D233=""),"",$N233/$D233),"")</f>
        <v/>
      </c>
      <c r="F233" s="76" t="n">
        <f aca="false">$F$2</f>
        <v>0.375</v>
      </c>
      <c r="G233" s="13" t="str">
        <f aca="false">IFERROR(IF($B233="","",$N233/$F233),"")</f>
        <v/>
      </c>
      <c r="H233" s="13" t="str">
        <f aca="false">IFERROR(IF($B233="","",$D233-$N233),"")</f>
        <v/>
      </c>
      <c r="I233" s="12" t="str">
        <f aca="false">IFERROR(IF(OR($B233="",$D233=0,$D233=""),"",$H233/$D233),"")</f>
        <v/>
      </c>
      <c r="J233" s="76" t="n">
        <f aca="false">$J$2</f>
        <v>0.25</v>
      </c>
      <c r="K233" s="12" t="str">
        <f aca="false">IFERROR(IF($B233="","",$E233+$J233),"")</f>
        <v/>
      </c>
      <c r="L233" s="11" t="str">
        <f aca="false">IFERROR(IF(OR($B233="",$C233=0,$C233=""),"",$I233+ROW()*0.0000001),"")</f>
        <v/>
      </c>
      <c r="M233" s="77" t="n">
        <f aca="false">$M$2</f>
        <v>0.9319</v>
      </c>
      <c r="N233" s="13" t="str">
        <f aca="false">IFERROR(IF($B233="","",$C233+$M233),"")</f>
        <v/>
      </c>
    </row>
    <row r="234" customFormat="false" ht="15" hidden="false" customHeight="true" outlineLevel="0" collapsed="false">
      <c r="A234" s="70" t="str">
        <f aca="false">IFERROR(IF(المنيو!$B234="","",المنيو!$A234),"")</f>
        <v/>
      </c>
      <c r="B234" s="70" t="n">
        <f aca="false">IFERROR(المنيو!$B234,"")</f>
        <v>0</v>
      </c>
      <c r="C234" s="13" t="str">
        <f aca="false">IFERROR(IF($B234="","",SUMIFS(الريسبي!$F$2:$F$1800,الريسبي!$A$2:$A$1800,$B234)),"")</f>
        <v/>
      </c>
      <c r="D234" s="71" t="str">
        <f aca="false">IFERROR(IF($B234="","",المنيو!$C234),"")</f>
        <v/>
      </c>
      <c r="E234" s="12" t="str">
        <f aca="false">IFERROR(IF(OR($B234="",$D234=0,$D234=""),"",$N234/$D234),"")</f>
        <v/>
      </c>
      <c r="F234" s="76" t="n">
        <f aca="false">$F$2</f>
        <v>0.375</v>
      </c>
      <c r="G234" s="13" t="str">
        <f aca="false">IFERROR(IF($B234="","",$N234/$F234),"")</f>
        <v/>
      </c>
      <c r="H234" s="13" t="str">
        <f aca="false">IFERROR(IF($B234="","",$D234-$N234),"")</f>
        <v/>
      </c>
      <c r="I234" s="12" t="str">
        <f aca="false">IFERROR(IF(OR($B234="",$D234=0,$D234=""),"",$H234/$D234),"")</f>
        <v/>
      </c>
      <c r="J234" s="76" t="n">
        <f aca="false">$J$2</f>
        <v>0.25</v>
      </c>
      <c r="K234" s="12" t="str">
        <f aca="false">IFERROR(IF($B234="","",$E234+$J234),"")</f>
        <v/>
      </c>
      <c r="L234" s="11" t="str">
        <f aca="false">IFERROR(IF(OR($B234="",$C234=0,$C234=""),"",$I234+ROW()*0.0000001),"")</f>
        <v/>
      </c>
      <c r="M234" s="77" t="n">
        <f aca="false">$M$2</f>
        <v>0.9319</v>
      </c>
      <c r="N234" s="13" t="str">
        <f aca="false">IFERROR(IF($B234="","",$C234+$M234),"")</f>
        <v/>
      </c>
    </row>
    <row r="235" customFormat="false" ht="15" hidden="false" customHeight="true" outlineLevel="0" collapsed="false">
      <c r="A235" s="70" t="str">
        <f aca="false">IFERROR(IF(المنيو!$B235="","",المنيو!$A235),"")</f>
        <v/>
      </c>
      <c r="B235" s="70" t="n">
        <f aca="false">IFERROR(المنيو!$B235,"")</f>
        <v>0</v>
      </c>
      <c r="C235" s="13" t="str">
        <f aca="false">IFERROR(IF($B235="","",SUMIFS(الريسبي!$F$2:$F$1800,الريسبي!$A$2:$A$1800,$B235)),"")</f>
        <v/>
      </c>
      <c r="D235" s="71" t="str">
        <f aca="false">IFERROR(IF($B235="","",المنيو!$C235),"")</f>
        <v/>
      </c>
      <c r="E235" s="12" t="str">
        <f aca="false">IFERROR(IF(OR($B235="",$D235=0,$D235=""),"",$N235/$D235),"")</f>
        <v/>
      </c>
      <c r="F235" s="76" t="n">
        <f aca="false">$F$2</f>
        <v>0.375</v>
      </c>
      <c r="G235" s="13" t="str">
        <f aca="false">IFERROR(IF($B235="","",$N235/$F235),"")</f>
        <v/>
      </c>
      <c r="H235" s="13" t="str">
        <f aca="false">IFERROR(IF($B235="","",$D235-$N235),"")</f>
        <v/>
      </c>
      <c r="I235" s="12" t="str">
        <f aca="false">IFERROR(IF(OR($B235="",$D235=0,$D235=""),"",$H235/$D235),"")</f>
        <v/>
      </c>
      <c r="J235" s="76" t="n">
        <f aca="false">$J$2</f>
        <v>0.25</v>
      </c>
      <c r="K235" s="12" t="str">
        <f aca="false">IFERROR(IF($B235="","",$E235+$J235),"")</f>
        <v/>
      </c>
      <c r="L235" s="11" t="str">
        <f aca="false">IFERROR(IF(OR($B235="",$C235=0,$C235=""),"",$I235+ROW()*0.0000001),"")</f>
        <v/>
      </c>
      <c r="M235" s="77" t="n">
        <f aca="false">$M$2</f>
        <v>0.9319</v>
      </c>
      <c r="N235" s="13" t="str">
        <f aca="false">IFERROR(IF($B235="","",$C235+$M235),"")</f>
        <v/>
      </c>
    </row>
    <row r="236" customFormat="false" ht="15" hidden="false" customHeight="true" outlineLevel="0" collapsed="false">
      <c r="A236" s="70" t="str">
        <f aca="false">IFERROR(IF(المنيو!$B236="","",المنيو!$A236),"")</f>
        <v/>
      </c>
      <c r="B236" s="70" t="n">
        <f aca="false">IFERROR(المنيو!$B236,"")</f>
        <v>0</v>
      </c>
      <c r="C236" s="13" t="str">
        <f aca="false">IFERROR(IF($B236="","",SUMIFS(الريسبي!$F$2:$F$1800,الريسبي!$A$2:$A$1800,$B236)),"")</f>
        <v/>
      </c>
      <c r="D236" s="71" t="str">
        <f aca="false">IFERROR(IF($B236="","",المنيو!$C236),"")</f>
        <v/>
      </c>
      <c r="E236" s="12" t="str">
        <f aca="false">IFERROR(IF(OR($B236="",$D236=0,$D236=""),"",$N236/$D236),"")</f>
        <v/>
      </c>
      <c r="F236" s="76" t="n">
        <f aca="false">$F$2</f>
        <v>0.375</v>
      </c>
      <c r="G236" s="13" t="str">
        <f aca="false">IFERROR(IF($B236="","",$N236/$F236),"")</f>
        <v/>
      </c>
      <c r="H236" s="13" t="str">
        <f aca="false">IFERROR(IF($B236="","",$D236-$N236),"")</f>
        <v/>
      </c>
      <c r="I236" s="12" t="str">
        <f aca="false">IFERROR(IF(OR($B236="",$D236=0,$D236=""),"",$H236/$D236),"")</f>
        <v/>
      </c>
      <c r="J236" s="76" t="n">
        <f aca="false">$J$2</f>
        <v>0.25</v>
      </c>
      <c r="K236" s="12" t="str">
        <f aca="false">IFERROR(IF($B236="","",$E236+$J236),"")</f>
        <v/>
      </c>
      <c r="L236" s="11" t="str">
        <f aca="false">IFERROR(IF(OR($B236="",$C236=0,$C236=""),"",$I236+ROW()*0.0000001),"")</f>
        <v/>
      </c>
      <c r="M236" s="77" t="n">
        <f aca="false">$M$2</f>
        <v>0.9319</v>
      </c>
      <c r="N236" s="13" t="str">
        <f aca="false">IFERROR(IF($B236="","",$C236+$M236),"")</f>
        <v/>
      </c>
    </row>
    <row r="237" customFormat="false" ht="15" hidden="false" customHeight="true" outlineLevel="0" collapsed="false">
      <c r="A237" s="70" t="str">
        <f aca="false">IFERROR(IF(المنيو!$B237="","",المنيو!$A237),"")</f>
        <v/>
      </c>
      <c r="B237" s="70" t="n">
        <f aca="false">IFERROR(المنيو!$B237,"")</f>
        <v>0</v>
      </c>
      <c r="C237" s="13" t="str">
        <f aca="false">IFERROR(IF($B237="","",SUMIFS(الريسبي!$F$2:$F$1800,الريسبي!$A$2:$A$1800,$B237)),"")</f>
        <v/>
      </c>
      <c r="D237" s="71" t="str">
        <f aca="false">IFERROR(IF($B237="","",المنيو!$C237),"")</f>
        <v/>
      </c>
      <c r="E237" s="12" t="str">
        <f aca="false">IFERROR(IF(OR($B237="",$D237=0,$D237=""),"",$N237/$D237),"")</f>
        <v/>
      </c>
      <c r="F237" s="76" t="n">
        <f aca="false">$F$2</f>
        <v>0.375</v>
      </c>
      <c r="G237" s="13" t="str">
        <f aca="false">IFERROR(IF($B237="","",$N237/$F237),"")</f>
        <v/>
      </c>
      <c r="H237" s="13" t="str">
        <f aca="false">IFERROR(IF($B237="","",$D237-$N237),"")</f>
        <v/>
      </c>
      <c r="I237" s="12" t="str">
        <f aca="false">IFERROR(IF(OR($B237="",$D237=0,$D237=""),"",$H237/$D237),"")</f>
        <v/>
      </c>
      <c r="J237" s="76" t="n">
        <f aca="false">$J$2</f>
        <v>0.25</v>
      </c>
      <c r="K237" s="12" t="str">
        <f aca="false">IFERROR(IF($B237="","",$E237+$J237),"")</f>
        <v/>
      </c>
      <c r="L237" s="11" t="str">
        <f aca="false">IFERROR(IF(OR($B237="",$C237=0,$C237=""),"",$I237+ROW()*0.0000001),"")</f>
        <v/>
      </c>
      <c r="M237" s="77" t="n">
        <f aca="false">$M$2</f>
        <v>0.9319</v>
      </c>
      <c r="N237" s="13" t="str">
        <f aca="false">IFERROR(IF($B237="","",$C237+$M237),"")</f>
        <v/>
      </c>
    </row>
    <row r="238" customFormat="false" ht="15" hidden="false" customHeight="true" outlineLevel="0" collapsed="false">
      <c r="A238" s="70" t="str">
        <f aca="false">IFERROR(IF(المنيو!$B238="","",المنيو!$A238),"")</f>
        <v/>
      </c>
      <c r="B238" s="70" t="n">
        <f aca="false">IFERROR(المنيو!$B238,"")</f>
        <v>0</v>
      </c>
      <c r="C238" s="13" t="str">
        <f aca="false">IFERROR(IF($B238="","",SUMIFS(الريسبي!$F$2:$F$1800,الريسبي!$A$2:$A$1800,$B238)),"")</f>
        <v/>
      </c>
      <c r="D238" s="71" t="str">
        <f aca="false">IFERROR(IF($B238="","",المنيو!$C238),"")</f>
        <v/>
      </c>
      <c r="E238" s="12" t="str">
        <f aca="false">IFERROR(IF(OR($B238="",$D238=0,$D238=""),"",$N238/$D238),"")</f>
        <v/>
      </c>
      <c r="F238" s="76" t="n">
        <f aca="false">$F$2</f>
        <v>0.375</v>
      </c>
      <c r="G238" s="13" t="str">
        <f aca="false">IFERROR(IF($B238="","",$N238/$F238),"")</f>
        <v/>
      </c>
      <c r="H238" s="13" t="str">
        <f aca="false">IFERROR(IF($B238="","",$D238-$N238),"")</f>
        <v/>
      </c>
      <c r="I238" s="12" t="str">
        <f aca="false">IFERROR(IF(OR($B238="",$D238=0,$D238=""),"",$H238/$D238),"")</f>
        <v/>
      </c>
      <c r="J238" s="76" t="n">
        <f aca="false">$J$2</f>
        <v>0.25</v>
      </c>
      <c r="K238" s="12" t="str">
        <f aca="false">IFERROR(IF($B238="","",$E238+$J238),"")</f>
        <v/>
      </c>
      <c r="L238" s="11" t="str">
        <f aca="false">IFERROR(IF(OR($B238="",$C238=0,$C238=""),"",$I238+ROW()*0.0000001),"")</f>
        <v/>
      </c>
      <c r="M238" s="77" t="n">
        <f aca="false">$M$2</f>
        <v>0.9319</v>
      </c>
      <c r="N238" s="13" t="str">
        <f aca="false">IFERROR(IF($B238="","",$C238+$M238),"")</f>
        <v/>
      </c>
    </row>
    <row r="239" customFormat="false" ht="15" hidden="false" customHeight="true" outlineLevel="0" collapsed="false">
      <c r="A239" s="70" t="str">
        <f aca="false">IFERROR(IF(المنيو!$B239="","",المنيو!$A239),"")</f>
        <v/>
      </c>
      <c r="B239" s="70" t="n">
        <f aca="false">IFERROR(المنيو!$B239,"")</f>
        <v>0</v>
      </c>
      <c r="C239" s="13" t="str">
        <f aca="false">IFERROR(IF($B239="","",SUMIFS(الريسبي!$F$2:$F$1800,الريسبي!$A$2:$A$1800,$B239)),"")</f>
        <v/>
      </c>
      <c r="D239" s="71" t="str">
        <f aca="false">IFERROR(IF($B239="","",المنيو!$C239),"")</f>
        <v/>
      </c>
      <c r="E239" s="12" t="str">
        <f aca="false">IFERROR(IF(OR($B239="",$D239=0,$D239=""),"",$N239/$D239),"")</f>
        <v/>
      </c>
      <c r="F239" s="76" t="n">
        <f aca="false">$F$2</f>
        <v>0.375</v>
      </c>
      <c r="G239" s="13" t="str">
        <f aca="false">IFERROR(IF($B239="","",$N239/$F239),"")</f>
        <v/>
      </c>
      <c r="H239" s="13" t="str">
        <f aca="false">IFERROR(IF($B239="","",$D239-$N239),"")</f>
        <v/>
      </c>
      <c r="I239" s="12" t="str">
        <f aca="false">IFERROR(IF(OR($B239="",$D239=0,$D239=""),"",$H239/$D239),"")</f>
        <v/>
      </c>
      <c r="J239" s="76" t="n">
        <f aca="false">$J$2</f>
        <v>0.25</v>
      </c>
      <c r="K239" s="12" t="str">
        <f aca="false">IFERROR(IF($B239="","",$E239+$J239),"")</f>
        <v/>
      </c>
      <c r="L239" s="11" t="str">
        <f aca="false">IFERROR(IF(OR($B239="",$C239=0,$C239=""),"",$I239+ROW()*0.0000001),"")</f>
        <v/>
      </c>
      <c r="M239" s="77" t="n">
        <f aca="false">$M$2</f>
        <v>0.9319</v>
      </c>
      <c r="N239" s="13" t="str">
        <f aca="false">IFERROR(IF($B239="","",$C239+$M239),"")</f>
        <v/>
      </c>
    </row>
    <row r="240" customFormat="false" ht="15" hidden="false" customHeight="true" outlineLevel="0" collapsed="false">
      <c r="A240" s="70" t="str">
        <f aca="false">IFERROR(IF(المنيو!$B240="","",المنيو!$A240),"")</f>
        <v/>
      </c>
      <c r="B240" s="70" t="n">
        <f aca="false">IFERROR(المنيو!$B240,"")</f>
        <v>0</v>
      </c>
      <c r="C240" s="13" t="str">
        <f aca="false">IFERROR(IF($B240="","",SUMIFS(الريسبي!$F$2:$F$1800,الريسبي!$A$2:$A$1800,$B240)),"")</f>
        <v/>
      </c>
      <c r="D240" s="71" t="str">
        <f aca="false">IFERROR(IF($B240="","",المنيو!$C240),"")</f>
        <v/>
      </c>
      <c r="E240" s="12" t="str">
        <f aca="false">IFERROR(IF(OR($B240="",$D240=0,$D240=""),"",$N240/$D240),"")</f>
        <v/>
      </c>
      <c r="F240" s="76" t="n">
        <f aca="false">$F$2</f>
        <v>0.375</v>
      </c>
      <c r="G240" s="13" t="str">
        <f aca="false">IFERROR(IF($B240="","",$N240/$F240),"")</f>
        <v/>
      </c>
      <c r="H240" s="13" t="str">
        <f aca="false">IFERROR(IF($B240="","",$D240-$N240),"")</f>
        <v/>
      </c>
      <c r="I240" s="12" t="str">
        <f aca="false">IFERROR(IF(OR($B240="",$D240=0,$D240=""),"",$H240/$D240),"")</f>
        <v/>
      </c>
      <c r="J240" s="76" t="n">
        <f aca="false">$J$2</f>
        <v>0.25</v>
      </c>
      <c r="K240" s="12" t="str">
        <f aca="false">IFERROR(IF($B240="","",$E240+$J240),"")</f>
        <v/>
      </c>
      <c r="L240" s="11" t="str">
        <f aca="false">IFERROR(IF(OR($B240="",$C240=0,$C240=""),"",$I240+ROW()*0.0000001),"")</f>
        <v/>
      </c>
      <c r="M240" s="77" t="n">
        <f aca="false">$M$2</f>
        <v>0.9319</v>
      </c>
      <c r="N240" s="13" t="str">
        <f aca="false">IFERROR(IF($B240="","",$C240+$M240),"")</f>
        <v/>
      </c>
    </row>
    <row r="241" customFormat="false" ht="15" hidden="false" customHeight="true" outlineLevel="0" collapsed="false">
      <c r="A241" s="70" t="str">
        <f aca="false">IFERROR(IF(المنيو!$B241="","",المنيو!$A241),"")</f>
        <v/>
      </c>
      <c r="B241" s="70" t="n">
        <f aca="false">IFERROR(المنيو!$B241,"")</f>
        <v>0</v>
      </c>
      <c r="C241" s="13" t="str">
        <f aca="false">IFERROR(IF($B241="","",SUMIFS(الريسبي!$F$2:$F$1800,الريسبي!$A$2:$A$1800,$B241)),"")</f>
        <v/>
      </c>
      <c r="D241" s="71" t="str">
        <f aca="false">IFERROR(IF($B241="","",المنيو!$C241),"")</f>
        <v/>
      </c>
      <c r="E241" s="12" t="str">
        <f aca="false">IFERROR(IF(OR($B241="",$D241=0,$D241=""),"",$N241/$D241),"")</f>
        <v/>
      </c>
      <c r="F241" s="76" t="n">
        <f aca="false">$F$2</f>
        <v>0.375</v>
      </c>
      <c r="G241" s="13" t="str">
        <f aca="false">IFERROR(IF($B241="","",$N241/$F241),"")</f>
        <v/>
      </c>
      <c r="H241" s="13" t="str">
        <f aca="false">IFERROR(IF($B241="","",$D241-$N241),"")</f>
        <v/>
      </c>
      <c r="I241" s="12" t="str">
        <f aca="false">IFERROR(IF(OR($B241="",$D241=0,$D241=""),"",$H241/$D241),"")</f>
        <v/>
      </c>
      <c r="J241" s="76" t="n">
        <f aca="false">$J$2</f>
        <v>0.25</v>
      </c>
      <c r="K241" s="12" t="str">
        <f aca="false">IFERROR(IF($B241="","",$E241+$J241),"")</f>
        <v/>
      </c>
      <c r="L241" s="11" t="str">
        <f aca="false">IFERROR(IF(OR($B241="",$C241=0,$C241=""),"",$I241+ROW()*0.0000001),"")</f>
        <v/>
      </c>
      <c r="M241" s="77" t="n">
        <f aca="false">$M$2</f>
        <v>0.9319</v>
      </c>
      <c r="N241" s="13" t="str">
        <f aca="false">IFERROR(IF($B241="","",$C241+$M241),"")</f>
        <v/>
      </c>
    </row>
    <row r="242" customFormat="false" ht="15" hidden="false" customHeight="true" outlineLevel="0" collapsed="false">
      <c r="A242" s="70" t="str">
        <f aca="false">IFERROR(IF(المنيو!$B242="","",المنيو!$A242),"")</f>
        <v/>
      </c>
      <c r="B242" s="70" t="n">
        <f aca="false">IFERROR(المنيو!$B242,"")</f>
        <v>0</v>
      </c>
      <c r="C242" s="13" t="str">
        <f aca="false">IFERROR(IF($B242="","",SUMIFS(الريسبي!$F$2:$F$1800,الريسبي!$A$2:$A$1800,$B242)),"")</f>
        <v/>
      </c>
      <c r="D242" s="71" t="str">
        <f aca="false">IFERROR(IF($B242="","",المنيو!$C242),"")</f>
        <v/>
      </c>
      <c r="E242" s="12" t="str">
        <f aca="false">IFERROR(IF(OR($B242="",$D242=0,$D242=""),"",$N242/$D242),"")</f>
        <v/>
      </c>
      <c r="F242" s="76" t="n">
        <f aca="false">$F$2</f>
        <v>0.375</v>
      </c>
      <c r="G242" s="13" t="str">
        <f aca="false">IFERROR(IF($B242="","",$N242/$F242),"")</f>
        <v/>
      </c>
      <c r="H242" s="13" t="str">
        <f aca="false">IFERROR(IF($B242="","",$D242-$N242),"")</f>
        <v/>
      </c>
      <c r="I242" s="12" t="str">
        <f aca="false">IFERROR(IF(OR($B242="",$D242=0,$D242=""),"",$H242/$D242),"")</f>
        <v/>
      </c>
      <c r="J242" s="76" t="n">
        <f aca="false">$J$2</f>
        <v>0.25</v>
      </c>
      <c r="K242" s="12" t="str">
        <f aca="false">IFERROR(IF($B242="","",$E242+$J242),"")</f>
        <v/>
      </c>
      <c r="L242" s="11" t="str">
        <f aca="false">IFERROR(IF(OR($B242="",$C242=0,$C242=""),"",$I242+ROW()*0.0000001),"")</f>
        <v/>
      </c>
      <c r="M242" s="77" t="n">
        <f aca="false">$M$2</f>
        <v>0.9319</v>
      </c>
      <c r="N242" s="13" t="str">
        <f aca="false">IFERROR(IF($B242="","",$C242+$M242),"")</f>
        <v/>
      </c>
    </row>
    <row r="243" customFormat="false" ht="15" hidden="false" customHeight="true" outlineLevel="0" collapsed="false">
      <c r="A243" s="70" t="str">
        <f aca="false">IFERROR(IF(المنيو!$B243="","",المنيو!$A243),"")</f>
        <v/>
      </c>
      <c r="B243" s="70" t="n">
        <f aca="false">IFERROR(المنيو!$B243,"")</f>
        <v>0</v>
      </c>
      <c r="C243" s="13" t="str">
        <f aca="false">IFERROR(IF($B243="","",SUMIFS(الريسبي!$F$2:$F$1800,الريسبي!$A$2:$A$1800,$B243)),"")</f>
        <v/>
      </c>
      <c r="D243" s="71" t="str">
        <f aca="false">IFERROR(IF($B243="","",المنيو!$C243),"")</f>
        <v/>
      </c>
      <c r="E243" s="12" t="str">
        <f aca="false">IFERROR(IF(OR($B243="",$D243=0,$D243=""),"",$N243/$D243),"")</f>
        <v/>
      </c>
      <c r="F243" s="76" t="n">
        <f aca="false">$F$2</f>
        <v>0.375</v>
      </c>
      <c r="G243" s="13" t="str">
        <f aca="false">IFERROR(IF($B243="","",$N243/$F243),"")</f>
        <v/>
      </c>
      <c r="H243" s="13" t="str">
        <f aca="false">IFERROR(IF($B243="","",$D243-$N243),"")</f>
        <v/>
      </c>
      <c r="I243" s="12" t="str">
        <f aca="false">IFERROR(IF(OR($B243="",$D243=0,$D243=""),"",$H243/$D243),"")</f>
        <v/>
      </c>
      <c r="J243" s="76" t="n">
        <f aca="false">$J$2</f>
        <v>0.25</v>
      </c>
      <c r="K243" s="12" t="str">
        <f aca="false">IFERROR(IF($B243="","",$E243+$J243),"")</f>
        <v/>
      </c>
      <c r="L243" s="11" t="str">
        <f aca="false">IFERROR(IF(OR($B243="",$C243=0,$C243=""),"",$I243+ROW()*0.0000001),"")</f>
        <v/>
      </c>
      <c r="M243" s="77" t="n">
        <f aca="false">$M$2</f>
        <v>0.9319</v>
      </c>
      <c r="N243" s="13" t="str">
        <f aca="false">IFERROR(IF($B243="","",$C243+$M243),"")</f>
        <v/>
      </c>
    </row>
    <row r="244" customFormat="false" ht="15" hidden="false" customHeight="true" outlineLevel="0" collapsed="false">
      <c r="A244" s="70" t="str">
        <f aca="false">IFERROR(IF(المنيو!$B244="","",المنيو!$A244),"")</f>
        <v/>
      </c>
      <c r="B244" s="70" t="n">
        <f aca="false">IFERROR(المنيو!$B244,"")</f>
        <v>0</v>
      </c>
      <c r="C244" s="13" t="str">
        <f aca="false">IFERROR(IF($B244="","",SUMIFS(الريسبي!$F$2:$F$1800,الريسبي!$A$2:$A$1800,$B244)),"")</f>
        <v/>
      </c>
      <c r="D244" s="71" t="str">
        <f aca="false">IFERROR(IF($B244="","",المنيو!$C244),"")</f>
        <v/>
      </c>
      <c r="E244" s="12" t="str">
        <f aca="false">IFERROR(IF(OR($B244="",$D244=0,$D244=""),"",$N244/$D244),"")</f>
        <v/>
      </c>
      <c r="F244" s="76" t="n">
        <f aca="false">$F$2</f>
        <v>0.375</v>
      </c>
      <c r="G244" s="13" t="str">
        <f aca="false">IFERROR(IF($B244="","",$N244/$F244),"")</f>
        <v/>
      </c>
      <c r="H244" s="13" t="str">
        <f aca="false">IFERROR(IF($B244="","",$D244-$N244),"")</f>
        <v/>
      </c>
      <c r="I244" s="12" t="str">
        <f aca="false">IFERROR(IF(OR($B244="",$D244=0,$D244=""),"",$H244/$D244),"")</f>
        <v/>
      </c>
      <c r="J244" s="76" t="n">
        <f aca="false">$J$2</f>
        <v>0.25</v>
      </c>
      <c r="K244" s="12" t="str">
        <f aca="false">IFERROR(IF($B244="","",$E244+$J244),"")</f>
        <v/>
      </c>
      <c r="L244" s="11" t="str">
        <f aca="false">IFERROR(IF(OR($B244="",$C244=0,$C244=""),"",$I244+ROW()*0.0000001),"")</f>
        <v/>
      </c>
      <c r="M244" s="77" t="n">
        <f aca="false">$M$2</f>
        <v>0.9319</v>
      </c>
      <c r="N244" s="13" t="str">
        <f aca="false">IFERROR(IF($B244="","",$C244+$M244),"")</f>
        <v/>
      </c>
    </row>
    <row r="245" customFormat="false" ht="15" hidden="false" customHeight="true" outlineLevel="0" collapsed="false">
      <c r="A245" s="70" t="str">
        <f aca="false">IFERROR(IF(المنيو!$B245="","",المنيو!$A245),"")</f>
        <v/>
      </c>
      <c r="B245" s="70" t="n">
        <f aca="false">IFERROR(المنيو!$B245,"")</f>
        <v>0</v>
      </c>
      <c r="C245" s="13" t="str">
        <f aca="false">IFERROR(IF($B245="","",SUMIFS(الريسبي!$F$2:$F$1800,الريسبي!$A$2:$A$1800,$B245)),"")</f>
        <v/>
      </c>
      <c r="D245" s="71" t="str">
        <f aca="false">IFERROR(IF($B245="","",المنيو!$C245),"")</f>
        <v/>
      </c>
      <c r="E245" s="12" t="str">
        <f aca="false">IFERROR(IF(OR($B245="",$D245=0,$D245=""),"",$N245/$D245),"")</f>
        <v/>
      </c>
      <c r="F245" s="76" t="n">
        <f aca="false">$F$2</f>
        <v>0.375</v>
      </c>
      <c r="G245" s="13" t="str">
        <f aca="false">IFERROR(IF($B245="","",$N245/$F245),"")</f>
        <v/>
      </c>
      <c r="H245" s="13" t="str">
        <f aca="false">IFERROR(IF($B245="","",$D245-$N245),"")</f>
        <v/>
      </c>
      <c r="I245" s="12" t="str">
        <f aca="false">IFERROR(IF(OR($B245="",$D245=0,$D245=""),"",$H245/$D245),"")</f>
        <v/>
      </c>
      <c r="J245" s="76" t="n">
        <f aca="false">$J$2</f>
        <v>0.25</v>
      </c>
      <c r="K245" s="12" t="str">
        <f aca="false">IFERROR(IF($B245="","",$E245+$J245),"")</f>
        <v/>
      </c>
      <c r="L245" s="11" t="str">
        <f aca="false">IFERROR(IF(OR($B245="",$C245=0,$C245=""),"",$I245+ROW()*0.0000001),"")</f>
        <v/>
      </c>
      <c r="M245" s="77" t="n">
        <f aca="false">$M$2</f>
        <v>0.9319</v>
      </c>
      <c r="N245" s="13" t="str">
        <f aca="false">IFERROR(IF($B245="","",$C245+$M245),"")</f>
        <v/>
      </c>
    </row>
    <row r="246" customFormat="false" ht="15" hidden="false" customHeight="true" outlineLevel="0" collapsed="false">
      <c r="A246" s="70" t="str">
        <f aca="false">IFERROR(IF(المنيو!$B246="","",المنيو!$A246),"")</f>
        <v/>
      </c>
      <c r="B246" s="70" t="n">
        <f aca="false">IFERROR(المنيو!$B246,"")</f>
        <v>0</v>
      </c>
      <c r="C246" s="13" t="str">
        <f aca="false">IFERROR(IF($B246="","",SUMIFS(الريسبي!$F$2:$F$1800,الريسبي!$A$2:$A$1800,$B246)),"")</f>
        <v/>
      </c>
      <c r="D246" s="71" t="str">
        <f aca="false">IFERROR(IF($B246="","",المنيو!$C246),"")</f>
        <v/>
      </c>
      <c r="E246" s="12" t="str">
        <f aca="false">IFERROR(IF(OR($B246="",$D246=0,$D246=""),"",$N246/$D246),"")</f>
        <v/>
      </c>
      <c r="F246" s="76" t="n">
        <f aca="false">$F$2</f>
        <v>0.375</v>
      </c>
      <c r="G246" s="13" t="str">
        <f aca="false">IFERROR(IF($B246="","",$N246/$F246),"")</f>
        <v/>
      </c>
      <c r="H246" s="13" t="str">
        <f aca="false">IFERROR(IF($B246="","",$D246-$N246),"")</f>
        <v/>
      </c>
      <c r="I246" s="12" t="str">
        <f aca="false">IFERROR(IF(OR($B246="",$D246=0,$D246=""),"",$H246/$D246),"")</f>
        <v/>
      </c>
      <c r="J246" s="76" t="n">
        <f aca="false">$J$2</f>
        <v>0.25</v>
      </c>
      <c r="K246" s="12" t="str">
        <f aca="false">IFERROR(IF($B246="","",$E246+$J246),"")</f>
        <v/>
      </c>
      <c r="L246" s="11" t="str">
        <f aca="false">IFERROR(IF(OR($B246="",$C246=0,$C246=""),"",$I246+ROW()*0.0000001),"")</f>
        <v/>
      </c>
      <c r="M246" s="77" t="n">
        <f aca="false">$M$2</f>
        <v>0.9319</v>
      </c>
      <c r="N246" s="13" t="str">
        <f aca="false">IFERROR(IF($B246="","",$C246+$M246),"")</f>
        <v/>
      </c>
    </row>
    <row r="247" customFormat="false" ht="15" hidden="false" customHeight="true" outlineLevel="0" collapsed="false">
      <c r="A247" s="70" t="str">
        <f aca="false">IFERROR(IF(المنيو!$B247="","",المنيو!$A247),"")</f>
        <v/>
      </c>
      <c r="B247" s="70" t="n">
        <f aca="false">IFERROR(المنيو!$B247,"")</f>
        <v>0</v>
      </c>
      <c r="C247" s="13" t="str">
        <f aca="false">IFERROR(IF($B247="","",SUMIFS(الريسبي!$F$2:$F$1800,الريسبي!$A$2:$A$1800,$B247)),"")</f>
        <v/>
      </c>
      <c r="D247" s="71" t="str">
        <f aca="false">IFERROR(IF($B247="","",المنيو!$C247),"")</f>
        <v/>
      </c>
      <c r="E247" s="12" t="str">
        <f aca="false">IFERROR(IF(OR($B247="",$D247=0,$D247=""),"",$N247/$D247),"")</f>
        <v/>
      </c>
      <c r="F247" s="76" t="n">
        <f aca="false">$F$2</f>
        <v>0.375</v>
      </c>
      <c r="G247" s="13" t="str">
        <f aca="false">IFERROR(IF($B247="","",$N247/$F247),"")</f>
        <v/>
      </c>
      <c r="H247" s="13" t="str">
        <f aca="false">IFERROR(IF($B247="","",$D247-$N247),"")</f>
        <v/>
      </c>
      <c r="I247" s="12" t="str">
        <f aca="false">IFERROR(IF(OR($B247="",$D247=0,$D247=""),"",$H247/$D247),"")</f>
        <v/>
      </c>
      <c r="J247" s="76" t="n">
        <f aca="false">$J$2</f>
        <v>0.25</v>
      </c>
      <c r="K247" s="12" t="str">
        <f aca="false">IFERROR(IF($B247="","",$E247+$J247),"")</f>
        <v/>
      </c>
      <c r="L247" s="11" t="str">
        <f aca="false">IFERROR(IF(OR($B247="",$C247=0,$C247=""),"",$I247+ROW()*0.0000001),"")</f>
        <v/>
      </c>
      <c r="M247" s="77" t="n">
        <f aca="false">$M$2</f>
        <v>0.9319</v>
      </c>
      <c r="N247" s="13" t="str">
        <f aca="false">IFERROR(IF($B247="","",$C247+$M247),"")</f>
        <v/>
      </c>
    </row>
    <row r="248" customFormat="false" ht="15" hidden="false" customHeight="true" outlineLevel="0" collapsed="false">
      <c r="A248" s="70" t="str">
        <f aca="false">IFERROR(IF(المنيو!$B248="","",المنيو!$A248),"")</f>
        <v/>
      </c>
      <c r="B248" s="70" t="n">
        <f aca="false">IFERROR(المنيو!$B248,"")</f>
        <v>0</v>
      </c>
      <c r="C248" s="13" t="str">
        <f aca="false">IFERROR(IF($B248="","",SUMIFS(الريسبي!$F$2:$F$1800,الريسبي!$A$2:$A$1800,$B248)),"")</f>
        <v/>
      </c>
      <c r="D248" s="71" t="str">
        <f aca="false">IFERROR(IF($B248="","",المنيو!$C248),"")</f>
        <v/>
      </c>
      <c r="E248" s="12" t="str">
        <f aca="false">IFERROR(IF(OR($B248="",$D248=0,$D248=""),"",$N248/$D248),"")</f>
        <v/>
      </c>
      <c r="F248" s="76" t="n">
        <f aca="false">$F$2</f>
        <v>0.375</v>
      </c>
      <c r="G248" s="13" t="str">
        <f aca="false">IFERROR(IF($B248="","",$N248/$F248),"")</f>
        <v/>
      </c>
      <c r="H248" s="13" t="str">
        <f aca="false">IFERROR(IF($B248="","",$D248-$N248),"")</f>
        <v/>
      </c>
      <c r="I248" s="12" t="str">
        <f aca="false">IFERROR(IF(OR($B248="",$D248=0,$D248=""),"",$H248/$D248),"")</f>
        <v/>
      </c>
      <c r="J248" s="76" t="n">
        <f aca="false">$J$2</f>
        <v>0.25</v>
      </c>
      <c r="K248" s="12" t="str">
        <f aca="false">IFERROR(IF($B248="","",$E248+$J248),"")</f>
        <v/>
      </c>
      <c r="L248" s="11" t="str">
        <f aca="false">IFERROR(IF(OR($B248="",$C248=0,$C248=""),"",$I248+ROW()*0.0000001),"")</f>
        <v/>
      </c>
      <c r="M248" s="77" t="n">
        <f aca="false">$M$2</f>
        <v>0.9319</v>
      </c>
      <c r="N248" s="13" t="str">
        <f aca="false">IFERROR(IF($B248="","",$C248+$M248),"")</f>
        <v/>
      </c>
    </row>
    <row r="249" customFormat="false" ht="15" hidden="false" customHeight="true" outlineLevel="0" collapsed="false">
      <c r="A249" s="70" t="str">
        <f aca="false">IFERROR(IF(المنيو!$B249="","",المنيو!$A249),"")</f>
        <v/>
      </c>
      <c r="B249" s="70" t="n">
        <f aca="false">IFERROR(المنيو!$B249,"")</f>
        <v>0</v>
      </c>
      <c r="C249" s="13" t="str">
        <f aca="false">IFERROR(IF($B249="","",SUMIFS(الريسبي!$F$2:$F$1800,الريسبي!$A$2:$A$1800,$B249)),"")</f>
        <v/>
      </c>
      <c r="D249" s="71" t="str">
        <f aca="false">IFERROR(IF($B249="","",المنيو!$C249),"")</f>
        <v/>
      </c>
      <c r="E249" s="12" t="str">
        <f aca="false">IFERROR(IF(OR($B249="",$D249=0,$D249=""),"",$N249/$D249),"")</f>
        <v/>
      </c>
      <c r="F249" s="76" t="n">
        <f aca="false">$F$2</f>
        <v>0.375</v>
      </c>
      <c r="G249" s="13" t="str">
        <f aca="false">IFERROR(IF($B249="","",$N249/$F249),"")</f>
        <v/>
      </c>
      <c r="H249" s="13" t="str">
        <f aca="false">IFERROR(IF($B249="","",$D249-$N249),"")</f>
        <v/>
      </c>
      <c r="I249" s="12" t="str">
        <f aca="false">IFERROR(IF(OR($B249="",$D249=0,$D249=""),"",$H249/$D249),"")</f>
        <v/>
      </c>
      <c r="J249" s="76" t="n">
        <f aca="false">$J$2</f>
        <v>0.25</v>
      </c>
      <c r="K249" s="12" t="str">
        <f aca="false">IFERROR(IF($B249="","",$E249+$J249),"")</f>
        <v/>
      </c>
      <c r="L249" s="11" t="str">
        <f aca="false">IFERROR(IF(OR($B249="",$C249=0,$C249=""),"",$I249+ROW()*0.0000001),"")</f>
        <v/>
      </c>
      <c r="M249" s="77" t="n">
        <f aca="false">$M$2</f>
        <v>0.9319</v>
      </c>
      <c r="N249" s="13" t="str">
        <f aca="false">IFERROR(IF($B249="","",$C249+$M249),"")</f>
        <v/>
      </c>
    </row>
    <row r="250" customFormat="false" ht="15" hidden="false" customHeight="true" outlineLevel="0" collapsed="false">
      <c r="A250" s="70" t="str">
        <f aca="false">IFERROR(IF(المنيو!$B250="","",المنيو!$A250),"")</f>
        <v/>
      </c>
      <c r="B250" s="70" t="n">
        <f aca="false">IFERROR(المنيو!$B250,"")</f>
        <v>0</v>
      </c>
      <c r="C250" s="13" t="str">
        <f aca="false">IFERROR(IF($B250="","",SUMIFS(الريسبي!$F$2:$F$1800,الريسبي!$A$2:$A$1800,$B250)),"")</f>
        <v/>
      </c>
      <c r="D250" s="71" t="str">
        <f aca="false">IFERROR(IF($B250="","",المنيو!$C250),"")</f>
        <v/>
      </c>
      <c r="E250" s="12" t="str">
        <f aca="false">IFERROR(IF(OR($B250="",$D250=0,$D250=""),"",$N250/$D250),"")</f>
        <v/>
      </c>
      <c r="F250" s="76" t="n">
        <f aca="false">$F$2</f>
        <v>0.375</v>
      </c>
      <c r="G250" s="13" t="str">
        <f aca="false">IFERROR(IF($B250="","",$N250/$F250),"")</f>
        <v/>
      </c>
      <c r="H250" s="13" t="str">
        <f aca="false">IFERROR(IF($B250="","",$D250-$N250),"")</f>
        <v/>
      </c>
      <c r="I250" s="12" t="str">
        <f aca="false">IFERROR(IF(OR($B250="",$D250=0,$D250=""),"",$H250/$D250),"")</f>
        <v/>
      </c>
      <c r="J250" s="76" t="n">
        <f aca="false">$J$2</f>
        <v>0.25</v>
      </c>
      <c r="K250" s="12" t="str">
        <f aca="false">IFERROR(IF($B250="","",$E250+$J250),"")</f>
        <v/>
      </c>
      <c r="L250" s="11" t="str">
        <f aca="false">IFERROR(IF(OR($B250="",$C250=0,$C250=""),"",$I250+ROW()*0.0000001),"")</f>
        <v/>
      </c>
      <c r="M250" s="77" t="n">
        <f aca="false">$M$2</f>
        <v>0.9319</v>
      </c>
      <c r="N250" s="13" t="str">
        <f aca="false">IFERROR(IF($B250="","",$C250+$M250),"")</f>
        <v/>
      </c>
    </row>
    <row r="251" customFormat="false" ht="15" hidden="false" customHeight="true" outlineLevel="0" collapsed="false">
      <c r="A251" s="70" t="str">
        <f aca="false">IFERROR(IF(المنيو!$B251="","",المنيو!$A251),"")</f>
        <v/>
      </c>
      <c r="B251" s="70" t="n">
        <f aca="false">IFERROR(المنيو!$B251,"")</f>
        <v>0</v>
      </c>
      <c r="C251" s="13" t="str">
        <f aca="false">IFERROR(IF($B251="","",SUMIFS(الريسبي!$F$2:$F$1800,الريسبي!$A$2:$A$1800,$B251)),"")</f>
        <v/>
      </c>
      <c r="D251" s="71" t="str">
        <f aca="false">IFERROR(IF($B251="","",المنيو!$C251),"")</f>
        <v/>
      </c>
      <c r="E251" s="12" t="str">
        <f aca="false">IFERROR(IF(OR($B251="",$D251=0,$D251=""),"",$N251/$D251),"")</f>
        <v/>
      </c>
      <c r="F251" s="76" t="n">
        <f aca="false">$F$2</f>
        <v>0.375</v>
      </c>
      <c r="G251" s="13" t="str">
        <f aca="false">IFERROR(IF($B251="","",$N251/$F251),"")</f>
        <v/>
      </c>
      <c r="H251" s="13" t="str">
        <f aca="false">IFERROR(IF($B251="","",$D251-$N251),"")</f>
        <v/>
      </c>
      <c r="I251" s="12" t="str">
        <f aca="false">IFERROR(IF(OR($B251="",$D251=0,$D251=""),"",$H251/$D251),"")</f>
        <v/>
      </c>
      <c r="J251" s="76" t="n">
        <f aca="false">$J$2</f>
        <v>0.25</v>
      </c>
      <c r="K251" s="12" t="str">
        <f aca="false">IFERROR(IF($B251="","",$E251+$J251),"")</f>
        <v/>
      </c>
      <c r="L251" s="11" t="str">
        <f aca="false">IFERROR(IF(OR($B251="",$C251=0,$C251=""),"",$I251+ROW()*0.0000001),"")</f>
        <v/>
      </c>
      <c r="M251" s="77" t="n">
        <f aca="false">$M$2</f>
        <v>0.9319</v>
      </c>
      <c r="N251" s="13" t="str">
        <f aca="false">IFERROR(IF($B251="","",$C251+$M251),"")</f>
        <v/>
      </c>
    </row>
    <row r="252" customFormat="false" ht="15" hidden="false" customHeight="true" outlineLevel="0" collapsed="false">
      <c r="A252" s="70" t="str">
        <f aca="false">IFERROR(IF(المنيو!$B252="","",المنيو!$A252),"")</f>
        <v/>
      </c>
      <c r="B252" s="70" t="n">
        <f aca="false">IFERROR(المنيو!$B252,"")</f>
        <v>0</v>
      </c>
      <c r="C252" s="13" t="str">
        <f aca="false">IFERROR(IF($B252="","",SUMIFS(الريسبي!$F$2:$F$1800,الريسبي!$A$2:$A$1800,$B252)),"")</f>
        <v/>
      </c>
      <c r="D252" s="71" t="str">
        <f aca="false">IFERROR(IF($B252="","",المنيو!$C252),"")</f>
        <v/>
      </c>
      <c r="E252" s="12" t="str">
        <f aca="false">IFERROR(IF(OR($B252="",$D252=0,$D252=""),"",$N252/$D252),"")</f>
        <v/>
      </c>
      <c r="F252" s="76" t="n">
        <f aca="false">$F$2</f>
        <v>0.375</v>
      </c>
      <c r="G252" s="13" t="str">
        <f aca="false">IFERROR(IF($B252="","",$N252/$F252),"")</f>
        <v/>
      </c>
      <c r="H252" s="13" t="str">
        <f aca="false">IFERROR(IF($B252="","",$D252-$N252),"")</f>
        <v/>
      </c>
      <c r="I252" s="12" t="str">
        <f aca="false">IFERROR(IF(OR($B252="",$D252=0,$D252=""),"",$H252/$D252),"")</f>
        <v/>
      </c>
      <c r="J252" s="76" t="n">
        <f aca="false">$J$2</f>
        <v>0.25</v>
      </c>
      <c r="K252" s="12" t="str">
        <f aca="false">IFERROR(IF($B252="","",$E252+$J252),"")</f>
        <v/>
      </c>
      <c r="L252" s="11" t="str">
        <f aca="false">IFERROR(IF(OR($B252="",$C252=0,$C252=""),"",$I252+ROW()*0.0000001),"")</f>
        <v/>
      </c>
      <c r="M252" s="77" t="n">
        <f aca="false">$M$2</f>
        <v>0.9319</v>
      </c>
      <c r="N252" s="13" t="str">
        <f aca="false">IFERROR(IF($B252="","",$C252+$M252),"")</f>
        <v/>
      </c>
    </row>
    <row r="253" customFormat="false" ht="15" hidden="false" customHeight="true" outlineLevel="0" collapsed="false">
      <c r="A253" s="70" t="str">
        <f aca="false">IFERROR(IF(المنيو!$B253="","",المنيو!$A253),"")</f>
        <v/>
      </c>
      <c r="B253" s="70" t="n">
        <f aca="false">IFERROR(المنيو!$B253,"")</f>
        <v>0</v>
      </c>
      <c r="C253" s="13" t="str">
        <f aca="false">IFERROR(IF($B253="","",SUMIFS(الريسبي!$F$2:$F$1800,الريسبي!$A$2:$A$1800,$B253)),"")</f>
        <v/>
      </c>
      <c r="D253" s="71" t="str">
        <f aca="false">IFERROR(IF($B253="","",المنيو!$C253),"")</f>
        <v/>
      </c>
      <c r="E253" s="12" t="str">
        <f aca="false">IFERROR(IF(OR($B253="",$D253=0,$D253=""),"",$N253/$D253),"")</f>
        <v/>
      </c>
      <c r="F253" s="76" t="n">
        <f aca="false">$F$2</f>
        <v>0.375</v>
      </c>
      <c r="G253" s="13" t="str">
        <f aca="false">IFERROR(IF($B253="","",$N253/$F253),"")</f>
        <v/>
      </c>
      <c r="H253" s="13" t="str">
        <f aca="false">IFERROR(IF($B253="","",$D253-$N253),"")</f>
        <v/>
      </c>
      <c r="I253" s="12" t="str">
        <f aca="false">IFERROR(IF(OR($B253="",$D253=0,$D253=""),"",$H253/$D253),"")</f>
        <v/>
      </c>
      <c r="J253" s="76" t="n">
        <f aca="false">$J$2</f>
        <v>0.25</v>
      </c>
      <c r="K253" s="12" t="str">
        <f aca="false">IFERROR(IF($B253="","",$E253+$J253),"")</f>
        <v/>
      </c>
      <c r="L253" s="11" t="str">
        <f aca="false">IFERROR(IF(OR($B253="",$C253=0,$C253=""),"",$I253+ROW()*0.0000001),"")</f>
        <v/>
      </c>
      <c r="M253" s="77" t="n">
        <f aca="false">$M$2</f>
        <v>0.9319</v>
      </c>
      <c r="N253" s="13" t="str">
        <f aca="false">IFERROR(IF($B253="","",$C253+$M253),"")</f>
        <v/>
      </c>
    </row>
    <row r="254" customFormat="false" ht="15" hidden="false" customHeight="true" outlineLevel="0" collapsed="false">
      <c r="A254" s="70" t="str">
        <f aca="false">IFERROR(IF(المنيو!$B254="","",المنيو!$A254),"")</f>
        <v/>
      </c>
      <c r="B254" s="70" t="n">
        <f aca="false">IFERROR(المنيو!$B254,"")</f>
        <v>0</v>
      </c>
      <c r="C254" s="13" t="str">
        <f aca="false">IFERROR(IF($B254="","",SUMIFS(الريسبي!$F$2:$F$1800,الريسبي!$A$2:$A$1800,$B254)),"")</f>
        <v/>
      </c>
      <c r="D254" s="71" t="str">
        <f aca="false">IFERROR(IF($B254="","",المنيو!$C254),"")</f>
        <v/>
      </c>
      <c r="E254" s="12" t="str">
        <f aca="false">IFERROR(IF(OR($B254="",$D254=0,$D254=""),"",$N254/$D254),"")</f>
        <v/>
      </c>
      <c r="F254" s="76" t="n">
        <f aca="false">$F$2</f>
        <v>0.375</v>
      </c>
      <c r="G254" s="13" t="str">
        <f aca="false">IFERROR(IF($B254="","",$N254/$F254),"")</f>
        <v/>
      </c>
      <c r="H254" s="13" t="str">
        <f aca="false">IFERROR(IF($B254="","",$D254-$N254),"")</f>
        <v/>
      </c>
      <c r="I254" s="12" t="str">
        <f aca="false">IFERROR(IF(OR($B254="",$D254=0,$D254=""),"",$H254/$D254),"")</f>
        <v/>
      </c>
      <c r="J254" s="76" t="n">
        <f aca="false">$J$2</f>
        <v>0.25</v>
      </c>
      <c r="K254" s="12" t="str">
        <f aca="false">IFERROR(IF($B254="","",$E254+$J254),"")</f>
        <v/>
      </c>
      <c r="L254" s="11" t="str">
        <f aca="false">IFERROR(IF(OR($B254="",$C254=0,$C254=""),"",$I254+ROW()*0.0000001),"")</f>
        <v/>
      </c>
      <c r="M254" s="77" t="n">
        <f aca="false">$M$2</f>
        <v>0.9319</v>
      </c>
      <c r="N254" s="13" t="str">
        <f aca="false">IFERROR(IF($B254="","",$C254+$M254),"")</f>
        <v/>
      </c>
    </row>
    <row r="255" customFormat="false" ht="15" hidden="false" customHeight="true" outlineLevel="0" collapsed="false">
      <c r="A255" s="70" t="str">
        <f aca="false">IFERROR(IF(المنيو!$B255="","",المنيو!$A255),"")</f>
        <v/>
      </c>
      <c r="B255" s="70" t="n">
        <f aca="false">IFERROR(المنيو!$B255,"")</f>
        <v>0</v>
      </c>
      <c r="C255" s="13" t="str">
        <f aca="false">IFERROR(IF($B255="","",SUMIFS(الريسبي!$F$2:$F$1800,الريسبي!$A$2:$A$1800,$B255)),"")</f>
        <v/>
      </c>
      <c r="D255" s="71" t="str">
        <f aca="false">IFERROR(IF($B255="","",المنيو!$C255),"")</f>
        <v/>
      </c>
      <c r="E255" s="12" t="str">
        <f aca="false">IFERROR(IF(OR($B255="",$D255=0,$D255=""),"",$N255/$D255),"")</f>
        <v/>
      </c>
      <c r="F255" s="76" t="n">
        <f aca="false">$F$2</f>
        <v>0.375</v>
      </c>
      <c r="G255" s="13" t="str">
        <f aca="false">IFERROR(IF($B255="","",$N255/$F255),"")</f>
        <v/>
      </c>
      <c r="H255" s="13" t="str">
        <f aca="false">IFERROR(IF($B255="","",$D255-$N255),"")</f>
        <v/>
      </c>
      <c r="I255" s="12" t="str">
        <f aca="false">IFERROR(IF(OR($B255="",$D255=0,$D255=""),"",$H255/$D255),"")</f>
        <v/>
      </c>
      <c r="J255" s="76" t="n">
        <f aca="false">$J$2</f>
        <v>0.25</v>
      </c>
      <c r="K255" s="12" t="str">
        <f aca="false">IFERROR(IF($B255="","",$E255+$J255),"")</f>
        <v/>
      </c>
      <c r="L255" s="11" t="str">
        <f aca="false">IFERROR(IF(OR($B255="",$C255=0,$C255=""),"",$I255+ROW()*0.0000001),"")</f>
        <v/>
      </c>
      <c r="M255" s="77" t="n">
        <f aca="false">$M$2</f>
        <v>0.9319</v>
      </c>
      <c r="N255" s="13" t="str">
        <f aca="false">IFERROR(IF($B255="","",$C255+$M255),"")</f>
        <v/>
      </c>
    </row>
    <row r="256" customFormat="false" ht="15" hidden="false" customHeight="true" outlineLevel="0" collapsed="false">
      <c r="A256" s="70" t="str">
        <f aca="false">IFERROR(IF(المنيو!$B256="","",المنيو!$A256),"")</f>
        <v/>
      </c>
      <c r="B256" s="70" t="n">
        <f aca="false">IFERROR(المنيو!$B256,"")</f>
        <v>0</v>
      </c>
      <c r="C256" s="13" t="str">
        <f aca="false">IFERROR(IF($B256="","",SUMIFS(الريسبي!$F$2:$F$1800,الريسبي!$A$2:$A$1800,$B256)),"")</f>
        <v/>
      </c>
      <c r="D256" s="71" t="str">
        <f aca="false">IFERROR(IF($B256="","",المنيو!$C256),"")</f>
        <v/>
      </c>
      <c r="E256" s="12" t="str">
        <f aca="false">IFERROR(IF(OR($B256="",$D256=0,$D256=""),"",$N256/$D256),"")</f>
        <v/>
      </c>
      <c r="F256" s="76" t="n">
        <f aca="false">$F$2</f>
        <v>0.375</v>
      </c>
      <c r="G256" s="13" t="str">
        <f aca="false">IFERROR(IF($B256="","",$N256/$F256),"")</f>
        <v/>
      </c>
      <c r="H256" s="13" t="str">
        <f aca="false">IFERROR(IF($B256="","",$D256-$N256),"")</f>
        <v/>
      </c>
      <c r="I256" s="12" t="str">
        <f aca="false">IFERROR(IF(OR($B256="",$D256=0,$D256=""),"",$H256/$D256),"")</f>
        <v/>
      </c>
      <c r="J256" s="76" t="n">
        <f aca="false">$J$2</f>
        <v>0.25</v>
      </c>
      <c r="K256" s="12" t="str">
        <f aca="false">IFERROR(IF($B256="","",$E256+$J256),"")</f>
        <v/>
      </c>
      <c r="L256" s="11" t="str">
        <f aca="false">IFERROR(IF(OR($B256="",$C256=0,$C256=""),"",$I256+ROW()*0.0000001),"")</f>
        <v/>
      </c>
      <c r="M256" s="77" t="n">
        <f aca="false">$M$2</f>
        <v>0.9319</v>
      </c>
      <c r="N256" s="13" t="str">
        <f aca="false">IFERROR(IF($B256="","",$C256+$M256),"")</f>
        <v/>
      </c>
    </row>
    <row r="257" customFormat="false" ht="15" hidden="false" customHeight="true" outlineLevel="0" collapsed="false">
      <c r="A257" s="70" t="str">
        <f aca="false">IFERROR(IF(المنيو!$B257="","",المنيو!$A257),"")</f>
        <v/>
      </c>
      <c r="B257" s="70" t="n">
        <f aca="false">IFERROR(المنيو!$B257,"")</f>
        <v>0</v>
      </c>
      <c r="C257" s="13" t="str">
        <f aca="false">IFERROR(IF($B257="","",SUMIFS(الريسبي!$F$2:$F$1800,الريسبي!$A$2:$A$1800,$B257)),"")</f>
        <v/>
      </c>
      <c r="D257" s="71" t="str">
        <f aca="false">IFERROR(IF($B257="","",المنيو!$C257),"")</f>
        <v/>
      </c>
      <c r="E257" s="12" t="str">
        <f aca="false">IFERROR(IF(OR($B257="",$D257=0,$D257=""),"",$N257/$D257),"")</f>
        <v/>
      </c>
      <c r="F257" s="76" t="n">
        <f aca="false">$F$2</f>
        <v>0.375</v>
      </c>
      <c r="G257" s="13" t="str">
        <f aca="false">IFERROR(IF($B257="","",$N257/$F257),"")</f>
        <v/>
      </c>
      <c r="H257" s="13" t="str">
        <f aca="false">IFERROR(IF($B257="","",$D257-$N257),"")</f>
        <v/>
      </c>
      <c r="I257" s="12" t="str">
        <f aca="false">IFERROR(IF(OR($B257="",$D257=0,$D257=""),"",$H257/$D257),"")</f>
        <v/>
      </c>
      <c r="J257" s="76" t="n">
        <f aca="false">$J$2</f>
        <v>0.25</v>
      </c>
      <c r="K257" s="12" t="str">
        <f aca="false">IFERROR(IF($B257="","",$E257+$J257),"")</f>
        <v/>
      </c>
      <c r="L257" s="11" t="str">
        <f aca="false">IFERROR(IF(OR($B257="",$C257=0,$C257=""),"",$I257+ROW()*0.0000001),"")</f>
        <v/>
      </c>
      <c r="M257" s="77" t="n">
        <f aca="false">$M$2</f>
        <v>0.9319</v>
      </c>
      <c r="N257" s="13" t="str">
        <f aca="false">IFERROR(IF($B257="","",$C257+$M257),"")</f>
        <v/>
      </c>
    </row>
    <row r="258" customFormat="false" ht="15" hidden="false" customHeight="true" outlineLevel="0" collapsed="false">
      <c r="A258" s="70" t="str">
        <f aca="false">IFERROR(IF(المنيو!$B258="","",المنيو!$A258),"")</f>
        <v/>
      </c>
      <c r="B258" s="70" t="n">
        <f aca="false">IFERROR(المنيو!$B258,"")</f>
        <v>0</v>
      </c>
      <c r="C258" s="13" t="str">
        <f aca="false">IFERROR(IF($B258="","",SUMIFS(الريسبي!$F$2:$F$1800,الريسبي!$A$2:$A$1800,$B258)),"")</f>
        <v/>
      </c>
      <c r="D258" s="71" t="str">
        <f aca="false">IFERROR(IF($B258="","",المنيو!$C258),"")</f>
        <v/>
      </c>
      <c r="E258" s="12" t="str">
        <f aca="false">IFERROR(IF(OR($B258="",$D258=0,$D258=""),"",$N258/$D258),"")</f>
        <v/>
      </c>
      <c r="F258" s="76" t="n">
        <f aca="false">$F$2</f>
        <v>0.375</v>
      </c>
      <c r="G258" s="13" t="str">
        <f aca="false">IFERROR(IF($B258="","",$N258/$F258),"")</f>
        <v/>
      </c>
      <c r="H258" s="13" t="str">
        <f aca="false">IFERROR(IF($B258="","",$D258-$N258),"")</f>
        <v/>
      </c>
      <c r="I258" s="12" t="str">
        <f aca="false">IFERROR(IF(OR($B258="",$D258=0,$D258=""),"",$H258/$D258),"")</f>
        <v/>
      </c>
      <c r="J258" s="76" t="n">
        <f aca="false">$J$2</f>
        <v>0.25</v>
      </c>
      <c r="K258" s="12" t="str">
        <f aca="false">IFERROR(IF($B258="","",$E258+$J258),"")</f>
        <v/>
      </c>
      <c r="L258" s="11" t="str">
        <f aca="false">IFERROR(IF(OR($B258="",$C258=0,$C258=""),"",$I258+ROW()*0.0000001),"")</f>
        <v/>
      </c>
      <c r="M258" s="77" t="n">
        <f aca="false">$M$2</f>
        <v>0.9319</v>
      </c>
      <c r="N258" s="13" t="str">
        <f aca="false">IFERROR(IF($B258="","",$C258+$M258),"")</f>
        <v/>
      </c>
    </row>
    <row r="259" customFormat="false" ht="15" hidden="false" customHeight="true" outlineLevel="0" collapsed="false">
      <c r="A259" s="70" t="str">
        <f aca="false">IFERROR(IF(المنيو!$B259="","",المنيو!$A259),"")</f>
        <v/>
      </c>
      <c r="B259" s="70" t="n">
        <f aca="false">IFERROR(المنيو!$B259,"")</f>
        <v>0</v>
      </c>
      <c r="C259" s="13" t="str">
        <f aca="false">IFERROR(IF($B259="","",SUMIFS(الريسبي!$F$2:$F$1800,الريسبي!$A$2:$A$1800,$B259)),"")</f>
        <v/>
      </c>
      <c r="D259" s="71" t="str">
        <f aca="false">IFERROR(IF($B259="","",المنيو!$C259),"")</f>
        <v/>
      </c>
      <c r="E259" s="12" t="str">
        <f aca="false">IFERROR(IF(OR($B259="",$D259=0,$D259=""),"",$N259/$D259),"")</f>
        <v/>
      </c>
      <c r="F259" s="76" t="n">
        <f aca="false">$F$2</f>
        <v>0.375</v>
      </c>
      <c r="G259" s="13" t="str">
        <f aca="false">IFERROR(IF($B259="","",$N259/$F259),"")</f>
        <v/>
      </c>
      <c r="H259" s="13" t="str">
        <f aca="false">IFERROR(IF($B259="","",$D259-$N259),"")</f>
        <v/>
      </c>
      <c r="I259" s="12" t="str">
        <f aca="false">IFERROR(IF(OR($B259="",$D259=0,$D259=""),"",$H259/$D259),"")</f>
        <v/>
      </c>
      <c r="J259" s="76" t="n">
        <f aca="false">$J$2</f>
        <v>0.25</v>
      </c>
      <c r="K259" s="12" t="str">
        <f aca="false">IFERROR(IF($B259="","",$E259+$J259),"")</f>
        <v/>
      </c>
      <c r="L259" s="11" t="str">
        <f aca="false">IFERROR(IF(OR($B259="",$C259=0,$C259=""),"",$I259+ROW()*0.0000001),"")</f>
        <v/>
      </c>
      <c r="M259" s="77" t="n">
        <f aca="false">$M$2</f>
        <v>0.9319</v>
      </c>
      <c r="N259" s="13" t="str">
        <f aca="false">IFERROR(IF($B259="","",$C259+$M259),"")</f>
        <v/>
      </c>
    </row>
    <row r="260" customFormat="false" ht="15" hidden="false" customHeight="true" outlineLevel="0" collapsed="false">
      <c r="A260" s="70" t="str">
        <f aca="false">IFERROR(IF(المنيو!$B260="","",المنيو!$A260),"")</f>
        <v/>
      </c>
      <c r="B260" s="70" t="n">
        <f aca="false">IFERROR(المنيو!$B260,"")</f>
        <v>0</v>
      </c>
      <c r="C260" s="13" t="str">
        <f aca="false">IFERROR(IF($B260="","",SUMIFS(الريسبي!$F$2:$F$1800,الريسبي!$A$2:$A$1800,$B260)),"")</f>
        <v/>
      </c>
      <c r="D260" s="71" t="str">
        <f aca="false">IFERROR(IF($B260="","",المنيو!$C260),"")</f>
        <v/>
      </c>
      <c r="E260" s="12" t="str">
        <f aca="false">IFERROR(IF(OR($B260="",$D260=0,$D260=""),"",$N260/$D260),"")</f>
        <v/>
      </c>
      <c r="F260" s="76" t="n">
        <f aca="false">$F$2</f>
        <v>0.375</v>
      </c>
      <c r="G260" s="13" t="str">
        <f aca="false">IFERROR(IF($B260="","",$N260/$F260),"")</f>
        <v/>
      </c>
      <c r="H260" s="13" t="str">
        <f aca="false">IFERROR(IF($B260="","",$D260-$N260),"")</f>
        <v/>
      </c>
      <c r="I260" s="12" t="str">
        <f aca="false">IFERROR(IF(OR($B260="",$D260=0,$D260=""),"",$H260/$D260),"")</f>
        <v/>
      </c>
      <c r="J260" s="76" t="n">
        <f aca="false">$J$2</f>
        <v>0.25</v>
      </c>
      <c r="K260" s="12" t="str">
        <f aca="false">IFERROR(IF($B260="","",$E260+$J260),"")</f>
        <v/>
      </c>
      <c r="L260" s="11" t="str">
        <f aca="false">IFERROR(IF(OR($B260="",$C260=0,$C260=""),"",$I260+ROW()*0.0000001),"")</f>
        <v/>
      </c>
      <c r="M260" s="77" t="n">
        <f aca="false">$M$2</f>
        <v>0.9319</v>
      </c>
      <c r="N260" s="13" t="str">
        <f aca="false">IFERROR(IF($B260="","",$C260+$M260),"")</f>
        <v/>
      </c>
    </row>
    <row r="261" customFormat="false" ht="15" hidden="false" customHeight="true" outlineLevel="0" collapsed="false">
      <c r="A261" s="70" t="str">
        <f aca="false">IFERROR(IF(المنيو!$B261="","",المنيو!$A261),"")</f>
        <v/>
      </c>
      <c r="B261" s="70" t="n">
        <f aca="false">IFERROR(المنيو!$B261,"")</f>
        <v>0</v>
      </c>
      <c r="C261" s="13" t="str">
        <f aca="false">IFERROR(IF($B261="","",SUMIFS(الريسبي!$F$2:$F$1800,الريسبي!$A$2:$A$1800,$B261)),"")</f>
        <v/>
      </c>
      <c r="D261" s="71" t="str">
        <f aca="false">IFERROR(IF($B261="","",المنيو!$C261),"")</f>
        <v/>
      </c>
      <c r="E261" s="12" t="str">
        <f aca="false">IFERROR(IF(OR($B261="",$D261=0,$D261=""),"",$N261/$D261),"")</f>
        <v/>
      </c>
      <c r="F261" s="76" t="n">
        <f aca="false">$F$2</f>
        <v>0.375</v>
      </c>
      <c r="G261" s="13" t="str">
        <f aca="false">IFERROR(IF($B261="","",$N261/$F261),"")</f>
        <v/>
      </c>
      <c r="H261" s="13" t="str">
        <f aca="false">IFERROR(IF($B261="","",$D261-$N261),"")</f>
        <v/>
      </c>
      <c r="I261" s="12" t="str">
        <f aca="false">IFERROR(IF(OR($B261="",$D261=0,$D261=""),"",$H261/$D261),"")</f>
        <v/>
      </c>
      <c r="J261" s="76" t="n">
        <f aca="false">$J$2</f>
        <v>0.25</v>
      </c>
      <c r="K261" s="12" t="str">
        <f aca="false">IFERROR(IF($B261="","",$E261+$J261),"")</f>
        <v/>
      </c>
      <c r="L261" s="11" t="str">
        <f aca="false">IFERROR(IF(OR($B261="",$C261=0,$C261=""),"",$I261+ROW()*0.0000001),"")</f>
        <v/>
      </c>
      <c r="M261" s="77" t="n">
        <f aca="false">$M$2</f>
        <v>0.9319</v>
      </c>
      <c r="N261" s="13" t="str">
        <f aca="false">IFERROR(IF($B261="","",$C261+$M261),"")</f>
        <v/>
      </c>
    </row>
    <row r="262" customFormat="false" ht="15" hidden="false" customHeight="true" outlineLevel="0" collapsed="false">
      <c r="A262" s="70" t="str">
        <f aca="false">IFERROR(IF(المنيو!$B262="","",المنيو!$A262),"")</f>
        <v/>
      </c>
      <c r="B262" s="70" t="n">
        <f aca="false">IFERROR(المنيو!$B262,"")</f>
        <v>0</v>
      </c>
      <c r="C262" s="13" t="str">
        <f aca="false">IFERROR(IF($B262="","",SUMIFS(الريسبي!$F$2:$F$1800,الريسبي!$A$2:$A$1800,$B262)),"")</f>
        <v/>
      </c>
      <c r="D262" s="71" t="str">
        <f aca="false">IFERROR(IF($B262="","",المنيو!$C262),"")</f>
        <v/>
      </c>
      <c r="E262" s="12" t="str">
        <f aca="false">IFERROR(IF(OR($B262="",$D262=0,$D262=""),"",$N262/$D262),"")</f>
        <v/>
      </c>
      <c r="F262" s="76" t="n">
        <f aca="false">$F$2</f>
        <v>0.375</v>
      </c>
      <c r="G262" s="13" t="str">
        <f aca="false">IFERROR(IF($B262="","",$N262/$F262),"")</f>
        <v/>
      </c>
      <c r="H262" s="13" t="str">
        <f aca="false">IFERROR(IF($B262="","",$D262-$N262),"")</f>
        <v/>
      </c>
      <c r="I262" s="12" t="str">
        <f aca="false">IFERROR(IF(OR($B262="",$D262=0,$D262=""),"",$H262/$D262),"")</f>
        <v/>
      </c>
      <c r="J262" s="76" t="n">
        <f aca="false">$J$2</f>
        <v>0.25</v>
      </c>
      <c r="K262" s="12" t="str">
        <f aca="false">IFERROR(IF($B262="","",$E262+$J262),"")</f>
        <v/>
      </c>
      <c r="L262" s="11" t="str">
        <f aca="false">IFERROR(IF(OR($B262="",$C262=0,$C262=""),"",$I262+ROW()*0.0000001),"")</f>
        <v/>
      </c>
      <c r="M262" s="77" t="n">
        <f aca="false">$M$2</f>
        <v>0.9319</v>
      </c>
      <c r="N262" s="13" t="str">
        <f aca="false">IFERROR(IF($B262="","",$C262+$M262),"")</f>
        <v/>
      </c>
    </row>
    <row r="263" customFormat="false" ht="15" hidden="false" customHeight="true" outlineLevel="0" collapsed="false">
      <c r="A263" s="70" t="str">
        <f aca="false">IFERROR(IF(المنيو!$B263="","",المنيو!$A263),"")</f>
        <v/>
      </c>
      <c r="B263" s="70" t="n">
        <f aca="false">IFERROR(المنيو!$B263,"")</f>
        <v>0</v>
      </c>
      <c r="C263" s="13" t="str">
        <f aca="false">IFERROR(IF($B263="","",SUMIFS(الريسبي!$F$2:$F$1800,الريسبي!$A$2:$A$1800,$B263)),"")</f>
        <v/>
      </c>
      <c r="D263" s="71" t="str">
        <f aca="false">IFERROR(IF($B263="","",المنيو!$C263),"")</f>
        <v/>
      </c>
      <c r="E263" s="12" t="str">
        <f aca="false">IFERROR(IF(OR($B263="",$D263=0,$D263=""),"",$N263/$D263),"")</f>
        <v/>
      </c>
      <c r="F263" s="76" t="n">
        <f aca="false">$F$2</f>
        <v>0.375</v>
      </c>
      <c r="G263" s="13" t="str">
        <f aca="false">IFERROR(IF($B263="","",$N263/$F263),"")</f>
        <v/>
      </c>
      <c r="H263" s="13" t="str">
        <f aca="false">IFERROR(IF($B263="","",$D263-$N263),"")</f>
        <v/>
      </c>
      <c r="I263" s="12" t="str">
        <f aca="false">IFERROR(IF(OR($B263="",$D263=0,$D263=""),"",$H263/$D263),"")</f>
        <v/>
      </c>
      <c r="J263" s="76" t="n">
        <f aca="false">$J$2</f>
        <v>0.25</v>
      </c>
      <c r="K263" s="12" t="str">
        <f aca="false">IFERROR(IF($B263="","",$E263+$J263),"")</f>
        <v/>
      </c>
      <c r="L263" s="11" t="str">
        <f aca="false">IFERROR(IF(OR($B263="",$C263=0,$C263=""),"",$I263+ROW()*0.0000001),"")</f>
        <v/>
      </c>
      <c r="M263" s="77" t="n">
        <f aca="false">$M$2</f>
        <v>0.9319</v>
      </c>
      <c r="N263" s="13" t="str">
        <f aca="false">IFERROR(IF($B263="","",$C263+$M263),"")</f>
        <v/>
      </c>
    </row>
    <row r="264" customFormat="false" ht="15" hidden="false" customHeight="true" outlineLevel="0" collapsed="false">
      <c r="A264" s="70" t="str">
        <f aca="false">IFERROR(IF(المنيو!$B264="","",المنيو!$A264),"")</f>
        <v/>
      </c>
      <c r="B264" s="70" t="n">
        <f aca="false">IFERROR(المنيو!$B264,"")</f>
        <v>0</v>
      </c>
      <c r="C264" s="13" t="str">
        <f aca="false">IFERROR(IF($B264="","",SUMIFS(الريسبي!$F$2:$F$1800,الريسبي!$A$2:$A$1800,$B264)),"")</f>
        <v/>
      </c>
      <c r="D264" s="71" t="str">
        <f aca="false">IFERROR(IF($B264="","",المنيو!$C264),"")</f>
        <v/>
      </c>
      <c r="E264" s="12" t="str">
        <f aca="false">IFERROR(IF(OR($B264="",$D264=0,$D264=""),"",$N264/$D264),"")</f>
        <v/>
      </c>
      <c r="F264" s="76" t="n">
        <f aca="false">$F$2</f>
        <v>0.375</v>
      </c>
      <c r="G264" s="13" t="str">
        <f aca="false">IFERROR(IF($B264="","",$N264/$F264),"")</f>
        <v/>
      </c>
      <c r="H264" s="13" t="str">
        <f aca="false">IFERROR(IF($B264="","",$D264-$N264),"")</f>
        <v/>
      </c>
      <c r="I264" s="12" t="str">
        <f aca="false">IFERROR(IF(OR($B264="",$D264=0,$D264=""),"",$H264/$D264),"")</f>
        <v/>
      </c>
      <c r="J264" s="76" t="n">
        <f aca="false">$J$2</f>
        <v>0.25</v>
      </c>
      <c r="K264" s="12" t="str">
        <f aca="false">IFERROR(IF($B264="","",$E264+$J264),"")</f>
        <v/>
      </c>
      <c r="L264" s="11" t="str">
        <f aca="false">IFERROR(IF(OR($B264="",$C264=0,$C264=""),"",$I264+ROW()*0.0000001),"")</f>
        <v/>
      </c>
      <c r="M264" s="77" t="n">
        <f aca="false">$M$2</f>
        <v>0.9319</v>
      </c>
      <c r="N264" s="13" t="str">
        <f aca="false">IFERROR(IF($B264="","",$C264+$M264),"")</f>
        <v/>
      </c>
    </row>
    <row r="265" customFormat="false" ht="15" hidden="false" customHeight="true" outlineLevel="0" collapsed="false">
      <c r="A265" s="70" t="str">
        <f aca="false">IFERROR(IF(المنيو!$B265="","",المنيو!$A265),"")</f>
        <v/>
      </c>
      <c r="B265" s="70" t="n">
        <f aca="false">IFERROR(المنيو!$B265,"")</f>
        <v>0</v>
      </c>
      <c r="C265" s="13" t="str">
        <f aca="false">IFERROR(IF($B265="","",SUMIFS(الريسبي!$F$2:$F$1800,الريسبي!$A$2:$A$1800,$B265)),"")</f>
        <v/>
      </c>
      <c r="D265" s="71" t="str">
        <f aca="false">IFERROR(IF($B265="","",المنيو!$C265),"")</f>
        <v/>
      </c>
      <c r="E265" s="12" t="str">
        <f aca="false">IFERROR(IF(OR($B265="",$D265=0,$D265=""),"",$N265/$D265),"")</f>
        <v/>
      </c>
      <c r="F265" s="76" t="n">
        <f aca="false">$F$2</f>
        <v>0.375</v>
      </c>
      <c r="G265" s="13" t="str">
        <f aca="false">IFERROR(IF($B265="","",$N265/$F265),"")</f>
        <v/>
      </c>
      <c r="H265" s="13" t="str">
        <f aca="false">IFERROR(IF($B265="","",$D265-$N265),"")</f>
        <v/>
      </c>
      <c r="I265" s="12" t="str">
        <f aca="false">IFERROR(IF(OR($B265="",$D265=0,$D265=""),"",$H265/$D265),"")</f>
        <v/>
      </c>
      <c r="J265" s="76" t="n">
        <f aca="false">$J$2</f>
        <v>0.25</v>
      </c>
      <c r="K265" s="12" t="str">
        <f aca="false">IFERROR(IF($B265="","",$E265+$J265),"")</f>
        <v/>
      </c>
      <c r="L265" s="11" t="str">
        <f aca="false">IFERROR(IF(OR($B265="",$C265=0,$C265=""),"",$I265+ROW()*0.0000001),"")</f>
        <v/>
      </c>
      <c r="M265" s="77" t="n">
        <f aca="false">$M$2</f>
        <v>0.9319</v>
      </c>
      <c r="N265" s="13" t="str">
        <f aca="false">IFERROR(IF($B265="","",$C265+$M265),"")</f>
        <v/>
      </c>
    </row>
    <row r="266" customFormat="false" ht="15" hidden="false" customHeight="true" outlineLevel="0" collapsed="false">
      <c r="A266" s="70" t="str">
        <f aca="false">IFERROR(IF(المنيو!$B266="","",المنيو!$A266),"")</f>
        <v/>
      </c>
      <c r="B266" s="70" t="n">
        <f aca="false">IFERROR(المنيو!$B266,"")</f>
        <v>0</v>
      </c>
      <c r="C266" s="13" t="str">
        <f aca="false">IFERROR(IF($B266="","",SUMIFS(الريسبي!$F$2:$F$1800,الريسبي!$A$2:$A$1800,$B266)),"")</f>
        <v/>
      </c>
      <c r="D266" s="71" t="str">
        <f aca="false">IFERROR(IF($B266="","",المنيو!$C266),"")</f>
        <v/>
      </c>
      <c r="E266" s="12" t="str">
        <f aca="false">IFERROR(IF(OR($B266="",$D266=0,$D266=""),"",$N266/$D266),"")</f>
        <v/>
      </c>
      <c r="F266" s="76" t="n">
        <f aca="false">$F$2</f>
        <v>0.375</v>
      </c>
      <c r="G266" s="13" t="str">
        <f aca="false">IFERROR(IF($B266="","",$N266/$F266),"")</f>
        <v/>
      </c>
      <c r="H266" s="13" t="str">
        <f aca="false">IFERROR(IF($B266="","",$D266-$N266),"")</f>
        <v/>
      </c>
      <c r="I266" s="12" t="str">
        <f aca="false">IFERROR(IF(OR($B266="",$D266=0,$D266=""),"",$H266/$D266),"")</f>
        <v/>
      </c>
      <c r="J266" s="76" t="n">
        <f aca="false">$J$2</f>
        <v>0.25</v>
      </c>
      <c r="K266" s="12" t="str">
        <f aca="false">IFERROR(IF($B266="","",$E266+$J266),"")</f>
        <v/>
      </c>
      <c r="L266" s="11" t="str">
        <f aca="false">IFERROR(IF(OR($B266="",$C266=0,$C266=""),"",$I266+ROW()*0.0000001),"")</f>
        <v/>
      </c>
      <c r="M266" s="77" t="n">
        <f aca="false">$M$2</f>
        <v>0.9319</v>
      </c>
      <c r="N266" s="13" t="str">
        <f aca="false">IFERROR(IF($B266="","",$C266+$M266),"")</f>
        <v/>
      </c>
    </row>
    <row r="267" customFormat="false" ht="15" hidden="false" customHeight="true" outlineLevel="0" collapsed="false">
      <c r="A267" s="70" t="str">
        <f aca="false">IFERROR(IF(المنيو!$B267="","",المنيو!$A267),"")</f>
        <v/>
      </c>
      <c r="B267" s="70" t="n">
        <f aca="false">IFERROR(المنيو!$B267,"")</f>
        <v>0</v>
      </c>
      <c r="C267" s="13" t="str">
        <f aca="false">IFERROR(IF($B267="","",SUMIFS(الريسبي!$F$2:$F$1800,الريسبي!$A$2:$A$1800,$B267)),"")</f>
        <v/>
      </c>
      <c r="D267" s="71" t="str">
        <f aca="false">IFERROR(IF($B267="","",المنيو!$C267),"")</f>
        <v/>
      </c>
      <c r="E267" s="12" t="str">
        <f aca="false">IFERROR(IF(OR($B267="",$D267=0,$D267=""),"",$N267/$D267),"")</f>
        <v/>
      </c>
      <c r="F267" s="76" t="n">
        <f aca="false">$F$2</f>
        <v>0.375</v>
      </c>
      <c r="G267" s="13" t="str">
        <f aca="false">IFERROR(IF($B267="","",$N267/$F267),"")</f>
        <v/>
      </c>
      <c r="H267" s="13" t="str">
        <f aca="false">IFERROR(IF($B267="","",$D267-$N267),"")</f>
        <v/>
      </c>
      <c r="I267" s="12" t="str">
        <f aca="false">IFERROR(IF(OR($B267="",$D267=0,$D267=""),"",$H267/$D267),"")</f>
        <v/>
      </c>
      <c r="J267" s="76" t="n">
        <f aca="false">$J$2</f>
        <v>0.25</v>
      </c>
      <c r="K267" s="12" t="str">
        <f aca="false">IFERROR(IF($B267="","",$E267+$J267),"")</f>
        <v/>
      </c>
      <c r="L267" s="11" t="str">
        <f aca="false">IFERROR(IF(OR($B267="",$C267=0,$C267=""),"",$I267+ROW()*0.0000001),"")</f>
        <v/>
      </c>
      <c r="M267" s="77" t="n">
        <f aca="false">$M$2</f>
        <v>0.9319</v>
      </c>
      <c r="N267" s="13" t="str">
        <f aca="false">IFERROR(IF($B267="","",$C267+$M267),"")</f>
        <v/>
      </c>
    </row>
    <row r="268" customFormat="false" ht="15" hidden="false" customHeight="true" outlineLevel="0" collapsed="false">
      <c r="A268" s="70" t="str">
        <f aca="false">IFERROR(IF(المنيو!$B268="","",المنيو!$A268),"")</f>
        <v/>
      </c>
      <c r="B268" s="70" t="n">
        <f aca="false">IFERROR(المنيو!$B268,"")</f>
        <v>0</v>
      </c>
      <c r="C268" s="13" t="str">
        <f aca="false">IFERROR(IF($B268="","",SUMIFS(الريسبي!$F$2:$F$1800,الريسبي!$A$2:$A$1800,$B268)),"")</f>
        <v/>
      </c>
      <c r="D268" s="71" t="str">
        <f aca="false">IFERROR(IF($B268="","",المنيو!$C268),"")</f>
        <v/>
      </c>
      <c r="E268" s="12" t="str">
        <f aca="false">IFERROR(IF(OR($B268="",$D268=0,$D268=""),"",$N268/$D268),"")</f>
        <v/>
      </c>
      <c r="F268" s="76" t="n">
        <f aca="false">$F$2</f>
        <v>0.375</v>
      </c>
      <c r="G268" s="13" t="str">
        <f aca="false">IFERROR(IF($B268="","",$N268/$F268),"")</f>
        <v/>
      </c>
      <c r="H268" s="13" t="str">
        <f aca="false">IFERROR(IF($B268="","",$D268-$N268),"")</f>
        <v/>
      </c>
      <c r="I268" s="12" t="str">
        <f aca="false">IFERROR(IF(OR($B268="",$D268=0,$D268=""),"",$H268/$D268),"")</f>
        <v/>
      </c>
      <c r="J268" s="76" t="n">
        <f aca="false">$J$2</f>
        <v>0.25</v>
      </c>
      <c r="K268" s="12" t="str">
        <f aca="false">IFERROR(IF($B268="","",$E268+$J268),"")</f>
        <v/>
      </c>
      <c r="L268" s="11" t="str">
        <f aca="false">IFERROR(IF(OR($B268="",$C268=0,$C268=""),"",$I268+ROW()*0.0000001),"")</f>
        <v/>
      </c>
      <c r="M268" s="77" t="n">
        <f aca="false">$M$2</f>
        <v>0.9319</v>
      </c>
      <c r="N268" s="13" t="str">
        <f aca="false">IFERROR(IF($B268="","",$C268+$M268),"")</f>
        <v/>
      </c>
    </row>
    <row r="269" customFormat="false" ht="15" hidden="false" customHeight="true" outlineLevel="0" collapsed="false">
      <c r="A269" s="70" t="str">
        <f aca="false">IFERROR(IF(المنيو!$B269="","",المنيو!$A269),"")</f>
        <v/>
      </c>
      <c r="B269" s="70" t="n">
        <f aca="false">IFERROR(المنيو!$B269,"")</f>
        <v>0</v>
      </c>
      <c r="C269" s="13" t="str">
        <f aca="false">IFERROR(IF($B269="","",SUMIFS(الريسبي!$F$2:$F$1800,الريسبي!$A$2:$A$1800,$B269)),"")</f>
        <v/>
      </c>
      <c r="D269" s="71" t="str">
        <f aca="false">IFERROR(IF($B269="","",المنيو!$C269),"")</f>
        <v/>
      </c>
      <c r="E269" s="12" t="str">
        <f aca="false">IFERROR(IF(OR($B269="",$D269=0,$D269=""),"",$N269/$D269),"")</f>
        <v/>
      </c>
      <c r="F269" s="76" t="n">
        <f aca="false">$F$2</f>
        <v>0.375</v>
      </c>
      <c r="G269" s="13" t="str">
        <f aca="false">IFERROR(IF($B269="","",$N269/$F269),"")</f>
        <v/>
      </c>
      <c r="H269" s="13" t="str">
        <f aca="false">IFERROR(IF($B269="","",$D269-$N269),"")</f>
        <v/>
      </c>
      <c r="I269" s="12" t="str">
        <f aca="false">IFERROR(IF(OR($B269="",$D269=0,$D269=""),"",$H269/$D269),"")</f>
        <v/>
      </c>
      <c r="J269" s="76" t="n">
        <f aca="false">$J$2</f>
        <v>0.25</v>
      </c>
      <c r="K269" s="12" t="str">
        <f aca="false">IFERROR(IF($B269="","",$E269+$J269),"")</f>
        <v/>
      </c>
      <c r="L269" s="11" t="str">
        <f aca="false">IFERROR(IF(OR($B269="",$C269=0,$C269=""),"",$I269+ROW()*0.0000001),"")</f>
        <v/>
      </c>
      <c r="M269" s="77" t="n">
        <f aca="false">$M$2</f>
        <v>0.9319</v>
      </c>
      <c r="N269" s="13" t="str">
        <f aca="false">IFERROR(IF($B269="","",$C269+$M269),"")</f>
        <v/>
      </c>
    </row>
    <row r="270" customFormat="false" ht="15" hidden="false" customHeight="true" outlineLevel="0" collapsed="false">
      <c r="A270" s="70" t="str">
        <f aca="false">IFERROR(IF(المنيو!$B270="","",المنيو!$A270),"")</f>
        <v/>
      </c>
      <c r="B270" s="70" t="n">
        <f aca="false">IFERROR(المنيو!$B270,"")</f>
        <v>0</v>
      </c>
      <c r="C270" s="13" t="str">
        <f aca="false">IFERROR(IF($B270="","",SUMIFS(الريسبي!$F$2:$F$1800,الريسبي!$A$2:$A$1800,$B270)),"")</f>
        <v/>
      </c>
      <c r="D270" s="71" t="str">
        <f aca="false">IFERROR(IF($B270="","",المنيو!$C270),"")</f>
        <v/>
      </c>
      <c r="E270" s="12" t="str">
        <f aca="false">IFERROR(IF(OR($B270="",$D270=0,$D270=""),"",$N270/$D270),"")</f>
        <v/>
      </c>
      <c r="F270" s="76" t="n">
        <f aca="false">$F$2</f>
        <v>0.375</v>
      </c>
      <c r="G270" s="13" t="str">
        <f aca="false">IFERROR(IF($B270="","",$N270/$F270),"")</f>
        <v/>
      </c>
      <c r="H270" s="13" t="str">
        <f aca="false">IFERROR(IF($B270="","",$D270-$N270),"")</f>
        <v/>
      </c>
      <c r="I270" s="12" t="str">
        <f aca="false">IFERROR(IF(OR($B270="",$D270=0,$D270=""),"",$H270/$D270),"")</f>
        <v/>
      </c>
      <c r="J270" s="76" t="n">
        <f aca="false">$J$2</f>
        <v>0.25</v>
      </c>
      <c r="K270" s="12" t="str">
        <f aca="false">IFERROR(IF($B270="","",$E270+$J270),"")</f>
        <v/>
      </c>
      <c r="L270" s="11" t="str">
        <f aca="false">IFERROR(IF(OR($B270="",$C270=0,$C270=""),"",$I270+ROW()*0.0000001),"")</f>
        <v/>
      </c>
      <c r="M270" s="77" t="n">
        <f aca="false">$M$2</f>
        <v>0.9319</v>
      </c>
      <c r="N270" s="13" t="str">
        <f aca="false">IFERROR(IF($B270="","",$C270+$M270),"")</f>
        <v/>
      </c>
    </row>
    <row r="271" customFormat="false" ht="15" hidden="false" customHeight="true" outlineLevel="0" collapsed="false">
      <c r="A271" s="70" t="str">
        <f aca="false">IFERROR(IF(المنيو!$B271="","",المنيو!$A271),"")</f>
        <v/>
      </c>
      <c r="B271" s="70" t="n">
        <f aca="false">IFERROR(المنيو!$B271,"")</f>
        <v>0</v>
      </c>
      <c r="C271" s="13" t="str">
        <f aca="false">IFERROR(IF($B271="","",SUMIFS(الريسبي!$F$2:$F$1800,الريسبي!$A$2:$A$1800,$B271)),"")</f>
        <v/>
      </c>
      <c r="D271" s="71" t="str">
        <f aca="false">IFERROR(IF($B271="","",المنيو!$C271),"")</f>
        <v/>
      </c>
      <c r="E271" s="12" t="str">
        <f aca="false">IFERROR(IF(OR($B271="",$D271=0,$D271=""),"",$N271/$D271),"")</f>
        <v/>
      </c>
      <c r="F271" s="76" t="n">
        <f aca="false">$F$2</f>
        <v>0.375</v>
      </c>
      <c r="G271" s="13" t="str">
        <f aca="false">IFERROR(IF($B271="","",$N271/$F271),"")</f>
        <v/>
      </c>
      <c r="H271" s="13" t="str">
        <f aca="false">IFERROR(IF($B271="","",$D271-$N271),"")</f>
        <v/>
      </c>
      <c r="I271" s="12" t="str">
        <f aca="false">IFERROR(IF(OR($B271="",$D271=0,$D271=""),"",$H271/$D271),"")</f>
        <v/>
      </c>
      <c r="J271" s="76" t="n">
        <f aca="false">$J$2</f>
        <v>0.25</v>
      </c>
      <c r="K271" s="12" t="str">
        <f aca="false">IFERROR(IF($B271="","",$E271+$J271),"")</f>
        <v/>
      </c>
      <c r="L271" s="11" t="str">
        <f aca="false">IFERROR(IF(OR($B271="",$C271=0,$C271=""),"",$I271+ROW()*0.0000001),"")</f>
        <v/>
      </c>
      <c r="M271" s="77" t="n">
        <f aca="false">$M$2</f>
        <v>0.9319</v>
      </c>
      <c r="N271" s="13" t="str">
        <f aca="false">IFERROR(IF($B271="","",$C271+$M271),"")</f>
        <v/>
      </c>
    </row>
    <row r="272" customFormat="false" ht="15" hidden="false" customHeight="true" outlineLevel="0" collapsed="false">
      <c r="A272" s="70" t="str">
        <f aca="false">IFERROR(IF(المنيو!$B272="","",المنيو!$A272),"")</f>
        <v/>
      </c>
      <c r="B272" s="70" t="n">
        <f aca="false">IFERROR(المنيو!$B272,"")</f>
        <v>0</v>
      </c>
      <c r="C272" s="13" t="str">
        <f aca="false">IFERROR(IF($B272="","",SUMIFS(الريسبي!$F$2:$F$1800,الريسبي!$A$2:$A$1800,$B272)),"")</f>
        <v/>
      </c>
      <c r="D272" s="71" t="str">
        <f aca="false">IFERROR(IF($B272="","",المنيو!$C272),"")</f>
        <v/>
      </c>
      <c r="E272" s="12" t="str">
        <f aca="false">IFERROR(IF(OR($B272="",$D272=0,$D272=""),"",$N272/$D272),"")</f>
        <v/>
      </c>
      <c r="F272" s="76" t="n">
        <f aca="false">$F$2</f>
        <v>0.375</v>
      </c>
      <c r="G272" s="13" t="str">
        <f aca="false">IFERROR(IF($B272="","",$N272/$F272),"")</f>
        <v/>
      </c>
      <c r="H272" s="13" t="str">
        <f aca="false">IFERROR(IF($B272="","",$D272-$N272),"")</f>
        <v/>
      </c>
      <c r="I272" s="12" t="str">
        <f aca="false">IFERROR(IF(OR($B272="",$D272=0,$D272=""),"",$H272/$D272),"")</f>
        <v/>
      </c>
      <c r="J272" s="76" t="n">
        <f aca="false">$J$2</f>
        <v>0.25</v>
      </c>
      <c r="K272" s="12" t="str">
        <f aca="false">IFERROR(IF($B272="","",$E272+$J272),"")</f>
        <v/>
      </c>
      <c r="L272" s="11" t="str">
        <f aca="false">IFERROR(IF(OR($B272="",$C272=0,$C272=""),"",$I272+ROW()*0.0000001),"")</f>
        <v/>
      </c>
      <c r="M272" s="77" t="n">
        <f aca="false">$M$2</f>
        <v>0.9319</v>
      </c>
      <c r="N272" s="13" t="str">
        <f aca="false">IFERROR(IF($B272="","",$C272+$M272),"")</f>
        <v/>
      </c>
    </row>
    <row r="273" customFormat="false" ht="15" hidden="false" customHeight="true" outlineLevel="0" collapsed="false">
      <c r="A273" s="70" t="str">
        <f aca="false">IFERROR(IF(المنيو!$B273="","",المنيو!$A273),"")</f>
        <v/>
      </c>
      <c r="B273" s="70" t="n">
        <f aca="false">IFERROR(المنيو!$B273,"")</f>
        <v>0</v>
      </c>
      <c r="C273" s="13" t="str">
        <f aca="false">IFERROR(IF($B273="","",SUMIFS(الريسبي!$F$2:$F$1800,الريسبي!$A$2:$A$1800,$B273)),"")</f>
        <v/>
      </c>
      <c r="D273" s="71" t="str">
        <f aca="false">IFERROR(IF($B273="","",المنيو!$C273),"")</f>
        <v/>
      </c>
      <c r="E273" s="12" t="str">
        <f aca="false">IFERROR(IF(OR($B273="",$D273=0,$D273=""),"",$N273/$D273),"")</f>
        <v/>
      </c>
      <c r="F273" s="76" t="n">
        <f aca="false">$F$2</f>
        <v>0.375</v>
      </c>
      <c r="G273" s="13" t="str">
        <f aca="false">IFERROR(IF($B273="","",$N273/$F273),"")</f>
        <v/>
      </c>
      <c r="H273" s="13" t="str">
        <f aca="false">IFERROR(IF($B273="","",$D273-$N273),"")</f>
        <v/>
      </c>
      <c r="I273" s="12" t="str">
        <f aca="false">IFERROR(IF(OR($B273="",$D273=0,$D273=""),"",$H273/$D273),"")</f>
        <v/>
      </c>
      <c r="J273" s="76" t="n">
        <f aca="false">$J$2</f>
        <v>0.25</v>
      </c>
      <c r="K273" s="12" t="str">
        <f aca="false">IFERROR(IF($B273="","",$E273+$J273),"")</f>
        <v/>
      </c>
      <c r="L273" s="11" t="str">
        <f aca="false">IFERROR(IF(OR($B273="",$C273=0,$C273=""),"",$I273+ROW()*0.0000001),"")</f>
        <v/>
      </c>
      <c r="M273" s="77" t="n">
        <f aca="false">$M$2</f>
        <v>0.9319</v>
      </c>
      <c r="N273" s="13" t="str">
        <f aca="false">IFERROR(IF($B273="","",$C273+$M273),"")</f>
        <v/>
      </c>
    </row>
    <row r="274" customFormat="false" ht="15" hidden="false" customHeight="true" outlineLevel="0" collapsed="false">
      <c r="A274" s="70" t="str">
        <f aca="false">IFERROR(IF(المنيو!$B274="","",المنيو!$A274),"")</f>
        <v/>
      </c>
      <c r="B274" s="70" t="n">
        <f aca="false">IFERROR(المنيو!$B274,"")</f>
        <v>0</v>
      </c>
      <c r="C274" s="13" t="str">
        <f aca="false">IFERROR(IF($B274="","",SUMIFS(الريسبي!$F$2:$F$1800,الريسبي!$A$2:$A$1800,$B274)),"")</f>
        <v/>
      </c>
      <c r="D274" s="71" t="str">
        <f aca="false">IFERROR(IF($B274="","",المنيو!$C274),"")</f>
        <v/>
      </c>
      <c r="E274" s="12" t="str">
        <f aca="false">IFERROR(IF(OR($B274="",$D274=0,$D274=""),"",$N274/$D274),"")</f>
        <v/>
      </c>
      <c r="F274" s="76" t="n">
        <f aca="false">$F$2</f>
        <v>0.375</v>
      </c>
      <c r="G274" s="13" t="str">
        <f aca="false">IFERROR(IF($B274="","",$N274/$F274),"")</f>
        <v/>
      </c>
      <c r="H274" s="13" t="str">
        <f aca="false">IFERROR(IF($B274="","",$D274-$N274),"")</f>
        <v/>
      </c>
      <c r="I274" s="12" t="str">
        <f aca="false">IFERROR(IF(OR($B274="",$D274=0,$D274=""),"",$H274/$D274),"")</f>
        <v/>
      </c>
      <c r="J274" s="76" t="n">
        <f aca="false">$J$2</f>
        <v>0.25</v>
      </c>
      <c r="K274" s="12" t="str">
        <f aca="false">IFERROR(IF($B274="","",$E274+$J274),"")</f>
        <v/>
      </c>
      <c r="L274" s="11" t="str">
        <f aca="false">IFERROR(IF(OR($B274="",$C274=0,$C274=""),"",$I274+ROW()*0.0000001),"")</f>
        <v/>
      </c>
      <c r="M274" s="77" t="n">
        <f aca="false">$M$2</f>
        <v>0.9319</v>
      </c>
      <c r="N274" s="13" t="str">
        <f aca="false">IFERROR(IF($B274="","",$C274+$M274),"")</f>
        <v/>
      </c>
    </row>
    <row r="275" customFormat="false" ht="15" hidden="false" customHeight="true" outlineLevel="0" collapsed="false">
      <c r="A275" s="70" t="str">
        <f aca="false">IFERROR(IF(المنيو!$B275="","",المنيو!$A275),"")</f>
        <v/>
      </c>
      <c r="B275" s="70" t="n">
        <f aca="false">IFERROR(المنيو!$B275,"")</f>
        <v>0</v>
      </c>
      <c r="C275" s="13" t="str">
        <f aca="false">IFERROR(IF($B275="","",SUMIFS(الريسبي!$F$2:$F$1800,الريسبي!$A$2:$A$1800,$B275)),"")</f>
        <v/>
      </c>
      <c r="D275" s="71" t="str">
        <f aca="false">IFERROR(IF($B275="","",المنيو!$C275),"")</f>
        <v/>
      </c>
      <c r="E275" s="12" t="str">
        <f aca="false">IFERROR(IF(OR($B275="",$D275=0,$D275=""),"",$N275/$D275),"")</f>
        <v/>
      </c>
      <c r="F275" s="76" t="n">
        <f aca="false">$F$2</f>
        <v>0.375</v>
      </c>
      <c r="G275" s="13" t="str">
        <f aca="false">IFERROR(IF($B275="","",$N275/$F275),"")</f>
        <v/>
      </c>
      <c r="H275" s="13" t="str">
        <f aca="false">IFERROR(IF($B275="","",$D275-$N275),"")</f>
        <v/>
      </c>
      <c r="I275" s="12" t="str">
        <f aca="false">IFERROR(IF(OR($B275="",$D275=0,$D275=""),"",$H275/$D275),"")</f>
        <v/>
      </c>
      <c r="J275" s="76" t="n">
        <f aca="false">$J$2</f>
        <v>0.25</v>
      </c>
      <c r="K275" s="12" t="str">
        <f aca="false">IFERROR(IF($B275="","",$E275+$J275),"")</f>
        <v/>
      </c>
      <c r="L275" s="11" t="str">
        <f aca="false">IFERROR(IF(OR($B275="",$C275=0,$C275=""),"",$I275+ROW()*0.0000001),"")</f>
        <v/>
      </c>
      <c r="M275" s="77" t="n">
        <f aca="false">$M$2</f>
        <v>0.9319</v>
      </c>
      <c r="N275" s="13" t="str">
        <f aca="false">IFERROR(IF($B275="","",$C275+$M275),"")</f>
        <v/>
      </c>
    </row>
    <row r="276" customFormat="false" ht="15" hidden="false" customHeight="true" outlineLevel="0" collapsed="false">
      <c r="A276" s="70" t="str">
        <f aca="false">IFERROR(IF(المنيو!$B276="","",المنيو!$A276),"")</f>
        <v/>
      </c>
      <c r="B276" s="70" t="n">
        <f aca="false">IFERROR(المنيو!$B276,"")</f>
        <v>0</v>
      </c>
      <c r="C276" s="13" t="str">
        <f aca="false">IFERROR(IF($B276="","",SUMIFS(الريسبي!$F$2:$F$1800,الريسبي!$A$2:$A$1800,$B276)),"")</f>
        <v/>
      </c>
      <c r="D276" s="71" t="str">
        <f aca="false">IFERROR(IF($B276="","",المنيو!$C276),"")</f>
        <v/>
      </c>
      <c r="E276" s="12" t="str">
        <f aca="false">IFERROR(IF(OR($B276="",$D276=0,$D276=""),"",$N276/$D276),"")</f>
        <v/>
      </c>
      <c r="F276" s="76" t="n">
        <f aca="false">$F$2</f>
        <v>0.375</v>
      </c>
      <c r="G276" s="13" t="str">
        <f aca="false">IFERROR(IF($B276="","",$N276/$F276),"")</f>
        <v/>
      </c>
      <c r="H276" s="13" t="str">
        <f aca="false">IFERROR(IF($B276="","",$D276-$N276),"")</f>
        <v/>
      </c>
      <c r="I276" s="12" t="str">
        <f aca="false">IFERROR(IF(OR($B276="",$D276=0,$D276=""),"",$H276/$D276),"")</f>
        <v/>
      </c>
      <c r="J276" s="76" t="n">
        <f aca="false">$J$2</f>
        <v>0.25</v>
      </c>
      <c r="K276" s="12" t="str">
        <f aca="false">IFERROR(IF($B276="","",$E276+$J276),"")</f>
        <v/>
      </c>
      <c r="L276" s="11" t="str">
        <f aca="false">IFERROR(IF(OR($B276="",$C276=0,$C276=""),"",$I276+ROW()*0.0000001),"")</f>
        <v/>
      </c>
      <c r="M276" s="77" t="n">
        <f aca="false">$M$2</f>
        <v>0.9319</v>
      </c>
      <c r="N276" s="13" t="str">
        <f aca="false">IFERROR(IF($B276="","",$C276+$M276),"")</f>
        <v/>
      </c>
    </row>
    <row r="277" customFormat="false" ht="15" hidden="false" customHeight="true" outlineLevel="0" collapsed="false">
      <c r="A277" s="70" t="str">
        <f aca="false">IFERROR(IF(المنيو!$B277="","",المنيو!$A277),"")</f>
        <v/>
      </c>
      <c r="B277" s="70" t="n">
        <f aca="false">IFERROR(المنيو!$B277,"")</f>
        <v>0</v>
      </c>
      <c r="C277" s="13" t="str">
        <f aca="false">IFERROR(IF($B277="","",SUMIFS(الريسبي!$F$2:$F$1800,الريسبي!$A$2:$A$1800,$B277)),"")</f>
        <v/>
      </c>
      <c r="D277" s="71" t="str">
        <f aca="false">IFERROR(IF($B277="","",المنيو!$C277),"")</f>
        <v/>
      </c>
      <c r="E277" s="12" t="str">
        <f aca="false">IFERROR(IF(OR($B277="",$D277=0,$D277=""),"",$N277/$D277),"")</f>
        <v/>
      </c>
      <c r="F277" s="76" t="n">
        <f aca="false">$F$2</f>
        <v>0.375</v>
      </c>
      <c r="G277" s="13" t="str">
        <f aca="false">IFERROR(IF($B277="","",$N277/$F277),"")</f>
        <v/>
      </c>
      <c r="H277" s="13" t="str">
        <f aca="false">IFERROR(IF($B277="","",$D277-$N277),"")</f>
        <v/>
      </c>
      <c r="I277" s="12" t="str">
        <f aca="false">IFERROR(IF(OR($B277="",$D277=0,$D277=""),"",$H277/$D277),"")</f>
        <v/>
      </c>
      <c r="J277" s="76" t="n">
        <f aca="false">$J$2</f>
        <v>0.25</v>
      </c>
      <c r="K277" s="12" t="str">
        <f aca="false">IFERROR(IF($B277="","",$E277+$J277),"")</f>
        <v/>
      </c>
      <c r="L277" s="11" t="str">
        <f aca="false">IFERROR(IF(OR($B277="",$C277=0,$C277=""),"",$I277+ROW()*0.0000001),"")</f>
        <v/>
      </c>
      <c r="M277" s="77" t="n">
        <f aca="false">$M$2</f>
        <v>0.9319</v>
      </c>
      <c r="N277" s="13" t="str">
        <f aca="false">IFERROR(IF($B277="","",$C277+$M277),"")</f>
        <v/>
      </c>
    </row>
    <row r="278" customFormat="false" ht="15" hidden="false" customHeight="true" outlineLevel="0" collapsed="false">
      <c r="A278" s="70" t="str">
        <f aca="false">IFERROR(IF(المنيو!$B278="","",المنيو!$A278),"")</f>
        <v/>
      </c>
      <c r="B278" s="70" t="n">
        <f aca="false">IFERROR(المنيو!$B278,"")</f>
        <v>0</v>
      </c>
      <c r="C278" s="13" t="str">
        <f aca="false">IFERROR(IF($B278="","",SUMIFS(الريسبي!$F$2:$F$1800,الريسبي!$A$2:$A$1800,$B278)),"")</f>
        <v/>
      </c>
      <c r="D278" s="71" t="str">
        <f aca="false">IFERROR(IF($B278="","",المنيو!$C278),"")</f>
        <v/>
      </c>
      <c r="E278" s="12" t="str">
        <f aca="false">IFERROR(IF(OR($B278="",$D278=0,$D278=""),"",$N278/$D278),"")</f>
        <v/>
      </c>
      <c r="F278" s="76" t="n">
        <f aca="false">$F$2</f>
        <v>0.375</v>
      </c>
      <c r="G278" s="13" t="str">
        <f aca="false">IFERROR(IF($B278="","",$N278/$F278),"")</f>
        <v/>
      </c>
      <c r="H278" s="13" t="str">
        <f aca="false">IFERROR(IF($B278="","",$D278-$N278),"")</f>
        <v/>
      </c>
      <c r="I278" s="12" t="str">
        <f aca="false">IFERROR(IF(OR($B278="",$D278=0,$D278=""),"",$H278/$D278),"")</f>
        <v/>
      </c>
      <c r="J278" s="76" t="n">
        <f aca="false">$J$2</f>
        <v>0.25</v>
      </c>
      <c r="K278" s="12" t="str">
        <f aca="false">IFERROR(IF($B278="","",$E278+$J278),"")</f>
        <v/>
      </c>
      <c r="L278" s="11" t="str">
        <f aca="false">IFERROR(IF(OR($B278="",$C278=0,$C278=""),"",$I278+ROW()*0.0000001),"")</f>
        <v/>
      </c>
      <c r="M278" s="77" t="n">
        <f aca="false">$M$2</f>
        <v>0.9319</v>
      </c>
      <c r="N278" s="13" t="str">
        <f aca="false">IFERROR(IF($B278="","",$C278+$M278),"")</f>
        <v/>
      </c>
    </row>
    <row r="279" customFormat="false" ht="15" hidden="false" customHeight="true" outlineLevel="0" collapsed="false">
      <c r="A279" s="70" t="str">
        <f aca="false">IFERROR(IF(المنيو!$B279="","",المنيو!$A279),"")</f>
        <v/>
      </c>
      <c r="B279" s="70" t="n">
        <f aca="false">IFERROR(المنيو!$B279,"")</f>
        <v>0</v>
      </c>
      <c r="C279" s="13" t="str">
        <f aca="false">IFERROR(IF($B279="","",SUMIFS(الريسبي!$F$2:$F$1800,الريسبي!$A$2:$A$1800,$B279)),"")</f>
        <v/>
      </c>
      <c r="D279" s="71" t="str">
        <f aca="false">IFERROR(IF($B279="","",المنيو!$C279),"")</f>
        <v/>
      </c>
      <c r="E279" s="12" t="str">
        <f aca="false">IFERROR(IF(OR($B279="",$D279=0,$D279=""),"",$N279/$D279),"")</f>
        <v/>
      </c>
      <c r="F279" s="76" t="n">
        <f aca="false">$F$2</f>
        <v>0.375</v>
      </c>
      <c r="G279" s="13" t="str">
        <f aca="false">IFERROR(IF($B279="","",$N279/$F279),"")</f>
        <v/>
      </c>
      <c r="H279" s="13" t="str">
        <f aca="false">IFERROR(IF($B279="","",$D279-$N279),"")</f>
        <v/>
      </c>
      <c r="I279" s="12" t="str">
        <f aca="false">IFERROR(IF(OR($B279="",$D279=0,$D279=""),"",$H279/$D279),"")</f>
        <v/>
      </c>
      <c r="J279" s="76" t="n">
        <f aca="false">$J$2</f>
        <v>0.25</v>
      </c>
      <c r="K279" s="12" t="str">
        <f aca="false">IFERROR(IF($B279="","",$E279+$J279),"")</f>
        <v/>
      </c>
      <c r="L279" s="11" t="str">
        <f aca="false">IFERROR(IF(OR($B279="",$C279=0,$C279=""),"",$I279+ROW()*0.0000001),"")</f>
        <v/>
      </c>
      <c r="M279" s="77" t="n">
        <f aca="false">$M$2</f>
        <v>0.9319</v>
      </c>
      <c r="N279" s="13" t="str">
        <f aca="false">IFERROR(IF($B279="","",$C279+$M279),"")</f>
        <v/>
      </c>
    </row>
    <row r="280" customFormat="false" ht="15" hidden="false" customHeight="true" outlineLevel="0" collapsed="false">
      <c r="A280" s="70" t="str">
        <f aca="false">IFERROR(IF(المنيو!$B280="","",المنيو!$A280),"")</f>
        <v/>
      </c>
      <c r="B280" s="70" t="n">
        <f aca="false">IFERROR(المنيو!$B280,"")</f>
        <v>0</v>
      </c>
      <c r="C280" s="13" t="str">
        <f aca="false">IFERROR(IF($B280="","",SUMIFS(الريسبي!$F$2:$F$1800,الريسبي!$A$2:$A$1800,$B280)),"")</f>
        <v/>
      </c>
      <c r="D280" s="71" t="str">
        <f aca="false">IFERROR(IF($B280="","",المنيو!$C280),"")</f>
        <v/>
      </c>
      <c r="E280" s="12" t="str">
        <f aca="false">IFERROR(IF(OR($B280="",$D280=0,$D280=""),"",$N280/$D280),"")</f>
        <v/>
      </c>
      <c r="F280" s="76" t="n">
        <f aca="false">$F$2</f>
        <v>0.375</v>
      </c>
      <c r="G280" s="13" t="str">
        <f aca="false">IFERROR(IF($B280="","",$N280/$F280),"")</f>
        <v/>
      </c>
      <c r="H280" s="13" t="str">
        <f aca="false">IFERROR(IF($B280="","",$D280-$N280),"")</f>
        <v/>
      </c>
      <c r="I280" s="12" t="str">
        <f aca="false">IFERROR(IF(OR($B280="",$D280=0,$D280=""),"",$H280/$D280),"")</f>
        <v/>
      </c>
      <c r="J280" s="76" t="n">
        <f aca="false">$J$2</f>
        <v>0.25</v>
      </c>
      <c r="K280" s="12" t="str">
        <f aca="false">IFERROR(IF($B280="","",$E280+$J280),"")</f>
        <v/>
      </c>
      <c r="L280" s="11" t="str">
        <f aca="false">IFERROR(IF(OR($B280="",$C280=0,$C280=""),"",$I280+ROW()*0.0000001),"")</f>
        <v/>
      </c>
      <c r="M280" s="77" t="n">
        <f aca="false">$M$2</f>
        <v>0.9319</v>
      </c>
      <c r="N280" s="13" t="str">
        <f aca="false">IFERROR(IF($B280="","",$C280+$M280),"")</f>
        <v/>
      </c>
    </row>
    <row r="281" customFormat="false" ht="15" hidden="false" customHeight="true" outlineLevel="0" collapsed="false">
      <c r="A281" s="70" t="str">
        <f aca="false">IFERROR(IF(المنيو!$B281="","",المنيو!$A281),"")</f>
        <v/>
      </c>
      <c r="B281" s="70" t="n">
        <f aca="false">IFERROR(المنيو!$B281,"")</f>
        <v>0</v>
      </c>
      <c r="C281" s="13" t="str">
        <f aca="false">IFERROR(IF($B281="","",SUMIFS(الريسبي!$F$2:$F$1800,الريسبي!$A$2:$A$1800,$B281)),"")</f>
        <v/>
      </c>
      <c r="D281" s="71" t="str">
        <f aca="false">IFERROR(IF($B281="","",المنيو!$C281),"")</f>
        <v/>
      </c>
      <c r="E281" s="12" t="str">
        <f aca="false">IFERROR(IF(OR($B281="",$D281=0,$D281=""),"",$N281/$D281),"")</f>
        <v/>
      </c>
      <c r="F281" s="76" t="n">
        <f aca="false">$F$2</f>
        <v>0.375</v>
      </c>
      <c r="G281" s="13" t="str">
        <f aca="false">IFERROR(IF($B281="","",$N281/$F281),"")</f>
        <v/>
      </c>
      <c r="H281" s="13" t="str">
        <f aca="false">IFERROR(IF($B281="","",$D281-$N281),"")</f>
        <v/>
      </c>
      <c r="I281" s="12" t="str">
        <f aca="false">IFERROR(IF(OR($B281="",$D281=0,$D281=""),"",$H281/$D281),"")</f>
        <v/>
      </c>
      <c r="J281" s="76" t="n">
        <f aca="false">$J$2</f>
        <v>0.25</v>
      </c>
      <c r="K281" s="12" t="str">
        <f aca="false">IFERROR(IF($B281="","",$E281+$J281),"")</f>
        <v/>
      </c>
      <c r="L281" s="11" t="str">
        <f aca="false">IFERROR(IF(OR($B281="",$C281=0,$C281=""),"",$I281+ROW()*0.0000001),"")</f>
        <v/>
      </c>
      <c r="M281" s="77" t="n">
        <f aca="false">$M$2</f>
        <v>0.9319</v>
      </c>
      <c r="N281" s="13" t="str">
        <f aca="false">IFERROR(IF($B281="","",$C281+$M281),"")</f>
        <v/>
      </c>
    </row>
    <row r="282" customFormat="false" ht="15" hidden="false" customHeight="true" outlineLevel="0" collapsed="false">
      <c r="A282" s="70" t="str">
        <f aca="false">IFERROR(IF(المنيو!$B282="","",المنيو!$A282),"")</f>
        <v/>
      </c>
      <c r="B282" s="70" t="n">
        <f aca="false">IFERROR(المنيو!$B282,"")</f>
        <v>0</v>
      </c>
      <c r="C282" s="13" t="str">
        <f aca="false">IFERROR(IF($B282="","",SUMIFS(الريسبي!$F$2:$F$1800,الريسبي!$A$2:$A$1800,$B282)),"")</f>
        <v/>
      </c>
      <c r="D282" s="71" t="str">
        <f aca="false">IFERROR(IF($B282="","",المنيو!$C282),"")</f>
        <v/>
      </c>
      <c r="E282" s="12" t="str">
        <f aca="false">IFERROR(IF(OR($B282="",$D282=0,$D282=""),"",$N282/$D282),"")</f>
        <v/>
      </c>
      <c r="F282" s="76" t="n">
        <f aca="false">$F$2</f>
        <v>0.375</v>
      </c>
      <c r="G282" s="13" t="str">
        <f aca="false">IFERROR(IF($B282="","",$N282/$F282),"")</f>
        <v/>
      </c>
      <c r="H282" s="13" t="str">
        <f aca="false">IFERROR(IF($B282="","",$D282-$N282),"")</f>
        <v/>
      </c>
      <c r="I282" s="12" t="str">
        <f aca="false">IFERROR(IF(OR($B282="",$D282=0,$D282=""),"",$H282/$D282),"")</f>
        <v/>
      </c>
      <c r="J282" s="76" t="n">
        <f aca="false">$J$2</f>
        <v>0.25</v>
      </c>
      <c r="K282" s="12" t="str">
        <f aca="false">IFERROR(IF($B282="","",$E282+$J282),"")</f>
        <v/>
      </c>
      <c r="L282" s="11" t="str">
        <f aca="false">IFERROR(IF(OR($B282="",$C282=0,$C282=""),"",$I282+ROW()*0.0000001),"")</f>
        <v/>
      </c>
      <c r="M282" s="77" t="n">
        <f aca="false">$M$2</f>
        <v>0.9319</v>
      </c>
      <c r="N282" s="13" t="str">
        <f aca="false">IFERROR(IF($B282="","",$C282+$M282),"")</f>
        <v/>
      </c>
    </row>
    <row r="283" customFormat="false" ht="15" hidden="false" customHeight="true" outlineLevel="0" collapsed="false">
      <c r="A283" s="70" t="str">
        <f aca="false">IFERROR(IF(المنيو!$B283="","",المنيو!$A283),"")</f>
        <v/>
      </c>
      <c r="B283" s="70" t="n">
        <f aca="false">IFERROR(المنيو!$B283,"")</f>
        <v>0</v>
      </c>
      <c r="C283" s="13" t="str">
        <f aca="false">IFERROR(IF($B283="","",SUMIFS(الريسبي!$F$2:$F$1800,الريسبي!$A$2:$A$1800,$B283)),"")</f>
        <v/>
      </c>
      <c r="D283" s="71" t="str">
        <f aca="false">IFERROR(IF($B283="","",المنيو!$C283),"")</f>
        <v/>
      </c>
      <c r="E283" s="12" t="str">
        <f aca="false">IFERROR(IF(OR($B283="",$D283=0,$D283=""),"",$N283/$D283),"")</f>
        <v/>
      </c>
      <c r="F283" s="76" t="n">
        <f aca="false">$F$2</f>
        <v>0.375</v>
      </c>
      <c r="G283" s="13" t="str">
        <f aca="false">IFERROR(IF($B283="","",$N283/$F283),"")</f>
        <v/>
      </c>
      <c r="H283" s="13" t="str">
        <f aca="false">IFERROR(IF($B283="","",$D283-$N283),"")</f>
        <v/>
      </c>
      <c r="I283" s="12" t="str">
        <f aca="false">IFERROR(IF(OR($B283="",$D283=0,$D283=""),"",$H283/$D283),"")</f>
        <v/>
      </c>
      <c r="J283" s="76" t="n">
        <f aca="false">$J$2</f>
        <v>0.25</v>
      </c>
      <c r="K283" s="12" t="str">
        <f aca="false">IFERROR(IF($B283="","",$E283+$J283),"")</f>
        <v/>
      </c>
      <c r="L283" s="11" t="str">
        <f aca="false">IFERROR(IF(OR($B283="",$C283=0,$C283=""),"",$I283+ROW()*0.0000001),"")</f>
        <v/>
      </c>
      <c r="M283" s="77" t="n">
        <f aca="false">$M$2</f>
        <v>0.9319</v>
      </c>
      <c r="N283" s="13" t="str">
        <f aca="false">IFERROR(IF($B283="","",$C283+$M283),"")</f>
        <v/>
      </c>
    </row>
    <row r="284" customFormat="false" ht="15" hidden="false" customHeight="true" outlineLevel="0" collapsed="false">
      <c r="A284" s="70" t="str">
        <f aca="false">IFERROR(IF(المنيو!$B284="","",المنيو!$A284),"")</f>
        <v/>
      </c>
      <c r="B284" s="70" t="n">
        <f aca="false">IFERROR(المنيو!$B284,"")</f>
        <v>0</v>
      </c>
      <c r="C284" s="13" t="str">
        <f aca="false">IFERROR(IF($B284="","",SUMIFS(الريسبي!$F$2:$F$1800,الريسبي!$A$2:$A$1800,$B284)),"")</f>
        <v/>
      </c>
      <c r="D284" s="71" t="str">
        <f aca="false">IFERROR(IF($B284="","",المنيو!$C284),"")</f>
        <v/>
      </c>
      <c r="E284" s="12" t="str">
        <f aca="false">IFERROR(IF(OR($B284="",$D284=0,$D284=""),"",$N284/$D284),"")</f>
        <v/>
      </c>
      <c r="F284" s="76" t="n">
        <f aca="false">$F$2</f>
        <v>0.375</v>
      </c>
      <c r="G284" s="13" t="str">
        <f aca="false">IFERROR(IF($B284="","",$N284/$F284),"")</f>
        <v/>
      </c>
      <c r="H284" s="13" t="str">
        <f aca="false">IFERROR(IF($B284="","",$D284-$N284),"")</f>
        <v/>
      </c>
      <c r="I284" s="12" t="str">
        <f aca="false">IFERROR(IF(OR($B284="",$D284=0,$D284=""),"",$H284/$D284),"")</f>
        <v/>
      </c>
      <c r="J284" s="76" t="n">
        <f aca="false">$J$2</f>
        <v>0.25</v>
      </c>
      <c r="K284" s="12" t="str">
        <f aca="false">IFERROR(IF($B284="","",$E284+$J284),"")</f>
        <v/>
      </c>
      <c r="L284" s="11" t="str">
        <f aca="false">IFERROR(IF(OR($B284="",$C284=0,$C284=""),"",$I284+ROW()*0.0000001),"")</f>
        <v/>
      </c>
      <c r="M284" s="77" t="n">
        <f aca="false">$M$2</f>
        <v>0.9319</v>
      </c>
      <c r="N284" s="13" t="str">
        <f aca="false">IFERROR(IF($B284="","",$C284+$M284),"")</f>
        <v/>
      </c>
    </row>
    <row r="285" customFormat="false" ht="15" hidden="false" customHeight="true" outlineLevel="0" collapsed="false">
      <c r="A285" s="70" t="str">
        <f aca="false">IFERROR(IF(المنيو!$B285="","",المنيو!$A285),"")</f>
        <v/>
      </c>
      <c r="B285" s="70" t="n">
        <f aca="false">IFERROR(المنيو!$B285,"")</f>
        <v>0</v>
      </c>
      <c r="C285" s="13" t="str">
        <f aca="false">IFERROR(IF($B285="","",SUMIFS(الريسبي!$F$2:$F$1800,الريسبي!$A$2:$A$1800,$B285)),"")</f>
        <v/>
      </c>
      <c r="D285" s="71" t="str">
        <f aca="false">IFERROR(IF($B285="","",المنيو!$C285),"")</f>
        <v/>
      </c>
      <c r="E285" s="12" t="str">
        <f aca="false">IFERROR(IF(OR($B285="",$D285=0,$D285=""),"",$N285/$D285),"")</f>
        <v/>
      </c>
      <c r="F285" s="76" t="n">
        <f aca="false">$F$2</f>
        <v>0.375</v>
      </c>
      <c r="G285" s="13" t="str">
        <f aca="false">IFERROR(IF($B285="","",$N285/$F285),"")</f>
        <v/>
      </c>
      <c r="H285" s="13" t="str">
        <f aca="false">IFERROR(IF($B285="","",$D285-$N285),"")</f>
        <v/>
      </c>
      <c r="I285" s="12" t="str">
        <f aca="false">IFERROR(IF(OR($B285="",$D285=0,$D285=""),"",$H285/$D285),"")</f>
        <v/>
      </c>
      <c r="J285" s="76" t="n">
        <f aca="false">$J$2</f>
        <v>0.25</v>
      </c>
      <c r="K285" s="12" t="str">
        <f aca="false">IFERROR(IF($B285="","",$E285+$J285),"")</f>
        <v/>
      </c>
      <c r="L285" s="11" t="str">
        <f aca="false">IFERROR(IF(OR($B285="",$C285=0,$C285=""),"",$I285+ROW()*0.0000001),"")</f>
        <v/>
      </c>
      <c r="M285" s="77" t="n">
        <f aca="false">$M$2</f>
        <v>0.9319</v>
      </c>
      <c r="N285" s="13" t="str">
        <f aca="false">IFERROR(IF($B285="","",$C285+$M285),"")</f>
        <v/>
      </c>
    </row>
    <row r="286" customFormat="false" ht="15" hidden="false" customHeight="true" outlineLevel="0" collapsed="false">
      <c r="A286" s="70" t="str">
        <f aca="false">IFERROR(IF(المنيو!$B286="","",المنيو!$A286),"")</f>
        <v/>
      </c>
      <c r="B286" s="70" t="n">
        <f aca="false">IFERROR(المنيو!$B286,"")</f>
        <v>0</v>
      </c>
      <c r="C286" s="13" t="str">
        <f aca="false">IFERROR(IF($B286="","",SUMIFS(الريسبي!$F$2:$F$1800,الريسبي!$A$2:$A$1800,$B286)),"")</f>
        <v/>
      </c>
      <c r="D286" s="71" t="str">
        <f aca="false">IFERROR(IF($B286="","",المنيو!$C286),"")</f>
        <v/>
      </c>
      <c r="E286" s="12" t="str">
        <f aca="false">IFERROR(IF(OR($B286="",$D286=0,$D286=""),"",$N286/$D286),"")</f>
        <v/>
      </c>
      <c r="F286" s="76" t="n">
        <f aca="false">$F$2</f>
        <v>0.375</v>
      </c>
      <c r="G286" s="13" t="str">
        <f aca="false">IFERROR(IF($B286="","",$N286/$F286),"")</f>
        <v/>
      </c>
      <c r="H286" s="13" t="str">
        <f aca="false">IFERROR(IF($B286="","",$D286-$N286),"")</f>
        <v/>
      </c>
      <c r="I286" s="12" t="str">
        <f aca="false">IFERROR(IF(OR($B286="",$D286=0,$D286=""),"",$H286/$D286),"")</f>
        <v/>
      </c>
      <c r="J286" s="76" t="n">
        <f aca="false">$J$2</f>
        <v>0.25</v>
      </c>
      <c r="K286" s="12" t="str">
        <f aca="false">IFERROR(IF($B286="","",$E286+$J286),"")</f>
        <v/>
      </c>
      <c r="L286" s="11" t="str">
        <f aca="false">IFERROR(IF(OR($B286="",$C286=0,$C286=""),"",$I286+ROW()*0.0000001),"")</f>
        <v/>
      </c>
      <c r="M286" s="77" t="n">
        <f aca="false">$M$2</f>
        <v>0.9319</v>
      </c>
      <c r="N286" s="13" t="str">
        <f aca="false">IFERROR(IF($B286="","",$C286+$M286),"")</f>
        <v/>
      </c>
    </row>
    <row r="287" customFormat="false" ht="15" hidden="false" customHeight="true" outlineLevel="0" collapsed="false">
      <c r="A287" s="70" t="str">
        <f aca="false">IFERROR(IF(المنيو!$B287="","",المنيو!$A287),"")</f>
        <v/>
      </c>
      <c r="B287" s="70" t="n">
        <f aca="false">IFERROR(المنيو!$B287,"")</f>
        <v>0</v>
      </c>
      <c r="C287" s="13" t="str">
        <f aca="false">IFERROR(IF($B287="","",SUMIFS(الريسبي!$F$2:$F$1800,الريسبي!$A$2:$A$1800,$B287)),"")</f>
        <v/>
      </c>
      <c r="D287" s="71" t="str">
        <f aca="false">IFERROR(IF($B287="","",المنيو!$C287),"")</f>
        <v/>
      </c>
      <c r="E287" s="12" t="str">
        <f aca="false">IFERROR(IF(OR($B287="",$D287=0,$D287=""),"",$N287/$D287),"")</f>
        <v/>
      </c>
      <c r="F287" s="76" t="n">
        <f aca="false">$F$2</f>
        <v>0.375</v>
      </c>
      <c r="G287" s="13" t="str">
        <f aca="false">IFERROR(IF($B287="","",$N287/$F287),"")</f>
        <v/>
      </c>
      <c r="H287" s="13" t="str">
        <f aca="false">IFERROR(IF($B287="","",$D287-$N287),"")</f>
        <v/>
      </c>
      <c r="I287" s="12" t="str">
        <f aca="false">IFERROR(IF(OR($B287="",$D287=0,$D287=""),"",$H287/$D287),"")</f>
        <v/>
      </c>
      <c r="J287" s="76" t="n">
        <f aca="false">$J$2</f>
        <v>0.25</v>
      </c>
      <c r="K287" s="12" t="str">
        <f aca="false">IFERROR(IF($B287="","",$E287+$J287),"")</f>
        <v/>
      </c>
      <c r="L287" s="11" t="str">
        <f aca="false">IFERROR(IF(OR($B287="",$C287=0,$C287=""),"",$I287+ROW()*0.0000001),"")</f>
        <v/>
      </c>
      <c r="M287" s="77" t="n">
        <f aca="false">$M$2</f>
        <v>0.9319</v>
      </c>
      <c r="N287" s="13" t="str">
        <f aca="false">IFERROR(IF($B287="","",$C287+$M287),"")</f>
        <v/>
      </c>
    </row>
    <row r="288" customFormat="false" ht="15" hidden="false" customHeight="true" outlineLevel="0" collapsed="false">
      <c r="A288" s="70" t="str">
        <f aca="false">IFERROR(IF(المنيو!$B288="","",المنيو!$A288),"")</f>
        <v/>
      </c>
      <c r="B288" s="70" t="n">
        <f aca="false">IFERROR(المنيو!$B288,"")</f>
        <v>0</v>
      </c>
      <c r="C288" s="13" t="str">
        <f aca="false">IFERROR(IF($B288="","",SUMIFS(الريسبي!$F$2:$F$1800,الريسبي!$A$2:$A$1800,$B288)),"")</f>
        <v/>
      </c>
      <c r="D288" s="71" t="str">
        <f aca="false">IFERROR(IF($B288="","",المنيو!$C288),"")</f>
        <v/>
      </c>
      <c r="E288" s="12" t="str">
        <f aca="false">IFERROR(IF(OR($B288="",$D288=0,$D288=""),"",$N288/$D288),"")</f>
        <v/>
      </c>
      <c r="F288" s="76" t="n">
        <f aca="false">$F$2</f>
        <v>0.375</v>
      </c>
      <c r="G288" s="13" t="str">
        <f aca="false">IFERROR(IF($B288="","",$N288/$F288),"")</f>
        <v/>
      </c>
      <c r="H288" s="13" t="str">
        <f aca="false">IFERROR(IF($B288="","",$D288-$N288),"")</f>
        <v/>
      </c>
      <c r="I288" s="12" t="str">
        <f aca="false">IFERROR(IF(OR($B288="",$D288=0,$D288=""),"",$H288/$D288),"")</f>
        <v/>
      </c>
      <c r="J288" s="76" t="n">
        <f aca="false">$J$2</f>
        <v>0.25</v>
      </c>
      <c r="K288" s="12" t="str">
        <f aca="false">IFERROR(IF($B288="","",$E288+$J288),"")</f>
        <v/>
      </c>
      <c r="L288" s="11" t="str">
        <f aca="false">IFERROR(IF(OR($B288="",$C288=0,$C288=""),"",$I288+ROW()*0.0000001),"")</f>
        <v/>
      </c>
      <c r="M288" s="77" t="n">
        <f aca="false">$M$2</f>
        <v>0.9319</v>
      </c>
      <c r="N288" s="13" t="str">
        <f aca="false">IFERROR(IF($B288="","",$C288+$M288),"")</f>
        <v/>
      </c>
    </row>
    <row r="289" customFormat="false" ht="15" hidden="false" customHeight="true" outlineLevel="0" collapsed="false">
      <c r="A289" s="70" t="str">
        <f aca="false">IFERROR(IF(المنيو!$B289="","",المنيو!$A289),"")</f>
        <v/>
      </c>
      <c r="B289" s="70" t="n">
        <f aca="false">IFERROR(المنيو!$B289,"")</f>
        <v>0</v>
      </c>
      <c r="C289" s="13" t="str">
        <f aca="false">IFERROR(IF($B289="","",SUMIFS(الريسبي!$F$2:$F$1800,الريسبي!$A$2:$A$1800,$B289)),"")</f>
        <v/>
      </c>
      <c r="D289" s="71" t="str">
        <f aca="false">IFERROR(IF($B289="","",المنيو!$C289),"")</f>
        <v/>
      </c>
      <c r="E289" s="12" t="str">
        <f aca="false">IFERROR(IF(OR($B289="",$D289=0,$D289=""),"",$N289/$D289),"")</f>
        <v/>
      </c>
      <c r="F289" s="76" t="n">
        <f aca="false">$F$2</f>
        <v>0.375</v>
      </c>
      <c r="G289" s="13" t="str">
        <f aca="false">IFERROR(IF($B289="","",$N289/$F289),"")</f>
        <v/>
      </c>
      <c r="H289" s="13" t="str">
        <f aca="false">IFERROR(IF($B289="","",$D289-$N289),"")</f>
        <v/>
      </c>
      <c r="I289" s="12" t="str">
        <f aca="false">IFERROR(IF(OR($B289="",$D289=0,$D289=""),"",$H289/$D289),"")</f>
        <v/>
      </c>
      <c r="J289" s="76" t="n">
        <f aca="false">$J$2</f>
        <v>0.25</v>
      </c>
      <c r="K289" s="12" t="str">
        <f aca="false">IFERROR(IF($B289="","",$E289+$J289),"")</f>
        <v/>
      </c>
      <c r="L289" s="11" t="str">
        <f aca="false">IFERROR(IF(OR($B289="",$C289=0,$C289=""),"",$I289+ROW()*0.0000001),"")</f>
        <v/>
      </c>
      <c r="M289" s="77" t="n">
        <f aca="false">$M$2</f>
        <v>0.9319</v>
      </c>
      <c r="N289" s="13" t="str">
        <f aca="false">IFERROR(IF($B289="","",$C289+$M289),"")</f>
        <v/>
      </c>
    </row>
    <row r="290" customFormat="false" ht="15" hidden="false" customHeight="true" outlineLevel="0" collapsed="false">
      <c r="A290" s="70" t="str">
        <f aca="false">IFERROR(IF(المنيو!$B290="","",المنيو!$A290),"")</f>
        <v/>
      </c>
      <c r="B290" s="70" t="n">
        <f aca="false">IFERROR(المنيو!$B290,"")</f>
        <v>0</v>
      </c>
      <c r="C290" s="13" t="str">
        <f aca="false">IFERROR(IF($B290="","",SUMIFS(الريسبي!$F$2:$F$1800,الريسبي!$A$2:$A$1800,$B290)),"")</f>
        <v/>
      </c>
      <c r="D290" s="71" t="str">
        <f aca="false">IFERROR(IF($B290="","",المنيو!$C290),"")</f>
        <v/>
      </c>
      <c r="E290" s="12" t="str">
        <f aca="false">IFERROR(IF(OR($B290="",$D290=0,$D290=""),"",$N290/$D290),"")</f>
        <v/>
      </c>
      <c r="F290" s="76" t="n">
        <f aca="false">$F$2</f>
        <v>0.375</v>
      </c>
      <c r="G290" s="13" t="str">
        <f aca="false">IFERROR(IF($B290="","",$N290/$F290),"")</f>
        <v/>
      </c>
      <c r="H290" s="13" t="str">
        <f aca="false">IFERROR(IF($B290="","",$D290-$N290),"")</f>
        <v/>
      </c>
      <c r="I290" s="12" t="str">
        <f aca="false">IFERROR(IF(OR($B290="",$D290=0,$D290=""),"",$H290/$D290),"")</f>
        <v/>
      </c>
      <c r="J290" s="76" t="n">
        <f aca="false">$J$2</f>
        <v>0.25</v>
      </c>
      <c r="K290" s="12" t="str">
        <f aca="false">IFERROR(IF($B290="","",$E290+$J290),"")</f>
        <v/>
      </c>
      <c r="L290" s="11" t="str">
        <f aca="false">IFERROR(IF(OR($B290="",$C290=0,$C290=""),"",$I290+ROW()*0.0000001),"")</f>
        <v/>
      </c>
      <c r="M290" s="77" t="n">
        <f aca="false">$M$2</f>
        <v>0.9319</v>
      </c>
      <c r="N290" s="13" t="str">
        <f aca="false">IFERROR(IF($B290="","",$C290+$M290),"")</f>
        <v/>
      </c>
    </row>
    <row r="291" customFormat="false" ht="15" hidden="false" customHeight="true" outlineLevel="0" collapsed="false">
      <c r="A291" s="70" t="str">
        <f aca="false">IFERROR(IF(المنيو!$B291="","",المنيو!$A291),"")</f>
        <v/>
      </c>
      <c r="B291" s="70" t="n">
        <f aca="false">IFERROR(المنيو!$B291,"")</f>
        <v>0</v>
      </c>
      <c r="C291" s="13" t="str">
        <f aca="false">IFERROR(IF($B291="","",SUMIFS(الريسبي!$F$2:$F$1800,الريسبي!$A$2:$A$1800,$B291)),"")</f>
        <v/>
      </c>
      <c r="D291" s="71" t="str">
        <f aca="false">IFERROR(IF($B291="","",المنيو!$C291),"")</f>
        <v/>
      </c>
      <c r="E291" s="12" t="str">
        <f aca="false">IFERROR(IF(OR($B291="",$D291=0,$D291=""),"",$N291/$D291),"")</f>
        <v/>
      </c>
      <c r="F291" s="76" t="n">
        <f aca="false">$F$2</f>
        <v>0.375</v>
      </c>
      <c r="G291" s="13" t="str">
        <f aca="false">IFERROR(IF($B291="","",$N291/$F291),"")</f>
        <v/>
      </c>
      <c r="H291" s="13" t="str">
        <f aca="false">IFERROR(IF($B291="","",$D291-$N291),"")</f>
        <v/>
      </c>
      <c r="I291" s="12" t="str">
        <f aca="false">IFERROR(IF(OR($B291="",$D291=0,$D291=""),"",$H291/$D291),"")</f>
        <v/>
      </c>
      <c r="J291" s="76" t="n">
        <f aca="false">$J$2</f>
        <v>0.25</v>
      </c>
      <c r="K291" s="12" t="str">
        <f aca="false">IFERROR(IF($B291="","",$E291+$J291),"")</f>
        <v/>
      </c>
      <c r="L291" s="11" t="str">
        <f aca="false">IFERROR(IF(OR($B291="",$C291=0,$C291=""),"",$I291+ROW()*0.0000001),"")</f>
        <v/>
      </c>
      <c r="M291" s="77" t="n">
        <f aca="false">$M$2</f>
        <v>0.9319</v>
      </c>
      <c r="N291" s="13" t="str">
        <f aca="false">IFERROR(IF($B291="","",$C291+$M291),"")</f>
        <v/>
      </c>
    </row>
    <row r="292" customFormat="false" ht="15" hidden="false" customHeight="true" outlineLevel="0" collapsed="false">
      <c r="A292" s="70" t="str">
        <f aca="false">IFERROR(IF(المنيو!$B292="","",المنيو!$A292),"")</f>
        <v/>
      </c>
      <c r="B292" s="70" t="n">
        <f aca="false">IFERROR(المنيو!$B292,"")</f>
        <v>0</v>
      </c>
      <c r="C292" s="13" t="str">
        <f aca="false">IFERROR(IF($B292="","",SUMIFS(الريسبي!$F$2:$F$1800,الريسبي!$A$2:$A$1800,$B292)),"")</f>
        <v/>
      </c>
      <c r="D292" s="71" t="str">
        <f aca="false">IFERROR(IF($B292="","",المنيو!$C292),"")</f>
        <v/>
      </c>
      <c r="E292" s="12" t="str">
        <f aca="false">IFERROR(IF(OR($B292="",$D292=0,$D292=""),"",$N292/$D292),"")</f>
        <v/>
      </c>
      <c r="F292" s="76" t="n">
        <f aca="false">$F$2</f>
        <v>0.375</v>
      </c>
      <c r="G292" s="13" t="str">
        <f aca="false">IFERROR(IF($B292="","",$N292/$F292),"")</f>
        <v/>
      </c>
      <c r="H292" s="13" t="str">
        <f aca="false">IFERROR(IF($B292="","",$D292-$N292),"")</f>
        <v/>
      </c>
      <c r="I292" s="12" t="str">
        <f aca="false">IFERROR(IF(OR($B292="",$D292=0,$D292=""),"",$H292/$D292),"")</f>
        <v/>
      </c>
      <c r="J292" s="76" t="n">
        <f aca="false">$J$2</f>
        <v>0.25</v>
      </c>
      <c r="K292" s="12" t="str">
        <f aca="false">IFERROR(IF($B292="","",$E292+$J292),"")</f>
        <v/>
      </c>
      <c r="L292" s="11" t="str">
        <f aca="false">IFERROR(IF(OR($B292="",$C292=0,$C292=""),"",$I292+ROW()*0.0000001),"")</f>
        <v/>
      </c>
      <c r="M292" s="77" t="n">
        <f aca="false">$M$2</f>
        <v>0.9319</v>
      </c>
      <c r="N292" s="13" t="str">
        <f aca="false">IFERROR(IF($B292="","",$C292+$M292),"")</f>
        <v/>
      </c>
    </row>
    <row r="293" customFormat="false" ht="15" hidden="false" customHeight="true" outlineLevel="0" collapsed="false">
      <c r="A293" s="70" t="str">
        <f aca="false">IFERROR(IF(المنيو!$B293="","",المنيو!$A293),"")</f>
        <v/>
      </c>
      <c r="B293" s="70" t="n">
        <f aca="false">IFERROR(المنيو!$B293,"")</f>
        <v>0</v>
      </c>
      <c r="C293" s="13" t="str">
        <f aca="false">IFERROR(IF($B293="","",SUMIFS(الريسبي!$F$2:$F$1800,الريسبي!$A$2:$A$1800,$B293)),"")</f>
        <v/>
      </c>
      <c r="D293" s="71" t="str">
        <f aca="false">IFERROR(IF($B293="","",المنيو!$C293),"")</f>
        <v/>
      </c>
      <c r="E293" s="12" t="str">
        <f aca="false">IFERROR(IF(OR($B293="",$D293=0,$D293=""),"",$N293/$D293),"")</f>
        <v/>
      </c>
      <c r="F293" s="76" t="n">
        <f aca="false">$F$2</f>
        <v>0.375</v>
      </c>
      <c r="G293" s="13" t="str">
        <f aca="false">IFERROR(IF($B293="","",$N293/$F293),"")</f>
        <v/>
      </c>
      <c r="H293" s="13" t="str">
        <f aca="false">IFERROR(IF($B293="","",$D293-$N293),"")</f>
        <v/>
      </c>
      <c r="I293" s="12" t="str">
        <f aca="false">IFERROR(IF(OR($B293="",$D293=0,$D293=""),"",$H293/$D293),"")</f>
        <v/>
      </c>
      <c r="J293" s="76" t="n">
        <f aca="false">$J$2</f>
        <v>0.25</v>
      </c>
      <c r="K293" s="12" t="str">
        <f aca="false">IFERROR(IF($B293="","",$E293+$J293),"")</f>
        <v/>
      </c>
      <c r="L293" s="11" t="str">
        <f aca="false">IFERROR(IF(OR($B293="",$C293=0,$C293=""),"",$I293+ROW()*0.0000001),"")</f>
        <v/>
      </c>
      <c r="M293" s="77" t="n">
        <f aca="false">$M$2</f>
        <v>0.9319</v>
      </c>
      <c r="N293" s="13" t="str">
        <f aca="false">IFERROR(IF($B293="","",$C293+$M293),"")</f>
        <v/>
      </c>
    </row>
    <row r="294" customFormat="false" ht="15" hidden="false" customHeight="true" outlineLevel="0" collapsed="false">
      <c r="A294" s="70" t="str">
        <f aca="false">IFERROR(IF(المنيو!$B294="","",المنيو!$A294),"")</f>
        <v/>
      </c>
      <c r="B294" s="70" t="n">
        <f aca="false">IFERROR(المنيو!$B294,"")</f>
        <v>0</v>
      </c>
      <c r="C294" s="13" t="str">
        <f aca="false">IFERROR(IF($B294="","",SUMIFS(الريسبي!$F$2:$F$1800,الريسبي!$A$2:$A$1800,$B294)),"")</f>
        <v/>
      </c>
      <c r="D294" s="71" t="str">
        <f aca="false">IFERROR(IF($B294="","",المنيو!$C294),"")</f>
        <v/>
      </c>
      <c r="E294" s="12" t="str">
        <f aca="false">IFERROR(IF(OR($B294="",$D294=0,$D294=""),"",$N294/$D294),"")</f>
        <v/>
      </c>
      <c r="F294" s="76" t="n">
        <f aca="false">$F$2</f>
        <v>0.375</v>
      </c>
      <c r="G294" s="13" t="str">
        <f aca="false">IFERROR(IF($B294="","",$N294/$F294),"")</f>
        <v/>
      </c>
      <c r="H294" s="13" t="str">
        <f aca="false">IFERROR(IF($B294="","",$D294-$N294),"")</f>
        <v/>
      </c>
      <c r="I294" s="12" t="str">
        <f aca="false">IFERROR(IF(OR($B294="",$D294=0,$D294=""),"",$H294/$D294),"")</f>
        <v/>
      </c>
      <c r="J294" s="76" t="n">
        <f aca="false">$J$2</f>
        <v>0.25</v>
      </c>
      <c r="K294" s="12" t="str">
        <f aca="false">IFERROR(IF($B294="","",$E294+$J294),"")</f>
        <v/>
      </c>
      <c r="L294" s="11" t="str">
        <f aca="false">IFERROR(IF(OR($B294="",$C294=0,$C294=""),"",$I294+ROW()*0.0000001),"")</f>
        <v/>
      </c>
      <c r="M294" s="77" t="n">
        <f aca="false">$M$2</f>
        <v>0.9319</v>
      </c>
      <c r="N294" s="13" t="str">
        <f aca="false">IFERROR(IF($B294="","",$C294+$M294),"")</f>
        <v/>
      </c>
    </row>
    <row r="295" customFormat="false" ht="15" hidden="false" customHeight="true" outlineLevel="0" collapsed="false">
      <c r="A295" s="70" t="str">
        <f aca="false">IFERROR(IF(المنيو!$B295="","",المنيو!$A295),"")</f>
        <v/>
      </c>
      <c r="B295" s="70" t="n">
        <f aca="false">IFERROR(المنيو!$B295,"")</f>
        <v>0</v>
      </c>
      <c r="C295" s="13" t="str">
        <f aca="false">IFERROR(IF($B295="","",SUMIFS(الريسبي!$F$2:$F$1800,الريسبي!$A$2:$A$1800,$B295)),"")</f>
        <v/>
      </c>
      <c r="D295" s="71" t="str">
        <f aca="false">IFERROR(IF($B295="","",المنيو!$C295),"")</f>
        <v/>
      </c>
      <c r="E295" s="12" t="str">
        <f aca="false">IFERROR(IF(OR($B295="",$D295=0,$D295=""),"",$N295/$D295),"")</f>
        <v/>
      </c>
      <c r="F295" s="76" t="n">
        <f aca="false">$F$2</f>
        <v>0.375</v>
      </c>
      <c r="G295" s="13" t="str">
        <f aca="false">IFERROR(IF($B295="","",$N295/$F295),"")</f>
        <v/>
      </c>
      <c r="H295" s="13" t="str">
        <f aca="false">IFERROR(IF($B295="","",$D295-$N295),"")</f>
        <v/>
      </c>
      <c r="I295" s="12" t="str">
        <f aca="false">IFERROR(IF(OR($B295="",$D295=0,$D295=""),"",$H295/$D295),"")</f>
        <v/>
      </c>
      <c r="J295" s="76" t="n">
        <f aca="false">$J$2</f>
        <v>0.25</v>
      </c>
      <c r="K295" s="12" t="str">
        <f aca="false">IFERROR(IF($B295="","",$E295+$J295),"")</f>
        <v/>
      </c>
      <c r="L295" s="11" t="str">
        <f aca="false">IFERROR(IF(OR($B295="",$C295=0,$C295=""),"",$I295+ROW()*0.0000001),"")</f>
        <v/>
      </c>
      <c r="M295" s="77" t="n">
        <f aca="false">$M$2</f>
        <v>0.9319</v>
      </c>
      <c r="N295" s="13" t="str">
        <f aca="false">IFERROR(IF($B295="","",$C295+$M295),"")</f>
        <v/>
      </c>
    </row>
    <row r="296" customFormat="false" ht="15" hidden="false" customHeight="true" outlineLevel="0" collapsed="false">
      <c r="A296" s="70" t="str">
        <f aca="false">IFERROR(IF(المنيو!$B296="","",المنيو!$A296),"")</f>
        <v/>
      </c>
      <c r="B296" s="70" t="n">
        <f aca="false">IFERROR(المنيو!$B296,"")</f>
        <v>0</v>
      </c>
      <c r="C296" s="13" t="str">
        <f aca="false">IFERROR(IF($B296="","",SUMIFS(الريسبي!$F$2:$F$1800,الريسبي!$A$2:$A$1800,$B296)),"")</f>
        <v/>
      </c>
      <c r="D296" s="71" t="str">
        <f aca="false">IFERROR(IF($B296="","",المنيو!$C296),"")</f>
        <v/>
      </c>
      <c r="E296" s="12" t="str">
        <f aca="false">IFERROR(IF(OR($B296="",$D296=0,$D296=""),"",$N296/$D296),"")</f>
        <v/>
      </c>
      <c r="F296" s="76" t="n">
        <f aca="false">$F$2</f>
        <v>0.375</v>
      </c>
      <c r="G296" s="13" t="str">
        <f aca="false">IFERROR(IF($B296="","",$N296/$F296),"")</f>
        <v/>
      </c>
      <c r="H296" s="13" t="str">
        <f aca="false">IFERROR(IF($B296="","",$D296-$N296),"")</f>
        <v/>
      </c>
      <c r="I296" s="12" t="str">
        <f aca="false">IFERROR(IF(OR($B296="",$D296=0,$D296=""),"",$H296/$D296),"")</f>
        <v/>
      </c>
      <c r="J296" s="76" t="n">
        <f aca="false">$J$2</f>
        <v>0.25</v>
      </c>
      <c r="K296" s="12" t="str">
        <f aca="false">IFERROR(IF($B296="","",$E296+$J296),"")</f>
        <v/>
      </c>
      <c r="L296" s="11" t="str">
        <f aca="false">IFERROR(IF(OR($B296="",$C296=0,$C296=""),"",$I296+ROW()*0.0000001),"")</f>
        <v/>
      </c>
      <c r="M296" s="77" t="n">
        <f aca="false">$M$2</f>
        <v>0.9319</v>
      </c>
      <c r="N296" s="13" t="str">
        <f aca="false">IFERROR(IF($B296="","",$C296+$M296),"")</f>
        <v/>
      </c>
    </row>
    <row r="297" customFormat="false" ht="15" hidden="false" customHeight="true" outlineLevel="0" collapsed="false">
      <c r="A297" s="70" t="str">
        <f aca="false">IFERROR(IF(المنيو!$B297="","",المنيو!$A297),"")</f>
        <v/>
      </c>
      <c r="B297" s="70" t="n">
        <f aca="false">IFERROR(المنيو!$B297,"")</f>
        <v>0</v>
      </c>
      <c r="C297" s="13" t="str">
        <f aca="false">IFERROR(IF($B297="","",SUMIFS(الريسبي!$F$2:$F$1800,الريسبي!$A$2:$A$1800,$B297)),"")</f>
        <v/>
      </c>
      <c r="D297" s="71" t="str">
        <f aca="false">IFERROR(IF($B297="","",المنيو!$C297),"")</f>
        <v/>
      </c>
      <c r="E297" s="12" t="str">
        <f aca="false">IFERROR(IF(OR($B297="",$D297=0,$D297=""),"",$N297/$D297),"")</f>
        <v/>
      </c>
      <c r="F297" s="76" t="n">
        <f aca="false">$F$2</f>
        <v>0.375</v>
      </c>
      <c r="G297" s="13" t="str">
        <f aca="false">IFERROR(IF($B297="","",$N297/$F297),"")</f>
        <v/>
      </c>
      <c r="H297" s="13" t="str">
        <f aca="false">IFERROR(IF($B297="","",$D297-$N297),"")</f>
        <v/>
      </c>
      <c r="I297" s="12" t="str">
        <f aca="false">IFERROR(IF(OR($B297="",$D297=0,$D297=""),"",$H297/$D297),"")</f>
        <v/>
      </c>
      <c r="J297" s="76" t="n">
        <f aca="false">$J$2</f>
        <v>0.25</v>
      </c>
      <c r="K297" s="12" t="str">
        <f aca="false">IFERROR(IF($B297="","",$E297+$J297),"")</f>
        <v/>
      </c>
      <c r="L297" s="11" t="str">
        <f aca="false">IFERROR(IF(OR($B297="",$C297=0,$C297=""),"",$I297+ROW()*0.0000001),"")</f>
        <v/>
      </c>
      <c r="M297" s="77" t="n">
        <f aca="false">$M$2</f>
        <v>0.9319</v>
      </c>
      <c r="N297" s="13" t="str">
        <f aca="false">IFERROR(IF($B297="","",$C297+$M297),"")</f>
        <v/>
      </c>
    </row>
    <row r="298" customFormat="false" ht="15" hidden="false" customHeight="true" outlineLevel="0" collapsed="false">
      <c r="A298" s="70" t="str">
        <f aca="false">IFERROR(IF(المنيو!$B298="","",المنيو!$A298),"")</f>
        <v/>
      </c>
      <c r="B298" s="70" t="n">
        <f aca="false">IFERROR(المنيو!$B298,"")</f>
        <v>0</v>
      </c>
      <c r="C298" s="13" t="str">
        <f aca="false">IFERROR(IF($B298="","",SUMIFS(الريسبي!$F$2:$F$1800,الريسبي!$A$2:$A$1800,$B298)),"")</f>
        <v/>
      </c>
      <c r="D298" s="71" t="str">
        <f aca="false">IFERROR(IF($B298="","",المنيو!$C298),"")</f>
        <v/>
      </c>
      <c r="E298" s="12" t="str">
        <f aca="false">IFERROR(IF(OR($B298="",$D298=0,$D298=""),"",$N298/$D298),"")</f>
        <v/>
      </c>
      <c r="F298" s="76" t="n">
        <f aca="false">$F$2</f>
        <v>0.375</v>
      </c>
      <c r="G298" s="13" t="str">
        <f aca="false">IFERROR(IF($B298="","",$N298/$F298),"")</f>
        <v/>
      </c>
      <c r="H298" s="13" t="str">
        <f aca="false">IFERROR(IF($B298="","",$D298-$N298),"")</f>
        <v/>
      </c>
      <c r="I298" s="12" t="str">
        <f aca="false">IFERROR(IF(OR($B298="",$D298=0,$D298=""),"",$H298/$D298),"")</f>
        <v/>
      </c>
      <c r="J298" s="76" t="n">
        <f aca="false">$J$2</f>
        <v>0.25</v>
      </c>
      <c r="K298" s="12" t="str">
        <f aca="false">IFERROR(IF($B298="","",$E298+$J298),"")</f>
        <v/>
      </c>
      <c r="L298" s="11" t="str">
        <f aca="false">IFERROR(IF(OR($B298="",$C298=0,$C298=""),"",$I298+ROW()*0.0000001),"")</f>
        <v/>
      </c>
      <c r="M298" s="77" t="n">
        <f aca="false">$M$2</f>
        <v>0.9319</v>
      </c>
      <c r="N298" s="13" t="str">
        <f aca="false">IFERROR(IF($B298="","",$C298+$M298),"")</f>
        <v/>
      </c>
    </row>
    <row r="299" customFormat="false" ht="15" hidden="false" customHeight="true" outlineLevel="0" collapsed="false">
      <c r="A299" s="70" t="str">
        <f aca="false">IFERROR(IF(المنيو!$B299="","",المنيو!$A299),"")</f>
        <v/>
      </c>
      <c r="B299" s="70" t="n">
        <f aca="false">IFERROR(المنيو!$B299,"")</f>
        <v>0</v>
      </c>
      <c r="C299" s="13" t="str">
        <f aca="false">IFERROR(IF($B299="","",SUMIFS(الريسبي!$F$2:$F$1800,الريسبي!$A$2:$A$1800,$B299)),"")</f>
        <v/>
      </c>
      <c r="D299" s="71" t="str">
        <f aca="false">IFERROR(IF($B299="","",المنيو!$C299),"")</f>
        <v/>
      </c>
      <c r="E299" s="12" t="str">
        <f aca="false">IFERROR(IF(OR($B299="",$D299=0,$D299=""),"",$N299/$D299),"")</f>
        <v/>
      </c>
      <c r="F299" s="76" t="n">
        <f aca="false">$F$2</f>
        <v>0.375</v>
      </c>
      <c r="G299" s="13" t="str">
        <f aca="false">IFERROR(IF($B299="","",$N299/$F299),"")</f>
        <v/>
      </c>
      <c r="H299" s="13" t="str">
        <f aca="false">IFERROR(IF($B299="","",$D299-$N299),"")</f>
        <v/>
      </c>
      <c r="I299" s="12" t="str">
        <f aca="false">IFERROR(IF(OR($B299="",$D299=0,$D299=""),"",$H299/$D299),"")</f>
        <v/>
      </c>
      <c r="J299" s="76" t="n">
        <f aca="false">$J$2</f>
        <v>0.25</v>
      </c>
      <c r="K299" s="12" t="str">
        <f aca="false">IFERROR(IF($B299="","",$E299+$J299),"")</f>
        <v/>
      </c>
      <c r="L299" s="11" t="str">
        <f aca="false">IFERROR(IF(OR($B299="",$C299=0,$C299=""),"",$I299+ROW()*0.0000001),"")</f>
        <v/>
      </c>
      <c r="M299" s="77" t="n">
        <f aca="false">$M$2</f>
        <v>0.9319</v>
      </c>
      <c r="N299" s="13" t="str">
        <f aca="false">IFERROR(IF($B299="","",$C299+$M299),"")</f>
        <v/>
      </c>
    </row>
  </sheetData>
  <conditionalFormatting sqref="E2:E299">
    <cfRule type="expression" priority="2" aboveAverage="0" equalAverage="0" bottom="0" percent="0" rank="0" text="" dxfId="8">
      <formula>AND($C2&gt;0,$E2&lt;=$F2)</formula>
    </cfRule>
    <cfRule type="expression" priority="3" aboveAverage="0" equalAverage="0" bottom="0" percent="0" rank="0" text="" dxfId="9">
      <formula>AND($C2&gt;0,$E2&gt;$F2,$E2&lt;=$F2+0.05)</formula>
    </cfRule>
    <cfRule type="expression" priority="4" aboveAverage="0" equalAverage="0" bottom="0" percent="0" rank="0" text="" dxfId="10">
      <formula>AND($C2&gt;0,$E2&gt;$F2+0.05)</formula>
    </cfRule>
  </conditionalFormatting>
  <conditionalFormatting sqref="K2:K299">
    <cfRule type="expression" priority="5" aboveAverage="0" equalAverage="0" bottom="0" percent="0" rank="0" text="" dxfId="8">
      <formula>AND($C2&gt;0,$K2&lt;=0.65)</formula>
    </cfRule>
    <cfRule type="expression" priority="6" aboveAverage="0" equalAverage="0" bottom="0" percent="0" rank="0" text="" dxfId="9">
      <formula>AND($C2&gt;0,$K2&gt;0.65,$K2&lt;=0.7)</formula>
    </cfRule>
    <cfRule type="expression" priority="7" aboveAverage="0" equalAverage="0" bottom="0" percent="0" rank="0" text="" dxfId="10">
      <formula>AND($C2&gt;0,$K2&gt;0.7)</formula>
    </cfRule>
  </conditionalFormatting>
  <conditionalFormatting sqref="E2:E700">
    <cfRule type="expression" priority="8" aboveAverage="0" equalAverage="0" bottom="0" percent="0" rank="0" text="" dxfId="11">
      <formula>AND($B2&lt;&gt;"",$E2&lt;=$F2)</formula>
    </cfRule>
    <cfRule type="expression" priority="9" aboveAverage="0" equalAverage="0" bottom="0" percent="0" rank="0" text="" dxfId="12">
      <formula>AND($B2&lt;&gt;"",$E2&gt;$F2,$E2&lt;=$F2*1.15)</formula>
    </cfRule>
    <cfRule type="expression" priority="10" aboveAverage="0" equalAverage="0" bottom="0" percent="0" rank="0" text="" dxfId="13">
      <formula>AND($B2&lt;&gt;"",$E2&gt;$F2*1.15)</formula>
    </cfRule>
  </conditionalFormatting>
  <conditionalFormatting sqref="K2:K700">
    <cfRule type="expression" priority="11" aboveAverage="0" equalAverage="0" bottom="0" percent="0" rank="0" text="" dxfId="11">
      <formula>AND($B2&lt;&gt;"",$K2&lt;=0.65)</formula>
    </cfRule>
    <cfRule type="expression" priority="12" aboveAverage="0" equalAverage="0" bottom="0" percent="0" rank="0" text="" dxfId="12">
      <formula>AND($B2&lt;&gt;"",$K2&gt;0.65,$K2&lt;=0.7)</formula>
    </cfRule>
    <cfRule type="expression" priority="13" aboveAverage="0" equalAverage="0" bottom="0" percent="0" rank="0" text="" dxfId="13">
      <formula>AND($B2&lt;&gt;"",$K2&gt;0.7)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12"/>
    <col collapsed="false" customWidth="true" hidden="false" outlineLevel="0" max="5" min="4" style="1" width="20"/>
  </cols>
  <sheetData>
    <row r="1" customFormat="false" ht="21.75" hidden="false" customHeight="true" outlineLevel="0" collapsed="false">
      <c r="A1" s="9" t="s">
        <v>584</v>
      </c>
      <c r="B1" s="9"/>
      <c r="C1" s="9"/>
      <c r="D1" s="9"/>
      <c r="E1" s="9"/>
    </row>
    <row r="2" customFormat="false" ht="27.75" hidden="false" customHeight="true" outlineLevel="0" collapsed="false">
      <c r="A2" s="10" t="s">
        <v>585</v>
      </c>
      <c r="B2" s="10" t="s">
        <v>586</v>
      </c>
      <c r="C2" s="10" t="s">
        <v>587</v>
      </c>
      <c r="D2" s="10" t="s">
        <v>118</v>
      </c>
      <c r="E2" s="10" t="s">
        <v>574</v>
      </c>
    </row>
    <row r="3" customFormat="false" ht="26.25" hidden="false" customHeight="true" outlineLevel="0" collapsed="false">
      <c r="A3" s="66" t="s">
        <v>588</v>
      </c>
      <c r="B3" s="66" t="s">
        <v>473</v>
      </c>
      <c r="C3" s="66" t="n">
        <v>1</v>
      </c>
      <c r="D3" s="68" t="n">
        <f aca="false">IFERROR(INDEX('تحليل التكلفة والسعر'!$N$2:$N$300,MATCH($B3,'تحليل التكلفة والسعر'!$B$2:$B$300,0)),IFERROR(INDEX(المكونات!$C$2:$C$500,MATCH($B3,المكونات!$A$2:$A$500,0)),""))</f>
        <v>38.8484</v>
      </c>
      <c r="E3" s="69" t="n">
        <f aca="false">IFERROR($C3*$D3,"")</f>
        <v>38.8484</v>
      </c>
    </row>
    <row r="4" customFormat="false" ht="26.25" hidden="false" customHeight="true" outlineLevel="0" collapsed="false">
      <c r="A4" s="66" t="s">
        <v>588</v>
      </c>
      <c r="B4" s="66" t="s">
        <v>438</v>
      </c>
      <c r="C4" s="66" t="n">
        <v>1</v>
      </c>
      <c r="D4" s="68" t="n">
        <f aca="false">IFERROR(INDEX('تحليل التكلفة والسعر'!$N$2:$N$300,MATCH($B4,'تحليل التكلفة والسعر'!$B$2:$B$300,0)),IFERROR(INDEX(المكونات!$C$2:$C$500,MATCH($B4,المكونات!$A$2:$A$500,0)),""))</f>
        <v>52.3672120833333</v>
      </c>
      <c r="E4" s="69" t="n">
        <f aca="false">IFERROR($C4*$D4,"")</f>
        <v>52.3672120833333</v>
      </c>
    </row>
    <row r="5" customFormat="false" ht="26.25" hidden="false" customHeight="true" outlineLevel="0" collapsed="false">
      <c r="A5" s="66" t="s">
        <v>589</v>
      </c>
      <c r="B5" s="66" t="s">
        <v>146</v>
      </c>
      <c r="C5" s="66" t="n">
        <v>1</v>
      </c>
      <c r="D5" s="68" t="n">
        <f aca="false">IFERROR(INDEX('تحليل التكلفة والسعر'!$N$2:$N$300,MATCH($B5,'تحليل التكلفة والسعر'!$B$2:$B$300,0)),IFERROR(INDEX(المكونات!$C$2:$C$500,MATCH($B5,المكونات!$A$2:$A$500,0)),""))</f>
        <v>5.65</v>
      </c>
      <c r="E5" s="69" t="n">
        <f aca="false">IFERROR($C5*$D5,"")</f>
        <v>5.65</v>
      </c>
    </row>
    <row r="6" customFormat="false" ht="26.25" hidden="false" customHeight="true" outlineLevel="0" collapsed="false">
      <c r="A6" s="66" t="s">
        <v>589</v>
      </c>
      <c r="B6" s="66" t="s">
        <v>200</v>
      </c>
      <c r="C6" s="66" t="n">
        <v>1</v>
      </c>
      <c r="D6" s="68" t="n">
        <f aca="false">IFERROR(INDEX('تحليل التكلفة والسعر'!$N$2:$N$300,MATCH($B6,'تحليل التكلفة والسعر'!$B$2:$B$300,0)),IFERROR(INDEX(المكونات!$C$2:$C$500,MATCH($B6,المكونات!$A$2:$A$500,0)),""))</f>
        <v>6.09</v>
      </c>
      <c r="E6" s="69" t="n">
        <f aca="false">IFERROR($C6*$D6,"")</f>
        <v>6.09</v>
      </c>
    </row>
    <row r="7" customFormat="false" ht="15" hidden="false" customHeight="true" outlineLevel="0" collapsed="false">
      <c r="A7" s="66" t="s">
        <v>590</v>
      </c>
      <c r="B7" s="66" t="s">
        <v>264</v>
      </c>
      <c r="C7" s="66" t="n">
        <v>0.5</v>
      </c>
      <c r="D7" s="68" t="n">
        <f aca="false">IFERROR(INDEX('تحليل التكلفة والسعر'!$N$2:$N$300,MATCH($B7,'تحليل التكلفة والسعر'!$B$2:$B$300,0)),IFERROR(INDEX(المكونات!$C$2:$C$500,MATCH($B7,المكونات!$A$2:$A$500,0)),""))</f>
        <v>4</v>
      </c>
      <c r="E7" s="69" t="n">
        <f aca="false">IFERROR($C7*$D7,"")</f>
        <v>2</v>
      </c>
    </row>
    <row r="8" customFormat="false" ht="15" hidden="false" customHeight="true" outlineLevel="0" collapsed="false">
      <c r="A8" s="66" t="s">
        <v>590</v>
      </c>
      <c r="B8" s="66" t="s">
        <v>325</v>
      </c>
      <c r="C8" s="66" t="n">
        <v>0.075</v>
      </c>
      <c r="D8" s="68" t="n">
        <f aca="false">IFERROR(INDEX('تحليل التكلفة والسعر'!$N$2:$N$300,MATCH($B8,'تحليل التكلفة والسعر'!$B$2:$B$300,0)),IFERROR(INDEX(المكونات!$C$2:$C$500,MATCH($B8,المكونات!$A$2:$A$500,0)),""))</f>
        <v>23.56668</v>
      </c>
      <c r="E8" s="69" t="n">
        <f aca="false">IFERROR($C8*$D8,"")</f>
        <v>1.767501</v>
      </c>
    </row>
    <row r="9" customFormat="false" ht="15" hidden="false" customHeight="true" outlineLevel="0" collapsed="false">
      <c r="A9" s="66" t="s">
        <v>590</v>
      </c>
      <c r="B9" s="66" t="s">
        <v>229</v>
      </c>
      <c r="C9" s="66" t="n">
        <v>0.025</v>
      </c>
      <c r="D9" s="68" t="n">
        <f aca="false">IFERROR(INDEX('تحليل التكلفة والسعر'!$N$2:$N$300,MATCH($B9,'تحليل التكلفة والسعر'!$B$2:$B$300,0)),IFERROR(INDEX(المكونات!$C$2:$C$500,MATCH($B9,المكونات!$A$2:$A$500,0)),""))</f>
        <v>30.6593</v>
      </c>
      <c r="E9" s="69" t="n">
        <f aca="false">IFERROR($C9*$D9,"")</f>
        <v>0.7664825</v>
      </c>
    </row>
    <row r="10" customFormat="false" ht="15" hidden="false" customHeight="true" outlineLevel="0" collapsed="false">
      <c r="A10" s="66" t="s">
        <v>590</v>
      </c>
      <c r="B10" s="66" t="s">
        <v>298</v>
      </c>
      <c r="C10" s="66" t="n">
        <v>0.075</v>
      </c>
      <c r="D10" s="68" t="n">
        <f aca="false">IFERROR(INDEX('تحليل التكلفة والسعر'!$N$2:$N$300,MATCH($B10,'تحليل التكلفة والسعر'!$B$2:$B$300,0)),IFERROR(INDEX(المكونات!$C$2:$C$500,MATCH($B10,المكونات!$A$2:$A$500,0)),""))</f>
        <v>20.6667</v>
      </c>
      <c r="E10" s="69" t="n">
        <f aca="false">IFERROR($C10*$D10,"")</f>
        <v>1.5500025</v>
      </c>
    </row>
    <row r="11" customFormat="false" ht="15" hidden="false" customHeight="true" outlineLevel="0" collapsed="false">
      <c r="A11" s="66" t="s">
        <v>590</v>
      </c>
      <c r="B11" s="66" t="s">
        <v>127</v>
      </c>
      <c r="C11" s="66" t="n">
        <v>1</v>
      </c>
      <c r="D11" s="68" t="n">
        <f aca="false">IFERROR(INDEX('تحليل التكلفة والسعر'!$N$2:$N$300,MATCH($B11,'تحليل التكلفة والسعر'!$B$2:$B$300,0)),IFERROR(INDEX(المكونات!$C$2:$C$500,MATCH($B11,المكونات!$A$2:$A$500,0)),""))</f>
        <v>0.5</v>
      </c>
      <c r="E11" s="69" t="n">
        <f aca="false">IFERROR($C11*$D11,"")</f>
        <v>0.5</v>
      </c>
    </row>
    <row r="12" customFormat="false" ht="15" hidden="false" customHeight="true" outlineLevel="0" collapsed="false">
      <c r="A12" s="66" t="s">
        <v>590</v>
      </c>
      <c r="B12" s="66" t="s">
        <v>192</v>
      </c>
      <c r="C12" s="66" t="n">
        <v>1</v>
      </c>
      <c r="D12" s="68" t="n">
        <f aca="false">IFERROR(INDEX('تحليل التكلفة والسعر'!$N$2:$N$300,MATCH($B12,'تحليل التكلفة والسعر'!$B$2:$B$300,0)),IFERROR(INDEX(المكونات!$C$2:$C$500,MATCH($B12,المكونات!$A$2:$A$500,0)),""))</f>
        <v>3.65</v>
      </c>
      <c r="E12" s="69" t="n">
        <f aca="false">IFERROR($C12*$D12,"")</f>
        <v>3.65</v>
      </c>
    </row>
    <row r="13" customFormat="false" ht="15" hidden="false" customHeight="true" outlineLevel="0" collapsed="false">
      <c r="A13" s="66" t="s">
        <v>590</v>
      </c>
      <c r="B13" s="66" t="s">
        <v>243</v>
      </c>
      <c r="C13" s="66" t="n">
        <v>1</v>
      </c>
      <c r="D13" s="68" t="n">
        <f aca="false">IFERROR(INDEX('تحليل التكلفة والسعر'!$N$2:$N$300,MATCH($B13,'تحليل التكلفة والسعر'!$B$2:$B$300,0)),IFERROR(INDEX(المكونات!$C$2:$C$500,MATCH($B13,المكونات!$A$2:$A$500,0)),""))</f>
        <v>0.3</v>
      </c>
      <c r="E13" s="69" t="n">
        <f aca="false">IFERROR($C13*$D13,"")</f>
        <v>0.3</v>
      </c>
    </row>
    <row r="14" customFormat="false" ht="15" hidden="false" customHeight="true" outlineLevel="0" collapsed="false">
      <c r="A14" s="66" t="s">
        <v>590</v>
      </c>
      <c r="B14" s="66" t="s">
        <v>211</v>
      </c>
      <c r="C14" s="66" t="n">
        <v>1</v>
      </c>
      <c r="D14" s="68" t="n">
        <f aca="false">IFERROR(INDEX('تحليل التكلفة والسعر'!$N$2:$N$300,MATCH($B14,'تحليل التكلفة والسعر'!$B$2:$B$300,0)),IFERROR(INDEX(المكونات!$C$2:$C$500,MATCH($B14,المكونات!$A$2:$A$500,0)),""))</f>
        <v>0.18</v>
      </c>
      <c r="E14" s="69" t="n">
        <f aca="false">IFERROR($C14*$D14,"")</f>
        <v>0.18</v>
      </c>
    </row>
    <row r="15" customFormat="false" ht="15" hidden="false" customHeight="true" outlineLevel="0" collapsed="false">
      <c r="A15" s="66" t="s">
        <v>591</v>
      </c>
      <c r="B15" s="66" t="s">
        <v>264</v>
      </c>
      <c r="C15" s="66" t="n">
        <v>0.5</v>
      </c>
      <c r="D15" s="68" t="n">
        <f aca="false">IFERROR(INDEX('تحليل التكلفة والسعر'!$N$2:$N$300,MATCH($B15,'تحليل التكلفة والسعر'!$B$2:$B$300,0)),IFERROR(INDEX(المكونات!$C$2:$C$500,MATCH($B15,المكونات!$A$2:$A$500,0)),""))</f>
        <v>4</v>
      </c>
      <c r="E15" s="69" t="n">
        <f aca="false">IFERROR($C15*$D15,"")</f>
        <v>2</v>
      </c>
    </row>
    <row r="16" customFormat="false" ht="15" hidden="false" customHeight="true" outlineLevel="0" collapsed="false">
      <c r="A16" s="66" t="s">
        <v>591</v>
      </c>
      <c r="B16" s="66" t="s">
        <v>325</v>
      </c>
      <c r="C16" s="66" t="n">
        <v>0.075</v>
      </c>
      <c r="D16" s="68" t="n">
        <f aca="false">IFERROR(INDEX('تحليل التكلفة والسعر'!$N$2:$N$300,MATCH($B16,'تحليل التكلفة والسعر'!$B$2:$B$300,0)),IFERROR(INDEX(المكونات!$C$2:$C$500,MATCH($B16,المكونات!$A$2:$A$500,0)),""))</f>
        <v>23.56668</v>
      </c>
      <c r="E16" s="69" t="n">
        <f aca="false">IFERROR($C16*$D16,"")</f>
        <v>1.767501</v>
      </c>
    </row>
    <row r="17" customFormat="false" ht="15" hidden="false" customHeight="true" outlineLevel="0" collapsed="false">
      <c r="A17" s="66" t="s">
        <v>591</v>
      </c>
      <c r="B17" s="66" t="s">
        <v>245</v>
      </c>
      <c r="C17" s="66" t="n">
        <v>0.08</v>
      </c>
      <c r="D17" s="68" t="n">
        <f aca="false">IFERROR(INDEX('تحليل التكلفة والسعر'!$N$2:$N$300,MATCH($B17,'تحليل التكلفة والسعر'!$B$2:$B$300,0)),IFERROR(INDEX(المكونات!$C$2:$C$500,MATCH($B17,المكونات!$A$2:$A$500,0)),""))</f>
        <v>127.6582</v>
      </c>
      <c r="E17" s="69" t="n">
        <f aca="false">IFERROR($C17*$D17,"")</f>
        <v>10.212656</v>
      </c>
    </row>
    <row r="18" customFormat="false" ht="15" hidden="false" customHeight="true" outlineLevel="0" collapsed="false">
      <c r="A18" s="66" t="s">
        <v>591</v>
      </c>
      <c r="B18" s="66" t="s">
        <v>247</v>
      </c>
      <c r="C18" s="66" t="n">
        <v>0.015</v>
      </c>
      <c r="D18" s="68" t="n">
        <f aca="false">IFERROR(INDEX('تحليل التكلفة والسعر'!$N$2:$N$300,MATCH($B18,'تحليل التكلفة والسعر'!$B$2:$B$300,0)),IFERROR(INDEX(المكونات!$C$2:$C$500,MATCH($B18,المكونات!$A$2:$A$500,0)),""))</f>
        <v>100</v>
      </c>
      <c r="E18" s="69" t="n">
        <f aca="false">IFERROR($C18*$D18,"")</f>
        <v>1.5</v>
      </c>
    </row>
    <row r="19" customFormat="false" ht="15" hidden="false" customHeight="true" outlineLevel="0" collapsed="false">
      <c r="A19" s="66" t="s">
        <v>591</v>
      </c>
      <c r="B19" s="66" t="s">
        <v>127</v>
      </c>
      <c r="C19" s="66" t="n">
        <v>1</v>
      </c>
      <c r="D19" s="68" t="n">
        <f aca="false">IFERROR(INDEX('تحليل التكلفة والسعر'!$N$2:$N$300,MATCH($B19,'تحليل التكلفة والسعر'!$B$2:$B$300,0)),IFERROR(INDEX(المكونات!$C$2:$C$500,MATCH($B19,المكونات!$A$2:$A$500,0)),""))</f>
        <v>0.5</v>
      </c>
      <c r="E19" s="69" t="n">
        <f aca="false">IFERROR($C19*$D19,"")</f>
        <v>0.5</v>
      </c>
    </row>
    <row r="20" customFormat="false" ht="15" hidden="false" customHeight="true" outlineLevel="0" collapsed="false">
      <c r="A20" s="66" t="s">
        <v>591</v>
      </c>
      <c r="B20" s="66" t="s">
        <v>192</v>
      </c>
      <c r="C20" s="66" t="n">
        <v>1</v>
      </c>
      <c r="D20" s="68" t="n">
        <f aca="false">IFERROR(INDEX('تحليل التكلفة والسعر'!$N$2:$N$300,MATCH($B20,'تحليل التكلفة والسعر'!$B$2:$B$300,0)),IFERROR(INDEX(المكونات!$C$2:$C$500,MATCH($B20,المكونات!$A$2:$A$500,0)),""))</f>
        <v>3.65</v>
      </c>
      <c r="E20" s="69" t="n">
        <f aca="false">IFERROR($C20*$D20,"")</f>
        <v>3.65</v>
      </c>
    </row>
    <row r="21" customFormat="false" ht="15" hidden="false" customHeight="true" outlineLevel="0" collapsed="false">
      <c r="A21" s="66" t="s">
        <v>591</v>
      </c>
      <c r="B21" s="66" t="s">
        <v>243</v>
      </c>
      <c r="C21" s="66" t="n">
        <v>1</v>
      </c>
      <c r="D21" s="68" t="n">
        <f aca="false">IFERROR(INDEX('تحليل التكلفة والسعر'!$N$2:$N$300,MATCH($B21,'تحليل التكلفة والسعر'!$B$2:$B$300,0)),IFERROR(INDEX(المكونات!$C$2:$C$500,MATCH($B21,المكونات!$A$2:$A$500,0)),""))</f>
        <v>0.3</v>
      </c>
      <c r="E21" s="69" t="n">
        <f aca="false">IFERROR($C21*$D21,"")</f>
        <v>0.3</v>
      </c>
    </row>
    <row r="22" customFormat="false" ht="15" hidden="false" customHeight="true" outlineLevel="0" collapsed="false">
      <c r="A22" s="66" t="s">
        <v>591</v>
      </c>
      <c r="B22" s="66" t="s">
        <v>211</v>
      </c>
      <c r="C22" s="66" t="n">
        <v>1</v>
      </c>
      <c r="D22" s="68" t="n">
        <f aca="false">IFERROR(INDEX('تحليل التكلفة والسعر'!$N$2:$N$300,MATCH($B22,'تحليل التكلفة والسعر'!$B$2:$B$300,0)),IFERROR(INDEX(المكونات!$C$2:$C$500,MATCH($B22,المكونات!$A$2:$A$500,0)),""))</f>
        <v>0.18</v>
      </c>
      <c r="E22" s="69" t="n">
        <f aca="false">IFERROR($C22*$D22,"")</f>
        <v>0.18</v>
      </c>
    </row>
    <row r="23" customFormat="false" ht="26.25" hidden="false" customHeight="true" outlineLevel="0" collapsed="false">
      <c r="A23" s="66" t="s">
        <v>592</v>
      </c>
      <c r="B23" s="66" t="s">
        <v>473</v>
      </c>
      <c r="C23" s="66" t="n">
        <v>1</v>
      </c>
      <c r="D23" s="68" t="n">
        <f aca="false">IFERROR(INDEX('تحليل التكلفة والسعر'!$N$2:$N$300,MATCH($B23,'تحليل التكلفة والسعر'!$B$2:$B$300,0)),IFERROR(INDEX(المكونات!$C$2:$C$500,MATCH($B23,المكونات!$A$2:$A$500,0)),""))</f>
        <v>38.8484</v>
      </c>
      <c r="E23" s="69" t="n">
        <f aca="false">IFERROR($C23*$D23,"")</f>
        <v>38.8484</v>
      </c>
    </row>
    <row r="24" customFormat="false" ht="26.25" hidden="false" customHeight="true" outlineLevel="0" collapsed="false">
      <c r="A24" s="66" t="s">
        <v>592</v>
      </c>
      <c r="B24" s="66" t="s">
        <v>494</v>
      </c>
      <c r="C24" s="66" t="n">
        <v>1</v>
      </c>
      <c r="D24" s="68" t="n">
        <f aca="false">IFERROR(INDEX('تحليل التكلفة والسعر'!$N$2:$N$300,MATCH($B24,'تحليل التكلفة والسعر'!$B$2:$B$300,0)),IFERROR(INDEX(المكونات!$C$2:$C$500,MATCH($B24,المكونات!$A$2:$A$500,0)),""))</f>
        <v>72.8484</v>
      </c>
      <c r="E24" s="69" t="n">
        <f aca="false">IFERROR($C24*$D24,"")</f>
        <v>72.8484</v>
      </c>
    </row>
    <row r="25" customFormat="false" ht="26.25" hidden="false" customHeight="true" outlineLevel="0" collapsed="false">
      <c r="A25" s="66" t="s">
        <v>592</v>
      </c>
      <c r="B25" s="66" t="s">
        <v>443</v>
      </c>
      <c r="C25" s="66" t="n">
        <v>1</v>
      </c>
      <c r="D25" s="68" t="n">
        <f aca="false">IFERROR(INDEX('تحليل التكلفة والسعر'!$N$2:$N$300,MATCH($B25,'تحليل التكلفة والسعر'!$B$2:$B$300,0)),IFERROR(INDEX(المكونات!$C$2:$C$500,MATCH($B25,المكونات!$A$2:$A$500,0)),""))</f>
        <v>73.8484</v>
      </c>
      <c r="E25" s="69" t="n">
        <f aca="false">IFERROR($C25*$D25,"")</f>
        <v>73.8484</v>
      </c>
    </row>
    <row r="26" customFormat="false" ht="26.25" hidden="false" customHeight="true" outlineLevel="0" collapsed="false">
      <c r="A26" s="66" t="s">
        <v>593</v>
      </c>
      <c r="B26" s="66" t="s">
        <v>523</v>
      </c>
      <c r="C26" s="66" t="n">
        <v>1</v>
      </c>
      <c r="D26" s="68" t="n">
        <f aca="false">IFERROR(INDEX('تحليل التكلفة والسعر'!$N$2:$N$300,MATCH($B26,'تحليل التكلفة والسعر'!$B$2:$B$300,0)),IFERROR(INDEX(المكونات!$C$2:$C$500,MATCH($B26,المكونات!$A$2:$A$500,0)),""))</f>
        <v>77.2284</v>
      </c>
      <c r="E26" s="69" t="n">
        <f aca="false">IFERROR($C26*$D26,"")</f>
        <v>77.2284</v>
      </c>
    </row>
    <row r="27" customFormat="false" ht="26.25" hidden="false" customHeight="true" outlineLevel="0" collapsed="false">
      <c r="A27" s="66" t="s">
        <v>593</v>
      </c>
      <c r="B27" s="66" t="s">
        <v>453</v>
      </c>
      <c r="C27" s="66" t="n">
        <v>1</v>
      </c>
      <c r="D27" s="68" t="n">
        <f aca="false">IFERROR(INDEX('تحليل التكلفة والسعر'!$N$2:$N$300,MATCH($B27,'تحليل التكلفة والسعر'!$B$2:$B$300,0)),IFERROR(INDEX(المكونات!$C$2:$C$500,MATCH($B27,المكونات!$A$2:$A$500,0)),""))</f>
        <v>69.2284</v>
      </c>
      <c r="E27" s="69" t="n">
        <f aca="false">IFERROR($C27*$D27,"")</f>
        <v>69.2284</v>
      </c>
    </row>
    <row r="28" customFormat="false" ht="26.25" hidden="false" customHeight="true" outlineLevel="0" collapsed="false">
      <c r="A28" s="66" t="s">
        <v>593</v>
      </c>
      <c r="B28" s="66" t="s">
        <v>435</v>
      </c>
      <c r="C28" s="66" t="n">
        <v>1</v>
      </c>
      <c r="D28" s="68" t="n">
        <f aca="false">IFERROR(INDEX('تحليل التكلفة والسعر'!$N$2:$N$300,MATCH($B28,'تحليل التكلفة والسعر'!$B$2:$B$300,0)),IFERROR(INDEX(المكونات!$C$2:$C$500,MATCH($B28,المكونات!$A$2:$A$500,0)),""))</f>
        <v>20.284872</v>
      </c>
      <c r="E28" s="69" t="n">
        <f aca="false">IFERROR($C28*$D28,"")</f>
        <v>20.284872</v>
      </c>
    </row>
    <row r="29" customFormat="false" ht="26.25" hidden="false" customHeight="true" outlineLevel="0" collapsed="false">
      <c r="A29" s="66" t="s">
        <v>594</v>
      </c>
      <c r="B29" s="66" t="s">
        <v>530</v>
      </c>
      <c r="C29" s="66" t="n">
        <v>1</v>
      </c>
      <c r="D29" s="68" t="n">
        <f aca="false">IFERROR(INDEX('تحليل التكلفة والسعر'!$N$2:$N$300,MATCH($B29,'تحليل التكلفة والسعر'!$B$2:$B$300,0)),IFERROR(INDEX(المكونات!$C$2:$C$500,MATCH($B29,المكونات!$A$2:$A$500,0)),""))</f>
        <v>80.1584</v>
      </c>
      <c r="E29" s="69" t="n">
        <f aca="false">IFERROR($C29*$D29,"")</f>
        <v>80.1584</v>
      </c>
    </row>
    <row r="30" customFormat="false" ht="26.25" hidden="false" customHeight="true" outlineLevel="0" collapsed="false">
      <c r="A30" s="66" t="s">
        <v>594</v>
      </c>
      <c r="B30" s="66" t="s">
        <v>146</v>
      </c>
      <c r="C30" s="66" t="n">
        <v>1</v>
      </c>
      <c r="D30" s="68" t="n">
        <f aca="false">IFERROR(INDEX('تحليل التكلفة والسعر'!$N$2:$N$300,MATCH($B30,'تحليل التكلفة والسعر'!$B$2:$B$300,0)),IFERROR(INDEX(المكونات!$C$2:$C$500,MATCH($B30,المكونات!$A$2:$A$500,0)),""))</f>
        <v>5.65</v>
      </c>
      <c r="E30" s="69" t="n">
        <f aca="false">IFERROR($C30*$D30,"")</f>
        <v>5.65</v>
      </c>
    </row>
    <row r="31" customFormat="false" ht="26.25" hidden="false" customHeight="true" outlineLevel="0" collapsed="false">
      <c r="A31" s="66" t="s">
        <v>594</v>
      </c>
      <c r="B31" s="66" t="s">
        <v>200</v>
      </c>
      <c r="C31" s="66" t="n">
        <v>1</v>
      </c>
      <c r="D31" s="68" t="n">
        <f aca="false">IFERROR(INDEX('تحليل التكلفة والسعر'!$N$2:$N$300,MATCH($B31,'تحليل التكلفة والسعر'!$B$2:$B$300,0)),IFERROR(INDEX(المكونات!$C$2:$C$500,MATCH($B31,المكونات!$A$2:$A$500,0)),""))</f>
        <v>6.09</v>
      </c>
      <c r="E31" s="69" t="n">
        <f aca="false">IFERROR($C31*$D31,"")</f>
        <v>6.09</v>
      </c>
    </row>
    <row r="32" customFormat="false" ht="26.25" hidden="false" customHeight="true" outlineLevel="0" collapsed="false">
      <c r="A32" s="66" t="s">
        <v>595</v>
      </c>
      <c r="B32" s="66" t="s">
        <v>473</v>
      </c>
      <c r="C32" s="66" t="n">
        <v>1</v>
      </c>
      <c r="D32" s="68" t="n">
        <f aca="false">IFERROR(INDEX('تحليل التكلفة والسعر'!$N$2:$N$300,MATCH($B32,'تحليل التكلفة والسعر'!$B$2:$B$300,0)),IFERROR(INDEX(المكونات!$C$2:$C$500,MATCH($B32,المكونات!$A$2:$A$500,0)),""))</f>
        <v>38.8484</v>
      </c>
      <c r="E32" s="69" t="n">
        <f aca="false">IFERROR($C32*$D32,"")</f>
        <v>38.8484</v>
      </c>
    </row>
    <row r="33" customFormat="false" ht="26.25" hidden="false" customHeight="true" outlineLevel="0" collapsed="false">
      <c r="A33" s="66" t="s">
        <v>595</v>
      </c>
      <c r="B33" s="66" t="s">
        <v>441</v>
      </c>
      <c r="C33" s="66" t="n">
        <v>1</v>
      </c>
      <c r="D33" s="68" t="n">
        <f aca="false">IFERROR(INDEX('تحليل التكلفة والسعر'!$N$2:$N$300,MATCH($B33,'تحليل التكلفة والسعر'!$B$2:$B$300,0)),IFERROR(INDEX(المكونات!$C$2:$C$500,MATCH($B33,المكونات!$A$2:$A$500,0)),""))</f>
        <v>65.8192</v>
      </c>
      <c r="E33" s="69" t="n">
        <f aca="false">IFERROR($C33*$D33,"")</f>
        <v>65.8192</v>
      </c>
    </row>
    <row r="34" customFormat="false" ht="15" hidden="false" customHeight="true" outlineLevel="0" collapsed="false">
      <c r="A34" s="49"/>
      <c r="B34" s="49"/>
      <c r="C34" s="49"/>
      <c r="D34" s="71" t="str">
        <f aca="false">IFERROR(INDEX('تحليل التكلفة والسعر'!$N$2:$N$300,MATCH($B34,'تحليل التكلفة والسعر'!$B$2:$B$300,0)),IFERROR(INDEX(المكونات!$C$2:$C$500,MATCH($B34,المكونات!$A$2:$A$500,0)),""))</f>
        <v/>
      </c>
      <c r="E34" s="13" t="str">
        <f aca="false">IFERROR($C34*$D34,"")</f>
        <v/>
      </c>
    </row>
    <row r="35" customFormat="false" ht="15" hidden="false" customHeight="true" outlineLevel="0" collapsed="false">
      <c r="A35" s="49"/>
      <c r="B35" s="49"/>
      <c r="C35" s="49"/>
      <c r="D35" s="71" t="str">
        <f aca="false">IFERROR(INDEX('تحليل التكلفة والسعر'!$N$2:$N$300,MATCH($B35,'تحليل التكلفة والسعر'!$B$2:$B$300,0)),IFERROR(INDEX(المكونات!$C$2:$C$500,MATCH($B35,المكونات!$A$2:$A$500,0)),""))</f>
        <v/>
      </c>
      <c r="E35" s="13" t="str">
        <f aca="false">IFERROR($C35*$D35,"")</f>
        <v/>
      </c>
    </row>
    <row r="36" customFormat="false" ht="15" hidden="false" customHeight="true" outlineLevel="0" collapsed="false">
      <c r="A36" s="49"/>
      <c r="B36" s="49"/>
      <c r="C36" s="49"/>
      <c r="D36" s="71" t="str">
        <f aca="false">IFERROR(INDEX('تحليل التكلفة والسعر'!$N$2:$N$300,MATCH($B36,'تحليل التكلفة والسعر'!$B$2:$B$300,0)),IFERROR(INDEX(المكونات!$C$2:$C$500,MATCH($B36,المكونات!$A$2:$A$500,0)),""))</f>
        <v/>
      </c>
      <c r="E36" s="13" t="str">
        <f aca="false">IFERROR($C36*$D36,"")</f>
        <v/>
      </c>
    </row>
    <row r="37" customFormat="false" ht="15" hidden="false" customHeight="true" outlineLevel="0" collapsed="false">
      <c r="A37" s="49"/>
      <c r="B37" s="49"/>
      <c r="C37" s="49"/>
      <c r="D37" s="71" t="str">
        <f aca="false">IFERROR(INDEX('تحليل التكلفة والسعر'!$N$2:$N$300,MATCH($B37,'تحليل التكلفة والسعر'!$B$2:$B$300,0)),IFERROR(INDEX(المكونات!$C$2:$C$500,MATCH($B37,المكونات!$A$2:$A$500,0)),""))</f>
        <v/>
      </c>
      <c r="E37" s="13" t="str">
        <f aca="false">IFERROR($C37*$D37,"")</f>
        <v/>
      </c>
    </row>
    <row r="38" customFormat="false" ht="15" hidden="false" customHeight="true" outlineLevel="0" collapsed="false">
      <c r="A38" s="49"/>
      <c r="B38" s="49"/>
      <c r="C38" s="49"/>
      <c r="D38" s="71" t="str">
        <f aca="false">IFERROR(INDEX('تحليل التكلفة والسعر'!$N$2:$N$300,MATCH($B38,'تحليل التكلفة والسعر'!$B$2:$B$300,0)),IFERROR(INDEX(المكونات!$C$2:$C$500,MATCH($B38,المكونات!$A$2:$A$500,0)),""))</f>
        <v/>
      </c>
      <c r="E38" s="13" t="str">
        <f aca="false">IFERROR($C38*$D38,"")</f>
        <v/>
      </c>
    </row>
    <row r="39" customFormat="false" ht="15" hidden="false" customHeight="true" outlineLevel="0" collapsed="false">
      <c r="A39" s="49"/>
      <c r="B39" s="49"/>
      <c r="C39" s="49"/>
      <c r="D39" s="71" t="str">
        <f aca="false">IFERROR(INDEX('تحليل التكلفة والسعر'!$N$2:$N$300,MATCH($B39,'تحليل التكلفة والسعر'!$B$2:$B$300,0)),IFERROR(INDEX(المكونات!$C$2:$C$500,MATCH($B39,المكونات!$A$2:$A$500,0)),""))</f>
        <v/>
      </c>
      <c r="E39" s="13" t="str">
        <f aca="false">IFERROR($C39*$D39,"")</f>
        <v/>
      </c>
    </row>
    <row r="40" customFormat="false" ht="15" hidden="false" customHeight="true" outlineLevel="0" collapsed="false">
      <c r="A40" s="49"/>
      <c r="B40" s="49"/>
      <c r="C40" s="49"/>
      <c r="D40" s="71" t="str">
        <f aca="false">IFERROR(INDEX('تحليل التكلفة والسعر'!$N$2:$N$300,MATCH($B40,'تحليل التكلفة والسعر'!$B$2:$B$300,0)),IFERROR(INDEX(المكونات!$C$2:$C$500,MATCH($B40,المكونات!$A$2:$A$500,0)),""))</f>
        <v/>
      </c>
      <c r="E40" s="13" t="str">
        <f aca="false">IFERROR($C40*$D40,"")</f>
        <v/>
      </c>
    </row>
    <row r="41" customFormat="false" ht="15" hidden="false" customHeight="true" outlineLevel="0" collapsed="false">
      <c r="A41" s="49"/>
      <c r="B41" s="49"/>
      <c r="C41" s="49"/>
      <c r="D41" s="71" t="str">
        <f aca="false">IFERROR(INDEX('تحليل التكلفة والسعر'!$N$2:$N$300,MATCH($B41,'تحليل التكلفة والسعر'!$B$2:$B$300,0)),IFERROR(INDEX(المكونات!$C$2:$C$500,MATCH($B41,المكونات!$A$2:$A$500,0)),""))</f>
        <v/>
      </c>
      <c r="E41" s="13" t="str">
        <f aca="false">IFERROR($C41*$D41,"")</f>
        <v/>
      </c>
    </row>
    <row r="42" customFormat="false" ht="15" hidden="false" customHeight="true" outlineLevel="0" collapsed="false">
      <c r="A42" s="49"/>
      <c r="B42" s="49"/>
      <c r="C42" s="49"/>
      <c r="D42" s="71" t="str">
        <f aca="false">IFERROR(INDEX('تحليل التكلفة والسعر'!$N$2:$N$300,MATCH($B42,'تحليل التكلفة والسعر'!$B$2:$B$300,0)),IFERROR(INDEX(المكونات!$C$2:$C$500,MATCH($B42,المكونات!$A$2:$A$500,0)),""))</f>
        <v/>
      </c>
      <c r="E42" s="13" t="str">
        <f aca="false">IFERROR($C42*$D42,"")</f>
        <v/>
      </c>
    </row>
    <row r="43" customFormat="false" ht="15" hidden="false" customHeight="true" outlineLevel="0" collapsed="false">
      <c r="A43" s="49"/>
      <c r="B43" s="49"/>
      <c r="C43" s="49"/>
      <c r="D43" s="71" t="str">
        <f aca="false">IFERROR(INDEX('تحليل التكلفة والسعر'!$N$2:$N$300,MATCH($B43,'تحليل التكلفة والسعر'!$B$2:$B$300,0)),IFERROR(INDEX(المكونات!$C$2:$C$500,MATCH($B43,المكونات!$A$2:$A$500,0)),""))</f>
        <v/>
      </c>
      <c r="E43" s="13" t="str">
        <f aca="false">IFERROR($C43*$D43,"")</f>
        <v/>
      </c>
    </row>
    <row r="44" customFormat="false" ht="15" hidden="false" customHeight="true" outlineLevel="0" collapsed="false">
      <c r="A44" s="49"/>
      <c r="B44" s="49"/>
      <c r="C44" s="49"/>
      <c r="D44" s="71" t="str">
        <f aca="false">IFERROR(INDEX('تحليل التكلفة والسعر'!$N$2:$N$300,MATCH($B44,'تحليل التكلفة والسعر'!$B$2:$B$300,0)),IFERROR(INDEX(المكونات!$C$2:$C$500,MATCH($B44,المكونات!$A$2:$A$500,0)),""))</f>
        <v/>
      </c>
      <c r="E44" s="13" t="str">
        <f aca="false">IFERROR($C44*$D44,"")</f>
        <v/>
      </c>
    </row>
    <row r="45" customFormat="false" ht="15" hidden="false" customHeight="true" outlineLevel="0" collapsed="false">
      <c r="A45" s="49"/>
      <c r="B45" s="49"/>
      <c r="C45" s="49"/>
      <c r="D45" s="71" t="str">
        <f aca="false">IFERROR(INDEX('تحليل التكلفة والسعر'!$N$2:$N$300,MATCH($B45,'تحليل التكلفة والسعر'!$B$2:$B$300,0)),IFERROR(INDEX(المكونات!$C$2:$C$500,MATCH($B45,المكونات!$A$2:$A$500,0)),""))</f>
        <v/>
      </c>
      <c r="E45" s="13" t="str">
        <f aca="false">IFERROR($C45*$D45,"")</f>
        <v/>
      </c>
    </row>
    <row r="46" customFormat="false" ht="15" hidden="false" customHeight="true" outlineLevel="0" collapsed="false">
      <c r="A46" s="49"/>
      <c r="B46" s="49"/>
      <c r="C46" s="49"/>
      <c r="D46" s="71" t="str">
        <f aca="false">IFERROR(INDEX('تحليل التكلفة والسعر'!$N$2:$N$300,MATCH($B46,'تحليل التكلفة والسعر'!$B$2:$B$300,0)),IFERROR(INDEX(المكونات!$C$2:$C$500,MATCH($B46,المكونات!$A$2:$A$500,0)),""))</f>
        <v/>
      </c>
      <c r="E46" s="13" t="str">
        <f aca="false">IFERROR($C46*$D46,"")</f>
        <v/>
      </c>
    </row>
    <row r="47" customFormat="false" ht="15" hidden="false" customHeight="true" outlineLevel="0" collapsed="false">
      <c r="A47" s="49"/>
      <c r="B47" s="49"/>
      <c r="C47" s="49"/>
      <c r="D47" s="71" t="str">
        <f aca="false">IFERROR(INDEX('تحليل التكلفة والسعر'!$N$2:$N$300,MATCH($B47,'تحليل التكلفة والسعر'!$B$2:$B$300,0)),IFERROR(INDEX(المكونات!$C$2:$C$500,MATCH($B47,المكونات!$A$2:$A$500,0)),""))</f>
        <v/>
      </c>
      <c r="E47" s="13" t="str">
        <f aca="false">IFERROR($C47*$D47,"")</f>
        <v/>
      </c>
    </row>
    <row r="48" customFormat="false" ht="15" hidden="false" customHeight="true" outlineLevel="0" collapsed="false">
      <c r="A48" s="49"/>
      <c r="B48" s="49"/>
      <c r="C48" s="49"/>
      <c r="D48" s="71" t="str">
        <f aca="false">IFERROR(INDEX('تحليل التكلفة والسعر'!$N$2:$N$300,MATCH($B48,'تحليل التكلفة والسعر'!$B$2:$B$300,0)),IFERROR(INDEX(المكونات!$C$2:$C$500,MATCH($B48,المكونات!$A$2:$A$500,0)),""))</f>
        <v/>
      </c>
      <c r="E48" s="13" t="str">
        <f aca="false">IFERROR($C48*$D48,"")</f>
        <v/>
      </c>
    </row>
    <row r="49" customFormat="false" ht="15" hidden="false" customHeight="true" outlineLevel="0" collapsed="false">
      <c r="A49" s="49"/>
      <c r="B49" s="49"/>
      <c r="C49" s="49"/>
      <c r="D49" s="71" t="str">
        <f aca="false">IFERROR(INDEX('تحليل التكلفة والسعر'!$N$2:$N$300,MATCH($B49,'تحليل التكلفة والسعر'!$B$2:$B$300,0)),IFERROR(INDEX(المكونات!$C$2:$C$500,MATCH($B49,المكونات!$A$2:$A$500,0)),""))</f>
        <v/>
      </c>
      <c r="E49" s="13" t="str">
        <f aca="false">IFERROR($C49*$D49,"")</f>
        <v/>
      </c>
    </row>
    <row r="50" customFormat="false" ht="15" hidden="false" customHeight="true" outlineLevel="0" collapsed="false">
      <c r="A50" s="49"/>
      <c r="B50" s="49"/>
      <c r="C50" s="49"/>
      <c r="D50" s="71" t="str">
        <f aca="false">IFERROR(INDEX('تحليل التكلفة والسعر'!$N$2:$N$300,MATCH($B50,'تحليل التكلفة والسعر'!$B$2:$B$300,0)),IFERROR(INDEX(المكونات!$C$2:$C$500,MATCH($B50,المكونات!$A$2:$A$500,0)),""))</f>
        <v/>
      </c>
      <c r="E50" s="13" t="str">
        <f aca="false">IFERROR($C50*$D50,"")</f>
        <v/>
      </c>
    </row>
    <row r="51" customFormat="false" ht="15" hidden="false" customHeight="true" outlineLevel="0" collapsed="false">
      <c r="A51" s="49"/>
      <c r="B51" s="49"/>
      <c r="C51" s="49"/>
      <c r="D51" s="71" t="str">
        <f aca="false">IFERROR(INDEX('تحليل التكلفة والسعر'!$N$2:$N$300,MATCH($B51,'تحليل التكلفة والسعر'!$B$2:$B$300,0)),IFERROR(INDEX(المكونات!$C$2:$C$500,MATCH($B51,المكونات!$A$2:$A$500,0)),""))</f>
        <v/>
      </c>
      <c r="E51" s="13" t="str">
        <f aca="false">IFERROR($C51*$D51,"")</f>
        <v/>
      </c>
    </row>
    <row r="52" customFormat="false" ht="15" hidden="false" customHeight="true" outlineLevel="0" collapsed="false">
      <c r="A52" s="49"/>
      <c r="B52" s="49"/>
      <c r="C52" s="49"/>
      <c r="D52" s="71" t="str">
        <f aca="false">IFERROR(INDEX('تحليل التكلفة والسعر'!$N$2:$N$300,MATCH($B52,'تحليل التكلفة والسعر'!$B$2:$B$300,0)),IFERROR(INDEX(المكونات!$C$2:$C$500,MATCH($B52,المكونات!$A$2:$A$500,0)),""))</f>
        <v/>
      </c>
      <c r="E52" s="13" t="str">
        <f aca="false">IFERROR($C52*$D52,"")</f>
        <v/>
      </c>
    </row>
    <row r="53" customFormat="false" ht="15" hidden="false" customHeight="true" outlineLevel="0" collapsed="false">
      <c r="A53" s="49"/>
      <c r="B53" s="49"/>
      <c r="C53" s="49"/>
      <c r="D53" s="71" t="str">
        <f aca="false">IFERROR(INDEX('تحليل التكلفة والسعر'!$N$2:$N$300,MATCH($B53,'تحليل التكلفة والسعر'!$B$2:$B$300,0)),IFERROR(INDEX(المكونات!$C$2:$C$500,MATCH($B53,المكونات!$A$2:$A$500,0)),""))</f>
        <v/>
      </c>
      <c r="E53" s="13" t="str">
        <f aca="false">IFERROR($C53*$D53,"")</f>
        <v/>
      </c>
    </row>
    <row r="54" customFormat="false" ht="15" hidden="false" customHeight="true" outlineLevel="0" collapsed="false">
      <c r="A54" s="49"/>
      <c r="B54" s="49"/>
      <c r="C54" s="49"/>
      <c r="D54" s="71" t="str">
        <f aca="false">IFERROR(INDEX('تحليل التكلفة والسعر'!$N$2:$N$300,MATCH($B54,'تحليل التكلفة والسعر'!$B$2:$B$300,0)),IFERROR(INDEX(المكونات!$C$2:$C$500,MATCH($B54,المكونات!$A$2:$A$500,0)),""))</f>
        <v/>
      </c>
      <c r="E54" s="13" t="str">
        <f aca="false">IFERROR($C54*$D54,"")</f>
        <v/>
      </c>
    </row>
    <row r="55" customFormat="false" ht="15" hidden="false" customHeight="true" outlineLevel="0" collapsed="false">
      <c r="A55" s="49"/>
      <c r="B55" s="49"/>
      <c r="C55" s="49"/>
      <c r="D55" s="71" t="str">
        <f aca="false">IFERROR(INDEX('تحليل التكلفة والسعر'!$N$2:$N$300,MATCH($B55,'تحليل التكلفة والسعر'!$B$2:$B$300,0)),IFERROR(INDEX(المكونات!$C$2:$C$500,MATCH($B55,المكونات!$A$2:$A$500,0)),""))</f>
        <v/>
      </c>
      <c r="E55" s="13" t="str">
        <f aca="false">IFERROR($C55*$D55,"")</f>
        <v/>
      </c>
    </row>
    <row r="56" customFormat="false" ht="15" hidden="false" customHeight="true" outlineLevel="0" collapsed="false">
      <c r="A56" s="49"/>
      <c r="B56" s="49"/>
      <c r="C56" s="49"/>
      <c r="D56" s="71" t="str">
        <f aca="false">IFERROR(INDEX('تحليل التكلفة والسعر'!$N$2:$N$300,MATCH($B56,'تحليل التكلفة والسعر'!$B$2:$B$300,0)),IFERROR(INDEX(المكونات!$C$2:$C$500,MATCH($B56,المكونات!$A$2:$A$500,0)),""))</f>
        <v/>
      </c>
      <c r="E56" s="13" t="str">
        <f aca="false">IFERROR($C56*$D56,"")</f>
        <v/>
      </c>
    </row>
    <row r="57" customFormat="false" ht="15" hidden="false" customHeight="true" outlineLevel="0" collapsed="false">
      <c r="A57" s="49"/>
      <c r="B57" s="49"/>
      <c r="C57" s="49"/>
      <c r="D57" s="71" t="str">
        <f aca="false">IFERROR(INDEX('تحليل التكلفة والسعر'!$N$2:$N$300,MATCH($B57,'تحليل التكلفة والسعر'!$B$2:$B$300,0)),IFERROR(INDEX(المكونات!$C$2:$C$500,MATCH($B57,المكونات!$A$2:$A$500,0)),""))</f>
        <v/>
      </c>
      <c r="E57" s="13" t="str">
        <f aca="false">IFERROR($C57*$D57,"")</f>
        <v/>
      </c>
    </row>
    <row r="58" customFormat="false" ht="15" hidden="false" customHeight="true" outlineLevel="0" collapsed="false">
      <c r="A58" s="49"/>
      <c r="B58" s="49"/>
      <c r="C58" s="49"/>
      <c r="D58" s="71" t="str">
        <f aca="false">IFERROR(INDEX('تحليل التكلفة والسعر'!$N$2:$N$300,MATCH($B58,'تحليل التكلفة والسعر'!$B$2:$B$300,0)),IFERROR(INDEX(المكونات!$C$2:$C$500,MATCH($B58,المكونات!$A$2:$A$500,0)),""))</f>
        <v/>
      </c>
      <c r="E58" s="13" t="str">
        <f aca="false">IFERROR($C58*$D58,"")</f>
        <v/>
      </c>
    </row>
    <row r="59" customFormat="false" ht="15" hidden="false" customHeight="true" outlineLevel="0" collapsed="false">
      <c r="A59" s="49"/>
      <c r="B59" s="49"/>
      <c r="C59" s="49"/>
      <c r="D59" s="71" t="str">
        <f aca="false">IFERROR(INDEX('تحليل التكلفة والسعر'!$N$2:$N$300,MATCH($B59,'تحليل التكلفة والسعر'!$B$2:$B$300,0)),IFERROR(INDEX(المكونات!$C$2:$C$500,MATCH($B59,المكونات!$A$2:$A$500,0)),""))</f>
        <v/>
      </c>
      <c r="E59" s="13" t="str">
        <f aca="false">IFERROR($C59*$D59,"")</f>
        <v/>
      </c>
    </row>
    <row r="60" customFormat="false" ht="15" hidden="false" customHeight="true" outlineLevel="0" collapsed="false">
      <c r="A60" s="49"/>
      <c r="B60" s="49"/>
      <c r="C60" s="49"/>
      <c r="D60" s="71" t="str">
        <f aca="false">IFERROR(INDEX('تحليل التكلفة والسعر'!$N$2:$N$300,MATCH($B60,'تحليل التكلفة والسعر'!$B$2:$B$300,0)),IFERROR(INDEX(المكونات!$C$2:$C$500,MATCH($B60,المكونات!$A$2:$A$500,0)),""))</f>
        <v/>
      </c>
      <c r="E60" s="13" t="str">
        <f aca="false">IFERROR($C60*$D60,"")</f>
        <v/>
      </c>
    </row>
    <row r="61" customFormat="false" ht="15" hidden="false" customHeight="true" outlineLevel="0" collapsed="false">
      <c r="A61" s="49"/>
      <c r="B61" s="49"/>
      <c r="C61" s="49"/>
      <c r="D61" s="71" t="str">
        <f aca="false">IFERROR(INDEX('تحليل التكلفة والسعر'!$N$2:$N$300,MATCH($B61,'تحليل التكلفة والسعر'!$B$2:$B$300,0)),IFERROR(INDEX(المكونات!$C$2:$C$500,MATCH($B61,المكونات!$A$2:$A$500,0)),""))</f>
        <v/>
      </c>
      <c r="E61" s="13" t="str">
        <f aca="false">IFERROR($C61*$D61,"")</f>
        <v/>
      </c>
    </row>
    <row r="62" customFormat="false" ht="15" hidden="false" customHeight="true" outlineLevel="0" collapsed="false">
      <c r="A62" s="49"/>
      <c r="B62" s="49"/>
      <c r="C62" s="49"/>
      <c r="D62" s="71" t="str">
        <f aca="false">IFERROR(INDEX('تحليل التكلفة والسعر'!$N$2:$N$300,MATCH($B62,'تحليل التكلفة والسعر'!$B$2:$B$300,0)),IFERROR(INDEX(المكونات!$C$2:$C$500,MATCH($B62,المكونات!$A$2:$A$500,0)),""))</f>
        <v/>
      </c>
      <c r="E62" s="13" t="str">
        <f aca="false">IFERROR($C62*$D62,"")</f>
        <v/>
      </c>
    </row>
    <row r="63" customFormat="false" ht="15" hidden="false" customHeight="true" outlineLevel="0" collapsed="false">
      <c r="A63" s="49"/>
      <c r="B63" s="49"/>
      <c r="C63" s="49"/>
      <c r="D63" s="71" t="str">
        <f aca="false">IFERROR(INDEX('تحليل التكلفة والسعر'!$N$2:$N$300,MATCH($B63,'تحليل التكلفة والسعر'!$B$2:$B$300,0)),IFERROR(INDEX(المكونات!$C$2:$C$500,MATCH($B63,المكونات!$A$2:$A$500,0)),""))</f>
        <v/>
      </c>
      <c r="E63" s="13" t="str">
        <f aca="false">IFERROR($C63*$D63,"")</f>
        <v/>
      </c>
    </row>
    <row r="64" customFormat="false" ht="15" hidden="false" customHeight="true" outlineLevel="0" collapsed="false">
      <c r="A64" s="49"/>
      <c r="B64" s="49"/>
      <c r="C64" s="49"/>
      <c r="D64" s="71" t="str">
        <f aca="false">IFERROR(INDEX('تحليل التكلفة والسعر'!$N$2:$N$300,MATCH($B64,'تحليل التكلفة والسعر'!$B$2:$B$300,0)),IFERROR(INDEX(المكونات!$C$2:$C$500,MATCH($B64,المكونات!$A$2:$A$500,0)),""))</f>
        <v/>
      </c>
      <c r="E64" s="13" t="str">
        <f aca="false">IFERROR($C64*$D64,"")</f>
        <v/>
      </c>
    </row>
    <row r="65" customFormat="false" ht="15" hidden="false" customHeight="true" outlineLevel="0" collapsed="false">
      <c r="A65" s="49"/>
      <c r="B65" s="49"/>
      <c r="C65" s="49"/>
      <c r="D65" s="71" t="str">
        <f aca="false">IFERROR(INDEX('تحليل التكلفة والسعر'!$N$2:$N$300,MATCH($B65,'تحليل التكلفة والسعر'!$B$2:$B$300,0)),IFERROR(INDEX(المكونات!$C$2:$C$500,MATCH($B65,المكونات!$A$2:$A$500,0)),""))</f>
        <v/>
      </c>
      <c r="E65" s="13" t="str">
        <f aca="false">IFERROR($C65*$D65,"")</f>
        <v/>
      </c>
    </row>
    <row r="66" customFormat="false" ht="15" hidden="false" customHeight="true" outlineLevel="0" collapsed="false">
      <c r="A66" s="49"/>
      <c r="B66" s="49"/>
      <c r="C66" s="49"/>
      <c r="D66" s="71" t="str">
        <f aca="false">IFERROR(INDEX('تحليل التكلفة والسعر'!$N$2:$N$300,MATCH($B66,'تحليل التكلفة والسعر'!$B$2:$B$300,0)),IFERROR(INDEX(المكونات!$C$2:$C$500,MATCH($B66,المكونات!$A$2:$A$500,0)),""))</f>
        <v/>
      </c>
      <c r="E66" s="13" t="str">
        <f aca="false">IFERROR($C66*$D66,"")</f>
        <v/>
      </c>
    </row>
    <row r="67" customFormat="false" ht="15" hidden="false" customHeight="true" outlineLevel="0" collapsed="false">
      <c r="A67" s="49"/>
      <c r="B67" s="49"/>
      <c r="C67" s="49"/>
      <c r="D67" s="71" t="str">
        <f aca="false">IFERROR(INDEX('تحليل التكلفة والسعر'!$N$2:$N$300,MATCH($B67,'تحليل التكلفة والسعر'!$B$2:$B$300,0)),IFERROR(INDEX(المكونات!$C$2:$C$500,MATCH($B67,المكونات!$A$2:$A$500,0)),""))</f>
        <v/>
      </c>
      <c r="E67" s="13" t="str">
        <f aca="false">IFERROR($C67*$D67,"")</f>
        <v/>
      </c>
    </row>
    <row r="68" customFormat="false" ht="15" hidden="false" customHeight="true" outlineLevel="0" collapsed="false">
      <c r="A68" s="49"/>
      <c r="B68" s="49"/>
      <c r="C68" s="49"/>
      <c r="D68" s="71" t="str">
        <f aca="false">IFERROR(INDEX('تحليل التكلفة والسعر'!$N$2:$N$300,MATCH($B68,'تحليل التكلفة والسعر'!$B$2:$B$300,0)),IFERROR(INDEX(المكونات!$C$2:$C$500,MATCH($B68,المكونات!$A$2:$A$500,0)),""))</f>
        <v/>
      </c>
      <c r="E68" s="13" t="str">
        <f aca="false">IFERROR($C68*$D68,"")</f>
        <v/>
      </c>
    </row>
    <row r="69" customFormat="false" ht="15" hidden="false" customHeight="true" outlineLevel="0" collapsed="false">
      <c r="A69" s="49"/>
      <c r="B69" s="49"/>
      <c r="C69" s="49"/>
      <c r="D69" s="71" t="str">
        <f aca="false">IFERROR(INDEX('تحليل التكلفة والسعر'!$N$2:$N$300,MATCH($B69,'تحليل التكلفة والسعر'!$B$2:$B$300,0)),IFERROR(INDEX(المكونات!$C$2:$C$500,MATCH($B69,المكونات!$A$2:$A$500,0)),""))</f>
        <v/>
      </c>
      <c r="E69" s="13" t="str">
        <f aca="false">IFERROR($C69*$D69,"")</f>
        <v/>
      </c>
    </row>
    <row r="70" customFormat="false" ht="15" hidden="false" customHeight="true" outlineLevel="0" collapsed="false">
      <c r="A70" s="49"/>
      <c r="B70" s="49"/>
      <c r="C70" s="49"/>
      <c r="D70" s="71" t="str">
        <f aca="false">IFERROR(INDEX('تحليل التكلفة والسعر'!$N$2:$N$300,MATCH($B70,'تحليل التكلفة والسعر'!$B$2:$B$300,0)),IFERROR(INDEX(المكونات!$C$2:$C$500,MATCH($B70,المكونات!$A$2:$A$500,0)),""))</f>
        <v/>
      </c>
      <c r="E70" s="13" t="str">
        <f aca="false">IFERROR($C70*$D70,"")</f>
        <v/>
      </c>
    </row>
    <row r="71" customFormat="false" ht="15" hidden="false" customHeight="true" outlineLevel="0" collapsed="false">
      <c r="A71" s="49"/>
      <c r="B71" s="49"/>
      <c r="C71" s="49"/>
      <c r="D71" s="71" t="str">
        <f aca="false">IFERROR(INDEX('تحليل التكلفة والسعر'!$N$2:$N$300,MATCH($B71,'تحليل التكلفة والسعر'!$B$2:$B$300,0)),IFERROR(INDEX(المكونات!$C$2:$C$500,MATCH($B71,المكونات!$A$2:$A$500,0)),""))</f>
        <v/>
      </c>
      <c r="E71" s="13" t="str">
        <f aca="false">IFERROR($C71*$D71,"")</f>
        <v/>
      </c>
    </row>
    <row r="72" customFormat="false" ht="15" hidden="false" customHeight="true" outlineLevel="0" collapsed="false">
      <c r="A72" s="49"/>
      <c r="B72" s="49"/>
      <c r="C72" s="49"/>
      <c r="D72" s="71" t="str">
        <f aca="false">IFERROR(INDEX('تحليل التكلفة والسعر'!$N$2:$N$300,MATCH($B72,'تحليل التكلفة والسعر'!$B$2:$B$300,0)),IFERROR(INDEX(المكونات!$C$2:$C$500,MATCH($B72,المكونات!$A$2:$A$500,0)),""))</f>
        <v/>
      </c>
      <c r="E72" s="13" t="str">
        <f aca="false">IFERROR($C72*$D72,"")</f>
        <v/>
      </c>
    </row>
    <row r="73" customFormat="false" ht="15" hidden="false" customHeight="true" outlineLevel="0" collapsed="false">
      <c r="A73" s="49"/>
      <c r="B73" s="49"/>
      <c r="C73" s="49"/>
      <c r="D73" s="71" t="str">
        <f aca="false">IFERROR(INDEX('تحليل التكلفة والسعر'!$N$2:$N$300,MATCH($B73,'تحليل التكلفة والسعر'!$B$2:$B$300,0)),IFERROR(INDEX(المكونات!$C$2:$C$500,MATCH($B73,المكونات!$A$2:$A$500,0)),""))</f>
        <v/>
      </c>
      <c r="E73" s="13" t="str">
        <f aca="false">IFERROR($C73*$D73,"")</f>
        <v/>
      </c>
    </row>
    <row r="74" customFormat="false" ht="15" hidden="false" customHeight="true" outlineLevel="0" collapsed="false">
      <c r="A74" s="49"/>
      <c r="B74" s="49"/>
      <c r="C74" s="49"/>
      <c r="D74" s="71" t="str">
        <f aca="false">IFERROR(INDEX('تحليل التكلفة والسعر'!$N$2:$N$300,MATCH($B74,'تحليل التكلفة والسعر'!$B$2:$B$300,0)),IFERROR(INDEX(المكونات!$C$2:$C$500,MATCH($B74,المكونات!$A$2:$A$500,0)),""))</f>
        <v/>
      </c>
      <c r="E74" s="13" t="str">
        <f aca="false">IFERROR($C74*$D74,"")</f>
        <v/>
      </c>
    </row>
    <row r="75" customFormat="false" ht="15" hidden="false" customHeight="true" outlineLevel="0" collapsed="false">
      <c r="A75" s="49"/>
      <c r="B75" s="49"/>
      <c r="C75" s="49"/>
      <c r="D75" s="71" t="str">
        <f aca="false">IFERROR(INDEX('تحليل التكلفة والسعر'!$N$2:$N$300,MATCH($B75,'تحليل التكلفة والسعر'!$B$2:$B$300,0)),IFERROR(INDEX(المكونات!$C$2:$C$500,MATCH($B75,المكونات!$A$2:$A$500,0)),""))</f>
        <v/>
      </c>
      <c r="E75" s="13" t="str">
        <f aca="false">IFERROR($C75*$D75,"")</f>
        <v/>
      </c>
    </row>
    <row r="76" customFormat="false" ht="15" hidden="false" customHeight="true" outlineLevel="0" collapsed="false">
      <c r="A76" s="49"/>
      <c r="B76" s="49"/>
      <c r="C76" s="49"/>
      <c r="D76" s="71" t="str">
        <f aca="false">IFERROR(INDEX('تحليل التكلفة والسعر'!$N$2:$N$300,MATCH($B76,'تحليل التكلفة والسعر'!$B$2:$B$300,0)),IFERROR(INDEX(المكونات!$C$2:$C$500,MATCH($B76,المكونات!$A$2:$A$500,0)),""))</f>
        <v/>
      </c>
      <c r="E76" s="13" t="str">
        <f aca="false">IFERROR($C76*$D76,"")</f>
        <v/>
      </c>
    </row>
    <row r="77" customFormat="false" ht="15" hidden="false" customHeight="true" outlineLevel="0" collapsed="false">
      <c r="A77" s="49"/>
      <c r="B77" s="49"/>
      <c r="C77" s="49"/>
      <c r="D77" s="71" t="str">
        <f aca="false">IFERROR(INDEX('تحليل التكلفة والسعر'!$N$2:$N$300,MATCH($B77,'تحليل التكلفة والسعر'!$B$2:$B$300,0)),IFERROR(INDEX(المكونات!$C$2:$C$500,MATCH($B77,المكونات!$A$2:$A$500,0)),""))</f>
        <v/>
      </c>
      <c r="E77" s="13" t="str">
        <f aca="false">IFERROR($C77*$D77,"")</f>
        <v/>
      </c>
    </row>
    <row r="78" customFormat="false" ht="15" hidden="false" customHeight="true" outlineLevel="0" collapsed="false">
      <c r="A78" s="49"/>
      <c r="B78" s="49"/>
      <c r="C78" s="49"/>
      <c r="D78" s="71" t="str">
        <f aca="false">IFERROR(INDEX('تحليل التكلفة والسعر'!$N$2:$N$300,MATCH($B78,'تحليل التكلفة والسعر'!$B$2:$B$300,0)),IFERROR(INDEX(المكونات!$C$2:$C$500,MATCH($B78,المكونات!$A$2:$A$500,0)),""))</f>
        <v/>
      </c>
      <c r="E78" s="13" t="str">
        <f aca="false">IFERROR($C78*$D78,"")</f>
        <v/>
      </c>
    </row>
    <row r="79" customFormat="false" ht="15" hidden="false" customHeight="true" outlineLevel="0" collapsed="false">
      <c r="A79" s="49"/>
      <c r="B79" s="49"/>
      <c r="C79" s="49"/>
      <c r="D79" s="71" t="str">
        <f aca="false">IFERROR(INDEX('تحليل التكلفة والسعر'!$N$2:$N$300,MATCH($B79,'تحليل التكلفة والسعر'!$B$2:$B$300,0)),IFERROR(INDEX(المكونات!$C$2:$C$500,MATCH($B79,المكونات!$A$2:$A$500,0)),""))</f>
        <v/>
      </c>
      <c r="E79" s="13" t="str">
        <f aca="false">IFERROR($C79*$D79,"")</f>
        <v/>
      </c>
    </row>
    <row r="80" customFormat="false" ht="15" hidden="false" customHeight="true" outlineLevel="0" collapsed="false">
      <c r="A80" s="49"/>
      <c r="B80" s="49"/>
      <c r="C80" s="49"/>
      <c r="D80" s="71" t="str">
        <f aca="false">IFERROR(INDEX('تحليل التكلفة والسعر'!$N$2:$N$300,MATCH($B80,'تحليل التكلفة والسعر'!$B$2:$B$300,0)),IFERROR(INDEX(المكونات!$C$2:$C$500,MATCH($B80,المكونات!$A$2:$A$500,0)),""))</f>
        <v/>
      </c>
      <c r="E80" s="13" t="str">
        <f aca="false">IFERROR($C80*$D80,"")</f>
        <v/>
      </c>
    </row>
    <row r="81" customFormat="false" ht="15" hidden="false" customHeight="true" outlineLevel="0" collapsed="false">
      <c r="A81" s="49"/>
      <c r="B81" s="49"/>
      <c r="C81" s="49"/>
      <c r="D81" s="71" t="str">
        <f aca="false">IFERROR(INDEX('تحليل التكلفة والسعر'!$N$2:$N$300,MATCH($B81,'تحليل التكلفة والسعر'!$B$2:$B$300,0)),IFERROR(INDEX(المكونات!$C$2:$C$500,MATCH($B81,المكونات!$A$2:$A$500,0)),""))</f>
        <v/>
      </c>
      <c r="E81" s="13" t="str">
        <f aca="false">IFERROR($C81*$D81,"")</f>
        <v/>
      </c>
    </row>
    <row r="82" customFormat="false" ht="15" hidden="false" customHeight="true" outlineLevel="0" collapsed="false">
      <c r="A82" s="49"/>
      <c r="B82" s="49"/>
      <c r="C82" s="49"/>
      <c r="D82" s="71" t="str">
        <f aca="false">IFERROR(INDEX('تحليل التكلفة والسعر'!$N$2:$N$300,MATCH($B82,'تحليل التكلفة والسعر'!$B$2:$B$300,0)),IFERROR(INDEX(المكونات!$C$2:$C$500,MATCH($B82,المكونات!$A$2:$A$500,0)),""))</f>
        <v/>
      </c>
      <c r="E82" s="13" t="str">
        <f aca="false">IFERROR($C82*$D82,"")</f>
        <v/>
      </c>
    </row>
    <row r="83" customFormat="false" ht="15" hidden="false" customHeight="true" outlineLevel="0" collapsed="false">
      <c r="A83" s="49"/>
      <c r="B83" s="49"/>
      <c r="C83" s="49"/>
      <c r="D83" s="71" t="str">
        <f aca="false">IFERROR(INDEX('تحليل التكلفة والسعر'!$N$2:$N$300,MATCH($B83,'تحليل التكلفة والسعر'!$B$2:$B$300,0)),IFERROR(INDEX(المكونات!$C$2:$C$500,MATCH($B83,المكونات!$A$2:$A$500,0)),""))</f>
        <v/>
      </c>
      <c r="E83" s="13" t="str">
        <f aca="false">IFERROR($C83*$D83,"")</f>
        <v/>
      </c>
    </row>
    <row r="84" customFormat="false" ht="15" hidden="false" customHeight="true" outlineLevel="0" collapsed="false">
      <c r="A84" s="49"/>
      <c r="B84" s="49"/>
      <c r="C84" s="49"/>
      <c r="D84" s="71" t="str">
        <f aca="false">IFERROR(INDEX('تحليل التكلفة والسعر'!$N$2:$N$300,MATCH($B84,'تحليل التكلفة والسعر'!$B$2:$B$300,0)),IFERROR(INDEX(المكونات!$C$2:$C$500,MATCH($B84,المكونات!$A$2:$A$500,0)),""))</f>
        <v/>
      </c>
      <c r="E84" s="13" t="str">
        <f aca="false">IFERROR($C84*$D84,"")</f>
        <v/>
      </c>
    </row>
    <row r="85" customFormat="false" ht="15" hidden="false" customHeight="true" outlineLevel="0" collapsed="false">
      <c r="A85" s="49"/>
      <c r="B85" s="49"/>
      <c r="C85" s="49"/>
      <c r="D85" s="71" t="str">
        <f aca="false">IFERROR(INDEX('تحليل التكلفة والسعر'!$N$2:$N$300,MATCH($B85,'تحليل التكلفة والسعر'!$B$2:$B$300,0)),IFERROR(INDEX(المكونات!$C$2:$C$500,MATCH($B85,المكونات!$A$2:$A$500,0)),""))</f>
        <v/>
      </c>
      <c r="E85" s="13" t="str">
        <f aca="false">IFERROR($C85*$D85,"")</f>
        <v/>
      </c>
    </row>
    <row r="86" customFormat="false" ht="15" hidden="false" customHeight="true" outlineLevel="0" collapsed="false">
      <c r="A86" s="49"/>
      <c r="B86" s="49"/>
      <c r="C86" s="49"/>
      <c r="D86" s="71" t="str">
        <f aca="false">IFERROR(INDEX('تحليل التكلفة والسعر'!$N$2:$N$300,MATCH($B86,'تحليل التكلفة والسعر'!$B$2:$B$300,0)),IFERROR(INDEX(المكونات!$C$2:$C$500,MATCH($B86,المكونات!$A$2:$A$500,0)),""))</f>
        <v/>
      </c>
      <c r="E86" s="13" t="str">
        <f aca="false">IFERROR($C86*$D86,"")</f>
        <v/>
      </c>
    </row>
    <row r="87" customFormat="false" ht="15" hidden="false" customHeight="true" outlineLevel="0" collapsed="false">
      <c r="A87" s="49"/>
      <c r="B87" s="49"/>
      <c r="C87" s="49"/>
      <c r="D87" s="71" t="str">
        <f aca="false">IFERROR(INDEX('تحليل التكلفة والسعر'!$N$2:$N$300,MATCH($B87,'تحليل التكلفة والسعر'!$B$2:$B$300,0)),IFERROR(INDEX(المكونات!$C$2:$C$500,MATCH($B87,المكونات!$A$2:$A$500,0)),""))</f>
        <v/>
      </c>
      <c r="E87" s="13" t="str">
        <f aca="false">IFERROR($C87*$D87,"")</f>
        <v/>
      </c>
    </row>
    <row r="88" customFormat="false" ht="15" hidden="false" customHeight="true" outlineLevel="0" collapsed="false">
      <c r="A88" s="49"/>
      <c r="B88" s="49"/>
      <c r="C88" s="49"/>
      <c r="D88" s="71" t="str">
        <f aca="false">IFERROR(INDEX('تحليل التكلفة والسعر'!$N$2:$N$300,MATCH($B88,'تحليل التكلفة والسعر'!$B$2:$B$300,0)),IFERROR(INDEX(المكونات!$C$2:$C$500,MATCH($B88,المكونات!$A$2:$A$500,0)),""))</f>
        <v/>
      </c>
      <c r="E88" s="13" t="str">
        <f aca="false">IFERROR($C88*$D88,"")</f>
        <v/>
      </c>
    </row>
    <row r="89" customFormat="false" ht="15" hidden="false" customHeight="true" outlineLevel="0" collapsed="false">
      <c r="A89" s="49"/>
      <c r="B89" s="49"/>
      <c r="C89" s="49"/>
      <c r="D89" s="71" t="str">
        <f aca="false">IFERROR(INDEX('تحليل التكلفة والسعر'!$N$2:$N$300,MATCH($B89,'تحليل التكلفة والسعر'!$B$2:$B$300,0)),IFERROR(INDEX(المكونات!$C$2:$C$500,MATCH($B89,المكونات!$A$2:$A$500,0)),""))</f>
        <v/>
      </c>
      <c r="E89" s="13" t="str">
        <f aca="false">IFERROR($C89*$D89,"")</f>
        <v/>
      </c>
    </row>
    <row r="90" customFormat="false" ht="15" hidden="false" customHeight="true" outlineLevel="0" collapsed="false">
      <c r="A90" s="49"/>
      <c r="B90" s="49"/>
      <c r="C90" s="49"/>
      <c r="D90" s="71" t="str">
        <f aca="false">IFERROR(INDEX('تحليل التكلفة والسعر'!$N$2:$N$300,MATCH($B90,'تحليل التكلفة والسعر'!$B$2:$B$300,0)),IFERROR(INDEX(المكونات!$C$2:$C$500,MATCH($B90,المكونات!$A$2:$A$500,0)),""))</f>
        <v/>
      </c>
      <c r="E90" s="13" t="str">
        <f aca="false">IFERROR($C90*$D90,"")</f>
        <v/>
      </c>
    </row>
    <row r="91" customFormat="false" ht="15" hidden="false" customHeight="true" outlineLevel="0" collapsed="false">
      <c r="A91" s="49"/>
      <c r="B91" s="49"/>
      <c r="C91" s="49"/>
      <c r="D91" s="71" t="str">
        <f aca="false">IFERROR(INDEX('تحليل التكلفة والسعر'!$N$2:$N$300,MATCH($B91,'تحليل التكلفة والسعر'!$B$2:$B$300,0)),IFERROR(INDEX(المكونات!$C$2:$C$500,MATCH($B91,المكونات!$A$2:$A$500,0)),""))</f>
        <v/>
      </c>
      <c r="E91" s="13" t="str">
        <f aca="false">IFERROR($C91*$D91,"")</f>
        <v/>
      </c>
    </row>
    <row r="92" customFormat="false" ht="15" hidden="false" customHeight="true" outlineLevel="0" collapsed="false">
      <c r="A92" s="49"/>
      <c r="B92" s="49"/>
      <c r="C92" s="49"/>
      <c r="D92" s="71" t="str">
        <f aca="false">IFERROR(INDEX('تحليل التكلفة والسعر'!$N$2:$N$300,MATCH($B92,'تحليل التكلفة والسعر'!$B$2:$B$300,0)),IFERROR(INDEX(المكونات!$C$2:$C$500,MATCH($B92,المكونات!$A$2:$A$500,0)),""))</f>
        <v/>
      </c>
      <c r="E92" s="13" t="str">
        <f aca="false">IFERROR($C92*$D92,"")</f>
        <v/>
      </c>
    </row>
    <row r="93" customFormat="false" ht="15" hidden="false" customHeight="true" outlineLevel="0" collapsed="false">
      <c r="A93" s="49"/>
      <c r="B93" s="49"/>
      <c r="C93" s="49"/>
      <c r="D93" s="71" t="str">
        <f aca="false">IFERROR(INDEX('تحليل التكلفة والسعر'!$N$2:$N$300,MATCH($B93,'تحليل التكلفة والسعر'!$B$2:$B$300,0)),IFERROR(INDEX(المكونات!$C$2:$C$500,MATCH($B93,المكونات!$A$2:$A$500,0)),""))</f>
        <v/>
      </c>
      <c r="E93" s="13" t="str">
        <f aca="false">IFERROR($C93*$D93,"")</f>
        <v/>
      </c>
    </row>
    <row r="94" customFormat="false" ht="15" hidden="false" customHeight="true" outlineLevel="0" collapsed="false">
      <c r="A94" s="49"/>
      <c r="B94" s="49"/>
      <c r="C94" s="49"/>
      <c r="D94" s="71" t="str">
        <f aca="false">IFERROR(INDEX('تحليل التكلفة والسعر'!$N$2:$N$300,MATCH($B94,'تحليل التكلفة والسعر'!$B$2:$B$300,0)),IFERROR(INDEX(المكونات!$C$2:$C$500,MATCH($B94,المكونات!$A$2:$A$500,0)),""))</f>
        <v/>
      </c>
      <c r="E94" s="13" t="str">
        <f aca="false">IFERROR($C94*$D94,"")</f>
        <v/>
      </c>
    </row>
    <row r="95" customFormat="false" ht="15" hidden="false" customHeight="true" outlineLevel="0" collapsed="false">
      <c r="A95" s="49"/>
      <c r="B95" s="49"/>
      <c r="C95" s="49"/>
      <c r="D95" s="71" t="str">
        <f aca="false">IFERROR(INDEX('تحليل التكلفة والسعر'!$N$2:$N$300,MATCH($B95,'تحليل التكلفة والسعر'!$B$2:$B$300,0)),IFERROR(INDEX(المكونات!$C$2:$C$500,MATCH($B95,المكونات!$A$2:$A$500,0)),""))</f>
        <v/>
      </c>
      <c r="E95" s="13" t="str">
        <f aca="false">IFERROR($C95*$D95,"")</f>
        <v/>
      </c>
    </row>
    <row r="96" customFormat="false" ht="15" hidden="false" customHeight="true" outlineLevel="0" collapsed="false">
      <c r="A96" s="49"/>
      <c r="B96" s="49"/>
      <c r="C96" s="49"/>
      <c r="D96" s="71" t="str">
        <f aca="false">IFERROR(INDEX('تحليل التكلفة والسعر'!$N$2:$N$300,MATCH($B96,'تحليل التكلفة والسعر'!$B$2:$B$300,0)),IFERROR(INDEX(المكونات!$C$2:$C$500,MATCH($B96,المكونات!$A$2:$A$500,0)),""))</f>
        <v/>
      </c>
      <c r="E96" s="13" t="str">
        <f aca="false">IFERROR($C96*$D96,"")</f>
        <v/>
      </c>
    </row>
    <row r="97" customFormat="false" ht="15" hidden="false" customHeight="true" outlineLevel="0" collapsed="false">
      <c r="A97" s="49"/>
      <c r="B97" s="49"/>
      <c r="C97" s="49"/>
      <c r="D97" s="71" t="str">
        <f aca="false">IFERROR(INDEX('تحليل التكلفة والسعر'!$N$2:$N$300,MATCH($B97,'تحليل التكلفة والسعر'!$B$2:$B$300,0)),IFERROR(INDEX(المكونات!$C$2:$C$500,MATCH($B97,المكونات!$A$2:$A$500,0)),""))</f>
        <v/>
      </c>
      <c r="E97" s="13" t="str">
        <f aca="false">IFERROR($C97*$D97,"")</f>
        <v/>
      </c>
    </row>
    <row r="98" customFormat="false" ht="15" hidden="false" customHeight="true" outlineLevel="0" collapsed="false">
      <c r="A98" s="49"/>
      <c r="B98" s="49"/>
      <c r="C98" s="49"/>
      <c r="D98" s="71" t="str">
        <f aca="false">IFERROR(INDEX('تحليل التكلفة والسعر'!$N$2:$N$300,MATCH($B98,'تحليل التكلفة والسعر'!$B$2:$B$300,0)),IFERROR(INDEX(المكونات!$C$2:$C$500,MATCH($B98,المكونات!$A$2:$A$500,0)),""))</f>
        <v/>
      </c>
      <c r="E98" s="13" t="str">
        <f aca="false">IFERROR($C98*$D98,"")</f>
        <v/>
      </c>
    </row>
    <row r="99" customFormat="false" ht="15" hidden="false" customHeight="true" outlineLevel="0" collapsed="false">
      <c r="A99" s="49"/>
      <c r="B99" s="49"/>
      <c r="C99" s="49"/>
      <c r="D99" s="71" t="str">
        <f aca="false">IFERROR(INDEX('تحليل التكلفة والسعر'!$N$2:$N$300,MATCH($B99,'تحليل التكلفة والسعر'!$B$2:$B$300,0)),IFERROR(INDEX(المكونات!$C$2:$C$500,MATCH($B99,المكونات!$A$2:$A$500,0)),""))</f>
        <v/>
      </c>
      <c r="E99" s="13" t="str">
        <f aca="false">IFERROR($C99*$D99,"")</f>
        <v/>
      </c>
    </row>
    <row r="100" customFormat="false" ht="15" hidden="false" customHeight="true" outlineLevel="0" collapsed="false">
      <c r="A100" s="49"/>
      <c r="B100" s="49"/>
      <c r="C100" s="49"/>
      <c r="D100" s="71" t="str">
        <f aca="false">IFERROR(INDEX('تحليل التكلفة والسعر'!$N$2:$N$300,MATCH($B100,'تحليل التكلفة والسعر'!$B$2:$B$300,0)),IFERROR(INDEX(المكونات!$C$2:$C$500,MATCH($B100,المكونات!$A$2:$A$500,0)),""))</f>
        <v/>
      </c>
      <c r="E100" s="13" t="str">
        <f aca="false">IFERROR($C100*$D100,"")</f>
        <v/>
      </c>
    </row>
    <row r="101" customFormat="false" ht="15" hidden="false" customHeight="true" outlineLevel="0" collapsed="false">
      <c r="A101" s="49"/>
      <c r="B101" s="49"/>
      <c r="C101" s="49"/>
      <c r="D101" s="71" t="str">
        <f aca="false">IFERROR(INDEX('تحليل التكلفة والسعر'!$N$2:$N$300,MATCH($B101,'تحليل التكلفة والسعر'!$B$2:$B$300,0)),IFERROR(INDEX(المكونات!$C$2:$C$500,MATCH($B101,المكونات!$A$2:$A$500,0)),""))</f>
        <v/>
      </c>
      <c r="E101" s="13" t="str">
        <f aca="false">IFERROR($C101*$D101,"")</f>
        <v/>
      </c>
    </row>
    <row r="102" customFormat="false" ht="15" hidden="false" customHeight="true" outlineLevel="0" collapsed="false">
      <c r="A102" s="49"/>
      <c r="B102" s="49"/>
      <c r="C102" s="49"/>
      <c r="D102" s="71" t="str">
        <f aca="false">IFERROR(INDEX('تحليل التكلفة والسعر'!$N$2:$N$300,MATCH($B102,'تحليل التكلفة والسعر'!$B$2:$B$300,0)),IFERROR(INDEX(المكونات!$C$2:$C$500,MATCH($B102,المكونات!$A$2:$A$500,0)),""))</f>
        <v/>
      </c>
      <c r="E102" s="13" t="str">
        <f aca="false">IFERROR($C102*$D102,"")</f>
        <v/>
      </c>
    </row>
    <row r="103" customFormat="false" ht="15" hidden="false" customHeight="true" outlineLevel="0" collapsed="false">
      <c r="A103" s="49"/>
      <c r="B103" s="49"/>
      <c r="C103" s="49"/>
      <c r="D103" s="71" t="str">
        <f aca="false">IFERROR(INDEX('تحليل التكلفة والسعر'!$N$2:$N$300,MATCH($B103,'تحليل التكلفة والسعر'!$B$2:$B$300,0)),IFERROR(INDEX(المكونات!$C$2:$C$500,MATCH($B103,المكونات!$A$2:$A$500,0)),""))</f>
        <v/>
      </c>
      <c r="E103" s="13" t="str">
        <f aca="false">IFERROR($C103*$D103,"")</f>
        <v/>
      </c>
    </row>
    <row r="104" customFormat="false" ht="15" hidden="false" customHeight="true" outlineLevel="0" collapsed="false">
      <c r="A104" s="49"/>
      <c r="B104" s="49"/>
      <c r="C104" s="49"/>
      <c r="D104" s="71" t="str">
        <f aca="false">IFERROR(INDEX('تحليل التكلفة والسعر'!$N$2:$N$300,MATCH($B104,'تحليل التكلفة والسعر'!$B$2:$B$300,0)),IFERROR(INDEX(المكونات!$C$2:$C$500,MATCH($B104,المكونات!$A$2:$A$500,0)),""))</f>
        <v/>
      </c>
      <c r="E104" s="13" t="str">
        <f aca="false">IFERROR($C104*$D104,"")</f>
        <v/>
      </c>
    </row>
    <row r="105" customFormat="false" ht="15" hidden="false" customHeight="true" outlineLevel="0" collapsed="false">
      <c r="A105" s="49"/>
      <c r="B105" s="49"/>
      <c r="C105" s="49"/>
      <c r="D105" s="71" t="str">
        <f aca="false">IFERROR(INDEX('تحليل التكلفة والسعر'!$N$2:$N$300,MATCH($B105,'تحليل التكلفة والسعر'!$B$2:$B$300,0)),IFERROR(INDEX(المكونات!$C$2:$C$500,MATCH($B105,المكونات!$A$2:$A$500,0)),""))</f>
        <v/>
      </c>
      <c r="E105" s="13" t="str">
        <f aca="false">IFERROR($C105*$D105,"")</f>
        <v/>
      </c>
    </row>
    <row r="106" customFormat="false" ht="15" hidden="false" customHeight="true" outlineLevel="0" collapsed="false">
      <c r="A106" s="49"/>
      <c r="B106" s="49"/>
      <c r="C106" s="49"/>
      <c r="D106" s="71" t="str">
        <f aca="false">IFERROR(INDEX('تحليل التكلفة والسعر'!$N$2:$N$300,MATCH($B106,'تحليل التكلفة والسعر'!$B$2:$B$300,0)),IFERROR(INDEX(المكونات!$C$2:$C$500,MATCH($B106,المكونات!$A$2:$A$500,0)),""))</f>
        <v/>
      </c>
      <c r="E106" s="13" t="str">
        <f aca="false">IFERROR($C106*$D106,"")</f>
        <v/>
      </c>
    </row>
    <row r="107" customFormat="false" ht="15" hidden="false" customHeight="true" outlineLevel="0" collapsed="false">
      <c r="A107" s="49"/>
      <c r="B107" s="49"/>
      <c r="C107" s="49"/>
      <c r="D107" s="71" t="str">
        <f aca="false">IFERROR(INDEX('تحليل التكلفة والسعر'!$N$2:$N$300,MATCH($B107,'تحليل التكلفة والسعر'!$B$2:$B$300,0)),IFERROR(INDEX(المكونات!$C$2:$C$500,MATCH($B107,المكونات!$A$2:$A$500,0)),""))</f>
        <v/>
      </c>
      <c r="E107" s="13" t="str">
        <f aca="false">IFERROR($C107*$D107,"")</f>
        <v/>
      </c>
    </row>
    <row r="108" customFormat="false" ht="15" hidden="false" customHeight="true" outlineLevel="0" collapsed="false">
      <c r="A108" s="49"/>
      <c r="B108" s="49"/>
      <c r="C108" s="49"/>
      <c r="D108" s="71" t="str">
        <f aca="false">IFERROR(INDEX('تحليل التكلفة والسعر'!$N$2:$N$300,MATCH($B108,'تحليل التكلفة والسعر'!$B$2:$B$300,0)),IFERROR(INDEX(المكونات!$C$2:$C$500,MATCH($B108,المكونات!$A$2:$A$500,0)),""))</f>
        <v/>
      </c>
      <c r="E108" s="13" t="str">
        <f aca="false">IFERROR($C108*$D108,"")</f>
        <v/>
      </c>
    </row>
    <row r="109" customFormat="false" ht="15" hidden="false" customHeight="true" outlineLevel="0" collapsed="false">
      <c r="A109" s="49"/>
      <c r="B109" s="49"/>
      <c r="C109" s="49"/>
      <c r="D109" s="71" t="str">
        <f aca="false">IFERROR(INDEX('تحليل التكلفة والسعر'!$N$2:$N$300,MATCH($B109,'تحليل التكلفة والسعر'!$B$2:$B$300,0)),IFERROR(INDEX(المكونات!$C$2:$C$500,MATCH($B109,المكونات!$A$2:$A$500,0)),""))</f>
        <v/>
      </c>
      <c r="E109" s="13" t="str">
        <f aca="false">IFERROR($C109*$D109,"")</f>
        <v/>
      </c>
    </row>
    <row r="110" customFormat="false" ht="15" hidden="false" customHeight="true" outlineLevel="0" collapsed="false">
      <c r="A110" s="49"/>
      <c r="B110" s="49"/>
      <c r="C110" s="49"/>
      <c r="D110" s="71" t="str">
        <f aca="false">IFERROR(INDEX('تحليل التكلفة والسعر'!$N$2:$N$300,MATCH($B110,'تحليل التكلفة والسعر'!$B$2:$B$300,0)),IFERROR(INDEX(المكونات!$C$2:$C$500,MATCH($B110,المكونات!$A$2:$A$500,0)),""))</f>
        <v/>
      </c>
      <c r="E110" s="13" t="str">
        <f aca="false">IFERROR($C110*$D110,"")</f>
        <v/>
      </c>
    </row>
    <row r="111" customFormat="false" ht="15" hidden="false" customHeight="true" outlineLevel="0" collapsed="false">
      <c r="A111" s="49"/>
      <c r="B111" s="49"/>
      <c r="C111" s="49"/>
      <c r="D111" s="71" t="str">
        <f aca="false">IFERROR(INDEX('تحليل التكلفة والسعر'!$N$2:$N$300,MATCH($B111,'تحليل التكلفة والسعر'!$B$2:$B$300,0)),IFERROR(INDEX(المكونات!$C$2:$C$500,MATCH($B111,المكونات!$A$2:$A$500,0)),""))</f>
        <v/>
      </c>
      <c r="E111" s="13" t="str">
        <f aca="false">IFERROR($C111*$D111,"")</f>
        <v/>
      </c>
    </row>
    <row r="112" customFormat="false" ht="15" hidden="false" customHeight="true" outlineLevel="0" collapsed="false">
      <c r="A112" s="49"/>
      <c r="B112" s="49"/>
      <c r="C112" s="49"/>
      <c r="D112" s="71" t="str">
        <f aca="false">IFERROR(INDEX('تحليل التكلفة والسعر'!$N$2:$N$300,MATCH($B112,'تحليل التكلفة والسعر'!$B$2:$B$300,0)),IFERROR(INDEX(المكونات!$C$2:$C$500,MATCH($B112,المكونات!$A$2:$A$500,0)),""))</f>
        <v/>
      </c>
      <c r="E112" s="13" t="str">
        <f aca="false">IFERROR($C112*$D112,"")</f>
        <v/>
      </c>
    </row>
    <row r="113" customFormat="false" ht="15" hidden="false" customHeight="true" outlineLevel="0" collapsed="false">
      <c r="A113" s="49"/>
      <c r="B113" s="49"/>
      <c r="C113" s="49"/>
      <c r="D113" s="71" t="str">
        <f aca="false">IFERROR(INDEX('تحليل التكلفة والسعر'!$N$2:$N$300,MATCH($B113,'تحليل التكلفة والسعر'!$B$2:$B$300,0)),IFERROR(INDEX(المكونات!$C$2:$C$500,MATCH($B113,المكونات!$A$2:$A$500,0)),""))</f>
        <v/>
      </c>
      <c r="E113" s="13" t="str">
        <f aca="false">IFERROR($C113*$D113,"")</f>
        <v/>
      </c>
    </row>
    <row r="114" customFormat="false" ht="15" hidden="false" customHeight="true" outlineLevel="0" collapsed="false">
      <c r="A114" s="49"/>
      <c r="B114" s="49"/>
      <c r="C114" s="49"/>
      <c r="D114" s="71" t="str">
        <f aca="false">IFERROR(INDEX('تحليل التكلفة والسعر'!$N$2:$N$300,MATCH($B114,'تحليل التكلفة والسعر'!$B$2:$B$300,0)),IFERROR(INDEX(المكونات!$C$2:$C$500,MATCH($B114,المكونات!$A$2:$A$500,0)),""))</f>
        <v/>
      </c>
      <c r="E114" s="13" t="str">
        <f aca="false">IFERROR($C114*$D114,"")</f>
        <v/>
      </c>
    </row>
    <row r="115" customFormat="false" ht="15" hidden="false" customHeight="true" outlineLevel="0" collapsed="false">
      <c r="A115" s="49"/>
      <c r="B115" s="49"/>
      <c r="C115" s="49"/>
      <c r="D115" s="71" t="str">
        <f aca="false">IFERROR(INDEX('تحليل التكلفة والسعر'!$N$2:$N$300,MATCH($B115,'تحليل التكلفة والسعر'!$B$2:$B$300,0)),IFERROR(INDEX(المكونات!$C$2:$C$500,MATCH($B115,المكونات!$A$2:$A$500,0)),""))</f>
        <v/>
      </c>
      <c r="E115" s="13" t="str">
        <f aca="false">IFERROR($C115*$D115,"")</f>
        <v/>
      </c>
    </row>
    <row r="116" customFormat="false" ht="15" hidden="false" customHeight="true" outlineLevel="0" collapsed="false">
      <c r="A116" s="49"/>
      <c r="B116" s="49"/>
      <c r="C116" s="49"/>
      <c r="D116" s="71" t="str">
        <f aca="false">IFERROR(INDEX('تحليل التكلفة والسعر'!$N$2:$N$300,MATCH($B116,'تحليل التكلفة والسعر'!$B$2:$B$300,0)),IFERROR(INDEX(المكونات!$C$2:$C$500,MATCH($B116,المكونات!$A$2:$A$500,0)),""))</f>
        <v/>
      </c>
      <c r="E116" s="13" t="str">
        <f aca="false">IFERROR($C116*$D116,"")</f>
        <v/>
      </c>
    </row>
    <row r="117" customFormat="false" ht="15" hidden="false" customHeight="true" outlineLevel="0" collapsed="false">
      <c r="A117" s="49"/>
      <c r="B117" s="49"/>
      <c r="C117" s="49"/>
      <c r="D117" s="71" t="str">
        <f aca="false">IFERROR(INDEX('تحليل التكلفة والسعر'!$N$2:$N$300,MATCH($B117,'تحليل التكلفة والسعر'!$B$2:$B$300,0)),IFERROR(INDEX(المكونات!$C$2:$C$500,MATCH($B117,المكونات!$A$2:$A$500,0)),""))</f>
        <v/>
      </c>
      <c r="E117" s="13" t="str">
        <f aca="false">IFERROR($C117*$D117,"")</f>
        <v/>
      </c>
    </row>
    <row r="118" customFormat="false" ht="15" hidden="false" customHeight="true" outlineLevel="0" collapsed="false">
      <c r="A118" s="49"/>
      <c r="B118" s="49"/>
      <c r="C118" s="49"/>
      <c r="D118" s="71" t="str">
        <f aca="false">IFERROR(INDEX('تحليل التكلفة والسعر'!$N$2:$N$300,MATCH($B118,'تحليل التكلفة والسعر'!$B$2:$B$300,0)),IFERROR(INDEX(المكونات!$C$2:$C$500,MATCH($B118,المكونات!$A$2:$A$500,0)),""))</f>
        <v/>
      </c>
      <c r="E118" s="13" t="str">
        <f aca="false">IFERROR($C118*$D118,"")</f>
        <v/>
      </c>
    </row>
    <row r="119" customFormat="false" ht="15" hidden="false" customHeight="true" outlineLevel="0" collapsed="false">
      <c r="A119" s="49"/>
      <c r="B119" s="49"/>
      <c r="C119" s="49"/>
      <c r="D119" s="71" t="str">
        <f aca="false">IFERROR(INDEX('تحليل التكلفة والسعر'!$N$2:$N$300,MATCH($B119,'تحليل التكلفة والسعر'!$B$2:$B$300,0)),IFERROR(INDEX(المكونات!$C$2:$C$500,MATCH($B119,المكونات!$A$2:$A$500,0)),""))</f>
        <v/>
      </c>
      <c r="E119" s="13" t="str">
        <f aca="false">IFERROR($C119*$D119,"")</f>
        <v/>
      </c>
    </row>
    <row r="120" customFormat="false" ht="15" hidden="false" customHeight="true" outlineLevel="0" collapsed="false">
      <c r="A120" s="49"/>
      <c r="B120" s="49"/>
      <c r="C120" s="49"/>
      <c r="D120" s="71" t="str">
        <f aca="false">IFERROR(INDEX('تحليل التكلفة والسعر'!$N$2:$N$300,MATCH($B120,'تحليل التكلفة والسعر'!$B$2:$B$300,0)),IFERROR(INDEX(المكونات!$C$2:$C$500,MATCH($B120,المكونات!$A$2:$A$500,0)),""))</f>
        <v/>
      </c>
      <c r="E120" s="13" t="str">
        <f aca="false">IFERROR($C120*$D120,"")</f>
        <v/>
      </c>
    </row>
    <row r="121" customFormat="false" ht="15" hidden="false" customHeight="true" outlineLevel="0" collapsed="false">
      <c r="A121" s="49"/>
      <c r="B121" s="49"/>
      <c r="C121" s="49"/>
      <c r="D121" s="71" t="str">
        <f aca="false">IFERROR(INDEX('تحليل التكلفة والسعر'!$N$2:$N$300,MATCH($B121,'تحليل التكلفة والسعر'!$B$2:$B$300,0)),IFERROR(INDEX(المكونات!$C$2:$C$500,MATCH($B121,المكونات!$A$2:$A$500,0)),""))</f>
        <v/>
      </c>
      <c r="E121" s="13" t="str">
        <f aca="false">IFERROR($C121*$D121,"")</f>
        <v/>
      </c>
    </row>
    <row r="122" customFormat="false" ht="15" hidden="false" customHeight="true" outlineLevel="0" collapsed="false">
      <c r="A122" s="49"/>
      <c r="B122" s="49"/>
      <c r="C122" s="49"/>
      <c r="D122" s="71" t="str">
        <f aca="false">IFERROR(INDEX('تحليل التكلفة والسعر'!$N$2:$N$300,MATCH($B122,'تحليل التكلفة والسعر'!$B$2:$B$300,0)),IFERROR(INDEX(المكونات!$C$2:$C$500,MATCH($B122,المكونات!$A$2:$A$500,0)),""))</f>
        <v/>
      </c>
      <c r="E122" s="13" t="str">
        <f aca="false">IFERROR($C122*$D122,"")</f>
        <v/>
      </c>
    </row>
    <row r="123" customFormat="false" ht="15" hidden="false" customHeight="true" outlineLevel="0" collapsed="false">
      <c r="A123" s="49"/>
      <c r="B123" s="49"/>
      <c r="C123" s="49"/>
      <c r="D123" s="71" t="str">
        <f aca="false">IFERROR(INDEX('تحليل التكلفة والسعر'!$N$2:$N$300,MATCH($B123,'تحليل التكلفة والسعر'!$B$2:$B$300,0)),IFERROR(INDEX(المكونات!$C$2:$C$500,MATCH($B123,المكونات!$A$2:$A$500,0)),""))</f>
        <v/>
      </c>
      <c r="E123" s="13" t="str">
        <f aca="false">IFERROR($C123*$D123,"")</f>
        <v/>
      </c>
    </row>
    <row r="124" customFormat="false" ht="15" hidden="false" customHeight="true" outlineLevel="0" collapsed="false">
      <c r="A124" s="49"/>
      <c r="B124" s="49"/>
      <c r="C124" s="49"/>
      <c r="D124" s="71" t="str">
        <f aca="false">IFERROR(INDEX('تحليل التكلفة والسعر'!$N$2:$N$300,MATCH($B124,'تحليل التكلفة والسعر'!$B$2:$B$300,0)),IFERROR(INDEX(المكونات!$C$2:$C$500,MATCH($B124,المكونات!$A$2:$A$500,0)),""))</f>
        <v/>
      </c>
      <c r="E124" s="13" t="str">
        <f aca="false">IFERROR($C124*$D124,"")</f>
        <v/>
      </c>
    </row>
    <row r="125" customFormat="false" ht="15" hidden="false" customHeight="true" outlineLevel="0" collapsed="false">
      <c r="A125" s="49"/>
      <c r="B125" s="49"/>
      <c r="C125" s="49"/>
      <c r="D125" s="71" t="str">
        <f aca="false">IFERROR(INDEX('تحليل التكلفة والسعر'!$N$2:$N$300,MATCH($B125,'تحليل التكلفة والسعر'!$B$2:$B$300,0)),IFERROR(INDEX(المكونات!$C$2:$C$500,MATCH($B125,المكونات!$A$2:$A$500,0)),""))</f>
        <v/>
      </c>
      <c r="E125" s="13" t="str">
        <f aca="false">IFERROR($C125*$D125,"")</f>
        <v/>
      </c>
    </row>
    <row r="126" customFormat="false" ht="15" hidden="false" customHeight="true" outlineLevel="0" collapsed="false">
      <c r="A126" s="49"/>
      <c r="B126" s="49"/>
      <c r="C126" s="49"/>
      <c r="D126" s="71" t="str">
        <f aca="false">IFERROR(INDEX('تحليل التكلفة والسعر'!$N$2:$N$300,MATCH($B126,'تحليل التكلفة والسعر'!$B$2:$B$300,0)),IFERROR(INDEX(المكونات!$C$2:$C$500,MATCH($B126,المكونات!$A$2:$A$500,0)),""))</f>
        <v/>
      </c>
      <c r="E126" s="13" t="str">
        <f aca="false">IFERROR($C126*$D126,"")</f>
        <v/>
      </c>
    </row>
    <row r="127" customFormat="false" ht="15" hidden="false" customHeight="true" outlineLevel="0" collapsed="false">
      <c r="A127" s="49"/>
      <c r="B127" s="49"/>
      <c r="C127" s="49"/>
      <c r="D127" s="71" t="str">
        <f aca="false">IFERROR(INDEX('تحليل التكلفة والسعر'!$N$2:$N$300,MATCH($B127,'تحليل التكلفة والسعر'!$B$2:$B$300,0)),IFERROR(INDEX(المكونات!$C$2:$C$500,MATCH($B127,المكونات!$A$2:$A$500,0)),""))</f>
        <v/>
      </c>
      <c r="E127" s="13" t="str">
        <f aca="false">IFERROR($C127*$D127,"")</f>
        <v/>
      </c>
    </row>
    <row r="128" customFormat="false" ht="15" hidden="false" customHeight="true" outlineLevel="0" collapsed="false">
      <c r="A128" s="49"/>
      <c r="B128" s="49"/>
      <c r="C128" s="49"/>
      <c r="D128" s="71" t="str">
        <f aca="false">IFERROR(INDEX('تحليل التكلفة والسعر'!$N$2:$N$300,MATCH($B128,'تحليل التكلفة والسعر'!$B$2:$B$300,0)),IFERROR(INDEX(المكونات!$C$2:$C$500,MATCH($B128,المكونات!$A$2:$A$500,0)),""))</f>
        <v/>
      </c>
      <c r="E128" s="13" t="str">
        <f aca="false">IFERROR($C128*$D128,"")</f>
        <v/>
      </c>
    </row>
    <row r="129" customFormat="false" ht="15" hidden="false" customHeight="true" outlineLevel="0" collapsed="false">
      <c r="A129" s="49"/>
      <c r="B129" s="49"/>
      <c r="C129" s="49"/>
      <c r="D129" s="71" t="str">
        <f aca="false">IFERROR(INDEX('تحليل التكلفة والسعر'!$N$2:$N$300,MATCH($B129,'تحليل التكلفة والسعر'!$B$2:$B$300,0)),IFERROR(INDEX(المكونات!$C$2:$C$500,MATCH($B129,المكونات!$A$2:$A$500,0)),""))</f>
        <v/>
      </c>
      <c r="E129" s="13" t="str">
        <f aca="false">IFERROR($C129*$D129,"")</f>
        <v/>
      </c>
    </row>
    <row r="130" customFormat="false" ht="15" hidden="false" customHeight="true" outlineLevel="0" collapsed="false">
      <c r="A130" s="49"/>
      <c r="B130" s="49"/>
      <c r="C130" s="49"/>
      <c r="D130" s="71" t="str">
        <f aca="false">IFERROR(INDEX('تحليل التكلفة والسعر'!$N$2:$N$300,MATCH($B130,'تحليل التكلفة والسعر'!$B$2:$B$300,0)),IFERROR(INDEX(المكونات!$C$2:$C$500,MATCH($B130,المكونات!$A$2:$A$500,0)),""))</f>
        <v/>
      </c>
      <c r="E130" s="13" t="str">
        <f aca="false">IFERROR($C130*$D130,"")</f>
        <v/>
      </c>
    </row>
    <row r="131" customFormat="false" ht="15" hidden="false" customHeight="true" outlineLevel="0" collapsed="false">
      <c r="A131" s="49"/>
      <c r="B131" s="49"/>
      <c r="C131" s="49"/>
      <c r="D131" s="71" t="str">
        <f aca="false">IFERROR(INDEX('تحليل التكلفة والسعر'!$N$2:$N$300,MATCH($B131,'تحليل التكلفة والسعر'!$B$2:$B$300,0)),IFERROR(INDEX(المكونات!$C$2:$C$500,MATCH($B131,المكونات!$A$2:$A$500,0)),""))</f>
        <v/>
      </c>
      <c r="E131" s="13" t="str">
        <f aca="false">IFERROR($C131*$D131,"")</f>
        <v/>
      </c>
    </row>
    <row r="132" customFormat="false" ht="15" hidden="false" customHeight="true" outlineLevel="0" collapsed="false">
      <c r="A132" s="49"/>
      <c r="B132" s="49"/>
      <c r="C132" s="49"/>
      <c r="D132" s="71" t="str">
        <f aca="false">IFERROR(INDEX('تحليل التكلفة والسعر'!$N$2:$N$300,MATCH($B132,'تحليل التكلفة والسعر'!$B$2:$B$300,0)),IFERROR(INDEX(المكونات!$C$2:$C$500,MATCH($B132,المكونات!$A$2:$A$500,0)),""))</f>
        <v/>
      </c>
      <c r="E132" s="13" t="str">
        <f aca="false">IFERROR($C132*$D132,"")</f>
        <v/>
      </c>
    </row>
    <row r="133" customFormat="false" ht="15" hidden="false" customHeight="true" outlineLevel="0" collapsed="false">
      <c r="A133" s="49"/>
      <c r="B133" s="49"/>
      <c r="C133" s="49"/>
      <c r="D133" s="71" t="str">
        <f aca="false">IFERROR(INDEX('تحليل التكلفة والسعر'!$N$2:$N$300,MATCH($B133,'تحليل التكلفة والسعر'!$B$2:$B$300,0)),IFERROR(INDEX(المكونات!$C$2:$C$500,MATCH($B133,المكونات!$A$2:$A$500,0)),""))</f>
        <v/>
      </c>
      <c r="E133" s="13" t="str">
        <f aca="false">IFERROR($C133*$D133,"")</f>
        <v/>
      </c>
    </row>
    <row r="134" customFormat="false" ht="15" hidden="false" customHeight="true" outlineLevel="0" collapsed="false">
      <c r="A134" s="49"/>
      <c r="B134" s="49"/>
      <c r="C134" s="49"/>
      <c r="D134" s="71" t="str">
        <f aca="false">IFERROR(INDEX('تحليل التكلفة والسعر'!$N$2:$N$300,MATCH($B134,'تحليل التكلفة والسعر'!$B$2:$B$300,0)),IFERROR(INDEX(المكونات!$C$2:$C$500,MATCH($B134,المكونات!$A$2:$A$500,0)),""))</f>
        <v/>
      </c>
      <c r="E134" s="13" t="str">
        <f aca="false">IFERROR($C134*$D134,"")</f>
        <v/>
      </c>
    </row>
    <row r="135" customFormat="false" ht="15" hidden="false" customHeight="true" outlineLevel="0" collapsed="false">
      <c r="A135" s="49"/>
      <c r="B135" s="49"/>
      <c r="C135" s="49"/>
      <c r="D135" s="71" t="str">
        <f aca="false">IFERROR(INDEX('تحليل التكلفة والسعر'!$N$2:$N$300,MATCH($B135,'تحليل التكلفة والسعر'!$B$2:$B$300,0)),IFERROR(INDEX(المكونات!$C$2:$C$500,MATCH($B135,المكونات!$A$2:$A$500,0)),""))</f>
        <v/>
      </c>
      <c r="E135" s="13" t="str">
        <f aca="false">IFERROR($C135*$D135,"")</f>
        <v/>
      </c>
    </row>
    <row r="136" customFormat="false" ht="15" hidden="false" customHeight="true" outlineLevel="0" collapsed="false">
      <c r="A136" s="49"/>
      <c r="B136" s="49"/>
      <c r="C136" s="49"/>
      <c r="D136" s="71" t="str">
        <f aca="false">IFERROR(INDEX('تحليل التكلفة والسعر'!$N$2:$N$300,MATCH($B136,'تحليل التكلفة والسعر'!$B$2:$B$300,0)),IFERROR(INDEX(المكونات!$C$2:$C$500,MATCH($B136,المكونات!$A$2:$A$500,0)),""))</f>
        <v/>
      </c>
      <c r="E136" s="13" t="str">
        <f aca="false">IFERROR($C136*$D136,"")</f>
        <v/>
      </c>
    </row>
    <row r="137" customFormat="false" ht="15" hidden="false" customHeight="true" outlineLevel="0" collapsed="false">
      <c r="A137" s="49"/>
      <c r="B137" s="49"/>
      <c r="C137" s="49"/>
      <c r="D137" s="71" t="str">
        <f aca="false">IFERROR(INDEX('تحليل التكلفة والسعر'!$N$2:$N$300,MATCH($B137,'تحليل التكلفة والسعر'!$B$2:$B$300,0)),IFERROR(INDEX(المكونات!$C$2:$C$500,MATCH($B137,المكونات!$A$2:$A$500,0)),""))</f>
        <v/>
      </c>
      <c r="E137" s="13" t="str">
        <f aca="false">IFERROR($C137*$D137,"")</f>
        <v/>
      </c>
    </row>
    <row r="138" customFormat="false" ht="15" hidden="false" customHeight="true" outlineLevel="0" collapsed="false">
      <c r="A138" s="49"/>
      <c r="B138" s="49"/>
      <c r="C138" s="49"/>
      <c r="D138" s="71" t="str">
        <f aca="false">IFERROR(INDEX('تحليل التكلفة والسعر'!$N$2:$N$300,MATCH($B138,'تحليل التكلفة والسعر'!$B$2:$B$300,0)),IFERROR(INDEX(المكونات!$C$2:$C$500,MATCH($B138,المكونات!$A$2:$A$500,0)),""))</f>
        <v/>
      </c>
      <c r="E138" s="13" t="str">
        <f aca="false">IFERROR($C138*$D138,"")</f>
        <v/>
      </c>
    </row>
    <row r="139" customFormat="false" ht="15" hidden="false" customHeight="true" outlineLevel="0" collapsed="false">
      <c r="A139" s="49"/>
      <c r="B139" s="49"/>
      <c r="C139" s="49"/>
      <c r="D139" s="71" t="str">
        <f aca="false">IFERROR(INDEX('تحليل التكلفة والسعر'!$N$2:$N$300,MATCH($B139,'تحليل التكلفة والسعر'!$B$2:$B$300,0)),IFERROR(INDEX(المكونات!$C$2:$C$500,MATCH($B139,المكونات!$A$2:$A$500,0)),""))</f>
        <v/>
      </c>
      <c r="E139" s="13" t="str">
        <f aca="false">IFERROR($C139*$D139,"")</f>
        <v/>
      </c>
    </row>
    <row r="140" customFormat="false" ht="15" hidden="false" customHeight="true" outlineLevel="0" collapsed="false">
      <c r="A140" s="49"/>
      <c r="B140" s="49"/>
      <c r="C140" s="49"/>
      <c r="D140" s="71" t="str">
        <f aca="false">IFERROR(INDEX('تحليل التكلفة والسعر'!$N$2:$N$300,MATCH($B140,'تحليل التكلفة والسعر'!$B$2:$B$300,0)),IFERROR(INDEX(المكونات!$C$2:$C$500,MATCH($B140,المكونات!$A$2:$A$500,0)),""))</f>
        <v/>
      </c>
      <c r="E140" s="13" t="str">
        <f aca="false">IFERROR($C140*$D140,"")</f>
        <v/>
      </c>
    </row>
    <row r="141" customFormat="false" ht="15" hidden="false" customHeight="true" outlineLevel="0" collapsed="false">
      <c r="A141" s="49"/>
      <c r="B141" s="49"/>
      <c r="C141" s="49"/>
      <c r="D141" s="71" t="str">
        <f aca="false">IFERROR(INDEX('تحليل التكلفة والسعر'!$N$2:$N$300,MATCH($B141,'تحليل التكلفة والسعر'!$B$2:$B$300,0)),IFERROR(INDEX(المكونات!$C$2:$C$500,MATCH($B141,المكونات!$A$2:$A$500,0)),""))</f>
        <v/>
      </c>
      <c r="E141" s="13" t="str">
        <f aca="false">IFERROR($C141*$D141,"")</f>
        <v/>
      </c>
    </row>
    <row r="142" customFormat="false" ht="15" hidden="false" customHeight="true" outlineLevel="0" collapsed="false">
      <c r="A142" s="49"/>
      <c r="B142" s="49"/>
      <c r="C142" s="49"/>
      <c r="D142" s="71" t="str">
        <f aca="false">IFERROR(INDEX('تحليل التكلفة والسعر'!$N$2:$N$300,MATCH($B142,'تحليل التكلفة والسعر'!$B$2:$B$300,0)),IFERROR(INDEX(المكونات!$C$2:$C$500,MATCH($B142,المكونات!$A$2:$A$500,0)),""))</f>
        <v/>
      </c>
      <c r="E142" s="13" t="str">
        <f aca="false">IFERROR($C142*$D142,"")</f>
        <v/>
      </c>
    </row>
    <row r="143" customFormat="false" ht="15" hidden="false" customHeight="true" outlineLevel="0" collapsed="false">
      <c r="A143" s="49"/>
      <c r="B143" s="49"/>
      <c r="C143" s="49"/>
      <c r="D143" s="71" t="str">
        <f aca="false">IFERROR(INDEX('تحليل التكلفة والسعر'!$N$2:$N$300,MATCH($B143,'تحليل التكلفة والسعر'!$B$2:$B$300,0)),IFERROR(INDEX(المكونات!$C$2:$C$500,MATCH($B143,المكونات!$A$2:$A$500,0)),""))</f>
        <v/>
      </c>
      <c r="E143" s="13" t="str">
        <f aca="false">IFERROR($C143*$D143,"")</f>
        <v/>
      </c>
    </row>
    <row r="144" customFormat="false" ht="15" hidden="false" customHeight="true" outlineLevel="0" collapsed="false">
      <c r="A144" s="49"/>
      <c r="B144" s="49"/>
      <c r="C144" s="49"/>
      <c r="D144" s="71" t="str">
        <f aca="false">IFERROR(INDEX('تحليل التكلفة والسعر'!$N$2:$N$300,MATCH($B144,'تحليل التكلفة والسعر'!$B$2:$B$300,0)),IFERROR(INDEX(المكونات!$C$2:$C$500,MATCH($B144,المكونات!$A$2:$A$500,0)),""))</f>
        <v/>
      </c>
      <c r="E144" s="13" t="str">
        <f aca="false">IFERROR($C144*$D144,"")</f>
        <v/>
      </c>
    </row>
    <row r="145" customFormat="false" ht="15" hidden="false" customHeight="true" outlineLevel="0" collapsed="false">
      <c r="A145" s="49"/>
      <c r="B145" s="49"/>
      <c r="C145" s="49"/>
      <c r="D145" s="71" t="str">
        <f aca="false">IFERROR(INDEX('تحليل التكلفة والسعر'!$N$2:$N$300,MATCH($B145,'تحليل التكلفة والسعر'!$B$2:$B$300,0)),IFERROR(INDEX(المكونات!$C$2:$C$500,MATCH($B145,المكونات!$A$2:$A$500,0)),""))</f>
        <v/>
      </c>
      <c r="E145" s="13" t="str">
        <f aca="false">IFERROR($C145*$D145,"")</f>
        <v/>
      </c>
    </row>
    <row r="146" customFormat="false" ht="15" hidden="false" customHeight="true" outlineLevel="0" collapsed="false">
      <c r="A146" s="49"/>
      <c r="B146" s="49"/>
      <c r="C146" s="49"/>
      <c r="D146" s="71" t="str">
        <f aca="false">IFERROR(INDEX('تحليل التكلفة والسعر'!$N$2:$N$300,MATCH($B146,'تحليل التكلفة والسعر'!$B$2:$B$300,0)),IFERROR(INDEX(المكونات!$C$2:$C$500,MATCH($B146,المكونات!$A$2:$A$500,0)),""))</f>
        <v/>
      </c>
      <c r="E146" s="13" t="str">
        <f aca="false">IFERROR($C146*$D146,"")</f>
        <v/>
      </c>
    </row>
    <row r="147" customFormat="false" ht="15" hidden="false" customHeight="true" outlineLevel="0" collapsed="false">
      <c r="A147" s="49"/>
      <c r="B147" s="49"/>
      <c r="C147" s="49"/>
      <c r="D147" s="71" t="str">
        <f aca="false">IFERROR(INDEX('تحليل التكلفة والسعر'!$N$2:$N$300,MATCH($B147,'تحليل التكلفة والسعر'!$B$2:$B$300,0)),IFERROR(INDEX(المكونات!$C$2:$C$500,MATCH($B147,المكونات!$A$2:$A$500,0)),""))</f>
        <v/>
      </c>
      <c r="E147" s="13" t="str">
        <f aca="false">IFERROR($C147*$D147,"")</f>
        <v/>
      </c>
    </row>
    <row r="148" customFormat="false" ht="15" hidden="false" customHeight="true" outlineLevel="0" collapsed="false">
      <c r="A148" s="49"/>
      <c r="B148" s="49"/>
      <c r="C148" s="49"/>
      <c r="D148" s="71" t="str">
        <f aca="false">IFERROR(INDEX('تحليل التكلفة والسعر'!$N$2:$N$300,MATCH($B148,'تحليل التكلفة والسعر'!$B$2:$B$300,0)),IFERROR(INDEX(المكونات!$C$2:$C$500,MATCH($B148,المكونات!$A$2:$A$500,0)),""))</f>
        <v/>
      </c>
      <c r="E148" s="13" t="str">
        <f aca="false">IFERROR($C148*$D148,"")</f>
        <v/>
      </c>
    </row>
    <row r="149" customFormat="false" ht="15" hidden="false" customHeight="true" outlineLevel="0" collapsed="false">
      <c r="A149" s="49"/>
      <c r="B149" s="49"/>
      <c r="C149" s="49"/>
      <c r="D149" s="71" t="str">
        <f aca="false">IFERROR(INDEX('تحليل التكلفة والسعر'!$N$2:$N$300,MATCH($B149,'تحليل التكلفة والسعر'!$B$2:$B$300,0)),IFERROR(INDEX(المكونات!$C$2:$C$500,MATCH($B149,المكونات!$A$2:$A$500,0)),""))</f>
        <v/>
      </c>
      <c r="E149" s="13" t="str">
        <f aca="false">IFERROR($C149*$D149,"")</f>
        <v/>
      </c>
    </row>
    <row r="150" customFormat="false" ht="15" hidden="false" customHeight="true" outlineLevel="0" collapsed="false">
      <c r="A150" s="49"/>
      <c r="B150" s="49"/>
      <c r="C150" s="49"/>
      <c r="D150" s="71" t="str">
        <f aca="false">IFERROR(INDEX('تحليل التكلفة والسعر'!$N$2:$N$300,MATCH($B150,'تحليل التكلفة والسعر'!$B$2:$B$300,0)),IFERROR(INDEX(المكونات!$C$2:$C$500,MATCH($B150,المكونات!$A$2:$A$500,0)),""))</f>
        <v/>
      </c>
      <c r="E150" s="13" t="str">
        <f aca="false">IFERROR($C150*$D150,"")</f>
        <v/>
      </c>
    </row>
    <row r="151" customFormat="false" ht="15" hidden="false" customHeight="true" outlineLevel="0" collapsed="false">
      <c r="A151" s="49"/>
      <c r="B151" s="49"/>
      <c r="C151" s="49"/>
      <c r="D151" s="71" t="str">
        <f aca="false">IFERROR(INDEX('تحليل التكلفة والسعر'!$N$2:$N$300,MATCH($B151,'تحليل التكلفة والسعر'!$B$2:$B$300,0)),IFERROR(INDEX(المكونات!$C$2:$C$500,MATCH($B151,المكونات!$A$2:$A$500,0)),""))</f>
        <v/>
      </c>
      <c r="E151" s="13" t="str">
        <f aca="false">IFERROR($C151*$D151,"")</f>
        <v/>
      </c>
    </row>
    <row r="152" customFormat="false" ht="15" hidden="false" customHeight="true" outlineLevel="0" collapsed="false">
      <c r="A152" s="49"/>
      <c r="B152" s="49"/>
      <c r="C152" s="49"/>
      <c r="D152" s="71" t="str">
        <f aca="false">IFERROR(INDEX('تحليل التكلفة والسعر'!$N$2:$N$300,MATCH($B152,'تحليل التكلفة والسعر'!$B$2:$B$300,0)),IFERROR(INDEX(المكونات!$C$2:$C$500,MATCH($B152,المكونات!$A$2:$A$500,0)),""))</f>
        <v/>
      </c>
      <c r="E152" s="13" t="str">
        <f aca="false">IFERROR($C152*$D152,"")</f>
        <v/>
      </c>
    </row>
    <row r="153" customFormat="false" ht="15" hidden="false" customHeight="true" outlineLevel="0" collapsed="false">
      <c r="A153" s="49"/>
      <c r="B153" s="49"/>
      <c r="C153" s="49"/>
      <c r="D153" s="71" t="str">
        <f aca="false">IFERROR(INDEX('تحليل التكلفة والسعر'!$N$2:$N$300,MATCH($B153,'تحليل التكلفة والسعر'!$B$2:$B$300,0)),IFERROR(INDEX(المكونات!$C$2:$C$500,MATCH($B153,المكونات!$A$2:$A$500,0)),""))</f>
        <v/>
      </c>
      <c r="E153" s="13" t="str">
        <f aca="false">IFERROR($C153*$D153,"")</f>
        <v/>
      </c>
    </row>
    <row r="154" customFormat="false" ht="15" hidden="false" customHeight="true" outlineLevel="0" collapsed="false">
      <c r="A154" s="49"/>
      <c r="B154" s="49"/>
      <c r="C154" s="49"/>
      <c r="D154" s="71" t="str">
        <f aca="false">IFERROR(INDEX('تحليل التكلفة والسعر'!$N$2:$N$300,MATCH($B154,'تحليل التكلفة والسعر'!$B$2:$B$300,0)),IFERROR(INDEX(المكونات!$C$2:$C$500,MATCH($B154,المكونات!$A$2:$A$500,0)),""))</f>
        <v/>
      </c>
      <c r="E154" s="13" t="str">
        <f aca="false">IFERROR($C154*$D154,"")</f>
        <v/>
      </c>
    </row>
    <row r="155" customFormat="false" ht="15" hidden="false" customHeight="true" outlineLevel="0" collapsed="false">
      <c r="A155" s="49"/>
      <c r="B155" s="49"/>
      <c r="C155" s="49"/>
      <c r="D155" s="71" t="str">
        <f aca="false">IFERROR(INDEX('تحليل التكلفة والسعر'!$N$2:$N$300,MATCH($B155,'تحليل التكلفة والسعر'!$B$2:$B$300,0)),IFERROR(INDEX(المكونات!$C$2:$C$500,MATCH($B155,المكونات!$A$2:$A$500,0)),""))</f>
        <v/>
      </c>
      <c r="E155" s="13" t="str">
        <f aca="false">IFERROR($C155*$D155,"")</f>
        <v/>
      </c>
    </row>
    <row r="156" customFormat="false" ht="15" hidden="false" customHeight="true" outlineLevel="0" collapsed="false">
      <c r="A156" s="49"/>
      <c r="B156" s="49"/>
      <c r="C156" s="49"/>
      <c r="D156" s="71" t="str">
        <f aca="false">IFERROR(INDEX('تحليل التكلفة والسعر'!$N$2:$N$300,MATCH($B156,'تحليل التكلفة والسعر'!$B$2:$B$300,0)),IFERROR(INDEX(المكونات!$C$2:$C$500,MATCH($B156,المكونات!$A$2:$A$500,0)),""))</f>
        <v/>
      </c>
      <c r="E156" s="13" t="str">
        <f aca="false">IFERROR($C156*$D156,"")</f>
        <v/>
      </c>
    </row>
    <row r="157" customFormat="false" ht="15" hidden="false" customHeight="true" outlineLevel="0" collapsed="false">
      <c r="A157" s="49"/>
      <c r="B157" s="49"/>
      <c r="C157" s="49"/>
      <c r="D157" s="71" t="str">
        <f aca="false">IFERROR(INDEX('تحليل التكلفة والسعر'!$N$2:$N$300,MATCH($B157,'تحليل التكلفة والسعر'!$B$2:$B$300,0)),IFERROR(INDEX(المكونات!$C$2:$C$500,MATCH($B157,المكونات!$A$2:$A$500,0)),""))</f>
        <v/>
      </c>
      <c r="E157" s="13" t="str">
        <f aca="false">IFERROR($C157*$D157,"")</f>
        <v/>
      </c>
    </row>
    <row r="158" customFormat="false" ht="15" hidden="false" customHeight="true" outlineLevel="0" collapsed="false">
      <c r="A158" s="49"/>
      <c r="B158" s="49"/>
      <c r="C158" s="49"/>
      <c r="D158" s="71" t="str">
        <f aca="false">IFERROR(INDEX('تحليل التكلفة والسعر'!$N$2:$N$300,MATCH($B158,'تحليل التكلفة والسعر'!$B$2:$B$300,0)),IFERROR(INDEX(المكونات!$C$2:$C$500,MATCH($B158,المكونات!$A$2:$A$500,0)),""))</f>
        <v/>
      </c>
      <c r="E158" s="13" t="str">
        <f aca="false">IFERROR($C158*$D158,"")</f>
        <v/>
      </c>
    </row>
    <row r="159" customFormat="false" ht="15" hidden="false" customHeight="true" outlineLevel="0" collapsed="false">
      <c r="A159" s="49"/>
      <c r="B159" s="49"/>
      <c r="C159" s="49"/>
      <c r="D159" s="71" t="str">
        <f aca="false">IFERROR(INDEX('تحليل التكلفة والسعر'!$N$2:$N$300,MATCH($B159,'تحليل التكلفة والسعر'!$B$2:$B$300,0)),IFERROR(INDEX(المكونات!$C$2:$C$500,MATCH($B159,المكونات!$A$2:$A$500,0)),""))</f>
        <v/>
      </c>
      <c r="E159" s="13" t="str">
        <f aca="false">IFERROR($C159*$D159,"")</f>
        <v/>
      </c>
    </row>
    <row r="160" customFormat="false" ht="15" hidden="false" customHeight="true" outlineLevel="0" collapsed="false">
      <c r="A160" s="49"/>
      <c r="B160" s="49"/>
      <c r="C160" s="49"/>
      <c r="D160" s="71" t="str">
        <f aca="false">IFERROR(INDEX('تحليل التكلفة والسعر'!$N$2:$N$300,MATCH($B160,'تحليل التكلفة والسعر'!$B$2:$B$300,0)),IFERROR(INDEX(المكونات!$C$2:$C$500,MATCH($B160,المكونات!$A$2:$A$500,0)),""))</f>
        <v/>
      </c>
      <c r="E160" s="13" t="str">
        <f aca="false">IFERROR($C160*$D160,"")</f>
        <v/>
      </c>
    </row>
    <row r="161" customFormat="false" ht="15" hidden="false" customHeight="true" outlineLevel="0" collapsed="false">
      <c r="A161" s="49"/>
      <c r="B161" s="49"/>
      <c r="C161" s="49"/>
      <c r="D161" s="71" t="str">
        <f aca="false">IFERROR(INDEX('تحليل التكلفة والسعر'!$N$2:$N$300,MATCH($B161,'تحليل التكلفة والسعر'!$B$2:$B$300,0)),IFERROR(INDEX(المكونات!$C$2:$C$500,MATCH($B161,المكونات!$A$2:$A$500,0)),""))</f>
        <v/>
      </c>
      <c r="E161" s="13" t="str">
        <f aca="false">IFERROR($C161*$D161,"")</f>
        <v/>
      </c>
    </row>
    <row r="162" customFormat="false" ht="15" hidden="false" customHeight="true" outlineLevel="0" collapsed="false">
      <c r="A162" s="49"/>
      <c r="B162" s="49"/>
      <c r="C162" s="49"/>
      <c r="D162" s="71" t="str">
        <f aca="false">IFERROR(INDEX('تحليل التكلفة والسعر'!$N$2:$N$300,MATCH($B162,'تحليل التكلفة والسعر'!$B$2:$B$300,0)),IFERROR(INDEX(المكونات!$C$2:$C$500,MATCH($B162,المكونات!$A$2:$A$500,0)),""))</f>
        <v/>
      </c>
      <c r="E162" s="13" t="str">
        <f aca="false">IFERROR($C162*$D162,"")</f>
        <v/>
      </c>
    </row>
    <row r="163" customFormat="false" ht="15" hidden="false" customHeight="true" outlineLevel="0" collapsed="false">
      <c r="A163" s="49"/>
      <c r="B163" s="49"/>
      <c r="C163" s="49"/>
      <c r="D163" s="71" t="str">
        <f aca="false">IFERROR(INDEX('تحليل التكلفة والسعر'!$N$2:$N$300,MATCH($B163,'تحليل التكلفة والسعر'!$B$2:$B$300,0)),IFERROR(INDEX(المكونات!$C$2:$C$500,MATCH($B163,المكونات!$A$2:$A$500,0)),""))</f>
        <v/>
      </c>
      <c r="E163" s="13" t="str">
        <f aca="false">IFERROR($C163*$D163,"")</f>
        <v/>
      </c>
    </row>
    <row r="164" customFormat="false" ht="15" hidden="false" customHeight="true" outlineLevel="0" collapsed="false">
      <c r="A164" s="49"/>
      <c r="B164" s="49"/>
      <c r="C164" s="49"/>
      <c r="D164" s="71" t="str">
        <f aca="false">IFERROR(INDEX('تحليل التكلفة والسعر'!$N$2:$N$300,MATCH($B164,'تحليل التكلفة والسعر'!$B$2:$B$300,0)),IFERROR(INDEX(المكونات!$C$2:$C$500,MATCH($B164,المكونات!$A$2:$A$500,0)),""))</f>
        <v/>
      </c>
      <c r="E164" s="13" t="str">
        <f aca="false">IFERROR($C164*$D164,"")</f>
        <v/>
      </c>
    </row>
    <row r="165" customFormat="false" ht="15" hidden="false" customHeight="true" outlineLevel="0" collapsed="false">
      <c r="A165" s="49"/>
      <c r="B165" s="49"/>
      <c r="C165" s="49"/>
      <c r="D165" s="71" t="str">
        <f aca="false">IFERROR(INDEX('تحليل التكلفة والسعر'!$N$2:$N$300,MATCH($B165,'تحليل التكلفة والسعر'!$B$2:$B$300,0)),IFERROR(INDEX(المكونات!$C$2:$C$500,MATCH($B165,المكونات!$A$2:$A$500,0)),""))</f>
        <v/>
      </c>
      <c r="E165" s="13" t="str">
        <f aca="false">IFERROR($C165*$D165,"")</f>
        <v/>
      </c>
    </row>
    <row r="166" customFormat="false" ht="15" hidden="false" customHeight="true" outlineLevel="0" collapsed="false">
      <c r="A166" s="49"/>
      <c r="B166" s="49"/>
      <c r="C166" s="49"/>
      <c r="D166" s="71" t="str">
        <f aca="false">IFERROR(INDEX('تحليل التكلفة والسعر'!$N$2:$N$300,MATCH($B166,'تحليل التكلفة والسعر'!$B$2:$B$300,0)),IFERROR(INDEX(المكونات!$C$2:$C$500,MATCH($B166,المكونات!$A$2:$A$500,0)),""))</f>
        <v/>
      </c>
      <c r="E166" s="13" t="str">
        <f aca="false">IFERROR($C166*$D166,"")</f>
        <v/>
      </c>
    </row>
    <row r="167" customFormat="false" ht="15" hidden="false" customHeight="true" outlineLevel="0" collapsed="false">
      <c r="A167" s="49"/>
      <c r="B167" s="49"/>
      <c r="C167" s="49"/>
      <c r="D167" s="71" t="str">
        <f aca="false">IFERROR(INDEX('تحليل التكلفة والسعر'!$N$2:$N$300,MATCH($B167,'تحليل التكلفة والسعر'!$B$2:$B$300,0)),IFERROR(INDEX(المكونات!$C$2:$C$500,MATCH($B167,المكونات!$A$2:$A$500,0)),""))</f>
        <v/>
      </c>
      <c r="E167" s="13" t="str">
        <f aca="false">IFERROR($C167*$D167,"")</f>
        <v/>
      </c>
    </row>
    <row r="168" customFormat="false" ht="15" hidden="false" customHeight="true" outlineLevel="0" collapsed="false">
      <c r="A168" s="49"/>
      <c r="B168" s="49"/>
      <c r="C168" s="49"/>
      <c r="D168" s="71" t="str">
        <f aca="false">IFERROR(INDEX('تحليل التكلفة والسعر'!$N$2:$N$300,MATCH($B168,'تحليل التكلفة والسعر'!$B$2:$B$300,0)),IFERROR(INDEX(المكونات!$C$2:$C$500,MATCH($B168,المكونات!$A$2:$A$500,0)),""))</f>
        <v/>
      </c>
      <c r="E168" s="13" t="str">
        <f aca="false">IFERROR($C168*$D168,"")</f>
        <v/>
      </c>
    </row>
    <row r="169" customFormat="false" ht="15" hidden="false" customHeight="true" outlineLevel="0" collapsed="false">
      <c r="A169" s="49"/>
      <c r="B169" s="49"/>
      <c r="C169" s="49"/>
      <c r="D169" s="71" t="str">
        <f aca="false">IFERROR(INDEX('تحليل التكلفة والسعر'!$N$2:$N$300,MATCH($B169,'تحليل التكلفة والسعر'!$B$2:$B$300,0)),IFERROR(INDEX(المكونات!$C$2:$C$500,MATCH($B169,المكونات!$A$2:$A$500,0)),""))</f>
        <v/>
      </c>
      <c r="E169" s="13" t="str">
        <f aca="false">IFERROR($C169*$D169,"")</f>
        <v/>
      </c>
    </row>
    <row r="170" customFormat="false" ht="15" hidden="false" customHeight="true" outlineLevel="0" collapsed="false">
      <c r="A170" s="49"/>
      <c r="B170" s="49"/>
      <c r="C170" s="49"/>
      <c r="D170" s="71" t="str">
        <f aca="false">IFERROR(INDEX('تحليل التكلفة والسعر'!$N$2:$N$300,MATCH($B170,'تحليل التكلفة والسعر'!$B$2:$B$300,0)),IFERROR(INDEX(المكونات!$C$2:$C$500,MATCH($B170,المكونات!$A$2:$A$500,0)),""))</f>
        <v/>
      </c>
      <c r="E170" s="13" t="str">
        <f aca="false">IFERROR($C170*$D170,"")</f>
        <v/>
      </c>
    </row>
    <row r="171" customFormat="false" ht="15" hidden="false" customHeight="true" outlineLevel="0" collapsed="false">
      <c r="A171" s="49"/>
      <c r="B171" s="49"/>
      <c r="C171" s="49"/>
      <c r="D171" s="71" t="str">
        <f aca="false">IFERROR(INDEX('تحليل التكلفة والسعر'!$N$2:$N$300,MATCH($B171,'تحليل التكلفة والسعر'!$B$2:$B$300,0)),IFERROR(INDEX(المكونات!$C$2:$C$500,MATCH($B171,المكونات!$A$2:$A$500,0)),""))</f>
        <v/>
      </c>
      <c r="E171" s="13" t="str">
        <f aca="false">IFERROR($C171*$D171,"")</f>
        <v/>
      </c>
    </row>
    <row r="172" customFormat="false" ht="15" hidden="false" customHeight="true" outlineLevel="0" collapsed="false">
      <c r="A172" s="49"/>
      <c r="B172" s="49"/>
      <c r="C172" s="49"/>
      <c r="D172" s="71" t="str">
        <f aca="false">IFERROR(INDEX('تحليل التكلفة والسعر'!$N$2:$N$300,MATCH($B172,'تحليل التكلفة والسعر'!$B$2:$B$300,0)),IFERROR(INDEX(المكونات!$C$2:$C$500,MATCH($B172,المكونات!$A$2:$A$500,0)),""))</f>
        <v/>
      </c>
      <c r="E172" s="13" t="str">
        <f aca="false">IFERROR($C172*$D172,"")</f>
        <v/>
      </c>
    </row>
    <row r="173" customFormat="false" ht="15" hidden="false" customHeight="true" outlineLevel="0" collapsed="false">
      <c r="A173" s="49"/>
      <c r="B173" s="49"/>
      <c r="C173" s="49"/>
      <c r="D173" s="71" t="str">
        <f aca="false">IFERROR(INDEX('تحليل التكلفة والسعر'!$N$2:$N$300,MATCH($B173,'تحليل التكلفة والسعر'!$B$2:$B$300,0)),IFERROR(INDEX(المكونات!$C$2:$C$500,MATCH($B173,المكونات!$A$2:$A$500,0)),""))</f>
        <v/>
      </c>
      <c r="E173" s="13" t="str">
        <f aca="false">IFERROR($C173*$D173,"")</f>
        <v/>
      </c>
    </row>
    <row r="174" customFormat="false" ht="15" hidden="false" customHeight="true" outlineLevel="0" collapsed="false">
      <c r="A174" s="49"/>
      <c r="B174" s="49"/>
      <c r="C174" s="49"/>
      <c r="D174" s="71" t="str">
        <f aca="false">IFERROR(INDEX('تحليل التكلفة والسعر'!$N$2:$N$300,MATCH($B174,'تحليل التكلفة والسعر'!$B$2:$B$300,0)),IFERROR(INDEX(المكونات!$C$2:$C$500,MATCH($B174,المكونات!$A$2:$A$500,0)),""))</f>
        <v/>
      </c>
      <c r="E174" s="13" t="str">
        <f aca="false">IFERROR($C174*$D174,"")</f>
        <v/>
      </c>
    </row>
    <row r="175" customFormat="false" ht="15" hidden="false" customHeight="true" outlineLevel="0" collapsed="false">
      <c r="A175" s="49"/>
      <c r="B175" s="49"/>
      <c r="C175" s="49"/>
      <c r="D175" s="71" t="str">
        <f aca="false">IFERROR(INDEX('تحليل التكلفة والسعر'!$N$2:$N$300,MATCH($B175,'تحليل التكلفة والسعر'!$B$2:$B$300,0)),IFERROR(INDEX(المكونات!$C$2:$C$500,MATCH($B175,المكونات!$A$2:$A$500,0)),""))</f>
        <v/>
      </c>
      <c r="E175" s="13" t="str">
        <f aca="false">IFERROR($C175*$D175,"")</f>
        <v/>
      </c>
    </row>
    <row r="176" customFormat="false" ht="15" hidden="false" customHeight="true" outlineLevel="0" collapsed="false">
      <c r="A176" s="49"/>
      <c r="B176" s="49"/>
      <c r="C176" s="49"/>
      <c r="D176" s="71" t="str">
        <f aca="false">IFERROR(INDEX('تحليل التكلفة والسعر'!$N$2:$N$300,MATCH($B176,'تحليل التكلفة والسعر'!$B$2:$B$300,0)),IFERROR(INDEX(المكونات!$C$2:$C$500,MATCH($B176,المكونات!$A$2:$A$500,0)),""))</f>
        <v/>
      </c>
      <c r="E176" s="13" t="str">
        <f aca="false">IFERROR($C176*$D176,"")</f>
        <v/>
      </c>
    </row>
    <row r="177" customFormat="false" ht="15" hidden="false" customHeight="true" outlineLevel="0" collapsed="false">
      <c r="A177" s="49"/>
      <c r="B177" s="49"/>
      <c r="C177" s="49"/>
      <c r="D177" s="71" t="str">
        <f aca="false">IFERROR(INDEX('تحليل التكلفة والسعر'!$N$2:$N$300,MATCH($B177,'تحليل التكلفة والسعر'!$B$2:$B$300,0)),IFERROR(INDEX(المكونات!$C$2:$C$500,MATCH($B177,المكونات!$A$2:$A$500,0)),""))</f>
        <v/>
      </c>
      <c r="E177" s="13" t="str">
        <f aca="false">IFERROR($C177*$D177,"")</f>
        <v/>
      </c>
    </row>
    <row r="178" customFormat="false" ht="15" hidden="false" customHeight="true" outlineLevel="0" collapsed="false">
      <c r="A178" s="49"/>
      <c r="B178" s="49"/>
      <c r="C178" s="49"/>
      <c r="D178" s="71" t="str">
        <f aca="false">IFERROR(INDEX('تحليل التكلفة والسعر'!$N$2:$N$300,MATCH($B178,'تحليل التكلفة والسعر'!$B$2:$B$300,0)),IFERROR(INDEX(المكونات!$C$2:$C$500,MATCH($B178,المكونات!$A$2:$A$500,0)),""))</f>
        <v/>
      </c>
      <c r="E178" s="13" t="str">
        <f aca="false">IFERROR($C178*$D178,"")</f>
        <v/>
      </c>
    </row>
    <row r="179" customFormat="false" ht="15" hidden="false" customHeight="true" outlineLevel="0" collapsed="false">
      <c r="A179" s="49"/>
      <c r="B179" s="49"/>
      <c r="C179" s="49"/>
      <c r="D179" s="71" t="str">
        <f aca="false">IFERROR(INDEX('تحليل التكلفة والسعر'!$N$2:$N$300,MATCH($B179,'تحليل التكلفة والسعر'!$B$2:$B$300,0)),IFERROR(INDEX(المكونات!$C$2:$C$500,MATCH($B179,المكونات!$A$2:$A$500,0)),""))</f>
        <v/>
      </c>
      <c r="E179" s="13" t="str">
        <f aca="false">IFERROR($C179*$D179,"")</f>
        <v/>
      </c>
    </row>
    <row r="180" customFormat="false" ht="15" hidden="false" customHeight="true" outlineLevel="0" collapsed="false">
      <c r="A180" s="49"/>
      <c r="B180" s="49"/>
      <c r="C180" s="49"/>
      <c r="D180" s="71" t="str">
        <f aca="false">IFERROR(INDEX('تحليل التكلفة والسعر'!$N$2:$N$300,MATCH($B180,'تحليل التكلفة والسعر'!$B$2:$B$300,0)),IFERROR(INDEX(المكونات!$C$2:$C$500,MATCH($B180,المكونات!$A$2:$A$500,0)),""))</f>
        <v/>
      </c>
      <c r="E180" s="13" t="str">
        <f aca="false">IFERROR($C180*$D180,"")</f>
        <v/>
      </c>
    </row>
    <row r="181" customFormat="false" ht="15" hidden="false" customHeight="true" outlineLevel="0" collapsed="false">
      <c r="A181" s="49"/>
      <c r="B181" s="49"/>
      <c r="C181" s="49"/>
      <c r="D181" s="71" t="str">
        <f aca="false">IFERROR(INDEX('تحليل التكلفة والسعر'!$N$2:$N$300,MATCH($B181,'تحليل التكلفة والسعر'!$B$2:$B$300,0)),IFERROR(INDEX(المكونات!$C$2:$C$500,MATCH($B181,المكونات!$A$2:$A$500,0)),""))</f>
        <v/>
      </c>
      <c r="E181" s="13" t="str">
        <f aca="false">IFERROR($C181*$D181,"")</f>
        <v/>
      </c>
    </row>
    <row r="182" customFormat="false" ht="15" hidden="false" customHeight="true" outlineLevel="0" collapsed="false">
      <c r="A182" s="49"/>
      <c r="B182" s="49"/>
      <c r="C182" s="49"/>
      <c r="D182" s="71" t="str">
        <f aca="false">IFERROR(INDEX('تحليل التكلفة والسعر'!$N$2:$N$300,MATCH($B182,'تحليل التكلفة والسعر'!$B$2:$B$300,0)),IFERROR(INDEX(المكونات!$C$2:$C$500,MATCH($B182,المكونات!$A$2:$A$500,0)),""))</f>
        <v/>
      </c>
      <c r="E182" s="13" t="str">
        <f aca="false">IFERROR($C182*$D182,"")</f>
        <v/>
      </c>
    </row>
    <row r="183" customFormat="false" ht="15" hidden="false" customHeight="true" outlineLevel="0" collapsed="false">
      <c r="A183" s="49"/>
      <c r="B183" s="49"/>
      <c r="C183" s="49"/>
      <c r="D183" s="71" t="str">
        <f aca="false">IFERROR(INDEX('تحليل التكلفة والسعر'!$N$2:$N$300,MATCH($B183,'تحليل التكلفة والسعر'!$B$2:$B$300,0)),IFERROR(INDEX(المكونات!$C$2:$C$500,MATCH($B183,المكونات!$A$2:$A$500,0)),""))</f>
        <v/>
      </c>
      <c r="E183" s="13" t="str">
        <f aca="false">IFERROR($C183*$D183,"")</f>
        <v/>
      </c>
    </row>
    <row r="184" customFormat="false" ht="15" hidden="false" customHeight="true" outlineLevel="0" collapsed="false">
      <c r="A184" s="49"/>
      <c r="B184" s="49"/>
      <c r="C184" s="49"/>
      <c r="D184" s="71" t="str">
        <f aca="false">IFERROR(INDEX('تحليل التكلفة والسعر'!$N$2:$N$300,MATCH($B184,'تحليل التكلفة والسعر'!$B$2:$B$300,0)),IFERROR(INDEX(المكونات!$C$2:$C$500,MATCH($B184,المكونات!$A$2:$A$500,0)),""))</f>
        <v/>
      </c>
      <c r="E184" s="13" t="str">
        <f aca="false">IFERROR($C184*$D184,"")</f>
        <v/>
      </c>
    </row>
    <row r="185" customFormat="false" ht="15" hidden="false" customHeight="true" outlineLevel="0" collapsed="false">
      <c r="A185" s="49"/>
      <c r="B185" s="49"/>
      <c r="C185" s="49"/>
      <c r="D185" s="71" t="str">
        <f aca="false">IFERROR(INDEX('تحليل التكلفة والسعر'!$N$2:$N$300,MATCH($B185,'تحليل التكلفة والسعر'!$B$2:$B$300,0)),IFERROR(INDEX(المكونات!$C$2:$C$500,MATCH($B185,المكونات!$A$2:$A$500,0)),""))</f>
        <v/>
      </c>
      <c r="E185" s="13" t="str">
        <f aca="false">IFERROR($C185*$D185,"")</f>
        <v/>
      </c>
    </row>
    <row r="186" customFormat="false" ht="15" hidden="false" customHeight="true" outlineLevel="0" collapsed="false">
      <c r="A186" s="49"/>
      <c r="B186" s="49"/>
      <c r="C186" s="49"/>
      <c r="D186" s="71" t="str">
        <f aca="false">IFERROR(INDEX('تحليل التكلفة والسعر'!$N$2:$N$300,MATCH($B186,'تحليل التكلفة والسعر'!$B$2:$B$300,0)),IFERROR(INDEX(المكونات!$C$2:$C$500,MATCH($B186,المكونات!$A$2:$A$500,0)),""))</f>
        <v/>
      </c>
      <c r="E186" s="13" t="str">
        <f aca="false">IFERROR($C186*$D186,"")</f>
        <v/>
      </c>
    </row>
    <row r="187" customFormat="false" ht="15" hidden="false" customHeight="true" outlineLevel="0" collapsed="false">
      <c r="A187" s="49"/>
      <c r="B187" s="49"/>
      <c r="C187" s="49"/>
      <c r="D187" s="71" t="str">
        <f aca="false">IFERROR(INDEX('تحليل التكلفة والسعر'!$N$2:$N$300,MATCH($B187,'تحليل التكلفة والسعر'!$B$2:$B$300,0)),IFERROR(INDEX(المكونات!$C$2:$C$500,MATCH($B187,المكونات!$A$2:$A$500,0)),""))</f>
        <v/>
      </c>
      <c r="E187" s="13" t="str">
        <f aca="false">IFERROR($C187*$D187,"")</f>
        <v/>
      </c>
    </row>
    <row r="188" customFormat="false" ht="15" hidden="false" customHeight="true" outlineLevel="0" collapsed="false">
      <c r="A188" s="49"/>
      <c r="B188" s="49"/>
      <c r="C188" s="49"/>
      <c r="D188" s="71" t="str">
        <f aca="false">IFERROR(INDEX('تحليل التكلفة والسعر'!$N$2:$N$300,MATCH($B188,'تحليل التكلفة والسعر'!$B$2:$B$300,0)),IFERROR(INDEX(المكونات!$C$2:$C$500,MATCH($B188,المكونات!$A$2:$A$500,0)),""))</f>
        <v/>
      </c>
      <c r="E188" s="13" t="str">
        <f aca="false">IFERROR($C188*$D188,"")</f>
        <v/>
      </c>
    </row>
    <row r="189" customFormat="false" ht="15" hidden="false" customHeight="true" outlineLevel="0" collapsed="false">
      <c r="A189" s="49"/>
      <c r="B189" s="49"/>
      <c r="C189" s="49"/>
      <c r="D189" s="71" t="str">
        <f aca="false">IFERROR(INDEX('تحليل التكلفة والسعر'!$N$2:$N$300,MATCH($B189,'تحليل التكلفة والسعر'!$B$2:$B$300,0)),IFERROR(INDEX(المكونات!$C$2:$C$500,MATCH($B189,المكونات!$A$2:$A$500,0)),""))</f>
        <v/>
      </c>
      <c r="E189" s="13" t="str">
        <f aca="false">IFERROR($C189*$D189,"")</f>
        <v/>
      </c>
    </row>
    <row r="190" customFormat="false" ht="15" hidden="false" customHeight="true" outlineLevel="0" collapsed="false">
      <c r="A190" s="49"/>
      <c r="B190" s="49"/>
      <c r="C190" s="49"/>
      <c r="D190" s="71" t="str">
        <f aca="false">IFERROR(INDEX('تحليل التكلفة والسعر'!$N$2:$N$300,MATCH($B190,'تحليل التكلفة والسعر'!$B$2:$B$300,0)),IFERROR(INDEX(المكونات!$C$2:$C$500,MATCH($B190,المكونات!$A$2:$A$500,0)),""))</f>
        <v/>
      </c>
      <c r="E190" s="13" t="str">
        <f aca="false">IFERROR($C190*$D190,"")</f>
        <v/>
      </c>
    </row>
    <row r="191" customFormat="false" ht="15" hidden="false" customHeight="true" outlineLevel="0" collapsed="false">
      <c r="A191" s="49"/>
      <c r="B191" s="49"/>
      <c r="C191" s="49"/>
      <c r="D191" s="71" t="str">
        <f aca="false">IFERROR(INDEX('تحليل التكلفة والسعر'!$N$2:$N$300,MATCH($B191,'تحليل التكلفة والسعر'!$B$2:$B$300,0)),IFERROR(INDEX(المكونات!$C$2:$C$500,MATCH($B191,المكونات!$A$2:$A$500,0)),""))</f>
        <v/>
      </c>
      <c r="E191" s="13" t="str">
        <f aca="false">IFERROR($C191*$D191,"")</f>
        <v/>
      </c>
    </row>
    <row r="192" customFormat="false" ht="15" hidden="false" customHeight="true" outlineLevel="0" collapsed="false">
      <c r="A192" s="49"/>
      <c r="B192" s="49"/>
      <c r="C192" s="49"/>
      <c r="D192" s="71" t="str">
        <f aca="false">IFERROR(INDEX('تحليل التكلفة والسعر'!$N$2:$N$300,MATCH($B192,'تحليل التكلفة والسعر'!$B$2:$B$300,0)),IFERROR(INDEX(المكونات!$C$2:$C$500,MATCH($B192,المكونات!$A$2:$A$500,0)),""))</f>
        <v/>
      </c>
      <c r="E192" s="13" t="str">
        <f aca="false">IFERROR($C192*$D192,"")</f>
        <v/>
      </c>
    </row>
    <row r="193" customFormat="false" ht="15" hidden="false" customHeight="true" outlineLevel="0" collapsed="false">
      <c r="A193" s="49"/>
      <c r="B193" s="49"/>
      <c r="C193" s="49"/>
      <c r="D193" s="71" t="str">
        <f aca="false">IFERROR(INDEX('تحليل التكلفة والسعر'!$N$2:$N$300,MATCH($B193,'تحليل التكلفة والسعر'!$B$2:$B$300,0)),IFERROR(INDEX(المكونات!$C$2:$C$500,MATCH($B193,المكونات!$A$2:$A$500,0)),""))</f>
        <v/>
      </c>
      <c r="E193" s="13" t="str">
        <f aca="false">IFERROR($C193*$D193,"")</f>
        <v/>
      </c>
    </row>
    <row r="194" customFormat="false" ht="15" hidden="false" customHeight="true" outlineLevel="0" collapsed="false">
      <c r="A194" s="49"/>
      <c r="B194" s="49"/>
      <c r="C194" s="49"/>
      <c r="D194" s="71" t="str">
        <f aca="false">IFERROR(INDEX('تحليل التكلفة والسعر'!$N$2:$N$300,MATCH($B194,'تحليل التكلفة والسعر'!$B$2:$B$300,0)),IFERROR(INDEX(المكونات!$C$2:$C$500,MATCH($B194,المكونات!$A$2:$A$500,0)),""))</f>
        <v/>
      </c>
      <c r="E194" s="13" t="str">
        <f aca="false">IFERROR($C194*$D194,"")</f>
        <v/>
      </c>
    </row>
    <row r="195" customFormat="false" ht="15" hidden="false" customHeight="true" outlineLevel="0" collapsed="false">
      <c r="A195" s="49"/>
      <c r="B195" s="49"/>
      <c r="C195" s="49"/>
      <c r="D195" s="71" t="str">
        <f aca="false">IFERROR(INDEX('تحليل التكلفة والسعر'!$N$2:$N$300,MATCH($B195,'تحليل التكلفة والسعر'!$B$2:$B$300,0)),IFERROR(INDEX(المكونات!$C$2:$C$500,MATCH($B195,المكونات!$A$2:$A$500,0)),""))</f>
        <v/>
      </c>
      <c r="E195" s="13" t="str">
        <f aca="false">IFERROR($C195*$D195,"")</f>
        <v/>
      </c>
    </row>
    <row r="196" customFormat="false" ht="15" hidden="false" customHeight="true" outlineLevel="0" collapsed="false">
      <c r="A196" s="49"/>
      <c r="B196" s="49"/>
      <c r="C196" s="49"/>
      <c r="D196" s="71" t="str">
        <f aca="false">IFERROR(INDEX('تحليل التكلفة والسعر'!$N$2:$N$300,MATCH($B196,'تحليل التكلفة والسعر'!$B$2:$B$300,0)),IFERROR(INDEX(المكونات!$C$2:$C$500,MATCH($B196,المكونات!$A$2:$A$500,0)),""))</f>
        <v/>
      </c>
      <c r="E196" s="13" t="str">
        <f aca="false">IFERROR($C196*$D196,"")</f>
        <v/>
      </c>
    </row>
    <row r="197" customFormat="false" ht="15" hidden="false" customHeight="true" outlineLevel="0" collapsed="false">
      <c r="A197" s="49"/>
      <c r="B197" s="49"/>
      <c r="C197" s="49"/>
      <c r="D197" s="71" t="str">
        <f aca="false">IFERROR(INDEX('تحليل التكلفة والسعر'!$N$2:$N$300,MATCH($B197,'تحليل التكلفة والسعر'!$B$2:$B$300,0)),IFERROR(INDEX(المكونات!$C$2:$C$500,MATCH($B197,المكونات!$A$2:$A$500,0)),""))</f>
        <v/>
      </c>
      <c r="E197" s="13" t="str">
        <f aca="false">IFERROR($C197*$D197,"")</f>
        <v/>
      </c>
    </row>
    <row r="198" customFormat="false" ht="15" hidden="false" customHeight="true" outlineLevel="0" collapsed="false">
      <c r="A198" s="49"/>
      <c r="B198" s="49"/>
      <c r="C198" s="49"/>
      <c r="D198" s="71" t="str">
        <f aca="false">IFERROR(INDEX('تحليل التكلفة والسعر'!$N$2:$N$300,MATCH($B198,'تحليل التكلفة والسعر'!$B$2:$B$300,0)),IFERROR(INDEX(المكونات!$C$2:$C$500,MATCH($B198,المكونات!$A$2:$A$500,0)),""))</f>
        <v/>
      </c>
      <c r="E198" s="13" t="str">
        <f aca="false">IFERROR($C198*$D198,"")</f>
        <v/>
      </c>
    </row>
    <row r="199" customFormat="false" ht="15" hidden="false" customHeight="true" outlineLevel="0" collapsed="false">
      <c r="A199" s="49"/>
      <c r="B199" s="49"/>
      <c r="C199" s="49"/>
      <c r="D199" s="71" t="str">
        <f aca="false">IFERROR(INDEX('تحليل التكلفة والسعر'!$N$2:$N$300,MATCH($B199,'تحليل التكلفة والسعر'!$B$2:$B$300,0)),IFERROR(INDEX(المكونات!$C$2:$C$500,MATCH($B199,المكونات!$A$2:$A$500,0)),""))</f>
        <v/>
      </c>
      <c r="E199" s="13" t="str">
        <f aca="false">IFERROR($C199*$D199,"")</f>
        <v/>
      </c>
    </row>
    <row r="200" customFormat="false" ht="15" hidden="false" customHeight="true" outlineLevel="0" collapsed="false">
      <c r="A200" s="49"/>
      <c r="B200" s="49"/>
      <c r="C200" s="49"/>
      <c r="D200" s="71" t="str">
        <f aca="false">IFERROR(INDEX('تحليل التكلفة والسعر'!$N$2:$N$300,MATCH($B200,'تحليل التكلفة والسعر'!$B$2:$B$300,0)),IFERROR(INDEX(المكونات!$C$2:$C$500,MATCH($B200,المكونات!$A$2:$A$500,0)),""))</f>
        <v/>
      </c>
      <c r="E200" s="13" t="str">
        <f aca="false">IFERROR($C200*$D200,"")</f>
        <v/>
      </c>
    </row>
    <row r="201" customFormat="false" ht="15" hidden="false" customHeight="true" outlineLevel="0" collapsed="false">
      <c r="A201" s="49"/>
      <c r="B201" s="49"/>
      <c r="C201" s="49"/>
      <c r="D201" s="71" t="str">
        <f aca="false">IFERROR(INDEX('تحليل التكلفة والسعر'!$N$2:$N$300,MATCH($B201,'تحليل التكلفة والسعر'!$B$2:$B$300,0)),IFERROR(INDEX(المكونات!$C$2:$C$500,MATCH($B201,المكونات!$A$2:$A$500,0)),""))</f>
        <v/>
      </c>
      <c r="E201" s="13" t="str">
        <f aca="false">IFERROR($C201*$D201,"")</f>
        <v/>
      </c>
    </row>
    <row r="202" customFormat="false" ht="15" hidden="false" customHeight="true" outlineLevel="0" collapsed="false">
      <c r="A202" s="49"/>
      <c r="B202" s="49"/>
      <c r="C202" s="49"/>
      <c r="D202" s="71" t="str">
        <f aca="false">IFERROR(INDEX('تحليل التكلفة والسعر'!$N$2:$N$300,MATCH($B202,'تحليل التكلفة والسعر'!$B$2:$B$300,0)),IFERROR(INDEX(المكونات!$C$2:$C$500,MATCH($B202,المكونات!$A$2:$A$500,0)),""))</f>
        <v/>
      </c>
      <c r="E202" s="13" t="str">
        <f aca="false">IFERROR($C202*$D202,"")</f>
        <v/>
      </c>
    </row>
    <row r="204" customFormat="false" ht="21.75" hidden="false" customHeight="true" outlineLevel="0" collapsed="false">
      <c r="A204" s="9" t="s">
        <v>596</v>
      </c>
      <c r="B204" s="9"/>
      <c r="C204" s="9"/>
      <c r="D204" s="9"/>
      <c r="E204" s="9"/>
      <c r="F204" s="9"/>
    </row>
    <row r="205" customFormat="false" ht="39.75" hidden="false" customHeight="true" outlineLevel="0" collapsed="false">
      <c r="A205" s="10" t="s">
        <v>585</v>
      </c>
      <c r="B205" s="10" t="s">
        <v>597</v>
      </c>
      <c r="C205" s="10" t="s">
        <v>598</v>
      </c>
      <c r="D205" s="10" t="s">
        <v>599</v>
      </c>
      <c r="E205" s="10" t="s">
        <v>600</v>
      </c>
      <c r="F205" s="10" t="s">
        <v>601</v>
      </c>
    </row>
    <row r="206" customFormat="false" ht="26.25" hidden="false" customHeight="true" outlineLevel="0" collapsed="false">
      <c r="A206" s="66" t="s">
        <v>588</v>
      </c>
      <c r="B206" s="69" t="n">
        <f aca="false">IFERROR(IF($A206="","",SUMIFS($E$3:$E$202,$A$3:$A$202,$A206)),"")</f>
        <v>91.2156120833333</v>
      </c>
      <c r="C206" s="78" t="n">
        <v>160</v>
      </c>
      <c r="D206" s="79" t="n">
        <f aca="false">IFERROR(IF(OR($A206="",$C206=0,$C206=""),"",$B206/$C206),"")</f>
        <v>0.570097575520833</v>
      </c>
      <c r="E206" s="68" t="n">
        <f aca="false">IFERROR(IF($A206="","",$B206/'تحليل التكلفة والسعر'!$F$2),"")</f>
        <v>243.241632222222</v>
      </c>
      <c r="F206" s="69" t="n">
        <f aca="false">IFERROR(IF($A206="","",$C206-$B206),"")</f>
        <v>68.7843879166667</v>
      </c>
    </row>
    <row r="207" customFormat="false" ht="26.25" hidden="false" customHeight="true" outlineLevel="0" collapsed="false">
      <c r="A207" s="66" t="s">
        <v>589</v>
      </c>
      <c r="B207" s="69" t="n">
        <f aca="false">IFERROR(IF($A207="","",SUMIFS($E$3:$E$202,$A$3:$A$202,$A207)),"")</f>
        <v>11.74</v>
      </c>
      <c r="C207" s="78" t="n">
        <v>0</v>
      </c>
      <c r="D207" s="79" t="str">
        <f aca="false">IFERROR(IF(OR($A207="",$C207=0,$C207=""),"",$B207/$C207),"")</f>
        <v/>
      </c>
      <c r="E207" s="68" t="n">
        <f aca="false">IFERROR(IF($A207="","",$B207/'تحليل التكلفة والسعر'!$F$2),"")</f>
        <v>31.3066666666667</v>
      </c>
      <c r="F207" s="69" t="n">
        <f aca="false">IFERROR(IF($A207="","",$C207-$B207),"")</f>
        <v>-11.74</v>
      </c>
    </row>
    <row r="208" customFormat="false" ht="15" hidden="false" customHeight="true" outlineLevel="0" collapsed="false">
      <c r="A208" s="66" t="s">
        <v>590</v>
      </c>
      <c r="B208" s="69" t="n">
        <f aca="false">IFERROR(IF($A208="","",SUMIFS($E$3:$E$202,$A$3:$A$202,$A208)),"")</f>
        <v>10.713986</v>
      </c>
      <c r="C208" s="78" t="n">
        <v>0</v>
      </c>
      <c r="D208" s="79" t="str">
        <f aca="false">IFERROR(IF(OR($A208="",$C208=0,$C208=""),"",$B208/$C208),"")</f>
        <v/>
      </c>
      <c r="E208" s="68" t="n">
        <f aca="false">IFERROR(IF($A208="","",$B208/'تحليل التكلفة والسعر'!$F$2),"")</f>
        <v>28.5706293333333</v>
      </c>
      <c r="F208" s="69" t="n">
        <f aca="false">IFERROR(IF($A208="","",$C208-$B208),"")</f>
        <v>-10.713986</v>
      </c>
    </row>
    <row r="209" customFormat="false" ht="15" hidden="false" customHeight="true" outlineLevel="0" collapsed="false">
      <c r="A209" s="66" t="s">
        <v>591</v>
      </c>
      <c r="B209" s="69" t="n">
        <f aca="false">IFERROR(IF($A209="","",SUMIFS($E$3:$E$202,$A$3:$A$202,$A209)),"")</f>
        <v>20.110157</v>
      </c>
      <c r="C209" s="78" t="n">
        <v>0</v>
      </c>
      <c r="D209" s="79" t="str">
        <f aca="false">IFERROR(IF(OR($A209="",$C209=0,$C209=""),"",$B209/$C209),"")</f>
        <v/>
      </c>
      <c r="E209" s="68" t="n">
        <f aca="false">IFERROR(IF($A209="","",$B209/'تحليل التكلفة والسعر'!$F$2),"")</f>
        <v>53.6270853333333</v>
      </c>
      <c r="F209" s="69" t="n">
        <f aca="false">IFERROR(IF($A209="","",$C209-$B209),"")</f>
        <v>-20.110157</v>
      </c>
    </row>
    <row r="210" customFormat="false" ht="26.25" hidden="false" customHeight="true" outlineLevel="0" collapsed="false">
      <c r="A210" s="66" t="s">
        <v>592</v>
      </c>
      <c r="B210" s="69" t="n">
        <f aca="false">IFERROR(IF($A210="","",SUMIFS($E$3:$E$202,$A$3:$A$202,$A210)),"")</f>
        <v>185.5452</v>
      </c>
      <c r="C210" s="78" t="n">
        <v>250</v>
      </c>
      <c r="D210" s="79" t="n">
        <f aca="false">IFERROR(IF(OR($A210="",$C210=0,$C210=""),"",$B210/$C210),"")</f>
        <v>0.7421808</v>
      </c>
      <c r="E210" s="68" t="n">
        <f aca="false">IFERROR(IF($A210="","",$B210/'تحليل التكلفة والسعر'!$F$2),"")</f>
        <v>494.7872</v>
      </c>
      <c r="F210" s="69" t="n">
        <f aca="false">IFERROR(IF($A210="","",$C210-$B210),"")</f>
        <v>64.4548</v>
      </c>
    </row>
    <row r="211" customFormat="false" ht="26.25" hidden="false" customHeight="true" outlineLevel="0" collapsed="false">
      <c r="A211" s="66" t="s">
        <v>593</v>
      </c>
      <c r="B211" s="69" t="n">
        <f aca="false">IFERROR(IF($A211="","",SUMIFS($E$3:$E$202,$A$3:$A$202,$A211)),"")</f>
        <v>166.741672</v>
      </c>
      <c r="C211" s="78" t="n">
        <v>250</v>
      </c>
      <c r="D211" s="79" t="n">
        <f aca="false">IFERROR(IF(OR($A211="",$C211=0,$C211=""),"",$B211/$C211),"")</f>
        <v>0.666966688</v>
      </c>
      <c r="E211" s="68" t="n">
        <f aca="false">IFERROR(IF($A211="","",$B211/'تحليل التكلفة والسعر'!$F$2),"")</f>
        <v>444.644458666667</v>
      </c>
      <c r="F211" s="69" t="n">
        <f aca="false">IFERROR(IF($A211="","",$C211-$B211),"")</f>
        <v>83.258328</v>
      </c>
    </row>
    <row r="212" customFormat="false" ht="26.25" hidden="false" customHeight="true" outlineLevel="0" collapsed="false">
      <c r="A212" s="66" t="s">
        <v>594</v>
      </c>
      <c r="B212" s="69" t="n">
        <f aca="false">IFERROR(IF($A212="","",SUMIFS($E$3:$E$202,$A$3:$A$202,$A212)),"")</f>
        <v>91.8984</v>
      </c>
      <c r="C212" s="78" t="n">
        <v>150</v>
      </c>
      <c r="D212" s="79" t="n">
        <f aca="false">IFERROR(IF(OR($A212="",$C212=0,$C212=""),"",$B212/$C212),"")</f>
        <v>0.612656</v>
      </c>
      <c r="E212" s="68" t="n">
        <f aca="false">IFERROR(IF($A212="","",$B212/'تحليل التكلفة والسعر'!$F$2),"")</f>
        <v>245.0624</v>
      </c>
      <c r="F212" s="69" t="n">
        <f aca="false">IFERROR(IF($A212="","",$C212-$B212),"")</f>
        <v>58.1016</v>
      </c>
    </row>
    <row r="213" customFormat="false" ht="26.25" hidden="false" customHeight="true" outlineLevel="0" collapsed="false">
      <c r="A213" s="66" t="s">
        <v>595</v>
      </c>
      <c r="B213" s="69" t="n">
        <f aca="false">IFERROR(IF($A213="","",SUMIFS($E$3:$E$202,$A$3:$A$202,$A213)),"")</f>
        <v>104.6676</v>
      </c>
      <c r="C213" s="78" t="n">
        <v>200</v>
      </c>
      <c r="D213" s="79" t="n">
        <f aca="false">IFERROR(IF(OR($A213="",$C213=0,$C213=""),"",$B213/$C213),"")</f>
        <v>0.523338</v>
      </c>
      <c r="E213" s="68" t="n">
        <f aca="false">IFERROR(IF($A213="","",$B213/'تحليل التكلفة والسعر'!$F$2),"")</f>
        <v>279.1136</v>
      </c>
      <c r="F213" s="69" t="n">
        <f aca="false">IFERROR(IF($A213="","",$C213-$B213),"")</f>
        <v>95.3324</v>
      </c>
    </row>
    <row r="214" customFormat="false" ht="15" hidden="false" customHeight="true" outlineLevel="0" collapsed="false">
      <c r="A214" s="49"/>
      <c r="B214" s="13" t="str">
        <f aca="false">IFERROR(IF($A214="","",SUMIFS($E$3:$E$202,$A$3:$A$202,$A214)),"")</f>
        <v/>
      </c>
      <c r="C214" s="50"/>
      <c r="D214" s="12" t="str">
        <f aca="false">IFERROR(IF(OR($A214="",$C214=0,$C214=""),"",$B214/$C214),"")</f>
        <v/>
      </c>
      <c r="E214" s="71" t="str">
        <f aca="false">IFERROR(IF($A214="","",$B214/'تحليل التكلفة والسعر'!$F$2),"")</f>
        <v/>
      </c>
      <c r="F214" s="13" t="str">
        <f aca="false">IFERROR(IF($A214="","",$C214-$B214),"")</f>
        <v/>
      </c>
    </row>
    <row r="215" customFormat="false" ht="15" hidden="false" customHeight="true" outlineLevel="0" collapsed="false">
      <c r="A215" s="49"/>
      <c r="B215" s="13" t="str">
        <f aca="false">IFERROR(IF($A215="","",SUMIFS($E$3:$E$202,$A$3:$A$202,$A215)),"")</f>
        <v/>
      </c>
      <c r="C215" s="50"/>
      <c r="D215" s="12" t="str">
        <f aca="false">IFERROR(IF(OR($A215="",$C215=0,$C215=""),"",$B215/$C215),"")</f>
        <v/>
      </c>
      <c r="E215" s="71" t="str">
        <f aca="false">IFERROR(IF($A215="","",$B215/'تحليل التكلفة والسعر'!$F$2),"")</f>
        <v/>
      </c>
      <c r="F215" s="13" t="str">
        <f aca="false">IFERROR(IF($A215="","",$C215-$B215),"")</f>
        <v/>
      </c>
    </row>
    <row r="216" customFormat="false" ht="15" hidden="false" customHeight="true" outlineLevel="0" collapsed="false">
      <c r="A216" s="49"/>
      <c r="B216" s="13" t="str">
        <f aca="false">IFERROR(IF($A216="","",SUMIFS($E$3:$E$202,$A$3:$A$202,$A216)),"")</f>
        <v/>
      </c>
      <c r="C216" s="50"/>
      <c r="D216" s="12" t="str">
        <f aca="false">IFERROR(IF(OR($A216="",$C216=0,$C216=""),"",$B216/$C216),"")</f>
        <v/>
      </c>
      <c r="E216" s="71" t="str">
        <f aca="false">IFERROR(IF($A216="","",$B216/'تحليل التكلفة والسعر'!$F$2),"")</f>
        <v/>
      </c>
      <c r="F216" s="13" t="str">
        <f aca="false">IFERROR(IF($A216="","",$C216-$B216),"")</f>
        <v/>
      </c>
    </row>
    <row r="217" customFormat="false" ht="15" hidden="false" customHeight="true" outlineLevel="0" collapsed="false">
      <c r="A217" s="49"/>
      <c r="B217" s="13" t="str">
        <f aca="false">IFERROR(IF($A217="","",SUMIFS($E$3:$E$202,$A$3:$A$202,$A217)),"")</f>
        <v/>
      </c>
      <c r="C217" s="50"/>
      <c r="D217" s="12" t="str">
        <f aca="false">IFERROR(IF(OR($A217="",$C217=0,$C217=""),"",$B217/$C217),"")</f>
        <v/>
      </c>
      <c r="E217" s="71" t="str">
        <f aca="false">IFERROR(IF($A217="","",$B217/'تحليل التكلفة والسعر'!$F$2),"")</f>
        <v/>
      </c>
      <c r="F217" s="13" t="str">
        <f aca="false">IFERROR(IF($A217="","",$C217-$B217),"")</f>
        <v/>
      </c>
    </row>
    <row r="218" customFormat="false" ht="15" hidden="false" customHeight="true" outlineLevel="0" collapsed="false">
      <c r="A218" s="49"/>
      <c r="B218" s="13" t="str">
        <f aca="false">IFERROR(IF($A218="","",SUMIFS($E$3:$E$202,$A$3:$A$202,$A218)),"")</f>
        <v/>
      </c>
      <c r="C218" s="50"/>
      <c r="D218" s="12" t="str">
        <f aca="false">IFERROR(IF(OR($A218="",$C218=0,$C218=""),"",$B218/$C218),"")</f>
        <v/>
      </c>
      <c r="E218" s="71" t="str">
        <f aca="false">IFERROR(IF($A218="","",$B218/'تحليل التكلفة والسعر'!$F$2),"")</f>
        <v/>
      </c>
      <c r="F218" s="13" t="str">
        <f aca="false">IFERROR(IF($A218="","",$C218-$B218),"")</f>
        <v/>
      </c>
    </row>
    <row r="219" customFormat="false" ht="15" hidden="false" customHeight="true" outlineLevel="0" collapsed="false">
      <c r="A219" s="49"/>
      <c r="B219" s="13" t="str">
        <f aca="false">IFERROR(IF($A219="","",SUMIFS($E$3:$E$202,$A$3:$A$202,$A219)),"")</f>
        <v/>
      </c>
      <c r="C219" s="50"/>
      <c r="D219" s="12" t="str">
        <f aca="false">IFERROR(IF(OR($A219="",$C219=0,$C219=""),"",$B219/$C219),"")</f>
        <v/>
      </c>
      <c r="E219" s="71" t="str">
        <f aca="false">IFERROR(IF($A219="","",$B219/'تحليل التكلفة والسعر'!$F$2),"")</f>
        <v/>
      </c>
      <c r="F219" s="13" t="str">
        <f aca="false">IFERROR(IF($A219="","",$C219-$B219),"")</f>
        <v/>
      </c>
    </row>
    <row r="220" customFormat="false" ht="15" hidden="false" customHeight="true" outlineLevel="0" collapsed="false">
      <c r="A220" s="49"/>
      <c r="B220" s="13" t="str">
        <f aca="false">IFERROR(IF($A220="","",SUMIFS($E$3:$E$202,$A$3:$A$202,$A220)),"")</f>
        <v/>
      </c>
      <c r="C220" s="50"/>
      <c r="D220" s="12" t="str">
        <f aca="false">IFERROR(IF(OR($A220="",$C220=0,$C220=""),"",$B220/$C220),"")</f>
        <v/>
      </c>
      <c r="E220" s="71" t="str">
        <f aca="false">IFERROR(IF($A220="","",$B220/'تحليل التكلفة والسعر'!$F$2),"")</f>
        <v/>
      </c>
      <c r="F220" s="13" t="str">
        <f aca="false">IFERROR(IF($A220="","",$C220-$B220),"")</f>
        <v/>
      </c>
    </row>
    <row r="221" customFormat="false" ht="15" hidden="false" customHeight="true" outlineLevel="0" collapsed="false">
      <c r="A221" s="49"/>
      <c r="B221" s="13" t="str">
        <f aca="false">IFERROR(IF($A221="","",SUMIFS($E$3:$E$202,$A$3:$A$202,$A221)),"")</f>
        <v/>
      </c>
      <c r="C221" s="50"/>
      <c r="D221" s="12" t="str">
        <f aca="false">IFERROR(IF(OR($A221="",$C221=0,$C221=""),"",$B221/$C221),"")</f>
        <v/>
      </c>
      <c r="E221" s="71" t="str">
        <f aca="false">IFERROR(IF($A221="","",$B221/'تحليل التكلفة والسعر'!$F$2),"")</f>
        <v/>
      </c>
      <c r="F221" s="13" t="str">
        <f aca="false">IFERROR(IF($A221="","",$C221-$B221),"")</f>
        <v/>
      </c>
    </row>
    <row r="222" customFormat="false" ht="15" hidden="false" customHeight="true" outlineLevel="0" collapsed="false">
      <c r="A222" s="49"/>
      <c r="B222" s="13" t="str">
        <f aca="false">IFERROR(IF($A222="","",SUMIFS($E$3:$E$202,$A$3:$A$202,$A222)),"")</f>
        <v/>
      </c>
      <c r="C222" s="50"/>
      <c r="D222" s="12" t="str">
        <f aca="false">IFERROR(IF(OR($A222="",$C222=0,$C222=""),"",$B222/$C222),"")</f>
        <v/>
      </c>
      <c r="E222" s="71" t="str">
        <f aca="false">IFERROR(IF($A222="","",$B222/'تحليل التكلفة والسعر'!$F$2),"")</f>
        <v/>
      </c>
      <c r="F222" s="13" t="str">
        <f aca="false">IFERROR(IF($A222="","",$C222-$B222),"")</f>
        <v/>
      </c>
    </row>
    <row r="223" customFormat="false" ht="15" hidden="false" customHeight="true" outlineLevel="0" collapsed="false">
      <c r="A223" s="49"/>
      <c r="B223" s="13" t="str">
        <f aca="false">IFERROR(IF($A223="","",SUMIFS($E$3:$E$202,$A$3:$A$202,$A223)),"")</f>
        <v/>
      </c>
      <c r="C223" s="50"/>
      <c r="D223" s="12" t="str">
        <f aca="false">IFERROR(IF(OR($A223="",$C223=0,$C223=""),"",$B223/$C223),"")</f>
        <v/>
      </c>
      <c r="E223" s="71" t="str">
        <f aca="false">IFERROR(IF($A223="","",$B223/'تحليل التكلفة والسعر'!$F$2),"")</f>
        <v/>
      </c>
      <c r="F223" s="13" t="str">
        <f aca="false">IFERROR(IF($A223="","",$C223-$B223),"")</f>
        <v/>
      </c>
    </row>
    <row r="224" customFormat="false" ht="15" hidden="false" customHeight="true" outlineLevel="0" collapsed="false">
      <c r="A224" s="49"/>
      <c r="B224" s="13" t="str">
        <f aca="false">IFERROR(IF($A224="","",SUMIFS($E$3:$E$202,$A$3:$A$202,$A224)),"")</f>
        <v/>
      </c>
      <c r="C224" s="50"/>
      <c r="D224" s="12" t="str">
        <f aca="false">IFERROR(IF(OR($A224="",$C224=0,$C224=""),"",$B224/$C224),"")</f>
        <v/>
      </c>
      <c r="E224" s="71" t="str">
        <f aca="false">IFERROR(IF($A224="","",$B224/'تحليل التكلفة والسعر'!$F$2),"")</f>
        <v/>
      </c>
      <c r="F224" s="13" t="str">
        <f aca="false">IFERROR(IF($A224="","",$C224-$B224),"")</f>
        <v/>
      </c>
    </row>
    <row r="225" customFormat="false" ht="15" hidden="false" customHeight="true" outlineLevel="0" collapsed="false">
      <c r="A225" s="49"/>
      <c r="B225" s="13" t="str">
        <f aca="false">IFERROR(IF($A225="","",SUMIFS($E$3:$E$202,$A$3:$A$202,$A225)),"")</f>
        <v/>
      </c>
      <c r="C225" s="50"/>
      <c r="D225" s="12" t="str">
        <f aca="false">IFERROR(IF(OR($A225="",$C225=0,$C225=""),"",$B225/$C225),"")</f>
        <v/>
      </c>
      <c r="E225" s="71" t="str">
        <f aca="false">IFERROR(IF($A225="","",$B225/'تحليل التكلفة والسعر'!$F$2),"")</f>
        <v/>
      </c>
      <c r="F225" s="13" t="str">
        <f aca="false">IFERROR(IF($A225="","",$C225-$B225),"")</f>
        <v/>
      </c>
    </row>
    <row r="226" customFormat="false" ht="15" hidden="false" customHeight="true" outlineLevel="0" collapsed="false">
      <c r="A226" s="49"/>
      <c r="B226" s="13" t="str">
        <f aca="false">IFERROR(IF($A226="","",SUMIFS($E$3:$E$202,$A$3:$A$202,$A226)),"")</f>
        <v/>
      </c>
      <c r="C226" s="50"/>
      <c r="D226" s="12" t="str">
        <f aca="false">IFERROR(IF(OR($A226="",$C226=0,$C226=""),"",$B226/$C226),"")</f>
        <v/>
      </c>
      <c r="E226" s="71" t="str">
        <f aca="false">IFERROR(IF($A226="","",$B226/'تحليل التكلفة والسعر'!$F$2),"")</f>
        <v/>
      </c>
      <c r="F226" s="13" t="str">
        <f aca="false">IFERROR(IF($A226="","",$C226-$B226),"")</f>
        <v/>
      </c>
    </row>
    <row r="227" customFormat="false" ht="15" hidden="false" customHeight="true" outlineLevel="0" collapsed="false">
      <c r="A227" s="49"/>
      <c r="B227" s="13" t="str">
        <f aca="false">IFERROR(IF($A227="","",SUMIFS($E$3:$E$202,$A$3:$A$202,$A227)),"")</f>
        <v/>
      </c>
      <c r="C227" s="50"/>
      <c r="D227" s="12" t="str">
        <f aca="false">IFERROR(IF(OR($A227="",$C227=0,$C227=""),"",$B227/$C227),"")</f>
        <v/>
      </c>
      <c r="E227" s="71" t="str">
        <f aca="false">IFERROR(IF($A227="","",$B227/'تحليل التكلفة والسعر'!$F$2),"")</f>
        <v/>
      </c>
      <c r="F227" s="13" t="str">
        <f aca="false">IFERROR(IF($A227="","",$C227-$B227),"")</f>
        <v/>
      </c>
    </row>
    <row r="228" customFormat="false" ht="15" hidden="false" customHeight="true" outlineLevel="0" collapsed="false">
      <c r="A228" s="49"/>
      <c r="B228" s="13" t="str">
        <f aca="false">IFERROR(IF($A228="","",SUMIFS($E$3:$E$202,$A$3:$A$202,$A228)),"")</f>
        <v/>
      </c>
      <c r="C228" s="50"/>
      <c r="D228" s="12" t="str">
        <f aca="false">IFERROR(IF(OR($A228="",$C228=0,$C228=""),"",$B228/$C228),"")</f>
        <v/>
      </c>
      <c r="E228" s="71" t="str">
        <f aca="false">IFERROR(IF($A228="","",$B228/'تحليل التكلفة والسعر'!$F$2),"")</f>
        <v/>
      </c>
      <c r="F228" s="13" t="str">
        <f aca="false">IFERROR(IF($A228="","",$C228-$B228),"")</f>
        <v/>
      </c>
    </row>
    <row r="229" customFormat="false" ht="15" hidden="false" customHeight="true" outlineLevel="0" collapsed="false">
      <c r="A229" s="49"/>
      <c r="B229" s="13" t="str">
        <f aca="false">IFERROR(IF($A229="","",SUMIFS($E$3:$E$202,$A$3:$A$202,$A229)),"")</f>
        <v/>
      </c>
      <c r="C229" s="50"/>
      <c r="D229" s="12" t="str">
        <f aca="false">IFERROR(IF(OR($A229="",$C229=0,$C229=""),"",$B229/$C229),"")</f>
        <v/>
      </c>
      <c r="E229" s="71" t="str">
        <f aca="false">IFERROR(IF($A229="","",$B229/'تحليل التكلفة والسعر'!$F$2),"")</f>
        <v/>
      </c>
      <c r="F229" s="13" t="str">
        <f aca="false">IFERROR(IF($A229="","",$C229-$B229),"")</f>
        <v/>
      </c>
    </row>
    <row r="230" customFormat="false" ht="15" hidden="false" customHeight="true" outlineLevel="0" collapsed="false">
      <c r="A230" s="49"/>
      <c r="B230" s="13" t="str">
        <f aca="false">IFERROR(IF($A230="","",SUMIFS($E$3:$E$202,$A$3:$A$202,$A230)),"")</f>
        <v/>
      </c>
      <c r="C230" s="50"/>
      <c r="D230" s="12" t="str">
        <f aca="false">IFERROR(IF(OR($A230="",$C230=0,$C230=""),"",$B230/$C230),"")</f>
        <v/>
      </c>
      <c r="E230" s="71" t="str">
        <f aca="false">IFERROR(IF($A230="","",$B230/'تحليل التكلفة والسعر'!$F$2),"")</f>
        <v/>
      </c>
      <c r="F230" s="13" t="str">
        <f aca="false">IFERROR(IF($A230="","",$C230-$B230),"")</f>
        <v/>
      </c>
    </row>
    <row r="231" customFormat="false" ht="15" hidden="false" customHeight="true" outlineLevel="0" collapsed="false">
      <c r="A231" s="49"/>
      <c r="B231" s="13" t="str">
        <f aca="false">IFERROR(IF($A231="","",SUMIFS($E$3:$E$202,$A$3:$A$202,$A231)),"")</f>
        <v/>
      </c>
      <c r="C231" s="50"/>
      <c r="D231" s="12" t="str">
        <f aca="false">IFERROR(IF(OR($A231="",$C231=0,$C231=""),"",$B231/$C231),"")</f>
        <v/>
      </c>
      <c r="E231" s="71" t="str">
        <f aca="false">IFERROR(IF($A231="","",$B231/'تحليل التكلفة والسعر'!$F$2),"")</f>
        <v/>
      </c>
      <c r="F231" s="13" t="str">
        <f aca="false">IFERROR(IF($A231="","",$C231-$B231),"")</f>
        <v/>
      </c>
    </row>
    <row r="232" customFormat="false" ht="15" hidden="false" customHeight="true" outlineLevel="0" collapsed="false">
      <c r="A232" s="49"/>
      <c r="B232" s="13" t="str">
        <f aca="false">IFERROR(IF($A232="","",SUMIFS($E$3:$E$202,$A$3:$A$202,$A232)),"")</f>
        <v/>
      </c>
      <c r="C232" s="50"/>
      <c r="D232" s="12" t="str">
        <f aca="false">IFERROR(IF(OR($A232="",$C232=0,$C232=""),"",$B232/$C232),"")</f>
        <v/>
      </c>
      <c r="E232" s="71" t="str">
        <f aca="false">IFERROR(IF($A232="","",$B232/'تحليل التكلفة والسعر'!$F$2),"")</f>
        <v/>
      </c>
      <c r="F232" s="13" t="str">
        <f aca="false">IFERROR(IF($A232="","",$C232-$B232),"")</f>
        <v/>
      </c>
    </row>
    <row r="233" customFormat="false" ht="15" hidden="false" customHeight="true" outlineLevel="0" collapsed="false">
      <c r="A233" s="49"/>
      <c r="B233" s="13" t="str">
        <f aca="false">IFERROR(IF($A233="","",SUMIFS($E$3:$E$202,$A$3:$A$202,$A233)),"")</f>
        <v/>
      </c>
      <c r="C233" s="50"/>
      <c r="D233" s="12" t="str">
        <f aca="false">IFERROR(IF(OR($A233="",$C233=0,$C233=""),"",$B233/$C233),"")</f>
        <v/>
      </c>
      <c r="E233" s="71" t="str">
        <f aca="false">IFERROR(IF($A233="","",$B233/'تحليل التكلفة والسعر'!$F$2),"")</f>
        <v/>
      </c>
      <c r="F233" s="13" t="str">
        <f aca="false">IFERROR(IF($A233="","",$C233-$B233),"")</f>
        <v/>
      </c>
    </row>
    <row r="234" customFormat="false" ht="15" hidden="false" customHeight="true" outlineLevel="0" collapsed="false">
      <c r="A234" s="49"/>
      <c r="B234" s="13" t="str">
        <f aca="false">IFERROR(IF($A234="","",SUMIFS($E$3:$E$202,$A$3:$A$202,$A234)),"")</f>
        <v/>
      </c>
      <c r="C234" s="50"/>
      <c r="D234" s="12" t="str">
        <f aca="false">IFERROR(IF(OR($A234="",$C234=0,$C234=""),"",$B234/$C234),"")</f>
        <v/>
      </c>
      <c r="E234" s="71" t="str">
        <f aca="false">IFERROR(IF($A234="","",$B234/'تحليل التكلفة والسعر'!$F$2),"")</f>
        <v/>
      </c>
      <c r="F234" s="13" t="str">
        <f aca="false">IFERROR(IF($A234="","",$C234-$B234),"")</f>
        <v/>
      </c>
    </row>
    <row r="235" customFormat="false" ht="15" hidden="false" customHeight="true" outlineLevel="0" collapsed="false">
      <c r="A235" s="49"/>
      <c r="B235" s="13" t="str">
        <f aca="false">IFERROR(IF($A235="","",SUMIFS($E$3:$E$202,$A$3:$A$202,$A235)),"")</f>
        <v/>
      </c>
      <c r="C235" s="50"/>
      <c r="D235" s="12" t="str">
        <f aca="false">IFERROR(IF(OR($A235="",$C235=0,$C235=""),"",$B235/$C235),"")</f>
        <v/>
      </c>
      <c r="E235" s="71" t="str">
        <f aca="false">IFERROR(IF($A235="","",$B235/'تحليل التكلفة والسعر'!$F$2),"")</f>
        <v/>
      </c>
      <c r="F235" s="13" t="str">
        <f aca="false">IFERROR(IF($A235="","",$C235-$B235),"")</f>
        <v/>
      </c>
    </row>
    <row r="236" customFormat="false" ht="15" hidden="false" customHeight="true" outlineLevel="0" collapsed="false">
      <c r="A236" s="49"/>
      <c r="B236" s="13" t="str">
        <f aca="false">IFERROR(IF($A236="","",SUMIFS($E$3:$E$202,$A$3:$A$202,$A236)),"")</f>
        <v/>
      </c>
      <c r="C236" s="50"/>
      <c r="D236" s="12" t="str">
        <f aca="false">IFERROR(IF(OR($A236="",$C236=0,$C236=""),"",$B236/$C236),"")</f>
        <v/>
      </c>
      <c r="E236" s="71" t="str">
        <f aca="false">IFERROR(IF($A236="","",$B236/'تحليل التكلفة والسعر'!$F$2),"")</f>
        <v/>
      </c>
      <c r="F236" s="13" t="str">
        <f aca="false">IFERROR(IF($A236="","",$C236-$B236),"")</f>
        <v/>
      </c>
    </row>
    <row r="237" customFormat="false" ht="15" hidden="false" customHeight="true" outlineLevel="0" collapsed="false">
      <c r="A237" s="49"/>
      <c r="B237" s="13" t="str">
        <f aca="false">IFERROR(IF($A237="","",SUMIFS($E$3:$E$202,$A$3:$A$202,$A237)),"")</f>
        <v/>
      </c>
      <c r="C237" s="50"/>
      <c r="D237" s="12" t="str">
        <f aca="false">IFERROR(IF(OR($A237="",$C237=0,$C237=""),"",$B237/$C237),"")</f>
        <v/>
      </c>
      <c r="E237" s="71" t="str">
        <f aca="false">IFERROR(IF($A237="","",$B237/'تحليل التكلفة والسعر'!$F$2),"")</f>
        <v/>
      </c>
      <c r="F237" s="13" t="str">
        <f aca="false">IFERROR(IF($A237="","",$C237-$B237),"")</f>
        <v/>
      </c>
    </row>
    <row r="238" customFormat="false" ht="15" hidden="false" customHeight="true" outlineLevel="0" collapsed="false">
      <c r="A238" s="49"/>
      <c r="B238" s="13" t="str">
        <f aca="false">IFERROR(IF($A238="","",SUMIFS($E$3:$E$202,$A$3:$A$202,$A238)),"")</f>
        <v/>
      </c>
      <c r="C238" s="50"/>
      <c r="D238" s="12" t="str">
        <f aca="false">IFERROR(IF(OR($A238="",$C238=0,$C238=""),"",$B238/$C238),"")</f>
        <v/>
      </c>
      <c r="E238" s="71" t="str">
        <f aca="false">IFERROR(IF($A238="","",$B238/'تحليل التكلفة والسعر'!$F$2),"")</f>
        <v/>
      </c>
      <c r="F238" s="13" t="str">
        <f aca="false">IFERROR(IF($A238="","",$C238-$B238),"")</f>
        <v/>
      </c>
    </row>
    <row r="239" customFormat="false" ht="15" hidden="false" customHeight="true" outlineLevel="0" collapsed="false">
      <c r="A239" s="49"/>
      <c r="B239" s="13" t="str">
        <f aca="false">IFERROR(IF($A239="","",SUMIFS($E$3:$E$202,$A$3:$A$202,$A239)),"")</f>
        <v/>
      </c>
      <c r="C239" s="50"/>
      <c r="D239" s="12" t="str">
        <f aca="false">IFERROR(IF(OR($A239="",$C239=0,$C239=""),"",$B239/$C239),"")</f>
        <v/>
      </c>
      <c r="E239" s="71" t="str">
        <f aca="false">IFERROR(IF($A239="","",$B239/'تحليل التكلفة والسعر'!$F$2),"")</f>
        <v/>
      </c>
      <c r="F239" s="13" t="str">
        <f aca="false">IFERROR(IF($A239="","",$C239-$B239),"")</f>
        <v/>
      </c>
    </row>
    <row r="240" customFormat="false" ht="15" hidden="false" customHeight="true" outlineLevel="0" collapsed="false">
      <c r="A240" s="49"/>
      <c r="B240" s="13" t="str">
        <f aca="false">IFERROR(IF($A240="","",SUMIFS($E$3:$E$202,$A$3:$A$202,$A240)),"")</f>
        <v/>
      </c>
      <c r="C240" s="50"/>
      <c r="D240" s="12" t="str">
        <f aca="false">IFERROR(IF(OR($A240="",$C240=0,$C240=""),"",$B240/$C240),"")</f>
        <v/>
      </c>
      <c r="E240" s="71" t="str">
        <f aca="false">IFERROR(IF($A240="","",$B240/'تحليل التكلفة والسعر'!$F$2),"")</f>
        <v/>
      </c>
      <c r="F240" s="13" t="str">
        <f aca="false">IFERROR(IF($A240="","",$C240-$B240),"")</f>
        <v/>
      </c>
    </row>
    <row r="241" customFormat="false" ht="15" hidden="false" customHeight="true" outlineLevel="0" collapsed="false">
      <c r="A241" s="49"/>
      <c r="B241" s="13" t="str">
        <f aca="false">IFERROR(IF($A241="","",SUMIFS($E$3:$E$202,$A$3:$A$202,$A241)),"")</f>
        <v/>
      </c>
      <c r="C241" s="50"/>
      <c r="D241" s="12" t="str">
        <f aca="false">IFERROR(IF(OR($A241="",$C241=0,$C241=""),"",$B241/$C241),"")</f>
        <v/>
      </c>
      <c r="E241" s="71" t="str">
        <f aca="false">IFERROR(IF($A241="","",$B241/'تحليل التكلفة والسعر'!$F$2),"")</f>
        <v/>
      </c>
      <c r="F241" s="13" t="str">
        <f aca="false">IFERROR(IF($A241="","",$C241-$B241),"")</f>
        <v/>
      </c>
    </row>
    <row r="242" customFormat="false" ht="15" hidden="false" customHeight="true" outlineLevel="0" collapsed="false">
      <c r="A242" s="49"/>
      <c r="B242" s="13" t="str">
        <f aca="false">IFERROR(IF($A242="","",SUMIFS($E$3:$E$202,$A$3:$A$202,$A242)),"")</f>
        <v/>
      </c>
      <c r="C242" s="50"/>
      <c r="D242" s="12" t="str">
        <f aca="false">IFERROR(IF(OR($A242="",$C242=0,$C242=""),"",$B242/$C242),"")</f>
        <v/>
      </c>
      <c r="E242" s="71" t="str">
        <f aca="false">IFERROR(IF($A242="","",$B242/'تحليل التكلفة والسعر'!$F$2),"")</f>
        <v/>
      </c>
      <c r="F242" s="13" t="str">
        <f aca="false">IFERROR(IF($A242="","",$C242-$B242),"")</f>
        <v/>
      </c>
    </row>
    <row r="243" customFormat="false" ht="15" hidden="false" customHeight="true" outlineLevel="0" collapsed="false">
      <c r="A243" s="49"/>
      <c r="B243" s="13" t="str">
        <f aca="false">IFERROR(IF($A243="","",SUMIFS($E$3:$E$202,$A$3:$A$202,$A243)),"")</f>
        <v/>
      </c>
      <c r="C243" s="50"/>
      <c r="D243" s="12" t="str">
        <f aca="false">IFERROR(IF(OR($A243="",$C243=0,$C243=""),"",$B243/$C243),"")</f>
        <v/>
      </c>
      <c r="E243" s="71" t="str">
        <f aca="false">IFERROR(IF($A243="","",$B243/'تحليل التكلفة والسعر'!$F$2),"")</f>
        <v/>
      </c>
      <c r="F243" s="13" t="str">
        <f aca="false">IFERROR(IF($A243="","",$C243-$B243),"")</f>
        <v/>
      </c>
    </row>
    <row r="244" customFormat="false" ht="15" hidden="false" customHeight="true" outlineLevel="0" collapsed="false">
      <c r="A244" s="49"/>
      <c r="B244" s="13" t="str">
        <f aca="false">IFERROR(IF($A244="","",SUMIFS($E$3:$E$202,$A$3:$A$202,$A244)),"")</f>
        <v/>
      </c>
      <c r="C244" s="50"/>
      <c r="D244" s="12" t="str">
        <f aca="false">IFERROR(IF(OR($A244="",$C244=0,$C244=""),"",$B244/$C244),"")</f>
        <v/>
      </c>
      <c r="E244" s="71" t="str">
        <f aca="false">IFERROR(IF($A244="","",$B244/'تحليل التكلفة والسعر'!$F$2),"")</f>
        <v/>
      </c>
      <c r="F244" s="13" t="str">
        <f aca="false">IFERROR(IF($A244="","",$C244-$B244),"")</f>
        <v/>
      </c>
    </row>
    <row r="245" customFormat="false" ht="15" hidden="false" customHeight="true" outlineLevel="0" collapsed="false">
      <c r="A245" s="49"/>
      <c r="B245" s="13" t="str">
        <f aca="false">IFERROR(IF($A245="","",SUMIFS($E$3:$E$202,$A$3:$A$202,$A245)),"")</f>
        <v/>
      </c>
      <c r="C245" s="50"/>
      <c r="D245" s="12" t="str">
        <f aca="false">IFERROR(IF(OR($A245="",$C245=0,$C245=""),"",$B245/$C245),"")</f>
        <v/>
      </c>
      <c r="E245" s="71" t="str">
        <f aca="false">IFERROR(IF($A245="","",$B245/'تحليل التكلفة والسعر'!$F$2),"")</f>
        <v/>
      </c>
      <c r="F245" s="13" t="str">
        <f aca="false">IFERROR(IF($A245="","",$C245-$B245),"")</f>
        <v/>
      </c>
    </row>
    <row r="246" customFormat="false" ht="15" hidden="false" customHeight="true" outlineLevel="0" collapsed="false">
      <c r="A246" s="49"/>
      <c r="B246" s="13" t="str">
        <f aca="false">IFERROR(IF($A246="","",SUMIFS($E$3:$E$202,$A$3:$A$202,$A246)),"")</f>
        <v/>
      </c>
      <c r="C246" s="50"/>
      <c r="D246" s="12" t="str">
        <f aca="false">IFERROR(IF(OR($A246="",$C246=0,$C246=""),"",$B246/$C246),"")</f>
        <v/>
      </c>
      <c r="E246" s="71" t="str">
        <f aca="false">IFERROR(IF($A246="","",$B246/'تحليل التكلفة والسعر'!$F$2),"")</f>
        <v/>
      </c>
      <c r="F246" s="13" t="str">
        <f aca="false">IFERROR(IF($A246="","",$C246-$B246),"")</f>
        <v/>
      </c>
    </row>
    <row r="247" customFormat="false" ht="15" hidden="false" customHeight="true" outlineLevel="0" collapsed="false">
      <c r="A247" s="49"/>
      <c r="B247" s="13" t="str">
        <f aca="false">IFERROR(IF($A247="","",SUMIFS($E$3:$E$202,$A$3:$A$202,$A247)),"")</f>
        <v/>
      </c>
      <c r="C247" s="50"/>
      <c r="D247" s="12" t="str">
        <f aca="false">IFERROR(IF(OR($A247="",$C247=0,$C247=""),"",$B247/$C247),"")</f>
        <v/>
      </c>
      <c r="E247" s="71" t="str">
        <f aca="false">IFERROR(IF($A247="","",$B247/'تحليل التكلفة والسعر'!$F$2),"")</f>
        <v/>
      </c>
      <c r="F247" s="13" t="str">
        <f aca="false">IFERROR(IF($A247="","",$C247-$B247),"")</f>
        <v/>
      </c>
    </row>
    <row r="248" customFormat="false" ht="15" hidden="false" customHeight="true" outlineLevel="0" collapsed="false">
      <c r="A248" s="49"/>
      <c r="B248" s="13" t="str">
        <f aca="false">IFERROR(IF($A248="","",SUMIFS($E$3:$E$202,$A$3:$A$202,$A248)),"")</f>
        <v/>
      </c>
      <c r="C248" s="50"/>
      <c r="D248" s="12" t="str">
        <f aca="false">IFERROR(IF(OR($A248="",$C248=0,$C248=""),"",$B248/$C248),"")</f>
        <v/>
      </c>
      <c r="E248" s="71" t="str">
        <f aca="false">IFERROR(IF($A248="","",$B248/'تحليل التكلفة والسعر'!$F$2),"")</f>
        <v/>
      </c>
      <c r="F248" s="13" t="str">
        <f aca="false">IFERROR(IF($A248="","",$C248-$B248),"")</f>
        <v/>
      </c>
    </row>
    <row r="249" customFormat="false" ht="15" hidden="false" customHeight="true" outlineLevel="0" collapsed="false">
      <c r="A249" s="49"/>
      <c r="B249" s="13" t="str">
        <f aca="false">IFERROR(IF($A249="","",SUMIFS($E$3:$E$202,$A$3:$A$202,$A249)),"")</f>
        <v/>
      </c>
      <c r="C249" s="50"/>
      <c r="D249" s="12" t="str">
        <f aca="false">IFERROR(IF(OR($A249="",$C249=0,$C249=""),"",$B249/$C249),"")</f>
        <v/>
      </c>
      <c r="E249" s="71" t="str">
        <f aca="false">IFERROR(IF($A249="","",$B249/'تحليل التكلفة والسعر'!$F$2),"")</f>
        <v/>
      </c>
      <c r="F249" s="13" t="str">
        <f aca="false">IFERROR(IF($A249="","",$C249-$B249),"")</f>
        <v/>
      </c>
    </row>
    <row r="250" customFormat="false" ht="15" hidden="false" customHeight="true" outlineLevel="0" collapsed="false">
      <c r="A250" s="49"/>
      <c r="B250" s="13" t="str">
        <f aca="false">IFERROR(IF($A250="","",SUMIFS($E$3:$E$202,$A$3:$A$202,$A250)),"")</f>
        <v/>
      </c>
      <c r="C250" s="50"/>
      <c r="D250" s="12" t="str">
        <f aca="false">IFERROR(IF(OR($A250="",$C250=0,$C250=""),"",$B250/$C250),"")</f>
        <v/>
      </c>
      <c r="E250" s="71" t="str">
        <f aca="false">IFERROR(IF($A250="","",$B250/'تحليل التكلفة والسعر'!$F$2),"")</f>
        <v/>
      </c>
      <c r="F250" s="13" t="str">
        <f aca="false">IFERROR(IF($A250="","",$C250-$B250),"")</f>
        <v/>
      </c>
    </row>
    <row r="251" customFormat="false" ht="15" hidden="false" customHeight="true" outlineLevel="0" collapsed="false">
      <c r="A251" s="49"/>
      <c r="B251" s="13" t="str">
        <f aca="false">IFERROR(IF($A251="","",SUMIFS($E$3:$E$202,$A$3:$A$202,$A251)),"")</f>
        <v/>
      </c>
      <c r="C251" s="50"/>
      <c r="D251" s="12" t="str">
        <f aca="false">IFERROR(IF(OR($A251="",$C251=0,$C251=""),"",$B251/$C251),"")</f>
        <v/>
      </c>
      <c r="E251" s="71" t="str">
        <f aca="false">IFERROR(IF($A251="","",$B251/'تحليل التكلفة والسعر'!$F$2),"")</f>
        <v/>
      </c>
      <c r="F251" s="13" t="str">
        <f aca="false">IFERROR(IF($A251="","",$C251-$B251),"")</f>
        <v/>
      </c>
    </row>
    <row r="252" customFormat="false" ht="15" hidden="false" customHeight="true" outlineLevel="0" collapsed="false">
      <c r="A252" s="49"/>
      <c r="B252" s="13" t="str">
        <f aca="false">IFERROR(IF($A252="","",SUMIFS($E$3:$E$202,$A$3:$A$202,$A252)),"")</f>
        <v/>
      </c>
      <c r="C252" s="50"/>
      <c r="D252" s="12" t="str">
        <f aca="false">IFERROR(IF(OR($A252="",$C252=0,$C252=""),"",$B252/$C252),"")</f>
        <v/>
      </c>
      <c r="E252" s="71" t="str">
        <f aca="false">IFERROR(IF($A252="","",$B252/'تحليل التكلفة والسعر'!$F$2),"")</f>
        <v/>
      </c>
      <c r="F252" s="13" t="str">
        <f aca="false">IFERROR(IF($A252="","",$C252-$B252),"")</f>
        <v/>
      </c>
    </row>
    <row r="253" customFormat="false" ht="15" hidden="false" customHeight="true" outlineLevel="0" collapsed="false">
      <c r="A253" s="49"/>
      <c r="B253" s="13" t="str">
        <f aca="false">IFERROR(IF($A253="","",SUMIFS($E$3:$E$202,$A$3:$A$202,$A253)),"")</f>
        <v/>
      </c>
      <c r="C253" s="50"/>
      <c r="D253" s="12" t="str">
        <f aca="false">IFERROR(IF(OR($A253="",$C253=0,$C253=""),"",$B253/$C253),"")</f>
        <v/>
      </c>
      <c r="E253" s="71" t="str">
        <f aca="false">IFERROR(IF($A253="","",$B253/'تحليل التكلفة والسعر'!$F$2),"")</f>
        <v/>
      </c>
      <c r="F253" s="13" t="str">
        <f aca="false">IFERROR(IF($A253="","",$C253-$B253),"")</f>
        <v/>
      </c>
    </row>
    <row r="254" customFormat="false" ht="15" hidden="false" customHeight="true" outlineLevel="0" collapsed="false">
      <c r="A254" s="49"/>
      <c r="B254" s="13" t="str">
        <f aca="false">IFERROR(IF($A254="","",SUMIFS($E$3:$E$202,$A$3:$A$202,$A254)),"")</f>
        <v/>
      </c>
      <c r="C254" s="50"/>
      <c r="D254" s="12" t="str">
        <f aca="false">IFERROR(IF(OR($A254="",$C254=0,$C254=""),"",$B254/$C254),"")</f>
        <v/>
      </c>
      <c r="E254" s="71" t="str">
        <f aca="false">IFERROR(IF($A254="","",$B254/'تحليل التكلفة والسعر'!$F$2),"")</f>
        <v/>
      </c>
      <c r="F254" s="13" t="str">
        <f aca="false">IFERROR(IF($A254="","",$C254-$B254),"")</f>
        <v/>
      </c>
    </row>
    <row r="255" customFormat="false" ht="15" hidden="false" customHeight="true" outlineLevel="0" collapsed="false">
      <c r="A255" s="49"/>
      <c r="B255" s="13" t="str">
        <f aca="false">IFERROR(IF($A255="","",SUMIFS($E$3:$E$202,$A$3:$A$202,$A255)),"")</f>
        <v/>
      </c>
      <c r="C255" s="50"/>
      <c r="D255" s="12" t="str">
        <f aca="false">IFERROR(IF(OR($A255="",$C255=0,$C255=""),"",$B255/$C255),"")</f>
        <v/>
      </c>
      <c r="E255" s="71" t="str">
        <f aca="false">IFERROR(IF($A255="","",$B255/'تحليل التكلفة والسعر'!$F$2),"")</f>
        <v/>
      </c>
      <c r="F255" s="13" t="str">
        <f aca="false">IFERROR(IF($A255="","",$C255-$B255),"")</f>
        <v/>
      </c>
    </row>
    <row r="256" customFormat="false" ht="15" hidden="false" customHeight="true" outlineLevel="0" collapsed="false">
      <c r="A256" s="49"/>
      <c r="B256" s="13" t="str">
        <f aca="false">IFERROR(IF($A256="","",SUMIFS($E$3:$E$202,$A$3:$A$202,$A256)),"")</f>
        <v/>
      </c>
      <c r="C256" s="50"/>
      <c r="D256" s="12" t="str">
        <f aca="false">IFERROR(IF(OR($A256="",$C256=0,$C256=""),"",$B256/$C256),"")</f>
        <v/>
      </c>
      <c r="E256" s="71" t="str">
        <f aca="false">IFERROR(IF($A256="","",$B256/'تحليل التكلفة والسعر'!$F$2),"")</f>
        <v/>
      </c>
      <c r="F256" s="13" t="str">
        <f aca="false">IFERROR(IF($A256="","",$C256-$B256),"")</f>
        <v/>
      </c>
    </row>
    <row r="257" customFormat="false" ht="15" hidden="false" customHeight="true" outlineLevel="0" collapsed="false">
      <c r="A257" s="49"/>
      <c r="B257" s="13" t="str">
        <f aca="false">IFERROR(IF($A257="","",SUMIFS($E$3:$E$202,$A$3:$A$202,$A257)),"")</f>
        <v/>
      </c>
      <c r="C257" s="50"/>
      <c r="D257" s="12" t="str">
        <f aca="false">IFERROR(IF(OR($A257="",$C257=0,$C257=""),"",$B257/$C257),"")</f>
        <v/>
      </c>
      <c r="E257" s="71" t="str">
        <f aca="false">IFERROR(IF($A257="","",$B257/'تحليل التكلفة والسعر'!$F$2),"")</f>
        <v/>
      </c>
      <c r="F257" s="13" t="str">
        <f aca="false">IFERROR(IF($A257="","",$C257-$B257),"")</f>
        <v/>
      </c>
    </row>
    <row r="258" customFormat="false" ht="15" hidden="false" customHeight="true" outlineLevel="0" collapsed="false">
      <c r="A258" s="49"/>
      <c r="B258" s="13" t="str">
        <f aca="false">IFERROR(IF($A258="","",SUMIFS($E$3:$E$202,$A$3:$A$202,$A258)),"")</f>
        <v/>
      </c>
      <c r="C258" s="50"/>
      <c r="D258" s="12" t="str">
        <f aca="false">IFERROR(IF(OR($A258="",$C258=0,$C258=""),"",$B258/$C258),"")</f>
        <v/>
      </c>
      <c r="E258" s="71" t="str">
        <f aca="false">IFERROR(IF($A258="","",$B258/'تحليل التكلفة والسعر'!$F$2),"")</f>
        <v/>
      </c>
      <c r="F258" s="13" t="str">
        <f aca="false">IFERROR(IF($A258="","",$C258-$B258),"")</f>
        <v/>
      </c>
    </row>
    <row r="259" customFormat="false" ht="15" hidden="false" customHeight="true" outlineLevel="0" collapsed="false">
      <c r="A259" s="49"/>
      <c r="B259" s="13" t="str">
        <f aca="false">IFERROR(IF($A259="","",SUMIFS($E$3:$E$202,$A$3:$A$202,$A259)),"")</f>
        <v/>
      </c>
      <c r="C259" s="50"/>
      <c r="D259" s="12" t="str">
        <f aca="false">IFERROR(IF(OR($A259="",$C259=0,$C259=""),"",$B259/$C259),"")</f>
        <v/>
      </c>
      <c r="E259" s="71" t="str">
        <f aca="false">IFERROR(IF($A259="","",$B259/'تحليل التكلفة والسعر'!$F$2),"")</f>
        <v/>
      </c>
      <c r="F259" s="13" t="str">
        <f aca="false">IFERROR(IF($A259="","",$C259-$B259),"")</f>
        <v/>
      </c>
    </row>
    <row r="260" customFormat="false" ht="15" hidden="false" customHeight="true" outlineLevel="0" collapsed="false">
      <c r="A260" s="49"/>
      <c r="B260" s="13" t="str">
        <f aca="false">IFERROR(IF($A260="","",SUMIFS($E$3:$E$202,$A$3:$A$202,$A260)),"")</f>
        <v/>
      </c>
      <c r="C260" s="50"/>
      <c r="D260" s="12" t="str">
        <f aca="false">IFERROR(IF(OR($A260="",$C260=0,$C260=""),"",$B260/$C260),"")</f>
        <v/>
      </c>
      <c r="E260" s="71" t="str">
        <f aca="false">IFERROR(IF($A260="","",$B260/'تحليل التكلفة والسعر'!$F$2),"")</f>
        <v/>
      </c>
      <c r="F260" s="13" t="str">
        <f aca="false">IFERROR(IF($A260="","",$C260-$B260),"")</f>
        <v/>
      </c>
    </row>
    <row r="261" customFormat="false" ht="15" hidden="false" customHeight="true" outlineLevel="0" collapsed="false">
      <c r="A261" s="49"/>
      <c r="B261" s="13" t="str">
        <f aca="false">IFERROR(IF($A261="","",SUMIFS($E$3:$E$202,$A$3:$A$202,$A261)),"")</f>
        <v/>
      </c>
      <c r="C261" s="50"/>
      <c r="D261" s="12" t="str">
        <f aca="false">IFERROR(IF(OR($A261="",$C261=0,$C261=""),"",$B261/$C261),"")</f>
        <v/>
      </c>
      <c r="E261" s="71" t="str">
        <f aca="false">IFERROR(IF($A261="","",$B261/'تحليل التكلفة والسعر'!$F$2),"")</f>
        <v/>
      </c>
      <c r="F261" s="13" t="str">
        <f aca="false">IFERROR(IF($A261="","",$C261-$B261),"")</f>
        <v/>
      </c>
    </row>
    <row r="262" customFormat="false" ht="15" hidden="false" customHeight="true" outlineLevel="0" collapsed="false">
      <c r="A262" s="49"/>
      <c r="B262" s="13" t="str">
        <f aca="false">IFERROR(IF($A262="","",SUMIFS($E$3:$E$202,$A$3:$A$202,$A262)),"")</f>
        <v/>
      </c>
      <c r="C262" s="50"/>
      <c r="D262" s="12" t="str">
        <f aca="false">IFERROR(IF(OR($A262="",$C262=0,$C262=""),"",$B262/$C262),"")</f>
        <v/>
      </c>
      <c r="E262" s="71" t="str">
        <f aca="false">IFERROR(IF($A262="","",$B262/'تحليل التكلفة والسعر'!$F$2),"")</f>
        <v/>
      </c>
      <c r="F262" s="13" t="str">
        <f aca="false">IFERROR(IF($A262="","",$C262-$B262),"")</f>
        <v/>
      </c>
    </row>
    <row r="263" customFormat="false" ht="15" hidden="false" customHeight="true" outlineLevel="0" collapsed="false">
      <c r="A263" s="49"/>
      <c r="B263" s="13" t="str">
        <f aca="false">IFERROR(IF($A263="","",SUMIFS($E$3:$E$202,$A$3:$A$202,$A263)),"")</f>
        <v/>
      </c>
      <c r="C263" s="50"/>
      <c r="D263" s="12" t="str">
        <f aca="false">IFERROR(IF(OR($A263="",$C263=0,$C263=""),"",$B263/$C263),"")</f>
        <v/>
      </c>
      <c r="E263" s="71" t="str">
        <f aca="false">IFERROR(IF($A263="","",$B263/'تحليل التكلفة والسعر'!$F$2),"")</f>
        <v/>
      </c>
      <c r="F263" s="13" t="str">
        <f aca="false">IFERROR(IF($A263="","",$C263-$B263),"")</f>
        <v/>
      </c>
    </row>
    <row r="264" customFormat="false" ht="15" hidden="false" customHeight="true" outlineLevel="0" collapsed="false">
      <c r="A264" s="49"/>
      <c r="B264" s="13" t="str">
        <f aca="false">IFERROR(IF($A264="","",SUMIFS($E$3:$E$202,$A$3:$A$202,$A264)),"")</f>
        <v/>
      </c>
      <c r="C264" s="50"/>
      <c r="D264" s="12" t="str">
        <f aca="false">IFERROR(IF(OR($A264="",$C264=0,$C264=""),"",$B264/$C264),"")</f>
        <v/>
      </c>
      <c r="E264" s="71" t="str">
        <f aca="false">IFERROR(IF($A264="","",$B264/'تحليل التكلفة والسعر'!$F$2),"")</f>
        <v/>
      </c>
      <c r="F264" s="13" t="str">
        <f aca="false">IFERROR(IF($A264="","",$C264-$B264),"")</f>
        <v/>
      </c>
    </row>
    <row r="265" customFormat="false" ht="15" hidden="false" customHeight="true" outlineLevel="0" collapsed="false">
      <c r="A265" s="49"/>
      <c r="B265" s="13" t="str">
        <f aca="false">IFERROR(IF($A265="","",SUMIFS($E$3:$E$202,$A$3:$A$202,$A265)),"")</f>
        <v/>
      </c>
      <c r="C265" s="50"/>
      <c r="D265" s="12" t="str">
        <f aca="false">IFERROR(IF(OR($A265="",$C265=0,$C265=""),"",$B265/$C265),"")</f>
        <v/>
      </c>
      <c r="E265" s="71" t="str">
        <f aca="false">IFERROR(IF($A265="","",$B265/'تحليل التكلفة والسعر'!$F$2),"")</f>
        <v/>
      </c>
      <c r="F265" s="13" t="str">
        <f aca="false">IFERROR(IF($A265="","",$C265-$B265),"")</f>
        <v/>
      </c>
    </row>
  </sheetData>
  <mergeCells count="2">
    <mergeCell ref="A1:E1"/>
    <mergeCell ref="A204:F204"/>
  </mergeCells>
  <conditionalFormatting sqref="D206:D265">
    <cfRule type="expression" priority="2" aboveAverage="0" equalAverage="0" bottom="0" percent="0" rank="0" text="" dxfId="11">
      <formula>AND($A206&lt;&gt;"",$D206&lt;='تحليل التكلفة والسعر'!$F$2)</formula>
    </cfRule>
    <cfRule type="expression" priority="3" aboveAverage="0" equalAverage="0" bottom="0" percent="0" rank="0" text="" dxfId="12">
      <formula>AND($A206&lt;&gt;"",$D206&gt;'تحليل التكلفة والسعر'!$F$2,$D206&lt;='تحليل التكلفة والسعر'!$F$2*1.15)</formula>
    </cfRule>
    <cfRule type="expression" priority="4" aboveAverage="0" equalAverage="0" bottom="0" percent="0" rank="0" text="" dxfId="13">
      <formula>AND($A206&lt;&gt;"",$D206&gt;'تحليل التكلفة والسعر'!$F$2*1.15)</formula>
    </cfRule>
  </conditionalFormatting>
  <dataValidations count="1">
    <dataValidation allowBlank="true" errorStyle="stop" operator="between" showDropDown="false" showErrorMessage="false" showInputMessage="false" sqref="B3:B202" type="list">
      <formula1>المنيو!$B$2:$B$300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3" min="3" style="1" width="30"/>
    <col collapsed="false" customWidth="true" hidden="false" outlineLevel="0" max="5" min="4" style="1" width="20"/>
    <col collapsed="false" customWidth="true" hidden="false" outlineLevel="0" max="6" min="6" style="1" width="16"/>
    <col collapsed="false" customWidth="true" hidden="false" outlineLevel="0" max="7" min="7" style="1" width="14"/>
    <col collapsed="false" customWidth="true" hidden="false" outlineLevel="0" max="8" min="8" style="1" width="20"/>
  </cols>
  <sheetData>
    <row r="1" customFormat="false" ht="25.5" hidden="false" customHeight="true" outlineLevel="0" collapsed="false">
      <c r="A1" s="80" t="s">
        <v>602</v>
      </c>
      <c r="B1" s="80"/>
      <c r="C1" s="80"/>
      <c r="D1" s="80"/>
      <c r="E1" s="80"/>
      <c r="F1" s="80"/>
      <c r="G1" s="80"/>
      <c r="H1" s="80"/>
    </row>
    <row r="2" customFormat="false" ht="30" hidden="false" customHeight="true" outlineLevel="0" collapsed="false">
      <c r="A2" s="14" t="s">
        <v>603</v>
      </c>
      <c r="B2" s="14"/>
      <c r="C2" s="14"/>
      <c r="D2" s="14"/>
      <c r="E2" s="14"/>
      <c r="F2" s="14"/>
      <c r="G2" s="14"/>
      <c r="H2" s="14"/>
    </row>
    <row r="4" customFormat="false" ht="43.5" hidden="false" customHeight="true" outlineLevel="0" collapsed="false">
      <c r="A4" s="10" t="s">
        <v>604</v>
      </c>
      <c r="B4" s="10" t="s">
        <v>605</v>
      </c>
      <c r="C4" s="10" t="s">
        <v>606</v>
      </c>
      <c r="D4" s="10" t="s">
        <v>607</v>
      </c>
      <c r="E4" s="10" t="s">
        <v>608</v>
      </c>
      <c r="F4" s="10" t="s">
        <v>609</v>
      </c>
      <c r="G4" s="10" t="s">
        <v>610</v>
      </c>
      <c r="H4" s="10" t="s">
        <v>611</v>
      </c>
    </row>
    <row r="5" customFormat="false" ht="15" hidden="false" customHeight="true" outlineLevel="0" collapsed="false">
      <c r="A5" s="49"/>
      <c r="B5" s="49"/>
      <c r="C5" s="49"/>
      <c r="D5" s="81"/>
      <c r="E5" s="81"/>
      <c r="F5" s="82" t="str">
        <f aca="false">IFERROR(IF($C5="","",$E5-$D5),"")</f>
        <v/>
      </c>
      <c r="G5" s="12" t="str">
        <f aca="false">IFERROR(IF(OR($C5="",$D5=0,$D5=""),"",$F5/$D5),"")</f>
        <v/>
      </c>
      <c r="H5" s="13" t="str">
        <f aca="false">IFERROR(IF($C5="","",$F5*INDEX(المكونات!$C$2:$C$500,MATCH($C5,المكونات!$A$2:$A$500,0))),"")</f>
        <v/>
      </c>
    </row>
    <row r="6" customFormat="false" ht="15" hidden="false" customHeight="true" outlineLevel="0" collapsed="false">
      <c r="A6" s="49"/>
      <c r="B6" s="49"/>
      <c r="C6" s="49"/>
      <c r="D6" s="81"/>
      <c r="E6" s="81"/>
      <c r="F6" s="82" t="str">
        <f aca="false">IFERROR(IF($C6="","",$E6-$D6),"")</f>
        <v/>
      </c>
      <c r="G6" s="12" t="str">
        <f aca="false">IFERROR(IF(OR($C6="",$D6=0,$D6=""),"",$F6/$D6),"")</f>
        <v/>
      </c>
      <c r="H6" s="13" t="str">
        <f aca="false">IFERROR(IF($C6="","",$F6*INDEX(المكونات!$C$2:$C$500,MATCH($C6,المكونات!$A$2:$A$500,0))),"")</f>
        <v/>
      </c>
    </row>
    <row r="7" customFormat="false" ht="15" hidden="false" customHeight="true" outlineLevel="0" collapsed="false">
      <c r="A7" s="49"/>
      <c r="B7" s="49"/>
      <c r="C7" s="49"/>
      <c r="D7" s="81"/>
      <c r="E7" s="81"/>
      <c r="F7" s="82" t="str">
        <f aca="false">IFERROR(IF($C7="","",$E7-$D7),"")</f>
        <v/>
      </c>
      <c r="G7" s="12" t="str">
        <f aca="false">IFERROR(IF(OR($C7="",$D7=0,$D7=""),"",$F7/$D7),"")</f>
        <v/>
      </c>
      <c r="H7" s="13" t="str">
        <f aca="false">IFERROR(IF($C7="","",$F7*INDEX(المكونات!$C$2:$C$500,MATCH($C7,المكونات!$A$2:$A$500,0))),"")</f>
        <v/>
      </c>
    </row>
    <row r="8" customFormat="false" ht="15" hidden="false" customHeight="true" outlineLevel="0" collapsed="false">
      <c r="A8" s="49"/>
      <c r="B8" s="49"/>
      <c r="C8" s="49"/>
      <c r="D8" s="81"/>
      <c r="E8" s="81"/>
      <c r="F8" s="82" t="str">
        <f aca="false">IFERROR(IF($C8="","",$E8-$D8),"")</f>
        <v/>
      </c>
      <c r="G8" s="12" t="str">
        <f aca="false">IFERROR(IF(OR($C8="",$D8=0,$D8=""),"",$F8/$D8),"")</f>
        <v/>
      </c>
      <c r="H8" s="13" t="str">
        <f aca="false">IFERROR(IF($C8="","",$F8*INDEX(المكونات!$C$2:$C$500,MATCH($C8,المكونات!$A$2:$A$500,0))),"")</f>
        <v/>
      </c>
    </row>
    <row r="9" customFormat="false" ht="15" hidden="false" customHeight="true" outlineLevel="0" collapsed="false">
      <c r="A9" s="49"/>
      <c r="B9" s="49"/>
      <c r="C9" s="49"/>
      <c r="D9" s="81"/>
      <c r="E9" s="81"/>
      <c r="F9" s="82" t="str">
        <f aca="false">IFERROR(IF($C9="","",$E9-$D9),"")</f>
        <v/>
      </c>
      <c r="G9" s="12" t="str">
        <f aca="false">IFERROR(IF(OR($C9="",$D9=0,$D9=""),"",$F9/$D9),"")</f>
        <v/>
      </c>
      <c r="H9" s="13" t="str">
        <f aca="false">IFERROR(IF($C9="","",$F9*INDEX(المكونات!$C$2:$C$500,MATCH($C9,المكونات!$A$2:$A$500,0))),"")</f>
        <v/>
      </c>
    </row>
    <row r="10" customFormat="false" ht="15" hidden="false" customHeight="true" outlineLevel="0" collapsed="false">
      <c r="A10" s="49"/>
      <c r="B10" s="49"/>
      <c r="C10" s="49"/>
      <c r="D10" s="81"/>
      <c r="E10" s="81"/>
      <c r="F10" s="82" t="str">
        <f aca="false">IFERROR(IF($C10="","",$E10-$D10),"")</f>
        <v/>
      </c>
      <c r="G10" s="12" t="str">
        <f aca="false">IFERROR(IF(OR($C10="",$D10=0,$D10=""),"",$F10/$D10),"")</f>
        <v/>
      </c>
      <c r="H10" s="13" t="str">
        <f aca="false">IFERROR(IF($C10="","",$F10*INDEX(المكونات!$C$2:$C$500,MATCH($C10,المكونات!$A$2:$A$500,0))),"")</f>
        <v/>
      </c>
    </row>
    <row r="11" customFormat="false" ht="15" hidden="false" customHeight="true" outlineLevel="0" collapsed="false">
      <c r="A11" s="49"/>
      <c r="B11" s="49"/>
      <c r="C11" s="49"/>
      <c r="D11" s="81"/>
      <c r="E11" s="81"/>
      <c r="F11" s="82" t="str">
        <f aca="false">IFERROR(IF($C11="","",$E11-$D11),"")</f>
        <v/>
      </c>
      <c r="G11" s="12" t="str">
        <f aca="false">IFERROR(IF(OR($C11="",$D11=0,$D11=""),"",$F11/$D11),"")</f>
        <v/>
      </c>
      <c r="H11" s="13" t="str">
        <f aca="false">IFERROR(IF($C11="","",$F11*INDEX(المكونات!$C$2:$C$500,MATCH($C11,المكونات!$A$2:$A$500,0))),"")</f>
        <v/>
      </c>
    </row>
    <row r="12" customFormat="false" ht="15" hidden="false" customHeight="true" outlineLevel="0" collapsed="false">
      <c r="A12" s="49"/>
      <c r="B12" s="49"/>
      <c r="C12" s="49"/>
      <c r="D12" s="81"/>
      <c r="E12" s="81"/>
      <c r="F12" s="82" t="str">
        <f aca="false">IFERROR(IF($C12="","",$E12-$D12),"")</f>
        <v/>
      </c>
      <c r="G12" s="12" t="str">
        <f aca="false">IFERROR(IF(OR($C12="",$D12=0,$D12=""),"",$F12/$D12),"")</f>
        <v/>
      </c>
      <c r="H12" s="13" t="str">
        <f aca="false">IFERROR(IF($C12="","",$F12*INDEX(المكونات!$C$2:$C$500,MATCH($C12,المكونات!$A$2:$A$500,0))),"")</f>
        <v/>
      </c>
    </row>
    <row r="13" customFormat="false" ht="15" hidden="false" customHeight="true" outlineLevel="0" collapsed="false">
      <c r="A13" s="49"/>
      <c r="B13" s="49"/>
      <c r="C13" s="49"/>
      <c r="D13" s="81"/>
      <c r="E13" s="81"/>
      <c r="F13" s="82" t="str">
        <f aca="false">IFERROR(IF($C13="","",$E13-$D13),"")</f>
        <v/>
      </c>
      <c r="G13" s="12" t="str">
        <f aca="false">IFERROR(IF(OR($C13="",$D13=0,$D13=""),"",$F13/$D13),"")</f>
        <v/>
      </c>
      <c r="H13" s="13" t="str">
        <f aca="false">IFERROR(IF($C13="","",$F13*INDEX(المكونات!$C$2:$C$500,MATCH($C13,المكونات!$A$2:$A$500,0))),"")</f>
        <v/>
      </c>
    </row>
    <row r="14" customFormat="false" ht="15" hidden="false" customHeight="true" outlineLevel="0" collapsed="false">
      <c r="A14" s="49"/>
      <c r="B14" s="49"/>
      <c r="C14" s="49"/>
      <c r="D14" s="81"/>
      <c r="E14" s="81"/>
      <c r="F14" s="82" t="str">
        <f aca="false">IFERROR(IF($C14="","",$E14-$D14),"")</f>
        <v/>
      </c>
      <c r="G14" s="12" t="str">
        <f aca="false">IFERROR(IF(OR($C14="",$D14=0,$D14=""),"",$F14/$D14),"")</f>
        <v/>
      </c>
      <c r="H14" s="13" t="str">
        <f aca="false">IFERROR(IF($C14="","",$F14*INDEX(المكونات!$C$2:$C$500,MATCH($C14,المكونات!$A$2:$A$500,0))),"")</f>
        <v/>
      </c>
    </row>
    <row r="15" customFormat="false" ht="15" hidden="false" customHeight="true" outlineLevel="0" collapsed="false">
      <c r="A15" s="49"/>
      <c r="B15" s="49"/>
      <c r="C15" s="49"/>
      <c r="D15" s="81"/>
      <c r="E15" s="81"/>
      <c r="F15" s="82" t="str">
        <f aca="false">IFERROR(IF($C15="","",$E15-$D15),"")</f>
        <v/>
      </c>
      <c r="G15" s="12" t="str">
        <f aca="false">IFERROR(IF(OR($C15="",$D15=0,$D15=""),"",$F15/$D15),"")</f>
        <v/>
      </c>
      <c r="H15" s="13" t="str">
        <f aca="false">IFERROR(IF($C15="","",$F15*INDEX(المكونات!$C$2:$C$500,MATCH($C15,المكونات!$A$2:$A$500,0))),"")</f>
        <v/>
      </c>
    </row>
    <row r="16" customFormat="false" ht="15" hidden="false" customHeight="true" outlineLevel="0" collapsed="false">
      <c r="A16" s="49"/>
      <c r="B16" s="49"/>
      <c r="C16" s="49"/>
      <c r="D16" s="81"/>
      <c r="E16" s="81"/>
      <c r="F16" s="82" t="str">
        <f aca="false">IFERROR(IF($C16="","",$E16-$D16),"")</f>
        <v/>
      </c>
      <c r="G16" s="12" t="str">
        <f aca="false">IFERROR(IF(OR($C16="",$D16=0,$D16=""),"",$F16/$D16),"")</f>
        <v/>
      </c>
      <c r="H16" s="13" t="str">
        <f aca="false">IFERROR(IF($C16="","",$F16*INDEX(المكونات!$C$2:$C$500,MATCH($C16,المكونات!$A$2:$A$500,0))),"")</f>
        <v/>
      </c>
    </row>
    <row r="17" customFormat="false" ht="15" hidden="false" customHeight="true" outlineLevel="0" collapsed="false">
      <c r="A17" s="49"/>
      <c r="B17" s="49"/>
      <c r="C17" s="49"/>
      <c r="D17" s="81"/>
      <c r="E17" s="81"/>
      <c r="F17" s="82" t="str">
        <f aca="false">IFERROR(IF($C17="","",$E17-$D17),"")</f>
        <v/>
      </c>
      <c r="G17" s="12" t="str">
        <f aca="false">IFERROR(IF(OR($C17="",$D17=0,$D17=""),"",$F17/$D17),"")</f>
        <v/>
      </c>
      <c r="H17" s="13" t="str">
        <f aca="false">IFERROR(IF($C17="","",$F17*INDEX(المكونات!$C$2:$C$500,MATCH($C17,المكونات!$A$2:$A$500,0))),"")</f>
        <v/>
      </c>
    </row>
    <row r="18" customFormat="false" ht="15" hidden="false" customHeight="true" outlineLevel="0" collapsed="false">
      <c r="A18" s="49"/>
      <c r="B18" s="49"/>
      <c r="C18" s="49"/>
      <c r="D18" s="81"/>
      <c r="E18" s="81"/>
      <c r="F18" s="82" t="str">
        <f aca="false">IFERROR(IF($C18="","",$E18-$D18),"")</f>
        <v/>
      </c>
      <c r="G18" s="12" t="str">
        <f aca="false">IFERROR(IF(OR($C18="",$D18=0,$D18=""),"",$F18/$D18),"")</f>
        <v/>
      </c>
      <c r="H18" s="13" t="str">
        <f aca="false">IFERROR(IF($C18="","",$F18*INDEX(المكونات!$C$2:$C$500,MATCH($C18,المكونات!$A$2:$A$500,0))),"")</f>
        <v/>
      </c>
    </row>
    <row r="19" customFormat="false" ht="15" hidden="false" customHeight="true" outlineLevel="0" collapsed="false">
      <c r="A19" s="49"/>
      <c r="B19" s="49"/>
      <c r="C19" s="49"/>
      <c r="D19" s="81"/>
      <c r="E19" s="81"/>
      <c r="F19" s="82" t="str">
        <f aca="false">IFERROR(IF($C19="","",$E19-$D19),"")</f>
        <v/>
      </c>
      <c r="G19" s="12" t="str">
        <f aca="false">IFERROR(IF(OR($C19="",$D19=0,$D19=""),"",$F19/$D19),"")</f>
        <v/>
      </c>
      <c r="H19" s="13" t="str">
        <f aca="false">IFERROR(IF($C19="","",$F19*INDEX(المكونات!$C$2:$C$500,MATCH($C19,المكونات!$A$2:$A$500,0))),"")</f>
        <v/>
      </c>
    </row>
    <row r="20" customFormat="false" ht="15" hidden="false" customHeight="true" outlineLevel="0" collapsed="false">
      <c r="A20" s="49"/>
      <c r="B20" s="49"/>
      <c r="C20" s="49"/>
      <c r="D20" s="81"/>
      <c r="E20" s="81"/>
      <c r="F20" s="82" t="str">
        <f aca="false">IFERROR(IF($C20="","",$E20-$D20),"")</f>
        <v/>
      </c>
      <c r="G20" s="12" t="str">
        <f aca="false">IFERROR(IF(OR($C20="",$D20=0,$D20=""),"",$F20/$D20),"")</f>
        <v/>
      </c>
      <c r="H20" s="13" t="str">
        <f aca="false">IFERROR(IF($C20="","",$F20*INDEX(المكونات!$C$2:$C$500,MATCH($C20,المكونات!$A$2:$A$500,0))),"")</f>
        <v/>
      </c>
    </row>
    <row r="21" customFormat="false" ht="15" hidden="false" customHeight="true" outlineLevel="0" collapsed="false">
      <c r="A21" s="49"/>
      <c r="B21" s="49"/>
      <c r="C21" s="49"/>
      <c r="D21" s="81"/>
      <c r="E21" s="81"/>
      <c r="F21" s="82" t="str">
        <f aca="false">IFERROR(IF($C21="","",$E21-$D21),"")</f>
        <v/>
      </c>
      <c r="G21" s="12" t="str">
        <f aca="false">IFERROR(IF(OR($C21="",$D21=0,$D21=""),"",$F21/$D21),"")</f>
        <v/>
      </c>
      <c r="H21" s="13" t="str">
        <f aca="false">IFERROR(IF($C21="","",$F21*INDEX(المكونات!$C$2:$C$500,MATCH($C21,المكونات!$A$2:$A$500,0))),"")</f>
        <v/>
      </c>
    </row>
    <row r="22" customFormat="false" ht="15" hidden="false" customHeight="true" outlineLevel="0" collapsed="false">
      <c r="A22" s="49"/>
      <c r="B22" s="49"/>
      <c r="C22" s="49"/>
      <c r="D22" s="81"/>
      <c r="E22" s="81"/>
      <c r="F22" s="82" t="str">
        <f aca="false">IFERROR(IF($C22="","",$E22-$D22),"")</f>
        <v/>
      </c>
      <c r="G22" s="12" t="str">
        <f aca="false">IFERROR(IF(OR($C22="",$D22=0,$D22=""),"",$F22/$D22),"")</f>
        <v/>
      </c>
      <c r="H22" s="13" t="str">
        <f aca="false">IFERROR(IF($C22="","",$F22*INDEX(المكونات!$C$2:$C$500,MATCH($C22,المكونات!$A$2:$A$500,0))),"")</f>
        <v/>
      </c>
    </row>
    <row r="23" customFormat="false" ht="15" hidden="false" customHeight="true" outlineLevel="0" collapsed="false">
      <c r="A23" s="49"/>
      <c r="B23" s="49"/>
      <c r="C23" s="49"/>
      <c r="D23" s="81"/>
      <c r="E23" s="81"/>
      <c r="F23" s="82" t="str">
        <f aca="false">IFERROR(IF($C23="","",$E23-$D23),"")</f>
        <v/>
      </c>
      <c r="G23" s="12" t="str">
        <f aca="false">IFERROR(IF(OR($C23="",$D23=0,$D23=""),"",$F23/$D23),"")</f>
        <v/>
      </c>
      <c r="H23" s="13" t="str">
        <f aca="false">IFERROR(IF($C23="","",$F23*INDEX(المكونات!$C$2:$C$500,MATCH($C23,المكونات!$A$2:$A$500,0))),"")</f>
        <v/>
      </c>
    </row>
    <row r="24" customFormat="false" ht="15" hidden="false" customHeight="true" outlineLevel="0" collapsed="false">
      <c r="A24" s="49"/>
      <c r="B24" s="49"/>
      <c r="C24" s="49"/>
      <c r="D24" s="81"/>
      <c r="E24" s="81"/>
      <c r="F24" s="82" t="str">
        <f aca="false">IFERROR(IF($C24="","",$E24-$D24),"")</f>
        <v/>
      </c>
      <c r="G24" s="12" t="str">
        <f aca="false">IFERROR(IF(OR($C24="",$D24=0,$D24=""),"",$F24/$D24),"")</f>
        <v/>
      </c>
      <c r="H24" s="13" t="str">
        <f aca="false">IFERROR(IF($C24="","",$F24*INDEX(المكونات!$C$2:$C$500,MATCH($C24,المكونات!$A$2:$A$500,0))),"")</f>
        <v/>
      </c>
    </row>
    <row r="25" customFormat="false" ht="15" hidden="false" customHeight="true" outlineLevel="0" collapsed="false">
      <c r="A25" s="49"/>
      <c r="B25" s="49"/>
      <c r="C25" s="49"/>
      <c r="D25" s="81"/>
      <c r="E25" s="81"/>
      <c r="F25" s="82" t="str">
        <f aca="false">IFERROR(IF($C25="","",$E25-$D25),"")</f>
        <v/>
      </c>
      <c r="G25" s="12" t="str">
        <f aca="false">IFERROR(IF(OR($C25="",$D25=0,$D25=""),"",$F25/$D25),"")</f>
        <v/>
      </c>
      <c r="H25" s="13" t="str">
        <f aca="false">IFERROR(IF($C25="","",$F25*INDEX(المكونات!$C$2:$C$500,MATCH($C25,المكونات!$A$2:$A$500,0))),"")</f>
        <v/>
      </c>
    </row>
    <row r="26" customFormat="false" ht="15" hidden="false" customHeight="true" outlineLevel="0" collapsed="false">
      <c r="A26" s="49"/>
      <c r="B26" s="49"/>
      <c r="C26" s="49"/>
      <c r="D26" s="81"/>
      <c r="E26" s="81"/>
      <c r="F26" s="82" t="str">
        <f aca="false">IFERROR(IF($C26="","",$E26-$D26),"")</f>
        <v/>
      </c>
      <c r="G26" s="12" t="str">
        <f aca="false">IFERROR(IF(OR($C26="",$D26=0,$D26=""),"",$F26/$D26),"")</f>
        <v/>
      </c>
      <c r="H26" s="13" t="str">
        <f aca="false">IFERROR(IF($C26="","",$F26*INDEX(المكونات!$C$2:$C$500,MATCH($C26,المكونات!$A$2:$A$500,0))),"")</f>
        <v/>
      </c>
    </row>
    <row r="27" customFormat="false" ht="15" hidden="false" customHeight="true" outlineLevel="0" collapsed="false">
      <c r="A27" s="49"/>
      <c r="B27" s="49"/>
      <c r="C27" s="49"/>
      <c r="D27" s="81"/>
      <c r="E27" s="81"/>
      <c r="F27" s="82" t="str">
        <f aca="false">IFERROR(IF($C27="","",$E27-$D27),"")</f>
        <v/>
      </c>
      <c r="G27" s="12" t="str">
        <f aca="false">IFERROR(IF(OR($C27="",$D27=0,$D27=""),"",$F27/$D27),"")</f>
        <v/>
      </c>
      <c r="H27" s="13" t="str">
        <f aca="false">IFERROR(IF($C27="","",$F27*INDEX(المكونات!$C$2:$C$500,MATCH($C27,المكونات!$A$2:$A$500,0))),"")</f>
        <v/>
      </c>
    </row>
    <row r="28" customFormat="false" ht="15" hidden="false" customHeight="true" outlineLevel="0" collapsed="false">
      <c r="A28" s="49"/>
      <c r="B28" s="49"/>
      <c r="C28" s="49"/>
      <c r="D28" s="81"/>
      <c r="E28" s="81"/>
      <c r="F28" s="82" t="str">
        <f aca="false">IFERROR(IF($C28="","",$E28-$D28),"")</f>
        <v/>
      </c>
      <c r="G28" s="12" t="str">
        <f aca="false">IFERROR(IF(OR($C28="",$D28=0,$D28=""),"",$F28/$D28),"")</f>
        <v/>
      </c>
      <c r="H28" s="13" t="str">
        <f aca="false">IFERROR(IF($C28="","",$F28*INDEX(المكونات!$C$2:$C$500,MATCH($C28,المكونات!$A$2:$A$500,0))),"")</f>
        <v/>
      </c>
    </row>
    <row r="29" customFormat="false" ht="15" hidden="false" customHeight="true" outlineLevel="0" collapsed="false">
      <c r="A29" s="49"/>
      <c r="B29" s="49"/>
      <c r="C29" s="49"/>
      <c r="D29" s="81"/>
      <c r="E29" s="81"/>
      <c r="F29" s="82" t="str">
        <f aca="false">IFERROR(IF($C29="","",$E29-$D29),"")</f>
        <v/>
      </c>
      <c r="G29" s="12" t="str">
        <f aca="false">IFERROR(IF(OR($C29="",$D29=0,$D29=""),"",$F29/$D29),"")</f>
        <v/>
      </c>
      <c r="H29" s="13" t="str">
        <f aca="false">IFERROR(IF($C29="","",$F29*INDEX(المكونات!$C$2:$C$500,MATCH($C29,المكونات!$A$2:$A$500,0))),"")</f>
        <v/>
      </c>
    </row>
    <row r="30" customFormat="false" ht="15" hidden="false" customHeight="true" outlineLevel="0" collapsed="false">
      <c r="A30" s="49"/>
      <c r="B30" s="49"/>
      <c r="C30" s="49"/>
      <c r="D30" s="81"/>
      <c r="E30" s="81"/>
      <c r="F30" s="82" t="str">
        <f aca="false">IFERROR(IF($C30="","",$E30-$D30),"")</f>
        <v/>
      </c>
      <c r="G30" s="12" t="str">
        <f aca="false">IFERROR(IF(OR($C30="",$D30=0,$D30=""),"",$F30/$D30),"")</f>
        <v/>
      </c>
      <c r="H30" s="13" t="str">
        <f aca="false">IFERROR(IF($C30="","",$F30*INDEX(المكونات!$C$2:$C$500,MATCH($C30,المكونات!$A$2:$A$500,0))),"")</f>
        <v/>
      </c>
    </row>
    <row r="31" customFormat="false" ht="15" hidden="false" customHeight="true" outlineLevel="0" collapsed="false">
      <c r="A31" s="49"/>
      <c r="B31" s="49"/>
      <c r="C31" s="49"/>
      <c r="D31" s="81"/>
      <c r="E31" s="81"/>
      <c r="F31" s="82" t="str">
        <f aca="false">IFERROR(IF($C31="","",$E31-$D31),"")</f>
        <v/>
      </c>
      <c r="G31" s="12" t="str">
        <f aca="false">IFERROR(IF(OR($C31="",$D31=0,$D31=""),"",$F31/$D31),"")</f>
        <v/>
      </c>
      <c r="H31" s="13" t="str">
        <f aca="false">IFERROR(IF($C31="","",$F31*INDEX(المكونات!$C$2:$C$500,MATCH($C31,المكونات!$A$2:$A$500,0))),"")</f>
        <v/>
      </c>
    </row>
    <row r="32" customFormat="false" ht="15" hidden="false" customHeight="true" outlineLevel="0" collapsed="false">
      <c r="A32" s="49"/>
      <c r="B32" s="49"/>
      <c r="C32" s="49"/>
      <c r="D32" s="81"/>
      <c r="E32" s="81"/>
      <c r="F32" s="82" t="str">
        <f aca="false">IFERROR(IF($C32="","",$E32-$D32),"")</f>
        <v/>
      </c>
      <c r="G32" s="12" t="str">
        <f aca="false">IFERROR(IF(OR($C32="",$D32=0,$D32=""),"",$F32/$D32),"")</f>
        <v/>
      </c>
      <c r="H32" s="13" t="str">
        <f aca="false">IFERROR(IF($C32="","",$F32*INDEX(المكونات!$C$2:$C$500,MATCH($C32,المكونات!$A$2:$A$500,0))),"")</f>
        <v/>
      </c>
    </row>
    <row r="33" customFormat="false" ht="15" hidden="false" customHeight="true" outlineLevel="0" collapsed="false">
      <c r="A33" s="49"/>
      <c r="B33" s="49"/>
      <c r="C33" s="49"/>
      <c r="D33" s="81"/>
      <c r="E33" s="81"/>
      <c r="F33" s="82" t="str">
        <f aca="false">IFERROR(IF($C33="","",$E33-$D33),"")</f>
        <v/>
      </c>
      <c r="G33" s="12" t="str">
        <f aca="false">IFERROR(IF(OR($C33="",$D33=0,$D33=""),"",$F33/$D33),"")</f>
        <v/>
      </c>
      <c r="H33" s="13" t="str">
        <f aca="false">IFERROR(IF($C33="","",$F33*INDEX(المكونات!$C$2:$C$500,MATCH($C33,المكونات!$A$2:$A$500,0))),"")</f>
        <v/>
      </c>
    </row>
    <row r="34" customFormat="false" ht="15" hidden="false" customHeight="true" outlineLevel="0" collapsed="false">
      <c r="A34" s="49"/>
      <c r="B34" s="49"/>
      <c r="C34" s="49"/>
      <c r="D34" s="81"/>
      <c r="E34" s="81"/>
      <c r="F34" s="82" t="str">
        <f aca="false">IFERROR(IF($C34="","",$E34-$D34),"")</f>
        <v/>
      </c>
      <c r="G34" s="12" t="str">
        <f aca="false">IFERROR(IF(OR($C34="",$D34=0,$D34=""),"",$F34/$D34),"")</f>
        <v/>
      </c>
      <c r="H34" s="13" t="str">
        <f aca="false">IFERROR(IF($C34="","",$F34*INDEX(المكونات!$C$2:$C$500,MATCH($C34,المكونات!$A$2:$A$500,0))),"")</f>
        <v/>
      </c>
    </row>
    <row r="35" customFormat="false" ht="15" hidden="false" customHeight="true" outlineLevel="0" collapsed="false">
      <c r="A35" s="49"/>
      <c r="B35" s="49"/>
      <c r="C35" s="49"/>
      <c r="D35" s="81"/>
      <c r="E35" s="81"/>
      <c r="F35" s="82" t="str">
        <f aca="false">IFERROR(IF($C35="","",$E35-$D35),"")</f>
        <v/>
      </c>
      <c r="G35" s="12" t="str">
        <f aca="false">IFERROR(IF(OR($C35="",$D35=0,$D35=""),"",$F35/$D35),"")</f>
        <v/>
      </c>
      <c r="H35" s="13" t="str">
        <f aca="false">IFERROR(IF($C35="","",$F35*INDEX(المكونات!$C$2:$C$500,MATCH($C35,المكونات!$A$2:$A$500,0))),"")</f>
        <v/>
      </c>
    </row>
    <row r="36" customFormat="false" ht="15" hidden="false" customHeight="true" outlineLevel="0" collapsed="false">
      <c r="A36" s="49"/>
      <c r="B36" s="49"/>
      <c r="C36" s="49"/>
      <c r="D36" s="81"/>
      <c r="E36" s="81"/>
      <c r="F36" s="82" t="str">
        <f aca="false">IFERROR(IF($C36="","",$E36-$D36),"")</f>
        <v/>
      </c>
      <c r="G36" s="12" t="str">
        <f aca="false">IFERROR(IF(OR($C36="",$D36=0,$D36=""),"",$F36/$D36),"")</f>
        <v/>
      </c>
      <c r="H36" s="13" t="str">
        <f aca="false">IFERROR(IF($C36="","",$F36*INDEX(المكونات!$C$2:$C$500,MATCH($C36,المكونات!$A$2:$A$500,0))),"")</f>
        <v/>
      </c>
    </row>
    <row r="37" customFormat="false" ht="15" hidden="false" customHeight="true" outlineLevel="0" collapsed="false">
      <c r="A37" s="49"/>
      <c r="B37" s="49"/>
      <c r="C37" s="49"/>
      <c r="D37" s="81"/>
      <c r="E37" s="81"/>
      <c r="F37" s="82" t="str">
        <f aca="false">IFERROR(IF($C37="","",$E37-$D37),"")</f>
        <v/>
      </c>
      <c r="G37" s="12" t="str">
        <f aca="false">IFERROR(IF(OR($C37="",$D37=0,$D37=""),"",$F37/$D37),"")</f>
        <v/>
      </c>
      <c r="H37" s="13" t="str">
        <f aca="false">IFERROR(IF($C37="","",$F37*INDEX(المكونات!$C$2:$C$500,MATCH($C37,المكونات!$A$2:$A$500,0))),"")</f>
        <v/>
      </c>
    </row>
    <row r="38" customFormat="false" ht="15" hidden="false" customHeight="true" outlineLevel="0" collapsed="false">
      <c r="A38" s="49"/>
      <c r="B38" s="49"/>
      <c r="C38" s="49"/>
      <c r="D38" s="81"/>
      <c r="E38" s="81"/>
      <c r="F38" s="82" t="str">
        <f aca="false">IFERROR(IF($C38="","",$E38-$D38),"")</f>
        <v/>
      </c>
      <c r="G38" s="12" t="str">
        <f aca="false">IFERROR(IF(OR($C38="",$D38=0,$D38=""),"",$F38/$D38),"")</f>
        <v/>
      </c>
      <c r="H38" s="13" t="str">
        <f aca="false">IFERROR(IF($C38="","",$F38*INDEX(المكونات!$C$2:$C$500,MATCH($C38,المكونات!$A$2:$A$500,0))),"")</f>
        <v/>
      </c>
    </row>
    <row r="39" customFormat="false" ht="15" hidden="false" customHeight="true" outlineLevel="0" collapsed="false">
      <c r="A39" s="49"/>
      <c r="B39" s="49"/>
      <c r="C39" s="49"/>
      <c r="D39" s="81"/>
      <c r="E39" s="81"/>
      <c r="F39" s="82" t="str">
        <f aca="false">IFERROR(IF($C39="","",$E39-$D39),"")</f>
        <v/>
      </c>
      <c r="G39" s="12" t="str">
        <f aca="false">IFERROR(IF(OR($C39="",$D39=0,$D39=""),"",$F39/$D39),"")</f>
        <v/>
      </c>
      <c r="H39" s="13" t="str">
        <f aca="false">IFERROR(IF($C39="","",$F39*INDEX(المكونات!$C$2:$C$500,MATCH($C39,المكونات!$A$2:$A$500,0))),"")</f>
        <v/>
      </c>
    </row>
    <row r="40" customFormat="false" ht="15" hidden="false" customHeight="true" outlineLevel="0" collapsed="false">
      <c r="A40" s="49"/>
      <c r="B40" s="49"/>
      <c r="C40" s="49"/>
      <c r="D40" s="81"/>
      <c r="E40" s="81"/>
      <c r="F40" s="82" t="str">
        <f aca="false">IFERROR(IF($C40="","",$E40-$D40),"")</f>
        <v/>
      </c>
      <c r="G40" s="12" t="str">
        <f aca="false">IFERROR(IF(OR($C40="",$D40=0,$D40=""),"",$F40/$D40),"")</f>
        <v/>
      </c>
      <c r="H40" s="13" t="str">
        <f aca="false">IFERROR(IF($C40="","",$F40*INDEX(المكونات!$C$2:$C$500,MATCH($C40,المكونات!$A$2:$A$500,0))),"")</f>
        <v/>
      </c>
    </row>
    <row r="41" customFormat="false" ht="15" hidden="false" customHeight="true" outlineLevel="0" collapsed="false">
      <c r="A41" s="49"/>
      <c r="B41" s="49"/>
      <c r="C41" s="49"/>
      <c r="D41" s="81"/>
      <c r="E41" s="81"/>
      <c r="F41" s="82" t="str">
        <f aca="false">IFERROR(IF($C41="","",$E41-$D41),"")</f>
        <v/>
      </c>
      <c r="G41" s="12" t="str">
        <f aca="false">IFERROR(IF(OR($C41="",$D41=0,$D41=""),"",$F41/$D41),"")</f>
        <v/>
      </c>
      <c r="H41" s="13" t="str">
        <f aca="false">IFERROR(IF($C41="","",$F41*INDEX(المكونات!$C$2:$C$500,MATCH($C41,المكونات!$A$2:$A$500,0))),"")</f>
        <v/>
      </c>
    </row>
    <row r="42" customFormat="false" ht="15" hidden="false" customHeight="true" outlineLevel="0" collapsed="false">
      <c r="A42" s="49"/>
      <c r="B42" s="49"/>
      <c r="C42" s="49"/>
      <c r="D42" s="81"/>
      <c r="E42" s="81"/>
      <c r="F42" s="82" t="str">
        <f aca="false">IFERROR(IF($C42="","",$E42-$D42),"")</f>
        <v/>
      </c>
      <c r="G42" s="12" t="str">
        <f aca="false">IFERROR(IF(OR($C42="",$D42=0,$D42=""),"",$F42/$D42),"")</f>
        <v/>
      </c>
      <c r="H42" s="13" t="str">
        <f aca="false">IFERROR(IF($C42="","",$F42*INDEX(المكونات!$C$2:$C$500,MATCH($C42,المكونات!$A$2:$A$500,0))),"")</f>
        <v/>
      </c>
    </row>
    <row r="43" customFormat="false" ht="15" hidden="false" customHeight="true" outlineLevel="0" collapsed="false">
      <c r="A43" s="49"/>
      <c r="B43" s="49"/>
      <c r="C43" s="49"/>
      <c r="D43" s="81"/>
      <c r="E43" s="81"/>
      <c r="F43" s="82" t="str">
        <f aca="false">IFERROR(IF($C43="","",$E43-$D43),"")</f>
        <v/>
      </c>
      <c r="G43" s="12" t="str">
        <f aca="false">IFERROR(IF(OR($C43="",$D43=0,$D43=""),"",$F43/$D43),"")</f>
        <v/>
      </c>
      <c r="H43" s="13" t="str">
        <f aca="false">IFERROR(IF($C43="","",$F43*INDEX(المكونات!$C$2:$C$500,MATCH($C43,المكونات!$A$2:$A$500,0))),"")</f>
        <v/>
      </c>
    </row>
    <row r="44" customFormat="false" ht="15" hidden="false" customHeight="true" outlineLevel="0" collapsed="false">
      <c r="A44" s="49"/>
      <c r="B44" s="49"/>
      <c r="C44" s="49"/>
      <c r="D44" s="81"/>
      <c r="E44" s="81"/>
      <c r="F44" s="82" t="str">
        <f aca="false">IFERROR(IF($C44="","",$E44-$D44),"")</f>
        <v/>
      </c>
      <c r="G44" s="12" t="str">
        <f aca="false">IFERROR(IF(OR($C44="",$D44=0,$D44=""),"",$F44/$D44),"")</f>
        <v/>
      </c>
      <c r="H44" s="13" t="str">
        <f aca="false">IFERROR(IF($C44="","",$F44*INDEX(المكونات!$C$2:$C$500,MATCH($C44,المكونات!$A$2:$A$500,0))),"")</f>
        <v/>
      </c>
    </row>
    <row r="45" customFormat="false" ht="15" hidden="false" customHeight="true" outlineLevel="0" collapsed="false">
      <c r="A45" s="49"/>
      <c r="B45" s="49"/>
      <c r="C45" s="49"/>
      <c r="D45" s="81"/>
      <c r="E45" s="81"/>
      <c r="F45" s="82" t="str">
        <f aca="false">IFERROR(IF($C45="","",$E45-$D45),"")</f>
        <v/>
      </c>
      <c r="G45" s="12" t="str">
        <f aca="false">IFERROR(IF(OR($C45="",$D45=0,$D45=""),"",$F45/$D45),"")</f>
        <v/>
      </c>
      <c r="H45" s="13" t="str">
        <f aca="false">IFERROR(IF($C45="","",$F45*INDEX(المكونات!$C$2:$C$500,MATCH($C45,المكونات!$A$2:$A$500,0))),"")</f>
        <v/>
      </c>
    </row>
    <row r="46" customFormat="false" ht="15" hidden="false" customHeight="true" outlineLevel="0" collapsed="false">
      <c r="A46" s="49"/>
      <c r="B46" s="49"/>
      <c r="C46" s="49"/>
      <c r="D46" s="81"/>
      <c r="E46" s="81"/>
      <c r="F46" s="82" t="str">
        <f aca="false">IFERROR(IF($C46="","",$E46-$D46),"")</f>
        <v/>
      </c>
      <c r="G46" s="12" t="str">
        <f aca="false">IFERROR(IF(OR($C46="",$D46=0,$D46=""),"",$F46/$D46),"")</f>
        <v/>
      </c>
      <c r="H46" s="13" t="str">
        <f aca="false">IFERROR(IF($C46="","",$F46*INDEX(المكونات!$C$2:$C$500,MATCH($C46,المكونات!$A$2:$A$500,0))),"")</f>
        <v/>
      </c>
    </row>
    <row r="47" customFormat="false" ht="15" hidden="false" customHeight="true" outlineLevel="0" collapsed="false">
      <c r="A47" s="49"/>
      <c r="B47" s="49"/>
      <c r="C47" s="49"/>
      <c r="D47" s="81"/>
      <c r="E47" s="81"/>
      <c r="F47" s="82" t="str">
        <f aca="false">IFERROR(IF($C47="","",$E47-$D47),"")</f>
        <v/>
      </c>
      <c r="G47" s="12" t="str">
        <f aca="false">IFERROR(IF(OR($C47="",$D47=0,$D47=""),"",$F47/$D47),"")</f>
        <v/>
      </c>
      <c r="H47" s="13" t="str">
        <f aca="false">IFERROR(IF($C47="","",$F47*INDEX(المكونات!$C$2:$C$500,MATCH($C47,المكونات!$A$2:$A$500,0))),"")</f>
        <v/>
      </c>
    </row>
    <row r="48" customFormat="false" ht="15" hidden="false" customHeight="true" outlineLevel="0" collapsed="false">
      <c r="A48" s="49"/>
      <c r="B48" s="49"/>
      <c r="C48" s="49"/>
      <c r="D48" s="81"/>
      <c r="E48" s="81"/>
      <c r="F48" s="82" t="str">
        <f aca="false">IFERROR(IF($C48="","",$E48-$D48),"")</f>
        <v/>
      </c>
      <c r="G48" s="12" t="str">
        <f aca="false">IFERROR(IF(OR($C48="",$D48=0,$D48=""),"",$F48/$D48),"")</f>
        <v/>
      </c>
      <c r="H48" s="13" t="str">
        <f aca="false">IFERROR(IF($C48="","",$F48*INDEX(المكونات!$C$2:$C$500,MATCH($C48,المكونات!$A$2:$A$500,0))),"")</f>
        <v/>
      </c>
    </row>
    <row r="49" customFormat="false" ht="15" hidden="false" customHeight="true" outlineLevel="0" collapsed="false">
      <c r="A49" s="49"/>
      <c r="B49" s="49"/>
      <c r="C49" s="49"/>
      <c r="D49" s="81"/>
      <c r="E49" s="81"/>
      <c r="F49" s="82" t="str">
        <f aca="false">IFERROR(IF($C49="","",$E49-$D49),"")</f>
        <v/>
      </c>
      <c r="G49" s="12" t="str">
        <f aca="false">IFERROR(IF(OR($C49="",$D49=0,$D49=""),"",$F49/$D49),"")</f>
        <v/>
      </c>
      <c r="H49" s="13" t="str">
        <f aca="false">IFERROR(IF($C49="","",$F49*INDEX(المكونات!$C$2:$C$500,MATCH($C49,المكونات!$A$2:$A$500,0))),"")</f>
        <v/>
      </c>
    </row>
    <row r="50" customFormat="false" ht="15" hidden="false" customHeight="true" outlineLevel="0" collapsed="false">
      <c r="A50" s="49"/>
      <c r="B50" s="49"/>
      <c r="C50" s="49"/>
      <c r="D50" s="81"/>
      <c r="E50" s="81"/>
      <c r="F50" s="82" t="str">
        <f aca="false">IFERROR(IF($C50="","",$E50-$D50),"")</f>
        <v/>
      </c>
      <c r="G50" s="12" t="str">
        <f aca="false">IFERROR(IF(OR($C50="",$D50=0,$D50=""),"",$F50/$D50),"")</f>
        <v/>
      </c>
      <c r="H50" s="13" t="str">
        <f aca="false">IFERROR(IF($C50="","",$F50*INDEX(المكونات!$C$2:$C$500,MATCH($C50,المكونات!$A$2:$A$500,0))),"")</f>
        <v/>
      </c>
    </row>
    <row r="51" customFormat="false" ht="15" hidden="false" customHeight="true" outlineLevel="0" collapsed="false">
      <c r="A51" s="49"/>
      <c r="B51" s="49"/>
      <c r="C51" s="49"/>
      <c r="D51" s="81"/>
      <c r="E51" s="81"/>
      <c r="F51" s="82" t="str">
        <f aca="false">IFERROR(IF($C51="","",$E51-$D51),"")</f>
        <v/>
      </c>
      <c r="G51" s="12" t="str">
        <f aca="false">IFERROR(IF(OR($C51="",$D51=0,$D51=""),"",$F51/$D51),"")</f>
        <v/>
      </c>
      <c r="H51" s="13" t="str">
        <f aca="false">IFERROR(IF($C51="","",$F51*INDEX(المكونات!$C$2:$C$500,MATCH($C51,المكونات!$A$2:$A$500,0))),"")</f>
        <v/>
      </c>
    </row>
    <row r="52" customFormat="false" ht="15" hidden="false" customHeight="true" outlineLevel="0" collapsed="false">
      <c r="A52" s="49"/>
      <c r="B52" s="49"/>
      <c r="C52" s="49"/>
      <c r="D52" s="81"/>
      <c r="E52" s="81"/>
      <c r="F52" s="82" t="str">
        <f aca="false">IFERROR(IF($C52="","",$E52-$D52),"")</f>
        <v/>
      </c>
      <c r="G52" s="12" t="str">
        <f aca="false">IFERROR(IF(OR($C52="",$D52=0,$D52=""),"",$F52/$D52),"")</f>
        <v/>
      </c>
      <c r="H52" s="13" t="str">
        <f aca="false">IFERROR(IF($C52="","",$F52*INDEX(المكونات!$C$2:$C$500,MATCH($C52,المكونات!$A$2:$A$500,0))),"")</f>
        <v/>
      </c>
    </row>
    <row r="53" customFormat="false" ht="15" hidden="false" customHeight="true" outlineLevel="0" collapsed="false">
      <c r="A53" s="49"/>
      <c r="B53" s="49"/>
      <c r="C53" s="49"/>
      <c r="D53" s="81"/>
      <c r="E53" s="81"/>
      <c r="F53" s="82" t="str">
        <f aca="false">IFERROR(IF($C53="","",$E53-$D53),"")</f>
        <v/>
      </c>
      <c r="G53" s="12" t="str">
        <f aca="false">IFERROR(IF(OR($C53="",$D53=0,$D53=""),"",$F53/$D53),"")</f>
        <v/>
      </c>
      <c r="H53" s="13" t="str">
        <f aca="false">IFERROR(IF($C53="","",$F53*INDEX(المكونات!$C$2:$C$500,MATCH($C53,المكونات!$A$2:$A$500,0))),"")</f>
        <v/>
      </c>
    </row>
    <row r="54" customFormat="false" ht="15" hidden="false" customHeight="true" outlineLevel="0" collapsed="false">
      <c r="A54" s="49"/>
      <c r="B54" s="49"/>
      <c r="C54" s="49"/>
      <c r="D54" s="81"/>
      <c r="E54" s="81"/>
      <c r="F54" s="82" t="str">
        <f aca="false">IFERROR(IF($C54="","",$E54-$D54),"")</f>
        <v/>
      </c>
      <c r="G54" s="12" t="str">
        <f aca="false">IFERROR(IF(OR($C54="",$D54=0,$D54=""),"",$F54/$D54),"")</f>
        <v/>
      </c>
      <c r="H54" s="13" t="str">
        <f aca="false">IFERROR(IF($C54="","",$F54*INDEX(المكونات!$C$2:$C$500,MATCH($C54,المكونات!$A$2:$A$500,0))),"")</f>
        <v/>
      </c>
    </row>
    <row r="55" customFormat="false" ht="15" hidden="false" customHeight="true" outlineLevel="0" collapsed="false">
      <c r="A55" s="49"/>
      <c r="B55" s="49"/>
      <c r="C55" s="49"/>
      <c r="D55" s="81"/>
      <c r="E55" s="81"/>
      <c r="F55" s="82" t="str">
        <f aca="false">IFERROR(IF($C55="","",$E55-$D55),"")</f>
        <v/>
      </c>
      <c r="G55" s="12" t="str">
        <f aca="false">IFERROR(IF(OR($C55="",$D55=0,$D55=""),"",$F55/$D55),"")</f>
        <v/>
      </c>
      <c r="H55" s="13" t="str">
        <f aca="false">IFERROR(IF($C55="","",$F55*INDEX(المكونات!$C$2:$C$500,MATCH($C55,المكونات!$A$2:$A$500,0))),"")</f>
        <v/>
      </c>
    </row>
    <row r="56" customFormat="false" ht="15" hidden="false" customHeight="true" outlineLevel="0" collapsed="false">
      <c r="A56" s="49"/>
      <c r="B56" s="49"/>
      <c r="C56" s="49"/>
      <c r="D56" s="81"/>
      <c r="E56" s="81"/>
      <c r="F56" s="82" t="str">
        <f aca="false">IFERROR(IF($C56="","",$E56-$D56),"")</f>
        <v/>
      </c>
      <c r="G56" s="12" t="str">
        <f aca="false">IFERROR(IF(OR($C56="",$D56=0,$D56=""),"",$F56/$D56),"")</f>
        <v/>
      </c>
      <c r="H56" s="13" t="str">
        <f aca="false">IFERROR(IF($C56="","",$F56*INDEX(المكونات!$C$2:$C$500,MATCH($C56,المكونات!$A$2:$A$500,0))),"")</f>
        <v/>
      </c>
    </row>
    <row r="57" customFormat="false" ht="15" hidden="false" customHeight="true" outlineLevel="0" collapsed="false">
      <c r="A57" s="49"/>
      <c r="B57" s="49"/>
      <c r="C57" s="49"/>
      <c r="D57" s="81"/>
      <c r="E57" s="81"/>
      <c r="F57" s="82" t="str">
        <f aca="false">IFERROR(IF($C57="","",$E57-$D57),"")</f>
        <v/>
      </c>
      <c r="G57" s="12" t="str">
        <f aca="false">IFERROR(IF(OR($C57="",$D57=0,$D57=""),"",$F57/$D57),"")</f>
        <v/>
      </c>
      <c r="H57" s="13" t="str">
        <f aca="false">IFERROR(IF($C57="","",$F57*INDEX(المكونات!$C$2:$C$500,MATCH($C57,المكونات!$A$2:$A$500,0))),"")</f>
        <v/>
      </c>
    </row>
    <row r="58" customFormat="false" ht="15" hidden="false" customHeight="true" outlineLevel="0" collapsed="false">
      <c r="A58" s="49"/>
      <c r="B58" s="49"/>
      <c r="C58" s="49"/>
      <c r="D58" s="81"/>
      <c r="E58" s="81"/>
      <c r="F58" s="82" t="str">
        <f aca="false">IFERROR(IF($C58="","",$E58-$D58),"")</f>
        <v/>
      </c>
      <c r="G58" s="12" t="str">
        <f aca="false">IFERROR(IF(OR($C58="",$D58=0,$D58=""),"",$F58/$D58),"")</f>
        <v/>
      </c>
      <c r="H58" s="13" t="str">
        <f aca="false">IFERROR(IF($C58="","",$F58*INDEX(المكونات!$C$2:$C$500,MATCH($C58,المكونات!$A$2:$A$500,0))),"")</f>
        <v/>
      </c>
    </row>
    <row r="59" customFormat="false" ht="15" hidden="false" customHeight="true" outlineLevel="0" collapsed="false">
      <c r="A59" s="49"/>
      <c r="B59" s="49"/>
      <c r="C59" s="49"/>
      <c r="D59" s="81"/>
      <c r="E59" s="81"/>
      <c r="F59" s="82" t="str">
        <f aca="false">IFERROR(IF($C59="","",$E59-$D59),"")</f>
        <v/>
      </c>
      <c r="G59" s="12" t="str">
        <f aca="false">IFERROR(IF(OR($C59="",$D59=0,$D59=""),"",$F59/$D59),"")</f>
        <v/>
      </c>
      <c r="H59" s="13" t="str">
        <f aca="false">IFERROR(IF($C59="","",$F59*INDEX(المكونات!$C$2:$C$500,MATCH($C59,المكونات!$A$2:$A$500,0))),"")</f>
        <v/>
      </c>
    </row>
    <row r="60" customFormat="false" ht="15" hidden="false" customHeight="true" outlineLevel="0" collapsed="false">
      <c r="A60" s="49"/>
      <c r="B60" s="49"/>
      <c r="C60" s="49"/>
      <c r="D60" s="81"/>
      <c r="E60" s="81"/>
      <c r="F60" s="82" t="str">
        <f aca="false">IFERROR(IF($C60="","",$E60-$D60),"")</f>
        <v/>
      </c>
      <c r="G60" s="12" t="str">
        <f aca="false">IFERROR(IF(OR($C60="",$D60=0,$D60=""),"",$F60/$D60),"")</f>
        <v/>
      </c>
      <c r="H60" s="13" t="str">
        <f aca="false">IFERROR(IF($C60="","",$F60*INDEX(المكونات!$C$2:$C$500,MATCH($C60,المكونات!$A$2:$A$500,0))),"")</f>
        <v/>
      </c>
    </row>
    <row r="61" customFormat="false" ht="15" hidden="false" customHeight="true" outlineLevel="0" collapsed="false">
      <c r="A61" s="49"/>
      <c r="B61" s="49"/>
      <c r="C61" s="49"/>
      <c r="D61" s="81"/>
      <c r="E61" s="81"/>
      <c r="F61" s="82" t="str">
        <f aca="false">IFERROR(IF($C61="","",$E61-$D61),"")</f>
        <v/>
      </c>
      <c r="G61" s="12" t="str">
        <f aca="false">IFERROR(IF(OR($C61="",$D61=0,$D61=""),"",$F61/$D61),"")</f>
        <v/>
      </c>
      <c r="H61" s="13" t="str">
        <f aca="false">IFERROR(IF($C61="","",$F61*INDEX(المكونات!$C$2:$C$500,MATCH($C61,المكونات!$A$2:$A$500,0))),"")</f>
        <v/>
      </c>
    </row>
    <row r="62" customFormat="false" ht="15" hidden="false" customHeight="true" outlineLevel="0" collapsed="false">
      <c r="A62" s="49"/>
      <c r="B62" s="49"/>
      <c r="C62" s="49"/>
      <c r="D62" s="81"/>
      <c r="E62" s="81"/>
      <c r="F62" s="82" t="str">
        <f aca="false">IFERROR(IF($C62="","",$E62-$D62),"")</f>
        <v/>
      </c>
      <c r="G62" s="12" t="str">
        <f aca="false">IFERROR(IF(OR($C62="",$D62=0,$D62=""),"",$F62/$D62),"")</f>
        <v/>
      </c>
      <c r="H62" s="13" t="str">
        <f aca="false">IFERROR(IF($C62="","",$F62*INDEX(المكونات!$C$2:$C$500,MATCH($C62,المكونات!$A$2:$A$500,0))),"")</f>
        <v/>
      </c>
    </row>
    <row r="63" customFormat="false" ht="15" hidden="false" customHeight="true" outlineLevel="0" collapsed="false">
      <c r="A63" s="49"/>
      <c r="B63" s="49"/>
      <c r="C63" s="49"/>
      <c r="D63" s="81"/>
      <c r="E63" s="81"/>
      <c r="F63" s="82" t="str">
        <f aca="false">IFERROR(IF($C63="","",$E63-$D63),"")</f>
        <v/>
      </c>
      <c r="G63" s="12" t="str">
        <f aca="false">IFERROR(IF(OR($C63="",$D63=0,$D63=""),"",$F63/$D63),"")</f>
        <v/>
      </c>
      <c r="H63" s="13" t="str">
        <f aca="false">IFERROR(IF($C63="","",$F63*INDEX(المكونات!$C$2:$C$500,MATCH($C63,المكونات!$A$2:$A$500,0))),"")</f>
        <v/>
      </c>
    </row>
    <row r="64" customFormat="false" ht="15" hidden="false" customHeight="true" outlineLevel="0" collapsed="false">
      <c r="A64" s="49"/>
      <c r="B64" s="49"/>
      <c r="C64" s="49"/>
      <c r="D64" s="81"/>
      <c r="E64" s="81"/>
      <c r="F64" s="82" t="str">
        <f aca="false">IFERROR(IF($C64="","",$E64-$D64),"")</f>
        <v/>
      </c>
      <c r="G64" s="12" t="str">
        <f aca="false">IFERROR(IF(OR($C64="",$D64=0,$D64=""),"",$F64/$D64),"")</f>
        <v/>
      </c>
      <c r="H64" s="13" t="str">
        <f aca="false">IFERROR(IF($C64="","",$F64*INDEX(المكونات!$C$2:$C$500,MATCH($C64,المكونات!$A$2:$A$500,0))),"")</f>
        <v/>
      </c>
    </row>
    <row r="65" customFormat="false" ht="15" hidden="false" customHeight="true" outlineLevel="0" collapsed="false">
      <c r="A65" s="49"/>
      <c r="B65" s="49"/>
      <c r="C65" s="49"/>
      <c r="D65" s="81"/>
      <c r="E65" s="81"/>
      <c r="F65" s="82" t="str">
        <f aca="false">IFERROR(IF($C65="","",$E65-$D65),"")</f>
        <v/>
      </c>
      <c r="G65" s="12" t="str">
        <f aca="false">IFERROR(IF(OR($C65="",$D65=0,$D65=""),"",$F65/$D65),"")</f>
        <v/>
      </c>
      <c r="H65" s="13" t="str">
        <f aca="false">IFERROR(IF($C65="","",$F65*INDEX(المكونات!$C$2:$C$500,MATCH($C65,المكونات!$A$2:$A$500,0))),"")</f>
        <v/>
      </c>
    </row>
    <row r="66" customFormat="false" ht="15" hidden="false" customHeight="true" outlineLevel="0" collapsed="false">
      <c r="A66" s="49"/>
      <c r="B66" s="49"/>
      <c r="C66" s="49"/>
      <c r="D66" s="81"/>
      <c r="E66" s="81"/>
      <c r="F66" s="82" t="str">
        <f aca="false">IFERROR(IF($C66="","",$E66-$D66),"")</f>
        <v/>
      </c>
      <c r="G66" s="12" t="str">
        <f aca="false">IFERROR(IF(OR($C66="",$D66=0,$D66=""),"",$F66/$D66),"")</f>
        <v/>
      </c>
      <c r="H66" s="13" t="str">
        <f aca="false">IFERROR(IF($C66="","",$F66*INDEX(المكونات!$C$2:$C$500,MATCH($C66,المكونات!$A$2:$A$500,0))),"")</f>
        <v/>
      </c>
    </row>
    <row r="67" customFormat="false" ht="15" hidden="false" customHeight="true" outlineLevel="0" collapsed="false">
      <c r="A67" s="49"/>
      <c r="B67" s="49"/>
      <c r="C67" s="49"/>
      <c r="D67" s="81"/>
      <c r="E67" s="81"/>
      <c r="F67" s="82" t="str">
        <f aca="false">IFERROR(IF($C67="","",$E67-$D67),"")</f>
        <v/>
      </c>
      <c r="G67" s="12" t="str">
        <f aca="false">IFERROR(IF(OR($C67="",$D67=0,$D67=""),"",$F67/$D67),"")</f>
        <v/>
      </c>
      <c r="H67" s="13" t="str">
        <f aca="false">IFERROR(IF($C67="","",$F67*INDEX(المكونات!$C$2:$C$500,MATCH($C67,المكونات!$A$2:$A$500,0))),"")</f>
        <v/>
      </c>
    </row>
    <row r="68" customFormat="false" ht="15" hidden="false" customHeight="true" outlineLevel="0" collapsed="false">
      <c r="A68" s="49"/>
      <c r="B68" s="49"/>
      <c r="C68" s="49"/>
      <c r="D68" s="81"/>
      <c r="E68" s="81"/>
      <c r="F68" s="82" t="str">
        <f aca="false">IFERROR(IF($C68="","",$E68-$D68),"")</f>
        <v/>
      </c>
      <c r="G68" s="12" t="str">
        <f aca="false">IFERROR(IF(OR($C68="",$D68=0,$D68=""),"",$F68/$D68),"")</f>
        <v/>
      </c>
      <c r="H68" s="13" t="str">
        <f aca="false">IFERROR(IF($C68="","",$F68*INDEX(المكونات!$C$2:$C$500,MATCH($C68,المكونات!$A$2:$A$500,0))),"")</f>
        <v/>
      </c>
    </row>
    <row r="69" customFormat="false" ht="15" hidden="false" customHeight="true" outlineLevel="0" collapsed="false">
      <c r="A69" s="49"/>
      <c r="B69" s="49"/>
      <c r="C69" s="49"/>
      <c r="D69" s="81"/>
      <c r="E69" s="81"/>
      <c r="F69" s="82" t="str">
        <f aca="false">IFERROR(IF($C69="","",$E69-$D69),"")</f>
        <v/>
      </c>
      <c r="G69" s="12" t="str">
        <f aca="false">IFERROR(IF(OR($C69="",$D69=0,$D69=""),"",$F69/$D69),"")</f>
        <v/>
      </c>
      <c r="H69" s="13" t="str">
        <f aca="false">IFERROR(IF($C69="","",$F69*INDEX(المكونات!$C$2:$C$500,MATCH($C69,المكونات!$A$2:$A$500,0))),"")</f>
        <v/>
      </c>
    </row>
    <row r="70" customFormat="false" ht="15" hidden="false" customHeight="true" outlineLevel="0" collapsed="false">
      <c r="A70" s="49"/>
      <c r="B70" s="49"/>
      <c r="C70" s="49"/>
      <c r="D70" s="81"/>
      <c r="E70" s="81"/>
      <c r="F70" s="82" t="str">
        <f aca="false">IFERROR(IF($C70="","",$E70-$D70),"")</f>
        <v/>
      </c>
      <c r="G70" s="12" t="str">
        <f aca="false">IFERROR(IF(OR($C70="",$D70=0,$D70=""),"",$F70/$D70),"")</f>
        <v/>
      </c>
      <c r="H70" s="13" t="str">
        <f aca="false">IFERROR(IF($C70="","",$F70*INDEX(المكونات!$C$2:$C$500,MATCH($C70,المكونات!$A$2:$A$500,0))),"")</f>
        <v/>
      </c>
    </row>
    <row r="71" customFormat="false" ht="15" hidden="false" customHeight="true" outlineLevel="0" collapsed="false">
      <c r="A71" s="49"/>
      <c r="B71" s="49"/>
      <c r="C71" s="49"/>
      <c r="D71" s="81"/>
      <c r="E71" s="81"/>
      <c r="F71" s="82" t="str">
        <f aca="false">IFERROR(IF($C71="","",$E71-$D71),"")</f>
        <v/>
      </c>
      <c r="G71" s="12" t="str">
        <f aca="false">IFERROR(IF(OR($C71="",$D71=0,$D71=""),"",$F71/$D71),"")</f>
        <v/>
      </c>
      <c r="H71" s="13" t="str">
        <f aca="false">IFERROR(IF($C71="","",$F71*INDEX(المكونات!$C$2:$C$500,MATCH($C71,المكونات!$A$2:$A$500,0))),"")</f>
        <v/>
      </c>
    </row>
    <row r="72" customFormat="false" ht="15" hidden="false" customHeight="true" outlineLevel="0" collapsed="false">
      <c r="A72" s="49"/>
      <c r="B72" s="49"/>
      <c r="C72" s="49"/>
      <c r="D72" s="81"/>
      <c r="E72" s="81"/>
      <c r="F72" s="82" t="str">
        <f aca="false">IFERROR(IF($C72="","",$E72-$D72),"")</f>
        <v/>
      </c>
      <c r="G72" s="12" t="str">
        <f aca="false">IFERROR(IF(OR($C72="",$D72=0,$D72=""),"",$F72/$D72),"")</f>
        <v/>
      </c>
      <c r="H72" s="13" t="str">
        <f aca="false">IFERROR(IF($C72="","",$F72*INDEX(المكونات!$C$2:$C$500,MATCH($C72,المكونات!$A$2:$A$500,0))),"")</f>
        <v/>
      </c>
    </row>
    <row r="73" customFormat="false" ht="15" hidden="false" customHeight="true" outlineLevel="0" collapsed="false">
      <c r="A73" s="49"/>
      <c r="B73" s="49"/>
      <c r="C73" s="49"/>
      <c r="D73" s="81"/>
      <c r="E73" s="81"/>
      <c r="F73" s="82" t="str">
        <f aca="false">IFERROR(IF($C73="","",$E73-$D73),"")</f>
        <v/>
      </c>
      <c r="G73" s="12" t="str">
        <f aca="false">IFERROR(IF(OR($C73="",$D73=0,$D73=""),"",$F73/$D73),"")</f>
        <v/>
      </c>
      <c r="H73" s="13" t="str">
        <f aca="false">IFERROR(IF($C73="","",$F73*INDEX(المكونات!$C$2:$C$500,MATCH($C73,المكونات!$A$2:$A$500,0))),"")</f>
        <v/>
      </c>
    </row>
    <row r="74" customFormat="false" ht="15" hidden="false" customHeight="true" outlineLevel="0" collapsed="false">
      <c r="A74" s="49"/>
      <c r="B74" s="49"/>
      <c r="C74" s="49"/>
      <c r="D74" s="81"/>
      <c r="E74" s="81"/>
      <c r="F74" s="82" t="str">
        <f aca="false">IFERROR(IF($C74="","",$E74-$D74),"")</f>
        <v/>
      </c>
      <c r="G74" s="12" t="str">
        <f aca="false">IFERROR(IF(OR($C74="",$D74=0,$D74=""),"",$F74/$D74),"")</f>
        <v/>
      </c>
      <c r="H74" s="13" t="str">
        <f aca="false">IFERROR(IF($C74="","",$F74*INDEX(المكونات!$C$2:$C$500,MATCH($C74,المكونات!$A$2:$A$500,0))),"")</f>
        <v/>
      </c>
    </row>
    <row r="75" customFormat="false" ht="15" hidden="false" customHeight="true" outlineLevel="0" collapsed="false">
      <c r="A75" s="49"/>
      <c r="B75" s="49"/>
      <c r="C75" s="49"/>
      <c r="D75" s="81"/>
      <c r="E75" s="81"/>
      <c r="F75" s="82" t="str">
        <f aca="false">IFERROR(IF($C75="","",$E75-$D75),"")</f>
        <v/>
      </c>
      <c r="G75" s="12" t="str">
        <f aca="false">IFERROR(IF(OR($C75="",$D75=0,$D75=""),"",$F75/$D75),"")</f>
        <v/>
      </c>
      <c r="H75" s="13" t="str">
        <f aca="false">IFERROR(IF($C75="","",$F75*INDEX(المكونات!$C$2:$C$500,MATCH($C75,المكونات!$A$2:$A$500,0))),"")</f>
        <v/>
      </c>
    </row>
    <row r="76" customFormat="false" ht="15" hidden="false" customHeight="true" outlineLevel="0" collapsed="false">
      <c r="A76" s="49"/>
      <c r="B76" s="49"/>
      <c r="C76" s="49"/>
      <c r="D76" s="81"/>
      <c r="E76" s="81"/>
      <c r="F76" s="82" t="str">
        <f aca="false">IFERROR(IF($C76="","",$E76-$D76),"")</f>
        <v/>
      </c>
      <c r="G76" s="12" t="str">
        <f aca="false">IFERROR(IF(OR($C76="",$D76=0,$D76=""),"",$F76/$D76),"")</f>
        <v/>
      </c>
      <c r="H76" s="13" t="str">
        <f aca="false">IFERROR(IF($C76="","",$F76*INDEX(المكونات!$C$2:$C$500,MATCH($C76,المكونات!$A$2:$A$500,0))),"")</f>
        <v/>
      </c>
    </row>
    <row r="77" customFormat="false" ht="15" hidden="false" customHeight="true" outlineLevel="0" collapsed="false">
      <c r="A77" s="49"/>
      <c r="B77" s="49"/>
      <c r="C77" s="49"/>
      <c r="D77" s="81"/>
      <c r="E77" s="81"/>
      <c r="F77" s="82" t="str">
        <f aca="false">IFERROR(IF($C77="","",$E77-$D77),"")</f>
        <v/>
      </c>
      <c r="G77" s="12" t="str">
        <f aca="false">IFERROR(IF(OR($C77="",$D77=0,$D77=""),"",$F77/$D77),"")</f>
        <v/>
      </c>
      <c r="H77" s="13" t="str">
        <f aca="false">IFERROR(IF($C77="","",$F77*INDEX(المكونات!$C$2:$C$500,MATCH($C77,المكونات!$A$2:$A$500,0))),"")</f>
        <v/>
      </c>
    </row>
    <row r="78" customFormat="false" ht="15" hidden="false" customHeight="true" outlineLevel="0" collapsed="false">
      <c r="A78" s="49"/>
      <c r="B78" s="49"/>
      <c r="C78" s="49"/>
      <c r="D78" s="81"/>
      <c r="E78" s="81"/>
      <c r="F78" s="82" t="str">
        <f aca="false">IFERROR(IF($C78="","",$E78-$D78),"")</f>
        <v/>
      </c>
      <c r="G78" s="12" t="str">
        <f aca="false">IFERROR(IF(OR($C78="",$D78=0,$D78=""),"",$F78/$D78),"")</f>
        <v/>
      </c>
      <c r="H78" s="13" t="str">
        <f aca="false">IFERROR(IF($C78="","",$F78*INDEX(المكونات!$C$2:$C$500,MATCH($C78,المكونات!$A$2:$A$500,0))),"")</f>
        <v/>
      </c>
    </row>
    <row r="79" customFormat="false" ht="15" hidden="false" customHeight="true" outlineLevel="0" collapsed="false">
      <c r="A79" s="49"/>
      <c r="B79" s="49"/>
      <c r="C79" s="49"/>
      <c r="D79" s="81"/>
      <c r="E79" s="81"/>
      <c r="F79" s="82" t="str">
        <f aca="false">IFERROR(IF($C79="","",$E79-$D79),"")</f>
        <v/>
      </c>
      <c r="G79" s="12" t="str">
        <f aca="false">IFERROR(IF(OR($C79="",$D79=0,$D79=""),"",$F79/$D79),"")</f>
        <v/>
      </c>
      <c r="H79" s="13" t="str">
        <f aca="false">IFERROR(IF($C79="","",$F79*INDEX(المكونات!$C$2:$C$500,MATCH($C79,المكونات!$A$2:$A$500,0))),"")</f>
        <v/>
      </c>
    </row>
    <row r="80" customFormat="false" ht="15" hidden="false" customHeight="true" outlineLevel="0" collapsed="false">
      <c r="A80" s="49"/>
      <c r="B80" s="49"/>
      <c r="C80" s="49"/>
      <c r="D80" s="81"/>
      <c r="E80" s="81"/>
      <c r="F80" s="82" t="str">
        <f aca="false">IFERROR(IF($C80="","",$E80-$D80),"")</f>
        <v/>
      </c>
      <c r="G80" s="12" t="str">
        <f aca="false">IFERROR(IF(OR($C80="",$D80=0,$D80=""),"",$F80/$D80),"")</f>
        <v/>
      </c>
      <c r="H80" s="13" t="str">
        <f aca="false">IFERROR(IF($C80="","",$F80*INDEX(المكونات!$C$2:$C$500,MATCH($C80,المكونات!$A$2:$A$500,0))),"")</f>
        <v/>
      </c>
    </row>
    <row r="81" customFormat="false" ht="15" hidden="false" customHeight="true" outlineLevel="0" collapsed="false">
      <c r="A81" s="49"/>
      <c r="B81" s="49"/>
      <c r="C81" s="49"/>
      <c r="D81" s="81"/>
      <c r="E81" s="81"/>
      <c r="F81" s="82" t="str">
        <f aca="false">IFERROR(IF($C81="","",$E81-$D81),"")</f>
        <v/>
      </c>
      <c r="G81" s="12" t="str">
        <f aca="false">IFERROR(IF(OR($C81="",$D81=0,$D81=""),"",$F81/$D81),"")</f>
        <v/>
      </c>
      <c r="H81" s="13" t="str">
        <f aca="false">IFERROR(IF($C81="","",$F81*INDEX(المكونات!$C$2:$C$500,MATCH($C81,المكونات!$A$2:$A$500,0))),"")</f>
        <v/>
      </c>
    </row>
    <row r="82" customFormat="false" ht="15" hidden="false" customHeight="true" outlineLevel="0" collapsed="false">
      <c r="A82" s="49"/>
      <c r="B82" s="49"/>
      <c r="C82" s="49"/>
      <c r="D82" s="81"/>
      <c r="E82" s="81"/>
      <c r="F82" s="82" t="str">
        <f aca="false">IFERROR(IF($C82="","",$E82-$D82),"")</f>
        <v/>
      </c>
      <c r="G82" s="12" t="str">
        <f aca="false">IFERROR(IF(OR($C82="",$D82=0,$D82=""),"",$F82/$D82),"")</f>
        <v/>
      </c>
      <c r="H82" s="13" t="str">
        <f aca="false">IFERROR(IF($C82="","",$F82*INDEX(المكونات!$C$2:$C$500,MATCH($C82,المكونات!$A$2:$A$500,0))),"")</f>
        <v/>
      </c>
    </row>
    <row r="83" customFormat="false" ht="15" hidden="false" customHeight="true" outlineLevel="0" collapsed="false">
      <c r="A83" s="49"/>
      <c r="B83" s="49"/>
      <c r="C83" s="49"/>
      <c r="D83" s="81"/>
      <c r="E83" s="81"/>
      <c r="F83" s="82" t="str">
        <f aca="false">IFERROR(IF($C83="","",$E83-$D83),"")</f>
        <v/>
      </c>
      <c r="G83" s="12" t="str">
        <f aca="false">IFERROR(IF(OR($C83="",$D83=0,$D83=""),"",$F83/$D83),"")</f>
        <v/>
      </c>
      <c r="H83" s="13" t="str">
        <f aca="false">IFERROR(IF($C83="","",$F83*INDEX(المكونات!$C$2:$C$500,MATCH($C83,المكونات!$A$2:$A$500,0))),"")</f>
        <v/>
      </c>
    </row>
    <row r="84" customFormat="false" ht="15" hidden="false" customHeight="true" outlineLevel="0" collapsed="false">
      <c r="A84" s="49"/>
      <c r="B84" s="49"/>
      <c r="C84" s="49"/>
      <c r="D84" s="81"/>
      <c r="E84" s="81"/>
      <c r="F84" s="82" t="str">
        <f aca="false">IFERROR(IF($C84="","",$E84-$D84),"")</f>
        <v/>
      </c>
      <c r="G84" s="12" t="str">
        <f aca="false">IFERROR(IF(OR($C84="",$D84=0,$D84=""),"",$F84/$D84),"")</f>
        <v/>
      </c>
      <c r="H84" s="13" t="str">
        <f aca="false">IFERROR(IF($C84="","",$F84*INDEX(المكونات!$C$2:$C$500,MATCH($C84,المكونات!$A$2:$A$500,0))),"")</f>
        <v/>
      </c>
    </row>
    <row r="85" customFormat="false" ht="15" hidden="false" customHeight="true" outlineLevel="0" collapsed="false">
      <c r="A85" s="49"/>
      <c r="B85" s="49"/>
      <c r="C85" s="49"/>
      <c r="D85" s="81"/>
      <c r="E85" s="81"/>
      <c r="F85" s="82" t="str">
        <f aca="false">IFERROR(IF($C85="","",$E85-$D85),"")</f>
        <v/>
      </c>
      <c r="G85" s="12" t="str">
        <f aca="false">IFERROR(IF(OR($C85="",$D85=0,$D85=""),"",$F85/$D85),"")</f>
        <v/>
      </c>
      <c r="H85" s="13" t="str">
        <f aca="false">IFERROR(IF($C85="","",$F85*INDEX(المكونات!$C$2:$C$500,MATCH($C85,المكونات!$A$2:$A$500,0))),"")</f>
        <v/>
      </c>
    </row>
    <row r="86" customFormat="false" ht="15" hidden="false" customHeight="true" outlineLevel="0" collapsed="false">
      <c r="A86" s="49"/>
      <c r="B86" s="49"/>
      <c r="C86" s="49"/>
      <c r="D86" s="81"/>
      <c r="E86" s="81"/>
      <c r="F86" s="82" t="str">
        <f aca="false">IFERROR(IF($C86="","",$E86-$D86),"")</f>
        <v/>
      </c>
      <c r="G86" s="12" t="str">
        <f aca="false">IFERROR(IF(OR($C86="",$D86=0,$D86=""),"",$F86/$D86),"")</f>
        <v/>
      </c>
      <c r="H86" s="13" t="str">
        <f aca="false">IFERROR(IF($C86="","",$F86*INDEX(المكونات!$C$2:$C$500,MATCH($C86,المكونات!$A$2:$A$500,0))),"")</f>
        <v/>
      </c>
    </row>
    <row r="87" customFormat="false" ht="15" hidden="false" customHeight="true" outlineLevel="0" collapsed="false">
      <c r="A87" s="49"/>
      <c r="B87" s="49"/>
      <c r="C87" s="49"/>
      <c r="D87" s="81"/>
      <c r="E87" s="81"/>
      <c r="F87" s="82" t="str">
        <f aca="false">IFERROR(IF($C87="","",$E87-$D87),"")</f>
        <v/>
      </c>
      <c r="G87" s="12" t="str">
        <f aca="false">IFERROR(IF(OR($C87="",$D87=0,$D87=""),"",$F87/$D87),"")</f>
        <v/>
      </c>
      <c r="H87" s="13" t="str">
        <f aca="false">IFERROR(IF($C87="","",$F87*INDEX(المكونات!$C$2:$C$500,MATCH($C87,المكونات!$A$2:$A$500,0))),"")</f>
        <v/>
      </c>
    </row>
    <row r="88" customFormat="false" ht="15" hidden="false" customHeight="true" outlineLevel="0" collapsed="false">
      <c r="A88" s="49"/>
      <c r="B88" s="49"/>
      <c r="C88" s="49"/>
      <c r="D88" s="81"/>
      <c r="E88" s="81"/>
      <c r="F88" s="82" t="str">
        <f aca="false">IFERROR(IF($C88="","",$E88-$D88),"")</f>
        <v/>
      </c>
      <c r="G88" s="12" t="str">
        <f aca="false">IFERROR(IF(OR($C88="",$D88=0,$D88=""),"",$F88/$D88),"")</f>
        <v/>
      </c>
      <c r="H88" s="13" t="str">
        <f aca="false">IFERROR(IF($C88="","",$F88*INDEX(المكونات!$C$2:$C$500,MATCH($C88,المكونات!$A$2:$A$500,0))),"")</f>
        <v/>
      </c>
    </row>
    <row r="89" customFormat="false" ht="15" hidden="false" customHeight="true" outlineLevel="0" collapsed="false">
      <c r="A89" s="49"/>
      <c r="B89" s="49"/>
      <c r="C89" s="49"/>
      <c r="D89" s="81"/>
      <c r="E89" s="81"/>
      <c r="F89" s="82" t="str">
        <f aca="false">IFERROR(IF($C89="","",$E89-$D89),"")</f>
        <v/>
      </c>
      <c r="G89" s="12" t="str">
        <f aca="false">IFERROR(IF(OR($C89="",$D89=0,$D89=""),"",$F89/$D89),"")</f>
        <v/>
      </c>
      <c r="H89" s="13" t="str">
        <f aca="false">IFERROR(IF($C89="","",$F89*INDEX(المكونات!$C$2:$C$500,MATCH($C89,المكونات!$A$2:$A$500,0))),"")</f>
        <v/>
      </c>
    </row>
    <row r="90" customFormat="false" ht="15" hidden="false" customHeight="true" outlineLevel="0" collapsed="false">
      <c r="A90" s="49"/>
      <c r="B90" s="49"/>
      <c r="C90" s="49"/>
      <c r="D90" s="81"/>
      <c r="E90" s="81"/>
      <c r="F90" s="82" t="str">
        <f aca="false">IFERROR(IF($C90="","",$E90-$D90),"")</f>
        <v/>
      </c>
      <c r="G90" s="12" t="str">
        <f aca="false">IFERROR(IF(OR($C90="",$D90=0,$D90=""),"",$F90/$D90),"")</f>
        <v/>
      </c>
      <c r="H90" s="13" t="str">
        <f aca="false">IFERROR(IF($C90="","",$F90*INDEX(المكونات!$C$2:$C$500,MATCH($C90,المكونات!$A$2:$A$500,0))),"")</f>
        <v/>
      </c>
    </row>
    <row r="91" customFormat="false" ht="15" hidden="false" customHeight="true" outlineLevel="0" collapsed="false">
      <c r="A91" s="49"/>
      <c r="B91" s="49"/>
      <c r="C91" s="49"/>
      <c r="D91" s="81"/>
      <c r="E91" s="81"/>
      <c r="F91" s="82" t="str">
        <f aca="false">IFERROR(IF($C91="","",$E91-$D91),"")</f>
        <v/>
      </c>
      <c r="G91" s="12" t="str">
        <f aca="false">IFERROR(IF(OR($C91="",$D91=0,$D91=""),"",$F91/$D91),"")</f>
        <v/>
      </c>
      <c r="H91" s="13" t="str">
        <f aca="false">IFERROR(IF($C91="","",$F91*INDEX(المكونات!$C$2:$C$500,MATCH($C91,المكونات!$A$2:$A$500,0))),"")</f>
        <v/>
      </c>
    </row>
    <row r="92" customFormat="false" ht="15" hidden="false" customHeight="true" outlineLevel="0" collapsed="false">
      <c r="A92" s="49"/>
      <c r="B92" s="49"/>
      <c r="C92" s="49"/>
      <c r="D92" s="81"/>
      <c r="E92" s="81"/>
      <c r="F92" s="82" t="str">
        <f aca="false">IFERROR(IF($C92="","",$E92-$D92),"")</f>
        <v/>
      </c>
      <c r="G92" s="12" t="str">
        <f aca="false">IFERROR(IF(OR($C92="",$D92=0,$D92=""),"",$F92/$D92),"")</f>
        <v/>
      </c>
      <c r="H92" s="13" t="str">
        <f aca="false">IFERROR(IF($C92="","",$F92*INDEX(المكونات!$C$2:$C$500,MATCH($C92,المكونات!$A$2:$A$500,0))),"")</f>
        <v/>
      </c>
    </row>
    <row r="93" customFormat="false" ht="15" hidden="false" customHeight="true" outlineLevel="0" collapsed="false">
      <c r="A93" s="49"/>
      <c r="B93" s="49"/>
      <c r="C93" s="49"/>
      <c r="D93" s="81"/>
      <c r="E93" s="81"/>
      <c r="F93" s="82" t="str">
        <f aca="false">IFERROR(IF($C93="","",$E93-$D93),"")</f>
        <v/>
      </c>
      <c r="G93" s="12" t="str">
        <f aca="false">IFERROR(IF(OR($C93="",$D93=0,$D93=""),"",$F93/$D93),"")</f>
        <v/>
      </c>
      <c r="H93" s="13" t="str">
        <f aca="false">IFERROR(IF($C93="","",$F93*INDEX(المكونات!$C$2:$C$500,MATCH($C93,المكونات!$A$2:$A$500,0))),"")</f>
        <v/>
      </c>
    </row>
    <row r="94" customFormat="false" ht="15" hidden="false" customHeight="true" outlineLevel="0" collapsed="false">
      <c r="A94" s="49"/>
      <c r="B94" s="49"/>
      <c r="C94" s="49"/>
      <c r="D94" s="81"/>
      <c r="E94" s="81"/>
      <c r="F94" s="82" t="str">
        <f aca="false">IFERROR(IF($C94="","",$E94-$D94),"")</f>
        <v/>
      </c>
      <c r="G94" s="12" t="str">
        <f aca="false">IFERROR(IF(OR($C94="",$D94=0,$D94=""),"",$F94/$D94),"")</f>
        <v/>
      </c>
      <c r="H94" s="13" t="str">
        <f aca="false">IFERROR(IF($C94="","",$F94*INDEX(المكونات!$C$2:$C$500,MATCH($C94,المكونات!$A$2:$A$500,0))),"")</f>
        <v/>
      </c>
    </row>
    <row r="95" customFormat="false" ht="15" hidden="false" customHeight="true" outlineLevel="0" collapsed="false">
      <c r="A95" s="49"/>
      <c r="B95" s="49"/>
      <c r="C95" s="49"/>
      <c r="D95" s="81"/>
      <c r="E95" s="81"/>
      <c r="F95" s="82" t="str">
        <f aca="false">IFERROR(IF($C95="","",$E95-$D95),"")</f>
        <v/>
      </c>
      <c r="G95" s="12" t="str">
        <f aca="false">IFERROR(IF(OR($C95="",$D95=0,$D95=""),"",$F95/$D95),"")</f>
        <v/>
      </c>
      <c r="H95" s="13" t="str">
        <f aca="false">IFERROR(IF($C95="","",$F95*INDEX(المكونات!$C$2:$C$500,MATCH($C95,المكونات!$A$2:$A$500,0))),"")</f>
        <v/>
      </c>
    </row>
    <row r="96" customFormat="false" ht="15" hidden="false" customHeight="true" outlineLevel="0" collapsed="false">
      <c r="A96" s="49"/>
      <c r="B96" s="49"/>
      <c r="C96" s="49"/>
      <c r="D96" s="81"/>
      <c r="E96" s="81"/>
      <c r="F96" s="82" t="str">
        <f aca="false">IFERROR(IF($C96="","",$E96-$D96),"")</f>
        <v/>
      </c>
      <c r="G96" s="12" t="str">
        <f aca="false">IFERROR(IF(OR($C96="",$D96=0,$D96=""),"",$F96/$D96),"")</f>
        <v/>
      </c>
      <c r="H96" s="13" t="str">
        <f aca="false">IFERROR(IF($C96="","",$F96*INDEX(المكونات!$C$2:$C$500,MATCH($C96,المكونات!$A$2:$A$500,0))),"")</f>
        <v/>
      </c>
    </row>
    <row r="97" customFormat="false" ht="15" hidden="false" customHeight="true" outlineLevel="0" collapsed="false">
      <c r="A97" s="49"/>
      <c r="B97" s="49"/>
      <c r="C97" s="49"/>
      <c r="D97" s="81"/>
      <c r="E97" s="81"/>
      <c r="F97" s="82" t="str">
        <f aca="false">IFERROR(IF($C97="","",$E97-$D97),"")</f>
        <v/>
      </c>
      <c r="G97" s="12" t="str">
        <f aca="false">IFERROR(IF(OR($C97="",$D97=0,$D97=""),"",$F97/$D97),"")</f>
        <v/>
      </c>
      <c r="H97" s="13" t="str">
        <f aca="false">IFERROR(IF($C97="","",$F97*INDEX(المكونات!$C$2:$C$500,MATCH($C97,المكونات!$A$2:$A$500,0))),"")</f>
        <v/>
      </c>
    </row>
    <row r="98" customFormat="false" ht="15" hidden="false" customHeight="true" outlineLevel="0" collapsed="false">
      <c r="A98" s="49"/>
      <c r="B98" s="49"/>
      <c r="C98" s="49"/>
      <c r="D98" s="81"/>
      <c r="E98" s="81"/>
      <c r="F98" s="82" t="str">
        <f aca="false">IFERROR(IF($C98="","",$E98-$D98),"")</f>
        <v/>
      </c>
      <c r="G98" s="12" t="str">
        <f aca="false">IFERROR(IF(OR($C98="",$D98=0,$D98=""),"",$F98/$D98),"")</f>
        <v/>
      </c>
      <c r="H98" s="13" t="str">
        <f aca="false">IFERROR(IF($C98="","",$F98*INDEX(المكونات!$C$2:$C$500,MATCH($C98,المكونات!$A$2:$A$500,0))),"")</f>
        <v/>
      </c>
    </row>
    <row r="99" customFormat="false" ht="15" hidden="false" customHeight="true" outlineLevel="0" collapsed="false">
      <c r="A99" s="49"/>
      <c r="B99" s="49"/>
      <c r="C99" s="49"/>
      <c r="D99" s="81"/>
      <c r="E99" s="81"/>
      <c r="F99" s="82" t="str">
        <f aca="false">IFERROR(IF($C99="","",$E99-$D99),"")</f>
        <v/>
      </c>
      <c r="G99" s="12" t="str">
        <f aca="false">IFERROR(IF(OR($C99="",$D99=0,$D99=""),"",$F99/$D99),"")</f>
        <v/>
      </c>
      <c r="H99" s="13" t="str">
        <f aca="false">IFERROR(IF($C99="","",$F99*INDEX(المكونات!$C$2:$C$500,MATCH($C99,المكونات!$A$2:$A$500,0))),"")</f>
        <v/>
      </c>
    </row>
    <row r="100" customFormat="false" ht="15" hidden="false" customHeight="true" outlineLevel="0" collapsed="false">
      <c r="A100" s="49"/>
      <c r="B100" s="49"/>
      <c r="C100" s="49"/>
      <c r="D100" s="81"/>
      <c r="E100" s="81"/>
      <c r="F100" s="82" t="str">
        <f aca="false">IFERROR(IF($C100="","",$E100-$D100),"")</f>
        <v/>
      </c>
      <c r="G100" s="12" t="str">
        <f aca="false">IFERROR(IF(OR($C100="",$D100=0,$D100=""),"",$F100/$D100),"")</f>
        <v/>
      </c>
      <c r="H100" s="13" t="str">
        <f aca="false">IFERROR(IF($C100="","",$F100*INDEX(المكونات!$C$2:$C$500,MATCH($C100,المكونات!$A$2:$A$500,0))),"")</f>
        <v/>
      </c>
    </row>
    <row r="101" customFormat="false" ht="15" hidden="false" customHeight="true" outlineLevel="0" collapsed="false">
      <c r="A101" s="49"/>
      <c r="B101" s="49"/>
      <c r="C101" s="49"/>
      <c r="D101" s="81"/>
      <c r="E101" s="81"/>
      <c r="F101" s="82" t="str">
        <f aca="false">IFERROR(IF($C101="","",$E101-$D101),"")</f>
        <v/>
      </c>
      <c r="G101" s="12" t="str">
        <f aca="false">IFERROR(IF(OR($C101="",$D101=0,$D101=""),"",$F101/$D101),"")</f>
        <v/>
      </c>
      <c r="H101" s="13" t="str">
        <f aca="false">IFERROR(IF($C101="","",$F101*INDEX(المكونات!$C$2:$C$500,MATCH($C101,المكونات!$A$2:$A$500,0))),"")</f>
        <v/>
      </c>
    </row>
    <row r="102" customFormat="false" ht="15" hidden="false" customHeight="true" outlineLevel="0" collapsed="false">
      <c r="A102" s="49"/>
      <c r="B102" s="49"/>
      <c r="C102" s="49"/>
      <c r="D102" s="81"/>
      <c r="E102" s="81"/>
      <c r="F102" s="82" t="str">
        <f aca="false">IFERROR(IF($C102="","",$E102-$D102),"")</f>
        <v/>
      </c>
      <c r="G102" s="12" t="str">
        <f aca="false">IFERROR(IF(OR($C102="",$D102=0,$D102=""),"",$F102/$D102),"")</f>
        <v/>
      </c>
      <c r="H102" s="13" t="str">
        <f aca="false">IFERROR(IF($C102="","",$F102*INDEX(المكونات!$C$2:$C$500,MATCH($C102,المكونات!$A$2:$A$500,0))),"")</f>
        <v/>
      </c>
    </row>
    <row r="103" customFormat="false" ht="15" hidden="false" customHeight="true" outlineLevel="0" collapsed="false">
      <c r="A103" s="49"/>
      <c r="B103" s="49"/>
      <c r="C103" s="49"/>
      <c r="D103" s="81"/>
      <c r="E103" s="81"/>
      <c r="F103" s="82" t="str">
        <f aca="false">IFERROR(IF($C103="","",$E103-$D103),"")</f>
        <v/>
      </c>
      <c r="G103" s="12" t="str">
        <f aca="false">IFERROR(IF(OR($C103="",$D103=0,$D103=""),"",$F103/$D103),"")</f>
        <v/>
      </c>
      <c r="H103" s="13" t="str">
        <f aca="false">IFERROR(IF($C103="","",$F103*INDEX(المكونات!$C$2:$C$500,MATCH($C103,المكونات!$A$2:$A$500,0))),"")</f>
        <v/>
      </c>
    </row>
    <row r="104" customFormat="false" ht="15" hidden="false" customHeight="true" outlineLevel="0" collapsed="false">
      <c r="A104" s="49"/>
      <c r="B104" s="49"/>
      <c r="C104" s="49"/>
      <c r="D104" s="81"/>
      <c r="E104" s="81"/>
      <c r="F104" s="82" t="str">
        <f aca="false">IFERROR(IF($C104="","",$E104-$D104),"")</f>
        <v/>
      </c>
      <c r="G104" s="12" t="str">
        <f aca="false">IFERROR(IF(OR($C104="",$D104=0,$D104=""),"",$F104/$D104),"")</f>
        <v/>
      </c>
      <c r="H104" s="13" t="str">
        <f aca="false">IFERROR(IF($C104="","",$F104*INDEX(المكونات!$C$2:$C$500,MATCH($C104,المكونات!$A$2:$A$500,0))),"")</f>
        <v/>
      </c>
    </row>
    <row r="105" customFormat="false" ht="15" hidden="false" customHeight="true" outlineLevel="0" collapsed="false">
      <c r="A105" s="49"/>
      <c r="B105" s="49"/>
      <c r="C105" s="49"/>
      <c r="D105" s="81"/>
      <c r="E105" s="81"/>
      <c r="F105" s="82" t="str">
        <f aca="false">IFERROR(IF($C105="","",$E105-$D105),"")</f>
        <v/>
      </c>
      <c r="G105" s="12" t="str">
        <f aca="false">IFERROR(IF(OR($C105="",$D105=0,$D105=""),"",$F105/$D105),"")</f>
        <v/>
      </c>
      <c r="H105" s="13" t="str">
        <f aca="false">IFERROR(IF($C105="","",$F105*INDEX(المكونات!$C$2:$C$500,MATCH($C105,المكونات!$A$2:$A$500,0))),"")</f>
        <v/>
      </c>
    </row>
    <row r="106" customFormat="false" ht="15" hidden="false" customHeight="true" outlineLevel="0" collapsed="false">
      <c r="A106" s="49"/>
      <c r="B106" s="49"/>
      <c r="C106" s="49"/>
      <c r="D106" s="81"/>
      <c r="E106" s="81"/>
      <c r="F106" s="82" t="str">
        <f aca="false">IFERROR(IF($C106="","",$E106-$D106),"")</f>
        <v/>
      </c>
      <c r="G106" s="12" t="str">
        <f aca="false">IFERROR(IF(OR($C106="",$D106=0,$D106=""),"",$F106/$D106),"")</f>
        <v/>
      </c>
      <c r="H106" s="13" t="str">
        <f aca="false">IFERROR(IF($C106="","",$F106*INDEX(المكونات!$C$2:$C$500,MATCH($C106,المكونات!$A$2:$A$500,0))),"")</f>
        <v/>
      </c>
    </row>
    <row r="107" customFormat="false" ht="15" hidden="false" customHeight="true" outlineLevel="0" collapsed="false">
      <c r="A107" s="49"/>
      <c r="B107" s="49"/>
      <c r="C107" s="49"/>
      <c r="D107" s="81"/>
      <c r="E107" s="81"/>
      <c r="F107" s="82" t="str">
        <f aca="false">IFERROR(IF($C107="","",$E107-$D107),"")</f>
        <v/>
      </c>
      <c r="G107" s="12" t="str">
        <f aca="false">IFERROR(IF(OR($C107="",$D107=0,$D107=""),"",$F107/$D107),"")</f>
        <v/>
      </c>
      <c r="H107" s="13" t="str">
        <f aca="false">IFERROR(IF($C107="","",$F107*INDEX(المكونات!$C$2:$C$500,MATCH($C107,المكونات!$A$2:$A$500,0))),"")</f>
        <v/>
      </c>
    </row>
    <row r="108" customFormat="false" ht="15" hidden="false" customHeight="true" outlineLevel="0" collapsed="false">
      <c r="A108" s="49"/>
      <c r="B108" s="49"/>
      <c r="C108" s="49"/>
      <c r="D108" s="81"/>
      <c r="E108" s="81"/>
      <c r="F108" s="82" t="str">
        <f aca="false">IFERROR(IF($C108="","",$E108-$D108),"")</f>
        <v/>
      </c>
      <c r="G108" s="12" t="str">
        <f aca="false">IFERROR(IF(OR($C108="",$D108=0,$D108=""),"",$F108/$D108),"")</f>
        <v/>
      </c>
      <c r="H108" s="13" t="str">
        <f aca="false">IFERROR(IF($C108="","",$F108*INDEX(المكونات!$C$2:$C$500,MATCH($C108,المكونات!$A$2:$A$500,0))),"")</f>
        <v/>
      </c>
    </row>
    <row r="109" customFormat="false" ht="15" hidden="false" customHeight="true" outlineLevel="0" collapsed="false">
      <c r="A109" s="49"/>
      <c r="B109" s="49"/>
      <c r="C109" s="49"/>
      <c r="D109" s="81"/>
      <c r="E109" s="81"/>
      <c r="F109" s="82" t="str">
        <f aca="false">IFERROR(IF($C109="","",$E109-$D109),"")</f>
        <v/>
      </c>
      <c r="G109" s="12" t="str">
        <f aca="false">IFERROR(IF(OR($C109="",$D109=0,$D109=""),"",$F109/$D109),"")</f>
        <v/>
      </c>
      <c r="H109" s="13" t="str">
        <f aca="false">IFERROR(IF($C109="","",$F109*INDEX(المكونات!$C$2:$C$500,MATCH($C109,المكونات!$A$2:$A$500,0))),"")</f>
        <v/>
      </c>
    </row>
    <row r="110" customFormat="false" ht="15" hidden="false" customHeight="true" outlineLevel="0" collapsed="false">
      <c r="A110" s="49"/>
      <c r="B110" s="49"/>
      <c r="C110" s="49"/>
      <c r="D110" s="81"/>
      <c r="E110" s="81"/>
      <c r="F110" s="82" t="str">
        <f aca="false">IFERROR(IF($C110="","",$E110-$D110),"")</f>
        <v/>
      </c>
      <c r="G110" s="12" t="str">
        <f aca="false">IFERROR(IF(OR($C110="",$D110=0,$D110=""),"",$F110/$D110),"")</f>
        <v/>
      </c>
      <c r="H110" s="13" t="str">
        <f aca="false">IFERROR(IF($C110="","",$F110*INDEX(المكونات!$C$2:$C$500,MATCH($C110,المكونات!$A$2:$A$500,0))),"")</f>
        <v/>
      </c>
    </row>
    <row r="111" customFormat="false" ht="15" hidden="false" customHeight="true" outlineLevel="0" collapsed="false">
      <c r="A111" s="49"/>
      <c r="B111" s="49"/>
      <c r="C111" s="49"/>
      <c r="D111" s="81"/>
      <c r="E111" s="81"/>
      <c r="F111" s="82" t="str">
        <f aca="false">IFERROR(IF($C111="","",$E111-$D111),"")</f>
        <v/>
      </c>
      <c r="G111" s="12" t="str">
        <f aca="false">IFERROR(IF(OR($C111="",$D111=0,$D111=""),"",$F111/$D111),"")</f>
        <v/>
      </c>
      <c r="H111" s="13" t="str">
        <f aca="false">IFERROR(IF($C111="","",$F111*INDEX(المكونات!$C$2:$C$500,MATCH($C111,المكونات!$A$2:$A$500,0))),"")</f>
        <v/>
      </c>
    </row>
    <row r="112" customFormat="false" ht="15" hidden="false" customHeight="true" outlineLevel="0" collapsed="false">
      <c r="A112" s="49"/>
      <c r="B112" s="49"/>
      <c r="C112" s="49"/>
      <c r="D112" s="81"/>
      <c r="E112" s="81"/>
      <c r="F112" s="82" t="str">
        <f aca="false">IFERROR(IF($C112="","",$E112-$D112),"")</f>
        <v/>
      </c>
      <c r="G112" s="12" t="str">
        <f aca="false">IFERROR(IF(OR($C112="",$D112=0,$D112=""),"",$F112/$D112),"")</f>
        <v/>
      </c>
      <c r="H112" s="13" t="str">
        <f aca="false">IFERROR(IF($C112="","",$F112*INDEX(المكونات!$C$2:$C$500,MATCH($C112,المكونات!$A$2:$A$500,0))),"")</f>
        <v/>
      </c>
    </row>
    <row r="113" customFormat="false" ht="15" hidden="false" customHeight="true" outlineLevel="0" collapsed="false">
      <c r="A113" s="49"/>
      <c r="B113" s="49"/>
      <c r="C113" s="49"/>
      <c r="D113" s="81"/>
      <c r="E113" s="81"/>
      <c r="F113" s="82" t="str">
        <f aca="false">IFERROR(IF($C113="","",$E113-$D113),"")</f>
        <v/>
      </c>
      <c r="G113" s="12" t="str">
        <f aca="false">IFERROR(IF(OR($C113="",$D113=0,$D113=""),"",$F113/$D113),"")</f>
        <v/>
      </c>
      <c r="H113" s="13" t="str">
        <f aca="false">IFERROR(IF($C113="","",$F113*INDEX(المكونات!$C$2:$C$500,MATCH($C113,المكونات!$A$2:$A$500,0))),"")</f>
        <v/>
      </c>
    </row>
    <row r="114" customFormat="false" ht="15" hidden="false" customHeight="true" outlineLevel="0" collapsed="false">
      <c r="A114" s="49"/>
      <c r="B114" s="49"/>
      <c r="C114" s="49"/>
      <c r="D114" s="81"/>
      <c r="E114" s="81"/>
      <c r="F114" s="82" t="str">
        <f aca="false">IFERROR(IF($C114="","",$E114-$D114),"")</f>
        <v/>
      </c>
      <c r="G114" s="12" t="str">
        <f aca="false">IFERROR(IF(OR($C114="",$D114=0,$D114=""),"",$F114/$D114),"")</f>
        <v/>
      </c>
      <c r="H114" s="13" t="str">
        <f aca="false">IFERROR(IF($C114="","",$F114*INDEX(المكونات!$C$2:$C$500,MATCH($C114,المكونات!$A$2:$A$500,0))),"")</f>
        <v/>
      </c>
    </row>
    <row r="115" customFormat="false" ht="15" hidden="false" customHeight="true" outlineLevel="0" collapsed="false">
      <c r="A115" s="49"/>
      <c r="B115" s="49"/>
      <c r="C115" s="49"/>
      <c r="D115" s="81"/>
      <c r="E115" s="81"/>
      <c r="F115" s="82" t="str">
        <f aca="false">IFERROR(IF($C115="","",$E115-$D115),"")</f>
        <v/>
      </c>
      <c r="G115" s="12" t="str">
        <f aca="false">IFERROR(IF(OR($C115="",$D115=0,$D115=""),"",$F115/$D115),"")</f>
        <v/>
      </c>
      <c r="H115" s="13" t="str">
        <f aca="false">IFERROR(IF($C115="","",$F115*INDEX(المكونات!$C$2:$C$500,MATCH($C115,المكونات!$A$2:$A$500,0))),"")</f>
        <v/>
      </c>
    </row>
    <row r="116" customFormat="false" ht="15" hidden="false" customHeight="true" outlineLevel="0" collapsed="false">
      <c r="A116" s="49"/>
      <c r="B116" s="49"/>
      <c r="C116" s="49"/>
      <c r="D116" s="81"/>
      <c r="E116" s="81"/>
      <c r="F116" s="82" t="str">
        <f aca="false">IFERROR(IF($C116="","",$E116-$D116),"")</f>
        <v/>
      </c>
      <c r="G116" s="12" t="str">
        <f aca="false">IFERROR(IF(OR($C116="",$D116=0,$D116=""),"",$F116/$D116),"")</f>
        <v/>
      </c>
      <c r="H116" s="13" t="str">
        <f aca="false">IFERROR(IF($C116="","",$F116*INDEX(المكونات!$C$2:$C$500,MATCH($C116,المكونات!$A$2:$A$500,0))),"")</f>
        <v/>
      </c>
    </row>
    <row r="117" customFormat="false" ht="15" hidden="false" customHeight="true" outlineLevel="0" collapsed="false">
      <c r="A117" s="49"/>
      <c r="B117" s="49"/>
      <c r="C117" s="49"/>
      <c r="D117" s="81"/>
      <c r="E117" s="81"/>
      <c r="F117" s="82" t="str">
        <f aca="false">IFERROR(IF($C117="","",$E117-$D117),"")</f>
        <v/>
      </c>
      <c r="G117" s="12" t="str">
        <f aca="false">IFERROR(IF(OR($C117="",$D117=0,$D117=""),"",$F117/$D117),"")</f>
        <v/>
      </c>
      <c r="H117" s="13" t="str">
        <f aca="false">IFERROR(IF($C117="","",$F117*INDEX(المكونات!$C$2:$C$500,MATCH($C117,المكونات!$A$2:$A$500,0))),"")</f>
        <v/>
      </c>
    </row>
    <row r="118" customFormat="false" ht="15" hidden="false" customHeight="true" outlineLevel="0" collapsed="false">
      <c r="A118" s="49"/>
      <c r="B118" s="49"/>
      <c r="C118" s="49"/>
      <c r="D118" s="81"/>
      <c r="E118" s="81"/>
      <c r="F118" s="82" t="str">
        <f aca="false">IFERROR(IF($C118="","",$E118-$D118),"")</f>
        <v/>
      </c>
      <c r="G118" s="12" t="str">
        <f aca="false">IFERROR(IF(OR($C118="",$D118=0,$D118=""),"",$F118/$D118),"")</f>
        <v/>
      </c>
      <c r="H118" s="13" t="str">
        <f aca="false">IFERROR(IF($C118="","",$F118*INDEX(المكونات!$C$2:$C$500,MATCH($C118,المكونات!$A$2:$A$500,0))),"")</f>
        <v/>
      </c>
    </row>
    <row r="119" customFormat="false" ht="15" hidden="false" customHeight="true" outlineLevel="0" collapsed="false">
      <c r="A119" s="49"/>
      <c r="B119" s="49"/>
      <c r="C119" s="49"/>
      <c r="D119" s="81"/>
      <c r="E119" s="81"/>
      <c r="F119" s="82" t="str">
        <f aca="false">IFERROR(IF($C119="","",$E119-$D119),"")</f>
        <v/>
      </c>
      <c r="G119" s="12" t="str">
        <f aca="false">IFERROR(IF(OR($C119="",$D119=0,$D119=""),"",$F119/$D119),"")</f>
        <v/>
      </c>
      <c r="H119" s="13" t="str">
        <f aca="false">IFERROR(IF($C119="","",$F119*INDEX(المكونات!$C$2:$C$500,MATCH($C119,المكونات!$A$2:$A$500,0))),"")</f>
        <v/>
      </c>
    </row>
    <row r="120" customFormat="false" ht="15" hidden="false" customHeight="true" outlineLevel="0" collapsed="false">
      <c r="A120" s="49"/>
      <c r="B120" s="49"/>
      <c r="C120" s="49"/>
      <c r="D120" s="81"/>
      <c r="E120" s="81"/>
      <c r="F120" s="82" t="str">
        <f aca="false">IFERROR(IF($C120="","",$E120-$D120),"")</f>
        <v/>
      </c>
      <c r="G120" s="12" t="str">
        <f aca="false">IFERROR(IF(OR($C120="",$D120=0,$D120=""),"",$F120/$D120),"")</f>
        <v/>
      </c>
      <c r="H120" s="13" t="str">
        <f aca="false">IFERROR(IF($C120="","",$F120*INDEX(المكونات!$C$2:$C$500,MATCH($C120,المكونات!$A$2:$A$500,0))),"")</f>
        <v/>
      </c>
    </row>
    <row r="121" customFormat="false" ht="15" hidden="false" customHeight="true" outlineLevel="0" collapsed="false">
      <c r="A121" s="49"/>
      <c r="B121" s="49"/>
      <c r="C121" s="49"/>
      <c r="D121" s="81"/>
      <c r="E121" s="81"/>
      <c r="F121" s="82" t="str">
        <f aca="false">IFERROR(IF($C121="","",$E121-$D121),"")</f>
        <v/>
      </c>
      <c r="G121" s="12" t="str">
        <f aca="false">IFERROR(IF(OR($C121="",$D121=0,$D121=""),"",$F121/$D121),"")</f>
        <v/>
      </c>
      <c r="H121" s="13" t="str">
        <f aca="false">IFERROR(IF($C121="","",$F121*INDEX(المكونات!$C$2:$C$500,MATCH($C121,المكونات!$A$2:$A$500,0))),"")</f>
        <v/>
      </c>
    </row>
    <row r="122" customFormat="false" ht="15" hidden="false" customHeight="true" outlineLevel="0" collapsed="false">
      <c r="A122" s="49"/>
      <c r="B122" s="49"/>
      <c r="C122" s="49"/>
      <c r="D122" s="81"/>
      <c r="E122" s="81"/>
      <c r="F122" s="82" t="str">
        <f aca="false">IFERROR(IF($C122="","",$E122-$D122),"")</f>
        <v/>
      </c>
      <c r="G122" s="12" t="str">
        <f aca="false">IFERROR(IF(OR($C122="",$D122=0,$D122=""),"",$F122/$D122),"")</f>
        <v/>
      </c>
      <c r="H122" s="13" t="str">
        <f aca="false">IFERROR(IF($C122="","",$F122*INDEX(المكونات!$C$2:$C$500,MATCH($C122,المكونات!$A$2:$A$500,0))),"")</f>
        <v/>
      </c>
    </row>
    <row r="123" customFormat="false" ht="15" hidden="false" customHeight="true" outlineLevel="0" collapsed="false">
      <c r="A123" s="49"/>
      <c r="B123" s="49"/>
      <c r="C123" s="49"/>
      <c r="D123" s="81"/>
      <c r="E123" s="81"/>
      <c r="F123" s="82" t="str">
        <f aca="false">IFERROR(IF($C123="","",$E123-$D123),"")</f>
        <v/>
      </c>
      <c r="G123" s="12" t="str">
        <f aca="false">IFERROR(IF(OR($C123="",$D123=0,$D123=""),"",$F123/$D123),"")</f>
        <v/>
      </c>
      <c r="H123" s="13" t="str">
        <f aca="false">IFERROR(IF($C123="","",$F123*INDEX(المكونات!$C$2:$C$500,MATCH($C123,المكونات!$A$2:$A$500,0))),"")</f>
        <v/>
      </c>
    </row>
    <row r="124" customFormat="false" ht="15" hidden="false" customHeight="true" outlineLevel="0" collapsed="false">
      <c r="A124" s="49"/>
      <c r="B124" s="49"/>
      <c r="C124" s="49"/>
      <c r="D124" s="81"/>
      <c r="E124" s="81"/>
      <c r="F124" s="82" t="str">
        <f aca="false">IFERROR(IF($C124="","",$E124-$D124),"")</f>
        <v/>
      </c>
      <c r="G124" s="12" t="str">
        <f aca="false">IFERROR(IF(OR($C124="",$D124=0,$D124=""),"",$F124/$D124),"")</f>
        <v/>
      </c>
      <c r="H124" s="13" t="str">
        <f aca="false">IFERROR(IF($C124="","",$F124*INDEX(المكونات!$C$2:$C$500,MATCH($C124,المكونات!$A$2:$A$500,0))),"")</f>
        <v/>
      </c>
    </row>
    <row r="125" customFormat="false" ht="15" hidden="false" customHeight="true" outlineLevel="0" collapsed="false">
      <c r="A125" s="49"/>
      <c r="B125" s="49"/>
      <c r="C125" s="49"/>
      <c r="D125" s="81"/>
      <c r="E125" s="81"/>
      <c r="F125" s="82" t="str">
        <f aca="false">IFERROR(IF($C125="","",$E125-$D125),"")</f>
        <v/>
      </c>
      <c r="G125" s="12" t="str">
        <f aca="false">IFERROR(IF(OR($C125="",$D125=0,$D125=""),"",$F125/$D125),"")</f>
        <v/>
      </c>
      <c r="H125" s="13" t="str">
        <f aca="false">IFERROR(IF($C125="","",$F125*INDEX(المكونات!$C$2:$C$500,MATCH($C125,المكونات!$A$2:$A$500,0))),"")</f>
        <v/>
      </c>
    </row>
    <row r="126" customFormat="false" ht="15" hidden="false" customHeight="true" outlineLevel="0" collapsed="false">
      <c r="A126" s="49"/>
      <c r="B126" s="49"/>
      <c r="C126" s="49"/>
      <c r="D126" s="81"/>
      <c r="E126" s="81"/>
      <c r="F126" s="82" t="str">
        <f aca="false">IFERROR(IF($C126="","",$E126-$D126),"")</f>
        <v/>
      </c>
      <c r="G126" s="12" t="str">
        <f aca="false">IFERROR(IF(OR($C126="",$D126=0,$D126=""),"",$F126/$D126),"")</f>
        <v/>
      </c>
      <c r="H126" s="13" t="str">
        <f aca="false">IFERROR(IF($C126="","",$F126*INDEX(المكونات!$C$2:$C$500,MATCH($C126,المكونات!$A$2:$A$500,0))),"")</f>
        <v/>
      </c>
    </row>
    <row r="127" customFormat="false" ht="15" hidden="false" customHeight="true" outlineLevel="0" collapsed="false">
      <c r="A127" s="49"/>
      <c r="B127" s="49"/>
      <c r="C127" s="49"/>
      <c r="D127" s="81"/>
      <c r="E127" s="81"/>
      <c r="F127" s="82" t="str">
        <f aca="false">IFERROR(IF($C127="","",$E127-$D127),"")</f>
        <v/>
      </c>
      <c r="G127" s="12" t="str">
        <f aca="false">IFERROR(IF(OR($C127="",$D127=0,$D127=""),"",$F127/$D127),"")</f>
        <v/>
      </c>
      <c r="H127" s="13" t="str">
        <f aca="false">IFERROR(IF($C127="","",$F127*INDEX(المكونات!$C$2:$C$500,MATCH($C127,المكونات!$A$2:$A$500,0))),"")</f>
        <v/>
      </c>
    </row>
    <row r="128" customFormat="false" ht="15" hidden="false" customHeight="true" outlineLevel="0" collapsed="false">
      <c r="A128" s="49"/>
      <c r="B128" s="49"/>
      <c r="C128" s="49"/>
      <c r="D128" s="81"/>
      <c r="E128" s="81"/>
      <c r="F128" s="82" t="str">
        <f aca="false">IFERROR(IF($C128="","",$E128-$D128),"")</f>
        <v/>
      </c>
      <c r="G128" s="12" t="str">
        <f aca="false">IFERROR(IF(OR($C128="",$D128=0,$D128=""),"",$F128/$D128),"")</f>
        <v/>
      </c>
      <c r="H128" s="13" t="str">
        <f aca="false">IFERROR(IF($C128="","",$F128*INDEX(المكونات!$C$2:$C$500,MATCH($C128,المكونات!$A$2:$A$500,0))),"")</f>
        <v/>
      </c>
    </row>
    <row r="129" customFormat="false" ht="15" hidden="false" customHeight="true" outlineLevel="0" collapsed="false">
      <c r="A129" s="49"/>
      <c r="B129" s="49"/>
      <c r="C129" s="49"/>
      <c r="D129" s="81"/>
      <c r="E129" s="81"/>
      <c r="F129" s="82" t="str">
        <f aca="false">IFERROR(IF($C129="","",$E129-$D129),"")</f>
        <v/>
      </c>
      <c r="G129" s="12" t="str">
        <f aca="false">IFERROR(IF(OR($C129="",$D129=0,$D129=""),"",$F129/$D129),"")</f>
        <v/>
      </c>
      <c r="H129" s="13" t="str">
        <f aca="false">IFERROR(IF($C129="","",$F129*INDEX(المكونات!$C$2:$C$500,MATCH($C129,المكونات!$A$2:$A$500,0))),"")</f>
        <v/>
      </c>
    </row>
    <row r="130" customFormat="false" ht="15" hidden="false" customHeight="true" outlineLevel="0" collapsed="false">
      <c r="A130" s="49"/>
      <c r="B130" s="49"/>
      <c r="C130" s="49"/>
      <c r="D130" s="81"/>
      <c r="E130" s="81"/>
      <c r="F130" s="82" t="str">
        <f aca="false">IFERROR(IF($C130="","",$E130-$D130),"")</f>
        <v/>
      </c>
      <c r="G130" s="12" t="str">
        <f aca="false">IFERROR(IF(OR($C130="",$D130=0,$D130=""),"",$F130/$D130),"")</f>
        <v/>
      </c>
      <c r="H130" s="13" t="str">
        <f aca="false">IFERROR(IF($C130="","",$F130*INDEX(المكونات!$C$2:$C$500,MATCH($C130,المكونات!$A$2:$A$500,0))),"")</f>
        <v/>
      </c>
    </row>
    <row r="131" customFormat="false" ht="15" hidden="false" customHeight="true" outlineLevel="0" collapsed="false">
      <c r="A131" s="49"/>
      <c r="B131" s="49"/>
      <c r="C131" s="49"/>
      <c r="D131" s="81"/>
      <c r="E131" s="81"/>
      <c r="F131" s="82" t="str">
        <f aca="false">IFERROR(IF($C131="","",$E131-$D131),"")</f>
        <v/>
      </c>
      <c r="G131" s="12" t="str">
        <f aca="false">IFERROR(IF(OR($C131="",$D131=0,$D131=""),"",$F131/$D131),"")</f>
        <v/>
      </c>
      <c r="H131" s="13" t="str">
        <f aca="false">IFERROR(IF($C131="","",$F131*INDEX(المكونات!$C$2:$C$500,MATCH($C131,المكونات!$A$2:$A$500,0))),"")</f>
        <v/>
      </c>
    </row>
    <row r="132" customFormat="false" ht="15" hidden="false" customHeight="true" outlineLevel="0" collapsed="false">
      <c r="A132" s="49"/>
      <c r="B132" s="49"/>
      <c r="C132" s="49"/>
      <c r="D132" s="81"/>
      <c r="E132" s="81"/>
      <c r="F132" s="82" t="str">
        <f aca="false">IFERROR(IF($C132="","",$E132-$D132),"")</f>
        <v/>
      </c>
      <c r="G132" s="12" t="str">
        <f aca="false">IFERROR(IF(OR($C132="",$D132=0,$D132=""),"",$F132/$D132),"")</f>
        <v/>
      </c>
      <c r="H132" s="13" t="str">
        <f aca="false">IFERROR(IF($C132="","",$F132*INDEX(المكونات!$C$2:$C$500,MATCH($C132,المكونات!$A$2:$A$500,0))),"")</f>
        <v/>
      </c>
    </row>
    <row r="133" customFormat="false" ht="15" hidden="false" customHeight="true" outlineLevel="0" collapsed="false">
      <c r="A133" s="49"/>
      <c r="B133" s="49"/>
      <c r="C133" s="49"/>
      <c r="D133" s="81"/>
      <c r="E133" s="81"/>
      <c r="F133" s="82" t="str">
        <f aca="false">IFERROR(IF($C133="","",$E133-$D133),"")</f>
        <v/>
      </c>
      <c r="G133" s="12" t="str">
        <f aca="false">IFERROR(IF(OR($C133="",$D133=0,$D133=""),"",$F133/$D133),"")</f>
        <v/>
      </c>
      <c r="H133" s="13" t="str">
        <f aca="false">IFERROR(IF($C133="","",$F133*INDEX(المكونات!$C$2:$C$500,MATCH($C133,المكونات!$A$2:$A$500,0))),"")</f>
        <v/>
      </c>
    </row>
    <row r="134" customFormat="false" ht="15" hidden="false" customHeight="true" outlineLevel="0" collapsed="false">
      <c r="A134" s="49"/>
      <c r="B134" s="49"/>
      <c r="C134" s="49"/>
      <c r="D134" s="81"/>
      <c r="E134" s="81"/>
      <c r="F134" s="82" t="str">
        <f aca="false">IFERROR(IF($C134="","",$E134-$D134),"")</f>
        <v/>
      </c>
      <c r="G134" s="12" t="str">
        <f aca="false">IFERROR(IF(OR($C134="",$D134=0,$D134=""),"",$F134/$D134),"")</f>
        <v/>
      </c>
      <c r="H134" s="13" t="str">
        <f aca="false">IFERROR(IF($C134="","",$F134*INDEX(المكونات!$C$2:$C$500,MATCH($C134,المكونات!$A$2:$A$500,0))),"")</f>
        <v/>
      </c>
    </row>
    <row r="135" customFormat="false" ht="15" hidden="false" customHeight="true" outlineLevel="0" collapsed="false">
      <c r="A135" s="49"/>
      <c r="B135" s="49"/>
      <c r="C135" s="49"/>
      <c r="D135" s="81"/>
      <c r="E135" s="81"/>
      <c r="F135" s="82" t="str">
        <f aca="false">IFERROR(IF($C135="","",$E135-$D135),"")</f>
        <v/>
      </c>
      <c r="G135" s="12" t="str">
        <f aca="false">IFERROR(IF(OR($C135="",$D135=0,$D135=""),"",$F135/$D135),"")</f>
        <v/>
      </c>
      <c r="H135" s="13" t="str">
        <f aca="false">IFERROR(IF($C135="","",$F135*INDEX(المكونات!$C$2:$C$500,MATCH($C135,المكونات!$A$2:$A$500,0))),"")</f>
        <v/>
      </c>
    </row>
    <row r="136" customFormat="false" ht="15" hidden="false" customHeight="true" outlineLevel="0" collapsed="false">
      <c r="A136" s="49"/>
      <c r="B136" s="49"/>
      <c r="C136" s="49"/>
      <c r="D136" s="81"/>
      <c r="E136" s="81"/>
      <c r="F136" s="82" t="str">
        <f aca="false">IFERROR(IF($C136="","",$E136-$D136),"")</f>
        <v/>
      </c>
      <c r="G136" s="12" t="str">
        <f aca="false">IFERROR(IF(OR($C136="",$D136=0,$D136=""),"",$F136/$D136),"")</f>
        <v/>
      </c>
      <c r="H136" s="13" t="str">
        <f aca="false">IFERROR(IF($C136="","",$F136*INDEX(المكونات!$C$2:$C$500,MATCH($C136,المكونات!$A$2:$A$500,0))),"")</f>
        <v/>
      </c>
    </row>
    <row r="137" customFormat="false" ht="15" hidden="false" customHeight="true" outlineLevel="0" collapsed="false">
      <c r="A137" s="49"/>
      <c r="B137" s="49"/>
      <c r="C137" s="49"/>
      <c r="D137" s="81"/>
      <c r="E137" s="81"/>
      <c r="F137" s="82" t="str">
        <f aca="false">IFERROR(IF($C137="","",$E137-$D137),"")</f>
        <v/>
      </c>
      <c r="G137" s="12" t="str">
        <f aca="false">IFERROR(IF(OR($C137="",$D137=0,$D137=""),"",$F137/$D137),"")</f>
        <v/>
      </c>
      <c r="H137" s="13" t="str">
        <f aca="false">IFERROR(IF($C137="","",$F137*INDEX(المكونات!$C$2:$C$500,MATCH($C137,المكونات!$A$2:$A$500,0))),"")</f>
        <v/>
      </c>
    </row>
    <row r="138" customFormat="false" ht="15" hidden="false" customHeight="true" outlineLevel="0" collapsed="false">
      <c r="A138" s="49"/>
      <c r="B138" s="49"/>
      <c r="C138" s="49"/>
      <c r="D138" s="81"/>
      <c r="E138" s="81"/>
      <c r="F138" s="82" t="str">
        <f aca="false">IFERROR(IF($C138="","",$E138-$D138),"")</f>
        <v/>
      </c>
      <c r="G138" s="12" t="str">
        <f aca="false">IFERROR(IF(OR($C138="",$D138=0,$D138=""),"",$F138/$D138),"")</f>
        <v/>
      </c>
      <c r="H138" s="13" t="str">
        <f aca="false">IFERROR(IF($C138="","",$F138*INDEX(المكونات!$C$2:$C$500,MATCH($C138,المكونات!$A$2:$A$500,0))),"")</f>
        <v/>
      </c>
    </row>
    <row r="139" customFormat="false" ht="15" hidden="false" customHeight="true" outlineLevel="0" collapsed="false">
      <c r="A139" s="49"/>
      <c r="B139" s="49"/>
      <c r="C139" s="49"/>
      <c r="D139" s="81"/>
      <c r="E139" s="81"/>
      <c r="F139" s="82" t="str">
        <f aca="false">IFERROR(IF($C139="","",$E139-$D139),"")</f>
        <v/>
      </c>
      <c r="G139" s="12" t="str">
        <f aca="false">IFERROR(IF(OR($C139="",$D139=0,$D139=""),"",$F139/$D139),"")</f>
        <v/>
      </c>
      <c r="H139" s="13" t="str">
        <f aca="false">IFERROR(IF($C139="","",$F139*INDEX(المكونات!$C$2:$C$500,MATCH($C139,المكونات!$A$2:$A$500,0))),"")</f>
        <v/>
      </c>
    </row>
    <row r="140" customFormat="false" ht="15" hidden="false" customHeight="true" outlineLevel="0" collapsed="false">
      <c r="A140" s="49"/>
      <c r="B140" s="49"/>
      <c r="C140" s="49"/>
      <c r="D140" s="81"/>
      <c r="E140" s="81"/>
      <c r="F140" s="82" t="str">
        <f aca="false">IFERROR(IF($C140="","",$E140-$D140),"")</f>
        <v/>
      </c>
      <c r="G140" s="12" t="str">
        <f aca="false">IFERROR(IF(OR($C140="",$D140=0,$D140=""),"",$F140/$D140),"")</f>
        <v/>
      </c>
      <c r="H140" s="13" t="str">
        <f aca="false">IFERROR(IF($C140="","",$F140*INDEX(المكونات!$C$2:$C$500,MATCH($C140,المكونات!$A$2:$A$500,0))),"")</f>
        <v/>
      </c>
    </row>
    <row r="141" customFormat="false" ht="15" hidden="false" customHeight="true" outlineLevel="0" collapsed="false">
      <c r="A141" s="49"/>
      <c r="B141" s="49"/>
      <c r="C141" s="49"/>
      <c r="D141" s="81"/>
      <c r="E141" s="81"/>
      <c r="F141" s="82" t="str">
        <f aca="false">IFERROR(IF($C141="","",$E141-$D141),"")</f>
        <v/>
      </c>
      <c r="G141" s="12" t="str">
        <f aca="false">IFERROR(IF(OR($C141="",$D141=0,$D141=""),"",$F141/$D141),"")</f>
        <v/>
      </c>
      <c r="H141" s="13" t="str">
        <f aca="false">IFERROR(IF($C141="","",$F141*INDEX(المكونات!$C$2:$C$500,MATCH($C141,المكونات!$A$2:$A$500,0))),"")</f>
        <v/>
      </c>
    </row>
    <row r="142" customFormat="false" ht="15" hidden="false" customHeight="true" outlineLevel="0" collapsed="false">
      <c r="A142" s="49"/>
      <c r="B142" s="49"/>
      <c r="C142" s="49"/>
      <c r="D142" s="81"/>
      <c r="E142" s="81"/>
      <c r="F142" s="82" t="str">
        <f aca="false">IFERROR(IF($C142="","",$E142-$D142),"")</f>
        <v/>
      </c>
      <c r="G142" s="12" t="str">
        <f aca="false">IFERROR(IF(OR($C142="",$D142=0,$D142=""),"",$F142/$D142),"")</f>
        <v/>
      </c>
      <c r="H142" s="13" t="str">
        <f aca="false">IFERROR(IF($C142="","",$F142*INDEX(المكونات!$C$2:$C$500,MATCH($C142,المكونات!$A$2:$A$500,0))),"")</f>
        <v/>
      </c>
    </row>
    <row r="143" customFormat="false" ht="15" hidden="false" customHeight="true" outlineLevel="0" collapsed="false">
      <c r="A143" s="49"/>
      <c r="B143" s="49"/>
      <c r="C143" s="49"/>
      <c r="D143" s="81"/>
      <c r="E143" s="81"/>
      <c r="F143" s="82" t="str">
        <f aca="false">IFERROR(IF($C143="","",$E143-$D143),"")</f>
        <v/>
      </c>
      <c r="G143" s="12" t="str">
        <f aca="false">IFERROR(IF(OR($C143="",$D143=0,$D143=""),"",$F143/$D143),"")</f>
        <v/>
      </c>
      <c r="H143" s="13" t="str">
        <f aca="false">IFERROR(IF($C143="","",$F143*INDEX(المكونات!$C$2:$C$500,MATCH($C143,المكونات!$A$2:$A$500,0))),"")</f>
        <v/>
      </c>
    </row>
    <row r="144" customFormat="false" ht="15" hidden="false" customHeight="true" outlineLevel="0" collapsed="false">
      <c r="A144" s="49"/>
      <c r="B144" s="49"/>
      <c r="C144" s="49"/>
      <c r="D144" s="81"/>
      <c r="E144" s="81"/>
      <c r="F144" s="82" t="str">
        <f aca="false">IFERROR(IF($C144="","",$E144-$D144),"")</f>
        <v/>
      </c>
      <c r="G144" s="12" t="str">
        <f aca="false">IFERROR(IF(OR($C144="",$D144=0,$D144=""),"",$F144/$D144),"")</f>
        <v/>
      </c>
      <c r="H144" s="13" t="str">
        <f aca="false">IFERROR(IF($C144="","",$F144*INDEX(المكونات!$C$2:$C$500,MATCH($C144,المكونات!$A$2:$A$500,0))),"")</f>
        <v/>
      </c>
    </row>
    <row r="145" customFormat="false" ht="15" hidden="false" customHeight="true" outlineLevel="0" collapsed="false">
      <c r="A145" s="49"/>
      <c r="B145" s="49"/>
      <c r="C145" s="49"/>
      <c r="D145" s="81"/>
      <c r="E145" s="81"/>
      <c r="F145" s="82" t="str">
        <f aca="false">IFERROR(IF($C145="","",$E145-$D145),"")</f>
        <v/>
      </c>
      <c r="G145" s="12" t="str">
        <f aca="false">IFERROR(IF(OR($C145="",$D145=0,$D145=""),"",$F145/$D145),"")</f>
        <v/>
      </c>
      <c r="H145" s="13" t="str">
        <f aca="false">IFERROR(IF($C145="","",$F145*INDEX(المكونات!$C$2:$C$500,MATCH($C145,المكونات!$A$2:$A$500,0))),"")</f>
        <v/>
      </c>
    </row>
    <row r="146" customFormat="false" ht="15" hidden="false" customHeight="true" outlineLevel="0" collapsed="false">
      <c r="A146" s="49"/>
      <c r="B146" s="49"/>
      <c r="C146" s="49"/>
      <c r="D146" s="81"/>
      <c r="E146" s="81"/>
      <c r="F146" s="82" t="str">
        <f aca="false">IFERROR(IF($C146="","",$E146-$D146),"")</f>
        <v/>
      </c>
      <c r="G146" s="12" t="str">
        <f aca="false">IFERROR(IF(OR($C146="",$D146=0,$D146=""),"",$F146/$D146),"")</f>
        <v/>
      </c>
      <c r="H146" s="13" t="str">
        <f aca="false">IFERROR(IF($C146="","",$F146*INDEX(المكونات!$C$2:$C$500,MATCH($C146,المكونات!$A$2:$A$500,0))),"")</f>
        <v/>
      </c>
    </row>
    <row r="147" customFormat="false" ht="15" hidden="false" customHeight="true" outlineLevel="0" collapsed="false">
      <c r="A147" s="49"/>
      <c r="B147" s="49"/>
      <c r="C147" s="49"/>
      <c r="D147" s="81"/>
      <c r="E147" s="81"/>
      <c r="F147" s="82" t="str">
        <f aca="false">IFERROR(IF($C147="","",$E147-$D147),"")</f>
        <v/>
      </c>
      <c r="G147" s="12" t="str">
        <f aca="false">IFERROR(IF(OR($C147="",$D147=0,$D147=""),"",$F147/$D147),"")</f>
        <v/>
      </c>
      <c r="H147" s="13" t="str">
        <f aca="false">IFERROR(IF($C147="","",$F147*INDEX(المكونات!$C$2:$C$500,MATCH($C147,المكونات!$A$2:$A$500,0))),"")</f>
        <v/>
      </c>
    </row>
    <row r="148" customFormat="false" ht="15" hidden="false" customHeight="true" outlineLevel="0" collapsed="false">
      <c r="A148" s="49"/>
      <c r="B148" s="49"/>
      <c r="C148" s="49"/>
      <c r="D148" s="81"/>
      <c r="E148" s="81"/>
      <c r="F148" s="82" t="str">
        <f aca="false">IFERROR(IF($C148="","",$E148-$D148),"")</f>
        <v/>
      </c>
      <c r="G148" s="12" t="str">
        <f aca="false">IFERROR(IF(OR($C148="",$D148=0,$D148=""),"",$F148/$D148),"")</f>
        <v/>
      </c>
      <c r="H148" s="13" t="str">
        <f aca="false">IFERROR(IF($C148="","",$F148*INDEX(المكونات!$C$2:$C$500,MATCH($C148,المكونات!$A$2:$A$500,0))),"")</f>
        <v/>
      </c>
    </row>
    <row r="149" customFormat="false" ht="15" hidden="false" customHeight="true" outlineLevel="0" collapsed="false">
      <c r="A149" s="49"/>
      <c r="B149" s="49"/>
      <c r="C149" s="49"/>
      <c r="D149" s="81"/>
      <c r="E149" s="81"/>
      <c r="F149" s="82" t="str">
        <f aca="false">IFERROR(IF($C149="","",$E149-$D149),"")</f>
        <v/>
      </c>
      <c r="G149" s="12" t="str">
        <f aca="false">IFERROR(IF(OR($C149="",$D149=0,$D149=""),"",$F149/$D149),"")</f>
        <v/>
      </c>
      <c r="H149" s="13" t="str">
        <f aca="false">IFERROR(IF($C149="","",$F149*INDEX(المكونات!$C$2:$C$500,MATCH($C149,المكونات!$A$2:$A$500,0))),"")</f>
        <v/>
      </c>
    </row>
    <row r="150" customFormat="false" ht="15" hidden="false" customHeight="true" outlineLevel="0" collapsed="false">
      <c r="A150" s="49"/>
      <c r="B150" s="49"/>
      <c r="C150" s="49"/>
      <c r="D150" s="81"/>
      <c r="E150" s="81"/>
      <c r="F150" s="82" t="str">
        <f aca="false">IFERROR(IF($C150="","",$E150-$D150),"")</f>
        <v/>
      </c>
      <c r="G150" s="12" t="str">
        <f aca="false">IFERROR(IF(OR($C150="",$D150=0,$D150=""),"",$F150/$D150),"")</f>
        <v/>
      </c>
      <c r="H150" s="13" t="str">
        <f aca="false">IFERROR(IF($C150="","",$F150*INDEX(المكونات!$C$2:$C$500,MATCH($C150,المكونات!$A$2:$A$500,0))),"")</f>
        <v/>
      </c>
    </row>
    <row r="151" customFormat="false" ht="15" hidden="false" customHeight="true" outlineLevel="0" collapsed="false">
      <c r="A151" s="49"/>
      <c r="B151" s="49"/>
      <c r="C151" s="49"/>
      <c r="D151" s="81"/>
      <c r="E151" s="81"/>
      <c r="F151" s="82" t="str">
        <f aca="false">IFERROR(IF($C151="","",$E151-$D151),"")</f>
        <v/>
      </c>
      <c r="G151" s="12" t="str">
        <f aca="false">IFERROR(IF(OR($C151="",$D151=0,$D151=""),"",$F151/$D151),"")</f>
        <v/>
      </c>
      <c r="H151" s="13" t="str">
        <f aca="false">IFERROR(IF($C151="","",$F151*INDEX(المكونات!$C$2:$C$500,MATCH($C151,المكونات!$A$2:$A$500,0))),"")</f>
        <v/>
      </c>
    </row>
    <row r="152" customFormat="false" ht="15" hidden="false" customHeight="true" outlineLevel="0" collapsed="false">
      <c r="A152" s="49"/>
      <c r="B152" s="49"/>
      <c r="C152" s="49"/>
      <c r="D152" s="81"/>
      <c r="E152" s="81"/>
      <c r="F152" s="82" t="str">
        <f aca="false">IFERROR(IF($C152="","",$E152-$D152),"")</f>
        <v/>
      </c>
      <c r="G152" s="12" t="str">
        <f aca="false">IFERROR(IF(OR($C152="",$D152=0,$D152=""),"",$F152/$D152),"")</f>
        <v/>
      </c>
      <c r="H152" s="13" t="str">
        <f aca="false">IFERROR(IF($C152="","",$F152*INDEX(المكونات!$C$2:$C$500,MATCH($C152,المكونات!$A$2:$A$500,0))),"")</f>
        <v/>
      </c>
    </row>
    <row r="153" customFormat="false" ht="15" hidden="false" customHeight="true" outlineLevel="0" collapsed="false">
      <c r="A153" s="49"/>
      <c r="B153" s="49"/>
      <c r="C153" s="49"/>
      <c r="D153" s="81"/>
      <c r="E153" s="81"/>
      <c r="F153" s="82" t="str">
        <f aca="false">IFERROR(IF($C153="","",$E153-$D153),"")</f>
        <v/>
      </c>
      <c r="G153" s="12" t="str">
        <f aca="false">IFERROR(IF(OR($C153="",$D153=0,$D153=""),"",$F153/$D153),"")</f>
        <v/>
      </c>
      <c r="H153" s="13" t="str">
        <f aca="false">IFERROR(IF($C153="","",$F153*INDEX(المكونات!$C$2:$C$500,MATCH($C153,المكونات!$A$2:$A$500,0))),"")</f>
        <v/>
      </c>
    </row>
    <row r="154" customFormat="false" ht="15" hidden="false" customHeight="true" outlineLevel="0" collapsed="false">
      <c r="A154" s="49"/>
      <c r="B154" s="49"/>
      <c r="C154" s="49"/>
      <c r="D154" s="81"/>
      <c r="E154" s="81"/>
      <c r="F154" s="82" t="str">
        <f aca="false">IFERROR(IF($C154="","",$E154-$D154),"")</f>
        <v/>
      </c>
      <c r="G154" s="12" t="str">
        <f aca="false">IFERROR(IF(OR($C154="",$D154=0,$D154=""),"",$F154/$D154),"")</f>
        <v/>
      </c>
      <c r="H154" s="13" t="str">
        <f aca="false">IFERROR(IF($C154="","",$F154*INDEX(المكونات!$C$2:$C$500,MATCH($C154,المكونات!$A$2:$A$500,0))),"")</f>
        <v/>
      </c>
    </row>
    <row r="155" customFormat="false" ht="15" hidden="false" customHeight="true" outlineLevel="0" collapsed="false">
      <c r="A155" s="49"/>
      <c r="B155" s="49"/>
      <c r="C155" s="49"/>
      <c r="D155" s="81"/>
      <c r="E155" s="81"/>
      <c r="F155" s="82" t="str">
        <f aca="false">IFERROR(IF($C155="","",$E155-$D155),"")</f>
        <v/>
      </c>
      <c r="G155" s="12" t="str">
        <f aca="false">IFERROR(IF(OR($C155="",$D155=0,$D155=""),"",$F155/$D155),"")</f>
        <v/>
      </c>
      <c r="H155" s="13" t="str">
        <f aca="false">IFERROR(IF($C155="","",$F155*INDEX(المكونات!$C$2:$C$500,MATCH($C155,المكونات!$A$2:$A$500,0))),"")</f>
        <v/>
      </c>
    </row>
    <row r="156" customFormat="false" ht="15" hidden="false" customHeight="true" outlineLevel="0" collapsed="false">
      <c r="A156" s="49"/>
      <c r="B156" s="49"/>
      <c r="C156" s="49"/>
      <c r="D156" s="81"/>
      <c r="E156" s="81"/>
      <c r="F156" s="82" t="str">
        <f aca="false">IFERROR(IF($C156="","",$E156-$D156),"")</f>
        <v/>
      </c>
      <c r="G156" s="12" t="str">
        <f aca="false">IFERROR(IF(OR($C156="",$D156=0,$D156=""),"",$F156/$D156),"")</f>
        <v/>
      </c>
      <c r="H156" s="13" t="str">
        <f aca="false">IFERROR(IF($C156="","",$F156*INDEX(المكونات!$C$2:$C$500,MATCH($C156,المكونات!$A$2:$A$500,0))),"")</f>
        <v/>
      </c>
    </row>
    <row r="157" customFormat="false" ht="15" hidden="false" customHeight="true" outlineLevel="0" collapsed="false">
      <c r="A157" s="49"/>
      <c r="B157" s="49"/>
      <c r="C157" s="49"/>
      <c r="D157" s="81"/>
      <c r="E157" s="81"/>
      <c r="F157" s="82" t="str">
        <f aca="false">IFERROR(IF($C157="","",$E157-$D157),"")</f>
        <v/>
      </c>
      <c r="G157" s="12" t="str">
        <f aca="false">IFERROR(IF(OR($C157="",$D157=0,$D157=""),"",$F157/$D157),"")</f>
        <v/>
      </c>
      <c r="H157" s="13" t="str">
        <f aca="false">IFERROR(IF($C157="","",$F157*INDEX(المكونات!$C$2:$C$500,MATCH($C157,المكونات!$A$2:$A$500,0))),"")</f>
        <v/>
      </c>
    </row>
    <row r="158" customFormat="false" ht="15" hidden="false" customHeight="true" outlineLevel="0" collapsed="false">
      <c r="A158" s="49"/>
      <c r="B158" s="49"/>
      <c r="C158" s="49"/>
      <c r="D158" s="81"/>
      <c r="E158" s="81"/>
      <c r="F158" s="82" t="str">
        <f aca="false">IFERROR(IF($C158="","",$E158-$D158),"")</f>
        <v/>
      </c>
      <c r="G158" s="12" t="str">
        <f aca="false">IFERROR(IF(OR($C158="",$D158=0,$D158=""),"",$F158/$D158),"")</f>
        <v/>
      </c>
      <c r="H158" s="13" t="str">
        <f aca="false">IFERROR(IF($C158="","",$F158*INDEX(المكونات!$C$2:$C$500,MATCH($C158,المكونات!$A$2:$A$500,0))),"")</f>
        <v/>
      </c>
    </row>
    <row r="159" customFormat="false" ht="15" hidden="false" customHeight="true" outlineLevel="0" collapsed="false">
      <c r="A159" s="49"/>
      <c r="B159" s="49"/>
      <c r="C159" s="49"/>
      <c r="D159" s="81"/>
      <c r="E159" s="81"/>
      <c r="F159" s="82" t="str">
        <f aca="false">IFERROR(IF($C159="","",$E159-$D159),"")</f>
        <v/>
      </c>
      <c r="G159" s="12" t="str">
        <f aca="false">IFERROR(IF(OR($C159="",$D159=0,$D159=""),"",$F159/$D159),"")</f>
        <v/>
      </c>
      <c r="H159" s="13" t="str">
        <f aca="false">IFERROR(IF($C159="","",$F159*INDEX(المكونات!$C$2:$C$500,MATCH($C159,المكونات!$A$2:$A$500,0))),"")</f>
        <v/>
      </c>
    </row>
    <row r="160" customFormat="false" ht="15" hidden="false" customHeight="true" outlineLevel="0" collapsed="false">
      <c r="A160" s="49"/>
      <c r="B160" s="49"/>
      <c r="C160" s="49"/>
      <c r="D160" s="81"/>
      <c r="E160" s="81"/>
      <c r="F160" s="82" t="str">
        <f aca="false">IFERROR(IF($C160="","",$E160-$D160),"")</f>
        <v/>
      </c>
      <c r="G160" s="12" t="str">
        <f aca="false">IFERROR(IF(OR($C160="",$D160=0,$D160=""),"",$F160/$D160),"")</f>
        <v/>
      </c>
      <c r="H160" s="13" t="str">
        <f aca="false">IFERROR(IF($C160="","",$F160*INDEX(المكونات!$C$2:$C$500,MATCH($C160,المكونات!$A$2:$A$500,0))),"")</f>
        <v/>
      </c>
    </row>
    <row r="161" customFormat="false" ht="15" hidden="false" customHeight="true" outlineLevel="0" collapsed="false">
      <c r="A161" s="49"/>
      <c r="B161" s="49"/>
      <c r="C161" s="49"/>
      <c r="D161" s="81"/>
      <c r="E161" s="81"/>
      <c r="F161" s="82" t="str">
        <f aca="false">IFERROR(IF($C161="","",$E161-$D161),"")</f>
        <v/>
      </c>
      <c r="G161" s="12" t="str">
        <f aca="false">IFERROR(IF(OR($C161="",$D161=0,$D161=""),"",$F161/$D161),"")</f>
        <v/>
      </c>
      <c r="H161" s="13" t="str">
        <f aca="false">IFERROR(IF($C161="","",$F161*INDEX(المكونات!$C$2:$C$500,MATCH($C161,المكونات!$A$2:$A$500,0))),"")</f>
        <v/>
      </c>
    </row>
    <row r="162" customFormat="false" ht="15" hidden="false" customHeight="true" outlineLevel="0" collapsed="false">
      <c r="A162" s="49"/>
      <c r="B162" s="49"/>
      <c r="C162" s="49"/>
      <c r="D162" s="81"/>
      <c r="E162" s="81"/>
      <c r="F162" s="82" t="str">
        <f aca="false">IFERROR(IF($C162="","",$E162-$D162),"")</f>
        <v/>
      </c>
      <c r="G162" s="12" t="str">
        <f aca="false">IFERROR(IF(OR($C162="",$D162=0,$D162=""),"",$F162/$D162),"")</f>
        <v/>
      </c>
      <c r="H162" s="13" t="str">
        <f aca="false">IFERROR(IF($C162="","",$F162*INDEX(المكونات!$C$2:$C$500,MATCH($C162,المكونات!$A$2:$A$500,0))),"")</f>
        <v/>
      </c>
    </row>
    <row r="163" customFormat="false" ht="15" hidden="false" customHeight="true" outlineLevel="0" collapsed="false">
      <c r="A163" s="49"/>
      <c r="B163" s="49"/>
      <c r="C163" s="49"/>
      <c r="D163" s="81"/>
      <c r="E163" s="81"/>
      <c r="F163" s="82" t="str">
        <f aca="false">IFERROR(IF($C163="","",$E163-$D163),"")</f>
        <v/>
      </c>
      <c r="G163" s="12" t="str">
        <f aca="false">IFERROR(IF(OR($C163="",$D163=0,$D163=""),"",$F163/$D163),"")</f>
        <v/>
      </c>
      <c r="H163" s="13" t="str">
        <f aca="false">IFERROR(IF($C163="","",$F163*INDEX(المكونات!$C$2:$C$500,MATCH($C163,المكونات!$A$2:$A$500,0))),"")</f>
        <v/>
      </c>
    </row>
    <row r="164" customFormat="false" ht="15" hidden="false" customHeight="true" outlineLevel="0" collapsed="false">
      <c r="A164" s="49"/>
      <c r="B164" s="49"/>
      <c r="C164" s="49"/>
      <c r="D164" s="81"/>
      <c r="E164" s="81"/>
      <c r="F164" s="82" t="str">
        <f aca="false">IFERROR(IF($C164="","",$E164-$D164),"")</f>
        <v/>
      </c>
      <c r="G164" s="12" t="str">
        <f aca="false">IFERROR(IF(OR($C164="",$D164=0,$D164=""),"",$F164/$D164),"")</f>
        <v/>
      </c>
      <c r="H164" s="13" t="str">
        <f aca="false">IFERROR(IF($C164="","",$F164*INDEX(المكونات!$C$2:$C$500,MATCH($C164,المكونات!$A$2:$A$500,0))),"")</f>
        <v/>
      </c>
    </row>
    <row r="165" customFormat="false" ht="15" hidden="false" customHeight="true" outlineLevel="0" collapsed="false">
      <c r="A165" s="49"/>
      <c r="B165" s="49"/>
      <c r="C165" s="49"/>
      <c r="D165" s="81"/>
      <c r="E165" s="81"/>
      <c r="F165" s="82" t="str">
        <f aca="false">IFERROR(IF($C165="","",$E165-$D165),"")</f>
        <v/>
      </c>
      <c r="G165" s="12" t="str">
        <f aca="false">IFERROR(IF(OR($C165="",$D165=0,$D165=""),"",$F165/$D165),"")</f>
        <v/>
      </c>
      <c r="H165" s="13" t="str">
        <f aca="false">IFERROR(IF($C165="","",$F165*INDEX(المكونات!$C$2:$C$500,MATCH($C165,المكونات!$A$2:$A$500,0))),"")</f>
        <v/>
      </c>
    </row>
    <row r="166" customFormat="false" ht="15" hidden="false" customHeight="true" outlineLevel="0" collapsed="false">
      <c r="A166" s="49"/>
      <c r="B166" s="49"/>
      <c r="C166" s="49"/>
      <c r="D166" s="81"/>
      <c r="E166" s="81"/>
      <c r="F166" s="82" t="str">
        <f aca="false">IFERROR(IF($C166="","",$E166-$D166),"")</f>
        <v/>
      </c>
      <c r="G166" s="12" t="str">
        <f aca="false">IFERROR(IF(OR($C166="",$D166=0,$D166=""),"",$F166/$D166),"")</f>
        <v/>
      </c>
      <c r="H166" s="13" t="str">
        <f aca="false">IFERROR(IF($C166="","",$F166*INDEX(المكونات!$C$2:$C$500,MATCH($C166,المكونات!$A$2:$A$500,0))),"")</f>
        <v/>
      </c>
    </row>
    <row r="167" customFormat="false" ht="15" hidden="false" customHeight="true" outlineLevel="0" collapsed="false">
      <c r="A167" s="49"/>
      <c r="B167" s="49"/>
      <c r="C167" s="49"/>
      <c r="D167" s="81"/>
      <c r="E167" s="81"/>
      <c r="F167" s="82" t="str">
        <f aca="false">IFERROR(IF($C167="","",$E167-$D167),"")</f>
        <v/>
      </c>
      <c r="G167" s="12" t="str">
        <f aca="false">IFERROR(IF(OR($C167="",$D167=0,$D167=""),"",$F167/$D167),"")</f>
        <v/>
      </c>
      <c r="H167" s="13" t="str">
        <f aca="false">IFERROR(IF($C167="","",$F167*INDEX(المكونات!$C$2:$C$500,MATCH($C167,المكونات!$A$2:$A$500,0))),"")</f>
        <v/>
      </c>
    </row>
    <row r="168" customFormat="false" ht="15" hidden="false" customHeight="true" outlineLevel="0" collapsed="false">
      <c r="A168" s="49"/>
      <c r="B168" s="49"/>
      <c r="C168" s="49"/>
      <c r="D168" s="81"/>
      <c r="E168" s="81"/>
      <c r="F168" s="82" t="str">
        <f aca="false">IFERROR(IF($C168="","",$E168-$D168),"")</f>
        <v/>
      </c>
      <c r="G168" s="12" t="str">
        <f aca="false">IFERROR(IF(OR($C168="",$D168=0,$D168=""),"",$F168/$D168),"")</f>
        <v/>
      </c>
      <c r="H168" s="13" t="str">
        <f aca="false">IFERROR(IF($C168="","",$F168*INDEX(المكونات!$C$2:$C$500,MATCH($C168,المكونات!$A$2:$A$500,0))),"")</f>
        <v/>
      </c>
    </row>
    <row r="169" customFormat="false" ht="15" hidden="false" customHeight="true" outlineLevel="0" collapsed="false">
      <c r="A169" s="49"/>
      <c r="B169" s="49"/>
      <c r="C169" s="49"/>
      <c r="D169" s="81"/>
      <c r="E169" s="81"/>
      <c r="F169" s="82" t="str">
        <f aca="false">IFERROR(IF($C169="","",$E169-$D169),"")</f>
        <v/>
      </c>
      <c r="G169" s="12" t="str">
        <f aca="false">IFERROR(IF(OR($C169="",$D169=0,$D169=""),"",$F169/$D169),"")</f>
        <v/>
      </c>
      <c r="H169" s="13" t="str">
        <f aca="false">IFERROR(IF($C169="","",$F169*INDEX(المكونات!$C$2:$C$500,MATCH($C169,المكونات!$A$2:$A$500,0))),"")</f>
        <v/>
      </c>
    </row>
    <row r="170" customFormat="false" ht="15" hidden="false" customHeight="true" outlineLevel="0" collapsed="false">
      <c r="A170" s="49"/>
      <c r="B170" s="49"/>
      <c r="C170" s="49"/>
      <c r="D170" s="81"/>
      <c r="E170" s="81"/>
      <c r="F170" s="82" t="str">
        <f aca="false">IFERROR(IF($C170="","",$E170-$D170),"")</f>
        <v/>
      </c>
      <c r="G170" s="12" t="str">
        <f aca="false">IFERROR(IF(OR($C170="",$D170=0,$D170=""),"",$F170/$D170),"")</f>
        <v/>
      </c>
      <c r="H170" s="13" t="str">
        <f aca="false">IFERROR(IF($C170="","",$F170*INDEX(المكونات!$C$2:$C$500,MATCH($C170,المكونات!$A$2:$A$500,0))),"")</f>
        <v/>
      </c>
    </row>
    <row r="171" customFormat="false" ht="15" hidden="false" customHeight="true" outlineLevel="0" collapsed="false">
      <c r="A171" s="49"/>
      <c r="B171" s="49"/>
      <c r="C171" s="49"/>
      <c r="D171" s="81"/>
      <c r="E171" s="81"/>
      <c r="F171" s="82" t="str">
        <f aca="false">IFERROR(IF($C171="","",$E171-$D171),"")</f>
        <v/>
      </c>
      <c r="G171" s="12" t="str">
        <f aca="false">IFERROR(IF(OR($C171="",$D171=0,$D171=""),"",$F171/$D171),"")</f>
        <v/>
      </c>
      <c r="H171" s="13" t="str">
        <f aca="false">IFERROR(IF($C171="","",$F171*INDEX(المكونات!$C$2:$C$500,MATCH($C171,المكونات!$A$2:$A$500,0))),"")</f>
        <v/>
      </c>
    </row>
    <row r="172" customFormat="false" ht="15" hidden="false" customHeight="true" outlineLevel="0" collapsed="false">
      <c r="A172" s="49"/>
      <c r="B172" s="49"/>
      <c r="C172" s="49"/>
      <c r="D172" s="81"/>
      <c r="E172" s="81"/>
      <c r="F172" s="82" t="str">
        <f aca="false">IFERROR(IF($C172="","",$E172-$D172),"")</f>
        <v/>
      </c>
      <c r="G172" s="12" t="str">
        <f aca="false">IFERROR(IF(OR($C172="",$D172=0,$D172=""),"",$F172/$D172),"")</f>
        <v/>
      </c>
      <c r="H172" s="13" t="str">
        <f aca="false">IFERROR(IF($C172="","",$F172*INDEX(المكونات!$C$2:$C$500,MATCH($C172,المكونات!$A$2:$A$500,0))),"")</f>
        <v/>
      </c>
    </row>
    <row r="173" customFormat="false" ht="15" hidden="false" customHeight="true" outlineLevel="0" collapsed="false">
      <c r="A173" s="49"/>
      <c r="B173" s="49"/>
      <c r="C173" s="49"/>
      <c r="D173" s="81"/>
      <c r="E173" s="81"/>
      <c r="F173" s="82" t="str">
        <f aca="false">IFERROR(IF($C173="","",$E173-$D173),"")</f>
        <v/>
      </c>
      <c r="G173" s="12" t="str">
        <f aca="false">IFERROR(IF(OR($C173="",$D173=0,$D173=""),"",$F173/$D173),"")</f>
        <v/>
      </c>
      <c r="H173" s="13" t="str">
        <f aca="false">IFERROR(IF($C173="","",$F173*INDEX(المكونات!$C$2:$C$500,MATCH($C173,المكونات!$A$2:$A$500,0))),"")</f>
        <v/>
      </c>
    </row>
    <row r="174" customFormat="false" ht="15" hidden="false" customHeight="true" outlineLevel="0" collapsed="false">
      <c r="A174" s="49"/>
      <c r="B174" s="49"/>
      <c r="C174" s="49"/>
      <c r="D174" s="81"/>
      <c r="E174" s="81"/>
      <c r="F174" s="82" t="str">
        <f aca="false">IFERROR(IF($C174="","",$E174-$D174),"")</f>
        <v/>
      </c>
      <c r="G174" s="12" t="str">
        <f aca="false">IFERROR(IF(OR($C174="",$D174=0,$D174=""),"",$F174/$D174),"")</f>
        <v/>
      </c>
      <c r="H174" s="13" t="str">
        <f aca="false">IFERROR(IF($C174="","",$F174*INDEX(المكونات!$C$2:$C$500,MATCH($C174,المكونات!$A$2:$A$500,0))),"")</f>
        <v/>
      </c>
    </row>
    <row r="175" customFormat="false" ht="15" hidden="false" customHeight="true" outlineLevel="0" collapsed="false">
      <c r="A175" s="49"/>
      <c r="B175" s="49"/>
      <c r="C175" s="49"/>
      <c r="D175" s="81"/>
      <c r="E175" s="81"/>
      <c r="F175" s="82" t="str">
        <f aca="false">IFERROR(IF($C175="","",$E175-$D175),"")</f>
        <v/>
      </c>
      <c r="G175" s="12" t="str">
        <f aca="false">IFERROR(IF(OR($C175="",$D175=0,$D175=""),"",$F175/$D175),"")</f>
        <v/>
      </c>
      <c r="H175" s="13" t="str">
        <f aca="false">IFERROR(IF($C175="","",$F175*INDEX(المكونات!$C$2:$C$500,MATCH($C175,المكونات!$A$2:$A$500,0))),"")</f>
        <v/>
      </c>
    </row>
    <row r="176" customFormat="false" ht="15" hidden="false" customHeight="true" outlineLevel="0" collapsed="false">
      <c r="A176" s="49"/>
      <c r="B176" s="49"/>
      <c r="C176" s="49"/>
      <c r="D176" s="81"/>
      <c r="E176" s="81"/>
      <c r="F176" s="82" t="str">
        <f aca="false">IFERROR(IF($C176="","",$E176-$D176),"")</f>
        <v/>
      </c>
      <c r="G176" s="12" t="str">
        <f aca="false">IFERROR(IF(OR($C176="",$D176=0,$D176=""),"",$F176/$D176),"")</f>
        <v/>
      </c>
      <c r="H176" s="13" t="str">
        <f aca="false">IFERROR(IF($C176="","",$F176*INDEX(المكونات!$C$2:$C$500,MATCH($C176,المكونات!$A$2:$A$500,0))),"")</f>
        <v/>
      </c>
    </row>
    <row r="177" customFormat="false" ht="15" hidden="false" customHeight="true" outlineLevel="0" collapsed="false">
      <c r="A177" s="49"/>
      <c r="B177" s="49"/>
      <c r="C177" s="49"/>
      <c r="D177" s="81"/>
      <c r="E177" s="81"/>
      <c r="F177" s="82" t="str">
        <f aca="false">IFERROR(IF($C177="","",$E177-$D177),"")</f>
        <v/>
      </c>
      <c r="G177" s="12" t="str">
        <f aca="false">IFERROR(IF(OR($C177="",$D177=0,$D177=""),"",$F177/$D177),"")</f>
        <v/>
      </c>
      <c r="H177" s="13" t="str">
        <f aca="false">IFERROR(IF($C177="","",$F177*INDEX(المكونات!$C$2:$C$500,MATCH($C177,المكونات!$A$2:$A$500,0))),"")</f>
        <v/>
      </c>
    </row>
    <row r="178" customFormat="false" ht="15" hidden="false" customHeight="true" outlineLevel="0" collapsed="false">
      <c r="A178" s="49"/>
      <c r="B178" s="49"/>
      <c r="C178" s="49"/>
      <c r="D178" s="81"/>
      <c r="E178" s="81"/>
      <c r="F178" s="82" t="str">
        <f aca="false">IFERROR(IF($C178="","",$E178-$D178),"")</f>
        <v/>
      </c>
      <c r="G178" s="12" t="str">
        <f aca="false">IFERROR(IF(OR($C178="",$D178=0,$D178=""),"",$F178/$D178),"")</f>
        <v/>
      </c>
      <c r="H178" s="13" t="str">
        <f aca="false">IFERROR(IF($C178="","",$F178*INDEX(المكونات!$C$2:$C$500,MATCH($C178,المكونات!$A$2:$A$500,0))),"")</f>
        <v/>
      </c>
    </row>
    <row r="179" customFormat="false" ht="15" hidden="false" customHeight="true" outlineLevel="0" collapsed="false">
      <c r="A179" s="49"/>
      <c r="B179" s="49"/>
      <c r="C179" s="49"/>
      <c r="D179" s="81"/>
      <c r="E179" s="81"/>
      <c r="F179" s="82" t="str">
        <f aca="false">IFERROR(IF($C179="","",$E179-$D179),"")</f>
        <v/>
      </c>
      <c r="G179" s="12" t="str">
        <f aca="false">IFERROR(IF(OR($C179="",$D179=0,$D179=""),"",$F179/$D179),"")</f>
        <v/>
      </c>
      <c r="H179" s="13" t="str">
        <f aca="false">IFERROR(IF($C179="","",$F179*INDEX(المكونات!$C$2:$C$500,MATCH($C179,المكونات!$A$2:$A$500,0))),"")</f>
        <v/>
      </c>
    </row>
    <row r="180" customFormat="false" ht="15" hidden="false" customHeight="true" outlineLevel="0" collapsed="false">
      <c r="A180" s="49"/>
      <c r="B180" s="49"/>
      <c r="C180" s="49"/>
      <c r="D180" s="81"/>
      <c r="E180" s="81"/>
      <c r="F180" s="82" t="str">
        <f aca="false">IFERROR(IF($C180="","",$E180-$D180),"")</f>
        <v/>
      </c>
      <c r="G180" s="12" t="str">
        <f aca="false">IFERROR(IF(OR($C180="",$D180=0,$D180=""),"",$F180/$D180),"")</f>
        <v/>
      </c>
      <c r="H180" s="13" t="str">
        <f aca="false">IFERROR(IF($C180="","",$F180*INDEX(المكونات!$C$2:$C$500,MATCH($C180,المكونات!$A$2:$A$500,0))),"")</f>
        <v/>
      </c>
    </row>
    <row r="181" customFormat="false" ht="15" hidden="false" customHeight="true" outlineLevel="0" collapsed="false">
      <c r="A181" s="49"/>
      <c r="B181" s="49"/>
      <c r="C181" s="49"/>
      <c r="D181" s="81"/>
      <c r="E181" s="81"/>
      <c r="F181" s="82" t="str">
        <f aca="false">IFERROR(IF($C181="","",$E181-$D181),"")</f>
        <v/>
      </c>
      <c r="G181" s="12" t="str">
        <f aca="false">IFERROR(IF(OR($C181="",$D181=0,$D181=""),"",$F181/$D181),"")</f>
        <v/>
      </c>
      <c r="H181" s="13" t="str">
        <f aca="false">IFERROR(IF($C181="","",$F181*INDEX(المكونات!$C$2:$C$500,MATCH($C181,المكونات!$A$2:$A$500,0))),"")</f>
        <v/>
      </c>
    </row>
    <row r="182" customFormat="false" ht="15" hidden="false" customHeight="true" outlineLevel="0" collapsed="false">
      <c r="A182" s="49"/>
      <c r="B182" s="49"/>
      <c r="C182" s="49"/>
      <c r="D182" s="81"/>
      <c r="E182" s="81"/>
      <c r="F182" s="82" t="str">
        <f aca="false">IFERROR(IF($C182="","",$E182-$D182),"")</f>
        <v/>
      </c>
      <c r="G182" s="12" t="str">
        <f aca="false">IFERROR(IF(OR($C182="",$D182=0,$D182=""),"",$F182/$D182),"")</f>
        <v/>
      </c>
      <c r="H182" s="13" t="str">
        <f aca="false">IFERROR(IF($C182="","",$F182*INDEX(المكونات!$C$2:$C$500,MATCH($C182,المكونات!$A$2:$A$500,0))),"")</f>
        <v/>
      </c>
    </row>
    <row r="183" customFormat="false" ht="15" hidden="false" customHeight="true" outlineLevel="0" collapsed="false">
      <c r="A183" s="49"/>
      <c r="B183" s="49"/>
      <c r="C183" s="49"/>
      <c r="D183" s="81"/>
      <c r="E183" s="81"/>
      <c r="F183" s="82" t="str">
        <f aca="false">IFERROR(IF($C183="","",$E183-$D183),"")</f>
        <v/>
      </c>
      <c r="G183" s="12" t="str">
        <f aca="false">IFERROR(IF(OR($C183="",$D183=0,$D183=""),"",$F183/$D183),"")</f>
        <v/>
      </c>
      <c r="H183" s="13" t="str">
        <f aca="false">IFERROR(IF($C183="","",$F183*INDEX(المكونات!$C$2:$C$500,MATCH($C183,المكونات!$A$2:$A$500,0))),"")</f>
        <v/>
      </c>
    </row>
    <row r="184" customFormat="false" ht="15" hidden="false" customHeight="true" outlineLevel="0" collapsed="false">
      <c r="A184" s="49"/>
      <c r="B184" s="49"/>
      <c r="C184" s="49"/>
      <c r="D184" s="81"/>
      <c r="E184" s="81"/>
      <c r="F184" s="82" t="str">
        <f aca="false">IFERROR(IF($C184="","",$E184-$D184),"")</f>
        <v/>
      </c>
      <c r="G184" s="12" t="str">
        <f aca="false">IFERROR(IF(OR($C184="",$D184=0,$D184=""),"",$F184/$D184),"")</f>
        <v/>
      </c>
      <c r="H184" s="13" t="str">
        <f aca="false">IFERROR(IF($C184="","",$F184*INDEX(المكونات!$C$2:$C$500,MATCH($C184,المكونات!$A$2:$A$500,0))),"")</f>
        <v/>
      </c>
    </row>
    <row r="185" customFormat="false" ht="15" hidden="false" customHeight="true" outlineLevel="0" collapsed="false">
      <c r="A185" s="49"/>
      <c r="B185" s="49"/>
      <c r="C185" s="49"/>
      <c r="D185" s="81"/>
      <c r="E185" s="81"/>
      <c r="F185" s="82" t="str">
        <f aca="false">IFERROR(IF($C185="","",$E185-$D185),"")</f>
        <v/>
      </c>
      <c r="G185" s="12" t="str">
        <f aca="false">IFERROR(IF(OR($C185="",$D185=0,$D185=""),"",$F185/$D185),"")</f>
        <v/>
      </c>
      <c r="H185" s="13" t="str">
        <f aca="false">IFERROR(IF($C185="","",$F185*INDEX(المكونات!$C$2:$C$500,MATCH($C185,المكونات!$A$2:$A$500,0))),"")</f>
        <v/>
      </c>
    </row>
    <row r="186" customFormat="false" ht="15" hidden="false" customHeight="true" outlineLevel="0" collapsed="false">
      <c r="A186" s="49"/>
      <c r="B186" s="49"/>
      <c r="C186" s="49"/>
      <c r="D186" s="81"/>
      <c r="E186" s="81"/>
      <c r="F186" s="82" t="str">
        <f aca="false">IFERROR(IF($C186="","",$E186-$D186),"")</f>
        <v/>
      </c>
      <c r="G186" s="12" t="str">
        <f aca="false">IFERROR(IF(OR($C186="",$D186=0,$D186=""),"",$F186/$D186),"")</f>
        <v/>
      </c>
      <c r="H186" s="13" t="str">
        <f aca="false">IFERROR(IF($C186="","",$F186*INDEX(المكونات!$C$2:$C$500,MATCH($C186,المكونات!$A$2:$A$500,0))),"")</f>
        <v/>
      </c>
    </row>
    <row r="187" customFormat="false" ht="15" hidden="false" customHeight="true" outlineLevel="0" collapsed="false">
      <c r="A187" s="49"/>
      <c r="B187" s="49"/>
      <c r="C187" s="49"/>
      <c r="D187" s="81"/>
      <c r="E187" s="81"/>
      <c r="F187" s="82" t="str">
        <f aca="false">IFERROR(IF($C187="","",$E187-$D187),"")</f>
        <v/>
      </c>
      <c r="G187" s="12" t="str">
        <f aca="false">IFERROR(IF(OR($C187="",$D187=0,$D187=""),"",$F187/$D187),"")</f>
        <v/>
      </c>
      <c r="H187" s="13" t="str">
        <f aca="false">IFERROR(IF($C187="","",$F187*INDEX(المكونات!$C$2:$C$500,MATCH($C187,المكونات!$A$2:$A$500,0))),"")</f>
        <v/>
      </c>
    </row>
    <row r="188" customFormat="false" ht="15" hidden="false" customHeight="true" outlineLevel="0" collapsed="false">
      <c r="A188" s="49"/>
      <c r="B188" s="49"/>
      <c r="C188" s="49"/>
      <c r="D188" s="81"/>
      <c r="E188" s="81"/>
      <c r="F188" s="82" t="str">
        <f aca="false">IFERROR(IF($C188="","",$E188-$D188),"")</f>
        <v/>
      </c>
      <c r="G188" s="12" t="str">
        <f aca="false">IFERROR(IF(OR($C188="",$D188=0,$D188=""),"",$F188/$D188),"")</f>
        <v/>
      </c>
      <c r="H188" s="13" t="str">
        <f aca="false">IFERROR(IF($C188="","",$F188*INDEX(المكونات!$C$2:$C$500,MATCH($C188,المكونات!$A$2:$A$500,0))),"")</f>
        <v/>
      </c>
    </row>
    <row r="189" customFormat="false" ht="15" hidden="false" customHeight="true" outlineLevel="0" collapsed="false">
      <c r="A189" s="49"/>
      <c r="B189" s="49"/>
      <c r="C189" s="49"/>
      <c r="D189" s="81"/>
      <c r="E189" s="81"/>
      <c r="F189" s="82" t="str">
        <f aca="false">IFERROR(IF($C189="","",$E189-$D189),"")</f>
        <v/>
      </c>
      <c r="G189" s="12" t="str">
        <f aca="false">IFERROR(IF(OR($C189="",$D189=0,$D189=""),"",$F189/$D189),"")</f>
        <v/>
      </c>
      <c r="H189" s="13" t="str">
        <f aca="false">IFERROR(IF($C189="","",$F189*INDEX(المكونات!$C$2:$C$500,MATCH($C189,المكونات!$A$2:$A$500,0))),"")</f>
        <v/>
      </c>
    </row>
    <row r="190" customFormat="false" ht="15" hidden="false" customHeight="true" outlineLevel="0" collapsed="false">
      <c r="A190" s="49"/>
      <c r="B190" s="49"/>
      <c r="C190" s="49"/>
      <c r="D190" s="81"/>
      <c r="E190" s="81"/>
      <c r="F190" s="82" t="str">
        <f aca="false">IFERROR(IF($C190="","",$E190-$D190),"")</f>
        <v/>
      </c>
      <c r="G190" s="12" t="str">
        <f aca="false">IFERROR(IF(OR($C190="",$D190=0,$D190=""),"",$F190/$D190),"")</f>
        <v/>
      </c>
      <c r="H190" s="13" t="str">
        <f aca="false">IFERROR(IF($C190="","",$F190*INDEX(المكونات!$C$2:$C$500,MATCH($C190,المكونات!$A$2:$A$500,0))),"")</f>
        <v/>
      </c>
    </row>
    <row r="191" customFormat="false" ht="15" hidden="false" customHeight="true" outlineLevel="0" collapsed="false">
      <c r="A191" s="49"/>
      <c r="B191" s="49"/>
      <c r="C191" s="49"/>
      <c r="D191" s="81"/>
      <c r="E191" s="81"/>
      <c r="F191" s="82" t="str">
        <f aca="false">IFERROR(IF($C191="","",$E191-$D191),"")</f>
        <v/>
      </c>
      <c r="G191" s="12" t="str">
        <f aca="false">IFERROR(IF(OR($C191="",$D191=0,$D191=""),"",$F191/$D191),"")</f>
        <v/>
      </c>
      <c r="H191" s="13" t="str">
        <f aca="false">IFERROR(IF($C191="","",$F191*INDEX(المكونات!$C$2:$C$500,MATCH($C191,المكونات!$A$2:$A$500,0))),"")</f>
        <v/>
      </c>
    </row>
    <row r="192" customFormat="false" ht="15" hidden="false" customHeight="true" outlineLevel="0" collapsed="false">
      <c r="A192" s="49"/>
      <c r="B192" s="49"/>
      <c r="C192" s="49"/>
      <c r="D192" s="81"/>
      <c r="E192" s="81"/>
      <c r="F192" s="82" t="str">
        <f aca="false">IFERROR(IF($C192="","",$E192-$D192),"")</f>
        <v/>
      </c>
      <c r="G192" s="12" t="str">
        <f aca="false">IFERROR(IF(OR($C192="",$D192=0,$D192=""),"",$F192/$D192),"")</f>
        <v/>
      </c>
      <c r="H192" s="13" t="str">
        <f aca="false">IFERROR(IF($C192="","",$F192*INDEX(المكونات!$C$2:$C$500,MATCH($C192,المكونات!$A$2:$A$500,0))),"")</f>
        <v/>
      </c>
    </row>
    <row r="193" customFormat="false" ht="15" hidden="false" customHeight="true" outlineLevel="0" collapsed="false">
      <c r="A193" s="49"/>
      <c r="B193" s="49"/>
      <c r="C193" s="49"/>
      <c r="D193" s="81"/>
      <c r="E193" s="81"/>
      <c r="F193" s="82" t="str">
        <f aca="false">IFERROR(IF($C193="","",$E193-$D193),"")</f>
        <v/>
      </c>
      <c r="G193" s="12" t="str">
        <f aca="false">IFERROR(IF(OR($C193="",$D193=0,$D193=""),"",$F193/$D193),"")</f>
        <v/>
      </c>
      <c r="H193" s="13" t="str">
        <f aca="false">IFERROR(IF($C193="","",$F193*INDEX(المكونات!$C$2:$C$500,MATCH($C193,المكونات!$A$2:$A$500,0))),"")</f>
        <v/>
      </c>
    </row>
    <row r="194" customFormat="false" ht="15" hidden="false" customHeight="true" outlineLevel="0" collapsed="false">
      <c r="A194" s="49"/>
      <c r="B194" s="49"/>
      <c r="C194" s="49"/>
      <c r="D194" s="81"/>
      <c r="E194" s="81"/>
      <c r="F194" s="82" t="str">
        <f aca="false">IFERROR(IF($C194="","",$E194-$D194),"")</f>
        <v/>
      </c>
      <c r="G194" s="12" t="str">
        <f aca="false">IFERROR(IF(OR($C194="",$D194=0,$D194=""),"",$F194/$D194),"")</f>
        <v/>
      </c>
      <c r="H194" s="13" t="str">
        <f aca="false">IFERROR(IF($C194="","",$F194*INDEX(المكونات!$C$2:$C$500,MATCH($C194,المكونات!$A$2:$A$500,0))),"")</f>
        <v/>
      </c>
    </row>
    <row r="195" customFormat="false" ht="15" hidden="false" customHeight="true" outlineLevel="0" collapsed="false">
      <c r="A195" s="49"/>
      <c r="B195" s="49"/>
      <c r="C195" s="49"/>
      <c r="D195" s="81"/>
      <c r="E195" s="81"/>
      <c r="F195" s="82" t="str">
        <f aca="false">IFERROR(IF($C195="","",$E195-$D195),"")</f>
        <v/>
      </c>
      <c r="G195" s="12" t="str">
        <f aca="false">IFERROR(IF(OR($C195="",$D195=0,$D195=""),"",$F195/$D195),"")</f>
        <v/>
      </c>
      <c r="H195" s="13" t="str">
        <f aca="false">IFERROR(IF($C195="","",$F195*INDEX(المكونات!$C$2:$C$500,MATCH($C195,المكونات!$A$2:$A$500,0))),"")</f>
        <v/>
      </c>
    </row>
    <row r="196" customFormat="false" ht="15" hidden="false" customHeight="true" outlineLevel="0" collapsed="false">
      <c r="A196" s="49"/>
      <c r="B196" s="49"/>
      <c r="C196" s="49"/>
      <c r="D196" s="81"/>
      <c r="E196" s="81"/>
      <c r="F196" s="82" t="str">
        <f aca="false">IFERROR(IF($C196="","",$E196-$D196),"")</f>
        <v/>
      </c>
      <c r="G196" s="12" t="str">
        <f aca="false">IFERROR(IF(OR($C196="",$D196=0,$D196=""),"",$F196/$D196),"")</f>
        <v/>
      </c>
      <c r="H196" s="13" t="str">
        <f aca="false">IFERROR(IF($C196="","",$F196*INDEX(المكونات!$C$2:$C$500,MATCH($C196,المكونات!$A$2:$A$500,0))),"")</f>
        <v/>
      </c>
    </row>
    <row r="197" customFormat="false" ht="15" hidden="false" customHeight="true" outlineLevel="0" collapsed="false">
      <c r="A197" s="49"/>
      <c r="B197" s="49"/>
      <c r="C197" s="49"/>
      <c r="D197" s="81"/>
      <c r="E197" s="81"/>
      <c r="F197" s="82" t="str">
        <f aca="false">IFERROR(IF($C197="","",$E197-$D197),"")</f>
        <v/>
      </c>
      <c r="G197" s="12" t="str">
        <f aca="false">IFERROR(IF(OR($C197="",$D197=0,$D197=""),"",$F197/$D197),"")</f>
        <v/>
      </c>
      <c r="H197" s="13" t="str">
        <f aca="false">IFERROR(IF($C197="","",$F197*INDEX(المكونات!$C$2:$C$500,MATCH($C197,المكونات!$A$2:$A$500,0))),"")</f>
        <v/>
      </c>
    </row>
    <row r="198" customFormat="false" ht="15" hidden="false" customHeight="true" outlineLevel="0" collapsed="false">
      <c r="A198" s="49"/>
      <c r="B198" s="49"/>
      <c r="C198" s="49"/>
      <c r="D198" s="81"/>
      <c r="E198" s="81"/>
      <c r="F198" s="82" t="str">
        <f aca="false">IFERROR(IF($C198="","",$E198-$D198),"")</f>
        <v/>
      </c>
      <c r="G198" s="12" t="str">
        <f aca="false">IFERROR(IF(OR($C198="",$D198=0,$D198=""),"",$F198/$D198),"")</f>
        <v/>
      </c>
      <c r="H198" s="13" t="str">
        <f aca="false">IFERROR(IF($C198="","",$F198*INDEX(المكونات!$C$2:$C$500,MATCH($C198,المكونات!$A$2:$A$500,0))),"")</f>
        <v/>
      </c>
    </row>
    <row r="199" customFormat="false" ht="15" hidden="false" customHeight="true" outlineLevel="0" collapsed="false">
      <c r="A199" s="49"/>
      <c r="B199" s="49"/>
      <c r="C199" s="49"/>
      <c r="D199" s="81"/>
      <c r="E199" s="81"/>
      <c r="F199" s="82" t="str">
        <f aca="false">IFERROR(IF($C199="","",$E199-$D199),"")</f>
        <v/>
      </c>
      <c r="G199" s="12" t="str">
        <f aca="false">IFERROR(IF(OR($C199="",$D199=0,$D199=""),"",$F199/$D199),"")</f>
        <v/>
      </c>
      <c r="H199" s="13" t="str">
        <f aca="false">IFERROR(IF($C199="","",$F199*INDEX(المكونات!$C$2:$C$500,MATCH($C199,المكونات!$A$2:$A$500,0))),"")</f>
        <v/>
      </c>
    </row>
    <row r="200" customFormat="false" ht="15" hidden="false" customHeight="true" outlineLevel="0" collapsed="false">
      <c r="A200" s="49"/>
      <c r="B200" s="49"/>
      <c r="C200" s="49"/>
      <c r="D200" s="81"/>
      <c r="E200" s="81"/>
      <c r="F200" s="82" t="str">
        <f aca="false">IFERROR(IF($C200="","",$E200-$D200),"")</f>
        <v/>
      </c>
      <c r="G200" s="12" t="str">
        <f aca="false">IFERROR(IF(OR($C200="",$D200=0,$D200=""),"",$F200/$D200),"")</f>
        <v/>
      </c>
      <c r="H200" s="13" t="str">
        <f aca="false">IFERROR(IF($C200="","",$F200*INDEX(المكونات!$C$2:$C$500,MATCH($C200,المكونات!$A$2:$A$500,0))),"")</f>
        <v/>
      </c>
    </row>
    <row r="201" customFormat="false" ht="15" hidden="false" customHeight="true" outlineLevel="0" collapsed="false">
      <c r="A201" s="49"/>
      <c r="B201" s="49"/>
      <c r="C201" s="49"/>
      <c r="D201" s="81"/>
      <c r="E201" s="81"/>
      <c r="F201" s="82" t="str">
        <f aca="false">IFERROR(IF($C201="","",$E201-$D201),"")</f>
        <v/>
      </c>
      <c r="G201" s="12" t="str">
        <f aca="false">IFERROR(IF(OR($C201="",$D201=0,$D201=""),"",$F201/$D201),"")</f>
        <v/>
      </c>
      <c r="H201" s="13" t="str">
        <f aca="false">IFERROR(IF($C201="","",$F201*INDEX(المكونات!$C$2:$C$500,MATCH($C201,المكونات!$A$2:$A$500,0))),"")</f>
        <v/>
      </c>
    </row>
    <row r="202" customFormat="false" ht="15" hidden="false" customHeight="true" outlineLevel="0" collapsed="false">
      <c r="A202" s="49"/>
      <c r="B202" s="49"/>
      <c r="C202" s="49"/>
      <c r="D202" s="81"/>
      <c r="E202" s="81"/>
      <c r="F202" s="82" t="str">
        <f aca="false">IFERROR(IF($C202="","",$E202-$D202),"")</f>
        <v/>
      </c>
      <c r="G202" s="12" t="str">
        <f aca="false">IFERROR(IF(OR($C202="",$D202=0,$D202=""),"",$F202/$D202),"")</f>
        <v/>
      </c>
      <c r="H202" s="13" t="str">
        <f aca="false">IFERROR(IF($C202="","",$F202*INDEX(المكونات!$C$2:$C$500,MATCH($C202,المكونات!$A$2:$A$500,0))),"")</f>
        <v/>
      </c>
    </row>
    <row r="203" customFormat="false" ht="15" hidden="false" customHeight="true" outlineLevel="0" collapsed="false">
      <c r="A203" s="49"/>
      <c r="B203" s="49"/>
      <c r="C203" s="49"/>
      <c r="D203" s="81"/>
      <c r="E203" s="81"/>
      <c r="F203" s="82" t="str">
        <f aca="false">IFERROR(IF($C203="","",$E203-$D203),"")</f>
        <v/>
      </c>
      <c r="G203" s="12" t="str">
        <f aca="false">IFERROR(IF(OR($C203="",$D203=0,$D203=""),"",$F203/$D203),"")</f>
        <v/>
      </c>
      <c r="H203" s="13" t="str">
        <f aca="false">IFERROR(IF($C203="","",$F203*INDEX(المكونات!$C$2:$C$500,MATCH($C203,المكونات!$A$2:$A$500,0))),"")</f>
        <v/>
      </c>
    </row>
    <row r="204" customFormat="false" ht="15" hidden="false" customHeight="true" outlineLevel="0" collapsed="false">
      <c r="A204" s="49"/>
      <c r="B204" s="49"/>
      <c r="C204" s="49"/>
      <c r="D204" s="81"/>
      <c r="E204" s="81"/>
      <c r="F204" s="82" t="str">
        <f aca="false">IFERROR(IF($C204="","",$E204-$D204),"")</f>
        <v/>
      </c>
      <c r="G204" s="12" t="str">
        <f aca="false">IFERROR(IF(OR($C204="",$D204=0,$D204=""),"",$F204/$D204),"")</f>
        <v/>
      </c>
      <c r="H204" s="13" t="str">
        <f aca="false">IFERROR(IF($C204="","",$F204*INDEX(المكونات!$C$2:$C$500,MATCH($C204,المكونات!$A$2:$A$500,0))),"")</f>
        <v/>
      </c>
    </row>
    <row r="205" customFormat="false" ht="15" hidden="false" customHeight="true" outlineLevel="0" collapsed="false">
      <c r="A205" s="49"/>
      <c r="B205" s="49"/>
      <c r="C205" s="49"/>
      <c r="D205" s="81"/>
      <c r="E205" s="81"/>
      <c r="F205" s="82" t="str">
        <f aca="false">IFERROR(IF($C205="","",$E205-$D205),"")</f>
        <v/>
      </c>
      <c r="G205" s="12" t="str">
        <f aca="false">IFERROR(IF(OR($C205="",$D205=0,$D205=""),"",$F205/$D205),"")</f>
        <v/>
      </c>
      <c r="H205" s="13" t="str">
        <f aca="false">IFERROR(IF($C205="","",$F205*INDEX(المكونات!$C$2:$C$500,MATCH($C205,المكونات!$A$2:$A$500,0))),"")</f>
        <v/>
      </c>
    </row>
    <row r="206" customFormat="false" ht="15" hidden="false" customHeight="true" outlineLevel="0" collapsed="false">
      <c r="A206" s="49"/>
      <c r="B206" s="49"/>
      <c r="C206" s="49"/>
      <c r="D206" s="81"/>
      <c r="E206" s="81"/>
      <c r="F206" s="82" t="str">
        <f aca="false">IFERROR(IF($C206="","",$E206-$D206),"")</f>
        <v/>
      </c>
      <c r="G206" s="12" t="str">
        <f aca="false">IFERROR(IF(OR($C206="",$D206=0,$D206=""),"",$F206/$D206),"")</f>
        <v/>
      </c>
      <c r="H206" s="13" t="str">
        <f aca="false">IFERROR(IF($C206="","",$F206*INDEX(المكونات!$C$2:$C$500,MATCH($C206,المكونات!$A$2:$A$500,0))),"")</f>
        <v/>
      </c>
    </row>
    <row r="207" customFormat="false" ht="15" hidden="false" customHeight="true" outlineLevel="0" collapsed="false">
      <c r="A207" s="49"/>
      <c r="B207" s="49"/>
      <c r="C207" s="49"/>
      <c r="D207" s="81"/>
      <c r="E207" s="81"/>
      <c r="F207" s="82" t="str">
        <f aca="false">IFERROR(IF($C207="","",$E207-$D207),"")</f>
        <v/>
      </c>
      <c r="G207" s="12" t="str">
        <f aca="false">IFERROR(IF(OR($C207="",$D207=0,$D207=""),"",$F207/$D207),"")</f>
        <v/>
      </c>
      <c r="H207" s="13" t="str">
        <f aca="false">IFERROR(IF($C207="","",$F207*INDEX(المكونات!$C$2:$C$500,MATCH($C207,المكونات!$A$2:$A$500,0))),"")</f>
        <v/>
      </c>
    </row>
    <row r="208" customFormat="false" ht="15" hidden="false" customHeight="true" outlineLevel="0" collapsed="false">
      <c r="A208" s="49"/>
      <c r="B208" s="49"/>
      <c r="C208" s="49"/>
      <c r="D208" s="81"/>
      <c r="E208" s="81"/>
      <c r="F208" s="82" t="str">
        <f aca="false">IFERROR(IF($C208="","",$E208-$D208),"")</f>
        <v/>
      </c>
      <c r="G208" s="12" t="str">
        <f aca="false">IFERROR(IF(OR($C208="",$D208=0,$D208=""),"",$F208/$D208),"")</f>
        <v/>
      </c>
      <c r="H208" s="13" t="str">
        <f aca="false">IFERROR(IF($C208="","",$F208*INDEX(المكونات!$C$2:$C$500,MATCH($C208,المكونات!$A$2:$A$500,0))),"")</f>
        <v/>
      </c>
    </row>
    <row r="209" customFormat="false" ht="15" hidden="false" customHeight="true" outlineLevel="0" collapsed="false">
      <c r="A209" s="49"/>
      <c r="B209" s="49"/>
      <c r="C209" s="49"/>
      <c r="D209" s="81"/>
      <c r="E209" s="81"/>
      <c r="F209" s="82" t="str">
        <f aca="false">IFERROR(IF($C209="","",$E209-$D209),"")</f>
        <v/>
      </c>
      <c r="G209" s="12" t="str">
        <f aca="false">IFERROR(IF(OR($C209="",$D209=0,$D209=""),"",$F209/$D209),"")</f>
        <v/>
      </c>
      <c r="H209" s="13" t="str">
        <f aca="false">IFERROR(IF($C209="","",$F209*INDEX(المكونات!$C$2:$C$500,MATCH($C209,المكونات!$A$2:$A$500,0))),"")</f>
        <v/>
      </c>
    </row>
    <row r="210" customFormat="false" ht="15" hidden="false" customHeight="true" outlineLevel="0" collapsed="false">
      <c r="A210" s="49"/>
      <c r="B210" s="49"/>
      <c r="C210" s="49"/>
      <c r="D210" s="81"/>
      <c r="E210" s="81"/>
      <c r="F210" s="82" t="str">
        <f aca="false">IFERROR(IF($C210="","",$E210-$D210),"")</f>
        <v/>
      </c>
      <c r="G210" s="12" t="str">
        <f aca="false">IFERROR(IF(OR($C210="",$D210=0,$D210=""),"",$F210/$D210),"")</f>
        <v/>
      </c>
      <c r="H210" s="13" t="str">
        <f aca="false">IFERROR(IF($C210="","",$F210*INDEX(المكونات!$C$2:$C$500,MATCH($C210,المكونات!$A$2:$A$500,0))),"")</f>
        <v/>
      </c>
    </row>
    <row r="211" customFormat="false" ht="15" hidden="false" customHeight="true" outlineLevel="0" collapsed="false">
      <c r="A211" s="49"/>
      <c r="B211" s="49"/>
      <c r="C211" s="49"/>
      <c r="D211" s="81"/>
      <c r="E211" s="81"/>
      <c r="F211" s="82" t="str">
        <f aca="false">IFERROR(IF($C211="","",$E211-$D211),"")</f>
        <v/>
      </c>
      <c r="G211" s="12" t="str">
        <f aca="false">IFERROR(IF(OR($C211="",$D211=0,$D211=""),"",$F211/$D211),"")</f>
        <v/>
      </c>
      <c r="H211" s="13" t="str">
        <f aca="false">IFERROR(IF($C211="","",$F211*INDEX(المكونات!$C$2:$C$500,MATCH($C211,المكونات!$A$2:$A$500,0))),"")</f>
        <v/>
      </c>
    </row>
    <row r="212" customFormat="false" ht="15" hidden="false" customHeight="true" outlineLevel="0" collapsed="false">
      <c r="A212" s="49"/>
      <c r="B212" s="49"/>
      <c r="C212" s="49"/>
      <c r="D212" s="81"/>
      <c r="E212" s="81"/>
      <c r="F212" s="82" t="str">
        <f aca="false">IFERROR(IF($C212="","",$E212-$D212),"")</f>
        <v/>
      </c>
      <c r="G212" s="12" t="str">
        <f aca="false">IFERROR(IF(OR($C212="",$D212=0,$D212=""),"",$F212/$D212),"")</f>
        <v/>
      </c>
      <c r="H212" s="13" t="str">
        <f aca="false">IFERROR(IF($C212="","",$F212*INDEX(المكونات!$C$2:$C$500,MATCH($C212,المكونات!$A$2:$A$500,0))),"")</f>
        <v/>
      </c>
    </row>
    <row r="213" customFormat="false" ht="15" hidden="false" customHeight="true" outlineLevel="0" collapsed="false">
      <c r="A213" s="49"/>
      <c r="B213" s="49"/>
      <c r="C213" s="49"/>
      <c r="D213" s="81"/>
      <c r="E213" s="81"/>
      <c r="F213" s="82" t="str">
        <f aca="false">IFERROR(IF($C213="","",$E213-$D213),"")</f>
        <v/>
      </c>
      <c r="G213" s="12" t="str">
        <f aca="false">IFERROR(IF(OR($C213="",$D213=0,$D213=""),"",$F213/$D213),"")</f>
        <v/>
      </c>
      <c r="H213" s="13" t="str">
        <f aca="false">IFERROR(IF($C213="","",$F213*INDEX(المكونات!$C$2:$C$500,MATCH($C213,المكونات!$A$2:$A$500,0))),"")</f>
        <v/>
      </c>
    </row>
    <row r="214" customFormat="false" ht="15" hidden="false" customHeight="true" outlineLevel="0" collapsed="false">
      <c r="A214" s="49"/>
      <c r="B214" s="49"/>
      <c r="C214" s="49"/>
      <c r="D214" s="81"/>
      <c r="E214" s="81"/>
      <c r="F214" s="82" t="str">
        <f aca="false">IFERROR(IF($C214="","",$E214-$D214),"")</f>
        <v/>
      </c>
      <c r="G214" s="12" t="str">
        <f aca="false">IFERROR(IF(OR($C214="",$D214=0,$D214=""),"",$F214/$D214),"")</f>
        <v/>
      </c>
      <c r="H214" s="13" t="str">
        <f aca="false">IFERROR(IF($C214="","",$F214*INDEX(المكونات!$C$2:$C$500,MATCH($C214,المكونات!$A$2:$A$500,0))),"")</f>
        <v/>
      </c>
    </row>
    <row r="215" customFormat="false" ht="15" hidden="false" customHeight="true" outlineLevel="0" collapsed="false">
      <c r="A215" s="49"/>
      <c r="B215" s="49"/>
      <c r="C215" s="49"/>
      <c r="D215" s="81"/>
      <c r="E215" s="81"/>
      <c r="F215" s="82" t="str">
        <f aca="false">IFERROR(IF($C215="","",$E215-$D215),"")</f>
        <v/>
      </c>
      <c r="G215" s="12" t="str">
        <f aca="false">IFERROR(IF(OR($C215="",$D215=0,$D215=""),"",$F215/$D215),"")</f>
        <v/>
      </c>
      <c r="H215" s="13" t="str">
        <f aca="false">IFERROR(IF($C215="","",$F215*INDEX(المكونات!$C$2:$C$500,MATCH($C215,المكونات!$A$2:$A$500,0))),"")</f>
        <v/>
      </c>
    </row>
    <row r="216" customFormat="false" ht="15" hidden="false" customHeight="true" outlineLevel="0" collapsed="false">
      <c r="A216" s="49"/>
      <c r="B216" s="49"/>
      <c r="C216" s="49"/>
      <c r="D216" s="81"/>
      <c r="E216" s="81"/>
      <c r="F216" s="82" t="str">
        <f aca="false">IFERROR(IF($C216="","",$E216-$D216),"")</f>
        <v/>
      </c>
      <c r="G216" s="12" t="str">
        <f aca="false">IFERROR(IF(OR($C216="",$D216=0,$D216=""),"",$F216/$D216),"")</f>
        <v/>
      </c>
      <c r="H216" s="13" t="str">
        <f aca="false">IFERROR(IF($C216="","",$F216*INDEX(المكونات!$C$2:$C$500,MATCH($C216,المكونات!$A$2:$A$500,0))),"")</f>
        <v/>
      </c>
    </row>
    <row r="217" customFormat="false" ht="15" hidden="false" customHeight="true" outlineLevel="0" collapsed="false">
      <c r="A217" s="49"/>
      <c r="B217" s="49"/>
      <c r="C217" s="49"/>
      <c r="D217" s="81"/>
      <c r="E217" s="81"/>
      <c r="F217" s="82" t="str">
        <f aca="false">IFERROR(IF($C217="","",$E217-$D217),"")</f>
        <v/>
      </c>
      <c r="G217" s="12" t="str">
        <f aca="false">IFERROR(IF(OR($C217="",$D217=0,$D217=""),"",$F217/$D217),"")</f>
        <v/>
      </c>
      <c r="H217" s="13" t="str">
        <f aca="false">IFERROR(IF($C217="","",$F217*INDEX(المكونات!$C$2:$C$500,MATCH($C217,المكونات!$A$2:$A$500,0))),"")</f>
        <v/>
      </c>
    </row>
    <row r="218" customFormat="false" ht="15" hidden="false" customHeight="true" outlineLevel="0" collapsed="false">
      <c r="A218" s="49"/>
      <c r="B218" s="49"/>
      <c r="C218" s="49"/>
      <c r="D218" s="81"/>
      <c r="E218" s="81"/>
      <c r="F218" s="82" t="str">
        <f aca="false">IFERROR(IF($C218="","",$E218-$D218),"")</f>
        <v/>
      </c>
      <c r="G218" s="12" t="str">
        <f aca="false">IFERROR(IF(OR($C218="",$D218=0,$D218=""),"",$F218/$D218),"")</f>
        <v/>
      </c>
      <c r="H218" s="13" t="str">
        <f aca="false">IFERROR(IF($C218="","",$F218*INDEX(المكونات!$C$2:$C$500,MATCH($C218,المكونات!$A$2:$A$500,0))),"")</f>
        <v/>
      </c>
    </row>
    <row r="219" customFormat="false" ht="15" hidden="false" customHeight="true" outlineLevel="0" collapsed="false">
      <c r="A219" s="49"/>
      <c r="B219" s="49"/>
      <c r="C219" s="49"/>
      <c r="D219" s="81"/>
      <c r="E219" s="81"/>
      <c r="F219" s="82" t="str">
        <f aca="false">IFERROR(IF($C219="","",$E219-$D219),"")</f>
        <v/>
      </c>
      <c r="G219" s="12" t="str">
        <f aca="false">IFERROR(IF(OR($C219="",$D219=0,$D219=""),"",$F219/$D219),"")</f>
        <v/>
      </c>
      <c r="H219" s="13" t="str">
        <f aca="false">IFERROR(IF($C219="","",$F219*INDEX(المكونات!$C$2:$C$500,MATCH($C219,المكونات!$A$2:$A$500,0))),"")</f>
        <v/>
      </c>
    </row>
    <row r="220" customFormat="false" ht="15" hidden="false" customHeight="true" outlineLevel="0" collapsed="false">
      <c r="A220" s="49"/>
      <c r="B220" s="49"/>
      <c r="C220" s="49"/>
      <c r="D220" s="81"/>
      <c r="E220" s="81"/>
      <c r="F220" s="82" t="str">
        <f aca="false">IFERROR(IF($C220="","",$E220-$D220),"")</f>
        <v/>
      </c>
      <c r="G220" s="12" t="str">
        <f aca="false">IFERROR(IF(OR($C220="",$D220=0,$D220=""),"",$F220/$D220),"")</f>
        <v/>
      </c>
      <c r="H220" s="13" t="str">
        <f aca="false">IFERROR(IF($C220="","",$F220*INDEX(المكونات!$C$2:$C$500,MATCH($C220,المكونات!$A$2:$A$500,0))),"")</f>
        <v/>
      </c>
    </row>
    <row r="221" customFormat="false" ht="15" hidden="false" customHeight="true" outlineLevel="0" collapsed="false">
      <c r="A221" s="49"/>
      <c r="B221" s="49"/>
      <c r="C221" s="49"/>
      <c r="D221" s="81"/>
      <c r="E221" s="81"/>
      <c r="F221" s="82" t="str">
        <f aca="false">IFERROR(IF($C221="","",$E221-$D221),"")</f>
        <v/>
      </c>
      <c r="G221" s="12" t="str">
        <f aca="false">IFERROR(IF(OR($C221="",$D221=0,$D221=""),"",$F221/$D221),"")</f>
        <v/>
      </c>
      <c r="H221" s="13" t="str">
        <f aca="false">IFERROR(IF($C221="","",$F221*INDEX(المكونات!$C$2:$C$500,MATCH($C221,المكونات!$A$2:$A$500,0))),"")</f>
        <v/>
      </c>
    </row>
    <row r="222" customFormat="false" ht="15" hidden="false" customHeight="true" outlineLevel="0" collapsed="false">
      <c r="A222" s="49"/>
      <c r="B222" s="49"/>
      <c r="C222" s="49"/>
      <c r="D222" s="81"/>
      <c r="E222" s="81"/>
      <c r="F222" s="82" t="str">
        <f aca="false">IFERROR(IF($C222="","",$E222-$D222),"")</f>
        <v/>
      </c>
      <c r="G222" s="12" t="str">
        <f aca="false">IFERROR(IF(OR($C222="",$D222=0,$D222=""),"",$F222/$D222),"")</f>
        <v/>
      </c>
      <c r="H222" s="13" t="str">
        <f aca="false">IFERROR(IF($C222="","",$F222*INDEX(المكونات!$C$2:$C$500,MATCH($C222,المكونات!$A$2:$A$500,0))),"")</f>
        <v/>
      </c>
    </row>
    <row r="223" customFormat="false" ht="15" hidden="false" customHeight="true" outlineLevel="0" collapsed="false">
      <c r="A223" s="49"/>
      <c r="B223" s="49"/>
      <c r="C223" s="49"/>
      <c r="D223" s="81"/>
      <c r="E223" s="81"/>
      <c r="F223" s="82" t="str">
        <f aca="false">IFERROR(IF($C223="","",$E223-$D223),"")</f>
        <v/>
      </c>
      <c r="G223" s="12" t="str">
        <f aca="false">IFERROR(IF(OR($C223="",$D223=0,$D223=""),"",$F223/$D223),"")</f>
        <v/>
      </c>
      <c r="H223" s="13" t="str">
        <f aca="false">IFERROR(IF($C223="","",$F223*INDEX(المكونات!$C$2:$C$500,MATCH($C223,المكونات!$A$2:$A$500,0))),"")</f>
        <v/>
      </c>
    </row>
    <row r="224" customFormat="false" ht="15" hidden="false" customHeight="true" outlineLevel="0" collapsed="false">
      <c r="A224" s="49"/>
      <c r="B224" s="49"/>
      <c r="C224" s="49"/>
      <c r="D224" s="81"/>
      <c r="E224" s="81"/>
      <c r="F224" s="82" t="str">
        <f aca="false">IFERROR(IF($C224="","",$E224-$D224),"")</f>
        <v/>
      </c>
      <c r="G224" s="12" t="str">
        <f aca="false">IFERROR(IF(OR($C224="",$D224=0,$D224=""),"",$F224/$D224),"")</f>
        <v/>
      </c>
      <c r="H224" s="13" t="str">
        <f aca="false">IFERROR(IF($C224="","",$F224*INDEX(المكونات!$C$2:$C$500,MATCH($C224,المكونات!$A$2:$A$500,0))),"")</f>
        <v/>
      </c>
    </row>
    <row r="225" customFormat="false" ht="15" hidden="false" customHeight="true" outlineLevel="0" collapsed="false">
      <c r="A225" s="49"/>
      <c r="B225" s="49"/>
      <c r="C225" s="49"/>
      <c r="D225" s="81"/>
      <c r="E225" s="81"/>
      <c r="F225" s="82" t="str">
        <f aca="false">IFERROR(IF($C225="","",$E225-$D225),"")</f>
        <v/>
      </c>
      <c r="G225" s="12" t="str">
        <f aca="false">IFERROR(IF(OR($C225="",$D225=0,$D225=""),"",$F225/$D225),"")</f>
        <v/>
      </c>
      <c r="H225" s="13" t="str">
        <f aca="false">IFERROR(IF($C225="","",$F225*INDEX(المكونات!$C$2:$C$500,MATCH($C225,المكونات!$A$2:$A$500,0))),"")</f>
        <v/>
      </c>
    </row>
    <row r="226" customFormat="false" ht="15" hidden="false" customHeight="true" outlineLevel="0" collapsed="false">
      <c r="A226" s="49"/>
      <c r="B226" s="49"/>
      <c r="C226" s="49"/>
      <c r="D226" s="81"/>
      <c r="E226" s="81"/>
      <c r="F226" s="82" t="str">
        <f aca="false">IFERROR(IF($C226="","",$E226-$D226),"")</f>
        <v/>
      </c>
      <c r="G226" s="12" t="str">
        <f aca="false">IFERROR(IF(OR($C226="",$D226=0,$D226=""),"",$F226/$D226),"")</f>
        <v/>
      </c>
      <c r="H226" s="13" t="str">
        <f aca="false">IFERROR(IF($C226="","",$F226*INDEX(المكونات!$C$2:$C$500,MATCH($C226,المكونات!$A$2:$A$500,0))),"")</f>
        <v/>
      </c>
    </row>
    <row r="227" customFormat="false" ht="15" hidden="false" customHeight="true" outlineLevel="0" collapsed="false">
      <c r="A227" s="49"/>
      <c r="B227" s="49"/>
      <c r="C227" s="49"/>
      <c r="D227" s="81"/>
      <c r="E227" s="81"/>
      <c r="F227" s="82" t="str">
        <f aca="false">IFERROR(IF($C227="","",$E227-$D227),"")</f>
        <v/>
      </c>
      <c r="G227" s="12" t="str">
        <f aca="false">IFERROR(IF(OR($C227="",$D227=0,$D227=""),"",$F227/$D227),"")</f>
        <v/>
      </c>
      <c r="H227" s="13" t="str">
        <f aca="false">IFERROR(IF($C227="","",$F227*INDEX(المكونات!$C$2:$C$500,MATCH($C227,المكونات!$A$2:$A$500,0))),"")</f>
        <v/>
      </c>
    </row>
    <row r="228" customFormat="false" ht="15" hidden="false" customHeight="true" outlineLevel="0" collapsed="false">
      <c r="A228" s="49"/>
      <c r="B228" s="49"/>
      <c r="C228" s="49"/>
      <c r="D228" s="81"/>
      <c r="E228" s="81"/>
      <c r="F228" s="82" t="str">
        <f aca="false">IFERROR(IF($C228="","",$E228-$D228),"")</f>
        <v/>
      </c>
      <c r="G228" s="12" t="str">
        <f aca="false">IFERROR(IF(OR($C228="",$D228=0,$D228=""),"",$F228/$D228),"")</f>
        <v/>
      </c>
      <c r="H228" s="13" t="str">
        <f aca="false">IFERROR(IF($C228="","",$F228*INDEX(المكونات!$C$2:$C$500,MATCH($C228,المكونات!$A$2:$A$500,0))),"")</f>
        <v/>
      </c>
    </row>
    <row r="229" customFormat="false" ht="15" hidden="false" customHeight="true" outlineLevel="0" collapsed="false">
      <c r="A229" s="49"/>
      <c r="B229" s="49"/>
      <c r="C229" s="49"/>
      <c r="D229" s="81"/>
      <c r="E229" s="81"/>
      <c r="F229" s="82" t="str">
        <f aca="false">IFERROR(IF($C229="","",$E229-$D229),"")</f>
        <v/>
      </c>
      <c r="G229" s="12" t="str">
        <f aca="false">IFERROR(IF(OR($C229="",$D229=0,$D229=""),"",$F229/$D229),"")</f>
        <v/>
      </c>
      <c r="H229" s="13" t="str">
        <f aca="false">IFERROR(IF($C229="","",$F229*INDEX(المكونات!$C$2:$C$500,MATCH($C229,المكونات!$A$2:$A$500,0))),"")</f>
        <v/>
      </c>
    </row>
    <row r="230" customFormat="false" ht="15" hidden="false" customHeight="true" outlineLevel="0" collapsed="false">
      <c r="A230" s="49"/>
      <c r="B230" s="49"/>
      <c r="C230" s="49"/>
      <c r="D230" s="81"/>
      <c r="E230" s="81"/>
      <c r="F230" s="82" t="str">
        <f aca="false">IFERROR(IF($C230="","",$E230-$D230),"")</f>
        <v/>
      </c>
      <c r="G230" s="12" t="str">
        <f aca="false">IFERROR(IF(OR($C230="",$D230=0,$D230=""),"",$F230/$D230),"")</f>
        <v/>
      </c>
      <c r="H230" s="13" t="str">
        <f aca="false">IFERROR(IF($C230="","",$F230*INDEX(المكونات!$C$2:$C$500,MATCH($C230,المكونات!$A$2:$A$500,0))),"")</f>
        <v/>
      </c>
    </row>
    <row r="231" customFormat="false" ht="15" hidden="false" customHeight="true" outlineLevel="0" collapsed="false">
      <c r="A231" s="49"/>
      <c r="B231" s="49"/>
      <c r="C231" s="49"/>
      <c r="D231" s="81"/>
      <c r="E231" s="81"/>
      <c r="F231" s="82" t="str">
        <f aca="false">IFERROR(IF($C231="","",$E231-$D231),"")</f>
        <v/>
      </c>
      <c r="G231" s="12" t="str">
        <f aca="false">IFERROR(IF(OR($C231="",$D231=0,$D231=""),"",$F231/$D231),"")</f>
        <v/>
      </c>
      <c r="H231" s="13" t="str">
        <f aca="false">IFERROR(IF($C231="","",$F231*INDEX(المكونات!$C$2:$C$500,MATCH($C231,المكونات!$A$2:$A$500,0))),"")</f>
        <v/>
      </c>
    </row>
    <row r="232" customFormat="false" ht="15" hidden="false" customHeight="true" outlineLevel="0" collapsed="false">
      <c r="A232" s="49"/>
      <c r="B232" s="49"/>
      <c r="C232" s="49"/>
      <c r="D232" s="81"/>
      <c r="E232" s="81"/>
      <c r="F232" s="82" t="str">
        <f aca="false">IFERROR(IF($C232="","",$E232-$D232),"")</f>
        <v/>
      </c>
      <c r="G232" s="12" t="str">
        <f aca="false">IFERROR(IF(OR($C232="",$D232=0,$D232=""),"",$F232/$D232),"")</f>
        <v/>
      </c>
      <c r="H232" s="13" t="str">
        <f aca="false">IFERROR(IF($C232="","",$F232*INDEX(المكونات!$C$2:$C$500,MATCH($C232,المكونات!$A$2:$A$500,0))),"")</f>
        <v/>
      </c>
    </row>
    <row r="233" customFormat="false" ht="15" hidden="false" customHeight="true" outlineLevel="0" collapsed="false">
      <c r="A233" s="49"/>
      <c r="B233" s="49"/>
      <c r="C233" s="49"/>
      <c r="D233" s="81"/>
      <c r="E233" s="81"/>
      <c r="F233" s="82" t="str">
        <f aca="false">IFERROR(IF($C233="","",$E233-$D233),"")</f>
        <v/>
      </c>
      <c r="G233" s="12" t="str">
        <f aca="false">IFERROR(IF(OR($C233="",$D233=0,$D233=""),"",$F233/$D233),"")</f>
        <v/>
      </c>
      <c r="H233" s="13" t="str">
        <f aca="false">IFERROR(IF($C233="","",$F233*INDEX(المكونات!$C$2:$C$500,MATCH($C233,المكونات!$A$2:$A$500,0))),"")</f>
        <v/>
      </c>
    </row>
    <row r="234" customFormat="false" ht="15" hidden="false" customHeight="true" outlineLevel="0" collapsed="false">
      <c r="A234" s="49"/>
      <c r="B234" s="49"/>
      <c r="C234" s="49"/>
      <c r="D234" s="81"/>
      <c r="E234" s="81"/>
      <c r="F234" s="82" t="str">
        <f aca="false">IFERROR(IF($C234="","",$E234-$D234),"")</f>
        <v/>
      </c>
      <c r="G234" s="12" t="str">
        <f aca="false">IFERROR(IF(OR($C234="",$D234=0,$D234=""),"",$F234/$D234),"")</f>
        <v/>
      </c>
      <c r="H234" s="13" t="str">
        <f aca="false">IFERROR(IF($C234="","",$F234*INDEX(المكونات!$C$2:$C$500,MATCH($C234,المكونات!$A$2:$A$500,0))),"")</f>
        <v/>
      </c>
    </row>
    <row r="235" customFormat="false" ht="15" hidden="false" customHeight="true" outlineLevel="0" collapsed="false">
      <c r="A235" s="49"/>
      <c r="B235" s="49"/>
      <c r="C235" s="49"/>
      <c r="D235" s="81"/>
      <c r="E235" s="81"/>
      <c r="F235" s="82" t="str">
        <f aca="false">IFERROR(IF($C235="","",$E235-$D235),"")</f>
        <v/>
      </c>
      <c r="G235" s="12" t="str">
        <f aca="false">IFERROR(IF(OR($C235="",$D235=0,$D235=""),"",$F235/$D235),"")</f>
        <v/>
      </c>
      <c r="H235" s="13" t="str">
        <f aca="false">IFERROR(IF($C235="","",$F235*INDEX(المكونات!$C$2:$C$500,MATCH($C235,المكونات!$A$2:$A$500,0))),"")</f>
        <v/>
      </c>
    </row>
    <row r="236" customFormat="false" ht="15" hidden="false" customHeight="true" outlineLevel="0" collapsed="false">
      <c r="A236" s="49"/>
      <c r="B236" s="49"/>
      <c r="C236" s="49"/>
      <c r="D236" s="81"/>
      <c r="E236" s="81"/>
      <c r="F236" s="82" t="str">
        <f aca="false">IFERROR(IF($C236="","",$E236-$D236),"")</f>
        <v/>
      </c>
      <c r="G236" s="12" t="str">
        <f aca="false">IFERROR(IF(OR($C236="",$D236=0,$D236=""),"",$F236/$D236),"")</f>
        <v/>
      </c>
      <c r="H236" s="13" t="str">
        <f aca="false">IFERROR(IF($C236="","",$F236*INDEX(المكونات!$C$2:$C$500,MATCH($C236,المكونات!$A$2:$A$500,0))),"")</f>
        <v/>
      </c>
    </row>
    <row r="237" customFormat="false" ht="15" hidden="false" customHeight="true" outlineLevel="0" collapsed="false">
      <c r="A237" s="49"/>
      <c r="B237" s="49"/>
      <c r="C237" s="49"/>
      <c r="D237" s="81"/>
      <c r="E237" s="81"/>
      <c r="F237" s="82" t="str">
        <f aca="false">IFERROR(IF($C237="","",$E237-$D237),"")</f>
        <v/>
      </c>
      <c r="G237" s="12" t="str">
        <f aca="false">IFERROR(IF(OR($C237="",$D237=0,$D237=""),"",$F237/$D237),"")</f>
        <v/>
      </c>
      <c r="H237" s="13" t="str">
        <f aca="false">IFERROR(IF($C237="","",$F237*INDEX(المكونات!$C$2:$C$500,MATCH($C237,المكونات!$A$2:$A$500,0))),"")</f>
        <v/>
      </c>
    </row>
    <row r="238" customFormat="false" ht="15" hidden="false" customHeight="true" outlineLevel="0" collapsed="false">
      <c r="A238" s="49"/>
      <c r="B238" s="49"/>
      <c r="C238" s="49"/>
      <c r="D238" s="81"/>
      <c r="E238" s="81"/>
      <c r="F238" s="82" t="str">
        <f aca="false">IFERROR(IF($C238="","",$E238-$D238),"")</f>
        <v/>
      </c>
      <c r="G238" s="12" t="str">
        <f aca="false">IFERROR(IF(OR($C238="",$D238=0,$D238=""),"",$F238/$D238),"")</f>
        <v/>
      </c>
      <c r="H238" s="13" t="str">
        <f aca="false">IFERROR(IF($C238="","",$F238*INDEX(المكونات!$C$2:$C$500,MATCH($C238,المكونات!$A$2:$A$500,0))),"")</f>
        <v/>
      </c>
    </row>
    <row r="239" customFormat="false" ht="15" hidden="false" customHeight="true" outlineLevel="0" collapsed="false">
      <c r="A239" s="49"/>
      <c r="B239" s="49"/>
      <c r="C239" s="49"/>
      <c r="D239" s="81"/>
      <c r="E239" s="81"/>
      <c r="F239" s="82" t="str">
        <f aca="false">IFERROR(IF($C239="","",$E239-$D239),"")</f>
        <v/>
      </c>
      <c r="G239" s="12" t="str">
        <f aca="false">IFERROR(IF(OR($C239="",$D239=0,$D239=""),"",$F239/$D239),"")</f>
        <v/>
      </c>
      <c r="H239" s="13" t="str">
        <f aca="false">IFERROR(IF($C239="","",$F239*INDEX(المكونات!$C$2:$C$500,MATCH($C239,المكونات!$A$2:$A$500,0))),"")</f>
        <v/>
      </c>
    </row>
    <row r="240" customFormat="false" ht="15" hidden="false" customHeight="true" outlineLevel="0" collapsed="false">
      <c r="A240" s="49"/>
      <c r="B240" s="49"/>
      <c r="C240" s="49"/>
      <c r="D240" s="81"/>
      <c r="E240" s="81"/>
      <c r="F240" s="82" t="str">
        <f aca="false">IFERROR(IF($C240="","",$E240-$D240),"")</f>
        <v/>
      </c>
      <c r="G240" s="12" t="str">
        <f aca="false">IFERROR(IF(OR($C240="",$D240=0,$D240=""),"",$F240/$D240),"")</f>
        <v/>
      </c>
      <c r="H240" s="13" t="str">
        <f aca="false">IFERROR(IF($C240="","",$F240*INDEX(المكونات!$C$2:$C$500,MATCH($C240,المكونات!$A$2:$A$500,0))),"")</f>
        <v/>
      </c>
    </row>
    <row r="241" customFormat="false" ht="15" hidden="false" customHeight="true" outlineLevel="0" collapsed="false">
      <c r="A241" s="49"/>
      <c r="B241" s="49"/>
      <c r="C241" s="49"/>
      <c r="D241" s="81"/>
      <c r="E241" s="81"/>
      <c r="F241" s="82" t="str">
        <f aca="false">IFERROR(IF($C241="","",$E241-$D241),"")</f>
        <v/>
      </c>
      <c r="G241" s="12" t="str">
        <f aca="false">IFERROR(IF(OR($C241="",$D241=0,$D241=""),"",$F241/$D241),"")</f>
        <v/>
      </c>
      <c r="H241" s="13" t="str">
        <f aca="false">IFERROR(IF($C241="","",$F241*INDEX(المكونات!$C$2:$C$500,MATCH($C241,المكونات!$A$2:$A$500,0))),"")</f>
        <v/>
      </c>
    </row>
    <row r="242" customFormat="false" ht="15" hidden="false" customHeight="true" outlineLevel="0" collapsed="false">
      <c r="A242" s="49"/>
      <c r="B242" s="49"/>
      <c r="C242" s="49"/>
      <c r="D242" s="81"/>
      <c r="E242" s="81"/>
      <c r="F242" s="82" t="str">
        <f aca="false">IFERROR(IF($C242="","",$E242-$D242),"")</f>
        <v/>
      </c>
      <c r="G242" s="12" t="str">
        <f aca="false">IFERROR(IF(OR($C242="",$D242=0,$D242=""),"",$F242/$D242),"")</f>
        <v/>
      </c>
      <c r="H242" s="13" t="str">
        <f aca="false">IFERROR(IF($C242="","",$F242*INDEX(المكونات!$C$2:$C$500,MATCH($C242,المكونات!$A$2:$A$500,0))),"")</f>
        <v/>
      </c>
    </row>
    <row r="243" customFormat="false" ht="15" hidden="false" customHeight="true" outlineLevel="0" collapsed="false">
      <c r="A243" s="49"/>
      <c r="B243" s="49"/>
      <c r="C243" s="49"/>
      <c r="D243" s="81"/>
      <c r="E243" s="81"/>
      <c r="F243" s="82" t="str">
        <f aca="false">IFERROR(IF($C243="","",$E243-$D243),"")</f>
        <v/>
      </c>
      <c r="G243" s="12" t="str">
        <f aca="false">IFERROR(IF(OR($C243="",$D243=0,$D243=""),"",$F243/$D243),"")</f>
        <v/>
      </c>
      <c r="H243" s="13" t="str">
        <f aca="false">IFERROR(IF($C243="","",$F243*INDEX(المكونات!$C$2:$C$500,MATCH($C243,المكونات!$A$2:$A$500,0))),"")</f>
        <v/>
      </c>
    </row>
    <row r="244" customFormat="false" ht="15" hidden="false" customHeight="true" outlineLevel="0" collapsed="false">
      <c r="A244" s="49"/>
      <c r="B244" s="49"/>
      <c r="C244" s="49"/>
      <c r="D244" s="81"/>
      <c r="E244" s="81"/>
      <c r="F244" s="82" t="str">
        <f aca="false">IFERROR(IF($C244="","",$E244-$D244),"")</f>
        <v/>
      </c>
      <c r="G244" s="12" t="str">
        <f aca="false">IFERROR(IF(OR($C244="",$D244=0,$D244=""),"",$F244/$D244),"")</f>
        <v/>
      </c>
      <c r="H244" s="13" t="str">
        <f aca="false">IFERROR(IF($C244="","",$F244*INDEX(المكونات!$C$2:$C$500,MATCH($C244,المكونات!$A$2:$A$500,0))),"")</f>
        <v/>
      </c>
    </row>
    <row r="245" customFormat="false" ht="15" hidden="false" customHeight="true" outlineLevel="0" collapsed="false">
      <c r="A245" s="49"/>
      <c r="B245" s="49"/>
      <c r="C245" s="49"/>
      <c r="D245" s="81"/>
      <c r="E245" s="81"/>
      <c r="F245" s="82" t="str">
        <f aca="false">IFERROR(IF($C245="","",$E245-$D245),"")</f>
        <v/>
      </c>
      <c r="G245" s="12" t="str">
        <f aca="false">IFERROR(IF(OR($C245="",$D245=0,$D245=""),"",$F245/$D245),"")</f>
        <v/>
      </c>
      <c r="H245" s="13" t="str">
        <f aca="false">IFERROR(IF($C245="","",$F245*INDEX(المكونات!$C$2:$C$500,MATCH($C245,المكونات!$A$2:$A$500,0))),"")</f>
        <v/>
      </c>
    </row>
    <row r="246" customFormat="false" ht="15" hidden="false" customHeight="true" outlineLevel="0" collapsed="false">
      <c r="A246" s="49"/>
      <c r="B246" s="49"/>
      <c r="C246" s="49"/>
      <c r="D246" s="81"/>
      <c r="E246" s="81"/>
      <c r="F246" s="82" t="str">
        <f aca="false">IFERROR(IF($C246="","",$E246-$D246),"")</f>
        <v/>
      </c>
      <c r="G246" s="12" t="str">
        <f aca="false">IFERROR(IF(OR($C246="",$D246=0,$D246=""),"",$F246/$D246),"")</f>
        <v/>
      </c>
      <c r="H246" s="13" t="str">
        <f aca="false">IFERROR(IF($C246="","",$F246*INDEX(المكونات!$C$2:$C$500,MATCH($C246,المكونات!$A$2:$A$500,0))),"")</f>
        <v/>
      </c>
    </row>
    <row r="247" customFormat="false" ht="15" hidden="false" customHeight="true" outlineLevel="0" collapsed="false">
      <c r="A247" s="49"/>
      <c r="B247" s="49"/>
      <c r="C247" s="49"/>
      <c r="D247" s="81"/>
      <c r="E247" s="81"/>
      <c r="F247" s="82" t="str">
        <f aca="false">IFERROR(IF($C247="","",$E247-$D247),"")</f>
        <v/>
      </c>
      <c r="G247" s="12" t="str">
        <f aca="false">IFERROR(IF(OR($C247="",$D247=0,$D247=""),"",$F247/$D247),"")</f>
        <v/>
      </c>
      <c r="H247" s="13" t="str">
        <f aca="false">IFERROR(IF($C247="","",$F247*INDEX(المكونات!$C$2:$C$500,MATCH($C247,المكونات!$A$2:$A$500,0))),"")</f>
        <v/>
      </c>
    </row>
    <row r="248" customFormat="false" ht="15" hidden="false" customHeight="true" outlineLevel="0" collapsed="false">
      <c r="A248" s="49"/>
      <c r="B248" s="49"/>
      <c r="C248" s="49"/>
      <c r="D248" s="81"/>
      <c r="E248" s="81"/>
      <c r="F248" s="82" t="str">
        <f aca="false">IFERROR(IF($C248="","",$E248-$D248),"")</f>
        <v/>
      </c>
      <c r="G248" s="12" t="str">
        <f aca="false">IFERROR(IF(OR($C248="",$D248=0,$D248=""),"",$F248/$D248),"")</f>
        <v/>
      </c>
      <c r="H248" s="13" t="str">
        <f aca="false">IFERROR(IF($C248="","",$F248*INDEX(المكونات!$C$2:$C$500,MATCH($C248,المكونات!$A$2:$A$500,0))),"")</f>
        <v/>
      </c>
    </row>
    <row r="249" customFormat="false" ht="15" hidden="false" customHeight="true" outlineLevel="0" collapsed="false">
      <c r="A249" s="49"/>
      <c r="B249" s="49"/>
      <c r="C249" s="49"/>
      <c r="D249" s="81"/>
      <c r="E249" s="81"/>
      <c r="F249" s="82" t="str">
        <f aca="false">IFERROR(IF($C249="","",$E249-$D249),"")</f>
        <v/>
      </c>
      <c r="G249" s="12" t="str">
        <f aca="false">IFERROR(IF(OR($C249="",$D249=0,$D249=""),"",$F249/$D249),"")</f>
        <v/>
      </c>
      <c r="H249" s="13" t="str">
        <f aca="false">IFERROR(IF($C249="","",$F249*INDEX(المكونات!$C$2:$C$500,MATCH($C249,المكونات!$A$2:$A$500,0))),"")</f>
        <v/>
      </c>
    </row>
    <row r="250" customFormat="false" ht="15" hidden="false" customHeight="true" outlineLevel="0" collapsed="false">
      <c r="A250" s="49"/>
      <c r="B250" s="49"/>
      <c r="C250" s="49"/>
      <c r="D250" s="81"/>
      <c r="E250" s="81"/>
      <c r="F250" s="82" t="str">
        <f aca="false">IFERROR(IF($C250="","",$E250-$D250),"")</f>
        <v/>
      </c>
      <c r="G250" s="12" t="str">
        <f aca="false">IFERROR(IF(OR($C250="",$D250=0,$D250=""),"",$F250/$D250),"")</f>
        <v/>
      </c>
      <c r="H250" s="13" t="str">
        <f aca="false">IFERROR(IF($C250="","",$F250*INDEX(المكونات!$C$2:$C$500,MATCH($C250,المكونات!$A$2:$A$500,0))),"")</f>
        <v/>
      </c>
    </row>
    <row r="251" customFormat="false" ht="15" hidden="false" customHeight="true" outlineLevel="0" collapsed="false">
      <c r="A251" s="49"/>
      <c r="B251" s="49"/>
      <c r="C251" s="49"/>
      <c r="D251" s="81"/>
      <c r="E251" s="81"/>
      <c r="F251" s="82" t="str">
        <f aca="false">IFERROR(IF($C251="","",$E251-$D251),"")</f>
        <v/>
      </c>
      <c r="G251" s="12" t="str">
        <f aca="false">IFERROR(IF(OR($C251="",$D251=0,$D251=""),"",$F251/$D251),"")</f>
        <v/>
      </c>
      <c r="H251" s="13" t="str">
        <f aca="false">IFERROR(IF($C251="","",$F251*INDEX(المكونات!$C$2:$C$500,MATCH($C251,المكونات!$A$2:$A$500,0))),"")</f>
        <v/>
      </c>
    </row>
    <row r="252" customFormat="false" ht="15" hidden="false" customHeight="true" outlineLevel="0" collapsed="false">
      <c r="A252" s="49"/>
      <c r="B252" s="49"/>
      <c r="C252" s="49"/>
      <c r="D252" s="81"/>
      <c r="E252" s="81"/>
      <c r="F252" s="82" t="str">
        <f aca="false">IFERROR(IF($C252="","",$E252-$D252),"")</f>
        <v/>
      </c>
      <c r="G252" s="12" t="str">
        <f aca="false">IFERROR(IF(OR($C252="",$D252=0,$D252=""),"",$F252/$D252),"")</f>
        <v/>
      </c>
      <c r="H252" s="13" t="str">
        <f aca="false">IFERROR(IF($C252="","",$F252*INDEX(المكونات!$C$2:$C$500,MATCH($C252,المكونات!$A$2:$A$500,0))),"")</f>
        <v/>
      </c>
    </row>
    <row r="253" customFormat="false" ht="15" hidden="false" customHeight="true" outlineLevel="0" collapsed="false">
      <c r="A253" s="49"/>
      <c r="B253" s="49"/>
      <c r="C253" s="49"/>
      <c r="D253" s="81"/>
      <c r="E253" s="81"/>
      <c r="F253" s="82" t="str">
        <f aca="false">IFERROR(IF($C253="","",$E253-$D253),"")</f>
        <v/>
      </c>
      <c r="G253" s="12" t="str">
        <f aca="false">IFERROR(IF(OR($C253="",$D253=0,$D253=""),"",$F253/$D253),"")</f>
        <v/>
      </c>
      <c r="H253" s="13" t="str">
        <f aca="false">IFERROR(IF($C253="","",$F253*INDEX(المكونات!$C$2:$C$500,MATCH($C253,المكونات!$A$2:$A$500,0))),"")</f>
        <v/>
      </c>
    </row>
    <row r="254" customFormat="false" ht="15" hidden="false" customHeight="true" outlineLevel="0" collapsed="false">
      <c r="A254" s="49"/>
      <c r="B254" s="49"/>
      <c r="C254" s="49"/>
      <c r="D254" s="81"/>
      <c r="E254" s="81"/>
      <c r="F254" s="82" t="str">
        <f aca="false">IFERROR(IF($C254="","",$E254-$D254),"")</f>
        <v/>
      </c>
      <c r="G254" s="12" t="str">
        <f aca="false">IFERROR(IF(OR($C254="",$D254=0,$D254=""),"",$F254/$D254),"")</f>
        <v/>
      </c>
      <c r="H254" s="13" t="str">
        <f aca="false">IFERROR(IF($C254="","",$F254*INDEX(المكونات!$C$2:$C$500,MATCH($C254,المكونات!$A$2:$A$500,0))),"")</f>
        <v/>
      </c>
    </row>
    <row r="255" customFormat="false" ht="15" hidden="false" customHeight="true" outlineLevel="0" collapsed="false">
      <c r="A255" s="49"/>
      <c r="B255" s="49"/>
      <c r="C255" s="49"/>
      <c r="D255" s="81"/>
      <c r="E255" s="81"/>
      <c r="F255" s="82" t="str">
        <f aca="false">IFERROR(IF($C255="","",$E255-$D255),"")</f>
        <v/>
      </c>
      <c r="G255" s="12" t="str">
        <f aca="false">IFERROR(IF(OR($C255="",$D255=0,$D255=""),"",$F255/$D255),"")</f>
        <v/>
      </c>
      <c r="H255" s="13" t="str">
        <f aca="false">IFERROR(IF($C255="","",$F255*INDEX(المكونات!$C$2:$C$500,MATCH($C255,المكونات!$A$2:$A$500,0))),"")</f>
        <v/>
      </c>
    </row>
    <row r="256" customFormat="false" ht="15" hidden="false" customHeight="true" outlineLevel="0" collapsed="false">
      <c r="A256" s="49"/>
      <c r="B256" s="49"/>
      <c r="C256" s="49"/>
      <c r="D256" s="81"/>
      <c r="E256" s="81"/>
      <c r="F256" s="82" t="str">
        <f aca="false">IFERROR(IF($C256="","",$E256-$D256),"")</f>
        <v/>
      </c>
      <c r="G256" s="12" t="str">
        <f aca="false">IFERROR(IF(OR($C256="",$D256=0,$D256=""),"",$F256/$D256),"")</f>
        <v/>
      </c>
      <c r="H256" s="13" t="str">
        <f aca="false">IFERROR(IF($C256="","",$F256*INDEX(المكونات!$C$2:$C$500,MATCH($C256,المكونات!$A$2:$A$500,0))),"")</f>
        <v/>
      </c>
    </row>
    <row r="257" customFormat="false" ht="15" hidden="false" customHeight="true" outlineLevel="0" collapsed="false">
      <c r="A257" s="49"/>
      <c r="B257" s="49"/>
      <c r="C257" s="49"/>
      <c r="D257" s="81"/>
      <c r="E257" s="81"/>
      <c r="F257" s="82" t="str">
        <f aca="false">IFERROR(IF($C257="","",$E257-$D257),"")</f>
        <v/>
      </c>
      <c r="G257" s="12" t="str">
        <f aca="false">IFERROR(IF(OR($C257="",$D257=0,$D257=""),"",$F257/$D257),"")</f>
        <v/>
      </c>
      <c r="H257" s="13" t="str">
        <f aca="false">IFERROR(IF($C257="","",$F257*INDEX(المكونات!$C$2:$C$500,MATCH($C257,المكونات!$A$2:$A$500,0))),"")</f>
        <v/>
      </c>
    </row>
    <row r="258" customFormat="false" ht="15" hidden="false" customHeight="true" outlineLevel="0" collapsed="false">
      <c r="A258" s="49"/>
      <c r="B258" s="49"/>
      <c r="C258" s="49"/>
      <c r="D258" s="81"/>
      <c r="E258" s="81"/>
      <c r="F258" s="82" t="str">
        <f aca="false">IFERROR(IF($C258="","",$E258-$D258),"")</f>
        <v/>
      </c>
      <c r="G258" s="12" t="str">
        <f aca="false">IFERROR(IF(OR($C258="",$D258=0,$D258=""),"",$F258/$D258),"")</f>
        <v/>
      </c>
      <c r="H258" s="13" t="str">
        <f aca="false">IFERROR(IF($C258="","",$F258*INDEX(المكونات!$C$2:$C$500,MATCH($C258,المكونات!$A$2:$A$500,0))),"")</f>
        <v/>
      </c>
    </row>
    <row r="259" customFormat="false" ht="15" hidden="false" customHeight="true" outlineLevel="0" collapsed="false">
      <c r="A259" s="49"/>
      <c r="B259" s="49"/>
      <c r="C259" s="49"/>
      <c r="D259" s="81"/>
      <c r="E259" s="81"/>
      <c r="F259" s="82" t="str">
        <f aca="false">IFERROR(IF($C259="","",$E259-$D259),"")</f>
        <v/>
      </c>
      <c r="G259" s="12" t="str">
        <f aca="false">IFERROR(IF(OR($C259="",$D259=0,$D259=""),"",$F259/$D259),"")</f>
        <v/>
      </c>
      <c r="H259" s="13" t="str">
        <f aca="false">IFERROR(IF($C259="","",$F259*INDEX(المكونات!$C$2:$C$500,MATCH($C259,المكونات!$A$2:$A$500,0))),"")</f>
        <v/>
      </c>
    </row>
    <row r="260" customFormat="false" ht="15" hidden="false" customHeight="true" outlineLevel="0" collapsed="false">
      <c r="A260" s="49"/>
      <c r="B260" s="49"/>
      <c r="C260" s="49"/>
      <c r="D260" s="81"/>
      <c r="E260" s="81"/>
      <c r="F260" s="82" t="str">
        <f aca="false">IFERROR(IF($C260="","",$E260-$D260),"")</f>
        <v/>
      </c>
      <c r="G260" s="12" t="str">
        <f aca="false">IFERROR(IF(OR($C260="",$D260=0,$D260=""),"",$F260/$D260),"")</f>
        <v/>
      </c>
      <c r="H260" s="13" t="str">
        <f aca="false">IFERROR(IF($C260="","",$F260*INDEX(المكونات!$C$2:$C$500,MATCH($C260,المكونات!$A$2:$A$500,0))),"")</f>
        <v/>
      </c>
    </row>
    <row r="261" customFormat="false" ht="15" hidden="false" customHeight="true" outlineLevel="0" collapsed="false">
      <c r="A261" s="49"/>
      <c r="B261" s="49"/>
      <c r="C261" s="49"/>
      <c r="D261" s="81"/>
      <c r="E261" s="81"/>
      <c r="F261" s="82" t="str">
        <f aca="false">IFERROR(IF($C261="","",$E261-$D261),"")</f>
        <v/>
      </c>
      <c r="G261" s="12" t="str">
        <f aca="false">IFERROR(IF(OR($C261="",$D261=0,$D261=""),"",$F261/$D261),"")</f>
        <v/>
      </c>
      <c r="H261" s="13" t="str">
        <f aca="false">IFERROR(IF($C261="","",$F261*INDEX(المكونات!$C$2:$C$500,MATCH($C261,المكونات!$A$2:$A$500,0))),"")</f>
        <v/>
      </c>
    </row>
    <row r="262" customFormat="false" ht="15" hidden="false" customHeight="true" outlineLevel="0" collapsed="false">
      <c r="A262" s="49"/>
      <c r="B262" s="49"/>
      <c r="C262" s="49"/>
      <c r="D262" s="81"/>
      <c r="E262" s="81"/>
      <c r="F262" s="82" t="str">
        <f aca="false">IFERROR(IF($C262="","",$E262-$D262),"")</f>
        <v/>
      </c>
      <c r="G262" s="12" t="str">
        <f aca="false">IFERROR(IF(OR($C262="",$D262=0,$D262=""),"",$F262/$D262),"")</f>
        <v/>
      </c>
      <c r="H262" s="13" t="str">
        <f aca="false">IFERROR(IF($C262="","",$F262*INDEX(المكونات!$C$2:$C$500,MATCH($C262,المكونات!$A$2:$A$500,0))),"")</f>
        <v/>
      </c>
    </row>
    <row r="263" customFormat="false" ht="15" hidden="false" customHeight="true" outlineLevel="0" collapsed="false">
      <c r="A263" s="49"/>
      <c r="B263" s="49"/>
      <c r="C263" s="49"/>
      <c r="D263" s="81"/>
      <c r="E263" s="81"/>
      <c r="F263" s="82" t="str">
        <f aca="false">IFERROR(IF($C263="","",$E263-$D263),"")</f>
        <v/>
      </c>
      <c r="G263" s="12" t="str">
        <f aca="false">IFERROR(IF(OR($C263="",$D263=0,$D263=""),"",$F263/$D263),"")</f>
        <v/>
      </c>
      <c r="H263" s="13" t="str">
        <f aca="false">IFERROR(IF($C263="","",$F263*INDEX(المكونات!$C$2:$C$500,MATCH($C263,المكونات!$A$2:$A$500,0))),"")</f>
        <v/>
      </c>
    </row>
    <row r="264" customFormat="false" ht="15" hidden="false" customHeight="true" outlineLevel="0" collapsed="false">
      <c r="A264" s="49"/>
      <c r="B264" s="49"/>
      <c r="C264" s="49"/>
      <c r="D264" s="81"/>
      <c r="E264" s="81"/>
      <c r="F264" s="82" t="str">
        <f aca="false">IFERROR(IF($C264="","",$E264-$D264),"")</f>
        <v/>
      </c>
      <c r="G264" s="12" t="str">
        <f aca="false">IFERROR(IF(OR($C264="",$D264=0,$D264=""),"",$F264/$D264),"")</f>
        <v/>
      </c>
      <c r="H264" s="13" t="str">
        <f aca="false">IFERROR(IF($C264="","",$F264*INDEX(المكونات!$C$2:$C$500,MATCH($C264,المكونات!$A$2:$A$500,0))),"")</f>
        <v/>
      </c>
    </row>
    <row r="265" customFormat="false" ht="15" hidden="false" customHeight="true" outlineLevel="0" collapsed="false">
      <c r="A265" s="49"/>
      <c r="B265" s="49"/>
      <c r="C265" s="49"/>
      <c r="D265" s="81"/>
      <c r="E265" s="81"/>
      <c r="F265" s="82" t="str">
        <f aca="false">IFERROR(IF($C265="","",$E265-$D265),"")</f>
        <v/>
      </c>
      <c r="G265" s="12" t="str">
        <f aca="false">IFERROR(IF(OR($C265="",$D265=0,$D265=""),"",$F265/$D265),"")</f>
        <v/>
      </c>
      <c r="H265" s="13" t="str">
        <f aca="false">IFERROR(IF($C265="","",$F265*INDEX(المكونات!$C$2:$C$500,MATCH($C265,المكونات!$A$2:$A$500,0))),"")</f>
        <v/>
      </c>
    </row>
    <row r="266" customFormat="false" ht="15" hidden="false" customHeight="true" outlineLevel="0" collapsed="false">
      <c r="A266" s="49"/>
      <c r="B266" s="49"/>
      <c r="C266" s="49"/>
      <c r="D266" s="81"/>
      <c r="E266" s="81"/>
      <c r="F266" s="82" t="str">
        <f aca="false">IFERROR(IF($C266="","",$E266-$D266),"")</f>
        <v/>
      </c>
      <c r="G266" s="12" t="str">
        <f aca="false">IFERROR(IF(OR($C266="",$D266=0,$D266=""),"",$F266/$D266),"")</f>
        <v/>
      </c>
      <c r="H266" s="13" t="str">
        <f aca="false">IFERROR(IF($C266="","",$F266*INDEX(المكونات!$C$2:$C$500,MATCH($C266,المكونات!$A$2:$A$500,0))),"")</f>
        <v/>
      </c>
    </row>
    <row r="267" customFormat="false" ht="15" hidden="false" customHeight="true" outlineLevel="0" collapsed="false">
      <c r="A267" s="49"/>
      <c r="B267" s="49"/>
      <c r="C267" s="49"/>
      <c r="D267" s="81"/>
      <c r="E267" s="81"/>
      <c r="F267" s="82" t="str">
        <f aca="false">IFERROR(IF($C267="","",$E267-$D267),"")</f>
        <v/>
      </c>
      <c r="G267" s="12" t="str">
        <f aca="false">IFERROR(IF(OR($C267="",$D267=0,$D267=""),"",$F267/$D267),"")</f>
        <v/>
      </c>
      <c r="H267" s="13" t="str">
        <f aca="false">IFERROR(IF($C267="","",$F267*INDEX(المكونات!$C$2:$C$500,MATCH($C267,المكونات!$A$2:$A$500,0))),"")</f>
        <v/>
      </c>
    </row>
    <row r="268" customFormat="false" ht="15" hidden="false" customHeight="true" outlineLevel="0" collapsed="false">
      <c r="A268" s="49"/>
      <c r="B268" s="49"/>
      <c r="C268" s="49"/>
      <c r="D268" s="81"/>
      <c r="E268" s="81"/>
      <c r="F268" s="82" t="str">
        <f aca="false">IFERROR(IF($C268="","",$E268-$D268),"")</f>
        <v/>
      </c>
      <c r="G268" s="12" t="str">
        <f aca="false">IFERROR(IF(OR($C268="",$D268=0,$D268=""),"",$F268/$D268),"")</f>
        <v/>
      </c>
      <c r="H268" s="13" t="str">
        <f aca="false">IFERROR(IF($C268="","",$F268*INDEX(المكونات!$C$2:$C$500,MATCH($C268,المكونات!$A$2:$A$500,0))),"")</f>
        <v/>
      </c>
    </row>
    <row r="269" customFormat="false" ht="15" hidden="false" customHeight="true" outlineLevel="0" collapsed="false">
      <c r="A269" s="49"/>
      <c r="B269" s="49"/>
      <c r="C269" s="49"/>
      <c r="D269" s="81"/>
      <c r="E269" s="81"/>
      <c r="F269" s="82" t="str">
        <f aca="false">IFERROR(IF($C269="","",$E269-$D269),"")</f>
        <v/>
      </c>
      <c r="G269" s="12" t="str">
        <f aca="false">IFERROR(IF(OR($C269="",$D269=0,$D269=""),"",$F269/$D269),"")</f>
        <v/>
      </c>
      <c r="H269" s="13" t="str">
        <f aca="false">IFERROR(IF($C269="","",$F269*INDEX(المكونات!$C$2:$C$500,MATCH($C269,المكونات!$A$2:$A$500,0))),"")</f>
        <v/>
      </c>
    </row>
    <row r="270" customFormat="false" ht="15" hidden="false" customHeight="true" outlineLevel="0" collapsed="false">
      <c r="A270" s="49"/>
      <c r="B270" s="49"/>
      <c r="C270" s="49"/>
      <c r="D270" s="81"/>
      <c r="E270" s="81"/>
      <c r="F270" s="82" t="str">
        <f aca="false">IFERROR(IF($C270="","",$E270-$D270),"")</f>
        <v/>
      </c>
      <c r="G270" s="12" t="str">
        <f aca="false">IFERROR(IF(OR($C270="",$D270=0,$D270=""),"",$F270/$D270),"")</f>
        <v/>
      </c>
      <c r="H270" s="13" t="str">
        <f aca="false">IFERROR(IF($C270="","",$F270*INDEX(المكونات!$C$2:$C$500,MATCH($C270,المكونات!$A$2:$A$500,0))),"")</f>
        <v/>
      </c>
    </row>
    <row r="271" customFormat="false" ht="15" hidden="false" customHeight="true" outlineLevel="0" collapsed="false">
      <c r="A271" s="49"/>
      <c r="B271" s="49"/>
      <c r="C271" s="49"/>
      <c r="D271" s="81"/>
      <c r="E271" s="81"/>
      <c r="F271" s="82" t="str">
        <f aca="false">IFERROR(IF($C271="","",$E271-$D271),"")</f>
        <v/>
      </c>
      <c r="G271" s="12" t="str">
        <f aca="false">IFERROR(IF(OR($C271="",$D271=0,$D271=""),"",$F271/$D271),"")</f>
        <v/>
      </c>
      <c r="H271" s="13" t="str">
        <f aca="false">IFERROR(IF($C271="","",$F271*INDEX(المكونات!$C$2:$C$500,MATCH($C271,المكونات!$A$2:$A$500,0))),"")</f>
        <v/>
      </c>
    </row>
    <row r="272" customFormat="false" ht="15" hidden="false" customHeight="true" outlineLevel="0" collapsed="false">
      <c r="A272" s="49"/>
      <c r="B272" s="49"/>
      <c r="C272" s="49"/>
      <c r="D272" s="81"/>
      <c r="E272" s="81"/>
      <c r="F272" s="82" t="str">
        <f aca="false">IFERROR(IF($C272="","",$E272-$D272),"")</f>
        <v/>
      </c>
      <c r="G272" s="12" t="str">
        <f aca="false">IFERROR(IF(OR($C272="",$D272=0,$D272=""),"",$F272/$D272),"")</f>
        <v/>
      </c>
      <c r="H272" s="13" t="str">
        <f aca="false">IFERROR(IF($C272="","",$F272*INDEX(المكونات!$C$2:$C$500,MATCH($C272,المكونات!$A$2:$A$500,0))),"")</f>
        <v/>
      </c>
    </row>
    <row r="273" customFormat="false" ht="15" hidden="false" customHeight="true" outlineLevel="0" collapsed="false">
      <c r="A273" s="49"/>
      <c r="B273" s="49"/>
      <c r="C273" s="49"/>
      <c r="D273" s="81"/>
      <c r="E273" s="81"/>
      <c r="F273" s="82" t="str">
        <f aca="false">IFERROR(IF($C273="","",$E273-$D273),"")</f>
        <v/>
      </c>
      <c r="G273" s="12" t="str">
        <f aca="false">IFERROR(IF(OR($C273="",$D273=0,$D273=""),"",$F273/$D273),"")</f>
        <v/>
      </c>
      <c r="H273" s="13" t="str">
        <f aca="false">IFERROR(IF($C273="","",$F273*INDEX(المكونات!$C$2:$C$500,MATCH($C273,المكونات!$A$2:$A$500,0))),"")</f>
        <v/>
      </c>
    </row>
    <row r="274" customFormat="false" ht="15" hidden="false" customHeight="true" outlineLevel="0" collapsed="false">
      <c r="A274" s="49"/>
      <c r="B274" s="49"/>
      <c r="C274" s="49"/>
      <c r="D274" s="81"/>
      <c r="E274" s="81"/>
      <c r="F274" s="82" t="str">
        <f aca="false">IFERROR(IF($C274="","",$E274-$D274),"")</f>
        <v/>
      </c>
      <c r="G274" s="12" t="str">
        <f aca="false">IFERROR(IF(OR($C274="",$D274=0,$D274=""),"",$F274/$D274),"")</f>
        <v/>
      </c>
      <c r="H274" s="13" t="str">
        <f aca="false">IFERROR(IF($C274="","",$F274*INDEX(المكونات!$C$2:$C$500,MATCH($C274,المكونات!$A$2:$A$500,0))),"")</f>
        <v/>
      </c>
    </row>
    <row r="275" customFormat="false" ht="15" hidden="false" customHeight="true" outlineLevel="0" collapsed="false">
      <c r="A275" s="49"/>
      <c r="B275" s="49"/>
      <c r="C275" s="49"/>
      <c r="D275" s="81"/>
      <c r="E275" s="81"/>
      <c r="F275" s="82" t="str">
        <f aca="false">IFERROR(IF($C275="","",$E275-$D275),"")</f>
        <v/>
      </c>
      <c r="G275" s="12" t="str">
        <f aca="false">IFERROR(IF(OR($C275="",$D275=0,$D275=""),"",$F275/$D275),"")</f>
        <v/>
      </c>
      <c r="H275" s="13" t="str">
        <f aca="false">IFERROR(IF($C275="","",$F275*INDEX(المكونات!$C$2:$C$500,MATCH($C275,المكونات!$A$2:$A$500,0))),"")</f>
        <v/>
      </c>
    </row>
    <row r="276" customFormat="false" ht="15" hidden="false" customHeight="true" outlineLevel="0" collapsed="false">
      <c r="A276" s="49"/>
      <c r="B276" s="49"/>
      <c r="C276" s="49"/>
      <c r="D276" s="81"/>
      <c r="E276" s="81"/>
      <c r="F276" s="82" t="str">
        <f aca="false">IFERROR(IF($C276="","",$E276-$D276),"")</f>
        <v/>
      </c>
      <c r="G276" s="12" t="str">
        <f aca="false">IFERROR(IF(OR($C276="",$D276=0,$D276=""),"",$F276/$D276),"")</f>
        <v/>
      </c>
      <c r="H276" s="13" t="str">
        <f aca="false">IFERROR(IF($C276="","",$F276*INDEX(المكونات!$C$2:$C$500,MATCH($C276,المكونات!$A$2:$A$500,0))),"")</f>
        <v/>
      </c>
    </row>
    <row r="277" customFormat="false" ht="15" hidden="false" customHeight="true" outlineLevel="0" collapsed="false">
      <c r="A277" s="49"/>
      <c r="B277" s="49"/>
      <c r="C277" s="49"/>
      <c r="D277" s="81"/>
      <c r="E277" s="81"/>
      <c r="F277" s="82" t="str">
        <f aca="false">IFERROR(IF($C277="","",$E277-$D277),"")</f>
        <v/>
      </c>
      <c r="G277" s="12" t="str">
        <f aca="false">IFERROR(IF(OR($C277="",$D277=0,$D277=""),"",$F277/$D277),"")</f>
        <v/>
      </c>
      <c r="H277" s="13" t="str">
        <f aca="false">IFERROR(IF($C277="","",$F277*INDEX(المكونات!$C$2:$C$500,MATCH($C277,المكونات!$A$2:$A$500,0))),"")</f>
        <v/>
      </c>
    </row>
    <row r="278" customFormat="false" ht="15" hidden="false" customHeight="true" outlineLevel="0" collapsed="false">
      <c r="A278" s="49"/>
      <c r="B278" s="49"/>
      <c r="C278" s="49"/>
      <c r="D278" s="81"/>
      <c r="E278" s="81"/>
      <c r="F278" s="82" t="str">
        <f aca="false">IFERROR(IF($C278="","",$E278-$D278),"")</f>
        <v/>
      </c>
      <c r="G278" s="12" t="str">
        <f aca="false">IFERROR(IF(OR($C278="",$D278=0,$D278=""),"",$F278/$D278),"")</f>
        <v/>
      </c>
      <c r="H278" s="13" t="str">
        <f aca="false">IFERROR(IF($C278="","",$F278*INDEX(المكونات!$C$2:$C$500,MATCH($C278,المكونات!$A$2:$A$500,0))),"")</f>
        <v/>
      </c>
    </row>
    <row r="279" customFormat="false" ht="15" hidden="false" customHeight="true" outlineLevel="0" collapsed="false">
      <c r="A279" s="49"/>
      <c r="B279" s="49"/>
      <c r="C279" s="49"/>
      <c r="D279" s="81"/>
      <c r="E279" s="81"/>
      <c r="F279" s="82" t="str">
        <f aca="false">IFERROR(IF($C279="","",$E279-$D279),"")</f>
        <v/>
      </c>
      <c r="G279" s="12" t="str">
        <f aca="false">IFERROR(IF(OR($C279="",$D279=0,$D279=""),"",$F279/$D279),"")</f>
        <v/>
      </c>
      <c r="H279" s="13" t="str">
        <f aca="false">IFERROR(IF($C279="","",$F279*INDEX(المكونات!$C$2:$C$500,MATCH($C279,المكونات!$A$2:$A$500,0))),"")</f>
        <v/>
      </c>
    </row>
    <row r="280" customFormat="false" ht="15" hidden="false" customHeight="true" outlineLevel="0" collapsed="false">
      <c r="A280" s="49"/>
      <c r="B280" s="49"/>
      <c r="C280" s="49"/>
      <c r="D280" s="81"/>
      <c r="E280" s="81"/>
      <c r="F280" s="82" t="str">
        <f aca="false">IFERROR(IF($C280="","",$E280-$D280),"")</f>
        <v/>
      </c>
      <c r="G280" s="12" t="str">
        <f aca="false">IFERROR(IF(OR($C280="",$D280=0,$D280=""),"",$F280/$D280),"")</f>
        <v/>
      </c>
      <c r="H280" s="13" t="str">
        <f aca="false">IFERROR(IF($C280="","",$F280*INDEX(المكونات!$C$2:$C$500,MATCH($C280,المكونات!$A$2:$A$500,0))),"")</f>
        <v/>
      </c>
    </row>
    <row r="281" customFormat="false" ht="15" hidden="false" customHeight="true" outlineLevel="0" collapsed="false">
      <c r="A281" s="49"/>
      <c r="B281" s="49"/>
      <c r="C281" s="49"/>
      <c r="D281" s="81"/>
      <c r="E281" s="81"/>
      <c r="F281" s="82" t="str">
        <f aca="false">IFERROR(IF($C281="","",$E281-$D281),"")</f>
        <v/>
      </c>
      <c r="G281" s="12" t="str">
        <f aca="false">IFERROR(IF(OR($C281="",$D281=0,$D281=""),"",$F281/$D281),"")</f>
        <v/>
      </c>
      <c r="H281" s="13" t="str">
        <f aca="false">IFERROR(IF($C281="","",$F281*INDEX(المكونات!$C$2:$C$500,MATCH($C281,المكونات!$A$2:$A$500,0))),"")</f>
        <v/>
      </c>
    </row>
    <row r="282" customFormat="false" ht="15" hidden="false" customHeight="true" outlineLevel="0" collapsed="false">
      <c r="A282" s="49"/>
      <c r="B282" s="49"/>
      <c r="C282" s="49"/>
      <c r="D282" s="81"/>
      <c r="E282" s="81"/>
      <c r="F282" s="82" t="str">
        <f aca="false">IFERROR(IF($C282="","",$E282-$D282),"")</f>
        <v/>
      </c>
      <c r="G282" s="12" t="str">
        <f aca="false">IFERROR(IF(OR($C282="",$D282=0,$D282=""),"",$F282/$D282),"")</f>
        <v/>
      </c>
      <c r="H282" s="13" t="str">
        <f aca="false">IFERROR(IF($C282="","",$F282*INDEX(المكونات!$C$2:$C$500,MATCH($C282,المكونات!$A$2:$A$500,0))),"")</f>
        <v/>
      </c>
    </row>
    <row r="283" customFormat="false" ht="15" hidden="false" customHeight="true" outlineLevel="0" collapsed="false">
      <c r="A283" s="49"/>
      <c r="B283" s="49"/>
      <c r="C283" s="49"/>
      <c r="D283" s="81"/>
      <c r="E283" s="81"/>
      <c r="F283" s="82" t="str">
        <f aca="false">IFERROR(IF($C283="","",$E283-$D283),"")</f>
        <v/>
      </c>
      <c r="G283" s="12" t="str">
        <f aca="false">IFERROR(IF(OR($C283="",$D283=0,$D283=""),"",$F283/$D283),"")</f>
        <v/>
      </c>
      <c r="H283" s="13" t="str">
        <f aca="false">IFERROR(IF($C283="","",$F283*INDEX(المكونات!$C$2:$C$500,MATCH($C283,المكونات!$A$2:$A$500,0))),"")</f>
        <v/>
      </c>
    </row>
    <row r="284" customFormat="false" ht="15" hidden="false" customHeight="true" outlineLevel="0" collapsed="false">
      <c r="A284" s="49"/>
      <c r="B284" s="49"/>
      <c r="C284" s="49"/>
      <c r="D284" s="81"/>
      <c r="E284" s="81"/>
      <c r="F284" s="82" t="str">
        <f aca="false">IFERROR(IF($C284="","",$E284-$D284),"")</f>
        <v/>
      </c>
      <c r="G284" s="12" t="str">
        <f aca="false">IFERROR(IF(OR($C284="",$D284=0,$D284=""),"",$F284/$D284),"")</f>
        <v/>
      </c>
      <c r="H284" s="13" t="str">
        <f aca="false">IFERROR(IF($C284="","",$F284*INDEX(المكونات!$C$2:$C$500,MATCH($C284,المكونات!$A$2:$A$500,0))),"")</f>
        <v/>
      </c>
    </row>
    <row r="285" customFormat="false" ht="15" hidden="false" customHeight="true" outlineLevel="0" collapsed="false">
      <c r="A285" s="49"/>
      <c r="B285" s="49"/>
      <c r="C285" s="49"/>
      <c r="D285" s="81"/>
      <c r="E285" s="81"/>
      <c r="F285" s="82" t="str">
        <f aca="false">IFERROR(IF($C285="","",$E285-$D285),"")</f>
        <v/>
      </c>
      <c r="G285" s="12" t="str">
        <f aca="false">IFERROR(IF(OR($C285="",$D285=0,$D285=""),"",$F285/$D285),"")</f>
        <v/>
      </c>
      <c r="H285" s="13" t="str">
        <f aca="false">IFERROR(IF($C285="","",$F285*INDEX(المكونات!$C$2:$C$500,MATCH($C285,المكونات!$A$2:$A$500,0))),"")</f>
        <v/>
      </c>
    </row>
    <row r="286" customFormat="false" ht="15" hidden="false" customHeight="true" outlineLevel="0" collapsed="false">
      <c r="A286" s="49"/>
      <c r="B286" s="49"/>
      <c r="C286" s="49"/>
      <c r="D286" s="81"/>
      <c r="E286" s="81"/>
      <c r="F286" s="82" t="str">
        <f aca="false">IFERROR(IF($C286="","",$E286-$D286),"")</f>
        <v/>
      </c>
      <c r="G286" s="12" t="str">
        <f aca="false">IFERROR(IF(OR($C286="",$D286=0,$D286=""),"",$F286/$D286),"")</f>
        <v/>
      </c>
      <c r="H286" s="13" t="str">
        <f aca="false">IFERROR(IF($C286="","",$F286*INDEX(المكونات!$C$2:$C$500,MATCH($C286,المكونات!$A$2:$A$500,0))),"")</f>
        <v/>
      </c>
    </row>
    <row r="287" customFormat="false" ht="15" hidden="false" customHeight="true" outlineLevel="0" collapsed="false">
      <c r="A287" s="49"/>
      <c r="B287" s="49"/>
      <c r="C287" s="49"/>
      <c r="D287" s="81"/>
      <c r="E287" s="81"/>
      <c r="F287" s="82" t="str">
        <f aca="false">IFERROR(IF($C287="","",$E287-$D287),"")</f>
        <v/>
      </c>
      <c r="G287" s="12" t="str">
        <f aca="false">IFERROR(IF(OR($C287="",$D287=0,$D287=""),"",$F287/$D287),"")</f>
        <v/>
      </c>
      <c r="H287" s="13" t="str">
        <f aca="false">IFERROR(IF($C287="","",$F287*INDEX(المكونات!$C$2:$C$500,MATCH($C287,المكونات!$A$2:$A$500,0))),"")</f>
        <v/>
      </c>
    </row>
    <row r="288" customFormat="false" ht="15" hidden="false" customHeight="true" outlineLevel="0" collapsed="false">
      <c r="A288" s="49"/>
      <c r="B288" s="49"/>
      <c r="C288" s="49"/>
      <c r="D288" s="81"/>
      <c r="E288" s="81"/>
      <c r="F288" s="82" t="str">
        <f aca="false">IFERROR(IF($C288="","",$E288-$D288),"")</f>
        <v/>
      </c>
      <c r="G288" s="12" t="str">
        <f aca="false">IFERROR(IF(OR($C288="",$D288=0,$D288=""),"",$F288/$D288),"")</f>
        <v/>
      </c>
      <c r="H288" s="13" t="str">
        <f aca="false">IFERROR(IF($C288="","",$F288*INDEX(المكونات!$C$2:$C$500,MATCH($C288,المكونات!$A$2:$A$500,0))),"")</f>
        <v/>
      </c>
    </row>
    <row r="289" customFormat="false" ht="15" hidden="false" customHeight="true" outlineLevel="0" collapsed="false">
      <c r="A289" s="49"/>
      <c r="B289" s="49"/>
      <c r="C289" s="49"/>
      <c r="D289" s="81"/>
      <c r="E289" s="81"/>
      <c r="F289" s="82" t="str">
        <f aca="false">IFERROR(IF($C289="","",$E289-$D289),"")</f>
        <v/>
      </c>
      <c r="G289" s="12" t="str">
        <f aca="false">IFERROR(IF(OR($C289="",$D289=0,$D289=""),"",$F289/$D289),"")</f>
        <v/>
      </c>
      <c r="H289" s="13" t="str">
        <f aca="false">IFERROR(IF($C289="","",$F289*INDEX(المكونات!$C$2:$C$500,MATCH($C289,المكونات!$A$2:$A$500,0))),"")</f>
        <v/>
      </c>
    </row>
    <row r="290" customFormat="false" ht="15" hidden="false" customHeight="true" outlineLevel="0" collapsed="false">
      <c r="A290" s="49"/>
      <c r="B290" s="49"/>
      <c r="C290" s="49"/>
      <c r="D290" s="81"/>
      <c r="E290" s="81"/>
      <c r="F290" s="82" t="str">
        <f aca="false">IFERROR(IF($C290="","",$E290-$D290),"")</f>
        <v/>
      </c>
      <c r="G290" s="12" t="str">
        <f aca="false">IFERROR(IF(OR($C290="",$D290=0,$D290=""),"",$F290/$D290),"")</f>
        <v/>
      </c>
      <c r="H290" s="13" t="str">
        <f aca="false">IFERROR(IF($C290="","",$F290*INDEX(المكونات!$C$2:$C$500,MATCH($C290,المكونات!$A$2:$A$500,0))),"")</f>
        <v/>
      </c>
    </row>
    <row r="291" customFormat="false" ht="15" hidden="false" customHeight="true" outlineLevel="0" collapsed="false">
      <c r="A291" s="49"/>
      <c r="B291" s="49"/>
      <c r="C291" s="49"/>
      <c r="D291" s="81"/>
      <c r="E291" s="81"/>
      <c r="F291" s="82" t="str">
        <f aca="false">IFERROR(IF($C291="","",$E291-$D291),"")</f>
        <v/>
      </c>
      <c r="G291" s="12" t="str">
        <f aca="false">IFERROR(IF(OR($C291="",$D291=0,$D291=""),"",$F291/$D291),"")</f>
        <v/>
      </c>
      <c r="H291" s="13" t="str">
        <f aca="false">IFERROR(IF($C291="","",$F291*INDEX(المكونات!$C$2:$C$500,MATCH($C291,المكونات!$A$2:$A$500,0))),"")</f>
        <v/>
      </c>
    </row>
    <row r="292" customFormat="false" ht="15" hidden="false" customHeight="true" outlineLevel="0" collapsed="false">
      <c r="A292" s="49"/>
      <c r="B292" s="49"/>
      <c r="C292" s="49"/>
      <c r="D292" s="81"/>
      <c r="E292" s="81"/>
      <c r="F292" s="82" t="str">
        <f aca="false">IFERROR(IF($C292="","",$E292-$D292),"")</f>
        <v/>
      </c>
      <c r="G292" s="12" t="str">
        <f aca="false">IFERROR(IF(OR($C292="",$D292=0,$D292=""),"",$F292/$D292),"")</f>
        <v/>
      </c>
      <c r="H292" s="13" t="str">
        <f aca="false">IFERROR(IF($C292="","",$F292*INDEX(المكونات!$C$2:$C$500,MATCH($C292,المكونات!$A$2:$A$500,0))),"")</f>
        <v/>
      </c>
    </row>
    <row r="293" customFormat="false" ht="15" hidden="false" customHeight="true" outlineLevel="0" collapsed="false">
      <c r="A293" s="49"/>
      <c r="B293" s="49"/>
      <c r="C293" s="49"/>
      <c r="D293" s="81"/>
      <c r="E293" s="81"/>
      <c r="F293" s="82" t="str">
        <f aca="false">IFERROR(IF($C293="","",$E293-$D293),"")</f>
        <v/>
      </c>
      <c r="G293" s="12" t="str">
        <f aca="false">IFERROR(IF(OR($C293="",$D293=0,$D293=""),"",$F293/$D293),"")</f>
        <v/>
      </c>
      <c r="H293" s="13" t="str">
        <f aca="false">IFERROR(IF($C293="","",$F293*INDEX(المكونات!$C$2:$C$500,MATCH($C293,المكونات!$A$2:$A$500,0))),"")</f>
        <v/>
      </c>
    </row>
    <row r="294" customFormat="false" ht="15" hidden="false" customHeight="true" outlineLevel="0" collapsed="false">
      <c r="A294" s="49"/>
      <c r="B294" s="49"/>
      <c r="C294" s="49"/>
      <c r="D294" s="81"/>
      <c r="E294" s="81"/>
      <c r="F294" s="82" t="str">
        <f aca="false">IFERROR(IF($C294="","",$E294-$D294),"")</f>
        <v/>
      </c>
      <c r="G294" s="12" t="str">
        <f aca="false">IFERROR(IF(OR($C294="",$D294=0,$D294=""),"",$F294/$D294),"")</f>
        <v/>
      </c>
      <c r="H294" s="13" t="str">
        <f aca="false">IFERROR(IF($C294="","",$F294*INDEX(المكونات!$C$2:$C$500,MATCH($C294,المكونات!$A$2:$A$500,0))),"")</f>
        <v/>
      </c>
    </row>
    <row r="295" customFormat="false" ht="15" hidden="false" customHeight="true" outlineLevel="0" collapsed="false">
      <c r="A295" s="49"/>
      <c r="B295" s="49"/>
      <c r="C295" s="49"/>
      <c r="D295" s="81"/>
      <c r="E295" s="81"/>
      <c r="F295" s="82" t="str">
        <f aca="false">IFERROR(IF($C295="","",$E295-$D295),"")</f>
        <v/>
      </c>
      <c r="G295" s="12" t="str">
        <f aca="false">IFERROR(IF(OR($C295="",$D295=0,$D295=""),"",$F295/$D295),"")</f>
        <v/>
      </c>
      <c r="H295" s="13" t="str">
        <f aca="false">IFERROR(IF($C295="","",$F295*INDEX(المكونات!$C$2:$C$500,MATCH($C295,المكونات!$A$2:$A$500,0))),"")</f>
        <v/>
      </c>
    </row>
    <row r="296" customFormat="false" ht="15" hidden="false" customHeight="true" outlineLevel="0" collapsed="false">
      <c r="A296" s="49"/>
      <c r="B296" s="49"/>
      <c r="C296" s="49"/>
      <c r="D296" s="81"/>
      <c r="E296" s="81"/>
      <c r="F296" s="82" t="str">
        <f aca="false">IFERROR(IF($C296="","",$E296-$D296),"")</f>
        <v/>
      </c>
      <c r="G296" s="12" t="str">
        <f aca="false">IFERROR(IF(OR($C296="",$D296=0,$D296=""),"",$F296/$D296),"")</f>
        <v/>
      </c>
      <c r="H296" s="13" t="str">
        <f aca="false">IFERROR(IF($C296="","",$F296*INDEX(المكونات!$C$2:$C$500,MATCH($C296,المكونات!$A$2:$A$500,0))),"")</f>
        <v/>
      </c>
    </row>
    <row r="297" customFormat="false" ht="15" hidden="false" customHeight="true" outlineLevel="0" collapsed="false">
      <c r="A297" s="49"/>
      <c r="B297" s="49"/>
      <c r="C297" s="49"/>
      <c r="D297" s="81"/>
      <c r="E297" s="81"/>
      <c r="F297" s="82" t="str">
        <f aca="false">IFERROR(IF($C297="","",$E297-$D297),"")</f>
        <v/>
      </c>
      <c r="G297" s="12" t="str">
        <f aca="false">IFERROR(IF(OR($C297="",$D297=0,$D297=""),"",$F297/$D297),"")</f>
        <v/>
      </c>
      <c r="H297" s="13" t="str">
        <f aca="false">IFERROR(IF($C297="","",$F297*INDEX(المكونات!$C$2:$C$500,MATCH($C297,المكونات!$A$2:$A$500,0))),"")</f>
        <v/>
      </c>
    </row>
    <row r="298" customFormat="false" ht="15" hidden="false" customHeight="true" outlineLevel="0" collapsed="false">
      <c r="A298" s="49"/>
      <c r="B298" s="49"/>
      <c r="C298" s="49"/>
      <c r="D298" s="81"/>
      <c r="E298" s="81"/>
      <c r="F298" s="82" t="str">
        <f aca="false">IFERROR(IF($C298="","",$E298-$D298),"")</f>
        <v/>
      </c>
      <c r="G298" s="12" t="str">
        <f aca="false">IFERROR(IF(OR($C298="",$D298=0,$D298=""),"",$F298/$D298),"")</f>
        <v/>
      </c>
      <c r="H298" s="13" t="str">
        <f aca="false">IFERROR(IF($C298="","",$F298*INDEX(المكونات!$C$2:$C$500,MATCH($C298,المكونات!$A$2:$A$500,0))),"")</f>
        <v/>
      </c>
    </row>
    <row r="299" customFormat="false" ht="15" hidden="false" customHeight="true" outlineLevel="0" collapsed="false">
      <c r="A299" s="49"/>
      <c r="B299" s="49"/>
      <c r="C299" s="49"/>
      <c r="D299" s="81"/>
      <c r="E299" s="81"/>
      <c r="F299" s="82" t="str">
        <f aca="false">IFERROR(IF($C299="","",$E299-$D299),"")</f>
        <v/>
      </c>
      <c r="G299" s="12" t="str">
        <f aca="false">IFERROR(IF(OR($C299="",$D299=0,$D299=""),"",$F299/$D299),"")</f>
        <v/>
      </c>
      <c r="H299" s="13" t="str">
        <f aca="false">IFERROR(IF($C299="","",$F299*INDEX(المكونات!$C$2:$C$500,MATCH($C299,المكونات!$A$2:$A$500,0))),"")</f>
        <v/>
      </c>
    </row>
    <row r="300" customFormat="false" ht="15" hidden="false" customHeight="true" outlineLevel="0" collapsed="false">
      <c r="A300" s="49"/>
      <c r="B300" s="49"/>
      <c r="C300" s="49"/>
      <c r="D300" s="81"/>
      <c r="E300" s="81"/>
      <c r="F300" s="82" t="str">
        <f aca="false">IFERROR(IF($C300="","",$E300-$D300),"")</f>
        <v/>
      </c>
      <c r="G300" s="12" t="str">
        <f aca="false">IFERROR(IF(OR($C300="",$D300=0,$D300=""),"",$F300/$D300),"")</f>
        <v/>
      </c>
      <c r="H300" s="13" t="str">
        <f aca="false">IFERROR(IF($C300="","",$F300*INDEX(المكونات!$C$2:$C$500,MATCH($C300,المكونات!$A$2:$A$500,0))),"")</f>
        <v/>
      </c>
    </row>
    <row r="301" customFormat="false" ht="15" hidden="false" customHeight="true" outlineLevel="0" collapsed="false">
      <c r="A301" s="49"/>
      <c r="B301" s="49"/>
      <c r="C301" s="49"/>
      <c r="D301" s="81"/>
      <c r="E301" s="81"/>
      <c r="F301" s="82" t="str">
        <f aca="false">IFERROR(IF($C301="","",$E301-$D301),"")</f>
        <v/>
      </c>
      <c r="G301" s="12" t="str">
        <f aca="false">IFERROR(IF(OR($C301="",$D301=0,$D301=""),"",$F301/$D301),"")</f>
        <v/>
      </c>
      <c r="H301" s="13" t="str">
        <f aca="false">IFERROR(IF($C301="","",$F301*INDEX(المكونات!$C$2:$C$500,MATCH($C301,المكونات!$A$2:$A$500,0))),"")</f>
        <v/>
      </c>
    </row>
    <row r="302" customFormat="false" ht="15" hidden="false" customHeight="true" outlineLevel="0" collapsed="false">
      <c r="A302" s="49"/>
      <c r="B302" s="49"/>
      <c r="C302" s="49"/>
      <c r="D302" s="81"/>
      <c r="E302" s="81"/>
      <c r="F302" s="82" t="str">
        <f aca="false">IFERROR(IF($C302="","",$E302-$D302),"")</f>
        <v/>
      </c>
      <c r="G302" s="12" t="str">
        <f aca="false">IFERROR(IF(OR($C302="",$D302=0,$D302=""),"",$F302/$D302),"")</f>
        <v/>
      </c>
      <c r="H302" s="13" t="str">
        <f aca="false">IFERROR(IF($C302="","",$F302*INDEX(المكونات!$C$2:$C$500,MATCH($C302,المكونات!$A$2:$A$500,0))),"")</f>
        <v/>
      </c>
    </row>
    <row r="303" customFormat="false" ht="15" hidden="false" customHeight="true" outlineLevel="0" collapsed="false">
      <c r="A303" s="49"/>
      <c r="B303" s="49"/>
      <c r="C303" s="49"/>
      <c r="D303" s="81"/>
      <c r="E303" s="81"/>
      <c r="F303" s="82" t="str">
        <f aca="false">IFERROR(IF($C303="","",$E303-$D303),"")</f>
        <v/>
      </c>
      <c r="G303" s="12" t="str">
        <f aca="false">IFERROR(IF(OR($C303="",$D303=0,$D303=""),"",$F303/$D303),"")</f>
        <v/>
      </c>
      <c r="H303" s="13" t="str">
        <f aca="false">IFERROR(IF($C303="","",$F303*INDEX(المكونات!$C$2:$C$500,MATCH($C303,المكونات!$A$2:$A$500,0))),"")</f>
        <v/>
      </c>
    </row>
    <row r="304" customFormat="false" ht="15" hidden="false" customHeight="true" outlineLevel="0" collapsed="false">
      <c r="A304" s="49"/>
      <c r="B304" s="49"/>
      <c r="C304" s="49"/>
      <c r="D304" s="81"/>
      <c r="E304" s="81"/>
      <c r="F304" s="82" t="str">
        <f aca="false">IFERROR(IF($C304="","",$E304-$D304),"")</f>
        <v/>
      </c>
      <c r="G304" s="12" t="str">
        <f aca="false">IFERROR(IF(OR($C304="",$D304=0,$D304=""),"",$F304/$D304),"")</f>
        <v/>
      </c>
      <c r="H304" s="13" t="str">
        <f aca="false">IFERROR(IF($C304="","",$F304*INDEX(المكونات!$C$2:$C$500,MATCH($C304,المكونات!$A$2:$A$500,0))),"")</f>
        <v/>
      </c>
    </row>
  </sheetData>
  <mergeCells count="2">
    <mergeCell ref="A1:H1"/>
    <mergeCell ref="A2:H2"/>
  </mergeCells>
  <dataValidations count="2">
    <dataValidation allowBlank="true" errorStyle="stop" operator="between" showDropDown="false" showErrorMessage="false" showInputMessage="false" sqref="C5:C304" type="list">
      <formula1>المكونات!$A$2:$A$200</formula1>
      <formula2>0</formula2>
    </dataValidation>
    <dataValidation allowBlank="true" errorStyle="stop" operator="between" showDropDown="false" showErrorMessage="false" showInputMessage="false" sqref="B5:B304" type="list">
      <formula1>"محرم بك,ابراهيمية,عصافرة,المطبخ المركزي"</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2"/>
    <col collapsed="false" customWidth="true" hidden="false" outlineLevel="0" max="4" min="3" style="1" width="16"/>
    <col collapsed="false" customWidth="true" hidden="false" outlineLevel="0" max="5" min="5" style="1" width="20"/>
    <col collapsed="false" customWidth="true" hidden="false" outlineLevel="0" max="6" min="6" style="1" width="22"/>
    <col collapsed="false" customWidth="true" hidden="false" outlineLevel="0" max="7" min="7" style="1" width="20"/>
    <col collapsed="false" customWidth="true" hidden="false" outlineLevel="0" max="8" min="8" style="1" width="22"/>
  </cols>
  <sheetData>
    <row r="1" customFormat="false" ht="25.5" hidden="false" customHeight="true" outlineLevel="0" collapsed="false">
      <c r="A1" s="80" t="s">
        <v>612</v>
      </c>
      <c r="B1" s="80"/>
      <c r="C1" s="80"/>
      <c r="D1" s="80"/>
      <c r="E1" s="80"/>
      <c r="F1" s="80"/>
      <c r="G1" s="80"/>
      <c r="H1" s="80"/>
    </row>
    <row r="2" customFormat="false" ht="43.5" hidden="false" customHeight="true" outlineLevel="0" collapsed="false">
      <c r="A2" s="14" t="s">
        <v>613</v>
      </c>
      <c r="B2" s="14"/>
      <c r="C2" s="14"/>
      <c r="D2" s="14"/>
      <c r="E2" s="14"/>
      <c r="F2" s="14"/>
      <c r="G2" s="14"/>
      <c r="H2" s="14"/>
    </row>
    <row r="4" customFormat="false" ht="49.5" hidden="false" customHeight="true" outlineLevel="0" collapsed="false">
      <c r="A4" s="10" t="s">
        <v>7</v>
      </c>
      <c r="B4" s="10" t="s">
        <v>23</v>
      </c>
      <c r="C4" s="10" t="s">
        <v>24</v>
      </c>
      <c r="D4" s="10" t="s">
        <v>26</v>
      </c>
      <c r="E4" s="10" t="s">
        <v>614</v>
      </c>
      <c r="F4" s="10" t="s">
        <v>615</v>
      </c>
      <c r="G4" s="10" t="s">
        <v>616</v>
      </c>
      <c r="H4" s="10" t="s">
        <v>617</v>
      </c>
    </row>
    <row r="5" customFormat="false" ht="15" hidden="false" customHeight="true" outlineLevel="0" collapsed="false">
      <c r="A5" s="11" t="s">
        <v>9</v>
      </c>
      <c r="B5" s="11" t="s">
        <v>473</v>
      </c>
      <c r="C5" s="13" t="n">
        <f aca="false">IFERROR(INDEX('تحليل التكلفة والسعر'!$D$2:$D$700,MATCH("بيتزا مارجريتا وسط",'تحليل التكلفة والسعر'!$B$2:$B$700,0)),"")</f>
        <v>90</v>
      </c>
      <c r="D5" s="12" t="n">
        <f aca="false">IFERROR(INDEX('تحليل التكلفة والسعر'!$I$2:$I$700,MATCH("بيتزا مارجريتا وسط",'تحليل التكلفة والسعر'!$B$2:$B$700,0)),"")</f>
        <v>0.568351111111111</v>
      </c>
      <c r="E5" s="49" t="n">
        <v>612</v>
      </c>
      <c r="F5" s="11" t="str">
        <f aca="false">IF(OR(NOT(INDEX('تحليل التكلفة والسعر'!$C$2:$C$700,MATCH("بيتزا مارجريتا وسط",'تحليل التكلفة والسعر'!$B$2:$B$700,0))&gt;0),$E5=0),"بيانات غير كافية",IF(AND($E5&gt;=AVERAGEIFS($E$5:$E$175,$A$5:$A$175,$A5,$E$5:$E$175,"&gt;0"),INDEX('تحليل التكلفة والسعر'!$H$2:$H$700,MATCH("بيتزا مارجريتا وسط",'تحليل التكلفة والسعر'!$B$2:$B$700,0))&gt;=AVERAGEIFS('تحليل التكلفة والسعر'!$H$2:$H$700,'تحليل التكلفة والسعر'!$A$2:$A$700,$A5,'تحليل التكلفة والسعر'!$C$2:$C$700,"&gt;0")),"⭐ نجم",IF(AND($E5&gt;=AVERAGEIFS($E$5:$E$175,$A$5:$A$175,$A5,$E$5:$E$175,"&gt;0"),INDEX('تحليل التكلفة والسعر'!$H$2:$H$700,MATCH("بيتزا مارجريتا وسط",'تحليل التكلفة والسعر'!$B$2:$B$700,0))&lt;AVERAGEIFS('تحليل التكلفة والسعر'!$H$2:$H$700,'تحليل التكلفة والسعر'!$A$2:$A$700,$A5,'تحليل التكلفة والسعر'!$C$2:$C$700,"&gt;0")),"🐎 حصان عمل",IF(AND($E5&lt;AVERAGEIFS($E$5:$E$175,$A$5:$A$175,$A5,$E$5:$E$175,"&gt;0"),INDEX('تحليل التكلفة والسعر'!$H$2:$H$700,MATCH("بيتزا مارجريتا وسط",'تحليل التكلفة والسعر'!$B$2:$B$700,0))&gt;=AVERAGEIFS('تحليل التكلفة والسعر'!$H$2:$H$700,'تحليل التكلفة والسعر'!$A$2:$A$700,$A5,'تحليل التكلفة والسعر'!$C$2:$C$700,"&gt;0")),"🧩 لغز","🐶 كلب"))))</f>
        <v>🐎 حصان عمل</v>
      </c>
      <c r="G5" s="49" t="n">
        <v>74</v>
      </c>
      <c r="H5" s="11" t="str">
        <f aca="false">IF(OR(NOT(INDEX('تحليل التكلفة والسعر'!$C$2:$C$700,MATCH("بيتزا مارجريتا وسط",'تحليل التكلفة والسعر'!$B$2:$B$700,0))&gt;0),$G5=0),"بيانات غير كافية",IF(AND($G5&gt;=AVERAGEIFS($G$5:$G$175,$A$5:$A$175,$A5,$G$5:$G$175,"&gt;0"),INDEX('تحليل التكلفة والسعر'!$H$2:$H$700,MATCH("بيتزا مارجريتا وسط",'تحليل التكلفة والسعر'!$B$2:$B$700,0))&gt;=AVERAGEIFS('تحليل التكلفة والسعر'!$H$2:$H$700,'تحليل التكلفة والسعر'!$A$2:$A$700,$A5,'تحليل التكلفة والسعر'!$C$2:$C$700,"&gt;0")),"⭐ نجم",IF(AND($G5&gt;=AVERAGEIFS($G$5:$G$175,$A$5:$A$175,$A5,$G$5:$G$175,"&gt;0"),INDEX('تحليل التكلفة والسعر'!$H$2:$H$700,MATCH("بيتزا مارجريتا وسط",'تحليل التكلفة والسعر'!$B$2:$B$700,0))&lt;AVERAGEIFS('تحليل التكلفة والسعر'!$H$2:$H$700,'تحليل التكلفة والسعر'!$A$2:$A$700,$A5,'تحليل التكلفة والسعر'!$C$2:$C$700,"&gt;0")),"🐎 حصان عمل",IF(AND($G5&lt;AVERAGEIFS($G$5:$G$175,$A$5:$A$175,$A5,$G$5:$G$175,"&gt;0"),INDEX('تحليل التكلفة والسعر'!$H$2:$H$700,MATCH("بيتزا مارجريتا وسط",'تحليل التكلفة والسعر'!$B$2:$B$700,0))&gt;=AVERAGEIFS('تحليل التكلفة والسعر'!$H$2:$H$700,'تحليل التكلفة والسعر'!$A$2:$A$700,$A5,'تحليل التكلفة والسعر'!$C$2:$C$700,"&gt;0")),"🧩 لغز","🐶 كلب"))))</f>
        <v>🐎 حصان عمل</v>
      </c>
    </row>
    <row r="6" customFormat="false" ht="15" hidden="false" customHeight="true" outlineLevel="0" collapsed="false">
      <c r="A6" s="11" t="s">
        <v>9</v>
      </c>
      <c r="B6" s="11" t="s">
        <v>418</v>
      </c>
      <c r="C6" s="13" t="n">
        <f aca="false">IFERROR(INDEX('تحليل التكلفة والسعر'!$D$2:$D$700,MATCH("بيتزا مارجريتا حجم اكبر",'تحليل التكلفة والسعر'!$B$2:$B$700,0)),"")</f>
        <v>120</v>
      </c>
      <c r="D6" s="12" t="n">
        <f aca="false">IFERROR(INDEX('تحليل التكلفة والسعر'!$I$2:$I$700,MATCH("بيتزا مارجريتا حجم اكبر",'تحليل التكلفة والسعر'!$B$2:$B$700,0)),"")</f>
        <v>0.5731425</v>
      </c>
      <c r="E6" s="49" t="n">
        <v>59</v>
      </c>
      <c r="F6" s="11" t="str">
        <f aca="false">IF(OR(NOT(INDEX('تحليل التكلفة والسعر'!$C$2:$C$700,MATCH("بيتزا مارجريتا حجم اكبر",'تحليل التكلفة والسعر'!$B$2:$B$700,0))&gt;0),$E6=0),"بيانات غير كافية",IF(AND($E6&gt;=AVERAGEIFS($E$5:$E$175,$A$5:$A$175,$A6,$E$5:$E$175,"&gt;0"),INDEX('تحليل التكلفة والسعر'!$H$2:$H$700,MATCH("بيتزا مارجريتا حجم اكبر",'تحليل التكلفة والسعر'!$B$2:$B$700,0))&gt;=AVERAGEIFS('تحليل التكلفة والسعر'!$H$2:$H$700,'تحليل التكلفة والسعر'!$A$2:$A$700,$A6,'تحليل التكلفة والسعر'!$C$2:$C$700,"&gt;0")),"⭐ نجم",IF(AND($E6&gt;=AVERAGEIFS($E$5:$E$175,$A$5:$A$175,$A6,$E$5:$E$175,"&gt;0"),INDEX('تحليل التكلفة والسعر'!$H$2:$H$700,MATCH("بيتزا مارجريتا حجم اكبر",'تحليل التكلفة والسعر'!$B$2:$B$700,0))&lt;AVERAGEIFS('تحليل التكلفة والسعر'!$H$2:$H$700,'تحليل التكلفة والسعر'!$A$2:$A$700,$A6,'تحليل التكلفة والسعر'!$C$2:$C$700,"&gt;0")),"🐎 حصان عمل",IF(AND($E6&lt;AVERAGEIFS($E$5:$E$175,$A$5:$A$175,$A6,$E$5:$E$175,"&gt;0"),INDEX('تحليل التكلفة والسعر'!$H$2:$H$700,MATCH("بيتزا مارجريتا حجم اكبر",'تحليل التكلفة والسعر'!$B$2:$B$700,0))&gt;=AVERAGEIFS('تحليل التكلفة والسعر'!$H$2:$H$700,'تحليل التكلفة والسعر'!$A$2:$A$700,$A6,'تحليل التكلفة والسعر'!$C$2:$C$700,"&gt;0")),"🧩 لغز","🐶 كلب"))))</f>
        <v>🐶 كلب</v>
      </c>
      <c r="G6" s="49" t="n">
        <v>25</v>
      </c>
      <c r="H6" s="11" t="str">
        <f aca="false">IF(OR(NOT(INDEX('تحليل التكلفة والسعر'!$C$2:$C$700,MATCH("بيتزا مارجريتا حجم اكبر",'تحليل التكلفة والسعر'!$B$2:$B$700,0))&gt;0),$G6=0),"بيانات غير كافية",IF(AND($G6&gt;=AVERAGEIFS($G$5:$G$175,$A$5:$A$175,$A6,$G$5:$G$175,"&gt;0"),INDEX('تحليل التكلفة والسعر'!$H$2:$H$700,MATCH("بيتزا مارجريتا حجم اكبر",'تحليل التكلفة والسعر'!$B$2:$B$700,0))&gt;=AVERAGEIFS('تحليل التكلفة والسعر'!$H$2:$H$700,'تحليل التكلفة والسعر'!$A$2:$A$700,$A6,'تحليل التكلفة والسعر'!$C$2:$C$700,"&gt;0")),"⭐ نجم",IF(AND($G6&gt;=AVERAGEIFS($G$5:$G$175,$A$5:$A$175,$A6,$G$5:$G$175,"&gt;0"),INDEX('تحليل التكلفة والسعر'!$H$2:$H$700,MATCH("بيتزا مارجريتا حجم اكبر",'تحليل التكلفة والسعر'!$B$2:$B$700,0))&lt;AVERAGEIFS('تحليل التكلفة والسعر'!$H$2:$H$700,'تحليل التكلفة والسعر'!$A$2:$A$700,$A6,'تحليل التكلفة والسعر'!$C$2:$C$700,"&gt;0")),"🐎 حصان عمل",IF(AND($G6&lt;AVERAGEIFS($G$5:$G$175,$A$5:$A$175,$A6,$G$5:$G$175,"&gt;0"),INDEX('تحليل التكلفة والسعر'!$H$2:$H$700,MATCH("بيتزا مارجريتا حجم اكبر",'تحليل التكلفة والسعر'!$B$2:$B$700,0))&gt;=AVERAGEIFS('تحليل التكلفة والسعر'!$H$2:$H$700,'تحليل التكلفة والسعر'!$A$2:$A$700,$A6,'تحليل التكلفة والسعر'!$C$2:$C$700,"&gt;0")),"🧩 لغز","🐶 كلب"))))</f>
        <v>🐎 حصان عمل</v>
      </c>
    </row>
    <row r="7" customFormat="false" ht="15" hidden="false" customHeight="true" outlineLevel="0" collapsed="false">
      <c r="A7" s="11" t="s">
        <v>9</v>
      </c>
      <c r="B7" s="11" t="s">
        <v>443</v>
      </c>
      <c r="C7" s="13" t="n">
        <f aca="false">IFERROR(INDEX('تحليل التكلفة والسعر'!$D$2:$D$700,MATCH("بيتزا بسطرمة وسط",'تحليل التكلفة والسعر'!$B$2:$B$700,0)),"")</f>
        <v>140</v>
      </c>
      <c r="D7" s="12" t="n">
        <f aca="false">IFERROR(INDEX('تحليل التكلفة والسعر'!$I$2:$I$700,MATCH("بيتزا بسطرمة وسط",'تحليل التكلفة والسعر'!$B$2:$B$700,0)),"")</f>
        <v>0.472511428571429</v>
      </c>
      <c r="E7" s="49" t="n">
        <v>473</v>
      </c>
      <c r="F7" s="11" t="str">
        <f aca="false">IF(OR(NOT(INDEX('تحليل التكلفة والسعر'!$C$2:$C$700,MATCH("بيتزا بسطرمة وسط",'تحليل التكلفة والسعر'!$B$2:$B$700,0))&gt;0),$E7=0),"بيانات غير كافية",IF(AND($E7&gt;=AVERAGEIFS($E$5:$E$175,$A$5:$A$175,$A7,$E$5:$E$175,"&gt;0"),INDEX('تحليل التكلفة والسعر'!$H$2:$H$700,MATCH("بيتزا بسطرمة وسط",'تحليل التكلفة والسعر'!$B$2:$B$700,0))&gt;=AVERAGEIFS('تحليل التكلفة والسعر'!$H$2:$H$700,'تحليل التكلفة والسعر'!$A$2:$A$700,$A7,'تحليل التكلفة والسعر'!$C$2:$C$700,"&gt;0")),"⭐ نجم",IF(AND($E7&gt;=AVERAGEIFS($E$5:$E$175,$A$5:$A$175,$A7,$E$5:$E$175,"&gt;0"),INDEX('تحليل التكلفة والسعر'!$H$2:$H$700,MATCH("بيتزا بسطرمة وسط",'تحليل التكلفة والسعر'!$B$2:$B$700,0))&lt;AVERAGEIFS('تحليل التكلفة والسعر'!$H$2:$H$700,'تحليل التكلفة والسعر'!$A$2:$A$700,$A7,'تحليل التكلفة والسعر'!$C$2:$C$700,"&gt;0")),"🐎 حصان عمل",IF(AND($E7&lt;AVERAGEIFS($E$5:$E$175,$A$5:$A$175,$A7,$E$5:$E$175,"&gt;0"),INDEX('تحليل التكلفة والسعر'!$H$2:$H$700,MATCH("بيتزا بسطرمة وسط",'تحليل التكلفة والسعر'!$B$2:$B$700,0))&gt;=AVERAGEIFS('تحليل التكلفة والسعر'!$H$2:$H$700,'تحليل التكلفة والسعر'!$A$2:$A$700,$A7,'تحليل التكلفة والسعر'!$C$2:$C$700,"&gt;0")),"🧩 لغز","🐶 كلب"))))</f>
        <v>🐎 حصان عمل</v>
      </c>
      <c r="G7" s="49" t="n">
        <v>65</v>
      </c>
      <c r="H7" s="11" t="str">
        <f aca="false">IF(OR(NOT(INDEX('تحليل التكلفة والسعر'!$C$2:$C$700,MATCH("بيتزا بسطرمة وسط",'تحليل التكلفة والسعر'!$B$2:$B$700,0))&gt;0),$G7=0),"بيانات غير كافية",IF(AND($G7&gt;=AVERAGEIFS($G$5:$G$175,$A$5:$A$175,$A7,$G$5:$G$175,"&gt;0"),INDEX('تحليل التكلفة والسعر'!$H$2:$H$700,MATCH("بيتزا بسطرمة وسط",'تحليل التكلفة والسعر'!$B$2:$B$700,0))&gt;=AVERAGEIFS('تحليل التكلفة والسعر'!$H$2:$H$700,'تحليل التكلفة والسعر'!$A$2:$A$700,$A7,'تحليل التكلفة والسعر'!$C$2:$C$700,"&gt;0")),"⭐ نجم",IF(AND($G7&gt;=AVERAGEIFS($G$5:$G$175,$A$5:$A$175,$A7,$G$5:$G$175,"&gt;0"),INDEX('تحليل التكلفة والسعر'!$H$2:$H$700,MATCH("بيتزا بسطرمة وسط",'تحليل التكلفة والسعر'!$B$2:$B$700,0))&lt;AVERAGEIFS('تحليل التكلفة والسعر'!$H$2:$H$700,'تحليل التكلفة والسعر'!$A$2:$A$700,$A7,'تحليل التكلفة والسعر'!$C$2:$C$700,"&gt;0")),"🐎 حصان عمل",IF(AND($G7&lt;AVERAGEIFS($G$5:$G$175,$A$5:$A$175,$A7,$G$5:$G$175,"&gt;0"),INDEX('تحليل التكلفة والسعر'!$H$2:$H$700,MATCH("بيتزا بسطرمة وسط",'تحليل التكلفة والسعر'!$B$2:$B$700,0))&gt;=AVERAGEIFS('تحليل التكلفة والسعر'!$H$2:$H$700,'تحليل التكلفة والسعر'!$A$2:$A$700,$A7,'تحليل التكلفة والسعر'!$C$2:$C$700,"&gt;0")),"🧩 لغز","🐶 كلب"))))</f>
        <v>🐎 حصان عمل</v>
      </c>
    </row>
    <row r="8" customFormat="false" ht="15" hidden="false" customHeight="true" outlineLevel="0" collapsed="false">
      <c r="A8" s="11" t="s">
        <v>9</v>
      </c>
      <c r="B8" s="11" t="s">
        <v>462</v>
      </c>
      <c r="C8" s="13" t="n">
        <f aca="false">IFERROR(INDEX('تحليل التكلفة والسعر'!$D$2:$D$700,MATCH("بيتزا بسطرمة حجم اكبر",'تحليل التكلفة والسعر'!$B$2:$B$700,0)),"")</f>
        <v>200</v>
      </c>
      <c r="D8" s="12" t="n">
        <f aca="false">IFERROR(INDEX('تحليل التكلفة والسعر'!$I$2:$I$700,MATCH("بيتزا بسطرمة حجم اكبر",'تحليل التكلفة والسعر'!$B$2:$B$700,0)),"")</f>
        <v>0.510552</v>
      </c>
      <c r="E8" s="49" t="n">
        <v>17</v>
      </c>
      <c r="F8" s="11" t="str">
        <f aca="false">IF(OR(NOT(INDEX('تحليل التكلفة والسعر'!$C$2:$C$700,MATCH("بيتزا بسطرمة حجم اكبر",'تحليل التكلفة والسعر'!$B$2:$B$700,0))&gt;0),$E8=0),"بيانات غير كافية",IF(AND($E8&gt;=AVERAGEIFS($E$5:$E$175,$A$5:$A$175,$A8,$E$5:$E$175,"&gt;0"),INDEX('تحليل التكلفة والسعر'!$H$2:$H$700,MATCH("بيتزا بسطرمة حجم اكبر",'تحليل التكلفة والسعر'!$B$2:$B$700,0))&gt;=AVERAGEIFS('تحليل التكلفة والسعر'!$H$2:$H$700,'تحليل التكلفة والسعر'!$A$2:$A$700,$A8,'تحليل التكلفة والسعر'!$C$2:$C$700,"&gt;0")),"⭐ نجم",IF(AND($E8&gt;=AVERAGEIFS($E$5:$E$175,$A$5:$A$175,$A8,$E$5:$E$175,"&gt;0"),INDEX('تحليل التكلفة والسعر'!$H$2:$H$700,MATCH("بيتزا بسطرمة حجم اكبر",'تحليل التكلفة والسعر'!$B$2:$B$700,0))&lt;AVERAGEIFS('تحليل التكلفة والسعر'!$H$2:$H$700,'تحليل التكلفة والسعر'!$A$2:$A$700,$A8,'تحليل التكلفة والسعر'!$C$2:$C$700,"&gt;0")),"🐎 حصان عمل",IF(AND($E8&lt;AVERAGEIFS($E$5:$E$175,$A$5:$A$175,$A8,$E$5:$E$175,"&gt;0"),INDEX('تحليل التكلفة والسعر'!$H$2:$H$700,MATCH("بيتزا بسطرمة حجم اكبر",'تحليل التكلفة والسعر'!$B$2:$B$700,0))&gt;=AVERAGEIFS('تحليل التكلفة والسعر'!$H$2:$H$700,'تحليل التكلفة والسعر'!$A$2:$A$700,$A8,'تحليل التكلفة والسعر'!$C$2:$C$700,"&gt;0")),"🧩 لغز","🐶 كلب"))))</f>
        <v>🧩 لغز</v>
      </c>
      <c r="G8" s="49" t="n">
        <v>16</v>
      </c>
      <c r="H8" s="11" t="str">
        <f aca="false">IF(OR(NOT(INDEX('تحليل التكلفة والسعر'!$C$2:$C$700,MATCH("بيتزا بسطرمة حجم اكبر",'تحليل التكلفة والسعر'!$B$2:$B$700,0))&gt;0),$G8=0),"بيانات غير كافية",IF(AND($G8&gt;=AVERAGEIFS($G$5:$G$175,$A$5:$A$175,$A8,$G$5:$G$175,"&gt;0"),INDEX('تحليل التكلفة والسعر'!$H$2:$H$700,MATCH("بيتزا بسطرمة حجم اكبر",'تحليل التكلفة والسعر'!$B$2:$B$700,0))&gt;=AVERAGEIFS('تحليل التكلفة والسعر'!$H$2:$H$700,'تحليل التكلفة والسعر'!$A$2:$A$700,$A8,'تحليل التكلفة والسعر'!$C$2:$C$700,"&gt;0")),"⭐ نجم",IF(AND($G8&gt;=AVERAGEIFS($G$5:$G$175,$A$5:$A$175,$A8,$G$5:$G$175,"&gt;0"),INDEX('تحليل التكلفة والسعر'!$H$2:$H$700,MATCH("بيتزا بسطرمة حجم اكبر",'تحليل التكلفة والسعر'!$B$2:$B$700,0))&lt;AVERAGEIFS('تحليل التكلفة والسعر'!$H$2:$H$700,'تحليل التكلفة والسعر'!$A$2:$A$700,$A8,'تحليل التكلفة والسعر'!$C$2:$C$700,"&gt;0")),"🐎 حصان عمل",IF(AND($G8&lt;AVERAGEIFS($G$5:$G$175,$A$5:$A$175,$A8,$G$5:$G$175,"&gt;0"),INDEX('تحليل التكلفة والسعر'!$H$2:$H$700,MATCH("بيتزا بسطرمة حجم اكبر",'تحليل التكلفة والسعر'!$B$2:$B$700,0))&gt;=AVERAGEIFS('تحليل التكلفة والسعر'!$H$2:$H$700,'تحليل التكلفة والسعر'!$A$2:$A$700,$A8,'تحليل التكلفة والسعر'!$C$2:$C$700,"&gt;0")),"🧩 لغز","🐶 كلب"))))</f>
        <v>🧩 لغز</v>
      </c>
    </row>
    <row r="9" customFormat="false" ht="15" hidden="false" customHeight="true" outlineLevel="0" collapsed="false">
      <c r="A9" s="11" t="s">
        <v>9</v>
      </c>
      <c r="B9" s="11" t="s">
        <v>494</v>
      </c>
      <c r="C9" s="13" t="n">
        <f aca="false">IFERROR(INDEX('تحليل التكلفة والسعر'!$D$2:$D$700,MATCH("بيتزا سدق وسط",'تحليل التكلفة والسعر'!$B$2:$B$700,0)),"")</f>
        <v>130</v>
      </c>
      <c r="D9" s="12" t="n">
        <f aca="false">IFERROR(INDEX('تحليل التكلفة والسعر'!$I$2:$I$700,MATCH("بيتزا سدق وسط",'تحليل التكلفة والسعر'!$B$2:$B$700,0)),"")</f>
        <v>0.439627692307692</v>
      </c>
      <c r="E9" s="49" t="n">
        <v>368</v>
      </c>
      <c r="F9" s="11" t="str">
        <f aca="false">IF(OR(NOT(INDEX('تحليل التكلفة والسعر'!$C$2:$C$700,MATCH("بيتزا سدق وسط",'تحليل التكلفة والسعر'!$B$2:$B$700,0))&gt;0),$E9=0),"بيانات غير كافية",IF(AND($E9&gt;=AVERAGEIFS($E$5:$E$175,$A$5:$A$175,$A9,$E$5:$E$175,"&gt;0"),INDEX('تحليل التكلفة والسعر'!$H$2:$H$700,MATCH("بيتزا سدق وسط",'تحليل التكلفة والسعر'!$B$2:$B$700,0))&gt;=AVERAGEIFS('تحليل التكلفة والسعر'!$H$2:$H$700,'تحليل التكلفة والسعر'!$A$2:$A$700,$A9,'تحليل التكلفة والسعر'!$C$2:$C$700,"&gt;0")),"⭐ نجم",IF(AND($E9&gt;=AVERAGEIFS($E$5:$E$175,$A$5:$A$175,$A9,$E$5:$E$175,"&gt;0"),INDEX('تحليل التكلفة والسعر'!$H$2:$H$700,MATCH("بيتزا سدق وسط",'تحليل التكلفة والسعر'!$B$2:$B$700,0))&lt;AVERAGEIFS('تحليل التكلفة والسعر'!$H$2:$H$700,'تحليل التكلفة والسعر'!$A$2:$A$700,$A9,'تحليل التكلفة والسعر'!$C$2:$C$700,"&gt;0")),"🐎 حصان عمل",IF(AND($E9&lt;AVERAGEIFS($E$5:$E$175,$A$5:$A$175,$A9,$E$5:$E$175,"&gt;0"),INDEX('تحليل التكلفة والسعر'!$H$2:$H$700,MATCH("بيتزا سدق وسط",'تحليل التكلفة والسعر'!$B$2:$B$700,0))&gt;=AVERAGEIFS('تحليل التكلفة والسعر'!$H$2:$H$700,'تحليل التكلفة والسعر'!$A$2:$A$700,$A9,'تحليل التكلفة والسعر'!$C$2:$C$700,"&gt;0")),"🧩 لغز","🐶 كلب"))))</f>
        <v>🐎 حصان عمل</v>
      </c>
      <c r="G9" s="49" t="n">
        <v>16</v>
      </c>
      <c r="H9" s="11" t="str">
        <f aca="false">IF(OR(NOT(INDEX('تحليل التكلفة والسعر'!$C$2:$C$700,MATCH("بيتزا سدق وسط",'تحليل التكلفة والسعر'!$B$2:$B$700,0))&gt;0),$G9=0),"بيانات غير كافية",IF(AND($G9&gt;=AVERAGEIFS($G$5:$G$175,$A$5:$A$175,$A9,$G$5:$G$175,"&gt;0"),INDEX('تحليل التكلفة والسعر'!$H$2:$H$700,MATCH("بيتزا سدق وسط",'تحليل التكلفة والسعر'!$B$2:$B$700,0))&gt;=AVERAGEIFS('تحليل التكلفة والسعر'!$H$2:$H$700,'تحليل التكلفة والسعر'!$A$2:$A$700,$A9,'تحليل التكلفة والسعر'!$C$2:$C$700,"&gt;0")),"⭐ نجم",IF(AND($G9&gt;=AVERAGEIFS($G$5:$G$175,$A$5:$A$175,$A9,$G$5:$G$175,"&gt;0"),INDEX('تحليل التكلفة والسعر'!$H$2:$H$700,MATCH("بيتزا سدق وسط",'تحليل التكلفة والسعر'!$B$2:$B$700,0))&lt;AVERAGEIFS('تحليل التكلفة والسعر'!$H$2:$H$700,'تحليل التكلفة والسعر'!$A$2:$A$700,$A9,'تحليل التكلفة والسعر'!$C$2:$C$700,"&gt;0")),"🐎 حصان عمل",IF(AND($G9&lt;AVERAGEIFS($G$5:$G$175,$A$5:$A$175,$A9,$G$5:$G$175,"&gt;0"),INDEX('تحليل التكلفة والسعر'!$H$2:$H$700,MATCH("بيتزا سدق وسط",'تحليل التكلفة والسعر'!$B$2:$B$700,0))&gt;=AVERAGEIFS('تحليل التكلفة والسعر'!$H$2:$H$700,'تحليل التكلفة والسعر'!$A$2:$A$700,$A9,'تحليل التكلفة والسعر'!$C$2:$C$700,"&gt;0")),"🧩 لغز","🐶 كلب"))))</f>
        <v>🐶 كلب</v>
      </c>
    </row>
    <row r="10" customFormat="false" ht="15" hidden="false" customHeight="true" outlineLevel="0" collapsed="false">
      <c r="A10" s="11" t="s">
        <v>9</v>
      </c>
      <c r="B10" s="11" t="s">
        <v>426</v>
      </c>
      <c r="C10" s="13" t="n">
        <f aca="false">IFERROR(INDEX('تحليل التكلفة والسعر'!$D$2:$D$700,MATCH("بيتزا سدق حجم اكبر",'تحليل التكلفة والسعر'!$B$2:$B$700,0)),"")</f>
        <v>190</v>
      </c>
      <c r="D10" s="12" t="n">
        <f aca="false">IFERROR(INDEX('تحليل التكلفة والسعر'!$I$2:$I$700,MATCH("بيتزا سدق حجم اكبر",'تحليل التكلفة والسعر'!$B$2:$B$700,0)),"")</f>
        <v>0.493563684210526</v>
      </c>
      <c r="E10" s="49" t="n">
        <v>12</v>
      </c>
      <c r="F10" s="11" t="str">
        <f aca="false">IF(OR(NOT(INDEX('تحليل التكلفة والسعر'!$C$2:$C$700,MATCH("بيتزا سدق حجم اكبر",'تحليل التكلفة والسعر'!$B$2:$B$700,0))&gt;0),$E10=0),"بيانات غير كافية",IF(AND($E10&gt;=AVERAGEIFS($E$5:$E$175,$A$5:$A$175,$A10,$E$5:$E$175,"&gt;0"),INDEX('تحليل التكلفة والسعر'!$H$2:$H$700,MATCH("بيتزا سدق حجم اكبر",'تحليل التكلفة والسعر'!$B$2:$B$700,0))&gt;=AVERAGEIFS('تحليل التكلفة والسعر'!$H$2:$H$700,'تحليل التكلفة والسعر'!$A$2:$A$700,$A10,'تحليل التكلفة والسعر'!$C$2:$C$700,"&gt;0")),"⭐ نجم",IF(AND($E10&gt;=AVERAGEIFS($E$5:$E$175,$A$5:$A$175,$A10,$E$5:$E$175,"&gt;0"),INDEX('تحليل التكلفة والسعر'!$H$2:$H$700,MATCH("بيتزا سدق حجم اكبر",'تحليل التكلفة والسعر'!$B$2:$B$700,0))&lt;AVERAGEIFS('تحليل التكلفة والسعر'!$H$2:$H$700,'تحليل التكلفة والسعر'!$A$2:$A$700,$A10,'تحليل التكلفة والسعر'!$C$2:$C$700,"&gt;0")),"🐎 حصان عمل",IF(AND($E10&lt;AVERAGEIFS($E$5:$E$175,$A$5:$A$175,$A10,$E$5:$E$175,"&gt;0"),INDEX('تحليل التكلفة والسعر'!$H$2:$H$700,MATCH("بيتزا سدق حجم اكبر",'تحليل التكلفة والسعر'!$B$2:$B$700,0))&gt;=AVERAGEIFS('تحليل التكلفة والسعر'!$H$2:$H$700,'تحليل التكلفة والسعر'!$A$2:$A$700,$A10,'تحليل التكلفة والسعر'!$C$2:$C$700,"&gt;0")),"🧩 لغز","🐶 كلب"))))</f>
        <v>🧩 لغز</v>
      </c>
      <c r="G10" s="49" t="n">
        <v>10</v>
      </c>
      <c r="H10" s="11" t="str">
        <f aca="false">IF(OR(NOT(INDEX('تحليل التكلفة والسعر'!$C$2:$C$700,MATCH("بيتزا سدق حجم اكبر",'تحليل التكلفة والسعر'!$B$2:$B$700,0))&gt;0),$G10=0),"بيانات غير كافية",IF(AND($G10&gt;=AVERAGEIFS($G$5:$G$175,$A$5:$A$175,$A10,$G$5:$G$175,"&gt;0"),INDEX('تحليل التكلفة والسعر'!$H$2:$H$700,MATCH("بيتزا سدق حجم اكبر",'تحليل التكلفة والسعر'!$B$2:$B$700,0))&gt;=AVERAGEIFS('تحليل التكلفة والسعر'!$H$2:$H$700,'تحليل التكلفة والسعر'!$A$2:$A$700,$A10,'تحليل التكلفة والسعر'!$C$2:$C$700,"&gt;0")),"⭐ نجم",IF(AND($G10&gt;=AVERAGEIFS($G$5:$G$175,$A$5:$A$175,$A10,$G$5:$G$175,"&gt;0"),INDEX('تحليل التكلفة والسعر'!$H$2:$H$700,MATCH("بيتزا سدق حجم اكبر",'تحليل التكلفة والسعر'!$B$2:$B$700,0))&lt;AVERAGEIFS('تحليل التكلفة والسعر'!$H$2:$H$700,'تحليل التكلفة والسعر'!$A$2:$A$700,$A10,'تحليل التكلفة والسعر'!$C$2:$C$700,"&gt;0")),"🐎 حصان عمل",IF(AND($G10&lt;AVERAGEIFS($G$5:$G$175,$A$5:$A$175,$A10,$G$5:$G$175,"&gt;0"),INDEX('تحليل التكلفة والسعر'!$H$2:$H$700,MATCH("بيتزا سدق حجم اكبر",'تحليل التكلفة والسعر'!$B$2:$B$700,0))&gt;=AVERAGEIFS('تحليل التكلفة والسعر'!$H$2:$H$700,'تحليل التكلفة والسعر'!$A$2:$A$700,$A10,'تحليل التكلفة والسعر'!$C$2:$C$700,"&gt;0")),"🧩 لغز","🐶 كلب"))))</f>
        <v>🧩 لغز</v>
      </c>
    </row>
    <row r="11" customFormat="false" ht="15" hidden="false" customHeight="true" outlineLevel="0" collapsed="false">
      <c r="A11" s="11" t="s">
        <v>9</v>
      </c>
      <c r="B11" s="11" t="s">
        <v>441</v>
      </c>
      <c r="C11" s="13" t="n">
        <f aca="false">IFERROR(INDEX('تحليل التكلفة والسعر'!$D$2:$D$700,MATCH("بيتزا دبل سلامي / بيبروني وسط",'تحليل التكلفة والسعر'!$B$2:$B$700,0)),"")</f>
        <v>130</v>
      </c>
      <c r="D11" s="12" t="n">
        <f aca="false">IFERROR(INDEX('تحليل التكلفة والسعر'!$I$2:$I$700,MATCH("بيتزا دبل سلامي / بيبروني وسط",'تحليل التكلفة والسعر'!$B$2:$B$700,0)),"")</f>
        <v>0.493698461538462</v>
      </c>
      <c r="E11" s="49" t="n">
        <v>169</v>
      </c>
      <c r="F11" s="11" t="str">
        <f aca="false">IF(OR(NOT(INDEX('تحليل التكلفة والسعر'!$C$2:$C$700,MATCH("بيتزا دبل سلامي / بيبروني وسط",'تحليل التكلفة والسعر'!$B$2:$B$700,0))&gt;0),$E11=0),"بيانات غير كافية",IF(AND($E11&gt;=AVERAGEIFS($E$5:$E$175,$A$5:$A$175,$A11,$E$5:$E$175,"&gt;0"),INDEX('تحليل التكلفة والسعر'!$H$2:$H$700,MATCH("بيتزا دبل سلامي / بيبروني وسط",'تحليل التكلفة والسعر'!$B$2:$B$700,0))&gt;=AVERAGEIFS('تحليل التكلفة والسعر'!$H$2:$H$700,'تحليل التكلفة والسعر'!$A$2:$A$700,$A11,'تحليل التكلفة والسعر'!$C$2:$C$700,"&gt;0")),"⭐ نجم",IF(AND($E11&gt;=AVERAGEIFS($E$5:$E$175,$A$5:$A$175,$A11,$E$5:$E$175,"&gt;0"),INDEX('تحليل التكلفة والسعر'!$H$2:$H$700,MATCH("بيتزا دبل سلامي / بيبروني وسط",'تحليل التكلفة والسعر'!$B$2:$B$700,0))&lt;AVERAGEIFS('تحليل التكلفة والسعر'!$H$2:$H$700,'تحليل التكلفة والسعر'!$A$2:$A$700,$A11,'تحليل التكلفة والسعر'!$C$2:$C$700,"&gt;0")),"🐎 حصان عمل",IF(AND($E11&lt;AVERAGEIFS($E$5:$E$175,$A$5:$A$175,$A11,$E$5:$E$175,"&gt;0"),INDEX('تحليل التكلفة والسعر'!$H$2:$H$700,MATCH("بيتزا دبل سلامي / بيبروني وسط",'تحليل التكلفة والسعر'!$B$2:$B$700,0))&gt;=AVERAGEIFS('تحليل التكلفة والسعر'!$H$2:$H$700,'تحليل التكلفة والسعر'!$A$2:$A$700,$A11,'تحليل التكلفة والسعر'!$C$2:$C$700,"&gt;0")),"🧩 لغز","🐶 كلب"))))</f>
        <v>🐎 حصان عمل</v>
      </c>
      <c r="G11" s="49" t="n">
        <v>9</v>
      </c>
      <c r="H11" s="11" t="str">
        <f aca="false">IF(OR(NOT(INDEX('تحليل التكلفة والسعر'!$C$2:$C$700,MATCH("بيتزا دبل سلامي / بيبروني وسط",'تحليل التكلفة والسعر'!$B$2:$B$700,0))&gt;0),$G11=0),"بيانات غير كافية",IF(AND($G11&gt;=AVERAGEIFS($G$5:$G$175,$A$5:$A$175,$A11,$G$5:$G$175,"&gt;0"),INDEX('تحليل التكلفة والسعر'!$H$2:$H$700,MATCH("بيتزا دبل سلامي / بيبروني وسط",'تحليل التكلفة والسعر'!$B$2:$B$700,0))&gt;=AVERAGEIFS('تحليل التكلفة والسعر'!$H$2:$H$700,'تحليل التكلفة والسعر'!$A$2:$A$700,$A11,'تحليل التكلفة والسعر'!$C$2:$C$700,"&gt;0")),"⭐ نجم",IF(AND($G11&gt;=AVERAGEIFS($G$5:$G$175,$A$5:$A$175,$A11,$G$5:$G$175,"&gt;0"),INDEX('تحليل التكلفة والسعر'!$H$2:$H$700,MATCH("بيتزا دبل سلامي / بيبروني وسط",'تحليل التكلفة والسعر'!$B$2:$B$700,0))&lt;AVERAGEIFS('تحليل التكلفة والسعر'!$H$2:$H$700,'تحليل التكلفة والسعر'!$A$2:$A$700,$A11,'تحليل التكلفة والسعر'!$C$2:$C$700,"&gt;0")),"🐎 حصان عمل",IF(AND($G11&lt;AVERAGEIFS($G$5:$G$175,$A$5:$A$175,$A11,$G$5:$G$175,"&gt;0"),INDEX('تحليل التكلفة والسعر'!$H$2:$H$700,MATCH("بيتزا دبل سلامي / بيبروني وسط",'تحليل التكلفة والسعر'!$B$2:$B$700,0))&gt;=AVERAGEIFS('تحليل التكلفة والسعر'!$H$2:$H$700,'تحليل التكلفة والسعر'!$A$2:$A$700,$A11,'تحليل التكلفة والسعر'!$C$2:$C$700,"&gt;0")),"🧩 لغز","🐶 كلب"))))</f>
        <v>🐶 كلب</v>
      </c>
    </row>
    <row r="12" customFormat="false" ht="15" hidden="false" customHeight="true" outlineLevel="0" collapsed="false">
      <c r="A12" s="11" t="s">
        <v>9</v>
      </c>
      <c r="B12" s="11" t="s">
        <v>515</v>
      </c>
      <c r="C12" s="13" t="n">
        <f aca="false">IFERROR(INDEX('تحليل التكلفة والسعر'!$D$2:$D$700,MATCH("بيتزا دبل سلامي / بيبروني حجم اكبر",'تحليل التكلفة والسعر'!$B$2:$B$700,0)),"")</f>
        <v>190</v>
      </c>
      <c r="D12" s="12" t="n">
        <f aca="false">IFERROR(INDEX('تحليل التكلفة والسعر'!$I$2:$I$700,MATCH("بيتزا دبل سلامي / بيبروني حجم اكبر",'تحليل التكلفة والسعر'!$B$2:$B$700,0)),"")</f>
        <v>0.517478421052632</v>
      </c>
      <c r="E12" s="49" t="n">
        <v>8</v>
      </c>
      <c r="F12" s="11" t="str">
        <f aca="false">IF(OR(NOT(INDEX('تحليل التكلفة والسعر'!$C$2:$C$700,MATCH("بيتزا دبل سلامي / بيبروني حجم اكبر",'تحليل التكلفة والسعر'!$B$2:$B$700,0))&gt;0),$E12=0),"بيانات غير كافية",IF(AND($E12&gt;=AVERAGEIFS($E$5:$E$175,$A$5:$A$175,$A12,$E$5:$E$175,"&gt;0"),INDEX('تحليل التكلفة والسعر'!$H$2:$H$700,MATCH("بيتزا دبل سلامي / بيبروني حجم اكبر",'تحليل التكلفة والسعر'!$B$2:$B$700,0))&gt;=AVERAGEIFS('تحليل التكلفة والسعر'!$H$2:$H$700,'تحليل التكلفة والسعر'!$A$2:$A$700,$A12,'تحليل التكلفة والسعر'!$C$2:$C$700,"&gt;0")),"⭐ نجم",IF(AND($E12&gt;=AVERAGEIFS($E$5:$E$175,$A$5:$A$175,$A12,$E$5:$E$175,"&gt;0"),INDEX('تحليل التكلفة والسعر'!$H$2:$H$700,MATCH("بيتزا دبل سلامي / بيبروني حجم اكبر",'تحليل التكلفة والسعر'!$B$2:$B$700,0))&lt;AVERAGEIFS('تحليل التكلفة والسعر'!$H$2:$H$700,'تحليل التكلفة والسعر'!$A$2:$A$700,$A12,'تحليل التكلفة والسعر'!$C$2:$C$700,"&gt;0")),"🐎 حصان عمل",IF(AND($E12&lt;AVERAGEIFS($E$5:$E$175,$A$5:$A$175,$A12,$E$5:$E$175,"&gt;0"),INDEX('تحليل التكلفة والسعر'!$H$2:$H$700,MATCH("بيتزا دبل سلامي / بيبروني حجم اكبر",'تحليل التكلفة والسعر'!$B$2:$B$700,0))&gt;=AVERAGEIFS('تحليل التكلفة والسعر'!$H$2:$H$700,'تحليل التكلفة والسعر'!$A$2:$A$700,$A12,'تحليل التكلفة والسعر'!$C$2:$C$700,"&gt;0")),"🧩 لغز","🐶 كلب"))))</f>
        <v>🧩 لغز</v>
      </c>
      <c r="G12" s="49" t="n">
        <v>1</v>
      </c>
      <c r="H12" s="11" t="str">
        <f aca="false">IF(OR(NOT(INDEX('تحليل التكلفة والسعر'!$C$2:$C$700,MATCH("بيتزا دبل سلامي / بيبروني حجم اكبر",'تحليل التكلفة والسعر'!$B$2:$B$700,0))&gt;0),$G12=0),"بيانات غير كافية",IF(AND($G12&gt;=AVERAGEIFS($G$5:$G$175,$A$5:$A$175,$A12,$G$5:$G$175,"&gt;0"),INDEX('تحليل التكلفة والسعر'!$H$2:$H$700,MATCH("بيتزا دبل سلامي / بيبروني حجم اكبر",'تحليل التكلفة والسعر'!$B$2:$B$700,0))&gt;=AVERAGEIFS('تحليل التكلفة والسعر'!$H$2:$H$700,'تحليل التكلفة والسعر'!$A$2:$A$700,$A12,'تحليل التكلفة والسعر'!$C$2:$C$700,"&gt;0")),"⭐ نجم",IF(AND($G12&gt;=AVERAGEIFS($G$5:$G$175,$A$5:$A$175,$A12,$G$5:$G$175,"&gt;0"),INDEX('تحليل التكلفة والسعر'!$H$2:$H$700,MATCH("بيتزا دبل سلامي / بيبروني حجم اكبر",'تحليل التكلفة والسعر'!$B$2:$B$700,0))&lt;AVERAGEIFS('تحليل التكلفة والسعر'!$H$2:$H$700,'تحليل التكلفة والسعر'!$A$2:$A$700,$A12,'تحليل التكلفة والسعر'!$C$2:$C$700,"&gt;0")),"🐎 حصان عمل",IF(AND($G12&lt;AVERAGEIFS($G$5:$G$175,$A$5:$A$175,$A12,$G$5:$G$175,"&gt;0"),INDEX('تحليل التكلفة والسعر'!$H$2:$H$700,MATCH("بيتزا دبل سلامي / بيبروني حجم اكبر",'تحليل التكلفة والسعر'!$B$2:$B$700,0))&gt;=AVERAGEIFS('تحليل التكلفة والسعر'!$H$2:$H$700,'تحليل التكلفة والسعر'!$A$2:$A$700,$A12,'تحليل التكلفة والسعر'!$C$2:$C$700,"&gt;0")),"🧩 لغز","🐶 كلب"))))</f>
        <v>🧩 لغز</v>
      </c>
    </row>
    <row r="13" customFormat="false" ht="15" hidden="false" customHeight="true" outlineLevel="0" collapsed="false">
      <c r="A13" s="11" t="s">
        <v>9</v>
      </c>
      <c r="B13" s="11" t="s">
        <v>472</v>
      </c>
      <c r="C13" s="13" t="n">
        <f aca="false">IFERROR(INDEX('تحليل التكلفة والسعر'!$D$2:$D$700,MATCH("بيتزا مشكل جبن وسط",'تحليل التكلفة والسعر'!$B$2:$B$700,0)),"")</f>
        <v>130</v>
      </c>
      <c r="D13" s="12" t="n">
        <f aca="false">IFERROR(INDEX('تحليل التكلفة والسعر'!$I$2:$I$700,MATCH("بيتزا مشكل جبن وسط",'تحليل التكلفة والسعر'!$B$2:$B$700,0)),"")</f>
        <v>0.416550769230769</v>
      </c>
      <c r="E13" s="49" t="n">
        <v>124</v>
      </c>
      <c r="F13" s="11" t="str">
        <f aca="false">IF(OR(NOT(INDEX('تحليل التكلفة والسعر'!$C$2:$C$700,MATCH("بيتزا مشكل جبن وسط",'تحليل التكلفة والسعر'!$B$2:$B$700,0))&gt;0),$E13=0),"بيانات غير كافية",IF(AND($E13&gt;=AVERAGEIFS($E$5:$E$175,$A$5:$A$175,$A13,$E$5:$E$175,"&gt;0"),INDEX('تحليل التكلفة والسعر'!$H$2:$H$700,MATCH("بيتزا مشكل جبن وسط",'تحليل التكلفة والسعر'!$B$2:$B$700,0))&gt;=AVERAGEIFS('تحليل التكلفة والسعر'!$H$2:$H$700,'تحليل التكلفة والسعر'!$A$2:$A$700,$A13,'تحليل التكلفة والسعر'!$C$2:$C$700,"&gt;0")),"⭐ نجم",IF(AND($E13&gt;=AVERAGEIFS($E$5:$E$175,$A$5:$A$175,$A13,$E$5:$E$175,"&gt;0"),INDEX('تحليل التكلفة والسعر'!$H$2:$H$700,MATCH("بيتزا مشكل جبن وسط",'تحليل التكلفة والسعر'!$B$2:$B$700,0))&lt;AVERAGEIFS('تحليل التكلفة والسعر'!$H$2:$H$700,'تحليل التكلفة والسعر'!$A$2:$A$700,$A13,'تحليل التكلفة والسعر'!$C$2:$C$700,"&gt;0")),"🐎 حصان عمل",IF(AND($E13&lt;AVERAGEIFS($E$5:$E$175,$A$5:$A$175,$A13,$E$5:$E$175,"&gt;0"),INDEX('تحليل التكلفة والسعر'!$H$2:$H$700,MATCH("بيتزا مشكل جبن وسط",'تحليل التكلفة والسعر'!$B$2:$B$700,0))&gt;=AVERAGEIFS('تحليل التكلفة والسعر'!$H$2:$H$700,'تحليل التكلفة والسعر'!$A$2:$A$700,$A13,'تحليل التكلفة والسعر'!$C$2:$C$700,"&gt;0")),"🧩 لغز","🐶 كلب"))))</f>
        <v>🐶 كلب</v>
      </c>
      <c r="G13" s="49" t="n">
        <v>16</v>
      </c>
      <c r="H13" s="11" t="str">
        <f aca="false">IF(OR(NOT(INDEX('تحليل التكلفة والسعر'!$C$2:$C$700,MATCH("بيتزا مشكل جبن وسط",'تحليل التكلفة والسعر'!$B$2:$B$700,0))&gt;0),$G13=0),"بيانات غير كافية",IF(AND($G13&gt;=AVERAGEIFS($G$5:$G$175,$A$5:$A$175,$A13,$G$5:$G$175,"&gt;0"),INDEX('تحليل التكلفة والسعر'!$H$2:$H$700,MATCH("بيتزا مشكل جبن وسط",'تحليل التكلفة والسعر'!$B$2:$B$700,0))&gt;=AVERAGEIFS('تحليل التكلفة والسعر'!$H$2:$H$700,'تحليل التكلفة والسعر'!$A$2:$A$700,$A13,'تحليل التكلفة والسعر'!$C$2:$C$700,"&gt;0")),"⭐ نجم",IF(AND($G13&gt;=AVERAGEIFS($G$5:$G$175,$A$5:$A$175,$A13,$G$5:$G$175,"&gt;0"),INDEX('تحليل التكلفة والسعر'!$H$2:$H$700,MATCH("بيتزا مشكل جبن وسط",'تحليل التكلفة والسعر'!$B$2:$B$700,0))&lt;AVERAGEIFS('تحليل التكلفة والسعر'!$H$2:$H$700,'تحليل التكلفة والسعر'!$A$2:$A$700,$A13,'تحليل التكلفة والسعر'!$C$2:$C$700,"&gt;0")),"🐎 حصان عمل",IF(AND($G13&lt;AVERAGEIFS($G$5:$G$175,$A$5:$A$175,$A13,$G$5:$G$175,"&gt;0"),INDEX('تحليل التكلفة والسعر'!$H$2:$H$700,MATCH("بيتزا مشكل جبن وسط",'تحليل التكلفة والسعر'!$B$2:$B$700,0))&gt;=AVERAGEIFS('تحليل التكلفة والسعر'!$H$2:$H$700,'تحليل التكلفة والسعر'!$A$2:$A$700,$A13,'تحليل التكلفة والسعر'!$C$2:$C$700,"&gt;0")),"🧩 لغز","🐶 كلب"))))</f>
        <v>🐶 كلب</v>
      </c>
    </row>
    <row r="14" customFormat="false" ht="15" hidden="false" customHeight="true" outlineLevel="0" collapsed="false">
      <c r="A14" s="11" t="s">
        <v>9</v>
      </c>
      <c r="B14" s="11" t="s">
        <v>469</v>
      </c>
      <c r="C14" s="13" t="n">
        <f aca="false">IFERROR(INDEX('تحليل التكلفة والسعر'!$D$2:$D$700,MATCH("بيتزا مشكل جبن حجم اكبر",'تحليل التكلفة والسعر'!$B$2:$B$700,0)),"")</f>
        <v>190</v>
      </c>
      <c r="D14" s="12" t="n">
        <f aca="false">IFERROR(INDEX('تحليل التكلفة والسعر'!$I$2:$I$700,MATCH("بيتزا مشكل جبن حجم اكبر",'تحليل التكلفة والسعر'!$B$2:$B$700,0)),"")</f>
        <v>0.43830052631579</v>
      </c>
      <c r="E14" s="49" t="n">
        <v>10</v>
      </c>
      <c r="F14" s="11" t="str">
        <f aca="false">IF(OR(NOT(INDEX('تحليل التكلفة والسعر'!$C$2:$C$700,MATCH("بيتزا مشكل جبن حجم اكبر",'تحليل التكلفة والسعر'!$B$2:$B$700,0))&gt;0),$E14=0),"بيانات غير كافية",IF(AND($E14&gt;=AVERAGEIFS($E$5:$E$175,$A$5:$A$175,$A14,$E$5:$E$175,"&gt;0"),INDEX('تحليل التكلفة والسعر'!$H$2:$H$700,MATCH("بيتزا مشكل جبن حجم اكبر",'تحليل التكلفة والسعر'!$B$2:$B$700,0))&gt;=AVERAGEIFS('تحليل التكلفة والسعر'!$H$2:$H$700,'تحليل التكلفة والسعر'!$A$2:$A$700,$A14,'تحليل التكلفة والسعر'!$C$2:$C$700,"&gt;0")),"⭐ نجم",IF(AND($E14&gt;=AVERAGEIFS($E$5:$E$175,$A$5:$A$175,$A14,$E$5:$E$175,"&gt;0"),INDEX('تحليل التكلفة والسعر'!$H$2:$H$700,MATCH("بيتزا مشكل جبن حجم اكبر",'تحليل التكلفة والسعر'!$B$2:$B$700,0))&lt;AVERAGEIFS('تحليل التكلفة والسعر'!$H$2:$H$700,'تحليل التكلفة والسعر'!$A$2:$A$700,$A14,'تحليل التكلفة والسعر'!$C$2:$C$700,"&gt;0")),"🐎 حصان عمل",IF(AND($E14&lt;AVERAGEIFS($E$5:$E$175,$A$5:$A$175,$A14,$E$5:$E$175,"&gt;0"),INDEX('تحليل التكلفة والسعر'!$H$2:$H$700,MATCH("بيتزا مشكل جبن حجم اكبر",'تحليل التكلفة والسعر'!$B$2:$B$700,0))&gt;=AVERAGEIFS('تحليل التكلفة والسعر'!$H$2:$H$700,'تحليل التكلفة والسعر'!$A$2:$A$700,$A14,'تحليل التكلفة والسعر'!$C$2:$C$700,"&gt;0")),"🧩 لغز","🐶 كلب"))))</f>
        <v>🐶 كلب</v>
      </c>
      <c r="G14" s="49" t="n">
        <v>10</v>
      </c>
      <c r="H14" s="11" t="str">
        <f aca="false">IF(OR(NOT(INDEX('تحليل التكلفة والسعر'!$C$2:$C$700,MATCH("بيتزا مشكل جبن حجم اكبر",'تحليل التكلفة والسعر'!$B$2:$B$700,0))&gt;0),$G14=0),"بيانات غير كافية",IF(AND($G14&gt;=AVERAGEIFS($G$5:$G$175,$A$5:$A$175,$A14,$G$5:$G$175,"&gt;0"),INDEX('تحليل التكلفة والسعر'!$H$2:$H$700,MATCH("بيتزا مشكل جبن حجم اكبر",'تحليل التكلفة والسعر'!$B$2:$B$700,0))&gt;=AVERAGEIFS('تحليل التكلفة والسعر'!$H$2:$H$700,'تحليل التكلفة والسعر'!$A$2:$A$700,$A14,'تحليل التكلفة والسعر'!$C$2:$C$700,"&gt;0")),"⭐ نجم",IF(AND($G14&gt;=AVERAGEIFS($G$5:$G$175,$A$5:$A$175,$A14,$G$5:$G$175,"&gt;0"),INDEX('تحليل التكلفة والسعر'!$H$2:$H$700,MATCH("بيتزا مشكل جبن حجم اكبر",'تحليل التكلفة والسعر'!$B$2:$B$700,0))&lt;AVERAGEIFS('تحليل التكلفة والسعر'!$H$2:$H$700,'تحليل التكلفة والسعر'!$A$2:$A$700,$A14,'تحليل التكلفة والسعر'!$C$2:$C$700,"&gt;0")),"🐎 حصان عمل",IF(AND($G14&lt;AVERAGEIFS($G$5:$G$175,$A$5:$A$175,$A14,$G$5:$G$175,"&gt;0"),INDEX('تحليل التكلفة والسعر'!$H$2:$H$700,MATCH("بيتزا مشكل جبن حجم اكبر",'تحليل التكلفة والسعر'!$B$2:$B$700,0))&gt;=AVERAGEIFS('تحليل التكلفة والسعر'!$H$2:$H$700,'تحليل التكلفة والسعر'!$A$2:$A$700,$A14,'تحليل التكلفة والسعر'!$C$2:$C$700,"&gt;0")),"🧩 لغز","🐶 كلب"))))</f>
        <v>🐶 كلب</v>
      </c>
    </row>
    <row r="15" customFormat="false" ht="15" hidden="false" customHeight="true" outlineLevel="0" collapsed="false">
      <c r="A15" s="11" t="s">
        <v>9</v>
      </c>
      <c r="B15" s="11" t="s">
        <v>484</v>
      </c>
      <c r="C15" s="13" t="n">
        <f aca="false">IFERROR(INDEX('تحليل التكلفة والسعر'!$D$2:$D$700,MATCH("بيتزا فراخ رانش وسط",'تحليل التكلفة والسعر'!$B$2:$B$700,0)),"")</f>
        <v>150</v>
      </c>
      <c r="D15" s="12" t="n">
        <f aca="false">IFERROR(INDEX('تحليل التكلفة والسعر'!$I$2:$I$700,MATCH("بيتزا فراخ رانش وسط",'تحليل التكلفة والسعر'!$B$2:$B$700,0)),"")</f>
        <v>0.444464</v>
      </c>
      <c r="E15" s="49" t="n">
        <v>96</v>
      </c>
      <c r="F15" s="11" t="str">
        <f aca="false">IF(OR(NOT(INDEX('تحليل التكلفة والسعر'!$C$2:$C$700,MATCH("بيتزا فراخ رانش وسط",'تحليل التكلفة والسعر'!$B$2:$B$700,0))&gt;0),$E15=0),"بيانات غير كافية",IF(AND($E15&gt;=AVERAGEIFS($E$5:$E$175,$A$5:$A$175,$A15,$E$5:$E$175,"&gt;0"),INDEX('تحليل التكلفة والسعر'!$H$2:$H$700,MATCH("بيتزا فراخ رانش وسط",'تحليل التكلفة والسعر'!$B$2:$B$700,0))&gt;=AVERAGEIFS('تحليل التكلفة والسعر'!$H$2:$H$700,'تحليل التكلفة والسعر'!$A$2:$A$700,$A15,'تحليل التكلفة والسعر'!$C$2:$C$700,"&gt;0")),"⭐ نجم",IF(AND($E15&gt;=AVERAGEIFS($E$5:$E$175,$A$5:$A$175,$A15,$E$5:$E$175,"&gt;0"),INDEX('تحليل التكلفة والسعر'!$H$2:$H$700,MATCH("بيتزا فراخ رانش وسط",'تحليل التكلفة والسعر'!$B$2:$B$700,0))&lt;AVERAGEIFS('تحليل التكلفة والسعر'!$H$2:$H$700,'تحليل التكلفة والسعر'!$A$2:$A$700,$A15,'تحليل التكلفة والسعر'!$C$2:$C$700,"&gt;0")),"🐎 حصان عمل",IF(AND($E15&lt;AVERAGEIFS($E$5:$E$175,$A$5:$A$175,$A15,$E$5:$E$175,"&gt;0"),INDEX('تحليل التكلفة والسعر'!$H$2:$H$700,MATCH("بيتزا فراخ رانش وسط",'تحليل التكلفة والسعر'!$B$2:$B$700,0))&gt;=AVERAGEIFS('تحليل التكلفة والسعر'!$H$2:$H$700,'تحليل التكلفة والسعر'!$A$2:$A$700,$A15,'تحليل التكلفة والسعر'!$C$2:$C$700,"&gt;0")),"🧩 لغز","🐶 كلب"))))</f>
        <v>🐶 كلب</v>
      </c>
      <c r="G15" s="49" t="n">
        <v>23</v>
      </c>
      <c r="H15" s="11" t="str">
        <f aca="false">IF(OR(NOT(INDEX('تحليل التكلفة والسعر'!$C$2:$C$700,MATCH("بيتزا فراخ رانش وسط",'تحليل التكلفة والسعر'!$B$2:$B$700,0))&gt;0),$G15=0),"بيانات غير كافية",IF(AND($G15&gt;=AVERAGEIFS($G$5:$G$175,$A$5:$A$175,$A15,$G$5:$G$175,"&gt;0"),INDEX('تحليل التكلفة والسعر'!$H$2:$H$700,MATCH("بيتزا فراخ رانش وسط",'تحليل التكلفة والسعر'!$B$2:$B$700,0))&gt;=AVERAGEIFS('تحليل التكلفة والسعر'!$H$2:$H$700,'تحليل التكلفة والسعر'!$A$2:$A$700,$A15,'تحليل التكلفة والسعر'!$C$2:$C$700,"&gt;0")),"⭐ نجم",IF(AND($G15&gt;=AVERAGEIFS($G$5:$G$175,$A$5:$A$175,$A15,$G$5:$G$175,"&gt;0"),INDEX('تحليل التكلفة والسعر'!$H$2:$H$700,MATCH("بيتزا فراخ رانش وسط",'تحليل التكلفة والسعر'!$B$2:$B$700,0))&lt;AVERAGEIFS('تحليل التكلفة والسعر'!$H$2:$H$700,'تحليل التكلفة والسعر'!$A$2:$A$700,$A15,'تحليل التكلفة والسعر'!$C$2:$C$700,"&gt;0")),"🐎 حصان عمل",IF(AND($G15&lt;AVERAGEIFS($G$5:$G$175,$A$5:$A$175,$A15,$G$5:$G$175,"&gt;0"),INDEX('تحليل التكلفة والسعر'!$H$2:$H$700,MATCH("بيتزا فراخ رانش وسط",'تحليل التكلفة والسعر'!$B$2:$B$700,0))&gt;=AVERAGEIFS('تحليل التكلفة والسعر'!$H$2:$H$700,'تحليل التكلفة والسعر'!$A$2:$A$700,$A15,'تحليل التكلفة والسعر'!$C$2:$C$700,"&gt;0")),"🧩 لغز","🐶 كلب"))))</f>
        <v>🐎 حصان عمل</v>
      </c>
    </row>
    <row r="16" customFormat="false" ht="15" hidden="false" customHeight="true" outlineLevel="0" collapsed="false">
      <c r="A16" s="11" t="s">
        <v>9</v>
      </c>
      <c r="B16" s="11" t="s">
        <v>425</v>
      </c>
      <c r="C16" s="13" t="n">
        <f aca="false">IFERROR(INDEX('تحليل التكلفة والسعر'!$D$2:$D$700,MATCH("بيتزا فراخ رانش حجم اكبر",'تحليل التكلفة والسعر'!$B$2:$B$700,0)),"")</f>
        <v>230</v>
      </c>
      <c r="D16" s="12" t="n">
        <f aca="false">IFERROR(INDEX('تحليل التكلفة والسعر'!$I$2:$I$700,MATCH("بيتزا فراخ رانش حجم اكبر",'تحليل التكلفة والسعر'!$B$2:$B$700,0)),"")</f>
        <v>0.496719130434783</v>
      </c>
      <c r="E16" s="49" t="n">
        <v>35</v>
      </c>
      <c r="F16" s="11" t="str">
        <f aca="false">IF(OR(NOT(INDEX('تحليل التكلفة والسعر'!$C$2:$C$700,MATCH("بيتزا فراخ رانش حجم اكبر",'تحليل التكلفة والسعر'!$B$2:$B$700,0))&gt;0),$E16=0),"بيانات غير كافية",IF(AND($E16&gt;=AVERAGEIFS($E$5:$E$175,$A$5:$A$175,$A16,$E$5:$E$175,"&gt;0"),INDEX('تحليل التكلفة والسعر'!$H$2:$H$700,MATCH("بيتزا فراخ رانش حجم اكبر",'تحليل التكلفة والسعر'!$B$2:$B$700,0))&gt;=AVERAGEIFS('تحليل التكلفة والسعر'!$H$2:$H$700,'تحليل التكلفة والسعر'!$A$2:$A$700,$A16,'تحليل التكلفة والسعر'!$C$2:$C$700,"&gt;0")),"⭐ نجم",IF(AND($E16&gt;=AVERAGEIFS($E$5:$E$175,$A$5:$A$175,$A16,$E$5:$E$175,"&gt;0"),INDEX('تحليل التكلفة والسعر'!$H$2:$H$700,MATCH("بيتزا فراخ رانش حجم اكبر",'تحليل التكلفة والسعر'!$B$2:$B$700,0))&lt;AVERAGEIFS('تحليل التكلفة والسعر'!$H$2:$H$700,'تحليل التكلفة والسعر'!$A$2:$A$700,$A16,'تحليل التكلفة والسعر'!$C$2:$C$700,"&gt;0")),"🐎 حصان عمل",IF(AND($E16&lt;AVERAGEIFS($E$5:$E$175,$A$5:$A$175,$A16,$E$5:$E$175,"&gt;0"),INDEX('تحليل التكلفة والسعر'!$H$2:$H$700,MATCH("بيتزا فراخ رانش حجم اكبر",'تحليل التكلفة والسعر'!$B$2:$B$700,0))&gt;=AVERAGEIFS('تحليل التكلفة والسعر'!$H$2:$H$700,'تحليل التكلفة والسعر'!$A$2:$A$700,$A16,'تحليل التكلفة والسعر'!$C$2:$C$700,"&gt;0")),"🧩 لغز","🐶 كلب"))))</f>
        <v>🧩 لغز</v>
      </c>
      <c r="G16" s="49" t="n">
        <v>3</v>
      </c>
      <c r="H16" s="11" t="str">
        <f aca="false">IF(OR(NOT(INDEX('تحليل التكلفة والسعر'!$C$2:$C$700,MATCH("بيتزا فراخ رانش حجم اكبر",'تحليل التكلفة والسعر'!$B$2:$B$700,0))&gt;0),$G16=0),"بيانات غير كافية",IF(AND($G16&gt;=AVERAGEIFS($G$5:$G$175,$A$5:$A$175,$A16,$G$5:$G$175,"&gt;0"),INDEX('تحليل التكلفة والسعر'!$H$2:$H$700,MATCH("بيتزا فراخ رانش حجم اكبر",'تحليل التكلفة والسعر'!$B$2:$B$700,0))&gt;=AVERAGEIFS('تحليل التكلفة والسعر'!$H$2:$H$700,'تحليل التكلفة والسعر'!$A$2:$A$700,$A16,'تحليل التكلفة والسعر'!$C$2:$C$700,"&gt;0")),"⭐ نجم",IF(AND($G16&gt;=AVERAGEIFS($G$5:$G$175,$A$5:$A$175,$A16,$G$5:$G$175,"&gt;0"),INDEX('تحليل التكلفة والسعر'!$H$2:$H$700,MATCH("بيتزا فراخ رانش حجم اكبر",'تحليل التكلفة والسعر'!$B$2:$B$700,0))&lt;AVERAGEIFS('تحليل التكلفة والسعر'!$H$2:$H$700,'تحليل التكلفة والسعر'!$A$2:$A$700,$A16,'تحليل التكلفة والسعر'!$C$2:$C$700,"&gt;0")),"🐎 حصان عمل",IF(AND($G16&lt;AVERAGEIFS($G$5:$G$175,$A$5:$A$175,$A16,$G$5:$G$175,"&gt;0"),INDEX('تحليل التكلفة والسعر'!$H$2:$H$700,MATCH("بيتزا فراخ رانش حجم اكبر",'تحليل التكلفة والسعر'!$B$2:$B$700,0))&gt;=AVERAGEIFS('تحليل التكلفة والسعر'!$H$2:$H$700,'تحليل التكلفة والسعر'!$A$2:$A$700,$A16,'تحليل التكلفة والسعر'!$C$2:$C$700,"&gt;0")),"🧩 لغز","🐶 كلب"))))</f>
        <v>🧩 لغز</v>
      </c>
    </row>
    <row r="17" customFormat="false" ht="15" hidden="false" customHeight="true" outlineLevel="0" collapsed="false">
      <c r="A17" s="11" t="s">
        <v>9</v>
      </c>
      <c r="B17" s="11" t="s">
        <v>488</v>
      </c>
      <c r="C17" s="13" t="n">
        <f aca="false">IFERROR(INDEX('تحليل التكلفة والسعر'!$D$2:$D$700,MATCH("بيتزا فراخ باربيكيو وسط",'تحليل التكلفة والسعر'!$B$2:$B$700,0)),"")</f>
        <v>150</v>
      </c>
      <c r="D17" s="12" t="n">
        <f aca="false">IFERROR(INDEX('تحليل التكلفة والسعر'!$I$2:$I$700,MATCH("بيتزا فراخ باربيكيو وسط",'تحليل التكلفة والسعر'!$B$2:$B$700,0)),"")</f>
        <v>0.467797333333333</v>
      </c>
      <c r="E17" s="49" t="n">
        <v>276</v>
      </c>
      <c r="F17" s="11" t="str">
        <f aca="false">IF(OR(NOT(INDEX('تحليل التكلفة والسعر'!$C$2:$C$700,MATCH("بيتزا فراخ باربيكيو وسط",'تحليل التكلفة والسعر'!$B$2:$B$700,0))&gt;0),$E17=0),"بيانات غير كافية",IF(AND($E17&gt;=AVERAGEIFS($E$5:$E$175,$A$5:$A$175,$A17,$E$5:$E$175,"&gt;0"),INDEX('تحليل التكلفة والسعر'!$H$2:$H$700,MATCH("بيتزا فراخ باربيكيو وسط",'تحليل التكلفة والسعر'!$B$2:$B$700,0))&gt;=AVERAGEIFS('تحليل التكلفة والسعر'!$H$2:$H$700,'تحليل التكلفة والسعر'!$A$2:$A$700,$A17,'تحليل التكلفة والسعر'!$C$2:$C$700,"&gt;0")),"⭐ نجم",IF(AND($E17&gt;=AVERAGEIFS($E$5:$E$175,$A$5:$A$175,$A17,$E$5:$E$175,"&gt;0"),INDEX('تحليل التكلفة والسعر'!$H$2:$H$700,MATCH("بيتزا فراخ باربيكيو وسط",'تحليل التكلفة والسعر'!$B$2:$B$700,0))&lt;AVERAGEIFS('تحليل التكلفة والسعر'!$H$2:$H$700,'تحليل التكلفة والسعر'!$A$2:$A$700,$A17,'تحليل التكلفة والسعر'!$C$2:$C$700,"&gt;0")),"🐎 حصان عمل",IF(AND($E17&lt;AVERAGEIFS($E$5:$E$175,$A$5:$A$175,$A17,$E$5:$E$175,"&gt;0"),INDEX('تحليل التكلفة والسعر'!$H$2:$H$700,MATCH("بيتزا فراخ باربيكيو وسط",'تحليل التكلفة والسعر'!$B$2:$B$700,0))&gt;=AVERAGEIFS('تحليل التكلفة والسعر'!$H$2:$H$700,'تحليل التكلفة والسعر'!$A$2:$A$700,$A17,'تحليل التكلفة والسعر'!$C$2:$C$700,"&gt;0")),"🧩 لغز","🐶 كلب"))))</f>
        <v>🐎 حصان عمل</v>
      </c>
      <c r="G17" s="49" t="n">
        <v>8</v>
      </c>
      <c r="H17" s="11" t="str">
        <f aca="false">IF(OR(NOT(INDEX('تحليل التكلفة والسعر'!$C$2:$C$700,MATCH("بيتزا فراخ باربيكيو وسط",'تحليل التكلفة والسعر'!$B$2:$B$700,0))&gt;0),$G17=0),"بيانات غير كافية",IF(AND($G17&gt;=AVERAGEIFS($G$5:$G$175,$A$5:$A$175,$A17,$G$5:$G$175,"&gt;0"),INDEX('تحليل التكلفة والسعر'!$H$2:$H$700,MATCH("بيتزا فراخ باربيكيو وسط",'تحليل التكلفة والسعر'!$B$2:$B$700,0))&gt;=AVERAGEIFS('تحليل التكلفة والسعر'!$H$2:$H$700,'تحليل التكلفة والسعر'!$A$2:$A$700,$A17,'تحليل التكلفة والسعر'!$C$2:$C$700,"&gt;0")),"⭐ نجم",IF(AND($G17&gt;=AVERAGEIFS($G$5:$G$175,$A$5:$A$175,$A17,$G$5:$G$175,"&gt;0"),INDEX('تحليل التكلفة والسعر'!$H$2:$H$700,MATCH("بيتزا فراخ باربيكيو وسط",'تحليل التكلفة والسعر'!$B$2:$B$700,0))&lt;AVERAGEIFS('تحليل التكلفة والسعر'!$H$2:$H$700,'تحليل التكلفة والسعر'!$A$2:$A$700,$A17,'تحليل التكلفة والسعر'!$C$2:$C$700,"&gt;0")),"🐎 حصان عمل",IF(AND($G17&lt;AVERAGEIFS($G$5:$G$175,$A$5:$A$175,$A17,$G$5:$G$175,"&gt;0"),INDEX('تحليل التكلفة والسعر'!$H$2:$H$700,MATCH("بيتزا فراخ باربيكيو وسط",'تحليل التكلفة والسعر'!$B$2:$B$700,0))&gt;=AVERAGEIFS('تحليل التكلفة والسعر'!$H$2:$H$700,'تحليل التكلفة والسعر'!$A$2:$A$700,$A17,'تحليل التكلفة والسعر'!$C$2:$C$700,"&gt;0")),"🧩 لغز","🐶 كلب"))))</f>
        <v>🐶 كلب</v>
      </c>
    </row>
    <row r="18" customFormat="false" ht="15" hidden="false" customHeight="true" outlineLevel="0" collapsed="false">
      <c r="A18" s="11" t="s">
        <v>9</v>
      </c>
      <c r="B18" s="11" t="s">
        <v>424</v>
      </c>
      <c r="C18" s="13" t="n">
        <f aca="false">IFERROR(INDEX('تحليل التكلفة والسعر'!$D$2:$D$700,MATCH("بيتزا فراخ باربيكيو حجم اكبر",'تحليل التكلفة والسعر'!$B$2:$B$700,0)),"")</f>
        <v>230</v>
      </c>
      <c r="D18" s="12" t="n">
        <f aca="false">IFERROR(INDEX('تحليل التكلفة والسعر'!$I$2:$I$700,MATCH("بيتزا فراخ باربيكيو حجم اكبر",'تحليل التكلفة والسعر'!$B$2:$B$700,0)),"")</f>
        <v>0.519545217391304</v>
      </c>
      <c r="E18" s="49" t="n">
        <v>12</v>
      </c>
      <c r="F18" s="11" t="str">
        <f aca="false">IF(OR(NOT(INDEX('تحليل التكلفة والسعر'!$C$2:$C$700,MATCH("بيتزا فراخ باربيكيو حجم اكبر",'تحليل التكلفة والسعر'!$B$2:$B$700,0))&gt;0),$E18=0),"بيانات غير كافية",IF(AND($E18&gt;=AVERAGEIFS($E$5:$E$175,$A$5:$A$175,$A18,$E$5:$E$175,"&gt;0"),INDEX('تحليل التكلفة والسعر'!$H$2:$H$700,MATCH("بيتزا فراخ باربيكيو حجم اكبر",'تحليل التكلفة والسعر'!$B$2:$B$700,0))&gt;=AVERAGEIFS('تحليل التكلفة والسعر'!$H$2:$H$700,'تحليل التكلفة والسعر'!$A$2:$A$700,$A18,'تحليل التكلفة والسعر'!$C$2:$C$700,"&gt;0")),"⭐ نجم",IF(AND($E18&gt;=AVERAGEIFS($E$5:$E$175,$A$5:$A$175,$A18,$E$5:$E$175,"&gt;0"),INDEX('تحليل التكلفة والسعر'!$H$2:$H$700,MATCH("بيتزا فراخ باربيكيو حجم اكبر",'تحليل التكلفة والسعر'!$B$2:$B$700,0))&lt;AVERAGEIFS('تحليل التكلفة والسعر'!$H$2:$H$700,'تحليل التكلفة والسعر'!$A$2:$A$700,$A18,'تحليل التكلفة والسعر'!$C$2:$C$700,"&gt;0")),"🐎 حصان عمل",IF(AND($E18&lt;AVERAGEIFS($E$5:$E$175,$A$5:$A$175,$A18,$E$5:$E$175,"&gt;0"),INDEX('تحليل التكلفة والسعر'!$H$2:$H$700,MATCH("بيتزا فراخ باربيكيو حجم اكبر",'تحليل التكلفة والسعر'!$B$2:$B$700,0))&gt;=AVERAGEIFS('تحليل التكلفة والسعر'!$H$2:$H$700,'تحليل التكلفة والسعر'!$A$2:$A$700,$A18,'تحليل التكلفة والسعر'!$C$2:$C$700,"&gt;0")),"🧩 لغز","🐶 كلب"))))</f>
        <v>🧩 لغز</v>
      </c>
      <c r="G18" s="49" t="n">
        <v>5</v>
      </c>
      <c r="H18" s="11" t="str">
        <f aca="false">IF(OR(NOT(INDEX('تحليل التكلفة والسعر'!$C$2:$C$700,MATCH("بيتزا فراخ باربيكيو حجم اكبر",'تحليل التكلفة والسعر'!$B$2:$B$700,0))&gt;0),$G18=0),"بيانات غير كافية",IF(AND($G18&gt;=AVERAGEIFS($G$5:$G$175,$A$5:$A$175,$A18,$G$5:$G$175,"&gt;0"),INDEX('تحليل التكلفة والسعر'!$H$2:$H$700,MATCH("بيتزا فراخ باربيكيو حجم اكبر",'تحليل التكلفة والسعر'!$B$2:$B$700,0))&gt;=AVERAGEIFS('تحليل التكلفة والسعر'!$H$2:$H$700,'تحليل التكلفة والسعر'!$A$2:$A$700,$A18,'تحليل التكلفة والسعر'!$C$2:$C$700,"&gt;0")),"⭐ نجم",IF(AND($G18&gt;=AVERAGEIFS($G$5:$G$175,$A$5:$A$175,$A18,$G$5:$G$175,"&gt;0"),INDEX('تحليل التكلفة والسعر'!$H$2:$H$700,MATCH("بيتزا فراخ باربيكيو حجم اكبر",'تحليل التكلفة والسعر'!$B$2:$B$700,0))&lt;AVERAGEIFS('تحليل التكلفة والسعر'!$H$2:$H$700,'تحليل التكلفة والسعر'!$A$2:$A$700,$A18,'تحليل التكلفة والسعر'!$C$2:$C$700,"&gt;0")),"🐎 حصان عمل",IF(AND($G18&lt;AVERAGEIFS($G$5:$G$175,$A$5:$A$175,$A18,$G$5:$G$175,"&gt;0"),INDEX('تحليل التكلفة والسعر'!$H$2:$H$700,MATCH("بيتزا فراخ باربيكيو حجم اكبر",'تحليل التكلفة والسعر'!$B$2:$B$700,0))&gt;=AVERAGEIFS('تحليل التكلفة والسعر'!$H$2:$H$700,'تحليل التكلفة والسعر'!$A$2:$A$700,$A18,'تحليل التكلفة والسعر'!$C$2:$C$700,"&gt;0")),"🧩 لغز","🐶 كلب"))))</f>
        <v>🧩 لغز</v>
      </c>
    </row>
    <row r="19" customFormat="false" ht="15" hidden="false" customHeight="true" outlineLevel="0" collapsed="false">
      <c r="A19" s="11" t="s">
        <v>9</v>
      </c>
      <c r="B19" s="11" t="s">
        <v>464</v>
      </c>
      <c r="C19" s="13" t="n">
        <f aca="false">IFERROR(INDEX('تحليل التكلفة والسعر'!$D$2:$D$700,MATCH("بيتزا فراخ كريسبي رانش وسط",'تحليل التكلفة والسعر'!$B$2:$B$700,0)),"")</f>
        <v>150</v>
      </c>
      <c r="D19" s="12" t="n">
        <f aca="false">IFERROR(INDEX('تحليل التكلفة والسعر'!$I$2:$I$700,MATCH("بيتزا فراخ كريسبي رانش وسط",'تحليل التكلفة والسعر'!$B$2:$B$700,0)),"")</f>
        <v>0.433826</v>
      </c>
      <c r="E19" s="49" t="n">
        <v>0</v>
      </c>
      <c r="F19" s="11" t="str">
        <f aca="false">IF(OR(NOT(INDEX('تحليل التكلفة والسعر'!$C$2:$C$700,MATCH("بيتزا فراخ كريسبي رانش وسط",'تحليل التكلفة والسعر'!$B$2:$B$700,0))&gt;0),$E19=0),"بيانات غير كافية",IF(AND($E19&gt;=AVERAGEIFS($E$5:$E$175,$A$5:$A$175,$A19,$E$5:$E$175,"&gt;0"),INDEX('تحليل التكلفة والسعر'!$H$2:$H$700,MATCH("بيتزا فراخ كريسبي رانش وسط",'تحليل التكلفة والسعر'!$B$2:$B$700,0))&gt;=AVERAGEIFS('تحليل التكلفة والسعر'!$H$2:$H$700,'تحليل التكلفة والسعر'!$A$2:$A$700,$A19,'تحليل التكلفة والسعر'!$C$2:$C$700,"&gt;0")),"⭐ نجم",IF(AND($E19&gt;=AVERAGEIFS($E$5:$E$175,$A$5:$A$175,$A19,$E$5:$E$175,"&gt;0"),INDEX('تحليل التكلفة والسعر'!$H$2:$H$700,MATCH("بيتزا فراخ كريسبي رانش وسط",'تحليل التكلفة والسعر'!$B$2:$B$700,0))&lt;AVERAGEIFS('تحليل التكلفة والسعر'!$H$2:$H$700,'تحليل التكلفة والسعر'!$A$2:$A$700,$A19,'تحليل التكلفة والسعر'!$C$2:$C$700,"&gt;0")),"🐎 حصان عمل",IF(AND($E19&lt;AVERAGEIFS($E$5:$E$175,$A$5:$A$175,$A19,$E$5:$E$175,"&gt;0"),INDEX('تحليل التكلفة والسعر'!$H$2:$H$700,MATCH("بيتزا فراخ كريسبي رانش وسط",'تحليل التكلفة والسعر'!$B$2:$B$700,0))&gt;=AVERAGEIFS('تحليل التكلفة والسعر'!$H$2:$H$700,'تحليل التكلفة والسعر'!$A$2:$A$700,$A19,'تحليل التكلفة والسعر'!$C$2:$C$700,"&gt;0")),"🧩 لغز","🐶 كلب"))))</f>
        <v>بيانات غير كافية</v>
      </c>
      <c r="G19" s="49" t="n">
        <v>0</v>
      </c>
      <c r="H19" s="11" t="str">
        <f aca="false">IF(OR(NOT(INDEX('تحليل التكلفة والسعر'!$C$2:$C$700,MATCH("بيتزا فراخ كريسبي رانش وسط",'تحليل التكلفة والسعر'!$B$2:$B$700,0))&gt;0),$G19=0),"بيانات غير كافية",IF(AND($G19&gt;=AVERAGEIFS($G$5:$G$175,$A$5:$A$175,$A19,$G$5:$G$175,"&gt;0"),INDEX('تحليل التكلفة والسعر'!$H$2:$H$700,MATCH("بيتزا فراخ كريسبي رانش وسط",'تحليل التكلفة والسعر'!$B$2:$B$700,0))&gt;=AVERAGEIFS('تحليل التكلفة والسعر'!$H$2:$H$700,'تحليل التكلفة والسعر'!$A$2:$A$700,$A19,'تحليل التكلفة والسعر'!$C$2:$C$700,"&gt;0")),"⭐ نجم",IF(AND($G19&gt;=AVERAGEIFS($G$5:$G$175,$A$5:$A$175,$A19,$G$5:$G$175,"&gt;0"),INDEX('تحليل التكلفة والسعر'!$H$2:$H$700,MATCH("بيتزا فراخ كريسبي رانش وسط",'تحليل التكلفة والسعر'!$B$2:$B$700,0))&lt;AVERAGEIFS('تحليل التكلفة والسعر'!$H$2:$H$700,'تحليل التكلفة والسعر'!$A$2:$A$700,$A19,'تحليل التكلفة والسعر'!$C$2:$C$700,"&gt;0")),"🐎 حصان عمل",IF(AND($G19&lt;AVERAGEIFS($G$5:$G$175,$A$5:$A$175,$A19,$G$5:$G$175,"&gt;0"),INDEX('تحليل التكلفة والسعر'!$H$2:$H$700,MATCH("بيتزا فراخ كريسبي رانش وسط",'تحليل التكلفة والسعر'!$B$2:$B$700,0))&gt;=AVERAGEIFS('تحليل التكلفة والسعر'!$H$2:$H$700,'تحليل التكلفة والسعر'!$A$2:$A$700,$A19,'تحليل التكلفة والسعر'!$C$2:$C$700,"&gt;0")),"🧩 لغز","🐶 كلب"))))</f>
        <v>بيانات غير كافية</v>
      </c>
    </row>
    <row r="20" customFormat="false" ht="15" hidden="false" customHeight="true" outlineLevel="0" collapsed="false">
      <c r="A20" s="11" t="s">
        <v>9</v>
      </c>
      <c r="B20" s="11" t="s">
        <v>388</v>
      </c>
      <c r="C20" s="13" t="n">
        <f aca="false">IFERROR(INDEX('تحليل التكلفة والسعر'!$D$2:$D$700,MATCH("بيتزا فراخ كريسبي رانش حجم اكبر",'تحليل التكلفة والسعر'!$B$2:$B$700,0)),"")</f>
        <v>230</v>
      </c>
      <c r="D20" s="12" t="n">
        <f aca="false">IFERROR(INDEX('تحليل التكلفة والسعر'!$I$2:$I$700,MATCH("بيتزا فراخ كريسبي رانش حجم اكبر",'تحليل التكلفة والسعر'!$B$2:$B$700,0)),"")</f>
        <v>0.558475652173913</v>
      </c>
      <c r="E20" s="49" t="n">
        <v>0</v>
      </c>
      <c r="F20" s="11" t="str">
        <f aca="false">IF(OR(NOT(INDEX('تحليل التكلفة والسعر'!$C$2:$C$700,MATCH("بيتزا فراخ كريسبي رانش حجم اكبر",'تحليل التكلفة والسعر'!$B$2:$B$700,0))&gt;0),$E20=0),"بيانات غير كافية",IF(AND($E20&gt;=AVERAGEIFS($E$5:$E$175,$A$5:$A$175,$A20,$E$5:$E$175,"&gt;0"),INDEX('تحليل التكلفة والسعر'!$H$2:$H$700,MATCH("بيتزا فراخ كريسبي رانش حجم اكبر",'تحليل التكلفة والسعر'!$B$2:$B$700,0))&gt;=AVERAGEIFS('تحليل التكلفة والسعر'!$H$2:$H$700,'تحليل التكلفة والسعر'!$A$2:$A$700,$A20,'تحليل التكلفة والسعر'!$C$2:$C$700,"&gt;0")),"⭐ نجم",IF(AND($E20&gt;=AVERAGEIFS($E$5:$E$175,$A$5:$A$175,$A20,$E$5:$E$175,"&gt;0"),INDEX('تحليل التكلفة والسعر'!$H$2:$H$700,MATCH("بيتزا فراخ كريسبي رانش حجم اكبر",'تحليل التكلفة والسعر'!$B$2:$B$700,0))&lt;AVERAGEIFS('تحليل التكلفة والسعر'!$H$2:$H$700,'تحليل التكلفة والسعر'!$A$2:$A$700,$A20,'تحليل التكلفة والسعر'!$C$2:$C$700,"&gt;0")),"🐎 حصان عمل",IF(AND($E20&lt;AVERAGEIFS($E$5:$E$175,$A$5:$A$175,$A20,$E$5:$E$175,"&gt;0"),INDEX('تحليل التكلفة والسعر'!$H$2:$H$700,MATCH("بيتزا فراخ كريسبي رانش حجم اكبر",'تحليل التكلفة والسعر'!$B$2:$B$700,0))&gt;=AVERAGEIFS('تحليل التكلفة والسعر'!$H$2:$H$700,'تحليل التكلفة والسعر'!$A$2:$A$700,$A20,'تحليل التكلفة والسعر'!$C$2:$C$700,"&gt;0")),"🧩 لغز","🐶 كلب"))))</f>
        <v>بيانات غير كافية</v>
      </c>
      <c r="G20" s="49" t="n">
        <v>0</v>
      </c>
      <c r="H20" s="11" t="str">
        <f aca="false">IF(OR(NOT(INDEX('تحليل التكلفة والسعر'!$C$2:$C$700,MATCH("بيتزا فراخ كريسبي رانش حجم اكبر",'تحليل التكلفة والسعر'!$B$2:$B$700,0))&gt;0),$G20=0),"بيانات غير كافية",IF(AND($G20&gt;=AVERAGEIFS($G$5:$G$175,$A$5:$A$175,$A20,$G$5:$G$175,"&gt;0"),INDEX('تحليل التكلفة والسعر'!$H$2:$H$700,MATCH("بيتزا فراخ كريسبي رانش حجم اكبر",'تحليل التكلفة والسعر'!$B$2:$B$700,0))&gt;=AVERAGEIFS('تحليل التكلفة والسعر'!$H$2:$H$700,'تحليل التكلفة والسعر'!$A$2:$A$700,$A20,'تحليل التكلفة والسعر'!$C$2:$C$700,"&gt;0")),"⭐ نجم",IF(AND($G20&gt;=AVERAGEIFS($G$5:$G$175,$A$5:$A$175,$A20,$G$5:$G$175,"&gt;0"),INDEX('تحليل التكلفة والسعر'!$H$2:$H$700,MATCH("بيتزا فراخ كريسبي رانش حجم اكبر",'تحليل التكلفة والسعر'!$B$2:$B$700,0))&lt;AVERAGEIFS('تحليل التكلفة والسعر'!$H$2:$H$700,'تحليل التكلفة والسعر'!$A$2:$A$700,$A20,'تحليل التكلفة والسعر'!$C$2:$C$700,"&gt;0")),"🐎 حصان عمل",IF(AND($G20&lt;AVERAGEIFS($G$5:$G$175,$A$5:$A$175,$A20,$G$5:$G$175,"&gt;0"),INDEX('تحليل التكلفة والسعر'!$H$2:$H$700,MATCH("بيتزا فراخ كريسبي رانش حجم اكبر",'تحليل التكلفة والسعر'!$B$2:$B$700,0))&gt;=AVERAGEIFS('تحليل التكلفة والسعر'!$H$2:$H$700,'تحليل التكلفة والسعر'!$A$2:$A$700,$A20,'تحليل التكلفة والسعر'!$C$2:$C$700,"&gt;0")),"🧩 لغز","🐶 كلب"))))</f>
        <v>بيانات غير كافية</v>
      </c>
    </row>
    <row r="21" customFormat="false" ht="15" hidden="false" customHeight="true" outlineLevel="0" collapsed="false">
      <c r="A21" s="11" t="s">
        <v>9</v>
      </c>
      <c r="B21" s="11" t="s">
        <v>481</v>
      </c>
      <c r="C21" s="13" t="n">
        <f aca="false">IFERROR(INDEX('تحليل التكلفة والسعر'!$D$2:$D$700,MATCH("بيتزا فراخ كريسبي شيدر وسط",'تحليل التكلفة والسعر'!$B$2:$B$700,0)),"")</f>
        <v>150</v>
      </c>
      <c r="D21" s="12" t="n">
        <f aca="false">IFERROR(INDEX('تحليل التكلفة والسعر'!$I$2:$I$700,MATCH("بيتزا فراخ كريسبي شيدر وسط",'تحليل التكلفة والسعر'!$B$2:$B$700,0)),"")</f>
        <v>0.410492666666667</v>
      </c>
      <c r="E21" s="49" t="n">
        <v>0</v>
      </c>
      <c r="F21" s="11" t="str">
        <f aca="false">IF(OR(NOT(INDEX('تحليل التكلفة والسعر'!$C$2:$C$700,MATCH("بيتزا فراخ كريسبي شيدر وسط",'تحليل التكلفة والسعر'!$B$2:$B$700,0))&gt;0),$E21=0),"بيانات غير كافية",IF(AND($E21&gt;=AVERAGEIFS($E$5:$E$175,$A$5:$A$175,$A21,$E$5:$E$175,"&gt;0"),INDEX('تحليل التكلفة والسعر'!$H$2:$H$700,MATCH("بيتزا فراخ كريسبي شيدر وسط",'تحليل التكلفة والسعر'!$B$2:$B$700,0))&gt;=AVERAGEIFS('تحليل التكلفة والسعر'!$H$2:$H$700,'تحليل التكلفة والسعر'!$A$2:$A$700,$A21,'تحليل التكلفة والسعر'!$C$2:$C$700,"&gt;0")),"⭐ نجم",IF(AND($E21&gt;=AVERAGEIFS($E$5:$E$175,$A$5:$A$175,$A21,$E$5:$E$175,"&gt;0"),INDEX('تحليل التكلفة والسعر'!$H$2:$H$700,MATCH("بيتزا فراخ كريسبي شيدر وسط",'تحليل التكلفة والسعر'!$B$2:$B$700,0))&lt;AVERAGEIFS('تحليل التكلفة والسعر'!$H$2:$H$700,'تحليل التكلفة والسعر'!$A$2:$A$700,$A21,'تحليل التكلفة والسعر'!$C$2:$C$700,"&gt;0")),"🐎 حصان عمل",IF(AND($E21&lt;AVERAGEIFS($E$5:$E$175,$A$5:$A$175,$A21,$E$5:$E$175,"&gt;0"),INDEX('تحليل التكلفة والسعر'!$H$2:$H$700,MATCH("بيتزا فراخ كريسبي شيدر وسط",'تحليل التكلفة والسعر'!$B$2:$B$700,0))&gt;=AVERAGEIFS('تحليل التكلفة والسعر'!$H$2:$H$700,'تحليل التكلفة والسعر'!$A$2:$A$700,$A21,'تحليل التكلفة والسعر'!$C$2:$C$700,"&gt;0")),"🧩 لغز","🐶 كلب"))))</f>
        <v>بيانات غير كافية</v>
      </c>
      <c r="G21" s="49" t="n">
        <v>0</v>
      </c>
      <c r="H21" s="11" t="str">
        <f aca="false">IF(OR(NOT(INDEX('تحليل التكلفة والسعر'!$C$2:$C$700,MATCH("بيتزا فراخ كريسبي شيدر وسط",'تحليل التكلفة والسعر'!$B$2:$B$700,0))&gt;0),$G21=0),"بيانات غير كافية",IF(AND($G21&gt;=AVERAGEIFS($G$5:$G$175,$A$5:$A$175,$A21,$G$5:$G$175,"&gt;0"),INDEX('تحليل التكلفة والسعر'!$H$2:$H$700,MATCH("بيتزا فراخ كريسبي شيدر وسط",'تحليل التكلفة والسعر'!$B$2:$B$700,0))&gt;=AVERAGEIFS('تحليل التكلفة والسعر'!$H$2:$H$700,'تحليل التكلفة والسعر'!$A$2:$A$700,$A21,'تحليل التكلفة والسعر'!$C$2:$C$700,"&gt;0")),"⭐ نجم",IF(AND($G21&gt;=AVERAGEIFS($G$5:$G$175,$A$5:$A$175,$A21,$G$5:$G$175,"&gt;0"),INDEX('تحليل التكلفة والسعر'!$H$2:$H$700,MATCH("بيتزا فراخ كريسبي شيدر وسط",'تحليل التكلفة والسعر'!$B$2:$B$700,0))&lt;AVERAGEIFS('تحليل التكلفة والسعر'!$H$2:$H$700,'تحليل التكلفة والسعر'!$A$2:$A$700,$A21,'تحليل التكلفة والسعر'!$C$2:$C$700,"&gt;0")),"🐎 حصان عمل",IF(AND($G21&lt;AVERAGEIFS($G$5:$G$175,$A$5:$A$175,$A21,$G$5:$G$175,"&gt;0"),INDEX('تحليل التكلفة والسعر'!$H$2:$H$700,MATCH("بيتزا فراخ كريسبي شيدر وسط",'تحليل التكلفة والسعر'!$B$2:$B$700,0))&gt;=AVERAGEIFS('تحليل التكلفة والسعر'!$H$2:$H$700,'تحليل التكلفة والسعر'!$A$2:$A$700,$A21,'تحليل التكلفة والسعر'!$C$2:$C$700,"&gt;0")),"🧩 لغز","🐶 كلب"))))</f>
        <v>بيانات غير كافية</v>
      </c>
    </row>
    <row r="22" customFormat="false" ht="15" hidden="false" customHeight="true" outlineLevel="0" collapsed="false">
      <c r="A22" s="11" t="s">
        <v>9</v>
      </c>
      <c r="B22" s="11" t="s">
        <v>394</v>
      </c>
      <c r="C22" s="13" t="n">
        <f aca="false">IFERROR(INDEX('تحليل التكلفة والسعر'!$D$2:$D$700,MATCH("بيتزا فراخ كريسبي شيدر حجم اكبر",'تحليل التكلفة والسعر'!$B$2:$B$700,0)),"")</f>
        <v>230</v>
      </c>
      <c r="D22" s="12" t="n">
        <f aca="false">IFERROR(INDEX('تحليل التكلفة والسعر'!$I$2:$I$700,MATCH("بيتزا فراخ كريسبي شيدر حجم اكبر",'تحليل التكلفة والسعر'!$B$2:$B$700,0)),"")</f>
        <v>0.535649565217391</v>
      </c>
      <c r="E22" s="49" t="n">
        <v>0</v>
      </c>
      <c r="F22" s="11" t="str">
        <f aca="false">IF(OR(NOT(INDEX('تحليل التكلفة والسعر'!$C$2:$C$700,MATCH("بيتزا فراخ كريسبي شيدر حجم اكبر",'تحليل التكلفة والسعر'!$B$2:$B$700,0))&gt;0),$E22=0),"بيانات غير كافية",IF(AND($E22&gt;=AVERAGEIFS($E$5:$E$175,$A$5:$A$175,$A22,$E$5:$E$175,"&gt;0"),INDEX('تحليل التكلفة والسعر'!$H$2:$H$700,MATCH("بيتزا فراخ كريسبي شيدر حجم اكبر",'تحليل التكلفة والسعر'!$B$2:$B$700,0))&gt;=AVERAGEIFS('تحليل التكلفة والسعر'!$H$2:$H$700,'تحليل التكلفة والسعر'!$A$2:$A$700,$A22,'تحليل التكلفة والسعر'!$C$2:$C$700,"&gt;0")),"⭐ نجم",IF(AND($E22&gt;=AVERAGEIFS($E$5:$E$175,$A$5:$A$175,$A22,$E$5:$E$175,"&gt;0"),INDEX('تحليل التكلفة والسعر'!$H$2:$H$700,MATCH("بيتزا فراخ كريسبي شيدر حجم اكبر",'تحليل التكلفة والسعر'!$B$2:$B$700,0))&lt;AVERAGEIFS('تحليل التكلفة والسعر'!$H$2:$H$700,'تحليل التكلفة والسعر'!$A$2:$A$700,$A22,'تحليل التكلفة والسعر'!$C$2:$C$700,"&gt;0")),"🐎 حصان عمل",IF(AND($E22&lt;AVERAGEIFS($E$5:$E$175,$A$5:$A$175,$A22,$E$5:$E$175,"&gt;0"),INDEX('تحليل التكلفة والسعر'!$H$2:$H$700,MATCH("بيتزا فراخ كريسبي شيدر حجم اكبر",'تحليل التكلفة والسعر'!$B$2:$B$700,0))&gt;=AVERAGEIFS('تحليل التكلفة والسعر'!$H$2:$H$700,'تحليل التكلفة والسعر'!$A$2:$A$700,$A22,'تحليل التكلفة والسعر'!$C$2:$C$700,"&gt;0")),"🧩 لغز","🐶 كلب"))))</f>
        <v>بيانات غير كافية</v>
      </c>
      <c r="G22" s="49" t="n">
        <v>0</v>
      </c>
      <c r="H22" s="11" t="str">
        <f aca="false">IF(OR(NOT(INDEX('تحليل التكلفة والسعر'!$C$2:$C$700,MATCH("بيتزا فراخ كريسبي شيدر حجم اكبر",'تحليل التكلفة والسعر'!$B$2:$B$700,0))&gt;0),$G22=0),"بيانات غير كافية",IF(AND($G22&gt;=AVERAGEIFS($G$5:$G$175,$A$5:$A$175,$A22,$G$5:$G$175,"&gt;0"),INDEX('تحليل التكلفة والسعر'!$H$2:$H$700,MATCH("بيتزا فراخ كريسبي شيدر حجم اكبر",'تحليل التكلفة والسعر'!$B$2:$B$700,0))&gt;=AVERAGEIFS('تحليل التكلفة والسعر'!$H$2:$H$700,'تحليل التكلفة والسعر'!$A$2:$A$700,$A22,'تحليل التكلفة والسعر'!$C$2:$C$700,"&gt;0")),"⭐ نجم",IF(AND($G22&gt;=AVERAGEIFS($G$5:$G$175,$A$5:$A$175,$A22,$G$5:$G$175,"&gt;0"),INDEX('تحليل التكلفة والسعر'!$H$2:$H$700,MATCH("بيتزا فراخ كريسبي شيدر حجم اكبر",'تحليل التكلفة والسعر'!$B$2:$B$700,0))&lt;AVERAGEIFS('تحليل التكلفة والسعر'!$H$2:$H$700,'تحليل التكلفة والسعر'!$A$2:$A$700,$A22,'تحليل التكلفة والسعر'!$C$2:$C$700,"&gt;0")),"🐎 حصان عمل",IF(AND($G22&lt;AVERAGEIFS($G$5:$G$175,$A$5:$A$175,$A22,$G$5:$G$175,"&gt;0"),INDEX('تحليل التكلفة والسعر'!$H$2:$H$700,MATCH("بيتزا فراخ كريسبي شيدر حجم اكبر",'تحليل التكلفة والسعر'!$B$2:$B$700,0))&gt;=AVERAGEIFS('تحليل التكلفة والسعر'!$H$2:$H$700,'تحليل التكلفة والسعر'!$A$2:$A$700,$A22,'تحليل التكلفة والسعر'!$C$2:$C$700,"&gt;0")),"🧩 لغز","🐶 كلب"))))</f>
        <v>بيانات غير كافية</v>
      </c>
    </row>
    <row r="23" customFormat="false" ht="15" hidden="false" customHeight="true" outlineLevel="0" collapsed="false">
      <c r="A23" s="11" t="s">
        <v>9</v>
      </c>
      <c r="B23" s="11" t="s">
        <v>466</v>
      </c>
      <c r="C23" s="13" t="n">
        <f aca="false">IFERROR(INDEX('تحليل التكلفة والسعر'!$D$2:$D$700,MATCH("بيتزا مشكل لحوم النكش وسط",'تحليل التكلفة والسعر'!$B$2:$B$700,0)),"")</f>
        <v>230</v>
      </c>
      <c r="D23" s="12" t="n">
        <f aca="false">IFERROR(INDEX('تحليل التكلفة والسعر'!$I$2:$I$700,MATCH("بيتزا مشكل لحوم النكش وسط",'تحليل التكلفة والسعر'!$B$2:$B$700,0)),"")</f>
        <v>0.439789565217391</v>
      </c>
      <c r="E23" s="49" t="n">
        <v>0</v>
      </c>
      <c r="F23" s="11" t="str">
        <f aca="false">IF(OR(NOT(INDEX('تحليل التكلفة والسعر'!$C$2:$C$700,MATCH("بيتزا مشكل لحوم النكش وسط",'تحليل التكلفة والسعر'!$B$2:$B$700,0))&gt;0),$E23=0),"بيانات غير كافية",IF(AND($E23&gt;=AVERAGEIFS($E$5:$E$175,$A$5:$A$175,$A23,$E$5:$E$175,"&gt;0"),INDEX('تحليل التكلفة والسعر'!$H$2:$H$700,MATCH("بيتزا مشكل لحوم النكش وسط",'تحليل التكلفة والسعر'!$B$2:$B$700,0))&gt;=AVERAGEIFS('تحليل التكلفة والسعر'!$H$2:$H$700,'تحليل التكلفة والسعر'!$A$2:$A$700,$A23,'تحليل التكلفة والسعر'!$C$2:$C$700,"&gt;0")),"⭐ نجم",IF(AND($E23&gt;=AVERAGEIFS($E$5:$E$175,$A$5:$A$175,$A23,$E$5:$E$175,"&gt;0"),INDEX('تحليل التكلفة والسعر'!$H$2:$H$700,MATCH("بيتزا مشكل لحوم النكش وسط",'تحليل التكلفة والسعر'!$B$2:$B$700,0))&lt;AVERAGEIFS('تحليل التكلفة والسعر'!$H$2:$H$700,'تحليل التكلفة والسعر'!$A$2:$A$700,$A23,'تحليل التكلفة والسعر'!$C$2:$C$700,"&gt;0")),"🐎 حصان عمل",IF(AND($E23&lt;AVERAGEIFS($E$5:$E$175,$A$5:$A$175,$A23,$E$5:$E$175,"&gt;0"),INDEX('تحليل التكلفة والسعر'!$H$2:$H$700,MATCH("بيتزا مشكل لحوم النكش وسط",'تحليل التكلفة والسعر'!$B$2:$B$700,0))&gt;=AVERAGEIFS('تحليل التكلفة والسعر'!$H$2:$H$700,'تحليل التكلفة والسعر'!$A$2:$A$700,$A23,'تحليل التكلفة والسعر'!$C$2:$C$700,"&gt;0")),"🧩 لغز","🐶 كلب"))))</f>
        <v>بيانات غير كافية</v>
      </c>
      <c r="G23" s="49" t="n">
        <v>0</v>
      </c>
      <c r="H23" s="11" t="str">
        <f aca="false">IF(OR(NOT(INDEX('تحليل التكلفة والسعر'!$C$2:$C$700,MATCH("بيتزا مشكل لحوم النكش وسط",'تحليل التكلفة والسعر'!$B$2:$B$700,0))&gt;0),$G23=0),"بيانات غير كافية",IF(AND($G23&gt;=AVERAGEIFS($G$5:$G$175,$A$5:$A$175,$A23,$G$5:$G$175,"&gt;0"),INDEX('تحليل التكلفة والسعر'!$H$2:$H$700,MATCH("بيتزا مشكل لحوم النكش وسط",'تحليل التكلفة والسعر'!$B$2:$B$700,0))&gt;=AVERAGEIFS('تحليل التكلفة والسعر'!$H$2:$H$700,'تحليل التكلفة والسعر'!$A$2:$A$700,$A23,'تحليل التكلفة والسعر'!$C$2:$C$700,"&gt;0")),"⭐ نجم",IF(AND($G23&gt;=AVERAGEIFS($G$5:$G$175,$A$5:$A$175,$A23,$G$5:$G$175,"&gt;0"),INDEX('تحليل التكلفة والسعر'!$H$2:$H$700,MATCH("بيتزا مشكل لحوم النكش وسط",'تحليل التكلفة والسعر'!$B$2:$B$700,0))&lt;AVERAGEIFS('تحليل التكلفة والسعر'!$H$2:$H$700,'تحليل التكلفة والسعر'!$A$2:$A$700,$A23,'تحليل التكلفة والسعر'!$C$2:$C$700,"&gt;0")),"🐎 حصان عمل",IF(AND($G23&lt;AVERAGEIFS($G$5:$G$175,$A$5:$A$175,$A23,$G$5:$G$175,"&gt;0"),INDEX('تحليل التكلفة والسعر'!$H$2:$H$700,MATCH("بيتزا مشكل لحوم النكش وسط",'تحليل التكلفة والسعر'!$B$2:$B$700,0))&gt;=AVERAGEIFS('تحليل التكلفة والسعر'!$H$2:$H$700,'تحليل التكلفة والسعر'!$A$2:$A$700,$A23,'تحليل التكلفة والسعر'!$C$2:$C$700,"&gt;0")),"🧩 لغز","🐶 كلب"))))</f>
        <v>بيانات غير كافية</v>
      </c>
    </row>
    <row r="24" customFormat="false" ht="15" hidden="false" customHeight="true" outlineLevel="0" collapsed="false">
      <c r="A24" s="11" t="s">
        <v>9</v>
      </c>
      <c r="B24" s="11" t="s">
        <v>531</v>
      </c>
      <c r="C24" s="13" t="n">
        <f aca="false">IFERROR(INDEX('تحليل التكلفة والسعر'!$D$2:$D$700,MATCH("بيتزا مشكل لحوم النكش حجم اكبر",'تحليل التكلفة والسعر'!$B$2:$B$700,0)),"")</f>
        <v>340</v>
      </c>
      <c r="D24" s="12" t="n">
        <f aca="false">IFERROR(INDEX('تحليل التكلفة والسعر'!$I$2:$I$700,MATCH("بيتزا مشكل لحوم النكش حجم اكبر",'تحليل التكلفة والسعر'!$B$2:$B$700,0)),"")</f>
        <v>0.517971764705882</v>
      </c>
      <c r="E24" s="49" t="n">
        <v>0</v>
      </c>
      <c r="F24" s="11" t="str">
        <f aca="false">IF(OR(NOT(INDEX('تحليل التكلفة والسعر'!$C$2:$C$700,MATCH("بيتزا مشكل لحوم النكش حجم اكبر",'تحليل التكلفة والسعر'!$B$2:$B$700,0))&gt;0),$E24=0),"بيانات غير كافية",IF(AND($E24&gt;=AVERAGEIFS($E$5:$E$175,$A$5:$A$175,$A24,$E$5:$E$175,"&gt;0"),INDEX('تحليل التكلفة والسعر'!$H$2:$H$700,MATCH("بيتزا مشكل لحوم النكش حجم اكبر",'تحليل التكلفة والسعر'!$B$2:$B$700,0))&gt;=AVERAGEIFS('تحليل التكلفة والسعر'!$H$2:$H$700,'تحليل التكلفة والسعر'!$A$2:$A$700,$A24,'تحليل التكلفة والسعر'!$C$2:$C$700,"&gt;0")),"⭐ نجم",IF(AND($E24&gt;=AVERAGEIFS($E$5:$E$175,$A$5:$A$175,$A24,$E$5:$E$175,"&gt;0"),INDEX('تحليل التكلفة والسعر'!$H$2:$H$700,MATCH("بيتزا مشكل لحوم النكش حجم اكبر",'تحليل التكلفة والسعر'!$B$2:$B$700,0))&lt;AVERAGEIFS('تحليل التكلفة والسعر'!$H$2:$H$700,'تحليل التكلفة والسعر'!$A$2:$A$700,$A24,'تحليل التكلفة والسعر'!$C$2:$C$700,"&gt;0")),"🐎 حصان عمل",IF(AND($E24&lt;AVERAGEIFS($E$5:$E$175,$A$5:$A$175,$A24,$E$5:$E$175,"&gt;0"),INDEX('تحليل التكلفة والسعر'!$H$2:$H$700,MATCH("بيتزا مشكل لحوم النكش حجم اكبر",'تحليل التكلفة والسعر'!$B$2:$B$700,0))&gt;=AVERAGEIFS('تحليل التكلفة والسعر'!$H$2:$H$700,'تحليل التكلفة والسعر'!$A$2:$A$700,$A24,'تحليل التكلفة والسعر'!$C$2:$C$700,"&gt;0")),"🧩 لغز","🐶 كلب"))))</f>
        <v>بيانات غير كافية</v>
      </c>
      <c r="G24" s="49" t="n">
        <v>0</v>
      </c>
      <c r="H24" s="11" t="str">
        <f aca="false">IF(OR(NOT(INDEX('تحليل التكلفة والسعر'!$C$2:$C$700,MATCH("بيتزا مشكل لحوم النكش حجم اكبر",'تحليل التكلفة والسعر'!$B$2:$B$700,0))&gt;0),$G24=0),"بيانات غير كافية",IF(AND($G24&gt;=AVERAGEIFS($G$5:$G$175,$A$5:$A$175,$A24,$G$5:$G$175,"&gt;0"),INDEX('تحليل التكلفة والسعر'!$H$2:$H$700,MATCH("بيتزا مشكل لحوم النكش حجم اكبر",'تحليل التكلفة والسعر'!$B$2:$B$700,0))&gt;=AVERAGEIFS('تحليل التكلفة والسعر'!$H$2:$H$700,'تحليل التكلفة والسعر'!$A$2:$A$700,$A24,'تحليل التكلفة والسعر'!$C$2:$C$700,"&gt;0")),"⭐ نجم",IF(AND($G24&gt;=AVERAGEIFS($G$5:$G$175,$A$5:$A$175,$A24,$G$5:$G$175,"&gt;0"),INDEX('تحليل التكلفة والسعر'!$H$2:$H$700,MATCH("بيتزا مشكل لحوم النكش حجم اكبر",'تحليل التكلفة والسعر'!$B$2:$B$700,0))&lt;AVERAGEIFS('تحليل التكلفة والسعر'!$H$2:$H$700,'تحليل التكلفة والسعر'!$A$2:$A$700,$A24,'تحليل التكلفة والسعر'!$C$2:$C$700,"&gt;0")),"🐎 حصان عمل",IF(AND($G24&lt;AVERAGEIFS($G$5:$G$175,$A$5:$A$175,$A24,$G$5:$G$175,"&gt;0"),INDEX('تحليل التكلفة والسعر'!$H$2:$H$700,MATCH("بيتزا مشكل لحوم النكش حجم اكبر",'تحليل التكلفة والسعر'!$B$2:$B$700,0))&gt;=AVERAGEIFS('تحليل التكلفة والسعر'!$H$2:$H$700,'تحليل التكلفة والسعر'!$A$2:$A$700,$A24,'تحليل التكلفة والسعر'!$C$2:$C$700,"&gt;0")),"🧩 لغز","🐶 كلب"))))</f>
        <v>بيانات غير كافية</v>
      </c>
    </row>
    <row r="25" customFormat="false" ht="15" hidden="false" customHeight="true" outlineLevel="0" collapsed="false">
      <c r="A25" s="11" t="s">
        <v>9</v>
      </c>
      <c r="B25" s="11" t="s">
        <v>528</v>
      </c>
      <c r="C25" s="13" t="n">
        <f aca="false">IFERROR(INDEX('تحليل التكلفة والسعر'!$D$2:$D$700,MATCH("بيتزا جمبري وسط",'تحليل التكلفة والسعر'!$B$2:$B$700,0)),"")</f>
        <v>240</v>
      </c>
      <c r="D25" s="12" t="n">
        <f aca="false">IFERROR(INDEX('تحليل التكلفة والسعر'!$I$2:$I$700,MATCH("بيتزا جمبري وسط",'تحليل التكلفة والسعر'!$B$2:$B$700,0)),"")</f>
        <v>0.442298333333333</v>
      </c>
      <c r="E25" s="49" t="n">
        <v>17</v>
      </c>
      <c r="F25" s="11" t="str">
        <f aca="false">IF(OR(NOT(INDEX('تحليل التكلفة والسعر'!$C$2:$C$700,MATCH("بيتزا جمبري وسط",'تحليل التكلفة والسعر'!$B$2:$B$700,0))&gt;0),$E25=0),"بيانات غير كافية",IF(AND($E25&gt;=AVERAGEIFS($E$5:$E$175,$A$5:$A$175,$A25,$E$5:$E$175,"&gt;0"),INDEX('تحليل التكلفة والسعر'!$H$2:$H$700,MATCH("بيتزا جمبري وسط",'تحليل التكلفة والسعر'!$B$2:$B$700,0))&gt;=AVERAGEIFS('تحليل التكلفة والسعر'!$H$2:$H$700,'تحليل التكلفة والسعر'!$A$2:$A$700,$A25,'تحليل التكلفة والسعر'!$C$2:$C$700,"&gt;0")),"⭐ نجم",IF(AND($E25&gt;=AVERAGEIFS($E$5:$E$175,$A$5:$A$175,$A25,$E$5:$E$175,"&gt;0"),INDEX('تحليل التكلفة والسعر'!$H$2:$H$700,MATCH("بيتزا جمبري وسط",'تحليل التكلفة والسعر'!$B$2:$B$700,0))&lt;AVERAGEIFS('تحليل التكلفة والسعر'!$H$2:$H$700,'تحليل التكلفة والسعر'!$A$2:$A$700,$A25,'تحليل التكلفة والسعر'!$C$2:$C$700,"&gt;0")),"🐎 حصان عمل",IF(AND($E25&lt;AVERAGEIFS($E$5:$E$175,$A$5:$A$175,$A25,$E$5:$E$175,"&gt;0"),INDEX('تحليل التكلفة والسعر'!$H$2:$H$700,MATCH("بيتزا جمبري وسط",'تحليل التكلفة والسعر'!$B$2:$B$700,0))&gt;=AVERAGEIFS('تحليل التكلفة والسعر'!$H$2:$H$700,'تحليل التكلفة والسعر'!$A$2:$A$700,$A25,'تحليل التكلفة والسعر'!$C$2:$C$700,"&gt;0")),"🧩 لغز","🐶 كلب"))))</f>
        <v>🧩 لغز</v>
      </c>
      <c r="G25" s="49" t="n">
        <v>4</v>
      </c>
      <c r="H25" s="11" t="str">
        <f aca="false">IF(OR(NOT(INDEX('تحليل التكلفة والسعر'!$C$2:$C$700,MATCH("بيتزا جمبري وسط",'تحليل التكلفة والسعر'!$B$2:$B$700,0))&gt;0),$G25=0),"بيانات غير كافية",IF(AND($G25&gt;=AVERAGEIFS($G$5:$G$175,$A$5:$A$175,$A25,$G$5:$G$175,"&gt;0"),INDEX('تحليل التكلفة والسعر'!$H$2:$H$700,MATCH("بيتزا جمبري وسط",'تحليل التكلفة والسعر'!$B$2:$B$700,0))&gt;=AVERAGEIFS('تحليل التكلفة والسعر'!$H$2:$H$700,'تحليل التكلفة والسعر'!$A$2:$A$700,$A25,'تحليل التكلفة والسعر'!$C$2:$C$700,"&gt;0")),"⭐ نجم",IF(AND($G25&gt;=AVERAGEIFS($G$5:$G$175,$A$5:$A$175,$A25,$G$5:$G$175,"&gt;0"),INDEX('تحليل التكلفة والسعر'!$H$2:$H$700,MATCH("بيتزا جمبري وسط",'تحليل التكلفة والسعر'!$B$2:$B$700,0))&lt;AVERAGEIFS('تحليل التكلفة والسعر'!$H$2:$H$700,'تحليل التكلفة والسعر'!$A$2:$A$700,$A25,'تحليل التكلفة والسعر'!$C$2:$C$700,"&gt;0")),"🐎 حصان عمل",IF(AND($G25&lt;AVERAGEIFS($G$5:$G$175,$A$5:$A$175,$A25,$G$5:$G$175,"&gt;0"),INDEX('تحليل التكلفة والسعر'!$H$2:$H$700,MATCH("بيتزا جمبري وسط",'تحليل التكلفة والسعر'!$B$2:$B$700,0))&gt;=AVERAGEIFS('تحليل التكلفة والسعر'!$H$2:$H$700,'تحليل التكلفة والسعر'!$A$2:$A$700,$A25,'تحليل التكلفة والسعر'!$C$2:$C$700,"&gt;0")),"🧩 لغز","🐶 كلب"))))</f>
        <v>🧩 لغز</v>
      </c>
    </row>
    <row r="26" customFormat="false" ht="15" hidden="false" customHeight="true" outlineLevel="0" collapsed="false">
      <c r="A26" s="11" t="s">
        <v>9</v>
      </c>
      <c r="B26" s="11" t="s">
        <v>465</v>
      </c>
      <c r="C26" s="13" t="n">
        <f aca="false">IFERROR(INDEX('تحليل التكلفة والسعر'!$D$2:$D$700,MATCH("بيتزا جمبري حجم اكبر",'تحليل التكلفة والسعر'!$B$2:$B$700,0)),"")</f>
        <v>360</v>
      </c>
      <c r="D26" s="12" t="n">
        <f aca="false">IFERROR(INDEX('تحليل التكلفة والسعر'!$I$2:$I$700,MATCH("بيتزا جمبري حجم اكبر",'تحليل التكلفة والسعر'!$B$2:$B$700,0)),"")</f>
        <v>0.461880833333333</v>
      </c>
      <c r="E26" s="49" t="n">
        <v>2</v>
      </c>
      <c r="F26" s="11" t="str">
        <f aca="false">IF(OR(NOT(INDEX('تحليل التكلفة والسعر'!$C$2:$C$700,MATCH("بيتزا جمبري حجم اكبر",'تحليل التكلفة والسعر'!$B$2:$B$700,0))&gt;0),$E26=0),"بيانات غير كافية",IF(AND($E26&gt;=AVERAGEIFS($E$5:$E$175,$A$5:$A$175,$A26,$E$5:$E$175,"&gt;0"),INDEX('تحليل التكلفة والسعر'!$H$2:$H$700,MATCH("بيتزا جمبري حجم اكبر",'تحليل التكلفة والسعر'!$B$2:$B$700,0))&gt;=AVERAGEIFS('تحليل التكلفة والسعر'!$H$2:$H$700,'تحليل التكلفة والسعر'!$A$2:$A$700,$A26,'تحليل التكلفة والسعر'!$C$2:$C$700,"&gt;0")),"⭐ نجم",IF(AND($E26&gt;=AVERAGEIFS($E$5:$E$175,$A$5:$A$175,$A26,$E$5:$E$175,"&gt;0"),INDEX('تحليل التكلفة والسعر'!$H$2:$H$700,MATCH("بيتزا جمبري حجم اكبر",'تحليل التكلفة والسعر'!$B$2:$B$700,0))&lt;AVERAGEIFS('تحليل التكلفة والسعر'!$H$2:$H$700,'تحليل التكلفة والسعر'!$A$2:$A$700,$A26,'تحليل التكلفة والسعر'!$C$2:$C$700,"&gt;0")),"🐎 حصان عمل",IF(AND($E26&lt;AVERAGEIFS($E$5:$E$175,$A$5:$A$175,$A26,$E$5:$E$175,"&gt;0"),INDEX('تحليل التكلفة والسعر'!$H$2:$H$700,MATCH("بيتزا جمبري حجم اكبر",'تحليل التكلفة والسعر'!$B$2:$B$700,0))&gt;=AVERAGEIFS('تحليل التكلفة والسعر'!$H$2:$H$700,'تحليل التكلفة والسعر'!$A$2:$A$700,$A26,'تحليل التكلفة والسعر'!$C$2:$C$700,"&gt;0")),"🧩 لغز","🐶 كلب"))))</f>
        <v>🧩 لغز</v>
      </c>
      <c r="G26" s="49" t="n">
        <v>4</v>
      </c>
      <c r="H26" s="11" t="str">
        <f aca="false">IF(OR(NOT(INDEX('تحليل التكلفة والسعر'!$C$2:$C$700,MATCH("بيتزا جمبري حجم اكبر",'تحليل التكلفة والسعر'!$B$2:$B$700,0))&gt;0),$G26=0),"بيانات غير كافية",IF(AND($G26&gt;=AVERAGEIFS($G$5:$G$175,$A$5:$A$175,$A26,$G$5:$G$175,"&gt;0"),INDEX('تحليل التكلفة والسعر'!$H$2:$H$700,MATCH("بيتزا جمبري حجم اكبر",'تحليل التكلفة والسعر'!$B$2:$B$700,0))&gt;=AVERAGEIFS('تحليل التكلفة والسعر'!$H$2:$H$700,'تحليل التكلفة والسعر'!$A$2:$A$700,$A26,'تحليل التكلفة والسعر'!$C$2:$C$700,"&gt;0")),"⭐ نجم",IF(AND($G26&gt;=AVERAGEIFS($G$5:$G$175,$A$5:$A$175,$A26,$G$5:$G$175,"&gt;0"),INDEX('تحليل التكلفة والسعر'!$H$2:$H$700,MATCH("بيتزا جمبري حجم اكبر",'تحليل التكلفة والسعر'!$B$2:$B$700,0))&lt;AVERAGEIFS('تحليل التكلفة والسعر'!$H$2:$H$700,'تحليل التكلفة والسعر'!$A$2:$A$700,$A26,'تحليل التكلفة والسعر'!$C$2:$C$700,"&gt;0")),"🐎 حصان عمل",IF(AND($G26&lt;AVERAGEIFS($G$5:$G$175,$A$5:$A$175,$A26,$G$5:$G$175,"&gt;0"),INDEX('تحليل التكلفة والسعر'!$H$2:$H$700,MATCH("بيتزا جمبري حجم اكبر",'تحليل التكلفة والسعر'!$B$2:$B$700,0))&gt;=AVERAGEIFS('تحليل التكلفة والسعر'!$H$2:$H$700,'تحليل التكلفة والسعر'!$A$2:$A$700,$A26,'تحليل التكلفة والسعر'!$C$2:$C$700,"&gt;0")),"🧩 لغز","🐶 كلب"))))</f>
        <v>🧩 لغز</v>
      </c>
    </row>
    <row r="27" customFormat="false" ht="15" hidden="false" customHeight="true" outlineLevel="0" collapsed="false">
      <c r="A27" s="11" t="s">
        <v>10</v>
      </c>
      <c r="B27" s="11" t="s">
        <v>523</v>
      </c>
      <c r="C27" s="13" t="n">
        <f aca="false">IFERROR(INDEX('تحليل التكلفة والسعر'!$D$2:$D$700,MATCH("فطيرة سدق وسط",'تحليل التكلفة والسعر'!$B$2:$B$700,0)),"")</f>
        <v>130</v>
      </c>
      <c r="D27" s="12" t="n">
        <f aca="false">IFERROR(INDEX('تحليل التكلفة والسعر'!$I$2:$I$700,MATCH("فطيرة سدق وسط",'تحليل التكلفة والسعر'!$B$2:$B$700,0)),"")</f>
        <v>0.405935384615385</v>
      </c>
      <c r="E27" s="49" t="n">
        <v>488</v>
      </c>
      <c r="F27" s="11" t="str">
        <f aca="false">IF(OR(NOT(INDEX('تحليل التكلفة والسعر'!$C$2:$C$700,MATCH("فطيرة سدق وسط",'تحليل التكلفة والسعر'!$B$2:$B$700,0))&gt;0),$E27=0),"بيانات غير كافية",IF(AND($E27&gt;=AVERAGEIFS($E$5:$E$175,$A$5:$A$175,$A27,$E$5:$E$175,"&gt;0"),INDEX('تحليل التكلفة والسعر'!$H$2:$H$700,MATCH("فطيرة سدق وسط",'تحليل التكلفة والسعر'!$B$2:$B$700,0))&gt;=AVERAGEIFS('تحليل التكلفة والسعر'!$H$2:$H$700,'تحليل التكلفة والسعر'!$A$2:$A$700,$A27,'تحليل التكلفة والسعر'!$C$2:$C$700,"&gt;0")),"⭐ نجم",IF(AND($E27&gt;=AVERAGEIFS($E$5:$E$175,$A$5:$A$175,$A27,$E$5:$E$175,"&gt;0"),INDEX('تحليل التكلفة والسعر'!$H$2:$H$700,MATCH("فطيرة سدق وسط",'تحليل التكلفة والسعر'!$B$2:$B$700,0))&lt;AVERAGEIFS('تحليل التكلفة والسعر'!$H$2:$H$700,'تحليل التكلفة والسعر'!$A$2:$A$700,$A27,'تحليل التكلفة والسعر'!$C$2:$C$700,"&gt;0")),"🐎 حصان عمل",IF(AND($E27&lt;AVERAGEIFS($E$5:$E$175,$A$5:$A$175,$A27,$E$5:$E$175,"&gt;0"),INDEX('تحليل التكلفة والسعر'!$H$2:$H$700,MATCH("فطيرة سدق وسط",'تحليل التكلفة والسعر'!$B$2:$B$700,0))&gt;=AVERAGEIFS('تحليل التكلفة والسعر'!$H$2:$H$700,'تحليل التكلفة والسعر'!$A$2:$A$700,$A27,'تحليل التكلفة والسعر'!$C$2:$C$700,"&gt;0")),"🧩 لغز","🐶 كلب"))))</f>
        <v>🐎 حصان عمل</v>
      </c>
      <c r="G27" s="49" t="n">
        <v>119</v>
      </c>
      <c r="H27" s="11" t="str">
        <f aca="false">IF(OR(NOT(INDEX('تحليل التكلفة والسعر'!$C$2:$C$700,MATCH("فطيرة سدق وسط",'تحليل التكلفة والسعر'!$B$2:$B$700,0))&gt;0),$G27=0),"بيانات غير كافية",IF(AND($G27&gt;=AVERAGEIFS($G$5:$G$175,$A$5:$A$175,$A27,$G$5:$G$175,"&gt;0"),INDEX('تحليل التكلفة والسعر'!$H$2:$H$700,MATCH("فطيرة سدق وسط",'تحليل التكلفة والسعر'!$B$2:$B$700,0))&gt;=AVERAGEIFS('تحليل التكلفة والسعر'!$H$2:$H$700,'تحليل التكلفة والسعر'!$A$2:$A$700,$A27,'تحليل التكلفة والسعر'!$C$2:$C$700,"&gt;0")),"⭐ نجم",IF(AND($G27&gt;=AVERAGEIFS($G$5:$G$175,$A$5:$A$175,$A27,$G$5:$G$175,"&gt;0"),INDEX('تحليل التكلفة والسعر'!$H$2:$H$700,MATCH("فطيرة سدق وسط",'تحليل التكلفة والسعر'!$B$2:$B$700,0))&lt;AVERAGEIFS('تحليل التكلفة والسعر'!$H$2:$H$700,'تحليل التكلفة والسعر'!$A$2:$A$700,$A27,'تحليل التكلفة والسعر'!$C$2:$C$700,"&gt;0")),"🐎 حصان عمل",IF(AND($G27&lt;AVERAGEIFS($G$5:$G$175,$A$5:$A$175,$A27,$G$5:$G$175,"&gt;0"),INDEX('تحليل التكلفة والسعر'!$H$2:$H$700,MATCH("فطيرة سدق وسط",'تحليل التكلفة والسعر'!$B$2:$B$700,0))&gt;=AVERAGEIFS('تحليل التكلفة والسعر'!$H$2:$H$700,'تحليل التكلفة والسعر'!$A$2:$A$700,$A27,'تحليل التكلفة والسعر'!$C$2:$C$700,"&gt;0")),"🧩 لغز","🐶 كلب"))))</f>
        <v>🐎 حصان عمل</v>
      </c>
    </row>
    <row r="28" customFormat="false" ht="15" hidden="false" customHeight="true" outlineLevel="0" collapsed="false">
      <c r="A28" s="11" t="s">
        <v>10</v>
      </c>
      <c r="B28" s="11" t="s">
        <v>454</v>
      </c>
      <c r="C28" s="13" t="n">
        <f aca="false">IFERROR(INDEX('تحليل التكلفة والسعر'!$D$2:$D$700,MATCH("فطيرة سدق حجم اكبر",'تحليل التكلفة والسعر'!$B$2:$B$700,0)),"")</f>
        <v>190</v>
      </c>
      <c r="D28" s="12" t="n">
        <f aca="false">IFERROR(INDEX('تحليل التكلفة والسعر'!$I$2:$I$700,MATCH("فطيرة سدق حجم اكبر",'تحليل التكلفة والسعر'!$B$2:$B$700,0)),"")</f>
        <v>0.447034736842105</v>
      </c>
      <c r="E28" s="49" t="n">
        <v>74</v>
      </c>
      <c r="F28" s="11" t="str">
        <f aca="false">IF(OR(NOT(INDEX('تحليل التكلفة والسعر'!$C$2:$C$700,MATCH("فطيرة سدق حجم اكبر",'تحليل التكلفة والسعر'!$B$2:$B$700,0))&gt;0),$E28=0),"بيانات غير كافية",IF(AND($E28&gt;=AVERAGEIFS($E$5:$E$175,$A$5:$A$175,$A28,$E$5:$E$175,"&gt;0"),INDEX('تحليل التكلفة والسعر'!$H$2:$H$700,MATCH("فطيرة سدق حجم اكبر",'تحليل التكلفة والسعر'!$B$2:$B$700,0))&gt;=AVERAGEIFS('تحليل التكلفة والسعر'!$H$2:$H$700,'تحليل التكلفة والسعر'!$A$2:$A$700,$A28,'تحليل التكلفة والسعر'!$C$2:$C$700,"&gt;0")),"⭐ نجم",IF(AND($E28&gt;=AVERAGEIFS($E$5:$E$175,$A$5:$A$175,$A28,$E$5:$E$175,"&gt;0"),INDEX('تحليل التكلفة والسعر'!$H$2:$H$700,MATCH("فطيرة سدق حجم اكبر",'تحليل التكلفة والسعر'!$B$2:$B$700,0))&lt;AVERAGEIFS('تحليل التكلفة والسعر'!$H$2:$H$700,'تحليل التكلفة والسعر'!$A$2:$A$700,$A28,'تحليل التكلفة والسعر'!$C$2:$C$700,"&gt;0")),"🐎 حصان عمل",IF(AND($E28&lt;AVERAGEIFS($E$5:$E$175,$A$5:$A$175,$A28,$E$5:$E$175,"&gt;0"),INDEX('تحليل التكلفة والسعر'!$H$2:$H$700,MATCH("فطيرة سدق حجم اكبر",'تحليل التكلفة والسعر'!$B$2:$B$700,0))&gt;=AVERAGEIFS('تحليل التكلفة والسعر'!$H$2:$H$700,'تحليل التكلفة والسعر'!$A$2:$A$700,$A28,'تحليل التكلفة والسعر'!$C$2:$C$700,"&gt;0")),"🧩 لغز","🐶 كلب"))))</f>
        <v>🐶 كلب</v>
      </c>
      <c r="G28" s="49" t="n">
        <v>25</v>
      </c>
      <c r="H28" s="11" t="str">
        <f aca="false">IF(OR(NOT(INDEX('تحليل التكلفة والسعر'!$C$2:$C$700,MATCH("فطيرة سدق حجم اكبر",'تحليل التكلفة والسعر'!$B$2:$B$700,0))&gt;0),$G28=0),"بيانات غير كافية",IF(AND($G28&gt;=AVERAGEIFS($G$5:$G$175,$A$5:$A$175,$A28,$G$5:$G$175,"&gt;0"),INDEX('تحليل التكلفة والسعر'!$H$2:$H$700,MATCH("فطيرة سدق حجم اكبر",'تحليل التكلفة والسعر'!$B$2:$B$700,0))&gt;=AVERAGEIFS('تحليل التكلفة والسعر'!$H$2:$H$700,'تحليل التكلفة والسعر'!$A$2:$A$700,$A28,'تحليل التكلفة والسعر'!$C$2:$C$700,"&gt;0")),"⭐ نجم",IF(AND($G28&gt;=AVERAGEIFS($G$5:$G$175,$A$5:$A$175,$A28,$G$5:$G$175,"&gt;0"),INDEX('تحليل التكلفة والسعر'!$H$2:$H$700,MATCH("فطيرة سدق حجم اكبر",'تحليل التكلفة والسعر'!$B$2:$B$700,0))&lt;AVERAGEIFS('تحليل التكلفة والسعر'!$H$2:$H$700,'تحليل التكلفة والسعر'!$A$2:$A$700,$A28,'تحليل التكلفة والسعر'!$C$2:$C$700,"&gt;0")),"🐎 حصان عمل",IF(AND($G28&lt;AVERAGEIFS($G$5:$G$175,$A$5:$A$175,$A28,$G$5:$G$175,"&gt;0"),INDEX('تحليل التكلفة والسعر'!$H$2:$H$700,MATCH("فطيرة سدق حجم اكبر",'تحليل التكلفة والسعر'!$B$2:$B$700,0))&gt;=AVERAGEIFS('تحليل التكلفة والسعر'!$H$2:$H$700,'تحليل التكلفة والسعر'!$A$2:$A$700,$A28,'تحليل التكلفة والسعر'!$C$2:$C$700,"&gt;0")),"🧩 لغز","🐶 كلب"))))</f>
        <v>🐶 كلب</v>
      </c>
    </row>
    <row r="29" customFormat="false" ht="15" hidden="false" customHeight="true" outlineLevel="0" collapsed="false">
      <c r="A29" s="11" t="s">
        <v>10</v>
      </c>
      <c r="B29" s="11" t="s">
        <v>453</v>
      </c>
      <c r="C29" s="13" t="n">
        <f aca="false">IFERROR(INDEX('تحليل التكلفة والسعر'!$D$2:$D$700,MATCH("فطيرة بسطرمة وسط",'تحليل التكلفة والسعر'!$B$2:$B$700,0)),"")</f>
        <v>140</v>
      </c>
      <c r="D29" s="12" t="n">
        <f aca="false">IFERROR(INDEX('تحليل التكلفة والسعر'!$I$2:$I$700,MATCH("فطيرة بسطرمة وسط",'تحليل التكلفة والسعر'!$B$2:$B$700,0)),"")</f>
        <v>0.505511428571429</v>
      </c>
      <c r="E29" s="49" t="n">
        <v>365</v>
      </c>
      <c r="F29" s="11" t="str">
        <f aca="false">IF(OR(NOT(INDEX('تحليل التكلفة والسعر'!$C$2:$C$700,MATCH("فطيرة بسطرمة وسط",'تحليل التكلفة والسعر'!$B$2:$B$700,0))&gt;0),$E29=0),"بيانات غير كافية",IF(AND($E29&gt;=AVERAGEIFS($E$5:$E$175,$A$5:$A$175,$A29,$E$5:$E$175,"&gt;0"),INDEX('تحليل التكلفة والسعر'!$H$2:$H$700,MATCH("فطيرة بسطرمة وسط",'تحليل التكلفة والسعر'!$B$2:$B$700,0))&gt;=AVERAGEIFS('تحليل التكلفة والسعر'!$H$2:$H$700,'تحليل التكلفة والسعر'!$A$2:$A$700,$A29,'تحليل التكلفة والسعر'!$C$2:$C$700,"&gt;0")),"⭐ نجم",IF(AND($E29&gt;=AVERAGEIFS($E$5:$E$175,$A$5:$A$175,$A29,$E$5:$E$175,"&gt;0"),INDEX('تحليل التكلفة والسعر'!$H$2:$H$700,MATCH("فطيرة بسطرمة وسط",'تحليل التكلفة والسعر'!$B$2:$B$700,0))&lt;AVERAGEIFS('تحليل التكلفة والسعر'!$H$2:$H$700,'تحليل التكلفة والسعر'!$A$2:$A$700,$A29,'تحليل التكلفة والسعر'!$C$2:$C$700,"&gt;0")),"🐎 حصان عمل",IF(AND($E29&lt;AVERAGEIFS($E$5:$E$175,$A$5:$A$175,$A29,$E$5:$E$175,"&gt;0"),INDEX('تحليل التكلفة والسعر'!$H$2:$H$700,MATCH("فطيرة بسطرمة وسط",'تحليل التكلفة والسعر'!$B$2:$B$700,0))&gt;=AVERAGEIFS('تحليل التكلفة والسعر'!$H$2:$H$700,'تحليل التكلفة والسعر'!$A$2:$A$700,$A29,'تحليل التكلفة والسعر'!$C$2:$C$700,"&gt;0")),"🧩 لغز","🐶 كلب"))))</f>
        <v>🐎 حصان عمل</v>
      </c>
      <c r="G29" s="49" t="n">
        <v>89</v>
      </c>
      <c r="H29" s="11" t="str">
        <f aca="false">IF(OR(NOT(INDEX('تحليل التكلفة والسعر'!$C$2:$C$700,MATCH("فطيرة بسطرمة وسط",'تحليل التكلفة والسعر'!$B$2:$B$700,0))&gt;0),$G29=0),"بيانات غير كافية",IF(AND($G29&gt;=AVERAGEIFS($G$5:$G$175,$A$5:$A$175,$A29,$G$5:$G$175,"&gt;0"),INDEX('تحليل التكلفة والسعر'!$H$2:$H$700,MATCH("فطيرة بسطرمة وسط",'تحليل التكلفة والسعر'!$B$2:$B$700,0))&gt;=AVERAGEIFS('تحليل التكلفة والسعر'!$H$2:$H$700,'تحليل التكلفة والسعر'!$A$2:$A$700,$A29,'تحليل التكلفة والسعر'!$C$2:$C$700,"&gt;0")),"⭐ نجم",IF(AND($G29&gt;=AVERAGEIFS($G$5:$G$175,$A$5:$A$175,$A29,$G$5:$G$175,"&gt;0"),INDEX('تحليل التكلفة والسعر'!$H$2:$H$700,MATCH("فطيرة بسطرمة وسط",'تحليل التكلفة والسعر'!$B$2:$B$700,0))&lt;AVERAGEIFS('تحليل التكلفة والسعر'!$H$2:$H$700,'تحليل التكلفة والسعر'!$A$2:$A$700,$A29,'تحليل التكلفة والسعر'!$C$2:$C$700,"&gt;0")),"🐎 حصان عمل",IF(AND($G29&lt;AVERAGEIFS($G$5:$G$175,$A$5:$A$175,$A29,$G$5:$G$175,"&gt;0"),INDEX('تحليل التكلفة والسعر'!$H$2:$H$700,MATCH("فطيرة بسطرمة وسط",'تحليل التكلفة والسعر'!$B$2:$B$700,0))&gt;=AVERAGEIFS('تحليل التكلفة والسعر'!$H$2:$H$700,'تحليل التكلفة والسعر'!$A$2:$A$700,$A29,'تحليل التكلفة والسعر'!$C$2:$C$700,"&gt;0")),"🧩 لغز","🐶 كلب"))))</f>
        <v>🐎 حصان عمل</v>
      </c>
    </row>
    <row r="30" customFormat="false" ht="15" hidden="false" customHeight="true" outlineLevel="0" collapsed="false">
      <c r="A30" s="11" t="s">
        <v>10</v>
      </c>
      <c r="B30" s="11" t="s">
        <v>427</v>
      </c>
      <c r="C30" s="13" t="n">
        <f aca="false">IFERROR(INDEX('تحليل التكلفة والسعر'!$D$2:$D$700,MATCH("فطيرة بسطرمة حجم اكبر",'تحليل التكلفة والسعر'!$B$2:$B$700,0)),"")</f>
        <v>200</v>
      </c>
      <c r="D30" s="12" t="n">
        <f aca="false">IFERROR(INDEX('تحليل التكلفة والسعر'!$I$2:$I$700,MATCH("فطيرة بسطرمة حجم اكبر",'تحليل التكلفة والسعر'!$B$2:$B$700,0)),"")</f>
        <v>0.5338495</v>
      </c>
      <c r="E30" s="49" t="n">
        <v>29</v>
      </c>
      <c r="F30" s="11" t="str">
        <f aca="false">IF(OR(NOT(INDEX('تحليل التكلفة والسعر'!$C$2:$C$700,MATCH("فطيرة بسطرمة حجم اكبر",'تحليل التكلفة والسعر'!$B$2:$B$700,0))&gt;0),$E30=0),"بيانات غير كافية",IF(AND($E30&gt;=AVERAGEIFS($E$5:$E$175,$A$5:$A$175,$A30,$E$5:$E$175,"&gt;0"),INDEX('تحليل التكلفة والسعر'!$H$2:$H$700,MATCH("فطيرة بسطرمة حجم اكبر",'تحليل التكلفة والسعر'!$B$2:$B$700,0))&gt;=AVERAGEIFS('تحليل التكلفة والسعر'!$H$2:$H$700,'تحليل التكلفة والسعر'!$A$2:$A$700,$A30,'تحليل التكلفة والسعر'!$C$2:$C$700,"&gt;0")),"⭐ نجم",IF(AND($E30&gt;=AVERAGEIFS($E$5:$E$175,$A$5:$A$175,$A30,$E$5:$E$175,"&gt;0"),INDEX('تحليل التكلفة والسعر'!$H$2:$H$700,MATCH("فطيرة بسطرمة حجم اكبر",'تحليل التكلفة والسعر'!$B$2:$B$700,0))&lt;AVERAGEIFS('تحليل التكلفة والسعر'!$H$2:$H$700,'تحليل التكلفة والسعر'!$A$2:$A$700,$A30,'تحليل التكلفة والسعر'!$C$2:$C$700,"&gt;0")),"🐎 حصان عمل",IF(AND($E30&lt;AVERAGEIFS($E$5:$E$175,$A$5:$A$175,$A30,$E$5:$E$175,"&gt;0"),INDEX('تحليل التكلفة والسعر'!$H$2:$H$700,MATCH("فطيرة بسطرمة حجم اكبر",'تحليل التكلفة والسعر'!$B$2:$B$700,0))&gt;=AVERAGEIFS('تحليل التكلفة والسعر'!$H$2:$H$700,'تحليل التكلفة والسعر'!$A$2:$A$700,$A30,'تحليل التكلفة والسعر'!$C$2:$C$700,"&gt;0")),"🧩 لغز","🐶 كلب"))))</f>
        <v>🧩 لغز</v>
      </c>
      <c r="G30" s="49" t="n">
        <v>14</v>
      </c>
      <c r="H30" s="11" t="str">
        <f aca="false">IF(OR(NOT(INDEX('تحليل التكلفة والسعر'!$C$2:$C$700,MATCH("فطيرة بسطرمة حجم اكبر",'تحليل التكلفة والسعر'!$B$2:$B$700,0))&gt;0),$G30=0),"بيانات غير كافية",IF(AND($G30&gt;=AVERAGEIFS($G$5:$G$175,$A$5:$A$175,$A30,$G$5:$G$175,"&gt;0"),INDEX('تحليل التكلفة والسعر'!$H$2:$H$700,MATCH("فطيرة بسطرمة حجم اكبر",'تحليل التكلفة والسعر'!$B$2:$B$700,0))&gt;=AVERAGEIFS('تحليل التكلفة والسعر'!$H$2:$H$700,'تحليل التكلفة والسعر'!$A$2:$A$700,$A30,'تحليل التكلفة والسعر'!$C$2:$C$700,"&gt;0")),"⭐ نجم",IF(AND($G30&gt;=AVERAGEIFS($G$5:$G$175,$A$5:$A$175,$A30,$G$5:$G$175,"&gt;0"),INDEX('تحليل التكلفة والسعر'!$H$2:$H$700,MATCH("فطيرة بسطرمة حجم اكبر",'تحليل التكلفة والسعر'!$B$2:$B$700,0))&lt;AVERAGEIFS('تحليل التكلفة والسعر'!$H$2:$H$700,'تحليل التكلفة والسعر'!$A$2:$A$700,$A30,'تحليل التكلفة والسعر'!$C$2:$C$700,"&gt;0")),"🐎 حصان عمل",IF(AND($G30&lt;AVERAGEIFS($G$5:$G$175,$A$5:$A$175,$A30,$G$5:$G$175,"&gt;0"),INDEX('تحليل التكلفة والسعر'!$H$2:$H$700,MATCH("فطيرة بسطرمة حجم اكبر",'تحليل التكلفة والسعر'!$B$2:$B$700,0))&gt;=AVERAGEIFS('تحليل التكلفة والسعر'!$H$2:$H$700,'تحليل التكلفة والسعر'!$A$2:$A$700,$A30,'تحليل التكلفة والسعر'!$C$2:$C$700,"&gt;0")),"🧩 لغز","🐶 كلب"))))</f>
        <v>🧩 لغز</v>
      </c>
    </row>
    <row r="31" customFormat="false" ht="15" hidden="false" customHeight="true" outlineLevel="0" collapsed="false">
      <c r="A31" s="11" t="s">
        <v>10</v>
      </c>
      <c r="B31" s="11" t="s">
        <v>477</v>
      </c>
      <c r="C31" s="13" t="n">
        <f aca="false">IFERROR(INDEX('تحليل التكلفة والسعر'!$D$2:$D$700,MATCH("فطيرة ميكس بسطرمة وسدق بالكيري وسط",'تحليل التكلفة والسعر'!$B$2:$B$700,0)),"")</f>
        <v>210</v>
      </c>
      <c r="D31" s="12" t="n">
        <f aca="false">IFERROR(INDEX('تحليل التكلفة والسعر'!$I$2:$I$700,MATCH("فطيرة ميكس بسطرمة وسدق بالكيري وسط",'تحليل التكلفة والسعر'!$B$2:$B$700,0)),"")</f>
        <v>0.441769523809524</v>
      </c>
      <c r="E31" s="49" t="n">
        <v>65</v>
      </c>
      <c r="F31" s="11" t="str">
        <f aca="false">IF(OR(NOT(INDEX('تحليل التكلفة والسعر'!$C$2:$C$700,MATCH("فطيرة ميكس بسطرمة وسدق بالكيري وسط",'تحليل التكلفة والسعر'!$B$2:$B$700,0))&gt;0),$E31=0),"بيانات غير كافية",IF(AND($E31&gt;=AVERAGEIFS($E$5:$E$175,$A$5:$A$175,$A31,$E$5:$E$175,"&gt;0"),INDEX('تحليل التكلفة والسعر'!$H$2:$H$700,MATCH("فطيرة ميكس بسطرمة وسدق بالكيري وسط",'تحليل التكلفة والسعر'!$B$2:$B$700,0))&gt;=AVERAGEIFS('تحليل التكلفة والسعر'!$H$2:$H$700,'تحليل التكلفة والسعر'!$A$2:$A$700,$A31,'تحليل التكلفة والسعر'!$C$2:$C$700,"&gt;0")),"⭐ نجم",IF(AND($E31&gt;=AVERAGEIFS($E$5:$E$175,$A$5:$A$175,$A31,$E$5:$E$175,"&gt;0"),INDEX('تحليل التكلفة والسعر'!$H$2:$H$700,MATCH("فطيرة ميكس بسطرمة وسدق بالكيري وسط",'تحليل التكلفة والسعر'!$B$2:$B$700,0))&lt;AVERAGEIFS('تحليل التكلفة والسعر'!$H$2:$H$700,'تحليل التكلفة والسعر'!$A$2:$A$700,$A31,'تحليل التكلفة والسعر'!$C$2:$C$700,"&gt;0")),"🐎 حصان عمل",IF(AND($E31&lt;AVERAGEIFS($E$5:$E$175,$A$5:$A$175,$A31,$E$5:$E$175,"&gt;0"),INDEX('تحليل التكلفة والسعر'!$H$2:$H$700,MATCH("فطيرة ميكس بسطرمة وسدق بالكيري وسط",'تحليل التكلفة والسعر'!$B$2:$B$700,0))&gt;=AVERAGEIFS('تحليل التكلفة والسعر'!$H$2:$H$700,'تحليل التكلفة والسعر'!$A$2:$A$700,$A31,'تحليل التكلفة والسعر'!$C$2:$C$700,"&gt;0")),"🧩 لغز","🐶 كلب"))))</f>
        <v>🐶 كلب</v>
      </c>
      <c r="G31" s="49" t="n">
        <v>40</v>
      </c>
      <c r="H31" s="11" t="str">
        <f aca="false">IF(OR(NOT(INDEX('تحليل التكلفة والسعر'!$C$2:$C$700,MATCH("فطيرة ميكس بسطرمة وسدق بالكيري وسط",'تحليل التكلفة والسعر'!$B$2:$B$700,0))&gt;0),$G31=0),"بيانات غير كافية",IF(AND($G31&gt;=AVERAGEIFS($G$5:$G$175,$A$5:$A$175,$A31,$G$5:$G$175,"&gt;0"),INDEX('تحليل التكلفة والسعر'!$H$2:$H$700,MATCH("فطيرة ميكس بسطرمة وسدق بالكيري وسط",'تحليل التكلفة والسعر'!$B$2:$B$700,0))&gt;=AVERAGEIFS('تحليل التكلفة والسعر'!$H$2:$H$700,'تحليل التكلفة والسعر'!$A$2:$A$700,$A31,'تحليل التكلفة والسعر'!$C$2:$C$700,"&gt;0")),"⭐ نجم",IF(AND($G31&gt;=AVERAGEIFS($G$5:$G$175,$A$5:$A$175,$A31,$G$5:$G$175,"&gt;0"),INDEX('تحليل التكلفة والسعر'!$H$2:$H$700,MATCH("فطيرة ميكس بسطرمة وسدق بالكيري وسط",'تحليل التكلفة والسعر'!$B$2:$B$700,0))&lt;AVERAGEIFS('تحليل التكلفة والسعر'!$H$2:$H$700,'تحليل التكلفة والسعر'!$A$2:$A$700,$A31,'تحليل التكلفة والسعر'!$C$2:$C$700,"&gt;0")),"🐎 حصان عمل",IF(AND($G31&lt;AVERAGEIFS($G$5:$G$175,$A$5:$A$175,$A31,$G$5:$G$175,"&gt;0"),INDEX('تحليل التكلفة والسعر'!$H$2:$H$700,MATCH("فطيرة ميكس بسطرمة وسدق بالكيري وسط",'تحليل التكلفة والسعر'!$B$2:$B$700,0))&gt;=AVERAGEIFS('تحليل التكلفة والسعر'!$H$2:$H$700,'تحليل التكلفة والسعر'!$A$2:$A$700,$A31,'تحليل التكلفة والسعر'!$C$2:$C$700,"&gt;0")),"🧩 لغز","🐶 كلب"))))</f>
        <v>🐎 حصان عمل</v>
      </c>
    </row>
    <row r="32" customFormat="false" ht="26.25" hidden="false" customHeight="true" outlineLevel="0" collapsed="false">
      <c r="A32" s="11" t="s">
        <v>10</v>
      </c>
      <c r="B32" s="11" t="s">
        <v>475</v>
      </c>
      <c r="C32" s="13" t="n">
        <f aca="false">IFERROR(INDEX('تحليل التكلفة والسعر'!$D$2:$D$700,MATCH("فطيرة ميكس بسطرمة وسدق بالكيري حجم اكبر",'تحليل التكلفة والسعر'!$B$2:$B$700,0)),"")</f>
        <v>330</v>
      </c>
      <c r="D32" s="12" t="n">
        <f aca="false">IFERROR(INDEX('تحليل التكلفة والسعر'!$I$2:$I$700,MATCH("فطيرة ميكس بسطرمة وسدق بالكيري حجم اكبر",'تحليل التكلفة والسعر'!$B$2:$B$700,0)),"")</f>
        <v>0.517484545454545</v>
      </c>
      <c r="E32" s="49" t="n">
        <v>10</v>
      </c>
      <c r="F32" s="11" t="str">
        <f aca="false">IF(OR(NOT(INDEX('تحليل التكلفة والسعر'!$C$2:$C$700,MATCH("فطيرة ميكس بسطرمة وسدق بالكيري حجم اكبر",'تحليل التكلفة والسعر'!$B$2:$B$700,0))&gt;0),$E32=0),"بيانات غير كافية",IF(AND($E32&gt;=AVERAGEIFS($E$5:$E$175,$A$5:$A$175,$A32,$E$5:$E$175,"&gt;0"),INDEX('تحليل التكلفة والسعر'!$H$2:$H$700,MATCH("فطيرة ميكس بسطرمة وسدق بالكيري حجم اكبر",'تحليل التكلفة والسعر'!$B$2:$B$700,0))&gt;=AVERAGEIFS('تحليل التكلفة والسعر'!$H$2:$H$700,'تحليل التكلفة والسعر'!$A$2:$A$700,$A32,'تحليل التكلفة والسعر'!$C$2:$C$700,"&gt;0")),"⭐ نجم",IF(AND($E32&gt;=AVERAGEIFS($E$5:$E$175,$A$5:$A$175,$A32,$E$5:$E$175,"&gt;0"),INDEX('تحليل التكلفة والسعر'!$H$2:$H$700,MATCH("فطيرة ميكس بسطرمة وسدق بالكيري حجم اكبر",'تحليل التكلفة والسعر'!$B$2:$B$700,0))&lt;AVERAGEIFS('تحليل التكلفة والسعر'!$H$2:$H$700,'تحليل التكلفة والسعر'!$A$2:$A$700,$A32,'تحليل التكلفة والسعر'!$C$2:$C$700,"&gt;0")),"🐎 حصان عمل",IF(AND($E32&lt;AVERAGEIFS($E$5:$E$175,$A$5:$A$175,$A32,$E$5:$E$175,"&gt;0"),INDEX('تحليل التكلفة والسعر'!$H$2:$H$700,MATCH("فطيرة ميكس بسطرمة وسدق بالكيري حجم اكبر",'تحليل التكلفة والسعر'!$B$2:$B$700,0))&gt;=AVERAGEIFS('تحليل التكلفة والسعر'!$H$2:$H$700,'تحليل التكلفة والسعر'!$A$2:$A$700,$A32,'تحليل التكلفة والسعر'!$C$2:$C$700,"&gt;0")),"🧩 لغز","🐶 كلب"))))</f>
        <v>🧩 لغز</v>
      </c>
      <c r="G32" s="49" t="n">
        <v>9</v>
      </c>
      <c r="H32" s="11" t="str">
        <f aca="false">IF(OR(NOT(INDEX('تحليل التكلفة والسعر'!$C$2:$C$700,MATCH("فطيرة ميكس بسطرمة وسدق بالكيري حجم اكبر",'تحليل التكلفة والسعر'!$B$2:$B$700,0))&gt;0),$G32=0),"بيانات غير كافية",IF(AND($G32&gt;=AVERAGEIFS($G$5:$G$175,$A$5:$A$175,$A32,$G$5:$G$175,"&gt;0"),INDEX('تحليل التكلفة والسعر'!$H$2:$H$700,MATCH("فطيرة ميكس بسطرمة وسدق بالكيري حجم اكبر",'تحليل التكلفة والسعر'!$B$2:$B$700,0))&gt;=AVERAGEIFS('تحليل التكلفة والسعر'!$H$2:$H$700,'تحليل التكلفة والسعر'!$A$2:$A$700,$A32,'تحليل التكلفة والسعر'!$C$2:$C$700,"&gt;0")),"⭐ نجم",IF(AND($G32&gt;=AVERAGEIFS($G$5:$G$175,$A$5:$A$175,$A32,$G$5:$G$175,"&gt;0"),INDEX('تحليل التكلفة والسعر'!$H$2:$H$700,MATCH("فطيرة ميكس بسطرمة وسدق بالكيري حجم اكبر",'تحليل التكلفة والسعر'!$B$2:$B$700,0))&lt;AVERAGEIFS('تحليل التكلفة والسعر'!$H$2:$H$700,'تحليل التكلفة والسعر'!$A$2:$A$700,$A32,'تحليل التكلفة والسعر'!$C$2:$C$700,"&gt;0")),"🐎 حصان عمل",IF(AND($G32&lt;AVERAGEIFS($G$5:$G$175,$A$5:$A$175,$A32,$G$5:$G$175,"&gt;0"),INDEX('تحليل التكلفة والسعر'!$H$2:$H$700,MATCH("فطيرة ميكس بسطرمة وسدق بالكيري حجم اكبر",'تحليل التكلفة والسعر'!$B$2:$B$700,0))&gt;=AVERAGEIFS('تحليل التكلفة والسعر'!$H$2:$H$700,'تحليل التكلفة والسعر'!$A$2:$A$700,$A32,'تحليل التكلفة والسعر'!$C$2:$C$700,"&gt;0")),"🧩 لغز","🐶 كلب"))))</f>
        <v>🧩 لغز</v>
      </c>
    </row>
    <row r="33" customFormat="false" ht="15" hidden="false" customHeight="true" outlineLevel="0" collapsed="false">
      <c r="A33" s="11" t="s">
        <v>10</v>
      </c>
      <c r="B33" s="11" t="s">
        <v>507</v>
      </c>
      <c r="C33" s="13" t="n">
        <f aca="false">IFERROR(INDEX('تحليل التكلفة والسعر'!$D$2:$D$700,MATCH("فطيرة مشكل جبن وسط",'تحليل التكلفة والسعر'!$B$2:$B$700,0)),"")</f>
        <v>145</v>
      </c>
      <c r="D33" s="12" t="n">
        <f aca="false">IFERROR(INDEX('تحليل التكلفة والسعر'!$I$2:$I$700,MATCH("فطيرة مشكل جبن وسط",'تحليل التكلفة والسعر'!$B$2:$B$700,0)),"")</f>
        <v>0.448424827586207</v>
      </c>
      <c r="E33" s="49" t="n">
        <v>65</v>
      </c>
      <c r="F33" s="11" t="str">
        <f aca="false">IF(OR(NOT(INDEX('تحليل التكلفة والسعر'!$C$2:$C$700,MATCH("فطيرة مشكل جبن وسط",'تحليل التكلفة والسعر'!$B$2:$B$700,0))&gt;0),$E33=0),"بيانات غير كافية",IF(AND($E33&gt;=AVERAGEIFS($E$5:$E$175,$A$5:$A$175,$A33,$E$5:$E$175,"&gt;0"),INDEX('تحليل التكلفة والسعر'!$H$2:$H$700,MATCH("فطيرة مشكل جبن وسط",'تحليل التكلفة والسعر'!$B$2:$B$700,0))&gt;=AVERAGEIFS('تحليل التكلفة والسعر'!$H$2:$H$700,'تحليل التكلفة والسعر'!$A$2:$A$700,$A33,'تحليل التكلفة والسعر'!$C$2:$C$700,"&gt;0")),"⭐ نجم",IF(AND($E33&gt;=AVERAGEIFS($E$5:$E$175,$A$5:$A$175,$A33,$E$5:$E$175,"&gt;0"),INDEX('تحليل التكلفة والسعر'!$H$2:$H$700,MATCH("فطيرة مشكل جبن وسط",'تحليل التكلفة والسعر'!$B$2:$B$700,0))&lt;AVERAGEIFS('تحليل التكلفة والسعر'!$H$2:$H$700,'تحليل التكلفة والسعر'!$A$2:$A$700,$A33,'تحليل التكلفة والسعر'!$C$2:$C$700,"&gt;0")),"🐎 حصان عمل",IF(AND($E33&lt;AVERAGEIFS($E$5:$E$175,$A$5:$A$175,$A33,$E$5:$E$175,"&gt;0"),INDEX('تحليل التكلفة والسعر'!$H$2:$H$700,MATCH("فطيرة مشكل جبن وسط",'تحليل التكلفة والسعر'!$B$2:$B$700,0))&gt;=AVERAGEIFS('تحليل التكلفة والسعر'!$H$2:$H$700,'تحليل التكلفة والسعر'!$A$2:$A$700,$A33,'تحليل التكلفة والسعر'!$C$2:$C$700,"&gt;0")),"🧩 لغز","🐶 كلب"))))</f>
        <v>🐶 كلب</v>
      </c>
      <c r="G33" s="49" t="n">
        <v>37</v>
      </c>
      <c r="H33" s="11" t="str">
        <f aca="false">IF(OR(NOT(INDEX('تحليل التكلفة والسعر'!$C$2:$C$700,MATCH("فطيرة مشكل جبن وسط",'تحليل التكلفة والسعر'!$B$2:$B$700,0))&gt;0),$G33=0),"بيانات غير كافية",IF(AND($G33&gt;=AVERAGEIFS($G$5:$G$175,$A$5:$A$175,$A33,$G$5:$G$175,"&gt;0"),INDEX('تحليل التكلفة والسعر'!$H$2:$H$700,MATCH("فطيرة مشكل جبن وسط",'تحليل التكلفة والسعر'!$B$2:$B$700,0))&gt;=AVERAGEIFS('تحليل التكلفة والسعر'!$H$2:$H$700,'تحليل التكلفة والسعر'!$A$2:$A$700,$A33,'تحليل التكلفة والسعر'!$C$2:$C$700,"&gt;0")),"⭐ نجم",IF(AND($G33&gt;=AVERAGEIFS($G$5:$G$175,$A$5:$A$175,$A33,$G$5:$G$175,"&gt;0"),INDEX('تحليل التكلفة والسعر'!$H$2:$H$700,MATCH("فطيرة مشكل جبن وسط",'تحليل التكلفة والسعر'!$B$2:$B$700,0))&lt;AVERAGEIFS('تحليل التكلفة والسعر'!$H$2:$H$700,'تحليل التكلفة والسعر'!$A$2:$A$700,$A33,'تحليل التكلفة والسعر'!$C$2:$C$700,"&gt;0")),"🐎 حصان عمل",IF(AND($G33&lt;AVERAGEIFS($G$5:$G$175,$A$5:$A$175,$A33,$G$5:$G$175,"&gt;0"),INDEX('تحليل التكلفة والسعر'!$H$2:$H$700,MATCH("فطيرة مشكل جبن وسط",'تحليل التكلفة والسعر'!$B$2:$B$700,0))&gt;=AVERAGEIFS('تحليل التكلفة والسعر'!$H$2:$H$700,'تحليل التكلفة والسعر'!$A$2:$A$700,$A33,'تحليل التكلفة والسعر'!$C$2:$C$700,"&gt;0")),"🧩 لغز","🐶 كلب"))))</f>
        <v>🐎 حصان عمل</v>
      </c>
    </row>
    <row r="34" customFormat="false" ht="15" hidden="false" customHeight="true" outlineLevel="0" collapsed="false">
      <c r="A34" s="11" t="s">
        <v>10</v>
      </c>
      <c r="B34" s="11" t="s">
        <v>522</v>
      </c>
      <c r="C34" s="13" t="n">
        <f aca="false">IFERROR(INDEX('تحليل التكلفة والسعر'!$D$2:$D$700,MATCH("فطيرة مشكل جبن حجم اكبر",'تحليل التكلفة والسعر'!$B$2:$B$700,0)),"")</f>
        <v>210</v>
      </c>
      <c r="D34" s="12" t="n">
        <f aca="false">IFERROR(INDEX('تحليل التكلفة والسعر'!$I$2:$I$700,MATCH("فطيرة مشكل جبن حجم اكبر",'تحليل التكلفة والسعر'!$B$2:$B$700,0)),"")</f>
        <v>0.45446</v>
      </c>
      <c r="E34" s="49" t="n">
        <v>19</v>
      </c>
      <c r="F34" s="11" t="str">
        <f aca="false">IF(OR(NOT(INDEX('تحليل التكلفة والسعر'!$C$2:$C$700,MATCH("فطيرة مشكل جبن حجم اكبر",'تحليل التكلفة والسعر'!$B$2:$B$700,0))&gt;0),$E34=0),"بيانات غير كافية",IF(AND($E34&gt;=AVERAGEIFS($E$5:$E$175,$A$5:$A$175,$A34,$E$5:$E$175,"&gt;0"),INDEX('تحليل التكلفة والسعر'!$H$2:$H$700,MATCH("فطيرة مشكل جبن حجم اكبر",'تحليل التكلفة والسعر'!$B$2:$B$700,0))&gt;=AVERAGEIFS('تحليل التكلفة والسعر'!$H$2:$H$700,'تحليل التكلفة والسعر'!$A$2:$A$700,$A34,'تحليل التكلفة والسعر'!$C$2:$C$700,"&gt;0")),"⭐ نجم",IF(AND($E34&gt;=AVERAGEIFS($E$5:$E$175,$A$5:$A$175,$A34,$E$5:$E$175,"&gt;0"),INDEX('تحليل التكلفة والسعر'!$H$2:$H$700,MATCH("فطيرة مشكل جبن حجم اكبر",'تحليل التكلفة والسعر'!$B$2:$B$700,0))&lt;AVERAGEIFS('تحليل التكلفة والسعر'!$H$2:$H$700,'تحليل التكلفة والسعر'!$A$2:$A$700,$A34,'تحليل التكلفة والسعر'!$C$2:$C$700,"&gt;0")),"🐎 حصان عمل",IF(AND($E34&lt;AVERAGEIFS($E$5:$E$175,$A$5:$A$175,$A34,$E$5:$E$175,"&gt;0"),INDEX('تحليل التكلفة والسعر'!$H$2:$H$700,MATCH("فطيرة مشكل جبن حجم اكبر",'تحليل التكلفة والسعر'!$B$2:$B$700,0))&gt;=AVERAGEIFS('تحليل التكلفة والسعر'!$H$2:$H$700,'تحليل التكلفة والسعر'!$A$2:$A$700,$A34,'تحليل التكلفة والسعر'!$C$2:$C$700,"&gt;0")),"🧩 لغز","🐶 كلب"))))</f>
        <v>🐶 كلب</v>
      </c>
      <c r="G34" s="49" t="n">
        <v>4</v>
      </c>
      <c r="H34" s="11" t="str">
        <f aca="false">IF(OR(NOT(INDEX('تحليل التكلفة والسعر'!$C$2:$C$700,MATCH("فطيرة مشكل جبن حجم اكبر",'تحليل التكلفة والسعر'!$B$2:$B$700,0))&gt;0),$G34=0),"بيانات غير كافية",IF(AND($G34&gt;=AVERAGEIFS($G$5:$G$175,$A$5:$A$175,$A34,$G$5:$G$175,"&gt;0"),INDEX('تحليل التكلفة والسعر'!$H$2:$H$700,MATCH("فطيرة مشكل جبن حجم اكبر",'تحليل التكلفة والسعر'!$B$2:$B$700,0))&gt;=AVERAGEIFS('تحليل التكلفة والسعر'!$H$2:$H$700,'تحليل التكلفة والسعر'!$A$2:$A$700,$A34,'تحليل التكلفة والسعر'!$C$2:$C$700,"&gt;0")),"⭐ نجم",IF(AND($G34&gt;=AVERAGEIFS($G$5:$G$175,$A$5:$A$175,$A34,$G$5:$G$175,"&gt;0"),INDEX('تحليل التكلفة والسعر'!$H$2:$H$700,MATCH("فطيرة مشكل جبن حجم اكبر",'تحليل التكلفة والسعر'!$B$2:$B$700,0))&lt;AVERAGEIFS('تحليل التكلفة والسعر'!$H$2:$H$700,'تحليل التكلفة والسعر'!$A$2:$A$700,$A34,'تحليل التكلفة والسعر'!$C$2:$C$700,"&gt;0")),"🐎 حصان عمل",IF(AND($G34&lt;AVERAGEIFS($G$5:$G$175,$A$5:$A$175,$A34,$G$5:$G$175,"&gt;0"),INDEX('تحليل التكلفة والسعر'!$H$2:$H$700,MATCH("فطيرة مشكل جبن حجم اكبر",'تحليل التكلفة والسعر'!$B$2:$B$700,0))&gt;=AVERAGEIFS('تحليل التكلفة والسعر'!$H$2:$H$700,'تحليل التكلفة والسعر'!$A$2:$A$700,$A34,'تحليل التكلفة والسعر'!$C$2:$C$700,"&gt;0")),"🧩 لغز","🐶 كلب"))))</f>
        <v>🐶 كلب</v>
      </c>
    </row>
    <row r="35" customFormat="false" ht="15" hidden="false" customHeight="true" outlineLevel="0" collapsed="false">
      <c r="A35" s="11" t="s">
        <v>10</v>
      </c>
      <c r="B35" s="11" t="s">
        <v>461</v>
      </c>
      <c r="C35" s="13" t="n">
        <f aca="false">IFERROR(INDEX('تحليل التكلفة والسعر'!$D$2:$D$700,MATCH("فطيرة فراخ رانش وسط",'تحليل التكلفة والسعر'!$B$2:$B$700,0)),"")</f>
        <v>160</v>
      </c>
      <c r="D35" s="12" t="n">
        <f aca="false">IFERROR(INDEX('تحليل التكلفة والسعر'!$I$2:$I$700,MATCH("فطيرة فراخ رانش وسط",'تحليل التكلفة والسعر'!$B$2:$B$700,0)),"")</f>
        <v>0.50806</v>
      </c>
      <c r="E35" s="49" t="n">
        <v>51</v>
      </c>
      <c r="F35" s="11" t="str">
        <f aca="false">IF(OR(NOT(INDEX('تحليل التكلفة والسعر'!$C$2:$C$700,MATCH("فطيرة فراخ رانش وسط",'تحليل التكلفة والسعر'!$B$2:$B$700,0))&gt;0),$E35=0),"بيانات غير كافية",IF(AND($E35&gt;=AVERAGEIFS($E$5:$E$175,$A$5:$A$175,$A35,$E$5:$E$175,"&gt;0"),INDEX('تحليل التكلفة والسعر'!$H$2:$H$700,MATCH("فطيرة فراخ رانش وسط",'تحليل التكلفة والسعر'!$B$2:$B$700,0))&gt;=AVERAGEIFS('تحليل التكلفة والسعر'!$H$2:$H$700,'تحليل التكلفة والسعر'!$A$2:$A$700,$A35,'تحليل التكلفة والسعر'!$C$2:$C$700,"&gt;0")),"⭐ نجم",IF(AND($E35&gt;=AVERAGEIFS($E$5:$E$175,$A$5:$A$175,$A35,$E$5:$E$175,"&gt;0"),INDEX('تحليل التكلفة والسعر'!$H$2:$H$700,MATCH("فطيرة فراخ رانش وسط",'تحليل التكلفة والسعر'!$B$2:$B$700,0))&lt;AVERAGEIFS('تحليل التكلفة والسعر'!$H$2:$H$700,'تحليل التكلفة والسعر'!$A$2:$A$700,$A35,'تحليل التكلفة والسعر'!$C$2:$C$700,"&gt;0")),"🐎 حصان عمل",IF(AND($E35&lt;AVERAGEIFS($E$5:$E$175,$A$5:$A$175,$A35,$E$5:$E$175,"&gt;0"),INDEX('تحليل التكلفة والسعر'!$H$2:$H$700,MATCH("فطيرة فراخ رانش وسط",'تحليل التكلفة والسعر'!$B$2:$B$700,0))&gt;=AVERAGEIFS('تحليل التكلفة والسعر'!$H$2:$H$700,'تحليل التكلفة والسعر'!$A$2:$A$700,$A35,'تحليل التكلفة والسعر'!$C$2:$C$700,"&gt;0")),"🧩 لغز","🐶 كلب"))))</f>
        <v>🐶 كلب</v>
      </c>
      <c r="G35" s="49" t="n">
        <v>13</v>
      </c>
      <c r="H35" s="11" t="str">
        <f aca="false">IF(OR(NOT(INDEX('تحليل التكلفة والسعر'!$C$2:$C$700,MATCH("فطيرة فراخ رانش وسط",'تحليل التكلفة والسعر'!$B$2:$B$700,0))&gt;0),$G35=0),"بيانات غير كافية",IF(AND($G35&gt;=AVERAGEIFS($G$5:$G$175,$A$5:$A$175,$A35,$G$5:$G$175,"&gt;0"),INDEX('تحليل التكلفة والسعر'!$H$2:$H$700,MATCH("فطيرة فراخ رانش وسط",'تحليل التكلفة والسعر'!$B$2:$B$700,0))&gt;=AVERAGEIFS('تحليل التكلفة والسعر'!$H$2:$H$700,'تحليل التكلفة والسعر'!$A$2:$A$700,$A35,'تحليل التكلفة والسعر'!$C$2:$C$700,"&gt;0")),"⭐ نجم",IF(AND($G35&gt;=AVERAGEIFS($G$5:$G$175,$A$5:$A$175,$A35,$G$5:$G$175,"&gt;0"),INDEX('تحليل التكلفة والسعر'!$H$2:$H$700,MATCH("فطيرة فراخ رانش وسط",'تحليل التكلفة والسعر'!$B$2:$B$700,0))&lt;AVERAGEIFS('تحليل التكلفة والسعر'!$H$2:$H$700,'تحليل التكلفة والسعر'!$A$2:$A$700,$A35,'تحليل التكلفة والسعر'!$C$2:$C$700,"&gt;0")),"🐎 حصان عمل",IF(AND($G35&lt;AVERAGEIFS($G$5:$G$175,$A$5:$A$175,$A35,$G$5:$G$175,"&gt;0"),INDEX('تحليل التكلفة والسعر'!$H$2:$H$700,MATCH("فطيرة فراخ رانش وسط",'تحليل التكلفة والسعر'!$B$2:$B$700,0))&gt;=AVERAGEIFS('تحليل التكلفة والسعر'!$H$2:$H$700,'تحليل التكلفة والسعر'!$A$2:$A$700,$A35,'تحليل التكلفة والسعر'!$C$2:$C$700,"&gt;0")),"🧩 لغز","🐶 كلب"))))</f>
        <v>🐶 كلب</v>
      </c>
    </row>
    <row r="36" customFormat="false" ht="15" hidden="false" customHeight="true" outlineLevel="0" collapsed="false">
      <c r="A36" s="11" t="s">
        <v>10</v>
      </c>
      <c r="B36" s="11" t="s">
        <v>447</v>
      </c>
      <c r="C36" s="13" t="n">
        <f aca="false">IFERROR(INDEX('تحليل التكلفة والسعر'!$D$2:$D$700,MATCH("فطيرة فراخ رانش حجم اكبر",'تحليل التكلفة والسعر'!$B$2:$B$700,0)),"")</f>
        <v>250</v>
      </c>
      <c r="D36" s="12" t="n">
        <f aca="false">IFERROR(INDEX('تحليل التكلفة والسعر'!$I$2:$I$700,MATCH("فطيرة فراخ رانش حجم اكبر",'تحليل التكلفة والسعر'!$B$2:$B$700,0)),"")</f>
        <v>0.5556196</v>
      </c>
      <c r="E36" s="49" t="n">
        <v>6</v>
      </c>
      <c r="F36" s="11" t="str">
        <f aca="false">IF(OR(NOT(INDEX('تحليل التكلفة والسعر'!$C$2:$C$700,MATCH("فطيرة فراخ رانش حجم اكبر",'تحليل التكلفة والسعر'!$B$2:$B$700,0))&gt;0),$E36=0),"بيانات غير كافية",IF(AND($E36&gt;=AVERAGEIFS($E$5:$E$175,$A$5:$A$175,$A36,$E$5:$E$175,"&gt;0"),INDEX('تحليل التكلفة والسعر'!$H$2:$H$700,MATCH("فطيرة فراخ رانش حجم اكبر",'تحليل التكلفة والسعر'!$B$2:$B$700,0))&gt;=AVERAGEIFS('تحليل التكلفة والسعر'!$H$2:$H$700,'تحليل التكلفة والسعر'!$A$2:$A$700,$A36,'تحليل التكلفة والسعر'!$C$2:$C$700,"&gt;0")),"⭐ نجم",IF(AND($E36&gt;=AVERAGEIFS($E$5:$E$175,$A$5:$A$175,$A36,$E$5:$E$175,"&gt;0"),INDEX('تحليل التكلفة والسعر'!$H$2:$H$700,MATCH("فطيرة فراخ رانش حجم اكبر",'تحليل التكلفة والسعر'!$B$2:$B$700,0))&lt;AVERAGEIFS('تحليل التكلفة والسعر'!$H$2:$H$700,'تحليل التكلفة والسعر'!$A$2:$A$700,$A36,'تحليل التكلفة والسعر'!$C$2:$C$700,"&gt;0")),"🐎 حصان عمل",IF(AND($E36&lt;AVERAGEIFS($E$5:$E$175,$A$5:$A$175,$A36,$E$5:$E$175,"&gt;0"),INDEX('تحليل التكلفة والسعر'!$H$2:$H$700,MATCH("فطيرة فراخ رانش حجم اكبر",'تحليل التكلفة والسعر'!$B$2:$B$700,0))&gt;=AVERAGEIFS('تحليل التكلفة والسعر'!$H$2:$H$700,'تحليل التكلفة والسعر'!$A$2:$A$700,$A36,'تحليل التكلفة والسعر'!$C$2:$C$700,"&gt;0")),"🧩 لغز","🐶 كلب"))))</f>
        <v>🧩 لغز</v>
      </c>
      <c r="G36" s="49" t="n">
        <v>1</v>
      </c>
      <c r="H36" s="11" t="str">
        <f aca="false">IF(OR(NOT(INDEX('تحليل التكلفة والسعر'!$C$2:$C$700,MATCH("فطيرة فراخ رانش حجم اكبر",'تحليل التكلفة والسعر'!$B$2:$B$700,0))&gt;0),$G36=0),"بيانات غير كافية",IF(AND($G36&gt;=AVERAGEIFS($G$5:$G$175,$A$5:$A$175,$A36,$G$5:$G$175,"&gt;0"),INDEX('تحليل التكلفة والسعر'!$H$2:$H$700,MATCH("فطيرة فراخ رانش حجم اكبر",'تحليل التكلفة والسعر'!$B$2:$B$700,0))&gt;=AVERAGEIFS('تحليل التكلفة والسعر'!$H$2:$H$700,'تحليل التكلفة والسعر'!$A$2:$A$700,$A36,'تحليل التكلفة والسعر'!$C$2:$C$700,"&gt;0")),"⭐ نجم",IF(AND($G36&gt;=AVERAGEIFS($G$5:$G$175,$A$5:$A$175,$A36,$G$5:$G$175,"&gt;0"),INDEX('تحليل التكلفة والسعر'!$H$2:$H$700,MATCH("فطيرة فراخ رانش حجم اكبر",'تحليل التكلفة والسعر'!$B$2:$B$700,0))&lt;AVERAGEIFS('تحليل التكلفة والسعر'!$H$2:$H$700,'تحليل التكلفة والسعر'!$A$2:$A$700,$A36,'تحليل التكلفة والسعر'!$C$2:$C$700,"&gt;0")),"🐎 حصان عمل",IF(AND($G36&lt;AVERAGEIFS($G$5:$G$175,$A$5:$A$175,$A36,$G$5:$G$175,"&gt;0"),INDEX('تحليل التكلفة والسعر'!$H$2:$H$700,MATCH("فطيرة فراخ رانش حجم اكبر",'تحليل التكلفة والسعر'!$B$2:$B$700,0))&gt;=AVERAGEIFS('تحليل التكلفة والسعر'!$H$2:$H$700,'تحليل التكلفة والسعر'!$A$2:$A$700,$A36,'تحليل التكلفة والسعر'!$C$2:$C$700,"&gt;0")),"🧩 لغز","🐶 كلب"))))</f>
        <v>🧩 لغز</v>
      </c>
    </row>
    <row r="37" customFormat="false" ht="15" hidden="false" customHeight="true" outlineLevel="0" collapsed="false">
      <c r="A37" s="11" t="s">
        <v>10</v>
      </c>
      <c r="B37" s="11" t="s">
        <v>463</v>
      </c>
      <c r="C37" s="13" t="n">
        <f aca="false">IFERROR(INDEX('تحليل التكلفة والسعر'!$D$2:$D$700,MATCH("فطيرة فراخ باربيكيو وسط",'تحليل التكلفة والسعر'!$B$2:$B$700,0)),"")</f>
        <v>160</v>
      </c>
      <c r="D37" s="12" t="n">
        <f aca="false">IFERROR(INDEX('تحليل التكلفة والسعر'!$I$2:$I$700,MATCH("فطيرة فراخ باربيكيو وسط",'تحليل التكلفة والسعر'!$B$2:$B$700,0)),"")</f>
        <v>0.529935</v>
      </c>
      <c r="E37" s="49" t="n">
        <v>3</v>
      </c>
      <c r="F37" s="11" t="str">
        <f aca="false">IF(OR(NOT(INDEX('تحليل التكلفة والسعر'!$C$2:$C$700,MATCH("فطيرة فراخ باربيكيو وسط",'تحليل التكلفة والسعر'!$B$2:$B$700,0))&gt;0),$E37=0),"بيانات غير كافية",IF(AND($E37&gt;=AVERAGEIFS($E$5:$E$175,$A$5:$A$175,$A37,$E$5:$E$175,"&gt;0"),INDEX('تحليل التكلفة والسعر'!$H$2:$H$700,MATCH("فطيرة فراخ باربيكيو وسط",'تحليل التكلفة والسعر'!$B$2:$B$700,0))&gt;=AVERAGEIFS('تحليل التكلفة والسعر'!$H$2:$H$700,'تحليل التكلفة والسعر'!$A$2:$A$700,$A37,'تحليل التكلفة والسعر'!$C$2:$C$700,"&gt;0")),"⭐ نجم",IF(AND($E37&gt;=AVERAGEIFS($E$5:$E$175,$A$5:$A$175,$A37,$E$5:$E$175,"&gt;0"),INDEX('تحليل التكلفة والسعر'!$H$2:$H$700,MATCH("فطيرة فراخ باربيكيو وسط",'تحليل التكلفة والسعر'!$B$2:$B$700,0))&lt;AVERAGEIFS('تحليل التكلفة والسعر'!$H$2:$H$700,'تحليل التكلفة والسعر'!$A$2:$A$700,$A37,'تحليل التكلفة والسعر'!$C$2:$C$700,"&gt;0")),"🐎 حصان عمل",IF(AND($E37&lt;AVERAGEIFS($E$5:$E$175,$A$5:$A$175,$A37,$E$5:$E$175,"&gt;0"),INDEX('تحليل التكلفة والسعر'!$H$2:$H$700,MATCH("فطيرة فراخ باربيكيو وسط",'تحليل التكلفة والسعر'!$B$2:$B$700,0))&gt;=AVERAGEIFS('تحليل التكلفة والسعر'!$H$2:$H$700,'تحليل التكلفة والسعر'!$A$2:$A$700,$A37,'تحليل التكلفة والسعر'!$C$2:$C$700,"&gt;0")),"🧩 لغز","🐶 كلب"))))</f>
        <v>🐶 كلب</v>
      </c>
      <c r="G37" s="49" t="n">
        <v>4</v>
      </c>
      <c r="H37" s="11" t="str">
        <f aca="false">IF(OR(NOT(INDEX('تحليل التكلفة والسعر'!$C$2:$C$700,MATCH("فطيرة فراخ باربيكيو وسط",'تحليل التكلفة والسعر'!$B$2:$B$700,0))&gt;0),$G37=0),"بيانات غير كافية",IF(AND($G37&gt;=AVERAGEIFS($G$5:$G$175,$A$5:$A$175,$A37,$G$5:$G$175,"&gt;0"),INDEX('تحليل التكلفة والسعر'!$H$2:$H$700,MATCH("فطيرة فراخ باربيكيو وسط",'تحليل التكلفة والسعر'!$B$2:$B$700,0))&gt;=AVERAGEIFS('تحليل التكلفة والسعر'!$H$2:$H$700,'تحليل التكلفة والسعر'!$A$2:$A$700,$A37,'تحليل التكلفة والسعر'!$C$2:$C$700,"&gt;0")),"⭐ نجم",IF(AND($G37&gt;=AVERAGEIFS($G$5:$G$175,$A$5:$A$175,$A37,$G$5:$G$175,"&gt;0"),INDEX('تحليل التكلفة والسعر'!$H$2:$H$700,MATCH("فطيرة فراخ باربيكيو وسط",'تحليل التكلفة والسعر'!$B$2:$B$700,0))&lt;AVERAGEIFS('تحليل التكلفة والسعر'!$H$2:$H$700,'تحليل التكلفة والسعر'!$A$2:$A$700,$A37,'تحليل التكلفة والسعر'!$C$2:$C$700,"&gt;0")),"🐎 حصان عمل",IF(AND($G37&lt;AVERAGEIFS($G$5:$G$175,$A$5:$A$175,$A37,$G$5:$G$175,"&gt;0"),INDEX('تحليل التكلفة والسعر'!$H$2:$H$700,MATCH("فطيرة فراخ باربيكيو وسط",'تحليل التكلفة والسعر'!$B$2:$B$700,0))&gt;=AVERAGEIFS('تحليل التكلفة والسعر'!$H$2:$H$700,'تحليل التكلفة والسعر'!$A$2:$A$700,$A37,'تحليل التكلفة والسعر'!$C$2:$C$700,"&gt;0")),"🧩 لغز","🐶 كلب"))))</f>
        <v>🐶 كلب</v>
      </c>
    </row>
    <row r="38" customFormat="false" ht="15" hidden="false" customHeight="true" outlineLevel="0" collapsed="false">
      <c r="A38" s="11" t="s">
        <v>10</v>
      </c>
      <c r="B38" s="11" t="s">
        <v>448</v>
      </c>
      <c r="C38" s="13" t="n">
        <f aca="false">IFERROR(INDEX('تحليل التكلفة والسعر'!$D$2:$D$700,MATCH("فطيرة فراخ باربيكيو حجم اكبر",'تحليل التكلفة والسعر'!$B$2:$B$700,0)),"")</f>
        <v>250</v>
      </c>
      <c r="D38" s="12" t="n">
        <f aca="false">IFERROR(INDEX('تحليل التكلفة والسعر'!$I$2:$I$700,MATCH("فطيرة فراخ باربيكيو حجم اكبر",'تحليل التكلفة والسعر'!$B$2:$B$700,0)),"")</f>
        <v>0.5766196</v>
      </c>
      <c r="E38" s="49" t="n">
        <v>1</v>
      </c>
      <c r="F38" s="11" t="str">
        <f aca="false">IF(OR(NOT(INDEX('تحليل التكلفة والسعر'!$C$2:$C$700,MATCH("فطيرة فراخ باربيكيو حجم اكبر",'تحليل التكلفة والسعر'!$B$2:$B$700,0))&gt;0),$E38=0),"بيانات غير كافية",IF(AND($E38&gt;=AVERAGEIFS($E$5:$E$175,$A$5:$A$175,$A38,$E$5:$E$175,"&gt;0"),INDEX('تحليل التكلفة والسعر'!$H$2:$H$700,MATCH("فطيرة فراخ باربيكيو حجم اكبر",'تحليل التكلفة والسعر'!$B$2:$B$700,0))&gt;=AVERAGEIFS('تحليل التكلفة والسعر'!$H$2:$H$700,'تحليل التكلفة والسعر'!$A$2:$A$700,$A38,'تحليل التكلفة والسعر'!$C$2:$C$700,"&gt;0")),"⭐ نجم",IF(AND($E38&gt;=AVERAGEIFS($E$5:$E$175,$A$5:$A$175,$A38,$E$5:$E$175,"&gt;0"),INDEX('تحليل التكلفة والسعر'!$H$2:$H$700,MATCH("فطيرة فراخ باربيكيو حجم اكبر",'تحليل التكلفة والسعر'!$B$2:$B$700,0))&lt;AVERAGEIFS('تحليل التكلفة والسعر'!$H$2:$H$700,'تحليل التكلفة والسعر'!$A$2:$A$700,$A38,'تحليل التكلفة والسعر'!$C$2:$C$700,"&gt;0")),"🐎 حصان عمل",IF(AND($E38&lt;AVERAGEIFS($E$5:$E$175,$A$5:$A$175,$A38,$E$5:$E$175,"&gt;0"),INDEX('تحليل التكلفة والسعر'!$H$2:$H$700,MATCH("فطيرة فراخ باربيكيو حجم اكبر",'تحليل التكلفة والسعر'!$B$2:$B$700,0))&gt;=AVERAGEIFS('تحليل التكلفة والسعر'!$H$2:$H$700,'تحليل التكلفة والسعر'!$A$2:$A$700,$A38,'تحليل التكلفة والسعر'!$C$2:$C$700,"&gt;0")),"🧩 لغز","🐶 كلب"))))</f>
        <v>🧩 لغز</v>
      </c>
      <c r="G38" s="49" t="n">
        <v>3</v>
      </c>
      <c r="H38" s="11" t="str">
        <f aca="false">IF(OR(NOT(INDEX('تحليل التكلفة والسعر'!$C$2:$C$700,MATCH("فطيرة فراخ باربيكيو حجم اكبر",'تحليل التكلفة والسعر'!$B$2:$B$700,0))&gt;0),$G38=0),"بيانات غير كافية",IF(AND($G38&gt;=AVERAGEIFS($G$5:$G$175,$A$5:$A$175,$A38,$G$5:$G$175,"&gt;0"),INDEX('تحليل التكلفة والسعر'!$H$2:$H$700,MATCH("فطيرة فراخ باربيكيو حجم اكبر",'تحليل التكلفة والسعر'!$B$2:$B$700,0))&gt;=AVERAGEIFS('تحليل التكلفة والسعر'!$H$2:$H$700,'تحليل التكلفة والسعر'!$A$2:$A$700,$A38,'تحليل التكلفة والسعر'!$C$2:$C$700,"&gt;0")),"⭐ نجم",IF(AND($G38&gt;=AVERAGEIFS($G$5:$G$175,$A$5:$A$175,$A38,$G$5:$G$175,"&gt;0"),INDEX('تحليل التكلفة والسعر'!$H$2:$H$700,MATCH("فطيرة فراخ باربيكيو حجم اكبر",'تحليل التكلفة والسعر'!$B$2:$B$700,0))&lt;AVERAGEIFS('تحليل التكلفة والسعر'!$H$2:$H$700,'تحليل التكلفة والسعر'!$A$2:$A$700,$A38,'تحليل التكلفة والسعر'!$C$2:$C$700,"&gt;0")),"🐎 حصان عمل",IF(AND($G38&lt;AVERAGEIFS($G$5:$G$175,$A$5:$A$175,$A38,$G$5:$G$175,"&gt;0"),INDEX('تحليل التكلفة والسعر'!$H$2:$H$700,MATCH("فطيرة فراخ باربيكيو حجم اكبر",'تحليل التكلفة والسعر'!$B$2:$B$700,0))&gt;=AVERAGEIFS('تحليل التكلفة والسعر'!$H$2:$H$700,'تحليل التكلفة والسعر'!$A$2:$A$700,$A38,'تحليل التكلفة والسعر'!$C$2:$C$700,"&gt;0")),"🧩 لغز","🐶 كلب"))))</f>
        <v>🧩 لغز</v>
      </c>
    </row>
    <row r="39" customFormat="false" ht="15" hidden="false" customHeight="true" outlineLevel="0" collapsed="false">
      <c r="A39" s="11" t="s">
        <v>10</v>
      </c>
      <c r="B39" s="11" t="s">
        <v>445</v>
      </c>
      <c r="C39" s="13" t="n">
        <f aca="false">IFERROR(INDEX('تحليل التكلفة والسعر'!$D$2:$D$700,MATCH("فطيرة فراخ كريسبي رانش وسط",'تحليل التكلفة والسعر'!$B$2:$B$700,0)),"")</f>
        <v>150</v>
      </c>
      <c r="D39" s="12" t="n">
        <f aca="false">IFERROR(INDEX('تحليل التكلفة والسعر'!$I$2:$I$700,MATCH("فطيرة فراخ كريسبي رانش وسط",'تحليل التكلفة والسعر'!$B$2:$B$700,0)),"")</f>
        <v>0.464626</v>
      </c>
      <c r="E39" s="49" t="n">
        <v>0</v>
      </c>
      <c r="F39" s="11" t="str">
        <f aca="false">IF(OR(NOT(INDEX('تحليل التكلفة والسعر'!$C$2:$C$700,MATCH("فطيرة فراخ كريسبي رانش وسط",'تحليل التكلفة والسعر'!$B$2:$B$700,0))&gt;0),$E39=0),"بيانات غير كافية",IF(AND($E39&gt;=AVERAGEIFS($E$5:$E$175,$A$5:$A$175,$A39,$E$5:$E$175,"&gt;0"),INDEX('تحليل التكلفة والسعر'!$H$2:$H$700,MATCH("فطيرة فراخ كريسبي رانش وسط",'تحليل التكلفة والسعر'!$B$2:$B$700,0))&gt;=AVERAGEIFS('تحليل التكلفة والسعر'!$H$2:$H$700,'تحليل التكلفة والسعر'!$A$2:$A$700,$A39,'تحليل التكلفة والسعر'!$C$2:$C$700,"&gt;0")),"⭐ نجم",IF(AND($E39&gt;=AVERAGEIFS($E$5:$E$175,$A$5:$A$175,$A39,$E$5:$E$175,"&gt;0"),INDEX('تحليل التكلفة والسعر'!$H$2:$H$700,MATCH("فطيرة فراخ كريسبي رانش وسط",'تحليل التكلفة والسعر'!$B$2:$B$700,0))&lt;AVERAGEIFS('تحليل التكلفة والسعر'!$H$2:$H$700,'تحليل التكلفة والسعر'!$A$2:$A$700,$A39,'تحليل التكلفة والسعر'!$C$2:$C$700,"&gt;0")),"🐎 حصان عمل",IF(AND($E39&lt;AVERAGEIFS($E$5:$E$175,$A$5:$A$175,$A39,$E$5:$E$175,"&gt;0"),INDEX('تحليل التكلفة والسعر'!$H$2:$H$700,MATCH("فطيرة فراخ كريسبي رانش وسط",'تحليل التكلفة والسعر'!$B$2:$B$700,0))&gt;=AVERAGEIFS('تحليل التكلفة والسعر'!$H$2:$H$700,'تحليل التكلفة والسعر'!$A$2:$A$700,$A39,'تحليل التكلفة والسعر'!$C$2:$C$700,"&gt;0")),"🧩 لغز","🐶 كلب"))))</f>
        <v>بيانات غير كافية</v>
      </c>
      <c r="G39" s="49" t="n">
        <v>0</v>
      </c>
      <c r="H39" s="11" t="str">
        <f aca="false">IF(OR(NOT(INDEX('تحليل التكلفة والسعر'!$C$2:$C$700,MATCH("فطيرة فراخ كريسبي رانش وسط",'تحليل التكلفة والسعر'!$B$2:$B$700,0))&gt;0),$G39=0),"بيانات غير كافية",IF(AND($G39&gt;=AVERAGEIFS($G$5:$G$175,$A$5:$A$175,$A39,$G$5:$G$175,"&gt;0"),INDEX('تحليل التكلفة والسعر'!$H$2:$H$700,MATCH("فطيرة فراخ كريسبي رانش وسط",'تحليل التكلفة والسعر'!$B$2:$B$700,0))&gt;=AVERAGEIFS('تحليل التكلفة والسعر'!$H$2:$H$700,'تحليل التكلفة والسعر'!$A$2:$A$700,$A39,'تحليل التكلفة والسعر'!$C$2:$C$700,"&gt;0")),"⭐ نجم",IF(AND($G39&gt;=AVERAGEIFS($G$5:$G$175,$A$5:$A$175,$A39,$G$5:$G$175,"&gt;0"),INDEX('تحليل التكلفة والسعر'!$H$2:$H$700,MATCH("فطيرة فراخ كريسبي رانش وسط",'تحليل التكلفة والسعر'!$B$2:$B$700,0))&lt;AVERAGEIFS('تحليل التكلفة والسعر'!$H$2:$H$700,'تحليل التكلفة والسعر'!$A$2:$A$700,$A39,'تحليل التكلفة والسعر'!$C$2:$C$700,"&gt;0")),"🐎 حصان عمل",IF(AND($G39&lt;AVERAGEIFS($G$5:$G$175,$A$5:$A$175,$A39,$G$5:$G$175,"&gt;0"),INDEX('تحليل التكلفة والسعر'!$H$2:$H$700,MATCH("فطيرة فراخ كريسبي رانش وسط",'تحليل التكلفة والسعر'!$B$2:$B$700,0))&gt;=AVERAGEIFS('تحليل التكلفة والسعر'!$H$2:$H$700,'تحليل التكلفة والسعر'!$A$2:$A$700,$A39,'تحليل التكلفة والسعر'!$C$2:$C$700,"&gt;0")),"🧩 لغز","🐶 كلب"))))</f>
        <v>بيانات غير كافية</v>
      </c>
    </row>
    <row r="40" customFormat="false" ht="15" hidden="false" customHeight="true" outlineLevel="0" collapsed="false">
      <c r="A40" s="11" t="s">
        <v>10</v>
      </c>
      <c r="B40" s="11" t="s">
        <v>392</v>
      </c>
      <c r="C40" s="13" t="n">
        <f aca="false">IFERROR(INDEX('تحليل التكلفة والسعر'!$D$2:$D$700,MATCH("فطيرة فراخ كريسبي رانش حجم اكبر",'تحليل التكلفة والسعر'!$B$2:$B$700,0)),"")</f>
        <v>230</v>
      </c>
      <c r="D40" s="12" t="n">
        <f aca="false">IFERROR(INDEX('تحليل التكلفة والسعر'!$I$2:$I$700,MATCH("فطيرة فراخ كريسبي رانش حجم اكبر",'تحليل التكلفة والسعر'!$B$2:$B$700,0)),"")</f>
        <v>0.578734347826087</v>
      </c>
      <c r="E40" s="49" t="n">
        <v>0</v>
      </c>
      <c r="F40" s="11" t="str">
        <f aca="false">IF(OR(NOT(INDEX('تحليل التكلفة والسعر'!$C$2:$C$700,MATCH("فطيرة فراخ كريسبي رانش حجم اكبر",'تحليل التكلفة والسعر'!$B$2:$B$700,0))&gt;0),$E40=0),"بيانات غير كافية",IF(AND($E40&gt;=AVERAGEIFS($E$5:$E$175,$A$5:$A$175,$A40,$E$5:$E$175,"&gt;0"),INDEX('تحليل التكلفة والسعر'!$H$2:$H$700,MATCH("فطيرة فراخ كريسبي رانش حجم اكبر",'تحليل التكلفة والسعر'!$B$2:$B$700,0))&gt;=AVERAGEIFS('تحليل التكلفة والسعر'!$H$2:$H$700,'تحليل التكلفة والسعر'!$A$2:$A$700,$A40,'تحليل التكلفة والسعر'!$C$2:$C$700,"&gt;0")),"⭐ نجم",IF(AND($E40&gt;=AVERAGEIFS($E$5:$E$175,$A$5:$A$175,$A40,$E$5:$E$175,"&gt;0"),INDEX('تحليل التكلفة والسعر'!$H$2:$H$700,MATCH("فطيرة فراخ كريسبي رانش حجم اكبر",'تحليل التكلفة والسعر'!$B$2:$B$700,0))&lt;AVERAGEIFS('تحليل التكلفة والسعر'!$H$2:$H$700,'تحليل التكلفة والسعر'!$A$2:$A$700,$A40,'تحليل التكلفة والسعر'!$C$2:$C$700,"&gt;0")),"🐎 حصان عمل",IF(AND($E40&lt;AVERAGEIFS($E$5:$E$175,$A$5:$A$175,$A40,$E$5:$E$175,"&gt;0"),INDEX('تحليل التكلفة والسعر'!$H$2:$H$700,MATCH("فطيرة فراخ كريسبي رانش حجم اكبر",'تحليل التكلفة والسعر'!$B$2:$B$700,0))&gt;=AVERAGEIFS('تحليل التكلفة والسعر'!$H$2:$H$700,'تحليل التكلفة والسعر'!$A$2:$A$700,$A40,'تحليل التكلفة والسعر'!$C$2:$C$700,"&gt;0")),"🧩 لغز","🐶 كلب"))))</f>
        <v>بيانات غير كافية</v>
      </c>
      <c r="G40" s="49" t="n">
        <v>0</v>
      </c>
      <c r="H40" s="11" t="str">
        <f aca="false">IF(OR(NOT(INDEX('تحليل التكلفة والسعر'!$C$2:$C$700,MATCH("فطيرة فراخ كريسبي رانش حجم اكبر",'تحليل التكلفة والسعر'!$B$2:$B$700,0))&gt;0),$G40=0),"بيانات غير كافية",IF(AND($G40&gt;=AVERAGEIFS($G$5:$G$175,$A$5:$A$175,$A40,$G$5:$G$175,"&gt;0"),INDEX('تحليل التكلفة والسعر'!$H$2:$H$700,MATCH("فطيرة فراخ كريسبي رانش حجم اكبر",'تحليل التكلفة والسعر'!$B$2:$B$700,0))&gt;=AVERAGEIFS('تحليل التكلفة والسعر'!$H$2:$H$700,'تحليل التكلفة والسعر'!$A$2:$A$700,$A40,'تحليل التكلفة والسعر'!$C$2:$C$700,"&gt;0")),"⭐ نجم",IF(AND($G40&gt;=AVERAGEIFS($G$5:$G$175,$A$5:$A$175,$A40,$G$5:$G$175,"&gt;0"),INDEX('تحليل التكلفة والسعر'!$H$2:$H$700,MATCH("فطيرة فراخ كريسبي رانش حجم اكبر",'تحليل التكلفة والسعر'!$B$2:$B$700,0))&lt;AVERAGEIFS('تحليل التكلفة والسعر'!$H$2:$H$700,'تحليل التكلفة والسعر'!$A$2:$A$700,$A40,'تحليل التكلفة والسعر'!$C$2:$C$700,"&gt;0")),"🐎 حصان عمل",IF(AND($G40&lt;AVERAGEIFS($G$5:$G$175,$A$5:$A$175,$A40,$G$5:$G$175,"&gt;0"),INDEX('تحليل التكلفة والسعر'!$H$2:$H$700,MATCH("فطيرة فراخ كريسبي رانش حجم اكبر",'تحليل التكلفة والسعر'!$B$2:$B$700,0))&gt;=AVERAGEIFS('تحليل التكلفة والسعر'!$H$2:$H$700,'تحليل التكلفة والسعر'!$A$2:$A$700,$A40,'تحليل التكلفة والسعر'!$C$2:$C$700,"&gt;0")),"🧩 لغز","🐶 كلب"))))</f>
        <v>بيانات غير كافية</v>
      </c>
    </row>
    <row r="41" customFormat="false" ht="15" hidden="false" customHeight="true" outlineLevel="0" collapsed="false">
      <c r="A41" s="11" t="s">
        <v>10</v>
      </c>
      <c r="B41" s="11" t="s">
        <v>459</v>
      </c>
      <c r="C41" s="13" t="n">
        <f aca="false">IFERROR(INDEX('تحليل التكلفة والسعر'!$D$2:$D$700,MATCH("فطيرة فراخ كريسبي شيدر وسط",'تحليل التكلفة والسعر'!$B$2:$B$700,0)),"")</f>
        <v>150</v>
      </c>
      <c r="D41" s="12" t="n">
        <f aca="false">IFERROR(INDEX('تحليل التكلفة والسعر'!$I$2:$I$700,MATCH("فطيرة فراخ كريسبي شيدر وسط",'تحليل التكلفة والسعر'!$B$2:$B$700,0)),"")</f>
        <v>0.441292666666667</v>
      </c>
      <c r="E41" s="49" t="n">
        <v>0</v>
      </c>
      <c r="F41" s="11" t="str">
        <f aca="false">IF(OR(NOT(INDEX('تحليل التكلفة والسعر'!$C$2:$C$700,MATCH("فطيرة فراخ كريسبي شيدر وسط",'تحليل التكلفة والسعر'!$B$2:$B$700,0))&gt;0),$E41=0),"بيانات غير كافية",IF(AND($E41&gt;=AVERAGEIFS($E$5:$E$175,$A$5:$A$175,$A41,$E$5:$E$175,"&gt;0"),INDEX('تحليل التكلفة والسعر'!$H$2:$H$700,MATCH("فطيرة فراخ كريسبي شيدر وسط",'تحليل التكلفة والسعر'!$B$2:$B$700,0))&gt;=AVERAGEIFS('تحليل التكلفة والسعر'!$H$2:$H$700,'تحليل التكلفة والسعر'!$A$2:$A$700,$A41,'تحليل التكلفة والسعر'!$C$2:$C$700,"&gt;0")),"⭐ نجم",IF(AND($E41&gt;=AVERAGEIFS($E$5:$E$175,$A$5:$A$175,$A41,$E$5:$E$175,"&gt;0"),INDEX('تحليل التكلفة والسعر'!$H$2:$H$700,MATCH("فطيرة فراخ كريسبي شيدر وسط",'تحليل التكلفة والسعر'!$B$2:$B$700,0))&lt;AVERAGEIFS('تحليل التكلفة والسعر'!$H$2:$H$700,'تحليل التكلفة والسعر'!$A$2:$A$700,$A41,'تحليل التكلفة والسعر'!$C$2:$C$700,"&gt;0")),"🐎 حصان عمل",IF(AND($E41&lt;AVERAGEIFS($E$5:$E$175,$A$5:$A$175,$A41,$E$5:$E$175,"&gt;0"),INDEX('تحليل التكلفة والسعر'!$H$2:$H$700,MATCH("فطيرة فراخ كريسبي شيدر وسط",'تحليل التكلفة والسعر'!$B$2:$B$700,0))&gt;=AVERAGEIFS('تحليل التكلفة والسعر'!$H$2:$H$700,'تحليل التكلفة والسعر'!$A$2:$A$700,$A41,'تحليل التكلفة والسعر'!$C$2:$C$700,"&gt;0")),"🧩 لغز","🐶 كلب"))))</f>
        <v>بيانات غير كافية</v>
      </c>
      <c r="G41" s="49" t="n">
        <v>0</v>
      </c>
      <c r="H41" s="11" t="str">
        <f aca="false">IF(OR(NOT(INDEX('تحليل التكلفة والسعر'!$C$2:$C$700,MATCH("فطيرة فراخ كريسبي شيدر وسط",'تحليل التكلفة والسعر'!$B$2:$B$700,0))&gt;0),$G41=0),"بيانات غير كافية",IF(AND($G41&gt;=AVERAGEIFS($G$5:$G$175,$A$5:$A$175,$A41,$G$5:$G$175,"&gt;0"),INDEX('تحليل التكلفة والسعر'!$H$2:$H$700,MATCH("فطيرة فراخ كريسبي شيدر وسط",'تحليل التكلفة والسعر'!$B$2:$B$700,0))&gt;=AVERAGEIFS('تحليل التكلفة والسعر'!$H$2:$H$700,'تحليل التكلفة والسعر'!$A$2:$A$700,$A41,'تحليل التكلفة والسعر'!$C$2:$C$700,"&gt;0")),"⭐ نجم",IF(AND($G41&gt;=AVERAGEIFS($G$5:$G$175,$A$5:$A$175,$A41,$G$5:$G$175,"&gt;0"),INDEX('تحليل التكلفة والسعر'!$H$2:$H$700,MATCH("فطيرة فراخ كريسبي شيدر وسط",'تحليل التكلفة والسعر'!$B$2:$B$700,0))&lt;AVERAGEIFS('تحليل التكلفة والسعر'!$H$2:$H$700,'تحليل التكلفة والسعر'!$A$2:$A$700,$A41,'تحليل التكلفة والسعر'!$C$2:$C$700,"&gt;0")),"🐎 حصان عمل",IF(AND($G41&lt;AVERAGEIFS($G$5:$G$175,$A$5:$A$175,$A41,$G$5:$G$175,"&gt;0"),INDEX('تحليل التكلفة والسعر'!$H$2:$H$700,MATCH("فطيرة فراخ كريسبي شيدر وسط",'تحليل التكلفة والسعر'!$B$2:$B$700,0))&gt;=AVERAGEIFS('تحليل التكلفة والسعر'!$H$2:$H$700,'تحليل التكلفة والسعر'!$A$2:$A$700,$A41,'تحليل التكلفة والسعر'!$C$2:$C$700,"&gt;0")),"🧩 لغز","🐶 كلب"))))</f>
        <v>بيانات غير كافية</v>
      </c>
    </row>
    <row r="42" customFormat="false" ht="15" hidden="false" customHeight="true" outlineLevel="0" collapsed="false">
      <c r="A42" s="11" t="s">
        <v>10</v>
      </c>
      <c r="B42" s="11" t="s">
        <v>397</v>
      </c>
      <c r="C42" s="13" t="n">
        <f aca="false">IFERROR(INDEX('تحليل التكلفة والسعر'!$D$2:$D$700,MATCH("فطيرة فراخ كريسبي شيدر حجم اكبر",'تحليل التكلفة والسعر'!$B$2:$B$700,0)),"")</f>
        <v>230</v>
      </c>
      <c r="D42" s="12" t="n">
        <f aca="false">IFERROR(INDEX('تحليل التكلفة والسعر'!$I$2:$I$700,MATCH("فطيرة فراخ كريسبي شيدر حجم اكبر",'تحليل التكلفة والسعر'!$B$2:$B$700,0)),"")</f>
        <v>0.555908260869565</v>
      </c>
      <c r="E42" s="49" t="n">
        <v>0</v>
      </c>
      <c r="F42" s="11" t="str">
        <f aca="false">IF(OR(NOT(INDEX('تحليل التكلفة والسعر'!$C$2:$C$700,MATCH("فطيرة فراخ كريسبي شيدر حجم اكبر",'تحليل التكلفة والسعر'!$B$2:$B$700,0))&gt;0),$E42=0),"بيانات غير كافية",IF(AND($E42&gt;=AVERAGEIFS($E$5:$E$175,$A$5:$A$175,$A42,$E$5:$E$175,"&gt;0"),INDEX('تحليل التكلفة والسعر'!$H$2:$H$700,MATCH("فطيرة فراخ كريسبي شيدر حجم اكبر",'تحليل التكلفة والسعر'!$B$2:$B$700,0))&gt;=AVERAGEIFS('تحليل التكلفة والسعر'!$H$2:$H$700,'تحليل التكلفة والسعر'!$A$2:$A$700,$A42,'تحليل التكلفة والسعر'!$C$2:$C$700,"&gt;0")),"⭐ نجم",IF(AND($E42&gt;=AVERAGEIFS($E$5:$E$175,$A$5:$A$175,$A42,$E$5:$E$175,"&gt;0"),INDEX('تحليل التكلفة والسعر'!$H$2:$H$700,MATCH("فطيرة فراخ كريسبي شيدر حجم اكبر",'تحليل التكلفة والسعر'!$B$2:$B$700,0))&lt;AVERAGEIFS('تحليل التكلفة والسعر'!$H$2:$H$700,'تحليل التكلفة والسعر'!$A$2:$A$700,$A42,'تحليل التكلفة والسعر'!$C$2:$C$700,"&gt;0")),"🐎 حصان عمل",IF(AND($E42&lt;AVERAGEIFS($E$5:$E$175,$A$5:$A$175,$A42,$E$5:$E$175,"&gt;0"),INDEX('تحليل التكلفة والسعر'!$H$2:$H$700,MATCH("فطيرة فراخ كريسبي شيدر حجم اكبر",'تحليل التكلفة والسعر'!$B$2:$B$700,0))&gt;=AVERAGEIFS('تحليل التكلفة والسعر'!$H$2:$H$700,'تحليل التكلفة والسعر'!$A$2:$A$700,$A42,'تحليل التكلفة والسعر'!$C$2:$C$700,"&gt;0")),"🧩 لغز","🐶 كلب"))))</f>
        <v>بيانات غير كافية</v>
      </c>
      <c r="G42" s="49" t="n">
        <v>0</v>
      </c>
      <c r="H42" s="11" t="str">
        <f aca="false">IF(OR(NOT(INDEX('تحليل التكلفة والسعر'!$C$2:$C$700,MATCH("فطيرة فراخ كريسبي شيدر حجم اكبر",'تحليل التكلفة والسعر'!$B$2:$B$700,0))&gt;0),$G42=0),"بيانات غير كافية",IF(AND($G42&gt;=AVERAGEIFS($G$5:$G$175,$A$5:$A$175,$A42,$G$5:$G$175,"&gt;0"),INDEX('تحليل التكلفة والسعر'!$H$2:$H$700,MATCH("فطيرة فراخ كريسبي شيدر حجم اكبر",'تحليل التكلفة والسعر'!$B$2:$B$700,0))&gt;=AVERAGEIFS('تحليل التكلفة والسعر'!$H$2:$H$700,'تحليل التكلفة والسعر'!$A$2:$A$700,$A42,'تحليل التكلفة والسعر'!$C$2:$C$700,"&gt;0")),"⭐ نجم",IF(AND($G42&gt;=AVERAGEIFS($G$5:$G$175,$A$5:$A$175,$A42,$G$5:$G$175,"&gt;0"),INDEX('تحليل التكلفة والسعر'!$H$2:$H$700,MATCH("فطيرة فراخ كريسبي شيدر حجم اكبر",'تحليل التكلفة والسعر'!$B$2:$B$700,0))&lt;AVERAGEIFS('تحليل التكلفة والسعر'!$H$2:$H$700,'تحليل التكلفة والسعر'!$A$2:$A$700,$A42,'تحليل التكلفة والسعر'!$C$2:$C$700,"&gt;0")),"🐎 حصان عمل",IF(AND($G42&lt;AVERAGEIFS($G$5:$G$175,$A$5:$A$175,$A42,$G$5:$G$175,"&gt;0"),INDEX('تحليل التكلفة والسعر'!$H$2:$H$700,MATCH("فطيرة فراخ كريسبي شيدر حجم اكبر",'تحليل التكلفة والسعر'!$B$2:$B$700,0))&gt;=AVERAGEIFS('تحليل التكلفة والسعر'!$H$2:$H$700,'تحليل التكلفة والسعر'!$A$2:$A$700,$A42,'تحليل التكلفة والسعر'!$C$2:$C$700,"&gt;0")),"🧩 لغز","🐶 كلب"))))</f>
        <v>بيانات غير كافية</v>
      </c>
    </row>
    <row r="43" customFormat="false" ht="15" hidden="false" customHeight="true" outlineLevel="0" collapsed="false">
      <c r="A43" s="11" t="s">
        <v>10</v>
      </c>
      <c r="B43" s="11" t="s">
        <v>479</v>
      </c>
      <c r="C43" s="13" t="n">
        <f aca="false">IFERROR(INDEX('تحليل التكلفة والسعر'!$D$2:$D$700,MATCH("فطيرة مشكل لحوم النكش وسط",'تحليل التكلفة والسعر'!$B$2:$B$700,0)),"")</f>
        <v>230</v>
      </c>
      <c r="D43" s="12" t="n">
        <f aca="false">IFERROR(INDEX('تحليل التكلفة والسعر'!$I$2:$I$700,MATCH("فطيرة مشكل لحوم النكش وسط",'تحليل التكلفة والسعر'!$B$2:$B$700,0)),"")</f>
        <v>0.45987652173913</v>
      </c>
      <c r="E43" s="49" t="n">
        <v>0</v>
      </c>
      <c r="F43" s="11" t="str">
        <f aca="false">IF(OR(NOT(INDEX('تحليل التكلفة والسعر'!$C$2:$C$700,MATCH("فطيرة مشكل لحوم النكش وسط",'تحليل التكلفة والسعر'!$B$2:$B$700,0))&gt;0),$E43=0),"بيانات غير كافية",IF(AND($E43&gt;=AVERAGEIFS($E$5:$E$175,$A$5:$A$175,$A43,$E$5:$E$175,"&gt;0"),INDEX('تحليل التكلفة والسعر'!$H$2:$H$700,MATCH("فطيرة مشكل لحوم النكش وسط",'تحليل التكلفة والسعر'!$B$2:$B$700,0))&gt;=AVERAGEIFS('تحليل التكلفة والسعر'!$H$2:$H$700,'تحليل التكلفة والسعر'!$A$2:$A$700,$A43,'تحليل التكلفة والسعر'!$C$2:$C$700,"&gt;0")),"⭐ نجم",IF(AND($E43&gt;=AVERAGEIFS($E$5:$E$175,$A$5:$A$175,$A43,$E$5:$E$175,"&gt;0"),INDEX('تحليل التكلفة والسعر'!$H$2:$H$700,MATCH("فطيرة مشكل لحوم النكش وسط",'تحليل التكلفة والسعر'!$B$2:$B$700,0))&lt;AVERAGEIFS('تحليل التكلفة والسعر'!$H$2:$H$700,'تحليل التكلفة والسعر'!$A$2:$A$700,$A43,'تحليل التكلفة والسعر'!$C$2:$C$700,"&gt;0")),"🐎 حصان عمل",IF(AND($E43&lt;AVERAGEIFS($E$5:$E$175,$A$5:$A$175,$A43,$E$5:$E$175,"&gt;0"),INDEX('تحليل التكلفة والسعر'!$H$2:$H$700,MATCH("فطيرة مشكل لحوم النكش وسط",'تحليل التكلفة والسعر'!$B$2:$B$700,0))&gt;=AVERAGEIFS('تحليل التكلفة والسعر'!$H$2:$H$700,'تحليل التكلفة والسعر'!$A$2:$A$700,$A43,'تحليل التكلفة والسعر'!$C$2:$C$700,"&gt;0")),"🧩 لغز","🐶 كلب"))))</f>
        <v>بيانات غير كافية</v>
      </c>
      <c r="G43" s="49" t="n">
        <v>0</v>
      </c>
      <c r="H43" s="11" t="str">
        <f aca="false">IF(OR(NOT(INDEX('تحليل التكلفة والسعر'!$C$2:$C$700,MATCH("فطيرة مشكل لحوم النكش وسط",'تحليل التكلفة والسعر'!$B$2:$B$700,0))&gt;0),$G43=0),"بيانات غير كافية",IF(AND($G43&gt;=AVERAGEIFS($G$5:$G$175,$A$5:$A$175,$A43,$G$5:$G$175,"&gt;0"),INDEX('تحليل التكلفة والسعر'!$H$2:$H$700,MATCH("فطيرة مشكل لحوم النكش وسط",'تحليل التكلفة والسعر'!$B$2:$B$700,0))&gt;=AVERAGEIFS('تحليل التكلفة والسعر'!$H$2:$H$700,'تحليل التكلفة والسعر'!$A$2:$A$700,$A43,'تحليل التكلفة والسعر'!$C$2:$C$700,"&gt;0")),"⭐ نجم",IF(AND($G43&gt;=AVERAGEIFS($G$5:$G$175,$A$5:$A$175,$A43,$G$5:$G$175,"&gt;0"),INDEX('تحليل التكلفة والسعر'!$H$2:$H$700,MATCH("فطيرة مشكل لحوم النكش وسط",'تحليل التكلفة والسعر'!$B$2:$B$700,0))&lt;AVERAGEIFS('تحليل التكلفة والسعر'!$H$2:$H$700,'تحليل التكلفة والسعر'!$A$2:$A$700,$A43,'تحليل التكلفة والسعر'!$C$2:$C$700,"&gt;0")),"🐎 حصان عمل",IF(AND($G43&lt;AVERAGEIFS($G$5:$G$175,$A$5:$A$175,$A43,$G$5:$G$175,"&gt;0"),INDEX('تحليل التكلفة والسعر'!$H$2:$H$700,MATCH("فطيرة مشكل لحوم النكش وسط",'تحليل التكلفة والسعر'!$B$2:$B$700,0))&gt;=AVERAGEIFS('تحليل التكلفة والسعر'!$H$2:$H$700,'تحليل التكلفة والسعر'!$A$2:$A$700,$A43,'تحليل التكلفة والسعر'!$C$2:$C$700,"&gt;0")),"🧩 لغز","🐶 كلب"))))</f>
        <v>بيانات غير كافية</v>
      </c>
    </row>
    <row r="44" customFormat="false" ht="15" hidden="false" customHeight="true" outlineLevel="0" collapsed="false">
      <c r="A44" s="11" t="s">
        <v>10</v>
      </c>
      <c r="B44" s="11" t="s">
        <v>476</v>
      </c>
      <c r="C44" s="13" t="n">
        <f aca="false">IFERROR(INDEX('تحليل التكلفة والسعر'!$D$2:$D$700,MATCH("فطيرة مشكل لحوم النكش حجم اكبر",'تحليل التكلفة والسعر'!$B$2:$B$700,0)),"")</f>
        <v>340</v>
      </c>
      <c r="D44" s="12" t="n">
        <f aca="false">IFERROR(INDEX('تحليل التكلفة والسعر'!$I$2:$I$700,MATCH("فطيرة مشكل لحوم النكش حجم اكبر",'تحليل التكلفة والسعر'!$B$2:$B$700,0)),"")</f>
        <v>0.531676176470588</v>
      </c>
      <c r="E44" s="49" t="n">
        <v>0</v>
      </c>
      <c r="F44" s="11" t="str">
        <f aca="false">IF(OR(NOT(INDEX('تحليل التكلفة والسعر'!$C$2:$C$700,MATCH("فطيرة مشكل لحوم النكش حجم اكبر",'تحليل التكلفة والسعر'!$B$2:$B$700,0))&gt;0),$E44=0),"بيانات غير كافية",IF(AND($E44&gt;=AVERAGEIFS($E$5:$E$175,$A$5:$A$175,$A44,$E$5:$E$175,"&gt;0"),INDEX('تحليل التكلفة والسعر'!$H$2:$H$700,MATCH("فطيرة مشكل لحوم النكش حجم اكبر",'تحليل التكلفة والسعر'!$B$2:$B$700,0))&gt;=AVERAGEIFS('تحليل التكلفة والسعر'!$H$2:$H$700,'تحليل التكلفة والسعر'!$A$2:$A$700,$A44,'تحليل التكلفة والسعر'!$C$2:$C$700,"&gt;0")),"⭐ نجم",IF(AND($E44&gt;=AVERAGEIFS($E$5:$E$175,$A$5:$A$175,$A44,$E$5:$E$175,"&gt;0"),INDEX('تحليل التكلفة والسعر'!$H$2:$H$700,MATCH("فطيرة مشكل لحوم النكش حجم اكبر",'تحليل التكلفة والسعر'!$B$2:$B$700,0))&lt;AVERAGEIFS('تحليل التكلفة والسعر'!$H$2:$H$700,'تحليل التكلفة والسعر'!$A$2:$A$700,$A44,'تحليل التكلفة والسعر'!$C$2:$C$700,"&gt;0")),"🐎 حصان عمل",IF(AND($E44&lt;AVERAGEIFS($E$5:$E$175,$A$5:$A$175,$A44,$E$5:$E$175,"&gt;0"),INDEX('تحليل التكلفة والسعر'!$H$2:$H$700,MATCH("فطيرة مشكل لحوم النكش حجم اكبر",'تحليل التكلفة والسعر'!$B$2:$B$700,0))&gt;=AVERAGEIFS('تحليل التكلفة والسعر'!$H$2:$H$700,'تحليل التكلفة والسعر'!$A$2:$A$700,$A44,'تحليل التكلفة والسعر'!$C$2:$C$700,"&gt;0")),"🧩 لغز","🐶 كلب"))))</f>
        <v>بيانات غير كافية</v>
      </c>
      <c r="G44" s="49" t="n">
        <v>0</v>
      </c>
      <c r="H44" s="11" t="str">
        <f aca="false">IF(OR(NOT(INDEX('تحليل التكلفة والسعر'!$C$2:$C$700,MATCH("فطيرة مشكل لحوم النكش حجم اكبر",'تحليل التكلفة والسعر'!$B$2:$B$700,0))&gt;0),$G44=0),"بيانات غير كافية",IF(AND($G44&gt;=AVERAGEIFS($G$5:$G$175,$A$5:$A$175,$A44,$G$5:$G$175,"&gt;0"),INDEX('تحليل التكلفة والسعر'!$H$2:$H$700,MATCH("فطيرة مشكل لحوم النكش حجم اكبر",'تحليل التكلفة والسعر'!$B$2:$B$700,0))&gt;=AVERAGEIFS('تحليل التكلفة والسعر'!$H$2:$H$700,'تحليل التكلفة والسعر'!$A$2:$A$700,$A44,'تحليل التكلفة والسعر'!$C$2:$C$700,"&gt;0")),"⭐ نجم",IF(AND($G44&gt;=AVERAGEIFS($G$5:$G$175,$A$5:$A$175,$A44,$G$5:$G$175,"&gt;0"),INDEX('تحليل التكلفة والسعر'!$H$2:$H$700,MATCH("فطيرة مشكل لحوم النكش حجم اكبر",'تحليل التكلفة والسعر'!$B$2:$B$700,0))&lt;AVERAGEIFS('تحليل التكلفة والسعر'!$H$2:$H$700,'تحليل التكلفة والسعر'!$A$2:$A$700,$A44,'تحليل التكلفة والسعر'!$C$2:$C$700,"&gt;0")),"🐎 حصان عمل",IF(AND($G44&lt;AVERAGEIFS($G$5:$G$175,$A$5:$A$175,$A44,$G$5:$G$175,"&gt;0"),INDEX('تحليل التكلفة والسعر'!$H$2:$H$700,MATCH("فطيرة مشكل لحوم النكش حجم اكبر",'تحليل التكلفة والسعر'!$B$2:$B$700,0))&gt;=AVERAGEIFS('تحليل التكلفة والسعر'!$H$2:$H$700,'تحليل التكلفة والسعر'!$A$2:$A$700,$A44,'تحليل التكلفة والسعر'!$C$2:$C$700,"&gt;0")),"🧩 لغز","🐶 كلب"))))</f>
        <v>بيانات غير كافية</v>
      </c>
    </row>
    <row r="45" customFormat="false" ht="15" hidden="false" customHeight="true" outlineLevel="0" collapsed="false">
      <c r="A45" s="11" t="s">
        <v>10</v>
      </c>
      <c r="B45" s="11" t="s">
        <v>460</v>
      </c>
      <c r="C45" s="13" t="n">
        <f aca="false">IFERROR(INDEX('تحليل التكلفة والسعر'!$D$2:$D$700,MATCH("فطيرة مشلتت بالسمنة البلدي صغير",'تحليل التكلفة والسعر'!$B$2:$B$700,0)),"")</f>
        <v>70</v>
      </c>
      <c r="D45" s="12" t="n">
        <f aca="false">IFERROR(INDEX('تحليل التكلفة والسعر'!$I$2:$I$700,MATCH("فطيرة مشلتت بالسمنة البلدي صغير",'تحليل التكلفة والسعر'!$B$2:$B$700,0)),"")</f>
        <v>0.38883</v>
      </c>
      <c r="E45" s="49" t="n">
        <v>0</v>
      </c>
      <c r="F45" s="11" t="str">
        <f aca="false">IF(OR(NOT(INDEX('تحليل التكلفة والسعر'!$C$2:$C$700,MATCH("فطيرة مشلتت بالسمنة البلدي صغير",'تحليل التكلفة والسعر'!$B$2:$B$700,0))&gt;0),$E45=0),"بيانات غير كافية",IF(AND($E45&gt;=AVERAGEIFS($E$5:$E$175,$A$5:$A$175,$A45,$E$5:$E$175,"&gt;0"),INDEX('تحليل التكلفة والسعر'!$H$2:$H$700,MATCH("فطيرة مشلتت بالسمنة البلدي صغير",'تحليل التكلفة والسعر'!$B$2:$B$700,0))&gt;=AVERAGEIFS('تحليل التكلفة والسعر'!$H$2:$H$700,'تحليل التكلفة والسعر'!$A$2:$A$700,$A45,'تحليل التكلفة والسعر'!$C$2:$C$700,"&gt;0")),"⭐ نجم",IF(AND($E45&gt;=AVERAGEIFS($E$5:$E$175,$A$5:$A$175,$A45,$E$5:$E$175,"&gt;0"),INDEX('تحليل التكلفة والسعر'!$H$2:$H$700,MATCH("فطيرة مشلتت بالسمنة البلدي صغير",'تحليل التكلفة والسعر'!$B$2:$B$700,0))&lt;AVERAGEIFS('تحليل التكلفة والسعر'!$H$2:$H$700,'تحليل التكلفة والسعر'!$A$2:$A$700,$A45,'تحليل التكلفة والسعر'!$C$2:$C$700,"&gt;0")),"🐎 حصان عمل",IF(AND($E45&lt;AVERAGEIFS($E$5:$E$175,$A$5:$A$175,$A45,$E$5:$E$175,"&gt;0"),INDEX('تحليل التكلفة والسعر'!$H$2:$H$700,MATCH("فطيرة مشلتت بالسمنة البلدي صغير",'تحليل التكلفة والسعر'!$B$2:$B$700,0))&gt;=AVERAGEIFS('تحليل التكلفة والسعر'!$H$2:$H$700,'تحليل التكلفة والسعر'!$A$2:$A$700,$A45,'تحليل التكلفة والسعر'!$C$2:$C$700,"&gt;0")),"🧩 لغز","🐶 كلب"))))</f>
        <v>بيانات غير كافية</v>
      </c>
      <c r="G45" s="49" t="n">
        <v>0</v>
      </c>
      <c r="H45" s="11" t="str">
        <f aca="false">IF(OR(NOT(INDEX('تحليل التكلفة والسعر'!$C$2:$C$700,MATCH("فطيرة مشلتت بالسمنة البلدي صغير",'تحليل التكلفة والسعر'!$B$2:$B$700,0))&gt;0),$G45=0),"بيانات غير كافية",IF(AND($G45&gt;=AVERAGEIFS($G$5:$G$175,$A$5:$A$175,$A45,$G$5:$G$175,"&gt;0"),INDEX('تحليل التكلفة والسعر'!$H$2:$H$700,MATCH("فطيرة مشلتت بالسمنة البلدي صغير",'تحليل التكلفة والسعر'!$B$2:$B$700,0))&gt;=AVERAGEIFS('تحليل التكلفة والسعر'!$H$2:$H$700,'تحليل التكلفة والسعر'!$A$2:$A$700,$A45,'تحليل التكلفة والسعر'!$C$2:$C$700,"&gt;0")),"⭐ نجم",IF(AND($G45&gt;=AVERAGEIFS($G$5:$G$175,$A$5:$A$175,$A45,$G$5:$G$175,"&gt;0"),INDEX('تحليل التكلفة والسعر'!$H$2:$H$700,MATCH("فطيرة مشلتت بالسمنة البلدي صغير",'تحليل التكلفة والسعر'!$B$2:$B$700,0))&lt;AVERAGEIFS('تحليل التكلفة والسعر'!$H$2:$H$700,'تحليل التكلفة والسعر'!$A$2:$A$700,$A45,'تحليل التكلفة والسعر'!$C$2:$C$700,"&gt;0")),"🐎 حصان عمل",IF(AND($G45&lt;AVERAGEIFS($G$5:$G$175,$A$5:$A$175,$A45,$G$5:$G$175,"&gt;0"),INDEX('تحليل التكلفة والسعر'!$H$2:$H$700,MATCH("فطيرة مشلتت بالسمنة البلدي صغير",'تحليل التكلفة والسعر'!$B$2:$B$700,0))&gt;=AVERAGEIFS('تحليل التكلفة والسعر'!$H$2:$H$700,'تحليل التكلفة والسعر'!$A$2:$A$700,$A45,'تحليل التكلفة والسعر'!$C$2:$C$700,"&gt;0")),"🧩 لغز","🐶 كلب"))))</f>
        <v>بيانات غير كافية</v>
      </c>
    </row>
    <row r="46" customFormat="false" ht="15" hidden="false" customHeight="true" outlineLevel="0" collapsed="false">
      <c r="A46" s="11" t="s">
        <v>10</v>
      </c>
      <c r="B46" s="11" t="s">
        <v>468</v>
      </c>
      <c r="C46" s="13" t="n">
        <f aca="false">IFERROR(INDEX('تحليل التكلفة والسعر'!$D$2:$D$700,MATCH("فطيرة مشلتت بالسمنة البلدي وسط",'تحليل التكلفة والسعر'!$B$2:$B$700,0)),"")</f>
        <v>110</v>
      </c>
      <c r="D46" s="12" t="n">
        <f aca="false">IFERROR(INDEX('تحليل التكلفة والسعر'!$I$2:$I$700,MATCH("فطيرة مشلتت بالسمنة البلدي وسط",'تحليل التكلفة والسعر'!$B$2:$B$700,0)),"")</f>
        <v>0.41471</v>
      </c>
      <c r="E46" s="49" t="n">
        <v>0</v>
      </c>
      <c r="F46" s="11" t="str">
        <f aca="false">IF(OR(NOT(INDEX('تحليل التكلفة والسعر'!$C$2:$C$700,MATCH("فطيرة مشلتت بالسمنة البلدي وسط",'تحليل التكلفة والسعر'!$B$2:$B$700,0))&gt;0),$E46=0),"بيانات غير كافية",IF(AND($E46&gt;=AVERAGEIFS($E$5:$E$175,$A$5:$A$175,$A46,$E$5:$E$175,"&gt;0"),INDEX('تحليل التكلفة والسعر'!$H$2:$H$700,MATCH("فطيرة مشلتت بالسمنة البلدي وسط",'تحليل التكلفة والسعر'!$B$2:$B$700,0))&gt;=AVERAGEIFS('تحليل التكلفة والسعر'!$H$2:$H$700,'تحليل التكلفة والسعر'!$A$2:$A$700,$A46,'تحليل التكلفة والسعر'!$C$2:$C$700,"&gt;0")),"⭐ نجم",IF(AND($E46&gt;=AVERAGEIFS($E$5:$E$175,$A$5:$A$175,$A46,$E$5:$E$175,"&gt;0"),INDEX('تحليل التكلفة والسعر'!$H$2:$H$700,MATCH("فطيرة مشلتت بالسمنة البلدي وسط",'تحليل التكلفة والسعر'!$B$2:$B$700,0))&lt;AVERAGEIFS('تحليل التكلفة والسعر'!$H$2:$H$700,'تحليل التكلفة والسعر'!$A$2:$A$700,$A46,'تحليل التكلفة والسعر'!$C$2:$C$700,"&gt;0")),"🐎 حصان عمل",IF(AND($E46&lt;AVERAGEIFS($E$5:$E$175,$A$5:$A$175,$A46,$E$5:$E$175,"&gt;0"),INDEX('تحليل التكلفة والسعر'!$H$2:$H$700,MATCH("فطيرة مشلتت بالسمنة البلدي وسط",'تحليل التكلفة والسعر'!$B$2:$B$700,0))&gt;=AVERAGEIFS('تحليل التكلفة والسعر'!$H$2:$H$700,'تحليل التكلفة والسعر'!$A$2:$A$700,$A46,'تحليل التكلفة والسعر'!$C$2:$C$700,"&gt;0")),"🧩 لغز","🐶 كلب"))))</f>
        <v>بيانات غير كافية</v>
      </c>
      <c r="G46" s="49" t="n">
        <v>0</v>
      </c>
      <c r="H46" s="11" t="str">
        <f aca="false">IF(OR(NOT(INDEX('تحليل التكلفة والسعر'!$C$2:$C$700,MATCH("فطيرة مشلتت بالسمنة البلدي وسط",'تحليل التكلفة والسعر'!$B$2:$B$700,0))&gt;0),$G46=0),"بيانات غير كافية",IF(AND($G46&gt;=AVERAGEIFS($G$5:$G$175,$A$5:$A$175,$A46,$G$5:$G$175,"&gt;0"),INDEX('تحليل التكلفة والسعر'!$H$2:$H$700,MATCH("فطيرة مشلتت بالسمنة البلدي وسط",'تحليل التكلفة والسعر'!$B$2:$B$700,0))&gt;=AVERAGEIFS('تحليل التكلفة والسعر'!$H$2:$H$700,'تحليل التكلفة والسعر'!$A$2:$A$700,$A46,'تحليل التكلفة والسعر'!$C$2:$C$700,"&gt;0")),"⭐ نجم",IF(AND($G46&gt;=AVERAGEIFS($G$5:$G$175,$A$5:$A$175,$A46,$G$5:$G$175,"&gt;0"),INDEX('تحليل التكلفة والسعر'!$H$2:$H$700,MATCH("فطيرة مشلتت بالسمنة البلدي وسط",'تحليل التكلفة والسعر'!$B$2:$B$700,0))&lt;AVERAGEIFS('تحليل التكلفة والسعر'!$H$2:$H$700,'تحليل التكلفة والسعر'!$A$2:$A$700,$A46,'تحليل التكلفة والسعر'!$C$2:$C$700,"&gt;0")),"🐎 حصان عمل",IF(AND($G46&lt;AVERAGEIFS($G$5:$G$175,$A$5:$A$175,$A46,$G$5:$G$175,"&gt;0"),INDEX('تحليل التكلفة والسعر'!$H$2:$H$700,MATCH("فطيرة مشلتت بالسمنة البلدي وسط",'تحليل التكلفة والسعر'!$B$2:$B$700,0))&gt;=AVERAGEIFS('تحليل التكلفة والسعر'!$H$2:$H$700,'تحليل التكلفة والسعر'!$A$2:$A$700,$A46,'تحليل التكلفة والسعر'!$C$2:$C$700,"&gt;0")),"🧩 لغز","🐶 كلب"))))</f>
        <v>بيانات غير كافية</v>
      </c>
    </row>
    <row r="47" customFormat="false" ht="15" hidden="false" customHeight="true" outlineLevel="0" collapsed="false">
      <c r="A47" s="11" t="s">
        <v>10</v>
      </c>
      <c r="B47" s="11" t="s">
        <v>474</v>
      </c>
      <c r="C47" s="13" t="n">
        <f aca="false">IFERROR(INDEX('تحليل التكلفة والسعر'!$D$2:$D$700,MATCH("فطيرة مشلتت بالسمنة البلدي كبير",'تحليل التكلفة والسعر'!$B$2:$B$700,0)),"")</f>
        <v>170</v>
      </c>
      <c r="D47" s="12" t="n">
        <f aca="false">IFERROR(INDEX('تحليل التكلفة والسعر'!$I$2:$I$700,MATCH("فطيرة مشلتت بالسمنة البلدي كبير",'تحليل التكلفة والسعر'!$B$2:$B$700,0)),"")</f>
        <v>0.470694705882353</v>
      </c>
      <c r="E47" s="49" t="n">
        <v>0</v>
      </c>
      <c r="F47" s="11" t="str">
        <f aca="false">IF(OR(NOT(INDEX('تحليل التكلفة والسعر'!$C$2:$C$700,MATCH("فطيرة مشلتت بالسمنة البلدي كبير",'تحليل التكلفة والسعر'!$B$2:$B$700,0))&gt;0),$E47=0),"بيانات غير كافية",IF(AND($E47&gt;=AVERAGEIFS($E$5:$E$175,$A$5:$A$175,$A47,$E$5:$E$175,"&gt;0"),INDEX('تحليل التكلفة والسعر'!$H$2:$H$700,MATCH("فطيرة مشلتت بالسمنة البلدي كبير",'تحليل التكلفة والسعر'!$B$2:$B$700,0))&gt;=AVERAGEIFS('تحليل التكلفة والسعر'!$H$2:$H$700,'تحليل التكلفة والسعر'!$A$2:$A$700,$A47,'تحليل التكلفة والسعر'!$C$2:$C$700,"&gt;0")),"⭐ نجم",IF(AND($E47&gt;=AVERAGEIFS($E$5:$E$175,$A$5:$A$175,$A47,$E$5:$E$175,"&gt;0"),INDEX('تحليل التكلفة والسعر'!$H$2:$H$700,MATCH("فطيرة مشلتت بالسمنة البلدي كبير",'تحليل التكلفة والسعر'!$B$2:$B$700,0))&lt;AVERAGEIFS('تحليل التكلفة والسعر'!$H$2:$H$700,'تحليل التكلفة والسعر'!$A$2:$A$700,$A47,'تحليل التكلفة والسعر'!$C$2:$C$700,"&gt;0")),"🐎 حصان عمل",IF(AND($E47&lt;AVERAGEIFS($E$5:$E$175,$A$5:$A$175,$A47,$E$5:$E$175,"&gt;0"),INDEX('تحليل التكلفة والسعر'!$H$2:$H$700,MATCH("فطيرة مشلتت بالسمنة البلدي كبير",'تحليل التكلفة والسعر'!$B$2:$B$700,0))&gt;=AVERAGEIFS('تحليل التكلفة والسعر'!$H$2:$H$700,'تحليل التكلفة والسعر'!$A$2:$A$700,$A47,'تحليل التكلفة والسعر'!$C$2:$C$700,"&gt;0")),"🧩 لغز","🐶 كلب"))))</f>
        <v>بيانات غير كافية</v>
      </c>
      <c r="G47" s="49" t="n">
        <v>0</v>
      </c>
      <c r="H47" s="11" t="str">
        <f aca="false">IF(OR(NOT(INDEX('تحليل التكلفة والسعر'!$C$2:$C$700,MATCH("فطيرة مشلتت بالسمنة البلدي كبير",'تحليل التكلفة والسعر'!$B$2:$B$700,0))&gt;0),$G47=0),"بيانات غير كافية",IF(AND($G47&gt;=AVERAGEIFS($G$5:$G$175,$A$5:$A$175,$A47,$G$5:$G$175,"&gt;0"),INDEX('تحليل التكلفة والسعر'!$H$2:$H$700,MATCH("فطيرة مشلتت بالسمنة البلدي كبير",'تحليل التكلفة والسعر'!$B$2:$B$700,0))&gt;=AVERAGEIFS('تحليل التكلفة والسعر'!$H$2:$H$700,'تحليل التكلفة والسعر'!$A$2:$A$700,$A47,'تحليل التكلفة والسعر'!$C$2:$C$700,"&gt;0")),"⭐ نجم",IF(AND($G47&gt;=AVERAGEIFS($G$5:$G$175,$A$5:$A$175,$A47,$G$5:$G$175,"&gt;0"),INDEX('تحليل التكلفة والسعر'!$H$2:$H$700,MATCH("فطيرة مشلتت بالسمنة البلدي كبير",'تحليل التكلفة والسعر'!$B$2:$B$700,0))&lt;AVERAGEIFS('تحليل التكلفة والسعر'!$H$2:$H$700,'تحليل التكلفة والسعر'!$A$2:$A$700,$A47,'تحليل التكلفة والسعر'!$C$2:$C$700,"&gt;0")),"🐎 حصان عمل",IF(AND($G47&lt;AVERAGEIFS($G$5:$G$175,$A$5:$A$175,$A47,$G$5:$G$175,"&gt;0"),INDEX('تحليل التكلفة والسعر'!$H$2:$H$700,MATCH("فطيرة مشلتت بالسمنة البلدي كبير",'تحليل التكلفة والسعر'!$B$2:$B$700,0))&gt;=AVERAGEIFS('تحليل التكلفة والسعر'!$H$2:$H$700,'تحليل التكلفة والسعر'!$A$2:$A$700,$A47,'تحليل التكلفة والسعر'!$C$2:$C$700,"&gt;0")),"🧩 لغز","🐶 كلب"))))</f>
        <v>بيانات غير كافية</v>
      </c>
    </row>
    <row r="48" customFormat="false" ht="15" hidden="false" customHeight="true" outlineLevel="0" collapsed="false">
      <c r="A48" s="11" t="s">
        <v>10</v>
      </c>
      <c r="B48" s="11" t="s">
        <v>500</v>
      </c>
      <c r="C48" s="13" t="n">
        <f aca="false">IFERROR(INDEX('تحليل التكلفة والسعر'!$D$2:$D$700,MATCH("فطيرة جمبري وسط",'تحليل التكلفة والسعر'!$B$2:$B$700,0)),"")</f>
        <v>250</v>
      </c>
      <c r="D48" s="12" t="n">
        <f aca="false">IFERROR(INDEX('تحليل التكلفة والسعر'!$I$2:$I$700,MATCH("فطيرة جمبري وسط",'تحليل التكلفة والسعر'!$B$2:$B$700,0)),"")</f>
        <v>0.4830864</v>
      </c>
      <c r="E48" s="49" t="n">
        <v>2</v>
      </c>
      <c r="F48" s="11" t="str">
        <f aca="false">IF(OR(NOT(INDEX('تحليل التكلفة والسعر'!$C$2:$C$700,MATCH("فطيرة جمبري وسط",'تحليل التكلفة والسعر'!$B$2:$B$700,0))&gt;0),$E48=0),"بيانات غير كافية",IF(AND($E48&gt;=AVERAGEIFS($E$5:$E$175,$A$5:$A$175,$A48,$E$5:$E$175,"&gt;0"),INDEX('تحليل التكلفة والسعر'!$H$2:$H$700,MATCH("فطيرة جمبري وسط",'تحليل التكلفة والسعر'!$B$2:$B$700,0))&gt;=AVERAGEIFS('تحليل التكلفة والسعر'!$H$2:$H$700,'تحليل التكلفة والسعر'!$A$2:$A$700,$A48,'تحليل التكلفة والسعر'!$C$2:$C$700,"&gt;0")),"⭐ نجم",IF(AND($E48&gt;=AVERAGEIFS($E$5:$E$175,$A$5:$A$175,$A48,$E$5:$E$175,"&gt;0"),INDEX('تحليل التكلفة والسعر'!$H$2:$H$700,MATCH("فطيرة جمبري وسط",'تحليل التكلفة والسعر'!$B$2:$B$700,0))&lt;AVERAGEIFS('تحليل التكلفة والسعر'!$H$2:$H$700,'تحليل التكلفة والسعر'!$A$2:$A$700,$A48,'تحليل التكلفة والسعر'!$C$2:$C$700,"&gt;0")),"🐎 حصان عمل",IF(AND($E48&lt;AVERAGEIFS($E$5:$E$175,$A$5:$A$175,$A48,$E$5:$E$175,"&gt;0"),INDEX('تحليل التكلفة والسعر'!$H$2:$H$700,MATCH("فطيرة جمبري وسط",'تحليل التكلفة والسعر'!$B$2:$B$700,0))&gt;=AVERAGEIFS('تحليل التكلفة والسعر'!$H$2:$H$700,'تحليل التكلفة والسعر'!$A$2:$A$700,$A48,'تحليل التكلفة والسعر'!$C$2:$C$700,"&gt;0")),"🧩 لغز","🐶 كلب"))))</f>
        <v>🧩 لغز</v>
      </c>
      <c r="G48" s="49" t="n">
        <v>4</v>
      </c>
      <c r="H48" s="11" t="str">
        <f aca="false">IF(OR(NOT(INDEX('تحليل التكلفة والسعر'!$C$2:$C$700,MATCH("فطيرة جمبري وسط",'تحليل التكلفة والسعر'!$B$2:$B$700,0))&gt;0),$G48=0),"بيانات غير كافية",IF(AND($G48&gt;=AVERAGEIFS($G$5:$G$175,$A$5:$A$175,$A48,$G$5:$G$175,"&gt;0"),INDEX('تحليل التكلفة والسعر'!$H$2:$H$700,MATCH("فطيرة جمبري وسط",'تحليل التكلفة والسعر'!$B$2:$B$700,0))&gt;=AVERAGEIFS('تحليل التكلفة والسعر'!$H$2:$H$700,'تحليل التكلفة والسعر'!$A$2:$A$700,$A48,'تحليل التكلفة والسعر'!$C$2:$C$700,"&gt;0")),"⭐ نجم",IF(AND($G48&gt;=AVERAGEIFS($G$5:$G$175,$A$5:$A$175,$A48,$G$5:$G$175,"&gt;0"),INDEX('تحليل التكلفة والسعر'!$H$2:$H$700,MATCH("فطيرة جمبري وسط",'تحليل التكلفة والسعر'!$B$2:$B$700,0))&lt;AVERAGEIFS('تحليل التكلفة والسعر'!$H$2:$H$700,'تحليل التكلفة والسعر'!$A$2:$A$700,$A48,'تحليل التكلفة والسعر'!$C$2:$C$700,"&gt;0")),"🐎 حصان عمل",IF(AND($G48&lt;AVERAGEIFS($G$5:$G$175,$A$5:$A$175,$A48,$G$5:$G$175,"&gt;0"),INDEX('تحليل التكلفة والسعر'!$H$2:$H$700,MATCH("فطيرة جمبري وسط",'تحليل التكلفة والسعر'!$B$2:$B$700,0))&gt;=AVERAGEIFS('تحليل التكلفة والسعر'!$H$2:$H$700,'تحليل التكلفة والسعر'!$A$2:$A$700,$A48,'تحليل التكلفة والسعر'!$C$2:$C$700,"&gt;0")),"🧩 لغز","🐶 كلب"))))</f>
        <v>🧩 لغز</v>
      </c>
    </row>
    <row r="49" customFormat="false" ht="15" hidden="false" customHeight="true" outlineLevel="0" collapsed="false">
      <c r="A49" s="11" t="s">
        <v>10</v>
      </c>
      <c r="B49" s="11" t="s">
        <v>489</v>
      </c>
      <c r="C49" s="13" t="n">
        <f aca="false">IFERROR(INDEX('تحليل التكلفة والسعر'!$D$2:$D$700,MATCH("فطيرة جمبري حجم اكبر",'تحليل التكلفة والسعر'!$B$2:$B$700,0)),"")</f>
        <v>360</v>
      </c>
      <c r="D49" s="12" t="n">
        <f aca="false">IFERROR(INDEX('تحليل التكلفة والسعر'!$I$2:$I$700,MATCH("فطيرة جمبري حجم اكبر",'تحليل التكلفة والسعر'!$B$2:$B$700,0)),"")</f>
        <v>0.474823888888889</v>
      </c>
      <c r="E49" s="49" t="n">
        <v>2</v>
      </c>
      <c r="F49" s="11" t="str">
        <f aca="false">IF(OR(NOT(INDEX('تحليل التكلفة والسعر'!$C$2:$C$700,MATCH("فطيرة جمبري حجم اكبر",'تحليل التكلفة والسعر'!$B$2:$B$700,0))&gt;0),$E49=0),"بيانات غير كافية",IF(AND($E49&gt;=AVERAGEIFS($E$5:$E$175,$A$5:$A$175,$A49,$E$5:$E$175,"&gt;0"),INDEX('تحليل التكلفة والسعر'!$H$2:$H$700,MATCH("فطيرة جمبري حجم اكبر",'تحليل التكلفة والسعر'!$B$2:$B$700,0))&gt;=AVERAGEIFS('تحليل التكلفة والسعر'!$H$2:$H$700,'تحليل التكلفة والسعر'!$A$2:$A$700,$A49,'تحليل التكلفة والسعر'!$C$2:$C$700,"&gt;0")),"⭐ نجم",IF(AND($E49&gt;=AVERAGEIFS($E$5:$E$175,$A$5:$A$175,$A49,$E$5:$E$175,"&gt;0"),INDEX('تحليل التكلفة والسعر'!$H$2:$H$700,MATCH("فطيرة جمبري حجم اكبر",'تحليل التكلفة والسعر'!$B$2:$B$700,0))&lt;AVERAGEIFS('تحليل التكلفة والسعر'!$H$2:$H$700,'تحليل التكلفة والسعر'!$A$2:$A$700,$A49,'تحليل التكلفة والسعر'!$C$2:$C$700,"&gt;0")),"🐎 حصان عمل",IF(AND($E49&lt;AVERAGEIFS($E$5:$E$175,$A$5:$A$175,$A49,$E$5:$E$175,"&gt;0"),INDEX('تحليل التكلفة والسعر'!$H$2:$H$700,MATCH("فطيرة جمبري حجم اكبر",'تحليل التكلفة والسعر'!$B$2:$B$700,0))&gt;=AVERAGEIFS('تحليل التكلفة والسعر'!$H$2:$H$700,'تحليل التكلفة والسعر'!$A$2:$A$700,$A49,'تحليل التكلفة والسعر'!$C$2:$C$700,"&gt;0")),"🧩 لغز","🐶 كلب"))))</f>
        <v>🧩 لغز</v>
      </c>
      <c r="G49" s="49" t="n">
        <v>1</v>
      </c>
      <c r="H49" s="11" t="str">
        <f aca="false">IF(OR(NOT(INDEX('تحليل التكلفة والسعر'!$C$2:$C$700,MATCH("فطيرة جمبري حجم اكبر",'تحليل التكلفة والسعر'!$B$2:$B$700,0))&gt;0),$G49=0),"بيانات غير كافية",IF(AND($G49&gt;=AVERAGEIFS($G$5:$G$175,$A$5:$A$175,$A49,$G$5:$G$175,"&gt;0"),INDEX('تحليل التكلفة والسعر'!$H$2:$H$700,MATCH("فطيرة جمبري حجم اكبر",'تحليل التكلفة والسعر'!$B$2:$B$700,0))&gt;=AVERAGEIFS('تحليل التكلفة والسعر'!$H$2:$H$700,'تحليل التكلفة والسعر'!$A$2:$A$700,$A49,'تحليل التكلفة والسعر'!$C$2:$C$700,"&gt;0")),"⭐ نجم",IF(AND($G49&gt;=AVERAGEIFS($G$5:$G$175,$A$5:$A$175,$A49,$G$5:$G$175,"&gt;0"),INDEX('تحليل التكلفة والسعر'!$H$2:$H$700,MATCH("فطيرة جمبري حجم اكبر",'تحليل التكلفة والسعر'!$B$2:$B$700,0))&lt;AVERAGEIFS('تحليل التكلفة والسعر'!$H$2:$H$700,'تحليل التكلفة والسعر'!$A$2:$A$700,$A49,'تحليل التكلفة والسعر'!$C$2:$C$700,"&gt;0")),"🐎 حصان عمل",IF(AND($G49&lt;AVERAGEIFS($G$5:$G$175,$A$5:$A$175,$A49,$G$5:$G$175,"&gt;0"),INDEX('تحليل التكلفة والسعر'!$H$2:$H$700,MATCH("فطيرة جمبري حجم اكبر",'تحليل التكلفة والسعر'!$B$2:$B$700,0))&gt;=AVERAGEIFS('تحليل التكلفة والسعر'!$H$2:$H$700,'تحليل التكلفة والسعر'!$A$2:$A$700,$A49,'تحليل التكلفة والسعر'!$C$2:$C$700,"&gt;0")),"🧩 لغز","🐶 كلب"))))</f>
        <v>🧩 لغز</v>
      </c>
    </row>
    <row r="50" customFormat="false" ht="15" hidden="false" customHeight="true" outlineLevel="0" collapsed="false">
      <c r="A50" s="11" t="s">
        <v>11</v>
      </c>
      <c r="B50" s="11" t="s">
        <v>435</v>
      </c>
      <c r="C50" s="13" t="n">
        <f aca="false">IFERROR(INDEX('تحليل التكلفة والسعر'!$D$2:$D$700,MATCH("فطيرة سكر / كاستر",'تحليل التكلفة والسعر'!$B$2:$B$700,0)),"")</f>
        <v>50</v>
      </c>
      <c r="D50" s="12" t="n">
        <f aca="false">IFERROR(INDEX('تحليل التكلفة والسعر'!$I$2:$I$700,MATCH("فطيرة سكر / كاستر",'تحليل التكلفة والسعر'!$B$2:$B$700,0)),"")</f>
        <v>0.59430256</v>
      </c>
      <c r="E50" s="49" t="n">
        <v>676</v>
      </c>
      <c r="F50" s="11" t="str">
        <f aca="false">IF(OR(NOT(INDEX('تحليل التكلفة والسعر'!$C$2:$C$700,MATCH("فطيرة سكر / كاستر",'تحليل التكلفة والسعر'!$B$2:$B$700,0))&gt;0),$E50=0),"بيانات غير كافية",IF(AND($E50&gt;=AVERAGEIFS($E$5:$E$175,$A$5:$A$175,$A50,$E$5:$E$175,"&gt;0"),INDEX('تحليل التكلفة والسعر'!$H$2:$H$700,MATCH("فطيرة سكر / كاستر",'تحليل التكلفة والسعر'!$B$2:$B$700,0))&gt;=AVERAGEIFS('تحليل التكلفة والسعر'!$H$2:$H$700,'تحليل التكلفة والسعر'!$A$2:$A$700,$A50,'تحليل التكلفة والسعر'!$C$2:$C$700,"&gt;0")),"⭐ نجم",IF(AND($E50&gt;=AVERAGEIFS($E$5:$E$175,$A$5:$A$175,$A50,$E$5:$E$175,"&gt;0"),INDEX('تحليل التكلفة والسعر'!$H$2:$H$700,MATCH("فطيرة سكر / كاستر",'تحليل التكلفة والسعر'!$B$2:$B$700,0))&lt;AVERAGEIFS('تحليل التكلفة والسعر'!$H$2:$H$700,'تحليل التكلفة والسعر'!$A$2:$A$700,$A50,'تحليل التكلفة والسعر'!$C$2:$C$700,"&gt;0")),"🐎 حصان عمل",IF(AND($E50&lt;AVERAGEIFS($E$5:$E$175,$A$5:$A$175,$A50,$E$5:$E$175,"&gt;0"),INDEX('تحليل التكلفة والسعر'!$H$2:$H$700,MATCH("فطيرة سكر / كاستر",'تحليل التكلفة والسعر'!$B$2:$B$700,0))&gt;=AVERAGEIFS('تحليل التكلفة والسعر'!$H$2:$H$700,'تحليل التكلفة والسعر'!$A$2:$A$700,$A50,'تحليل التكلفة والسعر'!$C$2:$C$700,"&gt;0")),"🧩 لغز","🐶 كلب"))))</f>
        <v>🐎 حصان عمل</v>
      </c>
      <c r="G50" s="49" t="n">
        <v>307</v>
      </c>
      <c r="H50" s="11" t="str">
        <f aca="false">IF(OR(NOT(INDEX('تحليل التكلفة والسعر'!$C$2:$C$700,MATCH("فطيرة سكر / كاستر",'تحليل التكلفة والسعر'!$B$2:$B$700,0))&gt;0),$G50=0),"بيانات غير كافية",IF(AND($G50&gt;=AVERAGEIFS($G$5:$G$175,$A$5:$A$175,$A50,$G$5:$G$175,"&gt;0"),INDEX('تحليل التكلفة والسعر'!$H$2:$H$700,MATCH("فطيرة سكر / كاستر",'تحليل التكلفة والسعر'!$B$2:$B$700,0))&gt;=AVERAGEIFS('تحليل التكلفة والسعر'!$H$2:$H$700,'تحليل التكلفة والسعر'!$A$2:$A$700,$A50,'تحليل التكلفة والسعر'!$C$2:$C$700,"&gt;0")),"⭐ نجم",IF(AND($G50&gt;=AVERAGEIFS($G$5:$G$175,$A$5:$A$175,$A50,$G$5:$G$175,"&gt;0"),INDEX('تحليل التكلفة والسعر'!$H$2:$H$700,MATCH("فطيرة سكر / كاستر",'تحليل التكلفة والسعر'!$B$2:$B$700,0))&lt;AVERAGEIFS('تحليل التكلفة والسعر'!$H$2:$H$700,'تحليل التكلفة والسعر'!$A$2:$A$700,$A50,'تحليل التكلفة والسعر'!$C$2:$C$700,"&gt;0")),"🐎 حصان عمل",IF(AND($G50&lt;AVERAGEIFS($G$5:$G$175,$A$5:$A$175,$A50,$G$5:$G$175,"&gt;0"),INDEX('تحليل التكلفة والسعر'!$H$2:$H$700,MATCH("فطيرة سكر / كاستر",'تحليل التكلفة والسعر'!$B$2:$B$700,0))&gt;=AVERAGEIFS('تحليل التكلفة والسعر'!$H$2:$H$700,'تحليل التكلفة والسعر'!$A$2:$A$700,$A50,'تحليل التكلفة والسعر'!$C$2:$C$700,"&gt;0")),"🧩 لغز","🐶 كلب"))))</f>
        <v>🐎 حصان عمل</v>
      </c>
    </row>
    <row r="51" customFormat="false" ht="15" hidden="false" customHeight="true" outlineLevel="0" collapsed="false">
      <c r="A51" s="11" t="s">
        <v>11</v>
      </c>
      <c r="B51" s="11" t="s">
        <v>442</v>
      </c>
      <c r="C51" s="13" t="n">
        <f aca="false">IFERROR(INDEX('تحليل التكلفة والسعر'!$D$2:$D$700,MATCH("فطيرة ملوكي زبيب وجوزهند",'تحليل التكلفة والسعر'!$B$2:$B$700,0)),"")</f>
        <v>75</v>
      </c>
      <c r="D51" s="12" t="n">
        <f aca="false">IFERROR(INDEX('تحليل التكلفة والسعر'!$I$2:$I$700,MATCH("فطيرة ملوكي زبيب وجوزهند",'تحليل التكلفة والسعر'!$B$2:$B$700,0)),"")</f>
        <v>0.456668373333333</v>
      </c>
      <c r="E51" s="49" t="n">
        <v>35</v>
      </c>
      <c r="F51" s="11" t="str">
        <f aca="false">IF(OR(NOT(INDEX('تحليل التكلفة والسعر'!$C$2:$C$700,MATCH("فطيرة ملوكي زبيب وجوزهند",'تحليل التكلفة والسعر'!$B$2:$B$700,0))&gt;0),$E51=0),"بيانات غير كافية",IF(AND($E51&gt;=AVERAGEIFS($E$5:$E$175,$A$5:$A$175,$A51,$E$5:$E$175,"&gt;0"),INDEX('تحليل التكلفة والسعر'!$H$2:$H$700,MATCH("فطيرة ملوكي زبيب وجوزهند",'تحليل التكلفة والسعر'!$B$2:$B$700,0))&gt;=AVERAGEIFS('تحليل التكلفة والسعر'!$H$2:$H$700,'تحليل التكلفة والسعر'!$A$2:$A$700,$A51,'تحليل التكلفة والسعر'!$C$2:$C$700,"&gt;0")),"⭐ نجم",IF(AND($E51&gt;=AVERAGEIFS($E$5:$E$175,$A$5:$A$175,$A51,$E$5:$E$175,"&gt;0"),INDEX('تحليل التكلفة والسعر'!$H$2:$H$700,MATCH("فطيرة ملوكي زبيب وجوزهند",'تحليل التكلفة والسعر'!$B$2:$B$700,0))&lt;AVERAGEIFS('تحليل التكلفة والسعر'!$H$2:$H$700,'تحليل التكلفة والسعر'!$A$2:$A$700,$A51,'تحليل التكلفة والسعر'!$C$2:$C$700,"&gt;0")),"🐎 حصان عمل",IF(AND($E51&lt;AVERAGEIFS($E$5:$E$175,$A$5:$A$175,$A51,$E$5:$E$175,"&gt;0"),INDEX('تحليل التكلفة والسعر'!$H$2:$H$700,MATCH("فطيرة ملوكي زبيب وجوزهند",'تحليل التكلفة والسعر'!$B$2:$B$700,0))&gt;=AVERAGEIFS('تحليل التكلفة والسعر'!$H$2:$H$700,'تحليل التكلفة والسعر'!$A$2:$A$700,$A51,'تحليل التكلفة والسعر'!$C$2:$C$700,"&gt;0")),"🧩 لغز","🐶 كلب"))))</f>
        <v>🐶 كلب</v>
      </c>
      <c r="G51" s="49" t="n">
        <v>12</v>
      </c>
      <c r="H51" s="11" t="str">
        <f aca="false">IF(OR(NOT(INDEX('تحليل التكلفة والسعر'!$C$2:$C$700,MATCH("فطيرة ملوكي زبيب وجوزهند",'تحليل التكلفة والسعر'!$B$2:$B$700,0))&gt;0),$G51=0),"بيانات غير كافية",IF(AND($G51&gt;=AVERAGEIFS($G$5:$G$175,$A$5:$A$175,$A51,$G$5:$G$175,"&gt;0"),INDEX('تحليل التكلفة والسعر'!$H$2:$H$700,MATCH("فطيرة ملوكي زبيب وجوزهند",'تحليل التكلفة والسعر'!$B$2:$B$700,0))&gt;=AVERAGEIFS('تحليل التكلفة والسعر'!$H$2:$H$700,'تحليل التكلفة والسعر'!$A$2:$A$700,$A51,'تحليل التكلفة والسعر'!$C$2:$C$700,"&gt;0")),"⭐ نجم",IF(AND($G51&gt;=AVERAGEIFS($G$5:$G$175,$A$5:$A$175,$A51,$G$5:$G$175,"&gt;0"),INDEX('تحليل التكلفة والسعر'!$H$2:$H$700,MATCH("فطيرة ملوكي زبيب وجوزهند",'تحليل التكلفة والسعر'!$B$2:$B$700,0))&lt;AVERAGEIFS('تحليل التكلفة والسعر'!$H$2:$H$700,'تحليل التكلفة والسعر'!$A$2:$A$700,$A51,'تحليل التكلفة والسعر'!$C$2:$C$700,"&gt;0")),"🐎 حصان عمل",IF(AND($G51&lt;AVERAGEIFS($G$5:$G$175,$A$5:$A$175,$A51,$G$5:$G$175,"&gt;0"),INDEX('تحليل التكلفة والسعر'!$H$2:$H$700,MATCH("فطيرة ملوكي زبيب وجوزهند",'تحليل التكلفة والسعر'!$B$2:$B$700,0))&gt;=AVERAGEIFS('تحليل التكلفة والسعر'!$H$2:$H$700,'تحليل التكلفة والسعر'!$A$2:$A$700,$A51,'تحليل التكلفة والسعر'!$C$2:$C$700,"&gt;0")),"🧩 لغز","🐶 كلب"))))</f>
        <v>🐶 كلب</v>
      </c>
    </row>
    <row r="52" customFormat="false" ht="15" hidden="false" customHeight="true" outlineLevel="0" collapsed="false">
      <c r="A52" s="11" t="s">
        <v>11</v>
      </c>
      <c r="B52" s="11" t="s">
        <v>410</v>
      </c>
      <c r="C52" s="13" t="n">
        <f aca="false">IFERROR(INDEX('تحليل التكلفة والسعر'!$D$2:$D$700,MATCH("فطيرة قشطة عسل مكسرات",'تحليل التكلفة والسعر'!$B$2:$B$700,0)),"")</f>
        <v>140</v>
      </c>
      <c r="D52" s="12" t="n">
        <f aca="false">IFERROR(INDEX('تحليل التكلفة والسعر'!$I$2:$I$700,MATCH("فطيرة قشطة عسل مكسرات",'تحليل التكلفة والسعر'!$B$2:$B$700,0)),"")</f>
        <v>0.4332152</v>
      </c>
      <c r="E52" s="49" t="n">
        <v>19</v>
      </c>
      <c r="F52" s="11" t="str">
        <f aca="false">IF(OR(NOT(INDEX('تحليل التكلفة والسعر'!$C$2:$C$700,MATCH("فطيرة قشطة عسل مكسرات",'تحليل التكلفة والسعر'!$B$2:$B$700,0))&gt;0),$E52=0),"بيانات غير كافية",IF(AND($E52&gt;=AVERAGEIFS($E$5:$E$175,$A$5:$A$175,$A52,$E$5:$E$175,"&gt;0"),INDEX('تحليل التكلفة والسعر'!$H$2:$H$700,MATCH("فطيرة قشطة عسل مكسرات",'تحليل التكلفة والسعر'!$B$2:$B$700,0))&gt;=AVERAGEIFS('تحليل التكلفة والسعر'!$H$2:$H$700,'تحليل التكلفة والسعر'!$A$2:$A$700,$A52,'تحليل التكلفة والسعر'!$C$2:$C$700,"&gt;0")),"⭐ نجم",IF(AND($E52&gt;=AVERAGEIFS($E$5:$E$175,$A$5:$A$175,$A52,$E$5:$E$175,"&gt;0"),INDEX('تحليل التكلفة والسعر'!$H$2:$H$700,MATCH("فطيرة قشطة عسل مكسرات",'تحليل التكلفة والسعر'!$B$2:$B$700,0))&lt;AVERAGEIFS('تحليل التكلفة والسعر'!$H$2:$H$700,'تحليل التكلفة والسعر'!$A$2:$A$700,$A52,'تحليل التكلفة والسعر'!$C$2:$C$700,"&gt;0")),"🐎 حصان عمل",IF(AND($E52&lt;AVERAGEIFS($E$5:$E$175,$A$5:$A$175,$A52,$E$5:$E$175,"&gt;0"),INDEX('تحليل التكلفة والسعر'!$H$2:$H$700,MATCH("فطيرة قشطة عسل مكسرات",'تحليل التكلفة والسعر'!$B$2:$B$700,0))&gt;=AVERAGEIFS('تحليل التكلفة والسعر'!$H$2:$H$700,'تحليل التكلفة والسعر'!$A$2:$A$700,$A52,'تحليل التكلفة والسعر'!$C$2:$C$700,"&gt;0")),"🧩 لغز","🐶 كلب"))))</f>
        <v>🐶 كلب</v>
      </c>
      <c r="G52" s="49" t="n">
        <v>3</v>
      </c>
      <c r="H52" s="11" t="str">
        <f aca="false">IF(OR(NOT(INDEX('تحليل التكلفة والسعر'!$C$2:$C$700,MATCH("فطيرة قشطة عسل مكسرات",'تحليل التكلفة والسعر'!$B$2:$B$700,0))&gt;0),$G52=0),"بيانات غير كافية",IF(AND($G52&gt;=AVERAGEIFS($G$5:$G$175,$A$5:$A$175,$A52,$G$5:$G$175,"&gt;0"),INDEX('تحليل التكلفة والسعر'!$H$2:$H$700,MATCH("فطيرة قشطة عسل مكسرات",'تحليل التكلفة والسعر'!$B$2:$B$700,0))&gt;=AVERAGEIFS('تحليل التكلفة والسعر'!$H$2:$H$700,'تحليل التكلفة والسعر'!$A$2:$A$700,$A52,'تحليل التكلفة والسعر'!$C$2:$C$700,"&gt;0")),"⭐ نجم",IF(AND($G52&gt;=AVERAGEIFS($G$5:$G$175,$A$5:$A$175,$A52,$G$5:$G$175,"&gt;0"),INDEX('تحليل التكلفة والسعر'!$H$2:$H$700,MATCH("فطيرة قشطة عسل مكسرات",'تحليل التكلفة والسعر'!$B$2:$B$700,0))&lt;AVERAGEIFS('تحليل التكلفة والسعر'!$H$2:$H$700,'تحليل التكلفة والسعر'!$A$2:$A$700,$A52,'تحليل التكلفة والسعر'!$C$2:$C$700,"&gt;0")),"🐎 حصان عمل",IF(AND($G52&lt;AVERAGEIFS($G$5:$G$175,$A$5:$A$175,$A52,$G$5:$G$175,"&gt;0"),INDEX('تحليل التكلفة والسعر'!$H$2:$H$700,MATCH("فطيرة قشطة عسل مكسرات",'تحليل التكلفة والسعر'!$B$2:$B$700,0))&gt;=AVERAGEIFS('تحليل التكلفة والسعر'!$H$2:$H$700,'تحليل التكلفة والسعر'!$A$2:$A$700,$A52,'تحليل التكلفة والسعر'!$C$2:$C$700,"&gt;0")),"🧩 لغز","🐶 كلب"))))</f>
        <v>🐶 كلب</v>
      </c>
    </row>
    <row r="53" customFormat="false" ht="15" hidden="false" customHeight="true" outlineLevel="0" collapsed="false">
      <c r="A53" s="11" t="s">
        <v>11</v>
      </c>
      <c r="B53" s="11" t="s">
        <v>401</v>
      </c>
      <c r="C53" s="13" t="n">
        <f aca="false">IFERROR(INDEX('تحليل التكلفة والسعر'!$D$2:$D$700,MATCH("فطيرة شيكولاتة",'تحليل التكلفة والسعر'!$B$2:$B$700,0)),"")</f>
        <v>100</v>
      </c>
      <c r="D53" s="12" t="n">
        <f aca="false">IFERROR(INDEX('تحليل التكلفة والسعر'!$I$2:$I$700,MATCH("فطيرة شيكولاتة",'تحليل التكلفة والسعر'!$B$2:$B$700,0)),"")</f>
        <v>0.55457786</v>
      </c>
      <c r="E53" s="49" t="n">
        <v>69</v>
      </c>
      <c r="F53" s="11" t="str">
        <f aca="false">IF(OR(NOT(INDEX('تحليل التكلفة والسعر'!$C$2:$C$700,MATCH("فطيرة شيكولاتة",'تحليل التكلفة والسعر'!$B$2:$B$700,0))&gt;0),$E53=0),"بيانات غير كافية",IF(AND($E53&gt;=AVERAGEIFS($E$5:$E$175,$A$5:$A$175,$A53,$E$5:$E$175,"&gt;0"),INDEX('تحليل التكلفة والسعر'!$H$2:$H$700,MATCH("فطيرة شيكولاتة",'تحليل التكلفة والسعر'!$B$2:$B$700,0))&gt;=AVERAGEIFS('تحليل التكلفة والسعر'!$H$2:$H$700,'تحليل التكلفة والسعر'!$A$2:$A$700,$A53,'تحليل التكلفة والسعر'!$C$2:$C$700,"&gt;0")),"⭐ نجم",IF(AND($E53&gt;=AVERAGEIFS($E$5:$E$175,$A$5:$A$175,$A53,$E$5:$E$175,"&gt;0"),INDEX('تحليل التكلفة والسعر'!$H$2:$H$700,MATCH("فطيرة شيكولاتة",'تحليل التكلفة والسعر'!$B$2:$B$700,0))&lt;AVERAGEIFS('تحليل التكلفة والسعر'!$H$2:$H$700,'تحليل التكلفة والسعر'!$A$2:$A$700,$A53,'تحليل التكلفة والسعر'!$C$2:$C$700,"&gt;0")),"🐎 حصان عمل",IF(AND($E53&lt;AVERAGEIFS($E$5:$E$175,$A$5:$A$175,$A53,$E$5:$E$175,"&gt;0"),INDEX('تحليل التكلفة والسعر'!$H$2:$H$700,MATCH("فطيرة شيكولاتة",'تحليل التكلفة والسعر'!$B$2:$B$700,0))&gt;=AVERAGEIFS('تحليل التكلفة والسعر'!$H$2:$H$700,'تحليل التكلفة والسعر'!$A$2:$A$700,$A53,'تحليل التكلفة والسعر'!$C$2:$C$700,"&gt;0")),"🧩 لغز","🐶 كلب"))))</f>
        <v>🐶 كلب</v>
      </c>
      <c r="G53" s="49" t="n">
        <v>4</v>
      </c>
      <c r="H53" s="11" t="str">
        <f aca="false">IF(OR(NOT(INDEX('تحليل التكلفة والسعر'!$C$2:$C$700,MATCH("فطيرة شيكولاتة",'تحليل التكلفة والسعر'!$B$2:$B$700,0))&gt;0),$G53=0),"بيانات غير كافية",IF(AND($G53&gt;=AVERAGEIFS($G$5:$G$175,$A$5:$A$175,$A53,$G$5:$G$175,"&gt;0"),INDEX('تحليل التكلفة والسعر'!$H$2:$H$700,MATCH("فطيرة شيكولاتة",'تحليل التكلفة والسعر'!$B$2:$B$700,0))&gt;=AVERAGEIFS('تحليل التكلفة والسعر'!$H$2:$H$700,'تحليل التكلفة والسعر'!$A$2:$A$700,$A53,'تحليل التكلفة والسعر'!$C$2:$C$700,"&gt;0")),"⭐ نجم",IF(AND($G53&gt;=AVERAGEIFS($G$5:$G$175,$A$5:$A$175,$A53,$G$5:$G$175,"&gt;0"),INDEX('تحليل التكلفة والسعر'!$H$2:$H$700,MATCH("فطيرة شيكولاتة",'تحليل التكلفة والسعر'!$B$2:$B$700,0))&lt;AVERAGEIFS('تحليل التكلفة والسعر'!$H$2:$H$700,'تحليل التكلفة والسعر'!$A$2:$A$700,$A53,'تحليل التكلفة والسعر'!$C$2:$C$700,"&gt;0")),"🐎 حصان عمل",IF(AND($G53&lt;AVERAGEIFS($G$5:$G$175,$A$5:$A$175,$A53,$G$5:$G$175,"&gt;0"),INDEX('تحليل التكلفة والسعر'!$H$2:$H$700,MATCH("فطيرة شيكولاتة",'تحليل التكلفة والسعر'!$B$2:$B$700,0))&gt;=AVERAGEIFS('تحليل التكلفة والسعر'!$H$2:$H$700,'تحليل التكلفة والسعر'!$A$2:$A$700,$A53,'تحليل التكلفة والسعر'!$C$2:$C$700,"&gt;0")),"🧩 لغز","🐶 كلب"))))</f>
        <v>🐶 كلب</v>
      </c>
    </row>
    <row r="54" customFormat="false" ht="15" hidden="false" customHeight="true" outlineLevel="0" collapsed="false">
      <c r="A54" s="11" t="s">
        <v>11</v>
      </c>
      <c r="B54" s="11" t="s">
        <v>428</v>
      </c>
      <c r="C54" s="13" t="n">
        <f aca="false">IFERROR(INDEX('تحليل التكلفة والسعر'!$D$2:$D$700,MATCH("فطيرة نوتيلا قشطة مكسرات",'تحليل التكلفة والسعر'!$B$2:$B$700,0)),"")</f>
        <v>260</v>
      </c>
      <c r="D54" s="12" t="n">
        <f aca="false">IFERROR(INDEX('تحليل التكلفة والسعر'!$I$2:$I$700,MATCH("فطيرة نوتيلا قشطة مكسرات",'تحليل التكلفة والسعر'!$B$2:$B$700,0)),"")</f>
        <v>0.363396530769231</v>
      </c>
      <c r="E54" s="49" t="n">
        <v>7</v>
      </c>
      <c r="F54" s="11" t="str">
        <f aca="false">IF(OR(NOT(INDEX('تحليل التكلفة والسعر'!$C$2:$C$700,MATCH("فطيرة نوتيلا قشطة مكسرات",'تحليل التكلفة والسعر'!$B$2:$B$700,0))&gt;0),$E54=0),"بيانات غير كافية",IF(AND($E54&gt;=AVERAGEIFS($E$5:$E$175,$A$5:$A$175,$A54,$E$5:$E$175,"&gt;0"),INDEX('تحليل التكلفة والسعر'!$H$2:$H$700,MATCH("فطيرة نوتيلا قشطة مكسرات",'تحليل التكلفة والسعر'!$B$2:$B$700,0))&gt;=AVERAGEIFS('تحليل التكلفة والسعر'!$H$2:$H$700,'تحليل التكلفة والسعر'!$A$2:$A$700,$A54,'تحليل التكلفة والسعر'!$C$2:$C$700,"&gt;0")),"⭐ نجم",IF(AND($E54&gt;=AVERAGEIFS($E$5:$E$175,$A$5:$A$175,$A54,$E$5:$E$175,"&gt;0"),INDEX('تحليل التكلفة والسعر'!$H$2:$H$700,MATCH("فطيرة نوتيلا قشطة مكسرات",'تحليل التكلفة والسعر'!$B$2:$B$700,0))&lt;AVERAGEIFS('تحليل التكلفة والسعر'!$H$2:$H$700,'تحليل التكلفة والسعر'!$A$2:$A$700,$A54,'تحليل التكلفة والسعر'!$C$2:$C$700,"&gt;0")),"🐎 حصان عمل",IF(AND($E54&lt;AVERAGEIFS($E$5:$E$175,$A$5:$A$175,$A54,$E$5:$E$175,"&gt;0"),INDEX('تحليل التكلفة والسعر'!$H$2:$H$700,MATCH("فطيرة نوتيلا قشطة مكسرات",'تحليل التكلفة والسعر'!$B$2:$B$700,0))&gt;=AVERAGEIFS('تحليل التكلفة والسعر'!$H$2:$H$700,'تحليل التكلفة والسعر'!$A$2:$A$700,$A54,'تحليل التكلفة والسعر'!$C$2:$C$700,"&gt;0")),"🧩 لغز","🐶 كلب"))))</f>
        <v>🧩 لغز</v>
      </c>
      <c r="G54" s="49" t="n">
        <v>0</v>
      </c>
      <c r="H54" s="11" t="str">
        <f aca="false">IF(OR(NOT(INDEX('تحليل التكلفة والسعر'!$C$2:$C$700,MATCH("فطيرة نوتيلا قشطة مكسرات",'تحليل التكلفة والسعر'!$B$2:$B$700,0))&gt;0),$G54=0),"بيانات غير كافية",IF(AND($G54&gt;=AVERAGEIFS($G$5:$G$175,$A$5:$A$175,$A54,$G$5:$G$175,"&gt;0"),INDEX('تحليل التكلفة والسعر'!$H$2:$H$700,MATCH("فطيرة نوتيلا قشطة مكسرات",'تحليل التكلفة والسعر'!$B$2:$B$700,0))&gt;=AVERAGEIFS('تحليل التكلفة والسعر'!$H$2:$H$700,'تحليل التكلفة والسعر'!$A$2:$A$700,$A54,'تحليل التكلفة والسعر'!$C$2:$C$700,"&gt;0")),"⭐ نجم",IF(AND($G54&gt;=AVERAGEIFS($G$5:$G$175,$A$5:$A$175,$A54,$G$5:$G$175,"&gt;0"),INDEX('تحليل التكلفة والسعر'!$H$2:$H$700,MATCH("فطيرة نوتيلا قشطة مكسرات",'تحليل التكلفة والسعر'!$B$2:$B$700,0))&lt;AVERAGEIFS('تحليل التكلفة والسعر'!$H$2:$H$700,'تحليل التكلفة والسعر'!$A$2:$A$700,$A54,'تحليل التكلفة والسعر'!$C$2:$C$700,"&gt;0")),"🐎 حصان عمل",IF(AND($G54&lt;AVERAGEIFS($G$5:$G$175,$A$5:$A$175,$A54,$G$5:$G$175,"&gt;0"),INDEX('تحليل التكلفة والسعر'!$H$2:$H$700,MATCH("فطيرة نوتيلا قشطة مكسرات",'تحليل التكلفة والسعر'!$B$2:$B$700,0))&gt;=AVERAGEIFS('تحليل التكلفة والسعر'!$H$2:$H$700,'تحليل التكلفة والسعر'!$A$2:$A$700,$A54,'تحليل التكلفة والسعر'!$C$2:$C$700,"&gt;0")),"🧩 لغز","🐶 كلب"))))</f>
        <v>بيانات غير كافية</v>
      </c>
    </row>
    <row r="55" customFormat="false" ht="15" hidden="false" customHeight="true" outlineLevel="0" collapsed="false">
      <c r="A55" s="11" t="s">
        <v>11</v>
      </c>
      <c r="B55" s="11" t="s">
        <v>432</v>
      </c>
      <c r="C55" s="13" t="n">
        <f aca="false">IFERROR(INDEX('تحليل التكلفة والسعر'!$D$2:$D$700,MATCH("فطيرة فورسيزون ستاموني",'تحليل التكلفة والسعر'!$B$2:$B$700,0)),"")</f>
        <v>160</v>
      </c>
      <c r="D55" s="12" t="n">
        <f aca="false">IFERROR(INDEX('تحليل التكلفة والسعر'!$I$2:$I$700,MATCH("فطيرة فورسيزون ستاموني",'تحليل التكلفة والسعر'!$B$2:$B$700,0)),"")</f>
        <v>0.5353023625</v>
      </c>
      <c r="E55" s="49" t="n">
        <v>23</v>
      </c>
      <c r="F55" s="11" t="str">
        <f aca="false">IF(OR(NOT(INDEX('تحليل التكلفة والسعر'!$C$2:$C$700,MATCH("فطيرة فورسيزون ستاموني",'تحليل التكلفة والسعر'!$B$2:$B$700,0))&gt;0),$E55=0),"بيانات غير كافية",IF(AND($E55&gt;=AVERAGEIFS($E$5:$E$175,$A$5:$A$175,$A55,$E$5:$E$175,"&gt;0"),INDEX('تحليل التكلفة والسعر'!$H$2:$H$700,MATCH("فطيرة فورسيزون ستاموني",'تحليل التكلفة والسعر'!$B$2:$B$700,0))&gt;=AVERAGEIFS('تحليل التكلفة والسعر'!$H$2:$H$700,'تحليل التكلفة والسعر'!$A$2:$A$700,$A55,'تحليل التكلفة والسعر'!$C$2:$C$700,"&gt;0")),"⭐ نجم",IF(AND($E55&gt;=AVERAGEIFS($E$5:$E$175,$A$5:$A$175,$A55,$E$5:$E$175,"&gt;0"),INDEX('تحليل التكلفة والسعر'!$H$2:$H$700,MATCH("فطيرة فورسيزون ستاموني",'تحليل التكلفة والسعر'!$B$2:$B$700,0))&lt;AVERAGEIFS('تحليل التكلفة والسعر'!$H$2:$H$700,'تحليل التكلفة والسعر'!$A$2:$A$700,$A55,'تحليل التكلفة والسعر'!$C$2:$C$700,"&gt;0")),"🐎 حصان عمل",IF(AND($E55&lt;AVERAGEIFS($E$5:$E$175,$A$5:$A$175,$A55,$E$5:$E$175,"&gt;0"),INDEX('تحليل التكلفة والسعر'!$H$2:$H$700,MATCH("فطيرة فورسيزون ستاموني",'تحليل التكلفة والسعر'!$B$2:$B$700,0))&gt;=AVERAGEIFS('تحليل التكلفة والسعر'!$H$2:$H$700,'تحليل التكلفة والسعر'!$A$2:$A$700,$A55,'تحليل التكلفة والسعر'!$C$2:$C$700,"&gt;0")),"🧩 لغز","🐶 كلب"))))</f>
        <v>🧩 لغز</v>
      </c>
      <c r="G55" s="49" t="n">
        <v>6</v>
      </c>
      <c r="H55" s="11" t="str">
        <f aca="false">IF(OR(NOT(INDEX('تحليل التكلفة والسعر'!$C$2:$C$700,MATCH("فطيرة فورسيزون ستاموني",'تحليل التكلفة والسعر'!$B$2:$B$700,0))&gt;0),$G55=0),"بيانات غير كافية",IF(AND($G55&gt;=AVERAGEIFS($G$5:$G$175,$A$5:$A$175,$A55,$G$5:$G$175,"&gt;0"),INDEX('تحليل التكلفة والسعر'!$H$2:$H$700,MATCH("فطيرة فورسيزون ستاموني",'تحليل التكلفة والسعر'!$B$2:$B$700,0))&gt;=AVERAGEIFS('تحليل التكلفة والسعر'!$H$2:$H$700,'تحليل التكلفة والسعر'!$A$2:$A$700,$A55,'تحليل التكلفة والسعر'!$C$2:$C$700,"&gt;0")),"⭐ نجم",IF(AND($G55&gt;=AVERAGEIFS($G$5:$G$175,$A$5:$A$175,$A55,$G$5:$G$175,"&gt;0"),INDEX('تحليل التكلفة والسعر'!$H$2:$H$700,MATCH("فطيرة فورسيزون ستاموني",'تحليل التكلفة والسعر'!$B$2:$B$700,0))&lt;AVERAGEIFS('تحليل التكلفة والسعر'!$H$2:$H$700,'تحليل التكلفة والسعر'!$A$2:$A$700,$A55,'تحليل التكلفة والسعر'!$C$2:$C$700,"&gt;0")),"🐎 حصان عمل",IF(AND($G55&lt;AVERAGEIFS($G$5:$G$175,$A$5:$A$175,$A55,$G$5:$G$175,"&gt;0"),INDEX('تحليل التكلفة والسعر'!$H$2:$H$700,MATCH("فطيرة فورسيزون ستاموني",'تحليل التكلفة والسعر'!$B$2:$B$700,0))&gt;=AVERAGEIFS('تحليل التكلفة والسعر'!$H$2:$H$700,'تحليل التكلفة والسعر'!$A$2:$A$700,$A55,'تحليل التكلفة والسعر'!$C$2:$C$700,"&gt;0")),"🧩 لغز","🐶 كلب"))))</f>
        <v>🧩 لغز</v>
      </c>
    </row>
    <row r="56" customFormat="false" ht="15" hidden="false" customHeight="true" outlineLevel="0" collapsed="false">
      <c r="A56" s="11" t="s">
        <v>12</v>
      </c>
      <c r="B56" s="11" t="s">
        <v>530</v>
      </c>
      <c r="C56" s="13" t="n">
        <f aca="false">IFERROR(INDEX('تحليل التكلفة والسعر'!$D$2:$D$700,MATCH("قنبلة برجر",'تحليل التكلفة والسعر'!$B$2:$B$700,0)),"")</f>
        <v>160</v>
      </c>
      <c r="D56" s="12" t="n">
        <f aca="false">IFERROR(INDEX('تحليل التكلفة والسعر'!$I$2:$I$700,MATCH("قنبلة برجر",'تحليل التكلفة والسعر'!$B$2:$B$700,0)),"")</f>
        <v>0.49901</v>
      </c>
      <c r="E56" s="49" t="n">
        <v>83</v>
      </c>
      <c r="F56" s="11" t="str">
        <f aca="false">IF(OR(NOT(INDEX('تحليل التكلفة والسعر'!$C$2:$C$700,MATCH("قنبلة برجر",'تحليل التكلفة والسعر'!$B$2:$B$700,0))&gt;0),$E56=0),"بيانات غير كافية",IF(AND($E56&gt;=AVERAGEIFS($E$5:$E$175,$A$5:$A$175,$A56,$E$5:$E$175,"&gt;0"),INDEX('تحليل التكلفة والسعر'!$H$2:$H$700,MATCH("قنبلة برجر",'تحليل التكلفة والسعر'!$B$2:$B$700,0))&gt;=AVERAGEIFS('تحليل التكلفة والسعر'!$H$2:$H$700,'تحليل التكلفة والسعر'!$A$2:$A$700,$A56,'تحليل التكلفة والسعر'!$C$2:$C$700,"&gt;0")),"⭐ نجم",IF(AND($E56&gt;=AVERAGEIFS($E$5:$E$175,$A$5:$A$175,$A56,$E$5:$E$175,"&gt;0"),INDEX('تحليل التكلفة والسعر'!$H$2:$H$700,MATCH("قنبلة برجر",'تحليل التكلفة والسعر'!$B$2:$B$700,0))&lt;AVERAGEIFS('تحليل التكلفة والسعر'!$H$2:$H$700,'تحليل التكلفة والسعر'!$A$2:$A$700,$A56,'تحليل التكلفة والسعر'!$C$2:$C$700,"&gt;0")),"🐎 حصان عمل",IF(AND($E56&lt;AVERAGEIFS($E$5:$E$175,$A$5:$A$175,$A56,$E$5:$E$175,"&gt;0"),INDEX('تحليل التكلفة والسعر'!$H$2:$H$700,MATCH("قنبلة برجر",'تحليل التكلفة والسعر'!$B$2:$B$700,0))&gt;=AVERAGEIFS('تحليل التكلفة والسعر'!$H$2:$H$700,'تحليل التكلفة والسعر'!$A$2:$A$700,$A56,'تحليل التكلفة والسعر'!$C$2:$C$700,"&gt;0")),"🧩 لغز","🐶 كلب"))))</f>
        <v>🐎 حصان عمل</v>
      </c>
      <c r="G56" s="49" t="n">
        <v>41</v>
      </c>
      <c r="H56" s="11" t="str">
        <f aca="false">IF(OR(NOT(INDEX('تحليل التكلفة والسعر'!$C$2:$C$700,MATCH("قنبلة برجر",'تحليل التكلفة والسعر'!$B$2:$B$700,0))&gt;0),$G56=0),"بيانات غير كافية",IF(AND($G56&gt;=AVERAGEIFS($G$5:$G$175,$A$5:$A$175,$A56,$G$5:$G$175,"&gt;0"),INDEX('تحليل التكلفة والسعر'!$H$2:$H$700,MATCH("قنبلة برجر",'تحليل التكلفة والسعر'!$B$2:$B$700,0))&gt;=AVERAGEIFS('تحليل التكلفة والسعر'!$H$2:$H$700,'تحليل التكلفة والسعر'!$A$2:$A$700,$A56,'تحليل التكلفة والسعر'!$C$2:$C$700,"&gt;0")),"⭐ نجم",IF(AND($G56&gt;=AVERAGEIFS($G$5:$G$175,$A$5:$A$175,$A56,$G$5:$G$175,"&gt;0"),INDEX('تحليل التكلفة والسعر'!$H$2:$H$700,MATCH("قنبلة برجر",'تحليل التكلفة والسعر'!$B$2:$B$700,0))&lt;AVERAGEIFS('تحليل التكلفة والسعر'!$H$2:$H$700,'تحليل التكلفة والسعر'!$A$2:$A$700,$A56,'تحليل التكلفة والسعر'!$C$2:$C$700,"&gt;0")),"🐎 حصان عمل",IF(AND($G56&lt;AVERAGEIFS($G$5:$G$175,$A$5:$A$175,$A56,$G$5:$G$175,"&gt;0"),INDEX('تحليل التكلفة والسعر'!$H$2:$H$700,MATCH("قنبلة برجر",'تحليل التكلفة والسعر'!$B$2:$B$700,0))&gt;=AVERAGEIFS('تحليل التكلفة والسعر'!$H$2:$H$700,'تحليل التكلفة والسعر'!$A$2:$A$700,$A56,'تحليل التكلفة والسعر'!$C$2:$C$700,"&gt;0")),"🧩 لغز","🐶 كلب"))))</f>
        <v>🐎 حصان عمل</v>
      </c>
    </row>
    <row r="57" customFormat="false" ht="15" hidden="false" customHeight="true" outlineLevel="0" collapsed="false">
      <c r="A57" s="11" t="s">
        <v>12</v>
      </c>
      <c r="B57" s="11" t="s">
        <v>504</v>
      </c>
      <c r="C57" s="13" t="n">
        <f aca="false">IFERROR(INDEX('تحليل التكلفة والسعر'!$D$2:$D$700,MATCH("قنبلة كريسبي",'تحليل التكلفة والسعر'!$B$2:$B$700,0)),"")</f>
        <v>160</v>
      </c>
      <c r="D57" s="12" t="n">
        <f aca="false">IFERROR(INDEX('تحليل التكلفة والسعر'!$I$2:$I$700,MATCH("قنبلة كريسبي",'تحليل التكلفة والسعر'!$B$2:$B$700,0)),"")</f>
        <v>0.450086875</v>
      </c>
      <c r="E57" s="49" t="n">
        <v>9</v>
      </c>
      <c r="F57" s="11" t="str">
        <f aca="false">IF(OR(NOT(INDEX('تحليل التكلفة والسعر'!$C$2:$C$700,MATCH("قنبلة كريسبي",'تحليل التكلفة والسعر'!$B$2:$B$700,0))&gt;0),$E57=0),"بيانات غير كافية",IF(AND($E57&gt;=AVERAGEIFS($E$5:$E$175,$A$5:$A$175,$A57,$E$5:$E$175,"&gt;0"),INDEX('تحليل التكلفة والسعر'!$H$2:$H$700,MATCH("قنبلة كريسبي",'تحليل التكلفة والسعر'!$B$2:$B$700,0))&gt;=AVERAGEIFS('تحليل التكلفة والسعر'!$H$2:$H$700,'تحليل التكلفة والسعر'!$A$2:$A$700,$A57,'تحليل التكلفة والسعر'!$C$2:$C$700,"&gt;0")),"⭐ نجم",IF(AND($E57&gt;=AVERAGEIFS($E$5:$E$175,$A$5:$A$175,$A57,$E$5:$E$175,"&gt;0"),INDEX('تحليل التكلفة والسعر'!$H$2:$H$700,MATCH("قنبلة كريسبي",'تحليل التكلفة والسعر'!$B$2:$B$700,0))&lt;AVERAGEIFS('تحليل التكلفة والسعر'!$H$2:$H$700,'تحليل التكلفة والسعر'!$A$2:$A$700,$A57,'تحليل التكلفة والسعر'!$C$2:$C$700,"&gt;0")),"🐎 حصان عمل",IF(AND($E57&lt;AVERAGEIFS($E$5:$E$175,$A$5:$A$175,$A57,$E$5:$E$175,"&gt;0"),INDEX('تحليل التكلفة والسعر'!$H$2:$H$700,MATCH("قنبلة كريسبي",'تحليل التكلفة والسعر'!$B$2:$B$700,0))&gt;=AVERAGEIFS('تحليل التكلفة والسعر'!$H$2:$H$700,'تحليل التكلفة والسعر'!$A$2:$A$700,$A57,'تحليل التكلفة والسعر'!$C$2:$C$700,"&gt;0")),"🧩 لغز","🐶 كلب"))))</f>
        <v>🐶 كلب</v>
      </c>
      <c r="G57" s="49" t="n">
        <v>1</v>
      </c>
      <c r="H57" s="11" t="str">
        <f aca="false">IF(OR(NOT(INDEX('تحليل التكلفة والسعر'!$C$2:$C$700,MATCH("قنبلة كريسبي",'تحليل التكلفة والسعر'!$B$2:$B$700,0))&gt;0),$G57=0),"بيانات غير كافية",IF(AND($G57&gt;=AVERAGEIFS($G$5:$G$175,$A$5:$A$175,$A57,$G$5:$G$175,"&gt;0"),INDEX('تحليل التكلفة والسعر'!$H$2:$H$700,MATCH("قنبلة كريسبي",'تحليل التكلفة والسعر'!$B$2:$B$700,0))&gt;=AVERAGEIFS('تحليل التكلفة والسعر'!$H$2:$H$700,'تحليل التكلفة والسعر'!$A$2:$A$700,$A57,'تحليل التكلفة والسعر'!$C$2:$C$700,"&gt;0")),"⭐ نجم",IF(AND($G57&gt;=AVERAGEIFS($G$5:$G$175,$A$5:$A$175,$A57,$G$5:$G$175,"&gt;0"),INDEX('تحليل التكلفة والسعر'!$H$2:$H$700,MATCH("قنبلة كريسبي",'تحليل التكلفة والسعر'!$B$2:$B$700,0))&lt;AVERAGEIFS('تحليل التكلفة والسعر'!$H$2:$H$700,'تحليل التكلفة والسعر'!$A$2:$A$700,$A57,'تحليل التكلفة والسعر'!$C$2:$C$700,"&gt;0")),"🐎 حصان عمل",IF(AND($G57&lt;AVERAGEIFS($G$5:$G$175,$A$5:$A$175,$A57,$G$5:$G$175,"&gt;0"),INDEX('تحليل التكلفة والسعر'!$H$2:$H$700,MATCH("قنبلة كريسبي",'تحليل التكلفة والسعر'!$B$2:$B$700,0))&gt;=AVERAGEIFS('تحليل التكلفة والسعر'!$H$2:$H$700,'تحليل التكلفة والسعر'!$A$2:$A$700,$A57,'تحليل التكلفة والسعر'!$C$2:$C$700,"&gt;0")),"🧩 لغز","🐶 كلب"))))</f>
        <v>🐶 كلب</v>
      </c>
    </row>
    <row r="58" customFormat="false" ht="15" hidden="false" customHeight="true" outlineLevel="0" collapsed="false">
      <c r="A58" s="11" t="s">
        <v>12</v>
      </c>
      <c r="B58" s="11" t="s">
        <v>512</v>
      </c>
      <c r="C58" s="13" t="n">
        <f aca="false">IFERROR(INDEX('تحليل التكلفة والسعر'!$D$2:$D$700,MATCH("بهججة بيتزا برجر",'تحليل التكلفة والسعر'!$B$2:$B$700,0)),"")</f>
        <v>170</v>
      </c>
      <c r="D58" s="12" t="n">
        <f aca="false">IFERROR(INDEX('تحليل التكلفة والسعر'!$I$2:$I$700,MATCH("بهججة بيتزا برجر",'تحليل التكلفة والسعر'!$B$2:$B$700,0)),"")</f>
        <v>0.422060941176471</v>
      </c>
      <c r="E58" s="49" t="n">
        <v>0</v>
      </c>
      <c r="F58" s="11" t="str">
        <f aca="false">IF(OR(NOT(INDEX('تحليل التكلفة والسعر'!$C$2:$C$700,MATCH("بهججة بيتزا برجر",'تحليل التكلفة والسعر'!$B$2:$B$700,0))&gt;0),$E58=0),"بيانات غير كافية",IF(AND($E58&gt;=AVERAGEIFS($E$5:$E$175,$A$5:$A$175,$A58,$E$5:$E$175,"&gt;0"),INDEX('تحليل التكلفة والسعر'!$H$2:$H$700,MATCH("بهججة بيتزا برجر",'تحليل التكلفة والسعر'!$B$2:$B$700,0))&gt;=AVERAGEIFS('تحليل التكلفة والسعر'!$H$2:$H$700,'تحليل التكلفة والسعر'!$A$2:$A$700,$A58,'تحليل التكلفة والسعر'!$C$2:$C$700,"&gt;0")),"⭐ نجم",IF(AND($E58&gt;=AVERAGEIFS($E$5:$E$175,$A$5:$A$175,$A58,$E$5:$E$175,"&gt;0"),INDEX('تحليل التكلفة والسعر'!$H$2:$H$700,MATCH("بهججة بيتزا برجر",'تحليل التكلفة والسعر'!$B$2:$B$700,0))&lt;AVERAGEIFS('تحليل التكلفة والسعر'!$H$2:$H$700,'تحليل التكلفة والسعر'!$A$2:$A$700,$A58,'تحليل التكلفة والسعر'!$C$2:$C$700,"&gt;0")),"🐎 حصان عمل",IF(AND($E58&lt;AVERAGEIFS($E$5:$E$175,$A$5:$A$175,$A58,$E$5:$E$175,"&gt;0"),INDEX('تحليل التكلفة والسعر'!$H$2:$H$700,MATCH("بهججة بيتزا برجر",'تحليل التكلفة والسعر'!$B$2:$B$700,0))&gt;=AVERAGEIFS('تحليل التكلفة والسعر'!$H$2:$H$700,'تحليل التكلفة والسعر'!$A$2:$A$700,$A58,'تحليل التكلفة والسعر'!$C$2:$C$700,"&gt;0")),"🧩 لغز","🐶 كلب"))))</f>
        <v>بيانات غير كافية</v>
      </c>
      <c r="G58" s="49" t="n">
        <v>0</v>
      </c>
      <c r="H58" s="11" t="str">
        <f aca="false">IF(OR(NOT(INDEX('تحليل التكلفة والسعر'!$C$2:$C$700,MATCH("بهججة بيتزا برجر",'تحليل التكلفة والسعر'!$B$2:$B$700,0))&gt;0),$G58=0),"بيانات غير كافية",IF(AND($G58&gt;=AVERAGEIFS($G$5:$G$175,$A$5:$A$175,$A58,$G$5:$G$175,"&gt;0"),INDEX('تحليل التكلفة والسعر'!$H$2:$H$700,MATCH("بهججة بيتزا برجر",'تحليل التكلفة والسعر'!$B$2:$B$700,0))&gt;=AVERAGEIFS('تحليل التكلفة والسعر'!$H$2:$H$700,'تحليل التكلفة والسعر'!$A$2:$A$700,$A58,'تحليل التكلفة والسعر'!$C$2:$C$700,"&gt;0")),"⭐ نجم",IF(AND($G58&gt;=AVERAGEIFS($G$5:$G$175,$A$5:$A$175,$A58,$G$5:$G$175,"&gt;0"),INDEX('تحليل التكلفة والسعر'!$H$2:$H$700,MATCH("بهججة بيتزا برجر",'تحليل التكلفة والسعر'!$B$2:$B$700,0))&lt;AVERAGEIFS('تحليل التكلفة والسعر'!$H$2:$H$700,'تحليل التكلفة والسعر'!$A$2:$A$700,$A58,'تحليل التكلفة والسعر'!$C$2:$C$700,"&gt;0")),"🐎 حصان عمل",IF(AND($G58&lt;AVERAGEIFS($G$5:$G$175,$A$5:$A$175,$A58,$G$5:$G$175,"&gt;0"),INDEX('تحليل التكلفة والسعر'!$H$2:$H$700,MATCH("بهججة بيتزا برجر",'تحليل التكلفة والسعر'!$B$2:$B$700,0))&gt;=AVERAGEIFS('تحليل التكلفة والسعر'!$H$2:$H$700,'تحليل التكلفة والسعر'!$A$2:$A$700,$A58,'تحليل التكلفة والسعر'!$C$2:$C$700,"&gt;0")),"🧩 لغز","🐶 كلب"))))</f>
        <v>بيانات غير كافية</v>
      </c>
    </row>
    <row r="59" customFormat="false" ht="15" hidden="false" customHeight="true" outlineLevel="0" collapsed="false">
      <c r="A59" s="11" t="s">
        <v>12</v>
      </c>
      <c r="B59" s="11" t="s">
        <v>533</v>
      </c>
      <c r="C59" s="13" t="n">
        <f aca="false">IFERROR(INDEX('تحليل التكلفة والسعر'!$D$2:$D$700,MATCH("بهججة كريسبي",'تحليل التكلفة والسعر'!$B$2:$B$700,0)),"")</f>
        <v>170</v>
      </c>
      <c r="D59" s="12" t="n">
        <f aca="false">IFERROR(INDEX('تحليل التكلفة والسعر'!$I$2:$I$700,MATCH("بهججة كريسبي",'تحليل التكلفة والسعر'!$B$2:$B$700,0)),"")</f>
        <v>0.434839176470588</v>
      </c>
      <c r="E59" s="49" t="n">
        <v>0</v>
      </c>
      <c r="F59" s="11" t="str">
        <f aca="false">IF(OR(NOT(INDEX('تحليل التكلفة والسعر'!$C$2:$C$700,MATCH("بهججة كريسبي",'تحليل التكلفة والسعر'!$B$2:$B$700,0))&gt;0),$E59=0),"بيانات غير كافية",IF(AND($E59&gt;=AVERAGEIFS($E$5:$E$175,$A$5:$A$175,$A59,$E$5:$E$175,"&gt;0"),INDEX('تحليل التكلفة والسعر'!$H$2:$H$700,MATCH("بهججة كريسبي",'تحليل التكلفة والسعر'!$B$2:$B$700,0))&gt;=AVERAGEIFS('تحليل التكلفة والسعر'!$H$2:$H$700,'تحليل التكلفة والسعر'!$A$2:$A$700,$A59,'تحليل التكلفة والسعر'!$C$2:$C$700,"&gt;0")),"⭐ نجم",IF(AND($E59&gt;=AVERAGEIFS($E$5:$E$175,$A$5:$A$175,$A59,$E$5:$E$175,"&gt;0"),INDEX('تحليل التكلفة والسعر'!$H$2:$H$700,MATCH("بهججة كريسبي",'تحليل التكلفة والسعر'!$B$2:$B$700,0))&lt;AVERAGEIFS('تحليل التكلفة والسعر'!$H$2:$H$700,'تحليل التكلفة والسعر'!$A$2:$A$700,$A59,'تحليل التكلفة والسعر'!$C$2:$C$700,"&gt;0")),"🐎 حصان عمل",IF(AND($E59&lt;AVERAGEIFS($E$5:$E$175,$A$5:$A$175,$A59,$E$5:$E$175,"&gt;0"),INDEX('تحليل التكلفة والسعر'!$H$2:$H$700,MATCH("بهججة كريسبي",'تحليل التكلفة والسعر'!$B$2:$B$700,0))&gt;=AVERAGEIFS('تحليل التكلفة والسعر'!$H$2:$H$700,'تحليل التكلفة والسعر'!$A$2:$A$700,$A59,'تحليل التكلفة والسعر'!$C$2:$C$700,"&gt;0")),"🧩 لغز","🐶 كلب"))))</f>
        <v>بيانات غير كافية</v>
      </c>
      <c r="G59" s="49" t="n">
        <v>0</v>
      </c>
      <c r="H59" s="11" t="str">
        <f aca="false">IF(OR(NOT(INDEX('تحليل التكلفة والسعر'!$C$2:$C$700,MATCH("بهججة كريسبي",'تحليل التكلفة والسعر'!$B$2:$B$700,0))&gt;0),$G59=0),"بيانات غير كافية",IF(AND($G59&gt;=AVERAGEIFS($G$5:$G$175,$A$5:$A$175,$A59,$G$5:$G$175,"&gt;0"),INDEX('تحليل التكلفة والسعر'!$H$2:$H$700,MATCH("بهججة كريسبي",'تحليل التكلفة والسعر'!$B$2:$B$700,0))&gt;=AVERAGEIFS('تحليل التكلفة والسعر'!$H$2:$H$700,'تحليل التكلفة والسعر'!$A$2:$A$700,$A59,'تحليل التكلفة والسعر'!$C$2:$C$700,"&gt;0")),"⭐ نجم",IF(AND($G59&gt;=AVERAGEIFS($G$5:$G$175,$A$5:$A$175,$A59,$G$5:$G$175,"&gt;0"),INDEX('تحليل التكلفة والسعر'!$H$2:$H$700,MATCH("بهججة كريسبي",'تحليل التكلفة والسعر'!$B$2:$B$700,0))&lt;AVERAGEIFS('تحليل التكلفة والسعر'!$H$2:$H$700,'تحليل التكلفة والسعر'!$A$2:$A$700,$A59,'تحليل التكلفة والسعر'!$C$2:$C$700,"&gt;0")),"🐎 حصان عمل",IF(AND($G59&lt;AVERAGEIFS($G$5:$G$175,$A$5:$A$175,$A59,$G$5:$G$175,"&gt;0"),INDEX('تحليل التكلفة والسعر'!$H$2:$H$700,MATCH("بهججة كريسبي",'تحليل التكلفة والسعر'!$B$2:$B$700,0))&gt;=AVERAGEIFS('تحليل التكلفة والسعر'!$H$2:$H$700,'تحليل التكلفة والسعر'!$A$2:$A$700,$A59,'تحليل التكلفة والسعر'!$C$2:$C$700,"&gt;0")),"🧩 لغز","🐶 كلب"))))</f>
        <v>بيانات غير كافية</v>
      </c>
    </row>
    <row r="60" customFormat="false" ht="15" hidden="false" customHeight="true" outlineLevel="0" collapsed="false">
      <c r="A60" s="11" t="s">
        <v>12</v>
      </c>
      <c r="B60" s="11" t="s">
        <v>396</v>
      </c>
      <c r="C60" s="13" t="n">
        <f aca="false">IFERROR(INDEX('تحليل التكلفة والسعر'!$D$2:$D$700,MATCH("شيكاغو بيتزا برجر",'تحليل التكلفة والسعر'!$B$2:$B$700,0)),"")</f>
        <v>330</v>
      </c>
      <c r="D60" s="12" t="n">
        <f aca="false">IFERROR(INDEX('تحليل التكلفة والسعر'!$I$2:$I$700,MATCH("شيكاغو بيتزا برجر",'تحليل التكلفة والسعر'!$B$2:$B$700,0)),"")</f>
        <v>0.451101060606061</v>
      </c>
      <c r="E60" s="49" t="n">
        <v>14</v>
      </c>
      <c r="F60" s="11" t="str">
        <f aca="false">IF(OR(NOT(INDEX('تحليل التكلفة والسعر'!$C$2:$C$700,MATCH("شيكاغو بيتزا برجر",'تحليل التكلفة والسعر'!$B$2:$B$700,0))&gt;0),$E60=0),"بيانات غير كافية",IF(AND($E60&gt;=AVERAGEIFS($E$5:$E$175,$A$5:$A$175,$A60,$E$5:$E$175,"&gt;0"),INDEX('تحليل التكلفة والسعر'!$H$2:$H$700,MATCH("شيكاغو بيتزا برجر",'تحليل التكلفة والسعر'!$B$2:$B$700,0))&gt;=AVERAGEIFS('تحليل التكلفة والسعر'!$H$2:$H$700,'تحليل التكلفة والسعر'!$A$2:$A$700,$A60,'تحليل التكلفة والسعر'!$C$2:$C$700,"&gt;0")),"⭐ نجم",IF(AND($E60&gt;=AVERAGEIFS($E$5:$E$175,$A$5:$A$175,$A60,$E$5:$E$175,"&gt;0"),INDEX('تحليل التكلفة والسعر'!$H$2:$H$700,MATCH("شيكاغو بيتزا برجر",'تحليل التكلفة والسعر'!$B$2:$B$700,0))&lt;AVERAGEIFS('تحليل التكلفة والسعر'!$H$2:$H$700,'تحليل التكلفة والسعر'!$A$2:$A$700,$A60,'تحليل التكلفة والسعر'!$C$2:$C$700,"&gt;0")),"🐎 حصان عمل",IF(AND($E60&lt;AVERAGEIFS($E$5:$E$175,$A$5:$A$175,$A60,$E$5:$E$175,"&gt;0"),INDEX('تحليل التكلفة والسعر'!$H$2:$H$700,MATCH("شيكاغو بيتزا برجر",'تحليل التكلفة والسعر'!$B$2:$B$700,0))&gt;=AVERAGEIFS('تحليل التكلفة والسعر'!$H$2:$H$700,'تحليل التكلفة والسعر'!$A$2:$A$700,$A60,'تحليل التكلفة والسعر'!$C$2:$C$700,"&gt;0")),"🧩 لغز","🐶 كلب"))))</f>
        <v>🧩 لغز</v>
      </c>
      <c r="G60" s="49" t="n">
        <v>1</v>
      </c>
      <c r="H60" s="11" t="str">
        <f aca="false">IF(OR(NOT(INDEX('تحليل التكلفة والسعر'!$C$2:$C$700,MATCH("شيكاغو بيتزا برجر",'تحليل التكلفة والسعر'!$B$2:$B$700,0))&gt;0),$G60=0),"بيانات غير كافية",IF(AND($G60&gt;=AVERAGEIFS($G$5:$G$175,$A$5:$A$175,$A60,$G$5:$G$175,"&gt;0"),INDEX('تحليل التكلفة والسعر'!$H$2:$H$700,MATCH("شيكاغو بيتزا برجر",'تحليل التكلفة والسعر'!$B$2:$B$700,0))&gt;=AVERAGEIFS('تحليل التكلفة والسعر'!$H$2:$H$700,'تحليل التكلفة والسعر'!$A$2:$A$700,$A60,'تحليل التكلفة والسعر'!$C$2:$C$700,"&gt;0")),"⭐ نجم",IF(AND($G60&gt;=AVERAGEIFS($G$5:$G$175,$A$5:$A$175,$A60,$G$5:$G$175,"&gt;0"),INDEX('تحليل التكلفة والسعر'!$H$2:$H$700,MATCH("شيكاغو بيتزا برجر",'تحليل التكلفة والسعر'!$B$2:$B$700,0))&lt;AVERAGEIFS('تحليل التكلفة والسعر'!$H$2:$H$700,'تحليل التكلفة والسعر'!$A$2:$A$700,$A60,'تحليل التكلفة والسعر'!$C$2:$C$700,"&gt;0")),"🐎 حصان عمل",IF(AND($G60&lt;AVERAGEIFS($G$5:$G$175,$A$5:$A$175,$A60,$G$5:$G$175,"&gt;0"),INDEX('تحليل التكلفة والسعر'!$H$2:$H$700,MATCH("شيكاغو بيتزا برجر",'تحليل التكلفة والسعر'!$B$2:$B$700,0))&gt;=AVERAGEIFS('تحليل التكلفة والسعر'!$H$2:$H$700,'تحليل التكلفة والسعر'!$A$2:$A$700,$A60,'تحليل التكلفة والسعر'!$C$2:$C$700,"&gt;0")),"🧩 لغز","🐶 كلب"))))</f>
        <v>🧩 لغز</v>
      </c>
    </row>
    <row r="61" customFormat="false" ht="15" hidden="false" customHeight="true" outlineLevel="0" collapsed="false">
      <c r="A61" s="11" t="s">
        <v>12</v>
      </c>
      <c r="B61" s="11" t="s">
        <v>482</v>
      </c>
      <c r="C61" s="13" t="n">
        <f aca="false">IFERROR(INDEX('تحليل التكلفة والسعر'!$D$2:$D$700,MATCH("فطيررجر",'تحليل التكلفة والسعر'!$B$2:$B$700,0)),"")</f>
        <v>150</v>
      </c>
      <c r="D61" s="12" t="n">
        <f aca="false">IFERROR(INDEX('تحليل التكلفة والسعر'!$I$2:$I$700,MATCH("فطيررجر",'تحليل التكلفة والسعر'!$B$2:$B$700,0)),"")</f>
        <v>0.513210666666667</v>
      </c>
      <c r="E61" s="49" t="n">
        <v>0</v>
      </c>
      <c r="F61" s="11" t="str">
        <f aca="false">IF(OR(NOT(INDEX('تحليل التكلفة والسعر'!$C$2:$C$700,MATCH("فطيررجر",'تحليل التكلفة والسعر'!$B$2:$B$700,0))&gt;0),$E61=0),"بيانات غير كافية",IF(AND($E61&gt;=AVERAGEIFS($E$5:$E$175,$A$5:$A$175,$A61,$E$5:$E$175,"&gt;0"),INDEX('تحليل التكلفة والسعر'!$H$2:$H$700,MATCH("فطيررجر",'تحليل التكلفة والسعر'!$B$2:$B$700,0))&gt;=AVERAGEIFS('تحليل التكلفة والسعر'!$H$2:$H$700,'تحليل التكلفة والسعر'!$A$2:$A$700,$A61,'تحليل التكلفة والسعر'!$C$2:$C$700,"&gt;0")),"⭐ نجم",IF(AND($E61&gt;=AVERAGEIFS($E$5:$E$175,$A$5:$A$175,$A61,$E$5:$E$175,"&gt;0"),INDEX('تحليل التكلفة والسعر'!$H$2:$H$700,MATCH("فطيررجر",'تحليل التكلفة والسعر'!$B$2:$B$700,0))&lt;AVERAGEIFS('تحليل التكلفة والسعر'!$H$2:$H$700,'تحليل التكلفة والسعر'!$A$2:$A$700,$A61,'تحليل التكلفة والسعر'!$C$2:$C$700,"&gt;0")),"🐎 حصان عمل",IF(AND($E61&lt;AVERAGEIFS($E$5:$E$175,$A$5:$A$175,$A61,$E$5:$E$175,"&gt;0"),INDEX('تحليل التكلفة والسعر'!$H$2:$H$700,MATCH("فطيررجر",'تحليل التكلفة والسعر'!$B$2:$B$700,0))&gt;=AVERAGEIFS('تحليل التكلفة والسعر'!$H$2:$H$700,'تحليل التكلفة والسعر'!$A$2:$A$700,$A61,'تحليل التكلفة والسعر'!$C$2:$C$700,"&gt;0")),"🧩 لغز","🐶 كلب"))))</f>
        <v>بيانات غير كافية</v>
      </c>
      <c r="G61" s="49" t="n">
        <v>0</v>
      </c>
      <c r="H61" s="11" t="str">
        <f aca="false">IF(OR(NOT(INDEX('تحليل التكلفة والسعر'!$C$2:$C$700,MATCH("فطيررجر",'تحليل التكلفة والسعر'!$B$2:$B$700,0))&gt;0),$G61=0),"بيانات غير كافية",IF(AND($G61&gt;=AVERAGEIFS($G$5:$G$175,$A$5:$A$175,$A61,$G$5:$G$175,"&gt;0"),INDEX('تحليل التكلفة والسعر'!$H$2:$H$700,MATCH("فطيررجر",'تحليل التكلفة والسعر'!$B$2:$B$700,0))&gt;=AVERAGEIFS('تحليل التكلفة والسعر'!$H$2:$H$700,'تحليل التكلفة والسعر'!$A$2:$A$700,$A61,'تحليل التكلفة والسعر'!$C$2:$C$700,"&gt;0")),"⭐ نجم",IF(AND($G61&gt;=AVERAGEIFS($G$5:$G$175,$A$5:$A$175,$A61,$G$5:$G$175,"&gt;0"),INDEX('تحليل التكلفة والسعر'!$H$2:$H$700,MATCH("فطيررجر",'تحليل التكلفة والسعر'!$B$2:$B$700,0))&lt;AVERAGEIFS('تحليل التكلفة والسعر'!$H$2:$H$700,'تحليل التكلفة والسعر'!$A$2:$A$700,$A61,'تحليل التكلفة والسعر'!$C$2:$C$700,"&gt;0")),"🐎 حصان عمل",IF(AND($G61&lt;AVERAGEIFS($G$5:$G$175,$A$5:$A$175,$A61,$G$5:$G$175,"&gt;0"),INDEX('تحليل التكلفة والسعر'!$H$2:$H$700,MATCH("فطيررجر",'تحليل التكلفة والسعر'!$B$2:$B$700,0))&gt;=AVERAGEIFS('تحليل التكلفة والسعر'!$H$2:$H$700,'تحليل التكلفة والسعر'!$A$2:$A$700,$A61,'تحليل التكلفة والسعر'!$C$2:$C$700,"&gt;0")),"🧩 لغز","🐶 كلب"))))</f>
        <v>بيانات غير كافية</v>
      </c>
    </row>
    <row r="62" customFormat="false" ht="15" hidden="false" customHeight="true" outlineLevel="0" collapsed="false">
      <c r="A62" s="11" t="s">
        <v>13</v>
      </c>
      <c r="B62" s="11" t="s">
        <v>406</v>
      </c>
      <c r="C62" s="13" t="n">
        <f aca="false">IFERROR(INDEX('تحليل التكلفة والسعر'!$D$2:$D$700,MATCH("مكرونة تجرسكو (فراخ ومشروم)",'تحليل التكلفة والسعر'!$B$2:$B$700,0)),"")</f>
        <v>160</v>
      </c>
      <c r="D62" s="12" t="n">
        <f aca="false">IFERROR(INDEX('تحليل التكلفة والسعر'!$I$2:$I$700,MATCH("مكرونة تجرسكو (فراخ ومشروم)",'تحليل التكلفة والسعر'!$B$2:$B$700,0)),"")</f>
        <v>0.44719126875</v>
      </c>
      <c r="E62" s="49" t="n">
        <v>86</v>
      </c>
      <c r="F62" s="11" t="str">
        <f aca="false">IF(OR(NOT(INDEX('تحليل التكلفة والسعر'!$C$2:$C$700,MATCH("مكرونة تجرسكو (فراخ ومشروم)",'تحليل التكلفة والسعر'!$B$2:$B$700,0))&gt;0),$E62=0),"بيانات غير كافية",IF(AND($E62&gt;=AVERAGEIFS($E$5:$E$175,$A$5:$A$175,$A62,$E$5:$E$175,"&gt;0"),INDEX('تحليل التكلفة والسعر'!$H$2:$H$700,MATCH("مكرونة تجرسكو (فراخ ومشروم)",'تحليل التكلفة والسعر'!$B$2:$B$700,0))&gt;=AVERAGEIFS('تحليل التكلفة والسعر'!$H$2:$H$700,'تحليل التكلفة والسعر'!$A$2:$A$700,$A62,'تحليل التكلفة والسعر'!$C$2:$C$700,"&gt;0")),"⭐ نجم",IF(AND($E62&gt;=AVERAGEIFS($E$5:$E$175,$A$5:$A$175,$A62,$E$5:$E$175,"&gt;0"),INDEX('تحليل التكلفة والسعر'!$H$2:$H$700,MATCH("مكرونة تجرسكو (فراخ ومشروم)",'تحليل التكلفة والسعر'!$B$2:$B$700,0))&lt;AVERAGEIFS('تحليل التكلفة والسعر'!$H$2:$H$700,'تحليل التكلفة والسعر'!$A$2:$A$700,$A62,'تحليل التكلفة والسعر'!$C$2:$C$700,"&gt;0")),"🐎 حصان عمل",IF(AND($E62&lt;AVERAGEIFS($E$5:$E$175,$A$5:$A$175,$A62,$E$5:$E$175,"&gt;0"),INDEX('تحليل التكلفة والسعر'!$H$2:$H$700,MATCH("مكرونة تجرسكو (فراخ ومشروم)",'تحليل التكلفة والسعر'!$B$2:$B$700,0))&gt;=AVERAGEIFS('تحليل التكلفة والسعر'!$H$2:$H$700,'تحليل التكلفة والسعر'!$A$2:$A$700,$A62,'تحليل التكلفة والسعر'!$C$2:$C$700,"&gt;0")),"🧩 لغز","🐶 كلب"))))</f>
        <v>🐎 حصان عمل</v>
      </c>
      <c r="G62" s="49" t="n">
        <v>13</v>
      </c>
      <c r="H62" s="11" t="str">
        <f aca="false">IF(OR(NOT(INDEX('تحليل التكلفة والسعر'!$C$2:$C$700,MATCH("مكرونة تجرسكو (فراخ ومشروم)",'تحليل التكلفة والسعر'!$B$2:$B$700,0))&gt;0),$G62=0),"بيانات غير كافية",IF(AND($G62&gt;=AVERAGEIFS($G$5:$G$175,$A$5:$A$175,$A62,$G$5:$G$175,"&gt;0"),INDEX('تحليل التكلفة والسعر'!$H$2:$H$700,MATCH("مكرونة تجرسكو (فراخ ومشروم)",'تحليل التكلفة والسعر'!$B$2:$B$700,0))&gt;=AVERAGEIFS('تحليل التكلفة والسعر'!$H$2:$H$700,'تحليل التكلفة والسعر'!$A$2:$A$700,$A62,'تحليل التكلفة والسعر'!$C$2:$C$700,"&gt;0")),"⭐ نجم",IF(AND($G62&gt;=AVERAGEIFS($G$5:$G$175,$A$5:$A$175,$A62,$G$5:$G$175,"&gt;0"),INDEX('تحليل التكلفة والسعر'!$H$2:$H$700,MATCH("مكرونة تجرسكو (فراخ ومشروم)",'تحليل التكلفة والسعر'!$B$2:$B$700,0))&lt;AVERAGEIFS('تحليل التكلفة والسعر'!$H$2:$H$700,'تحليل التكلفة والسعر'!$A$2:$A$700,$A62,'تحليل التكلفة والسعر'!$C$2:$C$700,"&gt;0")),"🐎 حصان عمل",IF(AND($G62&lt;AVERAGEIFS($G$5:$G$175,$A$5:$A$175,$A62,$G$5:$G$175,"&gt;0"),INDEX('تحليل التكلفة والسعر'!$H$2:$H$700,MATCH("مكرونة تجرسكو (فراخ ومشروم)",'تحليل التكلفة والسعر'!$B$2:$B$700,0))&gt;=AVERAGEIFS('تحليل التكلفة والسعر'!$H$2:$H$700,'تحليل التكلفة والسعر'!$A$2:$A$700,$A62,'تحليل التكلفة والسعر'!$C$2:$C$700,"&gt;0")),"🧩 لغز","🐶 كلب"))))</f>
        <v>🐎 حصان عمل</v>
      </c>
    </row>
    <row r="63" customFormat="false" ht="15" hidden="false" customHeight="true" outlineLevel="0" collapsed="false">
      <c r="A63" s="11" t="s">
        <v>13</v>
      </c>
      <c r="B63" s="11" t="s">
        <v>467</v>
      </c>
      <c r="C63" s="13" t="n">
        <f aca="false">IFERROR(INDEX('تحليل التكلفة والسعر'!$D$2:$D$700,MATCH("مكرونة كريسبي شيدر",'تحليل التكلفة والسعر'!$B$2:$B$700,0)),"")</f>
        <v>180</v>
      </c>
      <c r="D63" s="12" t="n">
        <f aca="false">IFERROR(INDEX('تحليل التكلفة والسعر'!$I$2:$I$700,MATCH("مكرونة كريسبي شيدر",'تحليل التكلفة والسعر'!$B$2:$B$700,0)),"")</f>
        <v>0.472372583333333</v>
      </c>
      <c r="E63" s="49" t="n">
        <v>21</v>
      </c>
      <c r="F63" s="11" t="str">
        <f aca="false">IF(OR(NOT(INDEX('تحليل التكلفة والسعر'!$C$2:$C$700,MATCH("مكرونة كريسبي شيدر",'تحليل التكلفة والسعر'!$B$2:$B$700,0))&gt;0),$E63=0),"بيانات غير كافية",IF(AND($E63&gt;=AVERAGEIFS($E$5:$E$175,$A$5:$A$175,$A63,$E$5:$E$175,"&gt;0"),INDEX('تحليل التكلفة والسعر'!$H$2:$H$700,MATCH("مكرونة كريسبي شيدر",'تحليل التكلفة والسعر'!$B$2:$B$700,0))&gt;=AVERAGEIFS('تحليل التكلفة والسعر'!$H$2:$H$700,'تحليل التكلفة والسعر'!$A$2:$A$700,$A63,'تحليل التكلفة والسعر'!$C$2:$C$700,"&gt;0")),"⭐ نجم",IF(AND($E63&gt;=AVERAGEIFS($E$5:$E$175,$A$5:$A$175,$A63,$E$5:$E$175,"&gt;0"),INDEX('تحليل التكلفة والسعر'!$H$2:$H$700,MATCH("مكرونة كريسبي شيدر",'تحليل التكلفة والسعر'!$B$2:$B$700,0))&lt;AVERAGEIFS('تحليل التكلفة والسعر'!$H$2:$H$700,'تحليل التكلفة والسعر'!$A$2:$A$700,$A63,'تحليل التكلفة والسعر'!$C$2:$C$700,"&gt;0")),"🐎 حصان عمل",IF(AND($E63&lt;AVERAGEIFS($E$5:$E$175,$A$5:$A$175,$A63,$E$5:$E$175,"&gt;0"),INDEX('تحليل التكلفة والسعر'!$H$2:$H$700,MATCH("مكرونة كريسبي شيدر",'تحليل التكلفة والسعر'!$B$2:$B$700,0))&gt;=AVERAGEIFS('تحليل التكلفة والسعر'!$H$2:$H$700,'تحليل التكلفة والسعر'!$A$2:$A$700,$A63,'تحليل التكلفة والسعر'!$C$2:$C$700,"&gt;0")),"🧩 لغز","🐶 كلب"))))</f>
        <v>🧩 لغز</v>
      </c>
      <c r="G63" s="49" t="n">
        <v>1</v>
      </c>
      <c r="H63" s="11" t="str">
        <f aca="false">IF(OR(NOT(INDEX('تحليل التكلفة والسعر'!$C$2:$C$700,MATCH("مكرونة كريسبي شيدر",'تحليل التكلفة والسعر'!$B$2:$B$700,0))&gt;0),$G63=0),"بيانات غير كافية",IF(AND($G63&gt;=AVERAGEIFS($G$5:$G$175,$A$5:$A$175,$A63,$G$5:$G$175,"&gt;0"),INDEX('تحليل التكلفة والسعر'!$H$2:$H$700,MATCH("مكرونة كريسبي شيدر",'تحليل التكلفة والسعر'!$B$2:$B$700,0))&gt;=AVERAGEIFS('تحليل التكلفة والسعر'!$H$2:$H$700,'تحليل التكلفة والسعر'!$A$2:$A$700,$A63,'تحليل التكلفة والسعر'!$C$2:$C$700,"&gt;0")),"⭐ نجم",IF(AND($G63&gt;=AVERAGEIFS($G$5:$G$175,$A$5:$A$175,$A63,$G$5:$G$175,"&gt;0"),INDEX('تحليل التكلفة والسعر'!$H$2:$H$700,MATCH("مكرونة كريسبي شيدر",'تحليل التكلفة والسعر'!$B$2:$B$700,0))&lt;AVERAGEIFS('تحليل التكلفة والسعر'!$H$2:$H$700,'تحليل التكلفة والسعر'!$A$2:$A$700,$A63,'تحليل التكلفة والسعر'!$C$2:$C$700,"&gt;0")),"🐎 حصان عمل",IF(AND($G63&lt;AVERAGEIFS($G$5:$G$175,$A$5:$A$175,$A63,$G$5:$G$175,"&gt;0"),INDEX('تحليل التكلفة والسعر'!$H$2:$H$700,MATCH("مكرونة كريسبي شيدر",'تحليل التكلفة والسعر'!$B$2:$B$700,0))&gt;=AVERAGEIFS('تحليل التكلفة والسعر'!$H$2:$H$700,'تحليل التكلفة والسعر'!$A$2:$A$700,$A63,'تحليل التكلفة والسعر'!$C$2:$C$700,"&gt;0")),"🧩 لغز","🐶 كلب"))))</f>
        <v>🧩 لغز</v>
      </c>
    </row>
    <row r="64" customFormat="false" ht="15" hidden="false" customHeight="true" outlineLevel="0" collapsed="false">
      <c r="A64" s="11" t="s">
        <v>13</v>
      </c>
      <c r="B64" s="11" t="s">
        <v>452</v>
      </c>
      <c r="C64" s="13" t="n">
        <f aca="false">IFERROR(INDEX('تحليل التكلفة والسعر'!$D$2:$D$700,MATCH("مكرونة كريسبي رانش",'تحليل التكلفة والسعر'!$B$2:$B$700,0)),"")</f>
        <v>180</v>
      </c>
      <c r="D64" s="12" t="n">
        <f aca="false">IFERROR(INDEX('تحليل التكلفة والسعر'!$I$2:$I$700,MATCH("مكرونة كريسبي رانش",'تحليل التكلفة والسعر'!$B$2:$B$700,0)),"")</f>
        <v>0.491817027777778</v>
      </c>
      <c r="E64" s="49" t="n">
        <v>3</v>
      </c>
      <c r="F64" s="11" t="str">
        <f aca="false">IF(OR(NOT(INDEX('تحليل التكلفة والسعر'!$C$2:$C$700,MATCH("مكرونة كريسبي رانش",'تحليل التكلفة والسعر'!$B$2:$B$700,0))&gt;0),$E64=0),"بيانات غير كافية",IF(AND($E64&gt;=AVERAGEIFS($E$5:$E$175,$A$5:$A$175,$A64,$E$5:$E$175,"&gt;0"),INDEX('تحليل التكلفة والسعر'!$H$2:$H$700,MATCH("مكرونة كريسبي رانش",'تحليل التكلفة والسعر'!$B$2:$B$700,0))&gt;=AVERAGEIFS('تحليل التكلفة والسعر'!$H$2:$H$700,'تحليل التكلفة والسعر'!$A$2:$A$700,$A64,'تحليل التكلفة والسعر'!$C$2:$C$700,"&gt;0")),"⭐ نجم",IF(AND($E64&gt;=AVERAGEIFS($E$5:$E$175,$A$5:$A$175,$A64,$E$5:$E$175,"&gt;0"),INDEX('تحليل التكلفة والسعر'!$H$2:$H$700,MATCH("مكرونة كريسبي رانش",'تحليل التكلفة والسعر'!$B$2:$B$700,0))&lt;AVERAGEIFS('تحليل التكلفة والسعر'!$H$2:$H$700,'تحليل التكلفة والسعر'!$A$2:$A$700,$A64,'تحليل التكلفة والسعر'!$C$2:$C$700,"&gt;0")),"🐎 حصان عمل",IF(AND($E64&lt;AVERAGEIFS($E$5:$E$175,$A$5:$A$175,$A64,$E$5:$E$175,"&gt;0"),INDEX('تحليل التكلفة والسعر'!$H$2:$H$700,MATCH("مكرونة كريسبي رانش",'تحليل التكلفة والسعر'!$B$2:$B$700,0))&gt;=AVERAGEIFS('تحليل التكلفة والسعر'!$H$2:$H$700,'تحليل التكلفة والسعر'!$A$2:$A$700,$A64,'تحليل التكلفة والسعر'!$C$2:$C$700,"&gt;0")),"🧩 لغز","🐶 كلب"))))</f>
        <v>🧩 لغز</v>
      </c>
      <c r="G64" s="49" t="n">
        <v>2</v>
      </c>
      <c r="H64" s="11" t="str">
        <f aca="false">IF(OR(NOT(INDEX('تحليل التكلفة والسعر'!$C$2:$C$700,MATCH("مكرونة كريسبي رانش",'تحليل التكلفة والسعر'!$B$2:$B$700,0))&gt;0),$G64=0),"بيانات غير كافية",IF(AND($G64&gt;=AVERAGEIFS($G$5:$G$175,$A$5:$A$175,$A64,$G$5:$G$175,"&gt;0"),INDEX('تحليل التكلفة والسعر'!$H$2:$H$700,MATCH("مكرونة كريسبي رانش",'تحليل التكلفة والسعر'!$B$2:$B$700,0))&gt;=AVERAGEIFS('تحليل التكلفة والسعر'!$H$2:$H$700,'تحليل التكلفة والسعر'!$A$2:$A$700,$A64,'تحليل التكلفة والسعر'!$C$2:$C$700,"&gt;0")),"⭐ نجم",IF(AND($G64&gt;=AVERAGEIFS($G$5:$G$175,$A$5:$A$175,$A64,$G$5:$G$175,"&gt;0"),INDEX('تحليل التكلفة والسعر'!$H$2:$H$700,MATCH("مكرونة كريسبي رانش",'تحليل التكلفة والسعر'!$B$2:$B$700,0))&lt;AVERAGEIFS('تحليل التكلفة والسعر'!$H$2:$H$700,'تحليل التكلفة والسعر'!$A$2:$A$700,$A64,'تحليل التكلفة والسعر'!$C$2:$C$700,"&gt;0")),"🐎 حصان عمل",IF(AND($G64&lt;AVERAGEIFS($G$5:$G$175,$A$5:$A$175,$A64,$G$5:$G$175,"&gt;0"),INDEX('تحليل التكلفة والسعر'!$H$2:$H$700,MATCH("مكرونة كريسبي رانش",'تحليل التكلفة والسعر'!$B$2:$B$700,0))&gt;=AVERAGEIFS('تحليل التكلفة والسعر'!$H$2:$H$700,'تحليل التكلفة والسعر'!$A$2:$A$700,$A64,'تحليل التكلفة والسعر'!$C$2:$C$700,"&gt;0")),"🧩 لغز","🐶 كلب"))))</f>
        <v>🧩 لغز</v>
      </c>
    </row>
    <row r="65" customFormat="false" ht="15" hidden="false" customHeight="true" outlineLevel="0" collapsed="false">
      <c r="A65" s="11" t="s">
        <v>13</v>
      </c>
      <c r="B65" s="11" t="s">
        <v>505</v>
      </c>
      <c r="C65" s="13" t="n">
        <f aca="false">IFERROR(INDEX('تحليل التكلفة والسعر'!$D$2:$D$700,MATCH("مكرونة جمبري",'تحليل التكلفة والسعر'!$B$2:$B$700,0)),"")</f>
        <v>260</v>
      </c>
      <c r="D65" s="12" t="n">
        <f aca="false">IFERROR(INDEX('تحليل التكلفة والسعر'!$I$2:$I$700,MATCH("مكرونة جمبري",'تحليل التكلفة والسعر'!$B$2:$B$700,0)),"")</f>
        <v>0.460018326923077</v>
      </c>
      <c r="E65" s="49" t="n">
        <v>10</v>
      </c>
      <c r="F65" s="11" t="str">
        <f aca="false">IF(OR(NOT(INDEX('تحليل التكلفة والسعر'!$C$2:$C$700,MATCH("مكرونة جمبري",'تحليل التكلفة والسعر'!$B$2:$B$700,0))&gt;0),$E65=0),"بيانات غير كافية",IF(AND($E65&gt;=AVERAGEIFS($E$5:$E$175,$A$5:$A$175,$A65,$E$5:$E$175,"&gt;0"),INDEX('تحليل التكلفة والسعر'!$H$2:$H$700,MATCH("مكرونة جمبري",'تحليل التكلفة والسعر'!$B$2:$B$700,0))&gt;=AVERAGEIFS('تحليل التكلفة والسعر'!$H$2:$H$700,'تحليل التكلفة والسعر'!$A$2:$A$700,$A65,'تحليل التكلفة والسعر'!$C$2:$C$700,"&gt;0")),"⭐ نجم",IF(AND($E65&gt;=AVERAGEIFS($E$5:$E$175,$A$5:$A$175,$A65,$E$5:$E$175,"&gt;0"),INDEX('تحليل التكلفة والسعر'!$H$2:$H$700,MATCH("مكرونة جمبري",'تحليل التكلفة والسعر'!$B$2:$B$700,0))&lt;AVERAGEIFS('تحليل التكلفة والسعر'!$H$2:$H$700,'تحليل التكلفة والسعر'!$A$2:$A$700,$A65,'تحليل التكلفة والسعر'!$C$2:$C$700,"&gt;0")),"🐎 حصان عمل",IF(AND($E65&lt;AVERAGEIFS($E$5:$E$175,$A$5:$A$175,$A65,$E$5:$E$175,"&gt;0"),INDEX('تحليل التكلفة والسعر'!$H$2:$H$700,MATCH("مكرونة جمبري",'تحليل التكلفة والسعر'!$B$2:$B$700,0))&gt;=AVERAGEIFS('تحليل التكلفة والسعر'!$H$2:$H$700,'تحليل التكلفة والسعر'!$A$2:$A$700,$A65,'تحليل التكلفة والسعر'!$C$2:$C$700,"&gt;0")),"🧩 لغز","🐶 كلب"))))</f>
        <v>🧩 لغز</v>
      </c>
      <c r="G65" s="49" t="n">
        <v>2</v>
      </c>
      <c r="H65" s="11" t="str">
        <f aca="false">IF(OR(NOT(INDEX('تحليل التكلفة والسعر'!$C$2:$C$700,MATCH("مكرونة جمبري",'تحليل التكلفة والسعر'!$B$2:$B$700,0))&gt;0),$G65=0),"بيانات غير كافية",IF(AND($G65&gt;=AVERAGEIFS($G$5:$G$175,$A$5:$A$175,$A65,$G$5:$G$175,"&gt;0"),INDEX('تحليل التكلفة والسعر'!$H$2:$H$700,MATCH("مكرونة جمبري",'تحليل التكلفة والسعر'!$B$2:$B$700,0))&gt;=AVERAGEIFS('تحليل التكلفة والسعر'!$H$2:$H$700,'تحليل التكلفة والسعر'!$A$2:$A$700,$A65,'تحليل التكلفة والسعر'!$C$2:$C$700,"&gt;0")),"⭐ نجم",IF(AND($G65&gt;=AVERAGEIFS($G$5:$G$175,$A$5:$A$175,$A65,$G$5:$G$175,"&gt;0"),INDEX('تحليل التكلفة والسعر'!$H$2:$H$700,MATCH("مكرونة جمبري",'تحليل التكلفة والسعر'!$B$2:$B$700,0))&lt;AVERAGEIFS('تحليل التكلفة والسعر'!$H$2:$H$700,'تحليل التكلفة والسعر'!$A$2:$A$700,$A65,'تحليل التكلفة والسعر'!$C$2:$C$700,"&gt;0")),"🐎 حصان عمل",IF(AND($G65&lt;AVERAGEIFS($G$5:$G$175,$A$5:$A$175,$A65,$G$5:$G$175,"&gt;0"),INDEX('تحليل التكلفة والسعر'!$H$2:$H$700,MATCH("مكرونة جمبري",'تحليل التكلفة والسعر'!$B$2:$B$700,0))&gt;=AVERAGEIFS('تحليل التكلفة والسعر'!$H$2:$H$700,'تحليل التكلفة والسعر'!$A$2:$A$700,$A65,'تحليل التكلفة والسعر'!$C$2:$C$700,"&gt;0")),"🧩 لغز","🐶 كلب"))))</f>
        <v>🧩 لغز</v>
      </c>
    </row>
    <row r="66" customFormat="false" ht="15" hidden="false" customHeight="true" outlineLevel="0" collapsed="false">
      <c r="A66" s="11" t="s">
        <v>13</v>
      </c>
      <c r="B66" s="11" t="s">
        <v>529</v>
      </c>
      <c r="C66" s="13" t="n">
        <f aca="false">IFERROR(INDEX('تحليل التكلفة والسعر'!$D$2:$D$700,MATCH("مكرونة صوص ابيض سدق",'تحليل التكلفة والسعر'!$B$2:$B$700,0)),"")</f>
        <v>140</v>
      </c>
      <c r="D66" s="12" t="n">
        <f aca="false">IFERROR(INDEX('تحليل التكلفة والسعر'!$I$2:$I$700,MATCH("مكرونة صوص ابيض سدق",'تحليل التكلفة والسعر'!$B$2:$B$700,0)),"")</f>
        <v>0.432891178571429</v>
      </c>
      <c r="E66" s="49" t="n">
        <v>20</v>
      </c>
      <c r="F66" s="11" t="str">
        <f aca="false">IF(OR(NOT(INDEX('تحليل التكلفة والسعر'!$C$2:$C$700,MATCH("مكرونة صوص ابيض سدق",'تحليل التكلفة والسعر'!$B$2:$B$700,0))&gt;0),$E66=0),"بيانات غير كافية",IF(AND($E66&gt;=AVERAGEIFS($E$5:$E$175,$A$5:$A$175,$A66,$E$5:$E$175,"&gt;0"),INDEX('تحليل التكلفة والسعر'!$H$2:$H$700,MATCH("مكرونة صوص ابيض سدق",'تحليل التكلفة والسعر'!$B$2:$B$700,0))&gt;=AVERAGEIFS('تحليل التكلفة والسعر'!$H$2:$H$700,'تحليل التكلفة والسعر'!$A$2:$A$700,$A66,'تحليل التكلفة والسعر'!$C$2:$C$700,"&gt;0")),"⭐ نجم",IF(AND($E66&gt;=AVERAGEIFS($E$5:$E$175,$A$5:$A$175,$A66,$E$5:$E$175,"&gt;0"),INDEX('تحليل التكلفة والسعر'!$H$2:$H$700,MATCH("مكرونة صوص ابيض سدق",'تحليل التكلفة والسعر'!$B$2:$B$700,0))&lt;AVERAGEIFS('تحليل التكلفة والسعر'!$H$2:$H$700,'تحليل التكلفة والسعر'!$A$2:$A$700,$A66,'تحليل التكلفة والسعر'!$C$2:$C$700,"&gt;0")),"🐎 حصان عمل",IF(AND($E66&lt;AVERAGEIFS($E$5:$E$175,$A$5:$A$175,$A66,$E$5:$E$175,"&gt;0"),INDEX('تحليل التكلفة والسعر'!$H$2:$H$700,MATCH("مكرونة صوص ابيض سدق",'تحليل التكلفة والسعر'!$B$2:$B$700,0))&gt;=AVERAGEIFS('تحليل التكلفة والسعر'!$H$2:$H$700,'تحليل التكلفة والسعر'!$A$2:$A$700,$A66,'تحليل التكلفة والسعر'!$C$2:$C$700,"&gt;0")),"🧩 لغز","🐶 كلب"))))</f>
        <v>🐶 كلب</v>
      </c>
      <c r="G66" s="49" t="n">
        <v>1</v>
      </c>
      <c r="H66" s="11" t="str">
        <f aca="false">IF(OR(NOT(INDEX('تحليل التكلفة والسعر'!$C$2:$C$700,MATCH("مكرونة صوص ابيض سدق",'تحليل التكلفة والسعر'!$B$2:$B$700,0))&gt;0),$G66=0),"بيانات غير كافية",IF(AND($G66&gt;=AVERAGEIFS($G$5:$G$175,$A$5:$A$175,$A66,$G$5:$G$175,"&gt;0"),INDEX('تحليل التكلفة والسعر'!$H$2:$H$700,MATCH("مكرونة صوص ابيض سدق",'تحليل التكلفة والسعر'!$B$2:$B$700,0))&gt;=AVERAGEIFS('تحليل التكلفة والسعر'!$H$2:$H$700,'تحليل التكلفة والسعر'!$A$2:$A$700,$A66,'تحليل التكلفة والسعر'!$C$2:$C$700,"&gt;0")),"⭐ نجم",IF(AND($G66&gt;=AVERAGEIFS($G$5:$G$175,$A$5:$A$175,$A66,$G$5:$G$175,"&gt;0"),INDEX('تحليل التكلفة والسعر'!$H$2:$H$700,MATCH("مكرونة صوص ابيض سدق",'تحليل التكلفة والسعر'!$B$2:$B$700,0))&lt;AVERAGEIFS('تحليل التكلفة والسعر'!$H$2:$H$700,'تحليل التكلفة والسعر'!$A$2:$A$700,$A66,'تحليل التكلفة والسعر'!$C$2:$C$700,"&gt;0")),"🐎 حصان عمل",IF(AND($G66&lt;AVERAGEIFS($G$5:$G$175,$A$5:$A$175,$A66,$G$5:$G$175,"&gt;0"),INDEX('تحليل التكلفة والسعر'!$H$2:$H$700,MATCH("مكرونة صوص ابيض سدق",'تحليل التكلفة والسعر'!$B$2:$B$700,0))&gt;=AVERAGEIFS('تحليل التكلفة والسعر'!$H$2:$H$700,'تحليل التكلفة والسعر'!$A$2:$A$700,$A66,'تحليل التكلفة والسعر'!$C$2:$C$700,"&gt;0")),"🧩 لغز","🐶 كلب"))))</f>
        <v>🐶 كلب</v>
      </c>
    </row>
    <row r="67" customFormat="false" ht="15" hidden="false" customHeight="true" outlineLevel="0" collapsed="false">
      <c r="A67" s="11" t="s">
        <v>13</v>
      </c>
      <c r="B67" s="11" t="s">
        <v>455</v>
      </c>
      <c r="C67" s="13" t="n">
        <f aca="false">IFERROR(INDEX('تحليل التكلفة والسعر'!$D$2:$D$700,MATCH("مكرونة صوص ابيض بسطرمة",'تحليل التكلفة والسعر'!$B$2:$B$700,0)),"")</f>
        <v>140</v>
      </c>
      <c r="D67" s="12" t="n">
        <f aca="false">IFERROR(INDEX('تحليل التكلفة والسعر'!$I$2:$I$700,MATCH("مكرونة صوص ابيض بسطرمة",'تحليل التكلفة والسعر'!$B$2:$B$700,0)),"")</f>
        <v>0.425748321428571</v>
      </c>
      <c r="E67" s="49" t="n">
        <v>37</v>
      </c>
      <c r="F67" s="11" t="str">
        <f aca="false">IF(OR(NOT(INDEX('تحليل التكلفة والسعر'!$C$2:$C$700,MATCH("مكرونة صوص ابيض بسطرمة",'تحليل التكلفة والسعر'!$B$2:$B$700,0))&gt;0),$E67=0),"بيانات غير كافية",IF(AND($E67&gt;=AVERAGEIFS($E$5:$E$175,$A$5:$A$175,$A67,$E$5:$E$175,"&gt;0"),INDEX('تحليل التكلفة والسعر'!$H$2:$H$700,MATCH("مكرونة صوص ابيض بسطرمة",'تحليل التكلفة والسعر'!$B$2:$B$700,0))&gt;=AVERAGEIFS('تحليل التكلفة والسعر'!$H$2:$H$700,'تحليل التكلفة والسعر'!$A$2:$A$700,$A67,'تحليل التكلفة والسعر'!$C$2:$C$700,"&gt;0")),"⭐ نجم",IF(AND($E67&gt;=AVERAGEIFS($E$5:$E$175,$A$5:$A$175,$A67,$E$5:$E$175,"&gt;0"),INDEX('تحليل التكلفة والسعر'!$H$2:$H$700,MATCH("مكرونة صوص ابيض بسطرمة",'تحليل التكلفة والسعر'!$B$2:$B$700,0))&lt;AVERAGEIFS('تحليل التكلفة والسعر'!$H$2:$H$700,'تحليل التكلفة والسعر'!$A$2:$A$700,$A67,'تحليل التكلفة والسعر'!$C$2:$C$700,"&gt;0")),"🐎 حصان عمل",IF(AND($E67&lt;AVERAGEIFS($E$5:$E$175,$A$5:$A$175,$A67,$E$5:$E$175,"&gt;0"),INDEX('تحليل التكلفة والسعر'!$H$2:$H$700,MATCH("مكرونة صوص ابيض بسطرمة",'تحليل التكلفة والسعر'!$B$2:$B$700,0))&gt;=AVERAGEIFS('تحليل التكلفة والسعر'!$H$2:$H$700,'تحليل التكلفة والسعر'!$A$2:$A$700,$A67,'تحليل التكلفة والسعر'!$C$2:$C$700,"&gt;0")),"🧩 لغز","🐶 كلب"))))</f>
        <v>🐎 حصان عمل</v>
      </c>
      <c r="G67" s="49" t="n">
        <v>1</v>
      </c>
      <c r="H67" s="11" t="str">
        <f aca="false">IF(OR(NOT(INDEX('تحليل التكلفة والسعر'!$C$2:$C$700,MATCH("مكرونة صوص ابيض بسطرمة",'تحليل التكلفة والسعر'!$B$2:$B$700,0))&gt;0),$G67=0),"بيانات غير كافية",IF(AND($G67&gt;=AVERAGEIFS($G$5:$G$175,$A$5:$A$175,$A67,$G$5:$G$175,"&gt;0"),INDEX('تحليل التكلفة والسعر'!$H$2:$H$700,MATCH("مكرونة صوص ابيض بسطرمة",'تحليل التكلفة والسعر'!$B$2:$B$700,0))&gt;=AVERAGEIFS('تحليل التكلفة والسعر'!$H$2:$H$700,'تحليل التكلفة والسعر'!$A$2:$A$700,$A67,'تحليل التكلفة والسعر'!$C$2:$C$700,"&gt;0")),"⭐ نجم",IF(AND($G67&gt;=AVERAGEIFS($G$5:$G$175,$A$5:$A$175,$A67,$G$5:$G$175,"&gt;0"),INDEX('تحليل التكلفة والسعر'!$H$2:$H$700,MATCH("مكرونة صوص ابيض بسطرمة",'تحليل التكلفة والسعر'!$B$2:$B$700,0))&lt;AVERAGEIFS('تحليل التكلفة والسعر'!$H$2:$H$700,'تحليل التكلفة والسعر'!$A$2:$A$700,$A67,'تحليل التكلفة والسعر'!$C$2:$C$700,"&gt;0")),"🐎 حصان عمل",IF(AND($G67&lt;AVERAGEIFS($G$5:$G$175,$A$5:$A$175,$A67,$G$5:$G$175,"&gt;0"),INDEX('تحليل التكلفة والسعر'!$H$2:$H$700,MATCH("مكرونة صوص ابيض بسطرمة",'تحليل التكلفة والسعر'!$B$2:$B$700,0))&gt;=AVERAGEIFS('تحليل التكلفة والسعر'!$H$2:$H$700,'تحليل التكلفة والسعر'!$A$2:$A$700,$A67,'تحليل التكلفة والسعر'!$C$2:$C$700,"&gt;0")),"🧩 لغز","🐶 كلب"))))</f>
        <v>🐶 كلب</v>
      </c>
    </row>
    <row r="68" customFormat="false" ht="15" hidden="false" customHeight="true" outlineLevel="0" collapsed="false">
      <c r="A68" s="11" t="s">
        <v>14</v>
      </c>
      <c r="B68" s="11" t="s">
        <v>434</v>
      </c>
      <c r="C68" s="13" t="n">
        <f aca="false">IFERROR(INDEX('تحليل التكلفة والسعر'!$D$2:$D$700,MATCH("كريب فراخ كريسبي شيدر",'تحليل التكلفة والسعر'!$B$2:$B$700,0)),"")</f>
        <v>125</v>
      </c>
      <c r="D68" s="12" t="n">
        <f aca="false">IFERROR(INDEX('تحليل التكلفة والسعر'!$I$2:$I$700,MATCH("كريب فراخ كريسبي شيدر",'تحليل التكلفة والسعر'!$B$2:$B$700,0)),"")</f>
        <v>0.483107503333333</v>
      </c>
      <c r="E68" s="49" t="n">
        <v>176</v>
      </c>
      <c r="F68" s="11" t="str">
        <f aca="false">IF(OR(NOT(INDEX('تحليل التكلفة والسعر'!$C$2:$C$700,MATCH("كريب فراخ كريسبي شيدر",'تحليل التكلفة والسعر'!$B$2:$B$700,0))&gt;0),$E68=0),"بيانات غير كافية",IF(AND($E68&gt;=AVERAGEIFS($E$5:$E$175,$A$5:$A$175,$A68,$E$5:$E$175,"&gt;0"),INDEX('تحليل التكلفة والسعر'!$H$2:$H$700,MATCH("كريب فراخ كريسبي شيدر",'تحليل التكلفة والسعر'!$B$2:$B$700,0))&gt;=AVERAGEIFS('تحليل التكلفة والسعر'!$H$2:$H$700,'تحليل التكلفة والسعر'!$A$2:$A$700,$A68,'تحليل التكلفة والسعر'!$C$2:$C$700,"&gt;0")),"⭐ نجم",IF(AND($E68&gt;=AVERAGEIFS($E$5:$E$175,$A$5:$A$175,$A68,$E$5:$E$175,"&gt;0"),INDEX('تحليل التكلفة والسعر'!$H$2:$H$700,MATCH("كريب فراخ كريسبي شيدر",'تحليل التكلفة والسعر'!$B$2:$B$700,0))&lt;AVERAGEIFS('تحليل التكلفة والسعر'!$H$2:$H$700,'تحليل التكلفة والسعر'!$A$2:$A$700,$A68,'تحليل التكلفة والسعر'!$C$2:$C$700,"&gt;0")),"🐎 حصان عمل",IF(AND($E68&lt;AVERAGEIFS($E$5:$E$175,$A$5:$A$175,$A68,$E$5:$E$175,"&gt;0"),INDEX('تحليل التكلفة والسعر'!$H$2:$H$700,MATCH("كريب فراخ كريسبي شيدر",'تحليل التكلفة والسعر'!$B$2:$B$700,0))&gt;=AVERAGEIFS('تحليل التكلفة والسعر'!$H$2:$H$700,'تحليل التكلفة والسعر'!$A$2:$A$700,$A68,'تحليل التكلفة والسعر'!$C$2:$C$700,"&gt;0")),"🧩 لغز","🐶 كلب"))))</f>
        <v>⭐ نجم</v>
      </c>
      <c r="G68" s="49" t="n">
        <v>3</v>
      </c>
      <c r="H68" s="11" t="str">
        <f aca="false">IF(OR(NOT(INDEX('تحليل التكلفة والسعر'!$C$2:$C$700,MATCH("كريب فراخ كريسبي شيدر",'تحليل التكلفة والسعر'!$B$2:$B$700,0))&gt;0),$G68=0),"بيانات غير كافية",IF(AND($G68&gt;=AVERAGEIFS($G$5:$G$175,$A$5:$A$175,$A68,$G$5:$G$175,"&gt;0"),INDEX('تحليل التكلفة والسعر'!$H$2:$H$700,MATCH("كريب فراخ كريسبي شيدر",'تحليل التكلفة والسعر'!$B$2:$B$700,0))&gt;=AVERAGEIFS('تحليل التكلفة والسعر'!$H$2:$H$700,'تحليل التكلفة والسعر'!$A$2:$A$700,$A68,'تحليل التكلفة والسعر'!$C$2:$C$700,"&gt;0")),"⭐ نجم",IF(AND($G68&gt;=AVERAGEIFS($G$5:$G$175,$A$5:$A$175,$A68,$G$5:$G$175,"&gt;0"),INDEX('تحليل التكلفة والسعر'!$H$2:$H$700,MATCH("كريب فراخ كريسبي شيدر",'تحليل التكلفة والسعر'!$B$2:$B$700,0))&lt;AVERAGEIFS('تحليل التكلفة والسعر'!$H$2:$H$700,'تحليل التكلفة والسعر'!$A$2:$A$700,$A68,'تحليل التكلفة والسعر'!$C$2:$C$700,"&gt;0")),"🐎 حصان عمل",IF(AND($G68&lt;AVERAGEIFS($G$5:$G$175,$A$5:$A$175,$A68,$G$5:$G$175,"&gt;0"),INDEX('تحليل التكلفة والسعر'!$H$2:$H$700,MATCH("كريب فراخ كريسبي شيدر",'تحليل التكلفة والسعر'!$B$2:$B$700,0))&gt;=AVERAGEIFS('تحليل التكلفة والسعر'!$H$2:$H$700,'تحليل التكلفة والسعر'!$A$2:$A$700,$A68,'تحليل التكلفة والسعر'!$C$2:$C$700,"&gt;0")),"🧩 لغز","🐶 كلب"))))</f>
        <v>⭐ نجم</v>
      </c>
    </row>
    <row r="69" customFormat="false" ht="15" hidden="false" customHeight="true" outlineLevel="0" collapsed="false">
      <c r="A69" s="11" t="s">
        <v>14</v>
      </c>
      <c r="B69" s="11" t="s">
        <v>436</v>
      </c>
      <c r="C69" s="13" t="n">
        <f aca="false">IFERROR(INDEX('تحليل التكلفة والسعر'!$D$2:$D$700,MATCH("كريب مشكل فراخ",'تحليل التكلفة والسعر'!$B$2:$B$700,0)),"")</f>
        <v>125</v>
      </c>
      <c r="D69" s="12" t="n">
        <f aca="false">IFERROR(INDEX('تحليل التكلفة والسعر'!$I$2:$I$700,MATCH("كريب مشكل فراخ",'تحليل التكلفة والسعر'!$B$2:$B$700,0)),"")</f>
        <v>0.511801103333333</v>
      </c>
      <c r="E69" s="49" t="n">
        <v>53</v>
      </c>
      <c r="F69" s="11" t="str">
        <f aca="false">IF(OR(NOT(INDEX('تحليل التكلفة والسعر'!$C$2:$C$700,MATCH("كريب مشكل فراخ",'تحليل التكلفة والسعر'!$B$2:$B$700,0))&gt;0),$E69=0),"بيانات غير كافية",IF(AND($E69&gt;=AVERAGEIFS($E$5:$E$175,$A$5:$A$175,$A69,$E$5:$E$175,"&gt;0"),INDEX('تحليل التكلفة والسعر'!$H$2:$H$700,MATCH("كريب مشكل فراخ",'تحليل التكلفة والسعر'!$B$2:$B$700,0))&gt;=AVERAGEIFS('تحليل التكلفة والسعر'!$H$2:$H$700,'تحليل التكلفة والسعر'!$A$2:$A$700,$A69,'تحليل التكلفة والسعر'!$C$2:$C$700,"&gt;0")),"⭐ نجم",IF(AND($E69&gt;=AVERAGEIFS($E$5:$E$175,$A$5:$A$175,$A69,$E$5:$E$175,"&gt;0"),INDEX('تحليل التكلفة والسعر'!$H$2:$H$700,MATCH("كريب مشكل فراخ",'تحليل التكلفة والسعر'!$B$2:$B$700,0))&lt;AVERAGEIFS('تحليل التكلفة والسعر'!$H$2:$H$700,'تحليل التكلفة والسعر'!$A$2:$A$700,$A69,'تحليل التكلفة والسعر'!$C$2:$C$700,"&gt;0")),"🐎 حصان عمل",IF(AND($E69&lt;AVERAGEIFS($E$5:$E$175,$A$5:$A$175,$A69,$E$5:$E$175,"&gt;0"),INDEX('تحليل التكلفة والسعر'!$H$2:$H$700,MATCH("كريب مشكل فراخ",'تحليل التكلفة والسعر'!$B$2:$B$700,0))&gt;=AVERAGEIFS('تحليل التكلفة والسعر'!$H$2:$H$700,'تحليل التكلفة والسعر'!$A$2:$A$700,$A69,'تحليل التكلفة والسعر'!$C$2:$C$700,"&gt;0")),"🧩 لغز","🐶 كلب"))))</f>
        <v>🧩 لغز</v>
      </c>
      <c r="G69" s="49" t="n">
        <v>0</v>
      </c>
      <c r="H69" s="11" t="str">
        <f aca="false">IF(OR(NOT(INDEX('تحليل التكلفة والسعر'!$C$2:$C$700,MATCH("كريب مشكل فراخ",'تحليل التكلفة والسعر'!$B$2:$B$700,0))&gt;0),$G69=0),"بيانات غير كافية",IF(AND($G69&gt;=AVERAGEIFS($G$5:$G$175,$A$5:$A$175,$A69,$G$5:$G$175,"&gt;0"),INDEX('تحليل التكلفة والسعر'!$H$2:$H$700,MATCH("كريب مشكل فراخ",'تحليل التكلفة والسعر'!$B$2:$B$700,0))&gt;=AVERAGEIFS('تحليل التكلفة والسعر'!$H$2:$H$700,'تحليل التكلفة والسعر'!$A$2:$A$700,$A69,'تحليل التكلفة والسعر'!$C$2:$C$700,"&gt;0")),"⭐ نجم",IF(AND($G69&gt;=AVERAGEIFS($G$5:$G$175,$A$5:$A$175,$A69,$G$5:$G$175,"&gt;0"),INDEX('تحليل التكلفة والسعر'!$H$2:$H$700,MATCH("كريب مشكل فراخ",'تحليل التكلفة والسعر'!$B$2:$B$700,0))&lt;AVERAGEIFS('تحليل التكلفة والسعر'!$H$2:$H$700,'تحليل التكلفة والسعر'!$A$2:$A$700,$A69,'تحليل التكلفة والسعر'!$C$2:$C$700,"&gt;0")),"🐎 حصان عمل",IF(AND($G69&lt;AVERAGEIFS($G$5:$G$175,$A$5:$A$175,$A69,$G$5:$G$175,"&gt;0"),INDEX('تحليل التكلفة والسعر'!$H$2:$H$700,MATCH("كريب مشكل فراخ",'تحليل التكلفة والسعر'!$B$2:$B$700,0))&gt;=AVERAGEIFS('تحليل التكلفة والسعر'!$H$2:$H$700,'تحليل التكلفة والسعر'!$A$2:$A$700,$A69,'تحليل التكلفة والسعر'!$C$2:$C$700,"&gt;0")),"🧩 لغز","🐶 كلب"))))</f>
        <v>بيانات غير كافية</v>
      </c>
    </row>
    <row r="70" customFormat="false" ht="15" hidden="false" customHeight="true" outlineLevel="0" collapsed="false">
      <c r="A70" s="11" t="s">
        <v>14</v>
      </c>
      <c r="B70" s="11" t="s">
        <v>438</v>
      </c>
      <c r="C70" s="13" t="n">
        <f aca="false">IFERROR(INDEX('تحليل التكلفة والسعر'!$D$2:$D$700,MATCH("كريب بسطرمة",'تحليل التكلفة والسعر'!$B$2:$B$700,0)),"")</f>
        <v>110</v>
      </c>
      <c r="D70" s="12" t="n">
        <f aca="false">IFERROR(INDEX('تحليل التكلفة والسعر'!$I$2:$I$700,MATCH("كريب بسطرمة",'تحليل التكلفة والسعر'!$B$2:$B$700,0)),"")</f>
        <v>0.523934435606061</v>
      </c>
      <c r="E70" s="49" t="n">
        <v>46</v>
      </c>
      <c r="F70" s="11" t="str">
        <f aca="false">IF(OR(NOT(INDEX('تحليل التكلفة والسعر'!$C$2:$C$700,MATCH("كريب بسطرمة",'تحليل التكلفة والسعر'!$B$2:$B$700,0))&gt;0),$E70=0),"بيانات غير كافية",IF(AND($E70&gt;=AVERAGEIFS($E$5:$E$175,$A$5:$A$175,$A70,$E$5:$E$175,"&gt;0"),INDEX('تحليل التكلفة والسعر'!$H$2:$H$700,MATCH("كريب بسطرمة",'تحليل التكلفة والسعر'!$B$2:$B$700,0))&gt;=AVERAGEIFS('تحليل التكلفة والسعر'!$H$2:$H$700,'تحليل التكلفة والسعر'!$A$2:$A$700,$A70,'تحليل التكلفة والسعر'!$C$2:$C$700,"&gt;0")),"⭐ نجم",IF(AND($E70&gt;=AVERAGEIFS($E$5:$E$175,$A$5:$A$175,$A70,$E$5:$E$175,"&gt;0"),INDEX('تحليل التكلفة والسعر'!$H$2:$H$700,MATCH("كريب بسطرمة",'تحليل التكلفة والسعر'!$B$2:$B$700,0))&lt;AVERAGEIFS('تحليل التكلفة والسعر'!$H$2:$H$700,'تحليل التكلفة والسعر'!$A$2:$A$700,$A70,'تحليل التكلفة والسعر'!$C$2:$C$700,"&gt;0")),"🐎 حصان عمل",IF(AND($E70&lt;AVERAGEIFS($E$5:$E$175,$A$5:$A$175,$A70,$E$5:$E$175,"&gt;0"),INDEX('تحليل التكلفة والسعر'!$H$2:$H$700,MATCH("كريب بسطرمة",'تحليل التكلفة والسعر'!$B$2:$B$700,0))&gt;=AVERAGEIFS('تحليل التكلفة والسعر'!$H$2:$H$700,'تحليل التكلفة والسعر'!$A$2:$A$700,$A70,'تحليل التكلفة والسعر'!$C$2:$C$700,"&gt;0")),"🧩 لغز","🐶 كلب"))))</f>
        <v>🧩 لغز</v>
      </c>
      <c r="G70" s="49" t="n">
        <v>1</v>
      </c>
      <c r="H70" s="11" t="str">
        <f aca="false">IF(OR(NOT(INDEX('تحليل التكلفة والسعر'!$C$2:$C$700,MATCH("كريب بسطرمة",'تحليل التكلفة والسعر'!$B$2:$B$700,0))&gt;0),$G70=0),"بيانات غير كافية",IF(AND($G70&gt;=AVERAGEIFS($G$5:$G$175,$A$5:$A$175,$A70,$G$5:$G$175,"&gt;0"),INDEX('تحليل التكلفة والسعر'!$H$2:$H$700,MATCH("كريب بسطرمة",'تحليل التكلفة والسعر'!$B$2:$B$700,0))&gt;=AVERAGEIFS('تحليل التكلفة والسعر'!$H$2:$H$700,'تحليل التكلفة والسعر'!$A$2:$A$700,$A70,'تحليل التكلفة والسعر'!$C$2:$C$700,"&gt;0")),"⭐ نجم",IF(AND($G70&gt;=AVERAGEIFS($G$5:$G$175,$A$5:$A$175,$A70,$G$5:$G$175,"&gt;0"),INDEX('تحليل التكلفة والسعر'!$H$2:$H$700,MATCH("كريب بسطرمة",'تحليل التكلفة والسعر'!$B$2:$B$700,0))&lt;AVERAGEIFS('تحليل التكلفة والسعر'!$H$2:$H$700,'تحليل التكلفة والسعر'!$A$2:$A$700,$A70,'تحليل التكلفة والسعر'!$C$2:$C$700,"&gt;0")),"🐎 حصان عمل",IF(AND($G70&lt;AVERAGEIFS($G$5:$G$175,$A$5:$A$175,$A70,$G$5:$G$175,"&gt;0"),INDEX('تحليل التكلفة والسعر'!$H$2:$H$700,MATCH("كريب بسطرمة",'تحليل التكلفة والسعر'!$B$2:$B$700,0))&gt;=AVERAGEIFS('تحليل التكلفة والسعر'!$H$2:$H$700,'تحليل التكلفة والسعر'!$A$2:$A$700,$A70,'تحليل التكلفة والسعر'!$C$2:$C$700,"&gt;0")),"🧩 لغز","🐶 كلب"))))</f>
        <v>🧩 لغز</v>
      </c>
    </row>
    <row r="71" customFormat="false" ht="15" hidden="false" customHeight="true" outlineLevel="0" collapsed="false">
      <c r="A71" s="11" t="s">
        <v>14</v>
      </c>
      <c r="B71" s="11" t="s">
        <v>449</v>
      </c>
      <c r="C71" s="13" t="n">
        <f aca="false">IFERROR(INDEX('تحليل التكلفة والسعر'!$D$2:$D$700,MATCH("كريب سدق",'تحليل التكلفة والسعر'!$B$2:$B$700,0)),"")</f>
        <v>110</v>
      </c>
      <c r="D71" s="12" t="n">
        <f aca="false">IFERROR(INDEX('تحليل التكلفة والسعر'!$I$2:$I$700,MATCH("كريب سدق",'تحليل التكلفة والسعر'!$B$2:$B$700,0)),"")</f>
        <v>0.53151034469697</v>
      </c>
      <c r="E71" s="49" t="n">
        <v>53</v>
      </c>
      <c r="F71" s="11" t="str">
        <f aca="false">IF(OR(NOT(INDEX('تحليل التكلفة والسعر'!$C$2:$C$700,MATCH("كريب سدق",'تحليل التكلفة والسعر'!$B$2:$B$700,0))&gt;0),$E71=0),"بيانات غير كافية",IF(AND($E71&gt;=AVERAGEIFS($E$5:$E$175,$A$5:$A$175,$A71,$E$5:$E$175,"&gt;0"),INDEX('تحليل التكلفة والسعر'!$H$2:$H$700,MATCH("كريب سدق",'تحليل التكلفة والسعر'!$B$2:$B$700,0))&gt;=AVERAGEIFS('تحليل التكلفة والسعر'!$H$2:$H$700,'تحليل التكلفة والسعر'!$A$2:$A$700,$A71,'تحليل التكلفة والسعر'!$C$2:$C$700,"&gt;0")),"⭐ نجم",IF(AND($E71&gt;=AVERAGEIFS($E$5:$E$175,$A$5:$A$175,$A71,$E$5:$E$175,"&gt;0"),INDEX('تحليل التكلفة والسعر'!$H$2:$H$700,MATCH("كريب سدق",'تحليل التكلفة والسعر'!$B$2:$B$700,0))&lt;AVERAGEIFS('تحليل التكلفة والسعر'!$H$2:$H$700,'تحليل التكلفة والسعر'!$A$2:$A$700,$A71,'تحليل التكلفة والسعر'!$C$2:$C$700,"&gt;0")),"🐎 حصان عمل",IF(AND($E71&lt;AVERAGEIFS($E$5:$E$175,$A$5:$A$175,$A71,$E$5:$E$175,"&gt;0"),INDEX('تحليل التكلفة والسعر'!$H$2:$H$700,MATCH("كريب سدق",'تحليل التكلفة والسعر'!$B$2:$B$700,0))&gt;=AVERAGEIFS('تحليل التكلفة والسعر'!$H$2:$H$700,'تحليل التكلفة والسعر'!$A$2:$A$700,$A71,'تحليل التكلفة والسعر'!$C$2:$C$700,"&gt;0")),"🧩 لغز","🐶 كلب"))))</f>
        <v>🧩 لغز</v>
      </c>
      <c r="G71" s="49" t="n">
        <v>1</v>
      </c>
      <c r="H71" s="11" t="str">
        <f aca="false">IF(OR(NOT(INDEX('تحليل التكلفة والسعر'!$C$2:$C$700,MATCH("كريب سدق",'تحليل التكلفة والسعر'!$B$2:$B$700,0))&gt;0),$G71=0),"بيانات غير كافية",IF(AND($G71&gt;=AVERAGEIFS($G$5:$G$175,$A$5:$A$175,$A71,$G$5:$G$175,"&gt;0"),INDEX('تحليل التكلفة والسعر'!$H$2:$H$700,MATCH("كريب سدق",'تحليل التكلفة والسعر'!$B$2:$B$700,0))&gt;=AVERAGEIFS('تحليل التكلفة والسعر'!$H$2:$H$700,'تحليل التكلفة والسعر'!$A$2:$A$700,$A71,'تحليل التكلفة والسعر'!$C$2:$C$700,"&gt;0")),"⭐ نجم",IF(AND($G71&gt;=AVERAGEIFS($G$5:$G$175,$A$5:$A$175,$A71,$G$5:$G$175,"&gt;0"),INDEX('تحليل التكلفة والسعر'!$H$2:$H$700,MATCH("كريب سدق",'تحليل التكلفة والسعر'!$B$2:$B$700,0))&lt;AVERAGEIFS('تحليل التكلفة والسعر'!$H$2:$H$700,'تحليل التكلفة والسعر'!$A$2:$A$700,$A71,'تحليل التكلفة والسعر'!$C$2:$C$700,"&gt;0")),"🐎 حصان عمل",IF(AND($G71&lt;AVERAGEIFS($G$5:$G$175,$A$5:$A$175,$A71,$G$5:$G$175,"&gt;0"),INDEX('تحليل التكلفة والسعر'!$H$2:$H$700,MATCH("كريب سدق",'تحليل التكلفة والسعر'!$B$2:$B$700,0))&gt;=AVERAGEIFS('تحليل التكلفة والسعر'!$H$2:$H$700,'تحليل التكلفة والسعر'!$A$2:$A$700,$A71,'تحليل التكلفة والسعر'!$C$2:$C$700,"&gt;0")),"🧩 لغز","🐶 كلب"))))</f>
        <v>🧩 لغز</v>
      </c>
    </row>
    <row r="72" customFormat="false" ht="15" hidden="false" customHeight="true" outlineLevel="0" collapsed="false">
      <c r="A72" s="11" t="s">
        <v>14</v>
      </c>
      <c r="B72" s="11" t="s">
        <v>450</v>
      </c>
      <c r="C72" s="13" t="n">
        <f aca="false">IFERROR(INDEX('تحليل التكلفة والسعر'!$D$2:$D$700,MATCH("كريب فراخ باربيكيو",'تحليل التكلفة والسعر'!$B$2:$B$700,0)),"")</f>
        <v>120</v>
      </c>
      <c r="D72" s="12" t="n">
        <f aca="false">IFERROR(INDEX('تحليل التكلفة والسعر'!$I$2:$I$700,MATCH("كريب فراخ باربيكيو",'تحليل التكلفة والسعر'!$B$2:$B$700,0)),"")</f>
        <v>0.416534482638889</v>
      </c>
      <c r="E72" s="49" t="n">
        <v>0</v>
      </c>
      <c r="F72" s="11" t="str">
        <f aca="false">IF(OR(NOT(INDEX('تحليل التكلفة والسعر'!$C$2:$C$700,MATCH("كريب فراخ باربيكيو",'تحليل التكلفة والسعر'!$B$2:$B$700,0))&gt;0),$E72=0),"بيانات غير كافية",IF(AND($E72&gt;=AVERAGEIFS($E$5:$E$175,$A$5:$A$175,$A72,$E$5:$E$175,"&gt;0"),INDEX('تحليل التكلفة والسعر'!$H$2:$H$700,MATCH("كريب فراخ باربيكيو",'تحليل التكلفة والسعر'!$B$2:$B$700,0))&gt;=AVERAGEIFS('تحليل التكلفة والسعر'!$H$2:$H$700,'تحليل التكلفة والسعر'!$A$2:$A$700,$A72,'تحليل التكلفة والسعر'!$C$2:$C$700,"&gt;0")),"⭐ نجم",IF(AND($E72&gt;=AVERAGEIFS($E$5:$E$175,$A$5:$A$175,$A72,$E$5:$E$175,"&gt;0"),INDEX('تحليل التكلفة والسعر'!$H$2:$H$700,MATCH("كريب فراخ باربيكيو",'تحليل التكلفة والسعر'!$B$2:$B$700,0))&lt;AVERAGEIFS('تحليل التكلفة والسعر'!$H$2:$H$700,'تحليل التكلفة والسعر'!$A$2:$A$700,$A72,'تحليل التكلفة والسعر'!$C$2:$C$700,"&gt;0")),"🐎 حصان عمل",IF(AND($E72&lt;AVERAGEIFS($E$5:$E$175,$A$5:$A$175,$A72,$E$5:$E$175,"&gt;0"),INDEX('تحليل التكلفة والسعر'!$H$2:$H$700,MATCH("كريب فراخ باربيكيو",'تحليل التكلفة والسعر'!$B$2:$B$700,0))&gt;=AVERAGEIFS('تحليل التكلفة والسعر'!$H$2:$H$700,'تحليل التكلفة والسعر'!$A$2:$A$700,$A72,'تحليل التكلفة والسعر'!$C$2:$C$700,"&gt;0")),"🧩 لغز","🐶 كلب"))))</f>
        <v>بيانات غير كافية</v>
      </c>
      <c r="G72" s="49" t="n">
        <v>0</v>
      </c>
      <c r="H72" s="11" t="str">
        <f aca="false">IF(OR(NOT(INDEX('تحليل التكلفة والسعر'!$C$2:$C$700,MATCH("كريب فراخ باربيكيو",'تحليل التكلفة والسعر'!$B$2:$B$700,0))&gt;0),$G72=0),"بيانات غير كافية",IF(AND($G72&gt;=AVERAGEIFS($G$5:$G$175,$A$5:$A$175,$A72,$G$5:$G$175,"&gt;0"),INDEX('تحليل التكلفة والسعر'!$H$2:$H$700,MATCH("كريب فراخ باربيكيو",'تحليل التكلفة والسعر'!$B$2:$B$700,0))&gt;=AVERAGEIFS('تحليل التكلفة والسعر'!$H$2:$H$700,'تحليل التكلفة والسعر'!$A$2:$A$700,$A72,'تحليل التكلفة والسعر'!$C$2:$C$700,"&gt;0")),"⭐ نجم",IF(AND($G72&gt;=AVERAGEIFS($G$5:$G$175,$A$5:$A$175,$A72,$G$5:$G$175,"&gt;0"),INDEX('تحليل التكلفة والسعر'!$H$2:$H$700,MATCH("كريب فراخ باربيكيو",'تحليل التكلفة والسعر'!$B$2:$B$700,0))&lt;AVERAGEIFS('تحليل التكلفة والسعر'!$H$2:$H$700,'تحليل التكلفة والسعر'!$A$2:$A$700,$A72,'تحليل التكلفة والسعر'!$C$2:$C$700,"&gt;0")),"🐎 حصان عمل",IF(AND($G72&lt;AVERAGEIFS($G$5:$G$175,$A$5:$A$175,$A72,$G$5:$G$175,"&gt;0"),INDEX('تحليل التكلفة والسعر'!$H$2:$H$700,MATCH("كريب فراخ باربيكيو",'تحليل التكلفة والسعر'!$B$2:$B$700,0))&gt;=AVERAGEIFS('تحليل التكلفة والسعر'!$H$2:$H$700,'تحليل التكلفة والسعر'!$A$2:$A$700,$A72,'تحليل التكلفة والسعر'!$C$2:$C$700,"&gt;0")),"🧩 لغز","🐶 كلب"))))</f>
        <v>بيانات غير كافية</v>
      </c>
    </row>
    <row r="73" customFormat="false" ht="15" hidden="false" customHeight="true" outlineLevel="0" collapsed="false">
      <c r="A73" s="11" t="s">
        <v>14</v>
      </c>
      <c r="B73" s="11" t="s">
        <v>431</v>
      </c>
      <c r="C73" s="13" t="n">
        <f aca="false">IFERROR(INDEX('تحليل التكلفة والسعر'!$D$2:$D$700,MATCH("عيش كريب",'تحليل التكلفة والسعر'!$B$2:$B$700,0)),"")</f>
        <v>5</v>
      </c>
      <c r="D73" s="12" t="n">
        <f aca="false">IFERROR(INDEX('تحليل التكلفة والسعر'!$I$2:$I$700,MATCH("عيش كريب",'تحليل التكلفة والسعر'!$B$2:$B$700,0)),"")</f>
        <v>-0.188992416666667</v>
      </c>
      <c r="E73" s="49" t="n">
        <v>0</v>
      </c>
      <c r="F73" s="11" t="str">
        <f aca="false">IF(OR(NOT(INDEX('تحليل التكلفة والسعر'!$C$2:$C$700,MATCH("عيش كريب",'تحليل التكلفة والسعر'!$B$2:$B$700,0))&gt;0),$E73=0),"بيانات غير كافية",IF(AND($E73&gt;=AVERAGEIFS($E$5:$E$175,$A$5:$A$175,$A73,$E$5:$E$175,"&gt;0"),INDEX('تحليل التكلفة والسعر'!$H$2:$H$700,MATCH("عيش كريب",'تحليل التكلفة والسعر'!$B$2:$B$700,0))&gt;=AVERAGEIFS('تحليل التكلفة والسعر'!$H$2:$H$700,'تحليل التكلفة والسعر'!$A$2:$A$700,$A73,'تحليل التكلفة والسعر'!$C$2:$C$700,"&gt;0")),"⭐ نجم",IF(AND($E73&gt;=AVERAGEIFS($E$5:$E$175,$A$5:$A$175,$A73,$E$5:$E$175,"&gt;0"),INDEX('تحليل التكلفة والسعر'!$H$2:$H$700,MATCH("عيش كريب",'تحليل التكلفة والسعر'!$B$2:$B$700,0))&lt;AVERAGEIFS('تحليل التكلفة والسعر'!$H$2:$H$700,'تحليل التكلفة والسعر'!$A$2:$A$700,$A73,'تحليل التكلفة والسعر'!$C$2:$C$700,"&gt;0")),"🐎 حصان عمل",IF(AND($E73&lt;AVERAGEIFS($E$5:$E$175,$A$5:$A$175,$A73,$E$5:$E$175,"&gt;0"),INDEX('تحليل التكلفة والسعر'!$H$2:$H$700,MATCH("عيش كريب",'تحليل التكلفة والسعر'!$B$2:$B$700,0))&gt;=AVERAGEIFS('تحليل التكلفة والسعر'!$H$2:$H$700,'تحليل التكلفة والسعر'!$A$2:$A$700,$A73,'تحليل التكلفة والسعر'!$C$2:$C$700,"&gt;0")),"🧩 لغز","🐶 كلب"))))</f>
        <v>بيانات غير كافية</v>
      </c>
      <c r="G73" s="49" t="n">
        <v>0</v>
      </c>
      <c r="H73" s="11" t="str">
        <f aca="false">IF(OR(NOT(INDEX('تحليل التكلفة والسعر'!$C$2:$C$700,MATCH("عيش كريب",'تحليل التكلفة والسعر'!$B$2:$B$700,0))&gt;0),$G73=0),"بيانات غير كافية",IF(AND($G73&gt;=AVERAGEIFS($G$5:$G$175,$A$5:$A$175,$A73,$G$5:$G$175,"&gt;0"),INDEX('تحليل التكلفة والسعر'!$H$2:$H$700,MATCH("عيش كريب",'تحليل التكلفة والسعر'!$B$2:$B$700,0))&gt;=AVERAGEIFS('تحليل التكلفة والسعر'!$H$2:$H$700,'تحليل التكلفة والسعر'!$A$2:$A$700,$A73,'تحليل التكلفة والسعر'!$C$2:$C$700,"&gt;0")),"⭐ نجم",IF(AND($G73&gt;=AVERAGEIFS($G$5:$G$175,$A$5:$A$175,$A73,$G$5:$G$175,"&gt;0"),INDEX('تحليل التكلفة والسعر'!$H$2:$H$700,MATCH("عيش كريب",'تحليل التكلفة والسعر'!$B$2:$B$700,0))&lt;AVERAGEIFS('تحليل التكلفة والسعر'!$H$2:$H$700,'تحليل التكلفة والسعر'!$A$2:$A$700,$A73,'تحليل التكلفة والسعر'!$C$2:$C$700,"&gt;0")),"🐎 حصان عمل",IF(AND($G73&lt;AVERAGEIFS($G$5:$G$175,$A$5:$A$175,$A73,$G$5:$G$175,"&gt;0"),INDEX('تحليل التكلفة والسعر'!$H$2:$H$700,MATCH("عيش كريب",'تحليل التكلفة والسعر'!$B$2:$B$700,0))&gt;=AVERAGEIFS('تحليل التكلفة والسعر'!$H$2:$H$700,'تحليل التكلفة والسعر'!$A$2:$A$700,$A73,'تحليل التكلفة والسعر'!$C$2:$C$700,"&gt;0")),"🧩 لغز","🐶 كلب"))))</f>
        <v>بيانات غير كافية</v>
      </c>
    </row>
    <row r="74" customFormat="false" ht="15" hidden="false" customHeight="true" outlineLevel="0" collapsed="false">
      <c r="A74" s="11" t="s">
        <v>15</v>
      </c>
      <c r="B74" s="11" t="s">
        <v>470</v>
      </c>
      <c r="C74" s="13" t="n">
        <f aca="false">IFERROR(INDEX('تحليل التكلفة والسعر'!$D$2:$D$700,MATCH("باكت بطاطس وسط",'تحليل التكلفة والسعر'!$B$2:$B$700,0)),"")</f>
        <v>40</v>
      </c>
      <c r="D74" s="12" t="n">
        <f aca="false">IFERROR(INDEX('تحليل التكلفة والسعر'!$I$2:$I$700,MATCH("باكت بطاطس وسط",'تحليل التكلفة والسعر'!$B$2:$B$700,0)),"")</f>
        <v>0.575385</v>
      </c>
      <c r="E74" s="49" t="n">
        <v>11</v>
      </c>
      <c r="F74" s="11" t="str">
        <f aca="false">IF(OR(NOT(INDEX('تحليل التكلفة والسعر'!$C$2:$C$700,MATCH("باكت بطاطس وسط",'تحليل التكلفة والسعر'!$B$2:$B$700,0))&gt;0),$E74=0),"بيانات غير كافية",IF(AND($E74&gt;=AVERAGEIFS($E$5:$E$175,$A$5:$A$175,$A74,$E$5:$E$175,"&gt;0"),INDEX('تحليل التكلفة والسعر'!$H$2:$H$700,MATCH("باكت بطاطس وسط",'تحليل التكلفة والسعر'!$B$2:$B$700,0))&gt;=AVERAGEIFS('تحليل التكلفة والسعر'!$H$2:$H$700,'تحليل التكلفة والسعر'!$A$2:$A$700,$A74,'تحليل التكلفة والسعر'!$C$2:$C$700,"&gt;0")),"⭐ نجم",IF(AND($E74&gt;=AVERAGEIFS($E$5:$E$175,$A$5:$A$175,$A74,$E$5:$E$175,"&gt;0"),INDEX('تحليل التكلفة والسعر'!$H$2:$H$700,MATCH("باكت بطاطس وسط",'تحليل التكلفة والسعر'!$B$2:$B$700,0))&lt;AVERAGEIFS('تحليل التكلفة والسعر'!$H$2:$H$700,'تحليل التكلفة والسعر'!$A$2:$A$700,$A74,'تحليل التكلفة والسعر'!$C$2:$C$700,"&gt;0")),"🐎 حصان عمل",IF(AND($E74&lt;AVERAGEIFS($E$5:$E$175,$A$5:$A$175,$A74,$E$5:$E$175,"&gt;0"),INDEX('تحليل التكلفة والسعر'!$H$2:$H$700,MATCH("باكت بطاطس وسط",'تحليل التكلفة والسعر'!$B$2:$B$700,0))&gt;=AVERAGEIFS('تحليل التكلفة والسعر'!$H$2:$H$700,'تحليل التكلفة والسعر'!$A$2:$A$700,$A74,'تحليل التكلفة والسعر'!$C$2:$C$700,"&gt;0")),"🧩 لغز","🐶 كلب"))))</f>
        <v>🐎 حصان عمل</v>
      </c>
      <c r="G74" s="49" t="n">
        <v>0</v>
      </c>
      <c r="H74" s="11" t="str">
        <f aca="false">IF(OR(NOT(INDEX('تحليل التكلفة والسعر'!$C$2:$C$700,MATCH("باكت بطاطس وسط",'تحليل التكلفة والسعر'!$B$2:$B$700,0))&gt;0),$G74=0),"بيانات غير كافية",IF(AND($G74&gt;=AVERAGEIFS($G$5:$G$175,$A$5:$A$175,$A74,$G$5:$G$175,"&gt;0"),INDEX('تحليل التكلفة والسعر'!$H$2:$H$700,MATCH("باكت بطاطس وسط",'تحليل التكلفة والسعر'!$B$2:$B$700,0))&gt;=AVERAGEIFS('تحليل التكلفة والسعر'!$H$2:$H$700,'تحليل التكلفة والسعر'!$A$2:$A$700,$A74,'تحليل التكلفة والسعر'!$C$2:$C$700,"&gt;0")),"⭐ نجم",IF(AND($G74&gt;=AVERAGEIFS($G$5:$G$175,$A$5:$A$175,$A74,$G$5:$G$175,"&gt;0"),INDEX('تحليل التكلفة والسعر'!$H$2:$H$700,MATCH("باكت بطاطس وسط",'تحليل التكلفة والسعر'!$B$2:$B$700,0))&lt;AVERAGEIFS('تحليل التكلفة والسعر'!$H$2:$H$700,'تحليل التكلفة والسعر'!$A$2:$A$700,$A74,'تحليل التكلفة والسعر'!$C$2:$C$700,"&gt;0")),"🐎 حصان عمل",IF(AND($G74&lt;AVERAGEIFS($G$5:$G$175,$A$5:$A$175,$A74,$G$5:$G$175,"&gt;0"),INDEX('تحليل التكلفة والسعر'!$H$2:$H$700,MATCH("باكت بطاطس وسط",'تحليل التكلفة والسعر'!$B$2:$B$700,0))&gt;=AVERAGEIFS('تحليل التكلفة والسعر'!$H$2:$H$700,'تحليل التكلفة والسعر'!$A$2:$A$700,$A74,'تحليل التكلفة والسعر'!$C$2:$C$700,"&gt;0")),"🧩 لغز","🐶 كلب"))))</f>
        <v>بيانات غير كافية</v>
      </c>
    </row>
    <row r="75" customFormat="false" ht="15" hidden="false" customHeight="true" outlineLevel="0" collapsed="false">
      <c r="A75" s="11" t="s">
        <v>15</v>
      </c>
      <c r="B75" s="11" t="s">
        <v>456</v>
      </c>
      <c r="C75" s="13" t="n">
        <f aca="false">IFERROR(INDEX('تحليل التكلفة والسعر'!$D$2:$D$700,MATCH("باكت بطاطس كبير",'تحليل التكلفة والسعر'!$B$2:$B$700,0)),"")</f>
        <v>60</v>
      </c>
      <c r="D75" s="12" t="n">
        <f aca="false">IFERROR(INDEX('تحليل التكلفة والسعر'!$I$2:$I$700,MATCH("باكت بطاطس كبير",'تحليل التكلفة والسعر'!$B$2:$B$700,0)),"")</f>
        <v>0.565673333333333</v>
      </c>
      <c r="E75" s="49" t="n">
        <v>7</v>
      </c>
      <c r="F75" s="11" t="str">
        <f aca="false">IF(OR(NOT(INDEX('تحليل التكلفة والسعر'!$C$2:$C$700,MATCH("باكت بطاطس كبير",'تحليل التكلفة والسعر'!$B$2:$B$700,0))&gt;0),$E75=0),"بيانات غير كافية",IF(AND($E75&gt;=AVERAGEIFS($E$5:$E$175,$A$5:$A$175,$A75,$E$5:$E$175,"&gt;0"),INDEX('تحليل التكلفة والسعر'!$H$2:$H$700,MATCH("باكت بطاطس كبير",'تحليل التكلفة والسعر'!$B$2:$B$700,0))&gt;=AVERAGEIFS('تحليل التكلفة والسعر'!$H$2:$H$700,'تحليل التكلفة والسعر'!$A$2:$A$700,$A75,'تحليل التكلفة والسعر'!$C$2:$C$700,"&gt;0")),"⭐ نجم",IF(AND($E75&gt;=AVERAGEIFS($E$5:$E$175,$A$5:$A$175,$A75,$E$5:$E$175,"&gt;0"),INDEX('تحليل التكلفة والسعر'!$H$2:$H$700,MATCH("باكت بطاطس كبير",'تحليل التكلفة والسعر'!$B$2:$B$700,0))&lt;AVERAGEIFS('تحليل التكلفة والسعر'!$H$2:$H$700,'تحليل التكلفة والسعر'!$A$2:$A$700,$A75,'تحليل التكلفة والسعر'!$C$2:$C$700,"&gt;0")),"🐎 حصان عمل",IF(AND($E75&lt;AVERAGEIFS($E$5:$E$175,$A$5:$A$175,$A75,$E$5:$E$175,"&gt;0"),INDEX('تحليل التكلفة والسعر'!$H$2:$H$700,MATCH("باكت بطاطس كبير",'تحليل التكلفة والسعر'!$B$2:$B$700,0))&gt;=AVERAGEIFS('تحليل التكلفة والسعر'!$H$2:$H$700,'تحليل التكلفة والسعر'!$A$2:$A$700,$A75,'تحليل التكلفة والسعر'!$C$2:$C$700,"&gt;0")),"🧩 لغز","🐶 كلب"))))</f>
        <v>🧩 لغز</v>
      </c>
      <c r="G75" s="49" t="n">
        <v>17</v>
      </c>
      <c r="H75" s="11" t="str">
        <f aca="false">IF(OR(NOT(INDEX('تحليل التكلفة والسعر'!$C$2:$C$700,MATCH("باكت بطاطس كبير",'تحليل التكلفة والسعر'!$B$2:$B$700,0))&gt;0),$G75=0),"بيانات غير كافية",IF(AND($G75&gt;=AVERAGEIFS($G$5:$G$175,$A$5:$A$175,$A75,$G$5:$G$175,"&gt;0"),INDEX('تحليل التكلفة والسعر'!$H$2:$H$700,MATCH("باكت بطاطس كبير",'تحليل التكلفة والسعر'!$B$2:$B$700,0))&gt;=AVERAGEIFS('تحليل التكلفة والسعر'!$H$2:$H$700,'تحليل التكلفة والسعر'!$A$2:$A$700,$A75,'تحليل التكلفة والسعر'!$C$2:$C$700,"&gt;0")),"⭐ نجم",IF(AND($G75&gt;=AVERAGEIFS($G$5:$G$175,$A$5:$A$175,$A75,$G$5:$G$175,"&gt;0"),INDEX('تحليل التكلفة والسعر'!$H$2:$H$700,MATCH("باكت بطاطس كبير",'تحليل التكلفة والسعر'!$B$2:$B$700,0))&lt;AVERAGEIFS('تحليل التكلفة والسعر'!$H$2:$H$700,'تحليل التكلفة والسعر'!$A$2:$A$700,$A75,'تحليل التكلفة والسعر'!$C$2:$C$700,"&gt;0")),"🐎 حصان عمل",IF(AND($G75&lt;AVERAGEIFS($G$5:$G$175,$A$5:$A$175,$A75,$G$5:$G$175,"&gt;0"),INDEX('تحليل التكلفة والسعر'!$H$2:$H$700,MATCH("باكت بطاطس كبير",'تحليل التكلفة والسعر'!$B$2:$B$700,0))&gt;=AVERAGEIFS('تحليل التكلفة والسعر'!$H$2:$H$700,'تحليل التكلفة والسعر'!$A$2:$A$700,$A75,'تحليل التكلفة والسعر'!$C$2:$C$700,"&gt;0")),"🧩 لغز","🐶 كلب"))))</f>
        <v>⭐ نجم</v>
      </c>
    </row>
    <row r="76" customFormat="false" ht="15" hidden="false" customHeight="true" outlineLevel="0" collapsed="false">
      <c r="A76" s="11" t="s">
        <v>15</v>
      </c>
      <c r="B76" s="11" t="s">
        <v>444</v>
      </c>
      <c r="C76" s="13" t="n">
        <f aca="false">IFERROR(INDEX('تحليل التكلفة والسعر'!$D$2:$D$700,MATCH("باكت بطاطس جبنة (وسط)",'تحليل التكلفة والسعر'!$B$2:$B$700,0)),"")</f>
        <v>50</v>
      </c>
      <c r="D76" s="12" t="n">
        <f aca="false">IFERROR(INDEX('تحليل التكلفة والسعر'!$I$2:$I$700,MATCH("باكت بطاطس جبنة (وسط)",'تحليل التكلفة والسعر'!$B$2:$B$700,0)),"")</f>
        <v>0.631862</v>
      </c>
      <c r="E76" s="49" t="n">
        <v>0</v>
      </c>
      <c r="F76" s="11" t="str">
        <f aca="false">IF(OR(NOT(INDEX('تحليل التكلفة والسعر'!$C$2:$C$700,MATCH("باكت بطاطس جبنة (وسط)",'تحليل التكلفة والسعر'!$B$2:$B$700,0))&gt;0),$E76=0),"بيانات غير كافية",IF(AND($E76&gt;=AVERAGEIFS($E$5:$E$175,$A$5:$A$175,$A76,$E$5:$E$175,"&gt;0"),INDEX('تحليل التكلفة والسعر'!$H$2:$H$700,MATCH("باكت بطاطس جبنة (وسط)",'تحليل التكلفة والسعر'!$B$2:$B$700,0))&gt;=AVERAGEIFS('تحليل التكلفة والسعر'!$H$2:$H$700,'تحليل التكلفة والسعر'!$A$2:$A$700,$A76,'تحليل التكلفة والسعر'!$C$2:$C$700,"&gt;0")),"⭐ نجم",IF(AND($E76&gt;=AVERAGEIFS($E$5:$E$175,$A$5:$A$175,$A76,$E$5:$E$175,"&gt;0"),INDEX('تحليل التكلفة والسعر'!$H$2:$H$700,MATCH("باكت بطاطس جبنة (وسط)",'تحليل التكلفة والسعر'!$B$2:$B$700,0))&lt;AVERAGEIFS('تحليل التكلفة والسعر'!$H$2:$H$700,'تحليل التكلفة والسعر'!$A$2:$A$700,$A76,'تحليل التكلفة والسعر'!$C$2:$C$700,"&gt;0")),"🐎 حصان عمل",IF(AND($E76&lt;AVERAGEIFS($E$5:$E$175,$A$5:$A$175,$A76,$E$5:$E$175,"&gt;0"),INDEX('تحليل التكلفة والسعر'!$H$2:$H$700,MATCH("باكت بطاطس جبنة (وسط)",'تحليل التكلفة والسعر'!$B$2:$B$700,0))&gt;=AVERAGEIFS('تحليل التكلفة والسعر'!$H$2:$H$700,'تحليل التكلفة والسعر'!$A$2:$A$700,$A76,'تحليل التكلفة والسعر'!$C$2:$C$700,"&gt;0")),"🧩 لغز","🐶 كلب"))))</f>
        <v>بيانات غير كافية</v>
      </c>
      <c r="G76" s="49" t="n">
        <v>0</v>
      </c>
      <c r="H76" s="11" t="str">
        <f aca="false">IF(OR(NOT(INDEX('تحليل التكلفة والسعر'!$C$2:$C$700,MATCH("باكت بطاطس جبنة (وسط)",'تحليل التكلفة والسعر'!$B$2:$B$700,0))&gt;0),$G76=0),"بيانات غير كافية",IF(AND($G76&gt;=AVERAGEIFS($G$5:$G$175,$A$5:$A$175,$A76,$G$5:$G$175,"&gt;0"),INDEX('تحليل التكلفة والسعر'!$H$2:$H$700,MATCH("باكت بطاطس جبنة (وسط)",'تحليل التكلفة والسعر'!$B$2:$B$700,0))&gt;=AVERAGEIFS('تحليل التكلفة والسعر'!$H$2:$H$700,'تحليل التكلفة والسعر'!$A$2:$A$700,$A76,'تحليل التكلفة والسعر'!$C$2:$C$700,"&gt;0")),"⭐ نجم",IF(AND($G76&gt;=AVERAGEIFS($G$5:$G$175,$A$5:$A$175,$A76,$G$5:$G$175,"&gt;0"),INDEX('تحليل التكلفة والسعر'!$H$2:$H$700,MATCH("باكت بطاطس جبنة (وسط)",'تحليل التكلفة والسعر'!$B$2:$B$700,0))&lt;AVERAGEIFS('تحليل التكلفة والسعر'!$H$2:$H$700,'تحليل التكلفة والسعر'!$A$2:$A$700,$A76,'تحليل التكلفة والسعر'!$C$2:$C$700,"&gt;0")),"🐎 حصان عمل",IF(AND($G76&lt;AVERAGEIFS($G$5:$G$175,$A$5:$A$175,$A76,$G$5:$G$175,"&gt;0"),INDEX('تحليل التكلفة والسعر'!$H$2:$H$700,MATCH("باكت بطاطس جبنة (وسط)",'تحليل التكلفة والسعر'!$B$2:$B$700,0))&gt;=AVERAGEIFS('تحليل التكلفة والسعر'!$H$2:$H$700,'تحليل التكلفة والسعر'!$A$2:$A$700,$A76,'تحليل التكلفة والسعر'!$C$2:$C$700,"&gt;0")),"🧩 لغز","🐶 كلب"))))</f>
        <v>بيانات غير كافية</v>
      </c>
    </row>
    <row r="77" customFormat="false" ht="15" hidden="false" customHeight="true" outlineLevel="0" collapsed="false">
      <c r="A77" s="11" t="s">
        <v>15</v>
      </c>
      <c r="B77" s="11" t="s">
        <v>440</v>
      </c>
      <c r="C77" s="13" t="n">
        <f aca="false">IFERROR(INDEX('تحليل التكلفة والسعر'!$D$2:$D$700,MATCH("باكت بطاطس جبنة (كبير)",'تحليل التكلفة والسعر'!$B$2:$B$700,0)),"")</f>
        <v>70</v>
      </c>
      <c r="D77" s="12" t="n">
        <f aca="false">IFERROR(INDEX('تحليل التكلفة والسعر'!$I$2:$I$700,MATCH("باكت بطاطس جبنة (كبير)",'تحليل التكلفة والسعر'!$B$2:$B$700,0)),"")</f>
        <v>0.507401428571429</v>
      </c>
      <c r="E77" s="49" t="n">
        <v>0</v>
      </c>
      <c r="F77" s="11" t="str">
        <f aca="false">IF(OR(NOT(INDEX('تحليل التكلفة والسعر'!$C$2:$C$700,MATCH("باكت بطاطس جبنة (كبير)",'تحليل التكلفة والسعر'!$B$2:$B$700,0))&gt;0),$E77=0),"بيانات غير كافية",IF(AND($E77&gt;=AVERAGEIFS($E$5:$E$175,$A$5:$A$175,$A77,$E$5:$E$175,"&gt;0"),INDEX('تحليل التكلفة والسعر'!$H$2:$H$700,MATCH("باكت بطاطس جبنة (كبير)",'تحليل التكلفة والسعر'!$B$2:$B$700,0))&gt;=AVERAGEIFS('تحليل التكلفة والسعر'!$H$2:$H$700,'تحليل التكلفة والسعر'!$A$2:$A$700,$A77,'تحليل التكلفة والسعر'!$C$2:$C$700,"&gt;0")),"⭐ نجم",IF(AND($E77&gt;=AVERAGEIFS($E$5:$E$175,$A$5:$A$175,$A77,$E$5:$E$175,"&gt;0"),INDEX('تحليل التكلفة والسعر'!$H$2:$H$700,MATCH("باكت بطاطس جبنة (كبير)",'تحليل التكلفة والسعر'!$B$2:$B$700,0))&lt;AVERAGEIFS('تحليل التكلفة والسعر'!$H$2:$H$700,'تحليل التكلفة والسعر'!$A$2:$A$700,$A77,'تحليل التكلفة والسعر'!$C$2:$C$700,"&gt;0")),"🐎 حصان عمل",IF(AND($E77&lt;AVERAGEIFS($E$5:$E$175,$A$5:$A$175,$A77,$E$5:$E$175,"&gt;0"),INDEX('تحليل التكلفة والسعر'!$H$2:$H$700,MATCH("باكت بطاطس جبنة (كبير)",'تحليل التكلفة والسعر'!$B$2:$B$700,0))&gt;=AVERAGEIFS('تحليل التكلفة والسعر'!$H$2:$H$700,'تحليل التكلفة والسعر'!$A$2:$A$700,$A77,'تحليل التكلفة والسعر'!$C$2:$C$700,"&gt;0")),"🧩 لغز","🐶 كلب"))))</f>
        <v>بيانات غير كافية</v>
      </c>
      <c r="G77" s="49" t="n">
        <v>0</v>
      </c>
      <c r="H77" s="11" t="str">
        <f aca="false">IF(OR(NOT(INDEX('تحليل التكلفة والسعر'!$C$2:$C$700,MATCH("باكت بطاطس جبنة (كبير)",'تحليل التكلفة والسعر'!$B$2:$B$700,0))&gt;0),$G77=0),"بيانات غير كافية",IF(AND($G77&gt;=AVERAGEIFS($G$5:$G$175,$A$5:$A$175,$A77,$G$5:$G$175,"&gt;0"),INDEX('تحليل التكلفة والسعر'!$H$2:$H$700,MATCH("باكت بطاطس جبنة (كبير)",'تحليل التكلفة والسعر'!$B$2:$B$700,0))&gt;=AVERAGEIFS('تحليل التكلفة والسعر'!$H$2:$H$700,'تحليل التكلفة والسعر'!$A$2:$A$700,$A77,'تحليل التكلفة والسعر'!$C$2:$C$700,"&gt;0")),"⭐ نجم",IF(AND($G77&gt;=AVERAGEIFS($G$5:$G$175,$A$5:$A$175,$A77,$G$5:$G$175,"&gt;0"),INDEX('تحليل التكلفة والسعر'!$H$2:$H$700,MATCH("باكت بطاطس جبنة (كبير)",'تحليل التكلفة والسعر'!$B$2:$B$700,0))&lt;AVERAGEIFS('تحليل التكلفة والسعر'!$H$2:$H$700,'تحليل التكلفة والسعر'!$A$2:$A$700,$A77,'تحليل التكلفة والسعر'!$C$2:$C$700,"&gt;0")),"🐎 حصان عمل",IF(AND($G77&lt;AVERAGEIFS($G$5:$G$175,$A$5:$A$175,$A77,$G$5:$G$175,"&gt;0"),INDEX('تحليل التكلفة والسعر'!$H$2:$H$700,MATCH("باكت بطاطس جبنة (كبير)",'تحليل التكلفة والسعر'!$B$2:$B$700,0))&gt;=AVERAGEIFS('تحليل التكلفة والسعر'!$H$2:$H$700,'تحليل التكلفة والسعر'!$A$2:$A$700,$A77,'تحليل التكلفة والسعر'!$C$2:$C$700,"&gt;0")),"🧩 لغز","🐶 كلب"))))</f>
        <v>بيانات غير كافية</v>
      </c>
    </row>
    <row r="78" customFormat="false" ht="15" hidden="false" customHeight="true" outlineLevel="0" collapsed="false">
      <c r="A78" s="11" t="s">
        <v>391</v>
      </c>
      <c r="B78" s="11" t="s">
        <v>202</v>
      </c>
      <c r="C78" s="13" t="n">
        <f aca="false">IFERROR(INDEX('تحليل التكلفة والسعر'!$D$2:$D$700,MATCH("بيبسي كانز",'تحليل التكلفة والسعر'!$B$2:$B$700,0)),"")</f>
        <v>30</v>
      </c>
      <c r="D78" s="12" t="n">
        <f aca="false">IFERROR(INDEX('تحليل التكلفة والسعر'!$I$2:$I$700,MATCH("بيبسي كانز",'تحليل التكلفة والسعر'!$B$2:$B$700,0)),"")</f>
        <v>0.39602</v>
      </c>
      <c r="E78" s="49" t="n">
        <v>0</v>
      </c>
      <c r="F78" s="11" t="str">
        <f aca="false">IF(OR(NOT(INDEX('تحليل التكلفة والسعر'!$C$2:$C$700,MATCH("بيبسي كانز",'تحليل التكلفة والسعر'!$B$2:$B$700,0))&gt;0),$E78=0),"بيانات غير كافية",IF(AND($E78&gt;=AVERAGEIFS($E$5:$E$175,$A$5:$A$175,$A78,$E$5:$E$175,"&gt;0"),INDEX('تحليل التكلفة والسعر'!$H$2:$H$700,MATCH("بيبسي كانز",'تحليل التكلفة والسعر'!$B$2:$B$700,0))&gt;=AVERAGEIFS('تحليل التكلفة والسعر'!$H$2:$H$700,'تحليل التكلفة والسعر'!$A$2:$A$700,$A78,'تحليل التكلفة والسعر'!$C$2:$C$700,"&gt;0")),"⭐ نجم",IF(AND($E78&gt;=AVERAGEIFS($E$5:$E$175,$A$5:$A$175,$A78,$E$5:$E$175,"&gt;0"),INDEX('تحليل التكلفة والسعر'!$H$2:$H$700,MATCH("بيبسي كانز",'تحليل التكلفة والسعر'!$B$2:$B$700,0))&lt;AVERAGEIFS('تحليل التكلفة والسعر'!$H$2:$H$700,'تحليل التكلفة والسعر'!$A$2:$A$700,$A78,'تحليل التكلفة والسعر'!$C$2:$C$700,"&gt;0")),"🐎 حصان عمل",IF(AND($E78&lt;AVERAGEIFS($E$5:$E$175,$A$5:$A$175,$A78,$E$5:$E$175,"&gt;0"),INDEX('تحليل التكلفة والسعر'!$H$2:$H$700,MATCH("بيبسي كانز",'تحليل التكلفة والسعر'!$B$2:$B$700,0))&gt;=AVERAGEIFS('تحليل التكلفة والسعر'!$H$2:$H$700,'تحليل التكلفة والسعر'!$A$2:$A$700,$A78,'تحليل التكلفة والسعر'!$C$2:$C$700,"&gt;0")),"🧩 لغز","🐶 كلب"))))</f>
        <v>بيانات غير كافية</v>
      </c>
      <c r="G78" s="49" t="n">
        <v>0</v>
      </c>
      <c r="H78" s="11" t="str">
        <f aca="false">IF(OR(NOT(INDEX('تحليل التكلفة والسعر'!$C$2:$C$700,MATCH("بيبسي كانز",'تحليل التكلفة والسعر'!$B$2:$B$700,0))&gt;0),$G78=0),"بيانات غير كافية",IF(AND($G78&gt;=AVERAGEIFS($G$5:$G$175,$A$5:$A$175,$A78,$G$5:$G$175,"&gt;0"),INDEX('تحليل التكلفة والسعر'!$H$2:$H$700,MATCH("بيبسي كانز",'تحليل التكلفة والسعر'!$B$2:$B$700,0))&gt;=AVERAGEIFS('تحليل التكلفة والسعر'!$H$2:$H$700,'تحليل التكلفة والسعر'!$A$2:$A$700,$A78,'تحليل التكلفة والسعر'!$C$2:$C$700,"&gt;0")),"⭐ نجم",IF(AND($G78&gt;=AVERAGEIFS($G$5:$G$175,$A$5:$A$175,$A78,$G$5:$G$175,"&gt;0"),INDEX('تحليل التكلفة والسعر'!$H$2:$H$700,MATCH("بيبسي كانز",'تحليل التكلفة والسعر'!$B$2:$B$700,0))&lt;AVERAGEIFS('تحليل التكلفة والسعر'!$H$2:$H$700,'تحليل التكلفة والسعر'!$A$2:$A$700,$A78,'تحليل التكلفة والسعر'!$C$2:$C$700,"&gt;0")),"🐎 حصان عمل",IF(AND($G78&lt;AVERAGEIFS($G$5:$G$175,$A$5:$A$175,$A78,$G$5:$G$175,"&gt;0"),INDEX('تحليل التكلفة والسعر'!$H$2:$H$700,MATCH("بيبسي كانز",'تحليل التكلفة والسعر'!$B$2:$B$700,0))&gt;=AVERAGEIFS('تحليل التكلفة والسعر'!$H$2:$H$700,'تحليل التكلفة والسعر'!$A$2:$A$700,$A78,'تحليل التكلفة والسعر'!$C$2:$C$700,"&gt;0")),"🧩 لغز","🐶 كلب"))))</f>
        <v>بيانات غير كافية</v>
      </c>
    </row>
    <row r="79" customFormat="false" ht="15" hidden="false" customHeight="true" outlineLevel="0" collapsed="false">
      <c r="A79" s="11" t="s">
        <v>391</v>
      </c>
      <c r="B79" s="11" t="s">
        <v>204</v>
      </c>
      <c r="C79" s="13" t="n">
        <f aca="false">IFERROR(INDEX('تحليل التكلفة والسعر'!$D$2:$D$700,MATCH("بيبسي لتر",'تحليل التكلفة والسعر'!$B$2:$B$700,0)),"")</f>
        <v>35</v>
      </c>
      <c r="D79" s="12" t="n">
        <f aca="false">IFERROR(INDEX('تحليل التكلفة والسعر'!$I$2:$I$700,MATCH("بيبسي لتر",'تحليل التكلفة والسعر'!$B$2:$B$700,0)),"")</f>
        <v>0.116231428571429</v>
      </c>
      <c r="E79" s="49" t="n">
        <v>0</v>
      </c>
      <c r="F79" s="11" t="str">
        <f aca="false">IF(OR(NOT(INDEX('تحليل التكلفة والسعر'!$C$2:$C$700,MATCH("بيبسي لتر",'تحليل التكلفة والسعر'!$B$2:$B$700,0))&gt;0),$E79=0),"بيانات غير كافية",IF(AND($E79&gt;=AVERAGEIFS($E$5:$E$175,$A$5:$A$175,$A79,$E$5:$E$175,"&gt;0"),INDEX('تحليل التكلفة والسعر'!$H$2:$H$700,MATCH("بيبسي لتر",'تحليل التكلفة والسعر'!$B$2:$B$700,0))&gt;=AVERAGEIFS('تحليل التكلفة والسعر'!$H$2:$H$700,'تحليل التكلفة والسعر'!$A$2:$A$700,$A79,'تحليل التكلفة والسعر'!$C$2:$C$700,"&gt;0")),"⭐ نجم",IF(AND($E79&gt;=AVERAGEIFS($E$5:$E$175,$A$5:$A$175,$A79,$E$5:$E$175,"&gt;0"),INDEX('تحليل التكلفة والسعر'!$H$2:$H$700,MATCH("بيبسي لتر",'تحليل التكلفة والسعر'!$B$2:$B$700,0))&lt;AVERAGEIFS('تحليل التكلفة والسعر'!$H$2:$H$700,'تحليل التكلفة والسعر'!$A$2:$A$700,$A79,'تحليل التكلفة والسعر'!$C$2:$C$700,"&gt;0")),"🐎 حصان عمل",IF(AND($E79&lt;AVERAGEIFS($E$5:$E$175,$A$5:$A$175,$A79,$E$5:$E$175,"&gt;0"),INDEX('تحليل التكلفة والسعر'!$H$2:$H$700,MATCH("بيبسي لتر",'تحليل التكلفة والسعر'!$B$2:$B$700,0))&gt;=AVERAGEIFS('تحليل التكلفة والسعر'!$H$2:$H$700,'تحليل التكلفة والسعر'!$A$2:$A$700,$A79,'تحليل التكلفة والسعر'!$C$2:$C$700,"&gt;0")),"🧩 لغز","🐶 كلب"))))</f>
        <v>بيانات غير كافية</v>
      </c>
      <c r="G79" s="49" t="n">
        <v>0</v>
      </c>
      <c r="H79" s="11" t="str">
        <f aca="false">IF(OR(NOT(INDEX('تحليل التكلفة والسعر'!$C$2:$C$700,MATCH("بيبسي لتر",'تحليل التكلفة والسعر'!$B$2:$B$700,0))&gt;0),$G79=0),"بيانات غير كافية",IF(AND($G79&gt;=AVERAGEIFS($G$5:$G$175,$A$5:$A$175,$A79,$G$5:$G$175,"&gt;0"),INDEX('تحليل التكلفة والسعر'!$H$2:$H$700,MATCH("بيبسي لتر",'تحليل التكلفة والسعر'!$B$2:$B$700,0))&gt;=AVERAGEIFS('تحليل التكلفة والسعر'!$H$2:$H$700,'تحليل التكلفة والسعر'!$A$2:$A$700,$A79,'تحليل التكلفة والسعر'!$C$2:$C$700,"&gt;0")),"⭐ نجم",IF(AND($G79&gt;=AVERAGEIFS($G$5:$G$175,$A$5:$A$175,$A79,$G$5:$G$175,"&gt;0"),INDEX('تحليل التكلفة والسعر'!$H$2:$H$700,MATCH("بيبسي لتر",'تحليل التكلفة والسعر'!$B$2:$B$700,0))&lt;AVERAGEIFS('تحليل التكلفة والسعر'!$H$2:$H$700,'تحليل التكلفة والسعر'!$A$2:$A$700,$A79,'تحليل التكلفة والسعر'!$C$2:$C$700,"&gt;0")),"🐎 حصان عمل",IF(AND($G79&lt;AVERAGEIFS($G$5:$G$175,$A$5:$A$175,$A79,$G$5:$G$175,"&gt;0"),INDEX('تحليل التكلفة والسعر'!$H$2:$H$700,MATCH("بيبسي لتر",'تحليل التكلفة والسعر'!$B$2:$B$700,0))&gt;=AVERAGEIFS('تحليل التكلفة والسعر'!$H$2:$H$700,'تحليل التكلفة والسعر'!$A$2:$A$700,$A79,'تحليل التكلفة والسعر'!$C$2:$C$700,"&gt;0")),"🧩 لغز","🐶 كلب"))))</f>
        <v>بيانات غير كافية</v>
      </c>
    </row>
    <row r="80" customFormat="false" ht="15" hidden="false" customHeight="true" outlineLevel="0" collapsed="false">
      <c r="A80" s="11" t="s">
        <v>16</v>
      </c>
      <c r="B80" s="11" t="s">
        <v>471</v>
      </c>
      <c r="C80" s="13" t="n">
        <f aca="false">IFERROR(INDEX('تحليل التكلفة والسعر'!$D$2:$D$700,MATCH("بيتزا مارجريتا صيامي وسط",'تحليل التكلفة والسعر'!$B$2:$B$700,0)),"")</f>
        <v>90</v>
      </c>
      <c r="D80" s="12" t="n">
        <f aca="false">IFERROR(INDEX('تحليل التكلفة والسعر'!$I$2:$I$700,MATCH("بيتزا مارجريتا صيامي وسط",'تحليل التكلفة والسعر'!$B$2:$B$700,0)),"")</f>
        <v>0.596128888888889</v>
      </c>
      <c r="E80" s="49" t="n">
        <v>0</v>
      </c>
      <c r="F80" s="11" t="str">
        <f aca="false">IF(OR(NOT(INDEX('تحليل التكلفة والسعر'!$C$2:$C$700,MATCH("بيتزا مارجريتا صيامي وسط",'تحليل التكلفة والسعر'!$B$2:$B$700,0))&gt;0),$E80=0),"بيانات غير كافية",IF(AND($E80&gt;=AVERAGEIFS($E$5:$E$175,$A$5:$A$175,$A80,$E$5:$E$175,"&gt;0"),INDEX('تحليل التكلفة والسعر'!$H$2:$H$700,MATCH("بيتزا مارجريتا صيامي وسط",'تحليل التكلفة والسعر'!$B$2:$B$700,0))&gt;=AVERAGEIFS('تحليل التكلفة والسعر'!$H$2:$H$700,'تحليل التكلفة والسعر'!$A$2:$A$700,$A80,'تحليل التكلفة والسعر'!$C$2:$C$700,"&gt;0")),"⭐ نجم",IF(AND($E80&gt;=AVERAGEIFS($E$5:$E$175,$A$5:$A$175,$A80,$E$5:$E$175,"&gt;0"),INDEX('تحليل التكلفة والسعر'!$H$2:$H$700,MATCH("بيتزا مارجريتا صيامي وسط",'تحليل التكلفة والسعر'!$B$2:$B$700,0))&lt;AVERAGEIFS('تحليل التكلفة والسعر'!$H$2:$H$700,'تحليل التكلفة والسعر'!$A$2:$A$700,$A80,'تحليل التكلفة والسعر'!$C$2:$C$700,"&gt;0")),"🐎 حصان عمل",IF(AND($E80&lt;AVERAGEIFS($E$5:$E$175,$A$5:$A$175,$A80,$E$5:$E$175,"&gt;0"),INDEX('تحليل التكلفة والسعر'!$H$2:$H$700,MATCH("بيتزا مارجريتا صيامي وسط",'تحليل التكلفة والسعر'!$B$2:$B$700,0))&gt;=AVERAGEIFS('تحليل التكلفة والسعر'!$H$2:$H$700,'تحليل التكلفة والسعر'!$A$2:$A$700,$A80,'تحليل التكلفة والسعر'!$C$2:$C$700,"&gt;0")),"🧩 لغز","🐶 كلب"))))</f>
        <v>بيانات غير كافية</v>
      </c>
      <c r="G80" s="49" t="n">
        <v>0</v>
      </c>
      <c r="H80" s="11" t="str">
        <f aca="false">IF(OR(NOT(INDEX('تحليل التكلفة والسعر'!$C$2:$C$700,MATCH("بيتزا مارجريتا صيامي وسط",'تحليل التكلفة والسعر'!$B$2:$B$700,0))&gt;0),$G80=0),"بيانات غير كافية",IF(AND($G80&gt;=AVERAGEIFS($G$5:$G$175,$A$5:$A$175,$A80,$G$5:$G$175,"&gt;0"),INDEX('تحليل التكلفة والسعر'!$H$2:$H$700,MATCH("بيتزا مارجريتا صيامي وسط",'تحليل التكلفة والسعر'!$B$2:$B$700,0))&gt;=AVERAGEIFS('تحليل التكلفة والسعر'!$H$2:$H$700,'تحليل التكلفة والسعر'!$A$2:$A$700,$A80,'تحليل التكلفة والسعر'!$C$2:$C$700,"&gt;0")),"⭐ نجم",IF(AND($G80&gt;=AVERAGEIFS($G$5:$G$175,$A$5:$A$175,$A80,$G$5:$G$175,"&gt;0"),INDEX('تحليل التكلفة والسعر'!$H$2:$H$700,MATCH("بيتزا مارجريتا صيامي وسط",'تحليل التكلفة والسعر'!$B$2:$B$700,0))&lt;AVERAGEIFS('تحليل التكلفة والسعر'!$H$2:$H$700,'تحليل التكلفة والسعر'!$A$2:$A$700,$A80,'تحليل التكلفة والسعر'!$C$2:$C$700,"&gt;0")),"🐎 حصان عمل",IF(AND($G80&lt;AVERAGEIFS($G$5:$G$175,$A$5:$A$175,$A80,$G$5:$G$175,"&gt;0"),INDEX('تحليل التكلفة والسعر'!$H$2:$H$700,MATCH("بيتزا مارجريتا صيامي وسط",'تحليل التكلفة والسعر'!$B$2:$B$700,0))&gt;=AVERAGEIFS('تحليل التكلفة والسعر'!$H$2:$H$700,'تحليل التكلفة والسعر'!$A$2:$A$700,$A80,'تحليل التكلفة والسعر'!$C$2:$C$700,"&gt;0")),"🧩 لغز","🐶 كلب"))))</f>
        <v>بيانات غير كافية</v>
      </c>
    </row>
    <row r="81" customFormat="false" ht="15" hidden="false" customHeight="true" outlineLevel="0" collapsed="false">
      <c r="A81" s="11" t="s">
        <v>16</v>
      </c>
      <c r="B81" s="11" t="s">
        <v>497</v>
      </c>
      <c r="C81" s="13" t="n">
        <f aca="false">IFERROR(INDEX('تحليل التكلفة والسعر'!$D$2:$D$700,MATCH("بيتزا مارجريتا صيامي مخصوص",'تحليل التكلفة والسعر'!$B$2:$B$700,0)),"")</f>
        <v>120</v>
      </c>
      <c r="D81" s="12" t="n">
        <f aca="false">IFERROR(INDEX('تحليل التكلفة والسعر'!$I$2:$I$700,MATCH("بيتزا مارجريتا صيامي مخصوص",'تحليل التكلفة والسعر'!$B$2:$B$700,0)),"")</f>
        <v>0.590971666666667</v>
      </c>
      <c r="E81" s="49" t="n">
        <v>0</v>
      </c>
      <c r="F81" s="11" t="str">
        <f aca="false">IF(OR(NOT(INDEX('تحليل التكلفة والسعر'!$C$2:$C$700,MATCH("بيتزا مارجريتا صيامي مخصوص",'تحليل التكلفة والسعر'!$B$2:$B$700,0))&gt;0),$E81=0),"بيانات غير كافية",IF(AND($E81&gt;=AVERAGEIFS($E$5:$E$175,$A$5:$A$175,$A81,$E$5:$E$175,"&gt;0"),INDEX('تحليل التكلفة والسعر'!$H$2:$H$700,MATCH("بيتزا مارجريتا صيامي مخصوص",'تحليل التكلفة والسعر'!$B$2:$B$700,0))&gt;=AVERAGEIFS('تحليل التكلفة والسعر'!$H$2:$H$700,'تحليل التكلفة والسعر'!$A$2:$A$700,$A81,'تحليل التكلفة والسعر'!$C$2:$C$700,"&gt;0")),"⭐ نجم",IF(AND($E81&gt;=AVERAGEIFS($E$5:$E$175,$A$5:$A$175,$A81,$E$5:$E$175,"&gt;0"),INDEX('تحليل التكلفة والسعر'!$H$2:$H$700,MATCH("بيتزا مارجريتا صيامي مخصوص",'تحليل التكلفة والسعر'!$B$2:$B$700,0))&lt;AVERAGEIFS('تحليل التكلفة والسعر'!$H$2:$H$700,'تحليل التكلفة والسعر'!$A$2:$A$700,$A81,'تحليل التكلفة والسعر'!$C$2:$C$700,"&gt;0")),"🐎 حصان عمل",IF(AND($E81&lt;AVERAGEIFS($E$5:$E$175,$A$5:$A$175,$A81,$E$5:$E$175,"&gt;0"),INDEX('تحليل التكلفة والسعر'!$H$2:$H$700,MATCH("بيتزا مارجريتا صيامي مخصوص",'تحليل التكلفة والسعر'!$B$2:$B$700,0))&gt;=AVERAGEIFS('تحليل التكلفة والسعر'!$H$2:$H$700,'تحليل التكلفة والسعر'!$A$2:$A$700,$A81,'تحليل التكلفة والسعر'!$C$2:$C$700,"&gt;0")),"🧩 لغز","🐶 كلب"))))</f>
        <v>بيانات غير كافية</v>
      </c>
      <c r="G81" s="49" t="n">
        <v>0</v>
      </c>
      <c r="H81" s="11" t="str">
        <f aca="false">IF(OR(NOT(INDEX('تحليل التكلفة والسعر'!$C$2:$C$700,MATCH("بيتزا مارجريتا صيامي مخصوص",'تحليل التكلفة والسعر'!$B$2:$B$700,0))&gt;0),$G81=0),"بيانات غير كافية",IF(AND($G81&gt;=AVERAGEIFS($G$5:$G$175,$A$5:$A$175,$A81,$G$5:$G$175,"&gt;0"),INDEX('تحليل التكلفة والسعر'!$H$2:$H$700,MATCH("بيتزا مارجريتا صيامي مخصوص",'تحليل التكلفة والسعر'!$B$2:$B$700,0))&gt;=AVERAGEIFS('تحليل التكلفة والسعر'!$H$2:$H$700,'تحليل التكلفة والسعر'!$A$2:$A$700,$A81,'تحليل التكلفة والسعر'!$C$2:$C$700,"&gt;0")),"⭐ نجم",IF(AND($G81&gt;=AVERAGEIFS($G$5:$G$175,$A$5:$A$175,$A81,$G$5:$G$175,"&gt;0"),INDEX('تحليل التكلفة والسعر'!$H$2:$H$700,MATCH("بيتزا مارجريتا صيامي مخصوص",'تحليل التكلفة والسعر'!$B$2:$B$700,0))&lt;AVERAGEIFS('تحليل التكلفة والسعر'!$H$2:$H$700,'تحليل التكلفة والسعر'!$A$2:$A$700,$A81,'تحليل التكلفة والسعر'!$C$2:$C$700,"&gt;0")),"🐎 حصان عمل",IF(AND($G81&lt;AVERAGEIFS($G$5:$G$175,$A$5:$A$175,$A81,$G$5:$G$175,"&gt;0"),INDEX('تحليل التكلفة والسعر'!$H$2:$H$700,MATCH("بيتزا مارجريتا صيامي مخصوص",'تحليل التكلفة والسعر'!$B$2:$B$700,0))&gt;=AVERAGEIFS('تحليل التكلفة والسعر'!$H$2:$H$700,'تحليل التكلفة والسعر'!$A$2:$A$700,$A81,'تحليل التكلفة والسعر'!$C$2:$C$700,"&gt;0")),"🧩 لغز","🐶 كلب"))))</f>
        <v>بيانات غير كافية</v>
      </c>
    </row>
    <row r="82" customFormat="false" ht="15" hidden="false" customHeight="true" outlineLevel="0" collapsed="false">
      <c r="A82" s="11" t="s">
        <v>16</v>
      </c>
      <c r="B82" s="11" t="s">
        <v>395</v>
      </c>
      <c r="C82" s="13" t="n">
        <f aca="false">IFERROR(INDEX('تحليل التكلفة والسعر'!$D$2:$D$700,MATCH("بيتزا مشروم صيامي وسط",'تحليل التكلفة والسعر'!$B$2:$B$700,0)),"")</f>
        <v>115</v>
      </c>
      <c r="D82" s="12" t="n">
        <f aca="false">IFERROR(INDEX('تحليل التكلفة والسعر'!$I$2:$I$700,MATCH("بيتزا مشروم صيامي وسط",'تحليل التكلفة والسعر'!$B$2:$B$700,0)),"")</f>
        <v>0.552446347826087</v>
      </c>
      <c r="E82" s="49" t="n">
        <v>0</v>
      </c>
      <c r="F82" s="11" t="str">
        <f aca="false">IF(OR(NOT(INDEX('تحليل التكلفة والسعر'!$C$2:$C$700,MATCH("بيتزا مشروم صيامي وسط",'تحليل التكلفة والسعر'!$B$2:$B$700,0))&gt;0),$E82=0),"بيانات غير كافية",IF(AND($E82&gt;=AVERAGEIFS($E$5:$E$175,$A$5:$A$175,$A82,$E$5:$E$175,"&gt;0"),INDEX('تحليل التكلفة والسعر'!$H$2:$H$700,MATCH("بيتزا مشروم صيامي وسط",'تحليل التكلفة والسعر'!$B$2:$B$700,0))&gt;=AVERAGEIFS('تحليل التكلفة والسعر'!$H$2:$H$700,'تحليل التكلفة والسعر'!$A$2:$A$700,$A82,'تحليل التكلفة والسعر'!$C$2:$C$700,"&gt;0")),"⭐ نجم",IF(AND($E82&gt;=AVERAGEIFS($E$5:$E$175,$A$5:$A$175,$A82,$E$5:$E$175,"&gt;0"),INDEX('تحليل التكلفة والسعر'!$H$2:$H$700,MATCH("بيتزا مشروم صيامي وسط",'تحليل التكلفة والسعر'!$B$2:$B$700,0))&lt;AVERAGEIFS('تحليل التكلفة والسعر'!$H$2:$H$700,'تحليل التكلفة والسعر'!$A$2:$A$700,$A82,'تحليل التكلفة والسعر'!$C$2:$C$700,"&gt;0")),"🐎 حصان عمل",IF(AND($E82&lt;AVERAGEIFS($E$5:$E$175,$A$5:$A$175,$A82,$E$5:$E$175,"&gt;0"),INDEX('تحليل التكلفة والسعر'!$H$2:$H$700,MATCH("بيتزا مشروم صيامي وسط",'تحليل التكلفة والسعر'!$B$2:$B$700,0))&gt;=AVERAGEIFS('تحليل التكلفة والسعر'!$H$2:$H$700,'تحليل التكلفة والسعر'!$A$2:$A$700,$A82,'تحليل التكلفة والسعر'!$C$2:$C$700,"&gt;0")),"🧩 لغز","🐶 كلب"))))</f>
        <v>بيانات غير كافية</v>
      </c>
      <c r="G82" s="49" t="n">
        <v>0</v>
      </c>
      <c r="H82" s="11" t="str">
        <f aca="false">IF(OR(NOT(INDEX('تحليل التكلفة والسعر'!$C$2:$C$700,MATCH("بيتزا مشروم صيامي وسط",'تحليل التكلفة والسعر'!$B$2:$B$700,0))&gt;0),$G82=0),"بيانات غير كافية",IF(AND($G82&gt;=AVERAGEIFS($G$5:$G$175,$A$5:$A$175,$A82,$G$5:$G$175,"&gt;0"),INDEX('تحليل التكلفة والسعر'!$H$2:$H$700,MATCH("بيتزا مشروم صيامي وسط",'تحليل التكلفة والسعر'!$B$2:$B$700,0))&gt;=AVERAGEIFS('تحليل التكلفة والسعر'!$H$2:$H$700,'تحليل التكلفة والسعر'!$A$2:$A$700,$A82,'تحليل التكلفة والسعر'!$C$2:$C$700,"&gt;0")),"⭐ نجم",IF(AND($G82&gt;=AVERAGEIFS($G$5:$G$175,$A$5:$A$175,$A82,$G$5:$G$175,"&gt;0"),INDEX('تحليل التكلفة والسعر'!$H$2:$H$700,MATCH("بيتزا مشروم صيامي وسط",'تحليل التكلفة والسعر'!$B$2:$B$700,0))&lt;AVERAGEIFS('تحليل التكلفة والسعر'!$H$2:$H$700,'تحليل التكلفة والسعر'!$A$2:$A$700,$A82,'تحليل التكلفة والسعر'!$C$2:$C$700,"&gt;0")),"🐎 حصان عمل",IF(AND($G82&lt;AVERAGEIFS($G$5:$G$175,$A$5:$A$175,$A82,$G$5:$G$175,"&gt;0"),INDEX('تحليل التكلفة والسعر'!$H$2:$H$700,MATCH("بيتزا مشروم صيامي وسط",'تحليل التكلفة والسعر'!$B$2:$B$700,0))&gt;=AVERAGEIFS('تحليل التكلفة والسعر'!$H$2:$H$700,'تحليل التكلفة والسعر'!$A$2:$A$700,$A82,'تحليل التكلفة والسعر'!$C$2:$C$700,"&gt;0")),"🧩 لغز","🐶 كلب"))))</f>
        <v>بيانات غير كافية</v>
      </c>
    </row>
    <row r="83" customFormat="false" ht="15" hidden="false" customHeight="true" outlineLevel="0" collapsed="false">
      <c r="A83" s="11" t="s">
        <v>16</v>
      </c>
      <c r="B83" s="11" t="s">
        <v>390</v>
      </c>
      <c r="C83" s="13" t="n">
        <f aca="false">IFERROR(INDEX('تحليل التكلفة والسعر'!$D$2:$D$700,MATCH("بيتزا مشروم صيامي مخصوص",'تحليل التكلفة والسعر'!$B$2:$B$700,0)),"")</f>
        <v>170</v>
      </c>
      <c r="D83" s="12" t="n">
        <f aca="false">IFERROR(INDEX('تحليل التكلفة والسعر'!$I$2:$I$700,MATCH("بيتزا مشروم صيامي مخصوص",'تحليل التكلفة والسعر'!$B$2:$B$700,0)),"")</f>
        <v>0.577859970588235</v>
      </c>
      <c r="E83" s="49" t="n">
        <v>0</v>
      </c>
      <c r="F83" s="11" t="str">
        <f aca="false">IF(OR(NOT(INDEX('تحليل التكلفة والسعر'!$C$2:$C$700,MATCH("بيتزا مشروم صيامي مخصوص",'تحليل التكلفة والسعر'!$B$2:$B$700,0))&gt;0),$E83=0),"بيانات غير كافية",IF(AND($E83&gt;=AVERAGEIFS($E$5:$E$175,$A$5:$A$175,$A83,$E$5:$E$175,"&gt;0"),INDEX('تحليل التكلفة والسعر'!$H$2:$H$700,MATCH("بيتزا مشروم صيامي مخصوص",'تحليل التكلفة والسعر'!$B$2:$B$700,0))&gt;=AVERAGEIFS('تحليل التكلفة والسعر'!$H$2:$H$700,'تحليل التكلفة والسعر'!$A$2:$A$700,$A83,'تحليل التكلفة والسعر'!$C$2:$C$700,"&gt;0")),"⭐ نجم",IF(AND($E83&gt;=AVERAGEIFS($E$5:$E$175,$A$5:$A$175,$A83,$E$5:$E$175,"&gt;0"),INDEX('تحليل التكلفة والسعر'!$H$2:$H$700,MATCH("بيتزا مشروم صيامي مخصوص",'تحليل التكلفة والسعر'!$B$2:$B$700,0))&lt;AVERAGEIFS('تحليل التكلفة والسعر'!$H$2:$H$700,'تحليل التكلفة والسعر'!$A$2:$A$700,$A83,'تحليل التكلفة والسعر'!$C$2:$C$700,"&gt;0")),"🐎 حصان عمل",IF(AND($E83&lt;AVERAGEIFS($E$5:$E$175,$A$5:$A$175,$A83,$E$5:$E$175,"&gt;0"),INDEX('تحليل التكلفة والسعر'!$H$2:$H$700,MATCH("بيتزا مشروم صيامي مخصوص",'تحليل التكلفة والسعر'!$B$2:$B$700,0))&gt;=AVERAGEIFS('تحليل التكلفة والسعر'!$H$2:$H$700,'تحليل التكلفة والسعر'!$A$2:$A$700,$A83,'تحليل التكلفة والسعر'!$C$2:$C$700,"&gt;0")),"🧩 لغز","🐶 كلب"))))</f>
        <v>بيانات غير كافية</v>
      </c>
      <c r="G83" s="49" t="n">
        <v>0</v>
      </c>
      <c r="H83" s="11" t="str">
        <f aca="false">IF(OR(NOT(INDEX('تحليل التكلفة والسعر'!$C$2:$C$700,MATCH("بيتزا مشروم صيامي مخصوص",'تحليل التكلفة والسعر'!$B$2:$B$700,0))&gt;0),$G83=0),"بيانات غير كافية",IF(AND($G83&gt;=AVERAGEIFS($G$5:$G$175,$A$5:$A$175,$A83,$G$5:$G$175,"&gt;0"),INDEX('تحليل التكلفة والسعر'!$H$2:$H$700,MATCH("بيتزا مشروم صيامي مخصوص",'تحليل التكلفة والسعر'!$B$2:$B$700,0))&gt;=AVERAGEIFS('تحليل التكلفة والسعر'!$H$2:$H$700,'تحليل التكلفة والسعر'!$A$2:$A$700,$A83,'تحليل التكلفة والسعر'!$C$2:$C$700,"&gt;0")),"⭐ نجم",IF(AND($G83&gt;=AVERAGEIFS($G$5:$G$175,$A$5:$A$175,$A83,$G$5:$G$175,"&gt;0"),INDEX('تحليل التكلفة والسعر'!$H$2:$H$700,MATCH("بيتزا مشروم صيامي مخصوص",'تحليل التكلفة والسعر'!$B$2:$B$700,0))&lt;AVERAGEIFS('تحليل التكلفة والسعر'!$H$2:$H$700,'تحليل التكلفة والسعر'!$A$2:$A$700,$A83,'تحليل التكلفة والسعر'!$C$2:$C$700,"&gt;0")),"🐎 حصان عمل",IF(AND($G83&lt;AVERAGEIFS($G$5:$G$175,$A$5:$A$175,$A83,$G$5:$G$175,"&gt;0"),INDEX('تحليل التكلفة والسعر'!$H$2:$H$700,MATCH("بيتزا مشروم صيامي مخصوص",'تحليل التكلفة والسعر'!$B$2:$B$700,0))&gt;=AVERAGEIFS('تحليل التكلفة والسعر'!$H$2:$H$700,'تحليل التكلفة والسعر'!$A$2:$A$700,$A83,'تحليل التكلفة والسعر'!$C$2:$C$700,"&gt;0")),"🧩 لغز","🐶 كلب"))))</f>
        <v>بيانات غير كافية</v>
      </c>
    </row>
    <row r="84" customFormat="false" ht="15" hidden="false" customHeight="true" outlineLevel="0" collapsed="false">
      <c r="A84" s="11" t="s">
        <v>16</v>
      </c>
      <c r="B84" s="11" t="s">
        <v>487</v>
      </c>
      <c r="C84" s="13" t="n">
        <f aca="false">IFERROR(INDEX('تحليل التكلفة والسعر'!$D$2:$D$700,MATCH("بيتزا سوسيس صيامي وسط",'تحليل التكلفة والسعر'!$B$2:$B$700,0)),"")</f>
        <v>120</v>
      </c>
      <c r="D84" s="12" t="n">
        <f aca="false">IFERROR(INDEX('تحليل التكلفة والسعر'!$I$2:$I$700,MATCH("بيتزا سوسيس صيامي وسط",'تحليل التكلفة والسعر'!$B$2:$B$700,0)),"")</f>
        <v>0.477076666666667</v>
      </c>
      <c r="E84" s="49" t="n">
        <v>0</v>
      </c>
      <c r="F84" s="11" t="str">
        <f aca="false">IF(OR(NOT(INDEX('تحليل التكلفة والسعر'!$C$2:$C$700,MATCH("بيتزا سوسيس صيامي وسط",'تحليل التكلفة والسعر'!$B$2:$B$700,0))&gt;0),$E84=0),"بيانات غير كافية",IF(AND($E84&gt;=AVERAGEIFS($E$5:$E$175,$A$5:$A$175,$A84,$E$5:$E$175,"&gt;0"),INDEX('تحليل التكلفة والسعر'!$H$2:$H$700,MATCH("بيتزا سوسيس صيامي وسط",'تحليل التكلفة والسعر'!$B$2:$B$700,0))&gt;=AVERAGEIFS('تحليل التكلفة والسعر'!$H$2:$H$700,'تحليل التكلفة والسعر'!$A$2:$A$700,$A84,'تحليل التكلفة والسعر'!$C$2:$C$700,"&gt;0")),"⭐ نجم",IF(AND($E84&gt;=AVERAGEIFS($E$5:$E$175,$A$5:$A$175,$A84,$E$5:$E$175,"&gt;0"),INDEX('تحليل التكلفة والسعر'!$H$2:$H$700,MATCH("بيتزا سوسيس صيامي وسط",'تحليل التكلفة والسعر'!$B$2:$B$700,0))&lt;AVERAGEIFS('تحليل التكلفة والسعر'!$H$2:$H$700,'تحليل التكلفة والسعر'!$A$2:$A$700,$A84,'تحليل التكلفة والسعر'!$C$2:$C$700,"&gt;0")),"🐎 حصان عمل",IF(AND($E84&lt;AVERAGEIFS($E$5:$E$175,$A$5:$A$175,$A84,$E$5:$E$175,"&gt;0"),INDEX('تحليل التكلفة والسعر'!$H$2:$H$700,MATCH("بيتزا سوسيس صيامي وسط",'تحليل التكلفة والسعر'!$B$2:$B$700,0))&gt;=AVERAGEIFS('تحليل التكلفة والسعر'!$H$2:$H$700,'تحليل التكلفة والسعر'!$A$2:$A$700,$A84,'تحليل التكلفة والسعر'!$C$2:$C$700,"&gt;0")),"🧩 لغز","🐶 كلب"))))</f>
        <v>بيانات غير كافية</v>
      </c>
      <c r="G84" s="49" t="n">
        <v>0</v>
      </c>
      <c r="H84" s="11" t="str">
        <f aca="false">IF(OR(NOT(INDEX('تحليل التكلفة والسعر'!$C$2:$C$700,MATCH("بيتزا سوسيس صيامي وسط",'تحليل التكلفة والسعر'!$B$2:$B$700,0))&gt;0),$G84=0),"بيانات غير كافية",IF(AND($G84&gt;=AVERAGEIFS($G$5:$G$175,$A$5:$A$175,$A84,$G$5:$G$175,"&gt;0"),INDEX('تحليل التكلفة والسعر'!$H$2:$H$700,MATCH("بيتزا سوسيس صيامي وسط",'تحليل التكلفة والسعر'!$B$2:$B$700,0))&gt;=AVERAGEIFS('تحليل التكلفة والسعر'!$H$2:$H$700,'تحليل التكلفة والسعر'!$A$2:$A$700,$A84,'تحليل التكلفة والسعر'!$C$2:$C$700,"&gt;0")),"⭐ نجم",IF(AND($G84&gt;=AVERAGEIFS($G$5:$G$175,$A$5:$A$175,$A84,$G$5:$G$175,"&gt;0"),INDEX('تحليل التكلفة والسعر'!$H$2:$H$700,MATCH("بيتزا سوسيس صيامي وسط",'تحليل التكلفة والسعر'!$B$2:$B$700,0))&lt;AVERAGEIFS('تحليل التكلفة والسعر'!$H$2:$H$700,'تحليل التكلفة والسعر'!$A$2:$A$700,$A84,'تحليل التكلفة والسعر'!$C$2:$C$700,"&gt;0")),"🐎 حصان عمل",IF(AND($G84&lt;AVERAGEIFS($G$5:$G$175,$A$5:$A$175,$A84,$G$5:$G$175,"&gt;0"),INDEX('تحليل التكلفة والسعر'!$H$2:$H$700,MATCH("بيتزا سوسيس صيامي وسط",'تحليل التكلفة والسعر'!$B$2:$B$700,0))&gt;=AVERAGEIFS('تحليل التكلفة والسعر'!$H$2:$H$700,'تحليل التكلفة والسعر'!$A$2:$A$700,$A84,'تحليل التكلفة والسعر'!$C$2:$C$700,"&gt;0")),"🧩 لغز","🐶 كلب"))))</f>
        <v>بيانات غير كافية</v>
      </c>
    </row>
    <row r="85" customFormat="false" ht="15" hidden="false" customHeight="true" outlineLevel="0" collapsed="false">
      <c r="A85" s="11" t="s">
        <v>16</v>
      </c>
      <c r="B85" s="11" t="s">
        <v>511</v>
      </c>
      <c r="C85" s="13" t="n">
        <f aca="false">IFERROR(INDEX('تحليل التكلفة والسعر'!$D$2:$D$700,MATCH("بيتزا سوسيس صيامي مخصوص",'تحليل التكلفة والسعر'!$B$2:$B$700,0)),"")</f>
        <v>190</v>
      </c>
      <c r="D85" s="12" t="n">
        <f aca="false">IFERROR(INDEX('تحليل التكلفة والسعر'!$I$2:$I$700,MATCH("بيتزا سوسيس صيامي مخصوص",'تحليل التكلفة والسعر'!$B$2:$B$700,0)),"")</f>
        <v>0.533226315789474</v>
      </c>
      <c r="E85" s="49" t="n">
        <v>0</v>
      </c>
      <c r="F85" s="11" t="str">
        <f aca="false">IF(OR(NOT(INDEX('تحليل التكلفة والسعر'!$C$2:$C$700,MATCH("بيتزا سوسيس صيامي مخصوص",'تحليل التكلفة والسعر'!$B$2:$B$700,0))&gt;0),$E85=0),"بيانات غير كافية",IF(AND($E85&gt;=AVERAGEIFS($E$5:$E$175,$A$5:$A$175,$A85,$E$5:$E$175,"&gt;0"),INDEX('تحليل التكلفة والسعر'!$H$2:$H$700,MATCH("بيتزا سوسيس صيامي مخصوص",'تحليل التكلفة والسعر'!$B$2:$B$700,0))&gt;=AVERAGEIFS('تحليل التكلفة والسعر'!$H$2:$H$700,'تحليل التكلفة والسعر'!$A$2:$A$700,$A85,'تحليل التكلفة والسعر'!$C$2:$C$700,"&gt;0")),"⭐ نجم",IF(AND($E85&gt;=AVERAGEIFS($E$5:$E$175,$A$5:$A$175,$A85,$E$5:$E$175,"&gt;0"),INDEX('تحليل التكلفة والسعر'!$H$2:$H$700,MATCH("بيتزا سوسيس صيامي مخصوص",'تحليل التكلفة والسعر'!$B$2:$B$700,0))&lt;AVERAGEIFS('تحليل التكلفة والسعر'!$H$2:$H$700,'تحليل التكلفة والسعر'!$A$2:$A$700,$A85,'تحليل التكلفة والسعر'!$C$2:$C$700,"&gt;0")),"🐎 حصان عمل",IF(AND($E85&lt;AVERAGEIFS($E$5:$E$175,$A$5:$A$175,$A85,$E$5:$E$175,"&gt;0"),INDEX('تحليل التكلفة والسعر'!$H$2:$H$700,MATCH("بيتزا سوسيس صيامي مخصوص",'تحليل التكلفة والسعر'!$B$2:$B$700,0))&gt;=AVERAGEIFS('تحليل التكلفة والسعر'!$H$2:$H$700,'تحليل التكلفة والسعر'!$A$2:$A$700,$A85,'تحليل التكلفة والسعر'!$C$2:$C$700,"&gt;0")),"🧩 لغز","🐶 كلب"))))</f>
        <v>بيانات غير كافية</v>
      </c>
      <c r="G85" s="49" t="n">
        <v>0</v>
      </c>
      <c r="H85" s="11" t="str">
        <f aca="false">IF(OR(NOT(INDEX('تحليل التكلفة والسعر'!$C$2:$C$700,MATCH("بيتزا سوسيس صيامي مخصوص",'تحليل التكلفة والسعر'!$B$2:$B$700,0))&gt;0),$G85=0),"بيانات غير كافية",IF(AND($G85&gt;=AVERAGEIFS($G$5:$G$175,$A$5:$A$175,$A85,$G$5:$G$175,"&gt;0"),INDEX('تحليل التكلفة والسعر'!$H$2:$H$700,MATCH("بيتزا سوسيس صيامي مخصوص",'تحليل التكلفة والسعر'!$B$2:$B$700,0))&gt;=AVERAGEIFS('تحليل التكلفة والسعر'!$H$2:$H$700,'تحليل التكلفة والسعر'!$A$2:$A$700,$A85,'تحليل التكلفة والسعر'!$C$2:$C$700,"&gt;0")),"⭐ نجم",IF(AND($G85&gt;=AVERAGEIFS($G$5:$G$175,$A$5:$A$175,$A85,$G$5:$G$175,"&gt;0"),INDEX('تحليل التكلفة والسعر'!$H$2:$H$700,MATCH("بيتزا سوسيس صيامي مخصوص",'تحليل التكلفة والسعر'!$B$2:$B$700,0))&lt;AVERAGEIFS('تحليل التكلفة والسعر'!$H$2:$H$700,'تحليل التكلفة والسعر'!$A$2:$A$700,$A85,'تحليل التكلفة والسعر'!$C$2:$C$700,"&gt;0")),"🐎 حصان عمل",IF(AND($G85&lt;AVERAGEIFS($G$5:$G$175,$A$5:$A$175,$A85,$G$5:$G$175,"&gt;0"),INDEX('تحليل التكلفة والسعر'!$H$2:$H$700,MATCH("بيتزا سوسيس صيامي مخصوص",'تحليل التكلفة والسعر'!$B$2:$B$700,0))&gt;=AVERAGEIFS('تحليل التكلفة والسعر'!$H$2:$H$700,'تحليل التكلفة والسعر'!$A$2:$A$700,$A85,'تحليل التكلفة والسعر'!$C$2:$C$700,"&gt;0")),"🧩 لغز","🐶 كلب"))))</f>
        <v>بيانات غير كافية</v>
      </c>
    </row>
    <row r="86" customFormat="false" ht="15" hidden="false" customHeight="true" outlineLevel="0" collapsed="false">
      <c r="A86" s="11" t="s">
        <v>16</v>
      </c>
      <c r="B86" s="11" t="s">
        <v>502</v>
      </c>
      <c r="C86" s="13" t="n">
        <f aca="false">IFERROR(INDEX('تحليل التكلفة والسعر'!$D$2:$D$700,MATCH("بيتزا شاورما لحم / فراخ صيامي وسط",'تحليل التكلفة والسعر'!$B$2:$B$700,0)),"")</f>
        <v>130</v>
      </c>
      <c r="D86" s="12" t="n">
        <f aca="false">IFERROR(INDEX('تحليل التكلفة والسعر'!$I$2:$I$700,MATCH("بيتزا شاورما لحم / فراخ صيامي وسط",'تحليل التكلفة والسعر'!$B$2:$B$700,0)),"")</f>
        <v>0.484303076923077</v>
      </c>
      <c r="E86" s="49" t="n">
        <v>0</v>
      </c>
      <c r="F86" s="11" t="str">
        <f aca="false">IF(OR(NOT(INDEX('تحليل التكلفة والسعر'!$C$2:$C$700,MATCH("بيتزا شاورما لحم / فراخ صيامي وسط",'تحليل التكلفة والسعر'!$B$2:$B$700,0))&gt;0),$E86=0),"بيانات غير كافية",IF(AND($E86&gt;=AVERAGEIFS($E$5:$E$175,$A$5:$A$175,$A86,$E$5:$E$175,"&gt;0"),INDEX('تحليل التكلفة والسعر'!$H$2:$H$700,MATCH("بيتزا شاورما لحم / فراخ صيامي وسط",'تحليل التكلفة والسعر'!$B$2:$B$700,0))&gt;=AVERAGEIFS('تحليل التكلفة والسعر'!$H$2:$H$700,'تحليل التكلفة والسعر'!$A$2:$A$700,$A86,'تحليل التكلفة والسعر'!$C$2:$C$700,"&gt;0")),"⭐ نجم",IF(AND($E86&gt;=AVERAGEIFS($E$5:$E$175,$A$5:$A$175,$A86,$E$5:$E$175,"&gt;0"),INDEX('تحليل التكلفة والسعر'!$H$2:$H$700,MATCH("بيتزا شاورما لحم / فراخ صيامي وسط",'تحليل التكلفة والسعر'!$B$2:$B$700,0))&lt;AVERAGEIFS('تحليل التكلفة والسعر'!$H$2:$H$700,'تحليل التكلفة والسعر'!$A$2:$A$700,$A86,'تحليل التكلفة والسعر'!$C$2:$C$700,"&gt;0")),"🐎 حصان عمل",IF(AND($E86&lt;AVERAGEIFS($E$5:$E$175,$A$5:$A$175,$A86,$E$5:$E$175,"&gt;0"),INDEX('تحليل التكلفة والسعر'!$H$2:$H$700,MATCH("بيتزا شاورما لحم / فراخ صيامي وسط",'تحليل التكلفة والسعر'!$B$2:$B$700,0))&gt;=AVERAGEIFS('تحليل التكلفة والسعر'!$H$2:$H$700,'تحليل التكلفة والسعر'!$A$2:$A$700,$A86,'تحليل التكلفة والسعر'!$C$2:$C$700,"&gt;0")),"🧩 لغز","🐶 كلب"))))</f>
        <v>بيانات غير كافية</v>
      </c>
      <c r="G86" s="49" t="n">
        <v>0</v>
      </c>
      <c r="H86" s="11" t="str">
        <f aca="false">IF(OR(NOT(INDEX('تحليل التكلفة والسعر'!$C$2:$C$700,MATCH("بيتزا شاورما لحم / فراخ صيامي وسط",'تحليل التكلفة والسعر'!$B$2:$B$700,0))&gt;0),$G86=0),"بيانات غير كافية",IF(AND($G86&gt;=AVERAGEIFS($G$5:$G$175,$A$5:$A$175,$A86,$G$5:$G$175,"&gt;0"),INDEX('تحليل التكلفة والسعر'!$H$2:$H$700,MATCH("بيتزا شاورما لحم / فراخ صيامي وسط",'تحليل التكلفة والسعر'!$B$2:$B$700,0))&gt;=AVERAGEIFS('تحليل التكلفة والسعر'!$H$2:$H$700,'تحليل التكلفة والسعر'!$A$2:$A$700,$A86,'تحليل التكلفة والسعر'!$C$2:$C$700,"&gt;0")),"⭐ نجم",IF(AND($G86&gt;=AVERAGEIFS($G$5:$G$175,$A$5:$A$175,$A86,$G$5:$G$175,"&gt;0"),INDEX('تحليل التكلفة والسعر'!$H$2:$H$700,MATCH("بيتزا شاورما لحم / فراخ صيامي وسط",'تحليل التكلفة والسعر'!$B$2:$B$700,0))&lt;AVERAGEIFS('تحليل التكلفة والسعر'!$H$2:$H$700,'تحليل التكلفة والسعر'!$A$2:$A$700,$A86,'تحليل التكلفة والسعر'!$C$2:$C$700,"&gt;0")),"🐎 حصان عمل",IF(AND($G86&lt;AVERAGEIFS($G$5:$G$175,$A$5:$A$175,$A86,$G$5:$G$175,"&gt;0"),INDEX('تحليل التكلفة والسعر'!$H$2:$H$700,MATCH("بيتزا شاورما لحم / فراخ صيامي وسط",'تحليل التكلفة والسعر'!$B$2:$B$700,0))&gt;=AVERAGEIFS('تحليل التكلفة والسعر'!$H$2:$H$700,'تحليل التكلفة والسعر'!$A$2:$A$700,$A86,'تحليل التكلفة والسعر'!$C$2:$C$700,"&gt;0")),"🧩 لغز","🐶 كلب"))))</f>
        <v>بيانات غير كافية</v>
      </c>
    </row>
    <row r="87" customFormat="false" ht="15" hidden="false" customHeight="true" outlineLevel="0" collapsed="false">
      <c r="A87" s="11" t="s">
        <v>16</v>
      </c>
      <c r="B87" s="11" t="s">
        <v>524</v>
      </c>
      <c r="C87" s="13" t="n">
        <f aca="false">IFERROR(INDEX('تحليل التكلفة والسعر'!$D$2:$D$700,MATCH("بيتزا شاورما لحم / فراخ صيامي مخصوص",'تحليل التكلفة والسعر'!$B$2:$B$700,0)),"")</f>
        <v>200</v>
      </c>
      <c r="D87" s="12" t="n">
        <f aca="false">IFERROR(INDEX('تحليل التكلفة والسعر'!$I$2:$I$700,MATCH("بيتزا شاورما لحم / فراخ صيامي مخصوص",'تحليل التكلفة والسعر'!$B$2:$B$700,0)),"")</f>
        <v>0.5243915</v>
      </c>
      <c r="E87" s="49" t="n">
        <v>0</v>
      </c>
      <c r="F87" s="11" t="str">
        <f aca="false">IF(OR(NOT(INDEX('تحليل التكلفة والسعر'!$C$2:$C$700,MATCH("بيتزا شاورما لحم / فراخ صيامي مخصوص",'تحليل التكلفة والسعر'!$B$2:$B$700,0))&gt;0),$E87=0),"بيانات غير كافية",IF(AND($E87&gt;=AVERAGEIFS($E$5:$E$175,$A$5:$A$175,$A87,$E$5:$E$175,"&gt;0"),INDEX('تحليل التكلفة والسعر'!$H$2:$H$700,MATCH("بيتزا شاورما لحم / فراخ صيامي مخصوص",'تحليل التكلفة والسعر'!$B$2:$B$700,0))&gt;=AVERAGEIFS('تحليل التكلفة والسعر'!$H$2:$H$700,'تحليل التكلفة والسعر'!$A$2:$A$700,$A87,'تحليل التكلفة والسعر'!$C$2:$C$700,"&gt;0")),"⭐ نجم",IF(AND($E87&gt;=AVERAGEIFS($E$5:$E$175,$A$5:$A$175,$A87,$E$5:$E$175,"&gt;0"),INDEX('تحليل التكلفة والسعر'!$H$2:$H$700,MATCH("بيتزا شاورما لحم / فراخ صيامي مخصوص",'تحليل التكلفة والسعر'!$B$2:$B$700,0))&lt;AVERAGEIFS('تحليل التكلفة والسعر'!$H$2:$H$700,'تحليل التكلفة والسعر'!$A$2:$A$700,$A87,'تحليل التكلفة والسعر'!$C$2:$C$700,"&gt;0")),"🐎 حصان عمل",IF(AND($E87&lt;AVERAGEIFS($E$5:$E$175,$A$5:$A$175,$A87,$E$5:$E$175,"&gt;0"),INDEX('تحليل التكلفة والسعر'!$H$2:$H$700,MATCH("بيتزا شاورما لحم / فراخ صيامي مخصوص",'تحليل التكلفة والسعر'!$B$2:$B$700,0))&gt;=AVERAGEIFS('تحليل التكلفة والسعر'!$H$2:$H$700,'تحليل التكلفة والسعر'!$A$2:$A$700,$A87,'تحليل التكلفة والسعر'!$C$2:$C$700,"&gt;0")),"🧩 لغز","🐶 كلب"))))</f>
        <v>بيانات غير كافية</v>
      </c>
      <c r="G87" s="49" t="n">
        <v>0</v>
      </c>
      <c r="H87" s="11" t="str">
        <f aca="false">IF(OR(NOT(INDEX('تحليل التكلفة والسعر'!$C$2:$C$700,MATCH("بيتزا شاورما لحم / فراخ صيامي مخصوص",'تحليل التكلفة والسعر'!$B$2:$B$700,0))&gt;0),$G87=0),"بيانات غير كافية",IF(AND($G87&gt;=AVERAGEIFS($G$5:$G$175,$A$5:$A$175,$A87,$G$5:$G$175,"&gt;0"),INDEX('تحليل التكلفة والسعر'!$H$2:$H$700,MATCH("بيتزا شاورما لحم / فراخ صيامي مخصوص",'تحليل التكلفة والسعر'!$B$2:$B$700,0))&gt;=AVERAGEIFS('تحليل التكلفة والسعر'!$H$2:$H$700,'تحليل التكلفة والسعر'!$A$2:$A$700,$A87,'تحليل التكلفة والسعر'!$C$2:$C$700,"&gt;0")),"⭐ نجم",IF(AND($G87&gt;=AVERAGEIFS($G$5:$G$175,$A$5:$A$175,$A87,$G$5:$G$175,"&gt;0"),INDEX('تحليل التكلفة والسعر'!$H$2:$H$700,MATCH("بيتزا شاورما لحم / فراخ صيامي مخصوص",'تحليل التكلفة والسعر'!$B$2:$B$700,0))&lt;AVERAGEIFS('تحليل التكلفة والسعر'!$H$2:$H$700,'تحليل التكلفة والسعر'!$A$2:$A$700,$A87,'تحليل التكلفة والسعر'!$C$2:$C$700,"&gt;0")),"🐎 حصان عمل",IF(AND($G87&lt;AVERAGEIFS($G$5:$G$175,$A$5:$A$175,$A87,$G$5:$G$175,"&gt;0"),INDEX('تحليل التكلفة والسعر'!$H$2:$H$700,MATCH("بيتزا شاورما لحم / فراخ صيامي مخصوص",'تحليل التكلفة والسعر'!$B$2:$B$700,0))&gt;=AVERAGEIFS('تحليل التكلفة والسعر'!$H$2:$H$700,'تحليل التكلفة والسعر'!$A$2:$A$700,$A87,'تحليل التكلفة والسعر'!$C$2:$C$700,"&gt;0")),"🧩 لغز","🐶 كلب"))))</f>
        <v>بيانات غير كافية</v>
      </c>
    </row>
    <row r="88" customFormat="false" ht="15" hidden="false" customHeight="true" outlineLevel="0" collapsed="false">
      <c r="A88" s="11" t="s">
        <v>16</v>
      </c>
      <c r="B88" s="11" t="s">
        <v>480</v>
      </c>
      <c r="C88" s="13" t="n">
        <f aca="false">IFERROR(INDEX('تحليل التكلفة والسعر'!$D$2:$D$700,MATCH("بيتزا مشكل جبن صيامي وسط",'تحليل التكلفة والسعر'!$B$2:$B$700,0)),"")</f>
        <v>130</v>
      </c>
      <c r="D88" s="12" t="n">
        <f aca="false">IFERROR(INDEX('تحليل التكلفة والسعر'!$I$2:$I$700,MATCH("بيتزا مشكل جبن صيامي وسط",'تحليل التكلفة والسعر'!$B$2:$B$700,0)),"")</f>
        <v>0.639627692307692</v>
      </c>
      <c r="E88" s="49" t="n">
        <v>0</v>
      </c>
      <c r="F88" s="11" t="str">
        <f aca="false">IF(OR(NOT(INDEX('تحليل التكلفة والسعر'!$C$2:$C$700,MATCH("بيتزا مشكل جبن صيامي وسط",'تحليل التكلفة والسعر'!$B$2:$B$700,0))&gt;0),$E88=0),"بيانات غير كافية",IF(AND($E88&gt;=AVERAGEIFS($E$5:$E$175,$A$5:$A$175,$A88,$E$5:$E$175,"&gt;0"),INDEX('تحليل التكلفة والسعر'!$H$2:$H$700,MATCH("بيتزا مشكل جبن صيامي وسط",'تحليل التكلفة والسعر'!$B$2:$B$700,0))&gt;=AVERAGEIFS('تحليل التكلفة والسعر'!$H$2:$H$700,'تحليل التكلفة والسعر'!$A$2:$A$700,$A88,'تحليل التكلفة والسعر'!$C$2:$C$700,"&gt;0")),"⭐ نجم",IF(AND($E88&gt;=AVERAGEIFS($E$5:$E$175,$A$5:$A$175,$A88,$E$5:$E$175,"&gt;0"),INDEX('تحليل التكلفة والسعر'!$H$2:$H$700,MATCH("بيتزا مشكل جبن صيامي وسط",'تحليل التكلفة والسعر'!$B$2:$B$700,0))&lt;AVERAGEIFS('تحليل التكلفة والسعر'!$H$2:$H$700,'تحليل التكلفة والسعر'!$A$2:$A$700,$A88,'تحليل التكلفة والسعر'!$C$2:$C$700,"&gt;0")),"🐎 حصان عمل",IF(AND($E88&lt;AVERAGEIFS($E$5:$E$175,$A$5:$A$175,$A88,$E$5:$E$175,"&gt;0"),INDEX('تحليل التكلفة والسعر'!$H$2:$H$700,MATCH("بيتزا مشكل جبن صيامي وسط",'تحليل التكلفة والسعر'!$B$2:$B$700,0))&gt;=AVERAGEIFS('تحليل التكلفة والسعر'!$H$2:$H$700,'تحليل التكلفة والسعر'!$A$2:$A$700,$A88,'تحليل التكلفة والسعر'!$C$2:$C$700,"&gt;0")),"🧩 لغز","🐶 كلب"))))</f>
        <v>بيانات غير كافية</v>
      </c>
      <c r="G88" s="49" t="n">
        <v>0</v>
      </c>
      <c r="H88" s="11" t="str">
        <f aca="false">IF(OR(NOT(INDEX('تحليل التكلفة والسعر'!$C$2:$C$700,MATCH("بيتزا مشكل جبن صيامي وسط",'تحليل التكلفة والسعر'!$B$2:$B$700,0))&gt;0),$G88=0),"بيانات غير كافية",IF(AND($G88&gt;=AVERAGEIFS($G$5:$G$175,$A$5:$A$175,$A88,$G$5:$G$175,"&gt;0"),INDEX('تحليل التكلفة والسعر'!$H$2:$H$700,MATCH("بيتزا مشكل جبن صيامي وسط",'تحليل التكلفة والسعر'!$B$2:$B$700,0))&gt;=AVERAGEIFS('تحليل التكلفة والسعر'!$H$2:$H$700,'تحليل التكلفة والسعر'!$A$2:$A$700,$A88,'تحليل التكلفة والسعر'!$C$2:$C$700,"&gt;0")),"⭐ نجم",IF(AND($G88&gt;=AVERAGEIFS($G$5:$G$175,$A$5:$A$175,$A88,$G$5:$G$175,"&gt;0"),INDEX('تحليل التكلفة والسعر'!$H$2:$H$700,MATCH("بيتزا مشكل جبن صيامي وسط",'تحليل التكلفة والسعر'!$B$2:$B$700,0))&lt;AVERAGEIFS('تحليل التكلفة والسعر'!$H$2:$H$700,'تحليل التكلفة والسعر'!$A$2:$A$700,$A88,'تحليل التكلفة والسعر'!$C$2:$C$700,"&gt;0")),"🐎 حصان عمل",IF(AND($G88&lt;AVERAGEIFS($G$5:$G$175,$A$5:$A$175,$A88,$G$5:$G$175,"&gt;0"),INDEX('تحليل التكلفة والسعر'!$H$2:$H$700,MATCH("بيتزا مشكل جبن صيامي وسط",'تحليل التكلفة والسعر'!$B$2:$B$700,0))&gt;=AVERAGEIFS('تحليل التكلفة والسعر'!$H$2:$H$700,'تحليل التكلفة والسعر'!$A$2:$A$700,$A88,'تحليل التكلفة والسعر'!$C$2:$C$700,"&gt;0")),"🧩 لغز","🐶 كلب"))))</f>
        <v>بيانات غير كافية</v>
      </c>
    </row>
    <row r="89" customFormat="false" ht="15" hidden="false" customHeight="true" outlineLevel="0" collapsed="false">
      <c r="A89" s="11" t="s">
        <v>16</v>
      </c>
      <c r="B89" s="11" t="s">
        <v>506</v>
      </c>
      <c r="C89" s="13" t="n">
        <f aca="false">IFERROR(INDEX('تحليل التكلفة والسعر'!$D$2:$D$700,MATCH("بيتزا مشكل جبن صيامي مخصوص",'تحليل التكلفة والسعر'!$B$2:$B$700,0)),"")</f>
        <v>190</v>
      </c>
      <c r="D89" s="12" t="n">
        <f aca="false">IFERROR(INDEX('تحليل التكلفة والسعر'!$I$2:$I$700,MATCH("بيتزا مشكل جبن صيامي مخصوص",'تحليل التكلفة والسعر'!$B$2:$B$700,0)),"")</f>
        <v>0.658771578947369</v>
      </c>
      <c r="E89" s="49" t="n">
        <v>0</v>
      </c>
      <c r="F89" s="11" t="str">
        <f aca="false">IF(OR(NOT(INDEX('تحليل التكلفة والسعر'!$C$2:$C$700,MATCH("بيتزا مشكل جبن صيامي مخصوص",'تحليل التكلفة والسعر'!$B$2:$B$700,0))&gt;0),$E89=0),"بيانات غير كافية",IF(AND($E89&gt;=AVERAGEIFS($E$5:$E$175,$A$5:$A$175,$A89,$E$5:$E$175,"&gt;0"),INDEX('تحليل التكلفة والسعر'!$H$2:$H$700,MATCH("بيتزا مشكل جبن صيامي مخصوص",'تحليل التكلفة والسعر'!$B$2:$B$700,0))&gt;=AVERAGEIFS('تحليل التكلفة والسعر'!$H$2:$H$700,'تحليل التكلفة والسعر'!$A$2:$A$700,$A89,'تحليل التكلفة والسعر'!$C$2:$C$700,"&gt;0")),"⭐ نجم",IF(AND($E89&gt;=AVERAGEIFS($E$5:$E$175,$A$5:$A$175,$A89,$E$5:$E$175,"&gt;0"),INDEX('تحليل التكلفة والسعر'!$H$2:$H$700,MATCH("بيتزا مشكل جبن صيامي مخصوص",'تحليل التكلفة والسعر'!$B$2:$B$700,0))&lt;AVERAGEIFS('تحليل التكلفة والسعر'!$H$2:$H$700,'تحليل التكلفة والسعر'!$A$2:$A$700,$A89,'تحليل التكلفة والسعر'!$C$2:$C$700,"&gt;0")),"🐎 حصان عمل",IF(AND($E89&lt;AVERAGEIFS($E$5:$E$175,$A$5:$A$175,$A89,$E$5:$E$175,"&gt;0"),INDEX('تحليل التكلفة والسعر'!$H$2:$H$700,MATCH("بيتزا مشكل جبن صيامي مخصوص",'تحليل التكلفة والسعر'!$B$2:$B$700,0))&gt;=AVERAGEIFS('تحليل التكلفة والسعر'!$H$2:$H$700,'تحليل التكلفة والسعر'!$A$2:$A$700,$A89,'تحليل التكلفة والسعر'!$C$2:$C$700,"&gt;0")),"🧩 لغز","🐶 كلب"))))</f>
        <v>بيانات غير كافية</v>
      </c>
      <c r="G89" s="49" t="n">
        <v>0</v>
      </c>
      <c r="H89" s="11" t="str">
        <f aca="false">IF(OR(NOT(INDEX('تحليل التكلفة والسعر'!$C$2:$C$700,MATCH("بيتزا مشكل جبن صيامي مخصوص",'تحليل التكلفة والسعر'!$B$2:$B$700,0))&gt;0),$G89=0),"بيانات غير كافية",IF(AND($G89&gt;=AVERAGEIFS($G$5:$G$175,$A$5:$A$175,$A89,$G$5:$G$175,"&gt;0"),INDEX('تحليل التكلفة والسعر'!$H$2:$H$700,MATCH("بيتزا مشكل جبن صيامي مخصوص",'تحليل التكلفة والسعر'!$B$2:$B$700,0))&gt;=AVERAGEIFS('تحليل التكلفة والسعر'!$H$2:$H$700,'تحليل التكلفة والسعر'!$A$2:$A$700,$A89,'تحليل التكلفة والسعر'!$C$2:$C$700,"&gt;0")),"⭐ نجم",IF(AND($G89&gt;=AVERAGEIFS($G$5:$G$175,$A$5:$A$175,$A89,$G$5:$G$175,"&gt;0"),INDEX('تحليل التكلفة والسعر'!$H$2:$H$700,MATCH("بيتزا مشكل جبن صيامي مخصوص",'تحليل التكلفة والسعر'!$B$2:$B$700,0))&lt;AVERAGEIFS('تحليل التكلفة والسعر'!$H$2:$H$700,'تحليل التكلفة والسعر'!$A$2:$A$700,$A89,'تحليل التكلفة والسعر'!$C$2:$C$700,"&gt;0")),"🐎 حصان عمل",IF(AND($G89&lt;AVERAGEIFS($G$5:$G$175,$A$5:$A$175,$A89,$G$5:$G$175,"&gt;0"),INDEX('تحليل التكلفة والسعر'!$H$2:$H$700,MATCH("بيتزا مشكل جبن صيامي مخصوص",'تحليل التكلفة والسعر'!$B$2:$B$700,0))&gt;=AVERAGEIFS('تحليل التكلفة والسعر'!$H$2:$H$700,'تحليل التكلفة والسعر'!$A$2:$A$700,$A89,'تحليل التكلفة والسعر'!$C$2:$C$700,"&gt;0")),"🧩 لغز","🐶 كلب"))))</f>
        <v>بيانات غير كافية</v>
      </c>
    </row>
    <row r="90" customFormat="false" ht="15" hidden="false" customHeight="true" outlineLevel="0" collapsed="false">
      <c r="A90" s="11" t="s">
        <v>16</v>
      </c>
      <c r="B90" s="11" t="s">
        <v>411</v>
      </c>
      <c r="C90" s="13" t="n">
        <f aca="false">IFERROR(INDEX('تحليل التكلفة والسعر'!$D$2:$D$700,MATCH("بيتزا فراخ باربيكيو صيامي وسط",'تحليل التكلفة والسعر'!$B$2:$B$700,0)),"")</f>
        <v>155</v>
      </c>
      <c r="D90" s="12" t="n">
        <f aca="false">IFERROR(INDEX('تحليل التكلفة والسعر'!$I$2:$I$700,MATCH("بيتزا فراخ باربيكيو صيامي وسط",'تحليل التكلفة والسعر'!$B$2:$B$700,0)),"")</f>
        <v>0.548863870967742</v>
      </c>
      <c r="E90" s="49" t="n">
        <v>0</v>
      </c>
      <c r="F90" s="11" t="str">
        <f aca="false">IF(OR(NOT(INDEX('تحليل التكلفة والسعر'!$C$2:$C$700,MATCH("بيتزا فراخ باربيكيو صيامي وسط",'تحليل التكلفة والسعر'!$B$2:$B$700,0))&gt;0),$E90=0),"بيانات غير كافية",IF(AND($E90&gt;=AVERAGEIFS($E$5:$E$175,$A$5:$A$175,$A90,$E$5:$E$175,"&gt;0"),INDEX('تحليل التكلفة والسعر'!$H$2:$H$700,MATCH("بيتزا فراخ باربيكيو صيامي وسط",'تحليل التكلفة والسعر'!$B$2:$B$700,0))&gt;=AVERAGEIFS('تحليل التكلفة والسعر'!$H$2:$H$700,'تحليل التكلفة والسعر'!$A$2:$A$700,$A90,'تحليل التكلفة والسعر'!$C$2:$C$700,"&gt;0")),"⭐ نجم",IF(AND($E90&gt;=AVERAGEIFS($E$5:$E$175,$A$5:$A$175,$A90,$E$5:$E$175,"&gt;0"),INDEX('تحليل التكلفة والسعر'!$H$2:$H$700,MATCH("بيتزا فراخ باربيكيو صيامي وسط",'تحليل التكلفة والسعر'!$B$2:$B$700,0))&lt;AVERAGEIFS('تحليل التكلفة والسعر'!$H$2:$H$700,'تحليل التكلفة والسعر'!$A$2:$A$700,$A90,'تحليل التكلفة والسعر'!$C$2:$C$700,"&gt;0")),"🐎 حصان عمل",IF(AND($E90&lt;AVERAGEIFS($E$5:$E$175,$A$5:$A$175,$A90,$E$5:$E$175,"&gt;0"),INDEX('تحليل التكلفة والسعر'!$H$2:$H$700,MATCH("بيتزا فراخ باربيكيو صيامي وسط",'تحليل التكلفة والسعر'!$B$2:$B$700,0))&gt;=AVERAGEIFS('تحليل التكلفة والسعر'!$H$2:$H$700,'تحليل التكلفة والسعر'!$A$2:$A$700,$A90,'تحليل التكلفة والسعر'!$C$2:$C$700,"&gt;0")),"🧩 لغز","🐶 كلب"))))</f>
        <v>بيانات غير كافية</v>
      </c>
      <c r="G90" s="49" t="n">
        <v>0</v>
      </c>
      <c r="H90" s="11" t="str">
        <f aca="false">IF(OR(NOT(INDEX('تحليل التكلفة والسعر'!$C$2:$C$700,MATCH("بيتزا فراخ باربيكيو صيامي وسط",'تحليل التكلفة والسعر'!$B$2:$B$700,0))&gt;0),$G90=0),"بيانات غير كافية",IF(AND($G90&gt;=AVERAGEIFS($G$5:$G$175,$A$5:$A$175,$A90,$G$5:$G$175,"&gt;0"),INDEX('تحليل التكلفة والسعر'!$H$2:$H$700,MATCH("بيتزا فراخ باربيكيو صيامي وسط",'تحليل التكلفة والسعر'!$B$2:$B$700,0))&gt;=AVERAGEIFS('تحليل التكلفة والسعر'!$H$2:$H$700,'تحليل التكلفة والسعر'!$A$2:$A$700,$A90,'تحليل التكلفة والسعر'!$C$2:$C$700,"&gt;0")),"⭐ نجم",IF(AND($G90&gt;=AVERAGEIFS($G$5:$G$175,$A$5:$A$175,$A90,$G$5:$G$175,"&gt;0"),INDEX('تحليل التكلفة والسعر'!$H$2:$H$700,MATCH("بيتزا فراخ باربيكيو صيامي وسط",'تحليل التكلفة والسعر'!$B$2:$B$700,0))&lt;AVERAGEIFS('تحليل التكلفة والسعر'!$H$2:$H$700,'تحليل التكلفة والسعر'!$A$2:$A$700,$A90,'تحليل التكلفة والسعر'!$C$2:$C$700,"&gt;0")),"🐎 حصان عمل",IF(AND($G90&lt;AVERAGEIFS($G$5:$G$175,$A$5:$A$175,$A90,$G$5:$G$175,"&gt;0"),INDEX('تحليل التكلفة والسعر'!$H$2:$H$700,MATCH("بيتزا فراخ باربيكيو صيامي وسط",'تحليل التكلفة والسعر'!$B$2:$B$700,0))&gt;=AVERAGEIFS('تحليل التكلفة والسعر'!$H$2:$H$700,'تحليل التكلفة والسعر'!$A$2:$A$700,$A90,'تحليل التكلفة والسعر'!$C$2:$C$700,"&gt;0")),"🧩 لغز","🐶 كلب"))))</f>
        <v>بيانات غير كافية</v>
      </c>
    </row>
    <row r="91" customFormat="false" ht="15" hidden="false" customHeight="true" outlineLevel="0" collapsed="false">
      <c r="A91" s="11" t="s">
        <v>16</v>
      </c>
      <c r="B91" s="11" t="s">
        <v>412</v>
      </c>
      <c r="C91" s="13" t="n">
        <f aca="false">IFERROR(INDEX('تحليل التكلفة والسعر'!$D$2:$D$700,MATCH("بيتزا فراخ باربيكيو صيامي مخصوص",'تحليل التكلفة والسعر'!$B$2:$B$700,0)),"")</f>
        <v>230</v>
      </c>
      <c r="D91" s="12" t="n">
        <f aca="false">IFERROR(INDEX('تحليل التكلفة والسعر'!$I$2:$I$700,MATCH("بيتزا فراخ باربيكيو صيامي مخصوص",'تحليل التكلفة والسعر'!$B$2:$B$700,0)),"")</f>
        <v>0.579734347826087</v>
      </c>
      <c r="E91" s="49" t="n">
        <v>0</v>
      </c>
      <c r="F91" s="11" t="str">
        <f aca="false">IF(OR(NOT(INDEX('تحليل التكلفة والسعر'!$C$2:$C$700,MATCH("بيتزا فراخ باربيكيو صيامي مخصوص",'تحليل التكلفة والسعر'!$B$2:$B$700,0))&gt;0),$E91=0),"بيانات غير كافية",IF(AND($E91&gt;=AVERAGEIFS($E$5:$E$175,$A$5:$A$175,$A91,$E$5:$E$175,"&gt;0"),INDEX('تحليل التكلفة والسعر'!$H$2:$H$700,MATCH("بيتزا فراخ باربيكيو صيامي مخصوص",'تحليل التكلفة والسعر'!$B$2:$B$700,0))&gt;=AVERAGEIFS('تحليل التكلفة والسعر'!$H$2:$H$700,'تحليل التكلفة والسعر'!$A$2:$A$700,$A91,'تحليل التكلفة والسعر'!$C$2:$C$700,"&gt;0")),"⭐ نجم",IF(AND($E91&gt;=AVERAGEIFS($E$5:$E$175,$A$5:$A$175,$A91,$E$5:$E$175,"&gt;0"),INDEX('تحليل التكلفة والسعر'!$H$2:$H$700,MATCH("بيتزا فراخ باربيكيو صيامي مخصوص",'تحليل التكلفة والسعر'!$B$2:$B$700,0))&lt;AVERAGEIFS('تحليل التكلفة والسعر'!$H$2:$H$700,'تحليل التكلفة والسعر'!$A$2:$A$700,$A91,'تحليل التكلفة والسعر'!$C$2:$C$700,"&gt;0")),"🐎 حصان عمل",IF(AND($E91&lt;AVERAGEIFS($E$5:$E$175,$A$5:$A$175,$A91,$E$5:$E$175,"&gt;0"),INDEX('تحليل التكلفة والسعر'!$H$2:$H$700,MATCH("بيتزا فراخ باربيكيو صيامي مخصوص",'تحليل التكلفة والسعر'!$B$2:$B$700,0))&gt;=AVERAGEIFS('تحليل التكلفة والسعر'!$H$2:$H$700,'تحليل التكلفة والسعر'!$A$2:$A$700,$A91,'تحليل التكلفة والسعر'!$C$2:$C$700,"&gt;0")),"🧩 لغز","🐶 كلب"))))</f>
        <v>بيانات غير كافية</v>
      </c>
      <c r="G91" s="49" t="n">
        <v>0</v>
      </c>
      <c r="H91" s="11" t="str">
        <f aca="false">IF(OR(NOT(INDEX('تحليل التكلفة والسعر'!$C$2:$C$700,MATCH("بيتزا فراخ باربيكيو صيامي مخصوص",'تحليل التكلفة والسعر'!$B$2:$B$700,0))&gt;0),$G91=0),"بيانات غير كافية",IF(AND($G91&gt;=AVERAGEIFS($G$5:$G$175,$A$5:$A$175,$A91,$G$5:$G$175,"&gt;0"),INDEX('تحليل التكلفة والسعر'!$H$2:$H$700,MATCH("بيتزا فراخ باربيكيو صيامي مخصوص",'تحليل التكلفة والسعر'!$B$2:$B$700,0))&gt;=AVERAGEIFS('تحليل التكلفة والسعر'!$H$2:$H$700,'تحليل التكلفة والسعر'!$A$2:$A$700,$A91,'تحليل التكلفة والسعر'!$C$2:$C$700,"&gt;0")),"⭐ نجم",IF(AND($G91&gt;=AVERAGEIFS($G$5:$G$175,$A$5:$A$175,$A91,$G$5:$G$175,"&gt;0"),INDEX('تحليل التكلفة والسعر'!$H$2:$H$700,MATCH("بيتزا فراخ باربيكيو صيامي مخصوص",'تحليل التكلفة والسعر'!$B$2:$B$700,0))&lt;AVERAGEIFS('تحليل التكلفة والسعر'!$H$2:$H$700,'تحليل التكلفة والسعر'!$A$2:$A$700,$A91,'تحليل التكلفة والسعر'!$C$2:$C$700,"&gt;0")),"🐎 حصان عمل",IF(AND($G91&lt;AVERAGEIFS($G$5:$G$175,$A$5:$A$175,$A91,$G$5:$G$175,"&gt;0"),INDEX('تحليل التكلفة والسعر'!$H$2:$H$700,MATCH("بيتزا فراخ باربيكيو صيامي مخصوص",'تحليل التكلفة والسعر'!$B$2:$B$700,0))&gt;=AVERAGEIFS('تحليل التكلفة والسعر'!$H$2:$H$700,'تحليل التكلفة والسعر'!$A$2:$A$700,$A91,'تحليل التكلفة والسعر'!$C$2:$C$700,"&gt;0")),"🧩 لغز","🐶 كلب"))))</f>
        <v>بيانات غير كافية</v>
      </c>
    </row>
    <row r="92" customFormat="false" ht="15" hidden="false" customHeight="true" outlineLevel="0" collapsed="false">
      <c r="A92" s="11" t="s">
        <v>16</v>
      </c>
      <c r="B92" s="11" t="s">
        <v>527</v>
      </c>
      <c r="C92" s="13" t="n">
        <f aca="false">IFERROR(INDEX('تحليل التكلفة والسعر'!$D$2:$D$700,MATCH("بيتزا جمبري صيامي وسط",'تحليل التكلفة والسعر'!$B$2:$B$700,0)),"")</f>
        <v>240</v>
      </c>
      <c r="D92" s="12" t="n">
        <f aca="false">IFERROR(INDEX('تحليل التكلفة والسعر'!$I$2:$I$700,MATCH("بيتزا جمبري صيامي وسط",'تحليل التكلفة والسعر'!$B$2:$B$700,0)),"")</f>
        <v>0.452715</v>
      </c>
      <c r="E92" s="49" t="n">
        <v>0</v>
      </c>
      <c r="F92" s="11" t="str">
        <f aca="false">IF(OR(NOT(INDEX('تحليل التكلفة والسعر'!$C$2:$C$700,MATCH("بيتزا جمبري صيامي وسط",'تحليل التكلفة والسعر'!$B$2:$B$700,0))&gt;0),$E92=0),"بيانات غير كافية",IF(AND($E92&gt;=AVERAGEIFS($E$5:$E$175,$A$5:$A$175,$A92,$E$5:$E$175,"&gt;0"),INDEX('تحليل التكلفة والسعر'!$H$2:$H$700,MATCH("بيتزا جمبري صيامي وسط",'تحليل التكلفة والسعر'!$B$2:$B$700,0))&gt;=AVERAGEIFS('تحليل التكلفة والسعر'!$H$2:$H$700,'تحليل التكلفة والسعر'!$A$2:$A$700,$A92,'تحليل التكلفة والسعر'!$C$2:$C$700,"&gt;0")),"⭐ نجم",IF(AND($E92&gt;=AVERAGEIFS($E$5:$E$175,$A$5:$A$175,$A92,$E$5:$E$175,"&gt;0"),INDEX('تحليل التكلفة والسعر'!$H$2:$H$700,MATCH("بيتزا جمبري صيامي وسط",'تحليل التكلفة والسعر'!$B$2:$B$700,0))&lt;AVERAGEIFS('تحليل التكلفة والسعر'!$H$2:$H$700,'تحليل التكلفة والسعر'!$A$2:$A$700,$A92,'تحليل التكلفة والسعر'!$C$2:$C$700,"&gt;0")),"🐎 حصان عمل",IF(AND($E92&lt;AVERAGEIFS($E$5:$E$175,$A$5:$A$175,$A92,$E$5:$E$175,"&gt;0"),INDEX('تحليل التكلفة والسعر'!$H$2:$H$700,MATCH("بيتزا جمبري صيامي وسط",'تحليل التكلفة والسعر'!$B$2:$B$700,0))&gt;=AVERAGEIFS('تحليل التكلفة والسعر'!$H$2:$H$700,'تحليل التكلفة والسعر'!$A$2:$A$700,$A92,'تحليل التكلفة والسعر'!$C$2:$C$700,"&gt;0")),"🧩 لغز","🐶 كلب"))))</f>
        <v>بيانات غير كافية</v>
      </c>
      <c r="G92" s="49" t="n">
        <v>0</v>
      </c>
      <c r="H92" s="11" t="str">
        <f aca="false">IF(OR(NOT(INDEX('تحليل التكلفة والسعر'!$C$2:$C$700,MATCH("بيتزا جمبري صيامي وسط",'تحليل التكلفة والسعر'!$B$2:$B$700,0))&gt;0),$G92=0),"بيانات غير كافية",IF(AND($G92&gt;=AVERAGEIFS($G$5:$G$175,$A$5:$A$175,$A92,$G$5:$G$175,"&gt;0"),INDEX('تحليل التكلفة والسعر'!$H$2:$H$700,MATCH("بيتزا جمبري صيامي وسط",'تحليل التكلفة والسعر'!$B$2:$B$700,0))&gt;=AVERAGEIFS('تحليل التكلفة والسعر'!$H$2:$H$700,'تحليل التكلفة والسعر'!$A$2:$A$700,$A92,'تحليل التكلفة والسعر'!$C$2:$C$700,"&gt;0")),"⭐ نجم",IF(AND($G92&gt;=AVERAGEIFS($G$5:$G$175,$A$5:$A$175,$A92,$G$5:$G$175,"&gt;0"),INDEX('تحليل التكلفة والسعر'!$H$2:$H$700,MATCH("بيتزا جمبري صيامي وسط",'تحليل التكلفة والسعر'!$B$2:$B$700,0))&lt;AVERAGEIFS('تحليل التكلفة والسعر'!$H$2:$H$700,'تحليل التكلفة والسعر'!$A$2:$A$700,$A92,'تحليل التكلفة والسعر'!$C$2:$C$700,"&gt;0")),"🐎 حصان عمل",IF(AND($G92&lt;AVERAGEIFS($G$5:$G$175,$A$5:$A$175,$A92,$G$5:$G$175,"&gt;0"),INDEX('تحليل التكلفة والسعر'!$H$2:$H$700,MATCH("بيتزا جمبري صيامي وسط",'تحليل التكلفة والسعر'!$B$2:$B$700,0))&gt;=AVERAGEIFS('تحليل التكلفة والسعر'!$H$2:$H$700,'تحليل التكلفة والسعر'!$A$2:$A$700,$A92,'تحليل التكلفة والسعر'!$C$2:$C$700,"&gt;0")),"🧩 لغز","🐶 كلب"))))</f>
        <v>بيانات غير كافية</v>
      </c>
    </row>
    <row r="93" customFormat="false" ht="15" hidden="false" customHeight="true" outlineLevel="0" collapsed="false">
      <c r="A93" s="11" t="s">
        <v>16</v>
      </c>
      <c r="B93" s="11" t="s">
        <v>513</v>
      </c>
      <c r="C93" s="13" t="n">
        <f aca="false">IFERROR(INDEX('تحليل التكلفة والسعر'!$D$2:$D$700,MATCH("بيتزا جمبري صيامي مخصوص",'تحليل التكلفة والسعر'!$B$2:$B$700,0)),"")</f>
        <v>360</v>
      </c>
      <c r="D93" s="12" t="n">
        <f aca="false">IFERROR(INDEX('تحليل التكلفة والسعر'!$I$2:$I$700,MATCH("بيتزا جمبري صيامي مخصوص",'تحليل التكلفة والسعر'!$B$2:$B$700,0)),"")</f>
        <v>0.467823888888889</v>
      </c>
      <c r="E93" s="49" t="n">
        <v>0</v>
      </c>
      <c r="F93" s="11" t="str">
        <f aca="false">IF(OR(NOT(INDEX('تحليل التكلفة والسعر'!$C$2:$C$700,MATCH("بيتزا جمبري صيامي مخصوص",'تحليل التكلفة والسعر'!$B$2:$B$700,0))&gt;0),$E93=0),"بيانات غير كافية",IF(AND($E93&gt;=AVERAGEIFS($E$5:$E$175,$A$5:$A$175,$A93,$E$5:$E$175,"&gt;0"),INDEX('تحليل التكلفة والسعر'!$H$2:$H$700,MATCH("بيتزا جمبري صيامي مخصوص",'تحليل التكلفة والسعر'!$B$2:$B$700,0))&gt;=AVERAGEIFS('تحليل التكلفة والسعر'!$H$2:$H$700,'تحليل التكلفة والسعر'!$A$2:$A$700,$A93,'تحليل التكلفة والسعر'!$C$2:$C$700,"&gt;0")),"⭐ نجم",IF(AND($E93&gt;=AVERAGEIFS($E$5:$E$175,$A$5:$A$175,$A93,$E$5:$E$175,"&gt;0"),INDEX('تحليل التكلفة والسعر'!$H$2:$H$700,MATCH("بيتزا جمبري صيامي مخصوص",'تحليل التكلفة والسعر'!$B$2:$B$700,0))&lt;AVERAGEIFS('تحليل التكلفة والسعر'!$H$2:$H$700,'تحليل التكلفة والسعر'!$A$2:$A$700,$A93,'تحليل التكلفة والسعر'!$C$2:$C$700,"&gt;0")),"🐎 حصان عمل",IF(AND($E93&lt;AVERAGEIFS($E$5:$E$175,$A$5:$A$175,$A93,$E$5:$E$175,"&gt;0"),INDEX('تحليل التكلفة والسعر'!$H$2:$H$700,MATCH("بيتزا جمبري صيامي مخصوص",'تحليل التكلفة والسعر'!$B$2:$B$700,0))&gt;=AVERAGEIFS('تحليل التكلفة والسعر'!$H$2:$H$700,'تحليل التكلفة والسعر'!$A$2:$A$700,$A93,'تحليل التكلفة والسعر'!$C$2:$C$700,"&gt;0")),"🧩 لغز","🐶 كلب"))))</f>
        <v>بيانات غير كافية</v>
      </c>
      <c r="G93" s="49" t="n">
        <v>0</v>
      </c>
      <c r="H93" s="11" t="str">
        <f aca="false">IF(OR(NOT(INDEX('تحليل التكلفة والسعر'!$C$2:$C$700,MATCH("بيتزا جمبري صيامي مخصوص",'تحليل التكلفة والسعر'!$B$2:$B$700,0))&gt;0),$G93=0),"بيانات غير كافية",IF(AND($G93&gt;=AVERAGEIFS($G$5:$G$175,$A$5:$A$175,$A93,$G$5:$G$175,"&gt;0"),INDEX('تحليل التكلفة والسعر'!$H$2:$H$700,MATCH("بيتزا جمبري صيامي مخصوص",'تحليل التكلفة والسعر'!$B$2:$B$700,0))&gt;=AVERAGEIFS('تحليل التكلفة والسعر'!$H$2:$H$700,'تحليل التكلفة والسعر'!$A$2:$A$700,$A93,'تحليل التكلفة والسعر'!$C$2:$C$700,"&gt;0")),"⭐ نجم",IF(AND($G93&gt;=AVERAGEIFS($G$5:$G$175,$A$5:$A$175,$A93,$G$5:$G$175,"&gt;0"),INDEX('تحليل التكلفة والسعر'!$H$2:$H$700,MATCH("بيتزا جمبري صيامي مخصوص",'تحليل التكلفة والسعر'!$B$2:$B$700,0))&lt;AVERAGEIFS('تحليل التكلفة والسعر'!$H$2:$H$700,'تحليل التكلفة والسعر'!$A$2:$A$700,$A93,'تحليل التكلفة والسعر'!$C$2:$C$700,"&gt;0")),"🐎 حصان عمل",IF(AND($G93&lt;AVERAGEIFS($G$5:$G$175,$A$5:$A$175,$A93,$G$5:$G$175,"&gt;0"),INDEX('تحليل التكلفة والسعر'!$H$2:$H$700,MATCH("بيتزا جمبري صيامي مخصوص",'تحليل التكلفة والسعر'!$B$2:$B$700,0))&gt;=AVERAGEIFS('تحليل التكلفة والسعر'!$H$2:$H$700,'تحليل التكلفة والسعر'!$A$2:$A$700,$A93,'تحليل التكلفة والسعر'!$C$2:$C$700,"&gt;0")),"🧩 لغز","🐶 كلب"))))</f>
        <v>بيانات غير كافية</v>
      </c>
    </row>
    <row r="94" customFormat="false" ht="15" hidden="false" customHeight="true" outlineLevel="0" collapsed="false">
      <c r="A94" s="11" t="s">
        <v>16</v>
      </c>
      <c r="B94" s="11" t="s">
        <v>495</v>
      </c>
      <c r="C94" s="13" t="n">
        <f aca="false">IFERROR(INDEX('تحليل التكلفة والسعر'!$D$2:$D$700,MATCH("بيتزا تونة صيامي وسط",'تحليل التكلفة والسعر'!$B$2:$B$700,0)),"")</f>
        <v>180</v>
      </c>
      <c r="D94" s="12" t="n">
        <f aca="false">IFERROR(INDEX('تحليل التكلفة والسعر'!$I$2:$I$700,MATCH("بيتزا تونة صيامي وسط",'تحليل التكلفة والسعر'!$B$2:$B$700,0)),"")</f>
        <v>0.564564444444444</v>
      </c>
      <c r="E94" s="49" t="n">
        <v>0</v>
      </c>
      <c r="F94" s="11" t="str">
        <f aca="false">IF(OR(NOT(INDEX('تحليل التكلفة والسعر'!$C$2:$C$700,MATCH("بيتزا تونة صيامي وسط",'تحليل التكلفة والسعر'!$B$2:$B$700,0))&gt;0),$E94=0),"بيانات غير كافية",IF(AND($E94&gt;=AVERAGEIFS($E$5:$E$175,$A$5:$A$175,$A94,$E$5:$E$175,"&gt;0"),INDEX('تحليل التكلفة والسعر'!$H$2:$H$700,MATCH("بيتزا تونة صيامي وسط",'تحليل التكلفة والسعر'!$B$2:$B$700,0))&gt;=AVERAGEIFS('تحليل التكلفة والسعر'!$H$2:$H$700,'تحليل التكلفة والسعر'!$A$2:$A$700,$A94,'تحليل التكلفة والسعر'!$C$2:$C$700,"&gt;0")),"⭐ نجم",IF(AND($E94&gt;=AVERAGEIFS($E$5:$E$175,$A$5:$A$175,$A94,$E$5:$E$175,"&gt;0"),INDEX('تحليل التكلفة والسعر'!$H$2:$H$700,MATCH("بيتزا تونة صيامي وسط",'تحليل التكلفة والسعر'!$B$2:$B$700,0))&lt;AVERAGEIFS('تحليل التكلفة والسعر'!$H$2:$H$700,'تحليل التكلفة والسعر'!$A$2:$A$700,$A94,'تحليل التكلفة والسعر'!$C$2:$C$700,"&gt;0")),"🐎 حصان عمل",IF(AND($E94&lt;AVERAGEIFS($E$5:$E$175,$A$5:$A$175,$A94,$E$5:$E$175,"&gt;0"),INDEX('تحليل التكلفة والسعر'!$H$2:$H$700,MATCH("بيتزا تونة صيامي وسط",'تحليل التكلفة والسعر'!$B$2:$B$700,0))&gt;=AVERAGEIFS('تحليل التكلفة والسعر'!$H$2:$H$700,'تحليل التكلفة والسعر'!$A$2:$A$700,$A94,'تحليل التكلفة والسعر'!$C$2:$C$700,"&gt;0")),"🧩 لغز","🐶 كلب"))))</f>
        <v>بيانات غير كافية</v>
      </c>
      <c r="G94" s="49" t="n">
        <v>0</v>
      </c>
      <c r="H94" s="11" t="str">
        <f aca="false">IF(OR(NOT(INDEX('تحليل التكلفة والسعر'!$C$2:$C$700,MATCH("بيتزا تونة صيامي وسط",'تحليل التكلفة والسعر'!$B$2:$B$700,0))&gt;0),$G94=0),"بيانات غير كافية",IF(AND($G94&gt;=AVERAGEIFS($G$5:$G$175,$A$5:$A$175,$A94,$G$5:$G$175,"&gt;0"),INDEX('تحليل التكلفة والسعر'!$H$2:$H$700,MATCH("بيتزا تونة صيامي وسط",'تحليل التكلفة والسعر'!$B$2:$B$700,0))&gt;=AVERAGEIFS('تحليل التكلفة والسعر'!$H$2:$H$700,'تحليل التكلفة والسعر'!$A$2:$A$700,$A94,'تحليل التكلفة والسعر'!$C$2:$C$700,"&gt;0")),"⭐ نجم",IF(AND($G94&gt;=AVERAGEIFS($G$5:$G$175,$A$5:$A$175,$A94,$G$5:$G$175,"&gt;0"),INDEX('تحليل التكلفة والسعر'!$H$2:$H$700,MATCH("بيتزا تونة صيامي وسط",'تحليل التكلفة والسعر'!$B$2:$B$700,0))&lt;AVERAGEIFS('تحليل التكلفة والسعر'!$H$2:$H$700,'تحليل التكلفة والسعر'!$A$2:$A$700,$A94,'تحليل التكلفة والسعر'!$C$2:$C$700,"&gt;0")),"🐎 حصان عمل",IF(AND($G94&lt;AVERAGEIFS($G$5:$G$175,$A$5:$A$175,$A94,$G$5:$G$175,"&gt;0"),INDEX('تحليل التكلفة والسعر'!$H$2:$H$700,MATCH("بيتزا تونة صيامي وسط",'تحليل التكلفة والسعر'!$B$2:$B$700,0))&gt;=AVERAGEIFS('تحليل التكلفة والسعر'!$H$2:$H$700,'تحليل التكلفة والسعر'!$A$2:$A$700,$A94,'تحليل التكلفة والسعر'!$C$2:$C$700,"&gt;0")),"🧩 لغز","🐶 كلب"))))</f>
        <v>بيانات غير كافية</v>
      </c>
    </row>
    <row r="95" customFormat="false" ht="15" hidden="false" customHeight="true" outlineLevel="0" collapsed="false">
      <c r="A95" s="11" t="s">
        <v>16</v>
      </c>
      <c r="B95" s="11" t="s">
        <v>514</v>
      </c>
      <c r="C95" s="13" t="n">
        <f aca="false">IFERROR(INDEX('تحليل التكلفة والسعر'!$D$2:$D$700,MATCH("بيتزا تونة صيامي مخصوص",'تحليل التكلفة والسعر'!$B$2:$B$700,0)),"")</f>
        <v>250</v>
      </c>
      <c r="D95" s="12" t="n">
        <f aca="false">IFERROR(INDEX('تحليل التكلفة والسعر'!$I$2:$I$700,MATCH("بيتزا تونة صيامي مخصوص",'تحليل التكلفة والسعر'!$B$2:$B$700,0)),"")</f>
        <v>0.5514864</v>
      </c>
      <c r="E95" s="49" t="n">
        <v>0</v>
      </c>
      <c r="F95" s="11" t="str">
        <f aca="false">IF(OR(NOT(INDEX('تحليل التكلفة والسعر'!$C$2:$C$700,MATCH("بيتزا تونة صيامي مخصوص",'تحليل التكلفة والسعر'!$B$2:$B$700,0))&gt;0),$E95=0),"بيانات غير كافية",IF(AND($E95&gt;=AVERAGEIFS($E$5:$E$175,$A$5:$A$175,$A95,$E$5:$E$175,"&gt;0"),INDEX('تحليل التكلفة والسعر'!$H$2:$H$700,MATCH("بيتزا تونة صيامي مخصوص",'تحليل التكلفة والسعر'!$B$2:$B$700,0))&gt;=AVERAGEIFS('تحليل التكلفة والسعر'!$H$2:$H$700,'تحليل التكلفة والسعر'!$A$2:$A$700,$A95,'تحليل التكلفة والسعر'!$C$2:$C$700,"&gt;0")),"⭐ نجم",IF(AND($E95&gt;=AVERAGEIFS($E$5:$E$175,$A$5:$A$175,$A95,$E$5:$E$175,"&gt;0"),INDEX('تحليل التكلفة والسعر'!$H$2:$H$700,MATCH("بيتزا تونة صيامي مخصوص",'تحليل التكلفة والسعر'!$B$2:$B$700,0))&lt;AVERAGEIFS('تحليل التكلفة والسعر'!$H$2:$H$700,'تحليل التكلفة والسعر'!$A$2:$A$700,$A95,'تحليل التكلفة والسعر'!$C$2:$C$700,"&gt;0")),"🐎 حصان عمل",IF(AND($E95&lt;AVERAGEIFS($E$5:$E$175,$A$5:$A$175,$A95,$E$5:$E$175,"&gt;0"),INDEX('تحليل التكلفة والسعر'!$H$2:$H$700,MATCH("بيتزا تونة صيامي مخصوص",'تحليل التكلفة والسعر'!$B$2:$B$700,0))&gt;=AVERAGEIFS('تحليل التكلفة والسعر'!$H$2:$H$700,'تحليل التكلفة والسعر'!$A$2:$A$700,$A95,'تحليل التكلفة والسعر'!$C$2:$C$700,"&gt;0")),"🧩 لغز","🐶 كلب"))))</f>
        <v>بيانات غير كافية</v>
      </c>
      <c r="G95" s="49" t="n">
        <v>0</v>
      </c>
      <c r="H95" s="11" t="str">
        <f aca="false">IF(OR(NOT(INDEX('تحليل التكلفة والسعر'!$C$2:$C$700,MATCH("بيتزا تونة صيامي مخصوص",'تحليل التكلفة والسعر'!$B$2:$B$700,0))&gt;0),$G95=0),"بيانات غير كافية",IF(AND($G95&gt;=AVERAGEIFS($G$5:$G$175,$A$5:$A$175,$A95,$G$5:$G$175,"&gt;0"),INDEX('تحليل التكلفة والسعر'!$H$2:$H$700,MATCH("بيتزا تونة صيامي مخصوص",'تحليل التكلفة والسعر'!$B$2:$B$700,0))&gt;=AVERAGEIFS('تحليل التكلفة والسعر'!$H$2:$H$700,'تحليل التكلفة والسعر'!$A$2:$A$700,$A95,'تحليل التكلفة والسعر'!$C$2:$C$700,"&gt;0")),"⭐ نجم",IF(AND($G95&gt;=AVERAGEIFS($G$5:$G$175,$A$5:$A$175,$A95,$G$5:$G$175,"&gt;0"),INDEX('تحليل التكلفة والسعر'!$H$2:$H$700,MATCH("بيتزا تونة صيامي مخصوص",'تحليل التكلفة والسعر'!$B$2:$B$700,0))&lt;AVERAGEIFS('تحليل التكلفة والسعر'!$H$2:$H$700,'تحليل التكلفة والسعر'!$A$2:$A$700,$A95,'تحليل التكلفة والسعر'!$C$2:$C$700,"&gt;0")),"🐎 حصان عمل",IF(AND($G95&lt;AVERAGEIFS($G$5:$G$175,$A$5:$A$175,$A95,$G$5:$G$175,"&gt;0"),INDEX('تحليل التكلفة والسعر'!$H$2:$H$700,MATCH("بيتزا تونة صيامي مخصوص",'تحليل التكلفة والسعر'!$B$2:$B$700,0))&gt;=AVERAGEIFS('تحليل التكلفة والسعر'!$H$2:$H$700,'تحليل التكلفة والسعر'!$A$2:$A$700,$A95,'تحليل التكلفة والسعر'!$C$2:$C$700,"&gt;0")),"🧩 لغز","🐶 كلب"))))</f>
        <v>بيانات غير كافية</v>
      </c>
    </row>
    <row r="96" customFormat="false" ht="26.25" hidden="false" customHeight="true" outlineLevel="0" collapsed="false">
      <c r="A96" s="11" t="s">
        <v>17</v>
      </c>
      <c r="B96" s="11" t="s">
        <v>509</v>
      </c>
      <c r="C96" s="13" t="n">
        <f aca="false">IFERROR(INDEX('تحليل التكلفة والسعر'!$D$2:$D$700,MATCH("فطيرة خضروات صيامي وسط",'تحليل التكلفة والسعر'!$B$2:$B$700,0)),"")</f>
        <v>90</v>
      </c>
      <c r="D96" s="12" t="n">
        <f aca="false">IFERROR(INDEX('تحليل التكلفة والسعر'!$I$2:$I$700,MATCH("فطيرة خضروات صيامي وسط",'تحليل التكلفة والسعر'!$B$2:$B$700,0)),"")</f>
        <v>0.619684444444445</v>
      </c>
      <c r="E96" s="49" t="n">
        <v>0</v>
      </c>
      <c r="F96" s="11" t="str">
        <f aca="false">IF(OR(NOT(INDEX('تحليل التكلفة والسعر'!$C$2:$C$700,MATCH("فطيرة خضروات صيامي وسط",'تحليل التكلفة والسعر'!$B$2:$B$700,0))&gt;0),$E96=0),"بيانات غير كافية",IF(AND($E96&gt;=AVERAGEIFS($E$5:$E$175,$A$5:$A$175,$A96,$E$5:$E$175,"&gt;0"),INDEX('تحليل التكلفة والسعر'!$H$2:$H$700,MATCH("فطيرة خضروات صيامي وسط",'تحليل التكلفة والسعر'!$B$2:$B$700,0))&gt;=AVERAGEIFS('تحليل التكلفة والسعر'!$H$2:$H$700,'تحليل التكلفة والسعر'!$A$2:$A$700,$A96,'تحليل التكلفة والسعر'!$C$2:$C$700,"&gt;0")),"⭐ نجم",IF(AND($E96&gt;=AVERAGEIFS($E$5:$E$175,$A$5:$A$175,$A96,$E$5:$E$175,"&gt;0"),INDEX('تحليل التكلفة والسعر'!$H$2:$H$700,MATCH("فطيرة خضروات صيامي وسط",'تحليل التكلفة والسعر'!$B$2:$B$700,0))&lt;AVERAGEIFS('تحليل التكلفة والسعر'!$H$2:$H$700,'تحليل التكلفة والسعر'!$A$2:$A$700,$A96,'تحليل التكلفة والسعر'!$C$2:$C$700,"&gt;0")),"🐎 حصان عمل",IF(AND($E96&lt;AVERAGEIFS($E$5:$E$175,$A$5:$A$175,$A96,$E$5:$E$175,"&gt;0"),INDEX('تحليل التكلفة والسعر'!$H$2:$H$700,MATCH("فطيرة خضروات صيامي وسط",'تحليل التكلفة والسعر'!$B$2:$B$700,0))&gt;=AVERAGEIFS('تحليل التكلفة والسعر'!$H$2:$H$700,'تحليل التكلفة والسعر'!$A$2:$A$700,$A96,'تحليل التكلفة والسعر'!$C$2:$C$700,"&gt;0")),"🧩 لغز","🐶 كلب"))))</f>
        <v>بيانات غير كافية</v>
      </c>
      <c r="G96" s="49" t="n">
        <v>0</v>
      </c>
      <c r="H96" s="11" t="str">
        <f aca="false">IF(OR(NOT(INDEX('تحليل التكلفة والسعر'!$C$2:$C$700,MATCH("فطيرة خضروات صيامي وسط",'تحليل التكلفة والسعر'!$B$2:$B$700,0))&gt;0),$G96=0),"بيانات غير كافية",IF(AND($G96&gt;=AVERAGEIFS($G$5:$G$175,$A$5:$A$175,$A96,$G$5:$G$175,"&gt;0"),INDEX('تحليل التكلفة والسعر'!$H$2:$H$700,MATCH("فطيرة خضروات صيامي وسط",'تحليل التكلفة والسعر'!$B$2:$B$700,0))&gt;=AVERAGEIFS('تحليل التكلفة والسعر'!$H$2:$H$700,'تحليل التكلفة والسعر'!$A$2:$A$700,$A96,'تحليل التكلفة والسعر'!$C$2:$C$700,"&gt;0")),"⭐ نجم",IF(AND($G96&gt;=AVERAGEIFS($G$5:$G$175,$A$5:$A$175,$A96,$G$5:$G$175,"&gt;0"),INDEX('تحليل التكلفة والسعر'!$H$2:$H$700,MATCH("فطيرة خضروات صيامي وسط",'تحليل التكلفة والسعر'!$B$2:$B$700,0))&lt;AVERAGEIFS('تحليل التكلفة والسعر'!$H$2:$H$700,'تحليل التكلفة والسعر'!$A$2:$A$700,$A96,'تحليل التكلفة والسعر'!$C$2:$C$700,"&gt;0")),"🐎 حصان عمل",IF(AND($G96&lt;AVERAGEIFS($G$5:$G$175,$A$5:$A$175,$A96,$G$5:$G$175,"&gt;0"),INDEX('تحليل التكلفة والسعر'!$H$2:$H$700,MATCH("فطيرة خضروات صيامي وسط",'تحليل التكلفة والسعر'!$B$2:$B$700,0))&gt;=AVERAGEIFS('تحليل التكلفة والسعر'!$H$2:$H$700,'تحليل التكلفة والسعر'!$A$2:$A$700,$A96,'تحليل التكلفة والسعر'!$C$2:$C$700,"&gt;0")),"🧩 لغز","🐶 كلب"))))</f>
        <v>بيانات غير كافية</v>
      </c>
    </row>
    <row r="97" customFormat="false" ht="26.25" hidden="false" customHeight="true" outlineLevel="0" collapsed="false">
      <c r="A97" s="11" t="s">
        <v>17</v>
      </c>
      <c r="B97" s="11" t="s">
        <v>478</v>
      </c>
      <c r="C97" s="13" t="n">
        <f aca="false">IFERROR(INDEX('تحليل التكلفة والسعر'!$D$2:$D$700,MATCH("فطيرة خضروات صيامي مخصوص",'تحليل التكلفة والسعر'!$B$2:$B$700,0)),"")</f>
        <v>120</v>
      </c>
      <c r="D97" s="12" t="n">
        <f aca="false">IFERROR(INDEX('تحليل التكلفة والسعر'!$I$2:$I$700,MATCH("فطيرة خضروات صيامي مخصوص",'تحليل التكلفة والسعر'!$B$2:$B$700,0)),"")</f>
        <v>0.611971666666667</v>
      </c>
      <c r="E97" s="49" t="n">
        <v>0</v>
      </c>
      <c r="F97" s="11" t="str">
        <f aca="false">IF(OR(NOT(INDEX('تحليل التكلفة والسعر'!$C$2:$C$700,MATCH("فطيرة خضروات صيامي مخصوص",'تحليل التكلفة والسعر'!$B$2:$B$700,0))&gt;0),$E97=0),"بيانات غير كافية",IF(AND($E97&gt;=AVERAGEIFS($E$5:$E$175,$A$5:$A$175,$A97,$E$5:$E$175,"&gt;0"),INDEX('تحليل التكلفة والسعر'!$H$2:$H$700,MATCH("فطيرة خضروات صيامي مخصوص",'تحليل التكلفة والسعر'!$B$2:$B$700,0))&gt;=AVERAGEIFS('تحليل التكلفة والسعر'!$H$2:$H$700,'تحليل التكلفة والسعر'!$A$2:$A$700,$A97,'تحليل التكلفة والسعر'!$C$2:$C$700,"&gt;0")),"⭐ نجم",IF(AND($E97&gt;=AVERAGEIFS($E$5:$E$175,$A$5:$A$175,$A97,$E$5:$E$175,"&gt;0"),INDEX('تحليل التكلفة والسعر'!$H$2:$H$700,MATCH("فطيرة خضروات صيامي مخصوص",'تحليل التكلفة والسعر'!$B$2:$B$700,0))&lt;AVERAGEIFS('تحليل التكلفة والسعر'!$H$2:$H$700,'تحليل التكلفة والسعر'!$A$2:$A$700,$A97,'تحليل التكلفة والسعر'!$C$2:$C$700,"&gt;0")),"🐎 حصان عمل",IF(AND($E97&lt;AVERAGEIFS($E$5:$E$175,$A$5:$A$175,$A97,$E$5:$E$175,"&gt;0"),INDEX('تحليل التكلفة والسعر'!$H$2:$H$700,MATCH("فطيرة خضروات صيامي مخصوص",'تحليل التكلفة والسعر'!$B$2:$B$700,0))&gt;=AVERAGEIFS('تحليل التكلفة والسعر'!$H$2:$H$700,'تحليل التكلفة والسعر'!$A$2:$A$700,$A97,'تحليل التكلفة والسعر'!$C$2:$C$700,"&gt;0")),"🧩 لغز","🐶 كلب"))))</f>
        <v>بيانات غير كافية</v>
      </c>
      <c r="G97" s="49" t="n">
        <v>0</v>
      </c>
      <c r="H97" s="11" t="str">
        <f aca="false">IF(OR(NOT(INDEX('تحليل التكلفة والسعر'!$C$2:$C$700,MATCH("فطيرة خضروات صيامي مخصوص",'تحليل التكلفة والسعر'!$B$2:$B$700,0))&gt;0),$G97=0),"بيانات غير كافية",IF(AND($G97&gt;=AVERAGEIFS($G$5:$G$175,$A$5:$A$175,$A97,$G$5:$G$175,"&gt;0"),INDEX('تحليل التكلفة والسعر'!$H$2:$H$700,MATCH("فطيرة خضروات صيامي مخصوص",'تحليل التكلفة والسعر'!$B$2:$B$700,0))&gt;=AVERAGEIFS('تحليل التكلفة والسعر'!$H$2:$H$700,'تحليل التكلفة والسعر'!$A$2:$A$700,$A97,'تحليل التكلفة والسعر'!$C$2:$C$700,"&gt;0")),"⭐ نجم",IF(AND($G97&gt;=AVERAGEIFS($G$5:$G$175,$A$5:$A$175,$A97,$G$5:$G$175,"&gt;0"),INDEX('تحليل التكلفة والسعر'!$H$2:$H$700,MATCH("فطيرة خضروات صيامي مخصوص",'تحليل التكلفة والسعر'!$B$2:$B$700,0))&lt;AVERAGEIFS('تحليل التكلفة والسعر'!$H$2:$H$700,'تحليل التكلفة والسعر'!$A$2:$A$700,$A97,'تحليل التكلفة والسعر'!$C$2:$C$700,"&gt;0")),"🐎 حصان عمل",IF(AND($G97&lt;AVERAGEIFS($G$5:$G$175,$A$5:$A$175,$A97,$G$5:$G$175,"&gt;0"),INDEX('تحليل التكلفة والسعر'!$H$2:$H$700,MATCH("فطيرة خضروات صيامي مخصوص",'تحليل التكلفة والسعر'!$B$2:$B$700,0))&gt;=AVERAGEIFS('تحليل التكلفة والسعر'!$H$2:$H$700,'تحليل التكلفة والسعر'!$A$2:$A$700,$A97,'تحليل التكلفة والسعر'!$C$2:$C$700,"&gt;0")),"🧩 لغز","🐶 كلب"))))</f>
        <v>بيانات غير كافية</v>
      </c>
    </row>
    <row r="98" customFormat="false" ht="26.25" hidden="false" customHeight="true" outlineLevel="0" collapsed="false">
      <c r="A98" s="11" t="s">
        <v>17</v>
      </c>
      <c r="B98" s="11" t="s">
        <v>389</v>
      </c>
      <c r="C98" s="13" t="n">
        <f aca="false">IFERROR(INDEX('تحليل التكلفة والسعر'!$D$2:$D$700,MATCH("فطيرة مشروم صيامي وسط",'تحليل التكلفة والسعر'!$B$2:$B$700,0)),"")</f>
        <v>115</v>
      </c>
      <c r="D98" s="12" t="n">
        <f aca="false">IFERROR(INDEX('تحليل التكلفة والسعر'!$I$2:$I$700,MATCH("فطيرة مشروم صيامي وسط",'تحليل التكلفة والسعر'!$B$2:$B$700,0)),"")</f>
        <v>0.570881130434783</v>
      </c>
      <c r="E98" s="49" t="n">
        <v>0</v>
      </c>
      <c r="F98" s="11" t="str">
        <f aca="false">IF(OR(NOT(INDEX('تحليل التكلفة والسعر'!$C$2:$C$700,MATCH("فطيرة مشروم صيامي وسط",'تحليل التكلفة والسعر'!$B$2:$B$700,0))&gt;0),$E98=0),"بيانات غير كافية",IF(AND($E98&gt;=AVERAGEIFS($E$5:$E$175,$A$5:$A$175,$A98,$E$5:$E$175,"&gt;0"),INDEX('تحليل التكلفة والسعر'!$H$2:$H$700,MATCH("فطيرة مشروم صيامي وسط",'تحليل التكلفة والسعر'!$B$2:$B$700,0))&gt;=AVERAGEIFS('تحليل التكلفة والسعر'!$H$2:$H$700,'تحليل التكلفة والسعر'!$A$2:$A$700,$A98,'تحليل التكلفة والسعر'!$C$2:$C$700,"&gt;0")),"⭐ نجم",IF(AND($E98&gt;=AVERAGEIFS($E$5:$E$175,$A$5:$A$175,$A98,$E$5:$E$175,"&gt;0"),INDEX('تحليل التكلفة والسعر'!$H$2:$H$700,MATCH("فطيرة مشروم صيامي وسط",'تحليل التكلفة والسعر'!$B$2:$B$700,0))&lt;AVERAGEIFS('تحليل التكلفة والسعر'!$H$2:$H$700,'تحليل التكلفة والسعر'!$A$2:$A$700,$A98,'تحليل التكلفة والسعر'!$C$2:$C$700,"&gt;0")),"🐎 حصان عمل",IF(AND($E98&lt;AVERAGEIFS($E$5:$E$175,$A$5:$A$175,$A98,$E$5:$E$175,"&gt;0"),INDEX('تحليل التكلفة والسعر'!$H$2:$H$700,MATCH("فطيرة مشروم صيامي وسط",'تحليل التكلفة والسعر'!$B$2:$B$700,0))&gt;=AVERAGEIFS('تحليل التكلفة والسعر'!$H$2:$H$700,'تحليل التكلفة والسعر'!$A$2:$A$700,$A98,'تحليل التكلفة والسعر'!$C$2:$C$700,"&gt;0")),"🧩 لغز","🐶 كلب"))))</f>
        <v>بيانات غير كافية</v>
      </c>
      <c r="G98" s="49" t="n">
        <v>0</v>
      </c>
      <c r="H98" s="11" t="str">
        <f aca="false">IF(OR(NOT(INDEX('تحليل التكلفة والسعر'!$C$2:$C$700,MATCH("فطيرة مشروم صيامي وسط",'تحليل التكلفة والسعر'!$B$2:$B$700,0))&gt;0),$G98=0),"بيانات غير كافية",IF(AND($G98&gt;=AVERAGEIFS($G$5:$G$175,$A$5:$A$175,$A98,$G$5:$G$175,"&gt;0"),INDEX('تحليل التكلفة والسعر'!$H$2:$H$700,MATCH("فطيرة مشروم صيامي وسط",'تحليل التكلفة والسعر'!$B$2:$B$700,0))&gt;=AVERAGEIFS('تحليل التكلفة والسعر'!$H$2:$H$700,'تحليل التكلفة والسعر'!$A$2:$A$700,$A98,'تحليل التكلفة والسعر'!$C$2:$C$700,"&gt;0")),"⭐ نجم",IF(AND($G98&gt;=AVERAGEIFS($G$5:$G$175,$A$5:$A$175,$A98,$G$5:$G$175,"&gt;0"),INDEX('تحليل التكلفة والسعر'!$H$2:$H$700,MATCH("فطيرة مشروم صيامي وسط",'تحليل التكلفة والسعر'!$B$2:$B$700,0))&lt;AVERAGEIFS('تحليل التكلفة والسعر'!$H$2:$H$700,'تحليل التكلفة والسعر'!$A$2:$A$700,$A98,'تحليل التكلفة والسعر'!$C$2:$C$700,"&gt;0")),"🐎 حصان عمل",IF(AND($G98&lt;AVERAGEIFS($G$5:$G$175,$A$5:$A$175,$A98,$G$5:$G$175,"&gt;0"),INDEX('تحليل التكلفة والسعر'!$H$2:$H$700,MATCH("فطيرة مشروم صيامي وسط",'تحليل التكلفة والسعر'!$B$2:$B$700,0))&gt;=AVERAGEIFS('تحليل التكلفة والسعر'!$H$2:$H$700,'تحليل التكلفة والسعر'!$A$2:$A$700,$A98,'تحليل التكلفة والسعر'!$C$2:$C$700,"&gt;0")),"🧩 لغز","🐶 كلب"))))</f>
        <v>بيانات غير كافية</v>
      </c>
    </row>
    <row r="99" customFormat="false" ht="26.25" hidden="false" customHeight="true" outlineLevel="0" collapsed="false">
      <c r="A99" s="11" t="s">
        <v>17</v>
      </c>
      <c r="B99" s="11" t="s">
        <v>387</v>
      </c>
      <c r="C99" s="13" t="n">
        <f aca="false">IFERROR(INDEX('تحليل التكلفة والسعر'!$D$2:$D$700,MATCH("فطيرة مشروم صيامي مخصوص",'تحليل التكلفة والسعر'!$B$2:$B$700,0)),"")</f>
        <v>170</v>
      </c>
      <c r="D99" s="12" t="n">
        <f aca="false">IFERROR(INDEX('تحليل التكلفة والسعر'!$I$2:$I$700,MATCH("فطيرة مشروم صيامي مخصوص",'تحليل التكلفة والسعر'!$B$2:$B$700,0)),"")</f>
        <v>0.5926835</v>
      </c>
      <c r="E99" s="49" t="n">
        <v>0</v>
      </c>
      <c r="F99" s="11" t="str">
        <f aca="false">IF(OR(NOT(INDEX('تحليل التكلفة والسعر'!$C$2:$C$700,MATCH("فطيرة مشروم صيامي مخصوص",'تحليل التكلفة والسعر'!$B$2:$B$700,0))&gt;0),$E99=0),"بيانات غير كافية",IF(AND($E99&gt;=AVERAGEIFS($E$5:$E$175,$A$5:$A$175,$A99,$E$5:$E$175,"&gt;0"),INDEX('تحليل التكلفة والسعر'!$H$2:$H$700,MATCH("فطيرة مشروم صيامي مخصوص",'تحليل التكلفة والسعر'!$B$2:$B$700,0))&gt;=AVERAGEIFS('تحليل التكلفة والسعر'!$H$2:$H$700,'تحليل التكلفة والسعر'!$A$2:$A$700,$A99,'تحليل التكلفة والسعر'!$C$2:$C$700,"&gt;0")),"⭐ نجم",IF(AND($E99&gt;=AVERAGEIFS($E$5:$E$175,$A$5:$A$175,$A99,$E$5:$E$175,"&gt;0"),INDEX('تحليل التكلفة والسعر'!$H$2:$H$700,MATCH("فطيرة مشروم صيامي مخصوص",'تحليل التكلفة والسعر'!$B$2:$B$700,0))&lt;AVERAGEIFS('تحليل التكلفة والسعر'!$H$2:$H$700,'تحليل التكلفة والسعر'!$A$2:$A$700,$A99,'تحليل التكلفة والسعر'!$C$2:$C$700,"&gt;0")),"🐎 حصان عمل",IF(AND($E99&lt;AVERAGEIFS($E$5:$E$175,$A$5:$A$175,$A99,$E$5:$E$175,"&gt;0"),INDEX('تحليل التكلفة والسعر'!$H$2:$H$700,MATCH("فطيرة مشروم صيامي مخصوص",'تحليل التكلفة والسعر'!$B$2:$B$700,0))&gt;=AVERAGEIFS('تحليل التكلفة والسعر'!$H$2:$H$700,'تحليل التكلفة والسعر'!$A$2:$A$700,$A99,'تحليل التكلفة والسعر'!$C$2:$C$700,"&gt;0")),"🧩 لغز","🐶 كلب"))))</f>
        <v>بيانات غير كافية</v>
      </c>
      <c r="G99" s="49" t="n">
        <v>0</v>
      </c>
      <c r="H99" s="11" t="str">
        <f aca="false">IF(OR(NOT(INDEX('تحليل التكلفة والسعر'!$C$2:$C$700,MATCH("فطيرة مشروم صيامي مخصوص",'تحليل التكلفة والسعر'!$B$2:$B$700,0))&gt;0),$G99=0),"بيانات غير كافية",IF(AND($G99&gt;=AVERAGEIFS($G$5:$G$175,$A$5:$A$175,$A99,$G$5:$G$175,"&gt;0"),INDEX('تحليل التكلفة والسعر'!$H$2:$H$700,MATCH("فطيرة مشروم صيامي مخصوص",'تحليل التكلفة والسعر'!$B$2:$B$700,0))&gt;=AVERAGEIFS('تحليل التكلفة والسعر'!$H$2:$H$700,'تحليل التكلفة والسعر'!$A$2:$A$700,$A99,'تحليل التكلفة والسعر'!$C$2:$C$700,"&gt;0")),"⭐ نجم",IF(AND($G99&gt;=AVERAGEIFS($G$5:$G$175,$A$5:$A$175,$A99,$G$5:$G$175,"&gt;0"),INDEX('تحليل التكلفة والسعر'!$H$2:$H$700,MATCH("فطيرة مشروم صيامي مخصوص",'تحليل التكلفة والسعر'!$B$2:$B$700,0))&lt;AVERAGEIFS('تحليل التكلفة والسعر'!$H$2:$H$700,'تحليل التكلفة والسعر'!$A$2:$A$700,$A99,'تحليل التكلفة والسعر'!$C$2:$C$700,"&gt;0")),"🐎 حصان عمل",IF(AND($G99&lt;AVERAGEIFS($G$5:$G$175,$A$5:$A$175,$A99,$G$5:$G$175,"&gt;0"),INDEX('تحليل التكلفة والسعر'!$H$2:$H$700,MATCH("فطيرة مشروم صيامي مخصوص",'تحليل التكلفة والسعر'!$B$2:$B$700,0))&gt;=AVERAGEIFS('تحليل التكلفة والسعر'!$H$2:$H$700,'تحليل التكلفة والسعر'!$A$2:$A$700,$A99,'تحليل التكلفة والسعر'!$C$2:$C$700,"&gt;0")),"🧩 لغز","🐶 كلب"))))</f>
        <v>بيانات غير كافية</v>
      </c>
    </row>
    <row r="100" customFormat="false" ht="26.25" hidden="false" customHeight="true" outlineLevel="0" collapsed="false">
      <c r="A100" s="11" t="s">
        <v>17</v>
      </c>
      <c r="B100" s="11" t="s">
        <v>521</v>
      </c>
      <c r="C100" s="13" t="n">
        <f aca="false">IFERROR(INDEX('تحليل التكلفة والسعر'!$D$2:$D$700,MATCH("فطيرة سوسيس صيامي وسط",'تحليل التكلفة والسعر'!$B$2:$B$700,0)),"")</f>
        <v>120</v>
      </c>
      <c r="D100" s="12" t="n">
        <f aca="false">IFERROR(INDEX('تحليل التكلفة والسعر'!$I$2:$I$700,MATCH("فطيرة سوسيس صيامي وسط",'تحليل التكلفة والسعر'!$B$2:$B$700,0)),"")</f>
        <v>0.494743333333333</v>
      </c>
      <c r="E100" s="49" t="n">
        <v>0</v>
      </c>
      <c r="F100" s="11" t="str">
        <f aca="false">IF(OR(NOT(INDEX('تحليل التكلفة والسعر'!$C$2:$C$700,MATCH("فطيرة سوسيس صيامي وسط",'تحليل التكلفة والسعر'!$B$2:$B$700,0))&gt;0),$E100=0),"بيانات غير كافية",IF(AND($E100&gt;=AVERAGEIFS($E$5:$E$175,$A$5:$A$175,$A100,$E$5:$E$175,"&gt;0"),INDEX('تحليل التكلفة والسعر'!$H$2:$H$700,MATCH("فطيرة سوسيس صيامي وسط",'تحليل التكلفة والسعر'!$B$2:$B$700,0))&gt;=AVERAGEIFS('تحليل التكلفة والسعر'!$H$2:$H$700,'تحليل التكلفة والسعر'!$A$2:$A$700,$A100,'تحليل التكلفة والسعر'!$C$2:$C$700,"&gt;0")),"⭐ نجم",IF(AND($E100&gt;=AVERAGEIFS($E$5:$E$175,$A$5:$A$175,$A100,$E$5:$E$175,"&gt;0"),INDEX('تحليل التكلفة والسعر'!$H$2:$H$700,MATCH("فطيرة سوسيس صيامي وسط",'تحليل التكلفة والسعر'!$B$2:$B$700,0))&lt;AVERAGEIFS('تحليل التكلفة والسعر'!$H$2:$H$700,'تحليل التكلفة والسعر'!$A$2:$A$700,$A100,'تحليل التكلفة والسعر'!$C$2:$C$700,"&gt;0")),"🐎 حصان عمل",IF(AND($E100&lt;AVERAGEIFS($E$5:$E$175,$A$5:$A$175,$A100,$E$5:$E$175,"&gt;0"),INDEX('تحليل التكلفة والسعر'!$H$2:$H$700,MATCH("فطيرة سوسيس صيامي وسط",'تحليل التكلفة والسعر'!$B$2:$B$700,0))&gt;=AVERAGEIFS('تحليل التكلفة والسعر'!$H$2:$H$700,'تحليل التكلفة والسعر'!$A$2:$A$700,$A100,'تحليل التكلفة والسعر'!$C$2:$C$700,"&gt;0")),"🧩 لغز","🐶 كلب"))))</f>
        <v>بيانات غير كافية</v>
      </c>
      <c r="G100" s="49" t="n">
        <v>0</v>
      </c>
      <c r="H100" s="11" t="str">
        <f aca="false">IF(OR(NOT(INDEX('تحليل التكلفة والسعر'!$C$2:$C$700,MATCH("فطيرة سوسيس صيامي وسط",'تحليل التكلفة والسعر'!$B$2:$B$700,0))&gt;0),$G100=0),"بيانات غير كافية",IF(AND($G100&gt;=AVERAGEIFS($G$5:$G$175,$A$5:$A$175,$A100,$G$5:$G$175,"&gt;0"),INDEX('تحليل التكلفة والسعر'!$H$2:$H$700,MATCH("فطيرة سوسيس صيامي وسط",'تحليل التكلفة والسعر'!$B$2:$B$700,0))&gt;=AVERAGEIFS('تحليل التكلفة والسعر'!$H$2:$H$700,'تحليل التكلفة والسعر'!$A$2:$A$700,$A100,'تحليل التكلفة والسعر'!$C$2:$C$700,"&gt;0")),"⭐ نجم",IF(AND($G100&gt;=AVERAGEIFS($G$5:$G$175,$A$5:$A$175,$A100,$G$5:$G$175,"&gt;0"),INDEX('تحليل التكلفة والسعر'!$H$2:$H$700,MATCH("فطيرة سوسيس صيامي وسط",'تحليل التكلفة والسعر'!$B$2:$B$700,0))&lt;AVERAGEIFS('تحليل التكلفة والسعر'!$H$2:$H$700,'تحليل التكلفة والسعر'!$A$2:$A$700,$A100,'تحليل التكلفة والسعر'!$C$2:$C$700,"&gt;0")),"🐎 حصان عمل",IF(AND($G100&lt;AVERAGEIFS($G$5:$G$175,$A$5:$A$175,$A100,$G$5:$G$175,"&gt;0"),INDEX('تحليل التكلفة والسعر'!$H$2:$H$700,MATCH("فطيرة سوسيس صيامي وسط",'تحليل التكلفة والسعر'!$B$2:$B$700,0))&gt;=AVERAGEIFS('تحليل التكلفة والسعر'!$H$2:$H$700,'تحليل التكلفة والسعر'!$A$2:$A$700,$A100,'تحليل التكلفة والسعر'!$C$2:$C$700,"&gt;0")),"🧩 لغز","🐶 كلب"))))</f>
        <v>بيانات غير كافية</v>
      </c>
    </row>
    <row r="101" customFormat="false" ht="26.25" hidden="false" customHeight="true" outlineLevel="0" collapsed="false">
      <c r="A101" s="11" t="s">
        <v>17</v>
      </c>
      <c r="B101" s="11" t="s">
        <v>498</v>
      </c>
      <c r="C101" s="13" t="n">
        <f aca="false">IFERROR(INDEX('تحليل التكلفة والسعر'!$D$2:$D$700,MATCH("فطيرة سوسيس صيامي مخصوص",'تحليل التكلفة والسعر'!$B$2:$B$700,0)),"")</f>
        <v>190</v>
      </c>
      <c r="D101" s="12" t="n">
        <f aca="false">IFERROR(INDEX('تحليل التكلفة والسعر'!$I$2:$I$700,MATCH("فطيرة سوسيس صيامي مخصوص",'تحليل التكلفة والسعر'!$B$2:$B$700,0)),"")</f>
        <v>0.546489473684211</v>
      </c>
      <c r="E101" s="49" t="n">
        <v>0</v>
      </c>
      <c r="F101" s="11" t="str">
        <f aca="false">IF(OR(NOT(INDEX('تحليل التكلفة والسعر'!$C$2:$C$700,MATCH("فطيرة سوسيس صيامي مخصوص",'تحليل التكلفة والسعر'!$B$2:$B$700,0))&gt;0),$E101=0),"بيانات غير كافية",IF(AND($E101&gt;=AVERAGEIFS($E$5:$E$175,$A$5:$A$175,$A101,$E$5:$E$175,"&gt;0"),INDEX('تحليل التكلفة والسعر'!$H$2:$H$700,MATCH("فطيرة سوسيس صيامي مخصوص",'تحليل التكلفة والسعر'!$B$2:$B$700,0))&gt;=AVERAGEIFS('تحليل التكلفة والسعر'!$H$2:$H$700,'تحليل التكلفة والسعر'!$A$2:$A$700,$A101,'تحليل التكلفة والسعر'!$C$2:$C$700,"&gt;0")),"⭐ نجم",IF(AND($E101&gt;=AVERAGEIFS($E$5:$E$175,$A$5:$A$175,$A101,$E$5:$E$175,"&gt;0"),INDEX('تحليل التكلفة والسعر'!$H$2:$H$700,MATCH("فطيرة سوسيس صيامي مخصوص",'تحليل التكلفة والسعر'!$B$2:$B$700,0))&lt;AVERAGEIFS('تحليل التكلفة والسعر'!$H$2:$H$700,'تحليل التكلفة والسعر'!$A$2:$A$700,$A101,'تحليل التكلفة والسعر'!$C$2:$C$700,"&gt;0")),"🐎 حصان عمل",IF(AND($E101&lt;AVERAGEIFS($E$5:$E$175,$A$5:$A$175,$A101,$E$5:$E$175,"&gt;0"),INDEX('تحليل التكلفة والسعر'!$H$2:$H$700,MATCH("فطيرة سوسيس صيامي مخصوص",'تحليل التكلفة والسعر'!$B$2:$B$700,0))&gt;=AVERAGEIFS('تحليل التكلفة والسعر'!$H$2:$H$700,'تحليل التكلفة والسعر'!$A$2:$A$700,$A101,'تحليل التكلفة والسعر'!$C$2:$C$700,"&gt;0")),"🧩 لغز","🐶 كلب"))))</f>
        <v>بيانات غير كافية</v>
      </c>
      <c r="G101" s="49" t="n">
        <v>0</v>
      </c>
      <c r="H101" s="11" t="str">
        <f aca="false">IF(OR(NOT(INDEX('تحليل التكلفة والسعر'!$C$2:$C$700,MATCH("فطيرة سوسيس صيامي مخصوص",'تحليل التكلفة والسعر'!$B$2:$B$700,0))&gt;0),$G101=0),"بيانات غير كافية",IF(AND($G101&gt;=AVERAGEIFS($G$5:$G$175,$A$5:$A$175,$A101,$G$5:$G$175,"&gt;0"),INDEX('تحليل التكلفة والسعر'!$H$2:$H$700,MATCH("فطيرة سوسيس صيامي مخصوص",'تحليل التكلفة والسعر'!$B$2:$B$700,0))&gt;=AVERAGEIFS('تحليل التكلفة والسعر'!$H$2:$H$700,'تحليل التكلفة والسعر'!$A$2:$A$700,$A101,'تحليل التكلفة والسعر'!$C$2:$C$700,"&gt;0")),"⭐ نجم",IF(AND($G101&gt;=AVERAGEIFS($G$5:$G$175,$A$5:$A$175,$A101,$G$5:$G$175,"&gt;0"),INDEX('تحليل التكلفة والسعر'!$H$2:$H$700,MATCH("فطيرة سوسيس صيامي مخصوص",'تحليل التكلفة والسعر'!$B$2:$B$700,0))&lt;AVERAGEIFS('تحليل التكلفة والسعر'!$H$2:$H$700,'تحليل التكلفة والسعر'!$A$2:$A$700,$A101,'تحليل التكلفة والسعر'!$C$2:$C$700,"&gt;0")),"🐎 حصان عمل",IF(AND($G101&lt;AVERAGEIFS($G$5:$G$175,$A$5:$A$175,$A101,$G$5:$G$175,"&gt;0"),INDEX('تحليل التكلفة والسعر'!$H$2:$H$700,MATCH("فطيرة سوسيس صيامي مخصوص",'تحليل التكلفة والسعر'!$B$2:$B$700,0))&gt;=AVERAGEIFS('تحليل التكلفة والسعر'!$H$2:$H$700,'تحليل التكلفة والسعر'!$A$2:$A$700,$A101,'تحليل التكلفة والسعر'!$C$2:$C$700,"&gt;0")),"🧩 لغز","🐶 كلب"))))</f>
        <v>بيانات غير كافية</v>
      </c>
    </row>
    <row r="102" customFormat="false" ht="26.25" hidden="false" customHeight="true" outlineLevel="0" collapsed="false">
      <c r="A102" s="11" t="s">
        <v>17</v>
      </c>
      <c r="B102" s="11" t="s">
        <v>510</v>
      </c>
      <c r="C102" s="13" t="n">
        <f aca="false">IFERROR(INDEX('تحليل التكلفة والسعر'!$D$2:$D$700,MATCH("فطيرة شاورما لحم / فراخ صيامي وسط",'تحليل التكلفة والسعر'!$B$2:$B$700,0)),"")</f>
        <v>130</v>
      </c>
      <c r="D102" s="12" t="n">
        <f aca="false">IFERROR(INDEX('تحليل التكلفة والسعر'!$I$2:$I$700,MATCH("فطيرة شاورما لحم / فراخ صيامي وسط",'تحليل التكلفة والسعر'!$B$2:$B$700,0)),"")</f>
        <v>0.500610769230769</v>
      </c>
      <c r="E102" s="49" t="n">
        <v>0</v>
      </c>
      <c r="F102" s="11" t="str">
        <f aca="false">IF(OR(NOT(INDEX('تحليل التكلفة والسعر'!$C$2:$C$700,MATCH("فطيرة شاورما لحم / فراخ صيامي وسط",'تحليل التكلفة والسعر'!$B$2:$B$700,0))&gt;0),$E102=0),"بيانات غير كافية",IF(AND($E102&gt;=AVERAGEIFS($E$5:$E$175,$A$5:$A$175,$A102,$E$5:$E$175,"&gt;0"),INDEX('تحليل التكلفة والسعر'!$H$2:$H$700,MATCH("فطيرة شاورما لحم / فراخ صيامي وسط",'تحليل التكلفة والسعر'!$B$2:$B$700,0))&gt;=AVERAGEIFS('تحليل التكلفة والسعر'!$H$2:$H$700,'تحليل التكلفة والسعر'!$A$2:$A$700,$A102,'تحليل التكلفة والسعر'!$C$2:$C$700,"&gt;0")),"⭐ نجم",IF(AND($E102&gt;=AVERAGEIFS($E$5:$E$175,$A$5:$A$175,$A102,$E$5:$E$175,"&gt;0"),INDEX('تحليل التكلفة والسعر'!$H$2:$H$700,MATCH("فطيرة شاورما لحم / فراخ صيامي وسط",'تحليل التكلفة والسعر'!$B$2:$B$700,0))&lt;AVERAGEIFS('تحليل التكلفة والسعر'!$H$2:$H$700,'تحليل التكلفة والسعر'!$A$2:$A$700,$A102,'تحليل التكلفة والسعر'!$C$2:$C$700,"&gt;0")),"🐎 حصان عمل",IF(AND($E102&lt;AVERAGEIFS($E$5:$E$175,$A$5:$A$175,$A102,$E$5:$E$175,"&gt;0"),INDEX('تحليل التكلفة والسعر'!$H$2:$H$700,MATCH("فطيرة شاورما لحم / فراخ صيامي وسط",'تحليل التكلفة والسعر'!$B$2:$B$700,0))&gt;=AVERAGEIFS('تحليل التكلفة والسعر'!$H$2:$H$700,'تحليل التكلفة والسعر'!$A$2:$A$700,$A102,'تحليل التكلفة والسعر'!$C$2:$C$700,"&gt;0")),"🧩 لغز","🐶 كلب"))))</f>
        <v>بيانات غير كافية</v>
      </c>
      <c r="G102" s="49" t="n">
        <v>0</v>
      </c>
      <c r="H102" s="11" t="str">
        <f aca="false">IF(OR(NOT(INDEX('تحليل التكلفة والسعر'!$C$2:$C$700,MATCH("فطيرة شاورما لحم / فراخ صيامي وسط",'تحليل التكلفة والسعر'!$B$2:$B$700,0))&gt;0),$G102=0),"بيانات غير كافية",IF(AND($G102&gt;=AVERAGEIFS($G$5:$G$175,$A$5:$A$175,$A102,$G$5:$G$175,"&gt;0"),INDEX('تحليل التكلفة والسعر'!$H$2:$H$700,MATCH("فطيرة شاورما لحم / فراخ صيامي وسط",'تحليل التكلفة والسعر'!$B$2:$B$700,0))&gt;=AVERAGEIFS('تحليل التكلفة والسعر'!$H$2:$H$700,'تحليل التكلفة والسعر'!$A$2:$A$700,$A102,'تحليل التكلفة والسعر'!$C$2:$C$700,"&gt;0")),"⭐ نجم",IF(AND($G102&gt;=AVERAGEIFS($G$5:$G$175,$A$5:$A$175,$A102,$G$5:$G$175,"&gt;0"),INDEX('تحليل التكلفة والسعر'!$H$2:$H$700,MATCH("فطيرة شاورما لحم / فراخ صيامي وسط",'تحليل التكلفة والسعر'!$B$2:$B$700,0))&lt;AVERAGEIFS('تحليل التكلفة والسعر'!$H$2:$H$700,'تحليل التكلفة والسعر'!$A$2:$A$700,$A102,'تحليل التكلفة والسعر'!$C$2:$C$700,"&gt;0")),"🐎 حصان عمل",IF(AND($G102&lt;AVERAGEIFS($G$5:$G$175,$A$5:$A$175,$A102,$G$5:$G$175,"&gt;0"),INDEX('تحليل التكلفة والسعر'!$H$2:$H$700,MATCH("فطيرة شاورما لحم / فراخ صيامي وسط",'تحليل التكلفة والسعر'!$B$2:$B$700,0))&gt;=AVERAGEIFS('تحليل التكلفة والسعر'!$H$2:$H$700,'تحليل التكلفة والسعر'!$A$2:$A$700,$A102,'تحليل التكلفة والسعر'!$C$2:$C$700,"&gt;0")),"🧩 لغز","🐶 كلب"))))</f>
        <v>بيانات غير كافية</v>
      </c>
    </row>
    <row r="103" customFormat="false" ht="26.25" hidden="false" customHeight="true" outlineLevel="0" collapsed="false">
      <c r="A103" s="11" t="s">
        <v>17</v>
      </c>
      <c r="B103" s="11" t="s">
        <v>491</v>
      </c>
      <c r="C103" s="13" t="n">
        <f aca="false">IFERROR(INDEX('تحليل التكلفة والسعر'!$D$2:$D$700,MATCH("فطيرة شاورما لحم / فراخ صيامي مخصوص",'تحليل التكلفة والسعر'!$B$2:$B$700,0)),"")</f>
        <v>200</v>
      </c>
      <c r="D103" s="12" t="n">
        <f aca="false">IFERROR(INDEX('تحليل التكلفة والسعر'!$I$2:$I$700,MATCH("فطيرة شاورما لحم / فراخ صيامي مخصوص",'تحليل التكلفة والسعر'!$B$2:$B$700,0)),"")</f>
        <v>0.5369915</v>
      </c>
      <c r="E103" s="49" t="n">
        <v>0</v>
      </c>
      <c r="F103" s="11" t="str">
        <f aca="false">IF(OR(NOT(INDEX('تحليل التكلفة والسعر'!$C$2:$C$700,MATCH("فطيرة شاورما لحم / فراخ صيامي مخصوص",'تحليل التكلفة والسعر'!$B$2:$B$700,0))&gt;0),$E103=0),"بيانات غير كافية",IF(AND($E103&gt;=AVERAGEIFS($E$5:$E$175,$A$5:$A$175,$A103,$E$5:$E$175,"&gt;0"),INDEX('تحليل التكلفة والسعر'!$H$2:$H$700,MATCH("فطيرة شاورما لحم / فراخ صيامي مخصوص",'تحليل التكلفة والسعر'!$B$2:$B$700,0))&gt;=AVERAGEIFS('تحليل التكلفة والسعر'!$H$2:$H$700,'تحليل التكلفة والسعر'!$A$2:$A$700,$A103,'تحليل التكلفة والسعر'!$C$2:$C$700,"&gt;0")),"⭐ نجم",IF(AND($E103&gt;=AVERAGEIFS($E$5:$E$175,$A$5:$A$175,$A103,$E$5:$E$175,"&gt;0"),INDEX('تحليل التكلفة والسعر'!$H$2:$H$700,MATCH("فطيرة شاورما لحم / فراخ صيامي مخصوص",'تحليل التكلفة والسعر'!$B$2:$B$700,0))&lt;AVERAGEIFS('تحليل التكلفة والسعر'!$H$2:$H$700,'تحليل التكلفة والسعر'!$A$2:$A$700,$A103,'تحليل التكلفة والسعر'!$C$2:$C$700,"&gt;0")),"🐎 حصان عمل",IF(AND($E103&lt;AVERAGEIFS($E$5:$E$175,$A$5:$A$175,$A103,$E$5:$E$175,"&gt;0"),INDEX('تحليل التكلفة والسعر'!$H$2:$H$700,MATCH("فطيرة شاورما لحم / فراخ صيامي مخصوص",'تحليل التكلفة والسعر'!$B$2:$B$700,0))&gt;=AVERAGEIFS('تحليل التكلفة والسعر'!$H$2:$H$700,'تحليل التكلفة والسعر'!$A$2:$A$700,$A103,'تحليل التكلفة والسعر'!$C$2:$C$700,"&gt;0")),"🧩 لغز","🐶 كلب"))))</f>
        <v>بيانات غير كافية</v>
      </c>
      <c r="G103" s="49" t="n">
        <v>0</v>
      </c>
      <c r="H103" s="11" t="str">
        <f aca="false">IF(OR(NOT(INDEX('تحليل التكلفة والسعر'!$C$2:$C$700,MATCH("فطيرة شاورما لحم / فراخ صيامي مخصوص",'تحليل التكلفة والسعر'!$B$2:$B$700,0))&gt;0),$G103=0),"بيانات غير كافية",IF(AND($G103&gt;=AVERAGEIFS($G$5:$G$175,$A$5:$A$175,$A103,$G$5:$G$175,"&gt;0"),INDEX('تحليل التكلفة والسعر'!$H$2:$H$700,MATCH("فطيرة شاورما لحم / فراخ صيامي مخصوص",'تحليل التكلفة والسعر'!$B$2:$B$700,0))&gt;=AVERAGEIFS('تحليل التكلفة والسعر'!$H$2:$H$700,'تحليل التكلفة والسعر'!$A$2:$A$700,$A103,'تحليل التكلفة والسعر'!$C$2:$C$700,"&gt;0")),"⭐ نجم",IF(AND($G103&gt;=AVERAGEIFS($G$5:$G$175,$A$5:$A$175,$A103,$G$5:$G$175,"&gt;0"),INDEX('تحليل التكلفة والسعر'!$H$2:$H$700,MATCH("فطيرة شاورما لحم / فراخ صيامي مخصوص",'تحليل التكلفة والسعر'!$B$2:$B$700,0))&lt;AVERAGEIFS('تحليل التكلفة والسعر'!$H$2:$H$700,'تحليل التكلفة والسعر'!$A$2:$A$700,$A103,'تحليل التكلفة والسعر'!$C$2:$C$700,"&gt;0")),"🐎 حصان عمل",IF(AND($G103&lt;AVERAGEIFS($G$5:$G$175,$A$5:$A$175,$A103,$G$5:$G$175,"&gt;0"),INDEX('تحليل التكلفة والسعر'!$H$2:$H$700,MATCH("فطيرة شاورما لحم / فراخ صيامي مخصوص",'تحليل التكلفة والسعر'!$B$2:$B$700,0))&gt;=AVERAGEIFS('تحليل التكلفة والسعر'!$H$2:$H$700,'تحليل التكلفة والسعر'!$A$2:$A$700,$A103,'تحليل التكلفة والسعر'!$C$2:$C$700,"&gt;0")),"🧩 لغز","🐶 كلب"))))</f>
        <v>بيانات غير كافية</v>
      </c>
    </row>
    <row r="104" customFormat="false" ht="26.25" hidden="false" customHeight="true" outlineLevel="0" collapsed="false">
      <c r="A104" s="11" t="s">
        <v>17</v>
      </c>
      <c r="B104" s="11" t="s">
        <v>517</v>
      </c>
      <c r="C104" s="13" t="n">
        <f aca="false">IFERROR(INDEX('تحليل التكلفة والسعر'!$D$2:$D$700,MATCH("فطيرة مشكل لحوم صيامي وسط",'تحليل التكلفة والسعر'!$B$2:$B$700,0)),"")</f>
        <v>160</v>
      </c>
      <c r="D104" s="12" t="n">
        <f aca="false">IFERROR(INDEX('تحليل التكلفة والسعر'!$I$2:$I$700,MATCH("فطيرة مشكل لحوم صيامي وسط",'تحليل التكلفة والسعر'!$B$2:$B$700,0)),"")</f>
        <v>0.607651875</v>
      </c>
      <c r="E104" s="49" t="n">
        <v>0</v>
      </c>
      <c r="F104" s="11" t="str">
        <f aca="false">IF(OR(NOT(INDEX('تحليل التكلفة والسعر'!$C$2:$C$700,MATCH("فطيرة مشكل لحوم صيامي وسط",'تحليل التكلفة والسعر'!$B$2:$B$700,0))&gt;0),$E104=0),"بيانات غير كافية",IF(AND($E104&gt;=AVERAGEIFS($E$5:$E$175,$A$5:$A$175,$A104,$E$5:$E$175,"&gt;0"),INDEX('تحليل التكلفة والسعر'!$H$2:$H$700,MATCH("فطيرة مشكل لحوم صيامي وسط",'تحليل التكلفة والسعر'!$B$2:$B$700,0))&gt;=AVERAGEIFS('تحليل التكلفة والسعر'!$H$2:$H$700,'تحليل التكلفة والسعر'!$A$2:$A$700,$A104,'تحليل التكلفة والسعر'!$C$2:$C$700,"&gt;0")),"⭐ نجم",IF(AND($E104&gt;=AVERAGEIFS($E$5:$E$175,$A$5:$A$175,$A104,$E$5:$E$175,"&gt;0"),INDEX('تحليل التكلفة والسعر'!$H$2:$H$700,MATCH("فطيرة مشكل لحوم صيامي وسط",'تحليل التكلفة والسعر'!$B$2:$B$700,0))&lt;AVERAGEIFS('تحليل التكلفة والسعر'!$H$2:$H$700,'تحليل التكلفة والسعر'!$A$2:$A$700,$A104,'تحليل التكلفة والسعر'!$C$2:$C$700,"&gt;0")),"🐎 حصان عمل",IF(AND($E104&lt;AVERAGEIFS($E$5:$E$175,$A$5:$A$175,$A104,$E$5:$E$175,"&gt;0"),INDEX('تحليل التكلفة والسعر'!$H$2:$H$700,MATCH("فطيرة مشكل لحوم صيامي وسط",'تحليل التكلفة والسعر'!$B$2:$B$700,0))&gt;=AVERAGEIFS('تحليل التكلفة والسعر'!$H$2:$H$700,'تحليل التكلفة والسعر'!$A$2:$A$700,$A104,'تحليل التكلفة والسعر'!$C$2:$C$700,"&gt;0")),"🧩 لغز","🐶 كلب"))))</f>
        <v>بيانات غير كافية</v>
      </c>
      <c r="G104" s="49" t="n">
        <v>0</v>
      </c>
      <c r="H104" s="11" t="str">
        <f aca="false">IF(OR(NOT(INDEX('تحليل التكلفة والسعر'!$C$2:$C$700,MATCH("فطيرة مشكل لحوم صيامي وسط",'تحليل التكلفة والسعر'!$B$2:$B$700,0))&gt;0),$G104=0),"بيانات غير كافية",IF(AND($G104&gt;=AVERAGEIFS($G$5:$G$175,$A$5:$A$175,$A104,$G$5:$G$175,"&gt;0"),INDEX('تحليل التكلفة والسعر'!$H$2:$H$700,MATCH("فطيرة مشكل لحوم صيامي وسط",'تحليل التكلفة والسعر'!$B$2:$B$700,0))&gt;=AVERAGEIFS('تحليل التكلفة والسعر'!$H$2:$H$700,'تحليل التكلفة والسعر'!$A$2:$A$700,$A104,'تحليل التكلفة والسعر'!$C$2:$C$700,"&gt;0")),"⭐ نجم",IF(AND($G104&gt;=AVERAGEIFS($G$5:$G$175,$A$5:$A$175,$A104,$G$5:$G$175,"&gt;0"),INDEX('تحليل التكلفة والسعر'!$H$2:$H$700,MATCH("فطيرة مشكل لحوم صيامي وسط",'تحليل التكلفة والسعر'!$B$2:$B$700,0))&lt;AVERAGEIFS('تحليل التكلفة والسعر'!$H$2:$H$700,'تحليل التكلفة والسعر'!$A$2:$A$700,$A104,'تحليل التكلفة والسعر'!$C$2:$C$700,"&gt;0")),"🐎 حصان عمل",IF(AND($G104&lt;AVERAGEIFS($G$5:$G$175,$A$5:$A$175,$A104,$G$5:$G$175,"&gt;0"),INDEX('تحليل التكلفة والسعر'!$H$2:$H$700,MATCH("فطيرة مشكل لحوم صيامي وسط",'تحليل التكلفة والسعر'!$B$2:$B$700,0))&gt;=AVERAGEIFS('تحليل التكلفة والسعر'!$H$2:$H$700,'تحليل التكلفة والسعر'!$A$2:$A$700,$A104,'تحليل التكلفة والسعر'!$C$2:$C$700,"&gt;0")),"🧩 لغز","🐶 كلب"))))</f>
        <v>بيانات غير كافية</v>
      </c>
    </row>
    <row r="105" customFormat="false" ht="26.25" hidden="false" customHeight="true" outlineLevel="0" collapsed="false">
      <c r="A105" s="11" t="s">
        <v>17</v>
      </c>
      <c r="B105" s="11" t="s">
        <v>493</v>
      </c>
      <c r="C105" s="13" t="n">
        <f aca="false">IFERROR(INDEX('تحليل التكلفة والسعر'!$D$2:$D$700,MATCH("فطيرة مشكل لحوم صيامي مخصوص",'تحليل التكلفة والسعر'!$B$2:$B$700,0)),"")</f>
        <v>220</v>
      </c>
      <c r="D105" s="12" t="n">
        <f aca="false">IFERROR(INDEX('تحليل التكلفة والسعر'!$I$2:$I$700,MATCH("فطيرة مشكل لحوم صيامي مخصوص",'تحليل التكلفة والسعر'!$B$2:$B$700,0)),"")</f>
        <v>0.5937075</v>
      </c>
      <c r="E105" s="49" t="n">
        <v>0</v>
      </c>
      <c r="F105" s="11" t="str">
        <f aca="false">IF(OR(NOT(INDEX('تحليل التكلفة والسعر'!$C$2:$C$700,MATCH("فطيرة مشكل لحوم صيامي مخصوص",'تحليل التكلفة والسعر'!$B$2:$B$700,0))&gt;0),$E105=0),"بيانات غير كافية",IF(AND($E105&gt;=AVERAGEIFS($E$5:$E$175,$A$5:$A$175,$A105,$E$5:$E$175,"&gt;0"),INDEX('تحليل التكلفة والسعر'!$H$2:$H$700,MATCH("فطيرة مشكل لحوم صيامي مخصوص",'تحليل التكلفة والسعر'!$B$2:$B$700,0))&gt;=AVERAGEIFS('تحليل التكلفة والسعر'!$H$2:$H$700,'تحليل التكلفة والسعر'!$A$2:$A$700,$A105,'تحليل التكلفة والسعر'!$C$2:$C$700,"&gt;0")),"⭐ نجم",IF(AND($E105&gt;=AVERAGEIFS($E$5:$E$175,$A$5:$A$175,$A105,$E$5:$E$175,"&gt;0"),INDEX('تحليل التكلفة والسعر'!$H$2:$H$700,MATCH("فطيرة مشكل لحوم صيامي مخصوص",'تحليل التكلفة والسعر'!$B$2:$B$700,0))&lt;AVERAGEIFS('تحليل التكلفة والسعر'!$H$2:$H$700,'تحليل التكلفة والسعر'!$A$2:$A$700,$A105,'تحليل التكلفة والسعر'!$C$2:$C$700,"&gt;0")),"🐎 حصان عمل",IF(AND($E105&lt;AVERAGEIFS($E$5:$E$175,$A$5:$A$175,$A105,$E$5:$E$175,"&gt;0"),INDEX('تحليل التكلفة والسعر'!$H$2:$H$700,MATCH("فطيرة مشكل لحوم صيامي مخصوص",'تحليل التكلفة والسعر'!$B$2:$B$700,0))&gt;=AVERAGEIFS('تحليل التكلفة والسعر'!$H$2:$H$700,'تحليل التكلفة والسعر'!$A$2:$A$700,$A105,'تحليل التكلفة والسعر'!$C$2:$C$700,"&gt;0")),"🧩 لغز","🐶 كلب"))))</f>
        <v>بيانات غير كافية</v>
      </c>
      <c r="G105" s="49" t="n">
        <v>0</v>
      </c>
      <c r="H105" s="11" t="str">
        <f aca="false">IF(OR(NOT(INDEX('تحليل التكلفة والسعر'!$C$2:$C$700,MATCH("فطيرة مشكل لحوم صيامي مخصوص",'تحليل التكلفة والسعر'!$B$2:$B$700,0))&gt;0),$G105=0),"بيانات غير كافية",IF(AND($G105&gt;=AVERAGEIFS($G$5:$G$175,$A$5:$A$175,$A105,$G$5:$G$175,"&gt;0"),INDEX('تحليل التكلفة والسعر'!$H$2:$H$700,MATCH("فطيرة مشكل لحوم صيامي مخصوص",'تحليل التكلفة والسعر'!$B$2:$B$700,0))&gt;=AVERAGEIFS('تحليل التكلفة والسعر'!$H$2:$H$700,'تحليل التكلفة والسعر'!$A$2:$A$700,$A105,'تحليل التكلفة والسعر'!$C$2:$C$700,"&gt;0")),"⭐ نجم",IF(AND($G105&gt;=AVERAGEIFS($G$5:$G$175,$A$5:$A$175,$A105,$G$5:$G$175,"&gt;0"),INDEX('تحليل التكلفة والسعر'!$H$2:$H$700,MATCH("فطيرة مشكل لحوم صيامي مخصوص",'تحليل التكلفة والسعر'!$B$2:$B$700,0))&lt;AVERAGEIFS('تحليل التكلفة والسعر'!$H$2:$H$700,'تحليل التكلفة والسعر'!$A$2:$A$700,$A105,'تحليل التكلفة والسعر'!$C$2:$C$700,"&gt;0")),"🐎 حصان عمل",IF(AND($G105&lt;AVERAGEIFS($G$5:$G$175,$A$5:$A$175,$A105,$G$5:$G$175,"&gt;0"),INDEX('تحليل التكلفة والسعر'!$H$2:$H$700,MATCH("فطيرة مشكل لحوم صيامي مخصوص",'تحليل التكلفة والسعر'!$B$2:$B$700,0))&gt;=AVERAGEIFS('تحليل التكلفة والسعر'!$H$2:$H$700,'تحليل التكلفة والسعر'!$A$2:$A$700,$A105,'تحليل التكلفة والسعر'!$C$2:$C$700,"&gt;0")),"🧩 لغز","🐶 كلب"))))</f>
        <v>بيانات غير كافية</v>
      </c>
    </row>
    <row r="106" customFormat="false" ht="26.25" hidden="false" customHeight="true" outlineLevel="0" collapsed="false">
      <c r="A106" s="11" t="s">
        <v>17</v>
      </c>
      <c r="B106" s="11" t="s">
        <v>516</v>
      </c>
      <c r="C106" s="13" t="n">
        <f aca="false">IFERROR(INDEX('تحليل التكلفة والسعر'!$D$2:$D$700,MATCH("فطيرة مشكل جبن صيامي وسط",'تحليل التكلفة والسعر'!$B$2:$B$700,0)),"")</f>
        <v>130</v>
      </c>
      <c r="D106" s="12" t="n">
        <f aca="false">IFERROR(INDEX('تحليل التكلفة والسعر'!$I$2:$I$700,MATCH("فطيرة مشكل جبن صيامي وسط",'تحليل التكلفة والسعر'!$B$2:$B$700,0)),"")</f>
        <v>0.655935384615385</v>
      </c>
      <c r="E106" s="49" t="n">
        <v>0</v>
      </c>
      <c r="F106" s="11" t="str">
        <f aca="false">IF(OR(NOT(INDEX('تحليل التكلفة والسعر'!$C$2:$C$700,MATCH("فطيرة مشكل جبن صيامي وسط",'تحليل التكلفة والسعر'!$B$2:$B$700,0))&gt;0),$E106=0),"بيانات غير كافية",IF(AND($E106&gt;=AVERAGEIFS($E$5:$E$175,$A$5:$A$175,$A106,$E$5:$E$175,"&gt;0"),INDEX('تحليل التكلفة والسعر'!$H$2:$H$700,MATCH("فطيرة مشكل جبن صيامي وسط",'تحليل التكلفة والسعر'!$B$2:$B$700,0))&gt;=AVERAGEIFS('تحليل التكلفة والسعر'!$H$2:$H$700,'تحليل التكلفة والسعر'!$A$2:$A$700,$A106,'تحليل التكلفة والسعر'!$C$2:$C$700,"&gt;0")),"⭐ نجم",IF(AND($E106&gt;=AVERAGEIFS($E$5:$E$175,$A$5:$A$175,$A106,$E$5:$E$175,"&gt;0"),INDEX('تحليل التكلفة والسعر'!$H$2:$H$700,MATCH("فطيرة مشكل جبن صيامي وسط",'تحليل التكلفة والسعر'!$B$2:$B$700,0))&lt;AVERAGEIFS('تحليل التكلفة والسعر'!$H$2:$H$700,'تحليل التكلفة والسعر'!$A$2:$A$700,$A106,'تحليل التكلفة والسعر'!$C$2:$C$700,"&gt;0")),"🐎 حصان عمل",IF(AND($E106&lt;AVERAGEIFS($E$5:$E$175,$A$5:$A$175,$A106,$E$5:$E$175,"&gt;0"),INDEX('تحليل التكلفة والسعر'!$H$2:$H$700,MATCH("فطيرة مشكل جبن صيامي وسط",'تحليل التكلفة والسعر'!$B$2:$B$700,0))&gt;=AVERAGEIFS('تحليل التكلفة والسعر'!$H$2:$H$700,'تحليل التكلفة والسعر'!$A$2:$A$700,$A106,'تحليل التكلفة والسعر'!$C$2:$C$700,"&gt;0")),"🧩 لغز","🐶 كلب"))))</f>
        <v>بيانات غير كافية</v>
      </c>
      <c r="G106" s="49" t="n">
        <v>0</v>
      </c>
      <c r="H106" s="11" t="str">
        <f aca="false">IF(OR(NOT(INDEX('تحليل التكلفة والسعر'!$C$2:$C$700,MATCH("فطيرة مشكل جبن صيامي وسط",'تحليل التكلفة والسعر'!$B$2:$B$700,0))&gt;0),$G106=0),"بيانات غير كافية",IF(AND($G106&gt;=AVERAGEIFS($G$5:$G$175,$A$5:$A$175,$A106,$G$5:$G$175,"&gt;0"),INDEX('تحليل التكلفة والسعر'!$H$2:$H$700,MATCH("فطيرة مشكل جبن صيامي وسط",'تحليل التكلفة والسعر'!$B$2:$B$700,0))&gt;=AVERAGEIFS('تحليل التكلفة والسعر'!$H$2:$H$700,'تحليل التكلفة والسعر'!$A$2:$A$700,$A106,'تحليل التكلفة والسعر'!$C$2:$C$700,"&gt;0")),"⭐ نجم",IF(AND($G106&gt;=AVERAGEIFS($G$5:$G$175,$A$5:$A$175,$A106,$G$5:$G$175,"&gt;0"),INDEX('تحليل التكلفة والسعر'!$H$2:$H$700,MATCH("فطيرة مشكل جبن صيامي وسط",'تحليل التكلفة والسعر'!$B$2:$B$700,0))&lt;AVERAGEIFS('تحليل التكلفة والسعر'!$H$2:$H$700,'تحليل التكلفة والسعر'!$A$2:$A$700,$A106,'تحليل التكلفة والسعر'!$C$2:$C$700,"&gt;0")),"🐎 حصان عمل",IF(AND($G106&lt;AVERAGEIFS($G$5:$G$175,$A$5:$A$175,$A106,$G$5:$G$175,"&gt;0"),INDEX('تحليل التكلفة والسعر'!$H$2:$H$700,MATCH("فطيرة مشكل جبن صيامي وسط",'تحليل التكلفة والسعر'!$B$2:$B$700,0))&gt;=AVERAGEIFS('تحليل التكلفة والسعر'!$H$2:$H$700,'تحليل التكلفة والسعر'!$A$2:$A$700,$A106,'تحليل التكلفة والسعر'!$C$2:$C$700,"&gt;0")),"🧩 لغز","🐶 كلب"))))</f>
        <v>بيانات غير كافية</v>
      </c>
    </row>
    <row r="107" customFormat="false" ht="26.25" hidden="false" customHeight="true" outlineLevel="0" collapsed="false">
      <c r="A107" s="11" t="s">
        <v>17</v>
      </c>
      <c r="B107" s="11" t="s">
        <v>485</v>
      </c>
      <c r="C107" s="13" t="n">
        <f aca="false">IFERROR(INDEX('تحليل التكلفة والسعر'!$D$2:$D$700,MATCH("فطيرة مشكل جبن صيامي مخصوص",'تحليل التكلفة والسعر'!$B$2:$B$700,0)),"")</f>
        <v>190</v>
      </c>
      <c r="D107" s="12" t="n">
        <f aca="false">IFERROR(INDEX('تحليل التكلفة والسعر'!$I$2:$I$700,MATCH("فطيرة مشكل جبن صيامي مخصوص",'تحليل التكلفة والسعر'!$B$2:$B$700,0)),"")</f>
        <v>0.672034736842105</v>
      </c>
      <c r="E107" s="49" t="n">
        <v>0</v>
      </c>
      <c r="F107" s="11" t="str">
        <f aca="false">IF(OR(NOT(INDEX('تحليل التكلفة والسعر'!$C$2:$C$700,MATCH("فطيرة مشكل جبن صيامي مخصوص",'تحليل التكلفة والسعر'!$B$2:$B$700,0))&gt;0),$E107=0),"بيانات غير كافية",IF(AND($E107&gt;=AVERAGEIFS($E$5:$E$175,$A$5:$A$175,$A107,$E$5:$E$175,"&gt;0"),INDEX('تحليل التكلفة والسعر'!$H$2:$H$700,MATCH("فطيرة مشكل جبن صيامي مخصوص",'تحليل التكلفة والسعر'!$B$2:$B$700,0))&gt;=AVERAGEIFS('تحليل التكلفة والسعر'!$H$2:$H$700,'تحليل التكلفة والسعر'!$A$2:$A$700,$A107,'تحليل التكلفة والسعر'!$C$2:$C$700,"&gt;0")),"⭐ نجم",IF(AND($E107&gt;=AVERAGEIFS($E$5:$E$175,$A$5:$A$175,$A107,$E$5:$E$175,"&gt;0"),INDEX('تحليل التكلفة والسعر'!$H$2:$H$700,MATCH("فطيرة مشكل جبن صيامي مخصوص",'تحليل التكلفة والسعر'!$B$2:$B$700,0))&lt;AVERAGEIFS('تحليل التكلفة والسعر'!$H$2:$H$700,'تحليل التكلفة والسعر'!$A$2:$A$700,$A107,'تحليل التكلفة والسعر'!$C$2:$C$700,"&gt;0")),"🐎 حصان عمل",IF(AND($E107&lt;AVERAGEIFS($E$5:$E$175,$A$5:$A$175,$A107,$E$5:$E$175,"&gt;0"),INDEX('تحليل التكلفة والسعر'!$H$2:$H$700,MATCH("فطيرة مشكل جبن صيامي مخصوص",'تحليل التكلفة والسعر'!$B$2:$B$700,0))&gt;=AVERAGEIFS('تحليل التكلفة والسعر'!$H$2:$H$700,'تحليل التكلفة والسعر'!$A$2:$A$700,$A107,'تحليل التكلفة والسعر'!$C$2:$C$700,"&gt;0")),"🧩 لغز","🐶 كلب"))))</f>
        <v>بيانات غير كافية</v>
      </c>
      <c r="G107" s="49" t="n">
        <v>0</v>
      </c>
      <c r="H107" s="11" t="str">
        <f aca="false">IF(OR(NOT(INDEX('تحليل التكلفة والسعر'!$C$2:$C$700,MATCH("فطيرة مشكل جبن صيامي مخصوص",'تحليل التكلفة والسعر'!$B$2:$B$700,0))&gt;0),$G107=0),"بيانات غير كافية",IF(AND($G107&gt;=AVERAGEIFS($G$5:$G$175,$A$5:$A$175,$A107,$G$5:$G$175,"&gt;0"),INDEX('تحليل التكلفة والسعر'!$H$2:$H$700,MATCH("فطيرة مشكل جبن صيامي مخصوص",'تحليل التكلفة والسعر'!$B$2:$B$700,0))&gt;=AVERAGEIFS('تحليل التكلفة والسعر'!$H$2:$H$700,'تحليل التكلفة والسعر'!$A$2:$A$700,$A107,'تحليل التكلفة والسعر'!$C$2:$C$700,"&gt;0")),"⭐ نجم",IF(AND($G107&gt;=AVERAGEIFS($G$5:$G$175,$A$5:$A$175,$A107,$G$5:$G$175,"&gt;0"),INDEX('تحليل التكلفة والسعر'!$H$2:$H$700,MATCH("فطيرة مشكل جبن صيامي مخصوص",'تحليل التكلفة والسعر'!$B$2:$B$700,0))&lt;AVERAGEIFS('تحليل التكلفة والسعر'!$H$2:$H$700,'تحليل التكلفة والسعر'!$A$2:$A$700,$A107,'تحليل التكلفة والسعر'!$C$2:$C$700,"&gt;0")),"🐎 حصان عمل",IF(AND($G107&lt;AVERAGEIFS($G$5:$G$175,$A$5:$A$175,$A107,$G$5:$G$175,"&gt;0"),INDEX('تحليل التكلفة والسعر'!$H$2:$H$700,MATCH("فطيرة مشكل جبن صيامي مخصوص",'تحليل التكلفة والسعر'!$B$2:$B$700,0))&gt;=AVERAGEIFS('تحليل التكلفة والسعر'!$H$2:$H$700,'تحليل التكلفة والسعر'!$A$2:$A$700,$A107,'تحليل التكلفة والسعر'!$C$2:$C$700,"&gt;0")),"🧩 لغز","🐶 كلب"))))</f>
        <v>بيانات غير كافية</v>
      </c>
    </row>
    <row r="108" customFormat="false" ht="26.25" hidden="false" customHeight="true" outlineLevel="0" collapsed="false">
      <c r="A108" s="11" t="s">
        <v>17</v>
      </c>
      <c r="B108" s="11" t="s">
        <v>419</v>
      </c>
      <c r="C108" s="13" t="n">
        <f aca="false">IFERROR(INDEX('تحليل التكلفة والسعر'!$D$2:$D$700,MATCH("فطيرة فراخ باربيكيو صيامي وسط",'تحليل التكلفة والسعر'!$B$2:$B$700,0)),"")</f>
        <v>155</v>
      </c>
      <c r="D108" s="12" t="n">
        <f aca="false">IFERROR(INDEX('تحليل التكلفة والسعر'!$I$2:$I$700,MATCH("فطيرة فراخ باربيكيو صيامي وسط",'تحليل التكلفة والسعر'!$B$2:$B$700,0)),"")</f>
        <v>0.562541290322581</v>
      </c>
      <c r="E108" s="49" t="n">
        <v>0</v>
      </c>
      <c r="F108" s="11" t="str">
        <f aca="false">IF(OR(NOT(INDEX('تحليل التكلفة والسعر'!$C$2:$C$700,MATCH("فطيرة فراخ باربيكيو صيامي وسط",'تحليل التكلفة والسعر'!$B$2:$B$700,0))&gt;0),$E108=0),"بيانات غير كافية",IF(AND($E108&gt;=AVERAGEIFS($E$5:$E$175,$A$5:$A$175,$A108,$E$5:$E$175,"&gt;0"),INDEX('تحليل التكلفة والسعر'!$H$2:$H$700,MATCH("فطيرة فراخ باربيكيو صيامي وسط",'تحليل التكلفة والسعر'!$B$2:$B$700,0))&gt;=AVERAGEIFS('تحليل التكلفة والسعر'!$H$2:$H$700,'تحليل التكلفة والسعر'!$A$2:$A$700,$A108,'تحليل التكلفة والسعر'!$C$2:$C$700,"&gt;0")),"⭐ نجم",IF(AND($E108&gt;=AVERAGEIFS($E$5:$E$175,$A$5:$A$175,$A108,$E$5:$E$175,"&gt;0"),INDEX('تحليل التكلفة والسعر'!$H$2:$H$700,MATCH("فطيرة فراخ باربيكيو صيامي وسط",'تحليل التكلفة والسعر'!$B$2:$B$700,0))&lt;AVERAGEIFS('تحليل التكلفة والسعر'!$H$2:$H$700,'تحليل التكلفة والسعر'!$A$2:$A$700,$A108,'تحليل التكلفة والسعر'!$C$2:$C$700,"&gt;0")),"🐎 حصان عمل",IF(AND($E108&lt;AVERAGEIFS($E$5:$E$175,$A$5:$A$175,$A108,$E$5:$E$175,"&gt;0"),INDEX('تحليل التكلفة والسعر'!$H$2:$H$700,MATCH("فطيرة فراخ باربيكيو صيامي وسط",'تحليل التكلفة والسعر'!$B$2:$B$700,0))&gt;=AVERAGEIFS('تحليل التكلفة والسعر'!$H$2:$H$700,'تحليل التكلفة والسعر'!$A$2:$A$700,$A108,'تحليل التكلفة والسعر'!$C$2:$C$700,"&gt;0")),"🧩 لغز","🐶 كلب"))))</f>
        <v>بيانات غير كافية</v>
      </c>
      <c r="G108" s="49" t="n">
        <v>0</v>
      </c>
      <c r="H108" s="11" t="str">
        <f aca="false">IF(OR(NOT(INDEX('تحليل التكلفة والسعر'!$C$2:$C$700,MATCH("فطيرة فراخ باربيكيو صيامي وسط",'تحليل التكلفة والسعر'!$B$2:$B$700,0))&gt;0),$G108=0),"بيانات غير كافية",IF(AND($G108&gt;=AVERAGEIFS($G$5:$G$175,$A$5:$A$175,$A108,$G$5:$G$175,"&gt;0"),INDEX('تحليل التكلفة والسعر'!$H$2:$H$700,MATCH("فطيرة فراخ باربيكيو صيامي وسط",'تحليل التكلفة والسعر'!$B$2:$B$700,0))&gt;=AVERAGEIFS('تحليل التكلفة والسعر'!$H$2:$H$700,'تحليل التكلفة والسعر'!$A$2:$A$700,$A108,'تحليل التكلفة والسعر'!$C$2:$C$700,"&gt;0")),"⭐ نجم",IF(AND($G108&gt;=AVERAGEIFS($G$5:$G$175,$A$5:$A$175,$A108,$G$5:$G$175,"&gt;0"),INDEX('تحليل التكلفة والسعر'!$H$2:$H$700,MATCH("فطيرة فراخ باربيكيو صيامي وسط",'تحليل التكلفة والسعر'!$B$2:$B$700,0))&lt;AVERAGEIFS('تحليل التكلفة والسعر'!$H$2:$H$700,'تحليل التكلفة والسعر'!$A$2:$A$700,$A108,'تحليل التكلفة والسعر'!$C$2:$C$700,"&gt;0")),"🐎 حصان عمل",IF(AND($G108&lt;AVERAGEIFS($G$5:$G$175,$A$5:$A$175,$A108,$G$5:$G$175,"&gt;0"),INDEX('تحليل التكلفة والسعر'!$H$2:$H$700,MATCH("فطيرة فراخ باربيكيو صيامي وسط",'تحليل التكلفة والسعر'!$B$2:$B$700,0))&gt;=AVERAGEIFS('تحليل التكلفة والسعر'!$H$2:$H$700,'تحليل التكلفة والسعر'!$A$2:$A$700,$A108,'تحليل التكلفة والسعر'!$C$2:$C$700,"&gt;0")),"🧩 لغز","🐶 كلب"))))</f>
        <v>بيانات غير كافية</v>
      </c>
    </row>
    <row r="109" customFormat="false" ht="26.25" hidden="false" customHeight="true" outlineLevel="0" collapsed="false">
      <c r="A109" s="11" t="s">
        <v>17</v>
      </c>
      <c r="B109" s="11" t="s">
        <v>420</v>
      </c>
      <c r="C109" s="13" t="n">
        <f aca="false">IFERROR(INDEX('تحليل التكلفة والسعر'!$D$2:$D$700,MATCH("فطيرة فراخ باربيكيو صيامي مخصوص",'تحليل التكلفة والسعر'!$B$2:$B$700,0)),"")</f>
        <v>230</v>
      </c>
      <c r="D109" s="12" t="n">
        <f aca="false">IFERROR(INDEX('تحليل التكلفة والسعر'!$I$2:$I$700,MATCH("فطيرة فراخ باربيكيو صيامي مخصوص",'تحليل التكلفة والسعر'!$B$2:$B$700,0)),"")</f>
        <v>0.590690869565217</v>
      </c>
      <c r="E109" s="49" t="n">
        <v>0</v>
      </c>
      <c r="F109" s="11" t="str">
        <f aca="false">IF(OR(NOT(INDEX('تحليل التكلفة والسعر'!$C$2:$C$700,MATCH("فطيرة فراخ باربيكيو صيامي مخصوص",'تحليل التكلفة والسعر'!$B$2:$B$700,0))&gt;0),$E109=0),"بيانات غير كافية",IF(AND($E109&gt;=AVERAGEIFS($E$5:$E$175,$A$5:$A$175,$A109,$E$5:$E$175,"&gt;0"),INDEX('تحليل التكلفة والسعر'!$H$2:$H$700,MATCH("فطيرة فراخ باربيكيو صيامي مخصوص",'تحليل التكلفة والسعر'!$B$2:$B$700,0))&gt;=AVERAGEIFS('تحليل التكلفة والسعر'!$H$2:$H$700,'تحليل التكلفة والسعر'!$A$2:$A$700,$A109,'تحليل التكلفة والسعر'!$C$2:$C$700,"&gt;0")),"⭐ نجم",IF(AND($E109&gt;=AVERAGEIFS($E$5:$E$175,$A$5:$A$175,$A109,$E$5:$E$175,"&gt;0"),INDEX('تحليل التكلفة والسعر'!$H$2:$H$700,MATCH("فطيرة فراخ باربيكيو صيامي مخصوص",'تحليل التكلفة والسعر'!$B$2:$B$700,0))&lt;AVERAGEIFS('تحليل التكلفة والسعر'!$H$2:$H$700,'تحليل التكلفة والسعر'!$A$2:$A$700,$A109,'تحليل التكلفة والسعر'!$C$2:$C$700,"&gt;0")),"🐎 حصان عمل",IF(AND($E109&lt;AVERAGEIFS($E$5:$E$175,$A$5:$A$175,$A109,$E$5:$E$175,"&gt;0"),INDEX('تحليل التكلفة والسعر'!$H$2:$H$700,MATCH("فطيرة فراخ باربيكيو صيامي مخصوص",'تحليل التكلفة والسعر'!$B$2:$B$700,0))&gt;=AVERAGEIFS('تحليل التكلفة والسعر'!$H$2:$H$700,'تحليل التكلفة والسعر'!$A$2:$A$700,$A109,'تحليل التكلفة والسعر'!$C$2:$C$700,"&gt;0")),"🧩 لغز","🐶 كلب"))))</f>
        <v>بيانات غير كافية</v>
      </c>
      <c r="G109" s="49" t="n">
        <v>0</v>
      </c>
      <c r="H109" s="11" t="str">
        <f aca="false">IF(OR(NOT(INDEX('تحليل التكلفة والسعر'!$C$2:$C$700,MATCH("فطيرة فراخ باربيكيو صيامي مخصوص",'تحليل التكلفة والسعر'!$B$2:$B$700,0))&gt;0),$G109=0),"بيانات غير كافية",IF(AND($G109&gt;=AVERAGEIFS($G$5:$G$175,$A$5:$A$175,$A109,$G$5:$G$175,"&gt;0"),INDEX('تحليل التكلفة والسعر'!$H$2:$H$700,MATCH("فطيرة فراخ باربيكيو صيامي مخصوص",'تحليل التكلفة والسعر'!$B$2:$B$700,0))&gt;=AVERAGEIFS('تحليل التكلفة والسعر'!$H$2:$H$700,'تحليل التكلفة والسعر'!$A$2:$A$700,$A109,'تحليل التكلفة والسعر'!$C$2:$C$700,"&gt;0")),"⭐ نجم",IF(AND($G109&gt;=AVERAGEIFS($G$5:$G$175,$A$5:$A$175,$A109,$G$5:$G$175,"&gt;0"),INDEX('تحليل التكلفة والسعر'!$H$2:$H$700,MATCH("فطيرة فراخ باربيكيو صيامي مخصوص",'تحليل التكلفة والسعر'!$B$2:$B$700,0))&lt;AVERAGEIFS('تحليل التكلفة والسعر'!$H$2:$H$700,'تحليل التكلفة والسعر'!$A$2:$A$700,$A109,'تحليل التكلفة والسعر'!$C$2:$C$700,"&gt;0")),"🐎 حصان عمل",IF(AND($G109&lt;AVERAGEIFS($G$5:$G$175,$A$5:$A$175,$A109,$G$5:$G$175,"&gt;0"),INDEX('تحليل التكلفة والسعر'!$H$2:$H$700,MATCH("فطيرة فراخ باربيكيو صيامي مخصوص",'تحليل التكلفة والسعر'!$B$2:$B$700,0))&gt;=AVERAGEIFS('تحليل التكلفة والسعر'!$H$2:$H$700,'تحليل التكلفة والسعر'!$A$2:$A$700,$A109,'تحليل التكلفة والسعر'!$C$2:$C$700,"&gt;0")),"🧩 لغز","🐶 كلب"))))</f>
        <v>بيانات غير كافية</v>
      </c>
    </row>
    <row r="110" customFormat="false" ht="26.25" hidden="false" customHeight="true" outlineLevel="0" collapsed="false">
      <c r="A110" s="11" t="s">
        <v>17</v>
      </c>
      <c r="B110" s="11" t="s">
        <v>501</v>
      </c>
      <c r="C110" s="13" t="n">
        <f aca="false">IFERROR(INDEX('تحليل التكلفة والسعر'!$D$2:$D$700,MATCH("فطيرة جمبري صيامي وسط",'تحليل التكلفة والسعر'!$B$2:$B$700,0)),"")</f>
        <v>240</v>
      </c>
      <c r="D110" s="12" t="n">
        <f aca="false">IFERROR(INDEX('تحليل التكلفة والسعر'!$I$2:$I$700,MATCH("فطيرة جمبري صيامي وسط",'تحليل التكلفة والسعر'!$B$2:$B$700,0)),"")</f>
        <v>0.461548333333333</v>
      </c>
      <c r="E110" s="49" t="n">
        <v>0</v>
      </c>
      <c r="F110" s="11" t="str">
        <f aca="false">IF(OR(NOT(INDEX('تحليل التكلفة والسعر'!$C$2:$C$700,MATCH("فطيرة جمبري صيامي وسط",'تحليل التكلفة والسعر'!$B$2:$B$700,0))&gt;0),$E110=0),"بيانات غير كافية",IF(AND($E110&gt;=AVERAGEIFS($E$5:$E$175,$A$5:$A$175,$A110,$E$5:$E$175,"&gt;0"),INDEX('تحليل التكلفة والسعر'!$H$2:$H$700,MATCH("فطيرة جمبري صيامي وسط",'تحليل التكلفة والسعر'!$B$2:$B$700,0))&gt;=AVERAGEIFS('تحليل التكلفة والسعر'!$H$2:$H$700,'تحليل التكلفة والسعر'!$A$2:$A$700,$A110,'تحليل التكلفة والسعر'!$C$2:$C$700,"&gt;0")),"⭐ نجم",IF(AND($E110&gt;=AVERAGEIFS($E$5:$E$175,$A$5:$A$175,$A110,$E$5:$E$175,"&gt;0"),INDEX('تحليل التكلفة والسعر'!$H$2:$H$700,MATCH("فطيرة جمبري صيامي وسط",'تحليل التكلفة والسعر'!$B$2:$B$700,0))&lt;AVERAGEIFS('تحليل التكلفة والسعر'!$H$2:$H$700,'تحليل التكلفة والسعر'!$A$2:$A$700,$A110,'تحليل التكلفة والسعر'!$C$2:$C$700,"&gt;0")),"🐎 حصان عمل",IF(AND($E110&lt;AVERAGEIFS($E$5:$E$175,$A$5:$A$175,$A110,$E$5:$E$175,"&gt;0"),INDEX('تحليل التكلفة والسعر'!$H$2:$H$700,MATCH("فطيرة جمبري صيامي وسط",'تحليل التكلفة والسعر'!$B$2:$B$700,0))&gt;=AVERAGEIFS('تحليل التكلفة والسعر'!$H$2:$H$700,'تحليل التكلفة والسعر'!$A$2:$A$700,$A110,'تحليل التكلفة والسعر'!$C$2:$C$700,"&gt;0")),"🧩 لغز","🐶 كلب"))))</f>
        <v>بيانات غير كافية</v>
      </c>
      <c r="G110" s="49" t="n">
        <v>0</v>
      </c>
      <c r="H110" s="11" t="str">
        <f aca="false">IF(OR(NOT(INDEX('تحليل التكلفة والسعر'!$C$2:$C$700,MATCH("فطيرة جمبري صيامي وسط",'تحليل التكلفة والسعر'!$B$2:$B$700,0))&gt;0),$G110=0),"بيانات غير كافية",IF(AND($G110&gt;=AVERAGEIFS($G$5:$G$175,$A$5:$A$175,$A110,$G$5:$G$175,"&gt;0"),INDEX('تحليل التكلفة والسعر'!$H$2:$H$700,MATCH("فطيرة جمبري صيامي وسط",'تحليل التكلفة والسعر'!$B$2:$B$700,0))&gt;=AVERAGEIFS('تحليل التكلفة والسعر'!$H$2:$H$700,'تحليل التكلفة والسعر'!$A$2:$A$700,$A110,'تحليل التكلفة والسعر'!$C$2:$C$700,"&gt;0")),"⭐ نجم",IF(AND($G110&gt;=AVERAGEIFS($G$5:$G$175,$A$5:$A$175,$A110,$G$5:$G$175,"&gt;0"),INDEX('تحليل التكلفة والسعر'!$H$2:$H$700,MATCH("فطيرة جمبري صيامي وسط",'تحليل التكلفة والسعر'!$B$2:$B$700,0))&lt;AVERAGEIFS('تحليل التكلفة والسعر'!$H$2:$H$700,'تحليل التكلفة والسعر'!$A$2:$A$700,$A110,'تحليل التكلفة والسعر'!$C$2:$C$700,"&gt;0")),"🐎 حصان عمل",IF(AND($G110&lt;AVERAGEIFS($G$5:$G$175,$A$5:$A$175,$A110,$G$5:$G$175,"&gt;0"),INDEX('تحليل التكلفة والسعر'!$H$2:$H$700,MATCH("فطيرة جمبري صيامي وسط",'تحليل التكلفة والسعر'!$B$2:$B$700,0))&gt;=AVERAGEIFS('تحليل التكلفة والسعر'!$H$2:$H$700,'تحليل التكلفة والسعر'!$A$2:$A$700,$A110,'تحليل التكلفة والسعر'!$C$2:$C$700,"&gt;0")),"🧩 لغز","🐶 كلب"))))</f>
        <v>بيانات غير كافية</v>
      </c>
    </row>
    <row r="111" customFormat="false" ht="26.25" hidden="false" customHeight="true" outlineLevel="0" collapsed="false">
      <c r="A111" s="11" t="s">
        <v>17</v>
      </c>
      <c r="B111" s="11" t="s">
        <v>490</v>
      </c>
      <c r="C111" s="13" t="n">
        <f aca="false">IFERROR(INDEX('تحليل التكلفة والسعر'!$D$2:$D$700,MATCH("فطيرة جمبري صيامي مخصوص",'تحليل التكلفة والسعر'!$B$2:$B$700,0)),"")</f>
        <v>360</v>
      </c>
      <c r="D111" s="12" t="n">
        <f aca="false">IFERROR(INDEX('تحليل التكلفة والسعر'!$I$2:$I$700,MATCH("فطيرة جمبري صيامي مخصوص",'تحليل التكلفة والسعر'!$B$2:$B$700,0)),"")</f>
        <v>0.474823888888889</v>
      </c>
      <c r="E111" s="49" t="n">
        <v>0</v>
      </c>
      <c r="F111" s="11" t="str">
        <f aca="false">IF(OR(NOT(INDEX('تحليل التكلفة والسعر'!$C$2:$C$700,MATCH("فطيرة جمبري صيامي مخصوص",'تحليل التكلفة والسعر'!$B$2:$B$700,0))&gt;0),$E111=0),"بيانات غير كافية",IF(AND($E111&gt;=AVERAGEIFS($E$5:$E$175,$A$5:$A$175,$A111,$E$5:$E$175,"&gt;0"),INDEX('تحليل التكلفة والسعر'!$H$2:$H$700,MATCH("فطيرة جمبري صيامي مخصوص",'تحليل التكلفة والسعر'!$B$2:$B$700,0))&gt;=AVERAGEIFS('تحليل التكلفة والسعر'!$H$2:$H$700,'تحليل التكلفة والسعر'!$A$2:$A$700,$A111,'تحليل التكلفة والسعر'!$C$2:$C$700,"&gt;0")),"⭐ نجم",IF(AND($E111&gt;=AVERAGEIFS($E$5:$E$175,$A$5:$A$175,$A111,$E$5:$E$175,"&gt;0"),INDEX('تحليل التكلفة والسعر'!$H$2:$H$700,MATCH("فطيرة جمبري صيامي مخصوص",'تحليل التكلفة والسعر'!$B$2:$B$700,0))&lt;AVERAGEIFS('تحليل التكلفة والسعر'!$H$2:$H$700,'تحليل التكلفة والسعر'!$A$2:$A$700,$A111,'تحليل التكلفة والسعر'!$C$2:$C$700,"&gt;0")),"🐎 حصان عمل",IF(AND($E111&lt;AVERAGEIFS($E$5:$E$175,$A$5:$A$175,$A111,$E$5:$E$175,"&gt;0"),INDEX('تحليل التكلفة والسعر'!$H$2:$H$700,MATCH("فطيرة جمبري صيامي مخصوص",'تحليل التكلفة والسعر'!$B$2:$B$700,0))&gt;=AVERAGEIFS('تحليل التكلفة والسعر'!$H$2:$H$700,'تحليل التكلفة والسعر'!$A$2:$A$700,$A111,'تحليل التكلفة والسعر'!$C$2:$C$700,"&gt;0")),"🧩 لغز","🐶 كلب"))))</f>
        <v>بيانات غير كافية</v>
      </c>
      <c r="G111" s="49" t="n">
        <v>0</v>
      </c>
      <c r="H111" s="11" t="str">
        <f aca="false">IF(OR(NOT(INDEX('تحليل التكلفة والسعر'!$C$2:$C$700,MATCH("فطيرة جمبري صيامي مخصوص",'تحليل التكلفة والسعر'!$B$2:$B$700,0))&gt;0),$G111=0),"بيانات غير كافية",IF(AND($G111&gt;=AVERAGEIFS($G$5:$G$175,$A$5:$A$175,$A111,$G$5:$G$175,"&gt;0"),INDEX('تحليل التكلفة والسعر'!$H$2:$H$700,MATCH("فطيرة جمبري صيامي مخصوص",'تحليل التكلفة والسعر'!$B$2:$B$700,0))&gt;=AVERAGEIFS('تحليل التكلفة والسعر'!$H$2:$H$700,'تحليل التكلفة والسعر'!$A$2:$A$700,$A111,'تحليل التكلفة والسعر'!$C$2:$C$700,"&gt;0")),"⭐ نجم",IF(AND($G111&gt;=AVERAGEIFS($G$5:$G$175,$A$5:$A$175,$A111,$G$5:$G$175,"&gt;0"),INDEX('تحليل التكلفة والسعر'!$H$2:$H$700,MATCH("فطيرة جمبري صيامي مخصوص",'تحليل التكلفة والسعر'!$B$2:$B$700,0))&lt;AVERAGEIFS('تحليل التكلفة والسعر'!$H$2:$H$700,'تحليل التكلفة والسعر'!$A$2:$A$700,$A111,'تحليل التكلفة والسعر'!$C$2:$C$700,"&gt;0")),"🐎 حصان عمل",IF(AND($G111&lt;AVERAGEIFS($G$5:$G$175,$A$5:$A$175,$A111,$G$5:$G$175,"&gt;0"),INDEX('تحليل التكلفة والسعر'!$H$2:$H$700,MATCH("فطيرة جمبري صيامي مخصوص",'تحليل التكلفة والسعر'!$B$2:$B$700,0))&gt;=AVERAGEIFS('تحليل التكلفة والسعر'!$H$2:$H$700,'تحليل التكلفة والسعر'!$A$2:$A$700,$A111,'تحليل التكلفة والسعر'!$C$2:$C$700,"&gt;0")),"🧩 لغز","🐶 كلب"))))</f>
        <v>بيانات غير كافية</v>
      </c>
    </row>
    <row r="112" customFormat="false" ht="26.25" hidden="false" customHeight="true" outlineLevel="0" collapsed="false">
      <c r="A112" s="11" t="s">
        <v>17</v>
      </c>
      <c r="B112" s="11" t="s">
        <v>525</v>
      </c>
      <c r="C112" s="13" t="n">
        <f aca="false">IFERROR(INDEX('تحليل التكلفة والسعر'!$D$2:$D$700,MATCH("فطيرة تونة صيامي وسط",'تحليل التكلفة والسعر'!$B$2:$B$700,0)),"")</f>
        <v>180</v>
      </c>
      <c r="D112" s="12" t="n">
        <f aca="false">IFERROR(INDEX('تحليل التكلفة والسعر'!$I$2:$I$700,MATCH("فطيرة تونة صيامي وسط",'تحليل التكلفة والسعر'!$B$2:$B$700,0)),"")</f>
        <v>0.576342222222222</v>
      </c>
      <c r="E112" s="49" t="n">
        <v>0</v>
      </c>
      <c r="F112" s="11" t="str">
        <f aca="false">IF(OR(NOT(INDEX('تحليل التكلفة والسعر'!$C$2:$C$700,MATCH("فطيرة تونة صيامي وسط",'تحليل التكلفة والسعر'!$B$2:$B$700,0))&gt;0),$E112=0),"بيانات غير كافية",IF(AND($E112&gt;=AVERAGEIFS($E$5:$E$175,$A$5:$A$175,$A112,$E$5:$E$175,"&gt;0"),INDEX('تحليل التكلفة والسعر'!$H$2:$H$700,MATCH("فطيرة تونة صيامي وسط",'تحليل التكلفة والسعر'!$B$2:$B$700,0))&gt;=AVERAGEIFS('تحليل التكلفة والسعر'!$H$2:$H$700,'تحليل التكلفة والسعر'!$A$2:$A$700,$A112,'تحليل التكلفة والسعر'!$C$2:$C$700,"&gt;0")),"⭐ نجم",IF(AND($E112&gt;=AVERAGEIFS($E$5:$E$175,$A$5:$A$175,$A112,$E$5:$E$175,"&gt;0"),INDEX('تحليل التكلفة والسعر'!$H$2:$H$700,MATCH("فطيرة تونة صيامي وسط",'تحليل التكلفة والسعر'!$B$2:$B$700,0))&lt;AVERAGEIFS('تحليل التكلفة والسعر'!$H$2:$H$700,'تحليل التكلفة والسعر'!$A$2:$A$700,$A112,'تحليل التكلفة والسعر'!$C$2:$C$700,"&gt;0")),"🐎 حصان عمل",IF(AND($E112&lt;AVERAGEIFS($E$5:$E$175,$A$5:$A$175,$A112,$E$5:$E$175,"&gt;0"),INDEX('تحليل التكلفة والسعر'!$H$2:$H$700,MATCH("فطيرة تونة صيامي وسط",'تحليل التكلفة والسعر'!$B$2:$B$700,0))&gt;=AVERAGEIFS('تحليل التكلفة والسعر'!$H$2:$H$700,'تحليل التكلفة والسعر'!$A$2:$A$700,$A112,'تحليل التكلفة والسعر'!$C$2:$C$700,"&gt;0")),"🧩 لغز","🐶 كلب"))))</f>
        <v>بيانات غير كافية</v>
      </c>
      <c r="G112" s="49" t="n">
        <v>0</v>
      </c>
      <c r="H112" s="11" t="str">
        <f aca="false">IF(OR(NOT(INDEX('تحليل التكلفة والسعر'!$C$2:$C$700,MATCH("فطيرة تونة صيامي وسط",'تحليل التكلفة والسعر'!$B$2:$B$700,0))&gt;0),$G112=0),"بيانات غير كافية",IF(AND($G112&gt;=AVERAGEIFS($G$5:$G$175,$A$5:$A$175,$A112,$G$5:$G$175,"&gt;0"),INDEX('تحليل التكلفة والسعر'!$H$2:$H$700,MATCH("فطيرة تونة صيامي وسط",'تحليل التكلفة والسعر'!$B$2:$B$700,0))&gt;=AVERAGEIFS('تحليل التكلفة والسعر'!$H$2:$H$700,'تحليل التكلفة والسعر'!$A$2:$A$700,$A112,'تحليل التكلفة والسعر'!$C$2:$C$700,"&gt;0")),"⭐ نجم",IF(AND($G112&gt;=AVERAGEIFS($G$5:$G$175,$A$5:$A$175,$A112,$G$5:$G$175,"&gt;0"),INDEX('تحليل التكلفة والسعر'!$H$2:$H$700,MATCH("فطيرة تونة صيامي وسط",'تحليل التكلفة والسعر'!$B$2:$B$700,0))&lt;AVERAGEIFS('تحليل التكلفة والسعر'!$H$2:$H$700,'تحليل التكلفة والسعر'!$A$2:$A$700,$A112,'تحليل التكلفة والسعر'!$C$2:$C$700,"&gt;0")),"🐎 حصان عمل",IF(AND($G112&lt;AVERAGEIFS($G$5:$G$175,$A$5:$A$175,$A112,$G$5:$G$175,"&gt;0"),INDEX('تحليل التكلفة والسعر'!$H$2:$H$700,MATCH("فطيرة تونة صيامي وسط",'تحليل التكلفة والسعر'!$B$2:$B$700,0))&gt;=AVERAGEIFS('تحليل التكلفة والسعر'!$H$2:$H$700,'تحليل التكلفة والسعر'!$A$2:$A$700,$A112,'تحليل التكلفة والسعر'!$C$2:$C$700,"&gt;0")),"🧩 لغز","🐶 كلب"))))</f>
        <v>بيانات غير كافية</v>
      </c>
    </row>
    <row r="113" customFormat="false" ht="26.25" hidden="false" customHeight="true" outlineLevel="0" collapsed="false">
      <c r="A113" s="11" t="s">
        <v>17</v>
      </c>
      <c r="B113" s="11" t="s">
        <v>508</v>
      </c>
      <c r="C113" s="13" t="n">
        <f aca="false">IFERROR(INDEX('تحليل التكلفة والسعر'!$D$2:$D$700,MATCH("فطيرة تونة صيامي مخصوص",'تحليل التكلفة والسعر'!$B$2:$B$700,0)),"")</f>
        <v>250</v>
      </c>
      <c r="D113" s="12" t="n">
        <f aca="false">IFERROR(INDEX('تحليل التكلفة والسعر'!$I$2:$I$700,MATCH("فطيرة تونة صيامي مخصوص",'تحليل التكلفة والسعر'!$B$2:$B$700,0)),"")</f>
        <v>0.5615664</v>
      </c>
      <c r="E113" s="49" t="n">
        <v>0</v>
      </c>
      <c r="F113" s="11" t="str">
        <f aca="false">IF(OR(NOT(INDEX('تحليل التكلفة والسعر'!$C$2:$C$700,MATCH("فطيرة تونة صيامي مخصوص",'تحليل التكلفة والسعر'!$B$2:$B$700,0))&gt;0),$E113=0),"بيانات غير كافية",IF(AND($E113&gt;=AVERAGEIFS($E$5:$E$175,$A$5:$A$175,$A113,$E$5:$E$175,"&gt;0"),INDEX('تحليل التكلفة والسعر'!$H$2:$H$700,MATCH("فطيرة تونة صيامي مخصوص",'تحليل التكلفة والسعر'!$B$2:$B$700,0))&gt;=AVERAGEIFS('تحليل التكلفة والسعر'!$H$2:$H$700,'تحليل التكلفة والسعر'!$A$2:$A$700,$A113,'تحليل التكلفة والسعر'!$C$2:$C$700,"&gt;0")),"⭐ نجم",IF(AND($E113&gt;=AVERAGEIFS($E$5:$E$175,$A$5:$A$175,$A113,$E$5:$E$175,"&gt;0"),INDEX('تحليل التكلفة والسعر'!$H$2:$H$700,MATCH("فطيرة تونة صيامي مخصوص",'تحليل التكلفة والسعر'!$B$2:$B$700,0))&lt;AVERAGEIFS('تحليل التكلفة والسعر'!$H$2:$H$700,'تحليل التكلفة والسعر'!$A$2:$A$700,$A113,'تحليل التكلفة والسعر'!$C$2:$C$700,"&gt;0")),"🐎 حصان عمل",IF(AND($E113&lt;AVERAGEIFS($E$5:$E$175,$A$5:$A$175,$A113,$E$5:$E$175,"&gt;0"),INDEX('تحليل التكلفة والسعر'!$H$2:$H$700,MATCH("فطيرة تونة صيامي مخصوص",'تحليل التكلفة والسعر'!$B$2:$B$700,0))&gt;=AVERAGEIFS('تحليل التكلفة والسعر'!$H$2:$H$700,'تحليل التكلفة والسعر'!$A$2:$A$700,$A113,'تحليل التكلفة والسعر'!$C$2:$C$700,"&gt;0")),"🧩 لغز","🐶 كلب"))))</f>
        <v>بيانات غير كافية</v>
      </c>
      <c r="G113" s="49" t="n">
        <v>0</v>
      </c>
      <c r="H113" s="11" t="str">
        <f aca="false">IF(OR(NOT(INDEX('تحليل التكلفة والسعر'!$C$2:$C$700,MATCH("فطيرة تونة صيامي مخصوص",'تحليل التكلفة والسعر'!$B$2:$B$700,0))&gt;0),$G113=0),"بيانات غير كافية",IF(AND($G113&gt;=AVERAGEIFS($G$5:$G$175,$A$5:$A$175,$A113,$G$5:$G$175,"&gt;0"),INDEX('تحليل التكلفة والسعر'!$H$2:$H$700,MATCH("فطيرة تونة صيامي مخصوص",'تحليل التكلفة والسعر'!$B$2:$B$700,0))&gt;=AVERAGEIFS('تحليل التكلفة والسعر'!$H$2:$H$700,'تحليل التكلفة والسعر'!$A$2:$A$700,$A113,'تحليل التكلفة والسعر'!$C$2:$C$700,"&gt;0")),"⭐ نجم",IF(AND($G113&gt;=AVERAGEIFS($G$5:$G$175,$A$5:$A$175,$A113,$G$5:$G$175,"&gt;0"),INDEX('تحليل التكلفة والسعر'!$H$2:$H$700,MATCH("فطيرة تونة صيامي مخصوص",'تحليل التكلفة والسعر'!$B$2:$B$700,0))&lt;AVERAGEIFS('تحليل التكلفة والسعر'!$H$2:$H$700,'تحليل التكلفة والسعر'!$A$2:$A$700,$A113,'تحليل التكلفة والسعر'!$C$2:$C$700,"&gt;0")),"🐎 حصان عمل",IF(AND($G113&lt;AVERAGEIFS($G$5:$G$175,$A$5:$A$175,$A113,$G$5:$G$175,"&gt;0"),INDEX('تحليل التكلفة والسعر'!$H$2:$H$700,MATCH("فطيرة تونة صيامي مخصوص",'تحليل التكلفة والسعر'!$B$2:$B$700,0))&gt;=AVERAGEIFS('تحليل التكلفة والسعر'!$H$2:$H$700,'تحليل التكلفة والسعر'!$A$2:$A$700,$A113,'تحليل التكلفة والسعر'!$C$2:$C$700,"&gt;0")),"🧩 لغز","🐶 كلب"))))</f>
        <v>بيانات غير كافية</v>
      </c>
    </row>
    <row r="114" customFormat="false" ht="26.25" hidden="false" customHeight="true" outlineLevel="0" collapsed="false">
      <c r="A114" s="11" t="s">
        <v>18</v>
      </c>
      <c r="B114" s="11" t="s">
        <v>423</v>
      </c>
      <c r="C114" s="13" t="n">
        <f aca="false">IFERROR(INDEX('تحليل التكلفة والسعر'!$D$2:$D$700,MATCH("فطيرة سكر / كاستر صيامي",'تحليل التكلفة والسعر'!$B$2:$B$700,0)),"")</f>
        <v>50</v>
      </c>
      <c r="D114" s="12" t="n">
        <f aca="false">IFERROR(INDEX('تحليل التكلفة والسعر'!$I$2:$I$700,MATCH("فطيرة سكر / كاستر صيامي",'تحليل التكلفة والسعر'!$B$2:$B$700,0)),"")</f>
        <v>0.6811027</v>
      </c>
      <c r="E114" s="49" t="n">
        <v>0</v>
      </c>
      <c r="F114" s="11" t="str">
        <f aca="false">IF(OR(NOT(INDEX('تحليل التكلفة والسعر'!$C$2:$C$700,MATCH("فطيرة سكر / كاستر صيامي",'تحليل التكلفة والسعر'!$B$2:$B$700,0))&gt;0),$E114=0),"بيانات غير كافية",IF(AND($E114&gt;=AVERAGEIFS($E$5:$E$175,$A$5:$A$175,$A114,$E$5:$E$175,"&gt;0"),INDEX('تحليل التكلفة والسعر'!$H$2:$H$700,MATCH("فطيرة سكر / كاستر صيامي",'تحليل التكلفة والسعر'!$B$2:$B$700,0))&gt;=AVERAGEIFS('تحليل التكلفة والسعر'!$H$2:$H$700,'تحليل التكلفة والسعر'!$A$2:$A$700,$A114,'تحليل التكلفة والسعر'!$C$2:$C$700,"&gt;0")),"⭐ نجم",IF(AND($E114&gt;=AVERAGEIFS($E$5:$E$175,$A$5:$A$175,$A114,$E$5:$E$175,"&gt;0"),INDEX('تحليل التكلفة والسعر'!$H$2:$H$700,MATCH("فطيرة سكر / كاستر صيامي",'تحليل التكلفة والسعر'!$B$2:$B$700,0))&lt;AVERAGEIFS('تحليل التكلفة والسعر'!$H$2:$H$700,'تحليل التكلفة والسعر'!$A$2:$A$700,$A114,'تحليل التكلفة والسعر'!$C$2:$C$700,"&gt;0")),"🐎 حصان عمل",IF(AND($E114&lt;AVERAGEIFS($E$5:$E$175,$A$5:$A$175,$A114,$E$5:$E$175,"&gt;0"),INDEX('تحليل التكلفة والسعر'!$H$2:$H$700,MATCH("فطيرة سكر / كاستر صيامي",'تحليل التكلفة والسعر'!$B$2:$B$700,0))&gt;=AVERAGEIFS('تحليل التكلفة والسعر'!$H$2:$H$700,'تحليل التكلفة والسعر'!$A$2:$A$700,$A114,'تحليل التكلفة والسعر'!$C$2:$C$700,"&gt;0")),"🧩 لغز","🐶 كلب"))))</f>
        <v>بيانات غير كافية</v>
      </c>
      <c r="G114" s="49" t="n">
        <v>0</v>
      </c>
      <c r="H114" s="11" t="str">
        <f aca="false">IF(OR(NOT(INDEX('تحليل التكلفة والسعر'!$C$2:$C$700,MATCH("فطيرة سكر / كاستر صيامي",'تحليل التكلفة والسعر'!$B$2:$B$700,0))&gt;0),$G114=0),"بيانات غير كافية",IF(AND($G114&gt;=AVERAGEIFS($G$5:$G$175,$A$5:$A$175,$A114,$G$5:$G$175,"&gt;0"),INDEX('تحليل التكلفة والسعر'!$H$2:$H$700,MATCH("فطيرة سكر / كاستر صيامي",'تحليل التكلفة والسعر'!$B$2:$B$700,0))&gt;=AVERAGEIFS('تحليل التكلفة والسعر'!$H$2:$H$700,'تحليل التكلفة والسعر'!$A$2:$A$700,$A114,'تحليل التكلفة والسعر'!$C$2:$C$700,"&gt;0")),"⭐ نجم",IF(AND($G114&gt;=AVERAGEIFS($G$5:$G$175,$A$5:$A$175,$A114,$G$5:$G$175,"&gt;0"),INDEX('تحليل التكلفة والسعر'!$H$2:$H$700,MATCH("فطيرة سكر / كاستر صيامي",'تحليل التكلفة والسعر'!$B$2:$B$700,0))&lt;AVERAGEIFS('تحليل التكلفة والسعر'!$H$2:$H$700,'تحليل التكلفة والسعر'!$A$2:$A$700,$A114,'تحليل التكلفة والسعر'!$C$2:$C$700,"&gt;0")),"🐎 حصان عمل",IF(AND($G114&lt;AVERAGEIFS($G$5:$G$175,$A$5:$A$175,$A114,$G$5:$G$175,"&gt;0"),INDEX('تحليل التكلفة والسعر'!$H$2:$H$700,MATCH("فطيرة سكر / كاستر صيامي",'تحليل التكلفة والسعر'!$B$2:$B$700,0))&gt;=AVERAGEIFS('تحليل التكلفة والسعر'!$H$2:$H$700,'تحليل التكلفة والسعر'!$A$2:$A$700,$A114,'تحليل التكلفة والسعر'!$C$2:$C$700,"&gt;0")),"🧩 لغز","🐶 كلب"))))</f>
        <v>بيانات غير كافية</v>
      </c>
    </row>
    <row r="115" customFormat="false" ht="26.25" hidden="false" customHeight="true" outlineLevel="0" collapsed="false">
      <c r="A115" s="11" t="s">
        <v>18</v>
      </c>
      <c r="B115" s="11" t="s">
        <v>439</v>
      </c>
      <c r="C115" s="13" t="n">
        <f aca="false">IFERROR(INDEX('تحليل التكلفة والسعر'!$D$2:$D$700,MATCH("فطيرة ملوكي زبيب وجوزهند صيامي",'تحليل التكلفة والسعر'!$B$2:$B$700,0)),"")</f>
        <v>70</v>
      </c>
      <c r="D115" s="12" t="n">
        <f aca="false">IFERROR(INDEX('تحليل التكلفة والسعر'!$I$2:$I$700,MATCH("فطيرة ملوكي زبيب وجوزهند صيامي",'تحليل التكلفة والسعر'!$B$2:$B$700,0)),"")</f>
        <v>0.479859071428572</v>
      </c>
      <c r="E115" s="49" t="n">
        <v>0</v>
      </c>
      <c r="F115" s="11" t="str">
        <f aca="false">IF(OR(NOT(INDEX('تحليل التكلفة والسعر'!$C$2:$C$700,MATCH("فطيرة ملوكي زبيب وجوزهند صيامي",'تحليل التكلفة والسعر'!$B$2:$B$700,0))&gt;0),$E115=0),"بيانات غير كافية",IF(AND($E115&gt;=AVERAGEIFS($E$5:$E$175,$A$5:$A$175,$A115,$E$5:$E$175,"&gt;0"),INDEX('تحليل التكلفة والسعر'!$H$2:$H$700,MATCH("فطيرة ملوكي زبيب وجوزهند صيامي",'تحليل التكلفة والسعر'!$B$2:$B$700,0))&gt;=AVERAGEIFS('تحليل التكلفة والسعر'!$H$2:$H$700,'تحليل التكلفة والسعر'!$A$2:$A$700,$A115,'تحليل التكلفة والسعر'!$C$2:$C$700,"&gt;0")),"⭐ نجم",IF(AND($E115&gt;=AVERAGEIFS($E$5:$E$175,$A$5:$A$175,$A115,$E$5:$E$175,"&gt;0"),INDEX('تحليل التكلفة والسعر'!$H$2:$H$700,MATCH("فطيرة ملوكي زبيب وجوزهند صيامي",'تحليل التكلفة والسعر'!$B$2:$B$700,0))&lt;AVERAGEIFS('تحليل التكلفة والسعر'!$H$2:$H$700,'تحليل التكلفة والسعر'!$A$2:$A$700,$A115,'تحليل التكلفة والسعر'!$C$2:$C$700,"&gt;0")),"🐎 حصان عمل",IF(AND($E115&lt;AVERAGEIFS($E$5:$E$175,$A$5:$A$175,$A115,$E$5:$E$175,"&gt;0"),INDEX('تحليل التكلفة والسعر'!$H$2:$H$700,MATCH("فطيرة ملوكي زبيب وجوزهند صيامي",'تحليل التكلفة والسعر'!$B$2:$B$700,0))&gt;=AVERAGEIFS('تحليل التكلفة والسعر'!$H$2:$H$700,'تحليل التكلفة والسعر'!$A$2:$A$700,$A115,'تحليل التكلفة والسعر'!$C$2:$C$700,"&gt;0")),"🧩 لغز","🐶 كلب"))))</f>
        <v>بيانات غير كافية</v>
      </c>
      <c r="G115" s="49" t="n">
        <v>0</v>
      </c>
      <c r="H115" s="11" t="str">
        <f aca="false">IF(OR(NOT(INDEX('تحليل التكلفة والسعر'!$C$2:$C$700,MATCH("فطيرة ملوكي زبيب وجوزهند صيامي",'تحليل التكلفة والسعر'!$B$2:$B$700,0))&gt;0),$G115=0),"بيانات غير كافية",IF(AND($G115&gt;=AVERAGEIFS($G$5:$G$175,$A$5:$A$175,$A115,$G$5:$G$175,"&gt;0"),INDEX('تحليل التكلفة والسعر'!$H$2:$H$700,MATCH("فطيرة ملوكي زبيب وجوزهند صيامي",'تحليل التكلفة والسعر'!$B$2:$B$700,0))&gt;=AVERAGEIFS('تحليل التكلفة والسعر'!$H$2:$H$700,'تحليل التكلفة والسعر'!$A$2:$A$700,$A115,'تحليل التكلفة والسعر'!$C$2:$C$700,"&gt;0")),"⭐ نجم",IF(AND($G115&gt;=AVERAGEIFS($G$5:$G$175,$A$5:$A$175,$A115,$G$5:$G$175,"&gt;0"),INDEX('تحليل التكلفة والسعر'!$H$2:$H$700,MATCH("فطيرة ملوكي زبيب وجوزهند صيامي",'تحليل التكلفة والسعر'!$B$2:$B$700,0))&lt;AVERAGEIFS('تحليل التكلفة والسعر'!$H$2:$H$700,'تحليل التكلفة والسعر'!$A$2:$A$700,$A115,'تحليل التكلفة والسعر'!$C$2:$C$700,"&gt;0")),"🐎 حصان عمل",IF(AND($G115&lt;AVERAGEIFS($G$5:$G$175,$A$5:$A$175,$A115,$G$5:$G$175,"&gt;0"),INDEX('تحليل التكلفة والسعر'!$H$2:$H$700,MATCH("فطيرة ملوكي زبيب وجوزهند صيامي",'تحليل التكلفة والسعر'!$B$2:$B$700,0))&gt;=AVERAGEIFS('تحليل التكلفة والسعر'!$H$2:$H$700,'تحليل التكلفة والسعر'!$A$2:$A$700,$A115,'تحليل التكلفة والسعر'!$C$2:$C$700,"&gt;0")),"🧩 لغز","🐶 كلب"))))</f>
        <v>بيانات غير كافية</v>
      </c>
    </row>
    <row r="116" customFormat="false" ht="26.25" hidden="false" customHeight="true" outlineLevel="0" collapsed="false">
      <c r="A116" s="11" t="s">
        <v>18</v>
      </c>
      <c r="B116" s="11" t="s">
        <v>399</v>
      </c>
      <c r="C116" s="13" t="n">
        <f aca="false">IFERROR(INDEX('تحليل التكلفة والسعر'!$D$2:$D$700,MATCH("فطيرة شيكولاتة صيامي",'تحليل التكلفة والسعر'!$B$2:$B$700,0)),"")</f>
        <v>100</v>
      </c>
      <c r="D116" s="12" t="n">
        <f aca="false">IFERROR(INDEX('تحليل التكلفة والسعر'!$I$2:$I$700,MATCH("فطيرة شيكولاتة صيامي",'تحليل التكلفة والسعر'!$B$2:$B$700,0)),"")</f>
        <v>0.56697788</v>
      </c>
      <c r="E116" s="49" t="n">
        <v>0</v>
      </c>
      <c r="F116" s="11" t="str">
        <f aca="false">IF(OR(NOT(INDEX('تحليل التكلفة والسعر'!$C$2:$C$700,MATCH("فطيرة شيكولاتة صيامي",'تحليل التكلفة والسعر'!$B$2:$B$700,0))&gt;0),$E116=0),"بيانات غير كافية",IF(AND($E116&gt;=AVERAGEIFS($E$5:$E$175,$A$5:$A$175,$A116,$E$5:$E$175,"&gt;0"),INDEX('تحليل التكلفة والسعر'!$H$2:$H$700,MATCH("فطيرة شيكولاتة صيامي",'تحليل التكلفة والسعر'!$B$2:$B$700,0))&gt;=AVERAGEIFS('تحليل التكلفة والسعر'!$H$2:$H$700,'تحليل التكلفة والسعر'!$A$2:$A$700,$A116,'تحليل التكلفة والسعر'!$C$2:$C$700,"&gt;0")),"⭐ نجم",IF(AND($E116&gt;=AVERAGEIFS($E$5:$E$175,$A$5:$A$175,$A116,$E$5:$E$175,"&gt;0"),INDEX('تحليل التكلفة والسعر'!$H$2:$H$700,MATCH("فطيرة شيكولاتة صيامي",'تحليل التكلفة والسعر'!$B$2:$B$700,0))&lt;AVERAGEIFS('تحليل التكلفة والسعر'!$H$2:$H$700,'تحليل التكلفة والسعر'!$A$2:$A$700,$A116,'تحليل التكلفة والسعر'!$C$2:$C$700,"&gt;0")),"🐎 حصان عمل",IF(AND($E116&lt;AVERAGEIFS($E$5:$E$175,$A$5:$A$175,$A116,$E$5:$E$175,"&gt;0"),INDEX('تحليل التكلفة والسعر'!$H$2:$H$700,MATCH("فطيرة شيكولاتة صيامي",'تحليل التكلفة والسعر'!$B$2:$B$700,0))&gt;=AVERAGEIFS('تحليل التكلفة والسعر'!$H$2:$H$700,'تحليل التكلفة والسعر'!$A$2:$A$700,$A116,'تحليل التكلفة والسعر'!$C$2:$C$700,"&gt;0")),"🧩 لغز","🐶 كلب"))))</f>
        <v>بيانات غير كافية</v>
      </c>
      <c r="G116" s="49" t="n">
        <v>0</v>
      </c>
      <c r="H116" s="11" t="str">
        <f aca="false">IF(OR(NOT(INDEX('تحليل التكلفة والسعر'!$C$2:$C$700,MATCH("فطيرة شيكولاتة صيامي",'تحليل التكلفة والسعر'!$B$2:$B$700,0))&gt;0),$G116=0),"بيانات غير كافية",IF(AND($G116&gt;=AVERAGEIFS($G$5:$G$175,$A$5:$A$175,$A116,$G$5:$G$175,"&gt;0"),INDEX('تحليل التكلفة والسعر'!$H$2:$H$700,MATCH("فطيرة شيكولاتة صيامي",'تحليل التكلفة والسعر'!$B$2:$B$700,0))&gt;=AVERAGEIFS('تحليل التكلفة والسعر'!$H$2:$H$700,'تحليل التكلفة والسعر'!$A$2:$A$700,$A116,'تحليل التكلفة والسعر'!$C$2:$C$700,"&gt;0")),"⭐ نجم",IF(AND($G116&gt;=AVERAGEIFS($G$5:$G$175,$A$5:$A$175,$A116,$G$5:$G$175,"&gt;0"),INDEX('تحليل التكلفة والسعر'!$H$2:$H$700,MATCH("فطيرة شيكولاتة صيامي",'تحليل التكلفة والسعر'!$B$2:$B$700,0))&lt;AVERAGEIFS('تحليل التكلفة والسعر'!$H$2:$H$700,'تحليل التكلفة والسعر'!$A$2:$A$700,$A116,'تحليل التكلفة والسعر'!$C$2:$C$700,"&gt;0")),"🐎 حصان عمل",IF(AND($G116&lt;AVERAGEIFS($G$5:$G$175,$A$5:$A$175,$A116,$G$5:$G$175,"&gt;0"),INDEX('تحليل التكلفة والسعر'!$H$2:$H$700,MATCH("فطيرة شيكولاتة صيامي",'تحليل التكلفة والسعر'!$B$2:$B$700,0))&gt;=AVERAGEIFS('تحليل التكلفة والسعر'!$H$2:$H$700,'تحليل التكلفة والسعر'!$A$2:$A$700,$A116,'تحليل التكلفة والسعر'!$C$2:$C$700,"&gt;0")),"🧩 لغز","🐶 كلب"))))</f>
        <v>بيانات غير كافية</v>
      </c>
    </row>
    <row r="117" customFormat="false" ht="26.25" hidden="false" customHeight="true" outlineLevel="0" collapsed="false">
      <c r="A117" s="11" t="s">
        <v>18</v>
      </c>
      <c r="B117" s="11" t="s">
        <v>492</v>
      </c>
      <c r="C117" s="13" t="n">
        <f aca="false">IFERROR(INDEX('تحليل التكلفة والسعر'!$D$2:$D$700,MATCH("فطيرة لوتس صيامي",'تحليل التكلفة والسعر'!$B$2:$B$700,0)),"")</f>
        <v>140</v>
      </c>
      <c r="D117" s="12" t="n">
        <f aca="false">IFERROR(INDEX('تحليل التكلفة والسعر'!$I$2:$I$700,MATCH("فطيرة لوتس صيامي",'تحليل التكلفة والسعر'!$B$2:$B$700,0)),"")</f>
        <v>0.690225</v>
      </c>
      <c r="E117" s="49" t="n">
        <v>0</v>
      </c>
      <c r="F117" s="11" t="str">
        <f aca="false">IF(OR(NOT(INDEX('تحليل التكلفة والسعر'!$C$2:$C$700,MATCH("فطيرة لوتس صيامي",'تحليل التكلفة والسعر'!$B$2:$B$700,0))&gt;0),$E117=0),"بيانات غير كافية",IF(AND($E117&gt;=AVERAGEIFS($E$5:$E$175,$A$5:$A$175,$A117,$E$5:$E$175,"&gt;0"),INDEX('تحليل التكلفة والسعر'!$H$2:$H$700,MATCH("فطيرة لوتس صيامي",'تحليل التكلفة والسعر'!$B$2:$B$700,0))&gt;=AVERAGEIFS('تحليل التكلفة والسعر'!$H$2:$H$700,'تحليل التكلفة والسعر'!$A$2:$A$700,$A117,'تحليل التكلفة والسعر'!$C$2:$C$700,"&gt;0")),"⭐ نجم",IF(AND($E117&gt;=AVERAGEIFS($E$5:$E$175,$A$5:$A$175,$A117,$E$5:$E$175,"&gt;0"),INDEX('تحليل التكلفة والسعر'!$H$2:$H$700,MATCH("فطيرة لوتس صيامي",'تحليل التكلفة والسعر'!$B$2:$B$700,0))&lt;AVERAGEIFS('تحليل التكلفة والسعر'!$H$2:$H$700,'تحليل التكلفة والسعر'!$A$2:$A$700,$A117,'تحليل التكلفة والسعر'!$C$2:$C$700,"&gt;0")),"🐎 حصان عمل",IF(AND($E117&lt;AVERAGEIFS($E$5:$E$175,$A$5:$A$175,$A117,$E$5:$E$175,"&gt;0"),INDEX('تحليل التكلفة والسعر'!$H$2:$H$700,MATCH("فطيرة لوتس صيامي",'تحليل التكلفة والسعر'!$B$2:$B$700,0))&gt;=AVERAGEIFS('تحليل التكلفة والسعر'!$H$2:$H$700,'تحليل التكلفة والسعر'!$A$2:$A$700,$A117,'تحليل التكلفة والسعر'!$C$2:$C$700,"&gt;0")),"🧩 لغز","🐶 كلب"))))</f>
        <v>بيانات غير كافية</v>
      </c>
      <c r="G117" s="49" t="n">
        <v>0</v>
      </c>
      <c r="H117" s="11" t="str">
        <f aca="false">IF(OR(NOT(INDEX('تحليل التكلفة والسعر'!$C$2:$C$700,MATCH("فطيرة لوتس صيامي",'تحليل التكلفة والسعر'!$B$2:$B$700,0))&gt;0),$G117=0),"بيانات غير كافية",IF(AND($G117&gt;=AVERAGEIFS($G$5:$G$175,$A$5:$A$175,$A117,$G$5:$G$175,"&gt;0"),INDEX('تحليل التكلفة والسعر'!$H$2:$H$700,MATCH("فطيرة لوتس صيامي",'تحليل التكلفة والسعر'!$B$2:$B$700,0))&gt;=AVERAGEIFS('تحليل التكلفة والسعر'!$H$2:$H$700,'تحليل التكلفة والسعر'!$A$2:$A$700,$A117,'تحليل التكلفة والسعر'!$C$2:$C$700,"&gt;0")),"⭐ نجم",IF(AND($G117&gt;=AVERAGEIFS($G$5:$G$175,$A$5:$A$175,$A117,$G$5:$G$175,"&gt;0"),INDEX('تحليل التكلفة والسعر'!$H$2:$H$700,MATCH("فطيرة لوتس صيامي",'تحليل التكلفة والسعر'!$B$2:$B$700,0))&lt;AVERAGEIFS('تحليل التكلفة والسعر'!$H$2:$H$700,'تحليل التكلفة والسعر'!$A$2:$A$700,$A117,'تحليل التكلفة والسعر'!$C$2:$C$700,"&gt;0")),"🐎 حصان عمل",IF(AND($G117&lt;AVERAGEIFS($G$5:$G$175,$A$5:$A$175,$A117,$G$5:$G$175,"&gt;0"),INDEX('تحليل التكلفة والسعر'!$H$2:$H$700,MATCH("فطيرة لوتس صيامي",'تحليل التكلفة والسعر'!$B$2:$B$700,0))&gt;=AVERAGEIFS('تحليل التكلفة والسعر'!$H$2:$H$700,'تحليل التكلفة والسعر'!$A$2:$A$700,$A117,'تحليل التكلفة والسعر'!$C$2:$C$700,"&gt;0")),"🧩 لغز","🐶 كلب"))))</f>
        <v>بيانات غير كافية</v>
      </c>
    </row>
    <row r="118" customFormat="false" ht="15" hidden="false" customHeight="true" outlineLevel="0" collapsed="false">
      <c r="A118" s="11" t="s">
        <v>19</v>
      </c>
      <c r="B118" s="11" t="s">
        <v>446</v>
      </c>
      <c r="C118" s="13" t="n">
        <f aca="false">IFERROR(INDEX('تحليل التكلفة والسعر'!$D$2:$D$700,MATCH("قنبلة برجر صيامي",'تحليل التكلفة والسعر'!$B$2:$B$700,0)),"")</f>
        <v>160</v>
      </c>
      <c r="D118" s="12" t="n">
        <f aca="false">IFERROR(INDEX('تحليل التكلفة والسعر'!$I$2:$I$700,MATCH("قنبلة برجر صيامي",'تحليل التكلفة والسعر'!$B$2:$B$700,0)),"")</f>
        <v>0.6193225</v>
      </c>
      <c r="E118" s="49" t="n">
        <v>0</v>
      </c>
      <c r="F118" s="11" t="str">
        <f aca="false">IF(OR(NOT(INDEX('تحليل التكلفة والسعر'!$C$2:$C$700,MATCH("قنبلة برجر صيامي",'تحليل التكلفة والسعر'!$B$2:$B$700,0))&gt;0),$E118=0),"بيانات غير كافية",IF(AND($E118&gt;=AVERAGEIFS($E$5:$E$175,$A$5:$A$175,$A118,$E$5:$E$175,"&gt;0"),INDEX('تحليل التكلفة والسعر'!$H$2:$H$700,MATCH("قنبلة برجر صيامي",'تحليل التكلفة والسعر'!$B$2:$B$700,0))&gt;=AVERAGEIFS('تحليل التكلفة والسعر'!$H$2:$H$700,'تحليل التكلفة والسعر'!$A$2:$A$700,$A118,'تحليل التكلفة والسعر'!$C$2:$C$700,"&gt;0")),"⭐ نجم",IF(AND($E118&gt;=AVERAGEIFS($E$5:$E$175,$A$5:$A$175,$A118,$E$5:$E$175,"&gt;0"),INDEX('تحليل التكلفة والسعر'!$H$2:$H$700,MATCH("قنبلة برجر صيامي",'تحليل التكلفة والسعر'!$B$2:$B$700,0))&lt;AVERAGEIFS('تحليل التكلفة والسعر'!$H$2:$H$700,'تحليل التكلفة والسعر'!$A$2:$A$700,$A118,'تحليل التكلفة والسعر'!$C$2:$C$700,"&gt;0")),"🐎 حصان عمل",IF(AND($E118&lt;AVERAGEIFS($E$5:$E$175,$A$5:$A$175,$A118,$E$5:$E$175,"&gt;0"),INDEX('تحليل التكلفة والسعر'!$H$2:$H$700,MATCH("قنبلة برجر صيامي",'تحليل التكلفة والسعر'!$B$2:$B$700,0))&gt;=AVERAGEIFS('تحليل التكلفة والسعر'!$H$2:$H$700,'تحليل التكلفة والسعر'!$A$2:$A$700,$A118,'تحليل التكلفة والسعر'!$C$2:$C$700,"&gt;0")),"🧩 لغز","🐶 كلب"))))</f>
        <v>بيانات غير كافية</v>
      </c>
      <c r="G118" s="49" t="n">
        <v>0</v>
      </c>
      <c r="H118" s="11" t="str">
        <f aca="false">IF(OR(NOT(INDEX('تحليل التكلفة والسعر'!$C$2:$C$700,MATCH("قنبلة برجر صيامي",'تحليل التكلفة والسعر'!$B$2:$B$700,0))&gt;0),$G118=0),"بيانات غير كافية",IF(AND($G118&gt;=AVERAGEIFS($G$5:$G$175,$A$5:$A$175,$A118,$G$5:$G$175,"&gt;0"),INDEX('تحليل التكلفة والسعر'!$H$2:$H$700,MATCH("قنبلة برجر صيامي",'تحليل التكلفة والسعر'!$B$2:$B$700,0))&gt;=AVERAGEIFS('تحليل التكلفة والسعر'!$H$2:$H$700,'تحليل التكلفة والسعر'!$A$2:$A$700,$A118,'تحليل التكلفة والسعر'!$C$2:$C$700,"&gt;0")),"⭐ نجم",IF(AND($G118&gt;=AVERAGEIFS($G$5:$G$175,$A$5:$A$175,$A118,$G$5:$G$175,"&gt;0"),INDEX('تحليل التكلفة والسعر'!$H$2:$H$700,MATCH("قنبلة برجر صيامي",'تحليل التكلفة والسعر'!$B$2:$B$700,0))&lt;AVERAGEIFS('تحليل التكلفة والسعر'!$H$2:$H$700,'تحليل التكلفة والسعر'!$A$2:$A$700,$A118,'تحليل التكلفة والسعر'!$C$2:$C$700,"&gt;0")),"🐎 حصان عمل",IF(AND($G118&lt;AVERAGEIFS($G$5:$G$175,$A$5:$A$175,$A118,$G$5:$G$175,"&gt;0"),INDEX('تحليل التكلفة والسعر'!$H$2:$H$700,MATCH("قنبلة برجر صيامي",'تحليل التكلفة والسعر'!$B$2:$B$700,0))&gt;=AVERAGEIFS('تحليل التكلفة والسعر'!$H$2:$H$700,'تحليل التكلفة والسعر'!$A$2:$A$700,$A118,'تحليل التكلفة والسعر'!$C$2:$C$700,"&gt;0")),"🧩 لغز","🐶 كلب"))))</f>
        <v>بيانات غير كافية</v>
      </c>
    </row>
    <row r="119" customFormat="false" ht="15" hidden="false" customHeight="true" outlineLevel="0" collapsed="false">
      <c r="A119" s="11" t="s">
        <v>19</v>
      </c>
      <c r="B119" s="11" t="s">
        <v>405</v>
      </c>
      <c r="C119" s="13" t="n">
        <f aca="false">IFERROR(INDEX('تحليل التكلفة والسعر'!$D$2:$D$700,MATCH("قنبلة كريسبي صيامي",'تحليل التكلفة والسعر'!$B$2:$B$700,0)),"")</f>
        <v>160</v>
      </c>
      <c r="D119" s="12" t="n">
        <f aca="false">IFERROR(INDEX('تحليل التكلفة والسعر'!$I$2:$I$700,MATCH("قنبلة كريسبي صيامي",'تحليل التكلفة والسعر'!$B$2:$B$700,0)),"")</f>
        <v>0.576649375</v>
      </c>
      <c r="E119" s="49" t="n">
        <v>0</v>
      </c>
      <c r="F119" s="11" t="str">
        <f aca="false">IF(OR(NOT(INDEX('تحليل التكلفة والسعر'!$C$2:$C$700,MATCH("قنبلة كريسبي صيامي",'تحليل التكلفة والسعر'!$B$2:$B$700,0))&gt;0),$E119=0),"بيانات غير كافية",IF(AND($E119&gt;=AVERAGEIFS($E$5:$E$175,$A$5:$A$175,$A119,$E$5:$E$175,"&gt;0"),INDEX('تحليل التكلفة والسعر'!$H$2:$H$700,MATCH("قنبلة كريسبي صيامي",'تحليل التكلفة والسعر'!$B$2:$B$700,0))&gt;=AVERAGEIFS('تحليل التكلفة والسعر'!$H$2:$H$700,'تحليل التكلفة والسعر'!$A$2:$A$700,$A119,'تحليل التكلفة والسعر'!$C$2:$C$700,"&gt;0")),"⭐ نجم",IF(AND($E119&gt;=AVERAGEIFS($E$5:$E$175,$A$5:$A$175,$A119,$E$5:$E$175,"&gt;0"),INDEX('تحليل التكلفة والسعر'!$H$2:$H$700,MATCH("قنبلة كريسبي صيامي",'تحليل التكلفة والسعر'!$B$2:$B$700,0))&lt;AVERAGEIFS('تحليل التكلفة والسعر'!$H$2:$H$700,'تحليل التكلفة والسعر'!$A$2:$A$700,$A119,'تحليل التكلفة والسعر'!$C$2:$C$700,"&gt;0")),"🐎 حصان عمل",IF(AND($E119&lt;AVERAGEIFS($E$5:$E$175,$A$5:$A$175,$A119,$E$5:$E$175,"&gt;0"),INDEX('تحليل التكلفة والسعر'!$H$2:$H$700,MATCH("قنبلة كريسبي صيامي",'تحليل التكلفة والسعر'!$B$2:$B$700,0))&gt;=AVERAGEIFS('تحليل التكلفة والسعر'!$H$2:$H$700,'تحليل التكلفة والسعر'!$A$2:$A$700,$A119,'تحليل التكلفة والسعر'!$C$2:$C$700,"&gt;0")),"🧩 لغز","🐶 كلب"))))</f>
        <v>بيانات غير كافية</v>
      </c>
      <c r="G119" s="49" t="n">
        <v>0</v>
      </c>
      <c r="H119" s="11" t="str">
        <f aca="false">IF(OR(NOT(INDEX('تحليل التكلفة والسعر'!$C$2:$C$700,MATCH("قنبلة كريسبي صيامي",'تحليل التكلفة والسعر'!$B$2:$B$700,0))&gt;0),$G119=0),"بيانات غير كافية",IF(AND($G119&gt;=AVERAGEIFS($G$5:$G$175,$A$5:$A$175,$A119,$G$5:$G$175,"&gt;0"),INDEX('تحليل التكلفة والسعر'!$H$2:$H$700,MATCH("قنبلة كريسبي صيامي",'تحليل التكلفة والسعر'!$B$2:$B$700,0))&gt;=AVERAGEIFS('تحليل التكلفة والسعر'!$H$2:$H$700,'تحليل التكلفة والسعر'!$A$2:$A$700,$A119,'تحليل التكلفة والسعر'!$C$2:$C$700,"&gt;0")),"⭐ نجم",IF(AND($G119&gt;=AVERAGEIFS($G$5:$G$175,$A$5:$A$175,$A119,$G$5:$G$175,"&gt;0"),INDEX('تحليل التكلفة والسعر'!$H$2:$H$700,MATCH("قنبلة كريسبي صيامي",'تحليل التكلفة والسعر'!$B$2:$B$700,0))&lt;AVERAGEIFS('تحليل التكلفة والسعر'!$H$2:$H$700,'تحليل التكلفة والسعر'!$A$2:$A$700,$A119,'تحليل التكلفة والسعر'!$C$2:$C$700,"&gt;0")),"🐎 حصان عمل",IF(AND($G119&lt;AVERAGEIFS($G$5:$G$175,$A$5:$A$175,$A119,$G$5:$G$175,"&gt;0"),INDEX('تحليل التكلفة والسعر'!$H$2:$H$700,MATCH("قنبلة كريسبي صيامي",'تحليل التكلفة والسعر'!$B$2:$B$700,0))&gt;=AVERAGEIFS('تحليل التكلفة والسعر'!$H$2:$H$700,'تحليل التكلفة والسعر'!$A$2:$A$700,$A119,'تحليل التكلفة والسعر'!$C$2:$C$700,"&gt;0")),"🧩 لغز","🐶 كلب"))))</f>
        <v>بيانات غير كافية</v>
      </c>
    </row>
    <row r="120" customFormat="false" ht="15" hidden="false" customHeight="true" outlineLevel="0" collapsed="false">
      <c r="A120" s="11" t="s">
        <v>19</v>
      </c>
      <c r="B120" s="11" t="s">
        <v>451</v>
      </c>
      <c r="C120" s="13" t="n">
        <f aca="false">IFERROR(INDEX('تحليل التكلفة والسعر'!$D$2:$D$700,MATCH("بهججة بيتزا برجر صيامي",'تحليل التكلفة والسعر'!$B$2:$B$700,0)),"")</f>
        <v>170</v>
      </c>
      <c r="D120" s="12" t="n">
        <f aca="false">IFERROR(INDEX('تحليل التكلفة والسعر'!$I$2:$I$700,MATCH("بهججة بيتزا برجر صيامي",'تحليل التكلفة والسعر'!$B$2:$B$700,0)),"")</f>
        <v>0.590244705882353</v>
      </c>
      <c r="E120" s="49" t="n">
        <v>0</v>
      </c>
      <c r="F120" s="11" t="str">
        <f aca="false">IF(OR(NOT(INDEX('تحليل التكلفة والسعر'!$C$2:$C$700,MATCH("بهججة بيتزا برجر صيامي",'تحليل التكلفة والسعر'!$B$2:$B$700,0))&gt;0),$E120=0),"بيانات غير كافية",IF(AND($E120&gt;=AVERAGEIFS($E$5:$E$175,$A$5:$A$175,$A120,$E$5:$E$175,"&gt;0"),INDEX('تحليل التكلفة والسعر'!$H$2:$H$700,MATCH("بهججة بيتزا برجر صيامي",'تحليل التكلفة والسعر'!$B$2:$B$700,0))&gt;=AVERAGEIFS('تحليل التكلفة والسعر'!$H$2:$H$700,'تحليل التكلفة والسعر'!$A$2:$A$700,$A120,'تحليل التكلفة والسعر'!$C$2:$C$700,"&gt;0")),"⭐ نجم",IF(AND($E120&gt;=AVERAGEIFS($E$5:$E$175,$A$5:$A$175,$A120,$E$5:$E$175,"&gt;0"),INDEX('تحليل التكلفة والسعر'!$H$2:$H$700,MATCH("بهججة بيتزا برجر صيامي",'تحليل التكلفة والسعر'!$B$2:$B$700,0))&lt;AVERAGEIFS('تحليل التكلفة والسعر'!$H$2:$H$700,'تحليل التكلفة والسعر'!$A$2:$A$700,$A120,'تحليل التكلفة والسعر'!$C$2:$C$700,"&gt;0")),"🐎 حصان عمل",IF(AND($E120&lt;AVERAGEIFS($E$5:$E$175,$A$5:$A$175,$A120,$E$5:$E$175,"&gt;0"),INDEX('تحليل التكلفة والسعر'!$H$2:$H$700,MATCH("بهججة بيتزا برجر صيامي",'تحليل التكلفة والسعر'!$B$2:$B$700,0))&gt;=AVERAGEIFS('تحليل التكلفة والسعر'!$H$2:$H$700,'تحليل التكلفة والسعر'!$A$2:$A$700,$A120,'تحليل التكلفة والسعر'!$C$2:$C$700,"&gt;0")),"🧩 لغز","🐶 كلب"))))</f>
        <v>بيانات غير كافية</v>
      </c>
      <c r="G120" s="49" t="n">
        <v>0</v>
      </c>
      <c r="H120" s="11" t="str">
        <f aca="false">IF(OR(NOT(INDEX('تحليل التكلفة والسعر'!$C$2:$C$700,MATCH("بهججة بيتزا برجر صيامي",'تحليل التكلفة والسعر'!$B$2:$B$700,0))&gt;0),$G120=0),"بيانات غير كافية",IF(AND($G120&gt;=AVERAGEIFS($G$5:$G$175,$A$5:$A$175,$A120,$G$5:$G$175,"&gt;0"),INDEX('تحليل التكلفة والسعر'!$H$2:$H$700,MATCH("بهججة بيتزا برجر صيامي",'تحليل التكلفة والسعر'!$B$2:$B$700,0))&gt;=AVERAGEIFS('تحليل التكلفة والسعر'!$H$2:$H$700,'تحليل التكلفة والسعر'!$A$2:$A$700,$A120,'تحليل التكلفة والسعر'!$C$2:$C$700,"&gt;0")),"⭐ نجم",IF(AND($G120&gt;=AVERAGEIFS($G$5:$G$175,$A$5:$A$175,$A120,$G$5:$G$175,"&gt;0"),INDEX('تحليل التكلفة والسعر'!$H$2:$H$700,MATCH("بهججة بيتزا برجر صيامي",'تحليل التكلفة والسعر'!$B$2:$B$700,0))&lt;AVERAGEIFS('تحليل التكلفة والسعر'!$H$2:$H$700,'تحليل التكلفة والسعر'!$A$2:$A$700,$A120,'تحليل التكلفة والسعر'!$C$2:$C$700,"&gt;0")),"🐎 حصان عمل",IF(AND($G120&lt;AVERAGEIFS($G$5:$G$175,$A$5:$A$175,$A120,$G$5:$G$175,"&gt;0"),INDEX('تحليل التكلفة والسعر'!$H$2:$H$700,MATCH("بهججة بيتزا برجر صيامي",'تحليل التكلفة والسعر'!$B$2:$B$700,0))&gt;=AVERAGEIFS('تحليل التكلفة والسعر'!$H$2:$H$700,'تحليل التكلفة والسعر'!$A$2:$A$700,$A120,'تحليل التكلفة والسعر'!$C$2:$C$700,"&gt;0")),"🧩 لغز","🐶 كلب"))))</f>
        <v>بيانات غير كافية</v>
      </c>
    </row>
    <row r="121" customFormat="false" ht="15" hidden="false" customHeight="true" outlineLevel="0" collapsed="false">
      <c r="A121" s="11" t="s">
        <v>19</v>
      </c>
      <c r="B121" s="11" t="s">
        <v>407</v>
      </c>
      <c r="C121" s="13" t="n">
        <f aca="false">IFERROR(INDEX('تحليل التكلفة والسعر'!$D$2:$D$700,MATCH("بهججة كريسبي صيامي",'تحليل التكلفة والسعر'!$B$2:$B$700,0)),"")</f>
        <v>170</v>
      </c>
      <c r="D121" s="12" t="n">
        <f aca="false">IFERROR(INDEX('تحليل التكلفة والسعر'!$I$2:$I$700,MATCH("بهججة كريسبي صيامي",'تحليل التكلفة والسعر'!$B$2:$B$700,0)),"")</f>
        <v>0.550081764705882</v>
      </c>
      <c r="E121" s="49" t="n">
        <v>0</v>
      </c>
      <c r="F121" s="11" t="str">
        <f aca="false">IF(OR(NOT(INDEX('تحليل التكلفة والسعر'!$C$2:$C$700,MATCH("بهججة كريسبي صيامي",'تحليل التكلفة والسعر'!$B$2:$B$700,0))&gt;0),$E121=0),"بيانات غير كافية",IF(AND($E121&gt;=AVERAGEIFS($E$5:$E$175,$A$5:$A$175,$A121,$E$5:$E$175,"&gt;0"),INDEX('تحليل التكلفة والسعر'!$H$2:$H$700,MATCH("بهججة كريسبي صيامي",'تحليل التكلفة والسعر'!$B$2:$B$700,0))&gt;=AVERAGEIFS('تحليل التكلفة والسعر'!$H$2:$H$700,'تحليل التكلفة والسعر'!$A$2:$A$700,$A121,'تحليل التكلفة والسعر'!$C$2:$C$700,"&gt;0")),"⭐ نجم",IF(AND($E121&gt;=AVERAGEIFS($E$5:$E$175,$A$5:$A$175,$A121,$E$5:$E$175,"&gt;0"),INDEX('تحليل التكلفة والسعر'!$H$2:$H$700,MATCH("بهججة كريسبي صيامي",'تحليل التكلفة والسعر'!$B$2:$B$700,0))&lt;AVERAGEIFS('تحليل التكلفة والسعر'!$H$2:$H$700,'تحليل التكلفة والسعر'!$A$2:$A$700,$A121,'تحليل التكلفة والسعر'!$C$2:$C$700,"&gt;0")),"🐎 حصان عمل",IF(AND($E121&lt;AVERAGEIFS($E$5:$E$175,$A$5:$A$175,$A121,$E$5:$E$175,"&gt;0"),INDEX('تحليل التكلفة والسعر'!$H$2:$H$700,MATCH("بهججة كريسبي صيامي",'تحليل التكلفة والسعر'!$B$2:$B$700,0))&gt;=AVERAGEIFS('تحليل التكلفة والسعر'!$H$2:$H$700,'تحليل التكلفة والسعر'!$A$2:$A$700,$A121,'تحليل التكلفة والسعر'!$C$2:$C$700,"&gt;0")),"🧩 لغز","🐶 كلب"))))</f>
        <v>بيانات غير كافية</v>
      </c>
      <c r="G121" s="49" t="n">
        <v>0</v>
      </c>
      <c r="H121" s="11" t="str">
        <f aca="false">IF(OR(NOT(INDEX('تحليل التكلفة والسعر'!$C$2:$C$700,MATCH("بهججة كريسبي صيامي",'تحليل التكلفة والسعر'!$B$2:$B$700,0))&gt;0),$G121=0),"بيانات غير كافية",IF(AND($G121&gt;=AVERAGEIFS($G$5:$G$175,$A$5:$A$175,$A121,$G$5:$G$175,"&gt;0"),INDEX('تحليل التكلفة والسعر'!$H$2:$H$700,MATCH("بهججة كريسبي صيامي",'تحليل التكلفة والسعر'!$B$2:$B$700,0))&gt;=AVERAGEIFS('تحليل التكلفة والسعر'!$H$2:$H$700,'تحليل التكلفة والسعر'!$A$2:$A$700,$A121,'تحليل التكلفة والسعر'!$C$2:$C$700,"&gt;0")),"⭐ نجم",IF(AND($G121&gt;=AVERAGEIFS($G$5:$G$175,$A$5:$A$175,$A121,$G$5:$G$175,"&gt;0"),INDEX('تحليل التكلفة والسعر'!$H$2:$H$700,MATCH("بهججة كريسبي صيامي",'تحليل التكلفة والسعر'!$B$2:$B$700,0))&lt;AVERAGEIFS('تحليل التكلفة والسعر'!$H$2:$H$700,'تحليل التكلفة والسعر'!$A$2:$A$700,$A121,'تحليل التكلفة والسعر'!$C$2:$C$700,"&gt;0")),"🐎 حصان عمل",IF(AND($G121&lt;AVERAGEIFS($G$5:$G$175,$A$5:$A$175,$A121,$G$5:$G$175,"&gt;0"),INDEX('تحليل التكلفة والسعر'!$H$2:$H$700,MATCH("بهججة كريسبي صيامي",'تحليل التكلفة والسعر'!$B$2:$B$700,0))&gt;=AVERAGEIFS('تحليل التكلفة والسعر'!$H$2:$H$700,'تحليل التكلفة والسعر'!$A$2:$A$700,$A121,'تحليل التكلفة والسعر'!$C$2:$C$700,"&gt;0")),"🧩 لغز","🐶 كلب"))))</f>
        <v>بيانات غير كافية</v>
      </c>
    </row>
    <row r="122" customFormat="false" ht="15" hidden="false" customHeight="true" outlineLevel="0" collapsed="false">
      <c r="A122" s="11" t="s">
        <v>20</v>
      </c>
      <c r="B122" s="11" t="s">
        <v>520</v>
      </c>
      <c r="C122" s="13" t="n">
        <f aca="false">IFERROR(INDEX('تحليل التكلفة والسعر'!$D$2:$D$700,MATCH("مكرونة صوص ابيض خضروات صيامي",'تحليل التكلفة والسعر'!$B$2:$B$700,0)),"")</f>
        <v>100</v>
      </c>
      <c r="D122" s="12" t="n">
        <f aca="false">IFERROR(INDEX('تحليل التكلفة والسعر'!$I$2:$I$700,MATCH("مكرونة صوص ابيض خضروات صيامي",'تحليل التكلفة والسعر'!$B$2:$B$700,0)),"")</f>
        <v>0.625381</v>
      </c>
      <c r="E122" s="49" t="n">
        <v>0</v>
      </c>
      <c r="F122" s="11" t="str">
        <f aca="false">IF(OR(NOT(INDEX('تحليل التكلفة والسعر'!$C$2:$C$700,MATCH("مكرونة صوص ابيض خضروات صيامي",'تحليل التكلفة والسعر'!$B$2:$B$700,0))&gt;0),$E122=0),"بيانات غير كافية",IF(AND($E122&gt;=AVERAGEIFS($E$5:$E$175,$A$5:$A$175,$A122,$E$5:$E$175,"&gt;0"),INDEX('تحليل التكلفة والسعر'!$H$2:$H$700,MATCH("مكرونة صوص ابيض خضروات صيامي",'تحليل التكلفة والسعر'!$B$2:$B$700,0))&gt;=AVERAGEIFS('تحليل التكلفة والسعر'!$H$2:$H$700,'تحليل التكلفة والسعر'!$A$2:$A$700,$A122,'تحليل التكلفة والسعر'!$C$2:$C$700,"&gt;0")),"⭐ نجم",IF(AND($E122&gt;=AVERAGEIFS($E$5:$E$175,$A$5:$A$175,$A122,$E$5:$E$175,"&gt;0"),INDEX('تحليل التكلفة والسعر'!$H$2:$H$700,MATCH("مكرونة صوص ابيض خضروات صيامي",'تحليل التكلفة والسعر'!$B$2:$B$700,0))&lt;AVERAGEIFS('تحليل التكلفة والسعر'!$H$2:$H$700,'تحليل التكلفة والسعر'!$A$2:$A$700,$A122,'تحليل التكلفة والسعر'!$C$2:$C$700,"&gt;0")),"🐎 حصان عمل",IF(AND($E122&lt;AVERAGEIFS($E$5:$E$175,$A$5:$A$175,$A122,$E$5:$E$175,"&gt;0"),INDEX('تحليل التكلفة والسعر'!$H$2:$H$700,MATCH("مكرونة صوص ابيض خضروات صيامي",'تحليل التكلفة والسعر'!$B$2:$B$700,0))&gt;=AVERAGEIFS('تحليل التكلفة والسعر'!$H$2:$H$700,'تحليل التكلفة والسعر'!$A$2:$A$700,$A122,'تحليل التكلفة والسعر'!$C$2:$C$700,"&gt;0")),"🧩 لغز","🐶 كلب"))))</f>
        <v>بيانات غير كافية</v>
      </c>
      <c r="G122" s="49" t="n">
        <v>0</v>
      </c>
      <c r="H122" s="11" t="str">
        <f aca="false">IF(OR(NOT(INDEX('تحليل التكلفة والسعر'!$C$2:$C$700,MATCH("مكرونة صوص ابيض خضروات صيامي",'تحليل التكلفة والسعر'!$B$2:$B$700,0))&gt;0),$G122=0),"بيانات غير كافية",IF(AND($G122&gt;=AVERAGEIFS($G$5:$G$175,$A$5:$A$175,$A122,$G$5:$G$175,"&gt;0"),INDEX('تحليل التكلفة والسعر'!$H$2:$H$700,MATCH("مكرونة صوص ابيض خضروات صيامي",'تحليل التكلفة والسعر'!$B$2:$B$700,0))&gt;=AVERAGEIFS('تحليل التكلفة والسعر'!$H$2:$H$700,'تحليل التكلفة والسعر'!$A$2:$A$700,$A122,'تحليل التكلفة والسعر'!$C$2:$C$700,"&gt;0")),"⭐ نجم",IF(AND($G122&gt;=AVERAGEIFS($G$5:$G$175,$A$5:$A$175,$A122,$G$5:$G$175,"&gt;0"),INDEX('تحليل التكلفة والسعر'!$H$2:$H$700,MATCH("مكرونة صوص ابيض خضروات صيامي",'تحليل التكلفة والسعر'!$B$2:$B$700,0))&lt;AVERAGEIFS('تحليل التكلفة والسعر'!$H$2:$H$700,'تحليل التكلفة والسعر'!$A$2:$A$700,$A122,'تحليل التكلفة والسعر'!$C$2:$C$700,"&gt;0")),"🐎 حصان عمل",IF(AND($G122&lt;AVERAGEIFS($G$5:$G$175,$A$5:$A$175,$A122,$G$5:$G$175,"&gt;0"),INDEX('تحليل التكلفة والسعر'!$H$2:$H$700,MATCH("مكرونة صوص ابيض خضروات صيامي",'تحليل التكلفة والسعر'!$B$2:$B$700,0))&gt;=AVERAGEIFS('تحليل التكلفة والسعر'!$H$2:$H$700,'تحليل التكلفة والسعر'!$A$2:$A$700,$A122,'تحليل التكلفة والسعر'!$C$2:$C$700,"&gt;0")),"🧩 لغز","🐶 كلب"))))</f>
        <v>بيانات غير كافية</v>
      </c>
    </row>
    <row r="123" customFormat="false" ht="15" hidden="false" customHeight="true" outlineLevel="0" collapsed="false">
      <c r="A123" s="11" t="s">
        <v>20</v>
      </c>
      <c r="B123" s="11" t="s">
        <v>398</v>
      </c>
      <c r="C123" s="13" t="n">
        <f aca="false">IFERROR(INDEX('تحليل التكلفة والسعر'!$D$2:$D$700,MATCH("مكرونة مشروم صيامي",'تحليل التكلفة والسعر'!$B$2:$B$700,0)),"")</f>
        <v>130</v>
      </c>
      <c r="D123" s="12" t="n">
        <f aca="false">IFERROR(INDEX('تحليل التكلفة والسعر'!$I$2:$I$700,MATCH("مكرونة مشروم صيامي",'تحليل التكلفة والسعر'!$B$2:$B$700,0)),"")</f>
        <v>0.642045676923077</v>
      </c>
      <c r="E123" s="49" t="n">
        <v>0</v>
      </c>
      <c r="F123" s="11" t="str">
        <f aca="false">IF(OR(NOT(INDEX('تحليل التكلفة والسعر'!$C$2:$C$700,MATCH("مكرونة مشروم صيامي",'تحليل التكلفة والسعر'!$B$2:$B$700,0))&gt;0),$E123=0),"بيانات غير كافية",IF(AND($E123&gt;=AVERAGEIFS($E$5:$E$175,$A$5:$A$175,$A123,$E$5:$E$175,"&gt;0"),INDEX('تحليل التكلفة والسعر'!$H$2:$H$700,MATCH("مكرونة مشروم صيامي",'تحليل التكلفة والسعر'!$B$2:$B$700,0))&gt;=AVERAGEIFS('تحليل التكلفة والسعر'!$H$2:$H$700,'تحليل التكلفة والسعر'!$A$2:$A$700,$A123,'تحليل التكلفة والسعر'!$C$2:$C$700,"&gt;0")),"⭐ نجم",IF(AND($E123&gt;=AVERAGEIFS($E$5:$E$175,$A$5:$A$175,$A123,$E$5:$E$175,"&gt;0"),INDEX('تحليل التكلفة والسعر'!$H$2:$H$700,MATCH("مكرونة مشروم صيامي",'تحليل التكلفة والسعر'!$B$2:$B$700,0))&lt;AVERAGEIFS('تحليل التكلفة والسعر'!$H$2:$H$700,'تحليل التكلفة والسعر'!$A$2:$A$700,$A123,'تحليل التكلفة والسعر'!$C$2:$C$700,"&gt;0")),"🐎 حصان عمل",IF(AND($E123&lt;AVERAGEIFS($E$5:$E$175,$A$5:$A$175,$A123,$E$5:$E$175,"&gt;0"),INDEX('تحليل التكلفة والسعر'!$H$2:$H$700,MATCH("مكرونة مشروم صيامي",'تحليل التكلفة والسعر'!$B$2:$B$700,0))&gt;=AVERAGEIFS('تحليل التكلفة والسعر'!$H$2:$H$700,'تحليل التكلفة والسعر'!$A$2:$A$700,$A123,'تحليل التكلفة والسعر'!$C$2:$C$700,"&gt;0")),"🧩 لغز","🐶 كلب"))))</f>
        <v>بيانات غير كافية</v>
      </c>
      <c r="G123" s="49" t="n">
        <v>0</v>
      </c>
      <c r="H123" s="11" t="str">
        <f aca="false">IF(OR(NOT(INDEX('تحليل التكلفة والسعر'!$C$2:$C$700,MATCH("مكرونة مشروم صيامي",'تحليل التكلفة والسعر'!$B$2:$B$700,0))&gt;0),$G123=0),"بيانات غير كافية",IF(AND($G123&gt;=AVERAGEIFS($G$5:$G$175,$A$5:$A$175,$A123,$G$5:$G$175,"&gt;0"),INDEX('تحليل التكلفة والسعر'!$H$2:$H$700,MATCH("مكرونة مشروم صيامي",'تحليل التكلفة والسعر'!$B$2:$B$700,0))&gt;=AVERAGEIFS('تحليل التكلفة والسعر'!$H$2:$H$700,'تحليل التكلفة والسعر'!$A$2:$A$700,$A123,'تحليل التكلفة والسعر'!$C$2:$C$700,"&gt;0")),"⭐ نجم",IF(AND($G123&gt;=AVERAGEIFS($G$5:$G$175,$A$5:$A$175,$A123,$G$5:$G$175,"&gt;0"),INDEX('تحليل التكلفة والسعر'!$H$2:$H$700,MATCH("مكرونة مشروم صيامي",'تحليل التكلفة والسعر'!$B$2:$B$700,0))&lt;AVERAGEIFS('تحليل التكلفة والسعر'!$H$2:$H$700,'تحليل التكلفة والسعر'!$A$2:$A$700,$A123,'تحليل التكلفة والسعر'!$C$2:$C$700,"&gt;0")),"🐎 حصان عمل",IF(AND($G123&lt;AVERAGEIFS($G$5:$G$175,$A$5:$A$175,$A123,$G$5:$G$175,"&gt;0"),INDEX('تحليل التكلفة والسعر'!$H$2:$H$700,MATCH("مكرونة مشروم صيامي",'تحليل التكلفة والسعر'!$B$2:$B$700,0))&gt;=AVERAGEIFS('تحليل التكلفة والسعر'!$H$2:$H$700,'تحليل التكلفة والسعر'!$A$2:$A$700,$A123,'تحليل التكلفة والسعر'!$C$2:$C$700,"&gt;0")),"🧩 لغز","🐶 كلب"))))</f>
        <v>بيانات غير كافية</v>
      </c>
    </row>
    <row r="124" customFormat="false" ht="15" hidden="false" customHeight="true" outlineLevel="0" collapsed="false">
      <c r="A124" s="11" t="s">
        <v>20</v>
      </c>
      <c r="B124" s="11" t="s">
        <v>526</v>
      </c>
      <c r="C124" s="13" t="n">
        <f aca="false">IFERROR(INDEX('تحليل التكلفة والسعر'!$D$2:$D$700,MATCH("مكرونة سوسيس صيامي",'تحليل التكلفة والسعر'!$B$2:$B$700,0)),"")</f>
        <v>130</v>
      </c>
      <c r="D124" s="12" t="n">
        <f aca="false">IFERROR(INDEX('تحليل التكلفة والسعر'!$I$2:$I$700,MATCH("مكرونة سوسيس صيامي",'تحليل التكلفة والسعر'!$B$2:$B$700,0)),"")</f>
        <v>0.474886923076923</v>
      </c>
      <c r="E124" s="49" t="n">
        <v>0</v>
      </c>
      <c r="F124" s="11" t="str">
        <f aca="false">IF(OR(NOT(INDEX('تحليل التكلفة والسعر'!$C$2:$C$700,MATCH("مكرونة سوسيس صيامي",'تحليل التكلفة والسعر'!$B$2:$B$700,0))&gt;0),$E124=0),"بيانات غير كافية",IF(AND($E124&gt;=AVERAGEIFS($E$5:$E$175,$A$5:$A$175,$A124,$E$5:$E$175,"&gt;0"),INDEX('تحليل التكلفة والسعر'!$H$2:$H$700,MATCH("مكرونة سوسيس صيامي",'تحليل التكلفة والسعر'!$B$2:$B$700,0))&gt;=AVERAGEIFS('تحليل التكلفة والسعر'!$H$2:$H$700,'تحليل التكلفة والسعر'!$A$2:$A$700,$A124,'تحليل التكلفة والسعر'!$C$2:$C$700,"&gt;0")),"⭐ نجم",IF(AND($E124&gt;=AVERAGEIFS($E$5:$E$175,$A$5:$A$175,$A124,$E$5:$E$175,"&gt;0"),INDEX('تحليل التكلفة والسعر'!$H$2:$H$700,MATCH("مكرونة سوسيس صيامي",'تحليل التكلفة والسعر'!$B$2:$B$700,0))&lt;AVERAGEIFS('تحليل التكلفة والسعر'!$H$2:$H$700,'تحليل التكلفة والسعر'!$A$2:$A$700,$A124,'تحليل التكلفة والسعر'!$C$2:$C$700,"&gt;0")),"🐎 حصان عمل",IF(AND($E124&lt;AVERAGEIFS($E$5:$E$175,$A$5:$A$175,$A124,$E$5:$E$175,"&gt;0"),INDEX('تحليل التكلفة والسعر'!$H$2:$H$700,MATCH("مكرونة سوسيس صيامي",'تحليل التكلفة والسعر'!$B$2:$B$700,0))&gt;=AVERAGEIFS('تحليل التكلفة والسعر'!$H$2:$H$700,'تحليل التكلفة والسعر'!$A$2:$A$700,$A124,'تحليل التكلفة والسعر'!$C$2:$C$700,"&gt;0")),"🧩 لغز","🐶 كلب"))))</f>
        <v>بيانات غير كافية</v>
      </c>
      <c r="G124" s="49" t="n">
        <v>0</v>
      </c>
      <c r="H124" s="11" t="str">
        <f aca="false">IF(OR(NOT(INDEX('تحليل التكلفة والسعر'!$C$2:$C$700,MATCH("مكرونة سوسيس صيامي",'تحليل التكلفة والسعر'!$B$2:$B$700,0))&gt;0),$G124=0),"بيانات غير كافية",IF(AND($G124&gt;=AVERAGEIFS($G$5:$G$175,$A$5:$A$175,$A124,$G$5:$G$175,"&gt;0"),INDEX('تحليل التكلفة والسعر'!$H$2:$H$700,MATCH("مكرونة سوسيس صيامي",'تحليل التكلفة والسعر'!$B$2:$B$700,0))&gt;=AVERAGEIFS('تحليل التكلفة والسعر'!$H$2:$H$700,'تحليل التكلفة والسعر'!$A$2:$A$700,$A124,'تحليل التكلفة والسعر'!$C$2:$C$700,"&gt;0")),"⭐ نجم",IF(AND($G124&gt;=AVERAGEIFS($G$5:$G$175,$A$5:$A$175,$A124,$G$5:$G$175,"&gt;0"),INDEX('تحليل التكلفة والسعر'!$H$2:$H$700,MATCH("مكرونة سوسيس صيامي",'تحليل التكلفة والسعر'!$B$2:$B$700,0))&lt;AVERAGEIFS('تحليل التكلفة والسعر'!$H$2:$H$700,'تحليل التكلفة والسعر'!$A$2:$A$700,$A124,'تحليل التكلفة والسعر'!$C$2:$C$700,"&gt;0")),"🐎 حصان عمل",IF(AND($G124&lt;AVERAGEIFS($G$5:$G$175,$A$5:$A$175,$A124,$G$5:$G$175,"&gt;0"),INDEX('تحليل التكلفة والسعر'!$H$2:$H$700,MATCH("مكرونة سوسيس صيامي",'تحليل التكلفة والسعر'!$B$2:$B$700,0))&gt;=AVERAGEIFS('تحليل التكلفة والسعر'!$H$2:$H$700,'تحليل التكلفة والسعر'!$A$2:$A$700,$A124,'تحليل التكلفة والسعر'!$C$2:$C$700,"&gt;0")),"🧩 لغز","🐶 كلب"))))</f>
        <v>بيانات غير كافية</v>
      </c>
    </row>
    <row r="125" customFormat="false" ht="15" hidden="false" customHeight="true" outlineLevel="0" collapsed="false">
      <c r="A125" s="11" t="s">
        <v>20</v>
      </c>
      <c r="B125" s="11" t="s">
        <v>422</v>
      </c>
      <c r="C125" s="13" t="n">
        <f aca="false">IFERROR(INDEX('تحليل التكلفة والسعر'!$D$2:$D$700,MATCH("مكرونة فراخ باربيكيو صيامي",'تحليل التكلفة والسعر'!$B$2:$B$700,0)),"")</f>
        <v>160</v>
      </c>
      <c r="D125" s="12" t="n">
        <f aca="false">IFERROR(INDEX('تحليل التكلفة والسعر'!$I$2:$I$700,MATCH("مكرونة فراخ باربيكيو صيامي",'تحليل التكلفة والسعر'!$B$2:$B$700,0)),"")</f>
        <v>0.5560025</v>
      </c>
      <c r="E125" s="49" t="n">
        <v>0</v>
      </c>
      <c r="F125" s="11" t="str">
        <f aca="false">IF(OR(NOT(INDEX('تحليل التكلفة والسعر'!$C$2:$C$700,MATCH("مكرونة فراخ باربيكيو صيامي",'تحليل التكلفة والسعر'!$B$2:$B$700,0))&gt;0),$E125=0),"بيانات غير كافية",IF(AND($E125&gt;=AVERAGEIFS($E$5:$E$175,$A$5:$A$175,$A125,$E$5:$E$175,"&gt;0"),INDEX('تحليل التكلفة والسعر'!$H$2:$H$700,MATCH("مكرونة فراخ باربيكيو صيامي",'تحليل التكلفة والسعر'!$B$2:$B$700,0))&gt;=AVERAGEIFS('تحليل التكلفة والسعر'!$H$2:$H$700,'تحليل التكلفة والسعر'!$A$2:$A$700,$A125,'تحليل التكلفة والسعر'!$C$2:$C$700,"&gt;0")),"⭐ نجم",IF(AND($E125&gt;=AVERAGEIFS($E$5:$E$175,$A$5:$A$175,$A125,$E$5:$E$175,"&gt;0"),INDEX('تحليل التكلفة والسعر'!$H$2:$H$700,MATCH("مكرونة فراخ باربيكيو صيامي",'تحليل التكلفة والسعر'!$B$2:$B$700,0))&lt;AVERAGEIFS('تحليل التكلفة والسعر'!$H$2:$H$700,'تحليل التكلفة والسعر'!$A$2:$A$700,$A125,'تحليل التكلفة والسعر'!$C$2:$C$700,"&gt;0")),"🐎 حصان عمل",IF(AND($E125&lt;AVERAGEIFS($E$5:$E$175,$A$5:$A$175,$A125,$E$5:$E$175,"&gt;0"),INDEX('تحليل التكلفة والسعر'!$H$2:$H$700,MATCH("مكرونة فراخ باربيكيو صيامي",'تحليل التكلفة والسعر'!$B$2:$B$700,0))&gt;=AVERAGEIFS('تحليل التكلفة والسعر'!$H$2:$H$700,'تحليل التكلفة والسعر'!$A$2:$A$700,$A125,'تحليل التكلفة والسعر'!$C$2:$C$700,"&gt;0")),"🧩 لغز","🐶 كلب"))))</f>
        <v>بيانات غير كافية</v>
      </c>
      <c r="G125" s="49" t="n">
        <v>0</v>
      </c>
      <c r="H125" s="11" t="str">
        <f aca="false">IF(OR(NOT(INDEX('تحليل التكلفة والسعر'!$C$2:$C$700,MATCH("مكرونة فراخ باربيكيو صيامي",'تحليل التكلفة والسعر'!$B$2:$B$700,0))&gt;0),$G125=0),"بيانات غير كافية",IF(AND($G125&gt;=AVERAGEIFS($G$5:$G$175,$A$5:$A$175,$A125,$G$5:$G$175,"&gt;0"),INDEX('تحليل التكلفة والسعر'!$H$2:$H$700,MATCH("مكرونة فراخ باربيكيو صيامي",'تحليل التكلفة والسعر'!$B$2:$B$700,0))&gt;=AVERAGEIFS('تحليل التكلفة والسعر'!$H$2:$H$700,'تحليل التكلفة والسعر'!$A$2:$A$700,$A125,'تحليل التكلفة والسعر'!$C$2:$C$700,"&gt;0")),"⭐ نجم",IF(AND($G125&gt;=AVERAGEIFS($G$5:$G$175,$A$5:$A$175,$A125,$G$5:$G$175,"&gt;0"),INDEX('تحليل التكلفة والسعر'!$H$2:$H$700,MATCH("مكرونة فراخ باربيكيو صيامي",'تحليل التكلفة والسعر'!$B$2:$B$700,0))&lt;AVERAGEIFS('تحليل التكلفة والسعر'!$H$2:$H$700,'تحليل التكلفة والسعر'!$A$2:$A$700,$A125,'تحليل التكلفة والسعر'!$C$2:$C$700,"&gt;0")),"🐎 حصان عمل",IF(AND($G125&lt;AVERAGEIFS($G$5:$G$175,$A$5:$A$175,$A125,$G$5:$G$175,"&gt;0"),INDEX('تحليل التكلفة والسعر'!$H$2:$H$700,MATCH("مكرونة فراخ باربيكيو صيامي",'تحليل التكلفة والسعر'!$B$2:$B$700,0))&gt;=AVERAGEIFS('تحليل التكلفة والسعر'!$H$2:$H$700,'تحليل التكلفة والسعر'!$A$2:$A$700,$A125,'تحليل التكلفة والسعر'!$C$2:$C$700,"&gt;0")),"🧩 لغز","🐶 كلب"))))</f>
        <v>بيانات غير كافية</v>
      </c>
    </row>
    <row r="126" customFormat="false" ht="15" hidden="false" customHeight="true" outlineLevel="0" collapsed="false">
      <c r="A126" s="11" t="s">
        <v>20</v>
      </c>
      <c r="B126" s="11" t="s">
        <v>503</v>
      </c>
      <c r="C126" s="13" t="n">
        <f aca="false">IFERROR(INDEX('تحليل التكلفة والسعر'!$D$2:$D$700,MATCH("مكرونة جمبري صيامي",'تحليل التكلفة والسعر'!$B$2:$B$700,0)),"")</f>
        <v>260</v>
      </c>
      <c r="D126" s="12" t="n">
        <f aca="false">IFERROR(INDEX('تحليل التكلفة والسعر'!$I$2:$I$700,MATCH("مكرونة جمبري صيامي",'تحليل التكلفة والسعر'!$B$2:$B$700,0)),"")</f>
        <v>0.490531153846154</v>
      </c>
      <c r="E126" s="49" t="n">
        <v>0</v>
      </c>
      <c r="F126" s="11" t="str">
        <f aca="false">IF(OR(NOT(INDEX('تحليل التكلفة والسعر'!$C$2:$C$700,MATCH("مكرونة جمبري صيامي",'تحليل التكلفة والسعر'!$B$2:$B$700,0))&gt;0),$E126=0),"بيانات غير كافية",IF(AND($E126&gt;=AVERAGEIFS($E$5:$E$175,$A$5:$A$175,$A126,$E$5:$E$175,"&gt;0"),INDEX('تحليل التكلفة والسعر'!$H$2:$H$700,MATCH("مكرونة جمبري صيامي",'تحليل التكلفة والسعر'!$B$2:$B$700,0))&gt;=AVERAGEIFS('تحليل التكلفة والسعر'!$H$2:$H$700,'تحليل التكلفة والسعر'!$A$2:$A$700,$A126,'تحليل التكلفة والسعر'!$C$2:$C$700,"&gt;0")),"⭐ نجم",IF(AND($E126&gt;=AVERAGEIFS($E$5:$E$175,$A$5:$A$175,$A126,$E$5:$E$175,"&gt;0"),INDEX('تحليل التكلفة والسعر'!$H$2:$H$700,MATCH("مكرونة جمبري صيامي",'تحليل التكلفة والسعر'!$B$2:$B$700,0))&lt;AVERAGEIFS('تحليل التكلفة والسعر'!$H$2:$H$700,'تحليل التكلفة والسعر'!$A$2:$A$700,$A126,'تحليل التكلفة والسعر'!$C$2:$C$700,"&gt;0")),"🐎 حصان عمل",IF(AND($E126&lt;AVERAGEIFS($E$5:$E$175,$A$5:$A$175,$A126,$E$5:$E$175,"&gt;0"),INDEX('تحليل التكلفة والسعر'!$H$2:$H$700,MATCH("مكرونة جمبري صيامي",'تحليل التكلفة والسعر'!$B$2:$B$700,0))&gt;=AVERAGEIFS('تحليل التكلفة والسعر'!$H$2:$H$700,'تحليل التكلفة والسعر'!$A$2:$A$700,$A126,'تحليل التكلفة والسعر'!$C$2:$C$700,"&gt;0")),"🧩 لغز","🐶 كلب"))))</f>
        <v>بيانات غير كافية</v>
      </c>
      <c r="G126" s="49" t="n">
        <v>0</v>
      </c>
      <c r="H126" s="11" t="str">
        <f aca="false">IF(OR(NOT(INDEX('تحليل التكلفة والسعر'!$C$2:$C$700,MATCH("مكرونة جمبري صيامي",'تحليل التكلفة والسعر'!$B$2:$B$700,0))&gt;0),$G126=0),"بيانات غير كافية",IF(AND($G126&gt;=AVERAGEIFS($G$5:$G$175,$A$5:$A$175,$A126,$G$5:$G$175,"&gt;0"),INDEX('تحليل التكلفة والسعر'!$H$2:$H$700,MATCH("مكرونة جمبري صيامي",'تحليل التكلفة والسعر'!$B$2:$B$700,0))&gt;=AVERAGEIFS('تحليل التكلفة والسعر'!$H$2:$H$700,'تحليل التكلفة والسعر'!$A$2:$A$700,$A126,'تحليل التكلفة والسعر'!$C$2:$C$700,"&gt;0")),"⭐ نجم",IF(AND($G126&gt;=AVERAGEIFS($G$5:$G$175,$A$5:$A$175,$A126,$G$5:$G$175,"&gt;0"),INDEX('تحليل التكلفة والسعر'!$H$2:$H$700,MATCH("مكرونة جمبري صيامي",'تحليل التكلفة والسعر'!$B$2:$B$700,0))&lt;AVERAGEIFS('تحليل التكلفة والسعر'!$H$2:$H$700,'تحليل التكلفة والسعر'!$A$2:$A$700,$A126,'تحليل التكلفة والسعر'!$C$2:$C$700,"&gt;0")),"🐎 حصان عمل",IF(AND($G126&lt;AVERAGEIFS($G$5:$G$175,$A$5:$A$175,$A126,$G$5:$G$175,"&gt;0"),INDEX('تحليل التكلفة والسعر'!$H$2:$H$700,MATCH("مكرونة جمبري صيامي",'تحليل التكلفة والسعر'!$B$2:$B$700,0))&gt;=AVERAGEIFS('تحليل التكلفة والسعر'!$H$2:$H$700,'تحليل التكلفة والسعر'!$A$2:$A$700,$A126,'تحليل التكلفة والسعر'!$C$2:$C$700,"&gt;0")),"🧩 لغز","🐶 كلب"))))</f>
        <v>بيانات غير كافية</v>
      </c>
    </row>
    <row r="127" customFormat="false" ht="15" hidden="false" customHeight="true" outlineLevel="0" collapsed="false">
      <c r="A127" s="11" t="s">
        <v>21</v>
      </c>
      <c r="B127" s="11" t="s">
        <v>499</v>
      </c>
      <c r="C127" s="13" t="n">
        <f aca="false">IFERROR(INDEX('تحليل التكلفة والسعر'!$D$2:$D$700,MATCH("كريب بطاطس صيامي",'تحليل التكلفة والسعر'!$B$2:$B$700,0)),"")</f>
        <v>90</v>
      </c>
      <c r="D127" s="12" t="n">
        <f aca="false">IFERROR(INDEX('تحليل التكلفة والسعر'!$I$2:$I$700,MATCH("كريب بطاطس صيامي",'تحليل التكلفة والسعر'!$B$2:$B$700,0)),"")</f>
        <v>0.590889199074074</v>
      </c>
      <c r="E127" s="49" t="n">
        <v>0</v>
      </c>
      <c r="F127" s="11" t="str">
        <f aca="false">IF(OR(NOT(INDEX('تحليل التكلفة والسعر'!$C$2:$C$700,MATCH("كريب بطاطس صيامي",'تحليل التكلفة والسعر'!$B$2:$B$700,0))&gt;0),$E127=0),"بيانات غير كافية",IF(AND($E127&gt;=AVERAGEIFS($E$5:$E$175,$A$5:$A$175,$A127,$E$5:$E$175,"&gt;0"),INDEX('تحليل التكلفة والسعر'!$H$2:$H$700,MATCH("كريب بطاطس صيامي",'تحليل التكلفة والسعر'!$B$2:$B$700,0))&gt;=AVERAGEIFS('تحليل التكلفة والسعر'!$H$2:$H$700,'تحليل التكلفة والسعر'!$A$2:$A$700,$A127,'تحليل التكلفة والسعر'!$C$2:$C$700,"&gt;0")),"⭐ نجم",IF(AND($E127&gt;=AVERAGEIFS($E$5:$E$175,$A$5:$A$175,$A127,$E$5:$E$175,"&gt;0"),INDEX('تحليل التكلفة والسعر'!$H$2:$H$700,MATCH("كريب بطاطس صيامي",'تحليل التكلفة والسعر'!$B$2:$B$700,0))&lt;AVERAGEIFS('تحليل التكلفة والسعر'!$H$2:$H$700,'تحليل التكلفة والسعر'!$A$2:$A$700,$A127,'تحليل التكلفة والسعر'!$C$2:$C$700,"&gt;0")),"🐎 حصان عمل",IF(AND($E127&lt;AVERAGEIFS($E$5:$E$175,$A$5:$A$175,$A127,$E$5:$E$175,"&gt;0"),INDEX('تحليل التكلفة والسعر'!$H$2:$H$700,MATCH("كريب بطاطس صيامي",'تحليل التكلفة والسعر'!$B$2:$B$700,0))&gt;=AVERAGEIFS('تحليل التكلفة والسعر'!$H$2:$H$700,'تحليل التكلفة والسعر'!$A$2:$A$700,$A127,'تحليل التكلفة والسعر'!$C$2:$C$700,"&gt;0")),"🧩 لغز","🐶 كلب"))))</f>
        <v>بيانات غير كافية</v>
      </c>
      <c r="G127" s="49" t="n">
        <v>0</v>
      </c>
      <c r="H127" s="11" t="str">
        <f aca="false">IF(OR(NOT(INDEX('تحليل التكلفة والسعر'!$C$2:$C$700,MATCH("كريب بطاطس صيامي",'تحليل التكلفة والسعر'!$B$2:$B$700,0))&gt;0),$G127=0),"بيانات غير كافية",IF(AND($G127&gt;=AVERAGEIFS($G$5:$G$175,$A$5:$A$175,$A127,$G$5:$G$175,"&gt;0"),INDEX('تحليل التكلفة والسعر'!$H$2:$H$700,MATCH("كريب بطاطس صيامي",'تحليل التكلفة والسعر'!$B$2:$B$700,0))&gt;=AVERAGEIFS('تحليل التكلفة والسعر'!$H$2:$H$700,'تحليل التكلفة والسعر'!$A$2:$A$700,$A127,'تحليل التكلفة والسعر'!$C$2:$C$700,"&gt;0")),"⭐ نجم",IF(AND($G127&gt;=AVERAGEIFS($G$5:$G$175,$A$5:$A$175,$A127,$G$5:$G$175,"&gt;0"),INDEX('تحليل التكلفة والسعر'!$H$2:$H$700,MATCH("كريب بطاطس صيامي",'تحليل التكلفة والسعر'!$B$2:$B$700,0))&lt;AVERAGEIFS('تحليل التكلفة والسعر'!$H$2:$H$700,'تحليل التكلفة والسعر'!$A$2:$A$700,$A127,'تحليل التكلفة والسعر'!$C$2:$C$700,"&gt;0")),"🐎 حصان عمل",IF(AND($G127&lt;AVERAGEIFS($G$5:$G$175,$A$5:$A$175,$A127,$G$5:$G$175,"&gt;0"),INDEX('تحليل التكلفة والسعر'!$H$2:$H$700,MATCH("كريب بطاطس صيامي",'تحليل التكلفة والسعر'!$B$2:$B$700,0))&gt;=AVERAGEIFS('تحليل التكلفة والسعر'!$H$2:$H$700,'تحليل التكلفة والسعر'!$A$2:$A$700,$A127,'تحليل التكلفة والسعر'!$C$2:$C$700,"&gt;0")),"🧩 لغز","🐶 كلب"))))</f>
        <v>بيانات غير كافية</v>
      </c>
    </row>
    <row r="128" customFormat="false" ht="15" hidden="false" customHeight="true" outlineLevel="0" collapsed="false">
      <c r="A128" s="11" t="s">
        <v>21</v>
      </c>
      <c r="B128" s="11" t="s">
        <v>421</v>
      </c>
      <c r="C128" s="13" t="n">
        <f aca="false">IFERROR(INDEX('تحليل التكلفة والسعر'!$D$2:$D$700,MATCH("كريب فراخ باربيكيو صيامي",'تحليل التكلفة والسعر'!$B$2:$B$700,0)),"")</f>
        <v>125</v>
      </c>
      <c r="D128" s="12" t="n">
        <f aca="false">IFERROR(INDEX('تحليل التكلفة والسعر'!$I$2:$I$700,MATCH("كريب فراخ باربيكيو صيامي",'تحليل التكلفة والسعر'!$B$2:$B$700,0)),"")</f>
        <v>0.504618623333333</v>
      </c>
      <c r="E128" s="49" t="n">
        <v>0</v>
      </c>
      <c r="F128" s="11" t="str">
        <f aca="false">IF(OR(NOT(INDEX('تحليل التكلفة والسعر'!$C$2:$C$700,MATCH("كريب فراخ باربيكيو صيامي",'تحليل التكلفة والسعر'!$B$2:$B$700,0))&gt;0),$E128=0),"بيانات غير كافية",IF(AND($E128&gt;=AVERAGEIFS($E$5:$E$175,$A$5:$A$175,$A128,$E$5:$E$175,"&gt;0"),INDEX('تحليل التكلفة والسعر'!$H$2:$H$700,MATCH("كريب فراخ باربيكيو صيامي",'تحليل التكلفة والسعر'!$B$2:$B$700,0))&gt;=AVERAGEIFS('تحليل التكلفة والسعر'!$H$2:$H$700,'تحليل التكلفة والسعر'!$A$2:$A$700,$A128,'تحليل التكلفة والسعر'!$C$2:$C$700,"&gt;0")),"⭐ نجم",IF(AND($E128&gt;=AVERAGEIFS($E$5:$E$175,$A$5:$A$175,$A128,$E$5:$E$175,"&gt;0"),INDEX('تحليل التكلفة والسعر'!$H$2:$H$700,MATCH("كريب فراخ باربيكيو صيامي",'تحليل التكلفة والسعر'!$B$2:$B$700,0))&lt;AVERAGEIFS('تحليل التكلفة والسعر'!$H$2:$H$700,'تحليل التكلفة والسعر'!$A$2:$A$700,$A128,'تحليل التكلفة والسعر'!$C$2:$C$700,"&gt;0")),"🐎 حصان عمل",IF(AND($E128&lt;AVERAGEIFS($E$5:$E$175,$A$5:$A$175,$A128,$E$5:$E$175,"&gt;0"),INDEX('تحليل التكلفة والسعر'!$H$2:$H$700,MATCH("كريب فراخ باربيكيو صيامي",'تحليل التكلفة والسعر'!$B$2:$B$700,0))&gt;=AVERAGEIFS('تحليل التكلفة والسعر'!$H$2:$H$700,'تحليل التكلفة والسعر'!$A$2:$A$700,$A128,'تحليل التكلفة والسعر'!$C$2:$C$700,"&gt;0")),"🧩 لغز","🐶 كلب"))))</f>
        <v>بيانات غير كافية</v>
      </c>
      <c r="G128" s="49" t="n">
        <v>0</v>
      </c>
      <c r="H128" s="11" t="str">
        <f aca="false">IF(OR(NOT(INDEX('تحليل التكلفة والسعر'!$C$2:$C$700,MATCH("كريب فراخ باربيكيو صيامي",'تحليل التكلفة والسعر'!$B$2:$B$700,0))&gt;0),$G128=0),"بيانات غير كافية",IF(AND($G128&gt;=AVERAGEIFS($G$5:$G$175,$A$5:$A$175,$A128,$G$5:$G$175,"&gt;0"),INDEX('تحليل التكلفة والسعر'!$H$2:$H$700,MATCH("كريب فراخ باربيكيو صيامي",'تحليل التكلفة والسعر'!$B$2:$B$700,0))&gt;=AVERAGEIFS('تحليل التكلفة والسعر'!$H$2:$H$700,'تحليل التكلفة والسعر'!$A$2:$A$700,$A128,'تحليل التكلفة والسعر'!$C$2:$C$700,"&gt;0")),"⭐ نجم",IF(AND($G128&gt;=AVERAGEIFS($G$5:$G$175,$A$5:$A$175,$A128,$G$5:$G$175,"&gt;0"),INDEX('تحليل التكلفة والسعر'!$H$2:$H$700,MATCH("كريب فراخ باربيكيو صيامي",'تحليل التكلفة والسعر'!$B$2:$B$700,0))&lt;AVERAGEIFS('تحليل التكلفة والسعر'!$H$2:$H$700,'تحليل التكلفة والسعر'!$A$2:$A$700,$A128,'تحليل التكلفة والسعر'!$C$2:$C$700,"&gt;0")),"🐎 حصان عمل",IF(AND($G128&lt;AVERAGEIFS($G$5:$G$175,$A$5:$A$175,$A128,$G$5:$G$175,"&gt;0"),INDEX('تحليل التكلفة والسعر'!$H$2:$H$700,MATCH("كريب فراخ باربيكيو صيامي",'تحليل التكلفة والسعر'!$B$2:$B$700,0))&gt;=AVERAGEIFS('تحليل التكلفة والسعر'!$H$2:$H$700,'تحليل التكلفة والسعر'!$A$2:$A$700,$A128,'تحليل التكلفة والسعر'!$C$2:$C$700,"&gt;0")),"🧩 لغز","🐶 كلب"))))</f>
        <v>بيانات غير كافية</v>
      </c>
    </row>
    <row r="129" customFormat="false" ht="15" hidden="false" customHeight="true" outlineLevel="0" collapsed="false">
      <c r="A129" s="11" t="s">
        <v>21</v>
      </c>
      <c r="B129" s="11" t="s">
        <v>486</v>
      </c>
      <c r="C129" s="13" t="n">
        <f aca="false">IFERROR(INDEX('تحليل التكلفة والسعر'!$D$2:$D$700,MATCH("كريب سوسيس / شاورما لحم فراخ صيامي",'تحليل التكلفة والسعر'!$B$2:$B$700,0)),"")</f>
        <v>110</v>
      </c>
      <c r="D129" s="12" t="n">
        <f aca="false">IFERROR(INDEX('تحليل التكلفة والسعر'!$I$2:$I$700,MATCH("كريب سوسيس / شاورما لحم فراخ صيامي",'تحليل التكلفة والسعر'!$B$2:$B$700,0)),"")</f>
        <v>0.462795708333333</v>
      </c>
      <c r="E129" s="49" t="n">
        <v>0</v>
      </c>
      <c r="F129" s="11" t="str">
        <f aca="false">IF(OR(NOT(INDEX('تحليل التكلفة والسعر'!$C$2:$C$700,MATCH("كريب سوسيس / شاورما لحم فراخ صيامي",'تحليل التكلفة والسعر'!$B$2:$B$700,0))&gt;0),$E129=0),"بيانات غير كافية",IF(AND($E129&gt;=AVERAGEIFS($E$5:$E$175,$A$5:$A$175,$A129,$E$5:$E$175,"&gt;0"),INDEX('تحليل التكلفة والسعر'!$H$2:$H$700,MATCH("كريب سوسيس / شاورما لحم فراخ صيامي",'تحليل التكلفة والسعر'!$B$2:$B$700,0))&gt;=AVERAGEIFS('تحليل التكلفة والسعر'!$H$2:$H$700,'تحليل التكلفة والسعر'!$A$2:$A$700,$A129,'تحليل التكلفة والسعر'!$C$2:$C$700,"&gt;0")),"⭐ نجم",IF(AND($E129&gt;=AVERAGEIFS($E$5:$E$175,$A$5:$A$175,$A129,$E$5:$E$175,"&gt;0"),INDEX('تحليل التكلفة والسعر'!$H$2:$H$700,MATCH("كريب سوسيس / شاورما لحم فراخ صيامي",'تحليل التكلفة والسعر'!$B$2:$B$700,0))&lt;AVERAGEIFS('تحليل التكلفة والسعر'!$H$2:$H$700,'تحليل التكلفة والسعر'!$A$2:$A$700,$A129,'تحليل التكلفة والسعر'!$C$2:$C$700,"&gt;0")),"🐎 حصان عمل",IF(AND($E129&lt;AVERAGEIFS($E$5:$E$175,$A$5:$A$175,$A129,$E$5:$E$175,"&gt;0"),INDEX('تحليل التكلفة والسعر'!$H$2:$H$700,MATCH("كريب سوسيس / شاورما لحم فراخ صيامي",'تحليل التكلفة والسعر'!$B$2:$B$700,0))&gt;=AVERAGEIFS('تحليل التكلفة والسعر'!$H$2:$H$700,'تحليل التكلفة والسعر'!$A$2:$A$700,$A129,'تحليل التكلفة والسعر'!$C$2:$C$700,"&gt;0")),"🧩 لغز","🐶 كلب"))))</f>
        <v>بيانات غير كافية</v>
      </c>
      <c r="G129" s="49" t="n">
        <v>0</v>
      </c>
      <c r="H129" s="11" t="str">
        <f aca="false">IF(OR(NOT(INDEX('تحليل التكلفة والسعر'!$C$2:$C$700,MATCH("كريب سوسيس / شاورما لحم فراخ صيامي",'تحليل التكلفة والسعر'!$B$2:$B$700,0))&gt;0),$G129=0),"بيانات غير كافية",IF(AND($G129&gt;=AVERAGEIFS($G$5:$G$175,$A$5:$A$175,$A129,$G$5:$G$175,"&gt;0"),INDEX('تحليل التكلفة والسعر'!$H$2:$H$700,MATCH("كريب سوسيس / شاورما لحم فراخ صيامي",'تحليل التكلفة والسعر'!$B$2:$B$700,0))&gt;=AVERAGEIFS('تحليل التكلفة والسعر'!$H$2:$H$700,'تحليل التكلفة والسعر'!$A$2:$A$700,$A129,'تحليل التكلفة والسعر'!$C$2:$C$700,"&gt;0")),"⭐ نجم",IF(AND($G129&gt;=AVERAGEIFS($G$5:$G$175,$A$5:$A$175,$A129,$G$5:$G$175,"&gt;0"),INDEX('تحليل التكلفة والسعر'!$H$2:$H$700,MATCH("كريب سوسيس / شاورما لحم فراخ صيامي",'تحليل التكلفة والسعر'!$B$2:$B$700,0))&lt;AVERAGEIFS('تحليل التكلفة والسعر'!$H$2:$H$700,'تحليل التكلفة والسعر'!$A$2:$A$700,$A129,'تحليل التكلفة والسعر'!$C$2:$C$700,"&gt;0")),"🐎 حصان عمل",IF(AND($G129&lt;AVERAGEIFS($G$5:$G$175,$A$5:$A$175,$A129,$G$5:$G$175,"&gt;0"),INDEX('تحليل التكلفة والسعر'!$H$2:$H$700,MATCH("كريب سوسيس / شاورما لحم فراخ صيامي",'تحليل التكلفة والسعر'!$B$2:$B$700,0))&gt;=AVERAGEIFS('تحليل التكلفة والسعر'!$H$2:$H$700,'تحليل التكلفة والسعر'!$A$2:$A$700,$A129,'تحليل التكلفة والسعر'!$C$2:$C$700,"&gt;0")),"🧩 لغز","🐶 كلب"))))</f>
        <v>بيانات غير كافية</v>
      </c>
    </row>
    <row r="130" customFormat="false" ht="15" hidden="false" customHeight="true" outlineLevel="0" collapsed="false">
      <c r="A130" s="11" t="s">
        <v>21</v>
      </c>
      <c r="B130" s="11" t="s">
        <v>483</v>
      </c>
      <c r="C130" s="13" t="n">
        <f aca="false">IFERROR(INDEX('تحليل التكلفة والسعر'!$D$2:$D$700,MATCH("كريب جمبري صيامي",'تحليل التكلفة والسعر'!$B$2:$B$700,0)),"")</f>
        <v>190</v>
      </c>
      <c r="D130" s="12" t="n">
        <f aca="false">IFERROR(INDEX('تحليل التكلفة والسعر'!$I$2:$I$700,MATCH("كريب جمبري صيامي",'تحليل التكلفة والسعر'!$B$2:$B$700,0)),"")</f>
        <v>0.600815936403509</v>
      </c>
      <c r="E130" s="49" t="n">
        <v>0</v>
      </c>
      <c r="F130" s="11" t="str">
        <f aca="false">IF(OR(NOT(INDEX('تحليل التكلفة والسعر'!$C$2:$C$700,MATCH("كريب جمبري صيامي",'تحليل التكلفة والسعر'!$B$2:$B$700,0))&gt;0),$E130=0),"بيانات غير كافية",IF(AND($E130&gt;=AVERAGEIFS($E$5:$E$175,$A$5:$A$175,$A130,$E$5:$E$175,"&gt;0"),INDEX('تحليل التكلفة والسعر'!$H$2:$H$700,MATCH("كريب جمبري صيامي",'تحليل التكلفة والسعر'!$B$2:$B$700,0))&gt;=AVERAGEIFS('تحليل التكلفة والسعر'!$H$2:$H$700,'تحليل التكلفة والسعر'!$A$2:$A$700,$A130,'تحليل التكلفة والسعر'!$C$2:$C$700,"&gt;0")),"⭐ نجم",IF(AND($E130&gt;=AVERAGEIFS($E$5:$E$175,$A$5:$A$175,$A130,$E$5:$E$175,"&gt;0"),INDEX('تحليل التكلفة والسعر'!$H$2:$H$700,MATCH("كريب جمبري صيامي",'تحليل التكلفة والسعر'!$B$2:$B$700,0))&lt;AVERAGEIFS('تحليل التكلفة والسعر'!$H$2:$H$700,'تحليل التكلفة والسعر'!$A$2:$A$700,$A130,'تحليل التكلفة والسعر'!$C$2:$C$700,"&gt;0")),"🐎 حصان عمل",IF(AND($E130&lt;AVERAGEIFS($E$5:$E$175,$A$5:$A$175,$A130,$E$5:$E$175,"&gt;0"),INDEX('تحليل التكلفة والسعر'!$H$2:$H$700,MATCH("كريب جمبري صيامي",'تحليل التكلفة والسعر'!$B$2:$B$700,0))&gt;=AVERAGEIFS('تحليل التكلفة والسعر'!$H$2:$H$700,'تحليل التكلفة والسعر'!$A$2:$A$700,$A130,'تحليل التكلفة والسعر'!$C$2:$C$700,"&gt;0")),"🧩 لغز","🐶 كلب"))))</f>
        <v>بيانات غير كافية</v>
      </c>
      <c r="G130" s="49" t="n">
        <v>0</v>
      </c>
      <c r="H130" s="11" t="str">
        <f aca="false">IF(OR(NOT(INDEX('تحليل التكلفة والسعر'!$C$2:$C$700,MATCH("كريب جمبري صيامي",'تحليل التكلفة والسعر'!$B$2:$B$700,0))&gt;0),$G130=0),"بيانات غير كافية",IF(AND($G130&gt;=AVERAGEIFS($G$5:$G$175,$A$5:$A$175,$A130,$G$5:$G$175,"&gt;0"),INDEX('تحليل التكلفة والسعر'!$H$2:$H$700,MATCH("كريب جمبري صيامي",'تحليل التكلفة والسعر'!$B$2:$B$700,0))&gt;=AVERAGEIFS('تحليل التكلفة والسعر'!$H$2:$H$700,'تحليل التكلفة والسعر'!$A$2:$A$700,$A130,'تحليل التكلفة والسعر'!$C$2:$C$700,"&gt;0")),"⭐ نجم",IF(AND($G130&gt;=AVERAGEIFS($G$5:$G$175,$A$5:$A$175,$A130,$G$5:$G$175,"&gt;0"),INDEX('تحليل التكلفة والسعر'!$H$2:$H$700,MATCH("كريب جمبري صيامي",'تحليل التكلفة والسعر'!$B$2:$B$700,0))&lt;AVERAGEIFS('تحليل التكلفة والسعر'!$H$2:$H$700,'تحليل التكلفة والسعر'!$A$2:$A$700,$A130,'تحليل التكلفة والسعر'!$C$2:$C$700,"&gt;0")),"🐎 حصان عمل",IF(AND($G130&lt;AVERAGEIFS($G$5:$G$175,$A$5:$A$175,$A130,$G$5:$G$175,"&gt;0"),INDEX('تحليل التكلفة والسعر'!$H$2:$H$700,MATCH("كريب جمبري صيامي",'تحليل التكلفة والسعر'!$B$2:$B$700,0))&gt;=AVERAGEIFS('تحليل التكلفة والسعر'!$H$2:$H$700,'تحليل التكلفة والسعر'!$A$2:$A$700,$A130,'تحليل التكلفة والسعر'!$C$2:$C$700,"&gt;0")),"🧩 لغز","🐶 كلب"))))</f>
        <v>بيانات غير كافية</v>
      </c>
    </row>
    <row r="131" customFormat="false" ht="15" hidden="false" customHeight="true" outlineLevel="0" collapsed="false">
      <c r="A131" s="11" t="s">
        <v>380</v>
      </c>
      <c r="B131" s="11" t="s">
        <v>534</v>
      </c>
      <c r="C131" s="13" t="n">
        <f aca="false">IFERROR(INDEX('تحليل التكلفة والسعر'!$D$2:$D$700,MATCH("اضافة جبنة كيري (فطير M)",'تحليل التكلفة والسعر'!$B$2:$B$700,0)),"")</f>
        <v>40.92</v>
      </c>
      <c r="D131" s="12" t="n">
        <f aca="false">IFERROR(INDEX('تحليل التكلفة والسعر'!$I$2:$I$700,MATCH("اضافة جبنة كيري (فطير M)",'تحليل التكلفة والسعر'!$B$2:$B$700,0)),"")</f>
        <v>0.635095307917889</v>
      </c>
      <c r="E131" s="49" t="n">
        <v>0</v>
      </c>
      <c r="F131" s="11" t="str">
        <f aca="false">IF(OR(NOT(INDEX('تحليل التكلفة والسعر'!$C$2:$C$700,MATCH("اضافة جبنة كيري (فطير M)",'تحليل التكلفة والسعر'!$B$2:$B$700,0))&gt;0),$E131=0),"بيانات غير كافية",IF(AND($E131&gt;=AVERAGEIFS($E$5:$E$175,$A$5:$A$175,$A131,$E$5:$E$175,"&gt;0"),INDEX('تحليل التكلفة والسعر'!$H$2:$H$700,MATCH("اضافة جبنة كيري (فطير M)",'تحليل التكلفة والسعر'!$B$2:$B$700,0))&gt;=AVERAGEIFS('تحليل التكلفة والسعر'!$H$2:$H$700,'تحليل التكلفة والسعر'!$A$2:$A$700,$A131,'تحليل التكلفة والسعر'!$C$2:$C$700,"&gt;0")),"⭐ نجم",IF(AND($E131&gt;=AVERAGEIFS($E$5:$E$175,$A$5:$A$175,$A131,$E$5:$E$175,"&gt;0"),INDEX('تحليل التكلفة والسعر'!$H$2:$H$700,MATCH("اضافة جبنة كيري (فطير M)",'تحليل التكلفة والسعر'!$B$2:$B$700,0))&lt;AVERAGEIFS('تحليل التكلفة والسعر'!$H$2:$H$700,'تحليل التكلفة والسعر'!$A$2:$A$700,$A131,'تحليل التكلفة والسعر'!$C$2:$C$700,"&gt;0")),"🐎 حصان عمل",IF(AND($E131&lt;AVERAGEIFS($E$5:$E$175,$A$5:$A$175,$A131,$E$5:$E$175,"&gt;0"),INDEX('تحليل التكلفة والسعر'!$H$2:$H$700,MATCH("اضافة جبنة كيري (فطير M)",'تحليل التكلفة والسعر'!$B$2:$B$700,0))&gt;=AVERAGEIFS('تحليل التكلفة والسعر'!$H$2:$H$700,'تحليل التكلفة والسعر'!$A$2:$A$700,$A131,'تحليل التكلفة والسعر'!$C$2:$C$700,"&gt;0")),"🧩 لغز","🐶 كلب"))))</f>
        <v>بيانات غير كافية</v>
      </c>
      <c r="G131" s="49" t="n">
        <v>0</v>
      </c>
      <c r="H131" s="11" t="str">
        <f aca="false">IF(OR(NOT(INDEX('تحليل التكلفة والسعر'!$C$2:$C$700,MATCH("اضافة جبنة كيري (فطير M)",'تحليل التكلفة والسعر'!$B$2:$B$700,0))&gt;0),$G131=0),"بيانات غير كافية",IF(AND($G131&gt;=AVERAGEIFS($G$5:$G$175,$A$5:$A$175,$A131,$G$5:$G$175,"&gt;0"),INDEX('تحليل التكلفة والسعر'!$H$2:$H$700,MATCH("اضافة جبنة كيري (فطير M)",'تحليل التكلفة والسعر'!$B$2:$B$700,0))&gt;=AVERAGEIFS('تحليل التكلفة والسعر'!$H$2:$H$700,'تحليل التكلفة والسعر'!$A$2:$A$700,$A131,'تحليل التكلفة والسعر'!$C$2:$C$700,"&gt;0")),"⭐ نجم",IF(AND($G131&gt;=AVERAGEIFS($G$5:$G$175,$A$5:$A$175,$A131,$G$5:$G$175,"&gt;0"),INDEX('تحليل التكلفة والسعر'!$H$2:$H$700,MATCH("اضافة جبنة كيري (فطير M)",'تحليل التكلفة والسعر'!$B$2:$B$700,0))&lt;AVERAGEIFS('تحليل التكلفة والسعر'!$H$2:$H$700,'تحليل التكلفة والسعر'!$A$2:$A$700,$A131,'تحليل التكلفة والسعر'!$C$2:$C$700,"&gt;0")),"🐎 حصان عمل",IF(AND($G131&lt;AVERAGEIFS($G$5:$G$175,$A$5:$A$175,$A131,$G$5:$G$175,"&gt;0"),INDEX('تحليل التكلفة والسعر'!$H$2:$H$700,MATCH("اضافة جبنة كيري (فطير M)",'تحليل التكلفة والسعر'!$B$2:$B$700,0))&gt;=AVERAGEIFS('تحليل التكلفة والسعر'!$H$2:$H$700,'تحليل التكلفة والسعر'!$A$2:$A$700,$A131,'تحليل التكلفة والسعر'!$C$2:$C$700,"&gt;0")),"🧩 لغز","🐶 كلب"))))</f>
        <v>بيانات غير كافية</v>
      </c>
    </row>
    <row r="132" customFormat="false" ht="15" hidden="false" customHeight="true" outlineLevel="0" collapsed="false">
      <c r="A132" s="11" t="s">
        <v>380</v>
      </c>
      <c r="B132" s="11" t="s">
        <v>535</v>
      </c>
      <c r="C132" s="13" t="n">
        <f aca="false">IFERROR(INDEX('تحليل التكلفة والسعر'!$D$2:$D$700,MATCH("اضافة جبنة كيري (فطير L)",'تحليل التكلفة والسعر'!$B$2:$B$700,0)),"")</f>
        <v>55.56</v>
      </c>
      <c r="D132" s="12" t="n">
        <f aca="false">IFERROR(INDEX('تحليل التكلفة والسعر'!$I$2:$I$700,MATCH("اضافة جبنة كيري (فطير L)",'تحليل التكلفة والسعر'!$B$2:$B$700,0)),"")</f>
        <v>0.605257379409647</v>
      </c>
      <c r="E132" s="49" t="n">
        <v>0</v>
      </c>
      <c r="F132" s="11" t="str">
        <f aca="false">IF(OR(NOT(INDEX('تحليل التكلفة والسعر'!$C$2:$C$700,MATCH("اضافة جبنة كيري (فطير L)",'تحليل التكلفة والسعر'!$B$2:$B$700,0))&gt;0),$E132=0),"بيانات غير كافية",IF(AND($E132&gt;=AVERAGEIFS($E$5:$E$175,$A$5:$A$175,$A132,$E$5:$E$175,"&gt;0"),INDEX('تحليل التكلفة والسعر'!$H$2:$H$700,MATCH("اضافة جبنة كيري (فطير L)",'تحليل التكلفة والسعر'!$B$2:$B$700,0))&gt;=AVERAGEIFS('تحليل التكلفة والسعر'!$H$2:$H$700,'تحليل التكلفة والسعر'!$A$2:$A$700,$A132,'تحليل التكلفة والسعر'!$C$2:$C$700,"&gt;0")),"⭐ نجم",IF(AND($E132&gt;=AVERAGEIFS($E$5:$E$175,$A$5:$A$175,$A132,$E$5:$E$175,"&gt;0"),INDEX('تحليل التكلفة والسعر'!$H$2:$H$700,MATCH("اضافة جبنة كيري (فطير L)",'تحليل التكلفة والسعر'!$B$2:$B$700,0))&lt;AVERAGEIFS('تحليل التكلفة والسعر'!$H$2:$H$700,'تحليل التكلفة والسعر'!$A$2:$A$700,$A132,'تحليل التكلفة والسعر'!$C$2:$C$700,"&gt;0")),"🐎 حصان عمل",IF(AND($E132&lt;AVERAGEIFS($E$5:$E$175,$A$5:$A$175,$A132,$E$5:$E$175,"&gt;0"),INDEX('تحليل التكلفة والسعر'!$H$2:$H$700,MATCH("اضافة جبنة كيري (فطير L)",'تحليل التكلفة والسعر'!$B$2:$B$700,0))&gt;=AVERAGEIFS('تحليل التكلفة والسعر'!$H$2:$H$700,'تحليل التكلفة والسعر'!$A$2:$A$700,$A132,'تحليل التكلفة والسعر'!$C$2:$C$700,"&gt;0")),"🧩 لغز","🐶 كلب"))))</f>
        <v>بيانات غير كافية</v>
      </c>
      <c r="G132" s="49" t="n">
        <v>0</v>
      </c>
      <c r="H132" s="11" t="str">
        <f aca="false">IF(OR(NOT(INDEX('تحليل التكلفة والسعر'!$C$2:$C$700,MATCH("اضافة جبنة كيري (فطير L)",'تحليل التكلفة والسعر'!$B$2:$B$700,0))&gt;0),$G132=0),"بيانات غير كافية",IF(AND($G132&gt;=AVERAGEIFS($G$5:$G$175,$A$5:$A$175,$A132,$G$5:$G$175,"&gt;0"),INDEX('تحليل التكلفة والسعر'!$H$2:$H$700,MATCH("اضافة جبنة كيري (فطير L)",'تحليل التكلفة والسعر'!$B$2:$B$700,0))&gt;=AVERAGEIFS('تحليل التكلفة والسعر'!$H$2:$H$700,'تحليل التكلفة والسعر'!$A$2:$A$700,$A132,'تحليل التكلفة والسعر'!$C$2:$C$700,"&gt;0")),"⭐ نجم",IF(AND($G132&gt;=AVERAGEIFS($G$5:$G$175,$A$5:$A$175,$A132,$G$5:$G$175,"&gt;0"),INDEX('تحليل التكلفة والسعر'!$H$2:$H$700,MATCH("اضافة جبنة كيري (فطير L)",'تحليل التكلفة والسعر'!$B$2:$B$700,0))&lt;AVERAGEIFS('تحليل التكلفة والسعر'!$H$2:$H$700,'تحليل التكلفة والسعر'!$A$2:$A$700,$A132,'تحليل التكلفة والسعر'!$C$2:$C$700,"&gt;0")),"🐎 حصان عمل",IF(AND($G132&lt;AVERAGEIFS($G$5:$G$175,$A$5:$A$175,$A132,$G$5:$G$175,"&gt;0"),INDEX('تحليل التكلفة والسعر'!$H$2:$H$700,MATCH("اضافة جبنة كيري (فطير L)",'تحليل التكلفة والسعر'!$B$2:$B$700,0))&gt;=AVERAGEIFS('تحليل التكلفة والسعر'!$H$2:$H$700,'تحليل التكلفة والسعر'!$A$2:$A$700,$A132,'تحليل التكلفة والسعر'!$C$2:$C$700,"&gt;0")),"🧩 لغز","🐶 كلب"))))</f>
        <v>بيانات غير كافية</v>
      </c>
    </row>
    <row r="133" customFormat="false" ht="15" hidden="false" customHeight="true" outlineLevel="0" collapsed="false">
      <c r="A133" s="11" t="s">
        <v>380</v>
      </c>
      <c r="B133" s="11" t="s">
        <v>536</v>
      </c>
      <c r="C133" s="13" t="n">
        <f aca="false">IFERROR(INDEX('تحليل التكلفة والسعر'!$D$2:$D$700,MATCH("اضافة جبنة كيري (بيتزا وسط)",'تحليل التكلفة والسعر'!$B$2:$B$700,0)),"")</f>
        <v>40.71</v>
      </c>
      <c r="D133" s="12" t="n">
        <f aca="false">IFERROR(INDEX('تحليل التكلفة والسعر'!$I$2:$I$700,MATCH("اضافة جبنة كيري (بيتزا وسط)",'تحليل التكلفة والسعر'!$B$2:$B$700,0)),"")</f>
        <v>0.633212969786293</v>
      </c>
      <c r="E133" s="49" t="n">
        <v>0</v>
      </c>
      <c r="F133" s="11" t="str">
        <f aca="false">IF(OR(NOT(INDEX('تحليل التكلفة والسعر'!$C$2:$C$700,MATCH("اضافة جبنة كيري (بيتزا وسط)",'تحليل التكلفة والسعر'!$B$2:$B$700,0))&gt;0),$E133=0),"بيانات غير كافية",IF(AND($E133&gt;=AVERAGEIFS($E$5:$E$175,$A$5:$A$175,$A133,$E$5:$E$175,"&gt;0"),INDEX('تحليل التكلفة والسعر'!$H$2:$H$700,MATCH("اضافة جبنة كيري (بيتزا وسط)",'تحليل التكلفة والسعر'!$B$2:$B$700,0))&gt;=AVERAGEIFS('تحليل التكلفة والسعر'!$H$2:$H$700,'تحليل التكلفة والسعر'!$A$2:$A$700,$A133,'تحليل التكلفة والسعر'!$C$2:$C$700,"&gt;0")),"⭐ نجم",IF(AND($E133&gt;=AVERAGEIFS($E$5:$E$175,$A$5:$A$175,$A133,$E$5:$E$175,"&gt;0"),INDEX('تحليل التكلفة والسعر'!$H$2:$H$700,MATCH("اضافة جبنة كيري (بيتزا وسط)",'تحليل التكلفة والسعر'!$B$2:$B$700,0))&lt;AVERAGEIFS('تحليل التكلفة والسعر'!$H$2:$H$700,'تحليل التكلفة والسعر'!$A$2:$A$700,$A133,'تحليل التكلفة والسعر'!$C$2:$C$700,"&gt;0")),"🐎 حصان عمل",IF(AND($E133&lt;AVERAGEIFS($E$5:$E$175,$A$5:$A$175,$A133,$E$5:$E$175,"&gt;0"),INDEX('تحليل التكلفة والسعر'!$H$2:$H$700,MATCH("اضافة جبنة كيري (بيتزا وسط)",'تحليل التكلفة والسعر'!$B$2:$B$700,0))&gt;=AVERAGEIFS('تحليل التكلفة والسعر'!$H$2:$H$700,'تحليل التكلفة والسعر'!$A$2:$A$700,$A133,'تحليل التكلفة والسعر'!$C$2:$C$700,"&gt;0")),"🧩 لغز","🐶 كلب"))))</f>
        <v>بيانات غير كافية</v>
      </c>
      <c r="G133" s="49" t="n">
        <v>0</v>
      </c>
      <c r="H133" s="11" t="str">
        <f aca="false">IF(OR(NOT(INDEX('تحليل التكلفة والسعر'!$C$2:$C$700,MATCH("اضافة جبنة كيري (بيتزا وسط)",'تحليل التكلفة والسعر'!$B$2:$B$700,0))&gt;0),$G133=0),"بيانات غير كافية",IF(AND($G133&gt;=AVERAGEIFS($G$5:$G$175,$A$5:$A$175,$A133,$G$5:$G$175,"&gt;0"),INDEX('تحليل التكلفة والسعر'!$H$2:$H$700,MATCH("اضافة جبنة كيري (بيتزا وسط)",'تحليل التكلفة والسعر'!$B$2:$B$700,0))&gt;=AVERAGEIFS('تحليل التكلفة والسعر'!$H$2:$H$700,'تحليل التكلفة والسعر'!$A$2:$A$700,$A133,'تحليل التكلفة والسعر'!$C$2:$C$700,"&gt;0")),"⭐ نجم",IF(AND($G133&gt;=AVERAGEIFS($G$5:$G$175,$A$5:$A$175,$A133,$G$5:$G$175,"&gt;0"),INDEX('تحليل التكلفة والسعر'!$H$2:$H$700,MATCH("اضافة جبنة كيري (بيتزا وسط)",'تحليل التكلفة والسعر'!$B$2:$B$700,0))&lt;AVERAGEIFS('تحليل التكلفة والسعر'!$H$2:$H$700,'تحليل التكلفة والسعر'!$A$2:$A$700,$A133,'تحليل التكلفة والسعر'!$C$2:$C$700,"&gt;0")),"🐎 حصان عمل",IF(AND($G133&lt;AVERAGEIFS($G$5:$G$175,$A$5:$A$175,$A133,$G$5:$G$175,"&gt;0"),INDEX('تحليل التكلفة والسعر'!$H$2:$H$700,MATCH("اضافة جبنة كيري (بيتزا وسط)",'تحليل التكلفة والسعر'!$B$2:$B$700,0))&gt;=AVERAGEIFS('تحليل التكلفة والسعر'!$H$2:$H$700,'تحليل التكلفة والسعر'!$A$2:$A$700,$A133,'تحليل التكلفة والسعر'!$C$2:$C$700,"&gt;0")),"🧩 لغز","🐶 كلب"))))</f>
        <v>بيانات غير كافية</v>
      </c>
    </row>
    <row r="134" customFormat="false" ht="15" hidden="false" customHeight="true" outlineLevel="0" collapsed="false">
      <c r="A134" s="11" t="s">
        <v>380</v>
      </c>
      <c r="B134" s="11" t="s">
        <v>537</v>
      </c>
      <c r="C134" s="13" t="n">
        <f aca="false">IFERROR(INDEX('تحليل التكلفة والسعر'!$D$2:$D$700,MATCH("اضافة جبنة موتزريلا (فطير M)",'تحليل التكلفة والسعر'!$B$2:$B$700,0)),"")</f>
        <v>40.62</v>
      </c>
      <c r="D134" s="12" t="n">
        <f aca="false">IFERROR(INDEX('تحليل التكلفة والسعر'!$I$2:$I$700,MATCH("اضافة جبنة موتزريلا (فطير M)",'تحليل التكلفة والسعر'!$B$2:$B$700,0)),"")</f>
        <v>0.54623584441162</v>
      </c>
      <c r="E134" s="49" t="n">
        <v>0</v>
      </c>
      <c r="F134" s="11" t="str">
        <f aca="false">IF(OR(NOT(INDEX('تحليل التكلفة والسعر'!$C$2:$C$700,MATCH("اضافة جبنة موتزريلا (فطير M)",'تحليل التكلفة والسعر'!$B$2:$B$700,0))&gt;0),$E134=0),"بيانات غير كافية",IF(AND($E134&gt;=AVERAGEIFS($E$5:$E$175,$A$5:$A$175,$A134,$E$5:$E$175,"&gt;0"),INDEX('تحليل التكلفة والسعر'!$H$2:$H$700,MATCH("اضافة جبنة موتزريلا (فطير M)",'تحليل التكلفة والسعر'!$B$2:$B$700,0))&gt;=AVERAGEIFS('تحليل التكلفة والسعر'!$H$2:$H$700,'تحليل التكلفة والسعر'!$A$2:$A$700,$A134,'تحليل التكلفة والسعر'!$C$2:$C$700,"&gt;0")),"⭐ نجم",IF(AND($E134&gt;=AVERAGEIFS($E$5:$E$175,$A$5:$A$175,$A134,$E$5:$E$175,"&gt;0"),INDEX('تحليل التكلفة والسعر'!$H$2:$H$700,MATCH("اضافة جبنة موتزريلا (فطير M)",'تحليل التكلفة والسعر'!$B$2:$B$700,0))&lt;AVERAGEIFS('تحليل التكلفة والسعر'!$H$2:$H$700,'تحليل التكلفة والسعر'!$A$2:$A$700,$A134,'تحليل التكلفة والسعر'!$C$2:$C$700,"&gt;0")),"🐎 حصان عمل",IF(AND($E134&lt;AVERAGEIFS($E$5:$E$175,$A$5:$A$175,$A134,$E$5:$E$175,"&gt;0"),INDEX('تحليل التكلفة والسعر'!$H$2:$H$700,MATCH("اضافة جبنة موتزريلا (فطير M)",'تحليل التكلفة والسعر'!$B$2:$B$700,0))&gt;=AVERAGEIFS('تحليل التكلفة والسعر'!$H$2:$H$700,'تحليل التكلفة والسعر'!$A$2:$A$700,$A134,'تحليل التكلفة والسعر'!$C$2:$C$700,"&gt;0")),"🧩 لغز","🐶 كلب"))))</f>
        <v>بيانات غير كافية</v>
      </c>
      <c r="G134" s="49" t="n">
        <v>0</v>
      </c>
      <c r="H134" s="11" t="str">
        <f aca="false">IF(OR(NOT(INDEX('تحليل التكلفة والسعر'!$C$2:$C$700,MATCH("اضافة جبنة موتزريلا (فطير M)",'تحليل التكلفة والسعر'!$B$2:$B$700,0))&gt;0),$G134=0),"بيانات غير كافية",IF(AND($G134&gt;=AVERAGEIFS($G$5:$G$175,$A$5:$A$175,$A134,$G$5:$G$175,"&gt;0"),INDEX('تحليل التكلفة والسعر'!$H$2:$H$700,MATCH("اضافة جبنة موتزريلا (فطير M)",'تحليل التكلفة والسعر'!$B$2:$B$700,0))&gt;=AVERAGEIFS('تحليل التكلفة والسعر'!$H$2:$H$700,'تحليل التكلفة والسعر'!$A$2:$A$700,$A134,'تحليل التكلفة والسعر'!$C$2:$C$700,"&gt;0")),"⭐ نجم",IF(AND($G134&gt;=AVERAGEIFS($G$5:$G$175,$A$5:$A$175,$A134,$G$5:$G$175,"&gt;0"),INDEX('تحليل التكلفة والسعر'!$H$2:$H$700,MATCH("اضافة جبنة موتزريلا (فطير M)",'تحليل التكلفة والسعر'!$B$2:$B$700,0))&lt;AVERAGEIFS('تحليل التكلفة والسعر'!$H$2:$H$700,'تحليل التكلفة والسعر'!$A$2:$A$700,$A134,'تحليل التكلفة والسعر'!$C$2:$C$700,"&gt;0")),"🐎 حصان عمل",IF(AND($G134&lt;AVERAGEIFS($G$5:$G$175,$A$5:$A$175,$A134,$G$5:$G$175,"&gt;0"),INDEX('تحليل التكلفة والسعر'!$H$2:$H$700,MATCH("اضافة جبنة موتزريلا (فطير M)",'تحليل التكلفة والسعر'!$B$2:$B$700,0))&gt;=AVERAGEIFS('تحليل التكلفة والسعر'!$H$2:$H$700,'تحليل التكلفة والسعر'!$A$2:$A$700,$A134,'تحليل التكلفة والسعر'!$C$2:$C$700,"&gt;0")),"🧩 لغز","🐶 كلب"))))</f>
        <v>بيانات غير كافية</v>
      </c>
    </row>
    <row r="135" customFormat="false" ht="15" hidden="false" customHeight="true" outlineLevel="0" collapsed="false">
      <c r="A135" s="11" t="s">
        <v>380</v>
      </c>
      <c r="B135" s="11" t="s">
        <v>538</v>
      </c>
      <c r="C135" s="13" t="n">
        <f aca="false">IFERROR(INDEX('تحليل التكلفة والسعر'!$D$2:$D$700,MATCH("اضافة جبنة موتزريلا (فطير L)",'تحليل التكلفة والسعر'!$B$2:$B$700,0)),"")</f>
        <v>55</v>
      </c>
      <c r="D135" s="12" t="n">
        <f aca="false">IFERROR(INDEX('تحليل التكلفة والسعر'!$I$2:$I$700,MATCH("اضافة جبنة موتزريلا (فطير L)",'تحليل التكلفة والسعر'!$B$2:$B$700,0)),"")</f>
        <v>0.528510909090909</v>
      </c>
      <c r="E135" s="49" t="n">
        <v>0</v>
      </c>
      <c r="F135" s="11" t="str">
        <f aca="false">IF(OR(NOT(INDEX('تحليل التكلفة والسعر'!$C$2:$C$700,MATCH("اضافة جبنة موتزريلا (فطير L)",'تحليل التكلفة والسعر'!$B$2:$B$700,0))&gt;0),$E135=0),"بيانات غير كافية",IF(AND($E135&gt;=AVERAGEIFS($E$5:$E$175,$A$5:$A$175,$A135,$E$5:$E$175,"&gt;0"),INDEX('تحليل التكلفة والسعر'!$H$2:$H$700,MATCH("اضافة جبنة موتزريلا (فطير L)",'تحليل التكلفة والسعر'!$B$2:$B$700,0))&gt;=AVERAGEIFS('تحليل التكلفة والسعر'!$H$2:$H$700,'تحليل التكلفة والسعر'!$A$2:$A$700,$A135,'تحليل التكلفة والسعر'!$C$2:$C$700,"&gt;0")),"⭐ نجم",IF(AND($E135&gt;=AVERAGEIFS($E$5:$E$175,$A$5:$A$175,$A135,$E$5:$E$175,"&gt;0"),INDEX('تحليل التكلفة والسعر'!$H$2:$H$700,MATCH("اضافة جبنة موتزريلا (فطير L)",'تحليل التكلفة والسعر'!$B$2:$B$700,0))&lt;AVERAGEIFS('تحليل التكلفة والسعر'!$H$2:$H$700,'تحليل التكلفة والسعر'!$A$2:$A$700,$A135,'تحليل التكلفة والسعر'!$C$2:$C$700,"&gt;0")),"🐎 حصان عمل",IF(AND($E135&lt;AVERAGEIFS($E$5:$E$175,$A$5:$A$175,$A135,$E$5:$E$175,"&gt;0"),INDEX('تحليل التكلفة والسعر'!$H$2:$H$700,MATCH("اضافة جبنة موتزريلا (فطير L)",'تحليل التكلفة والسعر'!$B$2:$B$700,0))&gt;=AVERAGEIFS('تحليل التكلفة والسعر'!$H$2:$H$700,'تحليل التكلفة والسعر'!$A$2:$A$700,$A135,'تحليل التكلفة والسعر'!$C$2:$C$700,"&gt;0")),"🧩 لغز","🐶 كلب"))))</f>
        <v>بيانات غير كافية</v>
      </c>
      <c r="G135" s="49" t="n">
        <v>0</v>
      </c>
      <c r="H135" s="11" t="str">
        <f aca="false">IF(OR(NOT(INDEX('تحليل التكلفة والسعر'!$C$2:$C$700,MATCH("اضافة جبنة موتزريلا (فطير L)",'تحليل التكلفة والسعر'!$B$2:$B$700,0))&gt;0),$G135=0),"بيانات غير كافية",IF(AND($G135&gt;=AVERAGEIFS($G$5:$G$175,$A$5:$A$175,$A135,$G$5:$G$175,"&gt;0"),INDEX('تحليل التكلفة والسعر'!$H$2:$H$700,MATCH("اضافة جبنة موتزريلا (فطير L)",'تحليل التكلفة والسعر'!$B$2:$B$700,0))&gt;=AVERAGEIFS('تحليل التكلفة والسعر'!$H$2:$H$700,'تحليل التكلفة والسعر'!$A$2:$A$700,$A135,'تحليل التكلفة والسعر'!$C$2:$C$700,"&gt;0")),"⭐ نجم",IF(AND($G135&gt;=AVERAGEIFS($G$5:$G$175,$A$5:$A$175,$A135,$G$5:$G$175,"&gt;0"),INDEX('تحليل التكلفة والسعر'!$H$2:$H$700,MATCH("اضافة جبنة موتزريلا (فطير L)",'تحليل التكلفة والسعر'!$B$2:$B$700,0))&lt;AVERAGEIFS('تحليل التكلفة والسعر'!$H$2:$H$700,'تحليل التكلفة والسعر'!$A$2:$A$700,$A135,'تحليل التكلفة والسعر'!$C$2:$C$700,"&gt;0")),"🐎 حصان عمل",IF(AND($G135&lt;AVERAGEIFS($G$5:$G$175,$A$5:$A$175,$A135,$G$5:$G$175,"&gt;0"),INDEX('تحليل التكلفة والسعر'!$H$2:$H$700,MATCH("اضافة جبنة موتزريلا (فطير L)",'تحليل التكلفة والسعر'!$B$2:$B$700,0))&gt;=AVERAGEIFS('تحليل التكلفة والسعر'!$H$2:$H$700,'تحليل التكلفة والسعر'!$A$2:$A$700,$A135,'تحليل التكلفة والسعر'!$C$2:$C$700,"&gt;0")),"🧩 لغز","🐶 كلب"))))</f>
        <v>بيانات غير كافية</v>
      </c>
    </row>
    <row r="136" customFormat="false" ht="15" hidden="false" customHeight="true" outlineLevel="0" collapsed="false">
      <c r="A136" s="11" t="s">
        <v>380</v>
      </c>
      <c r="B136" s="11" t="s">
        <v>539</v>
      </c>
      <c r="C136" s="13" t="n">
        <f aca="false">IFERROR(INDEX('تحليل التكلفة والسعر'!$D$2:$D$700,MATCH("اضافة جبنة موتزريلا (بيتزا وسط)",'تحليل التكلفة والسعر'!$B$2:$B$700,0)),"")</f>
        <v>41.25</v>
      </c>
      <c r="D136" s="12" t="n">
        <f aca="false">IFERROR(INDEX('تحليل التكلفة والسعر'!$I$2:$I$700,MATCH("اضافة جبنة موتزريلا (بيتزا وسط)",'تحليل التكلفة والسعر'!$B$2:$B$700,0)),"")</f>
        <v>0.49256</v>
      </c>
      <c r="E136" s="49" t="n">
        <v>0</v>
      </c>
      <c r="F136" s="11" t="str">
        <f aca="false">IF(OR(NOT(INDEX('تحليل التكلفة والسعر'!$C$2:$C$700,MATCH("اضافة جبنة موتزريلا (بيتزا وسط)",'تحليل التكلفة والسعر'!$B$2:$B$700,0))&gt;0),$E136=0),"بيانات غير كافية",IF(AND($E136&gt;=AVERAGEIFS($E$5:$E$175,$A$5:$A$175,$A136,$E$5:$E$175,"&gt;0"),INDEX('تحليل التكلفة والسعر'!$H$2:$H$700,MATCH("اضافة جبنة موتزريلا (بيتزا وسط)",'تحليل التكلفة والسعر'!$B$2:$B$700,0))&gt;=AVERAGEIFS('تحليل التكلفة والسعر'!$H$2:$H$700,'تحليل التكلفة والسعر'!$A$2:$A$700,$A136,'تحليل التكلفة والسعر'!$C$2:$C$700,"&gt;0")),"⭐ نجم",IF(AND($E136&gt;=AVERAGEIFS($E$5:$E$175,$A$5:$A$175,$A136,$E$5:$E$175,"&gt;0"),INDEX('تحليل التكلفة والسعر'!$H$2:$H$700,MATCH("اضافة جبنة موتزريلا (بيتزا وسط)",'تحليل التكلفة والسعر'!$B$2:$B$700,0))&lt;AVERAGEIFS('تحليل التكلفة والسعر'!$H$2:$H$700,'تحليل التكلفة والسعر'!$A$2:$A$700,$A136,'تحليل التكلفة والسعر'!$C$2:$C$700,"&gt;0")),"🐎 حصان عمل",IF(AND($E136&lt;AVERAGEIFS($E$5:$E$175,$A$5:$A$175,$A136,$E$5:$E$175,"&gt;0"),INDEX('تحليل التكلفة والسعر'!$H$2:$H$700,MATCH("اضافة جبنة موتزريلا (بيتزا وسط)",'تحليل التكلفة والسعر'!$B$2:$B$700,0))&gt;=AVERAGEIFS('تحليل التكلفة والسعر'!$H$2:$H$700,'تحليل التكلفة والسعر'!$A$2:$A$700,$A136,'تحليل التكلفة والسعر'!$C$2:$C$700,"&gt;0")),"🧩 لغز","🐶 كلب"))))</f>
        <v>بيانات غير كافية</v>
      </c>
      <c r="G136" s="49" t="n">
        <v>0</v>
      </c>
      <c r="H136" s="11" t="str">
        <f aca="false">IF(OR(NOT(INDEX('تحليل التكلفة والسعر'!$C$2:$C$700,MATCH("اضافة جبنة موتزريلا (بيتزا وسط)",'تحليل التكلفة والسعر'!$B$2:$B$700,0))&gt;0),$G136=0),"بيانات غير كافية",IF(AND($G136&gt;=AVERAGEIFS($G$5:$G$175,$A$5:$A$175,$A136,$G$5:$G$175,"&gt;0"),INDEX('تحليل التكلفة والسعر'!$H$2:$H$700,MATCH("اضافة جبنة موتزريلا (بيتزا وسط)",'تحليل التكلفة والسعر'!$B$2:$B$700,0))&gt;=AVERAGEIFS('تحليل التكلفة والسعر'!$H$2:$H$700,'تحليل التكلفة والسعر'!$A$2:$A$700,$A136,'تحليل التكلفة والسعر'!$C$2:$C$700,"&gt;0")),"⭐ نجم",IF(AND($G136&gt;=AVERAGEIFS($G$5:$G$175,$A$5:$A$175,$A136,$G$5:$G$175,"&gt;0"),INDEX('تحليل التكلفة والسعر'!$H$2:$H$700,MATCH("اضافة جبنة موتزريلا (بيتزا وسط)",'تحليل التكلفة والسعر'!$B$2:$B$700,0))&lt;AVERAGEIFS('تحليل التكلفة والسعر'!$H$2:$H$700,'تحليل التكلفة والسعر'!$A$2:$A$700,$A136,'تحليل التكلفة والسعر'!$C$2:$C$700,"&gt;0")),"🐎 حصان عمل",IF(AND($G136&lt;AVERAGEIFS($G$5:$G$175,$A$5:$A$175,$A136,$G$5:$G$175,"&gt;0"),INDEX('تحليل التكلفة والسعر'!$H$2:$H$700,MATCH("اضافة جبنة موتزريلا (بيتزا وسط)",'تحليل التكلفة والسعر'!$B$2:$B$700,0))&gt;=AVERAGEIFS('تحليل التكلفة والسعر'!$H$2:$H$700,'تحليل التكلفة والسعر'!$A$2:$A$700,$A136,'تحليل التكلفة والسعر'!$C$2:$C$700,"&gt;0")),"🧩 لغز","🐶 كلب"))))</f>
        <v>بيانات غير كافية</v>
      </c>
    </row>
    <row r="137" customFormat="false" ht="15" hidden="false" customHeight="true" outlineLevel="0" collapsed="false">
      <c r="A137" s="11" t="s">
        <v>380</v>
      </c>
      <c r="B137" s="11" t="s">
        <v>402</v>
      </c>
      <c r="C137" s="13" t="n">
        <f aca="false">IFERROR(INDEX('تحليل التكلفة والسعر'!$D$2:$D$700,MATCH("اضافة جبنة موتزريلا (بيتزا كبير)",'تحليل التكلفة والسعر'!$B$2:$B$700,0)),"")</f>
        <v>70</v>
      </c>
      <c r="D137" s="12" t="n">
        <f aca="false">IFERROR(INDEX('تحليل التكلفة والسعر'!$I$2:$I$700,MATCH("اضافة جبنة موتزريلا (بيتزا كبير)",'تحليل التكلفة والسعر'!$B$2:$B$700,0)),"")</f>
        <v>0.59898</v>
      </c>
      <c r="E137" s="49" t="n">
        <v>0</v>
      </c>
      <c r="F137" s="11" t="str">
        <f aca="false">IF(OR(NOT(INDEX('تحليل التكلفة والسعر'!$C$2:$C$700,MATCH("اضافة جبنة موتزريلا (بيتزا كبير)",'تحليل التكلفة والسعر'!$B$2:$B$700,0))&gt;0),$E137=0),"بيانات غير كافية",IF(AND($E137&gt;=AVERAGEIFS($E$5:$E$175,$A$5:$A$175,$A137,$E$5:$E$175,"&gt;0"),INDEX('تحليل التكلفة والسعر'!$H$2:$H$700,MATCH("اضافة جبنة موتزريلا (بيتزا كبير)",'تحليل التكلفة والسعر'!$B$2:$B$700,0))&gt;=AVERAGEIFS('تحليل التكلفة والسعر'!$H$2:$H$700,'تحليل التكلفة والسعر'!$A$2:$A$700,$A137,'تحليل التكلفة والسعر'!$C$2:$C$700,"&gt;0")),"⭐ نجم",IF(AND($E137&gt;=AVERAGEIFS($E$5:$E$175,$A$5:$A$175,$A137,$E$5:$E$175,"&gt;0"),INDEX('تحليل التكلفة والسعر'!$H$2:$H$700,MATCH("اضافة جبنة موتزريلا (بيتزا كبير)",'تحليل التكلفة والسعر'!$B$2:$B$700,0))&lt;AVERAGEIFS('تحليل التكلفة والسعر'!$H$2:$H$700,'تحليل التكلفة والسعر'!$A$2:$A$700,$A137,'تحليل التكلفة والسعر'!$C$2:$C$700,"&gt;0")),"🐎 حصان عمل",IF(AND($E137&lt;AVERAGEIFS($E$5:$E$175,$A$5:$A$175,$A137,$E$5:$E$175,"&gt;0"),INDEX('تحليل التكلفة والسعر'!$H$2:$H$700,MATCH("اضافة جبنة موتزريلا (بيتزا كبير)",'تحليل التكلفة والسعر'!$B$2:$B$700,0))&gt;=AVERAGEIFS('تحليل التكلفة والسعر'!$H$2:$H$700,'تحليل التكلفة والسعر'!$A$2:$A$700,$A137,'تحليل التكلفة والسعر'!$C$2:$C$700,"&gt;0")),"🧩 لغز","🐶 كلب"))))</f>
        <v>بيانات غير كافية</v>
      </c>
      <c r="G137" s="49" t="n">
        <v>0</v>
      </c>
      <c r="H137" s="11" t="str">
        <f aca="false">IF(OR(NOT(INDEX('تحليل التكلفة والسعر'!$C$2:$C$700,MATCH("اضافة جبنة موتزريلا (بيتزا كبير)",'تحليل التكلفة والسعر'!$B$2:$B$700,0))&gt;0),$G137=0),"بيانات غير كافية",IF(AND($G137&gt;=AVERAGEIFS($G$5:$G$175,$A$5:$A$175,$A137,$G$5:$G$175,"&gt;0"),INDEX('تحليل التكلفة والسعر'!$H$2:$H$700,MATCH("اضافة جبنة موتزريلا (بيتزا كبير)",'تحليل التكلفة والسعر'!$B$2:$B$700,0))&gt;=AVERAGEIFS('تحليل التكلفة والسعر'!$H$2:$H$700,'تحليل التكلفة والسعر'!$A$2:$A$700,$A137,'تحليل التكلفة والسعر'!$C$2:$C$700,"&gt;0")),"⭐ نجم",IF(AND($G137&gt;=AVERAGEIFS($G$5:$G$175,$A$5:$A$175,$A137,$G$5:$G$175,"&gt;0"),INDEX('تحليل التكلفة والسعر'!$H$2:$H$700,MATCH("اضافة جبنة موتزريلا (بيتزا كبير)",'تحليل التكلفة والسعر'!$B$2:$B$700,0))&lt;AVERAGEIFS('تحليل التكلفة والسعر'!$H$2:$H$700,'تحليل التكلفة والسعر'!$A$2:$A$700,$A137,'تحليل التكلفة والسعر'!$C$2:$C$700,"&gt;0")),"🐎 حصان عمل",IF(AND($G137&lt;AVERAGEIFS($G$5:$G$175,$A$5:$A$175,$A137,$G$5:$G$175,"&gt;0"),INDEX('تحليل التكلفة والسعر'!$H$2:$H$700,MATCH("اضافة جبنة موتزريلا (بيتزا كبير)",'تحليل التكلفة والسعر'!$B$2:$B$700,0))&gt;=AVERAGEIFS('تحليل التكلفة والسعر'!$H$2:$H$700,'تحليل التكلفة والسعر'!$A$2:$A$700,$A137,'تحليل التكلفة والسعر'!$C$2:$C$700,"&gt;0")),"🧩 لغز","🐶 كلب"))))</f>
        <v>بيانات غير كافية</v>
      </c>
    </row>
    <row r="138" customFormat="false" ht="15" hidden="false" customHeight="true" outlineLevel="0" collapsed="false">
      <c r="A138" s="11" t="s">
        <v>380</v>
      </c>
      <c r="B138" s="11" t="s">
        <v>540</v>
      </c>
      <c r="C138" s="13" t="n">
        <f aca="false">IFERROR(INDEX('تحليل التكلفة والسعر'!$D$2:$D$700,MATCH("اضافة جبنة رومي (بيتزا وسط)",'تحليل التكلفة والسعر'!$B$2:$B$700,0)),"")</f>
        <v>40</v>
      </c>
      <c r="D138" s="12" t="n">
        <f aca="false">IFERROR(INDEX('تحليل التكلفة والسعر'!$I$2:$I$700,MATCH("اضافة جبنة رومي (بيتزا وسط)",'تحليل التكلفة والسعر'!$B$2:$B$700,0)),"")</f>
        <v>0.7517025</v>
      </c>
      <c r="E138" s="49" t="n">
        <v>0</v>
      </c>
      <c r="F138" s="11" t="str">
        <f aca="false">IF(OR(NOT(INDEX('تحليل التكلفة والسعر'!$C$2:$C$700,MATCH("اضافة جبنة رومي (بيتزا وسط)",'تحليل التكلفة والسعر'!$B$2:$B$700,0))&gt;0),$E138=0),"بيانات غير كافية",IF(AND($E138&gt;=AVERAGEIFS($E$5:$E$175,$A$5:$A$175,$A138,$E$5:$E$175,"&gt;0"),INDEX('تحليل التكلفة والسعر'!$H$2:$H$700,MATCH("اضافة جبنة رومي (بيتزا وسط)",'تحليل التكلفة والسعر'!$B$2:$B$700,0))&gt;=AVERAGEIFS('تحليل التكلفة والسعر'!$H$2:$H$700,'تحليل التكلفة والسعر'!$A$2:$A$700,$A138,'تحليل التكلفة والسعر'!$C$2:$C$700,"&gt;0")),"⭐ نجم",IF(AND($E138&gt;=AVERAGEIFS($E$5:$E$175,$A$5:$A$175,$A138,$E$5:$E$175,"&gt;0"),INDEX('تحليل التكلفة والسعر'!$H$2:$H$700,MATCH("اضافة جبنة رومي (بيتزا وسط)",'تحليل التكلفة والسعر'!$B$2:$B$700,0))&lt;AVERAGEIFS('تحليل التكلفة والسعر'!$H$2:$H$700,'تحليل التكلفة والسعر'!$A$2:$A$700,$A138,'تحليل التكلفة والسعر'!$C$2:$C$700,"&gt;0")),"🐎 حصان عمل",IF(AND($E138&lt;AVERAGEIFS($E$5:$E$175,$A$5:$A$175,$A138,$E$5:$E$175,"&gt;0"),INDEX('تحليل التكلفة والسعر'!$H$2:$H$700,MATCH("اضافة جبنة رومي (بيتزا وسط)",'تحليل التكلفة والسعر'!$B$2:$B$700,0))&gt;=AVERAGEIFS('تحليل التكلفة والسعر'!$H$2:$H$700,'تحليل التكلفة والسعر'!$A$2:$A$700,$A138,'تحليل التكلفة والسعر'!$C$2:$C$700,"&gt;0")),"🧩 لغز","🐶 كلب"))))</f>
        <v>بيانات غير كافية</v>
      </c>
      <c r="G138" s="49" t="n">
        <v>0</v>
      </c>
      <c r="H138" s="11" t="str">
        <f aca="false">IF(OR(NOT(INDEX('تحليل التكلفة والسعر'!$C$2:$C$700,MATCH("اضافة جبنة رومي (بيتزا وسط)",'تحليل التكلفة والسعر'!$B$2:$B$700,0))&gt;0),$G138=0),"بيانات غير كافية",IF(AND($G138&gt;=AVERAGEIFS($G$5:$G$175,$A$5:$A$175,$A138,$G$5:$G$175,"&gt;0"),INDEX('تحليل التكلفة والسعر'!$H$2:$H$700,MATCH("اضافة جبنة رومي (بيتزا وسط)",'تحليل التكلفة والسعر'!$B$2:$B$700,0))&gt;=AVERAGEIFS('تحليل التكلفة والسعر'!$H$2:$H$700,'تحليل التكلفة والسعر'!$A$2:$A$700,$A138,'تحليل التكلفة والسعر'!$C$2:$C$700,"&gt;0")),"⭐ نجم",IF(AND($G138&gt;=AVERAGEIFS($G$5:$G$175,$A$5:$A$175,$A138,$G$5:$G$175,"&gt;0"),INDEX('تحليل التكلفة والسعر'!$H$2:$H$700,MATCH("اضافة جبنة رومي (بيتزا وسط)",'تحليل التكلفة والسعر'!$B$2:$B$700,0))&lt;AVERAGEIFS('تحليل التكلفة والسعر'!$H$2:$H$700,'تحليل التكلفة والسعر'!$A$2:$A$700,$A138,'تحليل التكلفة والسعر'!$C$2:$C$700,"&gt;0")),"🐎 حصان عمل",IF(AND($G138&lt;AVERAGEIFS($G$5:$G$175,$A$5:$A$175,$A138,$G$5:$G$175,"&gt;0"),INDEX('تحليل التكلفة والسعر'!$H$2:$H$700,MATCH("اضافة جبنة رومي (بيتزا وسط)",'تحليل التكلفة والسعر'!$B$2:$B$700,0))&gt;=AVERAGEIFS('تحليل التكلفة والسعر'!$H$2:$H$700,'تحليل التكلفة والسعر'!$A$2:$A$700,$A138,'تحليل التكلفة والسعر'!$C$2:$C$700,"&gt;0")),"🧩 لغز","🐶 كلب"))))</f>
        <v>بيانات غير كافية</v>
      </c>
    </row>
    <row r="139" customFormat="false" ht="15" hidden="false" customHeight="true" outlineLevel="0" collapsed="false">
      <c r="A139" s="11" t="s">
        <v>380</v>
      </c>
      <c r="B139" s="11" t="s">
        <v>541</v>
      </c>
      <c r="C139" s="13" t="n">
        <f aca="false">IFERROR(INDEX('تحليل التكلفة والسعر'!$D$2:$D$700,MATCH("اضافة جبنة رومي (فطير وسط)",'تحليل التكلفة والسعر'!$B$2:$B$700,0)),"")</f>
        <v>40</v>
      </c>
      <c r="D139" s="12" t="n">
        <f aca="false">IFERROR(INDEX('تحليل التكلفة والسعر'!$I$2:$I$700,MATCH("اضافة جبنة رومي (فطير وسط)",'تحليل التكلفة والسعر'!$B$2:$B$700,0)),"")</f>
        <v>0.7517025</v>
      </c>
      <c r="E139" s="49" t="n">
        <v>0</v>
      </c>
      <c r="F139" s="11" t="str">
        <f aca="false">IF(OR(NOT(INDEX('تحليل التكلفة والسعر'!$C$2:$C$700,MATCH("اضافة جبنة رومي (فطير وسط)",'تحليل التكلفة والسعر'!$B$2:$B$700,0))&gt;0),$E139=0),"بيانات غير كافية",IF(AND($E139&gt;=AVERAGEIFS($E$5:$E$175,$A$5:$A$175,$A139,$E$5:$E$175,"&gt;0"),INDEX('تحليل التكلفة والسعر'!$H$2:$H$700,MATCH("اضافة جبنة رومي (فطير وسط)",'تحليل التكلفة والسعر'!$B$2:$B$700,0))&gt;=AVERAGEIFS('تحليل التكلفة والسعر'!$H$2:$H$700,'تحليل التكلفة والسعر'!$A$2:$A$700,$A139,'تحليل التكلفة والسعر'!$C$2:$C$700,"&gt;0")),"⭐ نجم",IF(AND($E139&gt;=AVERAGEIFS($E$5:$E$175,$A$5:$A$175,$A139,$E$5:$E$175,"&gt;0"),INDEX('تحليل التكلفة والسعر'!$H$2:$H$700,MATCH("اضافة جبنة رومي (فطير وسط)",'تحليل التكلفة والسعر'!$B$2:$B$700,0))&lt;AVERAGEIFS('تحليل التكلفة والسعر'!$H$2:$H$700,'تحليل التكلفة والسعر'!$A$2:$A$700,$A139,'تحليل التكلفة والسعر'!$C$2:$C$700,"&gt;0")),"🐎 حصان عمل",IF(AND($E139&lt;AVERAGEIFS($E$5:$E$175,$A$5:$A$175,$A139,$E$5:$E$175,"&gt;0"),INDEX('تحليل التكلفة والسعر'!$H$2:$H$700,MATCH("اضافة جبنة رومي (فطير وسط)",'تحليل التكلفة والسعر'!$B$2:$B$700,0))&gt;=AVERAGEIFS('تحليل التكلفة والسعر'!$H$2:$H$700,'تحليل التكلفة والسعر'!$A$2:$A$700,$A139,'تحليل التكلفة والسعر'!$C$2:$C$700,"&gt;0")),"🧩 لغز","🐶 كلب"))))</f>
        <v>بيانات غير كافية</v>
      </c>
      <c r="G139" s="49" t="n">
        <v>0</v>
      </c>
      <c r="H139" s="11" t="str">
        <f aca="false">IF(OR(NOT(INDEX('تحليل التكلفة والسعر'!$C$2:$C$700,MATCH("اضافة جبنة رومي (فطير وسط)",'تحليل التكلفة والسعر'!$B$2:$B$700,0))&gt;0),$G139=0),"بيانات غير كافية",IF(AND($G139&gt;=AVERAGEIFS($G$5:$G$175,$A$5:$A$175,$A139,$G$5:$G$175,"&gt;0"),INDEX('تحليل التكلفة والسعر'!$H$2:$H$700,MATCH("اضافة جبنة رومي (فطير وسط)",'تحليل التكلفة والسعر'!$B$2:$B$700,0))&gt;=AVERAGEIFS('تحليل التكلفة والسعر'!$H$2:$H$700,'تحليل التكلفة والسعر'!$A$2:$A$700,$A139,'تحليل التكلفة والسعر'!$C$2:$C$700,"&gt;0")),"⭐ نجم",IF(AND($G139&gt;=AVERAGEIFS($G$5:$G$175,$A$5:$A$175,$A139,$G$5:$G$175,"&gt;0"),INDEX('تحليل التكلفة والسعر'!$H$2:$H$700,MATCH("اضافة جبنة رومي (فطير وسط)",'تحليل التكلفة والسعر'!$B$2:$B$700,0))&lt;AVERAGEIFS('تحليل التكلفة والسعر'!$H$2:$H$700,'تحليل التكلفة والسعر'!$A$2:$A$700,$A139,'تحليل التكلفة والسعر'!$C$2:$C$700,"&gt;0")),"🐎 حصان عمل",IF(AND($G139&lt;AVERAGEIFS($G$5:$G$175,$A$5:$A$175,$A139,$G$5:$G$175,"&gt;0"),INDEX('تحليل التكلفة والسعر'!$H$2:$H$700,MATCH("اضافة جبنة رومي (فطير وسط)",'تحليل التكلفة والسعر'!$B$2:$B$700,0))&gt;=AVERAGEIFS('تحليل التكلفة والسعر'!$H$2:$H$700,'تحليل التكلفة والسعر'!$A$2:$A$700,$A139,'تحليل التكلفة والسعر'!$C$2:$C$700,"&gt;0")),"🧩 لغز","🐶 كلب"))))</f>
        <v>بيانات غير كافية</v>
      </c>
    </row>
    <row r="140" customFormat="false" ht="15" hidden="false" customHeight="true" outlineLevel="0" collapsed="false">
      <c r="A140" s="11" t="s">
        <v>380</v>
      </c>
      <c r="B140" s="11" t="s">
        <v>542</v>
      </c>
      <c r="C140" s="13" t="n">
        <f aca="false">IFERROR(INDEX('تحليل التكلفة والسعر'!$D$2:$D$700,MATCH("اضافة جبنة رومي (فطير كبير)",'تحليل التكلفة والسعر'!$B$2:$B$700,0)),"")</f>
        <v>55</v>
      </c>
      <c r="D140" s="12" t="n">
        <f aca="false">IFERROR(INDEX('تحليل التكلفة والسعر'!$I$2:$I$700,MATCH("اضافة جبنة رومي (فطير كبير)",'تحليل التكلفة والسعر'!$B$2:$B$700,0)),"")</f>
        <v>0.737601818181818</v>
      </c>
      <c r="E140" s="49" t="n">
        <v>0</v>
      </c>
      <c r="F140" s="11" t="str">
        <f aca="false">IF(OR(NOT(INDEX('تحليل التكلفة والسعر'!$C$2:$C$700,MATCH("اضافة جبنة رومي (فطير كبير)",'تحليل التكلفة والسعر'!$B$2:$B$700,0))&gt;0),$E140=0),"بيانات غير كافية",IF(AND($E140&gt;=AVERAGEIFS($E$5:$E$175,$A$5:$A$175,$A140,$E$5:$E$175,"&gt;0"),INDEX('تحليل التكلفة والسعر'!$H$2:$H$700,MATCH("اضافة جبنة رومي (فطير كبير)",'تحليل التكلفة والسعر'!$B$2:$B$700,0))&gt;=AVERAGEIFS('تحليل التكلفة والسعر'!$H$2:$H$700,'تحليل التكلفة والسعر'!$A$2:$A$700,$A140,'تحليل التكلفة والسعر'!$C$2:$C$700,"&gt;0")),"⭐ نجم",IF(AND($E140&gt;=AVERAGEIFS($E$5:$E$175,$A$5:$A$175,$A140,$E$5:$E$175,"&gt;0"),INDEX('تحليل التكلفة والسعر'!$H$2:$H$700,MATCH("اضافة جبنة رومي (فطير كبير)",'تحليل التكلفة والسعر'!$B$2:$B$700,0))&lt;AVERAGEIFS('تحليل التكلفة والسعر'!$H$2:$H$700,'تحليل التكلفة والسعر'!$A$2:$A$700,$A140,'تحليل التكلفة والسعر'!$C$2:$C$700,"&gt;0")),"🐎 حصان عمل",IF(AND($E140&lt;AVERAGEIFS($E$5:$E$175,$A$5:$A$175,$A140,$E$5:$E$175,"&gt;0"),INDEX('تحليل التكلفة والسعر'!$H$2:$H$700,MATCH("اضافة جبنة رومي (فطير كبير)",'تحليل التكلفة والسعر'!$B$2:$B$700,0))&gt;=AVERAGEIFS('تحليل التكلفة والسعر'!$H$2:$H$700,'تحليل التكلفة والسعر'!$A$2:$A$700,$A140,'تحليل التكلفة والسعر'!$C$2:$C$700,"&gt;0")),"🧩 لغز","🐶 كلب"))))</f>
        <v>بيانات غير كافية</v>
      </c>
      <c r="G140" s="49" t="n">
        <v>0</v>
      </c>
      <c r="H140" s="11" t="str">
        <f aca="false">IF(OR(NOT(INDEX('تحليل التكلفة والسعر'!$C$2:$C$700,MATCH("اضافة جبنة رومي (فطير كبير)",'تحليل التكلفة والسعر'!$B$2:$B$700,0))&gt;0),$G140=0),"بيانات غير كافية",IF(AND($G140&gt;=AVERAGEIFS($G$5:$G$175,$A$5:$A$175,$A140,$G$5:$G$175,"&gt;0"),INDEX('تحليل التكلفة والسعر'!$H$2:$H$700,MATCH("اضافة جبنة رومي (فطير كبير)",'تحليل التكلفة والسعر'!$B$2:$B$700,0))&gt;=AVERAGEIFS('تحليل التكلفة والسعر'!$H$2:$H$700,'تحليل التكلفة والسعر'!$A$2:$A$700,$A140,'تحليل التكلفة والسعر'!$C$2:$C$700,"&gt;0")),"⭐ نجم",IF(AND($G140&gt;=AVERAGEIFS($G$5:$G$175,$A$5:$A$175,$A140,$G$5:$G$175,"&gt;0"),INDEX('تحليل التكلفة والسعر'!$H$2:$H$700,MATCH("اضافة جبنة رومي (فطير كبير)",'تحليل التكلفة والسعر'!$B$2:$B$700,0))&lt;AVERAGEIFS('تحليل التكلفة والسعر'!$H$2:$H$700,'تحليل التكلفة والسعر'!$A$2:$A$700,$A140,'تحليل التكلفة والسعر'!$C$2:$C$700,"&gt;0")),"🐎 حصان عمل",IF(AND($G140&lt;AVERAGEIFS($G$5:$G$175,$A$5:$A$175,$A140,$G$5:$G$175,"&gt;0"),INDEX('تحليل التكلفة والسعر'!$H$2:$H$700,MATCH("اضافة جبنة رومي (فطير كبير)",'تحليل التكلفة والسعر'!$B$2:$B$700,0))&gt;=AVERAGEIFS('تحليل التكلفة والسعر'!$H$2:$H$700,'تحليل التكلفة والسعر'!$A$2:$A$700,$A140,'تحليل التكلفة والسعر'!$C$2:$C$700,"&gt;0")),"🧩 لغز","🐶 كلب"))))</f>
        <v>بيانات غير كافية</v>
      </c>
    </row>
    <row r="141" customFormat="false" ht="15" hidden="false" customHeight="true" outlineLevel="0" collapsed="false">
      <c r="A141" s="11" t="s">
        <v>380</v>
      </c>
      <c r="B141" s="11" t="s">
        <v>518</v>
      </c>
      <c r="C141" s="13" t="n">
        <f aca="false">IFERROR(INDEX('تحليل التكلفة والسعر'!$D$2:$D$700,MATCH("اضافة مكسرات (وسط)",'تحليل التكلفة والسعر'!$B$2:$B$700,0)),"")</f>
        <v>50</v>
      </c>
      <c r="D141" s="12" t="n">
        <f aca="false">IFERROR(INDEX('تحليل التكلفة والسعر'!$I$2:$I$700,MATCH("اضافة مكسرات (وسط)",'تحليل التكلفة والسعر'!$B$2:$B$700,0)),"")</f>
        <v>0.521362</v>
      </c>
      <c r="E141" s="49" t="n">
        <v>0</v>
      </c>
      <c r="F141" s="11" t="str">
        <f aca="false">IF(OR(NOT(INDEX('تحليل التكلفة والسعر'!$C$2:$C$700,MATCH("اضافة مكسرات (وسط)",'تحليل التكلفة والسعر'!$B$2:$B$700,0))&gt;0),$E141=0),"بيانات غير كافية",IF(AND($E141&gt;=AVERAGEIFS($E$5:$E$175,$A$5:$A$175,$A141,$E$5:$E$175,"&gt;0"),INDEX('تحليل التكلفة والسعر'!$H$2:$H$700,MATCH("اضافة مكسرات (وسط)",'تحليل التكلفة والسعر'!$B$2:$B$700,0))&gt;=AVERAGEIFS('تحليل التكلفة والسعر'!$H$2:$H$700,'تحليل التكلفة والسعر'!$A$2:$A$700,$A141,'تحليل التكلفة والسعر'!$C$2:$C$700,"&gt;0")),"⭐ نجم",IF(AND($E141&gt;=AVERAGEIFS($E$5:$E$175,$A$5:$A$175,$A141,$E$5:$E$175,"&gt;0"),INDEX('تحليل التكلفة والسعر'!$H$2:$H$700,MATCH("اضافة مكسرات (وسط)",'تحليل التكلفة والسعر'!$B$2:$B$700,0))&lt;AVERAGEIFS('تحليل التكلفة والسعر'!$H$2:$H$700,'تحليل التكلفة والسعر'!$A$2:$A$700,$A141,'تحليل التكلفة والسعر'!$C$2:$C$700,"&gt;0")),"🐎 حصان عمل",IF(AND($E141&lt;AVERAGEIFS($E$5:$E$175,$A$5:$A$175,$A141,$E$5:$E$175,"&gt;0"),INDEX('تحليل التكلفة والسعر'!$H$2:$H$700,MATCH("اضافة مكسرات (وسط)",'تحليل التكلفة والسعر'!$B$2:$B$700,0))&gt;=AVERAGEIFS('تحليل التكلفة والسعر'!$H$2:$H$700,'تحليل التكلفة والسعر'!$A$2:$A$700,$A141,'تحليل التكلفة والسعر'!$C$2:$C$700,"&gt;0")),"🧩 لغز","🐶 كلب"))))</f>
        <v>بيانات غير كافية</v>
      </c>
      <c r="G141" s="49" t="n">
        <v>0</v>
      </c>
      <c r="H141" s="11" t="str">
        <f aca="false">IF(OR(NOT(INDEX('تحليل التكلفة والسعر'!$C$2:$C$700,MATCH("اضافة مكسرات (وسط)",'تحليل التكلفة والسعر'!$B$2:$B$700,0))&gt;0),$G141=0),"بيانات غير كافية",IF(AND($G141&gt;=AVERAGEIFS($G$5:$G$175,$A$5:$A$175,$A141,$G$5:$G$175,"&gt;0"),INDEX('تحليل التكلفة والسعر'!$H$2:$H$700,MATCH("اضافة مكسرات (وسط)",'تحليل التكلفة والسعر'!$B$2:$B$700,0))&gt;=AVERAGEIFS('تحليل التكلفة والسعر'!$H$2:$H$700,'تحليل التكلفة والسعر'!$A$2:$A$700,$A141,'تحليل التكلفة والسعر'!$C$2:$C$700,"&gt;0")),"⭐ نجم",IF(AND($G141&gt;=AVERAGEIFS($G$5:$G$175,$A$5:$A$175,$A141,$G$5:$G$175,"&gt;0"),INDEX('تحليل التكلفة والسعر'!$H$2:$H$700,MATCH("اضافة مكسرات (وسط)",'تحليل التكلفة والسعر'!$B$2:$B$700,0))&lt;AVERAGEIFS('تحليل التكلفة والسعر'!$H$2:$H$700,'تحليل التكلفة والسعر'!$A$2:$A$700,$A141,'تحليل التكلفة والسعر'!$C$2:$C$700,"&gt;0")),"🐎 حصان عمل",IF(AND($G141&lt;AVERAGEIFS($G$5:$G$175,$A$5:$A$175,$A141,$G$5:$G$175,"&gt;0"),INDEX('تحليل التكلفة والسعر'!$H$2:$H$700,MATCH("اضافة مكسرات (وسط)",'تحليل التكلفة والسعر'!$B$2:$B$700,0))&gt;=AVERAGEIFS('تحليل التكلفة والسعر'!$H$2:$H$700,'تحليل التكلفة والسعر'!$A$2:$A$700,$A141,'تحليل التكلفة والسعر'!$C$2:$C$700,"&gt;0")),"🧩 لغز","🐶 كلب"))))</f>
        <v>بيانات غير كافية</v>
      </c>
    </row>
    <row r="142" customFormat="false" ht="15" hidden="false" customHeight="true" outlineLevel="0" collapsed="false">
      <c r="A142" s="11" t="s">
        <v>380</v>
      </c>
      <c r="B142" s="11" t="s">
        <v>519</v>
      </c>
      <c r="C142" s="13" t="n">
        <f aca="false">IFERROR(INDEX('تحليل التكلفة والسعر'!$D$2:$D$700,MATCH("اضافة مكسرات (كبير)",'تحليل التكلفة والسعر'!$B$2:$B$700,0)),"")</f>
        <v>90</v>
      </c>
      <c r="D142" s="12" t="n">
        <f aca="false">IFERROR(INDEX('تحليل التكلفة والسعر'!$I$2:$I$700,MATCH("اضافة مكسرات (كبير)",'تحليل التكلفة والسعر'!$B$2:$B$700,0)),"")</f>
        <v>0.478534444444445</v>
      </c>
      <c r="E142" s="49" t="n">
        <v>0</v>
      </c>
      <c r="F142" s="11" t="str">
        <f aca="false">IF(OR(NOT(INDEX('تحليل التكلفة والسعر'!$C$2:$C$700,MATCH("اضافة مكسرات (كبير)",'تحليل التكلفة والسعر'!$B$2:$B$700,0))&gt;0),$E142=0),"بيانات غير كافية",IF(AND($E142&gt;=AVERAGEIFS($E$5:$E$175,$A$5:$A$175,$A142,$E$5:$E$175,"&gt;0"),INDEX('تحليل التكلفة والسعر'!$H$2:$H$700,MATCH("اضافة مكسرات (كبير)",'تحليل التكلفة والسعر'!$B$2:$B$700,0))&gt;=AVERAGEIFS('تحليل التكلفة والسعر'!$H$2:$H$700,'تحليل التكلفة والسعر'!$A$2:$A$700,$A142,'تحليل التكلفة والسعر'!$C$2:$C$700,"&gt;0")),"⭐ نجم",IF(AND($E142&gt;=AVERAGEIFS($E$5:$E$175,$A$5:$A$175,$A142,$E$5:$E$175,"&gt;0"),INDEX('تحليل التكلفة والسعر'!$H$2:$H$700,MATCH("اضافة مكسرات (كبير)",'تحليل التكلفة والسعر'!$B$2:$B$700,0))&lt;AVERAGEIFS('تحليل التكلفة والسعر'!$H$2:$H$700,'تحليل التكلفة والسعر'!$A$2:$A$700,$A142,'تحليل التكلفة والسعر'!$C$2:$C$700,"&gt;0")),"🐎 حصان عمل",IF(AND($E142&lt;AVERAGEIFS($E$5:$E$175,$A$5:$A$175,$A142,$E$5:$E$175,"&gt;0"),INDEX('تحليل التكلفة والسعر'!$H$2:$H$700,MATCH("اضافة مكسرات (كبير)",'تحليل التكلفة والسعر'!$B$2:$B$700,0))&gt;=AVERAGEIFS('تحليل التكلفة والسعر'!$H$2:$H$700,'تحليل التكلفة والسعر'!$A$2:$A$700,$A142,'تحليل التكلفة والسعر'!$C$2:$C$700,"&gt;0")),"🧩 لغز","🐶 كلب"))))</f>
        <v>بيانات غير كافية</v>
      </c>
      <c r="G142" s="49" t="n">
        <v>0</v>
      </c>
      <c r="H142" s="11" t="str">
        <f aca="false">IF(OR(NOT(INDEX('تحليل التكلفة والسعر'!$C$2:$C$700,MATCH("اضافة مكسرات (كبير)",'تحليل التكلفة والسعر'!$B$2:$B$700,0))&gt;0),$G142=0),"بيانات غير كافية",IF(AND($G142&gt;=AVERAGEIFS($G$5:$G$175,$A$5:$A$175,$A142,$G$5:$G$175,"&gt;0"),INDEX('تحليل التكلفة والسعر'!$H$2:$H$700,MATCH("اضافة مكسرات (كبير)",'تحليل التكلفة والسعر'!$B$2:$B$700,0))&gt;=AVERAGEIFS('تحليل التكلفة والسعر'!$H$2:$H$700,'تحليل التكلفة والسعر'!$A$2:$A$700,$A142,'تحليل التكلفة والسعر'!$C$2:$C$700,"&gt;0")),"⭐ نجم",IF(AND($G142&gt;=AVERAGEIFS($G$5:$G$175,$A$5:$A$175,$A142,$G$5:$G$175,"&gt;0"),INDEX('تحليل التكلفة والسعر'!$H$2:$H$700,MATCH("اضافة مكسرات (كبير)",'تحليل التكلفة والسعر'!$B$2:$B$700,0))&lt;AVERAGEIFS('تحليل التكلفة والسعر'!$H$2:$H$700,'تحليل التكلفة والسعر'!$A$2:$A$700,$A142,'تحليل التكلفة والسعر'!$C$2:$C$700,"&gt;0")),"🐎 حصان عمل",IF(AND($G142&lt;AVERAGEIFS($G$5:$G$175,$A$5:$A$175,$A142,$G$5:$G$175,"&gt;0"),INDEX('تحليل التكلفة والسعر'!$H$2:$H$700,MATCH("اضافة مكسرات (كبير)",'تحليل التكلفة والسعر'!$B$2:$B$700,0))&gt;=AVERAGEIFS('تحليل التكلفة والسعر'!$H$2:$H$700,'تحليل التكلفة والسعر'!$A$2:$A$700,$A142,'تحليل التكلفة والسعر'!$C$2:$C$700,"&gt;0")),"🧩 لغز","🐶 كلب"))))</f>
        <v>بيانات غير كافية</v>
      </c>
    </row>
    <row r="143" customFormat="false" ht="15" hidden="false" customHeight="true" outlineLevel="0" collapsed="false">
      <c r="A143" s="11" t="s">
        <v>380</v>
      </c>
      <c r="B143" s="11" t="s">
        <v>386</v>
      </c>
      <c r="C143" s="13" t="n">
        <f aca="false">IFERROR(INDEX('تحليل التكلفة والسعر'!$D$2:$D$700,MATCH("اضافة شيكولاتة (عام)",'تحليل التكلفة والسعر'!$B$2:$B$700,0)),"")</f>
        <v>50</v>
      </c>
      <c r="D143" s="12" t="n">
        <f aca="false">IFERROR(INDEX('تحليل التكلفة والسعر'!$I$2:$I$700,MATCH("اضافة شيكولاتة (عام)",'تحليل التكلفة والسعر'!$B$2:$B$700,0)),"")</f>
        <v>0.7260456</v>
      </c>
      <c r="E143" s="49" t="n">
        <v>0</v>
      </c>
      <c r="F143" s="11" t="str">
        <f aca="false">IF(OR(NOT(INDEX('تحليل التكلفة والسعر'!$C$2:$C$700,MATCH("اضافة شيكولاتة (عام)",'تحليل التكلفة والسعر'!$B$2:$B$700,0))&gt;0),$E143=0),"بيانات غير كافية",IF(AND($E143&gt;=AVERAGEIFS($E$5:$E$175,$A$5:$A$175,$A143,$E$5:$E$175,"&gt;0"),INDEX('تحليل التكلفة والسعر'!$H$2:$H$700,MATCH("اضافة شيكولاتة (عام)",'تحليل التكلفة والسعر'!$B$2:$B$700,0))&gt;=AVERAGEIFS('تحليل التكلفة والسعر'!$H$2:$H$700,'تحليل التكلفة والسعر'!$A$2:$A$700,$A143,'تحليل التكلفة والسعر'!$C$2:$C$700,"&gt;0")),"⭐ نجم",IF(AND($E143&gt;=AVERAGEIFS($E$5:$E$175,$A$5:$A$175,$A143,$E$5:$E$175,"&gt;0"),INDEX('تحليل التكلفة والسعر'!$H$2:$H$700,MATCH("اضافة شيكولاتة (عام)",'تحليل التكلفة والسعر'!$B$2:$B$700,0))&lt;AVERAGEIFS('تحليل التكلفة والسعر'!$H$2:$H$700,'تحليل التكلفة والسعر'!$A$2:$A$700,$A143,'تحليل التكلفة والسعر'!$C$2:$C$700,"&gt;0")),"🐎 حصان عمل",IF(AND($E143&lt;AVERAGEIFS($E$5:$E$175,$A$5:$A$175,$A143,$E$5:$E$175,"&gt;0"),INDEX('تحليل التكلفة والسعر'!$H$2:$H$700,MATCH("اضافة شيكولاتة (عام)",'تحليل التكلفة والسعر'!$B$2:$B$700,0))&gt;=AVERAGEIFS('تحليل التكلفة والسعر'!$H$2:$H$700,'تحليل التكلفة والسعر'!$A$2:$A$700,$A143,'تحليل التكلفة والسعر'!$C$2:$C$700,"&gt;0")),"🧩 لغز","🐶 كلب"))))</f>
        <v>بيانات غير كافية</v>
      </c>
      <c r="G143" s="49" t="n">
        <v>0</v>
      </c>
      <c r="H143" s="11" t="str">
        <f aca="false">IF(OR(NOT(INDEX('تحليل التكلفة والسعر'!$C$2:$C$700,MATCH("اضافة شيكولاتة (عام)",'تحليل التكلفة والسعر'!$B$2:$B$700,0))&gt;0),$G143=0),"بيانات غير كافية",IF(AND($G143&gt;=AVERAGEIFS($G$5:$G$175,$A$5:$A$175,$A143,$G$5:$G$175,"&gt;0"),INDEX('تحليل التكلفة والسعر'!$H$2:$H$700,MATCH("اضافة شيكولاتة (عام)",'تحليل التكلفة والسعر'!$B$2:$B$700,0))&gt;=AVERAGEIFS('تحليل التكلفة والسعر'!$H$2:$H$700,'تحليل التكلفة والسعر'!$A$2:$A$700,$A143,'تحليل التكلفة والسعر'!$C$2:$C$700,"&gt;0")),"⭐ نجم",IF(AND($G143&gt;=AVERAGEIFS($G$5:$G$175,$A$5:$A$175,$A143,$G$5:$G$175,"&gt;0"),INDEX('تحليل التكلفة والسعر'!$H$2:$H$700,MATCH("اضافة شيكولاتة (عام)",'تحليل التكلفة والسعر'!$B$2:$B$700,0))&lt;AVERAGEIFS('تحليل التكلفة والسعر'!$H$2:$H$700,'تحليل التكلفة والسعر'!$A$2:$A$700,$A143,'تحليل التكلفة والسعر'!$C$2:$C$700,"&gt;0")),"🐎 حصان عمل",IF(AND($G143&lt;AVERAGEIFS($G$5:$G$175,$A$5:$A$175,$A143,$G$5:$G$175,"&gt;0"),INDEX('تحليل التكلفة والسعر'!$H$2:$H$700,MATCH("اضافة شيكولاتة (عام)",'تحليل التكلفة والسعر'!$B$2:$B$700,0))&gt;=AVERAGEIFS('تحليل التكلفة والسعر'!$H$2:$H$700,'تحليل التكلفة والسعر'!$A$2:$A$700,$A143,'تحليل التكلفة والسعر'!$C$2:$C$700,"&gt;0")),"🧩 لغز","🐶 كلب"))))</f>
        <v>بيانات غير كافية</v>
      </c>
    </row>
    <row r="144" customFormat="false" ht="15" hidden="false" customHeight="true" outlineLevel="0" collapsed="false">
      <c r="A144" s="11" t="s">
        <v>380</v>
      </c>
      <c r="B144" s="11" t="s">
        <v>393</v>
      </c>
      <c r="C144" s="13" t="n">
        <f aca="false">IFERROR(INDEX('تحليل التكلفة والسعر'!$D$2:$D$700,MATCH("اضافة قشطة (عام)",'تحليل التكلفة والسعر'!$B$2:$B$700,0)),"")</f>
        <v>60</v>
      </c>
      <c r="D144" s="12" t="n">
        <f aca="false">IFERROR(INDEX('تحليل التكلفة والسعر'!$I$2:$I$700,MATCH("اضافة قشطة (عام)",'تحليل التكلفة والسعر'!$B$2:$B$700,0)),"")</f>
        <v>0.567801666666667</v>
      </c>
      <c r="E144" s="49" t="n">
        <v>0</v>
      </c>
      <c r="F144" s="11" t="str">
        <f aca="false">IF(OR(NOT(INDEX('تحليل التكلفة والسعر'!$C$2:$C$700,MATCH("اضافة قشطة (عام)",'تحليل التكلفة والسعر'!$B$2:$B$700,0))&gt;0),$E144=0),"بيانات غير كافية",IF(AND($E144&gt;=AVERAGEIFS($E$5:$E$175,$A$5:$A$175,$A144,$E$5:$E$175,"&gt;0"),INDEX('تحليل التكلفة والسعر'!$H$2:$H$700,MATCH("اضافة قشطة (عام)",'تحليل التكلفة والسعر'!$B$2:$B$700,0))&gt;=AVERAGEIFS('تحليل التكلفة والسعر'!$H$2:$H$700,'تحليل التكلفة والسعر'!$A$2:$A$700,$A144,'تحليل التكلفة والسعر'!$C$2:$C$700,"&gt;0")),"⭐ نجم",IF(AND($E144&gt;=AVERAGEIFS($E$5:$E$175,$A$5:$A$175,$A144,$E$5:$E$175,"&gt;0"),INDEX('تحليل التكلفة والسعر'!$H$2:$H$700,MATCH("اضافة قشطة (عام)",'تحليل التكلفة والسعر'!$B$2:$B$700,0))&lt;AVERAGEIFS('تحليل التكلفة والسعر'!$H$2:$H$700,'تحليل التكلفة والسعر'!$A$2:$A$700,$A144,'تحليل التكلفة والسعر'!$C$2:$C$700,"&gt;0")),"🐎 حصان عمل",IF(AND($E144&lt;AVERAGEIFS($E$5:$E$175,$A$5:$A$175,$A144,$E$5:$E$175,"&gt;0"),INDEX('تحليل التكلفة والسعر'!$H$2:$H$700,MATCH("اضافة قشطة (عام)",'تحليل التكلفة والسعر'!$B$2:$B$700,0))&gt;=AVERAGEIFS('تحليل التكلفة والسعر'!$H$2:$H$700,'تحليل التكلفة والسعر'!$A$2:$A$700,$A144,'تحليل التكلفة والسعر'!$C$2:$C$700,"&gt;0")),"🧩 لغز","🐶 كلب"))))</f>
        <v>بيانات غير كافية</v>
      </c>
      <c r="G144" s="49" t="n">
        <v>0</v>
      </c>
      <c r="H144" s="11" t="str">
        <f aca="false">IF(OR(NOT(INDEX('تحليل التكلفة والسعر'!$C$2:$C$700,MATCH("اضافة قشطة (عام)",'تحليل التكلفة والسعر'!$B$2:$B$700,0))&gt;0),$G144=0),"بيانات غير كافية",IF(AND($G144&gt;=AVERAGEIFS($G$5:$G$175,$A$5:$A$175,$A144,$G$5:$G$175,"&gt;0"),INDEX('تحليل التكلفة والسعر'!$H$2:$H$700,MATCH("اضافة قشطة (عام)",'تحليل التكلفة والسعر'!$B$2:$B$700,0))&gt;=AVERAGEIFS('تحليل التكلفة والسعر'!$H$2:$H$700,'تحليل التكلفة والسعر'!$A$2:$A$700,$A144,'تحليل التكلفة والسعر'!$C$2:$C$700,"&gt;0")),"⭐ نجم",IF(AND($G144&gt;=AVERAGEIFS($G$5:$G$175,$A$5:$A$175,$A144,$G$5:$G$175,"&gt;0"),INDEX('تحليل التكلفة والسعر'!$H$2:$H$700,MATCH("اضافة قشطة (عام)",'تحليل التكلفة والسعر'!$B$2:$B$700,0))&lt;AVERAGEIFS('تحليل التكلفة والسعر'!$H$2:$H$700,'تحليل التكلفة والسعر'!$A$2:$A$700,$A144,'تحليل التكلفة والسعر'!$C$2:$C$700,"&gt;0")),"🐎 حصان عمل",IF(AND($G144&lt;AVERAGEIFS($G$5:$G$175,$A$5:$A$175,$A144,$G$5:$G$175,"&gt;0"),INDEX('تحليل التكلفة والسعر'!$H$2:$H$700,MATCH("اضافة قشطة (عام)",'تحليل التكلفة والسعر'!$B$2:$B$700,0))&gt;=AVERAGEIFS('تحليل التكلفة والسعر'!$H$2:$H$700,'تحليل التكلفة والسعر'!$A$2:$A$700,$A144,'تحليل التكلفة والسعر'!$C$2:$C$700,"&gt;0")),"🧩 لغز","🐶 كلب"))))</f>
        <v>بيانات غير كافية</v>
      </c>
    </row>
    <row r="145" customFormat="false" ht="15" hidden="false" customHeight="true" outlineLevel="0" collapsed="false">
      <c r="A145" s="11" t="s">
        <v>380</v>
      </c>
      <c r="B145" s="11" t="s">
        <v>543</v>
      </c>
      <c r="C145" s="13" t="n">
        <f aca="false">IFERROR(INDEX('تحليل التكلفة والسعر'!$D$2:$D$700,MATCH("اضافة مفروم (بيتزا وسط)",'تحليل التكلفة والسعر'!$B$2:$B$700,0)),"")</f>
        <v>60</v>
      </c>
      <c r="D145" s="12" t="n">
        <f aca="false">IFERROR(INDEX('تحليل التكلفة والسعر'!$I$2:$I$700,MATCH("اضافة مفروم (بيتزا وسط)",'تحليل التكلفة والسعر'!$B$2:$B$700,0)),"")</f>
        <v>0.634468333333333</v>
      </c>
      <c r="E145" s="49" t="n">
        <v>0</v>
      </c>
      <c r="F145" s="11" t="str">
        <f aca="false">IF(OR(NOT(INDEX('تحليل التكلفة والسعر'!$C$2:$C$700,MATCH("اضافة مفروم (بيتزا وسط)",'تحليل التكلفة والسعر'!$B$2:$B$700,0))&gt;0),$E145=0),"بيانات غير كافية",IF(AND($E145&gt;=AVERAGEIFS($E$5:$E$175,$A$5:$A$175,$A145,$E$5:$E$175,"&gt;0"),INDEX('تحليل التكلفة والسعر'!$H$2:$H$700,MATCH("اضافة مفروم (بيتزا وسط)",'تحليل التكلفة والسعر'!$B$2:$B$700,0))&gt;=AVERAGEIFS('تحليل التكلفة والسعر'!$H$2:$H$700,'تحليل التكلفة والسعر'!$A$2:$A$700,$A145,'تحليل التكلفة والسعر'!$C$2:$C$700,"&gt;0")),"⭐ نجم",IF(AND($E145&gt;=AVERAGEIFS($E$5:$E$175,$A$5:$A$175,$A145,$E$5:$E$175,"&gt;0"),INDEX('تحليل التكلفة والسعر'!$H$2:$H$700,MATCH("اضافة مفروم (بيتزا وسط)",'تحليل التكلفة والسعر'!$B$2:$B$700,0))&lt;AVERAGEIFS('تحليل التكلفة والسعر'!$H$2:$H$700,'تحليل التكلفة والسعر'!$A$2:$A$700,$A145,'تحليل التكلفة والسعر'!$C$2:$C$700,"&gt;0")),"🐎 حصان عمل",IF(AND($E145&lt;AVERAGEIFS($E$5:$E$175,$A$5:$A$175,$A145,$E$5:$E$175,"&gt;0"),INDEX('تحليل التكلفة والسعر'!$H$2:$H$700,MATCH("اضافة مفروم (بيتزا وسط)",'تحليل التكلفة والسعر'!$B$2:$B$700,0))&gt;=AVERAGEIFS('تحليل التكلفة والسعر'!$H$2:$H$700,'تحليل التكلفة والسعر'!$A$2:$A$700,$A145,'تحليل التكلفة والسعر'!$C$2:$C$700,"&gt;0")),"🧩 لغز","🐶 كلب"))))</f>
        <v>بيانات غير كافية</v>
      </c>
      <c r="G145" s="49" t="n">
        <v>0</v>
      </c>
      <c r="H145" s="11" t="str">
        <f aca="false">IF(OR(NOT(INDEX('تحليل التكلفة والسعر'!$C$2:$C$700,MATCH("اضافة مفروم (بيتزا وسط)",'تحليل التكلفة والسعر'!$B$2:$B$700,0))&gt;0),$G145=0),"بيانات غير كافية",IF(AND($G145&gt;=AVERAGEIFS($G$5:$G$175,$A$5:$A$175,$A145,$G$5:$G$175,"&gt;0"),INDEX('تحليل التكلفة والسعر'!$H$2:$H$700,MATCH("اضافة مفروم (بيتزا وسط)",'تحليل التكلفة والسعر'!$B$2:$B$700,0))&gt;=AVERAGEIFS('تحليل التكلفة والسعر'!$H$2:$H$700,'تحليل التكلفة والسعر'!$A$2:$A$700,$A145,'تحليل التكلفة والسعر'!$C$2:$C$700,"&gt;0")),"⭐ نجم",IF(AND($G145&gt;=AVERAGEIFS($G$5:$G$175,$A$5:$A$175,$A145,$G$5:$G$175,"&gt;0"),INDEX('تحليل التكلفة والسعر'!$H$2:$H$700,MATCH("اضافة مفروم (بيتزا وسط)",'تحليل التكلفة والسعر'!$B$2:$B$700,0))&lt;AVERAGEIFS('تحليل التكلفة والسعر'!$H$2:$H$700,'تحليل التكلفة والسعر'!$A$2:$A$700,$A145,'تحليل التكلفة والسعر'!$C$2:$C$700,"&gt;0")),"🐎 حصان عمل",IF(AND($G145&lt;AVERAGEIFS($G$5:$G$175,$A$5:$A$175,$A145,$G$5:$G$175,"&gt;0"),INDEX('تحليل التكلفة والسعر'!$H$2:$H$700,MATCH("اضافة مفروم (بيتزا وسط)",'تحليل التكلفة والسعر'!$B$2:$B$700,0))&gt;=AVERAGEIFS('تحليل التكلفة والسعر'!$H$2:$H$700,'تحليل التكلفة والسعر'!$A$2:$A$700,$A145,'تحليل التكلفة والسعر'!$C$2:$C$700,"&gt;0")),"🧩 لغز","🐶 كلب"))))</f>
        <v>بيانات غير كافية</v>
      </c>
    </row>
    <row r="146" customFormat="false" ht="15" hidden="false" customHeight="true" outlineLevel="0" collapsed="false">
      <c r="A146" s="11" t="s">
        <v>380</v>
      </c>
      <c r="B146" s="11" t="s">
        <v>544</v>
      </c>
      <c r="C146" s="13" t="n">
        <f aca="false">IFERROR(INDEX('تحليل التكلفة والسعر'!$D$2:$D$700,MATCH("اضافة مفروم (فطير وسط)",'تحليل التكلفة والسعر'!$B$2:$B$700,0)),"")</f>
        <v>60</v>
      </c>
      <c r="D146" s="12" t="n">
        <f aca="false">IFERROR(INDEX('تحليل التكلفة والسعر'!$I$2:$I$700,MATCH("اضافة مفروم (فطير وسط)",'تحليل التكلفة والسعر'!$B$2:$B$700,0)),"")</f>
        <v>0.634468333333333</v>
      </c>
      <c r="E146" s="49" t="n">
        <v>0</v>
      </c>
      <c r="F146" s="11" t="str">
        <f aca="false">IF(OR(NOT(INDEX('تحليل التكلفة والسعر'!$C$2:$C$700,MATCH("اضافة مفروم (فطير وسط)",'تحليل التكلفة والسعر'!$B$2:$B$700,0))&gt;0),$E146=0),"بيانات غير كافية",IF(AND($E146&gt;=AVERAGEIFS($E$5:$E$175,$A$5:$A$175,$A146,$E$5:$E$175,"&gt;0"),INDEX('تحليل التكلفة والسعر'!$H$2:$H$700,MATCH("اضافة مفروم (فطير وسط)",'تحليل التكلفة والسعر'!$B$2:$B$700,0))&gt;=AVERAGEIFS('تحليل التكلفة والسعر'!$H$2:$H$700,'تحليل التكلفة والسعر'!$A$2:$A$700,$A146,'تحليل التكلفة والسعر'!$C$2:$C$700,"&gt;0")),"⭐ نجم",IF(AND($E146&gt;=AVERAGEIFS($E$5:$E$175,$A$5:$A$175,$A146,$E$5:$E$175,"&gt;0"),INDEX('تحليل التكلفة والسعر'!$H$2:$H$700,MATCH("اضافة مفروم (فطير وسط)",'تحليل التكلفة والسعر'!$B$2:$B$700,0))&lt;AVERAGEIFS('تحليل التكلفة والسعر'!$H$2:$H$700,'تحليل التكلفة والسعر'!$A$2:$A$700,$A146,'تحليل التكلفة والسعر'!$C$2:$C$700,"&gt;0")),"🐎 حصان عمل",IF(AND($E146&lt;AVERAGEIFS($E$5:$E$175,$A$5:$A$175,$A146,$E$5:$E$175,"&gt;0"),INDEX('تحليل التكلفة والسعر'!$H$2:$H$700,MATCH("اضافة مفروم (فطير وسط)",'تحليل التكلفة والسعر'!$B$2:$B$700,0))&gt;=AVERAGEIFS('تحليل التكلفة والسعر'!$H$2:$H$700,'تحليل التكلفة والسعر'!$A$2:$A$700,$A146,'تحليل التكلفة والسعر'!$C$2:$C$700,"&gt;0")),"🧩 لغز","🐶 كلب"))))</f>
        <v>بيانات غير كافية</v>
      </c>
      <c r="G146" s="49" t="n">
        <v>0</v>
      </c>
      <c r="H146" s="11" t="str">
        <f aca="false">IF(OR(NOT(INDEX('تحليل التكلفة والسعر'!$C$2:$C$700,MATCH("اضافة مفروم (فطير وسط)",'تحليل التكلفة والسعر'!$B$2:$B$700,0))&gt;0),$G146=0),"بيانات غير كافية",IF(AND($G146&gt;=AVERAGEIFS($G$5:$G$175,$A$5:$A$175,$A146,$G$5:$G$175,"&gt;0"),INDEX('تحليل التكلفة والسعر'!$H$2:$H$700,MATCH("اضافة مفروم (فطير وسط)",'تحليل التكلفة والسعر'!$B$2:$B$700,0))&gt;=AVERAGEIFS('تحليل التكلفة والسعر'!$H$2:$H$700,'تحليل التكلفة والسعر'!$A$2:$A$700,$A146,'تحليل التكلفة والسعر'!$C$2:$C$700,"&gt;0")),"⭐ نجم",IF(AND($G146&gt;=AVERAGEIFS($G$5:$G$175,$A$5:$A$175,$A146,$G$5:$G$175,"&gt;0"),INDEX('تحليل التكلفة والسعر'!$H$2:$H$700,MATCH("اضافة مفروم (فطير وسط)",'تحليل التكلفة والسعر'!$B$2:$B$700,0))&lt;AVERAGEIFS('تحليل التكلفة والسعر'!$H$2:$H$700,'تحليل التكلفة والسعر'!$A$2:$A$700,$A146,'تحليل التكلفة والسعر'!$C$2:$C$700,"&gt;0")),"🐎 حصان عمل",IF(AND($G146&lt;AVERAGEIFS($G$5:$G$175,$A$5:$A$175,$A146,$G$5:$G$175,"&gt;0"),INDEX('تحليل التكلفة والسعر'!$H$2:$H$700,MATCH("اضافة مفروم (فطير وسط)",'تحليل التكلفة والسعر'!$B$2:$B$700,0))&gt;=AVERAGEIFS('تحليل التكلفة والسعر'!$H$2:$H$700,'تحليل التكلفة والسعر'!$A$2:$A$700,$A146,'تحليل التكلفة والسعر'!$C$2:$C$700,"&gt;0")),"🧩 لغز","🐶 كلب"))))</f>
        <v>بيانات غير كافية</v>
      </c>
    </row>
    <row r="147" customFormat="false" ht="15" hidden="false" customHeight="true" outlineLevel="0" collapsed="false">
      <c r="A147" s="11" t="s">
        <v>380</v>
      </c>
      <c r="B147" s="11" t="s">
        <v>545</v>
      </c>
      <c r="C147" s="13" t="n">
        <f aca="false">IFERROR(INDEX('تحليل التكلفة والسعر'!$D$2:$D$700,MATCH("اضافة سدق (بيتزا وسط)",'تحليل التكلفة والسعر'!$B$2:$B$700,0)),"")</f>
        <v>80</v>
      </c>
      <c r="D147" s="12" t="n">
        <f aca="false">IFERROR(INDEX('تحليل التكلفة والسعر'!$I$2:$I$700,MATCH("اضافة سدق (بيتزا وسط)",'تحليل التكلفة والسعر'!$B$2:$B$700,0)),"")</f>
        <v>0.56335125</v>
      </c>
      <c r="E147" s="49" t="n">
        <v>0</v>
      </c>
      <c r="F147" s="11" t="str">
        <f aca="false">IF(OR(NOT(INDEX('تحليل التكلفة والسعر'!$C$2:$C$700,MATCH("اضافة سدق (بيتزا وسط)",'تحليل التكلفة والسعر'!$B$2:$B$700,0))&gt;0),$E147=0),"بيانات غير كافية",IF(AND($E147&gt;=AVERAGEIFS($E$5:$E$175,$A$5:$A$175,$A147,$E$5:$E$175,"&gt;0"),INDEX('تحليل التكلفة والسعر'!$H$2:$H$700,MATCH("اضافة سدق (بيتزا وسط)",'تحليل التكلفة والسعر'!$B$2:$B$700,0))&gt;=AVERAGEIFS('تحليل التكلفة والسعر'!$H$2:$H$700,'تحليل التكلفة والسعر'!$A$2:$A$700,$A147,'تحليل التكلفة والسعر'!$C$2:$C$700,"&gt;0")),"⭐ نجم",IF(AND($E147&gt;=AVERAGEIFS($E$5:$E$175,$A$5:$A$175,$A147,$E$5:$E$175,"&gt;0"),INDEX('تحليل التكلفة والسعر'!$H$2:$H$700,MATCH("اضافة سدق (بيتزا وسط)",'تحليل التكلفة والسعر'!$B$2:$B$700,0))&lt;AVERAGEIFS('تحليل التكلفة والسعر'!$H$2:$H$700,'تحليل التكلفة والسعر'!$A$2:$A$700,$A147,'تحليل التكلفة والسعر'!$C$2:$C$700,"&gt;0")),"🐎 حصان عمل",IF(AND($E147&lt;AVERAGEIFS($E$5:$E$175,$A$5:$A$175,$A147,$E$5:$E$175,"&gt;0"),INDEX('تحليل التكلفة والسعر'!$H$2:$H$700,MATCH("اضافة سدق (بيتزا وسط)",'تحليل التكلفة والسعر'!$B$2:$B$700,0))&gt;=AVERAGEIFS('تحليل التكلفة والسعر'!$H$2:$H$700,'تحليل التكلفة والسعر'!$A$2:$A$700,$A147,'تحليل التكلفة والسعر'!$C$2:$C$700,"&gt;0")),"🧩 لغز","🐶 كلب"))))</f>
        <v>بيانات غير كافية</v>
      </c>
      <c r="G147" s="49" t="n">
        <v>0</v>
      </c>
      <c r="H147" s="11" t="str">
        <f aca="false">IF(OR(NOT(INDEX('تحليل التكلفة والسعر'!$C$2:$C$700,MATCH("اضافة سدق (بيتزا وسط)",'تحليل التكلفة والسعر'!$B$2:$B$700,0))&gt;0),$G147=0),"بيانات غير كافية",IF(AND($G147&gt;=AVERAGEIFS($G$5:$G$175,$A$5:$A$175,$A147,$G$5:$G$175,"&gt;0"),INDEX('تحليل التكلفة والسعر'!$H$2:$H$700,MATCH("اضافة سدق (بيتزا وسط)",'تحليل التكلفة والسعر'!$B$2:$B$700,0))&gt;=AVERAGEIFS('تحليل التكلفة والسعر'!$H$2:$H$700,'تحليل التكلفة والسعر'!$A$2:$A$700,$A147,'تحليل التكلفة والسعر'!$C$2:$C$700,"&gt;0")),"⭐ نجم",IF(AND($G147&gt;=AVERAGEIFS($G$5:$G$175,$A$5:$A$175,$A147,$G$5:$G$175,"&gt;0"),INDEX('تحليل التكلفة والسعر'!$H$2:$H$700,MATCH("اضافة سدق (بيتزا وسط)",'تحليل التكلفة والسعر'!$B$2:$B$700,0))&lt;AVERAGEIFS('تحليل التكلفة والسعر'!$H$2:$H$700,'تحليل التكلفة والسعر'!$A$2:$A$700,$A147,'تحليل التكلفة والسعر'!$C$2:$C$700,"&gt;0")),"🐎 حصان عمل",IF(AND($G147&lt;AVERAGEIFS($G$5:$G$175,$A$5:$A$175,$A147,$G$5:$G$175,"&gt;0"),INDEX('تحليل التكلفة والسعر'!$H$2:$H$700,MATCH("اضافة سدق (بيتزا وسط)",'تحليل التكلفة والسعر'!$B$2:$B$700,0))&gt;=AVERAGEIFS('تحليل التكلفة والسعر'!$H$2:$H$700,'تحليل التكلفة والسعر'!$A$2:$A$700,$A147,'تحليل التكلفة والسعر'!$C$2:$C$700,"&gt;0")),"🧩 لغز","🐶 كلب"))))</f>
        <v>بيانات غير كافية</v>
      </c>
    </row>
    <row r="148" customFormat="false" ht="15" hidden="false" customHeight="true" outlineLevel="0" collapsed="false">
      <c r="A148" s="11" t="s">
        <v>380</v>
      </c>
      <c r="B148" s="11" t="s">
        <v>546</v>
      </c>
      <c r="C148" s="13" t="n">
        <f aca="false">IFERROR(INDEX('تحليل التكلفة والسعر'!$D$2:$D$700,MATCH("اضافة سدق (فطير وسط)",'تحليل التكلفة والسعر'!$B$2:$B$700,0)),"")</f>
        <v>83.33</v>
      </c>
      <c r="D148" s="12" t="n">
        <f aca="false">IFERROR(INDEX('تحليل التكلفة والسعر'!$I$2:$I$700,MATCH("اضافة سدق (فطير وسط)",'تحليل التكلفة والسعر'!$B$2:$B$700,0)),"")</f>
        <v>0.580800432017281</v>
      </c>
      <c r="E148" s="49" t="n">
        <v>0</v>
      </c>
      <c r="F148" s="11" t="str">
        <f aca="false">IF(OR(NOT(INDEX('تحليل التكلفة والسعر'!$C$2:$C$700,MATCH("اضافة سدق (فطير وسط)",'تحليل التكلفة والسعر'!$B$2:$B$700,0))&gt;0),$E148=0),"بيانات غير كافية",IF(AND($E148&gt;=AVERAGEIFS($E$5:$E$175,$A$5:$A$175,$A148,$E$5:$E$175,"&gt;0"),INDEX('تحليل التكلفة والسعر'!$H$2:$H$700,MATCH("اضافة سدق (فطير وسط)",'تحليل التكلفة والسعر'!$B$2:$B$700,0))&gt;=AVERAGEIFS('تحليل التكلفة والسعر'!$H$2:$H$700,'تحليل التكلفة والسعر'!$A$2:$A$700,$A148,'تحليل التكلفة والسعر'!$C$2:$C$700,"&gt;0")),"⭐ نجم",IF(AND($E148&gt;=AVERAGEIFS($E$5:$E$175,$A$5:$A$175,$A148,$E$5:$E$175,"&gt;0"),INDEX('تحليل التكلفة والسعر'!$H$2:$H$700,MATCH("اضافة سدق (فطير وسط)",'تحليل التكلفة والسعر'!$B$2:$B$700,0))&lt;AVERAGEIFS('تحليل التكلفة والسعر'!$H$2:$H$700,'تحليل التكلفة والسعر'!$A$2:$A$700,$A148,'تحليل التكلفة والسعر'!$C$2:$C$700,"&gt;0")),"🐎 حصان عمل",IF(AND($E148&lt;AVERAGEIFS($E$5:$E$175,$A$5:$A$175,$A148,$E$5:$E$175,"&gt;0"),INDEX('تحليل التكلفة والسعر'!$H$2:$H$700,MATCH("اضافة سدق (فطير وسط)",'تحليل التكلفة والسعر'!$B$2:$B$700,0))&gt;=AVERAGEIFS('تحليل التكلفة والسعر'!$H$2:$H$700,'تحليل التكلفة والسعر'!$A$2:$A$700,$A148,'تحليل التكلفة والسعر'!$C$2:$C$700,"&gt;0")),"🧩 لغز","🐶 كلب"))))</f>
        <v>بيانات غير كافية</v>
      </c>
      <c r="G148" s="49" t="n">
        <v>0</v>
      </c>
      <c r="H148" s="11" t="str">
        <f aca="false">IF(OR(NOT(INDEX('تحليل التكلفة والسعر'!$C$2:$C$700,MATCH("اضافة سدق (فطير وسط)",'تحليل التكلفة والسعر'!$B$2:$B$700,0))&gt;0),$G148=0),"بيانات غير كافية",IF(AND($G148&gt;=AVERAGEIFS($G$5:$G$175,$A$5:$A$175,$A148,$G$5:$G$175,"&gt;0"),INDEX('تحليل التكلفة والسعر'!$H$2:$H$700,MATCH("اضافة سدق (فطير وسط)",'تحليل التكلفة والسعر'!$B$2:$B$700,0))&gt;=AVERAGEIFS('تحليل التكلفة والسعر'!$H$2:$H$700,'تحليل التكلفة والسعر'!$A$2:$A$700,$A148,'تحليل التكلفة والسعر'!$C$2:$C$700,"&gt;0")),"⭐ نجم",IF(AND($G148&gt;=AVERAGEIFS($G$5:$G$175,$A$5:$A$175,$A148,$G$5:$G$175,"&gt;0"),INDEX('تحليل التكلفة والسعر'!$H$2:$H$700,MATCH("اضافة سدق (فطير وسط)",'تحليل التكلفة والسعر'!$B$2:$B$700,0))&lt;AVERAGEIFS('تحليل التكلفة والسعر'!$H$2:$H$700,'تحليل التكلفة والسعر'!$A$2:$A$700,$A148,'تحليل التكلفة والسعر'!$C$2:$C$700,"&gt;0")),"🐎 حصان عمل",IF(AND($G148&lt;AVERAGEIFS($G$5:$G$175,$A$5:$A$175,$A148,$G$5:$G$175,"&gt;0"),INDEX('تحليل التكلفة والسعر'!$H$2:$H$700,MATCH("اضافة سدق (فطير وسط)",'تحليل التكلفة والسعر'!$B$2:$B$700,0))&gt;=AVERAGEIFS('تحليل التكلفة والسعر'!$H$2:$H$700,'تحليل التكلفة والسعر'!$A$2:$A$700,$A148,'تحليل التكلفة والسعر'!$C$2:$C$700,"&gt;0")),"🧩 لغز","🐶 كلب"))))</f>
        <v>بيانات غير كافية</v>
      </c>
    </row>
    <row r="149" customFormat="false" ht="15" hidden="false" customHeight="true" outlineLevel="0" collapsed="false">
      <c r="A149" s="11" t="s">
        <v>380</v>
      </c>
      <c r="B149" s="11" t="s">
        <v>437</v>
      </c>
      <c r="C149" s="13" t="n">
        <f aca="false">IFERROR(INDEX('تحليل التكلفة والسعر'!$D$2:$D$700,MATCH("اضافة سدق (فطير كبير)",'تحليل التكلفة والسعر'!$B$2:$B$700,0)),"")</f>
        <v>100</v>
      </c>
      <c r="D149" s="12" t="n">
        <f aca="false">IFERROR(INDEX('تحليل التكلفة والسعر'!$I$2:$I$700,MATCH("اضافة سدق (فطير كبير)",'تحليل التكلفة والسعر'!$B$2:$B$700,0)),"")</f>
        <v>0.540681</v>
      </c>
      <c r="E149" s="49" t="n">
        <v>0</v>
      </c>
      <c r="F149" s="11" t="str">
        <f aca="false">IF(OR(NOT(INDEX('تحليل التكلفة والسعر'!$C$2:$C$700,MATCH("اضافة سدق (فطير كبير)",'تحليل التكلفة والسعر'!$B$2:$B$700,0))&gt;0),$E149=0),"بيانات غير كافية",IF(AND($E149&gt;=AVERAGEIFS($E$5:$E$175,$A$5:$A$175,$A149,$E$5:$E$175,"&gt;0"),INDEX('تحليل التكلفة والسعر'!$H$2:$H$700,MATCH("اضافة سدق (فطير كبير)",'تحليل التكلفة والسعر'!$B$2:$B$700,0))&gt;=AVERAGEIFS('تحليل التكلفة والسعر'!$H$2:$H$700,'تحليل التكلفة والسعر'!$A$2:$A$700,$A149,'تحليل التكلفة والسعر'!$C$2:$C$700,"&gt;0")),"⭐ نجم",IF(AND($E149&gt;=AVERAGEIFS($E$5:$E$175,$A$5:$A$175,$A149,$E$5:$E$175,"&gt;0"),INDEX('تحليل التكلفة والسعر'!$H$2:$H$700,MATCH("اضافة سدق (فطير كبير)",'تحليل التكلفة والسعر'!$B$2:$B$700,0))&lt;AVERAGEIFS('تحليل التكلفة والسعر'!$H$2:$H$700,'تحليل التكلفة والسعر'!$A$2:$A$700,$A149,'تحليل التكلفة والسعر'!$C$2:$C$700,"&gt;0")),"🐎 حصان عمل",IF(AND($E149&lt;AVERAGEIFS($E$5:$E$175,$A$5:$A$175,$A149,$E$5:$E$175,"&gt;0"),INDEX('تحليل التكلفة والسعر'!$H$2:$H$700,MATCH("اضافة سدق (فطير كبير)",'تحليل التكلفة والسعر'!$B$2:$B$700,0))&gt;=AVERAGEIFS('تحليل التكلفة والسعر'!$H$2:$H$700,'تحليل التكلفة والسعر'!$A$2:$A$700,$A149,'تحليل التكلفة والسعر'!$C$2:$C$700,"&gt;0")),"🧩 لغز","🐶 كلب"))))</f>
        <v>بيانات غير كافية</v>
      </c>
      <c r="G149" s="49" t="n">
        <v>0</v>
      </c>
      <c r="H149" s="11" t="str">
        <f aca="false">IF(OR(NOT(INDEX('تحليل التكلفة والسعر'!$C$2:$C$700,MATCH("اضافة سدق (فطير كبير)",'تحليل التكلفة والسعر'!$B$2:$B$700,0))&gt;0),$G149=0),"بيانات غير كافية",IF(AND($G149&gt;=AVERAGEIFS($G$5:$G$175,$A$5:$A$175,$A149,$G$5:$G$175,"&gt;0"),INDEX('تحليل التكلفة والسعر'!$H$2:$H$700,MATCH("اضافة سدق (فطير كبير)",'تحليل التكلفة والسعر'!$B$2:$B$700,0))&gt;=AVERAGEIFS('تحليل التكلفة والسعر'!$H$2:$H$700,'تحليل التكلفة والسعر'!$A$2:$A$700,$A149,'تحليل التكلفة والسعر'!$C$2:$C$700,"&gt;0")),"⭐ نجم",IF(AND($G149&gt;=AVERAGEIFS($G$5:$G$175,$A$5:$A$175,$A149,$G$5:$G$175,"&gt;0"),INDEX('تحليل التكلفة والسعر'!$H$2:$H$700,MATCH("اضافة سدق (فطير كبير)",'تحليل التكلفة والسعر'!$B$2:$B$700,0))&lt;AVERAGEIFS('تحليل التكلفة والسعر'!$H$2:$H$700,'تحليل التكلفة والسعر'!$A$2:$A$700,$A149,'تحليل التكلفة والسعر'!$C$2:$C$700,"&gt;0")),"🐎 حصان عمل",IF(AND($G149&lt;AVERAGEIFS($G$5:$G$175,$A$5:$A$175,$A149,$G$5:$G$175,"&gt;0"),INDEX('تحليل التكلفة والسعر'!$H$2:$H$700,MATCH("اضافة سدق (فطير كبير)",'تحليل التكلفة والسعر'!$B$2:$B$700,0))&gt;=AVERAGEIFS('تحليل التكلفة والسعر'!$H$2:$H$700,'تحليل التكلفة والسعر'!$A$2:$A$700,$A149,'تحليل التكلفة والسعر'!$C$2:$C$700,"&gt;0")),"🧩 لغز","🐶 كلب"))))</f>
        <v>بيانات غير كافية</v>
      </c>
    </row>
    <row r="150" customFormat="false" ht="15" hidden="false" customHeight="true" outlineLevel="0" collapsed="false">
      <c r="A150" s="11" t="s">
        <v>380</v>
      </c>
      <c r="B150" s="11" t="s">
        <v>414</v>
      </c>
      <c r="C150" s="13" t="n">
        <f aca="false">IFERROR(INDEX('تحليل التكلفة والسعر'!$D$2:$D$700,MATCH("اضافة بسطرمة (بيتزا وسط)",'تحليل التكلفة والسعر'!$B$2:$B$700,0)),"")</f>
        <v>80</v>
      </c>
      <c r="D150" s="12" t="n">
        <f aca="false">IFERROR(INDEX('تحليل التكلفة والسعر'!$I$2:$I$700,MATCH("اضافة بسطرمة (بيتزا وسط)",'تحليل التكلفة والسعر'!$B$2:$B$700,0)),"")</f>
        <v>0.55085125</v>
      </c>
      <c r="E150" s="49" t="n">
        <v>0</v>
      </c>
      <c r="F150" s="11" t="str">
        <f aca="false">IF(OR(NOT(INDEX('تحليل التكلفة والسعر'!$C$2:$C$700,MATCH("اضافة بسطرمة (بيتزا وسط)",'تحليل التكلفة والسعر'!$B$2:$B$700,0))&gt;0),$E150=0),"بيانات غير كافية",IF(AND($E150&gt;=AVERAGEIFS($E$5:$E$175,$A$5:$A$175,$A150,$E$5:$E$175,"&gt;0"),INDEX('تحليل التكلفة والسعر'!$H$2:$H$700,MATCH("اضافة بسطرمة (بيتزا وسط)",'تحليل التكلفة والسعر'!$B$2:$B$700,0))&gt;=AVERAGEIFS('تحليل التكلفة والسعر'!$H$2:$H$700,'تحليل التكلفة والسعر'!$A$2:$A$700,$A150,'تحليل التكلفة والسعر'!$C$2:$C$700,"&gt;0")),"⭐ نجم",IF(AND($E150&gt;=AVERAGEIFS($E$5:$E$175,$A$5:$A$175,$A150,$E$5:$E$175,"&gt;0"),INDEX('تحليل التكلفة والسعر'!$H$2:$H$700,MATCH("اضافة بسطرمة (بيتزا وسط)",'تحليل التكلفة والسعر'!$B$2:$B$700,0))&lt;AVERAGEIFS('تحليل التكلفة والسعر'!$H$2:$H$700,'تحليل التكلفة والسعر'!$A$2:$A$700,$A150,'تحليل التكلفة والسعر'!$C$2:$C$700,"&gt;0")),"🐎 حصان عمل",IF(AND($E150&lt;AVERAGEIFS($E$5:$E$175,$A$5:$A$175,$A150,$E$5:$E$175,"&gt;0"),INDEX('تحليل التكلفة والسعر'!$H$2:$H$700,MATCH("اضافة بسطرمة (بيتزا وسط)",'تحليل التكلفة والسعر'!$B$2:$B$700,0))&gt;=AVERAGEIFS('تحليل التكلفة والسعر'!$H$2:$H$700,'تحليل التكلفة والسعر'!$A$2:$A$700,$A150,'تحليل التكلفة والسعر'!$C$2:$C$700,"&gt;0")),"🧩 لغز","🐶 كلب"))))</f>
        <v>بيانات غير كافية</v>
      </c>
      <c r="G150" s="49" t="n">
        <v>0</v>
      </c>
      <c r="H150" s="11" t="str">
        <f aca="false">IF(OR(NOT(INDEX('تحليل التكلفة والسعر'!$C$2:$C$700,MATCH("اضافة بسطرمة (بيتزا وسط)",'تحليل التكلفة والسعر'!$B$2:$B$700,0))&gt;0),$G150=0),"بيانات غير كافية",IF(AND($G150&gt;=AVERAGEIFS($G$5:$G$175,$A$5:$A$175,$A150,$G$5:$G$175,"&gt;0"),INDEX('تحليل التكلفة والسعر'!$H$2:$H$700,MATCH("اضافة بسطرمة (بيتزا وسط)",'تحليل التكلفة والسعر'!$B$2:$B$700,0))&gt;=AVERAGEIFS('تحليل التكلفة والسعر'!$H$2:$H$700,'تحليل التكلفة والسعر'!$A$2:$A$700,$A150,'تحليل التكلفة والسعر'!$C$2:$C$700,"&gt;0")),"⭐ نجم",IF(AND($G150&gt;=AVERAGEIFS($G$5:$G$175,$A$5:$A$175,$A150,$G$5:$G$175,"&gt;0"),INDEX('تحليل التكلفة والسعر'!$H$2:$H$700,MATCH("اضافة بسطرمة (بيتزا وسط)",'تحليل التكلفة والسعر'!$B$2:$B$700,0))&lt;AVERAGEIFS('تحليل التكلفة والسعر'!$H$2:$H$700,'تحليل التكلفة والسعر'!$A$2:$A$700,$A150,'تحليل التكلفة والسعر'!$C$2:$C$700,"&gt;0")),"🐎 حصان عمل",IF(AND($G150&lt;AVERAGEIFS($G$5:$G$175,$A$5:$A$175,$A150,$G$5:$G$175,"&gt;0"),INDEX('تحليل التكلفة والسعر'!$H$2:$H$700,MATCH("اضافة بسطرمة (بيتزا وسط)",'تحليل التكلفة والسعر'!$B$2:$B$700,0))&gt;=AVERAGEIFS('تحليل التكلفة والسعر'!$H$2:$H$700,'تحليل التكلفة والسعر'!$A$2:$A$700,$A150,'تحليل التكلفة والسعر'!$C$2:$C$700,"&gt;0")),"🧩 لغز","🐶 كلب"))))</f>
        <v>بيانات غير كافية</v>
      </c>
    </row>
    <row r="151" customFormat="false" ht="15" hidden="false" customHeight="true" outlineLevel="0" collapsed="false">
      <c r="A151" s="11" t="s">
        <v>380</v>
      </c>
      <c r="B151" s="11" t="s">
        <v>415</v>
      </c>
      <c r="C151" s="13" t="n">
        <f aca="false">IFERROR(INDEX('تحليل التكلفة والسعر'!$D$2:$D$700,MATCH("اضافة بسطرمة (فطير وسط)",'تحليل التكلفة والسعر'!$B$2:$B$700,0)),"")</f>
        <v>80</v>
      </c>
      <c r="D151" s="12" t="n">
        <f aca="false">IFERROR(INDEX('تحليل التكلفة والسعر'!$I$2:$I$700,MATCH("اضافة بسطرمة (فطير وسط)",'تحليل التكلفة والسعر'!$B$2:$B$700,0)),"")</f>
        <v>0.55085125</v>
      </c>
      <c r="E151" s="49" t="n">
        <v>0</v>
      </c>
      <c r="F151" s="11" t="str">
        <f aca="false">IF(OR(NOT(INDEX('تحليل التكلفة والسعر'!$C$2:$C$700,MATCH("اضافة بسطرمة (فطير وسط)",'تحليل التكلفة والسعر'!$B$2:$B$700,0))&gt;0),$E151=0),"بيانات غير كافية",IF(AND($E151&gt;=AVERAGEIFS($E$5:$E$175,$A$5:$A$175,$A151,$E$5:$E$175,"&gt;0"),INDEX('تحليل التكلفة والسعر'!$H$2:$H$700,MATCH("اضافة بسطرمة (فطير وسط)",'تحليل التكلفة والسعر'!$B$2:$B$700,0))&gt;=AVERAGEIFS('تحليل التكلفة والسعر'!$H$2:$H$700,'تحليل التكلفة والسعر'!$A$2:$A$700,$A151,'تحليل التكلفة والسعر'!$C$2:$C$700,"&gt;0")),"⭐ نجم",IF(AND($E151&gt;=AVERAGEIFS($E$5:$E$175,$A$5:$A$175,$A151,$E$5:$E$175,"&gt;0"),INDEX('تحليل التكلفة والسعر'!$H$2:$H$700,MATCH("اضافة بسطرمة (فطير وسط)",'تحليل التكلفة والسعر'!$B$2:$B$700,0))&lt;AVERAGEIFS('تحليل التكلفة والسعر'!$H$2:$H$700,'تحليل التكلفة والسعر'!$A$2:$A$700,$A151,'تحليل التكلفة والسعر'!$C$2:$C$700,"&gt;0")),"🐎 حصان عمل",IF(AND($E151&lt;AVERAGEIFS($E$5:$E$175,$A$5:$A$175,$A151,$E$5:$E$175,"&gt;0"),INDEX('تحليل التكلفة والسعر'!$H$2:$H$700,MATCH("اضافة بسطرمة (فطير وسط)",'تحليل التكلفة والسعر'!$B$2:$B$700,0))&gt;=AVERAGEIFS('تحليل التكلفة والسعر'!$H$2:$H$700,'تحليل التكلفة والسعر'!$A$2:$A$700,$A151,'تحليل التكلفة والسعر'!$C$2:$C$700,"&gt;0")),"🧩 لغز","🐶 كلب"))))</f>
        <v>بيانات غير كافية</v>
      </c>
      <c r="G151" s="49" t="n">
        <v>0</v>
      </c>
      <c r="H151" s="11" t="str">
        <f aca="false">IF(OR(NOT(INDEX('تحليل التكلفة والسعر'!$C$2:$C$700,MATCH("اضافة بسطرمة (فطير وسط)",'تحليل التكلفة والسعر'!$B$2:$B$700,0))&gt;0),$G151=0),"بيانات غير كافية",IF(AND($G151&gt;=AVERAGEIFS($G$5:$G$175,$A$5:$A$175,$A151,$G$5:$G$175,"&gt;0"),INDEX('تحليل التكلفة والسعر'!$H$2:$H$700,MATCH("اضافة بسطرمة (فطير وسط)",'تحليل التكلفة والسعر'!$B$2:$B$700,0))&gt;=AVERAGEIFS('تحليل التكلفة والسعر'!$H$2:$H$700,'تحليل التكلفة والسعر'!$A$2:$A$700,$A151,'تحليل التكلفة والسعر'!$C$2:$C$700,"&gt;0")),"⭐ نجم",IF(AND($G151&gt;=AVERAGEIFS($G$5:$G$175,$A$5:$A$175,$A151,$G$5:$G$175,"&gt;0"),INDEX('تحليل التكلفة والسعر'!$H$2:$H$700,MATCH("اضافة بسطرمة (فطير وسط)",'تحليل التكلفة والسعر'!$B$2:$B$700,0))&lt;AVERAGEIFS('تحليل التكلفة والسعر'!$H$2:$H$700,'تحليل التكلفة والسعر'!$A$2:$A$700,$A151,'تحليل التكلفة والسعر'!$C$2:$C$700,"&gt;0")),"🐎 حصان عمل",IF(AND($G151&lt;AVERAGEIFS($G$5:$G$175,$A$5:$A$175,$A151,$G$5:$G$175,"&gt;0"),INDEX('تحليل التكلفة والسعر'!$H$2:$H$700,MATCH("اضافة بسطرمة (فطير وسط)",'تحليل التكلفة والسعر'!$B$2:$B$700,0))&gt;=AVERAGEIFS('تحليل التكلفة والسعر'!$H$2:$H$700,'تحليل التكلفة والسعر'!$A$2:$A$700,$A151,'تحليل التكلفة والسعر'!$C$2:$C$700,"&gt;0")),"🧩 لغز","🐶 كلب"))))</f>
        <v>بيانات غير كافية</v>
      </c>
    </row>
    <row r="152" customFormat="false" ht="15" hidden="false" customHeight="true" outlineLevel="0" collapsed="false">
      <c r="A152" s="11" t="s">
        <v>380</v>
      </c>
      <c r="B152" s="11" t="s">
        <v>400</v>
      </c>
      <c r="C152" s="13" t="n">
        <f aca="false">IFERROR(INDEX('تحليل التكلفة والسعر'!$D$2:$D$700,MATCH("اضافة بسطرمة (فطير كبير)",'تحليل التكلفة والسعر'!$B$2:$B$700,0)),"")</f>
        <v>100</v>
      </c>
      <c r="D152" s="12" t="n">
        <f aca="false">IFERROR(INDEX('تحليل التكلفة والسعر'!$I$2:$I$700,MATCH("اضافة بسطرمة (فطير كبير)",'تحليل التكلفة والسعر'!$B$2:$B$700,0)),"")</f>
        <v>0.524014</v>
      </c>
      <c r="E152" s="49" t="n">
        <v>0</v>
      </c>
      <c r="F152" s="11" t="str">
        <f aca="false">IF(OR(NOT(INDEX('تحليل التكلفة والسعر'!$C$2:$C$700,MATCH("اضافة بسطرمة (فطير كبير)",'تحليل التكلفة والسعر'!$B$2:$B$700,0))&gt;0),$E152=0),"بيانات غير كافية",IF(AND($E152&gt;=AVERAGEIFS($E$5:$E$175,$A$5:$A$175,$A152,$E$5:$E$175,"&gt;0"),INDEX('تحليل التكلفة والسعر'!$H$2:$H$700,MATCH("اضافة بسطرمة (فطير كبير)",'تحليل التكلفة والسعر'!$B$2:$B$700,0))&gt;=AVERAGEIFS('تحليل التكلفة والسعر'!$H$2:$H$700,'تحليل التكلفة والسعر'!$A$2:$A$700,$A152,'تحليل التكلفة والسعر'!$C$2:$C$700,"&gt;0")),"⭐ نجم",IF(AND($E152&gt;=AVERAGEIFS($E$5:$E$175,$A$5:$A$175,$A152,$E$5:$E$175,"&gt;0"),INDEX('تحليل التكلفة والسعر'!$H$2:$H$700,MATCH("اضافة بسطرمة (فطير كبير)",'تحليل التكلفة والسعر'!$B$2:$B$700,0))&lt;AVERAGEIFS('تحليل التكلفة والسعر'!$H$2:$H$700,'تحليل التكلفة والسعر'!$A$2:$A$700,$A152,'تحليل التكلفة والسعر'!$C$2:$C$700,"&gt;0")),"🐎 حصان عمل",IF(AND($E152&lt;AVERAGEIFS($E$5:$E$175,$A$5:$A$175,$A152,$E$5:$E$175,"&gt;0"),INDEX('تحليل التكلفة والسعر'!$H$2:$H$700,MATCH("اضافة بسطرمة (فطير كبير)",'تحليل التكلفة والسعر'!$B$2:$B$700,0))&gt;=AVERAGEIFS('تحليل التكلفة والسعر'!$H$2:$H$700,'تحليل التكلفة والسعر'!$A$2:$A$700,$A152,'تحليل التكلفة والسعر'!$C$2:$C$700,"&gt;0")),"🧩 لغز","🐶 كلب"))))</f>
        <v>بيانات غير كافية</v>
      </c>
      <c r="G152" s="49" t="n">
        <v>0</v>
      </c>
      <c r="H152" s="11" t="str">
        <f aca="false">IF(OR(NOT(INDEX('تحليل التكلفة والسعر'!$C$2:$C$700,MATCH("اضافة بسطرمة (فطير كبير)",'تحليل التكلفة والسعر'!$B$2:$B$700,0))&gt;0),$G152=0),"بيانات غير كافية",IF(AND($G152&gt;=AVERAGEIFS($G$5:$G$175,$A$5:$A$175,$A152,$G$5:$G$175,"&gt;0"),INDEX('تحليل التكلفة والسعر'!$H$2:$H$700,MATCH("اضافة بسطرمة (فطير كبير)",'تحليل التكلفة والسعر'!$B$2:$B$700,0))&gt;=AVERAGEIFS('تحليل التكلفة والسعر'!$H$2:$H$700,'تحليل التكلفة والسعر'!$A$2:$A$700,$A152,'تحليل التكلفة والسعر'!$C$2:$C$700,"&gt;0")),"⭐ نجم",IF(AND($G152&gt;=AVERAGEIFS($G$5:$G$175,$A$5:$A$175,$A152,$G$5:$G$175,"&gt;0"),INDEX('تحليل التكلفة والسعر'!$H$2:$H$700,MATCH("اضافة بسطرمة (فطير كبير)",'تحليل التكلفة والسعر'!$B$2:$B$700,0))&lt;AVERAGEIFS('تحليل التكلفة والسعر'!$H$2:$H$700,'تحليل التكلفة والسعر'!$A$2:$A$700,$A152,'تحليل التكلفة والسعر'!$C$2:$C$700,"&gt;0")),"🐎 حصان عمل",IF(AND($G152&lt;AVERAGEIFS($G$5:$G$175,$A$5:$A$175,$A152,$G$5:$G$175,"&gt;0"),INDEX('تحليل التكلفة والسعر'!$H$2:$H$700,MATCH("اضافة بسطرمة (فطير كبير)",'تحليل التكلفة والسعر'!$B$2:$B$700,0))&gt;=AVERAGEIFS('تحليل التكلفة والسعر'!$H$2:$H$700,'تحليل التكلفة والسعر'!$A$2:$A$700,$A152,'تحليل التكلفة والسعر'!$C$2:$C$700,"&gt;0")),"🧩 لغز","🐶 كلب"))))</f>
        <v>بيانات غير كافية</v>
      </c>
    </row>
    <row r="153" customFormat="false" ht="15" hidden="false" customHeight="true" outlineLevel="0" collapsed="false">
      <c r="A153" s="11" t="s">
        <v>380</v>
      </c>
      <c r="B153" s="11" t="s">
        <v>413</v>
      </c>
      <c r="C153" s="13" t="n">
        <f aca="false">IFERROR(INDEX('تحليل التكلفة والسعر'!$D$2:$D$700,MATCH("اضافة سلامي (بيتزا وسط)",'تحليل التكلفة والسعر'!$B$2:$B$700,0)),"")</f>
        <v>60</v>
      </c>
      <c r="D153" s="12" t="n">
        <f aca="false">IFERROR(INDEX('تحليل التكلفة والسعر'!$I$2:$I$700,MATCH("اضافة سلامي (بيتزا وسط)",'تحليل التكلفة والسعر'!$B$2:$B$700,0)),"")</f>
        <v>0.534955</v>
      </c>
      <c r="E153" s="49" t="n">
        <v>0</v>
      </c>
      <c r="F153" s="11" t="str">
        <f aca="false">IF(OR(NOT(INDEX('تحليل التكلفة والسعر'!$C$2:$C$700,MATCH("اضافة سلامي (بيتزا وسط)",'تحليل التكلفة والسعر'!$B$2:$B$700,0))&gt;0),$E153=0),"بيانات غير كافية",IF(AND($E153&gt;=AVERAGEIFS($E$5:$E$175,$A$5:$A$175,$A153,$E$5:$E$175,"&gt;0"),INDEX('تحليل التكلفة والسعر'!$H$2:$H$700,MATCH("اضافة سلامي (بيتزا وسط)",'تحليل التكلفة والسعر'!$B$2:$B$700,0))&gt;=AVERAGEIFS('تحليل التكلفة والسعر'!$H$2:$H$700,'تحليل التكلفة والسعر'!$A$2:$A$700,$A153,'تحليل التكلفة والسعر'!$C$2:$C$700,"&gt;0")),"⭐ نجم",IF(AND($E153&gt;=AVERAGEIFS($E$5:$E$175,$A$5:$A$175,$A153,$E$5:$E$175,"&gt;0"),INDEX('تحليل التكلفة والسعر'!$H$2:$H$700,MATCH("اضافة سلامي (بيتزا وسط)",'تحليل التكلفة والسعر'!$B$2:$B$700,0))&lt;AVERAGEIFS('تحليل التكلفة والسعر'!$H$2:$H$700,'تحليل التكلفة والسعر'!$A$2:$A$700,$A153,'تحليل التكلفة والسعر'!$C$2:$C$700,"&gt;0")),"🐎 حصان عمل",IF(AND($E153&lt;AVERAGEIFS($E$5:$E$175,$A$5:$A$175,$A153,$E$5:$E$175,"&gt;0"),INDEX('تحليل التكلفة والسعر'!$H$2:$H$700,MATCH("اضافة سلامي (بيتزا وسط)",'تحليل التكلفة والسعر'!$B$2:$B$700,0))&gt;=AVERAGEIFS('تحليل التكلفة والسعر'!$H$2:$H$700,'تحليل التكلفة والسعر'!$A$2:$A$700,$A153,'تحليل التكلفة والسعر'!$C$2:$C$700,"&gt;0")),"🧩 لغز","🐶 كلب"))))</f>
        <v>بيانات غير كافية</v>
      </c>
      <c r="G153" s="49" t="n">
        <v>0</v>
      </c>
      <c r="H153" s="11" t="str">
        <f aca="false">IF(OR(NOT(INDEX('تحليل التكلفة والسعر'!$C$2:$C$700,MATCH("اضافة سلامي (بيتزا وسط)",'تحليل التكلفة والسعر'!$B$2:$B$700,0))&gt;0),$G153=0),"بيانات غير كافية",IF(AND($G153&gt;=AVERAGEIFS($G$5:$G$175,$A$5:$A$175,$A153,$G$5:$G$175,"&gt;0"),INDEX('تحليل التكلفة والسعر'!$H$2:$H$700,MATCH("اضافة سلامي (بيتزا وسط)",'تحليل التكلفة والسعر'!$B$2:$B$700,0))&gt;=AVERAGEIFS('تحليل التكلفة والسعر'!$H$2:$H$700,'تحليل التكلفة والسعر'!$A$2:$A$700,$A153,'تحليل التكلفة والسعر'!$C$2:$C$700,"&gt;0")),"⭐ نجم",IF(AND($G153&gt;=AVERAGEIFS($G$5:$G$175,$A$5:$A$175,$A153,$G$5:$G$175,"&gt;0"),INDEX('تحليل التكلفة والسعر'!$H$2:$H$700,MATCH("اضافة سلامي (بيتزا وسط)",'تحليل التكلفة والسعر'!$B$2:$B$700,0))&lt;AVERAGEIFS('تحليل التكلفة والسعر'!$H$2:$H$700,'تحليل التكلفة والسعر'!$A$2:$A$700,$A153,'تحليل التكلفة والسعر'!$C$2:$C$700,"&gt;0")),"🐎 حصان عمل",IF(AND($G153&lt;AVERAGEIFS($G$5:$G$175,$A$5:$A$175,$A153,$G$5:$G$175,"&gt;0"),INDEX('تحليل التكلفة والسعر'!$H$2:$H$700,MATCH("اضافة سلامي (بيتزا وسط)",'تحليل التكلفة والسعر'!$B$2:$B$700,0))&gt;=AVERAGEIFS('تحليل التكلفة والسعر'!$H$2:$H$700,'تحليل التكلفة والسعر'!$A$2:$A$700,$A153,'تحليل التكلفة والسعر'!$C$2:$C$700,"&gt;0")),"🧩 لغز","🐶 كلب"))))</f>
        <v>بيانات غير كافية</v>
      </c>
    </row>
    <row r="154" customFormat="false" ht="15" hidden="false" customHeight="true" outlineLevel="0" collapsed="false">
      <c r="A154" s="11" t="s">
        <v>380</v>
      </c>
      <c r="B154" s="11" t="s">
        <v>532</v>
      </c>
      <c r="C154" s="13" t="n">
        <f aca="false">IFERROR(INDEX('تحليل التكلفة والسعر'!$D$2:$D$700,MATCH("اضافة تونة (بيتزا وسط)",'تحليل التكلفة والسعر'!$B$2:$B$700,0)),"")</f>
        <v>80</v>
      </c>
      <c r="D154" s="12" t="n">
        <f aca="false">IFERROR(INDEX('تحليل التكلفة والسعر'!$I$2:$I$700,MATCH("اضافة تونة (بيتزا وسط)",'تحليل التكلفة والسعر'!$B$2:$B$700,0)),"")</f>
        <v>0.46297625</v>
      </c>
      <c r="E154" s="49" t="n">
        <v>0</v>
      </c>
      <c r="F154" s="11" t="str">
        <f aca="false">IF(OR(NOT(INDEX('تحليل التكلفة والسعر'!$C$2:$C$700,MATCH("اضافة تونة (بيتزا وسط)",'تحليل التكلفة والسعر'!$B$2:$B$700,0))&gt;0),$E154=0),"بيانات غير كافية",IF(AND($E154&gt;=AVERAGEIFS($E$5:$E$175,$A$5:$A$175,$A154,$E$5:$E$175,"&gt;0"),INDEX('تحليل التكلفة والسعر'!$H$2:$H$700,MATCH("اضافة تونة (بيتزا وسط)",'تحليل التكلفة والسعر'!$B$2:$B$700,0))&gt;=AVERAGEIFS('تحليل التكلفة والسعر'!$H$2:$H$700,'تحليل التكلفة والسعر'!$A$2:$A$700,$A154,'تحليل التكلفة والسعر'!$C$2:$C$700,"&gt;0")),"⭐ نجم",IF(AND($E154&gt;=AVERAGEIFS($E$5:$E$175,$A$5:$A$175,$A154,$E$5:$E$175,"&gt;0"),INDEX('تحليل التكلفة والسعر'!$H$2:$H$700,MATCH("اضافة تونة (بيتزا وسط)",'تحليل التكلفة والسعر'!$B$2:$B$700,0))&lt;AVERAGEIFS('تحليل التكلفة والسعر'!$H$2:$H$700,'تحليل التكلفة والسعر'!$A$2:$A$700,$A154,'تحليل التكلفة والسعر'!$C$2:$C$700,"&gt;0")),"🐎 حصان عمل",IF(AND($E154&lt;AVERAGEIFS($E$5:$E$175,$A$5:$A$175,$A154,$E$5:$E$175,"&gt;0"),INDEX('تحليل التكلفة والسعر'!$H$2:$H$700,MATCH("اضافة تونة (بيتزا وسط)",'تحليل التكلفة والسعر'!$B$2:$B$700,0))&gt;=AVERAGEIFS('تحليل التكلفة والسعر'!$H$2:$H$700,'تحليل التكلفة والسعر'!$A$2:$A$700,$A154,'تحليل التكلفة والسعر'!$C$2:$C$700,"&gt;0")),"🧩 لغز","🐶 كلب"))))</f>
        <v>بيانات غير كافية</v>
      </c>
      <c r="G154" s="49" t="n">
        <v>0</v>
      </c>
      <c r="H154" s="11" t="str">
        <f aca="false">IF(OR(NOT(INDEX('تحليل التكلفة والسعر'!$C$2:$C$700,MATCH("اضافة تونة (بيتزا وسط)",'تحليل التكلفة والسعر'!$B$2:$B$700,0))&gt;0),$G154=0),"بيانات غير كافية",IF(AND($G154&gt;=AVERAGEIFS($G$5:$G$175,$A$5:$A$175,$A154,$G$5:$G$175,"&gt;0"),INDEX('تحليل التكلفة والسعر'!$H$2:$H$700,MATCH("اضافة تونة (بيتزا وسط)",'تحليل التكلفة والسعر'!$B$2:$B$700,0))&gt;=AVERAGEIFS('تحليل التكلفة والسعر'!$H$2:$H$700,'تحليل التكلفة والسعر'!$A$2:$A$700,$A154,'تحليل التكلفة والسعر'!$C$2:$C$700,"&gt;0")),"⭐ نجم",IF(AND($G154&gt;=AVERAGEIFS($G$5:$G$175,$A$5:$A$175,$A154,$G$5:$G$175,"&gt;0"),INDEX('تحليل التكلفة والسعر'!$H$2:$H$700,MATCH("اضافة تونة (بيتزا وسط)",'تحليل التكلفة والسعر'!$B$2:$B$700,0))&lt;AVERAGEIFS('تحليل التكلفة والسعر'!$H$2:$H$700,'تحليل التكلفة والسعر'!$A$2:$A$700,$A154,'تحليل التكلفة والسعر'!$C$2:$C$700,"&gt;0")),"🐎 حصان عمل",IF(AND($G154&lt;AVERAGEIFS($G$5:$G$175,$A$5:$A$175,$A154,$G$5:$G$175,"&gt;0"),INDEX('تحليل التكلفة والسعر'!$H$2:$H$700,MATCH("اضافة تونة (بيتزا وسط)",'تحليل التكلفة والسعر'!$B$2:$B$700,0))&gt;=AVERAGEIFS('تحليل التكلفة والسعر'!$H$2:$H$700,'تحليل التكلفة والسعر'!$A$2:$A$700,$A154,'تحليل التكلفة والسعر'!$C$2:$C$700,"&gt;0")),"🧩 لغز","🐶 كلب"))))</f>
        <v>بيانات غير كافية</v>
      </c>
    </row>
    <row r="155" customFormat="false" ht="15" hidden="false" customHeight="true" outlineLevel="0" collapsed="false">
      <c r="A155" s="11" t="s">
        <v>380</v>
      </c>
      <c r="B155" s="11" t="s">
        <v>496</v>
      </c>
      <c r="C155" s="13" t="n">
        <f aca="false">IFERROR(INDEX('تحليل التكلفة والسعر'!$D$2:$D$700,MATCH("اضافة جمبري (بيتزا وسط)",'تحليل التكلفة والسعر'!$B$2:$B$700,0)),"")</f>
        <v>140</v>
      </c>
      <c r="D155" s="12" t="n">
        <f aca="false">IFERROR(INDEX('تحليل التكلفة والسعر'!$I$2:$I$700,MATCH("اضافة جمبري (بيتزا وسط)",'تحليل التكلفة والسعر'!$B$2:$B$700,0)),"")</f>
        <v>0.314772142857143</v>
      </c>
      <c r="E155" s="49" t="n">
        <v>0</v>
      </c>
      <c r="F155" s="11" t="str">
        <f aca="false">IF(OR(NOT(INDEX('تحليل التكلفة والسعر'!$C$2:$C$700,MATCH("اضافة جمبري (بيتزا وسط)",'تحليل التكلفة والسعر'!$B$2:$B$700,0))&gt;0),$E155=0),"بيانات غير كافية",IF(AND($E155&gt;=AVERAGEIFS($E$5:$E$175,$A$5:$A$175,$A155,$E$5:$E$175,"&gt;0"),INDEX('تحليل التكلفة والسعر'!$H$2:$H$700,MATCH("اضافة جمبري (بيتزا وسط)",'تحليل التكلفة والسعر'!$B$2:$B$700,0))&gt;=AVERAGEIFS('تحليل التكلفة والسعر'!$H$2:$H$700,'تحليل التكلفة والسعر'!$A$2:$A$700,$A155,'تحليل التكلفة والسعر'!$C$2:$C$700,"&gt;0")),"⭐ نجم",IF(AND($E155&gt;=AVERAGEIFS($E$5:$E$175,$A$5:$A$175,$A155,$E$5:$E$175,"&gt;0"),INDEX('تحليل التكلفة والسعر'!$H$2:$H$700,MATCH("اضافة جمبري (بيتزا وسط)",'تحليل التكلفة والسعر'!$B$2:$B$700,0))&lt;AVERAGEIFS('تحليل التكلفة والسعر'!$H$2:$H$700,'تحليل التكلفة والسعر'!$A$2:$A$700,$A155,'تحليل التكلفة والسعر'!$C$2:$C$700,"&gt;0")),"🐎 حصان عمل",IF(AND($E155&lt;AVERAGEIFS($E$5:$E$175,$A$5:$A$175,$A155,$E$5:$E$175,"&gt;0"),INDEX('تحليل التكلفة والسعر'!$H$2:$H$700,MATCH("اضافة جمبري (بيتزا وسط)",'تحليل التكلفة والسعر'!$B$2:$B$700,0))&gt;=AVERAGEIFS('تحليل التكلفة والسعر'!$H$2:$H$700,'تحليل التكلفة والسعر'!$A$2:$A$700,$A155,'تحليل التكلفة والسعر'!$C$2:$C$700,"&gt;0")),"🧩 لغز","🐶 كلب"))))</f>
        <v>بيانات غير كافية</v>
      </c>
      <c r="G155" s="49" t="n">
        <v>0</v>
      </c>
      <c r="H155" s="11" t="str">
        <f aca="false">IF(OR(NOT(INDEX('تحليل التكلفة والسعر'!$C$2:$C$700,MATCH("اضافة جمبري (بيتزا وسط)",'تحليل التكلفة والسعر'!$B$2:$B$700,0))&gt;0),$G155=0),"بيانات غير كافية",IF(AND($G155&gt;=AVERAGEIFS($G$5:$G$175,$A$5:$A$175,$A155,$G$5:$G$175,"&gt;0"),INDEX('تحليل التكلفة والسعر'!$H$2:$H$700,MATCH("اضافة جمبري (بيتزا وسط)",'تحليل التكلفة والسعر'!$B$2:$B$700,0))&gt;=AVERAGEIFS('تحليل التكلفة والسعر'!$H$2:$H$700,'تحليل التكلفة والسعر'!$A$2:$A$700,$A155,'تحليل التكلفة والسعر'!$C$2:$C$700,"&gt;0")),"⭐ نجم",IF(AND($G155&gt;=AVERAGEIFS($G$5:$G$175,$A$5:$A$175,$A155,$G$5:$G$175,"&gt;0"),INDEX('تحليل التكلفة والسعر'!$H$2:$H$700,MATCH("اضافة جمبري (بيتزا وسط)",'تحليل التكلفة والسعر'!$B$2:$B$700,0))&lt;AVERAGEIFS('تحليل التكلفة والسعر'!$H$2:$H$700,'تحليل التكلفة والسعر'!$A$2:$A$700,$A155,'تحليل التكلفة والسعر'!$C$2:$C$700,"&gt;0")),"🐎 حصان عمل",IF(AND($G155&lt;AVERAGEIFS($G$5:$G$175,$A$5:$A$175,$A155,$G$5:$G$175,"&gt;0"),INDEX('تحليل التكلفة والسعر'!$H$2:$H$700,MATCH("اضافة جمبري (بيتزا وسط)",'تحليل التكلفة والسعر'!$B$2:$B$700,0))&gt;=AVERAGEIFS('تحليل التكلفة والسعر'!$H$2:$H$700,'تحليل التكلفة والسعر'!$A$2:$A$700,$A155,'تحليل التكلفة والسعر'!$C$2:$C$700,"&gt;0")),"🧩 لغز","🐶 كلب"))))</f>
        <v>بيانات غير كافية</v>
      </c>
    </row>
    <row r="156" customFormat="false" ht="15" hidden="false" customHeight="true" outlineLevel="0" collapsed="false">
      <c r="A156" s="11" t="s">
        <v>380</v>
      </c>
      <c r="B156" s="11" t="s">
        <v>433</v>
      </c>
      <c r="C156" s="13" t="n">
        <f aca="false">IFERROR(INDEX('تحليل التكلفة والسعر'!$D$2:$D$700,MATCH("اضافة فراخ جريل (بيتزا وسط)",'تحليل التكلفة والسعر'!$B$2:$B$700,0)),"")</f>
        <v>80</v>
      </c>
      <c r="D156" s="12" t="n">
        <f aca="false">IFERROR(INDEX('تحليل التكلفة والسعر'!$I$2:$I$700,MATCH("اضافة فراخ جريل (بيتزا وسط)",'تحليل التكلفة والسعر'!$B$2:$B$700,0)),"")</f>
        <v>0.56357625</v>
      </c>
      <c r="E156" s="49" t="n">
        <v>0</v>
      </c>
      <c r="F156" s="11" t="str">
        <f aca="false">IF(OR(NOT(INDEX('تحليل التكلفة والسعر'!$C$2:$C$700,MATCH("اضافة فراخ جريل (بيتزا وسط)",'تحليل التكلفة والسعر'!$B$2:$B$700,0))&gt;0),$E156=0),"بيانات غير كافية",IF(AND($E156&gt;=AVERAGEIFS($E$5:$E$175,$A$5:$A$175,$A156,$E$5:$E$175,"&gt;0"),INDEX('تحليل التكلفة والسعر'!$H$2:$H$700,MATCH("اضافة فراخ جريل (بيتزا وسط)",'تحليل التكلفة والسعر'!$B$2:$B$700,0))&gt;=AVERAGEIFS('تحليل التكلفة والسعر'!$H$2:$H$700,'تحليل التكلفة والسعر'!$A$2:$A$700,$A156,'تحليل التكلفة والسعر'!$C$2:$C$700,"&gt;0")),"⭐ نجم",IF(AND($E156&gt;=AVERAGEIFS($E$5:$E$175,$A$5:$A$175,$A156,$E$5:$E$175,"&gt;0"),INDEX('تحليل التكلفة والسعر'!$H$2:$H$700,MATCH("اضافة فراخ جريل (بيتزا وسط)",'تحليل التكلفة والسعر'!$B$2:$B$700,0))&lt;AVERAGEIFS('تحليل التكلفة والسعر'!$H$2:$H$700,'تحليل التكلفة والسعر'!$A$2:$A$700,$A156,'تحليل التكلفة والسعر'!$C$2:$C$700,"&gt;0")),"🐎 حصان عمل",IF(AND($E156&lt;AVERAGEIFS($E$5:$E$175,$A$5:$A$175,$A156,$E$5:$E$175,"&gt;0"),INDEX('تحليل التكلفة والسعر'!$H$2:$H$700,MATCH("اضافة فراخ جريل (بيتزا وسط)",'تحليل التكلفة والسعر'!$B$2:$B$700,0))&gt;=AVERAGEIFS('تحليل التكلفة والسعر'!$H$2:$H$700,'تحليل التكلفة والسعر'!$A$2:$A$700,$A156,'تحليل التكلفة والسعر'!$C$2:$C$700,"&gt;0")),"🧩 لغز","🐶 كلب"))))</f>
        <v>بيانات غير كافية</v>
      </c>
      <c r="G156" s="49" t="n">
        <v>0</v>
      </c>
      <c r="H156" s="11" t="str">
        <f aca="false">IF(OR(NOT(INDEX('تحليل التكلفة والسعر'!$C$2:$C$700,MATCH("اضافة فراخ جريل (بيتزا وسط)",'تحليل التكلفة والسعر'!$B$2:$B$700,0))&gt;0),$G156=0),"بيانات غير كافية",IF(AND($G156&gt;=AVERAGEIFS($G$5:$G$175,$A$5:$A$175,$A156,$G$5:$G$175,"&gt;0"),INDEX('تحليل التكلفة والسعر'!$H$2:$H$700,MATCH("اضافة فراخ جريل (بيتزا وسط)",'تحليل التكلفة والسعر'!$B$2:$B$700,0))&gt;=AVERAGEIFS('تحليل التكلفة والسعر'!$H$2:$H$700,'تحليل التكلفة والسعر'!$A$2:$A$700,$A156,'تحليل التكلفة والسعر'!$C$2:$C$700,"&gt;0")),"⭐ نجم",IF(AND($G156&gt;=AVERAGEIFS($G$5:$G$175,$A$5:$A$175,$A156,$G$5:$G$175,"&gt;0"),INDEX('تحليل التكلفة والسعر'!$H$2:$H$700,MATCH("اضافة فراخ جريل (بيتزا وسط)",'تحليل التكلفة والسعر'!$B$2:$B$700,0))&lt;AVERAGEIFS('تحليل التكلفة والسعر'!$H$2:$H$700,'تحليل التكلفة والسعر'!$A$2:$A$700,$A156,'تحليل التكلفة والسعر'!$C$2:$C$700,"&gt;0")),"🐎 حصان عمل",IF(AND($G156&lt;AVERAGEIFS($G$5:$G$175,$A$5:$A$175,$A156,$G$5:$G$175,"&gt;0"),INDEX('تحليل التكلفة والسعر'!$H$2:$H$700,MATCH("اضافة فراخ جريل (بيتزا وسط)",'تحليل التكلفة والسعر'!$B$2:$B$700,0))&gt;=AVERAGEIFS('تحليل التكلفة والسعر'!$H$2:$H$700,'تحليل التكلفة والسعر'!$A$2:$A$700,$A156,'تحليل التكلفة والسعر'!$C$2:$C$700,"&gt;0")),"🧩 لغز","🐶 كلب"))))</f>
        <v>بيانات غير كافية</v>
      </c>
    </row>
    <row r="157" customFormat="false" ht="15" hidden="false" customHeight="true" outlineLevel="0" collapsed="false">
      <c r="A157" s="11" t="s">
        <v>380</v>
      </c>
      <c r="B157" s="11" t="s">
        <v>416</v>
      </c>
      <c r="C157" s="13" t="n">
        <f aca="false">IFERROR(INDEX('تحليل التكلفة والسعر'!$D$2:$D$700,MATCH("اضافة فراخ جريل (بيتزا كبير)",'تحليل التكلفة والسعر'!$B$2:$B$700,0)),"")</f>
        <v>130</v>
      </c>
      <c r="D157" s="12" t="n">
        <f aca="false">IFERROR(INDEX('تحليل التكلفة والسعر'!$I$2:$I$700,MATCH("اضافة فراخ جريل (بيتزا كبير)",'تحليل التكلفة والسعر'!$B$2:$B$700,0)),"")</f>
        <v>0.617587692307692</v>
      </c>
      <c r="E157" s="49" t="n">
        <v>0</v>
      </c>
      <c r="F157" s="11" t="str">
        <f aca="false">IF(OR(NOT(INDEX('تحليل التكلفة والسعر'!$C$2:$C$700,MATCH("اضافة فراخ جريل (بيتزا كبير)",'تحليل التكلفة والسعر'!$B$2:$B$700,0))&gt;0),$E157=0),"بيانات غير كافية",IF(AND($E157&gt;=AVERAGEIFS($E$5:$E$175,$A$5:$A$175,$A157,$E$5:$E$175,"&gt;0"),INDEX('تحليل التكلفة والسعر'!$H$2:$H$700,MATCH("اضافة فراخ جريل (بيتزا كبير)",'تحليل التكلفة والسعر'!$B$2:$B$700,0))&gt;=AVERAGEIFS('تحليل التكلفة والسعر'!$H$2:$H$700,'تحليل التكلفة والسعر'!$A$2:$A$700,$A157,'تحليل التكلفة والسعر'!$C$2:$C$700,"&gt;0")),"⭐ نجم",IF(AND($E157&gt;=AVERAGEIFS($E$5:$E$175,$A$5:$A$175,$A157,$E$5:$E$175,"&gt;0"),INDEX('تحليل التكلفة والسعر'!$H$2:$H$700,MATCH("اضافة فراخ جريل (بيتزا كبير)",'تحليل التكلفة والسعر'!$B$2:$B$700,0))&lt;AVERAGEIFS('تحليل التكلفة والسعر'!$H$2:$H$700,'تحليل التكلفة والسعر'!$A$2:$A$700,$A157,'تحليل التكلفة والسعر'!$C$2:$C$700,"&gt;0")),"🐎 حصان عمل",IF(AND($E157&lt;AVERAGEIFS($E$5:$E$175,$A$5:$A$175,$A157,$E$5:$E$175,"&gt;0"),INDEX('تحليل التكلفة والسعر'!$H$2:$H$700,MATCH("اضافة فراخ جريل (بيتزا كبير)",'تحليل التكلفة والسعر'!$B$2:$B$700,0))&gt;=AVERAGEIFS('تحليل التكلفة والسعر'!$H$2:$H$700,'تحليل التكلفة والسعر'!$A$2:$A$700,$A157,'تحليل التكلفة والسعر'!$C$2:$C$700,"&gt;0")),"🧩 لغز","🐶 كلب"))))</f>
        <v>بيانات غير كافية</v>
      </c>
      <c r="G157" s="49" t="n">
        <v>0</v>
      </c>
      <c r="H157" s="11" t="str">
        <f aca="false">IF(OR(NOT(INDEX('تحليل التكلفة والسعر'!$C$2:$C$700,MATCH("اضافة فراخ جريل (بيتزا كبير)",'تحليل التكلفة والسعر'!$B$2:$B$700,0))&gt;0),$G157=0),"بيانات غير كافية",IF(AND($G157&gt;=AVERAGEIFS($G$5:$G$175,$A$5:$A$175,$A157,$G$5:$G$175,"&gt;0"),INDEX('تحليل التكلفة والسعر'!$H$2:$H$700,MATCH("اضافة فراخ جريل (بيتزا كبير)",'تحليل التكلفة والسعر'!$B$2:$B$700,0))&gt;=AVERAGEIFS('تحليل التكلفة والسعر'!$H$2:$H$700,'تحليل التكلفة والسعر'!$A$2:$A$700,$A157,'تحليل التكلفة والسعر'!$C$2:$C$700,"&gt;0")),"⭐ نجم",IF(AND($G157&gt;=AVERAGEIFS($G$5:$G$175,$A$5:$A$175,$A157,$G$5:$G$175,"&gt;0"),INDEX('تحليل التكلفة والسعر'!$H$2:$H$700,MATCH("اضافة فراخ جريل (بيتزا كبير)",'تحليل التكلفة والسعر'!$B$2:$B$700,0))&lt;AVERAGEIFS('تحليل التكلفة والسعر'!$H$2:$H$700,'تحليل التكلفة والسعر'!$A$2:$A$700,$A157,'تحليل التكلفة والسعر'!$C$2:$C$700,"&gt;0")),"🐎 حصان عمل",IF(AND($G157&lt;AVERAGEIFS($G$5:$G$175,$A$5:$A$175,$A157,$G$5:$G$175,"&gt;0"),INDEX('تحليل التكلفة والسعر'!$H$2:$H$700,MATCH("اضافة فراخ جريل (بيتزا كبير)",'تحليل التكلفة والسعر'!$B$2:$B$700,0))&gt;=AVERAGEIFS('تحليل التكلفة والسعر'!$H$2:$H$700,'تحليل التكلفة والسعر'!$A$2:$A$700,$A157,'تحليل التكلفة والسعر'!$C$2:$C$700,"&gt;0")),"🧩 لغز","🐶 كلب"))))</f>
        <v>بيانات غير كافية</v>
      </c>
    </row>
    <row r="158" customFormat="false" ht="15" hidden="false" customHeight="true" outlineLevel="0" collapsed="false">
      <c r="A158" s="11" t="s">
        <v>380</v>
      </c>
      <c r="B158" s="11" t="s">
        <v>417</v>
      </c>
      <c r="C158" s="13" t="n">
        <f aca="false">IFERROR(INDEX('تحليل التكلفة والسعر'!$D$2:$D$700,MATCH("اضافة فراخ جريل (فطير كبير)",'تحليل التكلفة والسعر'!$B$2:$B$700,0)),"")</f>
        <v>130</v>
      </c>
      <c r="D158" s="12" t="n">
        <f aca="false">IFERROR(INDEX('تحليل التكلفة والسعر'!$I$2:$I$700,MATCH("اضافة فراخ جريل (فطير كبير)",'تحليل التكلفة والسعر'!$B$2:$B$700,0)),"")</f>
        <v>0.617587692307692</v>
      </c>
      <c r="E158" s="49" t="n">
        <v>0</v>
      </c>
      <c r="F158" s="11" t="str">
        <f aca="false">IF(OR(NOT(INDEX('تحليل التكلفة والسعر'!$C$2:$C$700,MATCH("اضافة فراخ جريل (فطير كبير)",'تحليل التكلفة والسعر'!$B$2:$B$700,0))&gt;0),$E158=0),"بيانات غير كافية",IF(AND($E158&gt;=AVERAGEIFS($E$5:$E$175,$A$5:$A$175,$A158,$E$5:$E$175,"&gt;0"),INDEX('تحليل التكلفة والسعر'!$H$2:$H$700,MATCH("اضافة فراخ جريل (فطير كبير)",'تحليل التكلفة والسعر'!$B$2:$B$700,0))&gt;=AVERAGEIFS('تحليل التكلفة والسعر'!$H$2:$H$700,'تحليل التكلفة والسعر'!$A$2:$A$700,$A158,'تحليل التكلفة والسعر'!$C$2:$C$700,"&gt;0")),"⭐ نجم",IF(AND($E158&gt;=AVERAGEIFS($E$5:$E$175,$A$5:$A$175,$A158,$E$5:$E$175,"&gt;0"),INDEX('تحليل التكلفة والسعر'!$H$2:$H$700,MATCH("اضافة فراخ جريل (فطير كبير)",'تحليل التكلفة والسعر'!$B$2:$B$700,0))&lt;AVERAGEIFS('تحليل التكلفة والسعر'!$H$2:$H$700,'تحليل التكلفة والسعر'!$A$2:$A$700,$A158,'تحليل التكلفة والسعر'!$C$2:$C$700,"&gt;0")),"🐎 حصان عمل",IF(AND($E158&lt;AVERAGEIFS($E$5:$E$175,$A$5:$A$175,$A158,$E$5:$E$175,"&gt;0"),INDEX('تحليل التكلفة والسعر'!$H$2:$H$700,MATCH("اضافة فراخ جريل (فطير كبير)",'تحليل التكلفة والسعر'!$B$2:$B$700,0))&gt;=AVERAGEIFS('تحليل التكلفة والسعر'!$H$2:$H$700,'تحليل التكلفة والسعر'!$A$2:$A$700,$A158,'تحليل التكلفة والسعر'!$C$2:$C$700,"&gt;0")),"🧩 لغز","🐶 كلب"))))</f>
        <v>بيانات غير كافية</v>
      </c>
      <c r="G158" s="49" t="n">
        <v>0</v>
      </c>
      <c r="H158" s="11" t="str">
        <f aca="false">IF(OR(NOT(INDEX('تحليل التكلفة والسعر'!$C$2:$C$700,MATCH("اضافة فراخ جريل (فطير كبير)",'تحليل التكلفة والسعر'!$B$2:$B$700,0))&gt;0),$G158=0),"بيانات غير كافية",IF(AND($G158&gt;=AVERAGEIFS($G$5:$G$175,$A$5:$A$175,$A158,$G$5:$G$175,"&gt;0"),INDEX('تحليل التكلفة والسعر'!$H$2:$H$700,MATCH("اضافة فراخ جريل (فطير كبير)",'تحليل التكلفة والسعر'!$B$2:$B$700,0))&gt;=AVERAGEIFS('تحليل التكلفة والسعر'!$H$2:$H$700,'تحليل التكلفة والسعر'!$A$2:$A$700,$A158,'تحليل التكلفة والسعر'!$C$2:$C$700,"&gt;0")),"⭐ نجم",IF(AND($G158&gt;=AVERAGEIFS($G$5:$G$175,$A$5:$A$175,$A158,$G$5:$G$175,"&gt;0"),INDEX('تحليل التكلفة والسعر'!$H$2:$H$700,MATCH("اضافة فراخ جريل (فطير كبير)",'تحليل التكلفة والسعر'!$B$2:$B$700,0))&lt;AVERAGEIFS('تحليل التكلفة والسعر'!$H$2:$H$700,'تحليل التكلفة والسعر'!$A$2:$A$700,$A158,'تحليل التكلفة والسعر'!$C$2:$C$700,"&gt;0")),"🐎 حصان عمل",IF(AND($G158&lt;AVERAGEIFS($G$5:$G$175,$A$5:$A$175,$A158,$G$5:$G$175,"&gt;0"),INDEX('تحليل التكلفة والسعر'!$H$2:$H$700,MATCH("اضافة فراخ جريل (فطير كبير)",'تحليل التكلفة والسعر'!$B$2:$B$700,0))&gt;=AVERAGEIFS('تحليل التكلفة والسعر'!$H$2:$H$700,'تحليل التكلفة والسعر'!$A$2:$A$700,$A158,'تحليل التكلفة والسعر'!$C$2:$C$700,"&gt;0")),"🧩 لغز","🐶 كلب"))))</f>
        <v>بيانات غير كافية</v>
      </c>
    </row>
    <row r="159" customFormat="false" ht="15" hidden="false" customHeight="true" outlineLevel="0" collapsed="false">
      <c r="A159" s="11" t="s">
        <v>380</v>
      </c>
      <c r="B159" s="11" t="s">
        <v>408</v>
      </c>
      <c r="C159" s="13" t="n">
        <f aca="false">IFERROR(INDEX('تحليل التكلفة والسعر'!$D$2:$D$700,MATCH("اضافة فراخ كريسبي (بيتزا وسط)",'تحليل التكلفة والسعر'!$B$2:$B$700,0)),"")</f>
        <v>100</v>
      </c>
      <c r="D159" s="12" t="n">
        <f aca="false">IFERROR(INDEX('تحليل التكلفة والسعر'!$I$2:$I$700,MATCH("اضافة فراخ كريسبي (بيتزا وسط)",'تحليل التكلفة والسعر'!$B$2:$B$700,0)),"")</f>
        <v>0.690681</v>
      </c>
      <c r="E159" s="49" t="n">
        <v>0</v>
      </c>
      <c r="F159" s="11" t="str">
        <f aca="false">IF(OR(NOT(INDEX('تحليل التكلفة والسعر'!$C$2:$C$700,MATCH("اضافة فراخ كريسبي (بيتزا وسط)",'تحليل التكلفة والسعر'!$B$2:$B$700,0))&gt;0),$E159=0),"بيانات غير كافية",IF(AND($E159&gt;=AVERAGEIFS($E$5:$E$175,$A$5:$A$175,$A159,$E$5:$E$175,"&gt;0"),INDEX('تحليل التكلفة والسعر'!$H$2:$H$700,MATCH("اضافة فراخ كريسبي (بيتزا وسط)",'تحليل التكلفة والسعر'!$B$2:$B$700,0))&gt;=AVERAGEIFS('تحليل التكلفة والسعر'!$H$2:$H$700,'تحليل التكلفة والسعر'!$A$2:$A$700,$A159,'تحليل التكلفة والسعر'!$C$2:$C$700,"&gt;0")),"⭐ نجم",IF(AND($E159&gt;=AVERAGEIFS($E$5:$E$175,$A$5:$A$175,$A159,$E$5:$E$175,"&gt;0"),INDEX('تحليل التكلفة والسعر'!$H$2:$H$700,MATCH("اضافة فراخ كريسبي (بيتزا وسط)",'تحليل التكلفة والسعر'!$B$2:$B$700,0))&lt;AVERAGEIFS('تحليل التكلفة والسعر'!$H$2:$H$700,'تحليل التكلفة والسعر'!$A$2:$A$700,$A159,'تحليل التكلفة والسعر'!$C$2:$C$700,"&gt;0")),"🐎 حصان عمل",IF(AND($E159&lt;AVERAGEIFS($E$5:$E$175,$A$5:$A$175,$A159,$E$5:$E$175,"&gt;0"),INDEX('تحليل التكلفة والسعر'!$H$2:$H$700,MATCH("اضافة فراخ كريسبي (بيتزا وسط)",'تحليل التكلفة والسعر'!$B$2:$B$700,0))&gt;=AVERAGEIFS('تحليل التكلفة والسعر'!$H$2:$H$700,'تحليل التكلفة والسعر'!$A$2:$A$700,$A159,'تحليل التكلفة والسعر'!$C$2:$C$700,"&gt;0")),"🧩 لغز","🐶 كلب"))))</f>
        <v>بيانات غير كافية</v>
      </c>
      <c r="G159" s="49" t="n">
        <v>0</v>
      </c>
      <c r="H159" s="11" t="str">
        <f aca="false">IF(OR(NOT(INDEX('تحليل التكلفة والسعر'!$C$2:$C$700,MATCH("اضافة فراخ كريسبي (بيتزا وسط)",'تحليل التكلفة والسعر'!$B$2:$B$700,0))&gt;0),$G159=0),"بيانات غير كافية",IF(AND($G159&gt;=AVERAGEIFS($G$5:$G$175,$A$5:$A$175,$A159,$G$5:$G$175,"&gt;0"),INDEX('تحليل التكلفة والسعر'!$H$2:$H$700,MATCH("اضافة فراخ كريسبي (بيتزا وسط)",'تحليل التكلفة والسعر'!$B$2:$B$700,0))&gt;=AVERAGEIFS('تحليل التكلفة والسعر'!$H$2:$H$700,'تحليل التكلفة والسعر'!$A$2:$A$700,$A159,'تحليل التكلفة والسعر'!$C$2:$C$700,"&gt;0")),"⭐ نجم",IF(AND($G159&gt;=AVERAGEIFS($G$5:$G$175,$A$5:$A$175,$A159,$G$5:$G$175,"&gt;0"),INDEX('تحليل التكلفة والسعر'!$H$2:$H$700,MATCH("اضافة فراخ كريسبي (بيتزا وسط)",'تحليل التكلفة والسعر'!$B$2:$B$700,0))&lt;AVERAGEIFS('تحليل التكلفة والسعر'!$H$2:$H$700,'تحليل التكلفة والسعر'!$A$2:$A$700,$A159,'تحليل التكلفة والسعر'!$C$2:$C$700,"&gt;0")),"🐎 حصان عمل",IF(AND($G159&lt;AVERAGEIFS($G$5:$G$175,$A$5:$A$175,$A159,$G$5:$G$175,"&gt;0"),INDEX('تحليل التكلفة والسعر'!$H$2:$H$700,MATCH("اضافة فراخ كريسبي (بيتزا وسط)",'تحليل التكلفة والسعر'!$B$2:$B$700,0))&gt;=AVERAGEIFS('تحليل التكلفة والسعر'!$H$2:$H$700,'تحليل التكلفة والسعر'!$A$2:$A$700,$A159,'تحليل التكلفة والسعر'!$C$2:$C$700,"&gt;0")),"🧩 لغز","🐶 كلب"))))</f>
        <v>بيانات غير كافية</v>
      </c>
    </row>
    <row r="160" customFormat="false" ht="15" hidden="false" customHeight="true" outlineLevel="0" collapsed="false">
      <c r="A160" s="11" t="s">
        <v>380</v>
      </c>
      <c r="B160" s="11" t="s">
        <v>409</v>
      </c>
      <c r="C160" s="13" t="n">
        <f aca="false">IFERROR(INDEX('تحليل التكلفة والسعر'!$D$2:$D$700,MATCH("اضافة فراخ كريسبي (فطير وسط)",'تحليل التكلفة والسعر'!$B$2:$B$700,0)),"")</f>
        <v>80</v>
      </c>
      <c r="D160" s="12" t="n">
        <f aca="false">IFERROR(INDEX('تحليل التكلفة والسعر'!$I$2:$I$700,MATCH("اضافة فراخ كريسبي (فطير وسط)",'تحليل التكلفة والسعر'!$B$2:$B$700,0)),"")</f>
        <v>0.61335125</v>
      </c>
      <c r="E160" s="49" t="n">
        <v>0</v>
      </c>
      <c r="F160" s="11" t="str">
        <f aca="false">IF(OR(NOT(INDEX('تحليل التكلفة والسعر'!$C$2:$C$700,MATCH("اضافة فراخ كريسبي (فطير وسط)",'تحليل التكلفة والسعر'!$B$2:$B$700,0))&gt;0),$E160=0),"بيانات غير كافية",IF(AND($E160&gt;=AVERAGEIFS($E$5:$E$175,$A$5:$A$175,$A160,$E$5:$E$175,"&gt;0"),INDEX('تحليل التكلفة والسعر'!$H$2:$H$700,MATCH("اضافة فراخ كريسبي (فطير وسط)",'تحليل التكلفة والسعر'!$B$2:$B$700,0))&gt;=AVERAGEIFS('تحليل التكلفة والسعر'!$H$2:$H$700,'تحليل التكلفة والسعر'!$A$2:$A$700,$A160,'تحليل التكلفة والسعر'!$C$2:$C$700,"&gt;0")),"⭐ نجم",IF(AND($E160&gt;=AVERAGEIFS($E$5:$E$175,$A$5:$A$175,$A160,$E$5:$E$175,"&gt;0"),INDEX('تحليل التكلفة والسعر'!$H$2:$H$700,MATCH("اضافة فراخ كريسبي (فطير وسط)",'تحليل التكلفة والسعر'!$B$2:$B$700,0))&lt;AVERAGEIFS('تحليل التكلفة والسعر'!$H$2:$H$700,'تحليل التكلفة والسعر'!$A$2:$A$700,$A160,'تحليل التكلفة والسعر'!$C$2:$C$700,"&gt;0")),"🐎 حصان عمل",IF(AND($E160&lt;AVERAGEIFS($E$5:$E$175,$A$5:$A$175,$A160,$E$5:$E$175,"&gt;0"),INDEX('تحليل التكلفة والسعر'!$H$2:$H$700,MATCH("اضافة فراخ كريسبي (فطير وسط)",'تحليل التكلفة والسعر'!$B$2:$B$700,0))&gt;=AVERAGEIFS('تحليل التكلفة والسعر'!$H$2:$H$700,'تحليل التكلفة والسعر'!$A$2:$A$700,$A160,'تحليل التكلفة والسعر'!$C$2:$C$700,"&gt;0")),"🧩 لغز","🐶 كلب"))))</f>
        <v>بيانات غير كافية</v>
      </c>
      <c r="G160" s="49" t="n">
        <v>0</v>
      </c>
      <c r="H160" s="11" t="str">
        <f aca="false">IF(OR(NOT(INDEX('تحليل التكلفة والسعر'!$C$2:$C$700,MATCH("اضافة فراخ كريسبي (فطير وسط)",'تحليل التكلفة والسعر'!$B$2:$B$700,0))&gt;0),$G160=0),"بيانات غير كافية",IF(AND($G160&gt;=AVERAGEIFS($G$5:$G$175,$A$5:$A$175,$A160,$G$5:$G$175,"&gt;0"),INDEX('تحليل التكلفة والسعر'!$H$2:$H$700,MATCH("اضافة فراخ كريسبي (فطير وسط)",'تحليل التكلفة والسعر'!$B$2:$B$700,0))&gt;=AVERAGEIFS('تحليل التكلفة والسعر'!$H$2:$H$700,'تحليل التكلفة والسعر'!$A$2:$A$700,$A160,'تحليل التكلفة والسعر'!$C$2:$C$700,"&gt;0")),"⭐ نجم",IF(AND($G160&gt;=AVERAGEIFS($G$5:$G$175,$A$5:$A$175,$A160,$G$5:$G$175,"&gt;0"),INDEX('تحليل التكلفة والسعر'!$H$2:$H$700,MATCH("اضافة فراخ كريسبي (فطير وسط)",'تحليل التكلفة والسعر'!$B$2:$B$700,0))&lt;AVERAGEIFS('تحليل التكلفة والسعر'!$H$2:$H$700,'تحليل التكلفة والسعر'!$A$2:$A$700,$A160,'تحليل التكلفة والسعر'!$C$2:$C$700,"&gt;0")),"🐎 حصان عمل",IF(AND($G160&lt;AVERAGEIFS($G$5:$G$175,$A$5:$A$175,$A160,$G$5:$G$175,"&gt;0"),INDEX('تحليل التكلفة والسعر'!$H$2:$H$700,MATCH("اضافة فراخ كريسبي (فطير وسط)",'تحليل التكلفة والسعر'!$B$2:$B$700,0))&gt;=AVERAGEIFS('تحليل التكلفة والسعر'!$H$2:$H$700,'تحليل التكلفة والسعر'!$A$2:$A$700,$A160,'تحليل التكلفة والسعر'!$C$2:$C$700,"&gt;0")),"🧩 لغز","🐶 كلب"))))</f>
        <v>بيانات غير كافية</v>
      </c>
    </row>
    <row r="161" customFormat="false" ht="15" hidden="false" customHeight="true" outlineLevel="0" collapsed="false">
      <c r="A161" s="11" t="s">
        <v>380</v>
      </c>
      <c r="B161" s="11" t="s">
        <v>385</v>
      </c>
      <c r="C161" s="13" t="n">
        <f aca="false">IFERROR(INDEX('تحليل التكلفة والسعر'!$D$2:$D$700,MATCH("اضافة فراخ كريسبي (فطير كبير)",'تحليل التكلفة والسعر'!$B$2:$B$700,0)),"")</f>
        <v>130</v>
      </c>
      <c r="D161" s="12" t="n">
        <f aca="false">IFERROR(INDEX('تحليل التكلفة والسعر'!$I$2:$I$700,MATCH("اضافة فراخ كريسبي (فطير كبير)",'تحليل التكلفة والسعر'!$B$2:$B$700,0)),"")</f>
        <v>0.769754615384615</v>
      </c>
      <c r="E161" s="49" t="n">
        <v>0</v>
      </c>
      <c r="F161" s="11" t="str">
        <f aca="false">IF(OR(NOT(INDEX('تحليل التكلفة والسعر'!$C$2:$C$700,MATCH("اضافة فراخ كريسبي (فطير كبير)",'تحليل التكلفة والسعر'!$B$2:$B$700,0))&gt;0),$E161=0),"بيانات غير كافية",IF(AND($E161&gt;=AVERAGEIFS($E$5:$E$175,$A$5:$A$175,$A161,$E$5:$E$175,"&gt;0"),INDEX('تحليل التكلفة والسعر'!$H$2:$H$700,MATCH("اضافة فراخ كريسبي (فطير كبير)",'تحليل التكلفة والسعر'!$B$2:$B$700,0))&gt;=AVERAGEIFS('تحليل التكلفة والسعر'!$H$2:$H$700,'تحليل التكلفة والسعر'!$A$2:$A$700,$A161,'تحليل التكلفة والسعر'!$C$2:$C$700,"&gt;0")),"⭐ نجم",IF(AND($E161&gt;=AVERAGEIFS($E$5:$E$175,$A$5:$A$175,$A161,$E$5:$E$175,"&gt;0"),INDEX('تحليل التكلفة والسعر'!$H$2:$H$700,MATCH("اضافة فراخ كريسبي (فطير كبير)",'تحليل التكلفة والسعر'!$B$2:$B$700,0))&lt;AVERAGEIFS('تحليل التكلفة والسعر'!$H$2:$H$700,'تحليل التكلفة والسعر'!$A$2:$A$700,$A161,'تحليل التكلفة والسعر'!$C$2:$C$700,"&gt;0")),"🐎 حصان عمل",IF(AND($E161&lt;AVERAGEIFS($E$5:$E$175,$A$5:$A$175,$A161,$E$5:$E$175,"&gt;0"),INDEX('تحليل التكلفة والسعر'!$H$2:$H$700,MATCH("اضافة فراخ كريسبي (فطير كبير)",'تحليل التكلفة والسعر'!$B$2:$B$700,0))&gt;=AVERAGEIFS('تحليل التكلفة والسعر'!$H$2:$H$700,'تحليل التكلفة والسعر'!$A$2:$A$700,$A161,'تحليل التكلفة والسعر'!$C$2:$C$700,"&gt;0")),"🧩 لغز","🐶 كلب"))))</f>
        <v>بيانات غير كافية</v>
      </c>
      <c r="G161" s="49" t="n">
        <v>0</v>
      </c>
      <c r="H161" s="11" t="str">
        <f aca="false">IF(OR(NOT(INDEX('تحليل التكلفة والسعر'!$C$2:$C$700,MATCH("اضافة فراخ كريسبي (فطير كبير)",'تحليل التكلفة والسعر'!$B$2:$B$700,0))&gt;0),$G161=0),"بيانات غير كافية",IF(AND($G161&gt;=AVERAGEIFS($G$5:$G$175,$A$5:$A$175,$A161,$G$5:$G$175,"&gt;0"),INDEX('تحليل التكلفة والسعر'!$H$2:$H$700,MATCH("اضافة فراخ كريسبي (فطير كبير)",'تحليل التكلفة والسعر'!$B$2:$B$700,0))&gt;=AVERAGEIFS('تحليل التكلفة والسعر'!$H$2:$H$700,'تحليل التكلفة والسعر'!$A$2:$A$700,$A161,'تحليل التكلفة والسعر'!$C$2:$C$700,"&gt;0")),"⭐ نجم",IF(AND($G161&gt;=AVERAGEIFS($G$5:$G$175,$A$5:$A$175,$A161,$G$5:$G$175,"&gt;0"),INDEX('تحليل التكلفة والسعر'!$H$2:$H$700,MATCH("اضافة فراخ كريسبي (فطير كبير)",'تحليل التكلفة والسعر'!$B$2:$B$700,0))&lt;AVERAGEIFS('تحليل التكلفة والسعر'!$H$2:$H$700,'تحليل التكلفة والسعر'!$A$2:$A$700,$A161,'تحليل التكلفة والسعر'!$C$2:$C$700,"&gt;0")),"🐎 حصان عمل",IF(AND($G161&lt;AVERAGEIFS($G$5:$G$175,$A$5:$A$175,$A161,$G$5:$G$175,"&gt;0"),INDEX('تحليل التكلفة والسعر'!$H$2:$H$700,MATCH("اضافة فراخ كريسبي (فطير كبير)",'تحليل التكلفة والسعر'!$B$2:$B$700,0))&gt;=AVERAGEIFS('تحليل التكلفة والسعر'!$H$2:$H$700,'تحليل التكلفة والسعر'!$A$2:$A$700,$A161,'تحليل التكلفة والسعر'!$C$2:$C$700,"&gt;0")),"🧩 لغز","🐶 كلب"))))</f>
        <v>بيانات غير كافية</v>
      </c>
    </row>
    <row r="162" customFormat="false" ht="15" hidden="false" customHeight="true" outlineLevel="0" collapsed="false">
      <c r="A162" s="11" t="s">
        <v>380</v>
      </c>
      <c r="B162" s="11" t="s">
        <v>381</v>
      </c>
      <c r="C162" s="13" t="n">
        <f aca="false">IFERROR(INDEX('تحليل التكلفة والسعر'!$D$2:$D$700,MATCH("اضافة مشروم (بيتزا وسط)",'تحليل التكلفة والسعر'!$B$2:$B$700,0)),"")</f>
        <v>40</v>
      </c>
      <c r="D162" s="12" t="n">
        <f aca="false">IFERROR(INDEX('تحليل التكلفة والسعر'!$I$2:$I$700,MATCH("اضافة مشروم (بيتزا وسط)",'تحليل التكلفة والسعر'!$B$2:$B$700,0)),"")</f>
        <v>0.74989845</v>
      </c>
      <c r="E162" s="49" t="n">
        <v>0</v>
      </c>
      <c r="F162" s="11" t="str">
        <f aca="false">IF(OR(NOT(INDEX('تحليل التكلفة والسعر'!$C$2:$C$700,MATCH("اضافة مشروم (بيتزا وسط)",'تحليل التكلفة والسعر'!$B$2:$B$700,0))&gt;0),$E162=0),"بيانات غير كافية",IF(AND($E162&gt;=AVERAGEIFS($E$5:$E$175,$A$5:$A$175,$A162,$E$5:$E$175,"&gt;0"),INDEX('تحليل التكلفة والسعر'!$H$2:$H$700,MATCH("اضافة مشروم (بيتزا وسط)",'تحليل التكلفة والسعر'!$B$2:$B$700,0))&gt;=AVERAGEIFS('تحليل التكلفة والسعر'!$H$2:$H$700,'تحليل التكلفة والسعر'!$A$2:$A$700,$A162,'تحليل التكلفة والسعر'!$C$2:$C$700,"&gt;0")),"⭐ نجم",IF(AND($E162&gt;=AVERAGEIFS($E$5:$E$175,$A$5:$A$175,$A162,$E$5:$E$175,"&gt;0"),INDEX('تحليل التكلفة والسعر'!$H$2:$H$700,MATCH("اضافة مشروم (بيتزا وسط)",'تحليل التكلفة والسعر'!$B$2:$B$700,0))&lt;AVERAGEIFS('تحليل التكلفة والسعر'!$H$2:$H$700,'تحليل التكلفة والسعر'!$A$2:$A$700,$A162,'تحليل التكلفة والسعر'!$C$2:$C$700,"&gt;0")),"🐎 حصان عمل",IF(AND($E162&lt;AVERAGEIFS($E$5:$E$175,$A$5:$A$175,$A162,$E$5:$E$175,"&gt;0"),INDEX('تحليل التكلفة والسعر'!$H$2:$H$700,MATCH("اضافة مشروم (بيتزا وسط)",'تحليل التكلفة والسعر'!$B$2:$B$700,0))&gt;=AVERAGEIFS('تحليل التكلفة والسعر'!$H$2:$H$700,'تحليل التكلفة والسعر'!$A$2:$A$700,$A162,'تحليل التكلفة والسعر'!$C$2:$C$700,"&gt;0")),"🧩 لغز","🐶 كلب"))))</f>
        <v>بيانات غير كافية</v>
      </c>
      <c r="G162" s="49" t="n">
        <v>0</v>
      </c>
      <c r="H162" s="11" t="str">
        <f aca="false">IF(OR(NOT(INDEX('تحليل التكلفة والسعر'!$C$2:$C$700,MATCH("اضافة مشروم (بيتزا وسط)",'تحليل التكلفة والسعر'!$B$2:$B$700,0))&gt;0),$G162=0),"بيانات غير كافية",IF(AND($G162&gt;=AVERAGEIFS($G$5:$G$175,$A$5:$A$175,$A162,$G$5:$G$175,"&gt;0"),INDEX('تحليل التكلفة والسعر'!$H$2:$H$700,MATCH("اضافة مشروم (بيتزا وسط)",'تحليل التكلفة والسعر'!$B$2:$B$700,0))&gt;=AVERAGEIFS('تحليل التكلفة والسعر'!$H$2:$H$700,'تحليل التكلفة والسعر'!$A$2:$A$700,$A162,'تحليل التكلفة والسعر'!$C$2:$C$700,"&gt;0")),"⭐ نجم",IF(AND($G162&gt;=AVERAGEIFS($G$5:$G$175,$A$5:$A$175,$A162,$G$5:$G$175,"&gt;0"),INDEX('تحليل التكلفة والسعر'!$H$2:$H$700,MATCH("اضافة مشروم (بيتزا وسط)",'تحليل التكلفة والسعر'!$B$2:$B$700,0))&lt;AVERAGEIFS('تحليل التكلفة والسعر'!$H$2:$H$700,'تحليل التكلفة والسعر'!$A$2:$A$700,$A162,'تحليل التكلفة والسعر'!$C$2:$C$700,"&gt;0")),"🐎 حصان عمل",IF(AND($G162&lt;AVERAGEIFS($G$5:$G$175,$A$5:$A$175,$A162,$G$5:$G$175,"&gt;0"),INDEX('تحليل التكلفة والسعر'!$H$2:$H$700,MATCH("اضافة مشروم (بيتزا وسط)",'تحليل التكلفة والسعر'!$B$2:$B$700,0))&gt;=AVERAGEIFS('تحليل التكلفة والسعر'!$H$2:$H$700,'تحليل التكلفة والسعر'!$A$2:$A$700,$A162,'تحليل التكلفة والسعر'!$C$2:$C$700,"&gt;0")),"🧩 لغز","🐶 كلب"))))</f>
        <v>بيانات غير كافية</v>
      </c>
    </row>
    <row r="163" customFormat="false" ht="15" hidden="false" customHeight="true" outlineLevel="0" collapsed="false">
      <c r="A163" s="11" t="s">
        <v>380</v>
      </c>
      <c r="B163" s="11" t="s">
        <v>382</v>
      </c>
      <c r="C163" s="13" t="n">
        <f aca="false">IFERROR(INDEX('تحليل التكلفة والسعر'!$D$2:$D$700,MATCH("اضافة مشروم (بيتزا كبير)",'تحليل التكلفة والسعر'!$B$2:$B$700,0)),"")</f>
        <v>55</v>
      </c>
      <c r="D163" s="12" t="n">
        <f aca="false">IFERROR(INDEX('تحليل التكلفة والسعر'!$I$2:$I$700,MATCH("اضافة مشروم (بيتزا كبير)",'تحليل التكلفة والسعر'!$B$2:$B$700,0)),"")</f>
        <v>0.735633763636364</v>
      </c>
      <c r="E163" s="49" t="n">
        <v>0</v>
      </c>
      <c r="F163" s="11" t="str">
        <f aca="false">IF(OR(NOT(INDEX('تحليل التكلفة والسعر'!$C$2:$C$700,MATCH("اضافة مشروم (بيتزا كبير)",'تحليل التكلفة والسعر'!$B$2:$B$700,0))&gt;0),$E163=0),"بيانات غير كافية",IF(AND($E163&gt;=AVERAGEIFS($E$5:$E$175,$A$5:$A$175,$A163,$E$5:$E$175,"&gt;0"),INDEX('تحليل التكلفة والسعر'!$H$2:$H$700,MATCH("اضافة مشروم (بيتزا كبير)",'تحليل التكلفة والسعر'!$B$2:$B$700,0))&gt;=AVERAGEIFS('تحليل التكلفة والسعر'!$H$2:$H$700,'تحليل التكلفة والسعر'!$A$2:$A$700,$A163,'تحليل التكلفة والسعر'!$C$2:$C$700,"&gt;0")),"⭐ نجم",IF(AND($E163&gt;=AVERAGEIFS($E$5:$E$175,$A$5:$A$175,$A163,$E$5:$E$175,"&gt;0"),INDEX('تحليل التكلفة والسعر'!$H$2:$H$700,MATCH("اضافة مشروم (بيتزا كبير)",'تحليل التكلفة والسعر'!$B$2:$B$700,0))&lt;AVERAGEIFS('تحليل التكلفة والسعر'!$H$2:$H$700,'تحليل التكلفة والسعر'!$A$2:$A$700,$A163,'تحليل التكلفة والسعر'!$C$2:$C$700,"&gt;0")),"🐎 حصان عمل",IF(AND($E163&lt;AVERAGEIFS($E$5:$E$175,$A$5:$A$175,$A163,$E$5:$E$175,"&gt;0"),INDEX('تحليل التكلفة والسعر'!$H$2:$H$700,MATCH("اضافة مشروم (بيتزا كبير)",'تحليل التكلفة والسعر'!$B$2:$B$700,0))&gt;=AVERAGEIFS('تحليل التكلفة والسعر'!$H$2:$H$700,'تحليل التكلفة والسعر'!$A$2:$A$700,$A163,'تحليل التكلفة والسعر'!$C$2:$C$700,"&gt;0")),"🧩 لغز","🐶 كلب"))))</f>
        <v>بيانات غير كافية</v>
      </c>
      <c r="G163" s="49" t="n">
        <v>0</v>
      </c>
      <c r="H163" s="11" t="str">
        <f aca="false">IF(OR(NOT(INDEX('تحليل التكلفة والسعر'!$C$2:$C$700,MATCH("اضافة مشروم (بيتزا كبير)",'تحليل التكلفة والسعر'!$B$2:$B$700,0))&gt;0),$G163=0),"بيانات غير كافية",IF(AND($G163&gt;=AVERAGEIFS($G$5:$G$175,$A$5:$A$175,$A163,$G$5:$G$175,"&gt;0"),INDEX('تحليل التكلفة والسعر'!$H$2:$H$700,MATCH("اضافة مشروم (بيتزا كبير)",'تحليل التكلفة والسعر'!$B$2:$B$700,0))&gt;=AVERAGEIFS('تحليل التكلفة والسعر'!$H$2:$H$700,'تحليل التكلفة والسعر'!$A$2:$A$700,$A163,'تحليل التكلفة والسعر'!$C$2:$C$700,"&gt;0")),"⭐ نجم",IF(AND($G163&gt;=AVERAGEIFS($G$5:$G$175,$A$5:$A$175,$A163,$G$5:$G$175,"&gt;0"),INDEX('تحليل التكلفة والسعر'!$H$2:$H$700,MATCH("اضافة مشروم (بيتزا كبير)",'تحليل التكلفة والسعر'!$B$2:$B$700,0))&lt;AVERAGEIFS('تحليل التكلفة والسعر'!$H$2:$H$700,'تحليل التكلفة والسعر'!$A$2:$A$700,$A163,'تحليل التكلفة والسعر'!$C$2:$C$700,"&gt;0")),"🐎 حصان عمل",IF(AND($G163&lt;AVERAGEIFS($G$5:$G$175,$A$5:$A$175,$A163,$G$5:$G$175,"&gt;0"),INDEX('تحليل التكلفة والسعر'!$H$2:$H$700,MATCH("اضافة مشروم (بيتزا كبير)",'تحليل التكلفة والسعر'!$B$2:$B$700,0))&gt;=AVERAGEIFS('تحليل التكلفة والسعر'!$H$2:$H$700,'تحليل التكلفة والسعر'!$A$2:$A$700,$A163,'تحليل التكلفة والسعر'!$C$2:$C$700,"&gt;0")),"🧩 لغز","🐶 كلب"))))</f>
        <v>بيانات غير كافية</v>
      </c>
    </row>
    <row r="164" customFormat="false" ht="15" hidden="false" customHeight="true" outlineLevel="0" collapsed="false">
      <c r="A164" s="11" t="s">
        <v>380</v>
      </c>
      <c r="B164" s="11" t="s">
        <v>383</v>
      </c>
      <c r="C164" s="13" t="n">
        <f aca="false">IFERROR(INDEX('تحليل التكلفة والسعر'!$D$2:$D$700,MATCH("اضافة مشروم (فطير وسط)",'تحليل التكلفة والسعر'!$B$2:$B$700,0)),"")</f>
        <v>40</v>
      </c>
      <c r="D164" s="12" t="n">
        <f aca="false">IFERROR(INDEX('تحليل التكلفة والسعر'!$I$2:$I$700,MATCH("اضافة مشروم (فطير وسط)",'تحليل التكلفة والسعر'!$B$2:$B$700,0)),"")</f>
        <v>0.74989845</v>
      </c>
      <c r="E164" s="49" t="n">
        <v>0</v>
      </c>
      <c r="F164" s="11" t="str">
        <f aca="false">IF(OR(NOT(INDEX('تحليل التكلفة والسعر'!$C$2:$C$700,MATCH("اضافة مشروم (فطير وسط)",'تحليل التكلفة والسعر'!$B$2:$B$700,0))&gt;0),$E164=0),"بيانات غير كافية",IF(AND($E164&gt;=AVERAGEIFS($E$5:$E$175,$A$5:$A$175,$A164,$E$5:$E$175,"&gt;0"),INDEX('تحليل التكلفة والسعر'!$H$2:$H$700,MATCH("اضافة مشروم (فطير وسط)",'تحليل التكلفة والسعر'!$B$2:$B$700,0))&gt;=AVERAGEIFS('تحليل التكلفة والسعر'!$H$2:$H$700,'تحليل التكلفة والسعر'!$A$2:$A$700,$A164,'تحليل التكلفة والسعر'!$C$2:$C$700,"&gt;0")),"⭐ نجم",IF(AND($E164&gt;=AVERAGEIFS($E$5:$E$175,$A$5:$A$175,$A164,$E$5:$E$175,"&gt;0"),INDEX('تحليل التكلفة والسعر'!$H$2:$H$700,MATCH("اضافة مشروم (فطير وسط)",'تحليل التكلفة والسعر'!$B$2:$B$700,0))&lt;AVERAGEIFS('تحليل التكلفة والسعر'!$H$2:$H$700,'تحليل التكلفة والسعر'!$A$2:$A$700,$A164,'تحليل التكلفة والسعر'!$C$2:$C$700,"&gt;0")),"🐎 حصان عمل",IF(AND($E164&lt;AVERAGEIFS($E$5:$E$175,$A$5:$A$175,$A164,$E$5:$E$175,"&gt;0"),INDEX('تحليل التكلفة والسعر'!$H$2:$H$700,MATCH("اضافة مشروم (فطير وسط)",'تحليل التكلفة والسعر'!$B$2:$B$700,0))&gt;=AVERAGEIFS('تحليل التكلفة والسعر'!$H$2:$H$700,'تحليل التكلفة والسعر'!$A$2:$A$700,$A164,'تحليل التكلفة والسعر'!$C$2:$C$700,"&gt;0")),"🧩 لغز","🐶 كلب"))))</f>
        <v>بيانات غير كافية</v>
      </c>
      <c r="G164" s="49" t="n">
        <v>0</v>
      </c>
      <c r="H164" s="11" t="str">
        <f aca="false">IF(OR(NOT(INDEX('تحليل التكلفة والسعر'!$C$2:$C$700,MATCH("اضافة مشروم (فطير وسط)",'تحليل التكلفة والسعر'!$B$2:$B$700,0))&gt;0),$G164=0),"بيانات غير كافية",IF(AND($G164&gt;=AVERAGEIFS($G$5:$G$175,$A$5:$A$175,$A164,$G$5:$G$175,"&gt;0"),INDEX('تحليل التكلفة والسعر'!$H$2:$H$700,MATCH("اضافة مشروم (فطير وسط)",'تحليل التكلفة والسعر'!$B$2:$B$700,0))&gt;=AVERAGEIFS('تحليل التكلفة والسعر'!$H$2:$H$700,'تحليل التكلفة والسعر'!$A$2:$A$700,$A164,'تحليل التكلفة والسعر'!$C$2:$C$700,"&gt;0")),"⭐ نجم",IF(AND($G164&gt;=AVERAGEIFS($G$5:$G$175,$A$5:$A$175,$A164,$G$5:$G$175,"&gt;0"),INDEX('تحليل التكلفة والسعر'!$H$2:$H$700,MATCH("اضافة مشروم (فطير وسط)",'تحليل التكلفة والسعر'!$B$2:$B$700,0))&lt;AVERAGEIFS('تحليل التكلفة والسعر'!$H$2:$H$700,'تحليل التكلفة والسعر'!$A$2:$A$700,$A164,'تحليل التكلفة والسعر'!$C$2:$C$700,"&gt;0")),"🐎 حصان عمل",IF(AND($G164&lt;AVERAGEIFS($G$5:$G$175,$A$5:$A$175,$A164,$G$5:$G$175,"&gt;0"),INDEX('تحليل التكلفة والسعر'!$H$2:$H$700,MATCH("اضافة مشروم (فطير وسط)",'تحليل التكلفة والسعر'!$B$2:$B$700,0))&gt;=AVERAGEIFS('تحليل التكلفة والسعر'!$H$2:$H$700,'تحليل التكلفة والسعر'!$A$2:$A$700,$A164,'تحليل التكلفة والسعر'!$C$2:$C$700,"&gt;0")),"🧩 لغز","🐶 كلب"))))</f>
        <v>بيانات غير كافية</v>
      </c>
    </row>
    <row r="165" customFormat="false" ht="15" hidden="false" customHeight="true" outlineLevel="0" collapsed="false">
      <c r="A165" s="11" t="s">
        <v>380</v>
      </c>
      <c r="B165" s="11" t="s">
        <v>384</v>
      </c>
      <c r="C165" s="13" t="n">
        <f aca="false">IFERROR(INDEX('تحليل التكلفة والسعر'!$D$2:$D$700,MATCH("اضافة مشروم (فطير كبير)",'تحليل التكلفة والسعر'!$B$2:$B$700,0)),"")</f>
        <v>55</v>
      </c>
      <c r="D165" s="12" t="n">
        <f aca="false">IFERROR(INDEX('تحليل التكلفة والسعر'!$I$2:$I$700,MATCH("اضافة مشروم (فطير كبير)",'تحليل التكلفة والسعر'!$B$2:$B$700,0)),"")</f>
        <v>0.735633763636364</v>
      </c>
      <c r="E165" s="49" t="n">
        <v>0</v>
      </c>
      <c r="F165" s="11" t="str">
        <f aca="false">IF(OR(NOT(INDEX('تحليل التكلفة والسعر'!$C$2:$C$700,MATCH("اضافة مشروم (فطير كبير)",'تحليل التكلفة والسعر'!$B$2:$B$700,0))&gt;0),$E165=0),"بيانات غير كافية",IF(AND($E165&gt;=AVERAGEIFS($E$5:$E$175,$A$5:$A$175,$A165,$E$5:$E$175,"&gt;0"),INDEX('تحليل التكلفة والسعر'!$H$2:$H$700,MATCH("اضافة مشروم (فطير كبير)",'تحليل التكلفة والسعر'!$B$2:$B$700,0))&gt;=AVERAGEIFS('تحليل التكلفة والسعر'!$H$2:$H$700,'تحليل التكلفة والسعر'!$A$2:$A$700,$A165,'تحليل التكلفة والسعر'!$C$2:$C$700,"&gt;0")),"⭐ نجم",IF(AND($E165&gt;=AVERAGEIFS($E$5:$E$175,$A$5:$A$175,$A165,$E$5:$E$175,"&gt;0"),INDEX('تحليل التكلفة والسعر'!$H$2:$H$700,MATCH("اضافة مشروم (فطير كبير)",'تحليل التكلفة والسعر'!$B$2:$B$700,0))&lt;AVERAGEIFS('تحليل التكلفة والسعر'!$H$2:$H$700,'تحليل التكلفة والسعر'!$A$2:$A$700,$A165,'تحليل التكلفة والسعر'!$C$2:$C$700,"&gt;0")),"🐎 حصان عمل",IF(AND($E165&lt;AVERAGEIFS($E$5:$E$175,$A$5:$A$175,$A165,$E$5:$E$175,"&gt;0"),INDEX('تحليل التكلفة والسعر'!$H$2:$H$700,MATCH("اضافة مشروم (فطير كبير)",'تحليل التكلفة والسعر'!$B$2:$B$700,0))&gt;=AVERAGEIFS('تحليل التكلفة والسعر'!$H$2:$H$700,'تحليل التكلفة والسعر'!$A$2:$A$700,$A165,'تحليل التكلفة والسعر'!$C$2:$C$700,"&gt;0")),"🧩 لغز","🐶 كلب"))))</f>
        <v>بيانات غير كافية</v>
      </c>
      <c r="G165" s="49" t="n">
        <v>0</v>
      </c>
      <c r="H165" s="11" t="str">
        <f aca="false">IF(OR(NOT(INDEX('تحليل التكلفة والسعر'!$C$2:$C$700,MATCH("اضافة مشروم (فطير كبير)",'تحليل التكلفة والسعر'!$B$2:$B$700,0))&gt;0),$G165=0),"بيانات غير كافية",IF(AND($G165&gt;=AVERAGEIFS($G$5:$G$175,$A$5:$A$175,$A165,$G$5:$G$175,"&gt;0"),INDEX('تحليل التكلفة والسعر'!$H$2:$H$700,MATCH("اضافة مشروم (فطير كبير)",'تحليل التكلفة والسعر'!$B$2:$B$700,0))&gt;=AVERAGEIFS('تحليل التكلفة والسعر'!$H$2:$H$700,'تحليل التكلفة والسعر'!$A$2:$A$700,$A165,'تحليل التكلفة والسعر'!$C$2:$C$700,"&gt;0")),"⭐ نجم",IF(AND($G165&gt;=AVERAGEIFS($G$5:$G$175,$A$5:$A$175,$A165,$G$5:$G$175,"&gt;0"),INDEX('تحليل التكلفة والسعر'!$H$2:$H$700,MATCH("اضافة مشروم (فطير كبير)",'تحليل التكلفة والسعر'!$B$2:$B$700,0))&lt;AVERAGEIFS('تحليل التكلفة والسعر'!$H$2:$H$700,'تحليل التكلفة والسعر'!$A$2:$A$700,$A165,'تحليل التكلفة والسعر'!$C$2:$C$700,"&gt;0")),"🐎 حصان عمل",IF(AND($G165&lt;AVERAGEIFS($G$5:$G$175,$A$5:$A$175,$A165,$G$5:$G$175,"&gt;0"),INDEX('تحليل التكلفة والسعر'!$H$2:$H$700,MATCH("اضافة مشروم (فطير كبير)",'تحليل التكلفة والسعر'!$B$2:$B$700,0))&gt;=AVERAGEIFS('تحليل التكلفة والسعر'!$H$2:$H$700,'تحليل التكلفة والسعر'!$A$2:$A$700,$A165,'تحليل التكلفة والسعر'!$C$2:$C$700,"&gt;0")),"🧩 لغز","🐶 كلب"))))</f>
        <v>بيانات غير كافية</v>
      </c>
    </row>
    <row r="166" customFormat="false" ht="15" hidden="false" customHeight="true" outlineLevel="0" collapsed="false">
      <c r="A166" s="11" t="s">
        <v>380</v>
      </c>
      <c r="B166" s="11" t="s">
        <v>547</v>
      </c>
      <c r="C166" s="13" t="n">
        <f aca="false">IFERROR(INDEX('تحليل التكلفة والسعر'!$D$2:$D$700,MATCH("إضافة وش بيتزا (مخصوص) (وسط)",'تحليل التكلفة والسعر'!$B$2:$B$700,0)),"")</f>
        <v>40.83</v>
      </c>
      <c r="D166" s="12" t="n">
        <f aca="false">IFERROR(INDEX('تحليل التكلفة والسعر'!$I$2:$I$700,MATCH("إضافة وش بيتزا (مخصوص) (وسط)",'تحليل التكلفة والسعر'!$B$2:$B$700,0)),"")</f>
        <v>0.487340191036003</v>
      </c>
      <c r="E166" s="49" t="n">
        <v>0</v>
      </c>
      <c r="F166" s="11" t="str">
        <f aca="false">IF(OR(NOT(INDEX('تحليل التكلفة والسعر'!$C$2:$C$700,MATCH("إضافة وش بيتزا (مخصوص) (وسط)",'تحليل التكلفة والسعر'!$B$2:$B$700,0))&gt;0),$E166=0),"بيانات غير كافية",IF(AND($E166&gt;=AVERAGEIFS($E$5:$E$175,$A$5:$A$175,$A166,$E$5:$E$175,"&gt;0"),INDEX('تحليل التكلفة والسعر'!$H$2:$H$700,MATCH("إضافة وش بيتزا (مخصوص) (وسط)",'تحليل التكلفة والسعر'!$B$2:$B$700,0))&gt;=AVERAGEIFS('تحليل التكلفة والسعر'!$H$2:$H$700,'تحليل التكلفة والسعر'!$A$2:$A$700,$A166,'تحليل التكلفة والسعر'!$C$2:$C$700,"&gt;0")),"⭐ نجم",IF(AND($E166&gt;=AVERAGEIFS($E$5:$E$175,$A$5:$A$175,$A166,$E$5:$E$175,"&gt;0"),INDEX('تحليل التكلفة والسعر'!$H$2:$H$700,MATCH("إضافة وش بيتزا (مخصوص) (وسط)",'تحليل التكلفة والسعر'!$B$2:$B$700,0))&lt;AVERAGEIFS('تحليل التكلفة والسعر'!$H$2:$H$700,'تحليل التكلفة والسعر'!$A$2:$A$700,$A166,'تحليل التكلفة والسعر'!$C$2:$C$700,"&gt;0")),"🐎 حصان عمل",IF(AND($E166&lt;AVERAGEIFS($E$5:$E$175,$A$5:$A$175,$A166,$E$5:$E$175,"&gt;0"),INDEX('تحليل التكلفة والسعر'!$H$2:$H$700,MATCH("إضافة وش بيتزا (مخصوص) (وسط)",'تحليل التكلفة والسعر'!$B$2:$B$700,0))&gt;=AVERAGEIFS('تحليل التكلفة والسعر'!$H$2:$H$700,'تحليل التكلفة والسعر'!$A$2:$A$700,$A166,'تحليل التكلفة والسعر'!$C$2:$C$700,"&gt;0")),"🧩 لغز","🐶 كلب"))))</f>
        <v>بيانات غير كافية</v>
      </c>
      <c r="G166" s="49" t="n">
        <v>0</v>
      </c>
      <c r="H166" s="11" t="str">
        <f aca="false">IF(OR(NOT(INDEX('تحليل التكلفة والسعر'!$C$2:$C$700,MATCH("إضافة وش بيتزا (مخصوص) (وسط)",'تحليل التكلفة والسعر'!$B$2:$B$700,0))&gt;0),$G166=0),"بيانات غير كافية",IF(AND($G166&gt;=AVERAGEIFS($G$5:$G$175,$A$5:$A$175,$A166,$G$5:$G$175,"&gt;0"),INDEX('تحليل التكلفة والسعر'!$H$2:$H$700,MATCH("إضافة وش بيتزا (مخصوص) (وسط)",'تحليل التكلفة والسعر'!$B$2:$B$700,0))&gt;=AVERAGEIFS('تحليل التكلفة والسعر'!$H$2:$H$700,'تحليل التكلفة والسعر'!$A$2:$A$700,$A166,'تحليل التكلفة والسعر'!$C$2:$C$700,"&gt;0")),"⭐ نجم",IF(AND($G166&gt;=AVERAGEIFS($G$5:$G$175,$A$5:$A$175,$A166,$G$5:$G$175,"&gt;0"),INDEX('تحليل التكلفة والسعر'!$H$2:$H$700,MATCH("إضافة وش بيتزا (مخصوص) (وسط)",'تحليل التكلفة والسعر'!$B$2:$B$700,0))&lt;AVERAGEIFS('تحليل التكلفة والسعر'!$H$2:$H$700,'تحليل التكلفة والسعر'!$A$2:$A$700,$A166,'تحليل التكلفة والسعر'!$C$2:$C$700,"&gt;0")),"🐎 حصان عمل",IF(AND($G166&lt;AVERAGEIFS($G$5:$G$175,$A$5:$A$175,$A166,$G$5:$G$175,"&gt;0"),INDEX('تحليل التكلفة والسعر'!$H$2:$H$700,MATCH("إضافة وش بيتزا (مخصوص) (وسط)",'تحليل التكلفة والسعر'!$B$2:$B$700,0))&gt;=AVERAGEIFS('تحليل التكلفة والسعر'!$H$2:$H$700,'تحليل التكلفة والسعر'!$A$2:$A$700,$A166,'تحليل التكلفة والسعر'!$C$2:$C$700,"&gt;0")),"🧩 لغز","🐶 كلب"))))</f>
        <v>بيانات غير كافية</v>
      </c>
    </row>
    <row r="167" customFormat="false" ht="15" hidden="false" customHeight="true" outlineLevel="0" collapsed="false">
      <c r="A167" s="11" t="s">
        <v>380</v>
      </c>
      <c r="B167" s="11" t="s">
        <v>403</v>
      </c>
      <c r="C167" s="13" t="n">
        <f aca="false">IFERROR(INDEX('تحليل التكلفة والسعر'!$D$2:$D$700,MATCH("إضافة وش بيتزا (مخصوص) (كبير)",'تحليل التكلفة والسعر'!$B$2:$B$700,0)),"")</f>
        <v>55</v>
      </c>
      <c r="D167" s="12" t="n">
        <f aca="false">IFERROR(INDEX('تحليل التكلفة والسعر'!$I$2:$I$700,MATCH("إضافة وش بيتزا (مخصوص) (كبير)",'تحليل التكلفة والسعر'!$B$2:$B$700,0)),"")</f>
        <v>0.489610909090909</v>
      </c>
      <c r="E167" s="49" t="n">
        <v>0</v>
      </c>
      <c r="F167" s="11" t="str">
        <f aca="false">IF(OR(NOT(INDEX('تحليل التكلفة والسعر'!$C$2:$C$700,MATCH("إضافة وش بيتزا (مخصوص) (كبير)",'تحليل التكلفة والسعر'!$B$2:$B$700,0))&gt;0),$E167=0),"بيانات غير كافية",IF(AND($E167&gt;=AVERAGEIFS($E$5:$E$175,$A$5:$A$175,$A167,$E$5:$E$175,"&gt;0"),INDEX('تحليل التكلفة والسعر'!$H$2:$H$700,MATCH("إضافة وش بيتزا (مخصوص) (كبير)",'تحليل التكلفة والسعر'!$B$2:$B$700,0))&gt;=AVERAGEIFS('تحليل التكلفة والسعر'!$H$2:$H$700,'تحليل التكلفة والسعر'!$A$2:$A$700,$A167,'تحليل التكلفة والسعر'!$C$2:$C$700,"&gt;0")),"⭐ نجم",IF(AND($E167&gt;=AVERAGEIFS($E$5:$E$175,$A$5:$A$175,$A167,$E$5:$E$175,"&gt;0"),INDEX('تحليل التكلفة والسعر'!$H$2:$H$700,MATCH("إضافة وش بيتزا (مخصوص) (كبير)",'تحليل التكلفة والسعر'!$B$2:$B$700,0))&lt;AVERAGEIFS('تحليل التكلفة والسعر'!$H$2:$H$700,'تحليل التكلفة والسعر'!$A$2:$A$700,$A167,'تحليل التكلفة والسعر'!$C$2:$C$700,"&gt;0")),"🐎 حصان عمل",IF(AND($E167&lt;AVERAGEIFS($E$5:$E$175,$A$5:$A$175,$A167,$E$5:$E$175,"&gt;0"),INDEX('تحليل التكلفة والسعر'!$H$2:$H$700,MATCH("إضافة وش بيتزا (مخصوص) (كبير)",'تحليل التكلفة والسعر'!$B$2:$B$700,0))&gt;=AVERAGEIFS('تحليل التكلفة والسعر'!$H$2:$H$700,'تحليل التكلفة والسعر'!$A$2:$A$700,$A167,'تحليل التكلفة والسعر'!$C$2:$C$700,"&gt;0")),"🧩 لغز","🐶 كلب"))))</f>
        <v>بيانات غير كافية</v>
      </c>
      <c r="G167" s="49" t="n">
        <v>0</v>
      </c>
      <c r="H167" s="11" t="str">
        <f aca="false">IF(OR(NOT(INDEX('تحليل التكلفة والسعر'!$C$2:$C$700,MATCH("إضافة وش بيتزا (مخصوص) (كبير)",'تحليل التكلفة والسعر'!$B$2:$B$700,0))&gt;0),$G167=0),"بيانات غير كافية",IF(AND($G167&gt;=AVERAGEIFS($G$5:$G$175,$A$5:$A$175,$A167,$G$5:$G$175,"&gt;0"),INDEX('تحليل التكلفة والسعر'!$H$2:$H$700,MATCH("إضافة وش بيتزا (مخصوص) (كبير)",'تحليل التكلفة والسعر'!$B$2:$B$700,0))&gt;=AVERAGEIFS('تحليل التكلفة والسعر'!$H$2:$H$700,'تحليل التكلفة والسعر'!$A$2:$A$700,$A167,'تحليل التكلفة والسعر'!$C$2:$C$700,"&gt;0")),"⭐ نجم",IF(AND($G167&gt;=AVERAGEIFS($G$5:$G$175,$A$5:$A$175,$A167,$G$5:$G$175,"&gt;0"),INDEX('تحليل التكلفة والسعر'!$H$2:$H$700,MATCH("إضافة وش بيتزا (مخصوص) (كبير)",'تحليل التكلفة والسعر'!$B$2:$B$700,0))&lt;AVERAGEIFS('تحليل التكلفة والسعر'!$H$2:$H$700,'تحليل التكلفة والسعر'!$A$2:$A$700,$A167,'تحليل التكلفة والسعر'!$C$2:$C$700,"&gt;0")),"🐎 حصان عمل",IF(AND($G167&lt;AVERAGEIFS($G$5:$G$175,$A$5:$A$175,$A167,$G$5:$G$175,"&gt;0"),INDEX('تحليل التكلفة والسعر'!$H$2:$H$700,MATCH("إضافة وش بيتزا (مخصوص) (كبير)",'تحليل التكلفة والسعر'!$B$2:$B$700,0))&gt;=AVERAGEIFS('تحليل التكلفة والسعر'!$H$2:$H$700,'تحليل التكلفة والسعر'!$A$2:$A$700,$A167,'تحليل التكلفة والسعر'!$C$2:$C$700,"&gt;0")),"🧩 لغز","🐶 كلب"))))</f>
        <v>بيانات غير كافية</v>
      </c>
    </row>
    <row r="168" customFormat="false" ht="15" hidden="false" customHeight="true" outlineLevel="0" collapsed="false">
      <c r="A168" s="11" t="s">
        <v>380</v>
      </c>
      <c r="B168" s="11" t="s">
        <v>548</v>
      </c>
      <c r="C168" s="13" t="n">
        <f aca="false">IFERROR(INDEX('تحليل التكلفة والسعر'!$D$2:$D$700,MATCH("اضافة حشو للاطراف (Small)",'تحليل التكلفة والسعر'!$B$2:$B$700,0)),"")</f>
        <v>50</v>
      </c>
      <c r="D168" s="12" t="n">
        <f aca="false">IFERROR(INDEX('تحليل التكلفة والسعر'!$I$2:$I$700,MATCH("اضافة حشو للاطراف (Small)",'تحليل التكلفة والسعر'!$B$2:$B$700,0)),"")</f>
        <v>0.781362</v>
      </c>
      <c r="E168" s="49" t="n">
        <v>0</v>
      </c>
      <c r="F168" s="11" t="str">
        <f aca="false">IF(OR(NOT(INDEX('تحليل التكلفة والسعر'!$C$2:$C$700,MATCH("اضافة حشو للاطراف (Small)",'تحليل التكلفة والسعر'!$B$2:$B$700,0))&gt;0),$E168=0),"بيانات غير كافية",IF(AND($E168&gt;=AVERAGEIFS($E$5:$E$175,$A$5:$A$175,$A168,$E$5:$E$175,"&gt;0"),INDEX('تحليل التكلفة والسعر'!$H$2:$H$700,MATCH("اضافة حشو للاطراف (Small)",'تحليل التكلفة والسعر'!$B$2:$B$700,0))&gt;=AVERAGEIFS('تحليل التكلفة والسعر'!$H$2:$H$700,'تحليل التكلفة والسعر'!$A$2:$A$700,$A168,'تحليل التكلفة والسعر'!$C$2:$C$700,"&gt;0")),"⭐ نجم",IF(AND($E168&gt;=AVERAGEIFS($E$5:$E$175,$A$5:$A$175,$A168,$E$5:$E$175,"&gt;0"),INDEX('تحليل التكلفة والسعر'!$H$2:$H$700,MATCH("اضافة حشو للاطراف (Small)",'تحليل التكلفة والسعر'!$B$2:$B$700,0))&lt;AVERAGEIFS('تحليل التكلفة والسعر'!$H$2:$H$700,'تحليل التكلفة والسعر'!$A$2:$A$700,$A168,'تحليل التكلفة والسعر'!$C$2:$C$700,"&gt;0")),"🐎 حصان عمل",IF(AND($E168&lt;AVERAGEIFS($E$5:$E$175,$A$5:$A$175,$A168,$E$5:$E$175,"&gt;0"),INDEX('تحليل التكلفة والسعر'!$H$2:$H$700,MATCH("اضافة حشو للاطراف (Small)",'تحليل التكلفة والسعر'!$B$2:$B$700,0))&gt;=AVERAGEIFS('تحليل التكلفة والسعر'!$H$2:$H$700,'تحليل التكلفة والسعر'!$A$2:$A$700,$A168,'تحليل التكلفة والسعر'!$C$2:$C$700,"&gt;0")),"🧩 لغز","🐶 كلب"))))</f>
        <v>بيانات غير كافية</v>
      </c>
      <c r="G168" s="49" t="n">
        <v>0</v>
      </c>
      <c r="H168" s="11" t="str">
        <f aca="false">IF(OR(NOT(INDEX('تحليل التكلفة والسعر'!$C$2:$C$700,MATCH("اضافة حشو للاطراف (Small)",'تحليل التكلفة والسعر'!$B$2:$B$700,0))&gt;0),$G168=0),"بيانات غير كافية",IF(AND($G168&gt;=AVERAGEIFS($G$5:$G$175,$A$5:$A$175,$A168,$G$5:$G$175,"&gt;0"),INDEX('تحليل التكلفة والسعر'!$H$2:$H$700,MATCH("اضافة حشو للاطراف (Small)",'تحليل التكلفة والسعر'!$B$2:$B$700,0))&gt;=AVERAGEIFS('تحليل التكلفة والسعر'!$H$2:$H$700,'تحليل التكلفة والسعر'!$A$2:$A$700,$A168,'تحليل التكلفة والسعر'!$C$2:$C$700,"&gt;0")),"⭐ نجم",IF(AND($G168&gt;=AVERAGEIFS($G$5:$G$175,$A$5:$A$175,$A168,$G$5:$G$175,"&gt;0"),INDEX('تحليل التكلفة والسعر'!$H$2:$H$700,MATCH("اضافة حشو للاطراف (Small)",'تحليل التكلفة والسعر'!$B$2:$B$700,0))&lt;AVERAGEIFS('تحليل التكلفة والسعر'!$H$2:$H$700,'تحليل التكلفة والسعر'!$A$2:$A$700,$A168,'تحليل التكلفة والسعر'!$C$2:$C$700,"&gt;0")),"🐎 حصان عمل",IF(AND($G168&lt;AVERAGEIFS($G$5:$G$175,$A$5:$A$175,$A168,$G$5:$G$175,"&gt;0"),INDEX('تحليل التكلفة والسعر'!$H$2:$H$700,MATCH("اضافة حشو للاطراف (Small)",'تحليل التكلفة والسعر'!$B$2:$B$700,0))&gt;=AVERAGEIFS('تحليل التكلفة والسعر'!$H$2:$H$700,'تحليل التكلفة والسعر'!$A$2:$A$700,$A168,'تحليل التكلفة والسعر'!$C$2:$C$700,"&gt;0")),"🧩 لغز","🐶 كلب"))))</f>
        <v>بيانات غير كافية</v>
      </c>
    </row>
    <row r="169" customFormat="false" ht="15" hidden="false" customHeight="true" outlineLevel="0" collapsed="false">
      <c r="A169" s="11" t="s">
        <v>380</v>
      </c>
      <c r="B169" s="11" t="s">
        <v>404</v>
      </c>
      <c r="C169" s="13" t="n">
        <f aca="false">IFERROR(INDEX('تحليل التكلفة والسعر'!$D$2:$D$700,MATCH("اضافة حشو للاطراف (Medium)",'تحليل التكلفة والسعر'!$B$2:$B$700,0)),"")</f>
        <v>66.25</v>
      </c>
      <c r="D169" s="12" t="n">
        <f aca="false">IFERROR(INDEX('تحليل التكلفة والسعر'!$I$2:$I$700,MATCH("اضافة حشو للاطراف (Medium)",'تحليل التكلفة والسعر'!$B$2:$B$700,0)),"")</f>
        <v>0.678693962264151</v>
      </c>
      <c r="E169" s="49" t="n">
        <v>0</v>
      </c>
      <c r="F169" s="11" t="str">
        <f aca="false">IF(OR(NOT(INDEX('تحليل التكلفة والسعر'!$C$2:$C$700,MATCH("اضافة حشو للاطراف (Medium)",'تحليل التكلفة والسعر'!$B$2:$B$700,0))&gt;0),$E169=0),"بيانات غير كافية",IF(AND($E169&gt;=AVERAGEIFS($E$5:$E$175,$A$5:$A$175,$A169,$E$5:$E$175,"&gt;0"),INDEX('تحليل التكلفة والسعر'!$H$2:$H$700,MATCH("اضافة حشو للاطراف (Medium)",'تحليل التكلفة والسعر'!$B$2:$B$700,0))&gt;=AVERAGEIFS('تحليل التكلفة والسعر'!$H$2:$H$700,'تحليل التكلفة والسعر'!$A$2:$A$700,$A169,'تحليل التكلفة والسعر'!$C$2:$C$700,"&gt;0")),"⭐ نجم",IF(AND($E169&gt;=AVERAGEIFS($E$5:$E$175,$A$5:$A$175,$A169,$E$5:$E$175,"&gt;0"),INDEX('تحليل التكلفة والسعر'!$H$2:$H$700,MATCH("اضافة حشو للاطراف (Medium)",'تحليل التكلفة والسعر'!$B$2:$B$700,0))&lt;AVERAGEIFS('تحليل التكلفة والسعر'!$H$2:$H$700,'تحليل التكلفة والسعر'!$A$2:$A$700,$A169,'تحليل التكلفة والسعر'!$C$2:$C$700,"&gt;0")),"🐎 حصان عمل",IF(AND($E169&lt;AVERAGEIFS($E$5:$E$175,$A$5:$A$175,$A169,$E$5:$E$175,"&gt;0"),INDEX('تحليل التكلفة والسعر'!$H$2:$H$700,MATCH("اضافة حشو للاطراف (Medium)",'تحليل التكلفة والسعر'!$B$2:$B$700,0))&gt;=AVERAGEIFS('تحليل التكلفة والسعر'!$H$2:$H$700,'تحليل التكلفة والسعر'!$A$2:$A$700,$A169,'تحليل التكلفة والسعر'!$C$2:$C$700,"&gt;0")),"🧩 لغز","🐶 كلب"))))</f>
        <v>بيانات غير كافية</v>
      </c>
      <c r="G169" s="49" t="n">
        <v>0</v>
      </c>
      <c r="H169" s="11" t="str">
        <f aca="false">IF(OR(NOT(INDEX('تحليل التكلفة والسعر'!$C$2:$C$700,MATCH("اضافة حشو للاطراف (Medium)",'تحليل التكلفة والسعر'!$B$2:$B$700,0))&gt;0),$G169=0),"بيانات غير كافية",IF(AND($G169&gt;=AVERAGEIFS($G$5:$G$175,$A$5:$A$175,$A169,$G$5:$G$175,"&gt;0"),INDEX('تحليل التكلفة والسعر'!$H$2:$H$700,MATCH("اضافة حشو للاطراف (Medium)",'تحليل التكلفة والسعر'!$B$2:$B$700,0))&gt;=AVERAGEIFS('تحليل التكلفة والسعر'!$H$2:$H$700,'تحليل التكلفة والسعر'!$A$2:$A$700,$A169,'تحليل التكلفة والسعر'!$C$2:$C$700,"&gt;0")),"⭐ نجم",IF(AND($G169&gt;=AVERAGEIFS($G$5:$G$175,$A$5:$A$175,$A169,$G$5:$G$175,"&gt;0"),INDEX('تحليل التكلفة والسعر'!$H$2:$H$700,MATCH("اضافة حشو للاطراف (Medium)",'تحليل التكلفة والسعر'!$B$2:$B$700,0))&lt;AVERAGEIFS('تحليل التكلفة والسعر'!$H$2:$H$700,'تحليل التكلفة والسعر'!$A$2:$A$700,$A169,'تحليل التكلفة والسعر'!$C$2:$C$700,"&gt;0")),"🐎 حصان عمل",IF(AND($G169&lt;AVERAGEIFS($G$5:$G$175,$A$5:$A$175,$A169,$G$5:$G$175,"&gt;0"),INDEX('تحليل التكلفة والسعر'!$H$2:$H$700,MATCH("اضافة حشو للاطراف (Medium)",'تحليل التكلفة والسعر'!$B$2:$B$700,0))&gt;=AVERAGEIFS('تحليل التكلفة والسعر'!$H$2:$H$700,'تحليل التكلفة والسعر'!$A$2:$A$700,$A169,'تحليل التكلفة والسعر'!$C$2:$C$700,"&gt;0")),"🧩 لغز","🐶 كلب"))))</f>
        <v>بيانات غير كافية</v>
      </c>
    </row>
    <row r="170" customFormat="false" ht="15" hidden="false" customHeight="true" outlineLevel="0" collapsed="false">
      <c r="A170" s="11" t="s">
        <v>380</v>
      </c>
      <c r="B170" s="11" t="s">
        <v>549</v>
      </c>
      <c r="C170" s="13" t="n">
        <f aca="false">IFERROR(INDEX('تحليل التكلفة والسعر'!$D$2:$D$700,MATCH("صوص رانش إضافي (M)",'تحليل التكلفة والسعر'!$B$2:$B$700,0)),"")</f>
        <v>31.47</v>
      </c>
      <c r="D170" s="12" t="n">
        <f aca="false">IFERROR(INDEX('تحليل التكلفة والسعر'!$I$2:$I$700,MATCH("صوص رانش إضافي (M)",'تحليل التكلفة والسعر'!$B$2:$B$700,0)),"")</f>
        <v>0.636736574515412</v>
      </c>
      <c r="E170" s="49" t="n">
        <v>0</v>
      </c>
      <c r="F170" s="11" t="str">
        <f aca="false">IF(OR(NOT(INDEX('تحليل التكلفة والسعر'!$C$2:$C$700,MATCH("صوص رانش إضافي (M)",'تحليل التكلفة والسعر'!$B$2:$B$700,0))&gt;0),$E170=0),"بيانات غير كافية",IF(AND($E170&gt;=AVERAGEIFS($E$5:$E$175,$A$5:$A$175,$A170,$E$5:$E$175,"&gt;0"),INDEX('تحليل التكلفة والسعر'!$H$2:$H$700,MATCH("صوص رانش إضافي (M)",'تحليل التكلفة والسعر'!$B$2:$B$700,0))&gt;=AVERAGEIFS('تحليل التكلفة والسعر'!$H$2:$H$700,'تحليل التكلفة والسعر'!$A$2:$A$700,$A170,'تحليل التكلفة والسعر'!$C$2:$C$700,"&gt;0")),"⭐ نجم",IF(AND($E170&gt;=AVERAGEIFS($E$5:$E$175,$A$5:$A$175,$A170,$E$5:$E$175,"&gt;0"),INDEX('تحليل التكلفة والسعر'!$H$2:$H$700,MATCH("صوص رانش إضافي (M)",'تحليل التكلفة والسعر'!$B$2:$B$700,0))&lt;AVERAGEIFS('تحليل التكلفة والسعر'!$H$2:$H$700,'تحليل التكلفة والسعر'!$A$2:$A$700,$A170,'تحليل التكلفة والسعر'!$C$2:$C$700,"&gt;0")),"🐎 حصان عمل",IF(AND($E170&lt;AVERAGEIFS($E$5:$E$175,$A$5:$A$175,$A170,$E$5:$E$175,"&gt;0"),INDEX('تحليل التكلفة والسعر'!$H$2:$H$700,MATCH("صوص رانش إضافي (M)",'تحليل التكلفة والسعر'!$B$2:$B$700,0))&gt;=AVERAGEIFS('تحليل التكلفة والسعر'!$H$2:$H$700,'تحليل التكلفة والسعر'!$A$2:$A$700,$A170,'تحليل التكلفة والسعر'!$C$2:$C$700,"&gt;0")),"🧩 لغز","🐶 كلب"))))</f>
        <v>بيانات غير كافية</v>
      </c>
      <c r="G170" s="49" t="n">
        <v>0</v>
      </c>
      <c r="H170" s="11" t="str">
        <f aca="false">IF(OR(NOT(INDEX('تحليل التكلفة والسعر'!$C$2:$C$700,MATCH("صوص رانش إضافي (M)",'تحليل التكلفة والسعر'!$B$2:$B$700,0))&gt;0),$G170=0),"بيانات غير كافية",IF(AND($G170&gt;=AVERAGEIFS($G$5:$G$175,$A$5:$A$175,$A170,$G$5:$G$175,"&gt;0"),INDEX('تحليل التكلفة والسعر'!$H$2:$H$700,MATCH("صوص رانش إضافي (M)",'تحليل التكلفة والسعر'!$B$2:$B$700,0))&gt;=AVERAGEIFS('تحليل التكلفة والسعر'!$H$2:$H$700,'تحليل التكلفة والسعر'!$A$2:$A$700,$A170,'تحليل التكلفة والسعر'!$C$2:$C$700,"&gt;0")),"⭐ نجم",IF(AND($G170&gt;=AVERAGEIFS($G$5:$G$175,$A$5:$A$175,$A170,$G$5:$G$175,"&gt;0"),INDEX('تحليل التكلفة والسعر'!$H$2:$H$700,MATCH("صوص رانش إضافي (M)",'تحليل التكلفة والسعر'!$B$2:$B$700,0))&lt;AVERAGEIFS('تحليل التكلفة والسعر'!$H$2:$H$700,'تحليل التكلفة والسعر'!$A$2:$A$700,$A170,'تحليل التكلفة والسعر'!$C$2:$C$700,"&gt;0")),"🐎 حصان عمل",IF(AND($G170&lt;AVERAGEIFS($G$5:$G$175,$A$5:$A$175,$A170,$G$5:$G$175,"&gt;0"),INDEX('تحليل التكلفة والسعر'!$H$2:$H$700,MATCH("صوص رانش إضافي (M)",'تحليل التكلفة والسعر'!$B$2:$B$700,0))&gt;=AVERAGEIFS('تحليل التكلفة والسعر'!$H$2:$H$700,'تحليل التكلفة والسعر'!$A$2:$A$700,$A170,'تحليل التكلفة والسعر'!$C$2:$C$700,"&gt;0")),"🧩 لغز","🐶 كلب"))))</f>
        <v>بيانات غير كافية</v>
      </c>
    </row>
    <row r="171" customFormat="false" ht="15" hidden="false" customHeight="true" outlineLevel="0" collapsed="false">
      <c r="A171" s="11" t="s">
        <v>380</v>
      </c>
      <c r="B171" s="11" t="s">
        <v>550</v>
      </c>
      <c r="C171" s="13" t="n">
        <f aca="false">IFERROR(INDEX('تحليل التكلفة والسعر'!$D$2:$D$700,MATCH("صوص رانش إضافي (L)",'تحليل التكلفة والسعر'!$B$2:$B$700,0)),"")</f>
        <v>41.25</v>
      </c>
      <c r="D171" s="12" t="n">
        <f aca="false">IFERROR(INDEX('تحليل التكلفة والسعر'!$I$2:$I$700,MATCH("صوص رانش إضافي (L)",'تحليل التكلفة والسعر'!$B$2:$B$700,0)),"")</f>
        <v>0.595590303030303</v>
      </c>
      <c r="E171" s="49" t="n">
        <v>0</v>
      </c>
      <c r="F171" s="11" t="str">
        <f aca="false">IF(OR(NOT(INDEX('تحليل التكلفة والسعر'!$C$2:$C$700,MATCH("صوص رانش إضافي (L)",'تحليل التكلفة والسعر'!$B$2:$B$700,0))&gt;0),$E171=0),"بيانات غير كافية",IF(AND($E171&gt;=AVERAGEIFS($E$5:$E$175,$A$5:$A$175,$A171,$E$5:$E$175,"&gt;0"),INDEX('تحليل التكلفة والسعر'!$H$2:$H$700,MATCH("صوص رانش إضافي (L)",'تحليل التكلفة والسعر'!$B$2:$B$700,0))&gt;=AVERAGEIFS('تحليل التكلفة والسعر'!$H$2:$H$700,'تحليل التكلفة والسعر'!$A$2:$A$700,$A171,'تحليل التكلفة والسعر'!$C$2:$C$700,"&gt;0")),"⭐ نجم",IF(AND($E171&gt;=AVERAGEIFS($E$5:$E$175,$A$5:$A$175,$A171,$E$5:$E$175,"&gt;0"),INDEX('تحليل التكلفة والسعر'!$H$2:$H$700,MATCH("صوص رانش إضافي (L)",'تحليل التكلفة والسعر'!$B$2:$B$700,0))&lt;AVERAGEIFS('تحليل التكلفة والسعر'!$H$2:$H$700,'تحليل التكلفة والسعر'!$A$2:$A$700,$A171,'تحليل التكلفة والسعر'!$C$2:$C$700,"&gt;0")),"🐎 حصان عمل",IF(AND($E171&lt;AVERAGEIFS($E$5:$E$175,$A$5:$A$175,$A171,$E$5:$E$175,"&gt;0"),INDEX('تحليل التكلفة والسعر'!$H$2:$H$700,MATCH("صوص رانش إضافي (L)",'تحليل التكلفة والسعر'!$B$2:$B$700,0))&gt;=AVERAGEIFS('تحليل التكلفة والسعر'!$H$2:$H$700,'تحليل التكلفة والسعر'!$A$2:$A$700,$A171,'تحليل التكلفة والسعر'!$C$2:$C$700,"&gt;0")),"🧩 لغز","🐶 كلب"))))</f>
        <v>بيانات غير كافية</v>
      </c>
      <c r="G171" s="49" t="n">
        <v>0</v>
      </c>
      <c r="H171" s="11" t="str">
        <f aca="false">IF(OR(NOT(INDEX('تحليل التكلفة والسعر'!$C$2:$C$700,MATCH("صوص رانش إضافي (L)",'تحليل التكلفة والسعر'!$B$2:$B$700,0))&gt;0),$G171=0),"بيانات غير كافية",IF(AND($G171&gt;=AVERAGEIFS($G$5:$G$175,$A$5:$A$175,$A171,$G$5:$G$175,"&gt;0"),INDEX('تحليل التكلفة والسعر'!$H$2:$H$700,MATCH("صوص رانش إضافي (L)",'تحليل التكلفة والسعر'!$B$2:$B$700,0))&gt;=AVERAGEIFS('تحليل التكلفة والسعر'!$H$2:$H$700,'تحليل التكلفة والسعر'!$A$2:$A$700,$A171,'تحليل التكلفة والسعر'!$C$2:$C$700,"&gt;0")),"⭐ نجم",IF(AND($G171&gt;=AVERAGEIFS($G$5:$G$175,$A$5:$A$175,$A171,$G$5:$G$175,"&gt;0"),INDEX('تحليل التكلفة والسعر'!$H$2:$H$700,MATCH("صوص رانش إضافي (L)",'تحليل التكلفة والسعر'!$B$2:$B$700,0))&lt;AVERAGEIFS('تحليل التكلفة والسعر'!$H$2:$H$700,'تحليل التكلفة والسعر'!$A$2:$A$700,$A171,'تحليل التكلفة والسعر'!$C$2:$C$700,"&gt;0")),"🐎 حصان عمل",IF(AND($G171&lt;AVERAGEIFS($G$5:$G$175,$A$5:$A$175,$A171,$G$5:$G$175,"&gt;0"),INDEX('تحليل التكلفة والسعر'!$H$2:$H$700,MATCH("صوص رانش إضافي (L)",'تحليل التكلفة والسعر'!$B$2:$B$700,0))&gt;=AVERAGEIFS('تحليل التكلفة والسعر'!$H$2:$H$700,'تحليل التكلفة والسعر'!$A$2:$A$700,$A171,'تحليل التكلفة والسعر'!$C$2:$C$700,"&gt;0")),"🧩 لغز","🐶 كلب"))))</f>
        <v>بيانات غير كافية</v>
      </c>
    </row>
    <row r="172" customFormat="false" ht="15" hidden="false" customHeight="true" outlineLevel="0" collapsed="false">
      <c r="A172" s="11" t="s">
        <v>380</v>
      </c>
      <c r="B172" s="11" t="s">
        <v>429</v>
      </c>
      <c r="C172" s="13" t="n">
        <f aca="false">IFERROR(INDEX('تحليل التكلفة والسعر'!$D$2:$D$700,MATCH("صوص شيدر إضافي (M)",'تحليل التكلفة والسعر'!$B$2:$B$700,0)),"")</f>
        <v>33.93</v>
      </c>
      <c r="D172" s="12" t="n">
        <f aca="false">IFERROR(INDEX('تحليل التكلفة والسعر'!$I$2:$I$700,MATCH("صوص شيدر إضافي (M)",'تحليل التكلفة والسعر'!$B$2:$B$700,0)),"")</f>
        <v>0.559920424403183</v>
      </c>
      <c r="E172" s="49" t="n">
        <v>0</v>
      </c>
      <c r="F172" s="11" t="str">
        <f aca="false">IF(OR(NOT(INDEX('تحليل التكلفة والسعر'!$C$2:$C$700,MATCH("صوص شيدر إضافي (M)",'تحليل التكلفة والسعر'!$B$2:$B$700,0))&gt;0),$E172=0),"بيانات غير كافية",IF(AND($E172&gt;=AVERAGEIFS($E$5:$E$175,$A$5:$A$175,$A172,$E$5:$E$175,"&gt;0"),INDEX('تحليل التكلفة والسعر'!$H$2:$H$700,MATCH("صوص شيدر إضافي (M)",'تحليل التكلفة والسعر'!$B$2:$B$700,0))&gt;=AVERAGEIFS('تحليل التكلفة والسعر'!$H$2:$H$700,'تحليل التكلفة والسعر'!$A$2:$A$700,$A172,'تحليل التكلفة والسعر'!$C$2:$C$700,"&gt;0")),"⭐ نجم",IF(AND($E172&gt;=AVERAGEIFS($E$5:$E$175,$A$5:$A$175,$A172,$E$5:$E$175,"&gt;0"),INDEX('تحليل التكلفة والسعر'!$H$2:$H$700,MATCH("صوص شيدر إضافي (M)",'تحليل التكلفة والسعر'!$B$2:$B$700,0))&lt;AVERAGEIFS('تحليل التكلفة والسعر'!$H$2:$H$700,'تحليل التكلفة والسعر'!$A$2:$A$700,$A172,'تحليل التكلفة والسعر'!$C$2:$C$700,"&gt;0")),"🐎 حصان عمل",IF(AND($E172&lt;AVERAGEIFS($E$5:$E$175,$A$5:$A$175,$A172,$E$5:$E$175,"&gt;0"),INDEX('تحليل التكلفة والسعر'!$H$2:$H$700,MATCH("صوص شيدر إضافي (M)",'تحليل التكلفة والسعر'!$B$2:$B$700,0))&gt;=AVERAGEIFS('تحليل التكلفة والسعر'!$H$2:$H$700,'تحليل التكلفة والسعر'!$A$2:$A$700,$A172,'تحليل التكلفة والسعر'!$C$2:$C$700,"&gt;0")),"🧩 لغز","🐶 كلب"))))</f>
        <v>بيانات غير كافية</v>
      </c>
      <c r="G172" s="49" t="n">
        <v>0</v>
      </c>
      <c r="H172" s="11" t="str">
        <f aca="false">IF(OR(NOT(INDEX('تحليل التكلفة والسعر'!$C$2:$C$700,MATCH("صوص شيدر إضافي (M)",'تحليل التكلفة والسعر'!$B$2:$B$700,0))&gt;0),$G172=0),"بيانات غير كافية",IF(AND($G172&gt;=AVERAGEIFS($G$5:$G$175,$A$5:$A$175,$A172,$G$5:$G$175,"&gt;0"),INDEX('تحليل التكلفة والسعر'!$H$2:$H$700,MATCH("صوص شيدر إضافي (M)",'تحليل التكلفة والسعر'!$B$2:$B$700,0))&gt;=AVERAGEIFS('تحليل التكلفة والسعر'!$H$2:$H$700,'تحليل التكلفة والسعر'!$A$2:$A$700,$A172,'تحليل التكلفة والسعر'!$C$2:$C$700,"&gt;0")),"⭐ نجم",IF(AND($G172&gt;=AVERAGEIFS($G$5:$G$175,$A$5:$A$175,$A172,$G$5:$G$175,"&gt;0"),INDEX('تحليل التكلفة والسعر'!$H$2:$H$700,MATCH("صوص شيدر إضافي (M)",'تحليل التكلفة والسعر'!$B$2:$B$700,0))&lt;AVERAGEIFS('تحليل التكلفة والسعر'!$H$2:$H$700,'تحليل التكلفة والسعر'!$A$2:$A$700,$A172,'تحليل التكلفة والسعر'!$C$2:$C$700,"&gt;0")),"🐎 حصان عمل",IF(AND($G172&lt;AVERAGEIFS($G$5:$G$175,$A$5:$A$175,$A172,$G$5:$G$175,"&gt;0"),INDEX('تحليل التكلفة والسعر'!$H$2:$H$700,MATCH("صوص شيدر إضافي (M)",'تحليل التكلفة والسعر'!$B$2:$B$700,0))&gt;=AVERAGEIFS('تحليل التكلفة والسعر'!$H$2:$H$700,'تحليل التكلفة والسعر'!$A$2:$A$700,$A172,'تحليل التكلفة والسعر'!$C$2:$C$700,"&gt;0")),"🧩 لغز","🐶 كلب"))))</f>
        <v>بيانات غير كافية</v>
      </c>
    </row>
    <row r="173" customFormat="false" ht="15" hidden="false" customHeight="true" outlineLevel="0" collapsed="false">
      <c r="A173" s="11" t="s">
        <v>380</v>
      </c>
      <c r="B173" s="11" t="s">
        <v>430</v>
      </c>
      <c r="C173" s="13" t="n">
        <f aca="false">IFERROR(INDEX('تحليل التكلفة والسعر'!$D$2:$D$700,MATCH("صوص شيدر إضافي (L)",'تحليل التكلفة والسعر'!$B$2:$B$700,0)),"")</f>
        <v>48.57</v>
      </c>
      <c r="D173" s="12" t="n">
        <f aca="false">IFERROR(INDEX('تحليل التكلفة والسعر'!$I$2:$I$700,MATCH("صوص شيدر إضافي (L)",'تحليل التكلفة والسعر'!$B$2:$B$700,0)),"")</f>
        <v>0.548447601400041</v>
      </c>
      <c r="E173" s="49" t="n">
        <v>0</v>
      </c>
      <c r="F173" s="11" t="str">
        <f aca="false">IF(OR(NOT(INDEX('تحليل التكلفة والسعر'!$C$2:$C$700,MATCH("صوص شيدر إضافي (L)",'تحليل التكلفة والسعر'!$B$2:$B$700,0))&gt;0),$E173=0),"بيانات غير كافية",IF(AND($E173&gt;=AVERAGEIFS($E$5:$E$175,$A$5:$A$175,$A173,$E$5:$E$175,"&gt;0"),INDEX('تحليل التكلفة والسعر'!$H$2:$H$700,MATCH("صوص شيدر إضافي (L)",'تحليل التكلفة والسعر'!$B$2:$B$700,0))&gt;=AVERAGEIFS('تحليل التكلفة والسعر'!$H$2:$H$700,'تحليل التكلفة والسعر'!$A$2:$A$700,$A173,'تحليل التكلفة والسعر'!$C$2:$C$700,"&gt;0")),"⭐ نجم",IF(AND($E173&gt;=AVERAGEIFS($E$5:$E$175,$A$5:$A$175,$A173,$E$5:$E$175,"&gt;0"),INDEX('تحليل التكلفة والسعر'!$H$2:$H$700,MATCH("صوص شيدر إضافي (L)",'تحليل التكلفة والسعر'!$B$2:$B$700,0))&lt;AVERAGEIFS('تحليل التكلفة والسعر'!$H$2:$H$700,'تحليل التكلفة والسعر'!$A$2:$A$700,$A173,'تحليل التكلفة والسعر'!$C$2:$C$700,"&gt;0")),"🐎 حصان عمل",IF(AND($E173&lt;AVERAGEIFS($E$5:$E$175,$A$5:$A$175,$A173,$E$5:$E$175,"&gt;0"),INDEX('تحليل التكلفة والسعر'!$H$2:$H$700,MATCH("صوص شيدر إضافي (L)",'تحليل التكلفة والسعر'!$B$2:$B$700,0))&gt;=AVERAGEIFS('تحليل التكلفة والسعر'!$H$2:$H$700,'تحليل التكلفة والسعر'!$A$2:$A$700,$A173,'تحليل التكلفة والسعر'!$C$2:$C$700,"&gt;0")),"🧩 لغز","🐶 كلب"))))</f>
        <v>بيانات غير كافية</v>
      </c>
      <c r="G173" s="49" t="n">
        <v>0</v>
      </c>
      <c r="H173" s="11" t="str">
        <f aca="false">IF(OR(NOT(INDEX('تحليل التكلفة والسعر'!$C$2:$C$700,MATCH("صوص شيدر إضافي (L)",'تحليل التكلفة والسعر'!$B$2:$B$700,0))&gt;0),$G173=0),"بيانات غير كافية",IF(AND($G173&gt;=AVERAGEIFS($G$5:$G$175,$A$5:$A$175,$A173,$G$5:$G$175,"&gt;0"),INDEX('تحليل التكلفة والسعر'!$H$2:$H$700,MATCH("صوص شيدر إضافي (L)",'تحليل التكلفة والسعر'!$B$2:$B$700,0))&gt;=AVERAGEIFS('تحليل التكلفة والسعر'!$H$2:$H$700,'تحليل التكلفة والسعر'!$A$2:$A$700,$A173,'تحليل التكلفة والسعر'!$C$2:$C$700,"&gt;0")),"⭐ نجم",IF(AND($G173&gt;=AVERAGEIFS($G$5:$G$175,$A$5:$A$175,$A173,$G$5:$G$175,"&gt;0"),INDEX('تحليل التكلفة والسعر'!$H$2:$H$700,MATCH("صوص شيدر إضافي (L)",'تحليل التكلفة والسعر'!$B$2:$B$700,0))&lt;AVERAGEIFS('تحليل التكلفة والسعر'!$H$2:$H$700,'تحليل التكلفة والسعر'!$A$2:$A$700,$A173,'تحليل التكلفة والسعر'!$C$2:$C$700,"&gt;0")),"🐎 حصان عمل",IF(AND($G173&lt;AVERAGEIFS($G$5:$G$175,$A$5:$A$175,$A173,$G$5:$G$175,"&gt;0"),INDEX('تحليل التكلفة والسعر'!$H$2:$H$700,MATCH("صوص شيدر إضافي (L)",'تحليل التكلفة والسعر'!$B$2:$B$700,0))&gt;=AVERAGEIFS('تحليل التكلفة والسعر'!$H$2:$H$700,'تحليل التكلفة والسعر'!$A$2:$A$700,$A173,'تحليل التكلفة والسعر'!$C$2:$C$700,"&gt;0")),"🧩 لغز","🐶 كلب"))))</f>
        <v>بيانات غير كافية</v>
      </c>
    </row>
    <row r="174" customFormat="false" ht="15" hidden="false" customHeight="true" outlineLevel="0" collapsed="false">
      <c r="A174" s="11" t="s">
        <v>380</v>
      </c>
      <c r="B174" s="11" t="s">
        <v>457</v>
      </c>
      <c r="C174" s="13" t="n">
        <f aca="false">IFERROR(INDEX('تحليل التكلفة والسعر'!$D$2:$D$700,MATCH("صوص باربيكيو إضافي (M)",'تحليل التكلفة والسعر'!$B$2:$B$700,0)),"")</f>
        <v>34.5</v>
      </c>
      <c r="D174" s="12" t="n">
        <f aca="false">IFERROR(INDEX('تحليل التكلفة والسعر'!$I$2:$I$700,MATCH("صوص باربيكيو إضافي (M)",'تحليل التكلفة والسعر'!$B$2:$B$700,0)),"")</f>
        <v>0.770089855072464</v>
      </c>
      <c r="E174" s="49" t="n">
        <v>0</v>
      </c>
      <c r="F174" s="11" t="str">
        <f aca="false">IF(OR(NOT(INDEX('تحليل التكلفة والسعر'!$C$2:$C$700,MATCH("صوص باربيكيو إضافي (M)",'تحليل التكلفة والسعر'!$B$2:$B$700,0))&gt;0),$E174=0),"بيانات غير كافية",IF(AND($E174&gt;=AVERAGEIFS($E$5:$E$175,$A$5:$A$175,$A174,$E$5:$E$175,"&gt;0"),INDEX('تحليل التكلفة والسعر'!$H$2:$H$700,MATCH("صوص باربيكيو إضافي (M)",'تحليل التكلفة والسعر'!$B$2:$B$700,0))&gt;=AVERAGEIFS('تحليل التكلفة والسعر'!$H$2:$H$700,'تحليل التكلفة والسعر'!$A$2:$A$700,$A174,'تحليل التكلفة والسعر'!$C$2:$C$700,"&gt;0")),"⭐ نجم",IF(AND($E174&gt;=AVERAGEIFS($E$5:$E$175,$A$5:$A$175,$A174,$E$5:$E$175,"&gt;0"),INDEX('تحليل التكلفة والسعر'!$H$2:$H$700,MATCH("صوص باربيكيو إضافي (M)",'تحليل التكلفة والسعر'!$B$2:$B$700,0))&lt;AVERAGEIFS('تحليل التكلفة والسعر'!$H$2:$H$700,'تحليل التكلفة والسعر'!$A$2:$A$700,$A174,'تحليل التكلفة والسعر'!$C$2:$C$700,"&gt;0")),"🐎 حصان عمل",IF(AND($E174&lt;AVERAGEIFS($E$5:$E$175,$A$5:$A$175,$A174,$E$5:$E$175,"&gt;0"),INDEX('تحليل التكلفة والسعر'!$H$2:$H$700,MATCH("صوص باربيكيو إضافي (M)",'تحليل التكلفة والسعر'!$B$2:$B$700,0))&gt;=AVERAGEIFS('تحليل التكلفة والسعر'!$H$2:$H$700,'تحليل التكلفة والسعر'!$A$2:$A$700,$A174,'تحليل التكلفة والسعر'!$C$2:$C$700,"&gt;0")),"🧩 لغز","🐶 كلب"))))</f>
        <v>بيانات غير كافية</v>
      </c>
      <c r="G174" s="49" t="n">
        <v>0</v>
      </c>
      <c r="H174" s="11" t="str">
        <f aca="false">IF(OR(NOT(INDEX('تحليل التكلفة والسعر'!$C$2:$C$700,MATCH("صوص باربيكيو إضافي (M)",'تحليل التكلفة والسعر'!$B$2:$B$700,0))&gt;0),$G174=0),"بيانات غير كافية",IF(AND($G174&gt;=AVERAGEIFS($G$5:$G$175,$A$5:$A$175,$A174,$G$5:$G$175,"&gt;0"),INDEX('تحليل التكلفة والسعر'!$H$2:$H$700,MATCH("صوص باربيكيو إضافي (M)",'تحليل التكلفة والسعر'!$B$2:$B$700,0))&gt;=AVERAGEIFS('تحليل التكلفة والسعر'!$H$2:$H$700,'تحليل التكلفة والسعر'!$A$2:$A$700,$A174,'تحليل التكلفة والسعر'!$C$2:$C$700,"&gt;0")),"⭐ نجم",IF(AND($G174&gt;=AVERAGEIFS($G$5:$G$175,$A$5:$A$175,$A174,$G$5:$G$175,"&gt;0"),INDEX('تحليل التكلفة والسعر'!$H$2:$H$700,MATCH("صوص باربيكيو إضافي (M)",'تحليل التكلفة والسعر'!$B$2:$B$700,0))&lt;AVERAGEIFS('تحليل التكلفة والسعر'!$H$2:$H$700,'تحليل التكلفة والسعر'!$A$2:$A$700,$A174,'تحليل التكلفة والسعر'!$C$2:$C$700,"&gt;0")),"🐎 حصان عمل",IF(AND($G174&lt;AVERAGEIFS($G$5:$G$175,$A$5:$A$175,$A174,$G$5:$G$175,"&gt;0"),INDEX('تحليل التكلفة والسعر'!$H$2:$H$700,MATCH("صوص باربيكيو إضافي (M)",'تحليل التكلفة والسعر'!$B$2:$B$700,0))&gt;=AVERAGEIFS('تحليل التكلفة والسعر'!$H$2:$H$700,'تحليل التكلفة والسعر'!$A$2:$A$700,$A174,'تحليل التكلفة والسعر'!$C$2:$C$700,"&gt;0")),"🧩 لغز","🐶 كلب"))))</f>
        <v>بيانات غير كافية</v>
      </c>
    </row>
    <row r="175" customFormat="false" ht="15" hidden="false" customHeight="true" outlineLevel="0" collapsed="false">
      <c r="A175" s="11" t="s">
        <v>380</v>
      </c>
      <c r="B175" s="11" t="s">
        <v>458</v>
      </c>
      <c r="C175" s="13" t="n">
        <f aca="false">IFERROR(INDEX('تحليل التكلفة والسعر'!$D$2:$D$700,MATCH("صوص باربيكيو إضافي (L)",'تحليل التكلفة والسعر'!$B$2:$B$700,0)),"")</f>
        <v>40</v>
      </c>
      <c r="D175" s="12" t="n">
        <f aca="false">IFERROR(INDEX('تحليل التكلفة والسعر'!$I$2:$I$700,MATCH("صوص باربيكيو إضافي (L)",'تحليل التكلفة والسعر'!$B$2:$B$700,0)),"")</f>
        <v>0.7142025</v>
      </c>
      <c r="E175" s="49" t="n">
        <v>0</v>
      </c>
      <c r="F175" s="11" t="str">
        <f aca="false">IF(OR(NOT(INDEX('تحليل التكلفة والسعر'!$C$2:$C$700,MATCH("صوص باربيكيو إضافي (L)",'تحليل التكلفة والسعر'!$B$2:$B$700,0))&gt;0),$E175=0),"بيانات غير كافية",IF(AND($E175&gt;=AVERAGEIFS($E$5:$E$175,$A$5:$A$175,$A175,$E$5:$E$175,"&gt;0"),INDEX('تحليل التكلفة والسعر'!$H$2:$H$700,MATCH("صوص باربيكيو إضافي (L)",'تحليل التكلفة والسعر'!$B$2:$B$700,0))&gt;=AVERAGEIFS('تحليل التكلفة والسعر'!$H$2:$H$700,'تحليل التكلفة والسعر'!$A$2:$A$700,$A175,'تحليل التكلفة والسعر'!$C$2:$C$700,"&gt;0")),"⭐ نجم",IF(AND($E175&gt;=AVERAGEIFS($E$5:$E$175,$A$5:$A$175,$A175,$E$5:$E$175,"&gt;0"),INDEX('تحليل التكلفة والسعر'!$H$2:$H$700,MATCH("صوص باربيكيو إضافي (L)",'تحليل التكلفة والسعر'!$B$2:$B$700,0))&lt;AVERAGEIFS('تحليل التكلفة والسعر'!$H$2:$H$700,'تحليل التكلفة والسعر'!$A$2:$A$700,$A175,'تحليل التكلفة والسعر'!$C$2:$C$700,"&gt;0")),"🐎 حصان عمل",IF(AND($E175&lt;AVERAGEIFS($E$5:$E$175,$A$5:$A$175,$A175,$E$5:$E$175,"&gt;0"),INDEX('تحليل التكلفة والسعر'!$H$2:$H$700,MATCH("صوص باربيكيو إضافي (L)",'تحليل التكلفة والسعر'!$B$2:$B$700,0))&gt;=AVERAGEIFS('تحليل التكلفة والسعر'!$H$2:$H$700,'تحليل التكلفة والسعر'!$A$2:$A$700,$A175,'تحليل التكلفة والسعر'!$C$2:$C$700,"&gt;0")),"🧩 لغز","🐶 كلب"))))</f>
        <v>بيانات غير كافية</v>
      </c>
      <c r="G175" s="49" t="n">
        <v>0</v>
      </c>
      <c r="H175" s="11" t="str">
        <f aca="false">IF(OR(NOT(INDEX('تحليل التكلفة والسعر'!$C$2:$C$700,MATCH("صوص باربيكيو إضافي (L)",'تحليل التكلفة والسعر'!$B$2:$B$700,0))&gt;0),$G175=0),"بيانات غير كافية",IF(AND($G175&gt;=AVERAGEIFS($G$5:$G$175,$A$5:$A$175,$A175,$G$5:$G$175,"&gt;0"),INDEX('تحليل التكلفة والسعر'!$H$2:$H$700,MATCH("صوص باربيكيو إضافي (L)",'تحليل التكلفة والسعر'!$B$2:$B$700,0))&gt;=AVERAGEIFS('تحليل التكلفة والسعر'!$H$2:$H$700,'تحليل التكلفة والسعر'!$A$2:$A$700,$A175,'تحليل التكلفة والسعر'!$C$2:$C$700,"&gt;0")),"⭐ نجم",IF(AND($G175&gt;=AVERAGEIFS($G$5:$G$175,$A$5:$A$175,$A175,$G$5:$G$175,"&gt;0"),INDEX('تحليل التكلفة والسعر'!$H$2:$H$700,MATCH("صوص باربيكيو إضافي (L)",'تحليل التكلفة والسعر'!$B$2:$B$700,0))&lt;AVERAGEIFS('تحليل التكلفة والسعر'!$H$2:$H$700,'تحليل التكلفة والسعر'!$A$2:$A$700,$A175,'تحليل التكلفة والسعر'!$C$2:$C$700,"&gt;0")),"🐎 حصان عمل",IF(AND($G175&lt;AVERAGEIFS($G$5:$G$175,$A$5:$A$175,$A175,$G$5:$G$175,"&gt;0"),INDEX('تحليل التكلفة والسعر'!$H$2:$H$700,MATCH("صوص باربيكيو إضافي (L)",'تحليل التكلفة والسعر'!$B$2:$B$700,0))&gt;=AVERAGEIFS('تحليل التكلفة والسعر'!$H$2:$H$700,'تحليل التكلفة والسعر'!$A$2:$A$700,$A175,'تحليل التكلفة والسعر'!$C$2:$C$700,"&gt;0")),"🧩 لغز","🐶 كلب"))))</f>
        <v>بيانات غير كافية</v>
      </c>
    </row>
  </sheetData>
  <mergeCells count="2">
    <mergeCell ref="A1:H1"/>
    <mergeCell ref="A2:H2"/>
  </mergeCells>
  <conditionalFormatting sqref="F5:F175">
    <cfRule type="expression" priority="2" aboveAverage="0" equalAverage="0" bottom="0" percent="0" rank="0" text="" dxfId="8">
      <formula>F5="⭐ نجم"</formula>
    </cfRule>
    <cfRule type="expression" priority="3" aboveAverage="0" equalAverage="0" bottom="0" percent="0" rank="0" text="" dxfId="9">
      <formula>F5="🐎 حصان عمل"</formula>
    </cfRule>
    <cfRule type="expression" priority="4" aboveAverage="0" equalAverage="0" bottom="0" percent="0" rank="0" text="" dxfId="14">
      <formula>F5="🧩 لغز"</formula>
    </cfRule>
    <cfRule type="expression" priority="5" aboveAverage="0" equalAverage="0" bottom="0" percent="0" rank="0" text="" dxfId="10">
      <formula>F5="🐶 كلب"</formula>
    </cfRule>
  </conditionalFormatting>
  <conditionalFormatting sqref="H5:H175">
    <cfRule type="expression" priority="6" aboveAverage="0" equalAverage="0" bottom="0" percent="0" rank="0" text="" dxfId="8">
      <formula>H5="⭐ نجم"</formula>
    </cfRule>
    <cfRule type="expression" priority="7" aboveAverage="0" equalAverage="0" bottom="0" percent="0" rank="0" text="" dxfId="9">
      <formula>H5="🐎 حصان عمل"</formula>
    </cfRule>
    <cfRule type="expression" priority="8" aboveAverage="0" equalAverage="0" bottom="0" percent="0" rank="0" text="" dxfId="14">
      <formula>H5="🧩 لغز"</formula>
    </cfRule>
    <cfRule type="expression" priority="9" aboveAverage="0" equalAverage="0" bottom="0" percent="0" rank="0" text="" dxfId="10">
      <formula>H5="🐶 كلب"</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16"/>
    <col collapsed="false" customWidth="true" hidden="false" outlineLevel="0" max="4" min="4" style="1" width="20"/>
    <col collapsed="false" customWidth="true" hidden="false" outlineLevel="0" max="5" min="5" style="1" width="40"/>
  </cols>
  <sheetData>
    <row r="1" customFormat="false" ht="25.5" hidden="false" customHeight="true" outlineLevel="0" collapsed="false">
      <c r="A1" s="80" t="s">
        <v>618</v>
      </c>
      <c r="B1" s="80"/>
      <c r="C1" s="80"/>
      <c r="D1" s="80"/>
      <c r="E1" s="80"/>
    </row>
    <row r="2" customFormat="false" ht="33.75" hidden="false" customHeight="true" outlineLevel="0" collapsed="false">
      <c r="A2" s="14" t="s">
        <v>619</v>
      </c>
      <c r="B2" s="14"/>
      <c r="C2" s="14"/>
      <c r="D2" s="14"/>
      <c r="E2" s="14"/>
    </row>
    <row r="4" customFormat="false" ht="24" hidden="false" customHeight="true" outlineLevel="0" collapsed="false">
      <c r="A4" s="10" t="s">
        <v>620</v>
      </c>
      <c r="B4" s="10" t="s">
        <v>551</v>
      </c>
      <c r="C4" s="10" t="s">
        <v>621</v>
      </c>
      <c r="D4" s="10" t="s">
        <v>622</v>
      </c>
      <c r="E4" s="10" t="s">
        <v>119</v>
      </c>
    </row>
    <row r="5" customFormat="false" ht="15" hidden="false" customHeight="true" outlineLevel="0" collapsed="false">
      <c r="A5" s="46" t="s">
        <v>131</v>
      </c>
      <c r="B5" s="46" t="s">
        <v>623</v>
      </c>
      <c r="C5" s="46" t="n">
        <v>5</v>
      </c>
      <c r="D5" s="83" t="n">
        <v>360</v>
      </c>
      <c r="E5" s="84"/>
    </row>
    <row r="6" customFormat="false" ht="15" hidden="false" customHeight="true" outlineLevel="0" collapsed="false">
      <c r="A6" s="46" t="s">
        <v>230</v>
      </c>
      <c r="B6" s="46" t="s">
        <v>623</v>
      </c>
      <c r="C6" s="46" t="n">
        <v>6</v>
      </c>
      <c r="D6" s="83" t="n">
        <v>42.6</v>
      </c>
      <c r="E6" s="84"/>
    </row>
    <row r="7" customFormat="false" ht="15" hidden="false" customHeight="true" outlineLevel="0" collapsed="false">
      <c r="A7" s="46" t="s">
        <v>303</v>
      </c>
      <c r="B7" s="46" t="s">
        <v>623</v>
      </c>
      <c r="C7" s="46" t="n">
        <v>9</v>
      </c>
      <c r="D7" s="83" t="n">
        <v>45</v>
      </c>
      <c r="E7" s="84"/>
    </row>
    <row r="8" customFormat="false" ht="15" hidden="false" customHeight="true" outlineLevel="0" collapsed="false">
      <c r="A8" s="46" t="s">
        <v>305</v>
      </c>
      <c r="B8" s="46" t="s">
        <v>623</v>
      </c>
      <c r="C8" s="46" t="n">
        <v>2</v>
      </c>
      <c r="D8" s="83" t="n">
        <v>50</v>
      </c>
      <c r="E8" s="84"/>
    </row>
    <row r="9" customFormat="false" ht="15" hidden="false" customHeight="true" outlineLevel="0" collapsed="false">
      <c r="A9" s="46" t="s">
        <v>311</v>
      </c>
      <c r="B9" s="46" t="s">
        <v>623</v>
      </c>
      <c r="C9" s="46" t="n">
        <v>1</v>
      </c>
      <c r="D9" s="83" t="n">
        <v>25</v>
      </c>
      <c r="E9" s="84"/>
    </row>
    <row r="10" customFormat="false" ht="15" hidden="false" customHeight="true" outlineLevel="0" collapsed="false">
      <c r="A10" s="46" t="s">
        <v>248</v>
      </c>
      <c r="B10" s="46" t="s">
        <v>623</v>
      </c>
      <c r="C10" s="46" t="n">
        <v>65</v>
      </c>
      <c r="D10" s="83" t="n">
        <v>880</v>
      </c>
      <c r="E10" s="84"/>
    </row>
    <row r="11" customFormat="false" ht="15" hidden="false" customHeight="true" outlineLevel="0" collapsed="false">
      <c r="A11" s="46" t="s">
        <v>315</v>
      </c>
      <c r="B11" s="46" t="s">
        <v>623</v>
      </c>
      <c r="C11" s="46" t="n">
        <v>69</v>
      </c>
      <c r="D11" s="83" t="n">
        <v>621</v>
      </c>
      <c r="E11" s="84"/>
    </row>
    <row r="12" customFormat="false" ht="15" hidden="false" customHeight="true" outlineLevel="0" collapsed="false">
      <c r="A12" s="46" t="s">
        <v>286</v>
      </c>
      <c r="B12" s="46" t="s">
        <v>623</v>
      </c>
      <c r="C12" s="46" t="n">
        <v>2</v>
      </c>
      <c r="D12" s="83" t="n">
        <v>20</v>
      </c>
      <c r="E12" s="84"/>
    </row>
    <row r="13" customFormat="false" ht="15" hidden="false" customHeight="true" outlineLevel="0" collapsed="false">
      <c r="A13" s="46" t="s">
        <v>216</v>
      </c>
      <c r="B13" s="46" t="s">
        <v>624</v>
      </c>
      <c r="C13" s="46" t="n">
        <v>3</v>
      </c>
      <c r="D13" s="83" t="n">
        <v>45</v>
      </c>
      <c r="E13" s="84"/>
    </row>
    <row r="14" customFormat="false" ht="15" hidden="false" customHeight="true" outlineLevel="0" collapsed="false">
      <c r="A14" s="46" t="s">
        <v>272</v>
      </c>
      <c r="B14" s="46" t="s">
        <v>625</v>
      </c>
      <c r="C14" s="46" t="n">
        <v>200</v>
      </c>
      <c r="D14" s="83" t="n">
        <v>100</v>
      </c>
      <c r="E14" s="84"/>
    </row>
    <row r="15" customFormat="false" ht="15" hidden="false" customHeight="true" outlineLevel="0" collapsed="false">
      <c r="A15" s="46" t="s">
        <v>195</v>
      </c>
      <c r="B15" s="46" t="s">
        <v>626</v>
      </c>
      <c r="C15" s="46" t="n">
        <v>40</v>
      </c>
      <c r="D15" s="83" t="n">
        <v>1200</v>
      </c>
      <c r="E15" s="84"/>
    </row>
    <row r="16" customFormat="false" ht="15" hidden="false" customHeight="true" outlineLevel="0" collapsed="false">
      <c r="A16" s="46" t="s">
        <v>138</v>
      </c>
      <c r="B16" s="46" t="s">
        <v>626</v>
      </c>
      <c r="C16" s="46" t="n">
        <v>4</v>
      </c>
      <c r="D16" s="83" t="n">
        <v>240</v>
      </c>
      <c r="E16" s="84"/>
    </row>
    <row r="18" customFormat="false" ht="15" hidden="false" customHeight="true" outlineLevel="0" collapsed="false">
      <c r="A18" s="85" t="s">
        <v>627</v>
      </c>
      <c r="B18" s="85"/>
      <c r="C18" s="85"/>
      <c r="D18" s="86" t="n">
        <f aca="false">SUM(D5:D16)</f>
        <v>3628.6</v>
      </c>
    </row>
  </sheetData>
  <mergeCells count="3">
    <mergeCell ref="A1:E1"/>
    <mergeCell ref="A2:E2"/>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4" min="3" style="1" width="18"/>
    <col collapsed="false" customWidth="true" hidden="false" outlineLevel="0" max="5" min="5" style="1" width="22"/>
    <col collapsed="false" customWidth="true" hidden="false" outlineLevel="0" max="6" min="6" style="1" width="20"/>
    <col collapsed="false" customWidth="true" hidden="false" outlineLevel="0" max="7" min="7" style="1" width="18"/>
    <col collapsed="false" customWidth="true" hidden="false" outlineLevel="0" max="8" min="8" style="1" width="24"/>
    <col collapsed="false" customWidth="true" hidden="false" outlineLevel="0" max="9" min="9" style="1" width="20"/>
  </cols>
  <sheetData>
    <row r="1" customFormat="false" ht="25.5" hidden="false" customHeight="true" outlineLevel="0" collapsed="false">
      <c r="A1" s="80" t="s">
        <v>628</v>
      </c>
      <c r="B1" s="80"/>
      <c r="C1" s="80"/>
      <c r="D1" s="80"/>
      <c r="E1" s="80"/>
      <c r="F1" s="80"/>
      <c r="G1" s="80"/>
      <c r="H1" s="80"/>
      <c r="I1" s="80"/>
    </row>
    <row r="2" customFormat="false" ht="33.75" hidden="false" customHeight="true" outlineLevel="0" collapsed="false">
      <c r="A2" s="14" t="s">
        <v>629</v>
      </c>
      <c r="B2" s="14"/>
      <c r="C2" s="14"/>
      <c r="D2" s="14"/>
      <c r="E2" s="14"/>
      <c r="F2" s="14"/>
      <c r="G2" s="14"/>
      <c r="H2" s="14"/>
      <c r="I2" s="14"/>
    </row>
    <row r="4" customFormat="false" ht="39.75" hidden="false" customHeight="true" outlineLevel="0" collapsed="false">
      <c r="A4" s="10" t="s">
        <v>605</v>
      </c>
      <c r="B4" s="10" t="s">
        <v>630</v>
      </c>
      <c r="C4" s="10" t="s">
        <v>631</v>
      </c>
      <c r="D4" s="10" t="s">
        <v>632</v>
      </c>
      <c r="E4" s="10" t="s">
        <v>633</v>
      </c>
      <c r="F4" s="10" t="s">
        <v>634</v>
      </c>
      <c r="G4" s="10" t="s">
        <v>635</v>
      </c>
      <c r="H4" s="10" t="s">
        <v>636</v>
      </c>
      <c r="I4" s="10" t="s">
        <v>637</v>
      </c>
    </row>
    <row r="5" customFormat="false" ht="15" hidden="false" customHeight="true" outlineLevel="0" collapsed="false">
      <c r="A5" s="49" t="s">
        <v>32</v>
      </c>
      <c r="B5" s="83" t="n">
        <v>0</v>
      </c>
      <c r="C5" s="87" t="n">
        <f aca="false">'لوحة التحكم'!$B$4</f>
        <v>0.467176643087999</v>
      </c>
      <c r="D5" s="88" t="n">
        <v>0.25</v>
      </c>
      <c r="E5" s="71" t="n">
        <f aca="false">'المصروفات غير المباشرة'!$D$18</f>
        <v>3628.6</v>
      </c>
      <c r="F5" s="12" t="n">
        <f aca="false">IFERROR($C5+$D5,"")</f>
        <v>0.717176643087999</v>
      </c>
      <c r="G5" s="13" t="n">
        <f aca="false">IFERROR($B5*(1-$F5)-$E5,"")</f>
        <v>-3628.6</v>
      </c>
      <c r="H5" s="89" t="n">
        <v>174165.05</v>
      </c>
      <c r="I5" s="89" t="n">
        <v>73523.47769</v>
      </c>
    </row>
    <row r="6" customFormat="false" ht="15" hidden="false" customHeight="true" outlineLevel="0" collapsed="false">
      <c r="A6" s="49" t="s">
        <v>33</v>
      </c>
      <c r="B6" s="83" t="n">
        <v>0</v>
      </c>
      <c r="C6" s="88" t="n">
        <f aca="false">$C$5</f>
        <v>0.467176643087999</v>
      </c>
      <c r="D6" s="88" t="n">
        <v>0.25</v>
      </c>
      <c r="E6" s="83" t="n">
        <v>0</v>
      </c>
      <c r="F6" s="12" t="n">
        <f aca="false">IFERROR($C6+$D6,"")</f>
        <v>0.717176643087999</v>
      </c>
      <c r="G6" s="13" t="n">
        <f aca="false">IFERROR($B6*(1-$F6)-$E6,"")</f>
        <v>0</v>
      </c>
      <c r="H6" s="89" t="n">
        <v>146929.8</v>
      </c>
      <c r="I6" s="89" t="n">
        <v>102711.42974</v>
      </c>
    </row>
    <row r="7" customFormat="false" ht="15" hidden="false" customHeight="true" outlineLevel="0" collapsed="false">
      <c r="A7" s="49" t="s">
        <v>34</v>
      </c>
      <c r="B7" s="83" t="n">
        <v>0</v>
      </c>
      <c r="C7" s="88" t="n">
        <f aca="false">$C$5</f>
        <v>0.467176643087999</v>
      </c>
      <c r="D7" s="88" t="n">
        <v>0.25</v>
      </c>
      <c r="E7" s="83" t="n">
        <v>0</v>
      </c>
      <c r="F7" s="12" t="n">
        <f aca="false">IFERROR($C7+$D7,"")</f>
        <v>0.717176643087999</v>
      </c>
      <c r="G7" s="13" t="n">
        <f aca="false">IFERROR($B7*(1-$F7)-$E7,"")</f>
        <v>0</v>
      </c>
      <c r="H7" s="89" t="n">
        <v>167070.68</v>
      </c>
      <c r="I7" s="89" t="n">
        <v>98851.93574</v>
      </c>
    </row>
    <row r="8" customFormat="false" ht="15" hidden="false" customHeight="true" outlineLevel="0" collapsed="false">
      <c r="A8" s="49" t="s">
        <v>638</v>
      </c>
      <c r="B8" s="83" t="n">
        <v>0</v>
      </c>
      <c r="C8" s="88" t="n">
        <f aca="false">$C$5</f>
        <v>0.467176643087999</v>
      </c>
      <c r="D8" s="88" t="n">
        <v>0.25</v>
      </c>
      <c r="E8" s="83" t="n">
        <v>0</v>
      </c>
      <c r="F8" s="12" t="n">
        <f aca="false">IFERROR($C8+$D8,"")</f>
        <v>0.717176643087999</v>
      </c>
      <c r="G8" s="13" t="n">
        <f aca="false">IFERROR($B8*(1-$F8)-$E8,"")</f>
        <v>0</v>
      </c>
      <c r="H8" s="50" t="n">
        <v>0</v>
      </c>
      <c r="I8" s="50" t="n">
        <v>0</v>
      </c>
    </row>
    <row r="10" customFormat="false" ht="11.25" hidden="false" customHeight="true" outlineLevel="0" collapsed="false">
      <c r="A10" s="14" t="s">
        <v>639</v>
      </c>
      <c r="B10" s="14"/>
      <c r="C10" s="14"/>
      <c r="D10" s="14"/>
      <c r="E10" s="14"/>
      <c r="F10" s="14"/>
      <c r="G10" s="14"/>
      <c r="H10" s="14"/>
      <c r="I10" s="14"/>
    </row>
  </sheetData>
  <mergeCells count="3">
    <mergeCell ref="A1:I1"/>
    <mergeCell ref="A2:I2"/>
    <mergeCell ref="A10:I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2"/>
    <col collapsed="false" customWidth="true" hidden="false" outlineLevel="0" max="3" min="3" style="1" width="30"/>
  </cols>
  <sheetData>
    <row r="1" customFormat="false" ht="25.5" hidden="false" customHeight="true" outlineLevel="0" collapsed="false">
      <c r="A1" s="80" t="s">
        <v>640</v>
      </c>
      <c r="B1" s="80"/>
      <c r="C1" s="80"/>
    </row>
    <row r="2" customFormat="false" ht="24" hidden="false" customHeight="true" outlineLevel="0" collapsed="false">
      <c r="A2" s="14" t="s">
        <v>641</v>
      </c>
      <c r="B2" s="14"/>
      <c r="C2" s="14"/>
    </row>
    <row r="4" customFormat="false" ht="24" hidden="false" customHeight="true" outlineLevel="0" collapsed="false">
      <c r="A4" s="10" t="s">
        <v>620</v>
      </c>
      <c r="B4" s="10"/>
      <c r="C4" s="10"/>
    </row>
    <row r="5" customFormat="false" ht="15" hidden="false" customHeight="true" outlineLevel="0" collapsed="false">
      <c r="A5" s="11" t="s">
        <v>642</v>
      </c>
      <c r="B5" s="83" t="n">
        <v>0</v>
      </c>
      <c r="C5" s="90" t="str">
        <f aca="false">IFERROR($B5/$B$5,"")</f>
        <v/>
      </c>
    </row>
    <row r="6" customFormat="false" ht="15" hidden="false" customHeight="true" outlineLevel="0" collapsed="false">
      <c r="A6" s="11" t="s">
        <v>643</v>
      </c>
      <c r="B6" s="13" t="n">
        <f aca="false">IFERROR($B$5*'لوحة التحكم'!$B$4,"")</f>
        <v>0</v>
      </c>
      <c r="C6" s="90" t="str">
        <f aca="false">IFERROR($B6/$B$5,"")</f>
        <v/>
      </c>
    </row>
    <row r="7" customFormat="false" ht="15" hidden="false" customHeight="true" outlineLevel="0" collapsed="false">
      <c r="A7" s="11" t="s">
        <v>644</v>
      </c>
      <c r="B7" s="13" t="n">
        <f aca="false">IFERROR($B$5-$B$6,"")</f>
        <v>0</v>
      </c>
      <c r="C7" s="90" t="str">
        <f aca="false">IFERROR($B7/$B$5,"")</f>
        <v/>
      </c>
    </row>
    <row r="8" customFormat="false" ht="15" hidden="false" customHeight="true" outlineLevel="0" collapsed="false">
      <c r="A8" s="11" t="s">
        <v>645</v>
      </c>
      <c r="B8" s="13" t="n">
        <f aca="false">IFERROR($B$5*'مقارنة الفروع'!$D$5,"")</f>
        <v>0</v>
      </c>
      <c r="C8" s="90" t="str">
        <f aca="false">IFERROR($B8/$B$5,"")</f>
        <v/>
      </c>
    </row>
    <row r="9" customFormat="false" ht="15" hidden="false" customHeight="true" outlineLevel="0" collapsed="false">
      <c r="A9" s="11" t="s">
        <v>646</v>
      </c>
      <c r="B9" s="13" t="n">
        <f aca="false">'المصروفات غير المباشرة'!$D$18</f>
        <v>3628.6</v>
      </c>
      <c r="C9" s="90" t="str">
        <f aca="false">IFERROR($B9/$B$5,"")</f>
        <v/>
      </c>
    </row>
    <row r="10" customFormat="false" ht="15" hidden="false" customHeight="true" outlineLevel="0" collapsed="false">
      <c r="A10" s="11" t="s">
        <v>647</v>
      </c>
      <c r="B10" s="83" t="n">
        <v>0</v>
      </c>
      <c r="C10" s="90" t="str">
        <f aca="false">IFERROR($B10/$B$5,"")</f>
        <v/>
      </c>
    </row>
    <row r="11" customFormat="false" ht="15" hidden="false" customHeight="true" outlineLevel="0" collapsed="false">
      <c r="A11" s="11" t="s">
        <v>648</v>
      </c>
      <c r="B11" s="83" t="n">
        <v>0</v>
      </c>
      <c r="C11" s="90" t="str">
        <f aca="false">IFERROR($B11/$B$5,"")</f>
        <v/>
      </c>
    </row>
    <row r="12" customFormat="false" ht="15" hidden="false" customHeight="true" outlineLevel="0" collapsed="false">
      <c r="A12" s="11" t="s">
        <v>649</v>
      </c>
      <c r="B12" s="13" t="n">
        <f aca="false">IFERROR($B$5-$B$6-$B$8-$B$9-$B$10-$B$11,"")</f>
        <v>-3628.6</v>
      </c>
      <c r="C12" s="90" t="str">
        <f aca="false">IFERROR($B12/$B$5,"")</f>
        <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2"/>
    <col collapsed="false" customWidth="true" hidden="false" outlineLevel="0" max="3" min="3" style="1" width="40"/>
  </cols>
  <sheetData>
    <row r="1" customFormat="false" ht="25.5" hidden="false" customHeight="true" outlineLevel="0" collapsed="false">
      <c r="A1" s="80" t="s">
        <v>650</v>
      </c>
      <c r="B1" s="80"/>
      <c r="C1" s="80"/>
    </row>
    <row r="2" customFormat="false" ht="30" hidden="false" customHeight="true" outlineLevel="0" collapsed="false">
      <c r="A2" s="14" t="s">
        <v>651</v>
      </c>
      <c r="B2" s="14"/>
      <c r="C2" s="14"/>
    </row>
    <row r="4" customFormat="false" ht="24" hidden="false" customHeight="true" outlineLevel="0" collapsed="false">
      <c r="A4" s="10" t="s">
        <v>620</v>
      </c>
      <c r="B4" s="10"/>
    </row>
    <row r="5" customFormat="false" ht="15" hidden="false" customHeight="true" outlineLevel="0" collapsed="false">
      <c r="A5" s="11" t="s">
        <v>652</v>
      </c>
      <c r="B5" s="13" t="n">
        <f aca="false">'قائمة الدخل الشهرية'!$B$10</f>
        <v>0</v>
      </c>
    </row>
    <row r="6" customFormat="false" ht="15" hidden="false" customHeight="true" outlineLevel="0" collapsed="false">
      <c r="A6" s="11" t="s">
        <v>653</v>
      </c>
      <c r="B6" s="13" t="n">
        <f aca="false">'المصروفات غير المباشرة'!$D$18</f>
        <v>3628.6</v>
      </c>
    </row>
    <row r="7" customFormat="false" ht="15" hidden="false" customHeight="true" outlineLevel="0" collapsed="false">
      <c r="A7" s="11" t="s">
        <v>654</v>
      </c>
      <c r="B7" s="13" t="n">
        <f aca="false">'قائمة الدخل الشهرية'!$B$11</f>
        <v>0</v>
      </c>
    </row>
    <row r="8" customFormat="false" ht="15" hidden="false" customHeight="true" outlineLevel="0" collapsed="false">
      <c r="A8" s="11" t="s">
        <v>655</v>
      </c>
      <c r="B8" s="13" t="n">
        <f aca="false">IFERROR($B$5+$B$6+$B$7,"")</f>
        <v>3628.6</v>
      </c>
    </row>
    <row r="9" customFormat="false" ht="15" hidden="false" customHeight="true" outlineLevel="0" collapsed="false">
      <c r="A9" s="11" t="s">
        <v>656</v>
      </c>
      <c r="B9" s="12" t="n">
        <f aca="false">'لوحة التحكم'!$B$4</f>
        <v>0.467176643087999</v>
      </c>
    </row>
    <row r="10" customFormat="false" ht="15" hidden="false" customHeight="true" outlineLevel="0" collapsed="false">
      <c r="A10" s="11" t="s">
        <v>657</v>
      </c>
      <c r="B10" s="12" t="n">
        <f aca="false">'مقارنة الفروع'!$D$5</f>
        <v>0.25</v>
      </c>
    </row>
    <row r="11" customFormat="false" ht="15" hidden="false" customHeight="true" outlineLevel="0" collapsed="false">
      <c r="A11" s="11" t="s">
        <v>658</v>
      </c>
      <c r="B11" s="12" t="n">
        <f aca="false">IFERROR(1-$B$9-$B$10,"")</f>
        <v>0.282823356912001</v>
      </c>
    </row>
    <row r="12" customFormat="false" ht="15" hidden="false" customHeight="true" outlineLevel="0" collapsed="false">
      <c r="A12" s="11" t="s">
        <v>659</v>
      </c>
      <c r="B12" s="13" t="n">
        <f aca="false">IFERROR($B$8/$B$11,"")</f>
        <v>12829.9163110811</v>
      </c>
    </row>
    <row r="13" customFormat="false" ht="15" hidden="false" customHeight="true" outlineLevel="0" collapsed="false">
      <c r="A13" s="11" t="s">
        <v>660</v>
      </c>
      <c r="B13" s="13" t="n">
        <f aca="false">IFERROR($B$12/30,"")</f>
        <v>427.663877036038</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90"/>
  </cols>
  <sheetData>
    <row r="1" customFormat="false" ht="18.55" hidden="false" customHeight="false" outlineLevel="0" collapsed="false">
      <c r="A1" s="40" t="s">
        <v>661</v>
      </c>
    </row>
    <row r="2" customFormat="false" ht="15" hidden="false" customHeight="false" outlineLevel="0" collapsed="false">
      <c r="A2" s="17" t="s">
        <v>662</v>
      </c>
    </row>
    <row r="3" customFormat="false" ht="25.5" hidden="false" customHeight="true" outlineLevel="0" collapsed="false">
      <c r="A3" s="18" t="s">
        <v>663</v>
      </c>
      <c r="B3" s="18" t="s">
        <v>664</v>
      </c>
      <c r="C3" s="18" t="s">
        <v>665</v>
      </c>
    </row>
    <row r="4" customFormat="false" ht="15" hidden="false" customHeight="false" outlineLevel="0" collapsed="false">
      <c r="A4" s="91" t="s">
        <v>666</v>
      </c>
      <c r="B4" s="92" t="n">
        <v>46307</v>
      </c>
      <c r="C4" s="93" t="s">
        <v>667</v>
      </c>
    </row>
    <row r="5" customFormat="false" ht="15" hidden="false" customHeight="false" outlineLevel="0" collapsed="false">
      <c r="A5" s="91" t="s">
        <v>668</v>
      </c>
      <c r="B5" s="92" t="n">
        <v>46296</v>
      </c>
      <c r="C5" s="93" t="s">
        <v>669</v>
      </c>
    </row>
    <row r="6" customFormat="false" ht="15" hidden="false" customHeight="false" outlineLevel="0" collapsed="false">
      <c r="A6" s="91" t="s">
        <v>670</v>
      </c>
      <c r="B6" s="92" t="n">
        <v>46295</v>
      </c>
      <c r="C6" s="93" t="s">
        <v>671</v>
      </c>
    </row>
    <row r="7" customFormat="false" ht="15" hidden="false" customHeight="false" outlineLevel="0" collapsed="false">
      <c r="A7" s="91" t="s">
        <v>672</v>
      </c>
      <c r="B7" s="94" t="n">
        <v>0.03</v>
      </c>
      <c r="C7" s="93" t="s">
        <v>673</v>
      </c>
    </row>
    <row r="8" customFormat="false" ht="15" hidden="false" customHeight="false" outlineLevel="0" collapsed="false">
      <c r="A8" s="91" t="s">
        <v>674</v>
      </c>
      <c r="B8" s="95" t="n">
        <v>2</v>
      </c>
      <c r="C8" s="93" t="s">
        <v>675</v>
      </c>
    </row>
    <row r="9" customFormat="false" ht="15" hidden="false" customHeight="false" outlineLevel="0" collapsed="false">
      <c r="A9" s="91" t="s">
        <v>676</v>
      </c>
      <c r="B9" s="95" t="n">
        <v>1</v>
      </c>
      <c r="C9" s="93"/>
    </row>
    <row r="10" customFormat="false" ht="15" hidden="false" customHeight="false" outlineLevel="0" collapsed="false">
      <c r="A10" s="91" t="s">
        <v>677</v>
      </c>
      <c r="B10" s="95" t="n">
        <v>1</v>
      </c>
      <c r="C10" s="93" t="s">
        <v>678</v>
      </c>
    </row>
    <row r="11" customFormat="false" ht="15" hidden="false" customHeight="false" outlineLevel="0" collapsed="false">
      <c r="A11" s="91" t="s">
        <v>679</v>
      </c>
      <c r="B11" s="95" t="n">
        <v>7</v>
      </c>
      <c r="C11" s="93" t="s">
        <v>680</v>
      </c>
    </row>
    <row r="14" customFormat="false" ht="15" hidden="false" customHeight="false" outlineLevel="0" collapsed="false">
      <c r="A14" s="33" t="s">
        <v>681</v>
      </c>
    </row>
    <row r="15" customFormat="false" ht="15" hidden="false" customHeight="false" outlineLevel="0" collapsed="false">
      <c r="A15" s="95" t="s">
        <v>32</v>
      </c>
    </row>
    <row r="16" customFormat="false" ht="15" hidden="false" customHeight="false" outlineLevel="0" collapsed="false">
      <c r="A16" s="95" t="s">
        <v>33</v>
      </c>
    </row>
    <row r="17" customFormat="false" ht="15" hidden="false" customHeight="false" outlineLevel="0" collapsed="false">
      <c r="A17" s="95" t="s">
        <v>34</v>
      </c>
    </row>
    <row r="18" customFormat="false" ht="15" hidden="false" customHeight="false" outlineLevel="0" collapsed="false">
      <c r="A18" s="95" t="s">
        <v>638</v>
      </c>
    </row>
    <row r="20" customFormat="false" ht="15" hidden="false" customHeight="false" outlineLevel="0" collapsed="false">
      <c r="A20" s="33" t="s">
        <v>682</v>
      </c>
    </row>
    <row r="21" customFormat="false" ht="15" hidden="false" customHeight="false" outlineLevel="0" collapsed="false">
      <c r="A21" s="91" t="s">
        <v>683</v>
      </c>
    </row>
    <row r="22" customFormat="false" ht="15" hidden="false" customHeight="false" outlineLevel="0" collapsed="false">
      <c r="A22" s="91" t="s">
        <v>684</v>
      </c>
    </row>
    <row r="23" customFormat="false" ht="15" hidden="false" customHeight="false" outlineLevel="0" collapsed="false">
      <c r="A23" s="91" t="s">
        <v>685</v>
      </c>
    </row>
    <row r="24" customFormat="false" ht="15" hidden="false" customHeight="false" outlineLevel="0" collapsed="false">
      <c r="A24" s="91" t="s">
        <v>686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6"/>
    <col collapsed="false" customWidth="true" hidden="false" outlineLevel="0" max="4" min="4" style="0" width="22"/>
    <col collapsed="false" customWidth="true" hidden="false" outlineLevel="0" max="5" min="5" style="0" width="18"/>
    <col collapsed="false" customWidth="true" hidden="false" outlineLevel="0" max="6" min="6" style="0" width="14"/>
    <col collapsed="false" customWidth="true" hidden="false" outlineLevel="0" max="7" min="7" style="0" width="18"/>
    <col collapsed="false" customWidth="true" hidden="false" outlineLevel="0" max="8" min="8" style="0" width="16"/>
    <col collapsed="false" customWidth="true" hidden="false" outlineLevel="0" max="9" min="9" style="0" width="12"/>
  </cols>
  <sheetData>
    <row r="1" customFormat="false" ht="48" hidden="false" customHeight="true" outlineLevel="0" collapsed="false">
      <c r="A1" s="18" t="s">
        <v>59</v>
      </c>
      <c r="B1" s="18" t="s">
        <v>687</v>
      </c>
      <c r="C1" s="18" t="s">
        <v>688</v>
      </c>
      <c r="D1" s="18" t="s">
        <v>689</v>
      </c>
      <c r="E1" s="18" t="s">
        <v>690</v>
      </c>
      <c r="F1" s="18" t="s">
        <v>691</v>
      </c>
      <c r="G1" s="18" t="s">
        <v>692</v>
      </c>
      <c r="H1" s="18" t="s">
        <v>693</v>
      </c>
      <c r="I1" s="18" t="s">
        <v>694</v>
      </c>
    </row>
    <row r="2" customFormat="false" ht="15" hidden="false" customHeight="false" outlineLevel="0" collapsed="false">
      <c r="A2" s="62" t="s">
        <v>122</v>
      </c>
      <c r="B2" s="96" t="s">
        <v>123</v>
      </c>
      <c r="C2" s="96" t="s">
        <v>123</v>
      </c>
      <c r="D2" s="97" t="n">
        <v>1</v>
      </c>
      <c r="E2" s="98" t="n">
        <f aca="false">INDEX(المكونات!$C$2:$C$500,MATCH($A2,المكونات!$A$2:$A$500,0))*D2</f>
        <v>3.3</v>
      </c>
      <c r="F2" s="99" t="n">
        <v>1</v>
      </c>
      <c r="G2" s="99" t="s">
        <v>695</v>
      </c>
      <c r="H2" s="96" t="str">
        <f aca="false">IF(G2="نعم",COUNTIF($G$2:G2,"نعم"),"")</f>
        <v/>
      </c>
      <c r="I2" s="96" t="s">
        <v>696</v>
      </c>
    </row>
    <row r="3" customFormat="false" ht="15" hidden="false" customHeight="false" outlineLevel="0" collapsed="false">
      <c r="A3" s="62" t="s">
        <v>125</v>
      </c>
      <c r="B3" s="96" t="s">
        <v>123</v>
      </c>
      <c r="C3" s="96" t="s">
        <v>123</v>
      </c>
      <c r="D3" s="97" t="n">
        <v>1</v>
      </c>
      <c r="E3" s="98" t="n">
        <f aca="false">INDEX(المكونات!$C$2:$C$500,MATCH($A3,المكونات!$A$2:$A$500,0))*D3</f>
        <v>0.8</v>
      </c>
      <c r="F3" s="99" t="n">
        <v>1</v>
      </c>
      <c r="G3" s="99" t="s">
        <v>695</v>
      </c>
      <c r="H3" s="96" t="str">
        <f aca="false">IF(G3="نعم",COUNTIF($G$2:G3,"نعم"),"")</f>
        <v/>
      </c>
      <c r="I3" s="96" t="s">
        <v>696</v>
      </c>
    </row>
    <row r="4" customFormat="false" ht="15" hidden="false" customHeight="false" outlineLevel="0" collapsed="false">
      <c r="A4" s="62" t="s">
        <v>133</v>
      </c>
      <c r="B4" s="96" t="s">
        <v>181</v>
      </c>
      <c r="C4" s="96" t="s">
        <v>134</v>
      </c>
      <c r="D4" s="97" t="n">
        <v>50</v>
      </c>
      <c r="E4" s="98" t="n">
        <f aca="false">INDEX(المكونات!$C$2:$C$500,MATCH($A4,المكونات!$A$2:$A$500,0))*D4</f>
        <v>70</v>
      </c>
      <c r="F4" s="99" t="n">
        <v>1</v>
      </c>
      <c r="G4" s="99" t="s">
        <v>695</v>
      </c>
      <c r="H4" s="96" t="str">
        <f aca="false">IF(G4="نعم",COUNTIF($G$2:G4,"نعم"),"")</f>
        <v/>
      </c>
      <c r="I4" s="96" t="s">
        <v>696</v>
      </c>
    </row>
    <row r="5" customFormat="false" ht="15" hidden="false" customHeight="false" outlineLevel="0" collapsed="false">
      <c r="A5" s="62" t="s">
        <v>136</v>
      </c>
      <c r="B5" s="96" t="s">
        <v>181</v>
      </c>
      <c r="C5" s="96" t="s">
        <v>134</v>
      </c>
      <c r="D5" s="97" t="n">
        <v>50</v>
      </c>
      <c r="E5" s="98" t="n">
        <f aca="false">INDEX(المكونات!$C$2:$C$500,MATCH($A5,المكونات!$A$2:$A$500,0))*D5</f>
        <v>70</v>
      </c>
      <c r="F5" s="99" t="n">
        <v>1</v>
      </c>
      <c r="G5" s="99" t="s">
        <v>695</v>
      </c>
      <c r="H5" s="96" t="str">
        <f aca="false">IF(G5="نعم",COUNTIF($G$2:G5,"نعم"),"")</f>
        <v/>
      </c>
      <c r="I5" s="96" t="s">
        <v>696</v>
      </c>
    </row>
    <row r="6" customFormat="false" ht="15" hidden="false" customHeight="false" outlineLevel="0" collapsed="false">
      <c r="A6" s="62" t="s">
        <v>140</v>
      </c>
      <c r="B6" s="96" t="s">
        <v>123</v>
      </c>
      <c r="C6" s="96" t="s">
        <v>123</v>
      </c>
      <c r="D6" s="97" t="n">
        <v>1</v>
      </c>
      <c r="E6" s="98" t="n">
        <f aca="false">INDEX(المكونات!$C$2:$C$500,MATCH($A6,المكونات!$A$2:$A$500,0))*D6</f>
        <v>18</v>
      </c>
      <c r="F6" s="99" t="n">
        <v>1</v>
      </c>
      <c r="G6" s="99" t="s">
        <v>695</v>
      </c>
      <c r="H6" s="96" t="str">
        <f aca="false">IF(G6="نعم",COUNTIF($G$2:G6,"نعم"),"")</f>
        <v/>
      </c>
      <c r="I6" s="96" t="s">
        <v>697</v>
      </c>
    </row>
    <row r="7" customFormat="false" ht="15" hidden="false" customHeight="false" outlineLevel="0" collapsed="false">
      <c r="A7" s="62" t="s">
        <v>142</v>
      </c>
      <c r="B7" s="96" t="s">
        <v>123</v>
      </c>
      <c r="C7" s="96" t="s">
        <v>123</v>
      </c>
      <c r="D7" s="97" t="n">
        <v>1</v>
      </c>
      <c r="E7" s="98" t="n">
        <f aca="false">INDEX(المكونات!$C$2:$C$500,MATCH($A7,المكونات!$A$2:$A$500,0))*D7</f>
        <v>35</v>
      </c>
      <c r="F7" s="99" t="n">
        <v>1</v>
      </c>
      <c r="G7" s="99" t="s">
        <v>695</v>
      </c>
      <c r="H7" s="96" t="str">
        <f aca="false">IF(G7="نعم",COUNTIF($G$2:G7,"نعم"),"")</f>
        <v/>
      </c>
      <c r="I7" s="96" t="s">
        <v>697</v>
      </c>
    </row>
    <row r="8" customFormat="false" ht="15" hidden="false" customHeight="false" outlineLevel="0" collapsed="false">
      <c r="A8" s="62" t="s">
        <v>144</v>
      </c>
      <c r="B8" s="96" t="s">
        <v>123</v>
      </c>
      <c r="C8" s="96" t="s">
        <v>123</v>
      </c>
      <c r="D8" s="97" t="n">
        <v>1</v>
      </c>
      <c r="E8" s="98" t="n">
        <f aca="false">INDEX(المكونات!$C$2:$C$500,MATCH($A8,المكونات!$A$2:$A$500,0))*D8</f>
        <v>46.6667</v>
      </c>
      <c r="F8" s="99" t="n">
        <v>1</v>
      </c>
      <c r="G8" s="99" t="s">
        <v>695</v>
      </c>
      <c r="H8" s="96" t="str">
        <f aca="false">IF(G8="نعم",COUNTIF($G$2:G8,"نعم"),"")</f>
        <v/>
      </c>
      <c r="I8" s="96" t="s">
        <v>697</v>
      </c>
    </row>
    <row r="9" customFormat="false" ht="15" hidden="false" customHeight="false" outlineLevel="0" collapsed="false">
      <c r="A9" s="62" t="s">
        <v>146</v>
      </c>
      <c r="B9" s="96" t="s">
        <v>123</v>
      </c>
      <c r="C9" s="96" t="s">
        <v>123</v>
      </c>
      <c r="D9" s="97" t="n">
        <v>1</v>
      </c>
      <c r="E9" s="98" t="n">
        <f aca="false">INDEX(المكونات!$C$2:$C$500,MATCH($A9,المكونات!$A$2:$A$500,0))*D9</f>
        <v>5.65</v>
      </c>
      <c r="F9" s="99" t="n">
        <v>1</v>
      </c>
      <c r="G9" s="99" t="s">
        <v>695</v>
      </c>
      <c r="H9" s="96" t="str">
        <f aca="false">IF(G9="نعم",COUNTIF($G$2:G9,"نعم"),"")</f>
        <v/>
      </c>
      <c r="I9" s="96" t="s">
        <v>697</v>
      </c>
    </row>
    <row r="10" customFormat="false" ht="15" hidden="false" customHeight="false" outlineLevel="0" collapsed="false">
      <c r="A10" s="62" t="s">
        <v>148</v>
      </c>
      <c r="B10" s="96" t="s">
        <v>123</v>
      </c>
      <c r="C10" s="96" t="s">
        <v>123</v>
      </c>
      <c r="D10" s="97" t="n">
        <v>1</v>
      </c>
      <c r="E10" s="98" t="n">
        <f aca="false">INDEX(المكونات!$C$2:$C$500,MATCH($A10,المكونات!$A$2:$A$500,0))*D10</f>
        <v>9</v>
      </c>
      <c r="F10" s="99" t="n">
        <v>1</v>
      </c>
      <c r="G10" s="99" t="s">
        <v>695</v>
      </c>
      <c r="H10" s="96" t="str">
        <f aca="false">IF(G10="نعم",COUNTIF($G$2:G10,"نعم"),"")</f>
        <v/>
      </c>
      <c r="I10" s="96" t="s">
        <v>697</v>
      </c>
    </row>
    <row r="11" customFormat="false" ht="15" hidden="false" customHeight="false" outlineLevel="0" collapsed="false">
      <c r="A11" s="62" t="s">
        <v>150</v>
      </c>
      <c r="B11" s="96" t="s">
        <v>123</v>
      </c>
      <c r="C11" s="96" t="s">
        <v>123</v>
      </c>
      <c r="D11" s="97" t="n">
        <v>1</v>
      </c>
      <c r="E11" s="98" t="n">
        <f aca="false">INDEX(المكونات!$C$2:$C$500,MATCH($A11,المكونات!$A$2:$A$500,0))*D11</f>
        <v>95</v>
      </c>
      <c r="F11" s="99" t="n">
        <v>1</v>
      </c>
      <c r="G11" s="99" t="s">
        <v>695</v>
      </c>
      <c r="H11" s="96" t="str">
        <f aca="false">IF(G11="نعم",COUNTIF($G$2:G11,"نعم"),"")</f>
        <v/>
      </c>
      <c r="I11" s="96" t="s">
        <v>697</v>
      </c>
    </row>
    <row r="12" customFormat="false" ht="15" hidden="false" customHeight="false" outlineLevel="0" collapsed="false">
      <c r="A12" s="62" t="s">
        <v>152</v>
      </c>
      <c r="B12" s="96" t="s">
        <v>123</v>
      </c>
      <c r="C12" s="96" t="s">
        <v>123</v>
      </c>
      <c r="D12" s="97" t="n">
        <v>1</v>
      </c>
      <c r="E12" s="98" t="n">
        <f aca="false">INDEX(المكونات!$C$2:$C$500,MATCH($A12,المكونات!$A$2:$A$500,0))*D12</f>
        <v>34</v>
      </c>
      <c r="F12" s="99" t="n">
        <v>1</v>
      </c>
      <c r="G12" s="99" t="s">
        <v>695</v>
      </c>
      <c r="H12" s="96" t="str">
        <f aca="false">IF(G12="نعم",COUNTIF($G$2:G12,"نعم"),"")</f>
        <v/>
      </c>
      <c r="I12" s="96" t="s">
        <v>697</v>
      </c>
    </row>
    <row r="13" customFormat="false" ht="15" hidden="false" customHeight="false" outlineLevel="0" collapsed="false">
      <c r="A13" s="62" t="s">
        <v>154</v>
      </c>
      <c r="B13" s="96" t="s">
        <v>123</v>
      </c>
      <c r="C13" s="96" t="s">
        <v>123</v>
      </c>
      <c r="D13" s="97" t="n">
        <v>1</v>
      </c>
      <c r="E13" s="98" t="n">
        <f aca="false">INDEX(المكونات!$C$2:$C$500,MATCH($A13,المكونات!$A$2:$A$500,0))*D13</f>
        <v>45</v>
      </c>
      <c r="F13" s="99" t="n">
        <v>1</v>
      </c>
      <c r="G13" s="99" t="s">
        <v>695</v>
      </c>
      <c r="H13" s="96" t="str">
        <f aca="false">IF(G13="نعم",COUNTIF($G$2:G13,"نعم"),"")</f>
        <v/>
      </c>
      <c r="I13" s="96" t="s">
        <v>697</v>
      </c>
    </row>
    <row r="14" customFormat="false" ht="15" hidden="false" customHeight="false" outlineLevel="0" collapsed="false">
      <c r="A14" s="62" t="s">
        <v>156</v>
      </c>
      <c r="B14" s="96" t="s">
        <v>123</v>
      </c>
      <c r="C14" s="96" t="s">
        <v>123</v>
      </c>
      <c r="D14" s="97" t="n">
        <v>1</v>
      </c>
      <c r="E14" s="98" t="n">
        <f aca="false">INDEX(المكونات!$C$2:$C$500,MATCH($A14,المكونات!$A$2:$A$500,0))*D14</f>
        <v>26.9708</v>
      </c>
      <c r="F14" s="99" t="n">
        <v>1</v>
      </c>
      <c r="G14" s="99" t="s">
        <v>695</v>
      </c>
      <c r="H14" s="96" t="str">
        <f aca="false">IF(G14="نعم",COUNTIF($G$2:G14,"نعم"),"")</f>
        <v/>
      </c>
      <c r="I14" s="96" t="s">
        <v>697</v>
      </c>
    </row>
    <row r="15" customFormat="false" ht="15" hidden="false" customHeight="false" outlineLevel="0" collapsed="false">
      <c r="A15" s="62" t="s">
        <v>158</v>
      </c>
      <c r="B15" s="96" t="s">
        <v>123</v>
      </c>
      <c r="C15" s="96" t="s">
        <v>123</v>
      </c>
      <c r="D15" s="97" t="n">
        <v>1</v>
      </c>
      <c r="E15" s="98" t="n">
        <f aca="false">INDEX(المكونات!$C$2:$C$500,MATCH($A15,المكونات!$A$2:$A$500,0))*D15</f>
        <v>33.982</v>
      </c>
      <c r="F15" s="99" t="n">
        <v>1</v>
      </c>
      <c r="G15" s="99" t="s">
        <v>695</v>
      </c>
      <c r="H15" s="96" t="str">
        <f aca="false">IF(G15="نعم",COUNTIF($G$2:G15,"نعم"),"")</f>
        <v/>
      </c>
      <c r="I15" s="96" t="s">
        <v>697</v>
      </c>
    </row>
    <row r="16" customFormat="false" ht="15" hidden="false" customHeight="false" outlineLevel="0" collapsed="false">
      <c r="A16" s="62" t="s">
        <v>160</v>
      </c>
      <c r="B16" s="96" t="s">
        <v>123</v>
      </c>
      <c r="C16" s="96" t="s">
        <v>123</v>
      </c>
      <c r="D16" s="97" t="n">
        <v>1</v>
      </c>
      <c r="E16" s="98" t="n">
        <f aca="false">INDEX(المكونات!$C$2:$C$500,MATCH($A16,المكونات!$A$2:$A$500,0))*D16</f>
        <v>48.7817</v>
      </c>
      <c r="F16" s="99" t="n">
        <v>1</v>
      </c>
      <c r="G16" s="99" t="s">
        <v>695</v>
      </c>
      <c r="H16" s="96" t="str">
        <f aca="false">IF(G16="نعم",COUNTIF($G$2:G16,"نعم"),"")</f>
        <v/>
      </c>
      <c r="I16" s="96" t="s">
        <v>697</v>
      </c>
    </row>
    <row r="17" customFormat="false" ht="15" hidden="false" customHeight="false" outlineLevel="0" collapsed="false">
      <c r="A17" s="62" t="s">
        <v>162</v>
      </c>
      <c r="B17" s="96" t="s">
        <v>123</v>
      </c>
      <c r="C17" s="96" t="s">
        <v>123</v>
      </c>
      <c r="D17" s="97" t="n">
        <v>1</v>
      </c>
      <c r="E17" s="98" t="n">
        <f aca="false">INDEX(المكونات!$C$2:$C$500,MATCH($A17,المكونات!$A$2:$A$500,0))*D17</f>
        <v>30</v>
      </c>
      <c r="F17" s="99" t="n">
        <v>1</v>
      </c>
      <c r="G17" s="99" t="s">
        <v>695</v>
      </c>
      <c r="H17" s="96" t="str">
        <f aca="false">IF(G17="نعم",COUNTIF($G$2:G17,"نعم"),"")</f>
        <v/>
      </c>
      <c r="I17" s="96" t="s">
        <v>697</v>
      </c>
    </row>
    <row r="18" customFormat="false" ht="15" hidden="false" customHeight="false" outlineLevel="0" collapsed="false">
      <c r="A18" s="62" t="s">
        <v>164</v>
      </c>
      <c r="B18" s="96" t="s">
        <v>123</v>
      </c>
      <c r="C18" s="96" t="s">
        <v>123</v>
      </c>
      <c r="D18" s="97" t="n">
        <v>1</v>
      </c>
      <c r="E18" s="98" t="n">
        <f aca="false">INDEX(المكونات!$C$2:$C$500,MATCH($A18,المكونات!$A$2:$A$500,0))*D18</f>
        <v>29</v>
      </c>
      <c r="F18" s="99" t="n">
        <v>1</v>
      </c>
      <c r="G18" s="99" t="s">
        <v>695</v>
      </c>
      <c r="H18" s="96" t="str">
        <f aca="false">IF(G18="نعم",COUNTIF($G$2:G18,"نعم"),"")</f>
        <v/>
      </c>
      <c r="I18" s="96" t="s">
        <v>697</v>
      </c>
    </row>
    <row r="19" customFormat="false" ht="15" hidden="false" customHeight="false" outlineLevel="0" collapsed="false">
      <c r="A19" s="62" t="s">
        <v>166</v>
      </c>
      <c r="B19" s="96" t="s">
        <v>123</v>
      </c>
      <c r="C19" s="96" t="s">
        <v>123</v>
      </c>
      <c r="D19" s="97" t="n">
        <v>1</v>
      </c>
      <c r="E19" s="98" t="n">
        <f aca="false">INDEX(المكونات!$C$2:$C$500,MATCH($A19,المكونات!$A$2:$A$500,0))*D19</f>
        <v>25</v>
      </c>
      <c r="F19" s="99" t="n">
        <v>1</v>
      </c>
      <c r="G19" s="99" t="s">
        <v>695</v>
      </c>
      <c r="H19" s="96" t="str">
        <f aca="false">IF(G19="نعم",COUNTIF($G$2:G19,"نعم"),"")</f>
        <v/>
      </c>
      <c r="I19" s="96" t="s">
        <v>697</v>
      </c>
    </row>
    <row r="20" customFormat="false" ht="15" hidden="false" customHeight="false" outlineLevel="0" collapsed="false">
      <c r="A20" s="62" t="s">
        <v>168</v>
      </c>
      <c r="B20" s="96" t="s">
        <v>123</v>
      </c>
      <c r="C20" s="96" t="s">
        <v>123</v>
      </c>
      <c r="D20" s="97" t="n">
        <v>1</v>
      </c>
      <c r="E20" s="98" t="n">
        <f aca="false">INDEX(المكونات!$C$2:$C$500,MATCH($A20,المكونات!$A$2:$A$500,0))*D20</f>
        <v>21</v>
      </c>
      <c r="F20" s="99" t="n">
        <v>1</v>
      </c>
      <c r="G20" s="99" t="s">
        <v>695</v>
      </c>
      <c r="H20" s="96" t="str">
        <f aca="false">IF(G20="نعم",COUNTIF($G$2:G20,"نعم"),"")</f>
        <v/>
      </c>
      <c r="I20" s="96" t="s">
        <v>697</v>
      </c>
    </row>
    <row r="21" customFormat="false" ht="15" hidden="false" customHeight="false" outlineLevel="0" collapsed="false">
      <c r="A21" s="62" t="s">
        <v>170</v>
      </c>
      <c r="B21" s="96" t="s">
        <v>123</v>
      </c>
      <c r="C21" s="96" t="s">
        <v>123</v>
      </c>
      <c r="D21" s="97" t="n">
        <v>1</v>
      </c>
      <c r="E21" s="98" t="n">
        <f aca="false">INDEX(المكونات!$C$2:$C$500,MATCH($A21,المكونات!$A$2:$A$500,0))*D21</f>
        <v>23</v>
      </c>
      <c r="F21" s="99" t="n">
        <v>1</v>
      </c>
      <c r="G21" s="99" t="s">
        <v>695</v>
      </c>
      <c r="H21" s="96" t="str">
        <f aca="false">IF(G21="نعم",COUNTIF($G$2:G21,"نعم"),"")</f>
        <v/>
      </c>
      <c r="I21" s="96" t="s">
        <v>697</v>
      </c>
    </row>
    <row r="22" customFormat="false" ht="15" hidden="false" customHeight="false" outlineLevel="0" collapsed="false">
      <c r="A22" s="62" t="s">
        <v>172</v>
      </c>
      <c r="B22" s="96" t="s">
        <v>123</v>
      </c>
      <c r="C22" s="96" t="s">
        <v>123</v>
      </c>
      <c r="D22" s="97" t="n">
        <v>1</v>
      </c>
      <c r="E22" s="98" t="n">
        <f aca="false">INDEX(المكونات!$C$2:$C$500,MATCH($A22,المكونات!$A$2:$A$500,0))*D22</f>
        <v>20</v>
      </c>
      <c r="F22" s="99" t="n">
        <v>1</v>
      </c>
      <c r="G22" s="99" t="s">
        <v>695</v>
      </c>
      <c r="H22" s="96" t="str">
        <f aca="false">IF(G22="نعم",COUNTIF($G$2:G22,"نعم"),"")</f>
        <v/>
      </c>
      <c r="I22" s="96" t="s">
        <v>697</v>
      </c>
    </row>
    <row r="23" customFormat="false" ht="15" hidden="false" customHeight="false" outlineLevel="0" collapsed="false">
      <c r="A23" s="62" t="s">
        <v>174</v>
      </c>
      <c r="B23" s="96" t="s">
        <v>123</v>
      </c>
      <c r="C23" s="96" t="s">
        <v>123</v>
      </c>
      <c r="D23" s="97" t="n">
        <v>1</v>
      </c>
      <c r="E23" s="98" t="n">
        <f aca="false">INDEX(المكونات!$C$2:$C$500,MATCH($A23,المكونات!$A$2:$A$500,0))*D23</f>
        <v>27.1395</v>
      </c>
      <c r="F23" s="99" t="n">
        <v>1</v>
      </c>
      <c r="G23" s="99" t="s">
        <v>695</v>
      </c>
      <c r="H23" s="96" t="str">
        <f aca="false">IF(G23="نعم",COUNTIF($G$2:G23,"نعم"),"")</f>
        <v/>
      </c>
      <c r="I23" s="96" t="s">
        <v>697</v>
      </c>
    </row>
    <row r="24" customFormat="false" ht="15" hidden="false" customHeight="false" outlineLevel="0" collapsed="false">
      <c r="A24" s="62" t="s">
        <v>176</v>
      </c>
      <c r="B24" s="96" t="s">
        <v>123</v>
      </c>
      <c r="C24" s="96" t="s">
        <v>123</v>
      </c>
      <c r="D24" s="97" t="n">
        <v>1</v>
      </c>
      <c r="E24" s="98" t="n">
        <f aca="false">INDEX(المكونات!$C$2:$C$500,MATCH($A24,المكونات!$A$2:$A$500,0))*D24</f>
        <v>17.5</v>
      </c>
      <c r="F24" s="99" t="n">
        <v>1</v>
      </c>
      <c r="G24" s="99" t="s">
        <v>695</v>
      </c>
      <c r="H24" s="96" t="str">
        <f aca="false">IF(G24="نعم",COUNTIF($G$2:G24,"نعم"),"")</f>
        <v/>
      </c>
      <c r="I24" s="96" t="s">
        <v>697</v>
      </c>
    </row>
    <row r="25" customFormat="false" ht="15" hidden="false" customHeight="false" outlineLevel="0" collapsed="false">
      <c r="A25" s="62" t="s">
        <v>178</v>
      </c>
      <c r="B25" s="96" t="s">
        <v>123</v>
      </c>
      <c r="C25" s="96" t="s">
        <v>123</v>
      </c>
      <c r="D25" s="97" t="n">
        <v>1</v>
      </c>
      <c r="E25" s="98" t="n">
        <f aca="false">INDEX(المكونات!$C$2:$C$500,MATCH($A25,المكونات!$A$2:$A$500,0))*D25</f>
        <v>25</v>
      </c>
      <c r="F25" s="99" t="n">
        <v>1</v>
      </c>
      <c r="G25" s="99" t="s">
        <v>695</v>
      </c>
      <c r="H25" s="96" t="str">
        <f aca="false">IF(G25="نعم",COUNTIF($G$2:G25,"نعم"),"")</f>
        <v/>
      </c>
      <c r="I25" s="96" t="s">
        <v>697</v>
      </c>
    </row>
    <row r="26" customFormat="false" ht="15" hidden="false" customHeight="false" outlineLevel="0" collapsed="false">
      <c r="A26" s="62" t="s">
        <v>180</v>
      </c>
      <c r="B26" s="96" t="s">
        <v>181</v>
      </c>
      <c r="C26" s="96" t="s">
        <v>181</v>
      </c>
      <c r="D26" s="97" t="n">
        <v>1</v>
      </c>
      <c r="E26" s="98" t="n">
        <f aca="false">INDEX(المكونات!$C$2:$C$500,MATCH($A26,المكونات!$A$2:$A$500,0))*D26</f>
        <v>100</v>
      </c>
      <c r="F26" s="99" t="n">
        <v>1</v>
      </c>
      <c r="G26" s="99" t="s">
        <v>695</v>
      </c>
      <c r="H26" s="96" t="str">
        <f aca="false">IF(G26="نعم",COUNTIF($G$2:G26,"نعم"),"")</f>
        <v/>
      </c>
      <c r="I26" s="96" t="s">
        <v>697</v>
      </c>
    </row>
    <row r="27" customFormat="false" ht="15" hidden="false" customHeight="false" outlineLevel="0" collapsed="false">
      <c r="A27" s="62" t="s">
        <v>183</v>
      </c>
      <c r="B27" s="96" t="s">
        <v>181</v>
      </c>
      <c r="C27" s="96" t="s">
        <v>181</v>
      </c>
      <c r="D27" s="97" t="n">
        <v>1</v>
      </c>
      <c r="E27" s="98" t="n">
        <f aca="false">INDEX(المكونات!$C$2:$C$500,MATCH($A27,المكونات!$A$2:$A$500,0))*D27</f>
        <v>104.58</v>
      </c>
      <c r="F27" s="99" t="n">
        <v>1</v>
      </c>
      <c r="G27" s="99" t="s">
        <v>695</v>
      </c>
      <c r="H27" s="96" t="str">
        <f aca="false">IF(G27="نعم",COUNTIF($G$2:G27,"نعم"),"")</f>
        <v/>
      </c>
      <c r="I27" s="96" t="s">
        <v>697</v>
      </c>
    </row>
    <row r="28" customFormat="false" ht="15" hidden="false" customHeight="false" outlineLevel="0" collapsed="false">
      <c r="A28" s="62" t="s">
        <v>185</v>
      </c>
      <c r="B28" s="96" t="s">
        <v>181</v>
      </c>
      <c r="C28" s="96" t="s">
        <v>181</v>
      </c>
      <c r="D28" s="97" t="n">
        <v>1</v>
      </c>
      <c r="E28" s="98" t="n">
        <f aca="false">INDEX(المكونات!$C$2:$C$500,MATCH($A28,المكونات!$A$2:$A$500,0))*D28</f>
        <v>100</v>
      </c>
      <c r="F28" s="99" t="n">
        <v>1</v>
      </c>
      <c r="G28" s="99" t="s">
        <v>695</v>
      </c>
      <c r="H28" s="96" t="str">
        <f aca="false">IF(G28="نعم",COUNTIF($G$2:G28,"نعم"),"")</f>
        <v/>
      </c>
      <c r="I28" s="96" t="s">
        <v>697</v>
      </c>
    </row>
    <row r="29" customFormat="false" ht="15" hidden="false" customHeight="false" outlineLevel="0" collapsed="false">
      <c r="A29" s="62" t="s">
        <v>186</v>
      </c>
      <c r="B29" s="96" t="s">
        <v>181</v>
      </c>
      <c r="C29" s="96" t="s">
        <v>181</v>
      </c>
      <c r="D29" s="97" t="n">
        <v>1</v>
      </c>
      <c r="E29" s="98" t="n">
        <f aca="false">INDEX(المكونات!$C$2:$C$500,MATCH($A29,المكونات!$A$2:$A$500,0))*D29</f>
        <v>41</v>
      </c>
      <c r="F29" s="99" t="n">
        <v>1</v>
      </c>
      <c r="G29" s="99" t="s">
        <v>698</v>
      </c>
      <c r="H29" s="96" t="n">
        <f aca="false">IF(G29="نعم",COUNTIF($G$2:G29,"نعم"),"")</f>
        <v>1</v>
      </c>
      <c r="I29" s="96" t="s">
        <v>699</v>
      </c>
    </row>
    <row r="30" customFormat="false" ht="15" hidden="false" customHeight="false" outlineLevel="0" collapsed="false">
      <c r="A30" s="62" t="s">
        <v>188</v>
      </c>
      <c r="B30" s="96" t="s">
        <v>181</v>
      </c>
      <c r="C30" s="96" t="s">
        <v>181</v>
      </c>
      <c r="D30" s="97" t="n">
        <v>1</v>
      </c>
      <c r="E30" s="98" t="n">
        <f aca="false">INDEX(المكونات!$C$2:$C$500,MATCH($A30,المكونات!$A$2:$A$500,0))*D30</f>
        <v>25</v>
      </c>
      <c r="F30" s="99" t="n">
        <v>1</v>
      </c>
      <c r="G30" s="99" t="s">
        <v>698</v>
      </c>
      <c r="H30" s="96" t="n">
        <f aca="false">IF(G30="نعم",COUNTIF($G$2:G30,"نعم"),"")</f>
        <v>2</v>
      </c>
      <c r="I30" s="96" t="s">
        <v>699</v>
      </c>
    </row>
    <row r="31" customFormat="false" ht="15" hidden="false" customHeight="false" outlineLevel="0" collapsed="false">
      <c r="A31" s="62" t="s">
        <v>190</v>
      </c>
      <c r="B31" s="96" t="s">
        <v>181</v>
      </c>
      <c r="C31" s="96" t="s">
        <v>181</v>
      </c>
      <c r="D31" s="97" t="n">
        <v>1</v>
      </c>
      <c r="E31" s="98" t="n">
        <f aca="false">INDEX(المكونات!$C$2:$C$500,MATCH($A31,المكونات!$A$2:$A$500,0))*D31</f>
        <v>18</v>
      </c>
      <c r="F31" s="99" t="n">
        <v>1</v>
      </c>
      <c r="G31" s="99" t="s">
        <v>695</v>
      </c>
      <c r="H31" s="96" t="str">
        <f aca="false">IF(G31="نعم",COUNTIF($G$2:G31,"نعم"),"")</f>
        <v/>
      </c>
      <c r="I31" s="96" t="s">
        <v>697</v>
      </c>
    </row>
    <row r="32" customFormat="false" ht="15" hidden="false" customHeight="false" outlineLevel="0" collapsed="false">
      <c r="A32" s="62" t="s">
        <v>192</v>
      </c>
      <c r="B32" s="96" t="s">
        <v>196</v>
      </c>
      <c r="C32" s="96" t="s">
        <v>193</v>
      </c>
      <c r="D32" s="97" t="n">
        <v>200</v>
      </c>
      <c r="E32" s="98" t="n">
        <f aca="false">INDEX(المكونات!$C$2:$C$500,MATCH($A32,المكونات!$A$2:$A$500,0))*D32</f>
        <v>730</v>
      </c>
      <c r="F32" s="99" t="n">
        <v>1</v>
      </c>
      <c r="G32" s="99" t="s">
        <v>695</v>
      </c>
      <c r="H32" s="96" t="str">
        <f aca="false">IF(G32="نعم",COUNTIF($G$2:G32,"نعم"),"")</f>
        <v/>
      </c>
      <c r="I32" s="96" t="s">
        <v>696</v>
      </c>
    </row>
    <row r="33" customFormat="false" ht="15" hidden="false" customHeight="false" outlineLevel="0" collapsed="false">
      <c r="A33" s="62" t="s">
        <v>202</v>
      </c>
      <c r="B33" s="96" t="s">
        <v>123</v>
      </c>
      <c r="C33" s="96" t="s">
        <v>123</v>
      </c>
      <c r="D33" s="97" t="n">
        <v>1</v>
      </c>
      <c r="E33" s="98" t="n">
        <f aca="false">INDEX(المكونات!$C$2:$C$500,MATCH($A33,المكونات!$A$2:$A$500,0))*D33</f>
        <v>17.1875</v>
      </c>
      <c r="F33" s="99" t="n">
        <v>1</v>
      </c>
      <c r="G33" s="99" t="s">
        <v>695</v>
      </c>
      <c r="H33" s="96" t="str">
        <f aca="false">IF(G33="نعم",COUNTIF($G$2:G33,"نعم"),"")</f>
        <v/>
      </c>
      <c r="I33" s="96" t="s">
        <v>697</v>
      </c>
    </row>
    <row r="34" customFormat="false" ht="15" hidden="false" customHeight="false" outlineLevel="0" collapsed="false">
      <c r="A34" s="62" t="s">
        <v>204</v>
      </c>
      <c r="B34" s="96" t="s">
        <v>205</v>
      </c>
      <c r="C34" s="96" t="s">
        <v>205</v>
      </c>
      <c r="D34" s="97" t="n">
        <v>1</v>
      </c>
      <c r="E34" s="98" t="n">
        <f aca="false">INDEX(المكونات!$C$2:$C$500,MATCH($A34,المكونات!$A$2:$A$500,0))*D34</f>
        <v>30</v>
      </c>
      <c r="F34" s="99" t="n">
        <v>1</v>
      </c>
      <c r="G34" s="99" t="s">
        <v>695</v>
      </c>
      <c r="H34" s="96" t="str">
        <f aca="false">IF(G34="نعم",COUNTIF($G$2:G34,"نعم"),"")</f>
        <v/>
      </c>
      <c r="I34" s="96" t="s">
        <v>697</v>
      </c>
    </row>
    <row r="35" customFormat="false" ht="15" hidden="false" customHeight="false" outlineLevel="0" collapsed="false">
      <c r="A35" s="62" t="s">
        <v>207</v>
      </c>
      <c r="B35" s="96" t="s">
        <v>181</v>
      </c>
      <c r="C35" s="96" t="s">
        <v>181</v>
      </c>
      <c r="D35" s="97" t="n">
        <v>1</v>
      </c>
      <c r="E35" s="98" t="n">
        <f aca="false">INDEX(المكونات!$C$2:$C$500,MATCH($A35,المكونات!$A$2:$A$500,0))*D35</f>
        <v>105</v>
      </c>
      <c r="F35" s="99" t="n">
        <v>1</v>
      </c>
      <c r="G35" s="99" t="s">
        <v>695</v>
      </c>
      <c r="H35" s="96" t="str">
        <f aca="false">IF(G35="نعم",COUNTIF($G$2:G35,"نعم"),"")</f>
        <v/>
      </c>
      <c r="I35" s="96" t="s">
        <v>697</v>
      </c>
    </row>
    <row r="36" customFormat="false" ht="15" hidden="false" customHeight="false" outlineLevel="0" collapsed="false">
      <c r="A36" s="62" t="s">
        <v>211</v>
      </c>
      <c r="B36" s="96" t="s">
        <v>209</v>
      </c>
      <c r="C36" s="96" t="s">
        <v>212</v>
      </c>
      <c r="D36" s="97" t="n">
        <v>50</v>
      </c>
      <c r="E36" s="98" t="n">
        <f aca="false">INDEX(المكونات!$C$2:$C$500,MATCH($A36,المكونات!$A$2:$A$500,0))*D36</f>
        <v>9</v>
      </c>
      <c r="F36" s="99" t="n">
        <v>1</v>
      </c>
      <c r="G36" s="99" t="s">
        <v>695</v>
      </c>
      <c r="H36" s="96" t="str">
        <f aca="false">IF(G36="نعم",COUNTIF($G$2:G36,"نعم"),"")</f>
        <v/>
      </c>
      <c r="I36" s="96" t="s">
        <v>696</v>
      </c>
    </row>
    <row r="37" customFormat="false" ht="15" hidden="false" customHeight="false" outlineLevel="0" collapsed="false">
      <c r="A37" s="62" t="s">
        <v>214</v>
      </c>
      <c r="B37" s="96" t="s">
        <v>181</v>
      </c>
      <c r="C37" s="96" t="s">
        <v>181</v>
      </c>
      <c r="D37" s="97" t="n">
        <v>1</v>
      </c>
      <c r="E37" s="98" t="n">
        <f aca="false">INDEX(المكونات!$C$2:$C$500,MATCH($A37,المكونات!$A$2:$A$500,0))*D37</f>
        <v>200</v>
      </c>
      <c r="F37" s="99" t="n">
        <v>1</v>
      </c>
      <c r="G37" s="99" t="s">
        <v>695</v>
      </c>
      <c r="H37" s="96" t="str">
        <f aca="false">IF(G37="نعم",COUNTIF($G$2:G37,"نعم"),"")</f>
        <v/>
      </c>
      <c r="I37" s="96" t="s">
        <v>697</v>
      </c>
    </row>
    <row r="38" customFormat="false" ht="15" hidden="false" customHeight="false" outlineLevel="0" collapsed="false">
      <c r="A38" s="62" t="s">
        <v>217</v>
      </c>
      <c r="B38" s="96" t="s">
        <v>181</v>
      </c>
      <c r="C38" s="96" t="s">
        <v>181</v>
      </c>
      <c r="D38" s="97" t="n">
        <v>1</v>
      </c>
      <c r="E38" s="98" t="n">
        <f aca="false">INDEX(المكونات!$C$2:$C$500,MATCH($A38,المكونات!$A$2:$A$500,0))*D38</f>
        <v>30</v>
      </c>
      <c r="F38" s="99" t="n">
        <v>1</v>
      </c>
      <c r="G38" s="99" t="s">
        <v>695</v>
      </c>
      <c r="H38" s="96" t="str">
        <f aca="false">IF(G38="نعم",COUNTIF($G$2:G38,"نعم"),"")</f>
        <v/>
      </c>
      <c r="I38" s="96" t="s">
        <v>697</v>
      </c>
    </row>
    <row r="39" customFormat="false" ht="15" hidden="false" customHeight="false" outlineLevel="0" collapsed="false">
      <c r="A39" s="62" t="s">
        <v>218</v>
      </c>
      <c r="B39" s="96" t="s">
        <v>181</v>
      </c>
      <c r="C39" s="96" t="s">
        <v>181</v>
      </c>
      <c r="D39" s="97" t="n">
        <v>1</v>
      </c>
      <c r="E39" s="98" t="n">
        <f aca="false">INDEX(المكونات!$C$2:$C$500,MATCH($A39,المكونات!$A$2:$A$500,0))*D39</f>
        <v>20.3571</v>
      </c>
      <c r="F39" s="99" t="n">
        <v>1</v>
      </c>
      <c r="G39" s="99" t="s">
        <v>695</v>
      </c>
      <c r="H39" s="96" t="str">
        <f aca="false">IF(G39="نعم",COUNTIF($G$2:G39,"نعم"),"")</f>
        <v/>
      </c>
      <c r="I39" s="96" t="s">
        <v>697</v>
      </c>
    </row>
    <row r="40" customFormat="false" ht="15" hidden="false" customHeight="false" outlineLevel="0" collapsed="false">
      <c r="A40" s="62" t="s">
        <v>220</v>
      </c>
      <c r="B40" s="96" t="s">
        <v>181</v>
      </c>
      <c r="C40" s="96" t="s">
        <v>181</v>
      </c>
      <c r="D40" s="97" t="n">
        <v>1</v>
      </c>
      <c r="E40" s="98" t="n">
        <f aca="false">INDEX(المكونات!$C$2:$C$500,MATCH($A40,المكونات!$A$2:$A$500,0))*D40</f>
        <v>120</v>
      </c>
      <c r="F40" s="99" t="n">
        <v>1</v>
      </c>
      <c r="G40" s="99" t="s">
        <v>695</v>
      </c>
      <c r="H40" s="96" t="str">
        <f aca="false">IF(G40="نعم",COUNTIF($G$2:G40,"نعم"),"")</f>
        <v/>
      </c>
      <c r="I40" s="96" t="s">
        <v>697</v>
      </c>
    </row>
    <row r="41" customFormat="false" ht="15" hidden="false" customHeight="false" outlineLevel="0" collapsed="false">
      <c r="A41" s="62" t="s">
        <v>221</v>
      </c>
      <c r="B41" s="96" t="s">
        <v>181</v>
      </c>
      <c r="C41" s="96" t="s">
        <v>181</v>
      </c>
      <c r="D41" s="97" t="n">
        <v>1</v>
      </c>
      <c r="E41" s="98" t="n">
        <f aca="false">INDEX(المكونات!$C$2:$C$500,MATCH($A41,المكونات!$A$2:$A$500,0))*D41</f>
        <v>220</v>
      </c>
      <c r="F41" s="99" t="n">
        <v>1</v>
      </c>
      <c r="G41" s="99" t="s">
        <v>695</v>
      </c>
      <c r="H41" s="96" t="str">
        <f aca="false">IF(G41="نعم",COUNTIF($G$2:G41,"نعم"),"")</f>
        <v/>
      </c>
      <c r="I41" s="96" t="s">
        <v>697</v>
      </c>
    </row>
    <row r="42" customFormat="false" ht="15" hidden="false" customHeight="false" outlineLevel="0" collapsed="false">
      <c r="A42" s="62" t="s">
        <v>227</v>
      </c>
      <c r="B42" s="96" t="s">
        <v>181</v>
      </c>
      <c r="C42" s="96" t="s">
        <v>181</v>
      </c>
      <c r="D42" s="97" t="n">
        <v>1</v>
      </c>
      <c r="E42" s="98" t="n">
        <f aca="false">INDEX(المكونات!$C$2:$C$500,MATCH($A42,المكونات!$A$2:$A$500,0))*D42</f>
        <v>95</v>
      </c>
      <c r="F42" s="99" t="n">
        <v>1</v>
      </c>
      <c r="G42" s="99" t="s">
        <v>695</v>
      </c>
      <c r="H42" s="96" t="str">
        <f aca="false">IF(G42="نعم",COUNTIF($G$2:G42,"نعم"),"")</f>
        <v/>
      </c>
      <c r="I42" s="96" t="s">
        <v>697</v>
      </c>
    </row>
    <row r="43" customFormat="false" ht="15" hidden="false" customHeight="false" outlineLevel="0" collapsed="false">
      <c r="A43" s="62" t="s">
        <v>229</v>
      </c>
      <c r="B43" s="96" t="s">
        <v>181</v>
      </c>
      <c r="C43" s="96" t="s">
        <v>181</v>
      </c>
      <c r="D43" s="97" t="n">
        <v>1</v>
      </c>
      <c r="E43" s="98" t="n">
        <f aca="false">INDEX(المكونات!$C$2:$C$500,MATCH($A43,المكونات!$A$2:$A$500,0))*D43</f>
        <v>30.6593</v>
      </c>
      <c r="F43" s="99" t="n">
        <v>1</v>
      </c>
      <c r="G43" s="99" t="s">
        <v>695</v>
      </c>
      <c r="H43" s="96" t="str">
        <f aca="false">IF(G43="نعم",COUNTIF($G$2:G43,"نعم"),"")</f>
        <v/>
      </c>
      <c r="I43" s="96" t="s">
        <v>697</v>
      </c>
    </row>
    <row r="44" customFormat="false" ht="15" hidden="false" customHeight="false" outlineLevel="0" collapsed="false">
      <c r="A44" s="62" t="s">
        <v>232</v>
      </c>
      <c r="B44" s="96" t="s">
        <v>181</v>
      </c>
      <c r="C44" s="96" t="s">
        <v>181</v>
      </c>
      <c r="D44" s="97" t="n">
        <v>1</v>
      </c>
      <c r="E44" s="98" t="n">
        <f aca="false">INDEX(المكونات!$C$2:$C$500,MATCH($A44,المكونات!$A$2:$A$500,0))*D44</f>
        <v>380</v>
      </c>
      <c r="F44" s="99" t="n">
        <v>1</v>
      </c>
      <c r="G44" s="99" t="s">
        <v>695</v>
      </c>
      <c r="H44" s="96" t="str">
        <f aca="false">IF(G44="نعم",COUNTIF($G$2:G44,"نعم"),"")</f>
        <v/>
      </c>
      <c r="I44" s="96" t="s">
        <v>697</v>
      </c>
    </row>
    <row r="45" customFormat="false" ht="15" hidden="false" customHeight="false" outlineLevel="0" collapsed="false">
      <c r="A45" s="62" t="s">
        <v>234</v>
      </c>
      <c r="B45" s="96" t="s">
        <v>196</v>
      </c>
      <c r="C45" s="96" t="s">
        <v>235</v>
      </c>
      <c r="D45" s="97" t="n">
        <v>200</v>
      </c>
      <c r="E45" s="98" t="n">
        <f aca="false">INDEX(المكونات!$C$2:$C$500,MATCH($A45,المكونات!$A$2:$A$500,0))*D45</f>
        <v>503.78</v>
      </c>
      <c r="F45" s="99" t="n">
        <v>1</v>
      </c>
      <c r="G45" s="99" t="s">
        <v>695</v>
      </c>
      <c r="H45" s="96" t="str">
        <f aca="false">IF(G45="نعم",COUNTIF($G$2:G45,"نعم"),"")</f>
        <v/>
      </c>
      <c r="I45" s="96" t="s">
        <v>696</v>
      </c>
    </row>
    <row r="46" customFormat="false" ht="15" hidden="false" customHeight="false" outlineLevel="0" collapsed="false">
      <c r="A46" s="62" t="s">
        <v>239</v>
      </c>
      <c r="B46" s="96" t="s">
        <v>181</v>
      </c>
      <c r="C46" s="96" t="s">
        <v>123</v>
      </c>
      <c r="D46" s="97" t="n">
        <v>200</v>
      </c>
      <c r="E46" s="98" t="n">
        <f aca="false">INDEX(المكونات!$C$2:$C$500,MATCH($A46,المكونات!$A$2:$A$500,0))*D46</f>
        <v>135</v>
      </c>
      <c r="F46" s="99" t="n">
        <v>1</v>
      </c>
      <c r="G46" s="99" t="s">
        <v>695</v>
      </c>
      <c r="H46" s="96" t="str">
        <f aca="false">IF(G46="نعم",COUNTIF($G$2:G46,"نعم"),"")</f>
        <v/>
      </c>
      <c r="I46" s="96" t="s">
        <v>696</v>
      </c>
    </row>
    <row r="47" customFormat="false" ht="15" hidden="false" customHeight="false" outlineLevel="0" collapsed="false">
      <c r="A47" s="62" t="s">
        <v>243</v>
      </c>
      <c r="B47" s="96" t="s">
        <v>123</v>
      </c>
      <c r="C47" s="96" t="s">
        <v>123</v>
      </c>
      <c r="D47" s="97" t="n">
        <v>1</v>
      </c>
      <c r="E47" s="98" t="n">
        <f aca="false">INDEX(المكونات!$C$2:$C$500,MATCH($A47,المكونات!$A$2:$A$500,0))*D47</f>
        <v>0.3</v>
      </c>
      <c r="F47" s="99" t="n">
        <v>1</v>
      </c>
      <c r="G47" s="99" t="s">
        <v>695</v>
      </c>
      <c r="H47" s="96" t="str">
        <f aca="false">IF(G47="نعم",COUNTIF($G$2:G47,"نعم"),"")</f>
        <v/>
      </c>
      <c r="I47" s="96" t="s">
        <v>696</v>
      </c>
    </row>
    <row r="48" customFormat="false" ht="15" hidden="false" customHeight="false" outlineLevel="0" collapsed="false">
      <c r="A48" s="62" t="s">
        <v>245</v>
      </c>
      <c r="B48" s="96" t="s">
        <v>181</v>
      </c>
      <c r="C48" s="96" t="s">
        <v>181</v>
      </c>
      <c r="D48" s="97" t="n">
        <v>1</v>
      </c>
      <c r="E48" s="98" t="n">
        <f aca="false">INDEX(المكونات!$C$2:$C$500,MATCH($A48,المكونات!$A$2:$A$500,0))*D48</f>
        <v>127.6582</v>
      </c>
      <c r="F48" s="99" t="n">
        <v>1</v>
      </c>
      <c r="G48" s="99" t="s">
        <v>695</v>
      </c>
      <c r="H48" s="96" t="str">
        <f aca="false">IF(G48="نعم",COUNTIF($G$2:G48,"نعم"),"")</f>
        <v/>
      </c>
      <c r="I48" s="96" t="s">
        <v>697</v>
      </c>
    </row>
    <row r="49" customFormat="false" ht="15" hidden="false" customHeight="false" outlineLevel="0" collapsed="false">
      <c r="A49" s="62" t="s">
        <v>247</v>
      </c>
      <c r="B49" s="96" t="s">
        <v>181</v>
      </c>
      <c r="C49" s="96" t="s">
        <v>181</v>
      </c>
      <c r="D49" s="97" t="n">
        <v>1</v>
      </c>
      <c r="E49" s="98" t="n">
        <f aca="false">INDEX(المكونات!$C$2:$C$500,MATCH($A49,المكونات!$A$2:$A$500,0))*D49</f>
        <v>100</v>
      </c>
      <c r="F49" s="99" t="n">
        <v>1</v>
      </c>
      <c r="G49" s="99" t="s">
        <v>695</v>
      </c>
      <c r="H49" s="96" t="str">
        <f aca="false">IF(G49="نعم",COUNTIF($G$2:G49,"نعم"),"")</f>
        <v/>
      </c>
      <c r="I49" s="96" t="s">
        <v>697</v>
      </c>
    </row>
    <row r="50" customFormat="false" ht="15" hidden="false" customHeight="false" outlineLevel="0" collapsed="false">
      <c r="A50" s="62" t="s">
        <v>250</v>
      </c>
      <c r="B50" s="96" t="s">
        <v>181</v>
      </c>
      <c r="C50" s="96" t="s">
        <v>181</v>
      </c>
      <c r="D50" s="97" t="n">
        <v>1</v>
      </c>
      <c r="E50" s="98" t="n">
        <f aca="false">INDEX(المكونات!$C$2:$C$500,MATCH($A50,المكونات!$A$2:$A$500,0))*D50</f>
        <v>32</v>
      </c>
      <c r="F50" s="99" t="n">
        <v>1</v>
      </c>
      <c r="G50" s="99" t="s">
        <v>698</v>
      </c>
      <c r="H50" s="96" t="n">
        <f aca="false">IF(G50="نعم",COUNTIF($G$2:G50,"نعم"),"")</f>
        <v>3</v>
      </c>
      <c r="I50" s="96" t="s">
        <v>699</v>
      </c>
    </row>
    <row r="51" customFormat="false" ht="15" hidden="false" customHeight="false" outlineLevel="0" collapsed="false">
      <c r="A51" s="62" t="s">
        <v>252</v>
      </c>
      <c r="B51" s="96" t="s">
        <v>181</v>
      </c>
      <c r="C51" s="96" t="s">
        <v>181</v>
      </c>
      <c r="D51" s="97" t="n">
        <v>1</v>
      </c>
      <c r="E51" s="98" t="n">
        <f aca="false">INDEX(المكونات!$C$2:$C$500,MATCH($A51,المكونات!$A$2:$A$500,0))*D51</f>
        <v>70</v>
      </c>
      <c r="F51" s="99" t="n">
        <v>1</v>
      </c>
      <c r="G51" s="99" t="s">
        <v>695</v>
      </c>
      <c r="H51" s="96" t="str">
        <f aca="false">IF(G51="نعم",COUNTIF($G$2:G51,"نعم"),"")</f>
        <v/>
      </c>
      <c r="I51" s="96" t="s">
        <v>697</v>
      </c>
    </row>
    <row r="52" customFormat="false" ht="15" hidden="false" customHeight="false" outlineLevel="0" collapsed="false">
      <c r="A52" s="62" t="s">
        <v>254</v>
      </c>
      <c r="B52" s="96" t="s">
        <v>181</v>
      </c>
      <c r="C52" s="96" t="s">
        <v>181</v>
      </c>
      <c r="D52" s="97" t="n">
        <v>1</v>
      </c>
      <c r="E52" s="98" t="n">
        <f aca="false">INDEX(المكونات!$C$2:$C$500,MATCH($A52,المكونات!$A$2:$A$500,0))*D52</f>
        <v>140</v>
      </c>
      <c r="F52" s="99" t="n">
        <v>1</v>
      </c>
      <c r="G52" s="99" t="s">
        <v>695</v>
      </c>
      <c r="H52" s="96" t="str">
        <f aca="false">IF(G52="نعم",COUNTIF($G$2:G52,"نعم"),"")</f>
        <v/>
      </c>
      <c r="I52" s="96" t="s">
        <v>697</v>
      </c>
    </row>
    <row r="53" customFormat="false" ht="15" hidden="false" customHeight="false" outlineLevel="0" collapsed="false">
      <c r="A53" s="62" t="s">
        <v>256</v>
      </c>
      <c r="B53" s="96" t="s">
        <v>181</v>
      </c>
      <c r="C53" s="96" t="s">
        <v>181</v>
      </c>
      <c r="D53" s="97" t="n">
        <v>1</v>
      </c>
      <c r="E53" s="98" t="n">
        <f aca="false">INDEX(المكونات!$C$2:$C$500,MATCH($A53,المكونات!$A$2:$A$500,0))*D53</f>
        <v>105</v>
      </c>
      <c r="F53" s="99" t="n">
        <v>1</v>
      </c>
      <c r="G53" s="99" t="s">
        <v>695</v>
      </c>
      <c r="H53" s="96" t="str">
        <f aca="false">IF(G53="نعم",COUNTIF($G$2:G53,"نعم"),"")</f>
        <v/>
      </c>
      <c r="I53" s="96" t="s">
        <v>697</v>
      </c>
    </row>
    <row r="54" customFormat="false" ht="15" hidden="false" customHeight="false" outlineLevel="0" collapsed="false">
      <c r="A54" s="62" t="s">
        <v>258</v>
      </c>
      <c r="B54" s="96" t="s">
        <v>181</v>
      </c>
      <c r="C54" s="96" t="s">
        <v>181</v>
      </c>
      <c r="D54" s="97" t="n">
        <v>1</v>
      </c>
      <c r="E54" s="98" t="n">
        <f aca="false">INDEX(المكونات!$C$2:$C$500,MATCH($A54,المكونات!$A$2:$A$500,0))*D54</f>
        <v>140</v>
      </c>
      <c r="F54" s="99" t="n">
        <v>1</v>
      </c>
      <c r="G54" s="99" t="s">
        <v>695</v>
      </c>
      <c r="H54" s="96" t="str">
        <f aca="false">IF(G54="نعم",COUNTIF($G$2:G54,"نعم"),"")</f>
        <v/>
      </c>
      <c r="I54" s="96" t="s">
        <v>697</v>
      </c>
    </row>
    <row r="55" customFormat="false" ht="15" hidden="false" customHeight="false" outlineLevel="0" collapsed="false">
      <c r="A55" s="62" t="s">
        <v>260</v>
      </c>
      <c r="B55" s="96" t="s">
        <v>181</v>
      </c>
      <c r="C55" s="96" t="s">
        <v>181</v>
      </c>
      <c r="D55" s="97" t="n">
        <v>1</v>
      </c>
      <c r="E55" s="98" t="n">
        <f aca="false">INDEX(المكونات!$C$2:$C$500,MATCH($A55,المكونات!$A$2:$A$500,0))*D55</f>
        <v>21</v>
      </c>
      <c r="F55" s="99" t="n">
        <v>1</v>
      </c>
      <c r="G55" s="99" t="s">
        <v>695</v>
      </c>
      <c r="H55" s="96" t="str">
        <f aca="false">IF(G55="نعم",COUNTIF($G$2:G55,"نعم"),"")</f>
        <v/>
      </c>
      <c r="I55" s="96" t="s">
        <v>697</v>
      </c>
    </row>
    <row r="56" customFormat="false" ht="15" hidden="false" customHeight="false" outlineLevel="0" collapsed="false">
      <c r="A56" s="62" t="s">
        <v>262</v>
      </c>
      <c r="B56" s="96" t="s">
        <v>181</v>
      </c>
      <c r="C56" s="96" t="s">
        <v>181</v>
      </c>
      <c r="D56" s="97" t="n">
        <v>1</v>
      </c>
      <c r="E56" s="98" t="n">
        <f aca="false">INDEX(المكونات!$C$2:$C$500,MATCH($A56,المكونات!$A$2:$A$500,0))*D56</f>
        <v>22</v>
      </c>
      <c r="F56" s="99" t="n">
        <v>1</v>
      </c>
      <c r="G56" s="99" t="s">
        <v>698</v>
      </c>
      <c r="H56" s="96" t="n">
        <f aca="false">IF(G56="نعم",COUNTIF($G$2:G56,"نعم"),"")</f>
        <v>4</v>
      </c>
      <c r="I56" s="96" t="s">
        <v>699</v>
      </c>
    </row>
    <row r="57" customFormat="false" ht="15" hidden="false" customHeight="false" outlineLevel="0" collapsed="false">
      <c r="A57" s="62" t="s">
        <v>264</v>
      </c>
      <c r="B57" s="96" t="s">
        <v>123</v>
      </c>
      <c r="C57" s="96" t="s">
        <v>123</v>
      </c>
      <c r="D57" s="97" t="n">
        <v>1</v>
      </c>
      <c r="E57" s="98" t="n">
        <f aca="false">INDEX(المكونات!$C$2:$C$500,MATCH($A57,المكونات!$A$2:$A$500,0))*D57</f>
        <v>4</v>
      </c>
      <c r="F57" s="99" t="n">
        <v>1</v>
      </c>
      <c r="G57" s="99" t="s">
        <v>698</v>
      </c>
      <c r="H57" s="96" t="n">
        <f aca="false">IF(G57="نعم",COUNTIF($G$2:G57,"نعم"),"")</f>
        <v>5</v>
      </c>
      <c r="I57" s="96" t="s">
        <v>699</v>
      </c>
    </row>
    <row r="58" customFormat="false" ht="15" hidden="false" customHeight="false" outlineLevel="0" collapsed="false">
      <c r="A58" s="62" t="s">
        <v>266</v>
      </c>
      <c r="B58" s="96" t="s">
        <v>181</v>
      </c>
      <c r="C58" s="96" t="s">
        <v>181</v>
      </c>
      <c r="D58" s="97" t="n">
        <v>1</v>
      </c>
      <c r="E58" s="98" t="n">
        <f aca="false">INDEX(المكونات!$C$2:$C$500,MATCH($A58,المكونات!$A$2:$A$500,0))*D58</f>
        <v>140</v>
      </c>
      <c r="F58" s="99" t="n">
        <v>1</v>
      </c>
      <c r="G58" s="99" t="s">
        <v>695</v>
      </c>
      <c r="H58" s="96" t="str">
        <f aca="false">IF(G58="نعم",COUNTIF($G$2:G58,"نعم"),"")</f>
        <v/>
      </c>
      <c r="I58" s="96" t="s">
        <v>697</v>
      </c>
    </row>
    <row r="59" customFormat="false" ht="15" hidden="false" customHeight="false" outlineLevel="0" collapsed="false">
      <c r="A59" s="62" t="s">
        <v>268</v>
      </c>
      <c r="B59" s="96" t="s">
        <v>123</v>
      </c>
      <c r="C59" s="96" t="s">
        <v>123</v>
      </c>
      <c r="D59" s="97" t="n">
        <v>1</v>
      </c>
      <c r="E59" s="98" t="n">
        <f aca="false">INDEX(المكونات!$C$2:$C$500,MATCH($A59,المكونات!$A$2:$A$500,0))*D59</f>
        <v>5.5</v>
      </c>
      <c r="F59" s="99" t="n">
        <v>1</v>
      </c>
      <c r="G59" s="99" t="s">
        <v>695</v>
      </c>
      <c r="H59" s="96" t="str">
        <f aca="false">IF(G59="نعم",COUNTIF($G$2:G59,"نعم"),"")</f>
        <v/>
      </c>
      <c r="I59" s="96" t="s">
        <v>696</v>
      </c>
    </row>
    <row r="60" customFormat="false" ht="15" hidden="false" customHeight="false" outlineLevel="0" collapsed="false">
      <c r="A60" s="62" t="s">
        <v>270</v>
      </c>
      <c r="B60" s="96" t="s">
        <v>123</v>
      </c>
      <c r="C60" s="96" t="s">
        <v>123</v>
      </c>
      <c r="D60" s="97" t="n">
        <v>1</v>
      </c>
      <c r="E60" s="98" t="n">
        <f aca="false">INDEX(المكونات!$C$2:$C$500,MATCH($A60,المكونات!$A$2:$A$500,0))*D60</f>
        <v>4.5</v>
      </c>
      <c r="F60" s="99" t="n">
        <v>1</v>
      </c>
      <c r="G60" s="99" t="s">
        <v>695</v>
      </c>
      <c r="H60" s="96" t="str">
        <f aca="false">IF(G60="نعم",COUNTIF($G$2:G60,"نعم"),"")</f>
        <v/>
      </c>
      <c r="I60" s="96" t="s">
        <v>696</v>
      </c>
    </row>
    <row r="61" customFormat="false" ht="15" hidden="false" customHeight="false" outlineLevel="0" collapsed="false">
      <c r="A61" s="62" t="s">
        <v>274</v>
      </c>
      <c r="B61" s="96" t="s">
        <v>123</v>
      </c>
      <c r="C61" s="96" t="s">
        <v>123</v>
      </c>
      <c r="D61" s="97" t="n">
        <v>1</v>
      </c>
      <c r="E61" s="98" t="n">
        <f aca="false">INDEX(المكونات!$C$2:$C$500,MATCH($A61,المكونات!$A$2:$A$500,0))*D61</f>
        <v>1.7</v>
      </c>
      <c r="F61" s="99" t="n">
        <v>1</v>
      </c>
      <c r="G61" s="99" t="s">
        <v>695</v>
      </c>
      <c r="H61" s="96" t="str">
        <f aca="false">IF(G61="نعم",COUNTIF($G$2:G61,"نعم"),"")</f>
        <v/>
      </c>
      <c r="I61" s="96" t="s">
        <v>696</v>
      </c>
    </row>
    <row r="62" customFormat="false" ht="15" hidden="false" customHeight="false" outlineLevel="0" collapsed="false">
      <c r="A62" s="62" t="s">
        <v>276</v>
      </c>
      <c r="B62" s="96" t="s">
        <v>123</v>
      </c>
      <c r="C62" s="96" t="s">
        <v>123</v>
      </c>
      <c r="D62" s="97" t="n">
        <v>1</v>
      </c>
      <c r="E62" s="98" t="n">
        <f aca="false">INDEX(المكونات!$C$2:$C$500,MATCH($A62,المكونات!$A$2:$A$500,0))*D62</f>
        <v>2</v>
      </c>
      <c r="F62" s="99" t="n">
        <v>1</v>
      </c>
      <c r="G62" s="99" t="s">
        <v>695</v>
      </c>
      <c r="H62" s="96" t="str">
        <f aca="false">IF(G62="نعم",COUNTIF($G$2:G62,"نعم"),"")</f>
        <v/>
      </c>
      <c r="I62" s="96" t="s">
        <v>696</v>
      </c>
    </row>
    <row r="63" customFormat="false" ht="15" hidden="false" customHeight="false" outlineLevel="0" collapsed="false">
      <c r="A63" s="62" t="s">
        <v>278</v>
      </c>
      <c r="B63" s="96" t="s">
        <v>123</v>
      </c>
      <c r="C63" s="96" t="s">
        <v>123</v>
      </c>
      <c r="D63" s="97" t="n">
        <v>1</v>
      </c>
      <c r="E63" s="98" t="n">
        <f aca="false">INDEX(المكونات!$C$2:$C$500,MATCH($A63,المكونات!$A$2:$A$500,0))*D63</f>
        <v>3.1</v>
      </c>
      <c r="F63" s="99" t="n">
        <v>1</v>
      </c>
      <c r="G63" s="99" t="s">
        <v>695</v>
      </c>
      <c r="H63" s="96" t="str">
        <f aca="false">IF(G63="نعم",COUNTIF($G$2:G63,"نعم"),"")</f>
        <v/>
      </c>
      <c r="I63" s="96" t="s">
        <v>696</v>
      </c>
    </row>
    <row r="64" customFormat="false" ht="15" hidden="false" customHeight="false" outlineLevel="0" collapsed="false">
      <c r="A64" s="62" t="s">
        <v>280</v>
      </c>
      <c r="B64" s="96" t="s">
        <v>123</v>
      </c>
      <c r="C64" s="96" t="s">
        <v>123</v>
      </c>
      <c r="D64" s="97" t="n">
        <v>1</v>
      </c>
      <c r="E64" s="98" t="n">
        <f aca="false">INDEX(المكونات!$C$2:$C$500,MATCH($A64,المكونات!$A$2:$A$500,0))*D64</f>
        <v>42.03</v>
      </c>
      <c r="F64" s="99" t="n">
        <v>1</v>
      </c>
      <c r="G64" s="99" t="s">
        <v>695</v>
      </c>
      <c r="H64" s="96" t="str">
        <f aca="false">IF(G64="نعم",COUNTIF($G$2:G64,"نعم"),"")</f>
        <v/>
      </c>
      <c r="I64" s="96" t="s">
        <v>696</v>
      </c>
    </row>
    <row r="65" customFormat="false" ht="15" hidden="false" customHeight="false" outlineLevel="0" collapsed="false">
      <c r="A65" s="62" t="s">
        <v>282</v>
      </c>
      <c r="B65" s="96" t="s">
        <v>181</v>
      </c>
      <c r="C65" s="96" t="s">
        <v>181</v>
      </c>
      <c r="D65" s="97" t="n">
        <v>1</v>
      </c>
      <c r="E65" s="98" t="n">
        <f aca="false">INDEX(المكونات!$C$2:$C$500,MATCH($A65,المكونات!$A$2:$A$500,0))*D65</f>
        <v>150</v>
      </c>
      <c r="F65" s="99" t="n">
        <v>1</v>
      </c>
      <c r="G65" s="99" t="s">
        <v>695</v>
      </c>
      <c r="H65" s="96" t="str">
        <f aca="false">IF(G65="نعم",COUNTIF($G$2:G65,"نعم"),"")</f>
        <v/>
      </c>
      <c r="I65" s="96" t="s">
        <v>697</v>
      </c>
    </row>
    <row r="66" customFormat="false" ht="15" hidden="false" customHeight="false" outlineLevel="0" collapsed="false">
      <c r="A66" s="62" t="s">
        <v>284</v>
      </c>
      <c r="B66" s="96" t="s">
        <v>181</v>
      </c>
      <c r="C66" s="96" t="s">
        <v>181</v>
      </c>
      <c r="D66" s="97" t="n">
        <v>1</v>
      </c>
      <c r="E66" s="98" t="n">
        <f aca="false">INDEX(المكونات!$C$2:$C$500,MATCH($A66,المكونات!$A$2:$A$500,0))*D66</f>
        <v>27</v>
      </c>
      <c r="F66" s="99" t="n">
        <v>1</v>
      </c>
      <c r="G66" s="99" t="s">
        <v>695</v>
      </c>
      <c r="H66" s="96" t="str">
        <f aca="false">IF(G66="نعم",COUNTIF($G$2:G66,"نعم"),"")</f>
        <v/>
      </c>
      <c r="I66" s="96" t="s">
        <v>697</v>
      </c>
    </row>
    <row r="67" customFormat="false" ht="15" hidden="false" customHeight="false" outlineLevel="0" collapsed="false">
      <c r="A67" s="62" t="s">
        <v>288</v>
      </c>
      <c r="B67" s="96" t="s">
        <v>123</v>
      </c>
      <c r="C67" s="96" t="s">
        <v>123</v>
      </c>
      <c r="D67" s="97" t="n">
        <v>1</v>
      </c>
      <c r="E67" s="98" t="n">
        <f aca="false">INDEX(المكونات!$C$2:$C$500,MATCH($A67,المكونات!$A$2:$A$500,0))*D67</f>
        <v>7</v>
      </c>
      <c r="F67" s="99" t="n">
        <v>1</v>
      </c>
      <c r="G67" s="99" t="s">
        <v>695</v>
      </c>
      <c r="H67" s="96" t="str">
        <f aca="false">IF(G67="نعم",COUNTIF($G$2:G67,"نعم"),"")</f>
        <v/>
      </c>
      <c r="I67" s="96" t="s">
        <v>697</v>
      </c>
    </row>
    <row r="68" customFormat="false" ht="15" hidden="false" customHeight="false" outlineLevel="0" collapsed="false">
      <c r="A68" s="62" t="s">
        <v>290</v>
      </c>
      <c r="B68" s="96" t="s">
        <v>123</v>
      </c>
      <c r="C68" s="96" t="s">
        <v>123</v>
      </c>
      <c r="D68" s="97" t="n">
        <v>1</v>
      </c>
      <c r="E68" s="98" t="n">
        <f aca="false">INDEX(المكونات!$C$2:$C$500,MATCH($A68,المكونات!$A$2:$A$500,0))*D68</f>
        <v>0.3</v>
      </c>
      <c r="F68" s="99" t="n">
        <v>1</v>
      </c>
      <c r="G68" s="99" t="s">
        <v>695</v>
      </c>
      <c r="H68" s="96" t="str">
        <f aca="false">IF(G68="نعم",COUNTIF($G$2:G68,"نعم"),"")</f>
        <v/>
      </c>
      <c r="I68" s="96" t="s">
        <v>696</v>
      </c>
    </row>
    <row r="69" customFormat="false" ht="15" hidden="false" customHeight="false" outlineLevel="0" collapsed="false">
      <c r="A69" s="62" t="s">
        <v>291</v>
      </c>
      <c r="B69" s="96" t="s">
        <v>181</v>
      </c>
      <c r="C69" s="96" t="s">
        <v>181</v>
      </c>
      <c r="D69" s="97" t="n">
        <v>1</v>
      </c>
      <c r="E69" s="98" t="n">
        <f aca="false">INDEX(المكونات!$C$2:$C$500,MATCH($A69,المكونات!$A$2:$A$500,0))*D69</f>
        <v>90</v>
      </c>
      <c r="F69" s="99" t="n">
        <v>1</v>
      </c>
      <c r="G69" s="99" t="s">
        <v>695</v>
      </c>
      <c r="H69" s="96" t="str">
        <f aca="false">IF(G69="نعم",COUNTIF($G$2:G69,"نعم"),"")</f>
        <v/>
      </c>
      <c r="I69" s="96" t="s">
        <v>697</v>
      </c>
    </row>
    <row r="70" customFormat="false" ht="15" hidden="false" customHeight="false" outlineLevel="0" collapsed="false">
      <c r="A70" s="62" t="s">
        <v>293</v>
      </c>
      <c r="B70" s="96" t="s">
        <v>123</v>
      </c>
      <c r="C70" s="96" t="s">
        <v>123</v>
      </c>
      <c r="D70" s="97" t="n">
        <v>1</v>
      </c>
      <c r="E70" s="98" t="n">
        <f aca="false">INDEX(المكونات!$C$2:$C$500,MATCH($A70,المكونات!$A$2:$A$500,0))*D70</f>
        <v>0.5</v>
      </c>
      <c r="F70" s="99" t="n">
        <v>1</v>
      </c>
      <c r="G70" s="99" t="s">
        <v>695</v>
      </c>
      <c r="H70" s="96" t="str">
        <f aca="false">IF(G70="نعم",COUNTIF($G$2:G70,"نعم"),"")</f>
        <v/>
      </c>
      <c r="I70" s="96" t="s">
        <v>696</v>
      </c>
    </row>
    <row r="71" customFormat="false" ht="15" hidden="false" customHeight="false" outlineLevel="0" collapsed="false">
      <c r="A71" s="62" t="s">
        <v>295</v>
      </c>
      <c r="B71" s="96" t="s">
        <v>181</v>
      </c>
      <c r="C71" s="96" t="s">
        <v>181</v>
      </c>
      <c r="D71" s="97" t="n">
        <v>1</v>
      </c>
      <c r="E71" s="98" t="n">
        <f aca="false">INDEX(المكونات!$C$2:$C$500,MATCH($A71,المكونات!$A$2:$A$500,0))*D71</f>
        <v>420</v>
      </c>
      <c r="F71" s="99" t="n">
        <v>1</v>
      </c>
      <c r="G71" s="99" t="s">
        <v>695</v>
      </c>
      <c r="H71" s="96" t="str">
        <f aca="false">IF(G71="نعم",COUNTIF($G$2:G71,"نعم"),"")</f>
        <v/>
      </c>
      <c r="I71" s="96" t="s">
        <v>697</v>
      </c>
    </row>
    <row r="72" customFormat="false" ht="15" hidden="false" customHeight="false" outlineLevel="0" collapsed="false">
      <c r="A72" s="62" t="s">
        <v>297</v>
      </c>
      <c r="B72" s="96" t="s">
        <v>123</v>
      </c>
      <c r="C72" s="96" t="s">
        <v>123</v>
      </c>
      <c r="D72" s="97" t="n">
        <v>1</v>
      </c>
      <c r="E72" s="98" t="n">
        <f aca="false">INDEX(المكونات!$C$2:$C$500,MATCH($A72,المكونات!$A$2:$A$500,0))*D72</f>
        <v>2</v>
      </c>
      <c r="F72" s="99" t="n">
        <v>1</v>
      </c>
      <c r="G72" s="99" t="s">
        <v>695</v>
      </c>
      <c r="H72" s="96" t="str">
        <f aca="false">IF(G72="نعم",COUNTIF($G$2:G72,"نعم"),"")</f>
        <v/>
      </c>
      <c r="I72" s="96" t="s">
        <v>696</v>
      </c>
    </row>
    <row r="73" customFormat="false" ht="15" hidden="false" customHeight="false" outlineLevel="0" collapsed="false">
      <c r="A73" s="62" t="s">
        <v>298</v>
      </c>
      <c r="B73" s="96" t="s">
        <v>205</v>
      </c>
      <c r="C73" s="96" t="s">
        <v>205</v>
      </c>
      <c r="D73" s="97" t="n">
        <v>1</v>
      </c>
      <c r="E73" s="98" t="n">
        <f aca="false">INDEX(المكونات!$C$2:$C$500,MATCH($A73,المكونات!$A$2:$A$500,0))*D73</f>
        <v>20.6667</v>
      </c>
      <c r="F73" s="99" t="n">
        <v>1</v>
      </c>
      <c r="G73" s="99" t="s">
        <v>695</v>
      </c>
      <c r="H73" s="96" t="str">
        <f aca="false">IF(G73="نعم",COUNTIF($G$2:G73,"نعم"),"")</f>
        <v/>
      </c>
      <c r="I73" s="96" t="s">
        <v>697</v>
      </c>
    </row>
    <row r="74" customFormat="false" ht="15" hidden="false" customHeight="false" outlineLevel="0" collapsed="false">
      <c r="A74" s="62" t="s">
        <v>300</v>
      </c>
      <c r="B74" s="96" t="s">
        <v>123</v>
      </c>
      <c r="C74" s="96" t="s">
        <v>123</v>
      </c>
      <c r="D74" s="97" t="n">
        <v>1</v>
      </c>
      <c r="E74" s="98" t="n">
        <f aca="false">INDEX(المكونات!$C$2:$C$500,MATCH($A74,المكونات!$A$2:$A$500,0))*D74</f>
        <v>6</v>
      </c>
      <c r="F74" s="99" t="n">
        <v>1</v>
      </c>
      <c r="G74" s="99" t="s">
        <v>695</v>
      </c>
      <c r="H74" s="96" t="str">
        <f aca="false">IF(G74="نعم",COUNTIF($G$2:G74,"نعم"),"")</f>
        <v/>
      </c>
      <c r="I74" s="96" t="s">
        <v>697</v>
      </c>
    </row>
    <row r="75" customFormat="false" ht="15" hidden="false" customHeight="false" outlineLevel="0" collapsed="false">
      <c r="A75" s="62" t="s">
        <v>302</v>
      </c>
      <c r="B75" s="96" t="s">
        <v>181</v>
      </c>
      <c r="C75" s="96" t="s">
        <v>181</v>
      </c>
      <c r="D75" s="97" t="n">
        <v>1</v>
      </c>
      <c r="E75" s="98" t="n">
        <f aca="false">INDEX(المكونات!$C$2:$C$500,MATCH($A75,المكونات!$A$2:$A$500,0))*D75</f>
        <v>135</v>
      </c>
      <c r="F75" s="99" t="n">
        <v>1</v>
      </c>
      <c r="G75" s="99" t="s">
        <v>695</v>
      </c>
      <c r="H75" s="96" t="str">
        <f aca="false">IF(G75="نعم",COUNTIF($G$2:G75,"نعم"),"")</f>
        <v/>
      </c>
      <c r="I75" s="96" t="s">
        <v>697</v>
      </c>
    </row>
    <row r="76" customFormat="false" ht="15" hidden="false" customHeight="false" outlineLevel="0" collapsed="false">
      <c r="A76" s="62" t="s">
        <v>307</v>
      </c>
      <c r="B76" s="96" t="s">
        <v>181</v>
      </c>
      <c r="C76" s="96" t="s">
        <v>181</v>
      </c>
      <c r="D76" s="97" t="n">
        <v>1</v>
      </c>
      <c r="E76" s="98" t="n">
        <f aca="false">INDEX(المكونات!$C$2:$C$500,MATCH($A76,المكونات!$A$2:$A$500,0))*D76</f>
        <v>151.2027</v>
      </c>
      <c r="F76" s="99" t="n">
        <v>1</v>
      </c>
      <c r="G76" s="99" t="s">
        <v>695</v>
      </c>
      <c r="H76" s="96" t="str">
        <f aca="false">IF(G76="نعم",COUNTIF($G$2:G76,"نعم"),"")</f>
        <v/>
      </c>
      <c r="I76" s="96" t="s">
        <v>697</v>
      </c>
    </row>
    <row r="77" customFormat="false" ht="15" hidden="false" customHeight="false" outlineLevel="0" collapsed="false">
      <c r="A77" s="62" t="s">
        <v>309</v>
      </c>
      <c r="B77" s="96" t="s">
        <v>181</v>
      </c>
      <c r="C77" s="96" t="s">
        <v>181</v>
      </c>
      <c r="D77" s="97" t="n">
        <v>1</v>
      </c>
      <c r="E77" s="98" t="n">
        <f aca="false">INDEX(المكونات!$C$2:$C$500,MATCH($A77,المكونات!$A$2:$A$500,0))*D77</f>
        <v>24</v>
      </c>
      <c r="F77" s="99" t="n">
        <v>1</v>
      </c>
      <c r="G77" s="99" t="s">
        <v>695</v>
      </c>
      <c r="H77" s="96" t="str">
        <f aca="false">IF(G77="نعم",COUNTIF($G$2:G77,"نعم"),"")</f>
        <v/>
      </c>
      <c r="I77" s="96" t="s">
        <v>697</v>
      </c>
    </row>
    <row r="78" customFormat="false" ht="15" hidden="false" customHeight="false" outlineLevel="0" collapsed="false">
      <c r="A78" s="62" t="s">
        <v>317</v>
      </c>
      <c r="B78" s="96" t="s">
        <v>181</v>
      </c>
      <c r="C78" s="96" t="s">
        <v>181</v>
      </c>
      <c r="D78" s="97" t="n">
        <v>1</v>
      </c>
      <c r="E78" s="98" t="n">
        <f aca="false">INDEX(المكونات!$C$2:$C$500,MATCH($A78,المكونات!$A$2:$A$500,0))*D78</f>
        <v>610</v>
      </c>
      <c r="F78" s="99" t="n">
        <v>1</v>
      </c>
      <c r="G78" s="99" t="s">
        <v>695</v>
      </c>
      <c r="H78" s="96" t="str">
        <f aca="false">IF(G78="نعم",COUNTIF($G$2:G78,"نعم"),"")</f>
        <v/>
      </c>
      <c r="I78" s="96" t="s">
        <v>697</v>
      </c>
    </row>
    <row r="79" customFormat="false" ht="15" hidden="false" customHeight="false" outlineLevel="0" collapsed="false">
      <c r="A79" s="62" t="s">
        <v>319</v>
      </c>
      <c r="B79" s="96" t="s">
        <v>181</v>
      </c>
      <c r="C79" s="96" t="s">
        <v>320</v>
      </c>
      <c r="D79" s="97" t="n">
        <v>125</v>
      </c>
      <c r="E79" s="98" t="n">
        <f aca="false">INDEX(المكونات!$C$2:$C$500,MATCH($A79,المكونات!$A$2:$A$500,0))*D79</f>
        <v>45.8125</v>
      </c>
      <c r="F79" s="99" t="n">
        <v>1</v>
      </c>
      <c r="G79" s="99" t="s">
        <v>695</v>
      </c>
      <c r="H79" s="96" t="str">
        <f aca="false">IF(G79="نعم",COUNTIF($G$2:G79,"نعم"),"")</f>
        <v/>
      </c>
      <c r="I79" s="96" t="s">
        <v>696</v>
      </c>
    </row>
    <row r="80" customFormat="false" ht="15" hidden="false" customHeight="false" outlineLevel="0" collapsed="false">
      <c r="A80" s="62" t="s">
        <v>322</v>
      </c>
      <c r="B80" s="96" t="s">
        <v>181</v>
      </c>
      <c r="C80" s="96" t="s">
        <v>134</v>
      </c>
      <c r="D80" s="97" t="n">
        <v>200</v>
      </c>
      <c r="E80" s="98" t="n">
        <f aca="false">INDEX(المكونات!$C$2:$C$500,MATCH($A80,المكونات!$A$2:$A$500,0))*D80</f>
        <v>200</v>
      </c>
      <c r="F80" s="99" t="n">
        <v>1</v>
      </c>
      <c r="G80" s="99" t="s">
        <v>695</v>
      </c>
      <c r="H80" s="96" t="str">
        <f aca="false">IF(G80="نعم",COUNTIF($G$2:G80,"نعم"),"")</f>
        <v/>
      </c>
      <c r="I80" s="96" t="s">
        <v>696</v>
      </c>
    </row>
    <row r="81" customFormat="false" ht="15" hidden="false" customHeight="false" outlineLevel="0" collapsed="false">
      <c r="A81" s="62" t="s">
        <v>328</v>
      </c>
      <c r="B81" s="96" t="s">
        <v>123</v>
      </c>
      <c r="C81" s="96" t="s">
        <v>123</v>
      </c>
      <c r="D81" s="97" t="n">
        <v>1</v>
      </c>
      <c r="E81" s="98" t="n">
        <f aca="false">INDEX(المكونات!$C$2:$C$500,MATCH($A81,المكونات!$A$2:$A$500,0))*D81</f>
        <v>4.47</v>
      </c>
      <c r="F81" s="99" t="n">
        <v>1</v>
      </c>
      <c r="G81" s="99" t="s">
        <v>695</v>
      </c>
      <c r="H81" s="96" t="str">
        <f aca="false">IF(G81="نعم",COUNTIF($G$2:G81,"نعم"),"")</f>
        <v/>
      </c>
      <c r="I81" s="96" t="s">
        <v>696</v>
      </c>
    </row>
    <row r="82" customFormat="false" ht="15" hidden="false" customHeight="false" outlineLevel="0" collapsed="false">
      <c r="A82" s="62" t="s">
        <v>336</v>
      </c>
      <c r="B82" s="96" t="s">
        <v>181</v>
      </c>
      <c r="C82" s="96" t="s">
        <v>181</v>
      </c>
      <c r="D82" s="97" t="n">
        <v>1</v>
      </c>
      <c r="E82" s="98" t="n">
        <f aca="false">INDEX(المكونات!$C$2:$C$500,MATCH($A82,المكونات!$A$2:$A$500,0))*D82</f>
        <v>220.02</v>
      </c>
      <c r="F82" s="99" t="n">
        <v>1</v>
      </c>
      <c r="G82" s="99" t="s">
        <v>695</v>
      </c>
      <c r="H82" s="96" t="str">
        <f aca="false">IF(G82="نعم",COUNTIF($G$2:G82,"نعم"),"")</f>
        <v/>
      </c>
      <c r="I82" s="96" t="s">
        <v>697</v>
      </c>
    </row>
    <row r="83" customFormat="false" ht="15" hidden="false" customHeight="false" outlineLevel="0" collapsed="false">
      <c r="A83" s="62" t="s">
        <v>338</v>
      </c>
      <c r="B83" s="96" t="s">
        <v>181</v>
      </c>
      <c r="C83" s="96" t="s">
        <v>181</v>
      </c>
      <c r="D83" s="97" t="n">
        <v>1</v>
      </c>
      <c r="E83" s="98" t="n">
        <f aca="false">INDEX(المكونات!$C$2:$C$500,MATCH($A83,المكونات!$A$2:$A$500,0))*D83</f>
        <v>219.23</v>
      </c>
      <c r="F83" s="99" t="n">
        <v>1</v>
      </c>
      <c r="G83" s="99" t="s">
        <v>695</v>
      </c>
      <c r="H83" s="96" t="str">
        <f aca="false">IF(G83="نعم",COUNTIF($G$2:G83,"نعم"),"")</f>
        <v/>
      </c>
      <c r="I83" s="96" t="s">
        <v>697</v>
      </c>
    </row>
    <row r="84" customFormat="false" ht="15" hidden="false" customHeight="false" outlineLevel="0" collapsed="false">
      <c r="A84" s="62" t="s">
        <v>340</v>
      </c>
      <c r="B84" s="96" t="s">
        <v>123</v>
      </c>
      <c r="C84" s="96" t="s">
        <v>123</v>
      </c>
      <c r="D84" s="97" t="n">
        <v>1</v>
      </c>
      <c r="E84" s="98" t="n">
        <f aca="false">INDEX(المكونات!$C$2:$C$500,MATCH($A84,المكونات!$A$2:$A$500,0))*D84</f>
        <v>6</v>
      </c>
      <c r="F84" s="99" t="n">
        <v>1</v>
      </c>
      <c r="G84" s="99" t="s">
        <v>695</v>
      </c>
      <c r="H84" s="96" t="str">
        <f aca="false">IF(G84="نعم",COUNTIF($G$2:G84,"نعم"),"")</f>
        <v/>
      </c>
      <c r="I84" s="96" t="s">
        <v>697</v>
      </c>
    </row>
    <row r="85" customFormat="false" ht="15" hidden="false" customHeight="false" outlineLevel="0" collapsed="false">
      <c r="A85" s="62" t="s">
        <v>342</v>
      </c>
      <c r="B85" s="96" t="s">
        <v>123</v>
      </c>
      <c r="C85" s="96" t="s">
        <v>123</v>
      </c>
      <c r="D85" s="97" t="n">
        <v>1</v>
      </c>
      <c r="E85" s="98" t="n">
        <f aca="false">INDEX(المكونات!$C$2:$C$500,MATCH($A85,المكونات!$A$2:$A$500,0))*D85</f>
        <v>0.3</v>
      </c>
      <c r="F85" s="99" t="n">
        <v>1</v>
      </c>
      <c r="G85" s="99" t="s">
        <v>695</v>
      </c>
      <c r="H85" s="96" t="str">
        <f aca="false">IF(G85="نعم",COUNTIF($G$2:G85,"نعم"),"")</f>
        <v/>
      </c>
      <c r="I85" s="96" t="s">
        <v>696</v>
      </c>
    </row>
    <row r="86" customFormat="false" ht="15" hidden="false" customHeight="false" outlineLevel="0" collapsed="false">
      <c r="A86" s="62" t="s">
        <v>344</v>
      </c>
      <c r="B86" s="96" t="s">
        <v>123</v>
      </c>
      <c r="C86" s="96" t="s">
        <v>123</v>
      </c>
      <c r="D86" s="97" t="n">
        <v>1</v>
      </c>
      <c r="E86" s="98" t="n">
        <f aca="false">INDEX(المكونات!$C$2:$C$500,MATCH($A86,المكونات!$A$2:$A$500,0))*D86</f>
        <v>4.44</v>
      </c>
      <c r="F86" s="99" t="n">
        <v>1</v>
      </c>
      <c r="G86" s="99" t="s">
        <v>695</v>
      </c>
      <c r="H86" s="96" t="str">
        <f aca="false">IF(G86="نعم",COUNTIF($G$2:G86,"نعم"),"")</f>
        <v/>
      </c>
      <c r="I86" s="96" t="s">
        <v>696</v>
      </c>
    </row>
    <row r="87" customFormat="false" ht="15" hidden="false" customHeight="false" outlineLevel="0" collapsed="false">
      <c r="A87" s="62" t="s">
        <v>346</v>
      </c>
      <c r="B87" s="96" t="s">
        <v>123</v>
      </c>
      <c r="C87" s="96" t="s">
        <v>123</v>
      </c>
      <c r="D87" s="97" t="n">
        <v>1</v>
      </c>
      <c r="E87" s="98" t="n">
        <f aca="false">INDEX(المكونات!$C$2:$C$500,MATCH($A87,المكونات!$A$2:$A$500,0))*D87</f>
        <v>8</v>
      </c>
      <c r="F87" s="99" t="n">
        <v>1</v>
      </c>
      <c r="G87" s="99" t="s">
        <v>695</v>
      </c>
      <c r="H87" s="96" t="str">
        <f aca="false">IF(G87="نعم",COUNTIF($G$2:G87,"نعم"),"")</f>
        <v/>
      </c>
      <c r="I87" s="96" t="s">
        <v>696</v>
      </c>
    </row>
    <row r="88" customFormat="false" ht="15" hidden="false" customHeight="false" outlineLevel="0" collapsed="false">
      <c r="A88" s="62" t="s">
        <v>350</v>
      </c>
      <c r="B88" s="96" t="s">
        <v>123</v>
      </c>
      <c r="C88" s="96" t="s">
        <v>123</v>
      </c>
      <c r="D88" s="97" t="n">
        <v>1</v>
      </c>
      <c r="E88" s="98" t="n">
        <f aca="false">INDEX(المكونات!$C$2:$C$500,MATCH($A88,المكونات!$A$2:$A$500,0))*D88</f>
        <v>7</v>
      </c>
      <c r="F88" s="99" t="n">
        <v>1</v>
      </c>
      <c r="G88" s="99" t="s">
        <v>695</v>
      </c>
      <c r="H88" s="96" t="str">
        <f aca="false">IF(G88="نعم",COUNTIF($G$2:G88,"نعم"),"")</f>
        <v/>
      </c>
      <c r="I88" s="96" t="s">
        <v>697</v>
      </c>
    </row>
    <row r="89" customFormat="false" ht="15" hidden="false" customHeight="false" outlineLevel="0" collapsed="false">
      <c r="A89" s="62" t="s">
        <v>352</v>
      </c>
      <c r="B89" s="96" t="s">
        <v>123</v>
      </c>
      <c r="C89" s="96" t="s">
        <v>123</v>
      </c>
      <c r="D89" s="97" t="n">
        <v>1</v>
      </c>
      <c r="E89" s="98" t="n">
        <f aca="false">INDEX(المكونات!$C$2:$C$500,MATCH($A89,المكونات!$A$2:$A$500,0))*D89</f>
        <v>40</v>
      </c>
      <c r="F89" s="99" t="n">
        <v>1</v>
      </c>
      <c r="G89" s="99" t="s">
        <v>695</v>
      </c>
      <c r="H89" s="96" t="str">
        <f aca="false">IF(G89="نعم",COUNTIF($G$2:G89,"نعم"),"")</f>
        <v/>
      </c>
      <c r="I89" s="96" t="s">
        <v>697</v>
      </c>
    </row>
    <row r="90" customFormat="false" ht="15" hidden="false" customHeight="false" outlineLevel="0" collapsed="false">
      <c r="A90" s="62" t="s">
        <v>354</v>
      </c>
      <c r="B90" s="96" t="s">
        <v>123</v>
      </c>
      <c r="C90" s="96" t="s">
        <v>123</v>
      </c>
      <c r="D90" s="97" t="n">
        <v>1</v>
      </c>
      <c r="E90" s="98" t="n">
        <f aca="false">INDEX(المكونات!$C$2:$C$500,MATCH($A90,المكونات!$A$2:$A$500,0))*D90</f>
        <v>7</v>
      </c>
      <c r="F90" s="99" t="n">
        <v>1</v>
      </c>
      <c r="G90" s="99" t="s">
        <v>695</v>
      </c>
      <c r="H90" s="96" t="str">
        <f aca="false">IF(G90="نعم",COUNTIF($G$2:G90,"نعم"),"")</f>
        <v/>
      </c>
      <c r="I90" s="96" t="s">
        <v>697</v>
      </c>
    </row>
    <row r="93" customFormat="false" ht="15" hidden="false" customHeight="false" outlineLevel="0" collapsed="false">
      <c r="A93" s="33" t="s">
        <v>119</v>
      </c>
    </row>
    <row r="94" customFormat="false" ht="15" hidden="false" customHeight="false" outlineLevel="0" collapsed="false">
      <c r="A94" s="93" t="s">
        <v>700</v>
      </c>
    </row>
    <row r="95" customFormat="false" ht="15" hidden="false" customHeight="false" outlineLevel="0" collapsed="false">
      <c r="A95" s="93" t="s">
        <v>701</v>
      </c>
    </row>
    <row r="96" customFormat="false" ht="15" hidden="false" customHeight="false" outlineLevel="0" collapsed="false">
      <c r="A96" s="93" t="s">
        <v>702</v>
      </c>
    </row>
    <row r="97" customFormat="false" ht="15" hidden="false" customHeight="false" outlineLevel="0" collapsed="false">
      <c r="A97" s="93" t="s">
        <v>703</v>
      </c>
    </row>
    <row r="98" customFormat="false" ht="15" hidden="false" customHeight="false" outlineLevel="0" collapsed="false">
      <c r="A98" s="93" t="s">
        <v>704</v>
      </c>
    </row>
    <row r="99" customFormat="false" ht="15" hidden="false" customHeight="false" outlineLevel="0" collapsed="false">
      <c r="A99" s="93" t="s">
        <v>705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5" min="3" style="0" width="14"/>
    <col collapsed="false" customWidth="true" hidden="false" outlineLevel="0" max="6" min="6" style="0" width="16"/>
    <col collapsed="false" customWidth="true" hidden="false" outlineLevel="0" max="9" min="7" style="0" width="14"/>
    <col collapsed="false" customWidth="true" hidden="false" outlineLevel="0" max="10" min="10" style="0" width="16"/>
  </cols>
  <sheetData>
    <row r="1" customFormat="false" ht="17.9" hidden="false" customHeight="false" outlineLevel="0" collapsed="false">
      <c r="A1" s="40" t="s">
        <v>706</v>
      </c>
    </row>
    <row r="2" customFormat="false" ht="15" hidden="false" customHeight="false" outlineLevel="0" collapsed="false">
      <c r="A2" s="17" t="s">
        <v>707</v>
      </c>
    </row>
    <row r="4" customFormat="false" ht="33.75" hidden="false" customHeight="true" outlineLevel="0" collapsed="false">
      <c r="A4" s="18" t="s">
        <v>59</v>
      </c>
      <c r="B4" s="18" t="s">
        <v>687</v>
      </c>
      <c r="C4" s="18" t="s">
        <v>32</v>
      </c>
      <c r="D4" s="18" t="s">
        <v>33</v>
      </c>
      <c r="E4" s="18" t="s">
        <v>34</v>
      </c>
      <c r="F4" s="18" t="s">
        <v>638</v>
      </c>
      <c r="G4" s="18" t="s">
        <v>708</v>
      </c>
      <c r="H4" s="18" t="s">
        <v>709</v>
      </c>
      <c r="I4" s="18" t="s">
        <v>710</v>
      </c>
      <c r="J4" s="18" t="s">
        <v>711</v>
      </c>
    </row>
    <row r="5" customFormat="false" ht="15" hidden="false" customHeight="false" outlineLevel="0" collapsed="false">
      <c r="A5" s="62" t="str">
        <f aca="false">'مواد المخزون'!A2</f>
        <v>اطباق سيلفر مكرونة</v>
      </c>
      <c r="B5" s="96" t="str">
        <f aca="false">'مواد المخزون'!B2</f>
        <v>قطعة</v>
      </c>
      <c r="C5" s="100" t="n">
        <v>165</v>
      </c>
      <c r="D5" s="100" t="n">
        <v>150</v>
      </c>
      <c r="E5" s="100" t="n">
        <v>215</v>
      </c>
      <c r="F5" s="100" t="n">
        <v>0</v>
      </c>
      <c r="G5" s="101" t="n">
        <f aca="false">C5*'مواد المخزون'!$E2</f>
        <v>544.5</v>
      </c>
      <c r="H5" s="101" t="n">
        <f aca="false">D5*'مواد المخزون'!$E2</f>
        <v>495</v>
      </c>
      <c r="I5" s="101" t="n">
        <f aca="false">E5*'مواد المخزون'!$E2</f>
        <v>709.5</v>
      </c>
      <c r="J5" s="101" t="n">
        <f aca="false">F5*'مواد المخزون'!$E2</f>
        <v>0</v>
      </c>
    </row>
    <row r="6" customFormat="false" ht="15" hidden="false" customHeight="false" outlineLevel="0" collapsed="false">
      <c r="A6" s="62" t="str">
        <f aca="false">'مواد المخزون'!A3</f>
        <v>اطباق فوم كيلو</v>
      </c>
      <c r="B6" s="96" t="str">
        <f aca="false">'مواد المخزون'!B3</f>
        <v>قطعة</v>
      </c>
      <c r="C6" s="100" t="n">
        <v>299</v>
      </c>
      <c r="D6" s="100" t="n">
        <v>875</v>
      </c>
      <c r="E6" s="100" t="n">
        <v>243</v>
      </c>
      <c r="F6" s="100" t="n">
        <v>0</v>
      </c>
      <c r="G6" s="101" t="n">
        <f aca="false">C6*'مواد المخزون'!$E3</f>
        <v>239.2</v>
      </c>
      <c r="H6" s="101" t="n">
        <f aca="false">D6*'مواد المخزون'!$E3</f>
        <v>700</v>
      </c>
      <c r="I6" s="101" t="n">
        <f aca="false">E6*'مواد المخزون'!$E3</f>
        <v>194.4</v>
      </c>
      <c r="J6" s="101" t="n">
        <f aca="false">F6*'مواد المخزون'!$E3</f>
        <v>0</v>
      </c>
    </row>
    <row r="7" customFormat="false" ht="15" hidden="false" customHeight="false" outlineLevel="0" collapsed="false">
      <c r="A7" s="62" t="str">
        <f aca="false">'مواد المخزون'!A4</f>
        <v>اكياس مطبوعة كبير</v>
      </c>
      <c r="B7" s="96" t="str">
        <f aca="false">'مواد المخزون'!B4</f>
        <v>كجم</v>
      </c>
      <c r="C7" s="100" t="n">
        <v>17</v>
      </c>
      <c r="D7" s="100" t="n">
        <v>15.991</v>
      </c>
      <c r="E7" s="100" t="n">
        <v>22.98</v>
      </c>
      <c r="F7" s="100" t="n">
        <v>0</v>
      </c>
      <c r="G7" s="101" t="n">
        <f aca="false">C7*'مواد المخزون'!$E4</f>
        <v>1190</v>
      </c>
      <c r="H7" s="101" t="n">
        <f aca="false">D7*'مواد المخزون'!$E4</f>
        <v>1119.37</v>
      </c>
      <c r="I7" s="101" t="n">
        <f aca="false">E7*'مواد المخزون'!$E4</f>
        <v>1608.6</v>
      </c>
      <c r="J7" s="101" t="n">
        <f aca="false">F7*'مواد المخزون'!$E4</f>
        <v>0</v>
      </c>
    </row>
    <row r="8" customFormat="false" ht="15" hidden="false" customHeight="false" outlineLevel="0" collapsed="false">
      <c r="A8" s="62" t="str">
        <f aca="false">'مواد المخزون'!A5</f>
        <v>اكياس مطبوعة وسط</v>
      </c>
      <c r="B8" s="96" t="str">
        <f aca="false">'مواد المخزون'!B5</f>
        <v>كجم</v>
      </c>
      <c r="C8" s="100" t="n">
        <v>10</v>
      </c>
      <c r="D8" s="100" t="n">
        <v>7.91</v>
      </c>
      <c r="E8" s="100" t="n">
        <v>22.75</v>
      </c>
      <c r="F8" s="100" t="n">
        <v>0</v>
      </c>
      <c r="G8" s="101" t="n">
        <f aca="false">C8*'مواد المخزون'!$E5</f>
        <v>700</v>
      </c>
      <c r="H8" s="101" t="n">
        <f aca="false">D8*'مواد المخزون'!$E5</f>
        <v>553.7</v>
      </c>
      <c r="I8" s="101" t="n">
        <f aca="false">E8*'مواد المخزون'!$E5</f>
        <v>1592.5</v>
      </c>
      <c r="J8" s="101" t="n">
        <f aca="false">F8*'مواد المخزون'!$E5</f>
        <v>0</v>
      </c>
    </row>
    <row r="9" customFormat="false" ht="15" hidden="false" customHeight="false" outlineLevel="0" collapsed="false">
      <c r="A9" s="62" t="str">
        <f aca="false">'مواد المخزون'!A6</f>
        <v>برجر 100 جرام</v>
      </c>
      <c r="B9" s="96" t="str">
        <f aca="false">'مواد المخزون'!B6</f>
        <v>قطعة</v>
      </c>
      <c r="C9" s="100" t="n">
        <v>41</v>
      </c>
      <c r="D9" s="100" t="n">
        <v>54</v>
      </c>
      <c r="E9" s="100" t="n">
        <v>68</v>
      </c>
      <c r="F9" s="100" t="n">
        <v>0</v>
      </c>
      <c r="G9" s="101" t="n">
        <f aca="false">C9*'مواد المخزون'!$E6</f>
        <v>738</v>
      </c>
      <c r="H9" s="101" t="n">
        <f aca="false">D9*'مواد المخزون'!$E6</f>
        <v>972</v>
      </c>
      <c r="I9" s="101" t="n">
        <f aca="false">E9*'مواد المخزون'!$E6</f>
        <v>1224</v>
      </c>
      <c r="J9" s="101" t="n">
        <f aca="false">F9*'مواد المخزون'!$E6</f>
        <v>0</v>
      </c>
    </row>
    <row r="10" customFormat="false" ht="15" hidden="false" customHeight="false" outlineLevel="0" collapsed="false">
      <c r="A10" s="62" t="str">
        <f aca="false">'مواد المخزون'!A7</f>
        <v>برسيون بسطرمة صغير</v>
      </c>
      <c r="B10" s="96" t="str">
        <f aca="false">'مواد المخزون'!B7</f>
        <v>قطعة</v>
      </c>
      <c r="C10" s="100" t="n">
        <v>55</v>
      </c>
      <c r="D10" s="100" t="n">
        <v>26</v>
      </c>
      <c r="E10" s="100" t="n">
        <v>64</v>
      </c>
      <c r="F10" s="100" t="n">
        <v>0</v>
      </c>
      <c r="G10" s="101" t="n">
        <f aca="false">C10*'مواد المخزون'!$E7</f>
        <v>1925</v>
      </c>
      <c r="H10" s="101" t="n">
        <f aca="false">D10*'مواد المخزون'!$E7</f>
        <v>910</v>
      </c>
      <c r="I10" s="101" t="n">
        <f aca="false">E10*'مواد المخزون'!$E7</f>
        <v>2240</v>
      </c>
      <c r="J10" s="101" t="n">
        <f aca="false">F10*'مواد المخزون'!$E7</f>
        <v>0</v>
      </c>
    </row>
    <row r="11" customFormat="false" ht="15" hidden="false" customHeight="false" outlineLevel="0" collapsed="false">
      <c r="A11" s="62" t="str">
        <f aca="false">'مواد المخزون'!A8</f>
        <v>برسيون بسطرمة كبير</v>
      </c>
      <c r="B11" s="96" t="str">
        <f aca="false">'مواد المخزون'!B8</f>
        <v>قطعة</v>
      </c>
      <c r="C11" s="100" t="n">
        <v>49</v>
      </c>
      <c r="D11" s="100" t="n">
        <v>35.5</v>
      </c>
      <c r="E11" s="100" t="n">
        <v>98.5</v>
      </c>
      <c r="F11" s="100" t="n">
        <v>0</v>
      </c>
      <c r="G11" s="101" t="n">
        <f aca="false">C11*'مواد المخزون'!$E8</f>
        <v>2286.6683</v>
      </c>
      <c r="H11" s="101" t="n">
        <f aca="false">D11*'مواد المخزون'!$E8</f>
        <v>1656.66785</v>
      </c>
      <c r="I11" s="101" t="n">
        <f aca="false">E11*'مواد المخزون'!$E8</f>
        <v>4596.66995</v>
      </c>
      <c r="J11" s="101" t="n">
        <f aca="false">F11*'مواد المخزون'!$E8</f>
        <v>0</v>
      </c>
    </row>
    <row r="12" customFormat="false" ht="15" hidden="false" customHeight="false" outlineLevel="0" collapsed="false">
      <c r="A12" s="62" t="str">
        <f aca="false">'مواد المخزون'!A9</f>
        <v>برسيون بطاطس</v>
      </c>
      <c r="B12" s="96" t="str">
        <f aca="false">'مواد المخزون'!B9</f>
        <v>قطعة</v>
      </c>
      <c r="C12" s="100" t="n">
        <v>53</v>
      </c>
      <c r="D12" s="100" t="n">
        <v>72</v>
      </c>
      <c r="E12" s="100" t="n">
        <v>33</v>
      </c>
      <c r="F12" s="100" t="n">
        <v>0</v>
      </c>
      <c r="G12" s="101" t="n">
        <f aca="false">C12*'مواد المخزون'!$E9</f>
        <v>299.45</v>
      </c>
      <c r="H12" s="101" t="n">
        <f aca="false">D12*'مواد المخزون'!$E9</f>
        <v>406.8</v>
      </c>
      <c r="I12" s="101" t="n">
        <f aca="false">E12*'مواد المخزون'!$E9</f>
        <v>186.45</v>
      </c>
      <c r="J12" s="101" t="n">
        <f aca="false">F12*'مواد المخزون'!$E9</f>
        <v>0</v>
      </c>
    </row>
    <row r="13" customFormat="false" ht="15" hidden="false" customHeight="false" outlineLevel="0" collapsed="false">
      <c r="A13" s="62" t="str">
        <f aca="false">'مواد المخزون'!A10</f>
        <v>برسيون جبنة رومي صغير</v>
      </c>
      <c r="B13" s="96" t="str">
        <f aca="false">'مواد المخزون'!B10</f>
        <v>قطعة</v>
      </c>
      <c r="C13" s="100" t="n">
        <v>12</v>
      </c>
      <c r="D13" s="100" t="n">
        <v>2</v>
      </c>
      <c r="E13" s="100" t="n">
        <v>44</v>
      </c>
      <c r="F13" s="100" t="n">
        <v>0</v>
      </c>
      <c r="G13" s="101" t="n">
        <f aca="false">C13*'مواد المخزون'!$E10</f>
        <v>108</v>
      </c>
      <c r="H13" s="101" t="n">
        <f aca="false">D13*'مواد المخزون'!$E10</f>
        <v>18</v>
      </c>
      <c r="I13" s="101" t="n">
        <f aca="false">E13*'مواد المخزون'!$E10</f>
        <v>396</v>
      </c>
      <c r="J13" s="101" t="n">
        <f aca="false">F13*'مواد المخزون'!$E10</f>
        <v>0</v>
      </c>
    </row>
    <row r="14" customFormat="false" ht="15" hidden="false" customHeight="false" outlineLevel="0" collapsed="false">
      <c r="A14" s="62" t="str">
        <f aca="false">'مواد المخزون'!A11</f>
        <v>برسيون جمبري صغير</v>
      </c>
      <c r="B14" s="96" t="str">
        <f aca="false">'مواد المخزون'!B11</f>
        <v>قطعة</v>
      </c>
      <c r="C14" s="100" t="n">
        <v>10</v>
      </c>
      <c r="D14" s="100" t="n">
        <v>16.5</v>
      </c>
      <c r="E14" s="100" t="n">
        <v>12</v>
      </c>
      <c r="F14" s="100" t="n">
        <v>0</v>
      </c>
      <c r="G14" s="101" t="n">
        <f aca="false">C14*'مواد المخزون'!$E11</f>
        <v>950</v>
      </c>
      <c r="H14" s="101" t="n">
        <f aca="false">D14*'مواد المخزون'!$E11</f>
        <v>1567.5</v>
      </c>
      <c r="I14" s="101" t="n">
        <f aca="false">E14*'مواد المخزون'!$E11</f>
        <v>1140</v>
      </c>
      <c r="J14" s="101" t="n">
        <f aca="false">F14*'مواد المخزون'!$E11</f>
        <v>0</v>
      </c>
    </row>
    <row r="15" customFormat="false" ht="15" hidden="false" customHeight="false" outlineLevel="0" collapsed="false">
      <c r="A15" s="62" t="str">
        <f aca="false">'مواد المخزون'!A12</f>
        <v>برسيون سدق صغير</v>
      </c>
      <c r="B15" s="96" t="str">
        <f aca="false">'مواد المخزون'!B12</f>
        <v>قطعة</v>
      </c>
      <c r="C15" s="100" t="n">
        <v>65</v>
      </c>
      <c r="D15" s="100" t="n">
        <v>5</v>
      </c>
      <c r="E15" s="100" t="n">
        <v>62</v>
      </c>
      <c r="F15" s="100" t="n">
        <v>0</v>
      </c>
      <c r="G15" s="101" t="n">
        <f aca="false">C15*'مواد المخزون'!$E12</f>
        <v>2210</v>
      </c>
      <c r="H15" s="101" t="n">
        <f aca="false">D15*'مواد المخزون'!$E12</f>
        <v>170</v>
      </c>
      <c r="I15" s="101" t="n">
        <f aca="false">E15*'مواد المخزون'!$E12</f>
        <v>2108</v>
      </c>
      <c r="J15" s="101" t="n">
        <f aca="false">F15*'مواد المخزون'!$E12</f>
        <v>0</v>
      </c>
    </row>
    <row r="16" customFormat="false" ht="15" hidden="false" customHeight="false" outlineLevel="0" collapsed="false">
      <c r="A16" s="62" t="str">
        <f aca="false">'مواد المخزون'!A13</f>
        <v>برسيون سدق كبير</v>
      </c>
      <c r="B16" s="96" t="str">
        <f aca="false">'مواد المخزون'!B13</f>
        <v>قطعة</v>
      </c>
      <c r="C16" s="100" t="n">
        <v>32</v>
      </c>
      <c r="D16" s="100" t="n">
        <v>43</v>
      </c>
      <c r="E16" s="100" t="n">
        <v>26</v>
      </c>
      <c r="F16" s="100" t="n">
        <v>0</v>
      </c>
      <c r="G16" s="101" t="n">
        <f aca="false">C16*'مواد المخزون'!$E13</f>
        <v>1440</v>
      </c>
      <c r="H16" s="101" t="n">
        <f aca="false">D16*'مواد المخزون'!$E13</f>
        <v>1935</v>
      </c>
      <c r="I16" s="101" t="n">
        <f aca="false">E16*'مواد المخزون'!$E13</f>
        <v>1170</v>
      </c>
      <c r="J16" s="101" t="n">
        <f aca="false">F16*'مواد المخزون'!$E13</f>
        <v>0</v>
      </c>
    </row>
    <row r="17" customFormat="false" ht="15" hidden="false" customHeight="false" outlineLevel="0" collapsed="false">
      <c r="A17" s="62" t="str">
        <f aca="false">'مواد المخزون'!A14</f>
        <v>برسيون سلامي صغير</v>
      </c>
      <c r="B17" s="96" t="str">
        <f aca="false">'مواد المخزون'!B14</f>
        <v>قطعة</v>
      </c>
      <c r="C17" s="100" t="n">
        <v>12</v>
      </c>
      <c r="D17" s="100" t="n">
        <v>8.5</v>
      </c>
      <c r="E17" s="100" t="n">
        <v>13</v>
      </c>
      <c r="F17" s="100" t="n">
        <v>0</v>
      </c>
      <c r="G17" s="101" t="n">
        <f aca="false">C17*'مواد المخزون'!$E14</f>
        <v>323.6496</v>
      </c>
      <c r="H17" s="101" t="n">
        <f aca="false">D17*'مواد المخزون'!$E14</f>
        <v>229.2518</v>
      </c>
      <c r="I17" s="101" t="n">
        <f aca="false">E17*'مواد المخزون'!$E14</f>
        <v>350.6204</v>
      </c>
      <c r="J17" s="101" t="n">
        <f aca="false">F17*'مواد المخزون'!$E14</f>
        <v>0</v>
      </c>
    </row>
    <row r="18" customFormat="false" ht="15" hidden="false" customHeight="false" outlineLevel="0" collapsed="false">
      <c r="A18" s="62" t="str">
        <f aca="false">'مواد المخزون'!A15</f>
        <v>برسيون فراخ جريل صغير</v>
      </c>
      <c r="B18" s="96" t="str">
        <f aca="false">'مواد المخزون'!B15</f>
        <v>قطعة</v>
      </c>
      <c r="C18" s="100" t="n">
        <v>26.5</v>
      </c>
      <c r="D18" s="100" t="n">
        <v>34</v>
      </c>
      <c r="E18" s="100" t="n">
        <v>48</v>
      </c>
      <c r="F18" s="100" t="n">
        <v>0</v>
      </c>
      <c r="G18" s="101" t="n">
        <f aca="false">C18*'مواد المخزون'!$E15</f>
        <v>900.523</v>
      </c>
      <c r="H18" s="101" t="n">
        <f aca="false">D18*'مواد المخزون'!$E15</f>
        <v>1155.388</v>
      </c>
      <c r="I18" s="101" t="n">
        <f aca="false">E18*'مواد المخزون'!$E15</f>
        <v>1631.136</v>
      </c>
      <c r="J18" s="101" t="n">
        <f aca="false">F18*'مواد المخزون'!$E15</f>
        <v>0</v>
      </c>
    </row>
    <row r="19" customFormat="false" ht="15" hidden="false" customHeight="false" outlineLevel="0" collapsed="false">
      <c r="A19" s="62" t="str">
        <f aca="false">'مواد المخزون'!A16</f>
        <v>برسيون فراخ جريل كبير</v>
      </c>
      <c r="B19" s="96" t="str">
        <f aca="false">'مواد المخزون'!B16</f>
        <v>قطعة</v>
      </c>
      <c r="C19" s="100" t="n">
        <v>31</v>
      </c>
      <c r="D19" s="100" t="n">
        <v>61.5</v>
      </c>
      <c r="E19" s="100" t="n">
        <v>59.5</v>
      </c>
      <c r="F19" s="100" t="n">
        <v>0</v>
      </c>
      <c r="G19" s="101" t="n">
        <f aca="false">C19*'مواد المخزون'!$E16</f>
        <v>1512.2327</v>
      </c>
      <c r="H19" s="101" t="n">
        <f aca="false">D19*'مواد المخزون'!$E16</f>
        <v>3000.07455</v>
      </c>
      <c r="I19" s="101" t="n">
        <f aca="false">E19*'مواد المخزون'!$E16</f>
        <v>2902.51115</v>
      </c>
      <c r="J19" s="101" t="n">
        <f aca="false">F19*'مواد المخزون'!$E16</f>
        <v>0</v>
      </c>
    </row>
    <row r="20" customFormat="false" ht="15" hidden="false" customHeight="false" outlineLevel="0" collapsed="false">
      <c r="A20" s="62" t="str">
        <f aca="false">'مواد المخزون'!A17</f>
        <v>برسيون فراخ كريسبي صغير</v>
      </c>
      <c r="B20" s="96" t="str">
        <f aca="false">'مواد المخزون'!B17</f>
        <v>قطعة</v>
      </c>
      <c r="C20" s="100" t="n">
        <v>43</v>
      </c>
      <c r="D20" s="100" t="n">
        <v>42.5</v>
      </c>
      <c r="E20" s="100" t="n">
        <v>28</v>
      </c>
      <c r="F20" s="100" t="n">
        <v>0</v>
      </c>
      <c r="G20" s="101" t="n">
        <f aca="false">C20*'مواد المخزون'!$E17</f>
        <v>1290</v>
      </c>
      <c r="H20" s="101" t="n">
        <f aca="false">D20*'مواد المخزون'!$E17</f>
        <v>1275</v>
      </c>
      <c r="I20" s="101" t="n">
        <f aca="false">E20*'مواد المخزون'!$E17</f>
        <v>840</v>
      </c>
      <c r="J20" s="101" t="n">
        <f aca="false">F20*'مواد المخزون'!$E17</f>
        <v>0</v>
      </c>
    </row>
    <row r="21" customFormat="false" ht="15" hidden="false" customHeight="false" outlineLevel="0" collapsed="false">
      <c r="A21" s="62" t="str">
        <f aca="false">'مواد المخزون'!A18</f>
        <v>برسيون فراخ كريسبي كبير</v>
      </c>
      <c r="B21" s="96" t="str">
        <f aca="false">'مواد المخزون'!B18</f>
        <v>قطعة</v>
      </c>
      <c r="C21" s="100" t="n">
        <v>0</v>
      </c>
      <c r="D21" s="100" t="n">
        <v>36</v>
      </c>
      <c r="E21" s="100" t="n">
        <v>0</v>
      </c>
      <c r="F21" s="100" t="n">
        <v>0</v>
      </c>
      <c r="G21" s="101" t="n">
        <f aca="false">C21*'مواد المخزون'!$E18</f>
        <v>0</v>
      </c>
      <c r="H21" s="101" t="n">
        <f aca="false">D21*'مواد المخزون'!$E18</f>
        <v>1044</v>
      </c>
      <c r="I21" s="101" t="n">
        <f aca="false">E21*'مواد المخزون'!$E18</f>
        <v>0</v>
      </c>
      <c r="J21" s="101" t="n">
        <f aca="false">F21*'مواد المخزون'!$E18</f>
        <v>0</v>
      </c>
    </row>
    <row r="22" customFormat="false" ht="15" hidden="false" customHeight="false" outlineLevel="0" collapsed="false">
      <c r="A22" s="62" t="str">
        <f aca="false">'مواد المخزون'!A19</f>
        <v>برسيون قشطة</v>
      </c>
      <c r="B22" s="96" t="str">
        <f aca="false">'مواد المخزون'!B19</f>
        <v>قطعة</v>
      </c>
      <c r="C22" s="100" t="n">
        <v>14</v>
      </c>
      <c r="D22" s="100" t="n">
        <v>19</v>
      </c>
      <c r="E22" s="100" t="n">
        <v>21</v>
      </c>
      <c r="F22" s="100" t="n">
        <v>0</v>
      </c>
      <c r="G22" s="101" t="n">
        <f aca="false">C22*'مواد المخزون'!$E19</f>
        <v>350</v>
      </c>
      <c r="H22" s="101" t="n">
        <f aca="false">D22*'مواد المخزون'!$E19</f>
        <v>475</v>
      </c>
      <c r="I22" s="101" t="n">
        <f aca="false">E22*'مواد المخزون'!$E19</f>
        <v>525</v>
      </c>
      <c r="J22" s="101" t="n">
        <f aca="false">F22*'مواد المخزون'!$E19</f>
        <v>0</v>
      </c>
    </row>
    <row r="23" customFormat="false" ht="15" hidden="false" customHeight="false" outlineLevel="0" collapsed="false">
      <c r="A23" s="62" t="str">
        <f aca="false">'مواد المخزون'!A20</f>
        <v>برسيون لحمة مفرومة</v>
      </c>
      <c r="B23" s="96" t="str">
        <f aca="false">'مواد المخزون'!B20</f>
        <v>قطعة</v>
      </c>
      <c r="C23" s="100" t="n">
        <v>38</v>
      </c>
      <c r="D23" s="100" t="n">
        <v>24</v>
      </c>
      <c r="E23" s="100" t="n">
        <v>13.5</v>
      </c>
      <c r="F23" s="100" t="n">
        <v>0</v>
      </c>
      <c r="G23" s="101" t="n">
        <f aca="false">C23*'مواد المخزون'!$E20</f>
        <v>798</v>
      </c>
      <c r="H23" s="101" t="n">
        <f aca="false">D23*'مواد المخزون'!$E20</f>
        <v>504</v>
      </c>
      <c r="I23" s="101" t="n">
        <f aca="false">E23*'مواد المخزون'!$E20</f>
        <v>283.5</v>
      </c>
      <c r="J23" s="101" t="n">
        <f aca="false">F23*'مواد المخزون'!$E20</f>
        <v>0</v>
      </c>
    </row>
    <row r="24" customFormat="false" ht="15" hidden="false" customHeight="false" outlineLevel="0" collapsed="false">
      <c r="A24" s="62" t="str">
        <f aca="false">'مواد المخزون'!A21</f>
        <v>برسيون مكسرات</v>
      </c>
      <c r="B24" s="96" t="str">
        <f aca="false">'مواد المخزون'!B21</f>
        <v>قطعة</v>
      </c>
      <c r="C24" s="100" t="n">
        <v>6</v>
      </c>
      <c r="D24" s="100" t="n">
        <v>6</v>
      </c>
      <c r="E24" s="100" t="n">
        <v>4</v>
      </c>
      <c r="F24" s="100" t="n">
        <v>0</v>
      </c>
      <c r="G24" s="101" t="n">
        <f aca="false">C24*'مواد المخزون'!$E21</f>
        <v>138</v>
      </c>
      <c r="H24" s="101" t="n">
        <f aca="false">D24*'مواد المخزون'!$E21</f>
        <v>138</v>
      </c>
      <c r="I24" s="101" t="n">
        <f aca="false">E24*'مواد المخزون'!$E21</f>
        <v>92</v>
      </c>
      <c r="J24" s="101" t="n">
        <f aca="false">F24*'مواد المخزون'!$E21</f>
        <v>0</v>
      </c>
    </row>
    <row r="25" customFormat="false" ht="15" hidden="false" customHeight="false" outlineLevel="0" collapsed="false">
      <c r="A25" s="62" t="str">
        <f aca="false">'مواد المخزون'!A22</f>
        <v>برسيون موتزريلا بيتزا صغير</v>
      </c>
      <c r="B25" s="96" t="str">
        <f aca="false">'مواد المخزون'!B22</f>
        <v>قطعة</v>
      </c>
      <c r="C25" s="100" t="n">
        <v>75</v>
      </c>
      <c r="D25" s="100" t="n">
        <v>61.5</v>
      </c>
      <c r="E25" s="100" t="n">
        <v>174</v>
      </c>
      <c r="F25" s="100" t="n">
        <v>0</v>
      </c>
      <c r="G25" s="101" t="n">
        <f aca="false">C25*'مواد المخزون'!$E22</f>
        <v>1500</v>
      </c>
      <c r="H25" s="101" t="n">
        <f aca="false">D25*'مواد المخزون'!$E22</f>
        <v>1230</v>
      </c>
      <c r="I25" s="101" t="n">
        <f aca="false">E25*'مواد المخزون'!$E22</f>
        <v>3480</v>
      </c>
      <c r="J25" s="101" t="n">
        <f aca="false">F25*'مواد المخزون'!$E22</f>
        <v>0</v>
      </c>
    </row>
    <row r="26" customFormat="false" ht="15" hidden="false" customHeight="false" outlineLevel="0" collapsed="false">
      <c r="A26" s="62" t="str">
        <f aca="false">'مواد المخزون'!A23</f>
        <v>برسيون موتزريلا بيتزا كبير</v>
      </c>
      <c r="B26" s="96" t="str">
        <f aca="false">'مواد المخزون'!B23</f>
        <v>قطعة</v>
      </c>
      <c r="C26" s="100" t="n">
        <v>40</v>
      </c>
      <c r="D26" s="100" t="n">
        <v>75</v>
      </c>
      <c r="E26" s="100" t="n">
        <v>0</v>
      </c>
      <c r="F26" s="100" t="n">
        <v>0</v>
      </c>
      <c r="G26" s="101" t="n">
        <f aca="false">C26*'مواد المخزون'!$E23</f>
        <v>1085.58</v>
      </c>
      <c r="H26" s="101" t="n">
        <f aca="false">D26*'مواد المخزون'!$E23</f>
        <v>2035.4625</v>
      </c>
      <c r="I26" s="101" t="n">
        <f aca="false">E26*'مواد المخزون'!$E23</f>
        <v>0</v>
      </c>
      <c r="J26" s="101" t="n">
        <f aca="false">F26*'مواد المخزون'!$E23</f>
        <v>0</v>
      </c>
    </row>
    <row r="27" customFormat="false" ht="15" hidden="false" customHeight="false" outlineLevel="0" collapsed="false">
      <c r="A27" s="62" t="str">
        <f aca="false">'مواد المخزون'!A24</f>
        <v>برسيون موتزريلا فطير صغير</v>
      </c>
      <c r="B27" s="96" t="str">
        <f aca="false">'مواد المخزون'!B24</f>
        <v>قطعة</v>
      </c>
      <c r="C27" s="100" t="n">
        <v>68</v>
      </c>
      <c r="D27" s="100" t="n">
        <v>86</v>
      </c>
      <c r="E27" s="100" t="n">
        <v>92</v>
      </c>
      <c r="F27" s="100" t="n">
        <v>0</v>
      </c>
      <c r="G27" s="101" t="n">
        <f aca="false">C27*'مواد المخزون'!$E24</f>
        <v>1190</v>
      </c>
      <c r="H27" s="101" t="n">
        <f aca="false">D27*'مواد المخزون'!$E24</f>
        <v>1505</v>
      </c>
      <c r="I27" s="101" t="n">
        <f aca="false">E27*'مواد المخزون'!$E24</f>
        <v>1610</v>
      </c>
      <c r="J27" s="101" t="n">
        <f aca="false">F27*'مواد المخزون'!$E24</f>
        <v>0</v>
      </c>
    </row>
    <row r="28" customFormat="false" ht="15" hidden="false" customHeight="false" outlineLevel="0" collapsed="false">
      <c r="A28" s="62" t="str">
        <f aca="false">'مواد المخزون'!A25</f>
        <v>برسيون موتزريلا فطير كبير</v>
      </c>
      <c r="B28" s="96" t="str">
        <f aca="false">'مواد المخزون'!B25</f>
        <v>قطعة</v>
      </c>
      <c r="C28" s="100" t="n">
        <v>60</v>
      </c>
      <c r="D28" s="100" t="n">
        <v>39</v>
      </c>
      <c r="E28" s="100" t="n">
        <v>0</v>
      </c>
      <c r="F28" s="100" t="n">
        <v>0</v>
      </c>
      <c r="G28" s="101" t="n">
        <f aca="false">C28*'مواد المخزون'!$E25</f>
        <v>1500</v>
      </c>
      <c r="H28" s="101" t="n">
        <f aca="false">D28*'مواد المخزون'!$E25</f>
        <v>975</v>
      </c>
      <c r="I28" s="101" t="n">
        <f aca="false">E28*'مواد المخزون'!$E25</f>
        <v>0</v>
      </c>
      <c r="J28" s="101" t="n">
        <f aca="false">F28*'مواد المخزون'!$E25</f>
        <v>0</v>
      </c>
    </row>
    <row r="29" customFormat="false" ht="15" hidden="false" customHeight="false" outlineLevel="0" collapsed="false">
      <c r="A29" s="62" t="str">
        <f aca="false">'مواد المخزون'!A26</f>
        <v>بسكوت اوريو مجروش</v>
      </c>
      <c r="B29" s="96" t="str">
        <f aca="false">'مواد المخزون'!B26</f>
        <v>كجم</v>
      </c>
      <c r="C29" s="100" t="n">
        <v>0.21</v>
      </c>
      <c r="D29" s="100" t="n">
        <v>1</v>
      </c>
      <c r="E29" s="100" t="n">
        <v>0.7</v>
      </c>
      <c r="F29" s="100" t="n">
        <v>0</v>
      </c>
      <c r="G29" s="101" t="n">
        <f aca="false">C29*'مواد المخزون'!$E26</f>
        <v>21</v>
      </c>
      <c r="H29" s="101" t="n">
        <f aca="false">D29*'مواد المخزون'!$E26</f>
        <v>100</v>
      </c>
      <c r="I29" s="101" t="n">
        <f aca="false">E29*'مواد المخزون'!$E26</f>
        <v>70</v>
      </c>
      <c r="J29" s="101" t="n">
        <f aca="false">F29*'مواد المخزون'!$E26</f>
        <v>0</v>
      </c>
    </row>
    <row r="30" customFormat="false" ht="15" hidden="false" customHeight="false" outlineLevel="0" collapsed="false">
      <c r="A30" s="62" t="str">
        <f aca="false">'مواد المخزون'!A27</f>
        <v>بسكوت للوتس باكو</v>
      </c>
      <c r="B30" s="96" t="str">
        <f aca="false">'مواد المخزون'!B27</f>
        <v>كجم</v>
      </c>
      <c r="C30" s="100" t="n">
        <v>0.3</v>
      </c>
      <c r="D30" s="100" t="n">
        <v>0.35</v>
      </c>
      <c r="E30" s="100" t="n">
        <v>0.75</v>
      </c>
      <c r="F30" s="100" t="n">
        <v>0</v>
      </c>
      <c r="G30" s="101" t="n">
        <f aca="false">C30*'مواد المخزون'!$E27</f>
        <v>31.374</v>
      </c>
      <c r="H30" s="101" t="n">
        <f aca="false">D30*'مواد المخزون'!$E27</f>
        <v>36.603</v>
      </c>
      <c r="I30" s="101" t="n">
        <f aca="false">E30*'مواد المخزون'!$E27</f>
        <v>78.435</v>
      </c>
      <c r="J30" s="101" t="n">
        <f aca="false">F30*'مواد المخزون'!$E27</f>
        <v>0</v>
      </c>
    </row>
    <row r="31" customFormat="false" ht="15" hidden="false" customHeight="false" outlineLevel="0" collapsed="false">
      <c r="A31" s="62" t="str">
        <f aca="false">'مواد المخزون'!A28</f>
        <v>بسكوت للوتس مجروش</v>
      </c>
      <c r="B31" s="96" t="str">
        <f aca="false">'مواد المخزون'!B28</f>
        <v>كجم</v>
      </c>
      <c r="C31" s="100" t="n">
        <v>1</v>
      </c>
      <c r="D31" s="100" t="n">
        <v>1.57</v>
      </c>
      <c r="E31" s="100" t="n">
        <v>1.05</v>
      </c>
      <c r="F31" s="100" t="n">
        <v>0</v>
      </c>
      <c r="G31" s="101" t="n">
        <f aca="false">C31*'مواد المخزون'!$E28</f>
        <v>100</v>
      </c>
      <c r="H31" s="101" t="n">
        <f aca="false">D31*'مواد المخزون'!$E28</f>
        <v>157</v>
      </c>
      <c r="I31" s="101" t="n">
        <f aca="false">E31*'مواد المخزون'!$E28</f>
        <v>105</v>
      </c>
      <c r="J31" s="101" t="n">
        <f aca="false">F31*'مواد المخزون'!$E28</f>
        <v>0</v>
      </c>
    </row>
    <row r="32" customFormat="false" ht="15" hidden="false" customHeight="false" outlineLevel="0" collapsed="false">
      <c r="A32" s="62" t="str">
        <f aca="false">'مواد المخزون'!A29</f>
        <v>بشاميل مصنع</v>
      </c>
      <c r="B32" s="96" t="str">
        <f aca="false">'مواد المخزون'!B29</f>
        <v>كجم</v>
      </c>
      <c r="C32" s="100" t="n">
        <v>5.25</v>
      </c>
      <c r="D32" s="100" t="n">
        <v>5.5</v>
      </c>
      <c r="E32" s="100" t="n">
        <v>13.6</v>
      </c>
      <c r="F32" s="100" t="n">
        <v>0</v>
      </c>
      <c r="G32" s="101" t="n">
        <f aca="false">C32*'مواد المخزون'!$E29</f>
        <v>215.25</v>
      </c>
      <c r="H32" s="101" t="n">
        <f aca="false">D32*'مواد المخزون'!$E29</f>
        <v>225.5</v>
      </c>
      <c r="I32" s="101" t="n">
        <f aca="false">E32*'مواد المخزون'!$E29</f>
        <v>557.6</v>
      </c>
      <c r="J32" s="101" t="n">
        <f aca="false">F32*'مواد المخزون'!$E29</f>
        <v>0</v>
      </c>
    </row>
    <row r="33" customFormat="false" ht="15" hidden="false" customHeight="false" outlineLevel="0" collapsed="false">
      <c r="A33" s="62" t="str">
        <f aca="false">'مواد المخزون'!A30</f>
        <v>بشاميل مصنع صيامي</v>
      </c>
      <c r="B33" s="96" t="str">
        <f aca="false">'مواد المخزون'!B30</f>
        <v>كجم</v>
      </c>
      <c r="C33" s="100" t="n">
        <v>0</v>
      </c>
      <c r="D33" s="100" t="n">
        <v>0</v>
      </c>
      <c r="E33" s="100" t="n">
        <v>0</v>
      </c>
      <c r="F33" s="100" t="n">
        <v>0</v>
      </c>
      <c r="G33" s="101" t="n">
        <f aca="false">C33*'مواد المخزون'!$E30</f>
        <v>0</v>
      </c>
      <c r="H33" s="101" t="n">
        <f aca="false">D33*'مواد المخزون'!$E30</f>
        <v>0</v>
      </c>
      <c r="I33" s="101" t="n">
        <f aca="false">E33*'مواد المخزون'!$E30</f>
        <v>0</v>
      </c>
      <c r="J33" s="101" t="n">
        <f aca="false">F33*'مواد المخزون'!$E30</f>
        <v>0</v>
      </c>
    </row>
    <row r="34" customFormat="false" ht="15" hidden="false" customHeight="false" outlineLevel="0" collapsed="false">
      <c r="A34" s="62" t="str">
        <f aca="false">'مواد المخزون'!A31</f>
        <v>بصل</v>
      </c>
      <c r="B34" s="96" t="str">
        <f aca="false">'مواد المخزون'!B31</f>
        <v>كجم</v>
      </c>
      <c r="C34" s="100" t="n">
        <v>1.5</v>
      </c>
      <c r="D34" s="100" t="n">
        <v>1.6</v>
      </c>
      <c r="E34" s="100" t="n">
        <v>0</v>
      </c>
      <c r="F34" s="100" t="n">
        <v>0</v>
      </c>
      <c r="G34" s="101" t="n">
        <f aca="false">C34*'مواد المخزون'!$E31</f>
        <v>27</v>
      </c>
      <c r="H34" s="101" t="n">
        <f aca="false">D34*'مواد المخزون'!$E31</f>
        <v>28.8</v>
      </c>
      <c r="I34" s="101" t="n">
        <f aca="false">E34*'مواد المخزون'!$E31</f>
        <v>0</v>
      </c>
      <c r="J34" s="101" t="n">
        <f aca="false">F34*'مواد المخزون'!$E31</f>
        <v>0</v>
      </c>
    </row>
    <row r="35" customFormat="false" ht="15" hidden="false" customHeight="false" outlineLevel="0" collapsed="false">
      <c r="A35" s="62" t="str">
        <f aca="false">'مواد المخزون'!A32</f>
        <v>بكر استريتش</v>
      </c>
      <c r="B35" s="96" t="str">
        <f aca="false">'مواد المخزون'!B32</f>
        <v>رول</v>
      </c>
      <c r="C35" s="100" t="n">
        <v>0.5</v>
      </c>
      <c r="D35" s="100" t="n">
        <v>2.835</v>
      </c>
      <c r="E35" s="100" t="n">
        <v>5</v>
      </c>
      <c r="F35" s="100" t="n">
        <v>0</v>
      </c>
      <c r="G35" s="101" t="n">
        <f aca="false">C35*'مواد المخزون'!$E32</f>
        <v>365</v>
      </c>
      <c r="H35" s="101" t="n">
        <f aca="false">D35*'مواد المخزون'!$E32</f>
        <v>2069.55</v>
      </c>
      <c r="I35" s="101" t="n">
        <f aca="false">E35*'مواد المخزون'!$E32</f>
        <v>3650</v>
      </c>
      <c r="J35" s="101" t="n">
        <f aca="false">F35*'مواد المخزون'!$E32</f>
        <v>0</v>
      </c>
    </row>
    <row r="36" customFormat="false" ht="15" hidden="false" customHeight="false" outlineLevel="0" collapsed="false">
      <c r="A36" s="62" t="str">
        <f aca="false">'مواد المخزون'!A33</f>
        <v>بيبسي كانز</v>
      </c>
      <c r="B36" s="96" t="str">
        <f aca="false">'مواد المخزون'!B33</f>
        <v>قطعة</v>
      </c>
      <c r="C36" s="100" t="n">
        <v>0</v>
      </c>
      <c r="D36" s="100" t="n">
        <v>0</v>
      </c>
      <c r="E36" s="100" t="n">
        <v>0</v>
      </c>
      <c r="F36" s="100" t="n">
        <v>0</v>
      </c>
      <c r="G36" s="101" t="n">
        <f aca="false">C36*'مواد المخزون'!$E33</f>
        <v>0</v>
      </c>
      <c r="H36" s="101" t="n">
        <f aca="false">D36*'مواد المخزون'!$E33</f>
        <v>0</v>
      </c>
      <c r="I36" s="101" t="n">
        <f aca="false">E36*'مواد المخزون'!$E33</f>
        <v>0</v>
      </c>
      <c r="J36" s="101" t="n">
        <f aca="false">F36*'مواد المخزون'!$E33</f>
        <v>0</v>
      </c>
    </row>
    <row r="37" customFormat="false" ht="15" hidden="false" customHeight="false" outlineLevel="0" collapsed="false">
      <c r="A37" s="62" t="str">
        <f aca="false">'مواد المخزون'!A34</f>
        <v>بيبسي لتر</v>
      </c>
      <c r="B37" s="96" t="str">
        <f aca="false">'مواد المخزون'!B34</f>
        <v>لتر</v>
      </c>
      <c r="C37" s="100" t="n">
        <v>0</v>
      </c>
      <c r="D37" s="100" t="n">
        <v>0</v>
      </c>
      <c r="E37" s="100" t="n">
        <v>0</v>
      </c>
      <c r="F37" s="100" t="n">
        <v>0</v>
      </c>
      <c r="G37" s="101" t="n">
        <f aca="false">C37*'مواد المخزون'!$E34</f>
        <v>0</v>
      </c>
      <c r="H37" s="101" t="n">
        <f aca="false">D37*'مواد المخزون'!$E34</f>
        <v>0</v>
      </c>
      <c r="I37" s="101" t="n">
        <f aca="false">E37*'مواد المخزون'!$E34</f>
        <v>0</v>
      </c>
      <c r="J37" s="101" t="n">
        <f aca="false">F37*'مواد المخزون'!$E34</f>
        <v>0</v>
      </c>
    </row>
    <row r="38" customFormat="false" ht="15" hidden="false" customHeight="false" outlineLevel="0" collapsed="false">
      <c r="A38" s="62" t="str">
        <f aca="false">'مواد المخزون'!A35</f>
        <v>جبنة رومي/شيدر صيامي</v>
      </c>
      <c r="B38" s="96" t="str">
        <f aca="false">'مواد المخزون'!B35</f>
        <v>كجم</v>
      </c>
      <c r="C38" s="100" t="n">
        <v>0</v>
      </c>
      <c r="D38" s="100" t="n">
        <v>0.825</v>
      </c>
      <c r="E38" s="100" t="n">
        <v>0</v>
      </c>
      <c r="F38" s="100" t="n">
        <v>0</v>
      </c>
      <c r="G38" s="101" t="n">
        <f aca="false">C38*'مواد المخزون'!$E35</f>
        <v>0</v>
      </c>
      <c r="H38" s="101" t="n">
        <f aca="false">D38*'مواد المخزون'!$E35</f>
        <v>86.625</v>
      </c>
      <c r="I38" s="101" t="n">
        <f aca="false">E38*'مواد المخزون'!$E35</f>
        <v>0</v>
      </c>
      <c r="J38" s="101" t="n">
        <f aca="false">F38*'مواد المخزون'!$E35</f>
        <v>0</v>
      </c>
    </row>
    <row r="39" customFormat="false" ht="15" hidden="false" customHeight="false" outlineLevel="0" collapsed="false">
      <c r="A39" s="62" t="str">
        <f aca="false">'مواد المخزون'!A36</f>
        <v>جلافزات شفاف</v>
      </c>
      <c r="B39" s="96" t="str">
        <f aca="false">'مواد المخزون'!B36</f>
        <v>علبة</v>
      </c>
      <c r="C39" s="100" t="n">
        <v>100</v>
      </c>
      <c r="D39" s="100" t="n">
        <v>50</v>
      </c>
      <c r="E39" s="100" t="n">
        <v>68</v>
      </c>
      <c r="F39" s="100" t="n">
        <v>0</v>
      </c>
      <c r="G39" s="101" t="n">
        <f aca="false">C39*'مواد المخزون'!$E36</f>
        <v>900</v>
      </c>
      <c r="H39" s="101" t="n">
        <f aca="false">D39*'مواد المخزون'!$E36</f>
        <v>450</v>
      </c>
      <c r="I39" s="101" t="n">
        <f aca="false">E39*'مواد المخزون'!$E36</f>
        <v>612</v>
      </c>
      <c r="J39" s="101" t="n">
        <f aca="false">F39*'مواد المخزون'!$E36</f>
        <v>0</v>
      </c>
    </row>
    <row r="40" customFormat="false" ht="15" hidden="false" customHeight="false" outlineLevel="0" collapsed="false">
      <c r="A40" s="62" t="str">
        <f aca="false">'مواد المخزون'!A37</f>
        <v>جوزهند</v>
      </c>
      <c r="B40" s="96" t="str">
        <f aca="false">'مواد المخزون'!B37</f>
        <v>كجم</v>
      </c>
      <c r="C40" s="100" t="n">
        <v>0.45</v>
      </c>
      <c r="D40" s="100" t="n">
        <v>0.65</v>
      </c>
      <c r="E40" s="100" t="n">
        <v>0.65</v>
      </c>
      <c r="F40" s="100" t="n">
        <v>0</v>
      </c>
      <c r="G40" s="101" t="n">
        <f aca="false">C40*'مواد المخزون'!$E37</f>
        <v>90</v>
      </c>
      <c r="H40" s="101" t="n">
        <f aca="false">D40*'مواد المخزون'!$E37</f>
        <v>130</v>
      </c>
      <c r="I40" s="101" t="n">
        <f aca="false">E40*'مواد المخزون'!$E37</f>
        <v>130</v>
      </c>
      <c r="J40" s="101" t="n">
        <f aca="false">F40*'مواد المخزون'!$E37</f>
        <v>0</v>
      </c>
    </row>
    <row r="41" customFormat="false" ht="15" hidden="false" customHeight="false" outlineLevel="0" collapsed="false">
      <c r="A41" s="62" t="str">
        <f aca="false">'مواد المخزون'!A38</f>
        <v>خيار مخلل</v>
      </c>
      <c r="B41" s="96" t="str">
        <f aca="false">'مواد المخزون'!B38</f>
        <v>كجم</v>
      </c>
      <c r="C41" s="100" t="n">
        <v>6</v>
      </c>
      <c r="D41" s="100" t="n">
        <v>4.545</v>
      </c>
      <c r="E41" s="100" t="n">
        <v>6.5</v>
      </c>
      <c r="F41" s="100" t="n">
        <v>0</v>
      </c>
      <c r="G41" s="101" t="n">
        <f aca="false">C41*'مواد المخزون'!$E38</f>
        <v>180</v>
      </c>
      <c r="H41" s="101" t="n">
        <f aca="false">D41*'مواد المخزون'!$E38</f>
        <v>136.35</v>
      </c>
      <c r="I41" s="101" t="n">
        <f aca="false">E41*'مواد المخزون'!$E38</f>
        <v>195</v>
      </c>
      <c r="J41" s="101" t="n">
        <f aca="false">F41*'مواد المخزون'!$E38</f>
        <v>0</v>
      </c>
    </row>
    <row r="42" customFormat="false" ht="15" hidden="false" customHeight="false" outlineLevel="0" collapsed="false">
      <c r="A42" s="62" t="str">
        <f aca="false">'مواد المخزون'!A39</f>
        <v>دقيق</v>
      </c>
      <c r="B42" s="96" t="str">
        <f aca="false">'مواد المخزون'!B39</f>
        <v>كجم</v>
      </c>
      <c r="C42" s="100" t="n">
        <v>12</v>
      </c>
      <c r="D42" s="100" t="n">
        <v>8.014</v>
      </c>
      <c r="E42" s="100" t="n">
        <v>50.255</v>
      </c>
      <c r="F42" s="100" t="n">
        <v>0</v>
      </c>
      <c r="G42" s="101" t="n">
        <f aca="false">C42*'مواد المخزون'!$E39</f>
        <v>244.2852</v>
      </c>
      <c r="H42" s="101" t="n">
        <f aca="false">D42*'مواد المخزون'!$E39</f>
        <v>163.1417994</v>
      </c>
      <c r="I42" s="101" t="n">
        <f aca="false">E42*'مواد المخزون'!$E39</f>
        <v>1023.0460605</v>
      </c>
      <c r="J42" s="101" t="n">
        <f aca="false">F42*'مواد المخزون'!$E39</f>
        <v>0</v>
      </c>
    </row>
    <row r="43" customFormat="false" ht="15" hidden="false" customHeight="false" outlineLevel="0" collapsed="false">
      <c r="A43" s="62" t="str">
        <f aca="false">'مواد المخزون'!A40</f>
        <v>زبدة</v>
      </c>
      <c r="B43" s="96" t="str">
        <f aca="false">'مواد المخزون'!B40</f>
        <v>كجم</v>
      </c>
      <c r="C43" s="100" t="n">
        <v>3.556</v>
      </c>
      <c r="D43" s="100" t="n">
        <v>1.38</v>
      </c>
      <c r="E43" s="100" t="n">
        <v>1.528</v>
      </c>
      <c r="F43" s="100" t="n">
        <v>0</v>
      </c>
      <c r="G43" s="101" t="n">
        <f aca="false">C43*'مواد المخزون'!$E40</f>
        <v>426.72</v>
      </c>
      <c r="H43" s="101" t="n">
        <f aca="false">D43*'مواد المخزون'!$E40</f>
        <v>165.6</v>
      </c>
      <c r="I43" s="101" t="n">
        <f aca="false">E43*'مواد المخزون'!$E40</f>
        <v>183.36</v>
      </c>
      <c r="J43" s="101" t="n">
        <f aca="false">F43*'مواد المخزون'!$E40</f>
        <v>0</v>
      </c>
    </row>
    <row r="44" customFormat="false" ht="15" hidden="false" customHeight="false" outlineLevel="0" collapsed="false">
      <c r="A44" s="62" t="str">
        <f aca="false">'مواد المخزون'!A41</f>
        <v>زبيب</v>
      </c>
      <c r="B44" s="96" t="str">
        <f aca="false">'مواد المخزون'!B41</f>
        <v>كجم</v>
      </c>
      <c r="C44" s="100" t="n">
        <v>0.875</v>
      </c>
      <c r="D44" s="100" t="n">
        <v>0.46</v>
      </c>
      <c r="E44" s="100" t="n">
        <v>0.94</v>
      </c>
      <c r="F44" s="100" t="n">
        <v>0</v>
      </c>
      <c r="G44" s="101" t="n">
        <f aca="false">C44*'مواد المخزون'!$E41</f>
        <v>192.5</v>
      </c>
      <c r="H44" s="101" t="n">
        <f aca="false">D44*'مواد المخزون'!$E41</f>
        <v>101.2</v>
      </c>
      <c r="I44" s="101" t="n">
        <f aca="false">E44*'مواد المخزون'!$E41</f>
        <v>206.8</v>
      </c>
      <c r="J44" s="101" t="n">
        <f aca="false">F44*'مواد المخزون'!$E41</f>
        <v>0</v>
      </c>
    </row>
    <row r="45" customFormat="false" ht="15" hidden="false" customHeight="false" outlineLevel="0" collapsed="false">
      <c r="A45" s="62" t="str">
        <f aca="false">'مواد المخزون'!A42</f>
        <v>زيتون</v>
      </c>
      <c r="B45" s="96" t="str">
        <f aca="false">'مواد المخزون'!B42</f>
        <v>كجم</v>
      </c>
      <c r="C45" s="100" t="n">
        <v>16.25</v>
      </c>
      <c r="D45" s="100" t="n">
        <v>7.325</v>
      </c>
      <c r="E45" s="100" t="n">
        <v>9.57</v>
      </c>
      <c r="F45" s="100" t="n">
        <v>0</v>
      </c>
      <c r="G45" s="101" t="n">
        <f aca="false">C45*'مواد المخزون'!$E42</f>
        <v>1543.75</v>
      </c>
      <c r="H45" s="101" t="n">
        <f aca="false">D45*'مواد المخزون'!$E42</f>
        <v>695.875</v>
      </c>
      <c r="I45" s="101" t="n">
        <f aca="false">E45*'مواد المخزون'!$E42</f>
        <v>909.15</v>
      </c>
      <c r="J45" s="101" t="n">
        <f aca="false">F45*'مواد المخزون'!$E42</f>
        <v>0</v>
      </c>
    </row>
    <row r="46" customFormat="false" ht="15" hidden="false" customHeight="false" outlineLevel="0" collapsed="false">
      <c r="A46" s="62" t="str">
        <f aca="false">'مواد المخزون'!A43</f>
        <v>سكر بودرة</v>
      </c>
      <c r="B46" s="96" t="str">
        <f aca="false">'مواد المخزون'!B43</f>
        <v>كجم</v>
      </c>
      <c r="C46" s="100" t="n">
        <v>5.845</v>
      </c>
      <c r="D46" s="100" t="n">
        <v>7.764</v>
      </c>
      <c r="E46" s="100" t="n">
        <v>4.821</v>
      </c>
      <c r="F46" s="100" t="n">
        <v>0</v>
      </c>
      <c r="G46" s="101" t="n">
        <f aca="false">C46*'مواد المخزون'!$E43</f>
        <v>179.2036085</v>
      </c>
      <c r="H46" s="101" t="n">
        <f aca="false">D46*'مواد المخزون'!$E43</f>
        <v>238.0388052</v>
      </c>
      <c r="I46" s="101" t="n">
        <f aca="false">E46*'مواد المخزون'!$E43</f>
        <v>147.8084853</v>
      </c>
      <c r="J46" s="101" t="n">
        <f aca="false">F46*'مواد المخزون'!$E43</f>
        <v>0</v>
      </c>
    </row>
    <row r="47" customFormat="false" ht="15" hidden="false" customHeight="false" outlineLevel="0" collapsed="false">
      <c r="A47" s="62" t="str">
        <f aca="false">'مواد المخزون'!A44</f>
        <v>سمنة الشيخ</v>
      </c>
      <c r="B47" s="96" t="str">
        <f aca="false">'مواد المخزون'!B44</f>
        <v>كجم</v>
      </c>
      <c r="C47" s="100" t="n">
        <v>1.25</v>
      </c>
      <c r="D47" s="100" t="n">
        <v>1.798</v>
      </c>
      <c r="E47" s="100" t="n">
        <v>5.06</v>
      </c>
      <c r="F47" s="100" t="n">
        <v>0</v>
      </c>
      <c r="G47" s="101" t="n">
        <f aca="false">C47*'مواد المخزون'!$E44</f>
        <v>475</v>
      </c>
      <c r="H47" s="101" t="n">
        <f aca="false">D47*'مواد المخزون'!$E44</f>
        <v>683.24</v>
      </c>
      <c r="I47" s="101" t="n">
        <f aca="false">E47*'مواد المخزون'!$E44</f>
        <v>1922.8</v>
      </c>
      <c r="J47" s="101" t="n">
        <f aca="false">F47*'مواد المخزون'!$E44</f>
        <v>0</v>
      </c>
    </row>
    <row r="48" customFormat="false" ht="15" hidden="false" customHeight="false" outlineLevel="0" collapsed="false">
      <c r="A48" s="62" t="str">
        <f aca="false">'مواد المخزون'!A45</f>
        <v>سيلفر رول</v>
      </c>
      <c r="B48" s="96" t="str">
        <f aca="false">'مواد المخزون'!B45</f>
        <v>رول</v>
      </c>
      <c r="C48" s="100" t="n">
        <v>1.5</v>
      </c>
      <c r="D48" s="100" t="n">
        <v>0.985</v>
      </c>
      <c r="E48" s="100" t="n">
        <v>1.92</v>
      </c>
      <c r="F48" s="100" t="n">
        <v>0</v>
      </c>
      <c r="G48" s="101" t="n">
        <f aca="false">C48*'مواد المخزون'!$E45</f>
        <v>755.67</v>
      </c>
      <c r="H48" s="101" t="n">
        <f aca="false">D48*'مواد المخزون'!$E45</f>
        <v>496.2233</v>
      </c>
      <c r="I48" s="101" t="n">
        <f aca="false">E48*'مواد المخزون'!$E45</f>
        <v>967.2576</v>
      </c>
      <c r="J48" s="101" t="n">
        <f aca="false">F48*'مواد المخزون'!$E45</f>
        <v>0</v>
      </c>
    </row>
    <row r="49" customFormat="false" ht="15" hidden="false" customHeight="false" outlineLevel="0" collapsed="false">
      <c r="A49" s="62" t="str">
        <f aca="false">'مواد المخزون'!A46</f>
        <v>شرايح بلاستيك وسط</v>
      </c>
      <c r="B49" s="96" t="str">
        <f aca="false">'مواد المخزون'!B46</f>
        <v>كجم</v>
      </c>
      <c r="C49" s="100" t="n">
        <v>0.5</v>
      </c>
      <c r="D49" s="100" t="n">
        <v>0.5</v>
      </c>
      <c r="E49" s="100" t="n">
        <v>1</v>
      </c>
      <c r="F49" s="100" t="n">
        <v>0</v>
      </c>
      <c r="G49" s="101" t="n">
        <f aca="false">C49*'مواد المخزون'!$E46</f>
        <v>67.5</v>
      </c>
      <c r="H49" s="101" t="n">
        <f aca="false">D49*'مواد المخزون'!$E46</f>
        <v>67.5</v>
      </c>
      <c r="I49" s="101" t="n">
        <f aca="false">E49*'مواد المخزون'!$E46</f>
        <v>135</v>
      </c>
      <c r="J49" s="101" t="n">
        <f aca="false">F49*'مواد المخزون'!$E46</f>
        <v>0</v>
      </c>
    </row>
    <row r="50" customFormat="false" ht="15" hidden="false" customHeight="false" outlineLevel="0" collapsed="false">
      <c r="A50" s="62" t="str">
        <f aca="false">'مواد المخزون'!A47</f>
        <v>شوك بلاستيك</v>
      </c>
      <c r="B50" s="96" t="str">
        <f aca="false">'مواد المخزون'!B47</f>
        <v>قطعة</v>
      </c>
      <c r="C50" s="100" t="n">
        <v>500</v>
      </c>
      <c r="D50" s="100" t="n">
        <v>2800</v>
      </c>
      <c r="E50" s="100" t="n">
        <v>1058</v>
      </c>
      <c r="F50" s="100" t="n">
        <v>0</v>
      </c>
      <c r="G50" s="101" t="n">
        <f aca="false">C50*'مواد المخزون'!$E47</f>
        <v>150</v>
      </c>
      <c r="H50" s="101" t="n">
        <f aca="false">D50*'مواد المخزون'!$E47</f>
        <v>840</v>
      </c>
      <c r="I50" s="101" t="n">
        <f aca="false">E50*'مواد المخزون'!$E47</f>
        <v>317.4</v>
      </c>
      <c r="J50" s="101" t="n">
        <f aca="false">F50*'مواد المخزون'!$E47</f>
        <v>0</v>
      </c>
    </row>
    <row r="51" customFormat="false" ht="15" hidden="false" customHeight="false" outlineLevel="0" collapsed="false">
      <c r="A51" s="62" t="str">
        <f aca="false">'مواد المخزون'!A48</f>
        <v>شيكولاتة بني</v>
      </c>
      <c r="B51" s="96" t="str">
        <f aca="false">'مواد المخزون'!B48</f>
        <v>كجم</v>
      </c>
      <c r="C51" s="100" t="n">
        <v>8.5</v>
      </c>
      <c r="D51" s="100" t="n">
        <v>5.3</v>
      </c>
      <c r="E51" s="100" t="n">
        <v>7.485</v>
      </c>
      <c r="F51" s="100" t="n">
        <v>0</v>
      </c>
      <c r="G51" s="101" t="n">
        <f aca="false">C51*'مواد المخزون'!$E48</f>
        <v>1085.0947</v>
      </c>
      <c r="H51" s="101" t="n">
        <f aca="false">D51*'مواد المخزون'!$E48</f>
        <v>676.58846</v>
      </c>
      <c r="I51" s="101" t="n">
        <f aca="false">E51*'مواد المخزون'!$E48</f>
        <v>955.521627</v>
      </c>
      <c r="J51" s="101" t="n">
        <f aca="false">F51*'مواد المخزون'!$E48</f>
        <v>0</v>
      </c>
    </row>
    <row r="52" customFormat="false" ht="15" hidden="false" customHeight="false" outlineLevel="0" collapsed="false">
      <c r="A52" s="62" t="str">
        <f aca="false">'مواد المخزون'!A49</f>
        <v>شيكولاتة بيضاء</v>
      </c>
      <c r="B52" s="96" t="str">
        <f aca="false">'مواد المخزون'!B49</f>
        <v>كجم</v>
      </c>
      <c r="C52" s="100" t="n">
        <v>5.5</v>
      </c>
      <c r="D52" s="100" t="n">
        <v>6</v>
      </c>
      <c r="E52" s="100" t="n">
        <v>4.07</v>
      </c>
      <c r="F52" s="100" t="n">
        <v>0</v>
      </c>
      <c r="G52" s="101" t="n">
        <f aca="false">C52*'مواد المخزون'!$E49</f>
        <v>550</v>
      </c>
      <c r="H52" s="101" t="n">
        <f aca="false">D52*'مواد المخزون'!$E49</f>
        <v>600</v>
      </c>
      <c r="I52" s="101" t="n">
        <f aca="false">E52*'مواد المخزون'!$E49</f>
        <v>407</v>
      </c>
      <c r="J52" s="101" t="n">
        <f aca="false">F52*'مواد المخزون'!$E49</f>
        <v>0</v>
      </c>
    </row>
    <row r="53" customFormat="false" ht="15" hidden="false" customHeight="false" outlineLevel="0" collapsed="false">
      <c r="A53" s="62" t="str">
        <f aca="false">'مواد المخزون'!A50</f>
        <v>صلصة مصنع</v>
      </c>
      <c r="B53" s="96" t="str">
        <f aca="false">'مواد المخزون'!B50</f>
        <v>كجم</v>
      </c>
      <c r="C53" s="100" t="n">
        <v>8</v>
      </c>
      <c r="D53" s="100" t="n">
        <v>7.797</v>
      </c>
      <c r="E53" s="100" t="n">
        <v>6.526</v>
      </c>
      <c r="F53" s="100" t="n">
        <v>0</v>
      </c>
      <c r="G53" s="101" t="n">
        <f aca="false">C53*'مواد المخزون'!$E50</f>
        <v>256</v>
      </c>
      <c r="H53" s="101" t="n">
        <f aca="false">D53*'مواد المخزون'!$E50</f>
        <v>249.504</v>
      </c>
      <c r="I53" s="101" t="n">
        <f aca="false">E53*'مواد المخزون'!$E50</f>
        <v>208.832</v>
      </c>
      <c r="J53" s="101" t="n">
        <f aca="false">F53*'مواد المخزون'!$E50</f>
        <v>0</v>
      </c>
    </row>
    <row r="54" customFormat="false" ht="15" hidden="false" customHeight="false" outlineLevel="0" collapsed="false">
      <c r="A54" s="62" t="str">
        <f aca="false">'مواد المخزون'!A51</f>
        <v>صوص باربيكيو كيلو</v>
      </c>
      <c r="B54" s="96" t="str">
        <f aca="false">'مواد المخزون'!B51</f>
        <v>كجم</v>
      </c>
      <c r="C54" s="100" t="n">
        <v>4.5</v>
      </c>
      <c r="D54" s="100" t="n">
        <v>6.95</v>
      </c>
      <c r="E54" s="100" t="n">
        <v>4.3</v>
      </c>
      <c r="F54" s="100" t="n">
        <v>0</v>
      </c>
      <c r="G54" s="101" t="n">
        <f aca="false">C54*'مواد المخزون'!$E51</f>
        <v>315</v>
      </c>
      <c r="H54" s="101" t="n">
        <f aca="false">D54*'مواد المخزون'!$E51</f>
        <v>486.5</v>
      </c>
      <c r="I54" s="101" t="n">
        <f aca="false">E54*'مواد المخزون'!$E51</f>
        <v>301</v>
      </c>
      <c r="J54" s="101" t="n">
        <f aca="false">F54*'مواد المخزون'!$E51</f>
        <v>0</v>
      </c>
    </row>
    <row r="55" customFormat="false" ht="15" hidden="false" customHeight="false" outlineLevel="0" collapsed="false">
      <c r="A55" s="62" t="str">
        <f aca="false">'مواد المخزون'!A52</f>
        <v>صوص تكساس برجر</v>
      </c>
      <c r="B55" s="96" t="str">
        <f aca="false">'مواد المخزون'!B52</f>
        <v>كجم</v>
      </c>
      <c r="C55" s="100" t="n">
        <v>5.25</v>
      </c>
      <c r="D55" s="100" t="n">
        <v>4.3</v>
      </c>
      <c r="E55" s="100" t="n">
        <v>3.25</v>
      </c>
      <c r="F55" s="100" t="n">
        <v>0</v>
      </c>
      <c r="G55" s="101" t="n">
        <f aca="false">C55*'مواد المخزون'!$E52</f>
        <v>735</v>
      </c>
      <c r="H55" s="101" t="n">
        <f aca="false">D55*'مواد المخزون'!$E52</f>
        <v>602</v>
      </c>
      <c r="I55" s="101" t="n">
        <f aca="false">E55*'مواد المخزون'!$E52</f>
        <v>455</v>
      </c>
      <c r="J55" s="101" t="n">
        <f aca="false">F55*'مواد المخزون'!$E52</f>
        <v>0</v>
      </c>
    </row>
    <row r="56" customFormat="false" ht="15" hidden="false" customHeight="false" outlineLevel="0" collapsed="false">
      <c r="A56" s="62" t="str">
        <f aca="false">'مواد المخزون'!A53</f>
        <v>صوص رانش كيلو</v>
      </c>
      <c r="B56" s="96" t="str">
        <f aca="false">'مواد المخزون'!B53</f>
        <v>كجم</v>
      </c>
      <c r="C56" s="100" t="n">
        <v>6.5</v>
      </c>
      <c r="D56" s="100" t="n">
        <v>3.6</v>
      </c>
      <c r="E56" s="100" t="n">
        <v>5.31</v>
      </c>
      <c r="F56" s="100" t="n">
        <v>0</v>
      </c>
      <c r="G56" s="101" t="n">
        <f aca="false">C56*'مواد المخزون'!$E53</f>
        <v>682.5</v>
      </c>
      <c r="H56" s="101" t="n">
        <f aca="false">D56*'مواد المخزون'!$E53</f>
        <v>378</v>
      </c>
      <c r="I56" s="101" t="n">
        <f aca="false">E56*'مواد المخزون'!$E53</f>
        <v>557.55</v>
      </c>
      <c r="J56" s="101" t="n">
        <f aca="false">F56*'مواد المخزون'!$E53</f>
        <v>0</v>
      </c>
    </row>
    <row r="57" customFormat="false" ht="15" hidden="false" customHeight="false" outlineLevel="0" collapsed="false">
      <c r="A57" s="62" t="str">
        <f aca="false">'مواد المخزون'!A54</f>
        <v>صوص شيدر كيلو</v>
      </c>
      <c r="B57" s="96" t="str">
        <f aca="false">'مواد المخزون'!B54</f>
        <v>كجم</v>
      </c>
      <c r="C57" s="100" t="n">
        <v>6</v>
      </c>
      <c r="D57" s="100" t="n">
        <v>6.795</v>
      </c>
      <c r="E57" s="100" t="n">
        <v>3.04</v>
      </c>
      <c r="F57" s="100" t="n">
        <v>0</v>
      </c>
      <c r="G57" s="101" t="n">
        <f aca="false">C57*'مواد المخزون'!$E54</f>
        <v>840</v>
      </c>
      <c r="H57" s="101" t="n">
        <f aca="false">D57*'مواد المخزون'!$E54</f>
        <v>951.3</v>
      </c>
      <c r="I57" s="101" t="n">
        <f aca="false">E57*'مواد المخزون'!$E54</f>
        <v>425.6</v>
      </c>
      <c r="J57" s="101" t="n">
        <f aca="false">F57*'مواد المخزون'!$E54</f>
        <v>0</v>
      </c>
    </row>
    <row r="58" customFormat="false" ht="15" hidden="false" customHeight="false" outlineLevel="0" collapsed="false">
      <c r="A58" s="62" t="str">
        <f aca="false">'مواد المخزون'!A55</f>
        <v>طماطم</v>
      </c>
      <c r="B58" s="96" t="str">
        <f aca="false">'مواد المخزون'!B55</f>
        <v>كجم</v>
      </c>
      <c r="C58" s="100" t="n">
        <v>15</v>
      </c>
      <c r="D58" s="100" t="n">
        <v>6.55</v>
      </c>
      <c r="E58" s="100" t="n">
        <v>3.485</v>
      </c>
      <c r="F58" s="100" t="n">
        <v>0</v>
      </c>
      <c r="G58" s="101" t="n">
        <f aca="false">C58*'مواد المخزون'!$E55</f>
        <v>315</v>
      </c>
      <c r="H58" s="101" t="n">
        <f aca="false">D58*'مواد المخزون'!$E55</f>
        <v>137.55</v>
      </c>
      <c r="I58" s="101" t="n">
        <f aca="false">E58*'مواد المخزون'!$E55</f>
        <v>73.185</v>
      </c>
      <c r="J58" s="101" t="n">
        <f aca="false">F58*'مواد المخزون'!$E55</f>
        <v>0</v>
      </c>
    </row>
    <row r="59" customFormat="false" ht="15" hidden="false" customHeight="false" outlineLevel="0" collapsed="false">
      <c r="A59" s="62" t="str">
        <f aca="false">'مواد المخزون'!A56</f>
        <v>عجين بيتزا</v>
      </c>
      <c r="B59" s="96" t="str">
        <f aca="false">'مواد المخزون'!B56</f>
        <v>كجم</v>
      </c>
      <c r="C59" s="100" t="n">
        <v>21</v>
      </c>
      <c r="D59" s="100" t="n">
        <v>25</v>
      </c>
      <c r="E59" s="100" t="n">
        <v>44.18</v>
      </c>
      <c r="F59" s="100" t="n">
        <v>0</v>
      </c>
      <c r="G59" s="101" t="n">
        <f aca="false">C59*'مواد المخزون'!$E56</f>
        <v>462</v>
      </c>
      <c r="H59" s="101" t="n">
        <f aca="false">D59*'مواد المخزون'!$E56</f>
        <v>550</v>
      </c>
      <c r="I59" s="101" t="n">
        <f aca="false">E59*'مواد المخزون'!$E56</f>
        <v>971.96</v>
      </c>
      <c r="J59" s="101" t="n">
        <f aca="false">F59*'مواد المخزون'!$E56</f>
        <v>0</v>
      </c>
    </row>
    <row r="60" customFormat="false" ht="15" hidden="false" customHeight="false" outlineLevel="0" collapsed="false">
      <c r="A60" s="62" t="str">
        <f aca="false">'مواد المخزون'!A57</f>
        <v>عجين فطير</v>
      </c>
      <c r="B60" s="96" t="str">
        <f aca="false">'مواد المخزون'!B57</f>
        <v>قطعة</v>
      </c>
      <c r="C60" s="100" t="n">
        <v>105</v>
      </c>
      <c r="D60" s="100" t="n">
        <v>199</v>
      </c>
      <c r="E60" s="100" t="n">
        <v>109</v>
      </c>
      <c r="F60" s="100" t="n">
        <v>0</v>
      </c>
      <c r="G60" s="101" t="n">
        <f aca="false">C60*'مواد المخزون'!$E57</f>
        <v>420</v>
      </c>
      <c r="H60" s="101" t="n">
        <f aca="false">D60*'مواد المخزون'!$E57</f>
        <v>796</v>
      </c>
      <c r="I60" s="101" t="n">
        <f aca="false">E60*'مواد المخزون'!$E57</f>
        <v>436</v>
      </c>
      <c r="J60" s="101" t="n">
        <f aca="false">F60*'مواد المخزون'!$E57</f>
        <v>0</v>
      </c>
    </row>
    <row r="61" customFormat="false" ht="15" hidden="false" customHeight="false" outlineLevel="0" collapsed="false">
      <c r="A61" s="62" t="str">
        <f aca="false">'مواد المخزون'!A58</f>
        <v>عسل ابيض</v>
      </c>
      <c r="B61" s="96" t="str">
        <f aca="false">'مواد المخزون'!B58</f>
        <v>كجم</v>
      </c>
      <c r="C61" s="100" t="n">
        <v>1.5</v>
      </c>
      <c r="D61" s="100" t="n">
        <v>1.8</v>
      </c>
      <c r="E61" s="100" t="n">
        <v>0.6</v>
      </c>
      <c r="F61" s="100" t="n">
        <v>0</v>
      </c>
      <c r="G61" s="101" t="n">
        <f aca="false">C61*'مواد المخزون'!$E58</f>
        <v>210</v>
      </c>
      <c r="H61" s="101" t="n">
        <f aca="false">D61*'مواد المخزون'!$E58</f>
        <v>252</v>
      </c>
      <c r="I61" s="101" t="n">
        <f aca="false">E61*'مواد المخزون'!$E58</f>
        <v>84</v>
      </c>
      <c r="J61" s="101" t="n">
        <f aca="false">F61*'مواد المخزون'!$E58</f>
        <v>0</v>
      </c>
    </row>
    <row r="62" customFormat="false" ht="15" hidden="false" customHeight="false" outlineLevel="0" collapsed="false">
      <c r="A62" s="62" t="str">
        <f aca="false">'مواد المخزون'!A59</f>
        <v>علب بيتزا كبير</v>
      </c>
      <c r="B62" s="96" t="str">
        <f aca="false">'مواد المخزون'!B59</f>
        <v>قطعة</v>
      </c>
      <c r="C62" s="100" t="n">
        <v>1336</v>
      </c>
      <c r="D62" s="100" t="n">
        <v>1050</v>
      </c>
      <c r="E62" s="100" t="n">
        <v>996</v>
      </c>
      <c r="F62" s="100" t="n">
        <v>0</v>
      </c>
      <c r="G62" s="101" t="n">
        <f aca="false">C62*'مواد المخزون'!$E59</f>
        <v>7348</v>
      </c>
      <c r="H62" s="101" t="n">
        <f aca="false">D62*'مواد المخزون'!$E59</f>
        <v>5775</v>
      </c>
      <c r="I62" s="101" t="n">
        <f aca="false">E62*'مواد المخزون'!$E59</f>
        <v>5478</v>
      </c>
      <c r="J62" s="101" t="n">
        <f aca="false">F62*'مواد المخزون'!$E59</f>
        <v>0</v>
      </c>
    </row>
    <row r="63" customFormat="false" ht="15" hidden="false" customHeight="false" outlineLevel="0" collapsed="false">
      <c r="A63" s="62" t="str">
        <f aca="false">'مواد المخزون'!A60</f>
        <v>علب بيتزا وسط</v>
      </c>
      <c r="B63" s="96" t="str">
        <f aca="false">'مواد المخزون'!B60</f>
        <v>قطعة</v>
      </c>
      <c r="C63" s="100" t="n">
        <v>1130</v>
      </c>
      <c r="D63" s="100" t="n">
        <v>4000</v>
      </c>
      <c r="E63" s="100" t="n">
        <v>4995</v>
      </c>
      <c r="F63" s="100" t="n">
        <v>0</v>
      </c>
      <c r="G63" s="101" t="n">
        <f aca="false">C63*'مواد المخزون'!$E60</f>
        <v>5085</v>
      </c>
      <c r="H63" s="101" t="n">
        <f aca="false">D63*'مواد المخزون'!$E60</f>
        <v>18000</v>
      </c>
      <c r="I63" s="101" t="n">
        <f aca="false">E63*'مواد المخزون'!$E60</f>
        <v>22477.5</v>
      </c>
      <c r="J63" s="101" t="n">
        <f aca="false">F63*'مواد المخزون'!$E60</f>
        <v>0</v>
      </c>
    </row>
    <row r="64" customFormat="false" ht="15" hidden="false" customHeight="false" outlineLevel="0" collapsed="false">
      <c r="A64" s="62" t="str">
        <f aca="false">'مواد المخزون'!A61</f>
        <v>علبة بطاطس صغير</v>
      </c>
      <c r="B64" s="96" t="str">
        <f aca="false">'مواد المخزون'!B61</f>
        <v>قطعة</v>
      </c>
      <c r="C64" s="100" t="n">
        <v>13</v>
      </c>
      <c r="D64" s="100" t="n">
        <v>220</v>
      </c>
      <c r="E64" s="100" t="n">
        <v>39</v>
      </c>
      <c r="F64" s="100" t="n">
        <v>0</v>
      </c>
      <c r="G64" s="101" t="n">
        <f aca="false">C64*'مواد المخزون'!$E61</f>
        <v>22.1</v>
      </c>
      <c r="H64" s="101" t="n">
        <f aca="false">D64*'مواد المخزون'!$E61</f>
        <v>374</v>
      </c>
      <c r="I64" s="101" t="n">
        <f aca="false">E64*'مواد المخزون'!$E61</f>
        <v>66.3</v>
      </c>
      <c r="J64" s="101" t="n">
        <f aca="false">F64*'مواد المخزون'!$E61</f>
        <v>0</v>
      </c>
    </row>
    <row r="65" customFormat="false" ht="15" hidden="false" customHeight="false" outlineLevel="0" collapsed="false">
      <c r="A65" s="62" t="str">
        <f aca="false">'مواد المخزون'!A62</f>
        <v>علبة بطاطس كبير</v>
      </c>
      <c r="B65" s="96" t="str">
        <f aca="false">'مواد المخزون'!B62</f>
        <v>قطعة</v>
      </c>
      <c r="C65" s="100" t="n">
        <v>10</v>
      </c>
      <c r="D65" s="100" t="n">
        <v>40</v>
      </c>
      <c r="E65" s="100" t="n">
        <v>87</v>
      </c>
      <c r="F65" s="100" t="n">
        <v>0</v>
      </c>
      <c r="G65" s="101" t="n">
        <f aca="false">C65*'مواد المخزون'!$E62</f>
        <v>20</v>
      </c>
      <c r="H65" s="101" t="n">
        <f aca="false">D65*'مواد المخزون'!$E62</f>
        <v>80</v>
      </c>
      <c r="I65" s="101" t="n">
        <f aca="false">E65*'مواد المخزون'!$E62</f>
        <v>174</v>
      </c>
      <c r="J65" s="101" t="n">
        <f aca="false">F65*'مواد المخزون'!$E62</f>
        <v>0</v>
      </c>
    </row>
    <row r="66" customFormat="false" ht="15" hidden="false" customHeight="false" outlineLevel="0" collapsed="false">
      <c r="A66" s="62" t="str">
        <f aca="false">'مواد المخزون'!A63</f>
        <v>علبة بلاستيك وجبات</v>
      </c>
      <c r="B66" s="96" t="str">
        <f aca="false">'مواد المخزون'!B63</f>
        <v>قطعة</v>
      </c>
      <c r="C66" s="100" t="n">
        <v>0</v>
      </c>
      <c r="D66" s="100" t="n">
        <v>38</v>
      </c>
      <c r="E66" s="100" t="n">
        <v>99</v>
      </c>
      <c r="F66" s="100" t="n">
        <v>0</v>
      </c>
      <c r="G66" s="101" t="n">
        <f aca="false">C66*'مواد المخزون'!$E63</f>
        <v>0</v>
      </c>
      <c r="H66" s="101" t="n">
        <f aca="false">D66*'مواد المخزون'!$E63</f>
        <v>117.8</v>
      </c>
      <c r="I66" s="101" t="n">
        <f aca="false">E66*'مواد المخزون'!$E63</f>
        <v>306.9</v>
      </c>
      <c r="J66" s="101" t="n">
        <f aca="false">F66*'مواد المخزون'!$E63</f>
        <v>0</v>
      </c>
    </row>
    <row r="67" customFormat="false" ht="15" hidden="false" customHeight="false" outlineLevel="0" collapsed="false">
      <c r="A67" s="62" t="str">
        <f aca="false">'مواد المخزون'!A64</f>
        <v>علبة تونة صغير</v>
      </c>
      <c r="B67" s="96" t="str">
        <f aca="false">'مواد المخزون'!B64</f>
        <v>قطعة</v>
      </c>
      <c r="C67" s="100" t="n">
        <v>4</v>
      </c>
      <c r="D67" s="100" t="n">
        <v>6</v>
      </c>
      <c r="E67" s="100" t="n">
        <v>6</v>
      </c>
      <c r="F67" s="100" t="n">
        <v>0</v>
      </c>
      <c r="G67" s="101" t="n">
        <f aca="false">C67*'مواد المخزون'!$E64</f>
        <v>168.12</v>
      </c>
      <c r="H67" s="101" t="n">
        <f aca="false">D67*'مواد المخزون'!$E64</f>
        <v>252.18</v>
      </c>
      <c r="I67" s="101" t="n">
        <f aca="false">E67*'مواد المخزون'!$E64</f>
        <v>252.18</v>
      </c>
      <c r="J67" s="101" t="n">
        <f aca="false">F67*'مواد المخزون'!$E64</f>
        <v>0</v>
      </c>
    </row>
    <row r="68" customFormat="false" ht="15" hidden="false" customHeight="false" outlineLevel="0" collapsed="false">
      <c r="A68" s="62" t="str">
        <f aca="false">'مواد المخزون'!A65</f>
        <v>فراخ كريسبي صيامي</v>
      </c>
      <c r="B68" s="96" t="str">
        <f aca="false">'مواد المخزون'!B65</f>
        <v>كجم</v>
      </c>
      <c r="C68" s="100" t="n">
        <v>0</v>
      </c>
      <c r="D68" s="100" t="n">
        <v>0</v>
      </c>
      <c r="E68" s="100" t="n">
        <v>0</v>
      </c>
      <c r="F68" s="100" t="n">
        <v>0</v>
      </c>
      <c r="G68" s="101" t="n">
        <f aca="false">C68*'مواد المخزون'!$E65</f>
        <v>0</v>
      </c>
      <c r="H68" s="101" t="n">
        <f aca="false">D68*'مواد المخزون'!$E65</f>
        <v>0</v>
      </c>
      <c r="I68" s="101" t="n">
        <f aca="false">E68*'مواد المخزون'!$E65</f>
        <v>0</v>
      </c>
      <c r="J68" s="101" t="n">
        <f aca="false">F68*'مواد المخزون'!$E65</f>
        <v>0</v>
      </c>
    </row>
    <row r="69" customFormat="false" ht="15" hidden="false" customHeight="false" outlineLevel="0" collapsed="false">
      <c r="A69" s="62" t="str">
        <f aca="false">'مواد المخزون'!A66</f>
        <v>فلفل كوبي</v>
      </c>
      <c r="B69" s="96" t="str">
        <f aca="false">'مواد المخزون'!B66</f>
        <v>كجم</v>
      </c>
      <c r="C69" s="100" t="n">
        <v>7</v>
      </c>
      <c r="D69" s="100" t="n">
        <v>5.185</v>
      </c>
      <c r="E69" s="100" t="n">
        <v>2.8</v>
      </c>
      <c r="F69" s="100" t="n">
        <v>0</v>
      </c>
      <c r="G69" s="101" t="n">
        <f aca="false">C69*'مواد المخزون'!$E66</f>
        <v>189</v>
      </c>
      <c r="H69" s="101" t="n">
        <f aca="false">D69*'مواد المخزون'!$E66</f>
        <v>139.995</v>
      </c>
      <c r="I69" s="101" t="n">
        <f aca="false">E69*'مواد المخزون'!$E66</f>
        <v>75.6</v>
      </c>
      <c r="J69" s="101" t="n">
        <f aca="false">F69*'مواد المخزون'!$E66</f>
        <v>0</v>
      </c>
    </row>
    <row r="70" customFormat="false" ht="15" hidden="false" customHeight="false" outlineLevel="0" collapsed="false">
      <c r="A70" s="62" t="str">
        <f aca="false">'مواد المخزون'!A67</f>
        <v>قطعة جبنة كيري</v>
      </c>
      <c r="B70" s="96" t="str">
        <f aca="false">'مواد المخزون'!B67</f>
        <v>قطعة</v>
      </c>
      <c r="C70" s="100" t="n">
        <v>65</v>
      </c>
      <c r="D70" s="100" t="n">
        <v>84</v>
      </c>
      <c r="E70" s="100" t="n">
        <v>85</v>
      </c>
      <c r="F70" s="100" t="n">
        <v>0</v>
      </c>
      <c r="G70" s="101" t="n">
        <f aca="false">C70*'مواد المخزون'!$E67</f>
        <v>455</v>
      </c>
      <c r="H70" s="101" t="n">
        <f aca="false">D70*'مواد المخزون'!$E67</f>
        <v>588</v>
      </c>
      <c r="I70" s="101" t="n">
        <f aca="false">E70*'مواد المخزون'!$E67</f>
        <v>595</v>
      </c>
      <c r="J70" s="101" t="n">
        <f aca="false">F70*'مواد المخزون'!$E67</f>
        <v>0</v>
      </c>
    </row>
    <row r="71" customFormat="false" ht="15" hidden="false" customHeight="false" outlineLevel="0" collapsed="false">
      <c r="A71" s="62" t="str">
        <f aca="false">'مواد المخزون'!A68</f>
        <v>كاتشب ظرف</v>
      </c>
      <c r="B71" s="96" t="str">
        <f aca="false">'مواد المخزون'!B68</f>
        <v>قطعة</v>
      </c>
      <c r="C71" s="100" t="n">
        <v>250</v>
      </c>
      <c r="D71" s="100" t="n">
        <v>534</v>
      </c>
      <c r="E71" s="100" t="n">
        <v>3577</v>
      </c>
      <c r="F71" s="100" t="n">
        <v>0</v>
      </c>
      <c r="G71" s="101" t="n">
        <f aca="false">C71*'مواد المخزون'!$E68</f>
        <v>75</v>
      </c>
      <c r="H71" s="101" t="n">
        <f aca="false">D71*'مواد المخزون'!$E68</f>
        <v>160.2</v>
      </c>
      <c r="I71" s="101" t="n">
        <f aca="false">E71*'مواد المخزون'!$E68</f>
        <v>1073.1</v>
      </c>
      <c r="J71" s="101" t="n">
        <f aca="false">F71*'مواد المخزون'!$E68</f>
        <v>0</v>
      </c>
    </row>
    <row r="72" customFormat="false" ht="15" hidden="false" customHeight="false" outlineLevel="0" collapsed="false">
      <c r="A72" s="62" t="str">
        <f aca="false">'مواد المخزون'!A69</f>
        <v>كاستر بودر</v>
      </c>
      <c r="B72" s="96" t="str">
        <f aca="false">'مواد المخزون'!B69</f>
        <v>كجم</v>
      </c>
      <c r="C72" s="100" t="n">
        <v>1.25</v>
      </c>
      <c r="D72" s="100" t="n">
        <v>0.7</v>
      </c>
      <c r="E72" s="100" t="n">
        <v>7.3</v>
      </c>
      <c r="F72" s="100" t="n">
        <v>0</v>
      </c>
      <c r="G72" s="101" t="n">
        <f aca="false">C72*'مواد المخزون'!$E69</f>
        <v>112.5</v>
      </c>
      <c r="H72" s="101" t="n">
        <f aca="false">D72*'مواد المخزون'!$E69</f>
        <v>63</v>
      </c>
      <c r="I72" s="101" t="n">
        <f aca="false">E72*'مواد المخزون'!$E69</f>
        <v>657</v>
      </c>
      <c r="J72" s="101" t="n">
        <f aca="false">F72*'مواد المخزون'!$E69</f>
        <v>0</v>
      </c>
    </row>
    <row r="73" customFormat="false" ht="15" hidden="false" customHeight="false" outlineLevel="0" collapsed="false">
      <c r="A73" s="62" t="str">
        <f aca="false">'مواد المخزون'!A70</f>
        <v>كراسي بيتزا</v>
      </c>
      <c r="B73" s="96" t="str">
        <f aca="false">'مواد المخزون'!B70</f>
        <v>قطعة</v>
      </c>
      <c r="C73" s="100" t="n">
        <v>475</v>
      </c>
      <c r="D73" s="100" t="n">
        <v>387</v>
      </c>
      <c r="E73" s="100" t="n">
        <v>1661</v>
      </c>
      <c r="F73" s="100" t="n">
        <v>0</v>
      </c>
      <c r="G73" s="101" t="n">
        <f aca="false">C73*'مواد المخزون'!$E70</f>
        <v>237.5</v>
      </c>
      <c r="H73" s="101" t="n">
        <f aca="false">D73*'مواد المخزون'!$E70</f>
        <v>193.5</v>
      </c>
      <c r="I73" s="101" t="n">
        <f aca="false">E73*'مواد المخزون'!$E70</f>
        <v>830.5</v>
      </c>
      <c r="J73" s="101" t="n">
        <f aca="false">F73*'مواد المخزون'!$E70</f>
        <v>0</v>
      </c>
    </row>
    <row r="74" customFormat="false" ht="15" hidden="false" customHeight="false" outlineLevel="0" collapsed="false">
      <c r="A74" s="62" t="str">
        <f aca="false">'مواد المخزون'!A71</f>
        <v>كريز احمر</v>
      </c>
      <c r="B74" s="96" t="str">
        <f aca="false">'مواد المخزون'!B71</f>
        <v>كجم</v>
      </c>
      <c r="C74" s="100" t="n">
        <v>0.8</v>
      </c>
      <c r="D74" s="100" t="n">
        <v>0.67</v>
      </c>
      <c r="E74" s="100" t="n">
        <v>1.8</v>
      </c>
      <c r="F74" s="100" t="n">
        <v>0</v>
      </c>
      <c r="G74" s="101" t="n">
        <f aca="false">C74*'مواد المخزون'!$E71</f>
        <v>336</v>
      </c>
      <c r="H74" s="101" t="n">
        <f aca="false">D74*'مواد المخزون'!$E71</f>
        <v>281.4</v>
      </c>
      <c r="I74" s="101" t="n">
        <f aca="false">E74*'مواد المخزون'!$E71</f>
        <v>756</v>
      </c>
      <c r="J74" s="101" t="n">
        <f aca="false">F74*'مواد المخزون'!$E71</f>
        <v>0</v>
      </c>
    </row>
    <row r="75" customFormat="false" ht="15" hidden="false" customHeight="false" outlineLevel="0" collapsed="false">
      <c r="A75" s="62" t="str">
        <f aca="false">'مواد المخزون'!A72</f>
        <v>كفرات كريب</v>
      </c>
      <c r="B75" s="96" t="str">
        <f aca="false">'مواد المخزون'!B72</f>
        <v>قطعة</v>
      </c>
      <c r="C75" s="100" t="n">
        <v>190</v>
      </c>
      <c r="D75" s="100" t="n">
        <v>275</v>
      </c>
      <c r="E75" s="100" t="n">
        <v>74</v>
      </c>
      <c r="F75" s="100" t="n">
        <v>0</v>
      </c>
      <c r="G75" s="101" t="n">
        <f aca="false">C75*'مواد المخزون'!$E72</f>
        <v>380</v>
      </c>
      <c r="H75" s="101" t="n">
        <f aca="false">D75*'مواد المخزون'!$E72</f>
        <v>550</v>
      </c>
      <c r="I75" s="101" t="n">
        <f aca="false">E75*'مواد المخزون'!$E72</f>
        <v>148</v>
      </c>
      <c r="J75" s="101" t="n">
        <f aca="false">F75*'مواد المخزون'!$E72</f>
        <v>0</v>
      </c>
    </row>
    <row r="76" customFormat="false" ht="15" hidden="false" customHeight="false" outlineLevel="0" collapsed="false">
      <c r="A76" s="62" t="str">
        <f aca="false">'مواد المخزون'!A73</f>
        <v>لبن</v>
      </c>
      <c r="B76" s="96" t="str">
        <f aca="false">'مواد المخزون'!B73</f>
        <v>لتر</v>
      </c>
      <c r="C76" s="100" t="n">
        <v>3</v>
      </c>
      <c r="D76" s="100" t="n">
        <v>1.735</v>
      </c>
      <c r="E76" s="100" t="n">
        <v>9.068</v>
      </c>
      <c r="F76" s="100" t="n">
        <v>0</v>
      </c>
      <c r="G76" s="101" t="n">
        <f aca="false">C76*'مواد المخزون'!$E73</f>
        <v>62.0001</v>
      </c>
      <c r="H76" s="101" t="n">
        <f aca="false">D76*'مواد المخزون'!$E73</f>
        <v>35.8567245</v>
      </c>
      <c r="I76" s="101" t="n">
        <f aca="false">E76*'مواد المخزون'!$E73</f>
        <v>187.4056356</v>
      </c>
      <c r="J76" s="101" t="n">
        <f aca="false">F76*'مواد المخزون'!$E73</f>
        <v>0</v>
      </c>
    </row>
    <row r="77" customFormat="false" ht="15" hidden="false" customHeight="false" outlineLevel="0" collapsed="false">
      <c r="A77" s="62" t="str">
        <f aca="false">'مواد المخزون'!A74</f>
        <v>لعبة اطفال</v>
      </c>
      <c r="B77" s="96" t="str">
        <f aca="false">'مواد المخزون'!B74</f>
        <v>قطعة</v>
      </c>
      <c r="C77" s="100" t="n">
        <v>0</v>
      </c>
      <c r="D77" s="100" t="n">
        <v>11</v>
      </c>
      <c r="E77" s="100" t="n">
        <v>7</v>
      </c>
      <c r="F77" s="100" t="n">
        <v>0</v>
      </c>
      <c r="G77" s="101" t="n">
        <f aca="false">C77*'مواد المخزون'!$E74</f>
        <v>0</v>
      </c>
      <c r="H77" s="101" t="n">
        <f aca="false">D77*'مواد المخزون'!$E74</f>
        <v>66</v>
      </c>
      <c r="I77" s="101" t="n">
        <f aca="false">E77*'مواد المخزون'!$E74</f>
        <v>42</v>
      </c>
      <c r="J77" s="101" t="n">
        <f aca="false">F77*'مواد المخزون'!$E74</f>
        <v>0</v>
      </c>
    </row>
    <row r="78" customFormat="false" ht="15" hidden="false" customHeight="false" outlineLevel="0" collapsed="false">
      <c r="A78" s="62" t="str">
        <f aca="false">'مواد المخزون'!A75</f>
        <v>للوتس سبريد</v>
      </c>
      <c r="B78" s="96" t="str">
        <f aca="false">'مواد المخزون'!B75</f>
        <v>كجم</v>
      </c>
      <c r="C78" s="100" t="n">
        <v>1</v>
      </c>
      <c r="D78" s="100" t="n">
        <v>0.3</v>
      </c>
      <c r="E78" s="100" t="n">
        <v>0.975</v>
      </c>
      <c r="F78" s="100" t="n">
        <v>0</v>
      </c>
      <c r="G78" s="101" t="n">
        <f aca="false">C78*'مواد المخزون'!$E75</f>
        <v>135</v>
      </c>
      <c r="H78" s="101" t="n">
        <f aca="false">D78*'مواد المخزون'!$E75</f>
        <v>40.5</v>
      </c>
      <c r="I78" s="101" t="n">
        <f aca="false">E78*'مواد المخزون'!$E75</f>
        <v>131.625</v>
      </c>
      <c r="J78" s="101" t="n">
        <f aca="false">F78*'مواد المخزون'!$E75</f>
        <v>0</v>
      </c>
    </row>
    <row r="79" customFormat="false" ht="15" hidden="false" customHeight="false" outlineLevel="0" collapsed="false">
      <c r="A79" s="62" t="str">
        <f aca="false">'مواد المخزون'!A76</f>
        <v>مشروم فريش</v>
      </c>
      <c r="B79" s="96" t="str">
        <f aca="false">'مواد المخزون'!B76</f>
        <v>كجم</v>
      </c>
      <c r="C79" s="100" t="n">
        <v>2.1</v>
      </c>
      <c r="D79" s="100" t="n">
        <v>0.6</v>
      </c>
      <c r="E79" s="100" t="n">
        <v>0</v>
      </c>
      <c r="F79" s="100" t="n">
        <v>0</v>
      </c>
      <c r="G79" s="101" t="n">
        <f aca="false">C79*'مواد المخزون'!$E76</f>
        <v>317.52567</v>
      </c>
      <c r="H79" s="101" t="n">
        <f aca="false">D79*'مواد المخزون'!$E76</f>
        <v>90.72162</v>
      </c>
      <c r="I79" s="101" t="n">
        <f aca="false">E79*'مواد المخزون'!$E76</f>
        <v>0</v>
      </c>
      <c r="J79" s="101" t="n">
        <f aca="false">F79*'مواد المخزون'!$E76</f>
        <v>0</v>
      </c>
    </row>
    <row r="80" customFormat="false" ht="15" hidden="false" customHeight="false" outlineLevel="0" collapsed="false">
      <c r="A80" s="62" t="str">
        <f aca="false">'مواد المخزون'!A77</f>
        <v>مكرونة خام</v>
      </c>
      <c r="B80" s="96" t="str">
        <f aca="false">'مواد المخزون'!B77</f>
        <v>كجم</v>
      </c>
      <c r="C80" s="100" t="n">
        <v>25</v>
      </c>
      <c r="D80" s="100" t="n">
        <v>8.8</v>
      </c>
      <c r="E80" s="100" t="n">
        <v>20.25</v>
      </c>
      <c r="F80" s="100" t="n">
        <v>0</v>
      </c>
      <c r="G80" s="101" t="n">
        <f aca="false">C80*'مواد المخزون'!$E77</f>
        <v>600</v>
      </c>
      <c r="H80" s="101" t="n">
        <f aca="false">D80*'مواد المخزون'!$E77</f>
        <v>211.2</v>
      </c>
      <c r="I80" s="101" t="n">
        <f aca="false">E80*'مواد المخزون'!$E77</f>
        <v>486</v>
      </c>
      <c r="J80" s="101" t="n">
        <f aca="false">F80*'مواد المخزون'!$E77</f>
        <v>0</v>
      </c>
    </row>
    <row r="81" customFormat="false" ht="15" hidden="false" customHeight="false" outlineLevel="0" collapsed="false">
      <c r="A81" s="62" t="str">
        <f aca="false">'مواد المخزون'!A78</f>
        <v>نوتيلا كيلو</v>
      </c>
      <c r="B81" s="96" t="str">
        <f aca="false">'مواد المخزون'!B78</f>
        <v>كجم</v>
      </c>
      <c r="C81" s="100" t="n">
        <v>1.25</v>
      </c>
      <c r="D81" s="100" t="n">
        <v>1</v>
      </c>
      <c r="E81" s="100" t="n">
        <v>1</v>
      </c>
      <c r="F81" s="100" t="n">
        <v>0</v>
      </c>
      <c r="G81" s="101" t="n">
        <f aca="false">C81*'مواد المخزون'!$E78</f>
        <v>762.5</v>
      </c>
      <c r="H81" s="101" t="n">
        <f aca="false">D81*'مواد المخزون'!$E78</f>
        <v>610</v>
      </c>
      <c r="I81" s="101" t="n">
        <f aca="false">E81*'مواد المخزون'!$E78</f>
        <v>610</v>
      </c>
      <c r="J81" s="101" t="n">
        <f aca="false">F81*'مواد المخزون'!$E78</f>
        <v>0</v>
      </c>
    </row>
    <row r="82" customFormat="false" ht="15" hidden="false" customHeight="false" outlineLevel="0" collapsed="false">
      <c r="A82" s="62" t="str">
        <f aca="false">'مواد المخزون'!A79</f>
        <v>ورق زبدة وسط كيلو 500 ورقة</v>
      </c>
      <c r="B82" s="96" t="str">
        <f aca="false">'مواد المخزون'!B79</f>
        <v>كجم</v>
      </c>
      <c r="C82" s="100" t="n">
        <v>40</v>
      </c>
      <c r="D82" s="100" t="n">
        <v>6.143</v>
      </c>
      <c r="E82" s="100" t="n">
        <v>3.855</v>
      </c>
      <c r="F82" s="100" t="n">
        <v>0</v>
      </c>
      <c r="G82" s="101" t="n">
        <f aca="false">C82*'مواد المخزون'!$E79</f>
        <v>1832.5</v>
      </c>
      <c r="H82" s="101" t="n">
        <f aca="false">D82*'مواد المخزون'!$E79</f>
        <v>281.4261875</v>
      </c>
      <c r="I82" s="101" t="n">
        <f aca="false">E82*'مواد المخزون'!$E79</f>
        <v>176.6071875</v>
      </c>
      <c r="J82" s="101" t="n">
        <f aca="false">F82*'مواد المخزون'!$E79</f>
        <v>0</v>
      </c>
    </row>
    <row r="83" customFormat="false" ht="15" hidden="false" customHeight="false" outlineLevel="0" collapsed="false">
      <c r="A83" s="62" t="str">
        <f aca="false">'مواد المخزون'!A80</f>
        <v>اكياس كفرات</v>
      </c>
      <c r="B83" s="96" t="str">
        <f aca="false">'مواد المخزون'!B80</f>
        <v>كجم</v>
      </c>
      <c r="C83" s="100" t="n">
        <v>1</v>
      </c>
      <c r="D83" s="100" t="n">
        <v>7.55</v>
      </c>
      <c r="E83" s="100" t="n">
        <v>2</v>
      </c>
      <c r="F83" s="100" t="n">
        <v>0</v>
      </c>
      <c r="G83" s="101" t="n">
        <f aca="false">C83*'مواد المخزون'!$E80</f>
        <v>200</v>
      </c>
      <c r="H83" s="101" t="n">
        <f aca="false">D83*'مواد المخزون'!$E80</f>
        <v>1510</v>
      </c>
      <c r="I83" s="101" t="n">
        <f aca="false">E83*'مواد المخزون'!$E80</f>
        <v>400</v>
      </c>
      <c r="J83" s="101" t="n">
        <f aca="false">F83*'مواد المخزون'!$E80</f>
        <v>0</v>
      </c>
    </row>
    <row r="84" customFormat="false" ht="15" hidden="false" customHeight="false" outlineLevel="0" collapsed="false">
      <c r="A84" s="62" t="str">
        <f aca="false">'مواد المخزون'!A81</f>
        <v>علبة كاليزوني</v>
      </c>
      <c r="B84" s="96" t="str">
        <f aca="false">'مواد المخزون'!B81</f>
        <v>قطعة</v>
      </c>
      <c r="C84" s="100" t="n">
        <v>1190</v>
      </c>
      <c r="D84" s="100" t="n">
        <v>1800</v>
      </c>
      <c r="E84" s="100" t="n">
        <v>1505</v>
      </c>
      <c r="F84" s="100" t="n">
        <v>0</v>
      </c>
      <c r="G84" s="101" t="n">
        <f aca="false">C84*'مواد المخزون'!$E81</f>
        <v>5319.3</v>
      </c>
      <c r="H84" s="101" t="n">
        <f aca="false">D84*'مواد المخزون'!$E81</f>
        <v>8046</v>
      </c>
      <c r="I84" s="101" t="n">
        <f aca="false">E84*'مواد المخزون'!$E81</f>
        <v>6727.35</v>
      </c>
      <c r="J84" s="101" t="n">
        <f aca="false">F84*'مواد المخزون'!$E81</f>
        <v>0</v>
      </c>
    </row>
    <row r="85" customFormat="false" ht="15" hidden="false" customHeight="false" outlineLevel="0" collapsed="false">
      <c r="A85" s="62" t="str">
        <f aca="false">'مواد المخزون'!A82</f>
        <v>سوسيس/سدق صيامي</v>
      </c>
      <c r="B85" s="96" t="str">
        <f aca="false">'مواد المخزون'!B82</f>
        <v>كجم</v>
      </c>
      <c r="C85" s="100" t="n">
        <v>-1.98</v>
      </c>
      <c r="D85" s="100" t="n">
        <v>2.7</v>
      </c>
      <c r="E85" s="100" t="n">
        <v>0</v>
      </c>
      <c r="F85" s="100" t="n">
        <v>0</v>
      </c>
      <c r="G85" s="101" t="n">
        <f aca="false">C85*'مواد المخزون'!$E82</f>
        <v>-435.6396</v>
      </c>
      <c r="H85" s="101" t="n">
        <f aca="false">D85*'مواد المخزون'!$E82</f>
        <v>594.054</v>
      </c>
      <c r="I85" s="101" t="n">
        <f aca="false">E85*'مواد المخزون'!$E82</f>
        <v>0</v>
      </c>
      <c r="J85" s="101" t="n">
        <f aca="false">F85*'مواد المخزون'!$E82</f>
        <v>0</v>
      </c>
    </row>
    <row r="86" customFormat="false" ht="15" hidden="false" customHeight="false" outlineLevel="0" collapsed="false">
      <c r="A86" s="62" t="str">
        <f aca="false">'مواد المخزون'!A83</f>
        <v>شاورما فراخ/سدق صيامي</v>
      </c>
      <c r="B86" s="96" t="str">
        <f aca="false">'مواد المخزون'!B83</f>
        <v>كجم</v>
      </c>
      <c r="C86" s="100" t="n">
        <v>0</v>
      </c>
      <c r="D86" s="100" t="n">
        <v>3.57</v>
      </c>
      <c r="E86" s="100" t="n">
        <v>0.77</v>
      </c>
      <c r="F86" s="100" t="n">
        <v>0</v>
      </c>
      <c r="G86" s="101" t="n">
        <f aca="false">C86*'مواد المخزون'!$E83</f>
        <v>0</v>
      </c>
      <c r="H86" s="101" t="n">
        <f aca="false">D86*'مواد المخزون'!$E83</f>
        <v>782.6511</v>
      </c>
      <c r="I86" s="101" t="n">
        <f aca="false">E86*'مواد المخزون'!$E83</f>
        <v>168.8071</v>
      </c>
      <c r="J86" s="101" t="n">
        <f aca="false">F86*'مواد المخزون'!$E83</f>
        <v>0</v>
      </c>
    </row>
    <row r="87" customFormat="false" ht="15" hidden="false" customHeight="false" outlineLevel="0" collapsed="false">
      <c r="A87" s="62" t="str">
        <f aca="false">'مواد المخزون'!A84</f>
        <v>برجر صيامي</v>
      </c>
      <c r="B87" s="96" t="str">
        <f aca="false">'مواد المخزون'!B84</f>
        <v>قطعة</v>
      </c>
      <c r="C87" s="100" t="n">
        <v>0</v>
      </c>
      <c r="D87" s="100" t="n">
        <v>12</v>
      </c>
      <c r="E87" s="100" t="n">
        <v>0</v>
      </c>
      <c r="F87" s="100" t="n">
        <v>0</v>
      </c>
      <c r="G87" s="101" t="n">
        <f aca="false">C87*'مواد المخزون'!$E84</f>
        <v>0</v>
      </c>
      <c r="H87" s="101" t="n">
        <f aca="false">D87*'مواد المخزون'!$E84</f>
        <v>72</v>
      </c>
      <c r="I87" s="101" t="n">
        <f aca="false">E87*'مواد المخزون'!$E84</f>
        <v>0</v>
      </c>
      <c r="J87" s="101" t="n">
        <f aca="false">F87*'مواد المخزون'!$E84</f>
        <v>0</v>
      </c>
    </row>
    <row r="88" customFormat="false" ht="15" hidden="false" customHeight="false" outlineLevel="0" collapsed="false">
      <c r="A88" s="62" t="str">
        <f aca="false">'مواد المخزون'!A85</f>
        <v>سكينة بلاستيك</v>
      </c>
      <c r="B88" s="96" t="str">
        <f aca="false">'مواد المخزون'!B85</f>
        <v>قطعة</v>
      </c>
      <c r="C88" s="100" t="n">
        <v>179</v>
      </c>
      <c r="D88" s="100" t="n">
        <v>200</v>
      </c>
      <c r="E88" s="100" t="n">
        <v>207</v>
      </c>
      <c r="F88" s="100" t="n">
        <v>0</v>
      </c>
      <c r="G88" s="101" t="n">
        <f aca="false">C88*'مواد المخزون'!$E85</f>
        <v>53.7</v>
      </c>
      <c r="H88" s="101" t="n">
        <f aca="false">D88*'مواد المخزون'!$E85</f>
        <v>60</v>
      </c>
      <c r="I88" s="101" t="n">
        <f aca="false">E88*'مواد المخزون'!$E85</f>
        <v>62.1</v>
      </c>
      <c r="J88" s="101" t="n">
        <f aca="false">F88*'مواد المخزون'!$E85</f>
        <v>0</v>
      </c>
    </row>
    <row r="89" customFormat="false" ht="15" hidden="false" customHeight="false" outlineLevel="0" collapsed="false">
      <c r="A89" s="62" t="str">
        <f aca="false">'مواد المخزون'!A86</f>
        <v>علب مكرونة</v>
      </c>
      <c r="B89" s="96" t="str">
        <f aca="false">'مواد المخزون'!B86</f>
        <v>قطعة</v>
      </c>
      <c r="C89" s="100" t="n">
        <v>1350</v>
      </c>
      <c r="D89" s="100" t="n">
        <v>1450</v>
      </c>
      <c r="E89" s="100" t="n">
        <v>1724</v>
      </c>
      <c r="F89" s="100" t="n">
        <v>0</v>
      </c>
      <c r="G89" s="101" t="n">
        <f aca="false">C89*'مواد المخزون'!$E86</f>
        <v>5994</v>
      </c>
      <c r="H89" s="101" t="n">
        <f aca="false">D89*'مواد المخزون'!$E86</f>
        <v>6438</v>
      </c>
      <c r="I89" s="101" t="n">
        <f aca="false">E89*'مواد المخزون'!$E86</f>
        <v>7654.56</v>
      </c>
      <c r="J89" s="101" t="n">
        <f aca="false">F89*'مواد المخزون'!$E86</f>
        <v>0</v>
      </c>
    </row>
    <row r="90" customFormat="false" ht="15" hidden="false" customHeight="false" outlineLevel="0" collapsed="false">
      <c r="A90" s="62" t="str">
        <f aca="false">'مواد المخزون'!A87</f>
        <v>علب بيتزا كيك</v>
      </c>
      <c r="B90" s="96" t="str">
        <f aca="false">'مواد المخزون'!B87</f>
        <v>قطعة</v>
      </c>
      <c r="C90" s="100" t="n">
        <v>91</v>
      </c>
      <c r="D90" s="100" t="n">
        <v>32</v>
      </c>
      <c r="E90" s="100" t="n">
        <v>34</v>
      </c>
      <c r="F90" s="100" t="n">
        <v>0</v>
      </c>
      <c r="G90" s="101" t="n">
        <f aca="false">C90*'مواد المخزون'!$E87</f>
        <v>728</v>
      </c>
      <c r="H90" s="101" t="n">
        <f aca="false">D90*'مواد المخزون'!$E87</f>
        <v>256</v>
      </c>
      <c r="I90" s="101" t="n">
        <f aca="false">E90*'مواد المخزون'!$E87</f>
        <v>272</v>
      </c>
      <c r="J90" s="101" t="n">
        <f aca="false">F90*'مواد المخزون'!$E87</f>
        <v>0</v>
      </c>
    </row>
    <row r="91" customFormat="false" ht="15" hidden="false" customHeight="false" outlineLevel="0" collapsed="false">
      <c r="A91" s="62" t="str">
        <f aca="false">'مواد المخزون'!A88</f>
        <v>عصير</v>
      </c>
      <c r="B91" s="96" t="str">
        <f aca="false">'مواد المخزون'!B88</f>
        <v>قطعة</v>
      </c>
      <c r="C91" s="100" t="n">
        <v>0</v>
      </c>
      <c r="D91" s="100" t="n">
        <v>0</v>
      </c>
      <c r="E91" s="100" t="n">
        <v>0</v>
      </c>
      <c r="F91" s="100" t="n">
        <v>0</v>
      </c>
      <c r="G91" s="101" t="n">
        <f aca="false">C91*'مواد المخزون'!$E88</f>
        <v>0</v>
      </c>
      <c r="H91" s="101" t="n">
        <f aca="false">D91*'مواد المخزون'!$E88</f>
        <v>0</v>
      </c>
      <c r="I91" s="101" t="n">
        <f aca="false">E91*'مواد المخزون'!$E88</f>
        <v>0</v>
      </c>
      <c r="J91" s="101" t="n">
        <f aca="false">F91*'مواد المخزون'!$E88</f>
        <v>0</v>
      </c>
    </row>
    <row r="92" customFormat="false" ht="15" hidden="false" customHeight="false" outlineLevel="0" collapsed="false">
      <c r="A92" s="62" t="str">
        <f aca="false">'مواد المخزون'!A89</f>
        <v>بيبسي 2 لتر</v>
      </c>
      <c r="B92" s="96" t="str">
        <f aca="false">'مواد المخزون'!B89</f>
        <v>قطعة</v>
      </c>
      <c r="C92" s="100" t="n">
        <v>0</v>
      </c>
      <c r="D92" s="100" t="n">
        <v>0</v>
      </c>
      <c r="E92" s="100" t="n">
        <v>0</v>
      </c>
      <c r="F92" s="100" t="n">
        <v>0</v>
      </c>
      <c r="G92" s="101" t="n">
        <f aca="false">C92*'مواد المخزون'!$E89</f>
        <v>0</v>
      </c>
      <c r="H92" s="101" t="n">
        <f aca="false">D92*'مواد المخزون'!$E89</f>
        <v>0</v>
      </c>
      <c r="I92" s="101" t="n">
        <f aca="false">E92*'مواد المخزون'!$E89</f>
        <v>0</v>
      </c>
      <c r="J92" s="101" t="n">
        <f aca="false">F92*'مواد المخزون'!$E89</f>
        <v>0</v>
      </c>
    </row>
    <row r="93" customFormat="false" ht="15" hidden="false" customHeight="false" outlineLevel="0" collapsed="false">
      <c r="A93" s="62" t="str">
        <f aca="false">'مواد المخزون'!A90</f>
        <v>مياة معدنية صغير</v>
      </c>
      <c r="B93" s="96" t="str">
        <f aca="false">'مواد المخزون'!B90</f>
        <v>قطعة</v>
      </c>
      <c r="C93" s="100" t="n">
        <v>0</v>
      </c>
      <c r="D93" s="100" t="n">
        <v>0</v>
      </c>
      <c r="E93" s="100" t="n">
        <v>0</v>
      </c>
      <c r="F93" s="100" t="n">
        <v>0</v>
      </c>
      <c r="G93" s="101" t="n">
        <f aca="false">C93*'مواد المخزون'!$E90</f>
        <v>0</v>
      </c>
      <c r="H93" s="101" t="n">
        <f aca="false">D93*'مواد المخزون'!$E90</f>
        <v>0</v>
      </c>
      <c r="I93" s="101" t="n">
        <f aca="false">E93*'مواد المخزون'!$E90</f>
        <v>0</v>
      </c>
      <c r="J93" s="101" t="n">
        <f aca="false">F93*'مواد المخزون'!$E90</f>
        <v>0</v>
      </c>
    </row>
    <row r="94" customFormat="false" ht="15" hidden="false" customHeight="false" outlineLevel="0" collapsed="false">
      <c r="A94" s="33" t="s">
        <v>712</v>
      </c>
      <c r="G94" s="102" t="n">
        <f aca="false">SUM(G5:G93)</f>
        <v>65050.7572785</v>
      </c>
      <c r="H94" s="102" t="n">
        <f aca="false">SUM(H5:H93)</f>
        <v>82290.3886966</v>
      </c>
      <c r="I94" s="102" t="n">
        <f aca="false">SUM(I5:I93)</f>
        <v>94775.7281959</v>
      </c>
      <c r="J94" s="102" t="n">
        <f aca="false">SUM(J5:J93)</f>
        <v>0</v>
      </c>
    </row>
    <row r="96" customFormat="false" ht="15" hidden="false" customHeight="false" outlineLevel="0" collapsed="false">
      <c r="A96" s="17" t="s">
        <v>713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00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44"/>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16"/>
    <col collapsed="false" customWidth="true" hidden="false" outlineLevel="0" max="8" min="8" style="0" width="46"/>
  </cols>
  <sheetData>
    <row r="1" customFormat="false" ht="33.75" hidden="false" customHeight="true" outlineLevel="0" collapsed="false">
      <c r="A1" s="18" t="s">
        <v>66</v>
      </c>
      <c r="B1" s="18" t="s">
        <v>605</v>
      </c>
      <c r="C1" s="18" t="s">
        <v>714</v>
      </c>
      <c r="D1" s="18" t="s">
        <v>715</v>
      </c>
      <c r="E1" s="18" t="s">
        <v>24</v>
      </c>
      <c r="F1" s="18" t="s">
        <v>716</v>
      </c>
      <c r="G1" s="18" t="s">
        <v>717</v>
      </c>
      <c r="H1" s="18" t="s">
        <v>665</v>
      </c>
    </row>
    <row r="2" customFormat="false" ht="15" hidden="false" customHeight="false" outlineLevel="0" collapsed="false">
      <c r="A2" s="103" t="n">
        <v>46296</v>
      </c>
      <c r="B2" s="104" t="s">
        <v>33</v>
      </c>
      <c r="C2" s="104" t="s">
        <v>718</v>
      </c>
      <c r="D2" s="105" t="n">
        <v>0.4167</v>
      </c>
      <c r="E2" s="106" t="n">
        <v>40</v>
      </c>
      <c r="F2" s="107" t="n">
        <f aca="false">IF($C2="","",$D2*$E2)</f>
        <v>16.668</v>
      </c>
      <c r="G2" s="107" t="n">
        <f aca="false">IF($C2="","",$D2*IFERROR(INDEX('تحليل التكلفة والسعر'!$C$2:$C$700,MATCH($C2,'تحليل التكلفة والسعر'!$B$2:$B$700,0)),0))</f>
        <v>8.334</v>
      </c>
      <c r="H2" s="104" t="s">
        <v>719</v>
      </c>
    </row>
    <row r="3" customFormat="false" ht="15" hidden="false" customHeight="false" outlineLevel="0" collapsed="false">
      <c r="A3" s="103" t="n">
        <v>46297</v>
      </c>
      <c r="B3" s="104" t="s">
        <v>33</v>
      </c>
      <c r="C3" s="104" t="s">
        <v>718</v>
      </c>
      <c r="D3" s="105" t="n">
        <v>0.4167</v>
      </c>
      <c r="E3" s="106" t="n">
        <v>40</v>
      </c>
      <c r="F3" s="107" t="n">
        <f aca="false">IF($C3="","",$D3*$E3)</f>
        <v>16.668</v>
      </c>
      <c r="G3" s="107" t="n">
        <f aca="false">IF($C3="","",$D3*IFERROR(INDEX('تحليل التكلفة والسعر'!$C$2:$C$700,MATCH($C3,'تحليل التكلفة والسعر'!$B$2:$B$700,0)),0))</f>
        <v>8.334</v>
      </c>
      <c r="H3" s="104" t="s">
        <v>719</v>
      </c>
    </row>
    <row r="4" customFormat="false" ht="15" hidden="false" customHeight="false" outlineLevel="0" collapsed="false">
      <c r="A4" s="103" t="n">
        <v>46298</v>
      </c>
      <c r="B4" s="104" t="s">
        <v>33</v>
      </c>
      <c r="C4" s="104" t="s">
        <v>718</v>
      </c>
      <c r="D4" s="105" t="n">
        <v>0.4167</v>
      </c>
      <c r="E4" s="106" t="n">
        <v>40</v>
      </c>
      <c r="F4" s="107" t="n">
        <f aca="false">IF($C4="","",$D4*$E4)</f>
        <v>16.668</v>
      </c>
      <c r="G4" s="107" t="n">
        <f aca="false">IF($C4="","",$D4*IFERROR(INDEX('تحليل التكلفة والسعر'!$C$2:$C$700,MATCH($C4,'تحليل التكلفة والسعر'!$B$2:$B$700,0)),0))</f>
        <v>8.334</v>
      </c>
      <c r="H4" s="104" t="s">
        <v>719</v>
      </c>
    </row>
    <row r="5" customFormat="false" ht="15" hidden="false" customHeight="false" outlineLevel="0" collapsed="false">
      <c r="A5" s="103" t="n">
        <v>46299</v>
      </c>
      <c r="B5" s="104" t="s">
        <v>33</v>
      </c>
      <c r="C5" s="104" t="s">
        <v>718</v>
      </c>
      <c r="D5" s="105" t="n">
        <v>0.4167</v>
      </c>
      <c r="E5" s="106" t="n">
        <v>40</v>
      </c>
      <c r="F5" s="107" t="n">
        <f aca="false">IF($C5="","",$D5*$E5)</f>
        <v>16.668</v>
      </c>
      <c r="G5" s="107" t="n">
        <f aca="false">IF($C5="","",$D5*IFERROR(INDEX('تحليل التكلفة والسعر'!$C$2:$C$700,MATCH($C5,'تحليل التكلفة والسعر'!$B$2:$B$700,0)),0))</f>
        <v>8.334</v>
      </c>
      <c r="H5" s="104" t="s">
        <v>719</v>
      </c>
    </row>
    <row r="6" customFormat="false" ht="15" hidden="false" customHeight="false" outlineLevel="0" collapsed="false">
      <c r="A6" s="103" t="n">
        <v>46300</v>
      </c>
      <c r="B6" s="104" t="s">
        <v>33</v>
      </c>
      <c r="C6" s="104" t="s">
        <v>718</v>
      </c>
      <c r="D6" s="105" t="n">
        <v>0.4167</v>
      </c>
      <c r="E6" s="106" t="n">
        <v>40</v>
      </c>
      <c r="F6" s="107" t="n">
        <f aca="false">IF($C6="","",$D6*$E6)</f>
        <v>16.668</v>
      </c>
      <c r="G6" s="107" t="n">
        <f aca="false">IF($C6="","",$D6*IFERROR(INDEX('تحليل التكلفة والسعر'!$C$2:$C$700,MATCH($C6,'تحليل التكلفة والسعر'!$B$2:$B$700,0)),0))</f>
        <v>8.334</v>
      </c>
      <c r="H6" s="104" t="s">
        <v>719</v>
      </c>
    </row>
    <row r="7" customFormat="false" ht="15" hidden="false" customHeight="false" outlineLevel="0" collapsed="false">
      <c r="A7" s="103" t="n">
        <v>46301</v>
      </c>
      <c r="B7" s="104" t="s">
        <v>33</v>
      </c>
      <c r="C7" s="104" t="s">
        <v>718</v>
      </c>
      <c r="D7" s="105" t="n">
        <v>0.4167</v>
      </c>
      <c r="E7" s="106" t="n">
        <v>40</v>
      </c>
      <c r="F7" s="107" t="n">
        <f aca="false">IF($C7="","",$D7*$E7)</f>
        <v>16.668</v>
      </c>
      <c r="G7" s="107" t="n">
        <f aca="false">IF($C7="","",$D7*IFERROR(INDEX('تحليل التكلفة والسعر'!$C$2:$C$700,MATCH($C7,'تحليل التكلفة والسعر'!$B$2:$B$700,0)),0))</f>
        <v>8.334</v>
      </c>
      <c r="H7" s="104" t="s">
        <v>719</v>
      </c>
    </row>
    <row r="8" customFormat="false" ht="15" hidden="false" customHeight="false" outlineLevel="0" collapsed="false">
      <c r="A8" s="103" t="n">
        <v>46302</v>
      </c>
      <c r="B8" s="104" t="s">
        <v>33</v>
      </c>
      <c r="C8" s="104" t="s">
        <v>718</v>
      </c>
      <c r="D8" s="105" t="n">
        <v>0.4167</v>
      </c>
      <c r="E8" s="106" t="n">
        <v>40</v>
      </c>
      <c r="F8" s="107" t="n">
        <f aca="false">IF($C8="","",$D8*$E8)</f>
        <v>16.668</v>
      </c>
      <c r="G8" s="107" t="n">
        <f aca="false">IF($C8="","",$D8*IFERROR(INDEX('تحليل التكلفة والسعر'!$C$2:$C$700,MATCH($C8,'تحليل التكلفة والسعر'!$B$2:$B$700,0)),0))</f>
        <v>8.334</v>
      </c>
      <c r="H8" s="104" t="s">
        <v>719</v>
      </c>
    </row>
    <row r="9" customFormat="false" ht="15" hidden="false" customHeight="false" outlineLevel="0" collapsed="false">
      <c r="A9" s="103" t="n">
        <v>46303</v>
      </c>
      <c r="B9" s="104" t="s">
        <v>33</v>
      </c>
      <c r="C9" s="104" t="s">
        <v>718</v>
      </c>
      <c r="D9" s="105" t="n">
        <v>0.4167</v>
      </c>
      <c r="E9" s="106" t="n">
        <v>40</v>
      </c>
      <c r="F9" s="107" t="n">
        <f aca="false">IF($C9="","",$D9*$E9)</f>
        <v>16.668</v>
      </c>
      <c r="G9" s="107" t="n">
        <f aca="false">IF($C9="","",$D9*IFERROR(INDEX('تحليل التكلفة والسعر'!$C$2:$C$700,MATCH($C9,'تحليل التكلفة والسعر'!$B$2:$B$700,0)),0))</f>
        <v>8.334</v>
      </c>
      <c r="H9" s="104" t="s">
        <v>719</v>
      </c>
    </row>
    <row r="10" customFormat="false" ht="15" hidden="false" customHeight="false" outlineLevel="0" collapsed="false">
      <c r="A10" s="103" t="n">
        <v>46304</v>
      </c>
      <c r="B10" s="104" t="s">
        <v>33</v>
      </c>
      <c r="C10" s="104" t="s">
        <v>718</v>
      </c>
      <c r="D10" s="105" t="n">
        <v>0.4167</v>
      </c>
      <c r="E10" s="106" t="n">
        <v>40</v>
      </c>
      <c r="F10" s="107" t="n">
        <f aca="false">IF($C10="","",$D10*$E10)</f>
        <v>16.668</v>
      </c>
      <c r="G10" s="107" t="n">
        <f aca="false">IF($C10="","",$D10*IFERROR(INDEX('تحليل التكلفة والسعر'!$C$2:$C$700,MATCH($C10,'تحليل التكلفة والسعر'!$B$2:$B$700,0)),0))</f>
        <v>8.334</v>
      </c>
      <c r="H10" s="104" t="s">
        <v>719</v>
      </c>
    </row>
    <row r="11" customFormat="false" ht="15" hidden="false" customHeight="false" outlineLevel="0" collapsed="false">
      <c r="A11" s="103" t="n">
        <v>46305</v>
      </c>
      <c r="B11" s="104" t="s">
        <v>33</v>
      </c>
      <c r="C11" s="104" t="s">
        <v>718</v>
      </c>
      <c r="D11" s="105" t="n">
        <v>0.4167</v>
      </c>
      <c r="E11" s="106" t="n">
        <v>40</v>
      </c>
      <c r="F11" s="107" t="n">
        <f aca="false">IF($C11="","",$D11*$E11)</f>
        <v>16.668</v>
      </c>
      <c r="G11" s="107" t="n">
        <f aca="false">IF($C11="","",$D11*IFERROR(INDEX('تحليل التكلفة والسعر'!$C$2:$C$700,MATCH($C11,'تحليل التكلفة والسعر'!$B$2:$B$700,0)),0))</f>
        <v>8.334</v>
      </c>
      <c r="H11" s="104" t="s">
        <v>719</v>
      </c>
    </row>
    <row r="12" customFormat="false" ht="15" hidden="false" customHeight="false" outlineLevel="0" collapsed="false">
      <c r="A12" s="103" t="n">
        <v>46306</v>
      </c>
      <c r="B12" s="104" t="s">
        <v>33</v>
      </c>
      <c r="C12" s="104" t="s">
        <v>718</v>
      </c>
      <c r="D12" s="105" t="n">
        <v>0.4167</v>
      </c>
      <c r="E12" s="106" t="n">
        <v>40</v>
      </c>
      <c r="F12" s="107" t="n">
        <f aca="false">IF($C12="","",$D12*$E12)</f>
        <v>16.668</v>
      </c>
      <c r="G12" s="107" t="n">
        <f aca="false">IF($C12="","",$D12*IFERROR(INDEX('تحليل التكلفة والسعر'!$C$2:$C$700,MATCH($C12,'تحليل التكلفة والسعر'!$B$2:$B$700,0)),0))</f>
        <v>8.334</v>
      </c>
      <c r="H12" s="104" t="s">
        <v>719</v>
      </c>
    </row>
    <row r="13" customFormat="false" ht="15" hidden="false" customHeight="false" outlineLevel="0" collapsed="false">
      <c r="A13" s="103" t="n">
        <v>46307</v>
      </c>
      <c r="B13" s="104" t="s">
        <v>33</v>
      </c>
      <c r="C13" s="104" t="s">
        <v>718</v>
      </c>
      <c r="D13" s="105" t="n">
        <v>0.4167</v>
      </c>
      <c r="E13" s="106" t="n">
        <v>40</v>
      </c>
      <c r="F13" s="107" t="n">
        <f aca="false">IF($C13="","",$D13*$E13)</f>
        <v>16.668</v>
      </c>
      <c r="G13" s="107" t="n">
        <f aca="false">IF($C13="","",$D13*IFERROR(INDEX('تحليل التكلفة والسعر'!$C$2:$C$700,MATCH($C13,'تحليل التكلفة والسعر'!$B$2:$B$700,0)),0))</f>
        <v>8.334</v>
      </c>
      <c r="H13" s="104" t="s">
        <v>719</v>
      </c>
    </row>
    <row r="14" customFormat="false" ht="15" hidden="false" customHeight="false" outlineLevel="0" collapsed="false">
      <c r="A14" s="103" t="n">
        <v>46296</v>
      </c>
      <c r="B14" s="104" t="s">
        <v>33</v>
      </c>
      <c r="C14" s="104" t="s">
        <v>568</v>
      </c>
      <c r="D14" s="105" t="n">
        <v>0.1667</v>
      </c>
      <c r="E14" s="106" t="n">
        <v>40</v>
      </c>
      <c r="F14" s="107" t="n">
        <f aca="false">IF($C14="","",$D14*$E14)</f>
        <v>6.668</v>
      </c>
      <c r="G14" s="107" t="n">
        <f aca="false">IF($C14="","",$D14*IFERROR(INDEX('تحليل التكلفة والسعر'!$C$2:$C$700,MATCH($C14,'تحليل التكلفة والسعر'!$B$2:$B$700,0)),0))</f>
        <v>3.0006</v>
      </c>
      <c r="H14" s="104" t="s">
        <v>719</v>
      </c>
    </row>
    <row r="15" customFormat="false" ht="15" hidden="false" customHeight="false" outlineLevel="0" collapsed="false">
      <c r="A15" s="103" t="n">
        <v>46297</v>
      </c>
      <c r="B15" s="104" t="s">
        <v>33</v>
      </c>
      <c r="C15" s="104" t="s">
        <v>568</v>
      </c>
      <c r="D15" s="105" t="n">
        <v>0.1667</v>
      </c>
      <c r="E15" s="106" t="n">
        <v>40</v>
      </c>
      <c r="F15" s="107" t="n">
        <f aca="false">IF($C15="","",$D15*$E15)</f>
        <v>6.668</v>
      </c>
      <c r="G15" s="107" t="n">
        <f aca="false">IF($C15="","",$D15*IFERROR(INDEX('تحليل التكلفة والسعر'!$C$2:$C$700,MATCH($C15,'تحليل التكلفة والسعر'!$B$2:$B$700,0)),0))</f>
        <v>3.0006</v>
      </c>
      <c r="H15" s="104" t="s">
        <v>719</v>
      </c>
    </row>
    <row r="16" customFormat="false" ht="15" hidden="false" customHeight="false" outlineLevel="0" collapsed="false">
      <c r="A16" s="103" t="n">
        <v>46298</v>
      </c>
      <c r="B16" s="104" t="s">
        <v>33</v>
      </c>
      <c r="C16" s="104" t="s">
        <v>568</v>
      </c>
      <c r="D16" s="105" t="n">
        <v>0.1667</v>
      </c>
      <c r="E16" s="106" t="n">
        <v>40</v>
      </c>
      <c r="F16" s="107" t="n">
        <f aca="false">IF($C16="","",$D16*$E16)</f>
        <v>6.668</v>
      </c>
      <c r="G16" s="107" t="n">
        <f aca="false">IF($C16="","",$D16*IFERROR(INDEX('تحليل التكلفة والسعر'!$C$2:$C$700,MATCH($C16,'تحليل التكلفة والسعر'!$B$2:$B$700,0)),0))</f>
        <v>3.0006</v>
      </c>
      <c r="H16" s="104" t="s">
        <v>719</v>
      </c>
    </row>
    <row r="17" customFormat="false" ht="15" hidden="false" customHeight="false" outlineLevel="0" collapsed="false">
      <c r="A17" s="103" t="n">
        <v>46299</v>
      </c>
      <c r="B17" s="104" t="s">
        <v>33</v>
      </c>
      <c r="C17" s="104" t="s">
        <v>568</v>
      </c>
      <c r="D17" s="105" t="n">
        <v>0.1667</v>
      </c>
      <c r="E17" s="106" t="n">
        <v>40</v>
      </c>
      <c r="F17" s="107" t="n">
        <f aca="false">IF($C17="","",$D17*$E17)</f>
        <v>6.668</v>
      </c>
      <c r="G17" s="107" t="n">
        <f aca="false">IF($C17="","",$D17*IFERROR(INDEX('تحليل التكلفة والسعر'!$C$2:$C$700,MATCH($C17,'تحليل التكلفة والسعر'!$B$2:$B$700,0)),0))</f>
        <v>3.0006</v>
      </c>
      <c r="H17" s="104" t="s">
        <v>719</v>
      </c>
    </row>
    <row r="18" customFormat="false" ht="15" hidden="false" customHeight="false" outlineLevel="0" collapsed="false">
      <c r="A18" s="103" t="n">
        <v>46300</v>
      </c>
      <c r="B18" s="104" t="s">
        <v>33</v>
      </c>
      <c r="C18" s="104" t="s">
        <v>568</v>
      </c>
      <c r="D18" s="105" t="n">
        <v>0.1667</v>
      </c>
      <c r="E18" s="106" t="n">
        <v>40</v>
      </c>
      <c r="F18" s="107" t="n">
        <f aca="false">IF($C18="","",$D18*$E18)</f>
        <v>6.668</v>
      </c>
      <c r="G18" s="107" t="n">
        <f aca="false">IF($C18="","",$D18*IFERROR(INDEX('تحليل التكلفة والسعر'!$C$2:$C$700,MATCH($C18,'تحليل التكلفة والسعر'!$B$2:$B$700,0)),0))</f>
        <v>3.0006</v>
      </c>
      <c r="H18" s="104" t="s">
        <v>719</v>
      </c>
    </row>
    <row r="19" customFormat="false" ht="15" hidden="false" customHeight="false" outlineLevel="0" collapsed="false">
      <c r="A19" s="103" t="n">
        <v>46301</v>
      </c>
      <c r="B19" s="104" t="s">
        <v>33</v>
      </c>
      <c r="C19" s="104" t="s">
        <v>568</v>
      </c>
      <c r="D19" s="105" t="n">
        <v>0.1667</v>
      </c>
      <c r="E19" s="106" t="n">
        <v>40</v>
      </c>
      <c r="F19" s="107" t="n">
        <f aca="false">IF($C19="","",$D19*$E19)</f>
        <v>6.668</v>
      </c>
      <c r="G19" s="107" t="n">
        <f aca="false">IF($C19="","",$D19*IFERROR(INDEX('تحليل التكلفة والسعر'!$C$2:$C$700,MATCH($C19,'تحليل التكلفة والسعر'!$B$2:$B$700,0)),0))</f>
        <v>3.0006</v>
      </c>
      <c r="H19" s="104" t="s">
        <v>719</v>
      </c>
    </row>
    <row r="20" customFormat="false" ht="15" hidden="false" customHeight="false" outlineLevel="0" collapsed="false">
      <c r="A20" s="103" t="n">
        <v>46302</v>
      </c>
      <c r="B20" s="104" t="s">
        <v>33</v>
      </c>
      <c r="C20" s="104" t="s">
        <v>568</v>
      </c>
      <c r="D20" s="105" t="n">
        <v>0.1667</v>
      </c>
      <c r="E20" s="106" t="n">
        <v>40</v>
      </c>
      <c r="F20" s="107" t="n">
        <f aca="false">IF($C20="","",$D20*$E20)</f>
        <v>6.668</v>
      </c>
      <c r="G20" s="107" t="n">
        <f aca="false">IF($C20="","",$D20*IFERROR(INDEX('تحليل التكلفة والسعر'!$C$2:$C$700,MATCH($C20,'تحليل التكلفة والسعر'!$B$2:$B$700,0)),0))</f>
        <v>3.0006</v>
      </c>
      <c r="H20" s="104" t="s">
        <v>719</v>
      </c>
    </row>
    <row r="21" customFormat="false" ht="15" hidden="false" customHeight="false" outlineLevel="0" collapsed="false">
      <c r="A21" s="103" t="n">
        <v>46303</v>
      </c>
      <c r="B21" s="104" t="s">
        <v>33</v>
      </c>
      <c r="C21" s="104" t="s">
        <v>568</v>
      </c>
      <c r="D21" s="105" t="n">
        <v>0.1667</v>
      </c>
      <c r="E21" s="106" t="n">
        <v>40</v>
      </c>
      <c r="F21" s="107" t="n">
        <f aca="false">IF($C21="","",$D21*$E21)</f>
        <v>6.668</v>
      </c>
      <c r="G21" s="107" t="n">
        <f aca="false">IF($C21="","",$D21*IFERROR(INDEX('تحليل التكلفة والسعر'!$C$2:$C$700,MATCH($C21,'تحليل التكلفة والسعر'!$B$2:$B$700,0)),0))</f>
        <v>3.0006</v>
      </c>
      <c r="H21" s="104" t="s">
        <v>719</v>
      </c>
    </row>
    <row r="22" customFormat="false" ht="15" hidden="false" customHeight="false" outlineLevel="0" collapsed="false">
      <c r="A22" s="103" t="n">
        <v>46304</v>
      </c>
      <c r="B22" s="104" t="s">
        <v>33</v>
      </c>
      <c r="C22" s="104" t="s">
        <v>568</v>
      </c>
      <c r="D22" s="105" t="n">
        <v>0.1667</v>
      </c>
      <c r="E22" s="106" t="n">
        <v>40</v>
      </c>
      <c r="F22" s="107" t="n">
        <f aca="false">IF($C22="","",$D22*$E22)</f>
        <v>6.668</v>
      </c>
      <c r="G22" s="107" t="n">
        <f aca="false">IF($C22="","",$D22*IFERROR(INDEX('تحليل التكلفة والسعر'!$C$2:$C$700,MATCH($C22,'تحليل التكلفة والسعر'!$B$2:$B$700,0)),0))</f>
        <v>3.0006</v>
      </c>
      <c r="H22" s="104" t="s">
        <v>719</v>
      </c>
    </row>
    <row r="23" customFormat="false" ht="15" hidden="false" customHeight="false" outlineLevel="0" collapsed="false">
      <c r="A23" s="103" t="n">
        <v>46305</v>
      </c>
      <c r="B23" s="104" t="s">
        <v>33</v>
      </c>
      <c r="C23" s="104" t="s">
        <v>568</v>
      </c>
      <c r="D23" s="105" t="n">
        <v>0.1667</v>
      </c>
      <c r="E23" s="106" t="n">
        <v>40</v>
      </c>
      <c r="F23" s="107" t="n">
        <f aca="false">IF($C23="","",$D23*$E23)</f>
        <v>6.668</v>
      </c>
      <c r="G23" s="107" t="n">
        <f aca="false">IF($C23="","",$D23*IFERROR(INDEX('تحليل التكلفة والسعر'!$C$2:$C$700,MATCH($C23,'تحليل التكلفة والسعر'!$B$2:$B$700,0)),0))</f>
        <v>3.0006</v>
      </c>
      <c r="H23" s="104" t="s">
        <v>719</v>
      </c>
    </row>
    <row r="24" customFormat="false" ht="15" hidden="false" customHeight="false" outlineLevel="0" collapsed="false">
      <c r="A24" s="103" t="n">
        <v>46306</v>
      </c>
      <c r="B24" s="104" t="s">
        <v>33</v>
      </c>
      <c r="C24" s="104" t="s">
        <v>568</v>
      </c>
      <c r="D24" s="105" t="n">
        <v>0.1667</v>
      </c>
      <c r="E24" s="106" t="n">
        <v>40</v>
      </c>
      <c r="F24" s="107" t="n">
        <f aca="false">IF($C24="","",$D24*$E24)</f>
        <v>6.668</v>
      </c>
      <c r="G24" s="107" t="n">
        <f aca="false">IF($C24="","",$D24*IFERROR(INDEX('تحليل التكلفة والسعر'!$C$2:$C$700,MATCH($C24,'تحليل التكلفة والسعر'!$B$2:$B$700,0)),0))</f>
        <v>3.0006</v>
      </c>
      <c r="H24" s="104" t="s">
        <v>719</v>
      </c>
    </row>
    <row r="25" customFormat="false" ht="15" hidden="false" customHeight="false" outlineLevel="0" collapsed="false">
      <c r="A25" s="103" t="n">
        <v>46307</v>
      </c>
      <c r="B25" s="104" t="s">
        <v>33</v>
      </c>
      <c r="C25" s="104" t="s">
        <v>568</v>
      </c>
      <c r="D25" s="105" t="n">
        <v>0.1667</v>
      </c>
      <c r="E25" s="106" t="n">
        <v>40</v>
      </c>
      <c r="F25" s="107" t="n">
        <f aca="false">IF($C25="","",$D25*$E25)</f>
        <v>6.668</v>
      </c>
      <c r="G25" s="107" t="n">
        <f aca="false">IF($C25="","",$D25*IFERROR(INDEX('تحليل التكلفة والسعر'!$C$2:$C$700,MATCH($C25,'تحليل التكلفة والسعر'!$B$2:$B$700,0)),0))</f>
        <v>3.0006</v>
      </c>
      <c r="H25" s="104" t="s">
        <v>719</v>
      </c>
    </row>
    <row r="26" customFormat="false" ht="15" hidden="false" customHeight="false" outlineLevel="0" collapsed="false">
      <c r="A26" s="103" t="n">
        <v>46296</v>
      </c>
      <c r="B26" s="104" t="s">
        <v>33</v>
      </c>
      <c r="C26" s="104" t="s">
        <v>720</v>
      </c>
      <c r="D26" s="105" t="n">
        <v>0.25</v>
      </c>
      <c r="E26" s="106" t="n">
        <v>96.6667</v>
      </c>
      <c r="F26" s="107" t="n">
        <f aca="false">IF($C26="","",$D26*$E26)</f>
        <v>24.166675</v>
      </c>
      <c r="G26" s="107" t="n">
        <f aca="false">IF($C26="","",$D26*IFERROR(INDEX('تحليل التكلفة والسعر'!$C$2:$C$700,MATCH($C26,'تحليل التكلفة والسعر'!$B$2:$B$700,0)),0))</f>
        <v>11.666675</v>
      </c>
      <c r="H26" s="104" t="s">
        <v>719</v>
      </c>
    </row>
    <row r="27" customFormat="false" ht="15" hidden="false" customHeight="false" outlineLevel="0" collapsed="false">
      <c r="A27" s="103" t="n">
        <v>46297</v>
      </c>
      <c r="B27" s="104" t="s">
        <v>33</v>
      </c>
      <c r="C27" s="104" t="s">
        <v>720</v>
      </c>
      <c r="D27" s="105" t="n">
        <v>0.25</v>
      </c>
      <c r="E27" s="106" t="n">
        <v>96.6667</v>
      </c>
      <c r="F27" s="107" t="n">
        <f aca="false">IF($C27="","",$D27*$E27)</f>
        <v>24.166675</v>
      </c>
      <c r="G27" s="107" t="n">
        <f aca="false">IF($C27="","",$D27*IFERROR(INDEX('تحليل التكلفة والسعر'!$C$2:$C$700,MATCH($C27,'تحليل التكلفة والسعر'!$B$2:$B$700,0)),0))</f>
        <v>11.666675</v>
      </c>
      <c r="H27" s="104" t="s">
        <v>719</v>
      </c>
    </row>
    <row r="28" customFormat="false" ht="15" hidden="false" customHeight="false" outlineLevel="0" collapsed="false">
      <c r="A28" s="103" t="n">
        <v>46298</v>
      </c>
      <c r="B28" s="104" t="s">
        <v>33</v>
      </c>
      <c r="C28" s="104" t="s">
        <v>720</v>
      </c>
      <c r="D28" s="105" t="n">
        <v>0.25</v>
      </c>
      <c r="E28" s="106" t="n">
        <v>96.6667</v>
      </c>
      <c r="F28" s="107" t="n">
        <f aca="false">IF($C28="","",$D28*$E28)</f>
        <v>24.166675</v>
      </c>
      <c r="G28" s="107" t="n">
        <f aca="false">IF($C28="","",$D28*IFERROR(INDEX('تحليل التكلفة والسعر'!$C$2:$C$700,MATCH($C28,'تحليل التكلفة والسعر'!$B$2:$B$700,0)),0))</f>
        <v>11.666675</v>
      </c>
      <c r="H28" s="104" t="s">
        <v>719</v>
      </c>
    </row>
    <row r="29" customFormat="false" ht="15" hidden="false" customHeight="false" outlineLevel="0" collapsed="false">
      <c r="A29" s="103" t="n">
        <v>46299</v>
      </c>
      <c r="B29" s="104" t="s">
        <v>33</v>
      </c>
      <c r="C29" s="104" t="s">
        <v>720</v>
      </c>
      <c r="D29" s="105" t="n">
        <v>0.25</v>
      </c>
      <c r="E29" s="106" t="n">
        <v>96.6667</v>
      </c>
      <c r="F29" s="107" t="n">
        <f aca="false">IF($C29="","",$D29*$E29)</f>
        <v>24.166675</v>
      </c>
      <c r="G29" s="107" t="n">
        <f aca="false">IF($C29="","",$D29*IFERROR(INDEX('تحليل التكلفة والسعر'!$C$2:$C$700,MATCH($C29,'تحليل التكلفة والسعر'!$B$2:$B$700,0)),0))</f>
        <v>11.666675</v>
      </c>
      <c r="H29" s="104" t="s">
        <v>719</v>
      </c>
    </row>
    <row r="30" customFormat="false" ht="15" hidden="false" customHeight="false" outlineLevel="0" collapsed="false">
      <c r="A30" s="103" t="n">
        <v>46300</v>
      </c>
      <c r="B30" s="104" t="s">
        <v>33</v>
      </c>
      <c r="C30" s="104" t="s">
        <v>720</v>
      </c>
      <c r="D30" s="105" t="n">
        <v>0.25</v>
      </c>
      <c r="E30" s="106" t="n">
        <v>96.6667</v>
      </c>
      <c r="F30" s="107" t="n">
        <f aca="false">IF($C30="","",$D30*$E30)</f>
        <v>24.166675</v>
      </c>
      <c r="G30" s="107" t="n">
        <f aca="false">IF($C30="","",$D30*IFERROR(INDEX('تحليل التكلفة والسعر'!$C$2:$C$700,MATCH($C30,'تحليل التكلفة والسعر'!$B$2:$B$700,0)),0))</f>
        <v>11.666675</v>
      </c>
      <c r="H30" s="104" t="s">
        <v>719</v>
      </c>
    </row>
    <row r="31" customFormat="false" ht="15" hidden="false" customHeight="false" outlineLevel="0" collapsed="false">
      <c r="A31" s="103" t="n">
        <v>46301</v>
      </c>
      <c r="B31" s="104" t="s">
        <v>33</v>
      </c>
      <c r="C31" s="104" t="s">
        <v>720</v>
      </c>
      <c r="D31" s="105" t="n">
        <v>0.25</v>
      </c>
      <c r="E31" s="106" t="n">
        <v>96.6667</v>
      </c>
      <c r="F31" s="107" t="n">
        <f aca="false">IF($C31="","",$D31*$E31)</f>
        <v>24.166675</v>
      </c>
      <c r="G31" s="107" t="n">
        <f aca="false">IF($C31="","",$D31*IFERROR(INDEX('تحليل التكلفة والسعر'!$C$2:$C$700,MATCH($C31,'تحليل التكلفة والسعر'!$B$2:$B$700,0)),0))</f>
        <v>11.666675</v>
      </c>
      <c r="H31" s="104" t="s">
        <v>719</v>
      </c>
    </row>
    <row r="32" customFormat="false" ht="15" hidden="false" customHeight="false" outlineLevel="0" collapsed="false">
      <c r="A32" s="103" t="n">
        <v>46302</v>
      </c>
      <c r="B32" s="104" t="s">
        <v>33</v>
      </c>
      <c r="C32" s="104" t="s">
        <v>720</v>
      </c>
      <c r="D32" s="105" t="n">
        <v>0.25</v>
      </c>
      <c r="E32" s="106" t="n">
        <v>96.6667</v>
      </c>
      <c r="F32" s="107" t="n">
        <f aca="false">IF($C32="","",$D32*$E32)</f>
        <v>24.166675</v>
      </c>
      <c r="G32" s="107" t="n">
        <f aca="false">IF($C32="","",$D32*IFERROR(INDEX('تحليل التكلفة والسعر'!$C$2:$C$700,MATCH($C32,'تحليل التكلفة والسعر'!$B$2:$B$700,0)),0))</f>
        <v>11.666675</v>
      </c>
      <c r="H32" s="104" t="s">
        <v>719</v>
      </c>
    </row>
    <row r="33" customFormat="false" ht="15" hidden="false" customHeight="false" outlineLevel="0" collapsed="false">
      <c r="A33" s="103" t="n">
        <v>46303</v>
      </c>
      <c r="B33" s="104" t="s">
        <v>33</v>
      </c>
      <c r="C33" s="104" t="s">
        <v>720</v>
      </c>
      <c r="D33" s="105" t="n">
        <v>0.25</v>
      </c>
      <c r="E33" s="106" t="n">
        <v>96.6667</v>
      </c>
      <c r="F33" s="107" t="n">
        <f aca="false">IF($C33="","",$D33*$E33)</f>
        <v>24.166675</v>
      </c>
      <c r="G33" s="107" t="n">
        <f aca="false">IF($C33="","",$D33*IFERROR(INDEX('تحليل التكلفة والسعر'!$C$2:$C$700,MATCH($C33,'تحليل التكلفة والسعر'!$B$2:$B$700,0)),0))</f>
        <v>11.666675</v>
      </c>
      <c r="H33" s="104" t="s">
        <v>719</v>
      </c>
    </row>
    <row r="34" customFormat="false" ht="15" hidden="false" customHeight="false" outlineLevel="0" collapsed="false">
      <c r="A34" s="103" t="n">
        <v>46304</v>
      </c>
      <c r="B34" s="104" t="s">
        <v>33</v>
      </c>
      <c r="C34" s="104" t="s">
        <v>720</v>
      </c>
      <c r="D34" s="105" t="n">
        <v>0.25</v>
      </c>
      <c r="E34" s="106" t="n">
        <v>96.6667</v>
      </c>
      <c r="F34" s="107" t="n">
        <f aca="false">IF($C34="","",$D34*$E34)</f>
        <v>24.166675</v>
      </c>
      <c r="G34" s="107" t="n">
        <f aca="false">IF($C34="","",$D34*IFERROR(INDEX('تحليل التكلفة والسعر'!$C$2:$C$700,MATCH($C34,'تحليل التكلفة والسعر'!$B$2:$B$700,0)),0))</f>
        <v>11.666675</v>
      </c>
      <c r="H34" s="104" t="s">
        <v>719</v>
      </c>
    </row>
    <row r="35" customFormat="false" ht="15" hidden="false" customHeight="false" outlineLevel="0" collapsed="false">
      <c r="A35" s="103" t="n">
        <v>46305</v>
      </c>
      <c r="B35" s="104" t="s">
        <v>33</v>
      </c>
      <c r="C35" s="104" t="s">
        <v>720</v>
      </c>
      <c r="D35" s="105" t="n">
        <v>0.25</v>
      </c>
      <c r="E35" s="106" t="n">
        <v>96.6667</v>
      </c>
      <c r="F35" s="107" t="n">
        <f aca="false">IF($C35="","",$D35*$E35)</f>
        <v>24.166675</v>
      </c>
      <c r="G35" s="107" t="n">
        <f aca="false">IF($C35="","",$D35*IFERROR(INDEX('تحليل التكلفة والسعر'!$C$2:$C$700,MATCH($C35,'تحليل التكلفة والسعر'!$B$2:$B$700,0)),0))</f>
        <v>11.666675</v>
      </c>
      <c r="H35" s="104" t="s">
        <v>719</v>
      </c>
    </row>
    <row r="36" customFormat="false" ht="15" hidden="false" customHeight="false" outlineLevel="0" collapsed="false">
      <c r="A36" s="103" t="n">
        <v>46306</v>
      </c>
      <c r="B36" s="104" t="s">
        <v>33</v>
      </c>
      <c r="C36" s="104" t="s">
        <v>720</v>
      </c>
      <c r="D36" s="105" t="n">
        <v>0.25</v>
      </c>
      <c r="E36" s="106" t="n">
        <v>96.6667</v>
      </c>
      <c r="F36" s="107" t="n">
        <f aca="false">IF($C36="","",$D36*$E36)</f>
        <v>24.166675</v>
      </c>
      <c r="G36" s="107" t="n">
        <f aca="false">IF($C36="","",$D36*IFERROR(INDEX('تحليل التكلفة والسعر'!$C$2:$C$700,MATCH($C36,'تحليل التكلفة والسعر'!$B$2:$B$700,0)),0))</f>
        <v>11.666675</v>
      </c>
      <c r="H36" s="104" t="s">
        <v>719</v>
      </c>
    </row>
    <row r="37" customFormat="false" ht="15" hidden="false" customHeight="false" outlineLevel="0" collapsed="false">
      <c r="A37" s="103" t="n">
        <v>46307</v>
      </c>
      <c r="B37" s="104" t="s">
        <v>33</v>
      </c>
      <c r="C37" s="104" t="s">
        <v>720</v>
      </c>
      <c r="D37" s="105" t="n">
        <v>0.25</v>
      </c>
      <c r="E37" s="106" t="n">
        <v>96.6667</v>
      </c>
      <c r="F37" s="107" t="n">
        <f aca="false">IF($C37="","",$D37*$E37)</f>
        <v>24.166675</v>
      </c>
      <c r="G37" s="107" t="n">
        <f aca="false">IF($C37="","",$D37*IFERROR(INDEX('تحليل التكلفة والسعر'!$C$2:$C$700,MATCH($C37,'تحليل التكلفة والسعر'!$B$2:$B$700,0)),0))</f>
        <v>11.666675</v>
      </c>
      <c r="H37" s="104" t="s">
        <v>719</v>
      </c>
    </row>
    <row r="38" customFormat="false" ht="15" hidden="false" customHeight="false" outlineLevel="0" collapsed="false">
      <c r="A38" s="103" t="n">
        <v>46296</v>
      </c>
      <c r="B38" s="104" t="s">
        <v>33</v>
      </c>
      <c r="C38" s="104" t="s">
        <v>721</v>
      </c>
      <c r="D38" s="105" t="n">
        <v>0.1667</v>
      </c>
      <c r="E38" s="106" t="n">
        <v>80</v>
      </c>
      <c r="F38" s="107" t="n">
        <f aca="false">IF($C38="","",$D38*$E38)</f>
        <v>13.336</v>
      </c>
      <c r="G38" s="107" t="n">
        <f aca="false">IF($C38="","",$D38*IFERROR(INDEX('تحليل التكلفة والسعر'!$C$2:$C$700,MATCH($C38,'تحليل التكلفة والسعر'!$B$2:$B$700,0)),0))</f>
        <v>5.8345</v>
      </c>
      <c r="H38" s="104" t="s">
        <v>719</v>
      </c>
    </row>
    <row r="39" customFormat="false" ht="15" hidden="false" customHeight="false" outlineLevel="0" collapsed="false">
      <c r="A39" s="103" t="n">
        <v>46297</v>
      </c>
      <c r="B39" s="104" t="s">
        <v>33</v>
      </c>
      <c r="C39" s="104" t="s">
        <v>721</v>
      </c>
      <c r="D39" s="105" t="n">
        <v>0.1667</v>
      </c>
      <c r="E39" s="106" t="n">
        <v>80</v>
      </c>
      <c r="F39" s="107" t="n">
        <f aca="false">IF($C39="","",$D39*$E39)</f>
        <v>13.336</v>
      </c>
      <c r="G39" s="107" t="n">
        <f aca="false">IF($C39="","",$D39*IFERROR(INDEX('تحليل التكلفة والسعر'!$C$2:$C$700,MATCH($C39,'تحليل التكلفة والسعر'!$B$2:$B$700,0)),0))</f>
        <v>5.8345</v>
      </c>
      <c r="H39" s="104" t="s">
        <v>719</v>
      </c>
    </row>
    <row r="40" customFormat="false" ht="15" hidden="false" customHeight="false" outlineLevel="0" collapsed="false">
      <c r="A40" s="103" t="n">
        <v>46298</v>
      </c>
      <c r="B40" s="104" t="s">
        <v>33</v>
      </c>
      <c r="C40" s="104" t="s">
        <v>721</v>
      </c>
      <c r="D40" s="105" t="n">
        <v>0.1667</v>
      </c>
      <c r="E40" s="106" t="n">
        <v>80</v>
      </c>
      <c r="F40" s="107" t="n">
        <f aca="false">IF($C40="","",$D40*$E40)</f>
        <v>13.336</v>
      </c>
      <c r="G40" s="107" t="n">
        <f aca="false">IF($C40="","",$D40*IFERROR(INDEX('تحليل التكلفة والسعر'!$C$2:$C$700,MATCH($C40,'تحليل التكلفة والسعر'!$B$2:$B$700,0)),0))</f>
        <v>5.8345</v>
      </c>
      <c r="H40" s="104" t="s">
        <v>719</v>
      </c>
    </row>
    <row r="41" customFormat="false" ht="15" hidden="false" customHeight="false" outlineLevel="0" collapsed="false">
      <c r="A41" s="103" t="n">
        <v>46299</v>
      </c>
      <c r="B41" s="104" t="s">
        <v>33</v>
      </c>
      <c r="C41" s="104" t="s">
        <v>721</v>
      </c>
      <c r="D41" s="105" t="n">
        <v>0.1667</v>
      </c>
      <c r="E41" s="106" t="n">
        <v>80</v>
      </c>
      <c r="F41" s="107" t="n">
        <f aca="false">IF($C41="","",$D41*$E41)</f>
        <v>13.336</v>
      </c>
      <c r="G41" s="107" t="n">
        <f aca="false">IF($C41="","",$D41*IFERROR(INDEX('تحليل التكلفة والسعر'!$C$2:$C$700,MATCH($C41,'تحليل التكلفة والسعر'!$B$2:$B$700,0)),0))</f>
        <v>5.8345</v>
      </c>
      <c r="H41" s="104" t="s">
        <v>719</v>
      </c>
    </row>
    <row r="42" customFormat="false" ht="15" hidden="false" customHeight="false" outlineLevel="0" collapsed="false">
      <c r="A42" s="103" t="n">
        <v>46300</v>
      </c>
      <c r="B42" s="104" t="s">
        <v>33</v>
      </c>
      <c r="C42" s="104" t="s">
        <v>721</v>
      </c>
      <c r="D42" s="105" t="n">
        <v>0.1667</v>
      </c>
      <c r="E42" s="106" t="n">
        <v>80</v>
      </c>
      <c r="F42" s="107" t="n">
        <f aca="false">IF($C42="","",$D42*$E42)</f>
        <v>13.336</v>
      </c>
      <c r="G42" s="107" t="n">
        <f aca="false">IF($C42="","",$D42*IFERROR(INDEX('تحليل التكلفة والسعر'!$C$2:$C$700,MATCH($C42,'تحليل التكلفة والسعر'!$B$2:$B$700,0)),0))</f>
        <v>5.8345</v>
      </c>
      <c r="H42" s="104" t="s">
        <v>719</v>
      </c>
    </row>
    <row r="43" customFormat="false" ht="15" hidden="false" customHeight="false" outlineLevel="0" collapsed="false">
      <c r="A43" s="103" t="n">
        <v>46301</v>
      </c>
      <c r="B43" s="104" t="s">
        <v>33</v>
      </c>
      <c r="C43" s="104" t="s">
        <v>721</v>
      </c>
      <c r="D43" s="105" t="n">
        <v>0.1667</v>
      </c>
      <c r="E43" s="106" t="n">
        <v>80</v>
      </c>
      <c r="F43" s="107" t="n">
        <f aca="false">IF($C43="","",$D43*$E43)</f>
        <v>13.336</v>
      </c>
      <c r="G43" s="107" t="n">
        <f aca="false">IF($C43="","",$D43*IFERROR(INDEX('تحليل التكلفة والسعر'!$C$2:$C$700,MATCH($C43,'تحليل التكلفة والسعر'!$B$2:$B$700,0)),0))</f>
        <v>5.8345</v>
      </c>
      <c r="H43" s="104" t="s">
        <v>719</v>
      </c>
    </row>
    <row r="44" customFormat="false" ht="15" hidden="false" customHeight="false" outlineLevel="0" collapsed="false">
      <c r="A44" s="103" t="n">
        <v>46302</v>
      </c>
      <c r="B44" s="104" t="s">
        <v>33</v>
      </c>
      <c r="C44" s="104" t="s">
        <v>721</v>
      </c>
      <c r="D44" s="105" t="n">
        <v>0.1667</v>
      </c>
      <c r="E44" s="106" t="n">
        <v>80</v>
      </c>
      <c r="F44" s="107" t="n">
        <f aca="false">IF($C44="","",$D44*$E44)</f>
        <v>13.336</v>
      </c>
      <c r="G44" s="107" t="n">
        <f aca="false">IF($C44="","",$D44*IFERROR(INDEX('تحليل التكلفة والسعر'!$C$2:$C$700,MATCH($C44,'تحليل التكلفة والسعر'!$B$2:$B$700,0)),0))</f>
        <v>5.8345</v>
      </c>
      <c r="H44" s="104" t="s">
        <v>719</v>
      </c>
    </row>
    <row r="45" customFormat="false" ht="15" hidden="false" customHeight="false" outlineLevel="0" collapsed="false">
      <c r="A45" s="103" t="n">
        <v>46303</v>
      </c>
      <c r="B45" s="104" t="s">
        <v>33</v>
      </c>
      <c r="C45" s="104" t="s">
        <v>721</v>
      </c>
      <c r="D45" s="105" t="n">
        <v>0.1667</v>
      </c>
      <c r="E45" s="106" t="n">
        <v>80</v>
      </c>
      <c r="F45" s="107" t="n">
        <f aca="false">IF($C45="","",$D45*$E45)</f>
        <v>13.336</v>
      </c>
      <c r="G45" s="107" t="n">
        <f aca="false">IF($C45="","",$D45*IFERROR(INDEX('تحليل التكلفة والسعر'!$C$2:$C$700,MATCH($C45,'تحليل التكلفة والسعر'!$B$2:$B$700,0)),0))</f>
        <v>5.8345</v>
      </c>
      <c r="H45" s="104" t="s">
        <v>719</v>
      </c>
    </row>
    <row r="46" customFormat="false" ht="15" hidden="false" customHeight="false" outlineLevel="0" collapsed="false">
      <c r="A46" s="103" t="n">
        <v>46304</v>
      </c>
      <c r="B46" s="104" t="s">
        <v>33</v>
      </c>
      <c r="C46" s="104" t="s">
        <v>721</v>
      </c>
      <c r="D46" s="105" t="n">
        <v>0.1667</v>
      </c>
      <c r="E46" s="106" t="n">
        <v>80</v>
      </c>
      <c r="F46" s="107" t="n">
        <f aca="false">IF($C46="","",$D46*$E46)</f>
        <v>13.336</v>
      </c>
      <c r="G46" s="107" t="n">
        <f aca="false">IF($C46="","",$D46*IFERROR(INDEX('تحليل التكلفة والسعر'!$C$2:$C$700,MATCH($C46,'تحليل التكلفة والسعر'!$B$2:$B$700,0)),0))</f>
        <v>5.8345</v>
      </c>
      <c r="H46" s="104" t="s">
        <v>719</v>
      </c>
    </row>
    <row r="47" customFormat="false" ht="15" hidden="false" customHeight="false" outlineLevel="0" collapsed="false">
      <c r="A47" s="103" t="n">
        <v>46305</v>
      </c>
      <c r="B47" s="104" t="s">
        <v>33</v>
      </c>
      <c r="C47" s="104" t="s">
        <v>721</v>
      </c>
      <c r="D47" s="105" t="n">
        <v>0.1667</v>
      </c>
      <c r="E47" s="106" t="n">
        <v>80</v>
      </c>
      <c r="F47" s="107" t="n">
        <f aca="false">IF($C47="","",$D47*$E47)</f>
        <v>13.336</v>
      </c>
      <c r="G47" s="107" t="n">
        <f aca="false">IF($C47="","",$D47*IFERROR(INDEX('تحليل التكلفة والسعر'!$C$2:$C$700,MATCH($C47,'تحليل التكلفة والسعر'!$B$2:$B$700,0)),0))</f>
        <v>5.8345</v>
      </c>
      <c r="H47" s="104" t="s">
        <v>719</v>
      </c>
    </row>
    <row r="48" customFormat="false" ht="15" hidden="false" customHeight="false" outlineLevel="0" collapsed="false">
      <c r="A48" s="103" t="n">
        <v>46306</v>
      </c>
      <c r="B48" s="104" t="s">
        <v>33</v>
      </c>
      <c r="C48" s="104" t="s">
        <v>721</v>
      </c>
      <c r="D48" s="105" t="n">
        <v>0.1667</v>
      </c>
      <c r="E48" s="106" t="n">
        <v>80</v>
      </c>
      <c r="F48" s="107" t="n">
        <f aca="false">IF($C48="","",$D48*$E48)</f>
        <v>13.336</v>
      </c>
      <c r="G48" s="107" t="n">
        <f aca="false">IF($C48="","",$D48*IFERROR(INDEX('تحليل التكلفة والسعر'!$C$2:$C$700,MATCH($C48,'تحليل التكلفة والسعر'!$B$2:$B$700,0)),0))</f>
        <v>5.8345</v>
      </c>
      <c r="H48" s="104" t="s">
        <v>719</v>
      </c>
    </row>
    <row r="49" customFormat="false" ht="15" hidden="false" customHeight="false" outlineLevel="0" collapsed="false">
      <c r="A49" s="103" t="n">
        <v>46307</v>
      </c>
      <c r="B49" s="104" t="s">
        <v>33</v>
      </c>
      <c r="C49" s="104" t="s">
        <v>721</v>
      </c>
      <c r="D49" s="105" t="n">
        <v>0.1667</v>
      </c>
      <c r="E49" s="106" t="n">
        <v>80</v>
      </c>
      <c r="F49" s="107" t="n">
        <f aca="false">IF($C49="","",$D49*$E49)</f>
        <v>13.336</v>
      </c>
      <c r="G49" s="107" t="n">
        <f aca="false">IF($C49="","",$D49*IFERROR(INDEX('تحليل التكلفة والسعر'!$C$2:$C$700,MATCH($C49,'تحليل التكلفة والسعر'!$B$2:$B$700,0)),0))</f>
        <v>5.8345</v>
      </c>
      <c r="H49" s="104" t="s">
        <v>719</v>
      </c>
    </row>
    <row r="50" customFormat="false" ht="15" hidden="false" customHeight="false" outlineLevel="0" collapsed="false">
      <c r="A50" s="103" t="n">
        <v>46296</v>
      </c>
      <c r="B50" s="104" t="s">
        <v>33</v>
      </c>
      <c r="C50" s="104" t="s">
        <v>722</v>
      </c>
      <c r="D50" s="105" t="n">
        <v>0.0833</v>
      </c>
      <c r="E50" s="106" t="n">
        <v>55</v>
      </c>
      <c r="F50" s="107" t="n">
        <f aca="false">IF($C50="","",$D50*$E50)</f>
        <v>4.5815</v>
      </c>
      <c r="G50" s="107" t="n">
        <f aca="false">IF($C50="","",$D50*IFERROR(INDEX('تحليل التكلفة والسعر'!$C$2:$C$700,MATCH($C50,'تحليل التكلفة والسعر'!$B$2:$B$700,0)),0))</f>
        <v>1.7493</v>
      </c>
      <c r="H50" s="104" t="s">
        <v>719</v>
      </c>
    </row>
    <row r="51" customFormat="false" ht="15" hidden="false" customHeight="false" outlineLevel="0" collapsed="false">
      <c r="A51" s="103" t="n">
        <v>46297</v>
      </c>
      <c r="B51" s="104" t="s">
        <v>33</v>
      </c>
      <c r="C51" s="104" t="s">
        <v>722</v>
      </c>
      <c r="D51" s="105" t="n">
        <v>0.0833</v>
      </c>
      <c r="E51" s="106" t="n">
        <v>55</v>
      </c>
      <c r="F51" s="107" t="n">
        <f aca="false">IF($C51="","",$D51*$E51)</f>
        <v>4.5815</v>
      </c>
      <c r="G51" s="107" t="n">
        <f aca="false">IF($C51="","",$D51*IFERROR(INDEX('تحليل التكلفة والسعر'!$C$2:$C$700,MATCH($C51,'تحليل التكلفة والسعر'!$B$2:$B$700,0)),0))</f>
        <v>1.7493</v>
      </c>
      <c r="H51" s="104" t="s">
        <v>719</v>
      </c>
    </row>
    <row r="52" customFormat="false" ht="15" hidden="false" customHeight="false" outlineLevel="0" collapsed="false">
      <c r="A52" s="103" t="n">
        <v>46298</v>
      </c>
      <c r="B52" s="104" t="s">
        <v>33</v>
      </c>
      <c r="C52" s="104" t="s">
        <v>722</v>
      </c>
      <c r="D52" s="105" t="n">
        <v>0.0833</v>
      </c>
      <c r="E52" s="106" t="n">
        <v>55</v>
      </c>
      <c r="F52" s="107" t="n">
        <f aca="false">IF($C52="","",$D52*$E52)</f>
        <v>4.5815</v>
      </c>
      <c r="G52" s="107" t="n">
        <f aca="false">IF($C52="","",$D52*IFERROR(INDEX('تحليل التكلفة والسعر'!$C$2:$C$700,MATCH($C52,'تحليل التكلفة والسعر'!$B$2:$B$700,0)),0))</f>
        <v>1.7493</v>
      </c>
      <c r="H52" s="104" t="s">
        <v>719</v>
      </c>
    </row>
    <row r="53" customFormat="false" ht="15" hidden="false" customHeight="false" outlineLevel="0" collapsed="false">
      <c r="A53" s="103" t="n">
        <v>46299</v>
      </c>
      <c r="B53" s="104" t="s">
        <v>33</v>
      </c>
      <c r="C53" s="104" t="s">
        <v>722</v>
      </c>
      <c r="D53" s="105" t="n">
        <v>0.0833</v>
      </c>
      <c r="E53" s="106" t="n">
        <v>55</v>
      </c>
      <c r="F53" s="107" t="n">
        <f aca="false">IF($C53="","",$D53*$E53)</f>
        <v>4.5815</v>
      </c>
      <c r="G53" s="107" t="n">
        <f aca="false">IF($C53="","",$D53*IFERROR(INDEX('تحليل التكلفة والسعر'!$C$2:$C$700,MATCH($C53,'تحليل التكلفة والسعر'!$B$2:$B$700,0)),0))</f>
        <v>1.7493</v>
      </c>
      <c r="H53" s="104" t="s">
        <v>719</v>
      </c>
    </row>
    <row r="54" customFormat="false" ht="15" hidden="false" customHeight="false" outlineLevel="0" collapsed="false">
      <c r="A54" s="103" t="n">
        <v>46300</v>
      </c>
      <c r="B54" s="104" t="s">
        <v>33</v>
      </c>
      <c r="C54" s="104" t="s">
        <v>722</v>
      </c>
      <c r="D54" s="105" t="n">
        <v>0.0833</v>
      </c>
      <c r="E54" s="106" t="n">
        <v>55</v>
      </c>
      <c r="F54" s="107" t="n">
        <f aca="false">IF($C54="","",$D54*$E54)</f>
        <v>4.5815</v>
      </c>
      <c r="G54" s="107" t="n">
        <f aca="false">IF($C54="","",$D54*IFERROR(INDEX('تحليل التكلفة والسعر'!$C$2:$C$700,MATCH($C54,'تحليل التكلفة والسعر'!$B$2:$B$700,0)),0))</f>
        <v>1.7493</v>
      </c>
      <c r="H54" s="104" t="s">
        <v>719</v>
      </c>
    </row>
    <row r="55" customFormat="false" ht="15" hidden="false" customHeight="false" outlineLevel="0" collapsed="false">
      <c r="A55" s="103" t="n">
        <v>46301</v>
      </c>
      <c r="B55" s="104" t="s">
        <v>33</v>
      </c>
      <c r="C55" s="104" t="s">
        <v>722</v>
      </c>
      <c r="D55" s="105" t="n">
        <v>0.0833</v>
      </c>
      <c r="E55" s="106" t="n">
        <v>55</v>
      </c>
      <c r="F55" s="107" t="n">
        <f aca="false">IF($C55="","",$D55*$E55)</f>
        <v>4.5815</v>
      </c>
      <c r="G55" s="107" t="n">
        <f aca="false">IF($C55="","",$D55*IFERROR(INDEX('تحليل التكلفة والسعر'!$C$2:$C$700,MATCH($C55,'تحليل التكلفة والسعر'!$B$2:$B$700,0)),0))</f>
        <v>1.7493</v>
      </c>
      <c r="H55" s="104" t="s">
        <v>719</v>
      </c>
    </row>
    <row r="56" customFormat="false" ht="15" hidden="false" customHeight="false" outlineLevel="0" collapsed="false">
      <c r="A56" s="103" t="n">
        <v>46302</v>
      </c>
      <c r="B56" s="104" t="s">
        <v>33</v>
      </c>
      <c r="C56" s="104" t="s">
        <v>722</v>
      </c>
      <c r="D56" s="105" t="n">
        <v>0.0833</v>
      </c>
      <c r="E56" s="106" t="n">
        <v>55</v>
      </c>
      <c r="F56" s="107" t="n">
        <f aca="false">IF($C56="","",$D56*$E56)</f>
        <v>4.5815</v>
      </c>
      <c r="G56" s="107" t="n">
        <f aca="false">IF($C56="","",$D56*IFERROR(INDEX('تحليل التكلفة والسعر'!$C$2:$C$700,MATCH($C56,'تحليل التكلفة والسعر'!$B$2:$B$700,0)),0))</f>
        <v>1.7493</v>
      </c>
      <c r="H56" s="104" t="s">
        <v>719</v>
      </c>
    </row>
    <row r="57" customFormat="false" ht="15" hidden="false" customHeight="false" outlineLevel="0" collapsed="false">
      <c r="A57" s="103" t="n">
        <v>46303</v>
      </c>
      <c r="B57" s="104" t="s">
        <v>33</v>
      </c>
      <c r="C57" s="104" t="s">
        <v>722</v>
      </c>
      <c r="D57" s="105" t="n">
        <v>0.0833</v>
      </c>
      <c r="E57" s="106" t="n">
        <v>55</v>
      </c>
      <c r="F57" s="107" t="n">
        <f aca="false">IF($C57="","",$D57*$E57)</f>
        <v>4.5815</v>
      </c>
      <c r="G57" s="107" t="n">
        <f aca="false">IF($C57="","",$D57*IFERROR(INDEX('تحليل التكلفة والسعر'!$C$2:$C$700,MATCH($C57,'تحليل التكلفة والسعر'!$B$2:$B$700,0)),0))</f>
        <v>1.7493</v>
      </c>
      <c r="H57" s="104" t="s">
        <v>719</v>
      </c>
    </row>
    <row r="58" customFormat="false" ht="15" hidden="false" customHeight="false" outlineLevel="0" collapsed="false">
      <c r="A58" s="103" t="n">
        <v>46304</v>
      </c>
      <c r="B58" s="104" t="s">
        <v>33</v>
      </c>
      <c r="C58" s="104" t="s">
        <v>722</v>
      </c>
      <c r="D58" s="105" t="n">
        <v>0.0833</v>
      </c>
      <c r="E58" s="106" t="n">
        <v>55</v>
      </c>
      <c r="F58" s="107" t="n">
        <f aca="false">IF($C58="","",$D58*$E58)</f>
        <v>4.5815</v>
      </c>
      <c r="G58" s="107" t="n">
        <f aca="false">IF($C58="","",$D58*IFERROR(INDEX('تحليل التكلفة والسعر'!$C$2:$C$700,MATCH($C58,'تحليل التكلفة والسعر'!$B$2:$B$700,0)),0))</f>
        <v>1.7493</v>
      </c>
      <c r="H58" s="104" t="s">
        <v>719</v>
      </c>
    </row>
    <row r="59" customFormat="false" ht="15" hidden="false" customHeight="false" outlineLevel="0" collapsed="false">
      <c r="A59" s="103" t="n">
        <v>46305</v>
      </c>
      <c r="B59" s="104" t="s">
        <v>33</v>
      </c>
      <c r="C59" s="104" t="s">
        <v>722</v>
      </c>
      <c r="D59" s="105" t="n">
        <v>0.0833</v>
      </c>
      <c r="E59" s="106" t="n">
        <v>55</v>
      </c>
      <c r="F59" s="107" t="n">
        <f aca="false">IF($C59="","",$D59*$E59)</f>
        <v>4.5815</v>
      </c>
      <c r="G59" s="107" t="n">
        <f aca="false">IF($C59="","",$D59*IFERROR(INDEX('تحليل التكلفة والسعر'!$C$2:$C$700,MATCH($C59,'تحليل التكلفة والسعر'!$B$2:$B$700,0)),0))</f>
        <v>1.7493</v>
      </c>
      <c r="H59" s="104" t="s">
        <v>719</v>
      </c>
    </row>
    <row r="60" customFormat="false" ht="15" hidden="false" customHeight="false" outlineLevel="0" collapsed="false">
      <c r="A60" s="103" t="n">
        <v>46306</v>
      </c>
      <c r="B60" s="104" t="s">
        <v>33</v>
      </c>
      <c r="C60" s="104" t="s">
        <v>722</v>
      </c>
      <c r="D60" s="105" t="n">
        <v>0.0833</v>
      </c>
      <c r="E60" s="106" t="n">
        <v>55</v>
      </c>
      <c r="F60" s="107" t="n">
        <f aca="false">IF($C60="","",$D60*$E60)</f>
        <v>4.5815</v>
      </c>
      <c r="G60" s="107" t="n">
        <f aca="false">IF($C60="","",$D60*IFERROR(INDEX('تحليل التكلفة والسعر'!$C$2:$C$700,MATCH($C60,'تحليل التكلفة والسعر'!$B$2:$B$700,0)),0))</f>
        <v>1.7493</v>
      </c>
      <c r="H60" s="104" t="s">
        <v>719</v>
      </c>
    </row>
    <row r="61" customFormat="false" ht="15" hidden="false" customHeight="false" outlineLevel="0" collapsed="false">
      <c r="A61" s="103" t="n">
        <v>46307</v>
      </c>
      <c r="B61" s="104" t="s">
        <v>33</v>
      </c>
      <c r="C61" s="104" t="s">
        <v>722</v>
      </c>
      <c r="D61" s="105" t="n">
        <v>0.0833</v>
      </c>
      <c r="E61" s="106" t="n">
        <v>55</v>
      </c>
      <c r="F61" s="107" t="n">
        <f aca="false">IF($C61="","",$D61*$E61)</f>
        <v>4.5815</v>
      </c>
      <c r="G61" s="107" t="n">
        <f aca="false">IF($C61="","",$D61*IFERROR(INDEX('تحليل التكلفة والسعر'!$C$2:$C$700,MATCH($C61,'تحليل التكلفة والسعر'!$B$2:$B$700,0)),0))</f>
        <v>1.7493</v>
      </c>
      <c r="H61" s="104" t="s">
        <v>719</v>
      </c>
    </row>
    <row r="62" customFormat="false" ht="15" hidden="false" customHeight="false" outlineLevel="0" collapsed="false">
      <c r="A62" s="103" t="n">
        <v>46296</v>
      </c>
      <c r="B62" s="104" t="s">
        <v>33</v>
      </c>
      <c r="C62" s="104" t="s">
        <v>723</v>
      </c>
      <c r="D62" s="105" t="n">
        <v>0.5833</v>
      </c>
      <c r="E62" s="106" t="n">
        <v>44.2857</v>
      </c>
      <c r="F62" s="107" t="n">
        <f aca="false">IF($C62="","",$D62*$E62)</f>
        <v>25.83184881</v>
      </c>
      <c r="G62" s="107" t="n">
        <f aca="false">IF($C62="","",$D62*IFERROR(INDEX('تحليل التكلفة والسعر'!$C$2:$C$700,MATCH($C62,'تحليل التكلفة والسعر'!$B$2:$B$700,0)),0))</f>
        <v>8.1662</v>
      </c>
      <c r="H62" s="104" t="s">
        <v>719</v>
      </c>
    </row>
    <row r="63" customFormat="false" ht="15" hidden="false" customHeight="false" outlineLevel="0" collapsed="false">
      <c r="A63" s="103" t="n">
        <v>46297</v>
      </c>
      <c r="B63" s="104" t="s">
        <v>33</v>
      </c>
      <c r="C63" s="104" t="s">
        <v>723</v>
      </c>
      <c r="D63" s="105" t="n">
        <v>0.5833</v>
      </c>
      <c r="E63" s="106" t="n">
        <v>44.2857</v>
      </c>
      <c r="F63" s="107" t="n">
        <f aca="false">IF($C63="","",$D63*$E63)</f>
        <v>25.83184881</v>
      </c>
      <c r="G63" s="107" t="n">
        <f aca="false">IF($C63="","",$D63*IFERROR(INDEX('تحليل التكلفة والسعر'!$C$2:$C$700,MATCH($C63,'تحليل التكلفة والسعر'!$B$2:$B$700,0)),0))</f>
        <v>8.1662</v>
      </c>
      <c r="H63" s="104" t="s">
        <v>719</v>
      </c>
    </row>
    <row r="64" customFormat="false" ht="15" hidden="false" customHeight="false" outlineLevel="0" collapsed="false">
      <c r="A64" s="103" t="n">
        <v>46298</v>
      </c>
      <c r="B64" s="104" t="s">
        <v>33</v>
      </c>
      <c r="C64" s="104" t="s">
        <v>723</v>
      </c>
      <c r="D64" s="105" t="n">
        <v>0.5833</v>
      </c>
      <c r="E64" s="106" t="n">
        <v>44.2857</v>
      </c>
      <c r="F64" s="107" t="n">
        <f aca="false">IF($C64="","",$D64*$E64)</f>
        <v>25.83184881</v>
      </c>
      <c r="G64" s="107" t="n">
        <f aca="false">IF($C64="","",$D64*IFERROR(INDEX('تحليل التكلفة والسعر'!$C$2:$C$700,MATCH($C64,'تحليل التكلفة والسعر'!$B$2:$B$700,0)),0))</f>
        <v>8.1662</v>
      </c>
      <c r="H64" s="104" t="s">
        <v>719</v>
      </c>
    </row>
    <row r="65" customFormat="false" ht="15" hidden="false" customHeight="false" outlineLevel="0" collapsed="false">
      <c r="A65" s="103" t="n">
        <v>46299</v>
      </c>
      <c r="B65" s="104" t="s">
        <v>33</v>
      </c>
      <c r="C65" s="104" t="s">
        <v>723</v>
      </c>
      <c r="D65" s="105" t="n">
        <v>0.5833</v>
      </c>
      <c r="E65" s="106" t="n">
        <v>44.2857</v>
      </c>
      <c r="F65" s="107" t="n">
        <f aca="false">IF($C65="","",$D65*$E65)</f>
        <v>25.83184881</v>
      </c>
      <c r="G65" s="107" t="n">
        <f aca="false">IF($C65="","",$D65*IFERROR(INDEX('تحليل التكلفة والسعر'!$C$2:$C$700,MATCH($C65,'تحليل التكلفة والسعر'!$B$2:$B$700,0)),0))</f>
        <v>8.1662</v>
      </c>
      <c r="H65" s="104" t="s">
        <v>719</v>
      </c>
    </row>
    <row r="66" customFormat="false" ht="15" hidden="false" customHeight="false" outlineLevel="0" collapsed="false">
      <c r="A66" s="103" t="n">
        <v>46300</v>
      </c>
      <c r="B66" s="104" t="s">
        <v>33</v>
      </c>
      <c r="C66" s="104" t="s">
        <v>723</v>
      </c>
      <c r="D66" s="105" t="n">
        <v>0.5833</v>
      </c>
      <c r="E66" s="106" t="n">
        <v>44.2857</v>
      </c>
      <c r="F66" s="107" t="n">
        <f aca="false">IF($C66="","",$D66*$E66)</f>
        <v>25.83184881</v>
      </c>
      <c r="G66" s="107" t="n">
        <f aca="false">IF($C66="","",$D66*IFERROR(INDEX('تحليل التكلفة والسعر'!$C$2:$C$700,MATCH($C66,'تحليل التكلفة والسعر'!$B$2:$B$700,0)),0))</f>
        <v>8.1662</v>
      </c>
      <c r="H66" s="104" t="s">
        <v>719</v>
      </c>
    </row>
    <row r="67" customFormat="false" ht="15" hidden="false" customHeight="false" outlineLevel="0" collapsed="false">
      <c r="A67" s="103" t="n">
        <v>46301</v>
      </c>
      <c r="B67" s="104" t="s">
        <v>33</v>
      </c>
      <c r="C67" s="104" t="s">
        <v>723</v>
      </c>
      <c r="D67" s="105" t="n">
        <v>0.5833</v>
      </c>
      <c r="E67" s="106" t="n">
        <v>44.2857</v>
      </c>
      <c r="F67" s="107" t="n">
        <f aca="false">IF($C67="","",$D67*$E67)</f>
        <v>25.83184881</v>
      </c>
      <c r="G67" s="107" t="n">
        <f aca="false">IF($C67="","",$D67*IFERROR(INDEX('تحليل التكلفة والسعر'!$C$2:$C$700,MATCH($C67,'تحليل التكلفة والسعر'!$B$2:$B$700,0)),0))</f>
        <v>8.1662</v>
      </c>
      <c r="H67" s="104" t="s">
        <v>719</v>
      </c>
    </row>
    <row r="68" customFormat="false" ht="15" hidden="false" customHeight="false" outlineLevel="0" collapsed="false">
      <c r="A68" s="103" t="n">
        <v>46302</v>
      </c>
      <c r="B68" s="104" t="s">
        <v>33</v>
      </c>
      <c r="C68" s="104" t="s">
        <v>723</v>
      </c>
      <c r="D68" s="105" t="n">
        <v>0.5833</v>
      </c>
      <c r="E68" s="106" t="n">
        <v>44.2857</v>
      </c>
      <c r="F68" s="107" t="n">
        <f aca="false">IF($C68="","",$D68*$E68)</f>
        <v>25.83184881</v>
      </c>
      <c r="G68" s="107" t="n">
        <f aca="false">IF($C68="","",$D68*IFERROR(INDEX('تحليل التكلفة والسعر'!$C$2:$C$700,MATCH($C68,'تحليل التكلفة والسعر'!$B$2:$B$700,0)),0))</f>
        <v>8.1662</v>
      </c>
      <c r="H68" s="104" t="s">
        <v>719</v>
      </c>
    </row>
    <row r="69" customFormat="false" ht="15" hidden="false" customHeight="false" outlineLevel="0" collapsed="false">
      <c r="A69" s="103" t="n">
        <v>46303</v>
      </c>
      <c r="B69" s="104" t="s">
        <v>33</v>
      </c>
      <c r="C69" s="104" t="s">
        <v>723</v>
      </c>
      <c r="D69" s="105" t="n">
        <v>0.5833</v>
      </c>
      <c r="E69" s="106" t="n">
        <v>44.2857</v>
      </c>
      <c r="F69" s="107" t="n">
        <f aca="false">IF($C69="","",$D69*$E69)</f>
        <v>25.83184881</v>
      </c>
      <c r="G69" s="107" t="n">
        <f aca="false">IF($C69="","",$D69*IFERROR(INDEX('تحليل التكلفة والسعر'!$C$2:$C$700,MATCH($C69,'تحليل التكلفة والسعر'!$B$2:$B$700,0)),0))</f>
        <v>8.1662</v>
      </c>
      <c r="H69" s="104" t="s">
        <v>719</v>
      </c>
    </row>
    <row r="70" customFormat="false" ht="15" hidden="false" customHeight="false" outlineLevel="0" collapsed="false">
      <c r="A70" s="103" t="n">
        <v>46304</v>
      </c>
      <c r="B70" s="104" t="s">
        <v>33</v>
      </c>
      <c r="C70" s="104" t="s">
        <v>723</v>
      </c>
      <c r="D70" s="105" t="n">
        <v>0.5833</v>
      </c>
      <c r="E70" s="106" t="n">
        <v>44.2857</v>
      </c>
      <c r="F70" s="107" t="n">
        <f aca="false">IF($C70="","",$D70*$E70)</f>
        <v>25.83184881</v>
      </c>
      <c r="G70" s="107" t="n">
        <f aca="false">IF($C70="","",$D70*IFERROR(INDEX('تحليل التكلفة والسعر'!$C$2:$C$700,MATCH($C70,'تحليل التكلفة والسعر'!$B$2:$B$700,0)),0))</f>
        <v>8.1662</v>
      </c>
      <c r="H70" s="104" t="s">
        <v>719</v>
      </c>
    </row>
    <row r="71" customFormat="false" ht="15" hidden="false" customHeight="false" outlineLevel="0" collapsed="false">
      <c r="A71" s="103" t="n">
        <v>46305</v>
      </c>
      <c r="B71" s="104" t="s">
        <v>33</v>
      </c>
      <c r="C71" s="104" t="s">
        <v>723</v>
      </c>
      <c r="D71" s="105" t="n">
        <v>0.5833</v>
      </c>
      <c r="E71" s="106" t="n">
        <v>44.2857</v>
      </c>
      <c r="F71" s="107" t="n">
        <f aca="false">IF($C71="","",$D71*$E71)</f>
        <v>25.83184881</v>
      </c>
      <c r="G71" s="107" t="n">
        <f aca="false">IF($C71="","",$D71*IFERROR(INDEX('تحليل التكلفة والسعر'!$C$2:$C$700,MATCH($C71,'تحليل التكلفة والسعر'!$B$2:$B$700,0)),0))</f>
        <v>8.1662</v>
      </c>
      <c r="H71" s="104" t="s">
        <v>719</v>
      </c>
    </row>
    <row r="72" customFormat="false" ht="15" hidden="false" customHeight="false" outlineLevel="0" collapsed="false">
      <c r="A72" s="103" t="n">
        <v>46306</v>
      </c>
      <c r="B72" s="104" t="s">
        <v>33</v>
      </c>
      <c r="C72" s="104" t="s">
        <v>723</v>
      </c>
      <c r="D72" s="105" t="n">
        <v>0.5833</v>
      </c>
      <c r="E72" s="106" t="n">
        <v>44.2857</v>
      </c>
      <c r="F72" s="107" t="n">
        <f aca="false">IF($C72="","",$D72*$E72)</f>
        <v>25.83184881</v>
      </c>
      <c r="G72" s="107" t="n">
        <f aca="false">IF($C72="","",$D72*IFERROR(INDEX('تحليل التكلفة والسعر'!$C$2:$C$700,MATCH($C72,'تحليل التكلفة والسعر'!$B$2:$B$700,0)),0))</f>
        <v>8.1662</v>
      </c>
      <c r="H72" s="104" t="s">
        <v>719</v>
      </c>
    </row>
    <row r="73" customFormat="false" ht="15" hidden="false" customHeight="false" outlineLevel="0" collapsed="false">
      <c r="A73" s="103" t="n">
        <v>46307</v>
      </c>
      <c r="B73" s="104" t="s">
        <v>33</v>
      </c>
      <c r="C73" s="104" t="s">
        <v>723</v>
      </c>
      <c r="D73" s="105" t="n">
        <v>0.5833</v>
      </c>
      <c r="E73" s="106" t="n">
        <v>44.2857</v>
      </c>
      <c r="F73" s="107" t="n">
        <f aca="false">IF($C73="","",$D73*$E73)</f>
        <v>25.83184881</v>
      </c>
      <c r="G73" s="107" t="n">
        <f aca="false">IF($C73="","",$D73*IFERROR(INDEX('تحليل التكلفة والسعر'!$C$2:$C$700,MATCH($C73,'تحليل التكلفة والسعر'!$B$2:$B$700,0)),0))</f>
        <v>8.1662</v>
      </c>
      <c r="H73" s="104" t="s">
        <v>719</v>
      </c>
    </row>
    <row r="74" customFormat="false" ht="15" hidden="false" customHeight="false" outlineLevel="0" collapsed="false">
      <c r="A74" s="103" t="n">
        <v>46296</v>
      </c>
      <c r="B74" s="104" t="s">
        <v>33</v>
      </c>
      <c r="C74" s="104" t="s">
        <v>724</v>
      </c>
      <c r="D74" s="105" t="n">
        <v>1</v>
      </c>
      <c r="E74" s="106" t="n">
        <v>55.4167</v>
      </c>
      <c r="F74" s="107" t="n">
        <f aca="false">IF($C74="","",$D74*$E74)</f>
        <v>55.4167</v>
      </c>
      <c r="G74" s="107" t="n">
        <f aca="false">IF($C74="","",$D74*IFERROR(INDEX('تحليل التكلفة والسعر'!$C$2:$C$700,MATCH($C74,'تحليل التكلفة والسعر'!$B$2:$B$700,0)),0))</f>
        <v>21</v>
      </c>
      <c r="H74" s="104" t="s">
        <v>719</v>
      </c>
    </row>
    <row r="75" customFormat="false" ht="15" hidden="false" customHeight="false" outlineLevel="0" collapsed="false">
      <c r="A75" s="103" t="n">
        <v>46297</v>
      </c>
      <c r="B75" s="104" t="s">
        <v>33</v>
      </c>
      <c r="C75" s="104" t="s">
        <v>724</v>
      </c>
      <c r="D75" s="105" t="n">
        <v>1</v>
      </c>
      <c r="E75" s="106" t="n">
        <v>55.4167</v>
      </c>
      <c r="F75" s="107" t="n">
        <f aca="false">IF($C75="","",$D75*$E75)</f>
        <v>55.4167</v>
      </c>
      <c r="G75" s="107" t="n">
        <f aca="false">IF($C75="","",$D75*IFERROR(INDEX('تحليل التكلفة والسعر'!$C$2:$C$700,MATCH($C75,'تحليل التكلفة والسعر'!$B$2:$B$700,0)),0))</f>
        <v>21</v>
      </c>
      <c r="H75" s="104" t="s">
        <v>719</v>
      </c>
    </row>
    <row r="76" customFormat="false" ht="15" hidden="false" customHeight="false" outlineLevel="0" collapsed="false">
      <c r="A76" s="103" t="n">
        <v>46298</v>
      </c>
      <c r="B76" s="104" t="s">
        <v>33</v>
      </c>
      <c r="C76" s="104" t="s">
        <v>724</v>
      </c>
      <c r="D76" s="105" t="n">
        <v>1</v>
      </c>
      <c r="E76" s="106" t="n">
        <v>55.4167</v>
      </c>
      <c r="F76" s="107" t="n">
        <f aca="false">IF($C76="","",$D76*$E76)</f>
        <v>55.4167</v>
      </c>
      <c r="G76" s="107" t="n">
        <f aca="false">IF($C76="","",$D76*IFERROR(INDEX('تحليل التكلفة والسعر'!$C$2:$C$700,MATCH($C76,'تحليل التكلفة والسعر'!$B$2:$B$700,0)),0))</f>
        <v>21</v>
      </c>
      <c r="H76" s="104" t="s">
        <v>719</v>
      </c>
    </row>
    <row r="77" customFormat="false" ht="15" hidden="false" customHeight="false" outlineLevel="0" collapsed="false">
      <c r="A77" s="103" t="n">
        <v>46299</v>
      </c>
      <c r="B77" s="104" t="s">
        <v>33</v>
      </c>
      <c r="C77" s="104" t="s">
        <v>724</v>
      </c>
      <c r="D77" s="105" t="n">
        <v>1</v>
      </c>
      <c r="E77" s="106" t="n">
        <v>55.4167</v>
      </c>
      <c r="F77" s="107" t="n">
        <f aca="false">IF($C77="","",$D77*$E77)</f>
        <v>55.4167</v>
      </c>
      <c r="G77" s="107" t="n">
        <f aca="false">IF($C77="","",$D77*IFERROR(INDEX('تحليل التكلفة والسعر'!$C$2:$C$700,MATCH($C77,'تحليل التكلفة والسعر'!$B$2:$B$700,0)),0))</f>
        <v>21</v>
      </c>
      <c r="H77" s="104" t="s">
        <v>719</v>
      </c>
    </row>
    <row r="78" customFormat="false" ht="15" hidden="false" customHeight="false" outlineLevel="0" collapsed="false">
      <c r="A78" s="103" t="n">
        <v>46300</v>
      </c>
      <c r="B78" s="104" t="s">
        <v>33</v>
      </c>
      <c r="C78" s="104" t="s">
        <v>724</v>
      </c>
      <c r="D78" s="105" t="n">
        <v>1</v>
      </c>
      <c r="E78" s="106" t="n">
        <v>55.4167</v>
      </c>
      <c r="F78" s="107" t="n">
        <f aca="false">IF($C78="","",$D78*$E78)</f>
        <v>55.4167</v>
      </c>
      <c r="G78" s="107" t="n">
        <f aca="false">IF($C78="","",$D78*IFERROR(INDEX('تحليل التكلفة والسعر'!$C$2:$C$700,MATCH($C78,'تحليل التكلفة والسعر'!$B$2:$B$700,0)),0))</f>
        <v>21</v>
      </c>
      <c r="H78" s="104" t="s">
        <v>719</v>
      </c>
    </row>
    <row r="79" customFormat="false" ht="15" hidden="false" customHeight="false" outlineLevel="0" collapsed="false">
      <c r="A79" s="103" t="n">
        <v>46301</v>
      </c>
      <c r="B79" s="104" t="s">
        <v>33</v>
      </c>
      <c r="C79" s="104" t="s">
        <v>724</v>
      </c>
      <c r="D79" s="105" t="n">
        <v>1</v>
      </c>
      <c r="E79" s="106" t="n">
        <v>55.4167</v>
      </c>
      <c r="F79" s="107" t="n">
        <f aca="false">IF($C79="","",$D79*$E79)</f>
        <v>55.4167</v>
      </c>
      <c r="G79" s="107" t="n">
        <f aca="false">IF($C79="","",$D79*IFERROR(INDEX('تحليل التكلفة والسعر'!$C$2:$C$700,MATCH($C79,'تحليل التكلفة والسعر'!$B$2:$B$700,0)),0))</f>
        <v>21</v>
      </c>
      <c r="H79" s="104" t="s">
        <v>719</v>
      </c>
    </row>
    <row r="80" customFormat="false" ht="15" hidden="false" customHeight="false" outlineLevel="0" collapsed="false">
      <c r="A80" s="103" t="n">
        <v>46302</v>
      </c>
      <c r="B80" s="104" t="s">
        <v>33</v>
      </c>
      <c r="C80" s="104" t="s">
        <v>724</v>
      </c>
      <c r="D80" s="105" t="n">
        <v>1</v>
      </c>
      <c r="E80" s="106" t="n">
        <v>55.4167</v>
      </c>
      <c r="F80" s="107" t="n">
        <f aca="false">IF($C80="","",$D80*$E80)</f>
        <v>55.4167</v>
      </c>
      <c r="G80" s="107" t="n">
        <f aca="false">IF($C80="","",$D80*IFERROR(INDEX('تحليل التكلفة والسعر'!$C$2:$C$700,MATCH($C80,'تحليل التكلفة والسعر'!$B$2:$B$700,0)),0))</f>
        <v>21</v>
      </c>
      <c r="H80" s="104" t="s">
        <v>719</v>
      </c>
    </row>
    <row r="81" customFormat="false" ht="15" hidden="false" customHeight="false" outlineLevel="0" collapsed="false">
      <c r="A81" s="103" t="n">
        <v>46303</v>
      </c>
      <c r="B81" s="104" t="s">
        <v>33</v>
      </c>
      <c r="C81" s="104" t="s">
        <v>724</v>
      </c>
      <c r="D81" s="105" t="n">
        <v>1</v>
      </c>
      <c r="E81" s="106" t="n">
        <v>55.4167</v>
      </c>
      <c r="F81" s="107" t="n">
        <f aca="false">IF($C81="","",$D81*$E81)</f>
        <v>55.4167</v>
      </c>
      <c r="G81" s="107" t="n">
        <f aca="false">IF($C81="","",$D81*IFERROR(INDEX('تحليل التكلفة والسعر'!$C$2:$C$700,MATCH($C81,'تحليل التكلفة والسعر'!$B$2:$B$700,0)),0))</f>
        <v>21</v>
      </c>
      <c r="H81" s="104" t="s">
        <v>719</v>
      </c>
    </row>
    <row r="82" customFormat="false" ht="15" hidden="false" customHeight="false" outlineLevel="0" collapsed="false">
      <c r="A82" s="103" t="n">
        <v>46304</v>
      </c>
      <c r="B82" s="104" t="s">
        <v>33</v>
      </c>
      <c r="C82" s="104" t="s">
        <v>724</v>
      </c>
      <c r="D82" s="105" t="n">
        <v>1</v>
      </c>
      <c r="E82" s="106" t="n">
        <v>55.4167</v>
      </c>
      <c r="F82" s="107" t="n">
        <f aca="false">IF($C82="","",$D82*$E82)</f>
        <v>55.4167</v>
      </c>
      <c r="G82" s="107" t="n">
        <f aca="false">IF($C82="","",$D82*IFERROR(INDEX('تحليل التكلفة والسعر'!$C$2:$C$700,MATCH($C82,'تحليل التكلفة والسعر'!$B$2:$B$700,0)),0))</f>
        <v>21</v>
      </c>
      <c r="H82" s="104" t="s">
        <v>719</v>
      </c>
    </row>
    <row r="83" customFormat="false" ht="15" hidden="false" customHeight="false" outlineLevel="0" collapsed="false">
      <c r="A83" s="103" t="n">
        <v>46305</v>
      </c>
      <c r="B83" s="104" t="s">
        <v>33</v>
      </c>
      <c r="C83" s="104" t="s">
        <v>724</v>
      </c>
      <c r="D83" s="105" t="n">
        <v>1</v>
      </c>
      <c r="E83" s="106" t="n">
        <v>55.4167</v>
      </c>
      <c r="F83" s="107" t="n">
        <f aca="false">IF($C83="","",$D83*$E83)</f>
        <v>55.4167</v>
      </c>
      <c r="G83" s="107" t="n">
        <f aca="false">IF($C83="","",$D83*IFERROR(INDEX('تحليل التكلفة والسعر'!$C$2:$C$700,MATCH($C83,'تحليل التكلفة والسعر'!$B$2:$B$700,0)),0))</f>
        <v>21</v>
      </c>
      <c r="H83" s="104" t="s">
        <v>719</v>
      </c>
    </row>
    <row r="84" customFormat="false" ht="15" hidden="false" customHeight="false" outlineLevel="0" collapsed="false">
      <c r="A84" s="103" t="n">
        <v>46306</v>
      </c>
      <c r="B84" s="104" t="s">
        <v>33</v>
      </c>
      <c r="C84" s="104" t="s">
        <v>724</v>
      </c>
      <c r="D84" s="105" t="n">
        <v>1</v>
      </c>
      <c r="E84" s="106" t="n">
        <v>55.4167</v>
      </c>
      <c r="F84" s="107" t="n">
        <f aca="false">IF($C84="","",$D84*$E84)</f>
        <v>55.4167</v>
      </c>
      <c r="G84" s="107" t="n">
        <f aca="false">IF($C84="","",$D84*IFERROR(INDEX('تحليل التكلفة والسعر'!$C$2:$C$700,MATCH($C84,'تحليل التكلفة والسعر'!$B$2:$B$700,0)),0))</f>
        <v>21</v>
      </c>
      <c r="H84" s="104" t="s">
        <v>719</v>
      </c>
    </row>
    <row r="85" customFormat="false" ht="15" hidden="false" customHeight="false" outlineLevel="0" collapsed="false">
      <c r="A85" s="103" t="n">
        <v>46307</v>
      </c>
      <c r="B85" s="104" t="s">
        <v>33</v>
      </c>
      <c r="C85" s="104" t="s">
        <v>724</v>
      </c>
      <c r="D85" s="105" t="n">
        <v>1</v>
      </c>
      <c r="E85" s="106" t="n">
        <v>55.4167</v>
      </c>
      <c r="F85" s="107" t="n">
        <f aca="false">IF($C85="","",$D85*$E85)</f>
        <v>55.4167</v>
      </c>
      <c r="G85" s="107" t="n">
        <f aca="false">IF($C85="","",$D85*IFERROR(INDEX('تحليل التكلفة والسعر'!$C$2:$C$700,MATCH($C85,'تحليل التكلفة والسعر'!$B$2:$B$700,0)),0))</f>
        <v>21</v>
      </c>
      <c r="H85" s="104" t="s">
        <v>719</v>
      </c>
    </row>
    <row r="86" customFormat="false" ht="15" hidden="false" customHeight="false" outlineLevel="0" collapsed="false">
      <c r="A86" s="103" t="n">
        <v>46296</v>
      </c>
      <c r="B86" s="104" t="s">
        <v>33</v>
      </c>
      <c r="C86" s="104" t="s">
        <v>725</v>
      </c>
      <c r="D86" s="105" t="n">
        <v>3.9167</v>
      </c>
      <c r="E86" s="106" t="n">
        <v>40</v>
      </c>
      <c r="F86" s="107" t="n">
        <f aca="false">IF($C86="","",$D86*$E86)</f>
        <v>156.668</v>
      </c>
      <c r="G86" s="107" t="n">
        <f aca="false">IF($C86="","",$D86*IFERROR(INDEX('تحليل التكلفة والسعر'!$C$2:$C$700,MATCH($C86,'تحليل التكلفة والسعر'!$B$2:$B$700,0)),0))</f>
        <v>54.8338</v>
      </c>
      <c r="H86" s="104" t="s">
        <v>719</v>
      </c>
    </row>
    <row r="87" customFormat="false" ht="15" hidden="false" customHeight="false" outlineLevel="0" collapsed="false">
      <c r="A87" s="103" t="n">
        <v>46297</v>
      </c>
      <c r="B87" s="104" t="s">
        <v>33</v>
      </c>
      <c r="C87" s="104" t="s">
        <v>725</v>
      </c>
      <c r="D87" s="105" t="n">
        <v>3.9167</v>
      </c>
      <c r="E87" s="106" t="n">
        <v>40</v>
      </c>
      <c r="F87" s="107" t="n">
        <f aca="false">IF($C87="","",$D87*$E87)</f>
        <v>156.668</v>
      </c>
      <c r="G87" s="107" t="n">
        <f aca="false">IF($C87="","",$D87*IFERROR(INDEX('تحليل التكلفة والسعر'!$C$2:$C$700,MATCH($C87,'تحليل التكلفة والسعر'!$B$2:$B$700,0)),0))</f>
        <v>54.8338</v>
      </c>
      <c r="H87" s="104" t="s">
        <v>719</v>
      </c>
    </row>
    <row r="88" customFormat="false" ht="15" hidden="false" customHeight="false" outlineLevel="0" collapsed="false">
      <c r="A88" s="103" t="n">
        <v>46298</v>
      </c>
      <c r="B88" s="104" t="s">
        <v>33</v>
      </c>
      <c r="C88" s="104" t="s">
        <v>725</v>
      </c>
      <c r="D88" s="105" t="n">
        <v>3.9167</v>
      </c>
      <c r="E88" s="106" t="n">
        <v>40</v>
      </c>
      <c r="F88" s="107" t="n">
        <f aca="false">IF($C88="","",$D88*$E88)</f>
        <v>156.668</v>
      </c>
      <c r="G88" s="107" t="n">
        <f aca="false">IF($C88="","",$D88*IFERROR(INDEX('تحليل التكلفة والسعر'!$C$2:$C$700,MATCH($C88,'تحليل التكلفة والسعر'!$B$2:$B$700,0)),0))</f>
        <v>54.8338</v>
      </c>
      <c r="H88" s="104" t="s">
        <v>719</v>
      </c>
    </row>
    <row r="89" customFormat="false" ht="15" hidden="false" customHeight="false" outlineLevel="0" collapsed="false">
      <c r="A89" s="103" t="n">
        <v>46299</v>
      </c>
      <c r="B89" s="104" t="s">
        <v>33</v>
      </c>
      <c r="C89" s="104" t="s">
        <v>725</v>
      </c>
      <c r="D89" s="105" t="n">
        <v>3.9167</v>
      </c>
      <c r="E89" s="106" t="n">
        <v>40</v>
      </c>
      <c r="F89" s="107" t="n">
        <f aca="false">IF($C89="","",$D89*$E89)</f>
        <v>156.668</v>
      </c>
      <c r="G89" s="107" t="n">
        <f aca="false">IF($C89="","",$D89*IFERROR(INDEX('تحليل التكلفة والسعر'!$C$2:$C$700,MATCH($C89,'تحليل التكلفة والسعر'!$B$2:$B$700,0)),0))</f>
        <v>54.8338</v>
      </c>
      <c r="H89" s="104" t="s">
        <v>719</v>
      </c>
    </row>
    <row r="90" customFormat="false" ht="15" hidden="false" customHeight="false" outlineLevel="0" collapsed="false">
      <c r="A90" s="103" t="n">
        <v>46300</v>
      </c>
      <c r="B90" s="104" t="s">
        <v>33</v>
      </c>
      <c r="C90" s="104" t="s">
        <v>725</v>
      </c>
      <c r="D90" s="105" t="n">
        <v>3.9167</v>
      </c>
      <c r="E90" s="106" t="n">
        <v>40</v>
      </c>
      <c r="F90" s="107" t="n">
        <f aca="false">IF($C90="","",$D90*$E90)</f>
        <v>156.668</v>
      </c>
      <c r="G90" s="107" t="n">
        <f aca="false">IF($C90="","",$D90*IFERROR(INDEX('تحليل التكلفة والسعر'!$C$2:$C$700,MATCH($C90,'تحليل التكلفة والسعر'!$B$2:$B$700,0)),0))</f>
        <v>54.8338</v>
      </c>
      <c r="H90" s="104" t="s">
        <v>719</v>
      </c>
    </row>
    <row r="91" customFormat="false" ht="15" hidden="false" customHeight="false" outlineLevel="0" collapsed="false">
      <c r="A91" s="103" t="n">
        <v>46301</v>
      </c>
      <c r="B91" s="104" t="s">
        <v>33</v>
      </c>
      <c r="C91" s="104" t="s">
        <v>725</v>
      </c>
      <c r="D91" s="105" t="n">
        <v>3.9167</v>
      </c>
      <c r="E91" s="106" t="n">
        <v>40</v>
      </c>
      <c r="F91" s="107" t="n">
        <f aca="false">IF($C91="","",$D91*$E91)</f>
        <v>156.668</v>
      </c>
      <c r="G91" s="107" t="n">
        <f aca="false">IF($C91="","",$D91*IFERROR(INDEX('تحليل التكلفة والسعر'!$C$2:$C$700,MATCH($C91,'تحليل التكلفة والسعر'!$B$2:$B$700,0)),0))</f>
        <v>54.8338</v>
      </c>
      <c r="H91" s="104" t="s">
        <v>719</v>
      </c>
    </row>
    <row r="92" customFormat="false" ht="15" hidden="false" customHeight="false" outlineLevel="0" collapsed="false">
      <c r="A92" s="103" t="n">
        <v>46302</v>
      </c>
      <c r="B92" s="104" t="s">
        <v>33</v>
      </c>
      <c r="C92" s="104" t="s">
        <v>725</v>
      </c>
      <c r="D92" s="105" t="n">
        <v>3.9167</v>
      </c>
      <c r="E92" s="106" t="n">
        <v>40</v>
      </c>
      <c r="F92" s="107" t="n">
        <f aca="false">IF($C92="","",$D92*$E92)</f>
        <v>156.668</v>
      </c>
      <c r="G92" s="107" t="n">
        <f aca="false">IF($C92="","",$D92*IFERROR(INDEX('تحليل التكلفة والسعر'!$C$2:$C$700,MATCH($C92,'تحليل التكلفة والسعر'!$B$2:$B$700,0)),0))</f>
        <v>54.8338</v>
      </c>
      <c r="H92" s="104" t="s">
        <v>719</v>
      </c>
    </row>
    <row r="93" customFormat="false" ht="15" hidden="false" customHeight="false" outlineLevel="0" collapsed="false">
      <c r="A93" s="103" t="n">
        <v>46303</v>
      </c>
      <c r="B93" s="104" t="s">
        <v>33</v>
      </c>
      <c r="C93" s="104" t="s">
        <v>725</v>
      </c>
      <c r="D93" s="105" t="n">
        <v>3.9167</v>
      </c>
      <c r="E93" s="106" t="n">
        <v>40</v>
      </c>
      <c r="F93" s="107" t="n">
        <f aca="false">IF($C93="","",$D93*$E93)</f>
        <v>156.668</v>
      </c>
      <c r="G93" s="107" t="n">
        <f aca="false">IF($C93="","",$D93*IFERROR(INDEX('تحليل التكلفة والسعر'!$C$2:$C$700,MATCH($C93,'تحليل التكلفة والسعر'!$B$2:$B$700,0)),0))</f>
        <v>54.8338</v>
      </c>
      <c r="H93" s="104" t="s">
        <v>719</v>
      </c>
    </row>
    <row r="94" customFormat="false" ht="15" hidden="false" customHeight="false" outlineLevel="0" collapsed="false">
      <c r="A94" s="103" t="n">
        <v>46304</v>
      </c>
      <c r="B94" s="104" t="s">
        <v>33</v>
      </c>
      <c r="C94" s="104" t="s">
        <v>725</v>
      </c>
      <c r="D94" s="105" t="n">
        <v>3.9167</v>
      </c>
      <c r="E94" s="106" t="n">
        <v>40</v>
      </c>
      <c r="F94" s="107" t="n">
        <f aca="false">IF($C94="","",$D94*$E94)</f>
        <v>156.668</v>
      </c>
      <c r="G94" s="107" t="n">
        <f aca="false">IF($C94="","",$D94*IFERROR(INDEX('تحليل التكلفة والسعر'!$C$2:$C$700,MATCH($C94,'تحليل التكلفة والسعر'!$B$2:$B$700,0)),0))</f>
        <v>54.8338</v>
      </c>
      <c r="H94" s="104" t="s">
        <v>719</v>
      </c>
    </row>
    <row r="95" customFormat="false" ht="15" hidden="false" customHeight="false" outlineLevel="0" collapsed="false">
      <c r="A95" s="103" t="n">
        <v>46305</v>
      </c>
      <c r="B95" s="104" t="s">
        <v>33</v>
      </c>
      <c r="C95" s="104" t="s">
        <v>725</v>
      </c>
      <c r="D95" s="105" t="n">
        <v>3.9167</v>
      </c>
      <c r="E95" s="106" t="n">
        <v>40</v>
      </c>
      <c r="F95" s="107" t="n">
        <f aca="false">IF($C95="","",$D95*$E95)</f>
        <v>156.668</v>
      </c>
      <c r="G95" s="107" t="n">
        <f aca="false">IF($C95="","",$D95*IFERROR(INDEX('تحليل التكلفة والسعر'!$C$2:$C$700,MATCH($C95,'تحليل التكلفة والسعر'!$B$2:$B$700,0)),0))</f>
        <v>54.8338</v>
      </c>
      <c r="H95" s="104" t="s">
        <v>719</v>
      </c>
    </row>
    <row r="96" customFormat="false" ht="15" hidden="false" customHeight="false" outlineLevel="0" collapsed="false">
      <c r="A96" s="103" t="n">
        <v>46306</v>
      </c>
      <c r="B96" s="104" t="s">
        <v>33</v>
      </c>
      <c r="C96" s="104" t="s">
        <v>725</v>
      </c>
      <c r="D96" s="105" t="n">
        <v>3.9167</v>
      </c>
      <c r="E96" s="106" t="n">
        <v>40</v>
      </c>
      <c r="F96" s="107" t="n">
        <f aca="false">IF($C96="","",$D96*$E96)</f>
        <v>156.668</v>
      </c>
      <c r="G96" s="107" t="n">
        <f aca="false">IF($C96="","",$D96*IFERROR(INDEX('تحليل التكلفة والسعر'!$C$2:$C$700,MATCH($C96,'تحليل التكلفة والسعر'!$B$2:$B$700,0)),0))</f>
        <v>54.8338</v>
      </c>
      <c r="H96" s="104" t="s">
        <v>719</v>
      </c>
    </row>
    <row r="97" customFormat="false" ht="15" hidden="false" customHeight="false" outlineLevel="0" collapsed="false">
      <c r="A97" s="103" t="n">
        <v>46307</v>
      </c>
      <c r="B97" s="104" t="s">
        <v>33</v>
      </c>
      <c r="C97" s="104" t="s">
        <v>725</v>
      </c>
      <c r="D97" s="105" t="n">
        <v>3.9167</v>
      </c>
      <c r="E97" s="106" t="n">
        <v>40</v>
      </c>
      <c r="F97" s="107" t="n">
        <f aca="false">IF($C97="","",$D97*$E97)</f>
        <v>156.668</v>
      </c>
      <c r="G97" s="107" t="n">
        <f aca="false">IF($C97="","",$D97*IFERROR(INDEX('تحليل التكلفة والسعر'!$C$2:$C$700,MATCH($C97,'تحليل التكلفة والسعر'!$B$2:$B$700,0)),0))</f>
        <v>54.8338</v>
      </c>
      <c r="H97" s="104" t="s">
        <v>719</v>
      </c>
    </row>
    <row r="98" customFormat="false" ht="15" hidden="false" customHeight="false" outlineLevel="0" collapsed="false">
      <c r="A98" s="103" t="n">
        <v>46296</v>
      </c>
      <c r="B98" s="104" t="s">
        <v>33</v>
      </c>
      <c r="C98" s="104" t="s">
        <v>726</v>
      </c>
      <c r="D98" s="105" t="n">
        <v>0.1667</v>
      </c>
      <c r="E98" s="106" t="n">
        <v>55</v>
      </c>
      <c r="F98" s="107" t="n">
        <f aca="false">IF($C98="","",$D98*$E98)</f>
        <v>9.1685</v>
      </c>
      <c r="G98" s="107" t="n">
        <f aca="false">IF($C98="","",$D98*IFERROR(INDEX('تحليل التكلفة والسعر'!$C$2:$C$700,MATCH($C98,'تحليل التكلفة والسعر'!$B$2:$B$700,0)),0))</f>
        <v>4.52415465</v>
      </c>
      <c r="H98" s="104" t="s">
        <v>719</v>
      </c>
    </row>
    <row r="99" customFormat="false" ht="15" hidden="false" customHeight="false" outlineLevel="0" collapsed="false">
      <c r="A99" s="103" t="n">
        <v>46297</v>
      </c>
      <c r="B99" s="104" t="s">
        <v>33</v>
      </c>
      <c r="C99" s="104" t="s">
        <v>726</v>
      </c>
      <c r="D99" s="105" t="n">
        <v>0.1667</v>
      </c>
      <c r="E99" s="106" t="n">
        <v>55</v>
      </c>
      <c r="F99" s="107" t="n">
        <f aca="false">IF($C99="","",$D99*$E99)</f>
        <v>9.1685</v>
      </c>
      <c r="G99" s="107" t="n">
        <f aca="false">IF($C99="","",$D99*IFERROR(INDEX('تحليل التكلفة والسعر'!$C$2:$C$700,MATCH($C99,'تحليل التكلفة والسعر'!$B$2:$B$700,0)),0))</f>
        <v>4.52415465</v>
      </c>
      <c r="H99" s="104" t="s">
        <v>719</v>
      </c>
    </row>
    <row r="100" customFormat="false" ht="15" hidden="false" customHeight="false" outlineLevel="0" collapsed="false">
      <c r="A100" s="103" t="n">
        <v>46298</v>
      </c>
      <c r="B100" s="104" t="s">
        <v>33</v>
      </c>
      <c r="C100" s="104" t="s">
        <v>726</v>
      </c>
      <c r="D100" s="105" t="n">
        <v>0.1667</v>
      </c>
      <c r="E100" s="106" t="n">
        <v>55</v>
      </c>
      <c r="F100" s="107" t="n">
        <f aca="false">IF($C100="","",$D100*$E100)</f>
        <v>9.1685</v>
      </c>
      <c r="G100" s="107" t="n">
        <f aca="false">IF($C100="","",$D100*IFERROR(INDEX('تحليل التكلفة والسعر'!$C$2:$C$700,MATCH($C100,'تحليل التكلفة والسعر'!$B$2:$B$700,0)),0))</f>
        <v>4.52415465</v>
      </c>
      <c r="H100" s="104" t="s">
        <v>719</v>
      </c>
    </row>
    <row r="101" customFormat="false" ht="15" hidden="false" customHeight="false" outlineLevel="0" collapsed="false">
      <c r="A101" s="103" t="n">
        <v>46299</v>
      </c>
      <c r="B101" s="104" t="s">
        <v>33</v>
      </c>
      <c r="C101" s="104" t="s">
        <v>726</v>
      </c>
      <c r="D101" s="105" t="n">
        <v>0.1667</v>
      </c>
      <c r="E101" s="106" t="n">
        <v>55</v>
      </c>
      <c r="F101" s="107" t="n">
        <f aca="false">IF($C101="","",$D101*$E101)</f>
        <v>9.1685</v>
      </c>
      <c r="G101" s="107" t="n">
        <f aca="false">IF($C101="","",$D101*IFERROR(INDEX('تحليل التكلفة والسعر'!$C$2:$C$700,MATCH($C101,'تحليل التكلفة والسعر'!$B$2:$B$700,0)),0))</f>
        <v>4.52415465</v>
      </c>
      <c r="H101" s="104" t="s">
        <v>719</v>
      </c>
    </row>
    <row r="102" customFormat="false" ht="15" hidden="false" customHeight="false" outlineLevel="0" collapsed="false">
      <c r="A102" s="103" t="n">
        <v>46300</v>
      </c>
      <c r="B102" s="104" t="s">
        <v>33</v>
      </c>
      <c r="C102" s="104" t="s">
        <v>726</v>
      </c>
      <c r="D102" s="105" t="n">
        <v>0.1667</v>
      </c>
      <c r="E102" s="106" t="n">
        <v>55</v>
      </c>
      <c r="F102" s="107" t="n">
        <f aca="false">IF($C102="","",$D102*$E102)</f>
        <v>9.1685</v>
      </c>
      <c r="G102" s="107" t="n">
        <f aca="false">IF($C102="","",$D102*IFERROR(INDEX('تحليل التكلفة والسعر'!$C$2:$C$700,MATCH($C102,'تحليل التكلفة والسعر'!$B$2:$B$700,0)),0))</f>
        <v>4.52415465</v>
      </c>
      <c r="H102" s="104" t="s">
        <v>719</v>
      </c>
    </row>
    <row r="103" customFormat="false" ht="15" hidden="false" customHeight="false" outlineLevel="0" collapsed="false">
      <c r="A103" s="103" t="n">
        <v>46301</v>
      </c>
      <c r="B103" s="104" t="s">
        <v>33</v>
      </c>
      <c r="C103" s="104" t="s">
        <v>726</v>
      </c>
      <c r="D103" s="105" t="n">
        <v>0.1667</v>
      </c>
      <c r="E103" s="106" t="n">
        <v>55</v>
      </c>
      <c r="F103" s="107" t="n">
        <f aca="false">IF($C103="","",$D103*$E103)</f>
        <v>9.1685</v>
      </c>
      <c r="G103" s="107" t="n">
        <f aca="false">IF($C103="","",$D103*IFERROR(INDEX('تحليل التكلفة والسعر'!$C$2:$C$700,MATCH($C103,'تحليل التكلفة والسعر'!$B$2:$B$700,0)),0))</f>
        <v>4.52415465</v>
      </c>
      <c r="H103" s="104" t="s">
        <v>719</v>
      </c>
    </row>
    <row r="104" customFormat="false" ht="15" hidden="false" customHeight="false" outlineLevel="0" collapsed="false">
      <c r="A104" s="103" t="n">
        <v>46302</v>
      </c>
      <c r="B104" s="104" t="s">
        <v>33</v>
      </c>
      <c r="C104" s="104" t="s">
        <v>726</v>
      </c>
      <c r="D104" s="105" t="n">
        <v>0.1667</v>
      </c>
      <c r="E104" s="106" t="n">
        <v>55</v>
      </c>
      <c r="F104" s="107" t="n">
        <f aca="false">IF($C104="","",$D104*$E104)</f>
        <v>9.1685</v>
      </c>
      <c r="G104" s="107" t="n">
        <f aca="false">IF($C104="","",$D104*IFERROR(INDEX('تحليل التكلفة والسعر'!$C$2:$C$700,MATCH($C104,'تحليل التكلفة والسعر'!$B$2:$B$700,0)),0))</f>
        <v>4.52415465</v>
      </c>
      <c r="H104" s="104" t="s">
        <v>719</v>
      </c>
    </row>
    <row r="105" customFormat="false" ht="15" hidden="false" customHeight="false" outlineLevel="0" collapsed="false">
      <c r="A105" s="103" t="n">
        <v>46303</v>
      </c>
      <c r="B105" s="104" t="s">
        <v>33</v>
      </c>
      <c r="C105" s="104" t="s">
        <v>726</v>
      </c>
      <c r="D105" s="105" t="n">
        <v>0.1667</v>
      </c>
      <c r="E105" s="106" t="n">
        <v>55</v>
      </c>
      <c r="F105" s="107" t="n">
        <f aca="false">IF($C105="","",$D105*$E105)</f>
        <v>9.1685</v>
      </c>
      <c r="G105" s="107" t="n">
        <f aca="false">IF($C105="","",$D105*IFERROR(INDEX('تحليل التكلفة والسعر'!$C$2:$C$700,MATCH($C105,'تحليل التكلفة والسعر'!$B$2:$B$700,0)),0))</f>
        <v>4.52415465</v>
      </c>
      <c r="H105" s="104" t="s">
        <v>719</v>
      </c>
    </row>
    <row r="106" customFormat="false" ht="15" hidden="false" customHeight="false" outlineLevel="0" collapsed="false">
      <c r="A106" s="103" t="n">
        <v>46304</v>
      </c>
      <c r="B106" s="104" t="s">
        <v>33</v>
      </c>
      <c r="C106" s="104" t="s">
        <v>726</v>
      </c>
      <c r="D106" s="105" t="n">
        <v>0.1667</v>
      </c>
      <c r="E106" s="106" t="n">
        <v>55</v>
      </c>
      <c r="F106" s="107" t="n">
        <f aca="false">IF($C106="","",$D106*$E106)</f>
        <v>9.1685</v>
      </c>
      <c r="G106" s="107" t="n">
        <f aca="false">IF($C106="","",$D106*IFERROR(INDEX('تحليل التكلفة والسعر'!$C$2:$C$700,MATCH($C106,'تحليل التكلفة والسعر'!$B$2:$B$700,0)),0))</f>
        <v>4.52415465</v>
      </c>
      <c r="H106" s="104" t="s">
        <v>719</v>
      </c>
    </row>
    <row r="107" customFormat="false" ht="15" hidden="false" customHeight="false" outlineLevel="0" collapsed="false">
      <c r="A107" s="103" t="n">
        <v>46305</v>
      </c>
      <c r="B107" s="104" t="s">
        <v>33</v>
      </c>
      <c r="C107" s="104" t="s">
        <v>726</v>
      </c>
      <c r="D107" s="105" t="n">
        <v>0.1667</v>
      </c>
      <c r="E107" s="106" t="n">
        <v>55</v>
      </c>
      <c r="F107" s="107" t="n">
        <f aca="false">IF($C107="","",$D107*$E107)</f>
        <v>9.1685</v>
      </c>
      <c r="G107" s="107" t="n">
        <f aca="false">IF($C107="","",$D107*IFERROR(INDEX('تحليل التكلفة والسعر'!$C$2:$C$700,MATCH($C107,'تحليل التكلفة والسعر'!$B$2:$B$700,0)),0))</f>
        <v>4.52415465</v>
      </c>
      <c r="H107" s="104" t="s">
        <v>719</v>
      </c>
    </row>
    <row r="108" customFormat="false" ht="15" hidden="false" customHeight="false" outlineLevel="0" collapsed="false">
      <c r="A108" s="103" t="n">
        <v>46306</v>
      </c>
      <c r="B108" s="104" t="s">
        <v>33</v>
      </c>
      <c r="C108" s="104" t="s">
        <v>726</v>
      </c>
      <c r="D108" s="105" t="n">
        <v>0.1667</v>
      </c>
      <c r="E108" s="106" t="n">
        <v>55</v>
      </c>
      <c r="F108" s="107" t="n">
        <f aca="false">IF($C108="","",$D108*$E108)</f>
        <v>9.1685</v>
      </c>
      <c r="G108" s="107" t="n">
        <f aca="false">IF($C108="","",$D108*IFERROR(INDEX('تحليل التكلفة والسعر'!$C$2:$C$700,MATCH($C108,'تحليل التكلفة والسعر'!$B$2:$B$700,0)),0))</f>
        <v>4.52415465</v>
      </c>
      <c r="H108" s="104" t="s">
        <v>719</v>
      </c>
    </row>
    <row r="109" customFormat="false" ht="15" hidden="false" customHeight="false" outlineLevel="0" collapsed="false">
      <c r="A109" s="103" t="n">
        <v>46307</v>
      </c>
      <c r="B109" s="104" t="s">
        <v>33</v>
      </c>
      <c r="C109" s="104" t="s">
        <v>726</v>
      </c>
      <c r="D109" s="105" t="n">
        <v>0.1667</v>
      </c>
      <c r="E109" s="106" t="n">
        <v>55</v>
      </c>
      <c r="F109" s="107" t="n">
        <f aca="false">IF($C109="","",$D109*$E109)</f>
        <v>9.1685</v>
      </c>
      <c r="G109" s="107" t="n">
        <f aca="false">IF($C109="","",$D109*IFERROR(INDEX('تحليل التكلفة والسعر'!$C$2:$C$700,MATCH($C109,'تحليل التكلفة والسعر'!$B$2:$B$700,0)),0))</f>
        <v>4.52415465</v>
      </c>
      <c r="H109" s="104" t="s">
        <v>719</v>
      </c>
    </row>
    <row r="110" customFormat="false" ht="15" hidden="false" customHeight="false" outlineLevel="0" collapsed="false">
      <c r="A110" s="103" t="n">
        <v>46296</v>
      </c>
      <c r="B110" s="104" t="s">
        <v>33</v>
      </c>
      <c r="C110" s="104" t="s">
        <v>727</v>
      </c>
      <c r="D110" s="105" t="n">
        <v>0.5</v>
      </c>
      <c r="E110" s="106" t="n">
        <v>42.5</v>
      </c>
      <c r="F110" s="107" t="n">
        <f aca="false">IF($C110="","",$D110*$E110)</f>
        <v>21.25</v>
      </c>
      <c r="G110" s="107" t="n">
        <f aca="false">IF($C110="","",$D110*IFERROR(INDEX('تحليل التكلفة والسعر'!$C$2:$C$700,MATCH($C110,'تحليل التكلفة والسعر'!$B$2:$B$700,0)),0))</f>
        <v>10</v>
      </c>
      <c r="H110" s="104" t="s">
        <v>719</v>
      </c>
    </row>
    <row r="111" customFormat="false" ht="15" hidden="false" customHeight="false" outlineLevel="0" collapsed="false">
      <c r="A111" s="103" t="n">
        <v>46297</v>
      </c>
      <c r="B111" s="104" t="s">
        <v>33</v>
      </c>
      <c r="C111" s="104" t="s">
        <v>727</v>
      </c>
      <c r="D111" s="105" t="n">
        <v>0.5</v>
      </c>
      <c r="E111" s="106" t="n">
        <v>42.5</v>
      </c>
      <c r="F111" s="107" t="n">
        <f aca="false">IF($C111="","",$D111*$E111)</f>
        <v>21.25</v>
      </c>
      <c r="G111" s="107" t="n">
        <f aca="false">IF($C111="","",$D111*IFERROR(INDEX('تحليل التكلفة والسعر'!$C$2:$C$700,MATCH($C111,'تحليل التكلفة والسعر'!$B$2:$B$700,0)),0))</f>
        <v>10</v>
      </c>
      <c r="H111" s="104" t="s">
        <v>719</v>
      </c>
    </row>
    <row r="112" customFormat="false" ht="15" hidden="false" customHeight="false" outlineLevel="0" collapsed="false">
      <c r="A112" s="103" t="n">
        <v>46298</v>
      </c>
      <c r="B112" s="104" t="s">
        <v>33</v>
      </c>
      <c r="C112" s="104" t="s">
        <v>727</v>
      </c>
      <c r="D112" s="105" t="n">
        <v>0.5</v>
      </c>
      <c r="E112" s="106" t="n">
        <v>42.5</v>
      </c>
      <c r="F112" s="107" t="n">
        <f aca="false">IF($C112="","",$D112*$E112)</f>
        <v>21.25</v>
      </c>
      <c r="G112" s="107" t="n">
        <f aca="false">IF($C112="","",$D112*IFERROR(INDEX('تحليل التكلفة والسعر'!$C$2:$C$700,MATCH($C112,'تحليل التكلفة والسعر'!$B$2:$B$700,0)),0))</f>
        <v>10</v>
      </c>
      <c r="H112" s="104" t="s">
        <v>719</v>
      </c>
    </row>
    <row r="113" customFormat="false" ht="15" hidden="false" customHeight="false" outlineLevel="0" collapsed="false">
      <c r="A113" s="103" t="n">
        <v>46299</v>
      </c>
      <c r="B113" s="104" t="s">
        <v>33</v>
      </c>
      <c r="C113" s="104" t="s">
        <v>727</v>
      </c>
      <c r="D113" s="105" t="n">
        <v>0.5</v>
      </c>
      <c r="E113" s="106" t="n">
        <v>42.5</v>
      </c>
      <c r="F113" s="107" t="n">
        <f aca="false">IF($C113="","",$D113*$E113)</f>
        <v>21.25</v>
      </c>
      <c r="G113" s="107" t="n">
        <f aca="false">IF($C113="","",$D113*IFERROR(INDEX('تحليل التكلفة والسعر'!$C$2:$C$700,MATCH($C113,'تحليل التكلفة والسعر'!$B$2:$B$700,0)),0))</f>
        <v>10</v>
      </c>
      <c r="H113" s="104" t="s">
        <v>719</v>
      </c>
    </row>
    <row r="114" customFormat="false" ht="15" hidden="false" customHeight="false" outlineLevel="0" collapsed="false">
      <c r="A114" s="103" t="n">
        <v>46300</v>
      </c>
      <c r="B114" s="104" t="s">
        <v>33</v>
      </c>
      <c r="C114" s="104" t="s">
        <v>727</v>
      </c>
      <c r="D114" s="105" t="n">
        <v>0.5</v>
      </c>
      <c r="E114" s="106" t="n">
        <v>42.5</v>
      </c>
      <c r="F114" s="107" t="n">
        <f aca="false">IF($C114="","",$D114*$E114)</f>
        <v>21.25</v>
      </c>
      <c r="G114" s="107" t="n">
        <f aca="false">IF($C114="","",$D114*IFERROR(INDEX('تحليل التكلفة والسعر'!$C$2:$C$700,MATCH($C114,'تحليل التكلفة والسعر'!$B$2:$B$700,0)),0))</f>
        <v>10</v>
      </c>
      <c r="H114" s="104" t="s">
        <v>719</v>
      </c>
    </row>
    <row r="115" customFormat="false" ht="15" hidden="false" customHeight="false" outlineLevel="0" collapsed="false">
      <c r="A115" s="103" t="n">
        <v>46301</v>
      </c>
      <c r="B115" s="104" t="s">
        <v>33</v>
      </c>
      <c r="C115" s="104" t="s">
        <v>727</v>
      </c>
      <c r="D115" s="105" t="n">
        <v>0.5</v>
      </c>
      <c r="E115" s="106" t="n">
        <v>42.5</v>
      </c>
      <c r="F115" s="107" t="n">
        <f aca="false">IF($C115="","",$D115*$E115)</f>
        <v>21.25</v>
      </c>
      <c r="G115" s="107" t="n">
        <f aca="false">IF($C115="","",$D115*IFERROR(INDEX('تحليل التكلفة والسعر'!$C$2:$C$700,MATCH($C115,'تحليل التكلفة والسعر'!$B$2:$B$700,0)),0))</f>
        <v>10</v>
      </c>
      <c r="H115" s="104" t="s">
        <v>719</v>
      </c>
    </row>
    <row r="116" customFormat="false" ht="15" hidden="false" customHeight="false" outlineLevel="0" collapsed="false">
      <c r="A116" s="103" t="n">
        <v>46302</v>
      </c>
      <c r="B116" s="104" t="s">
        <v>33</v>
      </c>
      <c r="C116" s="104" t="s">
        <v>727</v>
      </c>
      <c r="D116" s="105" t="n">
        <v>0.5</v>
      </c>
      <c r="E116" s="106" t="n">
        <v>42.5</v>
      </c>
      <c r="F116" s="107" t="n">
        <f aca="false">IF($C116="","",$D116*$E116)</f>
        <v>21.25</v>
      </c>
      <c r="G116" s="107" t="n">
        <f aca="false">IF($C116="","",$D116*IFERROR(INDEX('تحليل التكلفة والسعر'!$C$2:$C$700,MATCH($C116,'تحليل التكلفة والسعر'!$B$2:$B$700,0)),0))</f>
        <v>10</v>
      </c>
      <c r="H116" s="104" t="s">
        <v>719</v>
      </c>
    </row>
    <row r="117" customFormat="false" ht="15" hidden="false" customHeight="false" outlineLevel="0" collapsed="false">
      <c r="A117" s="103" t="n">
        <v>46303</v>
      </c>
      <c r="B117" s="104" t="s">
        <v>33</v>
      </c>
      <c r="C117" s="104" t="s">
        <v>727</v>
      </c>
      <c r="D117" s="105" t="n">
        <v>0.5</v>
      </c>
      <c r="E117" s="106" t="n">
        <v>42.5</v>
      </c>
      <c r="F117" s="107" t="n">
        <f aca="false">IF($C117="","",$D117*$E117)</f>
        <v>21.25</v>
      </c>
      <c r="G117" s="107" t="n">
        <f aca="false">IF($C117="","",$D117*IFERROR(INDEX('تحليل التكلفة والسعر'!$C$2:$C$700,MATCH($C117,'تحليل التكلفة والسعر'!$B$2:$B$700,0)),0))</f>
        <v>10</v>
      </c>
      <c r="H117" s="104" t="s">
        <v>719</v>
      </c>
    </row>
    <row r="118" customFormat="false" ht="15" hidden="false" customHeight="false" outlineLevel="0" collapsed="false">
      <c r="A118" s="103" t="n">
        <v>46304</v>
      </c>
      <c r="B118" s="104" t="s">
        <v>33</v>
      </c>
      <c r="C118" s="104" t="s">
        <v>727</v>
      </c>
      <c r="D118" s="105" t="n">
        <v>0.5</v>
      </c>
      <c r="E118" s="106" t="n">
        <v>42.5</v>
      </c>
      <c r="F118" s="107" t="n">
        <f aca="false">IF($C118="","",$D118*$E118)</f>
        <v>21.25</v>
      </c>
      <c r="G118" s="107" t="n">
        <f aca="false">IF($C118="","",$D118*IFERROR(INDEX('تحليل التكلفة والسعر'!$C$2:$C$700,MATCH($C118,'تحليل التكلفة والسعر'!$B$2:$B$700,0)),0))</f>
        <v>10</v>
      </c>
      <c r="H118" s="104" t="s">
        <v>719</v>
      </c>
    </row>
    <row r="119" customFormat="false" ht="15" hidden="false" customHeight="false" outlineLevel="0" collapsed="false">
      <c r="A119" s="103" t="n">
        <v>46305</v>
      </c>
      <c r="B119" s="104" t="s">
        <v>33</v>
      </c>
      <c r="C119" s="104" t="s">
        <v>727</v>
      </c>
      <c r="D119" s="105" t="n">
        <v>0.5</v>
      </c>
      <c r="E119" s="106" t="n">
        <v>42.5</v>
      </c>
      <c r="F119" s="107" t="n">
        <f aca="false">IF($C119="","",$D119*$E119)</f>
        <v>21.25</v>
      </c>
      <c r="G119" s="107" t="n">
        <f aca="false">IF($C119="","",$D119*IFERROR(INDEX('تحليل التكلفة والسعر'!$C$2:$C$700,MATCH($C119,'تحليل التكلفة والسعر'!$B$2:$B$700,0)),0))</f>
        <v>10</v>
      </c>
      <c r="H119" s="104" t="s">
        <v>719</v>
      </c>
    </row>
    <row r="120" customFormat="false" ht="15" hidden="false" customHeight="false" outlineLevel="0" collapsed="false">
      <c r="A120" s="103" t="n">
        <v>46306</v>
      </c>
      <c r="B120" s="104" t="s">
        <v>33</v>
      </c>
      <c r="C120" s="104" t="s">
        <v>727</v>
      </c>
      <c r="D120" s="105" t="n">
        <v>0.5</v>
      </c>
      <c r="E120" s="106" t="n">
        <v>42.5</v>
      </c>
      <c r="F120" s="107" t="n">
        <f aca="false">IF($C120="","",$D120*$E120)</f>
        <v>21.25</v>
      </c>
      <c r="G120" s="107" t="n">
        <f aca="false">IF($C120="","",$D120*IFERROR(INDEX('تحليل التكلفة والسعر'!$C$2:$C$700,MATCH($C120,'تحليل التكلفة والسعر'!$B$2:$B$700,0)),0))</f>
        <v>10</v>
      </c>
      <c r="H120" s="104" t="s">
        <v>719</v>
      </c>
    </row>
    <row r="121" customFormat="false" ht="15" hidden="false" customHeight="false" outlineLevel="0" collapsed="false">
      <c r="A121" s="103" t="n">
        <v>46307</v>
      </c>
      <c r="B121" s="104" t="s">
        <v>33</v>
      </c>
      <c r="C121" s="104" t="s">
        <v>727</v>
      </c>
      <c r="D121" s="105" t="n">
        <v>0.5</v>
      </c>
      <c r="E121" s="106" t="n">
        <v>42.5</v>
      </c>
      <c r="F121" s="107" t="n">
        <f aca="false">IF($C121="","",$D121*$E121)</f>
        <v>21.25</v>
      </c>
      <c r="G121" s="107" t="n">
        <f aca="false">IF($C121="","",$D121*IFERROR(INDEX('تحليل التكلفة والسعر'!$C$2:$C$700,MATCH($C121,'تحليل التكلفة والسعر'!$B$2:$B$700,0)),0))</f>
        <v>10</v>
      </c>
      <c r="H121" s="104" t="s">
        <v>719</v>
      </c>
    </row>
    <row r="122" customFormat="false" ht="15" hidden="false" customHeight="false" outlineLevel="0" collapsed="false">
      <c r="A122" s="103" t="n">
        <v>46296</v>
      </c>
      <c r="B122" s="104" t="s">
        <v>33</v>
      </c>
      <c r="C122" s="104" t="s">
        <v>728</v>
      </c>
      <c r="D122" s="105" t="n">
        <v>0.0833</v>
      </c>
      <c r="E122" s="106" t="n">
        <v>55</v>
      </c>
      <c r="F122" s="107" t="n">
        <f aca="false">IF($C122="","",$D122*$E122)</f>
        <v>4.5815</v>
      </c>
      <c r="G122" s="107" t="n">
        <f aca="false">IF($C122="","",$D122*IFERROR(INDEX('تحليل التكلفة والسعر'!$C$2:$C$700,MATCH($C122,'تحليل التكلفة والسعر'!$B$2:$B$700,0)),0))</f>
        <v>2.0825</v>
      </c>
      <c r="H122" s="104" t="s">
        <v>719</v>
      </c>
    </row>
    <row r="123" customFormat="false" ht="15" hidden="false" customHeight="false" outlineLevel="0" collapsed="false">
      <c r="A123" s="103" t="n">
        <v>46297</v>
      </c>
      <c r="B123" s="104" t="s">
        <v>33</v>
      </c>
      <c r="C123" s="104" t="s">
        <v>728</v>
      </c>
      <c r="D123" s="105" t="n">
        <v>0.0833</v>
      </c>
      <c r="E123" s="106" t="n">
        <v>55</v>
      </c>
      <c r="F123" s="107" t="n">
        <f aca="false">IF($C123="","",$D123*$E123)</f>
        <v>4.5815</v>
      </c>
      <c r="G123" s="107" t="n">
        <f aca="false">IF($C123="","",$D123*IFERROR(INDEX('تحليل التكلفة والسعر'!$C$2:$C$700,MATCH($C123,'تحليل التكلفة والسعر'!$B$2:$B$700,0)),0))</f>
        <v>2.0825</v>
      </c>
      <c r="H123" s="104" t="s">
        <v>719</v>
      </c>
    </row>
    <row r="124" customFormat="false" ht="15" hidden="false" customHeight="false" outlineLevel="0" collapsed="false">
      <c r="A124" s="103" t="n">
        <v>46298</v>
      </c>
      <c r="B124" s="104" t="s">
        <v>33</v>
      </c>
      <c r="C124" s="104" t="s">
        <v>728</v>
      </c>
      <c r="D124" s="105" t="n">
        <v>0.0833</v>
      </c>
      <c r="E124" s="106" t="n">
        <v>55</v>
      </c>
      <c r="F124" s="107" t="n">
        <f aca="false">IF($C124="","",$D124*$E124)</f>
        <v>4.5815</v>
      </c>
      <c r="G124" s="107" t="n">
        <f aca="false">IF($C124="","",$D124*IFERROR(INDEX('تحليل التكلفة والسعر'!$C$2:$C$700,MATCH($C124,'تحليل التكلفة والسعر'!$B$2:$B$700,0)),0))</f>
        <v>2.0825</v>
      </c>
      <c r="H124" s="104" t="s">
        <v>719</v>
      </c>
    </row>
    <row r="125" customFormat="false" ht="15" hidden="false" customHeight="false" outlineLevel="0" collapsed="false">
      <c r="A125" s="103" t="n">
        <v>46299</v>
      </c>
      <c r="B125" s="104" t="s">
        <v>33</v>
      </c>
      <c r="C125" s="104" t="s">
        <v>728</v>
      </c>
      <c r="D125" s="105" t="n">
        <v>0.0833</v>
      </c>
      <c r="E125" s="106" t="n">
        <v>55</v>
      </c>
      <c r="F125" s="107" t="n">
        <f aca="false">IF($C125="","",$D125*$E125)</f>
        <v>4.5815</v>
      </c>
      <c r="G125" s="107" t="n">
        <f aca="false">IF($C125="","",$D125*IFERROR(INDEX('تحليل التكلفة والسعر'!$C$2:$C$700,MATCH($C125,'تحليل التكلفة والسعر'!$B$2:$B$700,0)),0))</f>
        <v>2.0825</v>
      </c>
      <c r="H125" s="104" t="s">
        <v>719</v>
      </c>
    </row>
    <row r="126" customFormat="false" ht="15" hidden="false" customHeight="false" outlineLevel="0" collapsed="false">
      <c r="A126" s="103" t="n">
        <v>46300</v>
      </c>
      <c r="B126" s="104" t="s">
        <v>33</v>
      </c>
      <c r="C126" s="104" t="s">
        <v>728</v>
      </c>
      <c r="D126" s="105" t="n">
        <v>0.0833</v>
      </c>
      <c r="E126" s="106" t="n">
        <v>55</v>
      </c>
      <c r="F126" s="107" t="n">
        <f aca="false">IF($C126="","",$D126*$E126)</f>
        <v>4.5815</v>
      </c>
      <c r="G126" s="107" t="n">
        <f aca="false">IF($C126="","",$D126*IFERROR(INDEX('تحليل التكلفة والسعر'!$C$2:$C$700,MATCH($C126,'تحليل التكلفة والسعر'!$B$2:$B$700,0)),0))</f>
        <v>2.0825</v>
      </c>
      <c r="H126" s="104" t="s">
        <v>719</v>
      </c>
    </row>
    <row r="127" customFormat="false" ht="15" hidden="false" customHeight="false" outlineLevel="0" collapsed="false">
      <c r="A127" s="103" t="n">
        <v>46301</v>
      </c>
      <c r="B127" s="104" t="s">
        <v>33</v>
      </c>
      <c r="C127" s="104" t="s">
        <v>728</v>
      </c>
      <c r="D127" s="105" t="n">
        <v>0.0833</v>
      </c>
      <c r="E127" s="106" t="n">
        <v>55</v>
      </c>
      <c r="F127" s="107" t="n">
        <f aca="false">IF($C127="","",$D127*$E127)</f>
        <v>4.5815</v>
      </c>
      <c r="G127" s="107" t="n">
        <f aca="false">IF($C127="","",$D127*IFERROR(INDEX('تحليل التكلفة والسعر'!$C$2:$C$700,MATCH($C127,'تحليل التكلفة والسعر'!$B$2:$B$700,0)),0))</f>
        <v>2.0825</v>
      </c>
      <c r="H127" s="104" t="s">
        <v>719</v>
      </c>
    </row>
    <row r="128" customFormat="false" ht="15" hidden="false" customHeight="false" outlineLevel="0" collapsed="false">
      <c r="A128" s="103" t="n">
        <v>46302</v>
      </c>
      <c r="B128" s="104" t="s">
        <v>33</v>
      </c>
      <c r="C128" s="104" t="s">
        <v>728</v>
      </c>
      <c r="D128" s="105" t="n">
        <v>0.0833</v>
      </c>
      <c r="E128" s="106" t="n">
        <v>55</v>
      </c>
      <c r="F128" s="107" t="n">
        <f aca="false">IF($C128="","",$D128*$E128)</f>
        <v>4.5815</v>
      </c>
      <c r="G128" s="107" t="n">
        <f aca="false">IF($C128="","",$D128*IFERROR(INDEX('تحليل التكلفة والسعر'!$C$2:$C$700,MATCH($C128,'تحليل التكلفة والسعر'!$B$2:$B$700,0)),0))</f>
        <v>2.0825</v>
      </c>
      <c r="H128" s="104" t="s">
        <v>719</v>
      </c>
    </row>
    <row r="129" customFormat="false" ht="15" hidden="false" customHeight="false" outlineLevel="0" collapsed="false">
      <c r="A129" s="103" t="n">
        <v>46303</v>
      </c>
      <c r="B129" s="104" t="s">
        <v>33</v>
      </c>
      <c r="C129" s="104" t="s">
        <v>728</v>
      </c>
      <c r="D129" s="105" t="n">
        <v>0.0833</v>
      </c>
      <c r="E129" s="106" t="n">
        <v>55</v>
      </c>
      <c r="F129" s="107" t="n">
        <f aca="false">IF($C129="","",$D129*$E129)</f>
        <v>4.5815</v>
      </c>
      <c r="G129" s="107" t="n">
        <f aca="false">IF($C129="","",$D129*IFERROR(INDEX('تحليل التكلفة والسعر'!$C$2:$C$700,MATCH($C129,'تحليل التكلفة والسعر'!$B$2:$B$700,0)),0))</f>
        <v>2.0825</v>
      </c>
      <c r="H129" s="104" t="s">
        <v>719</v>
      </c>
    </row>
    <row r="130" customFormat="false" ht="15" hidden="false" customHeight="false" outlineLevel="0" collapsed="false">
      <c r="A130" s="103" t="n">
        <v>46304</v>
      </c>
      <c r="B130" s="104" t="s">
        <v>33</v>
      </c>
      <c r="C130" s="104" t="s">
        <v>728</v>
      </c>
      <c r="D130" s="105" t="n">
        <v>0.0833</v>
      </c>
      <c r="E130" s="106" t="n">
        <v>55</v>
      </c>
      <c r="F130" s="107" t="n">
        <f aca="false">IF($C130="","",$D130*$E130)</f>
        <v>4.5815</v>
      </c>
      <c r="G130" s="107" t="n">
        <f aca="false">IF($C130="","",$D130*IFERROR(INDEX('تحليل التكلفة والسعر'!$C$2:$C$700,MATCH($C130,'تحليل التكلفة والسعر'!$B$2:$B$700,0)),0))</f>
        <v>2.0825</v>
      </c>
      <c r="H130" s="104" t="s">
        <v>719</v>
      </c>
    </row>
    <row r="131" customFormat="false" ht="15" hidden="false" customHeight="false" outlineLevel="0" collapsed="false">
      <c r="A131" s="103" t="n">
        <v>46305</v>
      </c>
      <c r="B131" s="104" t="s">
        <v>33</v>
      </c>
      <c r="C131" s="104" t="s">
        <v>728</v>
      </c>
      <c r="D131" s="105" t="n">
        <v>0.0833</v>
      </c>
      <c r="E131" s="106" t="n">
        <v>55</v>
      </c>
      <c r="F131" s="107" t="n">
        <f aca="false">IF($C131="","",$D131*$E131)</f>
        <v>4.5815</v>
      </c>
      <c r="G131" s="107" t="n">
        <f aca="false">IF($C131="","",$D131*IFERROR(INDEX('تحليل التكلفة والسعر'!$C$2:$C$700,MATCH($C131,'تحليل التكلفة والسعر'!$B$2:$B$700,0)),0))</f>
        <v>2.0825</v>
      </c>
      <c r="H131" s="104" t="s">
        <v>719</v>
      </c>
    </row>
    <row r="132" customFormat="false" ht="15" hidden="false" customHeight="false" outlineLevel="0" collapsed="false">
      <c r="A132" s="103" t="n">
        <v>46306</v>
      </c>
      <c r="B132" s="104" t="s">
        <v>33</v>
      </c>
      <c r="C132" s="104" t="s">
        <v>728</v>
      </c>
      <c r="D132" s="105" t="n">
        <v>0.0833</v>
      </c>
      <c r="E132" s="106" t="n">
        <v>55</v>
      </c>
      <c r="F132" s="107" t="n">
        <f aca="false">IF($C132="","",$D132*$E132)</f>
        <v>4.5815</v>
      </c>
      <c r="G132" s="107" t="n">
        <f aca="false">IF($C132="","",$D132*IFERROR(INDEX('تحليل التكلفة والسعر'!$C$2:$C$700,MATCH($C132,'تحليل التكلفة والسعر'!$B$2:$B$700,0)),0))</f>
        <v>2.0825</v>
      </c>
      <c r="H132" s="104" t="s">
        <v>719</v>
      </c>
    </row>
    <row r="133" customFormat="false" ht="15" hidden="false" customHeight="false" outlineLevel="0" collapsed="false">
      <c r="A133" s="103" t="n">
        <v>46307</v>
      </c>
      <c r="B133" s="104" t="s">
        <v>33</v>
      </c>
      <c r="C133" s="104" t="s">
        <v>728</v>
      </c>
      <c r="D133" s="105" t="n">
        <v>0.0833</v>
      </c>
      <c r="E133" s="106" t="n">
        <v>55</v>
      </c>
      <c r="F133" s="107" t="n">
        <f aca="false">IF($C133="","",$D133*$E133)</f>
        <v>4.5815</v>
      </c>
      <c r="G133" s="107" t="n">
        <f aca="false">IF($C133="","",$D133*IFERROR(INDEX('تحليل التكلفة والسعر'!$C$2:$C$700,MATCH($C133,'تحليل التكلفة والسعر'!$B$2:$B$700,0)),0))</f>
        <v>2.0825</v>
      </c>
      <c r="H133" s="104" t="s">
        <v>719</v>
      </c>
    </row>
    <row r="134" customFormat="false" ht="15" hidden="false" customHeight="false" outlineLevel="0" collapsed="false">
      <c r="A134" s="103" t="n">
        <v>46296</v>
      </c>
      <c r="B134" s="104" t="s">
        <v>33</v>
      </c>
      <c r="C134" s="104" t="s">
        <v>729</v>
      </c>
      <c r="D134" s="105" t="n">
        <v>0.0833</v>
      </c>
      <c r="E134" s="106" t="n">
        <v>40</v>
      </c>
      <c r="F134" s="107" t="n">
        <f aca="false">IF($C134="","",$D134*$E134)</f>
        <v>3.332</v>
      </c>
      <c r="G134" s="107" t="n">
        <f aca="false">IF($C134="","",$D134*IFERROR(INDEX('تحليل التكلفة والسعر'!$C$2:$C$700,MATCH($C134,'تحليل التكلفة والسعر'!$B$2:$B$700,0)),0))</f>
        <v>1.45775</v>
      </c>
      <c r="H134" s="104" t="s">
        <v>719</v>
      </c>
    </row>
    <row r="135" customFormat="false" ht="15" hidden="false" customHeight="false" outlineLevel="0" collapsed="false">
      <c r="A135" s="103" t="n">
        <v>46297</v>
      </c>
      <c r="B135" s="104" t="s">
        <v>33</v>
      </c>
      <c r="C135" s="104" t="s">
        <v>729</v>
      </c>
      <c r="D135" s="105" t="n">
        <v>0.0833</v>
      </c>
      <c r="E135" s="106" t="n">
        <v>40</v>
      </c>
      <c r="F135" s="107" t="n">
        <f aca="false">IF($C135="","",$D135*$E135)</f>
        <v>3.332</v>
      </c>
      <c r="G135" s="107" t="n">
        <f aca="false">IF($C135="","",$D135*IFERROR(INDEX('تحليل التكلفة والسعر'!$C$2:$C$700,MATCH($C135,'تحليل التكلفة والسعر'!$B$2:$B$700,0)),0))</f>
        <v>1.45775</v>
      </c>
      <c r="H135" s="104" t="s">
        <v>719</v>
      </c>
    </row>
    <row r="136" customFormat="false" ht="15" hidden="false" customHeight="false" outlineLevel="0" collapsed="false">
      <c r="A136" s="103" t="n">
        <v>46298</v>
      </c>
      <c r="B136" s="104" t="s">
        <v>33</v>
      </c>
      <c r="C136" s="104" t="s">
        <v>729</v>
      </c>
      <c r="D136" s="105" t="n">
        <v>0.0833</v>
      </c>
      <c r="E136" s="106" t="n">
        <v>40</v>
      </c>
      <c r="F136" s="107" t="n">
        <f aca="false">IF($C136="","",$D136*$E136)</f>
        <v>3.332</v>
      </c>
      <c r="G136" s="107" t="n">
        <f aca="false">IF($C136="","",$D136*IFERROR(INDEX('تحليل التكلفة والسعر'!$C$2:$C$700,MATCH($C136,'تحليل التكلفة والسعر'!$B$2:$B$700,0)),0))</f>
        <v>1.45775</v>
      </c>
      <c r="H136" s="104" t="s">
        <v>719</v>
      </c>
    </row>
    <row r="137" customFormat="false" ht="15" hidden="false" customHeight="false" outlineLevel="0" collapsed="false">
      <c r="A137" s="103" t="n">
        <v>46299</v>
      </c>
      <c r="B137" s="104" t="s">
        <v>33</v>
      </c>
      <c r="C137" s="104" t="s">
        <v>729</v>
      </c>
      <c r="D137" s="105" t="n">
        <v>0.0833</v>
      </c>
      <c r="E137" s="106" t="n">
        <v>40</v>
      </c>
      <c r="F137" s="107" t="n">
        <f aca="false">IF($C137="","",$D137*$E137)</f>
        <v>3.332</v>
      </c>
      <c r="G137" s="107" t="n">
        <f aca="false">IF($C137="","",$D137*IFERROR(INDEX('تحليل التكلفة والسعر'!$C$2:$C$700,MATCH($C137,'تحليل التكلفة والسعر'!$B$2:$B$700,0)),0))</f>
        <v>1.45775</v>
      </c>
      <c r="H137" s="104" t="s">
        <v>719</v>
      </c>
    </row>
    <row r="138" customFormat="false" ht="15" hidden="false" customHeight="false" outlineLevel="0" collapsed="false">
      <c r="A138" s="103" t="n">
        <v>46300</v>
      </c>
      <c r="B138" s="104" t="s">
        <v>33</v>
      </c>
      <c r="C138" s="104" t="s">
        <v>729</v>
      </c>
      <c r="D138" s="105" t="n">
        <v>0.0833</v>
      </c>
      <c r="E138" s="106" t="n">
        <v>40</v>
      </c>
      <c r="F138" s="107" t="n">
        <f aca="false">IF($C138="","",$D138*$E138)</f>
        <v>3.332</v>
      </c>
      <c r="G138" s="107" t="n">
        <f aca="false">IF($C138="","",$D138*IFERROR(INDEX('تحليل التكلفة والسعر'!$C$2:$C$700,MATCH($C138,'تحليل التكلفة والسعر'!$B$2:$B$700,0)),0))</f>
        <v>1.45775</v>
      </c>
      <c r="H138" s="104" t="s">
        <v>719</v>
      </c>
    </row>
    <row r="139" customFormat="false" ht="15" hidden="false" customHeight="false" outlineLevel="0" collapsed="false">
      <c r="A139" s="103" t="n">
        <v>46301</v>
      </c>
      <c r="B139" s="104" t="s">
        <v>33</v>
      </c>
      <c r="C139" s="104" t="s">
        <v>729</v>
      </c>
      <c r="D139" s="105" t="n">
        <v>0.0833</v>
      </c>
      <c r="E139" s="106" t="n">
        <v>40</v>
      </c>
      <c r="F139" s="107" t="n">
        <f aca="false">IF($C139="","",$D139*$E139)</f>
        <v>3.332</v>
      </c>
      <c r="G139" s="107" t="n">
        <f aca="false">IF($C139="","",$D139*IFERROR(INDEX('تحليل التكلفة والسعر'!$C$2:$C$700,MATCH($C139,'تحليل التكلفة والسعر'!$B$2:$B$700,0)),0))</f>
        <v>1.45775</v>
      </c>
      <c r="H139" s="104" t="s">
        <v>719</v>
      </c>
    </row>
    <row r="140" customFormat="false" ht="15" hidden="false" customHeight="false" outlineLevel="0" collapsed="false">
      <c r="A140" s="103" t="n">
        <v>46302</v>
      </c>
      <c r="B140" s="104" t="s">
        <v>33</v>
      </c>
      <c r="C140" s="104" t="s">
        <v>729</v>
      </c>
      <c r="D140" s="105" t="n">
        <v>0.0833</v>
      </c>
      <c r="E140" s="106" t="n">
        <v>40</v>
      </c>
      <c r="F140" s="107" t="n">
        <f aca="false">IF($C140="","",$D140*$E140)</f>
        <v>3.332</v>
      </c>
      <c r="G140" s="107" t="n">
        <f aca="false">IF($C140="","",$D140*IFERROR(INDEX('تحليل التكلفة والسعر'!$C$2:$C$700,MATCH($C140,'تحليل التكلفة والسعر'!$B$2:$B$700,0)),0))</f>
        <v>1.45775</v>
      </c>
      <c r="H140" s="104" t="s">
        <v>719</v>
      </c>
    </row>
    <row r="141" customFormat="false" ht="15" hidden="false" customHeight="false" outlineLevel="0" collapsed="false">
      <c r="A141" s="103" t="n">
        <v>46303</v>
      </c>
      <c r="B141" s="104" t="s">
        <v>33</v>
      </c>
      <c r="C141" s="104" t="s">
        <v>729</v>
      </c>
      <c r="D141" s="105" t="n">
        <v>0.0833</v>
      </c>
      <c r="E141" s="106" t="n">
        <v>40</v>
      </c>
      <c r="F141" s="107" t="n">
        <f aca="false">IF($C141="","",$D141*$E141)</f>
        <v>3.332</v>
      </c>
      <c r="G141" s="107" t="n">
        <f aca="false">IF($C141="","",$D141*IFERROR(INDEX('تحليل التكلفة والسعر'!$C$2:$C$700,MATCH($C141,'تحليل التكلفة والسعر'!$B$2:$B$700,0)),0))</f>
        <v>1.45775</v>
      </c>
      <c r="H141" s="104" t="s">
        <v>719</v>
      </c>
    </row>
    <row r="142" customFormat="false" ht="15" hidden="false" customHeight="false" outlineLevel="0" collapsed="false">
      <c r="A142" s="103" t="n">
        <v>46304</v>
      </c>
      <c r="B142" s="104" t="s">
        <v>33</v>
      </c>
      <c r="C142" s="104" t="s">
        <v>729</v>
      </c>
      <c r="D142" s="105" t="n">
        <v>0.0833</v>
      </c>
      <c r="E142" s="106" t="n">
        <v>40</v>
      </c>
      <c r="F142" s="107" t="n">
        <f aca="false">IF($C142="","",$D142*$E142)</f>
        <v>3.332</v>
      </c>
      <c r="G142" s="107" t="n">
        <f aca="false">IF($C142="","",$D142*IFERROR(INDEX('تحليل التكلفة والسعر'!$C$2:$C$700,MATCH($C142,'تحليل التكلفة والسعر'!$B$2:$B$700,0)),0))</f>
        <v>1.45775</v>
      </c>
      <c r="H142" s="104" t="s">
        <v>719</v>
      </c>
    </row>
    <row r="143" customFormat="false" ht="15" hidden="false" customHeight="false" outlineLevel="0" collapsed="false">
      <c r="A143" s="103" t="n">
        <v>46305</v>
      </c>
      <c r="B143" s="104" t="s">
        <v>33</v>
      </c>
      <c r="C143" s="104" t="s">
        <v>729</v>
      </c>
      <c r="D143" s="105" t="n">
        <v>0.0833</v>
      </c>
      <c r="E143" s="106" t="n">
        <v>40</v>
      </c>
      <c r="F143" s="107" t="n">
        <f aca="false">IF($C143="","",$D143*$E143)</f>
        <v>3.332</v>
      </c>
      <c r="G143" s="107" t="n">
        <f aca="false">IF($C143="","",$D143*IFERROR(INDEX('تحليل التكلفة والسعر'!$C$2:$C$700,MATCH($C143,'تحليل التكلفة والسعر'!$B$2:$B$700,0)),0))</f>
        <v>1.45775</v>
      </c>
      <c r="H143" s="104" t="s">
        <v>719</v>
      </c>
    </row>
    <row r="144" customFormat="false" ht="15" hidden="false" customHeight="false" outlineLevel="0" collapsed="false">
      <c r="A144" s="103" t="n">
        <v>46306</v>
      </c>
      <c r="B144" s="104" t="s">
        <v>33</v>
      </c>
      <c r="C144" s="104" t="s">
        <v>729</v>
      </c>
      <c r="D144" s="105" t="n">
        <v>0.0833</v>
      </c>
      <c r="E144" s="106" t="n">
        <v>40</v>
      </c>
      <c r="F144" s="107" t="n">
        <f aca="false">IF($C144="","",$D144*$E144)</f>
        <v>3.332</v>
      </c>
      <c r="G144" s="107" t="n">
        <f aca="false">IF($C144="","",$D144*IFERROR(INDEX('تحليل التكلفة والسعر'!$C$2:$C$700,MATCH($C144,'تحليل التكلفة والسعر'!$B$2:$B$700,0)),0))</f>
        <v>1.45775</v>
      </c>
      <c r="H144" s="104" t="s">
        <v>719</v>
      </c>
    </row>
    <row r="145" customFormat="false" ht="15" hidden="false" customHeight="false" outlineLevel="0" collapsed="false">
      <c r="A145" s="103" t="n">
        <v>46307</v>
      </c>
      <c r="B145" s="104" t="s">
        <v>33</v>
      </c>
      <c r="C145" s="104" t="s">
        <v>729</v>
      </c>
      <c r="D145" s="105" t="n">
        <v>0.0833</v>
      </c>
      <c r="E145" s="106" t="n">
        <v>40</v>
      </c>
      <c r="F145" s="107" t="n">
        <f aca="false">IF($C145="","",$D145*$E145)</f>
        <v>3.332</v>
      </c>
      <c r="G145" s="107" t="n">
        <f aca="false">IF($C145="","",$D145*IFERROR(INDEX('تحليل التكلفة والسعر'!$C$2:$C$700,MATCH($C145,'تحليل التكلفة والسعر'!$B$2:$B$700,0)),0))</f>
        <v>1.45775</v>
      </c>
      <c r="H145" s="104" t="s">
        <v>719</v>
      </c>
    </row>
    <row r="146" customFormat="false" ht="15" hidden="false" customHeight="false" outlineLevel="0" collapsed="false">
      <c r="A146" s="103" t="n">
        <v>46296</v>
      </c>
      <c r="B146" s="104" t="s">
        <v>33</v>
      </c>
      <c r="C146" s="104" t="s">
        <v>730</v>
      </c>
      <c r="D146" s="105" t="n">
        <v>0.0833</v>
      </c>
      <c r="E146" s="106" t="n">
        <v>55</v>
      </c>
      <c r="F146" s="107" t="n">
        <f aca="false">IF($C146="","",$D146*$E146)</f>
        <v>4.5815</v>
      </c>
      <c r="G146" s="107" t="n">
        <f aca="false">IF($C146="","",$D146*IFERROR(INDEX('تحليل التكلفة والسعر'!$C$2:$C$700,MATCH($C146,'تحليل التكلفة والسعر'!$B$2:$B$700,0)),0))</f>
        <v>0.833</v>
      </c>
      <c r="H146" s="104" t="s">
        <v>719</v>
      </c>
    </row>
    <row r="147" customFormat="false" ht="15" hidden="false" customHeight="false" outlineLevel="0" collapsed="false">
      <c r="A147" s="103" t="n">
        <v>46297</v>
      </c>
      <c r="B147" s="104" t="s">
        <v>33</v>
      </c>
      <c r="C147" s="104" t="s">
        <v>730</v>
      </c>
      <c r="D147" s="105" t="n">
        <v>0.0833</v>
      </c>
      <c r="E147" s="106" t="n">
        <v>55</v>
      </c>
      <c r="F147" s="107" t="n">
        <f aca="false">IF($C147="","",$D147*$E147)</f>
        <v>4.5815</v>
      </c>
      <c r="G147" s="107" t="n">
        <f aca="false">IF($C147="","",$D147*IFERROR(INDEX('تحليل التكلفة والسعر'!$C$2:$C$700,MATCH($C147,'تحليل التكلفة والسعر'!$B$2:$B$700,0)),0))</f>
        <v>0.833</v>
      </c>
      <c r="H147" s="104" t="s">
        <v>719</v>
      </c>
    </row>
    <row r="148" customFormat="false" ht="15" hidden="false" customHeight="false" outlineLevel="0" collapsed="false">
      <c r="A148" s="103" t="n">
        <v>46298</v>
      </c>
      <c r="B148" s="104" t="s">
        <v>33</v>
      </c>
      <c r="C148" s="104" t="s">
        <v>730</v>
      </c>
      <c r="D148" s="105" t="n">
        <v>0.0833</v>
      </c>
      <c r="E148" s="106" t="n">
        <v>55</v>
      </c>
      <c r="F148" s="107" t="n">
        <f aca="false">IF($C148="","",$D148*$E148)</f>
        <v>4.5815</v>
      </c>
      <c r="G148" s="107" t="n">
        <f aca="false">IF($C148="","",$D148*IFERROR(INDEX('تحليل التكلفة والسعر'!$C$2:$C$700,MATCH($C148,'تحليل التكلفة والسعر'!$B$2:$B$700,0)),0))</f>
        <v>0.833</v>
      </c>
      <c r="H148" s="104" t="s">
        <v>719</v>
      </c>
    </row>
    <row r="149" customFormat="false" ht="15" hidden="false" customHeight="false" outlineLevel="0" collapsed="false">
      <c r="A149" s="103" t="n">
        <v>46299</v>
      </c>
      <c r="B149" s="104" t="s">
        <v>33</v>
      </c>
      <c r="C149" s="104" t="s">
        <v>730</v>
      </c>
      <c r="D149" s="105" t="n">
        <v>0.0833</v>
      </c>
      <c r="E149" s="106" t="n">
        <v>55</v>
      </c>
      <c r="F149" s="107" t="n">
        <f aca="false">IF($C149="","",$D149*$E149)</f>
        <v>4.5815</v>
      </c>
      <c r="G149" s="107" t="n">
        <f aca="false">IF($C149="","",$D149*IFERROR(INDEX('تحليل التكلفة والسعر'!$C$2:$C$700,MATCH($C149,'تحليل التكلفة والسعر'!$B$2:$B$700,0)),0))</f>
        <v>0.833</v>
      </c>
      <c r="H149" s="104" t="s">
        <v>719</v>
      </c>
    </row>
    <row r="150" customFormat="false" ht="15" hidden="false" customHeight="false" outlineLevel="0" collapsed="false">
      <c r="A150" s="103" t="n">
        <v>46300</v>
      </c>
      <c r="B150" s="104" t="s">
        <v>33</v>
      </c>
      <c r="C150" s="104" t="s">
        <v>730</v>
      </c>
      <c r="D150" s="105" t="n">
        <v>0.0833</v>
      </c>
      <c r="E150" s="106" t="n">
        <v>55</v>
      </c>
      <c r="F150" s="107" t="n">
        <f aca="false">IF($C150="","",$D150*$E150)</f>
        <v>4.5815</v>
      </c>
      <c r="G150" s="107" t="n">
        <f aca="false">IF($C150="","",$D150*IFERROR(INDEX('تحليل التكلفة والسعر'!$C$2:$C$700,MATCH($C150,'تحليل التكلفة والسعر'!$B$2:$B$700,0)),0))</f>
        <v>0.833</v>
      </c>
      <c r="H150" s="104" t="s">
        <v>719</v>
      </c>
    </row>
    <row r="151" customFormat="false" ht="15" hidden="false" customHeight="false" outlineLevel="0" collapsed="false">
      <c r="A151" s="103" t="n">
        <v>46301</v>
      </c>
      <c r="B151" s="104" t="s">
        <v>33</v>
      </c>
      <c r="C151" s="104" t="s">
        <v>730</v>
      </c>
      <c r="D151" s="105" t="n">
        <v>0.0833</v>
      </c>
      <c r="E151" s="106" t="n">
        <v>55</v>
      </c>
      <c r="F151" s="107" t="n">
        <f aca="false">IF($C151="","",$D151*$E151)</f>
        <v>4.5815</v>
      </c>
      <c r="G151" s="107" t="n">
        <f aca="false">IF($C151="","",$D151*IFERROR(INDEX('تحليل التكلفة والسعر'!$C$2:$C$700,MATCH($C151,'تحليل التكلفة والسعر'!$B$2:$B$700,0)),0))</f>
        <v>0.833</v>
      </c>
      <c r="H151" s="104" t="s">
        <v>719</v>
      </c>
    </row>
    <row r="152" customFormat="false" ht="15" hidden="false" customHeight="false" outlineLevel="0" collapsed="false">
      <c r="A152" s="103" t="n">
        <v>46302</v>
      </c>
      <c r="B152" s="104" t="s">
        <v>33</v>
      </c>
      <c r="C152" s="104" t="s">
        <v>730</v>
      </c>
      <c r="D152" s="105" t="n">
        <v>0.0833</v>
      </c>
      <c r="E152" s="106" t="n">
        <v>55</v>
      </c>
      <c r="F152" s="107" t="n">
        <f aca="false">IF($C152="","",$D152*$E152)</f>
        <v>4.5815</v>
      </c>
      <c r="G152" s="107" t="n">
        <f aca="false">IF($C152="","",$D152*IFERROR(INDEX('تحليل التكلفة والسعر'!$C$2:$C$700,MATCH($C152,'تحليل التكلفة والسعر'!$B$2:$B$700,0)),0))</f>
        <v>0.833</v>
      </c>
      <c r="H152" s="104" t="s">
        <v>719</v>
      </c>
    </row>
    <row r="153" customFormat="false" ht="15" hidden="false" customHeight="false" outlineLevel="0" collapsed="false">
      <c r="A153" s="103" t="n">
        <v>46303</v>
      </c>
      <c r="B153" s="104" t="s">
        <v>33</v>
      </c>
      <c r="C153" s="104" t="s">
        <v>730</v>
      </c>
      <c r="D153" s="105" t="n">
        <v>0.0833</v>
      </c>
      <c r="E153" s="106" t="n">
        <v>55</v>
      </c>
      <c r="F153" s="107" t="n">
        <f aca="false">IF($C153="","",$D153*$E153)</f>
        <v>4.5815</v>
      </c>
      <c r="G153" s="107" t="n">
        <f aca="false">IF($C153="","",$D153*IFERROR(INDEX('تحليل التكلفة والسعر'!$C$2:$C$700,MATCH($C153,'تحليل التكلفة والسعر'!$B$2:$B$700,0)),0))</f>
        <v>0.833</v>
      </c>
      <c r="H153" s="104" t="s">
        <v>719</v>
      </c>
    </row>
    <row r="154" customFormat="false" ht="15" hidden="false" customHeight="false" outlineLevel="0" collapsed="false">
      <c r="A154" s="103" t="n">
        <v>46304</v>
      </c>
      <c r="B154" s="104" t="s">
        <v>33</v>
      </c>
      <c r="C154" s="104" t="s">
        <v>730</v>
      </c>
      <c r="D154" s="105" t="n">
        <v>0.0833</v>
      </c>
      <c r="E154" s="106" t="n">
        <v>55</v>
      </c>
      <c r="F154" s="107" t="n">
        <f aca="false">IF($C154="","",$D154*$E154)</f>
        <v>4.5815</v>
      </c>
      <c r="G154" s="107" t="n">
        <f aca="false">IF($C154="","",$D154*IFERROR(INDEX('تحليل التكلفة والسعر'!$C$2:$C$700,MATCH($C154,'تحليل التكلفة والسعر'!$B$2:$B$700,0)),0))</f>
        <v>0.833</v>
      </c>
      <c r="H154" s="104" t="s">
        <v>719</v>
      </c>
    </row>
    <row r="155" customFormat="false" ht="15" hidden="false" customHeight="false" outlineLevel="0" collapsed="false">
      <c r="A155" s="103" t="n">
        <v>46305</v>
      </c>
      <c r="B155" s="104" t="s">
        <v>33</v>
      </c>
      <c r="C155" s="104" t="s">
        <v>730</v>
      </c>
      <c r="D155" s="105" t="n">
        <v>0.0833</v>
      </c>
      <c r="E155" s="106" t="n">
        <v>55</v>
      </c>
      <c r="F155" s="107" t="n">
        <f aca="false">IF($C155="","",$D155*$E155)</f>
        <v>4.5815</v>
      </c>
      <c r="G155" s="107" t="n">
        <f aca="false">IF($C155="","",$D155*IFERROR(INDEX('تحليل التكلفة والسعر'!$C$2:$C$700,MATCH($C155,'تحليل التكلفة والسعر'!$B$2:$B$700,0)),0))</f>
        <v>0.833</v>
      </c>
      <c r="H155" s="104" t="s">
        <v>719</v>
      </c>
    </row>
    <row r="156" customFormat="false" ht="15" hidden="false" customHeight="false" outlineLevel="0" collapsed="false">
      <c r="A156" s="103" t="n">
        <v>46306</v>
      </c>
      <c r="B156" s="104" t="s">
        <v>33</v>
      </c>
      <c r="C156" s="104" t="s">
        <v>730</v>
      </c>
      <c r="D156" s="105" t="n">
        <v>0.0833</v>
      </c>
      <c r="E156" s="106" t="n">
        <v>55</v>
      </c>
      <c r="F156" s="107" t="n">
        <f aca="false">IF($C156="","",$D156*$E156)</f>
        <v>4.5815</v>
      </c>
      <c r="G156" s="107" t="n">
        <f aca="false">IF($C156="","",$D156*IFERROR(INDEX('تحليل التكلفة والسعر'!$C$2:$C$700,MATCH($C156,'تحليل التكلفة والسعر'!$B$2:$B$700,0)),0))</f>
        <v>0.833</v>
      </c>
      <c r="H156" s="104" t="s">
        <v>719</v>
      </c>
    </row>
    <row r="157" customFormat="false" ht="15" hidden="false" customHeight="false" outlineLevel="0" collapsed="false">
      <c r="A157" s="103" t="n">
        <v>46307</v>
      </c>
      <c r="B157" s="104" t="s">
        <v>33</v>
      </c>
      <c r="C157" s="104" t="s">
        <v>730</v>
      </c>
      <c r="D157" s="105" t="n">
        <v>0.0833</v>
      </c>
      <c r="E157" s="106" t="n">
        <v>55</v>
      </c>
      <c r="F157" s="107" t="n">
        <f aca="false">IF($C157="","",$D157*$E157)</f>
        <v>4.5815</v>
      </c>
      <c r="G157" s="107" t="n">
        <f aca="false">IF($C157="","",$D157*IFERROR(INDEX('تحليل التكلفة والسعر'!$C$2:$C$700,MATCH($C157,'تحليل التكلفة والسعر'!$B$2:$B$700,0)),0))</f>
        <v>0.833</v>
      </c>
      <c r="H157" s="104" t="s">
        <v>719</v>
      </c>
    </row>
    <row r="158" customFormat="false" ht="15" hidden="false" customHeight="false" outlineLevel="0" collapsed="false">
      <c r="A158" s="103" t="n">
        <v>46296</v>
      </c>
      <c r="B158" s="104" t="s">
        <v>33</v>
      </c>
      <c r="C158" s="104" t="s">
        <v>731</v>
      </c>
      <c r="D158" s="105" t="n">
        <v>0.0833</v>
      </c>
      <c r="E158" s="106" t="n">
        <v>90</v>
      </c>
      <c r="F158" s="107" t="n">
        <f aca="false">IF($C158="","",$D158*$E158)</f>
        <v>7.497</v>
      </c>
      <c r="G158" s="107" t="n">
        <f aca="false">IF($C158="","",$D158*IFERROR(INDEX('تحليل التكلفة والسعر'!$C$2:$C$700,MATCH($C158,'تحليل التكلفة والسعر'!$B$2:$B$700,0)),0))</f>
        <v>3.7485</v>
      </c>
      <c r="H158" s="104" t="s">
        <v>719</v>
      </c>
    </row>
    <row r="159" customFormat="false" ht="15" hidden="false" customHeight="false" outlineLevel="0" collapsed="false">
      <c r="A159" s="103" t="n">
        <v>46297</v>
      </c>
      <c r="B159" s="104" t="s">
        <v>33</v>
      </c>
      <c r="C159" s="104" t="s">
        <v>731</v>
      </c>
      <c r="D159" s="105" t="n">
        <v>0.0833</v>
      </c>
      <c r="E159" s="106" t="n">
        <v>90</v>
      </c>
      <c r="F159" s="107" t="n">
        <f aca="false">IF($C159="","",$D159*$E159)</f>
        <v>7.497</v>
      </c>
      <c r="G159" s="107" t="n">
        <f aca="false">IF($C159="","",$D159*IFERROR(INDEX('تحليل التكلفة والسعر'!$C$2:$C$700,MATCH($C159,'تحليل التكلفة والسعر'!$B$2:$B$700,0)),0))</f>
        <v>3.7485</v>
      </c>
      <c r="H159" s="104" t="s">
        <v>719</v>
      </c>
    </row>
    <row r="160" customFormat="false" ht="15" hidden="false" customHeight="false" outlineLevel="0" collapsed="false">
      <c r="A160" s="103" t="n">
        <v>46298</v>
      </c>
      <c r="B160" s="104" t="s">
        <v>33</v>
      </c>
      <c r="C160" s="104" t="s">
        <v>731</v>
      </c>
      <c r="D160" s="105" t="n">
        <v>0.0833</v>
      </c>
      <c r="E160" s="106" t="n">
        <v>90</v>
      </c>
      <c r="F160" s="107" t="n">
        <f aca="false">IF($C160="","",$D160*$E160)</f>
        <v>7.497</v>
      </c>
      <c r="G160" s="107" t="n">
        <f aca="false">IF($C160="","",$D160*IFERROR(INDEX('تحليل التكلفة والسعر'!$C$2:$C$700,MATCH($C160,'تحليل التكلفة والسعر'!$B$2:$B$700,0)),0))</f>
        <v>3.7485</v>
      </c>
      <c r="H160" s="104" t="s">
        <v>719</v>
      </c>
    </row>
    <row r="161" customFormat="false" ht="15" hidden="false" customHeight="false" outlineLevel="0" collapsed="false">
      <c r="A161" s="103" t="n">
        <v>46299</v>
      </c>
      <c r="B161" s="104" t="s">
        <v>33</v>
      </c>
      <c r="C161" s="104" t="s">
        <v>731</v>
      </c>
      <c r="D161" s="105" t="n">
        <v>0.0833</v>
      </c>
      <c r="E161" s="106" t="n">
        <v>90</v>
      </c>
      <c r="F161" s="107" t="n">
        <f aca="false">IF($C161="","",$D161*$E161)</f>
        <v>7.497</v>
      </c>
      <c r="G161" s="107" t="n">
        <f aca="false">IF($C161="","",$D161*IFERROR(INDEX('تحليل التكلفة والسعر'!$C$2:$C$700,MATCH($C161,'تحليل التكلفة والسعر'!$B$2:$B$700,0)),0))</f>
        <v>3.7485</v>
      </c>
      <c r="H161" s="104" t="s">
        <v>719</v>
      </c>
    </row>
    <row r="162" customFormat="false" ht="15" hidden="false" customHeight="false" outlineLevel="0" collapsed="false">
      <c r="A162" s="103" t="n">
        <v>46300</v>
      </c>
      <c r="B162" s="104" t="s">
        <v>33</v>
      </c>
      <c r="C162" s="104" t="s">
        <v>731</v>
      </c>
      <c r="D162" s="105" t="n">
        <v>0.0833</v>
      </c>
      <c r="E162" s="106" t="n">
        <v>90</v>
      </c>
      <c r="F162" s="107" t="n">
        <f aca="false">IF($C162="","",$D162*$E162)</f>
        <v>7.497</v>
      </c>
      <c r="G162" s="107" t="n">
        <f aca="false">IF($C162="","",$D162*IFERROR(INDEX('تحليل التكلفة والسعر'!$C$2:$C$700,MATCH($C162,'تحليل التكلفة والسعر'!$B$2:$B$700,0)),0))</f>
        <v>3.7485</v>
      </c>
      <c r="H162" s="104" t="s">
        <v>719</v>
      </c>
    </row>
    <row r="163" customFormat="false" ht="15" hidden="false" customHeight="false" outlineLevel="0" collapsed="false">
      <c r="A163" s="103" t="n">
        <v>46301</v>
      </c>
      <c r="B163" s="104" t="s">
        <v>33</v>
      </c>
      <c r="C163" s="104" t="s">
        <v>731</v>
      </c>
      <c r="D163" s="105" t="n">
        <v>0.0833</v>
      </c>
      <c r="E163" s="106" t="n">
        <v>90</v>
      </c>
      <c r="F163" s="107" t="n">
        <f aca="false">IF($C163="","",$D163*$E163)</f>
        <v>7.497</v>
      </c>
      <c r="G163" s="107" t="n">
        <f aca="false">IF($C163="","",$D163*IFERROR(INDEX('تحليل التكلفة والسعر'!$C$2:$C$700,MATCH($C163,'تحليل التكلفة والسعر'!$B$2:$B$700,0)),0))</f>
        <v>3.7485</v>
      </c>
      <c r="H163" s="104" t="s">
        <v>719</v>
      </c>
    </row>
    <row r="164" customFormat="false" ht="15" hidden="false" customHeight="false" outlineLevel="0" collapsed="false">
      <c r="A164" s="103" t="n">
        <v>46302</v>
      </c>
      <c r="B164" s="104" t="s">
        <v>33</v>
      </c>
      <c r="C164" s="104" t="s">
        <v>731</v>
      </c>
      <c r="D164" s="105" t="n">
        <v>0.0833</v>
      </c>
      <c r="E164" s="106" t="n">
        <v>90</v>
      </c>
      <c r="F164" s="107" t="n">
        <f aca="false">IF($C164="","",$D164*$E164)</f>
        <v>7.497</v>
      </c>
      <c r="G164" s="107" t="n">
        <f aca="false">IF($C164="","",$D164*IFERROR(INDEX('تحليل التكلفة والسعر'!$C$2:$C$700,MATCH($C164,'تحليل التكلفة والسعر'!$B$2:$B$700,0)),0))</f>
        <v>3.7485</v>
      </c>
      <c r="H164" s="104" t="s">
        <v>719</v>
      </c>
    </row>
    <row r="165" customFormat="false" ht="15" hidden="false" customHeight="false" outlineLevel="0" collapsed="false">
      <c r="A165" s="103" t="n">
        <v>46303</v>
      </c>
      <c r="B165" s="104" t="s">
        <v>33</v>
      </c>
      <c r="C165" s="104" t="s">
        <v>731</v>
      </c>
      <c r="D165" s="105" t="n">
        <v>0.0833</v>
      </c>
      <c r="E165" s="106" t="n">
        <v>90</v>
      </c>
      <c r="F165" s="107" t="n">
        <f aca="false">IF($C165="","",$D165*$E165)</f>
        <v>7.497</v>
      </c>
      <c r="G165" s="107" t="n">
        <f aca="false">IF($C165="","",$D165*IFERROR(INDEX('تحليل التكلفة والسعر'!$C$2:$C$700,MATCH($C165,'تحليل التكلفة والسعر'!$B$2:$B$700,0)),0))</f>
        <v>3.7485</v>
      </c>
      <c r="H165" s="104" t="s">
        <v>719</v>
      </c>
    </row>
    <row r="166" customFormat="false" ht="15" hidden="false" customHeight="false" outlineLevel="0" collapsed="false">
      <c r="A166" s="103" t="n">
        <v>46304</v>
      </c>
      <c r="B166" s="104" t="s">
        <v>33</v>
      </c>
      <c r="C166" s="104" t="s">
        <v>731</v>
      </c>
      <c r="D166" s="105" t="n">
        <v>0.0833</v>
      </c>
      <c r="E166" s="106" t="n">
        <v>90</v>
      </c>
      <c r="F166" s="107" t="n">
        <f aca="false">IF($C166="","",$D166*$E166)</f>
        <v>7.497</v>
      </c>
      <c r="G166" s="107" t="n">
        <f aca="false">IF($C166="","",$D166*IFERROR(INDEX('تحليل التكلفة والسعر'!$C$2:$C$700,MATCH($C166,'تحليل التكلفة والسعر'!$B$2:$B$700,0)),0))</f>
        <v>3.7485</v>
      </c>
      <c r="H166" s="104" t="s">
        <v>719</v>
      </c>
    </row>
    <row r="167" customFormat="false" ht="15" hidden="false" customHeight="false" outlineLevel="0" collapsed="false">
      <c r="A167" s="103" t="n">
        <v>46305</v>
      </c>
      <c r="B167" s="104" t="s">
        <v>33</v>
      </c>
      <c r="C167" s="104" t="s">
        <v>731</v>
      </c>
      <c r="D167" s="105" t="n">
        <v>0.0833</v>
      </c>
      <c r="E167" s="106" t="n">
        <v>90</v>
      </c>
      <c r="F167" s="107" t="n">
        <f aca="false">IF($C167="","",$D167*$E167)</f>
        <v>7.497</v>
      </c>
      <c r="G167" s="107" t="n">
        <f aca="false">IF($C167="","",$D167*IFERROR(INDEX('تحليل التكلفة والسعر'!$C$2:$C$700,MATCH($C167,'تحليل التكلفة والسعر'!$B$2:$B$700,0)),0))</f>
        <v>3.7485</v>
      </c>
      <c r="H167" s="104" t="s">
        <v>719</v>
      </c>
    </row>
    <row r="168" customFormat="false" ht="15" hidden="false" customHeight="false" outlineLevel="0" collapsed="false">
      <c r="A168" s="103" t="n">
        <v>46306</v>
      </c>
      <c r="B168" s="104" t="s">
        <v>33</v>
      </c>
      <c r="C168" s="104" t="s">
        <v>731</v>
      </c>
      <c r="D168" s="105" t="n">
        <v>0.0833</v>
      </c>
      <c r="E168" s="106" t="n">
        <v>90</v>
      </c>
      <c r="F168" s="107" t="n">
        <f aca="false">IF($C168="","",$D168*$E168)</f>
        <v>7.497</v>
      </c>
      <c r="G168" s="107" t="n">
        <f aca="false">IF($C168="","",$D168*IFERROR(INDEX('تحليل التكلفة والسعر'!$C$2:$C$700,MATCH($C168,'تحليل التكلفة والسعر'!$B$2:$B$700,0)),0))</f>
        <v>3.7485</v>
      </c>
      <c r="H168" s="104" t="s">
        <v>719</v>
      </c>
    </row>
    <row r="169" customFormat="false" ht="15" hidden="false" customHeight="false" outlineLevel="0" collapsed="false">
      <c r="A169" s="103" t="n">
        <v>46307</v>
      </c>
      <c r="B169" s="104" t="s">
        <v>33</v>
      </c>
      <c r="C169" s="104" t="s">
        <v>731</v>
      </c>
      <c r="D169" s="105" t="n">
        <v>0.0833</v>
      </c>
      <c r="E169" s="106" t="n">
        <v>90</v>
      </c>
      <c r="F169" s="107" t="n">
        <f aca="false">IF($C169="","",$D169*$E169)</f>
        <v>7.497</v>
      </c>
      <c r="G169" s="107" t="n">
        <f aca="false">IF($C169="","",$D169*IFERROR(INDEX('تحليل التكلفة والسعر'!$C$2:$C$700,MATCH($C169,'تحليل التكلفة والسعر'!$B$2:$B$700,0)),0))</f>
        <v>3.7485</v>
      </c>
      <c r="H169" s="104" t="s">
        <v>719</v>
      </c>
    </row>
    <row r="170" customFormat="false" ht="15" hidden="false" customHeight="false" outlineLevel="0" collapsed="false">
      <c r="A170" s="103" t="n">
        <v>46296</v>
      </c>
      <c r="B170" s="104" t="s">
        <v>33</v>
      </c>
      <c r="C170" s="104" t="s">
        <v>732</v>
      </c>
      <c r="D170" s="105" t="n">
        <v>0.0833</v>
      </c>
      <c r="E170" s="106" t="n">
        <v>90</v>
      </c>
      <c r="F170" s="107" t="n">
        <f aca="false">IF($C170="","",$D170*$E170)</f>
        <v>7.497</v>
      </c>
      <c r="G170" s="107" t="n">
        <f aca="false">IF($C170="","",$D170*IFERROR(INDEX('تحليل التكلفة والسعر'!$C$2:$C$700,MATCH($C170,'تحليل التكلفة والسعر'!$B$2:$B$700,0)),0))</f>
        <v>3.7485</v>
      </c>
      <c r="H170" s="104" t="s">
        <v>719</v>
      </c>
    </row>
    <row r="171" customFormat="false" ht="15" hidden="false" customHeight="false" outlineLevel="0" collapsed="false">
      <c r="A171" s="103" t="n">
        <v>46297</v>
      </c>
      <c r="B171" s="104" t="s">
        <v>33</v>
      </c>
      <c r="C171" s="104" t="s">
        <v>732</v>
      </c>
      <c r="D171" s="105" t="n">
        <v>0.0833</v>
      </c>
      <c r="E171" s="106" t="n">
        <v>90</v>
      </c>
      <c r="F171" s="107" t="n">
        <f aca="false">IF($C171="","",$D171*$E171)</f>
        <v>7.497</v>
      </c>
      <c r="G171" s="107" t="n">
        <f aca="false">IF($C171="","",$D171*IFERROR(INDEX('تحليل التكلفة والسعر'!$C$2:$C$700,MATCH($C171,'تحليل التكلفة والسعر'!$B$2:$B$700,0)),0))</f>
        <v>3.7485</v>
      </c>
      <c r="H171" s="104" t="s">
        <v>719</v>
      </c>
    </row>
    <row r="172" customFormat="false" ht="15" hidden="false" customHeight="false" outlineLevel="0" collapsed="false">
      <c r="A172" s="103" t="n">
        <v>46298</v>
      </c>
      <c r="B172" s="104" t="s">
        <v>33</v>
      </c>
      <c r="C172" s="104" t="s">
        <v>732</v>
      </c>
      <c r="D172" s="105" t="n">
        <v>0.0833</v>
      </c>
      <c r="E172" s="106" t="n">
        <v>90</v>
      </c>
      <c r="F172" s="107" t="n">
        <f aca="false">IF($C172="","",$D172*$E172)</f>
        <v>7.497</v>
      </c>
      <c r="G172" s="107" t="n">
        <f aca="false">IF($C172="","",$D172*IFERROR(INDEX('تحليل التكلفة والسعر'!$C$2:$C$700,MATCH($C172,'تحليل التكلفة والسعر'!$B$2:$B$700,0)),0))</f>
        <v>3.7485</v>
      </c>
      <c r="H172" s="104" t="s">
        <v>719</v>
      </c>
    </row>
    <row r="173" customFormat="false" ht="15" hidden="false" customHeight="false" outlineLevel="0" collapsed="false">
      <c r="A173" s="103" t="n">
        <v>46299</v>
      </c>
      <c r="B173" s="104" t="s">
        <v>33</v>
      </c>
      <c r="C173" s="104" t="s">
        <v>732</v>
      </c>
      <c r="D173" s="105" t="n">
        <v>0.0833</v>
      </c>
      <c r="E173" s="106" t="n">
        <v>90</v>
      </c>
      <c r="F173" s="107" t="n">
        <f aca="false">IF($C173="","",$D173*$E173)</f>
        <v>7.497</v>
      </c>
      <c r="G173" s="107" t="n">
        <f aca="false">IF($C173="","",$D173*IFERROR(INDEX('تحليل التكلفة والسعر'!$C$2:$C$700,MATCH($C173,'تحليل التكلفة والسعر'!$B$2:$B$700,0)),0))</f>
        <v>3.7485</v>
      </c>
      <c r="H173" s="104" t="s">
        <v>719</v>
      </c>
    </row>
    <row r="174" customFormat="false" ht="15" hidden="false" customHeight="false" outlineLevel="0" collapsed="false">
      <c r="A174" s="103" t="n">
        <v>46300</v>
      </c>
      <c r="B174" s="104" t="s">
        <v>33</v>
      </c>
      <c r="C174" s="104" t="s">
        <v>732</v>
      </c>
      <c r="D174" s="105" t="n">
        <v>0.0833</v>
      </c>
      <c r="E174" s="106" t="n">
        <v>90</v>
      </c>
      <c r="F174" s="107" t="n">
        <f aca="false">IF($C174="","",$D174*$E174)</f>
        <v>7.497</v>
      </c>
      <c r="G174" s="107" t="n">
        <f aca="false">IF($C174="","",$D174*IFERROR(INDEX('تحليل التكلفة والسعر'!$C$2:$C$700,MATCH($C174,'تحليل التكلفة والسعر'!$B$2:$B$700,0)),0))</f>
        <v>3.7485</v>
      </c>
      <c r="H174" s="104" t="s">
        <v>719</v>
      </c>
    </row>
    <row r="175" customFormat="false" ht="15" hidden="false" customHeight="false" outlineLevel="0" collapsed="false">
      <c r="A175" s="103" t="n">
        <v>46301</v>
      </c>
      <c r="B175" s="104" t="s">
        <v>33</v>
      </c>
      <c r="C175" s="104" t="s">
        <v>732</v>
      </c>
      <c r="D175" s="105" t="n">
        <v>0.0833</v>
      </c>
      <c r="E175" s="106" t="n">
        <v>90</v>
      </c>
      <c r="F175" s="107" t="n">
        <f aca="false">IF($C175="","",$D175*$E175)</f>
        <v>7.497</v>
      </c>
      <c r="G175" s="107" t="n">
        <f aca="false">IF($C175="","",$D175*IFERROR(INDEX('تحليل التكلفة والسعر'!$C$2:$C$700,MATCH($C175,'تحليل التكلفة والسعر'!$B$2:$B$700,0)),0))</f>
        <v>3.7485</v>
      </c>
      <c r="H175" s="104" t="s">
        <v>719</v>
      </c>
    </row>
    <row r="176" customFormat="false" ht="15" hidden="false" customHeight="false" outlineLevel="0" collapsed="false">
      <c r="A176" s="103" t="n">
        <v>46302</v>
      </c>
      <c r="B176" s="104" t="s">
        <v>33</v>
      </c>
      <c r="C176" s="104" t="s">
        <v>732</v>
      </c>
      <c r="D176" s="105" t="n">
        <v>0.0833</v>
      </c>
      <c r="E176" s="106" t="n">
        <v>90</v>
      </c>
      <c r="F176" s="107" t="n">
        <f aca="false">IF($C176="","",$D176*$E176)</f>
        <v>7.497</v>
      </c>
      <c r="G176" s="107" t="n">
        <f aca="false">IF($C176="","",$D176*IFERROR(INDEX('تحليل التكلفة والسعر'!$C$2:$C$700,MATCH($C176,'تحليل التكلفة والسعر'!$B$2:$B$700,0)),0))</f>
        <v>3.7485</v>
      </c>
      <c r="H176" s="104" t="s">
        <v>719</v>
      </c>
    </row>
    <row r="177" customFormat="false" ht="15" hidden="false" customHeight="false" outlineLevel="0" collapsed="false">
      <c r="A177" s="103" t="n">
        <v>46303</v>
      </c>
      <c r="B177" s="104" t="s">
        <v>33</v>
      </c>
      <c r="C177" s="104" t="s">
        <v>732</v>
      </c>
      <c r="D177" s="105" t="n">
        <v>0.0833</v>
      </c>
      <c r="E177" s="106" t="n">
        <v>90</v>
      </c>
      <c r="F177" s="107" t="n">
        <f aca="false">IF($C177="","",$D177*$E177)</f>
        <v>7.497</v>
      </c>
      <c r="G177" s="107" t="n">
        <f aca="false">IF($C177="","",$D177*IFERROR(INDEX('تحليل التكلفة والسعر'!$C$2:$C$700,MATCH($C177,'تحليل التكلفة والسعر'!$B$2:$B$700,0)),0))</f>
        <v>3.7485</v>
      </c>
      <c r="H177" s="104" t="s">
        <v>719</v>
      </c>
    </row>
    <row r="178" customFormat="false" ht="15" hidden="false" customHeight="false" outlineLevel="0" collapsed="false">
      <c r="A178" s="103" t="n">
        <v>46304</v>
      </c>
      <c r="B178" s="104" t="s">
        <v>33</v>
      </c>
      <c r="C178" s="104" t="s">
        <v>732</v>
      </c>
      <c r="D178" s="105" t="n">
        <v>0.0833</v>
      </c>
      <c r="E178" s="106" t="n">
        <v>90</v>
      </c>
      <c r="F178" s="107" t="n">
        <f aca="false">IF($C178="","",$D178*$E178)</f>
        <v>7.497</v>
      </c>
      <c r="G178" s="107" t="n">
        <f aca="false">IF($C178="","",$D178*IFERROR(INDEX('تحليل التكلفة والسعر'!$C$2:$C$700,MATCH($C178,'تحليل التكلفة والسعر'!$B$2:$B$700,0)),0))</f>
        <v>3.7485</v>
      </c>
      <c r="H178" s="104" t="s">
        <v>719</v>
      </c>
    </row>
    <row r="179" customFormat="false" ht="15" hidden="false" customHeight="false" outlineLevel="0" collapsed="false">
      <c r="A179" s="103" t="n">
        <v>46305</v>
      </c>
      <c r="B179" s="104" t="s">
        <v>33</v>
      </c>
      <c r="C179" s="104" t="s">
        <v>732</v>
      </c>
      <c r="D179" s="105" t="n">
        <v>0.0833</v>
      </c>
      <c r="E179" s="106" t="n">
        <v>90</v>
      </c>
      <c r="F179" s="107" t="n">
        <f aca="false">IF($C179="","",$D179*$E179)</f>
        <v>7.497</v>
      </c>
      <c r="G179" s="107" t="n">
        <f aca="false">IF($C179="","",$D179*IFERROR(INDEX('تحليل التكلفة والسعر'!$C$2:$C$700,MATCH($C179,'تحليل التكلفة والسعر'!$B$2:$B$700,0)),0))</f>
        <v>3.7485</v>
      </c>
      <c r="H179" s="104" t="s">
        <v>719</v>
      </c>
    </row>
    <row r="180" customFormat="false" ht="15" hidden="false" customHeight="false" outlineLevel="0" collapsed="false">
      <c r="A180" s="103" t="n">
        <v>46306</v>
      </c>
      <c r="B180" s="104" t="s">
        <v>33</v>
      </c>
      <c r="C180" s="104" t="s">
        <v>732</v>
      </c>
      <c r="D180" s="105" t="n">
        <v>0.0833</v>
      </c>
      <c r="E180" s="106" t="n">
        <v>90</v>
      </c>
      <c r="F180" s="107" t="n">
        <f aca="false">IF($C180="","",$D180*$E180)</f>
        <v>7.497</v>
      </c>
      <c r="G180" s="107" t="n">
        <f aca="false">IF($C180="","",$D180*IFERROR(INDEX('تحليل التكلفة والسعر'!$C$2:$C$700,MATCH($C180,'تحليل التكلفة والسعر'!$B$2:$B$700,0)),0))</f>
        <v>3.7485</v>
      </c>
      <c r="H180" s="104" t="s">
        <v>719</v>
      </c>
    </row>
    <row r="181" customFormat="false" ht="15" hidden="false" customHeight="false" outlineLevel="0" collapsed="false">
      <c r="A181" s="103" t="n">
        <v>46307</v>
      </c>
      <c r="B181" s="104" t="s">
        <v>33</v>
      </c>
      <c r="C181" s="104" t="s">
        <v>732</v>
      </c>
      <c r="D181" s="105" t="n">
        <v>0.0833</v>
      </c>
      <c r="E181" s="106" t="n">
        <v>90</v>
      </c>
      <c r="F181" s="107" t="n">
        <f aca="false">IF($C181="","",$D181*$E181)</f>
        <v>7.497</v>
      </c>
      <c r="G181" s="107" t="n">
        <f aca="false">IF($C181="","",$D181*IFERROR(INDEX('تحليل التكلفة والسعر'!$C$2:$C$700,MATCH($C181,'تحليل التكلفة والسعر'!$B$2:$B$700,0)),0))</f>
        <v>3.7485</v>
      </c>
      <c r="H181" s="104" t="s">
        <v>719</v>
      </c>
    </row>
    <row r="182" customFormat="false" ht="15" hidden="false" customHeight="false" outlineLevel="0" collapsed="false">
      <c r="A182" s="103" t="n">
        <v>46296</v>
      </c>
      <c r="B182" s="104" t="s">
        <v>33</v>
      </c>
      <c r="C182" s="104" t="s">
        <v>733</v>
      </c>
      <c r="D182" s="105" t="n">
        <v>0.3333</v>
      </c>
      <c r="E182" s="106" t="n">
        <v>40</v>
      </c>
      <c r="F182" s="107" t="n">
        <f aca="false">IF($C182="","",$D182*$E182)</f>
        <v>13.332</v>
      </c>
      <c r="G182" s="107" t="n">
        <f aca="false">IF($C182="","",$D182*IFERROR(INDEX('تحليل التكلفة والسعر'!$C$2:$C$700,MATCH($C182,'تحليل التكلفة والسعر'!$B$2:$B$700,0)),0))</f>
        <v>4.254847806</v>
      </c>
      <c r="H182" s="104" t="s">
        <v>719</v>
      </c>
    </row>
    <row r="183" customFormat="false" ht="15" hidden="false" customHeight="false" outlineLevel="0" collapsed="false">
      <c r="A183" s="103" t="n">
        <v>46297</v>
      </c>
      <c r="B183" s="104" t="s">
        <v>33</v>
      </c>
      <c r="C183" s="104" t="s">
        <v>733</v>
      </c>
      <c r="D183" s="105" t="n">
        <v>0.3333</v>
      </c>
      <c r="E183" s="106" t="n">
        <v>40</v>
      </c>
      <c r="F183" s="107" t="n">
        <f aca="false">IF($C183="","",$D183*$E183)</f>
        <v>13.332</v>
      </c>
      <c r="G183" s="107" t="n">
        <f aca="false">IF($C183="","",$D183*IFERROR(INDEX('تحليل التكلفة والسعر'!$C$2:$C$700,MATCH($C183,'تحليل التكلفة والسعر'!$B$2:$B$700,0)),0))</f>
        <v>4.254847806</v>
      </c>
      <c r="H183" s="104" t="s">
        <v>719</v>
      </c>
    </row>
    <row r="184" customFormat="false" ht="15" hidden="false" customHeight="false" outlineLevel="0" collapsed="false">
      <c r="A184" s="103" t="n">
        <v>46298</v>
      </c>
      <c r="B184" s="104" t="s">
        <v>33</v>
      </c>
      <c r="C184" s="104" t="s">
        <v>733</v>
      </c>
      <c r="D184" s="105" t="n">
        <v>0.3333</v>
      </c>
      <c r="E184" s="106" t="n">
        <v>40</v>
      </c>
      <c r="F184" s="107" t="n">
        <f aca="false">IF($C184="","",$D184*$E184)</f>
        <v>13.332</v>
      </c>
      <c r="G184" s="107" t="n">
        <f aca="false">IF($C184="","",$D184*IFERROR(INDEX('تحليل التكلفة والسعر'!$C$2:$C$700,MATCH($C184,'تحليل التكلفة والسعر'!$B$2:$B$700,0)),0))</f>
        <v>4.254847806</v>
      </c>
      <c r="H184" s="104" t="s">
        <v>719</v>
      </c>
    </row>
    <row r="185" customFormat="false" ht="15" hidden="false" customHeight="false" outlineLevel="0" collapsed="false">
      <c r="A185" s="103" t="n">
        <v>46299</v>
      </c>
      <c r="B185" s="104" t="s">
        <v>33</v>
      </c>
      <c r="C185" s="104" t="s">
        <v>733</v>
      </c>
      <c r="D185" s="105" t="n">
        <v>0.3333</v>
      </c>
      <c r="E185" s="106" t="n">
        <v>40</v>
      </c>
      <c r="F185" s="107" t="n">
        <f aca="false">IF($C185="","",$D185*$E185)</f>
        <v>13.332</v>
      </c>
      <c r="G185" s="107" t="n">
        <f aca="false">IF($C185="","",$D185*IFERROR(INDEX('تحليل التكلفة والسعر'!$C$2:$C$700,MATCH($C185,'تحليل التكلفة والسعر'!$B$2:$B$700,0)),0))</f>
        <v>4.254847806</v>
      </c>
      <c r="H185" s="104" t="s">
        <v>719</v>
      </c>
    </row>
    <row r="186" customFormat="false" ht="15" hidden="false" customHeight="false" outlineLevel="0" collapsed="false">
      <c r="A186" s="103" t="n">
        <v>46300</v>
      </c>
      <c r="B186" s="104" t="s">
        <v>33</v>
      </c>
      <c r="C186" s="104" t="s">
        <v>733</v>
      </c>
      <c r="D186" s="105" t="n">
        <v>0.3333</v>
      </c>
      <c r="E186" s="106" t="n">
        <v>40</v>
      </c>
      <c r="F186" s="107" t="n">
        <f aca="false">IF($C186="","",$D186*$E186)</f>
        <v>13.332</v>
      </c>
      <c r="G186" s="107" t="n">
        <f aca="false">IF($C186="","",$D186*IFERROR(INDEX('تحليل التكلفة والسعر'!$C$2:$C$700,MATCH($C186,'تحليل التكلفة والسعر'!$B$2:$B$700,0)),0))</f>
        <v>4.254847806</v>
      </c>
      <c r="H186" s="104" t="s">
        <v>719</v>
      </c>
    </row>
    <row r="187" customFormat="false" ht="15" hidden="false" customHeight="false" outlineLevel="0" collapsed="false">
      <c r="A187" s="103" t="n">
        <v>46301</v>
      </c>
      <c r="B187" s="104" t="s">
        <v>33</v>
      </c>
      <c r="C187" s="104" t="s">
        <v>733</v>
      </c>
      <c r="D187" s="105" t="n">
        <v>0.3333</v>
      </c>
      <c r="E187" s="106" t="n">
        <v>40</v>
      </c>
      <c r="F187" s="107" t="n">
        <f aca="false">IF($C187="","",$D187*$E187)</f>
        <v>13.332</v>
      </c>
      <c r="G187" s="107" t="n">
        <f aca="false">IF($C187="","",$D187*IFERROR(INDEX('تحليل التكلفة والسعر'!$C$2:$C$700,MATCH($C187,'تحليل التكلفة والسعر'!$B$2:$B$700,0)),0))</f>
        <v>4.254847806</v>
      </c>
      <c r="H187" s="104" t="s">
        <v>719</v>
      </c>
    </row>
    <row r="188" customFormat="false" ht="15" hidden="false" customHeight="false" outlineLevel="0" collapsed="false">
      <c r="A188" s="103" t="n">
        <v>46302</v>
      </c>
      <c r="B188" s="104" t="s">
        <v>33</v>
      </c>
      <c r="C188" s="104" t="s">
        <v>733</v>
      </c>
      <c r="D188" s="105" t="n">
        <v>0.3333</v>
      </c>
      <c r="E188" s="106" t="n">
        <v>40</v>
      </c>
      <c r="F188" s="107" t="n">
        <f aca="false">IF($C188="","",$D188*$E188)</f>
        <v>13.332</v>
      </c>
      <c r="G188" s="107" t="n">
        <f aca="false">IF($C188="","",$D188*IFERROR(INDEX('تحليل التكلفة والسعر'!$C$2:$C$700,MATCH($C188,'تحليل التكلفة والسعر'!$B$2:$B$700,0)),0))</f>
        <v>4.254847806</v>
      </c>
      <c r="H188" s="104" t="s">
        <v>719</v>
      </c>
    </row>
    <row r="189" customFormat="false" ht="15" hidden="false" customHeight="false" outlineLevel="0" collapsed="false">
      <c r="A189" s="103" t="n">
        <v>46303</v>
      </c>
      <c r="B189" s="104" t="s">
        <v>33</v>
      </c>
      <c r="C189" s="104" t="s">
        <v>733</v>
      </c>
      <c r="D189" s="105" t="n">
        <v>0.3333</v>
      </c>
      <c r="E189" s="106" t="n">
        <v>40</v>
      </c>
      <c r="F189" s="107" t="n">
        <f aca="false">IF($C189="","",$D189*$E189)</f>
        <v>13.332</v>
      </c>
      <c r="G189" s="107" t="n">
        <f aca="false">IF($C189="","",$D189*IFERROR(INDEX('تحليل التكلفة والسعر'!$C$2:$C$700,MATCH($C189,'تحليل التكلفة والسعر'!$B$2:$B$700,0)),0))</f>
        <v>4.254847806</v>
      </c>
      <c r="H189" s="104" t="s">
        <v>719</v>
      </c>
    </row>
    <row r="190" customFormat="false" ht="15" hidden="false" customHeight="false" outlineLevel="0" collapsed="false">
      <c r="A190" s="103" t="n">
        <v>46304</v>
      </c>
      <c r="B190" s="104" t="s">
        <v>33</v>
      </c>
      <c r="C190" s="104" t="s">
        <v>733</v>
      </c>
      <c r="D190" s="105" t="n">
        <v>0.3333</v>
      </c>
      <c r="E190" s="106" t="n">
        <v>40</v>
      </c>
      <c r="F190" s="107" t="n">
        <f aca="false">IF($C190="","",$D190*$E190)</f>
        <v>13.332</v>
      </c>
      <c r="G190" s="107" t="n">
        <f aca="false">IF($C190="","",$D190*IFERROR(INDEX('تحليل التكلفة والسعر'!$C$2:$C$700,MATCH($C190,'تحليل التكلفة والسعر'!$B$2:$B$700,0)),0))</f>
        <v>4.254847806</v>
      </c>
      <c r="H190" s="104" t="s">
        <v>719</v>
      </c>
    </row>
    <row r="191" customFormat="false" ht="15" hidden="false" customHeight="false" outlineLevel="0" collapsed="false">
      <c r="A191" s="103" t="n">
        <v>46305</v>
      </c>
      <c r="B191" s="104" t="s">
        <v>33</v>
      </c>
      <c r="C191" s="104" t="s">
        <v>733</v>
      </c>
      <c r="D191" s="105" t="n">
        <v>0.3333</v>
      </c>
      <c r="E191" s="106" t="n">
        <v>40</v>
      </c>
      <c r="F191" s="107" t="n">
        <f aca="false">IF($C191="","",$D191*$E191)</f>
        <v>13.332</v>
      </c>
      <c r="G191" s="107" t="n">
        <f aca="false">IF($C191="","",$D191*IFERROR(INDEX('تحليل التكلفة والسعر'!$C$2:$C$700,MATCH($C191,'تحليل التكلفة والسعر'!$B$2:$B$700,0)),0))</f>
        <v>4.254847806</v>
      </c>
      <c r="H191" s="104" t="s">
        <v>719</v>
      </c>
    </row>
    <row r="192" customFormat="false" ht="15" hidden="false" customHeight="false" outlineLevel="0" collapsed="false">
      <c r="A192" s="103" t="n">
        <v>46306</v>
      </c>
      <c r="B192" s="104" t="s">
        <v>33</v>
      </c>
      <c r="C192" s="104" t="s">
        <v>733</v>
      </c>
      <c r="D192" s="105" t="n">
        <v>0.3333</v>
      </c>
      <c r="E192" s="106" t="n">
        <v>40</v>
      </c>
      <c r="F192" s="107" t="n">
        <f aca="false">IF($C192="","",$D192*$E192)</f>
        <v>13.332</v>
      </c>
      <c r="G192" s="107" t="n">
        <f aca="false">IF($C192="","",$D192*IFERROR(INDEX('تحليل التكلفة والسعر'!$C$2:$C$700,MATCH($C192,'تحليل التكلفة والسعر'!$B$2:$B$700,0)),0))</f>
        <v>4.254847806</v>
      </c>
      <c r="H192" s="104" t="s">
        <v>719</v>
      </c>
    </row>
    <row r="193" customFormat="false" ht="15" hidden="false" customHeight="false" outlineLevel="0" collapsed="false">
      <c r="A193" s="103" t="n">
        <v>46307</v>
      </c>
      <c r="B193" s="104" t="s">
        <v>33</v>
      </c>
      <c r="C193" s="104" t="s">
        <v>733</v>
      </c>
      <c r="D193" s="105" t="n">
        <v>0.3333</v>
      </c>
      <c r="E193" s="106" t="n">
        <v>40</v>
      </c>
      <c r="F193" s="107" t="n">
        <f aca="false">IF($C193="","",$D193*$E193)</f>
        <v>13.332</v>
      </c>
      <c r="G193" s="107" t="n">
        <f aca="false">IF($C193="","",$D193*IFERROR(INDEX('تحليل التكلفة والسعر'!$C$2:$C$700,MATCH($C193,'تحليل التكلفة والسعر'!$B$2:$B$700,0)),0))</f>
        <v>4.254847806</v>
      </c>
      <c r="H193" s="104" t="s">
        <v>719</v>
      </c>
    </row>
    <row r="194" customFormat="false" ht="15" hidden="false" customHeight="false" outlineLevel="0" collapsed="false">
      <c r="A194" s="103" t="n">
        <v>46296</v>
      </c>
      <c r="B194" s="104" t="s">
        <v>33</v>
      </c>
      <c r="C194" s="104" t="s">
        <v>734</v>
      </c>
      <c r="D194" s="105" t="n">
        <v>0.0833</v>
      </c>
      <c r="E194" s="106" t="n">
        <v>80</v>
      </c>
      <c r="F194" s="107" t="n">
        <f aca="false">IF($C194="","",$D194*$E194)</f>
        <v>6.664</v>
      </c>
      <c r="G194" s="107" t="n">
        <f aca="false">IF($C194="","",$D194*IFERROR(INDEX('تحليل التكلفة والسعر'!$C$2:$C$700,MATCH($C194,'تحليل التكلفة والسعر'!$B$2:$B$700,0)),0))</f>
        <v>2.8307006</v>
      </c>
      <c r="H194" s="104" t="s">
        <v>719</v>
      </c>
    </row>
    <row r="195" customFormat="false" ht="15" hidden="false" customHeight="false" outlineLevel="0" collapsed="false">
      <c r="A195" s="103" t="n">
        <v>46297</v>
      </c>
      <c r="B195" s="104" t="s">
        <v>33</v>
      </c>
      <c r="C195" s="104" t="s">
        <v>734</v>
      </c>
      <c r="D195" s="105" t="n">
        <v>0.0833</v>
      </c>
      <c r="E195" s="106" t="n">
        <v>80</v>
      </c>
      <c r="F195" s="107" t="n">
        <f aca="false">IF($C195="","",$D195*$E195)</f>
        <v>6.664</v>
      </c>
      <c r="G195" s="107" t="n">
        <f aca="false">IF($C195="","",$D195*IFERROR(INDEX('تحليل التكلفة والسعر'!$C$2:$C$700,MATCH($C195,'تحليل التكلفة والسعر'!$B$2:$B$700,0)),0))</f>
        <v>2.8307006</v>
      </c>
      <c r="H195" s="104" t="s">
        <v>719</v>
      </c>
    </row>
    <row r="196" customFormat="false" ht="15" hidden="false" customHeight="false" outlineLevel="0" collapsed="false">
      <c r="A196" s="103" t="n">
        <v>46298</v>
      </c>
      <c r="B196" s="104" t="s">
        <v>33</v>
      </c>
      <c r="C196" s="104" t="s">
        <v>734</v>
      </c>
      <c r="D196" s="105" t="n">
        <v>0.0833</v>
      </c>
      <c r="E196" s="106" t="n">
        <v>80</v>
      </c>
      <c r="F196" s="107" t="n">
        <f aca="false">IF($C196="","",$D196*$E196)</f>
        <v>6.664</v>
      </c>
      <c r="G196" s="107" t="n">
        <f aca="false">IF($C196="","",$D196*IFERROR(INDEX('تحليل التكلفة والسعر'!$C$2:$C$700,MATCH($C196,'تحليل التكلفة والسعر'!$B$2:$B$700,0)),0))</f>
        <v>2.8307006</v>
      </c>
      <c r="H196" s="104" t="s">
        <v>719</v>
      </c>
    </row>
    <row r="197" customFormat="false" ht="15" hidden="false" customHeight="false" outlineLevel="0" collapsed="false">
      <c r="A197" s="103" t="n">
        <v>46299</v>
      </c>
      <c r="B197" s="104" t="s">
        <v>33</v>
      </c>
      <c r="C197" s="104" t="s">
        <v>734</v>
      </c>
      <c r="D197" s="105" t="n">
        <v>0.0833</v>
      </c>
      <c r="E197" s="106" t="n">
        <v>80</v>
      </c>
      <c r="F197" s="107" t="n">
        <f aca="false">IF($C197="","",$D197*$E197)</f>
        <v>6.664</v>
      </c>
      <c r="G197" s="107" t="n">
        <f aca="false">IF($C197="","",$D197*IFERROR(INDEX('تحليل التكلفة والسعر'!$C$2:$C$700,MATCH($C197,'تحليل التكلفة والسعر'!$B$2:$B$700,0)),0))</f>
        <v>2.8307006</v>
      </c>
      <c r="H197" s="104" t="s">
        <v>719</v>
      </c>
    </row>
    <row r="198" customFormat="false" ht="15" hidden="false" customHeight="false" outlineLevel="0" collapsed="false">
      <c r="A198" s="103" t="n">
        <v>46300</v>
      </c>
      <c r="B198" s="104" t="s">
        <v>33</v>
      </c>
      <c r="C198" s="104" t="s">
        <v>734</v>
      </c>
      <c r="D198" s="105" t="n">
        <v>0.0833</v>
      </c>
      <c r="E198" s="106" t="n">
        <v>80</v>
      </c>
      <c r="F198" s="107" t="n">
        <f aca="false">IF($C198="","",$D198*$E198)</f>
        <v>6.664</v>
      </c>
      <c r="G198" s="107" t="n">
        <f aca="false">IF($C198="","",$D198*IFERROR(INDEX('تحليل التكلفة والسعر'!$C$2:$C$700,MATCH($C198,'تحليل التكلفة والسعر'!$B$2:$B$700,0)),0))</f>
        <v>2.8307006</v>
      </c>
      <c r="H198" s="104" t="s">
        <v>719</v>
      </c>
    </row>
    <row r="199" customFormat="false" ht="15" hidden="false" customHeight="false" outlineLevel="0" collapsed="false">
      <c r="A199" s="103" t="n">
        <v>46301</v>
      </c>
      <c r="B199" s="104" t="s">
        <v>33</v>
      </c>
      <c r="C199" s="104" t="s">
        <v>734</v>
      </c>
      <c r="D199" s="105" t="n">
        <v>0.0833</v>
      </c>
      <c r="E199" s="106" t="n">
        <v>80</v>
      </c>
      <c r="F199" s="107" t="n">
        <f aca="false">IF($C199="","",$D199*$E199)</f>
        <v>6.664</v>
      </c>
      <c r="G199" s="107" t="n">
        <f aca="false">IF($C199="","",$D199*IFERROR(INDEX('تحليل التكلفة والسعر'!$C$2:$C$700,MATCH($C199,'تحليل التكلفة والسعر'!$B$2:$B$700,0)),0))</f>
        <v>2.8307006</v>
      </c>
      <c r="H199" s="104" t="s">
        <v>719</v>
      </c>
    </row>
    <row r="200" customFormat="false" ht="15" hidden="false" customHeight="false" outlineLevel="0" collapsed="false">
      <c r="A200" s="103" t="n">
        <v>46302</v>
      </c>
      <c r="B200" s="104" t="s">
        <v>33</v>
      </c>
      <c r="C200" s="104" t="s">
        <v>734</v>
      </c>
      <c r="D200" s="105" t="n">
        <v>0.0833</v>
      </c>
      <c r="E200" s="106" t="n">
        <v>80</v>
      </c>
      <c r="F200" s="107" t="n">
        <f aca="false">IF($C200="","",$D200*$E200)</f>
        <v>6.664</v>
      </c>
      <c r="G200" s="107" t="n">
        <f aca="false">IF($C200="","",$D200*IFERROR(INDEX('تحليل التكلفة والسعر'!$C$2:$C$700,MATCH($C200,'تحليل التكلفة والسعر'!$B$2:$B$700,0)),0))</f>
        <v>2.8307006</v>
      </c>
      <c r="H200" s="104" t="s">
        <v>719</v>
      </c>
    </row>
    <row r="201" customFormat="false" ht="15" hidden="false" customHeight="false" outlineLevel="0" collapsed="false">
      <c r="A201" s="103" t="n">
        <v>46303</v>
      </c>
      <c r="B201" s="104" t="s">
        <v>33</v>
      </c>
      <c r="C201" s="104" t="s">
        <v>734</v>
      </c>
      <c r="D201" s="105" t="n">
        <v>0.0833</v>
      </c>
      <c r="E201" s="106" t="n">
        <v>80</v>
      </c>
      <c r="F201" s="107" t="n">
        <f aca="false">IF($C201="","",$D201*$E201)</f>
        <v>6.664</v>
      </c>
      <c r="G201" s="107" t="n">
        <f aca="false">IF($C201="","",$D201*IFERROR(INDEX('تحليل التكلفة والسعر'!$C$2:$C$700,MATCH($C201,'تحليل التكلفة والسعر'!$B$2:$B$700,0)),0))</f>
        <v>2.8307006</v>
      </c>
      <c r="H201" s="104" t="s">
        <v>719</v>
      </c>
    </row>
    <row r="202" customFormat="false" ht="15" hidden="false" customHeight="false" outlineLevel="0" collapsed="false">
      <c r="A202" s="103" t="n">
        <v>46304</v>
      </c>
      <c r="B202" s="104" t="s">
        <v>33</v>
      </c>
      <c r="C202" s="104" t="s">
        <v>734</v>
      </c>
      <c r="D202" s="105" t="n">
        <v>0.0833</v>
      </c>
      <c r="E202" s="106" t="n">
        <v>80</v>
      </c>
      <c r="F202" s="107" t="n">
        <f aca="false">IF($C202="","",$D202*$E202)</f>
        <v>6.664</v>
      </c>
      <c r="G202" s="107" t="n">
        <f aca="false">IF($C202="","",$D202*IFERROR(INDEX('تحليل التكلفة والسعر'!$C$2:$C$700,MATCH($C202,'تحليل التكلفة والسعر'!$B$2:$B$700,0)),0))</f>
        <v>2.8307006</v>
      </c>
      <c r="H202" s="104" t="s">
        <v>719</v>
      </c>
    </row>
    <row r="203" customFormat="false" ht="15" hidden="false" customHeight="false" outlineLevel="0" collapsed="false">
      <c r="A203" s="103" t="n">
        <v>46305</v>
      </c>
      <c r="B203" s="104" t="s">
        <v>33</v>
      </c>
      <c r="C203" s="104" t="s">
        <v>734</v>
      </c>
      <c r="D203" s="105" t="n">
        <v>0.0833</v>
      </c>
      <c r="E203" s="106" t="n">
        <v>80</v>
      </c>
      <c r="F203" s="107" t="n">
        <f aca="false">IF($C203="","",$D203*$E203)</f>
        <v>6.664</v>
      </c>
      <c r="G203" s="107" t="n">
        <f aca="false">IF($C203="","",$D203*IFERROR(INDEX('تحليل التكلفة والسعر'!$C$2:$C$700,MATCH($C203,'تحليل التكلفة والسعر'!$B$2:$B$700,0)),0))</f>
        <v>2.8307006</v>
      </c>
      <c r="H203" s="104" t="s">
        <v>719</v>
      </c>
    </row>
    <row r="204" customFormat="false" ht="15" hidden="false" customHeight="false" outlineLevel="0" collapsed="false">
      <c r="A204" s="103" t="n">
        <v>46306</v>
      </c>
      <c r="B204" s="104" t="s">
        <v>33</v>
      </c>
      <c r="C204" s="104" t="s">
        <v>734</v>
      </c>
      <c r="D204" s="105" t="n">
        <v>0.0833</v>
      </c>
      <c r="E204" s="106" t="n">
        <v>80</v>
      </c>
      <c r="F204" s="107" t="n">
        <f aca="false">IF($C204="","",$D204*$E204)</f>
        <v>6.664</v>
      </c>
      <c r="G204" s="107" t="n">
        <f aca="false">IF($C204="","",$D204*IFERROR(INDEX('تحليل التكلفة والسعر'!$C$2:$C$700,MATCH($C204,'تحليل التكلفة والسعر'!$B$2:$B$700,0)),0))</f>
        <v>2.8307006</v>
      </c>
      <c r="H204" s="104" t="s">
        <v>719</v>
      </c>
    </row>
    <row r="205" customFormat="false" ht="15" hidden="false" customHeight="false" outlineLevel="0" collapsed="false">
      <c r="A205" s="103" t="n">
        <v>46307</v>
      </c>
      <c r="B205" s="104" t="s">
        <v>33</v>
      </c>
      <c r="C205" s="104" t="s">
        <v>734</v>
      </c>
      <c r="D205" s="105" t="n">
        <v>0.0833</v>
      </c>
      <c r="E205" s="106" t="n">
        <v>80</v>
      </c>
      <c r="F205" s="107" t="n">
        <f aca="false">IF($C205="","",$D205*$E205)</f>
        <v>6.664</v>
      </c>
      <c r="G205" s="107" t="n">
        <f aca="false">IF($C205="","",$D205*IFERROR(INDEX('تحليل التكلفة والسعر'!$C$2:$C$700,MATCH($C205,'تحليل التكلفة والسعر'!$B$2:$B$700,0)),0))</f>
        <v>2.8307006</v>
      </c>
      <c r="H205" s="104" t="s">
        <v>719</v>
      </c>
    </row>
    <row r="206" customFormat="false" ht="15" hidden="false" customHeight="false" outlineLevel="0" collapsed="false">
      <c r="A206" s="103" t="n">
        <v>46296</v>
      </c>
      <c r="B206" s="104" t="s">
        <v>33</v>
      </c>
      <c r="C206" s="104" t="s">
        <v>735</v>
      </c>
      <c r="D206" s="105" t="n">
        <v>0.1667</v>
      </c>
      <c r="E206" s="106" t="n">
        <v>80</v>
      </c>
      <c r="F206" s="107" t="n">
        <f aca="false">IF($C206="","",$D206*$E206)</f>
        <v>13.336</v>
      </c>
      <c r="G206" s="107" t="n">
        <f aca="false">IF($C206="","",$D206*IFERROR(INDEX('تحليل التكلفة والسعر'!$C$2:$C$700,MATCH($C206,'تحليل التكلفة والسعر'!$B$2:$B$700,0)),0))</f>
        <v>5.6647994</v>
      </c>
      <c r="H206" s="104" t="s">
        <v>719</v>
      </c>
    </row>
    <row r="207" customFormat="false" ht="15" hidden="false" customHeight="false" outlineLevel="0" collapsed="false">
      <c r="A207" s="103" t="n">
        <v>46297</v>
      </c>
      <c r="B207" s="104" t="s">
        <v>33</v>
      </c>
      <c r="C207" s="104" t="s">
        <v>735</v>
      </c>
      <c r="D207" s="105" t="n">
        <v>0.1667</v>
      </c>
      <c r="E207" s="106" t="n">
        <v>80</v>
      </c>
      <c r="F207" s="107" t="n">
        <f aca="false">IF($C207="","",$D207*$E207)</f>
        <v>13.336</v>
      </c>
      <c r="G207" s="107" t="n">
        <f aca="false">IF($C207="","",$D207*IFERROR(INDEX('تحليل التكلفة والسعر'!$C$2:$C$700,MATCH($C207,'تحليل التكلفة والسعر'!$B$2:$B$700,0)),0))</f>
        <v>5.6647994</v>
      </c>
      <c r="H207" s="104" t="s">
        <v>719</v>
      </c>
    </row>
    <row r="208" customFormat="false" ht="15" hidden="false" customHeight="false" outlineLevel="0" collapsed="false">
      <c r="A208" s="103" t="n">
        <v>46298</v>
      </c>
      <c r="B208" s="104" t="s">
        <v>33</v>
      </c>
      <c r="C208" s="104" t="s">
        <v>735</v>
      </c>
      <c r="D208" s="105" t="n">
        <v>0.1667</v>
      </c>
      <c r="E208" s="106" t="n">
        <v>80</v>
      </c>
      <c r="F208" s="107" t="n">
        <f aca="false">IF($C208="","",$D208*$E208)</f>
        <v>13.336</v>
      </c>
      <c r="G208" s="107" t="n">
        <f aca="false">IF($C208="","",$D208*IFERROR(INDEX('تحليل التكلفة والسعر'!$C$2:$C$700,MATCH($C208,'تحليل التكلفة والسعر'!$B$2:$B$700,0)),0))</f>
        <v>5.6647994</v>
      </c>
      <c r="H208" s="104" t="s">
        <v>719</v>
      </c>
    </row>
    <row r="209" customFormat="false" ht="15" hidden="false" customHeight="false" outlineLevel="0" collapsed="false">
      <c r="A209" s="103" t="n">
        <v>46299</v>
      </c>
      <c r="B209" s="104" t="s">
        <v>33</v>
      </c>
      <c r="C209" s="104" t="s">
        <v>735</v>
      </c>
      <c r="D209" s="105" t="n">
        <v>0.1667</v>
      </c>
      <c r="E209" s="106" t="n">
        <v>80</v>
      </c>
      <c r="F209" s="107" t="n">
        <f aca="false">IF($C209="","",$D209*$E209)</f>
        <v>13.336</v>
      </c>
      <c r="G209" s="107" t="n">
        <f aca="false">IF($C209="","",$D209*IFERROR(INDEX('تحليل التكلفة والسعر'!$C$2:$C$700,MATCH($C209,'تحليل التكلفة والسعر'!$B$2:$B$700,0)),0))</f>
        <v>5.6647994</v>
      </c>
      <c r="H209" s="104" t="s">
        <v>719</v>
      </c>
    </row>
    <row r="210" customFormat="false" ht="15" hidden="false" customHeight="false" outlineLevel="0" collapsed="false">
      <c r="A210" s="103" t="n">
        <v>46300</v>
      </c>
      <c r="B210" s="104" t="s">
        <v>33</v>
      </c>
      <c r="C210" s="104" t="s">
        <v>735</v>
      </c>
      <c r="D210" s="105" t="n">
        <v>0.1667</v>
      </c>
      <c r="E210" s="106" t="n">
        <v>80</v>
      </c>
      <c r="F210" s="107" t="n">
        <f aca="false">IF($C210="","",$D210*$E210)</f>
        <v>13.336</v>
      </c>
      <c r="G210" s="107" t="n">
        <f aca="false">IF($C210="","",$D210*IFERROR(INDEX('تحليل التكلفة والسعر'!$C$2:$C$700,MATCH($C210,'تحليل التكلفة والسعر'!$B$2:$B$700,0)),0))</f>
        <v>5.6647994</v>
      </c>
      <c r="H210" s="104" t="s">
        <v>719</v>
      </c>
    </row>
    <row r="211" customFormat="false" ht="15" hidden="false" customHeight="false" outlineLevel="0" collapsed="false">
      <c r="A211" s="103" t="n">
        <v>46301</v>
      </c>
      <c r="B211" s="104" t="s">
        <v>33</v>
      </c>
      <c r="C211" s="104" t="s">
        <v>735</v>
      </c>
      <c r="D211" s="105" t="n">
        <v>0.1667</v>
      </c>
      <c r="E211" s="106" t="n">
        <v>80</v>
      </c>
      <c r="F211" s="107" t="n">
        <f aca="false">IF($C211="","",$D211*$E211)</f>
        <v>13.336</v>
      </c>
      <c r="G211" s="107" t="n">
        <f aca="false">IF($C211="","",$D211*IFERROR(INDEX('تحليل التكلفة والسعر'!$C$2:$C$700,MATCH($C211,'تحليل التكلفة والسعر'!$B$2:$B$700,0)),0))</f>
        <v>5.6647994</v>
      </c>
      <c r="H211" s="104" t="s">
        <v>719</v>
      </c>
    </row>
    <row r="212" customFormat="false" ht="15" hidden="false" customHeight="false" outlineLevel="0" collapsed="false">
      <c r="A212" s="103" t="n">
        <v>46302</v>
      </c>
      <c r="B212" s="104" t="s">
        <v>33</v>
      </c>
      <c r="C212" s="104" t="s">
        <v>735</v>
      </c>
      <c r="D212" s="105" t="n">
        <v>0.1667</v>
      </c>
      <c r="E212" s="106" t="n">
        <v>80</v>
      </c>
      <c r="F212" s="107" t="n">
        <f aca="false">IF($C212="","",$D212*$E212)</f>
        <v>13.336</v>
      </c>
      <c r="G212" s="107" t="n">
        <f aca="false">IF($C212="","",$D212*IFERROR(INDEX('تحليل التكلفة والسعر'!$C$2:$C$700,MATCH($C212,'تحليل التكلفة والسعر'!$B$2:$B$700,0)),0))</f>
        <v>5.6647994</v>
      </c>
      <c r="H212" s="104" t="s">
        <v>719</v>
      </c>
    </row>
    <row r="213" customFormat="false" ht="15" hidden="false" customHeight="false" outlineLevel="0" collapsed="false">
      <c r="A213" s="103" t="n">
        <v>46303</v>
      </c>
      <c r="B213" s="104" t="s">
        <v>33</v>
      </c>
      <c r="C213" s="104" t="s">
        <v>735</v>
      </c>
      <c r="D213" s="105" t="n">
        <v>0.1667</v>
      </c>
      <c r="E213" s="106" t="n">
        <v>80</v>
      </c>
      <c r="F213" s="107" t="n">
        <f aca="false">IF($C213="","",$D213*$E213)</f>
        <v>13.336</v>
      </c>
      <c r="G213" s="107" t="n">
        <f aca="false">IF($C213="","",$D213*IFERROR(INDEX('تحليل التكلفة والسعر'!$C$2:$C$700,MATCH($C213,'تحليل التكلفة والسعر'!$B$2:$B$700,0)),0))</f>
        <v>5.6647994</v>
      </c>
      <c r="H213" s="104" t="s">
        <v>719</v>
      </c>
    </row>
    <row r="214" customFormat="false" ht="15" hidden="false" customHeight="false" outlineLevel="0" collapsed="false">
      <c r="A214" s="103" t="n">
        <v>46304</v>
      </c>
      <c r="B214" s="104" t="s">
        <v>33</v>
      </c>
      <c r="C214" s="104" t="s">
        <v>735</v>
      </c>
      <c r="D214" s="105" t="n">
        <v>0.1667</v>
      </c>
      <c r="E214" s="106" t="n">
        <v>80</v>
      </c>
      <c r="F214" s="107" t="n">
        <f aca="false">IF($C214="","",$D214*$E214)</f>
        <v>13.336</v>
      </c>
      <c r="G214" s="107" t="n">
        <f aca="false">IF($C214="","",$D214*IFERROR(INDEX('تحليل التكلفة والسعر'!$C$2:$C$700,MATCH($C214,'تحليل التكلفة والسعر'!$B$2:$B$700,0)),0))</f>
        <v>5.6647994</v>
      </c>
      <c r="H214" s="104" t="s">
        <v>719</v>
      </c>
    </row>
    <row r="215" customFormat="false" ht="15" hidden="false" customHeight="false" outlineLevel="0" collapsed="false">
      <c r="A215" s="103" t="n">
        <v>46305</v>
      </c>
      <c r="B215" s="104" t="s">
        <v>33</v>
      </c>
      <c r="C215" s="104" t="s">
        <v>735</v>
      </c>
      <c r="D215" s="105" t="n">
        <v>0.1667</v>
      </c>
      <c r="E215" s="106" t="n">
        <v>80</v>
      </c>
      <c r="F215" s="107" t="n">
        <f aca="false">IF($C215="","",$D215*$E215)</f>
        <v>13.336</v>
      </c>
      <c r="G215" s="107" t="n">
        <f aca="false">IF($C215="","",$D215*IFERROR(INDEX('تحليل التكلفة والسعر'!$C$2:$C$700,MATCH($C215,'تحليل التكلفة والسعر'!$B$2:$B$700,0)),0))</f>
        <v>5.6647994</v>
      </c>
      <c r="H215" s="104" t="s">
        <v>719</v>
      </c>
    </row>
    <row r="216" customFormat="false" ht="15" hidden="false" customHeight="false" outlineLevel="0" collapsed="false">
      <c r="A216" s="103" t="n">
        <v>46306</v>
      </c>
      <c r="B216" s="104" t="s">
        <v>33</v>
      </c>
      <c r="C216" s="104" t="s">
        <v>735</v>
      </c>
      <c r="D216" s="105" t="n">
        <v>0.1667</v>
      </c>
      <c r="E216" s="106" t="n">
        <v>80</v>
      </c>
      <c r="F216" s="107" t="n">
        <f aca="false">IF($C216="","",$D216*$E216)</f>
        <v>13.336</v>
      </c>
      <c r="G216" s="107" t="n">
        <f aca="false">IF($C216="","",$D216*IFERROR(INDEX('تحليل التكلفة والسعر'!$C$2:$C$700,MATCH($C216,'تحليل التكلفة والسعر'!$B$2:$B$700,0)),0))</f>
        <v>5.6647994</v>
      </c>
      <c r="H216" s="104" t="s">
        <v>719</v>
      </c>
    </row>
    <row r="217" customFormat="false" ht="15" hidden="false" customHeight="false" outlineLevel="0" collapsed="false">
      <c r="A217" s="103" t="n">
        <v>46307</v>
      </c>
      <c r="B217" s="104" t="s">
        <v>33</v>
      </c>
      <c r="C217" s="104" t="s">
        <v>735</v>
      </c>
      <c r="D217" s="105" t="n">
        <v>0.1667</v>
      </c>
      <c r="E217" s="106" t="n">
        <v>80</v>
      </c>
      <c r="F217" s="107" t="n">
        <f aca="false">IF($C217="","",$D217*$E217)</f>
        <v>13.336</v>
      </c>
      <c r="G217" s="107" t="n">
        <f aca="false">IF($C217="","",$D217*IFERROR(INDEX('تحليل التكلفة والسعر'!$C$2:$C$700,MATCH($C217,'تحليل التكلفة والسعر'!$B$2:$B$700,0)),0))</f>
        <v>5.6647994</v>
      </c>
      <c r="H217" s="104" t="s">
        <v>719</v>
      </c>
    </row>
    <row r="218" customFormat="false" ht="15" hidden="false" customHeight="false" outlineLevel="0" collapsed="false">
      <c r="A218" s="103" t="n">
        <v>46296</v>
      </c>
      <c r="B218" s="104" t="s">
        <v>33</v>
      </c>
      <c r="C218" s="104" t="s">
        <v>736</v>
      </c>
      <c r="D218" s="105" t="n">
        <v>0.1667</v>
      </c>
      <c r="E218" s="106" t="n">
        <v>110</v>
      </c>
      <c r="F218" s="107" t="n">
        <f aca="false">IF($C218="","",$D218*$E218)</f>
        <v>18.337</v>
      </c>
      <c r="G218" s="107" t="n">
        <f aca="false">IF($C218="","",$D218*IFERROR(INDEX('تحليل التكلفة والسعر'!$C$2:$C$700,MATCH($C218,'تحليل التكلفة والسعر'!$B$2:$B$700,0)),0))</f>
        <v>4.8343</v>
      </c>
      <c r="H218" s="104" t="s">
        <v>719</v>
      </c>
    </row>
    <row r="219" customFormat="false" ht="15" hidden="false" customHeight="false" outlineLevel="0" collapsed="false">
      <c r="A219" s="103" t="n">
        <v>46297</v>
      </c>
      <c r="B219" s="104" t="s">
        <v>33</v>
      </c>
      <c r="C219" s="104" t="s">
        <v>736</v>
      </c>
      <c r="D219" s="105" t="n">
        <v>0.1667</v>
      </c>
      <c r="E219" s="106" t="n">
        <v>110</v>
      </c>
      <c r="F219" s="107" t="n">
        <f aca="false">IF($C219="","",$D219*$E219)</f>
        <v>18.337</v>
      </c>
      <c r="G219" s="107" t="n">
        <f aca="false">IF($C219="","",$D219*IFERROR(INDEX('تحليل التكلفة والسعر'!$C$2:$C$700,MATCH($C219,'تحليل التكلفة والسعر'!$B$2:$B$700,0)),0))</f>
        <v>4.8343</v>
      </c>
      <c r="H219" s="104" t="s">
        <v>719</v>
      </c>
    </row>
    <row r="220" customFormat="false" ht="15" hidden="false" customHeight="false" outlineLevel="0" collapsed="false">
      <c r="A220" s="103" t="n">
        <v>46298</v>
      </c>
      <c r="B220" s="104" t="s">
        <v>33</v>
      </c>
      <c r="C220" s="104" t="s">
        <v>736</v>
      </c>
      <c r="D220" s="105" t="n">
        <v>0.1667</v>
      </c>
      <c r="E220" s="106" t="n">
        <v>110</v>
      </c>
      <c r="F220" s="107" t="n">
        <f aca="false">IF($C220="","",$D220*$E220)</f>
        <v>18.337</v>
      </c>
      <c r="G220" s="107" t="n">
        <f aca="false">IF($C220="","",$D220*IFERROR(INDEX('تحليل التكلفة والسعر'!$C$2:$C$700,MATCH($C220,'تحليل التكلفة والسعر'!$B$2:$B$700,0)),0))</f>
        <v>4.8343</v>
      </c>
      <c r="H220" s="104" t="s">
        <v>719</v>
      </c>
    </row>
    <row r="221" customFormat="false" ht="15" hidden="false" customHeight="false" outlineLevel="0" collapsed="false">
      <c r="A221" s="103" t="n">
        <v>46299</v>
      </c>
      <c r="B221" s="104" t="s">
        <v>33</v>
      </c>
      <c r="C221" s="104" t="s">
        <v>736</v>
      </c>
      <c r="D221" s="105" t="n">
        <v>0.1667</v>
      </c>
      <c r="E221" s="106" t="n">
        <v>110</v>
      </c>
      <c r="F221" s="107" t="n">
        <f aca="false">IF($C221="","",$D221*$E221)</f>
        <v>18.337</v>
      </c>
      <c r="G221" s="107" t="n">
        <f aca="false">IF($C221="","",$D221*IFERROR(INDEX('تحليل التكلفة والسعر'!$C$2:$C$700,MATCH($C221,'تحليل التكلفة والسعر'!$B$2:$B$700,0)),0))</f>
        <v>4.8343</v>
      </c>
      <c r="H221" s="104" t="s">
        <v>719</v>
      </c>
    </row>
    <row r="222" customFormat="false" ht="15" hidden="false" customHeight="false" outlineLevel="0" collapsed="false">
      <c r="A222" s="103" t="n">
        <v>46300</v>
      </c>
      <c r="B222" s="104" t="s">
        <v>33</v>
      </c>
      <c r="C222" s="104" t="s">
        <v>736</v>
      </c>
      <c r="D222" s="105" t="n">
        <v>0.1667</v>
      </c>
      <c r="E222" s="106" t="n">
        <v>110</v>
      </c>
      <c r="F222" s="107" t="n">
        <f aca="false">IF($C222="","",$D222*$E222)</f>
        <v>18.337</v>
      </c>
      <c r="G222" s="107" t="n">
        <f aca="false">IF($C222="","",$D222*IFERROR(INDEX('تحليل التكلفة والسعر'!$C$2:$C$700,MATCH($C222,'تحليل التكلفة والسعر'!$B$2:$B$700,0)),0))</f>
        <v>4.8343</v>
      </c>
      <c r="H222" s="104" t="s">
        <v>719</v>
      </c>
    </row>
    <row r="223" customFormat="false" ht="15" hidden="false" customHeight="false" outlineLevel="0" collapsed="false">
      <c r="A223" s="103" t="n">
        <v>46301</v>
      </c>
      <c r="B223" s="104" t="s">
        <v>33</v>
      </c>
      <c r="C223" s="104" t="s">
        <v>736</v>
      </c>
      <c r="D223" s="105" t="n">
        <v>0.1667</v>
      </c>
      <c r="E223" s="106" t="n">
        <v>110</v>
      </c>
      <c r="F223" s="107" t="n">
        <f aca="false">IF($C223="","",$D223*$E223)</f>
        <v>18.337</v>
      </c>
      <c r="G223" s="107" t="n">
        <f aca="false">IF($C223="","",$D223*IFERROR(INDEX('تحليل التكلفة والسعر'!$C$2:$C$700,MATCH($C223,'تحليل التكلفة والسعر'!$B$2:$B$700,0)),0))</f>
        <v>4.8343</v>
      </c>
      <c r="H223" s="104" t="s">
        <v>719</v>
      </c>
    </row>
    <row r="224" customFormat="false" ht="15" hidden="false" customHeight="false" outlineLevel="0" collapsed="false">
      <c r="A224" s="103" t="n">
        <v>46302</v>
      </c>
      <c r="B224" s="104" t="s">
        <v>33</v>
      </c>
      <c r="C224" s="104" t="s">
        <v>736</v>
      </c>
      <c r="D224" s="105" t="n">
        <v>0.1667</v>
      </c>
      <c r="E224" s="106" t="n">
        <v>110</v>
      </c>
      <c r="F224" s="107" t="n">
        <f aca="false">IF($C224="","",$D224*$E224)</f>
        <v>18.337</v>
      </c>
      <c r="G224" s="107" t="n">
        <f aca="false">IF($C224="","",$D224*IFERROR(INDEX('تحليل التكلفة والسعر'!$C$2:$C$700,MATCH($C224,'تحليل التكلفة والسعر'!$B$2:$B$700,0)),0))</f>
        <v>4.8343</v>
      </c>
      <c r="H224" s="104" t="s">
        <v>719</v>
      </c>
    </row>
    <row r="225" customFormat="false" ht="15" hidden="false" customHeight="false" outlineLevel="0" collapsed="false">
      <c r="A225" s="103" t="n">
        <v>46303</v>
      </c>
      <c r="B225" s="104" t="s">
        <v>33</v>
      </c>
      <c r="C225" s="104" t="s">
        <v>736</v>
      </c>
      <c r="D225" s="105" t="n">
        <v>0.1667</v>
      </c>
      <c r="E225" s="106" t="n">
        <v>110</v>
      </c>
      <c r="F225" s="107" t="n">
        <f aca="false">IF($C225="","",$D225*$E225)</f>
        <v>18.337</v>
      </c>
      <c r="G225" s="107" t="n">
        <f aca="false">IF($C225="","",$D225*IFERROR(INDEX('تحليل التكلفة والسعر'!$C$2:$C$700,MATCH($C225,'تحليل التكلفة والسعر'!$B$2:$B$700,0)),0))</f>
        <v>4.8343</v>
      </c>
      <c r="H225" s="104" t="s">
        <v>719</v>
      </c>
    </row>
    <row r="226" customFormat="false" ht="15" hidden="false" customHeight="false" outlineLevel="0" collapsed="false">
      <c r="A226" s="103" t="n">
        <v>46304</v>
      </c>
      <c r="B226" s="104" t="s">
        <v>33</v>
      </c>
      <c r="C226" s="104" t="s">
        <v>736</v>
      </c>
      <c r="D226" s="105" t="n">
        <v>0.1667</v>
      </c>
      <c r="E226" s="106" t="n">
        <v>110</v>
      </c>
      <c r="F226" s="107" t="n">
        <f aca="false">IF($C226="","",$D226*$E226)</f>
        <v>18.337</v>
      </c>
      <c r="G226" s="107" t="n">
        <f aca="false">IF($C226="","",$D226*IFERROR(INDEX('تحليل التكلفة والسعر'!$C$2:$C$700,MATCH($C226,'تحليل التكلفة والسعر'!$B$2:$B$700,0)),0))</f>
        <v>4.8343</v>
      </c>
      <c r="H226" s="104" t="s">
        <v>719</v>
      </c>
    </row>
    <row r="227" customFormat="false" ht="15" hidden="false" customHeight="false" outlineLevel="0" collapsed="false">
      <c r="A227" s="103" t="n">
        <v>46305</v>
      </c>
      <c r="B227" s="104" t="s">
        <v>33</v>
      </c>
      <c r="C227" s="104" t="s">
        <v>736</v>
      </c>
      <c r="D227" s="105" t="n">
        <v>0.1667</v>
      </c>
      <c r="E227" s="106" t="n">
        <v>110</v>
      </c>
      <c r="F227" s="107" t="n">
        <f aca="false">IF($C227="","",$D227*$E227)</f>
        <v>18.337</v>
      </c>
      <c r="G227" s="107" t="n">
        <f aca="false">IF($C227="","",$D227*IFERROR(INDEX('تحليل التكلفة والسعر'!$C$2:$C$700,MATCH($C227,'تحليل التكلفة والسعر'!$B$2:$B$700,0)),0))</f>
        <v>4.8343</v>
      </c>
      <c r="H227" s="104" t="s">
        <v>719</v>
      </c>
    </row>
    <row r="228" customFormat="false" ht="15" hidden="false" customHeight="false" outlineLevel="0" collapsed="false">
      <c r="A228" s="103" t="n">
        <v>46306</v>
      </c>
      <c r="B228" s="104" t="s">
        <v>33</v>
      </c>
      <c r="C228" s="104" t="s">
        <v>736</v>
      </c>
      <c r="D228" s="105" t="n">
        <v>0.1667</v>
      </c>
      <c r="E228" s="106" t="n">
        <v>110</v>
      </c>
      <c r="F228" s="107" t="n">
        <f aca="false">IF($C228="","",$D228*$E228)</f>
        <v>18.337</v>
      </c>
      <c r="G228" s="107" t="n">
        <f aca="false">IF($C228="","",$D228*IFERROR(INDEX('تحليل التكلفة والسعر'!$C$2:$C$700,MATCH($C228,'تحليل التكلفة والسعر'!$B$2:$B$700,0)),0))</f>
        <v>4.8343</v>
      </c>
      <c r="H228" s="104" t="s">
        <v>719</v>
      </c>
    </row>
    <row r="229" customFormat="false" ht="15" hidden="false" customHeight="false" outlineLevel="0" collapsed="false">
      <c r="A229" s="103" t="n">
        <v>46307</v>
      </c>
      <c r="B229" s="104" t="s">
        <v>33</v>
      </c>
      <c r="C229" s="104" t="s">
        <v>736</v>
      </c>
      <c r="D229" s="105" t="n">
        <v>0.1667</v>
      </c>
      <c r="E229" s="106" t="n">
        <v>110</v>
      </c>
      <c r="F229" s="107" t="n">
        <f aca="false">IF($C229="","",$D229*$E229)</f>
        <v>18.337</v>
      </c>
      <c r="G229" s="107" t="n">
        <f aca="false">IF($C229="","",$D229*IFERROR(INDEX('تحليل التكلفة والسعر'!$C$2:$C$700,MATCH($C229,'تحليل التكلفة والسعر'!$B$2:$B$700,0)),0))</f>
        <v>4.8343</v>
      </c>
      <c r="H229" s="104" t="s">
        <v>719</v>
      </c>
    </row>
    <row r="230" customFormat="false" ht="15" hidden="false" customHeight="false" outlineLevel="0" collapsed="false">
      <c r="A230" s="103" t="n">
        <v>46296</v>
      </c>
      <c r="B230" s="104" t="s">
        <v>33</v>
      </c>
      <c r="C230" s="104" t="s">
        <v>737</v>
      </c>
      <c r="D230" s="105" t="n">
        <v>0.1667</v>
      </c>
      <c r="E230" s="106" t="n">
        <v>50</v>
      </c>
      <c r="F230" s="107" t="n">
        <f aca="false">IF($C230="","",$D230*$E230)</f>
        <v>8.335</v>
      </c>
      <c r="G230" s="107" t="n">
        <f aca="false">IF($C230="","",$D230*IFERROR(INDEX('تحليل التكلفة والسعر'!$C$2:$C$700,MATCH($C230,'تحليل التكلفة والسعر'!$B$2:$B$700,0)),0))</f>
        <v>4.1675</v>
      </c>
      <c r="H230" s="104" t="s">
        <v>719</v>
      </c>
    </row>
    <row r="231" customFormat="false" ht="15" hidden="false" customHeight="false" outlineLevel="0" collapsed="false">
      <c r="A231" s="103" t="n">
        <v>46297</v>
      </c>
      <c r="B231" s="104" t="s">
        <v>33</v>
      </c>
      <c r="C231" s="104" t="s">
        <v>737</v>
      </c>
      <c r="D231" s="105" t="n">
        <v>0.1667</v>
      </c>
      <c r="E231" s="106" t="n">
        <v>50</v>
      </c>
      <c r="F231" s="107" t="n">
        <f aca="false">IF($C231="","",$D231*$E231)</f>
        <v>8.335</v>
      </c>
      <c r="G231" s="107" t="n">
        <f aca="false">IF($C231="","",$D231*IFERROR(INDEX('تحليل التكلفة والسعر'!$C$2:$C$700,MATCH($C231,'تحليل التكلفة والسعر'!$B$2:$B$700,0)),0))</f>
        <v>4.1675</v>
      </c>
      <c r="H231" s="104" t="s">
        <v>719</v>
      </c>
    </row>
    <row r="232" customFormat="false" ht="15" hidden="false" customHeight="false" outlineLevel="0" collapsed="false">
      <c r="A232" s="103" t="n">
        <v>46298</v>
      </c>
      <c r="B232" s="104" t="s">
        <v>33</v>
      </c>
      <c r="C232" s="104" t="s">
        <v>737</v>
      </c>
      <c r="D232" s="105" t="n">
        <v>0.1667</v>
      </c>
      <c r="E232" s="106" t="n">
        <v>50</v>
      </c>
      <c r="F232" s="107" t="n">
        <f aca="false">IF($C232="","",$D232*$E232)</f>
        <v>8.335</v>
      </c>
      <c r="G232" s="107" t="n">
        <f aca="false">IF($C232="","",$D232*IFERROR(INDEX('تحليل التكلفة والسعر'!$C$2:$C$700,MATCH($C232,'تحليل التكلفة والسعر'!$B$2:$B$700,0)),0))</f>
        <v>4.1675</v>
      </c>
      <c r="H232" s="104" t="s">
        <v>719</v>
      </c>
    </row>
    <row r="233" customFormat="false" ht="15" hidden="false" customHeight="false" outlineLevel="0" collapsed="false">
      <c r="A233" s="103" t="n">
        <v>46299</v>
      </c>
      <c r="B233" s="104" t="s">
        <v>33</v>
      </c>
      <c r="C233" s="104" t="s">
        <v>737</v>
      </c>
      <c r="D233" s="105" t="n">
        <v>0.1667</v>
      </c>
      <c r="E233" s="106" t="n">
        <v>50</v>
      </c>
      <c r="F233" s="107" t="n">
        <f aca="false">IF($C233="","",$D233*$E233)</f>
        <v>8.335</v>
      </c>
      <c r="G233" s="107" t="n">
        <f aca="false">IF($C233="","",$D233*IFERROR(INDEX('تحليل التكلفة والسعر'!$C$2:$C$700,MATCH($C233,'تحليل التكلفة والسعر'!$B$2:$B$700,0)),0))</f>
        <v>4.1675</v>
      </c>
      <c r="H233" s="104" t="s">
        <v>719</v>
      </c>
    </row>
    <row r="234" customFormat="false" ht="15" hidden="false" customHeight="false" outlineLevel="0" collapsed="false">
      <c r="A234" s="103" t="n">
        <v>46300</v>
      </c>
      <c r="B234" s="104" t="s">
        <v>33</v>
      </c>
      <c r="C234" s="104" t="s">
        <v>737</v>
      </c>
      <c r="D234" s="105" t="n">
        <v>0.1667</v>
      </c>
      <c r="E234" s="106" t="n">
        <v>50</v>
      </c>
      <c r="F234" s="107" t="n">
        <f aca="false">IF($C234="","",$D234*$E234)</f>
        <v>8.335</v>
      </c>
      <c r="G234" s="107" t="n">
        <f aca="false">IF($C234="","",$D234*IFERROR(INDEX('تحليل التكلفة والسعر'!$C$2:$C$700,MATCH($C234,'تحليل التكلفة والسعر'!$B$2:$B$700,0)),0))</f>
        <v>4.1675</v>
      </c>
      <c r="H234" s="104" t="s">
        <v>719</v>
      </c>
    </row>
    <row r="235" customFormat="false" ht="15" hidden="false" customHeight="false" outlineLevel="0" collapsed="false">
      <c r="A235" s="103" t="n">
        <v>46301</v>
      </c>
      <c r="B235" s="104" t="s">
        <v>33</v>
      </c>
      <c r="C235" s="104" t="s">
        <v>737</v>
      </c>
      <c r="D235" s="105" t="n">
        <v>0.1667</v>
      </c>
      <c r="E235" s="106" t="n">
        <v>50</v>
      </c>
      <c r="F235" s="107" t="n">
        <f aca="false">IF($C235="","",$D235*$E235)</f>
        <v>8.335</v>
      </c>
      <c r="G235" s="107" t="n">
        <f aca="false">IF($C235="","",$D235*IFERROR(INDEX('تحليل التكلفة والسعر'!$C$2:$C$700,MATCH($C235,'تحليل التكلفة والسعر'!$B$2:$B$700,0)),0))</f>
        <v>4.1675</v>
      </c>
      <c r="H235" s="104" t="s">
        <v>719</v>
      </c>
    </row>
    <row r="236" customFormat="false" ht="15" hidden="false" customHeight="false" outlineLevel="0" collapsed="false">
      <c r="A236" s="103" t="n">
        <v>46302</v>
      </c>
      <c r="B236" s="104" t="s">
        <v>33</v>
      </c>
      <c r="C236" s="104" t="s">
        <v>737</v>
      </c>
      <c r="D236" s="105" t="n">
        <v>0.1667</v>
      </c>
      <c r="E236" s="106" t="n">
        <v>50</v>
      </c>
      <c r="F236" s="107" t="n">
        <f aca="false">IF($C236="","",$D236*$E236)</f>
        <v>8.335</v>
      </c>
      <c r="G236" s="107" t="n">
        <f aca="false">IF($C236="","",$D236*IFERROR(INDEX('تحليل التكلفة والسعر'!$C$2:$C$700,MATCH($C236,'تحليل التكلفة والسعر'!$B$2:$B$700,0)),0))</f>
        <v>4.1675</v>
      </c>
      <c r="H236" s="104" t="s">
        <v>719</v>
      </c>
    </row>
    <row r="237" customFormat="false" ht="15" hidden="false" customHeight="false" outlineLevel="0" collapsed="false">
      <c r="A237" s="103" t="n">
        <v>46303</v>
      </c>
      <c r="B237" s="104" t="s">
        <v>33</v>
      </c>
      <c r="C237" s="104" t="s">
        <v>737</v>
      </c>
      <c r="D237" s="105" t="n">
        <v>0.1667</v>
      </c>
      <c r="E237" s="106" t="n">
        <v>50</v>
      </c>
      <c r="F237" s="107" t="n">
        <f aca="false">IF($C237="","",$D237*$E237)</f>
        <v>8.335</v>
      </c>
      <c r="G237" s="107" t="n">
        <f aca="false">IF($C237="","",$D237*IFERROR(INDEX('تحليل التكلفة والسعر'!$C$2:$C$700,MATCH($C237,'تحليل التكلفة والسعر'!$B$2:$B$700,0)),0))</f>
        <v>4.1675</v>
      </c>
      <c r="H237" s="104" t="s">
        <v>719</v>
      </c>
    </row>
    <row r="238" customFormat="false" ht="15" hidden="false" customHeight="false" outlineLevel="0" collapsed="false">
      <c r="A238" s="103" t="n">
        <v>46304</v>
      </c>
      <c r="B238" s="104" t="s">
        <v>33</v>
      </c>
      <c r="C238" s="104" t="s">
        <v>737</v>
      </c>
      <c r="D238" s="105" t="n">
        <v>0.1667</v>
      </c>
      <c r="E238" s="106" t="n">
        <v>50</v>
      </c>
      <c r="F238" s="107" t="n">
        <f aca="false">IF($C238="","",$D238*$E238)</f>
        <v>8.335</v>
      </c>
      <c r="G238" s="107" t="n">
        <f aca="false">IF($C238="","",$D238*IFERROR(INDEX('تحليل التكلفة والسعر'!$C$2:$C$700,MATCH($C238,'تحليل التكلفة والسعر'!$B$2:$B$700,0)),0))</f>
        <v>4.1675</v>
      </c>
      <c r="H238" s="104" t="s">
        <v>719</v>
      </c>
    </row>
    <row r="239" customFormat="false" ht="15" hidden="false" customHeight="false" outlineLevel="0" collapsed="false">
      <c r="A239" s="103" t="n">
        <v>46305</v>
      </c>
      <c r="B239" s="104" t="s">
        <v>33</v>
      </c>
      <c r="C239" s="104" t="s">
        <v>737</v>
      </c>
      <c r="D239" s="105" t="n">
        <v>0.1667</v>
      </c>
      <c r="E239" s="106" t="n">
        <v>50</v>
      </c>
      <c r="F239" s="107" t="n">
        <f aca="false">IF($C239="","",$D239*$E239)</f>
        <v>8.335</v>
      </c>
      <c r="G239" s="107" t="n">
        <f aca="false">IF($C239="","",$D239*IFERROR(INDEX('تحليل التكلفة والسعر'!$C$2:$C$700,MATCH($C239,'تحليل التكلفة والسعر'!$B$2:$B$700,0)),0))</f>
        <v>4.1675</v>
      </c>
      <c r="H239" s="104" t="s">
        <v>719</v>
      </c>
    </row>
    <row r="240" customFormat="false" ht="15" hidden="false" customHeight="false" outlineLevel="0" collapsed="false">
      <c r="A240" s="103" t="n">
        <v>46306</v>
      </c>
      <c r="B240" s="104" t="s">
        <v>33</v>
      </c>
      <c r="C240" s="104" t="s">
        <v>737</v>
      </c>
      <c r="D240" s="105" t="n">
        <v>0.1667</v>
      </c>
      <c r="E240" s="106" t="n">
        <v>50</v>
      </c>
      <c r="F240" s="107" t="n">
        <f aca="false">IF($C240="","",$D240*$E240)</f>
        <v>8.335</v>
      </c>
      <c r="G240" s="107" t="n">
        <f aca="false">IF($C240="","",$D240*IFERROR(INDEX('تحليل التكلفة والسعر'!$C$2:$C$700,MATCH($C240,'تحليل التكلفة والسعر'!$B$2:$B$700,0)),0))</f>
        <v>4.1675</v>
      </c>
      <c r="H240" s="104" t="s">
        <v>719</v>
      </c>
    </row>
    <row r="241" customFormat="false" ht="15" hidden="false" customHeight="false" outlineLevel="0" collapsed="false">
      <c r="A241" s="103" t="n">
        <v>46307</v>
      </c>
      <c r="B241" s="104" t="s">
        <v>33</v>
      </c>
      <c r="C241" s="104" t="s">
        <v>737</v>
      </c>
      <c r="D241" s="105" t="n">
        <v>0.1667</v>
      </c>
      <c r="E241" s="106" t="n">
        <v>50</v>
      </c>
      <c r="F241" s="107" t="n">
        <f aca="false">IF($C241="","",$D241*$E241)</f>
        <v>8.335</v>
      </c>
      <c r="G241" s="107" t="n">
        <f aca="false">IF($C241="","",$D241*IFERROR(INDEX('تحليل التكلفة والسعر'!$C$2:$C$700,MATCH($C241,'تحليل التكلفة والسعر'!$B$2:$B$700,0)),0))</f>
        <v>4.1675</v>
      </c>
      <c r="H241" s="104" t="s">
        <v>719</v>
      </c>
    </row>
    <row r="242" customFormat="false" ht="15" hidden="false" customHeight="false" outlineLevel="0" collapsed="false">
      <c r="A242" s="103" t="n">
        <v>46296</v>
      </c>
      <c r="B242" s="104" t="s">
        <v>33</v>
      </c>
      <c r="C242" s="104" t="s">
        <v>738</v>
      </c>
      <c r="D242" s="105" t="n">
        <v>0.1667</v>
      </c>
      <c r="E242" s="106" t="n">
        <v>65</v>
      </c>
      <c r="F242" s="107" t="n">
        <f aca="false">IF($C242="","",$D242*$E242)</f>
        <v>10.8355</v>
      </c>
      <c r="G242" s="107" t="n">
        <f aca="false">IF($C242="","",$D242*IFERROR(INDEX('تحليل التكلفة والسعر'!$C$2:$C$700,MATCH($C242,'تحليل التكلفة والسعر'!$B$2:$B$700,0)),0))</f>
        <v>3.5007</v>
      </c>
      <c r="H242" s="104" t="s">
        <v>719</v>
      </c>
    </row>
    <row r="243" customFormat="false" ht="15" hidden="false" customHeight="false" outlineLevel="0" collapsed="false">
      <c r="A243" s="103" t="n">
        <v>46297</v>
      </c>
      <c r="B243" s="104" t="s">
        <v>33</v>
      </c>
      <c r="C243" s="104" t="s">
        <v>738</v>
      </c>
      <c r="D243" s="105" t="n">
        <v>0.1667</v>
      </c>
      <c r="E243" s="106" t="n">
        <v>65</v>
      </c>
      <c r="F243" s="107" t="n">
        <f aca="false">IF($C243="","",$D243*$E243)</f>
        <v>10.8355</v>
      </c>
      <c r="G243" s="107" t="n">
        <f aca="false">IF($C243="","",$D243*IFERROR(INDEX('تحليل التكلفة والسعر'!$C$2:$C$700,MATCH($C243,'تحليل التكلفة والسعر'!$B$2:$B$700,0)),0))</f>
        <v>3.5007</v>
      </c>
      <c r="H243" s="104" t="s">
        <v>719</v>
      </c>
    </row>
    <row r="244" customFormat="false" ht="15" hidden="false" customHeight="false" outlineLevel="0" collapsed="false">
      <c r="A244" s="103" t="n">
        <v>46298</v>
      </c>
      <c r="B244" s="104" t="s">
        <v>33</v>
      </c>
      <c r="C244" s="104" t="s">
        <v>738</v>
      </c>
      <c r="D244" s="105" t="n">
        <v>0.1667</v>
      </c>
      <c r="E244" s="106" t="n">
        <v>65</v>
      </c>
      <c r="F244" s="107" t="n">
        <f aca="false">IF($C244="","",$D244*$E244)</f>
        <v>10.8355</v>
      </c>
      <c r="G244" s="107" t="n">
        <f aca="false">IF($C244="","",$D244*IFERROR(INDEX('تحليل التكلفة والسعر'!$C$2:$C$700,MATCH($C244,'تحليل التكلفة والسعر'!$B$2:$B$700,0)),0))</f>
        <v>3.5007</v>
      </c>
      <c r="H244" s="104" t="s">
        <v>719</v>
      </c>
    </row>
    <row r="245" customFormat="false" ht="15" hidden="false" customHeight="false" outlineLevel="0" collapsed="false">
      <c r="A245" s="103" t="n">
        <v>46299</v>
      </c>
      <c r="B245" s="104" t="s">
        <v>33</v>
      </c>
      <c r="C245" s="104" t="s">
        <v>738</v>
      </c>
      <c r="D245" s="105" t="n">
        <v>0.1667</v>
      </c>
      <c r="E245" s="106" t="n">
        <v>65</v>
      </c>
      <c r="F245" s="107" t="n">
        <f aca="false">IF($C245="","",$D245*$E245)</f>
        <v>10.8355</v>
      </c>
      <c r="G245" s="107" t="n">
        <f aca="false">IF($C245="","",$D245*IFERROR(INDEX('تحليل التكلفة والسعر'!$C$2:$C$700,MATCH($C245,'تحليل التكلفة والسعر'!$B$2:$B$700,0)),0))</f>
        <v>3.5007</v>
      </c>
      <c r="H245" s="104" t="s">
        <v>719</v>
      </c>
    </row>
    <row r="246" customFormat="false" ht="15" hidden="false" customHeight="false" outlineLevel="0" collapsed="false">
      <c r="A246" s="103" t="n">
        <v>46300</v>
      </c>
      <c r="B246" s="104" t="s">
        <v>33</v>
      </c>
      <c r="C246" s="104" t="s">
        <v>738</v>
      </c>
      <c r="D246" s="105" t="n">
        <v>0.1667</v>
      </c>
      <c r="E246" s="106" t="n">
        <v>65</v>
      </c>
      <c r="F246" s="107" t="n">
        <f aca="false">IF($C246="","",$D246*$E246)</f>
        <v>10.8355</v>
      </c>
      <c r="G246" s="107" t="n">
        <f aca="false">IF($C246="","",$D246*IFERROR(INDEX('تحليل التكلفة والسعر'!$C$2:$C$700,MATCH($C246,'تحليل التكلفة والسعر'!$B$2:$B$700,0)),0))</f>
        <v>3.5007</v>
      </c>
      <c r="H246" s="104" t="s">
        <v>719</v>
      </c>
    </row>
    <row r="247" customFormat="false" ht="15" hidden="false" customHeight="false" outlineLevel="0" collapsed="false">
      <c r="A247" s="103" t="n">
        <v>46301</v>
      </c>
      <c r="B247" s="104" t="s">
        <v>33</v>
      </c>
      <c r="C247" s="104" t="s">
        <v>738</v>
      </c>
      <c r="D247" s="105" t="n">
        <v>0.1667</v>
      </c>
      <c r="E247" s="106" t="n">
        <v>65</v>
      </c>
      <c r="F247" s="107" t="n">
        <f aca="false">IF($C247="","",$D247*$E247)</f>
        <v>10.8355</v>
      </c>
      <c r="G247" s="107" t="n">
        <f aca="false">IF($C247="","",$D247*IFERROR(INDEX('تحليل التكلفة والسعر'!$C$2:$C$700,MATCH($C247,'تحليل التكلفة والسعر'!$B$2:$B$700,0)),0))</f>
        <v>3.5007</v>
      </c>
      <c r="H247" s="104" t="s">
        <v>719</v>
      </c>
    </row>
    <row r="248" customFormat="false" ht="15" hidden="false" customHeight="false" outlineLevel="0" collapsed="false">
      <c r="A248" s="103" t="n">
        <v>46302</v>
      </c>
      <c r="B248" s="104" t="s">
        <v>33</v>
      </c>
      <c r="C248" s="104" t="s">
        <v>738</v>
      </c>
      <c r="D248" s="105" t="n">
        <v>0.1667</v>
      </c>
      <c r="E248" s="106" t="n">
        <v>65</v>
      </c>
      <c r="F248" s="107" t="n">
        <f aca="false">IF($C248="","",$D248*$E248)</f>
        <v>10.8355</v>
      </c>
      <c r="G248" s="107" t="n">
        <f aca="false">IF($C248="","",$D248*IFERROR(INDEX('تحليل التكلفة والسعر'!$C$2:$C$700,MATCH($C248,'تحليل التكلفة والسعر'!$B$2:$B$700,0)),0))</f>
        <v>3.5007</v>
      </c>
      <c r="H248" s="104" t="s">
        <v>719</v>
      </c>
    </row>
    <row r="249" customFormat="false" ht="15" hidden="false" customHeight="false" outlineLevel="0" collapsed="false">
      <c r="A249" s="103" t="n">
        <v>46303</v>
      </c>
      <c r="B249" s="104" t="s">
        <v>33</v>
      </c>
      <c r="C249" s="104" t="s">
        <v>738</v>
      </c>
      <c r="D249" s="105" t="n">
        <v>0.1667</v>
      </c>
      <c r="E249" s="106" t="n">
        <v>65</v>
      </c>
      <c r="F249" s="107" t="n">
        <f aca="false">IF($C249="","",$D249*$E249)</f>
        <v>10.8355</v>
      </c>
      <c r="G249" s="107" t="n">
        <f aca="false">IF($C249="","",$D249*IFERROR(INDEX('تحليل التكلفة والسعر'!$C$2:$C$700,MATCH($C249,'تحليل التكلفة والسعر'!$B$2:$B$700,0)),0))</f>
        <v>3.5007</v>
      </c>
      <c r="H249" s="104" t="s">
        <v>719</v>
      </c>
    </row>
    <row r="250" customFormat="false" ht="15" hidden="false" customHeight="false" outlineLevel="0" collapsed="false">
      <c r="A250" s="103" t="n">
        <v>46304</v>
      </c>
      <c r="B250" s="104" t="s">
        <v>33</v>
      </c>
      <c r="C250" s="104" t="s">
        <v>738</v>
      </c>
      <c r="D250" s="105" t="n">
        <v>0.1667</v>
      </c>
      <c r="E250" s="106" t="n">
        <v>65</v>
      </c>
      <c r="F250" s="107" t="n">
        <f aca="false">IF($C250="","",$D250*$E250)</f>
        <v>10.8355</v>
      </c>
      <c r="G250" s="107" t="n">
        <f aca="false">IF($C250="","",$D250*IFERROR(INDEX('تحليل التكلفة والسعر'!$C$2:$C$700,MATCH($C250,'تحليل التكلفة والسعر'!$B$2:$B$700,0)),0))</f>
        <v>3.5007</v>
      </c>
      <c r="H250" s="104" t="s">
        <v>719</v>
      </c>
    </row>
    <row r="251" customFormat="false" ht="15" hidden="false" customHeight="false" outlineLevel="0" collapsed="false">
      <c r="A251" s="103" t="n">
        <v>46305</v>
      </c>
      <c r="B251" s="104" t="s">
        <v>33</v>
      </c>
      <c r="C251" s="104" t="s">
        <v>738</v>
      </c>
      <c r="D251" s="105" t="n">
        <v>0.1667</v>
      </c>
      <c r="E251" s="106" t="n">
        <v>65</v>
      </c>
      <c r="F251" s="107" t="n">
        <f aca="false">IF($C251="","",$D251*$E251)</f>
        <v>10.8355</v>
      </c>
      <c r="G251" s="107" t="n">
        <f aca="false">IF($C251="","",$D251*IFERROR(INDEX('تحليل التكلفة والسعر'!$C$2:$C$700,MATCH($C251,'تحليل التكلفة والسعر'!$B$2:$B$700,0)),0))</f>
        <v>3.5007</v>
      </c>
      <c r="H251" s="104" t="s">
        <v>719</v>
      </c>
    </row>
    <row r="252" customFormat="false" ht="15" hidden="false" customHeight="false" outlineLevel="0" collapsed="false">
      <c r="A252" s="103" t="n">
        <v>46306</v>
      </c>
      <c r="B252" s="104" t="s">
        <v>33</v>
      </c>
      <c r="C252" s="104" t="s">
        <v>738</v>
      </c>
      <c r="D252" s="105" t="n">
        <v>0.1667</v>
      </c>
      <c r="E252" s="106" t="n">
        <v>65</v>
      </c>
      <c r="F252" s="107" t="n">
        <f aca="false">IF($C252="","",$D252*$E252)</f>
        <v>10.8355</v>
      </c>
      <c r="G252" s="107" t="n">
        <f aca="false">IF($C252="","",$D252*IFERROR(INDEX('تحليل التكلفة والسعر'!$C$2:$C$700,MATCH($C252,'تحليل التكلفة والسعر'!$B$2:$B$700,0)),0))</f>
        <v>3.5007</v>
      </c>
      <c r="H252" s="104" t="s">
        <v>719</v>
      </c>
    </row>
    <row r="253" customFormat="false" ht="15" hidden="false" customHeight="false" outlineLevel="0" collapsed="false">
      <c r="A253" s="103" t="n">
        <v>46307</v>
      </c>
      <c r="B253" s="104" t="s">
        <v>33</v>
      </c>
      <c r="C253" s="104" t="s">
        <v>738</v>
      </c>
      <c r="D253" s="105" t="n">
        <v>0.1667</v>
      </c>
      <c r="E253" s="106" t="n">
        <v>65</v>
      </c>
      <c r="F253" s="107" t="n">
        <f aca="false">IF($C253="","",$D253*$E253)</f>
        <v>10.8355</v>
      </c>
      <c r="G253" s="107" t="n">
        <f aca="false">IF($C253="","",$D253*IFERROR(INDEX('تحليل التكلفة والسعر'!$C$2:$C$700,MATCH($C253,'تحليل التكلفة والسعر'!$B$2:$B$700,0)),0))</f>
        <v>3.5007</v>
      </c>
      <c r="H253" s="104" t="s">
        <v>719</v>
      </c>
    </row>
    <row r="254" customFormat="false" ht="15" hidden="false" customHeight="false" outlineLevel="0" collapsed="false">
      <c r="A254" s="103" t="n">
        <v>46296</v>
      </c>
      <c r="B254" s="104" t="s">
        <v>33</v>
      </c>
      <c r="C254" s="104" t="s">
        <v>739</v>
      </c>
      <c r="D254" s="105" t="n">
        <v>0.1667</v>
      </c>
      <c r="E254" s="106" t="n">
        <v>45</v>
      </c>
      <c r="F254" s="107" t="n">
        <f aca="false">IF($C254="","",$D254*$E254)</f>
        <v>7.5015</v>
      </c>
      <c r="G254" s="107" t="n">
        <f aca="false">IF($C254="","",$D254*IFERROR(INDEX('تحليل التكلفة والسعر'!$C$2:$C$700,MATCH($C254,'تحليل التكلفة والسعر'!$B$2:$B$700,0)),0))</f>
        <v>2.25045</v>
      </c>
      <c r="H254" s="104" t="s">
        <v>719</v>
      </c>
    </row>
    <row r="255" customFormat="false" ht="15" hidden="false" customHeight="false" outlineLevel="0" collapsed="false">
      <c r="A255" s="103" t="n">
        <v>46297</v>
      </c>
      <c r="B255" s="104" t="s">
        <v>33</v>
      </c>
      <c r="C255" s="104" t="s">
        <v>739</v>
      </c>
      <c r="D255" s="105" t="n">
        <v>0.1667</v>
      </c>
      <c r="E255" s="106" t="n">
        <v>45</v>
      </c>
      <c r="F255" s="107" t="n">
        <f aca="false">IF($C255="","",$D255*$E255)</f>
        <v>7.5015</v>
      </c>
      <c r="G255" s="107" t="n">
        <f aca="false">IF($C255="","",$D255*IFERROR(INDEX('تحليل التكلفة والسعر'!$C$2:$C$700,MATCH($C255,'تحليل التكلفة والسعر'!$B$2:$B$700,0)),0))</f>
        <v>2.25045</v>
      </c>
      <c r="H255" s="104" t="s">
        <v>719</v>
      </c>
    </row>
    <row r="256" customFormat="false" ht="15" hidden="false" customHeight="false" outlineLevel="0" collapsed="false">
      <c r="A256" s="103" t="n">
        <v>46298</v>
      </c>
      <c r="B256" s="104" t="s">
        <v>33</v>
      </c>
      <c r="C256" s="104" t="s">
        <v>739</v>
      </c>
      <c r="D256" s="105" t="n">
        <v>0.1667</v>
      </c>
      <c r="E256" s="106" t="n">
        <v>45</v>
      </c>
      <c r="F256" s="107" t="n">
        <f aca="false">IF($C256="","",$D256*$E256)</f>
        <v>7.5015</v>
      </c>
      <c r="G256" s="107" t="n">
        <f aca="false">IF($C256="","",$D256*IFERROR(INDEX('تحليل التكلفة والسعر'!$C$2:$C$700,MATCH($C256,'تحليل التكلفة والسعر'!$B$2:$B$700,0)),0))</f>
        <v>2.25045</v>
      </c>
      <c r="H256" s="104" t="s">
        <v>719</v>
      </c>
    </row>
    <row r="257" customFormat="false" ht="15" hidden="false" customHeight="false" outlineLevel="0" collapsed="false">
      <c r="A257" s="103" t="n">
        <v>46299</v>
      </c>
      <c r="B257" s="104" t="s">
        <v>33</v>
      </c>
      <c r="C257" s="104" t="s">
        <v>739</v>
      </c>
      <c r="D257" s="105" t="n">
        <v>0.1667</v>
      </c>
      <c r="E257" s="106" t="n">
        <v>45</v>
      </c>
      <c r="F257" s="107" t="n">
        <f aca="false">IF($C257="","",$D257*$E257)</f>
        <v>7.5015</v>
      </c>
      <c r="G257" s="107" t="n">
        <f aca="false">IF($C257="","",$D257*IFERROR(INDEX('تحليل التكلفة والسعر'!$C$2:$C$700,MATCH($C257,'تحليل التكلفة والسعر'!$B$2:$B$700,0)),0))</f>
        <v>2.25045</v>
      </c>
      <c r="H257" s="104" t="s">
        <v>719</v>
      </c>
    </row>
    <row r="258" customFormat="false" ht="15" hidden="false" customHeight="false" outlineLevel="0" collapsed="false">
      <c r="A258" s="103" t="n">
        <v>46300</v>
      </c>
      <c r="B258" s="104" t="s">
        <v>33</v>
      </c>
      <c r="C258" s="104" t="s">
        <v>739</v>
      </c>
      <c r="D258" s="105" t="n">
        <v>0.1667</v>
      </c>
      <c r="E258" s="106" t="n">
        <v>45</v>
      </c>
      <c r="F258" s="107" t="n">
        <f aca="false">IF($C258="","",$D258*$E258)</f>
        <v>7.5015</v>
      </c>
      <c r="G258" s="107" t="n">
        <f aca="false">IF($C258="","",$D258*IFERROR(INDEX('تحليل التكلفة والسعر'!$C$2:$C$700,MATCH($C258,'تحليل التكلفة والسعر'!$B$2:$B$700,0)),0))</f>
        <v>2.25045</v>
      </c>
      <c r="H258" s="104" t="s">
        <v>719</v>
      </c>
    </row>
    <row r="259" customFormat="false" ht="15" hidden="false" customHeight="false" outlineLevel="0" collapsed="false">
      <c r="A259" s="103" t="n">
        <v>46301</v>
      </c>
      <c r="B259" s="104" t="s">
        <v>33</v>
      </c>
      <c r="C259" s="104" t="s">
        <v>739</v>
      </c>
      <c r="D259" s="105" t="n">
        <v>0.1667</v>
      </c>
      <c r="E259" s="106" t="n">
        <v>45</v>
      </c>
      <c r="F259" s="107" t="n">
        <f aca="false">IF($C259="","",$D259*$E259)</f>
        <v>7.5015</v>
      </c>
      <c r="G259" s="107" t="n">
        <f aca="false">IF($C259="","",$D259*IFERROR(INDEX('تحليل التكلفة والسعر'!$C$2:$C$700,MATCH($C259,'تحليل التكلفة والسعر'!$B$2:$B$700,0)),0))</f>
        <v>2.25045</v>
      </c>
      <c r="H259" s="104" t="s">
        <v>719</v>
      </c>
    </row>
    <row r="260" customFormat="false" ht="15" hidden="false" customHeight="false" outlineLevel="0" collapsed="false">
      <c r="A260" s="103" t="n">
        <v>46302</v>
      </c>
      <c r="B260" s="104" t="s">
        <v>33</v>
      </c>
      <c r="C260" s="104" t="s">
        <v>739</v>
      </c>
      <c r="D260" s="105" t="n">
        <v>0.1667</v>
      </c>
      <c r="E260" s="106" t="n">
        <v>45</v>
      </c>
      <c r="F260" s="107" t="n">
        <f aca="false">IF($C260="","",$D260*$E260)</f>
        <v>7.5015</v>
      </c>
      <c r="G260" s="107" t="n">
        <f aca="false">IF($C260="","",$D260*IFERROR(INDEX('تحليل التكلفة والسعر'!$C$2:$C$700,MATCH($C260,'تحليل التكلفة والسعر'!$B$2:$B$700,0)),0))</f>
        <v>2.25045</v>
      </c>
      <c r="H260" s="104" t="s">
        <v>719</v>
      </c>
    </row>
    <row r="261" customFormat="false" ht="15" hidden="false" customHeight="false" outlineLevel="0" collapsed="false">
      <c r="A261" s="103" t="n">
        <v>46303</v>
      </c>
      <c r="B261" s="104" t="s">
        <v>33</v>
      </c>
      <c r="C261" s="104" t="s">
        <v>739</v>
      </c>
      <c r="D261" s="105" t="n">
        <v>0.1667</v>
      </c>
      <c r="E261" s="106" t="n">
        <v>45</v>
      </c>
      <c r="F261" s="107" t="n">
        <f aca="false">IF($C261="","",$D261*$E261)</f>
        <v>7.5015</v>
      </c>
      <c r="G261" s="107" t="n">
        <f aca="false">IF($C261="","",$D261*IFERROR(INDEX('تحليل التكلفة والسعر'!$C$2:$C$700,MATCH($C261,'تحليل التكلفة والسعر'!$B$2:$B$700,0)),0))</f>
        <v>2.25045</v>
      </c>
      <c r="H261" s="104" t="s">
        <v>719</v>
      </c>
    </row>
    <row r="262" customFormat="false" ht="15" hidden="false" customHeight="false" outlineLevel="0" collapsed="false">
      <c r="A262" s="103" t="n">
        <v>46304</v>
      </c>
      <c r="B262" s="104" t="s">
        <v>33</v>
      </c>
      <c r="C262" s="104" t="s">
        <v>739</v>
      </c>
      <c r="D262" s="105" t="n">
        <v>0.1667</v>
      </c>
      <c r="E262" s="106" t="n">
        <v>45</v>
      </c>
      <c r="F262" s="107" t="n">
        <f aca="false">IF($C262="","",$D262*$E262)</f>
        <v>7.5015</v>
      </c>
      <c r="G262" s="107" t="n">
        <f aca="false">IF($C262="","",$D262*IFERROR(INDEX('تحليل التكلفة والسعر'!$C$2:$C$700,MATCH($C262,'تحليل التكلفة والسعر'!$B$2:$B$700,0)),0))</f>
        <v>2.25045</v>
      </c>
      <c r="H262" s="104" t="s">
        <v>719</v>
      </c>
    </row>
    <row r="263" customFormat="false" ht="15" hidden="false" customHeight="false" outlineLevel="0" collapsed="false">
      <c r="A263" s="103" t="n">
        <v>46305</v>
      </c>
      <c r="B263" s="104" t="s">
        <v>33</v>
      </c>
      <c r="C263" s="104" t="s">
        <v>739</v>
      </c>
      <c r="D263" s="105" t="n">
        <v>0.1667</v>
      </c>
      <c r="E263" s="106" t="n">
        <v>45</v>
      </c>
      <c r="F263" s="107" t="n">
        <f aca="false">IF($C263="","",$D263*$E263)</f>
        <v>7.5015</v>
      </c>
      <c r="G263" s="107" t="n">
        <f aca="false">IF($C263="","",$D263*IFERROR(INDEX('تحليل التكلفة والسعر'!$C$2:$C$700,MATCH($C263,'تحليل التكلفة والسعر'!$B$2:$B$700,0)),0))</f>
        <v>2.25045</v>
      </c>
      <c r="H263" s="104" t="s">
        <v>719</v>
      </c>
    </row>
    <row r="264" customFormat="false" ht="15" hidden="false" customHeight="false" outlineLevel="0" collapsed="false">
      <c r="A264" s="103" t="n">
        <v>46306</v>
      </c>
      <c r="B264" s="104" t="s">
        <v>33</v>
      </c>
      <c r="C264" s="104" t="s">
        <v>739</v>
      </c>
      <c r="D264" s="105" t="n">
        <v>0.1667</v>
      </c>
      <c r="E264" s="106" t="n">
        <v>45</v>
      </c>
      <c r="F264" s="107" t="n">
        <f aca="false">IF($C264="","",$D264*$E264)</f>
        <v>7.5015</v>
      </c>
      <c r="G264" s="107" t="n">
        <f aca="false">IF($C264="","",$D264*IFERROR(INDEX('تحليل التكلفة والسعر'!$C$2:$C$700,MATCH($C264,'تحليل التكلفة والسعر'!$B$2:$B$700,0)),0))</f>
        <v>2.25045</v>
      </c>
      <c r="H264" s="104" t="s">
        <v>719</v>
      </c>
    </row>
    <row r="265" customFormat="false" ht="15" hidden="false" customHeight="false" outlineLevel="0" collapsed="false">
      <c r="A265" s="103" t="n">
        <v>46307</v>
      </c>
      <c r="B265" s="104" t="s">
        <v>33</v>
      </c>
      <c r="C265" s="104" t="s">
        <v>739</v>
      </c>
      <c r="D265" s="105" t="n">
        <v>0.1667</v>
      </c>
      <c r="E265" s="106" t="n">
        <v>45</v>
      </c>
      <c r="F265" s="107" t="n">
        <f aca="false">IF($C265="","",$D265*$E265)</f>
        <v>7.5015</v>
      </c>
      <c r="G265" s="107" t="n">
        <f aca="false">IF($C265="","",$D265*IFERROR(INDEX('تحليل التكلفة والسعر'!$C$2:$C$700,MATCH($C265,'تحليل التكلفة والسعر'!$B$2:$B$700,0)),0))</f>
        <v>2.25045</v>
      </c>
      <c r="H265" s="104" t="s">
        <v>719</v>
      </c>
    </row>
    <row r="266" customFormat="false" ht="15" hidden="false" customHeight="false" outlineLevel="0" collapsed="false">
      <c r="A266" s="103" t="n">
        <v>46296</v>
      </c>
      <c r="B266" s="104" t="s">
        <v>33</v>
      </c>
      <c r="C266" s="104" t="s">
        <v>740</v>
      </c>
      <c r="D266" s="105" t="n">
        <v>0.1667</v>
      </c>
      <c r="E266" s="106" t="n">
        <v>60</v>
      </c>
      <c r="F266" s="107" t="n">
        <f aca="false">IF($C266="","",$D266*$E266)</f>
        <v>10.002</v>
      </c>
      <c r="G266" s="107" t="n">
        <f aca="false">IF($C266="","",$D266*IFERROR(INDEX('تحليل التكلفة والسعر'!$C$2:$C$700,MATCH($C266,'تحليل التكلفة والسعر'!$B$2:$B$700,0)),0))</f>
        <v>5.592785</v>
      </c>
      <c r="H266" s="104" t="s">
        <v>719</v>
      </c>
    </row>
    <row r="267" customFormat="false" ht="15" hidden="false" customHeight="false" outlineLevel="0" collapsed="false">
      <c r="A267" s="103" t="n">
        <v>46297</v>
      </c>
      <c r="B267" s="104" t="s">
        <v>33</v>
      </c>
      <c r="C267" s="104" t="s">
        <v>740</v>
      </c>
      <c r="D267" s="105" t="n">
        <v>0.1667</v>
      </c>
      <c r="E267" s="106" t="n">
        <v>60</v>
      </c>
      <c r="F267" s="107" t="n">
        <f aca="false">IF($C267="","",$D267*$E267)</f>
        <v>10.002</v>
      </c>
      <c r="G267" s="107" t="n">
        <f aca="false">IF($C267="","",$D267*IFERROR(INDEX('تحليل التكلفة والسعر'!$C$2:$C$700,MATCH($C267,'تحليل التكلفة والسعر'!$B$2:$B$700,0)),0))</f>
        <v>5.592785</v>
      </c>
      <c r="H267" s="104" t="s">
        <v>719</v>
      </c>
    </row>
    <row r="268" customFormat="false" ht="15" hidden="false" customHeight="false" outlineLevel="0" collapsed="false">
      <c r="A268" s="103" t="n">
        <v>46298</v>
      </c>
      <c r="B268" s="104" t="s">
        <v>33</v>
      </c>
      <c r="C268" s="104" t="s">
        <v>740</v>
      </c>
      <c r="D268" s="105" t="n">
        <v>0.1667</v>
      </c>
      <c r="E268" s="106" t="n">
        <v>60</v>
      </c>
      <c r="F268" s="107" t="n">
        <f aca="false">IF($C268="","",$D268*$E268)</f>
        <v>10.002</v>
      </c>
      <c r="G268" s="107" t="n">
        <f aca="false">IF($C268="","",$D268*IFERROR(INDEX('تحليل التكلفة والسعر'!$C$2:$C$700,MATCH($C268,'تحليل التكلفة والسعر'!$B$2:$B$700,0)),0))</f>
        <v>5.592785</v>
      </c>
      <c r="H268" s="104" t="s">
        <v>719</v>
      </c>
    </row>
    <row r="269" customFormat="false" ht="15" hidden="false" customHeight="false" outlineLevel="0" collapsed="false">
      <c r="A269" s="103" t="n">
        <v>46299</v>
      </c>
      <c r="B269" s="104" t="s">
        <v>33</v>
      </c>
      <c r="C269" s="104" t="s">
        <v>740</v>
      </c>
      <c r="D269" s="105" t="n">
        <v>0.1667</v>
      </c>
      <c r="E269" s="106" t="n">
        <v>60</v>
      </c>
      <c r="F269" s="107" t="n">
        <f aca="false">IF($C269="","",$D269*$E269)</f>
        <v>10.002</v>
      </c>
      <c r="G269" s="107" t="n">
        <f aca="false">IF($C269="","",$D269*IFERROR(INDEX('تحليل التكلفة والسعر'!$C$2:$C$700,MATCH($C269,'تحليل التكلفة والسعر'!$B$2:$B$700,0)),0))</f>
        <v>5.592785</v>
      </c>
      <c r="H269" s="104" t="s">
        <v>719</v>
      </c>
    </row>
    <row r="270" customFormat="false" ht="15" hidden="false" customHeight="false" outlineLevel="0" collapsed="false">
      <c r="A270" s="103" t="n">
        <v>46300</v>
      </c>
      <c r="B270" s="104" t="s">
        <v>33</v>
      </c>
      <c r="C270" s="104" t="s">
        <v>740</v>
      </c>
      <c r="D270" s="105" t="n">
        <v>0.1667</v>
      </c>
      <c r="E270" s="106" t="n">
        <v>60</v>
      </c>
      <c r="F270" s="107" t="n">
        <f aca="false">IF($C270="","",$D270*$E270)</f>
        <v>10.002</v>
      </c>
      <c r="G270" s="107" t="n">
        <f aca="false">IF($C270="","",$D270*IFERROR(INDEX('تحليل التكلفة والسعر'!$C$2:$C$700,MATCH($C270,'تحليل التكلفة والسعر'!$B$2:$B$700,0)),0))</f>
        <v>5.592785</v>
      </c>
      <c r="H270" s="104" t="s">
        <v>719</v>
      </c>
    </row>
    <row r="271" customFormat="false" ht="15" hidden="false" customHeight="false" outlineLevel="0" collapsed="false">
      <c r="A271" s="103" t="n">
        <v>46301</v>
      </c>
      <c r="B271" s="104" t="s">
        <v>33</v>
      </c>
      <c r="C271" s="104" t="s">
        <v>740</v>
      </c>
      <c r="D271" s="105" t="n">
        <v>0.1667</v>
      </c>
      <c r="E271" s="106" t="n">
        <v>60</v>
      </c>
      <c r="F271" s="107" t="n">
        <f aca="false">IF($C271="","",$D271*$E271)</f>
        <v>10.002</v>
      </c>
      <c r="G271" s="107" t="n">
        <f aca="false">IF($C271="","",$D271*IFERROR(INDEX('تحليل التكلفة والسعر'!$C$2:$C$700,MATCH($C271,'تحليل التكلفة والسعر'!$B$2:$B$700,0)),0))</f>
        <v>5.592785</v>
      </c>
      <c r="H271" s="104" t="s">
        <v>719</v>
      </c>
    </row>
    <row r="272" customFormat="false" ht="15" hidden="false" customHeight="false" outlineLevel="0" collapsed="false">
      <c r="A272" s="103" t="n">
        <v>46302</v>
      </c>
      <c r="B272" s="104" t="s">
        <v>33</v>
      </c>
      <c r="C272" s="104" t="s">
        <v>740</v>
      </c>
      <c r="D272" s="105" t="n">
        <v>0.1667</v>
      </c>
      <c r="E272" s="106" t="n">
        <v>60</v>
      </c>
      <c r="F272" s="107" t="n">
        <f aca="false">IF($C272="","",$D272*$E272)</f>
        <v>10.002</v>
      </c>
      <c r="G272" s="107" t="n">
        <f aca="false">IF($C272="","",$D272*IFERROR(INDEX('تحليل التكلفة والسعر'!$C$2:$C$700,MATCH($C272,'تحليل التكلفة والسعر'!$B$2:$B$700,0)),0))</f>
        <v>5.592785</v>
      </c>
      <c r="H272" s="104" t="s">
        <v>719</v>
      </c>
    </row>
    <row r="273" customFormat="false" ht="15" hidden="false" customHeight="false" outlineLevel="0" collapsed="false">
      <c r="A273" s="103" t="n">
        <v>46303</v>
      </c>
      <c r="B273" s="104" t="s">
        <v>33</v>
      </c>
      <c r="C273" s="104" t="s">
        <v>740</v>
      </c>
      <c r="D273" s="105" t="n">
        <v>0.1667</v>
      </c>
      <c r="E273" s="106" t="n">
        <v>60</v>
      </c>
      <c r="F273" s="107" t="n">
        <f aca="false">IF($C273="","",$D273*$E273)</f>
        <v>10.002</v>
      </c>
      <c r="G273" s="107" t="n">
        <f aca="false">IF($C273="","",$D273*IFERROR(INDEX('تحليل التكلفة والسعر'!$C$2:$C$700,MATCH($C273,'تحليل التكلفة والسعر'!$B$2:$B$700,0)),0))</f>
        <v>5.592785</v>
      </c>
      <c r="H273" s="104" t="s">
        <v>719</v>
      </c>
    </row>
    <row r="274" customFormat="false" ht="15" hidden="false" customHeight="false" outlineLevel="0" collapsed="false">
      <c r="A274" s="103" t="n">
        <v>46304</v>
      </c>
      <c r="B274" s="104" t="s">
        <v>33</v>
      </c>
      <c r="C274" s="104" t="s">
        <v>740</v>
      </c>
      <c r="D274" s="105" t="n">
        <v>0.1667</v>
      </c>
      <c r="E274" s="106" t="n">
        <v>60</v>
      </c>
      <c r="F274" s="107" t="n">
        <f aca="false">IF($C274="","",$D274*$E274)</f>
        <v>10.002</v>
      </c>
      <c r="G274" s="107" t="n">
        <f aca="false">IF($C274="","",$D274*IFERROR(INDEX('تحليل التكلفة والسعر'!$C$2:$C$700,MATCH($C274,'تحليل التكلفة والسعر'!$B$2:$B$700,0)),0))</f>
        <v>5.592785</v>
      </c>
      <c r="H274" s="104" t="s">
        <v>719</v>
      </c>
    </row>
    <row r="275" customFormat="false" ht="15" hidden="false" customHeight="false" outlineLevel="0" collapsed="false">
      <c r="A275" s="103" t="n">
        <v>46305</v>
      </c>
      <c r="B275" s="104" t="s">
        <v>33</v>
      </c>
      <c r="C275" s="104" t="s">
        <v>740</v>
      </c>
      <c r="D275" s="105" t="n">
        <v>0.1667</v>
      </c>
      <c r="E275" s="106" t="n">
        <v>60</v>
      </c>
      <c r="F275" s="107" t="n">
        <f aca="false">IF($C275="","",$D275*$E275)</f>
        <v>10.002</v>
      </c>
      <c r="G275" s="107" t="n">
        <f aca="false">IF($C275="","",$D275*IFERROR(INDEX('تحليل التكلفة والسعر'!$C$2:$C$700,MATCH($C275,'تحليل التكلفة والسعر'!$B$2:$B$700,0)),0))</f>
        <v>5.592785</v>
      </c>
      <c r="H275" s="104" t="s">
        <v>719</v>
      </c>
    </row>
    <row r="276" customFormat="false" ht="15" hidden="false" customHeight="false" outlineLevel="0" collapsed="false">
      <c r="A276" s="103" t="n">
        <v>46306</v>
      </c>
      <c r="B276" s="104" t="s">
        <v>33</v>
      </c>
      <c r="C276" s="104" t="s">
        <v>740</v>
      </c>
      <c r="D276" s="105" t="n">
        <v>0.1667</v>
      </c>
      <c r="E276" s="106" t="n">
        <v>60</v>
      </c>
      <c r="F276" s="107" t="n">
        <f aca="false">IF($C276="","",$D276*$E276)</f>
        <v>10.002</v>
      </c>
      <c r="G276" s="107" t="n">
        <f aca="false">IF($C276="","",$D276*IFERROR(INDEX('تحليل التكلفة والسعر'!$C$2:$C$700,MATCH($C276,'تحليل التكلفة والسعر'!$B$2:$B$700,0)),0))</f>
        <v>5.592785</v>
      </c>
      <c r="H276" s="104" t="s">
        <v>719</v>
      </c>
    </row>
    <row r="277" customFormat="false" ht="15" hidden="false" customHeight="false" outlineLevel="0" collapsed="false">
      <c r="A277" s="103" t="n">
        <v>46307</v>
      </c>
      <c r="B277" s="104" t="s">
        <v>33</v>
      </c>
      <c r="C277" s="104" t="s">
        <v>740</v>
      </c>
      <c r="D277" s="105" t="n">
        <v>0.1667</v>
      </c>
      <c r="E277" s="106" t="n">
        <v>60</v>
      </c>
      <c r="F277" s="107" t="n">
        <f aca="false">IF($C277="","",$D277*$E277)</f>
        <v>10.002</v>
      </c>
      <c r="G277" s="107" t="n">
        <f aca="false">IF($C277="","",$D277*IFERROR(INDEX('تحليل التكلفة والسعر'!$C$2:$C$700,MATCH($C277,'تحليل التكلفة والسعر'!$B$2:$B$700,0)),0))</f>
        <v>5.592785</v>
      </c>
      <c r="H277" s="104" t="s">
        <v>719</v>
      </c>
    </row>
    <row r="278" customFormat="false" ht="15" hidden="false" customHeight="false" outlineLevel="0" collapsed="false">
      <c r="A278" s="103" t="n">
        <v>46296</v>
      </c>
      <c r="B278" s="104" t="s">
        <v>33</v>
      </c>
      <c r="C278" s="104" t="s">
        <v>741</v>
      </c>
      <c r="D278" s="105" t="n">
        <v>0.1667</v>
      </c>
      <c r="E278" s="106" t="n">
        <v>40</v>
      </c>
      <c r="F278" s="107" t="n">
        <f aca="false">IF($C278="","",$D278*$E278)</f>
        <v>6.668</v>
      </c>
      <c r="G278" s="107" t="n">
        <f aca="false">IF($C278="","",$D278*IFERROR(INDEX('تحليل التكلفة والسعر'!$C$2:$C$700,MATCH($C278,'تحليل التكلفة والسعر'!$B$2:$B$700,0)),0))</f>
        <v>2.9130825</v>
      </c>
      <c r="H278" s="104" t="s">
        <v>719</v>
      </c>
    </row>
    <row r="279" customFormat="false" ht="15" hidden="false" customHeight="false" outlineLevel="0" collapsed="false">
      <c r="A279" s="103" t="n">
        <v>46297</v>
      </c>
      <c r="B279" s="104" t="s">
        <v>33</v>
      </c>
      <c r="C279" s="104" t="s">
        <v>741</v>
      </c>
      <c r="D279" s="105" t="n">
        <v>0.1667</v>
      </c>
      <c r="E279" s="106" t="n">
        <v>40</v>
      </c>
      <c r="F279" s="107" t="n">
        <f aca="false">IF($C279="","",$D279*$E279)</f>
        <v>6.668</v>
      </c>
      <c r="G279" s="107" t="n">
        <f aca="false">IF($C279="","",$D279*IFERROR(INDEX('تحليل التكلفة والسعر'!$C$2:$C$700,MATCH($C279,'تحليل التكلفة والسعر'!$B$2:$B$700,0)),0))</f>
        <v>2.9130825</v>
      </c>
      <c r="H279" s="104" t="s">
        <v>719</v>
      </c>
    </row>
    <row r="280" customFormat="false" ht="15" hidden="false" customHeight="false" outlineLevel="0" collapsed="false">
      <c r="A280" s="103" t="n">
        <v>46298</v>
      </c>
      <c r="B280" s="104" t="s">
        <v>33</v>
      </c>
      <c r="C280" s="104" t="s">
        <v>741</v>
      </c>
      <c r="D280" s="105" t="n">
        <v>0.1667</v>
      </c>
      <c r="E280" s="106" t="n">
        <v>40</v>
      </c>
      <c r="F280" s="107" t="n">
        <f aca="false">IF($C280="","",$D280*$E280)</f>
        <v>6.668</v>
      </c>
      <c r="G280" s="107" t="n">
        <f aca="false">IF($C280="","",$D280*IFERROR(INDEX('تحليل التكلفة والسعر'!$C$2:$C$700,MATCH($C280,'تحليل التكلفة والسعر'!$B$2:$B$700,0)),0))</f>
        <v>2.9130825</v>
      </c>
      <c r="H280" s="104" t="s">
        <v>719</v>
      </c>
    </row>
    <row r="281" customFormat="false" ht="15" hidden="false" customHeight="false" outlineLevel="0" collapsed="false">
      <c r="A281" s="103" t="n">
        <v>46299</v>
      </c>
      <c r="B281" s="104" t="s">
        <v>33</v>
      </c>
      <c r="C281" s="104" t="s">
        <v>741</v>
      </c>
      <c r="D281" s="105" t="n">
        <v>0.1667</v>
      </c>
      <c r="E281" s="106" t="n">
        <v>40</v>
      </c>
      <c r="F281" s="107" t="n">
        <f aca="false">IF($C281="","",$D281*$E281)</f>
        <v>6.668</v>
      </c>
      <c r="G281" s="107" t="n">
        <f aca="false">IF($C281="","",$D281*IFERROR(INDEX('تحليل التكلفة والسعر'!$C$2:$C$700,MATCH($C281,'تحليل التكلفة والسعر'!$B$2:$B$700,0)),0))</f>
        <v>2.9130825</v>
      </c>
      <c r="H281" s="104" t="s">
        <v>719</v>
      </c>
    </row>
    <row r="282" customFormat="false" ht="15" hidden="false" customHeight="false" outlineLevel="0" collapsed="false">
      <c r="A282" s="103" t="n">
        <v>46300</v>
      </c>
      <c r="B282" s="104" t="s">
        <v>33</v>
      </c>
      <c r="C282" s="104" t="s">
        <v>741</v>
      </c>
      <c r="D282" s="105" t="n">
        <v>0.1667</v>
      </c>
      <c r="E282" s="106" t="n">
        <v>40</v>
      </c>
      <c r="F282" s="107" t="n">
        <f aca="false">IF($C282="","",$D282*$E282)</f>
        <v>6.668</v>
      </c>
      <c r="G282" s="107" t="n">
        <f aca="false">IF($C282="","",$D282*IFERROR(INDEX('تحليل التكلفة والسعر'!$C$2:$C$700,MATCH($C282,'تحليل التكلفة والسعر'!$B$2:$B$700,0)),0))</f>
        <v>2.9130825</v>
      </c>
      <c r="H282" s="104" t="s">
        <v>719</v>
      </c>
    </row>
    <row r="283" customFormat="false" ht="15" hidden="false" customHeight="false" outlineLevel="0" collapsed="false">
      <c r="A283" s="103" t="n">
        <v>46301</v>
      </c>
      <c r="B283" s="104" t="s">
        <v>33</v>
      </c>
      <c r="C283" s="104" t="s">
        <v>741</v>
      </c>
      <c r="D283" s="105" t="n">
        <v>0.1667</v>
      </c>
      <c r="E283" s="106" t="n">
        <v>40</v>
      </c>
      <c r="F283" s="107" t="n">
        <f aca="false">IF($C283="","",$D283*$E283)</f>
        <v>6.668</v>
      </c>
      <c r="G283" s="107" t="n">
        <f aca="false">IF($C283="","",$D283*IFERROR(INDEX('تحليل التكلفة والسعر'!$C$2:$C$700,MATCH($C283,'تحليل التكلفة والسعر'!$B$2:$B$700,0)),0))</f>
        <v>2.9130825</v>
      </c>
      <c r="H283" s="104" t="s">
        <v>719</v>
      </c>
    </row>
    <row r="284" customFormat="false" ht="15" hidden="false" customHeight="false" outlineLevel="0" collapsed="false">
      <c r="A284" s="103" t="n">
        <v>46302</v>
      </c>
      <c r="B284" s="104" t="s">
        <v>33</v>
      </c>
      <c r="C284" s="104" t="s">
        <v>741</v>
      </c>
      <c r="D284" s="105" t="n">
        <v>0.1667</v>
      </c>
      <c r="E284" s="106" t="n">
        <v>40</v>
      </c>
      <c r="F284" s="107" t="n">
        <f aca="false">IF($C284="","",$D284*$E284)</f>
        <v>6.668</v>
      </c>
      <c r="G284" s="107" t="n">
        <f aca="false">IF($C284="","",$D284*IFERROR(INDEX('تحليل التكلفة والسعر'!$C$2:$C$700,MATCH($C284,'تحليل التكلفة والسعر'!$B$2:$B$700,0)),0))</f>
        <v>2.9130825</v>
      </c>
      <c r="H284" s="104" t="s">
        <v>719</v>
      </c>
    </row>
    <row r="285" customFormat="false" ht="15" hidden="false" customHeight="false" outlineLevel="0" collapsed="false">
      <c r="A285" s="103" t="n">
        <v>46303</v>
      </c>
      <c r="B285" s="104" t="s">
        <v>33</v>
      </c>
      <c r="C285" s="104" t="s">
        <v>741</v>
      </c>
      <c r="D285" s="105" t="n">
        <v>0.1667</v>
      </c>
      <c r="E285" s="106" t="n">
        <v>40</v>
      </c>
      <c r="F285" s="107" t="n">
        <f aca="false">IF($C285="","",$D285*$E285)</f>
        <v>6.668</v>
      </c>
      <c r="G285" s="107" t="n">
        <f aca="false">IF($C285="","",$D285*IFERROR(INDEX('تحليل التكلفة والسعر'!$C$2:$C$700,MATCH($C285,'تحليل التكلفة والسعر'!$B$2:$B$700,0)),0))</f>
        <v>2.9130825</v>
      </c>
      <c r="H285" s="104" t="s">
        <v>719</v>
      </c>
    </row>
    <row r="286" customFormat="false" ht="15" hidden="false" customHeight="false" outlineLevel="0" collapsed="false">
      <c r="A286" s="103" t="n">
        <v>46304</v>
      </c>
      <c r="B286" s="104" t="s">
        <v>33</v>
      </c>
      <c r="C286" s="104" t="s">
        <v>741</v>
      </c>
      <c r="D286" s="105" t="n">
        <v>0.1667</v>
      </c>
      <c r="E286" s="106" t="n">
        <v>40</v>
      </c>
      <c r="F286" s="107" t="n">
        <f aca="false">IF($C286="","",$D286*$E286)</f>
        <v>6.668</v>
      </c>
      <c r="G286" s="107" t="n">
        <f aca="false">IF($C286="","",$D286*IFERROR(INDEX('تحليل التكلفة والسعر'!$C$2:$C$700,MATCH($C286,'تحليل التكلفة والسعر'!$B$2:$B$700,0)),0))</f>
        <v>2.9130825</v>
      </c>
      <c r="H286" s="104" t="s">
        <v>719</v>
      </c>
    </row>
    <row r="287" customFormat="false" ht="15" hidden="false" customHeight="false" outlineLevel="0" collapsed="false">
      <c r="A287" s="103" t="n">
        <v>46305</v>
      </c>
      <c r="B287" s="104" t="s">
        <v>33</v>
      </c>
      <c r="C287" s="104" t="s">
        <v>741</v>
      </c>
      <c r="D287" s="105" t="n">
        <v>0.1667</v>
      </c>
      <c r="E287" s="106" t="n">
        <v>40</v>
      </c>
      <c r="F287" s="107" t="n">
        <f aca="false">IF($C287="","",$D287*$E287)</f>
        <v>6.668</v>
      </c>
      <c r="G287" s="107" t="n">
        <f aca="false">IF($C287="","",$D287*IFERROR(INDEX('تحليل التكلفة والسعر'!$C$2:$C$700,MATCH($C287,'تحليل التكلفة والسعر'!$B$2:$B$700,0)),0))</f>
        <v>2.9130825</v>
      </c>
      <c r="H287" s="104" t="s">
        <v>719</v>
      </c>
    </row>
    <row r="288" customFormat="false" ht="15" hidden="false" customHeight="false" outlineLevel="0" collapsed="false">
      <c r="A288" s="103" t="n">
        <v>46306</v>
      </c>
      <c r="B288" s="104" t="s">
        <v>33</v>
      </c>
      <c r="C288" s="104" t="s">
        <v>741</v>
      </c>
      <c r="D288" s="105" t="n">
        <v>0.1667</v>
      </c>
      <c r="E288" s="106" t="n">
        <v>40</v>
      </c>
      <c r="F288" s="107" t="n">
        <f aca="false">IF($C288="","",$D288*$E288)</f>
        <v>6.668</v>
      </c>
      <c r="G288" s="107" t="n">
        <f aca="false">IF($C288="","",$D288*IFERROR(INDEX('تحليل التكلفة والسعر'!$C$2:$C$700,MATCH($C288,'تحليل التكلفة والسعر'!$B$2:$B$700,0)),0))</f>
        <v>2.9130825</v>
      </c>
      <c r="H288" s="104" t="s">
        <v>719</v>
      </c>
    </row>
    <row r="289" customFormat="false" ht="15" hidden="false" customHeight="false" outlineLevel="0" collapsed="false">
      <c r="A289" s="103" t="n">
        <v>46307</v>
      </c>
      <c r="B289" s="104" t="s">
        <v>33</v>
      </c>
      <c r="C289" s="104" t="s">
        <v>741</v>
      </c>
      <c r="D289" s="105" t="n">
        <v>0.1667</v>
      </c>
      <c r="E289" s="106" t="n">
        <v>40</v>
      </c>
      <c r="F289" s="107" t="n">
        <f aca="false">IF($C289="","",$D289*$E289)</f>
        <v>6.668</v>
      </c>
      <c r="G289" s="107" t="n">
        <f aca="false">IF($C289="","",$D289*IFERROR(INDEX('تحليل التكلفة والسعر'!$C$2:$C$700,MATCH($C289,'تحليل التكلفة والسعر'!$B$2:$B$700,0)),0))</f>
        <v>2.9130825</v>
      </c>
      <c r="H289" s="104" t="s">
        <v>719</v>
      </c>
    </row>
    <row r="290" customFormat="false" ht="15" hidden="false" customHeight="false" outlineLevel="0" collapsed="false">
      <c r="A290" s="103" t="n">
        <v>46296</v>
      </c>
      <c r="B290" s="104" t="s">
        <v>33</v>
      </c>
      <c r="C290" s="104" t="s">
        <v>456</v>
      </c>
      <c r="D290" s="105" t="n">
        <v>0.5833</v>
      </c>
      <c r="E290" s="106" t="n">
        <v>61.4286</v>
      </c>
      <c r="F290" s="107" t="n">
        <f aca="false">IF($C290="","",$D290*$E290)</f>
        <v>35.83130238</v>
      </c>
      <c r="G290" s="107" t="n">
        <f aca="false">IF($C290="","",$D290*IFERROR(INDEX('تحليل التكلفة والسعر'!$C$2:$C$700,MATCH($C290,'تحليل التكلفة والسعر'!$B$2:$B$700,0)),0))</f>
        <v>14.65698741</v>
      </c>
      <c r="H290" s="104" t="s">
        <v>719</v>
      </c>
    </row>
    <row r="291" customFormat="false" ht="15" hidden="false" customHeight="false" outlineLevel="0" collapsed="false">
      <c r="A291" s="103" t="n">
        <v>46297</v>
      </c>
      <c r="B291" s="104" t="s">
        <v>33</v>
      </c>
      <c r="C291" s="104" t="s">
        <v>456</v>
      </c>
      <c r="D291" s="105" t="n">
        <v>0.5833</v>
      </c>
      <c r="E291" s="106" t="n">
        <v>61.4286</v>
      </c>
      <c r="F291" s="107" t="n">
        <f aca="false">IF($C291="","",$D291*$E291)</f>
        <v>35.83130238</v>
      </c>
      <c r="G291" s="107" t="n">
        <f aca="false">IF($C291="","",$D291*IFERROR(INDEX('تحليل التكلفة والسعر'!$C$2:$C$700,MATCH($C291,'تحليل التكلفة والسعر'!$B$2:$B$700,0)),0))</f>
        <v>14.65698741</v>
      </c>
      <c r="H291" s="104" t="s">
        <v>719</v>
      </c>
    </row>
    <row r="292" customFormat="false" ht="15" hidden="false" customHeight="false" outlineLevel="0" collapsed="false">
      <c r="A292" s="103" t="n">
        <v>46298</v>
      </c>
      <c r="B292" s="104" t="s">
        <v>33</v>
      </c>
      <c r="C292" s="104" t="s">
        <v>456</v>
      </c>
      <c r="D292" s="105" t="n">
        <v>0.5833</v>
      </c>
      <c r="E292" s="106" t="n">
        <v>61.4286</v>
      </c>
      <c r="F292" s="107" t="n">
        <f aca="false">IF($C292="","",$D292*$E292)</f>
        <v>35.83130238</v>
      </c>
      <c r="G292" s="107" t="n">
        <f aca="false">IF($C292="","",$D292*IFERROR(INDEX('تحليل التكلفة والسعر'!$C$2:$C$700,MATCH($C292,'تحليل التكلفة والسعر'!$B$2:$B$700,0)),0))</f>
        <v>14.65698741</v>
      </c>
      <c r="H292" s="104" t="s">
        <v>719</v>
      </c>
    </row>
    <row r="293" customFormat="false" ht="15" hidden="false" customHeight="false" outlineLevel="0" collapsed="false">
      <c r="A293" s="103" t="n">
        <v>46299</v>
      </c>
      <c r="B293" s="104" t="s">
        <v>33</v>
      </c>
      <c r="C293" s="104" t="s">
        <v>456</v>
      </c>
      <c r="D293" s="105" t="n">
        <v>0.5833</v>
      </c>
      <c r="E293" s="106" t="n">
        <v>61.4286</v>
      </c>
      <c r="F293" s="107" t="n">
        <f aca="false">IF($C293="","",$D293*$E293)</f>
        <v>35.83130238</v>
      </c>
      <c r="G293" s="107" t="n">
        <f aca="false">IF($C293="","",$D293*IFERROR(INDEX('تحليل التكلفة والسعر'!$C$2:$C$700,MATCH($C293,'تحليل التكلفة والسعر'!$B$2:$B$700,0)),0))</f>
        <v>14.65698741</v>
      </c>
      <c r="H293" s="104" t="s">
        <v>719</v>
      </c>
    </row>
    <row r="294" customFormat="false" ht="15" hidden="false" customHeight="false" outlineLevel="0" collapsed="false">
      <c r="A294" s="103" t="n">
        <v>46300</v>
      </c>
      <c r="B294" s="104" t="s">
        <v>33</v>
      </c>
      <c r="C294" s="104" t="s">
        <v>456</v>
      </c>
      <c r="D294" s="105" t="n">
        <v>0.5833</v>
      </c>
      <c r="E294" s="106" t="n">
        <v>61.4286</v>
      </c>
      <c r="F294" s="107" t="n">
        <f aca="false">IF($C294="","",$D294*$E294)</f>
        <v>35.83130238</v>
      </c>
      <c r="G294" s="107" t="n">
        <f aca="false">IF($C294="","",$D294*IFERROR(INDEX('تحليل التكلفة والسعر'!$C$2:$C$700,MATCH($C294,'تحليل التكلفة والسعر'!$B$2:$B$700,0)),0))</f>
        <v>14.65698741</v>
      </c>
      <c r="H294" s="104" t="s">
        <v>719</v>
      </c>
    </row>
    <row r="295" customFormat="false" ht="15" hidden="false" customHeight="false" outlineLevel="0" collapsed="false">
      <c r="A295" s="103" t="n">
        <v>46301</v>
      </c>
      <c r="B295" s="104" t="s">
        <v>33</v>
      </c>
      <c r="C295" s="104" t="s">
        <v>456</v>
      </c>
      <c r="D295" s="105" t="n">
        <v>0.5833</v>
      </c>
      <c r="E295" s="106" t="n">
        <v>61.4286</v>
      </c>
      <c r="F295" s="107" t="n">
        <f aca="false">IF($C295="","",$D295*$E295)</f>
        <v>35.83130238</v>
      </c>
      <c r="G295" s="107" t="n">
        <f aca="false">IF($C295="","",$D295*IFERROR(INDEX('تحليل التكلفة والسعر'!$C$2:$C$700,MATCH($C295,'تحليل التكلفة والسعر'!$B$2:$B$700,0)),0))</f>
        <v>14.65698741</v>
      </c>
      <c r="H295" s="104" t="s">
        <v>719</v>
      </c>
    </row>
    <row r="296" customFormat="false" ht="15" hidden="false" customHeight="false" outlineLevel="0" collapsed="false">
      <c r="A296" s="103" t="n">
        <v>46302</v>
      </c>
      <c r="B296" s="104" t="s">
        <v>33</v>
      </c>
      <c r="C296" s="104" t="s">
        <v>456</v>
      </c>
      <c r="D296" s="105" t="n">
        <v>0.5833</v>
      </c>
      <c r="E296" s="106" t="n">
        <v>61.4286</v>
      </c>
      <c r="F296" s="107" t="n">
        <f aca="false">IF($C296="","",$D296*$E296)</f>
        <v>35.83130238</v>
      </c>
      <c r="G296" s="107" t="n">
        <f aca="false">IF($C296="","",$D296*IFERROR(INDEX('تحليل التكلفة والسعر'!$C$2:$C$700,MATCH($C296,'تحليل التكلفة والسعر'!$B$2:$B$700,0)),0))</f>
        <v>14.65698741</v>
      </c>
      <c r="H296" s="104" t="s">
        <v>719</v>
      </c>
    </row>
    <row r="297" customFormat="false" ht="15" hidden="false" customHeight="false" outlineLevel="0" collapsed="false">
      <c r="A297" s="103" t="n">
        <v>46303</v>
      </c>
      <c r="B297" s="104" t="s">
        <v>33</v>
      </c>
      <c r="C297" s="104" t="s">
        <v>456</v>
      </c>
      <c r="D297" s="105" t="n">
        <v>0.5833</v>
      </c>
      <c r="E297" s="106" t="n">
        <v>61.4286</v>
      </c>
      <c r="F297" s="107" t="n">
        <f aca="false">IF($C297="","",$D297*$E297)</f>
        <v>35.83130238</v>
      </c>
      <c r="G297" s="107" t="n">
        <f aca="false">IF($C297="","",$D297*IFERROR(INDEX('تحليل التكلفة والسعر'!$C$2:$C$700,MATCH($C297,'تحليل التكلفة والسعر'!$B$2:$B$700,0)),0))</f>
        <v>14.65698741</v>
      </c>
      <c r="H297" s="104" t="s">
        <v>719</v>
      </c>
    </row>
    <row r="298" customFormat="false" ht="15" hidden="false" customHeight="false" outlineLevel="0" collapsed="false">
      <c r="A298" s="103" t="n">
        <v>46304</v>
      </c>
      <c r="B298" s="104" t="s">
        <v>33</v>
      </c>
      <c r="C298" s="104" t="s">
        <v>456</v>
      </c>
      <c r="D298" s="105" t="n">
        <v>0.5833</v>
      </c>
      <c r="E298" s="106" t="n">
        <v>61.4286</v>
      </c>
      <c r="F298" s="107" t="n">
        <f aca="false">IF($C298="","",$D298*$E298)</f>
        <v>35.83130238</v>
      </c>
      <c r="G298" s="107" t="n">
        <f aca="false">IF($C298="","",$D298*IFERROR(INDEX('تحليل التكلفة والسعر'!$C$2:$C$700,MATCH($C298,'تحليل التكلفة والسعر'!$B$2:$B$700,0)),0))</f>
        <v>14.65698741</v>
      </c>
      <c r="H298" s="104" t="s">
        <v>719</v>
      </c>
    </row>
    <row r="299" customFormat="false" ht="15" hidden="false" customHeight="false" outlineLevel="0" collapsed="false">
      <c r="A299" s="103" t="n">
        <v>46305</v>
      </c>
      <c r="B299" s="104" t="s">
        <v>33</v>
      </c>
      <c r="C299" s="104" t="s">
        <v>456</v>
      </c>
      <c r="D299" s="105" t="n">
        <v>0.5833</v>
      </c>
      <c r="E299" s="106" t="n">
        <v>61.4286</v>
      </c>
      <c r="F299" s="107" t="n">
        <f aca="false">IF($C299="","",$D299*$E299)</f>
        <v>35.83130238</v>
      </c>
      <c r="G299" s="107" t="n">
        <f aca="false">IF($C299="","",$D299*IFERROR(INDEX('تحليل التكلفة والسعر'!$C$2:$C$700,MATCH($C299,'تحليل التكلفة والسعر'!$B$2:$B$700,0)),0))</f>
        <v>14.65698741</v>
      </c>
      <c r="H299" s="104" t="s">
        <v>719</v>
      </c>
    </row>
    <row r="300" customFormat="false" ht="15" hidden="false" customHeight="false" outlineLevel="0" collapsed="false">
      <c r="A300" s="103" t="n">
        <v>46306</v>
      </c>
      <c r="B300" s="104" t="s">
        <v>33</v>
      </c>
      <c r="C300" s="104" t="s">
        <v>456</v>
      </c>
      <c r="D300" s="105" t="n">
        <v>0.5833</v>
      </c>
      <c r="E300" s="106" t="n">
        <v>61.4286</v>
      </c>
      <c r="F300" s="107" t="n">
        <f aca="false">IF($C300="","",$D300*$E300)</f>
        <v>35.83130238</v>
      </c>
      <c r="G300" s="107" t="n">
        <f aca="false">IF($C300="","",$D300*IFERROR(INDEX('تحليل التكلفة والسعر'!$C$2:$C$700,MATCH($C300,'تحليل التكلفة والسعر'!$B$2:$B$700,0)),0))</f>
        <v>14.65698741</v>
      </c>
      <c r="H300" s="104" t="s">
        <v>719</v>
      </c>
    </row>
    <row r="301" customFormat="false" ht="15" hidden="false" customHeight="false" outlineLevel="0" collapsed="false">
      <c r="A301" s="103" t="n">
        <v>46307</v>
      </c>
      <c r="B301" s="104" t="s">
        <v>33</v>
      </c>
      <c r="C301" s="104" t="s">
        <v>456</v>
      </c>
      <c r="D301" s="105" t="n">
        <v>0.5833</v>
      </c>
      <c r="E301" s="106" t="n">
        <v>61.4286</v>
      </c>
      <c r="F301" s="107" t="n">
        <f aca="false">IF($C301="","",$D301*$E301)</f>
        <v>35.83130238</v>
      </c>
      <c r="G301" s="107" t="n">
        <f aca="false">IF($C301="","",$D301*IFERROR(INDEX('تحليل التكلفة والسعر'!$C$2:$C$700,MATCH($C301,'تحليل التكلفة والسعر'!$B$2:$B$700,0)),0))</f>
        <v>14.65698741</v>
      </c>
      <c r="H301" s="104" t="s">
        <v>719</v>
      </c>
    </row>
    <row r="302" customFormat="false" ht="15" hidden="false" customHeight="false" outlineLevel="0" collapsed="false">
      <c r="A302" s="103" t="n">
        <v>46296</v>
      </c>
      <c r="B302" s="104" t="s">
        <v>33</v>
      </c>
      <c r="C302" s="104" t="s">
        <v>470</v>
      </c>
      <c r="D302" s="105" t="n">
        <v>0.4167</v>
      </c>
      <c r="E302" s="106" t="n">
        <v>32</v>
      </c>
      <c r="F302" s="107" t="n">
        <f aca="false">IF($C302="","",$D302*$E302)</f>
        <v>13.3344</v>
      </c>
      <c r="G302" s="107" t="n">
        <f aca="false">IF($C302="","",$D302*IFERROR(INDEX('تحليل التكلفة والسعر'!$C$2:$C$700,MATCH($C302,'تحليل التكلفة والسعر'!$B$2:$B$700,0)),0))</f>
        <v>6.68916009</v>
      </c>
      <c r="H302" s="104" t="s">
        <v>719</v>
      </c>
    </row>
    <row r="303" customFormat="false" ht="15" hidden="false" customHeight="false" outlineLevel="0" collapsed="false">
      <c r="A303" s="103" t="n">
        <v>46297</v>
      </c>
      <c r="B303" s="104" t="s">
        <v>33</v>
      </c>
      <c r="C303" s="104" t="s">
        <v>470</v>
      </c>
      <c r="D303" s="105" t="n">
        <v>0.4167</v>
      </c>
      <c r="E303" s="106" t="n">
        <v>32</v>
      </c>
      <c r="F303" s="107" t="n">
        <f aca="false">IF($C303="","",$D303*$E303)</f>
        <v>13.3344</v>
      </c>
      <c r="G303" s="107" t="n">
        <f aca="false">IF($C303="","",$D303*IFERROR(INDEX('تحليل التكلفة والسعر'!$C$2:$C$700,MATCH($C303,'تحليل التكلفة والسعر'!$B$2:$B$700,0)),0))</f>
        <v>6.68916009</v>
      </c>
      <c r="H303" s="104" t="s">
        <v>719</v>
      </c>
    </row>
    <row r="304" customFormat="false" ht="15" hidden="false" customHeight="false" outlineLevel="0" collapsed="false">
      <c r="A304" s="103" t="n">
        <v>46298</v>
      </c>
      <c r="B304" s="104" t="s">
        <v>33</v>
      </c>
      <c r="C304" s="104" t="s">
        <v>470</v>
      </c>
      <c r="D304" s="105" t="n">
        <v>0.4167</v>
      </c>
      <c r="E304" s="106" t="n">
        <v>32</v>
      </c>
      <c r="F304" s="107" t="n">
        <f aca="false">IF($C304="","",$D304*$E304)</f>
        <v>13.3344</v>
      </c>
      <c r="G304" s="107" t="n">
        <f aca="false">IF($C304="","",$D304*IFERROR(INDEX('تحليل التكلفة والسعر'!$C$2:$C$700,MATCH($C304,'تحليل التكلفة والسعر'!$B$2:$B$700,0)),0))</f>
        <v>6.68916009</v>
      </c>
      <c r="H304" s="104" t="s">
        <v>719</v>
      </c>
    </row>
    <row r="305" customFormat="false" ht="15" hidden="false" customHeight="false" outlineLevel="0" collapsed="false">
      <c r="A305" s="103" t="n">
        <v>46299</v>
      </c>
      <c r="B305" s="104" t="s">
        <v>33</v>
      </c>
      <c r="C305" s="104" t="s">
        <v>470</v>
      </c>
      <c r="D305" s="105" t="n">
        <v>0.4167</v>
      </c>
      <c r="E305" s="106" t="n">
        <v>32</v>
      </c>
      <c r="F305" s="107" t="n">
        <f aca="false">IF($C305="","",$D305*$E305)</f>
        <v>13.3344</v>
      </c>
      <c r="G305" s="107" t="n">
        <f aca="false">IF($C305="","",$D305*IFERROR(INDEX('تحليل التكلفة والسعر'!$C$2:$C$700,MATCH($C305,'تحليل التكلفة والسعر'!$B$2:$B$700,0)),0))</f>
        <v>6.68916009</v>
      </c>
      <c r="H305" s="104" t="s">
        <v>719</v>
      </c>
    </row>
    <row r="306" customFormat="false" ht="15" hidden="false" customHeight="false" outlineLevel="0" collapsed="false">
      <c r="A306" s="103" t="n">
        <v>46300</v>
      </c>
      <c r="B306" s="104" t="s">
        <v>33</v>
      </c>
      <c r="C306" s="104" t="s">
        <v>470</v>
      </c>
      <c r="D306" s="105" t="n">
        <v>0.4167</v>
      </c>
      <c r="E306" s="106" t="n">
        <v>32</v>
      </c>
      <c r="F306" s="107" t="n">
        <f aca="false">IF($C306="","",$D306*$E306)</f>
        <v>13.3344</v>
      </c>
      <c r="G306" s="107" t="n">
        <f aca="false">IF($C306="","",$D306*IFERROR(INDEX('تحليل التكلفة والسعر'!$C$2:$C$700,MATCH($C306,'تحليل التكلفة والسعر'!$B$2:$B$700,0)),0))</f>
        <v>6.68916009</v>
      </c>
      <c r="H306" s="104" t="s">
        <v>719</v>
      </c>
    </row>
    <row r="307" customFormat="false" ht="15" hidden="false" customHeight="false" outlineLevel="0" collapsed="false">
      <c r="A307" s="103" t="n">
        <v>46301</v>
      </c>
      <c r="B307" s="104" t="s">
        <v>33</v>
      </c>
      <c r="C307" s="104" t="s">
        <v>470</v>
      </c>
      <c r="D307" s="105" t="n">
        <v>0.4167</v>
      </c>
      <c r="E307" s="106" t="n">
        <v>32</v>
      </c>
      <c r="F307" s="107" t="n">
        <f aca="false">IF($C307="","",$D307*$E307)</f>
        <v>13.3344</v>
      </c>
      <c r="G307" s="107" t="n">
        <f aca="false">IF($C307="","",$D307*IFERROR(INDEX('تحليل التكلفة والسعر'!$C$2:$C$700,MATCH($C307,'تحليل التكلفة والسعر'!$B$2:$B$700,0)),0))</f>
        <v>6.68916009</v>
      </c>
      <c r="H307" s="104" t="s">
        <v>719</v>
      </c>
    </row>
    <row r="308" customFormat="false" ht="15" hidden="false" customHeight="false" outlineLevel="0" collapsed="false">
      <c r="A308" s="103" t="n">
        <v>46302</v>
      </c>
      <c r="B308" s="104" t="s">
        <v>33</v>
      </c>
      <c r="C308" s="104" t="s">
        <v>470</v>
      </c>
      <c r="D308" s="105" t="n">
        <v>0.4167</v>
      </c>
      <c r="E308" s="106" t="n">
        <v>32</v>
      </c>
      <c r="F308" s="107" t="n">
        <f aca="false">IF($C308="","",$D308*$E308)</f>
        <v>13.3344</v>
      </c>
      <c r="G308" s="107" t="n">
        <f aca="false">IF($C308="","",$D308*IFERROR(INDEX('تحليل التكلفة والسعر'!$C$2:$C$700,MATCH($C308,'تحليل التكلفة والسعر'!$B$2:$B$700,0)),0))</f>
        <v>6.68916009</v>
      </c>
      <c r="H308" s="104" t="s">
        <v>719</v>
      </c>
    </row>
    <row r="309" customFormat="false" ht="15" hidden="false" customHeight="false" outlineLevel="0" collapsed="false">
      <c r="A309" s="103" t="n">
        <v>46303</v>
      </c>
      <c r="B309" s="104" t="s">
        <v>33</v>
      </c>
      <c r="C309" s="104" t="s">
        <v>470</v>
      </c>
      <c r="D309" s="105" t="n">
        <v>0.4167</v>
      </c>
      <c r="E309" s="106" t="n">
        <v>32</v>
      </c>
      <c r="F309" s="107" t="n">
        <f aca="false">IF($C309="","",$D309*$E309)</f>
        <v>13.3344</v>
      </c>
      <c r="G309" s="107" t="n">
        <f aca="false">IF($C309="","",$D309*IFERROR(INDEX('تحليل التكلفة والسعر'!$C$2:$C$700,MATCH($C309,'تحليل التكلفة والسعر'!$B$2:$B$700,0)),0))</f>
        <v>6.68916009</v>
      </c>
      <c r="H309" s="104" t="s">
        <v>719</v>
      </c>
    </row>
    <row r="310" customFormat="false" ht="15" hidden="false" customHeight="false" outlineLevel="0" collapsed="false">
      <c r="A310" s="103" t="n">
        <v>46304</v>
      </c>
      <c r="B310" s="104" t="s">
        <v>33</v>
      </c>
      <c r="C310" s="104" t="s">
        <v>470</v>
      </c>
      <c r="D310" s="105" t="n">
        <v>0.4167</v>
      </c>
      <c r="E310" s="106" t="n">
        <v>32</v>
      </c>
      <c r="F310" s="107" t="n">
        <f aca="false">IF($C310="","",$D310*$E310)</f>
        <v>13.3344</v>
      </c>
      <c r="G310" s="107" t="n">
        <f aca="false">IF($C310="","",$D310*IFERROR(INDEX('تحليل التكلفة والسعر'!$C$2:$C$700,MATCH($C310,'تحليل التكلفة والسعر'!$B$2:$B$700,0)),0))</f>
        <v>6.68916009</v>
      </c>
      <c r="H310" s="104" t="s">
        <v>719</v>
      </c>
    </row>
    <row r="311" customFormat="false" ht="15" hidden="false" customHeight="false" outlineLevel="0" collapsed="false">
      <c r="A311" s="103" t="n">
        <v>46305</v>
      </c>
      <c r="B311" s="104" t="s">
        <v>33</v>
      </c>
      <c r="C311" s="104" t="s">
        <v>470</v>
      </c>
      <c r="D311" s="105" t="n">
        <v>0.4167</v>
      </c>
      <c r="E311" s="106" t="n">
        <v>32</v>
      </c>
      <c r="F311" s="107" t="n">
        <f aca="false">IF($C311="","",$D311*$E311)</f>
        <v>13.3344</v>
      </c>
      <c r="G311" s="107" t="n">
        <f aca="false">IF($C311="","",$D311*IFERROR(INDEX('تحليل التكلفة والسعر'!$C$2:$C$700,MATCH($C311,'تحليل التكلفة والسعر'!$B$2:$B$700,0)),0))</f>
        <v>6.68916009</v>
      </c>
      <c r="H311" s="104" t="s">
        <v>719</v>
      </c>
    </row>
    <row r="312" customFormat="false" ht="15" hidden="false" customHeight="false" outlineLevel="0" collapsed="false">
      <c r="A312" s="103" t="n">
        <v>46306</v>
      </c>
      <c r="B312" s="104" t="s">
        <v>33</v>
      </c>
      <c r="C312" s="104" t="s">
        <v>470</v>
      </c>
      <c r="D312" s="105" t="n">
        <v>0.4167</v>
      </c>
      <c r="E312" s="106" t="n">
        <v>32</v>
      </c>
      <c r="F312" s="107" t="n">
        <f aca="false">IF($C312="","",$D312*$E312)</f>
        <v>13.3344</v>
      </c>
      <c r="G312" s="107" t="n">
        <f aca="false">IF($C312="","",$D312*IFERROR(INDEX('تحليل التكلفة والسعر'!$C$2:$C$700,MATCH($C312,'تحليل التكلفة والسعر'!$B$2:$B$700,0)),0))</f>
        <v>6.68916009</v>
      </c>
      <c r="H312" s="104" t="s">
        <v>719</v>
      </c>
    </row>
    <row r="313" customFormat="false" ht="15" hidden="false" customHeight="false" outlineLevel="0" collapsed="false">
      <c r="A313" s="103" t="n">
        <v>46307</v>
      </c>
      <c r="B313" s="104" t="s">
        <v>33</v>
      </c>
      <c r="C313" s="104" t="s">
        <v>470</v>
      </c>
      <c r="D313" s="105" t="n">
        <v>0.4167</v>
      </c>
      <c r="E313" s="106" t="n">
        <v>32</v>
      </c>
      <c r="F313" s="107" t="n">
        <f aca="false">IF($C313="","",$D313*$E313)</f>
        <v>13.3344</v>
      </c>
      <c r="G313" s="107" t="n">
        <f aca="false">IF($C313="","",$D313*IFERROR(INDEX('تحليل التكلفة والسعر'!$C$2:$C$700,MATCH($C313,'تحليل التكلفة والسعر'!$B$2:$B$700,0)),0))</f>
        <v>6.68916009</v>
      </c>
      <c r="H313" s="104" t="s">
        <v>719</v>
      </c>
    </row>
    <row r="314" customFormat="false" ht="15" hidden="false" customHeight="false" outlineLevel="0" collapsed="false">
      <c r="A314" s="103" t="n">
        <v>46296</v>
      </c>
      <c r="B314" s="104" t="s">
        <v>33</v>
      </c>
      <c r="C314" s="104" t="s">
        <v>512</v>
      </c>
      <c r="D314" s="105" t="n">
        <v>4</v>
      </c>
      <c r="E314" s="106" t="n">
        <v>142.9167</v>
      </c>
      <c r="F314" s="107" t="n">
        <f aca="false">IF($C314="","",$D314*$E314)</f>
        <v>571.6668</v>
      </c>
      <c r="G314" s="107" t="n">
        <f aca="false">IF($C314="","",$D314*IFERROR(INDEX('تحليل التكلفة والسعر'!$C$2:$C$700,MATCH($C314,'تحليل التكلفة والسعر'!$B$2:$B$700,0)),0))</f>
        <v>389.27096</v>
      </c>
      <c r="H314" s="104" t="s">
        <v>719</v>
      </c>
    </row>
    <row r="315" customFormat="false" ht="15" hidden="false" customHeight="false" outlineLevel="0" collapsed="false">
      <c r="A315" s="103" t="n">
        <v>46297</v>
      </c>
      <c r="B315" s="104" t="s">
        <v>33</v>
      </c>
      <c r="C315" s="104" t="s">
        <v>512</v>
      </c>
      <c r="D315" s="105" t="n">
        <v>4</v>
      </c>
      <c r="E315" s="106" t="n">
        <v>142.9167</v>
      </c>
      <c r="F315" s="107" t="n">
        <f aca="false">IF($C315="","",$D315*$E315)</f>
        <v>571.6668</v>
      </c>
      <c r="G315" s="107" t="n">
        <f aca="false">IF($C315="","",$D315*IFERROR(INDEX('تحليل التكلفة والسعر'!$C$2:$C$700,MATCH($C315,'تحليل التكلفة والسعر'!$B$2:$B$700,0)),0))</f>
        <v>389.27096</v>
      </c>
      <c r="H315" s="104" t="s">
        <v>719</v>
      </c>
    </row>
    <row r="316" customFormat="false" ht="15" hidden="false" customHeight="false" outlineLevel="0" collapsed="false">
      <c r="A316" s="103" t="n">
        <v>46298</v>
      </c>
      <c r="B316" s="104" t="s">
        <v>33</v>
      </c>
      <c r="C316" s="104" t="s">
        <v>512</v>
      </c>
      <c r="D316" s="105" t="n">
        <v>4</v>
      </c>
      <c r="E316" s="106" t="n">
        <v>142.9167</v>
      </c>
      <c r="F316" s="107" t="n">
        <f aca="false">IF($C316="","",$D316*$E316)</f>
        <v>571.6668</v>
      </c>
      <c r="G316" s="107" t="n">
        <f aca="false">IF($C316="","",$D316*IFERROR(INDEX('تحليل التكلفة والسعر'!$C$2:$C$700,MATCH($C316,'تحليل التكلفة والسعر'!$B$2:$B$700,0)),0))</f>
        <v>389.27096</v>
      </c>
      <c r="H316" s="104" t="s">
        <v>719</v>
      </c>
    </row>
    <row r="317" customFormat="false" ht="15" hidden="false" customHeight="false" outlineLevel="0" collapsed="false">
      <c r="A317" s="103" t="n">
        <v>46299</v>
      </c>
      <c r="B317" s="104" t="s">
        <v>33</v>
      </c>
      <c r="C317" s="104" t="s">
        <v>512</v>
      </c>
      <c r="D317" s="105" t="n">
        <v>4</v>
      </c>
      <c r="E317" s="106" t="n">
        <v>142.9167</v>
      </c>
      <c r="F317" s="107" t="n">
        <f aca="false">IF($C317="","",$D317*$E317)</f>
        <v>571.6668</v>
      </c>
      <c r="G317" s="107" t="n">
        <f aca="false">IF($C317="","",$D317*IFERROR(INDEX('تحليل التكلفة والسعر'!$C$2:$C$700,MATCH($C317,'تحليل التكلفة والسعر'!$B$2:$B$700,0)),0))</f>
        <v>389.27096</v>
      </c>
      <c r="H317" s="104" t="s">
        <v>719</v>
      </c>
    </row>
    <row r="318" customFormat="false" ht="15" hidden="false" customHeight="false" outlineLevel="0" collapsed="false">
      <c r="A318" s="103" t="n">
        <v>46300</v>
      </c>
      <c r="B318" s="104" t="s">
        <v>33</v>
      </c>
      <c r="C318" s="104" t="s">
        <v>512</v>
      </c>
      <c r="D318" s="105" t="n">
        <v>4</v>
      </c>
      <c r="E318" s="106" t="n">
        <v>142.9167</v>
      </c>
      <c r="F318" s="107" t="n">
        <f aca="false">IF($C318="","",$D318*$E318)</f>
        <v>571.6668</v>
      </c>
      <c r="G318" s="107" t="n">
        <f aca="false">IF($C318="","",$D318*IFERROR(INDEX('تحليل التكلفة والسعر'!$C$2:$C$700,MATCH($C318,'تحليل التكلفة والسعر'!$B$2:$B$700,0)),0))</f>
        <v>389.27096</v>
      </c>
      <c r="H318" s="104" t="s">
        <v>719</v>
      </c>
    </row>
    <row r="319" customFormat="false" ht="15" hidden="false" customHeight="false" outlineLevel="0" collapsed="false">
      <c r="A319" s="103" t="n">
        <v>46301</v>
      </c>
      <c r="B319" s="104" t="s">
        <v>33</v>
      </c>
      <c r="C319" s="104" t="s">
        <v>512</v>
      </c>
      <c r="D319" s="105" t="n">
        <v>4</v>
      </c>
      <c r="E319" s="106" t="n">
        <v>142.9167</v>
      </c>
      <c r="F319" s="107" t="n">
        <f aca="false">IF($C319="","",$D319*$E319)</f>
        <v>571.6668</v>
      </c>
      <c r="G319" s="107" t="n">
        <f aca="false">IF($C319="","",$D319*IFERROR(INDEX('تحليل التكلفة والسعر'!$C$2:$C$700,MATCH($C319,'تحليل التكلفة والسعر'!$B$2:$B$700,0)),0))</f>
        <v>389.27096</v>
      </c>
      <c r="H319" s="104" t="s">
        <v>719</v>
      </c>
    </row>
    <row r="320" customFormat="false" ht="15" hidden="false" customHeight="false" outlineLevel="0" collapsed="false">
      <c r="A320" s="103" t="n">
        <v>46302</v>
      </c>
      <c r="B320" s="104" t="s">
        <v>33</v>
      </c>
      <c r="C320" s="104" t="s">
        <v>512</v>
      </c>
      <c r="D320" s="105" t="n">
        <v>4</v>
      </c>
      <c r="E320" s="106" t="n">
        <v>142.9167</v>
      </c>
      <c r="F320" s="107" t="n">
        <f aca="false">IF($C320="","",$D320*$E320)</f>
        <v>571.6668</v>
      </c>
      <c r="G320" s="107" t="n">
        <f aca="false">IF($C320="","",$D320*IFERROR(INDEX('تحليل التكلفة والسعر'!$C$2:$C$700,MATCH($C320,'تحليل التكلفة والسعر'!$B$2:$B$700,0)),0))</f>
        <v>389.27096</v>
      </c>
      <c r="H320" s="104" t="s">
        <v>719</v>
      </c>
    </row>
    <row r="321" customFormat="false" ht="15" hidden="false" customHeight="false" outlineLevel="0" collapsed="false">
      <c r="A321" s="103" t="n">
        <v>46303</v>
      </c>
      <c r="B321" s="104" t="s">
        <v>33</v>
      </c>
      <c r="C321" s="104" t="s">
        <v>512</v>
      </c>
      <c r="D321" s="105" t="n">
        <v>4</v>
      </c>
      <c r="E321" s="106" t="n">
        <v>142.9167</v>
      </c>
      <c r="F321" s="107" t="n">
        <f aca="false">IF($C321="","",$D321*$E321)</f>
        <v>571.6668</v>
      </c>
      <c r="G321" s="107" t="n">
        <f aca="false">IF($C321="","",$D321*IFERROR(INDEX('تحليل التكلفة والسعر'!$C$2:$C$700,MATCH($C321,'تحليل التكلفة والسعر'!$B$2:$B$700,0)),0))</f>
        <v>389.27096</v>
      </c>
      <c r="H321" s="104" t="s">
        <v>719</v>
      </c>
    </row>
    <row r="322" customFormat="false" ht="15" hidden="false" customHeight="false" outlineLevel="0" collapsed="false">
      <c r="A322" s="103" t="n">
        <v>46304</v>
      </c>
      <c r="B322" s="104" t="s">
        <v>33</v>
      </c>
      <c r="C322" s="104" t="s">
        <v>512</v>
      </c>
      <c r="D322" s="105" t="n">
        <v>4</v>
      </c>
      <c r="E322" s="106" t="n">
        <v>142.9167</v>
      </c>
      <c r="F322" s="107" t="n">
        <f aca="false">IF($C322="","",$D322*$E322)</f>
        <v>571.6668</v>
      </c>
      <c r="G322" s="107" t="n">
        <f aca="false">IF($C322="","",$D322*IFERROR(INDEX('تحليل التكلفة والسعر'!$C$2:$C$700,MATCH($C322,'تحليل التكلفة والسعر'!$B$2:$B$700,0)),0))</f>
        <v>389.27096</v>
      </c>
      <c r="H322" s="104" t="s">
        <v>719</v>
      </c>
    </row>
    <row r="323" customFormat="false" ht="15" hidden="false" customHeight="false" outlineLevel="0" collapsed="false">
      <c r="A323" s="103" t="n">
        <v>46305</v>
      </c>
      <c r="B323" s="104" t="s">
        <v>33</v>
      </c>
      <c r="C323" s="104" t="s">
        <v>512</v>
      </c>
      <c r="D323" s="105" t="n">
        <v>4</v>
      </c>
      <c r="E323" s="106" t="n">
        <v>142.9167</v>
      </c>
      <c r="F323" s="107" t="n">
        <f aca="false">IF($C323="","",$D323*$E323)</f>
        <v>571.6668</v>
      </c>
      <c r="G323" s="107" t="n">
        <f aca="false">IF($C323="","",$D323*IFERROR(INDEX('تحليل التكلفة والسعر'!$C$2:$C$700,MATCH($C323,'تحليل التكلفة والسعر'!$B$2:$B$700,0)),0))</f>
        <v>389.27096</v>
      </c>
      <c r="H323" s="104" t="s">
        <v>719</v>
      </c>
    </row>
    <row r="324" customFormat="false" ht="15" hidden="false" customHeight="false" outlineLevel="0" collapsed="false">
      <c r="A324" s="103" t="n">
        <v>46306</v>
      </c>
      <c r="B324" s="104" t="s">
        <v>33</v>
      </c>
      <c r="C324" s="104" t="s">
        <v>512</v>
      </c>
      <c r="D324" s="105" t="n">
        <v>4</v>
      </c>
      <c r="E324" s="106" t="n">
        <v>142.9167</v>
      </c>
      <c r="F324" s="107" t="n">
        <f aca="false">IF($C324="","",$D324*$E324)</f>
        <v>571.6668</v>
      </c>
      <c r="G324" s="107" t="n">
        <f aca="false">IF($C324="","",$D324*IFERROR(INDEX('تحليل التكلفة والسعر'!$C$2:$C$700,MATCH($C324,'تحليل التكلفة والسعر'!$B$2:$B$700,0)),0))</f>
        <v>389.27096</v>
      </c>
      <c r="H324" s="104" t="s">
        <v>719</v>
      </c>
    </row>
    <row r="325" customFormat="false" ht="15" hidden="false" customHeight="false" outlineLevel="0" collapsed="false">
      <c r="A325" s="103" t="n">
        <v>46307</v>
      </c>
      <c r="B325" s="104" t="s">
        <v>33</v>
      </c>
      <c r="C325" s="104" t="s">
        <v>512</v>
      </c>
      <c r="D325" s="105" t="n">
        <v>4</v>
      </c>
      <c r="E325" s="106" t="n">
        <v>142.9167</v>
      </c>
      <c r="F325" s="107" t="n">
        <f aca="false">IF($C325="","",$D325*$E325)</f>
        <v>571.6668</v>
      </c>
      <c r="G325" s="107" t="n">
        <f aca="false">IF($C325="","",$D325*IFERROR(INDEX('تحليل التكلفة والسعر'!$C$2:$C$700,MATCH($C325,'تحليل التكلفة والسعر'!$B$2:$B$700,0)),0))</f>
        <v>389.27096</v>
      </c>
      <c r="H325" s="104" t="s">
        <v>719</v>
      </c>
    </row>
    <row r="326" customFormat="false" ht="15" hidden="false" customHeight="false" outlineLevel="0" collapsed="false">
      <c r="A326" s="103" t="n">
        <v>46296</v>
      </c>
      <c r="B326" s="104" t="s">
        <v>33</v>
      </c>
      <c r="C326" s="104" t="s">
        <v>533</v>
      </c>
      <c r="D326" s="105" t="n">
        <v>1.3333</v>
      </c>
      <c r="E326" s="106" t="n">
        <v>157.5</v>
      </c>
      <c r="F326" s="107" t="n">
        <f aca="false">IF($C326="","",$D326*$E326)</f>
        <v>209.99475</v>
      </c>
      <c r="G326" s="107" t="n">
        <f aca="false">IF($C326="","",$D326*IFERROR(INDEX('تحليل التكلفة والسعر'!$C$2:$C$700,MATCH($C326,'تحليل التكلفة والسعر'!$B$2:$B$700,0)),0))</f>
        <v>126.857415152</v>
      </c>
      <c r="H326" s="104" t="s">
        <v>719</v>
      </c>
    </row>
    <row r="327" customFormat="false" ht="15" hidden="false" customHeight="false" outlineLevel="0" collapsed="false">
      <c r="A327" s="103" t="n">
        <v>46297</v>
      </c>
      <c r="B327" s="104" t="s">
        <v>33</v>
      </c>
      <c r="C327" s="104" t="s">
        <v>533</v>
      </c>
      <c r="D327" s="105" t="n">
        <v>1.3333</v>
      </c>
      <c r="E327" s="106" t="n">
        <v>157.5</v>
      </c>
      <c r="F327" s="107" t="n">
        <f aca="false">IF($C327="","",$D327*$E327)</f>
        <v>209.99475</v>
      </c>
      <c r="G327" s="107" t="n">
        <f aca="false">IF($C327="","",$D327*IFERROR(INDEX('تحليل التكلفة والسعر'!$C$2:$C$700,MATCH($C327,'تحليل التكلفة والسعر'!$B$2:$B$700,0)),0))</f>
        <v>126.857415152</v>
      </c>
      <c r="H327" s="104" t="s">
        <v>719</v>
      </c>
    </row>
    <row r="328" customFormat="false" ht="15" hidden="false" customHeight="false" outlineLevel="0" collapsed="false">
      <c r="A328" s="103" t="n">
        <v>46298</v>
      </c>
      <c r="B328" s="104" t="s">
        <v>33</v>
      </c>
      <c r="C328" s="104" t="s">
        <v>533</v>
      </c>
      <c r="D328" s="105" t="n">
        <v>1.3333</v>
      </c>
      <c r="E328" s="106" t="n">
        <v>157.5</v>
      </c>
      <c r="F328" s="107" t="n">
        <f aca="false">IF($C328="","",$D328*$E328)</f>
        <v>209.99475</v>
      </c>
      <c r="G328" s="107" t="n">
        <f aca="false">IF($C328="","",$D328*IFERROR(INDEX('تحليل التكلفة والسعر'!$C$2:$C$700,MATCH($C328,'تحليل التكلفة والسعر'!$B$2:$B$700,0)),0))</f>
        <v>126.857415152</v>
      </c>
      <c r="H328" s="104" t="s">
        <v>719</v>
      </c>
    </row>
    <row r="329" customFormat="false" ht="15" hidden="false" customHeight="false" outlineLevel="0" collapsed="false">
      <c r="A329" s="103" t="n">
        <v>46299</v>
      </c>
      <c r="B329" s="104" t="s">
        <v>33</v>
      </c>
      <c r="C329" s="104" t="s">
        <v>533</v>
      </c>
      <c r="D329" s="105" t="n">
        <v>1.3333</v>
      </c>
      <c r="E329" s="106" t="n">
        <v>157.5</v>
      </c>
      <c r="F329" s="107" t="n">
        <f aca="false">IF($C329="","",$D329*$E329)</f>
        <v>209.99475</v>
      </c>
      <c r="G329" s="107" t="n">
        <f aca="false">IF($C329="","",$D329*IFERROR(INDEX('تحليل التكلفة والسعر'!$C$2:$C$700,MATCH($C329,'تحليل التكلفة والسعر'!$B$2:$B$700,0)),0))</f>
        <v>126.857415152</v>
      </c>
      <c r="H329" s="104" t="s">
        <v>719</v>
      </c>
    </row>
    <row r="330" customFormat="false" ht="15" hidden="false" customHeight="false" outlineLevel="0" collapsed="false">
      <c r="A330" s="103" t="n">
        <v>46300</v>
      </c>
      <c r="B330" s="104" t="s">
        <v>33</v>
      </c>
      <c r="C330" s="104" t="s">
        <v>533</v>
      </c>
      <c r="D330" s="105" t="n">
        <v>1.3333</v>
      </c>
      <c r="E330" s="106" t="n">
        <v>157.5</v>
      </c>
      <c r="F330" s="107" t="n">
        <f aca="false">IF($C330="","",$D330*$E330)</f>
        <v>209.99475</v>
      </c>
      <c r="G330" s="107" t="n">
        <f aca="false">IF($C330="","",$D330*IFERROR(INDEX('تحليل التكلفة والسعر'!$C$2:$C$700,MATCH($C330,'تحليل التكلفة والسعر'!$B$2:$B$700,0)),0))</f>
        <v>126.857415152</v>
      </c>
      <c r="H330" s="104" t="s">
        <v>719</v>
      </c>
    </row>
    <row r="331" customFormat="false" ht="15" hidden="false" customHeight="false" outlineLevel="0" collapsed="false">
      <c r="A331" s="103" t="n">
        <v>46301</v>
      </c>
      <c r="B331" s="104" t="s">
        <v>33</v>
      </c>
      <c r="C331" s="104" t="s">
        <v>533</v>
      </c>
      <c r="D331" s="105" t="n">
        <v>1.3333</v>
      </c>
      <c r="E331" s="106" t="n">
        <v>157.5</v>
      </c>
      <c r="F331" s="107" t="n">
        <f aca="false">IF($C331="","",$D331*$E331)</f>
        <v>209.99475</v>
      </c>
      <c r="G331" s="107" t="n">
        <f aca="false">IF($C331="","",$D331*IFERROR(INDEX('تحليل التكلفة والسعر'!$C$2:$C$700,MATCH($C331,'تحليل التكلفة والسعر'!$B$2:$B$700,0)),0))</f>
        <v>126.857415152</v>
      </c>
      <c r="H331" s="104" t="s">
        <v>719</v>
      </c>
    </row>
    <row r="332" customFormat="false" ht="15" hidden="false" customHeight="false" outlineLevel="0" collapsed="false">
      <c r="A332" s="103" t="n">
        <v>46302</v>
      </c>
      <c r="B332" s="104" t="s">
        <v>33</v>
      </c>
      <c r="C332" s="104" t="s">
        <v>533</v>
      </c>
      <c r="D332" s="105" t="n">
        <v>1.3333</v>
      </c>
      <c r="E332" s="106" t="n">
        <v>157.5</v>
      </c>
      <c r="F332" s="107" t="n">
        <f aca="false">IF($C332="","",$D332*$E332)</f>
        <v>209.99475</v>
      </c>
      <c r="G332" s="107" t="n">
        <f aca="false">IF($C332="","",$D332*IFERROR(INDEX('تحليل التكلفة والسعر'!$C$2:$C$700,MATCH($C332,'تحليل التكلفة والسعر'!$B$2:$B$700,0)),0))</f>
        <v>126.857415152</v>
      </c>
      <c r="H332" s="104" t="s">
        <v>719</v>
      </c>
    </row>
    <row r="333" customFormat="false" ht="15" hidden="false" customHeight="false" outlineLevel="0" collapsed="false">
      <c r="A333" s="103" t="n">
        <v>46303</v>
      </c>
      <c r="B333" s="104" t="s">
        <v>33</v>
      </c>
      <c r="C333" s="104" t="s">
        <v>533</v>
      </c>
      <c r="D333" s="105" t="n">
        <v>1.3333</v>
      </c>
      <c r="E333" s="106" t="n">
        <v>157.5</v>
      </c>
      <c r="F333" s="107" t="n">
        <f aca="false">IF($C333="","",$D333*$E333)</f>
        <v>209.99475</v>
      </c>
      <c r="G333" s="107" t="n">
        <f aca="false">IF($C333="","",$D333*IFERROR(INDEX('تحليل التكلفة والسعر'!$C$2:$C$700,MATCH($C333,'تحليل التكلفة والسعر'!$B$2:$B$700,0)),0))</f>
        <v>126.857415152</v>
      </c>
      <c r="H333" s="104" t="s">
        <v>719</v>
      </c>
    </row>
    <row r="334" customFormat="false" ht="15" hidden="false" customHeight="false" outlineLevel="0" collapsed="false">
      <c r="A334" s="103" t="n">
        <v>46304</v>
      </c>
      <c r="B334" s="104" t="s">
        <v>33</v>
      </c>
      <c r="C334" s="104" t="s">
        <v>533</v>
      </c>
      <c r="D334" s="105" t="n">
        <v>1.3333</v>
      </c>
      <c r="E334" s="106" t="n">
        <v>157.5</v>
      </c>
      <c r="F334" s="107" t="n">
        <f aca="false">IF($C334="","",$D334*$E334)</f>
        <v>209.99475</v>
      </c>
      <c r="G334" s="107" t="n">
        <f aca="false">IF($C334="","",$D334*IFERROR(INDEX('تحليل التكلفة والسعر'!$C$2:$C$700,MATCH($C334,'تحليل التكلفة والسعر'!$B$2:$B$700,0)),0))</f>
        <v>126.857415152</v>
      </c>
      <c r="H334" s="104" t="s">
        <v>719</v>
      </c>
    </row>
    <row r="335" customFormat="false" ht="15" hidden="false" customHeight="false" outlineLevel="0" collapsed="false">
      <c r="A335" s="103" t="n">
        <v>46305</v>
      </c>
      <c r="B335" s="104" t="s">
        <v>33</v>
      </c>
      <c r="C335" s="104" t="s">
        <v>533</v>
      </c>
      <c r="D335" s="105" t="n">
        <v>1.3333</v>
      </c>
      <c r="E335" s="106" t="n">
        <v>157.5</v>
      </c>
      <c r="F335" s="107" t="n">
        <f aca="false">IF($C335="","",$D335*$E335)</f>
        <v>209.99475</v>
      </c>
      <c r="G335" s="107" t="n">
        <f aca="false">IF($C335="","",$D335*IFERROR(INDEX('تحليل التكلفة والسعر'!$C$2:$C$700,MATCH($C335,'تحليل التكلفة والسعر'!$B$2:$B$700,0)),0))</f>
        <v>126.857415152</v>
      </c>
      <c r="H335" s="104" t="s">
        <v>719</v>
      </c>
    </row>
    <row r="336" customFormat="false" ht="15" hidden="false" customHeight="false" outlineLevel="0" collapsed="false">
      <c r="A336" s="103" t="n">
        <v>46306</v>
      </c>
      <c r="B336" s="104" t="s">
        <v>33</v>
      </c>
      <c r="C336" s="104" t="s">
        <v>533</v>
      </c>
      <c r="D336" s="105" t="n">
        <v>1.3333</v>
      </c>
      <c r="E336" s="106" t="n">
        <v>157.5</v>
      </c>
      <c r="F336" s="107" t="n">
        <f aca="false">IF($C336="","",$D336*$E336)</f>
        <v>209.99475</v>
      </c>
      <c r="G336" s="107" t="n">
        <f aca="false">IF($C336="","",$D336*IFERROR(INDEX('تحليل التكلفة والسعر'!$C$2:$C$700,MATCH($C336,'تحليل التكلفة والسعر'!$B$2:$B$700,0)),0))</f>
        <v>126.857415152</v>
      </c>
      <c r="H336" s="104" t="s">
        <v>719</v>
      </c>
    </row>
    <row r="337" customFormat="false" ht="15" hidden="false" customHeight="false" outlineLevel="0" collapsed="false">
      <c r="A337" s="103" t="n">
        <v>46307</v>
      </c>
      <c r="B337" s="104" t="s">
        <v>33</v>
      </c>
      <c r="C337" s="104" t="s">
        <v>533</v>
      </c>
      <c r="D337" s="105" t="n">
        <v>1.3333</v>
      </c>
      <c r="E337" s="106" t="n">
        <v>157.5</v>
      </c>
      <c r="F337" s="107" t="n">
        <f aca="false">IF($C337="","",$D337*$E337)</f>
        <v>209.99475</v>
      </c>
      <c r="G337" s="107" t="n">
        <f aca="false">IF($C337="","",$D337*IFERROR(INDEX('تحليل التكلفة والسعر'!$C$2:$C$700,MATCH($C337,'تحليل التكلفة والسعر'!$B$2:$B$700,0)),0))</f>
        <v>126.857415152</v>
      </c>
      <c r="H337" s="104" t="s">
        <v>719</v>
      </c>
    </row>
    <row r="338" customFormat="false" ht="15" hidden="false" customHeight="false" outlineLevel="0" collapsed="false">
      <c r="A338" s="103" t="n">
        <v>46296</v>
      </c>
      <c r="B338" s="104" t="s">
        <v>33</v>
      </c>
      <c r="C338" s="104" t="s">
        <v>742</v>
      </c>
      <c r="D338" s="105" t="n">
        <v>0.0833</v>
      </c>
      <c r="E338" s="106" t="n">
        <v>45</v>
      </c>
      <c r="F338" s="107" t="n">
        <f aca="false">IF($C338="","",$D338*$E338)</f>
        <v>3.7485</v>
      </c>
      <c r="G338" s="107" t="n">
        <f aca="false">IF($C338="","",$D338*IFERROR(INDEX('تحليل التكلفة والسعر'!$C$2:$C$700,MATCH($C338,'تحليل التكلفة والسعر'!$B$2:$B$700,0)),0))</f>
        <v>3.332</v>
      </c>
      <c r="H338" s="104" t="s">
        <v>719</v>
      </c>
    </row>
    <row r="339" customFormat="false" ht="15" hidden="false" customHeight="false" outlineLevel="0" collapsed="false">
      <c r="A339" s="103" t="n">
        <v>46297</v>
      </c>
      <c r="B339" s="104" t="s">
        <v>33</v>
      </c>
      <c r="C339" s="104" t="s">
        <v>742</v>
      </c>
      <c r="D339" s="105" t="n">
        <v>0.0833</v>
      </c>
      <c r="E339" s="106" t="n">
        <v>45</v>
      </c>
      <c r="F339" s="107" t="n">
        <f aca="false">IF($C339="","",$D339*$E339)</f>
        <v>3.7485</v>
      </c>
      <c r="G339" s="107" t="n">
        <f aca="false">IF($C339="","",$D339*IFERROR(INDEX('تحليل التكلفة والسعر'!$C$2:$C$700,MATCH($C339,'تحليل التكلفة والسعر'!$B$2:$B$700,0)),0))</f>
        <v>3.332</v>
      </c>
      <c r="H339" s="104" t="s">
        <v>719</v>
      </c>
    </row>
    <row r="340" customFormat="false" ht="15" hidden="false" customHeight="false" outlineLevel="0" collapsed="false">
      <c r="A340" s="103" t="n">
        <v>46298</v>
      </c>
      <c r="B340" s="104" t="s">
        <v>33</v>
      </c>
      <c r="C340" s="104" t="s">
        <v>742</v>
      </c>
      <c r="D340" s="105" t="n">
        <v>0.0833</v>
      </c>
      <c r="E340" s="106" t="n">
        <v>45</v>
      </c>
      <c r="F340" s="107" t="n">
        <f aca="false">IF($C340="","",$D340*$E340)</f>
        <v>3.7485</v>
      </c>
      <c r="G340" s="107" t="n">
        <f aca="false">IF($C340="","",$D340*IFERROR(INDEX('تحليل التكلفة والسعر'!$C$2:$C$700,MATCH($C340,'تحليل التكلفة والسعر'!$B$2:$B$700,0)),0))</f>
        <v>3.332</v>
      </c>
      <c r="H340" s="104" t="s">
        <v>719</v>
      </c>
    </row>
    <row r="341" customFormat="false" ht="15" hidden="false" customHeight="false" outlineLevel="0" collapsed="false">
      <c r="A341" s="103" t="n">
        <v>46299</v>
      </c>
      <c r="B341" s="104" t="s">
        <v>33</v>
      </c>
      <c r="C341" s="104" t="s">
        <v>742</v>
      </c>
      <c r="D341" s="105" t="n">
        <v>0.0833</v>
      </c>
      <c r="E341" s="106" t="n">
        <v>45</v>
      </c>
      <c r="F341" s="107" t="n">
        <f aca="false">IF($C341="","",$D341*$E341)</f>
        <v>3.7485</v>
      </c>
      <c r="G341" s="107" t="n">
        <f aca="false">IF($C341="","",$D341*IFERROR(INDEX('تحليل التكلفة والسعر'!$C$2:$C$700,MATCH($C341,'تحليل التكلفة والسعر'!$B$2:$B$700,0)),0))</f>
        <v>3.332</v>
      </c>
      <c r="H341" s="104" t="s">
        <v>719</v>
      </c>
    </row>
    <row r="342" customFormat="false" ht="15" hidden="false" customHeight="false" outlineLevel="0" collapsed="false">
      <c r="A342" s="103" t="n">
        <v>46300</v>
      </c>
      <c r="B342" s="104" t="s">
        <v>33</v>
      </c>
      <c r="C342" s="104" t="s">
        <v>742</v>
      </c>
      <c r="D342" s="105" t="n">
        <v>0.0833</v>
      </c>
      <c r="E342" s="106" t="n">
        <v>45</v>
      </c>
      <c r="F342" s="107" t="n">
        <f aca="false">IF($C342="","",$D342*$E342)</f>
        <v>3.7485</v>
      </c>
      <c r="G342" s="107" t="n">
        <f aca="false">IF($C342="","",$D342*IFERROR(INDEX('تحليل التكلفة والسعر'!$C$2:$C$700,MATCH($C342,'تحليل التكلفة والسعر'!$B$2:$B$700,0)),0))</f>
        <v>3.332</v>
      </c>
      <c r="H342" s="104" t="s">
        <v>719</v>
      </c>
    </row>
    <row r="343" customFormat="false" ht="15" hidden="false" customHeight="false" outlineLevel="0" collapsed="false">
      <c r="A343" s="103" t="n">
        <v>46301</v>
      </c>
      <c r="B343" s="104" t="s">
        <v>33</v>
      </c>
      <c r="C343" s="104" t="s">
        <v>742</v>
      </c>
      <c r="D343" s="105" t="n">
        <v>0.0833</v>
      </c>
      <c r="E343" s="106" t="n">
        <v>45</v>
      </c>
      <c r="F343" s="107" t="n">
        <f aca="false">IF($C343="","",$D343*$E343)</f>
        <v>3.7485</v>
      </c>
      <c r="G343" s="107" t="n">
        <f aca="false">IF($C343="","",$D343*IFERROR(INDEX('تحليل التكلفة والسعر'!$C$2:$C$700,MATCH($C343,'تحليل التكلفة والسعر'!$B$2:$B$700,0)),0))</f>
        <v>3.332</v>
      </c>
      <c r="H343" s="104" t="s">
        <v>719</v>
      </c>
    </row>
    <row r="344" customFormat="false" ht="15" hidden="false" customHeight="false" outlineLevel="0" collapsed="false">
      <c r="A344" s="103" t="n">
        <v>46302</v>
      </c>
      <c r="B344" s="104" t="s">
        <v>33</v>
      </c>
      <c r="C344" s="104" t="s">
        <v>742</v>
      </c>
      <c r="D344" s="105" t="n">
        <v>0.0833</v>
      </c>
      <c r="E344" s="106" t="n">
        <v>45</v>
      </c>
      <c r="F344" s="107" t="n">
        <f aca="false">IF($C344="","",$D344*$E344)</f>
        <v>3.7485</v>
      </c>
      <c r="G344" s="107" t="n">
        <f aca="false">IF($C344="","",$D344*IFERROR(INDEX('تحليل التكلفة والسعر'!$C$2:$C$700,MATCH($C344,'تحليل التكلفة والسعر'!$B$2:$B$700,0)),0))</f>
        <v>3.332</v>
      </c>
      <c r="H344" s="104" t="s">
        <v>719</v>
      </c>
    </row>
    <row r="345" customFormat="false" ht="15" hidden="false" customHeight="false" outlineLevel="0" collapsed="false">
      <c r="A345" s="103" t="n">
        <v>46303</v>
      </c>
      <c r="B345" s="104" t="s">
        <v>33</v>
      </c>
      <c r="C345" s="104" t="s">
        <v>742</v>
      </c>
      <c r="D345" s="105" t="n">
        <v>0.0833</v>
      </c>
      <c r="E345" s="106" t="n">
        <v>45</v>
      </c>
      <c r="F345" s="107" t="n">
        <f aca="false">IF($C345="","",$D345*$E345)</f>
        <v>3.7485</v>
      </c>
      <c r="G345" s="107" t="n">
        <f aca="false">IF($C345="","",$D345*IFERROR(INDEX('تحليل التكلفة والسعر'!$C$2:$C$700,MATCH($C345,'تحليل التكلفة والسعر'!$B$2:$B$700,0)),0))</f>
        <v>3.332</v>
      </c>
      <c r="H345" s="104" t="s">
        <v>719</v>
      </c>
    </row>
    <row r="346" customFormat="false" ht="15" hidden="false" customHeight="false" outlineLevel="0" collapsed="false">
      <c r="A346" s="103" t="n">
        <v>46304</v>
      </c>
      <c r="B346" s="104" t="s">
        <v>33</v>
      </c>
      <c r="C346" s="104" t="s">
        <v>742</v>
      </c>
      <c r="D346" s="105" t="n">
        <v>0.0833</v>
      </c>
      <c r="E346" s="106" t="n">
        <v>45</v>
      </c>
      <c r="F346" s="107" t="n">
        <f aca="false">IF($C346="","",$D346*$E346)</f>
        <v>3.7485</v>
      </c>
      <c r="G346" s="107" t="n">
        <f aca="false">IF($C346="","",$D346*IFERROR(INDEX('تحليل التكلفة والسعر'!$C$2:$C$700,MATCH($C346,'تحليل التكلفة والسعر'!$B$2:$B$700,0)),0))</f>
        <v>3.332</v>
      </c>
      <c r="H346" s="104" t="s">
        <v>719</v>
      </c>
    </row>
    <row r="347" customFormat="false" ht="15" hidden="false" customHeight="false" outlineLevel="0" collapsed="false">
      <c r="A347" s="103" t="n">
        <v>46305</v>
      </c>
      <c r="B347" s="104" t="s">
        <v>33</v>
      </c>
      <c r="C347" s="104" t="s">
        <v>742</v>
      </c>
      <c r="D347" s="105" t="n">
        <v>0.0833</v>
      </c>
      <c r="E347" s="106" t="n">
        <v>45</v>
      </c>
      <c r="F347" s="107" t="n">
        <f aca="false">IF($C347="","",$D347*$E347)</f>
        <v>3.7485</v>
      </c>
      <c r="G347" s="107" t="n">
        <f aca="false">IF($C347="","",$D347*IFERROR(INDEX('تحليل التكلفة والسعر'!$C$2:$C$700,MATCH($C347,'تحليل التكلفة والسعر'!$B$2:$B$700,0)),0))</f>
        <v>3.332</v>
      </c>
      <c r="H347" s="104" t="s">
        <v>719</v>
      </c>
    </row>
    <row r="348" customFormat="false" ht="15" hidden="false" customHeight="false" outlineLevel="0" collapsed="false">
      <c r="A348" s="103" t="n">
        <v>46306</v>
      </c>
      <c r="B348" s="104" t="s">
        <v>33</v>
      </c>
      <c r="C348" s="104" t="s">
        <v>742</v>
      </c>
      <c r="D348" s="105" t="n">
        <v>0.0833</v>
      </c>
      <c r="E348" s="106" t="n">
        <v>45</v>
      </c>
      <c r="F348" s="107" t="n">
        <f aca="false">IF($C348="","",$D348*$E348)</f>
        <v>3.7485</v>
      </c>
      <c r="G348" s="107" t="n">
        <f aca="false">IF($C348="","",$D348*IFERROR(INDEX('تحليل التكلفة والسعر'!$C$2:$C$700,MATCH($C348,'تحليل التكلفة والسعر'!$B$2:$B$700,0)),0))</f>
        <v>3.332</v>
      </c>
      <c r="H348" s="104" t="s">
        <v>719</v>
      </c>
    </row>
    <row r="349" customFormat="false" ht="15" hidden="false" customHeight="false" outlineLevel="0" collapsed="false">
      <c r="A349" s="103" t="n">
        <v>46307</v>
      </c>
      <c r="B349" s="104" t="s">
        <v>33</v>
      </c>
      <c r="C349" s="104" t="s">
        <v>742</v>
      </c>
      <c r="D349" s="105" t="n">
        <v>0.0833</v>
      </c>
      <c r="E349" s="106" t="n">
        <v>45</v>
      </c>
      <c r="F349" s="107" t="n">
        <f aca="false">IF($C349="","",$D349*$E349)</f>
        <v>3.7485</v>
      </c>
      <c r="G349" s="107" t="n">
        <f aca="false">IF($C349="","",$D349*IFERROR(INDEX('تحليل التكلفة والسعر'!$C$2:$C$700,MATCH($C349,'تحليل التكلفة والسعر'!$B$2:$B$700,0)),0))</f>
        <v>3.332</v>
      </c>
      <c r="H349" s="104" t="s">
        <v>719</v>
      </c>
    </row>
    <row r="350" customFormat="false" ht="15" hidden="false" customHeight="false" outlineLevel="0" collapsed="false">
      <c r="A350" s="103" t="n">
        <v>46296</v>
      </c>
      <c r="B350" s="104" t="s">
        <v>33</v>
      </c>
      <c r="C350" s="104" t="s">
        <v>202</v>
      </c>
      <c r="D350" s="105" t="n">
        <v>0.6667</v>
      </c>
      <c r="E350" s="106" t="n">
        <v>25</v>
      </c>
      <c r="F350" s="107" t="n">
        <f aca="false">IF($C350="","",$D350*$E350)</f>
        <v>16.6675</v>
      </c>
      <c r="G350" s="107" t="n">
        <f aca="false">IF($C350="","",$D350*IFERROR(INDEX('تحليل التكلفة والسعر'!$C$2:$C$700,MATCH($C350,'تحليل التكلفة والسعر'!$B$2:$B$700,0)),0))</f>
        <v>11.45890625</v>
      </c>
      <c r="H350" s="104" t="s">
        <v>719</v>
      </c>
    </row>
    <row r="351" customFormat="false" ht="15" hidden="false" customHeight="false" outlineLevel="0" collapsed="false">
      <c r="A351" s="103" t="n">
        <v>46297</v>
      </c>
      <c r="B351" s="104" t="s">
        <v>33</v>
      </c>
      <c r="C351" s="104" t="s">
        <v>202</v>
      </c>
      <c r="D351" s="105" t="n">
        <v>0.6667</v>
      </c>
      <c r="E351" s="106" t="n">
        <v>25</v>
      </c>
      <c r="F351" s="107" t="n">
        <f aca="false">IF($C351="","",$D351*$E351)</f>
        <v>16.6675</v>
      </c>
      <c r="G351" s="107" t="n">
        <f aca="false">IF($C351="","",$D351*IFERROR(INDEX('تحليل التكلفة والسعر'!$C$2:$C$700,MATCH($C351,'تحليل التكلفة والسعر'!$B$2:$B$700,0)),0))</f>
        <v>11.45890625</v>
      </c>
      <c r="H351" s="104" t="s">
        <v>719</v>
      </c>
    </row>
    <row r="352" customFormat="false" ht="15" hidden="false" customHeight="false" outlineLevel="0" collapsed="false">
      <c r="A352" s="103" t="n">
        <v>46298</v>
      </c>
      <c r="B352" s="104" t="s">
        <v>33</v>
      </c>
      <c r="C352" s="104" t="s">
        <v>202</v>
      </c>
      <c r="D352" s="105" t="n">
        <v>0.6667</v>
      </c>
      <c r="E352" s="106" t="n">
        <v>25</v>
      </c>
      <c r="F352" s="107" t="n">
        <f aca="false">IF($C352="","",$D352*$E352)</f>
        <v>16.6675</v>
      </c>
      <c r="G352" s="107" t="n">
        <f aca="false">IF($C352="","",$D352*IFERROR(INDEX('تحليل التكلفة والسعر'!$C$2:$C$700,MATCH($C352,'تحليل التكلفة والسعر'!$B$2:$B$700,0)),0))</f>
        <v>11.45890625</v>
      </c>
      <c r="H352" s="104" t="s">
        <v>719</v>
      </c>
    </row>
    <row r="353" customFormat="false" ht="15" hidden="false" customHeight="false" outlineLevel="0" collapsed="false">
      <c r="A353" s="103" t="n">
        <v>46299</v>
      </c>
      <c r="B353" s="104" t="s">
        <v>33</v>
      </c>
      <c r="C353" s="104" t="s">
        <v>202</v>
      </c>
      <c r="D353" s="105" t="n">
        <v>0.6667</v>
      </c>
      <c r="E353" s="106" t="n">
        <v>25</v>
      </c>
      <c r="F353" s="107" t="n">
        <f aca="false">IF($C353="","",$D353*$E353)</f>
        <v>16.6675</v>
      </c>
      <c r="G353" s="107" t="n">
        <f aca="false">IF($C353="","",$D353*IFERROR(INDEX('تحليل التكلفة والسعر'!$C$2:$C$700,MATCH($C353,'تحليل التكلفة والسعر'!$B$2:$B$700,0)),0))</f>
        <v>11.45890625</v>
      </c>
      <c r="H353" s="104" t="s">
        <v>719</v>
      </c>
    </row>
    <row r="354" customFormat="false" ht="15" hidden="false" customHeight="false" outlineLevel="0" collapsed="false">
      <c r="A354" s="103" t="n">
        <v>46300</v>
      </c>
      <c r="B354" s="104" t="s">
        <v>33</v>
      </c>
      <c r="C354" s="104" t="s">
        <v>202</v>
      </c>
      <c r="D354" s="105" t="n">
        <v>0.6667</v>
      </c>
      <c r="E354" s="106" t="n">
        <v>25</v>
      </c>
      <c r="F354" s="107" t="n">
        <f aca="false">IF($C354="","",$D354*$E354)</f>
        <v>16.6675</v>
      </c>
      <c r="G354" s="107" t="n">
        <f aca="false">IF($C354="","",$D354*IFERROR(INDEX('تحليل التكلفة والسعر'!$C$2:$C$700,MATCH($C354,'تحليل التكلفة والسعر'!$B$2:$B$700,0)),0))</f>
        <v>11.45890625</v>
      </c>
      <c r="H354" s="104" t="s">
        <v>719</v>
      </c>
    </row>
    <row r="355" customFormat="false" ht="15" hidden="false" customHeight="false" outlineLevel="0" collapsed="false">
      <c r="A355" s="103" t="n">
        <v>46301</v>
      </c>
      <c r="B355" s="104" t="s">
        <v>33</v>
      </c>
      <c r="C355" s="104" t="s">
        <v>202</v>
      </c>
      <c r="D355" s="105" t="n">
        <v>0.6667</v>
      </c>
      <c r="E355" s="106" t="n">
        <v>25</v>
      </c>
      <c r="F355" s="107" t="n">
        <f aca="false">IF($C355="","",$D355*$E355)</f>
        <v>16.6675</v>
      </c>
      <c r="G355" s="107" t="n">
        <f aca="false">IF($C355="","",$D355*IFERROR(INDEX('تحليل التكلفة والسعر'!$C$2:$C$700,MATCH($C355,'تحليل التكلفة والسعر'!$B$2:$B$700,0)),0))</f>
        <v>11.45890625</v>
      </c>
      <c r="H355" s="104" t="s">
        <v>719</v>
      </c>
    </row>
    <row r="356" customFormat="false" ht="15" hidden="false" customHeight="false" outlineLevel="0" collapsed="false">
      <c r="A356" s="103" t="n">
        <v>46302</v>
      </c>
      <c r="B356" s="104" t="s">
        <v>33</v>
      </c>
      <c r="C356" s="104" t="s">
        <v>202</v>
      </c>
      <c r="D356" s="105" t="n">
        <v>0.6667</v>
      </c>
      <c r="E356" s="106" t="n">
        <v>25</v>
      </c>
      <c r="F356" s="107" t="n">
        <f aca="false">IF($C356="","",$D356*$E356)</f>
        <v>16.6675</v>
      </c>
      <c r="G356" s="107" t="n">
        <f aca="false">IF($C356="","",$D356*IFERROR(INDEX('تحليل التكلفة والسعر'!$C$2:$C$700,MATCH($C356,'تحليل التكلفة والسعر'!$B$2:$B$700,0)),0))</f>
        <v>11.45890625</v>
      </c>
      <c r="H356" s="104" t="s">
        <v>719</v>
      </c>
    </row>
    <row r="357" customFormat="false" ht="15" hidden="false" customHeight="false" outlineLevel="0" collapsed="false">
      <c r="A357" s="103" t="n">
        <v>46303</v>
      </c>
      <c r="B357" s="104" t="s">
        <v>33</v>
      </c>
      <c r="C357" s="104" t="s">
        <v>202</v>
      </c>
      <c r="D357" s="105" t="n">
        <v>0.6667</v>
      </c>
      <c r="E357" s="106" t="n">
        <v>25</v>
      </c>
      <c r="F357" s="107" t="n">
        <f aca="false">IF($C357="","",$D357*$E357)</f>
        <v>16.6675</v>
      </c>
      <c r="G357" s="107" t="n">
        <f aca="false">IF($C357="","",$D357*IFERROR(INDEX('تحليل التكلفة والسعر'!$C$2:$C$700,MATCH($C357,'تحليل التكلفة والسعر'!$B$2:$B$700,0)),0))</f>
        <v>11.45890625</v>
      </c>
      <c r="H357" s="104" t="s">
        <v>719</v>
      </c>
    </row>
    <row r="358" customFormat="false" ht="15" hidden="false" customHeight="false" outlineLevel="0" collapsed="false">
      <c r="A358" s="103" t="n">
        <v>46304</v>
      </c>
      <c r="B358" s="104" t="s">
        <v>33</v>
      </c>
      <c r="C358" s="104" t="s">
        <v>202</v>
      </c>
      <c r="D358" s="105" t="n">
        <v>0.6667</v>
      </c>
      <c r="E358" s="106" t="n">
        <v>25</v>
      </c>
      <c r="F358" s="107" t="n">
        <f aca="false">IF($C358="","",$D358*$E358)</f>
        <v>16.6675</v>
      </c>
      <c r="G358" s="107" t="n">
        <f aca="false">IF($C358="","",$D358*IFERROR(INDEX('تحليل التكلفة والسعر'!$C$2:$C$700,MATCH($C358,'تحليل التكلفة والسعر'!$B$2:$B$700,0)),0))</f>
        <v>11.45890625</v>
      </c>
      <c r="H358" s="104" t="s">
        <v>719</v>
      </c>
    </row>
    <row r="359" customFormat="false" ht="15" hidden="false" customHeight="false" outlineLevel="0" collapsed="false">
      <c r="A359" s="103" t="n">
        <v>46305</v>
      </c>
      <c r="B359" s="104" t="s">
        <v>33</v>
      </c>
      <c r="C359" s="104" t="s">
        <v>202</v>
      </c>
      <c r="D359" s="105" t="n">
        <v>0.6667</v>
      </c>
      <c r="E359" s="106" t="n">
        <v>25</v>
      </c>
      <c r="F359" s="107" t="n">
        <f aca="false">IF($C359="","",$D359*$E359)</f>
        <v>16.6675</v>
      </c>
      <c r="G359" s="107" t="n">
        <f aca="false">IF($C359="","",$D359*IFERROR(INDEX('تحليل التكلفة والسعر'!$C$2:$C$700,MATCH($C359,'تحليل التكلفة والسعر'!$B$2:$B$700,0)),0))</f>
        <v>11.45890625</v>
      </c>
      <c r="H359" s="104" t="s">
        <v>719</v>
      </c>
    </row>
    <row r="360" customFormat="false" ht="15" hidden="false" customHeight="false" outlineLevel="0" collapsed="false">
      <c r="A360" s="103" t="n">
        <v>46306</v>
      </c>
      <c r="B360" s="104" t="s">
        <v>33</v>
      </c>
      <c r="C360" s="104" t="s">
        <v>202</v>
      </c>
      <c r="D360" s="105" t="n">
        <v>0.6667</v>
      </c>
      <c r="E360" s="106" t="n">
        <v>25</v>
      </c>
      <c r="F360" s="107" t="n">
        <f aca="false">IF($C360="","",$D360*$E360)</f>
        <v>16.6675</v>
      </c>
      <c r="G360" s="107" t="n">
        <f aca="false">IF($C360="","",$D360*IFERROR(INDEX('تحليل التكلفة والسعر'!$C$2:$C$700,MATCH($C360,'تحليل التكلفة والسعر'!$B$2:$B$700,0)),0))</f>
        <v>11.45890625</v>
      </c>
      <c r="H360" s="104" t="s">
        <v>719</v>
      </c>
    </row>
    <row r="361" customFormat="false" ht="15" hidden="false" customHeight="false" outlineLevel="0" collapsed="false">
      <c r="A361" s="103" t="n">
        <v>46307</v>
      </c>
      <c r="B361" s="104" t="s">
        <v>33</v>
      </c>
      <c r="C361" s="104" t="s">
        <v>202</v>
      </c>
      <c r="D361" s="105" t="n">
        <v>0.6667</v>
      </c>
      <c r="E361" s="106" t="n">
        <v>25</v>
      </c>
      <c r="F361" s="107" t="n">
        <f aca="false">IF($C361="","",$D361*$E361)</f>
        <v>16.6675</v>
      </c>
      <c r="G361" s="107" t="n">
        <f aca="false">IF($C361="","",$D361*IFERROR(INDEX('تحليل التكلفة والسعر'!$C$2:$C$700,MATCH($C361,'تحليل التكلفة والسعر'!$B$2:$B$700,0)),0))</f>
        <v>11.45890625</v>
      </c>
      <c r="H361" s="104" t="s">
        <v>719</v>
      </c>
    </row>
    <row r="362" customFormat="false" ht="15" hidden="false" customHeight="false" outlineLevel="0" collapsed="false">
      <c r="A362" s="103" t="n">
        <v>46296</v>
      </c>
      <c r="B362" s="104" t="s">
        <v>33</v>
      </c>
      <c r="C362" s="104" t="s">
        <v>204</v>
      </c>
      <c r="D362" s="105" t="n">
        <v>0.0833</v>
      </c>
      <c r="E362" s="106" t="n">
        <v>40</v>
      </c>
      <c r="F362" s="107" t="n">
        <f aca="false">IF($C362="","",$D362*$E362)</f>
        <v>3.332</v>
      </c>
      <c r="G362" s="107" t="n">
        <f aca="false">IF($C362="","",$D362*IFERROR(INDEX('تحليل التكلفة والسعر'!$C$2:$C$700,MATCH($C362,'تحليل التكلفة والسعر'!$B$2:$B$700,0)),0))</f>
        <v>2.499</v>
      </c>
      <c r="H362" s="104" t="s">
        <v>719</v>
      </c>
    </row>
    <row r="363" customFormat="false" ht="15" hidden="false" customHeight="false" outlineLevel="0" collapsed="false">
      <c r="A363" s="103" t="n">
        <v>46297</v>
      </c>
      <c r="B363" s="104" t="s">
        <v>33</v>
      </c>
      <c r="C363" s="104" t="s">
        <v>204</v>
      </c>
      <c r="D363" s="105" t="n">
        <v>0.0833</v>
      </c>
      <c r="E363" s="106" t="n">
        <v>40</v>
      </c>
      <c r="F363" s="107" t="n">
        <f aca="false">IF($C363="","",$D363*$E363)</f>
        <v>3.332</v>
      </c>
      <c r="G363" s="107" t="n">
        <f aca="false">IF($C363="","",$D363*IFERROR(INDEX('تحليل التكلفة والسعر'!$C$2:$C$700,MATCH($C363,'تحليل التكلفة والسعر'!$B$2:$B$700,0)),0))</f>
        <v>2.499</v>
      </c>
      <c r="H363" s="104" t="s">
        <v>719</v>
      </c>
    </row>
    <row r="364" customFormat="false" ht="15" hidden="false" customHeight="false" outlineLevel="0" collapsed="false">
      <c r="A364" s="103" t="n">
        <v>46298</v>
      </c>
      <c r="B364" s="104" t="s">
        <v>33</v>
      </c>
      <c r="C364" s="104" t="s">
        <v>204</v>
      </c>
      <c r="D364" s="105" t="n">
        <v>0.0833</v>
      </c>
      <c r="E364" s="106" t="n">
        <v>40</v>
      </c>
      <c r="F364" s="107" t="n">
        <f aca="false">IF($C364="","",$D364*$E364)</f>
        <v>3.332</v>
      </c>
      <c r="G364" s="107" t="n">
        <f aca="false">IF($C364="","",$D364*IFERROR(INDEX('تحليل التكلفة والسعر'!$C$2:$C$700,MATCH($C364,'تحليل التكلفة والسعر'!$B$2:$B$700,0)),0))</f>
        <v>2.499</v>
      </c>
      <c r="H364" s="104" t="s">
        <v>719</v>
      </c>
    </row>
    <row r="365" customFormat="false" ht="15" hidden="false" customHeight="false" outlineLevel="0" collapsed="false">
      <c r="A365" s="103" t="n">
        <v>46299</v>
      </c>
      <c r="B365" s="104" t="s">
        <v>33</v>
      </c>
      <c r="C365" s="104" t="s">
        <v>204</v>
      </c>
      <c r="D365" s="105" t="n">
        <v>0.0833</v>
      </c>
      <c r="E365" s="106" t="n">
        <v>40</v>
      </c>
      <c r="F365" s="107" t="n">
        <f aca="false">IF($C365="","",$D365*$E365)</f>
        <v>3.332</v>
      </c>
      <c r="G365" s="107" t="n">
        <f aca="false">IF($C365="","",$D365*IFERROR(INDEX('تحليل التكلفة والسعر'!$C$2:$C$700,MATCH($C365,'تحليل التكلفة والسعر'!$B$2:$B$700,0)),0))</f>
        <v>2.499</v>
      </c>
      <c r="H365" s="104" t="s">
        <v>719</v>
      </c>
    </row>
    <row r="366" customFormat="false" ht="15" hidden="false" customHeight="false" outlineLevel="0" collapsed="false">
      <c r="A366" s="103" t="n">
        <v>46300</v>
      </c>
      <c r="B366" s="104" t="s">
        <v>33</v>
      </c>
      <c r="C366" s="104" t="s">
        <v>204</v>
      </c>
      <c r="D366" s="105" t="n">
        <v>0.0833</v>
      </c>
      <c r="E366" s="106" t="n">
        <v>40</v>
      </c>
      <c r="F366" s="107" t="n">
        <f aca="false">IF($C366="","",$D366*$E366)</f>
        <v>3.332</v>
      </c>
      <c r="G366" s="107" t="n">
        <f aca="false">IF($C366="","",$D366*IFERROR(INDEX('تحليل التكلفة والسعر'!$C$2:$C$700,MATCH($C366,'تحليل التكلفة والسعر'!$B$2:$B$700,0)),0))</f>
        <v>2.499</v>
      </c>
      <c r="H366" s="104" t="s">
        <v>719</v>
      </c>
    </row>
    <row r="367" customFormat="false" ht="15" hidden="false" customHeight="false" outlineLevel="0" collapsed="false">
      <c r="A367" s="103" t="n">
        <v>46301</v>
      </c>
      <c r="B367" s="104" t="s">
        <v>33</v>
      </c>
      <c r="C367" s="104" t="s">
        <v>204</v>
      </c>
      <c r="D367" s="105" t="n">
        <v>0.0833</v>
      </c>
      <c r="E367" s="106" t="n">
        <v>40</v>
      </c>
      <c r="F367" s="107" t="n">
        <f aca="false">IF($C367="","",$D367*$E367)</f>
        <v>3.332</v>
      </c>
      <c r="G367" s="107" t="n">
        <f aca="false">IF($C367="","",$D367*IFERROR(INDEX('تحليل التكلفة والسعر'!$C$2:$C$700,MATCH($C367,'تحليل التكلفة والسعر'!$B$2:$B$700,0)),0))</f>
        <v>2.499</v>
      </c>
      <c r="H367" s="104" t="s">
        <v>719</v>
      </c>
    </row>
    <row r="368" customFormat="false" ht="15" hidden="false" customHeight="false" outlineLevel="0" collapsed="false">
      <c r="A368" s="103" t="n">
        <v>46302</v>
      </c>
      <c r="B368" s="104" t="s">
        <v>33</v>
      </c>
      <c r="C368" s="104" t="s">
        <v>204</v>
      </c>
      <c r="D368" s="105" t="n">
        <v>0.0833</v>
      </c>
      <c r="E368" s="106" t="n">
        <v>40</v>
      </c>
      <c r="F368" s="107" t="n">
        <f aca="false">IF($C368="","",$D368*$E368)</f>
        <v>3.332</v>
      </c>
      <c r="G368" s="107" t="n">
        <f aca="false">IF($C368="","",$D368*IFERROR(INDEX('تحليل التكلفة والسعر'!$C$2:$C$700,MATCH($C368,'تحليل التكلفة والسعر'!$B$2:$B$700,0)),0))</f>
        <v>2.499</v>
      </c>
      <c r="H368" s="104" t="s">
        <v>719</v>
      </c>
    </row>
    <row r="369" customFormat="false" ht="15" hidden="false" customHeight="false" outlineLevel="0" collapsed="false">
      <c r="A369" s="103" t="n">
        <v>46303</v>
      </c>
      <c r="B369" s="104" t="s">
        <v>33</v>
      </c>
      <c r="C369" s="104" t="s">
        <v>204</v>
      </c>
      <c r="D369" s="105" t="n">
        <v>0.0833</v>
      </c>
      <c r="E369" s="106" t="n">
        <v>40</v>
      </c>
      <c r="F369" s="107" t="n">
        <f aca="false">IF($C369="","",$D369*$E369)</f>
        <v>3.332</v>
      </c>
      <c r="G369" s="107" t="n">
        <f aca="false">IF($C369="","",$D369*IFERROR(INDEX('تحليل التكلفة والسعر'!$C$2:$C$700,MATCH($C369,'تحليل التكلفة والسعر'!$B$2:$B$700,0)),0))</f>
        <v>2.499</v>
      </c>
      <c r="H369" s="104" t="s">
        <v>719</v>
      </c>
    </row>
    <row r="370" customFormat="false" ht="15" hidden="false" customHeight="false" outlineLevel="0" collapsed="false">
      <c r="A370" s="103" t="n">
        <v>46304</v>
      </c>
      <c r="B370" s="104" t="s">
        <v>33</v>
      </c>
      <c r="C370" s="104" t="s">
        <v>204</v>
      </c>
      <c r="D370" s="105" t="n">
        <v>0.0833</v>
      </c>
      <c r="E370" s="106" t="n">
        <v>40</v>
      </c>
      <c r="F370" s="107" t="n">
        <f aca="false">IF($C370="","",$D370*$E370)</f>
        <v>3.332</v>
      </c>
      <c r="G370" s="107" t="n">
        <f aca="false">IF($C370="","",$D370*IFERROR(INDEX('تحليل التكلفة والسعر'!$C$2:$C$700,MATCH($C370,'تحليل التكلفة والسعر'!$B$2:$B$700,0)),0))</f>
        <v>2.499</v>
      </c>
      <c r="H370" s="104" t="s">
        <v>719</v>
      </c>
    </row>
    <row r="371" customFormat="false" ht="15" hidden="false" customHeight="false" outlineLevel="0" collapsed="false">
      <c r="A371" s="103" t="n">
        <v>46305</v>
      </c>
      <c r="B371" s="104" t="s">
        <v>33</v>
      </c>
      <c r="C371" s="104" t="s">
        <v>204</v>
      </c>
      <c r="D371" s="105" t="n">
        <v>0.0833</v>
      </c>
      <c r="E371" s="106" t="n">
        <v>40</v>
      </c>
      <c r="F371" s="107" t="n">
        <f aca="false">IF($C371="","",$D371*$E371)</f>
        <v>3.332</v>
      </c>
      <c r="G371" s="107" t="n">
        <f aca="false">IF($C371="","",$D371*IFERROR(INDEX('تحليل التكلفة والسعر'!$C$2:$C$700,MATCH($C371,'تحليل التكلفة والسعر'!$B$2:$B$700,0)),0))</f>
        <v>2.499</v>
      </c>
      <c r="H371" s="104" t="s">
        <v>719</v>
      </c>
    </row>
    <row r="372" customFormat="false" ht="15" hidden="false" customHeight="false" outlineLevel="0" collapsed="false">
      <c r="A372" s="103" t="n">
        <v>46306</v>
      </c>
      <c r="B372" s="104" t="s">
        <v>33</v>
      </c>
      <c r="C372" s="104" t="s">
        <v>204</v>
      </c>
      <c r="D372" s="105" t="n">
        <v>0.0833</v>
      </c>
      <c r="E372" s="106" t="n">
        <v>40</v>
      </c>
      <c r="F372" s="107" t="n">
        <f aca="false">IF($C372="","",$D372*$E372)</f>
        <v>3.332</v>
      </c>
      <c r="G372" s="107" t="n">
        <f aca="false">IF($C372="","",$D372*IFERROR(INDEX('تحليل التكلفة والسعر'!$C$2:$C$700,MATCH($C372,'تحليل التكلفة والسعر'!$B$2:$B$700,0)),0))</f>
        <v>2.499</v>
      </c>
      <c r="H372" s="104" t="s">
        <v>719</v>
      </c>
    </row>
    <row r="373" customFormat="false" ht="15" hidden="false" customHeight="false" outlineLevel="0" collapsed="false">
      <c r="A373" s="103" t="n">
        <v>46307</v>
      </c>
      <c r="B373" s="104" t="s">
        <v>33</v>
      </c>
      <c r="C373" s="104" t="s">
        <v>204</v>
      </c>
      <c r="D373" s="105" t="n">
        <v>0.0833</v>
      </c>
      <c r="E373" s="106" t="n">
        <v>40</v>
      </c>
      <c r="F373" s="107" t="n">
        <f aca="false">IF($C373="","",$D373*$E373)</f>
        <v>3.332</v>
      </c>
      <c r="G373" s="107" t="n">
        <f aca="false">IF($C373="","",$D373*IFERROR(INDEX('تحليل التكلفة والسعر'!$C$2:$C$700,MATCH($C373,'تحليل التكلفة والسعر'!$B$2:$B$700,0)),0))</f>
        <v>2.499</v>
      </c>
      <c r="H373" s="104" t="s">
        <v>719</v>
      </c>
    </row>
    <row r="374" customFormat="false" ht="15" hidden="false" customHeight="false" outlineLevel="0" collapsed="false">
      <c r="A374" s="103" t="n">
        <v>46296</v>
      </c>
      <c r="B374" s="104" t="s">
        <v>33</v>
      </c>
      <c r="C374" s="104" t="s">
        <v>462</v>
      </c>
      <c r="D374" s="105" t="n">
        <v>1</v>
      </c>
      <c r="E374" s="106" t="n">
        <v>212.9167</v>
      </c>
      <c r="F374" s="107" t="n">
        <f aca="false">IF($C374="","",$D374*$E374)</f>
        <v>212.9167</v>
      </c>
      <c r="G374" s="107" t="n">
        <f aca="false">IF($C374="","",$D374*IFERROR(INDEX('تحليل التكلفة والسعر'!$C$2:$C$700,MATCH($C374,'تحليل التكلفة والسعر'!$B$2:$B$700,0)),0))</f>
        <v>96.9577</v>
      </c>
      <c r="H374" s="104" t="s">
        <v>719</v>
      </c>
    </row>
    <row r="375" customFormat="false" ht="15" hidden="false" customHeight="false" outlineLevel="0" collapsed="false">
      <c r="A375" s="103" t="n">
        <v>46297</v>
      </c>
      <c r="B375" s="104" t="s">
        <v>33</v>
      </c>
      <c r="C375" s="104" t="s">
        <v>462</v>
      </c>
      <c r="D375" s="105" t="n">
        <v>1</v>
      </c>
      <c r="E375" s="106" t="n">
        <v>212.9167</v>
      </c>
      <c r="F375" s="107" t="n">
        <f aca="false">IF($C375="","",$D375*$E375)</f>
        <v>212.9167</v>
      </c>
      <c r="G375" s="107" t="n">
        <f aca="false">IF($C375="","",$D375*IFERROR(INDEX('تحليل التكلفة والسعر'!$C$2:$C$700,MATCH($C375,'تحليل التكلفة والسعر'!$B$2:$B$700,0)),0))</f>
        <v>96.9577</v>
      </c>
      <c r="H375" s="104" t="s">
        <v>719</v>
      </c>
    </row>
    <row r="376" customFormat="false" ht="15" hidden="false" customHeight="false" outlineLevel="0" collapsed="false">
      <c r="A376" s="103" t="n">
        <v>46298</v>
      </c>
      <c r="B376" s="104" t="s">
        <v>33</v>
      </c>
      <c r="C376" s="104" t="s">
        <v>462</v>
      </c>
      <c r="D376" s="105" t="n">
        <v>1</v>
      </c>
      <c r="E376" s="106" t="n">
        <v>212.9167</v>
      </c>
      <c r="F376" s="107" t="n">
        <f aca="false">IF($C376="","",$D376*$E376)</f>
        <v>212.9167</v>
      </c>
      <c r="G376" s="107" t="n">
        <f aca="false">IF($C376="","",$D376*IFERROR(INDEX('تحليل التكلفة والسعر'!$C$2:$C$700,MATCH($C376,'تحليل التكلفة والسعر'!$B$2:$B$700,0)),0))</f>
        <v>96.9577</v>
      </c>
      <c r="H376" s="104" t="s">
        <v>719</v>
      </c>
    </row>
    <row r="377" customFormat="false" ht="15" hidden="false" customHeight="false" outlineLevel="0" collapsed="false">
      <c r="A377" s="103" t="n">
        <v>46299</v>
      </c>
      <c r="B377" s="104" t="s">
        <v>33</v>
      </c>
      <c r="C377" s="104" t="s">
        <v>462</v>
      </c>
      <c r="D377" s="105" t="n">
        <v>1</v>
      </c>
      <c r="E377" s="106" t="n">
        <v>212.9167</v>
      </c>
      <c r="F377" s="107" t="n">
        <f aca="false">IF($C377="","",$D377*$E377)</f>
        <v>212.9167</v>
      </c>
      <c r="G377" s="107" t="n">
        <f aca="false">IF($C377="","",$D377*IFERROR(INDEX('تحليل التكلفة والسعر'!$C$2:$C$700,MATCH($C377,'تحليل التكلفة والسعر'!$B$2:$B$700,0)),0))</f>
        <v>96.9577</v>
      </c>
      <c r="H377" s="104" t="s">
        <v>719</v>
      </c>
    </row>
    <row r="378" customFormat="false" ht="15" hidden="false" customHeight="false" outlineLevel="0" collapsed="false">
      <c r="A378" s="103" t="n">
        <v>46300</v>
      </c>
      <c r="B378" s="104" t="s">
        <v>33</v>
      </c>
      <c r="C378" s="104" t="s">
        <v>462</v>
      </c>
      <c r="D378" s="105" t="n">
        <v>1</v>
      </c>
      <c r="E378" s="106" t="n">
        <v>212.9167</v>
      </c>
      <c r="F378" s="107" t="n">
        <f aca="false">IF($C378="","",$D378*$E378)</f>
        <v>212.9167</v>
      </c>
      <c r="G378" s="107" t="n">
        <f aca="false">IF($C378="","",$D378*IFERROR(INDEX('تحليل التكلفة والسعر'!$C$2:$C$700,MATCH($C378,'تحليل التكلفة والسعر'!$B$2:$B$700,0)),0))</f>
        <v>96.9577</v>
      </c>
      <c r="H378" s="104" t="s">
        <v>719</v>
      </c>
    </row>
    <row r="379" customFormat="false" ht="15" hidden="false" customHeight="false" outlineLevel="0" collapsed="false">
      <c r="A379" s="103" t="n">
        <v>46301</v>
      </c>
      <c r="B379" s="104" t="s">
        <v>33</v>
      </c>
      <c r="C379" s="104" t="s">
        <v>462</v>
      </c>
      <c r="D379" s="105" t="n">
        <v>1</v>
      </c>
      <c r="E379" s="106" t="n">
        <v>212.9167</v>
      </c>
      <c r="F379" s="107" t="n">
        <f aca="false">IF($C379="","",$D379*$E379)</f>
        <v>212.9167</v>
      </c>
      <c r="G379" s="107" t="n">
        <f aca="false">IF($C379="","",$D379*IFERROR(INDEX('تحليل التكلفة والسعر'!$C$2:$C$700,MATCH($C379,'تحليل التكلفة والسعر'!$B$2:$B$700,0)),0))</f>
        <v>96.9577</v>
      </c>
      <c r="H379" s="104" t="s">
        <v>719</v>
      </c>
    </row>
    <row r="380" customFormat="false" ht="15" hidden="false" customHeight="false" outlineLevel="0" collapsed="false">
      <c r="A380" s="103" t="n">
        <v>46302</v>
      </c>
      <c r="B380" s="104" t="s">
        <v>33</v>
      </c>
      <c r="C380" s="104" t="s">
        <v>462</v>
      </c>
      <c r="D380" s="105" t="n">
        <v>1</v>
      </c>
      <c r="E380" s="106" t="n">
        <v>212.9167</v>
      </c>
      <c r="F380" s="107" t="n">
        <f aca="false">IF($C380="","",$D380*$E380)</f>
        <v>212.9167</v>
      </c>
      <c r="G380" s="107" t="n">
        <f aca="false">IF($C380="","",$D380*IFERROR(INDEX('تحليل التكلفة والسعر'!$C$2:$C$700,MATCH($C380,'تحليل التكلفة والسعر'!$B$2:$B$700,0)),0))</f>
        <v>96.9577</v>
      </c>
      <c r="H380" s="104" t="s">
        <v>719</v>
      </c>
    </row>
    <row r="381" customFormat="false" ht="15" hidden="false" customHeight="false" outlineLevel="0" collapsed="false">
      <c r="A381" s="103" t="n">
        <v>46303</v>
      </c>
      <c r="B381" s="104" t="s">
        <v>33</v>
      </c>
      <c r="C381" s="104" t="s">
        <v>462</v>
      </c>
      <c r="D381" s="105" t="n">
        <v>1</v>
      </c>
      <c r="E381" s="106" t="n">
        <v>212.9167</v>
      </c>
      <c r="F381" s="107" t="n">
        <f aca="false">IF($C381="","",$D381*$E381)</f>
        <v>212.9167</v>
      </c>
      <c r="G381" s="107" t="n">
        <f aca="false">IF($C381="","",$D381*IFERROR(INDEX('تحليل التكلفة والسعر'!$C$2:$C$700,MATCH($C381,'تحليل التكلفة والسعر'!$B$2:$B$700,0)),0))</f>
        <v>96.9577</v>
      </c>
      <c r="H381" s="104" t="s">
        <v>719</v>
      </c>
    </row>
    <row r="382" customFormat="false" ht="15" hidden="false" customHeight="false" outlineLevel="0" collapsed="false">
      <c r="A382" s="103" t="n">
        <v>46304</v>
      </c>
      <c r="B382" s="104" t="s">
        <v>33</v>
      </c>
      <c r="C382" s="104" t="s">
        <v>462</v>
      </c>
      <c r="D382" s="105" t="n">
        <v>1</v>
      </c>
      <c r="E382" s="106" t="n">
        <v>212.9167</v>
      </c>
      <c r="F382" s="107" t="n">
        <f aca="false">IF($C382="","",$D382*$E382)</f>
        <v>212.9167</v>
      </c>
      <c r="G382" s="107" t="n">
        <f aca="false">IF($C382="","",$D382*IFERROR(INDEX('تحليل التكلفة والسعر'!$C$2:$C$700,MATCH($C382,'تحليل التكلفة والسعر'!$B$2:$B$700,0)),0))</f>
        <v>96.9577</v>
      </c>
      <c r="H382" s="104" t="s">
        <v>719</v>
      </c>
    </row>
    <row r="383" customFormat="false" ht="15" hidden="false" customHeight="false" outlineLevel="0" collapsed="false">
      <c r="A383" s="103" t="n">
        <v>46305</v>
      </c>
      <c r="B383" s="104" t="s">
        <v>33</v>
      </c>
      <c r="C383" s="104" t="s">
        <v>462</v>
      </c>
      <c r="D383" s="105" t="n">
        <v>1</v>
      </c>
      <c r="E383" s="106" t="n">
        <v>212.9167</v>
      </c>
      <c r="F383" s="107" t="n">
        <f aca="false">IF($C383="","",$D383*$E383)</f>
        <v>212.9167</v>
      </c>
      <c r="G383" s="107" t="n">
        <f aca="false">IF($C383="","",$D383*IFERROR(INDEX('تحليل التكلفة والسعر'!$C$2:$C$700,MATCH($C383,'تحليل التكلفة والسعر'!$B$2:$B$700,0)),0))</f>
        <v>96.9577</v>
      </c>
      <c r="H383" s="104" t="s">
        <v>719</v>
      </c>
    </row>
    <row r="384" customFormat="false" ht="15" hidden="false" customHeight="false" outlineLevel="0" collapsed="false">
      <c r="A384" s="103" t="n">
        <v>46306</v>
      </c>
      <c r="B384" s="104" t="s">
        <v>33</v>
      </c>
      <c r="C384" s="104" t="s">
        <v>462</v>
      </c>
      <c r="D384" s="105" t="n">
        <v>1</v>
      </c>
      <c r="E384" s="106" t="n">
        <v>212.9167</v>
      </c>
      <c r="F384" s="107" t="n">
        <f aca="false">IF($C384="","",$D384*$E384)</f>
        <v>212.9167</v>
      </c>
      <c r="G384" s="107" t="n">
        <f aca="false">IF($C384="","",$D384*IFERROR(INDEX('تحليل التكلفة والسعر'!$C$2:$C$700,MATCH($C384,'تحليل التكلفة والسعر'!$B$2:$B$700,0)),0))</f>
        <v>96.9577</v>
      </c>
      <c r="H384" s="104" t="s">
        <v>719</v>
      </c>
    </row>
    <row r="385" customFormat="false" ht="15" hidden="false" customHeight="false" outlineLevel="0" collapsed="false">
      <c r="A385" s="103" t="n">
        <v>46307</v>
      </c>
      <c r="B385" s="104" t="s">
        <v>33</v>
      </c>
      <c r="C385" s="104" t="s">
        <v>462</v>
      </c>
      <c r="D385" s="105" t="n">
        <v>1</v>
      </c>
      <c r="E385" s="106" t="n">
        <v>212.9167</v>
      </c>
      <c r="F385" s="107" t="n">
        <f aca="false">IF($C385="","",$D385*$E385)</f>
        <v>212.9167</v>
      </c>
      <c r="G385" s="107" t="n">
        <f aca="false">IF($C385="","",$D385*IFERROR(INDEX('تحليل التكلفة والسعر'!$C$2:$C$700,MATCH($C385,'تحليل التكلفة والسعر'!$B$2:$B$700,0)),0))</f>
        <v>96.9577</v>
      </c>
      <c r="H385" s="104" t="s">
        <v>719</v>
      </c>
    </row>
    <row r="386" customFormat="false" ht="15" hidden="false" customHeight="false" outlineLevel="0" collapsed="false">
      <c r="A386" s="103" t="n">
        <v>46296</v>
      </c>
      <c r="B386" s="104" t="s">
        <v>33</v>
      </c>
      <c r="C386" s="104" t="s">
        <v>443</v>
      </c>
      <c r="D386" s="105" t="n">
        <v>7.25</v>
      </c>
      <c r="E386" s="106" t="n">
        <v>67.3563</v>
      </c>
      <c r="F386" s="107" t="n">
        <f aca="false">IF($C386="","",$D386*$E386)</f>
        <v>488.333175</v>
      </c>
      <c r="G386" s="107" t="n">
        <f aca="false">IF($C386="","",$D386*IFERROR(INDEX('تحليل التكلفة والسعر'!$C$2:$C$700,MATCH($C386,'تحليل التكلفة والسعر'!$B$2:$B$700,0)),0))</f>
        <v>528.644625</v>
      </c>
      <c r="H386" s="104" t="s">
        <v>719</v>
      </c>
    </row>
    <row r="387" customFormat="false" ht="15" hidden="false" customHeight="false" outlineLevel="0" collapsed="false">
      <c r="A387" s="103" t="n">
        <v>46297</v>
      </c>
      <c r="B387" s="104" t="s">
        <v>33</v>
      </c>
      <c r="C387" s="104" t="s">
        <v>443</v>
      </c>
      <c r="D387" s="105" t="n">
        <v>7.25</v>
      </c>
      <c r="E387" s="106" t="n">
        <v>67.3563</v>
      </c>
      <c r="F387" s="107" t="n">
        <f aca="false">IF($C387="","",$D387*$E387)</f>
        <v>488.333175</v>
      </c>
      <c r="G387" s="107" t="n">
        <f aca="false">IF($C387="","",$D387*IFERROR(INDEX('تحليل التكلفة والسعر'!$C$2:$C$700,MATCH($C387,'تحليل التكلفة والسعر'!$B$2:$B$700,0)),0))</f>
        <v>528.644625</v>
      </c>
      <c r="H387" s="104" t="s">
        <v>719</v>
      </c>
    </row>
    <row r="388" customFormat="false" ht="15" hidden="false" customHeight="false" outlineLevel="0" collapsed="false">
      <c r="A388" s="103" t="n">
        <v>46298</v>
      </c>
      <c r="B388" s="104" t="s">
        <v>33</v>
      </c>
      <c r="C388" s="104" t="s">
        <v>443</v>
      </c>
      <c r="D388" s="105" t="n">
        <v>7.25</v>
      </c>
      <c r="E388" s="106" t="n">
        <v>67.3563</v>
      </c>
      <c r="F388" s="107" t="n">
        <f aca="false">IF($C388="","",$D388*$E388)</f>
        <v>488.333175</v>
      </c>
      <c r="G388" s="107" t="n">
        <f aca="false">IF($C388="","",$D388*IFERROR(INDEX('تحليل التكلفة والسعر'!$C$2:$C$700,MATCH($C388,'تحليل التكلفة والسعر'!$B$2:$B$700,0)),0))</f>
        <v>528.644625</v>
      </c>
      <c r="H388" s="104" t="s">
        <v>719</v>
      </c>
    </row>
    <row r="389" customFormat="false" ht="15" hidden="false" customHeight="false" outlineLevel="0" collapsed="false">
      <c r="A389" s="103" t="n">
        <v>46299</v>
      </c>
      <c r="B389" s="104" t="s">
        <v>33</v>
      </c>
      <c r="C389" s="104" t="s">
        <v>443</v>
      </c>
      <c r="D389" s="105" t="n">
        <v>7.25</v>
      </c>
      <c r="E389" s="106" t="n">
        <v>67.3563</v>
      </c>
      <c r="F389" s="107" t="n">
        <f aca="false">IF($C389="","",$D389*$E389)</f>
        <v>488.333175</v>
      </c>
      <c r="G389" s="107" t="n">
        <f aca="false">IF($C389="","",$D389*IFERROR(INDEX('تحليل التكلفة والسعر'!$C$2:$C$700,MATCH($C389,'تحليل التكلفة والسعر'!$B$2:$B$700,0)),0))</f>
        <v>528.644625</v>
      </c>
      <c r="H389" s="104" t="s">
        <v>719</v>
      </c>
    </row>
    <row r="390" customFormat="false" ht="15" hidden="false" customHeight="false" outlineLevel="0" collapsed="false">
      <c r="A390" s="103" t="n">
        <v>46300</v>
      </c>
      <c r="B390" s="104" t="s">
        <v>33</v>
      </c>
      <c r="C390" s="104" t="s">
        <v>443</v>
      </c>
      <c r="D390" s="105" t="n">
        <v>7.25</v>
      </c>
      <c r="E390" s="106" t="n">
        <v>67.3563</v>
      </c>
      <c r="F390" s="107" t="n">
        <f aca="false">IF($C390="","",$D390*$E390)</f>
        <v>488.333175</v>
      </c>
      <c r="G390" s="107" t="n">
        <f aca="false">IF($C390="","",$D390*IFERROR(INDEX('تحليل التكلفة والسعر'!$C$2:$C$700,MATCH($C390,'تحليل التكلفة والسعر'!$B$2:$B$700,0)),0))</f>
        <v>528.644625</v>
      </c>
      <c r="H390" s="104" t="s">
        <v>719</v>
      </c>
    </row>
    <row r="391" customFormat="false" ht="15" hidden="false" customHeight="false" outlineLevel="0" collapsed="false">
      <c r="A391" s="103" t="n">
        <v>46301</v>
      </c>
      <c r="B391" s="104" t="s">
        <v>33</v>
      </c>
      <c r="C391" s="104" t="s">
        <v>443</v>
      </c>
      <c r="D391" s="105" t="n">
        <v>7.25</v>
      </c>
      <c r="E391" s="106" t="n">
        <v>67.3563</v>
      </c>
      <c r="F391" s="107" t="n">
        <f aca="false">IF($C391="","",$D391*$E391)</f>
        <v>488.333175</v>
      </c>
      <c r="G391" s="107" t="n">
        <f aca="false">IF($C391="","",$D391*IFERROR(INDEX('تحليل التكلفة والسعر'!$C$2:$C$700,MATCH($C391,'تحليل التكلفة والسعر'!$B$2:$B$700,0)),0))</f>
        <v>528.644625</v>
      </c>
      <c r="H391" s="104" t="s">
        <v>719</v>
      </c>
    </row>
    <row r="392" customFormat="false" ht="15" hidden="false" customHeight="false" outlineLevel="0" collapsed="false">
      <c r="A392" s="103" t="n">
        <v>46302</v>
      </c>
      <c r="B392" s="104" t="s">
        <v>33</v>
      </c>
      <c r="C392" s="104" t="s">
        <v>443</v>
      </c>
      <c r="D392" s="105" t="n">
        <v>7.25</v>
      </c>
      <c r="E392" s="106" t="n">
        <v>67.3563</v>
      </c>
      <c r="F392" s="107" t="n">
        <f aca="false">IF($C392="","",$D392*$E392)</f>
        <v>488.333175</v>
      </c>
      <c r="G392" s="107" t="n">
        <f aca="false">IF($C392="","",$D392*IFERROR(INDEX('تحليل التكلفة والسعر'!$C$2:$C$700,MATCH($C392,'تحليل التكلفة والسعر'!$B$2:$B$700,0)),0))</f>
        <v>528.644625</v>
      </c>
      <c r="H392" s="104" t="s">
        <v>719</v>
      </c>
    </row>
    <row r="393" customFormat="false" ht="15" hidden="false" customHeight="false" outlineLevel="0" collapsed="false">
      <c r="A393" s="103" t="n">
        <v>46303</v>
      </c>
      <c r="B393" s="104" t="s">
        <v>33</v>
      </c>
      <c r="C393" s="104" t="s">
        <v>443</v>
      </c>
      <c r="D393" s="105" t="n">
        <v>7.25</v>
      </c>
      <c r="E393" s="106" t="n">
        <v>67.3563</v>
      </c>
      <c r="F393" s="107" t="n">
        <f aca="false">IF($C393="","",$D393*$E393)</f>
        <v>488.333175</v>
      </c>
      <c r="G393" s="107" t="n">
        <f aca="false">IF($C393="","",$D393*IFERROR(INDEX('تحليل التكلفة والسعر'!$C$2:$C$700,MATCH($C393,'تحليل التكلفة والسعر'!$B$2:$B$700,0)),0))</f>
        <v>528.644625</v>
      </c>
      <c r="H393" s="104" t="s">
        <v>719</v>
      </c>
    </row>
    <row r="394" customFormat="false" ht="15" hidden="false" customHeight="false" outlineLevel="0" collapsed="false">
      <c r="A394" s="103" t="n">
        <v>46304</v>
      </c>
      <c r="B394" s="104" t="s">
        <v>33</v>
      </c>
      <c r="C394" s="104" t="s">
        <v>443</v>
      </c>
      <c r="D394" s="105" t="n">
        <v>7.25</v>
      </c>
      <c r="E394" s="106" t="n">
        <v>67.3563</v>
      </c>
      <c r="F394" s="107" t="n">
        <f aca="false">IF($C394="","",$D394*$E394)</f>
        <v>488.333175</v>
      </c>
      <c r="G394" s="107" t="n">
        <f aca="false">IF($C394="","",$D394*IFERROR(INDEX('تحليل التكلفة والسعر'!$C$2:$C$700,MATCH($C394,'تحليل التكلفة والسعر'!$B$2:$B$700,0)),0))</f>
        <v>528.644625</v>
      </c>
      <c r="H394" s="104" t="s">
        <v>719</v>
      </c>
    </row>
    <row r="395" customFormat="false" ht="15" hidden="false" customHeight="false" outlineLevel="0" collapsed="false">
      <c r="A395" s="103" t="n">
        <v>46305</v>
      </c>
      <c r="B395" s="104" t="s">
        <v>33</v>
      </c>
      <c r="C395" s="104" t="s">
        <v>443</v>
      </c>
      <c r="D395" s="105" t="n">
        <v>7.25</v>
      </c>
      <c r="E395" s="106" t="n">
        <v>67.3563</v>
      </c>
      <c r="F395" s="107" t="n">
        <f aca="false">IF($C395="","",$D395*$E395)</f>
        <v>488.333175</v>
      </c>
      <c r="G395" s="107" t="n">
        <f aca="false">IF($C395="","",$D395*IFERROR(INDEX('تحليل التكلفة والسعر'!$C$2:$C$700,MATCH($C395,'تحليل التكلفة والسعر'!$B$2:$B$700,0)),0))</f>
        <v>528.644625</v>
      </c>
      <c r="H395" s="104" t="s">
        <v>719</v>
      </c>
    </row>
    <row r="396" customFormat="false" ht="15" hidden="false" customHeight="false" outlineLevel="0" collapsed="false">
      <c r="A396" s="103" t="n">
        <v>46306</v>
      </c>
      <c r="B396" s="104" t="s">
        <v>33</v>
      </c>
      <c r="C396" s="104" t="s">
        <v>443</v>
      </c>
      <c r="D396" s="105" t="n">
        <v>7.25</v>
      </c>
      <c r="E396" s="106" t="n">
        <v>67.3563</v>
      </c>
      <c r="F396" s="107" t="n">
        <f aca="false">IF($C396="","",$D396*$E396)</f>
        <v>488.333175</v>
      </c>
      <c r="G396" s="107" t="n">
        <f aca="false">IF($C396="","",$D396*IFERROR(INDEX('تحليل التكلفة والسعر'!$C$2:$C$700,MATCH($C396,'تحليل التكلفة والسعر'!$B$2:$B$700,0)),0))</f>
        <v>528.644625</v>
      </c>
      <c r="H396" s="104" t="s">
        <v>719</v>
      </c>
    </row>
    <row r="397" customFormat="false" ht="15" hidden="false" customHeight="false" outlineLevel="0" collapsed="false">
      <c r="A397" s="103" t="n">
        <v>46307</v>
      </c>
      <c r="B397" s="104" t="s">
        <v>33</v>
      </c>
      <c r="C397" s="104" t="s">
        <v>443</v>
      </c>
      <c r="D397" s="105" t="n">
        <v>7.25</v>
      </c>
      <c r="E397" s="106" t="n">
        <v>67.3563</v>
      </c>
      <c r="F397" s="107" t="n">
        <f aca="false">IF($C397="","",$D397*$E397)</f>
        <v>488.333175</v>
      </c>
      <c r="G397" s="107" t="n">
        <f aca="false">IF($C397="","",$D397*IFERROR(INDEX('تحليل التكلفة والسعر'!$C$2:$C$700,MATCH($C397,'تحليل التكلفة والسعر'!$B$2:$B$700,0)),0))</f>
        <v>528.644625</v>
      </c>
      <c r="H397" s="104" t="s">
        <v>719</v>
      </c>
    </row>
    <row r="398" customFormat="false" ht="15" hidden="false" customHeight="false" outlineLevel="0" collapsed="false">
      <c r="A398" s="103" t="n">
        <v>46296</v>
      </c>
      <c r="B398" s="104" t="s">
        <v>33</v>
      </c>
      <c r="C398" s="104" t="s">
        <v>495</v>
      </c>
      <c r="D398" s="105" t="n">
        <v>0.0833</v>
      </c>
      <c r="E398" s="106" t="n">
        <v>170</v>
      </c>
      <c r="F398" s="107" t="n">
        <f aca="false">IF($C398="","",$D398*$E398)</f>
        <v>14.161</v>
      </c>
      <c r="G398" s="107" t="n">
        <f aca="false">IF($C398="","",$D398*IFERROR(INDEX('تحليل التكلفة والسعر'!$C$2:$C$700,MATCH($C398,'تحليل التكلفة والسعر'!$B$2:$B$700,0)),0))</f>
        <v>6.45129345</v>
      </c>
      <c r="H398" s="104" t="s">
        <v>719</v>
      </c>
    </row>
    <row r="399" customFormat="false" ht="15" hidden="false" customHeight="false" outlineLevel="0" collapsed="false">
      <c r="A399" s="103" t="n">
        <v>46297</v>
      </c>
      <c r="B399" s="104" t="s">
        <v>33</v>
      </c>
      <c r="C399" s="104" t="s">
        <v>495</v>
      </c>
      <c r="D399" s="105" t="n">
        <v>0.0833</v>
      </c>
      <c r="E399" s="106" t="n">
        <v>170</v>
      </c>
      <c r="F399" s="107" t="n">
        <f aca="false">IF($C399="","",$D399*$E399)</f>
        <v>14.161</v>
      </c>
      <c r="G399" s="107" t="n">
        <f aca="false">IF($C399="","",$D399*IFERROR(INDEX('تحليل التكلفة والسعر'!$C$2:$C$700,MATCH($C399,'تحليل التكلفة والسعر'!$B$2:$B$700,0)),0))</f>
        <v>6.45129345</v>
      </c>
      <c r="H399" s="104" t="s">
        <v>719</v>
      </c>
    </row>
    <row r="400" customFormat="false" ht="15" hidden="false" customHeight="false" outlineLevel="0" collapsed="false">
      <c r="A400" s="103" t="n">
        <v>46298</v>
      </c>
      <c r="B400" s="104" t="s">
        <v>33</v>
      </c>
      <c r="C400" s="104" t="s">
        <v>495</v>
      </c>
      <c r="D400" s="105" t="n">
        <v>0.0833</v>
      </c>
      <c r="E400" s="106" t="n">
        <v>170</v>
      </c>
      <c r="F400" s="107" t="n">
        <f aca="false">IF($C400="","",$D400*$E400)</f>
        <v>14.161</v>
      </c>
      <c r="G400" s="107" t="n">
        <f aca="false">IF($C400="","",$D400*IFERROR(INDEX('تحليل التكلفة والسعر'!$C$2:$C$700,MATCH($C400,'تحليل التكلفة والسعر'!$B$2:$B$700,0)),0))</f>
        <v>6.45129345</v>
      </c>
      <c r="H400" s="104" t="s">
        <v>719</v>
      </c>
    </row>
    <row r="401" customFormat="false" ht="15" hidden="false" customHeight="false" outlineLevel="0" collapsed="false">
      <c r="A401" s="103" t="n">
        <v>46299</v>
      </c>
      <c r="B401" s="104" t="s">
        <v>33</v>
      </c>
      <c r="C401" s="104" t="s">
        <v>495</v>
      </c>
      <c r="D401" s="105" t="n">
        <v>0.0833</v>
      </c>
      <c r="E401" s="106" t="n">
        <v>170</v>
      </c>
      <c r="F401" s="107" t="n">
        <f aca="false">IF($C401="","",$D401*$E401)</f>
        <v>14.161</v>
      </c>
      <c r="G401" s="107" t="n">
        <f aca="false">IF($C401="","",$D401*IFERROR(INDEX('تحليل التكلفة والسعر'!$C$2:$C$700,MATCH($C401,'تحليل التكلفة والسعر'!$B$2:$B$700,0)),0))</f>
        <v>6.45129345</v>
      </c>
      <c r="H401" s="104" t="s">
        <v>719</v>
      </c>
    </row>
    <row r="402" customFormat="false" ht="15" hidden="false" customHeight="false" outlineLevel="0" collapsed="false">
      <c r="A402" s="103" t="n">
        <v>46300</v>
      </c>
      <c r="B402" s="104" t="s">
        <v>33</v>
      </c>
      <c r="C402" s="104" t="s">
        <v>495</v>
      </c>
      <c r="D402" s="105" t="n">
        <v>0.0833</v>
      </c>
      <c r="E402" s="106" t="n">
        <v>170</v>
      </c>
      <c r="F402" s="107" t="n">
        <f aca="false">IF($C402="","",$D402*$E402)</f>
        <v>14.161</v>
      </c>
      <c r="G402" s="107" t="n">
        <f aca="false">IF($C402="","",$D402*IFERROR(INDEX('تحليل التكلفة والسعر'!$C$2:$C$700,MATCH($C402,'تحليل التكلفة والسعر'!$B$2:$B$700,0)),0))</f>
        <v>6.45129345</v>
      </c>
      <c r="H402" s="104" t="s">
        <v>719</v>
      </c>
    </row>
    <row r="403" customFormat="false" ht="15" hidden="false" customHeight="false" outlineLevel="0" collapsed="false">
      <c r="A403" s="103" t="n">
        <v>46301</v>
      </c>
      <c r="B403" s="104" t="s">
        <v>33</v>
      </c>
      <c r="C403" s="104" t="s">
        <v>495</v>
      </c>
      <c r="D403" s="105" t="n">
        <v>0.0833</v>
      </c>
      <c r="E403" s="106" t="n">
        <v>170</v>
      </c>
      <c r="F403" s="107" t="n">
        <f aca="false">IF($C403="","",$D403*$E403)</f>
        <v>14.161</v>
      </c>
      <c r="G403" s="107" t="n">
        <f aca="false">IF($C403="","",$D403*IFERROR(INDEX('تحليل التكلفة والسعر'!$C$2:$C$700,MATCH($C403,'تحليل التكلفة والسعر'!$B$2:$B$700,0)),0))</f>
        <v>6.45129345</v>
      </c>
      <c r="H403" s="104" t="s">
        <v>719</v>
      </c>
    </row>
    <row r="404" customFormat="false" ht="15" hidden="false" customHeight="false" outlineLevel="0" collapsed="false">
      <c r="A404" s="103" t="n">
        <v>46302</v>
      </c>
      <c r="B404" s="104" t="s">
        <v>33</v>
      </c>
      <c r="C404" s="104" t="s">
        <v>495</v>
      </c>
      <c r="D404" s="105" t="n">
        <v>0.0833</v>
      </c>
      <c r="E404" s="106" t="n">
        <v>170</v>
      </c>
      <c r="F404" s="107" t="n">
        <f aca="false">IF($C404="","",$D404*$E404)</f>
        <v>14.161</v>
      </c>
      <c r="G404" s="107" t="n">
        <f aca="false">IF($C404="","",$D404*IFERROR(INDEX('تحليل التكلفة والسعر'!$C$2:$C$700,MATCH($C404,'تحليل التكلفة والسعر'!$B$2:$B$700,0)),0))</f>
        <v>6.45129345</v>
      </c>
      <c r="H404" s="104" t="s">
        <v>719</v>
      </c>
    </row>
    <row r="405" customFormat="false" ht="15" hidden="false" customHeight="false" outlineLevel="0" collapsed="false">
      <c r="A405" s="103" t="n">
        <v>46303</v>
      </c>
      <c r="B405" s="104" t="s">
        <v>33</v>
      </c>
      <c r="C405" s="104" t="s">
        <v>495</v>
      </c>
      <c r="D405" s="105" t="n">
        <v>0.0833</v>
      </c>
      <c r="E405" s="106" t="n">
        <v>170</v>
      </c>
      <c r="F405" s="107" t="n">
        <f aca="false">IF($C405="","",$D405*$E405)</f>
        <v>14.161</v>
      </c>
      <c r="G405" s="107" t="n">
        <f aca="false">IF($C405="","",$D405*IFERROR(INDEX('تحليل التكلفة والسعر'!$C$2:$C$700,MATCH($C405,'تحليل التكلفة والسعر'!$B$2:$B$700,0)),0))</f>
        <v>6.45129345</v>
      </c>
      <c r="H405" s="104" t="s">
        <v>719</v>
      </c>
    </row>
    <row r="406" customFormat="false" ht="15" hidden="false" customHeight="false" outlineLevel="0" collapsed="false">
      <c r="A406" s="103" t="n">
        <v>46304</v>
      </c>
      <c r="B406" s="104" t="s">
        <v>33</v>
      </c>
      <c r="C406" s="104" t="s">
        <v>495</v>
      </c>
      <c r="D406" s="105" t="n">
        <v>0.0833</v>
      </c>
      <c r="E406" s="106" t="n">
        <v>170</v>
      </c>
      <c r="F406" s="107" t="n">
        <f aca="false">IF($C406="","",$D406*$E406)</f>
        <v>14.161</v>
      </c>
      <c r="G406" s="107" t="n">
        <f aca="false">IF($C406="","",$D406*IFERROR(INDEX('تحليل التكلفة والسعر'!$C$2:$C$700,MATCH($C406,'تحليل التكلفة والسعر'!$B$2:$B$700,0)),0))</f>
        <v>6.45129345</v>
      </c>
      <c r="H406" s="104" t="s">
        <v>719</v>
      </c>
    </row>
    <row r="407" customFormat="false" ht="15" hidden="false" customHeight="false" outlineLevel="0" collapsed="false">
      <c r="A407" s="103" t="n">
        <v>46305</v>
      </c>
      <c r="B407" s="104" t="s">
        <v>33</v>
      </c>
      <c r="C407" s="104" t="s">
        <v>495</v>
      </c>
      <c r="D407" s="105" t="n">
        <v>0.0833</v>
      </c>
      <c r="E407" s="106" t="n">
        <v>170</v>
      </c>
      <c r="F407" s="107" t="n">
        <f aca="false">IF($C407="","",$D407*$E407)</f>
        <v>14.161</v>
      </c>
      <c r="G407" s="107" t="n">
        <f aca="false">IF($C407="","",$D407*IFERROR(INDEX('تحليل التكلفة والسعر'!$C$2:$C$700,MATCH($C407,'تحليل التكلفة والسعر'!$B$2:$B$700,0)),0))</f>
        <v>6.45129345</v>
      </c>
      <c r="H407" s="104" t="s">
        <v>719</v>
      </c>
    </row>
    <row r="408" customFormat="false" ht="15" hidden="false" customHeight="false" outlineLevel="0" collapsed="false">
      <c r="A408" s="103" t="n">
        <v>46306</v>
      </c>
      <c r="B408" s="104" t="s">
        <v>33</v>
      </c>
      <c r="C408" s="104" t="s">
        <v>495</v>
      </c>
      <c r="D408" s="105" t="n">
        <v>0.0833</v>
      </c>
      <c r="E408" s="106" t="n">
        <v>170</v>
      </c>
      <c r="F408" s="107" t="n">
        <f aca="false">IF($C408="","",$D408*$E408)</f>
        <v>14.161</v>
      </c>
      <c r="G408" s="107" t="n">
        <f aca="false">IF($C408="","",$D408*IFERROR(INDEX('تحليل التكلفة والسعر'!$C$2:$C$700,MATCH($C408,'تحليل التكلفة والسعر'!$B$2:$B$700,0)),0))</f>
        <v>6.45129345</v>
      </c>
      <c r="H408" s="104" t="s">
        <v>719</v>
      </c>
    </row>
    <row r="409" customFormat="false" ht="15" hidden="false" customHeight="false" outlineLevel="0" collapsed="false">
      <c r="A409" s="103" t="n">
        <v>46307</v>
      </c>
      <c r="B409" s="104" t="s">
        <v>33</v>
      </c>
      <c r="C409" s="104" t="s">
        <v>495</v>
      </c>
      <c r="D409" s="105" t="n">
        <v>0.0833</v>
      </c>
      <c r="E409" s="106" t="n">
        <v>170</v>
      </c>
      <c r="F409" s="107" t="n">
        <f aca="false">IF($C409="","",$D409*$E409)</f>
        <v>14.161</v>
      </c>
      <c r="G409" s="107" t="n">
        <f aca="false">IF($C409="","",$D409*IFERROR(INDEX('تحليل التكلفة والسعر'!$C$2:$C$700,MATCH($C409,'تحليل التكلفة والسعر'!$B$2:$B$700,0)),0))</f>
        <v>6.45129345</v>
      </c>
      <c r="H409" s="104" t="s">
        <v>719</v>
      </c>
    </row>
    <row r="410" customFormat="false" ht="15" hidden="false" customHeight="false" outlineLevel="0" collapsed="false">
      <c r="A410" s="103" t="n">
        <v>46296</v>
      </c>
      <c r="B410" s="104" t="s">
        <v>33</v>
      </c>
      <c r="C410" s="104" t="s">
        <v>465</v>
      </c>
      <c r="D410" s="105" t="n">
        <v>0.0833</v>
      </c>
      <c r="E410" s="106" t="n">
        <v>450</v>
      </c>
      <c r="F410" s="107" t="n">
        <f aca="false">IF($C410="","",$D410*$E410)</f>
        <v>37.485</v>
      </c>
      <c r="G410" s="107" t="n">
        <f aca="false">IF($C410="","",$D410*IFERROR(INDEX('تحليل التكلفة والسعر'!$C$2:$C$700,MATCH($C410,'تحليل التكلفة والسعر'!$B$2:$B$700,0)),0))</f>
        <v>16.0594903</v>
      </c>
      <c r="H410" s="104" t="s">
        <v>719</v>
      </c>
    </row>
    <row r="411" customFormat="false" ht="15" hidden="false" customHeight="false" outlineLevel="0" collapsed="false">
      <c r="A411" s="103" t="n">
        <v>46297</v>
      </c>
      <c r="B411" s="104" t="s">
        <v>33</v>
      </c>
      <c r="C411" s="104" t="s">
        <v>465</v>
      </c>
      <c r="D411" s="105" t="n">
        <v>0.0833</v>
      </c>
      <c r="E411" s="106" t="n">
        <v>450</v>
      </c>
      <c r="F411" s="107" t="n">
        <f aca="false">IF($C411="","",$D411*$E411)</f>
        <v>37.485</v>
      </c>
      <c r="G411" s="107" t="n">
        <f aca="false">IF($C411="","",$D411*IFERROR(INDEX('تحليل التكلفة والسعر'!$C$2:$C$700,MATCH($C411,'تحليل التكلفة والسعر'!$B$2:$B$700,0)),0))</f>
        <v>16.0594903</v>
      </c>
      <c r="H411" s="104" t="s">
        <v>719</v>
      </c>
    </row>
    <row r="412" customFormat="false" ht="15" hidden="false" customHeight="false" outlineLevel="0" collapsed="false">
      <c r="A412" s="103" t="n">
        <v>46298</v>
      </c>
      <c r="B412" s="104" t="s">
        <v>33</v>
      </c>
      <c r="C412" s="104" t="s">
        <v>465</v>
      </c>
      <c r="D412" s="105" t="n">
        <v>0.0833</v>
      </c>
      <c r="E412" s="106" t="n">
        <v>450</v>
      </c>
      <c r="F412" s="107" t="n">
        <f aca="false">IF($C412="","",$D412*$E412)</f>
        <v>37.485</v>
      </c>
      <c r="G412" s="107" t="n">
        <f aca="false">IF($C412="","",$D412*IFERROR(INDEX('تحليل التكلفة والسعر'!$C$2:$C$700,MATCH($C412,'تحليل التكلفة والسعر'!$B$2:$B$700,0)),0))</f>
        <v>16.0594903</v>
      </c>
      <c r="H412" s="104" t="s">
        <v>719</v>
      </c>
    </row>
    <row r="413" customFormat="false" ht="15" hidden="false" customHeight="false" outlineLevel="0" collapsed="false">
      <c r="A413" s="103" t="n">
        <v>46299</v>
      </c>
      <c r="B413" s="104" t="s">
        <v>33</v>
      </c>
      <c r="C413" s="104" t="s">
        <v>465</v>
      </c>
      <c r="D413" s="105" t="n">
        <v>0.0833</v>
      </c>
      <c r="E413" s="106" t="n">
        <v>450</v>
      </c>
      <c r="F413" s="107" t="n">
        <f aca="false">IF($C413="","",$D413*$E413)</f>
        <v>37.485</v>
      </c>
      <c r="G413" s="107" t="n">
        <f aca="false">IF($C413="","",$D413*IFERROR(INDEX('تحليل التكلفة والسعر'!$C$2:$C$700,MATCH($C413,'تحليل التكلفة والسعر'!$B$2:$B$700,0)),0))</f>
        <v>16.0594903</v>
      </c>
      <c r="H413" s="104" t="s">
        <v>719</v>
      </c>
    </row>
    <row r="414" customFormat="false" ht="15" hidden="false" customHeight="false" outlineLevel="0" collapsed="false">
      <c r="A414" s="103" t="n">
        <v>46300</v>
      </c>
      <c r="B414" s="104" t="s">
        <v>33</v>
      </c>
      <c r="C414" s="104" t="s">
        <v>465</v>
      </c>
      <c r="D414" s="105" t="n">
        <v>0.0833</v>
      </c>
      <c r="E414" s="106" t="n">
        <v>450</v>
      </c>
      <c r="F414" s="107" t="n">
        <f aca="false">IF($C414="","",$D414*$E414)</f>
        <v>37.485</v>
      </c>
      <c r="G414" s="107" t="n">
        <f aca="false">IF($C414="","",$D414*IFERROR(INDEX('تحليل التكلفة والسعر'!$C$2:$C$700,MATCH($C414,'تحليل التكلفة والسعر'!$B$2:$B$700,0)),0))</f>
        <v>16.0594903</v>
      </c>
      <c r="H414" s="104" t="s">
        <v>719</v>
      </c>
    </row>
    <row r="415" customFormat="false" ht="15" hidden="false" customHeight="false" outlineLevel="0" collapsed="false">
      <c r="A415" s="103" t="n">
        <v>46301</v>
      </c>
      <c r="B415" s="104" t="s">
        <v>33</v>
      </c>
      <c r="C415" s="104" t="s">
        <v>465</v>
      </c>
      <c r="D415" s="105" t="n">
        <v>0.0833</v>
      </c>
      <c r="E415" s="106" t="n">
        <v>450</v>
      </c>
      <c r="F415" s="107" t="n">
        <f aca="false">IF($C415="","",$D415*$E415)</f>
        <v>37.485</v>
      </c>
      <c r="G415" s="107" t="n">
        <f aca="false">IF($C415="","",$D415*IFERROR(INDEX('تحليل التكلفة والسعر'!$C$2:$C$700,MATCH($C415,'تحليل التكلفة والسعر'!$B$2:$B$700,0)),0))</f>
        <v>16.0594903</v>
      </c>
      <c r="H415" s="104" t="s">
        <v>719</v>
      </c>
    </row>
    <row r="416" customFormat="false" ht="15" hidden="false" customHeight="false" outlineLevel="0" collapsed="false">
      <c r="A416" s="103" t="n">
        <v>46302</v>
      </c>
      <c r="B416" s="104" t="s">
        <v>33</v>
      </c>
      <c r="C416" s="104" t="s">
        <v>465</v>
      </c>
      <c r="D416" s="105" t="n">
        <v>0.0833</v>
      </c>
      <c r="E416" s="106" t="n">
        <v>450</v>
      </c>
      <c r="F416" s="107" t="n">
        <f aca="false">IF($C416="","",$D416*$E416)</f>
        <v>37.485</v>
      </c>
      <c r="G416" s="107" t="n">
        <f aca="false">IF($C416="","",$D416*IFERROR(INDEX('تحليل التكلفة والسعر'!$C$2:$C$700,MATCH($C416,'تحليل التكلفة والسعر'!$B$2:$B$700,0)),0))</f>
        <v>16.0594903</v>
      </c>
      <c r="H416" s="104" t="s">
        <v>719</v>
      </c>
    </row>
    <row r="417" customFormat="false" ht="15" hidden="false" customHeight="false" outlineLevel="0" collapsed="false">
      <c r="A417" s="103" t="n">
        <v>46303</v>
      </c>
      <c r="B417" s="104" t="s">
        <v>33</v>
      </c>
      <c r="C417" s="104" t="s">
        <v>465</v>
      </c>
      <c r="D417" s="105" t="n">
        <v>0.0833</v>
      </c>
      <c r="E417" s="106" t="n">
        <v>450</v>
      </c>
      <c r="F417" s="107" t="n">
        <f aca="false">IF($C417="","",$D417*$E417)</f>
        <v>37.485</v>
      </c>
      <c r="G417" s="107" t="n">
        <f aca="false">IF($C417="","",$D417*IFERROR(INDEX('تحليل التكلفة والسعر'!$C$2:$C$700,MATCH($C417,'تحليل التكلفة والسعر'!$B$2:$B$700,0)),0))</f>
        <v>16.0594903</v>
      </c>
      <c r="H417" s="104" t="s">
        <v>719</v>
      </c>
    </row>
    <row r="418" customFormat="false" ht="15" hidden="false" customHeight="false" outlineLevel="0" collapsed="false">
      <c r="A418" s="103" t="n">
        <v>46304</v>
      </c>
      <c r="B418" s="104" t="s">
        <v>33</v>
      </c>
      <c r="C418" s="104" t="s">
        <v>465</v>
      </c>
      <c r="D418" s="105" t="n">
        <v>0.0833</v>
      </c>
      <c r="E418" s="106" t="n">
        <v>450</v>
      </c>
      <c r="F418" s="107" t="n">
        <f aca="false">IF($C418="","",$D418*$E418)</f>
        <v>37.485</v>
      </c>
      <c r="G418" s="107" t="n">
        <f aca="false">IF($C418="","",$D418*IFERROR(INDEX('تحليل التكلفة والسعر'!$C$2:$C$700,MATCH($C418,'تحليل التكلفة والسعر'!$B$2:$B$700,0)),0))</f>
        <v>16.0594903</v>
      </c>
      <c r="H418" s="104" t="s">
        <v>719</v>
      </c>
    </row>
    <row r="419" customFormat="false" ht="15" hidden="false" customHeight="false" outlineLevel="0" collapsed="false">
      <c r="A419" s="103" t="n">
        <v>46305</v>
      </c>
      <c r="B419" s="104" t="s">
        <v>33</v>
      </c>
      <c r="C419" s="104" t="s">
        <v>465</v>
      </c>
      <c r="D419" s="105" t="n">
        <v>0.0833</v>
      </c>
      <c r="E419" s="106" t="n">
        <v>450</v>
      </c>
      <c r="F419" s="107" t="n">
        <f aca="false">IF($C419="","",$D419*$E419)</f>
        <v>37.485</v>
      </c>
      <c r="G419" s="107" t="n">
        <f aca="false">IF($C419="","",$D419*IFERROR(INDEX('تحليل التكلفة والسعر'!$C$2:$C$700,MATCH($C419,'تحليل التكلفة والسعر'!$B$2:$B$700,0)),0))</f>
        <v>16.0594903</v>
      </c>
      <c r="H419" s="104" t="s">
        <v>719</v>
      </c>
    </row>
    <row r="420" customFormat="false" ht="15" hidden="false" customHeight="false" outlineLevel="0" collapsed="false">
      <c r="A420" s="103" t="n">
        <v>46306</v>
      </c>
      <c r="B420" s="104" t="s">
        <v>33</v>
      </c>
      <c r="C420" s="104" t="s">
        <v>465</v>
      </c>
      <c r="D420" s="105" t="n">
        <v>0.0833</v>
      </c>
      <c r="E420" s="106" t="n">
        <v>450</v>
      </c>
      <c r="F420" s="107" t="n">
        <f aca="false">IF($C420="","",$D420*$E420)</f>
        <v>37.485</v>
      </c>
      <c r="G420" s="107" t="n">
        <f aca="false">IF($C420="","",$D420*IFERROR(INDEX('تحليل التكلفة والسعر'!$C$2:$C$700,MATCH($C420,'تحليل التكلفة والسعر'!$B$2:$B$700,0)),0))</f>
        <v>16.0594903</v>
      </c>
      <c r="H420" s="104" t="s">
        <v>719</v>
      </c>
    </row>
    <row r="421" customFormat="false" ht="15" hidden="false" customHeight="false" outlineLevel="0" collapsed="false">
      <c r="A421" s="103" t="n">
        <v>46307</v>
      </c>
      <c r="B421" s="104" t="s">
        <v>33</v>
      </c>
      <c r="C421" s="104" t="s">
        <v>465</v>
      </c>
      <c r="D421" s="105" t="n">
        <v>0.0833</v>
      </c>
      <c r="E421" s="106" t="n">
        <v>450</v>
      </c>
      <c r="F421" s="107" t="n">
        <f aca="false">IF($C421="","",$D421*$E421)</f>
        <v>37.485</v>
      </c>
      <c r="G421" s="107" t="n">
        <f aca="false">IF($C421="","",$D421*IFERROR(INDEX('تحليل التكلفة والسعر'!$C$2:$C$700,MATCH($C421,'تحليل التكلفة والسعر'!$B$2:$B$700,0)),0))</f>
        <v>16.0594903</v>
      </c>
      <c r="H421" s="104" t="s">
        <v>719</v>
      </c>
    </row>
    <row r="422" customFormat="false" ht="15" hidden="false" customHeight="false" outlineLevel="0" collapsed="false">
      <c r="A422" s="103" t="n">
        <v>46296</v>
      </c>
      <c r="B422" s="104" t="s">
        <v>33</v>
      </c>
      <c r="C422" s="104" t="s">
        <v>528</v>
      </c>
      <c r="D422" s="105" t="n">
        <v>0.3333</v>
      </c>
      <c r="E422" s="106" t="n">
        <v>260</v>
      </c>
      <c r="F422" s="107" t="n">
        <f aca="false">IF($C422="","",$D422*$E422)</f>
        <v>86.658</v>
      </c>
      <c r="G422" s="107" t="n">
        <f aca="false">IF($C422="","",$D422*IFERROR(INDEX('تحليل التكلفة والسعر'!$C$2:$C$700,MATCH($C422,'تحليل التكلفة والسعر'!$B$2:$B$700,0)),0))</f>
        <v>44.30106945</v>
      </c>
      <c r="H422" s="104" t="s">
        <v>719</v>
      </c>
    </row>
    <row r="423" customFormat="false" ht="15" hidden="false" customHeight="false" outlineLevel="0" collapsed="false">
      <c r="A423" s="103" t="n">
        <v>46297</v>
      </c>
      <c r="B423" s="104" t="s">
        <v>33</v>
      </c>
      <c r="C423" s="104" t="s">
        <v>528</v>
      </c>
      <c r="D423" s="105" t="n">
        <v>0.3333</v>
      </c>
      <c r="E423" s="106" t="n">
        <v>260</v>
      </c>
      <c r="F423" s="107" t="n">
        <f aca="false">IF($C423="","",$D423*$E423)</f>
        <v>86.658</v>
      </c>
      <c r="G423" s="107" t="n">
        <f aca="false">IF($C423="","",$D423*IFERROR(INDEX('تحليل التكلفة والسعر'!$C$2:$C$700,MATCH($C423,'تحليل التكلفة والسعر'!$B$2:$B$700,0)),0))</f>
        <v>44.30106945</v>
      </c>
      <c r="H423" s="104" t="s">
        <v>719</v>
      </c>
    </row>
    <row r="424" customFormat="false" ht="15" hidden="false" customHeight="false" outlineLevel="0" collapsed="false">
      <c r="A424" s="103" t="n">
        <v>46298</v>
      </c>
      <c r="B424" s="104" t="s">
        <v>33</v>
      </c>
      <c r="C424" s="104" t="s">
        <v>528</v>
      </c>
      <c r="D424" s="105" t="n">
        <v>0.3333</v>
      </c>
      <c r="E424" s="106" t="n">
        <v>260</v>
      </c>
      <c r="F424" s="107" t="n">
        <f aca="false">IF($C424="","",$D424*$E424)</f>
        <v>86.658</v>
      </c>
      <c r="G424" s="107" t="n">
        <f aca="false">IF($C424="","",$D424*IFERROR(INDEX('تحليل التكلفة والسعر'!$C$2:$C$700,MATCH($C424,'تحليل التكلفة والسعر'!$B$2:$B$700,0)),0))</f>
        <v>44.30106945</v>
      </c>
      <c r="H424" s="104" t="s">
        <v>719</v>
      </c>
    </row>
    <row r="425" customFormat="false" ht="15" hidden="false" customHeight="false" outlineLevel="0" collapsed="false">
      <c r="A425" s="103" t="n">
        <v>46299</v>
      </c>
      <c r="B425" s="104" t="s">
        <v>33</v>
      </c>
      <c r="C425" s="104" t="s">
        <v>528</v>
      </c>
      <c r="D425" s="105" t="n">
        <v>0.3333</v>
      </c>
      <c r="E425" s="106" t="n">
        <v>260</v>
      </c>
      <c r="F425" s="107" t="n">
        <f aca="false">IF($C425="","",$D425*$E425)</f>
        <v>86.658</v>
      </c>
      <c r="G425" s="107" t="n">
        <f aca="false">IF($C425="","",$D425*IFERROR(INDEX('تحليل التكلفة والسعر'!$C$2:$C$700,MATCH($C425,'تحليل التكلفة والسعر'!$B$2:$B$700,0)),0))</f>
        <v>44.30106945</v>
      </c>
      <c r="H425" s="104" t="s">
        <v>719</v>
      </c>
    </row>
    <row r="426" customFormat="false" ht="15" hidden="false" customHeight="false" outlineLevel="0" collapsed="false">
      <c r="A426" s="103" t="n">
        <v>46300</v>
      </c>
      <c r="B426" s="104" t="s">
        <v>33</v>
      </c>
      <c r="C426" s="104" t="s">
        <v>528</v>
      </c>
      <c r="D426" s="105" t="n">
        <v>0.3333</v>
      </c>
      <c r="E426" s="106" t="n">
        <v>260</v>
      </c>
      <c r="F426" s="107" t="n">
        <f aca="false">IF($C426="","",$D426*$E426)</f>
        <v>86.658</v>
      </c>
      <c r="G426" s="107" t="n">
        <f aca="false">IF($C426="","",$D426*IFERROR(INDEX('تحليل التكلفة والسعر'!$C$2:$C$700,MATCH($C426,'تحليل التكلفة والسعر'!$B$2:$B$700,0)),0))</f>
        <v>44.30106945</v>
      </c>
      <c r="H426" s="104" t="s">
        <v>719</v>
      </c>
    </row>
    <row r="427" customFormat="false" ht="15" hidden="false" customHeight="false" outlineLevel="0" collapsed="false">
      <c r="A427" s="103" t="n">
        <v>46301</v>
      </c>
      <c r="B427" s="104" t="s">
        <v>33</v>
      </c>
      <c r="C427" s="104" t="s">
        <v>528</v>
      </c>
      <c r="D427" s="105" t="n">
        <v>0.3333</v>
      </c>
      <c r="E427" s="106" t="n">
        <v>260</v>
      </c>
      <c r="F427" s="107" t="n">
        <f aca="false">IF($C427="","",$D427*$E427)</f>
        <v>86.658</v>
      </c>
      <c r="G427" s="107" t="n">
        <f aca="false">IF($C427="","",$D427*IFERROR(INDEX('تحليل التكلفة والسعر'!$C$2:$C$700,MATCH($C427,'تحليل التكلفة والسعر'!$B$2:$B$700,0)),0))</f>
        <v>44.30106945</v>
      </c>
      <c r="H427" s="104" t="s">
        <v>719</v>
      </c>
    </row>
    <row r="428" customFormat="false" ht="15" hidden="false" customHeight="false" outlineLevel="0" collapsed="false">
      <c r="A428" s="103" t="n">
        <v>46302</v>
      </c>
      <c r="B428" s="104" t="s">
        <v>33</v>
      </c>
      <c r="C428" s="104" t="s">
        <v>528</v>
      </c>
      <c r="D428" s="105" t="n">
        <v>0.3333</v>
      </c>
      <c r="E428" s="106" t="n">
        <v>260</v>
      </c>
      <c r="F428" s="107" t="n">
        <f aca="false">IF($C428="","",$D428*$E428)</f>
        <v>86.658</v>
      </c>
      <c r="G428" s="107" t="n">
        <f aca="false">IF($C428="","",$D428*IFERROR(INDEX('تحليل التكلفة والسعر'!$C$2:$C$700,MATCH($C428,'تحليل التكلفة والسعر'!$B$2:$B$700,0)),0))</f>
        <v>44.30106945</v>
      </c>
      <c r="H428" s="104" t="s">
        <v>719</v>
      </c>
    </row>
    <row r="429" customFormat="false" ht="15" hidden="false" customHeight="false" outlineLevel="0" collapsed="false">
      <c r="A429" s="103" t="n">
        <v>46303</v>
      </c>
      <c r="B429" s="104" t="s">
        <v>33</v>
      </c>
      <c r="C429" s="104" t="s">
        <v>528</v>
      </c>
      <c r="D429" s="105" t="n">
        <v>0.3333</v>
      </c>
      <c r="E429" s="106" t="n">
        <v>260</v>
      </c>
      <c r="F429" s="107" t="n">
        <f aca="false">IF($C429="","",$D429*$E429)</f>
        <v>86.658</v>
      </c>
      <c r="G429" s="107" t="n">
        <f aca="false">IF($C429="","",$D429*IFERROR(INDEX('تحليل التكلفة والسعر'!$C$2:$C$700,MATCH($C429,'تحليل التكلفة والسعر'!$B$2:$B$700,0)),0))</f>
        <v>44.30106945</v>
      </c>
      <c r="H429" s="104" t="s">
        <v>719</v>
      </c>
    </row>
    <row r="430" customFormat="false" ht="15" hidden="false" customHeight="false" outlineLevel="0" collapsed="false">
      <c r="A430" s="103" t="n">
        <v>46304</v>
      </c>
      <c r="B430" s="104" t="s">
        <v>33</v>
      </c>
      <c r="C430" s="104" t="s">
        <v>528</v>
      </c>
      <c r="D430" s="105" t="n">
        <v>0.3333</v>
      </c>
      <c r="E430" s="106" t="n">
        <v>260</v>
      </c>
      <c r="F430" s="107" t="n">
        <f aca="false">IF($C430="","",$D430*$E430)</f>
        <v>86.658</v>
      </c>
      <c r="G430" s="107" t="n">
        <f aca="false">IF($C430="","",$D430*IFERROR(INDEX('تحليل التكلفة والسعر'!$C$2:$C$700,MATCH($C430,'تحليل التكلفة والسعر'!$B$2:$B$700,0)),0))</f>
        <v>44.30106945</v>
      </c>
      <c r="H430" s="104" t="s">
        <v>719</v>
      </c>
    </row>
    <row r="431" customFormat="false" ht="15" hidden="false" customHeight="false" outlineLevel="0" collapsed="false">
      <c r="A431" s="103" t="n">
        <v>46305</v>
      </c>
      <c r="B431" s="104" t="s">
        <v>33</v>
      </c>
      <c r="C431" s="104" t="s">
        <v>528</v>
      </c>
      <c r="D431" s="105" t="n">
        <v>0.3333</v>
      </c>
      <c r="E431" s="106" t="n">
        <v>260</v>
      </c>
      <c r="F431" s="107" t="n">
        <f aca="false">IF($C431="","",$D431*$E431)</f>
        <v>86.658</v>
      </c>
      <c r="G431" s="107" t="n">
        <f aca="false">IF($C431="","",$D431*IFERROR(INDEX('تحليل التكلفة والسعر'!$C$2:$C$700,MATCH($C431,'تحليل التكلفة والسعر'!$B$2:$B$700,0)),0))</f>
        <v>44.30106945</v>
      </c>
      <c r="H431" s="104" t="s">
        <v>719</v>
      </c>
    </row>
    <row r="432" customFormat="false" ht="15" hidden="false" customHeight="false" outlineLevel="0" collapsed="false">
      <c r="A432" s="103" t="n">
        <v>46306</v>
      </c>
      <c r="B432" s="104" t="s">
        <v>33</v>
      </c>
      <c r="C432" s="104" t="s">
        <v>528</v>
      </c>
      <c r="D432" s="105" t="n">
        <v>0.3333</v>
      </c>
      <c r="E432" s="106" t="n">
        <v>260</v>
      </c>
      <c r="F432" s="107" t="n">
        <f aca="false">IF($C432="","",$D432*$E432)</f>
        <v>86.658</v>
      </c>
      <c r="G432" s="107" t="n">
        <f aca="false">IF($C432="","",$D432*IFERROR(INDEX('تحليل التكلفة والسعر'!$C$2:$C$700,MATCH($C432,'تحليل التكلفة والسعر'!$B$2:$B$700,0)),0))</f>
        <v>44.30106945</v>
      </c>
      <c r="H432" s="104" t="s">
        <v>719</v>
      </c>
    </row>
    <row r="433" customFormat="false" ht="15" hidden="false" customHeight="false" outlineLevel="0" collapsed="false">
      <c r="A433" s="103" t="n">
        <v>46307</v>
      </c>
      <c r="B433" s="104" t="s">
        <v>33</v>
      </c>
      <c r="C433" s="104" t="s">
        <v>528</v>
      </c>
      <c r="D433" s="105" t="n">
        <v>0.3333</v>
      </c>
      <c r="E433" s="106" t="n">
        <v>260</v>
      </c>
      <c r="F433" s="107" t="n">
        <f aca="false">IF($C433="","",$D433*$E433)</f>
        <v>86.658</v>
      </c>
      <c r="G433" s="107" t="n">
        <f aca="false">IF($C433="","",$D433*IFERROR(INDEX('تحليل التكلفة والسعر'!$C$2:$C$700,MATCH($C433,'تحليل التكلفة والسعر'!$B$2:$B$700,0)),0))</f>
        <v>44.30106945</v>
      </c>
      <c r="H433" s="104" t="s">
        <v>719</v>
      </c>
    </row>
    <row r="434" customFormat="false" ht="15" hidden="false" customHeight="false" outlineLevel="0" collapsed="false">
      <c r="A434" s="103" t="n">
        <v>46296</v>
      </c>
      <c r="B434" s="104" t="s">
        <v>33</v>
      </c>
      <c r="C434" s="104" t="s">
        <v>743</v>
      </c>
      <c r="D434" s="105" t="n">
        <v>0.3333</v>
      </c>
      <c r="E434" s="106" t="n">
        <v>190</v>
      </c>
      <c r="F434" s="107" t="n">
        <f aca="false">IF($C434="","",$D434*$E434)</f>
        <v>63.327</v>
      </c>
      <c r="G434" s="107" t="n">
        <f aca="false">IF($C434="","",$D434*IFERROR(INDEX('تحليل التكلفة والسعر'!$C$2:$C$700,MATCH($C434,'تحليل التكلفة والسعر'!$B$2:$B$700,0)),0))</f>
        <v>30.24604176</v>
      </c>
      <c r="H434" s="104" t="s">
        <v>719</v>
      </c>
    </row>
    <row r="435" customFormat="false" ht="15" hidden="false" customHeight="false" outlineLevel="0" collapsed="false">
      <c r="A435" s="103" t="n">
        <v>46297</v>
      </c>
      <c r="B435" s="104" t="s">
        <v>33</v>
      </c>
      <c r="C435" s="104" t="s">
        <v>743</v>
      </c>
      <c r="D435" s="105" t="n">
        <v>0.3333</v>
      </c>
      <c r="E435" s="106" t="n">
        <v>190</v>
      </c>
      <c r="F435" s="107" t="n">
        <f aca="false">IF($C435="","",$D435*$E435)</f>
        <v>63.327</v>
      </c>
      <c r="G435" s="107" t="n">
        <f aca="false">IF($C435="","",$D435*IFERROR(INDEX('تحليل التكلفة والسعر'!$C$2:$C$700,MATCH($C435,'تحليل التكلفة والسعر'!$B$2:$B$700,0)),0))</f>
        <v>30.24604176</v>
      </c>
      <c r="H435" s="104" t="s">
        <v>719</v>
      </c>
    </row>
    <row r="436" customFormat="false" ht="15" hidden="false" customHeight="false" outlineLevel="0" collapsed="false">
      <c r="A436" s="103" t="n">
        <v>46298</v>
      </c>
      <c r="B436" s="104" t="s">
        <v>33</v>
      </c>
      <c r="C436" s="104" t="s">
        <v>743</v>
      </c>
      <c r="D436" s="105" t="n">
        <v>0.3333</v>
      </c>
      <c r="E436" s="106" t="n">
        <v>190</v>
      </c>
      <c r="F436" s="107" t="n">
        <f aca="false">IF($C436="","",$D436*$E436)</f>
        <v>63.327</v>
      </c>
      <c r="G436" s="107" t="n">
        <f aca="false">IF($C436="","",$D436*IFERROR(INDEX('تحليل التكلفة والسعر'!$C$2:$C$700,MATCH($C436,'تحليل التكلفة والسعر'!$B$2:$B$700,0)),0))</f>
        <v>30.24604176</v>
      </c>
      <c r="H436" s="104" t="s">
        <v>719</v>
      </c>
    </row>
    <row r="437" customFormat="false" ht="15" hidden="false" customHeight="false" outlineLevel="0" collapsed="false">
      <c r="A437" s="103" t="n">
        <v>46299</v>
      </c>
      <c r="B437" s="104" t="s">
        <v>33</v>
      </c>
      <c r="C437" s="104" t="s">
        <v>743</v>
      </c>
      <c r="D437" s="105" t="n">
        <v>0.3333</v>
      </c>
      <c r="E437" s="106" t="n">
        <v>190</v>
      </c>
      <c r="F437" s="107" t="n">
        <f aca="false">IF($C437="","",$D437*$E437)</f>
        <v>63.327</v>
      </c>
      <c r="G437" s="107" t="n">
        <f aca="false">IF($C437="","",$D437*IFERROR(INDEX('تحليل التكلفة والسعر'!$C$2:$C$700,MATCH($C437,'تحليل التكلفة والسعر'!$B$2:$B$700,0)),0))</f>
        <v>30.24604176</v>
      </c>
      <c r="H437" s="104" t="s">
        <v>719</v>
      </c>
    </row>
    <row r="438" customFormat="false" ht="15" hidden="false" customHeight="false" outlineLevel="0" collapsed="false">
      <c r="A438" s="103" t="n">
        <v>46300</v>
      </c>
      <c r="B438" s="104" t="s">
        <v>33</v>
      </c>
      <c r="C438" s="104" t="s">
        <v>743</v>
      </c>
      <c r="D438" s="105" t="n">
        <v>0.3333</v>
      </c>
      <c r="E438" s="106" t="n">
        <v>190</v>
      </c>
      <c r="F438" s="107" t="n">
        <f aca="false">IF($C438="","",$D438*$E438)</f>
        <v>63.327</v>
      </c>
      <c r="G438" s="107" t="n">
        <f aca="false">IF($C438="","",$D438*IFERROR(INDEX('تحليل التكلفة والسعر'!$C$2:$C$700,MATCH($C438,'تحليل التكلفة والسعر'!$B$2:$B$700,0)),0))</f>
        <v>30.24604176</v>
      </c>
      <c r="H438" s="104" t="s">
        <v>719</v>
      </c>
    </row>
    <row r="439" customFormat="false" ht="15" hidden="false" customHeight="false" outlineLevel="0" collapsed="false">
      <c r="A439" s="103" t="n">
        <v>46301</v>
      </c>
      <c r="B439" s="104" t="s">
        <v>33</v>
      </c>
      <c r="C439" s="104" t="s">
        <v>743</v>
      </c>
      <c r="D439" s="105" t="n">
        <v>0.3333</v>
      </c>
      <c r="E439" s="106" t="n">
        <v>190</v>
      </c>
      <c r="F439" s="107" t="n">
        <f aca="false">IF($C439="","",$D439*$E439)</f>
        <v>63.327</v>
      </c>
      <c r="G439" s="107" t="n">
        <f aca="false">IF($C439="","",$D439*IFERROR(INDEX('تحليل التكلفة والسعر'!$C$2:$C$700,MATCH($C439,'تحليل التكلفة والسعر'!$B$2:$B$700,0)),0))</f>
        <v>30.24604176</v>
      </c>
      <c r="H439" s="104" t="s">
        <v>719</v>
      </c>
    </row>
    <row r="440" customFormat="false" ht="15" hidden="false" customHeight="false" outlineLevel="0" collapsed="false">
      <c r="A440" s="103" t="n">
        <v>46302</v>
      </c>
      <c r="B440" s="104" t="s">
        <v>33</v>
      </c>
      <c r="C440" s="104" t="s">
        <v>743</v>
      </c>
      <c r="D440" s="105" t="n">
        <v>0.3333</v>
      </c>
      <c r="E440" s="106" t="n">
        <v>190</v>
      </c>
      <c r="F440" s="107" t="n">
        <f aca="false">IF($C440="","",$D440*$E440)</f>
        <v>63.327</v>
      </c>
      <c r="G440" s="107" t="n">
        <f aca="false">IF($C440="","",$D440*IFERROR(INDEX('تحليل التكلفة والسعر'!$C$2:$C$700,MATCH($C440,'تحليل التكلفة والسعر'!$B$2:$B$700,0)),0))</f>
        <v>30.24604176</v>
      </c>
      <c r="H440" s="104" t="s">
        <v>719</v>
      </c>
    </row>
    <row r="441" customFormat="false" ht="15" hidden="false" customHeight="false" outlineLevel="0" collapsed="false">
      <c r="A441" s="103" t="n">
        <v>46303</v>
      </c>
      <c r="B441" s="104" t="s">
        <v>33</v>
      </c>
      <c r="C441" s="104" t="s">
        <v>743</v>
      </c>
      <c r="D441" s="105" t="n">
        <v>0.3333</v>
      </c>
      <c r="E441" s="106" t="n">
        <v>190</v>
      </c>
      <c r="F441" s="107" t="n">
        <f aca="false">IF($C441="","",$D441*$E441)</f>
        <v>63.327</v>
      </c>
      <c r="G441" s="107" t="n">
        <f aca="false">IF($C441="","",$D441*IFERROR(INDEX('تحليل التكلفة والسعر'!$C$2:$C$700,MATCH($C441,'تحليل التكلفة والسعر'!$B$2:$B$700,0)),0))</f>
        <v>30.24604176</v>
      </c>
      <c r="H441" s="104" t="s">
        <v>719</v>
      </c>
    </row>
    <row r="442" customFormat="false" ht="15" hidden="false" customHeight="false" outlineLevel="0" collapsed="false">
      <c r="A442" s="103" t="n">
        <v>46304</v>
      </c>
      <c r="B442" s="104" t="s">
        <v>33</v>
      </c>
      <c r="C442" s="104" t="s">
        <v>743</v>
      </c>
      <c r="D442" s="105" t="n">
        <v>0.3333</v>
      </c>
      <c r="E442" s="106" t="n">
        <v>190</v>
      </c>
      <c r="F442" s="107" t="n">
        <f aca="false">IF($C442="","",$D442*$E442)</f>
        <v>63.327</v>
      </c>
      <c r="G442" s="107" t="n">
        <f aca="false">IF($C442="","",$D442*IFERROR(INDEX('تحليل التكلفة والسعر'!$C$2:$C$700,MATCH($C442,'تحليل التكلفة والسعر'!$B$2:$B$700,0)),0))</f>
        <v>30.24604176</v>
      </c>
      <c r="H442" s="104" t="s">
        <v>719</v>
      </c>
    </row>
    <row r="443" customFormat="false" ht="15" hidden="false" customHeight="false" outlineLevel="0" collapsed="false">
      <c r="A443" s="103" t="n">
        <v>46305</v>
      </c>
      <c r="B443" s="104" t="s">
        <v>33</v>
      </c>
      <c r="C443" s="104" t="s">
        <v>743</v>
      </c>
      <c r="D443" s="105" t="n">
        <v>0.3333</v>
      </c>
      <c r="E443" s="106" t="n">
        <v>190</v>
      </c>
      <c r="F443" s="107" t="n">
        <f aca="false">IF($C443="","",$D443*$E443)</f>
        <v>63.327</v>
      </c>
      <c r="G443" s="107" t="n">
        <f aca="false">IF($C443="","",$D443*IFERROR(INDEX('تحليل التكلفة والسعر'!$C$2:$C$700,MATCH($C443,'تحليل التكلفة والسعر'!$B$2:$B$700,0)),0))</f>
        <v>30.24604176</v>
      </c>
      <c r="H443" s="104" t="s">
        <v>719</v>
      </c>
    </row>
    <row r="444" customFormat="false" ht="15" hidden="false" customHeight="false" outlineLevel="0" collapsed="false">
      <c r="A444" s="103" t="n">
        <v>46306</v>
      </c>
      <c r="B444" s="104" t="s">
        <v>33</v>
      </c>
      <c r="C444" s="104" t="s">
        <v>743</v>
      </c>
      <c r="D444" s="105" t="n">
        <v>0.3333</v>
      </c>
      <c r="E444" s="106" t="n">
        <v>190</v>
      </c>
      <c r="F444" s="107" t="n">
        <f aca="false">IF($C444="","",$D444*$E444)</f>
        <v>63.327</v>
      </c>
      <c r="G444" s="107" t="n">
        <f aca="false">IF($C444="","",$D444*IFERROR(INDEX('تحليل التكلفة والسعر'!$C$2:$C$700,MATCH($C444,'تحليل التكلفة والسعر'!$B$2:$B$700,0)),0))</f>
        <v>30.24604176</v>
      </c>
      <c r="H444" s="104" t="s">
        <v>719</v>
      </c>
    </row>
    <row r="445" customFormat="false" ht="15" hidden="false" customHeight="false" outlineLevel="0" collapsed="false">
      <c r="A445" s="103" t="n">
        <v>46307</v>
      </c>
      <c r="B445" s="104" t="s">
        <v>33</v>
      </c>
      <c r="C445" s="104" t="s">
        <v>743</v>
      </c>
      <c r="D445" s="105" t="n">
        <v>0.3333</v>
      </c>
      <c r="E445" s="106" t="n">
        <v>190</v>
      </c>
      <c r="F445" s="107" t="n">
        <f aca="false">IF($C445="","",$D445*$E445)</f>
        <v>63.327</v>
      </c>
      <c r="G445" s="107" t="n">
        <f aca="false">IF($C445="","",$D445*IFERROR(INDEX('تحليل التكلفة والسعر'!$C$2:$C$700,MATCH($C445,'تحليل التكلفة والسعر'!$B$2:$B$700,0)),0))</f>
        <v>30.24604176</v>
      </c>
      <c r="H445" s="104" t="s">
        <v>719</v>
      </c>
    </row>
    <row r="446" customFormat="false" ht="15" hidden="false" customHeight="false" outlineLevel="0" collapsed="false">
      <c r="A446" s="103" t="n">
        <v>46296</v>
      </c>
      <c r="B446" s="104" t="s">
        <v>33</v>
      </c>
      <c r="C446" s="104" t="s">
        <v>744</v>
      </c>
      <c r="D446" s="105" t="n">
        <v>3</v>
      </c>
      <c r="E446" s="106" t="n">
        <v>55.5556</v>
      </c>
      <c r="F446" s="107" t="n">
        <f aca="false">IF($C446="","",$D446*$E446)</f>
        <v>166.6668</v>
      </c>
      <c r="G446" s="107" t="n">
        <f aca="false">IF($C446="","",$D446*IFERROR(INDEX('تحليل التكلفة والسعر'!$C$2:$C$700,MATCH($C446,'تحليل التكلفة والسعر'!$B$2:$B$700,0)),0))</f>
        <v>194.6619</v>
      </c>
      <c r="H446" s="104" t="s">
        <v>719</v>
      </c>
    </row>
    <row r="447" customFormat="false" ht="15" hidden="false" customHeight="false" outlineLevel="0" collapsed="false">
      <c r="A447" s="103" t="n">
        <v>46297</v>
      </c>
      <c r="B447" s="104" t="s">
        <v>33</v>
      </c>
      <c r="C447" s="104" t="s">
        <v>744</v>
      </c>
      <c r="D447" s="105" t="n">
        <v>3</v>
      </c>
      <c r="E447" s="106" t="n">
        <v>55.5556</v>
      </c>
      <c r="F447" s="107" t="n">
        <f aca="false">IF($C447="","",$D447*$E447)</f>
        <v>166.6668</v>
      </c>
      <c r="G447" s="107" t="n">
        <f aca="false">IF($C447="","",$D447*IFERROR(INDEX('تحليل التكلفة والسعر'!$C$2:$C$700,MATCH($C447,'تحليل التكلفة والسعر'!$B$2:$B$700,0)),0))</f>
        <v>194.6619</v>
      </c>
      <c r="H447" s="104" t="s">
        <v>719</v>
      </c>
    </row>
    <row r="448" customFormat="false" ht="15" hidden="false" customHeight="false" outlineLevel="0" collapsed="false">
      <c r="A448" s="103" t="n">
        <v>46298</v>
      </c>
      <c r="B448" s="104" t="s">
        <v>33</v>
      </c>
      <c r="C448" s="104" t="s">
        <v>744</v>
      </c>
      <c r="D448" s="105" t="n">
        <v>3</v>
      </c>
      <c r="E448" s="106" t="n">
        <v>55.5556</v>
      </c>
      <c r="F448" s="107" t="n">
        <f aca="false">IF($C448="","",$D448*$E448)</f>
        <v>166.6668</v>
      </c>
      <c r="G448" s="107" t="n">
        <f aca="false">IF($C448="","",$D448*IFERROR(INDEX('تحليل التكلفة والسعر'!$C$2:$C$700,MATCH($C448,'تحليل التكلفة والسعر'!$B$2:$B$700,0)),0))</f>
        <v>194.6619</v>
      </c>
      <c r="H448" s="104" t="s">
        <v>719</v>
      </c>
    </row>
    <row r="449" customFormat="false" ht="15" hidden="false" customHeight="false" outlineLevel="0" collapsed="false">
      <c r="A449" s="103" t="n">
        <v>46299</v>
      </c>
      <c r="B449" s="104" t="s">
        <v>33</v>
      </c>
      <c r="C449" s="104" t="s">
        <v>744</v>
      </c>
      <c r="D449" s="105" t="n">
        <v>3</v>
      </c>
      <c r="E449" s="106" t="n">
        <v>55.5556</v>
      </c>
      <c r="F449" s="107" t="n">
        <f aca="false">IF($C449="","",$D449*$E449)</f>
        <v>166.6668</v>
      </c>
      <c r="G449" s="107" t="n">
        <f aca="false">IF($C449="","",$D449*IFERROR(INDEX('تحليل التكلفة والسعر'!$C$2:$C$700,MATCH($C449,'تحليل التكلفة والسعر'!$B$2:$B$700,0)),0))</f>
        <v>194.6619</v>
      </c>
      <c r="H449" s="104" t="s">
        <v>719</v>
      </c>
    </row>
    <row r="450" customFormat="false" ht="15" hidden="false" customHeight="false" outlineLevel="0" collapsed="false">
      <c r="A450" s="103" t="n">
        <v>46300</v>
      </c>
      <c r="B450" s="104" t="s">
        <v>33</v>
      </c>
      <c r="C450" s="104" t="s">
        <v>744</v>
      </c>
      <c r="D450" s="105" t="n">
        <v>3</v>
      </c>
      <c r="E450" s="106" t="n">
        <v>55.5556</v>
      </c>
      <c r="F450" s="107" t="n">
        <f aca="false">IF($C450="","",$D450*$E450)</f>
        <v>166.6668</v>
      </c>
      <c r="G450" s="107" t="n">
        <f aca="false">IF($C450="","",$D450*IFERROR(INDEX('تحليل التكلفة والسعر'!$C$2:$C$700,MATCH($C450,'تحليل التكلفة والسعر'!$B$2:$B$700,0)),0))</f>
        <v>194.6619</v>
      </c>
      <c r="H450" s="104" t="s">
        <v>719</v>
      </c>
    </row>
    <row r="451" customFormat="false" ht="15" hidden="false" customHeight="false" outlineLevel="0" collapsed="false">
      <c r="A451" s="103" t="n">
        <v>46301</v>
      </c>
      <c r="B451" s="104" t="s">
        <v>33</v>
      </c>
      <c r="C451" s="104" t="s">
        <v>744</v>
      </c>
      <c r="D451" s="105" t="n">
        <v>3</v>
      </c>
      <c r="E451" s="106" t="n">
        <v>55.5556</v>
      </c>
      <c r="F451" s="107" t="n">
        <f aca="false">IF($C451="","",$D451*$E451)</f>
        <v>166.6668</v>
      </c>
      <c r="G451" s="107" t="n">
        <f aca="false">IF($C451="","",$D451*IFERROR(INDEX('تحليل التكلفة والسعر'!$C$2:$C$700,MATCH($C451,'تحليل التكلفة والسعر'!$B$2:$B$700,0)),0))</f>
        <v>194.6619</v>
      </c>
      <c r="H451" s="104" t="s">
        <v>719</v>
      </c>
    </row>
    <row r="452" customFormat="false" ht="15" hidden="false" customHeight="false" outlineLevel="0" collapsed="false">
      <c r="A452" s="103" t="n">
        <v>46302</v>
      </c>
      <c r="B452" s="104" t="s">
        <v>33</v>
      </c>
      <c r="C452" s="104" t="s">
        <v>744</v>
      </c>
      <c r="D452" s="105" t="n">
        <v>3</v>
      </c>
      <c r="E452" s="106" t="n">
        <v>55.5556</v>
      </c>
      <c r="F452" s="107" t="n">
        <f aca="false">IF($C452="","",$D452*$E452)</f>
        <v>166.6668</v>
      </c>
      <c r="G452" s="107" t="n">
        <f aca="false">IF($C452="","",$D452*IFERROR(INDEX('تحليل التكلفة والسعر'!$C$2:$C$700,MATCH($C452,'تحليل التكلفة والسعر'!$B$2:$B$700,0)),0))</f>
        <v>194.6619</v>
      </c>
      <c r="H452" s="104" t="s">
        <v>719</v>
      </c>
    </row>
    <row r="453" customFormat="false" ht="15" hidden="false" customHeight="false" outlineLevel="0" collapsed="false">
      <c r="A453" s="103" t="n">
        <v>46303</v>
      </c>
      <c r="B453" s="104" t="s">
        <v>33</v>
      </c>
      <c r="C453" s="104" t="s">
        <v>744</v>
      </c>
      <c r="D453" s="105" t="n">
        <v>3</v>
      </c>
      <c r="E453" s="106" t="n">
        <v>55.5556</v>
      </c>
      <c r="F453" s="107" t="n">
        <f aca="false">IF($C453="","",$D453*$E453)</f>
        <v>166.6668</v>
      </c>
      <c r="G453" s="107" t="n">
        <f aca="false">IF($C453="","",$D453*IFERROR(INDEX('تحليل التكلفة والسعر'!$C$2:$C$700,MATCH($C453,'تحليل التكلفة والسعر'!$B$2:$B$700,0)),0))</f>
        <v>194.6619</v>
      </c>
      <c r="H453" s="104" t="s">
        <v>719</v>
      </c>
    </row>
    <row r="454" customFormat="false" ht="15" hidden="false" customHeight="false" outlineLevel="0" collapsed="false">
      <c r="A454" s="103" t="n">
        <v>46304</v>
      </c>
      <c r="B454" s="104" t="s">
        <v>33</v>
      </c>
      <c r="C454" s="104" t="s">
        <v>744</v>
      </c>
      <c r="D454" s="105" t="n">
        <v>3</v>
      </c>
      <c r="E454" s="106" t="n">
        <v>55.5556</v>
      </c>
      <c r="F454" s="107" t="n">
        <f aca="false">IF($C454="","",$D454*$E454)</f>
        <v>166.6668</v>
      </c>
      <c r="G454" s="107" t="n">
        <f aca="false">IF($C454="","",$D454*IFERROR(INDEX('تحليل التكلفة والسعر'!$C$2:$C$700,MATCH($C454,'تحليل التكلفة والسعر'!$B$2:$B$700,0)),0))</f>
        <v>194.6619</v>
      </c>
      <c r="H454" s="104" t="s">
        <v>719</v>
      </c>
    </row>
    <row r="455" customFormat="false" ht="15" hidden="false" customHeight="false" outlineLevel="0" collapsed="false">
      <c r="A455" s="103" t="n">
        <v>46305</v>
      </c>
      <c r="B455" s="104" t="s">
        <v>33</v>
      </c>
      <c r="C455" s="104" t="s">
        <v>744</v>
      </c>
      <c r="D455" s="105" t="n">
        <v>3</v>
      </c>
      <c r="E455" s="106" t="n">
        <v>55.5556</v>
      </c>
      <c r="F455" s="107" t="n">
        <f aca="false">IF($C455="","",$D455*$E455)</f>
        <v>166.6668</v>
      </c>
      <c r="G455" s="107" t="n">
        <f aca="false">IF($C455="","",$D455*IFERROR(INDEX('تحليل التكلفة والسعر'!$C$2:$C$700,MATCH($C455,'تحليل التكلفة والسعر'!$B$2:$B$700,0)),0))</f>
        <v>194.6619</v>
      </c>
      <c r="H455" s="104" t="s">
        <v>719</v>
      </c>
    </row>
    <row r="456" customFormat="false" ht="15" hidden="false" customHeight="false" outlineLevel="0" collapsed="false">
      <c r="A456" s="103" t="n">
        <v>46306</v>
      </c>
      <c r="B456" s="104" t="s">
        <v>33</v>
      </c>
      <c r="C456" s="104" t="s">
        <v>744</v>
      </c>
      <c r="D456" s="105" t="n">
        <v>3</v>
      </c>
      <c r="E456" s="106" t="n">
        <v>55.5556</v>
      </c>
      <c r="F456" s="107" t="n">
        <f aca="false">IF($C456="","",$D456*$E456)</f>
        <v>166.6668</v>
      </c>
      <c r="G456" s="107" t="n">
        <f aca="false">IF($C456="","",$D456*IFERROR(INDEX('تحليل التكلفة والسعر'!$C$2:$C$700,MATCH($C456,'تحليل التكلفة والسعر'!$B$2:$B$700,0)),0))</f>
        <v>194.6619</v>
      </c>
      <c r="H456" s="104" t="s">
        <v>719</v>
      </c>
    </row>
    <row r="457" customFormat="false" ht="15" hidden="false" customHeight="false" outlineLevel="0" collapsed="false">
      <c r="A457" s="103" t="n">
        <v>46307</v>
      </c>
      <c r="B457" s="104" t="s">
        <v>33</v>
      </c>
      <c r="C457" s="104" t="s">
        <v>744</v>
      </c>
      <c r="D457" s="105" t="n">
        <v>3</v>
      </c>
      <c r="E457" s="106" t="n">
        <v>55.5556</v>
      </c>
      <c r="F457" s="107" t="n">
        <f aca="false">IF($C457="","",$D457*$E457)</f>
        <v>166.6668</v>
      </c>
      <c r="G457" s="107" t="n">
        <f aca="false">IF($C457="","",$D457*IFERROR(INDEX('تحليل التكلفة والسعر'!$C$2:$C$700,MATCH($C457,'تحليل التكلفة والسعر'!$B$2:$B$700,0)),0))</f>
        <v>194.6619</v>
      </c>
      <c r="H457" s="104" t="s">
        <v>719</v>
      </c>
    </row>
    <row r="458" customFormat="false" ht="15" hidden="false" customHeight="false" outlineLevel="0" collapsed="false">
      <c r="A458" s="103" t="n">
        <v>46296</v>
      </c>
      <c r="B458" s="104" t="s">
        <v>33</v>
      </c>
      <c r="C458" s="104" t="s">
        <v>426</v>
      </c>
      <c r="D458" s="105" t="n">
        <v>0.75</v>
      </c>
      <c r="E458" s="106" t="n">
        <v>213.4882</v>
      </c>
      <c r="F458" s="107" t="n">
        <f aca="false">IF($C458="","",$D458*$E458)</f>
        <v>160.11615</v>
      </c>
      <c r="G458" s="107" t="n">
        <f aca="false">IF($C458="","",$D458*IFERROR(INDEX('تحليل التكلفة والسعر'!$C$2:$C$700,MATCH($C458,'تحليل التكلفة والسعر'!$B$2:$B$700,0)),0))</f>
        <v>71.46825</v>
      </c>
      <c r="H458" s="104" t="s">
        <v>719</v>
      </c>
    </row>
    <row r="459" customFormat="false" ht="15" hidden="false" customHeight="false" outlineLevel="0" collapsed="false">
      <c r="A459" s="103" t="n">
        <v>46297</v>
      </c>
      <c r="B459" s="104" t="s">
        <v>33</v>
      </c>
      <c r="C459" s="104" t="s">
        <v>426</v>
      </c>
      <c r="D459" s="105" t="n">
        <v>0.75</v>
      </c>
      <c r="E459" s="106" t="n">
        <v>213.4882</v>
      </c>
      <c r="F459" s="107" t="n">
        <f aca="false">IF($C459="","",$D459*$E459)</f>
        <v>160.11615</v>
      </c>
      <c r="G459" s="107" t="n">
        <f aca="false">IF($C459="","",$D459*IFERROR(INDEX('تحليل التكلفة والسعر'!$C$2:$C$700,MATCH($C459,'تحليل التكلفة والسعر'!$B$2:$B$700,0)),0))</f>
        <v>71.46825</v>
      </c>
      <c r="H459" s="104" t="s">
        <v>719</v>
      </c>
    </row>
    <row r="460" customFormat="false" ht="15" hidden="false" customHeight="false" outlineLevel="0" collapsed="false">
      <c r="A460" s="103" t="n">
        <v>46298</v>
      </c>
      <c r="B460" s="104" t="s">
        <v>33</v>
      </c>
      <c r="C460" s="104" t="s">
        <v>426</v>
      </c>
      <c r="D460" s="105" t="n">
        <v>0.75</v>
      </c>
      <c r="E460" s="106" t="n">
        <v>213.4882</v>
      </c>
      <c r="F460" s="107" t="n">
        <f aca="false">IF($C460="","",$D460*$E460)</f>
        <v>160.11615</v>
      </c>
      <c r="G460" s="107" t="n">
        <f aca="false">IF($C460="","",$D460*IFERROR(INDEX('تحليل التكلفة والسعر'!$C$2:$C$700,MATCH($C460,'تحليل التكلفة والسعر'!$B$2:$B$700,0)),0))</f>
        <v>71.46825</v>
      </c>
      <c r="H460" s="104" t="s">
        <v>719</v>
      </c>
    </row>
    <row r="461" customFormat="false" ht="15" hidden="false" customHeight="false" outlineLevel="0" collapsed="false">
      <c r="A461" s="103" t="n">
        <v>46299</v>
      </c>
      <c r="B461" s="104" t="s">
        <v>33</v>
      </c>
      <c r="C461" s="104" t="s">
        <v>426</v>
      </c>
      <c r="D461" s="105" t="n">
        <v>0.75</v>
      </c>
      <c r="E461" s="106" t="n">
        <v>213.4882</v>
      </c>
      <c r="F461" s="107" t="n">
        <f aca="false">IF($C461="","",$D461*$E461)</f>
        <v>160.11615</v>
      </c>
      <c r="G461" s="107" t="n">
        <f aca="false">IF($C461="","",$D461*IFERROR(INDEX('تحليل التكلفة والسعر'!$C$2:$C$700,MATCH($C461,'تحليل التكلفة والسعر'!$B$2:$B$700,0)),0))</f>
        <v>71.46825</v>
      </c>
      <c r="H461" s="104" t="s">
        <v>719</v>
      </c>
    </row>
    <row r="462" customFormat="false" ht="15" hidden="false" customHeight="false" outlineLevel="0" collapsed="false">
      <c r="A462" s="103" t="n">
        <v>46300</v>
      </c>
      <c r="B462" s="104" t="s">
        <v>33</v>
      </c>
      <c r="C462" s="104" t="s">
        <v>426</v>
      </c>
      <c r="D462" s="105" t="n">
        <v>0.75</v>
      </c>
      <c r="E462" s="106" t="n">
        <v>213.4882</v>
      </c>
      <c r="F462" s="107" t="n">
        <f aca="false">IF($C462="","",$D462*$E462)</f>
        <v>160.11615</v>
      </c>
      <c r="G462" s="107" t="n">
        <f aca="false">IF($C462="","",$D462*IFERROR(INDEX('تحليل التكلفة والسعر'!$C$2:$C$700,MATCH($C462,'تحليل التكلفة والسعر'!$B$2:$B$700,0)),0))</f>
        <v>71.46825</v>
      </c>
      <c r="H462" s="104" t="s">
        <v>719</v>
      </c>
    </row>
    <row r="463" customFormat="false" ht="15" hidden="false" customHeight="false" outlineLevel="0" collapsed="false">
      <c r="A463" s="103" t="n">
        <v>46301</v>
      </c>
      <c r="B463" s="104" t="s">
        <v>33</v>
      </c>
      <c r="C463" s="104" t="s">
        <v>426</v>
      </c>
      <c r="D463" s="105" t="n">
        <v>0.75</v>
      </c>
      <c r="E463" s="106" t="n">
        <v>213.4882</v>
      </c>
      <c r="F463" s="107" t="n">
        <f aca="false">IF($C463="","",$D463*$E463)</f>
        <v>160.11615</v>
      </c>
      <c r="G463" s="107" t="n">
        <f aca="false">IF($C463="","",$D463*IFERROR(INDEX('تحليل التكلفة والسعر'!$C$2:$C$700,MATCH($C463,'تحليل التكلفة والسعر'!$B$2:$B$700,0)),0))</f>
        <v>71.46825</v>
      </c>
      <c r="H463" s="104" t="s">
        <v>719</v>
      </c>
    </row>
    <row r="464" customFormat="false" ht="15" hidden="false" customHeight="false" outlineLevel="0" collapsed="false">
      <c r="A464" s="103" t="n">
        <v>46302</v>
      </c>
      <c r="B464" s="104" t="s">
        <v>33</v>
      </c>
      <c r="C464" s="104" t="s">
        <v>426</v>
      </c>
      <c r="D464" s="105" t="n">
        <v>0.75</v>
      </c>
      <c r="E464" s="106" t="n">
        <v>213.4882</v>
      </c>
      <c r="F464" s="107" t="n">
        <f aca="false">IF($C464="","",$D464*$E464)</f>
        <v>160.11615</v>
      </c>
      <c r="G464" s="107" t="n">
        <f aca="false">IF($C464="","",$D464*IFERROR(INDEX('تحليل التكلفة والسعر'!$C$2:$C$700,MATCH($C464,'تحليل التكلفة والسعر'!$B$2:$B$700,0)),0))</f>
        <v>71.46825</v>
      </c>
      <c r="H464" s="104" t="s">
        <v>719</v>
      </c>
    </row>
    <row r="465" customFormat="false" ht="15" hidden="false" customHeight="false" outlineLevel="0" collapsed="false">
      <c r="A465" s="103" t="n">
        <v>46303</v>
      </c>
      <c r="B465" s="104" t="s">
        <v>33</v>
      </c>
      <c r="C465" s="104" t="s">
        <v>426</v>
      </c>
      <c r="D465" s="105" t="n">
        <v>0.75</v>
      </c>
      <c r="E465" s="106" t="n">
        <v>213.4882</v>
      </c>
      <c r="F465" s="107" t="n">
        <f aca="false">IF($C465="","",$D465*$E465)</f>
        <v>160.11615</v>
      </c>
      <c r="G465" s="107" t="n">
        <f aca="false">IF($C465="","",$D465*IFERROR(INDEX('تحليل التكلفة والسعر'!$C$2:$C$700,MATCH($C465,'تحليل التكلفة والسعر'!$B$2:$B$700,0)),0))</f>
        <v>71.46825</v>
      </c>
      <c r="H465" s="104" t="s">
        <v>719</v>
      </c>
    </row>
    <row r="466" customFormat="false" ht="15" hidden="false" customHeight="false" outlineLevel="0" collapsed="false">
      <c r="A466" s="103" t="n">
        <v>46304</v>
      </c>
      <c r="B466" s="104" t="s">
        <v>33</v>
      </c>
      <c r="C466" s="104" t="s">
        <v>426</v>
      </c>
      <c r="D466" s="105" t="n">
        <v>0.75</v>
      </c>
      <c r="E466" s="106" t="n">
        <v>213.4882</v>
      </c>
      <c r="F466" s="107" t="n">
        <f aca="false">IF($C466="","",$D466*$E466)</f>
        <v>160.11615</v>
      </c>
      <c r="G466" s="107" t="n">
        <f aca="false">IF($C466="","",$D466*IFERROR(INDEX('تحليل التكلفة والسعر'!$C$2:$C$700,MATCH($C466,'تحليل التكلفة والسعر'!$B$2:$B$700,0)),0))</f>
        <v>71.46825</v>
      </c>
      <c r="H466" s="104" t="s">
        <v>719</v>
      </c>
    </row>
    <row r="467" customFormat="false" ht="15" hidden="false" customHeight="false" outlineLevel="0" collapsed="false">
      <c r="A467" s="103" t="n">
        <v>46305</v>
      </c>
      <c r="B467" s="104" t="s">
        <v>33</v>
      </c>
      <c r="C467" s="104" t="s">
        <v>426</v>
      </c>
      <c r="D467" s="105" t="n">
        <v>0.75</v>
      </c>
      <c r="E467" s="106" t="n">
        <v>213.4882</v>
      </c>
      <c r="F467" s="107" t="n">
        <f aca="false">IF($C467="","",$D467*$E467)</f>
        <v>160.11615</v>
      </c>
      <c r="G467" s="107" t="n">
        <f aca="false">IF($C467="","",$D467*IFERROR(INDEX('تحليل التكلفة والسعر'!$C$2:$C$700,MATCH($C467,'تحليل التكلفة والسعر'!$B$2:$B$700,0)),0))</f>
        <v>71.46825</v>
      </c>
      <c r="H467" s="104" t="s">
        <v>719</v>
      </c>
    </row>
    <row r="468" customFormat="false" ht="15" hidden="false" customHeight="false" outlineLevel="0" collapsed="false">
      <c r="A468" s="103" t="n">
        <v>46306</v>
      </c>
      <c r="B468" s="104" t="s">
        <v>33</v>
      </c>
      <c r="C468" s="104" t="s">
        <v>426</v>
      </c>
      <c r="D468" s="105" t="n">
        <v>0.75</v>
      </c>
      <c r="E468" s="106" t="n">
        <v>213.4882</v>
      </c>
      <c r="F468" s="107" t="n">
        <f aca="false">IF($C468="","",$D468*$E468)</f>
        <v>160.11615</v>
      </c>
      <c r="G468" s="107" t="n">
        <f aca="false">IF($C468="","",$D468*IFERROR(INDEX('تحليل التكلفة والسعر'!$C$2:$C$700,MATCH($C468,'تحليل التكلفة والسعر'!$B$2:$B$700,0)),0))</f>
        <v>71.46825</v>
      </c>
      <c r="H468" s="104" t="s">
        <v>719</v>
      </c>
    </row>
    <row r="469" customFormat="false" ht="15" hidden="false" customHeight="false" outlineLevel="0" collapsed="false">
      <c r="A469" s="103" t="n">
        <v>46307</v>
      </c>
      <c r="B469" s="104" t="s">
        <v>33</v>
      </c>
      <c r="C469" s="104" t="s">
        <v>426</v>
      </c>
      <c r="D469" s="105" t="n">
        <v>0.75</v>
      </c>
      <c r="E469" s="106" t="n">
        <v>213.4882</v>
      </c>
      <c r="F469" s="107" t="n">
        <f aca="false">IF($C469="","",$D469*$E469)</f>
        <v>160.11615</v>
      </c>
      <c r="G469" s="107" t="n">
        <f aca="false">IF($C469="","",$D469*IFERROR(INDEX('تحليل التكلفة والسعر'!$C$2:$C$700,MATCH($C469,'تحليل التكلفة والسعر'!$B$2:$B$700,0)),0))</f>
        <v>71.46825</v>
      </c>
      <c r="H469" s="104" t="s">
        <v>719</v>
      </c>
    </row>
    <row r="470" customFormat="false" ht="15" hidden="false" customHeight="false" outlineLevel="0" collapsed="false">
      <c r="A470" s="103" t="n">
        <v>46296</v>
      </c>
      <c r="B470" s="104" t="s">
        <v>33</v>
      </c>
      <c r="C470" s="104" t="s">
        <v>494</v>
      </c>
      <c r="D470" s="105" t="n">
        <v>4.75</v>
      </c>
      <c r="E470" s="106" t="n">
        <v>74.0351</v>
      </c>
      <c r="F470" s="107" t="n">
        <f aca="false">IF($C470="","",$D470*$E470)</f>
        <v>351.666725</v>
      </c>
      <c r="G470" s="107" t="n">
        <f aca="false">IF($C470="","",$D470*IFERROR(INDEX('تحليل التكلفة والسعر'!$C$2:$C$700,MATCH($C470,'تحليل التكلفة والسعر'!$B$2:$B$700,0)),0))</f>
        <v>341.603375</v>
      </c>
      <c r="H470" s="104" t="s">
        <v>719</v>
      </c>
    </row>
    <row r="471" customFormat="false" ht="15" hidden="false" customHeight="false" outlineLevel="0" collapsed="false">
      <c r="A471" s="103" t="n">
        <v>46297</v>
      </c>
      <c r="B471" s="104" t="s">
        <v>33</v>
      </c>
      <c r="C471" s="104" t="s">
        <v>494</v>
      </c>
      <c r="D471" s="105" t="n">
        <v>4.75</v>
      </c>
      <c r="E471" s="106" t="n">
        <v>74.0351</v>
      </c>
      <c r="F471" s="107" t="n">
        <f aca="false">IF($C471="","",$D471*$E471)</f>
        <v>351.666725</v>
      </c>
      <c r="G471" s="107" t="n">
        <f aca="false">IF($C471="","",$D471*IFERROR(INDEX('تحليل التكلفة والسعر'!$C$2:$C$700,MATCH($C471,'تحليل التكلفة والسعر'!$B$2:$B$700,0)),0))</f>
        <v>341.603375</v>
      </c>
      <c r="H471" s="104" t="s">
        <v>719</v>
      </c>
    </row>
    <row r="472" customFormat="false" ht="15" hidden="false" customHeight="false" outlineLevel="0" collapsed="false">
      <c r="A472" s="103" t="n">
        <v>46298</v>
      </c>
      <c r="B472" s="104" t="s">
        <v>33</v>
      </c>
      <c r="C472" s="104" t="s">
        <v>494</v>
      </c>
      <c r="D472" s="105" t="n">
        <v>4.75</v>
      </c>
      <c r="E472" s="106" t="n">
        <v>74.0351</v>
      </c>
      <c r="F472" s="107" t="n">
        <f aca="false">IF($C472="","",$D472*$E472)</f>
        <v>351.666725</v>
      </c>
      <c r="G472" s="107" t="n">
        <f aca="false">IF($C472="","",$D472*IFERROR(INDEX('تحليل التكلفة والسعر'!$C$2:$C$700,MATCH($C472,'تحليل التكلفة والسعر'!$B$2:$B$700,0)),0))</f>
        <v>341.603375</v>
      </c>
      <c r="H472" s="104" t="s">
        <v>719</v>
      </c>
    </row>
    <row r="473" customFormat="false" ht="15" hidden="false" customHeight="false" outlineLevel="0" collapsed="false">
      <c r="A473" s="103" t="n">
        <v>46299</v>
      </c>
      <c r="B473" s="104" t="s">
        <v>33</v>
      </c>
      <c r="C473" s="104" t="s">
        <v>494</v>
      </c>
      <c r="D473" s="105" t="n">
        <v>4.75</v>
      </c>
      <c r="E473" s="106" t="n">
        <v>74.0351</v>
      </c>
      <c r="F473" s="107" t="n">
        <f aca="false">IF($C473="","",$D473*$E473)</f>
        <v>351.666725</v>
      </c>
      <c r="G473" s="107" t="n">
        <f aca="false">IF($C473="","",$D473*IFERROR(INDEX('تحليل التكلفة والسعر'!$C$2:$C$700,MATCH($C473,'تحليل التكلفة والسعر'!$B$2:$B$700,0)),0))</f>
        <v>341.603375</v>
      </c>
      <c r="H473" s="104" t="s">
        <v>719</v>
      </c>
    </row>
    <row r="474" customFormat="false" ht="15" hidden="false" customHeight="false" outlineLevel="0" collapsed="false">
      <c r="A474" s="103" t="n">
        <v>46300</v>
      </c>
      <c r="B474" s="104" t="s">
        <v>33</v>
      </c>
      <c r="C474" s="104" t="s">
        <v>494</v>
      </c>
      <c r="D474" s="105" t="n">
        <v>4.75</v>
      </c>
      <c r="E474" s="106" t="n">
        <v>74.0351</v>
      </c>
      <c r="F474" s="107" t="n">
        <f aca="false">IF($C474="","",$D474*$E474)</f>
        <v>351.666725</v>
      </c>
      <c r="G474" s="107" t="n">
        <f aca="false">IF($C474="","",$D474*IFERROR(INDEX('تحليل التكلفة والسعر'!$C$2:$C$700,MATCH($C474,'تحليل التكلفة والسعر'!$B$2:$B$700,0)),0))</f>
        <v>341.603375</v>
      </c>
      <c r="H474" s="104" t="s">
        <v>719</v>
      </c>
    </row>
    <row r="475" customFormat="false" ht="15" hidden="false" customHeight="false" outlineLevel="0" collapsed="false">
      <c r="A475" s="103" t="n">
        <v>46301</v>
      </c>
      <c r="B475" s="104" t="s">
        <v>33</v>
      </c>
      <c r="C475" s="104" t="s">
        <v>494</v>
      </c>
      <c r="D475" s="105" t="n">
        <v>4.75</v>
      </c>
      <c r="E475" s="106" t="n">
        <v>74.0351</v>
      </c>
      <c r="F475" s="107" t="n">
        <f aca="false">IF($C475="","",$D475*$E475)</f>
        <v>351.666725</v>
      </c>
      <c r="G475" s="107" t="n">
        <f aca="false">IF($C475="","",$D475*IFERROR(INDEX('تحليل التكلفة والسعر'!$C$2:$C$700,MATCH($C475,'تحليل التكلفة والسعر'!$B$2:$B$700,0)),0))</f>
        <v>341.603375</v>
      </c>
      <c r="H475" s="104" t="s">
        <v>719</v>
      </c>
    </row>
    <row r="476" customFormat="false" ht="15" hidden="false" customHeight="false" outlineLevel="0" collapsed="false">
      <c r="A476" s="103" t="n">
        <v>46302</v>
      </c>
      <c r="B476" s="104" t="s">
        <v>33</v>
      </c>
      <c r="C476" s="104" t="s">
        <v>494</v>
      </c>
      <c r="D476" s="105" t="n">
        <v>4.75</v>
      </c>
      <c r="E476" s="106" t="n">
        <v>74.0351</v>
      </c>
      <c r="F476" s="107" t="n">
        <f aca="false">IF($C476="","",$D476*$E476)</f>
        <v>351.666725</v>
      </c>
      <c r="G476" s="107" t="n">
        <f aca="false">IF($C476="","",$D476*IFERROR(INDEX('تحليل التكلفة والسعر'!$C$2:$C$700,MATCH($C476,'تحليل التكلفة والسعر'!$B$2:$B$700,0)),0))</f>
        <v>341.603375</v>
      </c>
      <c r="H476" s="104" t="s">
        <v>719</v>
      </c>
    </row>
    <row r="477" customFormat="false" ht="15" hidden="false" customHeight="false" outlineLevel="0" collapsed="false">
      <c r="A477" s="103" t="n">
        <v>46303</v>
      </c>
      <c r="B477" s="104" t="s">
        <v>33</v>
      </c>
      <c r="C477" s="104" t="s">
        <v>494</v>
      </c>
      <c r="D477" s="105" t="n">
        <v>4.75</v>
      </c>
      <c r="E477" s="106" t="n">
        <v>74.0351</v>
      </c>
      <c r="F477" s="107" t="n">
        <f aca="false">IF($C477="","",$D477*$E477)</f>
        <v>351.666725</v>
      </c>
      <c r="G477" s="107" t="n">
        <f aca="false">IF($C477="","",$D477*IFERROR(INDEX('تحليل التكلفة والسعر'!$C$2:$C$700,MATCH($C477,'تحليل التكلفة والسعر'!$B$2:$B$700,0)),0))</f>
        <v>341.603375</v>
      </c>
      <c r="H477" s="104" t="s">
        <v>719</v>
      </c>
    </row>
    <row r="478" customFormat="false" ht="15" hidden="false" customHeight="false" outlineLevel="0" collapsed="false">
      <c r="A478" s="103" t="n">
        <v>46304</v>
      </c>
      <c r="B478" s="104" t="s">
        <v>33</v>
      </c>
      <c r="C478" s="104" t="s">
        <v>494</v>
      </c>
      <c r="D478" s="105" t="n">
        <v>4.75</v>
      </c>
      <c r="E478" s="106" t="n">
        <v>74.0351</v>
      </c>
      <c r="F478" s="107" t="n">
        <f aca="false">IF($C478="","",$D478*$E478)</f>
        <v>351.666725</v>
      </c>
      <c r="G478" s="107" t="n">
        <f aca="false">IF($C478="","",$D478*IFERROR(INDEX('تحليل التكلفة والسعر'!$C$2:$C$700,MATCH($C478,'تحليل التكلفة والسعر'!$B$2:$B$700,0)),0))</f>
        <v>341.603375</v>
      </c>
      <c r="H478" s="104" t="s">
        <v>719</v>
      </c>
    </row>
    <row r="479" customFormat="false" ht="15" hidden="false" customHeight="false" outlineLevel="0" collapsed="false">
      <c r="A479" s="103" t="n">
        <v>46305</v>
      </c>
      <c r="B479" s="104" t="s">
        <v>33</v>
      </c>
      <c r="C479" s="104" t="s">
        <v>494</v>
      </c>
      <c r="D479" s="105" t="n">
        <v>4.75</v>
      </c>
      <c r="E479" s="106" t="n">
        <v>74.0351</v>
      </c>
      <c r="F479" s="107" t="n">
        <f aca="false">IF($C479="","",$D479*$E479)</f>
        <v>351.666725</v>
      </c>
      <c r="G479" s="107" t="n">
        <f aca="false">IF($C479="","",$D479*IFERROR(INDEX('تحليل التكلفة والسعر'!$C$2:$C$700,MATCH($C479,'تحليل التكلفة والسعر'!$B$2:$B$700,0)),0))</f>
        <v>341.603375</v>
      </c>
      <c r="H479" s="104" t="s">
        <v>719</v>
      </c>
    </row>
    <row r="480" customFormat="false" ht="15" hidden="false" customHeight="false" outlineLevel="0" collapsed="false">
      <c r="A480" s="103" t="n">
        <v>46306</v>
      </c>
      <c r="B480" s="104" t="s">
        <v>33</v>
      </c>
      <c r="C480" s="104" t="s">
        <v>494</v>
      </c>
      <c r="D480" s="105" t="n">
        <v>4.75</v>
      </c>
      <c r="E480" s="106" t="n">
        <v>74.0351</v>
      </c>
      <c r="F480" s="107" t="n">
        <f aca="false">IF($C480="","",$D480*$E480)</f>
        <v>351.666725</v>
      </c>
      <c r="G480" s="107" t="n">
        <f aca="false">IF($C480="","",$D480*IFERROR(INDEX('تحليل التكلفة والسعر'!$C$2:$C$700,MATCH($C480,'تحليل التكلفة والسعر'!$B$2:$B$700,0)),0))</f>
        <v>341.603375</v>
      </c>
      <c r="H480" s="104" t="s">
        <v>719</v>
      </c>
    </row>
    <row r="481" customFormat="false" ht="15" hidden="false" customHeight="false" outlineLevel="0" collapsed="false">
      <c r="A481" s="103" t="n">
        <v>46307</v>
      </c>
      <c r="B481" s="104" t="s">
        <v>33</v>
      </c>
      <c r="C481" s="104" t="s">
        <v>494</v>
      </c>
      <c r="D481" s="105" t="n">
        <v>4.75</v>
      </c>
      <c r="E481" s="106" t="n">
        <v>74.0351</v>
      </c>
      <c r="F481" s="107" t="n">
        <f aca="false">IF($C481="","",$D481*$E481)</f>
        <v>351.666725</v>
      </c>
      <c r="G481" s="107" t="n">
        <f aca="false">IF($C481="","",$D481*IFERROR(INDEX('تحليل التكلفة والسعر'!$C$2:$C$700,MATCH($C481,'تحليل التكلفة والسعر'!$B$2:$B$700,0)),0))</f>
        <v>341.603375</v>
      </c>
      <c r="H481" s="104" t="s">
        <v>719</v>
      </c>
    </row>
    <row r="482" customFormat="false" ht="15" hidden="false" customHeight="false" outlineLevel="0" collapsed="false">
      <c r="A482" s="103" t="n">
        <v>46296</v>
      </c>
      <c r="B482" s="104" t="s">
        <v>33</v>
      </c>
      <c r="C482" s="104" t="s">
        <v>424</v>
      </c>
      <c r="D482" s="105" t="n">
        <v>0.4167</v>
      </c>
      <c r="E482" s="106" t="n">
        <v>250</v>
      </c>
      <c r="F482" s="107" t="n">
        <f aca="false">IF($C482="","",$D482*$E482)</f>
        <v>104.175</v>
      </c>
      <c r="G482" s="107" t="n">
        <f aca="false">IF($C482="","",$D482*IFERROR(INDEX('تحليل التكلفة والسعر'!$C$2:$C$700,MATCH($C482,'تحليل التكلفة والسعر'!$B$2:$B$700,0)),0))</f>
        <v>45.65894409</v>
      </c>
      <c r="H482" s="104" t="s">
        <v>719</v>
      </c>
    </row>
    <row r="483" customFormat="false" ht="15" hidden="false" customHeight="false" outlineLevel="0" collapsed="false">
      <c r="A483" s="103" t="n">
        <v>46297</v>
      </c>
      <c r="B483" s="104" t="s">
        <v>33</v>
      </c>
      <c r="C483" s="104" t="s">
        <v>424</v>
      </c>
      <c r="D483" s="105" t="n">
        <v>0.4167</v>
      </c>
      <c r="E483" s="106" t="n">
        <v>250</v>
      </c>
      <c r="F483" s="107" t="n">
        <f aca="false">IF($C483="","",$D483*$E483)</f>
        <v>104.175</v>
      </c>
      <c r="G483" s="107" t="n">
        <f aca="false">IF($C483="","",$D483*IFERROR(INDEX('تحليل التكلفة والسعر'!$C$2:$C$700,MATCH($C483,'تحليل التكلفة والسعر'!$B$2:$B$700,0)),0))</f>
        <v>45.65894409</v>
      </c>
      <c r="H483" s="104" t="s">
        <v>719</v>
      </c>
    </row>
    <row r="484" customFormat="false" ht="15" hidden="false" customHeight="false" outlineLevel="0" collapsed="false">
      <c r="A484" s="103" t="n">
        <v>46298</v>
      </c>
      <c r="B484" s="104" t="s">
        <v>33</v>
      </c>
      <c r="C484" s="104" t="s">
        <v>424</v>
      </c>
      <c r="D484" s="105" t="n">
        <v>0.4167</v>
      </c>
      <c r="E484" s="106" t="n">
        <v>250</v>
      </c>
      <c r="F484" s="107" t="n">
        <f aca="false">IF($C484="","",$D484*$E484)</f>
        <v>104.175</v>
      </c>
      <c r="G484" s="107" t="n">
        <f aca="false">IF($C484="","",$D484*IFERROR(INDEX('تحليل التكلفة والسعر'!$C$2:$C$700,MATCH($C484,'تحليل التكلفة والسعر'!$B$2:$B$700,0)),0))</f>
        <v>45.65894409</v>
      </c>
      <c r="H484" s="104" t="s">
        <v>719</v>
      </c>
    </row>
    <row r="485" customFormat="false" ht="15" hidden="false" customHeight="false" outlineLevel="0" collapsed="false">
      <c r="A485" s="103" t="n">
        <v>46299</v>
      </c>
      <c r="B485" s="104" t="s">
        <v>33</v>
      </c>
      <c r="C485" s="104" t="s">
        <v>424</v>
      </c>
      <c r="D485" s="105" t="n">
        <v>0.4167</v>
      </c>
      <c r="E485" s="106" t="n">
        <v>250</v>
      </c>
      <c r="F485" s="107" t="n">
        <f aca="false">IF($C485="","",$D485*$E485)</f>
        <v>104.175</v>
      </c>
      <c r="G485" s="107" t="n">
        <f aca="false">IF($C485="","",$D485*IFERROR(INDEX('تحليل التكلفة والسعر'!$C$2:$C$700,MATCH($C485,'تحليل التكلفة والسعر'!$B$2:$B$700,0)),0))</f>
        <v>45.65894409</v>
      </c>
      <c r="H485" s="104" t="s">
        <v>719</v>
      </c>
    </row>
    <row r="486" customFormat="false" ht="15" hidden="false" customHeight="false" outlineLevel="0" collapsed="false">
      <c r="A486" s="103" t="n">
        <v>46300</v>
      </c>
      <c r="B486" s="104" t="s">
        <v>33</v>
      </c>
      <c r="C486" s="104" t="s">
        <v>424</v>
      </c>
      <c r="D486" s="105" t="n">
        <v>0.4167</v>
      </c>
      <c r="E486" s="106" t="n">
        <v>250</v>
      </c>
      <c r="F486" s="107" t="n">
        <f aca="false">IF($C486="","",$D486*$E486)</f>
        <v>104.175</v>
      </c>
      <c r="G486" s="107" t="n">
        <f aca="false">IF($C486="","",$D486*IFERROR(INDEX('تحليل التكلفة والسعر'!$C$2:$C$700,MATCH($C486,'تحليل التكلفة والسعر'!$B$2:$B$700,0)),0))</f>
        <v>45.65894409</v>
      </c>
      <c r="H486" s="104" t="s">
        <v>719</v>
      </c>
    </row>
    <row r="487" customFormat="false" ht="15" hidden="false" customHeight="false" outlineLevel="0" collapsed="false">
      <c r="A487" s="103" t="n">
        <v>46301</v>
      </c>
      <c r="B487" s="104" t="s">
        <v>33</v>
      </c>
      <c r="C487" s="104" t="s">
        <v>424</v>
      </c>
      <c r="D487" s="105" t="n">
        <v>0.4167</v>
      </c>
      <c r="E487" s="106" t="n">
        <v>250</v>
      </c>
      <c r="F487" s="107" t="n">
        <f aca="false">IF($C487="","",$D487*$E487)</f>
        <v>104.175</v>
      </c>
      <c r="G487" s="107" t="n">
        <f aca="false">IF($C487="","",$D487*IFERROR(INDEX('تحليل التكلفة والسعر'!$C$2:$C$700,MATCH($C487,'تحليل التكلفة والسعر'!$B$2:$B$700,0)),0))</f>
        <v>45.65894409</v>
      </c>
      <c r="H487" s="104" t="s">
        <v>719</v>
      </c>
    </row>
    <row r="488" customFormat="false" ht="15" hidden="false" customHeight="false" outlineLevel="0" collapsed="false">
      <c r="A488" s="103" t="n">
        <v>46302</v>
      </c>
      <c r="B488" s="104" t="s">
        <v>33</v>
      </c>
      <c r="C488" s="104" t="s">
        <v>424</v>
      </c>
      <c r="D488" s="105" t="n">
        <v>0.4167</v>
      </c>
      <c r="E488" s="106" t="n">
        <v>250</v>
      </c>
      <c r="F488" s="107" t="n">
        <f aca="false">IF($C488="","",$D488*$E488)</f>
        <v>104.175</v>
      </c>
      <c r="G488" s="107" t="n">
        <f aca="false">IF($C488="","",$D488*IFERROR(INDEX('تحليل التكلفة والسعر'!$C$2:$C$700,MATCH($C488,'تحليل التكلفة والسعر'!$B$2:$B$700,0)),0))</f>
        <v>45.65894409</v>
      </c>
      <c r="H488" s="104" t="s">
        <v>719</v>
      </c>
    </row>
    <row r="489" customFormat="false" ht="15" hidden="false" customHeight="false" outlineLevel="0" collapsed="false">
      <c r="A489" s="103" t="n">
        <v>46303</v>
      </c>
      <c r="B489" s="104" t="s">
        <v>33</v>
      </c>
      <c r="C489" s="104" t="s">
        <v>424</v>
      </c>
      <c r="D489" s="105" t="n">
        <v>0.4167</v>
      </c>
      <c r="E489" s="106" t="n">
        <v>250</v>
      </c>
      <c r="F489" s="107" t="n">
        <f aca="false">IF($C489="","",$D489*$E489)</f>
        <v>104.175</v>
      </c>
      <c r="G489" s="107" t="n">
        <f aca="false">IF($C489="","",$D489*IFERROR(INDEX('تحليل التكلفة والسعر'!$C$2:$C$700,MATCH($C489,'تحليل التكلفة والسعر'!$B$2:$B$700,0)),0))</f>
        <v>45.65894409</v>
      </c>
      <c r="H489" s="104" t="s">
        <v>719</v>
      </c>
    </row>
    <row r="490" customFormat="false" ht="15" hidden="false" customHeight="false" outlineLevel="0" collapsed="false">
      <c r="A490" s="103" t="n">
        <v>46304</v>
      </c>
      <c r="B490" s="104" t="s">
        <v>33</v>
      </c>
      <c r="C490" s="104" t="s">
        <v>424</v>
      </c>
      <c r="D490" s="105" t="n">
        <v>0.4167</v>
      </c>
      <c r="E490" s="106" t="n">
        <v>250</v>
      </c>
      <c r="F490" s="107" t="n">
        <f aca="false">IF($C490="","",$D490*$E490)</f>
        <v>104.175</v>
      </c>
      <c r="G490" s="107" t="n">
        <f aca="false">IF($C490="","",$D490*IFERROR(INDEX('تحليل التكلفة والسعر'!$C$2:$C$700,MATCH($C490,'تحليل التكلفة والسعر'!$B$2:$B$700,0)),0))</f>
        <v>45.65894409</v>
      </c>
      <c r="H490" s="104" t="s">
        <v>719</v>
      </c>
    </row>
    <row r="491" customFormat="false" ht="15" hidden="false" customHeight="false" outlineLevel="0" collapsed="false">
      <c r="A491" s="103" t="n">
        <v>46305</v>
      </c>
      <c r="B491" s="104" t="s">
        <v>33</v>
      </c>
      <c r="C491" s="104" t="s">
        <v>424</v>
      </c>
      <c r="D491" s="105" t="n">
        <v>0.4167</v>
      </c>
      <c r="E491" s="106" t="n">
        <v>250</v>
      </c>
      <c r="F491" s="107" t="n">
        <f aca="false">IF($C491="","",$D491*$E491)</f>
        <v>104.175</v>
      </c>
      <c r="G491" s="107" t="n">
        <f aca="false">IF($C491="","",$D491*IFERROR(INDEX('تحليل التكلفة والسعر'!$C$2:$C$700,MATCH($C491,'تحليل التكلفة والسعر'!$B$2:$B$700,0)),0))</f>
        <v>45.65894409</v>
      </c>
      <c r="H491" s="104" t="s">
        <v>719</v>
      </c>
    </row>
    <row r="492" customFormat="false" ht="15" hidden="false" customHeight="false" outlineLevel="0" collapsed="false">
      <c r="A492" s="103" t="n">
        <v>46306</v>
      </c>
      <c r="B492" s="104" t="s">
        <v>33</v>
      </c>
      <c r="C492" s="104" t="s">
        <v>424</v>
      </c>
      <c r="D492" s="105" t="n">
        <v>0.4167</v>
      </c>
      <c r="E492" s="106" t="n">
        <v>250</v>
      </c>
      <c r="F492" s="107" t="n">
        <f aca="false">IF($C492="","",$D492*$E492)</f>
        <v>104.175</v>
      </c>
      <c r="G492" s="107" t="n">
        <f aca="false">IF($C492="","",$D492*IFERROR(INDEX('تحليل التكلفة والسعر'!$C$2:$C$700,MATCH($C492,'تحليل التكلفة والسعر'!$B$2:$B$700,0)),0))</f>
        <v>45.65894409</v>
      </c>
      <c r="H492" s="104" t="s">
        <v>719</v>
      </c>
    </row>
    <row r="493" customFormat="false" ht="15" hidden="false" customHeight="false" outlineLevel="0" collapsed="false">
      <c r="A493" s="103" t="n">
        <v>46307</v>
      </c>
      <c r="B493" s="104" t="s">
        <v>33</v>
      </c>
      <c r="C493" s="104" t="s">
        <v>424</v>
      </c>
      <c r="D493" s="105" t="n">
        <v>0.4167</v>
      </c>
      <c r="E493" s="106" t="n">
        <v>250</v>
      </c>
      <c r="F493" s="107" t="n">
        <f aca="false">IF($C493="","",$D493*$E493)</f>
        <v>104.175</v>
      </c>
      <c r="G493" s="107" t="n">
        <f aca="false">IF($C493="","",$D493*IFERROR(INDEX('تحليل التكلفة والسعر'!$C$2:$C$700,MATCH($C493,'تحليل التكلفة والسعر'!$B$2:$B$700,0)),0))</f>
        <v>45.65894409</v>
      </c>
      <c r="H493" s="104" t="s">
        <v>719</v>
      </c>
    </row>
    <row r="494" customFormat="false" ht="15" hidden="false" customHeight="false" outlineLevel="0" collapsed="false">
      <c r="A494" s="103" t="n">
        <v>46296</v>
      </c>
      <c r="B494" s="104" t="s">
        <v>33</v>
      </c>
      <c r="C494" s="104" t="s">
        <v>488</v>
      </c>
      <c r="D494" s="105" t="n">
        <v>1.4167</v>
      </c>
      <c r="E494" s="106" t="n">
        <v>150</v>
      </c>
      <c r="F494" s="107" t="n">
        <f aca="false">IF($C494="","",$D494*$E494)</f>
        <v>212.505</v>
      </c>
      <c r="G494" s="107" t="n">
        <f aca="false">IF($C494="","",$D494*IFERROR(INDEX('تحليل التكلفة والسعر'!$C$2:$C$700,MATCH($C494,'تحليل التكلفة والسعر'!$B$2:$B$700,0)),0))</f>
        <v>111.77550495</v>
      </c>
      <c r="H494" s="104" t="s">
        <v>719</v>
      </c>
    </row>
    <row r="495" customFormat="false" ht="15" hidden="false" customHeight="false" outlineLevel="0" collapsed="false">
      <c r="A495" s="103" t="n">
        <v>46297</v>
      </c>
      <c r="B495" s="104" t="s">
        <v>33</v>
      </c>
      <c r="C495" s="104" t="s">
        <v>488</v>
      </c>
      <c r="D495" s="105" t="n">
        <v>1.4167</v>
      </c>
      <c r="E495" s="106" t="n">
        <v>150</v>
      </c>
      <c r="F495" s="107" t="n">
        <f aca="false">IF($C495="","",$D495*$E495)</f>
        <v>212.505</v>
      </c>
      <c r="G495" s="107" t="n">
        <f aca="false">IF($C495="","",$D495*IFERROR(INDEX('تحليل التكلفة والسعر'!$C$2:$C$700,MATCH($C495,'تحليل التكلفة والسعر'!$B$2:$B$700,0)),0))</f>
        <v>111.77550495</v>
      </c>
      <c r="H495" s="104" t="s">
        <v>719</v>
      </c>
    </row>
    <row r="496" customFormat="false" ht="15" hidden="false" customHeight="false" outlineLevel="0" collapsed="false">
      <c r="A496" s="103" t="n">
        <v>46298</v>
      </c>
      <c r="B496" s="104" t="s">
        <v>33</v>
      </c>
      <c r="C496" s="104" t="s">
        <v>488</v>
      </c>
      <c r="D496" s="105" t="n">
        <v>1.4167</v>
      </c>
      <c r="E496" s="106" t="n">
        <v>150</v>
      </c>
      <c r="F496" s="107" t="n">
        <f aca="false">IF($C496="","",$D496*$E496)</f>
        <v>212.505</v>
      </c>
      <c r="G496" s="107" t="n">
        <f aca="false">IF($C496="","",$D496*IFERROR(INDEX('تحليل التكلفة والسعر'!$C$2:$C$700,MATCH($C496,'تحليل التكلفة والسعر'!$B$2:$B$700,0)),0))</f>
        <v>111.77550495</v>
      </c>
      <c r="H496" s="104" t="s">
        <v>719</v>
      </c>
    </row>
    <row r="497" customFormat="false" ht="15" hidden="false" customHeight="false" outlineLevel="0" collapsed="false">
      <c r="A497" s="103" t="n">
        <v>46299</v>
      </c>
      <c r="B497" s="104" t="s">
        <v>33</v>
      </c>
      <c r="C497" s="104" t="s">
        <v>488</v>
      </c>
      <c r="D497" s="105" t="n">
        <v>1.4167</v>
      </c>
      <c r="E497" s="106" t="n">
        <v>150</v>
      </c>
      <c r="F497" s="107" t="n">
        <f aca="false">IF($C497="","",$D497*$E497)</f>
        <v>212.505</v>
      </c>
      <c r="G497" s="107" t="n">
        <f aca="false">IF($C497="","",$D497*IFERROR(INDEX('تحليل التكلفة والسعر'!$C$2:$C$700,MATCH($C497,'تحليل التكلفة والسعر'!$B$2:$B$700,0)),0))</f>
        <v>111.77550495</v>
      </c>
      <c r="H497" s="104" t="s">
        <v>719</v>
      </c>
    </row>
    <row r="498" customFormat="false" ht="15" hidden="false" customHeight="false" outlineLevel="0" collapsed="false">
      <c r="A498" s="103" t="n">
        <v>46300</v>
      </c>
      <c r="B498" s="104" t="s">
        <v>33</v>
      </c>
      <c r="C498" s="104" t="s">
        <v>488</v>
      </c>
      <c r="D498" s="105" t="n">
        <v>1.4167</v>
      </c>
      <c r="E498" s="106" t="n">
        <v>150</v>
      </c>
      <c r="F498" s="107" t="n">
        <f aca="false">IF($C498="","",$D498*$E498)</f>
        <v>212.505</v>
      </c>
      <c r="G498" s="107" t="n">
        <f aca="false">IF($C498="","",$D498*IFERROR(INDEX('تحليل التكلفة والسعر'!$C$2:$C$700,MATCH($C498,'تحليل التكلفة والسعر'!$B$2:$B$700,0)),0))</f>
        <v>111.77550495</v>
      </c>
      <c r="H498" s="104" t="s">
        <v>719</v>
      </c>
    </row>
    <row r="499" customFormat="false" ht="15" hidden="false" customHeight="false" outlineLevel="0" collapsed="false">
      <c r="A499" s="103" t="n">
        <v>46301</v>
      </c>
      <c r="B499" s="104" t="s">
        <v>33</v>
      </c>
      <c r="C499" s="104" t="s">
        <v>488</v>
      </c>
      <c r="D499" s="105" t="n">
        <v>1.4167</v>
      </c>
      <c r="E499" s="106" t="n">
        <v>150</v>
      </c>
      <c r="F499" s="107" t="n">
        <f aca="false">IF($C499="","",$D499*$E499)</f>
        <v>212.505</v>
      </c>
      <c r="G499" s="107" t="n">
        <f aca="false">IF($C499="","",$D499*IFERROR(INDEX('تحليل التكلفة والسعر'!$C$2:$C$700,MATCH($C499,'تحليل التكلفة والسعر'!$B$2:$B$700,0)),0))</f>
        <v>111.77550495</v>
      </c>
      <c r="H499" s="104" t="s">
        <v>719</v>
      </c>
    </row>
    <row r="500" customFormat="false" ht="15" hidden="false" customHeight="false" outlineLevel="0" collapsed="false">
      <c r="A500" s="103" t="n">
        <v>46302</v>
      </c>
      <c r="B500" s="104" t="s">
        <v>33</v>
      </c>
      <c r="C500" s="104" t="s">
        <v>488</v>
      </c>
      <c r="D500" s="105" t="n">
        <v>1.4167</v>
      </c>
      <c r="E500" s="106" t="n">
        <v>150</v>
      </c>
      <c r="F500" s="107" t="n">
        <f aca="false">IF($C500="","",$D500*$E500)</f>
        <v>212.505</v>
      </c>
      <c r="G500" s="107" t="n">
        <f aca="false">IF($C500="","",$D500*IFERROR(INDEX('تحليل التكلفة والسعر'!$C$2:$C$700,MATCH($C500,'تحليل التكلفة والسعر'!$B$2:$B$700,0)),0))</f>
        <v>111.77550495</v>
      </c>
      <c r="H500" s="104" t="s">
        <v>719</v>
      </c>
    </row>
    <row r="501" customFormat="false" ht="15" hidden="false" customHeight="false" outlineLevel="0" collapsed="false">
      <c r="A501" s="103" t="n">
        <v>46303</v>
      </c>
      <c r="B501" s="104" t="s">
        <v>33</v>
      </c>
      <c r="C501" s="104" t="s">
        <v>488</v>
      </c>
      <c r="D501" s="105" t="n">
        <v>1.4167</v>
      </c>
      <c r="E501" s="106" t="n">
        <v>150</v>
      </c>
      <c r="F501" s="107" t="n">
        <f aca="false">IF($C501="","",$D501*$E501)</f>
        <v>212.505</v>
      </c>
      <c r="G501" s="107" t="n">
        <f aca="false">IF($C501="","",$D501*IFERROR(INDEX('تحليل التكلفة والسعر'!$C$2:$C$700,MATCH($C501,'تحليل التكلفة والسعر'!$B$2:$B$700,0)),0))</f>
        <v>111.77550495</v>
      </c>
      <c r="H501" s="104" t="s">
        <v>719</v>
      </c>
    </row>
    <row r="502" customFormat="false" ht="15" hidden="false" customHeight="false" outlineLevel="0" collapsed="false">
      <c r="A502" s="103" t="n">
        <v>46304</v>
      </c>
      <c r="B502" s="104" t="s">
        <v>33</v>
      </c>
      <c r="C502" s="104" t="s">
        <v>488</v>
      </c>
      <c r="D502" s="105" t="n">
        <v>1.4167</v>
      </c>
      <c r="E502" s="106" t="n">
        <v>150</v>
      </c>
      <c r="F502" s="107" t="n">
        <f aca="false">IF($C502="","",$D502*$E502)</f>
        <v>212.505</v>
      </c>
      <c r="G502" s="107" t="n">
        <f aca="false">IF($C502="","",$D502*IFERROR(INDEX('تحليل التكلفة والسعر'!$C$2:$C$700,MATCH($C502,'تحليل التكلفة والسعر'!$B$2:$B$700,0)),0))</f>
        <v>111.77550495</v>
      </c>
      <c r="H502" s="104" t="s">
        <v>719</v>
      </c>
    </row>
    <row r="503" customFormat="false" ht="15" hidden="false" customHeight="false" outlineLevel="0" collapsed="false">
      <c r="A503" s="103" t="n">
        <v>46305</v>
      </c>
      <c r="B503" s="104" t="s">
        <v>33</v>
      </c>
      <c r="C503" s="104" t="s">
        <v>488</v>
      </c>
      <c r="D503" s="105" t="n">
        <v>1.4167</v>
      </c>
      <c r="E503" s="106" t="n">
        <v>150</v>
      </c>
      <c r="F503" s="107" t="n">
        <f aca="false">IF($C503="","",$D503*$E503)</f>
        <v>212.505</v>
      </c>
      <c r="G503" s="107" t="n">
        <f aca="false">IF($C503="","",$D503*IFERROR(INDEX('تحليل التكلفة والسعر'!$C$2:$C$700,MATCH($C503,'تحليل التكلفة والسعر'!$B$2:$B$700,0)),0))</f>
        <v>111.77550495</v>
      </c>
      <c r="H503" s="104" t="s">
        <v>719</v>
      </c>
    </row>
    <row r="504" customFormat="false" ht="15" hidden="false" customHeight="false" outlineLevel="0" collapsed="false">
      <c r="A504" s="103" t="n">
        <v>46306</v>
      </c>
      <c r="B504" s="104" t="s">
        <v>33</v>
      </c>
      <c r="C504" s="104" t="s">
        <v>488</v>
      </c>
      <c r="D504" s="105" t="n">
        <v>1.4167</v>
      </c>
      <c r="E504" s="106" t="n">
        <v>150</v>
      </c>
      <c r="F504" s="107" t="n">
        <f aca="false">IF($C504="","",$D504*$E504)</f>
        <v>212.505</v>
      </c>
      <c r="G504" s="107" t="n">
        <f aca="false">IF($C504="","",$D504*IFERROR(INDEX('تحليل التكلفة والسعر'!$C$2:$C$700,MATCH($C504,'تحليل التكلفة والسعر'!$B$2:$B$700,0)),0))</f>
        <v>111.77550495</v>
      </c>
      <c r="H504" s="104" t="s">
        <v>719</v>
      </c>
    </row>
    <row r="505" customFormat="false" ht="15" hidden="false" customHeight="false" outlineLevel="0" collapsed="false">
      <c r="A505" s="103" t="n">
        <v>46307</v>
      </c>
      <c r="B505" s="104" t="s">
        <v>33</v>
      </c>
      <c r="C505" s="104" t="s">
        <v>488</v>
      </c>
      <c r="D505" s="105" t="n">
        <v>1.4167</v>
      </c>
      <c r="E505" s="106" t="n">
        <v>150</v>
      </c>
      <c r="F505" s="107" t="n">
        <f aca="false">IF($C505="","",$D505*$E505)</f>
        <v>212.505</v>
      </c>
      <c r="G505" s="107" t="n">
        <f aca="false">IF($C505="","",$D505*IFERROR(INDEX('تحليل التكلفة والسعر'!$C$2:$C$700,MATCH($C505,'تحليل التكلفة والسعر'!$B$2:$B$700,0)),0))</f>
        <v>111.77550495</v>
      </c>
      <c r="H505" s="104" t="s">
        <v>719</v>
      </c>
    </row>
    <row r="506" customFormat="false" ht="15" hidden="false" customHeight="false" outlineLevel="0" collapsed="false">
      <c r="A506" s="103" t="n">
        <v>46296</v>
      </c>
      <c r="B506" s="104" t="s">
        <v>33</v>
      </c>
      <c r="C506" s="104" t="s">
        <v>425</v>
      </c>
      <c r="D506" s="105" t="n">
        <v>1.8333</v>
      </c>
      <c r="E506" s="106" t="n">
        <v>239.0909</v>
      </c>
      <c r="F506" s="107" t="n">
        <f aca="false">IF($C506="","",$D506*$E506)</f>
        <v>438.32534697</v>
      </c>
      <c r="G506" s="107" t="n">
        <f aca="false">IF($C506="","",$D506*IFERROR(INDEX('تحليل التكلفة والسعر'!$C$2:$C$700,MATCH($C506,'تحليل التكلفة والسعر'!$B$2:$B$700,0)),0))</f>
        <v>210.50445591</v>
      </c>
      <c r="H506" s="104" t="s">
        <v>719</v>
      </c>
    </row>
    <row r="507" customFormat="false" ht="15" hidden="false" customHeight="false" outlineLevel="0" collapsed="false">
      <c r="A507" s="103" t="n">
        <v>46297</v>
      </c>
      <c r="B507" s="104" t="s">
        <v>33</v>
      </c>
      <c r="C507" s="104" t="s">
        <v>425</v>
      </c>
      <c r="D507" s="105" t="n">
        <v>1.8333</v>
      </c>
      <c r="E507" s="106" t="n">
        <v>239.0909</v>
      </c>
      <c r="F507" s="107" t="n">
        <f aca="false">IF($C507="","",$D507*$E507)</f>
        <v>438.32534697</v>
      </c>
      <c r="G507" s="107" t="n">
        <f aca="false">IF($C507="","",$D507*IFERROR(INDEX('تحليل التكلفة والسعر'!$C$2:$C$700,MATCH($C507,'تحليل التكلفة والسعر'!$B$2:$B$700,0)),0))</f>
        <v>210.50445591</v>
      </c>
      <c r="H507" s="104" t="s">
        <v>719</v>
      </c>
    </row>
    <row r="508" customFormat="false" ht="15" hidden="false" customHeight="false" outlineLevel="0" collapsed="false">
      <c r="A508" s="103" t="n">
        <v>46298</v>
      </c>
      <c r="B508" s="104" t="s">
        <v>33</v>
      </c>
      <c r="C508" s="104" t="s">
        <v>425</v>
      </c>
      <c r="D508" s="105" t="n">
        <v>1.8333</v>
      </c>
      <c r="E508" s="106" t="n">
        <v>239.0909</v>
      </c>
      <c r="F508" s="107" t="n">
        <f aca="false">IF($C508="","",$D508*$E508)</f>
        <v>438.32534697</v>
      </c>
      <c r="G508" s="107" t="n">
        <f aca="false">IF($C508="","",$D508*IFERROR(INDEX('تحليل التكلفة والسعر'!$C$2:$C$700,MATCH($C508,'تحليل التكلفة والسعر'!$B$2:$B$700,0)),0))</f>
        <v>210.50445591</v>
      </c>
      <c r="H508" s="104" t="s">
        <v>719</v>
      </c>
    </row>
    <row r="509" customFormat="false" ht="15" hidden="false" customHeight="false" outlineLevel="0" collapsed="false">
      <c r="A509" s="103" t="n">
        <v>46299</v>
      </c>
      <c r="B509" s="104" t="s">
        <v>33</v>
      </c>
      <c r="C509" s="104" t="s">
        <v>425</v>
      </c>
      <c r="D509" s="105" t="n">
        <v>1.8333</v>
      </c>
      <c r="E509" s="106" t="n">
        <v>239.0909</v>
      </c>
      <c r="F509" s="107" t="n">
        <f aca="false">IF($C509="","",$D509*$E509)</f>
        <v>438.32534697</v>
      </c>
      <c r="G509" s="107" t="n">
        <f aca="false">IF($C509="","",$D509*IFERROR(INDEX('تحليل التكلفة والسعر'!$C$2:$C$700,MATCH($C509,'تحليل التكلفة والسعر'!$B$2:$B$700,0)),0))</f>
        <v>210.50445591</v>
      </c>
      <c r="H509" s="104" t="s">
        <v>719</v>
      </c>
    </row>
    <row r="510" customFormat="false" ht="15" hidden="false" customHeight="false" outlineLevel="0" collapsed="false">
      <c r="A510" s="103" t="n">
        <v>46300</v>
      </c>
      <c r="B510" s="104" t="s">
        <v>33</v>
      </c>
      <c r="C510" s="104" t="s">
        <v>425</v>
      </c>
      <c r="D510" s="105" t="n">
        <v>1.8333</v>
      </c>
      <c r="E510" s="106" t="n">
        <v>239.0909</v>
      </c>
      <c r="F510" s="107" t="n">
        <f aca="false">IF($C510="","",$D510*$E510)</f>
        <v>438.32534697</v>
      </c>
      <c r="G510" s="107" t="n">
        <f aca="false">IF($C510="","",$D510*IFERROR(INDEX('تحليل التكلفة والسعر'!$C$2:$C$700,MATCH($C510,'تحليل التكلفة والسعر'!$B$2:$B$700,0)),0))</f>
        <v>210.50445591</v>
      </c>
      <c r="H510" s="104" t="s">
        <v>719</v>
      </c>
    </row>
    <row r="511" customFormat="false" ht="15" hidden="false" customHeight="false" outlineLevel="0" collapsed="false">
      <c r="A511" s="103" t="n">
        <v>46301</v>
      </c>
      <c r="B511" s="104" t="s">
        <v>33</v>
      </c>
      <c r="C511" s="104" t="s">
        <v>425</v>
      </c>
      <c r="D511" s="105" t="n">
        <v>1.8333</v>
      </c>
      <c r="E511" s="106" t="n">
        <v>239.0909</v>
      </c>
      <c r="F511" s="107" t="n">
        <f aca="false">IF($C511="","",$D511*$E511)</f>
        <v>438.32534697</v>
      </c>
      <c r="G511" s="107" t="n">
        <f aca="false">IF($C511="","",$D511*IFERROR(INDEX('تحليل التكلفة والسعر'!$C$2:$C$700,MATCH($C511,'تحليل التكلفة والسعر'!$B$2:$B$700,0)),0))</f>
        <v>210.50445591</v>
      </c>
      <c r="H511" s="104" t="s">
        <v>719</v>
      </c>
    </row>
    <row r="512" customFormat="false" ht="15" hidden="false" customHeight="false" outlineLevel="0" collapsed="false">
      <c r="A512" s="103" t="n">
        <v>46302</v>
      </c>
      <c r="B512" s="104" t="s">
        <v>33</v>
      </c>
      <c r="C512" s="104" t="s">
        <v>425</v>
      </c>
      <c r="D512" s="105" t="n">
        <v>1.8333</v>
      </c>
      <c r="E512" s="106" t="n">
        <v>239.0909</v>
      </c>
      <c r="F512" s="107" t="n">
        <f aca="false">IF($C512="","",$D512*$E512)</f>
        <v>438.32534697</v>
      </c>
      <c r="G512" s="107" t="n">
        <f aca="false">IF($C512="","",$D512*IFERROR(INDEX('تحليل التكلفة والسعر'!$C$2:$C$700,MATCH($C512,'تحليل التكلفة والسعر'!$B$2:$B$700,0)),0))</f>
        <v>210.50445591</v>
      </c>
      <c r="H512" s="104" t="s">
        <v>719</v>
      </c>
    </row>
    <row r="513" customFormat="false" ht="15" hidden="false" customHeight="false" outlineLevel="0" collapsed="false">
      <c r="A513" s="103" t="n">
        <v>46303</v>
      </c>
      <c r="B513" s="104" t="s">
        <v>33</v>
      </c>
      <c r="C513" s="104" t="s">
        <v>425</v>
      </c>
      <c r="D513" s="105" t="n">
        <v>1.8333</v>
      </c>
      <c r="E513" s="106" t="n">
        <v>239.0909</v>
      </c>
      <c r="F513" s="107" t="n">
        <f aca="false">IF($C513="","",$D513*$E513)</f>
        <v>438.32534697</v>
      </c>
      <c r="G513" s="107" t="n">
        <f aca="false">IF($C513="","",$D513*IFERROR(INDEX('تحليل التكلفة والسعر'!$C$2:$C$700,MATCH($C513,'تحليل التكلفة والسعر'!$B$2:$B$700,0)),0))</f>
        <v>210.50445591</v>
      </c>
      <c r="H513" s="104" t="s">
        <v>719</v>
      </c>
    </row>
    <row r="514" customFormat="false" ht="15" hidden="false" customHeight="false" outlineLevel="0" collapsed="false">
      <c r="A514" s="103" t="n">
        <v>46304</v>
      </c>
      <c r="B514" s="104" t="s">
        <v>33</v>
      </c>
      <c r="C514" s="104" t="s">
        <v>425</v>
      </c>
      <c r="D514" s="105" t="n">
        <v>1.8333</v>
      </c>
      <c r="E514" s="106" t="n">
        <v>239.0909</v>
      </c>
      <c r="F514" s="107" t="n">
        <f aca="false">IF($C514="","",$D514*$E514)</f>
        <v>438.32534697</v>
      </c>
      <c r="G514" s="107" t="n">
        <f aca="false">IF($C514="","",$D514*IFERROR(INDEX('تحليل التكلفة والسعر'!$C$2:$C$700,MATCH($C514,'تحليل التكلفة والسعر'!$B$2:$B$700,0)),0))</f>
        <v>210.50445591</v>
      </c>
      <c r="H514" s="104" t="s">
        <v>719</v>
      </c>
    </row>
    <row r="515" customFormat="false" ht="15" hidden="false" customHeight="false" outlineLevel="0" collapsed="false">
      <c r="A515" s="103" t="n">
        <v>46305</v>
      </c>
      <c r="B515" s="104" t="s">
        <v>33</v>
      </c>
      <c r="C515" s="104" t="s">
        <v>425</v>
      </c>
      <c r="D515" s="105" t="n">
        <v>1.8333</v>
      </c>
      <c r="E515" s="106" t="n">
        <v>239.0909</v>
      </c>
      <c r="F515" s="107" t="n">
        <f aca="false">IF($C515="","",$D515*$E515)</f>
        <v>438.32534697</v>
      </c>
      <c r="G515" s="107" t="n">
        <f aca="false">IF($C515="","",$D515*IFERROR(INDEX('تحليل التكلفة والسعر'!$C$2:$C$700,MATCH($C515,'تحليل التكلفة والسعر'!$B$2:$B$700,0)),0))</f>
        <v>210.50445591</v>
      </c>
      <c r="H515" s="104" t="s">
        <v>719</v>
      </c>
    </row>
    <row r="516" customFormat="false" ht="15" hidden="false" customHeight="false" outlineLevel="0" collapsed="false">
      <c r="A516" s="103" t="n">
        <v>46306</v>
      </c>
      <c r="B516" s="104" t="s">
        <v>33</v>
      </c>
      <c r="C516" s="104" t="s">
        <v>425</v>
      </c>
      <c r="D516" s="105" t="n">
        <v>1.8333</v>
      </c>
      <c r="E516" s="106" t="n">
        <v>239.0909</v>
      </c>
      <c r="F516" s="107" t="n">
        <f aca="false">IF($C516="","",$D516*$E516)</f>
        <v>438.32534697</v>
      </c>
      <c r="G516" s="107" t="n">
        <f aca="false">IF($C516="","",$D516*IFERROR(INDEX('تحليل التكلفة والسعر'!$C$2:$C$700,MATCH($C516,'تحليل التكلفة والسعر'!$B$2:$B$700,0)),0))</f>
        <v>210.50445591</v>
      </c>
      <c r="H516" s="104" t="s">
        <v>719</v>
      </c>
    </row>
    <row r="517" customFormat="false" ht="15" hidden="false" customHeight="false" outlineLevel="0" collapsed="false">
      <c r="A517" s="103" t="n">
        <v>46307</v>
      </c>
      <c r="B517" s="104" t="s">
        <v>33</v>
      </c>
      <c r="C517" s="104" t="s">
        <v>425</v>
      </c>
      <c r="D517" s="105" t="n">
        <v>1.8333</v>
      </c>
      <c r="E517" s="106" t="n">
        <v>239.0909</v>
      </c>
      <c r="F517" s="107" t="n">
        <f aca="false">IF($C517="","",$D517*$E517)</f>
        <v>438.32534697</v>
      </c>
      <c r="G517" s="107" t="n">
        <f aca="false">IF($C517="","",$D517*IFERROR(INDEX('تحليل التكلفة والسعر'!$C$2:$C$700,MATCH($C517,'تحليل التكلفة والسعر'!$B$2:$B$700,0)),0))</f>
        <v>210.50445591</v>
      </c>
      <c r="H517" s="104" t="s">
        <v>719</v>
      </c>
    </row>
    <row r="518" customFormat="false" ht="15" hidden="false" customHeight="false" outlineLevel="0" collapsed="false">
      <c r="A518" s="103" t="n">
        <v>46296</v>
      </c>
      <c r="B518" s="104" t="s">
        <v>33</v>
      </c>
      <c r="C518" s="104" t="s">
        <v>484</v>
      </c>
      <c r="D518" s="105" t="n">
        <v>6</v>
      </c>
      <c r="E518" s="106" t="n">
        <v>148.4722</v>
      </c>
      <c r="F518" s="107" t="n">
        <f aca="false">IF($C518="","",$D518*$E518)</f>
        <v>890.8332</v>
      </c>
      <c r="G518" s="107" t="n">
        <f aca="false">IF($C518="","",$D518*IFERROR(INDEX('تحليل التكلفة والسعر'!$C$2:$C$700,MATCH($C518,'تحليل التكلفة والسعر'!$B$2:$B$700,0)),0))</f>
        <v>494.391</v>
      </c>
      <c r="H518" s="104" t="s">
        <v>719</v>
      </c>
    </row>
    <row r="519" customFormat="false" ht="15" hidden="false" customHeight="false" outlineLevel="0" collapsed="false">
      <c r="A519" s="103" t="n">
        <v>46297</v>
      </c>
      <c r="B519" s="104" t="s">
        <v>33</v>
      </c>
      <c r="C519" s="104" t="s">
        <v>484</v>
      </c>
      <c r="D519" s="105" t="n">
        <v>6</v>
      </c>
      <c r="E519" s="106" t="n">
        <v>148.4722</v>
      </c>
      <c r="F519" s="107" t="n">
        <f aca="false">IF($C519="","",$D519*$E519)</f>
        <v>890.8332</v>
      </c>
      <c r="G519" s="107" t="n">
        <f aca="false">IF($C519="","",$D519*IFERROR(INDEX('تحليل التكلفة والسعر'!$C$2:$C$700,MATCH($C519,'تحليل التكلفة والسعر'!$B$2:$B$700,0)),0))</f>
        <v>494.391</v>
      </c>
      <c r="H519" s="104" t="s">
        <v>719</v>
      </c>
    </row>
    <row r="520" customFormat="false" ht="15" hidden="false" customHeight="false" outlineLevel="0" collapsed="false">
      <c r="A520" s="103" t="n">
        <v>46298</v>
      </c>
      <c r="B520" s="104" t="s">
        <v>33</v>
      </c>
      <c r="C520" s="104" t="s">
        <v>484</v>
      </c>
      <c r="D520" s="105" t="n">
        <v>6</v>
      </c>
      <c r="E520" s="106" t="n">
        <v>148.4722</v>
      </c>
      <c r="F520" s="107" t="n">
        <f aca="false">IF($C520="","",$D520*$E520)</f>
        <v>890.8332</v>
      </c>
      <c r="G520" s="107" t="n">
        <f aca="false">IF($C520="","",$D520*IFERROR(INDEX('تحليل التكلفة والسعر'!$C$2:$C$700,MATCH($C520,'تحليل التكلفة والسعر'!$B$2:$B$700,0)),0))</f>
        <v>494.391</v>
      </c>
      <c r="H520" s="104" t="s">
        <v>719</v>
      </c>
    </row>
    <row r="521" customFormat="false" ht="15" hidden="false" customHeight="false" outlineLevel="0" collapsed="false">
      <c r="A521" s="103" t="n">
        <v>46299</v>
      </c>
      <c r="B521" s="104" t="s">
        <v>33</v>
      </c>
      <c r="C521" s="104" t="s">
        <v>484</v>
      </c>
      <c r="D521" s="105" t="n">
        <v>6</v>
      </c>
      <c r="E521" s="106" t="n">
        <v>148.4722</v>
      </c>
      <c r="F521" s="107" t="n">
        <f aca="false">IF($C521="","",$D521*$E521)</f>
        <v>890.8332</v>
      </c>
      <c r="G521" s="107" t="n">
        <f aca="false">IF($C521="","",$D521*IFERROR(INDEX('تحليل التكلفة والسعر'!$C$2:$C$700,MATCH($C521,'تحليل التكلفة والسعر'!$B$2:$B$700,0)),0))</f>
        <v>494.391</v>
      </c>
      <c r="H521" s="104" t="s">
        <v>719</v>
      </c>
    </row>
    <row r="522" customFormat="false" ht="15" hidden="false" customHeight="false" outlineLevel="0" collapsed="false">
      <c r="A522" s="103" t="n">
        <v>46300</v>
      </c>
      <c r="B522" s="104" t="s">
        <v>33</v>
      </c>
      <c r="C522" s="104" t="s">
        <v>484</v>
      </c>
      <c r="D522" s="105" t="n">
        <v>6</v>
      </c>
      <c r="E522" s="106" t="n">
        <v>148.4722</v>
      </c>
      <c r="F522" s="107" t="n">
        <f aca="false">IF($C522="","",$D522*$E522)</f>
        <v>890.8332</v>
      </c>
      <c r="G522" s="107" t="n">
        <f aca="false">IF($C522="","",$D522*IFERROR(INDEX('تحليل التكلفة والسعر'!$C$2:$C$700,MATCH($C522,'تحليل التكلفة والسعر'!$B$2:$B$700,0)),0))</f>
        <v>494.391</v>
      </c>
      <c r="H522" s="104" t="s">
        <v>719</v>
      </c>
    </row>
    <row r="523" customFormat="false" ht="15" hidden="false" customHeight="false" outlineLevel="0" collapsed="false">
      <c r="A523" s="103" t="n">
        <v>46301</v>
      </c>
      <c r="B523" s="104" t="s">
        <v>33</v>
      </c>
      <c r="C523" s="104" t="s">
        <v>484</v>
      </c>
      <c r="D523" s="105" t="n">
        <v>6</v>
      </c>
      <c r="E523" s="106" t="n">
        <v>148.4722</v>
      </c>
      <c r="F523" s="107" t="n">
        <f aca="false">IF($C523="","",$D523*$E523)</f>
        <v>890.8332</v>
      </c>
      <c r="G523" s="107" t="n">
        <f aca="false">IF($C523="","",$D523*IFERROR(INDEX('تحليل التكلفة والسعر'!$C$2:$C$700,MATCH($C523,'تحليل التكلفة والسعر'!$B$2:$B$700,0)),0))</f>
        <v>494.391</v>
      </c>
      <c r="H523" s="104" t="s">
        <v>719</v>
      </c>
    </row>
    <row r="524" customFormat="false" ht="15" hidden="false" customHeight="false" outlineLevel="0" collapsed="false">
      <c r="A524" s="103" t="n">
        <v>46302</v>
      </c>
      <c r="B524" s="104" t="s">
        <v>33</v>
      </c>
      <c r="C524" s="104" t="s">
        <v>484</v>
      </c>
      <c r="D524" s="105" t="n">
        <v>6</v>
      </c>
      <c r="E524" s="106" t="n">
        <v>148.4722</v>
      </c>
      <c r="F524" s="107" t="n">
        <f aca="false">IF($C524="","",$D524*$E524)</f>
        <v>890.8332</v>
      </c>
      <c r="G524" s="107" t="n">
        <f aca="false">IF($C524="","",$D524*IFERROR(INDEX('تحليل التكلفة والسعر'!$C$2:$C$700,MATCH($C524,'تحليل التكلفة والسعر'!$B$2:$B$700,0)),0))</f>
        <v>494.391</v>
      </c>
      <c r="H524" s="104" t="s">
        <v>719</v>
      </c>
    </row>
    <row r="525" customFormat="false" ht="15" hidden="false" customHeight="false" outlineLevel="0" collapsed="false">
      <c r="A525" s="103" t="n">
        <v>46303</v>
      </c>
      <c r="B525" s="104" t="s">
        <v>33</v>
      </c>
      <c r="C525" s="104" t="s">
        <v>484</v>
      </c>
      <c r="D525" s="105" t="n">
        <v>6</v>
      </c>
      <c r="E525" s="106" t="n">
        <v>148.4722</v>
      </c>
      <c r="F525" s="107" t="n">
        <f aca="false">IF($C525="","",$D525*$E525)</f>
        <v>890.8332</v>
      </c>
      <c r="G525" s="107" t="n">
        <f aca="false">IF($C525="","",$D525*IFERROR(INDEX('تحليل التكلفة والسعر'!$C$2:$C$700,MATCH($C525,'تحليل التكلفة والسعر'!$B$2:$B$700,0)),0))</f>
        <v>494.391</v>
      </c>
      <c r="H525" s="104" t="s">
        <v>719</v>
      </c>
    </row>
    <row r="526" customFormat="false" ht="15" hidden="false" customHeight="false" outlineLevel="0" collapsed="false">
      <c r="A526" s="103" t="n">
        <v>46304</v>
      </c>
      <c r="B526" s="104" t="s">
        <v>33</v>
      </c>
      <c r="C526" s="104" t="s">
        <v>484</v>
      </c>
      <c r="D526" s="105" t="n">
        <v>6</v>
      </c>
      <c r="E526" s="106" t="n">
        <v>148.4722</v>
      </c>
      <c r="F526" s="107" t="n">
        <f aca="false">IF($C526="","",$D526*$E526)</f>
        <v>890.8332</v>
      </c>
      <c r="G526" s="107" t="n">
        <f aca="false">IF($C526="","",$D526*IFERROR(INDEX('تحليل التكلفة والسعر'!$C$2:$C$700,MATCH($C526,'تحليل التكلفة والسعر'!$B$2:$B$700,0)),0))</f>
        <v>494.391</v>
      </c>
      <c r="H526" s="104" t="s">
        <v>719</v>
      </c>
    </row>
    <row r="527" customFormat="false" ht="15" hidden="false" customHeight="false" outlineLevel="0" collapsed="false">
      <c r="A527" s="103" t="n">
        <v>46305</v>
      </c>
      <c r="B527" s="104" t="s">
        <v>33</v>
      </c>
      <c r="C527" s="104" t="s">
        <v>484</v>
      </c>
      <c r="D527" s="105" t="n">
        <v>6</v>
      </c>
      <c r="E527" s="106" t="n">
        <v>148.4722</v>
      </c>
      <c r="F527" s="107" t="n">
        <f aca="false">IF($C527="","",$D527*$E527)</f>
        <v>890.8332</v>
      </c>
      <c r="G527" s="107" t="n">
        <f aca="false">IF($C527="","",$D527*IFERROR(INDEX('تحليل التكلفة والسعر'!$C$2:$C$700,MATCH($C527,'تحليل التكلفة والسعر'!$B$2:$B$700,0)),0))</f>
        <v>494.391</v>
      </c>
      <c r="H527" s="104" t="s">
        <v>719</v>
      </c>
    </row>
    <row r="528" customFormat="false" ht="15" hidden="false" customHeight="false" outlineLevel="0" collapsed="false">
      <c r="A528" s="103" t="n">
        <v>46306</v>
      </c>
      <c r="B528" s="104" t="s">
        <v>33</v>
      </c>
      <c r="C528" s="104" t="s">
        <v>484</v>
      </c>
      <c r="D528" s="105" t="n">
        <v>6</v>
      </c>
      <c r="E528" s="106" t="n">
        <v>148.4722</v>
      </c>
      <c r="F528" s="107" t="n">
        <f aca="false">IF($C528="","",$D528*$E528)</f>
        <v>890.8332</v>
      </c>
      <c r="G528" s="107" t="n">
        <f aca="false">IF($C528="","",$D528*IFERROR(INDEX('تحليل التكلفة والسعر'!$C$2:$C$700,MATCH($C528,'تحليل التكلفة والسعر'!$B$2:$B$700,0)),0))</f>
        <v>494.391</v>
      </c>
      <c r="H528" s="104" t="s">
        <v>719</v>
      </c>
    </row>
    <row r="529" customFormat="false" ht="15" hidden="false" customHeight="false" outlineLevel="0" collapsed="false">
      <c r="A529" s="103" t="n">
        <v>46307</v>
      </c>
      <c r="B529" s="104" t="s">
        <v>33</v>
      </c>
      <c r="C529" s="104" t="s">
        <v>484</v>
      </c>
      <c r="D529" s="105" t="n">
        <v>6</v>
      </c>
      <c r="E529" s="106" t="n">
        <v>148.4722</v>
      </c>
      <c r="F529" s="107" t="n">
        <f aca="false">IF($C529="","",$D529*$E529)</f>
        <v>890.8332</v>
      </c>
      <c r="G529" s="107" t="n">
        <f aca="false">IF($C529="","",$D529*IFERROR(INDEX('تحليل التكلفة والسعر'!$C$2:$C$700,MATCH($C529,'تحليل التكلفة والسعر'!$B$2:$B$700,0)),0))</f>
        <v>494.391</v>
      </c>
      <c r="H529" s="104" t="s">
        <v>719</v>
      </c>
    </row>
    <row r="530" customFormat="false" ht="15" hidden="false" customHeight="false" outlineLevel="0" collapsed="false">
      <c r="A530" s="103" t="n">
        <v>46296</v>
      </c>
      <c r="B530" s="104" t="s">
        <v>33</v>
      </c>
      <c r="C530" s="104" t="s">
        <v>388</v>
      </c>
      <c r="D530" s="105" t="n">
        <v>0.0833</v>
      </c>
      <c r="E530" s="106" t="n">
        <v>250</v>
      </c>
      <c r="F530" s="107" t="n">
        <f aca="false">IF($C530="","",$D530*$E530)</f>
        <v>20.825</v>
      </c>
      <c r="G530" s="107" t="n">
        <f aca="false">IF($C530="","",$D530*IFERROR(INDEX('تحليل التكلفة والسعر'!$C$2:$C$700,MATCH($C530,'تحليل التكلفة والسعر'!$B$2:$B$700,0)),0))</f>
        <v>8.38153771</v>
      </c>
      <c r="H530" s="104" t="s">
        <v>719</v>
      </c>
    </row>
    <row r="531" customFormat="false" ht="15" hidden="false" customHeight="false" outlineLevel="0" collapsed="false">
      <c r="A531" s="103" t="n">
        <v>46297</v>
      </c>
      <c r="B531" s="104" t="s">
        <v>33</v>
      </c>
      <c r="C531" s="104" t="s">
        <v>388</v>
      </c>
      <c r="D531" s="105" t="n">
        <v>0.0833</v>
      </c>
      <c r="E531" s="106" t="n">
        <v>250</v>
      </c>
      <c r="F531" s="107" t="n">
        <f aca="false">IF($C531="","",$D531*$E531)</f>
        <v>20.825</v>
      </c>
      <c r="G531" s="107" t="n">
        <f aca="false">IF($C531="","",$D531*IFERROR(INDEX('تحليل التكلفة والسعر'!$C$2:$C$700,MATCH($C531,'تحليل التكلفة والسعر'!$B$2:$B$700,0)),0))</f>
        <v>8.38153771</v>
      </c>
      <c r="H531" s="104" t="s">
        <v>719</v>
      </c>
    </row>
    <row r="532" customFormat="false" ht="15" hidden="false" customHeight="false" outlineLevel="0" collapsed="false">
      <c r="A532" s="103" t="n">
        <v>46298</v>
      </c>
      <c r="B532" s="104" t="s">
        <v>33</v>
      </c>
      <c r="C532" s="104" t="s">
        <v>388</v>
      </c>
      <c r="D532" s="105" t="n">
        <v>0.0833</v>
      </c>
      <c r="E532" s="106" t="n">
        <v>250</v>
      </c>
      <c r="F532" s="107" t="n">
        <f aca="false">IF($C532="","",$D532*$E532)</f>
        <v>20.825</v>
      </c>
      <c r="G532" s="107" t="n">
        <f aca="false">IF($C532="","",$D532*IFERROR(INDEX('تحليل التكلفة والسعر'!$C$2:$C$700,MATCH($C532,'تحليل التكلفة والسعر'!$B$2:$B$700,0)),0))</f>
        <v>8.38153771</v>
      </c>
      <c r="H532" s="104" t="s">
        <v>719</v>
      </c>
    </row>
    <row r="533" customFormat="false" ht="15" hidden="false" customHeight="false" outlineLevel="0" collapsed="false">
      <c r="A533" s="103" t="n">
        <v>46299</v>
      </c>
      <c r="B533" s="104" t="s">
        <v>33</v>
      </c>
      <c r="C533" s="104" t="s">
        <v>388</v>
      </c>
      <c r="D533" s="105" t="n">
        <v>0.0833</v>
      </c>
      <c r="E533" s="106" t="n">
        <v>250</v>
      </c>
      <c r="F533" s="107" t="n">
        <f aca="false">IF($C533="","",$D533*$E533)</f>
        <v>20.825</v>
      </c>
      <c r="G533" s="107" t="n">
        <f aca="false">IF($C533="","",$D533*IFERROR(INDEX('تحليل التكلفة والسعر'!$C$2:$C$700,MATCH($C533,'تحليل التكلفة والسعر'!$B$2:$B$700,0)),0))</f>
        <v>8.38153771</v>
      </c>
      <c r="H533" s="104" t="s">
        <v>719</v>
      </c>
    </row>
    <row r="534" customFormat="false" ht="15" hidden="false" customHeight="false" outlineLevel="0" collapsed="false">
      <c r="A534" s="103" t="n">
        <v>46300</v>
      </c>
      <c r="B534" s="104" t="s">
        <v>33</v>
      </c>
      <c r="C534" s="104" t="s">
        <v>388</v>
      </c>
      <c r="D534" s="105" t="n">
        <v>0.0833</v>
      </c>
      <c r="E534" s="106" t="n">
        <v>250</v>
      </c>
      <c r="F534" s="107" t="n">
        <f aca="false">IF($C534="","",$D534*$E534)</f>
        <v>20.825</v>
      </c>
      <c r="G534" s="107" t="n">
        <f aca="false">IF($C534="","",$D534*IFERROR(INDEX('تحليل التكلفة والسعر'!$C$2:$C$700,MATCH($C534,'تحليل التكلفة والسعر'!$B$2:$B$700,0)),0))</f>
        <v>8.38153771</v>
      </c>
      <c r="H534" s="104" t="s">
        <v>719</v>
      </c>
    </row>
    <row r="535" customFormat="false" ht="15" hidden="false" customHeight="false" outlineLevel="0" collapsed="false">
      <c r="A535" s="103" t="n">
        <v>46301</v>
      </c>
      <c r="B535" s="104" t="s">
        <v>33</v>
      </c>
      <c r="C535" s="104" t="s">
        <v>388</v>
      </c>
      <c r="D535" s="105" t="n">
        <v>0.0833</v>
      </c>
      <c r="E535" s="106" t="n">
        <v>250</v>
      </c>
      <c r="F535" s="107" t="n">
        <f aca="false">IF($C535="","",$D535*$E535)</f>
        <v>20.825</v>
      </c>
      <c r="G535" s="107" t="n">
        <f aca="false">IF($C535="","",$D535*IFERROR(INDEX('تحليل التكلفة والسعر'!$C$2:$C$700,MATCH($C535,'تحليل التكلفة والسعر'!$B$2:$B$700,0)),0))</f>
        <v>8.38153771</v>
      </c>
      <c r="H535" s="104" t="s">
        <v>719</v>
      </c>
    </row>
    <row r="536" customFormat="false" ht="15" hidden="false" customHeight="false" outlineLevel="0" collapsed="false">
      <c r="A536" s="103" t="n">
        <v>46302</v>
      </c>
      <c r="B536" s="104" t="s">
        <v>33</v>
      </c>
      <c r="C536" s="104" t="s">
        <v>388</v>
      </c>
      <c r="D536" s="105" t="n">
        <v>0.0833</v>
      </c>
      <c r="E536" s="106" t="n">
        <v>250</v>
      </c>
      <c r="F536" s="107" t="n">
        <f aca="false">IF($C536="","",$D536*$E536)</f>
        <v>20.825</v>
      </c>
      <c r="G536" s="107" t="n">
        <f aca="false">IF($C536="","",$D536*IFERROR(INDEX('تحليل التكلفة والسعر'!$C$2:$C$700,MATCH($C536,'تحليل التكلفة والسعر'!$B$2:$B$700,0)),0))</f>
        <v>8.38153771</v>
      </c>
      <c r="H536" s="104" t="s">
        <v>719</v>
      </c>
    </row>
    <row r="537" customFormat="false" ht="15" hidden="false" customHeight="false" outlineLevel="0" collapsed="false">
      <c r="A537" s="103" t="n">
        <v>46303</v>
      </c>
      <c r="B537" s="104" t="s">
        <v>33</v>
      </c>
      <c r="C537" s="104" t="s">
        <v>388</v>
      </c>
      <c r="D537" s="105" t="n">
        <v>0.0833</v>
      </c>
      <c r="E537" s="106" t="n">
        <v>250</v>
      </c>
      <c r="F537" s="107" t="n">
        <f aca="false">IF($C537="","",$D537*$E537)</f>
        <v>20.825</v>
      </c>
      <c r="G537" s="107" t="n">
        <f aca="false">IF($C537="","",$D537*IFERROR(INDEX('تحليل التكلفة والسعر'!$C$2:$C$700,MATCH($C537,'تحليل التكلفة والسعر'!$B$2:$B$700,0)),0))</f>
        <v>8.38153771</v>
      </c>
      <c r="H537" s="104" t="s">
        <v>719</v>
      </c>
    </row>
    <row r="538" customFormat="false" ht="15" hidden="false" customHeight="false" outlineLevel="0" collapsed="false">
      <c r="A538" s="103" t="n">
        <v>46304</v>
      </c>
      <c r="B538" s="104" t="s">
        <v>33</v>
      </c>
      <c r="C538" s="104" t="s">
        <v>388</v>
      </c>
      <c r="D538" s="105" t="n">
        <v>0.0833</v>
      </c>
      <c r="E538" s="106" t="n">
        <v>250</v>
      </c>
      <c r="F538" s="107" t="n">
        <f aca="false">IF($C538="","",$D538*$E538)</f>
        <v>20.825</v>
      </c>
      <c r="G538" s="107" t="n">
        <f aca="false">IF($C538="","",$D538*IFERROR(INDEX('تحليل التكلفة والسعر'!$C$2:$C$700,MATCH($C538,'تحليل التكلفة والسعر'!$B$2:$B$700,0)),0))</f>
        <v>8.38153771</v>
      </c>
      <c r="H538" s="104" t="s">
        <v>719</v>
      </c>
    </row>
    <row r="539" customFormat="false" ht="15" hidden="false" customHeight="false" outlineLevel="0" collapsed="false">
      <c r="A539" s="103" t="n">
        <v>46305</v>
      </c>
      <c r="B539" s="104" t="s">
        <v>33</v>
      </c>
      <c r="C539" s="104" t="s">
        <v>388</v>
      </c>
      <c r="D539" s="105" t="n">
        <v>0.0833</v>
      </c>
      <c r="E539" s="106" t="n">
        <v>250</v>
      </c>
      <c r="F539" s="107" t="n">
        <f aca="false">IF($C539="","",$D539*$E539)</f>
        <v>20.825</v>
      </c>
      <c r="G539" s="107" t="n">
        <f aca="false">IF($C539="","",$D539*IFERROR(INDEX('تحليل التكلفة والسعر'!$C$2:$C$700,MATCH($C539,'تحليل التكلفة والسعر'!$B$2:$B$700,0)),0))</f>
        <v>8.38153771</v>
      </c>
      <c r="H539" s="104" t="s">
        <v>719</v>
      </c>
    </row>
    <row r="540" customFormat="false" ht="15" hidden="false" customHeight="false" outlineLevel="0" collapsed="false">
      <c r="A540" s="103" t="n">
        <v>46306</v>
      </c>
      <c r="B540" s="104" t="s">
        <v>33</v>
      </c>
      <c r="C540" s="104" t="s">
        <v>388</v>
      </c>
      <c r="D540" s="105" t="n">
        <v>0.0833</v>
      </c>
      <c r="E540" s="106" t="n">
        <v>250</v>
      </c>
      <c r="F540" s="107" t="n">
        <f aca="false">IF($C540="","",$D540*$E540)</f>
        <v>20.825</v>
      </c>
      <c r="G540" s="107" t="n">
        <f aca="false">IF($C540="","",$D540*IFERROR(INDEX('تحليل التكلفة والسعر'!$C$2:$C$700,MATCH($C540,'تحليل التكلفة والسعر'!$B$2:$B$700,0)),0))</f>
        <v>8.38153771</v>
      </c>
      <c r="H540" s="104" t="s">
        <v>719</v>
      </c>
    </row>
    <row r="541" customFormat="false" ht="15" hidden="false" customHeight="false" outlineLevel="0" collapsed="false">
      <c r="A541" s="103" t="n">
        <v>46307</v>
      </c>
      <c r="B541" s="104" t="s">
        <v>33</v>
      </c>
      <c r="C541" s="104" t="s">
        <v>388</v>
      </c>
      <c r="D541" s="105" t="n">
        <v>0.0833</v>
      </c>
      <c r="E541" s="106" t="n">
        <v>250</v>
      </c>
      <c r="F541" s="107" t="n">
        <f aca="false">IF($C541="","",$D541*$E541)</f>
        <v>20.825</v>
      </c>
      <c r="G541" s="107" t="n">
        <f aca="false">IF($C541="","",$D541*IFERROR(INDEX('تحليل التكلفة والسعر'!$C$2:$C$700,MATCH($C541,'تحليل التكلفة والسعر'!$B$2:$B$700,0)),0))</f>
        <v>8.38153771</v>
      </c>
      <c r="H541" s="104" t="s">
        <v>719</v>
      </c>
    </row>
    <row r="542" customFormat="false" ht="15" hidden="false" customHeight="false" outlineLevel="0" collapsed="false">
      <c r="A542" s="103" t="n">
        <v>46296</v>
      </c>
      <c r="B542" s="104" t="s">
        <v>33</v>
      </c>
      <c r="C542" s="104" t="s">
        <v>464</v>
      </c>
      <c r="D542" s="105" t="n">
        <v>0.75</v>
      </c>
      <c r="E542" s="106" t="n">
        <v>153.3333</v>
      </c>
      <c r="F542" s="107" t="n">
        <f aca="false">IF($C542="","",$D542*$E542)</f>
        <v>114.999975</v>
      </c>
      <c r="G542" s="107" t="n">
        <f aca="false">IF($C542="","",$D542*IFERROR(INDEX('تحليل التكلفة والسعر'!$C$2:$C$700,MATCH($C542,'تحليل التكلفة والسعر'!$B$2:$B$700,0)),0))</f>
        <v>62.99565</v>
      </c>
      <c r="H542" s="104" t="s">
        <v>719</v>
      </c>
    </row>
    <row r="543" customFormat="false" ht="15" hidden="false" customHeight="false" outlineLevel="0" collapsed="false">
      <c r="A543" s="103" t="n">
        <v>46297</v>
      </c>
      <c r="B543" s="104" t="s">
        <v>33</v>
      </c>
      <c r="C543" s="104" t="s">
        <v>464</v>
      </c>
      <c r="D543" s="105" t="n">
        <v>0.75</v>
      </c>
      <c r="E543" s="106" t="n">
        <v>153.3333</v>
      </c>
      <c r="F543" s="107" t="n">
        <f aca="false">IF($C543="","",$D543*$E543)</f>
        <v>114.999975</v>
      </c>
      <c r="G543" s="107" t="n">
        <f aca="false">IF($C543="","",$D543*IFERROR(INDEX('تحليل التكلفة والسعر'!$C$2:$C$700,MATCH($C543,'تحليل التكلفة والسعر'!$B$2:$B$700,0)),0))</f>
        <v>62.99565</v>
      </c>
      <c r="H543" s="104" t="s">
        <v>719</v>
      </c>
    </row>
    <row r="544" customFormat="false" ht="15" hidden="false" customHeight="false" outlineLevel="0" collapsed="false">
      <c r="A544" s="103" t="n">
        <v>46298</v>
      </c>
      <c r="B544" s="104" t="s">
        <v>33</v>
      </c>
      <c r="C544" s="104" t="s">
        <v>464</v>
      </c>
      <c r="D544" s="105" t="n">
        <v>0.75</v>
      </c>
      <c r="E544" s="106" t="n">
        <v>153.3333</v>
      </c>
      <c r="F544" s="107" t="n">
        <f aca="false">IF($C544="","",$D544*$E544)</f>
        <v>114.999975</v>
      </c>
      <c r="G544" s="107" t="n">
        <f aca="false">IF($C544="","",$D544*IFERROR(INDEX('تحليل التكلفة والسعر'!$C$2:$C$700,MATCH($C544,'تحليل التكلفة والسعر'!$B$2:$B$700,0)),0))</f>
        <v>62.99565</v>
      </c>
      <c r="H544" s="104" t="s">
        <v>719</v>
      </c>
    </row>
    <row r="545" customFormat="false" ht="15" hidden="false" customHeight="false" outlineLevel="0" collapsed="false">
      <c r="A545" s="103" t="n">
        <v>46299</v>
      </c>
      <c r="B545" s="104" t="s">
        <v>33</v>
      </c>
      <c r="C545" s="104" t="s">
        <v>464</v>
      </c>
      <c r="D545" s="105" t="n">
        <v>0.75</v>
      </c>
      <c r="E545" s="106" t="n">
        <v>153.3333</v>
      </c>
      <c r="F545" s="107" t="n">
        <f aca="false">IF($C545="","",$D545*$E545)</f>
        <v>114.999975</v>
      </c>
      <c r="G545" s="107" t="n">
        <f aca="false">IF($C545="","",$D545*IFERROR(INDEX('تحليل التكلفة والسعر'!$C$2:$C$700,MATCH($C545,'تحليل التكلفة والسعر'!$B$2:$B$700,0)),0))</f>
        <v>62.99565</v>
      </c>
      <c r="H545" s="104" t="s">
        <v>719</v>
      </c>
    </row>
    <row r="546" customFormat="false" ht="15" hidden="false" customHeight="false" outlineLevel="0" collapsed="false">
      <c r="A546" s="103" t="n">
        <v>46300</v>
      </c>
      <c r="B546" s="104" t="s">
        <v>33</v>
      </c>
      <c r="C546" s="104" t="s">
        <v>464</v>
      </c>
      <c r="D546" s="105" t="n">
        <v>0.75</v>
      </c>
      <c r="E546" s="106" t="n">
        <v>153.3333</v>
      </c>
      <c r="F546" s="107" t="n">
        <f aca="false">IF($C546="","",$D546*$E546)</f>
        <v>114.999975</v>
      </c>
      <c r="G546" s="107" t="n">
        <f aca="false">IF($C546="","",$D546*IFERROR(INDEX('تحليل التكلفة والسعر'!$C$2:$C$700,MATCH($C546,'تحليل التكلفة والسعر'!$B$2:$B$700,0)),0))</f>
        <v>62.99565</v>
      </c>
      <c r="H546" s="104" t="s">
        <v>719</v>
      </c>
    </row>
    <row r="547" customFormat="false" ht="15" hidden="false" customHeight="false" outlineLevel="0" collapsed="false">
      <c r="A547" s="103" t="n">
        <v>46301</v>
      </c>
      <c r="B547" s="104" t="s">
        <v>33</v>
      </c>
      <c r="C547" s="104" t="s">
        <v>464</v>
      </c>
      <c r="D547" s="105" t="n">
        <v>0.75</v>
      </c>
      <c r="E547" s="106" t="n">
        <v>153.3333</v>
      </c>
      <c r="F547" s="107" t="n">
        <f aca="false">IF($C547="","",$D547*$E547)</f>
        <v>114.999975</v>
      </c>
      <c r="G547" s="107" t="n">
        <f aca="false">IF($C547="","",$D547*IFERROR(INDEX('تحليل التكلفة والسعر'!$C$2:$C$700,MATCH($C547,'تحليل التكلفة والسعر'!$B$2:$B$700,0)),0))</f>
        <v>62.99565</v>
      </c>
      <c r="H547" s="104" t="s">
        <v>719</v>
      </c>
    </row>
    <row r="548" customFormat="false" ht="15" hidden="false" customHeight="false" outlineLevel="0" collapsed="false">
      <c r="A548" s="103" t="n">
        <v>46302</v>
      </c>
      <c r="B548" s="104" t="s">
        <v>33</v>
      </c>
      <c r="C548" s="104" t="s">
        <v>464</v>
      </c>
      <c r="D548" s="105" t="n">
        <v>0.75</v>
      </c>
      <c r="E548" s="106" t="n">
        <v>153.3333</v>
      </c>
      <c r="F548" s="107" t="n">
        <f aca="false">IF($C548="","",$D548*$E548)</f>
        <v>114.999975</v>
      </c>
      <c r="G548" s="107" t="n">
        <f aca="false">IF($C548="","",$D548*IFERROR(INDEX('تحليل التكلفة والسعر'!$C$2:$C$700,MATCH($C548,'تحليل التكلفة والسعر'!$B$2:$B$700,0)),0))</f>
        <v>62.99565</v>
      </c>
      <c r="H548" s="104" t="s">
        <v>719</v>
      </c>
    </row>
    <row r="549" customFormat="false" ht="15" hidden="false" customHeight="false" outlineLevel="0" collapsed="false">
      <c r="A549" s="103" t="n">
        <v>46303</v>
      </c>
      <c r="B549" s="104" t="s">
        <v>33</v>
      </c>
      <c r="C549" s="104" t="s">
        <v>464</v>
      </c>
      <c r="D549" s="105" t="n">
        <v>0.75</v>
      </c>
      <c r="E549" s="106" t="n">
        <v>153.3333</v>
      </c>
      <c r="F549" s="107" t="n">
        <f aca="false">IF($C549="","",$D549*$E549)</f>
        <v>114.999975</v>
      </c>
      <c r="G549" s="107" t="n">
        <f aca="false">IF($C549="","",$D549*IFERROR(INDEX('تحليل التكلفة والسعر'!$C$2:$C$700,MATCH($C549,'تحليل التكلفة والسعر'!$B$2:$B$700,0)),0))</f>
        <v>62.99565</v>
      </c>
      <c r="H549" s="104" t="s">
        <v>719</v>
      </c>
    </row>
    <row r="550" customFormat="false" ht="15" hidden="false" customHeight="false" outlineLevel="0" collapsed="false">
      <c r="A550" s="103" t="n">
        <v>46304</v>
      </c>
      <c r="B550" s="104" t="s">
        <v>33</v>
      </c>
      <c r="C550" s="104" t="s">
        <v>464</v>
      </c>
      <c r="D550" s="105" t="n">
        <v>0.75</v>
      </c>
      <c r="E550" s="106" t="n">
        <v>153.3333</v>
      </c>
      <c r="F550" s="107" t="n">
        <f aca="false">IF($C550="","",$D550*$E550)</f>
        <v>114.999975</v>
      </c>
      <c r="G550" s="107" t="n">
        <f aca="false">IF($C550="","",$D550*IFERROR(INDEX('تحليل التكلفة والسعر'!$C$2:$C$700,MATCH($C550,'تحليل التكلفة والسعر'!$B$2:$B$700,0)),0))</f>
        <v>62.99565</v>
      </c>
      <c r="H550" s="104" t="s">
        <v>719</v>
      </c>
    </row>
    <row r="551" customFormat="false" ht="15" hidden="false" customHeight="false" outlineLevel="0" collapsed="false">
      <c r="A551" s="103" t="n">
        <v>46305</v>
      </c>
      <c r="B551" s="104" t="s">
        <v>33</v>
      </c>
      <c r="C551" s="104" t="s">
        <v>464</v>
      </c>
      <c r="D551" s="105" t="n">
        <v>0.75</v>
      </c>
      <c r="E551" s="106" t="n">
        <v>153.3333</v>
      </c>
      <c r="F551" s="107" t="n">
        <f aca="false">IF($C551="","",$D551*$E551)</f>
        <v>114.999975</v>
      </c>
      <c r="G551" s="107" t="n">
        <f aca="false">IF($C551="","",$D551*IFERROR(INDEX('تحليل التكلفة والسعر'!$C$2:$C$700,MATCH($C551,'تحليل التكلفة والسعر'!$B$2:$B$700,0)),0))</f>
        <v>62.99565</v>
      </c>
      <c r="H551" s="104" t="s">
        <v>719</v>
      </c>
    </row>
    <row r="552" customFormat="false" ht="15" hidden="false" customHeight="false" outlineLevel="0" collapsed="false">
      <c r="A552" s="103" t="n">
        <v>46306</v>
      </c>
      <c r="B552" s="104" t="s">
        <v>33</v>
      </c>
      <c r="C552" s="104" t="s">
        <v>464</v>
      </c>
      <c r="D552" s="105" t="n">
        <v>0.75</v>
      </c>
      <c r="E552" s="106" t="n">
        <v>153.3333</v>
      </c>
      <c r="F552" s="107" t="n">
        <f aca="false">IF($C552="","",$D552*$E552)</f>
        <v>114.999975</v>
      </c>
      <c r="G552" s="107" t="n">
        <f aca="false">IF($C552="","",$D552*IFERROR(INDEX('تحليل التكلفة والسعر'!$C$2:$C$700,MATCH($C552,'تحليل التكلفة والسعر'!$B$2:$B$700,0)),0))</f>
        <v>62.99565</v>
      </c>
      <c r="H552" s="104" t="s">
        <v>719</v>
      </c>
    </row>
    <row r="553" customFormat="false" ht="15" hidden="false" customHeight="false" outlineLevel="0" collapsed="false">
      <c r="A553" s="103" t="n">
        <v>46307</v>
      </c>
      <c r="B553" s="104" t="s">
        <v>33</v>
      </c>
      <c r="C553" s="104" t="s">
        <v>464</v>
      </c>
      <c r="D553" s="105" t="n">
        <v>0.75</v>
      </c>
      <c r="E553" s="106" t="n">
        <v>153.3333</v>
      </c>
      <c r="F553" s="107" t="n">
        <f aca="false">IF($C553="","",$D553*$E553)</f>
        <v>114.999975</v>
      </c>
      <c r="G553" s="107" t="n">
        <f aca="false">IF($C553="","",$D553*IFERROR(INDEX('تحليل التكلفة والسعر'!$C$2:$C$700,MATCH($C553,'تحليل التكلفة والسعر'!$B$2:$B$700,0)),0))</f>
        <v>62.99565</v>
      </c>
      <c r="H553" s="104" t="s">
        <v>719</v>
      </c>
    </row>
    <row r="554" customFormat="false" ht="15" hidden="false" customHeight="false" outlineLevel="0" collapsed="false">
      <c r="A554" s="103" t="n">
        <v>46296</v>
      </c>
      <c r="B554" s="104" t="s">
        <v>33</v>
      </c>
      <c r="C554" s="104" t="s">
        <v>481</v>
      </c>
      <c r="D554" s="105" t="n">
        <v>0.1667</v>
      </c>
      <c r="E554" s="106" t="n">
        <v>205</v>
      </c>
      <c r="F554" s="107" t="n">
        <f aca="false">IF($C554="","",$D554*$E554)</f>
        <v>34.1735</v>
      </c>
      <c r="G554" s="107" t="n">
        <f aca="false">IF($C554="","",$D554*IFERROR(INDEX('تحليل التكلفة والسعر'!$C$2:$C$700,MATCH($C554,'تحليل التكلفة والسعر'!$B$2:$B$700,0)),0))</f>
        <v>14.58528314</v>
      </c>
      <c r="H554" s="104" t="s">
        <v>719</v>
      </c>
    </row>
    <row r="555" customFormat="false" ht="15" hidden="false" customHeight="false" outlineLevel="0" collapsed="false">
      <c r="A555" s="103" t="n">
        <v>46297</v>
      </c>
      <c r="B555" s="104" t="s">
        <v>33</v>
      </c>
      <c r="C555" s="104" t="s">
        <v>481</v>
      </c>
      <c r="D555" s="105" t="n">
        <v>0.1667</v>
      </c>
      <c r="E555" s="106" t="n">
        <v>205</v>
      </c>
      <c r="F555" s="107" t="n">
        <f aca="false">IF($C555="","",$D555*$E555)</f>
        <v>34.1735</v>
      </c>
      <c r="G555" s="107" t="n">
        <f aca="false">IF($C555="","",$D555*IFERROR(INDEX('تحليل التكلفة والسعر'!$C$2:$C$700,MATCH($C555,'تحليل التكلفة والسعر'!$B$2:$B$700,0)),0))</f>
        <v>14.58528314</v>
      </c>
      <c r="H555" s="104" t="s">
        <v>719</v>
      </c>
    </row>
    <row r="556" customFormat="false" ht="15" hidden="false" customHeight="false" outlineLevel="0" collapsed="false">
      <c r="A556" s="103" t="n">
        <v>46298</v>
      </c>
      <c r="B556" s="104" t="s">
        <v>33</v>
      </c>
      <c r="C556" s="104" t="s">
        <v>481</v>
      </c>
      <c r="D556" s="105" t="n">
        <v>0.1667</v>
      </c>
      <c r="E556" s="106" t="n">
        <v>205</v>
      </c>
      <c r="F556" s="107" t="n">
        <f aca="false">IF($C556="","",$D556*$E556)</f>
        <v>34.1735</v>
      </c>
      <c r="G556" s="107" t="n">
        <f aca="false">IF($C556="","",$D556*IFERROR(INDEX('تحليل التكلفة والسعر'!$C$2:$C$700,MATCH($C556,'تحليل التكلفة والسعر'!$B$2:$B$700,0)),0))</f>
        <v>14.58528314</v>
      </c>
      <c r="H556" s="104" t="s">
        <v>719</v>
      </c>
    </row>
    <row r="557" customFormat="false" ht="15" hidden="false" customHeight="false" outlineLevel="0" collapsed="false">
      <c r="A557" s="103" t="n">
        <v>46299</v>
      </c>
      <c r="B557" s="104" t="s">
        <v>33</v>
      </c>
      <c r="C557" s="104" t="s">
        <v>481</v>
      </c>
      <c r="D557" s="105" t="n">
        <v>0.1667</v>
      </c>
      <c r="E557" s="106" t="n">
        <v>205</v>
      </c>
      <c r="F557" s="107" t="n">
        <f aca="false">IF($C557="","",$D557*$E557)</f>
        <v>34.1735</v>
      </c>
      <c r="G557" s="107" t="n">
        <f aca="false">IF($C557="","",$D557*IFERROR(INDEX('تحليل التكلفة والسعر'!$C$2:$C$700,MATCH($C557,'تحليل التكلفة والسعر'!$B$2:$B$700,0)),0))</f>
        <v>14.58528314</v>
      </c>
      <c r="H557" s="104" t="s">
        <v>719</v>
      </c>
    </row>
    <row r="558" customFormat="false" ht="15" hidden="false" customHeight="false" outlineLevel="0" collapsed="false">
      <c r="A558" s="103" t="n">
        <v>46300</v>
      </c>
      <c r="B558" s="104" t="s">
        <v>33</v>
      </c>
      <c r="C558" s="104" t="s">
        <v>481</v>
      </c>
      <c r="D558" s="105" t="n">
        <v>0.1667</v>
      </c>
      <c r="E558" s="106" t="n">
        <v>205</v>
      </c>
      <c r="F558" s="107" t="n">
        <f aca="false">IF($C558="","",$D558*$E558)</f>
        <v>34.1735</v>
      </c>
      <c r="G558" s="107" t="n">
        <f aca="false">IF($C558="","",$D558*IFERROR(INDEX('تحليل التكلفة والسعر'!$C$2:$C$700,MATCH($C558,'تحليل التكلفة والسعر'!$B$2:$B$700,0)),0))</f>
        <v>14.58528314</v>
      </c>
      <c r="H558" s="104" t="s">
        <v>719</v>
      </c>
    </row>
    <row r="559" customFormat="false" ht="15" hidden="false" customHeight="false" outlineLevel="0" collapsed="false">
      <c r="A559" s="103" t="n">
        <v>46301</v>
      </c>
      <c r="B559" s="104" t="s">
        <v>33</v>
      </c>
      <c r="C559" s="104" t="s">
        <v>481</v>
      </c>
      <c r="D559" s="105" t="n">
        <v>0.1667</v>
      </c>
      <c r="E559" s="106" t="n">
        <v>205</v>
      </c>
      <c r="F559" s="107" t="n">
        <f aca="false">IF($C559="","",$D559*$E559)</f>
        <v>34.1735</v>
      </c>
      <c r="G559" s="107" t="n">
        <f aca="false">IF($C559="","",$D559*IFERROR(INDEX('تحليل التكلفة والسعر'!$C$2:$C$700,MATCH($C559,'تحليل التكلفة والسعر'!$B$2:$B$700,0)),0))</f>
        <v>14.58528314</v>
      </c>
      <c r="H559" s="104" t="s">
        <v>719</v>
      </c>
    </row>
    <row r="560" customFormat="false" ht="15" hidden="false" customHeight="false" outlineLevel="0" collapsed="false">
      <c r="A560" s="103" t="n">
        <v>46302</v>
      </c>
      <c r="B560" s="104" t="s">
        <v>33</v>
      </c>
      <c r="C560" s="104" t="s">
        <v>481</v>
      </c>
      <c r="D560" s="105" t="n">
        <v>0.1667</v>
      </c>
      <c r="E560" s="106" t="n">
        <v>205</v>
      </c>
      <c r="F560" s="107" t="n">
        <f aca="false">IF($C560="","",$D560*$E560)</f>
        <v>34.1735</v>
      </c>
      <c r="G560" s="107" t="n">
        <f aca="false">IF($C560="","",$D560*IFERROR(INDEX('تحليل التكلفة والسعر'!$C$2:$C$700,MATCH($C560,'تحليل التكلفة والسعر'!$B$2:$B$700,0)),0))</f>
        <v>14.58528314</v>
      </c>
      <c r="H560" s="104" t="s">
        <v>719</v>
      </c>
    </row>
    <row r="561" customFormat="false" ht="15" hidden="false" customHeight="false" outlineLevel="0" collapsed="false">
      <c r="A561" s="103" t="n">
        <v>46303</v>
      </c>
      <c r="B561" s="104" t="s">
        <v>33</v>
      </c>
      <c r="C561" s="104" t="s">
        <v>481</v>
      </c>
      <c r="D561" s="105" t="n">
        <v>0.1667</v>
      </c>
      <c r="E561" s="106" t="n">
        <v>205</v>
      </c>
      <c r="F561" s="107" t="n">
        <f aca="false">IF($C561="","",$D561*$E561)</f>
        <v>34.1735</v>
      </c>
      <c r="G561" s="107" t="n">
        <f aca="false">IF($C561="","",$D561*IFERROR(INDEX('تحليل التكلفة والسعر'!$C$2:$C$700,MATCH($C561,'تحليل التكلفة والسعر'!$B$2:$B$700,0)),0))</f>
        <v>14.58528314</v>
      </c>
      <c r="H561" s="104" t="s">
        <v>719</v>
      </c>
    </row>
    <row r="562" customFormat="false" ht="15" hidden="false" customHeight="false" outlineLevel="0" collapsed="false">
      <c r="A562" s="103" t="n">
        <v>46304</v>
      </c>
      <c r="B562" s="104" t="s">
        <v>33</v>
      </c>
      <c r="C562" s="104" t="s">
        <v>481</v>
      </c>
      <c r="D562" s="105" t="n">
        <v>0.1667</v>
      </c>
      <c r="E562" s="106" t="n">
        <v>205</v>
      </c>
      <c r="F562" s="107" t="n">
        <f aca="false">IF($C562="","",$D562*$E562)</f>
        <v>34.1735</v>
      </c>
      <c r="G562" s="107" t="n">
        <f aca="false">IF($C562="","",$D562*IFERROR(INDEX('تحليل التكلفة والسعر'!$C$2:$C$700,MATCH($C562,'تحليل التكلفة والسعر'!$B$2:$B$700,0)),0))</f>
        <v>14.58528314</v>
      </c>
      <c r="H562" s="104" t="s">
        <v>719</v>
      </c>
    </row>
    <row r="563" customFormat="false" ht="15" hidden="false" customHeight="false" outlineLevel="0" collapsed="false">
      <c r="A563" s="103" t="n">
        <v>46305</v>
      </c>
      <c r="B563" s="104" t="s">
        <v>33</v>
      </c>
      <c r="C563" s="104" t="s">
        <v>481</v>
      </c>
      <c r="D563" s="105" t="n">
        <v>0.1667</v>
      </c>
      <c r="E563" s="106" t="n">
        <v>205</v>
      </c>
      <c r="F563" s="107" t="n">
        <f aca="false">IF($C563="","",$D563*$E563)</f>
        <v>34.1735</v>
      </c>
      <c r="G563" s="107" t="n">
        <f aca="false">IF($C563="","",$D563*IFERROR(INDEX('تحليل التكلفة والسعر'!$C$2:$C$700,MATCH($C563,'تحليل التكلفة والسعر'!$B$2:$B$700,0)),0))</f>
        <v>14.58528314</v>
      </c>
      <c r="H563" s="104" t="s">
        <v>719</v>
      </c>
    </row>
    <row r="564" customFormat="false" ht="15" hidden="false" customHeight="false" outlineLevel="0" collapsed="false">
      <c r="A564" s="103" t="n">
        <v>46306</v>
      </c>
      <c r="B564" s="104" t="s">
        <v>33</v>
      </c>
      <c r="C564" s="104" t="s">
        <v>481</v>
      </c>
      <c r="D564" s="105" t="n">
        <v>0.1667</v>
      </c>
      <c r="E564" s="106" t="n">
        <v>205</v>
      </c>
      <c r="F564" s="107" t="n">
        <f aca="false">IF($C564="","",$D564*$E564)</f>
        <v>34.1735</v>
      </c>
      <c r="G564" s="107" t="n">
        <f aca="false">IF($C564="","",$D564*IFERROR(INDEX('تحليل التكلفة والسعر'!$C$2:$C$700,MATCH($C564,'تحليل التكلفة والسعر'!$B$2:$B$700,0)),0))</f>
        <v>14.58528314</v>
      </c>
      <c r="H564" s="104" t="s">
        <v>719</v>
      </c>
    </row>
    <row r="565" customFormat="false" ht="15" hidden="false" customHeight="false" outlineLevel="0" collapsed="false">
      <c r="A565" s="103" t="n">
        <v>46307</v>
      </c>
      <c r="B565" s="104" t="s">
        <v>33</v>
      </c>
      <c r="C565" s="104" t="s">
        <v>481</v>
      </c>
      <c r="D565" s="105" t="n">
        <v>0.1667</v>
      </c>
      <c r="E565" s="106" t="n">
        <v>205</v>
      </c>
      <c r="F565" s="107" t="n">
        <f aca="false">IF($C565="","",$D565*$E565)</f>
        <v>34.1735</v>
      </c>
      <c r="G565" s="107" t="n">
        <f aca="false">IF($C565="","",$D565*IFERROR(INDEX('تحليل التكلفة والسعر'!$C$2:$C$700,MATCH($C565,'تحليل التكلفة والسعر'!$B$2:$B$700,0)),0))</f>
        <v>14.58528314</v>
      </c>
      <c r="H565" s="104" t="s">
        <v>719</v>
      </c>
    </row>
    <row r="566" customFormat="false" ht="15" hidden="false" customHeight="false" outlineLevel="0" collapsed="false">
      <c r="A566" s="103" t="n">
        <v>46296</v>
      </c>
      <c r="B566" s="104" t="s">
        <v>33</v>
      </c>
      <c r="C566" s="104" t="s">
        <v>418</v>
      </c>
      <c r="D566" s="105" t="n">
        <v>3.5</v>
      </c>
      <c r="E566" s="106" t="n">
        <v>124.0476</v>
      </c>
      <c r="F566" s="107" t="n">
        <f aca="false">IF($C566="","",$D566*$E566)</f>
        <v>434.1666</v>
      </c>
      <c r="G566" s="107" t="n">
        <f aca="false">IF($C566="","",$D566*IFERROR(INDEX('تحليل التكلفة والسعر'!$C$2:$C$700,MATCH($C566,'تحليل التكلفة والسعر'!$B$2:$B$700,0)),0))</f>
        <v>176.0185</v>
      </c>
      <c r="H566" s="104" t="s">
        <v>719</v>
      </c>
    </row>
    <row r="567" customFormat="false" ht="15" hidden="false" customHeight="false" outlineLevel="0" collapsed="false">
      <c r="A567" s="103" t="n">
        <v>46297</v>
      </c>
      <c r="B567" s="104" t="s">
        <v>33</v>
      </c>
      <c r="C567" s="104" t="s">
        <v>418</v>
      </c>
      <c r="D567" s="105" t="n">
        <v>3.5</v>
      </c>
      <c r="E567" s="106" t="n">
        <v>124.0476</v>
      </c>
      <c r="F567" s="107" t="n">
        <f aca="false">IF($C567="","",$D567*$E567)</f>
        <v>434.1666</v>
      </c>
      <c r="G567" s="107" t="n">
        <f aca="false">IF($C567="","",$D567*IFERROR(INDEX('تحليل التكلفة والسعر'!$C$2:$C$700,MATCH($C567,'تحليل التكلفة والسعر'!$B$2:$B$700,0)),0))</f>
        <v>176.0185</v>
      </c>
      <c r="H567" s="104" t="s">
        <v>719</v>
      </c>
    </row>
    <row r="568" customFormat="false" ht="15" hidden="false" customHeight="false" outlineLevel="0" collapsed="false">
      <c r="A568" s="103" t="n">
        <v>46298</v>
      </c>
      <c r="B568" s="104" t="s">
        <v>33</v>
      </c>
      <c r="C568" s="104" t="s">
        <v>418</v>
      </c>
      <c r="D568" s="105" t="n">
        <v>3.5</v>
      </c>
      <c r="E568" s="106" t="n">
        <v>124.0476</v>
      </c>
      <c r="F568" s="107" t="n">
        <f aca="false">IF($C568="","",$D568*$E568)</f>
        <v>434.1666</v>
      </c>
      <c r="G568" s="107" t="n">
        <f aca="false">IF($C568="","",$D568*IFERROR(INDEX('تحليل التكلفة والسعر'!$C$2:$C$700,MATCH($C568,'تحليل التكلفة والسعر'!$B$2:$B$700,0)),0))</f>
        <v>176.0185</v>
      </c>
      <c r="H568" s="104" t="s">
        <v>719</v>
      </c>
    </row>
    <row r="569" customFormat="false" ht="15" hidden="false" customHeight="false" outlineLevel="0" collapsed="false">
      <c r="A569" s="103" t="n">
        <v>46299</v>
      </c>
      <c r="B569" s="104" t="s">
        <v>33</v>
      </c>
      <c r="C569" s="104" t="s">
        <v>418</v>
      </c>
      <c r="D569" s="105" t="n">
        <v>3.5</v>
      </c>
      <c r="E569" s="106" t="n">
        <v>124.0476</v>
      </c>
      <c r="F569" s="107" t="n">
        <f aca="false">IF($C569="","",$D569*$E569)</f>
        <v>434.1666</v>
      </c>
      <c r="G569" s="107" t="n">
        <f aca="false">IF($C569="","",$D569*IFERROR(INDEX('تحليل التكلفة والسعر'!$C$2:$C$700,MATCH($C569,'تحليل التكلفة والسعر'!$B$2:$B$700,0)),0))</f>
        <v>176.0185</v>
      </c>
      <c r="H569" s="104" t="s">
        <v>719</v>
      </c>
    </row>
    <row r="570" customFormat="false" ht="15" hidden="false" customHeight="false" outlineLevel="0" collapsed="false">
      <c r="A570" s="103" t="n">
        <v>46300</v>
      </c>
      <c r="B570" s="104" t="s">
        <v>33</v>
      </c>
      <c r="C570" s="104" t="s">
        <v>418</v>
      </c>
      <c r="D570" s="105" t="n">
        <v>3.5</v>
      </c>
      <c r="E570" s="106" t="n">
        <v>124.0476</v>
      </c>
      <c r="F570" s="107" t="n">
        <f aca="false">IF($C570="","",$D570*$E570)</f>
        <v>434.1666</v>
      </c>
      <c r="G570" s="107" t="n">
        <f aca="false">IF($C570="","",$D570*IFERROR(INDEX('تحليل التكلفة والسعر'!$C$2:$C$700,MATCH($C570,'تحليل التكلفة والسعر'!$B$2:$B$700,0)),0))</f>
        <v>176.0185</v>
      </c>
      <c r="H570" s="104" t="s">
        <v>719</v>
      </c>
    </row>
    <row r="571" customFormat="false" ht="15" hidden="false" customHeight="false" outlineLevel="0" collapsed="false">
      <c r="A571" s="103" t="n">
        <v>46301</v>
      </c>
      <c r="B571" s="104" t="s">
        <v>33</v>
      </c>
      <c r="C571" s="104" t="s">
        <v>418</v>
      </c>
      <c r="D571" s="105" t="n">
        <v>3.5</v>
      </c>
      <c r="E571" s="106" t="n">
        <v>124.0476</v>
      </c>
      <c r="F571" s="107" t="n">
        <f aca="false">IF($C571="","",$D571*$E571)</f>
        <v>434.1666</v>
      </c>
      <c r="G571" s="107" t="n">
        <f aca="false">IF($C571="","",$D571*IFERROR(INDEX('تحليل التكلفة والسعر'!$C$2:$C$700,MATCH($C571,'تحليل التكلفة والسعر'!$B$2:$B$700,0)),0))</f>
        <v>176.0185</v>
      </c>
      <c r="H571" s="104" t="s">
        <v>719</v>
      </c>
    </row>
    <row r="572" customFormat="false" ht="15" hidden="false" customHeight="false" outlineLevel="0" collapsed="false">
      <c r="A572" s="103" t="n">
        <v>46302</v>
      </c>
      <c r="B572" s="104" t="s">
        <v>33</v>
      </c>
      <c r="C572" s="104" t="s">
        <v>418</v>
      </c>
      <c r="D572" s="105" t="n">
        <v>3.5</v>
      </c>
      <c r="E572" s="106" t="n">
        <v>124.0476</v>
      </c>
      <c r="F572" s="107" t="n">
        <f aca="false">IF($C572="","",$D572*$E572)</f>
        <v>434.1666</v>
      </c>
      <c r="G572" s="107" t="n">
        <f aca="false">IF($C572="","",$D572*IFERROR(INDEX('تحليل التكلفة والسعر'!$C$2:$C$700,MATCH($C572,'تحليل التكلفة والسعر'!$B$2:$B$700,0)),0))</f>
        <v>176.0185</v>
      </c>
      <c r="H572" s="104" t="s">
        <v>719</v>
      </c>
    </row>
    <row r="573" customFormat="false" ht="15" hidden="false" customHeight="false" outlineLevel="0" collapsed="false">
      <c r="A573" s="103" t="n">
        <v>46303</v>
      </c>
      <c r="B573" s="104" t="s">
        <v>33</v>
      </c>
      <c r="C573" s="104" t="s">
        <v>418</v>
      </c>
      <c r="D573" s="105" t="n">
        <v>3.5</v>
      </c>
      <c r="E573" s="106" t="n">
        <v>124.0476</v>
      </c>
      <c r="F573" s="107" t="n">
        <f aca="false">IF($C573="","",$D573*$E573)</f>
        <v>434.1666</v>
      </c>
      <c r="G573" s="107" t="n">
        <f aca="false">IF($C573="","",$D573*IFERROR(INDEX('تحليل التكلفة والسعر'!$C$2:$C$700,MATCH($C573,'تحليل التكلفة والسعر'!$B$2:$B$700,0)),0))</f>
        <v>176.0185</v>
      </c>
      <c r="H573" s="104" t="s">
        <v>719</v>
      </c>
    </row>
    <row r="574" customFormat="false" ht="15" hidden="false" customHeight="false" outlineLevel="0" collapsed="false">
      <c r="A574" s="103" t="n">
        <v>46304</v>
      </c>
      <c r="B574" s="104" t="s">
        <v>33</v>
      </c>
      <c r="C574" s="104" t="s">
        <v>418</v>
      </c>
      <c r="D574" s="105" t="n">
        <v>3.5</v>
      </c>
      <c r="E574" s="106" t="n">
        <v>124.0476</v>
      </c>
      <c r="F574" s="107" t="n">
        <f aca="false">IF($C574="","",$D574*$E574)</f>
        <v>434.1666</v>
      </c>
      <c r="G574" s="107" t="n">
        <f aca="false">IF($C574="","",$D574*IFERROR(INDEX('تحليل التكلفة والسعر'!$C$2:$C$700,MATCH($C574,'تحليل التكلفة والسعر'!$B$2:$B$700,0)),0))</f>
        <v>176.0185</v>
      </c>
      <c r="H574" s="104" t="s">
        <v>719</v>
      </c>
    </row>
    <row r="575" customFormat="false" ht="15" hidden="false" customHeight="false" outlineLevel="0" collapsed="false">
      <c r="A575" s="103" t="n">
        <v>46305</v>
      </c>
      <c r="B575" s="104" t="s">
        <v>33</v>
      </c>
      <c r="C575" s="104" t="s">
        <v>418</v>
      </c>
      <c r="D575" s="105" t="n">
        <v>3.5</v>
      </c>
      <c r="E575" s="106" t="n">
        <v>124.0476</v>
      </c>
      <c r="F575" s="107" t="n">
        <f aca="false">IF($C575="","",$D575*$E575)</f>
        <v>434.1666</v>
      </c>
      <c r="G575" s="107" t="n">
        <f aca="false">IF($C575="","",$D575*IFERROR(INDEX('تحليل التكلفة والسعر'!$C$2:$C$700,MATCH($C575,'تحليل التكلفة والسعر'!$B$2:$B$700,0)),0))</f>
        <v>176.0185</v>
      </c>
      <c r="H575" s="104" t="s">
        <v>719</v>
      </c>
    </row>
    <row r="576" customFormat="false" ht="15" hidden="false" customHeight="false" outlineLevel="0" collapsed="false">
      <c r="A576" s="103" t="n">
        <v>46306</v>
      </c>
      <c r="B576" s="104" t="s">
        <v>33</v>
      </c>
      <c r="C576" s="104" t="s">
        <v>418</v>
      </c>
      <c r="D576" s="105" t="n">
        <v>3.5</v>
      </c>
      <c r="E576" s="106" t="n">
        <v>124.0476</v>
      </c>
      <c r="F576" s="107" t="n">
        <f aca="false">IF($C576="","",$D576*$E576)</f>
        <v>434.1666</v>
      </c>
      <c r="G576" s="107" t="n">
        <f aca="false">IF($C576="","",$D576*IFERROR(INDEX('تحليل التكلفة والسعر'!$C$2:$C$700,MATCH($C576,'تحليل التكلفة والسعر'!$B$2:$B$700,0)),0))</f>
        <v>176.0185</v>
      </c>
      <c r="H576" s="104" t="s">
        <v>719</v>
      </c>
    </row>
    <row r="577" customFormat="false" ht="15" hidden="false" customHeight="false" outlineLevel="0" collapsed="false">
      <c r="A577" s="103" t="n">
        <v>46307</v>
      </c>
      <c r="B577" s="104" t="s">
        <v>33</v>
      </c>
      <c r="C577" s="104" t="s">
        <v>418</v>
      </c>
      <c r="D577" s="105" t="n">
        <v>3.5</v>
      </c>
      <c r="E577" s="106" t="n">
        <v>124.0476</v>
      </c>
      <c r="F577" s="107" t="n">
        <f aca="false">IF($C577="","",$D577*$E577)</f>
        <v>434.1666</v>
      </c>
      <c r="G577" s="107" t="n">
        <f aca="false">IF($C577="","",$D577*IFERROR(INDEX('تحليل التكلفة والسعر'!$C$2:$C$700,MATCH($C577,'تحليل التكلفة والسعر'!$B$2:$B$700,0)),0))</f>
        <v>176.0185</v>
      </c>
      <c r="H577" s="104" t="s">
        <v>719</v>
      </c>
    </row>
    <row r="578" customFormat="false" ht="15" hidden="false" customHeight="false" outlineLevel="0" collapsed="false">
      <c r="A578" s="103" t="n">
        <v>46296</v>
      </c>
      <c r="B578" s="104" t="s">
        <v>33</v>
      </c>
      <c r="C578" s="104" t="s">
        <v>497</v>
      </c>
      <c r="D578" s="105" t="n">
        <v>0.1667</v>
      </c>
      <c r="E578" s="106" t="n">
        <v>110</v>
      </c>
      <c r="F578" s="107" t="n">
        <f aca="false">IF($C578="","",$D578*$E578)</f>
        <v>18.337</v>
      </c>
      <c r="G578" s="107" t="n">
        <f aca="false">IF($C578="","",$D578*IFERROR(INDEX('تحليل التكلفة والسعر'!$C$2:$C$700,MATCH($C578,'تحليل التكلفة والسعر'!$B$2:$B$700,0)),0))</f>
        <v>8.02685505</v>
      </c>
      <c r="H578" s="104" t="s">
        <v>719</v>
      </c>
    </row>
    <row r="579" customFormat="false" ht="15" hidden="false" customHeight="false" outlineLevel="0" collapsed="false">
      <c r="A579" s="103" t="n">
        <v>46297</v>
      </c>
      <c r="B579" s="104" t="s">
        <v>33</v>
      </c>
      <c r="C579" s="104" t="s">
        <v>497</v>
      </c>
      <c r="D579" s="105" t="n">
        <v>0.1667</v>
      </c>
      <c r="E579" s="106" t="n">
        <v>110</v>
      </c>
      <c r="F579" s="107" t="n">
        <f aca="false">IF($C579="","",$D579*$E579)</f>
        <v>18.337</v>
      </c>
      <c r="G579" s="107" t="n">
        <f aca="false">IF($C579="","",$D579*IFERROR(INDEX('تحليل التكلفة والسعر'!$C$2:$C$700,MATCH($C579,'تحليل التكلفة والسعر'!$B$2:$B$700,0)),0))</f>
        <v>8.02685505</v>
      </c>
      <c r="H579" s="104" t="s">
        <v>719</v>
      </c>
    </row>
    <row r="580" customFormat="false" ht="15" hidden="false" customHeight="false" outlineLevel="0" collapsed="false">
      <c r="A580" s="103" t="n">
        <v>46298</v>
      </c>
      <c r="B580" s="104" t="s">
        <v>33</v>
      </c>
      <c r="C580" s="104" t="s">
        <v>497</v>
      </c>
      <c r="D580" s="105" t="n">
        <v>0.1667</v>
      </c>
      <c r="E580" s="106" t="n">
        <v>110</v>
      </c>
      <c r="F580" s="107" t="n">
        <f aca="false">IF($C580="","",$D580*$E580)</f>
        <v>18.337</v>
      </c>
      <c r="G580" s="107" t="n">
        <f aca="false">IF($C580="","",$D580*IFERROR(INDEX('تحليل التكلفة والسعر'!$C$2:$C$700,MATCH($C580,'تحليل التكلفة والسعر'!$B$2:$B$700,0)),0))</f>
        <v>8.02685505</v>
      </c>
      <c r="H580" s="104" t="s">
        <v>719</v>
      </c>
    </row>
    <row r="581" customFormat="false" ht="15" hidden="false" customHeight="false" outlineLevel="0" collapsed="false">
      <c r="A581" s="103" t="n">
        <v>46299</v>
      </c>
      <c r="B581" s="104" t="s">
        <v>33</v>
      </c>
      <c r="C581" s="104" t="s">
        <v>497</v>
      </c>
      <c r="D581" s="105" t="n">
        <v>0.1667</v>
      </c>
      <c r="E581" s="106" t="n">
        <v>110</v>
      </c>
      <c r="F581" s="107" t="n">
        <f aca="false">IF($C581="","",$D581*$E581)</f>
        <v>18.337</v>
      </c>
      <c r="G581" s="107" t="n">
        <f aca="false">IF($C581="","",$D581*IFERROR(INDEX('تحليل التكلفة والسعر'!$C$2:$C$700,MATCH($C581,'تحليل التكلفة والسعر'!$B$2:$B$700,0)),0))</f>
        <v>8.02685505</v>
      </c>
      <c r="H581" s="104" t="s">
        <v>719</v>
      </c>
    </row>
    <row r="582" customFormat="false" ht="15" hidden="false" customHeight="false" outlineLevel="0" collapsed="false">
      <c r="A582" s="103" t="n">
        <v>46300</v>
      </c>
      <c r="B582" s="104" t="s">
        <v>33</v>
      </c>
      <c r="C582" s="104" t="s">
        <v>497</v>
      </c>
      <c r="D582" s="105" t="n">
        <v>0.1667</v>
      </c>
      <c r="E582" s="106" t="n">
        <v>110</v>
      </c>
      <c r="F582" s="107" t="n">
        <f aca="false">IF($C582="","",$D582*$E582)</f>
        <v>18.337</v>
      </c>
      <c r="G582" s="107" t="n">
        <f aca="false">IF($C582="","",$D582*IFERROR(INDEX('تحليل التكلفة والسعر'!$C$2:$C$700,MATCH($C582,'تحليل التكلفة والسعر'!$B$2:$B$700,0)),0))</f>
        <v>8.02685505</v>
      </c>
      <c r="H582" s="104" t="s">
        <v>719</v>
      </c>
    </row>
    <row r="583" customFormat="false" ht="15" hidden="false" customHeight="false" outlineLevel="0" collapsed="false">
      <c r="A583" s="103" t="n">
        <v>46301</v>
      </c>
      <c r="B583" s="104" t="s">
        <v>33</v>
      </c>
      <c r="C583" s="104" t="s">
        <v>497</v>
      </c>
      <c r="D583" s="105" t="n">
        <v>0.1667</v>
      </c>
      <c r="E583" s="106" t="n">
        <v>110</v>
      </c>
      <c r="F583" s="107" t="n">
        <f aca="false">IF($C583="","",$D583*$E583)</f>
        <v>18.337</v>
      </c>
      <c r="G583" s="107" t="n">
        <f aca="false">IF($C583="","",$D583*IFERROR(INDEX('تحليل التكلفة والسعر'!$C$2:$C$700,MATCH($C583,'تحليل التكلفة والسعر'!$B$2:$B$700,0)),0))</f>
        <v>8.02685505</v>
      </c>
      <c r="H583" s="104" t="s">
        <v>719</v>
      </c>
    </row>
    <row r="584" customFormat="false" ht="15" hidden="false" customHeight="false" outlineLevel="0" collapsed="false">
      <c r="A584" s="103" t="n">
        <v>46302</v>
      </c>
      <c r="B584" s="104" t="s">
        <v>33</v>
      </c>
      <c r="C584" s="104" t="s">
        <v>497</v>
      </c>
      <c r="D584" s="105" t="n">
        <v>0.1667</v>
      </c>
      <c r="E584" s="106" t="n">
        <v>110</v>
      </c>
      <c r="F584" s="107" t="n">
        <f aca="false">IF($C584="","",$D584*$E584)</f>
        <v>18.337</v>
      </c>
      <c r="G584" s="107" t="n">
        <f aca="false">IF($C584="","",$D584*IFERROR(INDEX('تحليل التكلفة والسعر'!$C$2:$C$700,MATCH($C584,'تحليل التكلفة والسعر'!$B$2:$B$700,0)),0))</f>
        <v>8.02685505</v>
      </c>
      <c r="H584" s="104" t="s">
        <v>719</v>
      </c>
    </row>
    <row r="585" customFormat="false" ht="15" hidden="false" customHeight="false" outlineLevel="0" collapsed="false">
      <c r="A585" s="103" t="n">
        <v>46303</v>
      </c>
      <c r="B585" s="104" t="s">
        <v>33</v>
      </c>
      <c r="C585" s="104" t="s">
        <v>497</v>
      </c>
      <c r="D585" s="105" t="n">
        <v>0.1667</v>
      </c>
      <c r="E585" s="106" t="n">
        <v>110</v>
      </c>
      <c r="F585" s="107" t="n">
        <f aca="false">IF($C585="","",$D585*$E585)</f>
        <v>18.337</v>
      </c>
      <c r="G585" s="107" t="n">
        <f aca="false">IF($C585="","",$D585*IFERROR(INDEX('تحليل التكلفة والسعر'!$C$2:$C$700,MATCH($C585,'تحليل التكلفة والسعر'!$B$2:$B$700,0)),0))</f>
        <v>8.02685505</v>
      </c>
      <c r="H585" s="104" t="s">
        <v>719</v>
      </c>
    </row>
    <row r="586" customFormat="false" ht="15" hidden="false" customHeight="false" outlineLevel="0" collapsed="false">
      <c r="A586" s="103" t="n">
        <v>46304</v>
      </c>
      <c r="B586" s="104" t="s">
        <v>33</v>
      </c>
      <c r="C586" s="104" t="s">
        <v>497</v>
      </c>
      <c r="D586" s="105" t="n">
        <v>0.1667</v>
      </c>
      <c r="E586" s="106" t="n">
        <v>110</v>
      </c>
      <c r="F586" s="107" t="n">
        <f aca="false">IF($C586="","",$D586*$E586)</f>
        <v>18.337</v>
      </c>
      <c r="G586" s="107" t="n">
        <f aca="false">IF($C586="","",$D586*IFERROR(INDEX('تحليل التكلفة والسعر'!$C$2:$C$700,MATCH($C586,'تحليل التكلفة والسعر'!$B$2:$B$700,0)),0))</f>
        <v>8.02685505</v>
      </c>
      <c r="H586" s="104" t="s">
        <v>719</v>
      </c>
    </row>
    <row r="587" customFormat="false" ht="15" hidden="false" customHeight="false" outlineLevel="0" collapsed="false">
      <c r="A587" s="103" t="n">
        <v>46305</v>
      </c>
      <c r="B587" s="104" t="s">
        <v>33</v>
      </c>
      <c r="C587" s="104" t="s">
        <v>497</v>
      </c>
      <c r="D587" s="105" t="n">
        <v>0.1667</v>
      </c>
      <c r="E587" s="106" t="n">
        <v>110</v>
      </c>
      <c r="F587" s="107" t="n">
        <f aca="false">IF($C587="","",$D587*$E587)</f>
        <v>18.337</v>
      </c>
      <c r="G587" s="107" t="n">
        <f aca="false">IF($C587="","",$D587*IFERROR(INDEX('تحليل التكلفة والسعر'!$C$2:$C$700,MATCH($C587,'تحليل التكلفة والسعر'!$B$2:$B$700,0)),0))</f>
        <v>8.02685505</v>
      </c>
      <c r="H587" s="104" t="s">
        <v>719</v>
      </c>
    </row>
    <row r="588" customFormat="false" ht="15" hidden="false" customHeight="false" outlineLevel="0" collapsed="false">
      <c r="A588" s="103" t="n">
        <v>46306</v>
      </c>
      <c r="B588" s="104" t="s">
        <v>33</v>
      </c>
      <c r="C588" s="104" t="s">
        <v>497</v>
      </c>
      <c r="D588" s="105" t="n">
        <v>0.1667</v>
      </c>
      <c r="E588" s="106" t="n">
        <v>110</v>
      </c>
      <c r="F588" s="107" t="n">
        <f aca="false">IF($C588="","",$D588*$E588)</f>
        <v>18.337</v>
      </c>
      <c r="G588" s="107" t="n">
        <f aca="false">IF($C588="","",$D588*IFERROR(INDEX('تحليل التكلفة والسعر'!$C$2:$C$700,MATCH($C588,'تحليل التكلفة والسعر'!$B$2:$B$700,0)),0))</f>
        <v>8.02685505</v>
      </c>
      <c r="H588" s="104" t="s">
        <v>719</v>
      </c>
    </row>
    <row r="589" customFormat="false" ht="15" hidden="false" customHeight="false" outlineLevel="0" collapsed="false">
      <c r="A589" s="103" t="n">
        <v>46307</v>
      </c>
      <c r="B589" s="104" t="s">
        <v>33</v>
      </c>
      <c r="C589" s="104" t="s">
        <v>497</v>
      </c>
      <c r="D589" s="105" t="n">
        <v>0.1667</v>
      </c>
      <c r="E589" s="106" t="n">
        <v>110</v>
      </c>
      <c r="F589" s="107" t="n">
        <f aca="false">IF($C589="","",$D589*$E589)</f>
        <v>18.337</v>
      </c>
      <c r="G589" s="107" t="n">
        <f aca="false">IF($C589="","",$D589*IFERROR(INDEX('تحليل التكلفة والسعر'!$C$2:$C$700,MATCH($C589,'تحليل التكلفة والسعر'!$B$2:$B$700,0)),0))</f>
        <v>8.02685505</v>
      </c>
      <c r="H589" s="104" t="s">
        <v>719</v>
      </c>
    </row>
    <row r="590" customFormat="false" ht="15" hidden="false" customHeight="false" outlineLevel="0" collapsed="false">
      <c r="A590" s="103" t="n">
        <v>46296</v>
      </c>
      <c r="B590" s="104" t="s">
        <v>33</v>
      </c>
      <c r="C590" s="104" t="s">
        <v>471</v>
      </c>
      <c r="D590" s="105" t="n">
        <v>0.1667</v>
      </c>
      <c r="E590" s="106" t="n">
        <v>80</v>
      </c>
      <c r="F590" s="107" t="n">
        <f aca="false">IF($C590="","",$D590*$E590)</f>
        <v>13.336</v>
      </c>
      <c r="G590" s="107" t="n">
        <f aca="false">IF($C590="","",$D590*IFERROR(INDEX('تحليل التكلفة والسعر'!$C$2:$C$700,MATCH($C590,'تحليل التكلفة والسعر'!$B$2:$B$700,0)),0))</f>
        <v>5.90393055</v>
      </c>
      <c r="H590" s="104" t="s">
        <v>719</v>
      </c>
    </row>
    <row r="591" customFormat="false" ht="15" hidden="false" customHeight="false" outlineLevel="0" collapsed="false">
      <c r="A591" s="103" t="n">
        <v>46297</v>
      </c>
      <c r="B591" s="104" t="s">
        <v>33</v>
      </c>
      <c r="C591" s="104" t="s">
        <v>471</v>
      </c>
      <c r="D591" s="105" t="n">
        <v>0.1667</v>
      </c>
      <c r="E591" s="106" t="n">
        <v>80</v>
      </c>
      <c r="F591" s="107" t="n">
        <f aca="false">IF($C591="","",$D591*$E591)</f>
        <v>13.336</v>
      </c>
      <c r="G591" s="107" t="n">
        <f aca="false">IF($C591="","",$D591*IFERROR(INDEX('تحليل التكلفة والسعر'!$C$2:$C$700,MATCH($C591,'تحليل التكلفة والسعر'!$B$2:$B$700,0)),0))</f>
        <v>5.90393055</v>
      </c>
      <c r="H591" s="104" t="s">
        <v>719</v>
      </c>
    </row>
    <row r="592" customFormat="false" ht="15" hidden="false" customHeight="false" outlineLevel="0" collapsed="false">
      <c r="A592" s="103" t="n">
        <v>46298</v>
      </c>
      <c r="B592" s="104" t="s">
        <v>33</v>
      </c>
      <c r="C592" s="104" t="s">
        <v>471</v>
      </c>
      <c r="D592" s="105" t="n">
        <v>0.1667</v>
      </c>
      <c r="E592" s="106" t="n">
        <v>80</v>
      </c>
      <c r="F592" s="107" t="n">
        <f aca="false">IF($C592="","",$D592*$E592)</f>
        <v>13.336</v>
      </c>
      <c r="G592" s="107" t="n">
        <f aca="false">IF($C592="","",$D592*IFERROR(INDEX('تحليل التكلفة والسعر'!$C$2:$C$700,MATCH($C592,'تحليل التكلفة والسعر'!$B$2:$B$700,0)),0))</f>
        <v>5.90393055</v>
      </c>
      <c r="H592" s="104" t="s">
        <v>719</v>
      </c>
    </row>
    <row r="593" customFormat="false" ht="15" hidden="false" customHeight="false" outlineLevel="0" collapsed="false">
      <c r="A593" s="103" t="n">
        <v>46299</v>
      </c>
      <c r="B593" s="104" t="s">
        <v>33</v>
      </c>
      <c r="C593" s="104" t="s">
        <v>471</v>
      </c>
      <c r="D593" s="105" t="n">
        <v>0.1667</v>
      </c>
      <c r="E593" s="106" t="n">
        <v>80</v>
      </c>
      <c r="F593" s="107" t="n">
        <f aca="false">IF($C593="","",$D593*$E593)</f>
        <v>13.336</v>
      </c>
      <c r="G593" s="107" t="n">
        <f aca="false">IF($C593="","",$D593*IFERROR(INDEX('تحليل التكلفة والسعر'!$C$2:$C$700,MATCH($C593,'تحليل التكلفة والسعر'!$B$2:$B$700,0)),0))</f>
        <v>5.90393055</v>
      </c>
      <c r="H593" s="104" t="s">
        <v>719</v>
      </c>
    </row>
    <row r="594" customFormat="false" ht="15" hidden="false" customHeight="false" outlineLevel="0" collapsed="false">
      <c r="A594" s="103" t="n">
        <v>46300</v>
      </c>
      <c r="B594" s="104" t="s">
        <v>33</v>
      </c>
      <c r="C594" s="104" t="s">
        <v>471</v>
      </c>
      <c r="D594" s="105" t="n">
        <v>0.1667</v>
      </c>
      <c r="E594" s="106" t="n">
        <v>80</v>
      </c>
      <c r="F594" s="107" t="n">
        <f aca="false">IF($C594="","",$D594*$E594)</f>
        <v>13.336</v>
      </c>
      <c r="G594" s="107" t="n">
        <f aca="false">IF($C594="","",$D594*IFERROR(INDEX('تحليل التكلفة والسعر'!$C$2:$C$700,MATCH($C594,'تحليل التكلفة والسعر'!$B$2:$B$700,0)),0))</f>
        <v>5.90393055</v>
      </c>
      <c r="H594" s="104" t="s">
        <v>719</v>
      </c>
    </row>
    <row r="595" customFormat="false" ht="15" hidden="false" customHeight="false" outlineLevel="0" collapsed="false">
      <c r="A595" s="103" t="n">
        <v>46301</v>
      </c>
      <c r="B595" s="104" t="s">
        <v>33</v>
      </c>
      <c r="C595" s="104" t="s">
        <v>471</v>
      </c>
      <c r="D595" s="105" t="n">
        <v>0.1667</v>
      </c>
      <c r="E595" s="106" t="n">
        <v>80</v>
      </c>
      <c r="F595" s="107" t="n">
        <f aca="false">IF($C595="","",$D595*$E595)</f>
        <v>13.336</v>
      </c>
      <c r="G595" s="107" t="n">
        <f aca="false">IF($C595="","",$D595*IFERROR(INDEX('تحليل التكلفة والسعر'!$C$2:$C$700,MATCH($C595,'تحليل التكلفة والسعر'!$B$2:$B$700,0)),0))</f>
        <v>5.90393055</v>
      </c>
      <c r="H595" s="104" t="s">
        <v>719</v>
      </c>
    </row>
    <row r="596" customFormat="false" ht="15" hidden="false" customHeight="false" outlineLevel="0" collapsed="false">
      <c r="A596" s="103" t="n">
        <v>46302</v>
      </c>
      <c r="B596" s="104" t="s">
        <v>33</v>
      </c>
      <c r="C596" s="104" t="s">
        <v>471</v>
      </c>
      <c r="D596" s="105" t="n">
        <v>0.1667</v>
      </c>
      <c r="E596" s="106" t="n">
        <v>80</v>
      </c>
      <c r="F596" s="107" t="n">
        <f aca="false">IF($C596="","",$D596*$E596)</f>
        <v>13.336</v>
      </c>
      <c r="G596" s="107" t="n">
        <f aca="false">IF($C596="","",$D596*IFERROR(INDEX('تحليل التكلفة والسعر'!$C$2:$C$700,MATCH($C596,'تحليل التكلفة والسعر'!$B$2:$B$700,0)),0))</f>
        <v>5.90393055</v>
      </c>
      <c r="H596" s="104" t="s">
        <v>719</v>
      </c>
    </row>
    <row r="597" customFormat="false" ht="15" hidden="false" customHeight="false" outlineLevel="0" collapsed="false">
      <c r="A597" s="103" t="n">
        <v>46303</v>
      </c>
      <c r="B597" s="104" t="s">
        <v>33</v>
      </c>
      <c r="C597" s="104" t="s">
        <v>471</v>
      </c>
      <c r="D597" s="105" t="n">
        <v>0.1667</v>
      </c>
      <c r="E597" s="106" t="n">
        <v>80</v>
      </c>
      <c r="F597" s="107" t="n">
        <f aca="false">IF($C597="","",$D597*$E597)</f>
        <v>13.336</v>
      </c>
      <c r="G597" s="107" t="n">
        <f aca="false">IF($C597="","",$D597*IFERROR(INDEX('تحليل التكلفة والسعر'!$C$2:$C$700,MATCH($C597,'تحليل التكلفة والسعر'!$B$2:$B$700,0)),0))</f>
        <v>5.90393055</v>
      </c>
      <c r="H597" s="104" t="s">
        <v>719</v>
      </c>
    </row>
    <row r="598" customFormat="false" ht="15" hidden="false" customHeight="false" outlineLevel="0" collapsed="false">
      <c r="A598" s="103" t="n">
        <v>46304</v>
      </c>
      <c r="B598" s="104" t="s">
        <v>33</v>
      </c>
      <c r="C598" s="104" t="s">
        <v>471</v>
      </c>
      <c r="D598" s="105" t="n">
        <v>0.1667</v>
      </c>
      <c r="E598" s="106" t="n">
        <v>80</v>
      </c>
      <c r="F598" s="107" t="n">
        <f aca="false">IF($C598="","",$D598*$E598)</f>
        <v>13.336</v>
      </c>
      <c r="G598" s="107" t="n">
        <f aca="false">IF($C598="","",$D598*IFERROR(INDEX('تحليل التكلفة والسعر'!$C$2:$C$700,MATCH($C598,'تحليل التكلفة والسعر'!$B$2:$B$700,0)),0))</f>
        <v>5.90393055</v>
      </c>
      <c r="H598" s="104" t="s">
        <v>719</v>
      </c>
    </row>
    <row r="599" customFormat="false" ht="15" hidden="false" customHeight="false" outlineLevel="0" collapsed="false">
      <c r="A599" s="103" t="n">
        <v>46305</v>
      </c>
      <c r="B599" s="104" t="s">
        <v>33</v>
      </c>
      <c r="C599" s="104" t="s">
        <v>471</v>
      </c>
      <c r="D599" s="105" t="n">
        <v>0.1667</v>
      </c>
      <c r="E599" s="106" t="n">
        <v>80</v>
      </c>
      <c r="F599" s="107" t="n">
        <f aca="false">IF($C599="","",$D599*$E599)</f>
        <v>13.336</v>
      </c>
      <c r="G599" s="107" t="n">
        <f aca="false">IF($C599="","",$D599*IFERROR(INDEX('تحليل التكلفة والسعر'!$C$2:$C$700,MATCH($C599,'تحليل التكلفة والسعر'!$B$2:$B$700,0)),0))</f>
        <v>5.90393055</v>
      </c>
      <c r="H599" s="104" t="s">
        <v>719</v>
      </c>
    </row>
    <row r="600" customFormat="false" ht="15" hidden="false" customHeight="false" outlineLevel="0" collapsed="false">
      <c r="A600" s="103" t="n">
        <v>46306</v>
      </c>
      <c r="B600" s="104" t="s">
        <v>33</v>
      </c>
      <c r="C600" s="104" t="s">
        <v>471</v>
      </c>
      <c r="D600" s="105" t="n">
        <v>0.1667</v>
      </c>
      <c r="E600" s="106" t="n">
        <v>80</v>
      </c>
      <c r="F600" s="107" t="n">
        <f aca="false">IF($C600="","",$D600*$E600)</f>
        <v>13.336</v>
      </c>
      <c r="G600" s="107" t="n">
        <f aca="false">IF($C600="","",$D600*IFERROR(INDEX('تحليل التكلفة والسعر'!$C$2:$C$700,MATCH($C600,'تحليل التكلفة والسعر'!$B$2:$B$700,0)),0))</f>
        <v>5.90393055</v>
      </c>
      <c r="H600" s="104" t="s">
        <v>719</v>
      </c>
    </row>
    <row r="601" customFormat="false" ht="15" hidden="false" customHeight="false" outlineLevel="0" collapsed="false">
      <c r="A601" s="103" t="n">
        <v>46307</v>
      </c>
      <c r="B601" s="104" t="s">
        <v>33</v>
      </c>
      <c r="C601" s="104" t="s">
        <v>471</v>
      </c>
      <c r="D601" s="105" t="n">
        <v>0.1667</v>
      </c>
      <c r="E601" s="106" t="n">
        <v>80</v>
      </c>
      <c r="F601" s="107" t="n">
        <f aca="false">IF($C601="","",$D601*$E601)</f>
        <v>13.336</v>
      </c>
      <c r="G601" s="107" t="n">
        <f aca="false">IF($C601="","",$D601*IFERROR(INDEX('تحليل التكلفة والسعر'!$C$2:$C$700,MATCH($C601,'تحليل التكلفة والسعر'!$B$2:$B$700,0)),0))</f>
        <v>5.90393055</v>
      </c>
      <c r="H601" s="104" t="s">
        <v>719</v>
      </c>
    </row>
    <row r="602" customFormat="false" ht="15" hidden="false" customHeight="false" outlineLevel="0" collapsed="false">
      <c r="A602" s="103" t="n">
        <v>46296</v>
      </c>
      <c r="B602" s="104" t="s">
        <v>33</v>
      </c>
      <c r="C602" s="104" t="s">
        <v>473</v>
      </c>
      <c r="D602" s="105" t="n">
        <v>3.6667</v>
      </c>
      <c r="E602" s="106" t="n">
        <v>95.2273</v>
      </c>
      <c r="F602" s="107" t="n">
        <f aca="false">IF($C602="","",$D602*$E602)</f>
        <v>349.16994091</v>
      </c>
      <c r="G602" s="107" t="n">
        <f aca="false">IF($C602="","",$D602*IFERROR(INDEX('تحليل التكلفة والسعر'!$C$2:$C$700,MATCH($C602,'تحليل التكلفة والسعر'!$B$2:$B$700,0)),0))</f>
        <v>139.02843055</v>
      </c>
      <c r="H602" s="104" t="s">
        <v>719</v>
      </c>
    </row>
    <row r="603" customFormat="false" ht="15" hidden="false" customHeight="false" outlineLevel="0" collapsed="false">
      <c r="A603" s="103" t="n">
        <v>46297</v>
      </c>
      <c r="B603" s="104" t="s">
        <v>33</v>
      </c>
      <c r="C603" s="104" t="s">
        <v>473</v>
      </c>
      <c r="D603" s="105" t="n">
        <v>3.6667</v>
      </c>
      <c r="E603" s="106" t="n">
        <v>95.2273</v>
      </c>
      <c r="F603" s="107" t="n">
        <f aca="false">IF($C603="","",$D603*$E603)</f>
        <v>349.16994091</v>
      </c>
      <c r="G603" s="107" t="n">
        <f aca="false">IF($C603="","",$D603*IFERROR(INDEX('تحليل التكلفة والسعر'!$C$2:$C$700,MATCH($C603,'تحليل التكلفة والسعر'!$B$2:$B$700,0)),0))</f>
        <v>139.02843055</v>
      </c>
      <c r="H603" s="104" t="s">
        <v>719</v>
      </c>
    </row>
    <row r="604" customFormat="false" ht="15" hidden="false" customHeight="false" outlineLevel="0" collapsed="false">
      <c r="A604" s="103" t="n">
        <v>46298</v>
      </c>
      <c r="B604" s="104" t="s">
        <v>33</v>
      </c>
      <c r="C604" s="104" t="s">
        <v>473</v>
      </c>
      <c r="D604" s="105" t="n">
        <v>3.6667</v>
      </c>
      <c r="E604" s="106" t="n">
        <v>95.2273</v>
      </c>
      <c r="F604" s="107" t="n">
        <f aca="false">IF($C604="","",$D604*$E604)</f>
        <v>349.16994091</v>
      </c>
      <c r="G604" s="107" t="n">
        <f aca="false">IF($C604="","",$D604*IFERROR(INDEX('تحليل التكلفة والسعر'!$C$2:$C$700,MATCH($C604,'تحليل التكلفة والسعر'!$B$2:$B$700,0)),0))</f>
        <v>139.02843055</v>
      </c>
      <c r="H604" s="104" t="s">
        <v>719</v>
      </c>
    </row>
    <row r="605" customFormat="false" ht="15" hidden="false" customHeight="false" outlineLevel="0" collapsed="false">
      <c r="A605" s="103" t="n">
        <v>46299</v>
      </c>
      <c r="B605" s="104" t="s">
        <v>33</v>
      </c>
      <c r="C605" s="104" t="s">
        <v>473</v>
      </c>
      <c r="D605" s="105" t="n">
        <v>3.6667</v>
      </c>
      <c r="E605" s="106" t="n">
        <v>95.2273</v>
      </c>
      <c r="F605" s="107" t="n">
        <f aca="false">IF($C605="","",$D605*$E605)</f>
        <v>349.16994091</v>
      </c>
      <c r="G605" s="107" t="n">
        <f aca="false">IF($C605="","",$D605*IFERROR(INDEX('تحليل التكلفة والسعر'!$C$2:$C$700,MATCH($C605,'تحليل التكلفة والسعر'!$B$2:$B$700,0)),0))</f>
        <v>139.02843055</v>
      </c>
      <c r="H605" s="104" t="s">
        <v>719</v>
      </c>
    </row>
    <row r="606" customFormat="false" ht="15" hidden="false" customHeight="false" outlineLevel="0" collapsed="false">
      <c r="A606" s="103" t="n">
        <v>46300</v>
      </c>
      <c r="B606" s="104" t="s">
        <v>33</v>
      </c>
      <c r="C606" s="104" t="s">
        <v>473</v>
      </c>
      <c r="D606" s="105" t="n">
        <v>3.6667</v>
      </c>
      <c r="E606" s="106" t="n">
        <v>95.2273</v>
      </c>
      <c r="F606" s="107" t="n">
        <f aca="false">IF($C606="","",$D606*$E606)</f>
        <v>349.16994091</v>
      </c>
      <c r="G606" s="107" t="n">
        <f aca="false">IF($C606="","",$D606*IFERROR(INDEX('تحليل التكلفة والسعر'!$C$2:$C$700,MATCH($C606,'تحليل التكلفة والسعر'!$B$2:$B$700,0)),0))</f>
        <v>139.02843055</v>
      </c>
      <c r="H606" s="104" t="s">
        <v>719</v>
      </c>
    </row>
    <row r="607" customFormat="false" ht="15" hidden="false" customHeight="false" outlineLevel="0" collapsed="false">
      <c r="A607" s="103" t="n">
        <v>46301</v>
      </c>
      <c r="B607" s="104" t="s">
        <v>33</v>
      </c>
      <c r="C607" s="104" t="s">
        <v>473</v>
      </c>
      <c r="D607" s="105" t="n">
        <v>3.6667</v>
      </c>
      <c r="E607" s="106" t="n">
        <v>95.2273</v>
      </c>
      <c r="F607" s="107" t="n">
        <f aca="false">IF($C607="","",$D607*$E607)</f>
        <v>349.16994091</v>
      </c>
      <c r="G607" s="107" t="n">
        <f aca="false">IF($C607="","",$D607*IFERROR(INDEX('تحليل التكلفة والسعر'!$C$2:$C$700,MATCH($C607,'تحليل التكلفة والسعر'!$B$2:$B$700,0)),0))</f>
        <v>139.02843055</v>
      </c>
      <c r="H607" s="104" t="s">
        <v>719</v>
      </c>
    </row>
    <row r="608" customFormat="false" ht="15" hidden="false" customHeight="false" outlineLevel="0" collapsed="false">
      <c r="A608" s="103" t="n">
        <v>46302</v>
      </c>
      <c r="B608" s="104" t="s">
        <v>33</v>
      </c>
      <c r="C608" s="104" t="s">
        <v>473</v>
      </c>
      <c r="D608" s="105" t="n">
        <v>3.6667</v>
      </c>
      <c r="E608" s="106" t="n">
        <v>95.2273</v>
      </c>
      <c r="F608" s="107" t="n">
        <f aca="false">IF($C608="","",$D608*$E608)</f>
        <v>349.16994091</v>
      </c>
      <c r="G608" s="107" t="n">
        <f aca="false">IF($C608="","",$D608*IFERROR(INDEX('تحليل التكلفة والسعر'!$C$2:$C$700,MATCH($C608,'تحليل التكلفة والسعر'!$B$2:$B$700,0)),0))</f>
        <v>139.02843055</v>
      </c>
      <c r="H608" s="104" t="s">
        <v>719</v>
      </c>
    </row>
    <row r="609" customFormat="false" ht="15" hidden="false" customHeight="false" outlineLevel="0" collapsed="false">
      <c r="A609" s="103" t="n">
        <v>46303</v>
      </c>
      <c r="B609" s="104" t="s">
        <v>33</v>
      </c>
      <c r="C609" s="104" t="s">
        <v>473</v>
      </c>
      <c r="D609" s="105" t="n">
        <v>3.6667</v>
      </c>
      <c r="E609" s="106" t="n">
        <v>95.2273</v>
      </c>
      <c r="F609" s="107" t="n">
        <f aca="false">IF($C609="","",$D609*$E609)</f>
        <v>349.16994091</v>
      </c>
      <c r="G609" s="107" t="n">
        <f aca="false">IF($C609="","",$D609*IFERROR(INDEX('تحليل التكلفة والسعر'!$C$2:$C$700,MATCH($C609,'تحليل التكلفة والسعر'!$B$2:$B$700,0)),0))</f>
        <v>139.02843055</v>
      </c>
      <c r="H609" s="104" t="s">
        <v>719</v>
      </c>
    </row>
    <row r="610" customFormat="false" ht="15" hidden="false" customHeight="false" outlineLevel="0" collapsed="false">
      <c r="A610" s="103" t="n">
        <v>46304</v>
      </c>
      <c r="B610" s="104" t="s">
        <v>33</v>
      </c>
      <c r="C610" s="104" t="s">
        <v>473</v>
      </c>
      <c r="D610" s="105" t="n">
        <v>3.6667</v>
      </c>
      <c r="E610" s="106" t="n">
        <v>95.2273</v>
      </c>
      <c r="F610" s="107" t="n">
        <f aca="false">IF($C610="","",$D610*$E610)</f>
        <v>349.16994091</v>
      </c>
      <c r="G610" s="107" t="n">
        <f aca="false">IF($C610="","",$D610*IFERROR(INDEX('تحليل التكلفة والسعر'!$C$2:$C$700,MATCH($C610,'تحليل التكلفة والسعر'!$B$2:$B$700,0)),0))</f>
        <v>139.02843055</v>
      </c>
      <c r="H610" s="104" t="s">
        <v>719</v>
      </c>
    </row>
    <row r="611" customFormat="false" ht="15" hidden="false" customHeight="false" outlineLevel="0" collapsed="false">
      <c r="A611" s="103" t="n">
        <v>46305</v>
      </c>
      <c r="B611" s="104" t="s">
        <v>33</v>
      </c>
      <c r="C611" s="104" t="s">
        <v>473</v>
      </c>
      <c r="D611" s="105" t="n">
        <v>3.6667</v>
      </c>
      <c r="E611" s="106" t="n">
        <v>95.2273</v>
      </c>
      <c r="F611" s="107" t="n">
        <f aca="false">IF($C611="","",$D611*$E611)</f>
        <v>349.16994091</v>
      </c>
      <c r="G611" s="107" t="n">
        <f aca="false">IF($C611="","",$D611*IFERROR(INDEX('تحليل التكلفة والسعر'!$C$2:$C$700,MATCH($C611,'تحليل التكلفة والسعر'!$B$2:$B$700,0)),0))</f>
        <v>139.02843055</v>
      </c>
      <c r="H611" s="104" t="s">
        <v>719</v>
      </c>
    </row>
    <row r="612" customFormat="false" ht="15" hidden="false" customHeight="false" outlineLevel="0" collapsed="false">
      <c r="A612" s="103" t="n">
        <v>46306</v>
      </c>
      <c r="B612" s="104" t="s">
        <v>33</v>
      </c>
      <c r="C612" s="104" t="s">
        <v>473</v>
      </c>
      <c r="D612" s="105" t="n">
        <v>3.6667</v>
      </c>
      <c r="E612" s="106" t="n">
        <v>95.2273</v>
      </c>
      <c r="F612" s="107" t="n">
        <f aca="false">IF($C612="","",$D612*$E612)</f>
        <v>349.16994091</v>
      </c>
      <c r="G612" s="107" t="n">
        <f aca="false">IF($C612="","",$D612*IFERROR(INDEX('تحليل التكلفة والسعر'!$C$2:$C$700,MATCH($C612,'تحليل التكلفة والسعر'!$B$2:$B$700,0)),0))</f>
        <v>139.02843055</v>
      </c>
      <c r="H612" s="104" t="s">
        <v>719</v>
      </c>
    </row>
    <row r="613" customFormat="false" ht="15" hidden="false" customHeight="false" outlineLevel="0" collapsed="false">
      <c r="A613" s="103" t="n">
        <v>46307</v>
      </c>
      <c r="B613" s="104" t="s">
        <v>33</v>
      </c>
      <c r="C613" s="104" t="s">
        <v>473</v>
      </c>
      <c r="D613" s="105" t="n">
        <v>3.6667</v>
      </c>
      <c r="E613" s="106" t="n">
        <v>95.2273</v>
      </c>
      <c r="F613" s="107" t="n">
        <f aca="false">IF($C613="","",$D613*$E613)</f>
        <v>349.16994091</v>
      </c>
      <c r="G613" s="107" t="n">
        <f aca="false">IF($C613="","",$D613*IFERROR(INDEX('تحليل التكلفة والسعر'!$C$2:$C$700,MATCH($C613,'تحليل التكلفة والسعر'!$B$2:$B$700,0)),0))</f>
        <v>139.02843055</v>
      </c>
      <c r="H613" s="104" t="s">
        <v>719</v>
      </c>
    </row>
    <row r="614" customFormat="false" ht="15" hidden="false" customHeight="false" outlineLevel="0" collapsed="false">
      <c r="A614" s="103" t="n">
        <v>46296</v>
      </c>
      <c r="B614" s="104" t="s">
        <v>33</v>
      </c>
      <c r="C614" s="104" t="s">
        <v>390</v>
      </c>
      <c r="D614" s="105" t="n">
        <v>0.0833</v>
      </c>
      <c r="E614" s="106" t="n">
        <v>160</v>
      </c>
      <c r="F614" s="107" t="n">
        <f aca="false">IF($C614="","",$D614*$E614)</f>
        <v>13.328</v>
      </c>
      <c r="G614" s="107" t="n">
        <f aca="false">IF($C614="","",$D614*IFERROR(INDEX('تحليل التكلفة والسعر'!$C$2:$C$700,MATCH($C614,'تحليل التكلفة والسعر'!$B$2:$B$700,0)),0))</f>
        <v>5.9002976865</v>
      </c>
      <c r="H614" s="104" t="s">
        <v>719</v>
      </c>
    </row>
    <row r="615" customFormat="false" ht="15" hidden="false" customHeight="false" outlineLevel="0" collapsed="false">
      <c r="A615" s="103" t="n">
        <v>46297</v>
      </c>
      <c r="B615" s="104" t="s">
        <v>33</v>
      </c>
      <c r="C615" s="104" t="s">
        <v>390</v>
      </c>
      <c r="D615" s="105" t="n">
        <v>0.0833</v>
      </c>
      <c r="E615" s="106" t="n">
        <v>160</v>
      </c>
      <c r="F615" s="107" t="n">
        <f aca="false">IF($C615="","",$D615*$E615)</f>
        <v>13.328</v>
      </c>
      <c r="G615" s="107" t="n">
        <f aca="false">IF($C615="","",$D615*IFERROR(INDEX('تحليل التكلفة والسعر'!$C$2:$C$700,MATCH($C615,'تحليل التكلفة والسعر'!$B$2:$B$700,0)),0))</f>
        <v>5.9002976865</v>
      </c>
      <c r="H615" s="104" t="s">
        <v>719</v>
      </c>
    </row>
    <row r="616" customFormat="false" ht="15" hidden="false" customHeight="false" outlineLevel="0" collapsed="false">
      <c r="A616" s="103" t="n">
        <v>46298</v>
      </c>
      <c r="B616" s="104" t="s">
        <v>33</v>
      </c>
      <c r="C616" s="104" t="s">
        <v>390</v>
      </c>
      <c r="D616" s="105" t="n">
        <v>0.0833</v>
      </c>
      <c r="E616" s="106" t="n">
        <v>160</v>
      </c>
      <c r="F616" s="107" t="n">
        <f aca="false">IF($C616="","",$D616*$E616)</f>
        <v>13.328</v>
      </c>
      <c r="G616" s="107" t="n">
        <f aca="false">IF($C616="","",$D616*IFERROR(INDEX('تحليل التكلفة والسعر'!$C$2:$C$700,MATCH($C616,'تحليل التكلفة والسعر'!$B$2:$B$700,0)),0))</f>
        <v>5.9002976865</v>
      </c>
      <c r="H616" s="104" t="s">
        <v>719</v>
      </c>
    </row>
    <row r="617" customFormat="false" ht="15" hidden="false" customHeight="false" outlineLevel="0" collapsed="false">
      <c r="A617" s="103" t="n">
        <v>46299</v>
      </c>
      <c r="B617" s="104" t="s">
        <v>33</v>
      </c>
      <c r="C617" s="104" t="s">
        <v>390</v>
      </c>
      <c r="D617" s="105" t="n">
        <v>0.0833</v>
      </c>
      <c r="E617" s="106" t="n">
        <v>160</v>
      </c>
      <c r="F617" s="107" t="n">
        <f aca="false">IF($C617="","",$D617*$E617)</f>
        <v>13.328</v>
      </c>
      <c r="G617" s="107" t="n">
        <f aca="false">IF($C617="","",$D617*IFERROR(INDEX('تحليل التكلفة والسعر'!$C$2:$C$700,MATCH($C617,'تحليل التكلفة والسعر'!$B$2:$B$700,0)),0))</f>
        <v>5.9002976865</v>
      </c>
      <c r="H617" s="104" t="s">
        <v>719</v>
      </c>
    </row>
    <row r="618" customFormat="false" ht="15" hidden="false" customHeight="false" outlineLevel="0" collapsed="false">
      <c r="A618" s="103" t="n">
        <v>46300</v>
      </c>
      <c r="B618" s="104" t="s">
        <v>33</v>
      </c>
      <c r="C618" s="104" t="s">
        <v>390</v>
      </c>
      <c r="D618" s="105" t="n">
        <v>0.0833</v>
      </c>
      <c r="E618" s="106" t="n">
        <v>160</v>
      </c>
      <c r="F618" s="107" t="n">
        <f aca="false">IF($C618="","",$D618*$E618)</f>
        <v>13.328</v>
      </c>
      <c r="G618" s="107" t="n">
        <f aca="false">IF($C618="","",$D618*IFERROR(INDEX('تحليل التكلفة والسعر'!$C$2:$C$700,MATCH($C618,'تحليل التكلفة والسعر'!$B$2:$B$700,0)),0))</f>
        <v>5.9002976865</v>
      </c>
      <c r="H618" s="104" t="s">
        <v>719</v>
      </c>
    </row>
    <row r="619" customFormat="false" ht="15" hidden="false" customHeight="false" outlineLevel="0" collapsed="false">
      <c r="A619" s="103" t="n">
        <v>46301</v>
      </c>
      <c r="B619" s="104" t="s">
        <v>33</v>
      </c>
      <c r="C619" s="104" t="s">
        <v>390</v>
      </c>
      <c r="D619" s="105" t="n">
        <v>0.0833</v>
      </c>
      <c r="E619" s="106" t="n">
        <v>160</v>
      </c>
      <c r="F619" s="107" t="n">
        <f aca="false">IF($C619="","",$D619*$E619)</f>
        <v>13.328</v>
      </c>
      <c r="G619" s="107" t="n">
        <f aca="false">IF($C619="","",$D619*IFERROR(INDEX('تحليل التكلفة والسعر'!$C$2:$C$700,MATCH($C619,'تحليل التكلفة والسعر'!$B$2:$B$700,0)),0))</f>
        <v>5.9002976865</v>
      </c>
      <c r="H619" s="104" t="s">
        <v>719</v>
      </c>
    </row>
    <row r="620" customFormat="false" ht="15" hidden="false" customHeight="false" outlineLevel="0" collapsed="false">
      <c r="A620" s="103" t="n">
        <v>46302</v>
      </c>
      <c r="B620" s="104" t="s">
        <v>33</v>
      </c>
      <c r="C620" s="104" t="s">
        <v>390</v>
      </c>
      <c r="D620" s="105" t="n">
        <v>0.0833</v>
      </c>
      <c r="E620" s="106" t="n">
        <v>160</v>
      </c>
      <c r="F620" s="107" t="n">
        <f aca="false">IF($C620="","",$D620*$E620)</f>
        <v>13.328</v>
      </c>
      <c r="G620" s="107" t="n">
        <f aca="false">IF($C620="","",$D620*IFERROR(INDEX('تحليل التكلفة والسعر'!$C$2:$C$700,MATCH($C620,'تحليل التكلفة والسعر'!$B$2:$B$700,0)),0))</f>
        <v>5.9002976865</v>
      </c>
      <c r="H620" s="104" t="s">
        <v>719</v>
      </c>
    </row>
    <row r="621" customFormat="false" ht="15" hidden="false" customHeight="false" outlineLevel="0" collapsed="false">
      <c r="A621" s="103" t="n">
        <v>46303</v>
      </c>
      <c r="B621" s="104" t="s">
        <v>33</v>
      </c>
      <c r="C621" s="104" t="s">
        <v>390</v>
      </c>
      <c r="D621" s="105" t="n">
        <v>0.0833</v>
      </c>
      <c r="E621" s="106" t="n">
        <v>160</v>
      </c>
      <c r="F621" s="107" t="n">
        <f aca="false">IF($C621="","",$D621*$E621)</f>
        <v>13.328</v>
      </c>
      <c r="G621" s="107" t="n">
        <f aca="false">IF($C621="","",$D621*IFERROR(INDEX('تحليل التكلفة والسعر'!$C$2:$C$700,MATCH($C621,'تحليل التكلفة والسعر'!$B$2:$B$700,0)),0))</f>
        <v>5.9002976865</v>
      </c>
      <c r="H621" s="104" t="s">
        <v>719</v>
      </c>
    </row>
    <row r="622" customFormat="false" ht="15" hidden="false" customHeight="false" outlineLevel="0" collapsed="false">
      <c r="A622" s="103" t="n">
        <v>46304</v>
      </c>
      <c r="B622" s="104" t="s">
        <v>33</v>
      </c>
      <c r="C622" s="104" t="s">
        <v>390</v>
      </c>
      <c r="D622" s="105" t="n">
        <v>0.0833</v>
      </c>
      <c r="E622" s="106" t="n">
        <v>160</v>
      </c>
      <c r="F622" s="107" t="n">
        <f aca="false">IF($C622="","",$D622*$E622)</f>
        <v>13.328</v>
      </c>
      <c r="G622" s="107" t="n">
        <f aca="false">IF($C622="","",$D622*IFERROR(INDEX('تحليل التكلفة والسعر'!$C$2:$C$700,MATCH($C622,'تحليل التكلفة والسعر'!$B$2:$B$700,0)),0))</f>
        <v>5.9002976865</v>
      </c>
      <c r="H622" s="104" t="s">
        <v>719</v>
      </c>
    </row>
    <row r="623" customFormat="false" ht="15" hidden="false" customHeight="false" outlineLevel="0" collapsed="false">
      <c r="A623" s="103" t="n">
        <v>46305</v>
      </c>
      <c r="B623" s="104" t="s">
        <v>33</v>
      </c>
      <c r="C623" s="104" t="s">
        <v>390</v>
      </c>
      <c r="D623" s="105" t="n">
        <v>0.0833</v>
      </c>
      <c r="E623" s="106" t="n">
        <v>160</v>
      </c>
      <c r="F623" s="107" t="n">
        <f aca="false">IF($C623="","",$D623*$E623)</f>
        <v>13.328</v>
      </c>
      <c r="G623" s="107" t="n">
        <f aca="false">IF($C623="","",$D623*IFERROR(INDEX('تحليل التكلفة والسعر'!$C$2:$C$700,MATCH($C623,'تحليل التكلفة والسعر'!$B$2:$B$700,0)),0))</f>
        <v>5.9002976865</v>
      </c>
      <c r="H623" s="104" t="s">
        <v>719</v>
      </c>
    </row>
    <row r="624" customFormat="false" ht="15" hidden="false" customHeight="false" outlineLevel="0" collapsed="false">
      <c r="A624" s="103" t="n">
        <v>46306</v>
      </c>
      <c r="B624" s="104" t="s">
        <v>33</v>
      </c>
      <c r="C624" s="104" t="s">
        <v>390</v>
      </c>
      <c r="D624" s="105" t="n">
        <v>0.0833</v>
      </c>
      <c r="E624" s="106" t="n">
        <v>160</v>
      </c>
      <c r="F624" s="107" t="n">
        <f aca="false">IF($C624="","",$D624*$E624)</f>
        <v>13.328</v>
      </c>
      <c r="G624" s="107" t="n">
        <f aca="false">IF($C624="","",$D624*IFERROR(INDEX('تحليل التكلفة والسعر'!$C$2:$C$700,MATCH($C624,'تحليل التكلفة والسعر'!$B$2:$B$700,0)),0))</f>
        <v>5.9002976865</v>
      </c>
      <c r="H624" s="104" t="s">
        <v>719</v>
      </c>
    </row>
    <row r="625" customFormat="false" ht="15" hidden="false" customHeight="false" outlineLevel="0" collapsed="false">
      <c r="A625" s="103" t="n">
        <v>46307</v>
      </c>
      <c r="B625" s="104" t="s">
        <v>33</v>
      </c>
      <c r="C625" s="104" t="s">
        <v>390</v>
      </c>
      <c r="D625" s="105" t="n">
        <v>0.0833</v>
      </c>
      <c r="E625" s="106" t="n">
        <v>160</v>
      </c>
      <c r="F625" s="107" t="n">
        <f aca="false">IF($C625="","",$D625*$E625)</f>
        <v>13.328</v>
      </c>
      <c r="G625" s="107" t="n">
        <f aca="false">IF($C625="","",$D625*IFERROR(INDEX('تحليل التكلفة والسعر'!$C$2:$C$700,MATCH($C625,'تحليل التكلفة والسعر'!$B$2:$B$700,0)),0))</f>
        <v>5.9002976865</v>
      </c>
      <c r="H625" s="104" t="s">
        <v>719</v>
      </c>
    </row>
    <row r="626" customFormat="false" ht="15" hidden="false" customHeight="false" outlineLevel="0" collapsed="false">
      <c r="A626" s="103" t="n">
        <v>46296</v>
      </c>
      <c r="B626" s="104" t="s">
        <v>33</v>
      </c>
      <c r="C626" s="104" t="s">
        <v>395</v>
      </c>
      <c r="D626" s="105" t="n">
        <v>0.1667</v>
      </c>
      <c r="E626" s="106" t="n">
        <v>105</v>
      </c>
      <c r="F626" s="107" t="n">
        <f aca="false">IF($C626="","",$D626*$E626)</f>
        <v>17.5035</v>
      </c>
      <c r="G626" s="107" t="n">
        <f aca="false">IF($C626="","",$D626*IFERROR(INDEX('تحليل التكلفة والسعر'!$C$2:$C$700,MATCH($C626,'تحليل التكلفة والسعر'!$B$2:$B$700,0)),0))</f>
        <v>8.424479559</v>
      </c>
      <c r="H626" s="104" t="s">
        <v>719</v>
      </c>
    </row>
    <row r="627" customFormat="false" ht="15" hidden="false" customHeight="false" outlineLevel="0" collapsed="false">
      <c r="A627" s="103" t="n">
        <v>46297</v>
      </c>
      <c r="B627" s="104" t="s">
        <v>33</v>
      </c>
      <c r="C627" s="104" t="s">
        <v>395</v>
      </c>
      <c r="D627" s="105" t="n">
        <v>0.1667</v>
      </c>
      <c r="E627" s="106" t="n">
        <v>105</v>
      </c>
      <c r="F627" s="107" t="n">
        <f aca="false">IF($C627="","",$D627*$E627)</f>
        <v>17.5035</v>
      </c>
      <c r="G627" s="107" t="n">
        <f aca="false">IF($C627="","",$D627*IFERROR(INDEX('تحليل التكلفة والسعر'!$C$2:$C$700,MATCH($C627,'تحليل التكلفة والسعر'!$B$2:$B$700,0)),0))</f>
        <v>8.424479559</v>
      </c>
      <c r="H627" s="104" t="s">
        <v>719</v>
      </c>
    </row>
    <row r="628" customFormat="false" ht="15" hidden="false" customHeight="false" outlineLevel="0" collapsed="false">
      <c r="A628" s="103" t="n">
        <v>46298</v>
      </c>
      <c r="B628" s="104" t="s">
        <v>33</v>
      </c>
      <c r="C628" s="104" t="s">
        <v>395</v>
      </c>
      <c r="D628" s="105" t="n">
        <v>0.1667</v>
      </c>
      <c r="E628" s="106" t="n">
        <v>105</v>
      </c>
      <c r="F628" s="107" t="n">
        <f aca="false">IF($C628="","",$D628*$E628)</f>
        <v>17.5035</v>
      </c>
      <c r="G628" s="107" t="n">
        <f aca="false">IF($C628="","",$D628*IFERROR(INDEX('تحليل التكلفة والسعر'!$C$2:$C$700,MATCH($C628,'تحليل التكلفة والسعر'!$B$2:$B$700,0)),0))</f>
        <v>8.424479559</v>
      </c>
      <c r="H628" s="104" t="s">
        <v>719</v>
      </c>
    </row>
    <row r="629" customFormat="false" ht="15" hidden="false" customHeight="false" outlineLevel="0" collapsed="false">
      <c r="A629" s="103" t="n">
        <v>46299</v>
      </c>
      <c r="B629" s="104" t="s">
        <v>33</v>
      </c>
      <c r="C629" s="104" t="s">
        <v>395</v>
      </c>
      <c r="D629" s="105" t="n">
        <v>0.1667</v>
      </c>
      <c r="E629" s="106" t="n">
        <v>105</v>
      </c>
      <c r="F629" s="107" t="n">
        <f aca="false">IF($C629="","",$D629*$E629)</f>
        <v>17.5035</v>
      </c>
      <c r="G629" s="107" t="n">
        <f aca="false">IF($C629="","",$D629*IFERROR(INDEX('تحليل التكلفة والسعر'!$C$2:$C$700,MATCH($C629,'تحليل التكلفة والسعر'!$B$2:$B$700,0)),0))</f>
        <v>8.424479559</v>
      </c>
      <c r="H629" s="104" t="s">
        <v>719</v>
      </c>
    </row>
    <row r="630" customFormat="false" ht="15" hidden="false" customHeight="false" outlineLevel="0" collapsed="false">
      <c r="A630" s="103" t="n">
        <v>46300</v>
      </c>
      <c r="B630" s="104" t="s">
        <v>33</v>
      </c>
      <c r="C630" s="104" t="s">
        <v>395</v>
      </c>
      <c r="D630" s="105" t="n">
        <v>0.1667</v>
      </c>
      <c r="E630" s="106" t="n">
        <v>105</v>
      </c>
      <c r="F630" s="107" t="n">
        <f aca="false">IF($C630="","",$D630*$E630)</f>
        <v>17.5035</v>
      </c>
      <c r="G630" s="107" t="n">
        <f aca="false">IF($C630="","",$D630*IFERROR(INDEX('تحليل التكلفة والسعر'!$C$2:$C$700,MATCH($C630,'تحليل التكلفة والسعر'!$B$2:$B$700,0)),0))</f>
        <v>8.424479559</v>
      </c>
      <c r="H630" s="104" t="s">
        <v>719</v>
      </c>
    </row>
    <row r="631" customFormat="false" ht="15" hidden="false" customHeight="false" outlineLevel="0" collapsed="false">
      <c r="A631" s="103" t="n">
        <v>46301</v>
      </c>
      <c r="B631" s="104" t="s">
        <v>33</v>
      </c>
      <c r="C631" s="104" t="s">
        <v>395</v>
      </c>
      <c r="D631" s="105" t="n">
        <v>0.1667</v>
      </c>
      <c r="E631" s="106" t="n">
        <v>105</v>
      </c>
      <c r="F631" s="107" t="n">
        <f aca="false">IF($C631="","",$D631*$E631)</f>
        <v>17.5035</v>
      </c>
      <c r="G631" s="107" t="n">
        <f aca="false">IF($C631="","",$D631*IFERROR(INDEX('تحليل التكلفة والسعر'!$C$2:$C$700,MATCH($C631,'تحليل التكلفة والسعر'!$B$2:$B$700,0)),0))</f>
        <v>8.424479559</v>
      </c>
      <c r="H631" s="104" t="s">
        <v>719</v>
      </c>
    </row>
    <row r="632" customFormat="false" ht="15" hidden="false" customHeight="false" outlineLevel="0" collapsed="false">
      <c r="A632" s="103" t="n">
        <v>46302</v>
      </c>
      <c r="B632" s="104" t="s">
        <v>33</v>
      </c>
      <c r="C632" s="104" t="s">
        <v>395</v>
      </c>
      <c r="D632" s="105" t="n">
        <v>0.1667</v>
      </c>
      <c r="E632" s="106" t="n">
        <v>105</v>
      </c>
      <c r="F632" s="107" t="n">
        <f aca="false">IF($C632="","",$D632*$E632)</f>
        <v>17.5035</v>
      </c>
      <c r="G632" s="107" t="n">
        <f aca="false">IF($C632="","",$D632*IFERROR(INDEX('تحليل التكلفة والسعر'!$C$2:$C$700,MATCH($C632,'تحليل التكلفة والسعر'!$B$2:$B$700,0)),0))</f>
        <v>8.424479559</v>
      </c>
      <c r="H632" s="104" t="s">
        <v>719</v>
      </c>
    </row>
    <row r="633" customFormat="false" ht="15" hidden="false" customHeight="false" outlineLevel="0" collapsed="false">
      <c r="A633" s="103" t="n">
        <v>46303</v>
      </c>
      <c r="B633" s="104" t="s">
        <v>33</v>
      </c>
      <c r="C633" s="104" t="s">
        <v>395</v>
      </c>
      <c r="D633" s="105" t="n">
        <v>0.1667</v>
      </c>
      <c r="E633" s="106" t="n">
        <v>105</v>
      </c>
      <c r="F633" s="107" t="n">
        <f aca="false">IF($C633="","",$D633*$E633)</f>
        <v>17.5035</v>
      </c>
      <c r="G633" s="107" t="n">
        <f aca="false">IF($C633="","",$D633*IFERROR(INDEX('تحليل التكلفة والسعر'!$C$2:$C$700,MATCH($C633,'تحليل التكلفة والسعر'!$B$2:$B$700,0)),0))</f>
        <v>8.424479559</v>
      </c>
      <c r="H633" s="104" t="s">
        <v>719</v>
      </c>
    </row>
    <row r="634" customFormat="false" ht="15" hidden="false" customHeight="false" outlineLevel="0" collapsed="false">
      <c r="A634" s="103" t="n">
        <v>46304</v>
      </c>
      <c r="B634" s="104" t="s">
        <v>33</v>
      </c>
      <c r="C634" s="104" t="s">
        <v>395</v>
      </c>
      <c r="D634" s="105" t="n">
        <v>0.1667</v>
      </c>
      <c r="E634" s="106" t="n">
        <v>105</v>
      </c>
      <c r="F634" s="107" t="n">
        <f aca="false">IF($C634="","",$D634*$E634)</f>
        <v>17.5035</v>
      </c>
      <c r="G634" s="107" t="n">
        <f aca="false">IF($C634="","",$D634*IFERROR(INDEX('تحليل التكلفة والسعر'!$C$2:$C$700,MATCH($C634,'تحليل التكلفة والسعر'!$B$2:$B$700,0)),0))</f>
        <v>8.424479559</v>
      </c>
      <c r="H634" s="104" t="s">
        <v>719</v>
      </c>
    </row>
    <row r="635" customFormat="false" ht="15" hidden="false" customHeight="false" outlineLevel="0" collapsed="false">
      <c r="A635" s="103" t="n">
        <v>46305</v>
      </c>
      <c r="B635" s="104" t="s">
        <v>33</v>
      </c>
      <c r="C635" s="104" t="s">
        <v>395</v>
      </c>
      <c r="D635" s="105" t="n">
        <v>0.1667</v>
      </c>
      <c r="E635" s="106" t="n">
        <v>105</v>
      </c>
      <c r="F635" s="107" t="n">
        <f aca="false">IF($C635="","",$D635*$E635)</f>
        <v>17.5035</v>
      </c>
      <c r="G635" s="107" t="n">
        <f aca="false">IF($C635="","",$D635*IFERROR(INDEX('تحليل التكلفة والسعر'!$C$2:$C$700,MATCH($C635,'تحليل التكلفة والسعر'!$B$2:$B$700,0)),0))</f>
        <v>8.424479559</v>
      </c>
      <c r="H635" s="104" t="s">
        <v>719</v>
      </c>
    </row>
    <row r="636" customFormat="false" ht="15" hidden="false" customHeight="false" outlineLevel="0" collapsed="false">
      <c r="A636" s="103" t="n">
        <v>46306</v>
      </c>
      <c r="B636" s="104" t="s">
        <v>33</v>
      </c>
      <c r="C636" s="104" t="s">
        <v>395</v>
      </c>
      <c r="D636" s="105" t="n">
        <v>0.1667</v>
      </c>
      <c r="E636" s="106" t="n">
        <v>105</v>
      </c>
      <c r="F636" s="107" t="n">
        <f aca="false">IF($C636="","",$D636*$E636)</f>
        <v>17.5035</v>
      </c>
      <c r="G636" s="107" t="n">
        <f aca="false">IF($C636="","",$D636*IFERROR(INDEX('تحليل التكلفة والسعر'!$C$2:$C$700,MATCH($C636,'تحليل التكلفة والسعر'!$B$2:$B$700,0)),0))</f>
        <v>8.424479559</v>
      </c>
      <c r="H636" s="104" t="s">
        <v>719</v>
      </c>
    </row>
    <row r="637" customFormat="false" ht="15" hidden="false" customHeight="false" outlineLevel="0" collapsed="false">
      <c r="A637" s="103" t="n">
        <v>46307</v>
      </c>
      <c r="B637" s="104" t="s">
        <v>33</v>
      </c>
      <c r="C637" s="104" t="s">
        <v>395</v>
      </c>
      <c r="D637" s="105" t="n">
        <v>0.1667</v>
      </c>
      <c r="E637" s="106" t="n">
        <v>105</v>
      </c>
      <c r="F637" s="107" t="n">
        <f aca="false">IF($C637="","",$D637*$E637)</f>
        <v>17.5035</v>
      </c>
      <c r="G637" s="107" t="n">
        <f aca="false">IF($C637="","",$D637*IFERROR(INDEX('تحليل التكلفة والسعر'!$C$2:$C$700,MATCH($C637,'تحليل التكلفة والسعر'!$B$2:$B$700,0)),0))</f>
        <v>8.424479559</v>
      </c>
      <c r="H637" s="104" t="s">
        <v>719</v>
      </c>
    </row>
    <row r="638" customFormat="false" ht="15" hidden="false" customHeight="false" outlineLevel="0" collapsed="false">
      <c r="A638" s="103" t="n">
        <v>46296</v>
      </c>
      <c r="B638" s="104" t="s">
        <v>33</v>
      </c>
      <c r="C638" s="104" t="s">
        <v>469</v>
      </c>
      <c r="D638" s="105" t="n">
        <v>0.6667</v>
      </c>
      <c r="E638" s="106" t="n">
        <v>200</v>
      </c>
      <c r="F638" s="107" t="n">
        <f aca="false">IF($C638="","",$D638*$E638)</f>
        <v>133.34</v>
      </c>
      <c r="G638" s="107" t="n">
        <f aca="false">IF($C638="","",$D638*IFERROR(INDEX('تحليل التكلفة والسعر'!$C$2:$C$700,MATCH($C638,'تحليل التكلفة والسعر'!$B$2:$B$700,0)),0))</f>
        <v>70.5308597</v>
      </c>
      <c r="H638" s="104" t="s">
        <v>719</v>
      </c>
    </row>
    <row r="639" customFormat="false" ht="15" hidden="false" customHeight="false" outlineLevel="0" collapsed="false">
      <c r="A639" s="103" t="n">
        <v>46297</v>
      </c>
      <c r="B639" s="104" t="s">
        <v>33</v>
      </c>
      <c r="C639" s="104" t="s">
        <v>469</v>
      </c>
      <c r="D639" s="105" t="n">
        <v>0.6667</v>
      </c>
      <c r="E639" s="106" t="n">
        <v>200</v>
      </c>
      <c r="F639" s="107" t="n">
        <f aca="false">IF($C639="","",$D639*$E639)</f>
        <v>133.34</v>
      </c>
      <c r="G639" s="107" t="n">
        <f aca="false">IF($C639="","",$D639*IFERROR(INDEX('تحليل التكلفة والسعر'!$C$2:$C$700,MATCH($C639,'تحليل التكلفة والسعر'!$B$2:$B$700,0)),0))</f>
        <v>70.5308597</v>
      </c>
      <c r="H639" s="104" t="s">
        <v>719</v>
      </c>
    </row>
    <row r="640" customFormat="false" ht="15" hidden="false" customHeight="false" outlineLevel="0" collapsed="false">
      <c r="A640" s="103" t="n">
        <v>46298</v>
      </c>
      <c r="B640" s="104" t="s">
        <v>33</v>
      </c>
      <c r="C640" s="104" t="s">
        <v>469</v>
      </c>
      <c r="D640" s="105" t="n">
        <v>0.6667</v>
      </c>
      <c r="E640" s="106" t="n">
        <v>200</v>
      </c>
      <c r="F640" s="107" t="n">
        <f aca="false">IF($C640="","",$D640*$E640)</f>
        <v>133.34</v>
      </c>
      <c r="G640" s="107" t="n">
        <f aca="false">IF($C640="","",$D640*IFERROR(INDEX('تحليل التكلفة والسعر'!$C$2:$C$700,MATCH($C640,'تحليل التكلفة والسعر'!$B$2:$B$700,0)),0))</f>
        <v>70.5308597</v>
      </c>
      <c r="H640" s="104" t="s">
        <v>719</v>
      </c>
    </row>
    <row r="641" customFormat="false" ht="15" hidden="false" customHeight="false" outlineLevel="0" collapsed="false">
      <c r="A641" s="103" t="n">
        <v>46299</v>
      </c>
      <c r="B641" s="104" t="s">
        <v>33</v>
      </c>
      <c r="C641" s="104" t="s">
        <v>469</v>
      </c>
      <c r="D641" s="105" t="n">
        <v>0.6667</v>
      </c>
      <c r="E641" s="106" t="n">
        <v>200</v>
      </c>
      <c r="F641" s="107" t="n">
        <f aca="false">IF($C641="","",$D641*$E641)</f>
        <v>133.34</v>
      </c>
      <c r="G641" s="107" t="n">
        <f aca="false">IF($C641="","",$D641*IFERROR(INDEX('تحليل التكلفة والسعر'!$C$2:$C$700,MATCH($C641,'تحليل التكلفة والسعر'!$B$2:$B$700,0)),0))</f>
        <v>70.5308597</v>
      </c>
      <c r="H641" s="104" t="s">
        <v>719</v>
      </c>
    </row>
    <row r="642" customFormat="false" ht="15" hidden="false" customHeight="false" outlineLevel="0" collapsed="false">
      <c r="A642" s="103" t="n">
        <v>46300</v>
      </c>
      <c r="B642" s="104" t="s">
        <v>33</v>
      </c>
      <c r="C642" s="104" t="s">
        <v>469</v>
      </c>
      <c r="D642" s="105" t="n">
        <v>0.6667</v>
      </c>
      <c r="E642" s="106" t="n">
        <v>200</v>
      </c>
      <c r="F642" s="107" t="n">
        <f aca="false">IF($C642="","",$D642*$E642)</f>
        <v>133.34</v>
      </c>
      <c r="G642" s="107" t="n">
        <f aca="false">IF($C642="","",$D642*IFERROR(INDEX('تحليل التكلفة والسعر'!$C$2:$C$700,MATCH($C642,'تحليل التكلفة والسعر'!$B$2:$B$700,0)),0))</f>
        <v>70.5308597</v>
      </c>
      <c r="H642" s="104" t="s">
        <v>719</v>
      </c>
    </row>
    <row r="643" customFormat="false" ht="15" hidden="false" customHeight="false" outlineLevel="0" collapsed="false">
      <c r="A643" s="103" t="n">
        <v>46301</v>
      </c>
      <c r="B643" s="104" t="s">
        <v>33</v>
      </c>
      <c r="C643" s="104" t="s">
        <v>469</v>
      </c>
      <c r="D643" s="105" t="n">
        <v>0.6667</v>
      </c>
      <c r="E643" s="106" t="n">
        <v>200</v>
      </c>
      <c r="F643" s="107" t="n">
        <f aca="false">IF($C643="","",$D643*$E643)</f>
        <v>133.34</v>
      </c>
      <c r="G643" s="107" t="n">
        <f aca="false">IF($C643="","",$D643*IFERROR(INDEX('تحليل التكلفة والسعر'!$C$2:$C$700,MATCH($C643,'تحليل التكلفة والسعر'!$B$2:$B$700,0)),0))</f>
        <v>70.5308597</v>
      </c>
      <c r="H643" s="104" t="s">
        <v>719</v>
      </c>
    </row>
    <row r="644" customFormat="false" ht="15" hidden="false" customHeight="false" outlineLevel="0" collapsed="false">
      <c r="A644" s="103" t="n">
        <v>46302</v>
      </c>
      <c r="B644" s="104" t="s">
        <v>33</v>
      </c>
      <c r="C644" s="104" t="s">
        <v>469</v>
      </c>
      <c r="D644" s="105" t="n">
        <v>0.6667</v>
      </c>
      <c r="E644" s="106" t="n">
        <v>200</v>
      </c>
      <c r="F644" s="107" t="n">
        <f aca="false">IF($C644="","",$D644*$E644)</f>
        <v>133.34</v>
      </c>
      <c r="G644" s="107" t="n">
        <f aca="false">IF($C644="","",$D644*IFERROR(INDEX('تحليل التكلفة والسعر'!$C$2:$C$700,MATCH($C644,'تحليل التكلفة والسعر'!$B$2:$B$700,0)),0))</f>
        <v>70.5308597</v>
      </c>
      <c r="H644" s="104" t="s">
        <v>719</v>
      </c>
    </row>
    <row r="645" customFormat="false" ht="15" hidden="false" customHeight="false" outlineLevel="0" collapsed="false">
      <c r="A645" s="103" t="n">
        <v>46303</v>
      </c>
      <c r="B645" s="104" t="s">
        <v>33</v>
      </c>
      <c r="C645" s="104" t="s">
        <v>469</v>
      </c>
      <c r="D645" s="105" t="n">
        <v>0.6667</v>
      </c>
      <c r="E645" s="106" t="n">
        <v>200</v>
      </c>
      <c r="F645" s="107" t="n">
        <f aca="false">IF($C645="","",$D645*$E645)</f>
        <v>133.34</v>
      </c>
      <c r="G645" s="107" t="n">
        <f aca="false">IF($C645="","",$D645*IFERROR(INDEX('تحليل التكلفة والسعر'!$C$2:$C$700,MATCH($C645,'تحليل التكلفة والسعر'!$B$2:$B$700,0)),0))</f>
        <v>70.5308597</v>
      </c>
      <c r="H645" s="104" t="s">
        <v>719</v>
      </c>
    </row>
    <row r="646" customFormat="false" ht="15" hidden="false" customHeight="false" outlineLevel="0" collapsed="false">
      <c r="A646" s="103" t="n">
        <v>46304</v>
      </c>
      <c r="B646" s="104" t="s">
        <v>33</v>
      </c>
      <c r="C646" s="104" t="s">
        <v>469</v>
      </c>
      <c r="D646" s="105" t="n">
        <v>0.6667</v>
      </c>
      <c r="E646" s="106" t="n">
        <v>200</v>
      </c>
      <c r="F646" s="107" t="n">
        <f aca="false">IF($C646="","",$D646*$E646)</f>
        <v>133.34</v>
      </c>
      <c r="G646" s="107" t="n">
        <f aca="false">IF($C646="","",$D646*IFERROR(INDEX('تحليل التكلفة والسعر'!$C$2:$C$700,MATCH($C646,'تحليل التكلفة والسعر'!$B$2:$B$700,0)),0))</f>
        <v>70.5308597</v>
      </c>
      <c r="H646" s="104" t="s">
        <v>719</v>
      </c>
    </row>
    <row r="647" customFormat="false" ht="15" hidden="false" customHeight="false" outlineLevel="0" collapsed="false">
      <c r="A647" s="103" t="n">
        <v>46305</v>
      </c>
      <c r="B647" s="104" t="s">
        <v>33</v>
      </c>
      <c r="C647" s="104" t="s">
        <v>469</v>
      </c>
      <c r="D647" s="105" t="n">
        <v>0.6667</v>
      </c>
      <c r="E647" s="106" t="n">
        <v>200</v>
      </c>
      <c r="F647" s="107" t="n">
        <f aca="false">IF($C647="","",$D647*$E647)</f>
        <v>133.34</v>
      </c>
      <c r="G647" s="107" t="n">
        <f aca="false">IF($C647="","",$D647*IFERROR(INDEX('تحليل التكلفة والسعر'!$C$2:$C$700,MATCH($C647,'تحليل التكلفة والسعر'!$B$2:$B$700,0)),0))</f>
        <v>70.5308597</v>
      </c>
      <c r="H647" s="104" t="s">
        <v>719</v>
      </c>
    </row>
    <row r="648" customFormat="false" ht="15" hidden="false" customHeight="false" outlineLevel="0" collapsed="false">
      <c r="A648" s="103" t="n">
        <v>46306</v>
      </c>
      <c r="B648" s="104" t="s">
        <v>33</v>
      </c>
      <c r="C648" s="104" t="s">
        <v>469</v>
      </c>
      <c r="D648" s="105" t="n">
        <v>0.6667</v>
      </c>
      <c r="E648" s="106" t="n">
        <v>200</v>
      </c>
      <c r="F648" s="107" t="n">
        <f aca="false">IF($C648="","",$D648*$E648)</f>
        <v>133.34</v>
      </c>
      <c r="G648" s="107" t="n">
        <f aca="false">IF($C648="","",$D648*IFERROR(INDEX('تحليل التكلفة والسعر'!$C$2:$C$700,MATCH($C648,'تحليل التكلفة والسعر'!$B$2:$B$700,0)),0))</f>
        <v>70.5308597</v>
      </c>
      <c r="H648" s="104" t="s">
        <v>719</v>
      </c>
    </row>
    <row r="649" customFormat="false" ht="15" hidden="false" customHeight="false" outlineLevel="0" collapsed="false">
      <c r="A649" s="103" t="n">
        <v>46307</v>
      </c>
      <c r="B649" s="104" t="s">
        <v>33</v>
      </c>
      <c r="C649" s="104" t="s">
        <v>469</v>
      </c>
      <c r="D649" s="105" t="n">
        <v>0.6667</v>
      </c>
      <c r="E649" s="106" t="n">
        <v>200</v>
      </c>
      <c r="F649" s="107" t="n">
        <f aca="false">IF($C649="","",$D649*$E649)</f>
        <v>133.34</v>
      </c>
      <c r="G649" s="107" t="n">
        <f aca="false">IF($C649="","",$D649*IFERROR(INDEX('تحليل التكلفة والسعر'!$C$2:$C$700,MATCH($C649,'تحليل التكلفة والسعر'!$B$2:$B$700,0)),0))</f>
        <v>70.5308597</v>
      </c>
      <c r="H649" s="104" t="s">
        <v>719</v>
      </c>
    </row>
    <row r="650" customFormat="false" ht="15" hidden="false" customHeight="false" outlineLevel="0" collapsed="false">
      <c r="A650" s="103" t="n">
        <v>46296</v>
      </c>
      <c r="B650" s="104" t="s">
        <v>33</v>
      </c>
      <c r="C650" s="104" t="s">
        <v>472</v>
      </c>
      <c r="D650" s="105" t="n">
        <v>2.8333</v>
      </c>
      <c r="E650" s="106" t="n">
        <v>131.6176</v>
      </c>
      <c r="F650" s="107" t="n">
        <f aca="false">IF($C650="","",$D650*$E650)</f>
        <v>372.91214608</v>
      </c>
      <c r="G650" s="107" t="n">
        <f aca="false">IF($C650="","",$D650*IFERROR(INDEX('تحليل التكلفة والسعر'!$C$2:$C$700,MATCH($C650,'تحليل التكلفة والسعر'!$B$2:$B$700,0)),0))</f>
        <v>212.26091945</v>
      </c>
      <c r="H650" s="104" t="s">
        <v>719</v>
      </c>
    </row>
    <row r="651" customFormat="false" ht="15" hidden="false" customHeight="false" outlineLevel="0" collapsed="false">
      <c r="A651" s="103" t="n">
        <v>46297</v>
      </c>
      <c r="B651" s="104" t="s">
        <v>33</v>
      </c>
      <c r="C651" s="104" t="s">
        <v>472</v>
      </c>
      <c r="D651" s="105" t="n">
        <v>2.8333</v>
      </c>
      <c r="E651" s="106" t="n">
        <v>131.6176</v>
      </c>
      <c r="F651" s="107" t="n">
        <f aca="false">IF($C651="","",$D651*$E651)</f>
        <v>372.91214608</v>
      </c>
      <c r="G651" s="107" t="n">
        <f aca="false">IF($C651="","",$D651*IFERROR(INDEX('تحليل التكلفة والسعر'!$C$2:$C$700,MATCH($C651,'تحليل التكلفة والسعر'!$B$2:$B$700,0)),0))</f>
        <v>212.26091945</v>
      </c>
      <c r="H651" s="104" t="s">
        <v>719</v>
      </c>
    </row>
    <row r="652" customFormat="false" ht="15" hidden="false" customHeight="false" outlineLevel="0" collapsed="false">
      <c r="A652" s="103" t="n">
        <v>46298</v>
      </c>
      <c r="B652" s="104" t="s">
        <v>33</v>
      </c>
      <c r="C652" s="104" t="s">
        <v>472</v>
      </c>
      <c r="D652" s="105" t="n">
        <v>2.8333</v>
      </c>
      <c r="E652" s="106" t="n">
        <v>131.6176</v>
      </c>
      <c r="F652" s="107" t="n">
        <f aca="false">IF($C652="","",$D652*$E652)</f>
        <v>372.91214608</v>
      </c>
      <c r="G652" s="107" t="n">
        <f aca="false">IF($C652="","",$D652*IFERROR(INDEX('تحليل التكلفة والسعر'!$C$2:$C$700,MATCH($C652,'تحليل التكلفة والسعر'!$B$2:$B$700,0)),0))</f>
        <v>212.26091945</v>
      </c>
      <c r="H652" s="104" t="s">
        <v>719</v>
      </c>
    </row>
    <row r="653" customFormat="false" ht="15" hidden="false" customHeight="false" outlineLevel="0" collapsed="false">
      <c r="A653" s="103" t="n">
        <v>46299</v>
      </c>
      <c r="B653" s="104" t="s">
        <v>33</v>
      </c>
      <c r="C653" s="104" t="s">
        <v>472</v>
      </c>
      <c r="D653" s="105" t="n">
        <v>2.8333</v>
      </c>
      <c r="E653" s="106" t="n">
        <v>131.6176</v>
      </c>
      <c r="F653" s="107" t="n">
        <f aca="false">IF($C653="","",$D653*$E653)</f>
        <v>372.91214608</v>
      </c>
      <c r="G653" s="107" t="n">
        <f aca="false">IF($C653="","",$D653*IFERROR(INDEX('تحليل التكلفة والسعر'!$C$2:$C$700,MATCH($C653,'تحليل التكلفة والسعر'!$B$2:$B$700,0)),0))</f>
        <v>212.26091945</v>
      </c>
      <c r="H653" s="104" t="s">
        <v>719</v>
      </c>
    </row>
    <row r="654" customFormat="false" ht="15" hidden="false" customHeight="false" outlineLevel="0" collapsed="false">
      <c r="A654" s="103" t="n">
        <v>46300</v>
      </c>
      <c r="B654" s="104" t="s">
        <v>33</v>
      </c>
      <c r="C654" s="104" t="s">
        <v>472</v>
      </c>
      <c r="D654" s="105" t="n">
        <v>2.8333</v>
      </c>
      <c r="E654" s="106" t="n">
        <v>131.6176</v>
      </c>
      <c r="F654" s="107" t="n">
        <f aca="false">IF($C654="","",$D654*$E654)</f>
        <v>372.91214608</v>
      </c>
      <c r="G654" s="107" t="n">
        <f aca="false">IF($C654="","",$D654*IFERROR(INDEX('تحليل التكلفة والسعر'!$C$2:$C$700,MATCH($C654,'تحليل التكلفة والسعر'!$B$2:$B$700,0)),0))</f>
        <v>212.26091945</v>
      </c>
      <c r="H654" s="104" t="s">
        <v>719</v>
      </c>
    </row>
    <row r="655" customFormat="false" ht="15" hidden="false" customHeight="false" outlineLevel="0" collapsed="false">
      <c r="A655" s="103" t="n">
        <v>46301</v>
      </c>
      <c r="B655" s="104" t="s">
        <v>33</v>
      </c>
      <c r="C655" s="104" t="s">
        <v>472</v>
      </c>
      <c r="D655" s="105" t="n">
        <v>2.8333</v>
      </c>
      <c r="E655" s="106" t="n">
        <v>131.6176</v>
      </c>
      <c r="F655" s="107" t="n">
        <f aca="false">IF($C655="","",$D655*$E655)</f>
        <v>372.91214608</v>
      </c>
      <c r="G655" s="107" t="n">
        <f aca="false">IF($C655="","",$D655*IFERROR(INDEX('تحليل التكلفة والسعر'!$C$2:$C$700,MATCH($C655,'تحليل التكلفة والسعر'!$B$2:$B$700,0)),0))</f>
        <v>212.26091945</v>
      </c>
      <c r="H655" s="104" t="s">
        <v>719</v>
      </c>
    </row>
    <row r="656" customFormat="false" ht="15" hidden="false" customHeight="false" outlineLevel="0" collapsed="false">
      <c r="A656" s="103" t="n">
        <v>46302</v>
      </c>
      <c r="B656" s="104" t="s">
        <v>33</v>
      </c>
      <c r="C656" s="104" t="s">
        <v>472</v>
      </c>
      <c r="D656" s="105" t="n">
        <v>2.8333</v>
      </c>
      <c r="E656" s="106" t="n">
        <v>131.6176</v>
      </c>
      <c r="F656" s="107" t="n">
        <f aca="false">IF($C656="","",$D656*$E656)</f>
        <v>372.91214608</v>
      </c>
      <c r="G656" s="107" t="n">
        <f aca="false">IF($C656="","",$D656*IFERROR(INDEX('تحليل التكلفة والسعر'!$C$2:$C$700,MATCH($C656,'تحليل التكلفة والسعر'!$B$2:$B$700,0)),0))</f>
        <v>212.26091945</v>
      </c>
      <c r="H656" s="104" t="s">
        <v>719</v>
      </c>
    </row>
    <row r="657" customFormat="false" ht="15" hidden="false" customHeight="false" outlineLevel="0" collapsed="false">
      <c r="A657" s="103" t="n">
        <v>46303</v>
      </c>
      <c r="B657" s="104" t="s">
        <v>33</v>
      </c>
      <c r="C657" s="104" t="s">
        <v>472</v>
      </c>
      <c r="D657" s="105" t="n">
        <v>2.8333</v>
      </c>
      <c r="E657" s="106" t="n">
        <v>131.6176</v>
      </c>
      <c r="F657" s="107" t="n">
        <f aca="false">IF($C657="","",$D657*$E657)</f>
        <v>372.91214608</v>
      </c>
      <c r="G657" s="107" t="n">
        <f aca="false">IF($C657="","",$D657*IFERROR(INDEX('تحليل التكلفة والسعر'!$C$2:$C$700,MATCH($C657,'تحليل التكلفة والسعر'!$B$2:$B$700,0)),0))</f>
        <v>212.26091945</v>
      </c>
      <c r="H657" s="104" t="s">
        <v>719</v>
      </c>
    </row>
    <row r="658" customFormat="false" ht="15" hidden="false" customHeight="false" outlineLevel="0" collapsed="false">
      <c r="A658" s="103" t="n">
        <v>46304</v>
      </c>
      <c r="B658" s="104" t="s">
        <v>33</v>
      </c>
      <c r="C658" s="104" t="s">
        <v>472</v>
      </c>
      <c r="D658" s="105" t="n">
        <v>2.8333</v>
      </c>
      <c r="E658" s="106" t="n">
        <v>131.6176</v>
      </c>
      <c r="F658" s="107" t="n">
        <f aca="false">IF($C658="","",$D658*$E658)</f>
        <v>372.91214608</v>
      </c>
      <c r="G658" s="107" t="n">
        <f aca="false">IF($C658="","",$D658*IFERROR(INDEX('تحليل التكلفة والسعر'!$C$2:$C$700,MATCH($C658,'تحليل التكلفة والسعر'!$B$2:$B$700,0)),0))</f>
        <v>212.26091945</v>
      </c>
      <c r="H658" s="104" t="s">
        <v>719</v>
      </c>
    </row>
    <row r="659" customFormat="false" ht="15" hidden="false" customHeight="false" outlineLevel="0" collapsed="false">
      <c r="A659" s="103" t="n">
        <v>46305</v>
      </c>
      <c r="B659" s="104" t="s">
        <v>33</v>
      </c>
      <c r="C659" s="104" t="s">
        <v>472</v>
      </c>
      <c r="D659" s="105" t="n">
        <v>2.8333</v>
      </c>
      <c r="E659" s="106" t="n">
        <v>131.6176</v>
      </c>
      <c r="F659" s="107" t="n">
        <f aca="false">IF($C659="","",$D659*$E659)</f>
        <v>372.91214608</v>
      </c>
      <c r="G659" s="107" t="n">
        <f aca="false">IF($C659="","",$D659*IFERROR(INDEX('تحليل التكلفة والسعر'!$C$2:$C$700,MATCH($C659,'تحليل التكلفة والسعر'!$B$2:$B$700,0)),0))</f>
        <v>212.26091945</v>
      </c>
      <c r="H659" s="104" t="s">
        <v>719</v>
      </c>
    </row>
    <row r="660" customFormat="false" ht="15" hidden="false" customHeight="false" outlineLevel="0" collapsed="false">
      <c r="A660" s="103" t="n">
        <v>46306</v>
      </c>
      <c r="B660" s="104" t="s">
        <v>33</v>
      </c>
      <c r="C660" s="104" t="s">
        <v>472</v>
      </c>
      <c r="D660" s="105" t="n">
        <v>2.8333</v>
      </c>
      <c r="E660" s="106" t="n">
        <v>131.6176</v>
      </c>
      <c r="F660" s="107" t="n">
        <f aca="false">IF($C660="","",$D660*$E660)</f>
        <v>372.91214608</v>
      </c>
      <c r="G660" s="107" t="n">
        <f aca="false">IF($C660="","",$D660*IFERROR(INDEX('تحليل التكلفة والسعر'!$C$2:$C$700,MATCH($C660,'تحليل التكلفة والسعر'!$B$2:$B$700,0)),0))</f>
        <v>212.26091945</v>
      </c>
      <c r="H660" s="104" t="s">
        <v>719</v>
      </c>
    </row>
    <row r="661" customFormat="false" ht="15" hidden="false" customHeight="false" outlineLevel="0" collapsed="false">
      <c r="A661" s="103" t="n">
        <v>46307</v>
      </c>
      <c r="B661" s="104" t="s">
        <v>33</v>
      </c>
      <c r="C661" s="104" t="s">
        <v>472</v>
      </c>
      <c r="D661" s="105" t="n">
        <v>2.8333</v>
      </c>
      <c r="E661" s="106" t="n">
        <v>131.6176</v>
      </c>
      <c r="F661" s="107" t="n">
        <f aca="false">IF($C661="","",$D661*$E661)</f>
        <v>372.91214608</v>
      </c>
      <c r="G661" s="107" t="n">
        <f aca="false">IF($C661="","",$D661*IFERROR(INDEX('تحليل التكلفة والسعر'!$C$2:$C$700,MATCH($C661,'تحليل التكلفة والسعر'!$B$2:$B$700,0)),0))</f>
        <v>212.26091945</v>
      </c>
      <c r="H661" s="104" t="s">
        <v>719</v>
      </c>
    </row>
    <row r="662" customFormat="false" ht="15" hidden="false" customHeight="false" outlineLevel="0" collapsed="false">
      <c r="A662" s="103" t="n">
        <v>46296</v>
      </c>
      <c r="B662" s="104" t="s">
        <v>33</v>
      </c>
      <c r="C662" s="104" t="s">
        <v>466</v>
      </c>
      <c r="D662" s="105" t="n">
        <v>0.25</v>
      </c>
      <c r="E662" s="106" t="n">
        <v>240</v>
      </c>
      <c r="F662" s="107" t="n">
        <f aca="false">IF($C662="","",$D662*$E662)</f>
        <v>60</v>
      </c>
      <c r="G662" s="107" t="n">
        <f aca="false">IF($C662="","",$D662*IFERROR(INDEX('تحليل التكلفة والسعر'!$C$2:$C$700,MATCH($C662,'تحليل التكلفة والسعر'!$B$2:$B$700,0)),0))</f>
        <v>31.979125</v>
      </c>
      <c r="H662" s="104" t="s">
        <v>719</v>
      </c>
    </row>
    <row r="663" customFormat="false" ht="15" hidden="false" customHeight="false" outlineLevel="0" collapsed="false">
      <c r="A663" s="103" t="n">
        <v>46297</v>
      </c>
      <c r="B663" s="104" t="s">
        <v>33</v>
      </c>
      <c r="C663" s="104" t="s">
        <v>466</v>
      </c>
      <c r="D663" s="105" t="n">
        <v>0.25</v>
      </c>
      <c r="E663" s="106" t="n">
        <v>240</v>
      </c>
      <c r="F663" s="107" t="n">
        <f aca="false">IF($C663="","",$D663*$E663)</f>
        <v>60</v>
      </c>
      <c r="G663" s="107" t="n">
        <f aca="false">IF($C663="","",$D663*IFERROR(INDEX('تحليل التكلفة والسعر'!$C$2:$C$700,MATCH($C663,'تحليل التكلفة والسعر'!$B$2:$B$700,0)),0))</f>
        <v>31.979125</v>
      </c>
      <c r="H663" s="104" t="s">
        <v>719</v>
      </c>
    </row>
    <row r="664" customFormat="false" ht="15" hidden="false" customHeight="false" outlineLevel="0" collapsed="false">
      <c r="A664" s="103" t="n">
        <v>46298</v>
      </c>
      <c r="B664" s="104" t="s">
        <v>33</v>
      </c>
      <c r="C664" s="104" t="s">
        <v>466</v>
      </c>
      <c r="D664" s="105" t="n">
        <v>0.25</v>
      </c>
      <c r="E664" s="106" t="n">
        <v>240</v>
      </c>
      <c r="F664" s="107" t="n">
        <f aca="false">IF($C664="","",$D664*$E664)</f>
        <v>60</v>
      </c>
      <c r="G664" s="107" t="n">
        <f aca="false">IF($C664="","",$D664*IFERROR(INDEX('تحليل التكلفة والسعر'!$C$2:$C$700,MATCH($C664,'تحليل التكلفة والسعر'!$B$2:$B$700,0)),0))</f>
        <v>31.979125</v>
      </c>
      <c r="H664" s="104" t="s">
        <v>719</v>
      </c>
    </row>
    <row r="665" customFormat="false" ht="15" hidden="false" customHeight="false" outlineLevel="0" collapsed="false">
      <c r="A665" s="103" t="n">
        <v>46299</v>
      </c>
      <c r="B665" s="104" t="s">
        <v>33</v>
      </c>
      <c r="C665" s="104" t="s">
        <v>466</v>
      </c>
      <c r="D665" s="105" t="n">
        <v>0.25</v>
      </c>
      <c r="E665" s="106" t="n">
        <v>240</v>
      </c>
      <c r="F665" s="107" t="n">
        <f aca="false">IF($C665="","",$D665*$E665)</f>
        <v>60</v>
      </c>
      <c r="G665" s="107" t="n">
        <f aca="false">IF($C665="","",$D665*IFERROR(INDEX('تحليل التكلفة والسعر'!$C$2:$C$700,MATCH($C665,'تحليل التكلفة والسعر'!$B$2:$B$700,0)),0))</f>
        <v>31.979125</v>
      </c>
      <c r="H665" s="104" t="s">
        <v>719</v>
      </c>
    </row>
    <row r="666" customFormat="false" ht="15" hidden="false" customHeight="false" outlineLevel="0" collapsed="false">
      <c r="A666" s="103" t="n">
        <v>46300</v>
      </c>
      <c r="B666" s="104" t="s">
        <v>33</v>
      </c>
      <c r="C666" s="104" t="s">
        <v>466</v>
      </c>
      <c r="D666" s="105" t="n">
        <v>0.25</v>
      </c>
      <c r="E666" s="106" t="n">
        <v>240</v>
      </c>
      <c r="F666" s="107" t="n">
        <f aca="false">IF($C666="","",$D666*$E666)</f>
        <v>60</v>
      </c>
      <c r="G666" s="107" t="n">
        <f aca="false">IF($C666="","",$D666*IFERROR(INDEX('تحليل التكلفة والسعر'!$C$2:$C$700,MATCH($C666,'تحليل التكلفة والسعر'!$B$2:$B$700,0)),0))</f>
        <v>31.979125</v>
      </c>
      <c r="H666" s="104" t="s">
        <v>719</v>
      </c>
    </row>
    <row r="667" customFormat="false" ht="15" hidden="false" customHeight="false" outlineLevel="0" collapsed="false">
      <c r="A667" s="103" t="n">
        <v>46301</v>
      </c>
      <c r="B667" s="104" t="s">
        <v>33</v>
      </c>
      <c r="C667" s="104" t="s">
        <v>466</v>
      </c>
      <c r="D667" s="105" t="n">
        <v>0.25</v>
      </c>
      <c r="E667" s="106" t="n">
        <v>240</v>
      </c>
      <c r="F667" s="107" t="n">
        <f aca="false">IF($C667="","",$D667*$E667)</f>
        <v>60</v>
      </c>
      <c r="G667" s="107" t="n">
        <f aca="false">IF($C667="","",$D667*IFERROR(INDEX('تحليل التكلفة والسعر'!$C$2:$C$700,MATCH($C667,'تحليل التكلفة والسعر'!$B$2:$B$700,0)),0))</f>
        <v>31.979125</v>
      </c>
      <c r="H667" s="104" t="s">
        <v>719</v>
      </c>
    </row>
    <row r="668" customFormat="false" ht="15" hidden="false" customHeight="false" outlineLevel="0" collapsed="false">
      <c r="A668" s="103" t="n">
        <v>46302</v>
      </c>
      <c r="B668" s="104" t="s">
        <v>33</v>
      </c>
      <c r="C668" s="104" t="s">
        <v>466</v>
      </c>
      <c r="D668" s="105" t="n">
        <v>0.25</v>
      </c>
      <c r="E668" s="106" t="n">
        <v>240</v>
      </c>
      <c r="F668" s="107" t="n">
        <f aca="false">IF($C668="","",$D668*$E668)</f>
        <v>60</v>
      </c>
      <c r="G668" s="107" t="n">
        <f aca="false">IF($C668="","",$D668*IFERROR(INDEX('تحليل التكلفة والسعر'!$C$2:$C$700,MATCH($C668,'تحليل التكلفة والسعر'!$B$2:$B$700,0)),0))</f>
        <v>31.979125</v>
      </c>
      <c r="H668" s="104" t="s">
        <v>719</v>
      </c>
    </row>
    <row r="669" customFormat="false" ht="15" hidden="false" customHeight="false" outlineLevel="0" collapsed="false">
      <c r="A669" s="103" t="n">
        <v>46303</v>
      </c>
      <c r="B669" s="104" t="s">
        <v>33</v>
      </c>
      <c r="C669" s="104" t="s">
        <v>466</v>
      </c>
      <c r="D669" s="105" t="n">
        <v>0.25</v>
      </c>
      <c r="E669" s="106" t="n">
        <v>240</v>
      </c>
      <c r="F669" s="107" t="n">
        <f aca="false">IF($C669="","",$D669*$E669)</f>
        <v>60</v>
      </c>
      <c r="G669" s="107" t="n">
        <f aca="false">IF($C669="","",$D669*IFERROR(INDEX('تحليل التكلفة والسعر'!$C$2:$C$700,MATCH($C669,'تحليل التكلفة والسعر'!$B$2:$B$700,0)),0))</f>
        <v>31.979125</v>
      </c>
      <c r="H669" s="104" t="s">
        <v>719</v>
      </c>
    </row>
    <row r="670" customFormat="false" ht="15" hidden="false" customHeight="false" outlineLevel="0" collapsed="false">
      <c r="A670" s="103" t="n">
        <v>46304</v>
      </c>
      <c r="B670" s="104" t="s">
        <v>33</v>
      </c>
      <c r="C670" s="104" t="s">
        <v>466</v>
      </c>
      <c r="D670" s="105" t="n">
        <v>0.25</v>
      </c>
      <c r="E670" s="106" t="n">
        <v>240</v>
      </c>
      <c r="F670" s="107" t="n">
        <f aca="false">IF($C670="","",$D670*$E670)</f>
        <v>60</v>
      </c>
      <c r="G670" s="107" t="n">
        <f aca="false">IF($C670="","",$D670*IFERROR(INDEX('تحليل التكلفة والسعر'!$C$2:$C$700,MATCH($C670,'تحليل التكلفة والسعر'!$B$2:$B$700,0)),0))</f>
        <v>31.979125</v>
      </c>
      <c r="H670" s="104" t="s">
        <v>719</v>
      </c>
    </row>
    <row r="671" customFormat="false" ht="15" hidden="false" customHeight="false" outlineLevel="0" collapsed="false">
      <c r="A671" s="103" t="n">
        <v>46305</v>
      </c>
      <c r="B671" s="104" t="s">
        <v>33</v>
      </c>
      <c r="C671" s="104" t="s">
        <v>466</v>
      </c>
      <c r="D671" s="105" t="n">
        <v>0.25</v>
      </c>
      <c r="E671" s="106" t="n">
        <v>240</v>
      </c>
      <c r="F671" s="107" t="n">
        <f aca="false">IF($C671="","",$D671*$E671)</f>
        <v>60</v>
      </c>
      <c r="G671" s="107" t="n">
        <f aca="false">IF($C671="","",$D671*IFERROR(INDEX('تحليل التكلفة والسعر'!$C$2:$C$700,MATCH($C671,'تحليل التكلفة والسعر'!$B$2:$B$700,0)),0))</f>
        <v>31.979125</v>
      </c>
      <c r="H671" s="104" t="s">
        <v>719</v>
      </c>
    </row>
    <row r="672" customFormat="false" ht="15" hidden="false" customHeight="false" outlineLevel="0" collapsed="false">
      <c r="A672" s="103" t="n">
        <v>46306</v>
      </c>
      <c r="B672" s="104" t="s">
        <v>33</v>
      </c>
      <c r="C672" s="104" t="s">
        <v>466</v>
      </c>
      <c r="D672" s="105" t="n">
        <v>0.25</v>
      </c>
      <c r="E672" s="106" t="n">
        <v>240</v>
      </c>
      <c r="F672" s="107" t="n">
        <f aca="false">IF($C672="","",$D672*$E672)</f>
        <v>60</v>
      </c>
      <c r="G672" s="107" t="n">
        <f aca="false">IF($C672="","",$D672*IFERROR(INDEX('تحليل التكلفة والسعر'!$C$2:$C$700,MATCH($C672,'تحليل التكلفة والسعر'!$B$2:$B$700,0)),0))</f>
        <v>31.979125</v>
      </c>
      <c r="H672" s="104" t="s">
        <v>719</v>
      </c>
    </row>
    <row r="673" customFormat="false" ht="15" hidden="false" customHeight="false" outlineLevel="0" collapsed="false">
      <c r="A673" s="103" t="n">
        <v>46307</v>
      </c>
      <c r="B673" s="104" t="s">
        <v>33</v>
      </c>
      <c r="C673" s="104" t="s">
        <v>466</v>
      </c>
      <c r="D673" s="105" t="n">
        <v>0.25</v>
      </c>
      <c r="E673" s="106" t="n">
        <v>240</v>
      </c>
      <c r="F673" s="107" t="n">
        <f aca="false">IF($C673="","",$D673*$E673)</f>
        <v>60</v>
      </c>
      <c r="G673" s="107" t="n">
        <f aca="false">IF($C673="","",$D673*IFERROR(INDEX('تحليل التكلفة والسعر'!$C$2:$C$700,MATCH($C673,'تحليل التكلفة والسعر'!$B$2:$B$700,0)),0))</f>
        <v>31.979125</v>
      </c>
      <c r="H673" s="104" t="s">
        <v>719</v>
      </c>
    </row>
    <row r="674" customFormat="false" ht="15" hidden="false" customHeight="false" outlineLevel="0" collapsed="false">
      <c r="A674" s="103" t="n">
        <v>46296</v>
      </c>
      <c r="B674" s="104" t="s">
        <v>33</v>
      </c>
      <c r="C674" s="104" t="s">
        <v>396</v>
      </c>
      <c r="D674" s="105" t="n">
        <v>0.25</v>
      </c>
      <c r="E674" s="106" t="n">
        <v>330</v>
      </c>
      <c r="F674" s="107" t="n">
        <f aca="false">IF($C674="","",$D674*$E674)</f>
        <v>82.5</v>
      </c>
      <c r="G674" s="107" t="n">
        <f aca="false">IF($C674="","",$D674*IFERROR(INDEX('تحليل التكلفة والسعر'!$C$2:$C$700,MATCH($C674,'تحليل التكلفة والسعر'!$B$2:$B$700,0)),0))</f>
        <v>45.0511875</v>
      </c>
      <c r="H674" s="104" t="s">
        <v>719</v>
      </c>
    </row>
    <row r="675" customFormat="false" ht="15" hidden="false" customHeight="false" outlineLevel="0" collapsed="false">
      <c r="A675" s="103" t="n">
        <v>46297</v>
      </c>
      <c r="B675" s="104" t="s">
        <v>33</v>
      </c>
      <c r="C675" s="104" t="s">
        <v>396</v>
      </c>
      <c r="D675" s="105" t="n">
        <v>0.25</v>
      </c>
      <c r="E675" s="106" t="n">
        <v>330</v>
      </c>
      <c r="F675" s="107" t="n">
        <f aca="false">IF($C675="","",$D675*$E675)</f>
        <v>82.5</v>
      </c>
      <c r="G675" s="107" t="n">
        <f aca="false">IF($C675="","",$D675*IFERROR(INDEX('تحليل التكلفة والسعر'!$C$2:$C$700,MATCH($C675,'تحليل التكلفة والسعر'!$B$2:$B$700,0)),0))</f>
        <v>45.0511875</v>
      </c>
      <c r="H675" s="104" t="s">
        <v>719</v>
      </c>
    </row>
    <row r="676" customFormat="false" ht="15" hidden="false" customHeight="false" outlineLevel="0" collapsed="false">
      <c r="A676" s="103" t="n">
        <v>46298</v>
      </c>
      <c r="B676" s="104" t="s">
        <v>33</v>
      </c>
      <c r="C676" s="104" t="s">
        <v>396</v>
      </c>
      <c r="D676" s="105" t="n">
        <v>0.25</v>
      </c>
      <c r="E676" s="106" t="n">
        <v>330</v>
      </c>
      <c r="F676" s="107" t="n">
        <f aca="false">IF($C676="","",$D676*$E676)</f>
        <v>82.5</v>
      </c>
      <c r="G676" s="107" t="n">
        <f aca="false">IF($C676="","",$D676*IFERROR(INDEX('تحليل التكلفة والسعر'!$C$2:$C$700,MATCH($C676,'تحليل التكلفة والسعر'!$B$2:$B$700,0)),0))</f>
        <v>45.0511875</v>
      </c>
      <c r="H676" s="104" t="s">
        <v>719</v>
      </c>
    </row>
    <row r="677" customFormat="false" ht="15" hidden="false" customHeight="false" outlineLevel="0" collapsed="false">
      <c r="A677" s="103" t="n">
        <v>46299</v>
      </c>
      <c r="B677" s="104" t="s">
        <v>33</v>
      </c>
      <c r="C677" s="104" t="s">
        <v>396</v>
      </c>
      <c r="D677" s="105" t="n">
        <v>0.25</v>
      </c>
      <c r="E677" s="106" t="n">
        <v>330</v>
      </c>
      <c r="F677" s="107" t="n">
        <f aca="false">IF($C677="","",$D677*$E677)</f>
        <v>82.5</v>
      </c>
      <c r="G677" s="107" t="n">
        <f aca="false">IF($C677="","",$D677*IFERROR(INDEX('تحليل التكلفة والسعر'!$C$2:$C$700,MATCH($C677,'تحليل التكلفة والسعر'!$B$2:$B$700,0)),0))</f>
        <v>45.0511875</v>
      </c>
      <c r="H677" s="104" t="s">
        <v>719</v>
      </c>
    </row>
    <row r="678" customFormat="false" ht="15" hidden="false" customHeight="false" outlineLevel="0" collapsed="false">
      <c r="A678" s="103" t="n">
        <v>46300</v>
      </c>
      <c r="B678" s="104" t="s">
        <v>33</v>
      </c>
      <c r="C678" s="104" t="s">
        <v>396</v>
      </c>
      <c r="D678" s="105" t="n">
        <v>0.25</v>
      </c>
      <c r="E678" s="106" t="n">
        <v>330</v>
      </c>
      <c r="F678" s="107" t="n">
        <f aca="false">IF($C678="","",$D678*$E678)</f>
        <v>82.5</v>
      </c>
      <c r="G678" s="107" t="n">
        <f aca="false">IF($C678="","",$D678*IFERROR(INDEX('تحليل التكلفة والسعر'!$C$2:$C$700,MATCH($C678,'تحليل التكلفة والسعر'!$B$2:$B$700,0)),0))</f>
        <v>45.0511875</v>
      </c>
      <c r="H678" s="104" t="s">
        <v>719</v>
      </c>
    </row>
    <row r="679" customFormat="false" ht="15" hidden="false" customHeight="false" outlineLevel="0" collapsed="false">
      <c r="A679" s="103" t="n">
        <v>46301</v>
      </c>
      <c r="B679" s="104" t="s">
        <v>33</v>
      </c>
      <c r="C679" s="104" t="s">
        <v>396</v>
      </c>
      <c r="D679" s="105" t="n">
        <v>0.25</v>
      </c>
      <c r="E679" s="106" t="n">
        <v>330</v>
      </c>
      <c r="F679" s="107" t="n">
        <f aca="false">IF($C679="","",$D679*$E679)</f>
        <v>82.5</v>
      </c>
      <c r="G679" s="107" t="n">
        <f aca="false">IF($C679="","",$D679*IFERROR(INDEX('تحليل التكلفة والسعر'!$C$2:$C$700,MATCH($C679,'تحليل التكلفة والسعر'!$B$2:$B$700,0)),0))</f>
        <v>45.0511875</v>
      </c>
      <c r="H679" s="104" t="s">
        <v>719</v>
      </c>
    </row>
    <row r="680" customFormat="false" ht="15" hidden="false" customHeight="false" outlineLevel="0" collapsed="false">
      <c r="A680" s="103" t="n">
        <v>46302</v>
      </c>
      <c r="B680" s="104" t="s">
        <v>33</v>
      </c>
      <c r="C680" s="104" t="s">
        <v>396</v>
      </c>
      <c r="D680" s="105" t="n">
        <v>0.25</v>
      </c>
      <c r="E680" s="106" t="n">
        <v>330</v>
      </c>
      <c r="F680" s="107" t="n">
        <f aca="false">IF($C680="","",$D680*$E680)</f>
        <v>82.5</v>
      </c>
      <c r="G680" s="107" t="n">
        <f aca="false">IF($C680="","",$D680*IFERROR(INDEX('تحليل التكلفة والسعر'!$C$2:$C$700,MATCH($C680,'تحليل التكلفة والسعر'!$B$2:$B$700,0)),0))</f>
        <v>45.0511875</v>
      </c>
      <c r="H680" s="104" t="s">
        <v>719</v>
      </c>
    </row>
    <row r="681" customFormat="false" ht="15" hidden="false" customHeight="false" outlineLevel="0" collapsed="false">
      <c r="A681" s="103" t="n">
        <v>46303</v>
      </c>
      <c r="B681" s="104" t="s">
        <v>33</v>
      </c>
      <c r="C681" s="104" t="s">
        <v>396</v>
      </c>
      <c r="D681" s="105" t="n">
        <v>0.25</v>
      </c>
      <c r="E681" s="106" t="n">
        <v>330</v>
      </c>
      <c r="F681" s="107" t="n">
        <f aca="false">IF($C681="","",$D681*$E681)</f>
        <v>82.5</v>
      </c>
      <c r="G681" s="107" t="n">
        <f aca="false">IF($C681="","",$D681*IFERROR(INDEX('تحليل التكلفة والسعر'!$C$2:$C$700,MATCH($C681,'تحليل التكلفة والسعر'!$B$2:$B$700,0)),0))</f>
        <v>45.0511875</v>
      </c>
      <c r="H681" s="104" t="s">
        <v>719</v>
      </c>
    </row>
    <row r="682" customFormat="false" ht="15" hidden="false" customHeight="false" outlineLevel="0" collapsed="false">
      <c r="A682" s="103" t="n">
        <v>46304</v>
      </c>
      <c r="B682" s="104" t="s">
        <v>33</v>
      </c>
      <c r="C682" s="104" t="s">
        <v>396</v>
      </c>
      <c r="D682" s="105" t="n">
        <v>0.25</v>
      </c>
      <c r="E682" s="106" t="n">
        <v>330</v>
      </c>
      <c r="F682" s="107" t="n">
        <f aca="false">IF($C682="","",$D682*$E682)</f>
        <v>82.5</v>
      </c>
      <c r="G682" s="107" t="n">
        <f aca="false">IF($C682="","",$D682*IFERROR(INDEX('تحليل التكلفة والسعر'!$C$2:$C$700,MATCH($C682,'تحليل التكلفة والسعر'!$B$2:$B$700,0)),0))</f>
        <v>45.0511875</v>
      </c>
      <c r="H682" s="104" t="s">
        <v>719</v>
      </c>
    </row>
    <row r="683" customFormat="false" ht="15" hidden="false" customHeight="false" outlineLevel="0" collapsed="false">
      <c r="A683" s="103" t="n">
        <v>46305</v>
      </c>
      <c r="B683" s="104" t="s">
        <v>33</v>
      </c>
      <c r="C683" s="104" t="s">
        <v>396</v>
      </c>
      <c r="D683" s="105" t="n">
        <v>0.25</v>
      </c>
      <c r="E683" s="106" t="n">
        <v>330</v>
      </c>
      <c r="F683" s="107" t="n">
        <f aca="false">IF($C683="","",$D683*$E683)</f>
        <v>82.5</v>
      </c>
      <c r="G683" s="107" t="n">
        <f aca="false">IF($C683="","",$D683*IFERROR(INDEX('تحليل التكلفة والسعر'!$C$2:$C$700,MATCH($C683,'تحليل التكلفة والسعر'!$B$2:$B$700,0)),0))</f>
        <v>45.0511875</v>
      </c>
      <c r="H683" s="104" t="s">
        <v>719</v>
      </c>
    </row>
    <row r="684" customFormat="false" ht="15" hidden="false" customHeight="false" outlineLevel="0" collapsed="false">
      <c r="A684" s="103" t="n">
        <v>46306</v>
      </c>
      <c r="B684" s="104" t="s">
        <v>33</v>
      </c>
      <c r="C684" s="104" t="s">
        <v>396</v>
      </c>
      <c r="D684" s="105" t="n">
        <v>0.25</v>
      </c>
      <c r="E684" s="106" t="n">
        <v>330</v>
      </c>
      <c r="F684" s="107" t="n">
        <f aca="false">IF($C684="","",$D684*$E684)</f>
        <v>82.5</v>
      </c>
      <c r="G684" s="107" t="n">
        <f aca="false">IF($C684="","",$D684*IFERROR(INDEX('تحليل التكلفة والسعر'!$C$2:$C$700,MATCH($C684,'تحليل التكلفة والسعر'!$B$2:$B$700,0)),0))</f>
        <v>45.0511875</v>
      </c>
      <c r="H684" s="104" t="s">
        <v>719</v>
      </c>
    </row>
    <row r="685" customFormat="false" ht="15" hidden="false" customHeight="false" outlineLevel="0" collapsed="false">
      <c r="A685" s="103" t="n">
        <v>46307</v>
      </c>
      <c r="B685" s="104" t="s">
        <v>33</v>
      </c>
      <c r="C685" s="104" t="s">
        <v>396</v>
      </c>
      <c r="D685" s="105" t="n">
        <v>0.25</v>
      </c>
      <c r="E685" s="106" t="n">
        <v>330</v>
      </c>
      <c r="F685" s="107" t="n">
        <f aca="false">IF($C685="","",$D685*$E685)</f>
        <v>82.5</v>
      </c>
      <c r="G685" s="107" t="n">
        <f aca="false">IF($C685="","",$D685*IFERROR(INDEX('تحليل التكلفة والسعر'!$C$2:$C$700,MATCH($C685,'تحليل التكلفة والسعر'!$B$2:$B$700,0)),0))</f>
        <v>45.0511875</v>
      </c>
      <c r="H685" s="104" t="s">
        <v>719</v>
      </c>
    </row>
    <row r="686" customFormat="false" ht="15" hidden="false" customHeight="false" outlineLevel="0" collapsed="false">
      <c r="A686" s="103" t="n">
        <v>46296</v>
      </c>
      <c r="B686" s="104" t="s">
        <v>33</v>
      </c>
      <c r="C686" s="104" t="s">
        <v>745</v>
      </c>
      <c r="D686" s="105" t="n">
        <v>0.3333</v>
      </c>
      <c r="E686" s="106" t="n">
        <v>35</v>
      </c>
      <c r="F686" s="107" t="n">
        <f aca="false">IF($C686="","",$D686*$E686)</f>
        <v>11.6655</v>
      </c>
      <c r="G686" s="107" t="n">
        <f aca="false">IF($C686="","",$D686*IFERROR(INDEX('تحليل التكلفة والسعر'!$C$2:$C$700,MATCH($C686,'تحليل التكلفة والسعر'!$B$2:$B$700,0)),0))</f>
        <v>3.49965</v>
      </c>
      <c r="H686" s="104" t="s">
        <v>719</v>
      </c>
    </row>
    <row r="687" customFormat="false" ht="15" hidden="false" customHeight="false" outlineLevel="0" collapsed="false">
      <c r="A687" s="103" t="n">
        <v>46297</v>
      </c>
      <c r="B687" s="104" t="s">
        <v>33</v>
      </c>
      <c r="C687" s="104" t="s">
        <v>745</v>
      </c>
      <c r="D687" s="105" t="n">
        <v>0.3333</v>
      </c>
      <c r="E687" s="106" t="n">
        <v>35</v>
      </c>
      <c r="F687" s="107" t="n">
        <f aca="false">IF($C687="","",$D687*$E687)</f>
        <v>11.6655</v>
      </c>
      <c r="G687" s="107" t="n">
        <f aca="false">IF($C687="","",$D687*IFERROR(INDEX('تحليل التكلفة والسعر'!$C$2:$C$700,MATCH($C687,'تحليل التكلفة والسعر'!$B$2:$B$700,0)),0))</f>
        <v>3.49965</v>
      </c>
      <c r="H687" s="104" t="s">
        <v>719</v>
      </c>
    </row>
    <row r="688" customFormat="false" ht="15" hidden="false" customHeight="false" outlineLevel="0" collapsed="false">
      <c r="A688" s="103" t="n">
        <v>46298</v>
      </c>
      <c r="B688" s="104" t="s">
        <v>33</v>
      </c>
      <c r="C688" s="104" t="s">
        <v>745</v>
      </c>
      <c r="D688" s="105" t="n">
        <v>0.3333</v>
      </c>
      <c r="E688" s="106" t="n">
        <v>35</v>
      </c>
      <c r="F688" s="107" t="n">
        <f aca="false">IF($C688="","",$D688*$E688)</f>
        <v>11.6655</v>
      </c>
      <c r="G688" s="107" t="n">
        <f aca="false">IF($C688="","",$D688*IFERROR(INDEX('تحليل التكلفة والسعر'!$C$2:$C$700,MATCH($C688,'تحليل التكلفة والسعر'!$B$2:$B$700,0)),0))</f>
        <v>3.49965</v>
      </c>
      <c r="H688" s="104" t="s">
        <v>719</v>
      </c>
    </row>
    <row r="689" customFormat="false" ht="15" hidden="false" customHeight="false" outlineLevel="0" collapsed="false">
      <c r="A689" s="103" t="n">
        <v>46299</v>
      </c>
      <c r="B689" s="104" t="s">
        <v>33</v>
      </c>
      <c r="C689" s="104" t="s">
        <v>745</v>
      </c>
      <c r="D689" s="105" t="n">
        <v>0.3333</v>
      </c>
      <c r="E689" s="106" t="n">
        <v>35</v>
      </c>
      <c r="F689" s="107" t="n">
        <f aca="false">IF($C689="","",$D689*$E689)</f>
        <v>11.6655</v>
      </c>
      <c r="G689" s="107" t="n">
        <f aca="false">IF($C689="","",$D689*IFERROR(INDEX('تحليل التكلفة والسعر'!$C$2:$C$700,MATCH($C689,'تحليل التكلفة والسعر'!$B$2:$B$700,0)),0))</f>
        <v>3.49965</v>
      </c>
      <c r="H689" s="104" t="s">
        <v>719</v>
      </c>
    </row>
    <row r="690" customFormat="false" ht="15" hidden="false" customHeight="false" outlineLevel="0" collapsed="false">
      <c r="A690" s="103" t="n">
        <v>46300</v>
      </c>
      <c r="B690" s="104" t="s">
        <v>33</v>
      </c>
      <c r="C690" s="104" t="s">
        <v>745</v>
      </c>
      <c r="D690" s="105" t="n">
        <v>0.3333</v>
      </c>
      <c r="E690" s="106" t="n">
        <v>35</v>
      </c>
      <c r="F690" s="107" t="n">
        <f aca="false">IF($C690="","",$D690*$E690)</f>
        <v>11.6655</v>
      </c>
      <c r="G690" s="107" t="n">
        <f aca="false">IF($C690="","",$D690*IFERROR(INDEX('تحليل التكلفة والسعر'!$C$2:$C$700,MATCH($C690,'تحليل التكلفة والسعر'!$B$2:$B$700,0)),0))</f>
        <v>3.49965</v>
      </c>
      <c r="H690" s="104" t="s">
        <v>719</v>
      </c>
    </row>
    <row r="691" customFormat="false" ht="15" hidden="false" customHeight="false" outlineLevel="0" collapsed="false">
      <c r="A691" s="103" t="n">
        <v>46301</v>
      </c>
      <c r="B691" s="104" t="s">
        <v>33</v>
      </c>
      <c r="C691" s="104" t="s">
        <v>745</v>
      </c>
      <c r="D691" s="105" t="n">
        <v>0.3333</v>
      </c>
      <c r="E691" s="106" t="n">
        <v>35</v>
      </c>
      <c r="F691" s="107" t="n">
        <f aca="false">IF($C691="","",$D691*$E691)</f>
        <v>11.6655</v>
      </c>
      <c r="G691" s="107" t="n">
        <f aca="false">IF($C691="","",$D691*IFERROR(INDEX('تحليل التكلفة والسعر'!$C$2:$C$700,MATCH($C691,'تحليل التكلفة والسعر'!$B$2:$B$700,0)),0))</f>
        <v>3.49965</v>
      </c>
      <c r="H691" s="104" t="s">
        <v>719</v>
      </c>
    </row>
    <row r="692" customFormat="false" ht="15" hidden="false" customHeight="false" outlineLevel="0" collapsed="false">
      <c r="A692" s="103" t="n">
        <v>46302</v>
      </c>
      <c r="B692" s="104" t="s">
        <v>33</v>
      </c>
      <c r="C692" s="104" t="s">
        <v>745</v>
      </c>
      <c r="D692" s="105" t="n">
        <v>0.3333</v>
      </c>
      <c r="E692" s="106" t="n">
        <v>35</v>
      </c>
      <c r="F692" s="107" t="n">
        <f aca="false">IF($C692="","",$D692*$E692)</f>
        <v>11.6655</v>
      </c>
      <c r="G692" s="107" t="n">
        <f aca="false">IF($C692="","",$D692*IFERROR(INDEX('تحليل التكلفة والسعر'!$C$2:$C$700,MATCH($C692,'تحليل التكلفة والسعر'!$B$2:$B$700,0)),0))</f>
        <v>3.49965</v>
      </c>
      <c r="H692" s="104" t="s">
        <v>719</v>
      </c>
    </row>
    <row r="693" customFormat="false" ht="15" hidden="false" customHeight="false" outlineLevel="0" collapsed="false">
      <c r="A693" s="103" t="n">
        <v>46303</v>
      </c>
      <c r="B693" s="104" t="s">
        <v>33</v>
      </c>
      <c r="C693" s="104" t="s">
        <v>745</v>
      </c>
      <c r="D693" s="105" t="n">
        <v>0.3333</v>
      </c>
      <c r="E693" s="106" t="n">
        <v>35</v>
      </c>
      <c r="F693" s="107" t="n">
        <f aca="false">IF($C693="","",$D693*$E693)</f>
        <v>11.6655</v>
      </c>
      <c r="G693" s="107" t="n">
        <f aca="false">IF($C693="","",$D693*IFERROR(INDEX('تحليل التكلفة والسعر'!$C$2:$C$700,MATCH($C693,'تحليل التكلفة والسعر'!$B$2:$B$700,0)),0))</f>
        <v>3.49965</v>
      </c>
      <c r="H693" s="104" t="s">
        <v>719</v>
      </c>
    </row>
    <row r="694" customFormat="false" ht="15" hidden="false" customHeight="false" outlineLevel="0" collapsed="false">
      <c r="A694" s="103" t="n">
        <v>46304</v>
      </c>
      <c r="B694" s="104" t="s">
        <v>33</v>
      </c>
      <c r="C694" s="104" t="s">
        <v>745</v>
      </c>
      <c r="D694" s="105" t="n">
        <v>0.3333</v>
      </c>
      <c r="E694" s="106" t="n">
        <v>35</v>
      </c>
      <c r="F694" s="107" t="n">
        <f aca="false">IF($C694="","",$D694*$E694)</f>
        <v>11.6655</v>
      </c>
      <c r="G694" s="107" t="n">
        <f aca="false">IF($C694="","",$D694*IFERROR(INDEX('تحليل التكلفة والسعر'!$C$2:$C$700,MATCH($C694,'تحليل التكلفة والسعر'!$B$2:$B$700,0)),0))</f>
        <v>3.49965</v>
      </c>
      <c r="H694" s="104" t="s">
        <v>719</v>
      </c>
    </row>
    <row r="695" customFormat="false" ht="15" hidden="false" customHeight="false" outlineLevel="0" collapsed="false">
      <c r="A695" s="103" t="n">
        <v>46305</v>
      </c>
      <c r="B695" s="104" t="s">
        <v>33</v>
      </c>
      <c r="C695" s="104" t="s">
        <v>745</v>
      </c>
      <c r="D695" s="105" t="n">
        <v>0.3333</v>
      </c>
      <c r="E695" s="106" t="n">
        <v>35</v>
      </c>
      <c r="F695" s="107" t="n">
        <f aca="false">IF($C695="","",$D695*$E695)</f>
        <v>11.6655</v>
      </c>
      <c r="G695" s="107" t="n">
        <f aca="false">IF($C695="","",$D695*IFERROR(INDEX('تحليل التكلفة والسعر'!$C$2:$C$700,MATCH($C695,'تحليل التكلفة والسعر'!$B$2:$B$700,0)),0))</f>
        <v>3.49965</v>
      </c>
      <c r="H695" s="104" t="s">
        <v>719</v>
      </c>
    </row>
    <row r="696" customFormat="false" ht="15" hidden="false" customHeight="false" outlineLevel="0" collapsed="false">
      <c r="A696" s="103" t="n">
        <v>46306</v>
      </c>
      <c r="B696" s="104" t="s">
        <v>33</v>
      </c>
      <c r="C696" s="104" t="s">
        <v>745</v>
      </c>
      <c r="D696" s="105" t="n">
        <v>0.3333</v>
      </c>
      <c r="E696" s="106" t="n">
        <v>35</v>
      </c>
      <c r="F696" s="107" t="n">
        <f aca="false">IF($C696="","",$D696*$E696)</f>
        <v>11.6655</v>
      </c>
      <c r="G696" s="107" t="n">
        <f aca="false">IF($C696="","",$D696*IFERROR(INDEX('تحليل التكلفة والسعر'!$C$2:$C$700,MATCH($C696,'تحليل التكلفة والسعر'!$B$2:$B$700,0)),0))</f>
        <v>3.49965</v>
      </c>
      <c r="H696" s="104" t="s">
        <v>719</v>
      </c>
    </row>
    <row r="697" customFormat="false" ht="15" hidden="false" customHeight="false" outlineLevel="0" collapsed="false">
      <c r="A697" s="103" t="n">
        <v>46307</v>
      </c>
      <c r="B697" s="104" t="s">
        <v>33</v>
      </c>
      <c r="C697" s="104" t="s">
        <v>745</v>
      </c>
      <c r="D697" s="105" t="n">
        <v>0.3333</v>
      </c>
      <c r="E697" s="106" t="n">
        <v>35</v>
      </c>
      <c r="F697" s="107" t="n">
        <f aca="false">IF($C697="","",$D697*$E697)</f>
        <v>11.6655</v>
      </c>
      <c r="G697" s="107" t="n">
        <f aca="false">IF($C697="","",$D697*IFERROR(INDEX('تحليل التكلفة والسعر'!$C$2:$C$700,MATCH($C697,'تحليل التكلفة والسعر'!$B$2:$B$700,0)),0))</f>
        <v>3.49965</v>
      </c>
      <c r="H697" s="104" t="s">
        <v>719</v>
      </c>
    </row>
    <row r="698" customFormat="false" ht="15" hidden="false" customHeight="false" outlineLevel="0" collapsed="false">
      <c r="A698" s="103" t="n">
        <v>46296</v>
      </c>
      <c r="B698" s="104" t="s">
        <v>33</v>
      </c>
      <c r="C698" s="104" t="s">
        <v>746</v>
      </c>
      <c r="D698" s="105" t="n">
        <v>0.25</v>
      </c>
      <c r="E698" s="106" t="n">
        <v>28.7967</v>
      </c>
      <c r="F698" s="107" t="n">
        <f aca="false">IF($C698="","",$D698*$E698)</f>
        <v>7.199175</v>
      </c>
      <c r="G698" s="107" t="n">
        <f aca="false">IF($C698="","",$D698*IFERROR(INDEX('تحليل التكلفة والسعر'!$C$2:$C$700,MATCH($C698,'تحليل التكلفة والسعر'!$B$2:$B$700,0)),0))</f>
        <v>1.75</v>
      </c>
      <c r="H698" s="104" t="s">
        <v>719</v>
      </c>
    </row>
    <row r="699" customFormat="false" ht="15" hidden="false" customHeight="false" outlineLevel="0" collapsed="false">
      <c r="A699" s="103" t="n">
        <v>46297</v>
      </c>
      <c r="B699" s="104" t="s">
        <v>33</v>
      </c>
      <c r="C699" s="104" t="s">
        <v>746</v>
      </c>
      <c r="D699" s="105" t="n">
        <v>0.25</v>
      </c>
      <c r="E699" s="106" t="n">
        <v>28.7967</v>
      </c>
      <c r="F699" s="107" t="n">
        <f aca="false">IF($C699="","",$D699*$E699)</f>
        <v>7.199175</v>
      </c>
      <c r="G699" s="107" t="n">
        <f aca="false">IF($C699="","",$D699*IFERROR(INDEX('تحليل التكلفة والسعر'!$C$2:$C$700,MATCH($C699,'تحليل التكلفة والسعر'!$B$2:$B$700,0)),0))</f>
        <v>1.75</v>
      </c>
      <c r="H699" s="104" t="s">
        <v>719</v>
      </c>
    </row>
    <row r="700" customFormat="false" ht="15" hidden="false" customHeight="false" outlineLevel="0" collapsed="false">
      <c r="A700" s="103" t="n">
        <v>46298</v>
      </c>
      <c r="B700" s="104" t="s">
        <v>33</v>
      </c>
      <c r="C700" s="104" t="s">
        <v>746</v>
      </c>
      <c r="D700" s="105" t="n">
        <v>0.25</v>
      </c>
      <c r="E700" s="106" t="n">
        <v>28.7967</v>
      </c>
      <c r="F700" s="107" t="n">
        <f aca="false">IF($C700="","",$D700*$E700)</f>
        <v>7.199175</v>
      </c>
      <c r="G700" s="107" t="n">
        <f aca="false">IF($C700="","",$D700*IFERROR(INDEX('تحليل التكلفة والسعر'!$C$2:$C$700,MATCH($C700,'تحليل التكلفة والسعر'!$B$2:$B$700,0)),0))</f>
        <v>1.75</v>
      </c>
      <c r="H700" s="104" t="s">
        <v>719</v>
      </c>
    </row>
    <row r="701" customFormat="false" ht="15" hidden="false" customHeight="false" outlineLevel="0" collapsed="false">
      <c r="A701" s="103" t="n">
        <v>46299</v>
      </c>
      <c r="B701" s="104" t="s">
        <v>33</v>
      </c>
      <c r="C701" s="104" t="s">
        <v>746</v>
      </c>
      <c r="D701" s="105" t="n">
        <v>0.25</v>
      </c>
      <c r="E701" s="106" t="n">
        <v>28.7967</v>
      </c>
      <c r="F701" s="107" t="n">
        <f aca="false">IF($C701="","",$D701*$E701)</f>
        <v>7.199175</v>
      </c>
      <c r="G701" s="107" t="n">
        <f aca="false">IF($C701="","",$D701*IFERROR(INDEX('تحليل التكلفة والسعر'!$C$2:$C$700,MATCH($C701,'تحليل التكلفة والسعر'!$B$2:$B$700,0)),0))</f>
        <v>1.75</v>
      </c>
      <c r="H701" s="104" t="s">
        <v>719</v>
      </c>
    </row>
    <row r="702" customFormat="false" ht="15" hidden="false" customHeight="false" outlineLevel="0" collapsed="false">
      <c r="A702" s="103" t="n">
        <v>46300</v>
      </c>
      <c r="B702" s="104" t="s">
        <v>33</v>
      </c>
      <c r="C702" s="104" t="s">
        <v>746</v>
      </c>
      <c r="D702" s="105" t="n">
        <v>0.25</v>
      </c>
      <c r="E702" s="106" t="n">
        <v>28.7967</v>
      </c>
      <c r="F702" s="107" t="n">
        <f aca="false">IF($C702="","",$D702*$E702)</f>
        <v>7.199175</v>
      </c>
      <c r="G702" s="107" t="n">
        <f aca="false">IF($C702="","",$D702*IFERROR(INDEX('تحليل التكلفة والسعر'!$C$2:$C$700,MATCH($C702,'تحليل التكلفة والسعر'!$B$2:$B$700,0)),0))</f>
        <v>1.75</v>
      </c>
      <c r="H702" s="104" t="s">
        <v>719</v>
      </c>
    </row>
    <row r="703" customFormat="false" ht="15" hidden="false" customHeight="false" outlineLevel="0" collapsed="false">
      <c r="A703" s="103" t="n">
        <v>46301</v>
      </c>
      <c r="B703" s="104" t="s">
        <v>33</v>
      </c>
      <c r="C703" s="104" t="s">
        <v>746</v>
      </c>
      <c r="D703" s="105" t="n">
        <v>0.25</v>
      </c>
      <c r="E703" s="106" t="n">
        <v>28.7967</v>
      </c>
      <c r="F703" s="107" t="n">
        <f aca="false">IF($C703="","",$D703*$E703)</f>
        <v>7.199175</v>
      </c>
      <c r="G703" s="107" t="n">
        <f aca="false">IF($C703="","",$D703*IFERROR(INDEX('تحليل التكلفة والسعر'!$C$2:$C$700,MATCH($C703,'تحليل التكلفة والسعر'!$B$2:$B$700,0)),0))</f>
        <v>1.75</v>
      </c>
      <c r="H703" s="104" t="s">
        <v>719</v>
      </c>
    </row>
    <row r="704" customFormat="false" ht="15" hidden="false" customHeight="false" outlineLevel="0" collapsed="false">
      <c r="A704" s="103" t="n">
        <v>46302</v>
      </c>
      <c r="B704" s="104" t="s">
        <v>33</v>
      </c>
      <c r="C704" s="104" t="s">
        <v>746</v>
      </c>
      <c r="D704" s="105" t="n">
        <v>0.25</v>
      </c>
      <c r="E704" s="106" t="n">
        <v>28.7967</v>
      </c>
      <c r="F704" s="107" t="n">
        <f aca="false">IF($C704="","",$D704*$E704)</f>
        <v>7.199175</v>
      </c>
      <c r="G704" s="107" t="n">
        <f aca="false">IF($C704="","",$D704*IFERROR(INDEX('تحليل التكلفة والسعر'!$C$2:$C$700,MATCH($C704,'تحليل التكلفة والسعر'!$B$2:$B$700,0)),0))</f>
        <v>1.75</v>
      </c>
      <c r="H704" s="104" t="s">
        <v>719</v>
      </c>
    </row>
    <row r="705" customFormat="false" ht="15" hidden="false" customHeight="false" outlineLevel="0" collapsed="false">
      <c r="A705" s="103" t="n">
        <v>46303</v>
      </c>
      <c r="B705" s="104" t="s">
        <v>33</v>
      </c>
      <c r="C705" s="104" t="s">
        <v>746</v>
      </c>
      <c r="D705" s="105" t="n">
        <v>0.25</v>
      </c>
      <c r="E705" s="106" t="n">
        <v>28.7967</v>
      </c>
      <c r="F705" s="107" t="n">
        <f aca="false">IF($C705="","",$D705*$E705)</f>
        <v>7.199175</v>
      </c>
      <c r="G705" s="107" t="n">
        <f aca="false">IF($C705="","",$D705*IFERROR(INDEX('تحليل التكلفة والسعر'!$C$2:$C$700,MATCH($C705,'تحليل التكلفة والسعر'!$B$2:$B$700,0)),0))</f>
        <v>1.75</v>
      </c>
      <c r="H705" s="104" t="s">
        <v>719</v>
      </c>
    </row>
    <row r="706" customFormat="false" ht="15" hidden="false" customHeight="false" outlineLevel="0" collapsed="false">
      <c r="A706" s="103" t="n">
        <v>46304</v>
      </c>
      <c r="B706" s="104" t="s">
        <v>33</v>
      </c>
      <c r="C706" s="104" t="s">
        <v>746</v>
      </c>
      <c r="D706" s="105" t="n">
        <v>0.25</v>
      </c>
      <c r="E706" s="106" t="n">
        <v>28.7967</v>
      </c>
      <c r="F706" s="107" t="n">
        <f aca="false">IF($C706="","",$D706*$E706)</f>
        <v>7.199175</v>
      </c>
      <c r="G706" s="107" t="n">
        <f aca="false">IF($C706="","",$D706*IFERROR(INDEX('تحليل التكلفة والسعر'!$C$2:$C$700,MATCH($C706,'تحليل التكلفة والسعر'!$B$2:$B$700,0)),0))</f>
        <v>1.75</v>
      </c>
      <c r="H706" s="104" t="s">
        <v>719</v>
      </c>
    </row>
    <row r="707" customFormat="false" ht="15" hidden="false" customHeight="false" outlineLevel="0" collapsed="false">
      <c r="A707" s="103" t="n">
        <v>46305</v>
      </c>
      <c r="B707" s="104" t="s">
        <v>33</v>
      </c>
      <c r="C707" s="104" t="s">
        <v>746</v>
      </c>
      <c r="D707" s="105" t="n">
        <v>0.25</v>
      </c>
      <c r="E707" s="106" t="n">
        <v>28.7967</v>
      </c>
      <c r="F707" s="107" t="n">
        <f aca="false">IF($C707="","",$D707*$E707)</f>
        <v>7.199175</v>
      </c>
      <c r="G707" s="107" t="n">
        <f aca="false">IF($C707="","",$D707*IFERROR(INDEX('تحليل التكلفة والسعر'!$C$2:$C$700,MATCH($C707,'تحليل التكلفة والسعر'!$B$2:$B$700,0)),0))</f>
        <v>1.75</v>
      </c>
      <c r="H707" s="104" t="s">
        <v>719</v>
      </c>
    </row>
    <row r="708" customFormat="false" ht="15" hidden="false" customHeight="false" outlineLevel="0" collapsed="false">
      <c r="A708" s="103" t="n">
        <v>46306</v>
      </c>
      <c r="B708" s="104" t="s">
        <v>33</v>
      </c>
      <c r="C708" s="104" t="s">
        <v>746</v>
      </c>
      <c r="D708" s="105" t="n">
        <v>0.25</v>
      </c>
      <c r="E708" s="106" t="n">
        <v>28.7967</v>
      </c>
      <c r="F708" s="107" t="n">
        <f aca="false">IF($C708="","",$D708*$E708)</f>
        <v>7.199175</v>
      </c>
      <c r="G708" s="107" t="n">
        <f aca="false">IF($C708="","",$D708*IFERROR(INDEX('تحليل التكلفة والسعر'!$C$2:$C$700,MATCH($C708,'تحليل التكلفة والسعر'!$B$2:$B$700,0)),0))</f>
        <v>1.75</v>
      </c>
      <c r="H708" s="104" t="s">
        <v>719</v>
      </c>
    </row>
    <row r="709" customFormat="false" ht="15" hidden="false" customHeight="false" outlineLevel="0" collapsed="false">
      <c r="A709" s="103" t="n">
        <v>46307</v>
      </c>
      <c r="B709" s="104" t="s">
        <v>33</v>
      </c>
      <c r="C709" s="104" t="s">
        <v>746</v>
      </c>
      <c r="D709" s="105" t="n">
        <v>0.25</v>
      </c>
      <c r="E709" s="106" t="n">
        <v>28.7967</v>
      </c>
      <c r="F709" s="107" t="n">
        <f aca="false">IF($C709="","",$D709*$E709)</f>
        <v>7.199175</v>
      </c>
      <c r="G709" s="107" t="n">
        <f aca="false">IF($C709="","",$D709*IFERROR(INDEX('تحليل التكلفة والسعر'!$C$2:$C$700,MATCH($C709,'تحليل التكلفة والسعر'!$B$2:$B$700,0)),0))</f>
        <v>1.75</v>
      </c>
      <c r="H709" s="104" t="s">
        <v>719</v>
      </c>
    </row>
    <row r="710" customFormat="false" ht="15" hidden="false" customHeight="false" outlineLevel="0" collapsed="false">
      <c r="A710" s="103" t="n">
        <v>46296</v>
      </c>
      <c r="B710" s="104" t="s">
        <v>33</v>
      </c>
      <c r="C710" s="104" t="s">
        <v>747</v>
      </c>
      <c r="D710" s="105" t="n">
        <v>0.5</v>
      </c>
      <c r="E710" s="106" t="n">
        <v>25.8333</v>
      </c>
      <c r="F710" s="107" t="n">
        <f aca="false">IF($C710="","",$D710*$E710)</f>
        <v>12.91665</v>
      </c>
      <c r="G710" s="107" t="n">
        <f aca="false">IF($C710="","",$D710*IFERROR(INDEX('تحليل التكلفة والسعر'!$C$2:$C$700,MATCH($C710,'تحليل التكلفة والسعر'!$B$2:$B$700,0)),0))</f>
        <v>5.25</v>
      </c>
      <c r="H710" s="104" t="s">
        <v>719</v>
      </c>
    </row>
    <row r="711" customFormat="false" ht="15" hidden="false" customHeight="false" outlineLevel="0" collapsed="false">
      <c r="A711" s="103" t="n">
        <v>46297</v>
      </c>
      <c r="B711" s="104" t="s">
        <v>33</v>
      </c>
      <c r="C711" s="104" t="s">
        <v>747</v>
      </c>
      <c r="D711" s="105" t="n">
        <v>0.5</v>
      </c>
      <c r="E711" s="106" t="n">
        <v>25.8333</v>
      </c>
      <c r="F711" s="107" t="n">
        <f aca="false">IF($C711="","",$D711*$E711)</f>
        <v>12.91665</v>
      </c>
      <c r="G711" s="107" t="n">
        <f aca="false">IF($C711="","",$D711*IFERROR(INDEX('تحليل التكلفة والسعر'!$C$2:$C$700,MATCH($C711,'تحليل التكلفة والسعر'!$B$2:$B$700,0)),0))</f>
        <v>5.25</v>
      </c>
      <c r="H711" s="104" t="s">
        <v>719</v>
      </c>
    </row>
    <row r="712" customFormat="false" ht="15" hidden="false" customHeight="false" outlineLevel="0" collapsed="false">
      <c r="A712" s="103" t="n">
        <v>46298</v>
      </c>
      <c r="B712" s="104" t="s">
        <v>33</v>
      </c>
      <c r="C712" s="104" t="s">
        <v>747</v>
      </c>
      <c r="D712" s="105" t="n">
        <v>0.5</v>
      </c>
      <c r="E712" s="106" t="n">
        <v>25.8333</v>
      </c>
      <c r="F712" s="107" t="n">
        <f aca="false">IF($C712="","",$D712*$E712)</f>
        <v>12.91665</v>
      </c>
      <c r="G712" s="107" t="n">
        <f aca="false">IF($C712="","",$D712*IFERROR(INDEX('تحليل التكلفة والسعر'!$C$2:$C$700,MATCH($C712,'تحليل التكلفة والسعر'!$B$2:$B$700,0)),0))</f>
        <v>5.25</v>
      </c>
      <c r="H712" s="104" t="s">
        <v>719</v>
      </c>
    </row>
    <row r="713" customFormat="false" ht="15" hidden="false" customHeight="false" outlineLevel="0" collapsed="false">
      <c r="A713" s="103" t="n">
        <v>46299</v>
      </c>
      <c r="B713" s="104" t="s">
        <v>33</v>
      </c>
      <c r="C713" s="104" t="s">
        <v>747</v>
      </c>
      <c r="D713" s="105" t="n">
        <v>0.5</v>
      </c>
      <c r="E713" s="106" t="n">
        <v>25.8333</v>
      </c>
      <c r="F713" s="107" t="n">
        <f aca="false">IF($C713="","",$D713*$E713)</f>
        <v>12.91665</v>
      </c>
      <c r="G713" s="107" t="n">
        <f aca="false">IF($C713="","",$D713*IFERROR(INDEX('تحليل التكلفة والسعر'!$C$2:$C$700,MATCH($C713,'تحليل التكلفة والسعر'!$B$2:$B$700,0)),0))</f>
        <v>5.25</v>
      </c>
      <c r="H713" s="104" t="s">
        <v>719</v>
      </c>
    </row>
    <row r="714" customFormat="false" ht="15" hidden="false" customHeight="false" outlineLevel="0" collapsed="false">
      <c r="A714" s="103" t="n">
        <v>46300</v>
      </c>
      <c r="B714" s="104" t="s">
        <v>33</v>
      </c>
      <c r="C714" s="104" t="s">
        <v>747</v>
      </c>
      <c r="D714" s="105" t="n">
        <v>0.5</v>
      </c>
      <c r="E714" s="106" t="n">
        <v>25.8333</v>
      </c>
      <c r="F714" s="107" t="n">
        <f aca="false">IF($C714="","",$D714*$E714)</f>
        <v>12.91665</v>
      </c>
      <c r="G714" s="107" t="n">
        <f aca="false">IF($C714="","",$D714*IFERROR(INDEX('تحليل التكلفة والسعر'!$C$2:$C$700,MATCH($C714,'تحليل التكلفة والسعر'!$B$2:$B$700,0)),0))</f>
        <v>5.25</v>
      </c>
      <c r="H714" s="104" t="s">
        <v>719</v>
      </c>
    </row>
    <row r="715" customFormat="false" ht="15" hidden="false" customHeight="false" outlineLevel="0" collapsed="false">
      <c r="A715" s="103" t="n">
        <v>46301</v>
      </c>
      <c r="B715" s="104" t="s">
        <v>33</v>
      </c>
      <c r="C715" s="104" t="s">
        <v>747</v>
      </c>
      <c r="D715" s="105" t="n">
        <v>0.5</v>
      </c>
      <c r="E715" s="106" t="n">
        <v>25.8333</v>
      </c>
      <c r="F715" s="107" t="n">
        <f aca="false">IF($C715="","",$D715*$E715)</f>
        <v>12.91665</v>
      </c>
      <c r="G715" s="107" t="n">
        <f aca="false">IF($C715="","",$D715*IFERROR(INDEX('تحليل التكلفة والسعر'!$C$2:$C$700,MATCH($C715,'تحليل التكلفة والسعر'!$B$2:$B$700,0)),0))</f>
        <v>5.25</v>
      </c>
      <c r="H715" s="104" t="s">
        <v>719</v>
      </c>
    </row>
    <row r="716" customFormat="false" ht="15" hidden="false" customHeight="false" outlineLevel="0" collapsed="false">
      <c r="A716" s="103" t="n">
        <v>46302</v>
      </c>
      <c r="B716" s="104" t="s">
        <v>33</v>
      </c>
      <c r="C716" s="104" t="s">
        <v>747</v>
      </c>
      <c r="D716" s="105" t="n">
        <v>0.5</v>
      </c>
      <c r="E716" s="106" t="n">
        <v>25.8333</v>
      </c>
      <c r="F716" s="107" t="n">
        <f aca="false">IF($C716="","",$D716*$E716)</f>
        <v>12.91665</v>
      </c>
      <c r="G716" s="107" t="n">
        <f aca="false">IF($C716="","",$D716*IFERROR(INDEX('تحليل التكلفة والسعر'!$C$2:$C$700,MATCH($C716,'تحليل التكلفة والسعر'!$B$2:$B$700,0)),0))</f>
        <v>5.25</v>
      </c>
      <c r="H716" s="104" t="s">
        <v>719</v>
      </c>
    </row>
    <row r="717" customFormat="false" ht="15" hidden="false" customHeight="false" outlineLevel="0" collapsed="false">
      <c r="A717" s="103" t="n">
        <v>46303</v>
      </c>
      <c r="B717" s="104" t="s">
        <v>33</v>
      </c>
      <c r="C717" s="104" t="s">
        <v>747</v>
      </c>
      <c r="D717" s="105" t="n">
        <v>0.5</v>
      </c>
      <c r="E717" s="106" t="n">
        <v>25.8333</v>
      </c>
      <c r="F717" s="107" t="n">
        <f aca="false">IF($C717="","",$D717*$E717)</f>
        <v>12.91665</v>
      </c>
      <c r="G717" s="107" t="n">
        <f aca="false">IF($C717="","",$D717*IFERROR(INDEX('تحليل التكلفة والسعر'!$C$2:$C$700,MATCH($C717,'تحليل التكلفة والسعر'!$B$2:$B$700,0)),0))</f>
        <v>5.25</v>
      </c>
      <c r="H717" s="104" t="s">
        <v>719</v>
      </c>
    </row>
    <row r="718" customFormat="false" ht="15" hidden="false" customHeight="false" outlineLevel="0" collapsed="false">
      <c r="A718" s="103" t="n">
        <v>46304</v>
      </c>
      <c r="B718" s="104" t="s">
        <v>33</v>
      </c>
      <c r="C718" s="104" t="s">
        <v>747</v>
      </c>
      <c r="D718" s="105" t="n">
        <v>0.5</v>
      </c>
      <c r="E718" s="106" t="n">
        <v>25.8333</v>
      </c>
      <c r="F718" s="107" t="n">
        <f aca="false">IF($C718="","",$D718*$E718)</f>
        <v>12.91665</v>
      </c>
      <c r="G718" s="107" t="n">
        <f aca="false">IF($C718="","",$D718*IFERROR(INDEX('تحليل التكلفة والسعر'!$C$2:$C$700,MATCH($C718,'تحليل التكلفة والسعر'!$B$2:$B$700,0)),0))</f>
        <v>5.25</v>
      </c>
      <c r="H718" s="104" t="s">
        <v>719</v>
      </c>
    </row>
    <row r="719" customFormat="false" ht="15" hidden="false" customHeight="false" outlineLevel="0" collapsed="false">
      <c r="A719" s="103" t="n">
        <v>46305</v>
      </c>
      <c r="B719" s="104" t="s">
        <v>33</v>
      </c>
      <c r="C719" s="104" t="s">
        <v>747</v>
      </c>
      <c r="D719" s="105" t="n">
        <v>0.5</v>
      </c>
      <c r="E719" s="106" t="n">
        <v>25.8333</v>
      </c>
      <c r="F719" s="107" t="n">
        <f aca="false">IF($C719="","",$D719*$E719)</f>
        <v>12.91665</v>
      </c>
      <c r="G719" s="107" t="n">
        <f aca="false">IF($C719="","",$D719*IFERROR(INDEX('تحليل التكلفة والسعر'!$C$2:$C$700,MATCH($C719,'تحليل التكلفة والسعر'!$B$2:$B$700,0)),0))</f>
        <v>5.25</v>
      </c>
      <c r="H719" s="104" t="s">
        <v>719</v>
      </c>
    </row>
    <row r="720" customFormat="false" ht="15" hidden="false" customHeight="false" outlineLevel="0" collapsed="false">
      <c r="A720" s="103" t="n">
        <v>46306</v>
      </c>
      <c r="B720" s="104" t="s">
        <v>33</v>
      </c>
      <c r="C720" s="104" t="s">
        <v>747</v>
      </c>
      <c r="D720" s="105" t="n">
        <v>0.5</v>
      </c>
      <c r="E720" s="106" t="n">
        <v>25.8333</v>
      </c>
      <c r="F720" s="107" t="n">
        <f aca="false">IF($C720="","",$D720*$E720)</f>
        <v>12.91665</v>
      </c>
      <c r="G720" s="107" t="n">
        <f aca="false">IF($C720="","",$D720*IFERROR(INDEX('تحليل التكلفة والسعر'!$C$2:$C$700,MATCH($C720,'تحليل التكلفة والسعر'!$B$2:$B$700,0)),0))</f>
        <v>5.25</v>
      </c>
      <c r="H720" s="104" t="s">
        <v>719</v>
      </c>
    </row>
    <row r="721" customFormat="false" ht="15" hidden="false" customHeight="false" outlineLevel="0" collapsed="false">
      <c r="A721" s="103" t="n">
        <v>46307</v>
      </c>
      <c r="B721" s="104" t="s">
        <v>33</v>
      </c>
      <c r="C721" s="104" t="s">
        <v>747</v>
      </c>
      <c r="D721" s="105" t="n">
        <v>0.5</v>
      </c>
      <c r="E721" s="106" t="n">
        <v>25.8333</v>
      </c>
      <c r="F721" s="107" t="n">
        <f aca="false">IF($C721="","",$D721*$E721)</f>
        <v>12.91665</v>
      </c>
      <c r="G721" s="107" t="n">
        <f aca="false">IF($C721="","",$D721*IFERROR(INDEX('تحليل التكلفة والسعر'!$C$2:$C$700,MATCH($C721,'تحليل التكلفة والسعر'!$B$2:$B$700,0)),0))</f>
        <v>5.25</v>
      </c>
      <c r="H721" s="104" t="s">
        <v>719</v>
      </c>
    </row>
    <row r="722" customFormat="false" ht="15" hidden="false" customHeight="false" outlineLevel="0" collapsed="false">
      <c r="A722" s="103" t="n">
        <v>46296</v>
      </c>
      <c r="B722" s="104" t="s">
        <v>33</v>
      </c>
      <c r="C722" s="104" t="s">
        <v>748</v>
      </c>
      <c r="D722" s="105" t="n">
        <v>0.0833</v>
      </c>
      <c r="E722" s="106" t="n">
        <v>30</v>
      </c>
      <c r="F722" s="107" t="n">
        <f aca="false">IF($C722="","",$D722*$E722)</f>
        <v>2.499</v>
      </c>
      <c r="G722" s="107" t="n">
        <f aca="false">IF($C722="","",$D722*IFERROR(INDEX('تحليل التكلفة والسعر'!$C$2:$C$700,MATCH($C722,'تحليل التكلفة والسعر'!$B$2:$B$700,0)),0))</f>
        <v>1.7493</v>
      </c>
      <c r="H722" s="104" t="s">
        <v>719</v>
      </c>
    </row>
    <row r="723" customFormat="false" ht="15" hidden="false" customHeight="false" outlineLevel="0" collapsed="false">
      <c r="A723" s="103" t="n">
        <v>46297</v>
      </c>
      <c r="B723" s="104" t="s">
        <v>33</v>
      </c>
      <c r="C723" s="104" t="s">
        <v>748</v>
      </c>
      <c r="D723" s="105" t="n">
        <v>0.0833</v>
      </c>
      <c r="E723" s="106" t="n">
        <v>30</v>
      </c>
      <c r="F723" s="107" t="n">
        <f aca="false">IF($C723="","",$D723*$E723)</f>
        <v>2.499</v>
      </c>
      <c r="G723" s="107" t="n">
        <f aca="false">IF($C723="","",$D723*IFERROR(INDEX('تحليل التكلفة والسعر'!$C$2:$C$700,MATCH($C723,'تحليل التكلفة والسعر'!$B$2:$B$700,0)),0))</f>
        <v>1.7493</v>
      </c>
      <c r="H723" s="104" t="s">
        <v>719</v>
      </c>
    </row>
    <row r="724" customFormat="false" ht="15" hidden="false" customHeight="false" outlineLevel="0" collapsed="false">
      <c r="A724" s="103" t="n">
        <v>46298</v>
      </c>
      <c r="B724" s="104" t="s">
        <v>33</v>
      </c>
      <c r="C724" s="104" t="s">
        <v>748</v>
      </c>
      <c r="D724" s="105" t="n">
        <v>0.0833</v>
      </c>
      <c r="E724" s="106" t="n">
        <v>30</v>
      </c>
      <c r="F724" s="107" t="n">
        <f aca="false">IF($C724="","",$D724*$E724)</f>
        <v>2.499</v>
      </c>
      <c r="G724" s="107" t="n">
        <f aca="false">IF($C724="","",$D724*IFERROR(INDEX('تحليل التكلفة والسعر'!$C$2:$C$700,MATCH($C724,'تحليل التكلفة والسعر'!$B$2:$B$700,0)),0))</f>
        <v>1.7493</v>
      </c>
      <c r="H724" s="104" t="s">
        <v>719</v>
      </c>
    </row>
    <row r="725" customFormat="false" ht="15" hidden="false" customHeight="false" outlineLevel="0" collapsed="false">
      <c r="A725" s="103" t="n">
        <v>46299</v>
      </c>
      <c r="B725" s="104" t="s">
        <v>33</v>
      </c>
      <c r="C725" s="104" t="s">
        <v>748</v>
      </c>
      <c r="D725" s="105" t="n">
        <v>0.0833</v>
      </c>
      <c r="E725" s="106" t="n">
        <v>30</v>
      </c>
      <c r="F725" s="107" t="n">
        <f aca="false">IF($C725="","",$D725*$E725)</f>
        <v>2.499</v>
      </c>
      <c r="G725" s="107" t="n">
        <f aca="false">IF($C725="","",$D725*IFERROR(INDEX('تحليل التكلفة والسعر'!$C$2:$C$700,MATCH($C725,'تحليل التكلفة والسعر'!$B$2:$B$700,0)),0))</f>
        <v>1.7493</v>
      </c>
      <c r="H725" s="104" t="s">
        <v>719</v>
      </c>
    </row>
    <row r="726" customFormat="false" ht="15" hidden="false" customHeight="false" outlineLevel="0" collapsed="false">
      <c r="A726" s="103" t="n">
        <v>46300</v>
      </c>
      <c r="B726" s="104" t="s">
        <v>33</v>
      </c>
      <c r="C726" s="104" t="s">
        <v>748</v>
      </c>
      <c r="D726" s="105" t="n">
        <v>0.0833</v>
      </c>
      <c r="E726" s="106" t="n">
        <v>30</v>
      </c>
      <c r="F726" s="107" t="n">
        <f aca="false">IF($C726="","",$D726*$E726)</f>
        <v>2.499</v>
      </c>
      <c r="G726" s="107" t="n">
        <f aca="false">IF($C726="","",$D726*IFERROR(INDEX('تحليل التكلفة والسعر'!$C$2:$C$700,MATCH($C726,'تحليل التكلفة والسعر'!$B$2:$B$700,0)),0))</f>
        <v>1.7493</v>
      </c>
      <c r="H726" s="104" t="s">
        <v>719</v>
      </c>
    </row>
    <row r="727" customFormat="false" ht="15" hidden="false" customHeight="false" outlineLevel="0" collapsed="false">
      <c r="A727" s="103" t="n">
        <v>46301</v>
      </c>
      <c r="B727" s="104" t="s">
        <v>33</v>
      </c>
      <c r="C727" s="104" t="s">
        <v>748</v>
      </c>
      <c r="D727" s="105" t="n">
        <v>0.0833</v>
      </c>
      <c r="E727" s="106" t="n">
        <v>30</v>
      </c>
      <c r="F727" s="107" t="n">
        <f aca="false">IF($C727="","",$D727*$E727)</f>
        <v>2.499</v>
      </c>
      <c r="G727" s="107" t="n">
        <f aca="false">IF($C727="","",$D727*IFERROR(INDEX('تحليل التكلفة والسعر'!$C$2:$C$700,MATCH($C727,'تحليل التكلفة والسعر'!$B$2:$B$700,0)),0))</f>
        <v>1.7493</v>
      </c>
      <c r="H727" s="104" t="s">
        <v>719</v>
      </c>
    </row>
    <row r="728" customFormat="false" ht="15" hidden="false" customHeight="false" outlineLevel="0" collapsed="false">
      <c r="A728" s="103" t="n">
        <v>46302</v>
      </c>
      <c r="B728" s="104" t="s">
        <v>33</v>
      </c>
      <c r="C728" s="104" t="s">
        <v>748</v>
      </c>
      <c r="D728" s="105" t="n">
        <v>0.0833</v>
      </c>
      <c r="E728" s="106" t="n">
        <v>30</v>
      </c>
      <c r="F728" s="107" t="n">
        <f aca="false">IF($C728="","",$D728*$E728)</f>
        <v>2.499</v>
      </c>
      <c r="G728" s="107" t="n">
        <f aca="false">IF($C728="","",$D728*IFERROR(INDEX('تحليل التكلفة والسعر'!$C$2:$C$700,MATCH($C728,'تحليل التكلفة والسعر'!$B$2:$B$700,0)),0))</f>
        <v>1.7493</v>
      </c>
      <c r="H728" s="104" t="s">
        <v>719</v>
      </c>
    </row>
    <row r="729" customFormat="false" ht="15" hidden="false" customHeight="false" outlineLevel="0" collapsed="false">
      <c r="A729" s="103" t="n">
        <v>46303</v>
      </c>
      <c r="B729" s="104" t="s">
        <v>33</v>
      </c>
      <c r="C729" s="104" t="s">
        <v>748</v>
      </c>
      <c r="D729" s="105" t="n">
        <v>0.0833</v>
      </c>
      <c r="E729" s="106" t="n">
        <v>30</v>
      </c>
      <c r="F729" s="107" t="n">
        <f aca="false">IF($C729="","",$D729*$E729)</f>
        <v>2.499</v>
      </c>
      <c r="G729" s="107" t="n">
        <f aca="false">IF($C729="","",$D729*IFERROR(INDEX('تحليل التكلفة والسعر'!$C$2:$C$700,MATCH($C729,'تحليل التكلفة والسعر'!$B$2:$B$700,0)),0))</f>
        <v>1.7493</v>
      </c>
      <c r="H729" s="104" t="s">
        <v>719</v>
      </c>
    </row>
    <row r="730" customFormat="false" ht="15" hidden="false" customHeight="false" outlineLevel="0" collapsed="false">
      <c r="A730" s="103" t="n">
        <v>46304</v>
      </c>
      <c r="B730" s="104" t="s">
        <v>33</v>
      </c>
      <c r="C730" s="104" t="s">
        <v>748</v>
      </c>
      <c r="D730" s="105" t="n">
        <v>0.0833</v>
      </c>
      <c r="E730" s="106" t="n">
        <v>30</v>
      </c>
      <c r="F730" s="107" t="n">
        <f aca="false">IF($C730="","",$D730*$E730)</f>
        <v>2.499</v>
      </c>
      <c r="G730" s="107" t="n">
        <f aca="false">IF($C730="","",$D730*IFERROR(INDEX('تحليل التكلفة والسعر'!$C$2:$C$700,MATCH($C730,'تحليل التكلفة والسعر'!$B$2:$B$700,0)),0))</f>
        <v>1.7493</v>
      </c>
      <c r="H730" s="104" t="s">
        <v>719</v>
      </c>
    </row>
    <row r="731" customFormat="false" ht="15" hidden="false" customHeight="false" outlineLevel="0" collapsed="false">
      <c r="A731" s="103" t="n">
        <v>46305</v>
      </c>
      <c r="B731" s="104" t="s">
        <v>33</v>
      </c>
      <c r="C731" s="104" t="s">
        <v>748</v>
      </c>
      <c r="D731" s="105" t="n">
        <v>0.0833</v>
      </c>
      <c r="E731" s="106" t="n">
        <v>30</v>
      </c>
      <c r="F731" s="107" t="n">
        <f aca="false">IF($C731="","",$D731*$E731)</f>
        <v>2.499</v>
      </c>
      <c r="G731" s="107" t="n">
        <f aca="false">IF($C731="","",$D731*IFERROR(INDEX('تحليل التكلفة والسعر'!$C$2:$C$700,MATCH($C731,'تحليل التكلفة والسعر'!$B$2:$B$700,0)),0))</f>
        <v>1.7493</v>
      </c>
      <c r="H731" s="104" t="s">
        <v>719</v>
      </c>
    </row>
    <row r="732" customFormat="false" ht="15" hidden="false" customHeight="false" outlineLevel="0" collapsed="false">
      <c r="A732" s="103" t="n">
        <v>46306</v>
      </c>
      <c r="B732" s="104" t="s">
        <v>33</v>
      </c>
      <c r="C732" s="104" t="s">
        <v>748</v>
      </c>
      <c r="D732" s="105" t="n">
        <v>0.0833</v>
      </c>
      <c r="E732" s="106" t="n">
        <v>30</v>
      </c>
      <c r="F732" s="107" t="n">
        <f aca="false">IF($C732="","",$D732*$E732)</f>
        <v>2.499</v>
      </c>
      <c r="G732" s="107" t="n">
        <f aca="false">IF($C732="","",$D732*IFERROR(INDEX('تحليل التكلفة والسعر'!$C$2:$C$700,MATCH($C732,'تحليل التكلفة والسعر'!$B$2:$B$700,0)),0))</f>
        <v>1.7493</v>
      </c>
      <c r="H732" s="104" t="s">
        <v>719</v>
      </c>
    </row>
    <row r="733" customFormat="false" ht="15" hidden="false" customHeight="false" outlineLevel="0" collapsed="false">
      <c r="A733" s="103" t="n">
        <v>46307</v>
      </c>
      <c r="B733" s="104" t="s">
        <v>33</v>
      </c>
      <c r="C733" s="104" t="s">
        <v>748</v>
      </c>
      <c r="D733" s="105" t="n">
        <v>0.0833</v>
      </c>
      <c r="E733" s="106" t="n">
        <v>30</v>
      </c>
      <c r="F733" s="107" t="n">
        <f aca="false">IF($C733="","",$D733*$E733)</f>
        <v>2.499</v>
      </c>
      <c r="G733" s="107" t="n">
        <f aca="false">IF($C733="","",$D733*IFERROR(INDEX('تحليل التكلفة والسعر'!$C$2:$C$700,MATCH($C733,'تحليل التكلفة والسعر'!$B$2:$B$700,0)),0))</f>
        <v>1.7493</v>
      </c>
      <c r="H733" s="104" t="s">
        <v>719</v>
      </c>
    </row>
    <row r="734" customFormat="false" ht="15" hidden="false" customHeight="false" outlineLevel="0" collapsed="false">
      <c r="A734" s="103" t="n">
        <v>46296</v>
      </c>
      <c r="B734" s="104" t="s">
        <v>33</v>
      </c>
      <c r="C734" s="104" t="s">
        <v>749</v>
      </c>
      <c r="D734" s="105" t="n">
        <v>0.0833</v>
      </c>
      <c r="E734" s="106" t="n">
        <v>25</v>
      </c>
      <c r="F734" s="107" t="n">
        <f aca="false">IF($C734="","",$D734*$E734)</f>
        <v>2.0825</v>
      </c>
      <c r="G734" s="107" t="n">
        <f aca="false">IF($C734="","",$D734*IFERROR(INDEX('تحليل التكلفة والسعر'!$C$2:$C$700,MATCH($C734,'تحليل التكلفة والسعر'!$B$2:$B$700,0)),0))</f>
        <v>1.1662</v>
      </c>
      <c r="H734" s="104" t="s">
        <v>719</v>
      </c>
    </row>
    <row r="735" customFormat="false" ht="15" hidden="false" customHeight="false" outlineLevel="0" collapsed="false">
      <c r="A735" s="103" t="n">
        <v>46297</v>
      </c>
      <c r="B735" s="104" t="s">
        <v>33</v>
      </c>
      <c r="C735" s="104" t="s">
        <v>749</v>
      </c>
      <c r="D735" s="105" t="n">
        <v>0.0833</v>
      </c>
      <c r="E735" s="106" t="n">
        <v>25</v>
      </c>
      <c r="F735" s="107" t="n">
        <f aca="false">IF($C735="","",$D735*$E735)</f>
        <v>2.0825</v>
      </c>
      <c r="G735" s="107" t="n">
        <f aca="false">IF($C735="","",$D735*IFERROR(INDEX('تحليل التكلفة والسعر'!$C$2:$C$700,MATCH($C735,'تحليل التكلفة والسعر'!$B$2:$B$700,0)),0))</f>
        <v>1.1662</v>
      </c>
      <c r="H735" s="104" t="s">
        <v>719</v>
      </c>
    </row>
    <row r="736" customFormat="false" ht="15" hidden="false" customHeight="false" outlineLevel="0" collapsed="false">
      <c r="A736" s="103" t="n">
        <v>46298</v>
      </c>
      <c r="B736" s="104" t="s">
        <v>33</v>
      </c>
      <c r="C736" s="104" t="s">
        <v>749</v>
      </c>
      <c r="D736" s="105" t="n">
        <v>0.0833</v>
      </c>
      <c r="E736" s="106" t="n">
        <v>25</v>
      </c>
      <c r="F736" s="107" t="n">
        <f aca="false">IF($C736="","",$D736*$E736)</f>
        <v>2.0825</v>
      </c>
      <c r="G736" s="107" t="n">
        <f aca="false">IF($C736="","",$D736*IFERROR(INDEX('تحليل التكلفة والسعر'!$C$2:$C$700,MATCH($C736,'تحليل التكلفة والسعر'!$B$2:$B$700,0)),0))</f>
        <v>1.1662</v>
      </c>
      <c r="H736" s="104" t="s">
        <v>719</v>
      </c>
    </row>
    <row r="737" customFormat="false" ht="15" hidden="false" customHeight="false" outlineLevel="0" collapsed="false">
      <c r="A737" s="103" t="n">
        <v>46299</v>
      </c>
      <c r="B737" s="104" t="s">
        <v>33</v>
      </c>
      <c r="C737" s="104" t="s">
        <v>749</v>
      </c>
      <c r="D737" s="105" t="n">
        <v>0.0833</v>
      </c>
      <c r="E737" s="106" t="n">
        <v>25</v>
      </c>
      <c r="F737" s="107" t="n">
        <f aca="false">IF($C737="","",$D737*$E737)</f>
        <v>2.0825</v>
      </c>
      <c r="G737" s="107" t="n">
        <f aca="false">IF($C737="","",$D737*IFERROR(INDEX('تحليل التكلفة والسعر'!$C$2:$C$700,MATCH($C737,'تحليل التكلفة والسعر'!$B$2:$B$700,0)),0))</f>
        <v>1.1662</v>
      </c>
      <c r="H737" s="104" t="s">
        <v>719</v>
      </c>
    </row>
    <row r="738" customFormat="false" ht="15" hidden="false" customHeight="false" outlineLevel="0" collapsed="false">
      <c r="A738" s="103" t="n">
        <v>46300</v>
      </c>
      <c r="B738" s="104" t="s">
        <v>33</v>
      </c>
      <c r="C738" s="104" t="s">
        <v>749</v>
      </c>
      <c r="D738" s="105" t="n">
        <v>0.0833</v>
      </c>
      <c r="E738" s="106" t="n">
        <v>25</v>
      </c>
      <c r="F738" s="107" t="n">
        <f aca="false">IF($C738="","",$D738*$E738)</f>
        <v>2.0825</v>
      </c>
      <c r="G738" s="107" t="n">
        <f aca="false">IF($C738="","",$D738*IFERROR(INDEX('تحليل التكلفة والسعر'!$C$2:$C$700,MATCH($C738,'تحليل التكلفة والسعر'!$B$2:$B$700,0)),0))</f>
        <v>1.1662</v>
      </c>
      <c r="H738" s="104" t="s">
        <v>719</v>
      </c>
    </row>
    <row r="739" customFormat="false" ht="15" hidden="false" customHeight="false" outlineLevel="0" collapsed="false">
      <c r="A739" s="103" t="n">
        <v>46301</v>
      </c>
      <c r="B739" s="104" t="s">
        <v>33</v>
      </c>
      <c r="C739" s="104" t="s">
        <v>749</v>
      </c>
      <c r="D739" s="105" t="n">
        <v>0.0833</v>
      </c>
      <c r="E739" s="106" t="n">
        <v>25</v>
      </c>
      <c r="F739" s="107" t="n">
        <f aca="false">IF($C739="","",$D739*$E739)</f>
        <v>2.0825</v>
      </c>
      <c r="G739" s="107" t="n">
        <f aca="false">IF($C739="","",$D739*IFERROR(INDEX('تحليل التكلفة والسعر'!$C$2:$C$700,MATCH($C739,'تحليل التكلفة والسعر'!$B$2:$B$700,0)),0))</f>
        <v>1.1662</v>
      </c>
      <c r="H739" s="104" t="s">
        <v>719</v>
      </c>
    </row>
    <row r="740" customFormat="false" ht="15" hidden="false" customHeight="false" outlineLevel="0" collapsed="false">
      <c r="A740" s="103" t="n">
        <v>46302</v>
      </c>
      <c r="B740" s="104" t="s">
        <v>33</v>
      </c>
      <c r="C740" s="104" t="s">
        <v>749</v>
      </c>
      <c r="D740" s="105" t="n">
        <v>0.0833</v>
      </c>
      <c r="E740" s="106" t="n">
        <v>25</v>
      </c>
      <c r="F740" s="107" t="n">
        <f aca="false">IF($C740="","",$D740*$E740)</f>
        <v>2.0825</v>
      </c>
      <c r="G740" s="107" t="n">
        <f aca="false">IF($C740="","",$D740*IFERROR(INDEX('تحليل التكلفة والسعر'!$C$2:$C$700,MATCH($C740,'تحليل التكلفة والسعر'!$B$2:$B$700,0)),0))</f>
        <v>1.1662</v>
      </c>
      <c r="H740" s="104" t="s">
        <v>719</v>
      </c>
    </row>
    <row r="741" customFormat="false" ht="15" hidden="false" customHeight="false" outlineLevel="0" collapsed="false">
      <c r="A741" s="103" t="n">
        <v>46303</v>
      </c>
      <c r="B741" s="104" t="s">
        <v>33</v>
      </c>
      <c r="C741" s="104" t="s">
        <v>749</v>
      </c>
      <c r="D741" s="105" t="n">
        <v>0.0833</v>
      </c>
      <c r="E741" s="106" t="n">
        <v>25</v>
      </c>
      <c r="F741" s="107" t="n">
        <f aca="false">IF($C741="","",$D741*$E741)</f>
        <v>2.0825</v>
      </c>
      <c r="G741" s="107" t="n">
        <f aca="false">IF($C741="","",$D741*IFERROR(INDEX('تحليل التكلفة والسعر'!$C$2:$C$700,MATCH($C741,'تحليل التكلفة والسعر'!$B$2:$B$700,0)),0))</f>
        <v>1.1662</v>
      </c>
      <c r="H741" s="104" t="s">
        <v>719</v>
      </c>
    </row>
    <row r="742" customFormat="false" ht="15" hidden="false" customHeight="false" outlineLevel="0" collapsed="false">
      <c r="A742" s="103" t="n">
        <v>46304</v>
      </c>
      <c r="B742" s="104" t="s">
        <v>33</v>
      </c>
      <c r="C742" s="104" t="s">
        <v>749</v>
      </c>
      <c r="D742" s="105" t="n">
        <v>0.0833</v>
      </c>
      <c r="E742" s="106" t="n">
        <v>25</v>
      </c>
      <c r="F742" s="107" t="n">
        <f aca="false">IF($C742="","",$D742*$E742)</f>
        <v>2.0825</v>
      </c>
      <c r="G742" s="107" t="n">
        <f aca="false">IF($C742="","",$D742*IFERROR(INDEX('تحليل التكلفة والسعر'!$C$2:$C$700,MATCH($C742,'تحليل التكلفة والسعر'!$B$2:$B$700,0)),0))</f>
        <v>1.1662</v>
      </c>
      <c r="H742" s="104" t="s">
        <v>719</v>
      </c>
    </row>
    <row r="743" customFormat="false" ht="15" hidden="false" customHeight="false" outlineLevel="0" collapsed="false">
      <c r="A743" s="103" t="n">
        <v>46305</v>
      </c>
      <c r="B743" s="104" t="s">
        <v>33</v>
      </c>
      <c r="C743" s="104" t="s">
        <v>749</v>
      </c>
      <c r="D743" s="105" t="n">
        <v>0.0833</v>
      </c>
      <c r="E743" s="106" t="n">
        <v>25</v>
      </c>
      <c r="F743" s="107" t="n">
        <f aca="false">IF($C743="","",$D743*$E743)</f>
        <v>2.0825</v>
      </c>
      <c r="G743" s="107" t="n">
        <f aca="false">IF($C743="","",$D743*IFERROR(INDEX('تحليل التكلفة والسعر'!$C$2:$C$700,MATCH($C743,'تحليل التكلفة والسعر'!$B$2:$B$700,0)),0))</f>
        <v>1.1662</v>
      </c>
      <c r="H743" s="104" t="s">
        <v>719</v>
      </c>
    </row>
    <row r="744" customFormat="false" ht="15" hidden="false" customHeight="false" outlineLevel="0" collapsed="false">
      <c r="A744" s="103" t="n">
        <v>46306</v>
      </c>
      <c r="B744" s="104" t="s">
        <v>33</v>
      </c>
      <c r="C744" s="104" t="s">
        <v>749</v>
      </c>
      <c r="D744" s="105" t="n">
        <v>0.0833</v>
      </c>
      <c r="E744" s="106" t="n">
        <v>25</v>
      </c>
      <c r="F744" s="107" t="n">
        <f aca="false">IF($C744="","",$D744*$E744)</f>
        <v>2.0825</v>
      </c>
      <c r="G744" s="107" t="n">
        <f aca="false">IF($C744="","",$D744*IFERROR(INDEX('تحليل التكلفة والسعر'!$C$2:$C$700,MATCH($C744,'تحليل التكلفة والسعر'!$B$2:$B$700,0)),0))</f>
        <v>1.1662</v>
      </c>
      <c r="H744" s="104" t="s">
        <v>719</v>
      </c>
    </row>
    <row r="745" customFormat="false" ht="15" hidden="false" customHeight="false" outlineLevel="0" collapsed="false">
      <c r="A745" s="103" t="n">
        <v>46307</v>
      </c>
      <c r="B745" s="104" t="s">
        <v>33</v>
      </c>
      <c r="C745" s="104" t="s">
        <v>749</v>
      </c>
      <c r="D745" s="105" t="n">
        <v>0.0833</v>
      </c>
      <c r="E745" s="106" t="n">
        <v>25</v>
      </c>
      <c r="F745" s="107" t="n">
        <f aca="false">IF($C745="","",$D745*$E745)</f>
        <v>2.0825</v>
      </c>
      <c r="G745" s="107" t="n">
        <f aca="false">IF($C745="","",$D745*IFERROR(INDEX('تحليل التكلفة والسعر'!$C$2:$C$700,MATCH($C745,'تحليل التكلفة والسعر'!$B$2:$B$700,0)),0))</f>
        <v>1.1662</v>
      </c>
      <c r="H745" s="104" t="s">
        <v>719</v>
      </c>
    </row>
    <row r="746" customFormat="false" ht="15" hidden="false" customHeight="false" outlineLevel="0" collapsed="false">
      <c r="A746" s="103" t="n">
        <v>46296</v>
      </c>
      <c r="B746" s="104" t="s">
        <v>33</v>
      </c>
      <c r="C746" s="104" t="s">
        <v>431</v>
      </c>
      <c r="D746" s="105" t="n">
        <v>0.25</v>
      </c>
      <c r="E746" s="106" t="n">
        <v>6</v>
      </c>
      <c r="F746" s="107" t="n">
        <f aca="false">IF($C746="","",$D746*$E746)</f>
        <v>1.5</v>
      </c>
      <c r="G746" s="107" t="n">
        <f aca="false">IF($C746="","",$D746*IFERROR(INDEX('تحليل التكلفة والسعر'!$C$2:$C$700,MATCH($C746,'تحليل التكلفة والسعر'!$B$2:$B$700,0)),0))</f>
        <v>1.25326552083333</v>
      </c>
      <c r="H746" s="104" t="s">
        <v>719</v>
      </c>
    </row>
    <row r="747" customFormat="false" ht="15" hidden="false" customHeight="false" outlineLevel="0" collapsed="false">
      <c r="A747" s="103" t="n">
        <v>46297</v>
      </c>
      <c r="B747" s="104" t="s">
        <v>33</v>
      </c>
      <c r="C747" s="104" t="s">
        <v>431</v>
      </c>
      <c r="D747" s="105" t="n">
        <v>0.25</v>
      </c>
      <c r="E747" s="106" t="n">
        <v>6</v>
      </c>
      <c r="F747" s="107" t="n">
        <f aca="false">IF($C747="","",$D747*$E747)</f>
        <v>1.5</v>
      </c>
      <c r="G747" s="107" t="n">
        <f aca="false">IF($C747="","",$D747*IFERROR(INDEX('تحليل التكلفة والسعر'!$C$2:$C$700,MATCH($C747,'تحليل التكلفة والسعر'!$B$2:$B$700,0)),0))</f>
        <v>1.25326552083333</v>
      </c>
      <c r="H747" s="104" t="s">
        <v>719</v>
      </c>
    </row>
    <row r="748" customFormat="false" ht="15" hidden="false" customHeight="false" outlineLevel="0" collapsed="false">
      <c r="A748" s="103" t="n">
        <v>46298</v>
      </c>
      <c r="B748" s="104" t="s">
        <v>33</v>
      </c>
      <c r="C748" s="104" t="s">
        <v>431</v>
      </c>
      <c r="D748" s="105" t="n">
        <v>0.25</v>
      </c>
      <c r="E748" s="106" t="n">
        <v>6</v>
      </c>
      <c r="F748" s="107" t="n">
        <f aca="false">IF($C748="","",$D748*$E748)</f>
        <v>1.5</v>
      </c>
      <c r="G748" s="107" t="n">
        <f aca="false">IF($C748="","",$D748*IFERROR(INDEX('تحليل التكلفة والسعر'!$C$2:$C$700,MATCH($C748,'تحليل التكلفة والسعر'!$B$2:$B$700,0)),0))</f>
        <v>1.25326552083333</v>
      </c>
      <c r="H748" s="104" t="s">
        <v>719</v>
      </c>
    </row>
    <row r="749" customFormat="false" ht="15" hidden="false" customHeight="false" outlineLevel="0" collapsed="false">
      <c r="A749" s="103" t="n">
        <v>46299</v>
      </c>
      <c r="B749" s="104" t="s">
        <v>33</v>
      </c>
      <c r="C749" s="104" t="s">
        <v>431</v>
      </c>
      <c r="D749" s="105" t="n">
        <v>0.25</v>
      </c>
      <c r="E749" s="106" t="n">
        <v>6</v>
      </c>
      <c r="F749" s="107" t="n">
        <f aca="false">IF($C749="","",$D749*$E749)</f>
        <v>1.5</v>
      </c>
      <c r="G749" s="107" t="n">
        <f aca="false">IF($C749="","",$D749*IFERROR(INDEX('تحليل التكلفة والسعر'!$C$2:$C$700,MATCH($C749,'تحليل التكلفة والسعر'!$B$2:$B$700,0)),0))</f>
        <v>1.25326552083333</v>
      </c>
      <c r="H749" s="104" t="s">
        <v>719</v>
      </c>
    </row>
    <row r="750" customFormat="false" ht="15" hidden="false" customHeight="false" outlineLevel="0" collapsed="false">
      <c r="A750" s="103" t="n">
        <v>46300</v>
      </c>
      <c r="B750" s="104" t="s">
        <v>33</v>
      </c>
      <c r="C750" s="104" t="s">
        <v>431</v>
      </c>
      <c r="D750" s="105" t="n">
        <v>0.25</v>
      </c>
      <c r="E750" s="106" t="n">
        <v>6</v>
      </c>
      <c r="F750" s="107" t="n">
        <f aca="false">IF($C750="","",$D750*$E750)</f>
        <v>1.5</v>
      </c>
      <c r="G750" s="107" t="n">
        <f aca="false">IF($C750="","",$D750*IFERROR(INDEX('تحليل التكلفة والسعر'!$C$2:$C$700,MATCH($C750,'تحليل التكلفة والسعر'!$B$2:$B$700,0)),0))</f>
        <v>1.25326552083333</v>
      </c>
      <c r="H750" s="104" t="s">
        <v>719</v>
      </c>
    </row>
    <row r="751" customFormat="false" ht="15" hidden="false" customHeight="false" outlineLevel="0" collapsed="false">
      <c r="A751" s="103" t="n">
        <v>46301</v>
      </c>
      <c r="B751" s="104" t="s">
        <v>33</v>
      </c>
      <c r="C751" s="104" t="s">
        <v>431</v>
      </c>
      <c r="D751" s="105" t="n">
        <v>0.25</v>
      </c>
      <c r="E751" s="106" t="n">
        <v>6</v>
      </c>
      <c r="F751" s="107" t="n">
        <f aca="false">IF($C751="","",$D751*$E751)</f>
        <v>1.5</v>
      </c>
      <c r="G751" s="107" t="n">
        <f aca="false">IF($C751="","",$D751*IFERROR(INDEX('تحليل التكلفة والسعر'!$C$2:$C$700,MATCH($C751,'تحليل التكلفة والسعر'!$B$2:$B$700,0)),0))</f>
        <v>1.25326552083333</v>
      </c>
      <c r="H751" s="104" t="s">
        <v>719</v>
      </c>
    </row>
    <row r="752" customFormat="false" ht="15" hidden="false" customHeight="false" outlineLevel="0" collapsed="false">
      <c r="A752" s="103" t="n">
        <v>46302</v>
      </c>
      <c r="B752" s="104" t="s">
        <v>33</v>
      </c>
      <c r="C752" s="104" t="s">
        <v>431</v>
      </c>
      <c r="D752" s="105" t="n">
        <v>0.25</v>
      </c>
      <c r="E752" s="106" t="n">
        <v>6</v>
      </c>
      <c r="F752" s="107" t="n">
        <f aca="false">IF($C752="","",$D752*$E752)</f>
        <v>1.5</v>
      </c>
      <c r="G752" s="107" t="n">
        <f aca="false">IF($C752="","",$D752*IFERROR(INDEX('تحليل التكلفة والسعر'!$C$2:$C$700,MATCH($C752,'تحليل التكلفة والسعر'!$B$2:$B$700,0)),0))</f>
        <v>1.25326552083333</v>
      </c>
      <c r="H752" s="104" t="s">
        <v>719</v>
      </c>
    </row>
    <row r="753" customFormat="false" ht="15" hidden="false" customHeight="false" outlineLevel="0" collapsed="false">
      <c r="A753" s="103" t="n">
        <v>46303</v>
      </c>
      <c r="B753" s="104" t="s">
        <v>33</v>
      </c>
      <c r="C753" s="104" t="s">
        <v>431</v>
      </c>
      <c r="D753" s="105" t="n">
        <v>0.25</v>
      </c>
      <c r="E753" s="106" t="n">
        <v>6</v>
      </c>
      <c r="F753" s="107" t="n">
        <f aca="false">IF($C753="","",$D753*$E753)</f>
        <v>1.5</v>
      </c>
      <c r="G753" s="107" t="n">
        <f aca="false">IF($C753="","",$D753*IFERROR(INDEX('تحليل التكلفة والسعر'!$C$2:$C$700,MATCH($C753,'تحليل التكلفة والسعر'!$B$2:$B$700,0)),0))</f>
        <v>1.25326552083333</v>
      </c>
      <c r="H753" s="104" t="s">
        <v>719</v>
      </c>
    </row>
    <row r="754" customFormat="false" ht="15" hidden="false" customHeight="false" outlineLevel="0" collapsed="false">
      <c r="A754" s="103" t="n">
        <v>46304</v>
      </c>
      <c r="B754" s="104" t="s">
        <v>33</v>
      </c>
      <c r="C754" s="104" t="s">
        <v>431</v>
      </c>
      <c r="D754" s="105" t="n">
        <v>0.25</v>
      </c>
      <c r="E754" s="106" t="n">
        <v>6</v>
      </c>
      <c r="F754" s="107" t="n">
        <f aca="false">IF($C754="","",$D754*$E754)</f>
        <v>1.5</v>
      </c>
      <c r="G754" s="107" t="n">
        <f aca="false">IF($C754="","",$D754*IFERROR(INDEX('تحليل التكلفة والسعر'!$C$2:$C$700,MATCH($C754,'تحليل التكلفة والسعر'!$B$2:$B$700,0)),0))</f>
        <v>1.25326552083333</v>
      </c>
      <c r="H754" s="104" t="s">
        <v>719</v>
      </c>
    </row>
    <row r="755" customFormat="false" ht="15" hidden="false" customHeight="false" outlineLevel="0" collapsed="false">
      <c r="A755" s="103" t="n">
        <v>46305</v>
      </c>
      <c r="B755" s="104" t="s">
        <v>33</v>
      </c>
      <c r="C755" s="104" t="s">
        <v>431</v>
      </c>
      <c r="D755" s="105" t="n">
        <v>0.25</v>
      </c>
      <c r="E755" s="106" t="n">
        <v>6</v>
      </c>
      <c r="F755" s="107" t="n">
        <f aca="false">IF($C755="","",$D755*$E755)</f>
        <v>1.5</v>
      </c>
      <c r="G755" s="107" t="n">
        <f aca="false">IF($C755="","",$D755*IFERROR(INDEX('تحليل التكلفة والسعر'!$C$2:$C$700,MATCH($C755,'تحليل التكلفة والسعر'!$B$2:$B$700,0)),0))</f>
        <v>1.25326552083333</v>
      </c>
      <c r="H755" s="104" t="s">
        <v>719</v>
      </c>
    </row>
    <row r="756" customFormat="false" ht="15" hidden="false" customHeight="false" outlineLevel="0" collapsed="false">
      <c r="A756" s="103" t="n">
        <v>46306</v>
      </c>
      <c r="B756" s="104" t="s">
        <v>33</v>
      </c>
      <c r="C756" s="104" t="s">
        <v>431</v>
      </c>
      <c r="D756" s="105" t="n">
        <v>0.25</v>
      </c>
      <c r="E756" s="106" t="n">
        <v>6</v>
      </c>
      <c r="F756" s="107" t="n">
        <f aca="false">IF($C756="","",$D756*$E756)</f>
        <v>1.5</v>
      </c>
      <c r="G756" s="107" t="n">
        <f aca="false">IF($C756="","",$D756*IFERROR(INDEX('تحليل التكلفة والسعر'!$C$2:$C$700,MATCH($C756,'تحليل التكلفة والسعر'!$B$2:$B$700,0)),0))</f>
        <v>1.25326552083333</v>
      </c>
      <c r="H756" s="104" t="s">
        <v>719</v>
      </c>
    </row>
    <row r="757" customFormat="false" ht="15" hidden="false" customHeight="false" outlineLevel="0" collapsed="false">
      <c r="A757" s="103" t="n">
        <v>46307</v>
      </c>
      <c r="B757" s="104" t="s">
        <v>33</v>
      </c>
      <c r="C757" s="104" t="s">
        <v>431</v>
      </c>
      <c r="D757" s="105" t="n">
        <v>0.25</v>
      </c>
      <c r="E757" s="106" t="n">
        <v>6</v>
      </c>
      <c r="F757" s="107" t="n">
        <f aca="false">IF($C757="","",$D757*$E757)</f>
        <v>1.5</v>
      </c>
      <c r="G757" s="107" t="n">
        <f aca="false">IF($C757="","",$D757*IFERROR(INDEX('تحليل التكلفة والسعر'!$C$2:$C$700,MATCH($C757,'تحليل التكلفة والسعر'!$B$2:$B$700,0)),0))</f>
        <v>1.25326552083333</v>
      </c>
      <c r="H757" s="104" t="s">
        <v>719</v>
      </c>
    </row>
    <row r="758" customFormat="false" ht="15" hidden="false" customHeight="false" outlineLevel="0" collapsed="false">
      <c r="A758" s="103" t="n">
        <v>46296</v>
      </c>
      <c r="B758" s="104" t="s">
        <v>33</v>
      </c>
      <c r="C758" s="104" t="s">
        <v>427</v>
      </c>
      <c r="D758" s="105" t="n">
        <v>1.75</v>
      </c>
      <c r="E758" s="106" t="n">
        <v>205.2381</v>
      </c>
      <c r="F758" s="107" t="n">
        <f aca="false">IF($C758="","",$D758*$E758)</f>
        <v>359.166675</v>
      </c>
      <c r="G758" s="107" t="n">
        <f aca="false">IF($C758="","",$D758*IFERROR(INDEX('تحليل التكلفة والسعر'!$C$2:$C$700,MATCH($C758,'تحليل التكلفة والسعر'!$B$2:$B$700,0)),0))</f>
        <v>161.52185</v>
      </c>
      <c r="H758" s="104" t="s">
        <v>719</v>
      </c>
    </row>
    <row r="759" customFormat="false" ht="15" hidden="false" customHeight="false" outlineLevel="0" collapsed="false">
      <c r="A759" s="103" t="n">
        <v>46297</v>
      </c>
      <c r="B759" s="104" t="s">
        <v>33</v>
      </c>
      <c r="C759" s="104" t="s">
        <v>427</v>
      </c>
      <c r="D759" s="105" t="n">
        <v>1.75</v>
      </c>
      <c r="E759" s="106" t="n">
        <v>205.2381</v>
      </c>
      <c r="F759" s="107" t="n">
        <f aca="false">IF($C759="","",$D759*$E759)</f>
        <v>359.166675</v>
      </c>
      <c r="G759" s="107" t="n">
        <f aca="false">IF($C759="","",$D759*IFERROR(INDEX('تحليل التكلفة والسعر'!$C$2:$C$700,MATCH($C759,'تحليل التكلفة والسعر'!$B$2:$B$700,0)),0))</f>
        <v>161.52185</v>
      </c>
      <c r="H759" s="104" t="s">
        <v>719</v>
      </c>
    </row>
    <row r="760" customFormat="false" ht="15" hidden="false" customHeight="false" outlineLevel="0" collapsed="false">
      <c r="A760" s="103" t="n">
        <v>46298</v>
      </c>
      <c r="B760" s="104" t="s">
        <v>33</v>
      </c>
      <c r="C760" s="104" t="s">
        <v>427</v>
      </c>
      <c r="D760" s="105" t="n">
        <v>1.75</v>
      </c>
      <c r="E760" s="106" t="n">
        <v>205.2381</v>
      </c>
      <c r="F760" s="107" t="n">
        <f aca="false">IF($C760="","",$D760*$E760)</f>
        <v>359.166675</v>
      </c>
      <c r="G760" s="107" t="n">
        <f aca="false">IF($C760="","",$D760*IFERROR(INDEX('تحليل التكلفة والسعر'!$C$2:$C$700,MATCH($C760,'تحليل التكلفة والسعر'!$B$2:$B$700,0)),0))</f>
        <v>161.52185</v>
      </c>
      <c r="H760" s="104" t="s">
        <v>719</v>
      </c>
    </row>
    <row r="761" customFormat="false" ht="15" hidden="false" customHeight="false" outlineLevel="0" collapsed="false">
      <c r="A761" s="103" t="n">
        <v>46299</v>
      </c>
      <c r="B761" s="104" t="s">
        <v>33</v>
      </c>
      <c r="C761" s="104" t="s">
        <v>427</v>
      </c>
      <c r="D761" s="105" t="n">
        <v>1.75</v>
      </c>
      <c r="E761" s="106" t="n">
        <v>205.2381</v>
      </c>
      <c r="F761" s="107" t="n">
        <f aca="false">IF($C761="","",$D761*$E761)</f>
        <v>359.166675</v>
      </c>
      <c r="G761" s="107" t="n">
        <f aca="false">IF($C761="","",$D761*IFERROR(INDEX('تحليل التكلفة والسعر'!$C$2:$C$700,MATCH($C761,'تحليل التكلفة والسعر'!$B$2:$B$700,0)),0))</f>
        <v>161.52185</v>
      </c>
      <c r="H761" s="104" t="s">
        <v>719</v>
      </c>
    </row>
    <row r="762" customFormat="false" ht="15" hidden="false" customHeight="false" outlineLevel="0" collapsed="false">
      <c r="A762" s="103" t="n">
        <v>46300</v>
      </c>
      <c r="B762" s="104" t="s">
        <v>33</v>
      </c>
      <c r="C762" s="104" t="s">
        <v>427</v>
      </c>
      <c r="D762" s="105" t="n">
        <v>1.75</v>
      </c>
      <c r="E762" s="106" t="n">
        <v>205.2381</v>
      </c>
      <c r="F762" s="107" t="n">
        <f aca="false">IF($C762="","",$D762*$E762)</f>
        <v>359.166675</v>
      </c>
      <c r="G762" s="107" t="n">
        <f aca="false">IF($C762="","",$D762*IFERROR(INDEX('تحليل التكلفة والسعر'!$C$2:$C$700,MATCH($C762,'تحليل التكلفة والسعر'!$B$2:$B$700,0)),0))</f>
        <v>161.52185</v>
      </c>
      <c r="H762" s="104" t="s">
        <v>719</v>
      </c>
    </row>
    <row r="763" customFormat="false" ht="15" hidden="false" customHeight="false" outlineLevel="0" collapsed="false">
      <c r="A763" s="103" t="n">
        <v>46301</v>
      </c>
      <c r="B763" s="104" t="s">
        <v>33</v>
      </c>
      <c r="C763" s="104" t="s">
        <v>427</v>
      </c>
      <c r="D763" s="105" t="n">
        <v>1.75</v>
      </c>
      <c r="E763" s="106" t="n">
        <v>205.2381</v>
      </c>
      <c r="F763" s="107" t="n">
        <f aca="false">IF($C763="","",$D763*$E763)</f>
        <v>359.166675</v>
      </c>
      <c r="G763" s="107" t="n">
        <f aca="false">IF($C763="","",$D763*IFERROR(INDEX('تحليل التكلفة والسعر'!$C$2:$C$700,MATCH($C763,'تحليل التكلفة والسعر'!$B$2:$B$700,0)),0))</f>
        <v>161.52185</v>
      </c>
      <c r="H763" s="104" t="s">
        <v>719</v>
      </c>
    </row>
    <row r="764" customFormat="false" ht="15" hidden="false" customHeight="false" outlineLevel="0" collapsed="false">
      <c r="A764" s="103" t="n">
        <v>46302</v>
      </c>
      <c r="B764" s="104" t="s">
        <v>33</v>
      </c>
      <c r="C764" s="104" t="s">
        <v>427</v>
      </c>
      <c r="D764" s="105" t="n">
        <v>1.75</v>
      </c>
      <c r="E764" s="106" t="n">
        <v>205.2381</v>
      </c>
      <c r="F764" s="107" t="n">
        <f aca="false">IF($C764="","",$D764*$E764)</f>
        <v>359.166675</v>
      </c>
      <c r="G764" s="107" t="n">
        <f aca="false">IF($C764="","",$D764*IFERROR(INDEX('تحليل التكلفة والسعر'!$C$2:$C$700,MATCH($C764,'تحليل التكلفة والسعر'!$B$2:$B$700,0)),0))</f>
        <v>161.52185</v>
      </c>
      <c r="H764" s="104" t="s">
        <v>719</v>
      </c>
    </row>
    <row r="765" customFormat="false" ht="15" hidden="false" customHeight="false" outlineLevel="0" collapsed="false">
      <c r="A765" s="103" t="n">
        <v>46303</v>
      </c>
      <c r="B765" s="104" t="s">
        <v>33</v>
      </c>
      <c r="C765" s="104" t="s">
        <v>427</v>
      </c>
      <c r="D765" s="105" t="n">
        <v>1.75</v>
      </c>
      <c r="E765" s="106" t="n">
        <v>205.2381</v>
      </c>
      <c r="F765" s="107" t="n">
        <f aca="false">IF($C765="","",$D765*$E765)</f>
        <v>359.166675</v>
      </c>
      <c r="G765" s="107" t="n">
        <f aca="false">IF($C765="","",$D765*IFERROR(INDEX('تحليل التكلفة والسعر'!$C$2:$C$700,MATCH($C765,'تحليل التكلفة والسعر'!$B$2:$B$700,0)),0))</f>
        <v>161.52185</v>
      </c>
      <c r="H765" s="104" t="s">
        <v>719</v>
      </c>
    </row>
    <row r="766" customFormat="false" ht="15" hidden="false" customHeight="false" outlineLevel="0" collapsed="false">
      <c r="A766" s="103" t="n">
        <v>46304</v>
      </c>
      <c r="B766" s="104" t="s">
        <v>33</v>
      </c>
      <c r="C766" s="104" t="s">
        <v>427</v>
      </c>
      <c r="D766" s="105" t="n">
        <v>1.75</v>
      </c>
      <c r="E766" s="106" t="n">
        <v>205.2381</v>
      </c>
      <c r="F766" s="107" t="n">
        <f aca="false">IF($C766="","",$D766*$E766)</f>
        <v>359.166675</v>
      </c>
      <c r="G766" s="107" t="n">
        <f aca="false">IF($C766="","",$D766*IFERROR(INDEX('تحليل التكلفة والسعر'!$C$2:$C$700,MATCH($C766,'تحليل التكلفة والسعر'!$B$2:$B$700,0)),0))</f>
        <v>161.52185</v>
      </c>
      <c r="H766" s="104" t="s">
        <v>719</v>
      </c>
    </row>
    <row r="767" customFormat="false" ht="15" hidden="false" customHeight="false" outlineLevel="0" collapsed="false">
      <c r="A767" s="103" t="n">
        <v>46305</v>
      </c>
      <c r="B767" s="104" t="s">
        <v>33</v>
      </c>
      <c r="C767" s="104" t="s">
        <v>427</v>
      </c>
      <c r="D767" s="105" t="n">
        <v>1.75</v>
      </c>
      <c r="E767" s="106" t="n">
        <v>205.2381</v>
      </c>
      <c r="F767" s="107" t="n">
        <f aca="false">IF($C767="","",$D767*$E767)</f>
        <v>359.166675</v>
      </c>
      <c r="G767" s="107" t="n">
        <f aca="false">IF($C767="","",$D767*IFERROR(INDEX('تحليل التكلفة والسعر'!$C$2:$C$700,MATCH($C767,'تحليل التكلفة والسعر'!$B$2:$B$700,0)),0))</f>
        <v>161.52185</v>
      </c>
      <c r="H767" s="104" t="s">
        <v>719</v>
      </c>
    </row>
    <row r="768" customFormat="false" ht="15" hidden="false" customHeight="false" outlineLevel="0" collapsed="false">
      <c r="A768" s="103" t="n">
        <v>46306</v>
      </c>
      <c r="B768" s="104" t="s">
        <v>33</v>
      </c>
      <c r="C768" s="104" t="s">
        <v>427</v>
      </c>
      <c r="D768" s="105" t="n">
        <v>1.75</v>
      </c>
      <c r="E768" s="106" t="n">
        <v>205.2381</v>
      </c>
      <c r="F768" s="107" t="n">
        <f aca="false">IF($C768="","",$D768*$E768)</f>
        <v>359.166675</v>
      </c>
      <c r="G768" s="107" t="n">
        <f aca="false">IF($C768="","",$D768*IFERROR(INDEX('تحليل التكلفة والسعر'!$C$2:$C$700,MATCH($C768,'تحليل التكلفة والسعر'!$B$2:$B$700,0)),0))</f>
        <v>161.52185</v>
      </c>
      <c r="H768" s="104" t="s">
        <v>719</v>
      </c>
    </row>
    <row r="769" customFormat="false" ht="15" hidden="false" customHeight="false" outlineLevel="0" collapsed="false">
      <c r="A769" s="103" t="n">
        <v>46307</v>
      </c>
      <c r="B769" s="104" t="s">
        <v>33</v>
      </c>
      <c r="C769" s="104" t="s">
        <v>427</v>
      </c>
      <c r="D769" s="105" t="n">
        <v>1.75</v>
      </c>
      <c r="E769" s="106" t="n">
        <v>205.2381</v>
      </c>
      <c r="F769" s="107" t="n">
        <f aca="false">IF($C769="","",$D769*$E769)</f>
        <v>359.166675</v>
      </c>
      <c r="G769" s="107" t="n">
        <f aca="false">IF($C769="","",$D769*IFERROR(INDEX('تحليل التكلفة والسعر'!$C$2:$C$700,MATCH($C769,'تحليل التكلفة والسعر'!$B$2:$B$700,0)),0))</f>
        <v>161.52185</v>
      </c>
      <c r="H769" s="104" t="s">
        <v>719</v>
      </c>
    </row>
    <row r="770" customFormat="false" ht="15" hidden="false" customHeight="false" outlineLevel="0" collapsed="false">
      <c r="A770" s="103" t="n">
        <v>46296</v>
      </c>
      <c r="B770" s="104" t="s">
        <v>33</v>
      </c>
      <c r="C770" s="104" t="s">
        <v>453</v>
      </c>
      <c r="D770" s="105" t="n">
        <v>22.0833</v>
      </c>
      <c r="E770" s="106" t="n">
        <v>37.8292</v>
      </c>
      <c r="F770" s="107" t="n">
        <f aca="false">IF($C770="","",$D770*$E770)</f>
        <v>835.39357236</v>
      </c>
      <c r="G770" s="107" t="n">
        <f aca="false">IF($C770="","",$D770*IFERROR(INDEX('تحليل التكلفة والسعر'!$C$2:$C$700,MATCH($C770,'تحليل التكلفة والسعر'!$B$2:$B$700,0)),0))</f>
        <v>1508.21209845</v>
      </c>
      <c r="H770" s="104" t="s">
        <v>719</v>
      </c>
    </row>
    <row r="771" customFormat="false" ht="15" hidden="false" customHeight="false" outlineLevel="0" collapsed="false">
      <c r="A771" s="103" t="n">
        <v>46297</v>
      </c>
      <c r="B771" s="104" t="s">
        <v>33</v>
      </c>
      <c r="C771" s="104" t="s">
        <v>453</v>
      </c>
      <c r="D771" s="105" t="n">
        <v>22.0833</v>
      </c>
      <c r="E771" s="106" t="n">
        <v>37.8292</v>
      </c>
      <c r="F771" s="107" t="n">
        <f aca="false">IF($C771="","",$D771*$E771)</f>
        <v>835.39357236</v>
      </c>
      <c r="G771" s="107" t="n">
        <f aca="false">IF($C771="","",$D771*IFERROR(INDEX('تحليل التكلفة والسعر'!$C$2:$C$700,MATCH($C771,'تحليل التكلفة والسعر'!$B$2:$B$700,0)),0))</f>
        <v>1508.21209845</v>
      </c>
      <c r="H771" s="104" t="s">
        <v>719</v>
      </c>
    </row>
    <row r="772" customFormat="false" ht="15" hidden="false" customHeight="false" outlineLevel="0" collapsed="false">
      <c r="A772" s="103" t="n">
        <v>46298</v>
      </c>
      <c r="B772" s="104" t="s">
        <v>33</v>
      </c>
      <c r="C772" s="104" t="s">
        <v>453</v>
      </c>
      <c r="D772" s="105" t="n">
        <v>22.0833</v>
      </c>
      <c r="E772" s="106" t="n">
        <v>37.8292</v>
      </c>
      <c r="F772" s="107" t="n">
        <f aca="false">IF($C772="","",$D772*$E772)</f>
        <v>835.39357236</v>
      </c>
      <c r="G772" s="107" t="n">
        <f aca="false">IF($C772="","",$D772*IFERROR(INDEX('تحليل التكلفة والسعر'!$C$2:$C$700,MATCH($C772,'تحليل التكلفة والسعر'!$B$2:$B$700,0)),0))</f>
        <v>1508.21209845</v>
      </c>
      <c r="H772" s="104" t="s">
        <v>719</v>
      </c>
    </row>
    <row r="773" customFormat="false" ht="15" hidden="false" customHeight="false" outlineLevel="0" collapsed="false">
      <c r="A773" s="103" t="n">
        <v>46299</v>
      </c>
      <c r="B773" s="104" t="s">
        <v>33</v>
      </c>
      <c r="C773" s="104" t="s">
        <v>453</v>
      </c>
      <c r="D773" s="105" t="n">
        <v>22.0833</v>
      </c>
      <c r="E773" s="106" t="n">
        <v>37.8292</v>
      </c>
      <c r="F773" s="107" t="n">
        <f aca="false">IF($C773="","",$D773*$E773)</f>
        <v>835.39357236</v>
      </c>
      <c r="G773" s="107" t="n">
        <f aca="false">IF($C773="","",$D773*IFERROR(INDEX('تحليل التكلفة والسعر'!$C$2:$C$700,MATCH($C773,'تحليل التكلفة والسعر'!$B$2:$B$700,0)),0))</f>
        <v>1508.21209845</v>
      </c>
      <c r="H773" s="104" t="s">
        <v>719</v>
      </c>
    </row>
    <row r="774" customFormat="false" ht="15" hidden="false" customHeight="false" outlineLevel="0" collapsed="false">
      <c r="A774" s="103" t="n">
        <v>46300</v>
      </c>
      <c r="B774" s="104" t="s">
        <v>33</v>
      </c>
      <c r="C774" s="104" t="s">
        <v>453</v>
      </c>
      <c r="D774" s="105" t="n">
        <v>22.0833</v>
      </c>
      <c r="E774" s="106" t="n">
        <v>37.8292</v>
      </c>
      <c r="F774" s="107" t="n">
        <f aca="false">IF($C774="","",$D774*$E774)</f>
        <v>835.39357236</v>
      </c>
      <c r="G774" s="107" t="n">
        <f aca="false">IF($C774="","",$D774*IFERROR(INDEX('تحليل التكلفة والسعر'!$C$2:$C$700,MATCH($C774,'تحليل التكلفة والسعر'!$B$2:$B$700,0)),0))</f>
        <v>1508.21209845</v>
      </c>
      <c r="H774" s="104" t="s">
        <v>719</v>
      </c>
    </row>
    <row r="775" customFormat="false" ht="15" hidden="false" customHeight="false" outlineLevel="0" collapsed="false">
      <c r="A775" s="103" t="n">
        <v>46301</v>
      </c>
      <c r="B775" s="104" t="s">
        <v>33</v>
      </c>
      <c r="C775" s="104" t="s">
        <v>453</v>
      </c>
      <c r="D775" s="105" t="n">
        <v>22.0833</v>
      </c>
      <c r="E775" s="106" t="n">
        <v>37.8292</v>
      </c>
      <c r="F775" s="107" t="n">
        <f aca="false">IF($C775="","",$D775*$E775)</f>
        <v>835.39357236</v>
      </c>
      <c r="G775" s="107" t="n">
        <f aca="false">IF($C775="","",$D775*IFERROR(INDEX('تحليل التكلفة والسعر'!$C$2:$C$700,MATCH($C775,'تحليل التكلفة والسعر'!$B$2:$B$700,0)),0))</f>
        <v>1508.21209845</v>
      </c>
      <c r="H775" s="104" t="s">
        <v>719</v>
      </c>
    </row>
    <row r="776" customFormat="false" ht="15" hidden="false" customHeight="false" outlineLevel="0" collapsed="false">
      <c r="A776" s="103" t="n">
        <v>46302</v>
      </c>
      <c r="B776" s="104" t="s">
        <v>33</v>
      </c>
      <c r="C776" s="104" t="s">
        <v>453</v>
      </c>
      <c r="D776" s="105" t="n">
        <v>22.0833</v>
      </c>
      <c r="E776" s="106" t="n">
        <v>37.8292</v>
      </c>
      <c r="F776" s="107" t="n">
        <f aca="false">IF($C776="","",$D776*$E776)</f>
        <v>835.39357236</v>
      </c>
      <c r="G776" s="107" t="n">
        <f aca="false">IF($C776="","",$D776*IFERROR(INDEX('تحليل التكلفة والسعر'!$C$2:$C$700,MATCH($C776,'تحليل التكلفة والسعر'!$B$2:$B$700,0)),0))</f>
        <v>1508.21209845</v>
      </c>
      <c r="H776" s="104" t="s">
        <v>719</v>
      </c>
    </row>
    <row r="777" customFormat="false" ht="15" hidden="false" customHeight="false" outlineLevel="0" collapsed="false">
      <c r="A777" s="103" t="n">
        <v>46303</v>
      </c>
      <c r="B777" s="104" t="s">
        <v>33</v>
      </c>
      <c r="C777" s="104" t="s">
        <v>453</v>
      </c>
      <c r="D777" s="105" t="n">
        <v>22.0833</v>
      </c>
      <c r="E777" s="106" t="n">
        <v>37.8292</v>
      </c>
      <c r="F777" s="107" t="n">
        <f aca="false">IF($C777="","",$D777*$E777)</f>
        <v>835.39357236</v>
      </c>
      <c r="G777" s="107" t="n">
        <f aca="false">IF($C777="","",$D777*IFERROR(INDEX('تحليل التكلفة والسعر'!$C$2:$C$700,MATCH($C777,'تحليل التكلفة والسعر'!$B$2:$B$700,0)),0))</f>
        <v>1508.21209845</v>
      </c>
      <c r="H777" s="104" t="s">
        <v>719</v>
      </c>
    </row>
    <row r="778" customFormat="false" ht="15" hidden="false" customHeight="false" outlineLevel="0" collapsed="false">
      <c r="A778" s="103" t="n">
        <v>46304</v>
      </c>
      <c r="B778" s="104" t="s">
        <v>33</v>
      </c>
      <c r="C778" s="104" t="s">
        <v>453</v>
      </c>
      <c r="D778" s="105" t="n">
        <v>22.0833</v>
      </c>
      <c r="E778" s="106" t="n">
        <v>37.8292</v>
      </c>
      <c r="F778" s="107" t="n">
        <f aca="false">IF($C778="","",$D778*$E778)</f>
        <v>835.39357236</v>
      </c>
      <c r="G778" s="107" t="n">
        <f aca="false">IF($C778="","",$D778*IFERROR(INDEX('تحليل التكلفة والسعر'!$C$2:$C$700,MATCH($C778,'تحليل التكلفة والسعر'!$B$2:$B$700,0)),0))</f>
        <v>1508.21209845</v>
      </c>
      <c r="H778" s="104" t="s">
        <v>719</v>
      </c>
    </row>
    <row r="779" customFormat="false" ht="15" hidden="false" customHeight="false" outlineLevel="0" collapsed="false">
      <c r="A779" s="103" t="n">
        <v>46305</v>
      </c>
      <c r="B779" s="104" t="s">
        <v>33</v>
      </c>
      <c r="C779" s="104" t="s">
        <v>453</v>
      </c>
      <c r="D779" s="105" t="n">
        <v>22.0833</v>
      </c>
      <c r="E779" s="106" t="n">
        <v>37.8292</v>
      </c>
      <c r="F779" s="107" t="n">
        <f aca="false">IF($C779="","",$D779*$E779)</f>
        <v>835.39357236</v>
      </c>
      <c r="G779" s="107" t="n">
        <f aca="false">IF($C779="","",$D779*IFERROR(INDEX('تحليل التكلفة والسعر'!$C$2:$C$700,MATCH($C779,'تحليل التكلفة والسعر'!$B$2:$B$700,0)),0))</f>
        <v>1508.21209845</v>
      </c>
      <c r="H779" s="104" t="s">
        <v>719</v>
      </c>
    </row>
    <row r="780" customFormat="false" ht="15" hidden="false" customHeight="false" outlineLevel="0" collapsed="false">
      <c r="A780" s="103" t="n">
        <v>46306</v>
      </c>
      <c r="B780" s="104" t="s">
        <v>33</v>
      </c>
      <c r="C780" s="104" t="s">
        <v>453</v>
      </c>
      <c r="D780" s="105" t="n">
        <v>22.0833</v>
      </c>
      <c r="E780" s="106" t="n">
        <v>37.8292</v>
      </c>
      <c r="F780" s="107" t="n">
        <f aca="false">IF($C780="","",$D780*$E780)</f>
        <v>835.39357236</v>
      </c>
      <c r="G780" s="107" t="n">
        <f aca="false">IF($C780="","",$D780*IFERROR(INDEX('تحليل التكلفة والسعر'!$C$2:$C$700,MATCH($C780,'تحليل التكلفة والسعر'!$B$2:$B$700,0)),0))</f>
        <v>1508.21209845</v>
      </c>
      <c r="H780" s="104" t="s">
        <v>719</v>
      </c>
    </row>
    <row r="781" customFormat="false" ht="15" hidden="false" customHeight="false" outlineLevel="0" collapsed="false">
      <c r="A781" s="103" t="n">
        <v>46307</v>
      </c>
      <c r="B781" s="104" t="s">
        <v>33</v>
      </c>
      <c r="C781" s="104" t="s">
        <v>453</v>
      </c>
      <c r="D781" s="105" t="n">
        <v>22.0833</v>
      </c>
      <c r="E781" s="106" t="n">
        <v>37.8292</v>
      </c>
      <c r="F781" s="107" t="n">
        <f aca="false">IF($C781="","",$D781*$E781)</f>
        <v>835.39357236</v>
      </c>
      <c r="G781" s="107" t="n">
        <f aca="false">IF($C781="","",$D781*IFERROR(INDEX('تحليل التكلفة والسعر'!$C$2:$C$700,MATCH($C781,'تحليل التكلفة والسعر'!$B$2:$B$700,0)),0))</f>
        <v>1508.21209845</v>
      </c>
      <c r="H781" s="104" t="s">
        <v>719</v>
      </c>
    </row>
    <row r="782" customFormat="false" ht="15" hidden="false" customHeight="false" outlineLevel="0" collapsed="false">
      <c r="A782" s="103" t="n">
        <v>46296</v>
      </c>
      <c r="B782" s="104" t="s">
        <v>33</v>
      </c>
      <c r="C782" s="104" t="s">
        <v>508</v>
      </c>
      <c r="D782" s="105" t="n">
        <v>0.0833</v>
      </c>
      <c r="E782" s="106" t="n">
        <v>240</v>
      </c>
      <c r="F782" s="107" t="n">
        <f aca="false">IF($C782="","",$D782*$E782)</f>
        <v>19.992</v>
      </c>
      <c r="G782" s="107" t="n">
        <f aca="false">IF($C782="","",$D782*IFERROR(INDEX('تحليل التكلفة والسعر'!$C$2:$C$700,MATCH($C782,'تحليل التكلفة والسعر'!$B$2:$B$700,0)),0))</f>
        <v>9.05275245</v>
      </c>
      <c r="H782" s="104" t="s">
        <v>719</v>
      </c>
    </row>
    <row r="783" customFormat="false" ht="15" hidden="false" customHeight="false" outlineLevel="0" collapsed="false">
      <c r="A783" s="103" t="n">
        <v>46297</v>
      </c>
      <c r="B783" s="104" t="s">
        <v>33</v>
      </c>
      <c r="C783" s="104" t="s">
        <v>508</v>
      </c>
      <c r="D783" s="105" t="n">
        <v>0.0833</v>
      </c>
      <c r="E783" s="106" t="n">
        <v>240</v>
      </c>
      <c r="F783" s="107" t="n">
        <f aca="false">IF($C783="","",$D783*$E783)</f>
        <v>19.992</v>
      </c>
      <c r="G783" s="107" t="n">
        <f aca="false">IF($C783="","",$D783*IFERROR(INDEX('تحليل التكلفة والسعر'!$C$2:$C$700,MATCH($C783,'تحليل التكلفة والسعر'!$B$2:$B$700,0)),0))</f>
        <v>9.05275245</v>
      </c>
      <c r="H783" s="104" t="s">
        <v>719</v>
      </c>
    </row>
    <row r="784" customFormat="false" ht="15" hidden="false" customHeight="false" outlineLevel="0" collapsed="false">
      <c r="A784" s="103" t="n">
        <v>46298</v>
      </c>
      <c r="B784" s="104" t="s">
        <v>33</v>
      </c>
      <c r="C784" s="104" t="s">
        <v>508</v>
      </c>
      <c r="D784" s="105" t="n">
        <v>0.0833</v>
      </c>
      <c r="E784" s="106" t="n">
        <v>240</v>
      </c>
      <c r="F784" s="107" t="n">
        <f aca="false">IF($C784="","",$D784*$E784)</f>
        <v>19.992</v>
      </c>
      <c r="G784" s="107" t="n">
        <f aca="false">IF($C784="","",$D784*IFERROR(INDEX('تحليل التكلفة والسعر'!$C$2:$C$700,MATCH($C784,'تحليل التكلفة والسعر'!$B$2:$B$700,0)),0))</f>
        <v>9.05275245</v>
      </c>
      <c r="H784" s="104" t="s">
        <v>719</v>
      </c>
    </row>
    <row r="785" customFormat="false" ht="15" hidden="false" customHeight="false" outlineLevel="0" collapsed="false">
      <c r="A785" s="103" t="n">
        <v>46299</v>
      </c>
      <c r="B785" s="104" t="s">
        <v>33</v>
      </c>
      <c r="C785" s="104" t="s">
        <v>508</v>
      </c>
      <c r="D785" s="105" t="n">
        <v>0.0833</v>
      </c>
      <c r="E785" s="106" t="n">
        <v>240</v>
      </c>
      <c r="F785" s="107" t="n">
        <f aca="false">IF($C785="","",$D785*$E785)</f>
        <v>19.992</v>
      </c>
      <c r="G785" s="107" t="n">
        <f aca="false">IF($C785="","",$D785*IFERROR(INDEX('تحليل التكلفة والسعر'!$C$2:$C$700,MATCH($C785,'تحليل التكلفة والسعر'!$B$2:$B$700,0)),0))</f>
        <v>9.05275245</v>
      </c>
      <c r="H785" s="104" t="s">
        <v>719</v>
      </c>
    </row>
    <row r="786" customFormat="false" ht="15" hidden="false" customHeight="false" outlineLevel="0" collapsed="false">
      <c r="A786" s="103" t="n">
        <v>46300</v>
      </c>
      <c r="B786" s="104" t="s">
        <v>33</v>
      </c>
      <c r="C786" s="104" t="s">
        <v>508</v>
      </c>
      <c r="D786" s="105" t="n">
        <v>0.0833</v>
      </c>
      <c r="E786" s="106" t="n">
        <v>240</v>
      </c>
      <c r="F786" s="107" t="n">
        <f aca="false">IF($C786="","",$D786*$E786)</f>
        <v>19.992</v>
      </c>
      <c r="G786" s="107" t="n">
        <f aca="false">IF($C786="","",$D786*IFERROR(INDEX('تحليل التكلفة والسعر'!$C$2:$C$700,MATCH($C786,'تحليل التكلفة والسعر'!$B$2:$B$700,0)),0))</f>
        <v>9.05275245</v>
      </c>
      <c r="H786" s="104" t="s">
        <v>719</v>
      </c>
    </row>
    <row r="787" customFormat="false" ht="15" hidden="false" customHeight="false" outlineLevel="0" collapsed="false">
      <c r="A787" s="103" t="n">
        <v>46301</v>
      </c>
      <c r="B787" s="104" t="s">
        <v>33</v>
      </c>
      <c r="C787" s="104" t="s">
        <v>508</v>
      </c>
      <c r="D787" s="105" t="n">
        <v>0.0833</v>
      </c>
      <c r="E787" s="106" t="n">
        <v>240</v>
      </c>
      <c r="F787" s="107" t="n">
        <f aca="false">IF($C787="","",$D787*$E787)</f>
        <v>19.992</v>
      </c>
      <c r="G787" s="107" t="n">
        <f aca="false">IF($C787="","",$D787*IFERROR(INDEX('تحليل التكلفة والسعر'!$C$2:$C$700,MATCH($C787,'تحليل التكلفة والسعر'!$B$2:$B$700,0)),0))</f>
        <v>9.05275245</v>
      </c>
      <c r="H787" s="104" t="s">
        <v>719</v>
      </c>
    </row>
    <row r="788" customFormat="false" ht="15" hidden="false" customHeight="false" outlineLevel="0" collapsed="false">
      <c r="A788" s="103" t="n">
        <v>46302</v>
      </c>
      <c r="B788" s="104" t="s">
        <v>33</v>
      </c>
      <c r="C788" s="104" t="s">
        <v>508</v>
      </c>
      <c r="D788" s="105" t="n">
        <v>0.0833</v>
      </c>
      <c r="E788" s="106" t="n">
        <v>240</v>
      </c>
      <c r="F788" s="107" t="n">
        <f aca="false">IF($C788="","",$D788*$E788)</f>
        <v>19.992</v>
      </c>
      <c r="G788" s="107" t="n">
        <f aca="false">IF($C788="","",$D788*IFERROR(INDEX('تحليل التكلفة والسعر'!$C$2:$C$700,MATCH($C788,'تحليل التكلفة والسعر'!$B$2:$B$700,0)),0))</f>
        <v>9.05275245</v>
      </c>
      <c r="H788" s="104" t="s">
        <v>719</v>
      </c>
    </row>
    <row r="789" customFormat="false" ht="15" hidden="false" customHeight="false" outlineLevel="0" collapsed="false">
      <c r="A789" s="103" t="n">
        <v>46303</v>
      </c>
      <c r="B789" s="104" t="s">
        <v>33</v>
      </c>
      <c r="C789" s="104" t="s">
        <v>508</v>
      </c>
      <c r="D789" s="105" t="n">
        <v>0.0833</v>
      </c>
      <c r="E789" s="106" t="n">
        <v>240</v>
      </c>
      <c r="F789" s="107" t="n">
        <f aca="false">IF($C789="","",$D789*$E789)</f>
        <v>19.992</v>
      </c>
      <c r="G789" s="107" t="n">
        <f aca="false">IF($C789="","",$D789*IFERROR(INDEX('تحليل التكلفة والسعر'!$C$2:$C$700,MATCH($C789,'تحليل التكلفة والسعر'!$B$2:$B$700,0)),0))</f>
        <v>9.05275245</v>
      </c>
      <c r="H789" s="104" t="s">
        <v>719</v>
      </c>
    </row>
    <row r="790" customFormat="false" ht="15" hidden="false" customHeight="false" outlineLevel="0" collapsed="false">
      <c r="A790" s="103" t="n">
        <v>46304</v>
      </c>
      <c r="B790" s="104" t="s">
        <v>33</v>
      </c>
      <c r="C790" s="104" t="s">
        <v>508</v>
      </c>
      <c r="D790" s="105" t="n">
        <v>0.0833</v>
      </c>
      <c r="E790" s="106" t="n">
        <v>240</v>
      </c>
      <c r="F790" s="107" t="n">
        <f aca="false">IF($C790="","",$D790*$E790)</f>
        <v>19.992</v>
      </c>
      <c r="G790" s="107" t="n">
        <f aca="false">IF($C790="","",$D790*IFERROR(INDEX('تحليل التكلفة والسعر'!$C$2:$C$700,MATCH($C790,'تحليل التكلفة والسعر'!$B$2:$B$700,0)),0))</f>
        <v>9.05275245</v>
      </c>
      <c r="H790" s="104" t="s">
        <v>719</v>
      </c>
    </row>
    <row r="791" customFormat="false" ht="15" hidden="false" customHeight="false" outlineLevel="0" collapsed="false">
      <c r="A791" s="103" t="n">
        <v>46305</v>
      </c>
      <c r="B791" s="104" t="s">
        <v>33</v>
      </c>
      <c r="C791" s="104" t="s">
        <v>508</v>
      </c>
      <c r="D791" s="105" t="n">
        <v>0.0833</v>
      </c>
      <c r="E791" s="106" t="n">
        <v>240</v>
      </c>
      <c r="F791" s="107" t="n">
        <f aca="false">IF($C791="","",$D791*$E791)</f>
        <v>19.992</v>
      </c>
      <c r="G791" s="107" t="n">
        <f aca="false">IF($C791="","",$D791*IFERROR(INDEX('تحليل التكلفة والسعر'!$C$2:$C$700,MATCH($C791,'تحليل التكلفة والسعر'!$B$2:$B$700,0)),0))</f>
        <v>9.05275245</v>
      </c>
      <c r="H791" s="104" t="s">
        <v>719</v>
      </c>
    </row>
    <row r="792" customFormat="false" ht="15" hidden="false" customHeight="false" outlineLevel="0" collapsed="false">
      <c r="A792" s="103" t="n">
        <v>46306</v>
      </c>
      <c r="B792" s="104" t="s">
        <v>33</v>
      </c>
      <c r="C792" s="104" t="s">
        <v>508</v>
      </c>
      <c r="D792" s="105" t="n">
        <v>0.0833</v>
      </c>
      <c r="E792" s="106" t="n">
        <v>240</v>
      </c>
      <c r="F792" s="107" t="n">
        <f aca="false">IF($C792="","",$D792*$E792)</f>
        <v>19.992</v>
      </c>
      <c r="G792" s="107" t="n">
        <f aca="false">IF($C792="","",$D792*IFERROR(INDEX('تحليل التكلفة والسعر'!$C$2:$C$700,MATCH($C792,'تحليل التكلفة والسعر'!$B$2:$B$700,0)),0))</f>
        <v>9.05275245</v>
      </c>
      <c r="H792" s="104" t="s">
        <v>719</v>
      </c>
    </row>
    <row r="793" customFormat="false" ht="15" hidden="false" customHeight="false" outlineLevel="0" collapsed="false">
      <c r="A793" s="103" t="n">
        <v>46307</v>
      </c>
      <c r="B793" s="104" t="s">
        <v>33</v>
      </c>
      <c r="C793" s="104" t="s">
        <v>508</v>
      </c>
      <c r="D793" s="105" t="n">
        <v>0.0833</v>
      </c>
      <c r="E793" s="106" t="n">
        <v>240</v>
      </c>
      <c r="F793" s="107" t="n">
        <f aca="false">IF($C793="","",$D793*$E793)</f>
        <v>19.992</v>
      </c>
      <c r="G793" s="107" t="n">
        <f aca="false">IF($C793="","",$D793*IFERROR(INDEX('تحليل التكلفة والسعر'!$C$2:$C$700,MATCH($C793,'تحليل التكلفة والسعر'!$B$2:$B$700,0)),0))</f>
        <v>9.05275245</v>
      </c>
      <c r="H793" s="104" t="s">
        <v>719</v>
      </c>
    </row>
    <row r="794" customFormat="false" ht="15" hidden="false" customHeight="false" outlineLevel="0" collapsed="false">
      <c r="A794" s="103" t="n">
        <v>46296</v>
      </c>
      <c r="B794" s="104" t="s">
        <v>33</v>
      </c>
      <c r="C794" s="104" t="s">
        <v>489</v>
      </c>
      <c r="D794" s="105" t="n">
        <v>0.1667</v>
      </c>
      <c r="E794" s="106" t="n">
        <v>360</v>
      </c>
      <c r="F794" s="107" t="n">
        <f aca="false">IF($C794="","",$D794*$E794)</f>
        <v>60.012</v>
      </c>
      <c r="G794" s="107" t="n">
        <f aca="false">IF($C794="","",$D794*IFERROR(INDEX('تحليل التكلفة والسعر'!$C$2:$C$700,MATCH($C794,'تحليل التكلفة والسعر'!$B$2:$B$700,0)),0))</f>
        <v>31.36152105</v>
      </c>
      <c r="H794" s="104" t="s">
        <v>719</v>
      </c>
    </row>
    <row r="795" customFormat="false" ht="15" hidden="false" customHeight="false" outlineLevel="0" collapsed="false">
      <c r="A795" s="103" t="n">
        <v>46297</v>
      </c>
      <c r="B795" s="104" t="s">
        <v>33</v>
      </c>
      <c r="C795" s="104" t="s">
        <v>489</v>
      </c>
      <c r="D795" s="105" t="n">
        <v>0.1667</v>
      </c>
      <c r="E795" s="106" t="n">
        <v>360</v>
      </c>
      <c r="F795" s="107" t="n">
        <f aca="false">IF($C795="","",$D795*$E795)</f>
        <v>60.012</v>
      </c>
      <c r="G795" s="107" t="n">
        <f aca="false">IF($C795="","",$D795*IFERROR(INDEX('تحليل التكلفة والسعر'!$C$2:$C$700,MATCH($C795,'تحليل التكلفة والسعر'!$B$2:$B$700,0)),0))</f>
        <v>31.36152105</v>
      </c>
      <c r="H795" s="104" t="s">
        <v>719</v>
      </c>
    </row>
    <row r="796" customFormat="false" ht="15" hidden="false" customHeight="false" outlineLevel="0" collapsed="false">
      <c r="A796" s="103" t="n">
        <v>46298</v>
      </c>
      <c r="B796" s="104" t="s">
        <v>33</v>
      </c>
      <c r="C796" s="104" t="s">
        <v>489</v>
      </c>
      <c r="D796" s="105" t="n">
        <v>0.1667</v>
      </c>
      <c r="E796" s="106" t="n">
        <v>360</v>
      </c>
      <c r="F796" s="107" t="n">
        <f aca="false">IF($C796="","",$D796*$E796)</f>
        <v>60.012</v>
      </c>
      <c r="G796" s="107" t="n">
        <f aca="false">IF($C796="","",$D796*IFERROR(INDEX('تحليل التكلفة والسعر'!$C$2:$C$700,MATCH($C796,'تحليل التكلفة والسعر'!$B$2:$B$700,0)),0))</f>
        <v>31.36152105</v>
      </c>
      <c r="H796" s="104" t="s">
        <v>719</v>
      </c>
    </row>
    <row r="797" customFormat="false" ht="15" hidden="false" customHeight="false" outlineLevel="0" collapsed="false">
      <c r="A797" s="103" t="n">
        <v>46299</v>
      </c>
      <c r="B797" s="104" t="s">
        <v>33</v>
      </c>
      <c r="C797" s="104" t="s">
        <v>489</v>
      </c>
      <c r="D797" s="105" t="n">
        <v>0.1667</v>
      </c>
      <c r="E797" s="106" t="n">
        <v>360</v>
      </c>
      <c r="F797" s="107" t="n">
        <f aca="false">IF($C797="","",$D797*$E797)</f>
        <v>60.012</v>
      </c>
      <c r="G797" s="107" t="n">
        <f aca="false">IF($C797="","",$D797*IFERROR(INDEX('تحليل التكلفة والسعر'!$C$2:$C$700,MATCH($C797,'تحليل التكلفة والسعر'!$B$2:$B$700,0)),0))</f>
        <v>31.36152105</v>
      </c>
      <c r="H797" s="104" t="s">
        <v>719</v>
      </c>
    </row>
    <row r="798" customFormat="false" ht="15" hidden="false" customHeight="false" outlineLevel="0" collapsed="false">
      <c r="A798" s="103" t="n">
        <v>46300</v>
      </c>
      <c r="B798" s="104" t="s">
        <v>33</v>
      </c>
      <c r="C798" s="104" t="s">
        <v>489</v>
      </c>
      <c r="D798" s="105" t="n">
        <v>0.1667</v>
      </c>
      <c r="E798" s="106" t="n">
        <v>360</v>
      </c>
      <c r="F798" s="107" t="n">
        <f aca="false">IF($C798="","",$D798*$E798)</f>
        <v>60.012</v>
      </c>
      <c r="G798" s="107" t="n">
        <f aca="false">IF($C798="","",$D798*IFERROR(INDEX('تحليل التكلفة والسعر'!$C$2:$C$700,MATCH($C798,'تحليل التكلفة والسعر'!$B$2:$B$700,0)),0))</f>
        <v>31.36152105</v>
      </c>
      <c r="H798" s="104" t="s">
        <v>719</v>
      </c>
    </row>
    <row r="799" customFormat="false" ht="15" hidden="false" customHeight="false" outlineLevel="0" collapsed="false">
      <c r="A799" s="103" t="n">
        <v>46301</v>
      </c>
      <c r="B799" s="104" t="s">
        <v>33</v>
      </c>
      <c r="C799" s="104" t="s">
        <v>489</v>
      </c>
      <c r="D799" s="105" t="n">
        <v>0.1667</v>
      </c>
      <c r="E799" s="106" t="n">
        <v>360</v>
      </c>
      <c r="F799" s="107" t="n">
        <f aca="false">IF($C799="","",$D799*$E799)</f>
        <v>60.012</v>
      </c>
      <c r="G799" s="107" t="n">
        <f aca="false">IF($C799="","",$D799*IFERROR(INDEX('تحليل التكلفة والسعر'!$C$2:$C$700,MATCH($C799,'تحليل التكلفة والسعر'!$B$2:$B$700,0)),0))</f>
        <v>31.36152105</v>
      </c>
      <c r="H799" s="104" t="s">
        <v>719</v>
      </c>
    </row>
    <row r="800" customFormat="false" ht="15" hidden="false" customHeight="false" outlineLevel="0" collapsed="false">
      <c r="A800" s="103" t="n">
        <v>46302</v>
      </c>
      <c r="B800" s="104" t="s">
        <v>33</v>
      </c>
      <c r="C800" s="104" t="s">
        <v>489</v>
      </c>
      <c r="D800" s="105" t="n">
        <v>0.1667</v>
      </c>
      <c r="E800" s="106" t="n">
        <v>360</v>
      </c>
      <c r="F800" s="107" t="n">
        <f aca="false">IF($C800="","",$D800*$E800)</f>
        <v>60.012</v>
      </c>
      <c r="G800" s="107" t="n">
        <f aca="false">IF($C800="","",$D800*IFERROR(INDEX('تحليل التكلفة والسعر'!$C$2:$C$700,MATCH($C800,'تحليل التكلفة والسعر'!$B$2:$B$700,0)),0))</f>
        <v>31.36152105</v>
      </c>
      <c r="H800" s="104" t="s">
        <v>719</v>
      </c>
    </row>
    <row r="801" customFormat="false" ht="15" hidden="false" customHeight="false" outlineLevel="0" collapsed="false">
      <c r="A801" s="103" t="n">
        <v>46303</v>
      </c>
      <c r="B801" s="104" t="s">
        <v>33</v>
      </c>
      <c r="C801" s="104" t="s">
        <v>489</v>
      </c>
      <c r="D801" s="105" t="n">
        <v>0.1667</v>
      </c>
      <c r="E801" s="106" t="n">
        <v>360</v>
      </c>
      <c r="F801" s="107" t="n">
        <f aca="false">IF($C801="","",$D801*$E801)</f>
        <v>60.012</v>
      </c>
      <c r="G801" s="107" t="n">
        <f aca="false">IF($C801="","",$D801*IFERROR(INDEX('تحليل التكلفة والسعر'!$C$2:$C$700,MATCH($C801,'تحليل التكلفة والسعر'!$B$2:$B$700,0)),0))</f>
        <v>31.36152105</v>
      </c>
      <c r="H801" s="104" t="s">
        <v>719</v>
      </c>
    </row>
    <row r="802" customFormat="false" ht="15" hidden="false" customHeight="false" outlineLevel="0" collapsed="false">
      <c r="A802" s="103" t="n">
        <v>46304</v>
      </c>
      <c r="B802" s="104" t="s">
        <v>33</v>
      </c>
      <c r="C802" s="104" t="s">
        <v>489</v>
      </c>
      <c r="D802" s="105" t="n">
        <v>0.1667</v>
      </c>
      <c r="E802" s="106" t="n">
        <v>360</v>
      </c>
      <c r="F802" s="107" t="n">
        <f aca="false">IF($C802="","",$D802*$E802)</f>
        <v>60.012</v>
      </c>
      <c r="G802" s="107" t="n">
        <f aca="false">IF($C802="","",$D802*IFERROR(INDEX('تحليل التكلفة والسعر'!$C$2:$C$700,MATCH($C802,'تحليل التكلفة والسعر'!$B$2:$B$700,0)),0))</f>
        <v>31.36152105</v>
      </c>
      <c r="H802" s="104" t="s">
        <v>719</v>
      </c>
    </row>
    <row r="803" customFormat="false" ht="15" hidden="false" customHeight="false" outlineLevel="0" collapsed="false">
      <c r="A803" s="103" t="n">
        <v>46305</v>
      </c>
      <c r="B803" s="104" t="s">
        <v>33</v>
      </c>
      <c r="C803" s="104" t="s">
        <v>489</v>
      </c>
      <c r="D803" s="105" t="n">
        <v>0.1667</v>
      </c>
      <c r="E803" s="106" t="n">
        <v>360</v>
      </c>
      <c r="F803" s="107" t="n">
        <f aca="false">IF($C803="","",$D803*$E803)</f>
        <v>60.012</v>
      </c>
      <c r="G803" s="107" t="n">
        <f aca="false">IF($C803="","",$D803*IFERROR(INDEX('تحليل التكلفة والسعر'!$C$2:$C$700,MATCH($C803,'تحليل التكلفة والسعر'!$B$2:$B$700,0)),0))</f>
        <v>31.36152105</v>
      </c>
      <c r="H803" s="104" t="s">
        <v>719</v>
      </c>
    </row>
    <row r="804" customFormat="false" ht="15" hidden="false" customHeight="false" outlineLevel="0" collapsed="false">
      <c r="A804" s="103" t="n">
        <v>46306</v>
      </c>
      <c r="B804" s="104" t="s">
        <v>33</v>
      </c>
      <c r="C804" s="104" t="s">
        <v>489</v>
      </c>
      <c r="D804" s="105" t="n">
        <v>0.1667</v>
      </c>
      <c r="E804" s="106" t="n">
        <v>360</v>
      </c>
      <c r="F804" s="107" t="n">
        <f aca="false">IF($C804="","",$D804*$E804)</f>
        <v>60.012</v>
      </c>
      <c r="G804" s="107" t="n">
        <f aca="false">IF($C804="","",$D804*IFERROR(INDEX('تحليل التكلفة والسعر'!$C$2:$C$700,MATCH($C804,'تحليل التكلفة والسعر'!$B$2:$B$700,0)),0))</f>
        <v>31.36152105</v>
      </c>
      <c r="H804" s="104" t="s">
        <v>719</v>
      </c>
    </row>
    <row r="805" customFormat="false" ht="15" hidden="false" customHeight="false" outlineLevel="0" collapsed="false">
      <c r="A805" s="103" t="n">
        <v>46307</v>
      </c>
      <c r="B805" s="104" t="s">
        <v>33</v>
      </c>
      <c r="C805" s="104" t="s">
        <v>489</v>
      </c>
      <c r="D805" s="105" t="n">
        <v>0.1667</v>
      </c>
      <c r="E805" s="106" t="n">
        <v>360</v>
      </c>
      <c r="F805" s="107" t="n">
        <f aca="false">IF($C805="","",$D805*$E805)</f>
        <v>60.012</v>
      </c>
      <c r="G805" s="107" t="n">
        <f aca="false">IF($C805="","",$D805*IFERROR(INDEX('تحليل التكلفة والسعر'!$C$2:$C$700,MATCH($C805,'تحليل التكلفة والسعر'!$B$2:$B$700,0)),0))</f>
        <v>31.36152105</v>
      </c>
      <c r="H805" s="104" t="s">
        <v>719</v>
      </c>
    </row>
    <row r="806" customFormat="false" ht="15" hidden="false" customHeight="false" outlineLevel="0" collapsed="false">
      <c r="A806" s="103" t="n">
        <v>46296</v>
      </c>
      <c r="B806" s="104" t="s">
        <v>33</v>
      </c>
      <c r="C806" s="104" t="s">
        <v>500</v>
      </c>
      <c r="D806" s="105" t="n">
        <v>0.4167</v>
      </c>
      <c r="E806" s="106" t="n">
        <v>260</v>
      </c>
      <c r="F806" s="107" t="n">
        <f aca="false">IF($C806="","",$D806*$E806)</f>
        <v>108.342</v>
      </c>
      <c r="G806" s="107" t="n">
        <f aca="false">IF($C806="","",$D806*IFERROR(INDEX('تحليل التكلفة والسعر'!$C$2:$C$700,MATCH($C806,'تحليل التكلفة والسعر'!$B$2:$B$700,0)),0))</f>
        <v>53.46115155</v>
      </c>
      <c r="H806" s="104" t="s">
        <v>719</v>
      </c>
    </row>
    <row r="807" customFormat="false" ht="15" hidden="false" customHeight="false" outlineLevel="0" collapsed="false">
      <c r="A807" s="103" t="n">
        <v>46297</v>
      </c>
      <c r="B807" s="104" t="s">
        <v>33</v>
      </c>
      <c r="C807" s="104" t="s">
        <v>500</v>
      </c>
      <c r="D807" s="105" t="n">
        <v>0.4167</v>
      </c>
      <c r="E807" s="106" t="n">
        <v>260</v>
      </c>
      <c r="F807" s="107" t="n">
        <f aca="false">IF($C807="","",$D807*$E807)</f>
        <v>108.342</v>
      </c>
      <c r="G807" s="107" t="n">
        <f aca="false">IF($C807="","",$D807*IFERROR(INDEX('تحليل التكلفة والسعر'!$C$2:$C$700,MATCH($C807,'تحليل التكلفة والسعر'!$B$2:$B$700,0)),0))</f>
        <v>53.46115155</v>
      </c>
      <c r="H807" s="104" t="s">
        <v>719</v>
      </c>
    </row>
    <row r="808" customFormat="false" ht="15" hidden="false" customHeight="false" outlineLevel="0" collapsed="false">
      <c r="A808" s="103" t="n">
        <v>46298</v>
      </c>
      <c r="B808" s="104" t="s">
        <v>33</v>
      </c>
      <c r="C808" s="104" t="s">
        <v>500</v>
      </c>
      <c r="D808" s="105" t="n">
        <v>0.4167</v>
      </c>
      <c r="E808" s="106" t="n">
        <v>260</v>
      </c>
      <c r="F808" s="107" t="n">
        <f aca="false">IF($C808="","",$D808*$E808)</f>
        <v>108.342</v>
      </c>
      <c r="G808" s="107" t="n">
        <f aca="false">IF($C808="","",$D808*IFERROR(INDEX('تحليل التكلفة والسعر'!$C$2:$C$700,MATCH($C808,'تحليل التكلفة والسعر'!$B$2:$B$700,0)),0))</f>
        <v>53.46115155</v>
      </c>
      <c r="H808" s="104" t="s">
        <v>719</v>
      </c>
    </row>
    <row r="809" customFormat="false" ht="15" hidden="false" customHeight="false" outlineLevel="0" collapsed="false">
      <c r="A809" s="103" t="n">
        <v>46299</v>
      </c>
      <c r="B809" s="104" t="s">
        <v>33</v>
      </c>
      <c r="C809" s="104" t="s">
        <v>500</v>
      </c>
      <c r="D809" s="105" t="n">
        <v>0.4167</v>
      </c>
      <c r="E809" s="106" t="n">
        <v>260</v>
      </c>
      <c r="F809" s="107" t="n">
        <f aca="false">IF($C809="","",$D809*$E809)</f>
        <v>108.342</v>
      </c>
      <c r="G809" s="107" t="n">
        <f aca="false">IF($C809="","",$D809*IFERROR(INDEX('تحليل التكلفة والسعر'!$C$2:$C$700,MATCH($C809,'تحليل التكلفة والسعر'!$B$2:$B$700,0)),0))</f>
        <v>53.46115155</v>
      </c>
      <c r="H809" s="104" t="s">
        <v>719</v>
      </c>
    </row>
    <row r="810" customFormat="false" ht="15" hidden="false" customHeight="false" outlineLevel="0" collapsed="false">
      <c r="A810" s="103" t="n">
        <v>46300</v>
      </c>
      <c r="B810" s="104" t="s">
        <v>33</v>
      </c>
      <c r="C810" s="104" t="s">
        <v>500</v>
      </c>
      <c r="D810" s="105" t="n">
        <v>0.4167</v>
      </c>
      <c r="E810" s="106" t="n">
        <v>260</v>
      </c>
      <c r="F810" s="107" t="n">
        <f aca="false">IF($C810="","",$D810*$E810)</f>
        <v>108.342</v>
      </c>
      <c r="G810" s="107" t="n">
        <f aca="false">IF($C810="","",$D810*IFERROR(INDEX('تحليل التكلفة والسعر'!$C$2:$C$700,MATCH($C810,'تحليل التكلفة والسعر'!$B$2:$B$700,0)),0))</f>
        <v>53.46115155</v>
      </c>
      <c r="H810" s="104" t="s">
        <v>719</v>
      </c>
    </row>
    <row r="811" customFormat="false" ht="15" hidden="false" customHeight="false" outlineLevel="0" collapsed="false">
      <c r="A811" s="103" t="n">
        <v>46301</v>
      </c>
      <c r="B811" s="104" t="s">
        <v>33</v>
      </c>
      <c r="C811" s="104" t="s">
        <v>500</v>
      </c>
      <c r="D811" s="105" t="n">
        <v>0.4167</v>
      </c>
      <c r="E811" s="106" t="n">
        <v>260</v>
      </c>
      <c r="F811" s="107" t="n">
        <f aca="false">IF($C811="","",$D811*$E811)</f>
        <v>108.342</v>
      </c>
      <c r="G811" s="107" t="n">
        <f aca="false">IF($C811="","",$D811*IFERROR(INDEX('تحليل التكلفة والسعر'!$C$2:$C$700,MATCH($C811,'تحليل التكلفة والسعر'!$B$2:$B$700,0)),0))</f>
        <v>53.46115155</v>
      </c>
      <c r="H811" s="104" t="s">
        <v>719</v>
      </c>
    </row>
    <row r="812" customFormat="false" ht="15" hidden="false" customHeight="false" outlineLevel="0" collapsed="false">
      <c r="A812" s="103" t="n">
        <v>46302</v>
      </c>
      <c r="B812" s="104" t="s">
        <v>33</v>
      </c>
      <c r="C812" s="104" t="s">
        <v>500</v>
      </c>
      <c r="D812" s="105" t="n">
        <v>0.4167</v>
      </c>
      <c r="E812" s="106" t="n">
        <v>260</v>
      </c>
      <c r="F812" s="107" t="n">
        <f aca="false">IF($C812="","",$D812*$E812)</f>
        <v>108.342</v>
      </c>
      <c r="G812" s="107" t="n">
        <f aca="false">IF($C812="","",$D812*IFERROR(INDEX('تحليل التكلفة والسعر'!$C$2:$C$700,MATCH($C812,'تحليل التكلفة والسعر'!$B$2:$B$700,0)),0))</f>
        <v>53.46115155</v>
      </c>
      <c r="H812" s="104" t="s">
        <v>719</v>
      </c>
    </row>
    <row r="813" customFormat="false" ht="15" hidden="false" customHeight="false" outlineLevel="0" collapsed="false">
      <c r="A813" s="103" t="n">
        <v>46303</v>
      </c>
      <c r="B813" s="104" t="s">
        <v>33</v>
      </c>
      <c r="C813" s="104" t="s">
        <v>500</v>
      </c>
      <c r="D813" s="105" t="n">
        <v>0.4167</v>
      </c>
      <c r="E813" s="106" t="n">
        <v>260</v>
      </c>
      <c r="F813" s="107" t="n">
        <f aca="false">IF($C813="","",$D813*$E813)</f>
        <v>108.342</v>
      </c>
      <c r="G813" s="107" t="n">
        <f aca="false">IF($C813="","",$D813*IFERROR(INDEX('تحليل التكلفة والسعر'!$C$2:$C$700,MATCH($C813,'تحليل التكلفة والسعر'!$B$2:$B$700,0)),0))</f>
        <v>53.46115155</v>
      </c>
      <c r="H813" s="104" t="s">
        <v>719</v>
      </c>
    </row>
    <row r="814" customFormat="false" ht="15" hidden="false" customHeight="false" outlineLevel="0" collapsed="false">
      <c r="A814" s="103" t="n">
        <v>46304</v>
      </c>
      <c r="B814" s="104" t="s">
        <v>33</v>
      </c>
      <c r="C814" s="104" t="s">
        <v>500</v>
      </c>
      <c r="D814" s="105" t="n">
        <v>0.4167</v>
      </c>
      <c r="E814" s="106" t="n">
        <v>260</v>
      </c>
      <c r="F814" s="107" t="n">
        <f aca="false">IF($C814="","",$D814*$E814)</f>
        <v>108.342</v>
      </c>
      <c r="G814" s="107" t="n">
        <f aca="false">IF($C814="","",$D814*IFERROR(INDEX('تحليل التكلفة والسعر'!$C$2:$C$700,MATCH($C814,'تحليل التكلفة والسعر'!$B$2:$B$700,0)),0))</f>
        <v>53.46115155</v>
      </c>
      <c r="H814" s="104" t="s">
        <v>719</v>
      </c>
    </row>
    <row r="815" customFormat="false" ht="15" hidden="false" customHeight="false" outlineLevel="0" collapsed="false">
      <c r="A815" s="103" t="n">
        <v>46305</v>
      </c>
      <c r="B815" s="104" t="s">
        <v>33</v>
      </c>
      <c r="C815" s="104" t="s">
        <v>500</v>
      </c>
      <c r="D815" s="105" t="n">
        <v>0.4167</v>
      </c>
      <c r="E815" s="106" t="n">
        <v>260</v>
      </c>
      <c r="F815" s="107" t="n">
        <f aca="false">IF($C815="","",$D815*$E815)</f>
        <v>108.342</v>
      </c>
      <c r="G815" s="107" t="n">
        <f aca="false">IF($C815="","",$D815*IFERROR(INDEX('تحليل التكلفة والسعر'!$C$2:$C$700,MATCH($C815,'تحليل التكلفة والسعر'!$B$2:$B$700,0)),0))</f>
        <v>53.46115155</v>
      </c>
      <c r="H815" s="104" t="s">
        <v>719</v>
      </c>
    </row>
    <row r="816" customFormat="false" ht="15" hidden="false" customHeight="false" outlineLevel="0" collapsed="false">
      <c r="A816" s="103" t="n">
        <v>46306</v>
      </c>
      <c r="B816" s="104" t="s">
        <v>33</v>
      </c>
      <c r="C816" s="104" t="s">
        <v>500</v>
      </c>
      <c r="D816" s="105" t="n">
        <v>0.4167</v>
      </c>
      <c r="E816" s="106" t="n">
        <v>260</v>
      </c>
      <c r="F816" s="107" t="n">
        <f aca="false">IF($C816="","",$D816*$E816)</f>
        <v>108.342</v>
      </c>
      <c r="G816" s="107" t="n">
        <f aca="false">IF($C816="","",$D816*IFERROR(INDEX('تحليل التكلفة والسعر'!$C$2:$C$700,MATCH($C816,'تحليل التكلفة والسعر'!$B$2:$B$700,0)),0))</f>
        <v>53.46115155</v>
      </c>
      <c r="H816" s="104" t="s">
        <v>719</v>
      </c>
    </row>
    <row r="817" customFormat="false" ht="15" hidden="false" customHeight="false" outlineLevel="0" collapsed="false">
      <c r="A817" s="103" t="n">
        <v>46307</v>
      </c>
      <c r="B817" s="104" t="s">
        <v>33</v>
      </c>
      <c r="C817" s="104" t="s">
        <v>500</v>
      </c>
      <c r="D817" s="105" t="n">
        <v>0.4167</v>
      </c>
      <c r="E817" s="106" t="n">
        <v>260</v>
      </c>
      <c r="F817" s="107" t="n">
        <f aca="false">IF($C817="","",$D817*$E817)</f>
        <v>108.342</v>
      </c>
      <c r="G817" s="107" t="n">
        <f aca="false">IF($C817="","",$D817*IFERROR(INDEX('تحليل التكلفة والسعر'!$C$2:$C$700,MATCH($C817,'تحليل التكلفة والسعر'!$B$2:$B$700,0)),0))</f>
        <v>53.46115155</v>
      </c>
      <c r="H817" s="104" t="s">
        <v>719</v>
      </c>
    </row>
    <row r="818" customFormat="false" ht="15" hidden="false" customHeight="false" outlineLevel="0" collapsed="false">
      <c r="A818" s="103" t="n">
        <v>46296</v>
      </c>
      <c r="B818" s="104" t="s">
        <v>33</v>
      </c>
      <c r="C818" s="104" t="s">
        <v>478</v>
      </c>
      <c r="D818" s="105" t="n">
        <v>0.3333</v>
      </c>
      <c r="E818" s="106" t="n">
        <v>117.5</v>
      </c>
      <c r="F818" s="107" t="n">
        <f aca="false">IF($C818="","",$D818*$E818)</f>
        <v>39.16275</v>
      </c>
      <c r="G818" s="107" t="n">
        <f aca="false">IF($C818="","",$D818*IFERROR(INDEX('تحليل التكلفة والسعر'!$C$2:$C$700,MATCH($C818,'تحليل التكلفة والسعر'!$B$2:$B$700,0)),0))</f>
        <v>15.20897895</v>
      </c>
      <c r="H818" s="104" t="s">
        <v>719</v>
      </c>
    </row>
    <row r="819" customFormat="false" ht="15" hidden="false" customHeight="false" outlineLevel="0" collapsed="false">
      <c r="A819" s="103" t="n">
        <v>46297</v>
      </c>
      <c r="B819" s="104" t="s">
        <v>33</v>
      </c>
      <c r="C819" s="104" t="s">
        <v>478</v>
      </c>
      <c r="D819" s="105" t="n">
        <v>0.3333</v>
      </c>
      <c r="E819" s="106" t="n">
        <v>117.5</v>
      </c>
      <c r="F819" s="107" t="n">
        <f aca="false">IF($C819="","",$D819*$E819)</f>
        <v>39.16275</v>
      </c>
      <c r="G819" s="107" t="n">
        <f aca="false">IF($C819="","",$D819*IFERROR(INDEX('تحليل التكلفة والسعر'!$C$2:$C$700,MATCH($C819,'تحليل التكلفة والسعر'!$B$2:$B$700,0)),0))</f>
        <v>15.20897895</v>
      </c>
      <c r="H819" s="104" t="s">
        <v>719</v>
      </c>
    </row>
    <row r="820" customFormat="false" ht="15" hidden="false" customHeight="false" outlineLevel="0" collapsed="false">
      <c r="A820" s="103" t="n">
        <v>46298</v>
      </c>
      <c r="B820" s="104" t="s">
        <v>33</v>
      </c>
      <c r="C820" s="104" t="s">
        <v>478</v>
      </c>
      <c r="D820" s="105" t="n">
        <v>0.3333</v>
      </c>
      <c r="E820" s="106" t="n">
        <v>117.5</v>
      </c>
      <c r="F820" s="107" t="n">
        <f aca="false">IF($C820="","",$D820*$E820)</f>
        <v>39.16275</v>
      </c>
      <c r="G820" s="107" t="n">
        <f aca="false">IF($C820="","",$D820*IFERROR(INDEX('تحليل التكلفة والسعر'!$C$2:$C$700,MATCH($C820,'تحليل التكلفة والسعر'!$B$2:$B$700,0)),0))</f>
        <v>15.20897895</v>
      </c>
      <c r="H820" s="104" t="s">
        <v>719</v>
      </c>
    </row>
    <row r="821" customFormat="false" ht="15" hidden="false" customHeight="false" outlineLevel="0" collapsed="false">
      <c r="A821" s="103" t="n">
        <v>46299</v>
      </c>
      <c r="B821" s="104" t="s">
        <v>33</v>
      </c>
      <c r="C821" s="104" t="s">
        <v>478</v>
      </c>
      <c r="D821" s="105" t="n">
        <v>0.3333</v>
      </c>
      <c r="E821" s="106" t="n">
        <v>117.5</v>
      </c>
      <c r="F821" s="107" t="n">
        <f aca="false">IF($C821="","",$D821*$E821)</f>
        <v>39.16275</v>
      </c>
      <c r="G821" s="107" t="n">
        <f aca="false">IF($C821="","",$D821*IFERROR(INDEX('تحليل التكلفة والسعر'!$C$2:$C$700,MATCH($C821,'تحليل التكلفة والسعر'!$B$2:$B$700,0)),0))</f>
        <v>15.20897895</v>
      </c>
      <c r="H821" s="104" t="s">
        <v>719</v>
      </c>
    </row>
    <row r="822" customFormat="false" ht="15" hidden="false" customHeight="false" outlineLevel="0" collapsed="false">
      <c r="A822" s="103" t="n">
        <v>46300</v>
      </c>
      <c r="B822" s="104" t="s">
        <v>33</v>
      </c>
      <c r="C822" s="104" t="s">
        <v>478</v>
      </c>
      <c r="D822" s="105" t="n">
        <v>0.3333</v>
      </c>
      <c r="E822" s="106" t="n">
        <v>117.5</v>
      </c>
      <c r="F822" s="107" t="n">
        <f aca="false">IF($C822="","",$D822*$E822)</f>
        <v>39.16275</v>
      </c>
      <c r="G822" s="107" t="n">
        <f aca="false">IF($C822="","",$D822*IFERROR(INDEX('تحليل التكلفة والسعر'!$C$2:$C$700,MATCH($C822,'تحليل التكلفة والسعر'!$B$2:$B$700,0)),0))</f>
        <v>15.20897895</v>
      </c>
      <c r="H822" s="104" t="s">
        <v>719</v>
      </c>
    </row>
    <row r="823" customFormat="false" ht="15" hidden="false" customHeight="false" outlineLevel="0" collapsed="false">
      <c r="A823" s="103" t="n">
        <v>46301</v>
      </c>
      <c r="B823" s="104" t="s">
        <v>33</v>
      </c>
      <c r="C823" s="104" t="s">
        <v>478</v>
      </c>
      <c r="D823" s="105" t="n">
        <v>0.3333</v>
      </c>
      <c r="E823" s="106" t="n">
        <v>117.5</v>
      </c>
      <c r="F823" s="107" t="n">
        <f aca="false">IF($C823="","",$D823*$E823)</f>
        <v>39.16275</v>
      </c>
      <c r="G823" s="107" t="n">
        <f aca="false">IF($C823="","",$D823*IFERROR(INDEX('تحليل التكلفة والسعر'!$C$2:$C$700,MATCH($C823,'تحليل التكلفة والسعر'!$B$2:$B$700,0)),0))</f>
        <v>15.20897895</v>
      </c>
      <c r="H823" s="104" t="s">
        <v>719</v>
      </c>
    </row>
    <row r="824" customFormat="false" ht="15" hidden="false" customHeight="false" outlineLevel="0" collapsed="false">
      <c r="A824" s="103" t="n">
        <v>46302</v>
      </c>
      <c r="B824" s="104" t="s">
        <v>33</v>
      </c>
      <c r="C824" s="104" t="s">
        <v>478</v>
      </c>
      <c r="D824" s="105" t="n">
        <v>0.3333</v>
      </c>
      <c r="E824" s="106" t="n">
        <v>117.5</v>
      </c>
      <c r="F824" s="107" t="n">
        <f aca="false">IF($C824="","",$D824*$E824)</f>
        <v>39.16275</v>
      </c>
      <c r="G824" s="107" t="n">
        <f aca="false">IF($C824="","",$D824*IFERROR(INDEX('تحليل التكلفة والسعر'!$C$2:$C$700,MATCH($C824,'تحليل التكلفة والسعر'!$B$2:$B$700,0)),0))</f>
        <v>15.20897895</v>
      </c>
      <c r="H824" s="104" t="s">
        <v>719</v>
      </c>
    </row>
    <row r="825" customFormat="false" ht="15" hidden="false" customHeight="false" outlineLevel="0" collapsed="false">
      <c r="A825" s="103" t="n">
        <v>46303</v>
      </c>
      <c r="B825" s="104" t="s">
        <v>33</v>
      </c>
      <c r="C825" s="104" t="s">
        <v>478</v>
      </c>
      <c r="D825" s="105" t="n">
        <v>0.3333</v>
      </c>
      <c r="E825" s="106" t="n">
        <v>117.5</v>
      </c>
      <c r="F825" s="107" t="n">
        <f aca="false">IF($C825="","",$D825*$E825)</f>
        <v>39.16275</v>
      </c>
      <c r="G825" s="107" t="n">
        <f aca="false">IF($C825="","",$D825*IFERROR(INDEX('تحليل التكلفة والسعر'!$C$2:$C$700,MATCH($C825,'تحليل التكلفة والسعر'!$B$2:$B$700,0)),0))</f>
        <v>15.20897895</v>
      </c>
      <c r="H825" s="104" t="s">
        <v>719</v>
      </c>
    </row>
    <row r="826" customFormat="false" ht="15" hidden="false" customHeight="false" outlineLevel="0" collapsed="false">
      <c r="A826" s="103" t="n">
        <v>46304</v>
      </c>
      <c r="B826" s="104" t="s">
        <v>33</v>
      </c>
      <c r="C826" s="104" t="s">
        <v>478</v>
      </c>
      <c r="D826" s="105" t="n">
        <v>0.3333</v>
      </c>
      <c r="E826" s="106" t="n">
        <v>117.5</v>
      </c>
      <c r="F826" s="107" t="n">
        <f aca="false">IF($C826="","",$D826*$E826)</f>
        <v>39.16275</v>
      </c>
      <c r="G826" s="107" t="n">
        <f aca="false">IF($C826="","",$D826*IFERROR(INDEX('تحليل التكلفة والسعر'!$C$2:$C$700,MATCH($C826,'تحليل التكلفة والسعر'!$B$2:$B$700,0)),0))</f>
        <v>15.20897895</v>
      </c>
      <c r="H826" s="104" t="s">
        <v>719</v>
      </c>
    </row>
    <row r="827" customFormat="false" ht="15" hidden="false" customHeight="false" outlineLevel="0" collapsed="false">
      <c r="A827" s="103" t="n">
        <v>46305</v>
      </c>
      <c r="B827" s="104" t="s">
        <v>33</v>
      </c>
      <c r="C827" s="104" t="s">
        <v>478</v>
      </c>
      <c r="D827" s="105" t="n">
        <v>0.3333</v>
      </c>
      <c r="E827" s="106" t="n">
        <v>117.5</v>
      </c>
      <c r="F827" s="107" t="n">
        <f aca="false">IF($C827="","",$D827*$E827)</f>
        <v>39.16275</v>
      </c>
      <c r="G827" s="107" t="n">
        <f aca="false">IF($C827="","",$D827*IFERROR(INDEX('تحليل التكلفة والسعر'!$C$2:$C$700,MATCH($C827,'تحليل التكلفة والسعر'!$B$2:$B$700,0)),0))</f>
        <v>15.20897895</v>
      </c>
      <c r="H827" s="104" t="s">
        <v>719</v>
      </c>
    </row>
    <row r="828" customFormat="false" ht="15" hidden="false" customHeight="false" outlineLevel="0" collapsed="false">
      <c r="A828" s="103" t="n">
        <v>46306</v>
      </c>
      <c r="B828" s="104" t="s">
        <v>33</v>
      </c>
      <c r="C828" s="104" t="s">
        <v>478</v>
      </c>
      <c r="D828" s="105" t="n">
        <v>0.3333</v>
      </c>
      <c r="E828" s="106" t="n">
        <v>117.5</v>
      </c>
      <c r="F828" s="107" t="n">
        <f aca="false">IF($C828="","",$D828*$E828)</f>
        <v>39.16275</v>
      </c>
      <c r="G828" s="107" t="n">
        <f aca="false">IF($C828="","",$D828*IFERROR(INDEX('تحليل التكلفة والسعر'!$C$2:$C$700,MATCH($C828,'تحليل التكلفة والسعر'!$B$2:$B$700,0)),0))</f>
        <v>15.20897895</v>
      </c>
      <c r="H828" s="104" t="s">
        <v>719</v>
      </c>
    </row>
    <row r="829" customFormat="false" ht="15" hidden="false" customHeight="false" outlineLevel="0" collapsed="false">
      <c r="A829" s="103" t="n">
        <v>46307</v>
      </c>
      <c r="B829" s="104" t="s">
        <v>33</v>
      </c>
      <c r="C829" s="104" t="s">
        <v>478</v>
      </c>
      <c r="D829" s="105" t="n">
        <v>0.3333</v>
      </c>
      <c r="E829" s="106" t="n">
        <v>117.5</v>
      </c>
      <c r="F829" s="107" t="n">
        <f aca="false">IF($C829="","",$D829*$E829)</f>
        <v>39.16275</v>
      </c>
      <c r="G829" s="107" t="n">
        <f aca="false">IF($C829="","",$D829*IFERROR(INDEX('تحليل التكلفة والسعر'!$C$2:$C$700,MATCH($C829,'تحليل التكلفة والسعر'!$B$2:$B$700,0)),0))</f>
        <v>15.20897895</v>
      </c>
      <c r="H829" s="104" t="s">
        <v>719</v>
      </c>
    </row>
    <row r="830" customFormat="false" ht="15" hidden="false" customHeight="false" outlineLevel="0" collapsed="false">
      <c r="A830" s="103" t="n">
        <v>46296</v>
      </c>
      <c r="B830" s="104" t="s">
        <v>33</v>
      </c>
      <c r="C830" s="104" t="s">
        <v>509</v>
      </c>
      <c r="D830" s="105" t="n">
        <v>0.4167</v>
      </c>
      <c r="E830" s="106" t="n">
        <v>90</v>
      </c>
      <c r="F830" s="107" t="n">
        <f aca="false">IF($C830="","",$D830*$E830)</f>
        <v>37.503</v>
      </c>
      <c r="G830" s="107" t="n">
        <f aca="false">IF($C830="","",$D830*IFERROR(INDEX('تحليل التكلفة والسعر'!$C$2:$C$700,MATCH($C830,'تحليل التكلفة والسعر'!$B$2:$B$700,0)),0))</f>
        <v>13.87465155</v>
      </c>
      <c r="H830" s="104" t="s">
        <v>719</v>
      </c>
    </row>
    <row r="831" customFormat="false" ht="15" hidden="false" customHeight="false" outlineLevel="0" collapsed="false">
      <c r="A831" s="103" t="n">
        <v>46297</v>
      </c>
      <c r="B831" s="104" t="s">
        <v>33</v>
      </c>
      <c r="C831" s="104" t="s">
        <v>509</v>
      </c>
      <c r="D831" s="105" t="n">
        <v>0.4167</v>
      </c>
      <c r="E831" s="106" t="n">
        <v>90</v>
      </c>
      <c r="F831" s="107" t="n">
        <f aca="false">IF($C831="","",$D831*$E831)</f>
        <v>37.503</v>
      </c>
      <c r="G831" s="107" t="n">
        <f aca="false">IF($C831="","",$D831*IFERROR(INDEX('تحليل التكلفة والسعر'!$C$2:$C$700,MATCH($C831,'تحليل التكلفة والسعر'!$B$2:$B$700,0)),0))</f>
        <v>13.87465155</v>
      </c>
      <c r="H831" s="104" t="s">
        <v>719</v>
      </c>
    </row>
    <row r="832" customFormat="false" ht="15" hidden="false" customHeight="false" outlineLevel="0" collapsed="false">
      <c r="A832" s="103" t="n">
        <v>46298</v>
      </c>
      <c r="B832" s="104" t="s">
        <v>33</v>
      </c>
      <c r="C832" s="104" t="s">
        <v>509</v>
      </c>
      <c r="D832" s="105" t="n">
        <v>0.4167</v>
      </c>
      <c r="E832" s="106" t="n">
        <v>90</v>
      </c>
      <c r="F832" s="107" t="n">
        <f aca="false">IF($C832="","",$D832*$E832)</f>
        <v>37.503</v>
      </c>
      <c r="G832" s="107" t="n">
        <f aca="false">IF($C832="","",$D832*IFERROR(INDEX('تحليل التكلفة والسعر'!$C$2:$C$700,MATCH($C832,'تحليل التكلفة والسعر'!$B$2:$B$700,0)),0))</f>
        <v>13.87465155</v>
      </c>
      <c r="H832" s="104" t="s">
        <v>719</v>
      </c>
    </row>
    <row r="833" customFormat="false" ht="15" hidden="false" customHeight="false" outlineLevel="0" collapsed="false">
      <c r="A833" s="103" t="n">
        <v>46299</v>
      </c>
      <c r="B833" s="104" t="s">
        <v>33</v>
      </c>
      <c r="C833" s="104" t="s">
        <v>509</v>
      </c>
      <c r="D833" s="105" t="n">
        <v>0.4167</v>
      </c>
      <c r="E833" s="106" t="n">
        <v>90</v>
      </c>
      <c r="F833" s="107" t="n">
        <f aca="false">IF($C833="","",$D833*$E833)</f>
        <v>37.503</v>
      </c>
      <c r="G833" s="107" t="n">
        <f aca="false">IF($C833="","",$D833*IFERROR(INDEX('تحليل التكلفة والسعر'!$C$2:$C$700,MATCH($C833,'تحليل التكلفة والسعر'!$B$2:$B$700,0)),0))</f>
        <v>13.87465155</v>
      </c>
      <c r="H833" s="104" t="s">
        <v>719</v>
      </c>
    </row>
    <row r="834" customFormat="false" ht="15" hidden="false" customHeight="false" outlineLevel="0" collapsed="false">
      <c r="A834" s="103" t="n">
        <v>46300</v>
      </c>
      <c r="B834" s="104" t="s">
        <v>33</v>
      </c>
      <c r="C834" s="104" t="s">
        <v>509</v>
      </c>
      <c r="D834" s="105" t="n">
        <v>0.4167</v>
      </c>
      <c r="E834" s="106" t="n">
        <v>90</v>
      </c>
      <c r="F834" s="107" t="n">
        <f aca="false">IF($C834="","",$D834*$E834)</f>
        <v>37.503</v>
      </c>
      <c r="G834" s="107" t="n">
        <f aca="false">IF($C834="","",$D834*IFERROR(INDEX('تحليل التكلفة والسعر'!$C$2:$C$700,MATCH($C834,'تحليل التكلفة والسعر'!$B$2:$B$700,0)),0))</f>
        <v>13.87465155</v>
      </c>
      <c r="H834" s="104" t="s">
        <v>719</v>
      </c>
    </row>
    <row r="835" customFormat="false" ht="15" hidden="false" customHeight="false" outlineLevel="0" collapsed="false">
      <c r="A835" s="103" t="n">
        <v>46301</v>
      </c>
      <c r="B835" s="104" t="s">
        <v>33</v>
      </c>
      <c r="C835" s="104" t="s">
        <v>509</v>
      </c>
      <c r="D835" s="105" t="n">
        <v>0.4167</v>
      </c>
      <c r="E835" s="106" t="n">
        <v>90</v>
      </c>
      <c r="F835" s="107" t="n">
        <f aca="false">IF($C835="","",$D835*$E835)</f>
        <v>37.503</v>
      </c>
      <c r="G835" s="107" t="n">
        <f aca="false">IF($C835="","",$D835*IFERROR(INDEX('تحليل التكلفة والسعر'!$C$2:$C$700,MATCH($C835,'تحليل التكلفة والسعر'!$B$2:$B$700,0)),0))</f>
        <v>13.87465155</v>
      </c>
      <c r="H835" s="104" t="s">
        <v>719</v>
      </c>
    </row>
    <row r="836" customFormat="false" ht="15" hidden="false" customHeight="false" outlineLevel="0" collapsed="false">
      <c r="A836" s="103" t="n">
        <v>46302</v>
      </c>
      <c r="B836" s="104" t="s">
        <v>33</v>
      </c>
      <c r="C836" s="104" t="s">
        <v>509</v>
      </c>
      <c r="D836" s="105" t="n">
        <v>0.4167</v>
      </c>
      <c r="E836" s="106" t="n">
        <v>90</v>
      </c>
      <c r="F836" s="107" t="n">
        <f aca="false">IF($C836="","",$D836*$E836)</f>
        <v>37.503</v>
      </c>
      <c r="G836" s="107" t="n">
        <f aca="false">IF($C836="","",$D836*IFERROR(INDEX('تحليل التكلفة والسعر'!$C$2:$C$700,MATCH($C836,'تحليل التكلفة والسعر'!$B$2:$B$700,0)),0))</f>
        <v>13.87465155</v>
      </c>
      <c r="H836" s="104" t="s">
        <v>719</v>
      </c>
    </row>
    <row r="837" customFormat="false" ht="15" hidden="false" customHeight="false" outlineLevel="0" collapsed="false">
      <c r="A837" s="103" t="n">
        <v>46303</v>
      </c>
      <c r="B837" s="104" t="s">
        <v>33</v>
      </c>
      <c r="C837" s="104" t="s">
        <v>509</v>
      </c>
      <c r="D837" s="105" t="n">
        <v>0.4167</v>
      </c>
      <c r="E837" s="106" t="n">
        <v>90</v>
      </c>
      <c r="F837" s="107" t="n">
        <f aca="false">IF($C837="","",$D837*$E837)</f>
        <v>37.503</v>
      </c>
      <c r="G837" s="107" t="n">
        <f aca="false">IF($C837="","",$D837*IFERROR(INDEX('تحليل التكلفة والسعر'!$C$2:$C$700,MATCH($C837,'تحليل التكلفة والسعر'!$B$2:$B$700,0)),0))</f>
        <v>13.87465155</v>
      </c>
      <c r="H837" s="104" t="s">
        <v>719</v>
      </c>
    </row>
    <row r="838" customFormat="false" ht="15" hidden="false" customHeight="false" outlineLevel="0" collapsed="false">
      <c r="A838" s="103" t="n">
        <v>46304</v>
      </c>
      <c r="B838" s="104" t="s">
        <v>33</v>
      </c>
      <c r="C838" s="104" t="s">
        <v>509</v>
      </c>
      <c r="D838" s="105" t="n">
        <v>0.4167</v>
      </c>
      <c r="E838" s="106" t="n">
        <v>90</v>
      </c>
      <c r="F838" s="107" t="n">
        <f aca="false">IF($C838="","",$D838*$E838)</f>
        <v>37.503</v>
      </c>
      <c r="G838" s="107" t="n">
        <f aca="false">IF($C838="","",$D838*IFERROR(INDEX('تحليل التكلفة والسعر'!$C$2:$C$700,MATCH($C838,'تحليل التكلفة والسعر'!$B$2:$B$700,0)),0))</f>
        <v>13.87465155</v>
      </c>
      <c r="H838" s="104" t="s">
        <v>719</v>
      </c>
    </row>
    <row r="839" customFormat="false" ht="15" hidden="false" customHeight="false" outlineLevel="0" collapsed="false">
      <c r="A839" s="103" t="n">
        <v>46305</v>
      </c>
      <c r="B839" s="104" t="s">
        <v>33</v>
      </c>
      <c r="C839" s="104" t="s">
        <v>509</v>
      </c>
      <c r="D839" s="105" t="n">
        <v>0.4167</v>
      </c>
      <c r="E839" s="106" t="n">
        <v>90</v>
      </c>
      <c r="F839" s="107" t="n">
        <f aca="false">IF($C839="","",$D839*$E839)</f>
        <v>37.503</v>
      </c>
      <c r="G839" s="107" t="n">
        <f aca="false">IF($C839="","",$D839*IFERROR(INDEX('تحليل التكلفة والسعر'!$C$2:$C$700,MATCH($C839,'تحليل التكلفة والسعر'!$B$2:$B$700,0)),0))</f>
        <v>13.87465155</v>
      </c>
      <c r="H839" s="104" t="s">
        <v>719</v>
      </c>
    </row>
    <row r="840" customFormat="false" ht="15" hidden="false" customHeight="false" outlineLevel="0" collapsed="false">
      <c r="A840" s="103" t="n">
        <v>46306</v>
      </c>
      <c r="B840" s="104" t="s">
        <v>33</v>
      </c>
      <c r="C840" s="104" t="s">
        <v>509</v>
      </c>
      <c r="D840" s="105" t="n">
        <v>0.4167</v>
      </c>
      <c r="E840" s="106" t="n">
        <v>90</v>
      </c>
      <c r="F840" s="107" t="n">
        <f aca="false">IF($C840="","",$D840*$E840)</f>
        <v>37.503</v>
      </c>
      <c r="G840" s="107" t="n">
        <f aca="false">IF($C840="","",$D840*IFERROR(INDEX('تحليل التكلفة والسعر'!$C$2:$C$700,MATCH($C840,'تحليل التكلفة والسعر'!$B$2:$B$700,0)),0))</f>
        <v>13.87465155</v>
      </c>
      <c r="H840" s="104" t="s">
        <v>719</v>
      </c>
    </row>
    <row r="841" customFormat="false" ht="15" hidden="false" customHeight="false" outlineLevel="0" collapsed="false">
      <c r="A841" s="103" t="n">
        <v>46307</v>
      </c>
      <c r="B841" s="104" t="s">
        <v>33</v>
      </c>
      <c r="C841" s="104" t="s">
        <v>509</v>
      </c>
      <c r="D841" s="105" t="n">
        <v>0.4167</v>
      </c>
      <c r="E841" s="106" t="n">
        <v>90</v>
      </c>
      <c r="F841" s="107" t="n">
        <f aca="false">IF($C841="","",$D841*$E841)</f>
        <v>37.503</v>
      </c>
      <c r="G841" s="107" t="n">
        <f aca="false">IF($C841="","",$D841*IFERROR(INDEX('تحليل التكلفة والسعر'!$C$2:$C$700,MATCH($C841,'تحليل التكلفة والسعر'!$B$2:$B$700,0)),0))</f>
        <v>13.87465155</v>
      </c>
      <c r="H841" s="104" t="s">
        <v>719</v>
      </c>
    </row>
    <row r="842" customFormat="false" ht="15" hidden="false" customHeight="false" outlineLevel="0" collapsed="false">
      <c r="A842" s="103" t="n">
        <v>46296</v>
      </c>
      <c r="B842" s="104" t="s">
        <v>33</v>
      </c>
      <c r="C842" s="104" t="s">
        <v>454</v>
      </c>
      <c r="D842" s="105" t="n">
        <v>3.9167</v>
      </c>
      <c r="E842" s="106" t="n">
        <v>207.0213</v>
      </c>
      <c r="F842" s="107" t="n">
        <f aca="false">IF($C842="","",$D842*$E842)</f>
        <v>810.84032571</v>
      </c>
      <c r="G842" s="107" t="n">
        <f aca="false">IF($C842="","",$D842*IFERROR(INDEX('تحليل التكلفة والسعر'!$C$2:$C$700,MATCH($C842,'تحليل التكلفة والسعر'!$B$2:$B$700,0)),0))</f>
        <v>407.85184605</v>
      </c>
      <c r="H842" s="104" t="s">
        <v>719</v>
      </c>
    </row>
    <row r="843" customFormat="false" ht="15" hidden="false" customHeight="false" outlineLevel="0" collapsed="false">
      <c r="A843" s="103" t="n">
        <v>46297</v>
      </c>
      <c r="B843" s="104" t="s">
        <v>33</v>
      </c>
      <c r="C843" s="104" t="s">
        <v>454</v>
      </c>
      <c r="D843" s="105" t="n">
        <v>3.9167</v>
      </c>
      <c r="E843" s="106" t="n">
        <v>207.0213</v>
      </c>
      <c r="F843" s="107" t="n">
        <f aca="false">IF($C843="","",$D843*$E843)</f>
        <v>810.84032571</v>
      </c>
      <c r="G843" s="107" t="n">
        <f aca="false">IF($C843="","",$D843*IFERROR(INDEX('تحليل التكلفة والسعر'!$C$2:$C$700,MATCH($C843,'تحليل التكلفة والسعر'!$B$2:$B$700,0)),0))</f>
        <v>407.85184605</v>
      </c>
      <c r="H843" s="104" t="s">
        <v>719</v>
      </c>
    </row>
    <row r="844" customFormat="false" ht="15" hidden="false" customHeight="false" outlineLevel="0" collapsed="false">
      <c r="A844" s="103" t="n">
        <v>46298</v>
      </c>
      <c r="B844" s="104" t="s">
        <v>33</v>
      </c>
      <c r="C844" s="104" t="s">
        <v>454</v>
      </c>
      <c r="D844" s="105" t="n">
        <v>3.9167</v>
      </c>
      <c r="E844" s="106" t="n">
        <v>207.0213</v>
      </c>
      <c r="F844" s="107" t="n">
        <f aca="false">IF($C844="","",$D844*$E844)</f>
        <v>810.84032571</v>
      </c>
      <c r="G844" s="107" t="n">
        <f aca="false">IF($C844="","",$D844*IFERROR(INDEX('تحليل التكلفة والسعر'!$C$2:$C$700,MATCH($C844,'تحليل التكلفة والسعر'!$B$2:$B$700,0)),0))</f>
        <v>407.85184605</v>
      </c>
      <c r="H844" s="104" t="s">
        <v>719</v>
      </c>
    </row>
    <row r="845" customFormat="false" ht="15" hidden="false" customHeight="false" outlineLevel="0" collapsed="false">
      <c r="A845" s="103" t="n">
        <v>46299</v>
      </c>
      <c r="B845" s="104" t="s">
        <v>33</v>
      </c>
      <c r="C845" s="104" t="s">
        <v>454</v>
      </c>
      <c r="D845" s="105" t="n">
        <v>3.9167</v>
      </c>
      <c r="E845" s="106" t="n">
        <v>207.0213</v>
      </c>
      <c r="F845" s="107" t="n">
        <f aca="false">IF($C845="","",$D845*$E845)</f>
        <v>810.84032571</v>
      </c>
      <c r="G845" s="107" t="n">
        <f aca="false">IF($C845="","",$D845*IFERROR(INDEX('تحليل التكلفة والسعر'!$C$2:$C$700,MATCH($C845,'تحليل التكلفة والسعر'!$B$2:$B$700,0)),0))</f>
        <v>407.85184605</v>
      </c>
      <c r="H845" s="104" t="s">
        <v>719</v>
      </c>
    </row>
    <row r="846" customFormat="false" ht="15" hidden="false" customHeight="false" outlineLevel="0" collapsed="false">
      <c r="A846" s="103" t="n">
        <v>46300</v>
      </c>
      <c r="B846" s="104" t="s">
        <v>33</v>
      </c>
      <c r="C846" s="104" t="s">
        <v>454</v>
      </c>
      <c r="D846" s="105" t="n">
        <v>3.9167</v>
      </c>
      <c r="E846" s="106" t="n">
        <v>207.0213</v>
      </c>
      <c r="F846" s="107" t="n">
        <f aca="false">IF($C846="","",$D846*$E846)</f>
        <v>810.84032571</v>
      </c>
      <c r="G846" s="107" t="n">
        <f aca="false">IF($C846="","",$D846*IFERROR(INDEX('تحليل التكلفة والسعر'!$C$2:$C$700,MATCH($C846,'تحليل التكلفة والسعر'!$B$2:$B$700,0)),0))</f>
        <v>407.85184605</v>
      </c>
      <c r="H846" s="104" t="s">
        <v>719</v>
      </c>
    </row>
    <row r="847" customFormat="false" ht="15" hidden="false" customHeight="false" outlineLevel="0" collapsed="false">
      <c r="A847" s="103" t="n">
        <v>46301</v>
      </c>
      <c r="B847" s="104" t="s">
        <v>33</v>
      </c>
      <c r="C847" s="104" t="s">
        <v>454</v>
      </c>
      <c r="D847" s="105" t="n">
        <v>3.9167</v>
      </c>
      <c r="E847" s="106" t="n">
        <v>207.0213</v>
      </c>
      <c r="F847" s="107" t="n">
        <f aca="false">IF($C847="","",$D847*$E847)</f>
        <v>810.84032571</v>
      </c>
      <c r="G847" s="107" t="n">
        <f aca="false">IF($C847="","",$D847*IFERROR(INDEX('تحليل التكلفة والسعر'!$C$2:$C$700,MATCH($C847,'تحليل التكلفة والسعر'!$B$2:$B$700,0)),0))</f>
        <v>407.85184605</v>
      </c>
      <c r="H847" s="104" t="s">
        <v>719</v>
      </c>
    </row>
    <row r="848" customFormat="false" ht="15" hidden="false" customHeight="false" outlineLevel="0" collapsed="false">
      <c r="A848" s="103" t="n">
        <v>46302</v>
      </c>
      <c r="B848" s="104" t="s">
        <v>33</v>
      </c>
      <c r="C848" s="104" t="s">
        <v>454</v>
      </c>
      <c r="D848" s="105" t="n">
        <v>3.9167</v>
      </c>
      <c r="E848" s="106" t="n">
        <v>207.0213</v>
      </c>
      <c r="F848" s="107" t="n">
        <f aca="false">IF($C848="","",$D848*$E848)</f>
        <v>810.84032571</v>
      </c>
      <c r="G848" s="107" t="n">
        <f aca="false">IF($C848="","",$D848*IFERROR(INDEX('تحليل التكلفة والسعر'!$C$2:$C$700,MATCH($C848,'تحليل التكلفة والسعر'!$B$2:$B$700,0)),0))</f>
        <v>407.85184605</v>
      </c>
      <c r="H848" s="104" t="s">
        <v>719</v>
      </c>
    </row>
    <row r="849" customFormat="false" ht="15" hidden="false" customHeight="false" outlineLevel="0" collapsed="false">
      <c r="A849" s="103" t="n">
        <v>46303</v>
      </c>
      <c r="B849" s="104" t="s">
        <v>33</v>
      </c>
      <c r="C849" s="104" t="s">
        <v>454</v>
      </c>
      <c r="D849" s="105" t="n">
        <v>3.9167</v>
      </c>
      <c r="E849" s="106" t="n">
        <v>207.0213</v>
      </c>
      <c r="F849" s="107" t="n">
        <f aca="false">IF($C849="","",$D849*$E849)</f>
        <v>810.84032571</v>
      </c>
      <c r="G849" s="107" t="n">
        <f aca="false">IF($C849="","",$D849*IFERROR(INDEX('تحليل التكلفة والسعر'!$C$2:$C$700,MATCH($C849,'تحليل التكلفة والسعر'!$B$2:$B$700,0)),0))</f>
        <v>407.85184605</v>
      </c>
      <c r="H849" s="104" t="s">
        <v>719</v>
      </c>
    </row>
    <row r="850" customFormat="false" ht="15" hidden="false" customHeight="false" outlineLevel="0" collapsed="false">
      <c r="A850" s="103" t="n">
        <v>46304</v>
      </c>
      <c r="B850" s="104" t="s">
        <v>33</v>
      </c>
      <c r="C850" s="104" t="s">
        <v>454</v>
      </c>
      <c r="D850" s="105" t="n">
        <v>3.9167</v>
      </c>
      <c r="E850" s="106" t="n">
        <v>207.0213</v>
      </c>
      <c r="F850" s="107" t="n">
        <f aca="false">IF($C850="","",$D850*$E850)</f>
        <v>810.84032571</v>
      </c>
      <c r="G850" s="107" t="n">
        <f aca="false">IF($C850="","",$D850*IFERROR(INDEX('تحليل التكلفة والسعر'!$C$2:$C$700,MATCH($C850,'تحليل التكلفة والسعر'!$B$2:$B$700,0)),0))</f>
        <v>407.85184605</v>
      </c>
      <c r="H850" s="104" t="s">
        <v>719</v>
      </c>
    </row>
    <row r="851" customFormat="false" ht="15" hidden="false" customHeight="false" outlineLevel="0" collapsed="false">
      <c r="A851" s="103" t="n">
        <v>46305</v>
      </c>
      <c r="B851" s="104" t="s">
        <v>33</v>
      </c>
      <c r="C851" s="104" t="s">
        <v>454</v>
      </c>
      <c r="D851" s="105" t="n">
        <v>3.9167</v>
      </c>
      <c r="E851" s="106" t="n">
        <v>207.0213</v>
      </c>
      <c r="F851" s="107" t="n">
        <f aca="false">IF($C851="","",$D851*$E851)</f>
        <v>810.84032571</v>
      </c>
      <c r="G851" s="107" t="n">
        <f aca="false">IF($C851="","",$D851*IFERROR(INDEX('تحليل التكلفة والسعر'!$C$2:$C$700,MATCH($C851,'تحليل التكلفة والسعر'!$B$2:$B$700,0)),0))</f>
        <v>407.85184605</v>
      </c>
      <c r="H851" s="104" t="s">
        <v>719</v>
      </c>
    </row>
    <row r="852" customFormat="false" ht="15" hidden="false" customHeight="false" outlineLevel="0" collapsed="false">
      <c r="A852" s="103" t="n">
        <v>46306</v>
      </c>
      <c r="B852" s="104" t="s">
        <v>33</v>
      </c>
      <c r="C852" s="104" t="s">
        <v>454</v>
      </c>
      <c r="D852" s="105" t="n">
        <v>3.9167</v>
      </c>
      <c r="E852" s="106" t="n">
        <v>207.0213</v>
      </c>
      <c r="F852" s="107" t="n">
        <f aca="false">IF($C852="","",$D852*$E852)</f>
        <v>810.84032571</v>
      </c>
      <c r="G852" s="107" t="n">
        <f aca="false">IF($C852="","",$D852*IFERROR(INDEX('تحليل التكلفة والسعر'!$C$2:$C$700,MATCH($C852,'تحليل التكلفة والسعر'!$B$2:$B$700,0)),0))</f>
        <v>407.85184605</v>
      </c>
      <c r="H852" s="104" t="s">
        <v>719</v>
      </c>
    </row>
    <row r="853" customFormat="false" ht="15" hidden="false" customHeight="false" outlineLevel="0" collapsed="false">
      <c r="A853" s="103" t="n">
        <v>46307</v>
      </c>
      <c r="B853" s="104" t="s">
        <v>33</v>
      </c>
      <c r="C853" s="104" t="s">
        <v>454</v>
      </c>
      <c r="D853" s="105" t="n">
        <v>3.9167</v>
      </c>
      <c r="E853" s="106" t="n">
        <v>207.0213</v>
      </c>
      <c r="F853" s="107" t="n">
        <f aca="false">IF($C853="","",$D853*$E853)</f>
        <v>810.84032571</v>
      </c>
      <c r="G853" s="107" t="n">
        <f aca="false">IF($C853="","",$D853*IFERROR(INDEX('تحليل التكلفة والسعر'!$C$2:$C$700,MATCH($C853,'تحليل التكلفة والسعر'!$B$2:$B$700,0)),0))</f>
        <v>407.85184605</v>
      </c>
      <c r="H853" s="104" t="s">
        <v>719</v>
      </c>
    </row>
    <row r="854" customFormat="false" ht="15" hidden="false" customHeight="false" outlineLevel="0" collapsed="false">
      <c r="A854" s="103" t="n">
        <v>46296</v>
      </c>
      <c r="B854" s="104" t="s">
        <v>33</v>
      </c>
      <c r="C854" s="104" t="s">
        <v>523</v>
      </c>
      <c r="D854" s="105" t="n">
        <v>31.4167</v>
      </c>
      <c r="E854" s="106" t="n">
        <v>54.6021</v>
      </c>
      <c r="F854" s="107" t="n">
        <f aca="false">IF($C854="","",$D854*$E854)</f>
        <v>1715.41779507</v>
      </c>
      <c r="G854" s="107" t="n">
        <f aca="false">IF($C854="","",$D854*IFERROR(INDEX('تحليل التكلفة والسعر'!$C$2:$C$700,MATCH($C854,'تحليل التكلفة والسعر'!$B$2:$B$700,0)),0))</f>
        <v>2396.98425155</v>
      </c>
      <c r="H854" s="104" t="s">
        <v>719</v>
      </c>
    </row>
    <row r="855" customFormat="false" ht="15" hidden="false" customHeight="false" outlineLevel="0" collapsed="false">
      <c r="A855" s="103" t="n">
        <v>46297</v>
      </c>
      <c r="B855" s="104" t="s">
        <v>33</v>
      </c>
      <c r="C855" s="104" t="s">
        <v>523</v>
      </c>
      <c r="D855" s="105" t="n">
        <v>31.4167</v>
      </c>
      <c r="E855" s="106" t="n">
        <v>54.6021</v>
      </c>
      <c r="F855" s="107" t="n">
        <f aca="false">IF($C855="","",$D855*$E855)</f>
        <v>1715.41779507</v>
      </c>
      <c r="G855" s="107" t="n">
        <f aca="false">IF($C855="","",$D855*IFERROR(INDEX('تحليل التكلفة والسعر'!$C$2:$C$700,MATCH($C855,'تحليل التكلفة والسعر'!$B$2:$B$700,0)),0))</f>
        <v>2396.98425155</v>
      </c>
      <c r="H855" s="104" t="s">
        <v>719</v>
      </c>
    </row>
    <row r="856" customFormat="false" ht="15" hidden="false" customHeight="false" outlineLevel="0" collapsed="false">
      <c r="A856" s="103" t="n">
        <v>46298</v>
      </c>
      <c r="B856" s="104" t="s">
        <v>33</v>
      </c>
      <c r="C856" s="104" t="s">
        <v>523</v>
      </c>
      <c r="D856" s="105" t="n">
        <v>31.4167</v>
      </c>
      <c r="E856" s="106" t="n">
        <v>54.6021</v>
      </c>
      <c r="F856" s="107" t="n">
        <f aca="false">IF($C856="","",$D856*$E856)</f>
        <v>1715.41779507</v>
      </c>
      <c r="G856" s="107" t="n">
        <f aca="false">IF($C856="","",$D856*IFERROR(INDEX('تحليل التكلفة والسعر'!$C$2:$C$700,MATCH($C856,'تحليل التكلفة والسعر'!$B$2:$B$700,0)),0))</f>
        <v>2396.98425155</v>
      </c>
      <c r="H856" s="104" t="s">
        <v>719</v>
      </c>
    </row>
    <row r="857" customFormat="false" ht="15" hidden="false" customHeight="false" outlineLevel="0" collapsed="false">
      <c r="A857" s="103" t="n">
        <v>46299</v>
      </c>
      <c r="B857" s="104" t="s">
        <v>33</v>
      </c>
      <c r="C857" s="104" t="s">
        <v>523</v>
      </c>
      <c r="D857" s="105" t="n">
        <v>31.4167</v>
      </c>
      <c r="E857" s="106" t="n">
        <v>54.6021</v>
      </c>
      <c r="F857" s="107" t="n">
        <f aca="false">IF($C857="","",$D857*$E857)</f>
        <v>1715.41779507</v>
      </c>
      <c r="G857" s="107" t="n">
        <f aca="false">IF($C857="","",$D857*IFERROR(INDEX('تحليل التكلفة والسعر'!$C$2:$C$700,MATCH($C857,'تحليل التكلفة والسعر'!$B$2:$B$700,0)),0))</f>
        <v>2396.98425155</v>
      </c>
      <c r="H857" s="104" t="s">
        <v>719</v>
      </c>
    </row>
    <row r="858" customFormat="false" ht="15" hidden="false" customHeight="false" outlineLevel="0" collapsed="false">
      <c r="A858" s="103" t="n">
        <v>46300</v>
      </c>
      <c r="B858" s="104" t="s">
        <v>33</v>
      </c>
      <c r="C858" s="104" t="s">
        <v>523</v>
      </c>
      <c r="D858" s="105" t="n">
        <v>31.4167</v>
      </c>
      <c r="E858" s="106" t="n">
        <v>54.6021</v>
      </c>
      <c r="F858" s="107" t="n">
        <f aca="false">IF($C858="","",$D858*$E858)</f>
        <v>1715.41779507</v>
      </c>
      <c r="G858" s="107" t="n">
        <f aca="false">IF($C858="","",$D858*IFERROR(INDEX('تحليل التكلفة والسعر'!$C$2:$C$700,MATCH($C858,'تحليل التكلفة والسعر'!$B$2:$B$700,0)),0))</f>
        <v>2396.98425155</v>
      </c>
      <c r="H858" s="104" t="s">
        <v>719</v>
      </c>
    </row>
    <row r="859" customFormat="false" ht="15" hidden="false" customHeight="false" outlineLevel="0" collapsed="false">
      <c r="A859" s="103" t="n">
        <v>46301</v>
      </c>
      <c r="B859" s="104" t="s">
        <v>33</v>
      </c>
      <c r="C859" s="104" t="s">
        <v>523</v>
      </c>
      <c r="D859" s="105" t="n">
        <v>31.4167</v>
      </c>
      <c r="E859" s="106" t="n">
        <v>54.6021</v>
      </c>
      <c r="F859" s="107" t="n">
        <f aca="false">IF($C859="","",$D859*$E859)</f>
        <v>1715.41779507</v>
      </c>
      <c r="G859" s="107" t="n">
        <f aca="false">IF($C859="","",$D859*IFERROR(INDEX('تحليل التكلفة والسعر'!$C$2:$C$700,MATCH($C859,'تحليل التكلفة والسعر'!$B$2:$B$700,0)),0))</f>
        <v>2396.98425155</v>
      </c>
      <c r="H859" s="104" t="s">
        <v>719</v>
      </c>
    </row>
    <row r="860" customFormat="false" ht="15" hidden="false" customHeight="false" outlineLevel="0" collapsed="false">
      <c r="A860" s="103" t="n">
        <v>46302</v>
      </c>
      <c r="B860" s="104" t="s">
        <v>33</v>
      </c>
      <c r="C860" s="104" t="s">
        <v>523</v>
      </c>
      <c r="D860" s="105" t="n">
        <v>31.4167</v>
      </c>
      <c r="E860" s="106" t="n">
        <v>54.6021</v>
      </c>
      <c r="F860" s="107" t="n">
        <f aca="false">IF($C860="","",$D860*$E860)</f>
        <v>1715.41779507</v>
      </c>
      <c r="G860" s="107" t="n">
        <f aca="false">IF($C860="","",$D860*IFERROR(INDEX('تحليل التكلفة والسعر'!$C$2:$C$700,MATCH($C860,'تحليل التكلفة والسعر'!$B$2:$B$700,0)),0))</f>
        <v>2396.98425155</v>
      </c>
      <c r="H860" s="104" t="s">
        <v>719</v>
      </c>
    </row>
    <row r="861" customFormat="false" ht="15" hidden="false" customHeight="false" outlineLevel="0" collapsed="false">
      <c r="A861" s="103" t="n">
        <v>46303</v>
      </c>
      <c r="B861" s="104" t="s">
        <v>33</v>
      </c>
      <c r="C861" s="104" t="s">
        <v>523</v>
      </c>
      <c r="D861" s="105" t="n">
        <v>31.4167</v>
      </c>
      <c r="E861" s="106" t="n">
        <v>54.6021</v>
      </c>
      <c r="F861" s="107" t="n">
        <f aca="false">IF($C861="","",$D861*$E861)</f>
        <v>1715.41779507</v>
      </c>
      <c r="G861" s="107" t="n">
        <f aca="false">IF($C861="","",$D861*IFERROR(INDEX('تحليل التكلفة والسعر'!$C$2:$C$700,MATCH($C861,'تحليل التكلفة والسعر'!$B$2:$B$700,0)),0))</f>
        <v>2396.98425155</v>
      </c>
      <c r="H861" s="104" t="s">
        <v>719</v>
      </c>
    </row>
    <row r="862" customFormat="false" ht="15" hidden="false" customHeight="false" outlineLevel="0" collapsed="false">
      <c r="A862" s="103" t="n">
        <v>46304</v>
      </c>
      <c r="B862" s="104" t="s">
        <v>33</v>
      </c>
      <c r="C862" s="104" t="s">
        <v>523</v>
      </c>
      <c r="D862" s="105" t="n">
        <v>31.4167</v>
      </c>
      <c r="E862" s="106" t="n">
        <v>54.6021</v>
      </c>
      <c r="F862" s="107" t="n">
        <f aca="false">IF($C862="","",$D862*$E862)</f>
        <v>1715.41779507</v>
      </c>
      <c r="G862" s="107" t="n">
        <f aca="false">IF($C862="","",$D862*IFERROR(INDEX('تحليل التكلفة والسعر'!$C$2:$C$700,MATCH($C862,'تحليل التكلفة والسعر'!$B$2:$B$700,0)),0))</f>
        <v>2396.98425155</v>
      </c>
      <c r="H862" s="104" t="s">
        <v>719</v>
      </c>
    </row>
    <row r="863" customFormat="false" ht="15" hidden="false" customHeight="false" outlineLevel="0" collapsed="false">
      <c r="A863" s="103" t="n">
        <v>46305</v>
      </c>
      <c r="B863" s="104" t="s">
        <v>33</v>
      </c>
      <c r="C863" s="104" t="s">
        <v>523</v>
      </c>
      <c r="D863" s="105" t="n">
        <v>31.4167</v>
      </c>
      <c r="E863" s="106" t="n">
        <v>54.6021</v>
      </c>
      <c r="F863" s="107" t="n">
        <f aca="false">IF($C863="","",$D863*$E863)</f>
        <v>1715.41779507</v>
      </c>
      <c r="G863" s="107" t="n">
        <f aca="false">IF($C863="","",$D863*IFERROR(INDEX('تحليل التكلفة والسعر'!$C$2:$C$700,MATCH($C863,'تحليل التكلفة والسعر'!$B$2:$B$700,0)),0))</f>
        <v>2396.98425155</v>
      </c>
      <c r="H863" s="104" t="s">
        <v>719</v>
      </c>
    </row>
    <row r="864" customFormat="false" ht="15" hidden="false" customHeight="false" outlineLevel="0" collapsed="false">
      <c r="A864" s="103" t="n">
        <v>46306</v>
      </c>
      <c r="B864" s="104" t="s">
        <v>33</v>
      </c>
      <c r="C864" s="104" t="s">
        <v>523</v>
      </c>
      <c r="D864" s="105" t="n">
        <v>31.4167</v>
      </c>
      <c r="E864" s="106" t="n">
        <v>54.6021</v>
      </c>
      <c r="F864" s="107" t="n">
        <f aca="false">IF($C864="","",$D864*$E864)</f>
        <v>1715.41779507</v>
      </c>
      <c r="G864" s="107" t="n">
        <f aca="false">IF($C864="","",$D864*IFERROR(INDEX('تحليل التكلفة والسعر'!$C$2:$C$700,MATCH($C864,'تحليل التكلفة والسعر'!$B$2:$B$700,0)),0))</f>
        <v>2396.98425155</v>
      </c>
      <c r="H864" s="104" t="s">
        <v>719</v>
      </c>
    </row>
    <row r="865" customFormat="false" ht="15" hidden="false" customHeight="false" outlineLevel="0" collapsed="false">
      <c r="A865" s="103" t="n">
        <v>46307</v>
      </c>
      <c r="B865" s="104" t="s">
        <v>33</v>
      </c>
      <c r="C865" s="104" t="s">
        <v>523</v>
      </c>
      <c r="D865" s="105" t="n">
        <v>31.4167</v>
      </c>
      <c r="E865" s="106" t="n">
        <v>54.6021</v>
      </c>
      <c r="F865" s="107" t="n">
        <f aca="false">IF($C865="","",$D865*$E865)</f>
        <v>1715.41779507</v>
      </c>
      <c r="G865" s="107" t="n">
        <f aca="false">IF($C865="","",$D865*IFERROR(INDEX('تحليل التكلفة والسعر'!$C$2:$C$700,MATCH($C865,'تحليل التكلفة والسعر'!$B$2:$B$700,0)),0))</f>
        <v>2396.98425155</v>
      </c>
      <c r="H865" s="104" t="s">
        <v>719</v>
      </c>
    </row>
    <row r="866" customFormat="false" ht="15" hidden="false" customHeight="false" outlineLevel="0" collapsed="false">
      <c r="A866" s="103" t="n">
        <v>46296</v>
      </c>
      <c r="B866" s="104" t="s">
        <v>33</v>
      </c>
      <c r="C866" s="104" t="s">
        <v>750</v>
      </c>
      <c r="D866" s="105" t="n">
        <v>45</v>
      </c>
      <c r="E866" s="106" t="n">
        <v>22.6852</v>
      </c>
      <c r="F866" s="107" t="n">
        <f aca="false">IF($C866="","",$D866*$E866)</f>
        <v>1020.834</v>
      </c>
      <c r="G866" s="107" t="n">
        <f aca="false">IF($C866="","",$D866*IFERROR(INDEX('تحليل التكلفة والسعر'!$C$2:$C$700,MATCH($C866,'تحليل التكلفة والسعر'!$B$2:$B$700,0)),0))</f>
        <v>870.88374</v>
      </c>
      <c r="H866" s="104" t="s">
        <v>719</v>
      </c>
    </row>
    <row r="867" customFormat="false" ht="15" hidden="false" customHeight="false" outlineLevel="0" collapsed="false">
      <c r="A867" s="103" t="n">
        <v>46297</v>
      </c>
      <c r="B867" s="104" t="s">
        <v>33</v>
      </c>
      <c r="C867" s="104" t="s">
        <v>750</v>
      </c>
      <c r="D867" s="105" t="n">
        <v>45</v>
      </c>
      <c r="E867" s="106" t="n">
        <v>22.6852</v>
      </c>
      <c r="F867" s="107" t="n">
        <f aca="false">IF($C867="","",$D867*$E867)</f>
        <v>1020.834</v>
      </c>
      <c r="G867" s="107" t="n">
        <f aca="false">IF($C867="","",$D867*IFERROR(INDEX('تحليل التكلفة والسعر'!$C$2:$C$700,MATCH($C867,'تحليل التكلفة والسعر'!$B$2:$B$700,0)),0))</f>
        <v>870.88374</v>
      </c>
      <c r="H867" s="104" t="s">
        <v>719</v>
      </c>
    </row>
    <row r="868" customFormat="false" ht="15" hidden="false" customHeight="false" outlineLevel="0" collapsed="false">
      <c r="A868" s="103" t="n">
        <v>46298</v>
      </c>
      <c r="B868" s="104" t="s">
        <v>33</v>
      </c>
      <c r="C868" s="104" t="s">
        <v>750</v>
      </c>
      <c r="D868" s="105" t="n">
        <v>45</v>
      </c>
      <c r="E868" s="106" t="n">
        <v>22.6852</v>
      </c>
      <c r="F868" s="107" t="n">
        <f aca="false">IF($C868="","",$D868*$E868)</f>
        <v>1020.834</v>
      </c>
      <c r="G868" s="107" t="n">
        <f aca="false">IF($C868="","",$D868*IFERROR(INDEX('تحليل التكلفة والسعر'!$C$2:$C$700,MATCH($C868,'تحليل التكلفة والسعر'!$B$2:$B$700,0)),0))</f>
        <v>870.88374</v>
      </c>
      <c r="H868" s="104" t="s">
        <v>719</v>
      </c>
    </row>
    <row r="869" customFormat="false" ht="15" hidden="false" customHeight="false" outlineLevel="0" collapsed="false">
      <c r="A869" s="103" t="n">
        <v>46299</v>
      </c>
      <c r="B869" s="104" t="s">
        <v>33</v>
      </c>
      <c r="C869" s="104" t="s">
        <v>750</v>
      </c>
      <c r="D869" s="105" t="n">
        <v>45</v>
      </c>
      <c r="E869" s="106" t="n">
        <v>22.6852</v>
      </c>
      <c r="F869" s="107" t="n">
        <f aca="false">IF($C869="","",$D869*$E869)</f>
        <v>1020.834</v>
      </c>
      <c r="G869" s="107" t="n">
        <f aca="false">IF($C869="","",$D869*IFERROR(INDEX('تحليل التكلفة والسعر'!$C$2:$C$700,MATCH($C869,'تحليل التكلفة والسعر'!$B$2:$B$700,0)),0))</f>
        <v>870.88374</v>
      </c>
      <c r="H869" s="104" t="s">
        <v>719</v>
      </c>
    </row>
    <row r="870" customFormat="false" ht="15" hidden="false" customHeight="false" outlineLevel="0" collapsed="false">
      <c r="A870" s="103" t="n">
        <v>46300</v>
      </c>
      <c r="B870" s="104" t="s">
        <v>33</v>
      </c>
      <c r="C870" s="104" t="s">
        <v>750</v>
      </c>
      <c r="D870" s="105" t="n">
        <v>45</v>
      </c>
      <c r="E870" s="106" t="n">
        <v>22.6852</v>
      </c>
      <c r="F870" s="107" t="n">
        <f aca="false">IF($C870="","",$D870*$E870)</f>
        <v>1020.834</v>
      </c>
      <c r="G870" s="107" t="n">
        <f aca="false">IF($C870="","",$D870*IFERROR(INDEX('تحليل التكلفة والسعر'!$C$2:$C$700,MATCH($C870,'تحليل التكلفة والسعر'!$B$2:$B$700,0)),0))</f>
        <v>870.88374</v>
      </c>
      <c r="H870" s="104" t="s">
        <v>719</v>
      </c>
    </row>
    <row r="871" customFormat="false" ht="15" hidden="false" customHeight="false" outlineLevel="0" collapsed="false">
      <c r="A871" s="103" t="n">
        <v>46301</v>
      </c>
      <c r="B871" s="104" t="s">
        <v>33</v>
      </c>
      <c r="C871" s="104" t="s">
        <v>750</v>
      </c>
      <c r="D871" s="105" t="n">
        <v>45</v>
      </c>
      <c r="E871" s="106" t="n">
        <v>22.6852</v>
      </c>
      <c r="F871" s="107" t="n">
        <f aca="false">IF($C871="","",$D871*$E871)</f>
        <v>1020.834</v>
      </c>
      <c r="G871" s="107" t="n">
        <f aca="false">IF($C871="","",$D871*IFERROR(INDEX('تحليل التكلفة والسعر'!$C$2:$C$700,MATCH($C871,'تحليل التكلفة والسعر'!$B$2:$B$700,0)),0))</f>
        <v>870.88374</v>
      </c>
      <c r="H871" s="104" t="s">
        <v>719</v>
      </c>
    </row>
    <row r="872" customFormat="false" ht="15" hidden="false" customHeight="false" outlineLevel="0" collapsed="false">
      <c r="A872" s="103" t="n">
        <v>46302</v>
      </c>
      <c r="B872" s="104" t="s">
        <v>33</v>
      </c>
      <c r="C872" s="104" t="s">
        <v>750</v>
      </c>
      <c r="D872" s="105" t="n">
        <v>45</v>
      </c>
      <c r="E872" s="106" t="n">
        <v>22.6852</v>
      </c>
      <c r="F872" s="107" t="n">
        <f aca="false">IF($C872="","",$D872*$E872)</f>
        <v>1020.834</v>
      </c>
      <c r="G872" s="107" t="n">
        <f aca="false">IF($C872="","",$D872*IFERROR(INDEX('تحليل التكلفة والسعر'!$C$2:$C$700,MATCH($C872,'تحليل التكلفة والسعر'!$B$2:$B$700,0)),0))</f>
        <v>870.88374</v>
      </c>
      <c r="H872" s="104" t="s">
        <v>719</v>
      </c>
    </row>
    <row r="873" customFormat="false" ht="15" hidden="false" customHeight="false" outlineLevel="0" collapsed="false">
      <c r="A873" s="103" t="n">
        <v>46303</v>
      </c>
      <c r="B873" s="104" t="s">
        <v>33</v>
      </c>
      <c r="C873" s="104" t="s">
        <v>750</v>
      </c>
      <c r="D873" s="105" t="n">
        <v>45</v>
      </c>
      <c r="E873" s="106" t="n">
        <v>22.6852</v>
      </c>
      <c r="F873" s="107" t="n">
        <f aca="false">IF($C873="","",$D873*$E873)</f>
        <v>1020.834</v>
      </c>
      <c r="G873" s="107" t="n">
        <f aca="false">IF($C873="","",$D873*IFERROR(INDEX('تحليل التكلفة والسعر'!$C$2:$C$700,MATCH($C873,'تحليل التكلفة والسعر'!$B$2:$B$700,0)),0))</f>
        <v>870.88374</v>
      </c>
      <c r="H873" s="104" t="s">
        <v>719</v>
      </c>
    </row>
    <row r="874" customFormat="false" ht="15" hidden="false" customHeight="false" outlineLevel="0" collapsed="false">
      <c r="A874" s="103" t="n">
        <v>46304</v>
      </c>
      <c r="B874" s="104" t="s">
        <v>33</v>
      </c>
      <c r="C874" s="104" t="s">
        <v>750</v>
      </c>
      <c r="D874" s="105" t="n">
        <v>45</v>
      </c>
      <c r="E874" s="106" t="n">
        <v>22.6852</v>
      </c>
      <c r="F874" s="107" t="n">
        <f aca="false">IF($C874="","",$D874*$E874)</f>
        <v>1020.834</v>
      </c>
      <c r="G874" s="107" t="n">
        <f aca="false">IF($C874="","",$D874*IFERROR(INDEX('تحليل التكلفة والسعر'!$C$2:$C$700,MATCH($C874,'تحليل التكلفة والسعر'!$B$2:$B$700,0)),0))</f>
        <v>870.88374</v>
      </c>
      <c r="H874" s="104" t="s">
        <v>719</v>
      </c>
    </row>
    <row r="875" customFormat="false" ht="15" hidden="false" customHeight="false" outlineLevel="0" collapsed="false">
      <c r="A875" s="103" t="n">
        <v>46305</v>
      </c>
      <c r="B875" s="104" t="s">
        <v>33</v>
      </c>
      <c r="C875" s="104" t="s">
        <v>750</v>
      </c>
      <c r="D875" s="105" t="n">
        <v>45</v>
      </c>
      <c r="E875" s="106" t="n">
        <v>22.6852</v>
      </c>
      <c r="F875" s="107" t="n">
        <f aca="false">IF($C875="","",$D875*$E875)</f>
        <v>1020.834</v>
      </c>
      <c r="G875" s="107" t="n">
        <f aca="false">IF($C875="","",$D875*IFERROR(INDEX('تحليل التكلفة والسعر'!$C$2:$C$700,MATCH($C875,'تحليل التكلفة والسعر'!$B$2:$B$700,0)),0))</f>
        <v>870.88374</v>
      </c>
      <c r="H875" s="104" t="s">
        <v>719</v>
      </c>
    </row>
    <row r="876" customFormat="false" ht="15" hidden="false" customHeight="false" outlineLevel="0" collapsed="false">
      <c r="A876" s="103" t="n">
        <v>46306</v>
      </c>
      <c r="B876" s="104" t="s">
        <v>33</v>
      </c>
      <c r="C876" s="104" t="s">
        <v>750</v>
      </c>
      <c r="D876" s="105" t="n">
        <v>45</v>
      </c>
      <c r="E876" s="106" t="n">
        <v>22.6852</v>
      </c>
      <c r="F876" s="107" t="n">
        <f aca="false">IF($C876="","",$D876*$E876)</f>
        <v>1020.834</v>
      </c>
      <c r="G876" s="107" t="n">
        <f aca="false">IF($C876="","",$D876*IFERROR(INDEX('تحليل التكلفة والسعر'!$C$2:$C$700,MATCH($C876,'تحليل التكلفة والسعر'!$B$2:$B$700,0)),0))</f>
        <v>870.88374</v>
      </c>
      <c r="H876" s="104" t="s">
        <v>719</v>
      </c>
    </row>
    <row r="877" customFormat="false" ht="15" hidden="false" customHeight="false" outlineLevel="0" collapsed="false">
      <c r="A877" s="103" t="n">
        <v>46307</v>
      </c>
      <c r="B877" s="104" t="s">
        <v>33</v>
      </c>
      <c r="C877" s="104" t="s">
        <v>750</v>
      </c>
      <c r="D877" s="105" t="n">
        <v>45</v>
      </c>
      <c r="E877" s="106" t="n">
        <v>22.6852</v>
      </c>
      <c r="F877" s="107" t="n">
        <f aca="false">IF($C877="","",$D877*$E877)</f>
        <v>1020.834</v>
      </c>
      <c r="G877" s="107" t="n">
        <f aca="false">IF($C877="","",$D877*IFERROR(INDEX('تحليل التكلفة والسعر'!$C$2:$C$700,MATCH($C877,'تحليل التكلفة والسعر'!$B$2:$B$700,0)),0))</f>
        <v>870.88374</v>
      </c>
      <c r="H877" s="104" t="s">
        <v>719</v>
      </c>
    </row>
    <row r="878" customFormat="false" ht="15" hidden="false" customHeight="false" outlineLevel="0" collapsed="false">
      <c r="A878" s="103" t="n">
        <v>46296</v>
      </c>
      <c r="B878" s="104" t="s">
        <v>33</v>
      </c>
      <c r="C878" s="104" t="s">
        <v>401</v>
      </c>
      <c r="D878" s="105" t="n">
        <v>8.1667</v>
      </c>
      <c r="E878" s="106" t="n">
        <v>19.5918</v>
      </c>
      <c r="F878" s="107" t="n">
        <f aca="false">IF($C878="","",$D878*$E878)</f>
        <v>160.00035306</v>
      </c>
      <c r="G878" s="107" t="n">
        <f aca="false">IF($C878="","",$D878*IFERROR(INDEX('تحليل التكلفة والسعر'!$C$2:$C$700,MATCH($C878,'تحليل التكلفة والسعر'!$B$2:$B$700,0)),0))</f>
        <v>356.1523513438</v>
      </c>
      <c r="H878" s="104" t="s">
        <v>719</v>
      </c>
    </row>
    <row r="879" customFormat="false" ht="15" hidden="false" customHeight="false" outlineLevel="0" collapsed="false">
      <c r="A879" s="103" t="n">
        <v>46297</v>
      </c>
      <c r="B879" s="104" t="s">
        <v>33</v>
      </c>
      <c r="C879" s="104" t="s">
        <v>401</v>
      </c>
      <c r="D879" s="105" t="n">
        <v>8.1667</v>
      </c>
      <c r="E879" s="106" t="n">
        <v>19.5918</v>
      </c>
      <c r="F879" s="107" t="n">
        <f aca="false">IF($C879="","",$D879*$E879)</f>
        <v>160.00035306</v>
      </c>
      <c r="G879" s="107" t="n">
        <f aca="false">IF($C879="","",$D879*IFERROR(INDEX('تحليل التكلفة والسعر'!$C$2:$C$700,MATCH($C879,'تحليل التكلفة والسعر'!$B$2:$B$700,0)),0))</f>
        <v>356.1523513438</v>
      </c>
      <c r="H879" s="104" t="s">
        <v>719</v>
      </c>
    </row>
    <row r="880" customFormat="false" ht="15" hidden="false" customHeight="false" outlineLevel="0" collapsed="false">
      <c r="A880" s="103" t="n">
        <v>46298</v>
      </c>
      <c r="B880" s="104" t="s">
        <v>33</v>
      </c>
      <c r="C880" s="104" t="s">
        <v>401</v>
      </c>
      <c r="D880" s="105" t="n">
        <v>8.1667</v>
      </c>
      <c r="E880" s="106" t="n">
        <v>19.5918</v>
      </c>
      <c r="F880" s="107" t="n">
        <f aca="false">IF($C880="","",$D880*$E880)</f>
        <v>160.00035306</v>
      </c>
      <c r="G880" s="107" t="n">
        <f aca="false">IF($C880="","",$D880*IFERROR(INDEX('تحليل التكلفة والسعر'!$C$2:$C$700,MATCH($C880,'تحليل التكلفة والسعر'!$B$2:$B$700,0)),0))</f>
        <v>356.1523513438</v>
      </c>
      <c r="H880" s="104" t="s">
        <v>719</v>
      </c>
    </row>
    <row r="881" customFormat="false" ht="15" hidden="false" customHeight="false" outlineLevel="0" collapsed="false">
      <c r="A881" s="103" t="n">
        <v>46299</v>
      </c>
      <c r="B881" s="104" t="s">
        <v>33</v>
      </c>
      <c r="C881" s="104" t="s">
        <v>401</v>
      </c>
      <c r="D881" s="105" t="n">
        <v>8.1667</v>
      </c>
      <c r="E881" s="106" t="n">
        <v>19.5918</v>
      </c>
      <c r="F881" s="107" t="n">
        <f aca="false">IF($C881="","",$D881*$E881)</f>
        <v>160.00035306</v>
      </c>
      <c r="G881" s="107" t="n">
        <f aca="false">IF($C881="","",$D881*IFERROR(INDEX('تحليل التكلفة والسعر'!$C$2:$C$700,MATCH($C881,'تحليل التكلفة والسعر'!$B$2:$B$700,0)),0))</f>
        <v>356.1523513438</v>
      </c>
      <c r="H881" s="104" t="s">
        <v>719</v>
      </c>
    </row>
    <row r="882" customFormat="false" ht="15" hidden="false" customHeight="false" outlineLevel="0" collapsed="false">
      <c r="A882" s="103" t="n">
        <v>46300</v>
      </c>
      <c r="B882" s="104" t="s">
        <v>33</v>
      </c>
      <c r="C882" s="104" t="s">
        <v>401</v>
      </c>
      <c r="D882" s="105" t="n">
        <v>8.1667</v>
      </c>
      <c r="E882" s="106" t="n">
        <v>19.5918</v>
      </c>
      <c r="F882" s="107" t="n">
        <f aca="false">IF($C882="","",$D882*$E882)</f>
        <v>160.00035306</v>
      </c>
      <c r="G882" s="107" t="n">
        <f aca="false">IF($C882="","",$D882*IFERROR(INDEX('تحليل التكلفة والسعر'!$C$2:$C$700,MATCH($C882,'تحليل التكلفة والسعر'!$B$2:$B$700,0)),0))</f>
        <v>356.1523513438</v>
      </c>
      <c r="H882" s="104" t="s">
        <v>719</v>
      </c>
    </row>
    <row r="883" customFormat="false" ht="15" hidden="false" customHeight="false" outlineLevel="0" collapsed="false">
      <c r="A883" s="103" t="n">
        <v>46301</v>
      </c>
      <c r="B883" s="104" t="s">
        <v>33</v>
      </c>
      <c r="C883" s="104" t="s">
        <v>401</v>
      </c>
      <c r="D883" s="105" t="n">
        <v>8.1667</v>
      </c>
      <c r="E883" s="106" t="n">
        <v>19.5918</v>
      </c>
      <c r="F883" s="107" t="n">
        <f aca="false">IF($C883="","",$D883*$E883)</f>
        <v>160.00035306</v>
      </c>
      <c r="G883" s="107" t="n">
        <f aca="false">IF($C883="","",$D883*IFERROR(INDEX('تحليل التكلفة والسعر'!$C$2:$C$700,MATCH($C883,'تحليل التكلفة والسعر'!$B$2:$B$700,0)),0))</f>
        <v>356.1523513438</v>
      </c>
      <c r="H883" s="104" t="s">
        <v>719</v>
      </c>
    </row>
    <row r="884" customFormat="false" ht="15" hidden="false" customHeight="false" outlineLevel="0" collapsed="false">
      <c r="A884" s="103" t="n">
        <v>46302</v>
      </c>
      <c r="B884" s="104" t="s">
        <v>33</v>
      </c>
      <c r="C884" s="104" t="s">
        <v>401</v>
      </c>
      <c r="D884" s="105" t="n">
        <v>8.1667</v>
      </c>
      <c r="E884" s="106" t="n">
        <v>19.5918</v>
      </c>
      <c r="F884" s="107" t="n">
        <f aca="false">IF($C884="","",$D884*$E884)</f>
        <v>160.00035306</v>
      </c>
      <c r="G884" s="107" t="n">
        <f aca="false">IF($C884="","",$D884*IFERROR(INDEX('تحليل التكلفة والسعر'!$C$2:$C$700,MATCH($C884,'تحليل التكلفة والسعر'!$B$2:$B$700,0)),0))</f>
        <v>356.1523513438</v>
      </c>
      <c r="H884" s="104" t="s">
        <v>719</v>
      </c>
    </row>
    <row r="885" customFormat="false" ht="15" hidden="false" customHeight="false" outlineLevel="0" collapsed="false">
      <c r="A885" s="103" t="n">
        <v>46303</v>
      </c>
      <c r="B885" s="104" t="s">
        <v>33</v>
      </c>
      <c r="C885" s="104" t="s">
        <v>401</v>
      </c>
      <c r="D885" s="105" t="n">
        <v>8.1667</v>
      </c>
      <c r="E885" s="106" t="n">
        <v>19.5918</v>
      </c>
      <c r="F885" s="107" t="n">
        <f aca="false">IF($C885="","",$D885*$E885)</f>
        <v>160.00035306</v>
      </c>
      <c r="G885" s="107" t="n">
        <f aca="false">IF($C885="","",$D885*IFERROR(INDEX('تحليل التكلفة والسعر'!$C$2:$C$700,MATCH($C885,'تحليل التكلفة والسعر'!$B$2:$B$700,0)),0))</f>
        <v>356.1523513438</v>
      </c>
      <c r="H885" s="104" t="s">
        <v>719</v>
      </c>
    </row>
    <row r="886" customFormat="false" ht="15" hidden="false" customHeight="false" outlineLevel="0" collapsed="false">
      <c r="A886" s="103" t="n">
        <v>46304</v>
      </c>
      <c r="B886" s="104" t="s">
        <v>33</v>
      </c>
      <c r="C886" s="104" t="s">
        <v>401</v>
      </c>
      <c r="D886" s="105" t="n">
        <v>8.1667</v>
      </c>
      <c r="E886" s="106" t="n">
        <v>19.5918</v>
      </c>
      <c r="F886" s="107" t="n">
        <f aca="false">IF($C886="","",$D886*$E886)</f>
        <v>160.00035306</v>
      </c>
      <c r="G886" s="107" t="n">
        <f aca="false">IF($C886="","",$D886*IFERROR(INDEX('تحليل التكلفة والسعر'!$C$2:$C$700,MATCH($C886,'تحليل التكلفة والسعر'!$B$2:$B$700,0)),0))</f>
        <v>356.1523513438</v>
      </c>
      <c r="H886" s="104" t="s">
        <v>719</v>
      </c>
    </row>
    <row r="887" customFormat="false" ht="15" hidden="false" customHeight="false" outlineLevel="0" collapsed="false">
      <c r="A887" s="103" t="n">
        <v>46305</v>
      </c>
      <c r="B887" s="104" t="s">
        <v>33</v>
      </c>
      <c r="C887" s="104" t="s">
        <v>401</v>
      </c>
      <c r="D887" s="105" t="n">
        <v>8.1667</v>
      </c>
      <c r="E887" s="106" t="n">
        <v>19.5918</v>
      </c>
      <c r="F887" s="107" t="n">
        <f aca="false">IF($C887="","",$D887*$E887)</f>
        <v>160.00035306</v>
      </c>
      <c r="G887" s="107" t="n">
        <f aca="false">IF($C887="","",$D887*IFERROR(INDEX('تحليل التكلفة والسعر'!$C$2:$C$700,MATCH($C887,'تحليل التكلفة والسعر'!$B$2:$B$700,0)),0))</f>
        <v>356.1523513438</v>
      </c>
      <c r="H887" s="104" t="s">
        <v>719</v>
      </c>
    </row>
    <row r="888" customFormat="false" ht="15" hidden="false" customHeight="false" outlineLevel="0" collapsed="false">
      <c r="A888" s="103" t="n">
        <v>46306</v>
      </c>
      <c r="B888" s="104" t="s">
        <v>33</v>
      </c>
      <c r="C888" s="104" t="s">
        <v>401</v>
      </c>
      <c r="D888" s="105" t="n">
        <v>8.1667</v>
      </c>
      <c r="E888" s="106" t="n">
        <v>19.5918</v>
      </c>
      <c r="F888" s="107" t="n">
        <f aca="false">IF($C888="","",$D888*$E888)</f>
        <v>160.00035306</v>
      </c>
      <c r="G888" s="107" t="n">
        <f aca="false">IF($C888="","",$D888*IFERROR(INDEX('تحليل التكلفة والسعر'!$C$2:$C$700,MATCH($C888,'تحليل التكلفة والسعر'!$B$2:$B$700,0)),0))</f>
        <v>356.1523513438</v>
      </c>
      <c r="H888" s="104" t="s">
        <v>719</v>
      </c>
    </row>
    <row r="889" customFormat="false" ht="15" hidden="false" customHeight="false" outlineLevel="0" collapsed="false">
      <c r="A889" s="103" t="n">
        <v>46307</v>
      </c>
      <c r="B889" s="104" t="s">
        <v>33</v>
      </c>
      <c r="C889" s="104" t="s">
        <v>401</v>
      </c>
      <c r="D889" s="105" t="n">
        <v>8.1667</v>
      </c>
      <c r="E889" s="106" t="n">
        <v>19.5918</v>
      </c>
      <c r="F889" s="107" t="n">
        <f aca="false">IF($C889="","",$D889*$E889)</f>
        <v>160.00035306</v>
      </c>
      <c r="G889" s="107" t="n">
        <f aca="false">IF($C889="","",$D889*IFERROR(INDEX('تحليل التكلفة والسعر'!$C$2:$C$700,MATCH($C889,'تحليل التكلفة والسعر'!$B$2:$B$700,0)),0))</f>
        <v>356.1523513438</v>
      </c>
      <c r="H889" s="104" t="s">
        <v>719</v>
      </c>
    </row>
    <row r="890" customFormat="false" ht="15" hidden="false" customHeight="false" outlineLevel="0" collapsed="false">
      <c r="A890" s="103" t="n">
        <v>46296</v>
      </c>
      <c r="B890" s="104" t="s">
        <v>33</v>
      </c>
      <c r="C890" s="104" t="s">
        <v>448</v>
      </c>
      <c r="D890" s="105" t="n">
        <v>0.25</v>
      </c>
      <c r="E890" s="106" t="n">
        <v>266.6667</v>
      </c>
      <c r="F890" s="107" t="n">
        <f aca="false">IF($C890="","",$D890*$E890)</f>
        <v>66.666675</v>
      </c>
      <c r="G890" s="107" t="n">
        <f aca="false">IF($C890="","",$D890*IFERROR(INDEX('تحليل التكلفة والسعر'!$C$2:$C$700,MATCH($C890,'تحليل التكلفة والسعر'!$B$2:$B$700,0)),0))</f>
        <v>26.2283</v>
      </c>
      <c r="H890" s="104" t="s">
        <v>719</v>
      </c>
    </row>
    <row r="891" customFormat="false" ht="15" hidden="false" customHeight="false" outlineLevel="0" collapsed="false">
      <c r="A891" s="103" t="n">
        <v>46297</v>
      </c>
      <c r="B891" s="104" t="s">
        <v>33</v>
      </c>
      <c r="C891" s="104" t="s">
        <v>448</v>
      </c>
      <c r="D891" s="105" t="n">
        <v>0.25</v>
      </c>
      <c r="E891" s="106" t="n">
        <v>266.6667</v>
      </c>
      <c r="F891" s="107" t="n">
        <f aca="false">IF($C891="","",$D891*$E891)</f>
        <v>66.666675</v>
      </c>
      <c r="G891" s="107" t="n">
        <f aca="false">IF($C891="","",$D891*IFERROR(INDEX('تحليل التكلفة والسعر'!$C$2:$C$700,MATCH($C891,'تحليل التكلفة والسعر'!$B$2:$B$700,0)),0))</f>
        <v>26.2283</v>
      </c>
      <c r="H891" s="104" t="s">
        <v>719</v>
      </c>
    </row>
    <row r="892" customFormat="false" ht="15" hidden="false" customHeight="false" outlineLevel="0" collapsed="false">
      <c r="A892" s="103" t="n">
        <v>46298</v>
      </c>
      <c r="B892" s="104" t="s">
        <v>33</v>
      </c>
      <c r="C892" s="104" t="s">
        <v>448</v>
      </c>
      <c r="D892" s="105" t="n">
        <v>0.25</v>
      </c>
      <c r="E892" s="106" t="n">
        <v>266.6667</v>
      </c>
      <c r="F892" s="107" t="n">
        <f aca="false">IF($C892="","",$D892*$E892)</f>
        <v>66.666675</v>
      </c>
      <c r="G892" s="107" t="n">
        <f aca="false">IF($C892="","",$D892*IFERROR(INDEX('تحليل التكلفة والسعر'!$C$2:$C$700,MATCH($C892,'تحليل التكلفة والسعر'!$B$2:$B$700,0)),0))</f>
        <v>26.2283</v>
      </c>
      <c r="H892" s="104" t="s">
        <v>719</v>
      </c>
    </row>
    <row r="893" customFormat="false" ht="15" hidden="false" customHeight="false" outlineLevel="0" collapsed="false">
      <c r="A893" s="103" t="n">
        <v>46299</v>
      </c>
      <c r="B893" s="104" t="s">
        <v>33</v>
      </c>
      <c r="C893" s="104" t="s">
        <v>448</v>
      </c>
      <c r="D893" s="105" t="n">
        <v>0.25</v>
      </c>
      <c r="E893" s="106" t="n">
        <v>266.6667</v>
      </c>
      <c r="F893" s="107" t="n">
        <f aca="false">IF($C893="","",$D893*$E893)</f>
        <v>66.666675</v>
      </c>
      <c r="G893" s="107" t="n">
        <f aca="false">IF($C893="","",$D893*IFERROR(INDEX('تحليل التكلفة والسعر'!$C$2:$C$700,MATCH($C893,'تحليل التكلفة والسعر'!$B$2:$B$700,0)),0))</f>
        <v>26.2283</v>
      </c>
      <c r="H893" s="104" t="s">
        <v>719</v>
      </c>
    </row>
    <row r="894" customFormat="false" ht="15" hidden="false" customHeight="false" outlineLevel="0" collapsed="false">
      <c r="A894" s="103" t="n">
        <v>46300</v>
      </c>
      <c r="B894" s="104" t="s">
        <v>33</v>
      </c>
      <c r="C894" s="104" t="s">
        <v>448</v>
      </c>
      <c r="D894" s="105" t="n">
        <v>0.25</v>
      </c>
      <c r="E894" s="106" t="n">
        <v>266.6667</v>
      </c>
      <c r="F894" s="107" t="n">
        <f aca="false">IF($C894="","",$D894*$E894)</f>
        <v>66.666675</v>
      </c>
      <c r="G894" s="107" t="n">
        <f aca="false">IF($C894="","",$D894*IFERROR(INDEX('تحليل التكلفة والسعر'!$C$2:$C$700,MATCH($C894,'تحليل التكلفة والسعر'!$B$2:$B$700,0)),0))</f>
        <v>26.2283</v>
      </c>
      <c r="H894" s="104" t="s">
        <v>719</v>
      </c>
    </row>
    <row r="895" customFormat="false" ht="15" hidden="false" customHeight="false" outlineLevel="0" collapsed="false">
      <c r="A895" s="103" t="n">
        <v>46301</v>
      </c>
      <c r="B895" s="104" t="s">
        <v>33</v>
      </c>
      <c r="C895" s="104" t="s">
        <v>448</v>
      </c>
      <c r="D895" s="105" t="n">
        <v>0.25</v>
      </c>
      <c r="E895" s="106" t="n">
        <v>266.6667</v>
      </c>
      <c r="F895" s="107" t="n">
        <f aca="false">IF($C895="","",$D895*$E895)</f>
        <v>66.666675</v>
      </c>
      <c r="G895" s="107" t="n">
        <f aca="false">IF($C895="","",$D895*IFERROR(INDEX('تحليل التكلفة والسعر'!$C$2:$C$700,MATCH($C895,'تحليل التكلفة والسعر'!$B$2:$B$700,0)),0))</f>
        <v>26.2283</v>
      </c>
      <c r="H895" s="104" t="s">
        <v>719</v>
      </c>
    </row>
    <row r="896" customFormat="false" ht="15" hidden="false" customHeight="false" outlineLevel="0" collapsed="false">
      <c r="A896" s="103" t="n">
        <v>46302</v>
      </c>
      <c r="B896" s="104" t="s">
        <v>33</v>
      </c>
      <c r="C896" s="104" t="s">
        <v>448</v>
      </c>
      <c r="D896" s="105" t="n">
        <v>0.25</v>
      </c>
      <c r="E896" s="106" t="n">
        <v>266.6667</v>
      </c>
      <c r="F896" s="107" t="n">
        <f aca="false">IF($C896="","",$D896*$E896)</f>
        <v>66.666675</v>
      </c>
      <c r="G896" s="107" t="n">
        <f aca="false">IF($C896="","",$D896*IFERROR(INDEX('تحليل التكلفة والسعر'!$C$2:$C$700,MATCH($C896,'تحليل التكلفة والسعر'!$B$2:$B$700,0)),0))</f>
        <v>26.2283</v>
      </c>
      <c r="H896" s="104" t="s">
        <v>719</v>
      </c>
    </row>
    <row r="897" customFormat="false" ht="15" hidden="false" customHeight="false" outlineLevel="0" collapsed="false">
      <c r="A897" s="103" t="n">
        <v>46303</v>
      </c>
      <c r="B897" s="104" t="s">
        <v>33</v>
      </c>
      <c r="C897" s="104" t="s">
        <v>448</v>
      </c>
      <c r="D897" s="105" t="n">
        <v>0.25</v>
      </c>
      <c r="E897" s="106" t="n">
        <v>266.6667</v>
      </c>
      <c r="F897" s="107" t="n">
        <f aca="false">IF($C897="","",$D897*$E897)</f>
        <v>66.666675</v>
      </c>
      <c r="G897" s="107" t="n">
        <f aca="false">IF($C897="","",$D897*IFERROR(INDEX('تحليل التكلفة والسعر'!$C$2:$C$700,MATCH($C897,'تحليل التكلفة والسعر'!$B$2:$B$700,0)),0))</f>
        <v>26.2283</v>
      </c>
      <c r="H897" s="104" t="s">
        <v>719</v>
      </c>
    </row>
    <row r="898" customFormat="false" ht="15" hidden="false" customHeight="false" outlineLevel="0" collapsed="false">
      <c r="A898" s="103" t="n">
        <v>46304</v>
      </c>
      <c r="B898" s="104" t="s">
        <v>33</v>
      </c>
      <c r="C898" s="104" t="s">
        <v>448</v>
      </c>
      <c r="D898" s="105" t="n">
        <v>0.25</v>
      </c>
      <c r="E898" s="106" t="n">
        <v>266.6667</v>
      </c>
      <c r="F898" s="107" t="n">
        <f aca="false">IF($C898="","",$D898*$E898)</f>
        <v>66.666675</v>
      </c>
      <c r="G898" s="107" t="n">
        <f aca="false">IF($C898="","",$D898*IFERROR(INDEX('تحليل التكلفة والسعر'!$C$2:$C$700,MATCH($C898,'تحليل التكلفة والسعر'!$B$2:$B$700,0)),0))</f>
        <v>26.2283</v>
      </c>
      <c r="H898" s="104" t="s">
        <v>719</v>
      </c>
    </row>
    <row r="899" customFormat="false" ht="15" hidden="false" customHeight="false" outlineLevel="0" collapsed="false">
      <c r="A899" s="103" t="n">
        <v>46305</v>
      </c>
      <c r="B899" s="104" t="s">
        <v>33</v>
      </c>
      <c r="C899" s="104" t="s">
        <v>448</v>
      </c>
      <c r="D899" s="105" t="n">
        <v>0.25</v>
      </c>
      <c r="E899" s="106" t="n">
        <v>266.6667</v>
      </c>
      <c r="F899" s="107" t="n">
        <f aca="false">IF($C899="","",$D899*$E899)</f>
        <v>66.666675</v>
      </c>
      <c r="G899" s="107" t="n">
        <f aca="false">IF($C899="","",$D899*IFERROR(INDEX('تحليل التكلفة والسعر'!$C$2:$C$700,MATCH($C899,'تحليل التكلفة والسعر'!$B$2:$B$700,0)),0))</f>
        <v>26.2283</v>
      </c>
      <c r="H899" s="104" t="s">
        <v>719</v>
      </c>
    </row>
    <row r="900" customFormat="false" ht="15" hidden="false" customHeight="false" outlineLevel="0" collapsed="false">
      <c r="A900" s="103" t="n">
        <v>46306</v>
      </c>
      <c r="B900" s="104" t="s">
        <v>33</v>
      </c>
      <c r="C900" s="104" t="s">
        <v>448</v>
      </c>
      <c r="D900" s="105" t="n">
        <v>0.25</v>
      </c>
      <c r="E900" s="106" t="n">
        <v>266.6667</v>
      </c>
      <c r="F900" s="107" t="n">
        <f aca="false">IF($C900="","",$D900*$E900)</f>
        <v>66.666675</v>
      </c>
      <c r="G900" s="107" t="n">
        <f aca="false">IF($C900="","",$D900*IFERROR(INDEX('تحليل التكلفة والسعر'!$C$2:$C$700,MATCH($C900,'تحليل التكلفة والسعر'!$B$2:$B$700,0)),0))</f>
        <v>26.2283</v>
      </c>
      <c r="H900" s="104" t="s">
        <v>719</v>
      </c>
    </row>
    <row r="901" customFormat="false" ht="15" hidden="false" customHeight="false" outlineLevel="0" collapsed="false">
      <c r="A901" s="103" t="n">
        <v>46307</v>
      </c>
      <c r="B901" s="104" t="s">
        <v>33</v>
      </c>
      <c r="C901" s="104" t="s">
        <v>448</v>
      </c>
      <c r="D901" s="105" t="n">
        <v>0.25</v>
      </c>
      <c r="E901" s="106" t="n">
        <v>266.6667</v>
      </c>
      <c r="F901" s="107" t="n">
        <f aca="false">IF($C901="","",$D901*$E901)</f>
        <v>66.666675</v>
      </c>
      <c r="G901" s="107" t="n">
        <f aca="false">IF($C901="","",$D901*IFERROR(INDEX('تحليل التكلفة والسعر'!$C$2:$C$700,MATCH($C901,'تحليل التكلفة والسعر'!$B$2:$B$700,0)),0))</f>
        <v>26.2283</v>
      </c>
      <c r="H901" s="104" t="s">
        <v>719</v>
      </c>
    </row>
    <row r="902" customFormat="false" ht="15" hidden="false" customHeight="false" outlineLevel="0" collapsed="false">
      <c r="A902" s="103" t="n">
        <v>46296</v>
      </c>
      <c r="B902" s="104" t="s">
        <v>33</v>
      </c>
      <c r="C902" s="104" t="s">
        <v>463</v>
      </c>
      <c r="D902" s="105" t="n">
        <v>0.5833</v>
      </c>
      <c r="E902" s="106" t="n">
        <v>167.8571</v>
      </c>
      <c r="F902" s="107" t="n">
        <f aca="false">IF($C902="","",$D902*$E902)</f>
        <v>97.91104643</v>
      </c>
      <c r="G902" s="107" t="n">
        <f aca="false">IF($C902="","",$D902*IFERROR(INDEX('تحليل التكلفة والسعر'!$C$2:$C$700,MATCH($C902,'تحليل التكلفة والسعر'!$B$2:$B$700,0)),0))</f>
        <v>43.32664905</v>
      </c>
      <c r="H902" s="104" t="s">
        <v>719</v>
      </c>
    </row>
    <row r="903" customFormat="false" ht="15" hidden="false" customHeight="false" outlineLevel="0" collapsed="false">
      <c r="A903" s="103" t="n">
        <v>46297</v>
      </c>
      <c r="B903" s="104" t="s">
        <v>33</v>
      </c>
      <c r="C903" s="104" t="s">
        <v>463</v>
      </c>
      <c r="D903" s="105" t="n">
        <v>0.5833</v>
      </c>
      <c r="E903" s="106" t="n">
        <v>167.8571</v>
      </c>
      <c r="F903" s="107" t="n">
        <f aca="false">IF($C903="","",$D903*$E903)</f>
        <v>97.91104643</v>
      </c>
      <c r="G903" s="107" t="n">
        <f aca="false">IF($C903="","",$D903*IFERROR(INDEX('تحليل التكلفة والسعر'!$C$2:$C$700,MATCH($C903,'تحليل التكلفة والسعر'!$B$2:$B$700,0)),0))</f>
        <v>43.32664905</v>
      </c>
      <c r="H903" s="104" t="s">
        <v>719</v>
      </c>
    </row>
    <row r="904" customFormat="false" ht="15" hidden="false" customHeight="false" outlineLevel="0" collapsed="false">
      <c r="A904" s="103" t="n">
        <v>46298</v>
      </c>
      <c r="B904" s="104" t="s">
        <v>33</v>
      </c>
      <c r="C904" s="104" t="s">
        <v>463</v>
      </c>
      <c r="D904" s="105" t="n">
        <v>0.5833</v>
      </c>
      <c r="E904" s="106" t="n">
        <v>167.8571</v>
      </c>
      <c r="F904" s="107" t="n">
        <f aca="false">IF($C904="","",$D904*$E904)</f>
        <v>97.91104643</v>
      </c>
      <c r="G904" s="107" t="n">
        <f aca="false">IF($C904="","",$D904*IFERROR(INDEX('تحليل التكلفة والسعر'!$C$2:$C$700,MATCH($C904,'تحليل التكلفة والسعر'!$B$2:$B$700,0)),0))</f>
        <v>43.32664905</v>
      </c>
      <c r="H904" s="104" t="s">
        <v>719</v>
      </c>
    </row>
    <row r="905" customFormat="false" ht="15" hidden="false" customHeight="false" outlineLevel="0" collapsed="false">
      <c r="A905" s="103" t="n">
        <v>46299</v>
      </c>
      <c r="B905" s="104" t="s">
        <v>33</v>
      </c>
      <c r="C905" s="104" t="s">
        <v>463</v>
      </c>
      <c r="D905" s="105" t="n">
        <v>0.5833</v>
      </c>
      <c r="E905" s="106" t="n">
        <v>167.8571</v>
      </c>
      <c r="F905" s="107" t="n">
        <f aca="false">IF($C905="","",$D905*$E905)</f>
        <v>97.91104643</v>
      </c>
      <c r="G905" s="107" t="n">
        <f aca="false">IF($C905="","",$D905*IFERROR(INDEX('تحليل التكلفة والسعر'!$C$2:$C$700,MATCH($C905,'تحليل التكلفة والسعر'!$B$2:$B$700,0)),0))</f>
        <v>43.32664905</v>
      </c>
      <c r="H905" s="104" t="s">
        <v>719</v>
      </c>
    </row>
    <row r="906" customFormat="false" ht="15" hidden="false" customHeight="false" outlineLevel="0" collapsed="false">
      <c r="A906" s="103" t="n">
        <v>46300</v>
      </c>
      <c r="B906" s="104" t="s">
        <v>33</v>
      </c>
      <c r="C906" s="104" t="s">
        <v>463</v>
      </c>
      <c r="D906" s="105" t="n">
        <v>0.5833</v>
      </c>
      <c r="E906" s="106" t="n">
        <v>167.8571</v>
      </c>
      <c r="F906" s="107" t="n">
        <f aca="false">IF($C906="","",$D906*$E906)</f>
        <v>97.91104643</v>
      </c>
      <c r="G906" s="107" t="n">
        <f aca="false">IF($C906="","",$D906*IFERROR(INDEX('تحليل التكلفة والسعر'!$C$2:$C$700,MATCH($C906,'تحليل التكلفة والسعر'!$B$2:$B$700,0)),0))</f>
        <v>43.32664905</v>
      </c>
      <c r="H906" s="104" t="s">
        <v>719</v>
      </c>
    </row>
    <row r="907" customFormat="false" ht="15" hidden="false" customHeight="false" outlineLevel="0" collapsed="false">
      <c r="A907" s="103" t="n">
        <v>46301</v>
      </c>
      <c r="B907" s="104" t="s">
        <v>33</v>
      </c>
      <c r="C907" s="104" t="s">
        <v>463</v>
      </c>
      <c r="D907" s="105" t="n">
        <v>0.5833</v>
      </c>
      <c r="E907" s="106" t="n">
        <v>167.8571</v>
      </c>
      <c r="F907" s="107" t="n">
        <f aca="false">IF($C907="","",$D907*$E907)</f>
        <v>97.91104643</v>
      </c>
      <c r="G907" s="107" t="n">
        <f aca="false">IF($C907="","",$D907*IFERROR(INDEX('تحليل التكلفة والسعر'!$C$2:$C$700,MATCH($C907,'تحليل التكلفة والسعر'!$B$2:$B$700,0)),0))</f>
        <v>43.32664905</v>
      </c>
      <c r="H907" s="104" t="s">
        <v>719</v>
      </c>
    </row>
    <row r="908" customFormat="false" ht="15" hidden="false" customHeight="false" outlineLevel="0" collapsed="false">
      <c r="A908" s="103" t="n">
        <v>46302</v>
      </c>
      <c r="B908" s="104" t="s">
        <v>33</v>
      </c>
      <c r="C908" s="104" t="s">
        <v>463</v>
      </c>
      <c r="D908" s="105" t="n">
        <v>0.5833</v>
      </c>
      <c r="E908" s="106" t="n">
        <v>167.8571</v>
      </c>
      <c r="F908" s="107" t="n">
        <f aca="false">IF($C908="","",$D908*$E908)</f>
        <v>97.91104643</v>
      </c>
      <c r="G908" s="107" t="n">
        <f aca="false">IF($C908="","",$D908*IFERROR(INDEX('تحليل التكلفة والسعر'!$C$2:$C$700,MATCH($C908,'تحليل التكلفة والسعر'!$B$2:$B$700,0)),0))</f>
        <v>43.32664905</v>
      </c>
      <c r="H908" s="104" t="s">
        <v>719</v>
      </c>
    </row>
    <row r="909" customFormat="false" ht="15" hidden="false" customHeight="false" outlineLevel="0" collapsed="false">
      <c r="A909" s="103" t="n">
        <v>46303</v>
      </c>
      <c r="B909" s="104" t="s">
        <v>33</v>
      </c>
      <c r="C909" s="104" t="s">
        <v>463</v>
      </c>
      <c r="D909" s="105" t="n">
        <v>0.5833</v>
      </c>
      <c r="E909" s="106" t="n">
        <v>167.8571</v>
      </c>
      <c r="F909" s="107" t="n">
        <f aca="false">IF($C909="","",$D909*$E909)</f>
        <v>97.91104643</v>
      </c>
      <c r="G909" s="107" t="n">
        <f aca="false">IF($C909="","",$D909*IFERROR(INDEX('تحليل التكلفة والسعر'!$C$2:$C$700,MATCH($C909,'تحليل التكلفة والسعر'!$B$2:$B$700,0)),0))</f>
        <v>43.32664905</v>
      </c>
      <c r="H909" s="104" t="s">
        <v>719</v>
      </c>
    </row>
    <row r="910" customFormat="false" ht="15" hidden="false" customHeight="false" outlineLevel="0" collapsed="false">
      <c r="A910" s="103" t="n">
        <v>46304</v>
      </c>
      <c r="B910" s="104" t="s">
        <v>33</v>
      </c>
      <c r="C910" s="104" t="s">
        <v>463</v>
      </c>
      <c r="D910" s="105" t="n">
        <v>0.5833</v>
      </c>
      <c r="E910" s="106" t="n">
        <v>167.8571</v>
      </c>
      <c r="F910" s="107" t="n">
        <f aca="false">IF($C910="","",$D910*$E910)</f>
        <v>97.91104643</v>
      </c>
      <c r="G910" s="107" t="n">
        <f aca="false">IF($C910="","",$D910*IFERROR(INDEX('تحليل التكلفة والسعر'!$C$2:$C$700,MATCH($C910,'تحليل التكلفة والسعر'!$B$2:$B$700,0)),0))</f>
        <v>43.32664905</v>
      </c>
      <c r="H910" s="104" t="s">
        <v>719</v>
      </c>
    </row>
    <row r="911" customFormat="false" ht="15" hidden="false" customHeight="false" outlineLevel="0" collapsed="false">
      <c r="A911" s="103" t="n">
        <v>46305</v>
      </c>
      <c r="B911" s="104" t="s">
        <v>33</v>
      </c>
      <c r="C911" s="104" t="s">
        <v>463</v>
      </c>
      <c r="D911" s="105" t="n">
        <v>0.5833</v>
      </c>
      <c r="E911" s="106" t="n">
        <v>167.8571</v>
      </c>
      <c r="F911" s="107" t="n">
        <f aca="false">IF($C911="","",$D911*$E911)</f>
        <v>97.91104643</v>
      </c>
      <c r="G911" s="107" t="n">
        <f aca="false">IF($C911="","",$D911*IFERROR(INDEX('تحليل التكلفة والسعر'!$C$2:$C$700,MATCH($C911,'تحليل التكلفة والسعر'!$B$2:$B$700,0)),0))</f>
        <v>43.32664905</v>
      </c>
      <c r="H911" s="104" t="s">
        <v>719</v>
      </c>
    </row>
    <row r="912" customFormat="false" ht="15" hidden="false" customHeight="false" outlineLevel="0" collapsed="false">
      <c r="A912" s="103" t="n">
        <v>46306</v>
      </c>
      <c r="B912" s="104" t="s">
        <v>33</v>
      </c>
      <c r="C912" s="104" t="s">
        <v>463</v>
      </c>
      <c r="D912" s="105" t="n">
        <v>0.5833</v>
      </c>
      <c r="E912" s="106" t="n">
        <v>167.8571</v>
      </c>
      <c r="F912" s="107" t="n">
        <f aca="false">IF($C912="","",$D912*$E912)</f>
        <v>97.91104643</v>
      </c>
      <c r="G912" s="107" t="n">
        <f aca="false">IF($C912="","",$D912*IFERROR(INDEX('تحليل التكلفة والسعر'!$C$2:$C$700,MATCH($C912,'تحليل التكلفة والسعر'!$B$2:$B$700,0)),0))</f>
        <v>43.32664905</v>
      </c>
      <c r="H912" s="104" t="s">
        <v>719</v>
      </c>
    </row>
    <row r="913" customFormat="false" ht="15" hidden="false" customHeight="false" outlineLevel="0" collapsed="false">
      <c r="A913" s="103" t="n">
        <v>46307</v>
      </c>
      <c r="B913" s="104" t="s">
        <v>33</v>
      </c>
      <c r="C913" s="104" t="s">
        <v>463</v>
      </c>
      <c r="D913" s="105" t="n">
        <v>0.5833</v>
      </c>
      <c r="E913" s="106" t="n">
        <v>167.8571</v>
      </c>
      <c r="F913" s="107" t="n">
        <f aca="false">IF($C913="","",$D913*$E913)</f>
        <v>97.91104643</v>
      </c>
      <c r="G913" s="107" t="n">
        <f aca="false">IF($C913="","",$D913*IFERROR(INDEX('تحليل التكلفة والسعر'!$C$2:$C$700,MATCH($C913,'تحليل التكلفة والسعر'!$B$2:$B$700,0)),0))</f>
        <v>43.32664905</v>
      </c>
      <c r="H913" s="104" t="s">
        <v>719</v>
      </c>
    </row>
    <row r="914" customFormat="false" ht="15" hidden="false" customHeight="false" outlineLevel="0" collapsed="false">
      <c r="A914" s="103" t="n">
        <v>46296</v>
      </c>
      <c r="B914" s="104" t="s">
        <v>33</v>
      </c>
      <c r="C914" s="104" t="s">
        <v>447</v>
      </c>
      <c r="D914" s="105" t="n">
        <v>0.75</v>
      </c>
      <c r="E914" s="106" t="n">
        <v>282.2222</v>
      </c>
      <c r="F914" s="107" t="n">
        <f aca="false">IF($C914="","",$D914*$E914)</f>
        <v>211.66665</v>
      </c>
      <c r="G914" s="107" t="n">
        <f aca="false">IF($C914="","",$D914*IFERROR(INDEX('تحليل التكلفة والسعر'!$C$2:$C$700,MATCH($C914,'تحليل التكلفة والسعر'!$B$2:$B$700,0)),0))</f>
        <v>82.6224</v>
      </c>
      <c r="H914" s="104" t="s">
        <v>719</v>
      </c>
    </row>
    <row r="915" customFormat="false" ht="15" hidden="false" customHeight="false" outlineLevel="0" collapsed="false">
      <c r="A915" s="103" t="n">
        <v>46297</v>
      </c>
      <c r="B915" s="104" t="s">
        <v>33</v>
      </c>
      <c r="C915" s="104" t="s">
        <v>447</v>
      </c>
      <c r="D915" s="105" t="n">
        <v>0.75</v>
      </c>
      <c r="E915" s="106" t="n">
        <v>282.2222</v>
      </c>
      <c r="F915" s="107" t="n">
        <f aca="false">IF($C915="","",$D915*$E915)</f>
        <v>211.66665</v>
      </c>
      <c r="G915" s="107" t="n">
        <f aca="false">IF($C915="","",$D915*IFERROR(INDEX('تحليل التكلفة والسعر'!$C$2:$C$700,MATCH($C915,'تحليل التكلفة والسعر'!$B$2:$B$700,0)),0))</f>
        <v>82.6224</v>
      </c>
      <c r="H915" s="104" t="s">
        <v>719</v>
      </c>
    </row>
    <row r="916" customFormat="false" ht="15" hidden="false" customHeight="false" outlineLevel="0" collapsed="false">
      <c r="A916" s="103" t="n">
        <v>46298</v>
      </c>
      <c r="B916" s="104" t="s">
        <v>33</v>
      </c>
      <c r="C916" s="104" t="s">
        <v>447</v>
      </c>
      <c r="D916" s="105" t="n">
        <v>0.75</v>
      </c>
      <c r="E916" s="106" t="n">
        <v>282.2222</v>
      </c>
      <c r="F916" s="107" t="n">
        <f aca="false">IF($C916="","",$D916*$E916)</f>
        <v>211.66665</v>
      </c>
      <c r="G916" s="107" t="n">
        <f aca="false">IF($C916="","",$D916*IFERROR(INDEX('تحليل التكلفة والسعر'!$C$2:$C$700,MATCH($C916,'تحليل التكلفة والسعر'!$B$2:$B$700,0)),0))</f>
        <v>82.6224</v>
      </c>
      <c r="H916" s="104" t="s">
        <v>719</v>
      </c>
    </row>
    <row r="917" customFormat="false" ht="15" hidden="false" customHeight="false" outlineLevel="0" collapsed="false">
      <c r="A917" s="103" t="n">
        <v>46299</v>
      </c>
      <c r="B917" s="104" t="s">
        <v>33</v>
      </c>
      <c r="C917" s="104" t="s">
        <v>447</v>
      </c>
      <c r="D917" s="105" t="n">
        <v>0.75</v>
      </c>
      <c r="E917" s="106" t="n">
        <v>282.2222</v>
      </c>
      <c r="F917" s="107" t="n">
        <f aca="false">IF($C917="","",$D917*$E917)</f>
        <v>211.66665</v>
      </c>
      <c r="G917" s="107" t="n">
        <f aca="false">IF($C917="","",$D917*IFERROR(INDEX('تحليل التكلفة والسعر'!$C$2:$C$700,MATCH($C917,'تحليل التكلفة والسعر'!$B$2:$B$700,0)),0))</f>
        <v>82.6224</v>
      </c>
      <c r="H917" s="104" t="s">
        <v>719</v>
      </c>
    </row>
    <row r="918" customFormat="false" ht="15" hidden="false" customHeight="false" outlineLevel="0" collapsed="false">
      <c r="A918" s="103" t="n">
        <v>46300</v>
      </c>
      <c r="B918" s="104" t="s">
        <v>33</v>
      </c>
      <c r="C918" s="104" t="s">
        <v>447</v>
      </c>
      <c r="D918" s="105" t="n">
        <v>0.75</v>
      </c>
      <c r="E918" s="106" t="n">
        <v>282.2222</v>
      </c>
      <c r="F918" s="107" t="n">
        <f aca="false">IF($C918="","",$D918*$E918)</f>
        <v>211.66665</v>
      </c>
      <c r="G918" s="107" t="n">
        <f aca="false">IF($C918="","",$D918*IFERROR(INDEX('تحليل التكلفة والسعر'!$C$2:$C$700,MATCH($C918,'تحليل التكلفة والسعر'!$B$2:$B$700,0)),0))</f>
        <v>82.6224</v>
      </c>
      <c r="H918" s="104" t="s">
        <v>719</v>
      </c>
    </row>
    <row r="919" customFormat="false" ht="15" hidden="false" customHeight="false" outlineLevel="0" collapsed="false">
      <c r="A919" s="103" t="n">
        <v>46301</v>
      </c>
      <c r="B919" s="104" t="s">
        <v>33</v>
      </c>
      <c r="C919" s="104" t="s">
        <v>447</v>
      </c>
      <c r="D919" s="105" t="n">
        <v>0.75</v>
      </c>
      <c r="E919" s="106" t="n">
        <v>282.2222</v>
      </c>
      <c r="F919" s="107" t="n">
        <f aca="false">IF($C919="","",$D919*$E919)</f>
        <v>211.66665</v>
      </c>
      <c r="G919" s="107" t="n">
        <f aca="false">IF($C919="","",$D919*IFERROR(INDEX('تحليل التكلفة والسعر'!$C$2:$C$700,MATCH($C919,'تحليل التكلفة والسعر'!$B$2:$B$700,0)),0))</f>
        <v>82.6224</v>
      </c>
      <c r="H919" s="104" t="s">
        <v>719</v>
      </c>
    </row>
    <row r="920" customFormat="false" ht="15" hidden="false" customHeight="false" outlineLevel="0" collapsed="false">
      <c r="A920" s="103" t="n">
        <v>46302</v>
      </c>
      <c r="B920" s="104" t="s">
        <v>33</v>
      </c>
      <c r="C920" s="104" t="s">
        <v>447</v>
      </c>
      <c r="D920" s="105" t="n">
        <v>0.75</v>
      </c>
      <c r="E920" s="106" t="n">
        <v>282.2222</v>
      </c>
      <c r="F920" s="107" t="n">
        <f aca="false">IF($C920="","",$D920*$E920)</f>
        <v>211.66665</v>
      </c>
      <c r="G920" s="107" t="n">
        <f aca="false">IF($C920="","",$D920*IFERROR(INDEX('تحليل التكلفة والسعر'!$C$2:$C$700,MATCH($C920,'تحليل التكلفة والسعر'!$B$2:$B$700,0)),0))</f>
        <v>82.6224</v>
      </c>
      <c r="H920" s="104" t="s">
        <v>719</v>
      </c>
    </row>
    <row r="921" customFormat="false" ht="15" hidden="false" customHeight="false" outlineLevel="0" collapsed="false">
      <c r="A921" s="103" t="n">
        <v>46303</v>
      </c>
      <c r="B921" s="104" t="s">
        <v>33</v>
      </c>
      <c r="C921" s="104" t="s">
        <v>447</v>
      </c>
      <c r="D921" s="105" t="n">
        <v>0.75</v>
      </c>
      <c r="E921" s="106" t="n">
        <v>282.2222</v>
      </c>
      <c r="F921" s="107" t="n">
        <f aca="false">IF($C921="","",$D921*$E921)</f>
        <v>211.66665</v>
      </c>
      <c r="G921" s="107" t="n">
        <f aca="false">IF($C921="","",$D921*IFERROR(INDEX('تحليل التكلفة والسعر'!$C$2:$C$700,MATCH($C921,'تحليل التكلفة والسعر'!$B$2:$B$700,0)),0))</f>
        <v>82.6224</v>
      </c>
      <c r="H921" s="104" t="s">
        <v>719</v>
      </c>
    </row>
    <row r="922" customFormat="false" ht="15" hidden="false" customHeight="false" outlineLevel="0" collapsed="false">
      <c r="A922" s="103" t="n">
        <v>46304</v>
      </c>
      <c r="B922" s="104" t="s">
        <v>33</v>
      </c>
      <c r="C922" s="104" t="s">
        <v>447</v>
      </c>
      <c r="D922" s="105" t="n">
        <v>0.75</v>
      </c>
      <c r="E922" s="106" t="n">
        <v>282.2222</v>
      </c>
      <c r="F922" s="107" t="n">
        <f aca="false">IF($C922="","",$D922*$E922)</f>
        <v>211.66665</v>
      </c>
      <c r="G922" s="107" t="n">
        <f aca="false">IF($C922="","",$D922*IFERROR(INDEX('تحليل التكلفة والسعر'!$C$2:$C$700,MATCH($C922,'تحليل التكلفة والسعر'!$B$2:$B$700,0)),0))</f>
        <v>82.6224</v>
      </c>
      <c r="H922" s="104" t="s">
        <v>719</v>
      </c>
    </row>
    <row r="923" customFormat="false" ht="15" hidden="false" customHeight="false" outlineLevel="0" collapsed="false">
      <c r="A923" s="103" t="n">
        <v>46305</v>
      </c>
      <c r="B923" s="104" t="s">
        <v>33</v>
      </c>
      <c r="C923" s="104" t="s">
        <v>447</v>
      </c>
      <c r="D923" s="105" t="n">
        <v>0.75</v>
      </c>
      <c r="E923" s="106" t="n">
        <v>282.2222</v>
      </c>
      <c r="F923" s="107" t="n">
        <f aca="false">IF($C923="","",$D923*$E923)</f>
        <v>211.66665</v>
      </c>
      <c r="G923" s="107" t="n">
        <f aca="false">IF($C923="","",$D923*IFERROR(INDEX('تحليل التكلفة والسعر'!$C$2:$C$700,MATCH($C923,'تحليل التكلفة والسعر'!$B$2:$B$700,0)),0))</f>
        <v>82.6224</v>
      </c>
      <c r="H923" s="104" t="s">
        <v>719</v>
      </c>
    </row>
    <row r="924" customFormat="false" ht="15" hidden="false" customHeight="false" outlineLevel="0" collapsed="false">
      <c r="A924" s="103" t="n">
        <v>46306</v>
      </c>
      <c r="B924" s="104" t="s">
        <v>33</v>
      </c>
      <c r="C924" s="104" t="s">
        <v>447</v>
      </c>
      <c r="D924" s="105" t="n">
        <v>0.75</v>
      </c>
      <c r="E924" s="106" t="n">
        <v>282.2222</v>
      </c>
      <c r="F924" s="107" t="n">
        <f aca="false">IF($C924="","",$D924*$E924)</f>
        <v>211.66665</v>
      </c>
      <c r="G924" s="107" t="n">
        <f aca="false">IF($C924="","",$D924*IFERROR(INDEX('تحليل التكلفة والسعر'!$C$2:$C$700,MATCH($C924,'تحليل التكلفة والسعر'!$B$2:$B$700,0)),0))</f>
        <v>82.6224</v>
      </c>
      <c r="H924" s="104" t="s">
        <v>719</v>
      </c>
    </row>
    <row r="925" customFormat="false" ht="15" hidden="false" customHeight="false" outlineLevel="0" collapsed="false">
      <c r="A925" s="103" t="n">
        <v>46307</v>
      </c>
      <c r="B925" s="104" t="s">
        <v>33</v>
      </c>
      <c r="C925" s="104" t="s">
        <v>447</v>
      </c>
      <c r="D925" s="105" t="n">
        <v>0.75</v>
      </c>
      <c r="E925" s="106" t="n">
        <v>282.2222</v>
      </c>
      <c r="F925" s="107" t="n">
        <f aca="false">IF($C925="","",$D925*$E925)</f>
        <v>211.66665</v>
      </c>
      <c r="G925" s="107" t="n">
        <f aca="false">IF($C925="","",$D925*IFERROR(INDEX('تحليل التكلفة والسعر'!$C$2:$C$700,MATCH($C925,'تحليل التكلفة والسعر'!$B$2:$B$700,0)),0))</f>
        <v>82.6224</v>
      </c>
      <c r="H925" s="104" t="s">
        <v>719</v>
      </c>
    </row>
    <row r="926" customFormat="false" ht="15" hidden="false" customHeight="false" outlineLevel="0" collapsed="false">
      <c r="A926" s="103" t="n">
        <v>46296</v>
      </c>
      <c r="B926" s="104" t="s">
        <v>33</v>
      </c>
      <c r="C926" s="104" t="s">
        <v>461</v>
      </c>
      <c r="D926" s="105" t="n">
        <v>3.5833</v>
      </c>
      <c r="E926" s="106" t="n">
        <v>153.2558</v>
      </c>
      <c r="F926" s="107" t="n">
        <f aca="false">IF($C926="","",$D926*$E926)</f>
        <v>549.16150814</v>
      </c>
      <c r="G926" s="107" t="n">
        <f aca="false">IF($C926="","",$D926*IFERROR(INDEX('تحليل التكلفة والسعر'!$C$2:$C$700,MATCH($C926,'تحليل التكلفة والسعر'!$B$2:$B$700,0)),0))</f>
        <v>278.70369905</v>
      </c>
      <c r="H926" s="104" t="s">
        <v>719</v>
      </c>
    </row>
    <row r="927" customFormat="false" ht="15" hidden="false" customHeight="false" outlineLevel="0" collapsed="false">
      <c r="A927" s="103" t="n">
        <v>46297</v>
      </c>
      <c r="B927" s="104" t="s">
        <v>33</v>
      </c>
      <c r="C927" s="104" t="s">
        <v>461</v>
      </c>
      <c r="D927" s="105" t="n">
        <v>3.5833</v>
      </c>
      <c r="E927" s="106" t="n">
        <v>153.2558</v>
      </c>
      <c r="F927" s="107" t="n">
        <f aca="false">IF($C927="","",$D927*$E927)</f>
        <v>549.16150814</v>
      </c>
      <c r="G927" s="107" t="n">
        <f aca="false">IF($C927="","",$D927*IFERROR(INDEX('تحليل التكلفة والسعر'!$C$2:$C$700,MATCH($C927,'تحليل التكلفة والسعر'!$B$2:$B$700,0)),0))</f>
        <v>278.70369905</v>
      </c>
      <c r="H927" s="104" t="s">
        <v>719</v>
      </c>
    </row>
    <row r="928" customFormat="false" ht="15" hidden="false" customHeight="false" outlineLevel="0" collapsed="false">
      <c r="A928" s="103" t="n">
        <v>46298</v>
      </c>
      <c r="B928" s="104" t="s">
        <v>33</v>
      </c>
      <c r="C928" s="104" t="s">
        <v>461</v>
      </c>
      <c r="D928" s="105" t="n">
        <v>3.5833</v>
      </c>
      <c r="E928" s="106" t="n">
        <v>153.2558</v>
      </c>
      <c r="F928" s="107" t="n">
        <f aca="false">IF($C928="","",$D928*$E928)</f>
        <v>549.16150814</v>
      </c>
      <c r="G928" s="107" t="n">
        <f aca="false">IF($C928="","",$D928*IFERROR(INDEX('تحليل التكلفة والسعر'!$C$2:$C$700,MATCH($C928,'تحليل التكلفة والسعر'!$B$2:$B$700,0)),0))</f>
        <v>278.70369905</v>
      </c>
      <c r="H928" s="104" t="s">
        <v>719</v>
      </c>
    </row>
    <row r="929" customFormat="false" ht="15" hidden="false" customHeight="false" outlineLevel="0" collapsed="false">
      <c r="A929" s="103" t="n">
        <v>46299</v>
      </c>
      <c r="B929" s="104" t="s">
        <v>33</v>
      </c>
      <c r="C929" s="104" t="s">
        <v>461</v>
      </c>
      <c r="D929" s="105" t="n">
        <v>3.5833</v>
      </c>
      <c r="E929" s="106" t="n">
        <v>153.2558</v>
      </c>
      <c r="F929" s="107" t="n">
        <f aca="false">IF($C929="","",$D929*$E929)</f>
        <v>549.16150814</v>
      </c>
      <c r="G929" s="107" t="n">
        <f aca="false">IF($C929="","",$D929*IFERROR(INDEX('تحليل التكلفة والسعر'!$C$2:$C$700,MATCH($C929,'تحليل التكلفة والسعر'!$B$2:$B$700,0)),0))</f>
        <v>278.70369905</v>
      </c>
      <c r="H929" s="104" t="s">
        <v>719</v>
      </c>
    </row>
    <row r="930" customFormat="false" ht="15" hidden="false" customHeight="false" outlineLevel="0" collapsed="false">
      <c r="A930" s="103" t="n">
        <v>46300</v>
      </c>
      <c r="B930" s="104" t="s">
        <v>33</v>
      </c>
      <c r="C930" s="104" t="s">
        <v>461</v>
      </c>
      <c r="D930" s="105" t="n">
        <v>3.5833</v>
      </c>
      <c r="E930" s="106" t="n">
        <v>153.2558</v>
      </c>
      <c r="F930" s="107" t="n">
        <f aca="false">IF($C930="","",$D930*$E930)</f>
        <v>549.16150814</v>
      </c>
      <c r="G930" s="107" t="n">
        <f aca="false">IF($C930="","",$D930*IFERROR(INDEX('تحليل التكلفة والسعر'!$C$2:$C$700,MATCH($C930,'تحليل التكلفة والسعر'!$B$2:$B$700,0)),0))</f>
        <v>278.70369905</v>
      </c>
      <c r="H930" s="104" t="s">
        <v>719</v>
      </c>
    </row>
    <row r="931" customFormat="false" ht="15" hidden="false" customHeight="false" outlineLevel="0" collapsed="false">
      <c r="A931" s="103" t="n">
        <v>46301</v>
      </c>
      <c r="B931" s="104" t="s">
        <v>33</v>
      </c>
      <c r="C931" s="104" t="s">
        <v>461</v>
      </c>
      <c r="D931" s="105" t="n">
        <v>3.5833</v>
      </c>
      <c r="E931" s="106" t="n">
        <v>153.2558</v>
      </c>
      <c r="F931" s="107" t="n">
        <f aca="false">IF($C931="","",$D931*$E931)</f>
        <v>549.16150814</v>
      </c>
      <c r="G931" s="107" t="n">
        <f aca="false">IF($C931="","",$D931*IFERROR(INDEX('تحليل التكلفة والسعر'!$C$2:$C$700,MATCH($C931,'تحليل التكلفة والسعر'!$B$2:$B$700,0)),0))</f>
        <v>278.70369905</v>
      </c>
      <c r="H931" s="104" t="s">
        <v>719</v>
      </c>
    </row>
    <row r="932" customFormat="false" ht="15" hidden="false" customHeight="false" outlineLevel="0" collapsed="false">
      <c r="A932" s="103" t="n">
        <v>46302</v>
      </c>
      <c r="B932" s="104" t="s">
        <v>33</v>
      </c>
      <c r="C932" s="104" t="s">
        <v>461</v>
      </c>
      <c r="D932" s="105" t="n">
        <v>3.5833</v>
      </c>
      <c r="E932" s="106" t="n">
        <v>153.2558</v>
      </c>
      <c r="F932" s="107" t="n">
        <f aca="false">IF($C932="","",$D932*$E932)</f>
        <v>549.16150814</v>
      </c>
      <c r="G932" s="107" t="n">
        <f aca="false">IF($C932="","",$D932*IFERROR(INDEX('تحليل التكلفة والسعر'!$C$2:$C$700,MATCH($C932,'تحليل التكلفة والسعر'!$B$2:$B$700,0)),0))</f>
        <v>278.70369905</v>
      </c>
      <c r="H932" s="104" t="s">
        <v>719</v>
      </c>
    </row>
    <row r="933" customFormat="false" ht="15" hidden="false" customHeight="false" outlineLevel="0" collapsed="false">
      <c r="A933" s="103" t="n">
        <v>46303</v>
      </c>
      <c r="B933" s="104" t="s">
        <v>33</v>
      </c>
      <c r="C933" s="104" t="s">
        <v>461</v>
      </c>
      <c r="D933" s="105" t="n">
        <v>3.5833</v>
      </c>
      <c r="E933" s="106" t="n">
        <v>153.2558</v>
      </c>
      <c r="F933" s="107" t="n">
        <f aca="false">IF($C933="","",$D933*$E933)</f>
        <v>549.16150814</v>
      </c>
      <c r="G933" s="107" t="n">
        <f aca="false">IF($C933="","",$D933*IFERROR(INDEX('تحليل التكلفة والسعر'!$C$2:$C$700,MATCH($C933,'تحليل التكلفة والسعر'!$B$2:$B$700,0)),0))</f>
        <v>278.70369905</v>
      </c>
      <c r="H933" s="104" t="s">
        <v>719</v>
      </c>
    </row>
    <row r="934" customFormat="false" ht="15" hidden="false" customHeight="false" outlineLevel="0" collapsed="false">
      <c r="A934" s="103" t="n">
        <v>46304</v>
      </c>
      <c r="B934" s="104" t="s">
        <v>33</v>
      </c>
      <c r="C934" s="104" t="s">
        <v>461</v>
      </c>
      <c r="D934" s="105" t="n">
        <v>3.5833</v>
      </c>
      <c r="E934" s="106" t="n">
        <v>153.2558</v>
      </c>
      <c r="F934" s="107" t="n">
        <f aca="false">IF($C934="","",$D934*$E934)</f>
        <v>549.16150814</v>
      </c>
      <c r="G934" s="107" t="n">
        <f aca="false">IF($C934="","",$D934*IFERROR(INDEX('تحليل التكلفة والسعر'!$C$2:$C$700,MATCH($C934,'تحليل التكلفة والسعر'!$B$2:$B$700,0)),0))</f>
        <v>278.70369905</v>
      </c>
      <c r="H934" s="104" t="s">
        <v>719</v>
      </c>
    </row>
    <row r="935" customFormat="false" ht="15" hidden="false" customHeight="false" outlineLevel="0" collapsed="false">
      <c r="A935" s="103" t="n">
        <v>46305</v>
      </c>
      <c r="B935" s="104" t="s">
        <v>33</v>
      </c>
      <c r="C935" s="104" t="s">
        <v>461</v>
      </c>
      <c r="D935" s="105" t="n">
        <v>3.5833</v>
      </c>
      <c r="E935" s="106" t="n">
        <v>153.2558</v>
      </c>
      <c r="F935" s="107" t="n">
        <f aca="false">IF($C935="","",$D935*$E935)</f>
        <v>549.16150814</v>
      </c>
      <c r="G935" s="107" t="n">
        <f aca="false">IF($C935="","",$D935*IFERROR(INDEX('تحليل التكلفة والسعر'!$C$2:$C$700,MATCH($C935,'تحليل التكلفة والسعر'!$B$2:$B$700,0)),0))</f>
        <v>278.70369905</v>
      </c>
      <c r="H935" s="104" t="s">
        <v>719</v>
      </c>
    </row>
    <row r="936" customFormat="false" ht="15" hidden="false" customHeight="false" outlineLevel="0" collapsed="false">
      <c r="A936" s="103" t="n">
        <v>46306</v>
      </c>
      <c r="B936" s="104" t="s">
        <v>33</v>
      </c>
      <c r="C936" s="104" t="s">
        <v>461</v>
      </c>
      <c r="D936" s="105" t="n">
        <v>3.5833</v>
      </c>
      <c r="E936" s="106" t="n">
        <v>153.2558</v>
      </c>
      <c r="F936" s="107" t="n">
        <f aca="false">IF($C936="","",$D936*$E936)</f>
        <v>549.16150814</v>
      </c>
      <c r="G936" s="107" t="n">
        <f aca="false">IF($C936="","",$D936*IFERROR(INDEX('تحليل التكلفة والسعر'!$C$2:$C$700,MATCH($C936,'تحليل التكلفة والسعر'!$B$2:$B$700,0)),0))</f>
        <v>278.70369905</v>
      </c>
      <c r="H936" s="104" t="s">
        <v>719</v>
      </c>
    </row>
    <row r="937" customFormat="false" ht="15" hidden="false" customHeight="false" outlineLevel="0" collapsed="false">
      <c r="A937" s="103" t="n">
        <v>46307</v>
      </c>
      <c r="B937" s="104" t="s">
        <v>33</v>
      </c>
      <c r="C937" s="104" t="s">
        <v>461</v>
      </c>
      <c r="D937" s="105" t="n">
        <v>3.5833</v>
      </c>
      <c r="E937" s="106" t="n">
        <v>153.2558</v>
      </c>
      <c r="F937" s="107" t="n">
        <f aca="false">IF($C937="","",$D937*$E937)</f>
        <v>549.16150814</v>
      </c>
      <c r="G937" s="107" t="n">
        <f aca="false">IF($C937="","",$D937*IFERROR(INDEX('تحليل التكلفة والسعر'!$C$2:$C$700,MATCH($C937,'تحليل التكلفة والسعر'!$B$2:$B$700,0)),0))</f>
        <v>278.70369905</v>
      </c>
      <c r="H937" s="104" t="s">
        <v>719</v>
      </c>
    </row>
    <row r="938" customFormat="false" ht="15" hidden="false" customHeight="false" outlineLevel="0" collapsed="false">
      <c r="A938" s="103" t="n">
        <v>46296</v>
      </c>
      <c r="B938" s="104" t="s">
        <v>33</v>
      </c>
      <c r="C938" s="104" t="s">
        <v>392</v>
      </c>
      <c r="D938" s="105" t="n">
        <v>0.1667</v>
      </c>
      <c r="E938" s="106" t="n">
        <v>240</v>
      </c>
      <c r="F938" s="107" t="n">
        <f aca="false">IF($C938="","",$D938*$E938)</f>
        <v>40.008</v>
      </c>
      <c r="G938" s="107" t="n">
        <f aca="false">IF($C938="","",$D938*IFERROR(INDEX('تحليل التكلفة والسعر'!$C$2:$C$700,MATCH($C938,'تحليل التكلفة والسعر'!$B$2:$B$700,0)),0))</f>
        <v>15.99639864</v>
      </c>
      <c r="H938" s="104" t="s">
        <v>719</v>
      </c>
    </row>
    <row r="939" customFormat="false" ht="15" hidden="false" customHeight="false" outlineLevel="0" collapsed="false">
      <c r="A939" s="103" t="n">
        <v>46297</v>
      </c>
      <c r="B939" s="104" t="s">
        <v>33</v>
      </c>
      <c r="C939" s="104" t="s">
        <v>392</v>
      </c>
      <c r="D939" s="105" t="n">
        <v>0.1667</v>
      </c>
      <c r="E939" s="106" t="n">
        <v>240</v>
      </c>
      <c r="F939" s="107" t="n">
        <f aca="false">IF($C939="","",$D939*$E939)</f>
        <v>40.008</v>
      </c>
      <c r="G939" s="107" t="n">
        <f aca="false">IF($C939="","",$D939*IFERROR(INDEX('تحليل التكلفة والسعر'!$C$2:$C$700,MATCH($C939,'تحليل التكلفة والسعر'!$B$2:$B$700,0)),0))</f>
        <v>15.99639864</v>
      </c>
      <c r="H939" s="104" t="s">
        <v>719</v>
      </c>
    </row>
    <row r="940" customFormat="false" ht="15" hidden="false" customHeight="false" outlineLevel="0" collapsed="false">
      <c r="A940" s="103" t="n">
        <v>46298</v>
      </c>
      <c r="B940" s="104" t="s">
        <v>33</v>
      </c>
      <c r="C940" s="104" t="s">
        <v>392</v>
      </c>
      <c r="D940" s="105" t="n">
        <v>0.1667</v>
      </c>
      <c r="E940" s="106" t="n">
        <v>240</v>
      </c>
      <c r="F940" s="107" t="n">
        <f aca="false">IF($C940="","",$D940*$E940)</f>
        <v>40.008</v>
      </c>
      <c r="G940" s="107" t="n">
        <f aca="false">IF($C940="","",$D940*IFERROR(INDEX('تحليل التكلفة والسعر'!$C$2:$C$700,MATCH($C940,'تحليل التكلفة والسعر'!$B$2:$B$700,0)),0))</f>
        <v>15.99639864</v>
      </c>
      <c r="H940" s="104" t="s">
        <v>719</v>
      </c>
    </row>
    <row r="941" customFormat="false" ht="15" hidden="false" customHeight="false" outlineLevel="0" collapsed="false">
      <c r="A941" s="103" t="n">
        <v>46299</v>
      </c>
      <c r="B941" s="104" t="s">
        <v>33</v>
      </c>
      <c r="C941" s="104" t="s">
        <v>392</v>
      </c>
      <c r="D941" s="105" t="n">
        <v>0.1667</v>
      </c>
      <c r="E941" s="106" t="n">
        <v>240</v>
      </c>
      <c r="F941" s="107" t="n">
        <f aca="false">IF($C941="","",$D941*$E941)</f>
        <v>40.008</v>
      </c>
      <c r="G941" s="107" t="n">
        <f aca="false">IF($C941="","",$D941*IFERROR(INDEX('تحليل التكلفة والسعر'!$C$2:$C$700,MATCH($C941,'تحليل التكلفة والسعر'!$B$2:$B$700,0)),0))</f>
        <v>15.99639864</v>
      </c>
      <c r="H941" s="104" t="s">
        <v>719</v>
      </c>
    </row>
    <row r="942" customFormat="false" ht="15" hidden="false" customHeight="false" outlineLevel="0" collapsed="false">
      <c r="A942" s="103" t="n">
        <v>46300</v>
      </c>
      <c r="B942" s="104" t="s">
        <v>33</v>
      </c>
      <c r="C942" s="104" t="s">
        <v>392</v>
      </c>
      <c r="D942" s="105" t="n">
        <v>0.1667</v>
      </c>
      <c r="E942" s="106" t="n">
        <v>240</v>
      </c>
      <c r="F942" s="107" t="n">
        <f aca="false">IF($C942="","",$D942*$E942)</f>
        <v>40.008</v>
      </c>
      <c r="G942" s="107" t="n">
        <f aca="false">IF($C942="","",$D942*IFERROR(INDEX('تحليل التكلفة والسعر'!$C$2:$C$700,MATCH($C942,'تحليل التكلفة والسعر'!$B$2:$B$700,0)),0))</f>
        <v>15.99639864</v>
      </c>
      <c r="H942" s="104" t="s">
        <v>719</v>
      </c>
    </row>
    <row r="943" customFormat="false" ht="15" hidden="false" customHeight="false" outlineLevel="0" collapsed="false">
      <c r="A943" s="103" t="n">
        <v>46301</v>
      </c>
      <c r="B943" s="104" t="s">
        <v>33</v>
      </c>
      <c r="C943" s="104" t="s">
        <v>392</v>
      </c>
      <c r="D943" s="105" t="n">
        <v>0.1667</v>
      </c>
      <c r="E943" s="106" t="n">
        <v>240</v>
      </c>
      <c r="F943" s="107" t="n">
        <f aca="false">IF($C943="","",$D943*$E943)</f>
        <v>40.008</v>
      </c>
      <c r="G943" s="107" t="n">
        <f aca="false">IF($C943="","",$D943*IFERROR(INDEX('تحليل التكلفة والسعر'!$C$2:$C$700,MATCH($C943,'تحليل التكلفة والسعر'!$B$2:$B$700,0)),0))</f>
        <v>15.99639864</v>
      </c>
      <c r="H943" s="104" t="s">
        <v>719</v>
      </c>
    </row>
    <row r="944" customFormat="false" ht="15" hidden="false" customHeight="false" outlineLevel="0" collapsed="false">
      <c r="A944" s="103" t="n">
        <v>46302</v>
      </c>
      <c r="B944" s="104" t="s">
        <v>33</v>
      </c>
      <c r="C944" s="104" t="s">
        <v>392</v>
      </c>
      <c r="D944" s="105" t="n">
        <v>0.1667</v>
      </c>
      <c r="E944" s="106" t="n">
        <v>240</v>
      </c>
      <c r="F944" s="107" t="n">
        <f aca="false">IF($C944="","",$D944*$E944)</f>
        <v>40.008</v>
      </c>
      <c r="G944" s="107" t="n">
        <f aca="false">IF($C944="","",$D944*IFERROR(INDEX('تحليل التكلفة والسعر'!$C$2:$C$700,MATCH($C944,'تحليل التكلفة والسعر'!$B$2:$B$700,0)),0))</f>
        <v>15.99639864</v>
      </c>
      <c r="H944" s="104" t="s">
        <v>719</v>
      </c>
    </row>
    <row r="945" customFormat="false" ht="15" hidden="false" customHeight="false" outlineLevel="0" collapsed="false">
      <c r="A945" s="103" t="n">
        <v>46303</v>
      </c>
      <c r="B945" s="104" t="s">
        <v>33</v>
      </c>
      <c r="C945" s="104" t="s">
        <v>392</v>
      </c>
      <c r="D945" s="105" t="n">
        <v>0.1667</v>
      </c>
      <c r="E945" s="106" t="n">
        <v>240</v>
      </c>
      <c r="F945" s="107" t="n">
        <f aca="false">IF($C945="","",$D945*$E945)</f>
        <v>40.008</v>
      </c>
      <c r="G945" s="107" t="n">
        <f aca="false">IF($C945="","",$D945*IFERROR(INDEX('تحليل التكلفة والسعر'!$C$2:$C$700,MATCH($C945,'تحليل التكلفة والسعر'!$B$2:$B$700,0)),0))</f>
        <v>15.99639864</v>
      </c>
      <c r="H945" s="104" t="s">
        <v>719</v>
      </c>
    </row>
    <row r="946" customFormat="false" ht="15" hidden="false" customHeight="false" outlineLevel="0" collapsed="false">
      <c r="A946" s="103" t="n">
        <v>46304</v>
      </c>
      <c r="B946" s="104" t="s">
        <v>33</v>
      </c>
      <c r="C946" s="104" t="s">
        <v>392</v>
      </c>
      <c r="D946" s="105" t="n">
        <v>0.1667</v>
      </c>
      <c r="E946" s="106" t="n">
        <v>240</v>
      </c>
      <c r="F946" s="107" t="n">
        <f aca="false">IF($C946="","",$D946*$E946)</f>
        <v>40.008</v>
      </c>
      <c r="G946" s="107" t="n">
        <f aca="false">IF($C946="","",$D946*IFERROR(INDEX('تحليل التكلفة والسعر'!$C$2:$C$700,MATCH($C946,'تحليل التكلفة والسعر'!$B$2:$B$700,0)),0))</f>
        <v>15.99639864</v>
      </c>
      <c r="H946" s="104" t="s">
        <v>719</v>
      </c>
    </row>
    <row r="947" customFormat="false" ht="15" hidden="false" customHeight="false" outlineLevel="0" collapsed="false">
      <c r="A947" s="103" t="n">
        <v>46305</v>
      </c>
      <c r="B947" s="104" t="s">
        <v>33</v>
      </c>
      <c r="C947" s="104" t="s">
        <v>392</v>
      </c>
      <c r="D947" s="105" t="n">
        <v>0.1667</v>
      </c>
      <c r="E947" s="106" t="n">
        <v>240</v>
      </c>
      <c r="F947" s="107" t="n">
        <f aca="false">IF($C947="","",$D947*$E947)</f>
        <v>40.008</v>
      </c>
      <c r="G947" s="107" t="n">
        <f aca="false">IF($C947="","",$D947*IFERROR(INDEX('تحليل التكلفة والسعر'!$C$2:$C$700,MATCH($C947,'تحليل التكلفة والسعر'!$B$2:$B$700,0)),0))</f>
        <v>15.99639864</v>
      </c>
      <c r="H947" s="104" t="s">
        <v>719</v>
      </c>
    </row>
    <row r="948" customFormat="false" ht="15" hidden="false" customHeight="false" outlineLevel="0" collapsed="false">
      <c r="A948" s="103" t="n">
        <v>46306</v>
      </c>
      <c r="B948" s="104" t="s">
        <v>33</v>
      </c>
      <c r="C948" s="104" t="s">
        <v>392</v>
      </c>
      <c r="D948" s="105" t="n">
        <v>0.1667</v>
      </c>
      <c r="E948" s="106" t="n">
        <v>240</v>
      </c>
      <c r="F948" s="107" t="n">
        <f aca="false">IF($C948="","",$D948*$E948)</f>
        <v>40.008</v>
      </c>
      <c r="G948" s="107" t="n">
        <f aca="false">IF($C948="","",$D948*IFERROR(INDEX('تحليل التكلفة والسعر'!$C$2:$C$700,MATCH($C948,'تحليل التكلفة والسعر'!$B$2:$B$700,0)),0))</f>
        <v>15.99639864</v>
      </c>
      <c r="H948" s="104" t="s">
        <v>719</v>
      </c>
    </row>
    <row r="949" customFormat="false" ht="15" hidden="false" customHeight="false" outlineLevel="0" collapsed="false">
      <c r="A949" s="103" t="n">
        <v>46307</v>
      </c>
      <c r="B949" s="104" t="s">
        <v>33</v>
      </c>
      <c r="C949" s="104" t="s">
        <v>392</v>
      </c>
      <c r="D949" s="105" t="n">
        <v>0.1667</v>
      </c>
      <c r="E949" s="106" t="n">
        <v>240</v>
      </c>
      <c r="F949" s="107" t="n">
        <f aca="false">IF($C949="","",$D949*$E949)</f>
        <v>40.008</v>
      </c>
      <c r="G949" s="107" t="n">
        <f aca="false">IF($C949="","",$D949*IFERROR(INDEX('تحليل التكلفة والسعر'!$C$2:$C$700,MATCH($C949,'تحليل التكلفة والسعر'!$B$2:$B$700,0)),0))</f>
        <v>15.99639864</v>
      </c>
      <c r="H949" s="104" t="s">
        <v>719</v>
      </c>
    </row>
    <row r="950" customFormat="false" ht="15" hidden="false" customHeight="false" outlineLevel="0" collapsed="false">
      <c r="A950" s="103" t="n">
        <v>46296</v>
      </c>
      <c r="B950" s="104" t="s">
        <v>33</v>
      </c>
      <c r="C950" s="104" t="s">
        <v>445</v>
      </c>
      <c r="D950" s="105" t="n">
        <v>0.1667</v>
      </c>
      <c r="E950" s="106" t="n">
        <v>150</v>
      </c>
      <c r="F950" s="107" t="n">
        <f aca="false">IF($C950="","",$D950*$E950)</f>
        <v>25.005</v>
      </c>
      <c r="G950" s="107" t="n">
        <f aca="false">IF($C950="","",$D950*IFERROR(INDEX('تحليل التكلفة والسعر'!$C$2:$C$700,MATCH($C950,'تحليل التكلفة والسعر'!$B$2:$B$700,0)),0))</f>
        <v>13.23167914</v>
      </c>
      <c r="H950" s="104" t="s">
        <v>719</v>
      </c>
    </row>
    <row r="951" customFormat="false" ht="15" hidden="false" customHeight="false" outlineLevel="0" collapsed="false">
      <c r="A951" s="103" t="n">
        <v>46297</v>
      </c>
      <c r="B951" s="104" t="s">
        <v>33</v>
      </c>
      <c r="C951" s="104" t="s">
        <v>445</v>
      </c>
      <c r="D951" s="105" t="n">
        <v>0.1667</v>
      </c>
      <c r="E951" s="106" t="n">
        <v>150</v>
      </c>
      <c r="F951" s="107" t="n">
        <f aca="false">IF($C951="","",$D951*$E951)</f>
        <v>25.005</v>
      </c>
      <c r="G951" s="107" t="n">
        <f aca="false">IF($C951="","",$D951*IFERROR(INDEX('تحليل التكلفة والسعر'!$C$2:$C$700,MATCH($C951,'تحليل التكلفة والسعر'!$B$2:$B$700,0)),0))</f>
        <v>13.23167914</v>
      </c>
      <c r="H951" s="104" t="s">
        <v>719</v>
      </c>
    </row>
    <row r="952" customFormat="false" ht="15" hidden="false" customHeight="false" outlineLevel="0" collapsed="false">
      <c r="A952" s="103" t="n">
        <v>46298</v>
      </c>
      <c r="B952" s="104" t="s">
        <v>33</v>
      </c>
      <c r="C952" s="104" t="s">
        <v>445</v>
      </c>
      <c r="D952" s="105" t="n">
        <v>0.1667</v>
      </c>
      <c r="E952" s="106" t="n">
        <v>150</v>
      </c>
      <c r="F952" s="107" t="n">
        <f aca="false">IF($C952="","",$D952*$E952)</f>
        <v>25.005</v>
      </c>
      <c r="G952" s="107" t="n">
        <f aca="false">IF($C952="","",$D952*IFERROR(INDEX('تحليل التكلفة والسعر'!$C$2:$C$700,MATCH($C952,'تحليل التكلفة والسعر'!$B$2:$B$700,0)),0))</f>
        <v>13.23167914</v>
      </c>
      <c r="H952" s="104" t="s">
        <v>719</v>
      </c>
    </row>
    <row r="953" customFormat="false" ht="15" hidden="false" customHeight="false" outlineLevel="0" collapsed="false">
      <c r="A953" s="103" t="n">
        <v>46299</v>
      </c>
      <c r="B953" s="104" t="s">
        <v>33</v>
      </c>
      <c r="C953" s="104" t="s">
        <v>445</v>
      </c>
      <c r="D953" s="105" t="n">
        <v>0.1667</v>
      </c>
      <c r="E953" s="106" t="n">
        <v>150</v>
      </c>
      <c r="F953" s="107" t="n">
        <f aca="false">IF($C953="","",$D953*$E953)</f>
        <v>25.005</v>
      </c>
      <c r="G953" s="107" t="n">
        <f aca="false">IF($C953="","",$D953*IFERROR(INDEX('تحليل التكلفة والسعر'!$C$2:$C$700,MATCH($C953,'تحليل التكلفة والسعر'!$B$2:$B$700,0)),0))</f>
        <v>13.23167914</v>
      </c>
      <c r="H953" s="104" t="s">
        <v>719</v>
      </c>
    </row>
    <row r="954" customFormat="false" ht="15" hidden="false" customHeight="false" outlineLevel="0" collapsed="false">
      <c r="A954" s="103" t="n">
        <v>46300</v>
      </c>
      <c r="B954" s="104" t="s">
        <v>33</v>
      </c>
      <c r="C954" s="104" t="s">
        <v>445</v>
      </c>
      <c r="D954" s="105" t="n">
        <v>0.1667</v>
      </c>
      <c r="E954" s="106" t="n">
        <v>150</v>
      </c>
      <c r="F954" s="107" t="n">
        <f aca="false">IF($C954="","",$D954*$E954)</f>
        <v>25.005</v>
      </c>
      <c r="G954" s="107" t="n">
        <f aca="false">IF($C954="","",$D954*IFERROR(INDEX('تحليل التكلفة والسعر'!$C$2:$C$700,MATCH($C954,'تحليل التكلفة والسعر'!$B$2:$B$700,0)),0))</f>
        <v>13.23167914</v>
      </c>
      <c r="H954" s="104" t="s">
        <v>719</v>
      </c>
    </row>
    <row r="955" customFormat="false" ht="15" hidden="false" customHeight="false" outlineLevel="0" collapsed="false">
      <c r="A955" s="103" t="n">
        <v>46301</v>
      </c>
      <c r="B955" s="104" t="s">
        <v>33</v>
      </c>
      <c r="C955" s="104" t="s">
        <v>445</v>
      </c>
      <c r="D955" s="105" t="n">
        <v>0.1667</v>
      </c>
      <c r="E955" s="106" t="n">
        <v>150</v>
      </c>
      <c r="F955" s="107" t="n">
        <f aca="false">IF($C955="","",$D955*$E955)</f>
        <v>25.005</v>
      </c>
      <c r="G955" s="107" t="n">
        <f aca="false">IF($C955="","",$D955*IFERROR(INDEX('تحليل التكلفة والسعر'!$C$2:$C$700,MATCH($C955,'تحليل التكلفة والسعر'!$B$2:$B$700,0)),0))</f>
        <v>13.23167914</v>
      </c>
      <c r="H955" s="104" t="s">
        <v>719</v>
      </c>
    </row>
    <row r="956" customFormat="false" ht="15" hidden="false" customHeight="false" outlineLevel="0" collapsed="false">
      <c r="A956" s="103" t="n">
        <v>46302</v>
      </c>
      <c r="B956" s="104" t="s">
        <v>33</v>
      </c>
      <c r="C956" s="104" t="s">
        <v>445</v>
      </c>
      <c r="D956" s="105" t="n">
        <v>0.1667</v>
      </c>
      <c r="E956" s="106" t="n">
        <v>150</v>
      </c>
      <c r="F956" s="107" t="n">
        <f aca="false">IF($C956="","",$D956*$E956)</f>
        <v>25.005</v>
      </c>
      <c r="G956" s="107" t="n">
        <f aca="false">IF($C956="","",$D956*IFERROR(INDEX('تحليل التكلفة والسعر'!$C$2:$C$700,MATCH($C956,'تحليل التكلفة والسعر'!$B$2:$B$700,0)),0))</f>
        <v>13.23167914</v>
      </c>
      <c r="H956" s="104" t="s">
        <v>719</v>
      </c>
    </row>
    <row r="957" customFormat="false" ht="15" hidden="false" customHeight="false" outlineLevel="0" collapsed="false">
      <c r="A957" s="103" t="n">
        <v>46303</v>
      </c>
      <c r="B957" s="104" t="s">
        <v>33</v>
      </c>
      <c r="C957" s="104" t="s">
        <v>445</v>
      </c>
      <c r="D957" s="105" t="n">
        <v>0.1667</v>
      </c>
      <c r="E957" s="106" t="n">
        <v>150</v>
      </c>
      <c r="F957" s="107" t="n">
        <f aca="false">IF($C957="","",$D957*$E957)</f>
        <v>25.005</v>
      </c>
      <c r="G957" s="107" t="n">
        <f aca="false">IF($C957="","",$D957*IFERROR(INDEX('تحليل التكلفة والسعر'!$C$2:$C$700,MATCH($C957,'تحليل التكلفة والسعر'!$B$2:$B$700,0)),0))</f>
        <v>13.23167914</v>
      </c>
      <c r="H957" s="104" t="s">
        <v>719</v>
      </c>
    </row>
    <row r="958" customFormat="false" ht="15" hidden="false" customHeight="false" outlineLevel="0" collapsed="false">
      <c r="A958" s="103" t="n">
        <v>46304</v>
      </c>
      <c r="B958" s="104" t="s">
        <v>33</v>
      </c>
      <c r="C958" s="104" t="s">
        <v>445</v>
      </c>
      <c r="D958" s="105" t="n">
        <v>0.1667</v>
      </c>
      <c r="E958" s="106" t="n">
        <v>150</v>
      </c>
      <c r="F958" s="107" t="n">
        <f aca="false">IF($C958="","",$D958*$E958)</f>
        <v>25.005</v>
      </c>
      <c r="G958" s="107" t="n">
        <f aca="false">IF($C958="","",$D958*IFERROR(INDEX('تحليل التكلفة والسعر'!$C$2:$C$700,MATCH($C958,'تحليل التكلفة والسعر'!$B$2:$B$700,0)),0))</f>
        <v>13.23167914</v>
      </c>
      <c r="H958" s="104" t="s">
        <v>719</v>
      </c>
    </row>
    <row r="959" customFormat="false" ht="15" hidden="false" customHeight="false" outlineLevel="0" collapsed="false">
      <c r="A959" s="103" t="n">
        <v>46305</v>
      </c>
      <c r="B959" s="104" t="s">
        <v>33</v>
      </c>
      <c r="C959" s="104" t="s">
        <v>445</v>
      </c>
      <c r="D959" s="105" t="n">
        <v>0.1667</v>
      </c>
      <c r="E959" s="106" t="n">
        <v>150</v>
      </c>
      <c r="F959" s="107" t="n">
        <f aca="false">IF($C959="","",$D959*$E959)</f>
        <v>25.005</v>
      </c>
      <c r="G959" s="107" t="n">
        <f aca="false">IF($C959="","",$D959*IFERROR(INDEX('تحليل التكلفة والسعر'!$C$2:$C$700,MATCH($C959,'تحليل التكلفة والسعر'!$B$2:$B$700,0)),0))</f>
        <v>13.23167914</v>
      </c>
      <c r="H959" s="104" t="s">
        <v>719</v>
      </c>
    </row>
    <row r="960" customFormat="false" ht="15" hidden="false" customHeight="false" outlineLevel="0" collapsed="false">
      <c r="A960" s="103" t="n">
        <v>46306</v>
      </c>
      <c r="B960" s="104" t="s">
        <v>33</v>
      </c>
      <c r="C960" s="104" t="s">
        <v>445</v>
      </c>
      <c r="D960" s="105" t="n">
        <v>0.1667</v>
      </c>
      <c r="E960" s="106" t="n">
        <v>150</v>
      </c>
      <c r="F960" s="107" t="n">
        <f aca="false">IF($C960="","",$D960*$E960)</f>
        <v>25.005</v>
      </c>
      <c r="G960" s="107" t="n">
        <f aca="false">IF($C960="","",$D960*IFERROR(INDEX('تحليل التكلفة والسعر'!$C$2:$C$700,MATCH($C960,'تحليل التكلفة والسعر'!$B$2:$B$700,0)),0))</f>
        <v>13.23167914</v>
      </c>
      <c r="H960" s="104" t="s">
        <v>719</v>
      </c>
    </row>
    <row r="961" customFormat="false" ht="15" hidden="false" customHeight="false" outlineLevel="0" collapsed="false">
      <c r="A961" s="103" t="n">
        <v>46307</v>
      </c>
      <c r="B961" s="104" t="s">
        <v>33</v>
      </c>
      <c r="C961" s="104" t="s">
        <v>445</v>
      </c>
      <c r="D961" s="105" t="n">
        <v>0.1667</v>
      </c>
      <c r="E961" s="106" t="n">
        <v>150</v>
      </c>
      <c r="F961" s="107" t="n">
        <f aca="false">IF($C961="","",$D961*$E961)</f>
        <v>25.005</v>
      </c>
      <c r="G961" s="107" t="n">
        <f aca="false">IF($C961="","",$D961*IFERROR(INDEX('تحليل التكلفة والسعر'!$C$2:$C$700,MATCH($C961,'تحليل التكلفة والسعر'!$B$2:$B$700,0)),0))</f>
        <v>13.23167914</v>
      </c>
      <c r="H961" s="104" t="s">
        <v>719</v>
      </c>
    </row>
    <row r="962" customFormat="false" ht="15" hidden="false" customHeight="false" outlineLevel="0" collapsed="false">
      <c r="A962" s="103" t="n">
        <v>46296</v>
      </c>
      <c r="B962" s="104" t="s">
        <v>33</v>
      </c>
      <c r="C962" s="104" t="s">
        <v>459</v>
      </c>
      <c r="D962" s="105" t="n">
        <v>0.25</v>
      </c>
      <c r="E962" s="106" t="n">
        <v>160</v>
      </c>
      <c r="F962" s="107" t="n">
        <f aca="false">IF($C962="","",$D962*$E962)</f>
        <v>40</v>
      </c>
      <c r="G962" s="107" t="n">
        <f aca="false">IF($C962="","",$D962*IFERROR(INDEX('تحليل التكلفة والسعر'!$C$2:$C$700,MATCH($C962,'تحليل التكلفة والسعر'!$B$2:$B$700,0)),0))</f>
        <v>20.71855</v>
      </c>
      <c r="H962" s="104" t="s">
        <v>719</v>
      </c>
    </row>
    <row r="963" customFormat="false" ht="15" hidden="false" customHeight="false" outlineLevel="0" collapsed="false">
      <c r="A963" s="103" t="n">
        <v>46297</v>
      </c>
      <c r="B963" s="104" t="s">
        <v>33</v>
      </c>
      <c r="C963" s="104" t="s">
        <v>459</v>
      </c>
      <c r="D963" s="105" t="n">
        <v>0.25</v>
      </c>
      <c r="E963" s="106" t="n">
        <v>160</v>
      </c>
      <c r="F963" s="107" t="n">
        <f aca="false">IF($C963="","",$D963*$E963)</f>
        <v>40</v>
      </c>
      <c r="G963" s="107" t="n">
        <f aca="false">IF($C963="","",$D963*IFERROR(INDEX('تحليل التكلفة والسعر'!$C$2:$C$700,MATCH($C963,'تحليل التكلفة والسعر'!$B$2:$B$700,0)),0))</f>
        <v>20.71855</v>
      </c>
      <c r="H963" s="104" t="s">
        <v>719</v>
      </c>
    </row>
    <row r="964" customFormat="false" ht="15" hidden="false" customHeight="false" outlineLevel="0" collapsed="false">
      <c r="A964" s="103" t="n">
        <v>46298</v>
      </c>
      <c r="B964" s="104" t="s">
        <v>33</v>
      </c>
      <c r="C964" s="104" t="s">
        <v>459</v>
      </c>
      <c r="D964" s="105" t="n">
        <v>0.25</v>
      </c>
      <c r="E964" s="106" t="n">
        <v>160</v>
      </c>
      <c r="F964" s="107" t="n">
        <f aca="false">IF($C964="","",$D964*$E964)</f>
        <v>40</v>
      </c>
      <c r="G964" s="107" t="n">
        <f aca="false">IF($C964="","",$D964*IFERROR(INDEX('تحليل التكلفة والسعر'!$C$2:$C$700,MATCH($C964,'تحليل التكلفة والسعر'!$B$2:$B$700,0)),0))</f>
        <v>20.71855</v>
      </c>
      <c r="H964" s="104" t="s">
        <v>719</v>
      </c>
    </row>
    <row r="965" customFormat="false" ht="15" hidden="false" customHeight="false" outlineLevel="0" collapsed="false">
      <c r="A965" s="103" t="n">
        <v>46299</v>
      </c>
      <c r="B965" s="104" t="s">
        <v>33</v>
      </c>
      <c r="C965" s="104" t="s">
        <v>459</v>
      </c>
      <c r="D965" s="105" t="n">
        <v>0.25</v>
      </c>
      <c r="E965" s="106" t="n">
        <v>160</v>
      </c>
      <c r="F965" s="107" t="n">
        <f aca="false">IF($C965="","",$D965*$E965)</f>
        <v>40</v>
      </c>
      <c r="G965" s="107" t="n">
        <f aca="false">IF($C965="","",$D965*IFERROR(INDEX('تحليل التكلفة والسعر'!$C$2:$C$700,MATCH($C965,'تحليل التكلفة والسعر'!$B$2:$B$700,0)),0))</f>
        <v>20.71855</v>
      </c>
      <c r="H965" s="104" t="s">
        <v>719</v>
      </c>
    </row>
    <row r="966" customFormat="false" ht="15" hidden="false" customHeight="false" outlineLevel="0" collapsed="false">
      <c r="A966" s="103" t="n">
        <v>46300</v>
      </c>
      <c r="B966" s="104" t="s">
        <v>33</v>
      </c>
      <c r="C966" s="104" t="s">
        <v>459</v>
      </c>
      <c r="D966" s="105" t="n">
        <v>0.25</v>
      </c>
      <c r="E966" s="106" t="n">
        <v>160</v>
      </c>
      <c r="F966" s="107" t="n">
        <f aca="false">IF($C966="","",$D966*$E966)</f>
        <v>40</v>
      </c>
      <c r="G966" s="107" t="n">
        <f aca="false">IF($C966="","",$D966*IFERROR(INDEX('تحليل التكلفة والسعر'!$C$2:$C$700,MATCH($C966,'تحليل التكلفة والسعر'!$B$2:$B$700,0)),0))</f>
        <v>20.71855</v>
      </c>
      <c r="H966" s="104" t="s">
        <v>719</v>
      </c>
    </row>
    <row r="967" customFormat="false" ht="15" hidden="false" customHeight="false" outlineLevel="0" collapsed="false">
      <c r="A967" s="103" t="n">
        <v>46301</v>
      </c>
      <c r="B967" s="104" t="s">
        <v>33</v>
      </c>
      <c r="C967" s="104" t="s">
        <v>459</v>
      </c>
      <c r="D967" s="105" t="n">
        <v>0.25</v>
      </c>
      <c r="E967" s="106" t="n">
        <v>160</v>
      </c>
      <c r="F967" s="107" t="n">
        <f aca="false">IF($C967="","",$D967*$E967)</f>
        <v>40</v>
      </c>
      <c r="G967" s="107" t="n">
        <f aca="false">IF($C967="","",$D967*IFERROR(INDEX('تحليل التكلفة والسعر'!$C$2:$C$700,MATCH($C967,'تحليل التكلفة والسعر'!$B$2:$B$700,0)),0))</f>
        <v>20.71855</v>
      </c>
      <c r="H967" s="104" t="s">
        <v>719</v>
      </c>
    </row>
    <row r="968" customFormat="false" ht="15" hidden="false" customHeight="false" outlineLevel="0" collapsed="false">
      <c r="A968" s="103" t="n">
        <v>46302</v>
      </c>
      <c r="B968" s="104" t="s">
        <v>33</v>
      </c>
      <c r="C968" s="104" t="s">
        <v>459</v>
      </c>
      <c r="D968" s="105" t="n">
        <v>0.25</v>
      </c>
      <c r="E968" s="106" t="n">
        <v>160</v>
      </c>
      <c r="F968" s="107" t="n">
        <f aca="false">IF($C968="","",$D968*$E968)</f>
        <v>40</v>
      </c>
      <c r="G968" s="107" t="n">
        <f aca="false">IF($C968="","",$D968*IFERROR(INDEX('تحليل التكلفة والسعر'!$C$2:$C$700,MATCH($C968,'تحليل التكلفة والسعر'!$B$2:$B$700,0)),0))</f>
        <v>20.71855</v>
      </c>
      <c r="H968" s="104" t="s">
        <v>719</v>
      </c>
    </row>
    <row r="969" customFormat="false" ht="15" hidden="false" customHeight="false" outlineLevel="0" collapsed="false">
      <c r="A969" s="103" t="n">
        <v>46303</v>
      </c>
      <c r="B969" s="104" t="s">
        <v>33</v>
      </c>
      <c r="C969" s="104" t="s">
        <v>459</v>
      </c>
      <c r="D969" s="105" t="n">
        <v>0.25</v>
      </c>
      <c r="E969" s="106" t="n">
        <v>160</v>
      </c>
      <c r="F969" s="107" t="n">
        <f aca="false">IF($C969="","",$D969*$E969)</f>
        <v>40</v>
      </c>
      <c r="G969" s="107" t="n">
        <f aca="false">IF($C969="","",$D969*IFERROR(INDEX('تحليل التكلفة والسعر'!$C$2:$C$700,MATCH($C969,'تحليل التكلفة والسعر'!$B$2:$B$700,0)),0))</f>
        <v>20.71855</v>
      </c>
      <c r="H969" s="104" t="s">
        <v>719</v>
      </c>
    </row>
    <row r="970" customFormat="false" ht="15" hidden="false" customHeight="false" outlineLevel="0" collapsed="false">
      <c r="A970" s="103" t="n">
        <v>46304</v>
      </c>
      <c r="B970" s="104" t="s">
        <v>33</v>
      </c>
      <c r="C970" s="104" t="s">
        <v>459</v>
      </c>
      <c r="D970" s="105" t="n">
        <v>0.25</v>
      </c>
      <c r="E970" s="106" t="n">
        <v>160</v>
      </c>
      <c r="F970" s="107" t="n">
        <f aca="false">IF($C970="","",$D970*$E970)</f>
        <v>40</v>
      </c>
      <c r="G970" s="107" t="n">
        <f aca="false">IF($C970="","",$D970*IFERROR(INDEX('تحليل التكلفة والسعر'!$C$2:$C$700,MATCH($C970,'تحليل التكلفة والسعر'!$B$2:$B$700,0)),0))</f>
        <v>20.71855</v>
      </c>
      <c r="H970" s="104" t="s">
        <v>719</v>
      </c>
    </row>
    <row r="971" customFormat="false" ht="15" hidden="false" customHeight="false" outlineLevel="0" collapsed="false">
      <c r="A971" s="103" t="n">
        <v>46305</v>
      </c>
      <c r="B971" s="104" t="s">
        <v>33</v>
      </c>
      <c r="C971" s="104" t="s">
        <v>459</v>
      </c>
      <c r="D971" s="105" t="n">
        <v>0.25</v>
      </c>
      <c r="E971" s="106" t="n">
        <v>160</v>
      </c>
      <c r="F971" s="107" t="n">
        <f aca="false">IF($C971="","",$D971*$E971)</f>
        <v>40</v>
      </c>
      <c r="G971" s="107" t="n">
        <f aca="false">IF($C971="","",$D971*IFERROR(INDEX('تحليل التكلفة والسعر'!$C$2:$C$700,MATCH($C971,'تحليل التكلفة والسعر'!$B$2:$B$700,0)),0))</f>
        <v>20.71855</v>
      </c>
      <c r="H971" s="104" t="s">
        <v>719</v>
      </c>
    </row>
    <row r="972" customFormat="false" ht="15" hidden="false" customHeight="false" outlineLevel="0" collapsed="false">
      <c r="A972" s="103" t="n">
        <v>46306</v>
      </c>
      <c r="B972" s="104" t="s">
        <v>33</v>
      </c>
      <c r="C972" s="104" t="s">
        <v>459</v>
      </c>
      <c r="D972" s="105" t="n">
        <v>0.25</v>
      </c>
      <c r="E972" s="106" t="n">
        <v>160</v>
      </c>
      <c r="F972" s="107" t="n">
        <f aca="false">IF($C972="","",$D972*$E972)</f>
        <v>40</v>
      </c>
      <c r="G972" s="107" t="n">
        <f aca="false">IF($C972="","",$D972*IFERROR(INDEX('تحليل التكلفة والسعر'!$C$2:$C$700,MATCH($C972,'تحليل التكلفة والسعر'!$B$2:$B$700,0)),0))</f>
        <v>20.71855</v>
      </c>
      <c r="H972" s="104" t="s">
        <v>719</v>
      </c>
    </row>
    <row r="973" customFormat="false" ht="15" hidden="false" customHeight="false" outlineLevel="0" collapsed="false">
      <c r="A973" s="103" t="n">
        <v>46307</v>
      </c>
      <c r="B973" s="104" t="s">
        <v>33</v>
      </c>
      <c r="C973" s="104" t="s">
        <v>459</v>
      </c>
      <c r="D973" s="105" t="n">
        <v>0.25</v>
      </c>
      <c r="E973" s="106" t="n">
        <v>160</v>
      </c>
      <c r="F973" s="107" t="n">
        <f aca="false">IF($C973="","",$D973*$E973)</f>
        <v>40</v>
      </c>
      <c r="G973" s="107" t="n">
        <f aca="false">IF($C973="","",$D973*IFERROR(INDEX('تحليل التكلفة والسعر'!$C$2:$C$700,MATCH($C973,'تحليل التكلفة والسعر'!$B$2:$B$700,0)),0))</f>
        <v>20.71855</v>
      </c>
      <c r="H973" s="104" t="s">
        <v>719</v>
      </c>
    </row>
    <row r="974" customFormat="false" ht="15" hidden="false" customHeight="false" outlineLevel="0" collapsed="false">
      <c r="A974" s="103" t="n">
        <v>46296</v>
      </c>
      <c r="B974" s="104" t="s">
        <v>33</v>
      </c>
      <c r="C974" s="104" t="s">
        <v>432</v>
      </c>
      <c r="D974" s="105" t="n">
        <v>0.25</v>
      </c>
      <c r="E974" s="106" t="n">
        <v>208.3333</v>
      </c>
      <c r="F974" s="107" t="n">
        <f aca="false">IF($C974="","",$D974*$E974)</f>
        <v>52.083325</v>
      </c>
      <c r="G974" s="107" t="n">
        <f aca="false">IF($C974="","",$D974*IFERROR(INDEX('تحليل التكلفة والسعر'!$C$2:$C$700,MATCH($C974,'تحليل التكلفة والسعر'!$B$2:$B$700,0)),0))</f>
        <v>18.3549305</v>
      </c>
      <c r="H974" s="104" t="s">
        <v>719</v>
      </c>
    </row>
    <row r="975" customFormat="false" ht="15" hidden="false" customHeight="false" outlineLevel="0" collapsed="false">
      <c r="A975" s="103" t="n">
        <v>46297</v>
      </c>
      <c r="B975" s="104" t="s">
        <v>33</v>
      </c>
      <c r="C975" s="104" t="s">
        <v>432</v>
      </c>
      <c r="D975" s="105" t="n">
        <v>0.25</v>
      </c>
      <c r="E975" s="106" t="n">
        <v>208.3333</v>
      </c>
      <c r="F975" s="107" t="n">
        <f aca="false">IF($C975="","",$D975*$E975)</f>
        <v>52.083325</v>
      </c>
      <c r="G975" s="107" t="n">
        <f aca="false">IF($C975="","",$D975*IFERROR(INDEX('تحليل التكلفة والسعر'!$C$2:$C$700,MATCH($C975,'تحليل التكلفة والسعر'!$B$2:$B$700,0)),0))</f>
        <v>18.3549305</v>
      </c>
      <c r="H975" s="104" t="s">
        <v>719</v>
      </c>
    </row>
    <row r="976" customFormat="false" ht="15" hidden="false" customHeight="false" outlineLevel="0" collapsed="false">
      <c r="A976" s="103" t="n">
        <v>46298</v>
      </c>
      <c r="B976" s="104" t="s">
        <v>33</v>
      </c>
      <c r="C976" s="104" t="s">
        <v>432</v>
      </c>
      <c r="D976" s="105" t="n">
        <v>0.25</v>
      </c>
      <c r="E976" s="106" t="n">
        <v>208.3333</v>
      </c>
      <c r="F976" s="107" t="n">
        <f aca="false">IF($C976="","",$D976*$E976)</f>
        <v>52.083325</v>
      </c>
      <c r="G976" s="107" t="n">
        <f aca="false">IF($C976="","",$D976*IFERROR(INDEX('تحليل التكلفة والسعر'!$C$2:$C$700,MATCH($C976,'تحليل التكلفة والسعر'!$B$2:$B$700,0)),0))</f>
        <v>18.3549305</v>
      </c>
      <c r="H976" s="104" t="s">
        <v>719</v>
      </c>
    </row>
    <row r="977" customFormat="false" ht="15" hidden="false" customHeight="false" outlineLevel="0" collapsed="false">
      <c r="A977" s="103" t="n">
        <v>46299</v>
      </c>
      <c r="B977" s="104" t="s">
        <v>33</v>
      </c>
      <c r="C977" s="104" t="s">
        <v>432</v>
      </c>
      <c r="D977" s="105" t="n">
        <v>0.25</v>
      </c>
      <c r="E977" s="106" t="n">
        <v>208.3333</v>
      </c>
      <c r="F977" s="107" t="n">
        <f aca="false">IF($C977="","",$D977*$E977)</f>
        <v>52.083325</v>
      </c>
      <c r="G977" s="107" t="n">
        <f aca="false">IF($C977="","",$D977*IFERROR(INDEX('تحليل التكلفة والسعر'!$C$2:$C$700,MATCH($C977,'تحليل التكلفة والسعر'!$B$2:$B$700,0)),0))</f>
        <v>18.3549305</v>
      </c>
      <c r="H977" s="104" t="s">
        <v>719</v>
      </c>
    </row>
    <row r="978" customFormat="false" ht="15" hidden="false" customHeight="false" outlineLevel="0" collapsed="false">
      <c r="A978" s="103" t="n">
        <v>46300</v>
      </c>
      <c r="B978" s="104" t="s">
        <v>33</v>
      </c>
      <c r="C978" s="104" t="s">
        <v>432</v>
      </c>
      <c r="D978" s="105" t="n">
        <v>0.25</v>
      </c>
      <c r="E978" s="106" t="n">
        <v>208.3333</v>
      </c>
      <c r="F978" s="107" t="n">
        <f aca="false">IF($C978="","",$D978*$E978)</f>
        <v>52.083325</v>
      </c>
      <c r="G978" s="107" t="n">
        <f aca="false">IF($C978="","",$D978*IFERROR(INDEX('تحليل التكلفة والسعر'!$C$2:$C$700,MATCH($C978,'تحليل التكلفة والسعر'!$B$2:$B$700,0)),0))</f>
        <v>18.3549305</v>
      </c>
      <c r="H978" s="104" t="s">
        <v>719</v>
      </c>
    </row>
    <row r="979" customFormat="false" ht="15" hidden="false" customHeight="false" outlineLevel="0" collapsed="false">
      <c r="A979" s="103" t="n">
        <v>46301</v>
      </c>
      <c r="B979" s="104" t="s">
        <v>33</v>
      </c>
      <c r="C979" s="104" t="s">
        <v>432</v>
      </c>
      <c r="D979" s="105" t="n">
        <v>0.25</v>
      </c>
      <c r="E979" s="106" t="n">
        <v>208.3333</v>
      </c>
      <c r="F979" s="107" t="n">
        <f aca="false">IF($C979="","",$D979*$E979)</f>
        <v>52.083325</v>
      </c>
      <c r="G979" s="107" t="n">
        <f aca="false">IF($C979="","",$D979*IFERROR(INDEX('تحليل التكلفة والسعر'!$C$2:$C$700,MATCH($C979,'تحليل التكلفة والسعر'!$B$2:$B$700,0)),0))</f>
        <v>18.3549305</v>
      </c>
      <c r="H979" s="104" t="s">
        <v>719</v>
      </c>
    </row>
    <row r="980" customFormat="false" ht="15" hidden="false" customHeight="false" outlineLevel="0" collapsed="false">
      <c r="A980" s="103" t="n">
        <v>46302</v>
      </c>
      <c r="B980" s="104" t="s">
        <v>33</v>
      </c>
      <c r="C980" s="104" t="s">
        <v>432</v>
      </c>
      <c r="D980" s="105" t="n">
        <v>0.25</v>
      </c>
      <c r="E980" s="106" t="n">
        <v>208.3333</v>
      </c>
      <c r="F980" s="107" t="n">
        <f aca="false">IF($C980="","",$D980*$E980)</f>
        <v>52.083325</v>
      </c>
      <c r="G980" s="107" t="n">
        <f aca="false">IF($C980="","",$D980*IFERROR(INDEX('تحليل التكلفة والسعر'!$C$2:$C$700,MATCH($C980,'تحليل التكلفة والسعر'!$B$2:$B$700,0)),0))</f>
        <v>18.3549305</v>
      </c>
      <c r="H980" s="104" t="s">
        <v>719</v>
      </c>
    </row>
    <row r="981" customFormat="false" ht="15" hidden="false" customHeight="false" outlineLevel="0" collapsed="false">
      <c r="A981" s="103" t="n">
        <v>46303</v>
      </c>
      <c r="B981" s="104" t="s">
        <v>33</v>
      </c>
      <c r="C981" s="104" t="s">
        <v>432</v>
      </c>
      <c r="D981" s="105" t="n">
        <v>0.25</v>
      </c>
      <c r="E981" s="106" t="n">
        <v>208.3333</v>
      </c>
      <c r="F981" s="107" t="n">
        <f aca="false">IF($C981="","",$D981*$E981)</f>
        <v>52.083325</v>
      </c>
      <c r="G981" s="107" t="n">
        <f aca="false">IF($C981="","",$D981*IFERROR(INDEX('تحليل التكلفة والسعر'!$C$2:$C$700,MATCH($C981,'تحليل التكلفة والسعر'!$B$2:$B$700,0)),0))</f>
        <v>18.3549305</v>
      </c>
      <c r="H981" s="104" t="s">
        <v>719</v>
      </c>
    </row>
    <row r="982" customFormat="false" ht="15" hidden="false" customHeight="false" outlineLevel="0" collapsed="false">
      <c r="A982" s="103" t="n">
        <v>46304</v>
      </c>
      <c r="B982" s="104" t="s">
        <v>33</v>
      </c>
      <c r="C982" s="104" t="s">
        <v>432</v>
      </c>
      <c r="D982" s="105" t="n">
        <v>0.25</v>
      </c>
      <c r="E982" s="106" t="n">
        <v>208.3333</v>
      </c>
      <c r="F982" s="107" t="n">
        <f aca="false">IF($C982="","",$D982*$E982)</f>
        <v>52.083325</v>
      </c>
      <c r="G982" s="107" t="n">
        <f aca="false">IF($C982="","",$D982*IFERROR(INDEX('تحليل التكلفة والسعر'!$C$2:$C$700,MATCH($C982,'تحليل التكلفة والسعر'!$B$2:$B$700,0)),0))</f>
        <v>18.3549305</v>
      </c>
      <c r="H982" s="104" t="s">
        <v>719</v>
      </c>
    </row>
    <row r="983" customFormat="false" ht="15" hidden="false" customHeight="false" outlineLevel="0" collapsed="false">
      <c r="A983" s="103" t="n">
        <v>46305</v>
      </c>
      <c r="B983" s="104" t="s">
        <v>33</v>
      </c>
      <c r="C983" s="104" t="s">
        <v>432</v>
      </c>
      <c r="D983" s="105" t="n">
        <v>0.25</v>
      </c>
      <c r="E983" s="106" t="n">
        <v>208.3333</v>
      </c>
      <c r="F983" s="107" t="n">
        <f aca="false">IF($C983="","",$D983*$E983)</f>
        <v>52.083325</v>
      </c>
      <c r="G983" s="107" t="n">
        <f aca="false">IF($C983="","",$D983*IFERROR(INDEX('تحليل التكلفة والسعر'!$C$2:$C$700,MATCH($C983,'تحليل التكلفة والسعر'!$B$2:$B$700,0)),0))</f>
        <v>18.3549305</v>
      </c>
      <c r="H983" s="104" t="s">
        <v>719</v>
      </c>
    </row>
    <row r="984" customFormat="false" ht="15" hidden="false" customHeight="false" outlineLevel="0" collapsed="false">
      <c r="A984" s="103" t="n">
        <v>46306</v>
      </c>
      <c r="B984" s="104" t="s">
        <v>33</v>
      </c>
      <c r="C984" s="104" t="s">
        <v>432</v>
      </c>
      <c r="D984" s="105" t="n">
        <v>0.25</v>
      </c>
      <c r="E984" s="106" t="n">
        <v>208.3333</v>
      </c>
      <c r="F984" s="107" t="n">
        <f aca="false">IF($C984="","",$D984*$E984)</f>
        <v>52.083325</v>
      </c>
      <c r="G984" s="107" t="n">
        <f aca="false">IF($C984="","",$D984*IFERROR(INDEX('تحليل التكلفة والسعر'!$C$2:$C$700,MATCH($C984,'تحليل التكلفة والسعر'!$B$2:$B$700,0)),0))</f>
        <v>18.3549305</v>
      </c>
      <c r="H984" s="104" t="s">
        <v>719</v>
      </c>
    </row>
    <row r="985" customFormat="false" ht="15" hidden="false" customHeight="false" outlineLevel="0" collapsed="false">
      <c r="A985" s="103" t="n">
        <v>46307</v>
      </c>
      <c r="B985" s="104" t="s">
        <v>33</v>
      </c>
      <c r="C985" s="104" t="s">
        <v>432</v>
      </c>
      <c r="D985" s="105" t="n">
        <v>0.25</v>
      </c>
      <c r="E985" s="106" t="n">
        <v>208.3333</v>
      </c>
      <c r="F985" s="107" t="n">
        <f aca="false">IF($C985="","",$D985*$E985)</f>
        <v>52.083325</v>
      </c>
      <c r="G985" s="107" t="n">
        <f aca="false">IF($C985="","",$D985*IFERROR(INDEX('تحليل التكلفة والسعر'!$C$2:$C$700,MATCH($C985,'تحليل التكلفة والسعر'!$B$2:$B$700,0)),0))</f>
        <v>18.3549305</v>
      </c>
      <c r="H985" s="104" t="s">
        <v>719</v>
      </c>
    </row>
    <row r="986" customFormat="false" ht="15" hidden="false" customHeight="false" outlineLevel="0" collapsed="false">
      <c r="A986" s="103" t="n">
        <v>46296</v>
      </c>
      <c r="B986" s="104" t="s">
        <v>33</v>
      </c>
      <c r="C986" s="104" t="s">
        <v>410</v>
      </c>
      <c r="D986" s="105" t="n">
        <v>0.5833</v>
      </c>
      <c r="E986" s="106" t="n">
        <v>140</v>
      </c>
      <c r="F986" s="107" t="n">
        <f aca="false">IF($C986="","",$D986*$E986)</f>
        <v>81.662</v>
      </c>
      <c r="G986" s="107" t="n">
        <f aca="false">IF($C986="","",$D986*IFERROR(INDEX('تحليل التكلفة والسعر'!$C$2:$C$700,MATCH($C986,'تحليل التكلفة والسعر'!$B$2:$B$700,0)),0))</f>
        <v>45.7412030676</v>
      </c>
      <c r="H986" s="104" t="s">
        <v>719</v>
      </c>
    </row>
    <row r="987" customFormat="false" ht="15" hidden="false" customHeight="false" outlineLevel="0" collapsed="false">
      <c r="A987" s="103" t="n">
        <v>46297</v>
      </c>
      <c r="B987" s="104" t="s">
        <v>33</v>
      </c>
      <c r="C987" s="104" t="s">
        <v>410</v>
      </c>
      <c r="D987" s="105" t="n">
        <v>0.5833</v>
      </c>
      <c r="E987" s="106" t="n">
        <v>140</v>
      </c>
      <c r="F987" s="107" t="n">
        <f aca="false">IF($C987="","",$D987*$E987)</f>
        <v>81.662</v>
      </c>
      <c r="G987" s="107" t="n">
        <f aca="false">IF($C987="","",$D987*IFERROR(INDEX('تحليل التكلفة والسعر'!$C$2:$C$700,MATCH($C987,'تحليل التكلفة والسعر'!$B$2:$B$700,0)),0))</f>
        <v>45.7412030676</v>
      </c>
      <c r="H987" s="104" t="s">
        <v>719</v>
      </c>
    </row>
    <row r="988" customFormat="false" ht="15" hidden="false" customHeight="false" outlineLevel="0" collapsed="false">
      <c r="A988" s="103" t="n">
        <v>46298</v>
      </c>
      <c r="B988" s="104" t="s">
        <v>33</v>
      </c>
      <c r="C988" s="104" t="s">
        <v>410</v>
      </c>
      <c r="D988" s="105" t="n">
        <v>0.5833</v>
      </c>
      <c r="E988" s="106" t="n">
        <v>140</v>
      </c>
      <c r="F988" s="107" t="n">
        <f aca="false">IF($C988="","",$D988*$E988)</f>
        <v>81.662</v>
      </c>
      <c r="G988" s="107" t="n">
        <f aca="false">IF($C988="","",$D988*IFERROR(INDEX('تحليل التكلفة والسعر'!$C$2:$C$700,MATCH($C988,'تحليل التكلفة والسعر'!$B$2:$B$700,0)),0))</f>
        <v>45.7412030676</v>
      </c>
      <c r="H988" s="104" t="s">
        <v>719</v>
      </c>
    </row>
    <row r="989" customFormat="false" ht="15" hidden="false" customHeight="false" outlineLevel="0" collapsed="false">
      <c r="A989" s="103" t="n">
        <v>46299</v>
      </c>
      <c r="B989" s="104" t="s">
        <v>33</v>
      </c>
      <c r="C989" s="104" t="s">
        <v>410</v>
      </c>
      <c r="D989" s="105" t="n">
        <v>0.5833</v>
      </c>
      <c r="E989" s="106" t="n">
        <v>140</v>
      </c>
      <c r="F989" s="107" t="n">
        <f aca="false">IF($C989="","",$D989*$E989)</f>
        <v>81.662</v>
      </c>
      <c r="G989" s="107" t="n">
        <f aca="false">IF($C989="","",$D989*IFERROR(INDEX('تحليل التكلفة والسعر'!$C$2:$C$700,MATCH($C989,'تحليل التكلفة والسعر'!$B$2:$B$700,0)),0))</f>
        <v>45.7412030676</v>
      </c>
      <c r="H989" s="104" t="s">
        <v>719</v>
      </c>
    </row>
    <row r="990" customFormat="false" ht="15" hidden="false" customHeight="false" outlineLevel="0" collapsed="false">
      <c r="A990" s="103" t="n">
        <v>46300</v>
      </c>
      <c r="B990" s="104" t="s">
        <v>33</v>
      </c>
      <c r="C990" s="104" t="s">
        <v>410</v>
      </c>
      <c r="D990" s="105" t="n">
        <v>0.5833</v>
      </c>
      <c r="E990" s="106" t="n">
        <v>140</v>
      </c>
      <c r="F990" s="107" t="n">
        <f aca="false">IF($C990="","",$D990*$E990)</f>
        <v>81.662</v>
      </c>
      <c r="G990" s="107" t="n">
        <f aca="false">IF($C990="","",$D990*IFERROR(INDEX('تحليل التكلفة والسعر'!$C$2:$C$700,MATCH($C990,'تحليل التكلفة والسعر'!$B$2:$B$700,0)),0))</f>
        <v>45.7412030676</v>
      </c>
      <c r="H990" s="104" t="s">
        <v>719</v>
      </c>
    </row>
    <row r="991" customFormat="false" ht="15" hidden="false" customHeight="false" outlineLevel="0" collapsed="false">
      <c r="A991" s="103" t="n">
        <v>46301</v>
      </c>
      <c r="B991" s="104" t="s">
        <v>33</v>
      </c>
      <c r="C991" s="104" t="s">
        <v>410</v>
      </c>
      <c r="D991" s="105" t="n">
        <v>0.5833</v>
      </c>
      <c r="E991" s="106" t="n">
        <v>140</v>
      </c>
      <c r="F991" s="107" t="n">
        <f aca="false">IF($C991="","",$D991*$E991)</f>
        <v>81.662</v>
      </c>
      <c r="G991" s="107" t="n">
        <f aca="false">IF($C991="","",$D991*IFERROR(INDEX('تحليل التكلفة والسعر'!$C$2:$C$700,MATCH($C991,'تحليل التكلفة والسعر'!$B$2:$B$700,0)),0))</f>
        <v>45.7412030676</v>
      </c>
      <c r="H991" s="104" t="s">
        <v>719</v>
      </c>
    </row>
    <row r="992" customFormat="false" ht="15" hidden="false" customHeight="false" outlineLevel="0" collapsed="false">
      <c r="A992" s="103" t="n">
        <v>46302</v>
      </c>
      <c r="B992" s="104" t="s">
        <v>33</v>
      </c>
      <c r="C992" s="104" t="s">
        <v>410</v>
      </c>
      <c r="D992" s="105" t="n">
        <v>0.5833</v>
      </c>
      <c r="E992" s="106" t="n">
        <v>140</v>
      </c>
      <c r="F992" s="107" t="n">
        <f aca="false">IF($C992="","",$D992*$E992)</f>
        <v>81.662</v>
      </c>
      <c r="G992" s="107" t="n">
        <f aca="false">IF($C992="","",$D992*IFERROR(INDEX('تحليل التكلفة والسعر'!$C$2:$C$700,MATCH($C992,'تحليل التكلفة والسعر'!$B$2:$B$700,0)),0))</f>
        <v>45.7412030676</v>
      </c>
      <c r="H992" s="104" t="s">
        <v>719</v>
      </c>
    </row>
    <row r="993" customFormat="false" ht="15" hidden="false" customHeight="false" outlineLevel="0" collapsed="false">
      <c r="A993" s="103" t="n">
        <v>46303</v>
      </c>
      <c r="B993" s="104" t="s">
        <v>33</v>
      </c>
      <c r="C993" s="104" t="s">
        <v>410</v>
      </c>
      <c r="D993" s="105" t="n">
        <v>0.5833</v>
      </c>
      <c r="E993" s="106" t="n">
        <v>140</v>
      </c>
      <c r="F993" s="107" t="n">
        <f aca="false">IF($C993="","",$D993*$E993)</f>
        <v>81.662</v>
      </c>
      <c r="G993" s="107" t="n">
        <f aca="false">IF($C993="","",$D993*IFERROR(INDEX('تحليل التكلفة والسعر'!$C$2:$C$700,MATCH($C993,'تحليل التكلفة والسعر'!$B$2:$B$700,0)),0))</f>
        <v>45.7412030676</v>
      </c>
      <c r="H993" s="104" t="s">
        <v>719</v>
      </c>
    </row>
    <row r="994" customFormat="false" ht="15" hidden="false" customHeight="false" outlineLevel="0" collapsed="false">
      <c r="A994" s="103" t="n">
        <v>46304</v>
      </c>
      <c r="B994" s="104" t="s">
        <v>33</v>
      </c>
      <c r="C994" s="104" t="s">
        <v>410</v>
      </c>
      <c r="D994" s="105" t="n">
        <v>0.5833</v>
      </c>
      <c r="E994" s="106" t="n">
        <v>140</v>
      </c>
      <c r="F994" s="107" t="n">
        <f aca="false">IF($C994="","",$D994*$E994)</f>
        <v>81.662</v>
      </c>
      <c r="G994" s="107" t="n">
        <f aca="false">IF($C994="","",$D994*IFERROR(INDEX('تحليل التكلفة والسعر'!$C$2:$C$700,MATCH($C994,'تحليل التكلفة والسعر'!$B$2:$B$700,0)),0))</f>
        <v>45.7412030676</v>
      </c>
      <c r="H994" s="104" t="s">
        <v>719</v>
      </c>
    </row>
    <row r="995" customFormat="false" ht="15" hidden="false" customHeight="false" outlineLevel="0" collapsed="false">
      <c r="A995" s="103" t="n">
        <v>46305</v>
      </c>
      <c r="B995" s="104" t="s">
        <v>33</v>
      </c>
      <c r="C995" s="104" t="s">
        <v>410</v>
      </c>
      <c r="D995" s="105" t="n">
        <v>0.5833</v>
      </c>
      <c r="E995" s="106" t="n">
        <v>140</v>
      </c>
      <c r="F995" s="107" t="n">
        <f aca="false">IF($C995="","",$D995*$E995)</f>
        <v>81.662</v>
      </c>
      <c r="G995" s="107" t="n">
        <f aca="false">IF($C995="","",$D995*IFERROR(INDEX('تحليل التكلفة والسعر'!$C$2:$C$700,MATCH($C995,'تحليل التكلفة والسعر'!$B$2:$B$700,0)),0))</f>
        <v>45.7412030676</v>
      </c>
      <c r="H995" s="104" t="s">
        <v>719</v>
      </c>
    </row>
    <row r="996" customFormat="false" ht="15" hidden="false" customHeight="false" outlineLevel="0" collapsed="false">
      <c r="A996" s="103" t="n">
        <v>46306</v>
      </c>
      <c r="B996" s="104" t="s">
        <v>33</v>
      </c>
      <c r="C996" s="104" t="s">
        <v>410</v>
      </c>
      <c r="D996" s="105" t="n">
        <v>0.5833</v>
      </c>
      <c r="E996" s="106" t="n">
        <v>140</v>
      </c>
      <c r="F996" s="107" t="n">
        <f aca="false">IF($C996="","",$D996*$E996)</f>
        <v>81.662</v>
      </c>
      <c r="G996" s="107" t="n">
        <f aca="false">IF($C996="","",$D996*IFERROR(INDEX('تحليل التكلفة والسعر'!$C$2:$C$700,MATCH($C996,'تحليل التكلفة والسعر'!$B$2:$B$700,0)),0))</f>
        <v>45.7412030676</v>
      </c>
      <c r="H996" s="104" t="s">
        <v>719</v>
      </c>
    </row>
    <row r="997" customFormat="false" ht="15" hidden="false" customHeight="false" outlineLevel="0" collapsed="false">
      <c r="A997" s="103" t="n">
        <v>46307</v>
      </c>
      <c r="B997" s="104" t="s">
        <v>33</v>
      </c>
      <c r="C997" s="104" t="s">
        <v>410</v>
      </c>
      <c r="D997" s="105" t="n">
        <v>0.5833</v>
      </c>
      <c r="E997" s="106" t="n">
        <v>140</v>
      </c>
      <c r="F997" s="107" t="n">
        <f aca="false">IF($C997="","",$D997*$E997)</f>
        <v>81.662</v>
      </c>
      <c r="G997" s="107" t="n">
        <f aca="false">IF($C997="","",$D997*IFERROR(INDEX('تحليل التكلفة والسعر'!$C$2:$C$700,MATCH($C997,'تحليل التكلفة والسعر'!$B$2:$B$700,0)),0))</f>
        <v>45.7412030676</v>
      </c>
      <c r="H997" s="104" t="s">
        <v>719</v>
      </c>
    </row>
    <row r="998" customFormat="false" ht="15" hidden="false" customHeight="false" outlineLevel="0" collapsed="false">
      <c r="A998" s="103" t="n">
        <v>46296</v>
      </c>
      <c r="B998" s="104" t="s">
        <v>33</v>
      </c>
      <c r="C998" s="104" t="s">
        <v>522</v>
      </c>
      <c r="D998" s="105" t="n">
        <v>0.8333</v>
      </c>
      <c r="E998" s="106" t="n">
        <v>229.7228</v>
      </c>
      <c r="F998" s="107" t="n">
        <f aca="false">IF($C998="","",$D998*$E998)</f>
        <v>191.42800924</v>
      </c>
      <c r="G998" s="107" t="n">
        <f aca="false">IF($C998="","",$D998*IFERROR(INDEX('تحليل التكلفة والسعر'!$C$2:$C$700,MATCH($C998,'تحليل التكلفة والسعر'!$B$2:$B$700,0)),0))</f>
        <v>94.68912895</v>
      </c>
      <c r="H998" s="104" t="s">
        <v>719</v>
      </c>
    </row>
    <row r="999" customFormat="false" ht="15" hidden="false" customHeight="false" outlineLevel="0" collapsed="false">
      <c r="A999" s="103" t="n">
        <v>46297</v>
      </c>
      <c r="B999" s="104" t="s">
        <v>33</v>
      </c>
      <c r="C999" s="104" t="s">
        <v>522</v>
      </c>
      <c r="D999" s="105" t="n">
        <v>0.8333</v>
      </c>
      <c r="E999" s="106" t="n">
        <v>229.7228</v>
      </c>
      <c r="F999" s="107" t="n">
        <f aca="false">IF($C999="","",$D999*$E999)</f>
        <v>191.42800924</v>
      </c>
      <c r="G999" s="107" t="n">
        <f aca="false">IF($C999="","",$D999*IFERROR(INDEX('تحليل التكلفة والسعر'!$C$2:$C$700,MATCH($C999,'تحليل التكلفة والسعر'!$B$2:$B$700,0)),0))</f>
        <v>94.68912895</v>
      </c>
      <c r="H999" s="104" t="s">
        <v>719</v>
      </c>
    </row>
    <row r="1000" customFormat="false" ht="15" hidden="false" customHeight="false" outlineLevel="0" collapsed="false">
      <c r="A1000" s="103" t="n">
        <v>46298</v>
      </c>
      <c r="B1000" s="104" t="s">
        <v>33</v>
      </c>
      <c r="C1000" s="104" t="s">
        <v>522</v>
      </c>
      <c r="D1000" s="105" t="n">
        <v>0.8333</v>
      </c>
      <c r="E1000" s="106" t="n">
        <v>229.7228</v>
      </c>
      <c r="F1000" s="107" t="n">
        <f aca="false">IF($C1000="","",$D1000*$E1000)</f>
        <v>191.42800924</v>
      </c>
      <c r="G1000" s="107" t="n">
        <f aca="false">IF($C1000="","",$D1000*IFERROR(INDEX('تحليل التكلفة والسعر'!$C$2:$C$700,MATCH($C1000,'تحليل التكلفة والسعر'!$B$2:$B$700,0)),0))</f>
        <v>94.68912895</v>
      </c>
      <c r="H1000" s="104" t="s">
        <v>719</v>
      </c>
    </row>
    <row r="1001" customFormat="false" ht="15" hidden="false" customHeight="false" outlineLevel="0" collapsed="false">
      <c r="A1001" s="103" t="n">
        <v>46299</v>
      </c>
      <c r="B1001" s="104" t="s">
        <v>33</v>
      </c>
      <c r="C1001" s="104" t="s">
        <v>522</v>
      </c>
      <c r="D1001" s="105" t="n">
        <v>0.8333</v>
      </c>
      <c r="E1001" s="106" t="n">
        <v>229.7228</v>
      </c>
      <c r="F1001" s="107" t="n">
        <f aca="false">IF($C1001="","",$D1001*$E1001)</f>
        <v>191.42800924</v>
      </c>
      <c r="G1001" s="107" t="n">
        <f aca="false">IF($C1001="","",$D1001*IFERROR(INDEX('تحليل التكلفة والسعر'!$C$2:$C$700,MATCH($C1001,'تحليل التكلفة والسعر'!$B$2:$B$700,0)),0))</f>
        <v>94.68912895</v>
      </c>
      <c r="H1001" s="104" t="s">
        <v>719</v>
      </c>
    </row>
    <row r="1002" customFormat="false" ht="15" hidden="false" customHeight="false" outlineLevel="0" collapsed="false">
      <c r="A1002" s="103" t="n">
        <v>46300</v>
      </c>
      <c r="B1002" s="104" t="s">
        <v>33</v>
      </c>
      <c r="C1002" s="104" t="s">
        <v>522</v>
      </c>
      <c r="D1002" s="105" t="n">
        <v>0.8333</v>
      </c>
      <c r="E1002" s="106" t="n">
        <v>229.7228</v>
      </c>
      <c r="F1002" s="107" t="n">
        <f aca="false">IF($C1002="","",$D1002*$E1002)</f>
        <v>191.42800924</v>
      </c>
      <c r="G1002" s="107" t="n">
        <f aca="false">IF($C1002="","",$D1002*IFERROR(INDEX('تحليل التكلفة والسعر'!$C$2:$C$700,MATCH($C1002,'تحليل التكلفة والسعر'!$B$2:$B$700,0)),0))</f>
        <v>94.68912895</v>
      </c>
      <c r="H1002" s="104" t="s">
        <v>719</v>
      </c>
    </row>
    <row r="1003" customFormat="false" ht="15" hidden="false" customHeight="false" outlineLevel="0" collapsed="false">
      <c r="A1003" s="103" t="n">
        <v>46301</v>
      </c>
      <c r="B1003" s="104" t="s">
        <v>33</v>
      </c>
      <c r="C1003" s="104" t="s">
        <v>522</v>
      </c>
      <c r="D1003" s="105" t="n">
        <v>0.8333</v>
      </c>
      <c r="E1003" s="106" t="n">
        <v>229.7228</v>
      </c>
      <c r="F1003" s="107" t="n">
        <f aca="false">IF($C1003="","",$D1003*$E1003)</f>
        <v>191.42800924</v>
      </c>
      <c r="G1003" s="107" t="n">
        <f aca="false">IF($C1003="","",$D1003*IFERROR(INDEX('تحليل التكلفة والسعر'!$C$2:$C$700,MATCH($C1003,'تحليل التكلفة والسعر'!$B$2:$B$700,0)),0))</f>
        <v>94.68912895</v>
      </c>
      <c r="H1003" s="104" t="s">
        <v>719</v>
      </c>
    </row>
    <row r="1004" customFormat="false" ht="15" hidden="false" customHeight="false" outlineLevel="0" collapsed="false">
      <c r="A1004" s="103" t="n">
        <v>46302</v>
      </c>
      <c r="B1004" s="104" t="s">
        <v>33</v>
      </c>
      <c r="C1004" s="104" t="s">
        <v>522</v>
      </c>
      <c r="D1004" s="105" t="n">
        <v>0.8333</v>
      </c>
      <c r="E1004" s="106" t="n">
        <v>229.7228</v>
      </c>
      <c r="F1004" s="107" t="n">
        <f aca="false">IF($C1004="","",$D1004*$E1004)</f>
        <v>191.42800924</v>
      </c>
      <c r="G1004" s="107" t="n">
        <f aca="false">IF($C1004="","",$D1004*IFERROR(INDEX('تحليل التكلفة والسعر'!$C$2:$C$700,MATCH($C1004,'تحليل التكلفة والسعر'!$B$2:$B$700,0)),0))</f>
        <v>94.68912895</v>
      </c>
      <c r="H1004" s="104" t="s">
        <v>719</v>
      </c>
    </row>
    <row r="1005" customFormat="false" ht="15" hidden="false" customHeight="false" outlineLevel="0" collapsed="false">
      <c r="A1005" s="103" t="n">
        <v>46303</v>
      </c>
      <c r="B1005" s="104" t="s">
        <v>33</v>
      </c>
      <c r="C1005" s="104" t="s">
        <v>522</v>
      </c>
      <c r="D1005" s="105" t="n">
        <v>0.8333</v>
      </c>
      <c r="E1005" s="106" t="n">
        <v>229.7228</v>
      </c>
      <c r="F1005" s="107" t="n">
        <f aca="false">IF($C1005="","",$D1005*$E1005)</f>
        <v>191.42800924</v>
      </c>
      <c r="G1005" s="107" t="n">
        <f aca="false">IF($C1005="","",$D1005*IFERROR(INDEX('تحليل التكلفة والسعر'!$C$2:$C$700,MATCH($C1005,'تحليل التكلفة والسعر'!$B$2:$B$700,0)),0))</f>
        <v>94.68912895</v>
      </c>
      <c r="H1005" s="104" t="s">
        <v>719</v>
      </c>
    </row>
    <row r="1006" customFormat="false" ht="15" hidden="false" customHeight="false" outlineLevel="0" collapsed="false">
      <c r="A1006" s="103" t="n">
        <v>46304</v>
      </c>
      <c r="B1006" s="104" t="s">
        <v>33</v>
      </c>
      <c r="C1006" s="104" t="s">
        <v>522</v>
      </c>
      <c r="D1006" s="105" t="n">
        <v>0.8333</v>
      </c>
      <c r="E1006" s="106" t="n">
        <v>229.7228</v>
      </c>
      <c r="F1006" s="107" t="n">
        <f aca="false">IF($C1006="","",$D1006*$E1006)</f>
        <v>191.42800924</v>
      </c>
      <c r="G1006" s="107" t="n">
        <f aca="false">IF($C1006="","",$D1006*IFERROR(INDEX('تحليل التكلفة والسعر'!$C$2:$C$700,MATCH($C1006,'تحليل التكلفة والسعر'!$B$2:$B$700,0)),0))</f>
        <v>94.68912895</v>
      </c>
      <c r="H1006" s="104" t="s">
        <v>719</v>
      </c>
    </row>
    <row r="1007" customFormat="false" ht="15" hidden="false" customHeight="false" outlineLevel="0" collapsed="false">
      <c r="A1007" s="103" t="n">
        <v>46305</v>
      </c>
      <c r="B1007" s="104" t="s">
        <v>33</v>
      </c>
      <c r="C1007" s="104" t="s">
        <v>522</v>
      </c>
      <c r="D1007" s="105" t="n">
        <v>0.8333</v>
      </c>
      <c r="E1007" s="106" t="n">
        <v>229.7228</v>
      </c>
      <c r="F1007" s="107" t="n">
        <f aca="false">IF($C1007="","",$D1007*$E1007)</f>
        <v>191.42800924</v>
      </c>
      <c r="G1007" s="107" t="n">
        <f aca="false">IF($C1007="","",$D1007*IFERROR(INDEX('تحليل التكلفة والسعر'!$C$2:$C$700,MATCH($C1007,'تحليل التكلفة والسعر'!$B$2:$B$700,0)),0))</f>
        <v>94.68912895</v>
      </c>
      <c r="H1007" s="104" t="s">
        <v>719</v>
      </c>
    </row>
    <row r="1008" customFormat="false" ht="15" hidden="false" customHeight="false" outlineLevel="0" collapsed="false">
      <c r="A1008" s="103" t="n">
        <v>46306</v>
      </c>
      <c r="B1008" s="104" t="s">
        <v>33</v>
      </c>
      <c r="C1008" s="104" t="s">
        <v>522</v>
      </c>
      <c r="D1008" s="105" t="n">
        <v>0.8333</v>
      </c>
      <c r="E1008" s="106" t="n">
        <v>229.7228</v>
      </c>
      <c r="F1008" s="107" t="n">
        <f aca="false">IF($C1008="","",$D1008*$E1008)</f>
        <v>191.42800924</v>
      </c>
      <c r="G1008" s="107" t="n">
        <f aca="false">IF($C1008="","",$D1008*IFERROR(INDEX('تحليل التكلفة والسعر'!$C$2:$C$700,MATCH($C1008,'تحليل التكلفة والسعر'!$B$2:$B$700,0)),0))</f>
        <v>94.68912895</v>
      </c>
      <c r="H1008" s="104" t="s">
        <v>719</v>
      </c>
    </row>
    <row r="1009" customFormat="false" ht="15" hidden="false" customHeight="false" outlineLevel="0" collapsed="false">
      <c r="A1009" s="103" t="n">
        <v>46307</v>
      </c>
      <c r="B1009" s="104" t="s">
        <v>33</v>
      </c>
      <c r="C1009" s="104" t="s">
        <v>522</v>
      </c>
      <c r="D1009" s="105" t="n">
        <v>0.8333</v>
      </c>
      <c r="E1009" s="106" t="n">
        <v>229.7228</v>
      </c>
      <c r="F1009" s="107" t="n">
        <f aca="false">IF($C1009="","",$D1009*$E1009)</f>
        <v>191.42800924</v>
      </c>
      <c r="G1009" s="107" t="n">
        <f aca="false">IF($C1009="","",$D1009*IFERROR(INDEX('تحليل التكلفة والسعر'!$C$2:$C$700,MATCH($C1009,'تحليل التكلفة والسعر'!$B$2:$B$700,0)),0))</f>
        <v>94.68912895</v>
      </c>
      <c r="H1009" s="104" t="s">
        <v>719</v>
      </c>
    </row>
    <row r="1010" customFormat="false" ht="15" hidden="false" customHeight="false" outlineLevel="0" collapsed="false">
      <c r="A1010" s="103" t="n">
        <v>46296</v>
      </c>
      <c r="B1010" s="104" t="s">
        <v>33</v>
      </c>
      <c r="C1010" s="104" t="s">
        <v>507</v>
      </c>
      <c r="D1010" s="105" t="n">
        <v>7.1667</v>
      </c>
      <c r="E1010" s="106" t="n">
        <v>142.5581</v>
      </c>
      <c r="F1010" s="107" t="n">
        <f aca="false">IF($C1010="","",$D1010*$E1010)</f>
        <v>1021.67113527</v>
      </c>
      <c r="G1010" s="107" t="n">
        <f aca="false">IF($C1010="","",$D1010*IFERROR(INDEX('تحليل التكلفة والسعر'!$C$2:$C$700,MATCH($C1010,'تحليل التكلفة والسعر'!$B$2:$B$700,0)),0))</f>
        <v>566.50255155</v>
      </c>
      <c r="H1010" s="104" t="s">
        <v>719</v>
      </c>
    </row>
    <row r="1011" customFormat="false" ht="15" hidden="false" customHeight="false" outlineLevel="0" collapsed="false">
      <c r="A1011" s="103" t="n">
        <v>46297</v>
      </c>
      <c r="B1011" s="104" t="s">
        <v>33</v>
      </c>
      <c r="C1011" s="104" t="s">
        <v>507</v>
      </c>
      <c r="D1011" s="105" t="n">
        <v>7.1667</v>
      </c>
      <c r="E1011" s="106" t="n">
        <v>142.5581</v>
      </c>
      <c r="F1011" s="107" t="n">
        <f aca="false">IF($C1011="","",$D1011*$E1011)</f>
        <v>1021.67113527</v>
      </c>
      <c r="G1011" s="107" t="n">
        <f aca="false">IF($C1011="","",$D1011*IFERROR(INDEX('تحليل التكلفة والسعر'!$C$2:$C$700,MATCH($C1011,'تحليل التكلفة والسعر'!$B$2:$B$700,0)),0))</f>
        <v>566.50255155</v>
      </c>
      <c r="H1011" s="104" t="s">
        <v>719</v>
      </c>
    </row>
    <row r="1012" customFormat="false" ht="15" hidden="false" customHeight="false" outlineLevel="0" collapsed="false">
      <c r="A1012" s="103" t="n">
        <v>46298</v>
      </c>
      <c r="B1012" s="104" t="s">
        <v>33</v>
      </c>
      <c r="C1012" s="104" t="s">
        <v>507</v>
      </c>
      <c r="D1012" s="105" t="n">
        <v>7.1667</v>
      </c>
      <c r="E1012" s="106" t="n">
        <v>142.5581</v>
      </c>
      <c r="F1012" s="107" t="n">
        <f aca="false">IF($C1012="","",$D1012*$E1012)</f>
        <v>1021.67113527</v>
      </c>
      <c r="G1012" s="107" t="n">
        <f aca="false">IF($C1012="","",$D1012*IFERROR(INDEX('تحليل التكلفة والسعر'!$C$2:$C$700,MATCH($C1012,'تحليل التكلفة والسعر'!$B$2:$B$700,0)),0))</f>
        <v>566.50255155</v>
      </c>
      <c r="H1012" s="104" t="s">
        <v>719</v>
      </c>
    </row>
    <row r="1013" customFormat="false" ht="15" hidden="false" customHeight="false" outlineLevel="0" collapsed="false">
      <c r="A1013" s="103" t="n">
        <v>46299</v>
      </c>
      <c r="B1013" s="104" t="s">
        <v>33</v>
      </c>
      <c r="C1013" s="104" t="s">
        <v>507</v>
      </c>
      <c r="D1013" s="105" t="n">
        <v>7.1667</v>
      </c>
      <c r="E1013" s="106" t="n">
        <v>142.5581</v>
      </c>
      <c r="F1013" s="107" t="n">
        <f aca="false">IF($C1013="","",$D1013*$E1013)</f>
        <v>1021.67113527</v>
      </c>
      <c r="G1013" s="107" t="n">
        <f aca="false">IF($C1013="","",$D1013*IFERROR(INDEX('تحليل التكلفة والسعر'!$C$2:$C$700,MATCH($C1013,'تحليل التكلفة والسعر'!$B$2:$B$700,0)),0))</f>
        <v>566.50255155</v>
      </c>
      <c r="H1013" s="104" t="s">
        <v>719</v>
      </c>
    </row>
    <row r="1014" customFormat="false" ht="15" hidden="false" customHeight="false" outlineLevel="0" collapsed="false">
      <c r="A1014" s="103" t="n">
        <v>46300</v>
      </c>
      <c r="B1014" s="104" t="s">
        <v>33</v>
      </c>
      <c r="C1014" s="104" t="s">
        <v>507</v>
      </c>
      <c r="D1014" s="105" t="n">
        <v>7.1667</v>
      </c>
      <c r="E1014" s="106" t="n">
        <v>142.5581</v>
      </c>
      <c r="F1014" s="107" t="n">
        <f aca="false">IF($C1014="","",$D1014*$E1014)</f>
        <v>1021.67113527</v>
      </c>
      <c r="G1014" s="107" t="n">
        <f aca="false">IF($C1014="","",$D1014*IFERROR(INDEX('تحليل التكلفة والسعر'!$C$2:$C$700,MATCH($C1014,'تحليل التكلفة والسعر'!$B$2:$B$700,0)),0))</f>
        <v>566.50255155</v>
      </c>
      <c r="H1014" s="104" t="s">
        <v>719</v>
      </c>
    </row>
    <row r="1015" customFormat="false" ht="15" hidden="false" customHeight="false" outlineLevel="0" collapsed="false">
      <c r="A1015" s="103" t="n">
        <v>46301</v>
      </c>
      <c r="B1015" s="104" t="s">
        <v>33</v>
      </c>
      <c r="C1015" s="104" t="s">
        <v>507</v>
      </c>
      <c r="D1015" s="105" t="n">
        <v>7.1667</v>
      </c>
      <c r="E1015" s="106" t="n">
        <v>142.5581</v>
      </c>
      <c r="F1015" s="107" t="n">
        <f aca="false">IF($C1015="","",$D1015*$E1015)</f>
        <v>1021.67113527</v>
      </c>
      <c r="G1015" s="107" t="n">
        <f aca="false">IF($C1015="","",$D1015*IFERROR(INDEX('تحليل التكلفة والسعر'!$C$2:$C$700,MATCH($C1015,'تحليل التكلفة والسعر'!$B$2:$B$700,0)),0))</f>
        <v>566.50255155</v>
      </c>
      <c r="H1015" s="104" t="s">
        <v>719</v>
      </c>
    </row>
    <row r="1016" customFormat="false" ht="15" hidden="false" customHeight="false" outlineLevel="0" collapsed="false">
      <c r="A1016" s="103" t="n">
        <v>46302</v>
      </c>
      <c r="B1016" s="104" t="s">
        <v>33</v>
      </c>
      <c r="C1016" s="104" t="s">
        <v>507</v>
      </c>
      <c r="D1016" s="105" t="n">
        <v>7.1667</v>
      </c>
      <c r="E1016" s="106" t="n">
        <v>142.5581</v>
      </c>
      <c r="F1016" s="107" t="n">
        <f aca="false">IF($C1016="","",$D1016*$E1016)</f>
        <v>1021.67113527</v>
      </c>
      <c r="G1016" s="107" t="n">
        <f aca="false">IF($C1016="","",$D1016*IFERROR(INDEX('تحليل التكلفة والسعر'!$C$2:$C$700,MATCH($C1016,'تحليل التكلفة والسعر'!$B$2:$B$700,0)),0))</f>
        <v>566.50255155</v>
      </c>
      <c r="H1016" s="104" t="s">
        <v>719</v>
      </c>
    </row>
    <row r="1017" customFormat="false" ht="15" hidden="false" customHeight="false" outlineLevel="0" collapsed="false">
      <c r="A1017" s="103" t="n">
        <v>46303</v>
      </c>
      <c r="B1017" s="104" t="s">
        <v>33</v>
      </c>
      <c r="C1017" s="104" t="s">
        <v>507</v>
      </c>
      <c r="D1017" s="105" t="n">
        <v>7.1667</v>
      </c>
      <c r="E1017" s="106" t="n">
        <v>142.5581</v>
      </c>
      <c r="F1017" s="107" t="n">
        <f aca="false">IF($C1017="","",$D1017*$E1017)</f>
        <v>1021.67113527</v>
      </c>
      <c r="G1017" s="107" t="n">
        <f aca="false">IF($C1017="","",$D1017*IFERROR(INDEX('تحليل التكلفة والسعر'!$C$2:$C$700,MATCH($C1017,'تحليل التكلفة والسعر'!$B$2:$B$700,0)),0))</f>
        <v>566.50255155</v>
      </c>
      <c r="H1017" s="104" t="s">
        <v>719</v>
      </c>
    </row>
    <row r="1018" customFormat="false" ht="15" hidden="false" customHeight="false" outlineLevel="0" collapsed="false">
      <c r="A1018" s="103" t="n">
        <v>46304</v>
      </c>
      <c r="B1018" s="104" t="s">
        <v>33</v>
      </c>
      <c r="C1018" s="104" t="s">
        <v>507</v>
      </c>
      <c r="D1018" s="105" t="n">
        <v>7.1667</v>
      </c>
      <c r="E1018" s="106" t="n">
        <v>142.5581</v>
      </c>
      <c r="F1018" s="107" t="n">
        <f aca="false">IF($C1018="","",$D1018*$E1018)</f>
        <v>1021.67113527</v>
      </c>
      <c r="G1018" s="107" t="n">
        <f aca="false">IF($C1018="","",$D1018*IFERROR(INDEX('تحليل التكلفة والسعر'!$C$2:$C$700,MATCH($C1018,'تحليل التكلفة والسعر'!$B$2:$B$700,0)),0))</f>
        <v>566.50255155</v>
      </c>
      <c r="H1018" s="104" t="s">
        <v>719</v>
      </c>
    </row>
    <row r="1019" customFormat="false" ht="15" hidden="false" customHeight="false" outlineLevel="0" collapsed="false">
      <c r="A1019" s="103" t="n">
        <v>46305</v>
      </c>
      <c r="B1019" s="104" t="s">
        <v>33</v>
      </c>
      <c r="C1019" s="104" t="s">
        <v>507</v>
      </c>
      <c r="D1019" s="105" t="n">
        <v>7.1667</v>
      </c>
      <c r="E1019" s="106" t="n">
        <v>142.5581</v>
      </c>
      <c r="F1019" s="107" t="n">
        <f aca="false">IF($C1019="","",$D1019*$E1019)</f>
        <v>1021.67113527</v>
      </c>
      <c r="G1019" s="107" t="n">
        <f aca="false">IF($C1019="","",$D1019*IFERROR(INDEX('تحليل التكلفة والسعر'!$C$2:$C$700,MATCH($C1019,'تحليل التكلفة والسعر'!$B$2:$B$700,0)),0))</f>
        <v>566.50255155</v>
      </c>
      <c r="H1019" s="104" t="s">
        <v>719</v>
      </c>
    </row>
    <row r="1020" customFormat="false" ht="15" hidden="false" customHeight="false" outlineLevel="0" collapsed="false">
      <c r="A1020" s="103" t="n">
        <v>46306</v>
      </c>
      <c r="B1020" s="104" t="s">
        <v>33</v>
      </c>
      <c r="C1020" s="104" t="s">
        <v>507</v>
      </c>
      <c r="D1020" s="105" t="n">
        <v>7.1667</v>
      </c>
      <c r="E1020" s="106" t="n">
        <v>142.5581</v>
      </c>
      <c r="F1020" s="107" t="n">
        <f aca="false">IF($C1020="","",$D1020*$E1020)</f>
        <v>1021.67113527</v>
      </c>
      <c r="G1020" s="107" t="n">
        <f aca="false">IF($C1020="","",$D1020*IFERROR(INDEX('تحليل التكلفة والسعر'!$C$2:$C$700,MATCH($C1020,'تحليل التكلفة والسعر'!$B$2:$B$700,0)),0))</f>
        <v>566.50255155</v>
      </c>
      <c r="H1020" s="104" t="s">
        <v>719</v>
      </c>
    </row>
    <row r="1021" customFormat="false" ht="15" hidden="false" customHeight="false" outlineLevel="0" collapsed="false">
      <c r="A1021" s="103" t="n">
        <v>46307</v>
      </c>
      <c r="B1021" s="104" t="s">
        <v>33</v>
      </c>
      <c r="C1021" s="104" t="s">
        <v>507</v>
      </c>
      <c r="D1021" s="105" t="n">
        <v>7.1667</v>
      </c>
      <c r="E1021" s="106" t="n">
        <v>142.5581</v>
      </c>
      <c r="F1021" s="107" t="n">
        <f aca="false">IF($C1021="","",$D1021*$E1021)</f>
        <v>1021.67113527</v>
      </c>
      <c r="G1021" s="107" t="n">
        <f aca="false">IF($C1021="","",$D1021*IFERROR(INDEX('تحليل التكلفة والسعر'!$C$2:$C$700,MATCH($C1021,'تحليل التكلفة والسعر'!$B$2:$B$700,0)),0))</f>
        <v>566.50255155</v>
      </c>
      <c r="H1021" s="104" t="s">
        <v>719</v>
      </c>
    </row>
    <row r="1022" customFormat="false" ht="15" hidden="false" customHeight="false" outlineLevel="0" collapsed="false">
      <c r="A1022" s="103" t="n">
        <v>46296</v>
      </c>
      <c r="B1022" s="104" t="s">
        <v>33</v>
      </c>
      <c r="C1022" s="104" t="s">
        <v>476</v>
      </c>
      <c r="D1022" s="105" t="n">
        <v>0.4167</v>
      </c>
      <c r="E1022" s="106" t="n">
        <v>330</v>
      </c>
      <c r="F1022" s="107" t="n">
        <f aca="false">IF($C1022="","",$D1022*$E1022)</f>
        <v>137.511</v>
      </c>
      <c r="G1022" s="107" t="n">
        <f aca="false">IF($C1022="","",$D1022*IFERROR(INDEX('تحليل التكلفة والسعر'!$C$2:$C$700,MATCH($C1022,'تحليل التكلفة والسعر'!$B$2:$B$700,0)),0))</f>
        <v>65.96285994</v>
      </c>
      <c r="H1022" s="104" t="s">
        <v>719</v>
      </c>
    </row>
    <row r="1023" customFormat="false" ht="15" hidden="false" customHeight="false" outlineLevel="0" collapsed="false">
      <c r="A1023" s="103" t="n">
        <v>46297</v>
      </c>
      <c r="B1023" s="104" t="s">
        <v>33</v>
      </c>
      <c r="C1023" s="104" t="s">
        <v>476</v>
      </c>
      <c r="D1023" s="105" t="n">
        <v>0.4167</v>
      </c>
      <c r="E1023" s="106" t="n">
        <v>330</v>
      </c>
      <c r="F1023" s="107" t="n">
        <f aca="false">IF($C1023="","",$D1023*$E1023)</f>
        <v>137.511</v>
      </c>
      <c r="G1023" s="107" t="n">
        <f aca="false">IF($C1023="","",$D1023*IFERROR(INDEX('تحليل التكلفة والسعر'!$C$2:$C$700,MATCH($C1023,'تحليل التكلفة والسعر'!$B$2:$B$700,0)),0))</f>
        <v>65.96285994</v>
      </c>
      <c r="H1023" s="104" t="s">
        <v>719</v>
      </c>
    </row>
    <row r="1024" customFormat="false" ht="15" hidden="false" customHeight="false" outlineLevel="0" collapsed="false">
      <c r="A1024" s="103" t="n">
        <v>46298</v>
      </c>
      <c r="B1024" s="104" t="s">
        <v>33</v>
      </c>
      <c r="C1024" s="104" t="s">
        <v>476</v>
      </c>
      <c r="D1024" s="105" t="n">
        <v>0.4167</v>
      </c>
      <c r="E1024" s="106" t="n">
        <v>330</v>
      </c>
      <c r="F1024" s="107" t="n">
        <f aca="false">IF($C1024="","",$D1024*$E1024)</f>
        <v>137.511</v>
      </c>
      <c r="G1024" s="107" t="n">
        <f aca="false">IF($C1024="","",$D1024*IFERROR(INDEX('تحليل التكلفة والسعر'!$C$2:$C$700,MATCH($C1024,'تحليل التكلفة والسعر'!$B$2:$B$700,0)),0))</f>
        <v>65.96285994</v>
      </c>
      <c r="H1024" s="104" t="s">
        <v>719</v>
      </c>
    </row>
    <row r="1025" customFormat="false" ht="15" hidden="false" customHeight="false" outlineLevel="0" collapsed="false">
      <c r="A1025" s="103" t="n">
        <v>46299</v>
      </c>
      <c r="B1025" s="104" t="s">
        <v>33</v>
      </c>
      <c r="C1025" s="104" t="s">
        <v>476</v>
      </c>
      <c r="D1025" s="105" t="n">
        <v>0.4167</v>
      </c>
      <c r="E1025" s="106" t="n">
        <v>330</v>
      </c>
      <c r="F1025" s="107" t="n">
        <f aca="false">IF($C1025="","",$D1025*$E1025)</f>
        <v>137.511</v>
      </c>
      <c r="G1025" s="107" t="n">
        <f aca="false">IF($C1025="","",$D1025*IFERROR(INDEX('تحليل التكلفة والسعر'!$C$2:$C$700,MATCH($C1025,'تحليل التكلفة والسعر'!$B$2:$B$700,0)),0))</f>
        <v>65.96285994</v>
      </c>
      <c r="H1025" s="104" t="s">
        <v>719</v>
      </c>
    </row>
    <row r="1026" customFormat="false" ht="15" hidden="false" customHeight="false" outlineLevel="0" collapsed="false">
      <c r="A1026" s="103" t="n">
        <v>46300</v>
      </c>
      <c r="B1026" s="104" t="s">
        <v>33</v>
      </c>
      <c r="C1026" s="104" t="s">
        <v>476</v>
      </c>
      <c r="D1026" s="105" t="n">
        <v>0.4167</v>
      </c>
      <c r="E1026" s="106" t="n">
        <v>330</v>
      </c>
      <c r="F1026" s="107" t="n">
        <f aca="false">IF($C1026="","",$D1026*$E1026)</f>
        <v>137.511</v>
      </c>
      <c r="G1026" s="107" t="n">
        <f aca="false">IF($C1026="","",$D1026*IFERROR(INDEX('تحليل التكلفة والسعر'!$C$2:$C$700,MATCH($C1026,'تحليل التكلفة والسعر'!$B$2:$B$700,0)),0))</f>
        <v>65.96285994</v>
      </c>
      <c r="H1026" s="104" t="s">
        <v>719</v>
      </c>
    </row>
    <row r="1027" customFormat="false" ht="15" hidden="false" customHeight="false" outlineLevel="0" collapsed="false">
      <c r="A1027" s="103" t="n">
        <v>46301</v>
      </c>
      <c r="B1027" s="104" t="s">
        <v>33</v>
      </c>
      <c r="C1027" s="104" t="s">
        <v>476</v>
      </c>
      <c r="D1027" s="105" t="n">
        <v>0.4167</v>
      </c>
      <c r="E1027" s="106" t="n">
        <v>330</v>
      </c>
      <c r="F1027" s="107" t="n">
        <f aca="false">IF($C1027="","",$D1027*$E1027)</f>
        <v>137.511</v>
      </c>
      <c r="G1027" s="107" t="n">
        <f aca="false">IF($C1027="","",$D1027*IFERROR(INDEX('تحليل التكلفة والسعر'!$C$2:$C$700,MATCH($C1027,'تحليل التكلفة والسعر'!$B$2:$B$700,0)),0))</f>
        <v>65.96285994</v>
      </c>
      <c r="H1027" s="104" t="s">
        <v>719</v>
      </c>
    </row>
    <row r="1028" customFormat="false" ht="15" hidden="false" customHeight="false" outlineLevel="0" collapsed="false">
      <c r="A1028" s="103" t="n">
        <v>46302</v>
      </c>
      <c r="B1028" s="104" t="s">
        <v>33</v>
      </c>
      <c r="C1028" s="104" t="s">
        <v>476</v>
      </c>
      <c r="D1028" s="105" t="n">
        <v>0.4167</v>
      </c>
      <c r="E1028" s="106" t="n">
        <v>330</v>
      </c>
      <c r="F1028" s="107" t="n">
        <f aca="false">IF($C1028="","",$D1028*$E1028)</f>
        <v>137.511</v>
      </c>
      <c r="G1028" s="107" t="n">
        <f aca="false">IF($C1028="","",$D1028*IFERROR(INDEX('تحليل التكلفة والسعر'!$C$2:$C$700,MATCH($C1028,'تحليل التكلفة والسعر'!$B$2:$B$700,0)),0))</f>
        <v>65.96285994</v>
      </c>
      <c r="H1028" s="104" t="s">
        <v>719</v>
      </c>
    </row>
    <row r="1029" customFormat="false" ht="15" hidden="false" customHeight="false" outlineLevel="0" collapsed="false">
      <c r="A1029" s="103" t="n">
        <v>46303</v>
      </c>
      <c r="B1029" s="104" t="s">
        <v>33</v>
      </c>
      <c r="C1029" s="104" t="s">
        <v>476</v>
      </c>
      <c r="D1029" s="105" t="n">
        <v>0.4167</v>
      </c>
      <c r="E1029" s="106" t="n">
        <v>330</v>
      </c>
      <c r="F1029" s="107" t="n">
        <f aca="false">IF($C1029="","",$D1029*$E1029)</f>
        <v>137.511</v>
      </c>
      <c r="G1029" s="107" t="n">
        <f aca="false">IF($C1029="","",$D1029*IFERROR(INDEX('تحليل التكلفة والسعر'!$C$2:$C$700,MATCH($C1029,'تحليل التكلفة والسعر'!$B$2:$B$700,0)),0))</f>
        <v>65.96285994</v>
      </c>
      <c r="H1029" s="104" t="s">
        <v>719</v>
      </c>
    </row>
    <row r="1030" customFormat="false" ht="15" hidden="false" customHeight="false" outlineLevel="0" collapsed="false">
      <c r="A1030" s="103" t="n">
        <v>46304</v>
      </c>
      <c r="B1030" s="104" t="s">
        <v>33</v>
      </c>
      <c r="C1030" s="104" t="s">
        <v>476</v>
      </c>
      <c r="D1030" s="105" t="n">
        <v>0.4167</v>
      </c>
      <c r="E1030" s="106" t="n">
        <v>330</v>
      </c>
      <c r="F1030" s="107" t="n">
        <f aca="false">IF($C1030="","",$D1030*$E1030)</f>
        <v>137.511</v>
      </c>
      <c r="G1030" s="107" t="n">
        <f aca="false">IF($C1030="","",$D1030*IFERROR(INDEX('تحليل التكلفة والسعر'!$C$2:$C$700,MATCH($C1030,'تحليل التكلفة والسعر'!$B$2:$B$700,0)),0))</f>
        <v>65.96285994</v>
      </c>
      <c r="H1030" s="104" t="s">
        <v>719</v>
      </c>
    </row>
    <row r="1031" customFormat="false" ht="15" hidden="false" customHeight="false" outlineLevel="0" collapsed="false">
      <c r="A1031" s="103" t="n">
        <v>46305</v>
      </c>
      <c r="B1031" s="104" t="s">
        <v>33</v>
      </c>
      <c r="C1031" s="104" t="s">
        <v>476</v>
      </c>
      <c r="D1031" s="105" t="n">
        <v>0.4167</v>
      </c>
      <c r="E1031" s="106" t="n">
        <v>330</v>
      </c>
      <c r="F1031" s="107" t="n">
        <f aca="false">IF($C1031="","",$D1031*$E1031)</f>
        <v>137.511</v>
      </c>
      <c r="G1031" s="107" t="n">
        <f aca="false">IF($C1031="","",$D1031*IFERROR(INDEX('تحليل التكلفة والسعر'!$C$2:$C$700,MATCH($C1031,'تحليل التكلفة والسعر'!$B$2:$B$700,0)),0))</f>
        <v>65.96285994</v>
      </c>
      <c r="H1031" s="104" t="s">
        <v>719</v>
      </c>
    </row>
    <row r="1032" customFormat="false" ht="15" hidden="false" customHeight="false" outlineLevel="0" collapsed="false">
      <c r="A1032" s="103" t="n">
        <v>46306</v>
      </c>
      <c r="B1032" s="104" t="s">
        <v>33</v>
      </c>
      <c r="C1032" s="104" t="s">
        <v>476</v>
      </c>
      <c r="D1032" s="105" t="n">
        <v>0.4167</v>
      </c>
      <c r="E1032" s="106" t="n">
        <v>330</v>
      </c>
      <c r="F1032" s="107" t="n">
        <f aca="false">IF($C1032="","",$D1032*$E1032)</f>
        <v>137.511</v>
      </c>
      <c r="G1032" s="107" t="n">
        <f aca="false">IF($C1032="","",$D1032*IFERROR(INDEX('تحليل التكلفة والسعر'!$C$2:$C$700,MATCH($C1032,'تحليل التكلفة والسعر'!$B$2:$B$700,0)),0))</f>
        <v>65.96285994</v>
      </c>
      <c r="H1032" s="104" t="s">
        <v>719</v>
      </c>
    </row>
    <row r="1033" customFormat="false" ht="15" hidden="false" customHeight="false" outlineLevel="0" collapsed="false">
      <c r="A1033" s="103" t="n">
        <v>46307</v>
      </c>
      <c r="B1033" s="104" t="s">
        <v>33</v>
      </c>
      <c r="C1033" s="104" t="s">
        <v>476</v>
      </c>
      <c r="D1033" s="105" t="n">
        <v>0.4167</v>
      </c>
      <c r="E1033" s="106" t="n">
        <v>330</v>
      </c>
      <c r="F1033" s="107" t="n">
        <f aca="false">IF($C1033="","",$D1033*$E1033)</f>
        <v>137.511</v>
      </c>
      <c r="G1033" s="107" t="n">
        <f aca="false">IF($C1033="","",$D1033*IFERROR(INDEX('تحليل التكلفة والسعر'!$C$2:$C$700,MATCH($C1033,'تحليل التكلفة والسعر'!$B$2:$B$700,0)),0))</f>
        <v>65.96285994</v>
      </c>
      <c r="H1033" s="104" t="s">
        <v>719</v>
      </c>
    </row>
    <row r="1034" customFormat="false" ht="15" hidden="false" customHeight="false" outlineLevel="0" collapsed="false">
      <c r="A1034" s="103" t="n">
        <v>46296</v>
      </c>
      <c r="B1034" s="104" t="s">
        <v>33</v>
      </c>
      <c r="C1034" s="104" t="s">
        <v>479</v>
      </c>
      <c r="D1034" s="105" t="n">
        <v>0.3333</v>
      </c>
      <c r="E1034" s="106" t="n">
        <v>220</v>
      </c>
      <c r="F1034" s="107" t="n">
        <f aca="false">IF($C1034="","",$D1034*$E1034)</f>
        <v>73.326</v>
      </c>
      <c r="G1034" s="107" t="n">
        <f aca="false">IF($C1034="","",$D1034*IFERROR(INDEX('تحليل التكلفة والسعر'!$C$2:$C$700,MATCH($C1034,'تحليل التكلفة والسعر'!$B$2:$B$700,0)),0))</f>
        <v>41.09472345</v>
      </c>
      <c r="H1034" s="104" t="s">
        <v>719</v>
      </c>
    </row>
    <row r="1035" customFormat="false" ht="15" hidden="false" customHeight="false" outlineLevel="0" collapsed="false">
      <c r="A1035" s="103" t="n">
        <v>46297</v>
      </c>
      <c r="B1035" s="104" t="s">
        <v>33</v>
      </c>
      <c r="C1035" s="104" t="s">
        <v>479</v>
      </c>
      <c r="D1035" s="105" t="n">
        <v>0.3333</v>
      </c>
      <c r="E1035" s="106" t="n">
        <v>220</v>
      </c>
      <c r="F1035" s="107" t="n">
        <f aca="false">IF($C1035="","",$D1035*$E1035)</f>
        <v>73.326</v>
      </c>
      <c r="G1035" s="107" t="n">
        <f aca="false">IF($C1035="","",$D1035*IFERROR(INDEX('تحليل التكلفة والسعر'!$C$2:$C$700,MATCH($C1035,'تحليل التكلفة والسعر'!$B$2:$B$700,0)),0))</f>
        <v>41.09472345</v>
      </c>
      <c r="H1035" s="104" t="s">
        <v>719</v>
      </c>
    </row>
    <row r="1036" customFormat="false" ht="15" hidden="false" customHeight="false" outlineLevel="0" collapsed="false">
      <c r="A1036" s="103" t="n">
        <v>46298</v>
      </c>
      <c r="B1036" s="104" t="s">
        <v>33</v>
      </c>
      <c r="C1036" s="104" t="s">
        <v>479</v>
      </c>
      <c r="D1036" s="105" t="n">
        <v>0.3333</v>
      </c>
      <c r="E1036" s="106" t="n">
        <v>220</v>
      </c>
      <c r="F1036" s="107" t="n">
        <f aca="false">IF($C1036="","",$D1036*$E1036)</f>
        <v>73.326</v>
      </c>
      <c r="G1036" s="107" t="n">
        <f aca="false">IF($C1036="","",$D1036*IFERROR(INDEX('تحليل التكلفة والسعر'!$C$2:$C$700,MATCH($C1036,'تحليل التكلفة والسعر'!$B$2:$B$700,0)),0))</f>
        <v>41.09472345</v>
      </c>
      <c r="H1036" s="104" t="s">
        <v>719</v>
      </c>
    </row>
    <row r="1037" customFormat="false" ht="15" hidden="false" customHeight="false" outlineLevel="0" collapsed="false">
      <c r="A1037" s="103" t="n">
        <v>46299</v>
      </c>
      <c r="B1037" s="104" t="s">
        <v>33</v>
      </c>
      <c r="C1037" s="104" t="s">
        <v>479</v>
      </c>
      <c r="D1037" s="105" t="n">
        <v>0.3333</v>
      </c>
      <c r="E1037" s="106" t="n">
        <v>220</v>
      </c>
      <c r="F1037" s="107" t="n">
        <f aca="false">IF($C1037="","",$D1037*$E1037)</f>
        <v>73.326</v>
      </c>
      <c r="G1037" s="107" t="n">
        <f aca="false">IF($C1037="","",$D1037*IFERROR(INDEX('تحليل التكلفة والسعر'!$C$2:$C$700,MATCH($C1037,'تحليل التكلفة والسعر'!$B$2:$B$700,0)),0))</f>
        <v>41.09472345</v>
      </c>
      <c r="H1037" s="104" t="s">
        <v>719</v>
      </c>
    </row>
    <row r="1038" customFormat="false" ht="15" hidden="false" customHeight="false" outlineLevel="0" collapsed="false">
      <c r="A1038" s="103" t="n">
        <v>46300</v>
      </c>
      <c r="B1038" s="104" t="s">
        <v>33</v>
      </c>
      <c r="C1038" s="104" t="s">
        <v>479</v>
      </c>
      <c r="D1038" s="105" t="n">
        <v>0.3333</v>
      </c>
      <c r="E1038" s="106" t="n">
        <v>220</v>
      </c>
      <c r="F1038" s="107" t="n">
        <f aca="false">IF($C1038="","",$D1038*$E1038)</f>
        <v>73.326</v>
      </c>
      <c r="G1038" s="107" t="n">
        <f aca="false">IF($C1038="","",$D1038*IFERROR(INDEX('تحليل التكلفة والسعر'!$C$2:$C$700,MATCH($C1038,'تحليل التكلفة والسعر'!$B$2:$B$700,0)),0))</f>
        <v>41.09472345</v>
      </c>
      <c r="H1038" s="104" t="s">
        <v>719</v>
      </c>
    </row>
    <row r="1039" customFormat="false" ht="15" hidden="false" customHeight="false" outlineLevel="0" collapsed="false">
      <c r="A1039" s="103" t="n">
        <v>46301</v>
      </c>
      <c r="B1039" s="104" t="s">
        <v>33</v>
      </c>
      <c r="C1039" s="104" t="s">
        <v>479</v>
      </c>
      <c r="D1039" s="105" t="n">
        <v>0.3333</v>
      </c>
      <c r="E1039" s="106" t="n">
        <v>220</v>
      </c>
      <c r="F1039" s="107" t="n">
        <f aca="false">IF($C1039="","",$D1039*$E1039)</f>
        <v>73.326</v>
      </c>
      <c r="G1039" s="107" t="n">
        <f aca="false">IF($C1039="","",$D1039*IFERROR(INDEX('تحليل التكلفة والسعر'!$C$2:$C$700,MATCH($C1039,'تحليل التكلفة والسعر'!$B$2:$B$700,0)),0))</f>
        <v>41.09472345</v>
      </c>
      <c r="H1039" s="104" t="s">
        <v>719</v>
      </c>
    </row>
    <row r="1040" customFormat="false" ht="15" hidden="false" customHeight="false" outlineLevel="0" collapsed="false">
      <c r="A1040" s="103" t="n">
        <v>46302</v>
      </c>
      <c r="B1040" s="104" t="s">
        <v>33</v>
      </c>
      <c r="C1040" s="104" t="s">
        <v>479</v>
      </c>
      <c r="D1040" s="105" t="n">
        <v>0.3333</v>
      </c>
      <c r="E1040" s="106" t="n">
        <v>220</v>
      </c>
      <c r="F1040" s="107" t="n">
        <f aca="false">IF($C1040="","",$D1040*$E1040)</f>
        <v>73.326</v>
      </c>
      <c r="G1040" s="107" t="n">
        <f aca="false">IF($C1040="","",$D1040*IFERROR(INDEX('تحليل التكلفة والسعر'!$C$2:$C$700,MATCH($C1040,'تحليل التكلفة والسعر'!$B$2:$B$700,0)),0))</f>
        <v>41.09472345</v>
      </c>
      <c r="H1040" s="104" t="s">
        <v>719</v>
      </c>
    </row>
    <row r="1041" customFormat="false" ht="15" hidden="false" customHeight="false" outlineLevel="0" collapsed="false">
      <c r="A1041" s="103" t="n">
        <v>46303</v>
      </c>
      <c r="B1041" s="104" t="s">
        <v>33</v>
      </c>
      <c r="C1041" s="104" t="s">
        <v>479</v>
      </c>
      <c r="D1041" s="105" t="n">
        <v>0.3333</v>
      </c>
      <c r="E1041" s="106" t="n">
        <v>220</v>
      </c>
      <c r="F1041" s="107" t="n">
        <f aca="false">IF($C1041="","",$D1041*$E1041)</f>
        <v>73.326</v>
      </c>
      <c r="G1041" s="107" t="n">
        <f aca="false">IF($C1041="","",$D1041*IFERROR(INDEX('تحليل التكلفة والسعر'!$C$2:$C$700,MATCH($C1041,'تحليل التكلفة والسعر'!$B$2:$B$700,0)),0))</f>
        <v>41.09472345</v>
      </c>
      <c r="H1041" s="104" t="s">
        <v>719</v>
      </c>
    </row>
    <row r="1042" customFormat="false" ht="15" hidden="false" customHeight="false" outlineLevel="0" collapsed="false">
      <c r="A1042" s="103" t="n">
        <v>46304</v>
      </c>
      <c r="B1042" s="104" t="s">
        <v>33</v>
      </c>
      <c r="C1042" s="104" t="s">
        <v>479</v>
      </c>
      <c r="D1042" s="105" t="n">
        <v>0.3333</v>
      </c>
      <c r="E1042" s="106" t="n">
        <v>220</v>
      </c>
      <c r="F1042" s="107" t="n">
        <f aca="false">IF($C1042="","",$D1042*$E1042)</f>
        <v>73.326</v>
      </c>
      <c r="G1042" s="107" t="n">
        <f aca="false">IF($C1042="","",$D1042*IFERROR(INDEX('تحليل التكلفة والسعر'!$C$2:$C$700,MATCH($C1042,'تحليل التكلفة والسعر'!$B$2:$B$700,0)),0))</f>
        <v>41.09472345</v>
      </c>
      <c r="H1042" s="104" t="s">
        <v>719</v>
      </c>
    </row>
    <row r="1043" customFormat="false" ht="15" hidden="false" customHeight="false" outlineLevel="0" collapsed="false">
      <c r="A1043" s="103" t="n">
        <v>46305</v>
      </c>
      <c r="B1043" s="104" t="s">
        <v>33</v>
      </c>
      <c r="C1043" s="104" t="s">
        <v>479</v>
      </c>
      <c r="D1043" s="105" t="n">
        <v>0.3333</v>
      </c>
      <c r="E1043" s="106" t="n">
        <v>220</v>
      </c>
      <c r="F1043" s="107" t="n">
        <f aca="false">IF($C1043="","",$D1043*$E1043)</f>
        <v>73.326</v>
      </c>
      <c r="G1043" s="107" t="n">
        <f aca="false">IF($C1043="","",$D1043*IFERROR(INDEX('تحليل التكلفة والسعر'!$C$2:$C$700,MATCH($C1043,'تحليل التكلفة والسعر'!$B$2:$B$700,0)),0))</f>
        <v>41.09472345</v>
      </c>
      <c r="H1043" s="104" t="s">
        <v>719</v>
      </c>
    </row>
    <row r="1044" customFormat="false" ht="15" hidden="false" customHeight="false" outlineLevel="0" collapsed="false">
      <c r="A1044" s="103" t="n">
        <v>46306</v>
      </c>
      <c r="B1044" s="104" t="s">
        <v>33</v>
      </c>
      <c r="C1044" s="104" t="s">
        <v>479</v>
      </c>
      <c r="D1044" s="105" t="n">
        <v>0.3333</v>
      </c>
      <c r="E1044" s="106" t="n">
        <v>220</v>
      </c>
      <c r="F1044" s="107" t="n">
        <f aca="false">IF($C1044="","",$D1044*$E1044)</f>
        <v>73.326</v>
      </c>
      <c r="G1044" s="107" t="n">
        <f aca="false">IF($C1044="","",$D1044*IFERROR(INDEX('تحليل التكلفة والسعر'!$C$2:$C$700,MATCH($C1044,'تحليل التكلفة والسعر'!$B$2:$B$700,0)),0))</f>
        <v>41.09472345</v>
      </c>
      <c r="H1044" s="104" t="s">
        <v>719</v>
      </c>
    </row>
    <row r="1045" customFormat="false" ht="15" hidden="false" customHeight="false" outlineLevel="0" collapsed="false">
      <c r="A1045" s="103" t="n">
        <v>46307</v>
      </c>
      <c r="B1045" s="104" t="s">
        <v>33</v>
      </c>
      <c r="C1045" s="104" t="s">
        <v>479</v>
      </c>
      <c r="D1045" s="105" t="n">
        <v>0.3333</v>
      </c>
      <c r="E1045" s="106" t="n">
        <v>220</v>
      </c>
      <c r="F1045" s="107" t="n">
        <f aca="false">IF($C1045="","",$D1045*$E1045)</f>
        <v>73.326</v>
      </c>
      <c r="G1045" s="107" t="n">
        <f aca="false">IF($C1045="","",$D1045*IFERROR(INDEX('تحليل التكلفة والسعر'!$C$2:$C$700,MATCH($C1045,'تحليل التكلفة والسعر'!$B$2:$B$700,0)),0))</f>
        <v>41.09472345</v>
      </c>
      <c r="H1045" s="104" t="s">
        <v>719</v>
      </c>
    </row>
    <row r="1046" customFormat="false" ht="15" hidden="false" customHeight="false" outlineLevel="0" collapsed="false">
      <c r="A1046" s="103" t="n">
        <v>46296</v>
      </c>
      <c r="B1046" s="104" t="s">
        <v>33</v>
      </c>
      <c r="C1046" s="104" t="s">
        <v>460</v>
      </c>
      <c r="D1046" s="105" t="n">
        <v>0.0833</v>
      </c>
      <c r="E1046" s="106" t="n">
        <v>60</v>
      </c>
      <c r="F1046" s="107" t="n">
        <f aca="false">IF($C1046="","",$D1046*$E1046)</f>
        <v>4.998</v>
      </c>
      <c r="G1046" s="107" t="n">
        <f aca="false">IF($C1046="","",$D1046*IFERROR(INDEX('تحليل التكلفة والسعر'!$C$2:$C$700,MATCH($C1046,'تحليل التكلفة والسعر'!$B$2:$B$700,0)),0))</f>
        <v>3.486105</v>
      </c>
      <c r="H1046" s="104" t="s">
        <v>719</v>
      </c>
    </row>
    <row r="1047" customFormat="false" ht="15" hidden="false" customHeight="false" outlineLevel="0" collapsed="false">
      <c r="A1047" s="103" t="n">
        <v>46297</v>
      </c>
      <c r="B1047" s="104" t="s">
        <v>33</v>
      </c>
      <c r="C1047" s="104" t="s">
        <v>460</v>
      </c>
      <c r="D1047" s="105" t="n">
        <v>0.0833</v>
      </c>
      <c r="E1047" s="106" t="n">
        <v>60</v>
      </c>
      <c r="F1047" s="107" t="n">
        <f aca="false">IF($C1047="","",$D1047*$E1047)</f>
        <v>4.998</v>
      </c>
      <c r="G1047" s="107" t="n">
        <f aca="false">IF($C1047="","",$D1047*IFERROR(INDEX('تحليل التكلفة والسعر'!$C$2:$C$700,MATCH($C1047,'تحليل التكلفة والسعر'!$B$2:$B$700,0)),0))</f>
        <v>3.486105</v>
      </c>
      <c r="H1047" s="104" t="s">
        <v>719</v>
      </c>
    </row>
    <row r="1048" customFormat="false" ht="15" hidden="false" customHeight="false" outlineLevel="0" collapsed="false">
      <c r="A1048" s="103" t="n">
        <v>46298</v>
      </c>
      <c r="B1048" s="104" t="s">
        <v>33</v>
      </c>
      <c r="C1048" s="104" t="s">
        <v>460</v>
      </c>
      <c r="D1048" s="105" t="n">
        <v>0.0833</v>
      </c>
      <c r="E1048" s="106" t="n">
        <v>60</v>
      </c>
      <c r="F1048" s="107" t="n">
        <f aca="false">IF($C1048="","",$D1048*$E1048)</f>
        <v>4.998</v>
      </c>
      <c r="G1048" s="107" t="n">
        <f aca="false">IF($C1048="","",$D1048*IFERROR(INDEX('تحليل التكلفة والسعر'!$C$2:$C$700,MATCH($C1048,'تحليل التكلفة والسعر'!$B$2:$B$700,0)),0))</f>
        <v>3.486105</v>
      </c>
      <c r="H1048" s="104" t="s">
        <v>719</v>
      </c>
    </row>
    <row r="1049" customFormat="false" ht="15" hidden="false" customHeight="false" outlineLevel="0" collapsed="false">
      <c r="A1049" s="103" t="n">
        <v>46299</v>
      </c>
      <c r="B1049" s="104" t="s">
        <v>33</v>
      </c>
      <c r="C1049" s="104" t="s">
        <v>460</v>
      </c>
      <c r="D1049" s="105" t="n">
        <v>0.0833</v>
      </c>
      <c r="E1049" s="106" t="n">
        <v>60</v>
      </c>
      <c r="F1049" s="107" t="n">
        <f aca="false">IF($C1049="","",$D1049*$E1049)</f>
        <v>4.998</v>
      </c>
      <c r="G1049" s="107" t="n">
        <f aca="false">IF($C1049="","",$D1049*IFERROR(INDEX('تحليل التكلفة والسعر'!$C$2:$C$700,MATCH($C1049,'تحليل التكلفة والسعر'!$B$2:$B$700,0)),0))</f>
        <v>3.486105</v>
      </c>
      <c r="H1049" s="104" t="s">
        <v>719</v>
      </c>
    </row>
    <row r="1050" customFormat="false" ht="15" hidden="false" customHeight="false" outlineLevel="0" collapsed="false">
      <c r="A1050" s="103" t="n">
        <v>46300</v>
      </c>
      <c r="B1050" s="104" t="s">
        <v>33</v>
      </c>
      <c r="C1050" s="104" t="s">
        <v>460</v>
      </c>
      <c r="D1050" s="105" t="n">
        <v>0.0833</v>
      </c>
      <c r="E1050" s="106" t="n">
        <v>60</v>
      </c>
      <c r="F1050" s="107" t="n">
        <f aca="false">IF($C1050="","",$D1050*$E1050)</f>
        <v>4.998</v>
      </c>
      <c r="G1050" s="107" t="n">
        <f aca="false">IF($C1050="","",$D1050*IFERROR(INDEX('تحليل التكلفة والسعر'!$C$2:$C$700,MATCH($C1050,'تحليل التكلفة والسعر'!$B$2:$B$700,0)),0))</f>
        <v>3.486105</v>
      </c>
      <c r="H1050" s="104" t="s">
        <v>719</v>
      </c>
    </row>
    <row r="1051" customFormat="false" ht="15" hidden="false" customHeight="false" outlineLevel="0" collapsed="false">
      <c r="A1051" s="103" t="n">
        <v>46301</v>
      </c>
      <c r="B1051" s="104" t="s">
        <v>33</v>
      </c>
      <c r="C1051" s="104" t="s">
        <v>460</v>
      </c>
      <c r="D1051" s="105" t="n">
        <v>0.0833</v>
      </c>
      <c r="E1051" s="106" t="n">
        <v>60</v>
      </c>
      <c r="F1051" s="107" t="n">
        <f aca="false">IF($C1051="","",$D1051*$E1051)</f>
        <v>4.998</v>
      </c>
      <c r="G1051" s="107" t="n">
        <f aca="false">IF($C1051="","",$D1051*IFERROR(INDEX('تحليل التكلفة والسعر'!$C$2:$C$700,MATCH($C1051,'تحليل التكلفة والسعر'!$B$2:$B$700,0)),0))</f>
        <v>3.486105</v>
      </c>
      <c r="H1051" s="104" t="s">
        <v>719</v>
      </c>
    </row>
    <row r="1052" customFormat="false" ht="15" hidden="false" customHeight="false" outlineLevel="0" collapsed="false">
      <c r="A1052" s="103" t="n">
        <v>46302</v>
      </c>
      <c r="B1052" s="104" t="s">
        <v>33</v>
      </c>
      <c r="C1052" s="104" t="s">
        <v>460</v>
      </c>
      <c r="D1052" s="105" t="n">
        <v>0.0833</v>
      </c>
      <c r="E1052" s="106" t="n">
        <v>60</v>
      </c>
      <c r="F1052" s="107" t="n">
        <f aca="false">IF($C1052="","",$D1052*$E1052)</f>
        <v>4.998</v>
      </c>
      <c r="G1052" s="107" t="n">
        <f aca="false">IF($C1052="","",$D1052*IFERROR(INDEX('تحليل التكلفة والسعر'!$C$2:$C$700,MATCH($C1052,'تحليل التكلفة والسعر'!$B$2:$B$700,0)),0))</f>
        <v>3.486105</v>
      </c>
      <c r="H1052" s="104" t="s">
        <v>719</v>
      </c>
    </row>
    <row r="1053" customFormat="false" ht="15" hidden="false" customHeight="false" outlineLevel="0" collapsed="false">
      <c r="A1053" s="103" t="n">
        <v>46303</v>
      </c>
      <c r="B1053" s="104" t="s">
        <v>33</v>
      </c>
      <c r="C1053" s="104" t="s">
        <v>460</v>
      </c>
      <c r="D1053" s="105" t="n">
        <v>0.0833</v>
      </c>
      <c r="E1053" s="106" t="n">
        <v>60</v>
      </c>
      <c r="F1053" s="107" t="n">
        <f aca="false">IF($C1053="","",$D1053*$E1053)</f>
        <v>4.998</v>
      </c>
      <c r="G1053" s="107" t="n">
        <f aca="false">IF($C1053="","",$D1053*IFERROR(INDEX('تحليل التكلفة والسعر'!$C$2:$C$700,MATCH($C1053,'تحليل التكلفة والسعر'!$B$2:$B$700,0)),0))</f>
        <v>3.486105</v>
      </c>
      <c r="H1053" s="104" t="s">
        <v>719</v>
      </c>
    </row>
    <row r="1054" customFormat="false" ht="15" hidden="false" customHeight="false" outlineLevel="0" collapsed="false">
      <c r="A1054" s="103" t="n">
        <v>46304</v>
      </c>
      <c r="B1054" s="104" t="s">
        <v>33</v>
      </c>
      <c r="C1054" s="104" t="s">
        <v>460</v>
      </c>
      <c r="D1054" s="105" t="n">
        <v>0.0833</v>
      </c>
      <c r="E1054" s="106" t="n">
        <v>60</v>
      </c>
      <c r="F1054" s="107" t="n">
        <f aca="false">IF($C1054="","",$D1054*$E1054)</f>
        <v>4.998</v>
      </c>
      <c r="G1054" s="107" t="n">
        <f aca="false">IF($C1054="","",$D1054*IFERROR(INDEX('تحليل التكلفة والسعر'!$C$2:$C$700,MATCH($C1054,'تحليل التكلفة والسعر'!$B$2:$B$700,0)),0))</f>
        <v>3.486105</v>
      </c>
      <c r="H1054" s="104" t="s">
        <v>719</v>
      </c>
    </row>
    <row r="1055" customFormat="false" ht="15" hidden="false" customHeight="false" outlineLevel="0" collapsed="false">
      <c r="A1055" s="103" t="n">
        <v>46305</v>
      </c>
      <c r="B1055" s="104" t="s">
        <v>33</v>
      </c>
      <c r="C1055" s="104" t="s">
        <v>460</v>
      </c>
      <c r="D1055" s="105" t="n">
        <v>0.0833</v>
      </c>
      <c r="E1055" s="106" t="n">
        <v>60</v>
      </c>
      <c r="F1055" s="107" t="n">
        <f aca="false">IF($C1055="","",$D1055*$E1055)</f>
        <v>4.998</v>
      </c>
      <c r="G1055" s="107" t="n">
        <f aca="false">IF($C1055="","",$D1055*IFERROR(INDEX('تحليل التكلفة والسعر'!$C$2:$C$700,MATCH($C1055,'تحليل التكلفة والسعر'!$B$2:$B$700,0)),0))</f>
        <v>3.486105</v>
      </c>
      <c r="H1055" s="104" t="s">
        <v>719</v>
      </c>
    </row>
    <row r="1056" customFormat="false" ht="15" hidden="false" customHeight="false" outlineLevel="0" collapsed="false">
      <c r="A1056" s="103" t="n">
        <v>46306</v>
      </c>
      <c r="B1056" s="104" t="s">
        <v>33</v>
      </c>
      <c r="C1056" s="104" t="s">
        <v>460</v>
      </c>
      <c r="D1056" s="105" t="n">
        <v>0.0833</v>
      </c>
      <c r="E1056" s="106" t="n">
        <v>60</v>
      </c>
      <c r="F1056" s="107" t="n">
        <f aca="false">IF($C1056="","",$D1056*$E1056)</f>
        <v>4.998</v>
      </c>
      <c r="G1056" s="107" t="n">
        <f aca="false">IF($C1056="","",$D1056*IFERROR(INDEX('تحليل التكلفة والسعر'!$C$2:$C$700,MATCH($C1056,'تحليل التكلفة والسعر'!$B$2:$B$700,0)),0))</f>
        <v>3.486105</v>
      </c>
      <c r="H1056" s="104" t="s">
        <v>719</v>
      </c>
    </row>
    <row r="1057" customFormat="false" ht="15" hidden="false" customHeight="false" outlineLevel="0" collapsed="false">
      <c r="A1057" s="103" t="n">
        <v>46307</v>
      </c>
      <c r="B1057" s="104" t="s">
        <v>33</v>
      </c>
      <c r="C1057" s="104" t="s">
        <v>460</v>
      </c>
      <c r="D1057" s="105" t="n">
        <v>0.0833</v>
      </c>
      <c r="E1057" s="106" t="n">
        <v>60</v>
      </c>
      <c r="F1057" s="107" t="n">
        <f aca="false">IF($C1057="","",$D1057*$E1057)</f>
        <v>4.998</v>
      </c>
      <c r="G1057" s="107" t="n">
        <f aca="false">IF($C1057="","",$D1057*IFERROR(INDEX('تحليل التكلفة والسعر'!$C$2:$C$700,MATCH($C1057,'تحليل التكلفة والسعر'!$B$2:$B$700,0)),0))</f>
        <v>3.486105</v>
      </c>
      <c r="H1057" s="104" t="s">
        <v>719</v>
      </c>
    </row>
    <row r="1058" customFormat="false" ht="15" hidden="false" customHeight="false" outlineLevel="0" collapsed="false">
      <c r="A1058" s="103" t="n">
        <v>46296</v>
      </c>
      <c r="B1058" s="104" t="s">
        <v>33</v>
      </c>
      <c r="C1058" s="104" t="s">
        <v>474</v>
      </c>
      <c r="D1058" s="105" t="n">
        <v>0.1667</v>
      </c>
      <c r="E1058" s="106" t="n">
        <v>160</v>
      </c>
      <c r="F1058" s="107" t="n">
        <f aca="false">IF($C1058="","",$D1058*$E1058)</f>
        <v>26.672</v>
      </c>
      <c r="G1058" s="107" t="n">
        <f aca="false">IF($C1058="","",$D1058*IFERROR(INDEX('تحليل التكلفة والسعر'!$C$2:$C$700,MATCH($C1058,'تحليل التكلفة والسعر'!$B$2:$B$700,0)),0))</f>
        <v>14.844635</v>
      </c>
      <c r="H1058" s="104" t="s">
        <v>719</v>
      </c>
    </row>
    <row r="1059" customFormat="false" ht="15" hidden="false" customHeight="false" outlineLevel="0" collapsed="false">
      <c r="A1059" s="103" t="n">
        <v>46297</v>
      </c>
      <c r="B1059" s="104" t="s">
        <v>33</v>
      </c>
      <c r="C1059" s="104" t="s">
        <v>474</v>
      </c>
      <c r="D1059" s="105" t="n">
        <v>0.1667</v>
      </c>
      <c r="E1059" s="106" t="n">
        <v>160</v>
      </c>
      <c r="F1059" s="107" t="n">
        <f aca="false">IF($C1059="","",$D1059*$E1059)</f>
        <v>26.672</v>
      </c>
      <c r="G1059" s="107" t="n">
        <f aca="false">IF($C1059="","",$D1059*IFERROR(INDEX('تحليل التكلفة والسعر'!$C$2:$C$700,MATCH($C1059,'تحليل التكلفة والسعر'!$B$2:$B$700,0)),0))</f>
        <v>14.844635</v>
      </c>
      <c r="H1059" s="104" t="s">
        <v>719</v>
      </c>
    </row>
    <row r="1060" customFormat="false" ht="15" hidden="false" customHeight="false" outlineLevel="0" collapsed="false">
      <c r="A1060" s="103" t="n">
        <v>46298</v>
      </c>
      <c r="B1060" s="104" t="s">
        <v>33</v>
      </c>
      <c r="C1060" s="104" t="s">
        <v>474</v>
      </c>
      <c r="D1060" s="105" t="n">
        <v>0.1667</v>
      </c>
      <c r="E1060" s="106" t="n">
        <v>160</v>
      </c>
      <c r="F1060" s="107" t="n">
        <f aca="false">IF($C1060="","",$D1060*$E1060)</f>
        <v>26.672</v>
      </c>
      <c r="G1060" s="107" t="n">
        <f aca="false">IF($C1060="","",$D1060*IFERROR(INDEX('تحليل التكلفة والسعر'!$C$2:$C$700,MATCH($C1060,'تحليل التكلفة والسعر'!$B$2:$B$700,0)),0))</f>
        <v>14.844635</v>
      </c>
      <c r="H1060" s="104" t="s">
        <v>719</v>
      </c>
    </row>
    <row r="1061" customFormat="false" ht="15" hidden="false" customHeight="false" outlineLevel="0" collapsed="false">
      <c r="A1061" s="103" t="n">
        <v>46299</v>
      </c>
      <c r="B1061" s="104" t="s">
        <v>33</v>
      </c>
      <c r="C1061" s="104" t="s">
        <v>474</v>
      </c>
      <c r="D1061" s="105" t="n">
        <v>0.1667</v>
      </c>
      <c r="E1061" s="106" t="n">
        <v>160</v>
      </c>
      <c r="F1061" s="107" t="n">
        <f aca="false">IF($C1061="","",$D1061*$E1061)</f>
        <v>26.672</v>
      </c>
      <c r="G1061" s="107" t="n">
        <f aca="false">IF($C1061="","",$D1061*IFERROR(INDEX('تحليل التكلفة والسعر'!$C$2:$C$700,MATCH($C1061,'تحليل التكلفة والسعر'!$B$2:$B$700,0)),0))</f>
        <v>14.844635</v>
      </c>
      <c r="H1061" s="104" t="s">
        <v>719</v>
      </c>
    </row>
    <row r="1062" customFormat="false" ht="15" hidden="false" customHeight="false" outlineLevel="0" collapsed="false">
      <c r="A1062" s="103" t="n">
        <v>46300</v>
      </c>
      <c r="B1062" s="104" t="s">
        <v>33</v>
      </c>
      <c r="C1062" s="104" t="s">
        <v>474</v>
      </c>
      <c r="D1062" s="105" t="n">
        <v>0.1667</v>
      </c>
      <c r="E1062" s="106" t="n">
        <v>160</v>
      </c>
      <c r="F1062" s="107" t="n">
        <f aca="false">IF($C1062="","",$D1062*$E1062)</f>
        <v>26.672</v>
      </c>
      <c r="G1062" s="107" t="n">
        <f aca="false">IF($C1062="","",$D1062*IFERROR(INDEX('تحليل التكلفة والسعر'!$C$2:$C$700,MATCH($C1062,'تحليل التكلفة والسعر'!$B$2:$B$700,0)),0))</f>
        <v>14.844635</v>
      </c>
      <c r="H1062" s="104" t="s">
        <v>719</v>
      </c>
    </row>
    <row r="1063" customFormat="false" ht="15" hidden="false" customHeight="false" outlineLevel="0" collapsed="false">
      <c r="A1063" s="103" t="n">
        <v>46301</v>
      </c>
      <c r="B1063" s="104" t="s">
        <v>33</v>
      </c>
      <c r="C1063" s="104" t="s">
        <v>474</v>
      </c>
      <c r="D1063" s="105" t="n">
        <v>0.1667</v>
      </c>
      <c r="E1063" s="106" t="n">
        <v>160</v>
      </c>
      <c r="F1063" s="107" t="n">
        <f aca="false">IF($C1063="","",$D1063*$E1063)</f>
        <v>26.672</v>
      </c>
      <c r="G1063" s="107" t="n">
        <f aca="false">IF($C1063="","",$D1063*IFERROR(INDEX('تحليل التكلفة والسعر'!$C$2:$C$700,MATCH($C1063,'تحليل التكلفة والسعر'!$B$2:$B$700,0)),0))</f>
        <v>14.844635</v>
      </c>
      <c r="H1063" s="104" t="s">
        <v>719</v>
      </c>
    </row>
    <row r="1064" customFormat="false" ht="15" hidden="false" customHeight="false" outlineLevel="0" collapsed="false">
      <c r="A1064" s="103" t="n">
        <v>46302</v>
      </c>
      <c r="B1064" s="104" t="s">
        <v>33</v>
      </c>
      <c r="C1064" s="104" t="s">
        <v>474</v>
      </c>
      <c r="D1064" s="105" t="n">
        <v>0.1667</v>
      </c>
      <c r="E1064" s="106" t="n">
        <v>160</v>
      </c>
      <c r="F1064" s="107" t="n">
        <f aca="false">IF($C1064="","",$D1064*$E1064)</f>
        <v>26.672</v>
      </c>
      <c r="G1064" s="107" t="n">
        <f aca="false">IF($C1064="","",$D1064*IFERROR(INDEX('تحليل التكلفة والسعر'!$C$2:$C$700,MATCH($C1064,'تحليل التكلفة والسعر'!$B$2:$B$700,0)),0))</f>
        <v>14.844635</v>
      </c>
      <c r="H1064" s="104" t="s">
        <v>719</v>
      </c>
    </row>
    <row r="1065" customFormat="false" ht="15" hidden="false" customHeight="false" outlineLevel="0" collapsed="false">
      <c r="A1065" s="103" t="n">
        <v>46303</v>
      </c>
      <c r="B1065" s="104" t="s">
        <v>33</v>
      </c>
      <c r="C1065" s="104" t="s">
        <v>474</v>
      </c>
      <c r="D1065" s="105" t="n">
        <v>0.1667</v>
      </c>
      <c r="E1065" s="106" t="n">
        <v>160</v>
      </c>
      <c r="F1065" s="107" t="n">
        <f aca="false">IF($C1065="","",$D1065*$E1065)</f>
        <v>26.672</v>
      </c>
      <c r="G1065" s="107" t="n">
        <f aca="false">IF($C1065="","",$D1065*IFERROR(INDEX('تحليل التكلفة والسعر'!$C$2:$C$700,MATCH($C1065,'تحليل التكلفة والسعر'!$B$2:$B$700,0)),0))</f>
        <v>14.844635</v>
      </c>
      <c r="H1065" s="104" t="s">
        <v>719</v>
      </c>
    </row>
    <row r="1066" customFormat="false" ht="15" hidden="false" customHeight="false" outlineLevel="0" collapsed="false">
      <c r="A1066" s="103" t="n">
        <v>46304</v>
      </c>
      <c r="B1066" s="104" t="s">
        <v>33</v>
      </c>
      <c r="C1066" s="104" t="s">
        <v>474</v>
      </c>
      <c r="D1066" s="105" t="n">
        <v>0.1667</v>
      </c>
      <c r="E1066" s="106" t="n">
        <v>160</v>
      </c>
      <c r="F1066" s="107" t="n">
        <f aca="false">IF($C1066="","",$D1066*$E1066)</f>
        <v>26.672</v>
      </c>
      <c r="G1066" s="107" t="n">
        <f aca="false">IF($C1066="","",$D1066*IFERROR(INDEX('تحليل التكلفة والسعر'!$C$2:$C$700,MATCH($C1066,'تحليل التكلفة والسعر'!$B$2:$B$700,0)),0))</f>
        <v>14.844635</v>
      </c>
      <c r="H1066" s="104" t="s">
        <v>719</v>
      </c>
    </row>
    <row r="1067" customFormat="false" ht="15" hidden="false" customHeight="false" outlineLevel="0" collapsed="false">
      <c r="A1067" s="103" t="n">
        <v>46305</v>
      </c>
      <c r="B1067" s="104" t="s">
        <v>33</v>
      </c>
      <c r="C1067" s="104" t="s">
        <v>474</v>
      </c>
      <c r="D1067" s="105" t="n">
        <v>0.1667</v>
      </c>
      <c r="E1067" s="106" t="n">
        <v>160</v>
      </c>
      <c r="F1067" s="107" t="n">
        <f aca="false">IF($C1067="","",$D1067*$E1067)</f>
        <v>26.672</v>
      </c>
      <c r="G1067" s="107" t="n">
        <f aca="false">IF($C1067="","",$D1067*IFERROR(INDEX('تحليل التكلفة والسعر'!$C$2:$C$700,MATCH($C1067,'تحليل التكلفة والسعر'!$B$2:$B$700,0)),0))</f>
        <v>14.844635</v>
      </c>
      <c r="H1067" s="104" t="s">
        <v>719</v>
      </c>
    </row>
    <row r="1068" customFormat="false" ht="15" hidden="false" customHeight="false" outlineLevel="0" collapsed="false">
      <c r="A1068" s="103" t="n">
        <v>46306</v>
      </c>
      <c r="B1068" s="104" t="s">
        <v>33</v>
      </c>
      <c r="C1068" s="104" t="s">
        <v>474</v>
      </c>
      <c r="D1068" s="105" t="n">
        <v>0.1667</v>
      </c>
      <c r="E1068" s="106" t="n">
        <v>160</v>
      </c>
      <c r="F1068" s="107" t="n">
        <f aca="false">IF($C1068="","",$D1068*$E1068)</f>
        <v>26.672</v>
      </c>
      <c r="G1068" s="107" t="n">
        <f aca="false">IF($C1068="","",$D1068*IFERROR(INDEX('تحليل التكلفة والسعر'!$C$2:$C$700,MATCH($C1068,'تحليل التكلفة والسعر'!$B$2:$B$700,0)),0))</f>
        <v>14.844635</v>
      </c>
      <c r="H1068" s="104" t="s">
        <v>719</v>
      </c>
    </row>
    <row r="1069" customFormat="false" ht="15" hidden="false" customHeight="false" outlineLevel="0" collapsed="false">
      <c r="A1069" s="103" t="n">
        <v>46307</v>
      </c>
      <c r="B1069" s="104" t="s">
        <v>33</v>
      </c>
      <c r="C1069" s="104" t="s">
        <v>474</v>
      </c>
      <c r="D1069" s="105" t="n">
        <v>0.1667</v>
      </c>
      <c r="E1069" s="106" t="n">
        <v>160</v>
      </c>
      <c r="F1069" s="107" t="n">
        <f aca="false">IF($C1069="","",$D1069*$E1069)</f>
        <v>26.672</v>
      </c>
      <c r="G1069" s="107" t="n">
        <f aca="false">IF($C1069="","",$D1069*IFERROR(INDEX('تحليل التكلفة والسعر'!$C$2:$C$700,MATCH($C1069,'تحليل التكلفة والسعر'!$B$2:$B$700,0)),0))</f>
        <v>14.844635</v>
      </c>
      <c r="H1069" s="104" t="s">
        <v>719</v>
      </c>
    </row>
    <row r="1070" customFormat="false" ht="15" hidden="false" customHeight="false" outlineLevel="0" collapsed="false">
      <c r="A1070" s="103" t="n">
        <v>46296</v>
      </c>
      <c r="B1070" s="104" t="s">
        <v>33</v>
      </c>
      <c r="C1070" s="104" t="s">
        <v>468</v>
      </c>
      <c r="D1070" s="105" t="n">
        <v>0.25</v>
      </c>
      <c r="E1070" s="106" t="n">
        <v>100</v>
      </c>
      <c r="F1070" s="107" t="n">
        <f aca="false">IF($C1070="","",$D1070*$E1070)</f>
        <v>25</v>
      </c>
      <c r="G1070" s="107" t="n">
        <f aca="false">IF($C1070="","",$D1070*IFERROR(INDEX('تحليل التكلفة والسعر'!$C$2:$C$700,MATCH($C1070,'تحليل التكلفة والسعر'!$B$2:$B$700,0)),0))</f>
        <v>15.8625</v>
      </c>
      <c r="H1070" s="104" t="s">
        <v>719</v>
      </c>
    </row>
    <row r="1071" customFormat="false" ht="15" hidden="false" customHeight="false" outlineLevel="0" collapsed="false">
      <c r="A1071" s="103" t="n">
        <v>46297</v>
      </c>
      <c r="B1071" s="104" t="s">
        <v>33</v>
      </c>
      <c r="C1071" s="104" t="s">
        <v>468</v>
      </c>
      <c r="D1071" s="105" t="n">
        <v>0.25</v>
      </c>
      <c r="E1071" s="106" t="n">
        <v>100</v>
      </c>
      <c r="F1071" s="107" t="n">
        <f aca="false">IF($C1071="","",$D1071*$E1071)</f>
        <v>25</v>
      </c>
      <c r="G1071" s="107" t="n">
        <f aca="false">IF($C1071="","",$D1071*IFERROR(INDEX('تحليل التكلفة والسعر'!$C$2:$C$700,MATCH($C1071,'تحليل التكلفة والسعر'!$B$2:$B$700,0)),0))</f>
        <v>15.8625</v>
      </c>
      <c r="H1071" s="104" t="s">
        <v>719</v>
      </c>
    </row>
    <row r="1072" customFormat="false" ht="15" hidden="false" customHeight="false" outlineLevel="0" collapsed="false">
      <c r="A1072" s="103" t="n">
        <v>46298</v>
      </c>
      <c r="B1072" s="104" t="s">
        <v>33</v>
      </c>
      <c r="C1072" s="104" t="s">
        <v>468</v>
      </c>
      <c r="D1072" s="105" t="n">
        <v>0.25</v>
      </c>
      <c r="E1072" s="106" t="n">
        <v>100</v>
      </c>
      <c r="F1072" s="107" t="n">
        <f aca="false">IF($C1072="","",$D1072*$E1072)</f>
        <v>25</v>
      </c>
      <c r="G1072" s="107" t="n">
        <f aca="false">IF($C1072="","",$D1072*IFERROR(INDEX('تحليل التكلفة والسعر'!$C$2:$C$700,MATCH($C1072,'تحليل التكلفة والسعر'!$B$2:$B$700,0)),0))</f>
        <v>15.8625</v>
      </c>
      <c r="H1072" s="104" t="s">
        <v>719</v>
      </c>
    </row>
    <row r="1073" customFormat="false" ht="15" hidden="false" customHeight="false" outlineLevel="0" collapsed="false">
      <c r="A1073" s="103" t="n">
        <v>46299</v>
      </c>
      <c r="B1073" s="104" t="s">
        <v>33</v>
      </c>
      <c r="C1073" s="104" t="s">
        <v>468</v>
      </c>
      <c r="D1073" s="105" t="n">
        <v>0.25</v>
      </c>
      <c r="E1073" s="106" t="n">
        <v>100</v>
      </c>
      <c r="F1073" s="107" t="n">
        <f aca="false">IF($C1073="","",$D1073*$E1073)</f>
        <v>25</v>
      </c>
      <c r="G1073" s="107" t="n">
        <f aca="false">IF($C1073="","",$D1073*IFERROR(INDEX('تحليل التكلفة والسعر'!$C$2:$C$700,MATCH($C1073,'تحليل التكلفة والسعر'!$B$2:$B$700,0)),0))</f>
        <v>15.8625</v>
      </c>
      <c r="H1073" s="104" t="s">
        <v>719</v>
      </c>
    </row>
    <row r="1074" customFormat="false" ht="15" hidden="false" customHeight="false" outlineLevel="0" collapsed="false">
      <c r="A1074" s="103" t="n">
        <v>46300</v>
      </c>
      <c r="B1074" s="104" t="s">
        <v>33</v>
      </c>
      <c r="C1074" s="104" t="s">
        <v>468</v>
      </c>
      <c r="D1074" s="105" t="n">
        <v>0.25</v>
      </c>
      <c r="E1074" s="106" t="n">
        <v>100</v>
      </c>
      <c r="F1074" s="107" t="n">
        <f aca="false">IF($C1074="","",$D1074*$E1074)</f>
        <v>25</v>
      </c>
      <c r="G1074" s="107" t="n">
        <f aca="false">IF($C1074="","",$D1074*IFERROR(INDEX('تحليل التكلفة والسعر'!$C$2:$C$700,MATCH($C1074,'تحليل التكلفة والسعر'!$B$2:$B$700,0)),0))</f>
        <v>15.8625</v>
      </c>
      <c r="H1074" s="104" t="s">
        <v>719</v>
      </c>
    </row>
    <row r="1075" customFormat="false" ht="15" hidden="false" customHeight="false" outlineLevel="0" collapsed="false">
      <c r="A1075" s="103" t="n">
        <v>46301</v>
      </c>
      <c r="B1075" s="104" t="s">
        <v>33</v>
      </c>
      <c r="C1075" s="104" t="s">
        <v>468</v>
      </c>
      <c r="D1075" s="105" t="n">
        <v>0.25</v>
      </c>
      <c r="E1075" s="106" t="n">
        <v>100</v>
      </c>
      <c r="F1075" s="107" t="n">
        <f aca="false">IF($C1075="","",$D1075*$E1075)</f>
        <v>25</v>
      </c>
      <c r="G1075" s="107" t="n">
        <f aca="false">IF($C1075="","",$D1075*IFERROR(INDEX('تحليل التكلفة والسعر'!$C$2:$C$700,MATCH($C1075,'تحليل التكلفة والسعر'!$B$2:$B$700,0)),0))</f>
        <v>15.8625</v>
      </c>
      <c r="H1075" s="104" t="s">
        <v>719</v>
      </c>
    </row>
    <row r="1076" customFormat="false" ht="15" hidden="false" customHeight="false" outlineLevel="0" collapsed="false">
      <c r="A1076" s="103" t="n">
        <v>46302</v>
      </c>
      <c r="B1076" s="104" t="s">
        <v>33</v>
      </c>
      <c r="C1076" s="104" t="s">
        <v>468</v>
      </c>
      <c r="D1076" s="105" t="n">
        <v>0.25</v>
      </c>
      <c r="E1076" s="106" t="n">
        <v>100</v>
      </c>
      <c r="F1076" s="107" t="n">
        <f aca="false">IF($C1076="","",$D1076*$E1076)</f>
        <v>25</v>
      </c>
      <c r="G1076" s="107" t="n">
        <f aca="false">IF($C1076="","",$D1076*IFERROR(INDEX('تحليل التكلفة والسعر'!$C$2:$C$700,MATCH($C1076,'تحليل التكلفة والسعر'!$B$2:$B$700,0)),0))</f>
        <v>15.8625</v>
      </c>
      <c r="H1076" s="104" t="s">
        <v>719</v>
      </c>
    </row>
    <row r="1077" customFormat="false" ht="15" hidden="false" customHeight="false" outlineLevel="0" collapsed="false">
      <c r="A1077" s="103" t="n">
        <v>46303</v>
      </c>
      <c r="B1077" s="104" t="s">
        <v>33</v>
      </c>
      <c r="C1077" s="104" t="s">
        <v>468</v>
      </c>
      <c r="D1077" s="105" t="n">
        <v>0.25</v>
      </c>
      <c r="E1077" s="106" t="n">
        <v>100</v>
      </c>
      <c r="F1077" s="107" t="n">
        <f aca="false">IF($C1077="","",$D1077*$E1077)</f>
        <v>25</v>
      </c>
      <c r="G1077" s="107" t="n">
        <f aca="false">IF($C1077="","",$D1077*IFERROR(INDEX('تحليل التكلفة والسعر'!$C$2:$C$700,MATCH($C1077,'تحليل التكلفة والسعر'!$B$2:$B$700,0)),0))</f>
        <v>15.8625</v>
      </c>
      <c r="H1077" s="104" t="s">
        <v>719</v>
      </c>
    </row>
    <row r="1078" customFormat="false" ht="15" hidden="false" customHeight="false" outlineLevel="0" collapsed="false">
      <c r="A1078" s="103" t="n">
        <v>46304</v>
      </c>
      <c r="B1078" s="104" t="s">
        <v>33</v>
      </c>
      <c r="C1078" s="104" t="s">
        <v>468</v>
      </c>
      <c r="D1078" s="105" t="n">
        <v>0.25</v>
      </c>
      <c r="E1078" s="106" t="n">
        <v>100</v>
      </c>
      <c r="F1078" s="107" t="n">
        <f aca="false">IF($C1078="","",$D1078*$E1078)</f>
        <v>25</v>
      </c>
      <c r="G1078" s="107" t="n">
        <f aca="false">IF($C1078="","",$D1078*IFERROR(INDEX('تحليل التكلفة والسعر'!$C$2:$C$700,MATCH($C1078,'تحليل التكلفة والسعر'!$B$2:$B$700,0)),0))</f>
        <v>15.8625</v>
      </c>
      <c r="H1078" s="104" t="s">
        <v>719</v>
      </c>
    </row>
    <row r="1079" customFormat="false" ht="15" hidden="false" customHeight="false" outlineLevel="0" collapsed="false">
      <c r="A1079" s="103" t="n">
        <v>46305</v>
      </c>
      <c r="B1079" s="104" t="s">
        <v>33</v>
      </c>
      <c r="C1079" s="104" t="s">
        <v>468</v>
      </c>
      <c r="D1079" s="105" t="n">
        <v>0.25</v>
      </c>
      <c r="E1079" s="106" t="n">
        <v>100</v>
      </c>
      <c r="F1079" s="107" t="n">
        <f aca="false">IF($C1079="","",$D1079*$E1079)</f>
        <v>25</v>
      </c>
      <c r="G1079" s="107" t="n">
        <f aca="false">IF($C1079="","",$D1079*IFERROR(INDEX('تحليل التكلفة والسعر'!$C$2:$C$700,MATCH($C1079,'تحليل التكلفة والسعر'!$B$2:$B$700,0)),0))</f>
        <v>15.8625</v>
      </c>
      <c r="H1079" s="104" t="s">
        <v>719</v>
      </c>
    </row>
    <row r="1080" customFormat="false" ht="15" hidden="false" customHeight="false" outlineLevel="0" collapsed="false">
      <c r="A1080" s="103" t="n">
        <v>46306</v>
      </c>
      <c r="B1080" s="104" t="s">
        <v>33</v>
      </c>
      <c r="C1080" s="104" t="s">
        <v>468</v>
      </c>
      <c r="D1080" s="105" t="n">
        <v>0.25</v>
      </c>
      <c r="E1080" s="106" t="n">
        <v>100</v>
      </c>
      <c r="F1080" s="107" t="n">
        <f aca="false">IF($C1080="","",$D1080*$E1080)</f>
        <v>25</v>
      </c>
      <c r="G1080" s="107" t="n">
        <f aca="false">IF($C1080="","",$D1080*IFERROR(INDEX('تحليل التكلفة والسعر'!$C$2:$C$700,MATCH($C1080,'تحليل التكلفة والسعر'!$B$2:$B$700,0)),0))</f>
        <v>15.8625</v>
      </c>
      <c r="H1080" s="104" t="s">
        <v>719</v>
      </c>
    </row>
    <row r="1081" customFormat="false" ht="15" hidden="false" customHeight="false" outlineLevel="0" collapsed="false">
      <c r="A1081" s="103" t="n">
        <v>46307</v>
      </c>
      <c r="B1081" s="104" t="s">
        <v>33</v>
      </c>
      <c r="C1081" s="104" t="s">
        <v>468</v>
      </c>
      <c r="D1081" s="105" t="n">
        <v>0.25</v>
      </c>
      <c r="E1081" s="106" t="n">
        <v>100</v>
      </c>
      <c r="F1081" s="107" t="n">
        <f aca="false">IF($C1081="","",$D1081*$E1081)</f>
        <v>25</v>
      </c>
      <c r="G1081" s="107" t="n">
        <f aca="false">IF($C1081="","",$D1081*IFERROR(INDEX('تحليل التكلفة والسعر'!$C$2:$C$700,MATCH($C1081,'تحليل التكلفة والسعر'!$B$2:$B$700,0)),0))</f>
        <v>15.8625</v>
      </c>
      <c r="H1081" s="104" t="s">
        <v>719</v>
      </c>
    </row>
    <row r="1082" customFormat="false" ht="15" hidden="false" customHeight="false" outlineLevel="0" collapsed="false">
      <c r="A1082" s="103" t="n">
        <v>46296</v>
      </c>
      <c r="B1082" s="104" t="s">
        <v>33</v>
      </c>
      <c r="C1082" s="104" t="s">
        <v>442</v>
      </c>
      <c r="D1082" s="105" t="n">
        <v>0.5</v>
      </c>
      <c r="E1082" s="106" t="n">
        <v>85.0417</v>
      </c>
      <c r="F1082" s="107" t="n">
        <f aca="false">IF($C1082="","",$D1082*$E1082)</f>
        <v>42.52085</v>
      </c>
      <c r="G1082" s="107" t="n">
        <f aca="false">IF($C1082="","",$D1082*IFERROR(INDEX('تحليل التكلفة والسعر'!$C$2:$C$700,MATCH($C1082,'تحليل التكلفة والسعر'!$B$2:$B$700,0)),0))</f>
        <v>19.908986</v>
      </c>
      <c r="H1082" s="104" t="s">
        <v>719</v>
      </c>
    </row>
    <row r="1083" customFormat="false" ht="15" hidden="false" customHeight="false" outlineLevel="0" collapsed="false">
      <c r="A1083" s="103" t="n">
        <v>46297</v>
      </c>
      <c r="B1083" s="104" t="s">
        <v>33</v>
      </c>
      <c r="C1083" s="104" t="s">
        <v>442</v>
      </c>
      <c r="D1083" s="105" t="n">
        <v>0.5</v>
      </c>
      <c r="E1083" s="106" t="n">
        <v>85.0417</v>
      </c>
      <c r="F1083" s="107" t="n">
        <f aca="false">IF($C1083="","",$D1083*$E1083)</f>
        <v>42.52085</v>
      </c>
      <c r="G1083" s="107" t="n">
        <f aca="false">IF($C1083="","",$D1083*IFERROR(INDEX('تحليل التكلفة والسعر'!$C$2:$C$700,MATCH($C1083,'تحليل التكلفة والسعر'!$B$2:$B$700,0)),0))</f>
        <v>19.908986</v>
      </c>
      <c r="H1083" s="104" t="s">
        <v>719</v>
      </c>
    </row>
    <row r="1084" customFormat="false" ht="15" hidden="false" customHeight="false" outlineLevel="0" collapsed="false">
      <c r="A1084" s="103" t="n">
        <v>46298</v>
      </c>
      <c r="B1084" s="104" t="s">
        <v>33</v>
      </c>
      <c r="C1084" s="104" t="s">
        <v>442</v>
      </c>
      <c r="D1084" s="105" t="n">
        <v>0.5</v>
      </c>
      <c r="E1084" s="106" t="n">
        <v>85.0417</v>
      </c>
      <c r="F1084" s="107" t="n">
        <f aca="false">IF($C1084="","",$D1084*$E1084)</f>
        <v>42.52085</v>
      </c>
      <c r="G1084" s="107" t="n">
        <f aca="false">IF($C1084="","",$D1084*IFERROR(INDEX('تحليل التكلفة والسعر'!$C$2:$C$700,MATCH($C1084,'تحليل التكلفة والسعر'!$B$2:$B$700,0)),0))</f>
        <v>19.908986</v>
      </c>
      <c r="H1084" s="104" t="s">
        <v>719</v>
      </c>
    </row>
    <row r="1085" customFormat="false" ht="15" hidden="false" customHeight="false" outlineLevel="0" collapsed="false">
      <c r="A1085" s="103" t="n">
        <v>46299</v>
      </c>
      <c r="B1085" s="104" t="s">
        <v>33</v>
      </c>
      <c r="C1085" s="104" t="s">
        <v>442</v>
      </c>
      <c r="D1085" s="105" t="n">
        <v>0.5</v>
      </c>
      <c r="E1085" s="106" t="n">
        <v>85.0417</v>
      </c>
      <c r="F1085" s="107" t="n">
        <f aca="false">IF($C1085="","",$D1085*$E1085)</f>
        <v>42.52085</v>
      </c>
      <c r="G1085" s="107" t="n">
        <f aca="false">IF($C1085="","",$D1085*IFERROR(INDEX('تحليل التكلفة والسعر'!$C$2:$C$700,MATCH($C1085,'تحليل التكلفة والسعر'!$B$2:$B$700,0)),0))</f>
        <v>19.908986</v>
      </c>
      <c r="H1085" s="104" t="s">
        <v>719</v>
      </c>
    </row>
    <row r="1086" customFormat="false" ht="15" hidden="false" customHeight="false" outlineLevel="0" collapsed="false">
      <c r="A1086" s="103" t="n">
        <v>46300</v>
      </c>
      <c r="B1086" s="104" t="s">
        <v>33</v>
      </c>
      <c r="C1086" s="104" t="s">
        <v>442</v>
      </c>
      <c r="D1086" s="105" t="n">
        <v>0.5</v>
      </c>
      <c r="E1086" s="106" t="n">
        <v>85.0417</v>
      </c>
      <c r="F1086" s="107" t="n">
        <f aca="false">IF($C1086="","",$D1086*$E1086)</f>
        <v>42.52085</v>
      </c>
      <c r="G1086" s="107" t="n">
        <f aca="false">IF($C1086="","",$D1086*IFERROR(INDEX('تحليل التكلفة والسعر'!$C$2:$C$700,MATCH($C1086,'تحليل التكلفة والسعر'!$B$2:$B$700,0)),0))</f>
        <v>19.908986</v>
      </c>
      <c r="H1086" s="104" t="s">
        <v>719</v>
      </c>
    </row>
    <row r="1087" customFormat="false" ht="15" hidden="false" customHeight="false" outlineLevel="0" collapsed="false">
      <c r="A1087" s="103" t="n">
        <v>46301</v>
      </c>
      <c r="B1087" s="104" t="s">
        <v>33</v>
      </c>
      <c r="C1087" s="104" t="s">
        <v>442</v>
      </c>
      <c r="D1087" s="105" t="n">
        <v>0.5</v>
      </c>
      <c r="E1087" s="106" t="n">
        <v>85.0417</v>
      </c>
      <c r="F1087" s="107" t="n">
        <f aca="false">IF($C1087="","",$D1087*$E1087)</f>
        <v>42.52085</v>
      </c>
      <c r="G1087" s="107" t="n">
        <f aca="false">IF($C1087="","",$D1087*IFERROR(INDEX('تحليل التكلفة والسعر'!$C$2:$C$700,MATCH($C1087,'تحليل التكلفة والسعر'!$B$2:$B$700,0)),0))</f>
        <v>19.908986</v>
      </c>
      <c r="H1087" s="104" t="s">
        <v>719</v>
      </c>
    </row>
    <row r="1088" customFormat="false" ht="15" hidden="false" customHeight="false" outlineLevel="0" collapsed="false">
      <c r="A1088" s="103" t="n">
        <v>46302</v>
      </c>
      <c r="B1088" s="104" t="s">
        <v>33</v>
      </c>
      <c r="C1088" s="104" t="s">
        <v>442</v>
      </c>
      <c r="D1088" s="105" t="n">
        <v>0.5</v>
      </c>
      <c r="E1088" s="106" t="n">
        <v>85.0417</v>
      </c>
      <c r="F1088" s="107" t="n">
        <f aca="false">IF($C1088="","",$D1088*$E1088)</f>
        <v>42.52085</v>
      </c>
      <c r="G1088" s="107" t="n">
        <f aca="false">IF($C1088="","",$D1088*IFERROR(INDEX('تحليل التكلفة والسعر'!$C$2:$C$700,MATCH($C1088,'تحليل التكلفة والسعر'!$B$2:$B$700,0)),0))</f>
        <v>19.908986</v>
      </c>
      <c r="H1088" s="104" t="s">
        <v>719</v>
      </c>
    </row>
    <row r="1089" customFormat="false" ht="15" hidden="false" customHeight="false" outlineLevel="0" collapsed="false">
      <c r="A1089" s="103" t="n">
        <v>46303</v>
      </c>
      <c r="B1089" s="104" t="s">
        <v>33</v>
      </c>
      <c r="C1089" s="104" t="s">
        <v>442</v>
      </c>
      <c r="D1089" s="105" t="n">
        <v>0.5</v>
      </c>
      <c r="E1089" s="106" t="n">
        <v>85.0417</v>
      </c>
      <c r="F1089" s="107" t="n">
        <f aca="false">IF($C1089="","",$D1089*$E1089)</f>
        <v>42.52085</v>
      </c>
      <c r="G1089" s="107" t="n">
        <f aca="false">IF($C1089="","",$D1089*IFERROR(INDEX('تحليل التكلفة والسعر'!$C$2:$C$700,MATCH($C1089,'تحليل التكلفة والسعر'!$B$2:$B$700,0)),0))</f>
        <v>19.908986</v>
      </c>
      <c r="H1089" s="104" t="s">
        <v>719</v>
      </c>
    </row>
    <row r="1090" customFormat="false" ht="15" hidden="false" customHeight="false" outlineLevel="0" collapsed="false">
      <c r="A1090" s="103" t="n">
        <v>46304</v>
      </c>
      <c r="B1090" s="104" t="s">
        <v>33</v>
      </c>
      <c r="C1090" s="104" t="s">
        <v>442</v>
      </c>
      <c r="D1090" s="105" t="n">
        <v>0.5</v>
      </c>
      <c r="E1090" s="106" t="n">
        <v>85.0417</v>
      </c>
      <c r="F1090" s="107" t="n">
        <f aca="false">IF($C1090="","",$D1090*$E1090)</f>
        <v>42.52085</v>
      </c>
      <c r="G1090" s="107" t="n">
        <f aca="false">IF($C1090="","",$D1090*IFERROR(INDEX('تحليل التكلفة والسعر'!$C$2:$C$700,MATCH($C1090,'تحليل التكلفة والسعر'!$B$2:$B$700,0)),0))</f>
        <v>19.908986</v>
      </c>
      <c r="H1090" s="104" t="s">
        <v>719</v>
      </c>
    </row>
    <row r="1091" customFormat="false" ht="15" hidden="false" customHeight="false" outlineLevel="0" collapsed="false">
      <c r="A1091" s="103" t="n">
        <v>46305</v>
      </c>
      <c r="B1091" s="104" t="s">
        <v>33</v>
      </c>
      <c r="C1091" s="104" t="s">
        <v>442</v>
      </c>
      <c r="D1091" s="105" t="n">
        <v>0.5</v>
      </c>
      <c r="E1091" s="106" t="n">
        <v>85.0417</v>
      </c>
      <c r="F1091" s="107" t="n">
        <f aca="false">IF($C1091="","",$D1091*$E1091)</f>
        <v>42.52085</v>
      </c>
      <c r="G1091" s="107" t="n">
        <f aca="false">IF($C1091="","",$D1091*IFERROR(INDEX('تحليل التكلفة والسعر'!$C$2:$C$700,MATCH($C1091,'تحليل التكلفة والسعر'!$B$2:$B$700,0)),0))</f>
        <v>19.908986</v>
      </c>
      <c r="H1091" s="104" t="s">
        <v>719</v>
      </c>
    </row>
    <row r="1092" customFormat="false" ht="15" hidden="false" customHeight="false" outlineLevel="0" collapsed="false">
      <c r="A1092" s="103" t="n">
        <v>46306</v>
      </c>
      <c r="B1092" s="104" t="s">
        <v>33</v>
      </c>
      <c r="C1092" s="104" t="s">
        <v>442</v>
      </c>
      <c r="D1092" s="105" t="n">
        <v>0.5</v>
      </c>
      <c r="E1092" s="106" t="n">
        <v>85.0417</v>
      </c>
      <c r="F1092" s="107" t="n">
        <f aca="false">IF($C1092="","",$D1092*$E1092)</f>
        <v>42.52085</v>
      </c>
      <c r="G1092" s="107" t="n">
        <f aca="false">IF($C1092="","",$D1092*IFERROR(INDEX('تحليل التكلفة والسعر'!$C$2:$C$700,MATCH($C1092,'تحليل التكلفة والسعر'!$B$2:$B$700,0)),0))</f>
        <v>19.908986</v>
      </c>
      <c r="H1092" s="104" t="s">
        <v>719</v>
      </c>
    </row>
    <row r="1093" customFormat="false" ht="15" hidden="false" customHeight="false" outlineLevel="0" collapsed="false">
      <c r="A1093" s="103" t="n">
        <v>46307</v>
      </c>
      <c r="B1093" s="104" t="s">
        <v>33</v>
      </c>
      <c r="C1093" s="104" t="s">
        <v>442</v>
      </c>
      <c r="D1093" s="105" t="n">
        <v>0.5</v>
      </c>
      <c r="E1093" s="106" t="n">
        <v>85.0417</v>
      </c>
      <c r="F1093" s="107" t="n">
        <f aca="false">IF($C1093="","",$D1093*$E1093)</f>
        <v>42.52085</v>
      </c>
      <c r="G1093" s="107" t="n">
        <f aca="false">IF($C1093="","",$D1093*IFERROR(INDEX('تحليل التكلفة والسعر'!$C$2:$C$700,MATCH($C1093,'تحليل التكلفة والسعر'!$B$2:$B$700,0)),0))</f>
        <v>19.908986</v>
      </c>
      <c r="H1093" s="104" t="s">
        <v>719</v>
      </c>
    </row>
    <row r="1094" customFormat="false" ht="15" hidden="false" customHeight="false" outlineLevel="0" collapsed="false">
      <c r="A1094" s="103" t="n">
        <v>46296</v>
      </c>
      <c r="B1094" s="104" t="s">
        <v>33</v>
      </c>
      <c r="C1094" s="104" t="s">
        <v>475</v>
      </c>
      <c r="D1094" s="105" t="n">
        <v>1</v>
      </c>
      <c r="E1094" s="106" t="n">
        <v>350</v>
      </c>
      <c r="F1094" s="107" t="n">
        <f aca="false">IF($C1094="","",$D1094*$E1094)</f>
        <v>350</v>
      </c>
      <c r="G1094" s="107" t="n">
        <f aca="false">IF($C1094="","",$D1094*IFERROR(INDEX('تحليل التكلفة والسعر'!$C$2:$C$700,MATCH($C1094,'تحليل التكلفة والسعر'!$B$2:$B$700,0)),0))</f>
        <v>158.2982</v>
      </c>
      <c r="H1094" s="104" t="s">
        <v>719</v>
      </c>
    </row>
    <row r="1095" customFormat="false" ht="15" hidden="false" customHeight="false" outlineLevel="0" collapsed="false">
      <c r="A1095" s="103" t="n">
        <v>46297</v>
      </c>
      <c r="B1095" s="104" t="s">
        <v>33</v>
      </c>
      <c r="C1095" s="104" t="s">
        <v>475</v>
      </c>
      <c r="D1095" s="105" t="n">
        <v>1</v>
      </c>
      <c r="E1095" s="106" t="n">
        <v>350</v>
      </c>
      <c r="F1095" s="107" t="n">
        <f aca="false">IF($C1095="","",$D1095*$E1095)</f>
        <v>350</v>
      </c>
      <c r="G1095" s="107" t="n">
        <f aca="false">IF($C1095="","",$D1095*IFERROR(INDEX('تحليل التكلفة والسعر'!$C$2:$C$700,MATCH($C1095,'تحليل التكلفة والسعر'!$B$2:$B$700,0)),0))</f>
        <v>158.2982</v>
      </c>
      <c r="H1095" s="104" t="s">
        <v>719</v>
      </c>
    </row>
    <row r="1096" customFormat="false" ht="15" hidden="false" customHeight="false" outlineLevel="0" collapsed="false">
      <c r="A1096" s="103" t="n">
        <v>46298</v>
      </c>
      <c r="B1096" s="104" t="s">
        <v>33</v>
      </c>
      <c r="C1096" s="104" t="s">
        <v>475</v>
      </c>
      <c r="D1096" s="105" t="n">
        <v>1</v>
      </c>
      <c r="E1096" s="106" t="n">
        <v>350</v>
      </c>
      <c r="F1096" s="107" t="n">
        <f aca="false">IF($C1096="","",$D1096*$E1096)</f>
        <v>350</v>
      </c>
      <c r="G1096" s="107" t="n">
        <f aca="false">IF($C1096="","",$D1096*IFERROR(INDEX('تحليل التكلفة والسعر'!$C$2:$C$700,MATCH($C1096,'تحليل التكلفة والسعر'!$B$2:$B$700,0)),0))</f>
        <v>158.2982</v>
      </c>
      <c r="H1096" s="104" t="s">
        <v>719</v>
      </c>
    </row>
    <row r="1097" customFormat="false" ht="15" hidden="false" customHeight="false" outlineLevel="0" collapsed="false">
      <c r="A1097" s="103" t="n">
        <v>46299</v>
      </c>
      <c r="B1097" s="104" t="s">
        <v>33</v>
      </c>
      <c r="C1097" s="104" t="s">
        <v>475</v>
      </c>
      <c r="D1097" s="105" t="n">
        <v>1</v>
      </c>
      <c r="E1097" s="106" t="n">
        <v>350</v>
      </c>
      <c r="F1097" s="107" t="n">
        <f aca="false">IF($C1097="","",$D1097*$E1097)</f>
        <v>350</v>
      </c>
      <c r="G1097" s="107" t="n">
        <f aca="false">IF($C1097="","",$D1097*IFERROR(INDEX('تحليل التكلفة والسعر'!$C$2:$C$700,MATCH($C1097,'تحليل التكلفة والسعر'!$B$2:$B$700,0)),0))</f>
        <v>158.2982</v>
      </c>
      <c r="H1097" s="104" t="s">
        <v>719</v>
      </c>
    </row>
    <row r="1098" customFormat="false" ht="15" hidden="false" customHeight="false" outlineLevel="0" collapsed="false">
      <c r="A1098" s="103" t="n">
        <v>46300</v>
      </c>
      <c r="B1098" s="104" t="s">
        <v>33</v>
      </c>
      <c r="C1098" s="104" t="s">
        <v>475</v>
      </c>
      <c r="D1098" s="105" t="n">
        <v>1</v>
      </c>
      <c r="E1098" s="106" t="n">
        <v>350</v>
      </c>
      <c r="F1098" s="107" t="n">
        <f aca="false">IF($C1098="","",$D1098*$E1098)</f>
        <v>350</v>
      </c>
      <c r="G1098" s="107" t="n">
        <f aca="false">IF($C1098="","",$D1098*IFERROR(INDEX('تحليل التكلفة والسعر'!$C$2:$C$700,MATCH($C1098,'تحليل التكلفة والسعر'!$B$2:$B$700,0)),0))</f>
        <v>158.2982</v>
      </c>
      <c r="H1098" s="104" t="s">
        <v>719</v>
      </c>
    </row>
    <row r="1099" customFormat="false" ht="15" hidden="false" customHeight="false" outlineLevel="0" collapsed="false">
      <c r="A1099" s="103" t="n">
        <v>46301</v>
      </c>
      <c r="B1099" s="104" t="s">
        <v>33</v>
      </c>
      <c r="C1099" s="104" t="s">
        <v>475</v>
      </c>
      <c r="D1099" s="105" t="n">
        <v>1</v>
      </c>
      <c r="E1099" s="106" t="n">
        <v>350</v>
      </c>
      <c r="F1099" s="107" t="n">
        <f aca="false">IF($C1099="","",$D1099*$E1099)</f>
        <v>350</v>
      </c>
      <c r="G1099" s="107" t="n">
        <f aca="false">IF($C1099="","",$D1099*IFERROR(INDEX('تحليل التكلفة والسعر'!$C$2:$C$700,MATCH($C1099,'تحليل التكلفة والسعر'!$B$2:$B$700,0)),0))</f>
        <v>158.2982</v>
      </c>
      <c r="H1099" s="104" t="s">
        <v>719</v>
      </c>
    </row>
    <row r="1100" customFormat="false" ht="15" hidden="false" customHeight="false" outlineLevel="0" collapsed="false">
      <c r="A1100" s="103" t="n">
        <v>46302</v>
      </c>
      <c r="B1100" s="104" t="s">
        <v>33</v>
      </c>
      <c r="C1100" s="104" t="s">
        <v>475</v>
      </c>
      <c r="D1100" s="105" t="n">
        <v>1</v>
      </c>
      <c r="E1100" s="106" t="n">
        <v>350</v>
      </c>
      <c r="F1100" s="107" t="n">
        <f aca="false">IF($C1100="","",$D1100*$E1100)</f>
        <v>350</v>
      </c>
      <c r="G1100" s="107" t="n">
        <f aca="false">IF($C1100="","",$D1100*IFERROR(INDEX('تحليل التكلفة والسعر'!$C$2:$C$700,MATCH($C1100,'تحليل التكلفة والسعر'!$B$2:$B$700,0)),0))</f>
        <v>158.2982</v>
      </c>
      <c r="H1100" s="104" t="s">
        <v>719</v>
      </c>
    </row>
    <row r="1101" customFormat="false" ht="15" hidden="false" customHeight="false" outlineLevel="0" collapsed="false">
      <c r="A1101" s="103" t="n">
        <v>46303</v>
      </c>
      <c r="B1101" s="104" t="s">
        <v>33</v>
      </c>
      <c r="C1101" s="104" t="s">
        <v>475</v>
      </c>
      <c r="D1101" s="105" t="n">
        <v>1</v>
      </c>
      <c r="E1101" s="106" t="n">
        <v>350</v>
      </c>
      <c r="F1101" s="107" t="n">
        <f aca="false">IF($C1101="","",$D1101*$E1101)</f>
        <v>350</v>
      </c>
      <c r="G1101" s="107" t="n">
        <f aca="false">IF($C1101="","",$D1101*IFERROR(INDEX('تحليل التكلفة والسعر'!$C$2:$C$700,MATCH($C1101,'تحليل التكلفة والسعر'!$B$2:$B$700,0)),0))</f>
        <v>158.2982</v>
      </c>
      <c r="H1101" s="104" t="s">
        <v>719</v>
      </c>
    </row>
    <row r="1102" customFormat="false" ht="15" hidden="false" customHeight="false" outlineLevel="0" collapsed="false">
      <c r="A1102" s="103" t="n">
        <v>46304</v>
      </c>
      <c r="B1102" s="104" t="s">
        <v>33</v>
      </c>
      <c r="C1102" s="104" t="s">
        <v>475</v>
      </c>
      <c r="D1102" s="105" t="n">
        <v>1</v>
      </c>
      <c r="E1102" s="106" t="n">
        <v>350</v>
      </c>
      <c r="F1102" s="107" t="n">
        <f aca="false">IF($C1102="","",$D1102*$E1102)</f>
        <v>350</v>
      </c>
      <c r="G1102" s="107" t="n">
        <f aca="false">IF($C1102="","",$D1102*IFERROR(INDEX('تحليل التكلفة والسعر'!$C$2:$C$700,MATCH($C1102,'تحليل التكلفة والسعر'!$B$2:$B$700,0)),0))</f>
        <v>158.2982</v>
      </c>
      <c r="H1102" s="104" t="s">
        <v>719</v>
      </c>
    </row>
    <row r="1103" customFormat="false" ht="15" hidden="false" customHeight="false" outlineLevel="0" collapsed="false">
      <c r="A1103" s="103" t="n">
        <v>46305</v>
      </c>
      <c r="B1103" s="104" t="s">
        <v>33</v>
      </c>
      <c r="C1103" s="104" t="s">
        <v>475</v>
      </c>
      <c r="D1103" s="105" t="n">
        <v>1</v>
      </c>
      <c r="E1103" s="106" t="n">
        <v>350</v>
      </c>
      <c r="F1103" s="107" t="n">
        <f aca="false">IF($C1103="","",$D1103*$E1103)</f>
        <v>350</v>
      </c>
      <c r="G1103" s="107" t="n">
        <f aca="false">IF($C1103="","",$D1103*IFERROR(INDEX('تحليل التكلفة والسعر'!$C$2:$C$700,MATCH($C1103,'تحليل التكلفة والسعر'!$B$2:$B$700,0)),0))</f>
        <v>158.2982</v>
      </c>
      <c r="H1103" s="104" t="s">
        <v>719</v>
      </c>
    </row>
    <row r="1104" customFormat="false" ht="15" hidden="false" customHeight="false" outlineLevel="0" collapsed="false">
      <c r="A1104" s="103" t="n">
        <v>46306</v>
      </c>
      <c r="B1104" s="104" t="s">
        <v>33</v>
      </c>
      <c r="C1104" s="104" t="s">
        <v>475</v>
      </c>
      <c r="D1104" s="105" t="n">
        <v>1</v>
      </c>
      <c r="E1104" s="106" t="n">
        <v>350</v>
      </c>
      <c r="F1104" s="107" t="n">
        <f aca="false">IF($C1104="","",$D1104*$E1104)</f>
        <v>350</v>
      </c>
      <c r="G1104" s="107" t="n">
        <f aca="false">IF($C1104="","",$D1104*IFERROR(INDEX('تحليل التكلفة والسعر'!$C$2:$C$700,MATCH($C1104,'تحليل التكلفة والسعر'!$B$2:$B$700,0)),0))</f>
        <v>158.2982</v>
      </c>
      <c r="H1104" s="104" t="s">
        <v>719</v>
      </c>
    </row>
    <row r="1105" customFormat="false" ht="15" hidden="false" customHeight="false" outlineLevel="0" collapsed="false">
      <c r="A1105" s="103" t="n">
        <v>46307</v>
      </c>
      <c r="B1105" s="104" t="s">
        <v>33</v>
      </c>
      <c r="C1105" s="104" t="s">
        <v>475</v>
      </c>
      <c r="D1105" s="105" t="n">
        <v>1</v>
      </c>
      <c r="E1105" s="106" t="n">
        <v>350</v>
      </c>
      <c r="F1105" s="107" t="n">
        <f aca="false">IF($C1105="","",$D1105*$E1105)</f>
        <v>350</v>
      </c>
      <c r="G1105" s="107" t="n">
        <f aca="false">IF($C1105="","",$D1105*IFERROR(INDEX('تحليل التكلفة والسعر'!$C$2:$C$700,MATCH($C1105,'تحليل التكلفة والسعر'!$B$2:$B$700,0)),0))</f>
        <v>158.2982</v>
      </c>
      <c r="H1105" s="104" t="s">
        <v>719</v>
      </c>
    </row>
    <row r="1106" customFormat="false" ht="15" hidden="false" customHeight="false" outlineLevel="0" collapsed="false">
      <c r="A1106" s="103" t="n">
        <v>46296</v>
      </c>
      <c r="B1106" s="104" t="s">
        <v>33</v>
      </c>
      <c r="C1106" s="104" t="s">
        <v>477</v>
      </c>
      <c r="D1106" s="105" t="n">
        <v>3.25</v>
      </c>
      <c r="E1106" s="106" t="n">
        <v>229.7436</v>
      </c>
      <c r="F1106" s="107" t="n">
        <f aca="false">IF($C1106="","",$D1106*$E1106)</f>
        <v>746.6667</v>
      </c>
      <c r="G1106" s="107" t="n">
        <f aca="false">IF($C1106="","",$D1106*IFERROR(INDEX('تحليل التكلفة والسعر'!$C$2:$C$700,MATCH($C1106,'تحليل التكلفة والسعر'!$B$2:$B$700,0)),0))</f>
        <v>377.963625</v>
      </c>
      <c r="H1106" s="104" t="s">
        <v>719</v>
      </c>
    </row>
    <row r="1107" customFormat="false" ht="15" hidden="false" customHeight="false" outlineLevel="0" collapsed="false">
      <c r="A1107" s="103" t="n">
        <v>46297</v>
      </c>
      <c r="B1107" s="104" t="s">
        <v>33</v>
      </c>
      <c r="C1107" s="104" t="s">
        <v>477</v>
      </c>
      <c r="D1107" s="105" t="n">
        <v>3.25</v>
      </c>
      <c r="E1107" s="106" t="n">
        <v>229.7436</v>
      </c>
      <c r="F1107" s="107" t="n">
        <f aca="false">IF($C1107="","",$D1107*$E1107)</f>
        <v>746.6667</v>
      </c>
      <c r="G1107" s="107" t="n">
        <f aca="false">IF($C1107="","",$D1107*IFERROR(INDEX('تحليل التكلفة والسعر'!$C$2:$C$700,MATCH($C1107,'تحليل التكلفة والسعر'!$B$2:$B$700,0)),0))</f>
        <v>377.963625</v>
      </c>
      <c r="H1107" s="104" t="s">
        <v>719</v>
      </c>
    </row>
    <row r="1108" customFormat="false" ht="15" hidden="false" customHeight="false" outlineLevel="0" collapsed="false">
      <c r="A1108" s="103" t="n">
        <v>46298</v>
      </c>
      <c r="B1108" s="104" t="s">
        <v>33</v>
      </c>
      <c r="C1108" s="104" t="s">
        <v>477</v>
      </c>
      <c r="D1108" s="105" t="n">
        <v>3.25</v>
      </c>
      <c r="E1108" s="106" t="n">
        <v>229.7436</v>
      </c>
      <c r="F1108" s="107" t="n">
        <f aca="false">IF($C1108="","",$D1108*$E1108)</f>
        <v>746.6667</v>
      </c>
      <c r="G1108" s="107" t="n">
        <f aca="false">IF($C1108="","",$D1108*IFERROR(INDEX('تحليل التكلفة والسعر'!$C$2:$C$700,MATCH($C1108,'تحليل التكلفة والسعر'!$B$2:$B$700,0)),0))</f>
        <v>377.963625</v>
      </c>
      <c r="H1108" s="104" t="s">
        <v>719</v>
      </c>
    </row>
    <row r="1109" customFormat="false" ht="15" hidden="false" customHeight="false" outlineLevel="0" collapsed="false">
      <c r="A1109" s="103" t="n">
        <v>46299</v>
      </c>
      <c r="B1109" s="104" t="s">
        <v>33</v>
      </c>
      <c r="C1109" s="104" t="s">
        <v>477</v>
      </c>
      <c r="D1109" s="105" t="n">
        <v>3.25</v>
      </c>
      <c r="E1109" s="106" t="n">
        <v>229.7436</v>
      </c>
      <c r="F1109" s="107" t="n">
        <f aca="false">IF($C1109="","",$D1109*$E1109)</f>
        <v>746.6667</v>
      </c>
      <c r="G1109" s="107" t="n">
        <f aca="false">IF($C1109="","",$D1109*IFERROR(INDEX('تحليل التكلفة والسعر'!$C$2:$C$700,MATCH($C1109,'تحليل التكلفة والسعر'!$B$2:$B$700,0)),0))</f>
        <v>377.963625</v>
      </c>
      <c r="H1109" s="104" t="s">
        <v>719</v>
      </c>
    </row>
    <row r="1110" customFormat="false" ht="15" hidden="false" customHeight="false" outlineLevel="0" collapsed="false">
      <c r="A1110" s="103" t="n">
        <v>46300</v>
      </c>
      <c r="B1110" s="104" t="s">
        <v>33</v>
      </c>
      <c r="C1110" s="104" t="s">
        <v>477</v>
      </c>
      <c r="D1110" s="105" t="n">
        <v>3.25</v>
      </c>
      <c r="E1110" s="106" t="n">
        <v>229.7436</v>
      </c>
      <c r="F1110" s="107" t="n">
        <f aca="false">IF($C1110="","",$D1110*$E1110)</f>
        <v>746.6667</v>
      </c>
      <c r="G1110" s="107" t="n">
        <f aca="false">IF($C1110="","",$D1110*IFERROR(INDEX('تحليل التكلفة والسعر'!$C$2:$C$700,MATCH($C1110,'تحليل التكلفة والسعر'!$B$2:$B$700,0)),0))</f>
        <v>377.963625</v>
      </c>
      <c r="H1110" s="104" t="s">
        <v>719</v>
      </c>
    </row>
    <row r="1111" customFormat="false" ht="15" hidden="false" customHeight="false" outlineLevel="0" collapsed="false">
      <c r="A1111" s="103" t="n">
        <v>46301</v>
      </c>
      <c r="B1111" s="104" t="s">
        <v>33</v>
      </c>
      <c r="C1111" s="104" t="s">
        <v>477</v>
      </c>
      <c r="D1111" s="105" t="n">
        <v>3.25</v>
      </c>
      <c r="E1111" s="106" t="n">
        <v>229.7436</v>
      </c>
      <c r="F1111" s="107" t="n">
        <f aca="false">IF($C1111="","",$D1111*$E1111)</f>
        <v>746.6667</v>
      </c>
      <c r="G1111" s="107" t="n">
        <f aca="false">IF($C1111="","",$D1111*IFERROR(INDEX('تحليل التكلفة والسعر'!$C$2:$C$700,MATCH($C1111,'تحليل التكلفة والسعر'!$B$2:$B$700,0)),0))</f>
        <v>377.963625</v>
      </c>
      <c r="H1111" s="104" t="s">
        <v>719</v>
      </c>
    </row>
    <row r="1112" customFormat="false" ht="15" hidden="false" customHeight="false" outlineLevel="0" collapsed="false">
      <c r="A1112" s="103" t="n">
        <v>46302</v>
      </c>
      <c r="B1112" s="104" t="s">
        <v>33</v>
      </c>
      <c r="C1112" s="104" t="s">
        <v>477</v>
      </c>
      <c r="D1112" s="105" t="n">
        <v>3.25</v>
      </c>
      <c r="E1112" s="106" t="n">
        <v>229.7436</v>
      </c>
      <c r="F1112" s="107" t="n">
        <f aca="false">IF($C1112="","",$D1112*$E1112)</f>
        <v>746.6667</v>
      </c>
      <c r="G1112" s="107" t="n">
        <f aca="false">IF($C1112="","",$D1112*IFERROR(INDEX('تحليل التكلفة والسعر'!$C$2:$C$700,MATCH($C1112,'تحليل التكلفة والسعر'!$B$2:$B$700,0)),0))</f>
        <v>377.963625</v>
      </c>
      <c r="H1112" s="104" t="s">
        <v>719</v>
      </c>
    </row>
    <row r="1113" customFormat="false" ht="15" hidden="false" customHeight="false" outlineLevel="0" collapsed="false">
      <c r="A1113" s="103" t="n">
        <v>46303</v>
      </c>
      <c r="B1113" s="104" t="s">
        <v>33</v>
      </c>
      <c r="C1113" s="104" t="s">
        <v>477</v>
      </c>
      <c r="D1113" s="105" t="n">
        <v>3.25</v>
      </c>
      <c r="E1113" s="106" t="n">
        <v>229.7436</v>
      </c>
      <c r="F1113" s="107" t="n">
        <f aca="false">IF($C1113="","",$D1113*$E1113)</f>
        <v>746.6667</v>
      </c>
      <c r="G1113" s="107" t="n">
        <f aca="false">IF($C1113="","",$D1113*IFERROR(INDEX('تحليل التكلفة والسعر'!$C$2:$C$700,MATCH($C1113,'تحليل التكلفة والسعر'!$B$2:$B$700,0)),0))</f>
        <v>377.963625</v>
      </c>
      <c r="H1113" s="104" t="s">
        <v>719</v>
      </c>
    </row>
    <row r="1114" customFormat="false" ht="15" hidden="false" customHeight="false" outlineLevel="0" collapsed="false">
      <c r="A1114" s="103" t="n">
        <v>46304</v>
      </c>
      <c r="B1114" s="104" t="s">
        <v>33</v>
      </c>
      <c r="C1114" s="104" t="s">
        <v>477</v>
      </c>
      <c r="D1114" s="105" t="n">
        <v>3.25</v>
      </c>
      <c r="E1114" s="106" t="n">
        <v>229.7436</v>
      </c>
      <c r="F1114" s="107" t="n">
        <f aca="false">IF($C1114="","",$D1114*$E1114)</f>
        <v>746.6667</v>
      </c>
      <c r="G1114" s="107" t="n">
        <f aca="false">IF($C1114="","",$D1114*IFERROR(INDEX('تحليل التكلفة والسعر'!$C$2:$C$700,MATCH($C1114,'تحليل التكلفة والسعر'!$B$2:$B$700,0)),0))</f>
        <v>377.963625</v>
      </c>
      <c r="H1114" s="104" t="s">
        <v>719</v>
      </c>
    </row>
    <row r="1115" customFormat="false" ht="15" hidden="false" customHeight="false" outlineLevel="0" collapsed="false">
      <c r="A1115" s="103" t="n">
        <v>46305</v>
      </c>
      <c r="B1115" s="104" t="s">
        <v>33</v>
      </c>
      <c r="C1115" s="104" t="s">
        <v>477</v>
      </c>
      <c r="D1115" s="105" t="n">
        <v>3.25</v>
      </c>
      <c r="E1115" s="106" t="n">
        <v>229.7436</v>
      </c>
      <c r="F1115" s="107" t="n">
        <f aca="false">IF($C1115="","",$D1115*$E1115)</f>
        <v>746.6667</v>
      </c>
      <c r="G1115" s="107" t="n">
        <f aca="false">IF($C1115="","",$D1115*IFERROR(INDEX('تحليل التكلفة والسعر'!$C$2:$C$700,MATCH($C1115,'تحليل التكلفة والسعر'!$B$2:$B$700,0)),0))</f>
        <v>377.963625</v>
      </c>
      <c r="H1115" s="104" t="s">
        <v>719</v>
      </c>
    </row>
    <row r="1116" customFormat="false" ht="15" hidden="false" customHeight="false" outlineLevel="0" collapsed="false">
      <c r="A1116" s="103" t="n">
        <v>46306</v>
      </c>
      <c r="B1116" s="104" t="s">
        <v>33</v>
      </c>
      <c r="C1116" s="104" t="s">
        <v>477</v>
      </c>
      <c r="D1116" s="105" t="n">
        <v>3.25</v>
      </c>
      <c r="E1116" s="106" t="n">
        <v>229.7436</v>
      </c>
      <c r="F1116" s="107" t="n">
        <f aca="false">IF($C1116="","",$D1116*$E1116)</f>
        <v>746.6667</v>
      </c>
      <c r="G1116" s="107" t="n">
        <f aca="false">IF($C1116="","",$D1116*IFERROR(INDEX('تحليل التكلفة والسعر'!$C$2:$C$700,MATCH($C1116,'تحليل التكلفة والسعر'!$B$2:$B$700,0)),0))</f>
        <v>377.963625</v>
      </c>
      <c r="H1116" s="104" t="s">
        <v>719</v>
      </c>
    </row>
    <row r="1117" customFormat="false" ht="15" hidden="false" customHeight="false" outlineLevel="0" collapsed="false">
      <c r="A1117" s="103" t="n">
        <v>46307</v>
      </c>
      <c r="B1117" s="104" t="s">
        <v>33</v>
      </c>
      <c r="C1117" s="104" t="s">
        <v>477</v>
      </c>
      <c r="D1117" s="105" t="n">
        <v>3.25</v>
      </c>
      <c r="E1117" s="106" t="n">
        <v>229.7436</v>
      </c>
      <c r="F1117" s="107" t="n">
        <f aca="false">IF($C1117="","",$D1117*$E1117)</f>
        <v>746.6667</v>
      </c>
      <c r="G1117" s="107" t="n">
        <f aca="false">IF($C1117="","",$D1117*IFERROR(INDEX('تحليل التكلفة والسعر'!$C$2:$C$700,MATCH($C1117,'تحليل التكلفة والسعر'!$B$2:$B$700,0)),0))</f>
        <v>377.963625</v>
      </c>
      <c r="H1117" s="104" t="s">
        <v>719</v>
      </c>
    </row>
    <row r="1118" customFormat="false" ht="15" hidden="false" customHeight="false" outlineLevel="0" collapsed="false">
      <c r="A1118" s="103" t="n">
        <v>46296</v>
      </c>
      <c r="B1118" s="104" t="s">
        <v>33</v>
      </c>
      <c r="C1118" s="104" t="s">
        <v>553</v>
      </c>
      <c r="D1118" s="105" t="n">
        <v>0.3333</v>
      </c>
      <c r="E1118" s="106" t="n">
        <v>200</v>
      </c>
      <c r="F1118" s="107" t="n">
        <f aca="false">IF($C1118="","",$D1118*$E1118)</f>
        <v>66.66</v>
      </c>
      <c r="G1118" s="107" t="n">
        <f aca="false">IF($C1118="","",$D1118*IFERROR(INDEX('تحليل التكلفة والسعر'!$C$2:$C$700,MATCH($C1118,'تحليل التكلفة والسعر'!$B$2:$B$700,0)),0))</f>
        <v>38.8577811666</v>
      </c>
      <c r="H1118" s="104" t="s">
        <v>719</v>
      </c>
    </row>
    <row r="1119" customFormat="false" ht="15" hidden="false" customHeight="false" outlineLevel="0" collapsed="false">
      <c r="A1119" s="103" t="n">
        <v>46297</v>
      </c>
      <c r="B1119" s="104" t="s">
        <v>33</v>
      </c>
      <c r="C1119" s="104" t="s">
        <v>553</v>
      </c>
      <c r="D1119" s="105" t="n">
        <v>0.3333</v>
      </c>
      <c r="E1119" s="106" t="n">
        <v>200</v>
      </c>
      <c r="F1119" s="107" t="n">
        <f aca="false">IF($C1119="","",$D1119*$E1119)</f>
        <v>66.66</v>
      </c>
      <c r="G1119" s="107" t="n">
        <f aca="false">IF($C1119="","",$D1119*IFERROR(INDEX('تحليل التكلفة والسعر'!$C$2:$C$700,MATCH($C1119,'تحليل التكلفة والسعر'!$B$2:$B$700,0)),0))</f>
        <v>38.8577811666</v>
      </c>
      <c r="H1119" s="104" t="s">
        <v>719</v>
      </c>
    </row>
    <row r="1120" customFormat="false" ht="15" hidden="false" customHeight="false" outlineLevel="0" collapsed="false">
      <c r="A1120" s="103" t="n">
        <v>46298</v>
      </c>
      <c r="B1120" s="104" t="s">
        <v>33</v>
      </c>
      <c r="C1120" s="104" t="s">
        <v>553</v>
      </c>
      <c r="D1120" s="105" t="n">
        <v>0.3333</v>
      </c>
      <c r="E1120" s="106" t="n">
        <v>200</v>
      </c>
      <c r="F1120" s="107" t="n">
        <f aca="false">IF($C1120="","",$D1120*$E1120)</f>
        <v>66.66</v>
      </c>
      <c r="G1120" s="107" t="n">
        <f aca="false">IF($C1120="","",$D1120*IFERROR(INDEX('تحليل التكلفة والسعر'!$C$2:$C$700,MATCH($C1120,'تحليل التكلفة والسعر'!$B$2:$B$700,0)),0))</f>
        <v>38.8577811666</v>
      </c>
      <c r="H1120" s="104" t="s">
        <v>719</v>
      </c>
    </row>
    <row r="1121" customFormat="false" ht="15" hidden="false" customHeight="false" outlineLevel="0" collapsed="false">
      <c r="A1121" s="103" t="n">
        <v>46299</v>
      </c>
      <c r="B1121" s="104" t="s">
        <v>33</v>
      </c>
      <c r="C1121" s="104" t="s">
        <v>553</v>
      </c>
      <c r="D1121" s="105" t="n">
        <v>0.3333</v>
      </c>
      <c r="E1121" s="106" t="n">
        <v>200</v>
      </c>
      <c r="F1121" s="107" t="n">
        <f aca="false">IF($C1121="","",$D1121*$E1121)</f>
        <v>66.66</v>
      </c>
      <c r="G1121" s="107" t="n">
        <f aca="false">IF($C1121="","",$D1121*IFERROR(INDEX('تحليل التكلفة والسعر'!$C$2:$C$700,MATCH($C1121,'تحليل التكلفة والسعر'!$B$2:$B$700,0)),0))</f>
        <v>38.8577811666</v>
      </c>
      <c r="H1121" s="104" t="s">
        <v>719</v>
      </c>
    </row>
    <row r="1122" customFormat="false" ht="15" hidden="false" customHeight="false" outlineLevel="0" collapsed="false">
      <c r="A1122" s="103" t="n">
        <v>46300</v>
      </c>
      <c r="B1122" s="104" t="s">
        <v>33</v>
      </c>
      <c r="C1122" s="104" t="s">
        <v>553</v>
      </c>
      <c r="D1122" s="105" t="n">
        <v>0.3333</v>
      </c>
      <c r="E1122" s="106" t="n">
        <v>200</v>
      </c>
      <c r="F1122" s="107" t="n">
        <f aca="false">IF($C1122="","",$D1122*$E1122)</f>
        <v>66.66</v>
      </c>
      <c r="G1122" s="107" t="n">
        <f aca="false">IF($C1122="","",$D1122*IFERROR(INDEX('تحليل التكلفة والسعر'!$C$2:$C$700,MATCH($C1122,'تحليل التكلفة والسعر'!$B$2:$B$700,0)),0))</f>
        <v>38.8577811666</v>
      </c>
      <c r="H1122" s="104" t="s">
        <v>719</v>
      </c>
    </row>
    <row r="1123" customFormat="false" ht="15" hidden="false" customHeight="false" outlineLevel="0" collapsed="false">
      <c r="A1123" s="103" t="n">
        <v>46301</v>
      </c>
      <c r="B1123" s="104" t="s">
        <v>33</v>
      </c>
      <c r="C1123" s="104" t="s">
        <v>553</v>
      </c>
      <c r="D1123" s="105" t="n">
        <v>0.3333</v>
      </c>
      <c r="E1123" s="106" t="n">
        <v>200</v>
      </c>
      <c r="F1123" s="107" t="n">
        <f aca="false">IF($C1123="","",$D1123*$E1123)</f>
        <v>66.66</v>
      </c>
      <c r="G1123" s="107" t="n">
        <f aca="false">IF($C1123="","",$D1123*IFERROR(INDEX('تحليل التكلفة والسعر'!$C$2:$C$700,MATCH($C1123,'تحليل التكلفة والسعر'!$B$2:$B$700,0)),0))</f>
        <v>38.8577811666</v>
      </c>
      <c r="H1123" s="104" t="s">
        <v>719</v>
      </c>
    </row>
    <row r="1124" customFormat="false" ht="15" hidden="false" customHeight="false" outlineLevel="0" collapsed="false">
      <c r="A1124" s="103" t="n">
        <v>46302</v>
      </c>
      <c r="B1124" s="104" t="s">
        <v>33</v>
      </c>
      <c r="C1124" s="104" t="s">
        <v>553</v>
      </c>
      <c r="D1124" s="105" t="n">
        <v>0.3333</v>
      </c>
      <c r="E1124" s="106" t="n">
        <v>200</v>
      </c>
      <c r="F1124" s="107" t="n">
        <f aca="false">IF($C1124="","",$D1124*$E1124)</f>
        <v>66.66</v>
      </c>
      <c r="G1124" s="107" t="n">
        <f aca="false">IF($C1124="","",$D1124*IFERROR(INDEX('تحليل التكلفة والسعر'!$C$2:$C$700,MATCH($C1124,'تحليل التكلفة والسعر'!$B$2:$B$700,0)),0))</f>
        <v>38.8577811666</v>
      </c>
      <c r="H1124" s="104" t="s">
        <v>719</v>
      </c>
    </row>
    <row r="1125" customFormat="false" ht="15" hidden="false" customHeight="false" outlineLevel="0" collapsed="false">
      <c r="A1125" s="103" t="n">
        <v>46303</v>
      </c>
      <c r="B1125" s="104" t="s">
        <v>33</v>
      </c>
      <c r="C1125" s="104" t="s">
        <v>553</v>
      </c>
      <c r="D1125" s="105" t="n">
        <v>0.3333</v>
      </c>
      <c r="E1125" s="106" t="n">
        <v>200</v>
      </c>
      <c r="F1125" s="107" t="n">
        <f aca="false">IF($C1125="","",$D1125*$E1125)</f>
        <v>66.66</v>
      </c>
      <c r="G1125" s="107" t="n">
        <f aca="false">IF($C1125="","",$D1125*IFERROR(INDEX('تحليل التكلفة والسعر'!$C$2:$C$700,MATCH($C1125,'تحليل التكلفة والسعر'!$B$2:$B$700,0)),0))</f>
        <v>38.8577811666</v>
      </c>
      <c r="H1125" s="104" t="s">
        <v>719</v>
      </c>
    </row>
    <row r="1126" customFormat="false" ht="15" hidden="false" customHeight="false" outlineLevel="0" collapsed="false">
      <c r="A1126" s="103" t="n">
        <v>46304</v>
      </c>
      <c r="B1126" s="104" t="s">
        <v>33</v>
      </c>
      <c r="C1126" s="104" t="s">
        <v>553</v>
      </c>
      <c r="D1126" s="105" t="n">
        <v>0.3333</v>
      </c>
      <c r="E1126" s="106" t="n">
        <v>200</v>
      </c>
      <c r="F1126" s="107" t="n">
        <f aca="false">IF($C1126="","",$D1126*$E1126)</f>
        <v>66.66</v>
      </c>
      <c r="G1126" s="107" t="n">
        <f aca="false">IF($C1126="","",$D1126*IFERROR(INDEX('تحليل التكلفة والسعر'!$C$2:$C$700,MATCH($C1126,'تحليل التكلفة والسعر'!$B$2:$B$700,0)),0))</f>
        <v>38.8577811666</v>
      </c>
      <c r="H1126" s="104" t="s">
        <v>719</v>
      </c>
    </row>
    <row r="1127" customFormat="false" ht="15" hidden="false" customHeight="false" outlineLevel="0" collapsed="false">
      <c r="A1127" s="103" t="n">
        <v>46305</v>
      </c>
      <c r="B1127" s="104" t="s">
        <v>33</v>
      </c>
      <c r="C1127" s="104" t="s">
        <v>553</v>
      </c>
      <c r="D1127" s="105" t="n">
        <v>0.3333</v>
      </c>
      <c r="E1127" s="106" t="n">
        <v>200</v>
      </c>
      <c r="F1127" s="107" t="n">
        <f aca="false">IF($C1127="","",$D1127*$E1127)</f>
        <v>66.66</v>
      </c>
      <c r="G1127" s="107" t="n">
        <f aca="false">IF($C1127="","",$D1127*IFERROR(INDEX('تحليل التكلفة والسعر'!$C$2:$C$700,MATCH($C1127,'تحليل التكلفة والسعر'!$B$2:$B$700,0)),0))</f>
        <v>38.8577811666</v>
      </c>
      <c r="H1127" s="104" t="s">
        <v>719</v>
      </c>
    </row>
    <row r="1128" customFormat="false" ht="15" hidden="false" customHeight="false" outlineLevel="0" collapsed="false">
      <c r="A1128" s="103" t="n">
        <v>46306</v>
      </c>
      <c r="B1128" s="104" t="s">
        <v>33</v>
      </c>
      <c r="C1128" s="104" t="s">
        <v>553</v>
      </c>
      <c r="D1128" s="105" t="n">
        <v>0.3333</v>
      </c>
      <c r="E1128" s="106" t="n">
        <v>200</v>
      </c>
      <c r="F1128" s="107" t="n">
        <f aca="false">IF($C1128="","",$D1128*$E1128)</f>
        <v>66.66</v>
      </c>
      <c r="G1128" s="107" t="n">
        <f aca="false">IF($C1128="","",$D1128*IFERROR(INDEX('تحليل التكلفة والسعر'!$C$2:$C$700,MATCH($C1128,'تحليل التكلفة والسعر'!$B$2:$B$700,0)),0))</f>
        <v>38.8577811666</v>
      </c>
      <c r="H1128" s="104" t="s">
        <v>719</v>
      </c>
    </row>
    <row r="1129" customFormat="false" ht="15" hidden="false" customHeight="false" outlineLevel="0" collapsed="false">
      <c r="A1129" s="103" t="n">
        <v>46307</v>
      </c>
      <c r="B1129" s="104" t="s">
        <v>33</v>
      </c>
      <c r="C1129" s="104" t="s">
        <v>553</v>
      </c>
      <c r="D1129" s="105" t="n">
        <v>0.3333</v>
      </c>
      <c r="E1129" s="106" t="n">
        <v>200</v>
      </c>
      <c r="F1129" s="107" t="n">
        <f aca="false">IF($C1129="","",$D1129*$E1129)</f>
        <v>66.66</v>
      </c>
      <c r="G1129" s="107" t="n">
        <f aca="false">IF($C1129="","",$D1129*IFERROR(INDEX('تحليل التكلفة والسعر'!$C$2:$C$700,MATCH($C1129,'تحليل التكلفة والسعر'!$B$2:$B$700,0)),0))</f>
        <v>38.8577811666</v>
      </c>
      <c r="H1129" s="104" t="s">
        <v>719</v>
      </c>
    </row>
    <row r="1130" customFormat="false" ht="15" hidden="false" customHeight="false" outlineLevel="0" collapsed="false">
      <c r="A1130" s="103" t="n">
        <v>46296</v>
      </c>
      <c r="B1130" s="104" t="s">
        <v>33</v>
      </c>
      <c r="C1130" s="104" t="s">
        <v>428</v>
      </c>
      <c r="D1130" s="105" t="n">
        <v>0.25</v>
      </c>
      <c r="E1130" s="106" t="n">
        <v>300</v>
      </c>
      <c r="F1130" s="107" t="n">
        <f aca="false">IF($C1130="","",$D1130*$E1130)</f>
        <v>75</v>
      </c>
      <c r="G1130" s="107" t="n">
        <f aca="false">IF($C1130="","",$D1130*IFERROR(INDEX('تحليل التكلفة والسعر'!$C$2:$C$700,MATCH($C1130,'تحليل التكلفة والسعر'!$B$2:$B$700,0)),0))</f>
        <v>41.1462505</v>
      </c>
      <c r="H1130" s="104" t="s">
        <v>719</v>
      </c>
    </row>
    <row r="1131" customFormat="false" ht="15" hidden="false" customHeight="false" outlineLevel="0" collapsed="false">
      <c r="A1131" s="103" t="n">
        <v>46297</v>
      </c>
      <c r="B1131" s="104" t="s">
        <v>33</v>
      </c>
      <c r="C1131" s="104" t="s">
        <v>428</v>
      </c>
      <c r="D1131" s="105" t="n">
        <v>0.25</v>
      </c>
      <c r="E1131" s="106" t="n">
        <v>300</v>
      </c>
      <c r="F1131" s="107" t="n">
        <f aca="false">IF($C1131="","",$D1131*$E1131)</f>
        <v>75</v>
      </c>
      <c r="G1131" s="107" t="n">
        <f aca="false">IF($C1131="","",$D1131*IFERROR(INDEX('تحليل التكلفة والسعر'!$C$2:$C$700,MATCH($C1131,'تحليل التكلفة والسعر'!$B$2:$B$700,0)),0))</f>
        <v>41.1462505</v>
      </c>
      <c r="H1131" s="104" t="s">
        <v>719</v>
      </c>
    </row>
    <row r="1132" customFormat="false" ht="15" hidden="false" customHeight="false" outlineLevel="0" collapsed="false">
      <c r="A1132" s="103" t="n">
        <v>46298</v>
      </c>
      <c r="B1132" s="104" t="s">
        <v>33</v>
      </c>
      <c r="C1132" s="104" t="s">
        <v>428</v>
      </c>
      <c r="D1132" s="105" t="n">
        <v>0.25</v>
      </c>
      <c r="E1132" s="106" t="n">
        <v>300</v>
      </c>
      <c r="F1132" s="107" t="n">
        <f aca="false">IF($C1132="","",$D1132*$E1132)</f>
        <v>75</v>
      </c>
      <c r="G1132" s="107" t="n">
        <f aca="false">IF($C1132="","",$D1132*IFERROR(INDEX('تحليل التكلفة والسعر'!$C$2:$C$700,MATCH($C1132,'تحليل التكلفة والسعر'!$B$2:$B$700,0)),0))</f>
        <v>41.1462505</v>
      </c>
      <c r="H1132" s="104" t="s">
        <v>719</v>
      </c>
    </row>
    <row r="1133" customFormat="false" ht="15" hidden="false" customHeight="false" outlineLevel="0" collapsed="false">
      <c r="A1133" s="103" t="n">
        <v>46299</v>
      </c>
      <c r="B1133" s="104" t="s">
        <v>33</v>
      </c>
      <c r="C1133" s="104" t="s">
        <v>428</v>
      </c>
      <c r="D1133" s="105" t="n">
        <v>0.25</v>
      </c>
      <c r="E1133" s="106" t="n">
        <v>300</v>
      </c>
      <c r="F1133" s="107" t="n">
        <f aca="false">IF($C1133="","",$D1133*$E1133)</f>
        <v>75</v>
      </c>
      <c r="G1133" s="107" t="n">
        <f aca="false">IF($C1133="","",$D1133*IFERROR(INDEX('تحليل التكلفة والسعر'!$C$2:$C$700,MATCH($C1133,'تحليل التكلفة والسعر'!$B$2:$B$700,0)),0))</f>
        <v>41.1462505</v>
      </c>
      <c r="H1133" s="104" t="s">
        <v>719</v>
      </c>
    </row>
    <row r="1134" customFormat="false" ht="15" hidden="false" customHeight="false" outlineLevel="0" collapsed="false">
      <c r="A1134" s="103" t="n">
        <v>46300</v>
      </c>
      <c r="B1134" s="104" t="s">
        <v>33</v>
      </c>
      <c r="C1134" s="104" t="s">
        <v>428</v>
      </c>
      <c r="D1134" s="105" t="n">
        <v>0.25</v>
      </c>
      <c r="E1134" s="106" t="n">
        <v>300</v>
      </c>
      <c r="F1134" s="107" t="n">
        <f aca="false">IF($C1134="","",$D1134*$E1134)</f>
        <v>75</v>
      </c>
      <c r="G1134" s="107" t="n">
        <f aca="false">IF($C1134="","",$D1134*IFERROR(INDEX('تحليل التكلفة والسعر'!$C$2:$C$700,MATCH($C1134,'تحليل التكلفة والسعر'!$B$2:$B$700,0)),0))</f>
        <v>41.1462505</v>
      </c>
      <c r="H1134" s="104" t="s">
        <v>719</v>
      </c>
    </row>
    <row r="1135" customFormat="false" ht="15" hidden="false" customHeight="false" outlineLevel="0" collapsed="false">
      <c r="A1135" s="103" t="n">
        <v>46301</v>
      </c>
      <c r="B1135" s="104" t="s">
        <v>33</v>
      </c>
      <c r="C1135" s="104" t="s">
        <v>428</v>
      </c>
      <c r="D1135" s="105" t="n">
        <v>0.25</v>
      </c>
      <c r="E1135" s="106" t="n">
        <v>300</v>
      </c>
      <c r="F1135" s="107" t="n">
        <f aca="false">IF($C1135="","",$D1135*$E1135)</f>
        <v>75</v>
      </c>
      <c r="G1135" s="107" t="n">
        <f aca="false">IF($C1135="","",$D1135*IFERROR(INDEX('تحليل التكلفة والسعر'!$C$2:$C$700,MATCH($C1135,'تحليل التكلفة والسعر'!$B$2:$B$700,0)),0))</f>
        <v>41.1462505</v>
      </c>
      <c r="H1135" s="104" t="s">
        <v>719</v>
      </c>
    </row>
    <row r="1136" customFormat="false" ht="15" hidden="false" customHeight="false" outlineLevel="0" collapsed="false">
      <c r="A1136" s="103" t="n">
        <v>46302</v>
      </c>
      <c r="B1136" s="104" t="s">
        <v>33</v>
      </c>
      <c r="C1136" s="104" t="s">
        <v>428</v>
      </c>
      <c r="D1136" s="105" t="n">
        <v>0.25</v>
      </c>
      <c r="E1136" s="106" t="n">
        <v>300</v>
      </c>
      <c r="F1136" s="107" t="n">
        <f aca="false">IF($C1136="","",$D1136*$E1136)</f>
        <v>75</v>
      </c>
      <c r="G1136" s="107" t="n">
        <f aca="false">IF($C1136="","",$D1136*IFERROR(INDEX('تحليل التكلفة والسعر'!$C$2:$C$700,MATCH($C1136,'تحليل التكلفة والسعر'!$B$2:$B$700,0)),0))</f>
        <v>41.1462505</v>
      </c>
      <c r="H1136" s="104" t="s">
        <v>719</v>
      </c>
    </row>
    <row r="1137" customFormat="false" ht="15" hidden="false" customHeight="false" outlineLevel="0" collapsed="false">
      <c r="A1137" s="103" t="n">
        <v>46303</v>
      </c>
      <c r="B1137" s="104" t="s">
        <v>33</v>
      </c>
      <c r="C1137" s="104" t="s">
        <v>428</v>
      </c>
      <c r="D1137" s="105" t="n">
        <v>0.25</v>
      </c>
      <c r="E1137" s="106" t="n">
        <v>300</v>
      </c>
      <c r="F1137" s="107" t="n">
        <f aca="false">IF($C1137="","",$D1137*$E1137)</f>
        <v>75</v>
      </c>
      <c r="G1137" s="107" t="n">
        <f aca="false">IF($C1137="","",$D1137*IFERROR(INDEX('تحليل التكلفة والسعر'!$C$2:$C$700,MATCH($C1137,'تحليل التكلفة والسعر'!$B$2:$B$700,0)),0))</f>
        <v>41.1462505</v>
      </c>
      <c r="H1137" s="104" t="s">
        <v>719</v>
      </c>
    </row>
    <row r="1138" customFormat="false" ht="15" hidden="false" customHeight="false" outlineLevel="0" collapsed="false">
      <c r="A1138" s="103" t="n">
        <v>46304</v>
      </c>
      <c r="B1138" s="104" t="s">
        <v>33</v>
      </c>
      <c r="C1138" s="104" t="s">
        <v>428</v>
      </c>
      <c r="D1138" s="105" t="n">
        <v>0.25</v>
      </c>
      <c r="E1138" s="106" t="n">
        <v>300</v>
      </c>
      <c r="F1138" s="107" t="n">
        <f aca="false">IF($C1138="","",$D1138*$E1138)</f>
        <v>75</v>
      </c>
      <c r="G1138" s="107" t="n">
        <f aca="false">IF($C1138="","",$D1138*IFERROR(INDEX('تحليل التكلفة والسعر'!$C$2:$C$700,MATCH($C1138,'تحليل التكلفة والسعر'!$B$2:$B$700,0)),0))</f>
        <v>41.1462505</v>
      </c>
      <c r="H1138" s="104" t="s">
        <v>719</v>
      </c>
    </row>
    <row r="1139" customFormat="false" ht="15" hidden="false" customHeight="false" outlineLevel="0" collapsed="false">
      <c r="A1139" s="103" t="n">
        <v>46305</v>
      </c>
      <c r="B1139" s="104" t="s">
        <v>33</v>
      </c>
      <c r="C1139" s="104" t="s">
        <v>428</v>
      </c>
      <c r="D1139" s="105" t="n">
        <v>0.25</v>
      </c>
      <c r="E1139" s="106" t="n">
        <v>300</v>
      </c>
      <c r="F1139" s="107" t="n">
        <f aca="false">IF($C1139="","",$D1139*$E1139)</f>
        <v>75</v>
      </c>
      <c r="G1139" s="107" t="n">
        <f aca="false">IF($C1139="","",$D1139*IFERROR(INDEX('تحليل التكلفة والسعر'!$C$2:$C$700,MATCH($C1139,'تحليل التكلفة والسعر'!$B$2:$B$700,0)),0))</f>
        <v>41.1462505</v>
      </c>
      <c r="H1139" s="104" t="s">
        <v>719</v>
      </c>
    </row>
    <row r="1140" customFormat="false" ht="15" hidden="false" customHeight="false" outlineLevel="0" collapsed="false">
      <c r="A1140" s="103" t="n">
        <v>46306</v>
      </c>
      <c r="B1140" s="104" t="s">
        <v>33</v>
      </c>
      <c r="C1140" s="104" t="s">
        <v>428</v>
      </c>
      <c r="D1140" s="105" t="n">
        <v>0.25</v>
      </c>
      <c r="E1140" s="106" t="n">
        <v>300</v>
      </c>
      <c r="F1140" s="107" t="n">
        <f aca="false">IF($C1140="","",$D1140*$E1140)</f>
        <v>75</v>
      </c>
      <c r="G1140" s="107" t="n">
        <f aca="false">IF($C1140="","",$D1140*IFERROR(INDEX('تحليل التكلفة والسعر'!$C$2:$C$700,MATCH($C1140,'تحليل التكلفة والسعر'!$B$2:$B$700,0)),0))</f>
        <v>41.1462505</v>
      </c>
      <c r="H1140" s="104" t="s">
        <v>719</v>
      </c>
    </row>
    <row r="1141" customFormat="false" ht="15" hidden="false" customHeight="false" outlineLevel="0" collapsed="false">
      <c r="A1141" s="103" t="n">
        <v>46307</v>
      </c>
      <c r="B1141" s="104" t="s">
        <v>33</v>
      </c>
      <c r="C1141" s="104" t="s">
        <v>428</v>
      </c>
      <c r="D1141" s="105" t="n">
        <v>0.25</v>
      </c>
      <c r="E1141" s="106" t="n">
        <v>300</v>
      </c>
      <c r="F1141" s="107" t="n">
        <f aca="false">IF($C1141="","",$D1141*$E1141)</f>
        <v>75</v>
      </c>
      <c r="G1141" s="107" t="n">
        <f aca="false">IF($C1141="","",$D1141*IFERROR(INDEX('تحليل التكلفة والسعر'!$C$2:$C$700,MATCH($C1141,'تحليل التكلفة والسعر'!$B$2:$B$700,0)),0))</f>
        <v>41.1462505</v>
      </c>
      <c r="H1141" s="104" t="s">
        <v>719</v>
      </c>
    </row>
    <row r="1142" customFormat="false" ht="15" hidden="false" customHeight="false" outlineLevel="0" collapsed="false">
      <c r="A1142" s="103" t="n">
        <v>46296</v>
      </c>
      <c r="B1142" s="104" t="s">
        <v>33</v>
      </c>
      <c r="C1142" s="104" t="s">
        <v>530</v>
      </c>
      <c r="D1142" s="105" t="n">
        <v>4.0833</v>
      </c>
      <c r="E1142" s="106" t="n">
        <v>46.4286</v>
      </c>
      <c r="F1142" s="107" t="n">
        <f aca="false">IF($C1142="","",$D1142*$E1142)</f>
        <v>189.58190238</v>
      </c>
      <c r="G1142" s="107" t="n">
        <f aca="false">IF($C1142="","",$D1142*IFERROR(INDEX('تحليل التكلفة والسعر'!$C$2:$C$700,MATCH($C1142,'تحليل التكلفة والسعر'!$B$2:$B$700,0)),0))</f>
        <v>323.50556745</v>
      </c>
      <c r="H1142" s="104" t="s">
        <v>719</v>
      </c>
    </row>
    <row r="1143" customFormat="false" ht="15" hidden="false" customHeight="false" outlineLevel="0" collapsed="false">
      <c r="A1143" s="103" t="n">
        <v>46297</v>
      </c>
      <c r="B1143" s="104" t="s">
        <v>33</v>
      </c>
      <c r="C1143" s="104" t="s">
        <v>530</v>
      </c>
      <c r="D1143" s="105" t="n">
        <v>4.0833</v>
      </c>
      <c r="E1143" s="106" t="n">
        <v>46.4286</v>
      </c>
      <c r="F1143" s="107" t="n">
        <f aca="false">IF($C1143="","",$D1143*$E1143)</f>
        <v>189.58190238</v>
      </c>
      <c r="G1143" s="107" t="n">
        <f aca="false">IF($C1143="","",$D1143*IFERROR(INDEX('تحليل التكلفة والسعر'!$C$2:$C$700,MATCH($C1143,'تحليل التكلفة والسعر'!$B$2:$B$700,0)),0))</f>
        <v>323.50556745</v>
      </c>
      <c r="H1143" s="104" t="s">
        <v>719</v>
      </c>
    </row>
    <row r="1144" customFormat="false" ht="15" hidden="false" customHeight="false" outlineLevel="0" collapsed="false">
      <c r="A1144" s="103" t="n">
        <v>46298</v>
      </c>
      <c r="B1144" s="104" t="s">
        <v>33</v>
      </c>
      <c r="C1144" s="104" t="s">
        <v>530</v>
      </c>
      <c r="D1144" s="105" t="n">
        <v>4.0833</v>
      </c>
      <c r="E1144" s="106" t="n">
        <v>46.4286</v>
      </c>
      <c r="F1144" s="107" t="n">
        <f aca="false">IF($C1144="","",$D1144*$E1144)</f>
        <v>189.58190238</v>
      </c>
      <c r="G1144" s="107" t="n">
        <f aca="false">IF($C1144="","",$D1144*IFERROR(INDEX('تحليل التكلفة والسعر'!$C$2:$C$700,MATCH($C1144,'تحليل التكلفة والسعر'!$B$2:$B$700,0)),0))</f>
        <v>323.50556745</v>
      </c>
      <c r="H1144" s="104" t="s">
        <v>719</v>
      </c>
    </row>
    <row r="1145" customFormat="false" ht="15" hidden="false" customHeight="false" outlineLevel="0" collapsed="false">
      <c r="A1145" s="103" t="n">
        <v>46299</v>
      </c>
      <c r="B1145" s="104" t="s">
        <v>33</v>
      </c>
      <c r="C1145" s="104" t="s">
        <v>530</v>
      </c>
      <c r="D1145" s="105" t="n">
        <v>4.0833</v>
      </c>
      <c r="E1145" s="106" t="n">
        <v>46.4286</v>
      </c>
      <c r="F1145" s="107" t="n">
        <f aca="false">IF($C1145="","",$D1145*$E1145)</f>
        <v>189.58190238</v>
      </c>
      <c r="G1145" s="107" t="n">
        <f aca="false">IF($C1145="","",$D1145*IFERROR(INDEX('تحليل التكلفة والسعر'!$C$2:$C$700,MATCH($C1145,'تحليل التكلفة والسعر'!$B$2:$B$700,0)),0))</f>
        <v>323.50556745</v>
      </c>
      <c r="H1145" s="104" t="s">
        <v>719</v>
      </c>
    </row>
    <row r="1146" customFormat="false" ht="15" hidden="false" customHeight="false" outlineLevel="0" collapsed="false">
      <c r="A1146" s="103" t="n">
        <v>46300</v>
      </c>
      <c r="B1146" s="104" t="s">
        <v>33</v>
      </c>
      <c r="C1146" s="104" t="s">
        <v>530</v>
      </c>
      <c r="D1146" s="105" t="n">
        <v>4.0833</v>
      </c>
      <c r="E1146" s="106" t="n">
        <v>46.4286</v>
      </c>
      <c r="F1146" s="107" t="n">
        <f aca="false">IF($C1146="","",$D1146*$E1146)</f>
        <v>189.58190238</v>
      </c>
      <c r="G1146" s="107" t="n">
        <f aca="false">IF($C1146="","",$D1146*IFERROR(INDEX('تحليل التكلفة والسعر'!$C$2:$C$700,MATCH($C1146,'تحليل التكلفة والسعر'!$B$2:$B$700,0)),0))</f>
        <v>323.50556745</v>
      </c>
      <c r="H1146" s="104" t="s">
        <v>719</v>
      </c>
    </row>
    <row r="1147" customFormat="false" ht="15" hidden="false" customHeight="false" outlineLevel="0" collapsed="false">
      <c r="A1147" s="103" t="n">
        <v>46301</v>
      </c>
      <c r="B1147" s="104" t="s">
        <v>33</v>
      </c>
      <c r="C1147" s="104" t="s">
        <v>530</v>
      </c>
      <c r="D1147" s="105" t="n">
        <v>4.0833</v>
      </c>
      <c r="E1147" s="106" t="n">
        <v>46.4286</v>
      </c>
      <c r="F1147" s="107" t="n">
        <f aca="false">IF($C1147="","",$D1147*$E1147)</f>
        <v>189.58190238</v>
      </c>
      <c r="G1147" s="107" t="n">
        <f aca="false">IF($C1147="","",$D1147*IFERROR(INDEX('تحليل التكلفة والسعر'!$C$2:$C$700,MATCH($C1147,'تحليل التكلفة والسعر'!$B$2:$B$700,0)),0))</f>
        <v>323.50556745</v>
      </c>
      <c r="H1147" s="104" t="s">
        <v>719</v>
      </c>
    </row>
    <row r="1148" customFormat="false" ht="15" hidden="false" customHeight="false" outlineLevel="0" collapsed="false">
      <c r="A1148" s="103" t="n">
        <v>46302</v>
      </c>
      <c r="B1148" s="104" t="s">
        <v>33</v>
      </c>
      <c r="C1148" s="104" t="s">
        <v>530</v>
      </c>
      <c r="D1148" s="105" t="n">
        <v>4.0833</v>
      </c>
      <c r="E1148" s="106" t="n">
        <v>46.4286</v>
      </c>
      <c r="F1148" s="107" t="n">
        <f aca="false">IF($C1148="","",$D1148*$E1148)</f>
        <v>189.58190238</v>
      </c>
      <c r="G1148" s="107" t="n">
        <f aca="false">IF($C1148="","",$D1148*IFERROR(INDEX('تحليل التكلفة والسعر'!$C$2:$C$700,MATCH($C1148,'تحليل التكلفة والسعر'!$B$2:$B$700,0)),0))</f>
        <v>323.50556745</v>
      </c>
      <c r="H1148" s="104" t="s">
        <v>719</v>
      </c>
    </row>
    <row r="1149" customFormat="false" ht="15" hidden="false" customHeight="false" outlineLevel="0" collapsed="false">
      <c r="A1149" s="103" t="n">
        <v>46303</v>
      </c>
      <c r="B1149" s="104" t="s">
        <v>33</v>
      </c>
      <c r="C1149" s="104" t="s">
        <v>530</v>
      </c>
      <c r="D1149" s="105" t="n">
        <v>4.0833</v>
      </c>
      <c r="E1149" s="106" t="n">
        <v>46.4286</v>
      </c>
      <c r="F1149" s="107" t="n">
        <f aca="false">IF($C1149="","",$D1149*$E1149)</f>
        <v>189.58190238</v>
      </c>
      <c r="G1149" s="107" t="n">
        <f aca="false">IF($C1149="","",$D1149*IFERROR(INDEX('تحليل التكلفة والسعر'!$C$2:$C$700,MATCH($C1149,'تحليل التكلفة والسعر'!$B$2:$B$700,0)),0))</f>
        <v>323.50556745</v>
      </c>
      <c r="H1149" s="104" t="s">
        <v>719</v>
      </c>
    </row>
    <row r="1150" customFormat="false" ht="15" hidden="false" customHeight="false" outlineLevel="0" collapsed="false">
      <c r="A1150" s="103" t="n">
        <v>46304</v>
      </c>
      <c r="B1150" s="104" t="s">
        <v>33</v>
      </c>
      <c r="C1150" s="104" t="s">
        <v>530</v>
      </c>
      <c r="D1150" s="105" t="n">
        <v>4.0833</v>
      </c>
      <c r="E1150" s="106" t="n">
        <v>46.4286</v>
      </c>
      <c r="F1150" s="107" t="n">
        <f aca="false">IF($C1150="","",$D1150*$E1150)</f>
        <v>189.58190238</v>
      </c>
      <c r="G1150" s="107" t="n">
        <f aca="false">IF($C1150="","",$D1150*IFERROR(INDEX('تحليل التكلفة والسعر'!$C$2:$C$700,MATCH($C1150,'تحليل التكلفة والسعر'!$B$2:$B$700,0)),0))</f>
        <v>323.50556745</v>
      </c>
      <c r="H1150" s="104" t="s">
        <v>719</v>
      </c>
    </row>
    <row r="1151" customFormat="false" ht="15" hidden="false" customHeight="false" outlineLevel="0" collapsed="false">
      <c r="A1151" s="103" t="n">
        <v>46305</v>
      </c>
      <c r="B1151" s="104" t="s">
        <v>33</v>
      </c>
      <c r="C1151" s="104" t="s">
        <v>530</v>
      </c>
      <c r="D1151" s="105" t="n">
        <v>4.0833</v>
      </c>
      <c r="E1151" s="106" t="n">
        <v>46.4286</v>
      </c>
      <c r="F1151" s="107" t="n">
        <f aca="false">IF($C1151="","",$D1151*$E1151)</f>
        <v>189.58190238</v>
      </c>
      <c r="G1151" s="107" t="n">
        <f aca="false">IF($C1151="","",$D1151*IFERROR(INDEX('تحليل التكلفة والسعر'!$C$2:$C$700,MATCH($C1151,'تحليل التكلفة والسعر'!$B$2:$B$700,0)),0))</f>
        <v>323.50556745</v>
      </c>
      <c r="H1151" s="104" t="s">
        <v>719</v>
      </c>
    </row>
    <row r="1152" customFormat="false" ht="15" hidden="false" customHeight="false" outlineLevel="0" collapsed="false">
      <c r="A1152" s="103" t="n">
        <v>46306</v>
      </c>
      <c r="B1152" s="104" t="s">
        <v>33</v>
      </c>
      <c r="C1152" s="104" t="s">
        <v>530</v>
      </c>
      <c r="D1152" s="105" t="n">
        <v>4.0833</v>
      </c>
      <c r="E1152" s="106" t="n">
        <v>46.4286</v>
      </c>
      <c r="F1152" s="107" t="n">
        <f aca="false">IF($C1152="","",$D1152*$E1152)</f>
        <v>189.58190238</v>
      </c>
      <c r="G1152" s="107" t="n">
        <f aca="false">IF($C1152="","",$D1152*IFERROR(INDEX('تحليل التكلفة والسعر'!$C$2:$C$700,MATCH($C1152,'تحليل التكلفة والسعر'!$B$2:$B$700,0)),0))</f>
        <v>323.50556745</v>
      </c>
      <c r="H1152" s="104" t="s">
        <v>719</v>
      </c>
    </row>
    <row r="1153" customFormat="false" ht="15" hidden="false" customHeight="false" outlineLevel="0" collapsed="false">
      <c r="A1153" s="103" t="n">
        <v>46307</v>
      </c>
      <c r="B1153" s="104" t="s">
        <v>33</v>
      </c>
      <c r="C1153" s="104" t="s">
        <v>530</v>
      </c>
      <c r="D1153" s="105" t="n">
        <v>4.0833</v>
      </c>
      <c r="E1153" s="106" t="n">
        <v>46.4286</v>
      </c>
      <c r="F1153" s="107" t="n">
        <f aca="false">IF($C1153="","",$D1153*$E1153)</f>
        <v>189.58190238</v>
      </c>
      <c r="G1153" s="107" t="n">
        <f aca="false">IF($C1153="","",$D1153*IFERROR(INDEX('تحليل التكلفة والسعر'!$C$2:$C$700,MATCH($C1153,'تحليل التكلفة والسعر'!$B$2:$B$700,0)),0))</f>
        <v>323.50556745</v>
      </c>
      <c r="H1153" s="104" t="s">
        <v>719</v>
      </c>
    </row>
    <row r="1154" customFormat="false" ht="15" hidden="false" customHeight="false" outlineLevel="0" collapsed="false">
      <c r="A1154" s="103" t="n">
        <v>46296</v>
      </c>
      <c r="B1154" s="104" t="s">
        <v>33</v>
      </c>
      <c r="C1154" s="104" t="s">
        <v>504</v>
      </c>
      <c r="D1154" s="105" t="n">
        <v>0.75</v>
      </c>
      <c r="E1154" s="106" t="n">
        <v>17.7778</v>
      </c>
      <c r="F1154" s="107" t="n">
        <f aca="false">IF($C1154="","",$D1154*$E1154)</f>
        <v>13.33335</v>
      </c>
      <c r="G1154" s="107" t="n">
        <f aca="false">IF($C1154="","",$D1154*IFERROR(INDEX('تحليل التكلفة والسعر'!$C$2:$C$700,MATCH($C1154,'تحليل التكلفة والسعر'!$B$2:$B$700,0)),0))</f>
        <v>65.29065</v>
      </c>
      <c r="H1154" s="104" t="s">
        <v>719</v>
      </c>
    </row>
    <row r="1155" customFormat="false" ht="15" hidden="false" customHeight="false" outlineLevel="0" collapsed="false">
      <c r="A1155" s="103" t="n">
        <v>46297</v>
      </c>
      <c r="B1155" s="104" t="s">
        <v>33</v>
      </c>
      <c r="C1155" s="104" t="s">
        <v>504</v>
      </c>
      <c r="D1155" s="105" t="n">
        <v>0.75</v>
      </c>
      <c r="E1155" s="106" t="n">
        <v>17.7778</v>
      </c>
      <c r="F1155" s="107" t="n">
        <f aca="false">IF($C1155="","",$D1155*$E1155)</f>
        <v>13.33335</v>
      </c>
      <c r="G1155" s="107" t="n">
        <f aca="false">IF($C1155="","",$D1155*IFERROR(INDEX('تحليل التكلفة والسعر'!$C$2:$C$700,MATCH($C1155,'تحليل التكلفة والسعر'!$B$2:$B$700,0)),0))</f>
        <v>65.29065</v>
      </c>
      <c r="H1155" s="104" t="s">
        <v>719</v>
      </c>
    </row>
    <row r="1156" customFormat="false" ht="15" hidden="false" customHeight="false" outlineLevel="0" collapsed="false">
      <c r="A1156" s="103" t="n">
        <v>46298</v>
      </c>
      <c r="B1156" s="104" t="s">
        <v>33</v>
      </c>
      <c r="C1156" s="104" t="s">
        <v>504</v>
      </c>
      <c r="D1156" s="105" t="n">
        <v>0.75</v>
      </c>
      <c r="E1156" s="106" t="n">
        <v>17.7778</v>
      </c>
      <c r="F1156" s="107" t="n">
        <f aca="false">IF($C1156="","",$D1156*$E1156)</f>
        <v>13.33335</v>
      </c>
      <c r="G1156" s="107" t="n">
        <f aca="false">IF($C1156="","",$D1156*IFERROR(INDEX('تحليل التكلفة والسعر'!$C$2:$C$700,MATCH($C1156,'تحليل التكلفة والسعر'!$B$2:$B$700,0)),0))</f>
        <v>65.29065</v>
      </c>
      <c r="H1156" s="104" t="s">
        <v>719</v>
      </c>
    </row>
    <row r="1157" customFormat="false" ht="15" hidden="false" customHeight="false" outlineLevel="0" collapsed="false">
      <c r="A1157" s="103" t="n">
        <v>46299</v>
      </c>
      <c r="B1157" s="104" t="s">
        <v>33</v>
      </c>
      <c r="C1157" s="104" t="s">
        <v>504</v>
      </c>
      <c r="D1157" s="105" t="n">
        <v>0.75</v>
      </c>
      <c r="E1157" s="106" t="n">
        <v>17.7778</v>
      </c>
      <c r="F1157" s="107" t="n">
        <f aca="false">IF($C1157="","",$D1157*$E1157)</f>
        <v>13.33335</v>
      </c>
      <c r="G1157" s="107" t="n">
        <f aca="false">IF($C1157="","",$D1157*IFERROR(INDEX('تحليل التكلفة والسعر'!$C$2:$C$700,MATCH($C1157,'تحليل التكلفة والسعر'!$B$2:$B$700,0)),0))</f>
        <v>65.29065</v>
      </c>
      <c r="H1157" s="104" t="s">
        <v>719</v>
      </c>
    </row>
    <row r="1158" customFormat="false" ht="15" hidden="false" customHeight="false" outlineLevel="0" collapsed="false">
      <c r="A1158" s="103" t="n">
        <v>46300</v>
      </c>
      <c r="B1158" s="104" t="s">
        <v>33</v>
      </c>
      <c r="C1158" s="104" t="s">
        <v>504</v>
      </c>
      <c r="D1158" s="105" t="n">
        <v>0.75</v>
      </c>
      <c r="E1158" s="106" t="n">
        <v>17.7778</v>
      </c>
      <c r="F1158" s="107" t="n">
        <f aca="false">IF($C1158="","",$D1158*$E1158)</f>
        <v>13.33335</v>
      </c>
      <c r="G1158" s="107" t="n">
        <f aca="false">IF($C1158="","",$D1158*IFERROR(INDEX('تحليل التكلفة والسعر'!$C$2:$C$700,MATCH($C1158,'تحليل التكلفة والسعر'!$B$2:$B$700,0)),0))</f>
        <v>65.29065</v>
      </c>
      <c r="H1158" s="104" t="s">
        <v>719</v>
      </c>
    </row>
    <row r="1159" customFormat="false" ht="15" hidden="false" customHeight="false" outlineLevel="0" collapsed="false">
      <c r="A1159" s="103" t="n">
        <v>46301</v>
      </c>
      <c r="B1159" s="104" t="s">
        <v>33</v>
      </c>
      <c r="C1159" s="104" t="s">
        <v>504</v>
      </c>
      <c r="D1159" s="105" t="n">
        <v>0.75</v>
      </c>
      <c r="E1159" s="106" t="n">
        <v>17.7778</v>
      </c>
      <c r="F1159" s="107" t="n">
        <f aca="false">IF($C1159="","",$D1159*$E1159)</f>
        <v>13.33335</v>
      </c>
      <c r="G1159" s="107" t="n">
        <f aca="false">IF($C1159="","",$D1159*IFERROR(INDEX('تحليل التكلفة والسعر'!$C$2:$C$700,MATCH($C1159,'تحليل التكلفة والسعر'!$B$2:$B$700,0)),0))</f>
        <v>65.29065</v>
      </c>
      <c r="H1159" s="104" t="s">
        <v>719</v>
      </c>
    </row>
    <row r="1160" customFormat="false" ht="15" hidden="false" customHeight="false" outlineLevel="0" collapsed="false">
      <c r="A1160" s="103" t="n">
        <v>46302</v>
      </c>
      <c r="B1160" s="104" t="s">
        <v>33</v>
      </c>
      <c r="C1160" s="104" t="s">
        <v>504</v>
      </c>
      <c r="D1160" s="105" t="n">
        <v>0.75</v>
      </c>
      <c r="E1160" s="106" t="n">
        <v>17.7778</v>
      </c>
      <c r="F1160" s="107" t="n">
        <f aca="false">IF($C1160="","",$D1160*$E1160)</f>
        <v>13.33335</v>
      </c>
      <c r="G1160" s="107" t="n">
        <f aca="false">IF($C1160="","",$D1160*IFERROR(INDEX('تحليل التكلفة والسعر'!$C$2:$C$700,MATCH($C1160,'تحليل التكلفة والسعر'!$B$2:$B$700,0)),0))</f>
        <v>65.29065</v>
      </c>
      <c r="H1160" s="104" t="s">
        <v>719</v>
      </c>
    </row>
    <row r="1161" customFormat="false" ht="15" hidden="false" customHeight="false" outlineLevel="0" collapsed="false">
      <c r="A1161" s="103" t="n">
        <v>46303</v>
      </c>
      <c r="B1161" s="104" t="s">
        <v>33</v>
      </c>
      <c r="C1161" s="104" t="s">
        <v>504</v>
      </c>
      <c r="D1161" s="105" t="n">
        <v>0.75</v>
      </c>
      <c r="E1161" s="106" t="n">
        <v>17.7778</v>
      </c>
      <c r="F1161" s="107" t="n">
        <f aca="false">IF($C1161="","",$D1161*$E1161)</f>
        <v>13.33335</v>
      </c>
      <c r="G1161" s="107" t="n">
        <f aca="false">IF($C1161="","",$D1161*IFERROR(INDEX('تحليل التكلفة والسعر'!$C$2:$C$700,MATCH($C1161,'تحليل التكلفة والسعر'!$B$2:$B$700,0)),0))</f>
        <v>65.29065</v>
      </c>
      <c r="H1161" s="104" t="s">
        <v>719</v>
      </c>
    </row>
    <row r="1162" customFormat="false" ht="15" hidden="false" customHeight="false" outlineLevel="0" collapsed="false">
      <c r="A1162" s="103" t="n">
        <v>46304</v>
      </c>
      <c r="B1162" s="104" t="s">
        <v>33</v>
      </c>
      <c r="C1162" s="104" t="s">
        <v>504</v>
      </c>
      <c r="D1162" s="105" t="n">
        <v>0.75</v>
      </c>
      <c r="E1162" s="106" t="n">
        <v>17.7778</v>
      </c>
      <c r="F1162" s="107" t="n">
        <f aca="false">IF($C1162="","",$D1162*$E1162)</f>
        <v>13.33335</v>
      </c>
      <c r="G1162" s="107" t="n">
        <f aca="false">IF($C1162="","",$D1162*IFERROR(INDEX('تحليل التكلفة والسعر'!$C$2:$C$700,MATCH($C1162,'تحليل التكلفة والسعر'!$B$2:$B$700,0)),0))</f>
        <v>65.29065</v>
      </c>
      <c r="H1162" s="104" t="s">
        <v>719</v>
      </c>
    </row>
    <row r="1163" customFormat="false" ht="15" hidden="false" customHeight="false" outlineLevel="0" collapsed="false">
      <c r="A1163" s="103" t="n">
        <v>46305</v>
      </c>
      <c r="B1163" s="104" t="s">
        <v>33</v>
      </c>
      <c r="C1163" s="104" t="s">
        <v>504</v>
      </c>
      <c r="D1163" s="105" t="n">
        <v>0.75</v>
      </c>
      <c r="E1163" s="106" t="n">
        <v>17.7778</v>
      </c>
      <c r="F1163" s="107" t="n">
        <f aca="false">IF($C1163="","",$D1163*$E1163)</f>
        <v>13.33335</v>
      </c>
      <c r="G1163" s="107" t="n">
        <f aca="false">IF($C1163="","",$D1163*IFERROR(INDEX('تحليل التكلفة والسعر'!$C$2:$C$700,MATCH($C1163,'تحليل التكلفة والسعر'!$B$2:$B$700,0)),0))</f>
        <v>65.29065</v>
      </c>
      <c r="H1163" s="104" t="s">
        <v>719</v>
      </c>
    </row>
    <row r="1164" customFormat="false" ht="15" hidden="false" customHeight="false" outlineLevel="0" collapsed="false">
      <c r="A1164" s="103" t="n">
        <v>46306</v>
      </c>
      <c r="B1164" s="104" t="s">
        <v>33</v>
      </c>
      <c r="C1164" s="104" t="s">
        <v>504</v>
      </c>
      <c r="D1164" s="105" t="n">
        <v>0.75</v>
      </c>
      <c r="E1164" s="106" t="n">
        <v>17.7778</v>
      </c>
      <c r="F1164" s="107" t="n">
        <f aca="false">IF($C1164="","",$D1164*$E1164)</f>
        <v>13.33335</v>
      </c>
      <c r="G1164" s="107" t="n">
        <f aca="false">IF($C1164="","",$D1164*IFERROR(INDEX('تحليل التكلفة والسعر'!$C$2:$C$700,MATCH($C1164,'تحليل التكلفة والسعر'!$B$2:$B$700,0)),0))</f>
        <v>65.29065</v>
      </c>
      <c r="H1164" s="104" t="s">
        <v>719</v>
      </c>
    </row>
    <row r="1165" customFormat="false" ht="15" hidden="false" customHeight="false" outlineLevel="0" collapsed="false">
      <c r="A1165" s="103" t="n">
        <v>46307</v>
      </c>
      <c r="B1165" s="104" t="s">
        <v>33</v>
      </c>
      <c r="C1165" s="104" t="s">
        <v>504</v>
      </c>
      <c r="D1165" s="105" t="n">
        <v>0.75</v>
      </c>
      <c r="E1165" s="106" t="n">
        <v>17.7778</v>
      </c>
      <c r="F1165" s="107" t="n">
        <f aca="false">IF($C1165="","",$D1165*$E1165)</f>
        <v>13.33335</v>
      </c>
      <c r="G1165" s="107" t="n">
        <f aca="false">IF($C1165="","",$D1165*IFERROR(INDEX('تحليل التكلفة والسعر'!$C$2:$C$700,MATCH($C1165,'تحليل التكلفة والسعر'!$B$2:$B$700,0)),0))</f>
        <v>65.29065</v>
      </c>
      <c r="H1165" s="104" t="s">
        <v>719</v>
      </c>
    </row>
    <row r="1166" customFormat="false" ht="15" hidden="false" customHeight="false" outlineLevel="0" collapsed="false">
      <c r="A1166" s="103" t="n">
        <v>46296</v>
      </c>
      <c r="B1166" s="104" t="s">
        <v>33</v>
      </c>
      <c r="C1166" s="104" t="s">
        <v>438</v>
      </c>
      <c r="D1166" s="105" t="n">
        <v>1.4167</v>
      </c>
      <c r="E1166" s="106" t="n">
        <v>108.8235</v>
      </c>
      <c r="F1166" s="107" t="n">
        <f aca="false">IF($C1166="","",$D1166*$E1166)</f>
        <v>154.17025245</v>
      </c>
      <c r="G1166" s="107" t="n">
        <f aca="false">IF($C1166="","",$D1166*IFERROR(INDEX('تحليل التكلفة والسعر'!$C$2:$C$700,MATCH($C1166,'تحليل التكلفة والسعر'!$B$2:$B$700,0)),0))</f>
        <v>72.8684066284583</v>
      </c>
      <c r="H1166" s="104" t="s">
        <v>719</v>
      </c>
    </row>
    <row r="1167" customFormat="false" ht="15" hidden="false" customHeight="false" outlineLevel="0" collapsed="false">
      <c r="A1167" s="103" t="n">
        <v>46297</v>
      </c>
      <c r="B1167" s="104" t="s">
        <v>33</v>
      </c>
      <c r="C1167" s="104" t="s">
        <v>438</v>
      </c>
      <c r="D1167" s="105" t="n">
        <v>1.4167</v>
      </c>
      <c r="E1167" s="106" t="n">
        <v>108.8235</v>
      </c>
      <c r="F1167" s="107" t="n">
        <f aca="false">IF($C1167="","",$D1167*$E1167)</f>
        <v>154.17025245</v>
      </c>
      <c r="G1167" s="107" t="n">
        <f aca="false">IF($C1167="","",$D1167*IFERROR(INDEX('تحليل التكلفة والسعر'!$C$2:$C$700,MATCH($C1167,'تحليل التكلفة والسعر'!$B$2:$B$700,0)),0))</f>
        <v>72.8684066284583</v>
      </c>
      <c r="H1167" s="104" t="s">
        <v>719</v>
      </c>
    </row>
    <row r="1168" customFormat="false" ht="15" hidden="false" customHeight="false" outlineLevel="0" collapsed="false">
      <c r="A1168" s="103" t="n">
        <v>46298</v>
      </c>
      <c r="B1168" s="104" t="s">
        <v>33</v>
      </c>
      <c r="C1168" s="104" t="s">
        <v>438</v>
      </c>
      <c r="D1168" s="105" t="n">
        <v>1.4167</v>
      </c>
      <c r="E1168" s="106" t="n">
        <v>108.8235</v>
      </c>
      <c r="F1168" s="107" t="n">
        <f aca="false">IF($C1168="","",$D1168*$E1168)</f>
        <v>154.17025245</v>
      </c>
      <c r="G1168" s="107" t="n">
        <f aca="false">IF($C1168="","",$D1168*IFERROR(INDEX('تحليل التكلفة والسعر'!$C$2:$C$700,MATCH($C1168,'تحليل التكلفة والسعر'!$B$2:$B$700,0)),0))</f>
        <v>72.8684066284583</v>
      </c>
      <c r="H1168" s="104" t="s">
        <v>719</v>
      </c>
    </row>
    <row r="1169" customFormat="false" ht="15" hidden="false" customHeight="false" outlineLevel="0" collapsed="false">
      <c r="A1169" s="103" t="n">
        <v>46299</v>
      </c>
      <c r="B1169" s="104" t="s">
        <v>33</v>
      </c>
      <c r="C1169" s="104" t="s">
        <v>438</v>
      </c>
      <c r="D1169" s="105" t="n">
        <v>1.4167</v>
      </c>
      <c r="E1169" s="106" t="n">
        <v>108.8235</v>
      </c>
      <c r="F1169" s="107" t="n">
        <f aca="false">IF($C1169="","",$D1169*$E1169)</f>
        <v>154.17025245</v>
      </c>
      <c r="G1169" s="107" t="n">
        <f aca="false">IF($C1169="","",$D1169*IFERROR(INDEX('تحليل التكلفة والسعر'!$C$2:$C$700,MATCH($C1169,'تحليل التكلفة والسعر'!$B$2:$B$700,0)),0))</f>
        <v>72.8684066284583</v>
      </c>
      <c r="H1169" s="104" t="s">
        <v>719</v>
      </c>
    </row>
    <row r="1170" customFormat="false" ht="15" hidden="false" customHeight="false" outlineLevel="0" collapsed="false">
      <c r="A1170" s="103" t="n">
        <v>46300</v>
      </c>
      <c r="B1170" s="104" t="s">
        <v>33</v>
      </c>
      <c r="C1170" s="104" t="s">
        <v>438</v>
      </c>
      <c r="D1170" s="105" t="n">
        <v>1.4167</v>
      </c>
      <c r="E1170" s="106" t="n">
        <v>108.8235</v>
      </c>
      <c r="F1170" s="107" t="n">
        <f aca="false">IF($C1170="","",$D1170*$E1170)</f>
        <v>154.17025245</v>
      </c>
      <c r="G1170" s="107" t="n">
        <f aca="false">IF($C1170="","",$D1170*IFERROR(INDEX('تحليل التكلفة والسعر'!$C$2:$C$700,MATCH($C1170,'تحليل التكلفة والسعر'!$B$2:$B$700,0)),0))</f>
        <v>72.8684066284583</v>
      </c>
      <c r="H1170" s="104" t="s">
        <v>719</v>
      </c>
    </row>
    <row r="1171" customFormat="false" ht="15" hidden="false" customHeight="false" outlineLevel="0" collapsed="false">
      <c r="A1171" s="103" t="n">
        <v>46301</v>
      </c>
      <c r="B1171" s="104" t="s">
        <v>33</v>
      </c>
      <c r="C1171" s="104" t="s">
        <v>438</v>
      </c>
      <c r="D1171" s="105" t="n">
        <v>1.4167</v>
      </c>
      <c r="E1171" s="106" t="n">
        <v>108.8235</v>
      </c>
      <c r="F1171" s="107" t="n">
        <f aca="false">IF($C1171="","",$D1171*$E1171)</f>
        <v>154.17025245</v>
      </c>
      <c r="G1171" s="107" t="n">
        <f aca="false">IF($C1171="","",$D1171*IFERROR(INDEX('تحليل التكلفة والسعر'!$C$2:$C$700,MATCH($C1171,'تحليل التكلفة والسعر'!$B$2:$B$700,0)),0))</f>
        <v>72.8684066284583</v>
      </c>
      <c r="H1171" s="104" t="s">
        <v>719</v>
      </c>
    </row>
    <row r="1172" customFormat="false" ht="15" hidden="false" customHeight="false" outlineLevel="0" collapsed="false">
      <c r="A1172" s="103" t="n">
        <v>46302</v>
      </c>
      <c r="B1172" s="104" t="s">
        <v>33</v>
      </c>
      <c r="C1172" s="104" t="s">
        <v>438</v>
      </c>
      <c r="D1172" s="105" t="n">
        <v>1.4167</v>
      </c>
      <c r="E1172" s="106" t="n">
        <v>108.8235</v>
      </c>
      <c r="F1172" s="107" t="n">
        <f aca="false">IF($C1172="","",$D1172*$E1172)</f>
        <v>154.17025245</v>
      </c>
      <c r="G1172" s="107" t="n">
        <f aca="false">IF($C1172="","",$D1172*IFERROR(INDEX('تحليل التكلفة والسعر'!$C$2:$C$700,MATCH($C1172,'تحليل التكلفة والسعر'!$B$2:$B$700,0)),0))</f>
        <v>72.8684066284583</v>
      </c>
      <c r="H1172" s="104" t="s">
        <v>719</v>
      </c>
    </row>
    <row r="1173" customFormat="false" ht="15" hidden="false" customHeight="false" outlineLevel="0" collapsed="false">
      <c r="A1173" s="103" t="n">
        <v>46303</v>
      </c>
      <c r="B1173" s="104" t="s">
        <v>33</v>
      </c>
      <c r="C1173" s="104" t="s">
        <v>438</v>
      </c>
      <c r="D1173" s="105" t="n">
        <v>1.4167</v>
      </c>
      <c r="E1173" s="106" t="n">
        <v>108.8235</v>
      </c>
      <c r="F1173" s="107" t="n">
        <f aca="false">IF($C1173="","",$D1173*$E1173)</f>
        <v>154.17025245</v>
      </c>
      <c r="G1173" s="107" t="n">
        <f aca="false">IF($C1173="","",$D1173*IFERROR(INDEX('تحليل التكلفة والسعر'!$C$2:$C$700,MATCH($C1173,'تحليل التكلفة والسعر'!$B$2:$B$700,0)),0))</f>
        <v>72.8684066284583</v>
      </c>
      <c r="H1173" s="104" t="s">
        <v>719</v>
      </c>
    </row>
    <row r="1174" customFormat="false" ht="15" hidden="false" customHeight="false" outlineLevel="0" collapsed="false">
      <c r="A1174" s="103" t="n">
        <v>46304</v>
      </c>
      <c r="B1174" s="104" t="s">
        <v>33</v>
      </c>
      <c r="C1174" s="104" t="s">
        <v>438</v>
      </c>
      <c r="D1174" s="105" t="n">
        <v>1.4167</v>
      </c>
      <c r="E1174" s="106" t="n">
        <v>108.8235</v>
      </c>
      <c r="F1174" s="107" t="n">
        <f aca="false">IF($C1174="","",$D1174*$E1174)</f>
        <v>154.17025245</v>
      </c>
      <c r="G1174" s="107" t="n">
        <f aca="false">IF($C1174="","",$D1174*IFERROR(INDEX('تحليل التكلفة والسعر'!$C$2:$C$700,MATCH($C1174,'تحليل التكلفة والسعر'!$B$2:$B$700,0)),0))</f>
        <v>72.8684066284583</v>
      </c>
      <c r="H1174" s="104" t="s">
        <v>719</v>
      </c>
    </row>
    <row r="1175" customFormat="false" ht="15" hidden="false" customHeight="false" outlineLevel="0" collapsed="false">
      <c r="A1175" s="103" t="n">
        <v>46305</v>
      </c>
      <c r="B1175" s="104" t="s">
        <v>33</v>
      </c>
      <c r="C1175" s="104" t="s">
        <v>438</v>
      </c>
      <c r="D1175" s="105" t="n">
        <v>1.4167</v>
      </c>
      <c r="E1175" s="106" t="n">
        <v>108.8235</v>
      </c>
      <c r="F1175" s="107" t="n">
        <f aca="false">IF($C1175="","",$D1175*$E1175)</f>
        <v>154.17025245</v>
      </c>
      <c r="G1175" s="107" t="n">
        <f aca="false">IF($C1175="","",$D1175*IFERROR(INDEX('تحليل التكلفة والسعر'!$C$2:$C$700,MATCH($C1175,'تحليل التكلفة والسعر'!$B$2:$B$700,0)),0))</f>
        <v>72.8684066284583</v>
      </c>
      <c r="H1175" s="104" t="s">
        <v>719</v>
      </c>
    </row>
    <row r="1176" customFormat="false" ht="15" hidden="false" customHeight="false" outlineLevel="0" collapsed="false">
      <c r="A1176" s="103" t="n">
        <v>46306</v>
      </c>
      <c r="B1176" s="104" t="s">
        <v>33</v>
      </c>
      <c r="C1176" s="104" t="s">
        <v>438</v>
      </c>
      <c r="D1176" s="105" t="n">
        <v>1.4167</v>
      </c>
      <c r="E1176" s="106" t="n">
        <v>108.8235</v>
      </c>
      <c r="F1176" s="107" t="n">
        <f aca="false">IF($C1176="","",$D1176*$E1176)</f>
        <v>154.17025245</v>
      </c>
      <c r="G1176" s="107" t="n">
        <f aca="false">IF($C1176="","",$D1176*IFERROR(INDEX('تحليل التكلفة والسعر'!$C$2:$C$700,MATCH($C1176,'تحليل التكلفة والسعر'!$B$2:$B$700,0)),0))</f>
        <v>72.8684066284583</v>
      </c>
      <c r="H1176" s="104" t="s">
        <v>719</v>
      </c>
    </row>
    <row r="1177" customFormat="false" ht="15" hidden="false" customHeight="false" outlineLevel="0" collapsed="false">
      <c r="A1177" s="103" t="n">
        <v>46307</v>
      </c>
      <c r="B1177" s="104" t="s">
        <v>33</v>
      </c>
      <c r="C1177" s="104" t="s">
        <v>438</v>
      </c>
      <c r="D1177" s="105" t="n">
        <v>1.4167</v>
      </c>
      <c r="E1177" s="106" t="n">
        <v>108.8235</v>
      </c>
      <c r="F1177" s="107" t="n">
        <f aca="false">IF($C1177="","",$D1177*$E1177)</f>
        <v>154.17025245</v>
      </c>
      <c r="G1177" s="107" t="n">
        <f aca="false">IF($C1177="","",$D1177*IFERROR(INDEX('تحليل التكلفة والسعر'!$C$2:$C$700,MATCH($C1177,'تحليل التكلفة والسعر'!$B$2:$B$700,0)),0))</f>
        <v>72.8684066284583</v>
      </c>
      <c r="H1177" s="104" t="s">
        <v>719</v>
      </c>
    </row>
    <row r="1178" customFormat="false" ht="15" hidden="false" customHeight="false" outlineLevel="0" collapsed="false">
      <c r="A1178" s="103" t="n">
        <v>46296</v>
      </c>
      <c r="B1178" s="104" t="s">
        <v>33</v>
      </c>
      <c r="C1178" s="104" t="s">
        <v>449</v>
      </c>
      <c r="D1178" s="105" t="n">
        <v>0.9167</v>
      </c>
      <c r="E1178" s="106" t="n">
        <v>107.2727</v>
      </c>
      <c r="F1178" s="107" t="n">
        <f aca="false">IF($C1178="","",$D1178*$E1178)</f>
        <v>98.33688409</v>
      </c>
      <c r="G1178" s="107" t="n">
        <f aca="false">IF($C1178="","",$D1178*IFERROR(INDEX('تحليل التكلفة والسعر'!$C$2:$C$700,MATCH($C1178,'تحليل التكلفة والسعر'!$B$2:$B$700,0)),0))</f>
        <v>46.3868186417917</v>
      </c>
      <c r="H1178" s="104" t="s">
        <v>719</v>
      </c>
    </row>
    <row r="1179" customFormat="false" ht="15" hidden="false" customHeight="false" outlineLevel="0" collapsed="false">
      <c r="A1179" s="103" t="n">
        <v>46297</v>
      </c>
      <c r="B1179" s="104" t="s">
        <v>33</v>
      </c>
      <c r="C1179" s="104" t="s">
        <v>449</v>
      </c>
      <c r="D1179" s="105" t="n">
        <v>0.9167</v>
      </c>
      <c r="E1179" s="106" t="n">
        <v>107.2727</v>
      </c>
      <c r="F1179" s="107" t="n">
        <f aca="false">IF($C1179="","",$D1179*$E1179)</f>
        <v>98.33688409</v>
      </c>
      <c r="G1179" s="107" t="n">
        <f aca="false">IF($C1179="","",$D1179*IFERROR(INDEX('تحليل التكلفة والسعر'!$C$2:$C$700,MATCH($C1179,'تحليل التكلفة والسعر'!$B$2:$B$700,0)),0))</f>
        <v>46.3868186417917</v>
      </c>
      <c r="H1179" s="104" t="s">
        <v>719</v>
      </c>
    </row>
    <row r="1180" customFormat="false" ht="15" hidden="false" customHeight="false" outlineLevel="0" collapsed="false">
      <c r="A1180" s="103" t="n">
        <v>46298</v>
      </c>
      <c r="B1180" s="104" t="s">
        <v>33</v>
      </c>
      <c r="C1180" s="104" t="s">
        <v>449</v>
      </c>
      <c r="D1180" s="105" t="n">
        <v>0.9167</v>
      </c>
      <c r="E1180" s="106" t="n">
        <v>107.2727</v>
      </c>
      <c r="F1180" s="107" t="n">
        <f aca="false">IF($C1180="","",$D1180*$E1180)</f>
        <v>98.33688409</v>
      </c>
      <c r="G1180" s="107" t="n">
        <f aca="false">IF($C1180="","",$D1180*IFERROR(INDEX('تحليل التكلفة والسعر'!$C$2:$C$700,MATCH($C1180,'تحليل التكلفة والسعر'!$B$2:$B$700,0)),0))</f>
        <v>46.3868186417917</v>
      </c>
      <c r="H1180" s="104" t="s">
        <v>719</v>
      </c>
    </row>
    <row r="1181" customFormat="false" ht="15" hidden="false" customHeight="false" outlineLevel="0" collapsed="false">
      <c r="A1181" s="103" t="n">
        <v>46299</v>
      </c>
      <c r="B1181" s="104" t="s">
        <v>33</v>
      </c>
      <c r="C1181" s="104" t="s">
        <v>449</v>
      </c>
      <c r="D1181" s="105" t="n">
        <v>0.9167</v>
      </c>
      <c r="E1181" s="106" t="n">
        <v>107.2727</v>
      </c>
      <c r="F1181" s="107" t="n">
        <f aca="false">IF($C1181="","",$D1181*$E1181)</f>
        <v>98.33688409</v>
      </c>
      <c r="G1181" s="107" t="n">
        <f aca="false">IF($C1181="","",$D1181*IFERROR(INDEX('تحليل التكلفة والسعر'!$C$2:$C$700,MATCH($C1181,'تحليل التكلفة والسعر'!$B$2:$B$700,0)),0))</f>
        <v>46.3868186417917</v>
      </c>
      <c r="H1181" s="104" t="s">
        <v>719</v>
      </c>
    </row>
    <row r="1182" customFormat="false" ht="15" hidden="false" customHeight="false" outlineLevel="0" collapsed="false">
      <c r="A1182" s="103" t="n">
        <v>46300</v>
      </c>
      <c r="B1182" s="104" t="s">
        <v>33</v>
      </c>
      <c r="C1182" s="104" t="s">
        <v>449</v>
      </c>
      <c r="D1182" s="105" t="n">
        <v>0.9167</v>
      </c>
      <c r="E1182" s="106" t="n">
        <v>107.2727</v>
      </c>
      <c r="F1182" s="107" t="n">
        <f aca="false">IF($C1182="","",$D1182*$E1182)</f>
        <v>98.33688409</v>
      </c>
      <c r="G1182" s="107" t="n">
        <f aca="false">IF($C1182="","",$D1182*IFERROR(INDEX('تحليل التكلفة والسعر'!$C$2:$C$700,MATCH($C1182,'تحليل التكلفة والسعر'!$B$2:$B$700,0)),0))</f>
        <v>46.3868186417917</v>
      </c>
      <c r="H1182" s="104" t="s">
        <v>719</v>
      </c>
    </row>
    <row r="1183" customFormat="false" ht="15" hidden="false" customHeight="false" outlineLevel="0" collapsed="false">
      <c r="A1183" s="103" t="n">
        <v>46301</v>
      </c>
      <c r="B1183" s="104" t="s">
        <v>33</v>
      </c>
      <c r="C1183" s="104" t="s">
        <v>449</v>
      </c>
      <c r="D1183" s="105" t="n">
        <v>0.9167</v>
      </c>
      <c r="E1183" s="106" t="n">
        <v>107.2727</v>
      </c>
      <c r="F1183" s="107" t="n">
        <f aca="false">IF($C1183="","",$D1183*$E1183)</f>
        <v>98.33688409</v>
      </c>
      <c r="G1183" s="107" t="n">
        <f aca="false">IF($C1183="","",$D1183*IFERROR(INDEX('تحليل التكلفة والسعر'!$C$2:$C$700,MATCH($C1183,'تحليل التكلفة والسعر'!$B$2:$B$700,0)),0))</f>
        <v>46.3868186417917</v>
      </c>
      <c r="H1183" s="104" t="s">
        <v>719</v>
      </c>
    </row>
    <row r="1184" customFormat="false" ht="15" hidden="false" customHeight="false" outlineLevel="0" collapsed="false">
      <c r="A1184" s="103" t="n">
        <v>46302</v>
      </c>
      <c r="B1184" s="104" t="s">
        <v>33</v>
      </c>
      <c r="C1184" s="104" t="s">
        <v>449</v>
      </c>
      <c r="D1184" s="105" t="n">
        <v>0.9167</v>
      </c>
      <c r="E1184" s="106" t="n">
        <v>107.2727</v>
      </c>
      <c r="F1184" s="107" t="n">
        <f aca="false">IF($C1184="","",$D1184*$E1184)</f>
        <v>98.33688409</v>
      </c>
      <c r="G1184" s="107" t="n">
        <f aca="false">IF($C1184="","",$D1184*IFERROR(INDEX('تحليل التكلفة والسعر'!$C$2:$C$700,MATCH($C1184,'تحليل التكلفة والسعر'!$B$2:$B$700,0)),0))</f>
        <v>46.3868186417917</v>
      </c>
      <c r="H1184" s="104" t="s">
        <v>719</v>
      </c>
    </row>
    <row r="1185" customFormat="false" ht="15" hidden="false" customHeight="false" outlineLevel="0" collapsed="false">
      <c r="A1185" s="103" t="n">
        <v>46303</v>
      </c>
      <c r="B1185" s="104" t="s">
        <v>33</v>
      </c>
      <c r="C1185" s="104" t="s">
        <v>449</v>
      </c>
      <c r="D1185" s="105" t="n">
        <v>0.9167</v>
      </c>
      <c r="E1185" s="106" t="n">
        <v>107.2727</v>
      </c>
      <c r="F1185" s="107" t="n">
        <f aca="false">IF($C1185="","",$D1185*$E1185)</f>
        <v>98.33688409</v>
      </c>
      <c r="G1185" s="107" t="n">
        <f aca="false">IF($C1185="","",$D1185*IFERROR(INDEX('تحليل التكلفة والسعر'!$C$2:$C$700,MATCH($C1185,'تحليل التكلفة والسعر'!$B$2:$B$700,0)),0))</f>
        <v>46.3868186417917</v>
      </c>
      <c r="H1185" s="104" t="s">
        <v>719</v>
      </c>
    </row>
    <row r="1186" customFormat="false" ht="15" hidden="false" customHeight="false" outlineLevel="0" collapsed="false">
      <c r="A1186" s="103" t="n">
        <v>46304</v>
      </c>
      <c r="B1186" s="104" t="s">
        <v>33</v>
      </c>
      <c r="C1186" s="104" t="s">
        <v>449</v>
      </c>
      <c r="D1186" s="105" t="n">
        <v>0.9167</v>
      </c>
      <c r="E1186" s="106" t="n">
        <v>107.2727</v>
      </c>
      <c r="F1186" s="107" t="n">
        <f aca="false">IF($C1186="","",$D1186*$E1186)</f>
        <v>98.33688409</v>
      </c>
      <c r="G1186" s="107" t="n">
        <f aca="false">IF($C1186="","",$D1186*IFERROR(INDEX('تحليل التكلفة والسعر'!$C$2:$C$700,MATCH($C1186,'تحليل التكلفة والسعر'!$B$2:$B$700,0)),0))</f>
        <v>46.3868186417917</v>
      </c>
      <c r="H1186" s="104" t="s">
        <v>719</v>
      </c>
    </row>
    <row r="1187" customFormat="false" ht="15" hidden="false" customHeight="false" outlineLevel="0" collapsed="false">
      <c r="A1187" s="103" t="n">
        <v>46305</v>
      </c>
      <c r="B1187" s="104" t="s">
        <v>33</v>
      </c>
      <c r="C1187" s="104" t="s">
        <v>449</v>
      </c>
      <c r="D1187" s="105" t="n">
        <v>0.9167</v>
      </c>
      <c r="E1187" s="106" t="n">
        <v>107.2727</v>
      </c>
      <c r="F1187" s="107" t="n">
        <f aca="false">IF($C1187="","",$D1187*$E1187)</f>
        <v>98.33688409</v>
      </c>
      <c r="G1187" s="107" t="n">
        <f aca="false">IF($C1187="","",$D1187*IFERROR(INDEX('تحليل التكلفة والسعر'!$C$2:$C$700,MATCH($C1187,'تحليل التكلفة والسعر'!$B$2:$B$700,0)),0))</f>
        <v>46.3868186417917</v>
      </c>
      <c r="H1187" s="104" t="s">
        <v>719</v>
      </c>
    </row>
    <row r="1188" customFormat="false" ht="15" hidden="false" customHeight="false" outlineLevel="0" collapsed="false">
      <c r="A1188" s="103" t="n">
        <v>46306</v>
      </c>
      <c r="B1188" s="104" t="s">
        <v>33</v>
      </c>
      <c r="C1188" s="104" t="s">
        <v>449</v>
      </c>
      <c r="D1188" s="105" t="n">
        <v>0.9167</v>
      </c>
      <c r="E1188" s="106" t="n">
        <v>107.2727</v>
      </c>
      <c r="F1188" s="107" t="n">
        <f aca="false">IF($C1188="","",$D1188*$E1188)</f>
        <v>98.33688409</v>
      </c>
      <c r="G1188" s="107" t="n">
        <f aca="false">IF($C1188="","",$D1188*IFERROR(INDEX('تحليل التكلفة والسعر'!$C$2:$C$700,MATCH($C1188,'تحليل التكلفة والسعر'!$B$2:$B$700,0)),0))</f>
        <v>46.3868186417917</v>
      </c>
      <c r="H1188" s="104" t="s">
        <v>719</v>
      </c>
    </row>
    <row r="1189" customFormat="false" ht="15" hidden="false" customHeight="false" outlineLevel="0" collapsed="false">
      <c r="A1189" s="103" t="n">
        <v>46307</v>
      </c>
      <c r="B1189" s="104" t="s">
        <v>33</v>
      </c>
      <c r="C1189" s="104" t="s">
        <v>449</v>
      </c>
      <c r="D1189" s="105" t="n">
        <v>0.9167</v>
      </c>
      <c r="E1189" s="106" t="n">
        <v>107.2727</v>
      </c>
      <c r="F1189" s="107" t="n">
        <f aca="false">IF($C1189="","",$D1189*$E1189)</f>
        <v>98.33688409</v>
      </c>
      <c r="G1189" s="107" t="n">
        <f aca="false">IF($C1189="","",$D1189*IFERROR(INDEX('تحليل التكلفة والسعر'!$C$2:$C$700,MATCH($C1189,'تحليل التكلفة والسعر'!$B$2:$B$700,0)),0))</f>
        <v>46.3868186417917</v>
      </c>
      <c r="H1189" s="104" t="s">
        <v>719</v>
      </c>
    </row>
    <row r="1190" customFormat="false" ht="15" hidden="false" customHeight="false" outlineLevel="0" collapsed="false">
      <c r="A1190" s="103" t="n">
        <v>46296</v>
      </c>
      <c r="B1190" s="104" t="s">
        <v>33</v>
      </c>
      <c r="C1190" s="104" t="s">
        <v>450</v>
      </c>
      <c r="D1190" s="105" t="n">
        <v>0.1667</v>
      </c>
      <c r="E1190" s="106" t="n">
        <v>120</v>
      </c>
      <c r="F1190" s="107" t="n">
        <f aca="false">IF($C1190="","",$D1190*$E1190)</f>
        <v>20.004</v>
      </c>
      <c r="G1190" s="107" t="n">
        <f aca="false">IF($C1190="","",$D1190*IFERROR(INDEX('تحليل التكلفة والسعر'!$C$2:$C$700,MATCH($C1190,'تحليل التكلفة والسعر'!$B$2:$B$700,0)),0))</f>
        <v>11.5162964792917</v>
      </c>
      <c r="H1190" s="104" t="s">
        <v>719</v>
      </c>
    </row>
    <row r="1191" customFormat="false" ht="15" hidden="false" customHeight="false" outlineLevel="0" collapsed="false">
      <c r="A1191" s="103" t="n">
        <v>46297</v>
      </c>
      <c r="B1191" s="104" t="s">
        <v>33</v>
      </c>
      <c r="C1191" s="104" t="s">
        <v>450</v>
      </c>
      <c r="D1191" s="105" t="n">
        <v>0.1667</v>
      </c>
      <c r="E1191" s="106" t="n">
        <v>120</v>
      </c>
      <c r="F1191" s="107" t="n">
        <f aca="false">IF($C1191="","",$D1191*$E1191)</f>
        <v>20.004</v>
      </c>
      <c r="G1191" s="107" t="n">
        <f aca="false">IF($C1191="","",$D1191*IFERROR(INDEX('تحليل التكلفة والسعر'!$C$2:$C$700,MATCH($C1191,'تحليل التكلفة والسعر'!$B$2:$B$700,0)),0))</f>
        <v>11.5162964792917</v>
      </c>
      <c r="H1191" s="104" t="s">
        <v>719</v>
      </c>
    </row>
    <row r="1192" customFormat="false" ht="15" hidden="false" customHeight="false" outlineLevel="0" collapsed="false">
      <c r="A1192" s="103" t="n">
        <v>46298</v>
      </c>
      <c r="B1192" s="104" t="s">
        <v>33</v>
      </c>
      <c r="C1192" s="104" t="s">
        <v>450</v>
      </c>
      <c r="D1192" s="105" t="n">
        <v>0.1667</v>
      </c>
      <c r="E1192" s="106" t="n">
        <v>120</v>
      </c>
      <c r="F1192" s="107" t="n">
        <f aca="false">IF($C1192="","",$D1192*$E1192)</f>
        <v>20.004</v>
      </c>
      <c r="G1192" s="107" t="n">
        <f aca="false">IF($C1192="","",$D1192*IFERROR(INDEX('تحليل التكلفة والسعر'!$C$2:$C$700,MATCH($C1192,'تحليل التكلفة والسعر'!$B$2:$B$700,0)),0))</f>
        <v>11.5162964792917</v>
      </c>
      <c r="H1192" s="104" t="s">
        <v>719</v>
      </c>
    </row>
    <row r="1193" customFormat="false" ht="15" hidden="false" customHeight="false" outlineLevel="0" collapsed="false">
      <c r="A1193" s="103" t="n">
        <v>46299</v>
      </c>
      <c r="B1193" s="104" t="s">
        <v>33</v>
      </c>
      <c r="C1193" s="104" t="s">
        <v>450</v>
      </c>
      <c r="D1193" s="105" t="n">
        <v>0.1667</v>
      </c>
      <c r="E1193" s="106" t="n">
        <v>120</v>
      </c>
      <c r="F1193" s="107" t="n">
        <f aca="false">IF($C1193="","",$D1193*$E1193)</f>
        <v>20.004</v>
      </c>
      <c r="G1193" s="107" t="n">
        <f aca="false">IF($C1193="","",$D1193*IFERROR(INDEX('تحليل التكلفة والسعر'!$C$2:$C$700,MATCH($C1193,'تحليل التكلفة والسعر'!$B$2:$B$700,0)),0))</f>
        <v>11.5162964792917</v>
      </c>
      <c r="H1193" s="104" t="s">
        <v>719</v>
      </c>
    </row>
    <row r="1194" customFormat="false" ht="15" hidden="false" customHeight="false" outlineLevel="0" collapsed="false">
      <c r="A1194" s="103" t="n">
        <v>46300</v>
      </c>
      <c r="B1194" s="104" t="s">
        <v>33</v>
      </c>
      <c r="C1194" s="104" t="s">
        <v>450</v>
      </c>
      <c r="D1194" s="105" t="n">
        <v>0.1667</v>
      </c>
      <c r="E1194" s="106" t="n">
        <v>120</v>
      </c>
      <c r="F1194" s="107" t="n">
        <f aca="false">IF($C1194="","",$D1194*$E1194)</f>
        <v>20.004</v>
      </c>
      <c r="G1194" s="107" t="n">
        <f aca="false">IF($C1194="","",$D1194*IFERROR(INDEX('تحليل التكلفة والسعر'!$C$2:$C$700,MATCH($C1194,'تحليل التكلفة والسعر'!$B$2:$B$700,0)),0))</f>
        <v>11.5162964792917</v>
      </c>
      <c r="H1194" s="104" t="s">
        <v>719</v>
      </c>
    </row>
    <row r="1195" customFormat="false" ht="15" hidden="false" customHeight="false" outlineLevel="0" collapsed="false">
      <c r="A1195" s="103" t="n">
        <v>46301</v>
      </c>
      <c r="B1195" s="104" t="s">
        <v>33</v>
      </c>
      <c r="C1195" s="104" t="s">
        <v>450</v>
      </c>
      <c r="D1195" s="105" t="n">
        <v>0.1667</v>
      </c>
      <c r="E1195" s="106" t="n">
        <v>120</v>
      </c>
      <c r="F1195" s="107" t="n">
        <f aca="false">IF($C1195="","",$D1195*$E1195)</f>
        <v>20.004</v>
      </c>
      <c r="G1195" s="107" t="n">
        <f aca="false">IF($C1195="","",$D1195*IFERROR(INDEX('تحليل التكلفة والسعر'!$C$2:$C$700,MATCH($C1195,'تحليل التكلفة والسعر'!$B$2:$B$700,0)),0))</f>
        <v>11.5162964792917</v>
      </c>
      <c r="H1195" s="104" t="s">
        <v>719</v>
      </c>
    </row>
    <row r="1196" customFormat="false" ht="15" hidden="false" customHeight="false" outlineLevel="0" collapsed="false">
      <c r="A1196" s="103" t="n">
        <v>46302</v>
      </c>
      <c r="B1196" s="104" t="s">
        <v>33</v>
      </c>
      <c r="C1196" s="104" t="s">
        <v>450</v>
      </c>
      <c r="D1196" s="105" t="n">
        <v>0.1667</v>
      </c>
      <c r="E1196" s="106" t="n">
        <v>120</v>
      </c>
      <c r="F1196" s="107" t="n">
        <f aca="false">IF($C1196="","",$D1196*$E1196)</f>
        <v>20.004</v>
      </c>
      <c r="G1196" s="107" t="n">
        <f aca="false">IF($C1196="","",$D1196*IFERROR(INDEX('تحليل التكلفة والسعر'!$C$2:$C$700,MATCH($C1196,'تحليل التكلفة والسعر'!$B$2:$B$700,0)),0))</f>
        <v>11.5162964792917</v>
      </c>
      <c r="H1196" s="104" t="s">
        <v>719</v>
      </c>
    </row>
    <row r="1197" customFormat="false" ht="15" hidden="false" customHeight="false" outlineLevel="0" collapsed="false">
      <c r="A1197" s="103" t="n">
        <v>46303</v>
      </c>
      <c r="B1197" s="104" t="s">
        <v>33</v>
      </c>
      <c r="C1197" s="104" t="s">
        <v>450</v>
      </c>
      <c r="D1197" s="105" t="n">
        <v>0.1667</v>
      </c>
      <c r="E1197" s="106" t="n">
        <v>120</v>
      </c>
      <c r="F1197" s="107" t="n">
        <f aca="false">IF($C1197="","",$D1197*$E1197)</f>
        <v>20.004</v>
      </c>
      <c r="G1197" s="107" t="n">
        <f aca="false">IF($C1197="","",$D1197*IFERROR(INDEX('تحليل التكلفة والسعر'!$C$2:$C$700,MATCH($C1197,'تحليل التكلفة والسعر'!$B$2:$B$700,0)),0))</f>
        <v>11.5162964792917</v>
      </c>
      <c r="H1197" s="104" t="s">
        <v>719</v>
      </c>
    </row>
    <row r="1198" customFormat="false" ht="15" hidden="false" customHeight="false" outlineLevel="0" collapsed="false">
      <c r="A1198" s="103" t="n">
        <v>46304</v>
      </c>
      <c r="B1198" s="104" t="s">
        <v>33</v>
      </c>
      <c r="C1198" s="104" t="s">
        <v>450</v>
      </c>
      <c r="D1198" s="105" t="n">
        <v>0.1667</v>
      </c>
      <c r="E1198" s="106" t="n">
        <v>120</v>
      </c>
      <c r="F1198" s="107" t="n">
        <f aca="false">IF($C1198="","",$D1198*$E1198)</f>
        <v>20.004</v>
      </c>
      <c r="G1198" s="107" t="n">
        <f aca="false">IF($C1198="","",$D1198*IFERROR(INDEX('تحليل التكلفة والسعر'!$C$2:$C$700,MATCH($C1198,'تحليل التكلفة والسعر'!$B$2:$B$700,0)),0))</f>
        <v>11.5162964792917</v>
      </c>
      <c r="H1198" s="104" t="s">
        <v>719</v>
      </c>
    </row>
    <row r="1199" customFormat="false" ht="15" hidden="false" customHeight="false" outlineLevel="0" collapsed="false">
      <c r="A1199" s="103" t="n">
        <v>46305</v>
      </c>
      <c r="B1199" s="104" t="s">
        <v>33</v>
      </c>
      <c r="C1199" s="104" t="s">
        <v>450</v>
      </c>
      <c r="D1199" s="105" t="n">
        <v>0.1667</v>
      </c>
      <c r="E1199" s="106" t="n">
        <v>120</v>
      </c>
      <c r="F1199" s="107" t="n">
        <f aca="false">IF($C1199="","",$D1199*$E1199)</f>
        <v>20.004</v>
      </c>
      <c r="G1199" s="107" t="n">
        <f aca="false">IF($C1199="","",$D1199*IFERROR(INDEX('تحليل التكلفة والسعر'!$C$2:$C$700,MATCH($C1199,'تحليل التكلفة والسعر'!$B$2:$B$700,0)),0))</f>
        <v>11.5162964792917</v>
      </c>
      <c r="H1199" s="104" t="s">
        <v>719</v>
      </c>
    </row>
    <row r="1200" customFormat="false" ht="15" hidden="false" customHeight="false" outlineLevel="0" collapsed="false">
      <c r="A1200" s="103" t="n">
        <v>46306</v>
      </c>
      <c r="B1200" s="104" t="s">
        <v>33</v>
      </c>
      <c r="C1200" s="104" t="s">
        <v>450</v>
      </c>
      <c r="D1200" s="105" t="n">
        <v>0.1667</v>
      </c>
      <c r="E1200" s="106" t="n">
        <v>120</v>
      </c>
      <c r="F1200" s="107" t="n">
        <f aca="false">IF($C1200="","",$D1200*$E1200)</f>
        <v>20.004</v>
      </c>
      <c r="G1200" s="107" t="n">
        <f aca="false">IF($C1200="","",$D1200*IFERROR(INDEX('تحليل التكلفة والسعر'!$C$2:$C$700,MATCH($C1200,'تحليل التكلفة والسعر'!$B$2:$B$700,0)),0))</f>
        <v>11.5162964792917</v>
      </c>
      <c r="H1200" s="104" t="s">
        <v>719</v>
      </c>
    </row>
    <row r="1201" customFormat="false" ht="15" hidden="false" customHeight="false" outlineLevel="0" collapsed="false">
      <c r="A1201" s="103" t="n">
        <v>46307</v>
      </c>
      <c r="B1201" s="104" t="s">
        <v>33</v>
      </c>
      <c r="C1201" s="104" t="s">
        <v>450</v>
      </c>
      <c r="D1201" s="105" t="n">
        <v>0.1667</v>
      </c>
      <c r="E1201" s="106" t="n">
        <v>120</v>
      </c>
      <c r="F1201" s="107" t="n">
        <f aca="false">IF($C1201="","",$D1201*$E1201)</f>
        <v>20.004</v>
      </c>
      <c r="G1201" s="107" t="n">
        <f aca="false">IF($C1201="","",$D1201*IFERROR(INDEX('تحليل التكلفة والسعر'!$C$2:$C$700,MATCH($C1201,'تحليل التكلفة والسعر'!$B$2:$B$700,0)),0))</f>
        <v>11.5162964792917</v>
      </c>
      <c r="H1201" s="104" t="s">
        <v>719</v>
      </c>
    </row>
    <row r="1202" customFormat="false" ht="15" hidden="false" customHeight="false" outlineLevel="0" collapsed="false">
      <c r="A1202" s="103" t="n">
        <v>46296</v>
      </c>
      <c r="B1202" s="104" t="s">
        <v>33</v>
      </c>
      <c r="C1202" s="104" t="s">
        <v>434</v>
      </c>
      <c r="D1202" s="105" t="n">
        <v>1.6667</v>
      </c>
      <c r="E1202" s="106" t="n">
        <v>124</v>
      </c>
      <c r="F1202" s="107" t="n">
        <f aca="false">IF($C1202="","",$D1202*$E1202)</f>
        <v>206.6708</v>
      </c>
      <c r="G1202" s="107" t="n">
        <f aca="false">IF($C1202="","",$D1202*IFERROR(INDEX('تحليل التكلفة والسعر'!$C$2:$C$700,MATCH($C1202,'تحليل التكلفة والسعر'!$B$2:$B$700,0)),0))</f>
        <v>106.134892794292</v>
      </c>
      <c r="H1202" s="104" t="s">
        <v>719</v>
      </c>
    </row>
    <row r="1203" customFormat="false" ht="15" hidden="false" customHeight="false" outlineLevel="0" collapsed="false">
      <c r="A1203" s="103" t="n">
        <v>46297</v>
      </c>
      <c r="B1203" s="104" t="s">
        <v>33</v>
      </c>
      <c r="C1203" s="104" t="s">
        <v>434</v>
      </c>
      <c r="D1203" s="105" t="n">
        <v>1.6667</v>
      </c>
      <c r="E1203" s="106" t="n">
        <v>124</v>
      </c>
      <c r="F1203" s="107" t="n">
        <f aca="false">IF($C1203="","",$D1203*$E1203)</f>
        <v>206.6708</v>
      </c>
      <c r="G1203" s="107" t="n">
        <f aca="false">IF($C1203="","",$D1203*IFERROR(INDEX('تحليل التكلفة والسعر'!$C$2:$C$700,MATCH($C1203,'تحليل التكلفة والسعر'!$B$2:$B$700,0)),0))</f>
        <v>106.134892794292</v>
      </c>
      <c r="H1203" s="104" t="s">
        <v>719</v>
      </c>
    </row>
    <row r="1204" customFormat="false" ht="15" hidden="false" customHeight="false" outlineLevel="0" collapsed="false">
      <c r="A1204" s="103" t="n">
        <v>46298</v>
      </c>
      <c r="B1204" s="104" t="s">
        <v>33</v>
      </c>
      <c r="C1204" s="104" t="s">
        <v>434</v>
      </c>
      <c r="D1204" s="105" t="n">
        <v>1.6667</v>
      </c>
      <c r="E1204" s="106" t="n">
        <v>124</v>
      </c>
      <c r="F1204" s="107" t="n">
        <f aca="false">IF($C1204="","",$D1204*$E1204)</f>
        <v>206.6708</v>
      </c>
      <c r="G1204" s="107" t="n">
        <f aca="false">IF($C1204="","",$D1204*IFERROR(INDEX('تحليل التكلفة والسعر'!$C$2:$C$700,MATCH($C1204,'تحليل التكلفة والسعر'!$B$2:$B$700,0)),0))</f>
        <v>106.134892794292</v>
      </c>
      <c r="H1204" s="104" t="s">
        <v>719</v>
      </c>
    </row>
    <row r="1205" customFormat="false" ht="15" hidden="false" customHeight="false" outlineLevel="0" collapsed="false">
      <c r="A1205" s="103" t="n">
        <v>46299</v>
      </c>
      <c r="B1205" s="104" t="s">
        <v>33</v>
      </c>
      <c r="C1205" s="104" t="s">
        <v>434</v>
      </c>
      <c r="D1205" s="105" t="n">
        <v>1.6667</v>
      </c>
      <c r="E1205" s="106" t="n">
        <v>124</v>
      </c>
      <c r="F1205" s="107" t="n">
        <f aca="false">IF($C1205="","",$D1205*$E1205)</f>
        <v>206.6708</v>
      </c>
      <c r="G1205" s="107" t="n">
        <f aca="false">IF($C1205="","",$D1205*IFERROR(INDEX('تحليل التكلفة والسعر'!$C$2:$C$700,MATCH($C1205,'تحليل التكلفة والسعر'!$B$2:$B$700,0)),0))</f>
        <v>106.134892794292</v>
      </c>
      <c r="H1205" s="104" t="s">
        <v>719</v>
      </c>
    </row>
    <row r="1206" customFormat="false" ht="15" hidden="false" customHeight="false" outlineLevel="0" collapsed="false">
      <c r="A1206" s="103" t="n">
        <v>46300</v>
      </c>
      <c r="B1206" s="104" t="s">
        <v>33</v>
      </c>
      <c r="C1206" s="104" t="s">
        <v>434</v>
      </c>
      <c r="D1206" s="105" t="n">
        <v>1.6667</v>
      </c>
      <c r="E1206" s="106" t="n">
        <v>124</v>
      </c>
      <c r="F1206" s="107" t="n">
        <f aca="false">IF($C1206="","",$D1206*$E1206)</f>
        <v>206.6708</v>
      </c>
      <c r="G1206" s="107" t="n">
        <f aca="false">IF($C1206="","",$D1206*IFERROR(INDEX('تحليل التكلفة والسعر'!$C$2:$C$700,MATCH($C1206,'تحليل التكلفة والسعر'!$B$2:$B$700,0)),0))</f>
        <v>106.134892794292</v>
      </c>
      <c r="H1206" s="104" t="s">
        <v>719</v>
      </c>
    </row>
    <row r="1207" customFormat="false" ht="15" hidden="false" customHeight="false" outlineLevel="0" collapsed="false">
      <c r="A1207" s="103" t="n">
        <v>46301</v>
      </c>
      <c r="B1207" s="104" t="s">
        <v>33</v>
      </c>
      <c r="C1207" s="104" t="s">
        <v>434</v>
      </c>
      <c r="D1207" s="105" t="n">
        <v>1.6667</v>
      </c>
      <c r="E1207" s="106" t="n">
        <v>124</v>
      </c>
      <c r="F1207" s="107" t="n">
        <f aca="false">IF($C1207="","",$D1207*$E1207)</f>
        <v>206.6708</v>
      </c>
      <c r="G1207" s="107" t="n">
        <f aca="false">IF($C1207="","",$D1207*IFERROR(INDEX('تحليل التكلفة والسعر'!$C$2:$C$700,MATCH($C1207,'تحليل التكلفة والسعر'!$B$2:$B$700,0)),0))</f>
        <v>106.134892794292</v>
      </c>
      <c r="H1207" s="104" t="s">
        <v>719</v>
      </c>
    </row>
    <row r="1208" customFormat="false" ht="15" hidden="false" customHeight="false" outlineLevel="0" collapsed="false">
      <c r="A1208" s="103" t="n">
        <v>46302</v>
      </c>
      <c r="B1208" s="104" t="s">
        <v>33</v>
      </c>
      <c r="C1208" s="104" t="s">
        <v>434</v>
      </c>
      <c r="D1208" s="105" t="n">
        <v>1.6667</v>
      </c>
      <c r="E1208" s="106" t="n">
        <v>124</v>
      </c>
      <c r="F1208" s="107" t="n">
        <f aca="false">IF($C1208="","",$D1208*$E1208)</f>
        <v>206.6708</v>
      </c>
      <c r="G1208" s="107" t="n">
        <f aca="false">IF($C1208="","",$D1208*IFERROR(INDEX('تحليل التكلفة والسعر'!$C$2:$C$700,MATCH($C1208,'تحليل التكلفة والسعر'!$B$2:$B$700,0)),0))</f>
        <v>106.134892794292</v>
      </c>
      <c r="H1208" s="104" t="s">
        <v>719</v>
      </c>
    </row>
    <row r="1209" customFormat="false" ht="15" hidden="false" customHeight="false" outlineLevel="0" collapsed="false">
      <c r="A1209" s="103" t="n">
        <v>46303</v>
      </c>
      <c r="B1209" s="104" t="s">
        <v>33</v>
      </c>
      <c r="C1209" s="104" t="s">
        <v>434</v>
      </c>
      <c r="D1209" s="105" t="n">
        <v>1.6667</v>
      </c>
      <c r="E1209" s="106" t="n">
        <v>124</v>
      </c>
      <c r="F1209" s="107" t="n">
        <f aca="false">IF($C1209="","",$D1209*$E1209)</f>
        <v>206.6708</v>
      </c>
      <c r="G1209" s="107" t="n">
        <f aca="false">IF($C1209="","",$D1209*IFERROR(INDEX('تحليل التكلفة والسعر'!$C$2:$C$700,MATCH($C1209,'تحليل التكلفة والسعر'!$B$2:$B$700,0)),0))</f>
        <v>106.134892794292</v>
      </c>
      <c r="H1209" s="104" t="s">
        <v>719</v>
      </c>
    </row>
    <row r="1210" customFormat="false" ht="15" hidden="false" customHeight="false" outlineLevel="0" collapsed="false">
      <c r="A1210" s="103" t="n">
        <v>46304</v>
      </c>
      <c r="B1210" s="104" t="s">
        <v>33</v>
      </c>
      <c r="C1210" s="104" t="s">
        <v>434</v>
      </c>
      <c r="D1210" s="105" t="n">
        <v>1.6667</v>
      </c>
      <c r="E1210" s="106" t="n">
        <v>124</v>
      </c>
      <c r="F1210" s="107" t="n">
        <f aca="false">IF($C1210="","",$D1210*$E1210)</f>
        <v>206.6708</v>
      </c>
      <c r="G1210" s="107" t="n">
        <f aca="false">IF($C1210="","",$D1210*IFERROR(INDEX('تحليل التكلفة والسعر'!$C$2:$C$700,MATCH($C1210,'تحليل التكلفة والسعر'!$B$2:$B$700,0)),0))</f>
        <v>106.134892794292</v>
      </c>
      <c r="H1210" s="104" t="s">
        <v>719</v>
      </c>
    </row>
    <row r="1211" customFormat="false" ht="15" hidden="false" customHeight="false" outlineLevel="0" collapsed="false">
      <c r="A1211" s="103" t="n">
        <v>46305</v>
      </c>
      <c r="B1211" s="104" t="s">
        <v>33</v>
      </c>
      <c r="C1211" s="104" t="s">
        <v>434</v>
      </c>
      <c r="D1211" s="105" t="n">
        <v>1.6667</v>
      </c>
      <c r="E1211" s="106" t="n">
        <v>124</v>
      </c>
      <c r="F1211" s="107" t="n">
        <f aca="false">IF($C1211="","",$D1211*$E1211)</f>
        <v>206.6708</v>
      </c>
      <c r="G1211" s="107" t="n">
        <f aca="false">IF($C1211="","",$D1211*IFERROR(INDEX('تحليل التكلفة والسعر'!$C$2:$C$700,MATCH($C1211,'تحليل التكلفة والسعر'!$B$2:$B$700,0)),0))</f>
        <v>106.134892794292</v>
      </c>
      <c r="H1211" s="104" t="s">
        <v>719</v>
      </c>
    </row>
    <row r="1212" customFormat="false" ht="15" hidden="false" customHeight="false" outlineLevel="0" collapsed="false">
      <c r="A1212" s="103" t="n">
        <v>46306</v>
      </c>
      <c r="B1212" s="104" t="s">
        <v>33</v>
      </c>
      <c r="C1212" s="104" t="s">
        <v>434</v>
      </c>
      <c r="D1212" s="105" t="n">
        <v>1.6667</v>
      </c>
      <c r="E1212" s="106" t="n">
        <v>124</v>
      </c>
      <c r="F1212" s="107" t="n">
        <f aca="false">IF($C1212="","",$D1212*$E1212)</f>
        <v>206.6708</v>
      </c>
      <c r="G1212" s="107" t="n">
        <f aca="false">IF($C1212="","",$D1212*IFERROR(INDEX('تحليل التكلفة والسعر'!$C$2:$C$700,MATCH($C1212,'تحليل التكلفة والسعر'!$B$2:$B$700,0)),0))</f>
        <v>106.134892794292</v>
      </c>
      <c r="H1212" s="104" t="s">
        <v>719</v>
      </c>
    </row>
    <row r="1213" customFormat="false" ht="15" hidden="false" customHeight="false" outlineLevel="0" collapsed="false">
      <c r="A1213" s="103" t="n">
        <v>46307</v>
      </c>
      <c r="B1213" s="104" t="s">
        <v>33</v>
      </c>
      <c r="C1213" s="104" t="s">
        <v>434</v>
      </c>
      <c r="D1213" s="105" t="n">
        <v>1.6667</v>
      </c>
      <c r="E1213" s="106" t="n">
        <v>124</v>
      </c>
      <c r="F1213" s="107" t="n">
        <f aca="false">IF($C1213="","",$D1213*$E1213)</f>
        <v>206.6708</v>
      </c>
      <c r="G1213" s="107" t="n">
        <f aca="false">IF($C1213="","",$D1213*IFERROR(INDEX('تحليل التكلفة والسعر'!$C$2:$C$700,MATCH($C1213,'تحليل التكلفة والسعر'!$B$2:$B$700,0)),0))</f>
        <v>106.134892794292</v>
      </c>
      <c r="H1213" s="104" t="s">
        <v>719</v>
      </c>
    </row>
    <row r="1214" customFormat="false" ht="15" hidden="false" customHeight="false" outlineLevel="0" collapsed="false">
      <c r="A1214" s="103" t="n">
        <v>46296</v>
      </c>
      <c r="B1214" s="104" t="s">
        <v>33</v>
      </c>
      <c r="C1214" s="104" t="s">
        <v>436</v>
      </c>
      <c r="D1214" s="105" t="n">
        <v>0.5833</v>
      </c>
      <c r="E1214" s="106" t="n">
        <v>120.7143</v>
      </c>
      <c r="F1214" s="107" t="n">
        <f aca="false">IF($C1214="","",$D1214*$E1214)</f>
        <v>70.41265119</v>
      </c>
      <c r="G1214" s="107" t="n">
        <f aca="false">IF($C1214="","",$D1214*IFERROR(INDEX('تحليل التكلفة والسعر'!$C$2:$C$700,MATCH($C1214,'تحليل التكلفة والسعر'!$B$2:$B$700,0)),0))</f>
        <v>35.0522247832083</v>
      </c>
      <c r="H1214" s="104" t="s">
        <v>719</v>
      </c>
    </row>
    <row r="1215" customFormat="false" ht="15" hidden="false" customHeight="false" outlineLevel="0" collapsed="false">
      <c r="A1215" s="103" t="n">
        <v>46297</v>
      </c>
      <c r="B1215" s="104" t="s">
        <v>33</v>
      </c>
      <c r="C1215" s="104" t="s">
        <v>436</v>
      </c>
      <c r="D1215" s="105" t="n">
        <v>0.5833</v>
      </c>
      <c r="E1215" s="106" t="n">
        <v>120.7143</v>
      </c>
      <c r="F1215" s="107" t="n">
        <f aca="false">IF($C1215="","",$D1215*$E1215)</f>
        <v>70.41265119</v>
      </c>
      <c r="G1215" s="107" t="n">
        <f aca="false">IF($C1215="","",$D1215*IFERROR(INDEX('تحليل التكلفة والسعر'!$C$2:$C$700,MATCH($C1215,'تحليل التكلفة والسعر'!$B$2:$B$700,0)),0))</f>
        <v>35.0522247832083</v>
      </c>
      <c r="H1215" s="104" t="s">
        <v>719</v>
      </c>
    </row>
    <row r="1216" customFormat="false" ht="15" hidden="false" customHeight="false" outlineLevel="0" collapsed="false">
      <c r="A1216" s="103" t="n">
        <v>46298</v>
      </c>
      <c r="B1216" s="104" t="s">
        <v>33</v>
      </c>
      <c r="C1216" s="104" t="s">
        <v>436</v>
      </c>
      <c r="D1216" s="105" t="n">
        <v>0.5833</v>
      </c>
      <c r="E1216" s="106" t="n">
        <v>120.7143</v>
      </c>
      <c r="F1216" s="107" t="n">
        <f aca="false">IF($C1216="","",$D1216*$E1216)</f>
        <v>70.41265119</v>
      </c>
      <c r="G1216" s="107" t="n">
        <f aca="false">IF($C1216="","",$D1216*IFERROR(INDEX('تحليل التكلفة والسعر'!$C$2:$C$700,MATCH($C1216,'تحليل التكلفة والسعر'!$B$2:$B$700,0)),0))</f>
        <v>35.0522247832083</v>
      </c>
      <c r="H1216" s="104" t="s">
        <v>719</v>
      </c>
    </row>
    <row r="1217" customFormat="false" ht="15" hidden="false" customHeight="false" outlineLevel="0" collapsed="false">
      <c r="A1217" s="103" t="n">
        <v>46299</v>
      </c>
      <c r="B1217" s="104" t="s">
        <v>33</v>
      </c>
      <c r="C1217" s="104" t="s">
        <v>436</v>
      </c>
      <c r="D1217" s="105" t="n">
        <v>0.5833</v>
      </c>
      <c r="E1217" s="106" t="n">
        <v>120.7143</v>
      </c>
      <c r="F1217" s="107" t="n">
        <f aca="false">IF($C1217="","",$D1217*$E1217)</f>
        <v>70.41265119</v>
      </c>
      <c r="G1217" s="107" t="n">
        <f aca="false">IF($C1217="","",$D1217*IFERROR(INDEX('تحليل التكلفة والسعر'!$C$2:$C$700,MATCH($C1217,'تحليل التكلفة والسعر'!$B$2:$B$700,0)),0))</f>
        <v>35.0522247832083</v>
      </c>
      <c r="H1217" s="104" t="s">
        <v>719</v>
      </c>
    </row>
    <row r="1218" customFormat="false" ht="15" hidden="false" customHeight="false" outlineLevel="0" collapsed="false">
      <c r="A1218" s="103" t="n">
        <v>46300</v>
      </c>
      <c r="B1218" s="104" t="s">
        <v>33</v>
      </c>
      <c r="C1218" s="104" t="s">
        <v>436</v>
      </c>
      <c r="D1218" s="105" t="n">
        <v>0.5833</v>
      </c>
      <c r="E1218" s="106" t="n">
        <v>120.7143</v>
      </c>
      <c r="F1218" s="107" t="n">
        <f aca="false">IF($C1218="","",$D1218*$E1218)</f>
        <v>70.41265119</v>
      </c>
      <c r="G1218" s="107" t="n">
        <f aca="false">IF($C1218="","",$D1218*IFERROR(INDEX('تحليل التكلفة والسعر'!$C$2:$C$700,MATCH($C1218,'تحليل التكلفة والسعر'!$B$2:$B$700,0)),0))</f>
        <v>35.0522247832083</v>
      </c>
      <c r="H1218" s="104" t="s">
        <v>719</v>
      </c>
    </row>
    <row r="1219" customFormat="false" ht="15" hidden="false" customHeight="false" outlineLevel="0" collapsed="false">
      <c r="A1219" s="103" t="n">
        <v>46301</v>
      </c>
      <c r="B1219" s="104" t="s">
        <v>33</v>
      </c>
      <c r="C1219" s="104" t="s">
        <v>436</v>
      </c>
      <c r="D1219" s="105" t="n">
        <v>0.5833</v>
      </c>
      <c r="E1219" s="106" t="n">
        <v>120.7143</v>
      </c>
      <c r="F1219" s="107" t="n">
        <f aca="false">IF($C1219="","",$D1219*$E1219)</f>
        <v>70.41265119</v>
      </c>
      <c r="G1219" s="107" t="n">
        <f aca="false">IF($C1219="","",$D1219*IFERROR(INDEX('تحليل التكلفة والسعر'!$C$2:$C$700,MATCH($C1219,'تحليل التكلفة والسعر'!$B$2:$B$700,0)),0))</f>
        <v>35.0522247832083</v>
      </c>
      <c r="H1219" s="104" t="s">
        <v>719</v>
      </c>
    </row>
    <row r="1220" customFormat="false" ht="15" hidden="false" customHeight="false" outlineLevel="0" collapsed="false">
      <c r="A1220" s="103" t="n">
        <v>46302</v>
      </c>
      <c r="B1220" s="104" t="s">
        <v>33</v>
      </c>
      <c r="C1220" s="104" t="s">
        <v>436</v>
      </c>
      <c r="D1220" s="105" t="n">
        <v>0.5833</v>
      </c>
      <c r="E1220" s="106" t="n">
        <v>120.7143</v>
      </c>
      <c r="F1220" s="107" t="n">
        <f aca="false">IF($C1220="","",$D1220*$E1220)</f>
        <v>70.41265119</v>
      </c>
      <c r="G1220" s="107" t="n">
        <f aca="false">IF($C1220="","",$D1220*IFERROR(INDEX('تحليل التكلفة والسعر'!$C$2:$C$700,MATCH($C1220,'تحليل التكلفة والسعر'!$B$2:$B$700,0)),0))</f>
        <v>35.0522247832083</v>
      </c>
      <c r="H1220" s="104" t="s">
        <v>719</v>
      </c>
    </row>
    <row r="1221" customFormat="false" ht="15" hidden="false" customHeight="false" outlineLevel="0" collapsed="false">
      <c r="A1221" s="103" t="n">
        <v>46303</v>
      </c>
      <c r="B1221" s="104" t="s">
        <v>33</v>
      </c>
      <c r="C1221" s="104" t="s">
        <v>436</v>
      </c>
      <c r="D1221" s="105" t="n">
        <v>0.5833</v>
      </c>
      <c r="E1221" s="106" t="n">
        <v>120.7143</v>
      </c>
      <c r="F1221" s="107" t="n">
        <f aca="false">IF($C1221="","",$D1221*$E1221)</f>
        <v>70.41265119</v>
      </c>
      <c r="G1221" s="107" t="n">
        <f aca="false">IF($C1221="","",$D1221*IFERROR(INDEX('تحليل التكلفة والسعر'!$C$2:$C$700,MATCH($C1221,'تحليل التكلفة والسعر'!$B$2:$B$700,0)),0))</f>
        <v>35.0522247832083</v>
      </c>
      <c r="H1221" s="104" t="s">
        <v>719</v>
      </c>
    </row>
    <row r="1222" customFormat="false" ht="15" hidden="false" customHeight="false" outlineLevel="0" collapsed="false">
      <c r="A1222" s="103" t="n">
        <v>46304</v>
      </c>
      <c r="B1222" s="104" t="s">
        <v>33</v>
      </c>
      <c r="C1222" s="104" t="s">
        <v>436</v>
      </c>
      <c r="D1222" s="105" t="n">
        <v>0.5833</v>
      </c>
      <c r="E1222" s="106" t="n">
        <v>120.7143</v>
      </c>
      <c r="F1222" s="107" t="n">
        <f aca="false">IF($C1222="","",$D1222*$E1222)</f>
        <v>70.41265119</v>
      </c>
      <c r="G1222" s="107" t="n">
        <f aca="false">IF($C1222="","",$D1222*IFERROR(INDEX('تحليل التكلفة والسعر'!$C$2:$C$700,MATCH($C1222,'تحليل التكلفة والسعر'!$B$2:$B$700,0)),0))</f>
        <v>35.0522247832083</v>
      </c>
      <c r="H1222" s="104" t="s">
        <v>719</v>
      </c>
    </row>
    <row r="1223" customFormat="false" ht="15" hidden="false" customHeight="false" outlineLevel="0" collapsed="false">
      <c r="A1223" s="103" t="n">
        <v>46305</v>
      </c>
      <c r="B1223" s="104" t="s">
        <v>33</v>
      </c>
      <c r="C1223" s="104" t="s">
        <v>436</v>
      </c>
      <c r="D1223" s="105" t="n">
        <v>0.5833</v>
      </c>
      <c r="E1223" s="106" t="n">
        <v>120.7143</v>
      </c>
      <c r="F1223" s="107" t="n">
        <f aca="false">IF($C1223="","",$D1223*$E1223)</f>
        <v>70.41265119</v>
      </c>
      <c r="G1223" s="107" t="n">
        <f aca="false">IF($C1223="","",$D1223*IFERROR(INDEX('تحليل التكلفة والسعر'!$C$2:$C$700,MATCH($C1223,'تحليل التكلفة والسعر'!$B$2:$B$700,0)),0))</f>
        <v>35.0522247832083</v>
      </c>
      <c r="H1223" s="104" t="s">
        <v>719</v>
      </c>
    </row>
    <row r="1224" customFormat="false" ht="15" hidden="false" customHeight="false" outlineLevel="0" collapsed="false">
      <c r="A1224" s="103" t="n">
        <v>46306</v>
      </c>
      <c r="B1224" s="104" t="s">
        <v>33</v>
      </c>
      <c r="C1224" s="104" t="s">
        <v>436</v>
      </c>
      <c r="D1224" s="105" t="n">
        <v>0.5833</v>
      </c>
      <c r="E1224" s="106" t="n">
        <v>120.7143</v>
      </c>
      <c r="F1224" s="107" t="n">
        <f aca="false">IF($C1224="","",$D1224*$E1224)</f>
        <v>70.41265119</v>
      </c>
      <c r="G1224" s="107" t="n">
        <f aca="false">IF($C1224="","",$D1224*IFERROR(INDEX('تحليل التكلفة والسعر'!$C$2:$C$700,MATCH($C1224,'تحليل التكلفة والسعر'!$B$2:$B$700,0)),0))</f>
        <v>35.0522247832083</v>
      </c>
      <c r="H1224" s="104" t="s">
        <v>719</v>
      </c>
    </row>
    <row r="1225" customFormat="false" ht="15" hidden="false" customHeight="false" outlineLevel="0" collapsed="false">
      <c r="A1225" s="103" t="n">
        <v>46307</v>
      </c>
      <c r="B1225" s="104" t="s">
        <v>33</v>
      </c>
      <c r="C1225" s="104" t="s">
        <v>436</v>
      </c>
      <c r="D1225" s="105" t="n">
        <v>0.5833</v>
      </c>
      <c r="E1225" s="106" t="n">
        <v>120.7143</v>
      </c>
      <c r="F1225" s="107" t="n">
        <f aca="false">IF($C1225="","",$D1225*$E1225)</f>
        <v>70.41265119</v>
      </c>
      <c r="G1225" s="107" t="n">
        <f aca="false">IF($C1225="","",$D1225*IFERROR(INDEX('تحليل التكلفة والسعر'!$C$2:$C$700,MATCH($C1225,'تحليل التكلفة والسعر'!$B$2:$B$700,0)),0))</f>
        <v>35.0522247832083</v>
      </c>
      <c r="H1225" s="104" t="s">
        <v>719</v>
      </c>
    </row>
    <row r="1226" customFormat="false" ht="15" hidden="false" customHeight="false" outlineLevel="0" collapsed="false">
      <c r="A1226" s="103" t="n">
        <v>46296</v>
      </c>
      <c r="B1226" s="104" t="s">
        <v>33</v>
      </c>
      <c r="C1226" s="104" t="s">
        <v>751</v>
      </c>
      <c r="D1226" s="105" t="n">
        <v>1.8333</v>
      </c>
      <c r="E1226" s="106" t="n">
        <v>172.7273</v>
      </c>
      <c r="F1226" s="107" t="n">
        <f aca="false">IF($C1226="","",$D1226*$E1226)</f>
        <v>316.66095909</v>
      </c>
      <c r="G1226" s="107" t="n">
        <f aca="false">IF($C1226="","",$D1226*IFERROR(INDEX('تحليل التكلفة والسعر'!$C$2:$C$700,MATCH($C1226,'تحليل التكلفة والسعر'!$B$2:$B$700,0)),0))</f>
        <v>160.4458272501</v>
      </c>
      <c r="H1226" s="104" t="s">
        <v>719</v>
      </c>
    </row>
    <row r="1227" customFormat="false" ht="15" hidden="false" customHeight="false" outlineLevel="0" collapsed="false">
      <c r="A1227" s="103" t="n">
        <v>46297</v>
      </c>
      <c r="B1227" s="104" t="s">
        <v>33</v>
      </c>
      <c r="C1227" s="104" t="s">
        <v>751</v>
      </c>
      <c r="D1227" s="105" t="n">
        <v>1.8333</v>
      </c>
      <c r="E1227" s="106" t="n">
        <v>172.7273</v>
      </c>
      <c r="F1227" s="107" t="n">
        <f aca="false">IF($C1227="","",$D1227*$E1227)</f>
        <v>316.66095909</v>
      </c>
      <c r="G1227" s="107" t="n">
        <f aca="false">IF($C1227="","",$D1227*IFERROR(INDEX('تحليل التكلفة والسعر'!$C$2:$C$700,MATCH($C1227,'تحليل التكلفة والسعر'!$B$2:$B$700,0)),0))</f>
        <v>160.4458272501</v>
      </c>
      <c r="H1227" s="104" t="s">
        <v>719</v>
      </c>
    </row>
    <row r="1228" customFormat="false" ht="15" hidden="false" customHeight="false" outlineLevel="0" collapsed="false">
      <c r="A1228" s="103" t="n">
        <v>46298</v>
      </c>
      <c r="B1228" s="104" t="s">
        <v>33</v>
      </c>
      <c r="C1228" s="104" t="s">
        <v>751</v>
      </c>
      <c r="D1228" s="105" t="n">
        <v>1.8333</v>
      </c>
      <c r="E1228" s="106" t="n">
        <v>172.7273</v>
      </c>
      <c r="F1228" s="107" t="n">
        <f aca="false">IF($C1228="","",$D1228*$E1228)</f>
        <v>316.66095909</v>
      </c>
      <c r="G1228" s="107" t="n">
        <f aca="false">IF($C1228="","",$D1228*IFERROR(INDEX('تحليل التكلفة والسعر'!$C$2:$C$700,MATCH($C1228,'تحليل التكلفة والسعر'!$B$2:$B$700,0)),0))</f>
        <v>160.4458272501</v>
      </c>
      <c r="H1228" s="104" t="s">
        <v>719</v>
      </c>
    </row>
    <row r="1229" customFormat="false" ht="15" hidden="false" customHeight="false" outlineLevel="0" collapsed="false">
      <c r="A1229" s="103" t="n">
        <v>46299</v>
      </c>
      <c r="B1229" s="104" t="s">
        <v>33</v>
      </c>
      <c r="C1229" s="104" t="s">
        <v>751</v>
      </c>
      <c r="D1229" s="105" t="n">
        <v>1.8333</v>
      </c>
      <c r="E1229" s="106" t="n">
        <v>172.7273</v>
      </c>
      <c r="F1229" s="107" t="n">
        <f aca="false">IF($C1229="","",$D1229*$E1229)</f>
        <v>316.66095909</v>
      </c>
      <c r="G1229" s="107" t="n">
        <f aca="false">IF($C1229="","",$D1229*IFERROR(INDEX('تحليل التكلفة والسعر'!$C$2:$C$700,MATCH($C1229,'تحليل التكلفة والسعر'!$B$2:$B$700,0)),0))</f>
        <v>160.4458272501</v>
      </c>
      <c r="H1229" s="104" t="s">
        <v>719</v>
      </c>
    </row>
    <row r="1230" customFormat="false" ht="15" hidden="false" customHeight="false" outlineLevel="0" collapsed="false">
      <c r="A1230" s="103" t="n">
        <v>46300</v>
      </c>
      <c r="B1230" s="104" t="s">
        <v>33</v>
      </c>
      <c r="C1230" s="104" t="s">
        <v>751</v>
      </c>
      <c r="D1230" s="105" t="n">
        <v>1.8333</v>
      </c>
      <c r="E1230" s="106" t="n">
        <v>172.7273</v>
      </c>
      <c r="F1230" s="107" t="n">
        <f aca="false">IF($C1230="","",$D1230*$E1230)</f>
        <v>316.66095909</v>
      </c>
      <c r="G1230" s="107" t="n">
        <f aca="false">IF($C1230="","",$D1230*IFERROR(INDEX('تحليل التكلفة والسعر'!$C$2:$C$700,MATCH($C1230,'تحليل التكلفة والسعر'!$B$2:$B$700,0)),0))</f>
        <v>160.4458272501</v>
      </c>
      <c r="H1230" s="104" t="s">
        <v>719</v>
      </c>
    </row>
    <row r="1231" customFormat="false" ht="15" hidden="false" customHeight="false" outlineLevel="0" collapsed="false">
      <c r="A1231" s="103" t="n">
        <v>46301</v>
      </c>
      <c r="B1231" s="104" t="s">
        <v>33</v>
      </c>
      <c r="C1231" s="104" t="s">
        <v>751</v>
      </c>
      <c r="D1231" s="105" t="n">
        <v>1.8333</v>
      </c>
      <c r="E1231" s="106" t="n">
        <v>172.7273</v>
      </c>
      <c r="F1231" s="107" t="n">
        <f aca="false">IF($C1231="","",$D1231*$E1231)</f>
        <v>316.66095909</v>
      </c>
      <c r="G1231" s="107" t="n">
        <f aca="false">IF($C1231="","",$D1231*IFERROR(INDEX('تحليل التكلفة والسعر'!$C$2:$C$700,MATCH($C1231,'تحليل التكلفة والسعر'!$B$2:$B$700,0)),0))</f>
        <v>160.4458272501</v>
      </c>
      <c r="H1231" s="104" t="s">
        <v>719</v>
      </c>
    </row>
    <row r="1232" customFormat="false" ht="15" hidden="false" customHeight="false" outlineLevel="0" collapsed="false">
      <c r="A1232" s="103" t="n">
        <v>46302</v>
      </c>
      <c r="B1232" s="104" t="s">
        <v>33</v>
      </c>
      <c r="C1232" s="104" t="s">
        <v>751</v>
      </c>
      <c r="D1232" s="105" t="n">
        <v>1.8333</v>
      </c>
      <c r="E1232" s="106" t="n">
        <v>172.7273</v>
      </c>
      <c r="F1232" s="107" t="n">
        <f aca="false">IF($C1232="","",$D1232*$E1232)</f>
        <v>316.66095909</v>
      </c>
      <c r="G1232" s="107" t="n">
        <f aca="false">IF($C1232="","",$D1232*IFERROR(INDEX('تحليل التكلفة والسعر'!$C$2:$C$700,MATCH($C1232,'تحليل التكلفة والسعر'!$B$2:$B$700,0)),0))</f>
        <v>160.4458272501</v>
      </c>
      <c r="H1232" s="104" t="s">
        <v>719</v>
      </c>
    </row>
    <row r="1233" customFormat="false" ht="15" hidden="false" customHeight="false" outlineLevel="0" collapsed="false">
      <c r="A1233" s="103" t="n">
        <v>46303</v>
      </c>
      <c r="B1233" s="104" t="s">
        <v>33</v>
      </c>
      <c r="C1233" s="104" t="s">
        <v>751</v>
      </c>
      <c r="D1233" s="105" t="n">
        <v>1.8333</v>
      </c>
      <c r="E1233" s="106" t="n">
        <v>172.7273</v>
      </c>
      <c r="F1233" s="107" t="n">
        <f aca="false">IF($C1233="","",$D1233*$E1233)</f>
        <v>316.66095909</v>
      </c>
      <c r="G1233" s="107" t="n">
        <f aca="false">IF($C1233="","",$D1233*IFERROR(INDEX('تحليل التكلفة والسعر'!$C$2:$C$700,MATCH($C1233,'تحليل التكلفة والسعر'!$B$2:$B$700,0)),0))</f>
        <v>160.4458272501</v>
      </c>
      <c r="H1233" s="104" t="s">
        <v>719</v>
      </c>
    </row>
    <row r="1234" customFormat="false" ht="15" hidden="false" customHeight="false" outlineLevel="0" collapsed="false">
      <c r="A1234" s="103" t="n">
        <v>46304</v>
      </c>
      <c r="B1234" s="104" t="s">
        <v>33</v>
      </c>
      <c r="C1234" s="104" t="s">
        <v>751</v>
      </c>
      <c r="D1234" s="105" t="n">
        <v>1.8333</v>
      </c>
      <c r="E1234" s="106" t="n">
        <v>172.7273</v>
      </c>
      <c r="F1234" s="107" t="n">
        <f aca="false">IF($C1234="","",$D1234*$E1234)</f>
        <v>316.66095909</v>
      </c>
      <c r="G1234" s="107" t="n">
        <f aca="false">IF($C1234="","",$D1234*IFERROR(INDEX('تحليل التكلفة والسعر'!$C$2:$C$700,MATCH($C1234,'تحليل التكلفة والسعر'!$B$2:$B$700,0)),0))</f>
        <v>160.4458272501</v>
      </c>
      <c r="H1234" s="104" t="s">
        <v>719</v>
      </c>
    </row>
    <row r="1235" customFormat="false" ht="15" hidden="false" customHeight="false" outlineLevel="0" collapsed="false">
      <c r="A1235" s="103" t="n">
        <v>46305</v>
      </c>
      <c r="B1235" s="104" t="s">
        <v>33</v>
      </c>
      <c r="C1235" s="104" t="s">
        <v>751</v>
      </c>
      <c r="D1235" s="105" t="n">
        <v>1.8333</v>
      </c>
      <c r="E1235" s="106" t="n">
        <v>172.7273</v>
      </c>
      <c r="F1235" s="107" t="n">
        <f aca="false">IF($C1235="","",$D1235*$E1235)</f>
        <v>316.66095909</v>
      </c>
      <c r="G1235" s="107" t="n">
        <f aca="false">IF($C1235="","",$D1235*IFERROR(INDEX('تحليل التكلفة والسعر'!$C$2:$C$700,MATCH($C1235,'تحليل التكلفة والسعر'!$B$2:$B$700,0)),0))</f>
        <v>160.4458272501</v>
      </c>
      <c r="H1235" s="104" t="s">
        <v>719</v>
      </c>
    </row>
    <row r="1236" customFormat="false" ht="15" hidden="false" customHeight="false" outlineLevel="0" collapsed="false">
      <c r="A1236" s="103" t="n">
        <v>46306</v>
      </c>
      <c r="B1236" s="104" t="s">
        <v>33</v>
      </c>
      <c r="C1236" s="104" t="s">
        <v>751</v>
      </c>
      <c r="D1236" s="105" t="n">
        <v>1.8333</v>
      </c>
      <c r="E1236" s="106" t="n">
        <v>172.7273</v>
      </c>
      <c r="F1236" s="107" t="n">
        <f aca="false">IF($C1236="","",$D1236*$E1236)</f>
        <v>316.66095909</v>
      </c>
      <c r="G1236" s="107" t="n">
        <f aca="false">IF($C1236="","",$D1236*IFERROR(INDEX('تحليل التكلفة والسعر'!$C$2:$C$700,MATCH($C1236,'تحليل التكلفة والسعر'!$B$2:$B$700,0)),0))</f>
        <v>160.4458272501</v>
      </c>
      <c r="H1236" s="104" t="s">
        <v>719</v>
      </c>
    </row>
    <row r="1237" customFormat="false" ht="15" hidden="false" customHeight="false" outlineLevel="0" collapsed="false">
      <c r="A1237" s="103" t="n">
        <v>46307</v>
      </c>
      <c r="B1237" s="104" t="s">
        <v>33</v>
      </c>
      <c r="C1237" s="104" t="s">
        <v>751</v>
      </c>
      <c r="D1237" s="105" t="n">
        <v>1.8333</v>
      </c>
      <c r="E1237" s="106" t="n">
        <v>172.7273</v>
      </c>
      <c r="F1237" s="107" t="n">
        <f aca="false">IF($C1237="","",$D1237*$E1237)</f>
        <v>316.66095909</v>
      </c>
      <c r="G1237" s="107" t="n">
        <f aca="false">IF($C1237="","",$D1237*IFERROR(INDEX('تحليل التكلفة والسعر'!$C$2:$C$700,MATCH($C1237,'تحليل التكلفة والسعر'!$B$2:$B$700,0)),0))</f>
        <v>160.4458272501</v>
      </c>
      <c r="H1237" s="104" t="s">
        <v>719</v>
      </c>
    </row>
    <row r="1238" customFormat="false" ht="15" hidden="false" customHeight="false" outlineLevel="0" collapsed="false">
      <c r="A1238" s="103" t="n">
        <v>46296</v>
      </c>
      <c r="B1238" s="104" t="s">
        <v>33</v>
      </c>
      <c r="C1238" s="104" t="s">
        <v>505</v>
      </c>
      <c r="D1238" s="105" t="n">
        <v>0.1667</v>
      </c>
      <c r="E1238" s="106" t="n">
        <v>250</v>
      </c>
      <c r="F1238" s="107" t="n">
        <f aca="false">IF($C1238="","",$D1238*$E1238)</f>
        <v>41.675</v>
      </c>
      <c r="G1238" s="107" t="n">
        <f aca="false">IF($C1238="","",$D1238*IFERROR(INDEX('تحليل التكلفة والسعر'!$C$2:$C$700,MATCH($C1238,'تحليل التكلفة والسعر'!$B$2:$B$700,0)),0))</f>
        <v>23.2485379445</v>
      </c>
      <c r="H1238" s="104" t="s">
        <v>719</v>
      </c>
    </row>
    <row r="1239" customFormat="false" ht="15" hidden="false" customHeight="false" outlineLevel="0" collapsed="false">
      <c r="A1239" s="103" t="n">
        <v>46297</v>
      </c>
      <c r="B1239" s="104" t="s">
        <v>33</v>
      </c>
      <c r="C1239" s="104" t="s">
        <v>505</v>
      </c>
      <c r="D1239" s="105" t="n">
        <v>0.1667</v>
      </c>
      <c r="E1239" s="106" t="n">
        <v>250</v>
      </c>
      <c r="F1239" s="107" t="n">
        <f aca="false">IF($C1239="","",$D1239*$E1239)</f>
        <v>41.675</v>
      </c>
      <c r="G1239" s="107" t="n">
        <f aca="false">IF($C1239="","",$D1239*IFERROR(INDEX('تحليل التكلفة والسعر'!$C$2:$C$700,MATCH($C1239,'تحليل التكلفة والسعر'!$B$2:$B$700,0)),0))</f>
        <v>23.2485379445</v>
      </c>
      <c r="H1239" s="104" t="s">
        <v>719</v>
      </c>
    </row>
    <row r="1240" customFormat="false" ht="15" hidden="false" customHeight="false" outlineLevel="0" collapsed="false">
      <c r="A1240" s="103" t="n">
        <v>46298</v>
      </c>
      <c r="B1240" s="104" t="s">
        <v>33</v>
      </c>
      <c r="C1240" s="104" t="s">
        <v>505</v>
      </c>
      <c r="D1240" s="105" t="n">
        <v>0.1667</v>
      </c>
      <c r="E1240" s="106" t="n">
        <v>250</v>
      </c>
      <c r="F1240" s="107" t="n">
        <f aca="false">IF($C1240="","",$D1240*$E1240)</f>
        <v>41.675</v>
      </c>
      <c r="G1240" s="107" t="n">
        <f aca="false">IF($C1240="","",$D1240*IFERROR(INDEX('تحليل التكلفة والسعر'!$C$2:$C$700,MATCH($C1240,'تحليل التكلفة والسعر'!$B$2:$B$700,0)),0))</f>
        <v>23.2485379445</v>
      </c>
      <c r="H1240" s="104" t="s">
        <v>719</v>
      </c>
    </row>
    <row r="1241" customFormat="false" ht="15" hidden="false" customHeight="false" outlineLevel="0" collapsed="false">
      <c r="A1241" s="103" t="n">
        <v>46299</v>
      </c>
      <c r="B1241" s="104" t="s">
        <v>33</v>
      </c>
      <c r="C1241" s="104" t="s">
        <v>505</v>
      </c>
      <c r="D1241" s="105" t="n">
        <v>0.1667</v>
      </c>
      <c r="E1241" s="106" t="n">
        <v>250</v>
      </c>
      <c r="F1241" s="107" t="n">
        <f aca="false">IF($C1241="","",$D1241*$E1241)</f>
        <v>41.675</v>
      </c>
      <c r="G1241" s="107" t="n">
        <f aca="false">IF($C1241="","",$D1241*IFERROR(INDEX('تحليل التكلفة والسعر'!$C$2:$C$700,MATCH($C1241,'تحليل التكلفة والسعر'!$B$2:$B$700,0)),0))</f>
        <v>23.2485379445</v>
      </c>
      <c r="H1241" s="104" t="s">
        <v>719</v>
      </c>
    </row>
    <row r="1242" customFormat="false" ht="15" hidden="false" customHeight="false" outlineLevel="0" collapsed="false">
      <c r="A1242" s="103" t="n">
        <v>46300</v>
      </c>
      <c r="B1242" s="104" t="s">
        <v>33</v>
      </c>
      <c r="C1242" s="104" t="s">
        <v>505</v>
      </c>
      <c r="D1242" s="105" t="n">
        <v>0.1667</v>
      </c>
      <c r="E1242" s="106" t="n">
        <v>250</v>
      </c>
      <c r="F1242" s="107" t="n">
        <f aca="false">IF($C1242="","",$D1242*$E1242)</f>
        <v>41.675</v>
      </c>
      <c r="G1242" s="107" t="n">
        <f aca="false">IF($C1242="","",$D1242*IFERROR(INDEX('تحليل التكلفة والسعر'!$C$2:$C$700,MATCH($C1242,'تحليل التكلفة والسعر'!$B$2:$B$700,0)),0))</f>
        <v>23.2485379445</v>
      </c>
      <c r="H1242" s="104" t="s">
        <v>719</v>
      </c>
    </row>
    <row r="1243" customFormat="false" ht="15" hidden="false" customHeight="false" outlineLevel="0" collapsed="false">
      <c r="A1243" s="103" t="n">
        <v>46301</v>
      </c>
      <c r="B1243" s="104" t="s">
        <v>33</v>
      </c>
      <c r="C1243" s="104" t="s">
        <v>505</v>
      </c>
      <c r="D1243" s="105" t="n">
        <v>0.1667</v>
      </c>
      <c r="E1243" s="106" t="n">
        <v>250</v>
      </c>
      <c r="F1243" s="107" t="n">
        <f aca="false">IF($C1243="","",$D1243*$E1243)</f>
        <v>41.675</v>
      </c>
      <c r="G1243" s="107" t="n">
        <f aca="false">IF($C1243="","",$D1243*IFERROR(INDEX('تحليل التكلفة والسعر'!$C$2:$C$700,MATCH($C1243,'تحليل التكلفة والسعر'!$B$2:$B$700,0)),0))</f>
        <v>23.2485379445</v>
      </c>
      <c r="H1243" s="104" t="s">
        <v>719</v>
      </c>
    </row>
    <row r="1244" customFormat="false" ht="15" hidden="false" customHeight="false" outlineLevel="0" collapsed="false">
      <c r="A1244" s="103" t="n">
        <v>46302</v>
      </c>
      <c r="B1244" s="104" t="s">
        <v>33</v>
      </c>
      <c r="C1244" s="104" t="s">
        <v>505</v>
      </c>
      <c r="D1244" s="105" t="n">
        <v>0.1667</v>
      </c>
      <c r="E1244" s="106" t="n">
        <v>250</v>
      </c>
      <c r="F1244" s="107" t="n">
        <f aca="false">IF($C1244="","",$D1244*$E1244)</f>
        <v>41.675</v>
      </c>
      <c r="G1244" s="107" t="n">
        <f aca="false">IF($C1244="","",$D1244*IFERROR(INDEX('تحليل التكلفة والسعر'!$C$2:$C$700,MATCH($C1244,'تحليل التكلفة والسعر'!$B$2:$B$700,0)),0))</f>
        <v>23.2485379445</v>
      </c>
      <c r="H1244" s="104" t="s">
        <v>719</v>
      </c>
    </row>
    <row r="1245" customFormat="false" ht="15" hidden="false" customHeight="false" outlineLevel="0" collapsed="false">
      <c r="A1245" s="103" t="n">
        <v>46303</v>
      </c>
      <c r="B1245" s="104" t="s">
        <v>33</v>
      </c>
      <c r="C1245" s="104" t="s">
        <v>505</v>
      </c>
      <c r="D1245" s="105" t="n">
        <v>0.1667</v>
      </c>
      <c r="E1245" s="106" t="n">
        <v>250</v>
      </c>
      <c r="F1245" s="107" t="n">
        <f aca="false">IF($C1245="","",$D1245*$E1245)</f>
        <v>41.675</v>
      </c>
      <c r="G1245" s="107" t="n">
        <f aca="false">IF($C1245="","",$D1245*IFERROR(INDEX('تحليل التكلفة والسعر'!$C$2:$C$700,MATCH($C1245,'تحليل التكلفة والسعر'!$B$2:$B$700,0)),0))</f>
        <v>23.2485379445</v>
      </c>
      <c r="H1245" s="104" t="s">
        <v>719</v>
      </c>
    </row>
    <row r="1246" customFormat="false" ht="15" hidden="false" customHeight="false" outlineLevel="0" collapsed="false">
      <c r="A1246" s="103" t="n">
        <v>46304</v>
      </c>
      <c r="B1246" s="104" t="s">
        <v>33</v>
      </c>
      <c r="C1246" s="104" t="s">
        <v>505</v>
      </c>
      <c r="D1246" s="105" t="n">
        <v>0.1667</v>
      </c>
      <c r="E1246" s="106" t="n">
        <v>250</v>
      </c>
      <c r="F1246" s="107" t="n">
        <f aca="false">IF($C1246="","",$D1246*$E1246)</f>
        <v>41.675</v>
      </c>
      <c r="G1246" s="107" t="n">
        <f aca="false">IF($C1246="","",$D1246*IFERROR(INDEX('تحليل التكلفة والسعر'!$C$2:$C$700,MATCH($C1246,'تحليل التكلفة والسعر'!$B$2:$B$700,0)),0))</f>
        <v>23.2485379445</v>
      </c>
      <c r="H1246" s="104" t="s">
        <v>719</v>
      </c>
    </row>
    <row r="1247" customFormat="false" ht="15" hidden="false" customHeight="false" outlineLevel="0" collapsed="false">
      <c r="A1247" s="103" t="n">
        <v>46305</v>
      </c>
      <c r="B1247" s="104" t="s">
        <v>33</v>
      </c>
      <c r="C1247" s="104" t="s">
        <v>505</v>
      </c>
      <c r="D1247" s="105" t="n">
        <v>0.1667</v>
      </c>
      <c r="E1247" s="106" t="n">
        <v>250</v>
      </c>
      <c r="F1247" s="107" t="n">
        <f aca="false">IF($C1247="","",$D1247*$E1247)</f>
        <v>41.675</v>
      </c>
      <c r="G1247" s="107" t="n">
        <f aca="false">IF($C1247="","",$D1247*IFERROR(INDEX('تحليل التكلفة والسعر'!$C$2:$C$700,MATCH($C1247,'تحليل التكلفة والسعر'!$B$2:$B$700,0)),0))</f>
        <v>23.2485379445</v>
      </c>
      <c r="H1247" s="104" t="s">
        <v>719</v>
      </c>
    </row>
    <row r="1248" customFormat="false" ht="15" hidden="false" customHeight="false" outlineLevel="0" collapsed="false">
      <c r="A1248" s="103" t="n">
        <v>46306</v>
      </c>
      <c r="B1248" s="104" t="s">
        <v>33</v>
      </c>
      <c r="C1248" s="104" t="s">
        <v>505</v>
      </c>
      <c r="D1248" s="105" t="n">
        <v>0.1667</v>
      </c>
      <c r="E1248" s="106" t="n">
        <v>250</v>
      </c>
      <c r="F1248" s="107" t="n">
        <f aca="false">IF($C1248="","",$D1248*$E1248)</f>
        <v>41.675</v>
      </c>
      <c r="G1248" s="107" t="n">
        <f aca="false">IF($C1248="","",$D1248*IFERROR(INDEX('تحليل التكلفة والسعر'!$C$2:$C$700,MATCH($C1248,'تحليل التكلفة والسعر'!$B$2:$B$700,0)),0))</f>
        <v>23.2485379445</v>
      </c>
      <c r="H1248" s="104" t="s">
        <v>719</v>
      </c>
    </row>
    <row r="1249" customFormat="false" ht="15" hidden="false" customHeight="false" outlineLevel="0" collapsed="false">
      <c r="A1249" s="103" t="n">
        <v>46307</v>
      </c>
      <c r="B1249" s="104" t="s">
        <v>33</v>
      </c>
      <c r="C1249" s="104" t="s">
        <v>505</v>
      </c>
      <c r="D1249" s="105" t="n">
        <v>0.1667</v>
      </c>
      <c r="E1249" s="106" t="n">
        <v>250</v>
      </c>
      <c r="F1249" s="107" t="n">
        <f aca="false">IF($C1249="","",$D1249*$E1249)</f>
        <v>41.675</v>
      </c>
      <c r="G1249" s="107" t="n">
        <f aca="false">IF($C1249="","",$D1249*IFERROR(INDEX('تحليل التكلفة والسعر'!$C$2:$C$700,MATCH($C1249,'تحليل التكلفة والسعر'!$B$2:$B$700,0)),0))</f>
        <v>23.2485379445</v>
      </c>
      <c r="H1249" s="104" t="s">
        <v>719</v>
      </c>
    </row>
    <row r="1250" customFormat="false" ht="15" hidden="false" customHeight="false" outlineLevel="0" collapsed="false">
      <c r="A1250" s="103" t="n">
        <v>46296</v>
      </c>
      <c r="B1250" s="104" t="s">
        <v>33</v>
      </c>
      <c r="C1250" s="104" t="s">
        <v>455</v>
      </c>
      <c r="D1250" s="105" t="n">
        <v>0.75</v>
      </c>
      <c r="E1250" s="106" t="n">
        <v>140</v>
      </c>
      <c r="F1250" s="107" t="n">
        <f aca="false">IF($C1250="","",$D1250*$E1250)</f>
        <v>105</v>
      </c>
      <c r="G1250" s="107" t="n">
        <f aca="false">IF($C1250="","",$D1250*IFERROR(INDEX('تحليل التكلفة والسعر'!$C$2:$C$700,MATCH($C1250,'تحليل التكلفة والسعر'!$B$2:$B$700,0)),0))</f>
        <v>59.59750125</v>
      </c>
      <c r="H1250" s="104" t="s">
        <v>719</v>
      </c>
    </row>
    <row r="1251" customFormat="false" ht="15" hidden="false" customHeight="false" outlineLevel="0" collapsed="false">
      <c r="A1251" s="103" t="n">
        <v>46297</v>
      </c>
      <c r="B1251" s="104" t="s">
        <v>33</v>
      </c>
      <c r="C1251" s="104" t="s">
        <v>455</v>
      </c>
      <c r="D1251" s="105" t="n">
        <v>0.75</v>
      </c>
      <c r="E1251" s="106" t="n">
        <v>140</v>
      </c>
      <c r="F1251" s="107" t="n">
        <f aca="false">IF($C1251="","",$D1251*$E1251)</f>
        <v>105</v>
      </c>
      <c r="G1251" s="107" t="n">
        <f aca="false">IF($C1251="","",$D1251*IFERROR(INDEX('تحليل التكلفة والسعر'!$C$2:$C$700,MATCH($C1251,'تحليل التكلفة والسعر'!$B$2:$B$700,0)),0))</f>
        <v>59.59750125</v>
      </c>
      <c r="H1251" s="104" t="s">
        <v>719</v>
      </c>
    </row>
    <row r="1252" customFormat="false" ht="15" hidden="false" customHeight="false" outlineLevel="0" collapsed="false">
      <c r="A1252" s="103" t="n">
        <v>46298</v>
      </c>
      <c r="B1252" s="104" t="s">
        <v>33</v>
      </c>
      <c r="C1252" s="104" t="s">
        <v>455</v>
      </c>
      <c r="D1252" s="105" t="n">
        <v>0.75</v>
      </c>
      <c r="E1252" s="106" t="n">
        <v>140</v>
      </c>
      <c r="F1252" s="107" t="n">
        <f aca="false">IF($C1252="","",$D1252*$E1252)</f>
        <v>105</v>
      </c>
      <c r="G1252" s="107" t="n">
        <f aca="false">IF($C1252="","",$D1252*IFERROR(INDEX('تحليل التكلفة والسعر'!$C$2:$C$700,MATCH($C1252,'تحليل التكلفة والسعر'!$B$2:$B$700,0)),0))</f>
        <v>59.59750125</v>
      </c>
      <c r="H1252" s="104" t="s">
        <v>719</v>
      </c>
    </row>
    <row r="1253" customFormat="false" ht="15" hidden="false" customHeight="false" outlineLevel="0" collapsed="false">
      <c r="A1253" s="103" t="n">
        <v>46299</v>
      </c>
      <c r="B1253" s="104" t="s">
        <v>33</v>
      </c>
      <c r="C1253" s="104" t="s">
        <v>455</v>
      </c>
      <c r="D1253" s="105" t="n">
        <v>0.75</v>
      </c>
      <c r="E1253" s="106" t="n">
        <v>140</v>
      </c>
      <c r="F1253" s="107" t="n">
        <f aca="false">IF($C1253="","",$D1253*$E1253)</f>
        <v>105</v>
      </c>
      <c r="G1253" s="107" t="n">
        <f aca="false">IF($C1253="","",$D1253*IFERROR(INDEX('تحليل التكلفة والسعر'!$C$2:$C$700,MATCH($C1253,'تحليل التكلفة والسعر'!$B$2:$B$700,0)),0))</f>
        <v>59.59750125</v>
      </c>
      <c r="H1253" s="104" t="s">
        <v>719</v>
      </c>
    </row>
    <row r="1254" customFormat="false" ht="15" hidden="false" customHeight="false" outlineLevel="0" collapsed="false">
      <c r="A1254" s="103" t="n">
        <v>46300</v>
      </c>
      <c r="B1254" s="104" t="s">
        <v>33</v>
      </c>
      <c r="C1254" s="104" t="s">
        <v>455</v>
      </c>
      <c r="D1254" s="105" t="n">
        <v>0.75</v>
      </c>
      <c r="E1254" s="106" t="n">
        <v>140</v>
      </c>
      <c r="F1254" s="107" t="n">
        <f aca="false">IF($C1254="","",$D1254*$E1254)</f>
        <v>105</v>
      </c>
      <c r="G1254" s="107" t="n">
        <f aca="false">IF($C1254="","",$D1254*IFERROR(INDEX('تحليل التكلفة والسعر'!$C$2:$C$700,MATCH($C1254,'تحليل التكلفة والسعر'!$B$2:$B$700,0)),0))</f>
        <v>59.59750125</v>
      </c>
      <c r="H1254" s="104" t="s">
        <v>719</v>
      </c>
    </row>
    <row r="1255" customFormat="false" ht="15" hidden="false" customHeight="false" outlineLevel="0" collapsed="false">
      <c r="A1255" s="103" t="n">
        <v>46301</v>
      </c>
      <c r="B1255" s="104" t="s">
        <v>33</v>
      </c>
      <c r="C1255" s="104" t="s">
        <v>455</v>
      </c>
      <c r="D1255" s="105" t="n">
        <v>0.75</v>
      </c>
      <c r="E1255" s="106" t="n">
        <v>140</v>
      </c>
      <c r="F1255" s="107" t="n">
        <f aca="false">IF($C1255="","",$D1255*$E1255)</f>
        <v>105</v>
      </c>
      <c r="G1255" s="107" t="n">
        <f aca="false">IF($C1255="","",$D1255*IFERROR(INDEX('تحليل التكلفة والسعر'!$C$2:$C$700,MATCH($C1255,'تحليل التكلفة والسعر'!$B$2:$B$700,0)),0))</f>
        <v>59.59750125</v>
      </c>
      <c r="H1255" s="104" t="s">
        <v>719</v>
      </c>
    </row>
    <row r="1256" customFormat="false" ht="15" hidden="false" customHeight="false" outlineLevel="0" collapsed="false">
      <c r="A1256" s="103" t="n">
        <v>46302</v>
      </c>
      <c r="B1256" s="104" t="s">
        <v>33</v>
      </c>
      <c r="C1256" s="104" t="s">
        <v>455</v>
      </c>
      <c r="D1256" s="105" t="n">
        <v>0.75</v>
      </c>
      <c r="E1256" s="106" t="n">
        <v>140</v>
      </c>
      <c r="F1256" s="107" t="n">
        <f aca="false">IF($C1256="","",$D1256*$E1256)</f>
        <v>105</v>
      </c>
      <c r="G1256" s="107" t="n">
        <f aca="false">IF($C1256="","",$D1256*IFERROR(INDEX('تحليل التكلفة والسعر'!$C$2:$C$700,MATCH($C1256,'تحليل التكلفة والسعر'!$B$2:$B$700,0)),0))</f>
        <v>59.59750125</v>
      </c>
      <c r="H1256" s="104" t="s">
        <v>719</v>
      </c>
    </row>
    <row r="1257" customFormat="false" ht="15" hidden="false" customHeight="false" outlineLevel="0" collapsed="false">
      <c r="A1257" s="103" t="n">
        <v>46303</v>
      </c>
      <c r="B1257" s="104" t="s">
        <v>33</v>
      </c>
      <c r="C1257" s="104" t="s">
        <v>455</v>
      </c>
      <c r="D1257" s="105" t="n">
        <v>0.75</v>
      </c>
      <c r="E1257" s="106" t="n">
        <v>140</v>
      </c>
      <c r="F1257" s="107" t="n">
        <f aca="false">IF($C1257="","",$D1257*$E1257)</f>
        <v>105</v>
      </c>
      <c r="G1257" s="107" t="n">
        <f aca="false">IF($C1257="","",$D1257*IFERROR(INDEX('تحليل التكلفة والسعر'!$C$2:$C$700,MATCH($C1257,'تحليل التكلفة والسعر'!$B$2:$B$700,0)),0))</f>
        <v>59.59750125</v>
      </c>
      <c r="H1257" s="104" t="s">
        <v>719</v>
      </c>
    </row>
    <row r="1258" customFormat="false" ht="15" hidden="false" customHeight="false" outlineLevel="0" collapsed="false">
      <c r="A1258" s="103" t="n">
        <v>46304</v>
      </c>
      <c r="B1258" s="104" t="s">
        <v>33</v>
      </c>
      <c r="C1258" s="104" t="s">
        <v>455</v>
      </c>
      <c r="D1258" s="105" t="n">
        <v>0.75</v>
      </c>
      <c r="E1258" s="106" t="n">
        <v>140</v>
      </c>
      <c r="F1258" s="107" t="n">
        <f aca="false">IF($C1258="","",$D1258*$E1258)</f>
        <v>105</v>
      </c>
      <c r="G1258" s="107" t="n">
        <f aca="false">IF($C1258="","",$D1258*IFERROR(INDEX('تحليل التكلفة والسعر'!$C$2:$C$700,MATCH($C1258,'تحليل التكلفة والسعر'!$B$2:$B$700,0)),0))</f>
        <v>59.59750125</v>
      </c>
      <c r="H1258" s="104" t="s">
        <v>719</v>
      </c>
    </row>
    <row r="1259" customFormat="false" ht="15" hidden="false" customHeight="false" outlineLevel="0" collapsed="false">
      <c r="A1259" s="103" t="n">
        <v>46305</v>
      </c>
      <c r="B1259" s="104" t="s">
        <v>33</v>
      </c>
      <c r="C1259" s="104" t="s">
        <v>455</v>
      </c>
      <c r="D1259" s="105" t="n">
        <v>0.75</v>
      </c>
      <c r="E1259" s="106" t="n">
        <v>140</v>
      </c>
      <c r="F1259" s="107" t="n">
        <f aca="false">IF($C1259="","",$D1259*$E1259)</f>
        <v>105</v>
      </c>
      <c r="G1259" s="107" t="n">
        <f aca="false">IF($C1259="","",$D1259*IFERROR(INDEX('تحليل التكلفة والسعر'!$C$2:$C$700,MATCH($C1259,'تحليل التكلفة والسعر'!$B$2:$B$700,0)),0))</f>
        <v>59.59750125</v>
      </c>
      <c r="H1259" s="104" t="s">
        <v>719</v>
      </c>
    </row>
    <row r="1260" customFormat="false" ht="15" hidden="false" customHeight="false" outlineLevel="0" collapsed="false">
      <c r="A1260" s="103" t="n">
        <v>46306</v>
      </c>
      <c r="B1260" s="104" t="s">
        <v>33</v>
      </c>
      <c r="C1260" s="104" t="s">
        <v>455</v>
      </c>
      <c r="D1260" s="105" t="n">
        <v>0.75</v>
      </c>
      <c r="E1260" s="106" t="n">
        <v>140</v>
      </c>
      <c r="F1260" s="107" t="n">
        <f aca="false">IF($C1260="","",$D1260*$E1260)</f>
        <v>105</v>
      </c>
      <c r="G1260" s="107" t="n">
        <f aca="false">IF($C1260="","",$D1260*IFERROR(INDEX('تحليل التكلفة والسعر'!$C$2:$C$700,MATCH($C1260,'تحليل التكلفة والسعر'!$B$2:$B$700,0)),0))</f>
        <v>59.59750125</v>
      </c>
      <c r="H1260" s="104" t="s">
        <v>719</v>
      </c>
    </row>
    <row r="1261" customFormat="false" ht="15" hidden="false" customHeight="false" outlineLevel="0" collapsed="false">
      <c r="A1261" s="103" t="n">
        <v>46307</v>
      </c>
      <c r="B1261" s="104" t="s">
        <v>33</v>
      </c>
      <c r="C1261" s="104" t="s">
        <v>455</v>
      </c>
      <c r="D1261" s="105" t="n">
        <v>0.75</v>
      </c>
      <c r="E1261" s="106" t="n">
        <v>140</v>
      </c>
      <c r="F1261" s="107" t="n">
        <f aca="false">IF($C1261="","",$D1261*$E1261)</f>
        <v>105</v>
      </c>
      <c r="G1261" s="107" t="n">
        <f aca="false">IF($C1261="","",$D1261*IFERROR(INDEX('تحليل التكلفة والسعر'!$C$2:$C$700,MATCH($C1261,'تحليل التكلفة والسعر'!$B$2:$B$700,0)),0))</f>
        <v>59.59750125</v>
      </c>
      <c r="H1261" s="104" t="s">
        <v>719</v>
      </c>
    </row>
    <row r="1262" customFormat="false" ht="15" hidden="false" customHeight="false" outlineLevel="0" collapsed="false">
      <c r="A1262" s="103" t="n">
        <v>46296</v>
      </c>
      <c r="B1262" s="104" t="s">
        <v>33</v>
      </c>
      <c r="C1262" s="104" t="s">
        <v>520</v>
      </c>
      <c r="D1262" s="105" t="n">
        <v>0.0833</v>
      </c>
      <c r="E1262" s="106" t="n">
        <v>80</v>
      </c>
      <c r="F1262" s="107" t="n">
        <f aca="false">IF($C1262="","",$D1262*$E1262)</f>
        <v>6.664</v>
      </c>
      <c r="G1262" s="107" t="n">
        <f aca="false">IF($C1262="","",$D1262*IFERROR(INDEX('تحليل التكلفة والسعر'!$C$2:$C$700,MATCH($C1262,'تحليل التكلفة والسعر'!$B$2:$B$700,0)),0))</f>
        <v>3.042949</v>
      </c>
      <c r="H1262" s="104" t="s">
        <v>719</v>
      </c>
    </row>
    <row r="1263" customFormat="false" ht="15" hidden="false" customHeight="false" outlineLevel="0" collapsed="false">
      <c r="A1263" s="103" t="n">
        <v>46297</v>
      </c>
      <c r="B1263" s="104" t="s">
        <v>33</v>
      </c>
      <c r="C1263" s="104" t="s">
        <v>520</v>
      </c>
      <c r="D1263" s="105" t="n">
        <v>0.0833</v>
      </c>
      <c r="E1263" s="106" t="n">
        <v>80</v>
      </c>
      <c r="F1263" s="107" t="n">
        <f aca="false">IF($C1263="","",$D1263*$E1263)</f>
        <v>6.664</v>
      </c>
      <c r="G1263" s="107" t="n">
        <f aca="false">IF($C1263="","",$D1263*IFERROR(INDEX('تحليل التكلفة والسعر'!$C$2:$C$700,MATCH($C1263,'تحليل التكلفة والسعر'!$B$2:$B$700,0)),0))</f>
        <v>3.042949</v>
      </c>
      <c r="H1263" s="104" t="s">
        <v>719</v>
      </c>
    </row>
    <row r="1264" customFormat="false" ht="15" hidden="false" customHeight="false" outlineLevel="0" collapsed="false">
      <c r="A1264" s="103" t="n">
        <v>46298</v>
      </c>
      <c r="B1264" s="104" t="s">
        <v>33</v>
      </c>
      <c r="C1264" s="104" t="s">
        <v>520</v>
      </c>
      <c r="D1264" s="105" t="n">
        <v>0.0833</v>
      </c>
      <c r="E1264" s="106" t="n">
        <v>80</v>
      </c>
      <c r="F1264" s="107" t="n">
        <f aca="false">IF($C1264="","",$D1264*$E1264)</f>
        <v>6.664</v>
      </c>
      <c r="G1264" s="107" t="n">
        <f aca="false">IF($C1264="","",$D1264*IFERROR(INDEX('تحليل التكلفة والسعر'!$C$2:$C$700,MATCH($C1264,'تحليل التكلفة والسعر'!$B$2:$B$700,0)),0))</f>
        <v>3.042949</v>
      </c>
      <c r="H1264" s="104" t="s">
        <v>719</v>
      </c>
    </row>
    <row r="1265" customFormat="false" ht="15" hidden="false" customHeight="false" outlineLevel="0" collapsed="false">
      <c r="A1265" s="103" t="n">
        <v>46299</v>
      </c>
      <c r="B1265" s="104" t="s">
        <v>33</v>
      </c>
      <c r="C1265" s="104" t="s">
        <v>520</v>
      </c>
      <c r="D1265" s="105" t="n">
        <v>0.0833</v>
      </c>
      <c r="E1265" s="106" t="n">
        <v>80</v>
      </c>
      <c r="F1265" s="107" t="n">
        <f aca="false">IF($C1265="","",$D1265*$E1265)</f>
        <v>6.664</v>
      </c>
      <c r="G1265" s="107" t="n">
        <f aca="false">IF($C1265="","",$D1265*IFERROR(INDEX('تحليل التكلفة والسعر'!$C$2:$C$700,MATCH($C1265,'تحليل التكلفة والسعر'!$B$2:$B$700,0)),0))</f>
        <v>3.042949</v>
      </c>
      <c r="H1265" s="104" t="s">
        <v>719</v>
      </c>
    </row>
    <row r="1266" customFormat="false" ht="15" hidden="false" customHeight="false" outlineLevel="0" collapsed="false">
      <c r="A1266" s="103" t="n">
        <v>46300</v>
      </c>
      <c r="B1266" s="104" t="s">
        <v>33</v>
      </c>
      <c r="C1266" s="104" t="s">
        <v>520</v>
      </c>
      <c r="D1266" s="105" t="n">
        <v>0.0833</v>
      </c>
      <c r="E1266" s="106" t="n">
        <v>80</v>
      </c>
      <c r="F1266" s="107" t="n">
        <f aca="false">IF($C1266="","",$D1266*$E1266)</f>
        <v>6.664</v>
      </c>
      <c r="G1266" s="107" t="n">
        <f aca="false">IF($C1266="","",$D1266*IFERROR(INDEX('تحليل التكلفة والسعر'!$C$2:$C$700,MATCH($C1266,'تحليل التكلفة والسعر'!$B$2:$B$700,0)),0))</f>
        <v>3.042949</v>
      </c>
      <c r="H1266" s="104" t="s">
        <v>719</v>
      </c>
    </row>
    <row r="1267" customFormat="false" ht="15" hidden="false" customHeight="false" outlineLevel="0" collapsed="false">
      <c r="A1267" s="103" t="n">
        <v>46301</v>
      </c>
      <c r="B1267" s="104" t="s">
        <v>33</v>
      </c>
      <c r="C1267" s="104" t="s">
        <v>520</v>
      </c>
      <c r="D1267" s="105" t="n">
        <v>0.0833</v>
      </c>
      <c r="E1267" s="106" t="n">
        <v>80</v>
      </c>
      <c r="F1267" s="107" t="n">
        <f aca="false">IF($C1267="","",$D1267*$E1267)</f>
        <v>6.664</v>
      </c>
      <c r="G1267" s="107" t="n">
        <f aca="false">IF($C1267="","",$D1267*IFERROR(INDEX('تحليل التكلفة والسعر'!$C$2:$C$700,MATCH($C1267,'تحليل التكلفة والسعر'!$B$2:$B$700,0)),0))</f>
        <v>3.042949</v>
      </c>
      <c r="H1267" s="104" t="s">
        <v>719</v>
      </c>
    </row>
    <row r="1268" customFormat="false" ht="15" hidden="false" customHeight="false" outlineLevel="0" collapsed="false">
      <c r="A1268" s="103" t="n">
        <v>46302</v>
      </c>
      <c r="B1268" s="104" t="s">
        <v>33</v>
      </c>
      <c r="C1268" s="104" t="s">
        <v>520</v>
      </c>
      <c r="D1268" s="105" t="n">
        <v>0.0833</v>
      </c>
      <c r="E1268" s="106" t="n">
        <v>80</v>
      </c>
      <c r="F1268" s="107" t="n">
        <f aca="false">IF($C1268="","",$D1268*$E1268)</f>
        <v>6.664</v>
      </c>
      <c r="G1268" s="107" t="n">
        <f aca="false">IF($C1268="","",$D1268*IFERROR(INDEX('تحليل التكلفة والسعر'!$C$2:$C$700,MATCH($C1268,'تحليل التكلفة والسعر'!$B$2:$B$700,0)),0))</f>
        <v>3.042949</v>
      </c>
      <c r="H1268" s="104" t="s">
        <v>719</v>
      </c>
    </row>
    <row r="1269" customFormat="false" ht="15" hidden="false" customHeight="false" outlineLevel="0" collapsed="false">
      <c r="A1269" s="103" t="n">
        <v>46303</v>
      </c>
      <c r="B1269" s="104" t="s">
        <v>33</v>
      </c>
      <c r="C1269" s="104" t="s">
        <v>520</v>
      </c>
      <c r="D1269" s="105" t="n">
        <v>0.0833</v>
      </c>
      <c r="E1269" s="106" t="n">
        <v>80</v>
      </c>
      <c r="F1269" s="107" t="n">
        <f aca="false">IF($C1269="","",$D1269*$E1269)</f>
        <v>6.664</v>
      </c>
      <c r="G1269" s="107" t="n">
        <f aca="false">IF($C1269="","",$D1269*IFERROR(INDEX('تحليل التكلفة والسعر'!$C$2:$C$700,MATCH($C1269,'تحليل التكلفة والسعر'!$B$2:$B$700,0)),0))</f>
        <v>3.042949</v>
      </c>
      <c r="H1269" s="104" t="s">
        <v>719</v>
      </c>
    </row>
    <row r="1270" customFormat="false" ht="15" hidden="false" customHeight="false" outlineLevel="0" collapsed="false">
      <c r="A1270" s="103" t="n">
        <v>46304</v>
      </c>
      <c r="B1270" s="104" t="s">
        <v>33</v>
      </c>
      <c r="C1270" s="104" t="s">
        <v>520</v>
      </c>
      <c r="D1270" s="105" t="n">
        <v>0.0833</v>
      </c>
      <c r="E1270" s="106" t="n">
        <v>80</v>
      </c>
      <c r="F1270" s="107" t="n">
        <f aca="false">IF($C1270="","",$D1270*$E1270)</f>
        <v>6.664</v>
      </c>
      <c r="G1270" s="107" t="n">
        <f aca="false">IF($C1270="","",$D1270*IFERROR(INDEX('تحليل التكلفة والسعر'!$C$2:$C$700,MATCH($C1270,'تحليل التكلفة والسعر'!$B$2:$B$700,0)),0))</f>
        <v>3.042949</v>
      </c>
      <c r="H1270" s="104" t="s">
        <v>719</v>
      </c>
    </row>
    <row r="1271" customFormat="false" ht="15" hidden="false" customHeight="false" outlineLevel="0" collapsed="false">
      <c r="A1271" s="103" t="n">
        <v>46305</v>
      </c>
      <c r="B1271" s="104" t="s">
        <v>33</v>
      </c>
      <c r="C1271" s="104" t="s">
        <v>520</v>
      </c>
      <c r="D1271" s="105" t="n">
        <v>0.0833</v>
      </c>
      <c r="E1271" s="106" t="n">
        <v>80</v>
      </c>
      <c r="F1271" s="107" t="n">
        <f aca="false">IF($C1271="","",$D1271*$E1271)</f>
        <v>6.664</v>
      </c>
      <c r="G1271" s="107" t="n">
        <f aca="false">IF($C1271="","",$D1271*IFERROR(INDEX('تحليل التكلفة والسعر'!$C$2:$C$700,MATCH($C1271,'تحليل التكلفة والسعر'!$B$2:$B$700,0)),0))</f>
        <v>3.042949</v>
      </c>
      <c r="H1271" s="104" t="s">
        <v>719</v>
      </c>
    </row>
    <row r="1272" customFormat="false" ht="15" hidden="false" customHeight="false" outlineLevel="0" collapsed="false">
      <c r="A1272" s="103" t="n">
        <v>46306</v>
      </c>
      <c r="B1272" s="104" t="s">
        <v>33</v>
      </c>
      <c r="C1272" s="104" t="s">
        <v>520</v>
      </c>
      <c r="D1272" s="105" t="n">
        <v>0.0833</v>
      </c>
      <c r="E1272" s="106" t="n">
        <v>80</v>
      </c>
      <c r="F1272" s="107" t="n">
        <f aca="false">IF($C1272="","",$D1272*$E1272)</f>
        <v>6.664</v>
      </c>
      <c r="G1272" s="107" t="n">
        <f aca="false">IF($C1272="","",$D1272*IFERROR(INDEX('تحليل التكلفة والسعر'!$C$2:$C$700,MATCH($C1272,'تحليل التكلفة والسعر'!$B$2:$B$700,0)),0))</f>
        <v>3.042949</v>
      </c>
      <c r="H1272" s="104" t="s">
        <v>719</v>
      </c>
    </row>
    <row r="1273" customFormat="false" ht="15" hidden="false" customHeight="false" outlineLevel="0" collapsed="false">
      <c r="A1273" s="103" t="n">
        <v>46307</v>
      </c>
      <c r="B1273" s="104" t="s">
        <v>33</v>
      </c>
      <c r="C1273" s="104" t="s">
        <v>520</v>
      </c>
      <c r="D1273" s="105" t="n">
        <v>0.0833</v>
      </c>
      <c r="E1273" s="106" t="n">
        <v>80</v>
      </c>
      <c r="F1273" s="107" t="n">
        <f aca="false">IF($C1273="","",$D1273*$E1273)</f>
        <v>6.664</v>
      </c>
      <c r="G1273" s="107" t="n">
        <f aca="false">IF($C1273="","",$D1273*IFERROR(INDEX('تحليل التكلفة والسعر'!$C$2:$C$700,MATCH($C1273,'تحليل التكلفة والسعر'!$B$2:$B$700,0)),0))</f>
        <v>3.042949</v>
      </c>
      <c r="H1273" s="104" t="s">
        <v>719</v>
      </c>
    </row>
    <row r="1274" customFormat="false" ht="15" hidden="false" customHeight="false" outlineLevel="0" collapsed="false">
      <c r="A1274" s="103" t="n">
        <v>46296</v>
      </c>
      <c r="B1274" s="104" t="s">
        <v>33</v>
      </c>
      <c r="C1274" s="104" t="s">
        <v>529</v>
      </c>
      <c r="D1274" s="105" t="n">
        <v>0.5833</v>
      </c>
      <c r="E1274" s="106" t="n">
        <v>140</v>
      </c>
      <c r="F1274" s="107" t="n">
        <f aca="false">IF($C1274="","",$D1274*$E1274)</f>
        <v>81.662</v>
      </c>
      <c r="G1274" s="107" t="n">
        <f aca="false">IF($C1274="","",$D1274*IFERROR(INDEX('تحليل التكلفة والسعر'!$C$2:$C$700,MATCH($C1274,'تحليل التكلفة والسعر'!$B$2:$B$700,0)),0))</f>
        <v>45.7676633055</v>
      </c>
      <c r="H1274" s="104" t="s">
        <v>719</v>
      </c>
    </row>
    <row r="1275" customFormat="false" ht="15" hidden="false" customHeight="false" outlineLevel="0" collapsed="false">
      <c r="A1275" s="103" t="n">
        <v>46297</v>
      </c>
      <c r="B1275" s="104" t="s">
        <v>33</v>
      </c>
      <c r="C1275" s="104" t="s">
        <v>529</v>
      </c>
      <c r="D1275" s="105" t="n">
        <v>0.5833</v>
      </c>
      <c r="E1275" s="106" t="n">
        <v>140</v>
      </c>
      <c r="F1275" s="107" t="n">
        <f aca="false">IF($C1275="","",$D1275*$E1275)</f>
        <v>81.662</v>
      </c>
      <c r="G1275" s="107" t="n">
        <f aca="false">IF($C1275="","",$D1275*IFERROR(INDEX('تحليل التكلفة والسعر'!$C$2:$C$700,MATCH($C1275,'تحليل التكلفة والسعر'!$B$2:$B$700,0)),0))</f>
        <v>45.7676633055</v>
      </c>
      <c r="H1275" s="104" t="s">
        <v>719</v>
      </c>
    </row>
    <row r="1276" customFormat="false" ht="15" hidden="false" customHeight="false" outlineLevel="0" collapsed="false">
      <c r="A1276" s="103" t="n">
        <v>46298</v>
      </c>
      <c r="B1276" s="104" t="s">
        <v>33</v>
      </c>
      <c r="C1276" s="104" t="s">
        <v>529</v>
      </c>
      <c r="D1276" s="105" t="n">
        <v>0.5833</v>
      </c>
      <c r="E1276" s="106" t="n">
        <v>140</v>
      </c>
      <c r="F1276" s="107" t="n">
        <f aca="false">IF($C1276="","",$D1276*$E1276)</f>
        <v>81.662</v>
      </c>
      <c r="G1276" s="107" t="n">
        <f aca="false">IF($C1276="","",$D1276*IFERROR(INDEX('تحليل التكلفة والسعر'!$C$2:$C$700,MATCH($C1276,'تحليل التكلفة والسعر'!$B$2:$B$700,0)),0))</f>
        <v>45.7676633055</v>
      </c>
      <c r="H1276" s="104" t="s">
        <v>719</v>
      </c>
    </row>
    <row r="1277" customFormat="false" ht="15" hidden="false" customHeight="false" outlineLevel="0" collapsed="false">
      <c r="A1277" s="103" t="n">
        <v>46299</v>
      </c>
      <c r="B1277" s="104" t="s">
        <v>33</v>
      </c>
      <c r="C1277" s="104" t="s">
        <v>529</v>
      </c>
      <c r="D1277" s="105" t="n">
        <v>0.5833</v>
      </c>
      <c r="E1277" s="106" t="n">
        <v>140</v>
      </c>
      <c r="F1277" s="107" t="n">
        <f aca="false">IF($C1277="","",$D1277*$E1277)</f>
        <v>81.662</v>
      </c>
      <c r="G1277" s="107" t="n">
        <f aca="false">IF($C1277="","",$D1277*IFERROR(INDEX('تحليل التكلفة والسعر'!$C$2:$C$700,MATCH($C1277,'تحليل التكلفة والسعر'!$B$2:$B$700,0)),0))</f>
        <v>45.7676633055</v>
      </c>
      <c r="H1277" s="104" t="s">
        <v>719</v>
      </c>
    </row>
    <row r="1278" customFormat="false" ht="15" hidden="false" customHeight="false" outlineLevel="0" collapsed="false">
      <c r="A1278" s="103" t="n">
        <v>46300</v>
      </c>
      <c r="B1278" s="104" t="s">
        <v>33</v>
      </c>
      <c r="C1278" s="104" t="s">
        <v>529</v>
      </c>
      <c r="D1278" s="105" t="n">
        <v>0.5833</v>
      </c>
      <c r="E1278" s="106" t="n">
        <v>140</v>
      </c>
      <c r="F1278" s="107" t="n">
        <f aca="false">IF($C1278="","",$D1278*$E1278)</f>
        <v>81.662</v>
      </c>
      <c r="G1278" s="107" t="n">
        <f aca="false">IF($C1278="","",$D1278*IFERROR(INDEX('تحليل التكلفة والسعر'!$C$2:$C$700,MATCH($C1278,'تحليل التكلفة والسعر'!$B$2:$B$700,0)),0))</f>
        <v>45.7676633055</v>
      </c>
      <c r="H1278" s="104" t="s">
        <v>719</v>
      </c>
    </row>
    <row r="1279" customFormat="false" ht="15" hidden="false" customHeight="false" outlineLevel="0" collapsed="false">
      <c r="A1279" s="103" t="n">
        <v>46301</v>
      </c>
      <c r="B1279" s="104" t="s">
        <v>33</v>
      </c>
      <c r="C1279" s="104" t="s">
        <v>529</v>
      </c>
      <c r="D1279" s="105" t="n">
        <v>0.5833</v>
      </c>
      <c r="E1279" s="106" t="n">
        <v>140</v>
      </c>
      <c r="F1279" s="107" t="n">
        <f aca="false">IF($C1279="","",$D1279*$E1279)</f>
        <v>81.662</v>
      </c>
      <c r="G1279" s="107" t="n">
        <f aca="false">IF($C1279="","",$D1279*IFERROR(INDEX('تحليل التكلفة والسعر'!$C$2:$C$700,MATCH($C1279,'تحليل التكلفة والسعر'!$B$2:$B$700,0)),0))</f>
        <v>45.7676633055</v>
      </c>
      <c r="H1279" s="104" t="s">
        <v>719</v>
      </c>
    </row>
    <row r="1280" customFormat="false" ht="15" hidden="false" customHeight="false" outlineLevel="0" collapsed="false">
      <c r="A1280" s="103" t="n">
        <v>46302</v>
      </c>
      <c r="B1280" s="104" t="s">
        <v>33</v>
      </c>
      <c r="C1280" s="104" t="s">
        <v>529</v>
      </c>
      <c r="D1280" s="105" t="n">
        <v>0.5833</v>
      </c>
      <c r="E1280" s="106" t="n">
        <v>140</v>
      </c>
      <c r="F1280" s="107" t="n">
        <f aca="false">IF($C1280="","",$D1280*$E1280)</f>
        <v>81.662</v>
      </c>
      <c r="G1280" s="107" t="n">
        <f aca="false">IF($C1280="","",$D1280*IFERROR(INDEX('تحليل التكلفة والسعر'!$C$2:$C$700,MATCH($C1280,'تحليل التكلفة والسعر'!$B$2:$B$700,0)),0))</f>
        <v>45.7676633055</v>
      </c>
      <c r="H1280" s="104" t="s">
        <v>719</v>
      </c>
    </row>
    <row r="1281" customFormat="false" ht="15" hidden="false" customHeight="false" outlineLevel="0" collapsed="false">
      <c r="A1281" s="103" t="n">
        <v>46303</v>
      </c>
      <c r="B1281" s="104" t="s">
        <v>33</v>
      </c>
      <c r="C1281" s="104" t="s">
        <v>529</v>
      </c>
      <c r="D1281" s="105" t="n">
        <v>0.5833</v>
      </c>
      <c r="E1281" s="106" t="n">
        <v>140</v>
      </c>
      <c r="F1281" s="107" t="n">
        <f aca="false">IF($C1281="","",$D1281*$E1281)</f>
        <v>81.662</v>
      </c>
      <c r="G1281" s="107" t="n">
        <f aca="false">IF($C1281="","",$D1281*IFERROR(INDEX('تحليل التكلفة والسعر'!$C$2:$C$700,MATCH($C1281,'تحليل التكلفة والسعر'!$B$2:$B$700,0)),0))</f>
        <v>45.7676633055</v>
      </c>
      <c r="H1281" s="104" t="s">
        <v>719</v>
      </c>
    </row>
    <row r="1282" customFormat="false" ht="15" hidden="false" customHeight="false" outlineLevel="0" collapsed="false">
      <c r="A1282" s="103" t="n">
        <v>46304</v>
      </c>
      <c r="B1282" s="104" t="s">
        <v>33</v>
      </c>
      <c r="C1282" s="104" t="s">
        <v>529</v>
      </c>
      <c r="D1282" s="105" t="n">
        <v>0.5833</v>
      </c>
      <c r="E1282" s="106" t="n">
        <v>140</v>
      </c>
      <c r="F1282" s="107" t="n">
        <f aca="false">IF($C1282="","",$D1282*$E1282)</f>
        <v>81.662</v>
      </c>
      <c r="G1282" s="107" t="n">
        <f aca="false">IF($C1282="","",$D1282*IFERROR(INDEX('تحليل التكلفة والسعر'!$C$2:$C$700,MATCH($C1282,'تحليل التكلفة والسعر'!$B$2:$B$700,0)),0))</f>
        <v>45.7676633055</v>
      </c>
      <c r="H1282" s="104" t="s">
        <v>719</v>
      </c>
    </row>
    <row r="1283" customFormat="false" ht="15" hidden="false" customHeight="false" outlineLevel="0" collapsed="false">
      <c r="A1283" s="103" t="n">
        <v>46305</v>
      </c>
      <c r="B1283" s="104" t="s">
        <v>33</v>
      </c>
      <c r="C1283" s="104" t="s">
        <v>529</v>
      </c>
      <c r="D1283" s="105" t="n">
        <v>0.5833</v>
      </c>
      <c r="E1283" s="106" t="n">
        <v>140</v>
      </c>
      <c r="F1283" s="107" t="n">
        <f aca="false">IF($C1283="","",$D1283*$E1283)</f>
        <v>81.662</v>
      </c>
      <c r="G1283" s="107" t="n">
        <f aca="false">IF($C1283="","",$D1283*IFERROR(INDEX('تحليل التكلفة والسعر'!$C$2:$C$700,MATCH($C1283,'تحليل التكلفة والسعر'!$B$2:$B$700,0)),0))</f>
        <v>45.7676633055</v>
      </c>
      <c r="H1283" s="104" t="s">
        <v>719</v>
      </c>
    </row>
    <row r="1284" customFormat="false" ht="15" hidden="false" customHeight="false" outlineLevel="0" collapsed="false">
      <c r="A1284" s="103" t="n">
        <v>46306</v>
      </c>
      <c r="B1284" s="104" t="s">
        <v>33</v>
      </c>
      <c r="C1284" s="104" t="s">
        <v>529</v>
      </c>
      <c r="D1284" s="105" t="n">
        <v>0.5833</v>
      </c>
      <c r="E1284" s="106" t="n">
        <v>140</v>
      </c>
      <c r="F1284" s="107" t="n">
        <f aca="false">IF($C1284="","",$D1284*$E1284)</f>
        <v>81.662</v>
      </c>
      <c r="G1284" s="107" t="n">
        <f aca="false">IF($C1284="","",$D1284*IFERROR(INDEX('تحليل التكلفة والسعر'!$C$2:$C$700,MATCH($C1284,'تحليل التكلفة والسعر'!$B$2:$B$700,0)),0))</f>
        <v>45.7676633055</v>
      </c>
      <c r="H1284" s="104" t="s">
        <v>719</v>
      </c>
    </row>
    <row r="1285" customFormat="false" ht="15" hidden="false" customHeight="false" outlineLevel="0" collapsed="false">
      <c r="A1285" s="103" t="n">
        <v>46307</v>
      </c>
      <c r="B1285" s="104" t="s">
        <v>33</v>
      </c>
      <c r="C1285" s="104" t="s">
        <v>529</v>
      </c>
      <c r="D1285" s="105" t="n">
        <v>0.5833</v>
      </c>
      <c r="E1285" s="106" t="n">
        <v>140</v>
      </c>
      <c r="F1285" s="107" t="n">
        <f aca="false">IF($C1285="","",$D1285*$E1285)</f>
        <v>81.662</v>
      </c>
      <c r="G1285" s="107" t="n">
        <f aca="false">IF($C1285="","",$D1285*IFERROR(INDEX('تحليل التكلفة والسعر'!$C$2:$C$700,MATCH($C1285,'تحليل التكلفة والسعر'!$B$2:$B$700,0)),0))</f>
        <v>45.7676633055</v>
      </c>
      <c r="H1285" s="104" t="s">
        <v>719</v>
      </c>
    </row>
    <row r="1286" customFormat="false" ht="15" hidden="false" customHeight="false" outlineLevel="0" collapsed="false">
      <c r="A1286" s="103" t="n">
        <v>46296</v>
      </c>
      <c r="B1286" s="104" t="s">
        <v>33</v>
      </c>
      <c r="C1286" s="104" t="s">
        <v>554</v>
      </c>
      <c r="D1286" s="105" t="n">
        <v>0.0833</v>
      </c>
      <c r="E1286" s="106" t="n">
        <v>140</v>
      </c>
      <c r="F1286" s="107" t="n">
        <f aca="false">IF($C1286="","",$D1286*$E1286)</f>
        <v>11.662</v>
      </c>
      <c r="G1286" s="107" t="n">
        <f aca="false">IF($C1286="","",$D1286*IFERROR(INDEX('تحليل التكلفة والسعر'!$C$2:$C$700,MATCH($C1286,'تحليل التكلفة والسعر'!$B$2:$B$700,0)),0))</f>
        <v>5.4530958055</v>
      </c>
      <c r="H1286" s="104" t="s">
        <v>719</v>
      </c>
    </row>
    <row r="1287" customFormat="false" ht="15" hidden="false" customHeight="false" outlineLevel="0" collapsed="false">
      <c r="A1287" s="103" t="n">
        <v>46297</v>
      </c>
      <c r="B1287" s="104" t="s">
        <v>33</v>
      </c>
      <c r="C1287" s="104" t="s">
        <v>554</v>
      </c>
      <c r="D1287" s="105" t="n">
        <v>0.0833</v>
      </c>
      <c r="E1287" s="106" t="n">
        <v>140</v>
      </c>
      <c r="F1287" s="107" t="n">
        <f aca="false">IF($C1287="","",$D1287*$E1287)</f>
        <v>11.662</v>
      </c>
      <c r="G1287" s="107" t="n">
        <f aca="false">IF($C1287="","",$D1287*IFERROR(INDEX('تحليل التكلفة والسعر'!$C$2:$C$700,MATCH($C1287,'تحليل التكلفة والسعر'!$B$2:$B$700,0)),0))</f>
        <v>5.4530958055</v>
      </c>
      <c r="H1287" s="104" t="s">
        <v>719</v>
      </c>
    </row>
    <row r="1288" customFormat="false" ht="15" hidden="false" customHeight="false" outlineLevel="0" collapsed="false">
      <c r="A1288" s="103" t="n">
        <v>46298</v>
      </c>
      <c r="B1288" s="104" t="s">
        <v>33</v>
      </c>
      <c r="C1288" s="104" t="s">
        <v>554</v>
      </c>
      <c r="D1288" s="105" t="n">
        <v>0.0833</v>
      </c>
      <c r="E1288" s="106" t="n">
        <v>140</v>
      </c>
      <c r="F1288" s="107" t="n">
        <f aca="false">IF($C1288="","",$D1288*$E1288)</f>
        <v>11.662</v>
      </c>
      <c r="G1288" s="107" t="n">
        <f aca="false">IF($C1288="","",$D1288*IFERROR(INDEX('تحليل التكلفة والسعر'!$C$2:$C$700,MATCH($C1288,'تحليل التكلفة والسعر'!$B$2:$B$700,0)),0))</f>
        <v>5.4530958055</v>
      </c>
      <c r="H1288" s="104" t="s">
        <v>719</v>
      </c>
    </row>
    <row r="1289" customFormat="false" ht="15" hidden="false" customHeight="false" outlineLevel="0" collapsed="false">
      <c r="A1289" s="103" t="n">
        <v>46299</v>
      </c>
      <c r="B1289" s="104" t="s">
        <v>33</v>
      </c>
      <c r="C1289" s="104" t="s">
        <v>554</v>
      </c>
      <c r="D1289" s="105" t="n">
        <v>0.0833</v>
      </c>
      <c r="E1289" s="106" t="n">
        <v>140</v>
      </c>
      <c r="F1289" s="107" t="n">
        <f aca="false">IF($C1289="","",$D1289*$E1289)</f>
        <v>11.662</v>
      </c>
      <c r="G1289" s="107" t="n">
        <f aca="false">IF($C1289="","",$D1289*IFERROR(INDEX('تحليل التكلفة والسعر'!$C$2:$C$700,MATCH($C1289,'تحليل التكلفة والسعر'!$B$2:$B$700,0)),0))</f>
        <v>5.4530958055</v>
      </c>
      <c r="H1289" s="104" t="s">
        <v>719</v>
      </c>
    </row>
    <row r="1290" customFormat="false" ht="15" hidden="false" customHeight="false" outlineLevel="0" collapsed="false">
      <c r="A1290" s="103" t="n">
        <v>46300</v>
      </c>
      <c r="B1290" s="104" t="s">
        <v>33</v>
      </c>
      <c r="C1290" s="104" t="s">
        <v>554</v>
      </c>
      <c r="D1290" s="105" t="n">
        <v>0.0833</v>
      </c>
      <c r="E1290" s="106" t="n">
        <v>140</v>
      </c>
      <c r="F1290" s="107" t="n">
        <f aca="false">IF($C1290="","",$D1290*$E1290)</f>
        <v>11.662</v>
      </c>
      <c r="G1290" s="107" t="n">
        <f aca="false">IF($C1290="","",$D1290*IFERROR(INDEX('تحليل التكلفة والسعر'!$C$2:$C$700,MATCH($C1290,'تحليل التكلفة والسعر'!$B$2:$B$700,0)),0))</f>
        <v>5.4530958055</v>
      </c>
      <c r="H1290" s="104" t="s">
        <v>719</v>
      </c>
    </row>
    <row r="1291" customFormat="false" ht="15" hidden="false" customHeight="false" outlineLevel="0" collapsed="false">
      <c r="A1291" s="103" t="n">
        <v>46301</v>
      </c>
      <c r="B1291" s="104" t="s">
        <v>33</v>
      </c>
      <c r="C1291" s="104" t="s">
        <v>554</v>
      </c>
      <c r="D1291" s="105" t="n">
        <v>0.0833</v>
      </c>
      <c r="E1291" s="106" t="n">
        <v>140</v>
      </c>
      <c r="F1291" s="107" t="n">
        <f aca="false">IF($C1291="","",$D1291*$E1291)</f>
        <v>11.662</v>
      </c>
      <c r="G1291" s="107" t="n">
        <f aca="false">IF($C1291="","",$D1291*IFERROR(INDEX('تحليل التكلفة والسعر'!$C$2:$C$700,MATCH($C1291,'تحليل التكلفة والسعر'!$B$2:$B$700,0)),0))</f>
        <v>5.4530958055</v>
      </c>
      <c r="H1291" s="104" t="s">
        <v>719</v>
      </c>
    </row>
    <row r="1292" customFormat="false" ht="15" hidden="false" customHeight="false" outlineLevel="0" collapsed="false">
      <c r="A1292" s="103" t="n">
        <v>46302</v>
      </c>
      <c r="B1292" s="104" t="s">
        <v>33</v>
      </c>
      <c r="C1292" s="104" t="s">
        <v>554</v>
      </c>
      <c r="D1292" s="105" t="n">
        <v>0.0833</v>
      </c>
      <c r="E1292" s="106" t="n">
        <v>140</v>
      </c>
      <c r="F1292" s="107" t="n">
        <f aca="false">IF($C1292="","",$D1292*$E1292)</f>
        <v>11.662</v>
      </c>
      <c r="G1292" s="107" t="n">
        <f aca="false">IF($C1292="","",$D1292*IFERROR(INDEX('تحليل التكلفة والسعر'!$C$2:$C$700,MATCH($C1292,'تحليل التكلفة والسعر'!$B$2:$B$700,0)),0))</f>
        <v>5.4530958055</v>
      </c>
      <c r="H1292" s="104" t="s">
        <v>719</v>
      </c>
    </row>
    <row r="1293" customFormat="false" ht="15" hidden="false" customHeight="false" outlineLevel="0" collapsed="false">
      <c r="A1293" s="103" t="n">
        <v>46303</v>
      </c>
      <c r="B1293" s="104" t="s">
        <v>33</v>
      </c>
      <c r="C1293" s="104" t="s">
        <v>554</v>
      </c>
      <c r="D1293" s="105" t="n">
        <v>0.0833</v>
      </c>
      <c r="E1293" s="106" t="n">
        <v>140</v>
      </c>
      <c r="F1293" s="107" t="n">
        <f aca="false">IF($C1293="","",$D1293*$E1293)</f>
        <v>11.662</v>
      </c>
      <c r="G1293" s="107" t="n">
        <f aca="false">IF($C1293="","",$D1293*IFERROR(INDEX('تحليل التكلفة والسعر'!$C$2:$C$700,MATCH($C1293,'تحليل التكلفة والسعر'!$B$2:$B$700,0)),0))</f>
        <v>5.4530958055</v>
      </c>
      <c r="H1293" s="104" t="s">
        <v>719</v>
      </c>
    </row>
    <row r="1294" customFormat="false" ht="15" hidden="false" customHeight="false" outlineLevel="0" collapsed="false">
      <c r="A1294" s="103" t="n">
        <v>46304</v>
      </c>
      <c r="B1294" s="104" t="s">
        <v>33</v>
      </c>
      <c r="C1294" s="104" t="s">
        <v>554</v>
      </c>
      <c r="D1294" s="105" t="n">
        <v>0.0833</v>
      </c>
      <c r="E1294" s="106" t="n">
        <v>140</v>
      </c>
      <c r="F1294" s="107" t="n">
        <f aca="false">IF($C1294="","",$D1294*$E1294)</f>
        <v>11.662</v>
      </c>
      <c r="G1294" s="107" t="n">
        <f aca="false">IF($C1294="","",$D1294*IFERROR(INDEX('تحليل التكلفة والسعر'!$C$2:$C$700,MATCH($C1294,'تحليل التكلفة والسعر'!$B$2:$B$700,0)),0))</f>
        <v>5.4530958055</v>
      </c>
      <c r="H1294" s="104" t="s">
        <v>719</v>
      </c>
    </row>
    <row r="1295" customFormat="false" ht="15" hidden="false" customHeight="false" outlineLevel="0" collapsed="false">
      <c r="A1295" s="103" t="n">
        <v>46305</v>
      </c>
      <c r="B1295" s="104" t="s">
        <v>33</v>
      </c>
      <c r="C1295" s="104" t="s">
        <v>554</v>
      </c>
      <c r="D1295" s="105" t="n">
        <v>0.0833</v>
      </c>
      <c r="E1295" s="106" t="n">
        <v>140</v>
      </c>
      <c r="F1295" s="107" t="n">
        <f aca="false">IF($C1295="","",$D1295*$E1295)</f>
        <v>11.662</v>
      </c>
      <c r="G1295" s="107" t="n">
        <f aca="false">IF($C1295="","",$D1295*IFERROR(INDEX('تحليل التكلفة والسعر'!$C$2:$C$700,MATCH($C1295,'تحليل التكلفة والسعر'!$B$2:$B$700,0)),0))</f>
        <v>5.4530958055</v>
      </c>
      <c r="H1295" s="104" t="s">
        <v>719</v>
      </c>
    </row>
    <row r="1296" customFormat="false" ht="15" hidden="false" customHeight="false" outlineLevel="0" collapsed="false">
      <c r="A1296" s="103" t="n">
        <v>46306</v>
      </c>
      <c r="B1296" s="104" t="s">
        <v>33</v>
      </c>
      <c r="C1296" s="104" t="s">
        <v>554</v>
      </c>
      <c r="D1296" s="105" t="n">
        <v>0.0833</v>
      </c>
      <c r="E1296" s="106" t="n">
        <v>140</v>
      </c>
      <c r="F1296" s="107" t="n">
        <f aca="false">IF($C1296="","",$D1296*$E1296)</f>
        <v>11.662</v>
      </c>
      <c r="G1296" s="107" t="n">
        <f aca="false">IF($C1296="","",$D1296*IFERROR(INDEX('تحليل التكلفة والسعر'!$C$2:$C$700,MATCH($C1296,'تحليل التكلفة والسعر'!$B$2:$B$700,0)),0))</f>
        <v>5.4530958055</v>
      </c>
      <c r="H1296" s="104" t="s">
        <v>719</v>
      </c>
    </row>
    <row r="1297" customFormat="false" ht="15" hidden="false" customHeight="false" outlineLevel="0" collapsed="false">
      <c r="A1297" s="103" t="n">
        <v>46307</v>
      </c>
      <c r="B1297" s="104" t="s">
        <v>33</v>
      </c>
      <c r="C1297" s="104" t="s">
        <v>554</v>
      </c>
      <c r="D1297" s="105" t="n">
        <v>0.0833</v>
      </c>
      <c r="E1297" s="106" t="n">
        <v>140</v>
      </c>
      <c r="F1297" s="107" t="n">
        <f aca="false">IF($C1297="","",$D1297*$E1297)</f>
        <v>11.662</v>
      </c>
      <c r="G1297" s="107" t="n">
        <f aca="false">IF($C1297="","",$D1297*IFERROR(INDEX('تحليل التكلفة والسعر'!$C$2:$C$700,MATCH($C1297,'تحليل التكلفة والسعر'!$B$2:$B$700,0)),0))</f>
        <v>5.4530958055</v>
      </c>
      <c r="H1297" s="104" t="s">
        <v>719</v>
      </c>
    </row>
    <row r="1298" customFormat="false" ht="15" hidden="false" customHeight="false" outlineLevel="0" collapsed="false">
      <c r="A1298" s="103" t="n">
        <v>46296</v>
      </c>
      <c r="B1298" s="104" t="s">
        <v>33</v>
      </c>
      <c r="C1298" s="104" t="s">
        <v>452</v>
      </c>
      <c r="D1298" s="105" t="n">
        <v>0.1667</v>
      </c>
      <c r="E1298" s="106" t="n">
        <v>180</v>
      </c>
      <c r="F1298" s="107" t="n">
        <f aca="false">IF($C1298="","",$D1298*$E1298)</f>
        <v>30.006</v>
      </c>
      <c r="G1298" s="107" t="n">
        <f aca="false">IF($C1298="","",$D1298*IFERROR(INDEX('تحليل التكلفة والسعر'!$C$2:$C$700,MATCH($C1298,'تحليل التكلفة والسعر'!$B$2:$B$700,0)),0))</f>
        <v>15.0931905345</v>
      </c>
      <c r="H1298" s="104" t="s">
        <v>719</v>
      </c>
    </row>
    <row r="1299" customFormat="false" ht="15" hidden="false" customHeight="false" outlineLevel="0" collapsed="false">
      <c r="A1299" s="103" t="n">
        <v>46297</v>
      </c>
      <c r="B1299" s="104" t="s">
        <v>33</v>
      </c>
      <c r="C1299" s="104" t="s">
        <v>452</v>
      </c>
      <c r="D1299" s="105" t="n">
        <v>0.1667</v>
      </c>
      <c r="E1299" s="106" t="n">
        <v>180</v>
      </c>
      <c r="F1299" s="107" t="n">
        <f aca="false">IF($C1299="","",$D1299*$E1299)</f>
        <v>30.006</v>
      </c>
      <c r="G1299" s="107" t="n">
        <f aca="false">IF($C1299="","",$D1299*IFERROR(INDEX('تحليل التكلفة والسعر'!$C$2:$C$700,MATCH($C1299,'تحليل التكلفة والسعر'!$B$2:$B$700,0)),0))</f>
        <v>15.0931905345</v>
      </c>
      <c r="H1299" s="104" t="s">
        <v>719</v>
      </c>
    </row>
    <row r="1300" customFormat="false" ht="15" hidden="false" customHeight="false" outlineLevel="0" collapsed="false">
      <c r="A1300" s="103" t="n">
        <v>46298</v>
      </c>
      <c r="B1300" s="104" t="s">
        <v>33</v>
      </c>
      <c r="C1300" s="104" t="s">
        <v>452</v>
      </c>
      <c r="D1300" s="105" t="n">
        <v>0.1667</v>
      </c>
      <c r="E1300" s="106" t="n">
        <v>180</v>
      </c>
      <c r="F1300" s="107" t="n">
        <f aca="false">IF($C1300="","",$D1300*$E1300)</f>
        <v>30.006</v>
      </c>
      <c r="G1300" s="107" t="n">
        <f aca="false">IF($C1300="","",$D1300*IFERROR(INDEX('تحليل التكلفة والسعر'!$C$2:$C$700,MATCH($C1300,'تحليل التكلفة والسعر'!$B$2:$B$700,0)),0))</f>
        <v>15.0931905345</v>
      </c>
      <c r="H1300" s="104" t="s">
        <v>719</v>
      </c>
    </row>
    <row r="1301" customFormat="false" ht="15" hidden="false" customHeight="false" outlineLevel="0" collapsed="false">
      <c r="A1301" s="103" t="n">
        <v>46299</v>
      </c>
      <c r="B1301" s="104" t="s">
        <v>33</v>
      </c>
      <c r="C1301" s="104" t="s">
        <v>452</v>
      </c>
      <c r="D1301" s="105" t="n">
        <v>0.1667</v>
      </c>
      <c r="E1301" s="106" t="n">
        <v>180</v>
      </c>
      <c r="F1301" s="107" t="n">
        <f aca="false">IF($C1301="","",$D1301*$E1301)</f>
        <v>30.006</v>
      </c>
      <c r="G1301" s="107" t="n">
        <f aca="false">IF($C1301="","",$D1301*IFERROR(INDEX('تحليل التكلفة والسعر'!$C$2:$C$700,MATCH($C1301,'تحليل التكلفة والسعر'!$B$2:$B$700,0)),0))</f>
        <v>15.0931905345</v>
      </c>
      <c r="H1301" s="104" t="s">
        <v>719</v>
      </c>
    </row>
    <row r="1302" customFormat="false" ht="15" hidden="false" customHeight="false" outlineLevel="0" collapsed="false">
      <c r="A1302" s="103" t="n">
        <v>46300</v>
      </c>
      <c r="B1302" s="104" t="s">
        <v>33</v>
      </c>
      <c r="C1302" s="104" t="s">
        <v>452</v>
      </c>
      <c r="D1302" s="105" t="n">
        <v>0.1667</v>
      </c>
      <c r="E1302" s="106" t="n">
        <v>180</v>
      </c>
      <c r="F1302" s="107" t="n">
        <f aca="false">IF($C1302="","",$D1302*$E1302)</f>
        <v>30.006</v>
      </c>
      <c r="G1302" s="107" t="n">
        <f aca="false">IF($C1302="","",$D1302*IFERROR(INDEX('تحليل التكلفة والسعر'!$C$2:$C$700,MATCH($C1302,'تحليل التكلفة والسعر'!$B$2:$B$700,0)),0))</f>
        <v>15.0931905345</v>
      </c>
      <c r="H1302" s="104" t="s">
        <v>719</v>
      </c>
    </row>
    <row r="1303" customFormat="false" ht="15" hidden="false" customHeight="false" outlineLevel="0" collapsed="false">
      <c r="A1303" s="103" t="n">
        <v>46301</v>
      </c>
      <c r="B1303" s="104" t="s">
        <v>33</v>
      </c>
      <c r="C1303" s="104" t="s">
        <v>452</v>
      </c>
      <c r="D1303" s="105" t="n">
        <v>0.1667</v>
      </c>
      <c r="E1303" s="106" t="n">
        <v>180</v>
      </c>
      <c r="F1303" s="107" t="n">
        <f aca="false">IF($C1303="","",$D1303*$E1303)</f>
        <v>30.006</v>
      </c>
      <c r="G1303" s="107" t="n">
        <f aca="false">IF($C1303="","",$D1303*IFERROR(INDEX('تحليل التكلفة والسعر'!$C$2:$C$700,MATCH($C1303,'تحليل التكلفة والسعر'!$B$2:$B$700,0)),0))</f>
        <v>15.0931905345</v>
      </c>
      <c r="H1303" s="104" t="s">
        <v>719</v>
      </c>
    </row>
    <row r="1304" customFormat="false" ht="15" hidden="false" customHeight="false" outlineLevel="0" collapsed="false">
      <c r="A1304" s="103" t="n">
        <v>46302</v>
      </c>
      <c r="B1304" s="104" t="s">
        <v>33</v>
      </c>
      <c r="C1304" s="104" t="s">
        <v>452</v>
      </c>
      <c r="D1304" s="105" t="n">
        <v>0.1667</v>
      </c>
      <c r="E1304" s="106" t="n">
        <v>180</v>
      </c>
      <c r="F1304" s="107" t="n">
        <f aca="false">IF($C1304="","",$D1304*$E1304)</f>
        <v>30.006</v>
      </c>
      <c r="G1304" s="107" t="n">
        <f aca="false">IF($C1304="","",$D1304*IFERROR(INDEX('تحليل التكلفة والسعر'!$C$2:$C$700,MATCH($C1304,'تحليل التكلفة والسعر'!$B$2:$B$700,0)),0))</f>
        <v>15.0931905345</v>
      </c>
      <c r="H1304" s="104" t="s">
        <v>719</v>
      </c>
    </row>
    <row r="1305" customFormat="false" ht="15" hidden="false" customHeight="false" outlineLevel="0" collapsed="false">
      <c r="A1305" s="103" t="n">
        <v>46303</v>
      </c>
      <c r="B1305" s="104" t="s">
        <v>33</v>
      </c>
      <c r="C1305" s="104" t="s">
        <v>452</v>
      </c>
      <c r="D1305" s="105" t="n">
        <v>0.1667</v>
      </c>
      <c r="E1305" s="106" t="n">
        <v>180</v>
      </c>
      <c r="F1305" s="107" t="n">
        <f aca="false">IF($C1305="","",$D1305*$E1305)</f>
        <v>30.006</v>
      </c>
      <c r="G1305" s="107" t="n">
        <f aca="false">IF($C1305="","",$D1305*IFERROR(INDEX('تحليل التكلفة والسعر'!$C$2:$C$700,MATCH($C1305,'تحليل التكلفة والسعر'!$B$2:$B$700,0)),0))</f>
        <v>15.0931905345</v>
      </c>
      <c r="H1305" s="104" t="s">
        <v>719</v>
      </c>
    </row>
    <row r="1306" customFormat="false" ht="15" hidden="false" customHeight="false" outlineLevel="0" collapsed="false">
      <c r="A1306" s="103" t="n">
        <v>46304</v>
      </c>
      <c r="B1306" s="104" t="s">
        <v>33</v>
      </c>
      <c r="C1306" s="104" t="s">
        <v>452</v>
      </c>
      <c r="D1306" s="105" t="n">
        <v>0.1667</v>
      </c>
      <c r="E1306" s="106" t="n">
        <v>180</v>
      </c>
      <c r="F1306" s="107" t="n">
        <f aca="false">IF($C1306="","",$D1306*$E1306)</f>
        <v>30.006</v>
      </c>
      <c r="G1306" s="107" t="n">
        <f aca="false">IF($C1306="","",$D1306*IFERROR(INDEX('تحليل التكلفة والسعر'!$C$2:$C$700,MATCH($C1306,'تحليل التكلفة والسعر'!$B$2:$B$700,0)),0))</f>
        <v>15.0931905345</v>
      </c>
      <c r="H1306" s="104" t="s">
        <v>719</v>
      </c>
    </row>
    <row r="1307" customFormat="false" ht="15" hidden="false" customHeight="false" outlineLevel="0" collapsed="false">
      <c r="A1307" s="103" t="n">
        <v>46305</v>
      </c>
      <c r="B1307" s="104" t="s">
        <v>33</v>
      </c>
      <c r="C1307" s="104" t="s">
        <v>452</v>
      </c>
      <c r="D1307" s="105" t="n">
        <v>0.1667</v>
      </c>
      <c r="E1307" s="106" t="n">
        <v>180</v>
      </c>
      <c r="F1307" s="107" t="n">
        <f aca="false">IF($C1307="","",$D1307*$E1307)</f>
        <v>30.006</v>
      </c>
      <c r="G1307" s="107" t="n">
        <f aca="false">IF($C1307="","",$D1307*IFERROR(INDEX('تحليل التكلفة والسعر'!$C$2:$C$700,MATCH($C1307,'تحليل التكلفة والسعر'!$B$2:$B$700,0)),0))</f>
        <v>15.0931905345</v>
      </c>
      <c r="H1307" s="104" t="s">
        <v>719</v>
      </c>
    </row>
    <row r="1308" customFormat="false" ht="15" hidden="false" customHeight="false" outlineLevel="0" collapsed="false">
      <c r="A1308" s="103" t="n">
        <v>46306</v>
      </c>
      <c r="B1308" s="104" t="s">
        <v>33</v>
      </c>
      <c r="C1308" s="104" t="s">
        <v>452</v>
      </c>
      <c r="D1308" s="105" t="n">
        <v>0.1667</v>
      </c>
      <c r="E1308" s="106" t="n">
        <v>180</v>
      </c>
      <c r="F1308" s="107" t="n">
        <f aca="false">IF($C1308="","",$D1308*$E1308)</f>
        <v>30.006</v>
      </c>
      <c r="G1308" s="107" t="n">
        <f aca="false">IF($C1308="","",$D1308*IFERROR(INDEX('تحليل التكلفة والسعر'!$C$2:$C$700,MATCH($C1308,'تحليل التكلفة والسعر'!$B$2:$B$700,0)),0))</f>
        <v>15.0931905345</v>
      </c>
      <c r="H1308" s="104" t="s">
        <v>719</v>
      </c>
    </row>
    <row r="1309" customFormat="false" ht="15" hidden="false" customHeight="false" outlineLevel="0" collapsed="false">
      <c r="A1309" s="103" t="n">
        <v>46307</v>
      </c>
      <c r="B1309" s="104" t="s">
        <v>33</v>
      </c>
      <c r="C1309" s="104" t="s">
        <v>452</v>
      </c>
      <c r="D1309" s="105" t="n">
        <v>0.1667</v>
      </c>
      <c r="E1309" s="106" t="n">
        <v>180</v>
      </c>
      <c r="F1309" s="107" t="n">
        <f aca="false">IF($C1309="","",$D1309*$E1309)</f>
        <v>30.006</v>
      </c>
      <c r="G1309" s="107" t="n">
        <f aca="false">IF($C1309="","",$D1309*IFERROR(INDEX('تحليل التكلفة والسعر'!$C$2:$C$700,MATCH($C1309,'تحليل التكلفة والسعر'!$B$2:$B$700,0)),0))</f>
        <v>15.0931905345</v>
      </c>
      <c r="H1309" s="104" t="s">
        <v>719</v>
      </c>
    </row>
    <row r="1310" customFormat="false" ht="15" hidden="false" customHeight="false" outlineLevel="0" collapsed="false">
      <c r="A1310" s="103" t="n">
        <v>46296</v>
      </c>
      <c r="B1310" s="104" t="s">
        <v>33</v>
      </c>
      <c r="C1310" s="104" t="s">
        <v>467</v>
      </c>
      <c r="D1310" s="105" t="n">
        <v>0.1667</v>
      </c>
      <c r="E1310" s="106" t="n">
        <v>180</v>
      </c>
      <c r="F1310" s="107" t="n">
        <f aca="false">IF($C1310="","",$D1310*$E1310)</f>
        <v>30.006</v>
      </c>
      <c r="G1310" s="107" t="n">
        <f aca="false">IF($C1310="","",$D1310*IFERROR(INDEX('تحليل التكلفة والسعر'!$C$2:$C$700,MATCH($C1310,'تحليل التكلفة والسعر'!$B$2:$B$700,0)),0))</f>
        <v>15.6766405345</v>
      </c>
      <c r="H1310" s="104" t="s">
        <v>719</v>
      </c>
    </row>
    <row r="1311" customFormat="false" ht="15" hidden="false" customHeight="false" outlineLevel="0" collapsed="false">
      <c r="A1311" s="103" t="n">
        <v>46297</v>
      </c>
      <c r="B1311" s="104" t="s">
        <v>33</v>
      </c>
      <c r="C1311" s="104" t="s">
        <v>467</v>
      </c>
      <c r="D1311" s="105" t="n">
        <v>0.1667</v>
      </c>
      <c r="E1311" s="106" t="n">
        <v>180</v>
      </c>
      <c r="F1311" s="107" t="n">
        <f aca="false">IF($C1311="","",$D1311*$E1311)</f>
        <v>30.006</v>
      </c>
      <c r="G1311" s="107" t="n">
        <f aca="false">IF($C1311="","",$D1311*IFERROR(INDEX('تحليل التكلفة والسعر'!$C$2:$C$700,MATCH($C1311,'تحليل التكلفة والسعر'!$B$2:$B$700,0)),0))</f>
        <v>15.6766405345</v>
      </c>
      <c r="H1311" s="104" t="s">
        <v>719</v>
      </c>
    </row>
    <row r="1312" customFormat="false" ht="15" hidden="false" customHeight="false" outlineLevel="0" collapsed="false">
      <c r="A1312" s="103" t="n">
        <v>46298</v>
      </c>
      <c r="B1312" s="104" t="s">
        <v>33</v>
      </c>
      <c r="C1312" s="104" t="s">
        <v>467</v>
      </c>
      <c r="D1312" s="105" t="n">
        <v>0.1667</v>
      </c>
      <c r="E1312" s="106" t="n">
        <v>180</v>
      </c>
      <c r="F1312" s="107" t="n">
        <f aca="false">IF($C1312="","",$D1312*$E1312)</f>
        <v>30.006</v>
      </c>
      <c r="G1312" s="107" t="n">
        <f aca="false">IF($C1312="","",$D1312*IFERROR(INDEX('تحليل التكلفة والسعر'!$C$2:$C$700,MATCH($C1312,'تحليل التكلفة والسعر'!$B$2:$B$700,0)),0))</f>
        <v>15.6766405345</v>
      </c>
      <c r="H1312" s="104" t="s">
        <v>719</v>
      </c>
    </row>
    <row r="1313" customFormat="false" ht="15" hidden="false" customHeight="false" outlineLevel="0" collapsed="false">
      <c r="A1313" s="103" t="n">
        <v>46299</v>
      </c>
      <c r="B1313" s="104" t="s">
        <v>33</v>
      </c>
      <c r="C1313" s="104" t="s">
        <v>467</v>
      </c>
      <c r="D1313" s="105" t="n">
        <v>0.1667</v>
      </c>
      <c r="E1313" s="106" t="n">
        <v>180</v>
      </c>
      <c r="F1313" s="107" t="n">
        <f aca="false">IF($C1313="","",$D1313*$E1313)</f>
        <v>30.006</v>
      </c>
      <c r="G1313" s="107" t="n">
        <f aca="false">IF($C1313="","",$D1313*IFERROR(INDEX('تحليل التكلفة والسعر'!$C$2:$C$700,MATCH($C1313,'تحليل التكلفة والسعر'!$B$2:$B$700,0)),0))</f>
        <v>15.6766405345</v>
      </c>
      <c r="H1313" s="104" t="s">
        <v>719</v>
      </c>
    </row>
    <row r="1314" customFormat="false" ht="15" hidden="false" customHeight="false" outlineLevel="0" collapsed="false">
      <c r="A1314" s="103" t="n">
        <v>46300</v>
      </c>
      <c r="B1314" s="104" t="s">
        <v>33</v>
      </c>
      <c r="C1314" s="104" t="s">
        <v>467</v>
      </c>
      <c r="D1314" s="105" t="n">
        <v>0.1667</v>
      </c>
      <c r="E1314" s="106" t="n">
        <v>180</v>
      </c>
      <c r="F1314" s="107" t="n">
        <f aca="false">IF($C1314="","",$D1314*$E1314)</f>
        <v>30.006</v>
      </c>
      <c r="G1314" s="107" t="n">
        <f aca="false">IF($C1314="","",$D1314*IFERROR(INDEX('تحليل التكلفة والسعر'!$C$2:$C$700,MATCH($C1314,'تحليل التكلفة والسعر'!$B$2:$B$700,0)),0))</f>
        <v>15.6766405345</v>
      </c>
      <c r="H1314" s="104" t="s">
        <v>719</v>
      </c>
    </row>
    <row r="1315" customFormat="false" ht="15" hidden="false" customHeight="false" outlineLevel="0" collapsed="false">
      <c r="A1315" s="103" t="n">
        <v>46301</v>
      </c>
      <c r="B1315" s="104" t="s">
        <v>33</v>
      </c>
      <c r="C1315" s="104" t="s">
        <v>467</v>
      </c>
      <c r="D1315" s="105" t="n">
        <v>0.1667</v>
      </c>
      <c r="E1315" s="106" t="n">
        <v>180</v>
      </c>
      <c r="F1315" s="107" t="n">
        <f aca="false">IF($C1315="","",$D1315*$E1315)</f>
        <v>30.006</v>
      </c>
      <c r="G1315" s="107" t="n">
        <f aca="false">IF($C1315="","",$D1315*IFERROR(INDEX('تحليل التكلفة والسعر'!$C$2:$C$700,MATCH($C1315,'تحليل التكلفة والسعر'!$B$2:$B$700,0)),0))</f>
        <v>15.6766405345</v>
      </c>
      <c r="H1315" s="104" t="s">
        <v>719</v>
      </c>
    </row>
    <row r="1316" customFormat="false" ht="15" hidden="false" customHeight="false" outlineLevel="0" collapsed="false">
      <c r="A1316" s="103" t="n">
        <v>46302</v>
      </c>
      <c r="B1316" s="104" t="s">
        <v>33</v>
      </c>
      <c r="C1316" s="104" t="s">
        <v>467</v>
      </c>
      <c r="D1316" s="105" t="n">
        <v>0.1667</v>
      </c>
      <c r="E1316" s="106" t="n">
        <v>180</v>
      </c>
      <c r="F1316" s="107" t="n">
        <f aca="false">IF($C1316="","",$D1316*$E1316)</f>
        <v>30.006</v>
      </c>
      <c r="G1316" s="107" t="n">
        <f aca="false">IF($C1316="","",$D1316*IFERROR(INDEX('تحليل التكلفة والسعر'!$C$2:$C$700,MATCH($C1316,'تحليل التكلفة والسعر'!$B$2:$B$700,0)),0))</f>
        <v>15.6766405345</v>
      </c>
      <c r="H1316" s="104" t="s">
        <v>719</v>
      </c>
    </row>
    <row r="1317" customFormat="false" ht="15" hidden="false" customHeight="false" outlineLevel="0" collapsed="false">
      <c r="A1317" s="103" t="n">
        <v>46303</v>
      </c>
      <c r="B1317" s="104" t="s">
        <v>33</v>
      </c>
      <c r="C1317" s="104" t="s">
        <v>467</v>
      </c>
      <c r="D1317" s="105" t="n">
        <v>0.1667</v>
      </c>
      <c r="E1317" s="106" t="n">
        <v>180</v>
      </c>
      <c r="F1317" s="107" t="n">
        <f aca="false">IF($C1317="","",$D1317*$E1317)</f>
        <v>30.006</v>
      </c>
      <c r="G1317" s="107" t="n">
        <f aca="false">IF($C1317="","",$D1317*IFERROR(INDEX('تحليل التكلفة والسعر'!$C$2:$C$700,MATCH($C1317,'تحليل التكلفة والسعر'!$B$2:$B$700,0)),0))</f>
        <v>15.6766405345</v>
      </c>
      <c r="H1317" s="104" t="s">
        <v>719</v>
      </c>
    </row>
    <row r="1318" customFormat="false" ht="15" hidden="false" customHeight="false" outlineLevel="0" collapsed="false">
      <c r="A1318" s="103" t="n">
        <v>46304</v>
      </c>
      <c r="B1318" s="104" t="s">
        <v>33</v>
      </c>
      <c r="C1318" s="104" t="s">
        <v>467</v>
      </c>
      <c r="D1318" s="105" t="n">
        <v>0.1667</v>
      </c>
      <c r="E1318" s="106" t="n">
        <v>180</v>
      </c>
      <c r="F1318" s="107" t="n">
        <f aca="false">IF($C1318="","",$D1318*$E1318)</f>
        <v>30.006</v>
      </c>
      <c r="G1318" s="107" t="n">
        <f aca="false">IF($C1318="","",$D1318*IFERROR(INDEX('تحليل التكلفة والسعر'!$C$2:$C$700,MATCH($C1318,'تحليل التكلفة والسعر'!$B$2:$B$700,0)),0))</f>
        <v>15.6766405345</v>
      </c>
      <c r="H1318" s="104" t="s">
        <v>719</v>
      </c>
    </row>
    <row r="1319" customFormat="false" ht="15" hidden="false" customHeight="false" outlineLevel="0" collapsed="false">
      <c r="A1319" s="103" t="n">
        <v>46305</v>
      </c>
      <c r="B1319" s="104" t="s">
        <v>33</v>
      </c>
      <c r="C1319" s="104" t="s">
        <v>467</v>
      </c>
      <c r="D1319" s="105" t="n">
        <v>0.1667</v>
      </c>
      <c r="E1319" s="106" t="n">
        <v>180</v>
      </c>
      <c r="F1319" s="107" t="n">
        <f aca="false">IF($C1319="","",$D1319*$E1319)</f>
        <v>30.006</v>
      </c>
      <c r="G1319" s="107" t="n">
        <f aca="false">IF($C1319="","",$D1319*IFERROR(INDEX('تحليل التكلفة والسعر'!$C$2:$C$700,MATCH($C1319,'تحليل التكلفة والسعر'!$B$2:$B$700,0)),0))</f>
        <v>15.6766405345</v>
      </c>
      <c r="H1319" s="104" t="s">
        <v>719</v>
      </c>
    </row>
    <row r="1320" customFormat="false" ht="15" hidden="false" customHeight="false" outlineLevel="0" collapsed="false">
      <c r="A1320" s="103" t="n">
        <v>46306</v>
      </c>
      <c r="B1320" s="104" t="s">
        <v>33</v>
      </c>
      <c r="C1320" s="104" t="s">
        <v>467</v>
      </c>
      <c r="D1320" s="105" t="n">
        <v>0.1667</v>
      </c>
      <c r="E1320" s="106" t="n">
        <v>180</v>
      </c>
      <c r="F1320" s="107" t="n">
        <f aca="false">IF($C1320="","",$D1320*$E1320)</f>
        <v>30.006</v>
      </c>
      <c r="G1320" s="107" t="n">
        <f aca="false">IF($C1320="","",$D1320*IFERROR(INDEX('تحليل التكلفة والسعر'!$C$2:$C$700,MATCH($C1320,'تحليل التكلفة والسعر'!$B$2:$B$700,0)),0))</f>
        <v>15.6766405345</v>
      </c>
      <c r="H1320" s="104" t="s">
        <v>719</v>
      </c>
    </row>
    <row r="1321" customFormat="false" ht="15" hidden="false" customHeight="false" outlineLevel="0" collapsed="false">
      <c r="A1321" s="103" t="n">
        <v>46307</v>
      </c>
      <c r="B1321" s="104" t="s">
        <v>33</v>
      </c>
      <c r="C1321" s="104" t="s">
        <v>467</v>
      </c>
      <c r="D1321" s="105" t="n">
        <v>0.1667</v>
      </c>
      <c r="E1321" s="106" t="n">
        <v>180</v>
      </c>
      <c r="F1321" s="107" t="n">
        <f aca="false">IF($C1321="","",$D1321*$E1321)</f>
        <v>30.006</v>
      </c>
      <c r="G1321" s="107" t="n">
        <f aca="false">IF($C1321="","",$D1321*IFERROR(INDEX('تحليل التكلفة والسعر'!$C$2:$C$700,MATCH($C1321,'تحليل التكلفة والسعر'!$B$2:$B$700,0)),0))</f>
        <v>15.6766405345</v>
      </c>
      <c r="H1321" s="104" t="s">
        <v>719</v>
      </c>
    </row>
    <row r="1322" customFormat="false" ht="15" hidden="false" customHeight="false" outlineLevel="0" collapsed="false">
      <c r="A1322" s="103" t="n">
        <v>46296</v>
      </c>
      <c r="B1322" s="104" t="s">
        <v>33</v>
      </c>
      <c r="C1322" s="104" t="s">
        <v>752</v>
      </c>
      <c r="D1322" s="105" t="n">
        <v>0.0833</v>
      </c>
      <c r="E1322" s="106" t="n">
        <v>8</v>
      </c>
      <c r="F1322" s="107" t="n">
        <f aca="false">IF($C1322="","",$D1322*$E1322)</f>
        <v>0.6664</v>
      </c>
      <c r="G1322" s="107" t="n">
        <f aca="false">IF($C1322="","",$D1322*IFERROR(INDEX('تحليل التكلفة والسعر'!$C$2:$C$700,MATCH($C1322,'تحليل التكلفة والسعر'!$B$2:$B$700,0)),0))</f>
        <v>0.5831</v>
      </c>
      <c r="H1322" s="104" t="s">
        <v>719</v>
      </c>
    </row>
    <row r="1323" customFormat="false" ht="15" hidden="false" customHeight="false" outlineLevel="0" collapsed="false">
      <c r="A1323" s="103" t="n">
        <v>46297</v>
      </c>
      <c r="B1323" s="104" t="s">
        <v>33</v>
      </c>
      <c r="C1323" s="104" t="s">
        <v>752</v>
      </c>
      <c r="D1323" s="105" t="n">
        <v>0.0833</v>
      </c>
      <c r="E1323" s="106" t="n">
        <v>8</v>
      </c>
      <c r="F1323" s="107" t="n">
        <f aca="false">IF($C1323="","",$D1323*$E1323)</f>
        <v>0.6664</v>
      </c>
      <c r="G1323" s="107" t="n">
        <f aca="false">IF($C1323="","",$D1323*IFERROR(INDEX('تحليل التكلفة والسعر'!$C$2:$C$700,MATCH($C1323,'تحليل التكلفة والسعر'!$B$2:$B$700,0)),0))</f>
        <v>0.5831</v>
      </c>
      <c r="H1323" s="104" t="s">
        <v>719</v>
      </c>
    </row>
    <row r="1324" customFormat="false" ht="15" hidden="false" customHeight="false" outlineLevel="0" collapsed="false">
      <c r="A1324" s="103" t="n">
        <v>46298</v>
      </c>
      <c r="B1324" s="104" t="s">
        <v>33</v>
      </c>
      <c r="C1324" s="104" t="s">
        <v>752</v>
      </c>
      <c r="D1324" s="105" t="n">
        <v>0.0833</v>
      </c>
      <c r="E1324" s="106" t="n">
        <v>8</v>
      </c>
      <c r="F1324" s="107" t="n">
        <f aca="false">IF($C1324="","",$D1324*$E1324)</f>
        <v>0.6664</v>
      </c>
      <c r="G1324" s="107" t="n">
        <f aca="false">IF($C1324="","",$D1324*IFERROR(INDEX('تحليل التكلفة والسعر'!$C$2:$C$700,MATCH($C1324,'تحليل التكلفة والسعر'!$B$2:$B$700,0)),0))</f>
        <v>0.5831</v>
      </c>
      <c r="H1324" s="104" t="s">
        <v>719</v>
      </c>
    </row>
    <row r="1325" customFormat="false" ht="15" hidden="false" customHeight="false" outlineLevel="0" collapsed="false">
      <c r="A1325" s="103" t="n">
        <v>46299</v>
      </c>
      <c r="B1325" s="104" t="s">
        <v>33</v>
      </c>
      <c r="C1325" s="104" t="s">
        <v>752</v>
      </c>
      <c r="D1325" s="105" t="n">
        <v>0.0833</v>
      </c>
      <c r="E1325" s="106" t="n">
        <v>8</v>
      </c>
      <c r="F1325" s="107" t="n">
        <f aca="false">IF($C1325="","",$D1325*$E1325)</f>
        <v>0.6664</v>
      </c>
      <c r="G1325" s="107" t="n">
        <f aca="false">IF($C1325="","",$D1325*IFERROR(INDEX('تحليل التكلفة والسعر'!$C$2:$C$700,MATCH($C1325,'تحليل التكلفة والسعر'!$B$2:$B$700,0)),0))</f>
        <v>0.5831</v>
      </c>
      <c r="H1325" s="104" t="s">
        <v>719</v>
      </c>
    </row>
    <row r="1326" customFormat="false" ht="15" hidden="false" customHeight="false" outlineLevel="0" collapsed="false">
      <c r="A1326" s="103" t="n">
        <v>46300</v>
      </c>
      <c r="B1326" s="104" t="s">
        <v>33</v>
      </c>
      <c r="C1326" s="104" t="s">
        <v>752</v>
      </c>
      <c r="D1326" s="105" t="n">
        <v>0.0833</v>
      </c>
      <c r="E1326" s="106" t="n">
        <v>8</v>
      </c>
      <c r="F1326" s="107" t="n">
        <f aca="false">IF($C1326="","",$D1326*$E1326)</f>
        <v>0.6664</v>
      </c>
      <c r="G1326" s="107" t="n">
        <f aca="false">IF($C1326="","",$D1326*IFERROR(INDEX('تحليل التكلفة والسعر'!$C$2:$C$700,MATCH($C1326,'تحليل التكلفة والسعر'!$B$2:$B$700,0)),0))</f>
        <v>0.5831</v>
      </c>
      <c r="H1326" s="104" t="s">
        <v>719</v>
      </c>
    </row>
    <row r="1327" customFormat="false" ht="15" hidden="false" customHeight="false" outlineLevel="0" collapsed="false">
      <c r="A1327" s="103" t="n">
        <v>46301</v>
      </c>
      <c r="B1327" s="104" t="s">
        <v>33</v>
      </c>
      <c r="C1327" s="104" t="s">
        <v>752</v>
      </c>
      <c r="D1327" s="105" t="n">
        <v>0.0833</v>
      </c>
      <c r="E1327" s="106" t="n">
        <v>8</v>
      </c>
      <c r="F1327" s="107" t="n">
        <f aca="false">IF($C1327="","",$D1327*$E1327)</f>
        <v>0.6664</v>
      </c>
      <c r="G1327" s="107" t="n">
        <f aca="false">IF($C1327="","",$D1327*IFERROR(INDEX('تحليل التكلفة والسعر'!$C$2:$C$700,MATCH($C1327,'تحليل التكلفة والسعر'!$B$2:$B$700,0)),0))</f>
        <v>0.5831</v>
      </c>
      <c r="H1327" s="104" t="s">
        <v>719</v>
      </c>
    </row>
    <row r="1328" customFormat="false" ht="15" hidden="false" customHeight="false" outlineLevel="0" collapsed="false">
      <c r="A1328" s="103" t="n">
        <v>46302</v>
      </c>
      <c r="B1328" s="104" t="s">
        <v>33</v>
      </c>
      <c r="C1328" s="104" t="s">
        <v>752</v>
      </c>
      <c r="D1328" s="105" t="n">
        <v>0.0833</v>
      </c>
      <c r="E1328" s="106" t="n">
        <v>8</v>
      </c>
      <c r="F1328" s="107" t="n">
        <f aca="false">IF($C1328="","",$D1328*$E1328)</f>
        <v>0.6664</v>
      </c>
      <c r="G1328" s="107" t="n">
        <f aca="false">IF($C1328="","",$D1328*IFERROR(INDEX('تحليل التكلفة والسعر'!$C$2:$C$700,MATCH($C1328,'تحليل التكلفة والسعر'!$B$2:$B$700,0)),0))</f>
        <v>0.5831</v>
      </c>
      <c r="H1328" s="104" t="s">
        <v>719</v>
      </c>
    </row>
    <row r="1329" customFormat="false" ht="15" hidden="false" customHeight="false" outlineLevel="0" collapsed="false">
      <c r="A1329" s="103" t="n">
        <v>46303</v>
      </c>
      <c r="B1329" s="104" t="s">
        <v>33</v>
      </c>
      <c r="C1329" s="104" t="s">
        <v>752</v>
      </c>
      <c r="D1329" s="105" t="n">
        <v>0.0833</v>
      </c>
      <c r="E1329" s="106" t="n">
        <v>8</v>
      </c>
      <c r="F1329" s="107" t="n">
        <f aca="false">IF($C1329="","",$D1329*$E1329)</f>
        <v>0.6664</v>
      </c>
      <c r="G1329" s="107" t="n">
        <f aca="false">IF($C1329="","",$D1329*IFERROR(INDEX('تحليل التكلفة والسعر'!$C$2:$C$700,MATCH($C1329,'تحليل التكلفة والسعر'!$B$2:$B$700,0)),0))</f>
        <v>0.5831</v>
      </c>
      <c r="H1329" s="104" t="s">
        <v>719</v>
      </c>
    </row>
    <row r="1330" customFormat="false" ht="15" hidden="false" customHeight="false" outlineLevel="0" collapsed="false">
      <c r="A1330" s="103" t="n">
        <v>46304</v>
      </c>
      <c r="B1330" s="104" t="s">
        <v>33</v>
      </c>
      <c r="C1330" s="104" t="s">
        <v>752</v>
      </c>
      <c r="D1330" s="105" t="n">
        <v>0.0833</v>
      </c>
      <c r="E1330" s="106" t="n">
        <v>8</v>
      </c>
      <c r="F1330" s="107" t="n">
        <f aca="false">IF($C1330="","",$D1330*$E1330)</f>
        <v>0.6664</v>
      </c>
      <c r="G1330" s="107" t="n">
        <f aca="false">IF($C1330="","",$D1330*IFERROR(INDEX('تحليل التكلفة والسعر'!$C$2:$C$700,MATCH($C1330,'تحليل التكلفة والسعر'!$B$2:$B$700,0)),0))</f>
        <v>0.5831</v>
      </c>
      <c r="H1330" s="104" t="s">
        <v>719</v>
      </c>
    </row>
    <row r="1331" customFormat="false" ht="15" hidden="false" customHeight="false" outlineLevel="0" collapsed="false">
      <c r="A1331" s="103" t="n">
        <v>46305</v>
      </c>
      <c r="B1331" s="104" t="s">
        <v>33</v>
      </c>
      <c r="C1331" s="104" t="s">
        <v>752</v>
      </c>
      <c r="D1331" s="105" t="n">
        <v>0.0833</v>
      </c>
      <c r="E1331" s="106" t="n">
        <v>8</v>
      </c>
      <c r="F1331" s="107" t="n">
        <f aca="false">IF($C1331="","",$D1331*$E1331)</f>
        <v>0.6664</v>
      </c>
      <c r="G1331" s="107" t="n">
        <f aca="false">IF($C1331="","",$D1331*IFERROR(INDEX('تحليل التكلفة والسعر'!$C$2:$C$700,MATCH($C1331,'تحليل التكلفة والسعر'!$B$2:$B$700,0)),0))</f>
        <v>0.5831</v>
      </c>
      <c r="H1331" s="104" t="s">
        <v>719</v>
      </c>
    </row>
    <row r="1332" customFormat="false" ht="15" hidden="false" customHeight="false" outlineLevel="0" collapsed="false">
      <c r="A1332" s="103" t="n">
        <v>46306</v>
      </c>
      <c r="B1332" s="104" t="s">
        <v>33</v>
      </c>
      <c r="C1332" s="104" t="s">
        <v>752</v>
      </c>
      <c r="D1332" s="105" t="n">
        <v>0.0833</v>
      </c>
      <c r="E1332" s="106" t="n">
        <v>8</v>
      </c>
      <c r="F1332" s="107" t="n">
        <f aca="false">IF($C1332="","",$D1332*$E1332)</f>
        <v>0.6664</v>
      </c>
      <c r="G1332" s="107" t="n">
        <f aca="false">IF($C1332="","",$D1332*IFERROR(INDEX('تحليل التكلفة والسعر'!$C$2:$C$700,MATCH($C1332,'تحليل التكلفة والسعر'!$B$2:$B$700,0)),0))</f>
        <v>0.5831</v>
      </c>
      <c r="H1332" s="104" t="s">
        <v>719</v>
      </c>
    </row>
    <row r="1333" customFormat="false" ht="15" hidden="false" customHeight="false" outlineLevel="0" collapsed="false">
      <c r="A1333" s="103" t="n">
        <v>46307</v>
      </c>
      <c r="B1333" s="104" t="s">
        <v>33</v>
      </c>
      <c r="C1333" s="104" t="s">
        <v>752</v>
      </c>
      <c r="D1333" s="105" t="n">
        <v>0.0833</v>
      </c>
      <c r="E1333" s="106" t="n">
        <v>8</v>
      </c>
      <c r="F1333" s="107" t="n">
        <f aca="false">IF($C1333="","",$D1333*$E1333)</f>
        <v>0.6664</v>
      </c>
      <c r="G1333" s="107" t="n">
        <f aca="false">IF($C1333="","",$D1333*IFERROR(INDEX('تحليل التكلفة والسعر'!$C$2:$C$700,MATCH($C1333,'تحليل التكلفة والسعر'!$B$2:$B$700,0)),0))</f>
        <v>0.5831</v>
      </c>
      <c r="H1333" s="104" t="s">
        <v>719</v>
      </c>
    </row>
    <row r="1334" customFormat="false" ht="15" hidden="false" customHeight="false" outlineLevel="0" collapsed="false">
      <c r="A1334" s="103" t="n">
        <v>46296</v>
      </c>
      <c r="B1334" s="104" t="s">
        <v>33</v>
      </c>
      <c r="C1334" s="104" t="s">
        <v>564</v>
      </c>
      <c r="D1334" s="105" t="n">
        <v>0.1667</v>
      </c>
      <c r="E1334" s="106" t="n">
        <v>120</v>
      </c>
      <c r="F1334" s="107" t="n">
        <f aca="false">IF($C1334="","",$D1334*$E1334)</f>
        <v>20.004</v>
      </c>
      <c r="G1334" s="107" t="n">
        <f aca="false">IF($C1334="","",$D1334*IFERROR(INDEX('تحليل التكلفة والسعر'!$C$2:$C$700,MATCH($C1334,'تحليل التكلفة والسعر'!$B$2:$B$700,0)),0))</f>
        <v>6.269295275</v>
      </c>
      <c r="H1334" s="104" t="s">
        <v>719</v>
      </c>
    </row>
    <row r="1335" customFormat="false" ht="15" hidden="false" customHeight="false" outlineLevel="0" collapsed="false">
      <c r="A1335" s="103" t="n">
        <v>46297</v>
      </c>
      <c r="B1335" s="104" t="s">
        <v>33</v>
      </c>
      <c r="C1335" s="104" t="s">
        <v>564</v>
      </c>
      <c r="D1335" s="105" t="n">
        <v>0.1667</v>
      </c>
      <c r="E1335" s="106" t="n">
        <v>120</v>
      </c>
      <c r="F1335" s="107" t="n">
        <f aca="false">IF($C1335="","",$D1335*$E1335)</f>
        <v>20.004</v>
      </c>
      <c r="G1335" s="107" t="n">
        <f aca="false">IF($C1335="","",$D1335*IFERROR(INDEX('تحليل التكلفة والسعر'!$C$2:$C$700,MATCH($C1335,'تحليل التكلفة والسعر'!$B$2:$B$700,0)),0))</f>
        <v>6.269295275</v>
      </c>
      <c r="H1335" s="104" t="s">
        <v>719</v>
      </c>
    </row>
    <row r="1336" customFormat="false" ht="15" hidden="false" customHeight="false" outlineLevel="0" collapsed="false">
      <c r="A1336" s="103" t="n">
        <v>46298</v>
      </c>
      <c r="B1336" s="104" t="s">
        <v>33</v>
      </c>
      <c r="C1336" s="104" t="s">
        <v>564</v>
      </c>
      <c r="D1336" s="105" t="n">
        <v>0.1667</v>
      </c>
      <c r="E1336" s="106" t="n">
        <v>120</v>
      </c>
      <c r="F1336" s="107" t="n">
        <f aca="false">IF($C1336="","",$D1336*$E1336)</f>
        <v>20.004</v>
      </c>
      <c r="G1336" s="107" t="n">
        <f aca="false">IF($C1336="","",$D1336*IFERROR(INDEX('تحليل التكلفة والسعر'!$C$2:$C$700,MATCH($C1336,'تحليل التكلفة والسعر'!$B$2:$B$700,0)),0))</f>
        <v>6.269295275</v>
      </c>
      <c r="H1336" s="104" t="s">
        <v>719</v>
      </c>
    </row>
    <row r="1337" customFormat="false" ht="15" hidden="false" customHeight="false" outlineLevel="0" collapsed="false">
      <c r="A1337" s="103" t="n">
        <v>46299</v>
      </c>
      <c r="B1337" s="104" t="s">
        <v>33</v>
      </c>
      <c r="C1337" s="104" t="s">
        <v>564</v>
      </c>
      <c r="D1337" s="105" t="n">
        <v>0.1667</v>
      </c>
      <c r="E1337" s="106" t="n">
        <v>120</v>
      </c>
      <c r="F1337" s="107" t="n">
        <f aca="false">IF($C1337="","",$D1337*$E1337)</f>
        <v>20.004</v>
      </c>
      <c r="G1337" s="107" t="n">
        <f aca="false">IF($C1337="","",$D1337*IFERROR(INDEX('تحليل التكلفة والسعر'!$C$2:$C$700,MATCH($C1337,'تحليل التكلفة والسعر'!$B$2:$B$700,0)),0))</f>
        <v>6.269295275</v>
      </c>
      <c r="H1337" s="104" t="s">
        <v>719</v>
      </c>
    </row>
    <row r="1338" customFormat="false" ht="15" hidden="false" customHeight="false" outlineLevel="0" collapsed="false">
      <c r="A1338" s="103" t="n">
        <v>46300</v>
      </c>
      <c r="B1338" s="104" t="s">
        <v>33</v>
      </c>
      <c r="C1338" s="104" t="s">
        <v>564</v>
      </c>
      <c r="D1338" s="105" t="n">
        <v>0.1667</v>
      </c>
      <c r="E1338" s="106" t="n">
        <v>120</v>
      </c>
      <c r="F1338" s="107" t="n">
        <f aca="false">IF($C1338="","",$D1338*$E1338)</f>
        <v>20.004</v>
      </c>
      <c r="G1338" s="107" t="n">
        <f aca="false">IF($C1338="","",$D1338*IFERROR(INDEX('تحليل التكلفة والسعر'!$C$2:$C$700,MATCH($C1338,'تحليل التكلفة والسعر'!$B$2:$B$700,0)),0))</f>
        <v>6.269295275</v>
      </c>
      <c r="H1338" s="104" t="s">
        <v>719</v>
      </c>
    </row>
    <row r="1339" customFormat="false" ht="15" hidden="false" customHeight="false" outlineLevel="0" collapsed="false">
      <c r="A1339" s="103" t="n">
        <v>46301</v>
      </c>
      <c r="B1339" s="104" t="s">
        <v>33</v>
      </c>
      <c r="C1339" s="104" t="s">
        <v>564</v>
      </c>
      <c r="D1339" s="105" t="n">
        <v>0.1667</v>
      </c>
      <c r="E1339" s="106" t="n">
        <v>120</v>
      </c>
      <c r="F1339" s="107" t="n">
        <f aca="false">IF($C1339="","",$D1339*$E1339)</f>
        <v>20.004</v>
      </c>
      <c r="G1339" s="107" t="n">
        <f aca="false">IF($C1339="","",$D1339*IFERROR(INDEX('تحليل التكلفة والسعر'!$C$2:$C$700,MATCH($C1339,'تحليل التكلفة والسعر'!$B$2:$B$700,0)),0))</f>
        <v>6.269295275</v>
      </c>
      <c r="H1339" s="104" t="s">
        <v>719</v>
      </c>
    </row>
    <row r="1340" customFormat="false" ht="15" hidden="false" customHeight="false" outlineLevel="0" collapsed="false">
      <c r="A1340" s="103" t="n">
        <v>46302</v>
      </c>
      <c r="B1340" s="104" t="s">
        <v>33</v>
      </c>
      <c r="C1340" s="104" t="s">
        <v>564</v>
      </c>
      <c r="D1340" s="105" t="n">
        <v>0.1667</v>
      </c>
      <c r="E1340" s="106" t="n">
        <v>120</v>
      </c>
      <c r="F1340" s="107" t="n">
        <f aca="false">IF($C1340="","",$D1340*$E1340)</f>
        <v>20.004</v>
      </c>
      <c r="G1340" s="107" t="n">
        <f aca="false">IF($C1340="","",$D1340*IFERROR(INDEX('تحليل التكلفة والسعر'!$C$2:$C$700,MATCH($C1340,'تحليل التكلفة والسعر'!$B$2:$B$700,0)),0))</f>
        <v>6.269295275</v>
      </c>
      <c r="H1340" s="104" t="s">
        <v>719</v>
      </c>
    </row>
    <row r="1341" customFormat="false" ht="15" hidden="false" customHeight="false" outlineLevel="0" collapsed="false">
      <c r="A1341" s="103" t="n">
        <v>46303</v>
      </c>
      <c r="B1341" s="104" t="s">
        <v>33</v>
      </c>
      <c r="C1341" s="104" t="s">
        <v>564</v>
      </c>
      <c r="D1341" s="105" t="n">
        <v>0.1667</v>
      </c>
      <c r="E1341" s="106" t="n">
        <v>120</v>
      </c>
      <c r="F1341" s="107" t="n">
        <f aca="false">IF($C1341="","",$D1341*$E1341)</f>
        <v>20.004</v>
      </c>
      <c r="G1341" s="107" t="n">
        <f aca="false">IF($C1341="","",$D1341*IFERROR(INDEX('تحليل التكلفة والسعر'!$C$2:$C$700,MATCH($C1341,'تحليل التكلفة والسعر'!$B$2:$B$700,0)),0))</f>
        <v>6.269295275</v>
      </c>
      <c r="H1341" s="104" t="s">
        <v>719</v>
      </c>
    </row>
    <row r="1342" customFormat="false" ht="15" hidden="false" customHeight="false" outlineLevel="0" collapsed="false">
      <c r="A1342" s="103" t="n">
        <v>46304</v>
      </c>
      <c r="B1342" s="104" t="s">
        <v>33</v>
      </c>
      <c r="C1342" s="104" t="s">
        <v>564</v>
      </c>
      <c r="D1342" s="105" t="n">
        <v>0.1667</v>
      </c>
      <c r="E1342" s="106" t="n">
        <v>120</v>
      </c>
      <c r="F1342" s="107" t="n">
        <f aca="false">IF($C1342="","",$D1342*$E1342)</f>
        <v>20.004</v>
      </c>
      <c r="G1342" s="107" t="n">
        <f aca="false">IF($C1342="","",$D1342*IFERROR(INDEX('تحليل التكلفة والسعر'!$C$2:$C$700,MATCH($C1342,'تحليل التكلفة والسعر'!$B$2:$B$700,0)),0))</f>
        <v>6.269295275</v>
      </c>
      <c r="H1342" s="104" t="s">
        <v>719</v>
      </c>
    </row>
    <row r="1343" customFormat="false" ht="15" hidden="false" customHeight="false" outlineLevel="0" collapsed="false">
      <c r="A1343" s="103" t="n">
        <v>46305</v>
      </c>
      <c r="B1343" s="104" t="s">
        <v>33</v>
      </c>
      <c r="C1343" s="104" t="s">
        <v>564</v>
      </c>
      <c r="D1343" s="105" t="n">
        <v>0.1667</v>
      </c>
      <c r="E1343" s="106" t="n">
        <v>120</v>
      </c>
      <c r="F1343" s="107" t="n">
        <f aca="false">IF($C1343="","",$D1343*$E1343)</f>
        <v>20.004</v>
      </c>
      <c r="G1343" s="107" t="n">
        <f aca="false">IF($C1343="","",$D1343*IFERROR(INDEX('تحليل التكلفة والسعر'!$C$2:$C$700,MATCH($C1343,'تحليل التكلفة والسعر'!$B$2:$B$700,0)),0))</f>
        <v>6.269295275</v>
      </c>
      <c r="H1343" s="104" t="s">
        <v>719</v>
      </c>
    </row>
    <row r="1344" customFormat="false" ht="15" hidden="false" customHeight="false" outlineLevel="0" collapsed="false">
      <c r="A1344" s="103" t="n">
        <v>46306</v>
      </c>
      <c r="B1344" s="104" t="s">
        <v>33</v>
      </c>
      <c r="C1344" s="104" t="s">
        <v>564</v>
      </c>
      <c r="D1344" s="105" t="n">
        <v>0.1667</v>
      </c>
      <c r="E1344" s="106" t="n">
        <v>120</v>
      </c>
      <c r="F1344" s="107" t="n">
        <f aca="false">IF($C1344="","",$D1344*$E1344)</f>
        <v>20.004</v>
      </c>
      <c r="G1344" s="107" t="n">
        <f aca="false">IF($C1344="","",$D1344*IFERROR(INDEX('تحليل التكلفة والسعر'!$C$2:$C$700,MATCH($C1344,'تحليل التكلفة والسعر'!$B$2:$B$700,0)),0))</f>
        <v>6.269295275</v>
      </c>
      <c r="H1344" s="104" t="s">
        <v>719</v>
      </c>
    </row>
    <row r="1345" customFormat="false" ht="15" hidden="false" customHeight="false" outlineLevel="0" collapsed="false">
      <c r="A1345" s="103" t="n">
        <v>46307</v>
      </c>
      <c r="B1345" s="104" t="s">
        <v>33</v>
      </c>
      <c r="C1345" s="104" t="s">
        <v>564</v>
      </c>
      <c r="D1345" s="105" t="n">
        <v>0.1667</v>
      </c>
      <c r="E1345" s="106" t="n">
        <v>120</v>
      </c>
      <c r="F1345" s="107" t="n">
        <f aca="false">IF($C1345="","",$D1345*$E1345)</f>
        <v>20.004</v>
      </c>
      <c r="G1345" s="107" t="n">
        <f aca="false">IF($C1345="","",$D1345*IFERROR(INDEX('تحليل التكلفة والسعر'!$C$2:$C$700,MATCH($C1345,'تحليل التكلفة والسعر'!$B$2:$B$700,0)),0))</f>
        <v>6.269295275</v>
      </c>
      <c r="H1345" s="104" t="s">
        <v>719</v>
      </c>
    </row>
    <row r="1346" customFormat="false" ht="15" hidden="false" customHeight="false" outlineLevel="0" collapsed="false">
      <c r="A1346" s="103" t="n">
        <v>46296</v>
      </c>
      <c r="B1346" s="104" t="s">
        <v>34</v>
      </c>
      <c r="C1346" s="104" t="s">
        <v>718</v>
      </c>
      <c r="D1346" s="105" t="n">
        <v>0.1667</v>
      </c>
      <c r="E1346" s="106" t="n">
        <v>40</v>
      </c>
      <c r="F1346" s="107" t="n">
        <f aca="false">IF($C1346="","",$D1346*$E1346)</f>
        <v>6.668</v>
      </c>
      <c r="G1346" s="107" t="n">
        <f aca="false">IF($C1346="","",$D1346*IFERROR(INDEX('تحليل التكلفة والسعر'!$C$2:$C$700,MATCH($C1346,'تحليل التكلفة والسعر'!$B$2:$B$700,0)),0))</f>
        <v>3.334</v>
      </c>
      <c r="H1346" s="104" t="s">
        <v>719</v>
      </c>
    </row>
    <row r="1347" customFormat="false" ht="15" hidden="false" customHeight="false" outlineLevel="0" collapsed="false">
      <c r="A1347" s="103" t="n">
        <v>46297</v>
      </c>
      <c r="B1347" s="104" t="s">
        <v>34</v>
      </c>
      <c r="C1347" s="104" t="s">
        <v>718</v>
      </c>
      <c r="D1347" s="105" t="n">
        <v>0.1667</v>
      </c>
      <c r="E1347" s="106" t="n">
        <v>40</v>
      </c>
      <c r="F1347" s="107" t="n">
        <f aca="false">IF($C1347="","",$D1347*$E1347)</f>
        <v>6.668</v>
      </c>
      <c r="G1347" s="107" t="n">
        <f aca="false">IF($C1347="","",$D1347*IFERROR(INDEX('تحليل التكلفة والسعر'!$C$2:$C$700,MATCH($C1347,'تحليل التكلفة والسعر'!$B$2:$B$700,0)),0))</f>
        <v>3.334</v>
      </c>
      <c r="H1347" s="104" t="s">
        <v>719</v>
      </c>
    </row>
    <row r="1348" customFormat="false" ht="15" hidden="false" customHeight="false" outlineLevel="0" collapsed="false">
      <c r="A1348" s="103" t="n">
        <v>46298</v>
      </c>
      <c r="B1348" s="104" t="s">
        <v>34</v>
      </c>
      <c r="C1348" s="104" t="s">
        <v>718</v>
      </c>
      <c r="D1348" s="105" t="n">
        <v>0.1667</v>
      </c>
      <c r="E1348" s="106" t="n">
        <v>40</v>
      </c>
      <c r="F1348" s="107" t="n">
        <f aca="false">IF($C1348="","",$D1348*$E1348)</f>
        <v>6.668</v>
      </c>
      <c r="G1348" s="107" t="n">
        <f aca="false">IF($C1348="","",$D1348*IFERROR(INDEX('تحليل التكلفة والسعر'!$C$2:$C$700,MATCH($C1348,'تحليل التكلفة والسعر'!$B$2:$B$700,0)),0))</f>
        <v>3.334</v>
      </c>
      <c r="H1348" s="104" t="s">
        <v>719</v>
      </c>
    </row>
    <row r="1349" customFormat="false" ht="15" hidden="false" customHeight="false" outlineLevel="0" collapsed="false">
      <c r="A1349" s="103" t="n">
        <v>46299</v>
      </c>
      <c r="B1349" s="104" t="s">
        <v>34</v>
      </c>
      <c r="C1349" s="104" t="s">
        <v>718</v>
      </c>
      <c r="D1349" s="105" t="n">
        <v>0.1667</v>
      </c>
      <c r="E1349" s="106" t="n">
        <v>40</v>
      </c>
      <c r="F1349" s="107" t="n">
        <f aca="false">IF($C1349="","",$D1349*$E1349)</f>
        <v>6.668</v>
      </c>
      <c r="G1349" s="107" t="n">
        <f aca="false">IF($C1349="","",$D1349*IFERROR(INDEX('تحليل التكلفة والسعر'!$C$2:$C$700,MATCH($C1349,'تحليل التكلفة والسعر'!$B$2:$B$700,0)),0))</f>
        <v>3.334</v>
      </c>
      <c r="H1349" s="104" t="s">
        <v>719</v>
      </c>
    </row>
    <row r="1350" customFormat="false" ht="15" hidden="false" customHeight="false" outlineLevel="0" collapsed="false">
      <c r="A1350" s="103" t="n">
        <v>46300</v>
      </c>
      <c r="B1350" s="104" t="s">
        <v>34</v>
      </c>
      <c r="C1350" s="104" t="s">
        <v>718</v>
      </c>
      <c r="D1350" s="105" t="n">
        <v>0.1667</v>
      </c>
      <c r="E1350" s="106" t="n">
        <v>40</v>
      </c>
      <c r="F1350" s="107" t="n">
        <f aca="false">IF($C1350="","",$D1350*$E1350)</f>
        <v>6.668</v>
      </c>
      <c r="G1350" s="107" t="n">
        <f aca="false">IF($C1350="","",$D1350*IFERROR(INDEX('تحليل التكلفة والسعر'!$C$2:$C$700,MATCH($C1350,'تحليل التكلفة والسعر'!$B$2:$B$700,0)),0))</f>
        <v>3.334</v>
      </c>
      <c r="H1350" s="104" t="s">
        <v>719</v>
      </c>
    </row>
    <row r="1351" customFormat="false" ht="15" hidden="false" customHeight="false" outlineLevel="0" collapsed="false">
      <c r="A1351" s="103" t="n">
        <v>46301</v>
      </c>
      <c r="B1351" s="104" t="s">
        <v>34</v>
      </c>
      <c r="C1351" s="104" t="s">
        <v>718</v>
      </c>
      <c r="D1351" s="105" t="n">
        <v>0.1667</v>
      </c>
      <c r="E1351" s="106" t="n">
        <v>40</v>
      </c>
      <c r="F1351" s="107" t="n">
        <f aca="false">IF($C1351="","",$D1351*$E1351)</f>
        <v>6.668</v>
      </c>
      <c r="G1351" s="107" t="n">
        <f aca="false">IF($C1351="","",$D1351*IFERROR(INDEX('تحليل التكلفة والسعر'!$C$2:$C$700,MATCH($C1351,'تحليل التكلفة والسعر'!$B$2:$B$700,0)),0))</f>
        <v>3.334</v>
      </c>
      <c r="H1351" s="104" t="s">
        <v>719</v>
      </c>
    </row>
    <row r="1352" customFormat="false" ht="15" hidden="false" customHeight="false" outlineLevel="0" collapsed="false">
      <c r="A1352" s="103" t="n">
        <v>46302</v>
      </c>
      <c r="B1352" s="104" t="s">
        <v>34</v>
      </c>
      <c r="C1352" s="104" t="s">
        <v>718</v>
      </c>
      <c r="D1352" s="105" t="n">
        <v>0.1667</v>
      </c>
      <c r="E1352" s="106" t="n">
        <v>40</v>
      </c>
      <c r="F1352" s="107" t="n">
        <f aca="false">IF($C1352="","",$D1352*$E1352)</f>
        <v>6.668</v>
      </c>
      <c r="G1352" s="107" t="n">
        <f aca="false">IF($C1352="","",$D1352*IFERROR(INDEX('تحليل التكلفة والسعر'!$C$2:$C$700,MATCH($C1352,'تحليل التكلفة والسعر'!$B$2:$B$700,0)),0))</f>
        <v>3.334</v>
      </c>
      <c r="H1352" s="104" t="s">
        <v>719</v>
      </c>
    </row>
    <row r="1353" customFormat="false" ht="15" hidden="false" customHeight="false" outlineLevel="0" collapsed="false">
      <c r="A1353" s="103" t="n">
        <v>46303</v>
      </c>
      <c r="B1353" s="104" t="s">
        <v>34</v>
      </c>
      <c r="C1353" s="104" t="s">
        <v>718</v>
      </c>
      <c r="D1353" s="105" t="n">
        <v>0.1667</v>
      </c>
      <c r="E1353" s="106" t="n">
        <v>40</v>
      </c>
      <c r="F1353" s="107" t="n">
        <f aca="false">IF($C1353="","",$D1353*$E1353)</f>
        <v>6.668</v>
      </c>
      <c r="G1353" s="107" t="n">
        <f aca="false">IF($C1353="","",$D1353*IFERROR(INDEX('تحليل التكلفة والسعر'!$C$2:$C$700,MATCH($C1353,'تحليل التكلفة والسعر'!$B$2:$B$700,0)),0))</f>
        <v>3.334</v>
      </c>
      <c r="H1353" s="104" t="s">
        <v>719</v>
      </c>
    </row>
    <row r="1354" customFormat="false" ht="15" hidden="false" customHeight="false" outlineLevel="0" collapsed="false">
      <c r="A1354" s="103" t="n">
        <v>46304</v>
      </c>
      <c r="B1354" s="104" t="s">
        <v>34</v>
      </c>
      <c r="C1354" s="104" t="s">
        <v>718</v>
      </c>
      <c r="D1354" s="105" t="n">
        <v>0.1667</v>
      </c>
      <c r="E1354" s="106" t="n">
        <v>40</v>
      </c>
      <c r="F1354" s="107" t="n">
        <f aca="false">IF($C1354="","",$D1354*$E1354)</f>
        <v>6.668</v>
      </c>
      <c r="G1354" s="107" t="n">
        <f aca="false">IF($C1354="","",$D1354*IFERROR(INDEX('تحليل التكلفة والسعر'!$C$2:$C$700,MATCH($C1354,'تحليل التكلفة والسعر'!$B$2:$B$700,0)),0))</f>
        <v>3.334</v>
      </c>
      <c r="H1354" s="104" t="s">
        <v>719</v>
      </c>
    </row>
    <row r="1355" customFormat="false" ht="15" hidden="false" customHeight="false" outlineLevel="0" collapsed="false">
      <c r="A1355" s="103" t="n">
        <v>46305</v>
      </c>
      <c r="B1355" s="104" t="s">
        <v>34</v>
      </c>
      <c r="C1355" s="104" t="s">
        <v>718</v>
      </c>
      <c r="D1355" s="105" t="n">
        <v>0.1667</v>
      </c>
      <c r="E1355" s="106" t="n">
        <v>40</v>
      </c>
      <c r="F1355" s="107" t="n">
        <f aca="false">IF($C1355="","",$D1355*$E1355)</f>
        <v>6.668</v>
      </c>
      <c r="G1355" s="107" t="n">
        <f aca="false">IF($C1355="","",$D1355*IFERROR(INDEX('تحليل التكلفة والسعر'!$C$2:$C$700,MATCH($C1355,'تحليل التكلفة والسعر'!$B$2:$B$700,0)),0))</f>
        <v>3.334</v>
      </c>
      <c r="H1355" s="104" t="s">
        <v>719</v>
      </c>
    </row>
    <row r="1356" customFormat="false" ht="15" hidden="false" customHeight="false" outlineLevel="0" collapsed="false">
      <c r="A1356" s="103" t="n">
        <v>46306</v>
      </c>
      <c r="B1356" s="104" t="s">
        <v>34</v>
      </c>
      <c r="C1356" s="104" t="s">
        <v>718</v>
      </c>
      <c r="D1356" s="105" t="n">
        <v>0.1667</v>
      </c>
      <c r="E1356" s="106" t="n">
        <v>40</v>
      </c>
      <c r="F1356" s="107" t="n">
        <f aca="false">IF($C1356="","",$D1356*$E1356)</f>
        <v>6.668</v>
      </c>
      <c r="G1356" s="107" t="n">
        <f aca="false">IF($C1356="","",$D1356*IFERROR(INDEX('تحليل التكلفة والسعر'!$C$2:$C$700,MATCH($C1356,'تحليل التكلفة والسعر'!$B$2:$B$700,0)),0))</f>
        <v>3.334</v>
      </c>
      <c r="H1356" s="104" t="s">
        <v>719</v>
      </c>
    </row>
    <row r="1357" customFormat="false" ht="15" hidden="false" customHeight="false" outlineLevel="0" collapsed="false">
      <c r="A1357" s="103" t="n">
        <v>46307</v>
      </c>
      <c r="B1357" s="104" t="s">
        <v>34</v>
      </c>
      <c r="C1357" s="104" t="s">
        <v>718</v>
      </c>
      <c r="D1357" s="105" t="n">
        <v>0.1667</v>
      </c>
      <c r="E1357" s="106" t="n">
        <v>40</v>
      </c>
      <c r="F1357" s="107" t="n">
        <f aca="false">IF($C1357="","",$D1357*$E1357)</f>
        <v>6.668</v>
      </c>
      <c r="G1357" s="107" t="n">
        <f aca="false">IF($C1357="","",$D1357*IFERROR(INDEX('تحليل التكلفة والسعر'!$C$2:$C$700,MATCH($C1357,'تحليل التكلفة والسعر'!$B$2:$B$700,0)),0))</f>
        <v>3.334</v>
      </c>
      <c r="H1357" s="104" t="s">
        <v>719</v>
      </c>
    </row>
    <row r="1358" customFormat="false" ht="15" hidden="false" customHeight="false" outlineLevel="0" collapsed="false">
      <c r="A1358" s="103" t="n">
        <v>46296</v>
      </c>
      <c r="B1358" s="104" t="s">
        <v>34</v>
      </c>
      <c r="C1358" s="104" t="s">
        <v>724</v>
      </c>
      <c r="D1358" s="105" t="n">
        <v>0.6667</v>
      </c>
      <c r="E1358" s="106" t="n">
        <v>55.625</v>
      </c>
      <c r="F1358" s="107" t="n">
        <f aca="false">IF($C1358="","",$D1358*$E1358)</f>
        <v>37.0851875</v>
      </c>
      <c r="G1358" s="107" t="n">
        <f aca="false">IF($C1358="","",$D1358*IFERROR(INDEX('تحليل التكلفة والسعر'!$C$2:$C$700,MATCH($C1358,'تحليل التكلفة والسعر'!$B$2:$B$700,0)),0))</f>
        <v>14.0007</v>
      </c>
      <c r="H1358" s="104" t="s">
        <v>719</v>
      </c>
    </row>
    <row r="1359" customFormat="false" ht="15" hidden="false" customHeight="false" outlineLevel="0" collapsed="false">
      <c r="A1359" s="103" t="n">
        <v>46297</v>
      </c>
      <c r="B1359" s="104" t="s">
        <v>34</v>
      </c>
      <c r="C1359" s="104" t="s">
        <v>724</v>
      </c>
      <c r="D1359" s="105" t="n">
        <v>0.6667</v>
      </c>
      <c r="E1359" s="106" t="n">
        <v>55.625</v>
      </c>
      <c r="F1359" s="107" t="n">
        <f aca="false">IF($C1359="","",$D1359*$E1359)</f>
        <v>37.0851875</v>
      </c>
      <c r="G1359" s="107" t="n">
        <f aca="false">IF($C1359="","",$D1359*IFERROR(INDEX('تحليل التكلفة والسعر'!$C$2:$C$700,MATCH($C1359,'تحليل التكلفة والسعر'!$B$2:$B$700,0)),0))</f>
        <v>14.0007</v>
      </c>
      <c r="H1359" s="104" t="s">
        <v>719</v>
      </c>
    </row>
    <row r="1360" customFormat="false" ht="15" hidden="false" customHeight="false" outlineLevel="0" collapsed="false">
      <c r="A1360" s="103" t="n">
        <v>46298</v>
      </c>
      <c r="B1360" s="104" t="s">
        <v>34</v>
      </c>
      <c r="C1360" s="104" t="s">
        <v>724</v>
      </c>
      <c r="D1360" s="105" t="n">
        <v>0.6667</v>
      </c>
      <c r="E1360" s="106" t="n">
        <v>55.625</v>
      </c>
      <c r="F1360" s="107" t="n">
        <f aca="false">IF($C1360="","",$D1360*$E1360)</f>
        <v>37.0851875</v>
      </c>
      <c r="G1360" s="107" t="n">
        <f aca="false">IF($C1360="","",$D1360*IFERROR(INDEX('تحليل التكلفة والسعر'!$C$2:$C$700,MATCH($C1360,'تحليل التكلفة والسعر'!$B$2:$B$700,0)),0))</f>
        <v>14.0007</v>
      </c>
      <c r="H1360" s="104" t="s">
        <v>719</v>
      </c>
    </row>
    <row r="1361" customFormat="false" ht="15" hidden="false" customHeight="false" outlineLevel="0" collapsed="false">
      <c r="A1361" s="103" t="n">
        <v>46299</v>
      </c>
      <c r="B1361" s="104" t="s">
        <v>34</v>
      </c>
      <c r="C1361" s="104" t="s">
        <v>724</v>
      </c>
      <c r="D1361" s="105" t="n">
        <v>0.6667</v>
      </c>
      <c r="E1361" s="106" t="n">
        <v>55.625</v>
      </c>
      <c r="F1361" s="107" t="n">
        <f aca="false">IF($C1361="","",$D1361*$E1361)</f>
        <v>37.0851875</v>
      </c>
      <c r="G1361" s="107" t="n">
        <f aca="false">IF($C1361="","",$D1361*IFERROR(INDEX('تحليل التكلفة والسعر'!$C$2:$C$700,MATCH($C1361,'تحليل التكلفة والسعر'!$B$2:$B$700,0)),0))</f>
        <v>14.0007</v>
      </c>
      <c r="H1361" s="104" t="s">
        <v>719</v>
      </c>
    </row>
    <row r="1362" customFormat="false" ht="15" hidden="false" customHeight="false" outlineLevel="0" collapsed="false">
      <c r="A1362" s="103" t="n">
        <v>46300</v>
      </c>
      <c r="B1362" s="104" t="s">
        <v>34</v>
      </c>
      <c r="C1362" s="104" t="s">
        <v>724</v>
      </c>
      <c r="D1362" s="105" t="n">
        <v>0.6667</v>
      </c>
      <c r="E1362" s="106" t="n">
        <v>55.625</v>
      </c>
      <c r="F1362" s="107" t="n">
        <f aca="false">IF($C1362="","",$D1362*$E1362)</f>
        <v>37.0851875</v>
      </c>
      <c r="G1362" s="107" t="n">
        <f aca="false">IF($C1362="","",$D1362*IFERROR(INDEX('تحليل التكلفة والسعر'!$C$2:$C$700,MATCH($C1362,'تحليل التكلفة والسعر'!$B$2:$B$700,0)),0))</f>
        <v>14.0007</v>
      </c>
      <c r="H1362" s="104" t="s">
        <v>719</v>
      </c>
    </row>
    <row r="1363" customFormat="false" ht="15" hidden="false" customHeight="false" outlineLevel="0" collapsed="false">
      <c r="A1363" s="103" t="n">
        <v>46301</v>
      </c>
      <c r="B1363" s="104" t="s">
        <v>34</v>
      </c>
      <c r="C1363" s="104" t="s">
        <v>724</v>
      </c>
      <c r="D1363" s="105" t="n">
        <v>0.6667</v>
      </c>
      <c r="E1363" s="106" t="n">
        <v>55.625</v>
      </c>
      <c r="F1363" s="107" t="n">
        <f aca="false">IF($C1363="","",$D1363*$E1363)</f>
        <v>37.0851875</v>
      </c>
      <c r="G1363" s="107" t="n">
        <f aca="false">IF($C1363="","",$D1363*IFERROR(INDEX('تحليل التكلفة والسعر'!$C$2:$C$700,MATCH($C1363,'تحليل التكلفة والسعر'!$B$2:$B$700,0)),0))</f>
        <v>14.0007</v>
      </c>
      <c r="H1363" s="104" t="s">
        <v>719</v>
      </c>
    </row>
    <row r="1364" customFormat="false" ht="15" hidden="false" customHeight="false" outlineLevel="0" collapsed="false">
      <c r="A1364" s="103" t="n">
        <v>46302</v>
      </c>
      <c r="B1364" s="104" t="s">
        <v>34</v>
      </c>
      <c r="C1364" s="104" t="s">
        <v>724</v>
      </c>
      <c r="D1364" s="105" t="n">
        <v>0.6667</v>
      </c>
      <c r="E1364" s="106" t="n">
        <v>55.625</v>
      </c>
      <c r="F1364" s="107" t="n">
        <f aca="false">IF($C1364="","",$D1364*$E1364)</f>
        <v>37.0851875</v>
      </c>
      <c r="G1364" s="107" t="n">
        <f aca="false">IF($C1364="","",$D1364*IFERROR(INDEX('تحليل التكلفة والسعر'!$C$2:$C$700,MATCH($C1364,'تحليل التكلفة والسعر'!$B$2:$B$700,0)),0))</f>
        <v>14.0007</v>
      </c>
      <c r="H1364" s="104" t="s">
        <v>719</v>
      </c>
    </row>
    <row r="1365" customFormat="false" ht="15" hidden="false" customHeight="false" outlineLevel="0" collapsed="false">
      <c r="A1365" s="103" t="n">
        <v>46303</v>
      </c>
      <c r="B1365" s="104" t="s">
        <v>34</v>
      </c>
      <c r="C1365" s="104" t="s">
        <v>724</v>
      </c>
      <c r="D1365" s="105" t="n">
        <v>0.6667</v>
      </c>
      <c r="E1365" s="106" t="n">
        <v>55.625</v>
      </c>
      <c r="F1365" s="107" t="n">
        <f aca="false">IF($C1365="","",$D1365*$E1365)</f>
        <v>37.0851875</v>
      </c>
      <c r="G1365" s="107" t="n">
        <f aca="false">IF($C1365="","",$D1365*IFERROR(INDEX('تحليل التكلفة والسعر'!$C$2:$C$700,MATCH($C1365,'تحليل التكلفة والسعر'!$B$2:$B$700,0)),0))</f>
        <v>14.0007</v>
      </c>
      <c r="H1365" s="104" t="s">
        <v>719</v>
      </c>
    </row>
    <row r="1366" customFormat="false" ht="15" hidden="false" customHeight="false" outlineLevel="0" collapsed="false">
      <c r="A1366" s="103" t="n">
        <v>46304</v>
      </c>
      <c r="B1366" s="104" t="s">
        <v>34</v>
      </c>
      <c r="C1366" s="104" t="s">
        <v>724</v>
      </c>
      <c r="D1366" s="105" t="n">
        <v>0.6667</v>
      </c>
      <c r="E1366" s="106" t="n">
        <v>55.625</v>
      </c>
      <c r="F1366" s="107" t="n">
        <f aca="false">IF($C1366="","",$D1366*$E1366)</f>
        <v>37.0851875</v>
      </c>
      <c r="G1366" s="107" t="n">
        <f aca="false">IF($C1366="","",$D1366*IFERROR(INDEX('تحليل التكلفة والسعر'!$C$2:$C$700,MATCH($C1366,'تحليل التكلفة والسعر'!$B$2:$B$700,0)),0))</f>
        <v>14.0007</v>
      </c>
      <c r="H1366" s="104" t="s">
        <v>719</v>
      </c>
    </row>
    <row r="1367" customFormat="false" ht="15" hidden="false" customHeight="false" outlineLevel="0" collapsed="false">
      <c r="A1367" s="103" t="n">
        <v>46305</v>
      </c>
      <c r="B1367" s="104" t="s">
        <v>34</v>
      </c>
      <c r="C1367" s="104" t="s">
        <v>724</v>
      </c>
      <c r="D1367" s="105" t="n">
        <v>0.6667</v>
      </c>
      <c r="E1367" s="106" t="n">
        <v>55.625</v>
      </c>
      <c r="F1367" s="107" t="n">
        <f aca="false">IF($C1367="","",$D1367*$E1367)</f>
        <v>37.0851875</v>
      </c>
      <c r="G1367" s="107" t="n">
        <f aca="false">IF($C1367="","",$D1367*IFERROR(INDEX('تحليل التكلفة والسعر'!$C$2:$C$700,MATCH($C1367,'تحليل التكلفة والسعر'!$B$2:$B$700,0)),0))</f>
        <v>14.0007</v>
      </c>
      <c r="H1367" s="104" t="s">
        <v>719</v>
      </c>
    </row>
    <row r="1368" customFormat="false" ht="15" hidden="false" customHeight="false" outlineLevel="0" collapsed="false">
      <c r="A1368" s="103" t="n">
        <v>46306</v>
      </c>
      <c r="B1368" s="104" t="s">
        <v>34</v>
      </c>
      <c r="C1368" s="104" t="s">
        <v>724</v>
      </c>
      <c r="D1368" s="105" t="n">
        <v>0.6667</v>
      </c>
      <c r="E1368" s="106" t="n">
        <v>55.625</v>
      </c>
      <c r="F1368" s="107" t="n">
        <f aca="false">IF($C1368="","",$D1368*$E1368)</f>
        <v>37.0851875</v>
      </c>
      <c r="G1368" s="107" t="n">
        <f aca="false">IF($C1368="","",$D1368*IFERROR(INDEX('تحليل التكلفة والسعر'!$C$2:$C$700,MATCH($C1368,'تحليل التكلفة والسعر'!$B$2:$B$700,0)),0))</f>
        <v>14.0007</v>
      </c>
      <c r="H1368" s="104" t="s">
        <v>719</v>
      </c>
    </row>
    <row r="1369" customFormat="false" ht="15" hidden="false" customHeight="false" outlineLevel="0" collapsed="false">
      <c r="A1369" s="103" t="n">
        <v>46307</v>
      </c>
      <c r="B1369" s="104" t="s">
        <v>34</v>
      </c>
      <c r="C1369" s="104" t="s">
        <v>724</v>
      </c>
      <c r="D1369" s="105" t="n">
        <v>0.6667</v>
      </c>
      <c r="E1369" s="106" t="n">
        <v>55.625</v>
      </c>
      <c r="F1369" s="107" t="n">
        <f aca="false">IF($C1369="","",$D1369*$E1369)</f>
        <v>37.0851875</v>
      </c>
      <c r="G1369" s="107" t="n">
        <f aca="false">IF($C1369="","",$D1369*IFERROR(INDEX('تحليل التكلفة والسعر'!$C$2:$C$700,MATCH($C1369,'تحليل التكلفة والسعر'!$B$2:$B$700,0)),0))</f>
        <v>14.0007</v>
      </c>
      <c r="H1369" s="104" t="s">
        <v>719</v>
      </c>
    </row>
    <row r="1370" customFormat="false" ht="15" hidden="false" customHeight="false" outlineLevel="0" collapsed="false">
      <c r="A1370" s="103" t="n">
        <v>46296</v>
      </c>
      <c r="B1370" s="104" t="s">
        <v>34</v>
      </c>
      <c r="C1370" s="104" t="s">
        <v>725</v>
      </c>
      <c r="D1370" s="105" t="n">
        <v>2.6667</v>
      </c>
      <c r="E1370" s="106" t="n">
        <v>40</v>
      </c>
      <c r="F1370" s="107" t="n">
        <f aca="false">IF($C1370="","",$D1370*$E1370)</f>
        <v>106.668</v>
      </c>
      <c r="G1370" s="107" t="n">
        <f aca="false">IF($C1370="","",$D1370*IFERROR(INDEX('تحليل التكلفة والسعر'!$C$2:$C$700,MATCH($C1370,'تحليل التكلفة والسعر'!$B$2:$B$700,0)),0))</f>
        <v>37.3338</v>
      </c>
      <c r="H1370" s="104" t="s">
        <v>719</v>
      </c>
    </row>
    <row r="1371" customFormat="false" ht="15" hidden="false" customHeight="false" outlineLevel="0" collapsed="false">
      <c r="A1371" s="103" t="n">
        <v>46297</v>
      </c>
      <c r="B1371" s="104" t="s">
        <v>34</v>
      </c>
      <c r="C1371" s="104" t="s">
        <v>725</v>
      </c>
      <c r="D1371" s="105" t="n">
        <v>2.6667</v>
      </c>
      <c r="E1371" s="106" t="n">
        <v>40</v>
      </c>
      <c r="F1371" s="107" t="n">
        <f aca="false">IF($C1371="","",$D1371*$E1371)</f>
        <v>106.668</v>
      </c>
      <c r="G1371" s="107" t="n">
        <f aca="false">IF($C1371="","",$D1371*IFERROR(INDEX('تحليل التكلفة والسعر'!$C$2:$C$700,MATCH($C1371,'تحليل التكلفة والسعر'!$B$2:$B$700,0)),0))</f>
        <v>37.3338</v>
      </c>
      <c r="H1371" s="104" t="s">
        <v>719</v>
      </c>
    </row>
    <row r="1372" customFormat="false" ht="15" hidden="false" customHeight="false" outlineLevel="0" collapsed="false">
      <c r="A1372" s="103" t="n">
        <v>46298</v>
      </c>
      <c r="B1372" s="104" t="s">
        <v>34</v>
      </c>
      <c r="C1372" s="104" t="s">
        <v>725</v>
      </c>
      <c r="D1372" s="105" t="n">
        <v>2.6667</v>
      </c>
      <c r="E1372" s="106" t="n">
        <v>40</v>
      </c>
      <c r="F1372" s="107" t="n">
        <f aca="false">IF($C1372="","",$D1372*$E1372)</f>
        <v>106.668</v>
      </c>
      <c r="G1372" s="107" t="n">
        <f aca="false">IF($C1372="","",$D1372*IFERROR(INDEX('تحليل التكلفة والسعر'!$C$2:$C$700,MATCH($C1372,'تحليل التكلفة والسعر'!$B$2:$B$700,0)),0))</f>
        <v>37.3338</v>
      </c>
      <c r="H1372" s="104" t="s">
        <v>719</v>
      </c>
    </row>
    <row r="1373" customFormat="false" ht="15" hidden="false" customHeight="false" outlineLevel="0" collapsed="false">
      <c r="A1373" s="103" t="n">
        <v>46299</v>
      </c>
      <c r="B1373" s="104" t="s">
        <v>34</v>
      </c>
      <c r="C1373" s="104" t="s">
        <v>725</v>
      </c>
      <c r="D1373" s="105" t="n">
        <v>2.6667</v>
      </c>
      <c r="E1373" s="106" t="n">
        <v>40</v>
      </c>
      <c r="F1373" s="107" t="n">
        <f aca="false">IF($C1373="","",$D1373*$E1373)</f>
        <v>106.668</v>
      </c>
      <c r="G1373" s="107" t="n">
        <f aca="false">IF($C1373="","",$D1373*IFERROR(INDEX('تحليل التكلفة والسعر'!$C$2:$C$700,MATCH($C1373,'تحليل التكلفة والسعر'!$B$2:$B$700,0)),0))</f>
        <v>37.3338</v>
      </c>
      <c r="H1373" s="104" t="s">
        <v>719</v>
      </c>
    </row>
    <row r="1374" customFormat="false" ht="15" hidden="false" customHeight="false" outlineLevel="0" collapsed="false">
      <c r="A1374" s="103" t="n">
        <v>46300</v>
      </c>
      <c r="B1374" s="104" t="s">
        <v>34</v>
      </c>
      <c r="C1374" s="104" t="s">
        <v>725</v>
      </c>
      <c r="D1374" s="105" t="n">
        <v>2.6667</v>
      </c>
      <c r="E1374" s="106" t="n">
        <v>40</v>
      </c>
      <c r="F1374" s="107" t="n">
        <f aca="false">IF($C1374="","",$D1374*$E1374)</f>
        <v>106.668</v>
      </c>
      <c r="G1374" s="107" t="n">
        <f aca="false">IF($C1374="","",$D1374*IFERROR(INDEX('تحليل التكلفة والسعر'!$C$2:$C$700,MATCH($C1374,'تحليل التكلفة والسعر'!$B$2:$B$700,0)),0))</f>
        <v>37.3338</v>
      </c>
      <c r="H1374" s="104" t="s">
        <v>719</v>
      </c>
    </row>
    <row r="1375" customFormat="false" ht="15" hidden="false" customHeight="false" outlineLevel="0" collapsed="false">
      <c r="A1375" s="103" t="n">
        <v>46301</v>
      </c>
      <c r="B1375" s="104" t="s">
        <v>34</v>
      </c>
      <c r="C1375" s="104" t="s">
        <v>725</v>
      </c>
      <c r="D1375" s="105" t="n">
        <v>2.6667</v>
      </c>
      <c r="E1375" s="106" t="n">
        <v>40</v>
      </c>
      <c r="F1375" s="107" t="n">
        <f aca="false">IF($C1375="","",$D1375*$E1375)</f>
        <v>106.668</v>
      </c>
      <c r="G1375" s="107" t="n">
        <f aca="false">IF($C1375="","",$D1375*IFERROR(INDEX('تحليل التكلفة والسعر'!$C$2:$C$700,MATCH($C1375,'تحليل التكلفة والسعر'!$B$2:$B$700,0)),0))</f>
        <v>37.3338</v>
      </c>
      <c r="H1375" s="104" t="s">
        <v>719</v>
      </c>
    </row>
    <row r="1376" customFormat="false" ht="15" hidden="false" customHeight="false" outlineLevel="0" collapsed="false">
      <c r="A1376" s="103" t="n">
        <v>46302</v>
      </c>
      <c r="B1376" s="104" t="s">
        <v>34</v>
      </c>
      <c r="C1376" s="104" t="s">
        <v>725</v>
      </c>
      <c r="D1376" s="105" t="n">
        <v>2.6667</v>
      </c>
      <c r="E1376" s="106" t="n">
        <v>40</v>
      </c>
      <c r="F1376" s="107" t="n">
        <f aca="false">IF($C1376="","",$D1376*$E1376)</f>
        <v>106.668</v>
      </c>
      <c r="G1376" s="107" t="n">
        <f aca="false">IF($C1376="","",$D1376*IFERROR(INDEX('تحليل التكلفة والسعر'!$C$2:$C$700,MATCH($C1376,'تحليل التكلفة والسعر'!$B$2:$B$700,0)),0))</f>
        <v>37.3338</v>
      </c>
      <c r="H1376" s="104" t="s">
        <v>719</v>
      </c>
    </row>
    <row r="1377" customFormat="false" ht="15" hidden="false" customHeight="false" outlineLevel="0" collapsed="false">
      <c r="A1377" s="103" t="n">
        <v>46303</v>
      </c>
      <c r="B1377" s="104" t="s">
        <v>34</v>
      </c>
      <c r="C1377" s="104" t="s">
        <v>725</v>
      </c>
      <c r="D1377" s="105" t="n">
        <v>2.6667</v>
      </c>
      <c r="E1377" s="106" t="n">
        <v>40</v>
      </c>
      <c r="F1377" s="107" t="n">
        <f aca="false">IF($C1377="","",$D1377*$E1377)</f>
        <v>106.668</v>
      </c>
      <c r="G1377" s="107" t="n">
        <f aca="false">IF($C1377="","",$D1377*IFERROR(INDEX('تحليل التكلفة والسعر'!$C$2:$C$700,MATCH($C1377,'تحليل التكلفة والسعر'!$B$2:$B$700,0)),0))</f>
        <v>37.3338</v>
      </c>
      <c r="H1377" s="104" t="s">
        <v>719</v>
      </c>
    </row>
    <row r="1378" customFormat="false" ht="15" hidden="false" customHeight="false" outlineLevel="0" collapsed="false">
      <c r="A1378" s="103" t="n">
        <v>46304</v>
      </c>
      <c r="B1378" s="104" t="s">
        <v>34</v>
      </c>
      <c r="C1378" s="104" t="s">
        <v>725</v>
      </c>
      <c r="D1378" s="105" t="n">
        <v>2.6667</v>
      </c>
      <c r="E1378" s="106" t="n">
        <v>40</v>
      </c>
      <c r="F1378" s="107" t="n">
        <f aca="false">IF($C1378="","",$D1378*$E1378)</f>
        <v>106.668</v>
      </c>
      <c r="G1378" s="107" t="n">
        <f aca="false">IF($C1378="","",$D1378*IFERROR(INDEX('تحليل التكلفة والسعر'!$C$2:$C$700,MATCH($C1378,'تحليل التكلفة والسعر'!$B$2:$B$700,0)),0))</f>
        <v>37.3338</v>
      </c>
      <c r="H1378" s="104" t="s">
        <v>719</v>
      </c>
    </row>
    <row r="1379" customFormat="false" ht="15" hidden="false" customHeight="false" outlineLevel="0" collapsed="false">
      <c r="A1379" s="103" t="n">
        <v>46305</v>
      </c>
      <c r="B1379" s="104" t="s">
        <v>34</v>
      </c>
      <c r="C1379" s="104" t="s">
        <v>725</v>
      </c>
      <c r="D1379" s="105" t="n">
        <v>2.6667</v>
      </c>
      <c r="E1379" s="106" t="n">
        <v>40</v>
      </c>
      <c r="F1379" s="107" t="n">
        <f aca="false">IF($C1379="","",$D1379*$E1379)</f>
        <v>106.668</v>
      </c>
      <c r="G1379" s="107" t="n">
        <f aca="false">IF($C1379="","",$D1379*IFERROR(INDEX('تحليل التكلفة والسعر'!$C$2:$C$700,MATCH($C1379,'تحليل التكلفة والسعر'!$B$2:$B$700,0)),0))</f>
        <v>37.3338</v>
      </c>
      <c r="H1379" s="104" t="s">
        <v>719</v>
      </c>
    </row>
    <row r="1380" customFormat="false" ht="15" hidden="false" customHeight="false" outlineLevel="0" collapsed="false">
      <c r="A1380" s="103" t="n">
        <v>46306</v>
      </c>
      <c r="B1380" s="104" t="s">
        <v>34</v>
      </c>
      <c r="C1380" s="104" t="s">
        <v>725</v>
      </c>
      <c r="D1380" s="105" t="n">
        <v>2.6667</v>
      </c>
      <c r="E1380" s="106" t="n">
        <v>40</v>
      </c>
      <c r="F1380" s="107" t="n">
        <f aca="false">IF($C1380="","",$D1380*$E1380)</f>
        <v>106.668</v>
      </c>
      <c r="G1380" s="107" t="n">
        <f aca="false">IF($C1380="","",$D1380*IFERROR(INDEX('تحليل التكلفة والسعر'!$C$2:$C$700,MATCH($C1380,'تحليل التكلفة والسعر'!$B$2:$B$700,0)),0))</f>
        <v>37.3338</v>
      </c>
      <c r="H1380" s="104" t="s">
        <v>719</v>
      </c>
    </row>
    <row r="1381" customFormat="false" ht="15" hidden="false" customHeight="false" outlineLevel="0" collapsed="false">
      <c r="A1381" s="103" t="n">
        <v>46307</v>
      </c>
      <c r="B1381" s="104" t="s">
        <v>34</v>
      </c>
      <c r="C1381" s="104" t="s">
        <v>725</v>
      </c>
      <c r="D1381" s="105" t="n">
        <v>2.6667</v>
      </c>
      <c r="E1381" s="106" t="n">
        <v>40</v>
      </c>
      <c r="F1381" s="107" t="n">
        <f aca="false">IF($C1381="","",$D1381*$E1381)</f>
        <v>106.668</v>
      </c>
      <c r="G1381" s="107" t="n">
        <f aca="false">IF($C1381="","",$D1381*IFERROR(INDEX('تحليل التكلفة والسعر'!$C$2:$C$700,MATCH($C1381,'تحليل التكلفة والسعر'!$B$2:$B$700,0)),0))</f>
        <v>37.3338</v>
      </c>
      <c r="H1381" s="104" t="s">
        <v>719</v>
      </c>
    </row>
    <row r="1382" customFormat="false" ht="15" hidden="false" customHeight="false" outlineLevel="0" collapsed="false">
      <c r="A1382" s="103" t="n">
        <v>46296</v>
      </c>
      <c r="B1382" s="104" t="s">
        <v>34</v>
      </c>
      <c r="C1382" s="104" t="s">
        <v>727</v>
      </c>
      <c r="D1382" s="105" t="n">
        <v>0.4167</v>
      </c>
      <c r="E1382" s="106" t="n">
        <v>40</v>
      </c>
      <c r="F1382" s="107" t="n">
        <f aca="false">IF($C1382="","",$D1382*$E1382)</f>
        <v>16.668</v>
      </c>
      <c r="G1382" s="107" t="n">
        <f aca="false">IF($C1382="","",$D1382*IFERROR(INDEX('تحليل التكلفة والسعر'!$C$2:$C$700,MATCH($C1382,'تحليل التكلفة والسعر'!$B$2:$B$700,0)),0))</f>
        <v>8.334</v>
      </c>
      <c r="H1382" s="104" t="s">
        <v>719</v>
      </c>
    </row>
    <row r="1383" customFormat="false" ht="15" hidden="false" customHeight="false" outlineLevel="0" collapsed="false">
      <c r="A1383" s="103" t="n">
        <v>46297</v>
      </c>
      <c r="B1383" s="104" t="s">
        <v>34</v>
      </c>
      <c r="C1383" s="104" t="s">
        <v>727</v>
      </c>
      <c r="D1383" s="105" t="n">
        <v>0.4167</v>
      </c>
      <c r="E1383" s="106" t="n">
        <v>40</v>
      </c>
      <c r="F1383" s="107" t="n">
        <f aca="false">IF($C1383="","",$D1383*$E1383)</f>
        <v>16.668</v>
      </c>
      <c r="G1383" s="107" t="n">
        <f aca="false">IF($C1383="","",$D1383*IFERROR(INDEX('تحليل التكلفة والسعر'!$C$2:$C$700,MATCH($C1383,'تحليل التكلفة والسعر'!$B$2:$B$700,0)),0))</f>
        <v>8.334</v>
      </c>
      <c r="H1383" s="104" t="s">
        <v>719</v>
      </c>
    </row>
    <row r="1384" customFormat="false" ht="15" hidden="false" customHeight="false" outlineLevel="0" collapsed="false">
      <c r="A1384" s="103" t="n">
        <v>46298</v>
      </c>
      <c r="B1384" s="104" t="s">
        <v>34</v>
      </c>
      <c r="C1384" s="104" t="s">
        <v>727</v>
      </c>
      <c r="D1384" s="105" t="n">
        <v>0.4167</v>
      </c>
      <c r="E1384" s="106" t="n">
        <v>40</v>
      </c>
      <c r="F1384" s="107" t="n">
        <f aca="false">IF($C1384="","",$D1384*$E1384)</f>
        <v>16.668</v>
      </c>
      <c r="G1384" s="107" t="n">
        <f aca="false">IF($C1384="","",$D1384*IFERROR(INDEX('تحليل التكلفة والسعر'!$C$2:$C$700,MATCH($C1384,'تحليل التكلفة والسعر'!$B$2:$B$700,0)),0))</f>
        <v>8.334</v>
      </c>
      <c r="H1384" s="104" t="s">
        <v>719</v>
      </c>
    </row>
    <row r="1385" customFormat="false" ht="15" hidden="false" customHeight="false" outlineLevel="0" collapsed="false">
      <c r="A1385" s="103" t="n">
        <v>46299</v>
      </c>
      <c r="B1385" s="104" t="s">
        <v>34</v>
      </c>
      <c r="C1385" s="104" t="s">
        <v>727</v>
      </c>
      <c r="D1385" s="105" t="n">
        <v>0.4167</v>
      </c>
      <c r="E1385" s="106" t="n">
        <v>40</v>
      </c>
      <c r="F1385" s="107" t="n">
        <f aca="false">IF($C1385="","",$D1385*$E1385)</f>
        <v>16.668</v>
      </c>
      <c r="G1385" s="107" t="n">
        <f aca="false">IF($C1385="","",$D1385*IFERROR(INDEX('تحليل التكلفة والسعر'!$C$2:$C$700,MATCH($C1385,'تحليل التكلفة والسعر'!$B$2:$B$700,0)),0))</f>
        <v>8.334</v>
      </c>
      <c r="H1385" s="104" t="s">
        <v>719</v>
      </c>
    </row>
    <row r="1386" customFormat="false" ht="15" hidden="false" customHeight="false" outlineLevel="0" collapsed="false">
      <c r="A1386" s="103" t="n">
        <v>46300</v>
      </c>
      <c r="B1386" s="104" t="s">
        <v>34</v>
      </c>
      <c r="C1386" s="104" t="s">
        <v>727</v>
      </c>
      <c r="D1386" s="105" t="n">
        <v>0.4167</v>
      </c>
      <c r="E1386" s="106" t="n">
        <v>40</v>
      </c>
      <c r="F1386" s="107" t="n">
        <f aca="false">IF($C1386="","",$D1386*$E1386)</f>
        <v>16.668</v>
      </c>
      <c r="G1386" s="107" t="n">
        <f aca="false">IF($C1386="","",$D1386*IFERROR(INDEX('تحليل التكلفة والسعر'!$C$2:$C$700,MATCH($C1386,'تحليل التكلفة والسعر'!$B$2:$B$700,0)),0))</f>
        <v>8.334</v>
      </c>
      <c r="H1386" s="104" t="s">
        <v>719</v>
      </c>
    </row>
    <row r="1387" customFormat="false" ht="15" hidden="false" customHeight="false" outlineLevel="0" collapsed="false">
      <c r="A1387" s="103" t="n">
        <v>46301</v>
      </c>
      <c r="B1387" s="104" t="s">
        <v>34</v>
      </c>
      <c r="C1387" s="104" t="s">
        <v>727</v>
      </c>
      <c r="D1387" s="105" t="n">
        <v>0.4167</v>
      </c>
      <c r="E1387" s="106" t="n">
        <v>40</v>
      </c>
      <c r="F1387" s="107" t="n">
        <f aca="false">IF($C1387="","",$D1387*$E1387)</f>
        <v>16.668</v>
      </c>
      <c r="G1387" s="107" t="n">
        <f aca="false">IF($C1387="","",$D1387*IFERROR(INDEX('تحليل التكلفة والسعر'!$C$2:$C$700,MATCH($C1387,'تحليل التكلفة والسعر'!$B$2:$B$700,0)),0))</f>
        <v>8.334</v>
      </c>
      <c r="H1387" s="104" t="s">
        <v>719</v>
      </c>
    </row>
    <row r="1388" customFormat="false" ht="15" hidden="false" customHeight="false" outlineLevel="0" collapsed="false">
      <c r="A1388" s="103" t="n">
        <v>46302</v>
      </c>
      <c r="B1388" s="104" t="s">
        <v>34</v>
      </c>
      <c r="C1388" s="104" t="s">
        <v>727</v>
      </c>
      <c r="D1388" s="105" t="n">
        <v>0.4167</v>
      </c>
      <c r="E1388" s="106" t="n">
        <v>40</v>
      </c>
      <c r="F1388" s="107" t="n">
        <f aca="false">IF($C1388="","",$D1388*$E1388)</f>
        <v>16.668</v>
      </c>
      <c r="G1388" s="107" t="n">
        <f aca="false">IF($C1388="","",$D1388*IFERROR(INDEX('تحليل التكلفة والسعر'!$C$2:$C$700,MATCH($C1388,'تحليل التكلفة والسعر'!$B$2:$B$700,0)),0))</f>
        <v>8.334</v>
      </c>
      <c r="H1388" s="104" t="s">
        <v>719</v>
      </c>
    </row>
    <row r="1389" customFormat="false" ht="15" hidden="false" customHeight="false" outlineLevel="0" collapsed="false">
      <c r="A1389" s="103" t="n">
        <v>46303</v>
      </c>
      <c r="B1389" s="104" t="s">
        <v>34</v>
      </c>
      <c r="C1389" s="104" t="s">
        <v>727</v>
      </c>
      <c r="D1389" s="105" t="n">
        <v>0.4167</v>
      </c>
      <c r="E1389" s="106" t="n">
        <v>40</v>
      </c>
      <c r="F1389" s="107" t="n">
        <f aca="false">IF($C1389="","",$D1389*$E1389)</f>
        <v>16.668</v>
      </c>
      <c r="G1389" s="107" t="n">
        <f aca="false">IF($C1389="","",$D1389*IFERROR(INDEX('تحليل التكلفة والسعر'!$C$2:$C$700,MATCH($C1389,'تحليل التكلفة والسعر'!$B$2:$B$700,0)),0))</f>
        <v>8.334</v>
      </c>
      <c r="H1389" s="104" t="s">
        <v>719</v>
      </c>
    </row>
    <row r="1390" customFormat="false" ht="15" hidden="false" customHeight="false" outlineLevel="0" collapsed="false">
      <c r="A1390" s="103" t="n">
        <v>46304</v>
      </c>
      <c r="B1390" s="104" t="s">
        <v>34</v>
      </c>
      <c r="C1390" s="104" t="s">
        <v>727</v>
      </c>
      <c r="D1390" s="105" t="n">
        <v>0.4167</v>
      </c>
      <c r="E1390" s="106" t="n">
        <v>40</v>
      </c>
      <c r="F1390" s="107" t="n">
        <f aca="false">IF($C1390="","",$D1390*$E1390)</f>
        <v>16.668</v>
      </c>
      <c r="G1390" s="107" t="n">
        <f aca="false">IF($C1390="","",$D1390*IFERROR(INDEX('تحليل التكلفة والسعر'!$C$2:$C$700,MATCH($C1390,'تحليل التكلفة والسعر'!$B$2:$B$700,0)),0))</f>
        <v>8.334</v>
      </c>
      <c r="H1390" s="104" t="s">
        <v>719</v>
      </c>
    </row>
    <row r="1391" customFormat="false" ht="15" hidden="false" customHeight="false" outlineLevel="0" collapsed="false">
      <c r="A1391" s="103" t="n">
        <v>46305</v>
      </c>
      <c r="B1391" s="104" t="s">
        <v>34</v>
      </c>
      <c r="C1391" s="104" t="s">
        <v>727</v>
      </c>
      <c r="D1391" s="105" t="n">
        <v>0.4167</v>
      </c>
      <c r="E1391" s="106" t="n">
        <v>40</v>
      </c>
      <c r="F1391" s="107" t="n">
        <f aca="false">IF($C1391="","",$D1391*$E1391)</f>
        <v>16.668</v>
      </c>
      <c r="G1391" s="107" t="n">
        <f aca="false">IF($C1391="","",$D1391*IFERROR(INDEX('تحليل التكلفة والسعر'!$C$2:$C$700,MATCH($C1391,'تحليل التكلفة والسعر'!$B$2:$B$700,0)),0))</f>
        <v>8.334</v>
      </c>
      <c r="H1391" s="104" t="s">
        <v>719</v>
      </c>
    </row>
    <row r="1392" customFormat="false" ht="15" hidden="false" customHeight="false" outlineLevel="0" collapsed="false">
      <c r="A1392" s="103" t="n">
        <v>46306</v>
      </c>
      <c r="B1392" s="104" t="s">
        <v>34</v>
      </c>
      <c r="C1392" s="104" t="s">
        <v>727</v>
      </c>
      <c r="D1392" s="105" t="n">
        <v>0.4167</v>
      </c>
      <c r="E1392" s="106" t="n">
        <v>40</v>
      </c>
      <c r="F1392" s="107" t="n">
        <f aca="false">IF($C1392="","",$D1392*$E1392)</f>
        <v>16.668</v>
      </c>
      <c r="G1392" s="107" t="n">
        <f aca="false">IF($C1392="","",$D1392*IFERROR(INDEX('تحليل التكلفة والسعر'!$C$2:$C$700,MATCH($C1392,'تحليل التكلفة والسعر'!$B$2:$B$700,0)),0))</f>
        <v>8.334</v>
      </c>
      <c r="H1392" s="104" t="s">
        <v>719</v>
      </c>
    </row>
    <row r="1393" customFormat="false" ht="15" hidden="false" customHeight="false" outlineLevel="0" collapsed="false">
      <c r="A1393" s="103" t="n">
        <v>46307</v>
      </c>
      <c r="B1393" s="104" t="s">
        <v>34</v>
      </c>
      <c r="C1393" s="104" t="s">
        <v>727</v>
      </c>
      <c r="D1393" s="105" t="n">
        <v>0.4167</v>
      </c>
      <c r="E1393" s="106" t="n">
        <v>40</v>
      </c>
      <c r="F1393" s="107" t="n">
        <f aca="false">IF($C1393="","",$D1393*$E1393)</f>
        <v>16.668</v>
      </c>
      <c r="G1393" s="107" t="n">
        <f aca="false">IF($C1393="","",$D1393*IFERROR(INDEX('تحليل التكلفة والسعر'!$C$2:$C$700,MATCH($C1393,'تحليل التكلفة والسعر'!$B$2:$B$700,0)),0))</f>
        <v>8.334</v>
      </c>
      <c r="H1393" s="104" t="s">
        <v>719</v>
      </c>
    </row>
    <row r="1394" customFormat="false" ht="15" hidden="false" customHeight="false" outlineLevel="0" collapsed="false">
      <c r="A1394" s="103" t="n">
        <v>46296</v>
      </c>
      <c r="B1394" s="104" t="s">
        <v>34</v>
      </c>
      <c r="C1394" s="104" t="s">
        <v>729</v>
      </c>
      <c r="D1394" s="105" t="n">
        <v>0.1667</v>
      </c>
      <c r="E1394" s="106" t="n">
        <v>40</v>
      </c>
      <c r="F1394" s="107" t="n">
        <f aca="false">IF($C1394="","",$D1394*$E1394)</f>
        <v>6.668</v>
      </c>
      <c r="G1394" s="107" t="n">
        <f aca="false">IF($C1394="","",$D1394*IFERROR(INDEX('تحليل التكلفة والسعر'!$C$2:$C$700,MATCH($C1394,'تحليل التكلفة والسعر'!$B$2:$B$700,0)),0))</f>
        <v>2.91725</v>
      </c>
      <c r="H1394" s="104" t="s">
        <v>719</v>
      </c>
    </row>
    <row r="1395" customFormat="false" ht="15" hidden="false" customHeight="false" outlineLevel="0" collapsed="false">
      <c r="A1395" s="103" t="n">
        <v>46297</v>
      </c>
      <c r="B1395" s="104" t="s">
        <v>34</v>
      </c>
      <c r="C1395" s="104" t="s">
        <v>729</v>
      </c>
      <c r="D1395" s="105" t="n">
        <v>0.1667</v>
      </c>
      <c r="E1395" s="106" t="n">
        <v>40</v>
      </c>
      <c r="F1395" s="107" t="n">
        <f aca="false">IF($C1395="","",$D1395*$E1395)</f>
        <v>6.668</v>
      </c>
      <c r="G1395" s="107" t="n">
        <f aca="false">IF($C1395="","",$D1395*IFERROR(INDEX('تحليل التكلفة والسعر'!$C$2:$C$700,MATCH($C1395,'تحليل التكلفة والسعر'!$B$2:$B$700,0)),0))</f>
        <v>2.91725</v>
      </c>
      <c r="H1395" s="104" t="s">
        <v>719</v>
      </c>
    </row>
    <row r="1396" customFormat="false" ht="15" hidden="false" customHeight="false" outlineLevel="0" collapsed="false">
      <c r="A1396" s="103" t="n">
        <v>46298</v>
      </c>
      <c r="B1396" s="104" t="s">
        <v>34</v>
      </c>
      <c r="C1396" s="104" t="s">
        <v>729</v>
      </c>
      <c r="D1396" s="105" t="n">
        <v>0.1667</v>
      </c>
      <c r="E1396" s="106" t="n">
        <v>40</v>
      </c>
      <c r="F1396" s="107" t="n">
        <f aca="false">IF($C1396="","",$D1396*$E1396)</f>
        <v>6.668</v>
      </c>
      <c r="G1396" s="107" t="n">
        <f aca="false">IF($C1396="","",$D1396*IFERROR(INDEX('تحليل التكلفة والسعر'!$C$2:$C$700,MATCH($C1396,'تحليل التكلفة والسعر'!$B$2:$B$700,0)),0))</f>
        <v>2.91725</v>
      </c>
      <c r="H1396" s="104" t="s">
        <v>719</v>
      </c>
    </row>
    <row r="1397" customFormat="false" ht="15" hidden="false" customHeight="false" outlineLevel="0" collapsed="false">
      <c r="A1397" s="103" t="n">
        <v>46299</v>
      </c>
      <c r="B1397" s="104" t="s">
        <v>34</v>
      </c>
      <c r="C1397" s="104" t="s">
        <v>729</v>
      </c>
      <c r="D1397" s="105" t="n">
        <v>0.1667</v>
      </c>
      <c r="E1397" s="106" t="n">
        <v>40</v>
      </c>
      <c r="F1397" s="107" t="n">
        <f aca="false">IF($C1397="","",$D1397*$E1397)</f>
        <v>6.668</v>
      </c>
      <c r="G1397" s="107" t="n">
        <f aca="false">IF($C1397="","",$D1397*IFERROR(INDEX('تحليل التكلفة والسعر'!$C$2:$C$700,MATCH($C1397,'تحليل التكلفة والسعر'!$B$2:$B$700,0)),0))</f>
        <v>2.91725</v>
      </c>
      <c r="H1397" s="104" t="s">
        <v>719</v>
      </c>
    </row>
    <row r="1398" customFormat="false" ht="15" hidden="false" customHeight="false" outlineLevel="0" collapsed="false">
      <c r="A1398" s="103" t="n">
        <v>46300</v>
      </c>
      <c r="B1398" s="104" t="s">
        <v>34</v>
      </c>
      <c r="C1398" s="104" t="s">
        <v>729</v>
      </c>
      <c r="D1398" s="105" t="n">
        <v>0.1667</v>
      </c>
      <c r="E1398" s="106" t="n">
        <v>40</v>
      </c>
      <c r="F1398" s="107" t="n">
        <f aca="false">IF($C1398="","",$D1398*$E1398)</f>
        <v>6.668</v>
      </c>
      <c r="G1398" s="107" t="n">
        <f aca="false">IF($C1398="","",$D1398*IFERROR(INDEX('تحليل التكلفة والسعر'!$C$2:$C$700,MATCH($C1398,'تحليل التكلفة والسعر'!$B$2:$B$700,0)),0))</f>
        <v>2.91725</v>
      </c>
      <c r="H1398" s="104" t="s">
        <v>719</v>
      </c>
    </row>
    <row r="1399" customFormat="false" ht="15" hidden="false" customHeight="false" outlineLevel="0" collapsed="false">
      <c r="A1399" s="103" t="n">
        <v>46301</v>
      </c>
      <c r="B1399" s="104" t="s">
        <v>34</v>
      </c>
      <c r="C1399" s="104" t="s">
        <v>729</v>
      </c>
      <c r="D1399" s="105" t="n">
        <v>0.1667</v>
      </c>
      <c r="E1399" s="106" t="n">
        <v>40</v>
      </c>
      <c r="F1399" s="107" t="n">
        <f aca="false">IF($C1399="","",$D1399*$E1399)</f>
        <v>6.668</v>
      </c>
      <c r="G1399" s="107" t="n">
        <f aca="false">IF($C1399="","",$D1399*IFERROR(INDEX('تحليل التكلفة والسعر'!$C$2:$C$700,MATCH($C1399,'تحليل التكلفة والسعر'!$B$2:$B$700,0)),0))</f>
        <v>2.91725</v>
      </c>
      <c r="H1399" s="104" t="s">
        <v>719</v>
      </c>
    </row>
    <row r="1400" customFormat="false" ht="15" hidden="false" customHeight="false" outlineLevel="0" collapsed="false">
      <c r="A1400" s="103" t="n">
        <v>46302</v>
      </c>
      <c r="B1400" s="104" t="s">
        <v>34</v>
      </c>
      <c r="C1400" s="104" t="s">
        <v>729</v>
      </c>
      <c r="D1400" s="105" t="n">
        <v>0.1667</v>
      </c>
      <c r="E1400" s="106" t="n">
        <v>40</v>
      </c>
      <c r="F1400" s="107" t="n">
        <f aca="false">IF($C1400="","",$D1400*$E1400)</f>
        <v>6.668</v>
      </c>
      <c r="G1400" s="107" t="n">
        <f aca="false">IF($C1400="","",$D1400*IFERROR(INDEX('تحليل التكلفة والسعر'!$C$2:$C$700,MATCH($C1400,'تحليل التكلفة والسعر'!$B$2:$B$700,0)),0))</f>
        <v>2.91725</v>
      </c>
      <c r="H1400" s="104" t="s">
        <v>719</v>
      </c>
    </row>
    <row r="1401" customFormat="false" ht="15" hidden="false" customHeight="false" outlineLevel="0" collapsed="false">
      <c r="A1401" s="103" t="n">
        <v>46303</v>
      </c>
      <c r="B1401" s="104" t="s">
        <v>34</v>
      </c>
      <c r="C1401" s="104" t="s">
        <v>729</v>
      </c>
      <c r="D1401" s="105" t="n">
        <v>0.1667</v>
      </c>
      <c r="E1401" s="106" t="n">
        <v>40</v>
      </c>
      <c r="F1401" s="107" t="n">
        <f aca="false">IF($C1401="","",$D1401*$E1401)</f>
        <v>6.668</v>
      </c>
      <c r="G1401" s="107" t="n">
        <f aca="false">IF($C1401="","",$D1401*IFERROR(INDEX('تحليل التكلفة والسعر'!$C$2:$C$700,MATCH($C1401,'تحليل التكلفة والسعر'!$B$2:$B$700,0)),0))</f>
        <v>2.91725</v>
      </c>
      <c r="H1401" s="104" t="s">
        <v>719</v>
      </c>
    </row>
    <row r="1402" customFormat="false" ht="15" hidden="false" customHeight="false" outlineLevel="0" collapsed="false">
      <c r="A1402" s="103" t="n">
        <v>46304</v>
      </c>
      <c r="B1402" s="104" t="s">
        <v>34</v>
      </c>
      <c r="C1402" s="104" t="s">
        <v>729</v>
      </c>
      <c r="D1402" s="105" t="n">
        <v>0.1667</v>
      </c>
      <c r="E1402" s="106" t="n">
        <v>40</v>
      </c>
      <c r="F1402" s="107" t="n">
        <f aca="false">IF($C1402="","",$D1402*$E1402)</f>
        <v>6.668</v>
      </c>
      <c r="G1402" s="107" t="n">
        <f aca="false">IF($C1402="","",$D1402*IFERROR(INDEX('تحليل التكلفة والسعر'!$C$2:$C$700,MATCH($C1402,'تحليل التكلفة والسعر'!$B$2:$B$700,0)),0))</f>
        <v>2.91725</v>
      </c>
      <c r="H1402" s="104" t="s">
        <v>719</v>
      </c>
    </row>
    <row r="1403" customFormat="false" ht="15" hidden="false" customHeight="false" outlineLevel="0" collapsed="false">
      <c r="A1403" s="103" t="n">
        <v>46305</v>
      </c>
      <c r="B1403" s="104" t="s">
        <v>34</v>
      </c>
      <c r="C1403" s="104" t="s">
        <v>729</v>
      </c>
      <c r="D1403" s="105" t="n">
        <v>0.1667</v>
      </c>
      <c r="E1403" s="106" t="n">
        <v>40</v>
      </c>
      <c r="F1403" s="107" t="n">
        <f aca="false">IF($C1403="","",$D1403*$E1403)</f>
        <v>6.668</v>
      </c>
      <c r="G1403" s="107" t="n">
        <f aca="false">IF($C1403="","",$D1403*IFERROR(INDEX('تحليل التكلفة والسعر'!$C$2:$C$700,MATCH($C1403,'تحليل التكلفة والسعر'!$B$2:$B$700,0)),0))</f>
        <v>2.91725</v>
      </c>
      <c r="H1403" s="104" t="s">
        <v>719</v>
      </c>
    </row>
    <row r="1404" customFormat="false" ht="15" hidden="false" customHeight="false" outlineLevel="0" collapsed="false">
      <c r="A1404" s="103" t="n">
        <v>46306</v>
      </c>
      <c r="B1404" s="104" t="s">
        <v>34</v>
      </c>
      <c r="C1404" s="104" t="s">
        <v>729</v>
      </c>
      <c r="D1404" s="105" t="n">
        <v>0.1667</v>
      </c>
      <c r="E1404" s="106" t="n">
        <v>40</v>
      </c>
      <c r="F1404" s="107" t="n">
        <f aca="false">IF($C1404="","",$D1404*$E1404)</f>
        <v>6.668</v>
      </c>
      <c r="G1404" s="107" t="n">
        <f aca="false">IF($C1404="","",$D1404*IFERROR(INDEX('تحليل التكلفة والسعر'!$C$2:$C$700,MATCH($C1404,'تحليل التكلفة والسعر'!$B$2:$B$700,0)),0))</f>
        <v>2.91725</v>
      </c>
      <c r="H1404" s="104" t="s">
        <v>719</v>
      </c>
    </row>
    <row r="1405" customFormat="false" ht="15" hidden="false" customHeight="false" outlineLevel="0" collapsed="false">
      <c r="A1405" s="103" t="n">
        <v>46307</v>
      </c>
      <c r="B1405" s="104" t="s">
        <v>34</v>
      </c>
      <c r="C1405" s="104" t="s">
        <v>729</v>
      </c>
      <c r="D1405" s="105" t="n">
        <v>0.1667</v>
      </c>
      <c r="E1405" s="106" t="n">
        <v>40</v>
      </c>
      <c r="F1405" s="107" t="n">
        <f aca="false">IF($C1405="","",$D1405*$E1405)</f>
        <v>6.668</v>
      </c>
      <c r="G1405" s="107" t="n">
        <f aca="false">IF($C1405="","",$D1405*IFERROR(INDEX('تحليل التكلفة والسعر'!$C$2:$C$700,MATCH($C1405,'تحليل التكلفة والسعر'!$B$2:$B$700,0)),0))</f>
        <v>2.91725</v>
      </c>
      <c r="H1405" s="104" t="s">
        <v>719</v>
      </c>
    </row>
    <row r="1406" customFormat="false" ht="15" hidden="false" customHeight="false" outlineLevel="0" collapsed="false">
      <c r="A1406" s="103" t="n">
        <v>46296</v>
      </c>
      <c r="B1406" s="104" t="s">
        <v>34</v>
      </c>
      <c r="C1406" s="104" t="s">
        <v>753</v>
      </c>
      <c r="D1406" s="105" t="n">
        <v>0.0833</v>
      </c>
      <c r="E1406" s="106" t="n">
        <v>60</v>
      </c>
      <c r="F1406" s="107" t="n">
        <f aca="false">IF($C1406="","",$D1406*$E1406)</f>
        <v>4.998</v>
      </c>
      <c r="G1406" s="107" t="n">
        <f aca="false">IF($C1406="","",$D1406*IFERROR(INDEX('تحليل التكلفة والسعر'!$C$2:$C$700,MATCH($C1406,'تحليل التكلفة والسعر'!$B$2:$B$700,0)),0))</f>
        <v>1.6955402625</v>
      </c>
      <c r="H1406" s="104" t="s">
        <v>719</v>
      </c>
    </row>
    <row r="1407" customFormat="false" ht="15" hidden="false" customHeight="false" outlineLevel="0" collapsed="false">
      <c r="A1407" s="103" t="n">
        <v>46297</v>
      </c>
      <c r="B1407" s="104" t="s">
        <v>34</v>
      </c>
      <c r="C1407" s="104" t="s">
        <v>753</v>
      </c>
      <c r="D1407" s="105" t="n">
        <v>0.0833</v>
      </c>
      <c r="E1407" s="106" t="n">
        <v>60</v>
      </c>
      <c r="F1407" s="107" t="n">
        <f aca="false">IF($C1407="","",$D1407*$E1407)</f>
        <v>4.998</v>
      </c>
      <c r="G1407" s="107" t="n">
        <f aca="false">IF($C1407="","",$D1407*IFERROR(INDEX('تحليل التكلفة والسعر'!$C$2:$C$700,MATCH($C1407,'تحليل التكلفة والسعر'!$B$2:$B$700,0)),0))</f>
        <v>1.6955402625</v>
      </c>
      <c r="H1407" s="104" t="s">
        <v>719</v>
      </c>
    </row>
    <row r="1408" customFormat="false" ht="15" hidden="false" customHeight="false" outlineLevel="0" collapsed="false">
      <c r="A1408" s="103" t="n">
        <v>46298</v>
      </c>
      <c r="B1408" s="104" t="s">
        <v>34</v>
      </c>
      <c r="C1408" s="104" t="s">
        <v>753</v>
      </c>
      <c r="D1408" s="105" t="n">
        <v>0.0833</v>
      </c>
      <c r="E1408" s="106" t="n">
        <v>60</v>
      </c>
      <c r="F1408" s="107" t="n">
        <f aca="false">IF($C1408="","",$D1408*$E1408)</f>
        <v>4.998</v>
      </c>
      <c r="G1408" s="107" t="n">
        <f aca="false">IF($C1408="","",$D1408*IFERROR(INDEX('تحليل التكلفة والسعر'!$C$2:$C$700,MATCH($C1408,'تحليل التكلفة والسعر'!$B$2:$B$700,0)),0))</f>
        <v>1.6955402625</v>
      </c>
      <c r="H1408" s="104" t="s">
        <v>719</v>
      </c>
    </row>
    <row r="1409" customFormat="false" ht="15" hidden="false" customHeight="false" outlineLevel="0" collapsed="false">
      <c r="A1409" s="103" t="n">
        <v>46299</v>
      </c>
      <c r="B1409" s="104" t="s">
        <v>34</v>
      </c>
      <c r="C1409" s="104" t="s">
        <v>753</v>
      </c>
      <c r="D1409" s="105" t="n">
        <v>0.0833</v>
      </c>
      <c r="E1409" s="106" t="n">
        <v>60</v>
      </c>
      <c r="F1409" s="107" t="n">
        <f aca="false">IF($C1409="","",$D1409*$E1409)</f>
        <v>4.998</v>
      </c>
      <c r="G1409" s="107" t="n">
        <f aca="false">IF($C1409="","",$D1409*IFERROR(INDEX('تحليل التكلفة والسعر'!$C$2:$C$700,MATCH($C1409,'تحليل التكلفة والسعر'!$B$2:$B$700,0)),0))</f>
        <v>1.6955402625</v>
      </c>
      <c r="H1409" s="104" t="s">
        <v>719</v>
      </c>
    </row>
    <row r="1410" customFormat="false" ht="15" hidden="false" customHeight="false" outlineLevel="0" collapsed="false">
      <c r="A1410" s="103" t="n">
        <v>46300</v>
      </c>
      <c r="B1410" s="104" t="s">
        <v>34</v>
      </c>
      <c r="C1410" s="104" t="s">
        <v>753</v>
      </c>
      <c r="D1410" s="105" t="n">
        <v>0.0833</v>
      </c>
      <c r="E1410" s="106" t="n">
        <v>60</v>
      </c>
      <c r="F1410" s="107" t="n">
        <f aca="false">IF($C1410="","",$D1410*$E1410)</f>
        <v>4.998</v>
      </c>
      <c r="G1410" s="107" t="n">
        <f aca="false">IF($C1410="","",$D1410*IFERROR(INDEX('تحليل التكلفة والسعر'!$C$2:$C$700,MATCH($C1410,'تحليل التكلفة والسعر'!$B$2:$B$700,0)),0))</f>
        <v>1.6955402625</v>
      </c>
      <c r="H1410" s="104" t="s">
        <v>719</v>
      </c>
    </row>
    <row r="1411" customFormat="false" ht="15" hidden="false" customHeight="false" outlineLevel="0" collapsed="false">
      <c r="A1411" s="103" t="n">
        <v>46301</v>
      </c>
      <c r="B1411" s="104" t="s">
        <v>34</v>
      </c>
      <c r="C1411" s="104" t="s">
        <v>753</v>
      </c>
      <c r="D1411" s="105" t="n">
        <v>0.0833</v>
      </c>
      <c r="E1411" s="106" t="n">
        <v>60</v>
      </c>
      <c r="F1411" s="107" t="n">
        <f aca="false">IF($C1411="","",$D1411*$E1411)</f>
        <v>4.998</v>
      </c>
      <c r="G1411" s="107" t="n">
        <f aca="false">IF($C1411="","",$D1411*IFERROR(INDEX('تحليل التكلفة والسعر'!$C$2:$C$700,MATCH($C1411,'تحليل التكلفة والسعر'!$B$2:$B$700,0)),0))</f>
        <v>1.6955402625</v>
      </c>
      <c r="H1411" s="104" t="s">
        <v>719</v>
      </c>
    </row>
    <row r="1412" customFormat="false" ht="15" hidden="false" customHeight="false" outlineLevel="0" collapsed="false">
      <c r="A1412" s="103" t="n">
        <v>46302</v>
      </c>
      <c r="B1412" s="104" t="s">
        <v>34</v>
      </c>
      <c r="C1412" s="104" t="s">
        <v>753</v>
      </c>
      <c r="D1412" s="105" t="n">
        <v>0.0833</v>
      </c>
      <c r="E1412" s="106" t="n">
        <v>60</v>
      </c>
      <c r="F1412" s="107" t="n">
        <f aca="false">IF($C1412="","",$D1412*$E1412)</f>
        <v>4.998</v>
      </c>
      <c r="G1412" s="107" t="n">
        <f aca="false">IF($C1412="","",$D1412*IFERROR(INDEX('تحليل التكلفة والسعر'!$C$2:$C$700,MATCH($C1412,'تحليل التكلفة والسعر'!$B$2:$B$700,0)),0))</f>
        <v>1.6955402625</v>
      </c>
      <c r="H1412" s="104" t="s">
        <v>719</v>
      </c>
    </row>
    <row r="1413" customFormat="false" ht="15" hidden="false" customHeight="false" outlineLevel="0" collapsed="false">
      <c r="A1413" s="103" t="n">
        <v>46303</v>
      </c>
      <c r="B1413" s="104" t="s">
        <v>34</v>
      </c>
      <c r="C1413" s="104" t="s">
        <v>753</v>
      </c>
      <c r="D1413" s="105" t="n">
        <v>0.0833</v>
      </c>
      <c r="E1413" s="106" t="n">
        <v>60</v>
      </c>
      <c r="F1413" s="107" t="n">
        <f aca="false">IF($C1413="","",$D1413*$E1413)</f>
        <v>4.998</v>
      </c>
      <c r="G1413" s="107" t="n">
        <f aca="false">IF($C1413="","",$D1413*IFERROR(INDEX('تحليل التكلفة والسعر'!$C$2:$C$700,MATCH($C1413,'تحليل التكلفة والسعر'!$B$2:$B$700,0)),0))</f>
        <v>1.6955402625</v>
      </c>
      <c r="H1413" s="104" t="s">
        <v>719</v>
      </c>
    </row>
    <row r="1414" customFormat="false" ht="15" hidden="false" customHeight="false" outlineLevel="0" collapsed="false">
      <c r="A1414" s="103" t="n">
        <v>46304</v>
      </c>
      <c r="B1414" s="104" t="s">
        <v>34</v>
      </c>
      <c r="C1414" s="104" t="s">
        <v>753</v>
      </c>
      <c r="D1414" s="105" t="n">
        <v>0.0833</v>
      </c>
      <c r="E1414" s="106" t="n">
        <v>60</v>
      </c>
      <c r="F1414" s="107" t="n">
        <f aca="false">IF($C1414="","",$D1414*$E1414)</f>
        <v>4.998</v>
      </c>
      <c r="G1414" s="107" t="n">
        <f aca="false">IF($C1414="","",$D1414*IFERROR(INDEX('تحليل التكلفة والسعر'!$C$2:$C$700,MATCH($C1414,'تحليل التكلفة والسعر'!$B$2:$B$700,0)),0))</f>
        <v>1.6955402625</v>
      </c>
      <c r="H1414" s="104" t="s">
        <v>719</v>
      </c>
    </row>
    <row r="1415" customFormat="false" ht="15" hidden="false" customHeight="false" outlineLevel="0" collapsed="false">
      <c r="A1415" s="103" t="n">
        <v>46305</v>
      </c>
      <c r="B1415" s="104" t="s">
        <v>34</v>
      </c>
      <c r="C1415" s="104" t="s">
        <v>753</v>
      </c>
      <c r="D1415" s="105" t="n">
        <v>0.0833</v>
      </c>
      <c r="E1415" s="106" t="n">
        <v>60</v>
      </c>
      <c r="F1415" s="107" t="n">
        <f aca="false">IF($C1415="","",$D1415*$E1415)</f>
        <v>4.998</v>
      </c>
      <c r="G1415" s="107" t="n">
        <f aca="false">IF($C1415="","",$D1415*IFERROR(INDEX('تحليل التكلفة والسعر'!$C$2:$C$700,MATCH($C1415,'تحليل التكلفة والسعر'!$B$2:$B$700,0)),0))</f>
        <v>1.6955402625</v>
      </c>
      <c r="H1415" s="104" t="s">
        <v>719</v>
      </c>
    </row>
    <row r="1416" customFormat="false" ht="15" hidden="false" customHeight="false" outlineLevel="0" collapsed="false">
      <c r="A1416" s="103" t="n">
        <v>46306</v>
      </c>
      <c r="B1416" s="104" t="s">
        <v>34</v>
      </c>
      <c r="C1416" s="104" t="s">
        <v>753</v>
      </c>
      <c r="D1416" s="105" t="n">
        <v>0.0833</v>
      </c>
      <c r="E1416" s="106" t="n">
        <v>60</v>
      </c>
      <c r="F1416" s="107" t="n">
        <f aca="false">IF($C1416="","",$D1416*$E1416)</f>
        <v>4.998</v>
      </c>
      <c r="G1416" s="107" t="n">
        <f aca="false">IF($C1416="","",$D1416*IFERROR(INDEX('تحليل التكلفة والسعر'!$C$2:$C$700,MATCH($C1416,'تحليل التكلفة والسعر'!$B$2:$B$700,0)),0))</f>
        <v>1.6955402625</v>
      </c>
      <c r="H1416" s="104" t="s">
        <v>719</v>
      </c>
    </row>
    <row r="1417" customFormat="false" ht="15" hidden="false" customHeight="false" outlineLevel="0" collapsed="false">
      <c r="A1417" s="103" t="n">
        <v>46307</v>
      </c>
      <c r="B1417" s="104" t="s">
        <v>34</v>
      </c>
      <c r="C1417" s="104" t="s">
        <v>753</v>
      </c>
      <c r="D1417" s="105" t="n">
        <v>0.0833</v>
      </c>
      <c r="E1417" s="106" t="n">
        <v>60</v>
      </c>
      <c r="F1417" s="107" t="n">
        <f aca="false">IF($C1417="","",$D1417*$E1417)</f>
        <v>4.998</v>
      </c>
      <c r="G1417" s="107" t="n">
        <f aca="false">IF($C1417="","",$D1417*IFERROR(INDEX('تحليل التكلفة والسعر'!$C$2:$C$700,MATCH($C1417,'تحليل التكلفة والسعر'!$B$2:$B$700,0)),0))</f>
        <v>1.6955402625</v>
      </c>
      <c r="H1417" s="104" t="s">
        <v>719</v>
      </c>
    </row>
    <row r="1418" customFormat="false" ht="15" hidden="false" customHeight="false" outlineLevel="0" collapsed="false">
      <c r="A1418" s="103" t="n">
        <v>46296</v>
      </c>
      <c r="B1418" s="104" t="s">
        <v>34</v>
      </c>
      <c r="C1418" s="104" t="s">
        <v>730</v>
      </c>
      <c r="D1418" s="105" t="n">
        <v>0.25</v>
      </c>
      <c r="E1418" s="106" t="n">
        <v>40</v>
      </c>
      <c r="F1418" s="107" t="n">
        <f aca="false">IF($C1418="","",$D1418*$E1418)</f>
        <v>10</v>
      </c>
      <c r="G1418" s="107" t="n">
        <f aca="false">IF($C1418="","",$D1418*IFERROR(INDEX('تحليل التكلفة والسعر'!$C$2:$C$700,MATCH($C1418,'تحليل التكلفة والسعر'!$B$2:$B$700,0)),0))</f>
        <v>2.5</v>
      </c>
      <c r="H1418" s="104" t="s">
        <v>719</v>
      </c>
    </row>
    <row r="1419" customFormat="false" ht="15" hidden="false" customHeight="false" outlineLevel="0" collapsed="false">
      <c r="A1419" s="103" t="n">
        <v>46297</v>
      </c>
      <c r="B1419" s="104" t="s">
        <v>34</v>
      </c>
      <c r="C1419" s="104" t="s">
        <v>730</v>
      </c>
      <c r="D1419" s="105" t="n">
        <v>0.25</v>
      </c>
      <c r="E1419" s="106" t="n">
        <v>40</v>
      </c>
      <c r="F1419" s="107" t="n">
        <f aca="false">IF($C1419="","",$D1419*$E1419)</f>
        <v>10</v>
      </c>
      <c r="G1419" s="107" t="n">
        <f aca="false">IF($C1419="","",$D1419*IFERROR(INDEX('تحليل التكلفة والسعر'!$C$2:$C$700,MATCH($C1419,'تحليل التكلفة والسعر'!$B$2:$B$700,0)),0))</f>
        <v>2.5</v>
      </c>
      <c r="H1419" s="104" t="s">
        <v>719</v>
      </c>
    </row>
    <row r="1420" customFormat="false" ht="15" hidden="false" customHeight="false" outlineLevel="0" collapsed="false">
      <c r="A1420" s="103" t="n">
        <v>46298</v>
      </c>
      <c r="B1420" s="104" t="s">
        <v>34</v>
      </c>
      <c r="C1420" s="104" t="s">
        <v>730</v>
      </c>
      <c r="D1420" s="105" t="n">
        <v>0.25</v>
      </c>
      <c r="E1420" s="106" t="n">
        <v>40</v>
      </c>
      <c r="F1420" s="107" t="n">
        <f aca="false">IF($C1420="","",$D1420*$E1420)</f>
        <v>10</v>
      </c>
      <c r="G1420" s="107" t="n">
        <f aca="false">IF($C1420="","",$D1420*IFERROR(INDEX('تحليل التكلفة والسعر'!$C$2:$C$700,MATCH($C1420,'تحليل التكلفة والسعر'!$B$2:$B$700,0)),0))</f>
        <v>2.5</v>
      </c>
      <c r="H1420" s="104" t="s">
        <v>719</v>
      </c>
    </row>
    <row r="1421" customFormat="false" ht="15" hidden="false" customHeight="false" outlineLevel="0" collapsed="false">
      <c r="A1421" s="103" t="n">
        <v>46299</v>
      </c>
      <c r="B1421" s="104" t="s">
        <v>34</v>
      </c>
      <c r="C1421" s="104" t="s">
        <v>730</v>
      </c>
      <c r="D1421" s="105" t="n">
        <v>0.25</v>
      </c>
      <c r="E1421" s="106" t="n">
        <v>40</v>
      </c>
      <c r="F1421" s="107" t="n">
        <f aca="false">IF($C1421="","",$D1421*$E1421)</f>
        <v>10</v>
      </c>
      <c r="G1421" s="107" t="n">
        <f aca="false">IF($C1421="","",$D1421*IFERROR(INDEX('تحليل التكلفة والسعر'!$C$2:$C$700,MATCH($C1421,'تحليل التكلفة والسعر'!$B$2:$B$700,0)),0))</f>
        <v>2.5</v>
      </c>
      <c r="H1421" s="104" t="s">
        <v>719</v>
      </c>
    </row>
    <row r="1422" customFormat="false" ht="15" hidden="false" customHeight="false" outlineLevel="0" collapsed="false">
      <c r="A1422" s="103" t="n">
        <v>46300</v>
      </c>
      <c r="B1422" s="104" t="s">
        <v>34</v>
      </c>
      <c r="C1422" s="104" t="s">
        <v>730</v>
      </c>
      <c r="D1422" s="105" t="n">
        <v>0.25</v>
      </c>
      <c r="E1422" s="106" t="n">
        <v>40</v>
      </c>
      <c r="F1422" s="107" t="n">
        <f aca="false">IF($C1422="","",$D1422*$E1422)</f>
        <v>10</v>
      </c>
      <c r="G1422" s="107" t="n">
        <f aca="false">IF($C1422="","",$D1422*IFERROR(INDEX('تحليل التكلفة والسعر'!$C$2:$C$700,MATCH($C1422,'تحليل التكلفة والسعر'!$B$2:$B$700,0)),0))</f>
        <v>2.5</v>
      </c>
      <c r="H1422" s="104" t="s">
        <v>719</v>
      </c>
    </row>
    <row r="1423" customFormat="false" ht="15" hidden="false" customHeight="false" outlineLevel="0" collapsed="false">
      <c r="A1423" s="103" t="n">
        <v>46301</v>
      </c>
      <c r="B1423" s="104" t="s">
        <v>34</v>
      </c>
      <c r="C1423" s="104" t="s">
        <v>730</v>
      </c>
      <c r="D1423" s="105" t="n">
        <v>0.25</v>
      </c>
      <c r="E1423" s="106" t="n">
        <v>40</v>
      </c>
      <c r="F1423" s="107" t="n">
        <f aca="false">IF($C1423="","",$D1423*$E1423)</f>
        <v>10</v>
      </c>
      <c r="G1423" s="107" t="n">
        <f aca="false">IF($C1423="","",$D1423*IFERROR(INDEX('تحليل التكلفة والسعر'!$C$2:$C$700,MATCH($C1423,'تحليل التكلفة والسعر'!$B$2:$B$700,0)),0))</f>
        <v>2.5</v>
      </c>
      <c r="H1423" s="104" t="s">
        <v>719</v>
      </c>
    </row>
    <row r="1424" customFormat="false" ht="15" hidden="false" customHeight="false" outlineLevel="0" collapsed="false">
      <c r="A1424" s="103" t="n">
        <v>46302</v>
      </c>
      <c r="B1424" s="104" t="s">
        <v>34</v>
      </c>
      <c r="C1424" s="104" t="s">
        <v>730</v>
      </c>
      <c r="D1424" s="105" t="n">
        <v>0.25</v>
      </c>
      <c r="E1424" s="106" t="n">
        <v>40</v>
      </c>
      <c r="F1424" s="107" t="n">
        <f aca="false">IF($C1424="","",$D1424*$E1424)</f>
        <v>10</v>
      </c>
      <c r="G1424" s="107" t="n">
        <f aca="false">IF($C1424="","",$D1424*IFERROR(INDEX('تحليل التكلفة والسعر'!$C$2:$C$700,MATCH($C1424,'تحليل التكلفة والسعر'!$B$2:$B$700,0)),0))</f>
        <v>2.5</v>
      </c>
      <c r="H1424" s="104" t="s">
        <v>719</v>
      </c>
    </row>
    <row r="1425" customFormat="false" ht="15" hidden="false" customHeight="false" outlineLevel="0" collapsed="false">
      <c r="A1425" s="103" t="n">
        <v>46303</v>
      </c>
      <c r="B1425" s="104" t="s">
        <v>34</v>
      </c>
      <c r="C1425" s="104" t="s">
        <v>730</v>
      </c>
      <c r="D1425" s="105" t="n">
        <v>0.25</v>
      </c>
      <c r="E1425" s="106" t="n">
        <v>40</v>
      </c>
      <c r="F1425" s="107" t="n">
        <f aca="false">IF($C1425="","",$D1425*$E1425)</f>
        <v>10</v>
      </c>
      <c r="G1425" s="107" t="n">
        <f aca="false">IF($C1425="","",$D1425*IFERROR(INDEX('تحليل التكلفة والسعر'!$C$2:$C$700,MATCH($C1425,'تحليل التكلفة والسعر'!$B$2:$B$700,0)),0))</f>
        <v>2.5</v>
      </c>
      <c r="H1425" s="104" t="s">
        <v>719</v>
      </c>
    </row>
    <row r="1426" customFormat="false" ht="15" hidden="false" customHeight="false" outlineLevel="0" collapsed="false">
      <c r="A1426" s="103" t="n">
        <v>46304</v>
      </c>
      <c r="B1426" s="104" t="s">
        <v>34</v>
      </c>
      <c r="C1426" s="104" t="s">
        <v>730</v>
      </c>
      <c r="D1426" s="105" t="n">
        <v>0.25</v>
      </c>
      <c r="E1426" s="106" t="n">
        <v>40</v>
      </c>
      <c r="F1426" s="107" t="n">
        <f aca="false">IF($C1426="","",$D1426*$E1426)</f>
        <v>10</v>
      </c>
      <c r="G1426" s="107" t="n">
        <f aca="false">IF($C1426="","",$D1426*IFERROR(INDEX('تحليل التكلفة والسعر'!$C$2:$C$700,MATCH($C1426,'تحليل التكلفة والسعر'!$B$2:$B$700,0)),0))</f>
        <v>2.5</v>
      </c>
      <c r="H1426" s="104" t="s">
        <v>719</v>
      </c>
    </row>
    <row r="1427" customFormat="false" ht="15" hidden="false" customHeight="false" outlineLevel="0" collapsed="false">
      <c r="A1427" s="103" t="n">
        <v>46305</v>
      </c>
      <c r="B1427" s="104" t="s">
        <v>34</v>
      </c>
      <c r="C1427" s="104" t="s">
        <v>730</v>
      </c>
      <c r="D1427" s="105" t="n">
        <v>0.25</v>
      </c>
      <c r="E1427" s="106" t="n">
        <v>40</v>
      </c>
      <c r="F1427" s="107" t="n">
        <f aca="false">IF($C1427="","",$D1427*$E1427)</f>
        <v>10</v>
      </c>
      <c r="G1427" s="107" t="n">
        <f aca="false">IF($C1427="","",$D1427*IFERROR(INDEX('تحليل التكلفة والسعر'!$C$2:$C$700,MATCH($C1427,'تحليل التكلفة والسعر'!$B$2:$B$700,0)),0))</f>
        <v>2.5</v>
      </c>
      <c r="H1427" s="104" t="s">
        <v>719</v>
      </c>
    </row>
    <row r="1428" customFormat="false" ht="15" hidden="false" customHeight="false" outlineLevel="0" collapsed="false">
      <c r="A1428" s="103" t="n">
        <v>46306</v>
      </c>
      <c r="B1428" s="104" t="s">
        <v>34</v>
      </c>
      <c r="C1428" s="104" t="s">
        <v>730</v>
      </c>
      <c r="D1428" s="105" t="n">
        <v>0.25</v>
      </c>
      <c r="E1428" s="106" t="n">
        <v>40</v>
      </c>
      <c r="F1428" s="107" t="n">
        <f aca="false">IF($C1428="","",$D1428*$E1428)</f>
        <v>10</v>
      </c>
      <c r="G1428" s="107" t="n">
        <f aca="false">IF($C1428="","",$D1428*IFERROR(INDEX('تحليل التكلفة والسعر'!$C$2:$C$700,MATCH($C1428,'تحليل التكلفة والسعر'!$B$2:$B$700,0)),0))</f>
        <v>2.5</v>
      </c>
      <c r="H1428" s="104" t="s">
        <v>719</v>
      </c>
    </row>
    <row r="1429" customFormat="false" ht="15" hidden="false" customHeight="false" outlineLevel="0" collapsed="false">
      <c r="A1429" s="103" t="n">
        <v>46307</v>
      </c>
      <c r="B1429" s="104" t="s">
        <v>34</v>
      </c>
      <c r="C1429" s="104" t="s">
        <v>730</v>
      </c>
      <c r="D1429" s="105" t="n">
        <v>0.25</v>
      </c>
      <c r="E1429" s="106" t="n">
        <v>40</v>
      </c>
      <c r="F1429" s="107" t="n">
        <f aca="false">IF($C1429="","",$D1429*$E1429)</f>
        <v>10</v>
      </c>
      <c r="G1429" s="107" t="n">
        <f aca="false">IF($C1429="","",$D1429*IFERROR(INDEX('تحليل التكلفة والسعر'!$C$2:$C$700,MATCH($C1429,'تحليل التكلفة والسعر'!$B$2:$B$700,0)),0))</f>
        <v>2.5</v>
      </c>
      <c r="H1429" s="104" t="s">
        <v>719</v>
      </c>
    </row>
    <row r="1430" customFormat="false" ht="15" hidden="false" customHeight="false" outlineLevel="0" collapsed="false">
      <c r="A1430" s="103" t="n">
        <v>46296</v>
      </c>
      <c r="B1430" s="104" t="s">
        <v>34</v>
      </c>
      <c r="C1430" s="104" t="s">
        <v>732</v>
      </c>
      <c r="D1430" s="105" t="n">
        <v>0.0833</v>
      </c>
      <c r="E1430" s="106" t="n">
        <v>90</v>
      </c>
      <c r="F1430" s="107" t="n">
        <f aca="false">IF($C1430="","",$D1430*$E1430)</f>
        <v>7.497</v>
      </c>
      <c r="G1430" s="107" t="n">
        <f aca="false">IF($C1430="","",$D1430*IFERROR(INDEX('تحليل التكلفة والسعر'!$C$2:$C$700,MATCH($C1430,'تحليل التكلفة والسعر'!$B$2:$B$700,0)),0))</f>
        <v>3.7485</v>
      </c>
      <c r="H1430" s="104" t="s">
        <v>719</v>
      </c>
    </row>
    <row r="1431" customFormat="false" ht="15" hidden="false" customHeight="false" outlineLevel="0" collapsed="false">
      <c r="A1431" s="103" t="n">
        <v>46297</v>
      </c>
      <c r="B1431" s="104" t="s">
        <v>34</v>
      </c>
      <c r="C1431" s="104" t="s">
        <v>732</v>
      </c>
      <c r="D1431" s="105" t="n">
        <v>0.0833</v>
      </c>
      <c r="E1431" s="106" t="n">
        <v>90</v>
      </c>
      <c r="F1431" s="107" t="n">
        <f aca="false">IF($C1431="","",$D1431*$E1431)</f>
        <v>7.497</v>
      </c>
      <c r="G1431" s="107" t="n">
        <f aca="false">IF($C1431="","",$D1431*IFERROR(INDEX('تحليل التكلفة والسعر'!$C$2:$C$700,MATCH($C1431,'تحليل التكلفة والسعر'!$B$2:$B$700,0)),0))</f>
        <v>3.7485</v>
      </c>
      <c r="H1431" s="104" t="s">
        <v>719</v>
      </c>
    </row>
    <row r="1432" customFormat="false" ht="15" hidden="false" customHeight="false" outlineLevel="0" collapsed="false">
      <c r="A1432" s="103" t="n">
        <v>46298</v>
      </c>
      <c r="B1432" s="104" t="s">
        <v>34</v>
      </c>
      <c r="C1432" s="104" t="s">
        <v>732</v>
      </c>
      <c r="D1432" s="105" t="n">
        <v>0.0833</v>
      </c>
      <c r="E1432" s="106" t="n">
        <v>90</v>
      </c>
      <c r="F1432" s="107" t="n">
        <f aca="false">IF($C1432="","",$D1432*$E1432)</f>
        <v>7.497</v>
      </c>
      <c r="G1432" s="107" t="n">
        <f aca="false">IF($C1432="","",$D1432*IFERROR(INDEX('تحليل التكلفة والسعر'!$C$2:$C$700,MATCH($C1432,'تحليل التكلفة والسعر'!$B$2:$B$700,0)),0))</f>
        <v>3.7485</v>
      </c>
      <c r="H1432" s="104" t="s">
        <v>719</v>
      </c>
    </row>
    <row r="1433" customFormat="false" ht="15" hidden="false" customHeight="false" outlineLevel="0" collapsed="false">
      <c r="A1433" s="103" t="n">
        <v>46299</v>
      </c>
      <c r="B1433" s="104" t="s">
        <v>34</v>
      </c>
      <c r="C1433" s="104" t="s">
        <v>732</v>
      </c>
      <c r="D1433" s="105" t="n">
        <v>0.0833</v>
      </c>
      <c r="E1433" s="106" t="n">
        <v>90</v>
      </c>
      <c r="F1433" s="107" t="n">
        <f aca="false">IF($C1433="","",$D1433*$E1433)</f>
        <v>7.497</v>
      </c>
      <c r="G1433" s="107" t="n">
        <f aca="false">IF($C1433="","",$D1433*IFERROR(INDEX('تحليل التكلفة والسعر'!$C$2:$C$700,MATCH($C1433,'تحليل التكلفة والسعر'!$B$2:$B$700,0)),0))</f>
        <v>3.7485</v>
      </c>
      <c r="H1433" s="104" t="s">
        <v>719</v>
      </c>
    </row>
    <row r="1434" customFormat="false" ht="15" hidden="false" customHeight="false" outlineLevel="0" collapsed="false">
      <c r="A1434" s="103" t="n">
        <v>46300</v>
      </c>
      <c r="B1434" s="104" t="s">
        <v>34</v>
      </c>
      <c r="C1434" s="104" t="s">
        <v>732</v>
      </c>
      <c r="D1434" s="105" t="n">
        <v>0.0833</v>
      </c>
      <c r="E1434" s="106" t="n">
        <v>90</v>
      </c>
      <c r="F1434" s="107" t="n">
        <f aca="false">IF($C1434="","",$D1434*$E1434)</f>
        <v>7.497</v>
      </c>
      <c r="G1434" s="107" t="n">
        <f aca="false">IF($C1434="","",$D1434*IFERROR(INDEX('تحليل التكلفة والسعر'!$C$2:$C$700,MATCH($C1434,'تحليل التكلفة والسعر'!$B$2:$B$700,0)),0))</f>
        <v>3.7485</v>
      </c>
      <c r="H1434" s="104" t="s">
        <v>719</v>
      </c>
    </row>
    <row r="1435" customFormat="false" ht="15" hidden="false" customHeight="false" outlineLevel="0" collapsed="false">
      <c r="A1435" s="103" t="n">
        <v>46301</v>
      </c>
      <c r="B1435" s="104" t="s">
        <v>34</v>
      </c>
      <c r="C1435" s="104" t="s">
        <v>732</v>
      </c>
      <c r="D1435" s="105" t="n">
        <v>0.0833</v>
      </c>
      <c r="E1435" s="106" t="n">
        <v>90</v>
      </c>
      <c r="F1435" s="107" t="n">
        <f aca="false">IF($C1435="","",$D1435*$E1435)</f>
        <v>7.497</v>
      </c>
      <c r="G1435" s="107" t="n">
        <f aca="false">IF($C1435="","",$D1435*IFERROR(INDEX('تحليل التكلفة والسعر'!$C$2:$C$700,MATCH($C1435,'تحليل التكلفة والسعر'!$B$2:$B$700,0)),0))</f>
        <v>3.7485</v>
      </c>
      <c r="H1435" s="104" t="s">
        <v>719</v>
      </c>
    </row>
    <row r="1436" customFormat="false" ht="15" hidden="false" customHeight="false" outlineLevel="0" collapsed="false">
      <c r="A1436" s="103" t="n">
        <v>46302</v>
      </c>
      <c r="B1436" s="104" t="s">
        <v>34</v>
      </c>
      <c r="C1436" s="104" t="s">
        <v>732</v>
      </c>
      <c r="D1436" s="105" t="n">
        <v>0.0833</v>
      </c>
      <c r="E1436" s="106" t="n">
        <v>90</v>
      </c>
      <c r="F1436" s="107" t="n">
        <f aca="false">IF($C1436="","",$D1436*$E1436)</f>
        <v>7.497</v>
      </c>
      <c r="G1436" s="107" t="n">
        <f aca="false">IF($C1436="","",$D1436*IFERROR(INDEX('تحليل التكلفة والسعر'!$C$2:$C$700,MATCH($C1436,'تحليل التكلفة والسعر'!$B$2:$B$700,0)),0))</f>
        <v>3.7485</v>
      </c>
      <c r="H1436" s="104" t="s">
        <v>719</v>
      </c>
    </row>
    <row r="1437" customFormat="false" ht="15" hidden="false" customHeight="false" outlineLevel="0" collapsed="false">
      <c r="A1437" s="103" t="n">
        <v>46303</v>
      </c>
      <c r="B1437" s="104" t="s">
        <v>34</v>
      </c>
      <c r="C1437" s="104" t="s">
        <v>732</v>
      </c>
      <c r="D1437" s="105" t="n">
        <v>0.0833</v>
      </c>
      <c r="E1437" s="106" t="n">
        <v>90</v>
      </c>
      <c r="F1437" s="107" t="n">
        <f aca="false">IF($C1437="","",$D1437*$E1437)</f>
        <v>7.497</v>
      </c>
      <c r="G1437" s="107" t="n">
        <f aca="false">IF($C1437="","",$D1437*IFERROR(INDEX('تحليل التكلفة والسعر'!$C$2:$C$700,MATCH($C1437,'تحليل التكلفة والسعر'!$B$2:$B$700,0)),0))</f>
        <v>3.7485</v>
      </c>
      <c r="H1437" s="104" t="s">
        <v>719</v>
      </c>
    </row>
    <row r="1438" customFormat="false" ht="15" hidden="false" customHeight="false" outlineLevel="0" collapsed="false">
      <c r="A1438" s="103" t="n">
        <v>46304</v>
      </c>
      <c r="B1438" s="104" t="s">
        <v>34</v>
      </c>
      <c r="C1438" s="104" t="s">
        <v>732</v>
      </c>
      <c r="D1438" s="105" t="n">
        <v>0.0833</v>
      </c>
      <c r="E1438" s="106" t="n">
        <v>90</v>
      </c>
      <c r="F1438" s="107" t="n">
        <f aca="false">IF($C1438="","",$D1438*$E1438)</f>
        <v>7.497</v>
      </c>
      <c r="G1438" s="107" t="n">
        <f aca="false">IF($C1438="","",$D1438*IFERROR(INDEX('تحليل التكلفة والسعر'!$C$2:$C$700,MATCH($C1438,'تحليل التكلفة والسعر'!$B$2:$B$700,0)),0))</f>
        <v>3.7485</v>
      </c>
      <c r="H1438" s="104" t="s">
        <v>719</v>
      </c>
    </row>
    <row r="1439" customFormat="false" ht="15" hidden="false" customHeight="false" outlineLevel="0" collapsed="false">
      <c r="A1439" s="103" t="n">
        <v>46305</v>
      </c>
      <c r="B1439" s="104" t="s">
        <v>34</v>
      </c>
      <c r="C1439" s="104" t="s">
        <v>732</v>
      </c>
      <c r="D1439" s="105" t="n">
        <v>0.0833</v>
      </c>
      <c r="E1439" s="106" t="n">
        <v>90</v>
      </c>
      <c r="F1439" s="107" t="n">
        <f aca="false">IF($C1439="","",$D1439*$E1439)</f>
        <v>7.497</v>
      </c>
      <c r="G1439" s="107" t="n">
        <f aca="false">IF($C1439="","",$D1439*IFERROR(INDEX('تحليل التكلفة والسعر'!$C$2:$C$700,MATCH($C1439,'تحليل التكلفة والسعر'!$B$2:$B$700,0)),0))</f>
        <v>3.7485</v>
      </c>
      <c r="H1439" s="104" t="s">
        <v>719</v>
      </c>
    </row>
    <row r="1440" customFormat="false" ht="15" hidden="false" customHeight="false" outlineLevel="0" collapsed="false">
      <c r="A1440" s="103" t="n">
        <v>46306</v>
      </c>
      <c r="B1440" s="104" t="s">
        <v>34</v>
      </c>
      <c r="C1440" s="104" t="s">
        <v>732</v>
      </c>
      <c r="D1440" s="105" t="n">
        <v>0.0833</v>
      </c>
      <c r="E1440" s="106" t="n">
        <v>90</v>
      </c>
      <c r="F1440" s="107" t="n">
        <f aca="false">IF($C1440="","",$D1440*$E1440)</f>
        <v>7.497</v>
      </c>
      <c r="G1440" s="107" t="n">
        <f aca="false">IF($C1440="","",$D1440*IFERROR(INDEX('تحليل التكلفة والسعر'!$C$2:$C$700,MATCH($C1440,'تحليل التكلفة والسعر'!$B$2:$B$700,0)),0))</f>
        <v>3.7485</v>
      </c>
      <c r="H1440" s="104" t="s">
        <v>719</v>
      </c>
    </row>
    <row r="1441" customFormat="false" ht="15" hidden="false" customHeight="false" outlineLevel="0" collapsed="false">
      <c r="A1441" s="103" t="n">
        <v>46307</v>
      </c>
      <c r="B1441" s="104" t="s">
        <v>34</v>
      </c>
      <c r="C1441" s="104" t="s">
        <v>732</v>
      </c>
      <c r="D1441" s="105" t="n">
        <v>0.0833</v>
      </c>
      <c r="E1441" s="106" t="n">
        <v>90</v>
      </c>
      <c r="F1441" s="107" t="n">
        <f aca="false">IF($C1441="","",$D1441*$E1441)</f>
        <v>7.497</v>
      </c>
      <c r="G1441" s="107" t="n">
        <f aca="false">IF($C1441="","",$D1441*IFERROR(INDEX('تحليل التكلفة والسعر'!$C$2:$C$700,MATCH($C1441,'تحليل التكلفة والسعر'!$B$2:$B$700,0)),0))</f>
        <v>3.7485</v>
      </c>
      <c r="H1441" s="104" t="s">
        <v>719</v>
      </c>
    </row>
    <row r="1442" customFormat="false" ht="15" hidden="false" customHeight="false" outlineLevel="0" collapsed="false">
      <c r="A1442" s="103" t="n">
        <v>46296</v>
      </c>
      <c r="B1442" s="104" t="s">
        <v>34</v>
      </c>
      <c r="C1442" s="104" t="s">
        <v>754</v>
      </c>
      <c r="D1442" s="105" t="n">
        <v>0.0833</v>
      </c>
      <c r="E1442" s="106" t="n">
        <v>70</v>
      </c>
      <c r="F1442" s="107" t="n">
        <f aca="false">IF($C1442="","",$D1442*$E1442)</f>
        <v>5.831</v>
      </c>
      <c r="G1442" s="107" t="n">
        <f aca="false">IF($C1442="","",$D1442*IFERROR(INDEX('تحليل التكلفة والسعر'!$C$2:$C$700,MATCH($C1442,'تحليل التكلفة والسعر'!$B$2:$B$700,0)),0))</f>
        <v>2.8322</v>
      </c>
      <c r="H1442" s="104" t="s">
        <v>719</v>
      </c>
    </row>
    <row r="1443" customFormat="false" ht="15" hidden="false" customHeight="false" outlineLevel="0" collapsed="false">
      <c r="A1443" s="103" t="n">
        <v>46297</v>
      </c>
      <c r="B1443" s="104" t="s">
        <v>34</v>
      </c>
      <c r="C1443" s="104" t="s">
        <v>754</v>
      </c>
      <c r="D1443" s="105" t="n">
        <v>0.0833</v>
      </c>
      <c r="E1443" s="106" t="n">
        <v>70</v>
      </c>
      <c r="F1443" s="107" t="n">
        <f aca="false">IF($C1443="","",$D1443*$E1443)</f>
        <v>5.831</v>
      </c>
      <c r="G1443" s="107" t="n">
        <f aca="false">IF($C1443="","",$D1443*IFERROR(INDEX('تحليل التكلفة والسعر'!$C$2:$C$700,MATCH($C1443,'تحليل التكلفة والسعر'!$B$2:$B$700,0)),0))</f>
        <v>2.8322</v>
      </c>
      <c r="H1443" s="104" t="s">
        <v>719</v>
      </c>
    </row>
    <row r="1444" customFormat="false" ht="15" hidden="false" customHeight="false" outlineLevel="0" collapsed="false">
      <c r="A1444" s="103" t="n">
        <v>46298</v>
      </c>
      <c r="B1444" s="104" t="s">
        <v>34</v>
      </c>
      <c r="C1444" s="104" t="s">
        <v>754</v>
      </c>
      <c r="D1444" s="105" t="n">
        <v>0.0833</v>
      </c>
      <c r="E1444" s="106" t="n">
        <v>70</v>
      </c>
      <c r="F1444" s="107" t="n">
        <f aca="false">IF($C1444="","",$D1444*$E1444)</f>
        <v>5.831</v>
      </c>
      <c r="G1444" s="107" t="n">
        <f aca="false">IF($C1444="","",$D1444*IFERROR(INDEX('تحليل التكلفة والسعر'!$C$2:$C$700,MATCH($C1444,'تحليل التكلفة والسعر'!$B$2:$B$700,0)),0))</f>
        <v>2.8322</v>
      </c>
      <c r="H1444" s="104" t="s">
        <v>719</v>
      </c>
    </row>
    <row r="1445" customFormat="false" ht="15" hidden="false" customHeight="false" outlineLevel="0" collapsed="false">
      <c r="A1445" s="103" t="n">
        <v>46299</v>
      </c>
      <c r="B1445" s="104" t="s">
        <v>34</v>
      </c>
      <c r="C1445" s="104" t="s">
        <v>754</v>
      </c>
      <c r="D1445" s="105" t="n">
        <v>0.0833</v>
      </c>
      <c r="E1445" s="106" t="n">
        <v>70</v>
      </c>
      <c r="F1445" s="107" t="n">
        <f aca="false">IF($C1445="","",$D1445*$E1445)</f>
        <v>5.831</v>
      </c>
      <c r="G1445" s="107" t="n">
        <f aca="false">IF($C1445="","",$D1445*IFERROR(INDEX('تحليل التكلفة والسعر'!$C$2:$C$700,MATCH($C1445,'تحليل التكلفة والسعر'!$B$2:$B$700,0)),0))</f>
        <v>2.8322</v>
      </c>
      <c r="H1445" s="104" t="s">
        <v>719</v>
      </c>
    </row>
    <row r="1446" customFormat="false" ht="15" hidden="false" customHeight="false" outlineLevel="0" collapsed="false">
      <c r="A1446" s="103" t="n">
        <v>46300</v>
      </c>
      <c r="B1446" s="104" t="s">
        <v>34</v>
      </c>
      <c r="C1446" s="104" t="s">
        <v>754</v>
      </c>
      <c r="D1446" s="105" t="n">
        <v>0.0833</v>
      </c>
      <c r="E1446" s="106" t="n">
        <v>70</v>
      </c>
      <c r="F1446" s="107" t="n">
        <f aca="false">IF($C1446="","",$D1446*$E1446)</f>
        <v>5.831</v>
      </c>
      <c r="G1446" s="107" t="n">
        <f aca="false">IF($C1446="","",$D1446*IFERROR(INDEX('تحليل التكلفة والسعر'!$C$2:$C$700,MATCH($C1446,'تحليل التكلفة والسعر'!$B$2:$B$700,0)),0))</f>
        <v>2.8322</v>
      </c>
      <c r="H1446" s="104" t="s">
        <v>719</v>
      </c>
    </row>
    <row r="1447" customFormat="false" ht="15" hidden="false" customHeight="false" outlineLevel="0" collapsed="false">
      <c r="A1447" s="103" t="n">
        <v>46301</v>
      </c>
      <c r="B1447" s="104" t="s">
        <v>34</v>
      </c>
      <c r="C1447" s="104" t="s">
        <v>754</v>
      </c>
      <c r="D1447" s="105" t="n">
        <v>0.0833</v>
      </c>
      <c r="E1447" s="106" t="n">
        <v>70</v>
      </c>
      <c r="F1447" s="107" t="n">
        <f aca="false">IF($C1447="","",$D1447*$E1447)</f>
        <v>5.831</v>
      </c>
      <c r="G1447" s="107" t="n">
        <f aca="false">IF($C1447="","",$D1447*IFERROR(INDEX('تحليل التكلفة والسعر'!$C$2:$C$700,MATCH($C1447,'تحليل التكلفة والسعر'!$B$2:$B$700,0)),0))</f>
        <v>2.8322</v>
      </c>
      <c r="H1447" s="104" t="s">
        <v>719</v>
      </c>
    </row>
    <row r="1448" customFormat="false" ht="15" hidden="false" customHeight="false" outlineLevel="0" collapsed="false">
      <c r="A1448" s="103" t="n">
        <v>46302</v>
      </c>
      <c r="B1448" s="104" t="s">
        <v>34</v>
      </c>
      <c r="C1448" s="104" t="s">
        <v>754</v>
      </c>
      <c r="D1448" s="105" t="n">
        <v>0.0833</v>
      </c>
      <c r="E1448" s="106" t="n">
        <v>70</v>
      </c>
      <c r="F1448" s="107" t="n">
        <f aca="false">IF($C1448="","",$D1448*$E1448)</f>
        <v>5.831</v>
      </c>
      <c r="G1448" s="107" t="n">
        <f aca="false">IF($C1448="","",$D1448*IFERROR(INDEX('تحليل التكلفة والسعر'!$C$2:$C$700,MATCH($C1448,'تحليل التكلفة والسعر'!$B$2:$B$700,0)),0))</f>
        <v>2.8322</v>
      </c>
      <c r="H1448" s="104" t="s">
        <v>719</v>
      </c>
    </row>
    <row r="1449" customFormat="false" ht="15" hidden="false" customHeight="false" outlineLevel="0" collapsed="false">
      <c r="A1449" s="103" t="n">
        <v>46303</v>
      </c>
      <c r="B1449" s="104" t="s">
        <v>34</v>
      </c>
      <c r="C1449" s="104" t="s">
        <v>754</v>
      </c>
      <c r="D1449" s="105" t="n">
        <v>0.0833</v>
      </c>
      <c r="E1449" s="106" t="n">
        <v>70</v>
      </c>
      <c r="F1449" s="107" t="n">
        <f aca="false">IF($C1449="","",$D1449*$E1449)</f>
        <v>5.831</v>
      </c>
      <c r="G1449" s="107" t="n">
        <f aca="false">IF($C1449="","",$D1449*IFERROR(INDEX('تحليل التكلفة والسعر'!$C$2:$C$700,MATCH($C1449,'تحليل التكلفة والسعر'!$B$2:$B$700,0)),0))</f>
        <v>2.8322</v>
      </c>
      <c r="H1449" s="104" t="s">
        <v>719</v>
      </c>
    </row>
    <row r="1450" customFormat="false" ht="15" hidden="false" customHeight="false" outlineLevel="0" collapsed="false">
      <c r="A1450" s="103" t="n">
        <v>46304</v>
      </c>
      <c r="B1450" s="104" t="s">
        <v>34</v>
      </c>
      <c r="C1450" s="104" t="s">
        <v>754</v>
      </c>
      <c r="D1450" s="105" t="n">
        <v>0.0833</v>
      </c>
      <c r="E1450" s="106" t="n">
        <v>70</v>
      </c>
      <c r="F1450" s="107" t="n">
        <f aca="false">IF($C1450="","",$D1450*$E1450)</f>
        <v>5.831</v>
      </c>
      <c r="G1450" s="107" t="n">
        <f aca="false">IF($C1450="","",$D1450*IFERROR(INDEX('تحليل التكلفة والسعر'!$C$2:$C$700,MATCH($C1450,'تحليل التكلفة والسعر'!$B$2:$B$700,0)),0))</f>
        <v>2.8322</v>
      </c>
      <c r="H1450" s="104" t="s">
        <v>719</v>
      </c>
    </row>
    <row r="1451" customFormat="false" ht="15" hidden="false" customHeight="false" outlineLevel="0" collapsed="false">
      <c r="A1451" s="103" t="n">
        <v>46305</v>
      </c>
      <c r="B1451" s="104" t="s">
        <v>34</v>
      </c>
      <c r="C1451" s="104" t="s">
        <v>754</v>
      </c>
      <c r="D1451" s="105" t="n">
        <v>0.0833</v>
      </c>
      <c r="E1451" s="106" t="n">
        <v>70</v>
      </c>
      <c r="F1451" s="107" t="n">
        <f aca="false">IF($C1451="","",$D1451*$E1451)</f>
        <v>5.831</v>
      </c>
      <c r="G1451" s="107" t="n">
        <f aca="false">IF($C1451="","",$D1451*IFERROR(INDEX('تحليل التكلفة والسعر'!$C$2:$C$700,MATCH($C1451,'تحليل التكلفة والسعر'!$B$2:$B$700,0)),0))</f>
        <v>2.8322</v>
      </c>
      <c r="H1451" s="104" t="s">
        <v>719</v>
      </c>
    </row>
    <row r="1452" customFormat="false" ht="15" hidden="false" customHeight="false" outlineLevel="0" collapsed="false">
      <c r="A1452" s="103" t="n">
        <v>46306</v>
      </c>
      <c r="B1452" s="104" t="s">
        <v>34</v>
      </c>
      <c r="C1452" s="104" t="s">
        <v>754</v>
      </c>
      <c r="D1452" s="105" t="n">
        <v>0.0833</v>
      </c>
      <c r="E1452" s="106" t="n">
        <v>70</v>
      </c>
      <c r="F1452" s="107" t="n">
        <f aca="false">IF($C1452="","",$D1452*$E1452)</f>
        <v>5.831</v>
      </c>
      <c r="G1452" s="107" t="n">
        <f aca="false">IF($C1452="","",$D1452*IFERROR(INDEX('تحليل التكلفة والسعر'!$C$2:$C$700,MATCH($C1452,'تحليل التكلفة والسعر'!$B$2:$B$700,0)),0))</f>
        <v>2.8322</v>
      </c>
      <c r="H1452" s="104" t="s">
        <v>719</v>
      </c>
    </row>
    <row r="1453" customFormat="false" ht="15" hidden="false" customHeight="false" outlineLevel="0" collapsed="false">
      <c r="A1453" s="103" t="n">
        <v>46307</v>
      </c>
      <c r="B1453" s="104" t="s">
        <v>34</v>
      </c>
      <c r="C1453" s="104" t="s">
        <v>754</v>
      </c>
      <c r="D1453" s="105" t="n">
        <v>0.0833</v>
      </c>
      <c r="E1453" s="106" t="n">
        <v>70</v>
      </c>
      <c r="F1453" s="107" t="n">
        <f aca="false">IF($C1453="","",$D1453*$E1453)</f>
        <v>5.831</v>
      </c>
      <c r="G1453" s="107" t="n">
        <f aca="false">IF($C1453="","",$D1453*IFERROR(INDEX('تحليل التكلفة والسعر'!$C$2:$C$700,MATCH($C1453,'تحليل التكلفة والسعر'!$B$2:$B$700,0)),0))</f>
        <v>2.8322</v>
      </c>
      <c r="H1453" s="104" t="s">
        <v>719</v>
      </c>
    </row>
    <row r="1454" customFormat="false" ht="15" hidden="false" customHeight="false" outlineLevel="0" collapsed="false">
      <c r="A1454" s="103" t="n">
        <v>46296</v>
      </c>
      <c r="B1454" s="104" t="s">
        <v>34</v>
      </c>
      <c r="C1454" s="104" t="s">
        <v>733</v>
      </c>
      <c r="D1454" s="105" t="n">
        <v>0.1667</v>
      </c>
      <c r="E1454" s="106" t="n">
        <v>40</v>
      </c>
      <c r="F1454" s="107" t="n">
        <f aca="false">IF($C1454="","",$D1454*$E1454)</f>
        <v>6.668</v>
      </c>
      <c r="G1454" s="107" t="n">
        <f aca="false">IF($C1454="","",$D1454*IFERROR(INDEX('تحليل التكلفة والسعر'!$C$2:$C$700,MATCH($C1454,'تحليل التكلفة والسعر'!$B$2:$B$700,0)),0))</f>
        <v>2.128062194</v>
      </c>
      <c r="H1454" s="104" t="s">
        <v>719</v>
      </c>
    </row>
    <row r="1455" customFormat="false" ht="15" hidden="false" customHeight="false" outlineLevel="0" collapsed="false">
      <c r="A1455" s="103" t="n">
        <v>46297</v>
      </c>
      <c r="B1455" s="104" t="s">
        <v>34</v>
      </c>
      <c r="C1455" s="104" t="s">
        <v>733</v>
      </c>
      <c r="D1455" s="105" t="n">
        <v>0.1667</v>
      </c>
      <c r="E1455" s="106" t="n">
        <v>40</v>
      </c>
      <c r="F1455" s="107" t="n">
        <f aca="false">IF($C1455="","",$D1455*$E1455)</f>
        <v>6.668</v>
      </c>
      <c r="G1455" s="107" t="n">
        <f aca="false">IF($C1455="","",$D1455*IFERROR(INDEX('تحليل التكلفة والسعر'!$C$2:$C$700,MATCH($C1455,'تحليل التكلفة والسعر'!$B$2:$B$700,0)),0))</f>
        <v>2.128062194</v>
      </c>
      <c r="H1455" s="104" t="s">
        <v>719</v>
      </c>
    </row>
    <row r="1456" customFormat="false" ht="15" hidden="false" customHeight="false" outlineLevel="0" collapsed="false">
      <c r="A1456" s="103" t="n">
        <v>46298</v>
      </c>
      <c r="B1456" s="104" t="s">
        <v>34</v>
      </c>
      <c r="C1456" s="104" t="s">
        <v>733</v>
      </c>
      <c r="D1456" s="105" t="n">
        <v>0.1667</v>
      </c>
      <c r="E1456" s="106" t="n">
        <v>40</v>
      </c>
      <c r="F1456" s="107" t="n">
        <f aca="false">IF($C1456="","",$D1456*$E1456)</f>
        <v>6.668</v>
      </c>
      <c r="G1456" s="107" t="n">
        <f aca="false">IF($C1456="","",$D1456*IFERROR(INDEX('تحليل التكلفة والسعر'!$C$2:$C$700,MATCH($C1456,'تحليل التكلفة والسعر'!$B$2:$B$700,0)),0))</f>
        <v>2.128062194</v>
      </c>
      <c r="H1456" s="104" t="s">
        <v>719</v>
      </c>
    </row>
    <row r="1457" customFormat="false" ht="15" hidden="false" customHeight="false" outlineLevel="0" collapsed="false">
      <c r="A1457" s="103" t="n">
        <v>46299</v>
      </c>
      <c r="B1457" s="104" t="s">
        <v>34</v>
      </c>
      <c r="C1457" s="104" t="s">
        <v>733</v>
      </c>
      <c r="D1457" s="105" t="n">
        <v>0.1667</v>
      </c>
      <c r="E1457" s="106" t="n">
        <v>40</v>
      </c>
      <c r="F1457" s="107" t="n">
        <f aca="false">IF($C1457="","",$D1457*$E1457)</f>
        <v>6.668</v>
      </c>
      <c r="G1457" s="107" t="n">
        <f aca="false">IF($C1457="","",$D1457*IFERROR(INDEX('تحليل التكلفة والسعر'!$C$2:$C$700,MATCH($C1457,'تحليل التكلفة والسعر'!$B$2:$B$700,0)),0))</f>
        <v>2.128062194</v>
      </c>
      <c r="H1457" s="104" t="s">
        <v>719</v>
      </c>
    </row>
    <row r="1458" customFormat="false" ht="15" hidden="false" customHeight="false" outlineLevel="0" collapsed="false">
      <c r="A1458" s="103" t="n">
        <v>46300</v>
      </c>
      <c r="B1458" s="104" t="s">
        <v>34</v>
      </c>
      <c r="C1458" s="104" t="s">
        <v>733</v>
      </c>
      <c r="D1458" s="105" t="n">
        <v>0.1667</v>
      </c>
      <c r="E1458" s="106" t="n">
        <v>40</v>
      </c>
      <c r="F1458" s="107" t="n">
        <f aca="false">IF($C1458="","",$D1458*$E1458)</f>
        <v>6.668</v>
      </c>
      <c r="G1458" s="107" t="n">
        <f aca="false">IF($C1458="","",$D1458*IFERROR(INDEX('تحليل التكلفة والسعر'!$C$2:$C$700,MATCH($C1458,'تحليل التكلفة والسعر'!$B$2:$B$700,0)),0))</f>
        <v>2.128062194</v>
      </c>
      <c r="H1458" s="104" t="s">
        <v>719</v>
      </c>
    </row>
    <row r="1459" customFormat="false" ht="15" hidden="false" customHeight="false" outlineLevel="0" collapsed="false">
      <c r="A1459" s="103" t="n">
        <v>46301</v>
      </c>
      <c r="B1459" s="104" t="s">
        <v>34</v>
      </c>
      <c r="C1459" s="104" t="s">
        <v>733</v>
      </c>
      <c r="D1459" s="105" t="n">
        <v>0.1667</v>
      </c>
      <c r="E1459" s="106" t="n">
        <v>40</v>
      </c>
      <c r="F1459" s="107" t="n">
        <f aca="false">IF($C1459="","",$D1459*$E1459)</f>
        <v>6.668</v>
      </c>
      <c r="G1459" s="107" t="n">
        <f aca="false">IF($C1459="","",$D1459*IFERROR(INDEX('تحليل التكلفة والسعر'!$C$2:$C$700,MATCH($C1459,'تحليل التكلفة والسعر'!$B$2:$B$700,0)),0))</f>
        <v>2.128062194</v>
      </c>
      <c r="H1459" s="104" t="s">
        <v>719</v>
      </c>
    </row>
    <row r="1460" customFormat="false" ht="15" hidden="false" customHeight="false" outlineLevel="0" collapsed="false">
      <c r="A1460" s="103" t="n">
        <v>46302</v>
      </c>
      <c r="B1460" s="104" t="s">
        <v>34</v>
      </c>
      <c r="C1460" s="104" t="s">
        <v>733</v>
      </c>
      <c r="D1460" s="105" t="n">
        <v>0.1667</v>
      </c>
      <c r="E1460" s="106" t="n">
        <v>40</v>
      </c>
      <c r="F1460" s="107" t="n">
        <f aca="false">IF($C1460="","",$D1460*$E1460)</f>
        <v>6.668</v>
      </c>
      <c r="G1460" s="107" t="n">
        <f aca="false">IF($C1460="","",$D1460*IFERROR(INDEX('تحليل التكلفة والسعر'!$C$2:$C$700,MATCH($C1460,'تحليل التكلفة والسعر'!$B$2:$B$700,0)),0))</f>
        <v>2.128062194</v>
      </c>
      <c r="H1460" s="104" t="s">
        <v>719</v>
      </c>
    </row>
    <row r="1461" customFormat="false" ht="15" hidden="false" customHeight="false" outlineLevel="0" collapsed="false">
      <c r="A1461" s="103" t="n">
        <v>46303</v>
      </c>
      <c r="B1461" s="104" t="s">
        <v>34</v>
      </c>
      <c r="C1461" s="104" t="s">
        <v>733</v>
      </c>
      <c r="D1461" s="105" t="n">
        <v>0.1667</v>
      </c>
      <c r="E1461" s="106" t="n">
        <v>40</v>
      </c>
      <c r="F1461" s="107" t="n">
        <f aca="false">IF($C1461="","",$D1461*$E1461)</f>
        <v>6.668</v>
      </c>
      <c r="G1461" s="107" t="n">
        <f aca="false">IF($C1461="","",$D1461*IFERROR(INDEX('تحليل التكلفة والسعر'!$C$2:$C$700,MATCH($C1461,'تحليل التكلفة والسعر'!$B$2:$B$700,0)),0))</f>
        <v>2.128062194</v>
      </c>
      <c r="H1461" s="104" t="s">
        <v>719</v>
      </c>
    </row>
    <row r="1462" customFormat="false" ht="15" hidden="false" customHeight="false" outlineLevel="0" collapsed="false">
      <c r="A1462" s="103" t="n">
        <v>46304</v>
      </c>
      <c r="B1462" s="104" t="s">
        <v>34</v>
      </c>
      <c r="C1462" s="104" t="s">
        <v>733</v>
      </c>
      <c r="D1462" s="105" t="n">
        <v>0.1667</v>
      </c>
      <c r="E1462" s="106" t="n">
        <v>40</v>
      </c>
      <c r="F1462" s="107" t="n">
        <f aca="false">IF($C1462="","",$D1462*$E1462)</f>
        <v>6.668</v>
      </c>
      <c r="G1462" s="107" t="n">
        <f aca="false">IF($C1462="","",$D1462*IFERROR(INDEX('تحليل التكلفة والسعر'!$C$2:$C$700,MATCH($C1462,'تحليل التكلفة والسعر'!$B$2:$B$700,0)),0))</f>
        <v>2.128062194</v>
      </c>
      <c r="H1462" s="104" t="s">
        <v>719</v>
      </c>
    </row>
    <row r="1463" customFormat="false" ht="15" hidden="false" customHeight="false" outlineLevel="0" collapsed="false">
      <c r="A1463" s="103" t="n">
        <v>46305</v>
      </c>
      <c r="B1463" s="104" t="s">
        <v>34</v>
      </c>
      <c r="C1463" s="104" t="s">
        <v>733</v>
      </c>
      <c r="D1463" s="105" t="n">
        <v>0.1667</v>
      </c>
      <c r="E1463" s="106" t="n">
        <v>40</v>
      </c>
      <c r="F1463" s="107" t="n">
        <f aca="false">IF($C1463="","",$D1463*$E1463)</f>
        <v>6.668</v>
      </c>
      <c r="G1463" s="107" t="n">
        <f aca="false">IF($C1463="","",$D1463*IFERROR(INDEX('تحليل التكلفة والسعر'!$C$2:$C$700,MATCH($C1463,'تحليل التكلفة والسعر'!$B$2:$B$700,0)),0))</f>
        <v>2.128062194</v>
      </c>
      <c r="H1463" s="104" t="s">
        <v>719</v>
      </c>
    </row>
    <row r="1464" customFormat="false" ht="15" hidden="false" customHeight="false" outlineLevel="0" collapsed="false">
      <c r="A1464" s="103" t="n">
        <v>46306</v>
      </c>
      <c r="B1464" s="104" t="s">
        <v>34</v>
      </c>
      <c r="C1464" s="104" t="s">
        <v>733</v>
      </c>
      <c r="D1464" s="105" t="n">
        <v>0.1667</v>
      </c>
      <c r="E1464" s="106" t="n">
        <v>40</v>
      </c>
      <c r="F1464" s="107" t="n">
        <f aca="false">IF($C1464="","",$D1464*$E1464)</f>
        <v>6.668</v>
      </c>
      <c r="G1464" s="107" t="n">
        <f aca="false">IF($C1464="","",$D1464*IFERROR(INDEX('تحليل التكلفة والسعر'!$C$2:$C$700,MATCH($C1464,'تحليل التكلفة والسعر'!$B$2:$B$700,0)),0))</f>
        <v>2.128062194</v>
      </c>
      <c r="H1464" s="104" t="s">
        <v>719</v>
      </c>
    </row>
    <row r="1465" customFormat="false" ht="15" hidden="false" customHeight="false" outlineLevel="0" collapsed="false">
      <c r="A1465" s="103" t="n">
        <v>46307</v>
      </c>
      <c r="B1465" s="104" t="s">
        <v>34</v>
      </c>
      <c r="C1465" s="104" t="s">
        <v>733</v>
      </c>
      <c r="D1465" s="105" t="n">
        <v>0.1667</v>
      </c>
      <c r="E1465" s="106" t="n">
        <v>40</v>
      </c>
      <c r="F1465" s="107" t="n">
        <f aca="false">IF($C1465="","",$D1465*$E1465)</f>
        <v>6.668</v>
      </c>
      <c r="G1465" s="107" t="n">
        <f aca="false">IF($C1465="","",$D1465*IFERROR(INDEX('تحليل التكلفة والسعر'!$C$2:$C$700,MATCH($C1465,'تحليل التكلفة والسعر'!$B$2:$B$700,0)),0))</f>
        <v>2.128062194</v>
      </c>
      <c r="H1465" s="104" t="s">
        <v>719</v>
      </c>
    </row>
    <row r="1466" customFormat="false" ht="15" hidden="false" customHeight="false" outlineLevel="0" collapsed="false">
      <c r="A1466" s="103" t="n">
        <v>46296</v>
      </c>
      <c r="B1466" s="104" t="s">
        <v>34</v>
      </c>
      <c r="C1466" s="104" t="s">
        <v>755</v>
      </c>
      <c r="D1466" s="105" t="n">
        <v>0.0833</v>
      </c>
      <c r="E1466" s="106" t="n">
        <v>30</v>
      </c>
      <c r="F1466" s="107" t="n">
        <f aca="false">IF($C1466="","",$D1466*$E1466)</f>
        <v>2.499</v>
      </c>
      <c r="G1466" s="107" t="n">
        <f aca="false">IF($C1466="","",$D1466*IFERROR(INDEX('تحليل التكلفة والسعر'!$C$2:$C$700,MATCH($C1466,'تحليل التكلفة والسعر'!$B$2:$B$700,0)),0))</f>
        <v>0.7557110946</v>
      </c>
      <c r="H1466" s="104" t="s">
        <v>719</v>
      </c>
    </row>
    <row r="1467" customFormat="false" ht="15" hidden="false" customHeight="false" outlineLevel="0" collapsed="false">
      <c r="A1467" s="103" t="n">
        <v>46297</v>
      </c>
      <c r="B1467" s="104" t="s">
        <v>34</v>
      </c>
      <c r="C1467" s="104" t="s">
        <v>755</v>
      </c>
      <c r="D1467" s="105" t="n">
        <v>0.0833</v>
      </c>
      <c r="E1467" s="106" t="n">
        <v>30</v>
      </c>
      <c r="F1467" s="107" t="n">
        <f aca="false">IF($C1467="","",$D1467*$E1467)</f>
        <v>2.499</v>
      </c>
      <c r="G1467" s="107" t="n">
        <f aca="false">IF($C1467="","",$D1467*IFERROR(INDEX('تحليل التكلفة والسعر'!$C$2:$C$700,MATCH($C1467,'تحليل التكلفة والسعر'!$B$2:$B$700,0)),0))</f>
        <v>0.7557110946</v>
      </c>
      <c r="H1467" s="104" t="s">
        <v>719</v>
      </c>
    </row>
    <row r="1468" customFormat="false" ht="15" hidden="false" customHeight="false" outlineLevel="0" collapsed="false">
      <c r="A1468" s="103" t="n">
        <v>46298</v>
      </c>
      <c r="B1468" s="104" t="s">
        <v>34</v>
      </c>
      <c r="C1468" s="104" t="s">
        <v>755</v>
      </c>
      <c r="D1468" s="105" t="n">
        <v>0.0833</v>
      </c>
      <c r="E1468" s="106" t="n">
        <v>30</v>
      </c>
      <c r="F1468" s="107" t="n">
        <f aca="false">IF($C1468="","",$D1468*$E1468)</f>
        <v>2.499</v>
      </c>
      <c r="G1468" s="107" t="n">
        <f aca="false">IF($C1468="","",$D1468*IFERROR(INDEX('تحليل التكلفة والسعر'!$C$2:$C$700,MATCH($C1468,'تحليل التكلفة والسعر'!$B$2:$B$700,0)),0))</f>
        <v>0.7557110946</v>
      </c>
      <c r="H1468" s="104" t="s">
        <v>719</v>
      </c>
    </row>
    <row r="1469" customFormat="false" ht="15" hidden="false" customHeight="false" outlineLevel="0" collapsed="false">
      <c r="A1469" s="103" t="n">
        <v>46299</v>
      </c>
      <c r="B1469" s="104" t="s">
        <v>34</v>
      </c>
      <c r="C1469" s="104" t="s">
        <v>755</v>
      </c>
      <c r="D1469" s="105" t="n">
        <v>0.0833</v>
      </c>
      <c r="E1469" s="106" t="n">
        <v>30</v>
      </c>
      <c r="F1469" s="107" t="n">
        <f aca="false">IF($C1469="","",$D1469*$E1469)</f>
        <v>2.499</v>
      </c>
      <c r="G1469" s="107" t="n">
        <f aca="false">IF($C1469="","",$D1469*IFERROR(INDEX('تحليل التكلفة والسعر'!$C$2:$C$700,MATCH($C1469,'تحليل التكلفة والسعر'!$B$2:$B$700,0)),0))</f>
        <v>0.7557110946</v>
      </c>
      <c r="H1469" s="104" t="s">
        <v>719</v>
      </c>
    </row>
    <row r="1470" customFormat="false" ht="15" hidden="false" customHeight="false" outlineLevel="0" collapsed="false">
      <c r="A1470" s="103" t="n">
        <v>46300</v>
      </c>
      <c r="B1470" s="104" t="s">
        <v>34</v>
      </c>
      <c r="C1470" s="104" t="s">
        <v>755</v>
      </c>
      <c r="D1470" s="105" t="n">
        <v>0.0833</v>
      </c>
      <c r="E1470" s="106" t="n">
        <v>30</v>
      </c>
      <c r="F1470" s="107" t="n">
        <f aca="false">IF($C1470="","",$D1470*$E1470)</f>
        <v>2.499</v>
      </c>
      <c r="G1470" s="107" t="n">
        <f aca="false">IF($C1470="","",$D1470*IFERROR(INDEX('تحليل التكلفة والسعر'!$C$2:$C$700,MATCH($C1470,'تحليل التكلفة والسعر'!$B$2:$B$700,0)),0))</f>
        <v>0.7557110946</v>
      </c>
      <c r="H1470" s="104" t="s">
        <v>719</v>
      </c>
    </row>
    <row r="1471" customFormat="false" ht="15" hidden="false" customHeight="false" outlineLevel="0" collapsed="false">
      <c r="A1471" s="103" t="n">
        <v>46301</v>
      </c>
      <c r="B1471" s="104" t="s">
        <v>34</v>
      </c>
      <c r="C1471" s="104" t="s">
        <v>755</v>
      </c>
      <c r="D1471" s="105" t="n">
        <v>0.0833</v>
      </c>
      <c r="E1471" s="106" t="n">
        <v>30</v>
      </c>
      <c r="F1471" s="107" t="n">
        <f aca="false">IF($C1471="","",$D1471*$E1471)</f>
        <v>2.499</v>
      </c>
      <c r="G1471" s="107" t="n">
        <f aca="false">IF($C1471="","",$D1471*IFERROR(INDEX('تحليل التكلفة والسعر'!$C$2:$C$700,MATCH($C1471,'تحليل التكلفة والسعر'!$B$2:$B$700,0)),0))</f>
        <v>0.7557110946</v>
      </c>
      <c r="H1471" s="104" t="s">
        <v>719</v>
      </c>
    </row>
    <row r="1472" customFormat="false" ht="15" hidden="false" customHeight="false" outlineLevel="0" collapsed="false">
      <c r="A1472" s="103" t="n">
        <v>46302</v>
      </c>
      <c r="B1472" s="104" t="s">
        <v>34</v>
      </c>
      <c r="C1472" s="104" t="s">
        <v>755</v>
      </c>
      <c r="D1472" s="105" t="n">
        <v>0.0833</v>
      </c>
      <c r="E1472" s="106" t="n">
        <v>30</v>
      </c>
      <c r="F1472" s="107" t="n">
        <f aca="false">IF($C1472="","",$D1472*$E1472)</f>
        <v>2.499</v>
      </c>
      <c r="G1472" s="107" t="n">
        <f aca="false">IF($C1472="","",$D1472*IFERROR(INDEX('تحليل التكلفة والسعر'!$C$2:$C$700,MATCH($C1472,'تحليل التكلفة والسعر'!$B$2:$B$700,0)),0))</f>
        <v>0.7557110946</v>
      </c>
      <c r="H1472" s="104" t="s">
        <v>719</v>
      </c>
    </row>
    <row r="1473" customFormat="false" ht="15" hidden="false" customHeight="false" outlineLevel="0" collapsed="false">
      <c r="A1473" s="103" t="n">
        <v>46303</v>
      </c>
      <c r="B1473" s="104" t="s">
        <v>34</v>
      </c>
      <c r="C1473" s="104" t="s">
        <v>755</v>
      </c>
      <c r="D1473" s="105" t="n">
        <v>0.0833</v>
      </c>
      <c r="E1473" s="106" t="n">
        <v>30</v>
      </c>
      <c r="F1473" s="107" t="n">
        <f aca="false">IF($C1473="","",$D1473*$E1473)</f>
        <v>2.499</v>
      </c>
      <c r="G1473" s="107" t="n">
        <f aca="false">IF($C1473="","",$D1473*IFERROR(INDEX('تحليل التكلفة والسعر'!$C$2:$C$700,MATCH($C1473,'تحليل التكلفة والسعر'!$B$2:$B$700,0)),0))</f>
        <v>0.7557110946</v>
      </c>
      <c r="H1473" s="104" t="s">
        <v>719</v>
      </c>
    </row>
    <row r="1474" customFormat="false" ht="15" hidden="false" customHeight="false" outlineLevel="0" collapsed="false">
      <c r="A1474" s="103" t="n">
        <v>46304</v>
      </c>
      <c r="B1474" s="104" t="s">
        <v>34</v>
      </c>
      <c r="C1474" s="104" t="s">
        <v>755</v>
      </c>
      <c r="D1474" s="105" t="n">
        <v>0.0833</v>
      </c>
      <c r="E1474" s="106" t="n">
        <v>30</v>
      </c>
      <c r="F1474" s="107" t="n">
        <f aca="false">IF($C1474="","",$D1474*$E1474)</f>
        <v>2.499</v>
      </c>
      <c r="G1474" s="107" t="n">
        <f aca="false">IF($C1474="","",$D1474*IFERROR(INDEX('تحليل التكلفة والسعر'!$C$2:$C$700,MATCH($C1474,'تحليل التكلفة والسعر'!$B$2:$B$700,0)),0))</f>
        <v>0.7557110946</v>
      </c>
      <c r="H1474" s="104" t="s">
        <v>719</v>
      </c>
    </row>
    <row r="1475" customFormat="false" ht="15" hidden="false" customHeight="false" outlineLevel="0" collapsed="false">
      <c r="A1475" s="103" t="n">
        <v>46305</v>
      </c>
      <c r="B1475" s="104" t="s">
        <v>34</v>
      </c>
      <c r="C1475" s="104" t="s">
        <v>755</v>
      </c>
      <c r="D1475" s="105" t="n">
        <v>0.0833</v>
      </c>
      <c r="E1475" s="106" t="n">
        <v>30</v>
      </c>
      <c r="F1475" s="107" t="n">
        <f aca="false">IF($C1475="","",$D1475*$E1475)</f>
        <v>2.499</v>
      </c>
      <c r="G1475" s="107" t="n">
        <f aca="false">IF($C1475="","",$D1475*IFERROR(INDEX('تحليل التكلفة والسعر'!$C$2:$C$700,MATCH($C1475,'تحليل التكلفة والسعر'!$B$2:$B$700,0)),0))</f>
        <v>0.7557110946</v>
      </c>
      <c r="H1475" s="104" t="s">
        <v>719</v>
      </c>
    </row>
    <row r="1476" customFormat="false" ht="15" hidden="false" customHeight="false" outlineLevel="0" collapsed="false">
      <c r="A1476" s="103" t="n">
        <v>46306</v>
      </c>
      <c r="B1476" s="104" t="s">
        <v>34</v>
      </c>
      <c r="C1476" s="104" t="s">
        <v>755</v>
      </c>
      <c r="D1476" s="105" t="n">
        <v>0.0833</v>
      </c>
      <c r="E1476" s="106" t="n">
        <v>30</v>
      </c>
      <c r="F1476" s="107" t="n">
        <f aca="false">IF($C1476="","",$D1476*$E1476)</f>
        <v>2.499</v>
      </c>
      <c r="G1476" s="107" t="n">
        <f aca="false">IF($C1476="","",$D1476*IFERROR(INDEX('تحليل التكلفة والسعر'!$C$2:$C$700,MATCH($C1476,'تحليل التكلفة والسعر'!$B$2:$B$700,0)),0))</f>
        <v>0.7557110946</v>
      </c>
      <c r="H1476" s="104" t="s">
        <v>719</v>
      </c>
    </row>
    <row r="1477" customFormat="false" ht="15" hidden="false" customHeight="false" outlineLevel="0" collapsed="false">
      <c r="A1477" s="103" t="n">
        <v>46307</v>
      </c>
      <c r="B1477" s="104" t="s">
        <v>34</v>
      </c>
      <c r="C1477" s="104" t="s">
        <v>755</v>
      </c>
      <c r="D1477" s="105" t="n">
        <v>0.0833</v>
      </c>
      <c r="E1477" s="106" t="n">
        <v>30</v>
      </c>
      <c r="F1477" s="107" t="n">
        <f aca="false">IF($C1477="","",$D1477*$E1477)</f>
        <v>2.499</v>
      </c>
      <c r="G1477" s="107" t="n">
        <f aca="false">IF($C1477="","",$D1477*IFERROR(INDEX('تحليل التكلفة والسعر'!$C$2:$C$700,MATCH($C1477,'تحليل التكلفة والسعر'!$B$2:$B$700,0)),0))</f>
        <v>0.7557110946</v>
      </c>
      <c r="H1477" s="104" t="s">
        <v>719</v>
      </c>
    </row>
    <row r="1478" customFormat="false" ht="15" hidden="false" customHeight="false" outlineLevel="0" collapsed="false">
      <c r="A1478" s="103" t="n">
        <v>46296</v>
      </c>
      <c r="B1478" s="104" t="s">
        <v>34</v>
      </c>
      <c r="C1478" s="104" t="s">
        <v>756</v>
      </c>
      <c r="D1478" s="105" t="n">
        <v>0.0833</v>
      </c>
      <c r="E1478" s="106" t="n">
        <v>50</v>
      </c>
      <c r="F1478" s="107" t="n">
        <f aca="false">IF($C1478="","",$D1478*$E1478)</f>
        <v>4.165</v>
      </c>
      <c r="G1478" s="107" t="n">
        <f aca="false">IF($C1478="","",$D1478*IFERROR(INDEX('تحليل التكلفة والسعر'!$C$2:$C$700,MATCH($C1478,'تحليل التكلفة والسعر'!$B$2:$B$700,0)),0))</f>
        <v>1.7493</v>
      </c>
      <c r="H1478" s="104" t="s">
        <v>719</v>
      </c>
    </row>
    <row r="1479" customFormat="false" ht="15" hidden="false" customHeight="false" outlineLevel="0" collapsed="false">
      <c r="A1479" s="103" t="n">
        <v>46297</v>
      </c>
      <c r="B1479" s="104" t="s">
        <v>34</v>
      </c>
      <c r="C1479" s="104" t="s">
        <v>756</v>
      </c>
      <c r="D1479" s="105" t="n">
        <v>0.0833</v>
      </c>
      <c r="E1479" s="106" t="n">
        <v>50</v>
      </c>
      <c r="F1479" s="107" t="n">
        <f aca="false">IF($C1479="","",$D1479*$E1479)</f>
        <v>4.165</v>
      </c>
      <c r="G1479" s="107" t="n">
        <f aca="false">IF($C1479="","",$D1479*IFERROR(INDEX('تحليل التكلفة والسعر'!$C$2:$C$700,MATCH($C1479,'تحليل التكلفة والسعر'!$B$2:$B$700,0)),0))</f>
        <v>1.7493</v>
      </c>
      <c r="H1479" s="104" t="s">
        <v>719</v>
      </c>
    </row>
    <row r="1480" customFormat="false" ht="15" hidden="false" customHeight="false" outlineLevel="0" collapsed="false">
      <c r="A1480" s="103" t="n">
        <v>46298</v>
      </c>
      <c r="B1480" s="104" t="s">
        <v>34</v>
      </c>
      <c r="C1480" s="104" t="s">
        <v>756</v>
      </c>
      <c r="D1480" s="105" t="n">
        <v>0.0833</v>
      </c>
      <c r="E1480" s="106" t="n">
        <v>50</v>
      </c>
      <c r="F1480" s="107" t="n">
        <f aca="false">IF($C1480="","",$D1480*$E1480)</f>
        <v>4.165</v>
      </c>
      <c r="G1480" s="107" t="n">
        <f aca="false">IF($C1480="","",$D1480*IFERROR(INDEX('تحليل التكلفة والسعر'!$C$2:$C$700,MATCH($C1480,'تحليل التكلفة والسعر'!$B$2:$B$700,0)),0))</f>
        <v>1.7493</v>
      </c>
      <c r="H1480" s="104" t="s">
        <v>719</v>
      </c>
    </row>
    <row r="1481" customFormat="false" ht="15" hidden="false" customHeight="false" outlineLevel="0" collapsed="false">
      <c r="A1481" s="103" t="n">
        <v>46299</v>
      </c>
      <c r="B1481" s="104" t="s">
        <v>34</v>
      </c>
      <c r="C1481" s="104" t="s">
        <v>756</v>
      </c>
      <c r="D1481" s="105" t="n">
        <v>0.0833</v>
      </c>
      <c r="E1481" s="106" t="n">
        <v>50</v>
      </c>
      <c r="F1481" s="107" t="n">
        <f aca="false">IF($C1481="","",$D1481*$E1481)</f>
        <v>4.165</v>
      </c>
      <c r="G1481" s="107" t="n">
        <f aca="false">IF($C1481="","",$D1481*IFERROR(INDEX('تحليل التكلفة والسعر'!$C$2:$C$700,MATCH($C1481,'تحليل التكلفة والسعر'!$B$2:$B$700,0)),0))</f>
        <v>1.7493</v>
      </c>
      <c r="H1481" s="104" t="s">
        <v>719</v>
      </c>
    </row>
    <row r="1482" customFormat="false" ht="15" hidden="false" customHeight="false" outlineLevel="0" collapsed="false">
      <c r="A1482" s="103" t="n">
        <v>46300</v>
      </c>
      <c r="B1482" s="104" t="s">
        <v>34</v>
      </c>
      <c r="C1482" s="104" t="s">
        <v>756</v>
      </c>
      <c r="D1482" s="105" t="n">
        <v>0.0833</v>
      </c>
      <c r="E1482" s="106" t="n">
        <v>50</v>
      </c>
      <c r="F1482" s="107" t="n">
        <f aca="false">IF($C1482="","",$D1482*$E1482)</f>
        <v>4.165</v>
      </c>
      <c r="G1482" s="107" t="n">
        <f aca="false">IF($C1482="","",$D1482*IFERROR(INDEX('تحليل التكلفة والسعر'!$C$2:$C$700,MATCH($C1482,'تحليل التكلفة والسعر'!$B$2:$B$700,0)),0))</f>
        <v>1.7493</v>
      </c>
      <c r="H1482" s="104" t="s">
        <v>719</v>
      </c>
    </row>
    <row r="1483" customFormat="false" ht="15" hidden="false" customHeight="false" outlineLevel="0" collapsed="false">
      <c r="A1483" s="103" t="n">
        <v>46301</v>
      </c>
      <c r="B1483" s="104" t="s">
        <v>34</v>
      </c>
      <c r="C1483" s="104" t="s">
        <v>756</v>
      </c>
      <c r="D1483" s="105" t="n">
        <v>0.0833</v>
      </c>
      <c r="E1483" s="106" t="n">
        <v>50</v>
      </c>
      <c r="F1483" s="107" t="n">
        <f aca="false">IF($C1483="","",$D1483*$E1483)</f>
        <v>4.165</v>
      </c>
      <c r="G1483" s="107" t="n">
        <f aca="false">IF($C1483="","",$D1483*IFERROR(INDEX('تحليل التكلفة والسعر'!$C$2:$C$700,MATCH($C1483,'تحليل التكلفة والسعر'!$B$2:$B$700,0)),0))</f>
        <v>1.7493</v>
      </c>
      <c r="H1483" s="104" t="s">
        <v>719</v>
      </c>
    </row>
    <row r="1484" customFormat="false" ht="15" hidden="false" customHeight="false" outlineLevel="0" collapsed="false">
      <c r="A1484" s="103" t="n">
        <v>46302</v>
      </c>
      <c r="B1484" s="104" t="s">
        <v>34</v>
      </c>
      <c r="C1484" s="104" t="s">
        <v>756</v>
      </c>
      <c r="D1484" s="105" t="n">
        <v>0.0833</v>
      </c>
      <c r="E1484" s="106" t="n">
        <v>50</v>
      </c>
      <c r="F1484" s="107" t="n">
        <f aca="false">IF($C1484="","",$D1484*$E1484)</f>
        <v>4.165</v>
      </c>
      <c r="G1484" s="107" t="n">
        <f aca="false">IF($C1484="","",$D1484*IFERROR(INDEX('تحليل التكلفة والسعر'!$C$2:$C$700,MATCH($C1484,'تحليل التكلفة والسعر'!$B$2:$B$700,0)),0))</f>
        <v>1.7493</v>
      </c>
      <c r="H1484" s="104" t="s">
        <v>719</v>
      </c>
    </row>
    <row r="1485" customFormat="false" ht="15" hidden="false" customHeight="false" outlineLevel="0" collapsed="false">
      <c r="A1485" s="103" t="n">
        <v>46303</v>
      </c>
      <c r="B1485" s="104" t="s">
        <v>34</v>
      </c>
      <c r="C1485" s="104" t="s">
        <v>756</v>
      </c>
      <c r="D1485" s="105" t="n">
        <v>0.0833</v>
      </c>
      <c r="E1485" s="106" t="n">
        <v>50</v>
      </c>
      <c r="F1485" s="107" t="n">
        <f aca="false">IF($C1485="","",$D1485*$E1485)</f>
        <v>4.165</v>
      </c>
      <c r="G1485" s="107" t="n">
        <f aca="false">IF($C1485="","",$D1485*IFERROR(INDEX('تحليل التكلفة والسعر'!$C$2:$C$700,MATCH($C1485,'تحليل التكلفة والسعر'!$B$2:$B$700,0)),0))</f>
        <v>1.7493</v>
      </c>
      <c r="H1485" s="104" t="s">
        <v>719</v>
      </c>
    </row>
    <row r="1486" customFormat="false" ht="15" hidden="false" customHeight="false" outlineLevel="0" collapsed="false">
      <c r="A1486" s="103" t="n">
        <v>46304</v>
      </c>
      <c r="B1486" s="104" t="s">
        <v>34</v>
      </c>
      <c r="C1486" s="104" t="s">
        <v>756</v>
      </c>
      <c r="D1486" s="105" t="n">
        <v>0.0833</v>
      </c>
      <c r="E1486" s="106" t="n">
        <v>50</v>
      </c>
      <c r="F1486" s="107" t="n">
        <f aca="false">IF($C1486="","",$D1486*$E1486)</f>
        <v>4.165</v>
      </c>
      <c r="G1486" s="107" t="n">
        <f aca="false">IF($C1486="","",$D1486*IFERROR(INDEX('تحليل التكلفة والسعر'!$C$2:$C$700,MATCH($C1486,'تحليل التكلفة والسعر'!$B$2:$B$700,0)),0))</f>
        <v>1.7493</v>
      </c>
      <c r="H1486" s="104" t="s">
        <v>719</v>
      </c>
    </row>
    <row r="1487" customFormat="false" ht="15" hidden="false" customHeight="false" outlineLevel="0" collapsed="false">
      <c r="A1487" s="103" t="n">
        <v>46305</v>
      </c>
      <c r="B1487" s="104" t="s">
        <v>34</v>
      </c>
      <c r="C1487" s="104" t="s">
        <v>756</v>
      </c>
      <c r="D1487" s="105" t="n">
        <v>0.0833</v>
      </c>
      <c r="E1487" s="106" t="n">
        <v>50</v>
      </c>
      <c r="F1487" s="107" t="n">
        <f aca="false">IF($C1487="","",$D1487*$E1487)</f>
        <v>4.165</v>
      </c>
      <c r="G1487" s="107" t="n">
        <f aca="false">IF($C1487="","",$D1487*IFERROR(INDEX('تحليل التكلفة والسعر'!$C$2:$C$700,MATCH($C1487,'تحليل التكلفة والسعر'!$B$2:$B$700,0)),0))</f>
        <v>1.7493</v>
      </c>
      <c r="H1487" s="104" t="s">
        <v>719</v>
      </c>
    </row>
    <row r="1488" customFormat="false" ht="15" hidden="false" customHeight="false" outlineLevel="0" collapsed="false">
      <c r="A1488" s="103" t="n">
        <v>46306</v>
      </c>
      <c r="B1488" s="104" t="s">
        <v>34</v>
      </c>
      <c r="C1488" s="104" t="s">
        <v>756</v>
      </c>
      <c r="D1488" s="105" t="n">
        <v>0.0833</v>
      </c>
      <c r="E1488" s="106" t="n">
        <v>50</v>
      </c>
      <c r="F1488" s="107" t="n">
        <f aca="false">IF($C1488="","",$D1488*$E1488)</f>
        <v>4.165</v>
      </c>
      <c r="G1488" s="107" t="n">
        <f aca="false">IF($C1488="","",$D1488*IFERROR(INDEX('تحليل التكلفة والسعر'!$C$2:$C$700,MATCH($C1488,'تحليل التكلفة والسعر'!$B$2:$B$700,0)),0))</f>
        <v>1.7493</v>
      </c>
      <c r="H1488" s="104" t="s">
        <v>719</v>
      </c>
    </row>
    <row r="1489" customFormat="false" ht="15" hidden="false" customHeight="false" outlineLevel="0" collapsed="false">
      <c r="A1489" s="103" t="n">
        <v>46307</v>
      </c>
      <c r="B1489" s="104" t="s">
        <v>34</v>
      </c>
      <c r="C1489" s="104" t="s">
        <v>756</v>
      </c>
      <c r="D1489" s="105" t="n">
        <v>0.0833</v>
      </c>
      <c r="E1489" s="106" t="n">
        <v>50</v>
      </c>
      <c r="F1489" s="107" t="n">
        <f aca="false">IF($C1489="","",$D1489*$E1489)</f>
        <v>4.165</v>
      </c>
      <c r="G1489" s="107" t="n">
        <f aca="false">IF($C1489="","",$D1489*IFERROR(INDEX('تحليل التكلفة والسعر'!$C$2:$C$700,MATCH($C1489,'تحليل التكلفة والسعر'!$B$2:$B$700,0)),0))</f>
        <v>1.7493</v>
      </c>
      <c r="H1489" s="104" t="s">
        <v>719</v>
      </c>
    </row>
    <row r="1490" customFormat="false" ht="15" hidden="false" customHeight="false" outlineLevel="0" collapsed="false">
      <c r="A1490" s="103" t="n">
        <v>46296</v>
      </c>
      <c r="B1490" s="104" t="s">
        <v>34</v>
      </c>
      <c r="C1490" s="104" t="s">
        <v>757</v>
      </c>
      <c r="D1490" s="105" t="n">
        <v>0.0833</v>
      </c>
      <c r="E1490" s="106" t="n">
        <v>40</v>
      </c>
      <c r="F1490" s="107" t="n">
        <f aca="false">IF($C1490="","",$D1490*$E1490)</f>
        <v>3.332</v>
      </c>
      <c r="G1490" s="107" t="n">
        <f aca="false">IF($C1490="","",$D1490*IFERROR(INDEX('تحليل التكلفة والسعر'!$C$2:$C$700,MATCH($C1490,'تحليل التكلفة والسعر'!$B$2:$B$700,0)),0))</f>
        <v>1.9159</v>
      </c>
      <c r="H1490" s="104" t="s">
        <v>719</v>
      </c>
    </row>
    <row r="1491" customFormat="false" ht="15" hidden="false" customHeight="false" outlineLevel="0" collapsed="false">
      <c r="A1491" s="103" t="n">
        <v>46297</v>
      </c>
      <c r="B1491" s="104" t="s">
        <v>34</v>
      </c>
      <c r="C1491" s="104" t="s">
        <v>757</v>
      </c>
      <c r="D1491" s="105" t="n">
        <v>0.0833</v>
      </c>
      <c r="E1491" s="106" t="n">
        <v>40</v>
      </c>
      <c r="F1491" s="107" t="n">
        <f aca="false">IF($C1491="","",$D1491*$E1491)</f>
        <v>3.332</v>
      </c>
      <c r="G1491" s="107" t="n">
        <f aca="false">IF($C1491="","",$D1491*IFERROR(INDEX('تحليل التكلفة والسعر'!$C$2:$C$700,MATCH($C1491,'تحليل التكلفة والسعر'!$B$2:$B$700,0)),0))</f>
        <v>1.9159</v>
      </c>
      <c r="H1491" s="104" t="s">
        <v>719</v>
      </c>
    </row>
    <row r="1492" customFormat="false" ht="15" hidden="false" customHeight="false" outlineLevel="0" collapsed="false">
      <c r="A1492" s="103" t="n">
        <v>46298</v>
      </c>
      <c r="B1492" s="104" t="s">
        <v>34</v>
      </c>
      <c r="C1492" s="104" t="s">
        <v>757</v>
      </c>
      <c r="D1492" s="105" t="n">
        <v>0.0833</v>
      </c>
      <c r="E1492" s="106" t="n">
        <v>40</v>
      </c>
      <c r="F1492" s="107" t="n">
        <f aca="false">IF($C1492="","",$D1492*$E1492)</f>
        <v>3.332</v>
      </c>
      <c r="G1492" s="107" t="n">
        <f aca="false">IF($C1492="","",$D1492*IFERROR(INDEX('تحليل التكلفة والسعر'!$C$2:$C$700,MATCH($C1492,'تحليل التكلفة والسعر'!$B$2:$B$700,0)),0))</f>
        <v>1.9159</v>
      </c>
      <c r="H1492" s="104" t="s">
        <v>719</v>
      </c>
    </row>
    <row r="1493" customFormat="false" ht="15" hidden="false" customHeight="false" outlineLevel="0" collapsed="false">
      <c r="A1493" s="103" t="n">
        <v>46299</v>
      </c>
      <c r="B1493" s="104" t="s">
        <v>34</v>
      </c>
      <c r="C1493" s="104" t="s">
        <v>757</v>
      </c>
      <c r="D1493" s="105" t="n">
        <v>0.0833</v>
      </c>
      <c r="E1493" s="106" t="n">
        <v>40</v>
      </c>
      <c r="F1493" s="107" t="n">
        <f aca="false">IF($C1493="","",$D1493*$E1493)</f>
        <v>3.332</v>
      </c>
      <c r="G1493" s="107" t="n">
        <f aca="false">IF($C1493="","",$D1493*IFERROR(INDEX('تحليل التكلفة والسعر'!$C$2:$C$700,MATCH($C1493,'تحليل التكلفة والسعر'!$B$2:$B$700,0)),0))</f>
        <v>1.9159</v>
      </c>
      <c r="H1493" s="104" t="s">
        <v>719</v>
      </c>
    </row>
    <row r="1494" customFormat="false" ht="15" hidden="false" customHeight="false" outlineLevel="0" collapsed="false">
      <c r="A1494" s="103" t="n">
        <v>46300</v>
      </c>
      <c r="B1494" s="104" t="s">
        <v>34</v>
      </c>
      <c r="C1494" s="104" t="s">
        <v>757</v>
      </c>
      <c r="D1494" s="105" t="n">
        <v>0.0833</v>
      </c>
      <c r="E1494" s="106" t="n">
        <v>40</v>
      </c>
      <c r="F1494" s="107" t="n">
        <f aca="false">IF($C1494="","",$D1494*$E1494)</f>
        <v>3.332</v>
      </c>
      <c r="G1494" s="107" t="n">
        <f aca="false">IF($C1494="","",$D1494*IFERROR(INDEX('تحليل التكلفة والسعر'!$C$2:$C$700,MATCH($C1494,'تحليل التكلفة والسعر'!$B$2:$B$700,0)),0))</f>
        <v>1.9159</v>
      </c>
      <c r="H1494" s="104" t="s">
        <v>719</v>
      </c>
    </row>
    <row r="1495" customFormat="false" ht="15" hidden="false" customHeight="false" outlineLevel="0" collapsed="false">
      <c r="A1495" s="103" t="n">
        <v>46301</v>
      </c>
      <c r="B1495" s="104" t="s">
        <v>34</v>
      </c>
      <c r="C1495" s="104" t="s">
        <v>757</v>
      </c>
      <c r="D1495" s="105" t="n">
        <v>0.0833</v>
      </c>
      <c r="E1495" s="106" t="n">
        <v>40</v>
      </c>
      <c r="F1495" s="107" t="n">
        <f aca="false">IF($C1495="","",$D1495*$E1495)</f>
        <v>3.332</v>
      </c>
      <c r="G1495" s="107" t="n">
        <f aca="false">IF($C1495="","",$D1495*IFERROR(INDEX('تحليل التكلفة والسعر'!$C$2:$C$700,MATCH($C1495,'تحليل التكلفة والسعر'!$B$2:$B$700,0)),0))</f>
        <v>1.9159</v>
      </c>
      <c r="H1495" s="104" t="s">
        <v>719</v>
      </c>
    </row>
    <row r="1496" customFormat="false" ht="15" hidden="false" customHeight="false" outlineLevel="0" collapsed="false">
      <c r="A1496" s="103" t="n">
        <v>46302</v>
      </c>
      <c r="B1496" s="104" t="s">
        <v>34</v>
      </c>
      <c r="C1496" s="104" t="s">
        <v>757</v>
      </c>
      <c r="D1496" s="105" t="n">
        <v>0.0833</v>
      </c>
      <c r="E1496" s="106" t="n">
        <v>40</v>
      </c>
      <c r="F1496" s="107" t="n">
        <f aca="false">IF($C1496="","",$D1496*$E1496)</f>
        <v>3.332</v>
      </c>
      <c r="G1496" s="107" t="n">
        <f aca="false">IF($C1496="","",$D1496*IFERROR(INDEX('تحليل التكلفة والسعر'!$C$2:$C$700,MATCH($C1496,'تحليل التكلفة والسعر'!$B$2:$B$700,0)),0))</f>
        <v>1.9159</v>
      </c>
      <c r="H1496" s="104" t="s">
        <v>719</v>
      </c>
    </row>
    <row r="1497" customFormat="false" ht="15" hidden="false" customHeight="false" outlineLevel="0" collapsed="false">
      <c r="A1497" s="103" t="n">
        <v>46303</v>
      </c>
      <c r="B1497" s="104" t="s">
        <v>34</v>
      </c>
      <c r="C1497" s="104" t="s">
        <v>757</v>
      </c>
      <c r="D1497" s="105" t="n">
        <v>0.0833</v>
      </c>
      <c r="E1497" s="106" t="n">
        <v>40</v>
      </c>
      <c r="F1497" s="107" t="n">
        <f aca="false">IF($C1497="","",$D1497*$E1497)</f>
        <v>3.332</v>
      </c>
      <c r="G1497" s="107" t="n">
        <f aca="false">IF($C1497="","",$D1497*IFERROR(INDEX('تحليل التكلفة والسعر'!$C$2:$C$700,MATCH($C1497,'تحليل التكلفة والسعر'!$B$2:$B$700,0)),0))</f>
        <v>1.9159</v>
      </c>
      <c r="H1497" s="104" t="s">
        <v>719</v>
      </c>
    </row>
    <row r="1498" customFormat="false" ht="15" hidden="false" customHeight="false" outlineLevel="0" collapsed="false">
      <c r="A1498" s="103" t="n">
        <v>46304</v>
      </c>
      <c r="B1498" s="104" t="s">
        <v>34</v>
      </c>
      <c r="C1498" s="104" t="s">
        <v>757</v>
      </c>
      <c r="D1498" s="105" t="n">
        <v>0.0833</v>
      </c>
      <c r="E1498" s="106" t="n">
        <v>40</v>
      </c>
      <c r="F1498" s="107" t="n">
        <f aca="false">IF($C1498="","",$D1498*$E1498)</f>
        <v>3.332</v>
      </c>
      <c r="G1498" s="107" t="n">
        <f aca="false">IF($C1498="","",$D1498*IFERROR(INDEX('تحليل التكلفة والسعر'!$C$2:$C$700,MATCH($C1498,'تحليل التكلفة والسعر'!$B$2:$B$700,0)),0))</f>
        <v>1.9159</v>
      </c>
      <c r="H1498" s="104" t="s">
        <v>719</v>
      </c>
    </row>
    <row r="1499" customFormat="false" ht="15" hidden="false" customHeight="false" outlineLevel="0" collapsed="false">
      <c r="A1499" s="103" t="n">
        <v>46305</v>
      </c>
      <c r="B1499" s="104" t="s">
        <v>34</v>
      </c>
      <c r="C1499" s="104" t="s">
        <v>757</v>
      </c>
      <c r="D1499" s="105" t="n">
        <v>0.0833</v>
      </c>
      <c r="E1499" s="106" t="n">
        <v>40</v>
      </c>
      <c r="F1499" s="107" t="n">
        <f aca="false">IF($C1499="","",$D1499*$E1499)</f>
        <v>3.332</v>
      </c>
      <c r="G1499" s="107" t="n">
        <f aca="false">IF($C1499="","",$D1499*IFERROR(INDEX('تحليل التكلفة والسعر'!$C$2:$C$700,MATCH($C1499,'تحليل التكلفة والسعر'!$B$2:$B$700,0)),0))</f>
        <v>1.9159</v>
      </c>
      <c r="H1499" s="104" t="s">
        <v>719</v>
      </c>
    </row>
    <row r="1500" customFormat="false" ht="15" hidden="false" customHeight="false" outlineLevel="0" collapsed="false">
      <c r="A1500" s="103" t="n">
        <v>46306</v>
      </c>
      <c r="B1500" s="104" t="s">
        <v>34</v>
      </c>
      <c r="C1500" s="104" t="s">
        <v>757</v>
      </c>
      <c r="D1500" s="105" t="n">
        <v>0.0833</v>
      </c>
      <c r="E1500" s="106" t="n">
        <v>40</v>
      </c>
      <c r="F1500" s="107" t="n">
        <f aca="false">IF($C1500="","",$D1500*$E1500)</f>
        <v>3.332</v>
      </c>
      <c r="G1500" s="107" t="n">
        <f aca="false">IF($C1500="","",$D1500*IFERROR(INDEX('تحليل التكلفة والسعر'!$C$2:$C$700,MATCH($C1500,'تحليل التكلفة والسعر'!$B$2:$B$700,0)),0))</f>
        <v>1.9159</v>
      </c>
      <c r="H1500" s="104" t="s">
        <v>719</v>
      </c>
    </row>
    <row r="1501" customFormat="false" ht="15" hidden="false" customHeight="false" outlineLevel="0" collapsed="false">
      <c r="A1501" s="103" t="n">
        <v>46307</v>
      </c>
      <c r="B1501" s="104" t="s">
        <v>34</v>
      </c>
      <c r="C1501" s="104" t="s">
        <v>757</v>
      </c>
      <c r="D1501" s="105" t="n">
        <v>0.0833</v>
      </c>
      <c r="E1501" s="106" t="n">
        <v>40</v>
      </c>
      <c r="F1501" s="107" t="n">
        <f aca="false">IF($C1501="","",$D1501*$E1501)</f>
        <v>3.332</v>
      </c>
      <c r="G1501" s="107" t="n">
        <f aca="false">IF($C1501="","",$D1501*IFERROR(INDEX('تحليل التكلفة والسعر'!$C$2:$C$700,MATCH($C1501,'تحليل التكلفة والسعر'!$B$2:$B$700,0)),0))</f>
        <v>1.9159</v>
      </c>
      <c r="H1501" s="104" t="s">
        <v>719</v>
      </c>
    </row>
    <row r="1502" customFormat="false" ht="15" hidden="false" customHeight="false" outlineLevel="0" collapsed="false">
      <c r="A1502" s="103" t="n">
        <v>46296</v>
      </c>
      <c r="B1502" s="104" t="s">
        <v>34</v>
      </c>
      <c r="C1502" s="104" t="s">
        <v>740</v>
      </c>
      <c r="D1502" s="105" t="n">
        <v>0.25</v>
      </c>
      <c r="E1502" s="106" t="n">
        <v>60</v>
      </c>
      <c r="F1502" s="107" t="n">
        <f aca="false">IF($C1502="","",$D1502*$E1502)</f>
        <v>15</v>
      </c>
      <c r="G1502" s="107" t="n">
        <f aca="false">IF($C1502="","",$D1502*IFERROR(INDEX('تحليل التكلفة والسعر'!$C$2:$C$700,MATCH($C1502,'تحليل التكلفة والسعر'!$B$2:$B$700,0)),0))</f>
        <v>8.3875</v>
      </c>
      <c r="H1502" s="104" t="s">
        <v>719</v>
      </c>
    </row>
    <row r="1503" customFormat="false" ht="15" hidden="false" customHeight="false" outlineLevel="0" collapsed="false">
      <c r="A1503" s="103" t="n">
        <v>46297</v>
      </c>
      <c r="B1503" s="104" t="s">
        <v>34</v>
      </c>
      <c r="C1503" s="104" t="s">
        <v>740</v>
      </c>
      <c r="D1503" s="105" t="n">
        <v>0.25</v>
      </c>
      <c r="E1503" s="106" t="n">
        <v>60</v>
      </c>
      <c r="F1503" s="107" t="n">
        <f aca="false">IF($C1503="","",$D1503*$E1503)</f>
        <v>15</v>
      </c>
      <c r="G1503" s="107" t="n">
        <f aca="false">IF($C1503="","",$D1503*IFERROR(INDEX('تحليل التكلفة والسعر'!$C$2:$C$700,MATCH($C1503,'تحليل التكلفة والسعر'!$B$2:$B$700,0)),0))</f>
        <v>8.3875</v>
      </c>
      <c r="H1503" s="104" t="s">
        <v>719</v>
      </c>
    </row>
    <row r="1504" customFormat="false" ht="15" hidden="false" customHeight="false" outlineLevel="0" collapsed="false">
      <c r="A1504" s="103" t="n">
        <v>46298</v>
      </c>
      <c r="B1504" s="104" t="s">
        <v>34</v>
      </c>
      <c r="C1504" s="104" t="s">
        <v>740</v>
      </c>
      <c r="D1504" s="105" t="n">
        <v>0.25</v>
      </c>
      <c r="E1504" s="106" t="n">
        <v>60</v>
      </c>
      <c r="F1504" s="107" t="n">
        <f aca="false">IF($C1504="","",$D1504*$E1504)</f>
        <v>15</v>
      </c>
      <c r="G1504" s="107" t="n">
        <f aca="false">IF($C1504="","",$D1504*IFERROR(INDEX('تحليل التكلفة والسعر'!$C$2:$C$700,MATCH($C1504,'تحليل التكلفة والسعر'!$B$2:$B$700,0)),0))</f>
        <v>8.3875</v>
      </c>
      <c r="H1504" s="104" t="s">
        <v>719</v>
      </c>
    </row>
    <row r="1505" customFormat="false" ht="15" hidden="false" customHeight="false" outlineLevel="0" collapsed="false">
      <c r="A1505" s="103" t="n">
        <v>46299</v>
      </c>
      <c r="B1505" s="104" t="s">
        <v>34</v>
      </c>
      <c r="C1505" s="104" t="s">
        <v>740</v>
      </c>
      <c r="D1505" s="105" t="n">
        <v>0.25</v>
      </c>
      <c r="E1505" s="106" t="n">
        <v>60</v>
      </c>
      <c r="F1505" s="107" t="n">
        <f aca="false">IF($C1505="","",$D1505*$E1505)</f>
        <v>15</v>
      </c>
      <c r="G1505" s="107" t="n">
        <f aca="false">IF($C1505="","",$D1505*IFERROR(INDEX('تحليل التكلفة والسعر'!$C$2:$C$700,MATCH($C1505,'تحليل التكلفة والسعر'!$B$2:$B$700,0)),0))</f>
        <v>8.3875</v>
      </c>
      <c r="H1505" s="104" t="s">
        <v>719</v>
      </c>
    </row>
    <row r="1506" customFormat="false" ht="15" hidden="false" customHeight="false" outlineLevel="0" collapsed="false">
      <c r="A1506" s="103" t="n">
        <v>46300</v>
      </c>
      <c r="B1506" s="104" t="s">
        <v>34</v>
      </c>
      <c r="C1506" s="104" t="s">
        <v>740</v>
      </c>
      <c r="D1506" s="105" t="n">
        <v>0.25</v>
      </c>
      <c r="E1506" s="106" t="n">
        <v>60</v>
      </c>
      <c r="F1506" s="107" t="n">
        <f aca="false">IF($C1506="","",$D1506*$E1506)</f>
        <v>15</v>
      </c>
      <c r="G1506" s="107" t="n">
        <f aca="false">IF($C1506="","",$D1506*IFERROR(INDEX('تحليل التكلفة والسعر'!$C$2:$C$700,MATCH($C1506,'تحليل التكلفة والسعر'!$B$2:$B$700,0)),0))</f>
        <v>8.3875</v>
      </c>
      <c r="H1506" s="104" t="s">
        <v>719</v>
      </c>
    </row>
    <row r="1507" customFormat="false" ht="15" hidden="false" customHeight="false" outlineLevel="0" collapsed="false">
      <c r="A1507" s="103" t="n">
        <v>46301</v>
      </c>
      <c r="B1507" s="104" t="s">
        <v>34</v>
      </c>
      <c r="C1507" s="104" t="s">
        <v>740</v>
      </c>
      <c r="D1507" s="105" t="n">
        <v>0.25</v>
      </c>
      <c r="E1507" s="106" t="n">
        <v>60</v>
      </c>
      <c r="F1507" s="107" t="n">
        <f aca="false">IF($C1507="","",$D1507*$E1507)</f>
        <v>15</v>
      </c>
      <c r="G1507" s="107" t="n">
        <f aca="false">IF($C1507="","",$D1507*IFERROR(INDEX('تحليل التكلفة والسعر'!$C$2:$C$700,MATCH($C1507,'تحليل التكلفة والسعر'!$B$2:$B$700,0)),0))</f>
        <v>8.3875</v>
      </c>
      <c r="H1507" s="104" t="s">
        <v>719</v>
      </c>
    </row>
    <row r="1508" customFormat="false" ht="15" hidden="false" customHeight="false" outlineLevel="0" collapsed="false">
      <c r="A1508" s="103" t="n">
        <v>46302</v>
      </c>
      <c r="B1508" s="104" t="s">
        <v>34</v>
      </c>
      <c r="C1508" s="104" t="s">
        <v>740</v>
      </c>
      <c r="D1508" s="105" t="n">
        <v>0.25</v>
      </c>
      <c r="E1508" s="106" t="n">
        <v>60</v>
      </c>
      <c r="F1508" s="107" t="n">
        <f aca="false">IF($C1508="","",$D1508*$E1508)</f>
        <v>15</v>
      </c>
      <c r="G1508" s="107" t="n">
        <f aca="false">IF($C1508="","",$D1508*IFERROR(INDEX('تحليل التكلفة والسعر'!$C$2:$C$700,MATCH($C1508,'تحليل التكلفة والسعر'!$B$2:$B$700,0)),0))</f>
        <v>8.3875</v>
      </c>
      <c r="H1508" s="104" t="s">
        <v>719</v>
      </c>
    </row>
    <row r="1509" customFormat="false" ht="15" hidden="false" customHeight="false" outlineLevel="0" collapsed="false">
      <c r="A1509" s="103" t="n">
        <v>46303</v>
      </c>
      <c r="B1509" s="104" t="s">
        <v>34</v>
      </c>
      <c r="C1509" s="104" t="s">
        <v>740</v>
      </c>
      <c r="D1509" s="105" t="n">
        <v>0.25</v>
      </c>
      <c r="E1509" s="106" t="n">
        <v>60</v>
      </c>
      <c r="F1509" s="107" t="n">
        <f aca="false">IF($C1509="","",$D1509*$E1509)</f>
        <v>15</v>
      </c>
      <c r="G1509" s="107" t="n">
        <f aca="false">IF($C1509="","",$D1509*IFERROR(INDEX('تحليل التكلفة والسعر'!$C$2:$C$700,MATCH($C1509,'تحليل التكلفة والسعر'!$B$2:$B$700,0)),0))</f>
        <v>8.3875</v>
      </c>
      <c r="H1509" s="104" t="s">
        <v>719</v>
      </c>
    </row>
    <row r="1510" customFormat="false" ht="15" hidden="false" customHeight="false" outlineLevel="0" collapsed="false">
      <c r="A1510" s="103" t="n">
        <v>46304</v>
      </c>
      <c r="B1510" s="104" t="s">
        <v>34</v>
      </c>
      <c r="C1510" s="104" t="s">
        <v>740</v>
      </c>
      <c r="D1510" s="105" t="n">
        <v>0.25</v>
      </c>
      <c r="E1510" s="106" t="n">
        <v>60</v>
      </c>
      <c r="F1510" s="107" t="n">
        <f aca="false">IF($C1510="","",$D1510*$E1510)</f>
        <v>15</v>
      </c>
      <c r="G1510" s="107" t="n">
        <f aca="false">IF($C1510="","",$D1510*IFERROR(INDEX('تحليل التكلفة والسعر'!$C$2:$C$700,MATCH($C1510,'تحليل التكلفة والسعر'!$B$2:$B$700,0)),0))</f>
        <v>8.3875</v>
      </c>
      <c r="H1510" s="104" t="s">
        <v>719</v>
      </c>
    </row>
    <row r="1511" customFormat="false" ht="15" hidden="false" customHeight="false" outlineLevel="0" collapsed="false">
      <c r="A1511" s="103" t="n">
        <v>46305</v>
      </c>
      <c r="B1511" s="104" t="s">
        <v>34</v>
      </c>
      <c r="C1511" s="104" t="s">
        <v>740</v>
      </c>
      <c r="D1511" s="105" t="n">
        <v>0.25</v>
      </c>
      <c r="E1511" s="106" t="n">
        <v>60</v>
      </c>
      <c r="F1511" s="107" t="n">
        <f aca="false">IF($C1511="","",$D1511*$E1511)</f>
        <v>15</v>
      </c>
      <c r="G1511" s="107" t="n">
        <f aca="false">IF($C1511="","",$D1511*IFERROR(INDEX('تحليل التكلفة والسعر'!$C$2:$C$700,MATCH($C1511,'تحليل التكلفة والسعر'!$B$2:$B$700,0)),0))</f>
        <v>8.3875</v>
      </c>
      <c r="H1511" s="104" t="s">
        <v>719</v>
      </c>
    </row>
    <row r="1512" customFormat="false" ht="15" hidden="false" customHeight="false" outlineLevel="0" collapsed="false">
      <c r="A1512" s="103" t="n">
        <v>46306</v>
      </c>
      <c r="B1512" s="104" t="s">
        <v>34</v>
      </c>
      <c r="C1512" s="104" t="s">
        <v>740</v>
      </c>
      <c r="D1512" s="105" t="n">
        <v>0.25</v>
      </c>
      <c r="E1512" s="106" t="n">
        <v>60</v>
      </c>
      <c r="F1512" s="107" t="n">
        <f aca="false">IF($C1512="","",$D1512*$E1512)</f>
        <v>15</v>
      </c>
      <c r="G1512" s="107" t="n">
        <f aca="false">IF($C1512="","",$D1512*IFERROR(INDEX('تحليل التكلفة والسعر'!$C$2:$C$700,MATCH($C1512,'تحليل التكلفة والسعر'!$B$2:$B$700,0)),0))</f>
        <v>8.3875</v>
      </c>
      <c r="H1512" s="104" t="s">
        <v>719</v>
      </c>
    </row>
    <row r="1513" customFormat="false" ht="15" hidden="false" customHeight="false" outlineLevel="0" collapsed="false">
      <c r="A1513" s="103" t="n">
        <v>46307</v>
      </c>
      <c r="B1513" s="104" t="s">
        <v>34</v>
      </c>
      <c r="C1513" s="104" t="s">
        <v>740</v>
      </c>
      <c r="D1513" s="105" t="n">
        <v>0.25</v>
      </c>
      <c r="E1513" s="106" t="n">
        <v>60</v>
      </c>
      <c r="F1513" s="107" t="n">
        <f aca="false">IF($C1513="","",$D1513*$E1513)</f>
        <v>15</v>
      </c>
      <c r="G1513" s="107" t="n">
        <f aca="false">IF($C1513="","",$D1513*IFERROR(INDEX('تحليل التكلفة والسعر'!$C$2:$C$700,MATCH($C1513,'تحليل التكلفة والسعر'!$B$2:$B$700,0)),0))</f>
        <v>8.3875</v>
      </c>
      <c r="H1513" s="104" t="s">
        <v>719</v>
      </c>
    </row>
    <row r="1514" customFormat="false" ht="15" hidden="false" customHeight="false" outlineLevel="0" collapsed="false">
      <c r="A1514" s="103" t="n">
        <v>46296</v>
      </c>
      <c r="B1514" s="104" t="s">
        <v>34</v>
      </c>
      <c r="C1514" s="104" t="s">
        <v>741</v>
      </c>
      <c r="D1514" s="105" t="n">
        <v>1.1667</v>
      </c>
      <c r="E1514" s="106" t="n">
        <v>48.5714</v>
      </c>
      <c r="F1514" s="107" t="n">
        <f aca="false">IF($C1514="","",$D1514*$E1514)</f>
        <v>56.66825238</v>
      </c>
      <c r="G1514" s="107" t="n">
        <f aca="false">IF($C1514="","",$D1514*IFERROR(INDEX('تحليل التكلفة والسعر'!$C$2:$C$700,MATCH($C1514,'تحليل التكلفة والسعر'!$B$2:$B$700,0)),0))</f>
        <v>20.3880825</v>
      </c>
      <c r="H1514" s="104" t="s">
        <v>719</v>
      </c>
    </row>
    <row r="1515" customFormat="false" ht="15" hidden="false" customHeight="false" outlineLevel="0" collapsed="false">
      <c r="A1515" s="103" t="n">
        <v>46297</v>
      </c>
      <c r="B1515" s="104" t="s">
        <v>34</v>
      </c>
      <c r="C1515" s="104" t="s">
        <v>741</v>
      </c>
      <c r="D1515" s="105" t="n">
        <v>1.1667</v>
      </c>
      <c r="E1515" s="106" t="n">
        <v>48.5714</v>
      </c>
      <c r="F1515" s="107" t="n">
        <f aca="false">IF($C1515="","",$D1515*$E1515)</f>
        <v>56.66825238</v>
      </c>
      <c r="G1515" s="107" t="n">
        <f aca="false">IF($C1515="","",$D1515*IFERROR(INDEX('تحليل التكلفة والسعر'!$C$2:$C$700,MATCH($C1515,'تحليل التكلفة والسعر'!$B$2:$B$700,0)),0))</f>
        <v>20.3880825</v>
      </c>
      <c r="H1515" s="104" t="s">
        <v>719</v>
      </c>
    </row>
    <row r="1516" customFormat="false" ht="15" hidden="false" customHeight="false" outlineLevel="0" collapsed="false">
      <c r="A1516" s="103" t="n">
        <v>46298</v>
      </c>
      <c r="B1516" s="104" t="s">
        <v>34</v>
      </c>
      <c r="C1516" s="104" t="s">
        <v>741</v>
      </c>
      <c r="D1516" s="105" t="n">
        <v>1.1667</v>
      </c>
      <c r="E1516" s="106" t="n">
        <v>48.5714</v>
      </c>
      <c r="F1516" s="107" t="n">
        <f aca="false">IF($C1516="","",$D1516*$E1516)</f>
        <v>56.66825238</v>
      </c>
      <c r="G1516" s="107" t="n">
        <f aca="false">IF($C1516="","",$D1516*IFERROR(INDEX('تحليل التكلفة والسعر'!$C$2:$C$700,MATCH($C1516,'تحليل التكلفة والسعر'!$B$2:$B$700,0)),0))</f>
        <v>20.3880825</v>
      </c>
      <c r="H1516" s="104" t="s">
        <v>719</v>
      </c>
    </row>
    <row r="1517" customFormat="false" ht="15" hidden="false" customHeight="false" outlineLevel="0" collapsed="false">
      <c r="A1517" s="103" t="n">
        <v>46299</v>
      </c>
      <c r="B1517" s="104" t="s">
        <v>34</v>
      </c>
      <c r="C1517" s="104" t="s">
        <v>741</v>
      </c>
      <c r="D1517" s="105" t="n">
        <v>1.1667</v>
      </c>
      <c r="E1517" s="106" t="n">
        <v>48.5714</v>
      </c>
      <c r="F1517" s="107" t="n">
        <f aca="false">IF($C1517="","",$D1517*$E1517)</f>
        <v>56.66825238</v>
      </c>
      <c r="G1517" s="107" t="n">
        <f aca="false">IF($C1517="","",$D1517*IFERROR(INDEX('تحليل التكلفة والسعر'!$C$2:$C$700,MATCH($C1517,'تحليل التكلفة والسعر'!$B$2:$B$700,0)),0))</f>
        <v>20.3880825</v>
      </c>
      <c r="H1517" s="104" t="s">
        <v>719</v>
      </c>
    </row>
    <row r="1518" customFormat="false" ht="15" hidden="false" customHeight="false" outlineLevel="0" collapsed="false">
      <c r="A1518" s="103" t="n">
        <v>46300</v>
      </c>
      <c r="B1518" s="104" t="s">
        <v>34</v>
      </c>
      <c r="C1518" s="104" t="s">
        <v>741</v>
      </c>
      <c r="D1518" s="105" t="n">
        <v>1.1667</v>
      </c>
      <c r="E1518" s="106" t="n">
        <v>48.5714</v>
      </c>
      <c r="F1518" s="107" t="n">
        <f aca="false">IF($C1518="","",$D1518*$E1518)</f>
        <v>56.66825238</v>
      </c>
      <c r="G1518" s="107" t="n">
        <f aca="false">IF($C1518="","",$D1518*IFERROR(INDEX('تحليل التكلفة والسعر'!$C$2:$C$700,MATCH($C1518,'تحليل التكلفة والسعر'!$B$2:$B$700,0)),0))</f>
        <v>20.3880825</v>
      </c>
      <c r="H1518" s="104" t="s">
        <v>719</v>
      </c>
    </row>
    <row r="1519" customFormat="false" ht="15" hidden="false" customHeight="false" outlineLevel="0" collapsed="false">
      <c r="A1519" s="103" t="n">
        <v>46301</v>
      </c>
      <c r="B1519" s="104" t="s">
        <v>34</v>
      </c>
      <c r="C1519" s="104" t="s">
        <v>741</v>
      </c>
      <c r="D1519" s="105" t="n">
        <v>1.1667</v>
      </c>
      <c r="E1519" s="106" t="n">
        <v>48.5714</v>
      </c>
      <c r="F1519" s="107" t="n">
        <f aca="false">IF($C1519="","",$D1519*$E1519)</f>
        <v>56.66825238</v>
      </c>
      <c r="G1519" s="107" t="n">
        <f aca="false">IF($C1519="","",$D1519*IFERROR(INDEX('تحليل التكلفة والسعر'!$C$2:$C$700,MATCH($C1519,'تحليل التكلفة والسعر'!$B$2:$B$700,0)),0))</f>
        <v>20.3880825</v>
      </c>
      <c r="H1519" s="104" t="s">
        <v>719</v>
      </c>
    </row>
    <row r="1520" customFormat="false" ht="15" hidden="false" customHeight="false" outlineLevel="0" collapsed="false">
      <c r="A1520" s="103" t="n">
        <v>46302</v>
      </c>
      <c r="B1520" s="104" t="s">
        <v>34</v>
      </c>
      <c r="C1520" s="104" t="s">
        <v>741</v>
      </c>
      <c r="D1520" s="105" t="n">
        <v>1.1667</v>
      </c>
      <c r="E1520" s="106" t="n">
        <v>48.5714</v>
      </c>
      <c r="F1520" s="107" t="n">
        <f aca="false">IF($C1520="","",$D1520*$E1520)</f>
        <v>56.66825238</v>
      </c>
      <c r="G1520" s="107" t="n">
        <f aca="false">IF($C1520="","",$D1520*IFERROR(INDEX('تحليل التكلفة والسعر'!$C$2:$C$700,MATCH($C1520,'تحليل التكلفة والسعر'!$B$2:$B$700,0)),0))</f>
        <v>20.3880825</v>
      </c>
      <c r="H1520" s="104" t="s">
        <v>719</v>
      </c>
    </row>
    <row r="1521" customFormat="false" ht="15" hidden="false" customHeight="false" outlineLevel="0" collapsed="false">
      <c r="A1521" s="103" t="n">
        <v>46303</v>
      </c>
      <c r="B1521" s="104" t="s">
        <v>34</v>
      </c>
      <c r="C1521" s="104" t="s">
        <v>741</v>
      </c>
      <c r="D1521" s="105" t="n">
        <v>1.1667</v>
      </c>
      <c r="E1521" s="106" t="n">
        <v>48.5714</v>
      </c>
      <c r="F1521" s="107" t="n">
        <f aca="false">IF($C1521="","",$D1521*$E1521)</f>
        <v>56.66825238</v>
      </c>
      <c r="G1521" s="107" t="n">
        <f aca="false">IF($C1521="","",$D1521*IFERROR(INDEX('تحليل التكلفة والسعر'!$C$2:$C$700,MATCH($C1521,'تحليل التكلفة والسعر'!$B$2:$B$700,0)),0))</f>
        <v>20.3880825</v>
      </c>
      <c r="H1521" s="104" t="s">
        <v>719</v>
      </c>
    </row>
    <row r="1522" customFormat="false" ht="15" hidden="false" customHeight="false" outlineLevel="0" collapsed="false">
      <c r="A1522" s="103" t="n">
        <v>46304</v>
      </c>
      <c r="B1522" s="104" t="s">
        <v>34</v>
      </c>
      <c r="C1522" s="104" t="s">
        <v>741</v>
      </c>
      <c r="D1522" s="105" t="n">
        <v>1.1667</v>
      </c>
      <c r="E1522" s="106" t="n">
        <v>48.5714</v>
      </c>
      <c r="F1522" s="107" t="n">
        <f aca="false">IF($C1522="","",$D1522*$E1522)</f>
        <v>56.66825238</v>
      </c>
      <c r="G1522" s="107" t="n">
        <f aca="false">IF($C1522="","",$D1522*IFERROR(INDEX('تحليل التكلفة والسعر'!$C$2:$C$700,MATCH($C1522,'تحليل التكلفة والسعر'!$B$2:$B$700,0)),0))</f>
        <v>20.3880825</v>
      </c>
      <c r="H1522" s="104" t="s">
        <v>719</v>
      </c>
    </row>
    <row r="1523" customFormat="false" ht="15" hidden="false" customHeight="false" outlineLevel="0" collapsed="false">
      <c r="A1523" s="103" t="n">
        <v>46305</v>
      </c>
      <c r="B1523" s="104" t="s">
        <v>34</v>
      </c>
      <c r="C1523" s="104" t="s">
        <v>741</v>
      </c>
      <c r="D1523" s="105" t="n">
        <v>1.1667</v>
      </c>
      <c r="E1523" s="106" t="n">
        <v>48.5714</v>
      </c>
      <c r="F1523" s="107" t="n">
        <f aca="false">IF($C1523="","",$D1523*$E1523)</f>
        <v>56.66825238</v>
      </c>
      <c r="G1523" s="107" t="n">
        <f aca="false">IF($C1523="","",$D1523*IFERROR(INDEX('تحليل التكلفة والسعر'!$C$2:$C$700,MATCH($C1523,'تحليل التكلفة والسعر'!$B$2:$B$700,0)),0))</f>
        <v>20.3880825</v>
      </c>
      <c r="H1523" s="104" t="s">
        <v>719</v>
      </c>
    </row>
    <row r="1524" customFormat="false" ht="15" hidden="false" customHeight="false" outlineLevel="0" collapsed="false">
      <c r="A1524" s="103" t="n">
        <v>46306</v>
      </c>
      <c r="B1524" s="104" t="s">
        <v>34</v>
      </c>
      <c r="C1524" s="104" t="s">
        <v>741</v>
      </c>
      <c r="D1524" s="105" t="n">
        <v>1.1667</v>
      </c>
      <c r="E1524" s="106" t="n">
        <v>48.5714</v>
      </c>
      <c r="F1524" s="107" t="n">
        <f aca="false">IF($C1524="","",$D1524*$E1524)</f>
        <v>56.66825238</v>
      </c>
      <c r="G1524" s="107" t="n">
        <f aca="false">IF($C1524="","",$D1524*IFERROR(INDEX('تحليل التكلفة والسعر'!$C$2:$C$700,MATCH($C1524,'تحليل التكلفة والسعر'!$B$2:$B$700,0)),0))</f>
        <v>20.3880825</v>
      </c>
      <c r="H1524" s="104" t="s">
        <v>719</v>
      </c>
    </row>
    <row r="1525" customFormat="false" ht="15" hidden="false" customHeight="false" outlineLevel="0" collapsed="false">
      <c r="A1525" s="103" t="n">
        <v>46307</v>
      </c>
      <c r="B1525" s="104" t="s">
        <v>34</v>
      </c>
      <c r="C1525" s="104" t="s">
        <v>741</v>
      </c>
      <c r="D1525" s="105" t="n">
        <v>1.1667</v>
      </c>
      <c r="E1525" s="106" t="n">
        <v>48.5714</v>
      </c>
      <c r="F1525" s="107" t="n">
        <f aca="false">IF($C1525="","",$D1525*$E1525)</f>
        <v>56.66825238</v>
      </c>
      <c r="G1525" s="107" t="n">
        <f aca="false">IF($C1525="","",$D1525*IFERROR(INDEX('تحليل التكلفة والسعر'!$C$2:$C$700,MATCH($C1525,'تحليل التكلفة والسعر'!$B$2:$B$700,0)),0))</f>
        <v>20.3880825</v>
      </c>
      <c r="H1525" s="104" t="s">
        <v>719</v>
      </c>
    </row>
    <row r="1526" customFormat="false" ht="15" hidden="false" customHeight="false" outlineLevel="0" collapsed="false">
      <c r="A1526" s="103" t="n">
        <v>46296</v>
      </c>
      <c r="B1526" s="104" t="s">
        <v>34</v>
      </c>
      <c r="C1526" s="104" t="s">
        <v>456</v>
      </c>
      <c r="D1526" s="105" t="n">
        <v>1.0833</v>
      </c>
      <c r="E1526" s="106" t="n">
        <v>58.4615</v>
      </c>
      <c r="F1526" s="107" t="n">
        <f aca="false">IF($C1526="","",$D1526*$E1526)</f>
        <v>63.33134295</v>
      </c>
      <c r="G1526" s="107" t="n">
        <f aca="false">IF($C1526="","",$D1526*IFERROR(INDEX('تحليل التكلفة والسعر'!$C$2:$C$700,MATCH($C1526,'تحليل التكلفة والسعر'!$B$2:$B$700,0)),0))</f>
        <v>27.22083741</v>
      </c>
      <c r="H1526" s="104" t="s">
        <v>719</v>
      </c>
    </row>
    <row r="1527" customFormat="false" ht="15" hidden="false" customHeight="false" outlineLevel="0" collapsed="false">
      <c r="A1527" s="103" t="n">
        <v>46297</v>
      </c>
      <c r="B1527" s="104" t="s">
        <v>34</v>
      </c>
      <c r="C1527" s="104" t="s">
        <v>456</v>
      </c>
      <c r="D1527" s="105" t="n">
        <v>1.0833</v>
      </c>
      <c r="E1527" s="106" t="n">
        <v>58.4615</v>
      </c>
      <c r="F1527" s="107" t="n">
        <f aca="false">IF($C1527="","",$D1527*$E1527)</f>
        <v>63.33134295</v>
      </c>
      <c r="G1527" s="107" t="n">
        <f aca="false">IF($C1527="","",$D1527*IFERROR(INDEX('تحليل التكلفة والسعر'!$C$2:$C$700,MATCH($C1527,'تحليل التكلفة والسعر'!$B$2:$B$700,0)),0))</f>
        <v>27.22083741</v>
      </c>
      <c r="H1527" s="104" t="s">
        <v>719</v>
      </c>
    </row>
    <row r="1528" customFormat="false" ht="15" hidden="false" customHeight="false" outlineLevel="0" collapsed="false">
      <c r="A1528" s="103" t="n">
        <v>46298</v>
      </c>
      <c r="B1528" s="104" t="s">
        <v>34</v>
      </c>
      <c r="C1528" s="104" t="s">
        <v>456</v>
      </c>
      <c r="D1528" s="105" t="n">
        <v>1.0833</v>
      </c>
      <c r="E1528" s="106" t="n">
        <v>58.4615</v>
      </c>
      <c r="F1528" s="107" t="n">
        <f aca="false">IF($C1528="","",$D1528*$E1528)</f>
        <v>63.33134295</v>
      </c>
      <c r="G1528" s="107" t="n">
        <f aca="false">IF($C1528="","",$D1528*IFERROR(INDEX('تحليل التكلفة والسعر'!$C$2:$C$700,MATCH($C1528,'تحليل التكلفة والسعر'!$B$2:$B$700,0)),0))</f>
        <v>27.22083741</v>
      </c>
      <c r="H1528" s="104" t="s">
        <v>719</v>
      </c>
    </row>
    <row r="1529" customFormat="false" ht="15" hidden="false" customHeight="false" outlineLevel="0" collapsed="false">
      <c r="A1529" s="103" t="n">
        <v>46299</v>
      </c>
      <c r="B1529" s="104" t="s">
        <v>34</v>
      </c>
      <c r="C1529" s="104" t="s">
        <v>456</v>
      </c>
      <c r="D1529" s="105" t="n">
        <v>1.0833</v>
      </c>
      <c r="E1529" s="106" t="n">
        <v>58.4615</v>
      </c>
      <c r="F1529" s="107" t="n">
        <f aca="false">IF($C1529="","",$D1529*$E1529)</f>
        <v>63.33134295</v>
      </c>
      <c r="G1529" s="107" t="n">
        <f aca="false">IF($C1529="","",$D1529*IFERROR(INDEX('تحليل التكلفة والسعر'!$C$2:$C$700,MATCH($C1529,'تحليل التكلفة والسعر'!$B$2:$B$700,0)),0))</f>
        <v>27.22083741</v>
      </c>
      <c r="H1529" s="104" t="s">
        <v>719</v>
      </c>
    </row>
    <row r="1530" customFormat="false" ht="15" hidden="false" customHeight="false" outlineLevel="0" collapsed="false">
      <c r="A1530" s="103" t="n">
        <v>46300</v>
      </c>
      <c r="B1530" s="104" t="s">
        <v>34</v>
      </c>
      <c r="C1530" s="104" t="s">
        <v>456</v>
      </c>
      <c r="D1530" s="105" t="n">
        <v>1.0833</v>
      </c>
      <c r="E1530" s="106" t="n">
        <v>58.4615</v>
      </c>
      <c r="F1530" s="107" t="n">
        <f aca="false">IF($C1530="","",$D1530*$E1530)</f>
        <v>63.33134295</v>
      </c>
      <c r="G1530" s="107" t="n">
        <f aca="false">IF($C1530="","",$D1530*IFERROR(INDEX('تحليل التكلفة والسعر'!$C$2:$C$700,MATCH($C1530,'تحليل التكلفة والسعر'!$B$2:$B$700,0)),0))</f>
        <v>27.22083741</v>
      </c>
      <c r="H1530" s="104" t="s">
        <v>719</v>
      </c>
    </row>
    <row r="1531" customFormat="false" ht="15" hidden="false" customHeight="false" outlineLevel="0" collapsed="false">
      <c r="A1531" s="103" t="n">
        <v>46301</v>
      </c>
      <c r="B1531" s="104" t="s">
        <v>34</v>
      </c>
      <c r="C1531" s="104" t="s">
        <v>456</v>
      </c>
      <c r="D1531" s="105" t="n">
        <v>1.0833</v>
      </c>
      <c r="E1531" s="106" t="n">
        <v>58.4615</v>
      </c>
      <c r="F1531" s="107" t="n">
        <f aca="false">IF($C1531="","",$D1531*$E1531)</f>
        <v>63.33134295</v>
      </c>
      <c r="G1531" s="107" t="n">
        <f aca="false">IF($C1531="","",$D1531*IFERROR(INDEX('تحليل التكلفة والسعر'!$C$2:$C$700,MATCH($C1531,'تحليل التكلفة والسعر'!$B$2:$B$700,0)),0))</f>
        <v>27.22083741</v>
      </c>
      <c r="H1531" s="104" t="s">
        <v>719</v>
      </c>
    </row>
    <row r="1532" customFormat="false" ht="15" hidden="false" customHeight="false" outlineLevel="0" collapsed="false">
      <c r="A1532" s="103" t="n">
        <v>46302</v>
      </c>
      <c r="B1532" s="104" t="s">
        <v>34</v>
      </c>
      <c r="C1532" s="104" t="s">
        <v>456</v>
      </c>
      <c r="D1532" s="105" t="n">
        <v>1.0833</v>
      </c>
      <c r="E1532" s="106" t="n">
        <v>58.4615</v>
      </c>
      <c r="F1532" s="107" t="n">
        <f aca="false">IF($C1532="","",$D1532*$E1532)</f>
        <v>63.33134295</v>
      </c>
      <c r="G1532" s="107" t="n">
        <f aca="false">IF($C1532="","",$D1532*IFERROR(INDEX('تحليل التكلفة والسعر'!$C$2:$C$700,MATCH($C1532,'تحليل التكلفة والسعر'!$B$2:$B$700,0)),0))</f>
        <v>27.22083741</v>
      </c>
      <c r="H1532" s="104" t="s">
        <v>719</v>
      </c>
    </row>
    <row r="1533" customFormat="false" ht="15" hidden="false" customHeight="false" outlineLevel="0" collapsed="false">
      <c r="A1533" s="103" t="n">
        <v>46303</v>
      </c>
      <c r="B1533" s="104" t="s">
        <v>34</v>
      </c>
      <c r="C1533" s="104" t="s">
        <v>456</v>
      </c>
      <c r="D1533" s="105" t="n">
        <v>1.0833</v>
      </c>
      <c r="E1533" s="106" t="n">
        <v>58.4615</v>
      </c>
      <c r="F1533" s="107" t="n">
        <f aca="false">IF($C1533="","",$D1533*$E1533)</f>
        <v>63.33134295</v>
      </c>
      <c r="G1533" s="107" t="n">
        <f aca="false">IF($C1533="","",$D1533*IFERROR(INDEX('تحليل التكلفة والسعر'!$C$2:$C$700,MATCH($C1533,'تحليل التكلفة والسعر'!$B$2:$B$700,0)),0))</f>
        <v>27.22083741</v>
      </c>
      <c r="H1533" s="104" t="s">
        <v>719</v>
      </c>
    </row>
    <row r="1534" customFormat="false" ht="15" hidden="false" customHeight="false" outlineLevel="0" collapsed="false">
      <c r="A1534" s="103" t="n">
        <v>46304</v>
      </c>
      <c r="B1534" s="104" t="s">
        <v>34</v>
      </c>
      <c r="C1534" s="104" t="s">
        <v>456</v>
      </c>
      <c r="D1534" s="105" t="n">
        <v>1.0833</v>
      </c>
      <c r="E1534" s="106" t="n">
        <v>58.4615</v>
      </c>
      <c r="F1534" s="107" t="n">
        <f aca="false">IF($C1534="","",$D1534*$E1534)</f>
        <v>63.33134295</v>
      </c>
      <c r="G1534" s="107" t="n">
        <f aca="false">IF($C1534="","",$D1534*IFERROR(INDEX('تحليل التكلفة والسعر'!$C$2:$C$700,MATCH($C1534,'تحليل التكلفة والسعر'!$B$2:$B$700,0)),0))</f>
        <v>27.22083741</v>
      </c>
      <c r="H1534" s="104" t="s">
        <v>719</v>
      </c>
    </row>
    <row r="1535" customFormat="false" ht="15" hidden="false" customHeight="false" outlineLevel="0" collapsed="false">
      <c r="A1535" s="103" t="n">
        <v>46305</v>
      </c>
      <c r="B1535" s="104" t="s">
        <v>34</v>
      </c>
      <c r="C1535" s="104" t="s">
        <v>456</v>
      </c>
      <c r="D1535" s="105" t="n">
        <v>1.0833</v>
      </c>
      <c r="E1535" s="106" t="n">
        <v>58.4615</v>
      </c>
      <c r="F1535" s="107" t="n">
        <f aca="false">IF($C1535="","",$D1535*$E1535)</f>
        <v>63.33134295</v>
      </c>
      <c r="G1535" s="107" t="n">
        <f aca="false">IF($C1535="","",$D1535*IFERROR(INDEX('تحليل التكلفة والسعر'!$C$2:$C$700,MATCH($C1535,'تحليل التكلفة والسعر'!$B$2:$B$700,0)),0))</f>
        <v>27.22083741</v>
      </c>
      <c r="H1535" s="104" t="s">
        <v>719</v>
      </c>
    </row>
    <row r="1536" customFormat="false" ht="15" hidden="false" customHeight="false" outlineLevel="0" collapsed="false">
      <c r="A1536" s="103" t="n">
        <v>46306</v>
      </c>
      <c r="B1536" s="104" t="s">
        <v>34</v>
      </c>
      <c r="C1536" s="104" t="s">
        <v>456</v>
      </c>
      <c r="D1536" s="105" t="n">
        <v>1.0833</v>
      </c>
      <c r="E1536" s="106" t="n">
        <v>58.4615</v>
      </c>
      <c r="F1536" s="107" t="n">
        <f aca="false">IF($C1536="","",$D1536*$E1536)</f>
        <v>63.33134295</v>
      </c>
      <c r="G1536" s="107" t="n">
        <f aca="false">IF($C1536="","",$D1536*IFERROR(INDEX('تحليل التكلفة والسعر'!$C$2:$C$700,MATCH($C1536,'تحليل التكلفة والسعر'!$B$2:$B$700,0)),0))</f>
        <v>27.22083741</v>
      </c>
      <c r="H1536" s="104" t="s">
        <v>719</v>
      </c>
    </row>
    <row r="1537" customFormat="false" ht="15" hidden="false" customHeight="false" outlineLevel="0" collapsed="false">
      <c r="A1537" s="103" t="n">
        <v>46307</v>
      </c>
      <c r="B1537" s="104" t="s">
        <v>34</v>
      </c>
      <c r="C1537" s="104" t="s">
        <v>456</v>
      </c>
      <c r="D1537" s="105" t="n">
        <v>1.0833</v>
      </c>
      <c r="E1537" s="106" t="n">
        <v>58.4615</v>
      </c>
      <c r="F1537" s="107" t="n">
        <f aca="false">IF($C1537="","",$D1537*$E1537)</f>
        <v>63.33134295</v>
      </c>
      <c r="G1537" s="107" t="n">
        <f aca="false">IF($C1537="","",$D1537*IFERROR(INDEX('تحليل التكلفة والسعر'!$C$2:$C$700,MATCH($C1537,'تحليل التكلفة والسعر'!$B$2:$B$700,0)),0))</f>
        <v>27.22083741</v>
      </c>
      <c r="H1537" s="104" t="s">
        <v>719</v>
      </c>
    </row>
    <row r="1538" customFormat="false" ht="15" hidden="false" customHeight="false" outlineLevel="0" collapsed="false">
      <c r="A1538" s="103" t="n">
        <v>46296</v>
      </c>
      <c r="B1538" s="104" t="s">
        <v>34</v>
      </c>
      <c r="C1538" s="104" t="s">
        <v>470</v>
      </c>
      <c r="D1538" s="105" t="n">
        <v>0.9167</v>
      </c>
      <c r="E1538" s="106" t="n">
        <v>36.3636</v>
      </c>
      <c r="F1538" s="107" t="n">
        <f aca="false">IF($C1538="","",$D1538*$E1538)</f>
        <v>33.33451212</v>
      </c>
      <c r="G1538" s="107" t="n">
        <f aca="false">IF($C1538="","",$D1538*IFERROR(INDEX('تحليل التكلفة والسعر'!$C$2:$C$700,MATCH($C1538,'تحليل التكلفة والسعر'!$B$2:$B$700,0)),0))</f>
        <v>14.71551009</v>
      </c>
      <c r="H1538" s="104" t="s">
        <v>719</v>
      </c>
    </row>
    <row r="1539" customFormat="false" ht="15" hidden="false" customHeight="false" outlineLevel="0" collapsed="false">
      <c r="A1539" s="103" t="n">
        <v>46297</v>
      </c>
      <c r="B1539" s="104" t="s">
        <v>34</v>
      </c>
      <c r="C1539" s="104" t="s">
        <v>470</v>
      </c>
      <c r="D1539" s="105" t="n">
        <v>0.9167</v>
      </c>
      <c r="E1539" s="106" t="n">
        <v>36.3636</v>
      </c>
      <c r="F1539" s="107" t="n">
        <f aca="false">IF($C1539="","",$D1539*$E1539)</f>
        <v>33.33451212</v>
      </c>
      <c r="G1539" s="107" t="n">
        <f aca="false">IF($C1539="","",$D1539*IFERROR(INDEX('تحليل التكلفة والسعر'!$C$2:$C$700,MATCH($C1539,'تحليل التكلفة والسعر'!$B$2:$B$700,0)),0))</f>
        <v>14.71551009</v>
      </c>
      <c r="H1539" s="104" t="s">
        <v>719</v>
      </c>
    </row>
    <row r="1540" customFormat="false" ht="15" hidden="false" customHeight="false" outlineLevel="0" collapsed="false">
      <c r="A1540" s="103" t="n">
        <v>46298</v>
      </c>
      <c r="B1540" s="104" t="s">
        <v>34</v>
      </c>
      <c r="C1540" s="104" t="s">
        <v>470</v>
      </c>
      <c r="D1540" s="105" t="n">
        <v>0.9167</v>
      </c>
      <c r="E1540" s="106" t="n">
        <v>36.3636</v>
      </c>
      <c r="F1540" s="107" t="n">
        <f aca="false">IF($C1540="","",$D1540*$E1540)</f>
        <v>33.33451212</v>
      </c>
      <c r="G1540" s="107" t="n">
        <f aca="false">IF($C1540="","",$D1540*IFERROR(INDEX('تحليل التكلفة والسعر'!$C$2:$C$700,MATCH($C1540,'تحليل التكلفة والسعر'!$B$2:$B$700,0)),0))</f>
        <v>14.71551009</v>
      </c>
      <c r="H1540" s="104" t="s">
        <v>719</v>
      </c>
    </row>
    <row r="1541" customFormat="false" ht="15" hidden="false" customHeight="false" outlineLevel="0" collapsed="false">
      <c r="A1541" s="103" t="n">
        <v>46299</v>
      </c>
      <c r="B1541" s="104" t="s">
        <v>34</v>
      </c>
      <c r="C1541" s="104" t="s">
        <v>470</v>
      </c>
      <c r="D1541" s="105" t="n">
        <v>0.9167</v>
      </c>
      <c r="E1541" s="106" t="n">
        <v>36.3636</v>
      </c>
      <c r="F1541" s="107" t="n">
        <f aca="false">IF($C1541="","",$D1541*$E1541)</f>
        <v>33.33451212</v>
      </c>
      <c r="G1541" s="107" t="n">
        <f aca="false">IF($C1541="","",$D1541*IFERROR(INDEX('تحليل التكلفة والسعر'!$C$2:$C$700,MATCH($C1541,'تحليل التكلفة والسعر'!$B$2:$B$700,0)),0))</f>
        <v>14.71551009</v>
      </c>
      <c r="H1541" s="104" t="s">
        <v>719</v>
      </c>
    </row>
    <row r="1542" customFormat="false" ht="15" hidden="false" customHeight="false" outlineLevel="0" collapsed="false">
      <c r="A1542" s="103" t="n">
        <v>46300</v>
      </c>
      <c r="B1542" s="104" t="s">
        <v>34</v>
      </c>
      <c r="C1542" s="104" t="s">
        <v>470</v>
      </c>
      <c r="D1542" s="105" t="n">
        <v>0.9167</v>
      </c>
      <c r="E1542" s="106" t="n">
        <v>36.3636</v>
      </c>
      <c r="F1542" s="107" t="n">
        <f aca="false">IF($C1542="","",$D1542*$E1542)</f>
        <v>33.33451212</v>
      </c>
      <c r="G1542" s="107" t="n">
        <f aca="false">IF($C1542="","",$D1542*IFERROR(INDEX('تحليل التكلفة والسعر'!$C$2:$C$700,MATCH($C1542,'تحليل التكلفة والسعر'!$B$2:$B$700,0)),0))</f>
        <v>14.71551009</v>
      </c>
      <c r="H1542" s="104" t="s">
        <v>719</v>
      </c>
    </row>
    <row r="1543" customFormat="false" ht="15" hidden="false" customHeight="false" outlineLevel="0" collapsed="false">
      <c r="A1543" s="103" t="n">
        <v>46301</v>
      </c>
      <c r="B1543" s="104" t="s">
        <v>34</v>
      </c>
      <c r="C1543" s="104" t="s">
        <v>470</v>
      </c>
      <c r="D1543" s="105" t="n">
        <v>0.9167</v>
      </c>
      <c r="E1543" s="106" t="n">
        <v>36.3636</v>
      </c>
      <c r="F1543" s="107" t="n">
        <f aca="false">IF($C1543="","",$D1543*$E1543)</f>
        <v>33.33451212</v>
      </c>
      <c r="G1543" s="107" t="n">
        <f aca="false">IF($C1543="","",$D1543*IFERROR(INDEX('تحليل التكلفة والسعر'!$C$2:$C$700,MATCH($C1543,'تحليل التكلفة والسعر'!$B$2:$B$700,0)),0))</f>
        <v>14.71551009</v>
      </c>
      <c r="H1543" s="104" t="s">
        <v>719</v>
      </c>
    </row>
    <row r="1544" customFormat="false" ht="15" hidden="false" customHeight="false" outlineLevel="0" collapsed="false">
      <c r="A1544" s="103" t="n">
        <v>46302</v>
      </c>
      <c r="B1544" s="104" t="s">
        <v>34</v>
      </c>
      <c r="C1544" s="104" t="s">
        <v>470</v>
      </c>
      <c r="D1544" s="105" t="n">
        <v>0.9167</v>
      </c>
      <c r="E1544" s="106" t="n">
        <v>36.3636</v>
      </c>
      <c r="F1544" s="107" t="n">
        <f aca="false">IF($C1544="","",$D1544*$E1544)</f>
        <v>33.33451212</v>
      </c>
      <c r="G1544" s="107" t="n">
        <f aca="false">IF($C1544="","",$D1544*IFERROR(INDEX('تحليل التكلفة والسعر'!$C$2:$C$700,MATCH($C1544,'تحليل التكلفة والسعر'!$B$2:$B$700,0)),0))</f>
        <v>14.71551009</v>
      </c>
      <c r="H1544" s="104" t="s">
        <v>719</v>
      </c>
    </row>
    <row r="1545" customFormat="false" ht="15" hidden="false" customHeight="false" outlineLevel="0" collapsed="false">
      <c r="A1545" s="103" t="n">
        <v>46303</v>
      </c>
      <c r="B1545" s="104" t="s">
        <v>34</v>
      </c>
      <c r="C1545" s="104" t="s">
        <v>470</v>
      </c>
      <c r="D1545" s="105" t="n">
        <v>0.9167</v>
      </c>
      <c r="E1545" s="106" t="n">
        <v>36.3636</v>
      </c>
      <c r="F1545" s="107" t="n">
        <f aca="false">IF($C1545="","",$D1545*$E1545)</f>
        <v>33.33451212</v>
      </c>
      <c r="G1545" s="107" t="n">
        <f aca="false">IF($C1545="","",$D1545*IFERROR(INDEX('تحليل التكلفة والسعر'!$C$2:$C$700,MATCH($C1545,'تحليل التكلفة والسعر'!$B$2:$B$700,0)),0))</f>
        <v>14.71551009</v>
      </c>
      <c r="H1545" s="104" t="s">
        <v>719</v>
      </c>
    </row>
    <row r="1546" customFormat="false" ht="15" hidden="false" customHeight="false" outlineLevel="0" collapsed="false">
      <c r="A1546" s="103" t="n">
        <v>46304</v>
      </c>
      <c r="B1546" s="104" t="s">
        <v>34</v>
      </c>
      <c r="C1546" s="104" t="s">
        <v>470</v>
      </c>
      <c r="D1546" s="105" t="n">
        <v>0.9167</v>
      </c>
      <c r="E1546" s="106" t="n">
        <v>36.3636</v>
      </c>
      <c r="F1546" s="107" t="n">
        <f aca="false">IF($C1546="","",$D1546*$E1546)</f>
        <v>33.33451212</v>
      </c>
      <c r="G1546" s="107" t="n">
        <f aca="false">IF($C1546="","",$D1546*IFERROR(INDEX('تحليل التكلفة والسعر'!$C$2:$C$700,MATCH($C1546,'تحليل التكلفة والسعر'!$B$2:$B$700,0)),0))</f>
        <v>14.71551009</v>
      </c>
      <c r="H1546" s="104" t="s">
        <v>719</v>
      </c>
    </row>
    <row r="1547" customFormat="false" ht="15" hidden="false" customHeight="false" outlineLevel="0" collapsed="false">
      <c r="A1547" s="103" t="n">
        <v>46305</v>
      </c>
      <c r="B1547" s="104" t="s">
        <v>34</v>
      </c>
      <c r="C1547" s="104" t="s">
        <v>470</v>
      </c>
      <c r="D1547" s="105" t="n">
        <v>0.9167</v>
      </c>
      <c r="E1547" s="106" t="n">
        <v>36.3636</v>
      </c>
      <c r="F1547" s="107" t="n">
        <f aca="false">IF($C1547="","",$D1547*$E1547)</f>
        <v>33.33451212</v>
      </c>
      <c r="G1547" s="107" t="n">
        <f aca="false">IF($C1547="","",$D1547*IFERROR(INDEX('تحليل التكلفة والسعر'!$C$2:$C$700,MATCH($C1547,'تحليل التكلفة والسعر'!$B$2:$B$700,0)),0))</f>
        <v>14.71551009</v>
      </c>
      <c r="H1547" s="104" t="s">
        <v>719</v>
      </c>
    </row>
    <row r="1548" customFormat="false" ht="15" hidden="false" customHeight="false" outlineLevel="0" collapsed="false">
      <c r="A1548" s="103" t="n">
        <v>46306</v>
      </c>
      <c r="B1548" s="104" t="s">
        <v>34</v>
      </c>
      <c r="C1548" s="104" t="s">
        <v>470</v>
      </c>
      <c r="D1548" s="105" t="n">
        <v>0.9167</v>
      </c>
      <c r="E1548" s="106" t="n">
        <v>36.3636</v>
      </c>
      <c r="F1548" s="107" t="n">
        <f aca="false">IF($C1548="","",$D1548*$E1548)</f>
        <v>33.33451212</v>
      </c>
      <c r="G1548" s="107" t="n">
        <f aca="false">IF($C1548="","",$D1548*IFERROR(INDEX('تحليل التكلفة والسعر'!$C$2:$C$700,MATCH($C1548,'تحليل التكلفة والسعر'!$B$2:$B$700,0)),0))</f>
        <v>14.71551009</v>
      </c>
      <c r="H1548" s="104" t="s">
        <v>719</v>
      </c>
    </row>
    <row r="1549" customFormat="false" ht="15" hidden="false" customHeight="false" outlineLevel="0" collapsed="false">
      <c r="A1549" s="103" t="n">
        <v>46307</v>
      </c>
      <c r="B1549" s="104" t="s">
        <v>34</v>
      </c>
      <c r="C1549" s="104" t="s">
        <v>470</v>
      </c>
      <c r="D1549" s="105" t="n">
        <v>0.9167</v>
      </c>
      <c r="E1549" s="106" t="n">
        <v>36.3636</v>
      </c>
      <c r="F1549" s="107" t="n">
        <f aca="false">IF($C1549="","",$D1549*$E1549)</f>
        <v>33.33451212</v>
      </c>
      <c r="G1549" s="107" t="n">
        <f aca="false">IF($C1549="","",$D1549*IFERROR(INDEX('تحليل التكلفة والسعر'!$C$2:$C$700,MATCH($C1549,'تحليل التكلفة والسعر'!$B$2:$B$700,0)),0))</f>
        <v>14.71551009</v>
      </c>
      <c r="H1549" s="104" t="s">
        <v>719</v>
      </c>
    </row>
    <row r="1550" customFormat="false" ht="15" hidden="false" customHeight="false" outlineLevel="0" collapsed="false">
      <c r="A1550" s="103" t="n">
        <v>46296</v>
      </c>
      <c r="B1550" s="104" t="s">
        <v>34</v>
      </c>
      <c r="C1550" s="104" t="s">
        <v>512</v>
      </c>
      <c r="D1550" s="105" t="n">
        <v>2.8333</v>
      </c>
      <c r="E1550" s="106" t="n">
        <v>105.8824</v>
      </c>
      <c r="F1550" s="107" t="n">
        <f aca="false">IF($C1550="","",$D1550*$E1550)</f>
        <v>299.99660392</v>
      </c>
      <c r="G1550" s="107" t="n">
        <f aca="false">IF($C1550="","",$D1550*IFERROR(INDEX('تحليل التكلفة والسعر'!$C$2:$C$700,MATCH($C1550,'تحليل التكلفة والسعر'!$B$2:$B$700,0)),0))</f>
        <v>275.730352742</v>
      </c>
      <c r="H1550" s="104" t="s">
        <v>719</v>
      </c>
    </row>
    <row r="1551" customFormat="false" ht="15" hidden="false" customHeight="false" outlineLevel="0" collapsed="false">
      <c r="A1551" s="103" t="n">
        <v>46297</v>
      </c>
      <c r="B1551" s="104" t="s">
        <v>34</v>
      </c>
      <c r="C1551" s="104" t="s">
        <v>512</v>
      </c>
      <c r="D1551" s="105" t="n">
        <v>2.8333</v>
      </c>
      <c r="E1551" s="106" t="n">
        <v>105.8824</v>
      </c>
      <c r="F1551" s="107" t="n">
        <f aca="false">IF($C1551="","",$D1551*$E1551)</f>
        <v>299.99660392</v>
      </c>
      <c r="G1551" s="107" t="n">
        <f aca="false">IF($C1551="","",$D1551*IFERROR(INDEX('تحليل التكلفة والسعر'!$C$2:$C$700,MATCH($C1551,'تحليل التكلفة والسعر'!$B$2:$B$700,0)),0))</f>
        <v>275.730352742</v>
      </c>
      <c r="H1551" s="104" t="s">
        <v>719</v>
      </c>
    </row>
    <row r="1552" customFormat="false" ht="15" hidden="false" customHeight="false" outlineLevel="0" collapsed="false">
      <c r="A1552" s="103" t="n">
        <v>46298</v>
      </c>
      <c r="B1552" s="104" t="s">
        <v>34</v>
      </c>
      <c r="C1552" s="104" t="s">
        <v>512</v>
      </c>
      <c r="D1552" s="105" t="n">
        <v>2.8333</v>
      </c>
      <c r="E1552" s="106" t="n">
        <v>105.8824</v>
      </c>
      <c r="F1552" s="107" t="n">
        <f aca="false">IF($C1552="","",$D1552*$E1552)</f>
        <v>299.99660392</v>
      </c>
      <c r="G1552" s="107" t="n">
        <f aca="false">IF($C1552="","",$D1552*IFERROR(INDEX('تحليل التكلفة والسعر'!$C$2:$C$700,MATCH($C1552,'تحليل التكلفة والسعر'!$B$2:$B$700,0)),0))</f>
        <v>275.730352742</v>
      </c>
      <c r="H1552" s="104" t="s">
        <v>719</v>
      </c>
    </row>
    <row r="1553" customFormat="false" ht="15" hidden="false" customHeight="false" outlineLevel="0" collapsed="false">
      <c r="A1553" s="103" t="n">
        <v>46299</v>
      </c>
      <c r="B1553" s="104" t="s">
        <v>34</v>
      </c>
      <c r="C1553" s="104" t="s">
        <v>512</v>
      </c>
      <c r="D1553" s="105" t="n">
        <v>2.8333</v>
      </c>
      <c r="E1553" s="106" t="n">
        <v>105.8824</v>
      </c>
      <c r="F1553" s="107" t="n">
        <f aca="false">IF($C1553="","",$D1553*$E1553)</f>
        <v>299.99660392</v>
      </c>
      <c r="G1553" s="107" t="n">
        <f aca="false">IF($C1553="","",$D1553*IFERROR(INDEX('تحليل التكلفة والسعر'!$C$2:$C$700,MATCH($C1553,'تحليل التكلفة والسعر'!$B$2:$B$700,0)),0))</f>
        <v>275.730352742</v>
      </c>
      <c r="H1553" s="104" t="s">
        <v>719</v>
      </c>
    </row>
    <row r="1554" customFormat="false" ht="15" hidden="false" customHeight="false" outlineLevel="0" collapsed="false">
      <c r="A1554" s="103" t="n">
        <v>46300</v>
      </c>
      <c r="B1554" s="104" t="s">
        <v>34</v>
      </c>
      <c r="C1554" s="104" t="s">
        <v>512</v>
      </c>
      <c r="D1554" s="105" t="n">
        <v>2.8333</v>
      </c>
      <c r="E1554" s="106" t="n">
        <v>105.8824</v>
      </c>
      <c r="F1554" s="107" t="n">
        <f aca="false">IF($C1554="","",$D1554*$E1554)</f>
        <v>299.99660392</v>
      </c>
      <c r="G1554" s="107" t="n">
        <f aca="false">IF($C1554="","",$D1554*IFERROR(INDEX('تحليل التكلفة والسعر'!$C$2:$C$700,MATCH($C1554,'تحليل التكلفة والسعر'!$B$2:$B$700,0)),0))</f>
        <v>275.730352742</v>
      </c>
      <c r="H1554" s="104" t="s">
        <v>719</v>
      </c>
    </row>
    <row r="1555" customFormat="false" ht="15" hidden="false" customHeight="false" outlineLevel="0" collapsed="false">
      <c r="A1555" s="103" t="n">
        <v>46301</v>
      </c>
      <c r="B1555" s="104" t="s">
        <v>34</v>
      </c>
      <c r="C1555" s="104" t="s">
        <v>512</v>
      </c>
      <c r="D1555" s="105" t="n">
        <v>2.8333</v>
      </c>
      <c r="E1555" s="106" t="n">
        <v>105.8824</v>
      </c>
      <c r="F1555" s="107" t="n">
        <f aca="false">IF($C1555="","",$D1555*$E1555)</f>
        <v>299.99660392</v>
      </c>
      <c r="G1555" s="107" t="n">
        <f aca="false">IF($C1555="","",$D1555*IFERROR(INDEX('تحليل التكلفة والسعر'!$C$2:$C$700,MATCH($C1555,'تحليل التكلفة والسعر'!$B$2:$B$700,0)),0))</f>
        <v>275.730352742</v>
      </c>
      <c r="H1555" s="104" t="s">
        <v>719</v>
      </c>
    </row>
    <row r="1556" customFormat="false" ht="15" hidden="false" customHeight="false" outlineLevel="0" collapsed="false">
      <c r="A1556" s="103" t="n">
        <v>46302</v>
      </c>
      <c r="B1556" s="104" t="s">
        <v>34</v>
      </c>
      <c r="C1556" s="104" t="s">
        <v>512</v>
      </c>
      <c r="D1556" s="105" t="n">
        <v>2.8333</v>
      </c>
      <c r="E1556" s="106" t="n">
        <v>105.8824</v>
      </c>
      <c r="F1556" s="107" t="n">
        <f aca="false">IF($C1556="","",$D1556*$E1556)</f>
        <v>299.99660392</v>
      </c>
      <c r="G1556" s="107" t="n">
        <f aca="false">IF($C1556="","",$D1556*IFERROR(INDEX('تحليل التكلفة والسعر'!$C$2:$C$700,MATCH($C1556,'تحليل التكلفة والسعر'!$B$2:$B$700,0)),0))</f>
        <v>275.730352742</v>
      </c>
      <c r="H1556" s="104" t="s">
        <v>719</v>
      </c>
    </row>
    <row r="1557" customFormat="false" ht="15" hidden="false" customHeight="false" outlineLevel="0" collapsed="false">
      <c r="A1557" s="103" t="n">
        <v>46303</v>
      </c>
      <c r="B1557" s="104" t="s">
        <v>34</v>
      </c>
      <c r="C1557" s="104" t="s">
        <v>512</v>
      </c>
      <c r="D1557" s="105" t="n">
        <v>2.8333</v>
      </c>
      <c r="E1557" s="106" t="n">
        <v>105.8824</v>
      </c>
      <c r="F1557" s="107" t="n">
        <f aca="false">IF($C1557="","",$D1557*$E1557)</f>
        <v>299.99660392</v>
      </c>
      <c r="G1557" s="107" t="n">
        <f aca="false">IF($C1557="","",$D1557*IFERROR(INDEX('تحليل التكلفة والسعر'!$C$2:$C$700,MATCH($C1557,'تحليل التكلفة والسعر'!$B$2:$B$700,0)),0))</f>
        <v>275.730352742</v>
      </c>
      <c r="H1557" s="104" t="s">
        <v>719</v>
      </c>
    </row>
    <row r="1558" customFormat="false" ht="15" hidden="false" customHeight="false" outlineLevel="0" collapsed="false">
      <c r="A1558" s="103" t="n">
        <v>46304</v>
      </c>
      <c r="B1558" s="104" t="s">
        <v>34</v>
      </c>
      <c r="C1558" s="104" t="s">
        <v>512</v>
      </c>
      <c r="D1558" s="105" t="n">
        <v>2.8333</v>
      </c>
      <c r="E1558" s="106" t="n">
        <v>105.8824</v>
      </c>
      <c r="F1558" s="107" t="n">
        <f aca="false">IF($C1558="","",$D1558*$E1558)</f>
        <v>299.99660392</v>
      </c>
      <c r="G1558" s="107" t="n">
        <f aca="false">IF($C1558="","",$D1558*IFERROR(INDEX('تحليل التكلفة والسعر'!$C$2:$C$700,MATCH($C1558,'تحليل التكلفة والسعر'!$B$2:$B$700,0)),0))</f>
        <v>275.730352742</v>
      </c>
      <c r="H1558" s="104" t="s">
        <v>719</v>
      </c>
    </row>
    <row r="1559" customFormat="false" ht="15" hidden="false" customHeight="false" outlineLevel="0" collapsed="false">
      <c r="A1559" s="103" t="n">
        <v>46305</v>
      </c>
      <c r="B1559" s="104" t="s">
        <v>34</v>
      </c>
      <c r="C1559" s="104" t="s">
        <v>512</v>
      </c>
      <c r="D1559" s="105" t="n">
        <v>2.8333</v>
      </c>
      <c r="E1559" s="106" t="n">
        <v>105.8824</v>
      </c>
      <c r="F1559" s="107" t="n">
        <f aca="false">IF($C1559="","",$D1559*$E1559)</f>
        <v>299.99660392</v>
      </c>
      <c r="G1559" s="107" t="n">
        <f aca="false">IF($C1559="","",$D1559*IFERROR(INDEX('تحليل التكلفة والسعر'!$C$2:$C$700,MATCH($C1559,'تحليل التكلفة والسعر'!$B$2:$B$700,0)),0))</f>
        <v>275.730352742</v>
      </c>
      <c r="H1559" s="104" t="s">
        <v>719</v>
      </c>
    </row>
    <row r="1560" customFormat="false" ht="15" hidden="false" customHeight="false" outlineLevel="0" collapsed="false">
      <c r="A1560" s="103" t="n">
        <v>46306</v>
      </c>
      <c r="B1560" s="104" t="s">
        <v>34</v>
      </c>
      <c r="C1560" s="104" t="s">
        <v>512</v>
      </c>
      <c r="D1560" s="105" t="n">
        <v>2.8333</v>
      </c>
      <c r="E1560" s="106" t="n">
        <v>105.8824</v>
      </c>
      <c r="F1560" s="107" t="n">
        <f aca="false">IF($C1560="","",$D1560*$E1560)</f>
        <v>299.99660392</v>
      </c>
      <c r="G1560" s="107" t="n">
        <f aca="false">IF($C1560="","",$D1560*IFERROR(INDEX('تحليل التكلفة والسعر'!$C$2:$C$700,MATCH($C1560,'تحليل التكلفة والسعر'!$B$2:$B$700,0)),0))</f>
        <v>275.730352742</v>
      </c>
      <c r="H1560" s="104" t="s">
        <v>719</v>
      </c>
    </row>
    <row r="1561" customFormat="false" ht="15" hidden="false" customHeight="false" outlineLevel="0" collapsed="false">
      <c r="A1561" s="103" t="n">
        <v>46307</v>
      </c>
      <c r="B1561" s="104" t="s">
        <v>34</v>
      </c>
      <c r="C1561" s="104" t="s">
        <v>512</v>
      </c>
      <c r="D1561" s="105" t="n">
        <v>2.8333</v>
      </c>
      <c r="E1561" s="106" t="n">
        <v>105.8824</v>
      </c>
      <c r="F1561" s="107" t="n">
        <f aca="false">IF($C1561="","",$D1561*$E1561)</f>
        <v>299.99660392</v>
      </c>
      <c r="G1561" s="107" t="n">
        <f aca="false">IF($C1561="","",$D1561*IFERROR(INDEX('تحليل التكلفة والسعر'!$C$2:$C$700,MATCH($C1561,'تحليل التكلفة والسعر'!$B$2:$B$700,0)),0))</f>
        <v>275.730352742</v>
      </c>
      <c r="H1561" s="104" t="s">
        <v>719</v>
      </c>
    </row>
    <row r="1562" customFormat="false" ht="15" hidden="false" customHeight="false" outlineLevel="0" collapsed="false">
      <c r="A1562" s="103" t="n">
        <v>46296</v>
      </c>
      <c r="B1562" s="104" t="s">
        <v>34</v>
      </c>
      <c r="C1562" s="104" t="s">
        <v>533</v>
      </c>
      <c r="D1562" s="105" t="n">
        <v>0.4167</v>
      </c>
      <c r="E1562" s="106" t="n">
        <v>42</v>
      </c>
      <c r="F1562" s="107" t="n">
        <f aca="false">IF($C1562="","",$D1562*$E1562)</f>
        <v>17.5014</v>
      </c>
      <c r="G1562" s="107" t="n">
        <f aca="false">IF($C1562="","",$D1562*IFERROR(INDEX('تحليل التكلفة والسعر'!$C$2:$C$700,MATCH($C1562,'تحليل التكلفة والسعر'!$B$2:$B$700,0)),0))</f>
        <v>39.647104848</v>
      </c>
      <c r="H1562" s="104" t="s">
        <v>719</v>
      </c>
    </row>
    <row r="1563" customFormat="false" ht="15" hidden="false" customHeight="false" outlineLevel="0" collapsed="false">
      <c r="A1563" s="103" t="n">
        <v>46297</v>
      </c>
      <c r="B1563" s="104" t="s">
        <v>34</v>
      </c>
      <c r="C1563" s="104" t="s">
        <v>533</v>
      </c>
      <c r="D1563" s="105" t="n">
        <v>0.4167</v>
      </c>
      <c r="E1563" s="106" t="n">
        <v>42</v>
      </c>
      <c r="F1563" s="107" t="n">
        <f aca="false">IF($C1563="","",$D1563*$E1563)</f>
        <v>17.5014</v>
      </c>
      <c r="G1563" s="107" t="n">
        <f aca="false">IF($C1563="","",$D1563*IFERROR(INDEX('تحليل التكلفة والسعر'!$C$2:$C$700,MATCH($C1563,'تحليل التكلفة والسعر'!$B$2:$B$700,0)),0))</f>
        <v>39.647104848</v>
      </c>
      <c r="H1563" s="104" t="s">
        <v>719</v>
      </c>
    </row>
    <row r="1564" customFormat="false" ht="15" hidden="false" customHeight="false" outlineLevel="0" collapsed="false">
      <c r="A1564" s="103" t="n">
        <v>46298</v>
      </c>
      <c r="B1564" s="104" t="s">
        <v>34</v>
      </c>
      <c r="C1564" s="104" t="s">
        <v>533</v>
      </c>
      <c r="D1564" s="105" t="n">
        <v>0.4167</v>
      </c>
      <c r="E1564" s="106" t="n">
        <v>42</v>
      </c>
      <c r="F1564" s="107" t="n">
        <f aca="false">IF($C1564="","",$D1564*$E1564)</f>
        <v>17.5014</v>
      </c>
      <c r="G1564" s="107" t="n">
        <f aca="false">IF($C1564="","",$D1564*IFERROR(INDEX('تحليل التكلفة والسعر'!$C$2:$C$700,MATCH($C1564,'تحليل التكلفة والسعر'!$B$2:$B$700,0)),0))</f>
        <v>39.647104848</v>
      </c>
      <c r="H1564" s="104" t="s">
        <v>719</v>
      </c>
    </row>
    <row r="1565" customFormat="false" ht="15" hidden="false" customHeight="false" outlineLevel="0" collapsed="false">
      <c r="A1565" s="103" t="n">
        <v>46299</v>
      </c>
      <c r="B1565" s="104" t="s">
        <v>34</v>
      </c>
      <c r="C1565" s="104" t="s">
        <v>533</v>
      </c>
      <c r="D1565" s="105" t="n">
        <v>0.4167</v>
      </c>
      <c r="E1565" s="106" t="n">
        <v>42</v>
      </c>
      <c r="F1565" s="107" t="n">
        <f aca="false">IF($C1565="","",$D1565*$E1565)</f>
        <v>17.5014</v>
      </c>
      <c r="G1565" s="107" t="n">
        <f aca="false">IF($C1565="","",$D1565*IFERROR(INDEX('تحليل التكلفة والسعر'!$C$2:$C$700,MATCH($C1565,'تحليل التكلفة والسعر'!$B$2:$B$700,0)),0))</f>
        <v>39.647104848</v>
      </c>
      <c r="H1565" s="104" t="s">
        <v>719</v>
      </c>
    </row>
    <row r="1566" customFormat="false" ht="15" hidden="false" customHeight="false" outlineLevel="0" collapsed="false">
      <c r="A1566" s="103" t="n">
        <v>46300</v>
      </c>
      <c r="B1566" s="104" t="s">
        <v>34</v>
      </c>
      <c r="C1566" s="104" t="s">
        <v>533</v>
      </c>
      <c r="D1566" s="105" t="n">
        <v>0.4167</v>
      </c>
      <c r="E1566" s="106" t="n">
        <v>42</v>
      </c>
      <c r="F1566" s="107" t="n">
        <f aca="false">IF($C1566="","",$D1566*$E1566)</f>
        <v>17.5014</v>
      </c>
      <c r="G1566" s="107" t="n">
        <f aca="false">IF($C1566="","",$D1566*IFERROR(INDEX('تحليل التكلفة والسعر'!$C$2:$C$700,MATCH($C1566,'تحليل التكلفة والسعر'!$B$2:$B$700,0)),0))</f>
        <v>39.647104848</v>
      </c>
      <c r="H1566" s="104" t="s">
        <v>719</v>
      </c>
    </row>
    <row r="1567" customFormat="false" ht="15" hidden="false" customHeight="false" outlineLevel="0" collapsed="false">
      <c r="A1567" s="103" t="n">
        <v>46301</v>
      </c>
      <c r="B1567" s="104" t="s">
        <v>34</v>
      </c>
      <c r="C1567" s="104" t="s">
        <v>533</v>
      </c>
      <c r="D1567" s="105" t="n">
        <v>0.4167</v>
      </c>
      <c r="E1567" s="106" t="n">
        <v>42</v>
      </c>
      <c r="F1567" s="107" t="n">
        <f aca="false">IF($C1567="","",$D1567*$E1567)</f>
        <v>17.5014</v>
      </c>
      <c r="G1567" s="107" t="n">
        <f aca="false">IF($C1567="","",$D1567*IFERROR(INDEX('تحليل التكلفة والسعر'!$C$2:$C$700,MATCH($C1567,'تحليل التكلفة والسعر'!$B$2:$B$700,0)),0))</f>
        <v>39.647104848</v>
      </c>
      <c r="H1567" s="104" t="s">
        <v>719</v>
      </c>
    </row>
    <row r="1568" customFormat="false" ht="15" hidden="false" customHeight="false" outlineLevel="0" collapsed="false">
      <c r="A1568" s="103" t="n">
        <v>46302</v>
      </c>
      <c r="B1568" s="104" t="s">
        <v>34</v>
      </c>
      <c r="C1568" s="104" t="s">
        <v>533</v>
      </c>
      <c r="D1568" s="105" t="n">
        <v>0.4167</v>
      </c>
      <c r="E1568" s="106" t="n">
        <v>42</v>
      </c>
      <c r="F1568" s="107" t="n">
        <f aca="false">IF($C1568="","",$D1568*$E1568)</f>
        <v>17.5014</v>
      </c>
      <c r="G1568" s="107" t="n">
        <f aca="false">IF($C1568="","",$D1568*IFERROR(INDEX('تحليل التكلفة والسعر'!$C$2:$C$700,MATCH($C1568,'تحليل التكلفة والسعر'!$B$2:$B$700,0)),0))</f>
        <v>39.647104848</v>
      </c>
      <c r="H1568" s="104" t="s">
        <v>719</v>
      </c>
    </row>
    <row r="1569" customFormat="false" ht="15" hidden="false" customHeight="false" outlineLevel="0" collapsed="false">
      <c r="A1569" s="103" t="n">
        <v>46303</v>
      </c>
      <c r="B1569" s="104" t="s">
        <v>34</v>
      </c>
      <c r="C1569" s="104" t="s">
        <v>533</v>
      </c>
      <c r="D1569" s="105" t="n">
        <v>0.4167</v>
      </c>
      <c r="E1569" s="106" t="n">
        <v>42</v>
      </c>
      <c r="F1569" s="107" t="n">
        <f aca="false">IF($C1569="","",$D1569*$E1569)</f>
        <v>17.5014</v>
      </c>
      <c r="G1569" s="107" t="n">
        <f aca="false">IF($C1569="","",$D1569*IFERROR(INDEX('تحليل التكلفة والسعر'!$C$2:$C$700,MATCH($C1569,'تحليل التكلفة والسعر'!$B$2:$B$700,0)),0))</f>
        <v>39.647104848</v>
      </c>
      <c r="H1569" s="104" t="s">
        <v>719</v>
      </c>
    </row>
    <row r="1570" customFormat="false" ht="15" hidden="false" customHeight="false" outlineLevel="0" collapsed="false">
      <c r="A1570" s="103" t="n">
        <v>46304</v>
      </c>
      <c r="B1570" s="104" t="s">
        <v>34</v>
      </c>
      <c r="C1570" s="104" t="s">
        <v>533</v>
      </c>
      <c r="D1570" s="105" t="n">
        <v>0.4167</v>
      </c>
      <c r="E1570" s="106" t="n">
        <v>42</v>
      </c>
      <c r="F1570" s="107" t="n">
        <f aca="false">IF($C1570="","",$D1570*$E1570)</f>
        <v>17.5014</v>
      </c>
      <c r="G1570" s="107" t="n">
        <f aca="false">IF($C1570="","",$D1570*IFERROR(INDEX('تحليل التكلفة والسعر'!$C$2:$C$700,MATCH($C1570,'تحليل التكلفة والسعر'!$B$2:$B$700,0)),0))</f>
        <v>39.647104848</v>
      </c>
      <c r="H1570" s="104" t="s">
        <v>719</v>
      </c>
    </row>
    <row r="1571" customFormat="false" ht="15" hidden="false" customHeight="false" outlineLevel="0" collapsed="false">
      <c r="A1571" s="103" t="n">
        <v>46305</v>
      </c>
      <c r="B1571" s="104" t="s">
        <v>34</v>
      </c>
      <c r="C1571" s="104" t="s">
        <v>533</v>
      </c>
      <c r="D1571" s="105" t="n">
        <v>0.4167</v>
      </c>
      <c r="E1571" s="106" t="n">
        <v>42</v>
      </c>
      <c r="F1571" s="107" t="n">
        <f aca="false">IF($C1571="","",$D1571*$E1571)</f>
        <v>17.5014</v>
      </c>
      <c r="G1571" s="107" t="n">
        <f aca="false">IF($C1571="","",$D1571*IFERROR(INDEX('تحليل التكلفة والسعر'!$C$2:$C$700,MATCH($C1571,'تحليل التكلفة والسعر'!$B$2:$B$700,0)),0))</f>
        <v>39.647104848</v>
      </c>
      <c r="H1571" s="104" t="s">
        <v>719</v>
      </c>
    </row>
    <row r="1572" customFormat="false" ht="15" hidden="false" customHeight="false" outlineLevel="0" collapsed="false">
      <c r="A1572" s="103" t="n">
        <v>46306</v>
      </c>
      <c r="B1572" s="104" t="s">
        <v>34</v>
      </c>
      <c r="C1572" s="104" t="s">
        <v>533</v>
      </c>
      <c r="D1572" s="105" t="n">
        <v>0.4167</v>
      </c>
      <c r="E1572" s="106" t="n">
        <v>42</v>
      </c>
      <c r="F1572" s="107" t="n">
        <f aca="false">IF($C1572="","",$D1572*$E1572)</f>
        <v>17.5014</v>
      </c>
      <c r="G1572" s="107" t="n">
        <f aca="false">IF($C1572="","",$D1572*IFERROR(INDEX('تحليل التكلفة والسعر'!$C$2:$C$700,MATCH($C1572,'تحليل التكلفة والسعر'!$B$2:$B$700,0)),0))</f>
        <v>39.647104848</v>
      </c>
      <c r="H1572" s="104" t="s">
        <v>719</v>
      </c>
    </row>
    <row r="1573" customFormat="false" ht="15" hidden="false" customHeight="false" outlineLevel="0" collapsed="false">
      <c r="A1573" s="103" t="n">
        <v>46307</v>
      </c>
      <c r="B1573" s="104" t="s">
        <v>34</v>
      </c>
      <c r="C1573" s="104" t="s">
        <v>533</v>
      </c>
      <c r="D1573" s="105" t="n">
        <v>0.4167</v>
      </c>
      <c r="E1573" s="106" t="n">
        <v>42</v>
      </c>
      <c r="F1573" s="107" t="n">
        <f aca="false">IF($C1573="","",$D1573*$E1573)</f>
        <v>17.5014</v>
      </c>
      <c r="G1573" s="107" t="n">
        <f aca="false">IF($C1573="","",$D1573*IFERROR(INDEX('تحليل التكلفة والسعر'!$C$2:$C$700,MATCH($C1573,'تحليل التكلفة والسعر'!$B$2:$B$700,0)),0))</f>
        <v>39.647104848</v>
      </c>
      <c r="H1573" s="104" t="s">
        <v>719</v>
      </c>
    </row>
    <row r="1574" customFormat="false" ht="15" hidden="false" customHeight="false" outlineLevel="0" collapsed="false">
      <c r="A1574" s="103" t="n">
        <v>46296</v>
      </c>
      <c r="B1574" s="104" t="s">
        <v>34</v>
      </c>
      <c r="C1574" s="104" t="s">
        <v>202</v>
      </c>
      <c r="D1574" s="105" t="n">
        <v>0.3333</v>
      </c>
      <c r="E1574" s="106" t="n">
        <v>25</v>
      </c>
      <c r="F1574" s="107" t="n">
        <f aca="false">IF($C1574="","",$D1574*$E1574)</f>
        <v>8.3325</v>
      </c>
      <c r="G1574" s="107" t="n">
        <f aca="false">IF($C1574="","",$D1574*IFERROR(INDEX('تحليل التكلفة والسعر'!$C$2:$C$700,MATCH($C1574,'تحليل التكلفة والسعر'!$B$2:$B$700,0)),0))</f>
        <v>5.72859375</v>
      </c>
      <c r="H1574" s="104" t="s">
        <v>719</v>
      </c>
    </row>
    <row r="1575" customFormat="false" ht="15" hidden="false" customHeight="false" outlineLevel="0" collapsed="false">
      <c r="A1575" s="103" t="n">
        <v>46297</v>
      </c>
      <c r="B1575" s="104" t="s">
        <v>34</v>
      </c>
      <c r="C1575" s="104" t="s">
        <v>202</v>
      </c>
      <c r="D1575" s="105" t="n">
        <v>0.3333</v>
      </c>
      <c r="E1575" s="106" t="n">
        <v>25</v>
      </c>
      <c r="F1575" s="107" t="n">
        <f aca="false">IF($C1575="","",$D1575*$E1575)</f>
        <v>8.3325</v>
      </c>
      <c r="G1575" s="107" t="n">
        <f aca="false">IF($C1575="","",$D1575*IFERROR(INDEX('تحليل التكلفة والسعر'!$C$2:$C$700,MATCH($C1575,'تحليل التكلفة والسعر'!$B$2:$B$700,0)),0))</f>
        <v>5.72859375</v>
      </c>
      <c r="H1575" s="104" t="s">
        <v>719</v>
      </c>
    </row>
    <row r="1576" customFormat="false" ht="15" hidden="false" customHeight="false" outlineLevel="0" collapsed="false">
      <c r="A1576" s="103" t="n">
        <v>46298</v>
      </c>
      <c r="B1576" s="104" t="s">
        <v>34</v>
      </c>
      <c r="C1576" s="104" t="s">
        <v>202</v>
      </c>
      <c r="D1576" s="105" t="n">
        <v>0.3333</v>
      </c>
      <c r="E1576" s="106" t="n">
        <v>25</v>
      </c>
      <c r="F1576" s="107" t="n">
        <f aca="false">IF($C1576="","",$D1576*$E1576)</f>
        <v>8.3325</v>
      </c>
      <c r="G1576" s="107" t="n">
        <f aca="false">IF($C1576="","",$D1576*IFERROR(INDEX('تحليل التكلفة والسعر'!$C$2:$C$700,MATCH($C1576,'تحليل التكلفة والسعر'!$B$2:$B$700,0)),0))</f>
        <v>5.72859375</v>
      </c>
      <c r="H1576" s="104" t="s">
        <v>719</v>
      </c>
    </row>
    <row r="1577" customFormat="false" ht="15" hidden="false" customHeight="false" outlineLevel="0" collapsed="false">
      <c r="A1577" s="103" t="n">
        <v>46299</v>
      </c>
      <c r="B1577" s="104" t="s">
        <v>34</v>
      </c>
      <c r="C1577" s="104" t="s">
        <v>202</v>
      </c>
      <c r="D1577" s="105" t="n">
        <v>0.3333</v>
      </c>
      <c r="E1577" s="106" t="n">
        <v>25</v>
      </c>
      <c r="F1577" s="107" t="n">
        <f aca="false">IF($C1577="","",$D1577*$E1577)</f>
        <v>8.3325</v>
      </c>
      <c r="G1577" s="107" t="n">
        <f aca="false">IF($C1577="","",$D1577*IFERROR(INDEX('تحليل التكلفة والسعر'!$C$2:$C$700,MATCH($C1577,'تحليل التكلفة والسعر'!$B$2:$B$700,0)),0))</f>
        <v>5.72859375</v>
      </c>
      <c r="H1577" s="104" t="s">
        <v>719</v>
      </c>
    </row>
    <row r="1578" customFormat="false" ht="15" hidden="false" customHeight="false" outlineLevel="0" collapsed="false">
      <c r="A1578" s="103" t="n">
        <v>46300</v>
      </c>
      <c r="B1578" s="104" t="s">
        <v>34</v>
      </c>
      <c r="C1578" s="104" t="s">
        <v>202</v>
      </c>
      <c r="D1578" s="105" t="n">
        <v>0.3333</v>
      </c>
      <c r="E1578" s="106" t="n">
        <v>25</v>
      </c>
      <c r="F1578" s="107" t="n">
        <f aca="false">IF($C1578="","",$D1578*$E1578)</f>
        <v>8.3325</v>
      </c>
      <c r="G1578" s="107" t="n">
        <f aca="false">IF($C1578="","",$D1578*IFERROR(INDEX('تحليل التكلفة والسعر'!$C$2:$C$700,MATCH($C1578,'تحليل التكلفة والسعر'!$B$2:$B$700,0)),0))</f>
        <v>5.72859375</v>
      </c>
      <c r="H1578" s="104" t="s">
        <v>719</v>
      </c>
    </row>
    <row r="1579" customFormat="false" ht="15" hidden="false" customHeight="false" outlineLevel="0" collapsed="false">
      <c r="A1579" s="103" t="n">
        <v>46301</v>
      </c>
      <c r="B1579" s="104" t="s">
        <v>34</v>
      </c>
      <c r="C1579" s="104" t="s">
        <v>202</v>
      </c>
      <c r="D1579" s="105" t="n">
        <v>0.3333</v>
      </c>
      <c r="E1579" s="106" t="n">
        <v>25</v>
      </c>
      <c r="F1579" s="107" t="n">
        <f aca="false">IF($C1579="","",$D1579*$E1579)</f>
        <v>8.3325</v>
      </c>
      <c r="G1579" s="107" t="n">
        <f aca="false">IF($C1579="","",$D1579*IFERROR(INDEX('تحليل التكلفة والسعر'!$C$2:$C$700,MATCH($C1579,'تحليل التكلفة والسعر'!$B$2:$B$700,0)),0))</f>
        <v>5.72859375</v>
      </c>
      <c r="H1579" s="104" t="s">
        <v>719</v>
      </c>
    </row>
    <row r="1580" customFormat="false" ht="15" hidden="false" customHeight="false" outlineLevel="0" collapsed="false">
      <c r="A1580" s="103" t="n">
        <v>46302</v>
      </c>
      <c r="B1580" s="104" t="s">
        <v>34</v>
      </c>
      <c r="C1580" s="104" t="s">
        <v>202</v>
      </c>
      <c r="D1580" s="105" t="n">
        <v>0.3333</v>
      </c>
      <c r="E1580" s="106" t="n">
        <v>25</v>
      </c>
      <c r="F1580" s="107" t="n">
        <f aca="false">IF($C1580="","",$D1580*$E1580)</f>
        <v>8.3325</v>
      </c>
      <c r="G1580" s="107" t="n">
        <f aca="false">IF($C1580="","",$D1580*IFERROR(INDEX('تحليل التكلفة والسعر'!$C$2:$C$700,MATCH($C1580,'تحليل التكلفة والسعر'!$B$2:$B$700,0)),0))</f>
        <v>5.72859375</v>
      </c>
      <c r="H1580" s="104" t="s">
        <v>719</v>
      </c>
    </row>
    <row r="1581" customFormat="false" ht="15" hidden="false" customHeight="false" outlineLevel="0" collapsed="false">
      <c r="A1581" s="103" t="n">
        <v>46303</v>
      </c>
      <c r="B1581" s="104" t="s">
        <v>34</v>
      </c>
      <c r="C1581" s="104" t="s">
        <v>202</v>
      </c>
      <c r="D1581" s="105" t="n">
        <v>0.3333</v>
      </c>
      <c r="E1581" s="106" t="n">
        <v>25</v>
      </c>
      <c r="F1581" s="107" t="n">
        <f aca="false">IF($C1581="","",$D1581*$E1581)</f>
        <v>8.3325</v>
      </c>
      <c r="G1581" s="107" t="n">
        <f aca="false">IF($C1581="","",$D1581*IFERROR(INDEX('تحليل التكلفة والسعر'!$C$2:$C$700,MATCH($C1581,'تحليل التكلفة والسعر'!$B$2:$B$700,0)),0))</f>
        <v>5.72859375</v>
      </c>
      <c r="H1581" s="104" t="s">
        <v>719</v>
      </c>
    </row>
    <row r="1582" customFormat="false" ht="15" hidden="false" customHeight="false" outlineLevel="0" collapsed="false">
      <c r="A1582" s="103" t="n">
        <v>46304</v>
      </c>
      <c r="B1582" s="104" t="s">
        <v>34</v>
      </c>
      <c r="C1582" s="104" t="s">
        <v>202</v>
      </c>
      <c r="D1582" s="105" t="n">
        <v>0.3333</v>
      </c>
      <c r="E1582" s="106" t="n">
        <v>25</v>
      </c>
      <c r="F1582" s="107" t="n">
        <f aca="false">IF($C1582="","",$D1582*$E1582)</f>
        <v>8.3325</v>
      </c>
      <c r="G1582" s="107" t="n">
        <f aca="false">IF($C1582="","",$D1582*IFERROR(INDEX('تحليل التكلفة والسعر'!$C$2:$C$700,MATCH($C1582,'تحليل التكلفة والسعر'!$B$2:$B$700,0)),0))</f>
        <v>5.72859375</v>
      </c>
      <c r="H1582" s="104" t="s">
        <v>719</v>
      </c>
    </row>
    <row r="1583" customFormat="false" ht="15" hidden="false" customHeight="false" outlineLevel="0" collapsed="false">
      <c r="A1583" s="103" t="n">
        <v>46305</v>
      </c>
      <c r="B1583" s="104" t="s">
        <v>34</v>
      </c>
      <c r="C1583" s="104" t="s">
        <v>202</v>
      </c>
      <c r="D1583" s="105" t="n">
        <v>0.3333</v>
      </c>
      <c r="E1583" s="106" t="n">
        <v>25</v>
      </c>
      <c r="F1583" s="107" t="n">
        <f aca="false">IF($C1583="","",$D1583*$E1583)</f>
        <v>8.3325</v>
      </c>
      <c r="G1583" s="107" t="n">
        <f aca="false">IF($C1583="","",$D1583*IFERROR(INDEX('تحليل التكلفة والسعر'!$C$2:$C$700,MATCH($C1583,'تحليل التكلفة والسعر'!$B$2:$B$700,0)),0))</f>
        <v>5.72859375</v>
      </c>
      <c r="H1583" s="104" t="s">
        <v>719</v>
      </c>
    </row>
    <row r="1584" customFormat="false" ht="15" hidden="false" customHeight="false" outlineLevel="0" collapsed="false">
      <c r="A1584" s="103" t="n">
        <v>46306</v>
      </c>
      <c r="B1584" s="104" t="s">
        <v>34</v>
      </c>
      <c r="C1584" s="104" t="s">
        <v>202</v>
      </c>
      <c r="D1584" s="105" t="n">
        <v>0.3333</v>
      </c>
      <c r="E1584" s="106" t="n">
        <v>25</v>
      </c>
      <c r="F1584" s="107" t="n">
        <f aca="false">IF($C1584="","",$D1584*$E1584)</f>
        <v>8.3325</v>
      </c>
      <c r="G1584" s="107" t="n">
        <f aca="false">IF($C1584="","",$D1584*IFERROR(INDEX('تحليل التكلفة والسعر'!$C$2:$C$700,MATCH($C1584,'تحليل التكلفة والسعر'!$B$2:$B$700,0)),0))</f>
        <v>5.72859375</v>
      </c>
      <c r="H1584" s="104" t="s">
        <v>719</v>
      </c>
    </row>
    <row r="1585" customFormat="false" ht="15" hidden="false" customHeight="false" outlineLevel="0" collapsed="false">
      <c r="A1585" s="103" t="n">
        <v>46307</v>
      </c>
      <c r="B1585" s="104" t="s">
        <v>34</v>
      </c>
      <c r="C1585" s="104" t="s">
        <v>202</v>
      </c>
      <c r="D1585" s="105" t="n">
        <v>0.3333</v>
      </c>
      <c r="E1585" s="106" t="n">
        <v>25</v>
      </c>
      <c r="F1585" s="107" t="n">
        <f aca="false">IF($C1585="","",$D1585*$E1585)</f>
        <v>8.3325</v>
      </c>
      <c r="G1585" s="107" t="n">
        <f aca="false">IF($C1585="","",$D1585*IFERROR(INDEX('تحليل التكلفة والسعر'!$C$2:$C$700,MATCH($C1585,'تحليل التكلفة والسعر'!$B$2:$B$700,0)),0))</f>
        <v>5.72859375</v>
      </c>
      <c r="H1585" s="104" t="s">
        <v>719</v>
      </c>
    </row>
    <row r="1586" customFormat="false" ht="15" hidden="false" customHeight="false" outlineLevel="0" collapsed="false">
      <c r="A1586" s="103" t="n">
        <v>46296</v>
      </c>
      <c r="B1586" s="104" t="s">
        <v>34</v>
      </c>
      <c r="C1586" s="104" t="s">
        <v>462</v>
      </c>
      <c r="D1586" s="105" t="n">
        <v>1.5</v>
      </c>
      <c r="E1586" s="106" t="n">
        <v>208.6111</v>
      </c>
      <c r="F1586" s="107" t="n">
        <f aca="false">IF($C1586="","",$D1586*$E1586)</f>
        <v>312.91665</v>
      </c>
      <c r="G1586" s="107" t="n">
        <f aca="false">IF($C1586="","",$D1586*IFERROR(INDEX('تحليل التكلفة والسعر'!$C$2:$C$700,MATCH($C1586,'تحليل التكلفة والسعر'!$B$2:$B$700,0)),0))</f>
        <v>145.43655</v>
      </c>
      <c r="H1586" s="104" t="s">
        <v>719</v>
      </c>
    </row>
    <row r="1587" customFormat="false" ht="15" hidden="false" customHeight="false" outlineLevel="0" collapsed="false">
      <c r="A1587" s="103" t="n">
        <v>46297</v>
      </c>
      <c r="B1587" s="104" t="s">
        <v>34</v>
      </c>
      <c r="C1587" s="104" t="s">
        <v>462</v>
      </c>
      <c r="D1587" s="105" t="n">
        <v>1.5</v>
      </c>
      <c r="E1587" s="106" t="n">
        <v>208.6111</v>
      </c>
      <c r="F1587" s="107" t="n">
        <f aca="false">IF($C1587="","",$D1587*$E1587)</f>
        <v>312.91665</v>
      </c>
      <c r="G1587" s="107" t="n">
        <f aca="false">IF($C1587="","",$D1587*IFERROR(INDEX('تحليل التكلفة والسعر'!$C$2:$C$700,MATCH($C1587,'تحليل التكلفة والسعر'!$B$2:$B$700,0)),0))</f>
        <v>145.43655</v>
      </c>
      <c r="H1587" s="104" t="s">
        <v>719</v>
      </c>
    </row>
    <row r="1588" customFormat="false" ht="15" hidden="false" customHeight="false" outlineLevel="0" collapsed="false">
      <c r="A1588" s="103" t="n">
        <v>46298</v>
      </c>
      <c r="B1588" s="104" t="s">
        <v>34</v>
      </c>
      <c r="C1588" s="104" t="s">
        <v>462</v>
      </c>
      <c r="D1588" s="105" t="n">
        <v>1.5</v>
      </c>
      <c r="E1588" s="106" t="n">
        <v>208.6111</v>
      </c>
      <c r="F1588" s="107" t="n">
        <f aca="false">IF($C1588="","",$D1588*$E1588)</f>
        <v>312.91665</v>
      </c>
      <c r="G1588" s="107" t="n">
        <f aca="false">IF($C1588="","",$D1588*IFERROR(INDEX('تحليل التكلفة والسعر'!$C$2:$C$700,MATCH($C1588,'تحليل التكلفة والسعر'!$B$2:$B$700,0)),0))</f>
        <v>145.43655</v>
      </c>
      <c r="H1588" s="104" t="s">
        <v>719</v>
      </c>
    </row>
    <row r="1589" customFormat="false" ht="15" hidden="false" customHeight="false" outlineLevel="0" collapsed="false">
      <c r="A1589" s="103" t="n">
        <v>46299</v>
      </c>
      <c r="B1589" s="104" t="s">
        <v>34</v>
      </c>
      <c r="C1589" s="104" t="s">
        <v>462</v>
      </c>
      <c r="D1589" s="105" t="n">
        <v>1.5</v>
      </c>
      <c r="E1589" s="106" t="n">
        <v>208.6111</v>
      </c>
      <c r="F1589" s="107" t="n">
        <f aca="false">IF($C1589="","",$D1589*$E1589)</f>
        <v>312.91665</v>
      </c>
      <c r="G1589" s="107" t="n">
        <f aca="false">IF($C1589="","",$D1589*IFERROR(INDEX('تحليل التكلفة والسعر'!$C$2:$C$700,MATCH($C1589,'تحليل التكلفة والسعر'!$B$2:$B$700,0)),0))</f>
        <v>145.43655</v>
      </c>
      <c r="H1589" s="104" t="s">
        <v>719</v>
      </c>
    </row>
    <row r="1590" customFormat="false" ht="15" hidden="false" customHeight="false" outlineLevel="0" collapsed="false">
      <c r="A1590" s="103" t="n">
        <v>46300</v>
      </c>
      <c r="B1590" s="104" t="s">
        <v>34</v>
      </c>
      <c r="C1590" s="104" t="s">
        <v>462</v>
      </c>
      <c r="D1590" s="105" t="n">
        <v>1.5</v>
      </c>
      <c r="E1590" s="106" t="n">
        <v>208.6111</v>
      </c>
      <c r="F1590" s="107" t="n">
        <f aca="false">IF($C1590="","",$D1590*$E1590)</f>
        <v>312.91665</v>
      </c>
      <c r="G1590" s="107" t="n">
        <f aca="false">IF($C1590="","",$D1590*IFERROR(INDEX('تحليل التكلفة والسعر'!$C$2:$C$700,MATCH($C1590,'تحليل التكلفة والسعر'!$B$2:$B$700,0)),0))</f>
        <v>145.43655</v>
      </c>
      <c r="H1590" s="104" t="s">
        <v>719</v>
      </c>
    </row>
    <row r="1591" customFormat="false" ht="15" hidden="false" customHeight="false" outlineLevel="0" collapsed="false">
      <c r="A1591" s="103" t="n">
        <v>46301</v>
      </c>
      <c r="B1591" s="104" t="s">
        <v>34</v>
      </c>
      <c r="C1591" s="104" t="s">
        <v>462</v>
      </c>
      <c r="D1591" s="105" t="n">
        <v>1.5</v>
      </c>
      <c r="E1591" s="106" t="n">
        <v>208.6111</v>
      </c>
      <c r="F1591" s="107" t="n">
        <f aca="false">IF($C1591="","",$D1591*$E1591)</f>
        <v>312.91665</v>
      </c>
      <c r="G1591" s="107" t="n">
        <f aca="false">IF($C1591="","",$D1591*IFERROR(INDEX('تحليل التكلفة والسعر'!$C$2:$C$700,MATCH($C1591,'تحليل التكلفة والسعر'!$B$2:$B$700,0)),0))</f>
        <v>145.43655</v>
      </c>
      <c r="H1591" s="104" t="s">
        <v>719</v>
      </c>
    </row>
    <row r="1592" customFormat="false" ht="15" hidden="false" customHeight="false" outlineLevel="0" collapsed="false">
      <c r="A1592" s="103" t="n">
        <v>46302</v>
      </c>
      <c r="B1592" s="104" t="s">
        <v>34</v>
      </c>
      <c r="C1592" s="104" t="s">
        <v>462</v>
      </c>
      <c r="D1592" s="105" t="n">
        <v>1.5</v>
      </c>
      <c r="E1592" s="106" t="n">
        <v>208.6111</v>
      </c>
      <c r="F1592" s="107" t="n">
        <f aca="false">IF($C1592="","",$D1592*$E1592)</f>
        <v>312.91665</v>
      </c>
      <c r="G1592" s="107" t="n">
        <f aca="false">IF($C1592="","",$D1592*IFERROR(INDEX('تحليل التكلفة والسعر'!$C$2:$C$700,MATCH($C1592,'تحليل التكلفة والسعر'!$B$2:$B$700,0)),0))</f>
        <v>145.43655</v>
      </c>
      <c r="H1592" s="104" t="s">
        <v>719</v>
      </c>
    </row>
    <row r="1593" customFormat="false" ht="15" hidden="false" customHeight="false" outlineLevel="0" collapsed="false">
      <c r="A1593" s="103" t="n">
        <v>46303</v>
      </c>
      <c r="B1593" s="104" t="s">
        <v>34</v>
      </c>
      <c r="C1593" s="104" t="s">
        <v>462</v>
      </c>
      <c r="D1593" s="105" t="n">
        <v>1.5</v>
      </c>
      <c r="E1593" s="106" t="n">
        <v>208.6111</v>
      </c>
      <c r="F1593" s="107" t="n">
        <f aca="false">IF($C1593="","",$D1593*$E1593)</f>
        <v>312.91665</v>
      </c>
      <c r="G1593" s="107" t="n">
        <f aca="false">IF($C1593="","",$D1593*IFERROR(INDEX('تحليل التكلفة والسعر'!$C$2:$C$700,MATCH($C1593,'تحليل التكلفة والسعر'!$B$2:$B$700,0)),0))</f>
        <v>145.43655</v>
      </c>
      <c r="H1593" s="104" t="s">
        <v>719</v>
      </c>
    </row>
    <row r="1594" customFormat="false" ht="15" hidden="false" customHeight="false" outlineLevel="0" collapsed="false">
      <c r="A1594" s="103" t="n">
        <v>46304</v>
      </c>
      <c r="B1594" s="104" t="s">
        <v>34</v>
      </c>
      <c r="C1594" s="104" t="s">
        <v>462</v>
      </c>
      <c r="D1594" s="105" t="n">
        <v>1.5</v>
      </c>
      <c r="E1594" s="106" t="n">
        <v>208.6111</v>
      </c>
      <c r="F1594" s="107" t="n">
        <f aca="false">IF($C1594="","",$D1594*$E1594)</f>
        <v>312.91665</v>
      </c>
      <c r="G1594" s="107" t="n">
        <f aca="false">IF($C1594="","",$D1594*IFERROR(INDEX('تحليل التكلفة والسعر'!$C$2:$C$700,MATCH($C1594,'تحليل التكلفة والسعر'!$B$2:$B$700,0)),0))</f>
        <v>145.43655</v>
      </c>
      <c r="H1594" s="104" t="s">
        <v>719</v>
      </c>
    </row>
    <row r="1595" customFormat="false" ht="15" hidden="false" customHeight="false" outlineLevel="0" collapsed="false">
      <c r="A1595" s="103" t="n">
        <v>46305</v>
      </c>
      <c r="B1595" s="104" t="s">
        <v>34</v>
      </c>
      <c r="C1595" s="104" t="s">
        <v>462</v>
      </c>
      <c r="D1595" s="105" t="n">
        <v>1.5</v>
      </c>
      <c r="E1595" s="106" t="n">
        <v>208.6111</v>
      </c>
      <c r="F1595" s="107" t="n">
        <f aca="false">IF($C1595="","",$D1595*$E1595)</f>
        <v>312.91665</v>
      </c>
      <c r="G1595" s="107" t="n">
        <f aca="false">IF($C1595="","",$D1595*IFERROR(INDEX('تحليل التكلفة والسعر'!$C$2:$C$700,MATCH($C1595,'تحليل التكلفة والسعر'!$B$2:$B$700,0)),0))</f>
        <v>145.43655</v>
      </c>
      <c r="H1595" s="104" t="s">
        <v>719</v>
      </c>
    </row>
    <row r="1596" customFormat="false" ht="15" hidden="false" customHeight="false" outlineLevel="0" collapsed="false">
      <c r="A1596" s="103" t="n">
        <v>46306</v>
      </c>
      <c r="B1596" s="104" t="s">
        <v>34</v>
      </c>
      <c r="C1596" s="104" t="s">
        <v>462</v>
      </c>
      <c r="D1596" s="105" t="n">
        <v>1.5</v>
      </c>
      <c r="E1596" s="106" t="n">
        <v>208.6111</v>
      </c>
      <c r="F1596" s="107" t="n">
        <f aca="false">IF($C1596="","",$D1596*$E1596)</f>
        <v>312.91665</v>
      </c>
      <c r="G1596" s="107" t="n">
        <f aca="false">IF($C1596="","",$D1596*IFERROR(INDEX('تحليل التكلفة والسعر'!$C$2:$C$700,MATCH($C1596,'تحليل التكلفة والسعر'!$B$2:$B$700,0)),0))</f>
        <v>145.43655</v>
      </c>
      <c r="H1596" s="104" t="s">
        <v>719</v>
      </c>
    </row>
    <row r="1597" customFormat="false" ht="15" hidden="false" customHeight="false" outlineLevel="0" collapsed="false">
      <c r="A1597" s="103" t="n">
        <v>46307</v>
      </c>
      <c r="B1597" s="104" t="s">
        <v>34</v>
      </c>
      <c r="C1597" s="104" t="s">
        <v>462</v>
      </c>
      <c r="D1597" s="105" t="n">
        <v>1.5</v>
      </c>
      <c r="E1597" s="106" t="n">
        <v>208.6111</v>
      </c>
      <c r="F1597" s="107" t="n">
        <f aca="false">IF($C1597="","",$D1597*$E1597)</f>
        <v>312.91665</v>
      </c>
      <c r="G1597" s="107" t="n">
        <f aca="false">IF($C1597="","",$D1597*IFERROR(INDEX('تحليل التكلفة والسعر'!$C$2:$C$700,MATCH($C1597,'تحليل التكلفة والسعر'!$B$2:$B$700,0)),0))</f>
        <v>145.43655</v>
      </c>
      <c r="H1597" s="104" t="s">
        <v>719</v>
      </c>
    </row>
    <row r="1598" customFormat="false" ht="15" hidden="false" customHeight="false" outlineLevel="0" collapsed="false">
      <c r="A1598" s="103" t="n">
        <v>46296</v>
      </c>
      <c r="B1598" s="104" t="s">
        <v>34</v>
      </c>
      <c r="C1598" s="104" t="s">
        <v>443</v>
      </c>
      <c r="D1598" s="105" t="n">
        <v>7.5833</v>
      </c>
      <c r="E1598" s="106" t="n">
        <v>54.4505</v>
      </c>
      <c r="F1598" s="107" t="n">
        <f aca="false">IF($C1598="","",$D1598*$E1598)</f>
        <v>412.91447665</v>
      </c>
      <c r="G1598" s="107" t="n">
        <f aca="false">IF($C1598="","",$D1598*IFERROR(INDEX('تحليل التكلفة والسعر'!$C$2:$C$700,MATCH($C1598,'تحليل التكلفة والسعر'!$B$2:$B$700,0)),0))</f>
        <v>552.94769445</v>
      </c>
      <c r="H1598" s="104" t="s">
        <v>719</v>
      </c>
    </row>
    <row r="1599" customFormat="false" ht="15" hidden="false" customHeight="false" outlineLevel="0" collapsed="false">
      <c r="A1599" s="103" t="n">
        <v>46297</v>
      </c>
      <c r="B1599" s="104" t="s">
        <v>34</v>
      </c>
      <c r="C1599" s="104" t="s">
        <v>443</v>
      </c>
      <c r="D1599" s="105" t="n">
        <v>7.5833</v>
      </c>
      <c r="E1599" s="106" t="n">
        <v>54.4505</v>
      </c>
      <c r="F1599" s="107" t="n">
        <f aca="false">IF($C1599="","",$D1599*$E1599)</f>
        <v>412.91447665</v>
      </c>
      <c r="G1599" s="107" t="n">
        <f aca="false">IF($C1599="","",$D1599*IFERROR(INDEX('تحليل التكلفة والسعر'!$C$2:$C$700,MATCH($C1599,'تحليل التكلفة والسعر'!$B$2:$B$700,0)),0))</f>
        <v>552.94769445</v>
      </c>
      <c r="H1599" s="104" t="s">
        <v>719</v>
      </c>
    </row>
    <row r="1600" customFormat="false" ht="15" hidden="false" customHeight="false" outlineLevel="0" collapsed="false">
      <c r="A1600" s="103" t="n">
        <v>46298</v>
      </c>
      <c r="B1600" s="104" t="s">
        <v>34</v>
      </c>
      <c r="C1600" s="104" t="s">
        <v>443</v>
      </c>
      <c r="D1600" s="105" t="n">
        <v>7.5833</v>
      </c>
      <c r="E1600" s="106" t="n">
        <v>54.4505</v>
      </c>
      <c r="F1600" s="107" t="n">
        <f aca="false">IF($C1600="","",$D1600*$E1600)</f>
        <v>412.91447665</v>
      </c>
      <c r="G1600" s="107" t="n">
        <f aca="false">IF($C1600="","",$D1600*IFERROR(INDEX('تحليل التكلفة والسعر'!$C$2:$C$700,MATCH($C1600,'تحليل التكلفة والسعر'!$B$2:$B$700,0)),0))</f>
        <v>552.94769445</v>
      </c>
      <c r="H1600" s="104" t="s">
        <v>719</v>
      </c>
    </row>
    <row r="1601" customFormat="false" ht="15" hidden="false" customHeight="false" outlineLevel="0" collapsed="false">
      <c r="A1601" s="103" t="n">
        <v>46299</v>
      </c>
      <c r="B1601" s="104" t="s">
        <v>34</v>
      </c>
      <c r="C1601" s="104" t="s">
        <v>443</v>
      </c>
      <c r="D1601" s="105" t="n">
        <v>7.5833</v>
      </c>
      <c r="E1601" s="106" t="n">
        <v>54.4505</v>
      </c>
      <c r="F1601" s="107" t="n">
        <f aca="false">IF($C1601="","",$D1601*$E1601)</f>
        <v>412.91447665</v>
      </c>
      <c r="G1601" s="107" t="n">
        <f aca="false">IF($C1601="","",$D1601*IFERROR(INDEX('تحليل التكلفة والسعر'!$C$2:$C$700,MATCH($C1601,'تحليل التكلفة والسعر'!$B$2:$B$700,0)),0))</f>
        <v>552.94769445</v>
      </c>
      <c r="H1601" s="104" t="s">
        <v>719</v>
      </c>
    </row>
    <row r="1602" customFormat="false" ht="15" hidden="false" customHeight="false" outlineLevel="0" collapsed="false">
      <c r="A1602" s="103" t="n">
        <v>46300</v>
      </c>
      <c r="B1602" s="104" t="s">
        <v>34</v>
      </c>
      <c r="C1602" s="104" t="s">
        <v>443</v>
      </c>
      <c r="D1602" s="105" t="n">
        <v>7.5833</v>
      </c>
      <c r="E1602" s="106" t="n">
        <v>54.4505</v>
      </c>
      <c r="F1602" s="107" t="n">
        <f aca="false">IF($C1602="","",$D1602*$E1602)</f>
        <v>412.91447665</v>
      </c>
      <c r="G1602" s="107" t="n">
        <f aca="false">IF($C1602="","",$D1602*IFERROR(INDEX('تحليل التكلفة والسعر'!$C$2:$C$700,MATCH($C1602,'تحليل التكلفة والسعر'!$B$2:$B$700,0)),0))</f>
        <v>552.94769445</v>
      </c>
      <c r="H1602" s="104" t="s">
        <v>719</v>
      </c>
    </row>
    <row r="1603" customFormat="false" ht="15" hidden="false" customHeight="false" outlineLevel="0" collapsed="false">
      <c r="A1603" s="103" t="n">
        <v>46301</v>
      </c>
      <c r="B1603" s="104" t="s">
        <v>34</v>
      </c>
      <c r="C1603" s="104" t="s">
        <v>443</v>
      </c>
      <c r="D1603" s="105" t="n">
        <v>7.5833</v>
      </c>
      <c r="E1603" s="106" t="n">
        <v>54.4505</v>
      </c>
      <c r="F1603" s="107" t="n">
        <f aca="false">IF($C1603="","",$D1603*$E1603)</f>
        <v>412.91447665</v>
      </c>
      <c r="G1603" s="107" t="n">
        <f aca="false">IF($C1603="","",$D1603*IFERROR(INDEX('تحليل التكلفة والسعر'!$C$2:$C$700,MATCH($C1603,'تحليل التكلفة والسعر'!$B$2:$B$700,0)),0))</f>
        <v>552.94769445</v>
      </c>
      <c r="H1603" s="104" t="s">
        <v>719</v>
      </c>
    </row>
    <row r="1604" customFormat="false" ht="15" hidden="false" customHeight="false" outlineLevel="0" collapsed="false">
      <c r="A1604" s="103" t="n">
        <v>46302</v>
      </c>
      <c r="B1604" s="104" t="s">
        <v>34</v>
      </c>
      <c r="C1604" s="104" t="s">
        <v>443</v>
      </c>
      <c r="D1604" s="105" t="n">
        <v>7.5833</v>
      </c>
      <c r="E1604" s="106" t="n">
        <v>54.4505</v>
      </c>
      <c r="F1604" s="107" t="n">
        <f aca="false">IF($C1604="","",$D1604*$E1604)</f>
        <v>412.91447665</v>
      </c>
      <c r="G1604" s="107" t="n">
        <f aca="false">IF($C1604="","",$D1604*IFERROR(INDEX('تحليل التكلفة والسعر'!$C$2:$C$700,MATCH($C1604,'تحليل التكلفة والسعر'!$B$2:$B$700,0)),0))</f>
        <v>552.94769445</v>
      </c>
      <c r="H1604" s="104" t="s">
        <v>719</v>
      </c>
    </row>
    <row r="1605" customFormat="false" ht="15" hidden="false" customHeight="false" outlineLevel="0" collapsed="false">
      <c r="A1605" s="103" t="n">
        <v>46303</v>
      </c>
      <c r="B1605" s="104" t="s">
        <v>34</v>
      </c>
      <c r="C1605" s="104" t="s">
        <v>443</v>
      </c>
      <c r="D1605" s="105" t="n">
        <v>7.5833</v>
      </c>
      <c r="E1605" s="106" t="n">
        <v>54.4505</v>
      </c>
      <c r="F1605" s="107" t="n">
        <f aca="false">IF($C1605="","",$D1605*$E1605)</f>
        <v>412.91447665</v>
      </c>
      <c r="G1605" s="107" t="n">
        <f aca="false">IF($C1605="","",$D1605*IFERROR(INDEX('تحليل التكلفة والسعر'!$C$2:$C$700,MATCH($C1605,'تحليل التكلفة والسعر'!$B$2:$B$700,0)),0))</f>
        <v>552.94769445</v>
      </c>
      <c r="H1605" s="104" t="s">
        <v>719</v>
      </c>
    </row>
    <row r="1606" customFormat="false" ht="15" hidden="false" customHeight="false" outlineLevel="0" collapsed="false">
      <c r="A1606" s="103" t="n">
        <v>46304</v>
      </c>
      <c r="B1606" s="104" t="s">
        <v>34</v>
      </c>
      <c r="C1606" s="104" t="s">
        <v>443</v>
      </c>
      <c r="D1606" s="105" t="n">
        <v>7.5833</v>
      </c>
      <c r="E1606" s="106" t="n">
        <v>54.4505</v>
      </c>
      <c r="F1606" s="107" t="n">
        <f aca="false">IF($C1606="","",$D1606*$E1606)</f>
        <v>412.91447665</v>
      </c>
      <c r="G1606" s="107" t="n">
        <f aca="false">IF($C1606="","",$D1606*IFERROR(INDEX('تحليل التكلفة والسعر'!$C$2:$C$700,MATCH($C1606,'تحليل التكلفة والسعر'!$B$2:$B$700,0)),0))</f>
        <v>552.94769445</v>
      </c>
      <c r="H1606" s="104" t="s">
        <v>719</v>
      </c>
    </row>
    <row r="1607" customFormat="false" ht="15" hidden="false" customHeight="false" outlineLevel="0" collapsed="false">
      <c r="A1607" s="103" t="n">
        <v>46305</v>
      </c>
      <c r="B1607" s="104" t="s">
        <v>34</v>
      </c>
      <c r="C1607" s="104" t="s">
        <v>443</v>
      </c>
      <c r="D1607" s="105" t="n">
        <v>7.5833</v>
      </c>
      <c r="E1607" s="106" t="n">
        <v>54.4505</v>
      </c>
      <c r="F1607" s="107" t="n">
        <f aca="false">IF($C1607="","",$D1607*$E1607)</f>
        <v>412.91447665</v>
      </c>
      <c r="G1607" s="107" t="n">
        <f aca="false">IF($C1607="","",$D1607*IFERROR(INDEX('تحليل التكلفة والسعر'!$C$2:$C$700,MATCH($C1607,'تحليل التكلفة والسعر'!$B$2:$B$700,0)),0))</f>
        <v>552.94769445</v>
      </c>
      <c r="H1607" s="104" t="s">
        <v>719</v>
      </c>
    </row>
    <row r="1608" customFormat="false" ht="15" hidden="false" customHeight="false" outlineLevel="0" collapsed="false">
      <c r="A1608" s="103" t="n">
        <v>46306</v>
      </c>
      <c r="B1608" s="104" t="s">
        <v>34</v>
      </c>
      <c r="C1608" s="104" t="s">
        <v>443</v>
      </c>
      <c r="D1608" s="105" t="n">
        <v>7.5833</v>
      </c>
      <c r="E1608" s="106" t="n">
        <v>54.4505</v>
      </c>
      <c r="F1608" s="107" t="n">
        <f aca="false">IF($C1608="","",$D1608*$E1608)</f>
        <v>412.91447665</v>
      </c>
      <c r="G1608" s="107" t="n">
        <f aca="false">IF($C1608="","",$D1608*IFERROR(INDEX('تحليل التكلفة والسعر'!$C$2:$C$700,MATCH($C1608,'تحليل التكلفة والسعر'!$B$2:$B$700,0)),0))</f>
        <v>552.94769445</v>
      </c>
      <c r="H1608" s="104" t="s">
        <v>719</v>
      </c>
    </row>
    <row r="1609" customFormat="false" ht="15" hidden="false" customHeight="false" outlineLevel="0" collapsed="false">
      <c r="A1609" s="103" t="n">
        <v>46307</v>
      </c>
      <c r="B1609" s="104" t="s">
        <v>34</v>
      </c>
      <c r="C1609" s="104" t="s">
        <v>443</v>
      </c>
      <c r="D1609" s="105" t="n">
        <v>7.5833</v>
      </c>
      <c r="E1609" s="106" t="n">
        <v>54.4505</v>
      </c>
      <c r="F1609" s="107" t="n">
        <f aca="false">IF($C1609="","",$D1609*$E1609)</f>
        <v>412.91447665</v>
      </c>
      <c r="G1609" s="107" t="n">
        <f aca="false">IF($C1609="","",$D1609*IFERROR(INDEX('تحليل التكلفة والسعر'!$C$2:$C$700,MATCH($C1609,'تحليل التكلفة والسعر'!$B$2:$B$700,0)),0))</f>
        <v>552.94769445</v>
      </c>
      <c r="H1609" s="104" t="s">
        <v>719</v>
      </c>
    </row>
    <row r="1610" customFormat="false" ht="15" hidden="false" customHeight="false" outlineLevel="0" collapsed="false">
      <c r="A1610" s="103" t="n">
        <v>46296</v>
      </c>
      <c r="B1610" s="104" t="s">
        <v>34</v>
      </c>
      <c r="C1610" s="104" t="s">
        <v>495</v>
      </c>
      <c r="D1610" s="105" t="n">
        <v>0.0833</v>
      </c>
      <c r="E1610" s="106" t="n">
        <v>170</v>
      </c>
      <c r="F1610" s="107" t="n">
        <f aca="false">IF($C1610="","",$D1610*$E1610)</f>
        <v>14.161</v>
      </c>
      <c r="G1610" s="107" t="n">
        <f aca="false">IF($C1610="","",$D1610*IFERROR(INDEX('تحليل التكلفة والسعر'!$C$2:$C$700,MATCH($C1610,'تحليل التكلفة والسعر'!$B$2:$B$700,0)),0))</f>
        <v>6.45129345</v>
      </c>
      <c r="H1610" s="104" t="s">
        <v>719</v>
      </c>
    </row>
    <row r="1611" customFormat="false" ht="15" hidden="false" customHeight="false" outlineLevel="0" collapsed="false">
      <c r="A1611" s="103" t="n">
        <v>46297</v>
      </c>
      <c r="B1611" s="104" t="s">
        <v>34</v>
      </c>
      <c r="C1611" s="104" t="s">
        <v>495</v>
      </c>
      <c r="D1611" s="105" t="n">
        <v>0.0833</v>
      </c>
      <c r="E1611" s="106" t="n">
        <v>170</v>
      </c>
      <c r="F1611" s="107" t="n">
        <f aca="false">IF($C1611="","",$D1611*$E1611)</f>
        <v>14.161</v>
      </c>
      <c r="G1611" s="107" t="n">
        <f aca="false">IF($C1611="","",$D1611*IFERROR(INDEX('تحليل التكلفة والسعر'!$C$2:$C$700,MATCH($C1611,'تحليل التكلفة والسعر'!$B$2:$B$700,0)),0))</f>
        <v>6.45129345</v>
      </c>
      <c r="H1611" s="104" t="s">
        <v>719</v>
      </c>
    </row>
    <row r="1612" customFormat="false" ht="15" hidden="false" customHeight="false" outlineLevel="0" collapsed="false">
      <c r="A1612" s="103" t="n">
        <v>46298</v>
      </c>
      <c r="B1612" s="104" t="s">
        <v>34</v>
      </c>
      <c r="C1612" s="104" t="s">
        <v>495</v>
      </c>
      <c r="D1612" s="105" t="n">
        <v>0.0833</v>
      </c>
      <c r="E1612" s="106" t="n">
        <v>170</v>
      </c>
      <c r="F1612" s="107" t="n">
        <f aca="false">IF($C1612="","",$D1612*$E1612)</f>
        <v>14.161</v>
      </c>
      <c r="G1612" s="107" t="n">
        <f aca="false">IF($C1612="","",$D1612*IFERROR(INDEX('تحليل التكلفة والسعر'!$C$2:$C$700,MATCH($C1612,'تحليل التكلفة والسعر'!$B$2:$B$700,0)),0))</f>
        <v>6.45129345</v>
      </c>
      <c r="H1612" s="104" t="s">
        <v>719</v>
      </c>
    </row>
    <row r="1613" customFormat="false" ht="15" hidden="false" customHeight="false" outlineLevel="0" collapsed="false">
      <c r="A1613" s="103" t="n">
        <v>46299</v>
      </c>
      <c r="B1613" s="104" t="s">
        <v>34</v>
      </c>
      <c r="C1613" s="104" t="s">
        <v>495</v>
      </c>
      <c r="D1613" s="105" t="n">
        <v>0.0833</v>
      </c>
      <c r="E1613" s="106" t="n">
        <v>170</v>
      </c>
      <c r="F1613" s="107" t="n">
        <f aca="false">IF($C1613="","",$D1613*$E1613)</f>
        <v>14.161</v>
      </c>
      <c r="G1613" s="107" t="n">
        <f aca="false">IF($C1613="","",$D1613*IFERROR(INDEX('تحليل التكلفة والسعر'!$C$2:$C$700,MATCH($C1613,'تحليل التكلفة والسعر'!$B$2:$B$700,0)),0))</f>
        <v>6.45129345</v>
      </c>
      <c r="H1613" s="104" t="s">
        <v>719</v>
      </c>
    </row>
    <row r="1614" customFormat="false" ht="15" hidden="false" customHeight="false" outlineLevel="0" collapsed="false">
      <c r="A1614" s="103" t="n">
        <v>46300</v>
      </c>
      <c r="B1614" s="104" t="s">
        <v>34</v>
      </c>
      <c r="C1614" s="104" t="s">
        <v>495</v>
      </c>
      <c r="D1614" s="105" t="n">
        <v>0.0833</v>
      </c>
      <c r="E1614" s="106" t="n">
        <v>170</v>
      </c>
      <c r="F1614" s="107" t="n">
        <f aca="false">IF($C1614="","",$D1614*$E1614)</f>
        <v>14.161</v>
      </c>
      <c r="G1614" s="107" t="n">
        <f aca="false">IF($C1614="","",$D1614*IFERROR(INDEX('تحليل التكلفة والسعر'!$C$2:$C$700,MATCH($C1614,'تحليل التكلفة والسعر'!$B$2:$B$700,0)),0))</f>
        <v>6.45129345</v>
      </c>
      <c r="H1614" s="104" t="s">
        <v>719</v>
      </c>
    </row>
    <row r="1615" customFormat="false" ht="15" hidden="false" customHeight="false" outlineLevel="0" collapsed="false">
      <c r="A1615" s="103" t="n">
        <v>46301</v>
      </c>
      <c r="B1615" s="104" t="s">
        <v>34</v>
      </c>
      <c r="C1615" s="104" t="s">
        <v>495</v>
      </c>
      <c r="D1615" s="105" t="n">
        <v>0.0833</v>
      </c>
      <c r="E1615" s="106" t="n">
        <v>170</v>
      </c>
      <c r="F1615" s="107" t="n">
        <f aca="false">IF($C1615="","",$D1615*$E1615)</f>
        <v>14.161</v>
      </c>
      <c r="G1615" s="107" t="n">
        <f aca="false">IF($C1615="","",$D1615*IFERROR(INDEX('تحليل التكلفة والسعر'!$C$2:$C$700,MATCH($C1615,'تحليل التكلفة والسعر'!$B$2:$B$700,0)),0))</f>
        <v>6.45129345</v>
      </c>
      <c r="H1615" s="104" t="s">
        <v>719</v>
      </c>
    </row>
    <row r="1616" customFormat="false" ht="15" hidden="false" customHeight="false" outlineLevel="0" collapsed="false">
      <c r="A1616" s="103" t="n">
        <v>46302</v>
      </c>
      <c r="B1616" s="104" t="s">
        <v>34</v>
      </c>
      <c r="C1616" s="104" t="s">
        <v>495</v>
      </c>
      <c r="D1616" s="105" t="n">
        <v>0.0833</v>
      </c>
      <c r="E1616" s="106" t="n">
        <v>170</v>
      </c>
      <c r="F1616" s="107" t="n">
        <f aca="false">IF($C1616="","",$D1616*$E1616)</f>
        <v>14.161</v>
      </c>
      <c r="G1616" s="107" t="n">
        <f aca="false">IF($C1616="","",$D1616*IFERROR(INDEX('تحليل التكلفة والسعر'!$C$2:$C$700,MATCH($C1616,'تحليل التكلفة والسعر'!$B$2:$B$700,0)),0))</f>
        <v>6.45129345</v>
      </c>
      <c r="H1616" s="104" t="s">
        <v>719</v>
      </c>
    </row>
    <row r="1617" customFormat="false" ht="15" hidden="false" customHeight="false" outlineLevel="0" collapsed="false">
      <c r="A1617" s="103" t="n">
        <v>46303</v>
      </c>
      <c r="B1617" s="104" t="s">
        <v>34</v>
      </c>
      <c r="C1617" s="104" t="s">
        <v>495</v>
      </c>
      <c r="D1617" s="105" t="n">
        <v>0.0833</v>
      </c>
      <c r="E1617" s="106" t="n">
        <v>170</v>
      </c>
      <c r="F1617" s="107" t="n">
        <f aca="false">IF($C1617="","",$D1617*$E1617)</f>
        <v>14.161</v>
      </c>
      <c r="G1617" s="107" t="n">
        <f aca="false">IF($C1617="","",$D1617*IFERROR(INDEX('تحليل التكلفة والسعر'!$C$2:$C$700,MATCH($C1617,'تحليل التكلفة والسعر'!$B$2:$B$700,0)),0))</f>
        <v>6.45129345</v>
      </c>
      <c r="H1617" s="104" t="s">
        <v>719</v>
      </c>
    </row>
    <row r="1618" customFormat="false" ht="15" hidden="false" customHeight="false" outlineLevel="0" collapsed="false">
      <c r="A1618" s="103" t="n">
        <v>46304</v>
      </c>
      <c r="B1618" s="104" t="s">
        <v>34</v>
      </c>
      <c r="C1618" s="104" t="s">
        <v>495</v>
      </c>
      <c r="D1618" s="105" t="n">
        <v>0.0833</v>
      </c>
      <c r="E1618" s="106" t="n">
        <v>170</v>
      </c>
      <c r="F1618" s="107" t="n">
        <f aca="false">IF($C1618="","",$D1618*$E1618)</f>
        <v>14.161</v>
      </c>
      <c r="G1618" s="107" t="n">
        <f aca="false">IF($C1618="","",$D1618*IFERROR(INDEX('تحليل التكلفة والسعر'!$C$2:$C$700,MATCH($C1618,'تحليل التكلفة والسعر'!$B$2:$B$700,0)),0))</f>
        <v>6.45129345</v>
      </c>
      <c r="H1618" s="104" t="s">
        <v>719</v>
      </c>
    </row>
    <row r="1619" customFormat="false" ht="15" hidden="false" customHeight="false" outlineLevel="0" collapsed="false">
      <c r="A1619" s="103" t="n">
        <v>46305</v>
      </c>
      <c r="B1619" s="104" t="s">
        <v>34</v>
      </c>
      <c r="C1619" s="104" t="s">
        <v>495</v>
      </c>
      <c r="D1619" s="105" t="n">
        <v>0.0833</v>
      </c>
      <c r="E1619" s="106" t="n">
        <v>170</v>
      </c>
      <c r="F1619" s="107" t="n">
        <f aca="false">IF($C1619="","",$D1619*$E1619)</f>
        <v>14.161</v>
      </c>
      <c r="G1619" s="107" t="n">
        <f aca="false">IF($C1619="","",$D1619*IFERROR(INDEX('تحليل التكلفة والسعر'!$C$2:$C$700,MATCH($C1619,'تحليل التكلفة والسعر'!$B$2:$B$700,0)),0))</f>
        <v>6.45129345</v>
      </c>
      <c r="H1619" s="104" t="s">
        <v>719</v>
      </c>
    </row>
    <row r="1620" customFormat="false" ht="15" hidden="false" customHeight="false" outlineLevel="0" collapsed="false">
      <c r="A1620" s="103" t="n">
        <v>46306</v>
      </c>
      <c r="B1620" s="104" t="s">
        <v>34</v>
      </c>
      <c r="C1620" s="104" t="s">
        <v>495</v>
      </c>
      <c r="D1620" s="105" t="n">
        <v>0.0833</v>
      </c>
      <c r="E1620" s="106" t="n">
        <v>170</v>
      </c>
      <c r="F1620" s="107" t="n">
        <f aca="false">IF($C1620="","",$D1620*$E1620)</f>
        <v>14.161</v>
      </c>
      <c r="G1620" s="107" t="n">
        <f aca="false">IF($C1620="","",$D1620*IFERROR(INDEX('تحليل التكلفة والسعر'!$C$2:$C$700,MATCH($C1620,'تحليل التكلفة والسعر'!$B$2:$B$700,0)),0))</f>
        <v>6.45129345</v>
      </c>
      <c r="H1620" s="104" t="s">
        <v>719</v>
      </c>
    </row>
    <row r="1621" customFormat="false" ht="15" hidden="false" customHeight="false" outlineLevel="0" collapsed="false">
      <c r="A1621" s="103" t="n">
        <v>46307</v>
      </c>
      <c r="B1621" s="104" t="s">
        <v>34</v>
      </c>
      <c r="C1621" s="104" t="s">
        <v>495</v>
      </c>
      <c r="D1621" s="105" t="n">
        <v>0.0833</v>
      </c>
      <c r="E1621" s="106" t="n">
        <v>170</v>
      </c>
      <c r="F1621" s="107" t="n">
        <f aca="false">IF($C1621="","",$D1621*$E1621)</f>
        <v>14.161</v>
      </c>
      <c r="G1621" s="107" t="n">
        <f aca="false">IF($C1621="","",$D1621*IFERROR(INDEX('تحليل التكلفة والسعر'!$C$2:$C$700,MATCH($C1621,'تحليل التكلفة والسعر'!$B$2:$B$700,0)),0))</f>
        <v>6.45129345</v>
      </c>
      <c r="H1621" s="104" t="s">
        <v>719</v>
      </c>
    </row>
    <row r="1622" customFormat="false" ht="15" hidden="false" customHeight="false" outlineLevel="0" collapsed="false">
      <c r="A1622" s="103" t="n">
        <v>46296</v>
      </c>
      <c r="B1622" s="104" t="s">
        <v>34</v>
      </c>
      <c r="C1622" s="104" t="s">
        <v>465</v>
      </c>
      <c r="D1622" s="105" t="n">
        <v>0.25</v>
      </c>
      <c r="E1622" s="106" t="n">
        <v>360</v>
      </c>
      <c r="F1622" s="107" t="n">
        <f aca="false">IF($C1622="","",$D1622*$E1622)</f>
        <v>90</v>
      </c>
      <c r="G1622" s="107" t="n">
        <f aca="false">IF($C1622="","",$D1622*IFERROR(INDEX('تحليل التكلفة والسعر'!$C$2:$C$700,MATCH($C1622,'تحليل التكلفة والسعر'!$B$2:$B$700,0)),0))</f>
        <v>48.19775</v>
      </c>
      <c r="H1622" s="104" t="s">
        <v>719</v>
      </c>
    </row>
    <row r="1623" customFormat="false" ht="15" hidden="false" customHeight="false" outlineLevel="0" collapsed="false">
      <c r="A1623" s="103" t="n">
        <v>46297</v>
      </c>
      <c r="B1623" s="104" t="s">
        <v>34</v>
      </c>
      <c r="C1623" s="104" t="s">
        <v>465</v>
      </c>
      <c r="D1623" s="105" t="n">
        <v>0.25</v>
      </c>
      <c r="E1623" s="106" t="n">
        <v>360</v>
      </c>
      <c r="F1623" s="107" t="n">
        <f aca="false">IF($C1623="","",$D1623*$E1623)</f>
        <v>90</v>
      </c>
      <c r="G1623" s="107" t="n">
        <f aca="false">IF($C1623="","",$D1623*IFERROR(INDEX('تحليل التكلفة والسعر'!$C$2:$C$700,MATCH($C1623,'تحليل التكلفة والسعر'!$B$2:$B$700,0)),0))</f>
        <v>48.19775</v>
      </c>
      <c r="H1623" s="104" t="s">
        <v>719</v>
      </c>
    </row>
    <row r="1624" customFormat="false" ht="15" hidden="false" customHeight="false" outlineLevel="0" collapsed="false">
      <c r="A1624" s="103" t="n">
        <v>46298</v>
      </c>
      <c r="B1624" s="104" t="s">
        <v>34</v>
      </c>
      <c r="C1624" s="104" t="s">
        <v>465</v>
      </c>
      <c r="D1624" s="105" t="n">
        <v>0.25</v>
      </c>
      <c r="E1624" s="106" t="n">
        <v>360</v>
      </c>
      <c r="F1624" s="107" t="n">
        <f aca="false">IF($C1624="","",$D1624*$E1624)</f>
        <v>90</v>
      </c>
      <c r="G1624" s="107" t="n">
        <f aca="false">IF($C1624="","",$D1624*IFERROR(INDEX('تحليل التكلفة والسعر'!$C$2:$C$700,MATCH($C1624,'تحليل التكلفة والسعر'!$B$2:$B$700,0)),0))</f>
        <v>48.19775</v>
      </c>
      <c r="H1624" s="104" t="s">
        <v>719</v>
      </c>
    </row>
    <row r="1625" customFormat="false" ht="15" hidden="false" customHeight="false" outlineLevel="0" collapsed="false">
      <c r="A1625" s="103" t="n">
        <v>46299</v>
      </c>
      <c r="B1625" s="104" t="s">
        <v>34</v>
      </c>
      <c r="C1625" s="104" t="s">
        <v>465</v>
      </c>
      <c r="D1625" s="105" t="n">
        <v>0.25</v>
      </c>
      <c r="E1625" s="106" t="n">
        <v>360</v>
      </c>
      <c r="F1625" s="107" t="n">
        <f aca="false">IF($C1625="","",$D1625*$E1625)</f>
        <v>90</v>
      </c>
      <c r="G1625" s="107" t="n">
        <f aca="false">IF($C1625="","",$D1625*IFERROR(INDEX('تحليل التكلفة والسعر'!$C$2:$C$700,MATCH($C1625,'تحليل التكلفة والسعر'!$B$2:$B$700,0)),0))</f>
        <v>48.19775</v>
      </c>
      <c r="H1625" s="104" t="s">
        <v>719</v>
      </c>
    </row>
    <row r="1626" customFormat="false" ht="15" hidden="false" customHeight="false" outlineLevel="0" collapsed="false">
      <c r="A1626" s="103" t="n">
        <v>46300</v>
      </c>
      <c r="B1626" s="104" t="s">
        <v>34</v>
      </c>
      <c r="C1626" s="104" t="s">
        <v>465</v>
      </c>
      <c r="D1626" s="105" t="n">
        <v>0.25</v>
      </c>
      <c r="E1626" s="106" t="n">
        <v>360</v>
      </c>
      <c r="F1626" s="107" t="n">
        <f aca="false">IF($C1626="","",$D1626*$E1626)</f>
        <v>90</v>
      </c>
      <c r="G1626" s="107" t="n">
        <f aca="false">IF($C1626="","",$D1626*IFERROR(INDEX('تحليل التكلفة والسعر'!$C$2:$C$700,MATCH($C1626,'تحليل التكلفة والسعر'!$B$2:$B$700,0)),0))</f>
        <v>48.19775</v>
      </c>
      <c r="H1626" s="104" t="s">
        <v>719</v>
      </c>
    </row>
    <row r="1627" customFormat="false" ht="15" hidden="false" customHeight="false" outlineLevel="0" collapsed="false">
      <c r="A1627" s="103" t="n">
        <v>46301</v>
      </c>
      <c r="B1627" s="104" t="s">
        <v>34</v>
      </c>
      <c r="C1627" s="104" t="s">
        <v>465</v>
      </c>
      <c r="D1627" s="105" t="n">
        <v>0.25</v>
      </c>
      <c r="E1627" s="106" t="n">
        <v>360</v>
      </c>
      <c r="F1627" s="107" t="n">
        <f aca="false">IF($C1627="","",$D1627*$E1627)</f>
        <v>90</v>
      </c>
      <c r="G1627" s="107" t="n">
        <f aca="false">IF($C1627="","",$D1627*IFERROR(INDEX('تحليل التكلفة والسعر'!$C$2:$C$700,MATCH($C1627,'تحليل التكلفة والسعر'!$B$2:$B$700,0)),0))</f>
        <v>48.19775</v>
      </c>
      <c r="H1627" s="104" t="s">
        <v>719</v>
      </c>
    </row>
    <row r="1628" customFormat="false" ht="15" hidden="false" customHeight="false" outlineLevel="0" collapsed="false">
      <c r="A1628" s="103" t="n">
        <v>46302</v>
      </c>
      <c r="B1628" s="104" t="s">
        <v>34</v>
      </c>
      <c r="C1628" s="104" t="s">
        <v>465</v>
      </c>
      <c r="D1628" s="105" t="n">
        <v>0.25</v>
      </c>
      <c r="E1628" s="106" t="n">
        <v>360</v>
      </c>
      <c r="F1628" s="107" t="n">
        <f aca="false">IF($C1628="","",$D1628*$E1628)</f>
        <v>90</v>
      </c>
      <c r="G1628" s="107" t="n">
        <f aca="false">IF($C1628="","",$D1628*IFERROR(INDEX('تحليل التكلفة والسعر'!$C$2:$C$700,MATCH($C1628,'تحليل التكلفة والسعر'!$B$2:$B$700,0)),0))</f>
        <v>48.19775</v>
      </c>
      <c r="H1628" s="104" t="s">
        <v>719</v>
      </c>
    </row>
    <row r="1629" customFormat="false" ht="15" hidden="false" customHeight="false" outlineLevel="0" collapsed="false">
      <c r="A1629" s="103" t="n">
        <v>46303</v>
      </c>
      <c r="B1629" s="104" t="s">
        <v>34</v>
      </c>
      <c r="C1629" s="104" t="s">
        <v>465</v>
      </c>
      <c r="D1629" s="105" t="n">
        <v>0.25</v>
      </c>
      <c r="E1629" s="106" t="n">
        <v>360</v>
      </c>
      <c r="F1629" s="107" t="n">
        <f aca="false">IF($C1629="","",$D1629*$E1629)</f>
        <v>90</v>
      </c>
      <c r="G1629" s="107" t="n">
        <f aca="false">IF($C1629="","",$D1629*IFERROR(INDEX('تحليل التكلفة والسعر'!$C$2:$C$700,MATCH($C1629,'تحليل التكلفة والسعر'!$B$2:$B$700,0)),0))</f>
        <v>48.19775</v>
      </c>
      <c r="H1629" s="104" t="s">
        <v>719</v>
      </c>
    </row>
    <row r="1630" customFormat="false" ht="15" hidden="false" customHeight="false" outlineLevel="0" collapsed="false">
      <c r="A1630" s="103" t="n">
        <v>46304</v>
      </c>
      <c r="B1630" s="104" t="s">
        <v>34</v>
      </c>
      <c r="C1630" s="104" t="s">
        <v>465</v>
      </c>
      <c r="D1630" s="105" t="n">
        <v>0.25</v>
      </c>
      <c r="E1630" s="106" t="n">
        <v>360</v>
      </c>
      <c r="F1630" s="107" t="n">
        <f aca="false">IF($C1630="","",$D1630*$E1630)</f>
        <v>90</v>
      </c>
      <c r="G1630" s="107" t="n">
        <f aca="false">IF($C1630="","",$D1630*IFERROR(INDEX('تحليل التكلفة والسعر'!$C$2:$C$700,MATCH($C1630,'تحليل التكلفة والسعر'!$B$2:$B$700,0)),0))</f>
        <v>48.19775</v>
      </c>
      <c r="H1630" s="104" t="s">
        <v>719</v>
      </c>
    </row>
    <row r="1631" customFormat="false" ht="15" hidden="false" customHeight="false" outlineLevel="0" collapsed="false">
      <c r="A1631" s="103" t="n">
        <v>46305</v>
      </c>
      <c r="B1631" s="104" t="s">
        <v>34</v>
      </c>
      <c r="C1631" s="104" t="s">
        <v>465</v>
      </c>
      <c r="D1631" s="105" t="n">
        <v>0.25</v>
      </c>
      <c r="E1631" s="106" t="n">
        <v>360</v>
      </c>
      <c r="F1631" s="107" t="n">
        <f aca="false">IF($C1631="","",$D1631*$E1631)</f>
        <v>90</v>
      </c>
      <c r="G1631" s="107" t="n">
        <f aca="false">IF($C1631="","",$D1631*IFERROR(INDEX('تحليل التكلفة والسعر'!$C$2:$C$700,MATCH($C1631,'تحليل التكلفة والسعر'!$B$2:$B$700,0)),0))</f>
        <v>48.19775</v>
      </c>
      <c r="H1631" s="104" t="s">
        <v>719</v>
      </c>
    </row>
    <row r="1632" customFormat="false" ht="15" hidden="false" customHeight="false" outlineLevel="0" collapsed="false">
      <c r="A1632" s="103" t="n">
        <v>46306</v>
      </c>
      <c r="B1632" s="104" t="s">
        <v>34</v>
      </c>
      <c r="C1632" s="104" t="s">
        <v>465</v>
      </c>
      <c r="D1632" s="105" t="n">
        <v>0.25</v>
      </c>
      <c r="E1632" s="106" t="n">
        <v>360</v>
      </c>
      <c r="F1632" s="107" t="n">
        <f aca="false">IF($C1632="","",$D1632*$E1632)</f>
        <v>90</v>
      </c>
      <c r="G1632" s="107" t="n">
        <f aca="false">IF($C1632="","",$D1632*IFERROR(INDEX('تحليل التكلفة والسعر'!$C$2:$C$700,MATCH($C1632,'تحليل التكلفة والسعر'!$B$2:$B$700,0)),0))</f>
        <v>48.19775</v>
      </c>
      <c r="H1632" s="104" t="s">
        <v>719</v>
      </c>
    </row>
    <row r="1633" customFormat="false" ht="15" hidden="false" customHeight="false" outlineLevel="0" collapsed="false">
      <c r="A1633" s="103" t="n">
        <v>46307</v>
      </c>
      <c r="B1633" s="104" t="s">
        <v>34</v>
      </c>
      <c r="C1633" s="104" t="s">
        <v>465</v>
      </c>
      <c r="D1633" s="105" t="n">
        <v>0.25</v>
      </c>
      <c r="E1633" s="106" t="n">
        <v>360</v>
      </c>
      <c r="F1633" s="107" t="n">
        <f aca="false">IF($C1633="","",$D1633*$E1633)</f>
        <v>90</v>
      </c>
      <c r="G1633" s="107" t="n">
        <f aca="false">IF($C1633="","",$D1633*IFERROR(INDEX('تحليل التكلفة والسعر'!$C$2:$C$700,MATCH($C1633,'تحليل التكلفة والسعر'!$B$2:$B$700,0)),0))</f>
        <v>48.19775</v>
      </c>
      <c r="H1633" s="104" t="s">
        <v>719</v>
      </c>
    </row>
    <row r="1634" customFormat="false" ht="15" hidden="false" customHeight="false" outlineLevel="0" collapsed="false">
      <c r="A1634" s="103" t="n">
        <v>46296</v>
      </c>
      <c r="B1634" s="104" t="s">
        <v>34</v>
      </c>
      <c r="C1634" s="104" t="s">
        <v>528</v>
      </c>
      <c r="D1634" s="105" t="n">
        <v>0.25</v>
      </c>
      <c r="E1634" s="106" t="n">
        <v>260</v>
      </c>
      <c r="F1634" s="107" t="n">
        <f aca="false">IF($C1634="","",$D1634*$E1634)</f>
        <v>65</v>
      </c>
      <c r="G1634" s="107" t="n">
        <f aca="false">IF($C1634="","",$D1634*IFERROR(INDEX('تحليل التكلفة والسعر'!$C$2:$C$700,MATCH($C1634,'تحليل التكلفة والسعر'!$B$2:$B$700,0)),0))</f>
        <v>33.229125</v>
      </c>
      <c r="H1634" s="104" t="s">
        <v>719</v>
      </c>
    </row>
    <row r="1635" customFormat="false" ht="15" hidden="false" customHeight="false" outlineLevel="0" collapsed="false">
      <c r="A1635" s="103" t="n">
        <v>46297</v>
      </c>
      <c r="B1635" s="104" t="s">
        <v>34</v>
      </c>
      <c r="C1635" s="104" t="s">
        <v>528</v>
      </c>
      <c r="D1635" s="105" t="n">
        <v>0.25</v>
      </c>
      <c r="E1635" s="106" t="n">
        <v>260</v>
      </c>
      <c r="F1635" s="107" t="n">
        <f aca="false">IF($C1635="","",$D1635*$E1635)</f>
        <v>65</v>
      </c>
      <c r="G1635" s="107" t="n">
        <f aca="false">IF($C1635="","",$D1635*IFERROR(INDEX('تحليل التكلفة والسعر'!$C$2:$C$700,MATCH($C1635,'تحليل التكلفة والسعر'!$B$2:$B$700,0)),0))</f>
        <v>33.229125</v>
      </c>
      <c r="H1635" s="104" t="s">
        <v>719</v>
      </c>
    </row>
    <row r="1636" customFormat="false" ht="15" hidden="false" customHeight="false" outlineLevel="0" collapsed="false">
      <c r="A1636" s="103" t="n">
        <v>46298</v>
      </c>
      <c r="B1636" s="104" t="s">
        <v>34</v>
      </c>
      <c r="C1636" s="104" t="s">
        <v>528</v>
      </c>
      <c r="D1636" s="105" t="n">
        <v>0.25</v>
      </c>
      <c r="E1636" s="106" t="n">
        <v>260</v>
      </c>
      <c r="F1636" s="107" t="n">
        <f aca="false">IF($C1636="","",$D1636*$E1636)</f>
        <v>65</v>
      </c>
      <c r="G1636" s="107" t="n">
        <f aca="false">IF($C1636="","",$D1636*IFERROR(INDEX('تحليل التكلفة والسعر'!$C$2:$C$700,MATCH($C1636,'تحليل التكلفة والسعر'!$B$2:$B$700,0)),0))</f>
        <v>33.229125</v>
      </c>
      <c r="H1636" s="104" t="s">
        <v>719</v>
      </c>
    </row>
    <row r="1637" customFormat="false" ht="15" hidden="false" customHeight="false" outlineLevel="0" collapsed="false">
      <c r="A1637" s="103" t="n">
        <v>46299</v>
      </c>
      <c r="B1637" s="104" t="s">
        <v>34</v>
      </c>
      <c r="C1637" s="104" t="s">
        <v>528</v>
      </c>
      <c r="D1637" s="105" t="n">
        <v>0.25</v>
      </c>
      <c r="E1637" s="106" t="n">
        <v>260</v>
      </c>
      <c r="F1637" s="107" t="n">
        <f aca="false">IF($C1637="","",$D1637*$E1637)</f>
        <v>65</v>
      </c>
      <c r="G1637" s="107" t="n">
        <f aca="false">IF($C1637="","",$D1637*IFERROR(INDEX('تحليل التكلفة والسعر'!$C$2:$C$700,MATCH($C1637,'تحليل التكلفة والسعر'!$B$2:$B$700,0)),0))</f>
        <v>33.229125</v>
      </c>
      <c r="H1637" s="104" t="s">
        <v>719</v>
      </c>
    </row>
    <row r="1638" customFormat="false" ht="15" hidden="false" customHeight="false" outlineLevel="0" collapsed="false">
      <c r="A1638" s="103" t="n">
        <v>46300</v>
      </c>
      <c r="B1638" s="104" t="s">
        <v>34</v>
      </c>
      <c r="C1638" s="104" t="s">
        <v>528</v>
      </c>
      <c r="D1638" s="105" t="n">
        <v>0.25</v>
      </c>
      <c r="E1638" s="106" t="n">
        <v>260</v>
      </c>
      <c r="F1638" s="107" t="n">
        <f aca="false">IF($C1638="","",$D1638*$E1638)</f>
        <v>65</v>
      </c>
      <c r="G1638" s="107" t="n">
        <f aca="false">IF($C1638="","",$D1638*IFERROR(INDEX('تحليل التكلفة والسعر'!$C$2:$C$700,MATCH($C1638,'تحليل التكلفة والسعر'!$B$2:$B$700,0)),0))</f>
        <v>33.229125</v>
      </c>
      <c r="H1638" s="104" t="s">
        <v>719</v>
      </c>
    </row>
    <row r="1639" customFormat="false" ht="15" hidden="false" customHeight="false" outlineLevel="0" collapsed="false">
      <c r="A1639" s="103" t="n">
        <v>46301</v>
      </c>
      <c r="B1639" s="104" t="s">
        <v>34</v>
      </c>
      <c r="C1639" s="104" t="s">
        <v>528</v>
      </c>
      <c r="D1639" s="105" t="n">
        <v>0.25</v>
      </c>
      <c r="E1639" s="106" t="n">
        <v>260</v>
      </c>
      <c r="F1639" s="107" t="n">
        <f aca="false">IF($C1639="","",$D1639*$E1639)</f>
        <v>65</v>
      </c>
      <c r="G1639" s="107" t="n">
        <f aca="false">IF($C1639="","",$D1639*IFERROR(INDEX('تحليل التكلفة والسعر'!$C$2:$C$700,MATCH($C1639,'تحليل التكلفة والسعر'!$B$2:$B$700,0)),0))</f>
        <v>33.229125</v>
      </c>
      <c r="H1639" s="104" t="s">
        <v>719</v>
      </c>
    </row>
    <row r="1640" customFormat="false" ht="15" hidden="false" customHeight="false" outlineLevel="0" collapsed="false">
      <c r="A1640" s="103" t="n">
        <v>46302</v>
      </c>
      <c r="B1640" s="104" t="s">
        <v>34</v>
      </c>
      <c r="C1640" s="104" t="s">
        <v>528</v>
      </c>
      <c r="D1640" s="105" t="n">
        <v>0.25</v>
      </c>
      <c r="E1640" s="106" t="n">
        <v>260</v>
      </c>
      <c r="F1640" s="107" t="n">
        <f aca="false">IF($C1640="","",$D1640*$E1640)</f>
        <v>65</v>
      </c>
      <c r="G1640" s="107" t="n">
        <f aca="false">IF($C1640="","",$D1640*IFERROR(INDEX('تحليل التكلفة والسعر'!$C$2:$C$700,MATCH($C1640,'تحليل التكلفة والسعر'!$B$2:$B$700,0)),0))</f>
        <v>33.229125</v>
      </c>
      <c r="H1640" s="104" t="s">
        <v>719</v>
      </c>
    </row>
    <row r="1641" customFormat="false" ht="15" hidden="false" customHeight="false" outlineLevel="0" collapsed="false">
      <c r="A1641" s="103" t="n">
        <v>46303</v>
      </c>
      <c r="B1641" s="104" t="s">
        <v>34</v>
      </c>
      <c r="C1641" s="104" t="s">
        <v>528</v>
      </c>
      <c r="D1641" s="105" t="n">
        <v>0.25</v>
      </c>
      <c r="E1641" s="106" t="n">
        <v>260</v>
      </c>
      <c r="F1641" s="107" t="n">
        <f aca="false">IF($C1641="","",$D1641*$E1641)</f>
        <v>65</v>
      </c>
      <c r="G1641" s="107" t="n">
        <f aca="false">IF($C1641="","",$D1641*IFERROR(INDEX('تحليل التكلفة والسعر'!$C$2:$C$700,MATCH($C1641,'تحليل التكلفة والسعر'!$B$2:$B$700,0)),0))</f>
        <v>33.229125</v>
      </c>
      <c r="H1641" s="104" t="s">
        <v>719</v>
      </c>
    </row>
    <row r="1642" customFormat="false" ht="15" hidden="false" customHeight="false" outlineLevel="0" collapsed="false">
      <c r="A1642" s="103" t="n">
        <v>46304</v>
      </c>
      <c r="B1642" s="104" t="s">
        <v>34</v>
      </c>
      <c r="C1642" s="104" t="s">
        <v>528</v>
      </c>
      <c r="D1642" s="105" t="n">
        <v>0.25</v>
      </c>
      <c r="E1642" s="106" t="n">
        <v>260</v>
      </c>
      <c r="F1642" s="107" t="n">
        <f aca="false">IF($C1642="","",$D1642*$E1642)</f>
        <v>65</v>
      </c>
      <c r="G1642" s="107" t="n">
        <f aca="false">IF($C1642="","",$D1642*IFERROR(INDEX('تحليل التكلفة والسعر'!$C$2:$C$700,MATCH($C1642,'تحليل التكلفة والسعر'!$B$2:$B$700,0)),0))</f>
        <v>33.229125</v>
      </c>
      <c r="H1642" s="104" t="s">
        <v>719</v>
      </c>
    </row>
    <row r="1643" customFormat="false" ht="15" hidden="false" customHeight="false" outlineLevel="0" collapsed="false">
      <c r="A1643" s="103" t="n">
        <v>46305</v>
      </c>
      <c r="B1643" s="104" t="s">
        <v>34</v>
      </c>
      <c r="C1643" s="104" t="s">
        <v>528</v>
      </c>
      <c r="D1643" s="105" t="n">
        <v>0.25</v>
      </c>
      <c r="E1643" s="106" t="n">
        <v>260</v>
      </c>
      <c r="F1643" s="107" t="n">
        <f aca="false">IF($C1643="","",$D1643*$E1643)</f>
        <v>65</v>
      </c>
      <c r="G1643" s="107" t="n">
        <f aca="false">IF($C1643="","",$D1643*IFERROR(INDEX('تحليل التكلفة والسعر'!$C$2:$C$700,MATCH($C1643,'تحليل التكلفة والسعر'!$B$2:$B$700,0)),0))</f>
        <v>33.229125</v>
      </c>
      <c r="H1643" s="104" t="s">
        <v>719</v>
      </c>
    </row>
    <row r="1644" customFormat="false" ht="15" hidden="false" customHeight="false" outlineLevel="0" collapsed="false">
      <c r="A1644" s="103" t="n">
        <v>46306</v>
      </c>
      <c r="B1644" s="104" t="s">
        <v>34</v>
      </c>
      <c r="C1644" s="104" t="s">
        <v>528</v>
      </c>
      <c r="D1644" s="105" t="n">
        <v>0.25</v>
      </c>
      <c r="E1644" s="106" t="n">
        <v>260</v>
      </c>
      <c r="F1644" s="107" t="n">
        <f aca="false">IF($C1644="","",$D1644*$E1644)</f>
        <v>65</v>
      </c>
      <c r="G1644" s="107" t="n">
        <f aca="false">IF($C1644="","",$D1644*IFERROR(INDEX('تحليل التكلفة والسعر'!$C$2:$C$700,MATCH($C1644,'تحليل التكلفة والسعر'!$B$2:$B$700,0)),0))</f>
        <v>33.229125</v>
      </c>
      <c r="H1644" s="104" t="s">
        <v>719</v>
      </c>
    </row>
    <row r="1645" customFormat="false" ht="15" hidden="false" customHeight="false" outlineLevel="0" collapsed="false">
      <c r="A1645" s="103" t="n">
        <v>46307</v>
      </c>
      <c r="B1645" s="104" t="s">
        <v>34</v>
      </c>
      <c r="C1645" s="104" t="s">
        <v>528</v>
      </c>
      <c r="D1645" s="105" t="n">
        <v>0.25</v>
      </c>
      <c r="E1645" s="106" t="n">
        <v>260</v>
      </c>
      <c r="F1645" s="107" t="n">
        <f aca="false">IF($C1645="","",$D1645*$E1645)</f>
        <v>65</v>
      </c>
      <c r="G1645" s="107" t="n">
        <f aca="false">IF($C1645="","",$D1645*IFERROR(INDEX('تحليل التكلفة والسعر'!$C$2:$C$700,MATCH($C1645,'تحليل التكلفة والسعر'!$B$2:$B$700,0)),0))</f>
        <v>33.229125</v>
      </c>
      <c r="H1645" s="104" t="s">
        <v>719</v>
      </c>
    </row>
    <row r="1646" customFormat="false" ht="15" hidden="false" customHeight="false" outlineLevel="0" collapsed="false">
      <c r="A1646" s="103" t="n">
        <v>46296</v>
      </c>
      <c r="B1646" s="104" t="s">
        <v>34</v>
      </c>
      <c r="C1646" s="104" t="s">
        <v>743</v>
      </c>
      <c r="D1646" s="105" t="n">
        <v>0.3333</v>
      </c>
      <c r="E1646" s="106" t="n">
        <v>200</v>
      </c>
      <c r="F1646" s="107" t="n">
        <f aca="false">IF($C1646="","",$D1646*$E1646)</f>
        <v>66.66</v>
      </c>
      <c r="G1646" s="107" t="n">
        <f aca="false">IF($C1646="","",$D1646*IFERROR(INDEX('تحليل التكلفة والسعر'!$C$2:$C$700,MATCH($C1646,'تحليل التكلفة والسعر'!$B$2:$B$700,0)),0))</f>
        <v>30.24604176</v>
      </c>
      <c r="H1646" s="104" t="s">
        <v>719</v>
      </c>
    </row>
    <row r="1647" customFormat="false" ht="15" hidden="false" customHeight="false" outlineLevel="0" collapsed="false">
      <c r="A1647" s="103" t="n">
        <v>46297</v>
      </c>
      <c r="B1647" s="104" t="s">
        <v>34</v>
      </c>
      <c r="C1647" s="104" t="s">
        <v>743</v>
      </c>
      <c r="D1647" s="105" t="n">
        <v>0.3333</v>
      </c>
      <c r="E1647" s="106" t="n">
        <v>200</v>
      </c>
      <c r="F1647" s="107" t="n">
        <f aca="false">IF($C1647="","",$D1647*$E1647)</f>
        <v>66.66</v>
      </c>
      <c r="G1647" s="107" t="n">
        <f aca="false">IF($C1647="","",$D1647*IFERROR(INDEX('تحليل التكلفة والسعر'!$C$2:$C$700,MATCH($C1647,'تحليل التكلفة والسعر'!$B$2:$B$700,0)),0))</f>
        <v>30.24604176</v>
      </c>
      <c r="H1647" s="104" t="s">
        <v>719</v>
      </c>
    </row>
    <row r="1648" customFormat="false" ht="15" hidden="false" customHeight="false" outlineLevel="0" collapsed="false">
      <c r="A1648" s="103" t="n">
        <v>46298</v>
      </c>
      <c r="B1648" s="104" t="s">
        <v>34</v>
      </c>
      <c r="C1648" s="104" t="s">
        <v>743</v>
      </c>
      <c r="D1648" s="105" t="n">
        <v>0.3333</v>
      </c>
      <c r="E1648" s="106" t="n">
        <v>200</v>
      </c>
      <c r="F1648" s="107" t="n">
        <f aca="false">IF($C1648="","",$D1648*$E1648)</f>
        <v>66.66</v>
      </c>
      <c r="G1648" s="107" t="n">
        <f aca="false">IF($C1648="","",$D1648*IFERROR(INDEX('تحليل التكلفة والسعر'!$C$2:$C$700,MATCH($C1648,'تحليل التكلفة والسعر'!$B$2:$B$700,0)),0))</f>
        <v>30.24604176</v>
      </c>
      <c r="H1648" s="104" t="s">
        <v>719</v>
      </c>
    </row>
    <row r="1649" customFormat="false" ht="15" hidden="false" customHeight="false" outlineLevel="0" collapsed="false">
      <c r="A1649" s="103" t="n">
        <v>46299</v>
      </c>
      <c r="B1649" s="104" t="s">
        <v>34</v>
      </c>
      <c r="C1649" s="104" t="s">
        <v>743</v>
      </c>
      <c r="D1649" s="105" t="n">
        <v>0.3333</v>
      </c>
      <c r="E1649" s="106" t="n">
        <v>200</v>
      </c>
      <c r="F1649" s="107" t="n">
        <f aca="false">IF($C1649="","",$D1649*$E1649)</f>
        <v>66.66</v>
      </c>
      <c r="G1649" s="107" t="n">
        <f aca="false">IF($C1649="","",$D1649*IFERROR(INDEX('تحليل التكلفة والسعر'!$C$2:$C$700,MATCH($C1649,'تحليل التكلفة والسعر'!$B$2:$B$700,0)),0))</f>
        <v>30.24604176</v>
      </c>
      <c r="H1649" s="104" t="s">
        <v>719</v>
      </c>
    </row>
    <row r="1650" customFormat="false" ht="15" hidden="false" customHeight="false" outlineLevel="0" collapsed="false">
      <c r="A1650" s="103" t="n">
        <v>46300</v>
      </c>
      <c r="B1650" s="104" t="s">
        <v>34</v>
      </c>
      <c r="C1650" s="104" t="s">
        <v>743</v>
      </c>
      <c r="D1650" s="105" t="n">
        <v>0.3333</v>
      </c>
      <c r="E1650" s="106" t="n">
        <v>200</v>
      </c>
      <c r="F1650" s="107" t="n">
        <f aca="false">IF($C1650="","",$D1650*$E1650)</f>
        <v>66.66</v>
      </c>
      <c r="G1650" s="107" t="n">
        <f aca="false">IF($C1650="","",$D1650*IFERROR(INDEX('تحليل التكلفة والسعر'!$C$2:$C$700,MATCH($C1650,'تحليل التكلفة والسعر'!$B$2:$B$700,0)),0))</f>
        <v>30.24604176</v>
      </c>
      <c r="H1650" s="104" t="s">
        <v>719</v>
      </c>
    </row>
    <row r="1651" customFormat="false" ht="15" hidden="false" customHeight="false" outlineLevel="0" collapsed="false">
      <c r="A1651" s="103" t="n">
        <v>46301</v>
      </c>
      <c r="B1651" s="104" t="s">
        <v>34</v>
      </c>
      <c r="C1651" s="104" t="s">
        <v>743</v>
      </c>
      <c r="D1651" s="105" t="n">
        <v>0.3333</v>
      </c>
      <c r="E1651" s="106" t="n">
        <v>200</v>
      </c>
      <c r="F1651" s="107" t="n">
        <f aca="false">IF($C1651="","",$D1651*$E1651)</f>
        <v>66.66</v>
      </c>
      <c r="G1651" s="107" t="n">
        <f aca="false">IF($C1651="","",$D1651*IFERROR(INDEX('تحليل التكلفة والسعر'!$C$2:$C$700,MATCH($C1651,'تحليل التكلفة والسعر'!$B$2:$B$700,0)),0))</f>
        <v>30.24604176</v>
      </c>
      <c r="H1651" s="104" t="s">
        <v>719</v>
      </c>
    </row>
    <row r="1652" customFormat="false" ht="15" hidden="false" customHeight="false" outlineLevel="0" collapsed="false">
      <c r="A1652" s="103" t="n">
        <v>46302</v>
      </c>
      <c r="B1652" s="104" t="s">
        <v>34</v>
      </c>
      <c r="C1652" s="104" t="s">
        <v>743</v>
      </c>
      <c r="D1652" s="105" t="n">
        <v>0.3333</v>
      </c>
      <c r="E1652" s="106" t="n">
        <v>200</v>
      </c>
      <c r="F1652" s="107" t="n">
        <f aca="false">IF($C1652="","",$D1652*$E1652)</f>
        <v>66.66</v>
      </c>
      <c r="G1652" s="107" t="n">
        <f aca="false">IF($C1652="","",$D1652*IFERROR(INDEX('تحليل التكلفة والسعر'!$C$2:$C$700,MATCH($C1652,'تحليل التكلفة والسعر'!$B$2:$B$700,0)),0))</f>
        <v>30.24604176</v>
      </c>
      <c r="H1652" s="104" t="s">
        <v>719</v>
      </c>
    </row>
    <row r="1653" customFormat="false" ht="15" hidden="false" customHeight="false" outlineLevel="0" collapsed="false">
      <c r="A1653" s="103" t="n">
        <v>46303</v>
      </c>
      <c r="B1653" s="104" t="s">
        <v>34</v>
      </c>
      <c r="C1653" s="104" t="s">
        <v>743</v>
      </c>
      <c r="D1653" s="105" t="n">
        <v>0.3333</v>
      </c>
      <c r="E1653" s="106" t="n">
        <v>200</v>
      </c>
      <c r="F1653" s="107" t="n">
        <f aca="false">IF($C1653="","",$D1653*$E1653)</f>
        <v>66.66</v>
      </c>
      <c r="G1653" s="107" t="n">
        <f aca="false">IF($C1653="","",$D1653*IFERROR(INDEX('تحليل التكلفة والسعر'!$C$2:$C$700,MATCH($C1653,'تحليل التكلفة والسعر'!$B$2:$B$700,0)),0))</f>
        <v>30.24604176</v>
      </c>
      <c r="H1653" s="104" t="s">
        <v>719</v>
      </c>
    </row>
    <row r="1654" customFormat="false" ht="15" hidden="false" customHeight="false" outlineLevel="0" collapsed="false">
      <c r="A1654" s="103" t="n">
        <v>46304</v>
      </c>
      <c r="B1654" s="104" t="s">
        <v>34</v>
      </c>
      <c r="C1654" s="104" t="s">
        <v>743</v>
      </c>
      <c r="D1654" s="105" t="n">
        <v>0.3333</v>
      </c>
      <c r="E1654" s="106" t="n">
        <v>200</v>
      </c>
      <c r="F1654" s="107" t="n">
        <f aca="false">IF($C1654="","",$D1654*$E1654)</f>
        <v>66.66</v>
      </c>
      <c r="G1654" s="107" t="n">
        <f aca="false">IF($C1654="","",$D1654*IFERROR(INDEX('تحليل التكلفة والسعر'!$C$2:$C$700,MATCH($C1654,'تحليل التكلفة والسعر'!$B$2:$B$700,0)),0))</f>
        <v>30.24604176</v>
      </c>
      <c r="H1654" s="104" t="s">
        <v>719</v>
      </c>
    </row>
    <row r="1655" customFormat="false" ht="15" hidden="false" customHeight="false" outlineLevel="0" collapsed="false">
      <c r="A1655" s="103" t="n">
        <v>46305</v>
      </c>
      <c r="B1655" s="104" t="s">
        <v>34</v>
      </c>
      <c r="C1655" s="104" t="s">
        <v>743</v>
      </c>
      <c r="D1655" s="105" t="n">
        <v>0.3333</v>
      </c>
      <c r="E1655" s="106" t="n">
        <v>200</v>
      </c>
      <c r="F1655" s="107" t="n">
        <f aca="false">IF($C1655="","",$D1655*$E1655)</f>
        <v>66.66</v>
      </c>
      <c r="G1655" s="107" t="n">
        <f aca="false">IF($C1655="","",$D1655*IFERROR(INDEX('تحليل التكلفة والسعر'!$C$2:$C$700,MATCH($C1655,'تحليل التكلفة والسعر'!$B$2:$B$700,0)),0))</f>
        <v>30.24604176</v>
      </c>
      <c r="H1655" s="104" t="s">
        <v>719</v>
      </c>
    </row>
    <row r="1656" customFormat="false" ht="15" hidden="false" customHeight="false" outlineLevel="0" collapsed="false">
      <c r="A1656" s="103" t="n">
        <v>46306</v>
      </c>
      <c r="B1656" s="104" t="s">
        <v>34</v>
      </c>
      <c r="C1656" s="104" t="s">
        <v>743</v>
      </c>
      <c r="D1656" s="105" t="n">
        <v>0.3333</v>
      </c>
      <c r="E1656" s="106" t="n">
        <v>200</v>
      </c>
      <c r="F1656" s="107" t="n">
        <f aca="false">IF($C1656="","",$D1656*$E1656)</f>
        <v>66.66</v>
      </c>
      <c r="G1656" s="107" t="n">
        <f aca="false">IF($C1656="","",$D1656*IFERROR(INDEX('تحليل التكلفة والسعر'!$C$2:$C$700,MATCH($C1656,'تحليل التكلفة والسعر'!$B$2:$B$700,0)),0))</f>
        <v>30.24604176</v>
      </c>
      <c r="H1656" s="104" t="s">
        <v>719</v>
      </c>
    </row>
    <row r="1657" customFormat="false" ht="15" hidden="false" customHeight="false" outlineLevel="0" collapsed="false">
      <c r="A1657" s="103" t="n">
        <v>46307</v>
      </c>
      <c r="B1657" s="104" t="s">
        <v>34</v>
      </c>
      <c r="C1657" s="104" t="s">
        <v>743</v>
      </c>
      <c r="D1657" s="105" t="n">
        <v>0.3333</v>
      </c>
      <c r="E1657" s="106" t="n">
        <v>200</v>
      </c>
      <c r="F1657" s="107" t="n">
        <f aca="false">IF($C1657="","",$D1657*$E1657)</f>
        <v>66.66</v>
      </c>
      <c r="G1657" s="107" t="n">
        <f aca="false">IF($C1657="","",$D1657*IFERROR(INDEX('تحليل التكلفة والسعر'!$C$2:$C$700,MATCH($C1657,'تحليل التكلفة والسعر'!$B$2:$B$700,0)),0))</f>
        <v>30.24604176</v>
      </c>
      <c r="H1657" s="104" t="s">
        <v>719</v>
      </c>
    </row>
    <row r="1658" customFormat="false" ht="15" hidden="false" customHeight="false" outlineLevel="0" collapsed="false">
      <c r="A1658" s="103" t="n">
        <v>46296</v>
      </c>
      <c r="B1658" s="104" t="s">
        <v>34</v>
      </c>
      <c r="C1658" s="104" t="s">
        <v>744</v>
      </c>
      <c r="D1658" s="105" t="n">
        <v>2.5</v>
      </c>
      <c r="E1658" s="106" t="n">
        <v>24.3333</v>
      </c>
      <c r="F1658" s="107" t="n">
        <f aca="false">IF($C1658="","",$D1658*$E1658)</f>
        <v>60.83325</v>
      </c>
      <c r="G1658" s="107" t="n">
        <f aca="false">IF($C1658="","",$D1658*IFERROR(INDEX('تحليل التكلفة والسعر'!$C$2:$C$700,MATCH($C1658,'تحليل التكلفة والسعر'!$B$2:$B$700,0)),0))</f>
        <v>162.21825</v>
      </c>
      <c r="H1658" s="104" t="s">
        <v>719</v>
      </c>
    </row>
    <row r="1659" customFormat="false" ht="15" hidden="false" customHeight="false" outlineLevel="0" collapsed="false">
      <c r="A1659" s="103" t="n">
        <v>46297</v>
      </c>
      <c r="B1659" s="104" t="s">
        <v>34</v>
      </c>
      <c r="C1659" s="104" t="s">
        <v>744</v>
      </c>
      <c r="D1659" s="105" t="n">
        <v>2.5</v>
      </c>
      <c r="E1659" s="106" t="n">
        <v>24.3333</v>
      </c>
      <c r="F1659" s="107" t="n">
        <f aca="false">IF($C1659="","",$D1659*$E1659)</f>
        <v>60.83325</v>
      </c>
      <c r="G1659" s="107" t="n">
        <f aca="false">IF($C1659="","",$D1659*IFERROR(INDEX('تحليل التكلفة والسعر'!$C$2:$C$700,MATCH($C1659,'تحليل التكلفة والسعر'!$B$2:$B$700,0)),0))</f>
        <v>162.21825</v>
      </c>
      <c r="H1659" s="104" t="s">
        <v>719</v>
      </c>
    </row>
    <row r="1660" customFormat="false" ht="15" hidden="false" customHeight="false" outlineLevel="0" collapsed="false">
      <c r="A1660" s="103" t="n">
        <v>46298</v>
      </c>
      <c r="B1660" s="104" t="s">
        <v>34</v>
      </c>
      <c r="C1660" s="104" t="s">
        <v>744</v>
      </c>
      <c r="D1660" s="105" t="n">
        <v>2.5</v>
      </c>
      <c r="E1660" s="106" t="n">
        <v>24.3333</v>
      </c>
      <c r="F1660" s="107" t="n">
        <f aca="false">IF($C1660="","",$D1660*$E1660)</f>
        <v>60.83325</v>
      </c>
      <c r="G1660" s="107" t="n">
        <f aca="false">IF($C1660="","",$D1660*IFERROR(INDEX('تحليل التكلفة والسعر'!$C$2:$C$700,MATCH($C1660,'تحليل التكلفة والسعر'!$B$2:$B$700,0)),0))</f>
        <v>162.21825</v>
      </c>
      <c r="H1660" s="104" t="s">
        <v>719</v>
      </c>
    </row>
    <row r="1661" customFormat="false" ht="15" hidden="false" customHeight="false" outlineLevel="0" collapsed="false">
      <c r="A1661" s="103" t="n">
        <v>46299</v>
      </c>
      <c r="B1661" s="104" t="s">
        <v>34</v>
      </c>
      <c r="C1661" s="104" t="s">
        <v>744</v>
      </c>
      <c r="D1661" s="105" t="n">
        <v>2.5</v>
      </c>
      <c r="E1661" s="106" t="n">
        <v>24.3333</v>
      </c>
      <c r="F1661" s="107" t="n">
        <f aca="false">IF($C1661="","",$D1661*$E1661)</f>
        <v>60.83325</v>
      </c>
      <c r="G1661" s="107" t="n">
        <f aca="false">IF($C1661="","",$D1661*IFERROR(INDEX('تحليل التكلفة والسعر'!$C$2:$C$700,MATCH($C1661,'تحليل التكلفة والسعر'!$B$2:$B$700,0)),0))</f>
        <v>162.21825</v>
      </c>
      <c r="H1661" s="104" t="s">
        <v>719</v>
      </c>
    </row>
    <row r="1662" customFormat="false" ht="15" hidden="false" customHeight="false" outlineLevel="0" collapsed="false">
      <c r="A1662" s="103" t="n">
        <v>46300</v>
      </c>
      <c r="B1662" s="104" t="s">
        <v>34</v>
      </c>
      <c r="C1662" s="104" t="s">
        <v>744</v>
      </c>
      <c r="D1662" s="105" t="n">
        <v>2.5</v>
      </c>
      <c r="E1662" s="106" t="n">
        <v>24.3333</v>
      </c>
      <c r="F1662" s="107" t="n">
        <f aca="false">IF($C1662="","",$D1662*$E1662)</f>
        <v>60.83325</v>
      </c>
      <c r="G1662" s="107" t="n">
        <f aca="false">IF($C1662="","",$D1662*IFERROR(INDEX('تحليل التكلفة والسعر'!$C$2:$C$700,MATCH($C1662,'تحليل التكلفة والسعر'!$B$2:$B$700,0)),0))</f>
        <v>162.21825</v>
      </c>
      <c r="H1662" s="104" t="s">
        <v>719</v>
      </c>
    </row>
    <row r="1663" customFormat="false" ht="15" hidden="false" customHeight="false" outlineLevel="0" collapsed="false">
      <c r="A1663" s="103" t="n">
        <v>46301</v>
      </c>
      <c r="B1663" s="104" t="s">
        <v>34</v>
      </c>
      <c r="C1663" s="104" t="s">
        <v>744</v>
      </c>
      <c r="D1663" s="105" t="n">
        <v>2.5</v>
      </c>
      <c r="E1663" s="106" t="n">
        <v>24.3333</v>
      </c>
      <c r="F1663" s="107" t="n">
        <f aca="false">IF($C1663="","",$D1663*$E1663)</f>
        <v>60.83325</v>
      </c>
      <c r="G1663" s="107" t="n">
        <f aca="false">IF($C1663="","",$D1663*IFERROR(INDEX('تحليل التكلفة والسعر'!$C$2:$C$700,MATCH($C1663,'تحليل التكلفة والسعر'!$B$2:$B$700,0)),0))</f>
        <v>162.21825</v>
      </c>
      <c r="H1663" s="104" t="s">
        <v>719</v>
      </c>
    </row>
    <row r="1664" customFormat="false" ht="15" hidden="false" customHeight="false" outlineLevel="0" collapsed="false">
      <c r="A1664" s="103" t="n">
        <v>46302</v>
      </c>
      <c r="B1664" s="104" t="s">
        <v>34</v>
      </c>
      <c r="C1664" s="104" t="s">
        <v>744</v>
      </c>
      <c r="D1664" s="105" t="n">
        <v>2.5</v>
      </c>
      <c r="E1664" s="106" t="n">
        <v>24.3333</v>
      </c>
      <c r="F1664" s="107" t="n">
        <f aca="false">IF($C1664="","",$D1664*$E1664)</f>
        <v>60.83325</v>
      </c>
      <c r="G1664" s="107" t="n">
        <f aca="false">IF($C1664="","",$D1664*IFERROR(INDEX('تحليل التكلفة والسعر'!$C$2:$C$700,MATCH($C1664,'تحليل التكلفة والسعر'!$B$2:$B$700,0)),0))</f>
        <v>162.21825</v>
      </c>
      <c r="H1664" s="104" t="s">
        <v>719</v>
      </c>
    </row>
    <row r="1665" customFormat="false" ht="15" hidden="false" customHeight="false" outlineLevel="0" collapsed="false">
      <c r="A1665" s="103" t="n">
        <v>46303</v>
      </c>
      <c r="B1665" s="104" t="s">
        <v>34</v>
      </c>
      <c r="C1665" s="104" t="s">
        <v>744</v>
      </c>
      <c r="D1665" s="105" t="n">
        <v>2.5</v>
      </c>
      <c r="E1665" s="106" t="n">
        <v>24.3333</v>
      </c>
      <c r="F1665" s="107" t="n">
        <f aca="false">IF($C1665="","",$D1665*$E1665)</f>
        <v>60.83325</v>
      </c>
      <c r="G1665" s="107" t="n">
        <f aca="false">IF($C1665="","",$D1665*IFERROR(INDEX('تحليل التكلفة والسعر'!$C$2:$C$700,MATCH($C1665,'تحليل التكلفة والسعر'!$B$2:$B$700,0)),0))</f>
        <v>162.21825</v>
      </c>
      <c r="H1665" s="104" t="s">
        <v>719</v>
      </c>
    </row>
    <row r="1666" customFormat="false" ht="15" hidden="false" customHeight="false" outlineLevel="0" collapsed="false">
      <c r="A1666" s="103" t="n">
        <v>46304</v>
      </c>
      <c r="B1666" s="104" t="s">
        <v>34</v>
      </c>
      <c r="C1666" s="104" t="s">
        <v>744</v>
      </c>
      <c r="D1666" s="105" t="n">
        <v>2.5</v>
      </c>
      <c r="E1666" s="106" t="n">
        <v>24.3333</v>
      </c>
      <c r="F1666" s="107" t="n">
        <f aca="false">IF($C1666="","",$D1666*$E1666)</f>
        <v>60.83325</v>
      </c>
      <c r="G1666" s="107" t="n">
        <f aca="false">IF($C1666="","",$D1666*IFERROR(INDEX('تحليل التكلفة والسعر'!$C$2:$C$700,MATCH($C1666,'تحليل التكلفة والسعر'!$B$2:$B$700,0)),0))</f>
        <v>162.21825</v>
      </c>
      <c r="H1666" s="104" t="s">
        <v>719</v>
      </c>
    </row>
    <row r="1667" customFormat="false" ht="15" hidden="false" customHeight="false" outlineLevel="0" collapsed="false">
      <c r="A1667" s="103" t="n">
        <v>46305</v>
      </c>
      <c r="B1667" s="104" t="s">
        <v>34</v>
      </c>
      <c r="C1667" s="104" t="s">
        <v>744</v>
      </c>
      <c r="D1667" s="105" t="n">
        <v>2.5</v>
      </c>
      <c r="E1667" s="106" t="n">
        <v>24.3333</v>
      </c>
      <c r="F1667" s="107" t="n">
        <f aca="false">IF($C1667="","",$D1667*$E1667)</f>
        <v>60.83325</v>
      </c>
      <c r="G1667" s="107" t="n">
        <f aca="false">IF($C1667="","",$D1667*IFERROR(INDEX('تحليل التكلفة والسعر'!$C$2:$C$700,MATCH($C1667,'تحليل التكلفة والسعر'!$B$2:$B$700,0)),0))</f>
        <v>162.21825</v>
      </c>
      <c r="H1667" s="104" t="s">
        <v>719</v>
      </c>
    </row>
    <row r="1668" customFormat="false" ht="15" hidden="false" customHeight="false" outlineLevel="0" collapsed="false">
      <c r="A1668" s="103" t="n">
        <v>46306</v>
      </c>
      <c r="B1668" s="104" t="s">
        <v>34</v>
      </c>
      <c r="C1668" s="104" t="s">
        <v>744</v>
      </c>
      <c r="D1668" s="105" t="n">
        <v>2.5</v>
      </c>
      <c r="E1668" s="106" t="n">
        <v>24.3333</v>
      </c>
      <c r="F1668" s="107" t="n">
        <f aca="false">IF($C1668="","",$D1668*$E1668)</f>
        <v>60.83325</v>
      </c>
      <c r="G1668" s="107" t="n">
        <f aca="false">IF($C1668="","",$D1668*IFERROR(INDEX('تحليل التكلفة والسعر'!$C$2:$C$700,MATCH($C1668,'تحليل التكلفة والسعر'!$B$2:$B$700,0)),0))</f>
        <v>162.21825</v>
      </c>
      <c r="H1668" s="104" t="s">
        <v>719</v>
      </c>
    </row>
    <row r="1669" customFormat="false" ht="15" hidden="false" customHeight="false" outlineLevel="0" collapsed="false">
      <c r="A1669" s="103" t="n">
        <v>46307</v>
      </c>
      <c r="B1669" s="104" t="s">
        <v>34</v>
      </c>
      <c r="C1669" s="104" t="s">
        <v>744</v>
      </c>
      <c r="D1669" s="105" t="n">
        <v>2.5</v>
      </c>
      <c r="E1669" s="106" t="n">
        <v>24.3333</v>
      </c>
      <c r="F1669" s="107" t="n">
        <f aca="false">IF($C1669="","",$D1669*$E1669)</f>
        <v>60.83325</v>
      </c>
      <c r="G1669" s="107" t="n">
        <f aca="false">IF($C1669="","",$D1669*IFERROR(INDEX('تحليل التكلفة والسعر'!$C$2:$C$700,MATCH($C1669,'تحليل التكلفة والسعر'!$B$2:$B$700,0)),0))</f>
        <v>162.21825</v>
      </c>
      <c r="H1669" s="104" t="s">
        <v>719</v>
      </c>
    </row>
    <row r="1670" customFormat="false" ht="15" hidden="false" customHeight="false" outlineLevel="0" collapsed="false">
      <c r="A1670" s="103" t="n">
        <v>46296</v>
      </c>
      <c r="B1670" s="104" t="s">
        <v>34</v>
      </c>
      <c r="C1670" s="104" t="s">
        <v>426</v>
      </c>
      <c r="D1670" s="105" t="n">
        <v>1.5</v>
      </c>
      <c r="E1670" s="106" t="n">
        <v>214.7222</v>
      </c>
      <c r="F1670" s="107" t="n">
        <f aca="false">IF($C1670="","",$D1670*$E1670)</f>
        <v>322.0833</v>
      </c>
      <c r="G1670" s="107" t="n">
        <f aca="false">IF($C1670="","",$D1670*IFERROR(INDEX('تحليل التكلفة والسعر'!$C$2:$C$700,MATCH($C1670,'تحليل التكلفة والسعر'!$B$2:$B$700,0)),0))</f>
        <v>142.9365</v>
      </c>
      <c r="H1670" s="104" t="s">
        <v>719</v>
      </c>
    </row>
    <row r="1671" customFormat="false" ht="15" hidden="false" customHeight="false" outlineLevel="0" collapsed="false">
      <c r="A1671" s="103" t="n">
        <v>46297</v>
      </c>
      <c r="B1671" s="104" t="s">
        <v>34</v>
      </c>
      <c r="C1671" s="104" t="s">
        <v>426</v>
      </c>
      <c r="D1671" s="105" t="n">
        <v>1.5</v>
      </c>
      <c r="E1671" s="106" t="n">
        <v>214.7222</v>
      </c>
      <c r="F1671" s="107" t="n">
        <f aca="false">IF($C1671="","",$D1671*$E1671)</f>
        <v>322.0833</v>
      </c>
      <c r="G1671" s="107" t="n">
        <f aca="false">IF($C1671="","",$D1671*IFERROR(INDEX('تحليل التكلفة والسعر'!$C$2:$C$700,MATCH($C1671,'تحليل التكلفة والسعر'!$B$2:$B$700,0)),0))</f>
        <v>142.9365</v>
      </c>
      <c r="H1671" s="104" t="s">
        <v>719</v>
      </c>
    </row>
    <row r="1672" customFormat="false" ht="15" hidden="false" customHeight="false" outlineLevel="0" collapsed="false">
      <c r="A1672" s="103" t="n">
        <v>46298</v>
      </c>
      <c r="B1672" s="104" t="s">
        <v>34</v>
      </c>
      <c r="C1672" s="104" t="s">
        <v>426</v>
      </c>
      <c r="D1672" s="105" t="n">
        <v>1.5</v>
      </c>
      <c r="E1672" s="106" t="n">
        <v>214.7222</v>
      </c>
      <c r="F1672" s="107" t="n">
        <f aca="false">IF($C1672="","",$D1672*$E1672)</f>
        <v>322.0833</v>
      </c>
      <c r="G1672" s="107" t="n">
        <f aca="false">IF($C1672="","",$D1672*IFERROR(INDEX('تحليل التكلفة والسعر'!$C$2:$C$700,MATCH($C1672,'تحليل التكلفة والسعر'!$B$2:$B$700,0)),0))</f>
        <v>142.9365</v>
      </c>
      <c r="H1672" s="104" t="s">
        <v>719</v>
      </c>
    </row>
    <row r="1673" customFormat="false" ht="15" hidden="false" customHeight="false" outlineLevel="0" collapsed="false">
      <c r="A1673" s="103" t="n">
        <v>46299</v>
      </c>
      <c r="B1673" s="104" t="s">
        <v>34</v>
      </c>
      <c r="C1673" s="104" t="s">
        <v>426</v>
      </c>
      <c r="D1673" s="105" t="n">
        <v>1.5</v>
      </c>
      <c r="E1673" s="106" t="n">
        <v>214.7222</v>
      </c>
      <c r="F1673" s="107" t="n">
        <f aca="false">IF($C1673="","",$D1673*$E1673)</f>
        <v>322.0833</v>
      </c>
      <c r="G1673" s="107" t="n">
        <f aca="false">IF($C1673="","",$D1673*IFERROR(INDEX('تحليل التكلفة والسعر'!$C$2:$C$700,MATCH($C1673,'تحليل التكلفة والسعر'!$B$2:$B$700,0)),0))</f>
        <v>142.9365</v>
      </c>
      <c r="H1673" s="104" t="s">
        <v>719</v>
      </c>
    </row>
    <row r="1674" customFormat="false" ht="15" hidden="false" customHeight="false" outlineLevel="0" collapsed="false">
      <c r="A1674" s="103" t="n">
        <v>46300</v>
      </c>
      <c r="B1674" s="104" t="s">
        <v>34</v>
      </c>
      <c r="C1674" s="104" t="s">
        <v>426</v>
      </c>
      <c r="D1674" s="105" t="n">
        <v>1.5</v>
      </c>
      <c r="E1674" s="106" t="n">
        <v>214.7222</v>
      </c>
      <c r="F1674" s="107" t="n">
        <f aca="false">IF($C1674="","",$D1674*$E1674)</f>
        <v>322.0833</v>
      </c>
      <c r="G1674" s="107" t="n">
        <f aca="false">IF($C1674="","",$D1674*IFERROR(INDEX('تحليل التكلفة والسعر'!$C$2:$C$700,MATCH($C1674,'تحليل التكلفة والسعر'!$B$2:$B$700,0)),0))</f>
        <v>142.9365</v>
      </c>
      <c r="H1674" s="104" t="s">
        <v>719</v>
      </c>
    </row>
    <row r="1675" customFormat="false" ht="15" hidden="false" customHeight="false" outlineLevel="0" collapsed="false">
      <c r="A1675" s="103" t="n">
        <v>46301</v>
      </c>
      <c r="B1675" s="104" t="s">
        <v>34</v>
      </c>
      <c r="C1675" s="104" t="s">
        <v>426</v>
      </c>
      <c r="D1675" s="105" t="n">
        <v>1.5</v>
      </c>
      <c r="E1675" s="106" t="n">
        <v>214.7222</v>
      </c>
      <c r="F1675" s="107" t="n">
        <f aca="false">IF($C1675="","",$D1675*$E1675)</f>
        <v>322.0833</v>
      </c>
      <c r="G1675" s="107" t="n">
        <f aca="false">IF($C1675="","",$D1675*IFERROR(INDEX('تحليل التكلفة والسعر'!$C$2:$C$700,MATCH($C1675,'تحليل التكلفة والسعر'!$B$2:$B$700,0)),0))</f>
        <v>142.9365</v>
      </c>
      <c r="H1675" s="104" t="s">
        <v>719</v>
      </c>
    </row>
    <row r="1676" customFormat="false" ht="15" hidden="false" customHeight="false" outlineLevel="0" collapsed="false">
      <c r="A1676" s="103" t="n">
        <v>46302</v>
      </c>
      <c r="B1676" s="104" t="s">
        <v>34</v>
      </c>
      <c r="C1676" s="104" t="s">
        <v>426</v>
      </c>
      <c r="D1676" s="105" t="n">
        <v>1.5</v>
      </c>
      <c r="E1676" s="106" t="n">
        <v>214.7222</v>
      </c>
      <c r="F1676" s="107" t="n">
        <f aca="false">IF($C1676="","",$D1676*$E1676)</f>
        <v>322.0833</v>
      </c>
      <c r="G1676" s="107" t="n">
        <f aca="false">IF($C1676="","",$D1676*IFERROR(INDEX('تحليل التكلفة والسعر'!$C$2:$C$700,MATCH($C1676,'تحليل التكلفة والسعر'!$B$2:$B$700,0)),0))</f>
        <v>142.9365</v>
      </c>
      <c r="H1676" s="104" t="s">
        <v>719</v>
      </c>
    </row>
    <row r="1677" customFormat="false" ht="15" hidden="false" customHeight="false" outlineLevel="0" collapsed="false">
      <c r="A1677" s="103" t="n">
        <v>46303</v>
      </c>
      <c r="B1677" s="104" t="s">
        <v>34</v>
      </c>
      <c r="C1677" s="104" t="s">
        <v>426</v>
      </c>
      <c r="D1677" s="105" t="n">
        <v>1.5</v>
      </c>
      <c r="E1677" s="106" t="n">
        <v>214.7222</v>
      </c>
      <c r="F1677" s="107" t="n">
        <f aca="false">IF($C1677="","",$D1677*$E1677)</f>
        <v>322.0833</v>
      </c>
      <c r="G1677" s="107" t="n">
        <f aca="false">IF($C1677="","",$D1677*IFERROR(INDEX('تحليل التكلفة والسعر'!$C$2:$C$700,MATCH($C1677,'تحليل التكلفة والسعر'!$B$2:$B$700,0)),0))</f>
        <v>142.9365</v>
      </c>
      <c r="H1677" s="104" t="s">
        <v>719</v>
      </c>
    </row>
    <row r="1678" customFormat="false" ht="15" hidden="false" customHeight="false" outlineLevel="0" collapsed="false">
      <c r="A1678" s="103" t="n">
        <v>46304</v>
      </c>
      <c r="B1678" s="104" t="s">
        <v>34</v>
      </c>
      <c r="C1678" s="104" t="s">
        <v>426</v>
      </c>
      <c r="D1678" s="105" t="n">
        <v>1.5</v>
      </c>
      <c r="E1678" s="106" t="n">
        <v>214.7222</v>
      </c>
      <c r="F1678" s="107" t="n">
        <f aca="false">IF($C1678="","",$D1678*$E1678)</f>
        <v>322.0833</v>
      </c>
      <c r="G1678" s="107" t="n">
        <f aca="false">IF($C1678="","",$D1678*IFERROR(INDEX('تحليل التكلفة والسعر'!$C$2:$C$700,MATCH($C1678,'تحليل التكلفة والسعر'!$B$2:$B$700,0)),0))</f>
        <v>142.9365</v>
      </c>
      <c r="H1678" s="104" t="s">
        <v>719</v>
      </c>
    </row>
    <row r="1679" customFormat="false" ht="15" hidden="false" customHeight="false" outlineLevel="0" collapsed="false">
      <c r="A1679" s="103" t="n">
        <v>46305</v>
      </c>
      <c r="B1679" s="104" t="s">
        <v>34</v>
      </c>
      <c r="C1679" s="104" t="s">
        <v>426</v>
      </c>
      <c r="D1679" s="105" t="n">
        <v>1.5</v>
      </c>
      <c r="E1679" s="106" t="n">
        <v>214.7222</v>
      </c>
      <c r="F1679" s="107" t="n">
        <f aca="false">IF($C1679="","",$D1679*$E1679)</f>
        <v>322.0833</v>
      </c>
      <c r="G1679" s="107" t="n">
        <f aca="false">IF($C1679="","",$D1679*IFERROR(INDEX('تحليل التكلفة والسعر'!$C$2:$C$700,MATCH($C1679,'تحليل التكلفة والسعر'!$B$2:$B$700,0)),0))</f>
        <v>142.9365</v>
      </c>
      <c r="H1679" s="104" t="s">
        <v>719</v>
      </c>
    </row>
    <row r="1680" customFormat="false" ht="15" hidden="false" customHeight="false" outlineLevel="0" collapsed="false">
      <c r="A1680" s="103" t="n">
        <v>46306</v>
      </c>
      <c r="B1680" s="104" t="s">
        <v>34</v>
      </c>
      <c r="C1680" s="104" t="s">
        <v>426</v>
      </c>
      <c r="D1680" s="105" t="n">
        <v>1.5</v>
      </c>
      <c r="E1680" s="106" t="n">
        <v>214.7222</v>
      </c>
      <c r="F1680" s="107" t="n">
        <f aca="false">IF($C1680="","",$D1680*$E1680)</f>
        <v>322.0833</v>
      </c>
      <c r="G1680" s="107" t="n">
        <f aca="false">IF($C1680="","",$D1680*IFERROR(INDEX('تحليل التكلفة والسعر'!$C$2:$C$700,MATCH($C1680,'تحليل التكلفة والسعر'!$B$2:$B$700,0)),0))</f>
        <v>142.9365</v>
      </c>
      <c r="H1680" s="104" t="s">
        <v>719</v>
      </c>
    </row>
    <row r="1681" customFormat="false" ht="15" hidden="false" customHeight="false" outlineLevel="0" collapsed="false">
      <c r="A1681" s="103" t="n">
        <v>46307</v>
      </c>
      <c r="B1681" s="104" t="s">
        <v>34</v>
      </c>
      <c r="C1681" s="104" t="s">
        <v>426</v>
      </c>
      <c r="D1681" s="105" t="n">
        <v>1.5</v>
      </c>
      <c r="E1681" s="106" t="n">
        <v>214.7222</v>
      </c>
      <c r="F1681" s="107" t="n">
        <f aca="false">IF($C1681="","",$D1681*$E1681)</f>
        <v>322.0833</v>
      </c>
      <c r="G1681" s="107" t="n">
        <f aca="false">IF($C1681="","",$D1681*IFERROR(INDEX('تحليل التكلفة والسعر'!$C$2:$C$700,MATCH($C1681,'تحليل التكلفة والسعر'!$B$2:$B$700,0)),0))</f>
        <v>142.9365</v>
      </c>
      <c r="H1681" s="104" t="s">
        <v>719</v>
      </c>
    </row>
    <row r="1682" customFormat="false" ht="15" hidden="false" customHeight="false" outlineLevel="0" collapsed="false">
      <c r="A1682" s="103" t="n">
        <v>46296</v>
      </c>
      <c r="B1682" s="104" t="s">
        <v>34</v>
      </c>
      <c r="C1682" s="104" t="s">
        <v>494</v>
      </c>
      <c r="D1682" s="105" t="n">
        <v>7.1667</v>
      </c>
      <c r="E1682" s="106" t="n">
        <v>79.7093</v>
      </c>
      <c r="F1682" s="107" t="n">
        <f aca="false">IF($C1682="","",$D1682*$E1682)</f>
        <v>571.25264031</v>
      </c>
      <c r="G1682" s="107" t="n">
        <f aca="false">IF($C1682="","",$D1682*IFERROR(INDEX('تحليل التكلفة والسعر'!$C$2:$C$700,MATCH($C1682,'تحليل التكلفة والسعر'!$B$2:$B$700,0)),0))</f>
        <v>515.40398055</v>
      </c>
      <c r="H1682" s="104" t="s">
        <v>719</v>
      </c>
    </row>
    <row r="1683" customFormat="false" ht="15" hidden="false" customHeight="false" outlineLevel="0" collapsed="false">
      <c r="A1683" s="103" t="n">
        <v>46297</v>
      </c>
      <c r="B1683" s="104" t="s">
        <v>34</v>
      </c>
      <c r="C1683" s="104" t="s">
        <v>494</v>
      </c>
      <c r="D1683" s="105" t="n">
        <v>7.1667</v>
      </c>
      <c r="E1683" s="106" t="n">
        <v>79.7093</v>
      </c>
      <c r="F1683" s="107" t="n">
        <f aca="false">IF($C1683="","",$D1683*$E1683)</f>
        <v>571.25264031</v>
      </c>
      <c r="G1683" s="107" t="n">
        <f aca="false">IF($C1683="","",$D1683*IFERROR(INDEX('تحليل التكلفة والسعر'!$C$2:$C$700,MATCH($C1683,'تحليل التكلفة والسعر'!$B$2:$B$700,0)),0))</f>
        <v>515.40398055</v>
      </c>
      <c r="H1683" s="104" t="s">
        <v>719</v>
      </c>
    </row>
    <row r="1684" customFormat="false" ht="15" hidden="false" customHeight="false" outlineLevel="0" collapsed="false">
      <c r="A1684" s="103" t="n">
        <v>46298</v>
      </c>
      <c r="B1684" s="104" t="s">
        <v>34</v>
      </c>
      <c r="C1684" s="104" t="s">
        <v>494</v>
      </c>
      <c r="D1684" s="105" t="n">
        <v>7.1667</v>
      </c>
      <c r="E1684" s="106" t="n">
        <v>79.7093</v>
      </c>
      <c r="F1684" s="107" t="n">
        <f aca="false">IF($C1684="","",$D1684*$E1684)</f>
        <v>571.25264031</v>
      </c>
      <c r="G1684" s="107" t="n">
        <f aca="false">IF($C1684="","",$D1684*IFERROR(INDEX('تحليل التكلفة والسعر'!$C$2:$C$700,MATCH($C1684,'تحليل التكلفة والسعر'!$B$2:$B$700,0)),0))</f>
        <v>515.40398055</v>
      </c>
      <c r="H1684" s="104" t="s">
        <v>719</v>
      </c>
    </row>
    <row r="1685" customFormat="false" ht="15" hidden="false" customHeight="false" outlineLevel="0" collapsed="false">
      <c r="A1685" s="103" t="n">
        <v>46299</v>
      </c>
      <c r="B1685" s="104" t="s">
        <v>34</v>
      </c>
      <c r="C1685" s="104" t="s">
        <v>494</v>
      </c>
      <c r="D1685" s="105" t="n">
        <v>7.1667</v>
      </c>
      <c r="E1685" s="106" t="n">
        <v>79.7093</v>
      </c>
      <c r="F1685" s="107" t="n">
        <f aca="false">IF($C1685="","",$D1685*$E1685)</f>
        <v>571.25264031</v>
      </c>
      <c r="G1685" s="107" t="n">
        <f aca="false">IF($C1685="","",$D1685*IFERROR(INDEX('تحليل التكلفة والسعر'!$C$2:$C$700,MATCH($C1685,'تحليل التكلفة والسعر'!$B$2:$B$700,0)),0))</f>
        <v>515.40398055</v>
      </c>
      <c r="H1685" s="104" t="s">
        <v>719</v>
      </c>
    </row>
    <row r="1686" customFormat="false" ht="15" hidden="false" customHeight="false" outlineLevel="0" collapsed="false">
      <c r="A1686" s="103" t="n">
        <v>46300</v>
      </c>
      <c r="B1686" s="104" t="s">
        <v>34</v>
      </c>
      <c r="C1686" s="104" t="s">
        <v>494</v>
      </c>
      <c r="D1686" s="105" t="n">
        <v>7.1667</v>
      </c>
      <c r="E1686" s="106" t="n">
        <v>79.7093</v>
      </c>
      <c r="F1686" s="107" t="n">
        <f aca="false">IF($C1686="","",$D1686*$E1686)</f>
        <v>571.25264031</v>
      </c>
      <c r="G1686" s="107" t="n">
        <f aca="false">IF($C1686="","",$D1686*IFERROR(INDEX('تحليل التكلفة والسعر'!$C$2:$C$700,MATCH($C1686,'تحليل التكلفة والسعر'!$B$2:$B$700,0)),0))</f>
        <v>515.40398055</v>
      </c>
      <c r="H1686" s="104" t="s">
        <v>719</v>
      </c>
    </row>
    <row r="1687" customFormat="false" ht="15" hidden="false" customHeight="false" outlineLevel="0" collapsed="false">
      <c r="A1687" s="103" t="n">
        <v>46301</v>
      </c>
      <c r="B1687" s="104" t="s">
        <v>34</v>
      </c>
      <c r="C1687" s="104" t="s">
        <v>494</v>
      </c>
      <c r="D1687" s="105" t="n">
        <v>7.1667</v>
      </c>
      <c r="E1687" s="106" t="n">
        <v>79.7093</v>
      </c>
      <c r="F1687" s="107" t="n">
        <f aca="false">IF($C1687="","",$D1687*$E1687)</f>
        <v>571.25264031</v>
      </c>
      <c r="G1687" s="107" t="n">
        <f aca="false">IF($C1687="","",$D1687*IFERROR(INDEX('تحليل التكلفة والسعر'!$C$2:$C$700,MATCH($C1687,'تحليل التكلفة والسعر'!$B$2:$B$700,0)),0))</f>
        <v>515.40398055</v>
      </c>
      <c r="H1687" s="104" t="s">
        <v>719</v>
      </c>
    </row>
    <row r="1688" customFormat="false" ht="15" hidden="false" customHeight="false" outlineLevel="0" collapsed="false">
      <c r="A1688" s="103" t="n">
        <v>46302</v>
      </c>
      <c r="B1688" s="104" t="s">
        <v>34</v>
      </c>
      <c r="C1688" s="104" t="s">
        <v>494</v>
      </c>
      <c r="D1688" s="105" t="n">
        <v>7.1667</v>
      </c>
      <c r="E1688" s="106" t="n">
        <v>79.7093</v>
      </c>
      <c r="F1688" s="107" t="n">
        <f aca="false">IF($C1688="","",$D1688*$E1688)</f>
        <v>571.25264031</v>
      </c>
      <c r="G1688" s="107" t="n">
        <f aca="false">IF($C1688="","",$D1688*IFERROR(INDEX('تحليل التكلفة والسعر'!$C$2:$C$700,MATCH($C1688,'تحليل التكلفة والسعر'!$B$2:$B$700,0)),0))</f>
        <v>515.40398055</v>
      </c>
      <c r="H1688" s="104" t="s">
        <v>719</v>
      </c>
    </row>
    <row r="1689" customFormat="false" ht="15" hidden="false" customHeight="false" outlineLevel="0" collapsed="false">
      <c r="A1689" s="103" t="n">
        <v>46303</v>
      </c>
      <c r="B1689" s="104" t="s">
        <v>34</v>
      </c>
      <c r="C1689" s="104" t="s">
        <v>494</v>
      </c>
      <c r="D1689" s="105" t="n">
        <v>7.1667</v>
      </c>
      <c r="E1689" s="106" t="n">
        <v>79.7093</v>
      </c>
      <c r="F1689" s="107" t="n">
        <f aca="false">IF($C1689="","",$D1689*$E1689)</f>
        <v>571.25264031</v>
      </c>
      <c r="G1689" s="107" t="n">
        <f aca="false">IF($C1689="","",$D1689*IFERROR(INDEX('تحليل التكلفة والسعر'!$C$2:$C$700,MATCH($C1689,'تحليل التكلفة والسعر'!$B$2:$B$700,0)),0))</f>
        <v>515.40398055</v>
      </c>
      <c r="H1689" s="104" t="s">
        <v>719</v>
      </c>
    </row>
    <row r="1690" customFormat="false" ht="15" hidden="false" customHeight="false" outlineLevel="0" collapsed="false">
      <c r="A1690" s="103" t="n">
        <v>46304</v>
      </c>
      <c r="B1690" s="104" t="s">
        <v>34</v>
      </c>
      <c r="C1690" s="104" t="s">
        <v>494</v>
      </c>
      <c r="D1690" s="105" t="n">
        <v>7.1667</v>
      </c>
      <c r="E1690" s="106" t="n">
        <v>79.7093</v>
      </c>
      <c r="F1690" s="107" t="n">
        <f aca="false">IF($C1690="","",$D1690*$E1690)</f>
        <v>571.25264031</v>
      </c>
      <c r="G1690" s="107" t="n">
        <f aca="false">IF($C1690="","",$D1690*IFERROR(INDEX('تحليل التكلفة والسعر'!$C$2:$C$700,MATCH($C1690,'تحليل التكلفة والسعر'!$B$2:$B$700,0)),0))</f>
        <v>515.40398055</v>
      </c>
      <c r="H1690" s="104" t="s">
        <v>719</v>
      </c>
    </row>
    <row r="1691" customFormat="false" ht="15" hidden="false" customHeight="false" outlineLevel="0" collapsed="false">
      <c r="A1691" s="103" t="n">
        <v>46305</v>
      </c>
      <c r="B1691" s="104" t="s">
        <v>34</v>
      </c>
      <c r="C1691" s="104" t="s">
        <v>494</v>
      </c>
      <c r="D1691" s="105" t="n">
        <v>7.1667</v>
      </c>
      <c r="E1691" s="106" t="n">
        <v>79.7093</v>
      </c>
      <c r="F1691" s="107" t="n">
        <f aca="false">IF($C1691="","",$D1691*$E1691)</f>
        <v>571.25264031</v>
      </c>
      <c r="G1691" s="107" t="n">
        <f aca="false">IF($C1691="","",$D1691*IFERROR(INDEX('تحليل التكلفة والسعر'!$C$2:$C$700,MATCH($C1691,'تحليل التكلفة والسعر'!$B$2:$B$700,0)),0))</f>
        <v>515.40398055</v>
      </c>
      <c r="H1691" s="104" t="s">
        <v>719</v>
      </c>
    </row>
    <row r="1692" customFormat="false" ht="15" hidden="false" customHeight="false" outlineLevel="0" collapsed="false">
      <c r="A1692" s="103" t="n">
        <v>46306</v>
      </c>
      <c r="B1692" s="104" t="s">
        <v>34</v>
      </c>
      <c r="C1692" s="104" t="s">
        <v>494</v>
      </c>
      <c r="D1692" s="105" t="n">
        <v>7.1667</v>
      </c>
      <c r="E1692" s="106" t="n">
        <v>79.7093</v>
      </c>
      <c r="F1692" s="107" t="n">
        <f aca="false">IF($C1692="","",$D1692*$E1692)</f>
        <v>571.25264031</v>
      </c>
      <c r="G1692" s="107" t="n">
        <f aca="false">IF($C1692="","",$D1692*IFERROR(INDEX('تحليل التكلفة والسعر'!$C$2:$C$700,MATCH($C1692,'تحليل التكلفة والسعر'!$B$2:$B$700,0)),0))</f>
        <v>515.40398055</v>
      </c>
      <c r="H1692" s="104" t="s">
        <v>719</v>
      </c>
    </row>
    <row r="1693" customFormat="false" ht="15" hidden="false" customHeight="false" outlineLevel="0" collapsed="false">
      <c r="A1693" s="103" t="n">
        <v>46307</v>
      </c>
      <c r="B1693" s="104" t="s">
        <v>34</v>
      </c>
      <c r="C1693" s="104" t="s">
        <v>494</v>
      </c>
      <c r="D1693" s="105" t="n">
        <v>7.1667</v>
      </c>
      <c r="E1693" s="106" t="n">
        <v>79.7093</v>
      </c>
      <c r="F1693" s="107" t="n">
        <f aca="false">IF($C1693="","",$D1693*$E1693)</f>
        <v>571.25264031</v>
      </c>
      <c r="G1693" s="107" t="n">
        <f aca="false">IF($C1693="","",$D1693*IFERROR(INDEX('تحليل التكلفة والسعر'!$C$2:$C$700,MATCH($C1693,'تحليل التكلفة والسعر'!$B$2:$B$700,0)),0))</f>
        <v>515.40398055</v>
      </c>
      <c r="H1693" s="104" t="s">
        <v>719</v>
      </c>
    </row>
    <row r="1694" customFormat="false" ht="15" hidden="false" customHeight="false" outlineLevel="0" collapsed="false">
      <c r="A1694" s="103" t="n">
        <v>46296</v>
      </c>
      <c r="B1694" s="104" t="s">
        <v>34</v>
      </c>
      <c r="C1694" s="104" t="s">
        <v>424</v>
      </c>
      <c r="D1694" s="105" t="n">
        <v>0.25</v>
      </c>
      <c r="E1694" s="106" t="n">
        <v>230</v>
      </c>
      <c r="F1694" s="107" t="n">
        <f aca="false">IF($C1694="","",$D1694*$E1694)</f>
        <v>57.5</v>
      </c>
      <c r="G1694" s="107" t="n">
        <f aca="false">IF($C1694="","",$D1694*IFERROR(INDEX('تحليل التكلفة والسعر'!$C$2:$C$700,MATCH($C1694,'تحليل التكلفة والسعر'!$B$2:$B$700,0)),0))</f>
        <v>27.393175</v>
      </c>
      <c r="H1694" s="104" t="s">
        <v>719</v>
      </c>
    </row>
    <row r="1695" customFormat="false" ht="15" hidden="false" customHeight="false" outlineLevel="0" collapsed="false">
      <c r="A1695" s="103" t="n">
        <v>46297</v>
      </c>
      <c r="B1695" s="104" t="s">
        <v>34</v>
      </c>
      <c r="C1695" s="104" t="s">
        <v>424</v>
      </c>
      <c r="D1695" s="105" t="n">
        <v>0.25</v>
      </c>
      <c r="E1695" s="106" t="n">
        <v>230</v>
      </c>
      <c r="F1695" s="107" t="n">
        <f aca="false">IF($C1695="","",$D1695*$E1695)</f>
        <v>57.5</v>
      </c>
      <c r="G1695" s="107" t="n">
        <f aca="false">IF($C1695="","",$D1695*IFERROR(INDEX('تحليل التكلفة والسعر'!$C$2:$C$700,MATCH($C1695,'تحليل التكلفة والسعر'!$B$2:$B$700,0)),0))</f>
        <v>27.393175</v>
      </c>
      <c r="H1695" s="104" t="s">
        <v>719</v>
      </c>
    </row>
    <row r="1696" customFormat="false" ht="15" hidden="false" customHeight="false" outlineLevel="0" collapsed="false">
      <c r="A1696" s="103" t="n">
        <v>46298</v>
      </c>
      <c r="B1696" s="104" t="s">
        <v>34</v>
      </c>
      <c r="C1696" s="104" t="s">
        <v>424</v>
      </c>
      <c r="D1696" s="105" t="n">
        <v>0.25</v>
      </c>
      <c r="E1696" s="106" t="n">
        <v>230</v>
      </c>
      <c r="F1696" s="107" t="n">
        <f aca="false">IF($C1696="","",$D1696*$E1696)</f>
        <v>57.5</v>
      </c>
      <c r="G1696" s="107" t="n">
        <f aca="false">IF($C1696="","",$D1696*IFERROR(INDEX('تحليل التكلفة والسعر'!$C$2:$C$700,MATCH($C1696,'تحليل التكلفة والسعر'!$B$2:$B$700,0)),0))</f>
        <v>27.393175</v>
      </c>
      <c r="H1696" s="104" t="s">
        <v>719</v>
      </c>
    </row>
    <row r="1697" customFormat="false" ht="15" hidden="false" customHeight="false" outlineLevel="0" collapsed="false">
      <c r="A1697" s="103" t="n">
        <v>46299</v>
      </c>
      <c r="B1697" s="104" t="s">
        <v>34</v>
      </c>
      <c r="C1697" s="104" t="s">
        <v>424</v>
      </c>
      <c r="D1697" s="105" t="n">
        <v>0.25</v>
      </c>
      <c r="E1697" s="106" t="n">
        <v>230</v>
      </c>
      <c r="F1697" s="107" t="n">
        <f aca="false">IF($C1697="","",$D1697*$E1697)</f>
        <v>57.5</v>
      </c>
      <c r="G1697" s="107" t="n">
        <f aca="false">IF($C1697="","",$D1697*IFERROR(INDEX('تحليل التكلفة والسعر'!$C$2:$C$700,MATCH($C1697,'تحليل التكلفة والسعر'!$B$2:$B$700,0)),0))</f>
        <v>27.393175</v>
      </c>
      <c r="H1697" s="104" t="s">
        <v>719</v>
      </c>
    </row>
    <row r="1698" customFormat="false" ht="15" hidden="false" customHeight="false" outlineLevel="0" collapsed="false">
      <c r="A1698" s="103" t="n">
        <v>46300</v>
      </c>
      <c r="B1698" s="104" t="s">
        <v>34</v>
      </c>
      <c r="C1698" s="104" t="s">
        <v>424</v>
      </c>
      <c r="D1698" s="105" t="n">
        <v>0.25</v>
      </c>
      <c r="E1698" s="106" t="n">
        <v>230</v>
      </c>
      <c r="F1698" s="107" t="n">
        <f aca="false">IF($C1698="","",$D1698*$E1698)</f>
        <v>57.5</v>
      </c>
      <c r="G1698" s="107" t="n">
        <f aca="false">IF($C1698="","",$D1698*IFERROR(INDEX('تحليل التكلفة والسعر'!$C$2:$C$700,MATCH($C1698,'تحليل التكلفة والسعر'!$B$2:$B$700,0)),0))</f>
        <v>27.393175</v>
      </c>
      <c r="H1698" s="104" t="s">
        <v>719</v>
      </c>
    </row>
    <row r="1699" customFormat="false" ht="15" hidden="false" customHeight="false" outlineLevel="0" collapsed="false">
      <c r="A1699" s="103" t="n">
        <v>46301</v>
      </c>
      <c r="B1699" s="104" t="s">
        <v>34</v>
      </c>
      <c r="C1699" s="104" t="s">
        <v>424</v>
      </c>
      <c r="D1699" s="105" t="n">
        <v>0.25</v>
      </c>
      <c r="E1699" s="106" t="n">
        <v>230</v>
      </c>
      <c r="F1699" s="107" t="n">
        <f aca="false">IF($C1699="","",$D1699*$E1699)</f>
        <v>57.5</v>
      </c>
      <c r="G1699" s="107" t="n">
        <f aca="false">IF($C1699="","",$D1699*IFERROR(INDEX('تحليل التكلفة والسعر'!$C$2:$C$700,MATCH($C1699,'تحليل التكلفة والسعر'!$B$2:$B$700,0)),0))</f>
        <v>27.393175</v>
      </c>
      <c r="H1699" s="104" t="s">
        <v>719</v>
      </c>
    </row>
    <row r="1700" customFormat="false" ht="15" hidden="false" customHeight="false" outlineLevel="0" collapsed="false">
      <c r="A1700" s="103" t="n">
        <v>46302</v>
      </c>
      <c r="B1700" s="104" t="s">
        <v>34</v>
      </c>
      <c r="C1700" s="104" t="s">
        <v>424</v>
      </c>
      <c r="D1700" s="105" t="n">
        <v>0.25</v>
      </c>
      <c r="E1700" s="106" t="n">
        <v>230</v>
      </c>
      <c r="F1700" s="107" t="n">
        <f aca="false">IF($C1700="","",$D1700*$E1700)</f>
        <v>57.5</v>
      </c>
      <c r="G1700" s="107" t="n">
        <f aca="false">IF($C1700="","",$D1700*IFERROR(INDEX('تحليل التكلفة والسعر'!$C$2:$C$700,MATCH($C1700,'تحليل التكلفة والسعر'!$B$2:$B$700,0)),0))</f>
        <v>27.393175</v>
      </c>
      <c r="H1700" s="104" t="s">
        <v>719</v>
      </c>
    </row>
    <row r="1701" customFormat="false" ht="15" hidden="false" customHeight="false" outlineLevel="0" collapsed="false">
      <c r="A1701" s="103" t="n">
        <v>46303</v>
      </c>
      <c r="B1701" s="104" t="s">
        <v>34</v>
      </c>
      <c r="C1701" s="104" t="s">
        <v>424</v>
      </c>
      <c r="D1701" s="105" t="n">
        <v>0.25</v>
      </c>
      <c r="E1701" s="106" t="n">
        <v>230</v>
      </c>
      <c r="F1701" s="107" t="n">
        <f aca="false">IF($C1701="","",$D1701*$E1701)</f>
        <v>57.5</v>
      </c>
      <c r="G1701" s="107" t="n">
        <f aca="false">IF($C1701="","",$D1701*IFERROR(INDEX('تحليل التكلفة والسعر'!$C$2:$C$700,MATCH($C1701,'تحليل التكلفة والسعر'!$B$2:$B$700,0)),0))</f>
        <v>27.393175</v>
      </c>
      <c r="H1701" s="104" t="s">
        <v>719</v>
      </c>
    </row>
    <row r="1702" customFormat="false" ht="15" hidden="false" customHeight="false" outlineLevel="0" collapsed="false">
      <c r="A1702" s="103" t="n">
        <v>46304</v>
      </c>
      <c r="B1702" s="104" t="s">
        <v>34</v>
      </c>
      <c r="C1702" s="104" t="s">
        <v>424</v>
      </c>
      <c r="D1702" s="105" t="n">
        <v>0.25</v>
      </c>
      <c r="E1702" s="106" t="n">
        <v>230</v>
      </c>
      <c r="F1702" s="107" t="n">
        <f aca="false">IF($C1702="","",$D1702*$E1702)</f>
        <v>57.5</v>
      </c>
      <c r="G1702" s="107" t="n">
        <f aca="false">IF($C1702="","",$D1702*IFERROR(INDEX('تحليل التكلفة والسعر'!$C$2:$C$700,MATCH($C1702,'تحليل التكلفة والسعر'!$B$2:$B$700,0)),0))</f>
        <v>27.393175</v>
      </c>
      <c r="H1702" s="104" t="s">
        <v>719</v>
      </c>
    </row>
    <row r="1703" customFormat="false" ht="15" hidden="false" customHeight="false" outlineLevel="0" collapsed="false">
      <c r="A1703" s="103" t="n">
        <v>46305</v>
      </c>
      <c r="B1703" s="104" t="s">
        <v>34</v>
      </c>
      <c r="C1703" s="104" t="s">
        <v>424</v>
      </c>
      <c r="D1703" s="105" t="n">
        <v>0.25</v>
      </c>
      <c r="E1703" s="106" t="n">
        <v>230</v>
      </c>
      <c r="F1703" s="107" t="n">
        <f aca="false">IF($C1703="","",$D1703*$E1703)</f>
        <v>57.5</v>
      </c>
      <c r="G1703" s="107" t="n">
        <f aca="false">IF($C1703="","",$D1703*IFERROR(INDEX('تحليل التكلفة والسعر'!$C$2:$C$700,MATCH($C1703,'تحليل التكلفة والسعر'!$B$2:$B$700,0)),0))</f>
        <v>27.393175</v>
      </c>
      <c r="H1703" s="104" t="s">
        <v>719</v>
      </c>
    </row>
    <row r="1704" customFormat="false" ht="15" hidden="false" customHeight="false" outlineLevel="0" collapsed="false">
      <c r="A1704" s="103" t="n">
        <v>46306</v>
      </c>
      <c r="B1704" s="104" t="s">
        <v>34</v>
      </c>
      <c r="C1704" s="104" t="s">
        <v>424</v>
      </c>
      <c r="D1704" s="105" t="n">
        <v>0.25</v>
      </c>
      <c r="E1704" s="106" t="n">
        <v>230</v>
      </c>
      <c r="F1704" s="107" t="n">
        <f aca="false">IF($C1704="","",$D1704*$E1704)</f>
        <v>57.5</v>
      </c>
      <c r="G1704" s="107" t="n">
        <f aca="false">IF($C1704="","",$D1704*IFERROR(INDEX('تحليل التكلفة والسعر'!$C$2:$C$700,MATCH($C1704,'تحليل التكلفة والسعر'!$B$2:$B$700,0)),0))</f>
        <v>27.393175</v>
      </c>
      <c r="H1704" s="104" t="s">
        <v>719</v>
      </c>
    </row>
    <row r="1705" customFormat="false" ht="15" hidden="false" customHeight="false" outlineLevel="0" collapsed="false">
      <c r="A1705" s="103" t="n">
        <v>46307</v>
      </c>
      <c r="B1705" s="104" t="s">
        <v>34</v>
      </c>
      <c r="C1705" s="104" t="s">
        <v>424</v>
      </c>
      <c r="D1705" s="105" t="n">
        <v>0.25</v>
      </c>
      <c r="E1705" s="106" t="n">
        <v>230</v>
      </c>
      <c r="F1705" s="107" t="n">
        <f aca="false">IF($C1705="","",$D1705*$E1705)</f>
        <v>57.5</v>
      </c>
      <c r="G1705" s="107" t="n">
        <f aca="false">IF($C1705="","",$D1705*IFERROR(INDEX('تحليل التكلفة والسعر'!$C$2:$C$700,MATCH($C1705,'تحليل التكلفة والسعر'!$B$2:$B$700,0)),0))</f>
        <v>27.393175</v>
      </c>
      <c r="H1705" s="104" t="s">
        <v>719</v>
      </c>
    </row>
    <row r="1706" customFormat="false" ht="15" hidden="false" customHeight="false" outlineLevel="0" collapsed="false">
      <c r="A1706" s="103" t="n">
        <v>46296</v>
      </c>
      <c r="B1706" s="104" t="s">
        <v>34</v>
      </c>
      <c r="C1706" s="104" t="s">
        <v>488</v>
      </c>
      <c r="D1706" s="105" t="n">
        <v>1.5</v>
      </c>
      <c r="E1706" s="106" t="n">
        <v>157.7778</v>
      </c>
      <c r="F1706" s="107" t="n">
        <f aca="false">IF($C1706="","",$D1706*$E1706)</f>
        <v>236.6667</v>
      </c>
      <c r="G1706" s="107" t="n">
        <f aca="false">IF($C1706="","",$D1706*IFERROR(INDEX('تحليل التكلفة والسعر'!$C$2:$C$700,MATCH($C1706,'تحليل التكلفة والسعر'!$B$2:$B$700,0)),0))</f>
        <v>118.34775</v>
      </c>
      <c r="H1706" s="104" t="s">
        <v>719</v>
      </c>
    </row>
    <row r="1707" customFormat="false" ht="15" hidden="false" customHeight="false" outlineLevel="0" collapsed="false">
      <c r="A1707" s="103" t="n">
        <v>46297</v>
      </c>
      <c r="B1707" s="104" t="s">
        <v>34</v>
      </c>
      <c r="C1707" s="104" t="s">
        <v>488</v>
      </c>
      <c r="D1707" s="105" t="n">
        <v>1.5</v>
      </c>
      <c r="E1707" s="106" t="n">
        <v>157.7778</v>
      </c>
      <c r="F1707" s="107" t="n">
        <f aca="false">IF($C1707="","",$D1707*$E1707)</f>
        <v>236.6667</v>
      </c>
      <c r="G1707" s="107" t="n">
        <f aca="false">IF($C1707="","",$D1707*IFERROR(INDEX('تحليل التكلفة والسعر'!$C$2:$C$700,MATCH($C1707,'تحليل التكلفة والسعر'!$B$2:$B$700,0)),0))</f>
        <v>118.34775</v>
      </c>
      <c r="H1707" s="104" t="s">
        <v>719</v>
      </c>
    </row>
    <row r="1708" customFormat="false" ht="15" hidden="false" customHeight="false" outlineLevel="0" collapsed="false">
      <c r="A1708" s="103" t="n">
        <v>46298</v>
      </c>
      <c r="B1708" s="104" t="s">
        <v>34</v>
      </c>
      <c r="C1708" s="104" t="s">
        <v>488</v>
      </c>
      <c r="D1708" s="105" t="n">
        <v>1.5</v>
      </c>
      <c r="E1708" s="106" t="n">
        <v>157.7778</v>
      </c>
      <c r="F1708" s="107" t="n">
        <f aca="false">IF($C1708="","",$D1708*$E1708)</f>
        <v>236.6667</v>
      </c>
      <c r="G1708" s="107" t="n">
        <f aca="false">IF($C1708="","",$D1708*IFERROR(INDEX('تحليل التكلفة والسعر'!$C$2:$C$700,MATCH($C1708,'تحليل التكلفة والسعر'!$B$2:$B$700,0)),0))</f>
        <v>118.34775</v>
      </c>
      <c r="H1708" s="104" t="s">
        <v>719</v>
      </c>
    </row>
    <row r="1709" customFormat="false" ht="15" hidden="false" customHeight="false" outlineLevel="0" collapsed="false">
      <c r="A1709" s="103" t="n">
        <v>46299</v>
      </c>
      <c r="B1709" s="104" t="s">
        <v>34</v>
      </c>
      <c r="C1709" s="104" t="s">
        <v>488</v>
      </c>
      <c r="D1709" s="105" t="n">
        <v>1.5</v>
      </c>
      <c r="E1709" s="106" t="n">
        <v>157.7778</v>
      </c>
      <c r="F1709" s="107" t="n">
        <f aca="false">IF($C1709="","",$D1709*$E1709)</f>
        <v>236.6667</v>
      </c>
      <c r="G1709" s="107" t="n">
        <f aca="false">IF($C1709="","",$D1709*IFERROR(INDEX('تحليل التكلفة والسعر'!$C$2:$C$700,MATCH($C1709,'تحليل التكلفة والسعر'!$B$2:$B$700,0)),0))</f>
        <v>118.34775</v>
      </c>
      <c r="H1709" s="104" t="s">
        <v>719</v>
      </c>
    </row>
    <row r="1710" customFormat="false" ht="15" hidden="false" customHeight="false" outlineLevel="0" collapsed="false">
      <c r="A1710" s="103" t="n">
        <v>46300</v>
      </c>
      <c r="B1710" s="104" t="s">
        <v>34</v>
      </c>
      <c r="C1710" s="104" t="s">
        <v>488</v>
      </c>
      <c r="D1710" s="105" t="n">
        <v>1.5</v>
      </c>
      <c r="E1710" s="106" t="n">
        <v>157.7778</v>
      </c>
      <c r="F1710" s="107" t="n">
        <f aca="false">IF($C1710="","",$D1710*$E1710)</f>
        <v>236.6667</v>
      </c>
      <c r="G1710" s="107" t="n">
        <f aca="false">IF($C1710="","",$D1710*IFERROR(INDEX('تحليل التكلفة والسعر'!$C$2:$C$700,MATCH($C1710,'تحليل التكلفة والسعر'!$B$2:$B$700,0)),0))</f>
        <v>118.34775</v>
      </c>
      <c r="H1710" s="104" t="s">
        <v>719</v>
      </c>
    </row>
    <row r="1711" customFormat="false" ht="15" hidden="false" customHeight="false" outlineLevel="0" collapsed="false">
      <c r="A1711" s="103" t="n">
        <v>46301</v>
      </c>
      <c r="B1711" s="104" t="s">
        <v>34</v>
      </c>
      <c r="C1711" s="104" t="s">
        <v>488</v>
      </c>
      <c r="D1711" s="105" t="n">
        <v>1.5</v>
      </c>
      <c r="E1711" s="106" t="n">
        <v>157.7778</v>
      </c>
      <c r="F1711" s="107" t="n">
        <f aca="false">IF($C1711="","",$D1711*$E1711)</f>
        <v>236.6667</v>
      </c>
      <c r="G1711" s="107" t="n">
        <f aca="false">IF($C1711="","",$D1711*IFERROR(INDEX('تحليل التكلفة والسعر'!$C$2:$C$700,MATCH($C1711,'تحليل التكلفة والسعر'!$B$2:$B$700,0)),0))</f>
        <v>118.34775</v>
      </c>
      <c r="H1711" s="104" t="s">
        <v>719</v>
      </c>
    </row>
    <row r="1712" customFormat="false" ht="15" hidden="false" customHeight="false" outlineLevel="0" collapsed="false">
      <c r="A1712" s="103" t="n">
        <v>46302</v>
      </c>
      <c r="B1712" s="104" t="s">
        <v>34</v>
      </c>
      <c r="C1712" s="104" t="s">
        <v>488</v>
      </c>
      <c r="D1712" s="105" t="n">
        <v>1.5</v>
      </c>
      <c r="E1712" s="106" t="n">
        <v>157.7778</v>
      </c>
      <c r="F1712" s="107" t="n">
        <f aca="false">IF($C1712="","",$D1712*$E1712)</f>
        <v>236.6667</v>
      </c>
      <c r="G1712" s="107" t="n">
        <f aca="false">IF($C1712="","",$D1712*IFERROR(INDEX('تحليل التكلفة والسعر'!$C$2:$C$700,MATCH($C1712,'تحليل التكلفة والسعر'!$B$2:$B$700,0)),0))</f>
        <v>118.34775</v>
      </c>
      <c r="H1712" s="104" t="s">
        <v>719</v>
      </c>
    </row>
    <row r="1713" customFormat="false" ht="15" hidden="false" customHeight="false" outlineLevel="0" collapsed="false">
      <c r="A1713" s="103" t="n">
        <v>46303</v>
      </c>
      <c r="B1713" s="104" t="s">
        <v>34</v>
      </c>
      <c r="C1713" s="104" t="s">
        <v>488</v>
      </c>
      <c r="D1713" s="105" t="n">
        <v>1.5</v>
      </c>
      <c r="E1713" s="106" t="n">
        <v>157.7778</v>
      </c>
      <c r="F1713" s="107" t="n">
        <f aca="false">IF($C1713="","",$D1713*$E1713)</f>
        <v>236.6667</v>
      </c>
      <c r="G1713" s="107" t="n">
        <f aca="false">IF($C1713="","",$D1713*IFERROR(INDEX('تحليل التكلفة والسعر'!$C$2:$C$700,MATCH($C1713,'تحليل التكلفة والسعر'!$B$2:$B$700,0)),0))</f>
        <v>118.34775</v>
      </c>
      <c r="H1713" s="104" t="s">
        <v>719</v>
      </c>
    </row>
    <row r="1714" customFormat="false" ht="15" hidden="false" customHeight="false" outlineLevel="0" collapsed="false">
      <c r="A1714" s="103" t="n">
        <v>46304</v>
      </c>
      <c r="B1714" s="104" t="s">
        <v>34</v>
      </c>
      <c r="C1714" s="104" t="s">
        <v>488</v>
      </c>
      <c r="D1714" s="105" t="n">
        <v>1.5</v>
      </c>
      <c r="E1714" s="106" t="n">
        <v>157.7778</v>
      </c>
      <c r="F1714" s="107" t="n">
        <f aca="false">IF($C1714="","",$D1714*$E1714)</f>
        <v>236.6667</v>
      </c>
      <c r="G1714" s="107" t="n">
        <f aca="false">IF($C1714="","",$D1714*IFERROR(INDEX('تحليل التكلفة والسعر'!$C$2:$C$700,MATCH($C1714,'تحليل التكلفة والسعر'!$B$2:$B$700,0)),0))</f>
        <v>118.34775</v>
      </c>
      <c r="H1714" s="104" t="s">
        <v>719</v>
      </c>
    </row>
    <row r="1715" customFormat="false" ht="15" hidden="false" customHeight="false" outlineLevel="0" collapsed="false">
      <c r="A1715" s="103" t="n">
        <v>46305</v>
      </c>
      <c r="B1715" s="104" t="s">
        <v>34</v>
      </c>
      <c r="C1715" s="104" t="s">
        <v>488</v>
      </c>
      <c r="D1715" s="105" t="n">
        <v>1.5</v>
      </c>
      <c r="E1715" s="106" t="n">
        <v>157.7778</v>
      </c>
      <c r="F1715" s="107" t="n">
        <f aca="false">IF($C1715="","",$D1715*$E1715)</f>
        <v>236.6667</v>
      </c>
      <c r="G1715" s="107" t="n">
        <f aca="false">IF($C1715="","",$D1715*IFERROR(INDEX('تحليل التكلفة والسعر'!$C$2:$C$700,MATCH($C1715,'تحليل التكلفة والسعر'!$B$2:$B$700,0)),0))</f>
        <v>118.34775</v>
      </c>
      <c r="H1715" s="104" t="s">
        <v>719</v>
      </c>
    </row>
    <row r="1716" customFormat="false" ht="15" hidden="false" customHeight="false" outlineLevel="0" collapsed="false">
      <c r="A1716" s="103" t="n">
        <v>46306</v>
      </c>
      <c r="B1716" s="104" t="s">
        <v>34</v>
      </c>
      <c r="C1716" s="104" t="s">
        <v>488</v>
      </c>
      <c r="D1716" s="105" t="n">
        <v>1.5</v>
      </c>
      <c r="E1716" s="106" t="n">
        <v>157.7778</v>
      </c>
      <c r="F1716" s="107" t="n">
        <f aca="false">IF($C1716="","",$D1716*$E1716)</f>
        <v>236.6667</v>
      </c>
      <c r="G1716" s="107" t="n">
        <f aca="false">IF($C1716="","",$D1716*IFERROR(INDEX('تحليل التكلفة والسعر'!$C$2:$C$700,MATCH($C1716,'تحليل التكلفة والسعر'!$B$2:$B$700,0)),0))</f>
        <v>118.34775</v>
      </c>
      <c r="H1716" s="104" t="s">
        <v>719</v>
      </c>
    </row>
    <row r="1717" customFormat="false" ht="15" hidden="false" customHeight="false" outlineLevel="0" collapsed="false">
      <c r="A1717" s="103" t="n">
        <v>46307</v>
      </c>
      <c r="B1717" s="104" t="s">
        <v>34</v>
      </c>
      <c r="C1717" s="104" t="s">
        <v>488</v>
      </c>
      <c r="D1717" s="105" t="n">
        <v>1.5</v>
      </c>
      <c r="E1717" s="106" t="n">
        <v>157.7778</v>
      </c>
      <c r="F1717" s="107" t="n">
        <f aca="false">IF($C1717="","",$D1717*$E1717)</f>
        <v>236.6667</v>
      </c>
      <c r="G1717" s="107" t="n">
        <f aca="false">IF($C1717="","",$D1717*IFERROR(INDEX('تحليل التكلفة والسعر'!$C$2:$C$700,MATCH($C1717,'تحليل التكلفة والسعر'!$B$2:$B$700,0)),0))</f>
        <v>118.34775</v>
      </c>
      <c r="H1717" s="104" t="s">
        <v>719</v>
      </c>
    </row>
    <row r="1718" customFormat="false" ht="15" hidden="false" customHeight="false" outlineLevel="0" collapsed="false">
      <c r="A1718" s="103" t="n">
        <v>46296</v>
      </c>
      <c r="B1718" s="104" t="s">
        <v>34</v>
      </c>
      <c r="C1718" s="104" t="s">
        <v>425</v>
      </c>
      <c r="D1718" s="105" t="n">
        <v>0.75</v>
      </c>
      <c r="E1718" s="106" t="n">
        <v>230</v>
      </c>
      <c r="F1718" s="107" t="n">
        <f aca="false">IF($C1718="","",$D1718*$E1718)</f>
        <v>172.5</v>
      </c>
      <c r="G1718" s="107" t="n">
        <f aca="false">IF($C1718="","",$D1718*IFERROR(INDEX('تحليل التكلفة والسعر'!$C$2:$C$700,MATCH($C1718,'تحليل التكلفة والسعر'!$B$2:$B$700,0)),0))</f>
        <v>86.117025</v>
      </c>
      <c r="H1718" s="104" t="s">
        <v>719</v>
      </c>
    </row>
    <row r="1719" customFormat="false" ht="15" hidden="false" customHeight="false" outlineLevel="0" collapsed="false">
      <c r="A1719" s="103" t="n">
        <v>46297</v>
      </c>
      <c r="B1719" s="104" t="s">
        <v>34</v>
      </c>
      <c r="C1719" s="104" t="s">
        <v>425</v>
      </c>
      <c r="D1719" s="105" t="n">
        <v>0.75</v>
      </c>
      <c r="E1719" s="106" t="n">
        <v>230</v>
      </c>
      <c r="F1719" s="107" t="n">
        <f aca="false">IF($C1719="","",$D1719*$E1719)</f>
        <v>172.5</v>
      </c>
      <c r="G1719" s="107" t="n">
        <f aca="false">IF($C1719="","",$D1719*IFERROR(INDEX('تحليل التكلفة والسعر'!$C$2:$C$700,MATCH($C1719,'تحليل التكلفة والسعر'!$B$2:$B$700,0)),0))</f>
        <v>86.117025</v>
      </c>
      <c r="H1719" s="104" t="s">
        <v>719</v>
      </c>
    </row>
    <row r="1720" customFormat="false" ht="15" hidden="false" customHeight="false" outlineLevel="0" collapsed="false">
      <c r="A1720" s="103" t="n">
        <v>46298</v>
      </c>
      <c r="B1720" s="104" t="s">
        <v>34</v>
      </c>
      <c r="C1720" s="104" t="s">
        <v>425</v>
      </c>
      <c r="D1720" s="105" t="n">
        <v>0.75</v>
      </c>
      <c r="E1720" s="106" t="n">
        <v>230</v>
      </c>
      <c r="F1720" s="107" t="n">
        <f aca="false">IF($C1720="","",$D1720*$E1720)</f>
        <v>172.5</v>
      </c>
      <c r="G1720" s="107" t="n">
        <f aca="false">IF($C1720="","",$D1720*IFERROR(INDEX('تحليل التكلفة والسعر'!$C$2:$C$700,MATCH($C1720,'تحليل التكلفة والسعر'!$B$2:$B$700,0)),0))</f>
        <v>86.117025</v>
      </c>
      <c r="H1720" s="104" t="s">
        <v>719</v>
      </c>
    </row>
    <row r="1721" customFormat="false" ht="15" hidden="false" customHeight="false" outlineLevel="0" collapsed="false">
      <c r="A1721" s="103" t="n">
        <v>46299</v>
      </c>
      <c r="B1721" s="104" t="s">
        <v>34</v>
      </c>
      <c r="C1721" s="104" t="s">
        <v>425</v>
      </c>
      <c r="D1721" s="105" t="n">
        <v>0.75</v>
      </c>
      <c r="E1721" s="106" t="n">
        <v>230</v>
      </c>
      <c r="F1721" s="107" t="n">
        <f aca="false">IF($C1721="","",$D1721*$E1721)</f>
        <v>172.5</v>
      </c>
      <c r="G1721" s="107" t="n">
        <f aca="false">IF($C1721="","",$D1721*IFERROR(INDEX('تحليل التكلفة والسعر'!$C$2:$C$700,MATCH($C1721,'تحليل التكلفة والسعر'!$B$2:$B$700,0)),0))</f>
        <v>86.117025</v>
      </c>
      <c r="H1721" s="104" t="s">
        <v>719</v>
      </c>
    </row>
    <row r="1722" customFormat="false" ht="15" hidden="false" customHeight="false" outlineLevel="0" collapsed="false">
      <c r="A1722" s="103" t="n">
        <v>46300</v>
      </c>
      <c r="B1722" s="104" t="s">
        <v>34</v>
      </c>
      <c r="C1722" s="104" t="s">
        <v>425</v>
      </c>
      <c r="D1722" s="105" t="n">
        <v>0.75</v>
      </c>
      <c r="E1722" s="106" t="n">
        <v>230</v>
      </c>
      <c r="F1722" s="107" t="n">
        <f aca="false">IF($C1722="","",$D1722*$E1722)</f>
        <v>172.5</v>
      </c>
      <c r="G1722" s="107" t="n">
        <f aca="false">IF($C1722="","",$D1722*IFERROR(INDEX('تحليل التكلفة والسعر'!$C$2:$C$700,MATCH($C1722,'تحليل التكلفة والسعر'!$B$2:$B$700,0)),0))</f>
        <v>86.117025</v>
      </c>
      <c r="H1722" s="104" t="s">
        <v>719</v>
      </c>
    </row>
    <row r="1723" customFormat="false" ht="15" hidden="false" customHeight="false" outlineLevel="0" collapsed="false">
      <c r="A1723" s="103" t="n">
        <v>46301</v>
      </c>
      <c r="B1723" s="104" t="s">
        <v>34</v>
      </c>
      <c r="C1723" s="104" t="s">
        <v>425</v>
      </c>
      <c r="D1723" s="105" t="n">
        <v>0.75</v>
      </c>
      <c r="E1723" s="106" t="n">
        <v>230</v>
      </c>
      <c r="F1723" s="107" t="n">
        <f aca="false">IF($C1723="","",$D1723*$E1723)</f>
        <v>172.5</v>
      </c>
      <c r="G1723" s="107" t="n">
        <f aca="false">IF($C1723="","",$D1723*IFERROR(INDEX('تحليل التكلفة والسعر'!$C$2:$C$700,MATCH($C1723,'تحليل التكلفة والسعر'!$B$2:$B$700,0)),0))</f>
        <v>86.117025</v>
      </c>
      <c r="H1723" s="104" t="s">
        <v>719</v>
      </c>
    </row>
    <row r="1724" customFormat="false" ht="15" hidden="false" customHeight="false" outlineLevel="0" collapsed="false">
      <c r="A1724" s="103" t="n">
        <v>46302</v>
      </c>
      <c r="B1724" s="104" t="s">
        <v>34</v>
      </c>
      <c r="C1724" s="104" t="s">
        <v>425</v>
      </c>
      <c r="D1724" s="105" t="n">
        <v>0.75</v>
      </c>
      <c r="E1724" s="106" t="n">
        <v>230</v>
      </c>
      <c r="F1724" s="107" t="n">
        <f aca="false">IF($C1724="","",$D1724*$E1724)</f>
        <v>172.5</v>
      </c>
      <c r="G1724" s="107" t="n">
        <f aca="false">IF($C1724="","",$D1724*IFERROR(INDEX('تحليل التكلفة والسعر'!$C$2:$C$700,MATCH($C1724,'تحليل التكلفة والسعر'!$B$2:$B$700,0)),0))</f>
        <v>86.117025</v>
      </c>
      <c r="H1724" s="104" t="s">
        <v>719</v>
      </c>
    </row>
    <row r="1725" customFormat="false" ht="15" hidden="false" customHeight="false" outlineLevel="0" collapsed="false">
      <c r="A1725" s="103" t="n">
        <v>46303</v>
      </c>
      <c r="B1725" s="104" t="s">
        <v>34</v>
      </c>
      <c r="C1725" s="104" t="s">
        <v>425</v>
      </c>
      <c r="D1725" s="105" t="n">
        <v>0.75</v>
      </c>
      <c r="E1725" s="106" t="n">
        <v>230</v>
      </c>
      <c r="F1725" s="107" t="n">
        <f aca="false">IF($C1725="","",$D1725*$E1725)</f>
        <v>172.5</v>
      </c>
      <c r="G1725" s="107" t="n">
        <f aca="false">IF($C1725="","",$D1725*IFERROR(INDEX('تحليل التكلفة والسعر'!$C$2:$C$700,MATCH($C1725,'تحليل التكلفة والسعر'!$B$2:$B$700,0)),0))</f>
        <v>86.117025</v>
      </c>
      <c r="H1725" s="104" t="s">
        <v>719</v>
      </c>
    </row>
    <row r="1726" customFormat="false" ht="15" hidden="false" customHeight="false" outlineLevel="0" collapsed="false">
      <c r="A1726" s="103" t="n">
        <v>46304</v>
      </c>
      <c r="B1726" s="104" t="s">
        <v>34</v>
      </c>
      <c r="C1726" s="104" t="s">
        <v>425</v>
      </c>
      <c r="D1726" s="105" t="n">
        <v>0.75</v>
      </c>
      <c r="E1726" s="106" t="n">
        <v>230</v>
      </c>
      <c r="F1726" s="107" t="n">
        <f aca="false">IF($C1726="","",$D1726*$E1726)</f>
        <v>172.5</v>
      </c>
      <c r="G1726" s="107" t="n">
        <f aca="false">IF($C1726="","",$D1726*IFERROR(INDEX('تحليل التكلفة والسعر'!$C$2:$C$700,MATCH($C1726,'تحليل التكلفة والسعر'!$B$2:$B$700,0)),0))</f>
        <v>86.117025</v>
      </c>
      <c r="H1726" s="104" t="s">
        <v>719</v>
      </c>
    </row>
    <row r="1727" customFormat="false" ht="15" hidden="false" customHeight="false" outlineLevel="0" collapsed="false">
      <c r="A1727" s="103" t="n">
        <v>46305</v>
      </c>
      <c r="B1727" s="104" t="s">
        <v>34</v>
      </c>
      <c r="C1727" s="104" t="s">
        <v>425</v>
      </c>
      <c r="D1727" s="105" t="n">
        <v>0.75</v>
      </c>
      <c r="E1727" s="106" t="n">
        <v>230</v>
      </c>
      <c r="F1727" s="107" t="n">
        <f aca="false">IF($C1727="","",$D1727*$E1727)</f>
        <v>172.5</v>
      </c>
      <c r="G1727" s="107" t="n">
        <f aca="false">IF($C1727="","",$D1727*IFERROR(INDEX('تحليل التكلفة والسعر'!$C$2:$C$700,MATCH($C1727,'تحليل التكلفة والسعر'!$B$2:$B$700,0)),0))</f>
        <v>86.117025</v>
      </c>
      <c r="H1727" s="104" t="s">
        <v>719</v>
      </c>
    </row>
    <row r="1728" customFormat="false" ht="15" hidden="false" customHeight="false" outlineLevel="0" collapsed="false">
      <c r="A1728" s="103" t="n">
        <v>46306</v>
      </c>
      <c r="B1728" s="104" t="s">
        <v>34</v>
      </c>
      <c r="C1728" s="104" t="s">
        <v>425</v>
      </c>
      <c r="D1728" s="105" t="n">
        <v>0.75</v>
      </c>
      <c r="E1728" s="106" t="n">
        <v>230</v>
      </c>
      <c r="F1728" s="107" t="n">
        <f aca="false">IF($C1728="","",$D1728*$E1728)</f>
        <v>172.5</v>
      </c>
      <c r="G1728" s="107" t="n">
        <f aca="false">IF($C1728="","",$D1728*IFERROR(INDEX('تحليل التكلفة والسعر'!$C$2:$C$700,MATCH($C1728,'تحليل التكلفة والسعر'!$B$2:$B$700,0)),0))</f>
        <v>86.117025</v>
      </c>
      <c r="H1728" s="104" t="s">
        <v>719</v>
      </c>
    </row>
    <row r="1729" customFormat="false" ht="15" hidden="false" customHeight="false" outlineLevel="0" collapsed="false">
      <c r="A1729" s="103" t="n">
        <v>46307</v>
      </c>
      <c r="B1729" s="104" t="s">
        <v>34</v>
      </c>
      <c r="C1729" s="104" t="s">
        <v>425</v>
      </c>
      <c r="D1729" s="105" t="n">
        <v>0.75</v>
      </c>
      <c r="E1729" s="106" t="n">
        <v>230</v>
      </c>
      <c r="F1729" s="107" t="n">
        <f aca="false">IF($C1729="","",$D1729*$E1729)</f>
        <v>172.5</v>
      </c>
      <c r="G1729" s="107" t="n">
        <f aca="false">IF($C1729="","",$D1729*IFERROR(INDEX('تحليل التكلفة والسعر'!$C$2:$C$700,MATCH($C1729,'تحليل التكلفة والسعر'!$B$2:$B$700,0)),0))</f>
        <v>86.117025</v>
      </c>
      <c r="H1729" s="104" t="s">
        <v>719</v>
      </c>
    </row>
    <row r="1730" customFormat="false" ht="15" hidden="false" customHeight="false" outlineLevel="0" collapsed="false">
      <c r="A1730" s="103" t="n">
        <v>46296</v>
      </c>
      <c r="B1730" s="104" t="s">
        <v>34</v>
      </c>
      <c r="C1730" s="104" t="s">
        <v>484</v>
      </c>
      <c r="D1730" s="105" t="n">
        <v>6.25</v>
      </c>
      <c r="E1730" s="106" t="n">
        <v>149</v>
      </c>
      <c r="F1730" s="107" t="n">
        <f aca="false">IF($C1730="","",$D1730*$E1730)</f>
        <v>931.25</v>
      </c>
      <c r="G1730" s="107" t="n">
        <f aca="false">IF($C1730="","",$D1730*IFERROR(INDEX('تحليل التكلفة والسعر'!$C$2:$C$700,MATCH($C1730,'تحليل التكلفة والسعر'!$B$2:$B$700,0)),0))</f>
        <v>514.990625</v>
      </c>
      <c r="H1730" s="104" t="s">
        <v>719</v>
      </c>
    </row>
    <row r="1731" customFormat="false" ht="15" hidden="false" customHeight="false" outlineLevel="0" collapsed="false">
      <c r="A1731" s="103" t="n">
        <v>46297</v>
      </c>
      <c r="B1731" s="104" t="s">
        <v>34</v>
      </c>
      <c r="C1731" s="104" t="s">
        <v>484</v>
      </c>
      <c r="D1731" s="105" t="n">
        <v>6.25</v>
      </c>
      <c r="E1731" s="106" t="n">
        <v>149</v>
      </c>
      <c r="F1731" s="107" t="n">
        <f aca="false">IF($C1731="","",$D1731*$E1731)</f>
        <v>931.25</v>
      </c>
      <c r="G1731" s="107" t="n">
        <f aca="false">IF($C1731="","",$D1731*IFERROR(INDEX('تحليل التكلفة والسعر'!$C$2:$C$700,MATCH($C1731,'تحليل التكلفة والسعر'!$B$2:$B$700,0)),0))</f>
        <v>514.990625</v>
      </c>
      <c r="H1731" s="104" t="s">
        <v>719</v>
      </c>
    </row>
    <row r="1732" customFormat="false" ht="15" hidden="false" customHeight="false" outlineLevel="0" collapsed="false">
      <c r="A1732" s="103" t="n">
        <v>46298</v>
      </c>
      <c r="B1732" s="104" t="s">
        <v>34</v>
      </c>
      <c r="C1732" s="104" t="s">
        <v>484</v>
      </c>
      <c r="D1732" s="105" t="n">
        <v>6.25</v>
      </c>
      <c r="E1732" s="106" t="n">
        <v>149</v>
      </c>
      <c r="F1732" s="107" t="n">
        <f aca="false">IF($C1732="","",$D1732*$E1732)</f>
        <v>931.25</v>
      </c>
      <c r="G1732" s="107" t="n">
        <f aca="false">IF($C1732="","",$D1732*IFERROR(INDEX('تحليل التكلفة والسعر'!$C$2:$C$700,MATCH($C1732,'تحليل التكلفة والسعر'!$B$2:$B$700,0)),0))</f>
        <v>514.990625</v>
      </c>
      <c r="H1732" s="104" t="s">
        <v>719</v>
      </c>
    </row>
    <row r="1733" customFormat="false" ht="15" hidden="false" customHeight="false" outlineLevel="0" collapsed="false">
      <c r="A1733" s="103" t="n">
        <v>46299</v>
      </c>
      <c r="B1733" s="104" t="s">
        <v>34</v>
      </c>
      <c r="C1733" s="104" t="s">
        <v>484</v>
      </c>
      <c r="D1733" s="105" t="n">
        <v>6.25</v>
      </c>
      <c r="E1733" s="106" t="n">
        <v>149</v>
      </c>
      <c r="F1733" s="107" t="n">
        <f aca="false">IF($C1733="","",$D1733*$E1733)</f>
        <v>931.25</v>
      </c>
      <c r="G1733" s="107" t="n">
        <f aca="false">IF($C1733="","",$D1733*IFERROR(INDEX('تحليل التكلفة والسعر'!$C$2:$C$700,MATCH($C1733,'تحليل التكلفة والسعر'!$B$2:$B$700,0)),0))</f>
        <v>514.990625</v>
      </c>
      <c r="H1733" s="104" t="s">
        <v>719</v>
      </c>
    </row>
    <row r="1734" customFormat="false" ht="15" hidden="false" customHeight="false" outlineLevel="0" collapsed="false">
      <c r="A1734" s="103" t="n">
        <v>46300</v>
      </c>
      <c r="B1734" s="104" t="s">
        <v>34</v>
      </c>
      <c r="C1734" s="104" t="s">
        <v>484</v>
      </c>
      <c r="D1734" s="105" t="n">
        <v>6.25</v>
      </c>
      <c r="E1734" s="106" t="n">
        <v>149</v>
      </c>
      <c r="F1734" s="107" t="n">
        <f aca="false">IF($C1734="","",$D1734*$E1734)</f>
        <v>931.25</v>
      </c>
      <c r="G1734" s="107" t="n">
        <f aca="false">IF($C1734="","",$D1734*IFERROR(INDEX('تحليل التكلفة والسعر'!$C$2:$C$700,MATCH($C1734,'تحليل التكلفة والسعر'!$B$2:$B$700,0)),0))</f>
        <v>514.990625</v>
      </c>
      <c r="H1734" s="104" t="s">
        <v>719</v>
      </c>
    </row>
    <row r="1735" customFormat="false" ht="15" hidden="false" customHeight="false" outlineLevel="0" collapsed="false">
      <c r="A1735" s="103" t="n">
        <v>46301</v>
      </c>
      <c r="B1735" s="104" t="s">
        <v>34</v>
      </c>
      <c r="C1735" s="104" t="s">
        <v>484</v>
      </c>
      <c r="D1735" s="105" t="n">
        <v>6.25</v>
      </c>
      <c r="E1735" s="106" t="n">
        <v>149</v>
      </c>
      <c r="F1735" s="107" t="n">
        <f aca="false">IF($C1735="","",$D1735*$E1735)</f>
        <v>931.25</v>
      </c>
      <c r="G1735" s="107" t="n">
        <f aca="false">IF($C1735="","",$D1735*IFERROR(INDEX('تحليل التكلفة والسعر'!$C$2:$C$700,MATCH($C1735,'تحليل التكلفة والسعر'!$B$2:$B$700,0)),0))</f>
        <v>514.990625</v>
      </c>
      <c r="H1735" s="104" t="s">
        <v>719</v>
      </c>
    </row>
    <row r="1736" customFormat="false" ht="15" hidden="false" customHeight="false" outlineLevel="0" collapsed="false">
      <c r="A1736" s="103" t="n">
        <v>46302</v>
      </c>
      <c r="B1736" s="104" t="s">
        <v>34</v>
      </c>
      <c r="C1736" s="104" t="s">
        <v>484</v>
      </c>
      <c r="D1736" s="105" t="n">
        <v>6.25</v>
      </c>
      <c r="E1736" s="106" t="n">
        <v>149</v>
      </c>
      <c r="F1736" s="107" t="n">
        <f aca="false">IF($C1736="","",$D1736*$E1736)</f>
        <v>931.25</v>
      </c>
      <c r="G1736" s="107" t="n">
        <f aca="false">IF($C1736="","",$D1736*IFERROR(INDEX('تحليل التكلفة والسعر'!$C$2:$C$700,MATCH($C1736,'تحليل التكلفة والسعر'!$B$2:$B$700,0)),0))</f>
        <v>514.990625</v>
      </c>
      <c r="H1736" s="104" t="s">
        <v>719</v>
      </c>
    </row>
    <row r="1737" customFormat="false" ht="15" hidden="false" customHeight="false" outlineLevel="0" collapsed="false">
      <c r="A1737" s="103" t="n">
        <v>46303</v>
      </c>
      <c r="B1737" s="104" t="s">
        <v>34</v>
      </c>
      <c r="C1737" s="104" t="s">
        <v>484</v>
      </c>
      <c r="D1737" s="105" t="n">
        <v>6.25</v>
      </c>
      <c r="E1737" s="106" t="n">
        <v>149</v>
      </c>
      <c r="F1737" s="107" t="n">
        <f aca="false">IF($C1737="","",$D1737*$E1737)</f>
        <v>931.25</v>
      </c>
      <c r="G1737" s="107" t="n">
        <f aca="false">IF($C1737="","",$D1737*IFERROR(INDEX('تحليل التكلفة والسعر'!$C$2:$C$700,MATCH($C1737,'تحليل التكلفة والسعر'!$B$2:$B$700,0)),0))</f>
        <v>514.990625</v>
      </c>
      <c r="H1737" s="104" t="s">
        <v>719</v>
      </c>
    </row>
    <row r="1738" customFormat="false" ht="15" hidden="false" customHeight="false" outlineLevel="0" collapsed="false">
      <c r="A1738" s="103" t="n">
        <v>46304</v>
      </c>
      <c r="B1738" s="104" t="s">
        <v>34</v>
      </c>
      <c r="C1738" s="104" t="s">
        <v>484</v>
      </c>
      <c r="D1738" s="105" t="n">
        <v>6.25</v>
      </c>
      <c r="E1738" s="106" t="n">
        <v>149</v>
      </c>
      <c r="F1738" s="107" t="n">
        <f aca="false">IF($C1738="","",$D1738*$E1738)</f>
        <v>931.25</v>
      </c>
      <c r="G1738" s="107" t="n">
        <f aca="false">IF($C1738="","",$D1738*IFERROR(INDEX('تحليل التكلفة والسعر'!$C$2:$C$700,MATCH($C1738,'تحليل التكلفة والسعر'!$B$2:$B$700,0)),0))</f>
        <v>514.990625</v>
      </c>
      <c r="H1738" s="104" t="s">
        <v>719</v>
      </c>
    </row>
    <row r="1739" customFormat="false" ht="15" hidden="false" customHeight="false" outlineLevel="0" collapsed="false">
      <c r="A1739" s="103" t="n">
        <v>46305</v>
      </c>
      <c r="B1739" s="104" t="s">
        <v>34</v>
      </c>
      <c r="C1739" s="104" t="s">
        <v>484</v>
      </c>
      <c r="D1739" s="105" t="n">
        <v>6.25</v>
      </c>
      <c r="E1739" s="106" t="n">
        <v>149</v>
      </c>
      <c r="F1739" s="107" t="n">
        <f aca="false">IF($C1739="","",$D1739*$E1739)</f>
        <v>931.25</v>
      </c>
      <c r="G1739" s="107" t="n">
        <f aca="false">IF($C1739="","",$D1739*IFERROR(INDEX('تحليل التكلفة والسعر'!$C$2:$C$700,MATCH($C1739,'تحليل التكلفة والسعر'!$B$2:$B$700,0)),0))</f>
        <v>514.990625</v>
      </c>
      <c r="H1739" s="104" t="s">
        <v>719</v>
      </c>
    </row>
    <row r="1740" customFormat="false" ht="15" hidden="false" customHeight="false" outlineLevel="0" collapsed="false">
      <c r="A1740" s="103" t="n">
        <v>46306</v>
      </c>
      <c r="B1740" s="104" t="s">
        <v>34</v>
      </c>
      <c r="C1740" s="104" t="s">
        <v>484</v>
      </c>
      <c r="D1740" s="105" t="n">
        <v>6.25</v>
      </c>
      <c r="E1740" s="106" t="n">
        <v>149</v>
      </c>
      <c r="F1740" s="107" t="n">
        <f aca="false">IF($C1740="","",$D1740*$E1740)</f>
        <v>931.25</v>
      </c>
      <c r="G1740" s="107" t="n">
        <f aca="false">IF($C1740="","",$D1740*IFERROR(INDEX('تحليل التكلفة والسعر'!$C$2:$C$700,MATCH($C1740,'تحليل التكلفة والسعر'!$B$2:$B$700,0)),0))</f>
        <v>514.990625</v>
      </c>
      <c r="H1740" s="104" t="s">
        <v>719</v>
      </c>
    </row>
    <row r="1741" customFormat="false" ht="15" hidden="false" customHeight="false" outlineLevel="0" collapsed="false">
      <c r="A1741" s="103" t="n">
        <v>46307</v>
      </c>
      <c r="B1741" s="104" t="s">
        <v>34</v>
      </c>
      <c r="C1741" s="104" t="s">
        <v>484</v>
      </c>
      <c r="D1741" s="105" t="n">
        <v>6.25</v>
      </c>
      <c r="E1741" s="106" t="n">
        <v>149</v>
      </c>
      <c r="F1741" s="107" t="n">
        <f aca="false">IF($C1741="","",$D1741*$E1741)</f>
        <v>931.25</v>
      </c>
      <c r="G1741" s="107" t="n">
        <f aca="false">IF($C1741="","",$D1741*IFERROR(INDEX('تحليل التكلفة والسعر'!$C$2:$C$700,MATCH($C1741,'تحليل التكلفة والسعر'!$B$2:$B$700,0)),0))</f>
        <v>514.990625</v>
      </c>
      <c r="H1741" s="104" t="s">
        <v>719</v>
      </c>
    </row>
    <row r="1742" customFormat="false" ht="15" hidden="false" customHeight="false" outlineLevel="0" collapsed="false">
      <c r="A1742" s="103" t="n">
        <v>46296</v>
      </c>
      <c r="B1742" s="104" t="s">
        <v>34</v>
      </c>
      <c r="C1742" s="104" t="s">
        <v>464</v>
      </c>
      <c r="D1742" s="105" t="n">
        <v>0.1667</v>
      </c>
      <c r="E1742" s="106" t="n">
        <v>160</v>
      </c>
      <c r="F1742" s="107" t="n">
        <f aca="false">IF($C1742="","",$D1742*$E1742)</f>
        <v>26.672</v>
      </c>
      <c r="G1742" s="107" t="n">
        <f aca="false">IF($C1742="","",$D1742*IFERROR(INDEX('تحليل التكلفة والسعر'!$C$2:$C$700,MATCH($C1742,'تحليل التكلفة والسعر'!$B$2:$B$700,0)),0))</f>
        <v>14.00183314</v>
      </c>
      <c r="H1742" s="104" t="s">
        <v>719</v>
      </c>
    </row>
    <row r="1743" customFormat="false" ht="15" hidden="false" customHeight="false" outlineLevel="0" collapsed="false">
      <c r="A1743" s="103" t="n">
        <v>46297</v>
      </c>
      <c r="B1743" s="104" t="s">
        <v>34</v>
      </c>
      <c r="C1743" s="104" t="s">
        <v>464</v>
      </c>
      <c r="D1743" s="105" t="n">
        <v>0.1667</v>
      </c>
      <c r="E1743" s="106" t="n">
        <v>160</v>
      </c>
      <c r="F1743" s="107" t="n">
        <f aca="false">IF($C1743="","",$D1743*$E1743)</f>
        <v>26.672</v>
      </c>
      <c r="G1743" s="107" t="n">
        <f aca="false">IF($C1743="","",$D1743*IFERROR(INDEX('تحليل التكلفة والسعر'!$C$2:$C$700,MATCH($C1743,'تحليل التكلفة والسعر'!$B$2:$B$700,0)),0))</f>
        <v>14.00183314</v>
      </c>
      <c r="H1743" s="104" t="s">
        <v>719</v>
      </c>
    </row>
    <row r="1744" customFormat="false" ht="15" hidden="false" customHeight="false" outlineLevel="0" collapsed="false">
      <c r="A1744" s="103" t="n">
        <v>46298</v>
      </c>
      <c r="B1744" s="104" t="s">
        <v>34</v>
      </c>
      <c r="C1744" s="104" t="s">
        <v>464</v>
      </c>
      <c r="D1744" s="105" t="n">
        <v>0.1667</v>
      </c>
      <c r="E1744" s="106" t="n">
        <v>160</v>
      </c>
      <c r="F1744" s="107" t="n">
        <f aca="false">IF($C1744="","",$D1744*$E1744)</f>
        <v>26.672</v>
      </c>
      <c r="G1744" s="107" t="n">
        <f aca="false">IF($C1744="","",$D1744*IFERROR(INDEX('تحليل التكلفة والسعر'!$C$2:$C$700,MATCH($C1744,'تحليل التكلفة والسعر'!$B$2:$B$700,0)),0))</f>
        <v>14.00183314</v>
      </c>
      <c r="H1744" s="104" t="s">
        <v>719</v>
      </c>
    </row>
    <row r="1745" customFormat="false" ht="15" hidden="false" customHeight="false" outlineLevel="0" collapsed="false">
      <c r="A1745" s="103" t="n">
        <v>46299</v>
      </c>
      <c r="B1745" s="104" t="s">
        <v>34</v>
      </c>
      <c r="C1745" s="104" t="s">
        <v>464</v>
      </c>
      <c r="D1745" s="105" t="n">
        <v>0.1667</v>
      </c>
      <c r="E1745" s="106" t="n">
        <v>160</v>
      </c>
      <c r="F1745" s="107" t="n">
        <f aca="false">IF($C1745="","",$D1745*$E1745)</f>
        <v>26.672</v>
      </c>
      <c r="G1745" s="107" t="n">
        <f aca="false">IF($C1745="","",$D1745*IFERROR(INDEX('تحليل التكلفة والسعر'!$C$2:$C$700,MATCH($C1745,'تحليل التكلفة والسعر'!$B$2:$B$700,0)),0))</f>
        <v>14.00183314</v>
      </c>
      <c r="H1745" s="104" t="s">
        <v>719</v>
      </c>
    </row>
    <row r="1746" customFormat="false" ht="15" hidden="false" customHeight="false" outlineLevel="0" collapsed="false">
      <c r="A1746" s="103" t="n">
        <v>46300</v>
      </c>
      <c r="B1746" s="104" t="s">
        <v>34</v>
      </c>
      <c r="C1746" s="104" t="s">
        <v>464</v>
      </c>
      <c r="D1746" s="105" t="n">
        <v>0.1667</v>
      </c>
      <c r="E1746" s="106" t="n">
        <v>160</v>
      </c>
      <c r="F1746" s="107" t="n">
        <f aca="false">IF($C1746="","",$D1746*$E1746)</f>
        <v>26.672</v>
      </c>
      <c r="G1746" s="107" t="n">
        <f aca="false">IF($C1746="","",$D1746*IFERROR(INDEX('تحليل التكلفة والسعر'!$C$2:$C$700,MATCH($C1746,'تحليل التكلفة والسعر'!$B$2:$B$700,0)),0))</f>
        <v>14.00183314</v>
      </c>
      <c r="H1746" s="104" t="s">
        <v>719</v>
      </c>
    </row>
    <row r="1747" customFormat="false" ht="15" hidden="false" customHeight="false" outlineLevel="0" collapsed="false">
      <c r="A1747" s="103" t="n">
        <v>46301</v>
      </c>
      <c r="B1747" s="104" t="s">
        <v>34</v>
      </c>
      <c r="C1747" s="104" t="s">
        <v>464</v>
      </c>
      <c r="D1747" s="105" t="n">
        <v>0.1667</v>
      </c>
      <c r="E1747" s="106" t="n">
        <v>160</v>
      </c>
      <c r="F1747" s="107" t="n">
        <f aca="false">IF($C1747="","",$D1747*$E1747)</f>
        <v>26.672</v>
      </c>
      <c r="G1747" s="107" t="n">
        <f aca="false">IF($C1747="","",$D1747*IFERROR(INDEX('تحليل التكلفة والسعر'!$C$2:$C$700,MATCH($C1747,'تحليل التكلفة والسعر'!$B$2:$B$700,0)),0))</f>
        <v>14.00183314</v>
      </c>
      <c r="H1747" s="104" t="s">
        <v>719</v>
      </c>
    </row>
    <row r="1748" customFormat="false" ht="15" hidden="false" customHeight="false" outlineLevel="0" collapsed="false">
      <c r="A1748" s="103" t="n">
        <v>46302</v>
      </c>
      <c r="B1748" s="104" t="s">
        <v>34</v>
      </c>
      <c r="C1748" s="104" t="s">
        <v>464</v>
      </c>
      <c r="D1748" s="105" t="n">
        <v>0.1667</v>
      </c>
      <c r="E1748" s="106" t="n">
        <v>160</v>
      </c>
      <c r="F1748" s="107" t="n">
        <f aca="false">IF($C1748="","",$D1748*$E1748)</f>
        <v>26.672</v>
      </c>
      <c r="G1748" s="107" t="n">
        <f aca="false">IF($C1748="","",$D1748*IFERROR(INDEX('تحليل التكلفة والسعر'!$C$2:$C$700,MATCH($C1748,'تحليل التكلفة والسعر'!$B$2:$B$700,0)),0))</f>
        <v>14.00183314</v>
      </c>
      <c r="H1748" s="104" t="s">
        <v>719</v>
      </c>
    </row>
    <row r="1749" customFormat="false" ht="15" hidden="false" customHeight="false" outlineLevel="0" collapsed="false">
      <c r="A1749" s="103" t="n">
        <v>46303</v>
      </c>
      <c r="B1749" s="104" t="s">
        <v>34</v>
      </c>
      <c r="C1749" s="104" t="s">
        <v>464</v>
      </c>
      <c r="D1749" s="105" t="n">
        <v>0.1667</v>
      </c>
      <c r="E1749" s="106" t="n">
        <v>160</v>
      </c>
      <c r="F1749" s="107" t="n">
        <f aca="false">IF($C1749="","",$D1749*$E1749)</f>
        <v>26.672</v>
      </c>
      <c r="G1749" s="107" t="n">
        <f aca="false">IF($C1749="","",$D1749*IFERROR(INDEX('تحليل التكلفة والسعر'!$C$2:$C$700,MATCH($C1749,'تحليل التكلفة والسعر'!$B$2:$B$700,0)),0))</f>
        <v>14.00183314</v>
      </c>
      <c r="H1749" s="104" t="s">
        <v>719</v>
      </c>
    </row>
    <row r="1750" customFormat="false" ht="15" hidden="false" customHeight="false" outlineLevel="0" collapsed="false">
      <c r="A1750" s="103" t="n">
        <v>46304</v>
      </c>
      <c r="B1750" s="104" t="s">
        <v>34</v>
      </c>
      <c r="C1750" s="104" t="s">
        <v>464</v>
      </c>
      <c r="D1750" s="105" t="n">
        <v>0.1667</v>
      </c>
      <c r="E1750" s="106" t="n">
        <v>160</v>
      </c>
      <c r="F1750" s="107" t="n">
        <f aca="false">IF($C1750="","",$D1750*$E1750)</f>
        <v>26.672</v>
      </c>
      <c r="G1750" s="107" t="n">
        <f aca="false">IF($C1750="","",$D1750*IFERROR(INDEX('تحليل التكلفة والسعر'!$C$2:$C$700,MATCH($C1750,'تحليل التكلفة والسعر'!$B$2:$B$700,0)),0))</f>
        <v>14.00183314</v>
      </c>
      <c r="H1750" s="104" t="s">
        <v>719</v>
      </c>
    </row>
    <row r="1751" customFormat="false" ht="15" hidden="false" customHeight="false" outlineLevel="0" collapsed="false">
      <c r="A1751" s="103" t="n">
        <v>46305</v>
      </c>
      <c r="B1751" s="104" t="s">
        <v>34</v>
      </c>
      <c r="C1751" s="104" t="s">
        <v>464</v>
      </c>
      <c r="D1751" s="105" t="n">
        <v>0.1667</v>
      </c>
      <c r="E1751" s="106" t="n">
        <v>160</v>
      </c>
      <c r="F1751" s="107" t="n">
        <f aca="false">IF($C1751="","",$D1751*$E1751)</f>
        <v>26.672</v>
      </c>
      <c r="G1751" s="107" t="n">
        <f aca="false">IF($C1751="","",$D1751*IFERROR(INDEX('تحليل التكلفة والسعر'!$C$2:$C$700,MATCH($C1751,'تحليل التكلفة والسعر'!$B$2:$B$700,0)),0))</f>
        <v>14.00183314</v>
      </c>
      <c r="H1751" s="104" t="s">
        <v>719</v>
      </c>
    </row>
    <row r="1752" customFormat="false" ht="15" hidden="false" customHeight="false" outlineLevel="0" collapsed="false">
      <c r="A1752" s="103" t="n">
        <v>46306</v>
      </c>
      <c r="B1752" s="104" t="s">
        <v>34</v>
      </c>
      <c r="C1752" s="104" t="s">
        <v>464</v>
      </c>
      <c r="D1752" s="105" t="n">
        <v>0.1667</v>
      </c>
      <c r="E1752" s="106" t="n">
        <v>160</v>
      </c>
      <c r="F1752" s="107" t="n">
        <f aca="false">IF($C1752="","",$D1752*$E1752)</f>
        <v>26.672</v>
      </c>
      <c r="G1752" s="107" t="n">
        <f aca="false">IF($C1752="","",$D1752*IFERROR(INDEX('تحليل التكلفة والسعر'!$C$2:$C$700,MATCH($C1752,'تحليل التكلفة والسعر'!$B$2:$B$700,0)),0))</f>
        <v>14.00183314</v>
      </c>
      <c r="H1752" s="104" t="s">
        <v>719</v>
      </c>
    </row>
    <row r="1753" customFormat="false" ht="15" hidden="false" customHeight="false" outlineLevel="0" collapsed="false">
      <c r="A1753" s="103" t="n">
        <v>46307</v>
      </c>
      <c r="B1753" s="104" t="s">
        <v>34</v>
      </c>
      <c r="C1753" s="104" t="s">
        <v>464</v>
      </c>
      <c r="D1753" s="105" t="n">
        <v>0.1667</v>
      </c>
      <c r="E1753" s="106" t="n">
        <v>160</v>
      </c>
      <c r="F1753" s="107" t="n">
        <f aca="false">IF($C1753="","",$D1753*$E1753)</f>
        <v>26.672</v>
      </c>
      <c r="G1753" s="107" t="n">
        <f aca="false">IF($C1753="","",$D1753*IFERROR(INDEX('تحليل التكلفة والسعر'!$C$2:$C$700,MATCH($C1753,'تحليل التكلفة والسعر'!$B$2:$B$700,0)),0))</f>
        <v>14.00183314</v>
      </c>
      <c r="H1753" s="104" t="s">
        <v>719</v>
      </c>
    </row>
    <row r="1754" customFormat="false" ht="15" hidden="false" customHeight="false" outlineLevel="0" collapsed="false">
      <c r="A1754" s="103" t="n">
        <v>46296</v>
      </c>
      <c r="B1754" s="104" t="s">
        <v>34</v>
      </c>
      <c r="C1754" s="104" t="s">
        <v>481</v>
      </c>
      <c r="D1754" s="105" t="n">
        <v>0.25</v>
      </c>
      <c r="E1754" s="106" t="n">
        <v>140</v>
      </c>
      <c r="F1754" s="107" t="n">
        <f aca="false">IF($C1754="","",$D1754*$E1754)</f>
        <v>35</v>
      </c>
      <c r="G1754" s="107" t="n">
        <f aca="false">IF($C1754="","",$D1754*IFERROR(INDEX('تحليل التكلفة والسعر'!$C$2:$C$700,MATCH($C1754,'تحليل التكلفة والسعر'!$B$2:$B$700,0)),0))</f>
        <v>21.87355</v>
      </c>
      <c r="H1754" s="104" t="s">
        <v>719</v>
      </c>
    </row>
    <row r="1755" customFormat="false" ht="15" hidden="false" customHeight="false" outlineLevel="0" collapsed="false">
      <c r="A1755" s="103" t="n">
        <v>46297</v>
      </c>
      <c r="B1755" s="104" t="s">
        <v>34</v>
      </c>
      <c r="C1755" s="104" t="s">
        <v>481</v>
      </c>
      <c r="D1755" s="105" t="n">
        <v>0.25</v>
      </c>
      <c r="E1755" s="106" t="n">
        <v>140</v>
      </c>
      <c r="F1755" s="107" t="n">
        <f aca="false">IF($C1755="","",$D1755*$E1755)</f>
        <v>35</v>
      </c>
      <c r="G1755" s="107" t="n">
        <f aca="false">IF($C1755="","",$D1755*IFERROR(INDEX('تحليل التكلفة والسعر'!$C$2:$C$700,MATCH($C1755,'تحليل التكلفة والسعر'!$B$2:$B$700,0)),0))</f>
        <v>21.87355</v>
      </c>
      <c r="H1755" s="104" t="s">
        <v>719</v>
      </c>
    </row>
    <row r="1756" customFormat="false" ht="15" hidden="false" customHeight="false" outlineLevel="0" collapsed="false">
      <c r="A1756" s="103" t="n">
        <v>46298</v>
      </c>
      <c r="B1756" s="104" t="s">
        <v>34</v>
      </c>
      <c r="C1756" s="104" t="s">
        <v>481</v>
      </c>
      <c r="D1756" s="105" t="n">
        <v>0.25</v>
      </c>
      <c r="E1756" s="106" t="n">
        <v>140</v>
      </c>
      <c r="F1756" s="107" t="n">
        <f aca="false">IF($C1756="","",$D1756*$E1756)</f>
        <v>35</v>
      </c>
      <c r="G1756" s="107" t="n">
        <f aca="false">IF($C1756="","",$D1756*IFERROR(INDEX('تحليل التكلفة والسعر'!$C$2:$C$700,MATCH($C1756,'تحليل التكلفة والسعر'!$B$2:$B$700,0)),0))</f>
        <v>21.87355</v>
      </c>
      <c r="H1756" s="104" t="s">
        <v>719</v>
      </c>
    </row>
    <row r="1757" customFormat="false" ht="15" hidden="false" customHeight="false" outlineLevel="0" collapsed="false">
      <c r="A1757" s="103" t="n">
        <v>46299</v>
      </c>
      <c r="B1757" s="104" t="s">
        <v>34</v>
      </c>
      <c r="C1757" s="104" t="s">
        <v>481</v>
      </c>
      <c r="D1757" s="105" t="n">
        <v>0.25</v>
      </c>
      <c r="E1757" s="106" t="n">
        <v>140</v>
      </c>
      <c r="F1757" s="107" t="n">
        <f aca="false">IF($C1757="","",$D1757*$E1757)</f>
        <v>35</v>
      </c>
      <c r="G1757" s="107" t="n">
        <f aca="false">IF($C1757="","",$D1757*IFERROR(INDEX('تحليل التكلفة والسعر'!$C$2:$C$700,MATCH($C1757,'تحليل التكلفة والسعر'!$B$2:$B$700,0)),0))</f>
        <v>21.87355</v>
      </c>
      <c r="H1757" s="104" t="s">
        <v>719</v>
      </c>
    </row>
    <row r="1758" customFormat="false" ht="15" hidden="false" customHeight="false" outlineLevel="0" collapsed="false">
      <c r="A1758" s="103" t="n">
        <v>46300</v>
      </c>
      <c r="B1758" s="104" t="s">
        <v>34</v>
      </c>
      <c r="C1758" s="104" t="s">
        <v>481</v>
      </c>
      <c r="D1758" s="105" t="n">
        <v>0.25</v>
      </c>
      <c r="E1758" s="106" t="n">
        <v>140</v>
      </c>
      <c r="F1758" s="107" t="n">
        <f aca="false">IF($C1758="","",$D1758*$E1758)</f>
        <v>35</v>
      </c>
      <c r="G1758" s="107" t="n">
        <f aca="false">IF($C1758="","",$D1758*IFERROR(INDEX('تحليل التكلفة والسعر'!$C$2:$C$700,MATCH($C1758,'تحليل التكلفة والسعر'!$B$2:$B$700,0)),0))</f>
        <v>21.87355</v>
      </c>
      <c r="H1758" s="104" t="s">
        <v>719</v>
      </c>
    </row>
    <row r="1759" customFormat="false" ht="15" hidden="false" customHeight="false" outlineLevel="0" collapsed="false">
      <c r="A1759" s="103" t="n">
        <v>46301</v>
      </c>
      <c r="B1759" s="104" t="s">
        <v>34</v>
      </c>
      <c r="C1759" s="104" t="s">
        <v>481</v>
      </c>
      <c r="D1759" s="105" t="n">
        <v>0.25</v>
      </c>
      <c r="E1759" s="106" t="n">
        <v>140</v>
      </c>
      <c r="F1759" s="107" t="n">
        <f aca="false">IF($C1759="","",$D1759*$E1759)</f>
        <v>35</v>
      </c>
      <c r="G1759" s="107" t="n">
        <f aca="false">IF($C1759="","",$D1759*IFERROR(INDEX('تحليل التكلفة والسعر'!$C$2:$C$700,MATCH($C1759,'تحليل التكلفة والسعر'!$B$2:$B$700,0)),0))</f>
        <v>21.87355</v>
      </c>
      <c r="H1759" s="104" t="s">
        <v>719</v>
      </c>
    </row>
    <row r="1760" customFormat="false" ht="15" hidden="false" customHeight="false" outlineLevel="0" collapsed="false">
      <c r="A1760" s="103" t="n">
        <v>46302</v>
      </c>
      <c r="B1760" s="104" t="s">
        <v>34</v>
      </c>
      <c r="C1760" s="104" t="s">
        <v>481</v>
      </c>
      <c r="D1760" s="105" t="n">
        <v>0.25</v>
      </c>
      <c r="E1760" s="106" t="n">
        <v>140</v>
      </c>
      <c r="F1760" s="107" t="n">
        <f aca="false">IF($C1760="","",$D1760*$E1760)</f>
        <v>35</v>
      </c>
      <c r="G1760" s="107" t="n">
        <f aca="false">IF($C1760="","",$D1760*IFERROR(INDEX('تحليل التكلفة والسعر'!$C$2:$C$700,MATCH($C1760,'تحليل التكلفة والسعر'!$B$2:$B$700,0)),0))</f>
        <v>21.87355</v>
      </c>
      <c r="H1760" s="104" t="s">
        <v>719</v>
      </c>
    </row>
    <row r="1761" customFormat="false" ht="15" hidden="false" customHeight="false" outlineLevel="0" collapsed="false">
      <c r="A1761" s="103" t="n">
        <v>46303</v>
      </c>
      <c r="B1761" s="104" t="s">
        <v>34</v>
      </c>
      <c r="C1761" s="104" t="s">
        <v>481</v>
      </c>
      <c r="D1761" s="105" t="n">
        <v>0.25</v>
      </c>
      <c r="E1761" s="106" t="n">
        <v>140</v>
      </c>
      <c r="F1761" s="107" t="n">
        <f aca="false">IF($C1761="","",$D1761*$E1761)</f>
        <v>35</v>
      </c>
      <c r="G1761" s="107" t="n">
        <f aca="false">IF($C1761="","",$D1761*IFERROR(INDEX('تحليل التكلفة والسعر'!$C$2:$C$700,MATCH($C1761,'تحليل التكلفة والسعر'!$B$2:$B$700,0)),0))</f>
        <v>21.87355</v>
      </c>
      <c r="H1761" s="104" t="s">
        <v>719</v>
      </c>
    </row>
    <row r="1762" customFormat="false" ht="15" hidden="false" customHeight="false" outlineLevel="0" collapsed="false">
      <c r="A1762" s="103" t="n">
        <v>46304</v>
      </c>
      <c r="B1762" s="104" t="s">
        <v>34</v>
      </c>
      <c r="C1762" s="104" t="s">
        <v>481</v>
      </c>
      <c r="D1762" s="105" t="n">
        <v>0.25</v>
      </c>
      <c r="E1762" s="106" t="n">
        <v>140</v>
      </c>
      <c r="F1762" s="107" t="n">
        <f aca="false">IF($C1762="","",$D1762*$E1762)</f>
        <v>35</v>
      </c>
      <c r="G1762" s="107" t="n">
        <f aca="false">IF($C1762="","",$D1762*IFERROR(INDEX('تحليل التكلفة والسعر'!$C$2:$C$700,MATCH($C1762,'تحليل التكلفة والسعر'!$B$2:$B$700,0)),0))</f>
        <v>21.87355</v>
      </c>
      <c r="H1762" s="104" t="s">
        <v>719</v>
      </c>
    </row>
    <row r="1763" customFormat="false" ht="15" hidden="false" customHeight="false" outlineLevel="0" collapsed="false">
      <c r="A1763" s="103" t="n">
        <v>46305</v>
      </c>
      <c r="B1763" s="104" t="s">
        <v>34</v>
      </c>
      <c r="C1763" s="104" t="s">
        <v>481</v>
      </c>
      <c r="D1763" s="105" t="n">
        <v>0.25</v>
      </c>
      <c r="E1763" s="106" t="n">
        <v>140</v>
      </c>
      <c r="F1763" s="107" t="n">
        <f aca="false">IF($C1763="","",$D1763*$E1763)</f>
        <v>35</v>
      </c>
      <c r="G1763" s="107" t="n">
        <f aca="false">IF($C1763="","",$D1763*IFERROR(INDEX('تحليل التكلفة والسعر'!$C$2:$C$700,MATCH($C1763,'تحليل التكلفة والسعر'!$B$2:$B$700,0)),0))</f>
        <v>21.87355</v>
      </c>
      <c r="H1763" s="104" t="s">
        <v>719</v>
      </c>
    </row>
    <row r="1764" customFormat="false" ht="15" hidden="false" customHeight="false" outlineLevel="0" collapsed="false">
      <c r="A1764" s="103" t="n">
        <v>46306</v>
      </c>
      <c r="B1764" s="104" t="s">
        <v>34</v>
      </c>
      <c r="C1764" s="104" t="s">
        <v>481</v>
      </c>
      <c r="D1764" s="105" t="n">
        <v>0.25</v>
      </c>
      <c r="E1764" s="106" t="n">
        <v>140</v>
      </c>
      <c r="F1764" s="107" t="n">
        <f aca="false">IF($C1764="","",$D1764*$E1764)</f>
        <v>35</v>
      </c>
      <c r="G1764" s="107" t="n">
        <f aca="false">IF($C1764="","",$D1764*IFERROR(INDEX('تحليل التكلفة والسعر'!$C$2:$C$700,MATCH($C1764,'تحليل التكلفة والسعر'!$B$2:$B$700,0)),0))</f>
        <v>21.87355</v>
      </c>
      <c r="H1764" s="104" t="s">
        <v>719</v>
      </c>
    </row>
    <row r="1765" customFormat="false" ht="15" hidden="false" customHeight="false" outlineLevel="0" collapsed="false">
      <c r="A1765" s="103" t="n">
        <v>46307</v>
      </c>
      <c r="B1765" s="104" t="s">
        <v>34</v>
      </c>
      <c r="C1765" s="104" t="s">
        <v>481</v>
      </c>
      <c r="D1765" s="105" t="n">
        <v>0.25</v>
      </c>
      <c r="E1765" s="106" t="n">
        <v>140</v>
      </c>
      <c r="F1765" s="107" t="n">
        <f aca="false">IF($C1765="","",$D1765*$E1765)</f>
        <v>35</v>
      </c>
      <c r="G1765" s="107" t="n">
        <f aca="false">IF($C1765="","",$D1765*IFERROR(INDEX('تحليل التكلفة والسعر'!$C$2:$C$700,MATCH($C1765,'تحليل التكلفة والسعر'!$B$2:$B$700,0)),0))</f>
        <v>21.87355</v>
      </c>
      <c r="H1765" s="104" t="s">
        <v>719</v>
      </c>
    </row>
    <row r="1766" customFormat="false" ht="15" hidden="false" customHeight="false" outlineLevel="0" collapsed="false">
      <c r="A1766" s="103" t="n">
        <v>46296</v>
      </c>
      <c r="B1766" s="104" t="s">
        <v>34</v>
      </c>
      <c r="C1766" s="104" t="s">
        <v>418</v>
      </c>
      <c r="D1766" s="105" t="n">
        <v>1.6667</v>
      </c>
      <c r="E1766" s="106" t="n">
        <v>131</v>
      </c>
      <c r="F1766" s="107" t="n">
        <f aca="false">IF($C1766="","",$D1766*$E1766)</f>
        <v>218.3377</v>
      </c>
      <c r="G1766" s="107" t="n">
        <f aca="false">IF($C1766="","",$D1766*IFERROR(INDEX('تحليل التكلفة والسعر'!$C$2:$C$700,MATCH($C1766,'تحليل التكلفة والسعر'!$B$2:$B$700,0)),0))</f>
        <v>83.8200097</v>
      </c>
      <c r="H1766" s="104" t="s">
        <v>719</v>
      </c>
    </row>
    <row r="1767" customFormat="false" ht="15" hidden="false" customHeight="false" outlineLevel="0" collapsed="false">
      <c r="A1767" s="103" t="n">
        <v>46297</v>
      </c>
      <c r="B1767" s="104" t="s">
        <v>34</v>
      </c>
      <c r="C1767" s="104" t="s">
        <v>418</v>
      </c>
      <c r="D1767" s="105" t="n">
        <v>1.6667</v>
      </c>
      <c r="E1767" s="106" t="n">
        <v>131</v>
      </c>
      <c r="F1767" s="107" t="n">
        <f aca="false">IF($C1767="","",$D1767*$E1767)</f>
        <v>218.3377</v>
      </c>
      <c r="G1767" s="107" t="n">
        <f aca="false">IF($C1767="","",$D1767*IFERROR(INDEX('تحليل التكلفة والسعر'!$C$2:$C$700,MATCH($C1767,'تحليل التكلفة والسعر'!$B$2:$B$700,0)),0))</f>
        <v>83.8200097</v>
      </c>
      <c r="H1767" s="104" t="s">
        <v>719</v>
      </c>
    </row>
    <row r="1768" customFormat="false" ht="15" hidden="false" customHeight="false" outlineLevel="0" collapsed="false">
      <c r="A1768" s="103" t="n">
        <v>46298</v>
      </c>
      <c r="B1768" s="104" t="s">
        <v>34</v>
      </c>
      <c r="C1768" s="104" t="s">
        <v>418</v>
      </c>
      <c r="D1768" s="105" t="n">
        <v>1.6667</v>
      </c>
      <c r="E1768" s="106" t="n">
        <v>131</v>
      </c>
      <c r="F1768" s="107" t="n">
        <f aca="false">IF($C1768="","",$D1768*$E1768)</f>
        <v>218.3377</v>
      </c>
      <c r="G1768" s="107" t="n">
        <f aca="false">IF($C1768="","",$D1768*IFERROR(INDEX('تحليل التكلفة والسعر'!$C$2:$C$700,MATCH($C1768,'تحليل التكلفة والسعر'!$B$2:$B$700,0)),0))</f>
        <v>83.8200097</v>
      </c>
      <c r="H1768" s="104" t="s">
        <v>719</v>
      </c>
    </row>
    <row r="1769" customFormat="false" ht="15" hidden="false" customHeight="false" outlineLevel="0" collapsed="false">
      <c r="A1769" s="103" t="n">
        <v>46299</v>
      </c>
      <c r="B1769" s="104" t="s">
        <v>34</v>
      </c>
      <c r="C1769" s="104" t="s">
        <v>418</v>
      </c>
      <c r="D1769" s="105" t="n">
        <v>1.6667</v>
      </c>
      <c r="E1769" s="106" t="n">
        <v>131</v>
      </c>
      <c r="F1769" s="107" t="n">
        <f aca="false">IF($C1769="","",$D1769*$E1769)</f>
        <v>218.3377</v>
      </c>
      <c r="G1769" s="107" t="n">
        <f aca="false">IF($C1769="","",$D1769*IFERROR(INDEX('تحليل التكلفة والسعر'!$C$2:$C$700,MATCH($C1769,'تحليل التكلفة والسعر'!$B$2:$B$700,0)),0))</f>
        <v>83.8200097</v>
      </c>
      <c r="H1769" s="104" t="s">
        <v>719</v>
      </c>
    </row>
    <row r="1770" customFormat="false" ht="15" hidden="false" customHeight="false" outlineLevel="0" collapsed="false">
      <c r="A1770" s="103" t="n">
        <v>46300</v>
      </c>
      <c r="B1770" s="104" t="s">
        <v>34</v>
      </c>
      <c r="C1770" s="104" t="s">
        <v>418</v>
      </c>
      <c r="D1770" s="105" t="n">
        <v>1.6667</v>
      </c>
      <c r="E1770" s="106" t="n">
        <v>131</v>
      </c>
      <c r="F1770" s="107" t="n">
        <f aca="false">IF($C1770="","",$D1770*$E1770)</f>
        <v>218.3377</v>
      </c>
      <c r="G1770" s="107" t="n">
        <f aca="false">IF($C1770="","",$D1770*IFERROR(INDEX('تحليل التكلفة والسعر'!$C$2:$C$700,MATCH($C1770,'تحليل التكلفة والسعر'!$B$2:$B$700,0)),0))</f>
        <v>83.8200097</v>
      </c>
      <c r="H1770" s="104" t="s">
        <v>719</v>
      </c>
    </row>
    <row r="1771" customFormat="false" ht="15" hidden="false" customHeight="false" outlineLevel="0" collapsed="false">
      <c r="A1771" s="103" t="n">
        <v>46301</v>
      </c>
      <c r="B1771" s="104" t="s">
        <v>34</v>
      </c>
      <c r="C1771" s="104" t="s">
        <v>418</v>
      </c>
      <c r="D1771" s="105" t="n">
        <v>1.6667</v>
      </c>
      <c r="E1771" s="106" t="n">
        <v>131</v>
      </c>
      <c r="F1771" s="107" t="n">
        <f aca="false">IF($C1771="","",$D1771*$E1771)</f>
        <v>218.3377</v>
      </c>
      <c r="G1771" s="107" t="n">
        <f aca="false">IF($C1771="","",$D1771*IFERROR(INDEX('تحليل التكلفة والسعر'!$C$2:$C$700,MATCH($C1771,'تحليل التكلفة والسعر'!$B$2:$B$700,0)),0))</f>
        <v>83.8200097</v>
      </c>
      <c r="H1771" s="104" t="s">
        <v>719</v>
      </c>
    </row>
    <row r="1772" customFormat="false" ht="15" hidden="false" customHeight="false" outlineLevel="0" collapsed="false">
      <c r="A1772" s="103" t="n">
        <v>46302</v>
      </c>
      <c r="B1772" s="104" t="s">
        <v>34</v>
      </c>
      <c r="C1772" s="104" t="s">
        <v>418</v>
      </c>
      <c r="D1772" s="105" t="n">
        <v>1.6667</v>
      </c>
      <c r="E1772" s="106" t="n">
        <v>131</v>
      </c>
      <c r="F1772" s="107" t="n">
        <f aca="false">IF($C1772="","",$D1772*$E1772)</f>
        <v>218.3377</v>
      </c>
      <c r="G1772" s="107" t="n">
        <f aca="false">IF($C1772="","",$D1772*IFERROR(INDEX('تحليل التكلفة والسعر'!$C$2:$C$700,MATCH($C1772,'تحليل التكلفة والسعر'!$B$2:$B$700,0)),0))</f>
        <v>83.8200097</v>
      </c>
      <c r="H1772" s="104" t="s">
        <v>719</v>
      </c>
    </row>
    <row r="1773" customFormat="false" ht="15" hidden="false" customHeight="false" outlineLevel="0" collapsed="false">
      <c r="A1773" s="103" t="n">
        <v>46303</v>
      </c>
      <c r="B1773" s="104" t="s">
        <v>34</v>
      </c>
      <c r="C1773" s="104" t="s">
        <v>418</v>
      </c>
      <c r="D1773" s="105" t="n">
        <v>1.6667</v>
      </c>
      <c r="E1773" s="106" t="n">
        <v>131</v>
      </c>
      <c r="F1773" s="107" t="n">
        <f aca="false">IF($C1773="","",$D1773*$E1773)</f>
        <v>218.3377</v>
      </c>
      <c r="G1773" s="107" t="n">
        <f aca="false">IF($C1773="","",$D1773*IFERROR(INDEX('تحليل التكلفة والسعر'!$C$2:$C$700,MATCH($C1773,'تحليل التكلفة والسعر'!$B$2:$B$700,0)),0))</f>
        <v>83.8200097</v>
      </c>
      <c r="H1773" s="104" t="s">
        <v>719</v>
      </c>
    </row>
    <row r="1774" customFormat="false" ht="15" hidden="false" customHeight="false" outlineLevel="0" collapsed="false">
      <c r="A1774" s="103" t="n">
        <v>46304</v>
      </c>
      <c r="B1774" s="104" t="s">
        <v>34</v>
      </c>
      <c r="C1774" s="104" t="s">
        <v>418</v>
      </c>
      <c r="D1774" s="105" t="n">
        <v>1.6667</v>
      </c>
      <c r="E1774" s="106" t="n">
        <v>131</v>
      </c>
      <c r="F1774" s="107" t="n">
        <f aca="false">IF($C1774="","",$D1774*$E1774)</f>
        <v>218.3377</v>
      </c>
      <c r="G1774" s="107" t="n">
        <f aca="false">IF($C1774="","",$D1774*IFERROR(INDEX('تحليل التكلفة والسعر'!$C$2:$C$700,MATCH($C1774,'تحليل التكلفة والسعر'!$B$2:$B$700,0)),0))</f>
        <v>83.8200097</v>
      </c>
      <c r="H1774" s="104" t="s">
        <v>719</v>
      </c>
    </row>
    <row r="1775" customFormat="false" ht="15" hidden="false" customHeight="false" outlineLevel="0" collapsed="false">
      <c r="A1775" s="103" t="n">
        <v>46305</v>
      </c>
      <c r="B1775" s="104" t="s">
        <v>34</v>
      </c>
      <c r="C1775" s="104" t="s">
        <v>418</v>
      </c>
      <c r="D1775" s="105" t="n">
        <v>1.6667</v>
      </c>
      <c r="E1775" s="106" t="n">
        <v>131</v>
      </c>
      <c r="F1775" s="107" t="n">
        <f aca="false">IF($C1775="","",$D1775*$E1775)</f>
        <v>218.3377</v>
      </c>
      <c r="G1775" s="107" t="n">
        <f aca="false">IF($C1775="","",$D1775*IFERROR(INDEX('تحليل التكلفة والسعر'!$C$2:$C$700,MATCH($C1775,'تحليل التكلفة والسعر'!$B$2:$B$700,0)),0))</f>
        <v>83.8200097</v>
      </c>
      <c r="H1775" s="104" t="s">
        <v>719</v>
      </c>
    </row>
    <row r="1776" customFormat="false" ht="15" hidden="false" customHeight="false" outlineLevel="0" collapsed="false">
      <c r="A1776" s="103" t="n">
        <v>46306</v>
      </c>
      <c r="B1776" s="104" t="s">
        <v>34</v>
      </c>
      <c r="C1776" s="104" t="s">
        <v>418</v>
      </c>
      <c r="D1776" s="105" t="n">
        <v>1.6667</v>
      </c>
      <c r="E1776" s="106" t="n">
        <v>131</v>
      </c>
      <c r="F1776" s="107" t="n">
        <f aca="false">IF($C1776="","",$D1776*$E1776)</f>
        <v>218.3377</v>
      </c>
      <c r="G1776" s="107" t="n">
        <f aca="false">IF($C1776="","",$D1776*IFERROR(INDEX('تحليل التكلفة والسعر'!$C$2:$C$700,MATCH($C1776,'تحليل التكلفة والسعر'!$B$2:$B$700,0)),0))</f>
        <v>83.8200097</v>
      </c>
      <c r="H1776" s="104" t="s">
        <v>719</v>
      </c>
    </row>
    <row r="1777" customFormat="false" ht="15" hidden="false" customHeight="false" outlineLevel="0" collapsed="false">
      <c r="A1777" s="103" t="n">
        <v>46307</v>
      </c>
      <c r="B1777" s="104" t="s">
        <v>34</v>
      </c>
      <c r="C1777" s="104" t="s">
        <v>418</v>
      </c>
      <c r="D1777" s="105" t="n">
        <v>1.6667</v>
      </c>
      <c r="E1777" s="106" t="n">
        <v>131</v>
      </c>
      <c r="F1777" s="107" t="n">
        <f aca="false">IF($C1777="","",$D1777*$E1777)</f>
        <v>218.3377</v>
      </c>
      <c r="G1777" s="107" t="n">
        <f aca="false">IF($C1777="","",$D1777*IFERROR(INDEX('تحليل التكلفة والسعر'!$C$2:$C$700,MATCH($C1777,'تحليل التكلفة والسعر'!$B$2:$B$700,0)),0))</f>
        <v>83.8200097</v>
      </c>
      <c r="H1777" s="104" t="s">
        <v>719</v>
      </c>
    </row>
    <row r="1778" customFormat="false" ht="15" hidden="false" customHeight="false" outlineLevel="0" collapsed="false">
      <c r="A1778" s="103" t="n">
        <v>46296</v>
      </c>
      <c r="B1778" s="104" t="s">
        <v>34</v>
      </c>
      <c r="C1778" s="104" t="s">
        <v>497</v>
      </c>
      <c r="D1778" s="105" t="n">
        <v>0.1667</v>
      </c>
      <c r="E1778" s="106" t="n">
        <v>110</v>
      </c>
      <c r="F1778" s="107" t="n">
        <f aca="false">IF($C1778="","",$D1778*$E1778)</f>
        <v>18.337</v>
      </c>
      <c r="G1778" s="107" t="n">
        <f aca="false">IF($C1778="","",$D1778*IFERROR(INDEX('تحليل التكلفة والسعر'!$C$2:$C$700,MATCH($C1778,'تحليل التكلفة والسعر'!$B$2:$B$700,0)),0))</f>
        <v>8.02685505</v>
      </c>
      <c r="H1778" s="104" t="s">
        <v>719</v>
      </c>
    </row>
    <row r="1779" customFormat="false" ht="15" hidden="false" customHeight="false" outlineLevel="0" collapsed="false">
      <c r="A1779" s="103" t="n">
        <v>46297</v>
      </c>
      <c r="B1779" s="104" t="s">
        <v>34</v>
      </c>
      <c r="C1779" s="104" t="s">
        <v>497</v>
      </c>
      <c r="D1779" s="105" t="n">
        <v>0.1667</v>
      </c>
      <c r="E1779" s="106" t="n">
        <v>110</v>
      </c>
      <c r="F1779" s="107" t="n">
        <f aca="false">IF($C1779="","",$D1779*$E1779)</f>
        <v>18.337</v>
      </c>
      <c r="G1779" s="107" t="n">
        <f aca="false">IF($C1779="","",$D1779*IFERROR(INDEX('تحليل التكلفة والسعر'!$C$2:$C$700,MATCH($C1779,'تحليل التكلفة والسعر'!$B$2:$B$700,0)),0))</f>
        <v>8.02685505</v>
      </c>
      <c r="H1779" s="104" t="s">
        <v>719</v>
      </c>
    </row>
    <row r="1780" customFormat="false" ht="15" hidden="false" customHeight="false" outlineLevel="0" collapsed="false">
      <c r="A1780" s="103" t="n">
        <v>46298</v>
      </c>
      <c r="B1780" s="104" t="s">
        <v>34</v>
      </c>
      <c r="C1780" s="104" t="s">
        <v>497</v>
      </c>
      <c r="D1780" s="105" t="n">
        <v>0.1667</v>
      </c>
      <c r="E1780" s="106" t="n">
        <v>110</v>
      </c>
      <c r="F1780" s="107" t="n">
        <f aca="false">IF($C1780="","",$D1780*$E1780)</f>
        <v>18.337</v>
      </c>
      <c r="G1780" s="107" t="n">
        <f aca="false">IF($C1780="","",$D1780*IFERROR(INDEX('تحليل التكلفة والسعر'!$C$2:$C$700,MATCH($C1780,'تحليل التكلفة والسعر'!$B$2:$B$700,0)),0))</f>
        <v>8.02685505</v>
      </c>
      <c r="H1780" s="104" t="s">
        <v>719</v>
      </c>
    </row>
    <row r="1781" customFormat="false" ht="15" hidden="false" customHeight="false" outlineLevel="0" collapsed="false">
      <c r="A1781" s="103" t="n">
        <v>46299</v>
      </c>
      <c r="B1781" s="104" t="s">
        <v>34</v>
      </c>
      <c r="C1781" s="104" t="s">
        <v>497</v>
      </c>
      <c r="D1781" s="105" t="n">
        <v>0.1667</v>
      </c>
      <c r="E1781" s="106" t="n">
        <v>110</v>
      </c>
      <c r="F1781" s="107" t="n">
        <f aca="false">IF($C1781="","",$D1781*$E1781)</f>
        <v>18.337</v>
      </c>
      <c r="G1781" s="107" t="n">
        <f aca="false">IF($C1781="","",$D1781*IFERROR(INDEX('تحليل التكلفة والسعر'!$C$2:$C$700,MATCH($C1781,'تحليل التكلفة والسعر'!$B$2:$B$700,0)),0))</f>
        <v>8.02685505</v>
      </c>
      <c r="H1781" s="104" t="s">
        <v>719</v>
      </c>
    </row>
    <row r="1782" customFormat="false" ht="15" hidden="false" customHeight="false" outlineLevel="0" collapsed="false">
      <c r="A1782" s="103" t="n">
        <v>46300</v>
      </c>
      <c r="B1782" s="104" t="s">
        <v>34</v>
      </c>
      <c r="C1782" s="104" t="s">
        <v>497</v>
      </c>
      <c r="D1782" s="105" t="n">
        <v>0.1667</v>
      </c>
      <c r="E1782" s="106" t="n">
        <v>110</v>
      </c>
      <c r="F1782" s="107" t="n">
        <f aca="false">IF($C1782="","",$D1782*$E1782)</f>
        <v>18.337</v>
      </c>
      <c r="G1782" s="107" t="n">
        <f aca="false">IF($C1782="","",$D1782*IFERROR(INDEX('تحليل التكلفة والسعر'!$C$2:$C$700,MATCH($C1782,'تحليل التكلفة والسعر'!$B$2:$B$700,0)),0))</f>
        <v>8.02685505</v>
      </c>
      <c r="H1782" s="104" t="s">
        <v>719</v>
      </c>
    </row>
    <row r="1783" customFormat="false" ht="15" hidden="false" customHeight="false" outlineLevel="0" collapsed="false">
      <c r="A1783" s="103" t="n">
        <v>46301</v>
      </c>
      <c r="B1783" s="104" t="s">
        <v>34</v>
      </c>
      <c r="C1783" s="104" t="s">
        <v>497</v>
      </c>
      <c r="D1783" s="105" t="n">
        <v>0.1667</v>
      </c>
      <c r="E1783" s="106" t="n">
        <v>110</v>
      </c>
      <c r="F1783" s="107" t="n">
        <f aca="false">IF($C1783="","",$D1783*$E1783)</f>
        <v>18.337</v>
      </c>
      <c r="G1783" s="107" t="n">
        <f aca="false">IF($C1783="","",$D1783*IFERROR(INDEX('تحليل التكلفة والسعر'!$C$2:$C$700,MATCH($C1783,'تحليل التكلفة والسعر'!$B$2:$B$700,0)),0))</f>
        <v>8.02685505</v>
      </c>
      <c r="H1783" s="104" t="s">
        <v>719</v>
      </c>
    </row>
    <row r="1784" customFormat="false" ht="15" hidden="false" customHeight="false" outlineLevel="0" collapsed="false">
      <c r="A1784" s="103" t="n">
        <v>46302</v>
      </c>
      <c r="B1784" s="104" t="s">
        <v>34</v>
      </c>
      <c r="C1784" s="104" t="s">
        <v>497</v>
      </c>
      <c r="D1784" s="105" t="n">
        <v>0.1667</v>
      </c>
      <c r="E1784" s="106" t="n">
        <v>110</v>
      </c>
      <c r="F1784" s="107" t="n">
        <f aca="false">IF($C1784="","",$D1784*$E1784)</f>
        <v>18.337</v>
      </c>
      <c r="G1784" s="107" t="n">
        <f aca="false">IF($C1784="","",$D1784*IFERROR(INDEX('تحليل التكلفة والسعر'!$C$2:$C$700,MATCH($C1784,'تحليل التكلفة والسعر'!$B$2:$B$700,0)),0))</f>
        <v>8.02685505</v>
      </c>
      <c r="H1784" s="104" t="s">
        <v>719</v>
      </c>
    </row>
    <row r="1785" customFormat="false" ht="15" hidden="false" customHeight="false" outlineLevel="0" collapsed="false">
      <c r="A1785" s="103" t="n">
        <v>46303</v>
      </c>
      <c r="B1785" s="104" t="s">
        <v>34</v>
      </c>
      <c r="C1785" s="104" t="s">
        <v>497</v>
      </c>
      <c r="D1785" s="105" t="n">
        <v>0.1667</v>
      </c>
      <c r="E1785" s="106" t="n">
        <v>110</v>
      </c>
      <c r="F1785" s="107" t="n">
        <f aca="false">IF($C1785="","",$D1785*$E1785)</f>
        <v>18.337</v>
      </c>
      <c r="G1785" s="107" t="n">
        <f aca="false">IF($C1785="","",$D1785*IFERROR(INDEX('تحليل التكلفة والسعر'!$C$2:$C$700,MATCH($C1785,'تحليل التكلفة والسعر'!$B$2:$B$700,0)),0))</f>
        <v>8.02685505</v>
      </c>
      <c r="H1785" s="104" t="s">
        <v>719</v>
      </c>
    </row>
    <row r="1786" customFormat="false" ht="15" hidden="false" customHeight="false" outlineLevel="0" collapsed="false">
      <c r="A1786" s="103" t="n">
        <v>46304</v>
      </c>
      <c r="B1786" s="104" t="s">
        <v>34</v>
      </c>
      <c r="C1786" s="104" t="s">
        <v>497</v>
      </c>
      <c r="D1786" s="105" t="n">
        <v>0.1667</v>
      </c>
      <c r="E1786" s="106" t="n">
        <v>110</v>
      </c>
      <c r="F1786" s="107" t="n">
        <f aca="false">IF($C1786="","",$D1786*$E1786)</f>
        <v>18.337</v>
      </c>
      <c r="G1786" s="107" t="n">
        <f aca="false">IF($C1786="","",$D1786*IFERROR(INDEX('تحليل التكلفة والسعر'!$C$2:$C$700,MATCH($C1786,'تحليل التكلفة والسعر'!$B$2:$B$700,0)),0))</f>
        <v>8.02685505</v>
      </c>
      <c r="H1786" s="104" t="s">
        <v>719</v>
      </c>
    </row>
    <row r="1787" customFormat="false" ht="15" hidden="false" customHeight="false" outlineLevel="0" collapsed="false">
      <c r="A1787" s="103" t="n">
        <v>46305</v>
      </c>
      <c r="B1787" s="104" t="s">
        <v>34</v>
      </c>
      <c r="C1787" s="104" t="s">
        <v>497</v>
      </c>
      <c r="D1787" s="105" t="n">
        <v>0.1667</v>
      </c>
      <c r="E1787" s="106" t="n">
        <v>110</v>
      </c>
      <c r="F1787" s="107" t="n">
        <f aca="false">IF($C1787="","",$D1787*$E1787)</f>
        <v>18.337</v>
      </c>
      <c r="G1787" s="107" t="n">
        <f aca="false">IF($C1787="","",$D1787*IFERROR(INDEX('تحليل التكلفة والسعر'!$C$2:$C$700,MATCH($C1787,'تحليل التكلفة والسعر'!$B$2:$B$700,0)),0))</f>
        <v>8.02685505</v>
      </c>
      <c r="H1787" s="104" t="s">
        <v>719</v>
      </c>
    </row>
    <row r="1788" customFormat="false" ht="15" hidden="false" customHeight="false" outlineLevel="0" collapsed="false">
      <c r="A1788" s="103" t="n">
        <v>46306</v>
      </c>
      <c r="B1788" s="104" t="s">
        <v>34</v>
      </c>
      <c r="C1788" s="104" t="s">
        <v>497</v>
      </c>
      <c r="D1788" s="105" t="n">
        <v>0.1667</v>
      </c>
      <c r="E1788" s="106" t="n">
        <v>110</v>
      </c>
      <c r="F1788" s="107" t="n">
        <f aca="false">IF($C1788="","",$D1788*$E1788)</f>
        <v>18.337</v>
      </c>
      <c r="G1788" s="107" t="n">
        <f aca="false">IF($C1788="","",$D1788*IFERROR(INDEX('تحليل التكلفة والسعر'!$C$2:$C$700,MATCH($C1788,'تحليل التكلفة والسعر'!$B$2:$B$700,0)),0))</f>
        <v>8.02685505</v>
      </c>
      <c r="H1788" s="104" t="s">
        <v>719</v>
      </c>
    </row>
    <row r="1789" customFormat="false" ht="15" hidden="false" customHeight="false" outlineLevel="0" collapsed="false">
      <c r="A1789" s="103" t="n">
        <v>46307</v>
      </c>
      <c r="B1789" s="104" t="s">
        <v>34</v>
      </c>
      <c r="C1789" s="104" t="s">
        <v>497</v>
      </c>
      <c r="D1789" s="105" t="n">
        <v>0.1667</v>
      </c>
      <c r="E1789" s="106" t="n">
        <v>110</v>
      </c>
      <c r="F1789" s="107" t="n">
        <f aca="false">IF($C1789="","",$D1789*$E1789)</f>
        <v>18.337</v>
      </c>
      <c r="G1789" s="107" t="n">
        <f aca="false">IF($C1789="","",$D1789*IFERROR(INDEX('تحليل التكلفة والسعر'!$C$2:$C$700,MATCH($C1789,'تحليل التكلفة والسعر'!$B$2:$B$700,0)),0))</f>
        <v>8.02685505</v>
      </c>
      <c r="H1789" s="104" t="s">
        <v>719</v>
      </c>
    </row>
    <row r="1790" customFormat="false" ht="15" hidden="false" customHeight="false" outlineLevel="0" collapsed="false">
      <c r="A1790" s="103" t="n">
        <v>46296</v>
      </c>
      <c r="B1790" s="104" t="s">
        <v>34</v>
      </c>
      <c r="C1790" s="104" t="s">
        <v>471</v>
      </c>
      <c r="D1790" s="105" t="n">
        <v>0.25</v>
      </c>
      <c r="E1790" s="106" t="n">
        <v>80</v>
      </c>
      <c r="F1790" s="107" t="n">
        <f aca="false">IF($C1790="","",$D1790*$E1790)</f>
        <v>20</v>
      </c>
      <c r="G1790" s="107" t="n">
        <f aca="false">IF($C1790="","",$D1790*IFERROR(INDEX('تحليل التكلفة والسعر'!$C$2:$C$700,MATCH($C1790,'تحليل التكلفة والسعر'!$B$2:$B$700,0)),0))</f>
        <v>8.854125</v>
      </c>
      <c r="H1790" s="104" t="s">
        <v>719</v>
      </c>
    </row>
    <row r="1791" customFormat="false" ht="15" hidden="false" customHeight="false" outlineLevel="0" collapsed="false">
      <c r="A1791" s="103" t="n">
        <v>46297</v>
      </c>
      <c r="B1791" s="104" t="s">
        <v>34</v>
      </c>
      <c r="C1791" s="104" t="s">
        <v>471</v>
      </c>
      <c r="D1791" s="105" t="n">
        <v>0.25</v>
      </c>
      <c r="E1791" s="106" t="n">
        <v>80</v>
      </c>
      <c r="F1791" s="107" t="n">
        <f aca="false">IF($C1791="","",$D1791*$E1791)</f>
        <v>20</v>
      </c>
      <c r="G1791" s="107" t="n">
        <f aca="false">IF($C1791="","",$D1791*IFERROR(INDEX('تحليل التكلفة والسعر'!$C$2:$C$700,MATCH($C1791,'تحليل التكلفة والسعر'!$B$2:$B$700,0)),0))</f>
        <v>8.854125</v>
      </c>
      <c r="H1791" s="104" t="s">
        <v>719</v>
      </c>
    </row>
    <row r="1792" customFormat="false" ht="15" hidden="false" customHeight="false" outlineLevel="0" collapsed="false">
      <c r="A1792" s="103" t="n">
        <v>46298</v>
      </c>
      <c r="B1792" s="104" t="s">
        <v>34</v>
      </c>
      <c r="C1792" s="104" t="s">
        <v>471</v>
      </c>
      <c r="D1792" s="105" t="n">
        <v>0.25</v>
      </c>
      <c r="E1792" s="106" t="n">
        <v>80</v>
      </c>
      <c r="F1792" s="107" t="n">
        <f aca="false">IF($C1792="","",$D1792*$E1792)</f>
        <v>20</v>
      </c>
      <c r="G1792" s="107" t="n">
        <f aca="false">IF($C1792="","",$D1792*IFERROR(INDEX('تحليل التكلفة والسعر'!$C$2:$C$700,MATCH($C1792,'تحليل التكلفة والسعر'!$B$2:$B$700,0)),0))</f>
        <v>8.854125</v>
      </c>
      <c r="H1792" s="104" t="s">
        <v>719</v>
      </c>
    </row>
    <row r="1793" customFormat="false" ht="15" hidden="false" customHeight="false" outlineLevel="0" collapsed="false">
      <c r="A1793" s="103" t="n">
        <v>46299</v>
      </c>
      <c r="B1793" s="104" t="s">
        <v>34</v>
      </c>
      <c r="C1793" s="104" t="s">
        <v>471</v>
      </c>
      <c r="D1793" s="105" t="n">
        <v>0.25</v>
      </c>
      <c r="E1793" s="106" t="n">
        <v>80</v>
      </c>
      <c r="F1793" s="107" t="n">
        <f aca="false">IF($C1793="","",$D1793*$E1793)</f>
        <v>20</v>
      </c>
      <c r="G1793" s="107" t="n">
        <f aca="false">IF($C1793="","",$D1793*IFERROR(INDEX('تحليل التكلفة والسعر'!$C$2:$C$700,MATCH($C1793,'تحليل التكلفة والسعر'!$B$2:$B$700,0)),0))</f>
        <v>8.854125</v>
      </c>
      <c r="H1793" s="104" t="s">
        <v>719</v>
      </c>
    </row>
    <row r="1794" customFormat="false" ht="15" hidden="false" customHeight="false" outlineLevel="0" collapsed="false">
      <c r="A1794" s="103" t="n">
        <v>46300</v>
      </c>
      <c r="B1794" s="104" t="s">
        <v>34</v>
      </c>
      <c r="C1794" s="104" t="s">
        <v>471</v>
      </c>
      <c r="D1794" s="105" t="n">
        <v>0.25</v>
      </c>
      <c r="E1794" s="106" t="n">
        <v>80</v>
      </c>
      <c r="F1794" s="107" t="n">
        <f aca="false">IF($C1794="","",$D1794*$E1794)</f>
        <v>20</v>
      </c>
      <c r="G1794" s="107" t="n">
        <f aca="false">IF($C1794="","",$D1794*IFERROR(INDEX('تحليل التكلفة والسعر'!$C$2:$C$700,MATCH($C1794,'تحليل التكلفة والسعر'!$B$2:$B$700,0)),0))</f>
        <v>8.854125</v>
      </c>
      <c r="H1794" s="104" t="s">
        <v>719</v>
      </c>
    </row>
    <row r="1795" customFormat="false" ht="15" hidden="false" customHeight="false" outlineLevel="0" collapsed="false">
      <c r="A1795" s="103" t="n">
        <v>46301</v>
      </c>
      <c r="B1795" s="104" t="s">
        <v>34</v>
      </c>
      <c r="C1795" s="104" t="s">
        <v>471</v>
      </c>
      <c r="D1795" s="105" t="n">
        <v>0.25</v>
      </c>
      <c r="E1795" s="106" t="n">
        <v>80</v>
      </c>
      <c r="F1795" s="107" t="n">
        <f aca="false">IF($C1795="","",$D1795*$E1795)</f>
        <v>20</v>
      </c>
      <c r="G1795" s="107" t="n">
        <f aca="false">IF($C1795="","",$D1795*IFERROR(INDEX('تحليل التكلفة والسعر'!$C$2:$C$700,MATCH($C1795,'تحليل التكلفة والسعر'!$B$2:$B$700,0)),0))</f>
        <v>8.854125</v>
      </c>
      <c r="H1795" s="104" t="s">
        <v>719</v>
      </c>
    </row>
    <row r="1796" customFormat="false" ht="15" hidden="false" customHeight="false" outlineLevel="0" collapsed="false">
      <c r="A1796" s="103" t="n">
        <v>46302</v>
      </c>
      <c r="B1796" s="104" t="s">
        <v>34</v>
      </c>
      <c r="C1796" s="104" t="s">
        <v>471</v>
      </c>
      <c r="D1796" s="105" t="n">
        <v>0.25</v>
      </c>
      <c r="E1796" s="106" t="n">
        <v>80</v>
      </c>
      <c r="F1796" s="107" t="n">
        <f aca="false">IF($C1796="","",$D1796*$E1796)</f>
        <v>20</v>
      </c>
      <c r="G1796" s="107" t="n">
        <f aca="false">IF($C1796="","",$D1796*IFERROR(INDEX('تحليل التكلفة والسعر'!$C$2:$C$700,MATCH($C1796,'تحليل التكلفة والسعر'!$B$2:$B$700,0)),0))</f>
        <v>8.854125</v>
      </c>
      <c r="H1796" s="104" t="s">
        <v>719</v>
      </c>
    </row>
    <row r="1797" customFormat="false" ht="15" hidden="false" customHeight="false" outlineLevel="0" collapsed="false">
      <c r="A1797" s="103" t="n">
        <v>46303</v>
      </c>
      <c r="B1797" s="104" t="s">
        <v>34</v>
      </c>
      <c r="C1797" s="104" t="s">
        <v>471</v>
      </c>
      <c r="D1797" s="105" t="n">
        <v>0.25</v>
      </c>
      <c r="E1797" s="106" t="n">
        <v>80</v>
      </c>
      <c r="F1797" s="107" t="n">
        <f aca="false">IF($C1797="","",$D1797*$E1797)</f>
        <v>20</v>
      </c>
      <c r="G1797" s="107" t="n">
        <f aca="false">IF($C1797="","",$D1797*IFERROR(INDEX('تحليل التكلفة والسعر'!$C$2:$C$700,MATCH($C1797,'تحليل التكلفة والسعر'!$B$2:$B$700,0)),0))</f>
        <v>8.854125</v>
      </c>
      <c r="H1797" s="104" t="s">
        <v>719</v>
      </c>
    </row>
    <row r="1798" customFormat="false" ht="15" hidden="false" customHeight="false" outlineLevel="0" collapsed="false">
      <c r="A1798" s="103" t="n">
        <v>46304</v>
      </c>
      <c r="B1798" s="104" t="s">
        <v>34</v>
      </c>
      <c r="C1798" s="104" t="s">
        <v>471</v>
      </c>
      <c r="D1798" s="105" t="n">
        <v>0.25</v>
      </c>
      <c r="E1798" s="106" t="n">
        <v>80</v>
      </c>
      <c r="F1798" s="107" t="n">
        <f aca="false">IF($C1798="","",$D1798*$E1798)</f>
        <v>20</v>
      </c>
      <c r="G1798" s="107" t="n">
        <f aca="false">IF($C1798="","",$D1798*IFERROR(INDEX('تحليل التكلفة والسعر'!$C$2:$C$700,MATCH($C1798,'تحليل التكلفة والسعر'!$B$2:$B$700,0)),0))</f>
        <v>8.854125</v>
      </c>
      <c r="H1798" s="104" t="s">
        <v>719</v>
      </c>
    </row>
    <row r="1799" customFormat="false" ht="15" hidden="false" customHeight="false" outlineLevel="0" collapsed="false">
      <c r="A1799" s="103" t="n">
        <v>46305</v>
      </c>
      <c r="B1799" s="104" t="s">
        <v>34</v>
      </c>
      <c r="C1799" s="104" t="s">
        <v>471</v>
      </c>
      <c r="D1799" s="105" t="n">
        <v>0.25</v>
      </c>
      <c r="E1799" s="106" t="n">
        <v>80</v>
      </c>
      <c r="F1799" s="107" t="n">
        <f aca="false">IF($C1799="","",$D1799*$E1799)</f>
        <v>20</v>
      </c>
      <c r="G1799" s="107" t="n">
        <f aca="false">IF($C1799="","",$D1799*IFERROR(INDEX('تحليل التكلفة والسعر'!$C$2:$C$700,MATCH($C1799,'تحليل التكلفة والسعر'!$B$2:$B$700,0)),0))</f>
        <v>8.854125</v>
      </c>
      <c r="H1799" s="104" t="s">
        <v>719</v>
      </c>
    </row>
    <row r="1800" customFormat="false" ht="15" hidden="false" customHeight="false" outlineLevel="0" collapsed="false">
      <c r="A1800" s="103" t="n">
        <v>46306</v>
      </c>
      <c r="B1800" s="104" t="s">
        <v>34</v>
      </c>
      <c r="C1800" s="104" t="s">
        <v>471</v>
      </c>
      <c r="D1800" s="105" t="n">
        <v>0.25</v>
      </c>
      <c r="E1800" s="106" t="n">
        <v>80</v>
      </c>
      <c r="F1800" s="107" t="n">
        <f aca="false">IF($C1800="","",$D1800*$E1800)</f>
        <v>20</v>
      </c>
      <c r="G1800" s="107" t="n">
        <f aca="false">IF($C1800="","",$D1800*IFERROR(INDEX('تحليل التكلفة والسعر'!$C$2:$C$700,MATCH($C1800,'تحليل التكلفة والسعر'!$B$2:$B$700,0)),0))</f>
        <v>8.854125</v>
      </c>
      <c r="H1800" s="104" t="s">
        <v>719</v>
      </c>
    </row>
    <row r="1801" customFormat="false" ht="15" hidden="false" customHeight="false" outlineLevel="0" collapsed="false">
      <c r="A1801" s="103" t="n">
        <v>46307</v>
      </c>
      <c r="B1801" s="104" t="s">
        <v>34</v>
      </c>
      <c r="C1801" s="104" t="s">
        <v>471</v>
      </c>
      <c r="D1801" s="105" t="n">
        <v>0.25</v>
      </c>
      <c r="E1801" s="106" t="n">
        <v>80</v>
      </c>
      <c r="F1801" s="107" t="n">
        <f aca="false">IF($C1801="","",$D1801*$E1801)</f>
        <v>20</v>
      </c>
      <c r="G1801" s="107" t="n">
        <f aca="false">IF($C1801="","",$D1801*IFERROR(INDEX('تحليل التكلفة والسعر'!$C$2:$C$700,MATCH($C1801,'تحليل التكلفة والسعر'!$B$2:$B$700,0)),0))</f>
        <v>8.854125</v>
      </c>
      <c r="H1801" s="104" t="s">
        <v>719</v>
      </c>
    </row>
    <row r="1802" customFormat="false" ht="15" hidden="false" customHeight="false" outlineLevel="0" collapsed="false">
      <c r="A1802" s="103" t="n">
        <v>46296</v>
      </c>
      <c r="B1802" s="104" t="s">
        <v>34</v>
      </c>
      <c r="C1802" s="104" t="s">
        <v>473</v>
      </c>
      <c r="D1802" s="105" t="n">
        <v>4.9167</v>
      </c>
      <c r="E1802" s="106" t="n">
        <v>96.6102</v>
      </c>
      <c r="F1802" s="107" t="n">
        <f aca="false">IF($C1802="","",$D1802*$E1802)</f>
        <v>475.00337034</v>
      </c>
      <c r="G1802" s="107" t="n">
        <f aca="false">IF($C1802="","",$D1802*IFERROR(INDEX('تحليل التكلفة والسعر'!$C$2:$C$700,MATCH($C1802,'تحليل التكلفة والسعر'!$B$2:$B$700,0)),0))</f>
        <v>186.42405555</v>
      </c>
      <c r="H1802" s="104" t="s">
        <v>719</v>
      </c>
    </row>
    <row r="1803" customFormat="false" ht="15" hidden="false" customHeight="false" outlineLevel="0" collapsed="false">
      <c r="A1803" s="103" t="n">
        <v>46297</v>
      </c>
      <c r="B1803" s="104" t="s">
        <v>34</v>
      </c>
      <c r="C1803" s="104" t="s">
        <v>473</v>
      </c>
      <c r="D1803" s="105" t="n">
        <v>4.9167</v>
      </c>
      <c r="E1803" s="106" t="n">
        <v>96.6102</v>
      </c>
      <c r="F1803" s="107" t="n">
        <f aca="false">IF($C1803="","",$D1803*$E1803)</f>
        <v>475.00337034</v>
      </c>
      <c r="G1803" s="107" t="n">
        <f aca="false">IF($C1803="","",$D1803*IFERROR(INDEX('تحليل التكلفة والسعر'!$C$2:$C$700,MATCH($C1803,'تحليل التكلفة والسعر'!$B$2:$B$700,0)),0))</f>
        <v>186.42405555</v>
      </c>
      <c r="H1803" s="104" t="s">
        <v>719</v>
      </c>
    </row>
    <row r="1804" customFormat="false" ht="15" hidden="false" customHeight="false" outlineLevel="0" collapsed="false">
      <c r="A1804" s="103" t="n">
        <v>46298</v>
      </c>
      <c r="B1804" s="104" t="s">
        <v>34</v>
      </c>
      <c r="C1804" s="104" t="s">
        <v>473</v>
      </c>
      <c r="D1804" s="105" t="n">
        <v>4.9167</v>
      </c>
      <c r="E1804" s="106" t="n">
        <v>96.6102</v>
      </c>
      <c r="F1804" s="107" t="n">
        <f aca="false">IF($C1804="","",$D1804*$E1804)</f>
        <v>475.00337034</v>
      </c>
      <c r="G1804" s="107" t="n">
        <f aca="false">IF($C1804="","",$D1804*IFERROR(INDEX('تحليل التكلفة والسعر'!$C$2:$C$700,MATCH($C1804,'تحليل التكلفة والسعر'!$B$2:$B$700,0)),0))</f>
        <v>186.42405555</v>
      </c>
      <c r="H1804" s="104" t="s">
        <v>719</v>
      </c>
    </row>
    <row r="1805" customFormat="false" ht="15" hidden="false" customHeight="false" outlineLevel="0" collapsed="false">
      <c r="A1805" s="103" t="n">
        <v>46299</v>
      </c>
      <c r="B1805" s="104" t="s">
        <v>34</v>
      </c>
      <c r="C1805" s="104" t="s">
        <v>473</v>
      </c>
      <c r="D1805" s="105" t="n">
        <v>4.9167</v>
      </c>
      <c r="E1805" s="106" t="n">
        <v>96.6102</v>
      </c>
      <c r="F1805" s="107" t="n">
        <f aca="false">IF($C1805="","",$D1805*$E1805)</f>
        <v>475.00337034</v>
      </c>
      <c r="G1805" s="107" t="n">
        <f aca="false">IF($C1805="","",$D1805*IFERROR(INDEX('تحليل التكلفة والسعر'!$C$2:$C$700,MATCH($C1805,'تحليل التكلفة والسعر'!$B$2:$B$700,0)),0))</f>
        <v>186.42405555</v>
      </c>
      <c r="H1805" s="104" t="s">
        <v>719</v>
      </c>
    </row>
    <row r="1806" customFormat="false" ht="15" hidden="false" customHeight="false" outlineLevel="0" collapsed="false">
      <c r="A1806" s="103" t="n">
        <v>46300</v>
      </c>
      <c r="B1806" s="104" t="s">
        <v>34</v>
      </c>
      <c r="C1806" s="104" t="s">
        <v>473</v>
      </c>
      <c r="D1806" s="105" t="n">
        <v>4.9167</v>
      </c>
      <c r="E1806" s="106" t="n">
        <v>96.6102</v>
      </c>
      <c r="F1806" s="107" t="n">
        <f aca="false">IF($C1806="","",$D1806*$E1806)</f>
        <v>475.00337034</v>
      </c>
      <c r="G1806" s="107" t="n">
        <f aca="false">IF($C1806="","",$D1806*IFERROR(INDEX('تحليل التكلفة والسعر'!$C$2:$C$700,MATCH($C1806,'تحليل التكلفة والسعر'!$B$2:$B$700,0)),0))</f>
        <v>186.42405555</v>
      </c>
      <c r="H1806" s="104" t="s">
        <v>719</v>
      </c>
    </row>
    <row r="1807" customFormat="false" ht="15" hidden="false" customHeight="false" outlineLevel="0" collapsed="false">
      <c r="A1807" s="103" t="n">
        <v>46301</v>
      </c>
      <c r="B1807" s="104" t="s">
        <v>34</v>
      </c>
      <c r="C1807" s="104" t="s">
        <v>473</v>
      </c>
      <c r="D1807" s="105" t="n">
        <v>4.9167</v>
      </c>
      <c r="E1807" s="106" t="n">
        <v>96.6102</v>
      </c>
      <c r="F1807" s="107" t="n">
        <f aca="false">IF($C1807="","",$D1807*$E1807)</f>
        <v>475.00337034</v>
      </c>
      <c r="G1807" s="107" t="n">
        <f aca="false">IF($C1807="","",$D1807*IFERROR(INDEX('تحليل التكلفة والسعر'!$C$2:$C$700,MATCH($C1807,'تحليل التكلفة والسعر'!$B$2:$B$700,0)),0))</f>
        <v>186.42405555</v>
      </c>
      <c r="H1807" s="104" t="s">
        <v>719</v>
      </c>
    </row>
    <row r="1808" customFormat="false" ht="15" hidden="false" customHeight="false" outlineLevel="0" collapsed="false">
      <c r="A1808" s="103" t="n">
        <v>46302</v>
      </c>
      <c r="B1808" s="104" t="s">
        <v>34</v>
      </c>
      <c r="C1808" s="104" t="s">
        <v>473</v>
      </c>
      <c r="D1808" s="105" t="n">
        <v>4.9167</v>
      </c>
      <c r="E1808" s="106" t="n">
        <v>96.6102</v>
      </c>
      <c r="F1808" s="107" t="n">
        <f aca="false">IF($C1808="","",$D1808*$E1808)</f>
        <v>475.00337034</v>
      </c>
      <c r="G1808" s="107" t="n">
        <f aca="false">IF($C1808="","",$D1808*IFERROR(INDEX('تحليل التكلفة والسعر'!$C$2:$C$700,MATCH($C1808,'تحليل التكلفة والسعر'!$B$2:$B$700,0)),0))</f>
        <v>186.42405555</v>
      </c>
      <c r="H1808" s="104" t="s">
        <v>719</v>
      </c>
    </row>
    <row r="1809" customFormat="false" ht="15" hidden="false" customHeight="false" outlineLevel="0" collapsed="false">
      <c r="A1809" s="103" t="n">
        <v>46303</v>
      </c>
      <c r="B1809" s="104" t="s">
        <v>34</v>
      </c>
      <c r="C1809" s="104" t="s">
        <v>473</v>
      </c>
      <c r="D1809" s="105" t="n">
        <v>4.9167</v>
      </c>
      <c r="E1809" s="106" t="n">
        <v>96.6102</v>
      </c>
      <c r="F1809" s="107" t="n">
        <f aca="false">IF($C1809="","",$D1809*$E1809)</f>
        <v>475.00337034</v>
      </c>
      <c r="G1809" s="107" t="n">
        <f aca="false">IF($C1809="","",$D1809*IFERROR(INDEX('تحليل التكلفة والسعر'!$C$2:$C$700,MATCH($C1809,'تحليل التكلفة والسعر'!$B$2:$B$700,0)),0))</f>
        <v>186.42405555</v>
      </c>
      <c r="H1809" s="104" t="s">
        <v>719</v>
      </c>
    </row>
    <row r="1810" customFormat="false" ht="15" hidden="false" customHeight="false" outlineLevel="0" collapsed="false">
      <c r="A1810" s="103" t="n">
        <v>46304</v>
      </c>
      <c r="B1810" s="104" t="s">
        <v>34</v>
      </c>
      <c r="C1810" s="104" t="s">
        <v>473</v>
      </c>
      <c r="D1810" s="105" t="n">
        <v>4.9167</v>
      </c>
      <c r="E1810" s="106" t="n">
        <v>96.6102</v>
      </c>
      <c r="F1810" s="107" t="n">
        <f aca="false">IF($C1810="","",$D1810*$E1810)</f>
        <v>475.00337034</v>
      </c>
      <c r="G1810" s="107" t="n">
        <f aca="false">IF($C1810="","",$D1810*IFERROR(INDEX('تحليل التكلفة والسعر'!$C$2:$C$700,MATCH($C1810,'تحليل التكلفة والسعر'!$B$2:$B$700,0)),0))</f>
        <v>186.42405555</v>
      </c>
      <c r="H1810" s="104" t="s">
        <v>719</v>
      </c>
    </row>
    <row r="1811" customFormat="false" ht="15" hidden="false" customHeight="false" outlineLevel="0" collapsed="false">
      <c r="A1811" s="103" t="n">
        <v>46305</v>
      </c>
      <c r="B1811" s="104" t="s">
        <v>34</v>
      </c>
      <c r="C1811" s="104" t="s">
        <v>473</v>
      </c>
      <c r="D1811" s="105" t="n">
        <v>4.9167</v>
      </c>
      <c r="E1811" s="106" t="n">
        <v>96.6102</v>
      </c>
      <c r="F1811" s="107" t="n">
        <f aca="false">IF($C1811="","",$D1811*$E1811)</f>
        <v>475.00337034</v>
      </c>
      <c r="G1811" s="107" t="n">
        <f aca="false">IF($C1811="","",$D1811*IFERROR(INDEX('تحليل التكلفة والسعر'!$C$2:$C$700,MATCH($C1811,'تحليل التكلفة والسعر'!$B$2:$B$700,0)),0))</f>
        <v>186.42405555</v>
      </c>
      <c r="H1811" s="104" t="s">
        <v>719</v>
      </c>
    </row>
    <row r="1812" customFormat="false" ht="15" hidden="false" customHeight="false" outlineLevel="0" collapsed="false">
      <c r="A1812" s="103" t="n">
        <v>46306</v>
      </c>
      <c r="B1812" s="104" t="s">
        <v>34</v>
      </c>
      <c r="C1812" s="104" t="s">
        <v>473</v>
      </c>
      <c r="D1812" s="105" t="n">
        <v>4.9167</v>
      </c>
      <c r="E1812" s="106" t="n">
        <v>96.6102</v>
      </c>
      <c r="F1812" s="107" t="n">
        <f aca="false">IF($C1812="","",$D1812*$E1812)</f>
        <v>475.00337034</v>
      </c>
      <c r="G1812" s="107" t="n">
        <f aca="false">IF($C1812="","",$D1812*IFERROR(INDEX('تحليل التكلفة والسعر'!$C$2:$C$700,MATCH($C1812,'تحليل التكلفة والسعر'!$B$2:$B$700,0)),0))</f>
        <v>186.42405555</v>
      </c>
      <c r="H1812" s="104" t="s">
        <v>719</v>
      </c>
    </row>
    <row r="1813" customFormat="false" ht="15" hidden="false" customHeight="false" outlineLevel="0" collapsed="false">
      <c r="A1813" s="103" t="n">
        <v>46307</v>
      </c>
      <c r="B1813" s="104" t="s">
        <v>34</v>
      </c>
      <c r="C1813" s="104" t="s">
        <v>473</v>
      </c>
      <c r="D1813" s="105" t="n">
        <v>4.9167</v>
      </c>
      <c r="E1813" s="106" t="n">
        <v>96.6102</v>
      </c>
      <c r="F1813" s="107" t="n">
        <f aca="false">IF($C1813="","",$D1813*$E1813)</f>
        <v>475.00337034</v>
      </c>
      <c r="G1813" s="107" t="n">
        <f aca="false">IF($C1813="","",$D1813*IFERROR(INDEX('تحليل التكلفة والسعر'!$C$2:$C$700,MATCH($C1813,'تحليل التكلفة والسعر'!$B$2:$B$700,0)),0))</f>
        <v>186.42405555</v>
      </c>
      <c r="H1813" s="104" t="s">
        <v>719</v>
      </c>
    </row>
    <row r="1814" customFormat="false" ht="15" hidden="false" customHeight="false" outlineLevel="0" collapsed="false">
      <c r="A1814" s="103" t="n">
        <v>46296</v>
      </c>
      <c r="B1814" s="104" t="s">
        <v>34</v>
      </c>
      <c r="C1814" s="104" t="s">
        <v>390</v>
      </c>
      <c r="D1814" s="105" t="n">
        <v>0.1667</v>
      </c>
      <c r="E1814" s="106" t="n">
        <v>160</v>
      </c>
      <c r="F1814" s="107" t="n">
        <f aca="false">IF($C1814="","",$D1814*$E1814)</f>
        <v>26.672</v>
      </c>
      <c r="G1814" s="107" t="n">
        <f aca="false">IF($C1814="","",$D1814*IFERROR(INDEX('تحليل التكلفة والسعر'!$C$2:$C$700,MATCH($C1814,'تحليل التكلفة والسعر'!$B$2:$B$700,0)),0))</f>
        <v>11.8076785635</v>
      </c>
      <c r="H1814" s="104" t="s">
        <v>719</v>
      </c>
    </row>
    <row r="1815" customFormat="false" ht="15" hidden="false" customHeight="false" outlineLevel="0" collapsed="false">
      <c r="A1815" s="103" t="n">
        <v>46297</v>
      </c>
      <c r="B1815" s="104" t="s">
        <v>34</v>
      </c>
      <c r="C1815" s="104" t="s">
        <v>390</v>
      </c>
      <c r="D1815" s="105" t="n">
        <v>0.1667</v>
      </c>
      <c r="E1815" s="106" t="n">
        <v>160</v>
      </c>
      <c r="F1815" s="107" t="n">
        <f aca="false">IF($C1815="","",$D1815*$E1815)</f>
        <v>26.672</v>
      </c>
      <c r="G1815" s="107" t="n">
        <f aca="false">IF($C1815="","",$D1815*IFERROR(INDEX('تحليل التكلفة والسعر'!$C$2:$C$700,MATCH($C1815,'تحليل التكلفة والسعر'!$B$2:$B$700,0)),0))</f>
        <v>11.8076785635</v>
      </c>
      <c r="H1815" s="104" t="s">
        <v>719</v>
      </c>
    </row>
    <row r="1816" customFormat="false" ht="15" hidden="false" customHeight="false" outlineLevel="0" collapsed="false">
      <c r="A1816" s="103" t="n">
        <v>46298</v>
      </c>
      <c r="B1816" s="104" t="s">
        <v>34</v>
      </c>
      <c r="C1816" s="104" t="s">
        <v>390</v>
      </c>
      <c r="D1816" s="105" t="n">
        <v>0.1667</v>
      </c>
      <c r="E1816" s="106" t="n">
        <v>160</v>
      </c>
      <c r="F1816" s="107" t="n">
        <f aca="false">IF($C1816="","",$D1816*$E1816)</f>
        <v>26.672</v>
      </c>
      <c r="G1816" s="107" t="n">
        <f aca="false">IF($C1816="","",$D1816*IFERROR(INDEX('تحليل التكلفة والسعر'!$C$2:$C$700,MATCH($C1816,'تحليل التكلفة والسعر'!$B$2:$B$700,0)),0))</f>
        <v>11.8076785635</v>
      </c>
      <c r="H1816" s="104" t="s">
        <v>719</v>
      </c>
    </row>
    <row r="1817" customFormat="false" ht="15" hidden="false" customHeight="false" outlineLevel="0" collapsed="false">
      <c r="A1817" s="103" t="n">
        <v>46299</v>
      </c>
      <c r="B1817" s="104" t="s">
        <v>34</v>
      </c>
      <c r="C1817" s="104" t="s">
        <v>390</v>
      </c>
      <c r="D1817" s="105" t="n">
        <v>0.1667</v>
      </c>
      <c r="E1817" s="106" t="n">
        <v>160</v>
      </c>
      <c r="F1817" s="107" t="n">
        <f aca="false">IF($C1817="","",$D1817*$E1817)</f>
        <v>26.672</v>
      </c>
      <c r="G1817" s="107" t="n">
        <f aca="false">IF($C1817="","",$D1817*IFERROR(INDEX('تحليل التكلفة والسعر'!$C$2:$C$700,MATCH($C1817,'تحليل التكلفة والسعر'!$B$2:$B$700,0)),0))</f>
        <v>11.8076785635</v>
      </c>
      <c r="H1817" s="104" t="s">
        <v>719</v>
      </c>
    </row>
    <row r="1818" customFormat="false" ht="15" hidden="false" customHeight="false" outlineLevel="0" collapsed="false">
      <c r="A1818" s="103" t="n">
        <v>46300</v>
      </c>
      <c r="B1818" s="104" t="s">
        <v>34</v>
      </c>
      <c r="C1818" s="104" t="s">
        <v>390</v>
      </c>
      <c r="D1818" s="105" t="n">
        <v>0.1667</v>
      </c>
      <c r="E1818" s="106" t="n">
        <v>160</v>
      </c>
      <c r="F1818" s="107" t="n">
        <f aca="false">IF($C1818="","",$D1818*$E1818)</f>
        <v>26.672</v>
      </c>
      <c r="G1818" s="107" t="n">
        <f aca="false">IF($C1818="","",$D1818*IFERROR(INDEX('تحليل التكلفة والسعر'!$C$2:$C$700,MATCH($C1818,'تحليل التكلفة والسعر'!$B$2:$B$700,0)),0))</f>
        <v>11.8076785635</v>
      </c>
      <c r="H1818" s="104" t="s">
        <v>719</v>
      </c>
    </row>
    <row r="1819" customFormat="false" ht="15" hidden="false" customHeight="false" outlineLevel="0" collapsed="false">
      <c r="A1819" s="103" t="n">
        <v>46301</v>
      </c>
      <c r="B1819" s="104" t="s">
        <v>34</v>
      </c>
      <c r="C1819" s="104" t="s">
        <v>390</v>
      </c>
      <c r="D1819" s="105" t="n">
        <v>0.1667</v>
      </c>
      <c r="E1819" s="106" t="n">
        <v>160</v>
      </c>
      <c r="F1819" s="107" t="n">
        <f aca="false">IF($C1819="","",$D1819*$E1819)</f>
        <v>26.672</v>
      </c>
      <c r="G1819" s="107" t="n">
        <f aca="false">IF($C1819="","",$D1819*IFERROR(INDEX('تحليل التكلفة والسعر'!$C$2:$C$700,MATCH($C1819,'تحليل التكلفة والسعر'!$B$2:$B$700,0)),0))</f>
        <v>11.8076785635</v>
      </c>
      <c r="H1819" s="104" t="s">
        <v>719</v>
      </c>
    </row>
    <row r="1820" customFormat="false" ht="15" hidden="false" customHeight="false" outlineLevel="0" collapsed="false">
      <c r="A1820" s="103" t="n">
        <v>46302</v>
      </c>
      <c r="B1820" s="104" t="s">
        <v>34</v>
      </c>
      <c r="C1820" s="104" t="s">
        <v>390</v>
      </c>
      <c r="D1820" s="105" t="n">
        <v>0.1667</v>
      </c>
      <c r="E1820" s="106" t="n">
        <v>160</v>
      </c>
      <c r="F1820" s="107" t="n">
        <f aca="false">IF($C1820="","",$D1820*$E1820)</f>
        <v>26.672</v>
      </c>
      <c r="G1820" s="107" t="n">
        <f aca="false">IF($C1820="","",$D1820*IFERROR(INDEX('تحليل التكلفة والسعر'!$C$2:$C$700,MATCH($C1820,'تحليل التكلفة والسعر'!$B$2:$B$700,0)),0))</f>
        <v>11.8076785635</v>
      </c>
      <c r="H1820" s="104" t="s">
        <v>719</v>
      </c>
    </row>
    <row r="1821" customFormat="false" ht="15" hidden="false" customHeight="false" outlineLevel="0" collapsed="false">
      <c r="A1821" s="103" t="n">
        <v>46303</v>
      </c>
      <c r="B1821" s="104" t="s">
        <v>34</v>
      </c>
      <c r="C1821" s="104" t="s">
        <v>390</v>
      </c>
      <c r="D1821" s="105" t="n">
        <v>0.1667</v>
      </c>
      <c r="E1821" s="106" t="n">
        <v>160</v>
      </c>
      <c r="F1821" s="107" t="n">
        <f aca="false">IF($C1821="","",$D1821*$E1821)</f>
        <v>26.672</v>
      </c>
      <c r="G1821" s="107" t="n">
        <f aca="false">IF($C1821="","",$D1821*IFERROR(INDEX('تحليل التكلفة والسعر'!$C$2:$C$700,MATCH($C1821,'تحليل التكلفة والسعر'!$B$2:$B$700,0)),0))</f>
        <v>11.8076785635</v>
      </c>
      <c r="H1821" s="104" t="s">
        <v>719</v>
      </c>
    </row>
    <row r="1822" customFormat="false" ht="15" hidden="false" customHeight="false" outlineLevel="0" collapsed="false">
      <c r="A1822" s="103" t="n">
        <v>46304</v>
      </c>
      <c r="B1822" s="104" t="s">
        <v>34</v>
      </c>
      <c r="C1822" s="104" t="s">
        <v>390</v>
      </c>
      <c r="D1822" s="105" t="n">
        <v>0.1667</v>
      </c>
      <c r="E1822" s="106" t="n">
        <v>160</v>
      </c>
      <c r="F1822" s="107" t="n">
        <f aca="false">IF($C1822="","",$D1822*$E1822)</f>
        <v>26.672</v>
      </c>
      <c r="G1822" s="107" t="n">
        <f aca="false">IF($C1822="","",$D1822*IFERROR(INDEX('تحليل التكلفة والسعر'!$C$2:$C$700,MATCH($C1822,'تحليل التكلفة والسعر'!$B$2:$B$700,0)),0))</f>
        <v>11.8076785635</v>
      </c>
      <c r="H1822" s="104" t="s">
        <v>719</v>
      </c>
    </row>
    <row r="1823" customFormat="false" ht="15" hidden="false" customHeight="false" outlineLevel="0" collapsed="false">
      <c r="A1823" s="103" t="n">
        <v>46305</v>
      </c>
      <c r="B1823" s="104" t="s">
        <v>34</v>
      </c>
      <c r="C1823" s="104" t="s">
        <v>390</v>
      </c>
      <c r="D1823" s="105" t="n">
        <v>0.1667</v>
      </c>
      <c r="E1823" s="106" t="n">
        <v>160</v>
      </c>
      <c r="F1823" s="107" t="n">
        <f aca="false">IF($C1823="","",$D1823*$E1823)</f>
        <v>26.672</v>
      </c>
      <c r="G1823" s="107" t="n">
        <f aca="false">IF($C1823="","",$D1823*IFERROR(INDEX('تحليل التكلفة والسعر'!$C$2:$C$700,MATCH($C1823,'تحليل التكلفة والسعر'!$B$2:$B$700,0)),0))</f>
        <v>11.8076785635</v>
      </c>
      <c r="H1823" s="104" t="s">
        <v>719</v>
      </c>
    </row>
    <row r="1824" customFormat="false" ht="15" hidden="false" customHeight="false" outlineLevel="0" collapsed="false">
      <c r="A1824" s="103" t="n">
        <v>46306</v>
      </c>
      <c r="B1824" s="104" t="s">
        <v>34</v>
      </c>
      <c r="C1824" s="104" t="s">
        <v>390</v>
      </c>
      <c r="D1824" s="105" t="n">
        <v>0.1667</v>
      </c>
      <c r="E1824" s="106" t="n">
        <v>160</v>
      </c>
      <c r="F1824" s="107" t="n">
        <f aca="false">IF($C1824="","",$D1824*$E1824)</f>
        <v>26.672</v>
      </c>
      <c r="G1824" s="107" t="n">
        <f aca="false">IF($C1824="","",$D1824*IFERROR(INDEX('تحليل التكلفة والسعر'!$C$2:$C$700,MATCH($C1824,'تحليل التكلفة والسعر'!$B$2:$B$700,0)),0))</f>
        <v>11.8076785635</v>
      </c>
      <c r="H1824" s="104" t="s">
        <v>719</v>
      </c>
    </row>
    <row r="1825" customFormat="false" ht="15" hidden="false" customHeight="false" outlineLevel="0" collapsed="false">
      <c r="A1825" s="103" t="n">
        <v>46307</v>
      </c>
      <c r="B1825" s="104" t="s">
        <v>34</v>
      </c>
      <c r="C1825" s="104" t="s">
        <v>390</v>
      </c>
      <c r="D1825" s="105" t="n">
        <v>0.1667</v>
      </c>
      <c r="E1825" s="106" t="n">
        <v>160</v>
      </c>
      <c r="F1825" s="107" t="n">
        <f aca="false">IF($C1825="","",$D1825*$E1825)</f>
        <v>26.672</v>
      </c>
      <c r="G1825" s="107" t="n">
        <f aca="false">IF($C1825="","",$D1825*IFERROR(INDEX('تحليل التكلفة والسعر'!$C$2:$C$700,MATCH($C1825,'تحليل التكلفة والسعر'!$B$2:$B$700,0)),0))</f>
        <v>11.8076785635</v>
      </c>
      <c r="H1825" s="104" t="s">
        <v>719</v>
      </c>
    </row>
    <row r="1826" customFormat="false" ht="15" hidden="false" customHeight="false" outlineLevel="0" collapsed="false">
      <c r="A1826" s="103" t="n">
        <v>46296</v>
      </c>
      <c r="B1826" s="104" t="s">
        <v>34</v>
      </c>
      <c r="C1826" s="104" t="s">
        <v>395</v>
      </c>
      <c r="D1826" s="105" t="n">
        <v>0.0833</v>
      </c>
      <c r="E1826" s="106" t="n">
        <v>105</v>
      </c>
      <c r="F1826" s="107" t="n">
        <f aca="false">IF($C1826="","",$D1826*$E1826)</f>
        <v>8.7465</v>
      </c>
      <c r="G1826" s="107" t="n">
        <f aca="false">IF($C1826="","",$D1826*IFERROR(INDEX('تحليل التكلفة والسعر'!$C$2:$C$700,MATCH($C1826,'تحليل التكلفة والسعر'!$B$2:$B$700,0)),0))</f>
        <v>4.209712941</v>
      </c>
      <c r="H1826" s="104" t="s">
        <v>719</v>
      </c>
    </row>
    <row r="1827" customFormat="false" ht="15" hidden="false" customHeight="false" outlineLevel="0" collapsed="false">
      <c r="A1827" s="103" t="n">
        <v>46297</v>
      </c>
      <c r="B1827" s="104" t="s">
        <v>34</v>
      </c>
      <c r="C1827" s="104" t="s">
        <v>395</v>
      </c>
      <c r="D1827" s="105" t="n">
        <v>0.0833</v>
      </c>
      <c r="E1827" s="106" t="n">
        <v>105</v>
      </c>
      <c r="F1827" s="107" t="n">
        <f aca="false">IF($C1827="","",$D1827*$E1827)</f>
        <v>8.7465</v>
      </c>
      <c r="G1827" s="107" t="n">
        <f aca="false">IF($C1827="","",$D1827*IFERROR(INDEX('تحليل التكلفة والسعر'!$C$2:$C$700,MATCH($C1827,'تحليل التكلفة والسعر'!$B$2:$B$700,0)),0))</f>
        <v>4.209712941</v>
      </c>
      <c r="H1827" s="104" t="s">
        <v>719</v>
      </c>
    </row>
    <row r="1828" customFormat="false" ht="15" hidden="false" customHeight="false" outlineLevel="0" collapsed="false">
      <c r="A1828" s="103" t="n">
        <v>46298</v>
      </c>
      <c r="B1828" s="104" t="s">
        <v>34</v>
      </c>
      <c r="C1828" s="104" t="s">
        <v>395</v>
      </c>
      <c r="D1828" s="105" t="n">
        <v>0.0833</v>
      </c>
      <c r="E1828" s="106" t="n">
        <v>105</v>
      </c>
      <c r="F1828" s="107" t="n">
        <f aca="false">IF($C1828="","",$D1828*$E1828)</f>
        <v>8.7465</v>
      </c>
      <c r="G1828" s="107" t="n">
        <f aca="false">IF($C1828="","",$D1828*IFERROR(INDEX('تحليل التكلفة والسعر'!$C$2:$C$700,MATCH($C1828,'تحليل التكلفة والسعر'!$B$2:$B$700,0)),0))</f>
        <v>4.209712941</v>
      </c>
      <c r="H1828" s="104" t="s">
        <v>719</v>
      </c>
    </row>
    <row r="1829" customFormat="false" ht="15" hidden="false" customHeight="false" outlineLevel="0" collapsed="false">
      <c r="A1829" s="103" t="n">
        <v>46299</v>
      </c>
      <c r="B1829" s="104" t="s">
        <v>34</v>
      </c>
      <c r="C1829" s="104" t="s">
        <v>395</v>
      </c>
      <c r="D1829" s="105" t="n">
        <v>0.0833</v>
      </c>
      <c r="E1829" s="106" t="n">
        <v>105</v>
      </c>
      <c r="F1829" s="107" t="n">
        <f aca="false">IF($C1829="","",$D1829*$E1829)</f>
        <v>8.7465</v>
      </c>
      <c r="G1829" s="107" t="n">
        <f aca="false">IF($C1829="","",$D1829*IFERROR(INDEX('تحليل التكلفة والسعر'!$C$2:$C$700,MATCH($C1829,'تحليل التكلفة والسعر'!$B$2:$B$700,0)),0))</f>
        <v>4.209712941</v>
      </c>
      <c r="H1829" s="104" t="s">
        <v>719</v>
      </c>
    </row>
    <row r="1830" customFormat="false" ht="15" hidden="false" customHeight="false" outlineLevel="0" collapsed="false">
      <c r="A1830" s="103" t="n">
        <v>46300</v>
      </c>
      <c r="B1830" s="104" t="s">
        <v>34</v>
      </c>
      <c r="C1830" s="104" t="s">
        <v>395</v>
      </c>
      <c r="D1830" s="105" t="n">
        <v>0.0833</v>
      </c>
      <c r="E1830" s="106" t="n">
        <v>105</v>
      </c>
      <c r="F1830" s="107" t="n">
        <f aca="false">IF($C1830="","",$D1830*$E1830)</f>
        <v>8.7465</v>
      </c>
      <c r="G1830" s="107" t="n">
        <f aca="false">IF($C1830="","",$D1830*IFERROR(INDEX('تحليل التكلفة والسعر'!$C$2:$C$700,MATCH($C1830,'تحليل التكلفة والسعر'!$B$2:$B$700,0)),0))</f>
        <v>4.209712941</v>
      </c>
      <c r="H1830" s="104" t="s">
        <v>719</v>
      </c>
    </row>
    <row r="1831" customFormat="false" ht="15" hidden="false" customHeight="false" outlineLevel="0" collapsed="false">
      <c r="A1831" s="103" t="n">
        <v>46301</v>
      </c>
      <c r="B1831" s="104" t="s">
        <v>34</v>
      </c>
      <c r="C1831" s="104" t="s">
        <v>395</v>
      </c>
      <c r="D1831" s="105" t="n">
        <v>0.0833</v>
      </c>
      <c r="E1831" s="106" t="n">
        <v>105</v>
      </c>
      <c r="F1831" s="107" t="n">
        <f aca="false">IF($C1831="","",$D1831*$E1831)</f>
        <v>8.7465</v>
      </c>
      <c r="G1831" s="107" t="n">
        <f aca="false">IF($C1831="","",$D1831*IFERROR(INDEX('تحليل التكلفة والسعر'!$C$2:$C$700,MATCH($C1831,'تحليل التكلفة والسعر'!$B$2:$B$700,0)),0))</f>
        <v>4.209712941</v>
      </c>
      <c r="H1831" s="104" t="s">
        <v>719</v>
      </c>
    </row>
    <row r="1832" customFormat="false" ht="15" hidden="false" customHeight="false" outlineLevel="0" collapsed="false">
      <c r="A1832" s="103" t="n">
        <v>46302</v>
      </c>
      <c r="B1832" s="104" t="s">
        <v>34</v>
      </c>
      <c r="C1832" s="104" t="s">
        <v>395</v>
      </c>
      <c r="D1832" s="105" t="n">
        <v>0.0833</v>
      </c>
      <c r="E1832" s="106" t="n">
        <v>105</v>
      </c>
      <c r="F1832" s="107" t="n">
        <f aca="false">IF($C1832="","",$D1832*$E1832)</f>
        <v>8.7465</v>
      </c>
      <c r="G1832" s="107" t="n">
        <f aca="false">IF($C1832="","",$D1832*IFERROR(INDEX('تحليل التكلفة والسعر'!$C$2:$C$700,MATCH($C1832,'تحليل التكلفة والسعر'!$B$2:$B$700,0)),0))</f>
        <v>4.209712941</v>
      </c>
      <c r="H1832" s="104" t="s">
        <v>719</v>
      </c>
    </row>
    <row r="1833" customFormat="false" ht="15" hidden="false" customHeight="false" outlineLevel="0" collapsed="false">
      <c r="A1833" s="103" t="n">
        <v>46303</v>
      </c>
      <c r="B1833" s="104" t="s">
        <v>34</v>
      </c>
      <c r="C1833" s="104" t="s">
        <v>395</v>
      </c>
      <c r="D1833" s="105" t="n">
        <v>0.0833</v>
      </c>
      <c r="E1833" s="106" t="n">
        <v>105</v>
      </c>
      <c r="F1833" s="107" t="n">
        <f aca="false">IF($C1833="","",$D1833*$E1833)</f>
        <v>8.7465</v>
      </c>
      <c r="G1833" s="107" t="n">
        <f aca="false">IF($C1833="","",$D1833*IFERROR(INDEX('تحليل التكلفة والسعر'!$C$2:$C$700,MATCH($C1833,'تحليل التكلفة والسعر'!$B$2:$B$700,0)),0))</f>
        <v>4.209712941</v>
      </c>
      <c r="H1833" s="104" t="s">
        <v>719</v>
      </c>
    </row>
    <row r="1834" customFormat="false" ht="15" hidden="false" customHeight="false" outlineLevel="0" collapsed="false">
      <c r="A1834" s="103" t="n">
        <v>46304</v>
      </c>
      <c r="B1834" s="104" t="s">
        <v>34</v>
      </c>
      <c r="C1834" s="104" t="s">
        <v>395</v>
      </c>
      <c r="D1834" s="105" t="n">
        <v>0.0833</v>
      </c>
      <c r="E1834" s="106" t="n">
        <v>105</v>
      </c>
      <c r="F1834" s="107" t="n">
        <f aca="false">IF($C1834="","",$D1834*$E1834)</f>
        <v>8.7465</v>
      </c>
      <c r="G1834" s="107" t="n">
        <f aca="false">IF($C1834="","",$D1834*IFERROR(INDEX('تحليل التكلفة والسعر'!$C$2:$C$700,MATCH($C1834,'تحليل التكلفة والسعر'!$B$2:$B$700,0)),0))</f>
        <v>4.209712941</v>
      </c>
      <c r="H1834" s="104" t="s">
        <v>719</v>
      </c>
    </row>
    <row r="1835" customFormat="false" ht="15" hidden="false" customHeight="false" outlineLevel="0" collapsed="false">
      <c r="A1835" s="103" t="n">
        <v>46305</v>
      </c>
      <c r="B1835" s="104" t="s">
        <v>34</v>
      </c>
      <c r="C1835" s="104" t="s">
        <v>395</v>
      </c>
      <c r="D1835" s="105" t="n">
        <v>0.0833</v>
      </c>
      <c r="E1835" s="106" t="n">
        <v>105</v>
      </c>
      <c r="F1835" s="107" t="n">
        <f aca="false">IF($C1835="","",$D1835*$E1835)</f>
        <v>8.7465</v>
      </c>
      <c r="G1835" s="107" t="n">
        <f aca="false">IF($C1835="","",$D1835*IFERROR(INDEX('تحليل التكلفة والسعر'!$C$2:$C$700,MATCH($C1835,'تحليل التكلفة والسعر'!$B$2:$B$700,0)),0))</f>
        <v>4.209712941</v>
      </c>
      <c r="H1835" s="104" t="s">
        <v>719</v>
      </c>
    </row>
    <row r="1836" customFormat="false" ht="15" hidden="false" customHeight="false" outlineLevel="0" collapsed="false">
      <c r="A1836" s="103" t="n">
        <v>46306</v>
      </c>
      <c r="B1836" s="104" t="s">
        <v>34</v>
      </c>
      <c r="C1836" s="104" t="s">
        <v>395</v>
      </c>
      <c r="D1836" s="105" t="n">
        <v>0.0833</v>
      </c>
      <c r="E1836" s="106" t="n">
        <v>105</v>
      </c>
      <c r="F1836" s="107" t="n">
        <f aca="false">IF($C1836="","",$D1836*$E1836)</f>
        <v>8.7465</v>
      </c>
      <c r="G1836" s="107" t="n">
        <f aca="false">IF($C1836="","",$D1836*IFERROR(INDEX('تحليل التكلفة والسعر'!$C$2:$C$700,MATCH($C1836,'تحليل التكلفة والسعر'!$B$2:$B$700,0)),0))</f>
        <v>4.209712941</v>
      </c>
      <c r="H1836" s="104" t="s">
        <v>719</v>
      </c>
    </row>
    <row r="1837" customFormat="false" ht="15" hidden="false" customHeight="false" outlineLevel="0" collapsed="false">
      <c r="A1837" s="103" t="n">
        <v>46307</v>
      </c>
      <c r="B1837" s="104" t="s">
        <v>34</v>
      </c>
      <c r="C1837" s="104" t="s">
        <v>395</v>
      </c>
      <c r="D1837" s="105" t="n">
        <v>0.0833</v>
      </c>
      <c r="E1837" s="106" t="n">
        <v>105</v>
      </c>
      <c r="F1837" s="107" t="n">
        <f aca="false">IF($C1837="","",$D1837*$E1837)</f>
        <v>8.7465</v>
      </c>
      <c r="G1837" s="107" t="n">
        <f aca="false">IF($C1837="","",$D1837*IFERROR(INDEX('تحليل التكلفة والسعر'!$C$2:$C$700,MATCH($C1837,'تحليل التكلفة والسعر'!$B$2:$B$700,0)),0))</f>
        <v>4.209712941</v>
      </c>
      <c r="H1837" s="104" t="s">
        <v>719</v>
      </c>
    </row>
    <row r="1838" customFormat="false" ht="15" hidden="false" customHeight="false" outlineLevel="0" collapsed="false">
      <c r="A1838" s="103" t="n">
        <v>46296</v>
      </c>
      <c r="B1838" s="104" t="s">
        <v>34</v>
      </c>
      <c r="C1838" s="104" t="s">
        <v>469</v>
      </c>
      <c r="D1838" s="105" t="n">
        <v>1.1667</v>
      </c>
      <c r="E1838" s="106" t="n">
        <v>200</v>
      </c>
      <c r="F1838" s="107" t="n">
        <f aca="false">IF($C1838="","",$D1838*$E1838)</f>
        <v>233.34</v>
      </c>
      <c r="G1838" s="107" t="n">
        <f aca="false">IF($C1838="","",$D1838*IFERROR(INDEX('تحليل التكلفة والسعر'!$C$2:$C$700,MATCH($C1838,'تحليل التكلفة والسعر'!$B$2:$B$700,0)),0))</f>
        <v>123.4263597</v>
      </c>
      <c r="H1838" s="104" t="s">
        <v>719</v>
      </c>
    </row>
    <row r="1839" customFormat="false" ht="15" hidden="false" customHeight="false" outlineLevel="0" collapsed="false">
      <c r="A1839" s="103" t="n">
        <v>46297</v>
      </c>
      <c r="B1839" s="104" t="s">
        <v>34</v>
      </c>
      <c r="C1839" s="104" t="s">
        <v>469</v>
      </c>
      <c r="D1839" s="105" t="n">
        <v>1.1667</v>
      </c>
      <c r="E1839" s="106" t="n">
        <v>200</v>
      </c>
      <c r="F1839" s="107" t="n">
        <f aca="false">IF($C1839="","",$D1839*$E1839)</f>
        <v>233.34</v>
      </c>
      <c r="G1839" s="107" t="n">
        <f aca="false">IF($C1839="","",$D1839*IFERROR(INDEX('تحليل التكلفة والسعر'!$C$2:$C$700,MATCH($C1839,'تحليل التكلفة والسعر'!$B$2:$B$700,0)),0))</f>
        <v>123.4263597</v>
      </c>
      <c r="H1839" s="104" t="s">
        <v>719</v>
      </c>
    </row>
    <row r="1840" customFormat="false" ht="15" hidden="false" customHeight="false" outlineLevel="0" collapsed="false">
      <c r="A1840" s="103" t="n">
        <v>46298</v>
      </c>
      <c r="B1840" s="104" t="s">
        <v>34</v>
      </c>
      <c r="C1840" s="104" t="s">
        <v>469</v>
      </c>
      <c r="D1840" s="105" t="n">
        <v>1.1667</v>
      </c>
      <c r="E1840" s="106" t="n">
        <v>200</v>
      </c>
      <c r="F1840" s="107" t="n">
        <f aca="false">IF($C1840="","",$D1840*$E1840)</f>
        <v>233.34</v>
      </c>
      <c r="G1840" s="107" t="n">
        <f aca="false">IF($C1840="","",$D1840*IFERROR(INDEX('تحليل التكلفة والسعر'!$C$2:$C$700,MATCH($C1840,'تحليل التكلفة والسعر'!$B$2:$B$700,0)),0))</f>
        <v>123.4263597</v>
      </c>
      <c r="H1840" s="104" t="s">
        <v>719</v>
      </c>
    </row>
    <row r="1841" customFormat="false" ht="15" hidden="false" customHeight="false" outlineLevel="0" collapsed="false">
      <c r="A1841" s="103" t="n">
        <v>46299</v>
      </c>
      <c r="B1841" s="104" t="s">
        <v>34</v>
      </c>
      <c r="C1841" s="104" t="s">
        <v>469</v>
      </c>
      <c r="D1841" s="105" t="n">
        <v>1.1667</v>
      </c>
      <c r="E1841" s="106" t="n">
        <v>200</v>
      </c>
      <c r="F1841" s="107" t="n">
        <f aca="false">IF($C1841="","",$D1841*$E1841)</f>
        <v>233.34</v>
      </c>
      <c r="G1841" s="107" t="n">
        <f aca="false">IF($C1841="","",$D1841*IFERROR(INDEX('تحليل التكلفة والسعر'!$C$2:$C$700,MATCH($C1841,'تحليل التكلفة والسعر'!$B$2:$B$700,0)),0))</f>
        <v>123.4263597</v>
      </c>
      <c r="H1841" s="104" t="s">
        <v>719</v>
      </c>
    </row>
    <row r="1842" customFormat="false" ht="15" hidden="false" customHeight="false" outlineLevel="0" collapsed="false">
      <c r="A1842" s="103" t="n">
        <v>46300</v>
      </c>
      <c r="B1842" s="104" t="s">
        <v>34</v>
      </c>
      <c r="C1842" s="104" t="s">
        <v>469</v>
      </c>
      <c r="D1842" s="105" t="n">
        <v>1.1667</v>
      </c>
      <c r="E1842" s="106" t="n">
        <v>200</v>
      </c>
      <c r="F1842" s="107" t="n">
        <f aca="false">IF($C1842="","",$D1842*$E1842)</f>
        <v>233.34</v>
      </c>
      <c r="G1842" s="107" t="n">
        <f aca="false">IF($C1842="","",$D1842*IFERROR(INDEX('تحليل التكلفة والسعر'!$C$2:$C$700,MATCH($C1842,'تحليل التكلفة والسعر'!$B$2:$B$700,0)),0))</f>
        <v>123.4263597</v>
      </c>
      <c r="H1842" s="104" t="s">
        <v>719</v>
      </c>
    </row>
    <row r="1843" customFormat="false" ht="15" hidden="false" customHeight="false" outlineLevel="0" collapsed="false">
      <c r="A1843" s="103" t="n">
        <v>46301</v>
      </c>
      <c r="B1843" s="104" t="s">
        <v>34</v>
      </c>
      <c r="C1843" s="104" t="s">
        <v>469</v>
      </c>
      <c r="D1843" s="105" t="n">
        <v>1.1667</v>
      </c>
      <c r="E1843" s="106" t="n">
        <v>200</v>
      </c>
      <c r="F1843" s="107" t="n">
        <f aca="false">IF($C1843="","",$D1843*$E1843)</f>
        <v>233.34</v>
      </c>
      <c r="G1843" s="107" t="n">
        <f aca="false">IF($C1843="","",$D1843*IFERROR(INDEX('تحليل التكلفة والسعر'!$C$2:$C$700,MATCH($C1843,'تحليل التكلفة والسعر'!$B$2:$B$700,0)),0))</f>
        <v>123.4263597</v>
      </c>
      <c r="H1843" s="104" t="s">
        <v>719</v>
      </c>
    </row>
    <row r="1844" customFormat="false" ht="15" hidden="false" customHeight="false" outlineLevel="0" collapsed="false">
      <c r="A1844" s="103" t="n">
        <v>46302</v>
      </c>
      <c r="B1844" s="104" t="s">
        <v>34</v>
      </c>
      <c r="C1844" s="104" t="s">
        <v>469</v>
      </c>
      <c r="D1844" s="105" t="n">
        <v>1.1667</v>
      </c>
      <c r="E1844" s="106" t="n">
        <v>200</v>
      </c>
      <c r="F1844" s="107" t="n">
        <f aca="false">IF($C1844="","",$D1844*$E1844)</f>
        <v>233.34</v>
      </c>
      <c r="G1844" s="107" t="n">
        <f aca="false">IF($C1844="","",$D1844*IFERROR(INDEX('تحليل التكلفة والسعر'!$C$2:$C$700,MATCH($C1844,'تحليل التكلفة والسعر'!$B$2:$B$700,0)),0))</f>
        <v>123.4263597</v>
      </c>
      <c r="H1844" s="104" t="s">
        <v>719</v>
      </c>
    </row>
    <row r="1845" customFormat="false" ht="15" hidden="false" customHeight="false" outlineLevel="0" collapsed="false">
      <c r="A1845" s="103" t="n">
        <v>46303</v>
      </c>
      <c r="B1845" s="104" t="s">
        <v>34</v>
      </c>
      <c r="C1845" s="104" t="s">
        <v>469</v>
      </c>
      <c r="D1845" s="105" t="n">
        <v>1.1667</v>
      </c>
      <c r="E1845" s="106" t="n">
        <v>200</v>
      </c>
      <c r="F1845" s="107" t="n">
        <f aca="false">IF($C1845="","",$D1845*$E1845)</f>
        <v>233.34</v>
      </c>
      <c r="G1845" s="107" t="n">
        <f aca="false">IF($C1845="","",$D1845*IFERROR(INDEX('تحليل التكلفة والسعر'!$C$2:$C$700,MATCH($C1845,'تحليل التكلفة والسعر'!$B$2:$B$700,0)),0))</f>
        <v>123.4263597</v>
      </c>
      <c r="H1845" s="104" t="s">
        <v>719</v>
      </c>
    </row>
    <row r="1846" customFormat="false" ht="15" hidden="false" customHeight="false" outlineLevel="0" collapsed="false">
      <c r="A1846" s="103" t="n">
        <v>46304</v>
      </c>
      <c r="B1846" s="104" t="s">
        <v>34</v>
      </c>
      <c r="C1846" s="104" t="s">
        <v>469</v>
      </c>
      <c r="D1846" s="105" t="n">
        <v>1.1667</v>
      </c>
      <c r="E1846" s="106" t="n">
        <v>200</v>
      </c>
      <c r="F1846" s="107" t="n">
        <f aca="false">IF($C1846="","",$D1846*$E1846)</f>
        <v>233.34</v>
      </c>
      <c r="G1846" s="107" t="n">
        <f aca="false">IF($C1846="","",$D1846*IFERROR(INDEX('تحليل التكلفة والسعر'!$C$2:$C$700,MATCH($C1846,'تحليل التكلفة والسعر'!$B$2:$B$700,0)),0))</f>
        <v>123.4263597</v>
      </c>
      <c r="H1846" s="104" t="s">
        <v>719</v>
      </c>
    </row>
    <row r="1847" customFormat="false" ht="15" hidden="false" customHeight="false" outlineLevel="0" collapsed="false">
      <c r="A1847" s="103" t="n">
        <v>46305</v>
      </c>
      <c r="B1847" s="104" t="s">
        <v>34</v>
      </c>
      <c r="C1847" s="104" t="s">
        <v>469</v>
      </c>
      <c r="D1847" s="105" t="n">
        <v>1.1667</v>
      </c>
      <c r="E1847" s="106" t="n">
        <v>200</v>
      </c>
      <c r="F1847" s="107" t="n">
        <f aca="false">IF($C1847="","",$D1847*$E1847)</f>
        <v>233.34</v>
      </c>
      <c r="G1847" s="107" t="n">
        <f aca="false">IF($C1847="","",$D1847*IFERROR(INDEX('تحليل التكلفة والسعر'!$C$2:$C$700,MATCH($C1847,'تحليل التكلفة والسعر'!$B$2:$B$700,0)),0))</f>
        <v>123.4263597</v>
      </c>
      <c r="H1847" s="104" t="s">
        <v>719</v>
      </c>
    </row>
    <row r="1848" customFormat="false" ht="15" hidden="false" customHeight="false" outlineLevel="0" collapsed="false">
      <c r="A1848" s="103" t="n">
        <v>46306</v>
      </c>
      <c r="B1848" s="104" t="s">
        <v>34</v>
      </c>
      <c r="C1848" s="104" t="s">
        <v>469</v>
      </c>
      <c r="D1848" s="105" t="n">
        <v>1.1667</v>
      </c>
      <c r="E1848" s="106" t="n">
        <v>200</v>
      </c>
      <c r="F1848" s="107" t="n">
        <f aca="false">IF($C1848="","",$D1848*$E1848)</f>
        <v>233.34</v>
      </c>
      <c r="G1848" s="107" t="n">
        <f aca="false">IF($C1848="","",$D1848*IFERROR(INDEX('تحليل التكلفة والسعر'!$C$2:$C$700,MATCH($C1848,'تحليل التكلفة والسعر'!$B$2:$B$700,0)),0))</f>
        <v>123.4263597</v>
      </c>
      <c r="H1848" s="104" t="s">
        <v>719</v>
      </c>
    </row>
    <row r="1849" customFormat="false" ht="15" hidden="false" customHeight="false" outlineLevel="0" collapsed="false">
      <c r="A1849" s="103" t="n">
        <v>46307</v>
      </c>
      <c r="B1849" s="104" t="s">
        <v>34</v>
      </c>
      <c r="C1849" s="104" t="s">
        <v>469</v>
      </c>
      <c r="D1849" s="105" t="n">
        <v>1.1667</v>
      </c>
      <c r="E1849" s="106" t="n">
        <v>200</v>
      </c>
      <c r="F1849" s="107" t="n">
        <f aca="false">IF($C1849="","",$D1849*$E1849)</f>
        <v>233.34</v>
      </c>
      <c r="G1849" s="107" t="n">
        <f aca="false">IF($C1849="","",$D1849*IFERROR(INDEX('تحليل التكلفة والسعر'!$C$2:$C$700,MATCH($C1849,'تحليل التكلفة والسعر'!$B$2:$B$700,0)),0))</f>
        <v>123.4263597</v>
      </c>
      <c r="H1849" s="104" t="s">
        <v>719</v>
      </c>
    </row>
    <row r="1850" customFormat="false" ht="15" hidden="false" customHeight="false" outlineLevel="0" collapsed="false">
      <c r="A1850" s="103" t="n">
        <v>46296</v>
      </c>
      <c r="B1850" s="104" t="s">
        <v>34</v>
      </c>
      <c r="C1850" s="104" t="s">
        <v>472</v>
      </c>
      <c r="D1850" s="105" t="n">
        <v>3.75</v>
      </c>
      <c r="E1850" s="106" t="n">
        <v>136.2222</v>
      </c>
      <c r="F1850" s="107" t="n">
        <f aca="false">IF($C1850="","",$D1850*$E1850)</f>
        <v>510.83325</v>
      </c>
      <c r="G1850" s="107" t="n">
        <f aca="false">IF($C1850="","",$D1850*IFERROR(INDEX('تحليل التكلفة والسعر'!$C$2:$C$700,MATCH($C1850,'تحليل التكلفة والسعر'!$B$2:$B$700,0)),0))</f>
        <v>280.936875</v>
      </c>
      <c r="H1850" s="104" t="s">
        <v>719</v>
      </c>
    </row>
    <row r="1851" customFormat="false" ht="15" hidden="false" customHeight="false" outlineLevel="0" collapsed="false">
      <c r="A1851" s="103" t="n">
        <v>46297</v>
      </c>
      <c r="B1851" s="104" t="s">
        <v>34</v>
      </c>
      <c r="C1851" s="104" t="s">
        <v>472</v>
      </c>
      <c r="D1851" s="105" t="n">
        <v>3.75</v>
      </c>
      <c r="E1851" s="106" t="n">
        <v>136.2222</v>
      </c>
      <c r="F1851" s="107" t="n">
        <f aca="false">IF($C1851="","",$D1851*$E1851)</f>
        <v>510.83325</v>
      </c>
      <c r="G1851" s="107" t="n">
        <f aca="false">IF($C1851="","",$D1851*IFERROR(INDEX('تحليل التكلفة والسعر'!$C$2:$C$700,MATCH($C1851,'تحليل التكلفة والسعر'!$B$2:$B$700,0)),0))</f>
        <v>280.936875</v>
      </c>
      <c r="H1851" s="104" t="s">
        <v>719</v>
      </c>
    </row>
    <row r="1852" customFormat="false" ht="15" hidden="false" customHeight="false" outlineLevel="0" collapsed="false">
      <c r="A1852" s="103" t="n">
        <v>46298</v>
      </c>
      <c r="B1852" s="104" t="s">
        <v>34</v>
      </c>
      <c r="C1852" s="104" t="s">
        <v>472</v>
      </c>
      <c r="D1852" s="105" t="n">
        <v>3.75</v>
      </c>
      <c r="E1852" s="106" t="n">
        <v>136.2222</v>
      </c>
      <c r="F1852" s="107" t="n">
        <f aca="false">IF($C1852="","",$D1852*$E1852)</f>
        <v>510.83325</v>
      </c>
      <c r="G1852" s="107" t="n">
        <f aca="false">IF($C1852="","",$D1852*IFERROR(INDEX('تحليل التكلفة والسعر'!$C$2:$C$700,MATCH($C1852,'تحليل التكلفة والسعر'!$B$2:$B$700,0)),0))</f>
        <v>280.936875</v>
      </c>
      <c r="H1852" s="104" t="s">
        <v>719</v>
      </c>
    </row>
    <row r="1853" customFormat="false" ht="15" hidden="false" customHeight="false" outlineLevel="0" collapsed="false">
      <c r="A1853" s="103" t="n">
        <v>46299</v>
      </c>
      <c r="B1853" s="104" t="s">
        <v>34</v>
      </c>
      <c r="C1853" s="104" t="s">
        <v>472</v>
      </c>
      <c r="D1853" s="105" t="n">
        <v>3.75</v>
      </c>
      <c r="E1853" s="106" t="n">
        <v>136.2222</v>
      </c>
      <c r="F1853" s="107" t="n">
        <f aca="false">IF($C1853="","",$D1853*$E1853)</f>
        <v>510.83325</v>
      </c>
      <c r="G1853" s="107" t="n">
        <f aca="false">IF($C1853="","",$D1853*IFERROR(INDEX('تحليل التكلفة والسعر'!$C$2:$C$700,MATCH($C1853,'تحليل التكلفة والسعر'!$B$2:$B$700,0)),0))</f>
        <v>280.936875</v>
      </c>
      <c r="H1853" s="104" t="s">
        <v>719</v>
      </c>
    </row>
    <row r="1854" customFormat="false" ht="15" hidden="false" customHeight="false" outlineLevel="0" collapsed="false">
      <c r="A1854" s="103" t="n">
        <v>46300</v>
      </c>
      <c r="B1854" s="104" t="s">
        <v>34</v>
      </c>
      <c r="C1854" s="104" t="s">
        <v>472</v>
      </c>
      <c r="D1854" s="105" t="n">
        <v>3.75</v>
      </c>
      <c r="E1854" s="106" t="n">
        <v>136.2222</v>
      </c>
      <c r="F1854" s="107" t="n">
        <f aca="false">IF($C1854="","",$D1854*$E1854)</f>
        <v>510.83325</v>
      </c>
      <c r="G1854" s="107" t="n">
        <f aca="false">IF($C1854="","",$D1854*IFERROR(INDEX('تحليل التكلفة والسعر'!$C$2:$C$700,MATCH($C1854,'تحليل التكلفة والسعر'!$B$2:$B$700,0)),0))</f>
        <v>280.936875</v>
      </c>
      <c r="H1854" s="104" t="s">
        <v>719</v>
      </c>
    </row>
    <row r="1855" customFormat="false" ht="15" hidden="false" customHeight="false" outlineLevel="0" collapsed="false">
      <c r="A1855" s="103" t="n">
        <v>46301</v>
      </c>
      <c r="B1855" s="104" t="s">
        <v>34</v>
      </c>
      <c r="C1855" s="104" t="s">
        <v>472</v>
      </c>
      <c r="D1855" s="105" t="n">
        <v>3.75</v>
      </c>
      <c r="E1855" s="106" t="n">
        <v>136.2222</v>
      </c>
      <c r="F1855" s="107" t="n">
        <f aca="false">IF($C1855="","",$D1855*$E1855)</f>
        <v>510.83325</v>
      </c>
      <c r="G1855" s="107" t="n">
        <f aca="false">IF($C1855="","",$D1855*IFERROR(INDEX('تحليل التكلفة والسعر'!$C$2:$C$700,MATCH($C1855,'تحليل التكلفة والسعر'!$B$2:$B$700,0)),0))</f>
        <v>280.936875</v>
      </c>
      <c r="H1855" s="104" t="s">
        <v>719</v>
      </c>
    </row>
    <row r="1856" customFormat="false" ht="15" hidden="false" customHeight="false" outlineLevel="0" collapsed="false">
      <c r="A1856" s="103" t="n">
        <v>46302</v>
      </c>
      <c r="B1856" s="104" t="s">
        <v>34</v>
      </c>
      <c r="C1856" s="104" t="s">
        <v>472</v>
      </c>
      <c r="D1856" s="105" t="n">
        <v>3.75</v>
      </c>
      <c r="E1856" s="106" t="n">
        <v>136.2222</v>
      </c>
      <c r="F1856" s="107" t="n">
        <f aca="false">IF($C1856="","",$D1856*$E1856)</f>
        <v>510.83325</v>
      </c>
      <c r="G1856" s="107" t="n">
        <f aca="false">IF($C1856="","",$D1856*IFERROR(INDEX('تحليل التكلفة والسعر'!$C$2:$C$700,MATCH($C1856,'تحليل التكلفة والسعر'!$B$2:$B$700,0)),0))</f>
        <v>280.936875</v>
      </c>
      <c r="H1856" s="104" t="s">
        <v>719</v>
      </c>
    </row>
    <row r="1857" customFormat="false" ht="15" hidden="false" customHeight="false" outlineLevel="0" collapsed="false">
      <c r="A1857" s="103" t="n">
        <v>46303</v>
      </c>
      <c r="B1857" s="104" t="s">
        <v>34</v>
      </c>
      <c r="C1857" s="104" t="s">
        <v>472</v>
      </c>
      <c r="D1857" s="105" t="n">
        <v>3.75</v>
      </c>
      <c r="E1857" s="106" t="n">
        <v>136.2222</v>
      </c>
      <c r="F1857" s="107" t="n">
        <f aca="false">IF($C1857="","",$D1857*$E1857)</f>
        <v>510.83325</v>
      </c>
      <c r="G1857" s="107" t="n">
        <f aca="false">IF($C1857="","",$D1857*IFERROR(INDEX('تحليل التكلفة والسعر'!$C$2:$C$700,MATCH($C1857,'تحليل التكلفة والسعر'!$B$2:$B$700,0)),0))</f>
        <v>280.936875</v>
      </c>
      <c r="H1857" s="104" t="s">
        <v>719</v>
      </c>
    </row>
    <row r="1858" customFormat="false" ht="15" hidden="false" customHeight="false" outlineLevel="0" collapsed="false">
      <c r="A1858" s="103" t="n">
        <v>46304</v>
      </c>
      <c r="B1858" s="104" t="s">
        <v>34</v>
      </c>
      <c r="C1858" s="104" t="s">
        <v>472</v>
      </c>
      <c r="D1858" s="105" t="n">
        <v>3.75</v>
      </c>
      <c r="E1858" s="106" t="n">
        <v>136.2222</v>
      </c>
      <c r="F1858" s="107" t="n">
        <f aca="false">IF($C1858="","",$D1858*$E1858)</f>
        <v>510.83325</v>
      </c>
      <c r="G1858" s="107" t="n">
        <f aca="false">IF($C1858="","",$D1858*IFERROR(INDEX('تحليل التكلفة والسعر'!$C$2:$C$700,MATCH($C1858,'تحليل التكلفة والسعر'!$B$2:$B$700,0)),0))</f>
        <v>280.936875</v>
      </c>
      <c r="H1858" s="104" t="s">
        <v>719</v>
      </c>
    </row>
    <row r="1859" customFormat="false" ht="15" hidden="false" customHeight="false" outlineLevel="0" collapsed="false">
      <c r="A1859" s="103" t="n">
        <v>46305</v>
      </c>
      <c r="B1859" s="104" t="s">
        <v>34</v>
      </c>
      <c r="C1859" s="104" t="s">
        <v>472</v>
      </c>
      <c r="D1859" s="105" t="n">
        <v>3.75</v>
      </c>
      <c r="E1859" s="106" t="n">
        <v>136.2222</v>
      </c>
      <c r="F1859" s="107" t="n">
        <f aca="false">IF($C1859="","",$D1859*$E1859)</f>
        <v>510.83325</v>
      </c>
      <c r="G1859" s="107" t="n">
        <f aca="false">IF($C1859="","",$D1859*IFERROR(INDEX('تحليل التكلفة والسعر'!$C$2:$C$700,MATCH($C1859,'تحليل التكلفة والسعر'!$B$2:$B$700,0)),0))</f>
        <v>280.936875</v>
      </c>
      <c r="H1859" s="104" t="s">
        <v>719</v>
      </c>
    </row>
    <row r="1860" customFormat="false" ht="15" hidden="false" customHeight="false" outlineLevel="0" collapsed="false">
      <c r="A1860" s="103" t="n">
        <v>46306</v>
      </c>
      <c r="B1860" s="104" t="s">
        <v>34</v>
      </c>
      <c r="C1860" s="104" t="s">
        <v>472</v>
      </c>
      <c r="D1860" s="105" t="n">
        <v>3.75</v>
      </c>
      <c r="E1860" s="106" t="n">
        <v>136.2222</v>
      </c>
      <c r="F1860" s="107" t="n">
        <f aca="false">IF($C1860="","",$D1860*$E1860)</f>
        <v>510.83325</v>
      </c>
      <c r="G1860" s="107" t="n">
        <f aca="false">IF($C1860="","",$D1860*IFERROR(INDEX('تحليل التكلفة والسعر'!$C$2:$C$700,MATCH($C1860,'تحليل التكلفة والسعر'!$B$2:$B$700,0)),0))</f>
        <v>280.936875</v>
      </c>
      <c r="H1860" s="104" t="s">
        <v>719</v>
      </c>
    </row>
    <row r="1861" customFormat="false" ht="15" hidden="false" customHeight="false" outlineLevel="0" collapsed="false">
      <c r="A1861" s="103" t="n">
        <v>46307</v>
      </c>
      <c r="B1861" s="104" t="s">
        <v>34</v>
      </c>
      <c r="C1861" s="104" t="s">
        <v>472</v>
      </c>
      <c r="D1861" s="105" t="n">
        <v>3.75</v>
      </c>
      <c r="E1861" s="106" t="n">
        <v>136.2222</v>
      </c>
      <c r="F1861" s="107" t="n">
        <f aca="false">IF($C1861="","",$D1861*$E1861)</f>
        <v>510.83325</v>
      </c>
      <c r="G1861" s="107" t="n">
        <f aca="false">IF($C1861="","",$D1861*IFERROR(INDEX('تحليل التكلفة والسعر'!$C$2:$C$700,MATCH($C1861,'تحليل التكلفة والسعر'!$B$2:$B$700,0)),0))</f>
        <v>280.936875</v>
      </c>
      <c r="H1861" s="104" t="s">
        <v>719</v>
      </c>
    </row>
    <row r="1862" customFormat="false" ht="15" hidden="false" customHeight="false" outlineLevel="0" collapsed="false">
      <c r="A1862" s="103" t="n">
        <v>46296</v>
      </c>
      <c r="B1862" s="104" t="s">
        <v>34</v>
      </c>
      <c r="C1862" s="104" t="s">
        <v>531</v>
      </c>
      <c r="D1862" s="105" t="n">
        <v>0.0833</v>
      </c>
      <c r="E1862" s="106" t="n">
        <v>330</v>
      </c>
      <c r="F1862" s="107" t="n">
        <f aca="false">IF($C1862="","",$D1862*$E1862)</f>
        <v>27.489</v>
      </c>
      <c r="G1862" s="107" t="n">
        <f aca="false">IF($C1862="","",$D1862*IFERROR(INDEX('تحليل التكلفة والسعر'!$C$2:$C$700,MATCH($C1862,'تحليل التكلفة والسعر'!$B$2:$B$700,0)),0))</f>
        <v>13.57437641</v>
      </c>
      <c r="H1862" s="104" t="s">
        <v>719</v>
      </c>
    </row>
    <row r="1863" customFormat="false" ht="15" hidden="false" customHeight="false" outlineLevel="0" collapsed="false">
      <c r="A1863" s="103" t="n">
        <v>46297</v>
      </c>
      <c r="B1863" s="104" t="s">
        <v>34</v>
      </c>
      <c r="C1863" s="104" t="s">
        <v>531</v>
      </c>
      <c r="D1863" s="105" t="n">
        <v>0.0833</v>
      </c>
      <c r="E1863" s="106" t="n">
        <v>330</v>
      </c>
      <c r="F1863" s="107" t="n">
        <f aca="false">IF($C1863="","",$D1863*$E1863)</f>
        <v>27.489</v>
      </c>
      <c r="G1863" s="107" t="n">
        <f aca="false">IF($C1863="","",$D1863*IFERROR(INDEX('تحليل التكلفة والسعر'!$C$2:$C$700,MATCH($C1863,'تحليل التكلفة والسعر'!$B$2:$B$700,0)),0))</f>
        <v>13.57437641</v>
      </c>
      <c r="H1863" s="104" t="s">
        <v>719</v>
      </c>
    </row>
    <row r="1864" customFormat="false" ht="15" hidden="false" customHeight="false" outlineLevel="0" collapsed="false">
      <c r="A1864" s="103" t="n">
        <v>46298</v>
      </c>
      <c r="B1864" s="104" t="s">
        <v>34</v>
      </c>
      <c r="C1864" s="104" t="s">
        <v>531</v>
      </c>
      <c r="D1864" s="105" t="n">
        <v>0.0833</v>
      </c>
      <c r="E1864" s="106" t="n">
        <v>330</v>
      </c>
      <c r="F1864" s="107" t="n">
        <f aca="false">IF($C1864="","",$D1864*$E1864)</f>
        <v>27.489</v>
      </c>
      <c r="G1864" s="107" t="n">
        <f aca="false">IF($C1864="","",$D1864*IFERROR(INDEX('تحليل التكلفة والسعر'!$C$2:$C$700,MATCH($C1864,'تحليل التكلفة والسعر'!$B$2:$B$700,0)),0))</f>
        <v>13.57437641</v>
      </c>
      <c r="H1864" s="104" t="s">
        <v>719</v>
      </c>
    </row>
    <row r="1865" customFormat="false" ht="15" hidden="false" customHeight="false" outlineLevel="0" collapsed="false">
      <c r="A1865" s="103" t="n">
        <v>46299</v>
      </c>
      <c r="B1865" s="104" t="s">
        <v>34</v>
      </c>
      <c r="C1865" s="104" t="s">
        <v>531</v>
      </c>
      <c r="D1865" s="105" t="n">
        <v>0.0833</v>
      </c>
      <c r="E1865" s="106" t="n">
        <v>330</v>
      </c>
      <c r="F1865" s="107" t="n">
        <f aca="false">IF($C1865="","",$D1865*$E1865)</f>
        <v>27.489</v>
      </c>
      <c r="G1865" s="107" t="n">
        <f aca="false">IF($C1865="","",$D1865*IFERROR(INDEX('تحليل التكلفة والسعر'!$C$2:$C$700,MATCH($C1865,'تحليل التكلفة والسعر'!$B$2:$B$700,0)),0))</f>
        <v>13.57437641</v>
      </c>
      <c r="H1865" s="104" t="s">
        <v>719</v>
      </c>
    </row>
    <row r="1866" customFormat="false" ht="15" hidden="false" customHeight="false" outlineLevel="0" collapsed="false">
      <c r="A1866" s="103" t="n">
        <v>46300</v>
      </c>
      <c r="B1866" s="104" t="s">
        <v>34</v>
      </c>
      <c r="C1866" s="104" t="s">
        <v>531</v>
      </c>
      <c r="D1866" s="105" t="n">
        <v>0.0833</v>
      </c>
      <c r="E1866" s="106" t="n">
        <v>330</v>
      </c>
      <c r="F1866" s="107" t="n">
        <f aca="false">IF($C1866="","",$D1866*$E1866)</f>
        <v>27.489</v>
      </c>
      <c r="G1866" s="107" t="n">
        <f aca="false">IF($C1866="","",$D1866*IFERROR(INDEX('تحليل التكلفة والسعر'!$C$2:$C$700,MATCH($C1866,'تحليل التكلفة والسعر'!$B$2:$B$700,0)),0))</f>
        <v>13.57437641</v>
      </c>
      <c r="H1866" s="104" t="s">
        <v>719</v>
      </c>
    </row>
    <row r="1867" customFormat="false" ht="15" hidden="false" customHeight="false" outlineLevel="0" collapsed="false">
      <c r="A1867" s="103" t="n">
        <v>46301</v>
      </c>
      <c r="B1867" s="104" t="s">
        <v>34</v>
      </c>
      <c r="C1867" s="104" t="s">
        <v>531</v>
      </c>
      <c r="D1867" s="105" t="n">
        <v>0.0833</v>
      </c>
      <c r="E1867" s="106" t="n">
        <v>330</v>
      </c>
      <c r="F1867" s="107" t="n">
        <f aca="false">IF($C1867="","",$D1867*$E1867)</f>
        <v>27.489</v>
      </c>
      <c r="G1867" s="107" t="n">
        <f aca="false">IF($C1867="","",$D1867*IFERROR(INDEX('تحليل التكلفة والسعر'!$C$2:$C$700,MATCH($C1867,'تحليل التكلفة والسعر'!$B$2:$B$700,0)),0))</f>
        <v>13.57437641</v>
      </c>
      <c r="H1867" s="104" t="s">
        <v>719</v>
      </c>
    </row>
    <row r="1868" customFormat="false" ht="15" hidden="false" customHeight="false" outlineLevel="0" collapsed="false">
      <c r="A1868" s="103" t="n">
        <v>46302</v>
      </c>
      <c r="B1868" s="104" t="s">
        <v>34</v>
      </c>
      <c r="C1868" s="104" t="s">
        <v>531</v>
      </c>
      <c r="D1868" s="105" t="n">
        <v>0.0833</v>
      </c>
      <c r="E1868" s="106" t="n">
        <v>330</v>
      </c>
      <c r="F1868" s="107" t="n">
        <f aca="false">IF($C1868="","",$D1868*$E1868)</f>
        <v>27.489</v>
      </c>
      <c r="G1868" s="107" t="n">
        <f aca="false">IF($C1868="","",$D1868*IFERROR(INDEX('تحليل التكلفة والسعر'!$C$2:$C$700,MATCH($C1868,'تحليل التكلفة والسعر'!$B$2:$B$700,0)),0))</f>
        <v>13.57437641</v>
      </c>
      <c r="H1868" s="104" t="s">
        <v>719</v>
      </c>
    </row>
    <row r="1869" customFormat="false" ht="15" hidden="false" customHeight="false" outlineLevel="0" collapsed="false">
      <c r="A1869" s="103" t="n">
        <v>46303</v>
      </c>
      <c r="B1869" s="104" t="s">
        <v>34</v>
      </c>
      <c r="C1869" s="104" t="s">
        <v>531</v>
      </c>
      <c r="D1869" s="105" t="n">
        <v>0.0833</v>
      </c>
      <c r="E1869" s="106" t="n">
        <v>330</v>
      </c>
      <c r="F1869" s="107" t="n">
        <f aca="false">IF($C1869="","",$D1869*$E1869)</f>
        <v>27.489</v>
      </c>
      <c r="G1869" s="107" t="n">
        <f aca="false">IF($C1869="","",$D1869*IFERROR(INDEX('تحليل التكلفة والسعر'!$C$2:$C$700,MATCH($C1869,'تحليل التكلفة والسعر'!$B$2:$B$700,0)),0))</f>
        <v>13.57437641</v>
      </c>
      <c r="H1869" s="104" t="s">
        <v>719</v>
      </c>
    </row>
    <row r="1870" customFormat="false" ht="15" hidden="false" customHeight="false" outlineLevel="0" collapsed="false">
      <c r="A1870" s="103" t="n">
        <v>46304</v>
      </c>
      <c r="B1870" s="104" t="s">
        <v>34</v>
      </c>
      <c r="C1870" s="104" t="s">
        <v>531</v>
      </c>
      <c r="D1870" s="105" t="n">
        <v>0.0833</v>
      </c>
      <c r="E1870" s="106" t="n">
        <v>330</v>
      </c>
      <c r="F1870" s="107" t="n">
        <f aca="false">IF($C1870="","",$D1870*$E1870)</f>
        <v>27.489</v>
      </c>
      <c r="G1870" s="107" t="n">
        <f aca="false">IF($C1870="","",$D1870*IFERROR(INDEX('تحليل التكلفة والسعر'!$C$2:$C$700,MATCH($C1870,'تحليل التكلفة والسعر'!$B$2:$B$700,0)),0))</f>
        <v>13.57437641</v>
      </c>
      <c r="H1870" s="104" t="s">
        <v>719</v>
      </c>
    </row>
    <row r="1871" customFormat="false" ht="15" hidden="false" customHeight="false" outlineLevel="0" collapsed="false">
      <c r="A1871" s="103" t="n">
        <v>46305</v>
      </c>
      <c r="B1871" s="104" t="s">
        <v>34</v>
      </c>
      <c r="C1871" s="104" t="s">
        <v>531</v>
      </c>
      <c r="D1871" s="105" t="n">
        <v>0.0833</v>
      </c>
      <c r="E1871" s="106" t="n">
        <v>330</v>
      </c>
      <c r="F1871" s="107" t="n">
        <f aca="false">IF($C1871="","",$D1871*$E1871)</f>
        <v>27.489</v>
      </c>
      <c r="G1871" s="107" t="n">
        <f aca="false">IF($C1871="","",$D1871*IFERROR(INDEX('تحليل التكلفة والسعر'!$C$2:$C$700,MATCH($C1871,'تحليل التكلفة والسعر'!$B$2:$B$700,0)),0))</f>
        <v>13.57437641</v>
      </c>
      <c r="H1871" s="104" t="s">
        <v>719</v>
      </c>
    </row>
    <row r="1872" customFormat="false" ht="15" hidden="false" customHeight="false" outlineLevel="0" collapsed="false">
      <c r="A1872" s="103" t="n">
        <v>46306</v>
      </c>
      <c r="B1872" s="104" t="s">
        <v>34</v>
      </c>
      <c r="C1872" s="104" t="s">
        <v>531</v>
      </c>
      <c r="D1872" s="105" t="n">
        <v>0.0833</v>
      </c>
      <c r="E1872" s="106" t="n">
        <v>330</v>
      </c>
      <c r="F1872" s="107" t="n">
        <f aca="false">IF($C1872="","",$D1872*$E1872)</f>
        <v>27.489</v>
      </c>
      <c r="G1872" s="107" t="n">
        <f aca="false">IF($C1872="","",$D1872*IFERROR(INDEX('تحليل التكلفة والسعر'!$C$2:$C$700,MATCH($C1872,'تحليل التكلفة والسعر'!$B$2:$B$700,0)),0))</f>
        <v>13.57437641</v>
      </c>
      <c r="H1872" s="104" t="s">
        <v>719</v>
      </c>
    </row>
    <row r="1873" customFormat="false" ht="15" hidden="false" customHeight="false" outlineLevel="0" collapsed="false">
      <c r="A1873" s="103" t="n">
        <v>46307</v>
      </c>
      <c r="B1873" s="104" t="s">
        <v>34</v>
      </c>
      <c r="C1873" s="104" t="s">
        <v>531</v>
      </c>
      <c r="D1873" s="105" t="n">
        <v>0.0833</v>
      </c>
      <c r="E1873" s="106" t="n">
        <v>330</v>
      </c>
      <c r="F1873" s="107" t="n">
        <f aca="false">IF($C1873="","",$D1873*$E1873)</f>
        <v>27.489</v>
      </c>
      <c r="G1873" s="107" t="n">
        <f aca="false">IF($C1873="","",$D1873*IFERROR(INDEX('تحليل التكلفة والسعر'!$C$2:$C$700,MATCH($C1873,'تحليل التكلفة والسعر'!$B$2:$B$700,0)),0))</f>
        <v>13.57437641</v>
      </c>
      <c r="H1873" s="104" t="s">
        <v>719</v>
      </c>
    </row>
    <row r="1874" customFormat="false" ht="15" hidden="false" customHeight="false" outlineLevel="0" collapsed="false">
      <c r="A1874" s="103" t="n">
        <v>46296</v>
      </c>
      <c r="B1874" s="104" t="s">
        <v>34</v>
      </c>
      <c r="C1874" s="104" t="s">
        <v>466</v>
      </c>
      <c r="D1874" s="105" t="n">
        <v>0.25</v>
      </c>
      <c r="E1874" s="106" t="n">
        <v>230</v>
      </c>
      <c r="F1874" s="107" t="n">
        <f aca="false">IF($C1874="","",$D1874*$E1874)</f>
        <v>57.5</v>
      </c>
      <c r="G1874" s="107" t="n">
        <f aca="false">IF($C1874="","",$D1874*IFERROR(INDEX('تحليل التكلفة والسعر'!$C$2:$C$700,MATCH($C1874,'تحليل التكلفة والسعر'!$B$2:$B$700,0)),0))</f>
        <v>31.979125</v>
      </c>
      <c r="H1874" s="104" t="s">
        <v>719</v>
      </c>
    </row>
    <row r="1875" customFormat="false" ht="15" hidden="false" customHeight="false" outlineLevel="0" collapsed="false">
      <c r="A1875" s="103" t="n">
        <v>46297</v>
      </c>
      <c r="B1875" s="104" t="s">
        <v>34</v>
      </c>
      <c r="C1875" s="104" t="s">
        <v>466</v>
      </c>
      <c r="D1875" s="105" t="n">
        <v>0.25</v>
      </c>
      <c r="E1875" s="106" t="n">
        <v>230</v>
      </c>
      <c r="F1875" s="107" t="n">
        <f aca="false">IF($C1875="","",$D1875*$E1875)</f>
        <v>57.5</v>
      </c>
      <c r="G1875" s="107" t="n">
        <f aca="false">IF($C1875="","",$D1875*IFERROR(INDEX('تحليل التكلفة والسعر'!$C$2:$C$700,MATCH($C1875,'تحليل التكلفة والسعر'!$B$2:$B$700,0)),0))</f>
        <v>31.979125</v>
      </c>
      <c r="H1875" s="104" t="s">
        <v>719</v>
      </c>
    </row>
    <row r="1876" customFormat="false" ht="15" hidden="false" customHeight="false" outlineLevel="0" collapsed="false">
      <c r="A1876" s="103" t="n">
        <v>46298</v>
      </c>
      <c r="B1876" s="104" t="s">
        <v>34</v>
      </c>
      <c r="C1876" s="104" t="s">
        <v>466</v>
      </c>
      <c r="D1876" s="105" t="n">
        <v>0.25</v>
      </c>
      <c r="E1876" s="106" t="n">
        <v>230</v>
      </c>
      <c r="F1876" s="107" t="n">
        <f aca="false">IF($C1876="","",$D1876*$E1876)</f>
        <v>57.5</v>
      </c>
      <c r="G1876" s="107" t="n">
        <f aca="false">IF($C1876="","",$D1876*IFERROR(INDEX('تحليل التكلفة والسعر'!$C$2:$C$700,MATCH($C1876,'تحليل التكلفة والسعر'!$B$2:$B$700,0)),0))</f>
        <v>31.979125</v>
      </c>
      <c r="H1876" s="104" t="s">
        <v>719</v>
      </c>
    </row>
    <row r="1877" customFormat="false" ht="15" hidden="false" customHeight="false" outlineLevel="0" collapsed="false">
      <c r="A1877" s="103" t="n">
        <v>46299</v>
      </c>
      <c r="B1877" s="104" t="s">
        <v>34</v>
      </c>
      <c r="C1877" s="104" t="s">
        <v>466</v>
      </c>
      <c r="D1877" s="105" t="n">
        <v>0.25</v>
      </c>
      <c r="E1877" s="106" t="n">
        <v>230</v>
      </c>
      <c r="F1877" s="107" t="n">
        <f aca="false">IF($C1877="","",$D1877*$E1877)</f>
        <v>57.5</v>
      </c>
      <c r="G1877" s="107" t="n">
        <f aca="false">IF($C1877="","",$D1877*IFERROR(INDEX('تحليل التكلفة والسعر'!$C$2:$C$700,MATCH($C1877,'تحليل التكلفة والسعر'!$B$2:$B$700,0)),0))</f>
        <v>31.979125</v>
      </c>
      <c r="H1877" s="104" t="s">
        <v>719</v>
      </c>
    </row>
    <row r="1878" customFormat="false" ht="15" hidden="false" customHeight="false" outlineLevel="0" collapsed="false">
      <c r="A1878" s="103" t="n">
        <v>46300</v>
      </c>
      <c r="B1878" s="104" t="s">
        <v>34</v>
      </c>
      <c r="C1878" s="104" t="s">
        <v>466</v>
      </c>
      <c r="D1878" s="105" t="n">
        <v>0.25</v>
      </c>
      <c r="E1878" s="106" t="n">
        <v>230</v>
      </c>
      <c r="F1878" s="107" t="n">
        <f aca="false">IF($C1878="","",$D1878*$E1878)</f>
        <v>57.5</v>
      </c>
      <c r="G1878" s="107" t="n">
        <f aca="false">IF($C1878="","",$D1878*IFERROR(INDEX('تحليل التكلفة والسعر'!$C$2:$C$700,MATCH($C1878,'تحليل التكلفة والسعر'!$B$2:$B$700,0)),0))</f>
        <v>31.979125</v>
      </c>
      <c r="H1878" s="104" t="s">
        <v>719</v>
      </c>
    </row>
    <row r="1879" customFormat="false" ht="15" hidden="false" customHeight="false" outlineLevel="0" collapsed="false">
      <c r="A1879" s="103" t="n">
        <v>46301</v>
      </c>
      <c r="B1879" s="104" t="s">
        <v>34</v>
      </c>
      <c r="C1879" s="104" t="s">
        <v>466</v>
      </c>
      <c r="D1879" s="105" t="n">
        <v>0.25</v>
      </c>
      <c r="E1879" s="106" t="n">
        <v>230</v>
      </c>
      <c r="F1879" s="107" t="n">
        <f aca="false">IF($C1879="","",$D1879*$E1879)</f>
        <v>57.5</v>
      </c>
      <c r="G1879" s="107" t="n">
        <f aca="false">IF($C1879="","",$D1879*IFERROR(INDEX('تحليل التكلفة والسعر'!$C$2:$C$700,MATCH($C1879,'تحليل التكلفة والسعر'!$B$2:$B$700,0)),0))</f>
        <v>31.979125</v>
      </c>
      <c r="H1879" s="104" t="s">
        <v>719</v>
      </c>
    </row>
    <row r="1880" customFormat="false" ht="15" hidden="false" customHeight="false" outlineLevel="0" collapsed="false">
      <c r="A1880" s="103" t="n">
        <v>46302</v>
      </c>
      <c r="B1880" s="104" t="s">
        <v>34</v>
      </c>
      <c r="C1880" s="104" t="s">
        <v>466</v>
      </c>
      <c r="D1880" s="105" t="n">
        <v>0.25</v>
      </c>
      <c r="E1880" s="106" t="n">
        <v>230</v>
      </c>
      <c r="F1880" s="107" t="n">
        <f aca="false">IF($C1880="","",$D1880*$E1880)</f>
        <v>57.5</v>
      </c>
      <c r="G1880" s="107" t="n">
        <f aca="false">IF($C1880="","",$D1880*IFERROR(INDEX('تحليل التكلفة والسعر'!$C$2:$C$700,MATCH($C1880,'تحليل التكلفة والسعر'!$B$2:$B$700,0)),0))</f>
        <v>31.979125</v>
      </c>
      <c r="H1880" s="104" t="s">
        <v>719</v>
      </c>
    </row>
    <row r="1881" customFormat="false" ht="15" hidden="false" customHeight="false" outlineLevel="0" collapsed="false">
      <c r="A1881" s="103" t="n">
        <v>46303</v>
      </c>
      <c r="B1881" s="104" t="s">
        <v>34</v>
      </c>
      <c r="C1881" s="104" t="s">
        <v>466</v>
      </c>
      <c r="D1881" s="105" t="n">
        <v>0.25</v>
      </c>
      <c r="E1881" s="106" t="n">
        <v>230</v>
      </c>
      <c r="F1881" s="107" t="n">
        <f aca="false">IF($C1881="","",$D1881*$E1881)</f>
        <v>57.5</v>
      </c>
      <c r="G1881" s="107" t="n">
        <f aca="false">IF($C1881="","",$D1881*IFERROR(INDEX('تحليل التكلفة والسعر'!$C$2:$C$700,MATCH($C1881,'تحليل التكلفة والسعر'!$B$2:$B$700,0)),0))</f>
        <v>31.979125</v>
      </c>
      <c r="H1881" s="104" t="s">
        <v>719</v>
      </c>
    </row>
    <row r="1882" customFormat="false" ht="15" hidden="false" customHeight="false" outlineLevel="0" collapsed="false">
      <c r="A1882" s="103" t="n">
        <v>46304</v>
      </c>
      <c r="B1882" s="104" t="s">
        <v>34</v>
      </c>
      <c r="C1882" s="104" t="s">
        <v>466</v>
      </c>
      <c r="D1882" s="105" t="n">
        <v>0.25</v>
      </c>
      <c r="E1882" s="106" t="n">
        <v>230</v>
      </c>
      <c r="F1882" s="107" t="n">
        <f aca="false">IF($C1882="","",$D1882*$E1882)</f>
        <v>57.5</v>
      </c>
      <c r="G1882" s="107" t="n">
        <f aca="false">IF($C1882="","",$D1882*IFERROR(INDEX('تحليل التكلفة والسعر'!$C$2:$C$700,MATCH($C1882,'تحليل التكلفة والسعر'!$B$2:$B$700,0)),0))</f>
        <v>31.979125</v>
      </c>
      <c r="H1882" s="104" t="s">
        <v>719</v>
      </c>
    </row>
    <row r="1883" customFormat="false" ht="15" hidden="false" customHeight="false" outlineLevel="0" collapsed="false">
      <c r="A1883" s="103" t="n">
        <v>46305</v>
      </c>
      <c r="B1883" s="104" t="s">
        <v>34</v>
      </c>
      <c r="C1883" s="104" t="s">
        <v>466</v>
      </c>
      <c r="D1883" s="105" t="n">
        <v>0.25</v>
      </c>
      <c r="E1883" s="106" t="n">
        <v>230</v>
      </c>
      <c r="F1883" s="107" t="n">
        <f aca="false">IF($C1883="","",$D1883*$E1883)</f>
        <v>57.5</v>
      </c>
      <c r="G1883" s="107" t="n">
        <f aca="false">IF($C1883="","",$D1883*IFERROR(INDEX('تحليل التكلفة والسعر'!$C$2:$C$700,MATCH($C1883,'تحليل التكلفة والسعر'!$B$2:$B$700,0)),0))</f>
        <v>31.979125</v>
      </c>
      <c r="H1883" s="104" t="s">
        <v>719</v>
      </c>
    </row>
    <row r="1884" customFormat="false" ht="15" hidden="false" customHeight="false" outlineLevel="0" collapsed="false">
      <c r="A1884" s="103" t="n">
        <v>46306</v>
      </c>
      <c r="B1884" s="104" t="s">
        <v>34</v>
      </c>
      <c r="C1884" s="104" t="s">
        <v>466</v>
      </c>
      <c r="D1884" s="105" t="n">
        <v>0.25</v>
      </c>
      <c r="E1884" s="106" t="n">
        <v>230</v>
      </c>
      <c r="F1884" s="107" t="n">
        <f aca="false">IF($C1884="","",$D1884*$E1884)</f>
        <v>57.5</v>
      </c>
      <c r="G1884" s="107" t="n">
        <f aca="false">IF($C1884="","",$D1884*IFERROR(INDEX('تحليل التكلفة والسعر'!$C$2:$C$700,MATCH($C1884,'تحليل التكلفة والسعر'!$B$2:$B$700,0)),0))</f>
        <v>31.979125</v>
      </c>
      <c r="H1884" s="104" t="s">
        <v>719</v>
      </c>
    </row>
    <row r="1885" customFormat="false" ht="15" hidden="false" customHeight="false" outlineLevel="0" collapsed="false">
      <c r="A1885" s="103" t="n">
        <v>46307</v>
      </c>
      <c r="B1885" s="104" t="s">
        <v>34</v>
      </c>
      <c r="C1885" s="104" t="s">
        <v>466</v>
      </c>
      <c r="D1885" s="105" t="n">
        <v>0.25</v>
      </c>
      <c r="E1885" s="106" t="n">
        <v>230</v>
      </c>
      <c r="F1885" s="107" t="n">
        <f aca="false">IF($C1885="","",$D1885*$E1885)</f>
        <v>57.5</v>
      </c>
      <c r="G1885" s="107" t="n">
        <f aca="false">IF($C1885="","",$D1885*IFERROR(INDEX('تحليل التكلفة والسعر'!$C$2:$C$700,MATCH($C1885,'تحليل التكلفة والسعر'!$B$2:$B$700,0)),0))</f>
        <v>31.979125</v>
      </c>
      <c r="H1885" s="104" t="s">
        <v>719</v>
      </c>
    </row>
    <row r="1886" customFormat="false" ht="15" hidden="false" customHeight="false" outlineLevel="0" collapsed="false">
      <c r="A1886" s="103" t="n">
        <v>46296</v>
      </c>
      <c r="B1886" s="104" t="s">
        <v>34</v>
      </c>
      <c r="C1886" s="104" t="s">
        <v>396</v>
      </c>
      <c r="D1886" s="105" t="n">
        <v>0.9167</v>
      </c>
      <c r="E1886" s="106" t="n">
        <v>344.5455</v>
      </c>
      <c r="F1886" s="107" t="n">
        <f aca="false">IF($C1886="","",$D1886*$E1886)</f>
        <v>315.84485985</v>
      </c>
      <c r="G1886" s="107" t="n">
        <f aca="false">IF($C1886="","",$D1886*IFERROR(INDEX('تحليل التكلفة والسعر'!$C$2:$C$700,MATCH($C1886,'تحليل التكلفة والسعر'!$B$2:$B$700,0)),0))</f>
        <v>165.193694325</v>
      </c>
      <c r="H1886" s="104" t="s">
        <v>719</v>
      </c>
    </row>
    <row r="1887" customFormat="false" ht="15" hidden="false" customHeight="false" outlineLevel="0" collapsed="false">
      <c r="A1887" s="103" t="n">
        <v>46297</v>
      </c>
      <c r="B1887" s="104" t="s">
        <v>34</v>
      </c>
      <c r="C1887" s="104" t="s">
        <v>396</v>
      </c>
      <c r="D1887" s="105" t="n">
        <v>0.9167</v>
      </c>
      <c r="E1887" s="106" t="n">
        <v>344.5455</v>
      </c>
      <c r="F1887" s="107" t="n">
        <f aca="false">IF($C1887="","",$D1887*$E1887)</f>
        <v>315.84485985</v>
      </c>
      <c r="G1887" s="107" t="n">
        <f aca="false">IF($C1887="","",$D1887*IFERROR(INDEX('تحليل التكلفة والسعر'!$C$2:$C$700,MATCH($C1887,'تحليل التكلفة والسعر'!$B$2:$B$700,0)),0))</f>
        <v>165.193694325</v>
      </c>
      <c r="H1887" s="104" t="s">
        <v>719</v>
      </c>
    </row>
    <row r="1888" customFormat="false" ht="15" hidden="false" customHeight="false" outlineLevel="0" collapsed="false">
      <c r="A1888" s="103" t="n">
        <v>46298</v>
      </c>
      <c r="B1888" s="104" t="s">
        <v>34</v>
      </c>
      <c r="C1888" s="104" t="s">
        <v>396</v>
      </c>
      <c r="D1888" s="105" t="n">
        <v>0.9167</v>
      </c>
      <c r="E1888" s="106" t="n">
        <v>344.5455</v>
      </c>
      <c r="F1888" s="107" t="n">
        <f aca="false">IF($C1888="","",$D1888*$E1888)</f>
        <v>315.84485985</v>
      </c>
      <c r="G1888" s="107" t="n">
        <f aca="false">IF($C1888="","",$D1888*IFERROR(INDEX('تحليل التكلفة والسعر'!$C$2:$C$700,MATCH($C1888,'تحليل التكلفة والسعر'!$B$2:$B$700,0)),0))</f>
        <v>165.193694325</v>
      </c>
      <c r="H1888" s="104" t="s">
        <v>719</v>
      </c>
    </row>
    <row r="1889" customFormat="false" ht="15" hidden="false" customHeight="false" outlineLevel="0" collapsed="false">
      <c r="A1889" s="103" t="n">
        <v>46299</v>
      </c>
      <c r="B1889" s="104" t="s">
        <v>34</v>
      </c>
      <c r="C1889" s="104" t="s">
        <v>396</v>
      </c>
      <c r="D1889" s="105" t="n">
        <v>0.9167</v>
      </c>
      <c r="E1889" s="106" t="n">
        <v>344.5455</v>
      </c>
      <c r="F1889" s="107" t="n">
        <f aca="false">IF($C1889="","",$D1889*$E1889)</f>
        <v>315.84485985</v>
      </c>
      <c r="G1889" s="107" t="n">
        <f aca="false">IF($C1889="","",$D1889*IFERROR(INDEX('تحليل التكلفة والسعر'!$C$2:$C$700,MATCH($C1889,'تحليل التكلفة والسعر'!$B$2:$B$700,0)),0))</f>
        <v>165.193694325</v>
      </c>
      <c r="H1889" s="104" t="s">
        <v>719</v>
      </c>
    </row>
    <row r="1890" customFormat="false" ht="15" hidden="false" customHeight="false" outlineLevel="0" collapsed="false">
      <c r="A1890" s="103" t="n">
        <v>46300</v>
      </c>
      <c r="B1890" s="104" t="s">
        <v>34</v>
      </c>
      <c r="C1890" s="104" t="s">
        <v>396</v>
      </c>
      <c r="D1890" s="105" t="n">
        <v>0.9167</v>
      </c>
      <c r="E1890" s="106" t="n">
        <v>344.5455</v>
      </c>
      <c r="F1890" s="107" t="n">
        <f aca="false">IF($C1890="","",$D1890*$E1890)</f>
        <v>315.84485985</v>
      </c>
      <c r="G1890" s="107" t="n">
        <f aca="false">IF($C1890="","",$D1890*IFERROR(INDEX('تحليل التكلفة والسعر'!$C$2:$C$700,MATCH($C1890,'تحليل التكلفة والسعر'!$B$2:$B$700,0)),0))</f>
        <v>165.193694325</v>
      </c>
      <c r="H1890" s="104" t="s">
        <v>719</v>
      </c>
    </row>
    <row r="1891" customFormat="false" ht="15" hidden="false" customHeight="false" outlineLevel="0" collapsed="false">
      <c r="A1891" s="103" t="n">
        <v>46301</v>
      </c>
      <c r="B1891" s="104" t="s">
        <v>34</v>
      </c>
      <c r="C1891" s="104" t="s">
        <v>396</v>
      </c>
      <c r="D1891" s="105" t="n">
        <v>0.9167</v>
      </c>
      <c r="E1891" s="106" t="n">
        <v>344.5455</v>
      </c>
      <c r="F1891" s="107" t="n">
        <f aca="false">IF($C1891="","",$D1891*$E1891)</f>
        <v>315.84485985</v>
      </c>
      <c r="G1891" s="107" t="n">
        <f aca="false">IF($C1891="","",$D1891*IFERROR(INDEX('تحليل التكلفة والسعر'!$C$2:$C$700,MATCH($C1891,'تحليل التكلفة والسعر'!$B$2:$B$700,0)),0))</f>
        <v>165.193694325</v>
      </c>
      <c r="H1891" s="104" t="s">
        <v>719</v>
      </c>
    </row>
    <row r="1892" customFormat="false" ht="15" hidden="false" customHeight="false" outlineLevel="0" collapsed="false">
      <c r="A1892" s="103" t="n">
        <v>46302</v>
      </c>
      <c r="B1892" s="104" t="s">
        <v>34</v>
      </c>
      <c r="C1892" s="104" t="s">
        <v>396</v>
      </c>
      <c r="D1892" s="105" t="n">
        <v>0.9167</v>
      </c>
      <c r="E1892" s="106" t="n">
        <v>344.5455</v>
      </c>
      <c r="F1892" s="107" t="n">
        <f aca="false">IF($C1892="","",$D1892*$E1892)</f>
        <v>315.84485985</v>
      </c>
      <c r="G1892" s="107" t="n">
        <f aca="false">IF($C1892="","",$D1892*IFERROR(INDEX('تحليل التكلفة والسعر'!$C$2:$C$700,MATCH($C1892,'تحليل التكلفة والسعر'!$B$2:$B$700,0)),0))</f>
        <v>165.193694325</v>
      </c>
      <c r="H1892" s="104" t="s">
        <v>719</v>
      </c>
    </row>
    <row r="1893" customFormat="false" ht="15" hidden="false" customHeight="false" outlineLevel="0" collapsed="false">
      <c r="A1893" s="103" t="n">
        <v>46303</v>
      </c>
      <c r="B1893" s="104" t="s">
        <v>34</v>
      </c>
      <c r="C1893" s="104" t="s">
        <v>396</v>
      </c>
      <c r="D1893" s="105" t="n">
        <v>0.9167</v>
      </c>
      <c r="E1893" s="106" t="n">
        <v>344.5455</v>
      </c>
      <c r="F1893" s="107" t="n">
        <f aca="false">IF($C1893="","",$D1893*$E1893)</f>
        <v>315.84485985</v>
      </c>
      <c r="G1893" s="107" t="n">
        <f aca="false">IF($C1893="","",$D1893*IFERROR(INDEX('تحليل التكلفة والسعر'!$C$2:$C$700,MATCH($C1893,'تحليل التكلفة والسعر'!$B$2:$B$700,0)),0))</f>
        <v>165.193694325</v>
      </c>
      <c r="H1893" s="104" t="s">
        <v>719</v>
      </c>
    </row>
    <row r="1894" customFormat="false" ht="15" hidden="false" customHeight="false" outlineLevel="0" collapsed="false">
      <c r="A1894" s="103" t="n">
        <v>46304</v>
      </c>
      <c r="B1894" s="104" t="s">
        <v>34</v>
      </c>
      <c r="C1894" s="104" t="s">
        <v>396</v>
      </c>
      <c r="D1894" s="105" t="n">
        <v>0.9167</v>
      </c>
      <c r="E1894" s="106" t="n">
        <v>344.5455</v>
      </c>
      <c r="F1894" s="107" t="n">
        <f aca="false">IF($C1894="","",$D1894*$E1894)</f>
        <v>315.84485985</v>
      </c>
      <c r="G1894" s="107" t="n">
        <f aca="false">IF($C1894="","",$D1894*IFERROR(INDEX('تحليل التكلفة والسعر'!$C$2:$C$700,MATCH($C1894,'تحليل التكلفة والسعر'!$B$2:$B$700,0)),0))</f>
        <v>165.193694325</v>
      </c>
      <c r="H1894" s="104" t="s">
        <v>719</v>
      </c>
    </row>
    <row r="1895" customFormat="false" ht="15" hidden="false" customHeight="false" outlineLevel="0" collapsed="false">
      <c r="A1895" s="103" t="n">
        <v>46305</v>
      </c>
      <c r="B1895" s="104" t="s">
        <v>34</v>
      </c>
      <c r="C1895" s="104" t="s">
        <v>396</v>
      </c>
      <c r="D1895" s="105" t="n">
        <v>0.9167</v>
      </c>
      <c r="E1895" s="106" t="n">
        <v>344.5455</v>
      </c>
      <c r="F1895" s="107" t="n">
        <f aca="false">IF($C1895="","",$D1895*$E1895)</f>
        <v>315.84485985</v>
      </c>
      <c r="G1895" s="107" t="n">
        <f aca="false">IF($C1895="","",$D1895*IFERROR(INDEX('تحليل التكلفة والسعر'!$C$2:$C$700,MATCH($C1895,'تحليل التكلفة والسعر'!$B$2:$B$700,0)),0))</f>
        <v>165.193694325</v>
      </c>
      <c r="H1895" s="104" t="s">
        <v>719</v>
      </c>
    </row>
    <row r="1896" customFormat="false" ht="15" hidden="false" customHeight="false" outlineLevel="0" collapsed="false">
      <c r="A1896" s="103" t="n">
        <v>46306</v>
      </c>
      <c r="B1896" s="104" t="s">
        <v>34</v>
      </c>
      <c r="C1896" s="104" t="s">
        <v>396</v>
      </c>
      <c r="D1896" s="105" t="n">
        <v>0.9167</v>
      </c>
      <c r="E1896" s="106" t="n">
        <v>344.5455</v>
      </c>
      <c r="F1896" s="107" t="n">
        <f aca="false">IF($C1896="","",$D1896*$E1896)</f>
        <v>315.84485985</v>
      </c>
      <c r="G1896" s="107" t="n">
        <f aca="false">IF($C1896="","",$D1896*IFERROR(INDEX('تحليل التكلفة والسعر'!$C$2:$C$700,MATCH($C1896,'تحليل التكلفة والسعر'!$B$2:$B$700,0)),0))</f>
        <v>165.193694325</v>
      </c>
      <c r="H1896" s="104" t="s">
        <v>719</v>
      </c>
    </row>
    <row r="1897" customFormat="false" ht="15" hidden="false" customHeight="false" outlineLevel="0" collapsed="false">
      <c r="A1897" s="103" t="n">
        <v>46307</v>
      </c>
      <c r="B1897" s="104" t="s">
        <v>34</v>
      </c>
      <c r="C1897" s="104" t="s">
        <v>396</v>
      </c>
      <c r="D1897" s="105" t="n">
        <v>0.9167</v>
      </c>
      <c r="E1897" s="106" t="n">
        <v>344.5455</v>
      </c>
      <c r="F1897" s="107" t="n">
        <f aca="false">IF($C1897="","",$D1897*$E1897)</f>
        <v>315.84485985</v>
      </c>
      <c r="G1897" s="107" t="n">
        <f aca="false">IF($C1897="","",$D1897*IFERROR(INDEX('تحليل التكلفة والسعر'!$C$2:$C$700,MATCH($C1897,'تحليل التكلفة والسعر'!$B$2:$B$700,0)),0))</f>
        <v>165.193694325</v>
      </c>
      <c r="H1897" s="104" t="s">
        <v>719</v>
      </c>
    </row>
    <row r="1898" customFormat="false" ht="15" hidden="false" customHeight="false" outlineLevel="0" collapsed="false">
      <c r="A1898" s="103" t="n">
        <v>46296</v>
      </c>
      <c r="B1898" s="104" t="s">
        <v>34</v>
      </c>
      <c r="C1898" s="104" t="s">
        <v>745</v>
      </c>
      <c r="D1898" s="105" t="n">
        <v>0.25</v>
      </c>
      <c r="E1898" s="106" t="n">
        <v>36.6667</v>
      </c>
      <c r="F1898" s="107" t="n">
        <f aca="false">IF($C1898="","",$D1898*$E1898)</f>
        <v>9.166675</v>
      </c>
      <c r="G1898" s="107" t="n">
        <f aca="false">IF($C1898="","",$D1898*IFERROR(INDEX('تحليل التكلفة والسعر'!$C$2:$C$700,MATCH($C1898,'تحليل التكلفة والسعر'!$B$2:$B$700,0)),0))</f>
        <v>2.625</v>
      </c>
      <c r="H1898" s="104" t="s">
        <v>719</v>
      </c>
    </row>
    <row r="1899" customFormat="false" ht="15" hidden="false" customHeight="false" outlineLevel="0" collapsed="false">
      <c r="A1899" s="103" t="n">
        <v>46297</v>
      </c>
      <c r="B1899" s="104" t="s">
        <v>34</v>
      </c>
      <c r="C1899" s="104" t="s">
        <v>745</v>
      </c>
      <c r="D1899" s="105" t="n">
        <v>0.25</v>
      </c>
      <c r="E1899" s="106" t="n">
        <v>36.6667</v>
      </c>
      <c r="F1899" s="107" t="n">
        <f aca="false">IF($C1899="","",$D1899*$E1899)</f>
        <v>9.166675</v>
      </c>
      <c r="G1899" s="107" t="n">
        <f aca="false">IF($C1899="","",$D1899*IFERROR(INDEX('تحليل التكلفة والسعر'!$C$2:$C$700,MATCH($C1899,'تحليل التكلفة والسعر'!$B$2:$B$700,0)),0))</f>
        <v>2.625</v>
      </c>
      <c r="H1899" s="104" t="s">
        <v>719</v>
      </c>
    </row>
    <row r="1900" customFormat="false" ht="15" hidden="false" customHeight="false" outlineLevel="0" collapsed="false">
      <c r="A1900" s="103" t="n">
        <v>46298</v>
      </c>
      <c r="B1900" s="104" t="s">
        <v>34</v>
      </c>
      <c r="C1900" s="104" t="s">
        <v>745</v>
      </c>
      <c r="D1900" s="105" t="n">
        <v>0.25</v>
      </c>
      <c r="E1900" s="106" t="n">
        <v>36.6667</v>
      </c>
      <c r="F1900" s="107" t="n">
        <f aca="false">IF($C1900="","",$D1900*$E1900)</f>
        <v>9.166675</v>
      </c>
      <c r="G1900" s="107" t="n">
        <f aca="false">IF($C1900="","",$D1900*IFERROR(INDEX('تحليل التكلفة والسعر'!$C$2:$C$700,MATCH($C1900,'تحليل التكلفة والسعر'!$B$2:$B$700,0)),0))</f>
        <v>2.625</v>
      </c>
      <c r="H1900" s="104" t="s">
        <v>719</v>
      </c>
    </row>
    <row r="1901" customFormat="false" ht="15" hidden="false" customHeight="false" outlineLevel="0" collapsed="false">
      <c r="A1901" s="103" t="n">
        <v>46299</v>
      </c>
      <c r="B1901" s="104" t="s">
        <v>34</v>
      </c>
      <c r="C1901" s="104" t="s">
        <v>745</v>
      </c>
      <c r="D1901" s="105" t="n">
        <v>0.25</v>
      </c>
      <c r="E1901" s="106" t="n">
        <v>36.6667</v>
      </c>
      <c r="F1901" s="107" t="n">
        <f aca="false">IF($C1901="","",$D1901*$E1901)</f>
        <v>9.166675</v>
      </c>
      <c r="G1901" s="107" t="n">
        <f aca="false">IF($C1901="","",$D1901*IFERROR(INDEX('تحليل التكلفة والسعر'!$C$2:$C$700,MATCH($C1901,'تحليل التكلفة والسعر'!$B$2:$B$700,0)),0))</f>
        <v>2.625</v>
      </c>
      <c r="H1901" s="104" t="s">
        <v>719</v>
      </c>
    </row>
    <row r="1902" customFormat="false" ht="15" hidden="false" customHeight="false" outlineLevel="0" collapsed="false">
      <c r="A1902" s="103" t="n">
        <v>46300</v>
      </c>
      <c r="B1902" s="104" t="s">
        <v>34</v>
      </c>
      <c r="C1902" s="104" t="s">
        <v>745</v>
      </c>
      <c r="D1902" s="105" t="n">
        <v>0.25</v>
      </c>
      <c r="E1902" s="106" t="n">
        <v>36.6667</v>
      </c>
      <c r="F1902" s="107" t="n">
        <f aca="false">IF($C1902="","",$D1902*$E1902)</f>
        <v>9.166675</v>
      </c>
      <c r="G1902" s="107" t="n">
        <f aca="false">IF($C1902="","",$D1902*IFERROR(INDEX('تحليل التكلفة والسعر'!$C$2:$C$700,MATCH($C1902,'تحليل التكلفة والسعر'!$B$2:$B$700,0)),0))</f>
        <v>2.625</v>
      </c>
      <c r="H1902" s="104" t="s">
        <v>719</v>
      </c>
    </row>
    <row r="1903" customFormat="false" ht="15" hidden="false" customHeight="false" outlineLevel="0" collapsed="false">
      <c r="A1903" s="103" t="n">
        <v>46301</v>
      </c>
      <c r="B1903" s="104" t="s">
        <v>34</v>
      </c>
      <c r="C1903" s="104" t="s">
        <v>745</v>
      </c>
      <c r="D1903" s="105" t="n">
        <v>0.25</v>
      </c>
      <c r="E1903" s="106" t="n">
        <v>36.6667</v>
      </c>
      <c r="F1903" s="107" t="n">
        <f aca="false">IF($C1903="","",$D1903*$E1903)</f>
        <v>9.166675</v>
      </c>
      <c r="G1903" s="107" t="n">
        <f aca="false">IF($C1903="","",$D1903*IFERROR(INDEX('تحليل التكلفة والسعر'!$C$2:$C$700,MATCH($C1903,'تحليل التكلفة والسعر'!$B$2:$B$700,0)),0))</f>
        <v>2.625</v>
      </c>
      <c r="H1903" s="104" t="s">
        <v>719</v>
      </c>
    </row>
    <row r="1904" customFormat="false" ht="15" hidden="false" customHeight="false" outlineLevel="0" collapsed="false">
      <c r="A1904" s="103" t="n">
        <v>46302</v>
      </c>
      <c r="B1904" s="104" t="s">
        <v>34</v>
      </c>
      <c r="C1904" s="104" t="s">
        <v>745</v>
      </c>
      <c r="D1904" s="105" t="n">
        <v>0.25</v>
      </c>
      <c r="E1904" s="106" t="n">
        <v>36.6667</v>
      </c>
      <c r="F1904" s="107" t="n">
        <f aca="false">IF($C1904="","",$D1904*$E1904)</f>
        <v>9.166675</v>
      </c>
      <c r="G1904" s="107" t="n">
        <f aca="false">IF($C1904="","",$D1904*IFERROR(INDEX('تحليل التكلفة والسعر'!$C$2:$C$700,MATCH($C1904,'تحليل التكلفة والسعر'!$B$2:$B$700,0)),0))</f>
        <v>2.625</v>
      </c>
      <c r="H1904" s="104" t="s">
        <v>719</v>
      </c>
    </row>
    <row r="1905" customFormat="false" ht="15" hidden="false" customHeight="false" outlineLevel="0" collapsed="false">
      <c r="A1905" s="103" t="n">
        <v>46303</v>
      </c>
      <c r="B1905" s="104" t="s">
        <v>34</v>
      </c>
      <c r="C1905" s="104" t="s">
        <v>745</v>
      </c>
      <c r="D1905" s="105" t="n">
        <v>0.25</v>
      </c>
      <c r="E1905" s="106" t="n">
        <v>36.6667</v>
      </c>
      <c r="F1905" s="107" t="n">
        <f aca="false">IF($C1905="","",$D1905*$E1905)</f>
        <v>9.166675</v>
      </c>
      <c r="G1905" s="107" t="n">
        <f aca="false">IF($C1905="","",$D1905*IFERROR(INDEX('تحليل التكلفة والسعر'!$C$2:$C$700,MATCH($C1905,'تحليل التكلفة والسعر'!$B$2:$B$700,0)),0))</f>
        <v>2.625</v>
      </c>
      <c r="H1905" s="104" t="s">
        <v>719</v>
      </c>
    </row>
    <row r="1906" customFormat="false" ht="15" hidden="false" customHeight="false" outlineLevel="0" collapsed="false">
      <c r="A1906" s="103" t="n">
        <v>46304</v>
      </c>
      <c r="B1906" s="104" t="s">
        <v>34</v>
      </c>
      <c r="C1906" s="104" t="s">
        <v>745</v>
      </c>
      <c r="D1906" s="105" t="n">
        <v>0.25</v>
      </c>
      <c r="E1906" s="106" t="n">
        <v>36.6667</v>
      </c>
      <c r="F1906" s="107" t="n">
        <f aca="false">IF($C1906="","",$D1906*$E1906)</f>
        <v>9.166675</v>
      </c>
      <c r="G1906" s="107" t="n">
        <f aca="false">IF($C1906="","",$D1906*IFERROR(INDEX('تحليل التكلفة والسعر'!$C$2:$C$700,MATCH($C1906,'تحليل التكلفة والسعر'!$B$2:$B$700,0)),0))</f>
        <v>2.625</v>
      </c>
      <c r="H1906" s="104" t="s">
        <v>719</v>
      </c>
    </row>
    <row r="1907" customFormat="false" ht="15" hidden="false" customHeight="false" outlineLevel="0" collapsed="false">
      <c r="A1907" s="103" t="n">
        <v>46305</v>
      </c>
      <c r="B1907" s="104" t="s">
        <v>34</v>
      </c>
      <c r="C1907" s="104" t="s">
        <v>745</v>
      </c>
      <c r="D1907" s="105" t="n">
        <v>0.25</v>
      </c>
      <c r="E1907" s="106" t="n">
        <v>36.6667</v>
      </c>
      <c r="F1907" s="107" t="n">
        <f aca="false">IF($C1907="","",$D1907*$E1907)</f>
        <v>9.166675</v>
      </c>
      <c r="G1907" s="107" t="n">
        <f aca="false">IF($C1907="","",$D1907*IFERROR(INDEX('تحليل التكلفة والسعر'!$C$2:$C$700,MATCH($C1907,'تحليل التكلفة والسعر'!$B$2:$B$700,0)),0))</f>
        <v>2.625</v>
      </c>
      <c r="H1907" s="104" t="s">
        <v>719</v>
      </c>
    </row>
    <row r="1908" customFormat="false" ht="15" hidden="false" customHeight="false" outlineLevel="0" collapsed="false">
      <c r="A1908" s="103" t="n">
        <v>46306</v>
      </c>
      <c r="B1908" s="104" t="s">
        <v>34</v>
      </c>
      <c r="C1908" s="104" t="s">
        <v>745</v>
      </c>
      <c r="D1908" s="105" t="n">
        <v>0.25</v>
      </c>
      <c r="E1908" s="106" t="n">
        <v>36.6667</v>
      </c>
      <c r="F1908" s="107" t="n">
        <f aca="false">IF($C1908="","",$D1908*$E1908)</f>
        <v>9.166675</v>
      </c>
      <c r="G1908" s="107" t="n">
        <f aca="false">IF($C1908="","",$D1908*IFERROR(INDEX('تحليل التكلفة والسعر'!$C$2:$C$700,MATCH($C1908,'تحليل التكلفة والسعر'!$B$2:$B$700,0)),0))</f>
        <v>2.625</v>
      </c>
      <c r="H1908" s="104" t="s">
        <v>719</v>
      </c>
    </row>
    <row r="1909" customFormat="false" ht="15" hidden="false" customHeight="false" outlineLevel="0" collapsed="false">
      <c r="A1909" s="103" t="n">
        <v>46307</v>
      </c>
      <c r="B1909" s="104" t="s">
        <v>34</v>
      </c>
      <c r="C1909" s="104" t="s">
        <v>745</v>
      </c>
      <c r="D1909" s="105" t="n">
        <v>0.25</v>
      </c>
      <c r="E1909" s="106" t="n">
        <v>36.6667</v>
      </c>
      <c r="F1909" s="107" t="n">
        <f aca="false">IF($C1909="","",$D1909*$E1909)</f>
        <v>9.166675</v>
      </c>
      <c r="G1909" s="107" t="n">
        <f aca="false">IF($C1909="","",$D1909*IFERROR(INDEX('تحليل التكلفة والسعر'!$C$2:$C$700,MATCH($C1909,'تحليل التكلفة والسعر'!$B$2:$B$700,0)),0))</f>
        <v>2.625</v>
      </c>
      <c r="H1909" s="104" t="s">
        <v>719</v>
      </c>
    </row>
    <row r="1910" customFormat="false" ht="15" hidden="false" customHeight="false" outlineLevel="0" collapsed="false">
      <c r="A1910" s="103" t="n">
        <v>46296</v>
      </c>
      <c r="B1910" s="104" t="s">
        <v>34</v>
      </c>
      <c r="C1910" s="104" t="s">
        <v>746</v>
      </c>
      <c r="D1910" s="105" t="n">
        <v>0.5</v>
      </c>
      <c r="E1910" s="106" t="n">
        <v>28.3333</v>
      </c>
      <c r="F1910" s="107" t="n">
        <f aca="false">IF($C1910="","",$D1910*$E1910)</f>
        <v>14.16665</v>
      </c>
      <c r="G1910" s="107" t="n">
        <f aca="false">IF($C1910="","",$D1910*IFERROR(INDEX('تحليل التكلفة والسعر'!$C$2:$C$700,MATCH($C1910,'تحليل التكلفة والسعر'!$B$2:$B$700,0)),0))</f>
        <v>3.5</v>
      </c>
      <c r="H1910" s="104" t="s">
        <v>719</v>
      </c>
    </row>
    <row r="1911" customFormat="false" ht="15" hidden="false" customHeight="false" outlineLevel="0" collapsed="false">
      <c r="A1911" s="103" t="n">
        <v>46297</v>
      </c>
      <c r="B1911" s="104" t="s">
        <v>34</v>
      </c>
      <c r="C1911" s="104" t="s">
        <v>746</v>
      </c>
      <c r="D1911" s="105" t="n">
        <v>0.5</v>
      </c>
      <c r="E1911" s="106" t="n">
        <v>28.3333</v>
      </c>
      <c r="F1911" s="107" t="n">
        <f aca="false">IF($C1911="","",$D1911*$E1911)</f>
        <v>14.16665</v>
      </c>
      <c r="G1911" s="107" t="n">
        <f aca="false">IF($C1911="","",$D1911*IFERROR(INDEX('تحليل التكلفة والسعر'!$C$2:$C$700,MATCH($C1911,'تحليل التكلفة والسعر'!$B$2:$B$700,0)),0))</f>
        <v>3.5</v>
      </c>
      <c r="H1911" s="104" t="s">
        <v>719</v>
      </c>
    </row>
    <row r="1912" customFormat="false" ht="15" hidden="false" customHeight="false" outlineLevel="0" collapsed="false">
      <c r="A1912" s="103" t="n">
        <v>46298</v>
      </c>
      <c r="B1912" s="104" t="s">
        <v>34</v>
      </c>
      <c r="C1912" s="104" t="s">
        <v>746</v>
      </c>
      <c r="D1912" s="105" t="n">
        <v>0.5</v>
      </c>
      <c r="E1912" s="106" t="n">
        <v>28.3333</v>
      </c>
      <c r="F1912" s="107" t="n">
        <f aca="false">IF($C1912="","",$D1912*$E1912)</f>
        <v>14.16665</v>
      </c>
      <c r="G1912" s="107" t="n">
        <f aca="false">IF($C1912="","",$D1912*IFERROR(INDEX('تحليل التكلفة والسعر'!$C$2:$C$700,MATCH($C1912,'تحليل التكلفة والسعر'!$B$2:$B$700,0)),0))</f>
        <v>3.5</v>
      </c>
      <c r="H1912" s="104" t="s">
        <v>719</v>
      </c>
    </row>
    <row r="1913" customFormat="false" ht="15" hidden="false" customHeight="false" outlineLevel="0" collapsed="false">
      <c r="A1913" s="103" t="n">
        <v>46299</v>
      </c>
      <c r="B1913" s="104" t="s">
        <v>34</v>
      </c>
      <c r="C1913" s="104" t="s">
        <v>746</v>
      </c>
      <c r="D1913" s="105" t="n">
        <v>0.5</v>
      </c>
      <c r="E1913" s="106" t="n">
        <v>28.3333</v>
      </c>
      <c r="F1913" s="107" t="n">
        <f aca="false">IF($C1913="","",$D1913*$E1913)</f>
        <v>14.16665</v>
      </c>
      <c r="G1913" s="107" t="n">
        <f aca="false">IF($C1913="","",$D1913*IFERROR(INDEX('تحليل التكلفة والسعر'!$C$2:$C$700,MATCH($C1913,'تحليل التكلفة والسعر'!$B$2:$B$700,0)),0))</f>
        <v>3.5</v>
      </c>
      <c r="H1913" s="104" t="s">
        <v>719</v>
      </c>
    </row>
    <row r="1914" customFormat="false" ht="15" hidden="false" customHeight="false" outlineLevel="0" collapsed="false">
      <c r="A1914" s="103" t="n">
        <v>46300</v>
      </c>
      <c r="B1914" s="104" t="s">
        <v>34</v>
      </c>
      <c r="C1914" s="104" t="s">
        <v>746</v>
      </c>
      <c r="D1914" s="105" t="n">
        <v>0.5</v>
      </c>
      <c r="E1914" s="106" t="n">
        <v>28.3333</v>
      </c>
      <c r="F1914" s="107" t="n">
        <f aca="false">IF($C1914="","",$D1914*$E1914)</f>
        <v>14.16665</v>
      </c>
      <c r="G1914" s="107" t="n">
        <f aca="false">IF($C1914="","",$D1914*IFERROR(INDEX('تحليل التكلفة والسعر'!$C$2:$C$700,MATCH($C1914,'تحليل التكلفة والسعر'!$B$2:$B$700,0)),0))</f>
        <v>3.5</v>
      </c>
      <c r="H1914" s="104" t="s">
        <v>719</v>
      </c>
    </row>
    <row r="1915" customFormat="false" ht="15" hidden="false" customHeight="false" outlineLevel="0" collapsed="false">
      <c r="A1915" s="103" t="n">
        <v>46301</v>
      </c>
      <c r="B1915" s="104" t="s">
        <v>34</v>
      </c>
      <c r="C1915" s="104" t="s">
        <v>746</v>
      </c>
      <c r="D1915" s="105" t="n">
        <v>0.5</v>
      </c>
      <c r="E1915" s="106" t="n">
        <v>28.3333</v>
      </c>
      <c r="F1915" s="107" t="n">
        <f aca="false">IF($C1915="","",$D1915*$E1915)</f>
        <v>14.16665</v>
      </c>
      <c r="G1915" s="107" t="n">
        <f aca="false">IF($C1915="","",$D1915*IFERROR(INDEX('تحليل التكلفة والسعر'!$C$2:$C$700,MATCH($C1915,'تحليل التكلفة والسعر'!$B$2:$B$700,0)),0))</f>
        <v>3.5</v>
      </c>
      <c r="H1915" s="104" t="s">
        <v>719</v>
      </c>
    </row>
    <row r="1916" customFormat="false" ht="15" hidden="false" customHeight="false" outlineLevel="0" collapsed="false">
      <c r="A1916" s="103" t="n">
        <v>46302</v>
      </c>
      <c r="B1916" s="104" t="s">
        <v>34</v>
      </c>
      <c r="C1916" s="104" t="s">
        <v>746</v>
      </c>
      <c r="D1916" s="105" t="n">
        <v>0.5</v>
      </c>
      <c r="E1916" s="106" t="n">
        <v>28.3333</v>
      </c>
      <c r="F1916" s="107" t="n">
        <f aca="false">IF($C1916="","",$D1916*$E1916)</f>
        <v>14.16665</v>
      </c>
      <c r="G1916" s="107" t="n">
        <f aca="false">IF($C1916="","",$D1916*IFERROR(INDEX('تحليل التكلفة والسعر'!$C$2:$C$700,MATCH($C1916,'تحليل التكلفة والسعر'!$B$2:$B$700,0)),0))</f>
        <v>3.5</v>
      </c>
      <c r="H1916" s="104" t="s">
        <v>719</v>
      </c>
    </row>
    <row r="1917" customFormat="false" ht="15" hidden="false" customHeight="false" outlineLevel="0" collapsed="false">
      <c r="A1917" s="103" t="n">
        <v>46303</v>
      </c>
      <c r="B1917" s="104" t="s">
        <v>34</v>
      </c>
      <c r="C1917" s="104" t="s">
        <v>746</v>
      </c>
      <c r="D1917" s="105" t="n">
        <v>0.5</v>
      </c>
      <c r="E1917" s="106" t="n">
        <v>28.3333</v>
      </c>
      <c r="F1917" s="107" t="n">
        <f aca="false">IF($C1917="","",$D1917*$E1917)</f>
        <v>14.16665</v>
      </c>
      <c r="G1917" s="107" t="n">
        <f aca="false">IF($C1917="","",$D1917*IFERROR(INDEX('تحليل التكلفة والسعر'!$C$2:$C$700,MATCH($C1917,'تحليل التكلفة والسعر'!$B$2:$B$700,0)),0))</f>
        <v>3.5</v>
      </c>
      <c r="H1917" s="104" t="s">
        <v>719</v>
      </c>
    </row>
    <row r="1918" customFormat="false" ht="15" hidden="false" customHeight="false" outlineLevel="0" collapsed="false">
      <c r="A1918" s="103" t="n">
        <v>46304</v>
      </c>
      <c r="B1918" s="104" t="s">
        <v>34</v>
      </c>
      <c r="C1918" s="104" t="s">
        <v>746</v>
      </c>
      <c r="D1918" s="105" t="n">
        <v>0.5</v>
      </c>
      <c r="E1918" s="106" t="n">
        <v>28.3333</v>
      </c>
      <c r="F1918" s="107" t="n">
        <f aca="false">IF($C1918="","",$D1918*$E1918)</f>
        <v>14.16665</v>
      </c>
      <c r="G1918" s="107" t="n">
        <f aca="false">IF($C1918="","",$D1918*IFERROR(INDEX('تحليل التكلفة والسعر'!$C$2:$C$700,MATCH($C1918,'تحليل التكلفة والسعر'!$B$2:$B$700,0)),0))</f>
        <v>3.5</v>
      </c>
      <c r="H1918" s="104" t="s">
        <v>719</v>
      </c>
    </row>
    <row r="1919" customFormat="false" ht="15" hidden="false" customHeight="false" outlineLevel="0" collapsed="false">
      <c r="A1919" s="103" t="n">
        <v>46305</v>
      </c>
      <c r="B1919" s="104" t="s">
        <v>34</v>
      </c>
      <c r="C1919" s="104" t="s">
        <v>746</v>
      </c>
      <c r="D1919" s="105" t="n">
        <v>0.5</v>
      </c>
      <c r="E1919" s="106" t="n">
        <v>28.3333</v>
      </c>
      <c r="F1919" s="107" t="n">
        <f aca="false">IF($C1919="","",$D1919*$E1919)</f>
        <v>14.16665</v>
      </c>
      <c r="G1919" s="107" t="n">
        <f aca="false">IF($C1919="","",$D1919*IFERROR(INDEX('تحليل التكلفة والسعر'!$C$2:$C$700,MATCH($C1919,'تحليل التكلفة والسعر'!$B$2:$B$700,0)),0))</f>
        <v>3.5</v>
      </c>
      <c r="H1919" s="104" t="s">
        <v>719</v>
      </c>
    </row>
    <row r="1920" customFormat="false" ht="15" hidden="false" customHeight="false" outlineLevel="0" collapsed="false">
      <c r="A1920" s="103" t="n">
        <v>46306</v>
      </c>
      <c r="B1920" s="104" t="s">
        <v>34</v>
      </c>
      <c r="C1920" s="104" t="s">
        <v>746</v>
      </c>
      <c r="D1920" s="105" t="n">
        <v>0.5</v>
      </c>
      <c r="E1920" s="106" t="n">
        <v>28.3333</v>
      </c>
      <c r="F1920" s="107" t="n">
        <f aca="false">IF($C1920="","",$D1920*$E1920)</f>
        <v>14.16665</v>
      </c>
      <c r="G1920" s="107" t="n">
        <f aca="false">IF($C1920="","",$D1920*IFERROR(INDEX('تحليل التكلفة والسعر'!$C$2:$C$700,MATCH($C1920,'تحليل التكلفة والسعر'!$B$2:$B$700,0)),0))</f>
        <v>3.5</v>
      </c>
      <c r="H1920" s="104" t="s">
        <v>719</v>
      </c>
    </row>
    <row r="1921" customFormat="false" ht="15" hidden="false" customHeight="false" outlineLevel="0" collapsed="false">
      <c r="A1921" s="103" t="n">
        <v>46307</v>
      </c>
      <c r="B1921" s="104" t="s">
        <v>34</v>
      </c>
      <c r="C1921" s="104" t="s">
        <v>746</v>
      </c>
      <c r="D1921" s="105" t="n">
        <v>0.5</v>
      </c>
      <c r="E1921" s="106" t="n">
        <v>28.3333</v>
      </c>
      <c r="F1921" s="107" t="n">
        <f aca="false">IF($C1921="","",$D1921*$E1921)</f>
        <v>14.16665</v>
      </c>
      <c r="G1921" s="107" t="n">
        <f aca="false">IF($C1921="","",$D1921*IFERROR(INDEX('تحليل التكلفة والسعر'!$C$2:$C$700,MATCH($C1921,'تحليل التكلفة والسعر'!$B$2:$B$700,0)),0))</f>
        <v>3.5</v>
      </c>
      <c r="H1921" s="104" t="s">
        <v>719</v>
      </c>
    </row>
    <row r="1922" customFormat="false" ht="15" hidden="false" customHeight="false" outlineLevel="0" collapsed="false">
      <c r="A1922" s="103" t="n">
        <v>46296</v>
      </c>
      <c r="B1922" s="104" t="s">
        <v>34</v>
      </c>
      <c r="C1922" s="104" t="s">
        <v>747</v>
      </c>
      <c r="D1922" s="105" t="n">
        <v>0.5</v>
      </c>
      <c r="E1922" s="106" t="n">
        <v>22.5</v>
      </c>
      <c r="F1922" s="107" t="n">
        <f aca="false">IF($C1922="","",$D1922*$E1922)</f>
        <v>11.25</v>
      </c>
      <c r="G1922" s="107" t="n">
        <f aca="false">IF($C1922="","",$D1922*IFERROR(INDEX('تحليل التكلفة والسعر'!$C$2:$C$700,MATCH($C1922,'تحليل التكلفة والسعر'!$B$2:$B$700,0)),0))</f>
        <v>5.25</v>
      </c>
      <c r="H1922" s="104" t="s">
        <v>719</v>
      </c>
    </row>
    <row r="1923" customFormat="false" ht="15" hidden="false" customHeight="false" outlineLevel="0" collapsed="false">
      <c r="A1923" s="103" t="n">
        <v>46297</v>
      </c>
      <c r="B1923" s="104" t="s">
        <v>34</v>
      </c>
      <c r="C1923" s="104" t="s">
        <v>747</v>
      </c>
      <c r="D1923" s="105" t="n">
        <v>0.5</v>
      </c>
      <c r="E1923" s="106" t="n">
        <v>22.5</v>
      </c>
      <c r="F1923" s="107" t="n">
        <f aca="false">IF($C1923="","",$D1923*$E1923)</f>
        <v>11.25</v>
      </c>
      <c r="G1923" s="107" t="n">
        <f aca="false">IF($C1923="","",$D1923*IFERROR(INDEX('تحليل التكلفة والسعر'!$C$2:$C$700,MATCH($C1923,'تحليل التكلفة والسعر'!$B$2:$B$700,0)),0))</f>
        <v>5.25</v>
      </c>
      <c r="H1923" s="104" t="s">
        <v>719</v>
      </c>
    </row>
    <row r="1924" customFormat="false" ht="15" hidden="false" customHeight="false" outlineLevel="0" collapsed="false">
      <c r="A1924" s="103" t="n">
        <v>46298</v>
      </c>
      <c r="B1924" s="104" t="s">
        <v>34</v>
      </c>
      <c r="C1924" s="104" t="s">
        <v>747</v>
      </c>
      <c r="D1924" s="105" t="n">
        <v>0.5</v>
      </c>
      <c r="E1924" s="106" t="n">
        <v>22.5</v>
      </c>
      <c r="F1924" s="107" t="n">
        <f aca="false">IF($C1924="","",$D1924*$E1924)</f>
        <v>11.25</v>
      </c>
      <c r="G1924" s="107" t="n">
        <f aca="false">IF($C1924="","",$D1924*IFERROR(INDEX('تحليل التكلفة والسعر'!$C$2:$C$700,MATCH($C1924,'تحليل التكلفة والسعر'!$B$2:$B$700,0)),0))</f>
        <v>5.25</v>
      </c>
      <c r="H1924" s="104" t="s">
        <v>719</v>
      </c>
    </row>
    <row r="1925" customFormat="false" ht="15" hidden="false" customHeight="false" outlineLevel="0" collapsed="false">
      <c r="A1925" s="103" t="n">
        <v>46299</v>
      </c>
      <c r="B1925" s="104" t="s">
        <v>34</v>
      </c>
      <c r="C1925" s="104" t="s">
        <v>747</v>
      </c>
      <c r="D1925" s="105" t="n">
        <v>0.5</v>
      </c>
      <c r="E1925" s="106" t="n">
        <v>22.5</v>
      </c>
      <c r="F1925" s="107" t="n">
        <f aca="false">IF($C1925="","",$D1925*$E1925)</f>
        <v>11.25</v>
      </c>
      <c r="G1925" s="107" t="n">
        <f aca="false">IF($C1925="","",$D1925*IFERROR(INDEX('تحليل التكلفة والسعر'!$C$2:$C$700,MATCH($C1925,'تحليل التكلفة والسعر'!$B$2:$B$700,0)),0))</f>
        <v>5.25</v>
      </c>
      <c r="H1925" s="104" t="s">
        <v>719</v>
      </c>
    </row>
    <row r="1926" customFormat="false" ht="15" hidden="false" customHeight="false" outlineLevel="0" collapsed="false">
      <c r="A1926" s="103" t="n">
        <v>46300</v>
      </c>
      <c r="B1926" s="104" t="s">
        <v>34</v>
      </c>
      <c r="C1926" s="104" t="s">
        <v>747</v>
      </c>
      <c r="D1926" s="105" t="n">
        <v>0.5</v>
      </c>
      <c r="E1926" s="106" t="n">
        <v>22.5</v>
      </c>
      <c r="F1926" s="107" t="n">
        <f aca="false">IF($C1926="","",$D1926*$E1926)</f>
        <v>11.25</v>
      </c>
      <c r="G1926" s="107" t="n">
        <f aca="false">IF($C1926="","",$D1926*IFERROR(INDEX('تحليل التكلفة والسعر'!$C$2:$C$700,MATCH($C1926,'تحليل التكلفة والسعر'!$B$2:$B$700,0)),0))</f>
        <v>5.25</v>
      </c>
      <c r="H1926" s="104" t="s">
        <v>719</v>
      </c>
    </row>
    <row r="1927" customFormat="false" ht="15" hidden="false" customHeight="false" outlineLevel="0" collapsed="false">
      <c r="A1927" s="103" t="n">
        <v>46301</v>
      </c>
      <c r="B1927" s="104" t="s">
        <v>34</v>
      </c>
      <c r="C1927" s="104" t="s">
        <v>747</v>
      </c>
      <c r="D1927" s="105" t="n">
        <v>0.5</v>
      </c>
      <c r="E1927" s="106" t="n">
        <v>22.5</v>
      </c>
      <c r="F1927" s="107" t="n">
        <f aca="false">IF($C1927="","",$D1927*$E1927)</f>
        <v>11.25</v>
      </c>
      <c r="G1927" s="107" t="n">
        <f aca="false">IF($C1927="","",$D1927*IFERROR(INDEX('تحليل التكلفة والسعر'!$C$2:$C$700,MATCH($C1927,'تحليل التكلفة والسعر'!$B$2:$B$700,0)),0))</f>
        <v>5.25</v>
      </c>
      <c r="H1927" s="104" t="s">
        <v>719</v>
      </c>
    </row>
    <row r="1928" customFormat="false" ht="15" hidden="false" customHeight="false" outlineLevel="0" collapsed="false">
      <c r="A1928" s="103" t="n">
        <v>46302</v>
      </c>
      <c r="B1928" s="104" t="s">
        <v>34</v>
      </c>
      <c r="C1928" s="104" t="s">
        <v>747</v>
      </c>
      <c r="D1928" s="105" t="n">
        <v>0.5</v>
      </c>
      <c r="E1928" s="106" t="n">
        <v>22.5</v>
      </c>
      <c r="F1928" s="107" t="n">
        <f aca="false">IF($C1928="","",$D1928*$E1928)</f>
        <v>11.25</v>
      </c>
      <c r="G1928" s="107" t="n">
        <f aca="false">IF($C1928="","",$D1928*IFERROR(INDEX('تحليل التكلفة والسعر'!$C$2:$C$700,MATCH($C1928,'تحليل التكلفة والسعر'!$B$2:$B$700,0)),0))</f>
        <v>5.25</v>
      </c>
      <c r="H1928" s="104" t="s">
        <v>719</v>
      </c>
    </row>
    <row r="1929" customFormat="false" ht="15" hidden="false" customHeight="false" outlineLevel="0" collapsed="false">
      <c r="A1929" s="103" t="n">
        <v>46303</v>
      </c>
      <c r="B1929" s="104" t="s">
        <v>34</v>
      </c>
      <c r="C1929" s="104" t="s">
        <v>747</v>
      </c>
      <c r="D1929" s="105" t="n">
        <v>0.5</v>
      </c>
      <c r="E1929" s="106" t="n">
        <v>22.5</v>
      </c>
      <c r="F1929" s="107" t="n">
        <f aca="false">IF($C1929="","",$D1929*$E1929)</f>
        <v>11.25</v>
      </c>
      <c r="G1929" s="107" t="n">
        <f aca="false">IF($C1929="","",$D1929*IFERROR(INDEX('تحليل التكلفة والسعر'!$C$2:$C$700,MATCH($C1929,'تحليل التكلفة والسعر'!$B$2:$B$700,0)),0))</f>
        <v>5.25</v>
      </c>
      <c r="H1929" s="104" t="s">
        <v>719</v>
      </c>
    </row>
    <row r="1930" customFormat="false" ht="15" hidden="false" customHeight="false" outlineLevel="0" collapsed="false">
      <c r="A1930" s="103" t="n">
        <v>46304</v>
      </c>
      <c r="B1930" s="104" t="s">
        <v>34</v>
      </c>
      <c r="C1930" s="104" t="s">
        <v>747</v>
      </c>
      <c r="D1930" s="105" t="n">
        <v>0.5</v>
      </c>
      <c r="E1930" s="106" t="n">
        <v>22.5</v>
      </c>
      <c r="F1930" s="107" t="n">
        <f aca="false">IF($C1930="","",$D1930*$E1930)</f>
        <v>11.25</v>
      </c>
      <c r="G1930" s="107" t="n">
        <f aca="false">IF($C1930="","",$D1930*IFERROR(INDEX('تحليل التكلفة والسعر'!$C$2:$C$700,MATCH($C1930,'تحليل التكلفة والسعر'!$B$2:$B$700,0)),0))</f>
        <v>5.25</v>
      </c>
      <c r="H1930" s="104" t="s">
        <v>719</v>
      </c>
    </row>
    <row r="1931" customFormat="false" ht="15" hidden="false" customHeight="false" outlineLevel="0" collapsed="false">
      <c r="A1931" s="103" t="n">
        <v>46305</v>
      </c>
      <c r="B1931" s="104" t="s">
        <v>34</v>
      </c>
      <c r="C1931" s="104" t="s">
        <v>747</v>
      </c>
      <c r="D1931" s="105" t="n">
        <v>0.5</v>
      </c>
      <c r="E1931" s="106" t="n">
        <v>22.5</v>
      </c>
      <c r="F1931" s="107" t="n">
        <f aca="false">IF($C1931="","",$D1931*$E1931)</f>
        <v>11.25</v>
      </c>
      <c r="G1931" s="107" t="n">
        <f aca="false">IF($C1931="","",$D1931*IFERROR(INDEX('تحليل التكلفة والسعر'!$C$2:$C$700,MATCH($C1931,'تحليل التكلفة والسعر'!$B$2:$B$700,0)),0))</f>
        <v>5.25</v>
      </c>
      <c r="H1931" s="104" t="s">
        <v>719</v>
      </c>
    </row>
    <row r="1932" customFormat="false" ht="15" hidden="false" customHeight="false" outlineLevel="0" collapsed="false">
      <c r="A1932" s="103" t="n">
        <v>46306</v>
      </c>
      <c r="B1932" s="104" t="s">
        <v>34</v>
      </c>
      <c r="C1932" s="104" t="s">
        <v>747</v>
      </c>
      <c r="D1932" s="105" t="n">
        <v>0.5</v>
      </c>
      <c r="E1932" s="106" t="n">
        <v>22.5</v>
      </c>
      <c r="F1932" s="107" t="n">
        <f aca="false">IF($C1932="","",$D1932*$E1932)</f>
        <v>11.25</v>
      </c>
      <c r="G1932" s="107" t="n">
        <f aca="false">IF($C1932="","",$D1932*IFERROR(INDEX('تحليل التكلفة والسعر'!$C$2:$C$700,MATCH($C1932,'تحليل التكلفة والسعر'!$B$2:$B$700,0)),0))</f>
        <v>5.25</v>
      </c>
      <c r="H1932" s="104" t="s">
        <v>719</v>
      </c>
    </row>
    <row r="1933" customFormat="false" ht="15" hidden="false" customHeight="false" outlineLevel="0" collapsed="false">
      <c r="A1933" s="103" t="n">
        <v>46307</v>
      </c>
      <c r="B1933" s="104" t="s">
        <v>34</v>
      </c>
      <c r="C1933" s="104" t="s">
        <v>747</v>
      </c>
      <c r="D1933" s="105" t="n">
        <v>0.5</v>
      </c>
      <c r="E1933" s="106" t="n">
        <v>22.5</v>
      </c>
      <c r="F1933" s="107" t="n">
        <f aca="false">IF($C1933="","",$D1933*$E1933)</f>
        <v>11.25</v>
      </c>
      <c r="G1933" s="107" t="n">
        <f aca="false">IF($C1933="","",$D1933*IFERROR(INDEX('تحليل التكلفة والسعر'!$C$2:$C$700,MATCH($C1933,'تحليل التكلفة والسعر'!$B$2:$B$700,0)),0))</f>
        <v>5.25</v>
      </c>
      <c r="H1933" s="104" t="s">
        <v>719</v>
      </c>
    </row>
    <row r="1934" customFormat="false" ht="15" hidden="false" customHeight="false" outlineLevel="0" collapsed="false">
      <c r="A1934" s="103" t="n">
        <v>46296</v>
      </c>
      <c r="B1934" s="104" t="s">
        <v>34</v>
      </c>
      <c r="C1934" s="104" t="s">
        <v>749</v>
      </c>
      <c r="D1934" s="105" t="n">
        <v>0.25</v>
      </c>
      <c r="E1934" s="106" t="n">
        <v>21.6667</v>
      </c>
      <c r="F1934" s="107" t="n">
        <f aca="false">IF($C1934="","",$D1934*$E1934)</f>
        <v>5.416675</v>
      </c>
      <c r="G1934" s="107" t="n">
        <f aca="false">IF($C1934="","",$D1934*IFERROR(INDEX('تحليل التكلفة والسعر'!$C$2:$C$700,MATCH($C1934,'تحليل التكلفة والسعر'!$B$2:$B$700,0)),0))</f>
        <v>3.5</v>
      </c>
      <c r="H1934" s="104" t="s">
        <v>719</v>
      </c>
    </row>
    <row r="1935" customFormat="false" ht="15" hidden="false" customHeight="false" outlineLevel="0" collapsed="false">
      <c r="A1935" s="103" t="n">
        <v>46297</v>
      </c>
      <c r="B1935" s="104" t="s">
        <v>34</v>
      </c>
      <c r="C1935" s="104" t="s">
        <v>749</v>
      </c>
      <c r="D1935" s="105" t="n">
        <v>0.25</v>
      </c>
      <c r="E1935" s="106" t="n">
        <v>21.6667</v>
      </c>
      <c r="F1935" s="107" t="n">
        <f aca="false">IF($C1935="","",$D1935*$E1935)</f>
        <v>5.416675</v>
      </c>
      <c r="G1935" s="107" t="n">
        <f aca="false">IF($C1935="","",$D1935*IFERROR(INDEX('تحليل التكلفة والسعر'!$C$2:$C$700,MATCH($C1935,'تحليل التكلفة والسعر'!$B$2:$B$700,0)),0))</f>
        <v>3.5</v>
      </c>
      <c r="H1935" s="104" t="s">
        <v>719</v>
      </c>
    </row>
    <row r="1936" customFormat="false" ht="15" hidden="false" customHeight="false" outlineLevel="0" collapsed="false">
      <c r="A1936" s="103" t="n">
        <v>46298</v>
      </c>
      <c r="B1936" s="104" t="s">
        <v>34</v>
      </c>
      <c r="C1936" s="104" t="s">
        <v>749</v>
      </c>
      <c r="D1936" s="105" t="n">
        <v>0.25</v>
      </c>
      <c r="E1936" s="106" t="n">
        <v>21.6667</v>
      </c>
      <c r="F1936" s="107" t="n">
        <f aca="false">IF($C1936="","",$D1936*$E1936)</f>
        <v>5.416675</v>
      </c>
      <c r="G1936" s="107" t="n">
        <f aca="false">IF($C1936="","",$D1936*IFERROR(INDEX('تحليل التكلفة والسعر'!$C$2:$C$700,MATCH($C1936,'تحليل التكلفة والسعر'!$B$2:$B$700,0)),0))</f>
        <v>3.5</v>
      </c>
      <c r="H1936" s="104" t="s">
        <v>719</v>
      </c>
    </row>
    <row r="1937" customFormat="false" ht="15" hidden="false" customHeight="false" outlineLevel="0" collapsed="false">
      <c r="A1937" s="103" t="n">
        <v>46299</v>
      </c>
      <c r="B1937" s="104" t="s">
        <v>34</v>
      </c>
      <c r="C1937" s="104" t="s">
        <v>749</v>
      </c>
      <c r="D1937" s="105" t="n">
        <v>0.25</v>
      </c>
      <c r="E1937" s="106" t="n">
        <v>21.6667</v>
      </c>
      <c r="F1937" s="107" t="n">
        <f aca="false">IF($C1937="","",$D1937*$E1937)</f>
        <v>5.416675</v>
      </c>
      <c r="G1937" s="107" t="n">
        <f aca="false">IF($C1937="","",$D1937*IFERROR(INDEX('تحليل التكلفة والسعر'!$C$2:$C$700,MATCH($C1937,'تحليل التكلفة والسعر'!$B$2:$B$700,0)),0))</f>
        <v>3.5</v>
      </c>
      <c r="H1937" s="104" t="s">
        <v>719</v>
      </c>
    </row>
    <row r="1938" customFormat="false" ht="15" hidden="false" customHeight="false" outlineLevel="0" collapsed="false">
      <c r="A1938" s="103" t="n">
        <v>46300</v>
      </c>
      <c r="B1938" s="104" t="s">
        <v>34</v>
      </c>
      <c r="C1938" s="104" t="s">
        <v>749</v>
      </c>
      <c r="D1938" s="105" t="n">
        <v>0.25</v>
      </c>
      <c r="E1938" s="106" t="n">
        <v>21.6667</v>
      </c>
      <c r="F1938" s="107" t="n">
        <f aca="false">IF($C1938="","",$D1938*$E1938)</f>
        <v>5.416675</v>
      </c>
      <c r="G1938" s="107" t="n">
        <f aca="false">IF($C1938="","",$D1938*IFERROR(INDEX('تحليل التكلفة والسعر'!$C$2:$C$700,MATCH($C1938,'تحليل التكلفة والسعر'!$B$2:$B$700,0)),0))</f>
        <v>3.5</v>
      </c>
      <c r="H1938" s="104" t="s">
        <v>719</v>
      </c>
    </row>
    <row r="1939" customFormat="false" ht="15" hidden="false" customHeight="false" outlineLevel="0" collapsed="false">
      <c r="A1939" s="103" t="n">
        <v>46301</v>
      </c>
      <c r="B1939" s="104" t="s">
        <v>34</v>
      </c>
      <c r="C1939" s="104" t="s">
        <v>749</v>
      </c>
      <c r="D1939" s="105" t="n">
        <v>0.25</v>
      </c>
      <c r="E1939" s="106" t="n">
        <v>21.6667</v>
      </c>
      <c r="F1939" s="107" t="n">
        <f aca="false">IF($C1939="","",$D1939*$E1939)</f>
        <v>5.416675</v>
      </c>
      <c r="G1939" s="107" t="n">
        <f aca="false">IF($C1939="","",$D1939*IFERROR(INDEX('تحليل التكلفة والسعر'!$C$2:$C$700,MATCH($C1939,'تحليل التكلفة والسعر'!$B$2:$B$700,0)),0))</f>
        <v>3.5</v>
      </c>
      <c r="H1939" s="104" t="s">
        <v>719</v>
      </c>
    </row>
    <row r="1940" customFormat="false" ht="15" hidden="false" customHeight="false" outlineLevel="0" collapsed="false">
      <c r="A1940" s="103" t="n">
        <v>46302</v>
      </c>
      <c r="B1940" s="104" t="s">
        <v>34</v>
      </c>
      <c r="C1940" s="104" t="s">
        <v>749</v>
      </c>
      <c r="D1940" s="105" t="n">
        <v>0.25</v>
      </c>
      <c r="E1940" s="106" t="n">
        <v>21.6667</v>
      </c>
      <c r="F1940" s="107" t="n">
        <f aca="false">IF($C1940="","",$D1940*$E1940)</f>
        <v>5.416675</v>
      </c>
      <c r="G1940" s="107" t="n">
        <f aca="false">IF($C1940="","",$D1940*IFERROR(INDEX('تحليل التكلفة والسعر'!$C$2:$C$700,MATCH($C1940,'تحليل التكلفة والسعر'!$B$2:$B$700,0)),0))</f>
        <v>3.5</v>
      </c>
      <c r="H1940" s="104" t="s">
        <v>719</v>
      </c>
    </row>
    <row r="1941" customFormat="false" ht="15" hidden="false" customHeight="false" outlineLevel="0" collapsed="false">
      <c r="A1941" s="103" t="n">
        <v>46303</v>
      </c>
      <c r="B1941" s="104" t="s">
        <v>34</v>
      </c>
      <c r="C1941" s="104" t="s">
        <v>749</v>
      </c>
      <c r="D1941" s="105" t="n">
        <v>0.25</v>
      </c>
      <c r="E1941" s="106" t="n">
        <v>21.6667</v>
      </c>
      <c r="F1941" s="107" t="n">
        <f aca="false">IF($C1941="","",$D1941*$E1941)</f>
        <v>5.416675</v>
      </c>
      <c r="G1941" s="107" t="n">
        <f aca="false">IF($C1941="","",$D1941*IFERROR(INDEX('تحليل التكلفة والسعر'!$C$2:$C$700,MATCH($C1941,'تحليل التكلفة والسعر'!$B$2:$B$700,0)),0))</f>
        <v>3.5</v>
      </c>
      <c r="H1941" s="104" t="s">
        <v>719</v>
      </c>
    </row>
    <row r="1942" customFormat="false" ht="15" hidden="false" customHeight="false" outlineLevel="0" collapsed="false">
      <c r="A1942" s="103" t="n">
        <v>46304</v>
      </c>
      <c r="B1942" s="104" t="s">
        <v>34</v>
      </c>
      <c r="C1942" s="104" t="s">
        <v>749</v>
      </c>
      <c r="D1942" s="105" t="n">
        <v>0.25</v>
      </c>
      <c r="E1942" s="106" t="n">
        <v>21.6667</v>
      </c>
      <c r="F1942" s="107" t="n">
        <f aca="false">IF($C1942="","",$D1942*$E1942)</f>
        <v>5.416675</v>
      </c>
      <c r="G1942" s="107" t="n">
        <f aca="false">IF($C1942="","",$D1942*IFERROR(INDEX('تحليل التكلفة والسعر'!$C$2:$C$700,MATCH($C1942,'تحليل التكلفة والسعر'!$B$2:$B$700,0)),0))</f>
        <v>3.5</v>
      </c>
      <c r="H1942" s="104" t="s">
        <v>719</v>
      </c>
    </row>
    <row r="1943" customFormat="false" ht="15" hidden="false" customHeight="false" outlineLevel="0" collapsed="false">
      <c r="A1943" s="103" t="n">
        <v>46305</v>
      </c>
      <c r="B1943" s="104" t="s">
        <v>34</v>
      </c>
      <c r="C1943" s="104" t="s">
        <v>749</v>
      </c>
      <c r="D1943" s="105" t="n">
        <v>0.25</v>
      </c>
      <c r="E1943" s="106" t="n">
        <v>21.6667</v>
      </c>
      <c r="F1943" s="107" t="n">
        <f aca="false">IF($C1943="","",$D1943*$E1943)</f>
        <v>5.416675</v>
      </c>
      <c r="G1943" s="107" t="n">
        <f aca="false">IF($C1943="","",$D1943*IFERROR(INDEX('تحليل التكلفة والسعر'!$C$2:$C$700,MATCH($C1943,'تحليل التكلفة والسعر'!$B$2:$B$700,0)),0))</f>
        <v>3.5</v>
      </c>
      <c r="H1943" s="104" t="s">
        <v>719</v>
      </c>
    </row>
    <row r="1944" customFormat="false" ht="15" hidden="false" customHeight="false" outlineLevel="0" collapsed="false">
      <c r="A1944" s="103" t="n">
        <v>46306</v>
      </c>
      <c r="B1944" s="104" t="s">
        <v>34</v>
      </c>
      <c r="C1944" s="104" t="s">
        <v>749</v>
      </c>
      <c r="D1944" s="105" t="n">
        <v>0.25</v>
      </c>
      <c r="E1944" s="106" t="n">
        <v>21.6667</v>
      </c>
      <c r="F1944" s="107" t="n">
        <f aca="false">IF($C1944="","",$D1944*$E1944)</f>
        <v>5.416675</v>
      </c>
      <c r="G1944" s="107" t="n">
        <f aca="false">IF($C1944="","",$D1944*IFERROR(INDEX('تحليل التكلفة والسعر'!$C$2:$C$700,MATCH($C1944,'تحليل التكلفة والسعر'!$B$2:$B$700,0)),0))</f>
        <v>3.5</v>
      </c>
      <c r="H1944" s="104" t="s">
        <v>719</v>
      </c>
    </row>
    <row r="1945" customFormat="false" ht="15" hidden="false" customHeight="false" outlineLevel="0" collapsed="false">
      <c r="A1945" s="103" t="n">
        <v>46307</v>
      </c>
      <c r="B1945" s="104" t="s">
        <v>34</v>
      </c>
      <c r="C1945" s="104" t="s">
        <v>749</v>
      </c>
      <c r="D1945" s="105" t="n">
        <v>0.25</v>
      </c>
      <c r="E1945" s="106" t="n">
        <v>21.6667</v>
      </c>
      <c r="F1945" s="107" t="n">
        <f aca="false">IF($C1945="","",$D1945*$E1945)</f>
        <v>5.416675</v>
      </c>
      <c r="G1945" s="107" t="n">
        <f aca="false">IF($C1945="","",$D1945*IFERROR(INDEX('تحليل التكلفة والسعر'!$C$2:$C$700,MATCH($C1945,'تحليل التكلفة والسعر'!$B$2:$B$700,0)),0))</f>
        <v>3.5</v>
      </c>
      <c r="H1945" s="104" t="s">
        <v>719</v>
      </c>
    </row>
    <row r="1946" customFormat="false" ht="15" hidden="false" customHeight="false" outlineLevel="0" collapsed="false">
      <c r="A1946" s="103" t="n">
        <v>46296</v>
      </c>
      <c r="B1946" s="104" t="s">
        <v>34</v>
      </c>
      <c r="C1946" s="104" t="s">
        <v>427</v>
      </c>
      <c r="D1946" s="105" t="n">
        <v>1.8333</v>
      </c>
      <c r="E1946" s="106" t="n">
        <v>217.0455</v>
      </c>
      <c r="F1946" s="107" t="n">
        <f aca="false">IF($C1946="","",$D1946*$E1946)</f>
        <v>397.90951515</v>
      </c>
      <c r="G1946" s="107" t="n">
        <f aca="false">IF($C1946="","",$D1946*IFERROR(INDEX('تحليل التكلفة والسعر'!$C$2:$C$700,MATCH($C1946,'تحليل التكلفة والسعر'!$B$2:$B$700,0)),0))</f>
        <v>169.21029006</v>
      </c>
      <c r="H1946" s="104" t="s">
        <v>719</v>
      </c>
    </row>
    <row r="1947" customFormat="false" ht="15" hidden="false" customHeight="false" outlineLevel="0" collapsed="false">
      <c r="A1947" s="103" t="n">
        <v>46297</v>
      </c>
      <c r="B1947" s="104" t="s">
        <v>34</v>
      </c>
      <c r="C1947" s="104" t="s">
        <v>427</v>
      </c>
      <c r="D1947" s="105" t="n">
        <v>1.8333</v>
      </c>
      <c r="E1947" s="106" t="n">
        <v>217.0455</v>
      </c>
      <c r="F1947" s="107" t="n">
        <f aca="false">IF($C1947="","",$D1947*$E1947)</f>
        <v>397.90951515</v>
      </c>
      <c r="G1947" s="107" t="n">
        <f aca="false">IF($C1947="","",$D1947*IFERROR(INDEX('تحليل التكلفة والسعر'!$C$2:$C$700,MATCH($C1947,'تحليل التكلفة والسعر'!$B$2:$B$700,0)),0))</f>
        <v>169.21029006</v>
      </c>
      <c r="H1947" s="104" t="s">
        <v>719</v>
      </c>
    </row>
    <row r="1948" customFormat="false" ht="15" hidden="false" customHeight="false" outlineLevel="0" collapsed="false">
      <c r="A1948" s="103" t="n">
        <v>46298</v>
      </c>
      <c r="B1948" s="104" t="s">
        <v>34</v>
      </c>
      <c r="C1948" s="104" t="s">
        <v>427</v>
      </c>
      <c r="D1948" s="105" t="n">
        <v>1.8333</v>
      </c>
      <c r="E1948" s="106" t="n">
        <v>217.0455</v>
      </c>
      <c r="F1948" s="107" t="n">
        <f aca="false">IF($C1948="","",$D1948*$E1948)</f>
        <v>397.90951515</v>
      </c>
      <c r="G1948" s="107" t="n">
        <f aca="false">IF($C1948="","",$D1948*IFERROR(INDEX('تحليل التكلفة والسعر'!$C$2:$C$700,MATCH($C1948,'تحليل التكلفة والسعر'!$B$2:$B$700,0)),0))</f>
        <v>169.21029006</v>
      </c>
      <c r="H1948" s="104" t="s">
        <v>719</v>
      </c>
    </row>
    <row r="1949" customFormat="false" ht="15" hidden="false" customHeight="false" outlineLevel="0" collapsed="false">
      <c r="A1949" s="103" t="n">
        <v>46299</v>
      </c>
      <c r="B1949" s="104" t="s">
        <v>34</v>
      </c>
      <c r="C1949" s="104" t="s">
        <v>427</v>
      </c>
      <c r="D1949" s="105" t="n">
        <v>1.8333</v>
      </c>
      <c r="E1949" s="106" t="n">
        <v>217.0455</v>
      </c>
      <c r="F1949" s="107" t="n">
        <f aca="false">IF($C1949="","",$D1949*$E1949)</f>
        <v>397.90951515</v>
      </c>
      <c r="G1949" s="107" t="n">
        <f aca="false">IF($C1949="","",$D1949*IFERROR(INDEX('تحليل التكلفة والسعر'!$C$2:$C$700,MATCH($C1949,'تحليل التكلفة والسعر'!$B$2:$B$700,0)),0))</f>
        <v>169.21029006</v>
      </c>
      <c r="H1949" s="104" t="s">
        <v>719</v>
      </c>
    </row>
    <row r="1950" customFormat="false" ht="15" hidden="false" customHeight="false" outlineLevel="0" collapsed="false">
      <c r="A1950" s="103" t="n">
        <v>46300</v>
      </c>
      <c r="B1950" s="104" t="s">
        <v>34</v>
      </c>
      <c r="C1950" s="104" t="s">
        <v>427</v>
      </c>
      <c r="D1950" s="105" t="n">
        <v>1.8333</v>
      </c>
      <c r="E1950" s="106" t="n">
        <v>217.0455</v>
      </c>
      <c r="F1950" s="107" t="n">
        <f aca="false">IF($C1950="","",$D1950*$E1950)</f>
        <v>397.90951515</v>
      </c>
      <c r="G1950" s="107" t="n">
        <f aca="false">IF($C1950="","",$D1950*IFERROR(INDEX('تحليل التكلفة والسعر'!$C$2:$C$700,MATCH($C1950,'تحليل التكلفة والسعر'!$B$2:$B$700,0)),0))</f>
        <v>169.21029006</v>
      </c>
      <c r="H1950" s="104" t="s">
        <v>719</v>
      </c>
    </row>
    <row r="1951" customFormat="false" ht="15" hidden="false" customHeight="false" outlineLevel="0" collapsed="false">
      <c r="A1951" s="103" t="n">
        <v>46301</v>
      </c>
      <c r="B1951" s="104" t="s">
        <v>34</v>
      </c>
      <c r="C1951" s="104" t="s">
        <v>427</v>
      </c>
      <c r="D1951" s="105" t="n">
        <v>1.8333</v>
      </c>
      <c r="E1951" s="106" t="n">
        <v>217.0455</v>
      </c>
      <c r="F1951" s="107" t="n">
        <f aca="false">IF($C1951="","",$D1951*$E1951)</f>
        <v>397.90951515</v>
      </c>
      <c r="G1951" s="107" t="n">
        <f aca="false">IF($C1951="","",$D1951*IFERROR(INDEX('تحليل التكلفة والسعر'!$C$2:$C$700,MATCH($C1951,'تحليل التكلفة والسعر'!$B$2:$B$700,0)),0))</f>
        <v>169.21029006</v>
      </c>
      <c r="H1951" s="104" t="s">
        <v>719</v>
      </c>
    </row>
    <row r="1952" customFormat="false" ht="15" hidden="false" customHeight="false" outlineLevel="0" collapsed="false">
      <c r="A1952" s="103" t="n">
        <v>46302</v>
      </c>
      <c r="B1952" s="104" t="s">
        <v>34</v>
      </c>
      <c r="C1952" s="104" t="s">
        <v>427</v>
      </c>
      <c r="D1952" s="105" t="n">
        <v>1.8333</v>
      </c>
      <c r="E1952" s="106" t="n">
        <v>217.0455</v>
      </c>
      <c r="F1952" s="107" t="n">
        <f aca="false">IF($C1952="","",$D1952*$E1952)</f>
        <v>397.90951515</v>
      </c>
      <c r="G1952" s="107" t="n">
        <f aca="false">IF($C1952="","",$D1952*IFERROR(INDEX('تحليل التكلفة والسعر'!$C$2:$C$700,MATCH($C1952,'تحليل التكلفة والسعر'!$B$2:$B$700,0)),0))</f>
        <v>169.21029006</v>
      </c>
      <c r="H1952" s="104" t="s">
        <v>719</v>
      </c>
    </row>
    <row r="1953" customFormat="false" ht="15" hidden="false" customHeight="false" outlineLevel="0" collapsed="false">
      <c r="A1953" s="103" t="n">
        <v>46303</v>
      </c>
      <c r="B1953" s="104" t="s">
        <v>34</v>
      </c>
      <c r="C1953" s="104" t="s">
        <v>427</v>
      </c>
      <c r="D1953" s="105" t="n">
        <v>1.8333</v>
      </c>
      <c r="E1953" s="106" t="n">
        <v>217.0455</v>
      </c>
      <c r="F1953" s="107" t="n">
        <f aca="false">IF($C1953="","",$D1953*$E1953)</f>
        <v>397.90951515</v>
      </c>
      <c r="G1953" s="107" t="n">
        <f aca="false">IF($C1953="","",$D1953*IFERROR(INDEX('تحليل التكلفة والسعر'!$C$2:$C$700,MATCH($C1953,'تحليل التكلفة والسعر'!$B$2:$B$700,0)),0))</f>
        <v>169.21029006</v>
      </c>
      <c r="H1953" s="104" t="s">
        <v>719</v>
      </c>
    </row>
    <row r="1954" customFormat="false" ht="15" hidden="false" customHeight="false" outlineLevel="0" collapsed="false">
      <c r="A1954" s="103" t="n">
        <v>46304</v>
      </c>
      <c r="B1954" s="104" t="s">
        <v>34</v>
      </c>
      <c r="C1954" s="104" t="s">
        <v>427</v>
      </c>
      <c r="D1954" s="105" t="n">
        <v>1.8333</v>
      </c>
      <c r="E1954" s="106" t="n">
        <v>217.0455</v>
      </c>
      <c r="F1954" s="107" t="n">
        <f aca="false">IF($C1954="","",$D1954*$E1954)</f>
        <v>397.90951515</v>
      </c>
      <c r="G1954" s="107" t="n">
        <f aca="false">IF($C1954="","",$D1954*IFERROR(INDEX('تحليل التكلفة والسعر'!$C$2:$C$700,MATCH($C1954,'تحليل التكلفة والسعر'!$B$2:$B$700,0)),0))</f>
        <v>169.21029006</v>
      </c>
      <c r="H1954" s="104" t="s">
        <v>719</v>
      </c>
    </row>
    <row r="1955" customFormat="false" ht="15" hidden="false" customHeight="false" outlineLevel="0" collapsed="false">
      <c r="A1955" s="103" t="n">
        <v>46305</v>
      </c>
      <c r="B1955" s="104" t="s">
        <v>34</v>
      </c>
      <c r="C1955" s="104" t="s">
        <v>427</v>
      </c>
      <c r="D1955" s="105" t="n">
        <v>1.8333</v>
      </c>
      <c r="E1955" s="106" t="n">
        <v>217.0455</v>
      </c>
      <c r="F1955" s="107" t="n">
        <f aca="false">IF($C1955="","",$D1955*$E1955)</f>
        <v>397.90951515</v>
      </c>
      <c r="G1955" s="107" t="n">
        <f aca="false">IF($C1955="","",$D1955*IFERROR(INDEX('تحليل التكلفة والسعر'!$C$2:$C$700,MATCH($C1955,'تحليل التكلفة والسعر'!$B$2:$B$700,0)),0))</f>
        <v>169.21029006</v>
      </c>
      <c r="H1955" s="104" t="s">
        <v>719</v>
      </c>
    </row>
    <row r="1956" customFormat="false" ht="15" hidden="false" customHeight="false" outlineLevel="0" collapsed="false">
      <c r="A1956" s="103" t="n">
        <v>46306</v>
      </c>
      <c r="B1956" s="104" t="s">
        <v>34</v>
      </c>
      <c r="C1956" s="104" t="s">
        <v>427</v>
      </c>
      <c r="D1956" s="105" t="n">
        <v>1.8333</v>
      </c>
      <c r="E1956" s="106" t="n">
        <v>217.0455</v>
      </c>
      <c r="F1956" s="107" t="n">
        <f aca="false">IF($C1956="","",$D1956*$E1956)</f>
        <v>397.90951515</v>
      </c>
      <c r="G1956" s="107" t="n">
        <f aca="false">IF($C1956="","",$D1956*IFERROR(INDEX('تحليل التكلفة والسعر'!$C$2:$C$700,MATCH($C1956,'تحليل التكلفة والسعر'!$B$2:$B$700,0)),0))</f>
        <v>169.21029006</v>
      </c>
      <c r="H1956" s="104" t="s">
        <v>719</v>
      </c>
    </row>
    <row r="1957" customFormat="false" ht="15" hidden="false" customHeight="false" outlineLevel="0" collapsed="false">
      <c r="A1957" s="103" t="n">
        <v>46307</v>
      </c>
      <c r="B1957" s="104" t="s">
        <v>34</v>
      </c>
      <c r="C1957" s="104" t="s">
        <v>427</v>
      </c>
      <c r="D1957" s="105" t="n">
        <v>1.8333</v>
      </c>
      <c r="E1957" s="106" t="n">
        <v>217.0455</v>
      </c>
      <c r="F1957" s="107" t="n">
        <f aca="false">IF($C1957="","",$D1957*$E1957)</f>
        <v>397.90951515</v>
      </c>
      <c r="G1957" s="107" t="n">
        <f aca="false">IF($C1957="","",$D1957*IFERROR(INDEX('تحليل التكلفة والسعر'!$C$2:$C$700,MATCH($C1957,'تحليل التكلفة والسعر'!$B$2:$B$700,0)),0))</f>
        <v>169.21029006</v>
      </c>
      <c r="H1957" s="104" t="s">
        <v>719</v>
      </c>
    </row>
    <row r="1958" customFormat="false" ht="15" hidden="false" customHeight="false" outlineLevel="0" collapsed="false">
      <c r="A1958" s="103" t="n">
        <v>46296</v>
      </c>
      <c r="B1958" s="104" t="s">
        <v>34</v>
      </c>
      <c r="C1958" s="104" t="s">
        <v>453</v>
      </c>
      <c r="D1958" s="105" t="n">
        <v>26.4167</v>
      </c>
      <c r="E1958" s="106" t="n">
        <v>51.7508</v>
      </c>
      <c r="F1958" s="107" t="n">
        <f aca="false">IF($C1958="","",$D1958*$E1958)</f>
        <v>1367.08535836</v>
      </c>
      <c r="G1958" s="107" t="n">
        <f aca="false">IF($C1958="","",$D1958*IFERROR(INDEX('تحليل التكلفة والسعر'!$C$2:$C$700,MATCH($C1958,'تحليل التكلفة والسعر'!$B$2:$B$700,0)),0))</f>
        <v>1804.16815155</v>
      </c>
      <c r="H1958" s="104" t="s">
        <v>719</v>
      </c>
    </row>
    <row r="1959" customFormat="false" ht="15" hidden="false" customHeight="false" outlineLevel="0" collapsed="false">
      <c r="A1959" s="103" t="n">
        <v>46297</v>
      </c>
      <c r="B1959" s="104" t="s">
        <v>34</v>
      </c>
      <c r="C1959" s="104" t="s">
        <v>453</v>
      </c>
      <c r="D1959" s="105" t="n">
        <v>26.4167</v>
      </c>
      <c r="E1959" s="106" t="n">
        <v>51.7508</v>
      </c>
      <c r="F1959" s="107" t="n">
        <f aca="false">IF($C1959="","",$D1959*$E1959)</f>
        <v>1367.08535836</v>
      </c>
      <c r="G1959" s="107" t="n">
        <f aca="false">IF($C1959="","",$D1959*IFERROR(INDEX('تحليل التكلفة والسعر'!$C$2:$C$700,MATCH($C1959,'تحليل التكلفة والسعر'!$B$2:$B$700,0)),0))</f>
        <v>1804.16815155</v>
      </c>
      <c r="H1959" s="104" t="s">
        <v>719</v>
      </c>
    </row>
    <row r="1960" customFormat="false" ht="15" hidden="false" customHeight="false" outlineLevel="0" collapsed="false">
      <c r="A1960" s="103" t="n">
        <v>46298</v>
      </c>
      <c r="B1960" s="104" t="s">
        <v>34</v>
      </c>
      <c r="C1960" s="104" t="s">
        <v>453</v>
      </c>
      <c r="D1960" s="105" t="n">
        <v>26.4167</v>
      </c>
      <c r="E1960" s="106" t="n">
        <v>51.7508</v>
      </c>
      <c r="F1960" s="107" t="n">
        <f aca="false">IF($C1960="","",$D1960*$E1960)</f>
        <v>1367.08535836</v>
      </c>
      <c r="G1960" s="107" t="n">
        <f aca="false">IF($C1960="","",$D1960*IFERROR(INDEX('تحليل التكلفة والسعر'!$C$2:$C$700,MATCH($C1960,'تحليل التكلفة والسعر'!$B$2:$B$700,0)),0))</f>
        <v>1804.16815155</v>
      </c>
      <c r="H1960" s="104" t="s">
        <v>719</v>
      </c>
    </row>
    <row r="1961" customFormat="false" ht="15" hidden="false" customHeight="false" outlineLevel="0" collapsed="false">
      <c r="A1961" s="103" t="n">
        <v>46299</v>
      </c>
      <c r="B1961" s="104" t="s">
        <v>34</v>
      </c>
      <c r="C1961" s="104" t="s">
        <v>453</v>
      </c>
      <c r="D1961" s="105" t="n">
        <v>26.4167</v>
      </c>
      <c r="E1961" s="106" t="n">
        <v>51.7508</v>
      </c>
      <c r="F1961" s="107" t="n">
        <f aca="false">IF($C1961="","",$D1961*$E1961)</f>
        <v>1367.08535836</v>
      </c>
      <c r="G1961" s="107" t="n">
        <f aca="false">IF($C1961="","",$D1961*IFERROR(INDEX('تحليل التكلفة والسعر'!$C$2:$C$700,MATCH($C1961,'تحليل التكلفة والسعر'!$B$2:$B$700,0)),0))</f>
        <v>1804.16815155</v>
      </c>
      <c r="H1961" s="104" t="s">
        <v>719</v>
      </c>
    </row>
    <row r="1962" customFormat="false" ht="15" hidden="false" customHeight="false" outlineLevel="0" collapsed="false">
      <c r="A1962" s="103" t="n">
        <v>46300</v>
      </c>
      <c r="B1962" s="104" t="s">
        <v>34</v>
      </c>
      <c r="C1962" s="104" t="s">
        <v>453</v>
      </c>
      <c r="D1962" s="105" t="n">
        <v>26.4167</v>
      </c>
      <c r="E1962" s="106" t="n">
        <v>51.7508</v>
      </c>
      <c r="F1962" s="107" t="n">
        <f aca="false">IF($C1962="","",$D1962*$E1962)</f>
        <v>1367.08535836</v>
      </c>
      <c r="G1962" s="107" t="n">
        <f aca="false">IF($C1962="","",$D1962*IFERROR(INDEX('تحليل التكلفة والسعر'!$C$2:$C$700,MATCH($C1962,'تحليل التكلفة والسعر'!$B$2:$B$700,0)),0))</f>
        <v>1804.16815155</v>
      </c>
      <c r="H1962" s="104" t="s">
        <v>719</v>
      </c>
    </row>
    <row r="1963" customFormat="false" ht="15" hidden="false" customHeight="false" outlineLevel="0" collapsed="false">
      <c r="A1963" s="103" t="n">
        <v>46301</v>
      </c>
      <c r="B1963" s="104" t="s">
        <v>34</v>
      </c>
      <c r="C1963" s="104" t="s">
        <v>453</v>
      </c>
      <c r="D1963" s="105" t="n">
        <v>26.4167</v>
      </c>
      <c r="E1963" s="106" t="n">
        <v>51.7508</v>
      </c>
      <c r="F1963" s="107" t="n">
        <f aca="false">IF($C1963="","",$D1963*$E1963)</f>
        <v>1367.08535836</v>
      </c>
      <c r="G1963" s="107" t="n">
        <f aca="false">IF($C1963="","",$D1963*IFERROR(INDEX('تحليل التكلفة والسعر'!$C$2:$C$700,MATCH($C1963,'تحليل التكلفة والسعر'!$B$2:$B$700,0)),0))</f>
        <v>1804.16815155</v>
      </c>
      <c r="H1963" s="104" t="s">
        <v>719</v>
      </c>
    </row>
    <row r="1964" customFormat="false" ht="15" hidden="false" customHeight="false" outlineLevel="0" collapsed="false">
      <c r="A1964" s="103" t="n">
        <v>46302</v>
      </c>
      <c r="B1964" s="104" t="s">
        <v>34</v>
      </c>
      <c r="C1964" s="104" t="s">
        <v>453</v>
      </c>
      <c r="D1964" s="105" t="n">
        <v>26.4167</v>
      </c>
      <c r="E1964" s="106" t="n">
        <v>51.7508</v>
      </c>
      <c r="F1964" s="107" t="n">
        <f aca="false">IF($C1964="","",$D1964*$E1964)</f>
        <v>1367.08535836</v>
      </c>
      <c r="G1964" s="107" t="n">
        <f aca="false">IF($C1964="","",$D1964*IFERROR(INDEX('تحليل التكلفة والسعر'!$C$2:$C$700,MATCH($C1964,'تحليل التكلفة والسعر'!$B$2:$B$700,0)),0))</f>
        <v>1804.16815155</v>
      </c>
      <c r="H1964" s="104" t="s">
        <v>719</v>
      </c>
    </row>
    <row r="1965" customFormat="false" ht="15" hidden="false" customHeight="false" outlineLevel="0" collapsed="false">
      <c r="A1965" s="103" t="n">
        <v>46303</v>
      </c>
      <c r="B1965" s="104" t="s">
        <v>34</v>
      </c>
      <c r="C1965" s="104" t="s">
        <v>453</v>
      </c>
      <c r="D1965" s="105" t="n">
        <v>26.4167</v>
      </c>
      <c r="E1965" s="106" t="n">
        <v>51.7508</v>
      </c>
      <c r="F1965" s="107" t="n">
        <f aca="false">IF($C1965="","",$D1965*$E1965)</f>
        <v>1367.08535836</v>
      </c>
      <c r="G1965" s="107" t="n">
        <f aca="false">IF($C1965="","",$D1965*IFERROR(INDEX('تحليل التكلفة والسعر'!$C$2:$C$700,MATCH($C1965,'تحليل التكلفة والسعر'!$B$2:$B$700,0)),0))</f>
        <v>1804.16815155</v>
      </c>
      <c r="H1965" s="104" t="s">
        <v>719</v>
      </c>
    </row>
    <row r="1966" customFormat="false" ht="15" hidden="false" customHeight="false" outlineLevel="0" collapsed="false">
      <c r="A1966" s="103" t="n">
        <v>46304</v>
      </c>
      <c r="B1966" s="104" t="s">
        <v>34</v>
      </c>
      <c r="C1966" s="104" t="s">
        <v>453</v>
      </c>
      <c r="D1966" s="105" t="n">
        <v>26.4167</v>
      </c>
      <c r="E1966" s="106" t="n">
        <v>51.7508</v>
      </c>
      <c r="F1966" s="107" t="n">
        <f aca="false">IF($C1966="","",$D1966*$E1966)</f>
        <v>1367.08535836</v>
      </c>
      <c r="G1966" s="107" t="n">
        <f aca="false">IF($C1966="","",$D1966*IFERROR(INDEX('تحليل التكلفة والسعر'!$C$2:$C$700,MATCH($C1966,'تحليل التكلفة والسعر'!$B$2:$B$700,0)),0))</f>
        <v>1804.16815155</v>
      </c>
      <c r="H1966" s="104" t="s">
        <v>719</v>
      </c>
    </row>
    <row r="1967" customFormat="false" ht="15" hidden="false" customHeight="false" outlineLevel="0" collapsed="false">
      <c r="A1967" s="103" t="n">
        <v>46305</v>
      </c>
      <c r="B1967" s="104" t="s">
        <v>34</v>
      </c>
      <c r="C1967" s="104" t="s">
        <v>453</v>
      </c>
      <c r="D1967" s="105" t="n">
        <v>26.4167</v>
      </c>
      <c r="E1967" s="106" t="n">
        <v>51.7508</v>
      </c>
      <c r="F1967" s="107" t="n">
        <f aca="false">IF($C1967="","",$D1967*$E1967)</f>
        <v>1367.08535836</v>
      </c>
      <c r="G1967" s="107" t="n">
        <f aca="false">IF($C1967="","",$D1967*IFERROR(INDEX('تحليل التكلفة والسعر'!$C$2:$C$700,MATCH($C1967,'تحليل التكلفة والسعر'!$B$2:$B$700,0)),0))</f>
        <v>1804.16815155</v>
      </c>
      <c r="H1967" s="104" t="s">
        <v>719</v>
      </c>
    </row>
    <row r="1968" customFormat="false" ht="15" hidden="false" customHeight="false" outlineLevel="0" collapsed="false">
      <c r="A1968" s="103" t="n">
        <v>46306</v>
      </c>
      <c r="B1968" s="104" t="s">
        <v>34</v>
      </c>
      <c r="C1968" s="104" t="s">
        <v>453</v>
      </c>
      <c r="D1968" s="105" t="n">
        <v>26.4167</v>
      </c>
      <c r="E1968" s="106" t="n">
        <v>51.7508</v>
      </c>
      <c r="F1968" s="107" t="n">
        <f aca="false">IF($C1968="","",$D1968*$E1968)</f>
        <v>1367.08535836</v>
      </c>
      <c r="G1968" s="107" t="n">
        <f aca="false">IF($C1968="","",$D1968*IFERROR(INDEX('تحليل التكلفة والسعر'!$C$2:$C$700,MATCH($C1968,'تحليل التكلفة والسعر'!$B$2:$B$700,0)),0))</f>
        <v>1804.16815155</v>
      </c>
      <c r="H1968" s="104" t="s">
        <v>719</v>
      </c>
    </row>
    <row r="1969" customFormat="false" ht="15" hidden="false" customHeight="false" outlineLevel="0" collapsed="false">
      <c r="A1969" s="103" t="n">
        <v>46307</v>
      </c>
      <c r="B1969" s="104" t="s">
        <v>34</v>
      </c>
      <c r="C1969" s="104" t="s">
        <v>453</v>
      </c>
      <c r="D1969" s="105" t="n">
        <v>26.4167</v>
      </c>
      <c r="E1969" s="106" t="n">
        <v>51.7508</v>
      </c>
      <c r="F1969" s="107" t="n">
        <f aca="false">IF($C1969="","",$D1969*$E1969)</f>
        <v>1367.08535836</v>
      </c>
      <c r="G1969" s="107" t="n">
        <f aca="false">IF($C1969="","",$D1969*IFERROR(INDEX('تحليل التكلفة والسعر'!$C$2:$C$700,MATCH($C1969,'تحليل التكلفة والسعر'!$B$2:$B$700,0)),0))</f>
        <v>1804.16815155</v>
      </c>
      <c r="H1969" s="104" t="s">
        <v>719</v>
      </c>
    </row>
    <row r="1970" customFormat="false" ht="15" hidden="false" customHeight="false" outlineLevel="0" collapsed="false">
      <c r="A1970" s="103" t="n">
        <v>46296</v>
      </c>
      <c r="B1970" s="104" t="s">
        <v>34</v>
      </c>
      <c r="C1970" s="104" t="s">
        <v>489</v>
      </c>
      <c r="D1970" s="105" t="n">
        <v>0.1667</v>
      </c>
      <c r="E1970" s="106" t="n">
        <v>350</v>
      </c>
      <c r="F1970" s="107" t="n">
        <f aca="false">IF($C1970="","",$D1970*$E1970)</f>
        <v>58.345</v>
      </c>
      <c r="G1970" s="107" t="n">
        <f aca="false">IF($C1970="","",$D1970*IFERROR(INDEX('تحليل التكلفة والسعر'!$C$2:$C$700,MATCH($C1970,'تحليل التكلفة والسعر'!$B$2:$B$700,0)),0))</f>
        <v>31.36152105</v>
      </c>
      <c r="H1970" s="104" t="s">
        <v>719</v>
      </c>
    </row>
    <row r="1971" customFormat="false" ht="15" hidden="false" customHeight="false" outlineLevel="0" collapsed="false">
      <c r="A1971" s="103" t="n">
        <v>46297</v>
      </c>
      <c r="B1971" s="104" t="s">
        <v>34</v>
      </c>
      <c r="C1971" s="104" t="s">
        <v>489</v>
      </c>
      <c r="D1971" s="105" t="n">
        <v>0.1667</v>
      </c>
      <c r="E1971" s="106" t="n">
        <v>350</v>
      </c>
      <c r="F1971" s="107" t="n">
        <f aca="false">IF($C1971="","",$D1971*$E1971)</f>
        <v>58.345</v>
      </c>
      <c r="G1971" s="107" t="n">
        <f aca="false">IF($C1971="","",$D1971*IFERROR(INDEX('تحليل التكلفة والسعر'!$C$2:$C$700,MATCH($C1971,'تحليل التكلفة والسعر'!$B$2:$B$700,0)),0))</f>
        <v>31.36152105</v>
      </c>
      <c r="H1971" s="104" t="s">
        <v>719</v>
      </c>
    </row>
    <row r="1972" customFormat="false" ht="15" hidden="false" customHeight="false" outlineLevel="0" collapsed="false">
      <c r="A1972" s="103" t="n">
        <v>46298</v>
      </c>
      <c r="B1972" s="104" t="s">
        <v>34</v>
      </c>
      <c r="C1972" s="104" t="s">
        <v>489</v>
      </c>
      <c r="D1972" s="105" t="n">
        <v>0.1667</v>
      </c>
      <c r="E1972" s="106" t="n">
        <v>350</v>
      </c>
      <c r="F1972" s="107" t="n">
        <f aca="false">IF($C1972="","",$D1972*$E1972)</f>
        <v>58.345</v>
      </c>
      <c r="G1972" s="107" t="n">
        <f aca="false">IF($C1972="","",$D1972*IFERROR(INDEX('تحليل التكلفة والسعر'!$C$2:$C$700,MATCH($C1972,'تحليل التكلفة والسعر'!$B$2:$B$700,0)),0))</f>
        <v>31.36152105</v>
      </c>
      <c r="H1972" s="104" t="s">
        <v>719</v>
      </c>
    </row>
    <row r="1973" customFormat="false" ht="15" hidden="false" customHeight="false" outlineLevel="0" collapsed="false">
      <c r="A1973" s="103" t="n">
        <v>46299</v>
      </c>
      <c r="B1973" s="104" t="s">
        <v>34</v>
      </c>
      <c r="C1973" s="104" t="s">
        <v>489</v>
      </c>
      <c r="D1973" s="105" t="n">
        <v>0.1667</v>
      </c>
      <c r="E1973" s="106" t="n">
        <v>350</v>
      </c>
      <c r="F1973" s="107" t="n">
        <f aca="false">IF($C1973="","",$D1973*$E1973)</f>
        <v>58.345</v>
      </c>
      <c r="G1973" s="107" t="n">
        <f aca="false">IF($C1973="","",$D1973*IFERROR(INDEX('تحليل التكلفة والسعر'!$C$2:$C$700,MATCH($C1973,'تحليل التكلفة والسعر'!$B$2:$B$700,0)),0))</f>
        <v>31.36152105</v>
      </c>
      <c r="H1973" s="104" t="s">
        <v>719</v>
      </c>
    </row>
    <row r="1974" customFormat="false" ht="15" hidden="false" customHeight="false" outlineLevel="0" collapsed="false">
      <c r="A1974" s="103" t="n">
        <v>46300</v>
      </c>
      <c r="B1974" s="104" t="s">
        <v>34</v>
      </c>
      <c r="C1974" s="104" t="s">
        <v>489</v>
      </c>
      <c r="D1974" s="105" t="n">
        <v>0.1667</v>
      </c>
      <c r="E1974" s="106" t="n">
        <v>350</v>
      </c>
      <c r="F1974" s="107" t="n">
        <f aca="false">IF($C1974="","",$D1974*$E1974)</f>
        <v>58.345</v>
      </c>
      <c r="G1974" s="107" t="n">
        <f aca="false">IF($C1974="","",$D1974*IFERROR(INDEX('تحليل التكلفة والسعر'!$C$2:$C$700,MATCH($C1974,'تحليل التكلفة والسعر'!$B$2:$B$700,0)),0))</f>
        <v>31.36152105</v>
      </c>
      <c r="H1974" s="104" t="s">
        <v>719</v>
      </c>
    </row>
    <row r="1975" customFormat="false" ht="15" hidden="false" customHeight="false" outlineLevel="0" collapsed="false">
      <c r="A1975" s="103" t="n">
        <v>46301</v>
      </c>
      <c r="B1975" s="104" t="s">
        <v>34</v>
      </c>
      <c r="C1975" s="104" t="s">
        <v>489</v>
      </c>
      <c r="D1975" s="105" t="n">
        <v>0.1667</v>
      </c>
      <c r="E1975" s="106" t="n">
        <v>350</v>
      </c>
      <c r="F1975" s="107" t="n">
        <f aca="false">IF($C1975="","",$D1975*$E1975)</f>
        <v>58.345</v>
      </c>
      <c r="G1975" s="107" t="n">
        <f aca="false">IF($C1975="","",$D1975*IFERROR(INDEX('تحليل التكلفة والسعر'!$C$2:$C$700,MATCH($C1975,'تحليل التكلفة والسعر'!$B$2:$B$700,0)),0))</f>
        <v>31.36152105</v>
      </c>
      <c r="H1975" s="104" t="s">
        <v>719</v>
      </c>
    </row>
    <row r="1976" customFormat="false" ht="15" hidden="false" customHeight="false" outlineLevel="0" collapsed="false">
      <c r="A1976" s="103" t="n">
        <v>46302</v>
      </c>
      <c r="B1976" s="104" t="s">
        <v>34</v>
      </c>
      <c r="C1976" s="104" t="s">
        <v>489</v>
      </c>
      <c r="D1976" s="105" t="n">
        <v>0.1667</v>
      </c>
      <c r="E1976" s="106" t="n">
        <v>350</v>
      </c>
      <c r="F1976" s="107" t="n">
        <f aca="false">IF($C1976="","",$D1976*$E1976)</f>
        <v>58.345</v>
      </c>
      <c r="G1976" s="107" t="n">
        <f aca="false">IF($C1976="","",$D1976*IFERROR(INDEX('تحليل التكلفة والسعر'!$C$2:$C$700,MATCH($C1976,'تحليل التكلفة والسعر'!$B$2:$B$700,0)),0))</f>
        <v>31.36152105</v>
      </c>
      <c r="H1976" s="104" t="s">
        <v>719</v>
      </c>
    </row>
    <row r="1977" customFormat="false" ht="15" hidden="false" customHeight="false" outlineLevel="0" collapsed="false">
      <c r="A1977" s="103" t="n">
        <v>46303</v>
      </c>
      <c r="B1977" s="104" t="s">
        <v>34</v>
      </c>
      <c r="C1977" s="104" t="s">
        <v>489</v>
      </c>
      <c r="D1977" s="105" t="n">
        <v>0.1667</v>
      </c>
      <c r="E1977" s="106" t="n">
        <v>350</v>
      </c>
      <c r="F1977" s="107" t="n">
        <f aca="false">IF($C1977="","",$D1977*$E1977)</f>
        <v>58.345</v>
      </c>
      <c r="G1977" s="107" t="n">
        <f aca="false">IF($C1977="","",$D1977*IFERROR(INDEX('تحليل التكلفة والسعر'!$C$2:$C$700,MATCH($C1977,'تحليل التكلفة والسعر'!$B$2:$B$700,0)),0))</f>
        <v>31.36152105</v>
      </c>
      <c r="H1977" s="104" t="s">
        <v>719</v>
      </c>
    </row>
    <row r="1978" customFormat="false" ht="15" hidden="false" customHeight="false" outlineLevel="0" collapsed="false">
      <c r="A1978" s="103" t="n">
        <v>46304</v>
      </c>
      <c r="B1978" s="104" t="s">
        <v>34</v>
      </c>
      <c r="C1978" s="104" t="s">
        <v>489</v>
      </c>
      <c r="D1978" s="105" t="n">
        <v>0.1667</v>
      </c>
      <c r="E1978" s="106" t="n">
        <v>350</v>
      </c>
      <c r="F1978" s="107" t="n">
        <f aca="false">IF($C1978="","",$D1978*$E1978)</f>
        <v>58.345</v>
      </c>
      <c r="G1978" s="107" t="n">
        <f aca="false">IF($C1978="","",$D1978*IFERROR(INDEX('تحليل التكلفة والسعر'!$C$2:$C$700,MATCH($C1978,'تحليل التكلفة والسعر'!$B$2:$B$700,0)),0))</f>
        <v>31.36152105</v>
      </c>
      <c r="H1978" s="104" t="s">
        <v>719</v>
      </c>
    </row>
    <row r="1979" customFormat="false" ht="15" hidden="false" customHeight="false" outlineLevel="0" collapsed="false">
      <c r="A1979" s="103" t="n">
        <v>46305</v>
      </c>
      <c r="B1979" s="104" t="s">
        <v>34</v>
      </c>
      <c r="C1979" s="104" t="s">
        <v>489</v>
      </c>
      <c r="D1979" s="105" t="n">
        <v>0.1667</v>
      </c>
      <c r="E1979" s="106" t="n">
        <v>350</v>
      </c>
      <c r="F1979" s="107" t="n">
        <f aca="false">IF($C1979="","",$D1979*$E1979)</f>
        <v>58.345</v>
      </c>
      <c r="G1979" s="107" t="n">
        <f aca="false">IF($C1979="","",$D1979*IFERROR(INDEX('تحليل التكلفة والسعر'!$C$2:$C$700,MATCH($C1979,'تحليل التكلفة والسعر'!$B$2:$B$700,0)),0))</f>
        <v>31.36152105</v>
      </c>
      <c r="H1979" s="104" t="s">
        <v>719</v>
      </c>
    </row>
    <row r="1980" customFormat="false" ht="15" hidden="false" customHeight="false" outlineLevel="0" collapsed="false">
      <c r="A1980" s="103" t="n">
        <v>46306</v>
      </c>
      <c r="B1980" s="104" t="s">
        <v>34</v>
      </c>
      <c r="C1980" s="104" t="s">
        <v>489</v>
      </c>
      <c r="D1980" s="105" t="n">
        <v>0.1667</v>
      </c>
      <c r="E1980" s="106" t="n">
        <v>350</v>
      </c>
      <c r="F1980" s="107" t="n">
        <f aca="false">IF($C1980="","",$D1980*$E1980)</f>
        <v>58.345</v>
      </c>
      <c r="G1980" s="107" t="n">
        <f aca="false">IF($C1980="","",$D1980*IFERROR(INDEX('تحليل التكلفة والسعر'!$C$2:$C$700,MATCH($C1980,'تحليل التكلفة والسعر'!$B$2:$B$700,0)),0))</f>
        <v>31.36152105</v>
      </c>
      <c r="H1980" s="104" t="s">
        <v>719</v>
      </c>
    </row>
    <row r="1981" customFormat="false" ht="15" hidden="false" customHeight="false" outlineLevel="0" collapsed="false">
      <c r="A1981" s="103" t="n">
        <v>46307</v>
      </c>
      <c r="B1981" s="104" t="s">
        <v>34</v>
      </c>
      <c r="C1981" s="104" t="s">
        <v>489</v>
      </c>
      <c r="D1981" s="105" t="n">
        <v>0.1667</v>
      </c>
      <c r="E1981" s="106" t="n">
        <v>350</v>
      </c>
      <c r="F1981" s="107" t="n">
        <f aca="false">IF($C1981="","",$D1981*$E1981)</f>
        <v>58.345</v>
      </c>
      <c r="G1981" s="107" t="n">
        <f aca="false">IF($C1981="","",$D1981*IFERROR(INDEX('تحليل التكلفة والسعر'!$C$2:$C$700,MATCH($C1981,'تحليل التكلفة والسعر'!$B$2:$B$700,0)),0))</f>
        <v>31.36152105</v>
      </c>
      <c r="H1981" s="104" t="s">
        <v>719</v>
      </c>
    </row>
    <row r="1982" customFormat="false" ht="15" hidden="false" customHeight="false" outlineLevel="0" collapsed="false">
      <c r="A1982" s="103" t="n">
        <v>46296</v>
      </c>
      <c r="B1982" s="104" t="s">
        <v>34</v>
      </c>
      <c r="C1982" s="104" t="s">
        <v>509</v>
      </c>
      <c r="D1982" s="105" t="n">
        <v>0.1667</v>
      </c>
      <c r="E1982" s="106" t="n">
        <v>90</v>
      </c>
      <c r="F1982" s="107" t="n">
        <f aca="false">IF($C1982="","",$D1982*$E1982)</f>
        <v>15.003</v>
      </c>
      <c r="G1982" s="107" t="n">
        <f aca="false">IF($C1982="","",$D1982*IFERROR(INDEX('تحليل التكلفة والسعر'!$C$2:$C$700,MATCH($C1982,'تحليل التكلفة والسعر'!$B$2:$B$700,0)),0))</f>
        <v>5.55052655</v>
      </c>
      <c r="H1982" s="104" t="s">
        <v>719</v>
      </c>
    </row>
    <row r="1983" customFormat="false" ht="15" hidden="false" customHeight="false" outlineLevel="0" collapsed="false">
      <c r="A1983" s="103" t="n">
        <v>46297</v>
      </c>
      <c r="B1983" s="104" t="s">
        <v>34</v>
      </c>
      <c r="C1983" s="104" t="s">
        <v>509</v>
      </c>
      <c r="D1983" s="105" t="n">
        <v>0.1667</v>
      </c>
      <c r="E1983" s="106" t="n">
        <v>90</v>
      </c>
      <c r="F1983" s="107" t="n">
        <f aca="false">IF($C1983="","",$D1983*$E1983)</f>
        <v>15.003</v>
      </c>
      <c r="G1983" s="107" t="n">
        <f aca="false">IF($C1983="","",$D1983*IFERROR(INDEX('تحليل التكلفة والسعر'!$C$2:$C$700,MATCH($C1983,'تحليل التكلفة والسعر'!$B$2:$B$700,0)),0))</f>
        <v>5.55052655</v>
      </c>
      <c r="H1983" s="104" t="s">
        <v>719</v>
      </c>
    </row>
    <row r="1984" customFormat="false" ht="15" hidden="false" customHeight="false" outlineLevel="0" collapsed="false">
      <c r="A1984" s="103" t="n">
        <v>46298</v>
      </c>
      <c r="B1984" s="104" t="s">
        <v>34</v>
      </c>
      <c r="C1984" s="104" t="s">
        <v>509</v>
      </c>
      <c r="D1984" s="105" t="n">
        <v>0.1667</v>
      </c>
      <c r="E1984" s="106" t="n">
        <v>90</v>
      </c>
      <c r="F1984" s="107" t="n">
        <f aca="false">IF($C1984="","",$D1984*$E1984)</f>
        <v>15.003</v>
      </c>
      <c r="G1984" s="107" t="n">
        <f aca="false">IF($C1984="","",$D1984*IFERROR(INDEX('تحليل التكلفة والسعر'!$C$2:$C$700,MATCH($C1984,'تحليل التكلفة والسعر'!$B$2:$B$700,0)),0))</f>
        <v>5.55052655</v>
      </c>
      <c r="H1984" s="104" t="s">
        <v>719</v>
      </c>
    </row>
    <row r="1985" customFormat="false" ht="15" hidden="false" customHeight="false" outlineLevel="0" collapsed="false">
      <c r="A1985" s="103" t="n">
        <v>46299</v>
      </c>
      <c r="B1985" s="104" t="s">
        <v>34</v>
      </c>
      <c r="C1985" s="104" t="s">
        <v>509</v>
      </c>
      <c r="D1985" s="105" t="n">
        <v>0.1667</v>
      </c>
      <c r="E1985" s="106" t="n">
        <v>90</v>
      </c>
      <c r="F1985" s="107" t="n">
        <f aca="false">IF($C1985="","",$D1985*$E1985)</f>
        <v>15.003</v>
      </c>
      <c r="G1985" s="107" t="n">
        <f aca="false">IF($C1985="","",$D1985*IFERROR(INDEX('تحليل التكلفة والسعر'!$C$2:$C$700,MATCH($C1985,'تحليل التكلفة والسعر'!$B$2:$B$700,0)),0))</f>
        <v>5.55052655</v>
      </c>
      <c r="H1985" s="104" t="s">
        <v>719</v>
      </c>
    </row>
    <row r="1986" customFormat="false" ht="15" hidden="false" customHeight="false" outlineLevel="0" collapsed="false">
      <c r="A1986" s="103" t="n">
        <v>46300</v>
      </c>
      <c r="B1986" s="104" t="s">
        <v>34</v>
      </c>
      <c r="C1986" s="104" t="s">
        <v>509</v>
      </c>
      <c r="D1986" s="105" t="n">
        <v>0.1667</v>
      </c>
      <c r="E1986" s="106" t="n">
        <v>90</v>
      </c>
      <c r="F1986" s="107" t="n">
        <f aca="false">IF($C1986="","",$D1986*$E1986)</f>
        <v>15.003</v>
      </c>
      <c r="G1986" s="107" t="n">
        <f aca="false">IF($C1986="","",$D1986*IFERROR(INDEX('تحليل التكلفة والسعر'!$C$2:$C$700,MATCH($C1986,'تحليل التكلفة والسعر'!$B$2:$B$700,0)),0))</f>
        <v>5.55052655</v>
      </c>
      <c r="H1986" s="104" t="s">
        <v>719</v>
      </c>
    </row>
    <row r="1987" customFormat="false" ht="15" hidden="false" customHeight="false" outlineLevel="0" collapsed="false">
      <c r="A1987" s="103" t="n">
        <v>46301</v>
      </c>
      <c r="B1987" s="104" t="s">
        <v>34</v>
      </c>
      <c r="C1987" s="104" t="s">
        <v>509</v>
      </c>
      <c r="D1987" s="105" t="n">
        <v>0.1667</v>
      </c>
      <c r="E1987" s="106" t="n">
        <v>90</v>
      </c>
      <c r="F1987" s="107" t="n">
        <f aca="false">IF($C1987="","",$D1987*$E1987)</f>
        <v>15.003</v>
      </c>
      <c r="G1987" s="107" t="n">
        <f aca="false">IF($C1987="","",$D1987*IFERROR(INDEX('تحليل التكلفة والسعر'!$C$2:$C$700,MATCH($C1987,'تحليل التكلفة والسعر'!$B$2:$B$700,0)),0))</f>
        <v>5.55052655</v>
      </c>
      <c r="H1987" s="104" t="s">
        <v>719</v>
      </c>
    </row>
    <row r="1988" customFormat="false" ht="15" hidden="false" customHeight="false" outlineLevel="0" collapsed="false">
      <c r="A1988" s="103" t="n">
        <v>46302</v>
      </c>
      <c r="B1988" s="104" t="s">
        <v>34</v>
      </c>
      <c r="C1988" s="104" t="s">
        <v>509</v>
      </c>
      <c r="D1988" s="105" t="n">
        <v>0.1667</v>
      </c>
      <c r="E1988" s="106" t="n">
        <v>90</v>
      </c>
      <c r="F1988" s="107" t="n">
        <f aca="false">IF($C1988="","",$D1988*$E1988)</f>
        <v>15.003</v>
      </c>
      <c r="G1988" s="107" t="n">
        <f aca="false">IF($C1988="","",$D1988*IFERROR(INDEX('تحليل التكلفة والسعر'!$C$2:$C$700,MATCH($C1988,'تحليل التكلفة والسعر'!$B$2:$B$700,0)),0))</f>
        <v>5.55052655</v>
      </c>
      <c r="H1988" s="104" t="s">
        <v>719</v>
      </c>
    </row>
    <row r="1989" customFormat="false" ht="15" hidden="false" customHeight="false" outlineLevel="0" collapsed="false">
      <c r="A1989" s="103" t="n">
        <v>46303</v>
      </c>
      <c r="B1989" s="104" t="s">
        <v>34</v>
      </c>
      <c r="C1989" s="104" t="s">
        <v>509</v>
      </c>
      <c r="D1989" s="105" t="n">
        <v>0.1667</v>
      </c>
      <c r="E1989" s="106" t="n">
        <v>90</v>
      </c>
      <c r="F1989" s="107" t="n">
        <f aca="false">IF($C1989="","",$D1989*$E1989)</f>
        <v>15.003</v>
      </c>
      <c r="G1989" s="107" t="n">
        <f aca="false">IF($C1989="","",$D1989*IFERROR(INDEX('تحليل التكلفة والسعر'!$C$2:$C$700,MATCH($C1989,'تحليل التكلفة والسعر'!$B$2:$B$700,0)),0))</f>
        <v>5.55052655</v>
      </c>
      <c r="H1989" s="104" t="s">
        <v>719</v>
      </c>
    </row>
    <row r="1990" customFormat="false" ht="15" hidden="false" customHeight="false" outlineLevel="0" collapsed="false">
      <c r="A1990" s="103" t="n">
        <v>46304</v>
      </c>
      <c r="B1990" s="104" t="s">
        <v>34</v>
      </c>
      <c r="C1990" s="104" t="s">
        <v>509</v>
      </c>
      <c r="D1990" s="105" t="n">
        <v>0.1667</v>
      </c>
      <c r="E1990" s="106" t="n">
        <v>90</v>
      </c>
      <c r="F1990" s="107" t="n">
        <f aca="false">IF($C1990="","",$D1990*$E1990)</f>
        <v>15.003</v>
      </c>
      <c r="G1990" s="107" t="n">
        <f aca="false">IF($C1990="","",$D1990*IFERROR(INDEX('تحليل التكلفة والسعر'!$C$2:$C$700,MATCH($C1990,'تحليل التكلفة والسعر'!$B$2:$B$700,0)),0))</f>
        <v>5.55052655</v>
      </c>
      <c r="H1990" s="104" t="s">
        <v>719</v>
      </c>
    </row>
    <row r="1991" customFormat="false" ht="15" hidden="false" customHeight="false" outlineLevel="0" collapsed="false">
      <c r="A1991" s="103" t="n">
        <v>46305</v>
      </c>
      <c r="B1991" s="104" t="s">
        <v>34</v>
      </c>
      <c r="C1991" s="104" t="s">
        <v>509</v>
      </c>
      <c r="D1991" s="105" t="n">
        <v>0.1667</v>
      </c>
      <c r="E1991" s="106" t="n">
        <v>90</v>
      </c>
      <c r="F1991" s="107" t="n">
        <f aca="false">IF($C1991="","",$D1991*$E1991)</f>
        <v>15.003</v>
      </c>
      <c r="G1991" s="107" t="n">
        <f aca="false">IF($C1991="","",$D1991*IFERROR(INDEX('تحليل التكلفة والسعر'!$C$2:$C$700,MATCH($C1991,'تحليل التكلفة والسعر'!$B$2:$B$700,0)),0))</f>
        <v>5.55052655</v>
      </c>
      <c r="H1991" s="104" t="s">
        <v>719</v>
      </c>
    </row>
    <row r="1992" customFormat="false" ht="15" hidden="false" customHeight="false" outlineLevel="0" collapsed="false">
      <c r="A1992" s="103" t="n">
        <v>46306</v>
      </c>
      <c r="B1992" s="104" t="s">
        <v>34</v>
      </c>
      <c r="C1992" s="104" t="s">
        <v>509</v>
      </c>
      <c r="D1992" s="105" t="n">
        <v>0.1667</v>
      </c>
      <c r="E1992" s="106" t="n">
        <v>90</v>
      </c>
      <c r="F1992" s="107" t="n">
        <f aca="false">IF($C1992="","",$D1992*$E1992)</f>
        <v>15.003</v>
      </c>
      <c r="G1992" s="107" t="n">
        <f aca="false">IF($C1992="","",$D1992*IFERROR(INDEX('تحليل التكلفة والسعر'!$C$2:$C$700,MATCH($C1992,'تحليل التكلفة والسعر'!$B$2:$B$700,0)),0))</f>
        <v>5.55052655</v>
      </c>
      <c r="H1992" s="104" t="s">
        <v>719</v>
      </c>
    </row>
    <row r="1993" customFormat="false" ht="15" hidden="false" customHeight="false" outlineLevel="0" collapsed="false">
      <c r="A1993" s="103" t="n">
        <v>46307</v>
      </c>
      <c r="B1993" s="104" t="s">
        <v>34</v>
      </c>
      <c r="C1993" s="104" t="s">
        <v>509</v>
      </c>
      <c r="D1993" s="105" t="n">
        <v>0.1667</v>
      </c>
      <c r="E1993" s="106" t="n">
        <v>90</v>
      </c>
      <c r="F1993" s="107" t="n">
        <f aca="false">IF($C1993="","",$D1993*$E1993)</f>
        <v>15.003</v>
      </c>
      <c r="G1993" s="107" t="n">
        <f aca="false">IF($C1993="","",$D1993*IFERROR(INDEX('تحليل التكلفة والسعر'!$C$2:$C$700,MATCH($C1993,'تحليل التكلفة والسعر'!$B$2:$B$700,0)),0))</f>
        <v>5.55052655</v>
      </c>
      <c r="H1993" s="104" t="s">
        <v>719</v>
      </c>
    </row>
    <row r="1994" customFormat="false" ht="15" hidden="false" customHeight="false" outlineLevel="0" collapsed="false">
      <c r="A1994" s="103" t="n">
        <v>46296</v>
      </c>
      <c r="B1994" s="104" t="s">
        <v>34</v>
      </c>
      <c r="C1994" s="104" t="s">
        <v>454</v>
      </c>
      <c r="D1994" s="105" t="n">
        <v>3.9167</v>
      </c>
      <c r="E1994" s="106" t="n">
        <v>204.0426</v>
      </c>
      <c r="F1994" s="107" t="n">
        <f aca="false">IF($C1994="","",$D1994*$E1994)</f>
        <v>799.17365142</v>
      </c>
      <c r="G1994" s="107" t="n">
        <f aca="false">IF($C1994="","",$D1994*IFERROR(INDEX('تحليل التكلفة والسعر'!$C$2:$C$700,MATCH($C1994,'تحليل التكلفة والسعر'!$B$2:$B$700,0)),0))</f>
        <v>407.85184605</v>
      </c>
      <c r="H1994" s="104" t="s">
        <v>719</v>
      </c>
    </row>
    <row r="1995" customFormat="false" ht="15" hidden="false" customHeight="false" outlineLevel="0" collapsed="false">
      <c r="A1995" s="103" t="n">
        <v>46297</v>
      </c>
      <c r="B1995" s="104" t="s">
        <v>34</v>
      </c>
      <c r="C1995" s="104" t="s">
        <v>454</v>
      </c>
      <c r="D1995" s="105" t="n">
        <v>3.9167</v>
      </c>
      <c r="E1995" s="106" t="n">
        <v>204.0426</v>
      </c>
      <c r="F1995" s="107" t="n">
        <f aca="false">IF($C1995="","",$D1995*$E1995)</f>
        <v>799.17365142</v>
      </c>
      <c r="G1995" s="107" t="n">
        <f aca="false">IF($C1995="","",$D1995*IFERROR(INDEX('تحليل التكلفة والسعر'!$C$2:$C$700,MATCH($C1995,'تحليل التكلفة والسعر'!$B$2:$B$700,0)),0))</f>
        <v>407.85184605</v>
      </c>
      <c r="H1995" s="104" t="s">
        <v>719</v>
      </c>
    </row>
    <row r="1996" customFormat="false" ht="15" hidden="false" customHeight="false" outlineLevel="0" collapsed="false">
      <c r="A1996" s="103" t="n">
        <v>46298</v>
      </c>
      <c r="B1996" s="104" t="s">
        <v>34</v>
      </c>
      <c r="C1996" s="104" t="s">
        <v>454</v>
      </c>
      <c r="D1996" s="105" t="n">
        <v>3.9167</v>
      </c>
      <c r="E1996" s="106" t="n">
        <v>204.0426</v>
      </c>
      <c r="F1996" s="107" t="n">
        <f aca="false">IF($C1996="","",$D1996*$E1996)</f>
        <v>799.17365142</v>
      </c>
      <c r="G1996" s="107" t="n">
        <f aca="false">IF($C1996="","",$D1996*IFERROR(INDEX('تحليل التكلفة والسعر'!$C$2:$C$700,MATCH($C1996,'تحليل التكلفة والسعر'!$B$2:$B$700,0)),0))</f>
        <v>407.85184605</v>
      </c>
      <c r="H1996" s="104" t="s">
        <v>719</v>
      </c>
    </row>
    <row r="1997" customFormat="false" ht="15" hidden="false" customHeight="false" outlineLevel="0" collapsed="false">
      <c r="A1997" s="103" t="n">
        <v>46299</v>
      </c>
      <c r="B1997" s="104" t="s">
        <v>34</v>
      </c>
      <c r="C1997" s="104" t="s">
        <v>454</v>
      </c>
      <c r="D1997" s="105" t="n">
        <v>3.9167</v>
      </c>
      <c r="E1997" s="106" t="n">
        <v>204.0426</v>
      </c>
      <c r="F1997" s="107" t="n">
        <f aca="false">IF($C1997="","",$D1997*$E1997)</f>
        <v>799.17365142</v>
      </c>
      <c r="G1997" s="107" t="n">
        <f aca="false">IF($C1997="","",$D1997*IFERROR(INDEX('تحليل التكلفة والسعر'!$C$2:$C$700,MATCH($C1997,'تحليل التكلفة والسعر'!$B$2:$B$700,0)),0))</f>
        <v>407.85184605</v>
      </c>
      <c r="H1997" s="104" t="s">
        <v>719</v>
      </c>
    </row>
    <row r="1998" customFormat="false" ht="15" hidden="false" customHeight="false" outlineLevel="0" collapsed="false">
      <c r="A1998" s="103" t="n">
        <v>46300</v>
      </c>
      <c r="B1998" s="104" t="s">
        <v>34</v>
      </c>
      <c r="C1998" s="104" t="s">
        <v>454</v>
      </c>
      <c r="D1998" s="105" t="n">
        <v>3.9167</v>
      </c>
      <c r="E1998" s="106" t="n">
        <v>204.0426</v>
      </c>
      <c r="F1998" s="107" t="n">
        <f aca="false">IF($C1998="","",$D1998*$E1998)</f>
        <v>799.17365142</v>
      </c>
      <c r="G1998" s="107" t="n">
        <f aca="false">IF($C1998="","",$D1998*IFERROR(INDEX('تحليل التكلفة والسعر'!$C$2:$C$700,MATCH($C1998,'تحليل التكلفة والسعر'!$B$2:$B$700,0)),0))</f>
        <v>407.85184605</v>
      </c>
      <c r="H1998" s="104" t="s">
        <v>719</v>
      </c>
    </row>
    <row r="1999" customFormat="false" ht="15" hidden="false" customHeight="false" outlineLevel="0" collapsed="false">
      <c r="A1999" s="103" t="n">
        <v>46301</v>
      </c>
      <c r="B1999" s="104" t="s">
        <v>34</v>
      </c>
      <c r="C1999" s="104" t="s">
        <v>454</v>
      </c>
      <c r="D1999" s="105" t="n">
        <v>3.9167</v>
      </c>
      <c r="E1999" s="106" t="n">
        <v>204.0426</v>
      </c>
      <c r="F1999" s="107" t="n">
        <f aca="false">IF($C1999="","",$D1999*$E1999)</f>
        <v>799.17365142</v>
      </c>
      <c r="G1999" s="107" t="n">
        <f aca="false">IF($C1999="","",$D1999*IFERROR(INDEX('تحليل التكلفة والسعر'!$C$2:$C$700,MATCH($C1999,'تحليل التكلفة والسعر'!$B$2:$B$700,0)),0))</f>
        <v>407.85184605</v>
      </c>
      <c r="H1999" s="104" t="s">
        <v>719</v>
      </c>
    </row>
    <row r="2000" customFormat="false" ht="15" hidden="false" customHeight="false" outlineLevel="0" collapsed="false">
      <c r="A2000" s="103" t="n">
        <v>46302</v>
      </c>
      <c r="B2000" s="104" t="s">
        <v>34</v>
      </c>
      <c r="C2000" s="104" t="s">
        <v>454</v>
      </c>
      <c r="D2000" s="105" t="n">
        <v>3.9167</v>
      </c>
      <c r="E2000" s="106" t="n">
        <v>204.0426</v>
      </c>
      <c r="F2000" s="107" t="n">
        <f aca="false">IF($C2000="","",$D2000*$E2000)</f>
        <v>799.17365142</v>
      </c>
      <c r="G2000" s="107" t="n">
        <f aca="false">IF($C2000="","",$D2000*IFERROR(INDEX('تحليل التكلفة والسعر'!$C$2:$C$700,MATCH($C2000,'تحليل التكلفة والسعر'!$B$2:$B$700,0)),0))</f>
        <v>407.85184605</v>
      </c>
      <c r="H2000" s="104" t="s">
        <v>719</v>
      </c>
    </row>
    <row r="2001" customFormat="false" ht="15" hidden="false" customHeight="false" outlineLevel="0" collapsed="false">
      <c r="A2001" s="103" t="n">
        <v>46303</v>
      </c>
      <c r="B2001" s="104" t="s">
        <v>34</v>
      </c>
      <c r="C2001" s="104" t="s">
        <v>454</v>
      </c>
      <c r="D2001" s="105" t="n">
        <v>3.9167</v>
      </c>
      <c r="E2001" s="106" t="n">
        <v>204.0426</v>
      </c>
      <c r="F2001" s="107" t="n">
        <f aca="false">IF($C2001="","",$D2001*$E2001)</f>
        <v>799.17365142</v>
      </c>
      <c r="G2001" s="107" t="n">
        <f aca="false">IF($C2001="","",$D2001*IFERROR(INDEX('تحليل التكلفة والسعر'!$C$2:$C$700,MATCH($C2001,'تحليل التكلفة والسعر'!$B$2:$B$700,0)),0))</f>
        <v>407.85184605</v>
      </c>
      <c r="H2001" s="104" t="s">
        <v>719</v>
      </c>
    </row>
    <row r="2002" customFormat="false" ht="15" hidden="false" customHeight="false" outlineLevel="0" collapsed="false">
      <c r="A2002" s="103" t="n">
        <v>46304</v>
      </c>
      <c r="B2002" s="104" t="s">
        <v>34</v>
      </c>
      <c r="C2002" s="104" t="s">
        <v>454</v>
      </c>
      <c r="D2002" s="105" t="n">
        <v>3.9167</v>
      </c>
      <c r="E2002" s="106" t="n">
        <v>204.0426</v>
      </c>
      <c r="F2002" s="107" t="n">
        <f aca="false">IF($C2002="","",$D2002*$E2002)</f>
        <v>799.17365142</v>
      </c>
      <c r="G2002" s="107" t="n">
        <f aca="false">IF($C2002="","",$D2002*IFERROR(INDEX('تحليل التكلفة والسعر'!$C$2:$C$700,MATCH($C2002,'تحليل التكلفة والسعر'!$B$2:$B$700,0)),0))</f>
        <v>407.85184605</v>
      </c>
      <c r="H2002" s="104" t="s">
        <v>719</v>
      </c>
    </row>
    <row r="2003" customFormat="false" ht="15" hidden="false" customHeight="false" outlineLevel="0" collapsed="false">
      <c r="A2003" s="103" t="n">
        <v>46305</v>
      </c>
      <c r="B2003" s="104" t="s">
        <v>34</v>
      </c>
      <c r="C2003" s="104" t="s">
        <v>454</v>
      </c>
      <c r="D2003" s="105" t="n">
        <v>3.9167</v>
      </c>
      <c r="E2003" s="106" t="n">
        <v>204.0426</v>
      </c>
      <c r="F2003" s="107" t="n">
        <f aca="false">IF($C2003="","",$D2003*$E2003)</f>
        <v>799.17365142</v>
      </c>
      <c r="G2003" s="107" t="n">
        <f aca="false">IF($C2003="","",$D2003*IFERROR(INDEX('تحليل التكلفة والسعر'!$C$2:$C$700,MATCH($C2003,'تحليل التكلفة والسعر'!$B$2:$B$700,0)),0))</f>
        <v>407.85184605</v>
      </c>
      <c r="H2003" s="104" t="s">
        <v>719</v>
      </c>
    </row>
    <row r="2004" customFormat="false" ht="15" hidden="false" customHeight="false" outlineLevel="0" collapsed="false">
      <c r="A2004" s="103" t="n">
        <v>46306</v>
      </c>
      <c r="B2004" s="104" t="s">
        <v>34</v>
      </c>
      <c r="C2004" s="104" t="s">
        <v>454</v>
      </c>
      <c r="D2004" s="105" t="n">
        <v>3.9167</v>
      </c>
      <c r="E2004" s="106" t="n">
        <v>204.0426</v>
      </c>
      <c r="F2004" s="107" t="n">
        <f aca="false">IF($C2004="","",$D2004*$E2004)</f>
        <v>799.17365142</v>
      </c>
      <c r="G2004" s="107" t="n">
        <f aca="false">IF($C2004="","",$D2004*IFERROR(INDEX('تحليل التكلفة والسعر'!$C$2:$C$700,MATCH($C2004,'تحليل التكلفة والسعر'!$B$2:$B$700,0)),0))</f>
        <v>407.85184605</v>
      </c>
      <c r="H2004" s="104" t="s">
        <v>719</v>
      </c>
    </row>
    <row r="2005" customFormat="false" ht="15" hidden="false" customHeight="false" outlineLevel="0" collapsed="false">
      <c r="A2005" s="103" t="n">
        <v>46307</v>
      </c>
      <c r="B2005" s="104" t="s">
        <v>34</v>
      </c>
      <c r="C2005" s="104" t="s">
        <v>454</v>
      </c>
      <c r="D2005" s="105" t="n">
        <v>3.9167</v>
      </c>
      <c r="E2005" s="106" t="n">
        <v>204.0426</v>
      </c>
      <c r="F2005" s="107" t="n">
        <f aca="false">IF($C2005="","",$D2005*$E2005)</f>
        <v>799.17365142</v>
      </c>
      <c r="G2005" s="107" t="n">
        <f aca="false">IF($C2005="","",$D2005*IFERROR(INDEX('تحليل التكلفة والسعر'!$C$2:$C$700,MATCH($C2005,'تحليل التكلفة والسعر'!$B$2:$B$700,0)),0))</f>
        <v>407.85184605</v>
      </c>
      <c r="H2005" s="104" t="s">
        <v>719</v>
      </c>
    </row>
    <row r="2006" customFormat="false" ht="15" hidden="false" customHeight="false" outlineLevel="0" collapsed="false">
      <c r="A2006" s="103" t="n">
        <v>46296</v>
      </c>
      <c r="B2006" s="104" t="s">
        <v>34</v>
      </c>
      <c r="C2006" s="104" t="s">
        <v>523</v>
      </c>
      <c r="D2006" s="105" t="n">
        <v>33.0833</v>
      </c>
      <c r="E2006" s="106" t="n">
        <v>52.7834</v>
      </c>
      <c r="F2006" s="107" t="n">
        <f aca="false">IF($C2006="","",$D2006*$E2006)</f>
        <v>1746.24905722</v>
      </c>
      <c r="G2006" s="107" t="n">
        <f aca="false">IF($C2006="","",$D2006*IFERROR(INDEX('تحليل التكلفة والسعر'!$C$2:$C$700,MATCH($C2006,'تحليل التكلفة والسعر'!$B$2:$B$700,0)),0))</f>
        <v>2524.13999845</v>
      </c>
      <c r="H2006" s="104" t="s">
        <v>719</v>
      </c>
    </row>
    <row r="2007" customFormat="false" ht="15" hidden="false" customHeight="false" outlineLevel="0" collapsed="false">
      <c r="A2007" s="103" t="n">
        <v>46297</v>
      </c>
      <c r="B2007" s="104" t="s">
        <v>34</v>
      </c>
      <c r="C2007" s="104" t="s">
        <v>523</v>
      </c>
      <c r="D2007" s="105" t="n">
        <v>33.0833</v>
      </c>
      <c r="E2007" s="106" t="n">
        <v>52.7834</v>
      </c>
      <c r="F2007" s="107" t="n">
        <f aca="false">IF($C2007="","",$D2007*$E2007)</f>
        <v>1746.24905722</v>
      </c>
      <c r="G2007" s="107" t="n">
        <f aca="false">IF($C2007="","",$D2007*IFERROR(INDEX('تحليل التكلفة والسعر'!$C$2:$C$700,MATCH($C2007,'تحليل التكلفة والسعر'!$B$2:$B$700,0)),0))</f>
        <v>2524.13999845</v>
      </c>
      <c r="H2007" s="104" t="s">
        <v>719</v>
      </c>
    </row>
    <row r="2008" customFormat="false" ht="15" hidden="false" customHeight="false" outlineLevel="0" collapsed="false">
      <c r="A2008" s="103" t="n">
        <v>46298</v>
      </c>
      <c r="B2008" s="104" t="s">
        <v>34</v>
      </c>
      <c r="C2008" s="104" t="s">
        <v>523</v>
      </c>
      <c r="D2008" s="105" t="n">
        <v>33.0833</v>
      </c>
      <c r="E2008" s="106" t="n">
        <v>52.7834</v>
      </c>
      <c r="F2008" s="107" t="n">
        <f aca="false">IF($C2008="","",$D2008*$E2008)</f>
        <v>1746.24905722</v>
      </c>
      <c r="G2008" s="107" t="n">
        <f aca="false">IF($C2008="","",$D2008*IFERROR(INDEX('تحليل التكلفة والسعر'!$C$2:$C$700,MATCH($C2008,'تحليل التكلفة والسعر'!$B$2:$B$700,0)),0))</f>
        <v>2524.13999845</v>
      </c>
      <c r="H2008" s="104" t="s">
        <v>719</v>
      </c>
    </row>
    <row r="2009" customFormat="false" ht="15" hidden="false" customHeight="false" outlineLevel="0" collapsed="false">
      <c r="A2009" s="103" t="n">
        <v>46299</v>
      </c>
      <c r="B2009" s="104" t="s">
        <v>34</v>
      </c>
      <c r="C2009" s="104" t="s">
        <v>523</v>
      </c>
      <c r="D2009" s="105" t="n">
        <v>33.0833</v>
      </c>
      <c r="E2009" s="106" t="n">
        <v>52.7834</v>
      </c>
      <c r="F2009" s="107" t="n">
        <f aca="false">IF($C2009="","",$D2009*$E2009)</f>
        <v>1746.24905722</v>
      </c>
      <c r="G2009" s="107" t="n">
        <f aca="false">IF($C2009="","",$D2009*IFERROR(INDEX('تحليل التكلفة والسعر'!$C$2:$C$700,MATCH($C2009,'تحليل التكلفة والسعر'!$B$2:$B$700,0)),0))</f>
        <v>2524.13999845</v>
      </c>
      <c r="H2009" s="104" t="s">
        <v>719</v>
      </c>
    </row>
    <row r="2010" customFormat="false" ht="15" hidden="false" customHeight="false" outlineLevel="0" collapsed="false">
      <c r="A2010" s="103" t="n">
        <v>46300</v>
      </c>
      <c r="B2010" s="104" t="s">
        <v>34</v>
      </c>
      <c r="C2010" s="104" t="s">
        <v>523</v>
      </c>
      <c r="D2010" s="105" t="n">
        <v>33.0833</v>
      </c>
      <c r="E2010" s="106" t="n">
        <v>52.7834</v>
      </c>
      <c r="F2010" s="107" t="n">
        <f aca="false">IF($C2010="","",$D2010*$E2010)</f>
        <v>1746.24905722</v>
      </c>
      <c r="G2010" s="107" t="n">
        <f aca="false">IF($C2010="","",$D2010*IFERROR(INDEX('تحليل التكلفة والسعر'!$C$2:$C$700,MATCH($C2010,'تحليل التكلفة والسعر'!$B$2:$B$700,0)),0))</f>
        <v>2524.13999845</v>
      </c>
      <c r="H2010" s="104" t="s">
        <v>719</v>
      </c>
    </row>
    <row r="2011" customFormat="false" ht="15" hidden="false" customHeight="false" outlineLevel="0" collapsed="false">
      <c r="A2011" s="103" t="n">
        <v>46301</v>
      </c>
      <c r="B2011" s="104" t="s">
        <v>34</v>
      </c>
      <c r="C2011" s="104" t="s">
        <v>523</v>
      </c>
      <c r="D2011" s="105" t="n">
        <v>33.0833</v>
      </c>
      <c r="E2011" s="106" t="n">
        <v>52.7834</v>
      </c>
      <c r="F2011" s="107" t="n">
        <f aca="false">IF($C2011="","",$D2011*$E2011)</f>
        <v>1746.24905722</v>
      </c>
      <c r="G2011" s="107" t="n">
        <f aca="false">IF($C2011="","",$D2011*IFERROR(INDEX('تحليل التكلفة والسعر'!$C$2:$C$700,MATCH($C2011,'تحليل التكلفة والسعر'!$B$2:$B$700,0)),0))</f>
        <v>2524.13999845</v>
      </c>
      <c r="H2011" s="104" t="s">
        <v>719</v>
      </c>
    </row>
    <row r="2012" customFormat="false" ht="15" hidden="false" customHeight="false" outlineLevel="0" collapsed="false">
      <c r="A2012" s="103" t="n">
        <v>46302</v>
      </c>
      <c r="B2012" s="104" t="s">
        <v>34</v>
      </c>
      <c r="C2012" s="104" t="s">
        <v>523</v>
      </c>
      <c r="D2012" s="105" t="n">
        <v>33.0833</v>
      </c>
      <c r="E2012" s="106" t="n">
        <v>52.7834</v>
      </c>
      <c r="F2012" s="107" t="n">
        <f aca="false">IF($C2012="","",$D2012*$E2012)</f>
        <v>1746.24905722</v>
      </c>
      <c r="G2012" s="107" t="n">
        <f aca="false">IF($C2012="","",$D2012*IFERROR(INDEX('تحليل التكلفة والسعر'!$C$2:$C$700,MATCH($C2012,'تحليل التكلفة والسعر'!$B$2:$B$700,0)),0))</f>
        <v>2524.13999845</v>
      </c>
      <c r="H2012" s="104" t="s">
        <v>719</v>
      </c>
    </row>
    <row r="2013" customFormat="false" ht="15" hidden="false" customHeight="false" outlineLevel="0" collapsed="false">
      <c r="A2013" s="103" t="n">
        <v>46303</v>
      </c>
      <c r="B2013" s="104" t="s">
        <v>34</v>
      </c>
      <c r="C2013" s="104" t="s">
        <v>523</v>
      </c>
      <c r="D2013" s="105" t="n">
        <v>33.0833</v>
      </c>
      <c r="E2013" s="106" t="n">
        <v>52.7834</v>
      </c>
      <c r="F2013" s="107" t="n">
        <f aca="false">IF($C2013="","",$D2013*$E2013)</f>
        <v>1746.24905722</v>
      </c>
      <c r="G2013" s="107" t="n">
        <f aca="false">IF($C2013="","",$D2013*IFERROR(INDEX('تحليل التكلفة والسعر'!$C$2:$C$700,MATCH($C2013,'تحليل التكلفة والسعر'!$B$2:$B$700,0)),0))</f>
        <v>2524.13999845</v>
      </c>
      <c r="H2013" s="104" t="s">
        <v>719</v>
      </c>
    </row>
    <row r="2014" customFormat="false" ht="15" hidden="false" customHeight="false" outlineLevel="0" collapsed="false">
      <c r="A2014" s="103" t="n">
        <v>46304</v>
      </c>
      <c r="B2014" s="104" t="s">
        <v>34</v>
      </c>
      <c r="C2014" s="104" t="s">
        <v>523</v>
      </c>
      <c r="D2014" s="105" t="n">
        <v>33.0833</v>
      </c>
      <c r="E2014" s="106" t="n">
        <v>52.7834</v>
      </c>
      <c r="F2014" s="107" t="n">
        <f aca="false">IF($C2014="","",$D2014*$E2014)</f>
        <v>1746.24905722</v>
      </c>
      <c r="G2014" s="107" t="n">
        <f aca="false">IF($C2014="","",$D2014*IFERROR(INDEX('تحليل التكلفة والسعر'!$C$2:$C$700,MATCH($C2014,'تحليل التكلفة والسعر'!$B$2:$B$700,0)),0))</f>
        <v>2524.13999845</v>
      </c>
      <c r="H2014" s="104" t="s">
        <v>719</v>
      </c>
    </row>
    <row r="2015" customFormat="false" ht="15" hidden="false" customHeight="false" outlineLevel="0" collapsed="false">
      <c r="A2015" s="103" t="n">
        <v>46305</v>
      </c>
      <c r="B2015" s="104" t="s">
        <v>34</v>
      </c>
      <c r="C2015" s="104" t="s">
        <v>523</v>
      </c>
      <c r="D2015" s="105" t="n">
        <v>33.0833</v>
      </c>
      <c r="E2015" s="106" t="n">
        <v>52.7834</v>
      </c>
      <c r="F2015" s="107" t="n">
        <f aca="false">IF($C2015="","",$D2015*$E2015)</f>
        <v>1746.24905722</v>
      </c>
      <c r="G2015" s="107" t="n">
        <f aca="false">IF($C2015="","",$D2015*IFERROR(INDEX('تحليل التكلفة والسعر'!$C$2:$C$700,MATCH($C2015,'تحليل التكلفة والسعر'!$B$2:$B$700,0)),0))</f>
        <v>2524.13999845</v>
      </c>
      <c r="H2015" s="104" t="s">
        <v>719</v>
      </c>
    </row>
    <row r="2016" customFormat="false" ht="15" hidden="false" customHeight="false" outlineLevel="0" collapsed="false">
      <c r="A2016" s="103" t="n">
        <v>46306</v>
      </c>
      <c r="B2016" s="104" t="s">
        <v>34</v>
      </c>
      <c r="C2016" s="104" t="s">
        <v>523</v>
      </c>
      <c r="D2016" s="105" t="n">
        <v>33.0833</v>
      </c>
      <c r="E2016" s="106" t="n">
        <v>52.7834</v>
      </c>
      <c r="F2016" s="107" t="n">
        <f aca="false">IF($C2016="","",$D2016*$E2016)</f>
        <v>1746.24905722</v>
      </c>
      <c r="G2016" s="107" t="n">
        <f aca="false">IF($C2016="","",$D2016*IFERROR(INDEX('تحليل التكلفة والسعر'!$C$2:$C$700,MATCH($C2016,'تحليل التكلفة والسعر'!$B$2:$B$700,0)),0))</f>
        <v>2524.13999845</v>
      </c>
      <c r="H2016" s="104" t="s">
        <v>719</v>
      </c>
    </row>
    <row r="2017" customFormat="false" ht="15" hidden="false" customHeight="false" outlineLevel="0" collapsed="false">
      <c r="A2017" s="103" t="n">
        <v>46307</v>
      </c>
      <c r="B2017" s="104" t="s">
        <v>34</v>
      </c>
      <c r="C2017" s="104" t="s">
        <v>523</v>
      </c>
      <c r="D2017" s="105" t="n">
        <v>33.0833</v>
      </c>
      <c r="E2017" s="106" t="n">
        <v>52.7834</v>
      </c>
      <c r="F2017" s="107" t="n">
        <f aca="false">IF($C2017="","",$D2017*$E2017)</f>
        <v>1746.24905722</v>
      </c>
      <c r="G2017" s="107" t="n">
        <f aca="false">IF($C2017="","",$D2017*IFERROR(INDEX('تحليل التكلفة والسعر'!$C$2:$C$700,MATCH($C2017,'تحليل التكلفة والسعر'!$B$2:$B$700,0)),0))</f>
        <v>2524.13999845</v>
      </c>
      <c r="H2017" s="104" t="s">
        <v>719</v>
      </c>
    </row>
    <row r="2018" customFormat="false" ht="15" hidden="false" customHeight="false" outlineLevel="0" collapsed="false">
      <c r="A2018" s="103" t="n">
        <v>46296</v>
      </c>
      <c r="B2018" s="104" t="s">
        <v>34</v>
      </c>
      <c r="C2018" s="104" t="s">
        <v>750</v>
      </c>
      <c r="D2018" s="105" t="n">
        <v>43.2083</v>
      </c>
      <c r="E2018" s="106" t="n">
        <v>22.1986</v>
      </c>
      <c r="F2018" s="107" t="n">
        <f aca="false">IF($C2018="","",$D2018*$E2018)</f>
        <v>959.16376838</v>
      </c>
      <c r="G2018" s="107" t="n">
        <f aca="false">IF($C2018="","",$D2018*IFERROR(INDEX('تحليل التكلفة والسعر'!$C$2:$C$700,MATCH($C2018,'تحليل التكلفة والسعر'!$B$2:$B$700,0)),0))</f>
        <v>836.2090200676</v>
      </c>
      <c r="H2018" s="104" t="s">
        <v>719</v>
      </c>
    </row>
    <row r="2019" customFormat="false" ht="15" hidden="false" customHeight="false" outlineLevel="0" collapsed="false">
      <c r="A2019" s="103" t="n">
        <v>46297</v>
      </c>
      <c r="B2019" s="104" t="s">
        <v>34</v>
      </c>
      <c r="C2019" s="104" t="s">
        <v>750</v>
      </c>
      <c r="D2019" s="105" t="n">
        <v>43.2083</v>
      </c>
      <c r="E2019" s="106" t="n">
        <v>22.1986</v>
      </c>
      <c r="F2019" s="107" t="n">
        <f aca="false">IF($C2019="","",$D2019*$E2019)</f>
        <v>959.16376838</v>
      </c>
      <c r="G2019" s="107" t="n">
        <f aca="false">IF($C2019="","",$D2019*IFERROR(INDEX('تحليل التكلفة والسعر'!$C$2:$C$700,MATCH($C2019,'تحليل التكلفة والسعر'!$B$2:$B$700,0)),0))</f>
        <v>836.2090200676</v>
      </c>
      <c r="H2019" s="104" t="s">
        <v>719</v>
      </c>
    </row>
    <row r="2020" customFormat="false" ht="15" hidden="false" customHeight="false" outlineLevel="0" collapsed="false">
      <c r="A2020" s="103" t="n">
        <v>46298</v>
      </c>
      <c r="B2020" s="104" t="s">
        <v>34</v>
      </c>
      <c r="C2020" s="104" t="s">
        <v>750</v>
      </c>
      <c r="D2020" s="105" t="n">
        <v>43.2083</v>
      </c>
      <c r="E2020" s="106" t="n">
        <v>22.1986</v>
      </c>
      <c r="F2020" s="107" t="n">
        <f aca="false">IF($C2020="","",$D2020*$E2020)</f>
        <v>959.16376838</v>
      </c>
      <c r="G2020" s="107" t="n">
        <f aca="false">IF($C2020="","",$D2020*IFERROR(INDEX('تحليل التكلفة والسعر'!$C$2:$C$700,MATCH($C2020,'تحليل التكلفة والسعر'!$B$2:$B$700,0)),0))</f>
        <v>836.2090200676</v>
      </c>
      <c r="H2020" s="104" t="s">
        <v>719</v>
      </c>
    </row>
    <row r="2021" customFormat="false" ht="15" hidden="false" customHeight="false" outlineLevel="0" collapsed="false">
      <c r="A2021" s="103" t="n">
        <v>46299</v>
      </c>
      <c r="B2021" s="104" t="s">
        <v>34</v>
      </c>
      <c r="C2021" s="104" t="s">
        <v>750</v>
      </c>
      <c r="D2021" s="105" t="n">
        <v>43.2083</v>
      </c>
      <c r="E2021" s="106" t="n">
        <v>22.1986</v>
      </c>
      <c r="F2021" s="107" t="n">
        <f aca="false">IF($C2021="","",$D2021*$E2021)</f>
        <v>959.16376838</v>
      </c>
      <c r="G2021" s="107" t="n">
        <f aca="false">IF($C2021="","",$D2021*IFERROR(INDEX('تحليل التكلفة والسعر'!$C$2:$C$700,MATCH($C2021,'تحليل التكلفة والسعر'!$B$2:$B$700,0)),0))</f>
        <v>836.2090200676</v>
      </c>
      <c r="H2021" s="104" t="s">
        <v>719</v>
      </c>
    </row>
    <row r="2022" customFormat="false" ht="15" hidden="false" customHeight="false" outlineLevel="0" collapsed="false">
      <c r="A2022" s="103" t="n">
        <v>46300</v>
      </c>
      <c r="B2022" s="104" t="s">
        <v>34</v>
      </c>
      <c r="C2022" s="104" t="s">
        <v>750</v>
      </c>
      <c r="D2022" s="105" t="n">
        <v>43.2083</v>
      </c>
      <c r="E2022" s="106" t="n">
        <v>22.1986</v>
      </c>
      <c r="F2022" s="107" t="n">
        <f aca="false">IF($C2022="","",$D2022*$E2022)</f>
        <v>959.16376838</v>
      </c>
      <c r="G2022" s="107" t="n">
        <f aca="false">IF($C2022="","",$D2022*IFERROR(INDEX('تحليل التكلفة والسعر'!$C$2:$C$700,MATCH($C2022,'تحليل التكلفة والسعر'!$B$2:$B$700,0)),0))</f>
        <v>836.2090200676</v>
      </c>
      <c r="H2022" s="104" t="s">
        <v>719</v>
      </c>
    </row>
    <row r="2023" customFormat="false" ht="15" hidden="false" customHeight="false" outlineLevel="0" collapsed="false">
      <c r="A2023" s="103" t="n">
        <v>46301</v>
      </c>
      <c r="B2023" s="104" t="s">
        <v>34</v>
      </c>
      <c r="C2023" s="104" t="s">
        <v>750</v>
      </c>
      <c r="D2023" s="105" t="n">
        <v>43.2083</v>
      </c>
      <c r="E2023" s="106" t="n">
        <v>22.1986</v>
      </c>
      <c r="F2023" s="107" t="n">
        <f aca="false">IF($C2023="","",$D2023*$E2023)</f>
        <v>959.16376838</v>
      </c>
      <c r="G2023" s="107" t="n">
        <f aca="false">IF($C2023="","",$D2023*IFERROR(INDEX('تحليل التكلفة والسعر'!$C$2:$C$700,MATCH($C2023,'تحليل التكلفة والسعر'!$B$2:$B$700,0)),0))</f>
        <v>836.2090200676</v>
      </c>
      <c r="H2023" s="104" t="s">
        <v>719</v>
      </c>
    </row>
    <row r="2024" customFormat="false" ht="15" hidden="false" customHeight="false" outlineLevel="0" collapsed="false">
      <c r="A2024" s="103" t="n">
        <v>46302</v>
      </c>
      <c r="B2024" s="104" t="s">
        <v>34</v>
      </c>
      <c r="C2024" s="104" t="s">
        <v>750</v>
      </c>
      <c r="D2024" s="105" t="n">
        <v>43.2083</v>
      </c>
      <c r="E2024" s="106" t="n">
        <v>22.1986</v>
      </c>
      <c r="F2024" s="107" t="n">
        <f aca="false">IF($C2024="","",$D2024*$E2024)</f>
        <v>959.16376838</v>
      </c>
      <c r="G2024" s="107" t="n">
        <f aca="false">IF($C2024="","",$D2024*IFERROR(INDEX('تحليل التكلفة والسعر'!$C$2:$C$700,MATCH($C2024,'تحليل التكلفة والسعر'!$B$2:$B$700,0)),0))</f>
        <v>836.2090200676</v>
      </c>
      <c r="H2024" s="104" t="s">
        <v>719</v>
      </c>
    </row>
    <row r="2025" customFormat="false" ht="15" hidden="false" customHeight="false" outlineLevel="0" collapsed="false">
      <c r="A2025" s="103" t="n">
        <v>46303</v>
      </c>
      <c r="B2025" s="104" t="s">
        <v>34</v>
      </c>
      <c r="C2025" s="104" t="s">
        <v>750</v>
      </c>
      <c r="D2025" s="105" t="n">
        <v>43.2083</v>
      </c>
      <c r="E2025" s="106" t="n">
        <v>22.1986</v>
      </c>
      <c r="F2025" s="107" t="n">
        <f aca="false">IF($C2025="","",$D2025*$E2025)</f>
        <v>959.16376838</v>
      </c>
      <c r="G2025" s="107" t="n">
        <f aca="false">IF($C2025="","",$D2025*IFERROR(INDEX('تحليل التكلفة والسعر'!$C$2:$C$700,MATCH($C2025,'تحليل التكلفة والسعر'!$B$2:$B$700,0)),0))</f>
        <v>836.2090200676</v>
      </c>
      <c r="H2025" s="104" t="s">
        <v>719</v>
      </c>
    </row>
    <row r="2026" customFormat="false" ht="15" hidden="false" customHeight="false" outlineLevel="0" collapsed="false">
      <c r="A2026" s="103" t="n">
        <v>46304</v>
      </c>
      <c r="B2026" s="104" t="s">
        <v>34</v>
      </c>
      <c r="C2026" s="104" t="s">
        <v>750</v>
      </c>
      <c r="D2026" s="105" t="n">
        <v>43.2083</v>
      </c>
      <c r="E2026" s="106" t="n">
        <v>22.1986</v>
      </c>
      <c r="F2026" s="107" t="n">
        <f aca="false">IF($C2026="","",$D2026*$E2026)</f>
        <v>959.16376838</v>
      </c>
      <c r="G2026" s="107" t="n">
        <f aca="false">IF($C2026="","",$D2026*IFERROR(INDEX('تحليل التكلفة والسعر'!$C$2:$C$700,MATCH($C2026,'تحليل التكلفة والسعر'!$B$2:$B$700,0)),0))</f>
        <v>836.2090200676</v>
      </c>
      <c r="H2026" s="104" t="s">
        <v>719</v>
      </c>
    </row>
    <row r="2027" customFormat="false" ht="15" hidden="false" customHeight="false" outlineLevel="0" collapsed="false">
      <c r="A2027" s="103" t="n">
        <v>46305</v>
      </c>
      <c r="B2027" s="104" t="s">
        <v>34</v>
      </c>
      <c r="C2027" s="104" t="s">
        <v>750</v>
      </c>
      <c r="D2027" s="105" t="n">
        <v>43.2083</v>
      </c>
      <c r="E2027" s="106" t="n">
        <v>22.1986</v>
      </c>
      <c r="F2027" s="107" t="n">
        <f aca="false">IF($C2027="","",$D2027*$E2027)</f>
        <v>959.16376838</v>
      </c>
      <c r="G2027" s="107" t="n">
        <f aca="false">IF($C2027="","",$D2027*IFERROR(INDEX('تحليل التكلفة والسعر'!$C$2:$C$700,MATCH($C2027,'تحليل التكلفة والسعر'!$B$2:$B$700,0)),0))</f>
        <v>836.2090200676</v>
      </c>
      <c r="H2027" s="104" t="s">
        <v>719</v>
      </c>
    </row>
    <row r="2028" customFormat="false" ht="15" hidden="false" customHeight="false" outlineLevel="0" collapsed="false">
      <c r="A2028" s="103" t="n">
        <v>46306</v>
      </c>
      <c r="B2028" s="104" t="s">
        <v>34</v>
      </c>
      <c r="C2028" s="104" t="s">
        <v>750</v>
      </c>
      <c r="D2028" s="105" t="n">
        <v>43.2083</v>
      </c>
      <c r="E2028" s="106" t="n">
        <v>22.1986</v>
      </c>
      <c r="F2028" s="107" t="n">
        <f aca="false">IF($C2028="","",$D2028*$E2028)</f>
        <v>959.16376838</v>
      </c>
      <c r="G2028" s="107" t="n">
        <f aca="false">IF($C2028="","",$D2028*IFERROR(INDEX('تحليل التكلفة والسعر'!$C$2:$C$700,MATCH($C2028,'تحليل التكلفة والسعر'!$B$2:$B$700,0)),0))</f>
        <v>836.2090200676</v>
      </c>
      <c r="H2028" s="104" t="s">
        <v>719</v>
      </c>
    </row>
    <row r="2029" customFormat="false" ht="15" hidden="false" customHeight="false" outlineLevel="0" collapsed="false">
      <c r="A2029" s="103" t="n">
        <v>46307</v>
      </c>
      <c r="B2029" s="104" t="s">
        <v>34</v>
      </c>
      <c r="C2029" s="104" t="s">
        <v>750</v>
      </c>
      <c r="D2029" s="105" t="n">
        <v>43.2083</v>
      </c>
      <c r="E2029" s="106" t="n">
        <v>22.1986</v>
      </c>
      <c r="F2029" s="107" t="n">
        <f aca="false">IF($C2029="","",$D2029*$E2029)</f>
        <v>959.16376838</v>
      </c>
      <c r="G2029" s="107" t="n">
        <f aca="false">IF($C2029="","",$D2029*IFERROR(INDEX('تحليل التكلفة والسعر'!$C$2:$C$700,MATCH($C2029,'تحليل التكلفة والسعر'!$B$2:$B$700,0)),0))</f>
        <v>836.2090200676</v>
      </c>
      <c r="H2029" s="104" t="s">
        <v>719</v>
      </c>
    </row>
    <row r="2030" customFormat="false" ht="15" hidden="false" customHeight="false" outlineLevel="0" collapsed="false">
      <c r="A2030" s="103" t="n">
        <v>46296</v>
      </c>
      <c r="B2030" s="104" t="s">
        <v>34</v>
      </c>
      <c r="C2030" s="104" t="s">
        <v>758</v>
      </c>
      <c r="D2030" s="105" t="n">
        <v>0.0833</v>
      </c>
      <c r="E2030" s="106" t="n">
        <v>40</v>
      </c>
      <c r="F2030" s="107" t="n">
        <f aca="false">IF($C2030="","",$D2030*$E2030)</f>
        <v>3.332</v>
      </c>
      <c r="G2030" s="107" t="n">
        <f aca="false">IF($C2030="","",$D2030*IFERROR(INDEX('تحليل التكلفة والسعر'!$C$2:$C$700,MATCH($C2030,'تحليل التكلفة والسعر'!$B$2:$B$700,0)),0))</f>
        <v>1.2505799845</v>
      </c>
      <c r="H2030" s="104" t="s">
        <v>719</v>
      </c>
    </row>
    <row r="2031" customFormat="false" ht="15" hidden="false" customHeight="false" outlineLevel="0" collapsed="false">
      <c r="A2031" s="103" t="n">
        <v>46297</v>
      </c>
      <c r="B2031" s="104" t="s">
        <v>34</v>
      </c>
      <c r="C2031" s="104" t="s">
        <v>758</v>
      </c>
      <c r="D2031" s="105" t="n">
        <v>0.0833</v>
      </c>
      <c r="E2031" s="106" t="n">
        <v>40</v>
      </c>
      <c r="F2031" s="107" t="n">
        <f aca="false">IF($C2031="","",$D2031*$E2031)</f>
        <v>3.332</v>
      </c>
      <c r="G2031" s="107" t="n">
        <f aca="false">IF($C2031="","",$D2031*IFERROR(INDEX('تحليل التكلفة والسعر'!$C$2:$C$700,MATCH($C2031,'تحليل التكلفة والسعر'!$B$2:$B$700,0)),0))</f>
        <v>1.2505799845</v>
      </c>
      <c r="H2031" s="104" t="s">
        <v>719</v>
      </c>
    </row>
    <row r="2032" customFormat="false" ht="15" hidden="false" customHeight="false" outlineLevel="0" collapsed="false">
      <c r="A2032" s="103" t="n">
        <v>46298</v>
      </c>
      <c r="B2032" s="104" t="s">
        <v>34</v>
      </c>
      <c r="C2032" s="104" t="s">
        <v>758</v>
      </c>
      <c r="D2032" s="105" t="n">
        <v>0.0833</v>
      </c>
      <c r="E2032" s="106" t="n">
        <v>40</v>
      </c>
      <c r="F2032" s="107" t="n">
        <f aca="false">IF($C2032="","",$D2032*$E2032)</f>
        <v>3.332</v>
      </c>
      <c r="G2032" s="107" t="n">
        <f aca="false">IF($C2032="","",$D2032*IFERROR(INDEX('تحليل التكلفة والسعر'!$C$2:$C$700,MATCH($C2032,'تحليل التكلفة والسعر'!$B$2:$B$700,0)),0))</f>
        <v>1.2505799845</v>
      </c>
      <c r="H2032" s="104" t="s">
        <v>719</v>
      </c>
    </row>
    <row r="2033" customFormat="false" ht="15" hidden="false" customHeight="false" outlineLevel="0" collapsed="false">
      <c r="A2033" s="103" t="n">
        <v>46299</v>
      </c>
      <c r="B2033" s="104" t="s">
        <v>34</v>
      </c>
      <c r="C2033" s="104" t="s">
        <v>758</v>
      </c>
      <c r="D2033" s="105" t="n">
        <v>0.0833</v>
      </c>
      <c r="E2033" s="106" t="n">
        <v>40</v>
      </c>
      <c r="F2033" s="107" t="n">
        <f aca="false">IF($C2033="","",$D2033*$E2033)</f>
        <v>3.332</v>
      </c>
      <c r="G2033" s="107" t="n">
        <f aca="false">IF($C2033="","",$D2033*IFERROR(INDEX('تحليل التكلفة والسعر'!$C$2:$C$700,MATCH($C2033,'تحليل التكلفة والسعر'!$B$2:$B$700,0)),0))</f>
        <v>1.2505799845</v>
      </c>
      <c r="H2033" s="104" t="s">
        <v>719</v>
      </c>
    </row>
    <row r="2034" customFormat="false" ht="15" hidden="false" customHeight="false" outlineLevel="0" collapsed="false">
      <c r="A2034" s="103" t="n">
        <v>46300</v>
      </c>
      <c r="B2034" s="104" t="s">
        <v>34</v>
      </c>
      <c r="C2034" s="104" t="s">
        <v>758</v>
      </c>
      <c r="D2034" s="105" t="n">
        <v>0.0833</v>
      </c>
      <c r="E2034" s="106" t="n">
        <v>40</v>
      </c>
      <c r="F2034" s="107" t="n">
        <f aca="false">IF($C2034="","",$D2034*$E2034)</f>
        <v>3.332</v>
      </c>
      <c r="G2034" s="107" t="n">
        <f aca="false">IF($C2034="","",$D2034*IFERROR(INDEX('تحليل التكلفة والسعر'!$C$2:$C$700,MATCH($C2034,'تحليل التكلفة والسعر'!$B$2:$B$700,0)),0))</f>
        <v>1.2505799845</v>
      </c>
      <c r="H2034" s="104" t="s">
        <v>719</v>
      </c>
    </row>
    <row r="2035" customFormat="false" ht="15" hidden="false" customHeight="false" outlineLevel="0" collapsed="false">
      <c r="A2035" s="103" t="n">
        <v>46301</v>
      </c>
      <c r="B2035" s="104" t="s">
        <v>34</v>
      </c>
      <c r="C2035" s="104" t="s">
        <v>758</v>
      </c>
      <c r="D2035" s="105" t="n">
        <v>0.0833</v>
      </c>
      <c r="E2035" s="106" t="n">
        <v>40</v>
      </c>
      <c r="F2035" s="107" t="n">
        <f aca="false">IF($C2035="","",$D2035*$E2035)</f>
        <v>3.332</v>
      </c>
      <c r="G2035" s="107" t="n">
        <f aca="false">IF($C2035="","",$D2035*IFERROR(INDEX('تحليل التكلفة والسعر'!$C$2:$C$700,MATCH($C2035,'تحليل التكلفة والسعر'!$B$2:$B$700,0)),0))</f>
        <v>1.2505799845</v>
      </c>
      <c r="H2035" s="104" t="s">
        <v>719</v>
      </c>
    </row>
    <row r="2036" customFormat="false" ht="15" hidden="false" customHeight="false" outlineLevel="0" collapsed="false">
      <c r="A2036" s="103" t="n">
        <v>46302</v>
      </c>
      <c r="B2036" s="104" t="s">
        <v>34</v>
      </c>
      <c r="C2036" s="104" t="s">
        <v>758</v>
      </c>
      <c r="D2036" s="105" t="n">
        <v>0.0833</v>
      </c>
      <c r="E2036" s="106" t="n">
        <v>40</v>
      </c>
      <c r="F2036" s="107" t="n">
        <f aca="false">IF($C2036="","",$D2036*$E2036)</f>
        <v>3.332</v>
      </c>
      <c r="G2036" s="107" t="n">
        <f aca="false">IF($C2036="","",$D2036*IFERROR(INDEX('تحليل التكلفة والسعر'!$C$2:$C$700,MATCH($C2036,'تحليل التكلفة والسعر'!$B$2:$B$700,0)),0))</f>
        <v>1.2505799845</v>
      </c>
      <c r="H2036" s="104" t="s">
        <v>719</v>
      </c>
    </row>
    <row r="2037" customFormat="false" ht="15" hidden="false" customHeight="false" outlineLevel="0" collapsed="false">
      <c r="A2037" s="103" t="n">
        <v>46303</v>
      </c>
      <c r="B2037" s="104" t="s">
        <v>34</v>
      </c>
      <c r="C2037" s="104" t="s">
        <v>758</v>
      </c>
      <c r="D2037" s="105" t="n">
        <v>0.0833</v>
      </c>
      <c r="E2037" s="106" t="n">
        <v>40</v>
      </c>
      <c r="F2037" s="107" t="n">
        <f aca="false">IF($C2037="","",$D2037*$E2037)</f>
        <v>3.332</v>
      </c>
      <c r="G2037" s="107" t="n">
        <f aca="false">IF($C2037="","",$D2037*IFERROR(INDEX('تحليل التكلفة والسعر'!$C$2:$C$700,MATCH($C2037,'تحليل التكلفة والسعر'!$B$2:$B$700,0)),0))</f>
        <v>1.2505799845</v>
      </c>
      <c r="H2037" s="104" t="s">
        <v>719</v>
      </c>
    </row>
    <row r="2038" customFormat="false" ht="15" hidden="false" customHeight="false" outlineLevel="0" collapsed="false">
      <c r="A2038" s="103" t="n">
        <v>46304</v>
      </c>
      <c r="B2038" s="104" t="s">
        <v>34</v>
      </c>
      <c r="C2038" s="104" t="s">
        <v>758</v>
      </c>
      <c r="D2038" s="105" t="n">
        <v>0.0833</v>
      </c>
      <c r="E2038" s="106" t="n">
        <v>40</v>
      </c>
      <c r="F2038" s="107" t="n">
        <f aca="false">IF($C2038="","",$D2038*$E2038)</f>
        <v>3.332</v>
      </c>
      <c r="G2038" s="107" t="n">
        <f aca="false">IF($C2038="","",$D2038*IFERROR(INDEX('تحليل التكلفة والسعر'!$C$2:$C$700,MATCH($C2038,'تحليل التكلفة والسعر'!$B$2:$B$700,0)),0))</f>
        <v>1.2505799845</v>
      </c>
      <c r="H2038" s="104" t="s">
        <v>719</v>
      </c>
    </row>
    <row r="2039" customFormat="false" ht="15" hidden="false" customHeight="false" outlineLevel="0" collapsed="false">
      <c r="A2039" s="103" t="n">
        <v>46305</v>
      </c>
      <c r="B2039" s="104" t="s">
        <v>34</v>
      </c>
      <c r="C2039" s="104" t="s">
        <v>758</v>
      </c>
      <c r="D2039" s="105" t="n">
        <v>0.0833</v>
      </c>
      <c r="E2039" s="106" t="n">
        <v>40</v>
      </c>
      <c r="F2039" s="107" t="n">
        <f aca="false">IF($C2039="","",$D2039*$E2039)</f>
        <v>3.332</v>
      </c>
      <c r="G2039" s="107" t="n">
        <f aca="false">IF($C2039="","",$D2039*IFERROR(INDEX('تحليل التكلفة والسعر'!$C$2:$C$700,MATCH($C2039,'تحليل التكلفة والسعر'!$B$2:$B$700,0)),0))</f>
        <v>1.2505799845</v>
      </c>
      <c r="H2039" s="104" t="s">
        <v>719</v>
      </c>
    </row>
    <row r="2040" customFormat="false" ht="15" hidden="false" customHeight="false" outlineLevel="0" collapsed="false">
      <c r="A2040" s="103" t="n">
        <v>46306</v>
      </c>
      <c r="B2040" s="104" t="s">
        <v>34</v>
      </c>
      <c r="C2040" s="104" t="s">
        <v>758</v>
      </c>
      <c r="D2040" s="105" t="n">
        <v>0.0833</v>
      </c>
      <c r="E2040" s="106" t="n">
        <v>40</v>
      </c>
      <c r="F2040" s="107" t="n">
        <f aca="false">IF($C2040="","",$D2040*$E2040)</f>
        <v>3.332</v>
      </c>
      <c r="G2040" s="107" t="n">
        <f aca="false">IF($C2040="","",$D2040*IFERROR(INDEX('تحليل التكلفة والسعر'!$C$2:$C$700,MATCH($C2040,'تحليل التكلفة والسعر'!$B$2:$B$700,0)),0))</f>
        <v>1.2505799845</v>
      </c>
      <c r="H2040" s="104" t="s">
        <v>719</v>
      </c>
    </row>
    <row r="2041" customFormat="false" ht="15" hidden="false" customHeight="false" outlineLevel="0" collapsed="false">
      <c r="A2041" s="103" t="n">
        <v>46307</v>
      </c>
      <c r="B2041" s="104" t="s">
        <v>34</v>
      </c>
      <c r="C2041" s="104" t="s">
        <v>758</v>
      </c>
      <c r="D2041" s="105" t="n">
        <v>0.0833</v>
      </c>
      <c r="E2041" s="106" t="n">
        <v>40</v>
      </c>
      <c r="F2041" s="107" t="n">
        <f aca="false">IF($C2041="","",$D2041*$E2041)</f>
        <v>3.332</v>
      </c>
      <c r="G2041" s="107" t="n">
        <f aca="false">IF($C2041="","",$D2041*IFERROR(INDEX('تحليل التكلفة والسعر'!$C$2:$C$700,MATCH($C2041,'تحليل التكلفة والسعر'!$B$2:$B$700,0)),0))</f>
        <v>1.2505799845</v>
      </c>
      <c r="H2041" s="104" t="s">
        <v>719</v>
      </c>
    </row>
    <row r="2042" customFormat="false" ht="15" hidden="false" customHeight="false" outlineLevel="0" collapsed="false">
      <c r="A2042" s="103" t="n">
        <v>46296</v>
      </c>
      <c r="B2042" s="104" t="s">
        <v>34</v>
      </c>
      <c r="C2042" s="104" t="s">
        <v>401</v>
      </c>
      <c r="D2042" s="105" t="n">
        <v>11.5</v>
      </c>
      <c r="E2042" s="106" t="n">
        <v>32.2826</v>
      </c>
      <c r="F2042" s="107" t="n">
        <f aca="false">IF($C2042="","",$D2042*$E2042)</f>
        <v>371.2499</v>
      </c>
      <c r="G2042" s="107" t="n">
        <f aca="false">IF($C2042="","",$D2042*IFERROR(INDEX('تحليل التكلفة والسعر'!$C$2:$C$700,MATCH($C2042,'تحليل التكلفة والسعر'!$B$2:$B$700,0)),0))</f>
        <v>501.518611</v>
      </c>
      <c r="H2042" s="104" t="s">
        <v>719</v>
      </c>
    </row>
    <row r="2043" customFormat="false" ht="15" hidden="false" customHeight="false" outlineLevel="0" collapsed="false">
      <c r="A2043" s="103" t="n">
        <v>46297</v>
      </c>
      <c r="B2043" s="104" t="s">
        <v>34</v>
      </c>
      <c r="C2043" s="104" t="s">
        <v>401</v>
      </c>
      <c r="D2043" s="105" t="n">
        <v>11.5</v>
      </c>
      <c r="E2043" s="106" t="n">
        <v>32.2826</v>
      </c>
      <c r="F2043" s="107" t="n">
        <f aca="false">IF($C2043="","",$D2043*$E2043)</f>
        <v>371.2499</v>
      </c>
      <c r="G2043" s="107" t="n">
        <f aca="false">IF($C2043="","",$D2043*IFERROR(INDEX('تحليل التكلفة والسعر'!$C$2:$C$700,MATCH($C2043,'تحليل التكلفة والسعر'!$B$2:$B$700,0)),0))</f>
        <v>501.518611</v>
      </c>
      <c r="H2043" s="104" t="s">
        <v>719</v>
      </c>
    </row>
    <row r="2044" customFormat="false" ht="15" hidden="false" customHeight="false" outlineLevel="0" collapsed="false">
      <c r="A2044" s="103" t="n">
        <v>46298</v>
      </c>
      <c r="B2044" s="104" t="s">
        <v>34</v>
      </c>
      <c r="C2044" s="104" t="s">
        <v>401</v>
      </c>
      <c r="D2044" s="105" t="n">
        <v>11.5</v>
      </c>
      <c r="E2044" s="106" t="n">
        <v>32.2826</v>
      </c>
      <c r="F2044" s="107" t="n">
        <f aca="false">IF($C2044="","",$D2044*$E2044)</f>
        <v>371.2499</v>
      </c>
      <c r="G2044" s="107" t="n">
        <f aca="false">IF($C2044="","",$D2044*IFERROR(INDEX('تحليل التكلفة والسعر'!$C$2:$C$700,MATCH($C2044,'تحليل التكلفة والسعر'!$B$2:$B$700,0)),0))</f>
        <v>501.518611</v>
      </c>
      <c r="H2044" s="104" t="s">
        <v>719</v>
      </c>
    </row>
    <row r="2045" customFormat="false" ht="15" hidden="false" customHeight="false" outlineLevel="0" collapsed="false">
      <c r="A2045" s="103" t="n">
        <v>46299</v>
      </c>
      <c r="B2045" s="104" t="s">
        <v>34</v>
      </c>
      <c r="C2045" s="104" t="s">
        <v>401</v>
      </c>
      <c r="D2045" s="105" t="n">
        <v>11.5</v>
      </c>
      <c r="E2045" s="106" t="n">
        <v>32.2826</v>
      </c>
      <c r="F2045" s="107" t="n">
        <f aca="false">IF($C2045="","",$D2045*$E2045)</f>
        <v>371.2499</v>
      </c>
      <c r="G2045" s="107" t="n">
        <f aca="false">IF($C2045="","",$D2045*IFERROR(INDEX('تحليل التكلفة والسعر'!$C$2:$C$700,MATCH($C2045,'تحليل التكلفة والسعر'!$B$2:$B$700,0)),0))</f>
        <v>501.518611</v>
      </c>
      <c r="H2045" s="104" t="s">
        <v>719</v>
      </c>
    </row>
    <row r="2046" customFormat="false" ht="15" hidden="false" customHeight="false" outlineLevel="0" collapsed="false">
      <c r="A2046" s="103" t="n">
        <v>46300</v>
      </c>
      <c r="B2046" s="104" t="s">
        <v>34</v>
      </c>
      <c r="C2046" s="104" t="s">
        <v>401</v>
      </c>
      <c r="D2046" s="105" t="n">
        <v>11.5</v>
      </c>
      <c r="E2046" s="106" t="n">
        <v>32.2826</v>
      </c>
      <c r="F2046" s="107" t="n">
        <f aca="false">IF($C2046="","",$D2046*$E2046)</f>
        <v>371.2499</v>
      </c>
      <c r="G2046" s="107" t="n">
        <f aca="false">IF($C2046="","",$D2046*IFERROR(INDEX('تحليل التكلفة والسعر'!$C$2:$C$700,MATCH($C2046,'تحليل التكلفة والسعر'!$B$2:$B$700,0)),0))</f>
        <v>501.518611</v>
      </c>
      <c r="H2046" s="104" t="s">
        <v>719</v>
      </c>
    </row>
    <row r="2047" customFormat="false" ht="15" hidden="false" customHeight="false" outlineLevel="0" collapsed="false">
      <c r="A2047" s="103" t="n">
        <v>46301</v>
      </c>
      <c r="B2047" s="104" t="s">
        <v>34</v>
      </c>
      <c r="C2047" s="104" t="s">
        <v>401</v>
      </c>
      <c r="D2047" s="105" t="n">
        <v>11.5</v>
      </c>
      <c r="E2047" s="106" t="n">
        <v>32.2826</v>
      </c>
      <c r="F2047" s="107" t="n">
        <f aca="false">IF($C2047="","",$D2047*$E2047)</f>
        <v>371.2499</v>
      </c>
      <c r="G2047" s="107" t="n">
        <f aca="false">IF($C2047="","",$D2047*IFERROR(INDEX('تحليل التكلفة والسعر'!$C$2:$C$700,MATCH($C2047,'تحليل التكلفة والسعر'!$B$2:$B$700,0)),0))</f>
        <v>501.518611</v>
      </c>
      <c r="H2047" s="104" t="s">
        <v>719</v>
      </c>
    </row>
    <row r="2048" customFormat="false" ht="15" hidden="false" customHeight="false" outlineLevel="0" collapsed="false">
      <c r="A2048" s="103" t="n">
        <v>46302</v>
      </c>
      <c r="B2048" s="104" t="s">
        <v>34</v>
      </c>
      <c r="C2048" s="104" t="s">
        <v>401</v>
      </c>
      <c r="D2048" s="105" t="n">
        <v>11.5</v>
      </c>
      <c r="E2048" s="106" t="n">
        <v>32.2826</v>
      </c>
      <c r="F2048" s="107" t="n">
        <f aca="false">IF($C2048="","",$D2048*$E2048)</f>
        <v>371.2499</v>
      </c>
      <c r="G2048" s="107" t="n">
        <f aca="false">IF($C2048="","",$D2048*IFERROR(INDEX('تحليل التكلفة والسعر'!$C$2:$C$700,MATCH($C2048,'تحليل التكلفة والسعر'!$B$2:$B$700,0)),0))</f>
        <v>501.518611</v>
      </c>
      <c r="H2048" s="104" t="s">
        <v>719</v>
      </c>
    </row>
    <row r="2049" customFormat="false" ht="15" hidden="false" customHeight="false" outlineLevel="0" collapsed="false">
      <c r="A2049" s="103" t="n">
        <v>46303</v>
      </c>
      <c r="B2049" s="104" t="s">
        <v>34</v>
      </c>
      <c r="C2049" s="104" t="s">
        <v>401</v>
      </c>
      <c r="D2049" s="105" t="n">
        <v>11.5</v>
      </c>
      <c r="E2049" s="106" t="n">
        <v>32.2826</v>
      </c>
      <c r="F2049" s="107" t="n">
        <f aca="false">IF($C2049="","",$D2049*$E2049)</f>
        <v>371.2499</v>
      </c>
      <c r="G2049" s="107" t="n">
        <f aca="false">IF($C2049="","",$D2049*IFERROR(INDEX('تحليل التكلفة والسعر'!$C$2:$C$700,MATCH($C2049,'تحليل التكلفة والسعر'!$B$2:$B$700,0)),0))</f>
        <v>501.518611</v>
      </c>
      <c r="H2049" s="104" t="s">
        <v>719</v>
      </c>
    </row>
    <row r="2050" customFormat="false" ht="15" hidden="false" customHeight="false" outlineLevel="0" collapsed="false">
      <c r="A2050" s="103" t="n">
        <v>46304</v>
      </c>
      <c r="B2050" s="104" t="s">
        <v>34</v>
      </c>
      <c r="C2050" s="104" t="s">
        <v>401</v>
      </c>
      <c r="D2050" s="105" t="n">
        <v>11.5</v>
      </c>
      <c r="E2050" s="106" t="n">
        <v>32.2826</v>
      </c>
      <c r="F2050" s="107" t="n">
        <f aca="false">IF($C2050="","",$D2050*$E2050)</f>
        <v>371.2499</v>
      </c>
      <c r="G2050" s="107" t="n">
        <f aca="false">IF($C2050="","",$D2050*IFERROR(INDEX('تحليل التكلفة والسعر'!$C$2:$C$700,MATCH($C2050,'تحليل التكلفة والسعر'!$B$2:$B$700,0)),0))</f>
        <v>501.518611</v>
      </c>
      <c r="H2050" s="104" t="s">
        <v>719</v>
      </c>
    </row>
    <row r="2051" customFormat="false" ht="15" hidden="false" customHeight="false" outlineLevel="0" collapsed="false">
      <c r="A2051" s="103" t="n">
        <v>46305</v>
      </c>
      <c r="B2051" s="104" t="s">
        <v>34</v>
      </c>
      <c r="C2051" s="104" t="s">
        <v>401</v>
      </c>
      <c r="D2051" s="105" t="n">
        <v>11.5</v>
      </c>
      <c r="E2051" s="106" t="n">
        <v>32.2826</v>
      </c>
      <c r="F2051" s="107" t="n">
        <f aca="false">IF($C2051="","",$D2051*$E2051)</f>
        <v>371.2499</v>
      </c>
      <c r="G2051" s="107" t="n">
        <f aca="false">IF($C2051="","",$D2051*IFERROR(INDEX('تحليل التكلفة والسعر'!$C$2:$C$700,MATCH($C2051,'تحليل التكلفة والسعر'!$B$2:$B$700,0)),0))</f>
        <v>501.518611</v>
      </c>
      <c r="H2051" s="104" t="s">
        <v>719</v>
      </c>
    </row>
    <row r="2052" customFormat="false" ht="15" hidden="false" customHeight="false" outlineLevel="0" collapsed="false">
      <c r="A2052" s="103" t="n">
        <v>46306</v>
      </c>
      <c r="B2052" s="104" t="s">
        <v>34</v>
      </c>
      <c r="C2052" s="104" t="s">
        <v>401</v>
      </c>
      <c r="D2052" s="105" t="n">
        <v>11.5</v>
      </c>
      <c r="E2052" s="106" t="n">
        <v>32.2826</v>
      </c>
      <c r="F2052" s="107" t="n">
        <f aca="false">IF($C2052="","",$D2052*$E2052)</f>
        <v>371.2499</v>
      </c>
      <c r="G2052" s="107" t="n">
        <f aca="false">IF($C2052="","",$D2052*IFERROR(INDEX('تحليل التكلفة والسعر'!$C$2:$C$700,MATCH($C2052,'تحليل التكلفة والسعر'!$B$2:$B$700,0)),0))</f>
        <v>501.518611</v>
      </c>
      <c r="H2052" s="104" t="s">
        <v>719</v>
      </c>
    </row>
    <row r="2053" customFormat="false" ht="15" hidden="false" customHeight="false" outlineLevel="0" collapsed="false">
      <c r="A2053" s="103" t="n">
        <v>46307</v>
      </c>
      <c r="B2053" s="104" t="s">
        <v>34</v>
      </c>
      <c r="C2053" s="104" t="s">
        <v>401</v>
      </c>
      <c r="D2053" s="105" t="n">
        <v>11.5</v>
      </c>
      <c r="E2053" s="106" t="n">
        <v>32.2826</v>
      </c>
      <c r="F2053" s="107" t="n">
        <f aca="false">IF($C2053="","",$D2053*$E2053)</f>
        <v>371.2499</v>
      </c>
      <c r="G2053" s="107" t="n">
        <f aca="false">IF($C2053="","",$D2053*IFERROR(INDEX('تحليل التكلفة والسعر'!$C$2:$C$700,MATCH($C2053,'تحليل التكلفة والسعر'!$B$2:$B$700,0)),0))</f>
        <v>501.518611</v>
      </c>
      <c r="H2053" s="104" t="s">
        <v>719</v>
      </c>
    </row>
    <row r="2054" customFormat="false" ht="15" hidden="false" customHeight="false" outlineLevel="0" collapsed="false">
      <c r="A2054" s="103" t="n">
        <v>46296</v>
      </c>
      <c r="B2054" s="104" t="s">
        <v>34</v>
      </c>
      <c r="C2054" s="104" t="s">
        <v>448</v>
      </c>
      <c r="D2054" s="105" t="n">
        <v>0.25</v>
      </c>
      <c r="E2054" s="106" t="n">
        <v>266.6667</v>
      </c>
      <c r="F2054" s="107" t="n">
        <f aca="false">IF($C2054="","",$D2054*$E2054)</f>
        <v>66.666675</v>
      </c>
      <c r="G2054" s="107" t="n">
        <f aca="false">IF($C2054="","",$D2054*IFERROR(INDEX('تحليل التكلفة والسعر'!$C$2:$C$700,MATCH($C2054,'تحليل التكلفة والسعر'!$B$2:$B$700,0)),0))</f>
        <v>26.2283</v>
      </c>
      <c r="H2054" s="104" t="s">
        <v>719</v>
      </c>
    </row>
    <row r="2055" customFormat="false" ht="15" hidden="false" customHeight="false" outlineLevel="0" collapsed="false">
      <c r="A2055" s="103" t="n">
        <v>46297</v>
      </c>
      <c r="B2055" s="104" t="s">
        <v>34</v>
      </c>
      <c r="C2055" s="104" t="s">
        <v>448</v>
      </c>
      <c r="D2055" s="105" t="n">
        <v>0.25</v>
      </c>
      <c r="E2055" s="106" t="n">
        <v>266.6667</v>
      </c>
      <c r="F2055" s="107" t="n">
        <f aca="false">IF($C2055="","",$D2055*$E2055)</f>
        <v>66.666675</v>
      </c>
      <c r="G2055" s="107" t="n">
        <f aca="false">IF($C2055="","",$D2055*IFERROR(INDEX('تحليل التكلفة والسعر'!$C$2:$C$700,MATCH($C2055,'تحليل التكلفة والسعر'!$B$2:$B$700,0)),0))</f>
        <v>26.2283</v>
      </c>
      <c r="H2055" s="104" t="s">
        <v>719</v>
      </c>
    </row>
    <row r="2056" customFormat="false" ht="15" hidden="false" customHeight="false" outlineLevel="0" collapsed="false">
      <c r="A2056" s="103" t="n">
        <v>46298</v>
      </c>
      <c r="B2056" s="104" t="s">
        <v>34</v>
      </c>
      <c r="C2056" s="104" t="s">
        <v>448</v>
      </c>
      <c r="D2056" s="105" t="n">
        <v>0.25</v>
      </c>
      <c r="E2056" s="106" t="n">
        <v>266.6667</v>
      </c>
      <c r="F2056" s="107" t="n">
        <f aca="false">IF($C2056="","",$D2056*$E2056)</f>
        <v>66.666675</v>
      </c>
      <c r="G2056" s="107" t="n">
        <f aca="false">IF($C2056="","",$D2056*IFERROR(INDEX('تحليل التكلفة والسعر'!$C$2:$C$700,MATCH($C2056,'تحليل التكلفة والسعر'!$B$2:$B$700,0)),0))</f>
        <v>26.2283</v>
      </c>
      <c r="H2056" s="104" t="s">
        <v>719</v>
      </c>
    </row>
    <row r="2057" customFormat="false" ht="15" hidden="false" customHeight="false" outlineLevel="0" collapsed="false">
      <c r="A2057" s="103" t="n">
        <v>46299</v>
      </c>
      <c r="B2057" s="104" t="s">
        <v>34</v>
      </c>
      <c r="C2057" s="104" t="s">
        <v>448</v>
      </c>
      <c r="D2057" s="105" t="n">
        <v>0.25</v>
      </c>
      <c r="E2057" s="106" t="n">
        <v>266.6667</v>
      </c>
      <c r="F2057" s="107" t="n">
        <f aca="false">IF($C2057="","",$D2057*$E2057)</f>
        <v>66.666675</v>
      </c>
      <c r="G2057" s="107" t="n">
        <f aca="false">IF($C2057="","",$D2057*IFERROR(INDEX('تحليل التكلفة والسعر'!$C$2:$C$700,MATCH($C2057,'تحليل التكلفة والسعر'!$B$2:$B$700,0)),0))</f>
        <v>26.2283</v>
      </c>
      <c r="H2057" s="104" t="s">
        <v>719</v>
      </c>
    </row>
    <row r="2058" customFormat="false" ht="15" hidden="false" customHeight="false" outlineLevel="0" collapsed="false">
      <c r="A2058" s="103" t="n">
        <v>46300</v>
      </c>
      <c r="B2058" s="104" t="s">
        <v>34</v>
      </c>
      <c r="C2058" s="104" t="s">
        <v>448</v>
      </c>
      <c r="D2058" s="105" t="n">
        <v>0.25</v>
      </c>
      <c r="E2058" s="106" t="n">
        <v>266.6667</v>
      </c>
      <c r="F2058" s="107" t="n">
        <f aca="false">IF($C2058="","",$D2058*$E2058)</f>
        <v>66.666675</v>
      </c>
      <c r="G2058" s="107" t="n">
        <f aca="false">IF($C2058="","",$D2058*IFERROR(INDEX('تحليل التكلفة والسعر'!$C$2:$C$700,MATCH($C2058,'تحليل التكلفة والسعر'!$B$2:$B$700,0)),0))</f>
        <v>26.2283</v>
      </c>
      <c r="H2058" s="104" t="s">
        <v>719</v>
      </c>
    </row>
    <row r="2059" customFormat="false" ht="15" hidden="false" customHeight="false" outlineLevel="0" collapsed="false">
      <c r="A2059" s="103" t="n">
        <v>46301</v>
      </c>
      <c r="B2059" s="104" t="s">
        <v>34</v>
      </c>
      <c r="C2059" s="104" t="s">
        <v>448</v>
      </c>
      <c r="D2059" s="105" t="n">
        <v>0.25</v>
      </c>
      <c r="E2059" s="106" t="n">
        <v>266.6667</v>
      </c>
      <c r="F2059" s="107" t="n">
        <f aca="false">IF($C2059="","",$D2059*$E2059)</f>
        <v>66.666675</v>
      </c>
      <c r="G2059" s="107" t="n">
        <f aca="false">IF($C2059="","",$D2059*IFERROR(INDEX('تحليل التكلفة والسعر'!$C$2:$C$700,MATCH($C2059,'تحليل التكلفة والسعر'!$B$2:$B$700,0)),0))</f>
        <v>26.2283</v>
      </c>
      <c r="H2059" s="104" t="s">
        <v>719</v>
      </c>
    </row>
    <row r="2060" customFormat="false" ht="15" hidden="false" customHeight="false" outlineLevel="0" collapsed="false">
      <c r="A2060" s="103" t="n">
        <v>46302</v>
      </c>
      <c r="B2060" s="104" t="s">
        <v>34</v>
      </c>
      <c r="C2060" s="104" t="s">
        <v>448</v>
      </c>
      <c r="D2060" s="105" t="n">
        <v>0.25</v>
      </c>
      <c r="E2060" s="106" t="n">
        <v>266.6667</v>
      </c>
      <c r="F2060" s="107" t="n">
        <f aca="false">IF($C2060="","",$D2060*$E2060)</f>
        <v>66.666675</v>
      </c>
      <c r="G2060" s="107" t="n">
        <f aca="false">IF($C2060="","",$D2060*IFERROR(INDEX('تحليل التكلفة والسعر'!$C$2:$C$700,MATCH($C2060,'تحليل التكلفة والسعر'!$B$2:$B$700,0)),0))</f>
        <v>26.2283</v>
      </c>
      <c r="H2060" s="104" t="s">
        <v>719</v>
      </c>
    </row>
    <row r="2061" customFormat="false" ht="15" hidden="false" customHeight="false" outlineLevel="0" collapsed="false">
      <c r="A2061" s="103" t="n">
        <v>46303</v>
      </c>
      <c r="B2061" s="104" t="s">
        <v>34</v>
      </c>
      <c r="C2061" s="104" t="s">
        <v>448</v>
      </c>
      <c r="D2061" s="105" t="n">
        <v>0.25</v>
      </c>
      <c r="E2061" s="106" t="n">
        <v>266.6667</v>
      </c>
      <c r="F2061" s="107" t="n">
        <f aca="false">IF($C2061="","",$D2061*$E2061)</f>
        <v>66.666675</v>
      </c>
      <c r="G2061" s="107" t="n">
        <f aca="false">IF($C2061="","",$D2061*IFERROR(INDEX('تحليل التكلفة والسعر'!$C$2:$C$700,MATCH($C2061,'تحليل التكلفة والسعر'!$B$2:$B$700,0)),0))</f>
        <v>26.2283</v>
      </c>
      <c r="H2061" s="104" t="s">
        <v>719</v>
      </c>
    </row>
    <row r="2062" customFormat="false" ht="15" hidden="false" customHeight="false" outlineLevel="0" collapsed="false">
      <c r="A2062" s="103" t="n">
        <v>46304</v>
      </c>
      <c r="B2062" s="104" t="s">
        <v>34</v>
      </c>
      <c r="C2062" s="104" t="s">
        <v>448</v>
      </c>
      <c r="D2062" s="105" t="n">
        <v>0.25</v>
      </c>
      <c r="E2062" s="106" t="n">
        <v>266.6667</v>
      </c>
      <c r="F2062" s="107" t="n">
        <f aca="false">IF($C2062="","",$D2062*$E2062)</f>
        <v>66.666675</v>
      </c>
      <c r="G2062" s="107" t="n">
        <f aca="false">IF($C2062="","",$D2062*IFERROR(INDEX('تحليل التكلفة والسعر'!$C$2:$C$700,MATCH($C2062,'تحليل التكلفة والسعر'!$B$2:$B$700,0)),0))</f>
        <v>26.2283</v>
      </c>
      <c r="H2062" s="104" t="s">
        <v>719</v>
      </c>
    </row>
    <row r="2063" customFormat="false" ht="15" hidden="false" customHeight="false" outlineLevel="0" collapsed="false">
      <c r="A2063" s="103" t="n">
        <v>46305</v>
      </c>
      <c r="B2063" s="104" t="s">
        <v>34</v>
      </c>
      <c r="C2063" s="104" t="s">
        <v>448</v>
      </c>
      <c r="D2063" s="105" t="n">
        <v>0.25</v>
      </c>
      <c r="E2063" s="106" t="n">
        <v>266.6667</v>
      </c>
      <c r="F2063" s="107" t="n">
        <f aca="false">IF($C2063="","",$D2063*$E2063)</f>
        <v>66.666675</v>
      </c>
      <c r="G2063" s="107" t="n">
        <f aca="false">IF($C2063="","",$D2063*IFERROR(INDEX('تحليل التكلفة والسعر'!$C$2:$C$700,MATCH($C2063,'تحليل التكلفة والسعر'!$B$2:$B$700,0)),0))</f>
        <v>26.2283</v>
      </c>
      <c r="H2063" s="104" t="s">
        <v>719</v>
      </c>
    </row>
    <row r="2064" customFormat="false" ht="15" hidden="false" customHeight="false" outlineLevel="0" collapsed="false">
      <c r="A2064" s="103" t="n">
        <v>46306</v>
      </c>
      <c r="B2064" s="104" t="s">
        <v>34</v>
      </c>
      <c r="C2064" s="104" t="s">
        <v>448</v>
      </c>
      <c r="D2064" s="105" t="n">
        <v>0.25</v>
      </c>
      <c r="E2064" s="106" t="n">
        <v>266.6667</v>
      </c>
      <c r="F2064" s="107" t="n">
        <f aca="false">IF($C2064="","",$D2064*$E2064)</f>
        <v>66.666675</v>
      </c>
      <c r="G2064" s="107" t="n">
        <f aca="false">IF($C2064="","",$D2064*IFERROR(INDEX('تحليل التكلفة والسعر'!$C$2:$C$700,MATCH($C2064,'تحليل التكلفة والسعر'!$B$2:$B$700,0)),0))</f>
        <v>26.2283</v>
      </c>
      <c r="H2064" s="104" t="s">
        <v>719</v>
      </c>
    </row>
    <row r="2065" customFormat="false" ht="15" hidden="false" customHeight="false" outlineLevel="0" collapsed="false">
      <c r="A2065" s="103" t="n">
        <v>46307</v>
      </c>
      <c r="B2065" s="104" t="s">
        <v>34</v>
      </c>
      <c r="C2065" s="104" t="s">
        <v>448</v>
      </c>
      <c r="D2065" s="105" t="n">
        <v>0.25</v>
      </c>
      <c r="E2065" s="106" t="n">
        <v>266.6667</v>
      </c>
      <c r="F2065" s="107" t="n">
        <f aca="false">IF($C2065="","",$D2065*$E2065)</f>
        <v>66.666675</v>
      </c>
      <c r="G2065" s="107" t="n">
        <f aca="false">IF($C2065="","",$D2065*IFERROR(INDEX('تحليل التكلفة والسعر'!$C$2:$C$700,MATCH($C2065,'تحليل التكلفة والسعر'!$B$2:$B$700,0)),0))</f>
        <v>26.2283</v>
      </c>
      <c r="H2065" s="104" t="s">
        <v>719</v>
      </c>
    </row>
    <row r="2066" customFormat="false" ht="15" hidden="false" customHeight="false" outlineLevel="0" collapsed="false">
      <c r="A2066" s="103" t="n">
        <v>46296</v>
      </c>
      <c r="B2066" s="104" t="s">
        <v>34</v>
      </c>
      <c r="C2066" s="104" t="s">
        <v>463</v>
      </c>
      <c r="D2066" s="105" t="n">
        <v>0.1667</v>
      </c>
      <c r="E2066" s="106" t="n">
        <v>160</v>
      </c>
      <c r="F2066" s="107" t="n">
        <f aca="false">IF($C2066="","",$D2066*$E2066)</f>
        <v>26.672</v>
      </c>
      <c r="G2066" s="107" t="n">
        <f aca="false">IF($C2066="","",$D2066*IFERROR(INDEX('تحليل التكلفة والسعر'!$C$2:$C$700,MATCH($C2066,'تحليل التكلفة والسعر'!$B$2:$B$700,0)),0))</f>
        <v>12.38222595</v>
      </c>
      <c r="H2066" s="104" t="s">
        <v>719</v>
      </c>
    </row>
    <row r="2067" customFormat="false" ht="15" hidden="false" customHeight="false" outlineLevel="0" collapsed="false">
      <c r="A2067" s="103" t="n">
        <v>46297</v>
      </c>
      <c r="B2067" s="104" t="s">
        <v>34</v>
      </c>
      <c r="C2067" s="104" t="s">
        <v>463</v>
      </c>
      <c r="D2067" s="105" t="n">
        <v>0.1667</v>
      </c>
      <c r="E2067" s="106" t="n">
        <v>160</v>
      </c>
      <c r="F2067" s="107" t="n">
        <f aca="false">IF($C2067="","",$D2067*$E2067)</f>
        <v>26.672</v>
      </c>
      <c r="G2067" s="107" t="n">
        <f aca="false">IF($C2067="","",$D2067*IFERROR(INDEX('تحليل التكلفة والسعر'!$C$2:$C$700,MATCH($C2067,'تحليل التكلفة والسعر'!$B$2:$B$700,0)),0))</f>
        <v>12.38222595</v>
      </c>
      <c r="H2067" s="104" t="s">
        <v>719</v>
      </c>
    </row>
    <row r="2068" customFormat="false" ht="15" hidden="false" customHeight="false" outlineLevel="0" collapsed="false">
      <c r="A2068" s="103" t="n">
        <v>46298</v>
      </c>
      <c r="B2068" s="104" t="s">
        <v>34</v>
      </c>
      <c r="C2068" s="104" t="s">
        <v>463</v>
      </c>
      <c r="D2068" s="105" t="n">
        <v>0.1667</v>
      </c>
      <c r="E2068" s="106" t="n">
        <v>160</v>
      </c>
      <c r="F2068" s="107" t="n">
        <f aca="false">IF($C2068="","",$D2068*$E2068)</f>
        <v>26.672</v>
      </c>
      <c r="G2068" s="107" t="n">
        <f aca="false">IF($C2068="","",$D2068*IFERROR(INDEX('تحليل التكلفة والسعر'!$C$2:$C$700,MATCH($C2068,'تحليل التكلفة والسعر'!$B$2:$B$700,0)),0))</f>
        <v>12.38222595</v>
      </c>
      <c r="H2068" s="104" t="s">
        <v>719</v>
      </c>
    </row>
    <row r="2069" customFormat="false" ht="15" hidden="false" customHeight="false" outlineLevel="0" collapsed="false">
      <c r="A2069" s="103" t="n">
        <v>46299</v>
      </c>
      <c r="B2069" s="104" t="s">
        <v>34</v>
      </c>
      <c r="C2069" s="104" t="s">
        <v>463</v>
      </c>
      <c r="D2069" s="105" t="n">
        <v>0.1667</v>
      </c>
      <c r="E2069" s="106" t="n">
        <v>160</v>
      </c>
      <c r="F2069" s="107" t="n">
        <f aca="false">IF($C2069="","",$D2069*$E2069)</f>
        <v>26.672</v>
      </c>
      <c r="G2069" s="107" t="n">
        <f aca="false">IF($C2069="","",$D2069*IFERROR(INDEX('تحليل التكلفة والسعر'!$C$2:$C$700,MATCH($C2069,'تحليل التكلفة والسعر'!$B$2:$B$700,0)),0))</f>
        <v>12.38222595</v>
      </c>
      <c r="H2069" s="104" t="s">
        <v>719</v>
      </c>
    </row>
    <row r="2070" customFormat="false" ht="15" hidden="false" customHeight="false" outlineLevel="0" collapsed="false">
      <c r="A2070" s="103" t="n">
        <v>46300</v>
      </c>
      <c r="B2070" s="104" t="s">
        <v>34</v>
      </c>
      <c r="C2070" s="104" t="s">
        <v>463</v>
      </c>
      <c r="D2070" s="105" t="n">
        <v>0.1667</v>
      </c>
      <c r="E2070" s="106" t="n">
        <v>160</v>
      </c>
      <c r="F2070" s="107" t="n">
        <f aca="false">IF($C2070="","",$D2070*$E2070)</f>
        <v>26.672</v>
      </c>
      <c r="G2070" s="107" t="n">
        <f aca="false">IF($C2070="","",$D2070*IFERROR(INDEX('تحليل التكلفة والسعر'!$C$2:$C$700,MATCH($C2070,'تحليل التكلفة والسعر'!$B$2:$B$700,0)),0))</f>
        <v>12.38222595</v>
      </c>
      <c r="H2070" s="104" t="s">
        <v>719</v>
      </c>
    </row>
    <row r="2071" customFormat="false" ht="15" hidden="false" customHeight="false" outlineLevel="0" collapsed="false">
      <c r="A2071" s="103" t="n">
        <v>46301</v>
      </c>
      <c r="B2071" s="104" t="s">
        <v>34</v>
      </c>
      <c r="C2071" s="104" t="s">
        <v>463</v>
      </c>
      <c r="D2071" s="105" t="n">
        <v>0.1667</v>
      </c>
      <c r="E2071" s="106" t="n">
        <v>160</v>
      </c>
      <c r="F2071" s="107" t="n">
        <f aca="false">IF($C2071="","",$D2071*$E2071)</f>
        <v>26.672</v>
      </c>
      <c r="G2071" s="107" t="n">
        <f aca="false">IF($C2071="","",$D2071*IFERROR(INDEX('تحليل التكلفة والسعر'!$C$2:$C$700,MATCH($C2071,'تحليل التكلفة والسعر'!$B$2:$B$700,0)),0))</f>
        <v>12.38222595</v>
      </c>
      <c r="H2071" s="104" t="s">
        <v>719</v>
      </c>
    </row>
    <row r="2072" customFormat="false" ht="15" hidden="false" customHeight="false" outlineLevel="0" collapsed="false">
      <c r="A2072" s="103" t="n">
        <v>46302</v>
      </c>
      <c r="B2072" s="104" t="s">
        <v>34</v>
      </c>
      <c r="C2072" s="104" t="s">
        <v>463</v>
      </c>
      <c r="D2072" s="105" t="n">
        <v>0.1667</v>
      </c>
      <c r="E2072" s="106" t="n">
        <v>160</v>
      </c>
      <c r="F2072" s="107" t="n">
        <f aca="false">IF($C2072="","",$D2072*$E2072)</f>
        <v>26.672</v>
      </c>
      <c r="G2072" s="107" t="n">
        <f aca="false">IF($C2072="","",$D2072*IFERROR(INDEX('تحليل التكلفة والسعر'!$C$2:$C$700,MATCH($C2072,'تحليل التكلفة والسعر'!$B$2:$B$700,0)),0))</f>
        <v>12.38222595</v>
      </c>
      <c r="H2072" s="104" t="s">
        <v>719</v>
      </c>
    </row>
    <row r="2073" customFormat="false" ht="15" hidden="false" customHeight="false" outlineLevel="0" collapsed="false">
      <c r="A2073" s="103" t="n">
        <v>46303</v>
      </c>
      <c r="B2073" s="104" t="s">
        <v>34</v>
      </c>
      <c r="C2073" s="104" t="s">
        <v>463</v>
      </c>
      <c r="D2073" s="105" t="n">
        <v>0.1667</v>
      </c>
      <c r="E2073" s="106" t="n">
        <v>160</v>
      </c>
      <c r="F2073" s="107" t="n">
        <f aca="false">IF($C2073="","",$D2073*$E2073)</f>
        <v>26.672</v>
      </c>
      <c r="G2073" s="107" t="n">
        <f aca="false">IF($C2073="","",$D2073*IFERROR(INDEX('تحليل التكلفة والسعر'!$C$2:$C$700,MATCH($C2073,'تحليل التكلفة والسعر'!$B$2:$B$700,0)),0))</f>
        <v>12.38222595</v>
      </c>
      <c r="H2073" s="104" t="s">
        <v>719</v>
      </c>
    </row>
    <row r="2074" customFormat="false" ht="15" hidden="false" customHeight="false" outlineLevel="0" collapsed="false">
      <c r="A2074" s="103" t="n">
        <v>46304</v>
      </c>
      <c r="B2074" s="104" t="s">
        <v>34</v>
      </c>
      <c r="C2074" s="104" t="s">
        <v>463</v>
      </c>
      <c r="D2074" s="105" t="n">
        <v>0.1667</v>
      </c>
      <c r="E2074" s="106" t="n">
        <v>160</v>
      </c>
      <c r="F2074" s="107" t="n">
        <f aca="false">IF($C2074="","",$D2074*$E2074)</f>
        <v>26.672</v>
      </c>
      <c r="G2074" s="107" t="n">
        <f aca="false">IF($C2074="","",$D2074*IFERROR(INDEX('تحليل التكلفة والسعر'!$C$2:$C$700,MATCH($C2074,'تحليل التكلفة والسعر'!$B$2:$B$700,0)),0))</f>
        <v>12.38222595</v>
      </c>
      <c r="H2074" s="104" t="s">
        <v>719</v>
      </c>
    </row>
    <row r="2075" customFormat="false" ht="15" hidden="false" customHeight="false" outlineLevel="0" collapsed="false">
      <c r="A2075" s="103" t="n">
        <v>46305</v>
      </c>
      <c r="B2075" s="104" t="s">
        <v>34</v>
      </c>
      <c r="C2075" s="104" t="s">
        <v>463</v>
      </c>
      <c r="D2075" s="105" t="n">
        <v>0.1667</v>
      </c>
      <c r="E2075" s="106" t="n">
        <v>160</v>
      </c>
      <c r="F2075" s="107" t="n">
        <f aca="false">IF($C2075="","",$D2075*$E2075)</f>
        <v>26.672</v>
      </c>
      <c r="G2075" s="107" t="n">
        <f aca="false">IF($C2075="","",$D2075*IFERROR(INDEX('تحليل التكلفة والسعر'!$C$2:$C$700,MATCH($C2075,'تحليل التكلفة والسعر'!$B$2:$B$700,0)),0))</f>
        <v>12.38222595</v>
      </c>
      <c r="H2075" s="104" t="s">
        <v>719</v>
      </c>
    </row>
    <row r="2076" customFormat="false" ht="15" hidden="false" customHeight="false" outlineLevel="0" collapsed="false">
      <c r="A2076" s="103" t="n">
        <v>46306</v>
      </c>
      <c r="B2076" s="104" t="s">
        <v>34</v>
      </c>
      <c r="C2076" s="104" t="s">
        <v>463</v>
      </c>
      <c r="D2076" s="105" t="n">
        <v>0.1667</v>
      </c>
      <c r="E2076" s="106" t="n">
        <v>160</v>
      </c>
      <c r="F2076" s="107" t="n">
        <f aca="false">IF($C2076="","",$D2076*$E2076)</f>
        <v>26.672</v>
      </c>
      <c r="G2076" s="107" t="n">
        <f aca="false">IF($C2076="","",$D2076*IFERROR(INDEX('تحليل التكلفة والسعر'!$C$2:$C$700,MATCH($C2076,'تحليل التكلفة والسعر'!$B$2:$B$700,0)),0))</f>
        <v>12.38222595</v>
      </c>
      <c r="H2076" s="104" t="s">
        <v>719</v>
      </c>
    </row>
    <row r="2077" customFormat="false" ht="15" hidden="false" customHeight="false" outlineLevel="0" collapsed="false">
      <c r="A2077" s="103" t="n">
        <v>46307</v>
      </c>
      <c r="B2077" s="104" t="s">
        <v>34</v>
      </c>
      <c r="C2077" s="104" t="s">
        <v>463</v>
      </c>
      <c r="D2077" s="105" t="n">
        <v>0.1667</v>
      </c>
      <c r="E2077" s="106" t="n">
        <v>160</v>
      </c>
      <c r="F2077" s="107" t="n">
        <f aca="false">IF($C2077="","",$D2077*$E2077)</f>
        <v>26.672</v>
      </c>
      <c r="G2077" s="107" t="n">
        <f aca="false">IF($C2077="","",$D2077*IFERROR(INDEX('تحليل التكلفة والسعر'!$C$2:$C$700,MATCH($C2077,'تحليل التكلفة والسعر'!$B$2:$B$700,0)),0))</f>
        <v>12.38222595</v>
      </c>
      <c r="H2077" s="104" t="s">
        <v>719</v>
      </c>
    </row>
    <row r="2078" customFormat="false" ht="15" hidden="false" customHeight="false" outlineLevel="0" collapsed="false">
      <c r="A2078" s="103" t="n">
        <v>46296</v>
      </c>
      <c r="B2078" s="104" t="s">
        <v>34</v>
      </c>
      <c r="C2078" s="104" t="s">
        <v>447</v>
      </c>
      <c r="D2078" s="105" t="n">
        <v>0.5833</v>
      </c>
      <c r="E2078" s="106" t="n">
        <v>257.1429</v>
      </c>
      <c r="F2078" s="107" t="n">
        <f aca="false">IF($C2078="","",$D2078*$E2078)</f>
        <v>149.99145357</v>
      </c>
      <c r="G2078" s="107" t="n">
        <f aca="false">IF($C2078="","",$D2078*IFERROR(INDEX('تحليل التكلفة والسعر'!$C$2:$C$700,MATCH($C2078,'تحليل التكلفة والسعر'!$B$2:$B$700,0)),0))</f>
        <v>64.25819456</v>
      </c>
      <c r="H2078" s="104" t="s">
        <v>719</v>
      </c>
    </row>
    <row r="2079" customFormat="false" ht="15" hidden="false" customHeight="false" outlineLevel="0" collapsed="false">
      <c r="A2079" s="103" t="n">
        <v>46297</v>
      </c>
      <c r="B2079" s="104" t="s">
        <v>34</v>
      </c>
      <c r="C2079" s="104" t="s">
        <v>447</v>
      </c>
      <c r="D2079" s="105" t="n">
        <v>0.5833</v>
      </c>
      <c r="E2079" s="106" t="n">
        <v>257.1429</v>
      </c>
      <c r="F2079" s="107" t="n">
        <f aca="false">IF($C2079="","",$D2079*$E2079)</f>
        <v>149.99145357</v>
      </c>
      <c r="G2079" s="107" t="n">
        <f aca="false">IF($C2079="","",$D2079*IFERROR(INDEX('تحليل التكلفة والسعر'!$C$2:$C$700,MATCH($C2079,'تحليل التكلفة والسعر'!$B$2:$B$700,0)),0))</f>
        <v>64.25819456</v>
      </c>
      <c r="H2079" s="104" t="s">
        <v>719</v>
      </c>
    </row>
    <row r="2080" customFormat="false" ht="15" hidden="false" customHeight="false" outlineLevel="0" collapsed="false">
      <c r="A2080" s="103" t="n">
        <v>46298</v>
      </c>
      <c r="B2080" s="104" t="s">
        <v>34</v>
      </c>
      <c r="C2080" s="104" t="s">
        <v>447</v>
      </c>
      <c r="D2080" s="105" t="n">
        <v>0.5833</v>
      </c>
      <c r="E2080" s="106" t="n">
        <v>257.1429</v>
      </c>
      <c r="F2080" s="107" t="n">
        <f aca="false">IF($C2080="","",$D2080*$E2080)</f>
        <v>149.99145357</v>
      </c>
      <c r="G2080" s="107" t="n">
        <f aca="false">IF($C2080="","",$D2080*IFERROR(INDEX('تحليل التكلفة والسعر'!$C$2:$C$700,MATCH($C2080,'تحليل التكلفة والسعر'!$B$2:$B$700,0)),0))</f>
        <v>64.25819456</v>
      </c>
      <c r="H2080" s="104" t="s">
        <v>719</v>
      </c>
    </row>
    <row r="2081" customFormat="false" ht="15" hidden="false" customHeight="false" outlineLevel="0" collapsed="false">
      <c r="A2081" s="103" t="n">
        <v>46299</v>
      </c>
      <c r="B2081" s="104" t="s">
        <v>34</v>
      </c>
      <c r="C2081" s="104" t="s">
        <v>447</v>
      </c>
      <c r="D2081" s="105" t="n">
        <v>0.5833</v>
      </c>
      <c r="E2081" s="106" t="n">
        <v>257.1429</v>
      </c>
      <c r="F2081" s="107" t="n">
        <f aca="false">IF($C2081="","",$D2081*$E2081)</f>
        <v>149.99145357</v>
      </c>
      <c r="G2081" s="107" t="n">
        <f aca="false">IF($C2081="","",$D2081*IFERROR(INDEX('تحليل التكلفة والسعر'!$C$2:$C$700,MATCH($C2081,'تحليل التكلفة والسعر'!$B$2:$B$700,0)),0))</f>
        <v>64.25819456</v>
      </c>
      <c r="H2081" s="104" t="s">
        <v>719</v>
      </c>
    </row>
    <row r="2082" customFormat="false" ht="15" hidden="false" customHeight="false" outlineLevel="0" collapsed="false">
      <c r="A2082" s="103" t="n">
        <v>46300</v>
      </c>
      <c r="B2082" s="104" t="s">
        <v>34</v>
      </c>
      <c r="C2082" s="104" t="s">
        <v>447</v>
      </c>
      <c r="D2082" s="105" t="n">
        <v>0.5833</v>
      </c>
      <c r="E2082" s="106" t="n">
        <v>257.1429</v>
      </c>
      <c r="F2082" s="107" t="n">
        <f aca="false">IF($C2082="","",$D2082*$E2082)</f>
        <v>149.99145357</v>
      </c>
      <c r="G2082" s="107" t="n">
        <f aca="false">IF($C2082="","",$D2082*IFERROR(INDEX('تحليل التكلفة والسعر'!$C$2:$C$700,MATCH($C2082,'تحليل التكلفة والسعر'!$B$2:$B$700,0)),0))</f>
        <v>64.25819456</v>
      </c>
      <c r="H2082" s="104" t="s">
        <v>719</v>
      </c>
    </row>
    <row r="2083" customFormat="false" ht="15" hidden="false" customHeight="false" outlineLevel="0" collapsed="false">
      <c r="A2083" s="103" t="n">
        <v>46301</v>
      </c>
      <c r="B2083" s="104" t="s">
        <v>34</v>
      </c>
      <c r="C2083" s="104" t="s">
        <v>447</v>
      </c>
      <c r="D2083" s="105" t="n">
        <v>0.5833</v>
      </c>
      <c r="E2083" s="106" t="n">
        <v>257.1429</v>
      </c>
      <c r="F2083" s="107" t="n">
        <f aca="false">IF($C2083="","",$D2083*$E2083)</f>
        <v>149.99145357</v>
      </c>
      <c r="G2083" s="107" t="n">
        <f aca="false">IF($C2083="","",$D2083*IFERROR(INDEX('تحليل التكلفة والسعر'!$C$2:$C$700,MATCH($C2083,'تحليل التكلفة والسعر'!$B$2:$B$700,0)),0))</f>
        <v>64.25819456</v>
      </c>
      <c r="H2083" s="104" t="s">
        <v>719</v>
      </c>
    </row>
    <row r="2084" customFormat="false" ht="15" hidden="false" customHeight="false" outlineLevel="0" collapsed="false">
      <c r="A2084" s="103" t="n">
        <v>46302</v>
      </c>
      <c r="B2084" s="104" t="s">
        <v>34</v>
      </c>
      <c r="C2084" s="104" t="s">
        <v>447</v>
      </c>
      <c r="D2084" s="105" t="n">
        <v>0.5833</v>
      </c>
      <c r="E2084" s="106" t="n">
        <v>257.1429</v>
      </c>
      <c r="F2084" s="107" t="n">
        <f aca="false">IF($C2084="","",$D2084*$E2084)</f>
        <v>149.99145357</v>
      </c>
      <c r="G2084" s="107" t="n">
        <f aca="false">IF($C2084="","",$D2084*IFERROR(INDEX('تحليل التكلفة والسعر'!$C$2:$C$700,MATCH($C2084,'تحليل التكلفة والسعر'!$B$2:$B$700,0)),0))</f>
        <v>64.25819456</v>
      </c>
      <c r="H2084" s="104" t="s">
        <v>719</v>
      </c>
    </row>
    <row r="2085" customFormat="false" ht="15" hidden="false" customHeight="false" outlineLevel="0" collapsed="false">
      <c r="A2085" s="103" t="n">
        <v>46303</v>
      </c>
      <c r="B2085" s="104" t="s">
        <v>34</v>
      </c>
      <c r="C2085" s="104" t="s">
        <v>447</v>
      </c>
      <c r="D2085" s="105" t="n">
        <v>0.5833</v>
      </c>
      <c r="E2085" s="106" t="n">
        <v>257.1429</v>
      </c>
      <c r="F2085" s="107" t="n">
        <f aca="false">IF($C2085="","",$D2085*$E2085)</f>
        <v>149.99145357</v>
      </c>
      <c r="G2085" s="107" t="n">
        <f aca="false">IF($C2085="","",$D2085*IFERROR(INDEX('تحليل التكلفة والسعر'!$C$2:$C$700,MATCH($C2085,'تحليل التكلفة والسعر'!$B$2:$B$700,0)),0))</f>
        <v>64.25819456</v>
      </c>
      <c r="H2085" s="104" t="s">
        <v>719</v>
      </c>
    </row>
    <row r="2086" customFormat="false" ht="15" hidden="false" customHeight="false" outlineLevel="0" collapsed="false">
      <c r="A2086" s="103" t="n">
        <v>46304</v>
      </c>
      <c r="B2086" s="104" t="s">
        <v>34</v>
      </c>
      <c r="C2086" s="104" t="s">
        <v>447</v>
      </c>
      <c r="D2086" s="105" t="n">
        <v>0.5833</v>
      </c>
      <c r="E2086" s="106" t="n">
        <v>257.1429</v>
      </c>
      <c r="F2086" s="107" t="n">
        <f aca="false">IF($C2086="","",$D2086*$E2086)</f>
        <v>149.99145357</v>
      </c>
      <c r="G2086" s="107" t="n">
        <f aca="false">IF($C2086="","",$D2086*IFERROR(INDEX('تحليل التكلفة والسعر'!$C$2:$C$700,MATCH($C2086,'تحليل التكلفة والسعر'!$B$2:$B$700,0)),0))</f>
        <v>64.25819456</v>
      </c>
      <c r="H2086" s="104" t="s">
        <v>719</v>
      </c>
    </row>
    <row r="2087" customFormat="false" ht="15" hidden="false" customHeight="false" outlineLevel="0" collapsed="false">
      <c r="A2087" s="103" t="n">
        <v>46305</v>
      </c>
      <c r="B2087" s="104" t="s">
        <v>34</v>
      </c>
      <c r="C2087" s="104" t="s">
        <v>447</v>
      </c>
      <c r="D2087" s="105" t="n">
        <v>0.5833</v>
      </c>
      <c r="E2087" s="106" t="n">
        <v>257.1429</v>
      </c>
      <c r="F2087" s="107" t="n">
        <f aca="false">IF($C2087="","",$D2087*$E2087)</f>
        <v>149.99145357</v>
      </c>
      <c r="G2087" s="107" t="n">
        <f aca="false">IF($C2087="","",$D2087*IFERROR(INDEX('تحليل التكلفة والسعر'!$C$2:$C$700,MATCH($C2087,'تحليل التكلفة والسعر'!$B$2:$B$700,0)),0))</f>
        <v>64.25819456</v>
      </c>
      <c r="H2087" s="104" t="s">
        <v>719</v>
      </c>
    </row>
    <row r="2088" customFormat="false" ht="15" hidden="false" customHeight="false" outlineLevel="0" collapsed="false">
      <c r="A2088" s="103" t="n">
        <v>46306</v>
      </c>
      <c r="B2088" s="104" t="s">
        <v>34</v>
      </c>
      <c r="C2088" s="104" t="s">
        <v>447</v>
      </c>
      <c r="D2088" s="105" t="n">
        <v>0.5833</v>
      </c>
      <c r="E2088" s="106" t="n">
        <v>257.1429</v>
      </c>
      <c r="F2088" s="107" t="n">
        <f aca="false">IF($C2088="","",$D2088*$E2088)</f>
        <v>149.99145357</v>
      </c>
      <c r="G2088" s="107" t="n">
        <f aca="false">IF($C2088="","",$D2088*IFERROR(INDEX('تحليل التكلفة والسعر'!$C$2:$C$700,MATCH($C2088,'تحليل التكلفة والسعر'!$B$2:$B$700,0)),0))</f>
        <v>64.25819456</v>
      </c>
      <c r="H2088" s="104" t="s">
        <v>719</v>
      </c>
    </row>
    <row r="2089" customFormat="false" ht="15" hidden="false" customHeight="false" outlineLevel="0" collapsed="false">
      <c r="A2089" s="103" t="n">
        <v>46307</v>
      </c>
      <c r="B2089" s="104" t="s">
        <v>34</v>
      </c>
      <c r="C2089" s="104" t="s">
        <v>447</v>
      </c>
      <c r="D2089" s="105" t="n">
        <v>0.5833</v>
      </c>
      <c r="E2089" s="106" t="n">
        <v>257.1429</v>
      </c>
      <c r="F2089" s="107" t="n">
        <f aca="false">IF($C2089="","",$D2089*$E2089)</f>
        <v>149.99145357</v>
      </c>
      <c r="G2089" s="107" t="n">
        <f aca="false">IF($C2089="","",$D2089*IFERROR(INDEX('تحليل التكلفة والسعر'!$C$2:$C$700,MATCH($C2089,'تحليل التكلفة والسعر'!$B$2:$B$700,0)),0))</f>
        <v>64.25819456</v>
      </c>
      <c r="H2089" s="104" t="s">
        <v>719</v>
      </c>
    </row>
    <row r="2090" customFormat="false" ht="15" hidden="false" customHeight="false" outlineLevel="0" collapsed="false">
      <c r="A2090" s="103" t="n">
        <v>46296</v>
      </c>
      <c r="B2090" s="104" t="s">
        <v>34</v>
      </c>
      <c r="C2090" s="104" t="s">
        <v>461</v>
      </c>
      <c r="D2090" s="105" t="n">
        <v>6.6667</v>
      </c>
      <c r="E2090" s="106" t="n">
        <v>143.9375</v>
      </c>
      <c r="F2090" s="107" t="n">
        <f aca="false">IF($C2090="","",$D2090*$E2090)</f>
        <v>959.58813125</v>
      </c>
      <c r="G2090" s="107" t="n">
        <f aca="false">IF($C2090="","",$D2090*IFERROR(INDEX('تحليل التكلفة والسعر'!$C$2:$C$700,MATCH($C2090,'تحليل التكلفة والسعر'!$B$2:$B$700,0)),0))</f>
        <v>518.52592595</v>
      </c>
      <c r="H2090" s="104" t="s">
        <v>719</v>
      </c>
    </row>
    <row r="2091" customFormat="false" ht="15" hidden="false" customHeight="false" outlineLevel="0" collapsed="false">
      <c r="A2091" s="103" t="n">
        <v>46297</v>
      </c>
      <c r="B2091" s="104" t="s">
        <v>34</v>
      </c>
      <c r="C2091" s="104" t="s">
        <v>461</v>
      </c>
      <c r="D2091" s="105" t="n">
        <v>6.6667</v>
      </c>
      <c r="E2091" s="106" t="n">
        <v>143.9375</v>
      </c>
      <c r="F2091" s="107" t="n">
        <f aca="false">IF($C2091="","",$D2091*$E2091)</f>
        <v>959.58813125</v>
      </c>
      <c r="G2091" s="107" t="n">
        <f aca="false">IF($C2091="","",$D2091*IFERROR(INDEX('تحليل التكلفة والسعر'!$C$2:$C$700,MATCH($C2091,'تحليل التكلفة والسعر'!$B$2:$B$700,0)),0))</f>
        <v>518.52592595</v>
      </c>
      <c r="H2091" s="104" t="s">
        <v>719</v>
      </c>
    </row>
    <row r="2092" customFormat="false" ht="15" hidden="false" customHeight="false" outlineLevel="0" collapsed="false">
      <c r="A2092" s="103" t="n">
        <v>46298</v>
      </c>
      <c r="B2092" s="104" t="s">
        <v>34</v>
      </c>
      <c r="C2092" s="104" t="s">
        <v>461</v>
      </c>
      <c r="D2092" s="105" t="n">
        <v>6.6667</v>
      </c>
      <c r="E2092" s="106" t="n">
        <v>143.9375</v>
      </c>
      <c r="F2092" s="107" t="n">
        <f aca="false">IF($C2092="","",$D2092*$E2092)</f>
        <v>959.58813125</v>
      </c>
      <c r="G2092" s="107" t="n">
        <f aca="false">IF($C2092="","",$D2092*IFERROR(INDEX('تحليل التكلفة والسعر'!$C$2:$C$700,MATCH($C2092,'تحليل التكلفة والسعر'!$B$2:$B$700,0)),0))</f>
        <v>518.52592595</v>
      </c>
      <c r="H2092" s="104" t="s">
        <v>719</v>
      </c>
    </row>
    <row r="2093" customFormat="false" ht="15" hidden="false" customHeight="false" outlineLevel="0" collapsed="false">
      <c r="A2093" s="103" t="n">
        <v>46299</v>
      </c>
      <c r="B2093" s="104" t="s">
        <v>34</v>
      </c>
      <c r="C2093" s="104" t="s">
        <v>461</v>
      </c>
      <c r="D2093" s="105" t="n">
        <v>6.6667</v>
      </c>
      <c r="E2093" s="106" t="n">
        <v>143.9375</v>
      </c>
      <c r="F2093" s="107" t="n">
        <f aca="false">IF($C2093="","",$D2093*$E2093)</f>
        <v>959.58813125</v>
      </c>
      <c r="G2093" s="107" t="n">
        <f aca="false">IF($C2093="","",$D2093*IFERROR(INDEX('تحليل التكلفة والسعر'!$C$2:$C$700,MATCH($C2093,'تحليل التكلفة والسعر'!$B$2:$B$700,0)),0))</f>
        <v>518.52592595</v>
      </c>
      <c r="H2093" s="104" t="s">
        <v>719</v>
      </c>
    </row>
    <row r="2094" customFormat="false" ht="15" hidden="false" customHeight="false" outlineLevel="0" collapsed="false">
      <c r="A2094" s="103" t="n">
        <v>46300</v>
      </c>
      <c r="B2094" s="104" t="s">
        <v>34</v>
      </c>
      <c r="C2094" s="104" t="s">
        <v>461</v>
      </c>
      <c r="D2094" s="105" t="n">
        <v>6.6667</v>
      </c>
      <c r="E2094" s="106" t="n">
        <v>143.9375</v>
      </c>
      <c r="F2094" s="107" t="n">
        <f aca="false">IF($C2094="","",$D2094*$E2094)</f>
        <v>959.58813125</v>
      </c>
      <c r="G2094" s="107" t="n">
        <f aca="false">IF($C2094="","",$D2094*IFERROR(INDEX('تحليل التكلفة والسعر'!$C$2:$C$700,MATCH($C2094,'تحليل التكلفة والسعر'!$B$2:$B$700,0)),0))</f>
        <v>518.52592595</v>
      </c>
      <c r="H2094" s="104" t="s">
        <v>719</v>
      </c>
    </row>
    <row r="2095" customFormat="false" ht="15" hidden="false" customHeight="false" outlineLevel="0" collapsed="false">
      <c r="A2095" s="103" t="n">
        <v>46301</v>
      </c>
      <c r="B2095" s="104" t="s">
        <v>34</v>
      </c>
      <c r="C2095" s="104" t="s">
        <v>461</v>
      </c>
      <c r="D2095" s="105" t="n">
        <v>6.6667</v>
      </c>
      <c r="E2095" s="106" t="n">
        <v>143.9375</v>
      </c>
      <c r="F2095" s="107" t="n">
        <f aca="false">IF($C2095="","",$D2095*$E2095)</f>
        <v>959.58813125</v>
      </c>
      <c r="G2095" s="107" t="n">
        <f aca="false">IF($C2095="","",$D2095*IFERROR(INDEX('تحليل التكلفة والسعر'!$C$2:$C$700,MATCH($C2095,'تحليل التكلفة والسعر'!$B$2:$B$700,0)),0))</f>
        <v>518.52592595</v>
      </c>
      <c r="H2095" s="104" t="s">
        <v>719</v>
      </c>
    </row>
    <row r="2096" customFormat="false" ht="15" hidden="false" customHeight="false" outlineLevel="0" collapsed="false">
      <c r="A2096" s="103" t="n">
        <v>46302</v>
      </c>
      <c r="B2096" s="104" t="s">
        <v>34</v>
      </c>
      <c r="C2096" s="104" t="s">
        <v>461</v>
      </c>
      <c r="D2096" s="105" t="n">
        <v>6.6667</v>
      </c>
      <c r="E2096" s="106" t="n">
        <v>143.9375</v>
      </c>
      <c r="F2096" s="107" t="n">
        <f aca="false">IF($C2096="","",$D2096*$E2096)</f>
        <v>959.58813125</v>
      </c>
      <c r="G2096" s="107" t="n">
        <f aca="false">IF($C2096="","",$D2096*IFERROR(INDEX('تحليل التكلفة والسعر'!$C$2:$C$700,MATCH($C2096,'تحليل التكلفة والسعر'!$B$2:$B$700,0)),0))</f>
        <v>518.52592595</v>
      </c>
      <c r="H2096" s="104" t="s">
        <v>719</v>
      </c>
    </row>
    <row r="2097" customFormat="false" ht="15" hidden="false" customHeight="false" outlineLevel="0" collapsed="false">
      <c r="A2097" s="103" t="n">
        <v>46303</v>
      </c>
      <c r="B2097" s="104" t="s">
        <v>34</v>
      </c>
      <c r="C2097" s="104" t="s">
        <v>461</v>
      </c>
      <c r="D2097" s="105" t="n">
        <v>6.6667</v>
      </c>
      <c r="E2097" s="106" t="n">
        <v>143.9375</v>
      </c>
      <c r="F2097" s="107" t="n">
        <f aca="false">IF($C2097="","",$D2097*$E2097)</f>
        <v>959.58813125</v>
      </c>
      <c r="G2097" s="107" t="n">
        <f aca="false">IF($C2097="","",$D2097*IFERROR(INDEX('تحليل التكلفة والسعر'!$C$2:$C$700,MATCH($C2097,'تحليل التكلفة والسعر'!$B$2:$B$700,0)),0))</f>
        <v>518.52592595</v>
      </c>
      <c r="H2097" s="104" t="s">
        <v>719</v>
      </c>
    </row>
    <row r="2098" customFormat="false" ht="15" hidden="false" customHeight="false" outlineLevel="0" collapsed="false">
      <c r="A2098" s="103" t="n">
        <v>46304</v>
      </c>
      <c r="B2098" s="104" t="s">
        <v>34</v>
      </c>
      <c r="C2098" s="104" t="s">
        <v>461</v>
      </c>
      <c r="D2098" s="105" t="n">
        <v>6.6667</v>
      </c>
      <c r="E2098" s="106" t="n">
        <v>143.9375</v>
      </c>
      <c r="F2098" s="107" t="n">
        <f aca="false">IF($C2098="","",$D2098*$E2098)</f>
        <v>959.58813125</v>
      </c>
      <c r="G2098" s="107" t="n">
        <f aca="false">IF($C2098="","",$D2098*IFERROR(INDEX('تحليل التكلفة والسعر'!$C$2:$C$700,MATCH($C2098,'تحليل التكلفة والسعر'!$B$2:$B$700,0)),0))</f>
        <v>518.52592595</v>
      </c>
      <c r="H2098" s="104" t="s">
        <v>719</v>
      </c>
    </row>
    <row r="2099" customFormat="false" ht="15" hidden="false" customHeight="false" outlineLevel="0" collapsed="false">
      <c r="A2099" s="103" t="n">
        <v>46305</v>
      </c>
      <c r="B2099" s="104" t="s">
        <v>34</v>
      </c>
      <c r="C2099" s="104" t="s">
        <v>461</v>
      </c>
      <c r="D2099" s="105" t="n">
        <v>6.6667</v>
      </c>
      <c r="E2099" s="106" t="n">
        <v>143.9375</v>
      </c>
      <c r="F2099" s="107" t="n">
        <f aca="false">IF($C2099="","",$D2099*$E2099)</f>
        <v>959.58813125</v>
      </c>
      <c r="G2099" s="107" t="n">
        <f aca="false">IF($C2099="","",$D2099*IFERROR(INDEX('تحليل التكلفة والسعر'!$C$2:$C$700,MATCH($C2099,'تحليل التكلفة والسعر'!$B$2:$B$700,0)),0))</f>
        <v>518.52592595</v>
      </c>
      <c r="H2099" s="104" t="s">
        <v>719</v>
      </c>
    </row>
    <row r="2100" customFormat="false" ht="15" hidden="false" customHeight="false" outlineLevel="0" collapsed="false">
      <c r="A2100" s="103" t="n">
        <v>46306</v>
      </c>
      <c r="B2100" s="104" t="s">
        <v>34</v>
      </c>
      <c r="C2100" s="104" t="s">
        <v>461</v>
      </c>
      <c r="D2100" s="105" t="n">
        <v>6.6667</v>
      </c>
      <c r="E2100" s="106" t="n">
        <v>143.9375</v>
      </c>
      <c r="F2100" s="107" t="n">
        <f aca="false">IF($C2100="","",$D2100*$E2100)</f>
        <v>959.58813125</v>
      </c>
      <c r="G2100" s="107" t="n">
        <f aca="false">IF($C2100="","",$D2100*IFERROR(INDEX('تحليل التكلفة والسعر'!$C$2:$C$700,MATCH($C2100,'تحليل التكلفة والسعر'!$B$2:$B$700,0)),0))</f>
        <v>518.52592595</v>
      </c>
      <c r="H2100" s="104" t="s">
        <v>719</v>
      </c>
    </row>
    <row r="2101" customFormat="false" ht="15" hidden="false" customHeight="false" outlineLevel="0" collapsed="false">
      <c r="A2101" s="103" t="n">
        <v>46307</v>
      </c>
      <c r="B2101" s="104" t="s">
        <v>34</v>
      </c>
      <c r="C2101" s="104" t="s">
        <v>461</v>
      </c>
      <c r="D2101" s="105" t="n">
        <v>6.6667</v>
      </c>
      <c r="E2101" s="106" t="n">
        <v>143.9375</v>
      </c>
      <c r="F2101" s="107" t="n">
        <f aca="false">IF($C2101="","",$D2101*$E2101)</f>
        <v>959.58813125</v>
      </c>
      <c r="G2101" s="107" t="n">
        <f aca="false">IF($C2101="","",$D2101*IFERROR(INDEX('تحليل التكلفة والسعر'!$C$2:$C$700,MATCH($C2101,'تحليل التكلفة والسعر'!$B$2:$B$700,0)),0))</f>
        <v>518.52592595</v>
      </c>
      <c r="H2101" s="104" t="s">
        <v>719</v>
      </c>
    </row>
    <row r="2102" customFormat="false" ht="15" hidden="false" customHeight="false" outlineLevel="0" collapsed="false">
      <c r="A2102" s="103" t="n">
        <v>46296</v>
      </c>
      <c r="B2102" s="104" t="s">
        <v>34</v>
      </c>
      <c r="C2102" s="104" t="s">
        <v>392</v>
      </c>
      <c r="D2102" s="105" t="n">
        <v>0.0833</v>
      </c>
      <c r="E2102" s="106" t="n">
        <v>250</v>
      </c>
      <c r="F2102" s="107" t="n">
        <f aca="false">IF($C2102="","",$D2102*$E2102)</f>
        <v>20.825</v>
      </c>
      <c r="G2102" s="107" t="n">
        <f aca="false">IF($C2102="","",$D2102*IFERROR(INDEX('تحليل التكلفة والسعر'!$C$2:$C$700,MATCH($C2102,'تحليل التكلفة والسعر'!$B$2:$B$700,0)),0))</f>
        <v>7.99340136</v>
      </c>
      <c r="H2102" s="104" t="s">
        <v>719</v>
      </c>
    </row>
    <row r="2103" customFormat="false" ht="15" hidden="false" customHeight="false" outlineLevel="0" collapsed="false">
      <c r="A2103" s="103" t="n">
        <v>46297</v>
      </c>
      <c r="B2103" s="104" t="s">
        <v>34</v>
      </c>
      <c r="C2103" s="104" t="s">
        <v>392</v>
      </c>
      <c r="D2103" s="105" t="n">
        <v>0.0833</v>
      </c>
      <c r="E2103" s="106" t="n">
        <v>250</v>
      </c>
      <c r="F2103" s="107" t="n">
        <f aca="false">IF($C2103="","",$D2103*$E2103)</f>
        <v>20.825</v>
      </c>
      <c r="G2103" s="107" t="n">
        <f aca="false">IF($C2103="","",$D2103*IFERROR(INDEX('تحليل التكلفة والسعر'!$C$2:$C$700,MATCH($C2103,'تحليل التكلفة والسعر'!$B$2:$B$700,0)),0))</f>
        <v>7.99340136</v>
      </c>
      <c r="H2103" s="104" t="s">
        <v>719</v>
      </c>
    </row>
    <row r="2104" customFormat="false" ht="15" hidden="false" customHeight="false" outlineLevel="0" collapsed="false">
      <c r="A2104" s="103" t="n">
        <v>46298</v>
      </c>
      <c r="B2104" s="104" t="s">
        <v>34</v>
      </c>
      <c r="C2104" s="104" t="s">
        <v>392</v>
      </c>
      <c r="D2104" s="105" t="n">
        <v>0.0833</v>
      </c>
      <c r="E2104" s="106" t="n">
        <v>250</v>
      </c>
      <c r="F2104" s="107" t="n">
        <f aca="false">IF($C2104="","",$D2104*$E2104)</f>
        <v>20.825</v>
      </c>
      <c r="G2104" s="107" t="n">
        <f aca="false">IF($C2104="","",$D2104*IFERROR(INDEX('تحليل التكلفة والسعر'!$C$2:$C$700,MATCH($C2104,'تحليل التكلفة والسعر'!$B$2:$B$700,0)),0))</f>
        <v>7.99340136</v>
      </c>
      <c r="H2104" s="104" t="s">
        <v>719</v>
      </c>
    </row>
    <row r="2105" customFormat="false" ht="15" hidden="false" customHeight="false" outlineLevel="0" collapsed="false">
      <c r="A2105" s="103" t="n">
        <v>46299</v>
      </c>
      <c r="B2105" s="104" t="s">
        <v>34</v>
      </c>
      <c r="C2105" s="104" t="s">
        <v>392</v>
      </c>
      <c r="D2105" s="105" t="n">
        <v>0.0833</v>
      </c>
      <c r="E2105" s="106" t="n">
        <v>250</v>
      </c>
      <c r="F2105" s="107" t="n">
        <f aca="false">IF($C2105="","",$D2105*$E2105)</f>
        <v>20.825</v>
      </c>
      <c r="G2105" s="107" t="n">
        <f aca="false">IF($C2105="","",$D2105*IFERROR(INDEX('تحليل التكلفة والسعر'!$C$2:$C$700,MATCH($C2105,'تحليل التكلفة والسعر'!$B$2:$B$700,0)),0))</f>
        <v>7.99340136</v>
      </c>
      <c r="H2105" s="104" t="s">
        <v>719</v>
      </c>
    </row>
    <row r="2106" customFormat="false" ht="15" hidden="false" customHeight="false" outlineLevel="0" collapsed="false">
      <c r="A2106" s="103" t="n">
        <v>46300</v>
      </c>
      <c r="B2106" s="104" t="s">
        <v>34</v>
      </c>
      <c r="C2106" s="104" t="s">
        <v>392</v>
      </c>
      <c r="D2106" s="105" t="n">
        <v>0.0833</v>
      </c>
      <c r="E2106" s="106" t="n">
        <v>250</v>
      </c>
      <c r="F2106" s="107" t="n">
        <f aca="false">IF($C2106="","",$D2106*$E2106)</f>
        <v>20.825</v>
      </c>
      <c r="G2106" s="107" t="n">
        <f aca="false">IF($C2106="","",$D2106*IFERROR(INDEX('تحليل التكلفة والسعر'!$C$2:$C$700,MATCH($C2106,'تحليل التكلفة والسعر'!$B$2:$B$700,0)),0))</f>
        <v>7.99340136</v>
      </c>
      <c r="H2106" s="104" t="s">
        <v>719</v>
      </c>
    </row>
    <row r="2107" customFormat="false" ht="15" hidden="false" customHeight="false" outlineLevel="0" collapsed="false">
      <c r="A2107" s="103" t="n">
        <v>46301</v>
      </c>
      <c r="B2107" s="104" t="s">
        <v>34</v>
      </c>
      <c r="C2107" s="104" t="s">
        <v>392</v>
      </c>
      <c r="D2107" s="105" t="n">
        <v>0.0833</v>
      </c>
      <c r="E2107" s="106" t="n">
        <v>250</v>
      </c>
      <c r="F2107" s="107" t="n">
        <f aca="false">IF($C2107="","",$D2107*$E2107)</f>
        <v>20.825</v>
      </c>
      <c r="G2107" s="107" t="n">
        <f aca="false">IF($C2107="","",$D2107*IFERROR(INDEX('تحليل التكلفة والسعر'!$C$2:$C$700,MATCH($C2107,'تحليل التكلفة والسعر'!$B$2:$B$700,0)),0))</f>
        <v>7.99340136</v>
      </c>
      <c r="H2107" s="104" t="s">
        <v>719</v>
      </c>
    </row>
    <row r="2108" customFormat="false" ht="15" hidden="false" customHeight="false" outlineLevel="0" collapsed="false">
      <c r="A2108" s="103" t="n">
        <v>46302</v>
      </c>
      <c r="B2108" s="104" t="s">
        <v>34</v>
      </c>
      <c r="C2108" s="104" t="s">
        <v>392</v>
      </c>
      <c r="D2108" s="105" t="n">
        <v>0.0833</v>
      </c>
      <c r="E2108" s="106" t="n">
        <v>250</v>
      </c>
      <c r="F2108" s="107" t="n">
        <f aca="false">IF($C2108="","",$D2108*$E2108)</f>
        <v>20.825</v>
      </c>
      <c r="G2108" s="107" t="n">
        <f aca="false">IF($C2108="","",$D2108*IFERROR(INDEX('تحليل التكلفة والسعر'!$C$2:$C$700,MATCH($C2108,'تحليل التكلفة والسعر'!$B$2:$B$700,0)),0))</f>
        <v>7.99340136</v>
      </c>
      <c r="H2108" s="104" t="s">
        <v>719</v>
      </c>
    </row>
    <row r="2109" customFormat="false" ht="15" hidden="false" customHeight="false" outlineLevel="0" collapsed="false">
      <c r="A2109" s="103" t="n">
        <v>46303</v>
      </c>
      <c r="B2109" s="104" t="s">
        <v>34</v>
      </c>
      <c r="C2109" s="104" t="s">
        <v>392</v>
      </c>
      <c r="D2109" s="105" t="n">
        <v>0.0833</v>
      </c>
      <c r="E2109" s="106" t="n">
        <v>250</v>
      </c>
      <c r="F2109" s="107" t="n">
        <f aca="false">IF($C2109="","",$D2109*$E2109)</f>
        <v>20.825</v>
      </c>
      <c r="G2109" s="107" t="n">
        <f aca="false">IF($C2109="","",$D2109*IFERROR(INDEX('تحليل التكلفة والسعر'!$C$2:$C$700,MATCH($C2109,'تحليل التكلفة والسعر'!$B$2:$B$700,0)),0))</f>
        <v>7.99340136</v>
      </c>
      <c r="H2109" s="104" t="s">
        <v>719</v>
      </c>
    </row>
    <row r="2110" customFormat="false" ht="15" hidden="false" customHeight="false" outlineLevel="0" collapsed="false">
      <c r="A2110" s="103" t="n">
        <v>46304</v>
      </c>
      <c r="B2110" s="104" t="s">
        <v>34</v>
      </c>
      <c r="C2110" s="104" t="s">
        <v>392</v>
      </c>
      <c r="D2110" s="105" t="n">
        <v>0.0833</v>
      </c>
      <c r="E2110" s="106" t="n">
        <v>250</v>
      </c>
      <c r="F2110" s="107" t="n">
        <f aca="false">IF($C2110="","",$D2110*$E2110)</f>
        <v>20.825</v>
      </c>
      <c r="G2110" s="107" t="n">
        <f aca="false">IF($C2110="","",$D2110*IFERROR(INDEX('تحليل التكلفة والسعر'!$C$2:$C$700,MATCH($C2110,'تحليل التكلفة والسعر'!$B$2:$B$700,0)),0))</f>
        <v>7.99340136</v>
      </c>
      <c r="H2110" s="104" t="s">
        <v>719</v>
      </c>
    </row>
    <row r="2111" customFormat="false" ht="15" hidden="false" customHeight="false" outlineLevel="0" collapsed="false">
      <c r="A2111" s="103" t="n">
        <v>46305</v>
      </c>
      <c r="B2111" s="104" t="s">
        <v>34</v>
      </c>
      <c r="C2111" s="104" t="s">
        <v>392</v>
      </c>
      <c r="D2111" s="105" t="n">
        <v>0.0833</v>
      </c>
      <c r="E2111" s="106" t="n">
        <v>250</v>
      </c>
      <c r="F2111" s="107" t="n">
        <f aca="false">IF($C2111="","",$D2111*$E2111)</f>
        <v>20.825</v>
      </c>
      <c r="G2111" s="107" t="n">
        <f aca="false">IF($C2111="","",$D2111*IFERROR(INDEX('تحليل التكلفة والسعر'!$C$2:$C$700,MATCH($C2111,'تحليل التكلفة والسعر'!$B$2:$B$700,0)),0))</f>
        <v>7.99340136</v>
      </c>
      <c r="H2111" s="104" t="s">
        <v>719</v>
      </c>
    </row>
    <row r="2112" customFormat="false" ht="15" hidden="false" customHeight="false" outlineLevel="0" collapsed="false">
      <c r="A2112" s="103" t="n">
        <v>46306</v>
      </c>
      <c r="B2112" s="104" t="s">
        <v>34</v>
      </c>
      <c r="C2112" s="104" t="s">
        <v>392</v>
      </c>
      <c r="D2112" s="105" t="n">
        <v>0.0833</v>
      </c>
      <c r="E2112" s="106" t="n">
        <v>250</v>
      </c>
      <c r="F2112" s="107" t="n">
        <f aca="false">IF($C2112="","",$D2112*$E2112)</f>
        <v>20.825</v>
      </c>
      <c r="G2112" s="107" t="n">
        <f aca="false">IF($C2112="","",$D2112*IFERROR(INDEX('تحليل التكلفة والسعر'!$C$2:$C$700,MATCH($C2112,'تحليل التكلفة والسعر'!$B$2:$B$700,0)),0))</f>
        <v>7.99340136</v>
      </c>
      <c r="H2112" s="104" t="s">
        <v>719</v>
      </c>
    </row>
    <row r="2113" customFormat="false" ht="15" hidden="false" customHeight="false" outlineLevel="0" collapsed="false">
      <c r="A2113" s="103" t="n">
        <v>46307</v>
      </c>
      <c r="B2113" s="104" t="s">
        <v>34</v>
      </c>
      <c r="C2113" s="104" t="s">
        <v>392</v>
      </c>
      <c r="D2113" s="105" t="n">
        <v>0.0833</v>
      </c>
      <c r="E2113" s="106" t="n">
        <v>250</v>
      </c>
      <c r="F2113" s="107" t="n">
        <f aca="false">IF($C2113="","",$D2113*$E2113)</f>
        <v>20.825</v>
      </c>
      <c r="G2113" s="107" t="n">
        <f aca="false">IF($C2113="","",$D2113*IFERROR(INDEX('تحليل التكلفة والسعر'!$C$2:$C$700,MATCH($C2113,'تحليل التكلفة والسعر'!$B$2:$B$700,0)),0))</f>
        <v>7.99340136</v>
      </c>
      <c r="H2113" s="104" t="s">
        <v>719</v>
      </c>
    </row>
    <row r="2114" customFormat="false" ht="15" hidden="false" customHeight="false" outlineLevel="0" collapsed="false">
      <c r="A2114" s="103" t="n">
        <v>46296</v>
      </c>
      <c r="B2114" s="104" t="s">
        <v>34</v>
      </c>
      <c r="C2114" s="104" t="s">
        <v>445</v>
      </c>
      <c r="D2114" s="105" t="n">
        <v>0.8333</v>
      </c>
      <c r="E2114" s="106" t="n">
        <v>185</v>
      </c>
      <c r="F2114" s="107" t="n">
        <f aca="false">IF($C2114="","",$D2114*$E2114)</f>
        <v>154.1605</v>
      </c>
      <c r="G2114" s="107" t="n">
        <f aca="false">IF($C2114="","",$D2114*IFERROR(INDEX('تحليل التكلفة والسعر'!$C$2:$C$700,MATCH($C2114,'تحليل التكلفة والسعر'!$B$2:$B$700,0)),0))</f>
        <v>66.14252086</v>
      </c>
      <c r="H2114" s="104" t="s">
        <v>719</v>
      </c>
    </row>
    <row r="2115" customFormat="false" ht="15" hidden="false" customHeight="false" outlineLevel="0" collapsed="false">
      <c r="A2115" s="103" t="n">
        <v>46297</v>
      </c>
      <c r="B2115" s="104" t="s">
        <v>34</v>
      </c>
      <c r="C2115" s="104" t="s">
        <v>445</v>
      </c>
      <c r="D2115" s="105" t="n">
        <v>0.8333</v>
      </c>
      <c r="E2115" s="106" t="n">
        <v>185</v>
      </c>
      <c r="F2115" s="107" t="n">
        <f aca="false">IF($C2115="","",$D2115*$E2115)</f>
        <v>154.1605</v>
      </c>
      <c r="G2115" s="107" t="n">
        <f aca="false">IF($C2115="","",$D2115*IFERROR(INDEX('تحليل التكلفة والسعر'!$C$2:$C$700,MATCH($C2115,'تحليل التكلفة والسعر'!$B$2:$B$700,0)),0))</f>
        <v>66.14252086</v>
      </c>
      <c r="H2115" s="104" t="s">
        <v>719</v>
      </c>
    </row>
    <row r="2116" customFormat="false" ht="15" hidden="false" customHeight="false" outlineLevel="0" collapsed="false">
      <c r="A2116" s="103" t="n">
        <v>46298</v>
      </c>
      <c r="B2116" s="104" t="s">
        <v>34</v>
      </c>
      <c r="C2116" s="104" t="s">
        <v>445</v>
      </c>
      <c r="D2116" s="105" t="n">
        <v>0.8333</v>
      </c>
      <c r="E2116" s="106" t="n">
        <v>185</v>
      </c>
      <c r="F2116" s="107" t="n">
        <f aca="false">IF($C2116="","",$D2116*$E2116)</f>
        <v>154.1605</v>
      </c>
      <c r="G2116" s="107" t="n">
        <f aca="false">IF($C2116="","",$D2116*IFERROR(INDEX('تحليل التكلفة والسعر'!$C$2:$C$700,MATCH($C2116,'تحليل التكلفة والسعر'!$B$2:$B$700,0)),0))</f>
        <v>66.14252086</v>
      </c>
      <c r="H2116" s="104" t="s">
        <v>719</v>
      </c>
    </row>
    <row r="2117" customFormat="false" ht="15" hidden="false" customHeight="false" outlineLevel="0" collapsed="false">
      <c r="A2117" s="103" t="n">
        <v>46299</v>
      </c>
      <c r="B2117" s="104" t="s">
        <v>34</v>
      </c>
      <c r="C2117" s="104" t="s">
        <v>445</v>
      </c>
      <c r="D2117" s="105" t="n">
        <v>0.8333</v>
      </c>
      <c r="E2117" s="106" t="n">
        <v>185</v>
      </c>
      <c r="F2117" s="107" t="n">
        <f aca="false">IF($C2117="","",$D2117*$E2117)</f>
        <v>154.1605</v>
      </c>
      <c r="G2117" s="107" t="n">
        <f aca="false">IF($C2117="","",$D2117*IFERROR(INDEX('تحليل التكلفة والسعر'!$C$2:$C$700,MATCH($C2117,'تحليل التكلفة والسعر'!$B$2:$B$700,0)),0))</f>
        <v>66.14252086</v>
      </c>
      <c r="H2117" s="104" t="s">
        <v>719</v>
      </c>
    </row>
    <row r="2118" customFormat="false" ht="15" hidden="false" customHeight="false" outlineLevel="0" collapsed="false">
      <c r="A2118" s="103" t="n">
        <v>46300</v>
      </c>
      <c r="B2118" s="104" t="s">
        <v>34</v>
      </c>
      <c r="C2118" s="104" t="s">
        <v>445</v>
      </c>
      <c r="D2118" s="105" t="n">
        <v>0.8333</v>
      </c>
      <c r="E2118" s="106" t="n">
        <v>185</v>
      </c>
      <c r="F2118" s="107" t="n">
        <f aca="false">IF($C2118="","",$D2118*$E2118)</f>
        <v>154.1605</v>
      </c>
      <c r="G2118" s="107" t="n">
        <f aca="false">IF($C2118="","",$D2118*IFERROR(INDEX('تحليل التكلفة والسعر'!$C$2:$C$700,MATCH($C2118,'تحليل التكلفة والسعر'!$B$2:$B$700,0)),0))</f>
        <v>66.14252086</v>
      </c>
      <c r="H2118" s="104" t="s">
        <v>719</v>
      </c>
    </row>
    <row r="2119" customFormat="false" ht="15" hidden="false" customHeight="false" outlineLevel="0" collapsed="false">
      <c r="A2119" s="103" t="n">
        <v>46301</v>
      </c>
      <c r="B2119" s="104" t="s">
        <v>34</v>
      </c>
      <c r="C2119" s="104" t="s">
        <v>445</v>
      </c>
      <c r="D2119" s="105" t="n">
        <v>0.8333</v>
      </c>
      <c r="E2119" s="106" t="n">
        <v>185</v>
      </c>
      <c r="F2119" s="107" t="n">
        <f aca="false">IF($C2119="","",$D2119*$E2119)</f>
        <v>154.1605</v>
      </c>
      <c r="G2119" s="107" t="n">
        <f aca="false">IF($C2119="","",$D2119*IFERROR(INDEX('تحليل التكلفة والسعر'!$C$2:$C$700,MATCH($C2119,'تحليل التكلفة والسعر'!$B$2:$B$700,0)),0))</f>
        <v>66.14252086</v>
      </c>
      <c r="H2119" s="104" t="s">
        <v>719</v>
      </c>
    </row>
    <row r="2120" customFormat="false" ht="15" hidden="false" customHeight="false" outlineLevel="0" collapsed="false">
      <c r="A2120" s="103" t="n">
        <v>46302</v>
      </c>
      <c r="B2120" s="104" t="s">
        <v>34</v>
      </c>
      <c r="C2120" s="104" t="s">
        <v>445</v>
      </c>
      <c r="D2120" s="105" t="n">
        <v>0.8333</v>
      </c>
      <c r="E2120" s="106" t="n">
        <v>185</v>
      </c>
      <c r="F2120" s="107" t="n">
        <f aca="false">IF($C2120="","",$D2120*$E2120)</f>
        <v>154.1605</v>
      </c>
      <c r="G2120" s="107" t="n">
        <f aca="false">IF($C2120="","",$D2120*IFERROR(INDEX('تحليل التكلفة والسعر'!$C$2:$C$700,MATCH($C2120,'تحليل التكلفة والسعر'!$B$2:$B$700,0)),0))</f>
        <v>66.14252086</v>
      </c>
      <c r="H2120" s="104" t="s">
        <v>719</v>
      </c>
    </row>
    <row r="2121" customFormat="false" ht="15" hidden="false" customHeight="false" outlineLevel="0" collapsed="false">
      <c r="A2121" s="103" t="n">
        <v>46303</v>
      </c>
      <c r="B2121" s="104" t="s">
        <v>34</v>
      </c>
      <c r="C2121" s="104" t="s">
        <v>445</v>
      </c>
      <c r="D2121" s="105" t="n">
        <v>0.8333</v>
      </c>
      <c r="E2121" s="106" t="n">
        <v>185</v>
      </c>
      <c r="F2121" s="107" t="n">
        <f aca="false">IF($C2121="","",$D2121*$E2121)</f>
        <v>154.1605</v>
      </c>
      <c r="G2121" s="107" t="n">
        <f aca="false">IF($C2121="","",$D2121*IFERROR(INDEX('تحليل التكلفة والسعر'!$C$2:$C$700,MATCH($C2121,'تحليل التكلفة والسعر'!$B$2:$B$700,0)),0))</f>
        <v>66.14252086</v>
      </c>
      <c r="H2121" s="104" t="s">
        <v>719</v>
      </c>
    </row>
    <row r="2122" customFormat="false" ht="15" hidden="false" customHeight="false" outlineLevel="0" collapsed="false">
      <c r="A2122" s="103" t="n">
        <v>46304</v>
      </c>
      <c r="B2122" s="104" t="s">
        <v>34</v>
      </c>
      <c r="C2122" s="104" t="s">
        <v>445</v>
      </c>
      <c r="D2122" s="105" t="n">
        <v>0.8333</v>
      </c>
      <c r="E2122" s="106" t="n">
        <v>185</v>
      </c>
      <c r="F2122" s="107" t="n">
        <f aca="false">IF($C2122="","",$D2122*$E2122)</f>
        <v>154.1605</v>
      </c>
      <c r="G2122" s="107" t="n">
        <f aca="false">IF($C2122="","",$D2122*IFERROR(INDEX('تحليل التكلفة والسعر'!$C$2:$C$700,MATCH($C2122,'تحليل التكلفة والسعر'!$B$2:$B$700,0)),0))</f>
        <v>66.14252086</v>
      </c>
      <c r="H2122" s="104" t="s">
        <v>719</v>
      </c>
    </row>
    <row r="2123" customFormat="false" ht="15" hidden="false" customHeight="false" outlineLevel="0" collapsed="false">
      <c r="A2123" s="103" t="n">
        <v>46305</v>
      </c>
      <c r="B2123" s="104" t="s">
        <v>34</v>
      </c>
      <c r="C2123" s="104" t="s">
        <v>445</v>
      </c>
      <c r="D2123" s="105" t="n">
        <v>0.8333</v>
      </c>
      <c r="E2123" s="106" t="n">
        <v>185</v>
      </c>
      <c r="F2123" s="107" t="n">
        <f aca="false">IF($C2123="","",$D2123*$E2123)</f>
        <v>154.1605</v>
      </c>
      <c r="G2123" s="107" t="n">
        <f aca="false">IF($C2123="","",$D2123*IFERROR(INDEX('تحليل التكلفة والسعر'!$C$2:$C$700,MATCH($C2123,'تحليل التكلفة والسعر'!$B$2:$B$700,0)),0))</f>
        <v>66.14252086</v>
      </c>
      <c r="H2123" s="104" t="s">
        <v>719</v>
      </c>
    </row>
    <row r="2124" customFormat="false" ht="15" hidden="false" customHeight="false" outlineLevel="0" collapsed="false">
      <c r="A2124" s="103" t="n">
        <v>46306</v>
      </c>
      <c r="B2124" s="104" t="s">
        <v>34</v>
      </c>
      <c r="C2124" s="104" t="s">
        <v>445</v>
      </c>
      <c r="D2124" s="105" t="n">
        <v>0.8333</v>
      </c>
      <c r="E2124" s="106" t="n">
        <v>185</v>
      </c>
      <c r="F2124" s="107" t="n">
        <f aca="false">IF($C2124="","",$D2124*$E2124)</f>
        <v>154.1605</v>
      </c>
      <c r="G2124" s="107" t="n">
        <f aca="false">IF($C2124="","",$D2124*IFERROR(INDEX('تحليل التكلفة والسعر'!$C$2:$C$700,MATCH($C2124,'تحليل التكلفة والسعر'!$B$2:$B$700,0)),0))</f>
        <v>66.14252086</v>
      </c>
      <c r="H2124" s="104" t="s">
        <v>719</v>
      </c>
    </row>
    <row r="2125" customFormat="false" ht="15" hidden="false" customHeight="false" outlineLevel="0" collapsed="false">
      <c r="A2125" s="103" t="n">
        <v>46307</v>
      </c>
      <c r="B2125" s="104" t="s">
        <v>34</v>
      </c>
      <c r="C2125" s="104" t="s">
        <v>445</v>
      </c>
      <c r="D2125" s="105" t="n">
        <v>0.8333</v>
      </c>
      <c r="E2125" s="106" t="n">
        <v>185</v>
      </c>
      <c r="F2125" s="107" t="n">
        <f aca="false">IF($C2125="","",$D2125*$E2125)</f>
        <v>154.1605</v>
      </c>
      <c r="G2125" s="107" t="n">
        <f aca="false">IF($C2125="","",$D2125*IFERROR(INDEX('تحليل التكلفة والسعر'!$C$2:$C$700,MATCH($C2125,'تحليل التكلفة والسعر'!$B$2:$B$700,0)),0))</f>
        <v>66.14252086</v>
      </c>
      <c r="H2125" s="104" t="s">
        <v>719</v>
      </c>
    </row>
    <row r="2126" customFormat="false" ht="15" hidden="false" customHeight="false" outlineLevel="0" collapsed="false">
      <c r="A2126" s="103" t="n">
        <v>46296</v>
      </c>
      <c r="B2126" s="104" t="s">
        <v>34</v>
      </c>
      <c r="C2126" s="104" t="s">
        <v>397</v>
      </c>
      <c r="D2126" s="105" t="n">
        <v>0.25</v>
      </c>
      <c r="E2126" s="106" t="n">
        <v>290</v>
      </c>
      <c r="F2126" s="107" t="n">
        <f aca="false">IF($C2126="","",$D2126*$E2126)</f>
        <v>72.5</v>
      </c>
      <c r="G2126" s="107" t="n">
        <f aca="false">IF($C2126="","",$D2126*IFERROR(INDEX('تحليل التكلفة والسعر'!$C$2:$C$700,MATCH($C2126,'تحليل التكلفة والسعر'!$B$2:$B$700,0)),0))</f>
        <v>25.3023</v>
      </c>
      <c r="H2126" s="104" t="s">
        <v>719</v>
      </c>
    </row>
    <row r="2127" customFormat="false" ht="15" hidden="false" customHeight="false" outlineLevel="0" collapsed="false">
      <c r="A2127" s="103" t="n">
        <v>46297</v>
      </c>
      <c r="B2127" s="104" t="s">
        <v>34</v>
      </c>
      <c r="C2127" s="104" t="s">
        <v>397</v>
      </c>
      <c r="D2127" s="105" t="n">
        <v>0.25</v>
      </c>
      <c r="E2127" s="106" t="n">
        <v>290</v>
      </c>
      <c r="F2127" s="107" t="n">
        <f aca="false">IF($C2127="","",$D2127*$E2127)</f>
        <v>72.5</v>
      </c>
      <c r="G2127" s="107" t="n">
        <f aca="false">IF($C2127="","",$D2127*IFERROR(INDEX('تحليل التكلفة والسعر'!$C$2:$C$700,MATCH($C2127,'تحليل التكلفة والسعر'!$B$2:$B$700,0)),0))</f>
        <v>25.3023</v>
      </c>
      <c r="H2127" s="104" t="s">
        <v>719</v>
      </c>
    </row>
    <row r="2128" customFormat="false" ht="15" hidden="false" customHeight="false" outlineLevel="0" collapsed="false">
      <c r="A2128" s="103" t="n">
        <v>46298</v>
      </c>
      <c r="B2128" s="104" t="s">
        <v>34</v>
      </c>
      <c r="C2128" s="104" t="s">
        <v>397</v>
      </c>
      <c r="D2128" s="105" t="n">
        <v>0.25</v>
      </c>
      <c r="E2128" s="106" t="n">
        <v>290</v>
      </c>
      <c r="F2128" s="107" t="n">
        <f aca="false">IF($C2128="","",$D2128*$E2128)</f>
        <v>72.5</v>
      </c>
      <c r="G2128" s="107" t="n">
        <f aca="false">IF($C2128="","",$D2128*IFERROR(INDEX('تحليل التكلفة والسعر'!$C$2:$C$700,MATCH($C2128,'تحليل التكلفة والسعر'!$B$2:$B$700,0)),0))</f>
        <v>25.3023</v>
      </c>
      <c r="H2128" s="104" t="s">
        <v>719</v>
      </c>
    </row>
    <row r="2129" customFormat="false" ht="15" hidden="false" customHeight="false" outlineLevel="0" collapsed="false">
      <c r="A2129" s="103" t="n">
        <v>46299</v>
      </c>
      <c r="B2129" s="104" t="s">
        <v>34</v>
      </c>
      <c r="C2129" s="104" t="s">
        <v>397</v>
      </c>
      <c r="D2129" s="105" t="n">
        <v>0.25</v>
      </c>
      <c r="E2129" s="106" t="n">
        <v>290</v>
      </c>
      <c r="F2129" s="107" t="n">
        <f aca="false">IF($C2129="","",$D2129*$E2129)</f>
        <v>72.5</v>
      </c>
      <c r="G2129" s="107" t="n">
        <f aca="false">IF($C2129="","",$D2129*IFERROR(INDEX('تحليل التكلفة والسعر'!$C$2:$C$700,MATCH($C2129,'تحليل التكلفة والسعر'!$B$2:$B$700,0)),0))</f>
        <v>25.3023</v>
      </c>
      <c r="H2129" s="104" t="s">
        <v>719</v>
      </c>
    </row>
    <row r="2130" customFormat="false" ht="15" hidden="false" customHeight="false" outlineLevel="0" collapsed="false">
      <c r="A2130" s="103" t="n">
        <v>46300</v>
      </c>
      <c r="B2130" s="104" t="s">
        <v>34</v>
      </c>
      <c r="C2130" s="104" t="s">
        <v>397</v>
      </c>
      <c r="D2130" s="105" t="n">
        <v>0.25</v>
      </c>
      <c r="E2130" s="106" t="n">
        <v>290</v>
      </c>
      <c r="F2130" s="107" t="n">
        <f aca="false">IF($C2130="","",$D2130*$E2130)</f>
        <v>72.5</v>
      </c>
      <c r="G2130" s="107" t="n">
        <f aca="false">IF($C2130="","",$D2130*IFERROR(INDEX('تحليل التكلفة والسعر'!$C$2:$C$700,MATCH($C2130,'تحليل التكلفة والسعر'!$B$2:$B$700,0)),0))</f>
        <v>25.3023</v>
      </c>
      <c r="H2130" s="104" t="s">
        <v>719</v>
      </c>
    </row>
    <row r="2131" customFormat="false" ht="15" hidden="false" customHeight="false" outlineLevel="0" collapsed="false">
      <c r="A2131" s="103" t="n">
        <v>46301</v>
      </c>
      <c r="B2131" s="104" t="s">
        <v>34</v>
      </c>
      <c r="C2131" s="104" t="s">
        <v>397</v>
      </c>
      <c r="D2131" s="105" t="n">
        <v>0.25</v>
      </c>
      <c r="E2131" s="106" t="n">
        <v>290</v>
      </c>
      <c r="F2131" s="107" t="n">
        <f aca="false">IF($C2131="","",$D2131*$E2131)</f>
        <v>72.5</v>
      </c>
      <c r="G2131" s="107" t="n">
        <f aca="false">IF($C2131="","",$D2131*IFERROR(INDEX('تحليل التكلفة والسعر'!$C$2:$C$700,MATCH($C2131,'تحليل التكلفة والسعر'!$B$2:$B$700,0)),0))</f>
        <v>25.3023</v>
      </c>
      <c r="H2131" s="104" t="s">
        <v>719</v>
      </c>
    </row>
    <row r="2132" customFormat="false" ht="15" hidden="false" customHeight="false" outlineLevel="0" collapsed="false">
      <c r="A2132" s="103" t="n">
        <v>46302</v>
      </c>
      <c r="B2132" s="104" t="s">
        <v>34</v>
      </c>
      <c r="C2132" s="104" t="s">
        <v>397</v>
      </c>
      <c r="D2132" s="105" t="n">
        <v>0.25</v>
      </c>
      <c r="E2132" s="106" t="n">
        <v>290</v>
      </c>
      <c r="F2132" s="107" t="n">
        <f aca="false">IF($C2132="","",$D2132*$E2132)</f>
        <v>72.5</v>
      </c>
      <c r="G2132" s="107" t="n">
        <f aca="false">IF($C2132="","",$D2132*IFERROR(INDEX('تحليل التكلفة والسعر'!$C$2:$C$700,MATCH($C2132,'تحليل التكلفة والسعر'!$B$2:$B$700,0)),0))</f>
        <v>25.3023</v>
      </c>
      <c r="H2132" s="104" t="s">
        <v>719</v>
      </c>
    </row>
    <row r="2133" customFormat="false" ht="15" hidden="false" customHeight="false" outlineLevel="0" collapsed="false">
      <c r="A2133" s="103" t="n">
        <v>46303</v>
      </c>
      <c r="B2133" s="104" t="s">
        <v>34</v>
      </c>
      <c r="C2133" s="104" t="s">
        <v>397</v>
      </c>
      <c r="D2133" s="105" t="n">
        <v>0.25</v>
      </c>
      <c r="E2133" s="106" t="n">
        <v>290</v>
      </c>
      <c r="F2133" s="107" t="n">
        <f aca="false">IF($C2133="","",$D2133*$E2133)</f>
        <v>72.5</v>
      </c>
      <c r="G2133" s="107" t="n">
        <f aca="false">IF($C2133="","",$D2133*IFERROR(INDEX('تحليل التكلفة والسعر'!$C$2:$C$700,MATCH($C2133,'تحليل التكلفة والسعر'!$B$2:$B$700,0)),0))</f>
        <v>25.3023</v>
      </c>
      <c r="H2133" s="104" t="s">
        <v>719</v>
      </c>
    </row>
    <row r="2134" customFormat="false" ht="15" hidden="false" customHeight="false" outlineLevel="0" collapsed="false">
      <c r="A2134" s="103" t="n">
        <v>46304</v>
      </c>
      <c r="B2134" s="104" t="s">
        <v>34</v>
      </c>
      <c r="C2134" s="104" t="s">
        <v>397</v>
      </c>
      <c r="D2134" s="105" t="n">
        <v>0.25</v>
      </c>
      <c r="E2134" s="106" t="n">
        <v>290</v>
      </c>
      <c r="F2134" s="107" t="n">
        <f aca="false">IF($C2134="","",$D2134*$E2134)</f>
        <v>72.5</v>
      </c>
      <c r="G2134" s="107" t="n">
        <f aca="false">IF($C2134="","",$D2134*IFERROR(INDEX('تحليل التكلفة والسعر'!$C$2:$C$700,MATCH($C2134,'تحليل التكلفة والسعر'!$B$2:$B$700,0)),0))</f>
        <v>25.3023</v>
      </c>
      <c r="H2134" s="104" t="s">
        <v>719</v>
      </c>
    </row>
    <row r="2135" customFormat="false" ht="15" hidden="false" customHeight="false" outlineLevel="0" collapsed="false">
      <c r="A2135" s="103" t="n">
        <v>46305</v>
      </c>
      <c r="B2135" s="104" t="s">
        <v>34</v>
      </c>
      <c r="C2135" s="104" t="s">
        <v>397</v>
      </c>
      <c r="D2135" s="105" t="n">
        <v>0.25</v>
      </c>
      <c r="E2135" s="106" t="n">
        <v>290</v>
      </c>
      <c r="F2135" s="107" t="n">
        <f aca="false">IF($C2135="","",$D2135*$E2135)</f>
        <v>72.5</v>
      </c>
      <c r="G2135" s="107" t="n">
        <f aca="false">IF($C2135="","",$D2135*IFERROR(INDEX('تحليل التكلفة والسعر'!$C$2:$C$700,MATCH($C2135,'تحليل التكلفة والسعر'!$B$2:$B$700,0)),0))</f>
        <v>25.3023</v>
      </c>
      <c r="H2135" s="104" t="s">
        <v>719</v>
      </c>
    </row>
    <row r="2136" customFormat="false" ht="15" hidden="false" customHeight="false" outlineLevel="0" collapsed="false">
      <c r="A2136" s="103" t="n">
        <v>46306</v>
      </c>
      <c r="B2136" s="104" t="s">
        <v>34</v>
      </c>
      <c r="C2136" s="104" t="s">
        <v>397</v>
      </c>
      <c r="D2136" s="105" t="n">
        <v>0.25</v>
      </c>
      <c r="E2136" s="106" t="n">
        <v>290</v>
      </c>
      <c r="F2136" s="107" t="n">
        <f aca="false">IF($C2136="","",$D2136*$E2136)</f>
        <v>72.5</v>
      </c>
      <c r="G2136" s="107" t="n">
        <f aca="false">IF($C2136="","",$D2136*IFERROR(INDEX('تحليل التكلفة والسعر'!$C$2:$C$700,MATCH($C2136,'تحليل التكلفة والسعر'!$B$2:$B$700,0)),0))</f>
        <v>25.3023</v>
      </c>
      <c r="H2136" s="104" t="s">
        <v>719</v>
      </c>
    </row>
    <row r="2137" customFormat="false" ht="15" hidden="false" customHeight="false" outlineLevel="0" collapsed="false">
      <c r="A2137" s="103" t="n">
        <v>46307</v>
      </c>
      <c r="B2137" s="104" t="s">
        <v>34</v>
      </c>
      <c r="C2137" s="104" t="s">
        <v>397</v>
      </c>
      <c r="D2137" s="105" t="n">
        <v>0.25</v>
      </c>
      <c r="E2137" s="106" t="n">
        <v>290</v>
      </c>
      <c r="F2137" s="107" t="n">
        <f aca="false">IF($C2137="","",$D2137*$E2137)</f>
        <v>72.5</v>
      </c>
      <c r="G2137" s="107" t="n">
        <f aca="false">IF($C2137="","",$D2137*IFERROR(INDEX('تحليل التكلفة والسعر'!$C$2:$C$700,MATCH($C2137,'تحليل التكلفة والسعر'!$B$2:$B$700,0)),0))</f>
        <v>25.3023</v>
      </c>
      <c r="H2137" s="104" t="s">
        <v>719</v>
      </c>
    </row>
    <row r="2138" customFormat="false" ht="15" hidden="false" customHeight="false" outlineLevel="0" collapsed="false">
      <c r="A2138" s="103" t="n">
        <v>46296</v>
      </c>
      <c r="B2138" s="104" t="s">
        <v>34</v>
      </c>
      <c r="C2138" s="104" t="s">
        <v>432</v>
      </c>
      <c r="D2138" s="105" t="n">
        <v>1.4167</v>
      </c>
      <c r="E2138" s="106" t="n">
        <v>166.1765</v>
      </c>
      <c r="F2138" s="107" t="n">
        <f aca="false">IF($C2138="","",$D2138*$E2138)</f>
        <v>235.42224755</v>
      </c>
      <c r="G2138" s="107" t="n">
        <f aca="false">IF($C2138="","",$D2138*IFERROR(INDEX('تحليل التكلفة والسعر'!$C$2:$C$700,MATCH($C2138,'تحليل التكلفة والسعر'!$B$2:$B$700,0)),0))</f>
        <v>104.0137201574</v>
      </c>
      <c r="H2138" s="104" t="s">
        <v>719</v>
      </c>
    </row>
    <row r="2139" customFormat="false" ht="15" hidden="false" customHeight="false" outlineLevel="0" collapsed="false">
      <c r="A2139" s="103" t="n">
        <v>46297</v>
      </c>
      <c r="B2139" s="104" t="s">
        <v>34</v>
      </c>
      <c r="C2139" s="104" t="s">
        <v>432</v>
      </c>
      <c r="D2139" s="105" t="n">
        <v>1.4167</v>
      </c>
      <c r="E2139" s="106" t="n">
        <v>166.1765</v>
      </c>
      <c r="F2139" s="107" t="n">
        <f aca="false">IF($C2139="","",$D2139*$E2139)</f>
        <v>235.42224755</v>
      </c>
      <c r="G2139" s="107" t="n">
        <f aca="false">IF($C2139="","",$D2139*IFERROR(INDEX('تحليل التكلفة والسعر'!$C$2:$C$700,MATCH($C2139,'تحليل التكلفة والسعر'!$B$2:$B$700,0)),0))</f>
        <v>104.0137201574</v>
      </c>
      <c r="H2139" s="104" t="s">
        <v>719</v>
      </c>
    </row>
    <row r="2140" customFormat="false" ht="15" hidden="false" customHeight="false" outlineLevel="0" collapsed="false">
      <c r="A2140" s="103" t="n">
        <v>46298</v>
      </c>
      <c r="B2140" s="104" t="s">
        <v>34</v>
      </c>
      <c r="C2140" s="104" t="s">
        <v>432</v>
      </c>
      <c r="D2140" s="105" t="n">
        <v>1.4167</v>
      </c>
      <c r="E2140" s="106" t="n">
        <v>166.1765</v>
      </c>
      <c r="F2140" s="107" t="n">
        <f aca="false">IF($C2140="","",$D2140*$E2140)</f>
        <v>235.42224755</v>
      </c>
      <c r="G2140" s="107" t="n">
        <f aca="false">IF($C2140="","",$D2140*IFERROR(INDEX('تحليل التكلفة والسعر'!$C$2:$C$700,MATCH($C2140,'تحليل التكلفة والسعر'!$B$2:$B$700,0)),0))</f>
        <v>104.0137201574</v>
      </c>
      <c r="H2140" s="104" t="s">
        <v>719</v>
      </c>
    </row>
    <row r="2141" customFormat="false" ht="15" hidden="false" customHeight="false" outlineLevel="0" collapsed="false">
      <c r="A2141" s="103" t="n">
        <v>46299</v>
      </c>
      <c r="B2141" s="104" t="s">
        <v>34</v>
      </c>
      <c r="C2141" s="104" t="s">
        <v>432</v>
      </c>
      <c r="D2141" s="105" t="n">
        <v>1.4167</v>
      </c>
      <c r="E2141" s="106" t="n">
        <v>166.1765</v>
      </c>
      <c r="F2141" s="107" t="n">
        <f aca="false">IF($C2141="","",$D2141*$E2141)</f>
        <v>235.42224755</v>
      </c>
      <c r="G2141" s="107" t="n">
        <f aca="false">IF($C2141="","",$D2141*IFERROR(INDEX('تحليل التكلفة والسعر'!$C$2:$C$700,MATCH($C2141,'تحليل التكلفة والسعر'!$B$2:$B$700,0)),0))</f>
        <v>104.0137201574</v>
      </c>
      <c r="H2141" s="104" t="s">
        <v>719</v>
      </c>
    </row>
    <row r="2142" customFormat="false" ht="15" hidden="false" customHeight="false" outlineLevel="0" collapsed="false">
      <c r="A2142" s="103" t="n">
        <v>46300</v>
      </c>
      <c r="B2142" s="104" t="s">
        <v>34</v>
      </c>
      <c r="C2142" s="104" t="s">
        <v>432</v>
      </c>
      <c r="D2142" s="105" t="n">
        <v>1.4167</v>
      </c>
      <c r="E2142" s="106" t="n">
        <v>166.1765</v>
      </c>
      <c r="F2142" s="107" t="n">
        <f aca="false">IF($C2142="","",$D2142*$E2142)</f>
        <v>235.42224755</v>
      </c>
      <c r="G2142" s="107" t="n">
        <f aca="false">IF($C2142="","",$D2142*IFERROR(INDEX('تحليل التكلفة والسعر'!$C$2:$C$700,MATCH($C2142,'تحليل التكلفة والسعر'!$B$2:$B$700,0)),0))</f>
        <v>104.0137201574</v>
      </c>
      <c r="H2142" s="104" t="s">
        <v>719</v>
      </c>
    </row>
    <row r="2143" customFormat="false" ht="15" hidden="false" customHeight="false" outlineLevel="0" collapsed="false">
      <c r="A2143" s="103" t="n">
        <v>46301</v>
      </c>
      <c r="B2143" s="104" t="s">
        <v>34</v>
      </c>
      <c r="C2143" s="104" t="s">
        <v>432</v>
      </c>
      <c r="D2143" s="105" t="n">
        <v>1.4167</v>
      </c>
      <c r="E2143" s="106" t="n">
        <v>166.1765</v>
      </c>
      <c r="F2143" s="107" t="n">
        <f aca="false">IF($C2143="","",$D2143*$E2143)</f>
        <v>235.42224755</v>
      </c>
      <c r="G2143" s="107" t="n">
        <f aca="false">IF($C2143="","",$D2143*IFERROR(INDEX('تحليل التكلفة والسعر'!$C$2:$C$700,MATCH($C2143,'تحليل التكلفة والسعر'!$B$2:$B$700,0)),0))</f>
        <v>104.0137201574</v>
      </c>
      <c r="H2143" s="104" t="s">
        <v>719</v>
      </c>
    </row>
    <row r="2144" customFormat="false" ht="15" hidden="false" customHeight="false" outlineLevel="0" collapsed="false">
      <c r="A2144" s="103" t="n">
        <v>46302</v>
      </c>
      <c r="B2144" s="104" t="s">
        <v>34</v>
      </c>
      <c r="C2144" s="104" t="s">
        <v>432</v>
      </c>
      <c r="D2144" s="105" t="n">
        <v>1.4167</v>
      </c>
      <c r="E2144" s="106" t="n">
        <v>166.1765</v>
      </c>
      <c r="F2144" s="107" t="n">
        <f aca="false">IF($C2144="","",$D2144*$E2144)</f>
        <v>235.42224755</v>
      </c>
      <c r="G2144" s="107" t="n">
        <f aca="false">IF($C2144="","",$D2144*IFERROR(INDEX('تحليل التكلفة والسعر'!$C$2:$C$700,MATCH($C2144,'تحليل التكلفة والسعر'!$B$2:$B$700,0)),0))</f>
        <v>104.0137201574</v>
      </c>
      <c r="H2144" s="104" t="s">
        <v>719</v>
      </c>
    </row>
    <row r="2145" customFormat="false" ht="15" hidden="false" customHeight="false" outlineLevel="0" collapsed="false">
      <c r="A2145" s="103" t="n">
        <v>46303</v>
      </c>
      <c r="B2145" s="104" t="s">
        <v>34</v>
      </c>
      <c r="C2145" s="104" t="s">
        <v>432</v>
      </c>
      <c r="D2145" s="105" t="n">
        <v>1.4167</v>
      </c>
      <c r="E2145" s="106" t="n">
        <v>166.1765</v>
      </c>
      <c r="F2145" s="107" t="n">
        <f aca="false">IF($C2145="","",$D2145*$E2145)</f>
        <v>235.42224755</v>
      </c>
      <c r="G2145" s="107" t="n">
        <f aca="false">IF($C2145="","",$D2145*IFERROR(INDEX('تحليل التكلفة والسعر'!$C$2:$C$700,MATCH($C2145,'تحليل التكلفة والسعر'!$B$2:$B$700,0)),0))</f>
        <v>104.0137201574</v>
      </c>
      <c r="H2145" s="104" t="s">
        <v>719</v>
      </c>
    </row>
    <row r="2146" customFormat="false" ht="15" hidden="false" customHeight="false" outlineLevel="0" collapsed="false">
      <c r="A2146" s="103" t="n">
        <v>46304</v>
      </c>
      <c r="B2146" s="104" t="s">
        <v>34</v>
      </c>
      <c r="C2146" s="104" t="s">
        <v>432</v>
      </c>
      <c r="D2146" s="105" t="n">
        <v>1.4167</v>
      </c>
      <c r="E2146" s="106" t="n">
        <v>166.1765</v>
      </c>
      <c r="F2146" s="107" t="n">
        <f aca="false">IF($C2146="","",$D2146*$E2146)</f>
        <v>235.42224755</v>
      </c>
      <c r="G2146" s="107" t="n">
        <f aca="false">IF($C2146="","",$D2146*IFERROR(INDEX('تحليل التكلفة والسعر'!$C$2:$C$700,MATCH($C2146,'تحليل التكلفة والسعر'!$B$2:$B$700,0)),0))</f>
        <v>104.0137201574</v>
      </c>
      <c r="H2146" s="104" t="s">
        <v>719</v>
      </c>
    </row>
    <row r="2147" customFormat="false" ht="15" hidden="false" customHeight="false" outlineLevel="0" collapsed="false">
      <c r="A2147" s="103" t="n">
        <v>46305</v>
      </c>
      <c r="B2147" s="104" t="s">
        <v>34</v>
      </c>
      <c r="C2147" s="104" t="s">
        <v>432</v>
      </c>
      <c r="D2147" s="105" t="n">
        <v>1.4167</v>
      </c>
      <c r="E2147" s="106" t="n">
        <v>166.1765</v>
      </c>
      <c r="F2147" s="107" t="n">
        <f aca="false">IF($C2147="","",$D2147*$E2147)</f>
        <v>235.42224755</v>
      </c>
      <c r="G2147" s="107" t="n">
        <f aca="false">IF($C2147="","",$D2147*IFERROR(INDEX('تحليل التكلفة والسعر'!$C$2:$C$700,MATCH($C2147,'تحليل التكلفة والسعر'!$B$2:$B$700,0)),0))</f>
        <v>104.0137201574</v>
      </c>
      <c r="H2147" s="104" t="s">
        <v>719</v>
      </c>
    </row>
    <row r="2148" customFormat="false" ht="15" hidden="false" customHeight="false" outlineLevel="0" collapsed="false">
      <c r="A2148" s="103" t="n">
        <v>46306</v>
      </c>
      <c r="B2148" s="104" t="s">
        <v>34</v>
      </c>
      <c r="C2148" s="104" t="s">
        <v>432</v>
      </c>
      <c r="D2148" s="105" t="n">
        <v>1.4167</v>
      </c>
      <c r="E2148" s="106" t="n">
        <v>166.1765</v>
      </c>
      <c r="F2148" s="107" t="n">
        <f aca="false">IF($C2148="","",$D2148*$E2148)</f>
        <v>235.42224755</v>
      </c>
      <c r="G2148" s="107" t="n">
        <f aca="false">IF($C2148="","",$D2148*IFERROR(INDEX('تحليل التكلفة والسعر'!$C$2:$C$700,MATCH($C2148,'تحليل التكلفة والسعر'!$B$2:$B$700,0)),0))</f>
        <v>104.0137201574</v>
      </c>
      <c r="H2148" s="104" t="s">
        <v>719</v>
      </c>
    </row>
    <row r="2149" customFormat="false" ht="15" hidden="false" customHeight="false" outlineLevel="0" collapsed="false">
      <c r="A2149" s="103" t="n">
        <v>46307</v>
      </c>
      <c r="B2149" s="104" t="s">
        <v>34</v>
      </c>
      <c r="C2149" s="104" t="s">
        <v>432</v>
      </c>
      <c r="D2149" s="105" t="n">
        <v>1.4167</v>
      </c>
      <c r="E2149" s="106" t="n">
        <v>166.1765</v>
      </c>
      <c r="F2149" s="107" t="n">
        <f aca="false">IF($C2149="","",$D2149*$E2149)</f>
        <v>235.42224755</v>
      </c>
      <c r="G2149" s="107" t="n">
        <f aca="false">IF($C2149="","",$D2149*IFERROR(INDEX('تحليل التكلفة والسعر'!$C$2:$C$700,MATCH($C2149,'تحليل التكلفة والسعر'!$B$2:$B$700,0)),0))</f>
        <v>104.0137201574</v>
      </c>
      <c r="H2149" s="104" t="s">
        <v>719</v>
      </c>
    </row>
    <row r="2150" customFormat="false" ht="15" hidden="false" customHeight="false" outlineLevel="0" collapsed="false">
      <c r="A2150" s="103" t="n">
        <v>46296</v>
      </c>
      <c r="B2150" s="104" t="s">
        <v>34</v>
      </c>
      <c r="C2150" s="104" t="s">
        <v>410</v>
      </c>
      <c r="D2150" s="105" t="n">
        <v>0.5</v>
      </c>
      <c r="E2150" s="106" t="n">
        <v>156.6667</v>
      </c>
      <c r="F2150" s="107" t="n">
        <f aca="false">IF($C2150="","",$D2150*$E2150)</f>
        <v>78.33335</v>
      </c>
      <c r="G2150" s="107" t="n">
        <f aca="false">IF($C2150="","",$D2150*IFERROR(INDEX('تحليل التكلفة والسعر'!$C$2:$C$700,MATCH($C2150,'تحليل التكلفة والسعر'!$B$2:$B$700,0)),0))</f>
        <v>39.208986</v>
      </c>
      <c r="H2150" s="104" t="s">
        <v>719</v>
      </c>
    </row>
    <row r="2151" customFormat="false" ht="15" hidden="false" customHeight="false" outlineLevel="0" collapsed="false">
      <c r="A2151" s="103" t="n">
        <v>46297</v>
      </c>
      <c r="B2151" s="104" t="s">
        <v>34</v>
      </c>
      <c r="C2151" s="104" t="s">
        <v>410</v>
      </c>
      <c r="D2151" s="105" t="n">
        <v>0.5</v>
      </c>
      <c r="E2151" s="106" t="n">
        <v>156.6667</v>
      </c>
      <c r="F2151" s="107" t="n">
        <f aca="false">IF($C2151="","",$D2151*$E2151)</f>
        <v>78.33335</v>
      </c>
      <c r="G2151" s="107" t="n">
        <f aca="false">IF($C2151="","",$D2151*IFERROR(INDEX('تحليل التكلفة والسعر'!$C$2:$C$700,MATCH($C2151,'تحليل التكلفة والسعر'!$B$2:$B$700,0)),0))</f>
        <v>39.208986</v>
      </c>
      <c r="H2151" s="104" t="s">
        <v>719</v>
      </c>
    </row>
    <row r="2152" customFormat="false" ht="15" hidden="false" customHeight="false" outlineLevel="0" collapsed="false">
      <c r="A2152" s="103" t="n">
        <v>46298</v>
      </c>
      <c r="B2152" s="104" t="s">
        <v>34</v>
      </c>
      <c r="C2152" s="104" t="s">
        <v>410</v>
      </c>
      <c r="D2152" s="105" t="n">
        <v>0.5</v>
      </c>
      <c r="E2152" s="106" t="n">
        <v>156.6667</v>
      </c>
      <c r="F2152" s="107" t="n">
        <f aca="false">IF($C2152="","",$D2152*$E2152)</f>
        <v>78.33335</v>
      </c>
      <c r="G2152" s="107" t="n">
        <f aca="false">IF($C2152="","",$D2152*IFERROR(INDEX('تحليل التكلفة والسعر'!$C$2:$C$700,MATCH($C2152,'تحليل التكلفة والسعر'!$B$2:$B$700,0)),0))</f>
        <v>39.208986</v>
      </c>
      <c r="H2152" s="104" t="s">
        <v>719</v>
      </c>
    </row>
    <row r="2153" customFormat="false" ht="15" hidden="false" customHeight="false" outlineLevel="0" collapsed="false">
      <c r="A2153" s="103" t="n">
        <v>46299</v>
      </c>
      <c r="B2153" s="104" t="s">
        <v>34</v>
      </c>
      <c r="C2153" s="104" t="s">
        <v>410</v>
      </c>
      <c r="D2153" s="105" t="n">
        <v>0.5</v>
      </c>
      <c r="E2153" s="106" t="n">
        <v>156.6667</v>
      </c>
      <c r="F2153" s="107" t="n">
        <f aca="false">IF($C2153="","",$D2153*$E2153)</f>
        <v>78.33335</v>
      </c>
      <c r="G2153" s="107" t="n">
        <f aca="false">IF($C2153="","",$D2153*IFERROR(INDEX('تحليل التكلفة والسعر'!$C$2:$C$700,MATCH($C2153,'تحليل التكلفة والسعر'!$B$2:$B$700,0)),0))</f>
        <v>39.208986</v>
      </c>
      <c r="H2153" s="104" t="s">
        <v>719</v>
      </c>
    </row>
    <row r="2154" customFormat="false" ht="15" hidden="false" customHeight="false" outlineLevel="0" collapsed="false">
      <c r="A2154" s="103" t="n">
        <v>46300</v>
      </c>
      <c r="B2154" s="104" t="s">
        <v>34</v>
      </c>
      <c r="C2154" s="104" t="s">
        <v>410</v>
      </c>
      <c r="D2154" s="105" t="n">
        <v>0.5</v>
      </c>
      <c r="E2154" s="106" t="n">
        <v>156.6667</v>
      </c>
      <c r="F2154" s="107" t="n">
        <f aca="false">IF($C2154="","",$D2154*$E2154)</f>
        <v>78.33335</v>
      </c>
      <c r="G2154" s="107" t="n">
        <f aca="false">IF($C2154="","",$D2154*IFERROR(INDEX('تحليل التكلفة والسعر'!$C$2:$C$700,MATCH($C2154,'تحليل التكلفة والسعر'!$B$2:$B$700,0)),0))</f>
        <v>39.208986</v>
      </c>
      <c r="H2154" s="104" t="s">
        <v>719</v>
      </c>
    </row>
    <row r="2155" customFormat="false" ht="15" hidden="false" customHeight="false" outlineLevel="0" collapsed="false">
      <c r="A2155" s="103" t="n">
        <v>46301</v>
      </c>
      <c r="B2155" s="104" t="s">
        <v>34</v>
      </c>
      <c r="C2155" s="104" t="s">
        <v>410</v>
      </c>
      <c r="D2155" s="105" t="n">
        <v>0.5</v>
      </c>
      <c r="E2155" s="106" t="n">
        <v>156.6667</v>
      </c>
      <c r="F2155" s="107" t="n">
        <f aca="false">IF($C2155="","",$D2155*$E2155)</f>
        <v>78.33335</v>
      </c>
      <c r="G2155" s="107" t="n">
        <f aca="false">IF($C2155="","",$D2155*IFERROR(INDEX('تحليل التكلفة والسعر'!$C$2:$C$700,MATCH($C2155,'تحليل التكلفة والسعر'!$B$2:$B$700,0)),0))</f>
        <v>39.208986</v>
      </c>
      <c r="H2155" s="104" t="s">
        <v>719</v>
      </c>
    </row>
    <row r="2156" customFormat="false" ht="15" hidden="false" customHeight="false" outlineLevel="0" collapsed="false">
      <c r="A2156" s="103" t="n">
        <v>46302</v>
      </c>
      <c r="B2156" s="104" t="s">
        <v>34</v>
      </c>
      <c r="C2156" s="104" t="s">
        <v>410</v>
      </c>
      <c r="D2156" s="105" t="n">
        <v>0.5</v>
      </c>
      <c r="E2156" s="106" t="n">
        <v>156.6667</v>
      </c>
      <c r="F2156" s="107" t="n">
        <f aca="false">IF($C2156="","",$D2156*$E2156)</f>
        <v>78.33335</v>
      </c>
      <c r="G2156" s="107" t="n">
        <f aca="false">IF($C2156="","",$D2156*IFERROR(INDEX('تحليل التكلفة والسعر'!$C$2:$C$700,MATCH($C2156,'تحليل التكلفة والسعر'!$B$2:$B$700,0)),0))</f>
        <v>39.208986</v>
      </c>
      <c r="H2156" s="104" t="s">
        <v>719</v>
      </c>
    </row>
    <row r="2157" customFormat="false" ht="15" hidden="false" customHeight="false" outlineLevel="0" collapsed="false">
      <c r="A2157" s="103" t="n">
        <v>46303</v>
      </c>
      <c r="B2157" s="104" t="s">
        <v>34</v>
      </c>
      <c r="C2157" s="104" t="s">
        <v>410</v>
      </c>
      <c r="D2157" s="105" t="n">
        <v>0.5</v>
      </c>
      <c r="E2157" s="106" t="n">
        <v>156.6667</v>
      </c>
      <c r="F2157" s="107" t="n">
        <f aca="false">IF($C2157="","",$D2157*$E2157)</f>
        <v>78.33335</v>
      </c>
      <c r="G2157" s="107" t="n">
        <f aca="false">IF($C2157="","",$D2157*IFERROR(INDEX('تحليل التكلفة والسعر'!$C$2:$C$700,MATCH($C2157,'تحليل التكلفة والسعر'!$B$2:$B$700,0)),0))</f>
        <v>39.208986</v>
      </c>
      <c r="H2157" s="104" t="s">
        <v>719</v>
      </c>
    </row>
    <row r="2158" customFormat="false" ht="15" hidden="false" customHeight="false" outlineLevel="0" collapsed="false">
      <c r="A2158" s="103" t="n">
        <v>46304</v>
      </c>
      <c r="B2158" s="104" t="s">
        <v>34</v>
      </c>
      <c r="C2158" s="104" t="s">
        <v>410</v>
      </c>
      <c r="D2158" s="105" t="n">
        <v>0.5</v>
      </c>
      <c r="E2158" s="106" t="n">
        <v>156.6667</v>
      </c>
      <c r="F2158" s="107" t="n">
        <f aca="false">IF($C2158="","",$D2158*$E2158)</f>
        <v>78.33335</v>
      </c>
      <c r="G2158" s="107" t="n">
        <f aca="false">IF($C2158="","",$D2158*IFERROR(INDEX('تحليل التكلفة والسعر'!$C$2:$C$700,MATCH($C2158,'تحليل التكلفة والسعر'!$B$2:$B$700,0)),0))</f>
        <v>39.208986</v>
      </c>
      <c r="H2158" s="104" t="s">
        <v>719</v>
      </c>
    </row>
    <row r="2159" customFormat="false" ht="15" hidden="false" customHeight="false" outlineLevel="0" collapsed="false">
      <c r="A2159" s="103" t="n">
        <v>46305</v>
      </c>
      <c r="B2159" s="104" t="s">
        <v>34</v>
      </c>
      <c r="C2159" s="104" t="s">
        <v>410</v>
      </c>
      <c r="D2159" s="105" t="n">
        <v>0.5</v>
      </c>
      <c r="E2159" s="106" t="n">
        <v>156.6667</v>
      </c>
      <c r="F2159" s="107" t="n">
        <f aca="false">IF($C2159="","",$D2159*$E2159)</f>
        <v>78.33335</v>
      </c>
      <c r="G2159" s="107" t="n">
        <f aca="false">IF($C2159="","",$D2159*IFERROR(INDEX('تحليل التكلفة والسعر'!$C$2:$C$700,MATCH($C2159,'تحليل التكلفة والسعر'!$B$2:$B$700,0)),0))</f>
        <v>39.208986</v>
      </c>
      <c r="H2159" s="104" t="s">
        <v>719</v>
      </c>
    </row>
    <row r="2160" customFormat="false" ht="15" hidden="false" customHeight="false" outlineLevel="0" collapsed="false">
      <c r="A2160" s="103" t="n">
        <v>46306</v>
      </c>
      <c r="B2160" s="104" t="s">
        <v>34</v>
      </c>
      <c r="C2160" s="104" t="s">
        <v>410</v>
      </c>
      <c r="D2160" s="105" t="n">
        <v>0.5</v>
      </c>
      <c r="E2160" s="106" t="n">
        <v>156.6667</v>
      </c>
      <c r="F2160" s="107" t="n">
        <f aca="false">IF($C2160="","",$D2160*$E2160)</f>
        <v>78.33335</v>
      </c>
      <c r="G2160" s="107" t="n">
        <f aca="false">IF($C2160="","",$D2160*IFERROR(INDEX('تحليل التكلفة والسعر'!$C$2:$C$700,MATCH($C2160,'تحليل التكلفة والسعر'!$B$2:$B$700,0)),0))</f>
        <v>39.208986</v>
      </c>
      <c r="H2160" s="104" t="s">
        <v>719</v>
      </c>
    </row>
    <row r="2161" customFormat="false" ht="15" hidden="false" customHeight="false" outlineLevel="0" collapsed="false">
      <c r="A2161" s="103" t="n">
        <v>46307</v>
      </c>
      <c r="B2161" s="104" t="s">
        <v>34</v>
      </c>
      <c r="C2161" s="104" t="s">
        <v>410</v>
      </c>
      <c r="D2161" s="105" t="n">
        <v>0.5</v>
      </c>
      <c r="E2161" s="106" t="n">
        <v>156.6667</v>
      </c>
      <c r="F2161" s="107" t="n">
        <f aca="false">IF($C2161="","",$D2161*$E2161)</f>
        <v>78.33335</v>
      </c>
      <c r="G2161" s="107" t="n">
        <f aca="false">IF($C2161="","",$D2161*IFERROR(INDEX('تحليل التكلفة والسعر'!$C$2:$C$700,MATCH($C2161,'تحليل التكلفة والسعر'!$B$2:$B$700,0)),0))</f>
        <v>39.208986</v>
      </c>
      <c r="H2161" s="104" t="s">
        <v>719</v>
      </c>
    </row>
    <row r="2162" customFormat="false" ht="15" hidden="false" customHeight="false" outlineLevel="0" collapsed="false">
      <c r="A2162" s="103" t="n">
        <v>46296</v>
      </c>
      <c r="B2162" s="104" t="s">
        <v>34</v>
      </c>
      <c r="C2162" s="104" t="s">
        <v>387</v>
      </c>
      <c r="D2162" s="105" t="n">
        <v>0.0833</v>
      </c>
      <c r="E2162" s="106" t="n">
        <v>160</v>
      </c>
      <c r="F2162" s="107" t="n">
        <f aca="false">IF($C2162="","",$D2162*$E2162)</f>
        <v>13.328</v>
      </c>
      <c r="G2162" s="107" t="n">
        <f aca="false">IF($C2162="","",$D2162*IFERROR(INDEX('تحليل التكلفة والسعر'!$C$2:$C$700,MATCH($C2162,'تحليل التكلفة والسعر'!$B$2:$B$700,0)),0))</f>
        <v>5.6903816865</v>
      </c>
      <c r="H2162" s="104" t="s">
        <v>719</v>
      </c>
    </row>
    <row r="2163" customFormat="false" ht="15" hidden="false" customHeight="false" outlineLevel="0" collapsed="false">
      <c r="A2163" s="103" t="n">
        <v>46297</v>
      </c>
      <c r="B2163" s="104" t="s">
        <v>34</v>
      </c>
      <c r="C2163" s="104" t="s">
        <v>387</v>
      </c>
      <c r="D2163" s="105" t="n">
        <v>0.0833</v>
      </c>
      <c r="E2163" s="106" t="n">
        <v>160</v>
      </c>
      <c r="F2163" s="107" t="n">
        <f aca="false">IF($C2163="","",$D2163*$E2163)</f>
        <v>13.328</v>
      </c>
      <c r="G2163" s="107" t="n">
        <f aca="false">IF($C2163="","",$D2163*IFERROR(INDEX('تحليل التكلفة والسعر'!$C$2:$C$700,MATCH($C2163,'تحليل التكلفة والسعر'!$B$2:$B$700,0)),0))</f>
        <v>5.6903816865</v>
      </c>
      <c r="H2163" s="104" t="s">
        <v>719</v>
      </c>
    </row>
    <row r="2164" customFormat="false" ht="15" hidden="false" customHeight="false" outlineLevel="0" collapsed="false">
      <c r="A2164" s="103" t="n">
        <v>46298</v>
      </c>
      <c r="B2164" s="104" t="s">
        <v>34</v>
      </c>
      <c r="C2164" s="104" t="s">
        <v>387</v>
      </c>
      <c r="D2164" s="105" t="n">
        <v>0.0833</v>
      </c>
      <c r="E2164" s="106" t="n">
        <v>160</v>
      </c>
      <c r="F2164" s="107" t="n">
        <f aca="false">IF($C2164="","",$D2164*$E2164)</f>
        <v>13.328</v>
      </c>
      <c r="G2164" s="107" t="n">
        <f aca="false">IF($C2164="","",$D2164*IFERROR(INDEX('تحليل التكلفة والسعر'!$C$2:$C$700,MATCH($C2164,'تحليل التكلفة والسعر'!$B$2:$B$700,0)),0))</f>
        <v>5.6903816865</v>
      </c>
      <c r="H2164" s="104" t="s">
        <v>719</v>
      </c>
    </row>
    <row r="2165" customFormat="false" ht="15" hidden="false" customHeight="false" outlineLevel="0" collapsed="false">
      <c r="A2165" s="103" t="n">
        <v>46299</v>
      </c>
      <c r="B2165" s="104" t="s">
        <v>34</v>
      </c>
      <c r="C2165" s="104" t="s">
        <v>387</v>
      </c>
      <c r="D2165" s="105" t="n">
        <v>0.0833</v>
      </c>
      <c r="E2165" s="106" t="n">
        <v>160</v>
      </c>
      <c r="F2165" s="107" t="n">
        <f aca="false">IF($C2165="","",$D2165*$E2165)</f>
        <v>13.328</v>
      </c>
      <c r="G2165" s="107" t="n">
        <f aca="false">IF($C2165="","",$D2165*IFERROR(INDEX('تحليل التكلفة والسعر'!$C$2:$C$700,MATCH($C2165,'تحليل التكلفة والسعر'!$B$2:$B$700,0)),0))</f>
        <v>5.6903816865</v>
      </c>
      <c r="H2165" s="104" t="s">
        <v>719</v>
      </c>
    </row>
    <row r="2166" customFormat="false" ht="15" hidden="false" customHeight="false" outlineLevel="0" collapsed="false">
      <c r="A2166" s="103" t="n">
        <v>46300</v>
      </c>
      <c r="B2166" s="104" t="s">
        <v>34</v>
      </c>
      <c r="C2166" s="104" t="s">
        <v>387</v>
      </c>
      <c r="D2166" s="105" t="n">
        <v>0.0833</v>
      </c>
      <c r="E2166" s="106" t="n">
        <v>160</v>
      </c>
      <c r="F2166" s="107" t="n">
        <f aca="false">IF($C2166="","",$D2166*$E2166)</f>
        <v>13.328</v>
      </c>
      <c r="G2166" s="107" t="n">
        <f aca="false">IF($C2166="","",$D2166*IFERROR(INDEX('تحليل التكلفة والسعر'!$C$2:$C$700,MATCH($C2166,'تحليل التكلفة والسعر'!$B$2:$B$700,0)),0))</f>
        <v>5.6903816865</v>
      </c>
      <c r="H2166" s="104" t="s">
        <v>719</v>
      </c>
    </row>
    <row r="2167" customFormat="false" ht="15" hidden="false" customHeight="false" outlineLevel="0" collapsed="false">
      <c r="A2167" s="103" t="n">
        <v>46301</v>
      </c>
      <c r="B2167" s="104" t="s">
        <v>34</v>
      </c>
      <c r="C2167" s="104" t="s">
        <v>387</v>
      </c>
      <c r="D2167" s="105" t="n">
        <v>0.0833</v>
      </c>
      <c r="E2167" s="106" t="n">
        <v>160</v>
      </c>
      <c r="F2167" s="107" t="n">
        <f aca="false">IF($C2167="","",$D2167*$E2167)</f>
        <v>13.328</v>
      </c>
      <c r="G2167" s="107" t="n">
        <f aca="false">IF($C2167="","",$D2167*IFERROR(INDEX('تحليل التكلفة والسعر'!$C$2:$C$700,MATCH($C2167,'تحليل التكلفة والسعر'!$B$2:$B$700,0)),0))</f>
        <v>5.6903816865</v>
      </c>
      <c r="H2167" s="104" t="s">
        <v>719</v>
      </c>
    </row>
    <row r="2168" customFormat="false" ht="15" hidden="false" customHeight="false" outlineLevel="0" collapsed="false">
      <c r="A2168" s="103" t="n">
        <v>46302</v>
      </c>
      <c r="B2168" s="104" t="s">
        <v>34</v>
      </c>
      <c r="C2168" s="104" t="s">
        <v>387</v>
      </c>
      <c r="D2168" s="105" t="n">
        <v>0.0833</v>
      </c>
      <c r="E2168" s="106" t="n">
        <v>160</v>
      </c>
      <c r="F2168" s="107" t="n">
        <f aca="false">IF($C2168="","",$D2168*$E2168)</f>
        <v>13.328</v>
      </c>
      <c r="G2168" s="107" t="n">
        <f aca="false">IF($C2168="","",$D2168*IFERROR(INDEX('تحليل التكلفة والسعر'!$C$2:$C$700,MATCH($C2168,'تحليل التكلفة والسعر'!$B$2:$B$700,0)),0))</f>
        <v>5.6903816865</v>
      </c>
      <c r="H2168" s="104" t="s">
        <v>719</v>
      </c>
    </row>
    <row r="2169" customFormat="false" ht="15" hidden="false" customHeight="false" outlineLevel="0" collapsed="false">
      <c r="A2169" s="103" t="n">
        <v>46303</v>
      </c>
      <c r="B2169" s="104" t="s">
        <v>34</v>
      </c>
      <c r="C2169" s="104" t="s">
        <v>387</v>
      </c>
      <c r="D2169" s="105" t="n">
        <v>0.0833</v>
      </c>
      <c r="E2169" s="106" t="n">
        <v>160</v>
      </c>
      <c r="F2169" s="107" t="n">
        <f aca="false">IF($C2169="","",$D2169*$E2169)</f>
        <v>13.328</v>
      </c>
      <c r="G2169" s="107" t="n">
        <f aca="false">IF($C2169="","",$D2169*IFERROR(INDEX('تحليل التكلفة والسعر'!$C$2:$C$700,MATCH($C2169,'تحليل التكلفة والسعر'!$B$2:$B$700,0)),0))</f>
        <v>5.6903816865</v>
      </c>
      <c r="H2169" s="104" t="s">
        <v>719</v>
      </c>
    </row>
    <row r="2170" customFormat="false" ht="15" hidden="false" customHeight="false" outlineLevel="0" collapsed="false">
      <c r="A2170" s="103" t="n">
        <v>46304</v>
      </c>
      <c r="B2170" s="104" t="s">
        <v>34</v>
      </c>
      <c r="C2170" s="104" t="s">
        <v>387</v>
      </c>
      <c r="D2170" s="105" t="n">
        <v>0.0833</v>
      </c>
      <c r="E2170" s="106" t="n">
        <v>160</v>
      </c>
      <c r="F2170" s="107" t="n">
        <f aca="false">IF($C2170="","",$D2170*$E2170)</f>
        <v>13.328</v>
      </c>
      <c r="G2170" s="107" t="n">
        <f aca="false">IF($C2170="","",$D2170*IFERROR(INDEX('تحليل التكلفة والسعر'!$C$2:$C$700,MATCH($C2170,'تحليل التكلفة والسعر'!$B$2:$B$700,0)),0))</f>
        <v>5.6903816865</v>
      </c>
      <c r="H2170" s="104" t="s">
        <v>719</v>
      </c>
    </row>
    <row r="2171" customFormat="false" ht="15" hidden="false" customHeight="false" outlineLevel="0" collapsed="false">
      <c r="A2171" s="103" t="n">
        <v>46305</v>
      </c>
      <c r="B2171" s="104" t="s">
        <v>34</v>
      </c>
      <c r="C2171" s="104" t="s">
        <v>387</v>
      </c>
      <c r="D2171" s="105" t="n">
        <v>0.0833</v>
      </c>
      <c r="E2171" s="106" t="n">
        <v>160</v>
      </c>
      <c r="F2171" s="107" t="n">
        <f aca="false">IF($C2171="","",$D2171*$E2171)</f>
        <v>13.328</v>
      </c>
      <c r="G2171" s="107" t="n">
        <f aca="false">IF($C2171="","",$D2171*IFERROR(INDEX('تحليل التكلفة والسعر'!$C$2:$C$700,MATCH($C2171,'تحليل التكلفة والسعر'!$B$2:$B$700,0)),0))</f>
        <v>5.6903816865</v>
      </c>
      <c r="H2171" s="104" t="s">
        <v>719</v>
      </c>
    </row>
    <row r="2172" customFormat="false" ht="15" hidden="false" customHeight="false" outlineLevel="0" collapsed="false">
      <c r="A2172" s="103" t="n">
        <v>46306</v>
      </c>
      <c r="B2172" s="104" t="s">
        <v>34</v>
      </c>
      <c r="C2172" s="104" t="s">
        <v>387</v>
      </c>
      <c r="D2172" s="105" t="n">
        <v>0.0833</v>
      </c>
      <c r="E2172" s="106" t="n">
        <v>160</v>
      </c>
      <c r="F2172" s="107" t="n">
        <f aca="false">IF($C2172="","",$D2172*$E2172)</f>
        <v>13.328</v>
      </c>
      <c r="G2172" s="107" t="n">
        <f aca="false">IF($C2172="","",$D2172*IFERROR(INDEX('تحليل التكلفة والسعر'!$C$2:$C$700,MATCH($C2172,'تحليل التكلفة والسعر'!$B$2:$B$700,0)),0))</f>
        <v>5.6903816865</v>
      </c>
      <c r="H2172" s="104" t="s">
        <v>719</v>
      </c>
    </row>
    <row r="2173" customFormat="false" ht="15" hidden="false" customHeight="false" outlineLevel="0" collapsed="false">
      <c r="A2173" s="103" t="n">
        <v>46307</v>
      </c>
      <c r="B2173" s="104" t="s">
        <v>34</v>
      </c>
      <c r="C2173" s="104" t="s">
        <v>387</v>
      </c>
      <c r="D2173" s="105" t="n">
        <v>0.0833</v>
      </c>
      <c r="E2173" s="106" t="n">
        <v>160</v>
      </c>
      <c r="F2173" s="107" t="n">
        <f aca="false">IF($C2173="","",$D2173*$E2173)</f>
        <v>13.328</v>
      </c>
      <c r="G2173" s="107" t="n">
        <f aca="false">IF($C2173="","",$D2173*IFERROR(INDEX('تحليل التكلفة والسعر'!$C$2:$C$700,MATCH($C2173,'تحليل التكلفة والسعر'!$B$2:$B$700,0)),0))</f>
        <v>5.6903816865</v>
      </c>
      <c r="H2173" s="104" t="s">
        <v>719</v>
      </c>
    </row>
    <row r="2174" customFormat="false" ht="15" hidden="false" customHeight="false" outlineLevel="0" collapsed="false">
      <c r="A2174" s="103" t="n">
        <v>46296</v>
      </c>
      <c r="B2174" s="104" t="s">
        <v>34</v>
      </c>
      <c r="C2174" s="104" t="s">
        <v>389</v>
      </c>
      <c r="D2174" s="105" t="n">
        <v>0.0833</v>
      </c>
      <c r="E2174" s="106" t="n">
        <v>105</v>
      </c>
      <c r="F2174" s="107" t="n">
        <f aca="false">IF($C2174="","",$D2174*$E2174)</f>
        <v>8.7465</v>
      </c>
      <c r="G2174" s="107" t="n">
        <f aca="false">IF($C2174="","",$D2174*IFERROR(INDEX('تحليل التكلفة والسعر'!$C$2:$C$700,MATCH($C2174,'تحليل التكلفة والسعر'!$B$2:$B$700,0)),0))</f>
        <v>4.033116941</v>
      </c>
      <c r="H2174" s="104" t="s">
        <v>719</v>
      </c>
    </row>
    <row r="2175" customFormat="false" ht="15" hidden="false" customHeight="false" outlineLevel="0" collapsed="false">
      <c r="A2175" s="103" t="n">
        <v>46297</v>
      </c>
      <c r="B2175" s="104" t="s">
        <v>34</v>
      </c>
      <c r="C2175" s="104" t="s">
        <v>389</v>
      </c>
      <c r="D2175" s="105" t="n">
        <v>0.0833</v>
      </c>
      <c r="E2175" s="106" t="n">
        <v>105</v>
      </c>
      <c r="F2175" s="107" t="n">
        <f aca="false">IF($C2175="","",$D2175*$E2175)</f>
        <v>8.7465</v>
      </c>
      <c r="G2175" s="107" t="n">
        <f aca="false">IF($C2175="","",$D2175*IFERROR(INDEX('تحليل التكلفة والسعر'!$C$2:$C$700,MATCH($C2175,'تحليل التكلفة والسعر'!$B$2:$B$700,0)),0))</f>
        <v>4.033116941</v>
      </c>
      <c r="H2175" s="104" t="s">
        <v>719</v>
      </c>
    </row>
    <row r="2176" customFormat="false" ht="15" hidden="false" customHeight="false" outlineLevel="0" collapsed="false">
      <c r="A2176" s="103" t="n">
        <v>46298</v>
      </c>
      <c r="B2176" s="104" t="s">
        <v>34</v>
      </c>
      <c r="C2176" s="104" t="s">
        <v>389</v>
      </c>
      <c r="D2176" s="105" t="n">
        <v>0.0833</v>
      </c>
      <c r="E2176" s="106" t="n">
        <v>105</v>
      </c>
      <c r="F2176" s="107" t="n">
        <f aca="false">IF($C2176="","",$D2176*$E2176)</f>
        <v>8.7465</v>
      </c>
      <c r="G2176" s="107" t="n">
        <f aca="false">IF($C2176="","",$D2176*IFERROR(INDEX('تحليل التكلفة والسعر'!$C$2:$C$700,MATCH($C2176,'تحليل التكلفة والسعر'!$B$2:$B$700,0)),0))</f>
        <v>4.033116941</v>
      </c>
      <c r="H2176" s="104" t="s">
        <v>719</v>
      </c>
    </row>
    <row r="2177" customFormat="false" ht="15" hidden="false" customHeight="false" outlineLevel="0" collapsed="false">
      <c r="A2177" s="103" t="n">
        <v>46299</v>
      </c>
      <c r="B2177" s="104" t="s">
        <v>34</v>
      </c>
      <c r="C2177" s="104" t="s">
        <v>389</v>
      </c>
      <c r="D2177" s="105" t="n">
        <v>0.0833</v>
      </c>
      <c r="E2177" s="106" t="n">
        <v>105</v>
      </c>
      <c r="F2177" s="107" t="n">
        <f aca="false">IF($C2177="","",$D2177*$E2177)</f>
        <v>8.7465</v>
      </c>
      <c r="G2177" s="107" t="n">
        <f aca="false">IF($C2177="","",$D2177*IFERROR(INDEX('تحليل التكلفة والسعر'!$C$2:$C$700,MATCH($C2177,'تحليل التكلفة والسعر'!$B$2:$B$700,0)),0))</f>
        <v>4.033116941</v>
      </c>
      <c r="H2177" s="104" t="s">
        <v>719</v>
      </c>
    </row>
    <row r="2178" customFormat="false" ht="15" hidden="false" customHeight="false" outlineLevel="0" collapsed="false">
      <c r="A2178" s="103" t="n">
        <v>46300</v>
      </c>
      <c r="B2178" s="104" t="s">
        <v>34</v>
      </c>
      <c r="C2178" s="104" t="s">
        <v>389</v>
      </c>
      <c r="D2178" s="105" t="n">
        <v>0.0833</v>
      </c>
      <c r="E2178" s="106" t="n">
        <v>105</v>
      </c>
      <c r="F2178" s="107" t="n">
        <f aca="false">IF($C2178="","",$D2178*$E2178)</f>
        <v>8.7465</v>
      </c>
      <c r="G2178" s="107" t="n">
        <f aca="false">IF($C2178="","",$D2178*IFERROR(INDEX('تحليل التكلفة والسعر'!$C$2:$C$700,MATCH($C2178,'تحليل التكلفة والسعر'!$B$2:$B$700,0)),0))</f>
        <v>4.033116941</v>
      </c>
      <c r="H2178" s="104" t="s">
        <v>719</v>
      </c>
    </row>
    <row r="2179" customFormat="false" ht="15" hidden="false" customHeight="false" outlineLevel="0" collapsed="false">
      <c r="A2179" s="103" t="n">
        <v>46301</v>
      </c>
      <c r="B2179" s="104" t="s">
        <v>34</v>
      </c>
      <c r="C2179" s="104" t="s">
        <v>389</v>
      </c>
      <c r="D2179" s="105" t="n">
        <v>0.0833</v>
      </c>
      <c r="E2179" s="106" t="n">
        <v>105</v>
      </c>
      <c r="F2179" s="107" t="n">
        <f aca="false">IF($C2179="","",$D2179*$E2179)</f>
        <v>8.7465</v>
      </c>
      <c r="G2179" s="107" t="n">
        <f aca="false">IF($C2179="","",$D2179*IFERROR(INDEX('تحليل التكلفة والسعر'!$C$2:$C$700,MATCH($C2179,'تحليل التكلفة والسعر'!$B$2:$B$700,0)),0))</f>
        <v>4.033116941</v>
      </c>
      <c r="H2179" s="104" t="s">
        <v>719</v>
      </c>
    </row>
    <row r="2180" customFormat="false" ht="15" hidden="false" customHeight="false" outlineLevel="0" collapsed="false">
      <c r="A2180" s="103" t="n">
        <v>46302</v>
      </c>
      <c r="B2180" s="104" t="s">
        <v>34</v>
      </c>
      <c r="C2180" s="104" t="s">
        <v>389</v>
      </c>
      <c r="D2180" s="105" t="n">
        <v>0.0833</v>
      </c>
      <c r="E2180" s="106" t="n">
        <v>105</v>
      </c>
      <c r="F2180" s="107" t="n">
        <f aca="false">IF($C2180="","",$D2180*$E2180)</f>
        <v>8.7465</v>
      </c>
      <c r="G2180" s="107" t="n">
        <f aca="false">IF($C2180="","",$D2180*IFERROR(INDEX('تحليل التكلفة والسعر'!$C$2:$C$700,MATCH($C2180,'تحليل التكلفة والسعر'!$B$2:$B$700,0)),0))</f>
        <v>4.033116941</v>
      </c>
      <c r="H2180" s="104" t="s">
        <v>719</v>
      </c>
    </row>
    <row r="2181" customFormat="false" ht="15" hidden="false" customHeight="false" outlineLevel="0" collapsed="false">
      <c r="A2181" s="103" t="n">
        <v>46303</v>
      </c>
      <c r="B2181" s="104" t="s">
        <v>34</v>
      </c>
      <c r="C2181" s="104" t="s">
        <v>389</v>
      </c>
      <c r="D2181" s="105" t="n">
        <v>0.0833</v>
      </c>
      <c r="E2181" s="106" t="n">
        <v>105</v>
      </c>
      <c r="F2181" s="107" t="n">
        <f aca="false">IF($C2181="","",$D2181*$E2181)</f>
        <v>8.7465</v>
      </c>
      <c r="G2181" s="107" t="n">
        <f aca="false">IF($C2181="","",$D2181*IFERROR(INDEX('تحليل التكلفة والسعر'!$C$2:$C$700,MATCH($C2181,'تحليل التكلفة والسعر'!$B$2:$B$700,0)),0))</f>
        <v>4.033116941</v>
      </c>
      <c r="H2181" s="104" t="s">
        <v>719</v>
      </c>
    </row>
    <row r="2182" customFormat="false" ht="15" hidden="false" customHeight="false" outlineLevel="0" collapsed="false">
      <c r="A2182" s="103" t="n">
        <v>46304</v>
      </c>
      <c r="B2182" s="104" t="s">
        <v>34</v>
      </c>
      <c r="C2182" s="104" t="s">
        <v>389</v>
      </c>
      <c r="D2182" s="105" t="n">
        <v>0.0833</v>
      </c>
      <c r="E2182" s="106" t="n">
        <v>105</v>
      </c>
      <c r="F2182" s="107" t="n">
        <f aca="false">IF($C2182="","",$D2182*$E2182)</f>
        <v>8.7465</v>
      </c>
      <c r="G2182" s="107" t="n">
        <f aca="false">IF($C2182="","",$D2182*IFERROR(INDEX('تحليل التكلفة والسعر'!$C$2:$C$700,MATCH($C2182,'تحليل التكلفة والسعر'!$B$2:$B$700,0)),0))</f>
        <v>4.033116941</v>
      </c>
      <c r="H2182" s="104" t="s">
        <v>719</v>
      </c>
    </row>
    <row r="2183" customFormat="false" ht="15" hidden="false" customHeight="false" outlineLevel="0" collapsed="false">
      <c r="A2183" s="103" t="n">
        <v>46305</v>
      </c>
      <c r="B2183" s="104" t="s">
        <v>34</v>
      </c>
      <c r="C2183" s="104" t="s">
        <v>389</v>
      </c>
      <c r="D2183" s="105" t="n">
        <v>0.0833</v>
      </c>
      <c r="E2183" s="106" t="n">
        <v>105</v>
      </c>
      <c r="F2183" s="107" t="n">
        <f aca="false">IF($C2183="","",$D2183*$E2183)</f>
        <v>8.7465</v>
      </c>
      <c r="G2183" s="107" t="n">
        <f aca="false">IF($C2183="","",$D2183*IFERROR(INDEX('تحليل التكلفة والسعر'!$C$2:$C$700,MATCH($C2183,'تحليل التكلفة والسعر'!$B$2:$B$700,0)),0))</f>
        <v>4.033116941</v>
      </c>
      <c r="H2183" s="104" t="s">
        <v>719</v>
      </c>
    </row>
    <row r="2184" customFormat="false" ht="15" hidden="false" customHeight="false" outlineLevel="0" collapsed="false">
      <c r="A2184" s="103" t="n">
        <v>46306</v>
      </c>
      <c r="B2184" s="104" t="s">
        <v>34</v>
      </c>
      <c r="C2184" s="104" t="s">
        <v>389</v>
      </c>
      <c r="D2184" s="105" t="n">
        <v>0.0833</v>
      </c>
      <c r="E2184" s="106" t="n">
        <v>105</v>
      </c>
      <c r="F2184" s="107" t="n">
        <f aca="false">IF($C2184="","",$D2184*$E2184)</f>
        <v>8.7465</v>
      </c>
      <c r="G2184" s="107" t="n">
        <f aca="false">IF($C2184="","",$D2184*IFERROR(INDEX('تحليل التكلفة والسعر'!$C$2:$C$700,MATCH($C2184,'تحليل التكلفة والسعر'!$B$2:$B$700,0)),0))</f>
        <v>4.033116941</v>
      </c>
      <c r="H2184" s="104" t="s">
        <v>719</v>
      </c>
    </row>
    <row r="2185" customFormat="false" ht="15" hidden="false" customHeight="false" outlineLevel="0" collapsed="false">
      <c r="A2185" s="103" t="n">
        <v>46307</v>
      </c>
      <c r="B2185" s="104" t="s">
        <v>34</v>
      </c>
      <c r="C2185" s="104" t="s">
        <v>389</v>
      </c>
      <c r="D2185" s="105" t="n">
        <v>0.0833</v>
      </c>
      <c r="E2185" s="106" t="n">
        <v>105</v>
      </c>
      <c r="F2185" s="107" t="n">
        <f aca="false">IF($C2185="","",$D2185*$E2185)</f>
        <v>8.7465</v>
      </c>
      <c r="G2185" s="107" t="n">
        <f aca="false">IF($C2185="","",$D2185*IFERROR(INDEX('تحليل التكلفة والسعر'!$C$2:$C$700,MATCH($C2185,'تحليل التكلفة والسعر'!$B$2:$B$700,0)),0))</f>
        <v>4.033116941</v>
      </c>
      <c r="H2185" s="104" t="s">
        <v>719</v>
      </c>
    </row>
    <row r="2186" customFormat="false" ht="15" hidden="false" customHeight="false" outlineLevel="0" collapsed="false">
      <c r="A2186" s="103" t="n">
        <v>46296</v>
      </c>
      <c r="B2186" s="104" t="s">
        <v>34</v>
      </c>
      <c r="C2186" s="104" t="s">
        <v>522</v>
      </c>
      <c r="D2186" s="105" t="n">
        <v>1.5</v>
      </c>
      <c r="E2186" s="106" t="n">
        <v>221.6667</v>
      </c>
      <c r="F2186" s="107" t="n">
        <f aca="false">IF($C2186="","",$D2186*$E2186)</f>
        <v>332.50005</v>
      </c>
      <c r="G2186" s="107" t="n">
        <f aca="false">IF($C2186="","",$D2186*IFERROR(INDEX('تحليل التكلفة والسعر'!$C$2:$C$700,MATCH($C2186,'تحليل التكلفة والسعر'!$B$2:$B$700,0)),0))</f>
        <v>170.44725</v>
      </c>
      <c r="H2186" s="104" t="s">
        <v>719</v>
      </c>
    </row>
    <row r="2187" customFormat="false" ht="15" hidden="false" customHeight="false" outlineLevel="0" collapsed="false">
      <c r="A2187" s="103" t="n">
        <v>46297</v>
      </c>
      <c r="B2187" s="104" t="s">
        <v>34</v>
      </c>
      <c r="C2187" s="104" t="s">
        <v>522</v>
      </c>
      <c r="D2187" s="105" t="n">
        <v>1.5</v>
      </c>
      <c r="E2187" s="106" t="n">
        <v>221.6667</v>
      </c>
      <c r="F2187" s="107" t="n">
        <f aca="false">IF($C2187="","",$D2187*$E2187)</f>
        <v>332.50005</v>
      </c>
      <c r="G2187" s="107" t="n">
        <f aca="false">IF($C2187="","",$D2187*IFERROR(INDEX('تحليل التكلفة والسعر'!$C$2:$C$700,MATCH($C2187,'تحليل التكلفة والسعر'!$B$2:$B$700,0)),0))</f>
        <v>170.44725</v>
      </c>
      <c r="H2187" s="104" t="s">
        <v>719</v>
      </c>
    </row>
    <row r="2188" customFormat="false" ht="15" hidden="false" customHeight="false" outlineLevel="0" collapsed="false">
      <c r="A2188" s="103" t="n">
        <v>46298</v>
      </c>
      <c r="B2188" s="104" t="s">
        <v>34</v>
      </c>
      <c r="C2188" s="104" t="s">
        <v>522</v>
      </c>
      <c r="D2188" s="105" t="n">
        <v>1.5</v>
      </c>
      <c r="E2188" s="106" t="n">
        <v>221.6667</v>
      </c>
      <c r="F2188" s="107" t="n">
        <f aca="false">IF($C2188="","",$D2188*$E2188)</f>
        <v>332.50005</v>
      </c>
      <c r="G2188" s="107" t="n">
        <f aca="false">IF($C2188="","",$D2188*IFERROR(INDEX('تحليل التكلفة والسعر'!$C$2:$C$700,MATCH($C2188,'تحليل التكلفة والسعر'!$B$2:$B$700,0)),0))</f>
        <v>170.44725</v>
      </c>
      <c r="H2188" s="104" t="s">
        <v>719</v>
      </c>
    </row>
    <row r="2189" customFormat="false" ht="15" hidden="false" customHeight="false" outlineLevel="0" collapsed="false">
      <c r="A2189" s="103" t="n">
        <v>46299</v>
      </c>
      <c r="B2189" s="104" t="s">
        <v>34</v>
      </c>
      <c r="C2189" s="104" t="s">
        <v>522</v>
      </c>
      <c r="D2189" s="105" t="n">
        <v>1.5</v>
      </c>
      <c r="E2189" s="106" t="n">
        <v>221.6667</v>
      </c>
      <c r="F2189" s="107" t="n">
        <f aca="false">IF($C2189="","",$D2189*$E2189)</f>
        <v>332.50005</v>
      </c>
      <c r="G2189" s="107" t="n">
        <f aca="false">IF($C2189="","",$D2189*IFERROR(INDEX('تحليل التكلفة والسعر'!$C$2:$C$700,MATCH($C2189,'تحليل التكلفة والسعر'!$B$2:$B$700,0)),0))</f>
        <v>170.44725</v>
      </c>
      <c r="H2189" s="104" t="s">
        <v>719</v>
      </c>
    </row>
    <row r="2190" customFormat="false" ht="15" hidden="false" customHeight="false" outlineLevel="0" collapsed="false">
      <c r="A2190" s="103" t="n">
        <v>46300</v>
      </c>
      <c r="B2190" s="104" t="s">
        <v>34</v>
      </c>
      <c r="C2190" s="104" t="s">
        <v>522</v>
      </c>
      <c r="D2190" s="105" t="n">
        <v>1.5</v>
      </c>
      <c r="E2190" s="106" t="n">
        <v>221.6667</v>
      </c>
      <c r="F2190" s="107" t="n">
        <f aca="false">IF($C2190="","",$D2190*$E2190)</f>
        <v>332.50005</v>
      </c>
      <c r="G2190" s="107" t="n">
        <f aca="false">IF($C2190="","",$D2190*IFERROR(INDEX('تحليل التكلفة والسعر'!$C$2:$C$700,MATCH($C2190,'تحليل التكلفة والسعر'!$B$2:$B$700,0)),0))</f>
        <v>170.44725</v>
      </c>
      <c r="H2190" s="104" t="s">
        <v>719</v>
      </c>
    </row>
    <row r="2191" customFormat="false" ht="15" hidden="false" customHeight="false" outlineLevel="0" collapsed="false">
      <c r="A2191" s="103" t="n">
        <v>46301</v>
      </c>
      <c r="B2191" s="104" t="s">
        <v>34</v>
      </c>
      <c r="C2191" s="104" t="s">
        <v>522</v>
      </c>
      <c r="D2191" s="105" t="n">
        <v>1.5</v>
      </c>
      <c r="E2191" s="106" t="n">
        <v>221.6667</v>
      </c>
      <c r="F2191" s="107" t="n">
        <f aca="false">IF($C2191="","",$D2191*$E2191)</f>
        <v>332.50005</v>
      </c>
      <c r="G2191" s="107" t="n">
        <f aca="false">IF($C2191="","",$D2191*IFERROR(INDEX('تحليل التكلفة والسعر'!$C$2:$C$700,MATCH($C2191,'تحليل التكلفة والسعر'!$B$2:$B$700,0)),0))</f>
        <v>170.44725</v>
      </c>
      <c r="H2191" s="104" t="s">
        <v>719</v>
      </c>
    </row>
    <row r="2192" customFormat="false" ht="15" hidden="false" customHeight="false" outlineLevel="0" collapsed="false">
      <c r="A2192" s="103" t="n">
        <v>46302</v>
      </c>
      <c r="B2192" s="104" t="s">
        <v>34</v>
      </c>
      <c r="C2192" s="104" t="s">
        <v>522</v>
      </c>
      <c r="D2192" s="105" t="n">
        <v>1.5</v>
      </c>
      <c r="E2192" s="106" t="n">
        <v>221.6667</v>
      </c>
      <c r="F2192" s="107" t="n">
        <f aca="false">IF($C2192="","",$D2192*$E2192)</f>
        <v>332.50005</v>
      </c>
      <c r="G2192" s="107" t="n">
        <f aca="false">IF($C2192="","",$D2192*IFERROR(INDEX('تحليل التكلفة والسعر'!$C$2:$C$700,MATCH($C2192,'تحليل التكلفة والسعر'!$B$2:$B$700,0)),0))</f>
        <v>170.44725</v>
      </c>
      <c r="H2192" s="104" t="s">
        <v>719</v>
      </c>
    </row>
    <row r="2193" customFormat="false" ht="15" hidden="false" customHeight="false" outlineLevel="0" collapsed="false">
      <c r="A2193" s="103" t="n">
        <v>46303</v>
      </c>
      <c r="B2193" s="104" t="s">
        <v>34</v>
      </c>
      <c r="C2193" s="104" t="s">
        <v>522</v>
      </c>
      <c r="D2193" s="105" t="n">
        <v>1.5</v>
      </c>
      <c r="E2193" s="106" t="n">
        <v>221.6667</v>
      </c>
      <c r="F2193" s="107" t="n">
        <f aca="false">IF($C2193="","",$D2193*$E2193)</f>
        <v>332.50005</v>
      </c>
      <c r="G2193" s="107" t="n">
        <f aca="false">IF($C2193="","",$D2193*IFERROR(INDEX('تحليل التكلفة والسعر'!$C$2:$C$700,MATCH($C2193,'تحليل التكلفة والسعر'!$B$2:$B$700,0)),0))</f>
        <v>170.44725</v>
      </c>
      <c r="H2193" s="104" t="s">
        <v>719</v>
      </c>
    </row>
    <row r="2194" customFormat="false" ht="15" hidden="false" customHeight="false" outlineLevel="0" collapsed="false">
      <c r="A2194" s="103" t="n">
        <v>46304</v>
      </c>
      <c r="B2194" s="104" t="s">
        <v>34</v>
      </c>
      <c r="C2194" s="104" t="s">
        <v>522</v>
      </c>
      <c r="D2194" s="105" t="n">
        <v>1.5</v>
      </c>
      <c r="E2194" s="106" t="n">
        <v>221.6667</v>
      </c>
      <c r="F2194" s="107" t="n">
        <f aca="false">IF($C2194="","",$D2194*$E2194)</f>
        <v>332.50005</v>
      </c>
      <c r="G2194" s="107" t="n">
        <f aca="false">IF($C2194="","",$D2194*IFERROR(INDEX('تحليل التكلفة والسعر'!$C$2:$C$700,MATCH($C2194,'تحليل التكلفة والسعر'!$B$2:$B$700,0)),0))</f>
        <v>170.44725</v>
      </c>
      <c r="H2194" s="104" t="s">
        <v>719</v>
      </c>
    </row>
    <row r="2195" customFormat="false" ht="15" hidden="false" customHeight="false" outlineLevel="0" collapsed="false">
      <c r="A2195" s="103" t="n">
        <v>46305</v>
      </c>
      <c r="B2195" s="104" t="s">
        <v>34</v>
      </c>
      <c r="C2195" s="104" t="s">
        <v>522</v>
      </c>
      <c r="D2195" s="105" t="n">
        <v>1.5</v>
      </c>
      <c r="E2195" s="106" t="n">
        <v>221.6667</v>
      </c>
      <c r="F2195" s="107" t="n">
        <f aca="false">IF($C2195="","",$D2195*$E2195)</f>
        <v>332.50005</v>
      </c>
      <c r="G2195" s="107" t="n">
        <f aca="false">IF($C2195="","",$D2195*IFERROR(INDEX('تحليل التكلفة والسعر'!$C$2:$C$700,MATCH($C2195,'تحليل التكلفة والسعر'!$B$2:$B$700,0)),0))</f>
        <v>170.44725</v>
      </c>
      <c r="H2195" s="104" t="s">
        <v>719</v>
      </c>
    </row>
    <row r="2196" customFormat="false" ht="15" hidden="false" customHeight="false" outlineLevel="0" collapsed="false">
      <c r="A2196" s="103" t="n">
        <v>46306</v>
      </c>
      <c r="B2196" s="104" t="s">
        <v>34</v>
      </c>
      <c r="C2196" s="104" t="s">
        <v>522</v>
      </c>
      <c r="D2196" s="105" t="n">
        <v>1.5</v>
      </c>
      <c r="E2196" s="106" t="n">
        <v>221.6667</v>
      </c>
      <c r="F2196" s="107" t="n">
        <f aca="false">IF($C2196="","",$D2196*$E2196)</f>
        <v>332.50005</v>
      </c>
      <c r="G2196" s="107" t="n">
        <f aca="false">IF($C2196="","",$D2196*IFERROR(INDEX('تحليل التكلفة والسعر'!$C$2:$C$700,MATCH($C2196,'تحليل التكلفة والسعر'!$B$2:$B$700,0)),0))</f>
        <v>170.44725</v>
      </c>
      <c r="H2196" s="104" t="s">
        <v>719</v>
      </c>
    </row>
    <row r="2197" customFormat="false" ht="15" hidden="false" customHeight="false" outlineLevel="0" collapsed="false">
      <c r="A2197" s="103" t="n">
        <v>46307</v>
      </c>
      <c r="B2197" s="104" t="s">
        <v>34</v>
      </c>
      <c r="C2197" s="104" t="s">
        <v>522</v>
      </c>
      <c r="D2197" s="105" t="n">
        <v>1.5</v>
      </c>
      <c r="E2197" s="106" t="n">
        <v>221.6667</v>
      </c>
      <c r="F2197" s="107" t="n">
        <f aca="false">IF($C2197="","",$D2197*$E2197)</f>
        <v>332.50005</v>
      </c>
      <c r="G2197" s="107" t="n">
        <f aca="false">IF($C2197="","",$D2197*IFERROR(INDEX('تحليل التكلفة والسعر'!$C$2:$C$700,MATCH($C2197,'تحليل التكلفة والسعر'!$B$2:$B$700,0)),0))</f>
        <v>170.44725</v>
      </c>
      <c r="H2197" s="104" t="s">
        <v>719</v>
      </c>
    </row>
    <row r="2198" customFormat="false" ht="15" hidden="false" customHeight="false" outlineLevel="0" collapsed="false">
      <c r="A2198" s="103" t="n">
        <v>46296</v>
      </c>
      <c r="B2198" s="104" t="s">
        <v>34</v>
      </c>
      <c r="C2198" s="104" t="s">
        <v>507</v>
      </c>
      <c r="D2198" s="105" t="n">
        <v>6.8333</v>
      </c>
      <c r="E2198" s="106" t="n">
        <v>141.5854</v>
      </c>
      <c r="F2198" s="107" t="n">
        <f aca="false">IF($C2198="","",$D2198*$E2198)</f>
        <v>967.49551382</v>
      </c>
      <c r="G2198" s="107" t="n">
        <f aca="false">IF($C2198="","",$D2198*IFERROR(INDEX('تحليل التكلفة والسعر'!$C$2:$C$700,MATCH($C2198,'تحليل التكلفة والسعر'!$B$2:$B$700,0)),0))</f>
        <v>540.14844845</v>
      </c>
      <c r="H2198" s="104" t="s">
        <v>719</v>
      </c>
    </row>
    <row r="2199" customFormat="false" ht="15" hidden="false" customHeight="false" outlineLevel="0" collapsed="false">
      <c r="A2199" s="103" t="n">
        <v>46297</v>
      </c>
      <c r="B2199" s="104" t="s">
        <v>34</v>
      </c>
      <c r="C2199" s="104" t="s">
        <v>507</v>
      </c>
      <c r="D2199" s="105" t="n">
        <v>6.8333</v>
      </c>
      <c r="E2199" s="106" t="n">
        <v>141.5854</v>
      </c>
      <c r="F2199" s="107" t="n">
        <f aca="false">IF($C2199="","",$D2199*$E2199)</f>
        <v>967.49551382</v>
      </c>
      <c r="G2199" s="107" t="n">
        <f aca="false">IF($C2199="","",$D2199*IFERROR(INDEX('تحليل التكلفة والسعر'!$C$2:$C$700,MATCH($C2199,'تحليل التكلفة والسعر'!$B$2:$B$700,0)),0))</f>
        <v>540.14844845</v>
      </c>
      <c r="H2199" s="104" t="s">
        <v>719</v>
      </c>
    </row>
    <row r="2200" customFormat="false" ht="15" hidden="false" customHeight="false" outlineLevel="0" collapsed="false">
      <c r="A2200" s="103" t="n">
        <v>46298</v>
      </c>
      <c r="B2200" s="104" t="s">
        <v>34</v>
      </c>
      <c r="C2200" s="104" t="s">
        <v>507</v>
      </c>
      <c r="D2200" s="105" t="n">
        <v>6.8333</v>
      </c>
      <c r="E2200" s="106" t="n">
        <v>141.5854</v>
      </c>
      <c r="F2200" s="107" t="n">
        <f aca="false">IF($C2200="","",$D2200*$E2200)</f>
        <v>967.49551382</v>
      </c>
      <c r="G2200" s="107" t="n">
        <f aca="false">IF($C2200="","",$D2200*IFERROR(INDEX('تحليل التكلفة والسعر'!$C$2:$C$700,MATCH($C2200,'تحليل التكلفة والسعر'!$B$2:$B$700,0)),0))</f>
        <v>540.14844845</v>
      </c>
      <c r="H2200" s="104" t="s">
        <v>719</v>
      </c>
    </row>
    <row r="2201" customFormat="false" ht="15" hidden="false" customHeight="false" outlineLevel="0" collapsed="false">
      <c r="A2201" s="103" t="n">
        <v>46299</v>
      </c>
      <c r="B2201" s="104" t="s">
        <v>34</v>
      </c>
      <c r="C2201" s="104" t="s">
        <v>507</v>
      </c>
      <c r="D2201" s="105" t="n">
        <v>6.8333</v>
      </c>
      <c r="E2201" s="106" t="n">
        <v>141.5854</v>
      </c>
      <c r="F2201" s="107" t="n">
        <f aca="false">IF($C2201="","",$D2201*$E2201)</f>
        <v>967.49551382</v>
      </c>
      <c r="G2201" s="107" t="n">
        <f aca="false">IF($C2201="","",$D2201*IFERROR(INDEX('تحليل التكلفة والسعر'!$C$2:$C$700,MATCH($C2201,'تحليل التكلفة والسعر'!$B$2:$B$700,0)),0))</f>
        <v>540.14844845</v>
      </c>
      <c r="H2201" s="104" t="s">
        <v>719</v>
      </c>
    </row>
    <row r="2202" customFormat="false" ht="15" hidden="false" customHeight="false" outlineLevel="0" collapsed="false">
      <c r="A2202" s="103" t="n">
        <v>46300</v>
      </c>
      <c r="B2202" s="104" t="s">
        <v>34</v>
      </c>
      <c r="C2202" s="104" t="s">
        <v>507</v>
      </c>
      <c r="D2202" s="105" t="n">
        <v>6.8333</v>
      </c>
      <c r="E2202" s="106" t="n">
        <v>141.5854</v>
      </c>
      <c r="F2202" s="107" t="n">
        <f aca="false">IF($C2202="","",$D2202*$E2202)</f>
        <v>967.49551382</v>
      </c>
      <c r="G2202" s="107" t="n">
        <f aca="false">IF($C2202="","",$D2202*IFERROR(INDEX('تحليل التكلفة والسعر'!$C$2:$C$700,MATCH($C2202,'تحليل التكلفة والسعر'!$B$2:$B$700,0)),0))</f>
        <v>540.14844845</v>
      </c>
      <c r="H2202" s="104" t="s">
        <v>719</v>
      </c>
    </row>
    <row r="2203" customFormat="false" ht="15" hidden="false" customHeight="false" outlineLevel="0" collapsed="false">
      <c r="A2203" s="103" t="n">
        <v>46301</v>
      </c>
      <c r="B2203" s="104" t="s">
        <v>34</v>
      </c>
      <c r="C2203" s="104" t="s">
        <v>507</v>
      </c>
      <c r="D2203" s="105" t="n">
        <v>6.8333</v>
      </c>
      <c r="E2203" s="106" t="n">
        <v>141.5854</v>
      </c>
      <c r="F2203" s="107" t="n">
        <f aca="false">IF($C2203="","",$D2203*$E2203)</f>
        <v>967.49551382</v>
      </c>
      <c r="G2203" s="107" t="n">
        <f aca="false">IF($C2203="","",$D2203*IFERROR(INDEX('تحليل التكلفة والسعر'!$C$2:$C$700,MATCH($C2203,'تحليل التكلفة والسعر'!$B$2:$B$700,0)),0))</f>
        <v>540.14844845</v>
      </c>
      <c r="H2203" s="104" t="s">
        <v>719</v>
      </c>
    </row>
    <row r="2204" customFormat="false" ht="15" hidden="false" customHeight="false" outlineLevel="0" collapsed="false">
      <c r="A2204" s="103" t="n">
        <v>46302</v>
      </c>
      <c r="B2204" s="104" t="s">
        <v>34</v>
      </c>
      <c r="C2204" s="104" t="s">
        <v>507</v>
      </c>
      <c r="D2204" s="105" t="n">
        <v>6.8333</v>
      </c>
      <c r="E2204" s="106" t="n">
        <v>141.5854</v>
      </c>
      <c r="F2204" s="107" t="n">
        <f aca="false">IF($C2204="","",$D2204*$E2204)</f>
        <v>967.49551382</v>
      </c>
      <c r="G2204" s="107" t="n">
        <f aca="false">IF($C2204="","",$D2204*IFERROR(INDEX('تحليل التكلفة والسعر'!$C$2:$C$700,MATCH($C2204,'تحليل التكلفة والسعر'!$B$2:$B$700,0)),0))</f>
        <v>540.14844845</v>
      </c>
      <c r="H2204" s="104" t="s">
        <v>719</v>
      </c>
    </row>
    <row r="2205" customFormat="false" ht="15" hidden="false" customHeight="false" outlineLevel="0" collapsed="false">
      <c r="A2205" s="103" t="n">
        <v>46303</v>
      </c>
      <c r="B2205" s="104" t="s">
        <v>34</v>
      </c>
      <c r="C2205" s="104" t="s">
        <v>507</v>
      </c>
      <c r="D2205" s="105" t="n">
        <v>6.8333</v>
      </c>
      <c r="E2205" s="106" t="n">
        <v>141.5854</v>
      </c>
      <c r="F2205" s="107" t="n">
        <f aca="false">IF($C2205="","",$D2205*$E2205)</f>
        <v>967.49551382</v>
      </c>
      <c r="G2205" s="107" t="n">
        <f aca="false">IF($C2205="","",$D2205*IFERROR(INDEX('تحليل التكلفة والسعر'!$C$2:$C$700,MATCH($C2205,'تحليل التكلفة والسعر'!$B$2:$B$700,0)),0))</f>
        <v>540.14844845</v>
      </c>
      <c r="H2205" s="104" t="s">
        <v>719</v>
      </c>
    </row>
    <row r="2206" customFormat="false" ht="15" hidden="false" customHeight="false" outlineLevel="0" collapsed="false">
      <c r="A2206" s="103" t="n">
        <v>46304</v>
      </c>
      <c r="B2206" s="104" t="s">
        <v>34</v>
      </c>
      <c r="C2206" s="104" t="s">
        <v>507</v>
      </c>
      <c r="D2206" s="105" t="n">
        <v>6.8333</v>
      </c>
      <c r="E2206" s="106" t="n">
        <v>141.5854</v>
      </c>
      <c r="F2206" s="107" t="n">
        <f aca="false">IF($C2206="","",$D2206*$E2206)</f>
        <v>967.49551382</v>
      </c>
      <c r="G2206" s="107" t="n">
        <f aca="false">IF($C2206="","",$D2206*IFERROR(INDEX('تحليل التكلفة والسعر'!$C$2:$C$700,MATCH($C2206,'تحليل التكلفة والسعر'!$B$2:$B$700,0)),0))</f>
        <v>540.14844845</v>
      </c>
      <c r="H2206" s="104" t="s">
        <v>719</v>
      </c>
    </row>
    <row r="2207" customFormat="false" ht="15" hidden="false" customHeight="false" outlineLevel="0" collapsed="false">
      <c r="A2207" s="103" t="n">
        <v>46305</v>
      </c>
      <c r="B2207" s="104" t="s">
        <v>34</v>
      </c>
      <c r="C2207" s="104" t="s">
        <v>507</v>
      </c>
      <c r="D2207" s="105" t="n">
        <v>6.8333</v>
      </c>
      <c r="E2207" s="106" t="n">
        <v>141.5854</v>
      </c>
      <c r="F2207" s="107" t="n">
        <f aca="false">IF($C2207="","",$D2207*$E2207)</f>
        <v>967.49551382</v>
      </c>
      <c r="G2207" s="107" t="n">
        <f aca="false">IF($C2207="","",$D2207*IFERROR(INDEX('تحليل التكلفة والسعر'!$C$2:$C$700,MATCH($C2207,'تحليل التكلفة والسعر'!$B$2:$B$700,0)),0))</f>
        <v>540.14844845</v>
      </c>
      <c r="H2207" s="104" t="s">
        <v>719</v>
      </c>
    </row>
    <row r="2208" customFormat="false" ht="15" hidden="false" customHeight="false" outlineLevel="0" collapsed="false">
      <c r="A2208" s="103" t="n">
        <v>46306</v>
      </c>
      <c r="B2208" s="104" t="s">
        <v>34</v>
      </c>
      <c r="C2208" s="104" t="s">
        <v>507</v>
      </c>
      <c r="D2208" s="105" t="n">
        <v>6.8333</v>
      </c>
      <c r="E2208" s="106" t="n">
        <v>141.5854</v>
      </c>
      <c r="F2208" s="107" t="n">
        <f aca="false">IF($C2208="","",$D2208*$E2208)</f>
        <v>967.49551382</v>
      </c>
      <c r="G2208" s="107" t="n">
        <f aca="false">IF($C2208="","",$D2208*IFERROR(INDEX('تحليل التكلفة والسعر'!$C$2:$C$700,MATCH($C2208,'تحليل التكلفة والسعر'!$B$2:$B$700,0)),0))</f>
        <v>540.14844845</v>
      </c>
      <c r="H2208" s="104" t="s">
        <v>719</v>
      </c>
    </row>
    <row r="2209" customFormat="false" ht="15" hidden="false" customHeight="false" outlineLevel="0" collapsed="false">
      <c r="A2209" s="103" t="n">
        <v>46307</v>
      </c>
      <c r="B2209" s="104" t="s">
        <v>34</v>
      </c>
      <c r="C2209" s="104" t="s">
        <v>507</v>
      </c>
      <c r="D2209" s="105" t="n">
        <v>6.8333</v>
      </c>
      <c r="E2209" s="106" t="n">
        <v>141.5854</v>
      </c>
      <c r="F2209" s="107" t="n">
        <f aca="false">IF($C2209="","",$D2209*$E2209)</f>
        <v>967.49551382</v>
      </c>
      <c r="G2209" s="107" t="n">
        <f aca="false">IF($C2209="","",$D2209*IFERROR(INDEX('تحليل التكلفة والسعر'!$C$2:$C$700,MATCH($C2209,'تحليل التكلفة والسعر'!$B$2:$B$700,0)),0))</f>
        <v>540.14844845</v>
      </c>
      <c r="H2209" s="104" t="s">
        <v>719</v>
      </c>
    </row>
    <row r="2210" customFormat="false" ht="15" hidden="false" customHeight="false" outlineLevel="0" collapsed="false">
      <c r="A2210" s="103" t="n">
        <v>46296</v>
      </c>
      <c r="B2210" s="104" t="s">
        <v>34</v>
      </c>
      <c r="C2210" s="104" t="s">
        <v>476</v>
      </c>
      <c r="D2210" s="105" t="n">
        <v>0.1667</v>
      </c>
      <c r="E2210" s="106" t="n">
        <v>330</v>
      </c>
      <c r="F2210" s="107" t="n">
        <f aca="false">IF($C2210="","",$D2210*$E2210)</f>
        <v>55.011</v>
      </c>
      <c r="G2210" s="107" t="n">
        <f aca="false">IF($C2210="","",$D2210*IFERROR(INDEX('تحليل التكلفة والسعر'!$C$2:$C$700,MATCH($C2210,'تحليل التكلفة والسعر'!$B$2:$B$700,0)),0))</f>
        <v>26.38830994</v>
      </c>
      <c r="H2210" s="104" t="s">
        <v>719</v>
      </c>
    </row>
    <row r="2211" customFormat="false" ht="15" hidden="false" customHeight="false" outlineLevel="0" collapsed="false">
      <c r="A2211" s="103" t="n">
        <v>46297</v>
      </c>
      <c r="B2211" s="104" t="s">
        <v>34</v>
      </c>
      <c r="C2211" s="104" t="s">
        <v>476</v>
      </c>
      <c r="D2211" s="105" t="n">
        <v>0.1667</v>
      </c>
      <c r="E2211" s="106" t="n">
        <v>330</v>
      </c>
      <c r="F2211" s="107" t="n">
        <f aca="false">IF($C2211="","",$D2211*$E2211)</f>
        <v>55.011</v>
      </c>
      <c r="G2211" s="107" t="n">
        <f aca="false">IF($C2211="","",$D2211*IFERROR(INDEX('تحليل التكلفة والسعر'!$C$2:$C$700,MATCH($C2211,'تحليل التكلفة والسعر'!$B$2:$B$700,0)),0))</f>
        <v>26.38830994</v>
      </c>
      <c r="H2211" s="104" t="s">
        <v>719</v>
      </c>
    </row>
    <row r="2212" customFormat="false" ht="15" hidden="false" customHeight="false" outlineLevel="0" collapsed="false">
      <c r="A2212" s="103" t="n">
        <v>46298</v>
      </c>
      <c r="B2212" s="104" t="s">
        <v>34</v>
      </c>
      <c r="C2212" s="104" t="s">
        <v>476</v>
      </c>
      <c r="D2212" s="105" t="n">
        <v>0.1667</v>
      </c>
      <c r="E2212" s="106" t="n">
        <v>330</v>
      </c>
      <c r="F2212" s="107" t="n">
        <f aca="false">IF($C2212="","",$D2212*$E2212)</f>
        <v>55.011</v>
      </c>
      <c r="G2212" s="107" t="n">
        <f aca="false">IF($C2212="","",$D2212*IFERROR(INDEX('تحليل التكلفة والسعر'!$C$2:$C$700,MATCH($C2212,'تحليل التكلفة والسعر'!$B$2:$B$700,0)),0))</f>
        <v>26.38830994</v>
      </c>
      <c r="H2212" s="104" t="s">
        <v>719</v>
      </c>
    </row>
    <row r="2213" customFormat="false" ht="15" hidden="false" customHeight="false" outlineLevel="0" collapsed="false">
      <c r="A2213" s="103" t="n">
        <v>46299</v>
      </c>
      <c r="B2213" s="104" t="s">
        <v>34</v>
      </c>
      <c r="C2213" s="104" t="s">
        <v>476</v>
      </c>
      <c r="D2213" s="105" t="n">
        <v>0.1667</v>
      </c>
      <c r="E2213" s="106" t="n">
        <v>330</v>
      </c>
      <c r="F2213" s="107" t="n">
        <f aca="false">IF($C2213="","",$D2213*$E2213)</f>
        <v>55.011</v>
      </c>
      <c r="G2213" s="107" t="n">
        <f aca="false">IF($C2213="","",$D2213*IFERROR(INDEX('تحليل التكلفة والسعر'!$C$2:$C$700,MATCH($C2213,'تحليل التكلفة والسعر'!$B$2:$B$700,0)),0))</f>
        <v>26.38830994</v>
      </c>
      <c r="H2213" s="104" t="s">
        <v>719</v>
      </c>
    </row>
    <row r="2214" customFormat="false" ht="15" hidden="false" customHeight="false" outlineLevel="0" collapsed="false">
      <c r="A2214" s="103" t="n">
        <v>46300</v>
      </c>
      <c r="B2214" s="104" t="s">
        <v>34</v>
      </c>
      <c r="C2214" s="104" t="s">
        <v>476</v>
      </c>
      <c r="D2214" s="105" t="n">
        <v>0.1667</v>
      </c>
      <c r="E2214" s="106" t="n">
        <v>330</v>
      </c>
      <c r="F2214" s="107" t="n">
        <f aca="false">IF($C2214="","",$D2214*$E2214)</f>
        <v>55.011</v>
      </c>
      <c r="G2214" s="107" t="n">
        <f aca="false">IF($C2214="","",$D2214*IFERROR(INDEX('تحليل التكلفة والسعر'!$C$2:$C$700,MATCH($C2214,'تحليل التكلفة والسعر'!$B$2:$B$700,0)),0))</f>
        <v>26.38830994</v>
      </c>
      <c r="H2214" s="104" t="s">
        <v>719</v>
      </c>
    </row>
    <row r="2215" customFormat="false" ht="15" hidden="false" customHeight="false" outlineLevel="0" collapsed="false">
      <c r="A2215" s="103" t="n">
        <v>46301</v>
      </c>
      <c r="B2215" s="104" t="s">
        <v>34</v>
      </c>
      <c r="C2215" s="104" t="s">
        <v>476</v>
      </c>
      <c r="D2215" s="105" t="n">
        <v>0.1667</v>
      </c>
      <c r="E2215" s="106" t="n">
        <v>330</v>
      </c>
      <c r="F2215" s="107" t="n">
        <f aca="false">IF($C2215="","",$D2215*$E2215)</f>
        <v>55.011</v>
      </c>
      <c r="G2215" s="107" t="n">
        <f aca="false">IF($C2215="","",$D2215*IFERROR(INDEX('تحليل التكلفة والسعر'!$C$2:$C$700,MATCH($C2215,'تحليل التكلفة والسعر'!$B$2:$B$700,0)),0))</f>
        <v>26.38830994</v>
      </c>
      <c r="H2215" s="104" t="s">
        <v>719</v>
      </c>
    </row>
    <row r="2216" customFormat="false" ht="15" hidden="false" customHeight="false" outlineLevel="0" collapsed="false">
      <c r="A2216" s="103" t="n">
        <v>46302</v>
      </c>
      <c r="B2216" s="104" t="s">
        <v>34</v>
      </c>
      <c r="C2216" s="104" t="s">
        <v>476</v>
      </c>
      <c r="D2216" s="105" t="n">
        <v>0.1667</v>
      </c>
      <c r="E2216" s="106" t="n">
        <v>330</v>
      </c>
      <c r="F2216" s="107" t="n">
        <f aca="false">IF($C2216="","",$D2216*$E2216)</f>
        <v>55.011</v>
      </c>
      <c r="G2216" s="107" t="n">
        <f aca="false">IF($C2216="","",$D2216*IFERROR(INDEX('تحليل التكلفة والسعر'!$C$2:$C$700,MATCH($C2216,'تحليل التكلفة والسعر'!$B$2:$B$700,0)),0))</f>
        <v>26.38830994</v>
      </c>
      <c r="H2216" s="104" t="s">
        <v>719</v>
      </c>
    </row>
    <row r="2217" customFormat="false" ht="15" hidden="false" customHeight="false" outlineLevel="0" collapsed="false">
      <c r="A2217" s="103" t="n">
        <v>46303</v>
      </c>
      <c r="B2217" s="104" t="s">
        <v>34</v>
      </c>
      <c r="C2217" s="104" t="s">
        <v>476</v>
      </c>
      <c r="D2217" s="105" t="n">
        <v>0.1667</v>
      </c>
      <c r="E2217" s="106" t="n">
        <v>330</v>
      </c>
      <c r="F2217" s="107" t="n">
        <f aca="false">IF($C2217="","",$D2217*$E2217)</f>
        <v>55.011</v>
      </c>
      <c r="G2217" s="107" t="n">
        <f aca="false">IF($C2217="","",$D2217*IFERROR(INDEX('تحليل التكلفة والسعر'!$C$2:$C$700,MATCH($C2217,'تحليل التكلفة والسعر'!$B$2:$B$700,0)),0))</f>
        <v>26.38830994</v>
      </c>
      <c r="H2217" s="104" t="s">
        <v>719</v>
      </c>
    </row>
    <row r="2218" customFormat="false" ht="15" hidden="false" customHeight="false" outlineLevel="0" collapsed="false">
      <c r="A2218" s="103" t="n">
        <v>46304</v>
      </c>
      <c r="B2218" s="104" t="s">
        <v>34</v>
      </c>
      <c r="C2218" s="104" t="s">
        <v>476</v>
      </c>
      <c r="D2218" s="105" t="n">
        <v>0.1667</v>
      </c>
      <c r="E2218" s="106" t="n">
        <v>330</v>
      </c>
      <c r="F2218" s="107" t="n">
        <f aca="false">IF($C2218="","",$D2218*$E2218)</f>
        <v>55.011</v>
      </c>
      <c r="G2218" s="107" t="n">
        <f aca="false">IF($C2218="","",$D2218*IFERROR(INDEX('تحليل التكلفة والسعر'!$C$2:$C$700,MATCH($C2218,'تحليل التكلفة والسعر'!$B$2:$B$700,0)),0))</f>
        <v>26.38830994</v>
      </c>
      <c r="H2218" s="104" t="s">
        <v>719</v>
      </c>
    </row>
    <row r="2219" customFormat="false" ht="15" hidden="false" customHeight="false" outlineLevel="0" collapsed="false">
      <c r="A2219" s="103" t="n">
        <v>46305</v>
      </c>
      <c r="B2219" s="104" t="s">
        <v>34</v>
      </c>
      <c r="C2219" s="104" t="s">
        <v>476</v>
      </c>
      <c r="D2219" s="105" t="n">
        <v>0.1667</v>
      </c>
      <c r="E2219" s="106" t="n">
        <v>330</v>
      </c>
      <c r="F2219" s="107" t="n">
        <f aca="false">IF($C2219="","",$D2219*$E2219)</f>
        <v>55.011</v>
      </c>
      <c r="G2219" s="107" t="n">
        <f aca="false">IF($C2219="","",$D2219*IFERROR(INDEX('تحليل التكلفة والسعر'!$C$2:$C$700,MATCH($C2219,'تحليل التكلفة والسعر'!$B$2:$B$700,0)),0))</f>
        <v>26.38830994</v>
      </c>
      <c r="H2219" s="104" t="s">
        <v>719</v>
      </c>
    </row>
    <row r="2220" customFormat="false" ht="15" hidden="false" customHeight="false" outlineLevel="0" collapsed="false">
      <c r="A2220" s="103" t="n">
        <v>46306</v>
      </c>
      <c r="B2220" s="104" t="s">
        <v>34</v>
      </c>
      <c r="C2220" s="104" t="s">
        <v>476</v>
      </c>
      <c r="D2220" s="105" t="n">
        <v>0.1667</v>
      </c>
      <c r="E2220" s="106" t="n">
        <v>330</v>
      </c>
      <c r="F2220" s="107" t="n">
        <f aca="false">IF($C2220="","",$D2220*$E2220)</f>
        <v>55.011</v>
      </c>
      <c r="G2220" s="107" t="n">
        <f aca="false">IF($C2220="","",$D2220*IFERROR(INDEX('تحليل التكلفة والسعر'!$C$2:$C$700,MATCH($C2220,'تحليل التكلفة والسعر'!$B$2:$B$700,0)),0))</f>
        <v>26.38830994</v>
      </c>
      <c r="H2220" s="104" t="s">
        <v>719</v>
      </c>
    </row>
    <row r="2221" customFormat="false" ht="15" hidden="false" customHeight="false" outlineLevel="0" collapsed="false">
      <c r="A2221" s="103" t="n">
        <v>46307</v>
      </c>
      <c r="B2221" s="104" t="s">
        <v>34</v>
      </c>
      <c r="C2221" s="104" t="s">
        <v>476</v>
      </c>
      <c r="D2221" s="105" t="n">
        <v>0.1667</v>
      </c>
      <c r="E2221" s="106" t="n">
        <v>330</v>
      </c>
      <c r="F2221" s="107" t="n">
        <f aca="false">IF($C2221="","",$D2221*$E2221)</f>
        <v>55.011</v>
      </c>
      <c r="G2221" s="107" t="n">
        <f aca="false">IF($C2221="","",$D2221*IFERROR(INDEX('تحليل التكلفة والسعر'!$C$2:$C$700,MATCH($C2221,'تحليل التكلفة والسعر'!$B$2:$B$700,0)),0))</f>
        <v>26.38830994</v>
      </c>
      <c r="H2221" s="104" t="s">
        <v>719</v>
      </c>
    </row>
    <row r="2222" customFormat="false" ht="15" hidden="false" customHeight="false" outlineLevel="0" collapsed="false">
      <c r="A2222" s="103" t="n">
        <v>46296</v>
      </c>
      <c r="B2222" s="104" t="s">
        <v>34</v>
      </c>
      <c r="C2222" s="104" t="s">
        <v>479</v>
      </c>
      <c r="D2222" s="105" t="n">
        <v>0.9167</v>
      </c>
      <c r="E2222" s="106" t="n">
        <v>225.4545</v>
      </c>
      <c r="F2222" s="107" t="n">
        <f aca="false">IF($C2222="","",$D2222*$E2222)</f>
        <v>206.67414015</v>
      </c>
      <c r="G2222" s="107" t="n">
        <f aca="false">IF($C2222="","",$D2222*IFERROR(INDEX('تحليل التكلفة والسعر'!$C$2:$C$700,MATCH($C2222,'تحليل التكلفة والسعر'!$B$2:$B$700,0)),0))</f>
        <v>113.02590155</v>
      </c>
      <c r="H2222" s="104" t="s">
        <v>719</v>
      </c>
    </row>
    <row r="2223" customFormat="false" ht="15" hidden="false" customHeight="false" outlineLevel="0" collapsed="false">
      <c r="A2223" s="103" t="n">
        <v>46297</v>
      </c>
      <c r="B2223" s="104" t="s">
        <v>34</v>
      </c>
      <c r="C2223" s="104" t="s">
        <v>479</v>
      </c>
      <c r="D2223" s="105" t="n">
        <v>0.9167</v>
      </c>
      <c r="E2223" s="106" t="n">
        <v>225.4545</v>
      </c>
      <c r="F2223" s="107" t="n">
        <f aca="false">IF($C2223="","",$D2223*$E2223)</f>
        <v>206.67414015</v>
      </c>
      <c r="G2223" s="107" t="n">
        <f aca="false">IF($C2223="","",$D2223*IFERROR(INDEX('تحليل التكلفة والسعر'!$C$2:$C$700,MATCH($C2223,'تحليل التكلفة والسعر'!$B$2:$B$700,0)),0))</f>
        <v>113.02590155</v>
      </c>
      <c r="H2223" s="104" t="s">
        <v>719</v>
      </c>
    </row>
    <row r="2224" customFormat="false" ht="15" hidden="false" customHeight="false" outlineLevel="0" collapsed="false">
      <c r="A2224" s="103" t="n">
        <v>46298</v>
      </c>
      <c r="B2224" s="104" t="s">
        <v>34</v>
      </c>
      <c r="C2224" s="104" t="s">
        <v>479</v>
      </c>
      <c r="D2224" s="105" t="n">
        <v>0.9167</v>
      </c>
      <c r="E2224" s="106" t="n">
        <v>225.4545</v>
      </c>
      <c r="F2224" s="107" t="n">
        <f aca="false">IF($C2224="","",$D2224*$E2224)</f>
        <v>206.67414015</v>
      </c>
      <c r="G2224" s="107" t="n">
        <f aca="false">IF($C2224="","",$D2224*IFERROR(INDEX('تحليل التكلفة والسعر'!$C$2:$C$700,MATCH($C2224,'تحليل التكلفة والسعر'!$B$2:$B$700,0)),0))</f>
        <v>113.02590155</v>
      </c>
      <c r="H2224" s="104" t="s">
        <v>719</v>
      </c>
    </row>
    <row r="2225" customFormat="false" ht="15" hidden="false" customHeight="false" outlineLevel="0" collapsed="false">
      <c r="A2225" s="103" t="n">
        <v>46299</v>
      </c>
      <c r="B2225" s="104" t="s">
        <v>34</v>
      </c>
      <c r="C2225" s="104" t="s">
        <v>479</v>
      </c>
      <c r="D2225" s="105" t="n">
        <v>0.9167</v>
      </c>
      <c r="E2225" s="106" t="n">
        <v>225.4545</v>
      </c>
      <c r="F2225" s="107" t="n">
        <f aca="false">IF($C2225="","",$D2225*$E2225)</f>
        <v>206.67414015</v>
      </c>
      <c r="G2225" s="107" t="n">
        <f aca="false">IF($C2225="","",$D2225*IFERROR(INDEX('تحليل التكلفة والسعر'!$C$2:$C$700,MATCH($C2225,'تحليل التكلفة والسعر'!$B$2:$B$700,0)),0))</f>
        <v>113.02590155</v>
      </c>
      <c r="H2225" s="104" t="s">
        <v>719</v>
      </c>
    </row>
    <row r="2226" customFormat="false" ht="15" hidden="false" customHeight="false" outlineLevel="0" collapsed="false">
      <c r="A2226" s="103" t="n">
        <v>46300</v>
      </c>
      <c r="B2226" s="104" t="s">
        <v>34</v>
      </c>
      <c r="C2226" s="104" t="s">
        <v>479</v>
      </c>
      <c r="D2226" s="105" t="n">
        <v>0.9167</v>
      </c>
      <c r="E2226" s="106" t="n">
        <v>225.4545</v>
      </c>
      <c r="F2226" s="107" t="n">
        <f aca="false">IF($C2226="","",$D2226*$E2226)</f>
        <v>206.67414015</v>
      </c>
      <c r="G2226" s="107" t="n">
        <f aca="false">IF($C2226="","",$D2226*IFERROR(INDEX('تحليل التكلفة والسعر'!$C$2:$C$700,MATCH($C2226,'تحليل التكلفة والسعر'!$B$2:$B$700,0)),0))</f>
        <v>113.02590155</v>
      </c>
      <c r="H2226" s="104" t="s">
        <v>719</v>
      </c>
    </row>
    <row r="2227" customFormat="false" ht="15" hidden="false" customHeight="false" outlineLevel="0" collapsed="false">
      <c r="A2227" s="103" t="n">
        <v>46301</v>
      </c>
      <c r="B2227" s="104" t="s">
        <v>34</v>
      </c>
      <c r="C2227" s="104" t="s">
        <v>479</v>
      </c>
      <c r="D2227" s="105" t="n">
        <v>0.9167</v>
      </c>
      <c r="E2227" s="106" t="n">
        <v>225.4545</v>
      </c>
      <c r="F2227" s="107" t="n">
        <f aca="false">IF($C2227="","",$D2227*$E2227)</f>
        <v>206.67414015</v>
      </c>
      <c r="G2227" s="107" t="n">
        <f aca="false">IF($C2227="","",$D2227*IFERROR(INDEX('تحليل التكلفة والسعر'!$C$2:$C$700,MATCH($C2227,'تحليل التكلفة والسعر'!$B$2:$B$700,0)),0))</f>
        <v>113.02590155</v>
      </c>
      <c r="H2227" s="104" t="s">
        <v>719</v>
      </c>
    </row>
    <row r="2228" customFormat="false" ht="15" hidden="false" customHeight="false" outlineLevel="0" collapsed="false">
      <c r="A2228" s="103" t="n">
        <v>46302</v>
      </c>
      <c r="B2228" s="104" t="s">
        <v>34</v>
      </c>
      <c r="C2228" s="104" t="s">
        <v>479</v>
      </c>
      <c r="D2228" s="105" t="n">
        <v>0.9167</v>
      </c>
      <c r="E2228" s="106" t="n">
        <v>225.4545</v>
      </c>
      <c r="F2228" s="107" t="n">
        <f aca="false">IF($C2228="","",$D2228*$E2228)</f>
        <v>206.67414015</v>
      </c>
      <c r="G2228" s="107" t="n">
        <f aca="false">IF($C2228="","",$D2228*IFERROR(INDEX('تحليل التكلفة والسعر'!$C$2:$C$700,MATCH($C2228,'تحليل التكلفة والسعر'!$B$2:$B$700,0)),0))</f>
        <v>113.02590155</v>
      </c>
      <c r="H2228" s="104" t="s">
        <v>719</v>
      </c>
    </row>
    <row r="2229" customFormat="false" ht="15" hidden="false" customHeight="false" outlineLevel="0" collapsed="false">
      <c r="A2229" s="103" t="n">
        <v>46303</v>
      </c>
      <c r="B2229" s="104" t="s">
        <v>34</v>
      </c>
      <c r="C2229" s="104" t="s">
        <v>479</v>
      </c>
      <c r="D2229" s="105" t="n">
        <v>0.9167</v>
      </c>
      <c r="E2229" s="106" t="n">
        <v>225.4545</v>
      </c>
      <c r="F2229" s="107" t="n">
        <f aca="false">IF($C2229="","",$D2229*$E2229)</f>
        <v>206.67414015</v>
      </c>
      <c r="G2229" s="107" t="n">
        <f aca="false">IF($C2229="","",$D2229*IFERROR(INDEX('تحليل التكلفة والسعر'!$C$2:$C$700,MATCH($C2229,'تحليل التكلفة والسعر'!$B$2:$B$700,0)),0))</f>
        <v>113.02590155</v>
      </c>
      <c r="H2229" s="104" t="s">
        <v>719</v>
      </c>
    </row>
    <row r="2230" customFormat="false" ht="15" hidden="false" customHeight="false" outlineLevel="0" collapsed="false">
      <c r="A2230" s="103" t="n">
        <v>46304</v>
      </c>
      <c r="B2230" s="104" t="s">
        <v>34</v>
      </c>
      <c r="C2230" s="104" t="s">
        <v>479</v>
      </c>
      <c r="D2230" s="105" t="n">
        <v>0.9167</v>
      </c>
      <c r="E2230" s="106" t="n">
        <v>225.4545</v>
      </c>
      <c r="F2230" s="107" t="n">
        <f aca="false">IF($C2230="","",$D2230*$E2230)</f>
        <v>206.67414015</v>
      </c>
      <c r="G2230" s="107" t="n">
        <f aca="false">IF($C2230="","",$D2230*IFERROR(INDEX('تحليل التكلفة والسعر'!$C$2:$C$700,MATCH($C2230,'تحليل التكلفة والسعر'!$B$2:$B$700,0)),0))</f>
        <v>113.02590155</v>
      </c>
      <c r="H2230" s="104" t="s">
        <v>719</v>
      </c>
    </row>
    <row r="2231" customFormat="false" ht="15" hidden="false" customHeight="false" outlineLevel="0" collapsed="false">
      <c r="A2231" s="103" t="n">
        <v>46305</v>
      </c>
      <c r="B2231" s="104" t="s">
        <v>34</v>
      </c>
      <c r="C2231" s="104" t="s">
        <v>479</v>
      </c>
      <c r="D2231" s="105" t="n">
        <v>0.9167</v>
      </c>
      <c r="E2231" s="106" t="n">
        <v>225.4545</v>
      </c>
      <c r="F2231" s="107" t="n">
        <f aca="false">IF($C2231="","",$D2231*$E2231)</f>
        <v>206.67414015</v>
      </c>
      <c r="G2231" s="107" t="n">
        <f aca="false">IF($C2231="","",$D2231*IFERROR(INDEX('تحليل التكلفة والسعر'!$C$2:$C$700,MATCH($C2231,'تحليل التكلفة والسعر'!$B$2:$B$700,0)),0))</f>
        <v>113.02590155</v>
      </c>
      <c r="H2231" s="104" t="s">
        <v>719</v>
      </c>
    </row>
    <row r="2232" customFormat="false" ht="15" hidden="false" customHeight="false" outlineLevel="0" collapsed="false">
      <c r="A2232" s="103" t="n">
        <v>46306</v>
      </c>
      <c r="B2232" s="104" t="s">
        <v>34</v>
      </c>
      <c r="C2232" s="104" t="s">
        <v>479</v>
      </c>
      <c r="D2232" s="105" t="n">
        <v>0.9167</v>
      </c>
      <c r="E2232" s="106" t="n">
        <v>225.4545</v>
      </c>
      <c r="F2232" s="107" t="n">
        <f aca="false">IF($C2232="","",$D2232*$E2232)</f>
        <v>206.67414015</v>
      </c>
      <c r="G2232" s="107" t="n">
        <f aca="false">IF($C2232="","",$D2232*IFERROR(INDEX('تحليل التكلفة والسعر'!$C$2:$C$700,MATCH($C2232,'تحليل التكلفة والسعر'!$B$2:$B$700,0)),0))</f>
        <v>113.02590155</v>
      </c>
      <c r="H2232" s="104" t="s">
        <v>719</v>
      </c>
    </row>
    <row r="2233" customFormat="false" ht="15" hidden="false" customHeight="false" outlineLevel="0" collapsed="false">
      <c r="A2233" s="103" t="n">
        <v>46307</v>
      </c>
      <c r="B2233" s="104" t="s">
        <v>34</v>
      </c>
      <c r="C2233" s="104" t="s">
        <v>479</v>
      </c>
      <c r="D2233" s="105" t="n">
        <v>0.9167</v>
      </c>
      <c r="E2233" s="106" t="n">
        <v>225.4545</v>
      </c>
      <c r="F2233" s="107" t="n">
        <f aca="false">IF($C2233="","",$D2233*$E2233)</f>
        <v>206.67414015</v>
      </c>
      <c r="G2233" s="107" t="n">
        <f aca="false">IF($C2233="","",$D2233*IFERROR(INDEX('تحليل التكلفة والسعر'!$C$2:$C$700,MATCH($C2233,'تحليل التكلفة والسعر'!$B$2:$B$700,0)),0))</f>
        <v>113.02590155</v>
      </c>
      <c r="H2233" s="104" t="s">
        <v>719</v>
      </c>
    </row>
    <row r="2234" customFormat="false" ht="15" hidden="false" customHeight="false" outlineLevel="0" collapsed="false">
      <c r="A2234" s="103" t="n">
        <v>46296</v>
      </c>
      <c r="B2234" s="104" t="s">
        <v>34</v>
      </c>
      <c r="C2234" s="104" t="s">
        <v>460</v>
      </c>
      <c r="D2234" s="105" t="n">
        <v>0.5833</v>
      </c>
      <c r="E2234" s="106" t="n">
        <v>60</v>
      </c>
      <c r="F2234" s="107" t="n">
        <f aca="false">IF($C2234="","",$D2234*$E2234)</f>
        <v>34.998</v>
      </c>
      <c r="G2234" s="107" t="n">
        <f aca="false">IF($C2234="","",$D2234*IFERROR(INDEX('تحليل التكلفة والسعر'!$C$2:$C$700,MATCH($C2234,'تحليل التكلفة والسعر'!$B$2:$B$700,0)),0))</f>
        <v>24.411105</v>
      </c>
      <c r="H2234" s="104" t="s">
        <v>719</v>
      </c>
    </row>
    <row r="2235" customFormat="false" ht="15" hidden="false" customHeight="false" outlineLevel="0" collapsed="false">
      <c r="A2235" s="103" t="n">
        <v>46297</v>
      </c>
      <c r="B2235" s="104" t="s">
        <v>34</v>
      </c>
      <c r="C2235" s="104" t="s">
        <v>460</v>
      </c>
      <c r="D2235" s="105" t="n">
        <v>0.5833</v>
      </c>
      <c r="E2235" s="106" t="n">
        <v>60</v>
      </c>
      <c r="F2235" s="107" t="n">
        <f aca="false">IF($C2235="","",$D2235*$E2235)</f>
        <v>34.998</v>
      </c>
      <c r="G2235" s="107" t="n">
        <f aca="false">IF($C2235="","",$D2235*IFERROR(INDEX('تحليل التكلفة والسعر'!$C$2:$C$700,MATCH($C2235,'تحليل التكلفة والسعر'!$B$2:$B$700,0)),0))</f>
        <v>24.411105</v>
      </c>
      <c r="H2235" s="104" t="s">
        <v>719</v>
      </c>
    </row>
    <row r="2236" customFormat="false" ht="15" hidden="false" customHeight="false" outlineLevel="0" collapsed="false">
      <c r="A2236" s="103" t="n">
        <v>46298</v>
      </c>
      <c r="B2236" s="104" t="s">
        <v>34</v>
      </c>
      <c r="C2236" s="104" t="s">
        <v>460</v>
      </c>
      <c r="D2236" s="105" t="n">
        <v>0.5833</v>
      </c>
      <c r="E2236" s="106" t="n">
        <v>60</v>
      </c>
      <c r="F2236" s="107" t="n">
        <f aca="false">IF($C2236="","",$D2236*$E2236)</f>
        <v>34.998</v>
      </c>
      <c r="G2236" s="107" t="n">
        <f aca="false">IF($C2236="","",$D2236*IFERROR(INDEX('تحليل التكلفة والسعر'!$C$2:$C$700,MATCH($C2236,'تحليل التكلفة والسعر'!$B$2:$B$700,0)),0))</f>
        <v>24.411105</v>
      </c>
      <c r="H2236" s="104" t="s">
        <v>719</v>
      </c>
    </row>
    <row r="2237" customFormat="false" ht="15" hidden="false" customHeight="false" outlineLevel="0" collapsed="false">
      <c r="A2237" s="103" t="n">
        <v>46299</v>
      </c>
      <c r="B2237" s="104" t="s">
        <v>34</v>
      </c>
      <c r="C2237" s="104" t="s">
        <v>460</v>
      </c>
      <c r="D2237" s="105" t="n">
        <v>0.5833</v>
      </c>
      <c r="E2237" s="106" t="n">
        <v>60</v>
      </c>
      <c r="F2237" s="107" t="n">
        <f aca="false">IF($C2237="","",$D2237*$E2237)</f>
        <v>34.998</v>
      </c>
      <c r="G2237" s="107" t="n">
        <f aca="false">IF($C2237="","",$D2237*IFERROR(INDEX('تحليل التكلفة والسعر'!$C$2:$C$700,MATCH($C2237,'تحليل التكلفة والسعر'!$B$2:$B$700,0)),0))</f>
        <v>24.411105</v>
      </c>
      <c r="H2237" s="104" t="s">
        <v>719</v>
      </c>
    </row>
    <row r="2238" customFormat="false" ht="15" hidden="false" customHeight="false" outlineLevel="0" collapsed="false">
      <c r="A2238" s="103" t="n">
        <v>46300</v>
      </c>
      <c r="B2238" s="104" t="s">
        <v>34</v>
      </c>
      <c r="C2238" s="104" t="s">
        <v>460</v>
      </c>
      <c r="D2238" s="105" t="n">
        <v>0.5833</v>
      </c>
      <c r="E2238" s="106" t="n">
        <v>60</v>
      </c>
      <c r="F2238" s="107" t="n">
        <f aca="false">IF($C2238="","",$D2238*$E2238)</f>
        <v>34.998</v>
      </c>
      <c r="G2238" s="107" t="n">
        <f aca="false">IF($C2238="","",$D2238*IFERROR(INDEX('تحليل التكلفة والسعر'!$C$2:$C$700,MATCH($C2238,'تحليل التكلفة والسعر'!$B$2:$B$700,0)),0))</f>
        <v>24.411105</v>
      </c>
      <c r="H2238" s="104" t="s">
        <v>719</v>
      </c>
    </row>
    <row r="2239" customFormat="false" ht="15" hidden="false" customHeight="false" outlineLevel="0" collapsed="false">
      <c r="A2239" s="103" t="n">
        <v>46301</v>
      </c>
      <c r="B2239" s="104" t="s">
        <v>34</v>
      </c>
      <c r="C2239" s="104" t="s">
        <v>460</v>
      </c>
      <c r="D2239" s="105" t="n">
        <v>0.5833</v>
      </c>
      <c r="E2239" s="106" t="n">
        <v>60</v>
      </c>
      <c r="F2239" s="107" t="n">
        <f aca="false">IF($C2239="","",$D2239*$E2239)</f>
        <v>34.998</v>
      </c>
      <c r="G2239" s="107" t="n">
        <f aca="false">IF($C2239="","",$D2239*IFERROR(INDEX('تحليل التكلفة والسعر'!$C$2:$C$700,MATCH($C2239,'تحليل التكلفة والسعر'!$B$2:$B$700,0)),0))</f>
        <v>24.411105</v>
      </c>
      <c r="H2239" s="104" t="s">
        <v>719</v>
      </c>
    </row>
    <row r="2240" customFormat="false" ht="15" hidden="false" customHeight="false" outlineLevel="0" collapsed="false">
      <c r="A2240" s="103" t="n">
        <v>46302</v>
      </c>
      <c r="B2240" s="104" t="s">
        <v>34</v>
      </c>
      <c r="C2240" s="104" t="s">
        <v>460</v>
      </c>
      <c r="D2240" s="105" t="n">
        <v>0.5833</v>
      </c>
      <c r="E2240" s="106" t="n">
        <v>60</v>
      </c>
      <c r="F2240" s="107" t="n">
        <f aca="false">IF($C2240="","",$D2240*$E2240)</f>
        <v>34.998</v>
      </c>
      <c r="G2240" s="107" t="n">
        <f aca="false">IF($C2240="","",$D2240*IFERROR(INDEX('تحليل التكلفة والسعر'!$C$2:$C$700,MATCH($C2240,'تحليل التكلفة والسعر'!$B$2:$B$700,0)),0))</f>
        <v>24.411105</v>
      </c>
      <c r="H2240" s="104" t="s">
        <v>719</v>
      </c>
    </row>
    <row r="2241" customFormat="false" ht="15" hidden="false" customHeight="false" outlineLevel="0" collapsed="false">
      <c r="A2241" s="103" t="n">
        <v>46303</v>
      </c>
      <c r="B2241" s="104" t="s">
        <v>34</v>
      </c>
      <c r="C2241" s="104" t="s">
        <v>460</v>
      </c>
      <c r="D2241" s="105" t="n">
        <v>0.5833</v>
      </c>
      <c r="E2241" s="106" t="n">
        <v>60</v>
      </c>
      <c r="F2241" s="107" t="n">
        <f aca="false">IF($C2241="","",$D2241*$E2241)</f>
        <v>34.998</v>
      </c>
      <c r="G2241" s="107" t="n">
        <f aca="false">IF($C2241="","",$D2241*IFERROR(INDEX('تحليل التكلفة والسعر'!$C$2:$C$700,MATCH($C2241,'تحليل التكلفة والسعر'!$B$2:$B$700,0)),0))</f>
        <v>24.411105</v>
      </c>
      <c r="H2241" s="104" t="s">
        <v>719</v>
      </c>
    </row>
    <row r="2242" customFormat="false" ht="15" hidden="false" customHeight="false" outlineLevel="0" collapsed="false">
      <c r="A2242" s="103" t="n">
        <v>46304</v>
      </c>
      <c r="B2242" s="104" t="s">
        <v>34</v>
      </c>
      <c r="C2242" s="104" t="s">
        <v>460</v>
      </c>
      <c r="D2242" s="105" t="n">
        <v>0.5833</v>
      </c>
      <c r="E2242" s="106" t="n">
        <v>60</v>
      </c>
      <c r="F2242" s="107" t="n">
        <f aca="false">IF($C2242="","",$D2242*$E2242)</f>
        <v>34.998</v>
      </c>
      <c r="G2242" s="107" t="n">
        <f aca="false">IF($C2242="","",$D2242*IFERROR(INDEX('تحليل التكلفة والسعر'!$C$2:$C$700,MATCH($C2242,'تحليل التكلفة والسعر'!$B$2:$B$700,0)),0))</f>
        <v>24.411105</v>
      </c>
      <c r="H2242" s="104" t="s">
        <v>719</v>
      </c>
    </row>
    <row r="2243" customFormat="false" ht="15" hidden="false" customHeight="false" outlineLevel="0" collapsed="false">
      <c r="A2243" s="103" t="n">
        <v>46305</v>
      </c>
      <c r="B2243" s="104" t="s">
        <v>34</v>
      </c>
      <c r="C2243" s="104" t="s">
        <v>460</v>
      </c>
      <c r="D2243" s="105" t="n">
        <v>0.5833</v>
      </c>
      <c r="E2243" s="106" t="n">
        <v>60</v>
      </c>
      <c r="F2243" s="107" t="n">
        <f aca="false">IF($C2243="","",$D2243*$E2243)</f>
        <v>34.998</v>
      </c>
      <c r="G2243" s="107" t="n">
        <f aca="false">IF($C2243="","",$D2243*IFERROR(INDEX('تحليل التكلفة والسعر'!$C$2:$C$700,MATCH($C2243,'تحليل التكلفة والسعر'!$B$2:$B$700,0)),0))</f>
        <v>24.411105</v>
      </c>
      <c r="H2243" s="104" t="s">
        <v>719</v>
      </c>
    </row>
    <row r="2244" customFormat="false" ht="15" hidden="false" customHeight="false" outlineLevel="0" collapsed="false">
      <c r="A2244" s="103" t="n">
        <v>46306</v>
      </c>
      <c r="B2244" s="104" t="s">
        <v>34</v>
      </c>
      <c r="C2244" s="104" t="s">
        <v>460</v>
      </c>
      <c r="D2244" s="105" t="n">
        <v>0.5833</v>
      </c>
      <c r="E2244" s="106" t="n">
        <v>60</v>
      </c>
      <c r="F2244" s="107" t="n">
        <f aca="false">IF($C2244="","",$D2244*$E2244)</f>
        <v>34.998</v>
      </c>
      <c r="G2244" s="107" t="n">
        <f aca="false">IF($C2244="","",$D2244*IFERROR(INDEX('تحليل التكلفة والسعر'!$C$2:$C$700,MATCH($C2244,'تحليل التكلفة والسعر'!$B$2:$B$700,0)),0))</f>
        <v>24.411105</v>
      </c>
      <c r="H2244" s="104" t="s">
        <v>719</v>
      </c>
    </row>
    <row r="2245" customFormat="false" ht="15" hidden="false" customHeight="false" outlineLevel="0" collapsed="false">
      <c r="A2245" s="103" t="n">
        <v>46307</v>
      </c>
      <c r="B2245" s="104" t="s">
        <v>34</v>
      </c>
      <c r="C2245" s="104" t="s">
        <v>460</v>
      </c>
      <c r="D2245" s="105" t="n">
        <v>0.5833</v>
      </c>
      <c r="E2245" s="106" t="n">
        <v>60</v>
      </c>
      <c r="F2245" s="107" t="n">
        <f aca="false">IF($C2245="","",$D2245*$E2245)</f>
        <v>34.998</v>
      </c>
      <c r="G2245" s="107" t="n">
        <f aca="false">IF($C2245="","",$D2245*IFERROR(INDEX('تحليل التكلفة والسعر'!$C$2:$C$700,MATCH($C2245,'تحليل التكلفة والسعر'!$B$2:$B$700,0)),0))</f>
        <v>24.411105</v>
      </c>
      <c r="H2245" s="104" t="s">
        <v>719</v>
      </c>
    </row>
    <row r="2246" customFormat="false" ht="15" hidden="false" customHeight="false" outlineLevel="0" collapsed="false">
      <c r="A2246" s="103" t="n">
        <v>46296</v>
      </c>
      <c r="B2246" s="104" t="s">
        <v>34</v>
      </c>
      <c r="C2246" s="104" t="s">
        <v>474</v>
      </c>
      <c r="D2246" s="105" t="n">
        <v>0.0833</v>
      </c>
      <c r="E2246" s="106" t="n">
        <v>160</v>
      </c>
      <c r="F2246" s="107" t="n">
        <f aca="false">IF($C2246="","",$D2246*$E2246)</f>
        <v>13.328</v>
      </c>
      <c r="G2246" s="107" t="n">
        <f aca="false">IF($C2246="","",$D2246*IFERROR(INDEX('تحليل التكلفة والسعر'!$C$2:$C$700,MATCH($C2246,'تحليل التكلفة والسعر'!$B$2:$B$700,0)),0))</f>
        <v>7.417865</v>
      </c>
      <c r="H2246" s="104" t="s">
        <v>719</v>
      </c>
    </row>
    <row r="2247" customFormat="false" ht="15" hidden="false" customHeight="false" outlineLevel="0" collapsed="false">
      <c r="A2247" s="103" t="n">
        <v>46297</v>
      </c>
      <c r="B2247" s="104" t="s">
        <v>34</v>
      </c>
      <c r="C2247" s="104" t="s">
        <v>474</v>
      </c>
      <c r="D2247" s="105" t="n">
        <v>0.0833</v>
      </c>
      <c r="E2247" s="106" t="n">
        <v>160</v>
      </c>
      <c r="F2247" s="107" t="n">
        <f aca="false">IF($C2247="","",$D2247*$E2247)</f>
        <v>13.328</v>
      </c>
      <c r="G2247" s="107" t="n">
        <f aca="false">IF($C2247="","",$D2247*IFERROR(INDEX('تحليل التكلفة والسعر'!$C$2:$C$700,MATCH($C2247,'تحليل التكلفة والسعر'!$B$2:$B$700,0)),0))</f>
        <v>7.417865</v>
      </c>
      <c r="H2247" s="104" t="s">
        <v>719</v>
      </c>
    </row>
    <row r="2248" customFormat="false" ht="15" hidden="false" customHeight="false" outlineLevel="0" collapsed="false">
      <c r="A2248" s="103" t="n">
        <v>46298</v>
      </c>
      <c r="B2248" s="104" t="s">
        <v>34</v>
      </c>
      <c r="C2248" s="104" t="s">
        <v>474</v>
      </c>
      <c r="D2248" s="105" t="n">
        <v>0.0833</v>
      </c>
      <c r="E2248" s="106" t="n">
        <v>160</v>
      </c>
      <c r="F2248" s="107" t="n">
        <f aca="false">IF($C2248="","",$D2248*$E2248)</f>
        <v>13.328</v>
      </c>
      <c r="G2248" s="107" t="n">
        <f aca="false">IF($C2248="","",$D2248*IFERROR(INDEX('تحليل التكلفة والسعر'!$C$2:$C$700,MATCH($C2248,'تحليل التكلفة والسعر'!$B$2:$B$700,0)),0))</f>
        <v>7.417865</v>
      </c>
      <c r="H2248" s="104" t="s">
        <v>719</v>
      </c>
    </row>
    <row r="2249" customFormat="false" ht="15" hidden="false" customHeight="false" outlineLevel="0" collapsed="false">
      <c r="A2249" s="103" t="n">
        <v>46299</v>
      </c>
      <c r="B2249" s="104" t="s">
        <v>34</v>
      </c>
      <c r="C2249" s="104" t="s">
        <v>474</v>
      </c>
      <c r="D2249" s="105" t="n">
        <v>0.0833</v>
      </c>
      <c r="E2249" s="106" t="n">
        <v>160</v>
      </c>
      <c r="F2249" s="107" t="n">
        <f aca="false">IF($C2249="","",$D2249*$E2249)</f>
        <v>13.328</v>
      </c>
      <c r="G2249" s="107" t="n">
        <f aca="false">IF($C2249="","",$D2249*IFERROR(INDEX('تحليل التكلفة والسعر'!$C$2:$C$700,MATCH($C2249,'تحليل التكلفة والسعر'!$B$2:$B$700,0)),0))</f>
        <v>7.417865</v>
      </c>
      <c r="H2249" s="104" t="s">
        <v>719</v>
      </c>
    </row>
    <row r="2250" customFormat="false" ht="15" hidden="false" customHeight="false" outlineLevel="0" collapsed="false">
      <c r="A2250" s="103" t="n">
        <v>46300</v>
      </c>
      <c r="B2250" s="104" t="s">
        <v>34</v>
      </c>
      <c r="C2250" s="104" t="s">
        <v>474</v>
      </c>
      <c r="D2250" s="105" t="n">
        <v>0.0833</v>
      </c>
      <c r="E2250" s="106" t="n">
        <v>160</v>
      </c>
      <c r="F2250" s="107" t="n">
        <f aca="false">IF($C2250="","",$D2250*$E2250)</f>
        <v>13.328</v>
      </c>
      <c r="G2250" s="107" t="n">
        <f aca="false">IF($C2250="","",$D2250*IFERROR(INDEX('تحليل التكلفة والسعر'!$C$2:$C$700,MATCH($C2250,'تحليل التكلفة والسعر'!$B$2:$B$700,0)),0))</f>
        <v>7.417865</v>
      </c>
      <c r="H2250" s="104" t="s">
        <v>719</v>
      </c>
    </row>
    <row r="2251" customFormat="false" ht="15" hidden="false" customHeight="false" outlineLevel="0" collapsed="false">
      <c r="A2251" s="103" t="n">
        <v>46301</v>
      </c>
      <c r="B2251" s="104" t="s">
        <v>34</v>
      </c>
      <c r="C2251" s="104" t="s">
        <v>474</v>
      </c>
      <c r="D2251" s="105" t="n">
        <v>0.0833</v>
      </c>
      <c r="E2251" s="106" t="n">
        <v>160</v>
      </c>
      <c r="F2251" s="107" t="n">
        <f aca="false">IF($C2251="","",$D2251*$E2251)</f>
        <v>13.328</v>
      </c>
      <c r="G2251" s="107" t="n">
        <f aca="false">IF($C2251="","",$D2251*IFERROR(INDEX('تحليل التكلفة والسعر'!$C$2:$C$700,MATCH($C2251,'تحليل التكلفة والسعر'!$B$2:$B$700,0)),0))</f>
        <v>7.417865</v>
      </c>
      <c r="H2251" s="104" t="s">
        <v>719</v>
      </c>
    </row>
    <row r="2252" customFormat="false" ht="15" hidden="false" customHeight="false" outlineLevel="0" collapsed="false">
      <c r="A2252" s="103" t="n">
        <v>46302</v>
      </c>
      <c r="B2252" s="104" t="s">
        <v>34</v>
      </c>
      <c r="C2252" s="104" t="s">
        <v>474</v>
      </c>
      <c r="D2252" s="105" t="n">
        <v>0.0833</v>
      </c>
      <c r="E2252" s="106" t="n">
        <v>160</v>
      </c>
      <c r="F2252" s="107" t="n">
        <f aca="false">IF($C2252="","",$D2252*$E2252)</f>
        <v>13.328</v>
      </c>
      <c r="G2252" s="107" t="n">
        <f aca="false">IF($C2252="","",$D2252*IFERROR(INDEX('تحليل التكلفة والسعر'!$C$2:$C$700,MATCH($C2252,'تحليل التكلفة والسعر'!$B$2:$B$700,0)),0))</f>
        <v>7.417865</v>
      </c>
      <c r="H2252" s="104" t="s">
        <v>719</v>
      </c>
    </row>
    <row r="2253" customFormat="false" ht="15" hidden="false" customHeight="false" outlineLevel="0" collapsed="false">
      <c r="A2253" s="103" t="n">
        <v>46303</v>
      </c>
      <c r="B2253" s="104" t="s">
        <v>34</v>
      </c>
      <c r="C2253" s="104" t="s">
        <v>474</v>
      </c>
      <c r="D2253" s="105" t="n">
        <v>0.0833</v>
      </c>
      <c r="E2253" s="106" t="n">
        <v>160</v>
      </c>
      <c r="F2253" s="107" t="n">
        <f aca="false">IF($C2253="","",$D2253*$E2253)</f>
        <v>13.328</v>
      </c>
      <c r="G2253" s="107" t="n">
        <f aca="false">IF($C2253="","",$D2253*IFERROR(INDEX('تحليل التكلفة والسعر'!$C$2:$C$700,MATCH($C2253,'تحليل التكلفة والسعر'!$B$2:$B$700,0)),0))</f>
        <v>7.417865</v>
      </c>
      <c r="H2253" s="104" t="s">
        <v>719</v>
      </c>
    </row>
    <row r="2254" customFormat="false" ht="15" hidden="false" customHeight="false" outlineLevel="0" collapsed="false">
      <c r="A2254" s="103" t="n">
        <v>46304</v>
      </c>
      <c r="B2254" s="104" t="s">
        <v>34</v>
      </c>
      <c r="C2254" s="104" t="s">
        <v>474</v>
      </c>
      <c r="D2254" s="105" t="n">
        <v>0.0833</v>
      </c>
      <c r="E2254" s="106" t="n">
        <v>160</v>
      </c>
      <c r="F2254" s="107" t="n">
        <f aca="false">IF($C2254="","",$D2254*$E2254)</f>
        <v>13.328</v>
      </c>
      <c r="G2254" s="107" t="n">
        <f aca="false">IF($C2254="","",$D2254*IFERROR(INDEX('تحليل التكلفة والسعر'!$C$2:$C$700,MATCH($C2254,'تحليل التكلفة والسعر'!$B$2:$B$700,0)),0))</f>
        <v>7.417865</v>
      </c>
      <c r="H2254" s="104" t="s">
        <v>719</v>
      </c>
    </row>
    <row r="2255" customFormat="false" ht="15" hidden="false" customHeight="false" outlineLevel="0" collapsed="false">
      <c r="A2255" s="103" t="n">
        <v>46305</v>
      </c>
      <c r="B2255" s="104" t="s">
        <v>34</v>
      </c>
      <c r="C2255" s="104" t="s">
        <v>474</v>
      </c>
      <c r="D2255" s="105" t="n">
        <v>0.0833</v>
      </c>
      <c r="E2255" s="106" t="n">
        <v>160</v>
      </c>
      <c r="F2255" s="107" t="n">
        <f aca="false">IF($C2255="","",$D2255*$E2255)</f>
        <v>13.328</v>
      </c>
      <c r="G2255" s="107" t="n">
        <f aca="false">IF($C2255="","",$D2255*IFERROR(INDEX('تحليل التكلفة والسعر'!$C$2:$C$700,MATCH($C2255,'تحليل التكلفة والسعر'!$B$2:$B$700,0)),0))</f>
        <v>7.417865</v>
      </c>
      <c r="H2255" s="104" t="s">
        <v>719</v>
      </c>
    </row>
    <row r="2256" customFormat="false" ht="15" hidden="false" customHeight="false" outlineLevel="0" collapsed="false">
      <c r="A2256" s="103" t="n">
        <v>46306</v>
      </c>
      <c r="B2256" s="104" t="s">
        <v>34</v>
      </c>
      <c r="C2256" s="104" t="s">
        <v>474</v>
      </c>
      <c r="D2256" s="105" t="n">
        <v>0.0833</v>
      </c>
      <c r="E2256" s="106" t="n">
        <v>160</v>
      </c>
      <c r="F2256" s="107" t="n">
        <f aca="false">IF($C2256="","",$D2256*$E2256)</f>
        <v>13.328</v>
      </c>
      <c r="G2256" s="107" t="n">
        <f aca="false">IF($C2256="","",$D2256*IFERROR(INDEX('تحليل التكلفة والسعر'!$C$2:$C$700,MATCH($C2256,'تحليل التكلفة والسعر'!$B$2:$B$700,0)),0))</f>
        <v>7.417865</v>
      </c>
      <c r="H2256" s="104" t="s">
        <v>719</v>
      </c>
    </row>
    <row r="2257" customFormat="false" ht="15" hidden="false" customHeight="false" outlineLevel="0" collapsed="false">
      <c r="A2257" s="103" t="n">
        <v>46307</v>
      </c>
      <c r="B2257" s="104" t="s">
        <v>34</v>
      </c>
      <c r="C2257" s="104" t="s">
        <v>474</v>
      </c>
      <c r="D2257" s="105" t="n">
        <v>0.0833</v>
      </c>
      <c r="E2257" s="106" t="n">
        <v>160</v>
      </c>
      <c r="F2257" s="107" t="n">
        <f aca="false">IF($C2257="","",$D2257*$E2257)</f>
        <v>13.328</v>
      </c>
      <c r="G2257" s="107" t="n">
        <f aca="false">IF($C2257="","",$D2257*IFERROR(INDEX('تحليل التكلفة والسعر'!$C$2:$C$700,MATCH($C2257,'تحليل التكلفة والسعر'!$B$2:$B$700,0)),0))</f>
        <v>7.417865</v>
      </c>
      <c r="H2257" s="104" t="s">
        <v>719</v>
      </c>
    </row>
    <row r="2258" customFormat="false" ht="15" hidden="false" customHeight="false" outlineLevel="0" collapsed="false">
      <c r="A2258" s="103" t="n">
        <v>46296</v>
      </c>
      <c r="B2258" s="104" t="s">
        <v>34</v>
      </c>
      <c r="C2258" s="104" t="s">
        <v>468</v>
      </c>
      <c r="D2258" s="105" t="n">
        <v>0.1667</v>
      </c>
      <c r="E2258" s="106" t="n">
        <v>100</v>
      </c>
      <c r="F2258" s="107" t="n">
        <f aca="false">IF($C2258="","",$D2258*$E2258)</f>
        <v>16.67</v>
      </c>
      <c r="G2258" s="107" t="n">
        <f aca="false">IF($C2258="","",$D2258*IFERROR(INDEX('تحليل التكلفة والسعر'!$C$2:$C$700,MATCH($C2258,'تحليل التكلفة والسعر'!$B$2:$B$700,0)),0))</f>
        <v>10.577115</v>
      </c>
      <c r="H2258" s="104" t="s">
        <v>719</v>
      </c>
    </row>
    <row r="2259" customFormat="false" ht="15" hidden="false" customHeight="false" outlineLevel="0" collapsed="false">
      <c r="A2259" s="103" t="n">
        <v>46297</v>
      </c>
      <c r="B2259" s="104" t="s">
        <v>34</v>
      </c>
      <c r="C2259" s="104" t="s">
        <v>468</v>
      </c>
      <c r="D2259" s="105" t="n">
        <v>0.1667</v>
      </c>
      <c r="E2259" s="106" t="n">
        <v>100</v>
      </c>
      <c r="F2259" s="107" t="n">
        <f aca="false">IF($C2259="","",$D2259*$E2259)</f>
        <v>16.67</v>
      </c>
      <c r="G2259" s="107" t="n">
        <f aca="false">IF($C2259="","",$D2259*IFERROR(INDEX('تحليل التكلفة والسعر'!$C$2:$C$700,MATCH($C2259,'تحليل التكلفة والسعر'!$B$2:$B$700,0)),0))</f>
        <v>10.577115</v>
      </c>
      <c r="H2259" s="104" t="s">
        <v>719</v>
      </c>
    </row>
    <row r="2260" customFormat="false" ht="15" hidden="false" customHeight="false" outlineLevel="0" collapsed="false">
      <c r="A2260" s="103" t="n">
        <v>46298</v>
      </c>
      <c r="B2260" s="104" t="s">
        <v>34</v>
      </c>
      <c r="C2260" s="104" t="s">
        <v>468</v>
      </c>
      <c r="D2260" s="105" t="n">
        <v>0.1667</v>
      </c>
      <c r="E2260" s="106" t="n">
        <v>100</v>
      </c>
      <c r="F2260" s="107" t="n">
        <f aca="false">IF($C2260="","",$D2260*$E2260)</f>
        <v>16.67</v>
      </c>
      <c r="G2260" s="107" t="n">
        <f aca="false">IF($C2260="","",$D2260*IFERROR(INDEX('تحليل التكلفة والسعر'!$C$2:$C$700,MATCH($C2260,'تحليل التكلفة والسعر'!$B$2:$B$700,0)),0))</f>
        <v>10.577115</v>
      </c>
      <c r="H2260" s="104" t="s">
        <v>719</v>
      </c>
    </row>
    <row r="2261" customFormat="false" ht="15" hidden="false" customHeight="false" outlineLevel="0" collapsed="false">
      <c r="A2261" s="103" t="n">
        <v>46299</v>
      </c>
      <c r="B2261" s="104" t="s">
        <v>34</v>
      </c>
      <c r="C2261" s="104" t="s">
        <v>468</v>
      </c>
      <c r="D2261" s="105" t="n">
        <v>0.1667</v>
      </c>
      <c r="E2261" s="106" t="n">
        <v>100</v>
      </c>
      <c r="F2261" s="107" t="n">
        <f aca="false">IF($C2261="","",$D2261*$E2261)</f>
        <v>16.67</v>
      </c>
      <c r="G2261" s="107" t="n">
        <f aca="false">IF($C2261="","",$D2261*IFERROR(INDEX('تحليل التكلفة والسعر'!$C$2:$C$700,MATCH($C2261,'تحليل التكلفة والسعر'!$B$2:$B$700,0)),0))</f>
        <v>10.577115</v>
      </c>
      <c r="H2261" s="104" t="s">
        <v>719</v>
      </c>
    </row>
    <row r="2262" customFormat="false" ht="15" hidden="false" customHeight="false" outlineLevel="0" collapsed="false">
      <c r="A2262" s="103" t="n">
        <v>46300</v>
      </c>
      <c r="B2262" s="104" t="s">
        <v>34</v>
      </c>
      <c r="C2262" s="104" t="s">
        <v>468</v>
      </c>
      <c r="D2262" s="105" t="n">
        <v>0.1667</v>
      </c>
      <c r="E2262" s="106" t="n">
        <v>100</v>
      </c>
      <c r="F2262" s="107" t="n">
        <f aca="false">IF($C2262="","",$D2262*$E2262)</f>
        <v>16.67</v>
      </c>
      <c r="G2262" s="107" t="n">
        <f aca="false">IF($C2262="","",$D2262*IFERROR(INDEX('تحليل التكلفة والسعر'!$C$2:$C$700,MATCH($C2262,'تحليل التكلفة والسعر'!$B$2:$B$700,0)),0))</f>
        <v>10.577115</v>
      </c>
      <c r="H2262" s="104" t="s">
        <v>719</v>
      </c>
    </row>
    <row r="2263" customFormat="false" ht="15" hidden="false" customHeight="false" outlineLevel="0" collapsed="false">
      <c r="A2263" s="103" t="n">
        <v>46301</v>
      </c>
      <c r="B2263" s="104" t="s">
        <v>34</v>
      </c>
      <c r="C2263" s="104" t="s">
        <v>468</v>
      </c>
      <c r="D2263" s="105" t="n">
        <v>0.1667</v>
      </c>
      <c r="E2263" s="106" t="n">
        <v>100</v>
      </c>
      <c r="F2263" s="107" t="n">
        <f aca="false">IF($C2263="","",$D2263*$E2263)</f>
        <v>16.67</v>
      </c>
      <c r="G2263" s="107" t="n">
        <f aca="false">IF($C2263="","",$D2263*IFERROR(INDEX('تحليل التكلفة والسعر'!$C$2:$C$700,MATCH($C2263,'تحليل التكلفة والسعر'!$B$2:$B$700,0)),0))</f>
        <v>10.577115</v>
      </c>
      <c r="H2263" s="104" t="s">
        <v>719</v>
      </c>
    </row>
    <row r="2264" customFormat="false" ht="15" hidden="false" customHeight="false" outlineLevel="0" collapsed="false">
      <c r="A2264" s="103" t="n">
        <v>46302</v>
      </c>
      <c r="B2264" s="104" t="s">
        <v>34</v>
      </c>
      <c r="C2264" s="104" t="s">
        <v>468</v>
      </c>
      <c r="D2264" s="105" t="n">
        <v>0.1667</v>
      </c>
      <c r="E2264" s="106" t="n">
        <v>100</v>
      </c>
      <c r="F2264" s="107" t="n">
        <f aca="false">IF($C2264="","",$D2264*$E2264)</f>
        <v>16.67</v>
      </c>
      <c r="G2264" s="107" t="n">
        <f aca="false">IF($C2264="","",$D2264*IFERROR(INDEX('تحليل التكلفة والسعر'!$C$2:$C$700,MATCH($C2264,'تحليل التكلفة والسعر'!$B$2:$B$700,0)),0))</f>
        <v>10.577115</v>
      </c>
      <c r="H2264" s="104" t="s">
        <v>719</v>
      </c>
    </row>
    <row r="2265" customFormat="false" ht="15" hidden="false" customHeight="false" outlineLevel="0" collapsed="false">
      <c r="A2265" s="103" t="n">
        <v>46303</v>
      </c>
      <c r="B2265" s="104" t="s">
        <v>34</v>
      </c>
      <c r="C2265" s="104" t="s">
        <v>468</v>
      </c>
      <c r="D2265" s="105" t="n">
        <v>0.1667</v>
      </c>
      <c r="E2265" s="106" t="n">
        <v>100</v>
      </c>
      <c r="F2265" s="107" t="n">
        <f aca="false">IF($C2265="","",$D2265*$E2265)</f>
        <v>16.67</v>
      </c>
      <c r="G2265" s="107" t="n">
        <f aca="false">IF($C2265="","",$D2265*IFERROR(INDEX('تحليل التكلفة والسعر'!$C$2:$C$700,MATCH($C2265,'تحليل التكلفة والسعر'!$B$2:$B$700,0)),0))</f>
        <v>10.577115</v>
      </c>
      <c r="H2265" s="104" t="s">
        <v>719</v>
      </c>
    </row>
    <row r="2266" customFormat="false" ht="15" hidden="false" customHeight="false" outlineLevel="0" collapsed="false">
      <c r="A2266" s="103" t="n">
        <v>46304</v>
      </c>
      <c r="B2266" s="104" t="s">
        <v>34</v>
      </c>
      <c r="C2266" s="104" t="s">
        <v>468</v>
      </c>
      <c r="D2266" s="105" t="n">
        <v>0.1667</v>
      </c>
      <c r="E2266" s="106" t="n">
        <v>100</v>
      </c>
      <c r="F2266" s="107" t="n">
        <f aca="false">IF($C2266="","",$D2266*$E2266)</f>
        <v>16.67</v>
      </c>
      <c r="G2266" s="107" t="n">
        <f aca="false">IF($C2266="","",$D2266*IFERROR(INDEX('تحليل التكلفة والسعر'!$C$2:$C$700,MATCH($C2266,'تحليل التكلفة والسعر'!$B$2:$B$700,0)),0))</f>
        <v>10.577115</v>
      </c>
      <c r="H2266" s="104" t="s">
        <v>719</v>
      </c>
    </row>
    <row r="2267" customFormat="false" ht="15" hidden="false" customHeight="false" outlineLevel="0" collapsed="false">
      <c r="A2267" s="103" t="n">
        <v>46305</v>
      </c>
      <c r="B2267" s="104" t="s">
        <v>34</v>
      </c>
      <c r="C2267" s="104" t="s">
        <v>468</v>
      </c>
      <c r="D2267" s="105" t="n">
        <v>0.1667</v>
      </c>
      <c r="E2267" s="106" t="n">
        <v>100</v>
      </c>
      <c r="F2267" s="107" t="n">
        <f aca="false">IF($C2267="","",$D2267*$E2267)</f>
        <v>16.67</v>
      </c>
      <c r="G2267" s="107" t="n">
        <f aca="false">IF($C2267="","",$D2267*IFERROR(INDEX('تحليل التكلفة والسعر'!$C$2:$C$700,MATCH($C2267,'تحليل التكلفة والسعر'!$B$2:$B$700,0)),0))</f>
        <v>10.577115</v>
      </c>
      <c r="H2267" s="104" t="s">
        <v>719</v>
      </c>
    </row>
    <row r="2268" customFormat="false" ht="15" hidden="false" customHeight="false" outlineLevel="0" collapsed="false">
      <c r="A2268" s="103" t="n">
        <v>46306</v>
      </c>
      <c r="B2268" s="104" t="s">
        <v>34</v>
      </c>
      <c r="C2268" s="104" t="s">
        <v>468</v>
      </c>
      <c r="D2268" s="105" t="n">
        <v>0.1667</v>
      </c>
      <c r="E2268" s="106" t="n">
        <v>100</v>
      </c>
      <c r="F2268" s="107" t="n">
        <f aca="false">IF($C2268="","",$D2268*$E2268)</f>
        <v>16.67</v>
      </c>
      <c r="G2268" s="107" t="n">
        <f aca="false">IF($C2268="","",$D2268*IFERROR(INDEX('تحليل التكلفة والسعر'!$C$2:$C$700,MATCH($C2268,'تحليل التكلفة والسعر'!$B$2:$B$700,0)),0))</f>
        <v>10.577115</v>
      </c>
      <c r="H2268" s="104" t="s">
        <v>719</v>
      </c>
    </row>
    <row r="2269" customFormat="false" ht="15" hidden="false" customHeight="false" outlineLevel="0" collapsed="false">
      <c r="A2269" s="103" t="n">
        <v>46307</v>
      </c>
      <c r="B2269" s="104" t="s">
        <v>34</v>
      </c>
      <c r="C2269" s="104" t="s">
        <v>468</v>
      </c>
      <c r="D2269" s="105" t="n">
        <v>0.1667</v>
      </c>
      <c r="E2269" s="106" t="n">
        <v>100</v>
      </c>
      <c r="F2269" s="107" t="n">
        <f aca="false">IF($C2269="","",$D2269*$E2269)</f>
        <v>16.67</v>
      </c>
      <c r="G2269" s="107" t="n">
        <f aca="false">IF($C2269="","",$D2269*IFERROR(INDEX('تحليل التكلفة والسعر'!$C$2:$C$700,MATCH($C2269,'تحليل التكلفة والسعر'!$B$2:$B$700,0)),0))</f>
        <v>10.577115</v>
      </c>
      <c r="H2269" s="104" t="s">
        <v>719</v>
      </c>
    </row>
    <row r="2270" customFormat="false" ht="15" hidden="false" customHeight="false" outlineLevel="0" collapsed="false">
      <c r="A2270" s="103" t="n">
        <v>46296</v>
      </c>
      <c r="B2270" s="104" t="s">
        <v>34</v>
      </c>
      <c r="C2270" s="104" t="s">
        <v>442</v>
      </c>
      <c r="D2270" s="105" t="n">
        <v>2</v>
      </c>
      <c r="E2270" s="106" t="n">
        <v>83.75</v>
      </c>
      <c r="F2270" s="107" t="n">
        <f aca="false">IF($C2270="","",$D2270*$E2270)</f>
        <v>167.5</v>
      </c>
      <c r="G2270" s="107" t="n">
        <f aca="false">IF($C2270="","",$D2270*IFERROR(INDEX('تحليل التكلفة والسعر'!$C$2:$C$700,MATCH($C2270,'تحليل التكلفة والسعر'!$B$2:$B$700,0)),0))</f>
        <v>79.635944</v>
      </c>
      <c r="H2270" s="104" t="s">
        <v>719</v>
      </c>
    </row>
    <row r="2271" customFormat="false" ht="15" hidden="false" customHeight="false" outlineLevel="0" collapsed="false">
      <c r="A2271" s="103" t="n">
        <v>46297</v>
      </c>
      <c r="B2271" s="104" t="s">
        <v>34</v>
      </c>
      <c r="C2271" s="104" t="s">
        <v>442</v>
      </c>
      <c r="D2271" s="105" t="n">
        <v>2</v>
      </c>
      <c r="E2271" s="106" t="n">
        <v>83.75</v>
      </c>
      <c r="F2271" s="107" t="n">
        <f aca="false">IF($C2271="","",$D2271*$E2271)</f>
        <v>167.5</v>
      </c>
      <c r="G2271" s="107" t="n">
        <f aca="false">IF($C2271="","",$D2271*IFERROR(INDEX('تحليل التكلفة والسعر'!$C$2:$C$700,MATCH($C2271,'تحليل التكلفة والسعر'!$B$2:$B$700,0)),0))</f>
        <v>79.635944</v>
      </c>
      <c r="H2271" s="104" t="s">
        <v>719</v>
      </c>
    </row>
    <row r="2272" customFormat="false" ht="15" hidden="false" customHeight="false" outlineLevel="0" collapsed="false">
      <c r="A2272" s="103" t="n">
        <v>46298</v>
      </c>
      <c r="B2272" s="104" t="s">
        <v>34</v>
      </c>
      <c r="C2272" s="104" t="s">
        <v>442</v>
      </c>
      <c r="D2272" s="105" t="n">
        <v>2</v>
      </c>
      <c r="E2272" s="106" t="n">
        <v>83.75</v>
      </c>
      <c r="F2272" s="107" t="n">
        <f aca="false">IF($C2272="","",$D2272*$E2272)</f>
        <v>167.5</v>
      </c>
      <c r="G2272" s="107" t="n">
        <f aca="false">IF($C2272="","",$D2272*IFERROR(INDEX('تحليل التكلفة والسعر'!$C$2:$C$700,MATCH($C2272,'تحليل التكلفة والسعر'!$B$2:$B$700,0)),0))</f>
        <v>79.635944</v>
      </c>
      <c r="H2272" s="104" t="s">
        <v>719</v>
      </c>
    </row>
    <row r="2273" customFormat="false" ht="15" hidden="false" customHeight="false" outlineLevel="0" collapsed="false">
      <c r="A2273" s="103" t="n">
        <v>46299</v>
      </c>
      <c r="B2273" s="104" t="s">
        <v>34</v>
      </c>
      <c r="C2273" s="104" t="s">
        <v>442</v>
      </c>
      <c r="D2273" s="105" t="n">
        <v>2</v>
      </c>
      <c r="E2273" s="106" t="n">
        <v>83.75</v>
      </c>
      <c r="F2273" s="107" t="n">
        <f aca="false">IF($C2273="","",$D2273*$E2273)</f>
        <v>167.5</v>
      </c>
      <c r="G2273" s="107" t="n">
        <f aca="false">IF($C2273="","",$D2273*IFERROR(INDEX('تحليل التكلفة والسعر'!$C$2:$C$700,MATCH($C2273,'تحليل التكلفة والسعر'!$B$2:$B$700,0)),0))</f>
        <v>79.635944</v>
      </c>
      <c r="H2273" s="104" t="s">
        <v>719</v>
      </c>
    </row>
    <row r="2274" customFormat="false" ht="15" hidden="false" customHeight="false" outlineLevel="0" collapsed="false">
      <c r="A2274" s="103" t="n">
        <v>46300</v>
      </c>
      <c r="B2274" s="104" t="s">
        <v>34</v>
      </c>
      <c r="C2274" s="104" t="s">
        <v>442</v>
      </c>
      <c r="D2274" s="105" t="n">
        <v>2</v>
      </c>
      <c r="E2274" s="106" t="n">
        <v>83.75</v>
      </c>
      <c r="F2274" s="107" t="n">
        <f aca="false">IF($C2274="","",$D2274*$E2274)</f>
        <v>167.5</v>
      </c>
      <c r="G2274" s="107" t="n">
        <f aca="false">IF($C2274="","",$D2274*IFERROR(INDEX('تحليل التكلفة والسعر'!$C$2:$C$700,MATCH($C2274,'تحليل التكلفة والسعر'!$B$2:$B$700,0)),0))</f>
        <v>79.635944</v>
      </c>
      <c r="H2274" s="104" t="s">
        <v>719</v>
      </c>
    </row>
    <row r="2275" customFormat="false" ht="15" hidden="false" customHeight="false" outlineLevel="0" collapsed="false">
      <c r="A2275" s="103" t="n">
        <v>46301</v>
      </c>
      <c r="B2275" s="104" t="s">
        <v>34</v>
      </c>
      <c r="C2275" s="104" t="s">
        <v>442</v>
      </c>
      <c r="D2275" s="105" t="n">
        <v>2</v>
      </c>
      <c r="E2275" s="106" t="n">
        <v>83.75</v>
      </c>
      <c r="F2275" s="107" t="n">
        <f aca="false">IF($C2275="","",$D2275*$E2275)</f>
        <v>167.5</v>
      </c>
      <c r="G2275" s="107" t="n">
        <f aca="false">IF($C2275="","",$D2275*IFERROR(INDEX('تحليل التكلفة والسعر'!$C$2:$C$700,MATCH($C2275,'تحليل التكلفة والسعر'!$B$2:$B$700,0)),0))</f>
        <v>79.635944</v>
      </c>
      <c r="H2275" s="104" t="s">
        <v>719</v>
      </c>
    </row>
    <row r="2276" customFormat="false" ht="15" hidden="false" customHeight="false" outlineLevel="0" collapsed="false">
      <c r="A2276" s="103" t="n">
        <v>46302</v>
      </c>
      <c r="B2276" s="104" t="s">
        <v>34</v>
      </c>
      <c r="C2276" s="104" t="s">
        <v>442</v>
      </c>
      <c r="D2276" s="105" t="n">
        <v>2</v>
      </c>
      <c r="E2276" s="106" t="n">
        <v>83.75</v>
      </c>
      <c r="F2276" s="107" t="n">
        <f aca="false">IF($C2276="","",$D2276*$E2276)</f>
        <v>167.5</v>
      </c>
      <c r="G2276" s="107" t="n">
        <f aca="false">IF($C2276="","",$D2276*IFERROR(INDEX('تحليل التكلفة والسعر'!$C$2:$C$700,MATCH($C2276,'تحليل التكلفة والسعر'!$B$2:$B$700,0)),0))</f>
        <v>79.635944</v>
      </c>
      <c r="H2276" s="104" t="s">
        <v>719</v>
      </c>
    </row>
    <row r="2277" customFormat="false" ht="15" hidden="false" customHeight="false" outlineLevel="0" collapsed="false">
      <c r="A2277" s="103" t="n">
        <v>46303</v>
      </c>
      <c r="B2277" s="104" t="s">
        <v>34</v>
      </c>
      <c r="C2277" s="104" t="s">
        <v>442</v>
      </c>
      <c r="D2277" s="105" t="n">
        <v>2</v>
      </c>
      <c r="E2277" s="106" t="n">
        <v>83.75</v>
      </c>
      <c r="F2277" s="107" t="n">
        <f aca="false">IF($C2277="","",$D2277*$E2277)</f>
        <v>167.5</v>
      </c>
      <c r="G2277" s="107" t="n">
        <f aca="false">IF($C2277="","",$D2277*IFERROR(INDEX('تحليل التكلفة والسعر'!$C$2:$C$700,MATCH($C2277,'تحليل التكلفة والسعر'!$B$2:$B$700,0)),0))</f>
        <v>79.635944</v>
      </c>
      <c r="H2277" s="104" t="s">
        <v>719</v>
      </c>
    </row>
    <row r="2278" customFormat="false" ht="15" hidden="false" customHeight="false" outlineLevel="0" collapsed="false">
      <c r="A2278" s="103" t="n">
        <v>46304</v>
      </c>
      <c r="B2278" s="104" t="s">
        <v>34</v>
      </c>
      <c r="C2278" s="104" t="s">
        <v>442</v>
      </c>
      <c r="D2278" s="105" t="n">
        <v>2</v>
      </c>
      <c r="E2278" s="106" t="n">
        <v>83.75</v>
      </c>
      <c r="F2278" s="107" t="n">
        <f aca="false">IF($C2278="","",$D2278*$E2278)</f>
        <v>167.5</v>
      </c>
      <c r="G2278" s="107" t="n">
        <f aca="false">IF($C2278="","",$D2278*IFERROR(INDEX('تحليل التكلفة والسعر'!$C$2:$C$700,MATCH($C2278,'تحليل التكلفة والسعر'!$B$2:$B$700,0)),0))</f>
        <v>79.635944</v>
      </c>
      <c r="H2278" s="104" t="s">
        <v>719</v>
      </c>
    </row>
    <row r="2279" customFormat="false" ht="15" hidden="false" customHeight="false" outlineLevel="0" collapsed="false">
      <c r="A2279" s="103" t="n">
        <v>46305</v>
      </c>
      <c r="B2279" s="104" t="s">
        <v>34</v>
      </c>
      <c r="C2279" s="104" t="s">
        <v>442</v>
      </c>
      <c r="D2279" s="105" t="n">
        <v>2</v>
      </c>
      <c r="E2279" s="106" t="n">
        <v>83.75</v>
      </c>
      <c r="F2279" s="107" t="n">
        <f aca="false">IF($C2279="","",$D2279*$E2279)</f>
        <v>167.5</v>
      </c>
      <c r="G2279" s="107" t="n">
        <f aca="false">IF($C2279="","",$D2279*IFERROR(INDEX('تحليل التكلفة والسعر'!$C$2:$C$700,MATCH($C2279,'تحليل التكلفة والسعر'!$B$2:$B$700,0)),0))</f>
        <v>79.635944</v>
      </c>
      <c r="H2279" s="104" t="s">
        <v>719</v>
      </c>
    </row>
    <row r="2280" customFormat="false" ht="15" hidden="false" customHeight="false" outlineLevel="0" collapsed="false">
      <c r="A2280" s="103" t="n">
        <v>46306</v>
      </c>
      <c r="B2280" s="104" t="s">
        <v>34</v>
      </c>
      <c r="C2280" s="104" t="s">
        <v>442</v>
      </c>
      <c r="D2280" s="105" t="n">
        <v>2</v>
      </c>
      <c r="E2280" s="106" t="n">
        <v>83.75</v>
      </c>
      <c r="F2280" s="107" t="n">
        <f aca="false">IF($C2280="","",$D2280*$E2280)</f>
        <v>167.5</v>
      </c>
      <c r="G2280" s="107" t="n">
        <f aca="false">IF($C2280="","",$D2280*IFERROR(INDEX('تحليل التكلفة والسعر'!$C$2:$C$700,MATCH($C2280,'تحليل التكلفة والسعر'!$B$2:$B$700,0)),0))</f>
        <v>79.635944</v>
      </c>
      <c r="H2280" s="104" t="s">
        <v>719</v>
      </c>
    </row>
    <row r="2281" customFormat="false" ht="15" hidden="false" customHeight="false" outlineLevel="0" collapsed="false">
      <c r="A2281" s="103" t="n">
        <v>46307</v>
      </c>
      <c r="B2281" s="104" t="s">
        <v>34</v>
      </c>
      <c r="C2281" s="104" t="s">
        <v>442</v>
      </c>
      <c r="D2281" s="105" t="n">
        <v>2</v>
      </c>
      <c r="E2281" s="106" t="n">
        <v>83.75</v>
      </c>
      <c r="F2281" s="107" t="n">
        <f aca="false">IF($C2281="","",$D2281*$E2281)</f>
        <v>167.5</v>
      </c>
      <c r="G2281" s="107" t="n">
        <f aca="false">IF($C2281="","",$D2281*IFERROR(INDEX('تحليل التكلفة والسعر'!$C$2:$C$700,MATCH($C2281,'تحليل التكلفة والسعر'!$B$2:$B$700,0)),0))</f>
        <v>79.635944</v>
      </c>
      <c r="H2281" s="104" t="s">
        <v>719</v>
      </c>
    </row>
    <row r="2282" customFormat="false" ht="15" hidden="false" customHeight="false" outlineLevel="0" collapsed="false">
      <c r="A2282" s="103" t="n">
        <v>46296</v>
      </c>
      <c r="B2282" s="104" t="s">
        <v>34</v>
      </c>
      <c r="C2282" s="104" t="s">
        <v>475</v>
      </c>
      <c r="D2282" s="105" t="n">
        <v>1.0833</v>
      </c>
      <c r="E2282" s="106" t="n">
        <v>330</v>
      </c>
      <c r="F2282" s="107" t="n">
        <f aca="false">IF($C2282="","",$D2282*$E2282)</f>
        <v>357.489</v>
      </c>
      <c r="G2282" s="107" t="n">
        <f aca="false">IF($C2282="","",$D2282*IFERROR(INDEX('تحليل التكلفة والسعر'!$C$2:$C$700,MATCH($C2282,'تحليل التكلفة والسعر'!$B$2:$B$700,0)),0))</f>
        <v>171.48444006</v>
      </c>
      <c r="H2282" s="104" t="s">
        <v>719</v>
      </c>
    </row>
    <row r="2283" customFormat="false" ht="15" hidden="false" customHeight="false" outlineLevel="0" collapsed="false">
      <c r="A2283" s="103" t="n">
        <v>46297</v>
      </c>
      <c r="B2283" s="104" t="s">
        <v>34</v>
      </c>
      <c r="C2283" s="104" t="s">
        <v>475</v>
      </c>
      <c r="D2283" s="105" t="n">
        <v>1.0833</v>
      </c>
      <c r="E2283" s="106" t="n">
        <v>330</v>
      </c>
      <c r="F2283" s="107" t="n">
        <f aca="false">IF($C2283="","",$D2283*$E2283)</f>
        <v>357.489</v>
      </c>
      <c r="G2283" s="107" t="n">
        <f aca="false">IF($C2283="","",$D2283*IFERROR(INDEX('تحليل التكلفة والسعر'!$C$2:$C$700,MATCH($C2283,'تحليل التكلفة والسعر'!$B$2:$B$700,0)),0))</f>
        <v>171.48444006</v>
      </c>
      <c r="H2283" s="104" t="s">
        <v>719</v>
      </c>
    </row>
    <row r="2284" customFormat="false" ht="15" hidden="false" customHeight="false" outlineLevel="0" collapsed="false">
      <c r="A2284" s="103" t="n">
        <v>46298</v>
      </c>
      <c r="B2284" s="104" t="s">
        <v>34</v>
      </c>
      <c r="C2284" s="104" t="s">
        <v>475</v>
      </c>
      <c r="D2284" s="105" t="n">
        <v>1.0833</v>
      </c>
      <c r="E2284" s="106" t="n">
        <v>330</v>
      </c>
      <c r="F2284" s="107" t="n">
        <f aca="false">IF($C2284="","",$D2284*$E2284)</f>
        <v>357.489</v>
      </c>
      <c r="G2284" s="107" t="n">
        <f aca="false">IF($C2284="","",$D2284*IFERROR(INDEX('تحليل التكلفة والسعر'!$C$2:$C$700,MATCH($C2284,'تحليل التكلفة والسعر'!$B$2:$B$700,0)),0))</f>
        <v>171.48444006</v>
      </c>
      <c r="H2284" s="104" t="s">
        <v>719</v>
      </c>
    </row>
    <row r="2285" customFormat="false" ht="15" hidden="false" customHeight="false" outlineLevel="0" collapsed="false">
      <c r="A2285" s="103" t="n">
        <v>46299</v>
      </c>
      <c r="B2285" s="104" t="s">
        <v>34</v>
      </c>
      <c r="C2285" s="104" t="s">
        <v>475</v>
      </c>
      <c r="D2285" s="105" t="n">
        <v>1.0833</v>
      </c>
      <c r="E2285" s="106" t="n">
        <v>330</v>
      </c>
      <c r="F2285" s="107" t="n">
        <f aca="false">IF($C2285="","",$D2285*$E2285)</f>
        <v>357.489</v>
      </c>
      <c r="G2285" s="107" t="n">
        <f aca="false">IF($C2285="","",$D2285*IFERROR(INDEX('تحليل التكلفة والسعر'!$C$2:$C$700,MATCH($C2285,'تحليل التكلفة والسعر'!$B$2:$B$700,0)),0))</f>
        <v>171.48444006</v>
      </c>
      <c r="H2285" s="104" t="s">
        <v>719</v>
      </c>
    </row>
    <row r="2286" customFormat="false" ht="15" hidden="false" customHeight="false" outlineLevel="0" collapsed="false">
      <c r="A2286" s="103" t="n">
        <v>46300</v>
      </c>
      <c r="B2286" s="104" t="s">
        <v>34</v>
      </c>
      <c r="C2286" s="104" t="s">
        <v>475</v>
      </c>
      <c r="D2286" s="105" t="n">
        <v>1.0833</v>
      </c>
      <c r="E2286" s="106" t="n">
        <v>330</v>
      </c>
      <c r="F2286" s="107" t="n">
        <f aca="false">IF($C2286="","",$D2286*$E2286)</f>
        <v>357.489</v>
      </c>
      <c r="G2286" s="107" t="n">
        <f aca="false">IF($C2286="","",$D2286*IFERROR(INDEX('تحليل التكلفة والسعر'!$C$2:$C$700,MATCH($C2286,'تحليل التكلفة والسعر'!$B$2:$B$700,0)),0))</f>
        <v>171.48444006</v>
      </c>
      <c r="H2286" s="104" t="s">
        <v>719</v>
      </c>
    </row>
    <row r="2287" customFormat="false" ht="15" hidden="false" customHeight="false" outlineLevel="0" collapsed="false">
      <c r="A2287" s="103" t="n">
        <v>46301</v>
      </c>
      <c r="B2287" s="104" t="s">
        <v>34</v>
      </c>
      <c r="C2287" s="104" t="s">
        <v>475</v>
      </c>
      <c r="D2287" s="105" t="n">
        <v>1.0833</v>
      </c>
      <c r="E2287" s="106" t="n">
        <v>330</v>
      </c>
      <c r="F2287" s="107" t="n">
        <f aca="false">IF($C2287="","",$D2287*$E2287)</f>
        <v>357.489</v>
      </c>
      <c r="G2287" s="107" t="n">
        <f aca="false">IF($C2287="","",$D2287*IFERROR(INDEX('تحليل التكلفة والسعر'!$C$2:$C$700,MATCH($C2287,'تحليل التكلفة والسعر'!$B$2:$B$700,0)),0))</f>
        <v>171.48444006</v>
      </c>
      <c r="H2287" s="104" t="s">
        <v>719</v>
      </c>
    </row>
    <row r="2288" customFormat="false" ht="15" hidden="false" customHeight="false" outlineLevel="0" collapsed="false">
      <c r="A2288" s="103" t="n">
        <v>46302</v>
      </c>
      <c r="B2288" s="104" t="s">
        <v>34</v>
      </c>
      <c r="C2288" s="104" t="s">
        <v>475</v>
      </c>
      <c r="D2288" s="105" t="n">
        <v>1.0833</v>
      </c>
      <c r="E2288" s="106" t="n">
        <v>330</v>
      </c>
      <c r="F2288" s="107" t="n">
        <f aca="false">IF($C2288="","",$D2288*$E2288)</f>
        <v>357.489</v>
      </c>
      <c r="G2288" s="107" t="n">
        <f aca="false">IF($C2288="","",$D2288*IFERROR(INDEX('تحليل التكلفة والسعر'!$C$2:$C$700,MATCH($C2288,'تحليل التكلفة والسعر'!$B$2:$B$700,0)),0))</f>
        <v>171.48444006</v>
      </c>
      <c r="H2288" s="104" t="s">
        <v>719</v>
      </c>
    </row>
    <row r="2289" customFormat="false" ht="15" hidden="false" customHeight="false" outlineLevel="0" collapsed="false">
      <c r="A2289" s="103" t="n">
        <v>46303</v>
      </c>
      <c r="B2289" s="104" t="s">
        <v>34</v>
      </c>
      <c r="C2289" s="104" t="s">
        <v>475</v>
      </c>
      <c r="D2289" s="105" t="n">
        <v>1.0833</v>
      </c>
      <c r="E2289" s="106" t="n">
        <v>330</v>
      </c>
      <c r="F2289" s="107" t="n">
        <f aca="false">IF($C2289="","",$D2289*$E2289)</f>
        <v>357.489</v>
      </c>
      <c r="G2289" s="107" t="n">
        <f aca="false">IF($C2289="","",$D2289*IFERROR(INDEX('تحليل التكلفة والسعر'!$C$2:$C$700,MATCH($C2289,'تحليل التكلفة والسعر'!$B$2:$B$700,0)),0))</f>
        <v>171.48444006</v>
      </c>
      <c r="H2289" s="104" t="s">
        <v>719</v>
      </c>
    </row>
    <row r="2290" customFormat="false" ht="15" hidden="false" customHeight="false" outlineLevel="0" collapsed="false">
      <c r="A2290" s="103" t="n">
        <v>46304</v>
      </c>
      <c r="B2290" s="104" t="s">
        <v>34</v>
      </c>
      <c r="C2290" s="104" t="s">
        <v>475</v>
      </c>
      <c r="D2290" s="105" t="n">
        <v>1.0833</v>
      </c>
      <c r="E2290" s="106" t="n">
        <v>330</v>
      </c>
      <c r="F2290" s="107" t="n">
        <f aca="false">IF($C2290="","",$D2290*$E2290)</f>
        <v>357.489</v>
      </c>
      <c r="G2290" s="107" t="n">
        <f aca="false">IF($C2290="","",$D2290*IFERROR(INDEX('تحليل التكلفة والسعر'!$C$2:$C$700,MATCH($C2290,'تحليل التكلفة والسعر'!$B$2:$B$700,0)),0))</f>
        <v>171.48444006</v>
      </c>
      <c r="H2290" s="104" t="s">
        <v>719</v>
      </c>
    </row>
    <row r="2291" customFormat="false" ht="15" hidden="false" customHeight="false" outlineLevel="0" collapsed="false">
      <c r="A2291" s="103" t="n">
        <v>46305</v>
      </c>
      <c r="B2291" s="104" t="s">
        <v>34</v>
      </c>
      <c r="C2291" s="104" t="s">
        <v>475</v>
      </c>
      <c r="D2291" s="105" t="n">
        <v>1.0833</v>
      </c>
      <c r="E2291" s="106" t="n">
        <v>330</v>
      </c>
      <c r="F2291" s="107" t="n">
        <f aca="false">IF($C2291="","",$D2291*$E2291)</f>
        <v>357.489</v>
      </c>
      <c r="G2291" s="107" t="n">
        <f aca="false">IF($C2291="","",$D2291*IFERROR(INDEX('تحليل التكلفة والسعر'!$C$2:$C$700,MATCH($C2291,'تحليل التكلفة والسعر'!$B$2:$B$700,0)),0))</f>
        <v>171.48444006</v>
      </c>
      <c r="H2291" s="104" t="s">
        <v>719</v>
      </c>
    </row>
    <row r="2292" customFormat="false" ht="15" hidden="false" customHeight="false" outlineLevel="0" collapsed="false">
      <c r="A2292" s="103" t="n">
        <v>46306</v>
      </c>
      <c r="B2292" s="104" t="s">
        <v>34</v>
      </c>
      <c r="C2292" s="104" t="s">
        <v>475</v>
      </c>
      <c r="D2292" s="105" t="n">
        <v>1.0833</v>
      </c>
      <c r="E2292" s="106" t="n">
        <v>330</v>
      </c>
      <c r="F2292" s="107" t="n">
        <f aca="false">IF($C2292="","",$D2292*$E2292)</f>
        <v>357.489</v>
      </c>
      <c r="G2292" s="107" t="n">
        <f aca="false">IF($C2292="","",$D2292*IFERROR(INDEX('تحليل التكلفة والسعر'!$C$2:$C$700,MATCH($C2292,'تحليل التكلفة والسعر'!$B$2:$B$700,0)),0))</f>
        <v>171.48444006</v>
      </c>
      <c r="H2292" s="104" t="s">
        <v>719</v>
      </c>
    </row>
    <row r="2293" customFormat="false" ht="15" hidden="false" customHeight="false" outlineLevel="0" collapsed="false">
      <c r="A2293" s="103" t="n">
        <v>46307</v>
      </c>
      <c r="B2293" s="104" t="s">
        <v>34</v>
      </c>
      <c r="C2293" s="104" t="s">
        <v>475</v>
      </c>
      <c r="D2293" s="105" t="n">
        <v>1.0833</v>
      </c>
      <c r="E2293" s="106" t="n">
        <v>330</v>
      </c>
      <c r="F2293" s="107" t="n">
        <f aca="false">IF($C2293="","",$D2293*$E2293)</f>
        <v>357.489</v>
      </c>
      <c r="G2293" s="107" t="n">
        <f aca="false">IF($C2293="","",$D2293*IFERROR(INDEX('تحليل التكلفة والسعر'!$C$2:$C$700,MATCH($C2293,'تحليل التكلفة والسعر'!$B$2:$B$700,0)),0))</f>
        <v>171.48444006</v>
      </c>
      <c r="H2293" s="104" t="s">
        <v>719</v>
      </c>
    </row>
    <row r="2294" customFormat="false" ht="15" hidden="false" customHeight="false" outlineLevel="0" collapsed="false">
      <c r="A2294" s="103" t="n">
        <v>46296</v>
      </c>
      <c r="B2294" s="104" t="s">
        <v>34</v>
      </c>
      <c r="C2294" s="104" t="s">
        <v>477</v>
      </c>
      <c r="D2294" s="105" t="n">
        <v>3</v>
      </c>
      <c r="E2294" s="106" t="n">
        <v>241.3889</v>
      </c>
      <c r="F2294" s="107" t="n">
        <f aca="false">IF($C2294="","",$D2294*$E2294)</f>
        <v>724.1667</v>
      </c>
      <c r="G2294" s="107" t="n">
        <f aca="false">IF($C2294="","",$D2294*IFERROR(INDEX('تحليل التكلفة والسعر'!$C$2:$C$700,MATCH($C2294,'تحليل التكلفة والسعر'!$B$2:$B$700,0)),0))</f>
        <v>348.8895</v>
      </c>
      <c r="H2294" s="104" t="s">
        <v>719</v>
      </c>
    </row>
    <row r="2295" customFormat="false" ht="15" hidden="false" customHeight="false" outlineLevel="0" collapsed="false">
      <c r="A2295" s="103" t="n">
        <v>46297</v>
      </c>
      <c r="B2295" s="104" t="s">
        <v>34</v>
      </c>
      <c r="C2295" s="104" t="s">
        <v>477</v>
      </c>
      <c r="D2295" s="105" t="n">
        <v>3</v>
      </c>
      <c r="E2295" s="106" t="n">
        <v>241.3889</v>
      </c>
      <c r="F2295" s="107" t="n">
        <f aca="false">IF($C2295="","",$D2295*$E2295)</f>
        <v>724.1667</v>
      </c>
      <c r="G2295" s="107" t="n">
        <f aca="false">IF($C2295="","",$D2295*IFERROR(INDEX('تحليل التكلفة والسعر'!$C$2:$C$700,MATCH($C2295,'تحليل التكلفة والسعر'!$B$2:$B$700,0)),0))</f>
        <v>348.8895</v>
      </c>
      <c r="H2295" s="104" t="s">
        <v>719</v>
      </c>
    </row>
    <row r="2296" customFormat="false" ht="15" hidden="false" customHeight="false" outlineLevel="0" collapsed="false">
      <c r="A2296" s="103" t="n">
        <v>46298</v>
      </c>
      <c r="B2296" s="104" t="s">
        <v>34</v>
      </c>
      <c r="C2296" s="104" t="s">
        <v>477</v>
      </c>
      <c r="D2296" s="105" t="n">
        <v>3</v>
      </c>
      <c r="E2296" s="106" t="n">
        <v>241.3889</v>
      </c>
      <c r="F2296" s="107" t="n">
        <f aca="false">IF($C2296="","",$D2296*$E2296)</f>
        <v>724.1667</v>
      </c>
      <c r="G2296" s="107" t="n">
        <f aca="false">IF($C2296="","",$D2296*IFERROR(INDEX('تحليل التكلفة والسعر'!$C$2:$C$700,MATCH($C2296,'تحليل التكلفة والسعر'!$B$2:$B$700,0)),0))</f>
        <v>348.8895</v>
      </c>
      <c r="H2296" s="104" t="s">
        <v>719</v>
      </c>
    </row>
    <row r="2297" customFormat="false" ht="15" hidden="false" customHeight="false" outlineLevel="0" collapsed="false">
      <c r="A2297" s="103" t="n">
        <v>46299</v>
      </c>
      <c r="B2297" s="104" t="s">
        <v>34</v>
      </c>
      <c r="C2297" s="104" t="s">
        <v>477</v>
      </c>
      <c r="D2297" s="105" t="n">
        <v>3</v>
      </c>
      <c r="E2297" s="106" t="n">
        <v>241.3889</v>
      </c>
      <c r="F2297" s="107" t="n">
        <f aca="false">IF($C2297="","",$D2297*$E2297)</f>
        <v>724.1667</v>
      </c>
      <c r="G2297" s="107" t="n">
        <f aca="false">IF($C2297="","",$D2297*IFERROR(INDEX('تحليل التكلفة والسعر'!$C$2:$C$700,MATCH($C2297,'تحليل التكلفة والسعر'!$B$2:$B$700,0)),0))</f>
        <v>348.8895</v>
      </c>
      <c r="H2297" s="104" t="s">
        <v>719</v>
      </c>
    </row>
    <row r="2298" customFormat="false" ht="15" hidden="false" customHeight="false" outlineLevel="0" collapsed="false">
      <c r="A2298" s="103" t="n">
        <v>46300</v>
      </c>
      <c r="B2298" s="104" t="s">
        <v>34</v>
      </c>
      <c r="C2298" s="104" t="s">
        <v>477</v>
      </c>
      <c r="D2298" s="105" t="n">
        <v>3</v>
      </c>
      <c r="E2298" s="106" t="n">
        <v>241.3889</v>
      </c>
      <c r="F2298" s="107" t="n">
        <f aca="false">IF($C2298="","",$D2298*$E2298)</f>
        <v>724.1667</v>
      </c>
      <c r="G2298" s="107" t="n">
        <f aca="false">IF($C2298="","",$D2298*IFERROR(INDEX('تحليل التكلفة والسعر'!$C$2:$C$700,MATCH($C2298,'تحليل التكلفة والسعر'!$B$2:$B$700,0)),0))</f>
        <v>348.8895</v>
      </c>
      <c r="H2298" s="104" t="s">
        <v>719</v>
      </c>
    </row>
    <row r="2299" customFormat="false" ht="15" hidden="false" customHeight="false" outlineLevel="0" collapsed="false">
      <c r="A2299" s="103" t="n">
        <v>46301</v>
      </c>
      <c r="B2299" s="104" t="s">
        <v>34</v>
      </c>
      <c r="C2299" s="104" t="s">
        <v>477</v>
      </c>
      <c r="D2299" s="105" t="n">
        <v>3</v>
      </c>
      <c r="E2299" s="106" t="n">
        <v>241.3889</v>
      </c>
      <c r="F2299" s="107" t="n">
        <f aca="false">IF($C2299="","",$D2299*$E2299)</f>
        <v>724.1667</v>
      </c>
      <c r="G2299" s="107" t="n">
        <f aca="false">IF($C2299="","",$D2299*IFERROR(INDEX('تحليل التكلفة والسعر'!$C$2:$C$700,MATCH($C2299,'تحليل التكلفة والسعر'!$B$2:$B$700,0)),0))</f>
        <v>348.8895</v>
      </c>
      <c r="H2299" s="104" t="s">
        <v>719</v>
      </c>
    </row>
    <row r="2300" customFormat="false" ht="15" hidden="false" customHeight="false" outlineLevel="0" collapsed="false">
      <c r="A2300" s="103" t="n">
        <v>46302</v>
      </c>
      <c r="B2300" s="104" t="s">
        <v>34</v>
      </c>
      <c r="C2300" s="104" t="s">
        <v>477</v>
      </c>
      <c r="D2300" s="105" t="n">
        <v>3</v>
      </c>
      <c r="E2300" s="106" t="n">
        <v>241.3889</v>
      </c>
      <c r="F2300" s="107" t="n">
        <f aca="false">IF($C2300="","",$D2300*$E2300)</f>
        <v>724.1667</v>
      </c>
      <c r="G2300" s="107" t="n">
        <f aca="false">IF($C2300="","",$D2300*IFERROR(INDEX('تحليل التكلفة والسعر'!$C$2:$C$700,MATCH($C2300,'تحليل التكلفة والسعر'!$B$2:$B$700,0)),0))</f>
        <v>348.8895</v>
      </c>
      <c r="H2300" s="104" t="s">
        <v>719</v>
      </c>
    </row>
    <row r="2301" customFormat="false" ht="15" hidden="false" customHeight="false" outlineLevel="0" collapsed="false">
      <c r="A2301" s="103" t="n">
        <v>46303</v>
      </c>
      <c r="B2301" s="104" t="s">
        <v>34</v>
      </c>
      <c r="C2301" s="104" t="s">
        <v>477</v>
      </c>
      <c r="D2301" s="105" t="n">
        <v>3</v>
      </c>
      <c r="E2301" s="106" t="n">
        <v>241.3889</v>
      </c>
      <c r="F2301" s="107" t="n">
        <f aca="false">IF($C2301="","",$D2301*$E2301)</f>
        <v>724.1667</v>
      </c>
      <c r="G2301" s="107" t="n">
        <f aca="false">IF($C2301="","",$D2301*IFERROR(INDEX('تحليل التكلفة والسعر'!$C$2:$C$700,MATCH($C2301,'تحليل التكلفة والسعر'!$B$2:$B$700,0)),0))</f>
        <v>348.8895</v>
      </c>
      <c r="H2301" s="104" t="s">
        <v>719</v>
      </c>
    </row>
    <row r="2302" customFormat="false" ht="15" hidden="false" customHeight="false" outlineLevel="0" collapsed="false">
      <c r="A2302" s="103" t="n">
        <v>46304</v>
      </c>
      <c r="B2302" s="104" t="s">
        <v>34</v>
      </c>
      <c r="C2302" s="104" t="s">
        <v>477</v>
      </c>
      <c r="D2302" s="105" t="n">
        <v>3</v>
      </c>
      <c r="E2302" s="106" t="n">
        <v>241.3889</v>
      </c>
      <c r="F2302" s="107" t="n">
        <f aca="false">IF($C2302="","",$D2302*$E2302)</f>
        <v>724.1667</v>
      </c>
      <c r="G2302" s="107" t="n">
        <f aca="false">IF($C2302="","",$D2302*IFERROR(INDEX('تحليل التكلفة والسعر'!$C$2:$C$700,MATCH($C2302,'تحليل التكلفة والسعر'!$B$2:$B$700,0)),0))</f>
        <v>348.8895</v>
      </c>
      <c r="H2302" s="104" t="s">
        <v>719</v>
      </c>
    </row>
    <row r="2303" customFormat="false" ht="15" hidden="false" customHeight="false" outlineLevel="0" collapsed="false">
      <c r="A2303" s="103" t="n">
        <v>46305</v>
      </c>
      <c r="B2303" s="104" t="s">
        <v>34</v>
      </c>
      <c r="C2303" s="104" t="s">
        <v>477</v>
      </c>
      <c r="D2303" s="105" t="n">
        <v>3</v>
      </c>
      <c r="E2303" s="106" t="n">
        <v>241.3889</v>
      </c>
      <c r="F2303" s="107" t="n">
        <f aca="false">IF($C2303="","",$D2303*$E2303)</f>
        <v>724.1667</v>
      </c>
      <c r="G2303" s="107" t="n">
        <f aca="false">IF($C2303="","",$D2303*IFERROR(INDEX('تحليل التكلفة والسعر'!$C$2:$C$700,MATCH($C2303,'تحليل التكلفة والسعر'!$B$2:$B$700,0)),0))</f>
        <v>348.8895</v>
      </c>
      <c r="H2303" s="104" t="s">
        <v>719</v>
      </c>
    </row>
    <row r="2304" customFormat="false" ht="15" hidden="false" customHeight="false" outlineLevel="0" collapsed="false">
      <c r="A2304" s="103" t="n">
        <v>46306</v>
      </c>
      <c r="B2304" s="104" t="s">
        <v>34</v>
      </c>
      <c r="C2304" s="104" t="s">
        <v>477</v>
      </c>
      <c r="D2304" s="105" t="n">
        <v>3</v>
      </c>
      <c r="E2304" s="106" t="n">
        <v>241.3889</v>
      </c>
      <c r="F2304" s="107" t="n">
        <f aca="false">IF($C2304="","",$D2304*$E2304)</f>
        <v>724.1667</v>
      </c>
      <c r="G2304" s="107" t="n">
        <f aca="false">IF($C2304="","",$D2304*IFERROR(INDEX('تحليل التكلفة والسعر'!$C$2:$C$700,MATCH($C2304,'تحليل التكلفة والسعر'!$B$2:$B$700,0)),0))</f>
        <v>348.8895</v>
      </c>
      <c r="H2304" s="104" t="s">
        <v>719</v>
      </c>
    </row>
    <row r="2305" customFormat="false" ht="15" hidden="false" customHeight="false" outlineLevel="0" collapsed="false">
      <c r="A2305" s="103" t="n">
        <v>46307</v>
      </c>
      <c r="B2305" s="104" t="s">
        <v>34</v>
      </c>
      <c r="C2305" s="104" t="s">
        <v>477</v>
      </c>
      <c r="D2305" s="105" t="n">
        <v>3</v>
      </c>
      <c r="E2305" s="106" t="n">
        <v>241.3889</v>
      </c>
      <c r="F2305" s="107" t="n">
        <f aca="false">IF($C2305="","",$D2305*$E2305)</f>
        <v>724.1667</v>
      </c>
      <c r="G2305" s="107" t="n">
        <f aca="false">IF($C2305="","",$D2305*IFERROR(INDEX('تحليل التكلفة والسعر'!$C$2:$C$700,MATCH($C2305,'تحليل التكلفة والسعر'!$B$2:$B$700,0)),0))</f>
        <v>348.8895</v>
      </c>
      <c r="H2305" s="104" t="s">
        <v>719</v>
      </c>
    </row>
    <row r="2306" customFormat="false" ht="15" hidden="false" customHeight="false" outlineLevel="0" collapsed="false">
      <c r="A2306" s="103" t="n">
        <v>46296</v>
      </c>
      <c r="B2306" s="104" t="s">
        <v>34</v>
      </c>
      <c r="C2306" s="104" t="s">
        <v>553</v>
      </c>
      <c r="D2306" s="105" t="n">
        <v>0.5</v>
      </c>
      <c r="E2306" s="106" t="n">
        <v>220.8333</v>
      </c>
      <c r="F2306" s="107" t="n">
        <f aca="false">IF($C2306="","",$D2306*$E2306)</f>
        <v>110.41665</v>
      </c>
      <c r="G2306" s="107" t="n">
        <f aca="false">IF($C2306="","",$D2306*IFERROR(INDEX('تحليل التكلفة والسعر'!$C$2:$C$700,MATCH($C2306,'تحليل التكلفة والسعر'!$B$2:$B$700,0)),0))</f>
        <v>58.292501</v>
      </c>
      <c r="H2306" s="104" t="s">
        <v>719</v>
      </c>
    </row>
    <row r="2307" customFormat="false" ht="15" hidden="false" customHeight="false" outlineLevel="0" collapsed="false">
      <c r="A2307" s="103" t="n">
        <v>46297</v>
      </c>
      <c r="B2307" s="104" t="s">
        <v>34</v>
      </c>
      <c r="C2307" s="104" t="s">
        <v>553</v>
      </c>
      <c r="D2307" s="105" t="n">
        <v>0.5</v>
      </c>
      <c r="E2307" s="106" t="n">
        <v>220.8333</v>
      </c>
      <c r="F2307" s="107" t="n">
        <f aca="false">IF($C2307="","",$D2307*$E2307)</f>
        <v>110.41665</v>
      </c>
      <c r="G2307" s="107" t="n">
        <f aca="false">IF($C2307="","",$D2307*IFERROR(INDEX('تحليل التكلفة والسعر'!$C$2:$C$700,MATCH($C2307,'تحليل التكلفة والسعر'!$B$2:$B$700,0)),0))</f>
        <v>58.292501</v>
      </c>
      <c r="H2307" s="104" t="s">
        <v>719</v>
      </c>
    </row>
    <row r="2308" customFormat="false" ht="15" hidden="false" customHeight="false" outlineLevel="0" collapsed="false">
      <c r="A2308" s="103" t="n">
        <v>46298</v>
      </c>
      <c r="B2308" s="104" t="s">
        <v>34</v>
      </c>
      <c r="C2308" s="104" t="s">
        <v>553</v>
      </c>
      <c r="D2308" s="105" t="n">
        <v>0.5</v>
      </c>
      <c r="E2308" s="106" t="n">
        <v>220.8333</v>
      </c>
      <c r="F2308" s="107" t="n">
        <f aca="false">IF($C2308="","",$D2308*$E2308)</f>
        <v>110.41665</v>
      </c>
      <c r="G2308" s="107" t="n">
        <f aca="false">IF($C2308="","",$D2308*IFERROR(INDEX('تحليل التكلفة والسعر'!$C$2:$C$700,MATCH($C2308,'تحليل التكلفة والسعر'!$B$2:$B$700,0)),0))</f>
        <v>58.292501</v>
      </c>
      <c r="H2308" s="104" t="s">
        <v>719</v>
      </c>
    </row>
    <row r="2309" customFormat="false" ht="15" hidden="false" customHeight="false" outlineLevel="0" collapsed="false">
      <c r="A2309" s="103" t="n">
        <v>46299</v>
      </c>
      <c r="B2309" s="104" t="s">
        <v>34</v>
      </c>
      <c r="C2309" s="104" t="s">
        <v>553</v>
      </c>
      <c r="D2309" s="105" t="n">
        <v>0.5</v>
      </c>
      <c r="E2309" s="106" t="n">
        <v>220.8333</v>
      </c>
      <c r="F2309" s="107" t="n">
        <f aca="false">IF($C2309="","",$D2309*$E2309)</f>
        <v>110.41665</v>
      </c>
      <c r="G2309" s="107" t="n">
        <f aca="false">IF($C2309="","",$D2309*IFERROR(INDEX('تحليل التكلفة والسعر'!$C$2:$C$700,MATCH($C2309,'تحليل التكلفة والسعر'!$B$2:$B$700,0)),0))</f>
        <v>58.292501</v>
      </c>
      <c r="H2309" s="104" t="s">
        <v>719</v>
      </c>
    </row>
    <row r="2310" customFormat="false" ht="15" hidden="false" customHeight="false" outlineLevel="0" collapsed="false">
      <c r="A2310" s="103" t="n">
        <v>46300</v>
      </c>
      <c r="B2310" s="104" t="s">
        <v>34</v>
      </c>
      <c r="C2310" s="104" t="s">
        <v>553</v>
      </c>
      <c r="D2310" s="105" t="n">
        <v>0.5</v>
      </c>
      <c r="E2310" s="106" t="n">
        <v>220.8333</v>
      </c>
      <c r="F2310" s="107" t="n">
        <f aca="false">IF($C2310="","",$D2310*$E2310)</f>
        <v>110.41665</v>
      </c>
      <c r="G2310" s="107" t="n">
        <f aca="false">IF($C2310="","",$D2310*IFERROR(INDEX('تحليل التكلفة والسعر'!$C$2:$C$700,MATCH($C2310,'تحليل التكلفة والسعر'!$B$2:$B$700,0)),0))</f>
        <v>58.292501</v>
      </c>
      <c r="H2310" s="104" t="s">
        <v>719</v>
      </c>
    </row>
    <row r="2311" customFormat="false" ht="15" hidden="false" customHeight="false" outlineLevel="0" collapsed="false">
      <c r="A2311" s="103" t="n">
        <v>46301</v>
      </c>
      <c r="B2311" s="104" t="s">
        <v>34</v>
      </c>
      <c r="C2311" s="104" t="s">
        <v>553</v>
      </c>
      <c r="D2311" s="105" t="n">
        <v>0.5</v>
      </c>
      <c r="E2311" s="106" t="n">
        <v>220.8333</v>
      </c>
      <c r="F2311" s="107" t="n">
        <f aca="false">IF($C2311="","",$D2311*$E2311)</f>
        <v>110.41665</v>
      </c>
      <c r="G2311" s="107" t="n">
        <f aca="false">IF($C2311="","",$D2311*IFERROR(INDEX('تحليل التكلفة والسعر'!$C$2:$C$700,MATCH($C2311,'تحليل التكلفة والسعر'!$B$2:$B$700,0)),0))</f>
        <v>58.292501</v>
      </c>
      <c r="H2311" s="104" t="s">
        <v>719</v>
      </c>
    </row>
    <row r="2312" customFormat="false" ht="15" hidden="false" customHeight="false" outlineLevel="0" collapsed="false">
      <c r="A2312" s="103" t="n">
        <v>46302</v>
      </c>
      <c r="B2312" s="104" t="s">
        <v>34</v>
      </c>
      <c r="C2312" s="104" t="s">
        <v>553</v>
      </c>
      <c r="D2312" s="105" t="n">
        <v>0.5</v>
      </c>
      <c r="E2312" s="106" t="n">
        <v>220.8333</v>
      </c>
      <c r="F2312" s="107" t="n">
        <f aca="false">IF($C2312="","",$D2312*$E2312)</f>
        <v>110.41665</v>
      </c>
      <c r="G2312" s="107" t="n">
        <f aca="false">IF($C2312="","",$D2312*IFERROR(INDEX('تحليل التكلفة والسعر'!$C$2:$C$700,MATCH($C2312,'تحليل التكلفة والسعر'!$B$2:$B$700,0)),0))</f>
        <v>58.292501</v>
      </c>
      <c r="H2312" s="104" t="s">
        <v>719</v>
      </c>
    </row>
    <row r="2313" customFormat="false" ht="15" hidden="false" customHeight="false" outlineLevel="0" collapsed="false">
      <c r="A2313" s="103" t="n">
        <v>46303</v>
      </c>
      <c r="B2313" s="104" t="s">
        <v>34</v>
      </c>
      <c r="C2313" s="104" t="s">
        <v>553</v>
      </c>
      <c r="D2313" s="105" t="n">
        <v>0.5</v>
      </c>
      <c r="E2313" s="106" t="n">
        <v>220.8333</v>
      </c>
      <c r="F2313" s="107" t="n">
        <f aca="false">IF($C2313="","",$D2313*$E2313)</f>
        <v>110.41665</v>
      </c>
      <c r="G2313" s="107" t="n">
        <f aca="false">IF($C2313="","",$D2313*IFERROR(INDEX('تحليل التكلفة والسعر'!$C$2:$C$700,MATCH($C2313,'تحليل التكلفة والسعر'!$B$2:$B$700,0)),0))</f>
        <v>58.292501</v>
      </c>
      <c r="H2313" s="104" t="s">
        <v>719</v>
      </c>
    </row>
    <row r="2314" customFormat="false" ht="15" hidden="false" customHeight="false" outlineLevel="0" collapsed="false">
      <c r="A2314" s="103" t="n">
        <v>46304</v>
      </c>
      <c r="B2314" s="104" t="s">
        <v>34</v>
      </c>
      <c r="C2314" s="104" t="s">
        <v>553</v>
      </c>
      <c r="D2314" s="105" t="n">
        <v>0.5</v>
      </c>
      <c r="E2314" s="106" t="n">
        <v>220.8333</v>
      </c>
      <c r="F2314" s="107" t="n">
        <f aca="false">IF($C2314="","",$D2314*$E2314)</f>
        <v>110.41665</v>
      </c>
      <c r="G2314" s="107" t="n">
        <f aca="false">IF($C2314="","",$D2314*IFERROR(INDEX('تحليل التكلفة والسعر'!$C$2:$C$700,MATCH($C2314,'تحليل التكلفة والسعر'!$B$2:$B$700,0)),0))</f>
        <v>58.292501</v>
      </c>
      <c r="H2314" s="104" t="s">
        <v>719</v>
      </c>
    </row>
    <row r="2315" customFormat="false" ht="15" hidden="false" customHeight="false" outlineLevel="0" collapsed="false">
      <c r="A2315" s="103" t="n">
        <v>46305</v>
      </c>
      <c r="B2315" s="104" t="s">
        <v>34</v>
      </c>
      <c r="C2315" s="104" t="s">
        <v>553</v>
      </c>
      <c r="D2315" s="105" t="n">
        <v>0.5</v>
      </c>
      <c r="E2315" s="106" t="n">
        <v>220.8333</v>
      </c>
      <c r="F2315" s="107" t="n">
        <f aca="false">IF($C2315="","",$D2315*$E2315)</f>
        <v>110.41665</v>
      </c>
      <c r="G2315" s="107" t="n">
        <f aca="false">IF($C2315="","",$D2315*IFERROR(INDEX('تحليل التكلفة والسعر'!$C$2:$C$700,MATCH($C2315,'تحليل التكلفة والسعر'!$B$2:$B$700,0)),0))</f>
        <v>58.292501</v>
      </c>
      <c r="H2315" s="104" t="s">
        <v>719</v>
      </c>
    </row>
    <row r="2316" customFormat="false" ht="15" hidden="false" customHeight="false" outlineLevel="0" collapsed="false">
      <c r="A2316" s="103" t="n">
        <v>46306</v>
      </c>
      <c r="B2316" s="104" t="s">
        <v>34</v>
      </c>
      <c r="C2316" s="104" t="s">
        <v>553</v>
      </c>
      <c r="D2316" s="105" t="n">
        <v>0.5</v>
      </c>
      <c r="E2316" s="106" t="n">
        <v>220.8333</v>
      </c>
      <c r="F2316" s="107" t="n">
        <f aca="false">IF($C2316="","",$D2316*$E2316)</f>
        <v>110.41665</v>
      </c>
      <c r="G2316" s="107" t="n">
        <f aca="false">IF($C2316="","",$D2316*IFERROR(INDEX('تحليل التكلفة والسعر'!$C$2:$C$700,MATCH($C2316,'تحليل التكلفة والسعر'!$B$2:$B$700,0)),0))</f>
        <v>58.292501</v>
      </c>
      <c r="H2316" s="104" t="s">
        <v>719</v>
      </c>
    </row>
    <row r="2317" customFormat="false" ht="15" hidden="false" customHeight="false" outlineLevel="0" collapsed="false">
      <c r="A2317" s="103" t="n">
        <v>46307</v>
      </c>
      <c r="B2317" s="104" t="s">
        <v>34</v>
      </c>
      <c r="C2317" s="104" t="s">
        <v>553</v>
      </c>
      <c r="D2317" s="105" t="n">
        <v>0.5</v>
      </c>
      <c r="E2317" s="106" t="n">
        <v>220.8333</v>
      </c>
      <c r="F2317" s="107" t="n">
        <f aca="false">IF($C2317="","",$D2317*$E2317)</f>
        <v>110.41665</v>
      </c>
      <c r="G2317" s="107" t="n">
        <f aca="false">IF($C2317="","",$D2317*IFERROR(INDEX('تحليل التكلفة والسعر'!$C$2:$C$700,MATCH($C2317,'تحليل التكلفة والسعر'!$B$2:$B$700,0)),0))</f>
        <v>58.292501</v>
      </c>
      <c r="H2317" s="104" t="s">
        <v>719</v>
      </c>
    </row>
    <row r="2318" customFormat="false" ht="15" hidden="false" customHeight="false" outlineLevel="0" collapsed="false">
      <c r="A2318" s="103" t="n">
        <v>46296</v>
      </c>
      <c r="B2318" s="104" t="s">
        <v>34</v>
      </c>
      <c r="C2318" s="104" t="s">
        <v>428</v>
      </c>
      <c r="D2318" s="105" t="n">
        <v>0.0833</v>
      </c>
      <c r="E2318" s="106" t="n">
        <v>325</v>
      </c>
      <c r="F2318" s="107" t="n">
        <f aca="false">IF($C2318="","",$D2318*$E2318)</f>
        <v>27.0725</v>
      </c>
      <c r="G2318" s="107" t="n">
        <f aca="false">IF($C2318="","",$D2318*IFERROR(INDEX('تحليل التكلفة والسعر'!$C$2:$C$700,MATCH($C2318,'تحليل التكلفة والسعر'!$B$2:$B$700,0)),0))</f>
        <v>13.7099306666</v>
      </c>
      <c r="H2318" s="104" t="s">
        <v>719</v>
      </c>
    </row>
    <row r="2319" customFormat="false" ht="15" hidden="false" customHeight="false" outlineLevel="0" collapsed="false">
      <c r="A2319" s="103" t="n">
        <v>46297</v>
      </c>
      <c r="B2319" s="104" t="s">
        <v>34</v>
      </c>
      <c r="C2319" s="104" t="s">
        <v>428</v>
      </c>
      <c r="D2319" s="105" t="n">
        <v>0.0833</v>
      </c>
      <c r="E2319" s="106" t="n">
        <v>325</v>
      </c>
      <c r="F2319" s="107" t="n">
        <f aca="false">IF($C2319="","",$D2319*$E2319)</f>
        <v>27.0725</v>
      </c>
      <c r="G2319" s="107" t="n">
        <f aca="false">IF($C2319="","",$D2319*IFERROR(INDEX('تحليل التكلفة والسعر'!$C$2:$C$700,MATCH($C2319,'تحليل التكلفة والسعر'!$B$2:$B$700,0)),0))</f>
        <v>13.7099306666</v>
      </c>
      <c r="H2319" s="104" t="s">
        <v>719</v>
      </c>
    </row>
    <row r="2320" customFormat="false" ht="15" hidden="false" customHeight="false" outlineLevel="0" collapsed="false">
      <c r="A2320" s="103" t="n">
        <v>46298</v>
      </c>
      <c r="B2320" s="104" t="s">
        <v>34</v>
      </c>
      <c r="C2320" s="104" t="s">
        <v>428</v>
      </c>
      <c r="D2320" s="105" t="n">
        <v>0.0833</v>
      </c>
      <c r="E2320" s="106" t="n">
        <v>325</v>
      </c>
      <c r="F2320" s="107" t="n">
        <f aca="false">IF($C2320="","",$D2320*$E2320)</f>
        <v>27.0725</v>
      </c>
      <c r="G2320" s="107" t="n">
        <f aca="false">IF($C2320="","",$D2320*IFERROR(INDEX('تحليل التكلفة والسعر'!$C$2:$C$700,MATCH($C2320,'تحليل التكلفة والسعر'!$B$2:$B$700,0)),0))</f>
        <v>13.7099306666</v>
      </c>
      <c r="H2320" s="104" t="s">
        <v>719</v>
      </c>
    </row>
    <row r="2321" customFormat="false" ht="15" hidden="false" customHeight="false" outlineLevel="0" collapsed="false">
      <c r="A2321" s="103" t="n">
        <v>46299</v>
      </c>
      <c r="B2321" s="104" t="s">
        <v>34</v>
      </c>
      <c r="C2321" s="104" t="s">
        <v>428</v>
      </c>
      <c r="D2321" s="105" t="n">
        <v>0.0833</v>
      </c>
      <c r="E2321" s="106" t="n">
        <v>325</v>
      </c>
      <c r="F2321" s="107" t="n">
        <f aca="false">IF($C2321="","",$D2321*$E2321)</f>
        <v>27.0725</v>
      </c>
      <c r="G2321" s="107" t="n">
        <f aca="false">IF($C2321="","",$D2321*IFERROR(INDEX('تحليل التكلفة والسعر'!$C$2:$C$700,MATCH($C2321,'تحليل التكلفة والسعر'!$B$2:$B$700,0)),0))</f>
        <v>13.7099306666</v>
      </c>
      <c r="H2321" s="104" t="s">
        <v>719</v>
      </c>
    </row>
    <row r="2322" customFormat="false" ht="15" hidden="false" customHeight="false" outlineLevel="0" collapsed="false">
      <c r="A2322" s="103" t="n">
        <v>46300</v>
      </c>
      <c r="B2322" s="104" t="s">
        <v>34</v>
      </c>
      <c r="C2322" s="104" t="s">
        <v>428</v>
      </c>
      <c r="D2322" s="105" t="n">
        <v>0.0833</v>
      </c>
      <c r="E2322" s="106" t="n">
        <v>325</v>
      </c>
      <c r="F2322" s="107" t="n">
        <f aca="false">IF($C2322="","",$D2322*$E2322)</f>
        <v>27.0725</v>
      </c>
      <c r="G2322" s="107" t="n">
        <f aca="false">IF($C2322="","",$D2322*IFERROR(INDEX('تحليل التكلفة والسعر'!$C$2:$C$700,MATCH($C2322,'تحليل التكلفة والسعر'!$B$2:$B$700,0)),0))</f>
        <v>13.7099306666</v>
      </c>
      <c r="H2322" s="104" t="s">
        <v>719</v>
      </c>
    </row>
    <row r="2323" customFormat="false" ht="15" hidden="false" customHeight="false" outlineLevel="0" collapsed="false">
      <c r="A2323" s="103" t="n">
        <v>46301</v>
      </c>
      <c r="B2323" s="104" t="s">
        <v>34</v>
      </c>
      <c r="C2323" s="104" t="s">
        <v>428</v>
      </c>
      <c r="D2323" s="105" t="n">
        <v>0.0833</v>
      </c>
      <c r="E2323" s="106" t="n">
        <v>325</v>
      </c>
      <c r="F2323" s="107" t="n">
        <f aca="false">IF($C2323="","",$D2323*$E2323)</f>
        <v>27.0725</v>
      </c>
      <c r="G2323" s="107" t="n">
        <f aca="false">IF($C2323="","",$D2323*IFERROR(INDEX('تحليل التكلفة والسعر'!$C$2:$C$700,MATCH($C2323,'تحليل التكلفة والسعر'!$B$2:$B$700,0)),0))</f>
        <v>13.7099306666</v>
      </c>
      <c r="H2323" s="104" t="s">
        <v>719</v>
      </c>
    </row>
    <row r="2324" customFormat="false" ht="15" hidden="false" customHeight="false" outlineLevel="0" collapsed="false">
      <c r="A2324" s="103" t="n">
        <v>46302</v>
      </c>
      <c r="B2324" s="104" t="s">
        <v>34</v>
      </c>
      <c r="C2324" s="104" t="s">
        <v>428</v>
      </c>
      <c r="D2324" s="105" t="n">
        <v>0.0833</v>
      </c>
      <c r="E2324" s="106" t="n">
        <v>325</v>
      </c>
      <c r="F2324" s="107" t="n">
        <f aca="false">IF($C2324="","",$D2324*$E2324)</f>
        <v>27.0725</v>
      </c>
      <c r="G2324" s="107" t="n">
        <f aca="false">IF($C2324="","",$D2324*IFERROR(INDEX('تحليل التكلفة والسعر'!$C$2:$C$700,MATCH($C2324,'تحليل التكلفة والسعر'!$B$2:$B$700,0)),0))</f>
        <v>13.7099306666</v>
      </c>
      <c r="H2324" s="104" t="s">
        <v>719</v>
      </c>
    </row>
    <row r="2325" customFormat="false" ht="15" hidden="false" customHeight="false" outlineLevel="0" collapsed="false">
      <c r="A2325" s="103" t="n">
        <v>46303</v>
      </c>
      <c r="B2325" s="104" t="s">
        <v>34</v>
      </c>
      <c r="C2325" s="104" t="s">
        <v>428</v>
      </c>
      <c r="D2325" s="105" t="n">
        <v>0.0833</v>
      </c>
      <c r="E2325" s="106" t="n">
        <v>325</v>
      </c>
      <c r="F2325" s="107" t="n">
        <f aca="false">IF($C2325="","",$D2325*$E2325)</f>
        <v>27.0725</v>
      </c>
      <c r="G2325" s="107" t="n">
        <f aca="false">IF($C2325="","",$D2325*IFERROR(INDEX('تحليل التكلفة والسعر'!$C$2:$C$700,MATCH($C2325,'تحليل التكلفة والسعر'!$B$2:$B$700,0)),0))</f>
        <v>13.7099306666</v>
      </c>
      <c r="H2325" s="104" t="s">
        <v>719</v>
      </c>
    </row>
    <row r="2326" customFormat="false" ht="15" hidden="false" customHeight="false" outlineLevel="0" collapsed="false">
      <c r="A2326" s="103" t="n">
        <v>46304</v>
      </c>
      <c r="B2326" s="104" t="s">
        <v>34</v>
      </c>
      <c r="C2326" s="104" t="s">
        <v>428</v>
      </c>
      <c r="D2326" s="105" t="n">
        <v>0.0833</v>
      </c>
      <c r="E2326" s="106" t="n">
        <v>325</v>
      </c>
      <c r="F2326" s="107" t="n">
        <f aca="false">IF($C2326="","",$D2326*$E2326)</f>
        <v>27.0725</v>
      </c>
      <c r="G2326" s="107" t="n">
        <f aca="false">IF($C2326="","",$D2326*IFERROR(INDEX('تحليل التكلفة والسعر'!$C$2:$C$700,MATCH($C2326,'تحليل التكلفة والسعر'!$B$2:$B$700,0)),0))</f>
        <v>13.7099306666</v>
      </c>
      <c r="H2326" s="104" t="s">
        <v>719</v>
      </c>
    </row>
    <row r="2327" customFormat="false" ht="15" hidden="false" customHeight="false" outlineLevel="0" collapsed="false">
      <c r="A2327" s="103" t="n">
        <v>46305</v>
      </c>
      <c r="B2327" s="104" t="s">
        <v>34</v>
      </c>
      <c r="C2327" s="104" t="s">
        <v>428</v>
      </c>
      <c r="D2327" s="105" t="n">
        <v>0.0833</v>
      </c>
      <c r="E2327" s="106" t="n">
        <v>325</v>
      </c>
      <c r="F2327" s="107" t="n">
        <f aca="false">IF($C2327="","",$D2327*$E2327)</f>
        <v>27.0725</v>
      </c>
      <c r="G2327" s="107" t="n">
        <f aca="false">IF($C2327="","",$D2327*IFERROR(INDEX('تحليل التكلفة والسعر'!$C$2:$C$700,MATCH($C2327,'تحليل التكلفة والسعر'!$B$2:$B$700,0)),0))</f>
        <v>13.7099306666</v>
      </c>
      <c r="H2327" s="104" t="s">
        <v>719</v>
      </c>
    </row>
    <row r="2328" customFormat="false" ht="15" hidden="false" customHeight="false" outlineLevel="0" collapsed="false">
      <c r="A2328" s="103" t="n">
        <v>46306</v>
      </c>
      <c r="B2328" s="104" t="s">
        <v>34</v>
      </c>
      <c r="C2328" s="104" t="s">
        <v>428</v>
      </c>
      <c r="D2328" s="105" t="n">
        <v>0.0833</v>
      </c>
      <c r="E2328" s="106" t="n">
        <v>325</v>
      </c>
      <c r="F2328" s="107" t="n">
        <f aca="false">IF($C2328="","",$D2328*$E2328)</f>
        <v>27.0725</v>
      </c>
      <c r="G2328" s="107" t="n">
        <f aca="false">IF($C2328="","",$D2328*IFERROR(INDEX('تحليل التكلفة والسعر'!$C$2:$C$700,MATCH($C2328,'تحليل التكلفة والسعر'!$B$2:$B$700,0)),0))</f>
        <v>13.7099306666</v>
      </c>
      <c r="H2328" s="104" t="s">
        <v>719</v>
      </c>
    </row>
    <row r="2329" customFormat="false" ht="15" hidden="false" customHeight="false" outlineLevel="0" collapsed="false">
      <c r="A2329" s="103" t="n">
        <v>46307</v>
      </c>
      <c r="B2329" s="104" t="s">
        <v>34</v>
      </c>
      <c r="C2329" s="104" t="s">
        <v>428</v>
      </c>
      <c r="D2329" s="105" t="n">
        <v>0.0833</v>
      </c>
      <c r="E2329" s="106" t="n">
        <v>325</v>
      </c>
      <c r="F2329" s="107" t="n">
        <f aca="false">IF($C2329="","",$D2329*$E2329)</f>
        <v>27.0725</v>
      </c>
      <c r="G2329" s="107" t="n">
        <f aca="false">IF($C2329="","",$D2329*IFERROR(INDEX('تحليل التكلفة والسعر'!$C$2:$C$700,MATCH($C2329,'تحليل التكلفة والسعر'!$B$2:$B$700,0)),0))</f>
        <v>13.7099306666</v>
      </c>
      <c r="H2329" s="104" t="s">
        <v>719</v>
      </c>
    </row>
    <row r="2330" customFormat="false" ht="15" hidden="false" customHeight="false" outlineLevel="0" collapsed="false">
      <c r="A2330" s="103" t="n">
        <v>46296</v>
      </c>
      <c r="B2330" s="104" t="s">
        <v>34</v>
      </c>
      <c r="C2330" s="104" t="s">
        <v>530</v>
      </c>
      <c r="D2330" s="105" t="n">
        <v>6.3333</v>
      </c>
      <c r="E2330" s="106" t="n">
        <v>42.3026</v>
      </c>
      <c r="F2330" s="107" t="n">
        <f aca="false">IF($C2330="","",$D2330*$E2330)</f>
        <v>267.91505658</v>
      </c>
      <c r="G2330" s="107" t="n">
        <f aca="false">IF($C2330="","",$D2330*IFERROR(INDEX('تحليل التكلفة والسعر'!$C$2:$C$700,MATCH($C2330,'تحليل التكلفة والسعر'!$B$2:$B$700,0)),0))</f>
        <v>501.76519245</v>
      </c>
      <c r="H2330" s="104" t="s">
        <v>719</v>
      </c>
    </row>
    <row r="2331" customFormat="false" ht="15" hidden="false" customHeight="false" outlineLevel="0" collapsed="false">
      <c r="A2331" s="103" t="n">
        <v>46297</v>
      </c>
      <c r="B2331" s="104" t="s">
        <v>34</v>
      </c>
      <c r="C2331" s="104" t="s">
        <v>530</v>
      </c>
      <c r="D2331" s="105" t="n">
        <v>6.3333</v>
      </c>
      <c r="E2331" s="106" t="n">
        <v>42.3026</v>
      </c>
      <c r="F2331" s="107" t="n">
        <f aca="false">IF($C2331="","",$D2331*$E2331)</f>
        <v>267.91505658</v>
      </c>
      <c r="G2331" s="107" t="n">
        <f aca="false">IF($C2331="","",$D2331*IFERROR(INDEX('تحليل التكلفة والسعر'!$C$2:$C$700,MATCH($C2331,'تحليل التكلفة والسعر'!$B$2:$B$700,0)),0))</f>
        <v>501.76519245</v>
      </c>
      <c r="H2331" s="104" t="s">
        <v>719</v>
      </c>
    </row>
    <row r="2332" customFormat="false" ht="15" hidden="false" customHeight="false" outlineLevel="0" collapsed="false">
      <c r="A2332" s="103" t="n">
        <v>46298</v>
      </c>
      <c r="B2332" s="104" t="s">
        <v>34</v>
      </c>
      <c r="C2332" s="104" t="s">
        <v>530</v>
      </c>
      <c r="D2332" s="105" t="n">
        <v>6.3333</v>
      </c>
      <c r="E2332" s="106" t="n">
        <v>42.3026</v>
      </c>
      <c r="F2332" s="107" t="n">
        <f aca="false">IF($C2332="","",$D2332*$E2332)</f>
        <v>267.91505658</v>
      </c>
      <c r="G2332" s="107" t="n">
        <f aca="false">IF($C2332="","",$D2332*IFERROR(INDEX('تحليل التكلفة والسعر'!$C$2:$C$700,MATCH($C2332,'تحليل التكلفة والسعر'!$B$2:$B$700,0)),0))</f>
        <v>501.76519245</v>
      </c>
      <c r="H2332" s="104" t="s">
        <v>719</v>
      </c>
    </row>
    <row r="2333" customFormat="false" ht="15" hidden="false" customHeight="false" outlineLevel="0" collapsed="false">
      <c r="A2333" s="103" t="n">
        <v>46299</v>
      </c>
      <c r="B2333" s="104" t="s">
        <v>34</v>
      </c>
      <c r="C2333" s="104" t="s">
        <v>530</v>
      </c>
      <c r="D2333" s="105" t="n">
        <v>6.3333</v>
      </c>
      <c r="E2333" s="106" t="n">
        <v>42.3026</v>
      </c>
      <c r="F2333" s="107" t="n">
        <f aca="false">IF($C2333="","",$D2333*$E2333)</f>
        <v>267.91505658</v>
      </c>
      <c r="G2333" s="107" t="n">
        <f aca="false">IF($C2333="","",$D2333*IFERROR(INDEX('تحليل التكلفة والسعر'!$C$2:$C$700,MATCH($C2333,'تحليل التكلفة والسعر'!$B$2:$B$700,0)),0))</f>
        <v>501.76519245</v>
      </c>
      <c r="H2333" s="104" t="s">
        <v>719</v>
      </c>
    </row>
    <row r="2334" customFormat="false" ht="15" hidden="false" customHeight="false" outlineLevel="0" collapsed="false">
      <c r="A2334" s="103" t="n">
        <v>46300</v>
      </c>
      <c r="B2334" s="104" t="s">
        <v>34</v>
      </c>
      <c r="C2334" s="104" t="s">
        <v>530</v>
      </c>
      <c r="D2334" s="105" t="n">
        <v>6.3333</v>
      </c>
      <c r="E2334" s="106" t="n">
        <v>42.3026</v>
      </c>
      <c r="F2334" s="107" t="n">
        <f aca="false">IF($C2334="","",$D2334*$E2334)</f>
        <v>267.91505658</v>
      </c>
      <c r="G2334" s="107" t="n">
        <f aca="false">IF($C2334="","",$D2334*IFERROR(INDEX('تحليل التكلفة والسعر'!$C$2:$C$700,MATCH($C2334,'تحليل التكلفة والسعر'!$B$2:$B$700,0)),0))</f>
        <v>501.76519245</v>
      </c>
      <c r="H2334" s="104" t="s">
        <v>719</v>
      </c>
    </row>
    <row r="2335" customFormat="false" ht="15" hidden="false" customHeight="false" outlineLevel="0" collapsed="false">
      <c r="A2335" s="103" t="n">
        <v>46301</v>
      </c>
      <c r="B2335" s="104" t="s">
        <v>34</v>
      </c>
      <c r="C2335" s="104" t="s">
        <v>530</v>
      </c>
      <c r="D2335" s="105" t="n">
        <v>6.3333</v>
      </c>
      <c r="E2335" s="106" t="n">
        <v>42.3026</v>
      </c>
      <c r="F2335" s="107" t="n">
        <f aca="false">IF($C2335="","",$D2335*$E2335)</f>
        <v>267.91505658</v>
      </c>
      <c r="G2335" s="107" t="n">
        <f aca="false">IF($C2335="","",$D2335*IFERROR(INDEX('تحليل التكلفة والسعر'!$C$2:$C$700,MATCH($C2335,'تحليل التكلفة والسعر'!$B$2:$B$700,0)),0))</f>
        <v>501.76519245</v>
      </c>
      <c r="H2335" s="104" t="s">
        <v>719</v>
      </c>
    </row>
    <row r="2336" customFormat="false" ht="15" hidden="false" customHeight="false" outlineLevel="0" collapsed="false">
      <c r="A2336" s="103" t="n">
        <v>46302</v>
      </c>
      <c r="B2336" s="104" t="s">
        <v>34</v>
      </c>
      <c r="C2336" s="104" t="s">
        <v>530</v>
      </c>
      <c r="D2336" s="105" t="n">
        <v>6.3333</v>
      </c>
      <c r="E2336" s="106" t="n">
        <v>42.3026</v>
      </c>
      <c r="F2336" s="107" t="n">
        <f aca="false">IF($C2336="","",$D2336*$E2336)</f>
        <v>267.91505658</v>
      </c>
      <c r="G2336" s="107" t="n">
        <f aca="false">IF($C2336="","",$D2336*IFERROR(INDEX('تحليل التكلفة والسعر'!$C$2:$C$700,MATCH($C2336,'تحليل التكلفة والسعر'!$B$2:$B$700,0)),0))</f>
        <v>501.76519245</v>
      </c>
      <c r="H2336" s="104" t="s">
        <v>719</v>
      </c>
    </row>
    <row r="2337" customFormat="false" ht="15" hidden="false" customHeight="false" outlineLevel="0" collapsed="false">
      <c r="A2337" s="103" t="n">
        <v>46303</v>
      </c>
      <c r="B2337" s="104" t="s">
        <v>34</v>
      </c>
      <c r="C2337" s="104" t="s">
        <v>530</v>
      </c>
      <c r="D2337" s="105" t="n">
        <v>6.3333</v>
      </c>
      <c r="E2337" s="106" t="n">
        <v>42.3026</v>
      </c>
      <c r="F2337" s="107" t="n">
        <f aca="false">IF($C2337="","",$D2337*$E2337)</f>
        <v>267.91505658</v>
      </c>
      <c r="G2337" s="107" t="n">
        <f aca="false">IF($C2337="","",$D2337*IFERROR(INDEX('تحليل التكلفة والسعر'!$C$2:$C$700,MATCH($C2337,'تحليل التكلفة والسعر'!$B$2:$B$700,0)),0))</f>
        <v>501.76519245</v>
      </c>
      <c r="H2337" s="104" t="s">
        <v>719</v>
      </c>
    </row>
    <row r="2338" customFormat="false" ht="15" hidden="false" customHeight="false" outlineLevel="0" collapsed="false">
      <c r="A2338" s="103" t="n">
        <v>46304</v>
      </c>
      <c r="B2338" s="104" t="s">
        <v>34</v>
      </c>
      <c r="C2338" s="104" t="s">
        <v>530</v>
      </c>
      <c r="D2338" s="105" t="n">
        <v>6.3333</v>
      </c>
      <c r="E2338" s="106" t="n">
        <v>42.3026</v>
      </c>
      <c r="F2338" s="107" t="n">
        <f aca="false">IF($C2338="","",$D2338*$E2338)</f>
        <v>267.91505658</v>
      </c>
      <c r="G2338" s="107" t="n">
        <f aca="false">IF($C2338="","",$D2338*IFERROR(INDEX('تحليل التكلفة والسعر'!$C$2:$C$700,MATCH($C2338,'تحليل التكلفة والسعر'!$B$2:$B$700,0)),0))</f>
        <v>501.76519245</v>
      </c>
      <c r="H2338" s="104" t="s">
        <v>719</v>
      </c>
    </row>
    <row r="2339" customFormat="false" ht="15" hidden="false" customHeight="false" outlineLevel="0" collapsed="false">
      <c r="A2339" s="103" t="n">
        <v>46305</v>
      </c>
      <c r="B2339" s="104" t="s">
        <v>34</v>
      </c>
      <c r="C2339" s="104" t="s">
        <v>530</v>
      </c>
      <c r="D2339" s="105" t="n">
        <v>6.3333</v>
      </c>
      <c r="E2339" s="106" t="n">
        <v>42.3026</v>
      </c>
      <c r="F2339" s="107" t="n">
        <f aca="false">IF($C2339="","",$D2339*$E2339)</f>
        <v>267.91505658</v>
      </c>
      <c r="G2339" s="107" t="n">
        <f aca="false">IF($C2339="","",$D2339*IFERROR(INDEX('تحليل التكلفة والسعر'!$C$2:$C$700,MATCH($C2339,'تحليل التكلفة والسعر'!$B$2:$B$700,0)),0))</f>
        <v>501.76519245</v>
      </c>
      <c r="H2339" s="104" t="s">
        <v>719</v>
      </c>
    </row>
    <row r="2340" customFormat="false" ht="15" hidden="false" customHeight="false" outlineLevel="0" collapsed="false">
      <c r="A2340" s="103" t="n">
        <v>46306</v>
      </c>
      <c r="B2340" s="104" t="s">
        <v>34</v>
      </c>
      <c r="C2340" s="104" t="s">
        <v>530</v>
      </c>
      <c r="D2340" s="105" t="n">
        <v>6.3333</v>
      </c>
      <c r="E2340" s="106" t="n">
        <v>42.3026</v>
      </c>
      <c r="F2340" s="107" t="n">
        <f aca="false">IF($C2340="","",$D2340*$E2340)</f>
        <v>267.91505658</v>
      </c>
      <c r="G2340" s="107" t="n">
        <f aca="false">IF($C2340="","",$D2340*IFERROR(INDEX('تحليل التكلفة والسعر'!$C$2:$C$700,MATCH($C2340,'تحليل التكلفة والسعر'!$B$2:$B$700,0)),0))</f>
        <v>501.76519245</v>
      </c>
      <c r="H2340" s="104" t="s">
        <v>719</v>
      </c>
    </row>
    <row r="2341" customFormat="false" ht="15" hidden="false" customHeight="false" outlineLevel="0" collapsed="false">
      <c r="A2341" s="103" t="n">
        <v>46307</v>
      </c>
      <c r="B2341" s="104" t="s">
        <v>34</v>
      </c>
      <c r="C2341" s="104" t="s">
        <v>530</v>
      </c>
      <c r="D2341" s="105" t="n">
        <v>6.3333</v>
      </c>
      <c r="E2341" s="106" t="n">
        <v>42.3026</v>
      </c>
      <c r="F2341" s="107" t="n">
        <f aca="false">IF($C2341="","",$D2341*$E2341)</f>
        <v>267.91505658</v>
      </c>
      <c r="G2341" s="107" t="n">
        <f aca="false">IF($C2341="","",$D2341*IFERROR(INDEX('تحليل التكلفة والسعر'!$C$2:$C$700,MATCH($C2341,'تحليل التكلفة والسعر'!$B$2:$B$700,0)),0))</f>
        <v>501.76519245</v>
      </c>
      <c r="H2341" s="104" t="s">
        <v>719</v>
      </c>
    </row>
    <row r="2342" customFormat="false" ht="15" hidden="false" customHeight="false" outlineLevel="0" collapsed="false">
      <c r="A2342" s="103" t="n">
        <v>46296</v>
      </c>
      <c r="B2342" s="104" t="s">
        <v>34</v>
      </c>
      <c r="C2342" s="104" t="s">
        <v>504</v>
      </c>
      <c r="D2342" s="105" t="n">
        <v>1.3333</v>
      </c>
      <c r="E2342" s="106" t="n">
        <v>40</v>
      </c>
      <c r="F2342" s="107" t="n">
        <f aca="false">IF($C2342="","",$D2342*$E2342)</f>
        <v>53.332</v>
      </c>
      <c r="G2342" s="107" t="n">
        <f aca="false">IF($C2342="","",$D2342*IFERROR(INDEX('تحليل التكلفة والسعر'!$C$2:$C$700,MATCH($C2342,'تحليل التكلفة والسعر'!$B$2:$B$700,0)),0))</f>
        <v>116.06936486</v>
      </c>
      <c r="H2342" s="104" t="s">
        <v>719</v>
      </c>
    </row>
    <row r="2343" customFormat="false" ht="15" hidden="false" customHeight="false" outlineLevel="0" collapsed="false">
      <c r="A2343" s="103" t="n">
        <v>46297</v>
      </c>
      <c r="B2343" s="104" t="s">
        <v>34</v>
      </c>
      <c r="C2343" s="104" t="s">
        <v>504</v>
      </c>
      <c r="D2343" s="105" t="n">
        <v>1.3333</v>
      </c>
      <c r="E2343" s="106" t="n">
        <v>40</v>
      </c>
      <c r="F2343" s="107" t="n">
        <f aca="false">IF($C2343="","",$D2343*$E2343)</f>
        <v>53.332</v>
      </c>
      <c r="G2343" s="107" t="n">
        <f aca="false">IF($C2343="","",$D2343*IFERROR(INDEX('تحليل التكلفة والسعر'!$C$2:$C$700,MATCH($C2343,'تحليل التكلفة والسعر'!$B$2:$B$700,0)),0))</f>
        <v>116.06936486</v>
      </c>
      <c r="H2343" s="104" t="s">
        <v>719</v>
      </c>
    </row>
    <row r="2344" customFormat="false" ht="15" hidden="false" customHeight="false" outlineLevel="0" collapsed="false">
      <c r="A2344" s="103" t="n">
        <v>46298</v>
      </c>
      <c r="B2344" s="104" t="s">
        <v>34</v>
      </c>
      <c r="C2344" s="104" t="s">
        <v>504</v>
      </c>
      <c r="D2344" s="105" t="n">
        <v>1.3333</v>
      </c>
      <c r="E2344" s="106" t="n">
        <v>40</v>
      </c>
      <c r="F2344" s="107" t="n">
        <f aca="false">IF($C2344="","",$D2344*$E2344)</f>
        <v>53.332</v>
      </c>
      <c r="G2344" s="107" t="n">
        <f aca="false">IF($C2344="","",$D2344*IFERROR(INDEX('تحليل التكلفة والسعر'!$C$2:$C$700,MATCH($C2344,'تحليل التكلفة والسعر'!$B$2:$B$700,0)),0))</f>
        <v>116.06936486</v>
      </c>
      <c r="H2344" s="104" t="s">
        <v>719</v>
      </c>
    </row>
    <row r="2345" customFormat="false" ht="15" hidden="false" customHeight="false" outlineLevel="0" collapsed="false">
      <c r="A2345" s="103" t="n">
        <v>46299</v>
      </c>
      <c r="B2345" s="104" t="s">
        <v>34</v>
      </c>
      <c r="C2345" s="104" t="s">
        <v>504</v>
      </c>
      <c r="D2345" s="105" t="n">
        <v>1.3333</v>
      </c>
      <c r="E2345" s="106" t="n">
        <v>40</v>
      </c>
      <c r="F2345" s="107" t="n">
        <f aca="false">IF($C2345="","",$D2345*$E2345)</f>
        <v>53.332</v>
      </c>
      <c r="G2345" s="107" t="n">
        <f aca="false">IF($C2345="","",$D2345*IFERROR(INDEX('تحليل التكلفة والسعر'!$C$2:$C$700,MATCH($C2345,'تحليل التكلفة والسعر'!$B$2:$B$700,0)),0))</f>
        <v>116.06936486</v>
      </c>
      <c r="H2345" s="104" t="s">
        <v>719</v>
      </c>
    </row>
    <row r="2346" customFormat="false" ht="15" hidden="false" customHeight="false" outlineLevel="0" collapsed="false">
      <c r="A2346" s="103" t="n">
        <v>46300</v>
      </c>
      <c r="B2346" s="104" t="s">
        <v>34</v>
      </c>
      <c r="C2346" s="104" t="s">
        <v>504</v>
      </c>
      <c r="D2346" s="105" t="n">
        <v>1.3333</v>
      </c>
      <c r="E2346" s="106" t="n">
        <v>40</v>
      </c>
      <c r="F2346" s="107" t="n">
        <f aca="false">IF($C2346="","",$D2346*$E2346)</f>
        <v>53.332</v>
      </c>
      <c r="G2346" s="107" t="n">
        <f aca="false">IF($C2346="","",$D2346*IFERROR(INDEX('تحليل التكلفة والسعر'!$C$2:$C$700,MATCH($C2346,'تحليل التكلفة والسعر'!$B$2:$B$700,0)),0))</f>
        <v>116.06936486</v>
      </c>
      <c r="H2346" s="104" t="s">
        <v>719</v>
      </c>
    </row>
    <row r="2347" customFormat="false" ht="15" hidden="false" customHeight="false" outlineLevel="0" collapsed="false">
      <c r="A2347" s="103" t="n">
        <v>46301</v>
      </c>
      <c r="B2347" s="104" t="s">
        <v>34</v>
      </c>
      <c r="C2347" s="104" t="s">
        <v>504</v>
      </c>
      <c r="D2347" s="105" t="n">
        <v>1.3333</v>
      </c>
      <c r="E2347" s="106" t="n">
        <v>40</v>
      </c>
      <c r="F2347" s="107" t="n">
        <f aca="false">IF($C2347="","",$D2347*$E2347)</f>
        <v>53.332</v>
      </c>
      <c r="G2347" s="107" t="n">
        <f aca="false">IF($C2347="","",$D2347*IFERROR(INDEX('تحليل التكلفة والسعر'!$C$2:$C$700,MATCH($C2347,'تحليل التكلفة والسعر'!$B$2:$B$700,0)),0))</f>
        <v>116.06936486</v>
      </c>
      <c r="H2347" s="104" t="s">
        <v>719</v>
      </c>
    </row>
    <row r="2348" customFormat="false" ht="15" hidden="false" customHeight="false" outlineLevel="0" collapsed="false">
      <c r="A2348" s="103" t="n">
        <v>46302</v>
      </c>
      <c r="B2348" s="104" t="s">
        <v>34</v>
      </c>
      <c r="C2348" s="104" t="s">
        <v>504</v>
      </c>
      <c r="D2348" s="105" t="n">
        <v>1.3333</v>
      </c>
      <c r="E2348" s="106" t="n">
        <v>40</v>
      </c>
      <c r="F2348" s="107" t="n">
        <f aca="false">IF($C2348="","",$D2348*$E2348)</f>
        <v>53.332</v>
      </c>
      <c r="G2348" s="107" t="n">
        <f aca="false">IF($C2348="","",$D2348*IFERROR(INDEX('تحليل التكلفة والسعر'!$C$2:$C$700,MATCH($C2348,'تحليل التكلفة والسعر'!$B$2:$B$700,0)),0))</f>
        <v>116.06936486</v>
      </c>
      <c r="H2348" s="104" t="s">
        <v>719</v>
      </c>
    </row>
    <row r="2349" customFormat="false" ht="15" hidden="false" customHeight="false" outlineLevel="0" collapsed="false">
      <c r="A2349" s="103" t="n">
        <v>46303</v>
      </c>
      <c r="B2349" s="104" t="s">
        <v>34</v>
      </c>
      <c r="C2349" s="104" t="s">
        <v>504</v>
      </c>
      <c r="D2349" s="105" t="n">
        <v>1.3333</v>
      </c>
      <c r="E2349" s="106" t="n">
        <v>40</v>
      </c>
      <c r="F2349" s="107" t="n">
        <f aca="false">IF($C2349="","",$D2349*$E2349)</f>
        <v>53.332</v>
      </c>
      <c r="G2349" s="107" t="n">
        <f aca="false">IF($C2349="","",$D2349*IFERROR(INDEX('تحليل التكلفة والسعر'!$C$2:$C$700,MATCH($C2349,'تحليل التكلفة والسعر'!$B$2:$B$700,0)),0))</f>
        <v>116.06936486</v>
      </c>
      <c r="H2349" s="104" t="s">
        <v>719</v>
      </c>
    </row>
    <row r="2350" customFormat="false" ht="15" hidden="false" customHeight="false" outlineLevel="0" collapsed="false">
      <c r="A2350" s="103" t="n">
        <v>46304</v>
      </c>
      <c r="B2350" s="104" t="s">
        <v>34</v>
      </c>
      <c r="C2350" s="104" t="s">
        <v>504</v>
      </c>
      <c r="D2350" s="105" t="n">
        <v>1.3333</v>
      </c>
      <c r="E2350" s="106" t="n">
        <v>40</v>
      </c>
      <c r="F2350" s="107" t="n">
        <f aca="false">IF($C2350="","",$D2350*$E2350)</f>
        <v>53.332</v>
      </c>
      <c r="G2350" s="107" t="n">
        <f aca="false">IF($C2350="","",$D2350*IFERROR(INDEX('تحليل التكلفة والسعر'!$C$2:$C$700,MATCH($C2350,'تحليل التكلفة والسعر'!$B$2:$B$700,0)),0))</f>
        <v>116.06936486</v>
      </c>
      <c r="H2350" s="104" t="s">
        <v>719</v>
      </c>
    </row>
    <row r="2351" customFormat="false" ht="15" hidden="false" customHeight="false" outlineLevel="0" collapsed="false">
      <c r="A2351" s="103" t="n">
        <v>46305</v>
      </c>
      <c r="B2351" s="104" t="s">
        <v>34</v>
      </c>
      <c r="C2351" s="104" t="s">
        <v>504</v>
      </c>
      <c r="D2351" s="105" t="n">
        <v>1.3333</v>
      </c>
      <c r="E2351" s="106" t="n">
        <v>40</v>
      </c>
      <c r="F2351" s="107" t="n">
        <f aca="false">IF($C2351="","",$D2351*$E2351)</f>
        <v>53.332</v>
      </c>
      <c r="G2351" s="107" t="n">
        <f aca="false">IF($C2351="","",$D2351*IFERROR(INDEX('تحليل التكلفة والسعر'!$C$2:$C$700,MATCH($C2351,'تحليل التكلفة والسعر'!$B$2:$B$700,0)),0))</f>
        <v>116.06936486</v>
      </c>
      <c r="H2351" s="104" t="s">
        <v>719</v>
      </c>
    </row>
    <row r="2352" customFormat="false" ht="15" hidden="false" customHeight="false" outlineLevel="0" collapsed="false">
      <c r="A2352" s="103" t="n">
        <v>46306</v>
      </c>
      <c r="B2352" s="104" t="s">
        <v>34</v>
      </c>
      <c r="C2352" s="104" t="s">
        <v>504</v>
      </c>
      <c r="D2352" s="105" t="n">
        <v>1.3333</v>
      </c>
      <c r="E2352" s="106" t="n">
        <v>40</v>
      </c>
      <c r="F2352" s="107" t="n">
        <f aca="false">IF($C2352="","",$D2352*$E2352)</f>
        <v>53.332</v>
      </c>
      <c r="G2352" s="107" t="n">
        <f aca="false">IF($C2352="","",$D2352*IFERROR(INDEX('تحليل التكلفة والسعر'!$C$2:$C$700,MATCH($C2352,'تحليل التكلفة والسعر'!$B$2:$B$700,0)),0))</f>
        <v>116.06936486</v>
      </c>
      <c r="H2352" s="104" t="s">
        <v>719</v>
      </c>
    </row>
    <row r="2353" customFormat="false" ht="15" hidden="false" customHeight="false" outlineLevel="0" collapsed="false">
      <c r="A2353" s="103" t="n">
        <v>46307</v>
      </c>
      <c r="B2353" s="104" t="s">
        <v>34</v>
      </c>
      <c r="C2353" s="104" t="s">
        <v>504</v>
      </c>
      <c r="D2353" s="105" t="n">
        <v>1.3333</v>
      </c>
      <c r="E2353" s="106" t="n">
        <v>40</v>
      </c>
      <c r="F2353" s="107" t="n">
        <f aca="false">IF($C2353="","",$D2353*$E2353)</f>
        <v>53.332</v>
      </c>
      <c r="G2353" s="107" t="n">
        <f aca="false">IF($C2353="","",$D2353*IFERROR(INDEX('تحليل التكلفة والسعر'!$C$2:$C$700,MATCH($C2353,'تحليل التكلفة والسعر'!$B$2:$B$700,0)),0))</f>
        <v>116.06936486</v>
      </c>
      <c r="H2353" s="104" t="s">
        <v>719</v>
      </c>
    </row>
    <row r="2354" customFormat="false" ht="15" hidden="false" customHeight="false" outlineLevel="0" collapsed="false">
      <c r="A2354" s="103" t="n">
        <v>46296</v>
      </c>
      <c r="B2354" s="104" t="s">
        <v>34</v>
      </c>
      <c r="C2354" s="104" t="s">
        <v>438</v>
      </c>
      <c r="D2354" s="105" t="n">
        <v>1.1667</v>
      </c>
      <c r="E2354" s="106" t="n">
        <v>114.2857</v>
      </c>
      <c r="F2354" s="107" t="n">
        <f aca="false">IF($C2354="","",$D2354*$E2354)</f>
        <v>133.33712619</v>
      </c>
      <c r="G2354" s="107" t="n">
        <f aca="false">IF($C2354="","",$D2354*IFERROR(INDEX('تحليل التكلفة والسعر'!$C$2:$C$700,MATCH($C2354,'تحليل التكلفة والسعر'!$B$2:$B$700,0)),0))</f>
        <v>60.009578607625</v>
      </c>
      <c r="H2354" s="104" t="s">
        <v>719</v>
      </c>
    </row>
    <row r="2355" customFormat="false" ht="15" hidden="false" customHeight="false" outlineLevel="0" collapsed="false">
      <c r="A2355" s="103" t="n">
        <v>46297</v>
      </c>
      <c r="B2355" s="104" t="s">
        <v>34</v>
      </c>
      <c r="C2355" s="104" t="s">
        <v>438</v>
      </c>
      <c r="D2355" s="105" t="n">
        <v>1.1667</v>
      </c>
      <c r="E2355" s="106" t="n">
        <v>114.2857</v>
      </c>
      <c r="F2355" s="107" t="n">
        <f aca="false">IF($C2355="","",$D2355*$E2355)</f>
        <v>133.33712619</v>
      </c>
      <c r="G2355" s="107" t="n">
        <f aca="false">IF($C2355="","",$D2355*IFERROR(INDEX('تحليل التكلفة والسعر'!$C$2:$C$700,MATCH($C2355,'تحليل التكلفة والسعر'!$B$2:$B$700,0)),0))</f>
        <v>60.009578607625</v>
      </c>
      <c r="H2355" s="104" t="s">
        <v>719</v>
      </c>
    </row>
    <row r="2356" customFormat="false" ht="15" hidden="false" customHeight="false" outlineLevel="0" collapsed="false">
      <c r="A2356" s="103" t="n">
        <v>46298</v>
      </c>
      <c r="B2356" s="104" t="s">
        <v>34</v>
      </c>
      <c r="C2356" s="104" t="s">
        <v>438</v>
      </c>
      <c r="D2356" s="105" t="n">
        <v>1.1667</v>
      </c>
      <c r="E2356" s="106" t="n">
        <v>114.2857</v>
      </c>
      <c r="F2356" s="107" t="n">
        <f aca="false">IF($C2356="","",$D2356*$E2356)</f>
        <v>133.33712619</v>
      </c>
      <c r="G2356" s="107" t="n">
        <f aca="false">IF($C2356="","",$D2356*IFERROR(INDEX('تحليل التكلفة والسعر'!$C$2:$C$700,MATCH($C2356,'تحليل التكلفة والسعر'!$B$2:$B$700,0)),0))</f>
        <v>60.009578607625</v>
      </c>
      <c r="H2356" s="104" t="s">
        <v>719</v>
      </c>
    </row>
    <row r="2357" customFormat="false" ht="15" hidden="false" customHeight="false" outlineLevel="0" collapsed="false">
      <c r="A2357" s="103" t="n">
        <v>46299</v>
      </c>
      <c r="B2357" s="104" t="s">
        <v>34</v>
      </c>
      <c r="C2357" s="104" t="s">
        <v>438</v>
      </c>
      <c r="D2357" s="105" t="n">
        <v>1.1667</v>
      </c>
      <c r="E2357" s="106" t="n">
        <v>114.2857</v>
      </c>
      <c r="F2357" s="107" t="n">
        <f aca="false">IF($C2357="","",$D2357*$E2357)</f>
        <v>133.33712619</v>
      </c>
      <c r="G2357" s="107" t="n">
        <f aca="false">IF($C2357="","",$D2357*IFERROR(INDEX('تحليل التكلفة والسعر'!$C$2:$C$700,MATCH($C2357,'تحليل التكلفة والسعر'!$B$2:$B$700,0)),0))</f>
        <v>60.009578607625</v>
      </c>
      <c r="H2357" s="104" t="s">
        <v>719</v>
      </c>
    </row>
    <row r="2358" customFormat="false" ht="15" hidden="false" customHeight="false" outlineLevel="0" collapsed="false">
      <c r="A2358" s="103" t="n">
        <v>46300</v>
      </c>
      <c r="B2358" s="104" t="s">
        <v>34</v>
      </c>
      <c r="C2358" s="104" t="s">
        <v>438</v>
      </c>
      <c r="D2358" s="105" t="n">
        <v>1.1667</v>
      </c>
      <c r="E2358" s="106" t="n">
        <v>114.2857</v>
      </c>
      <c r="F2358" s="107" t="n">
        <f aca="false">IF($C2358="","",$D2358*$E2358)</f>
        <v>133.33712619</v>
      </c>
      <c r="G2358" s="107" t="n">
        <f aca="false">IF($C2358="","",$D2358*IFERROR(INDEX('تحليل التكلفة والسعر'!$C$2:$C$700,MATCH($C2358,'تحليل التكلفة والسعر'!$B$2:$B$700,0)),0))</f>
        <v>60.009578607625</v>
      </c>
      <c r="H2358" s="104" t="s">
        <v>719</v>
      </c>
    </row>
    <row r="2359" customFormat="false" ht="15" hidden="false" customHeight="false" outlineLevel="0" collapsed="false">
      <c r="A2359" s="103" t="n">
        <v>46301</v>
      </c>
      <c r="B2359" s="104" t="s">
        <v>34</v>
      </c>
      <c r="C2359" s="104" t="s">
        <v>438</v>
      </c>
      <c r="D2359" s="105" t="n">
        <v>1.1667</v>
      </c>
      <c r="E2359" s="106" t="n">
        <v>114.2857</v>
      </c>
      <c r="F2359" s="107" t="n">
        <f aca="false">IF($C2359="","",$D2359*$E2359)</f>
        <v>133.33712619</v>
      </c>
      <c r="G2359" s="107" t="n">
        <f aca="false">IF($C2359="","",$D2359*IFERROR(INDEX('تحليل التكلفة والسعر'!$C$2:$C$700,MATCH($C2359,'تحليل التكلفة والسعر'!$B$2:$B$700,0)),0))</f>
        <v>60.009578607625</v>
      </c>
      <c r="H2359" s="104" t="s">
        <v>719</v>
      </c>
    </row>
    <row r="2360" customFormat="false" ht="15" hidden="false" customHeight="false" outlineLevel="0" collapsed="false">
      <c r="A2360" s="103" t="n">
        <v>46302</v>
      </c>
      <c r="B2360" s="104" t="s">
        <v>34</v>
      </c>
      <c r="C2360" s="104" t="s">
        <v>438</v>
      </c>
      <c r="D2360" s="105" t="n">
        <v>1.1667</v>
      </c>
      <c r="E2360" s="106" t="n">
        <v>114.2857</v>
      </c>
      <c r="F2360" s="107" t="n">
        <f aca="false">IF($C2360="","",$D2360*$E2360)</f>
        <v>133.33712619</v>
      </c>
      <c r="G2360" s="107" t="n">
        <f aca="false">IF($C2360="","",$D2360*IFERROR(INDEX('تحليل التكلفة والسعر'!$C$2:$C$700,MATCH($C2360,'تحليل التكلفة والسعر'!$B$2:$B$700,0)),0))</f>
        <v>60.009578607625</v>
      </c>
      <c r="H2360" s="104" t="s">
        <v>719</v>
      </c>
    </row>
    <row r="2361" customFormat="false" ht="15" hidden="false" customHeight="false" outlineLevel="0" collapsed="false">
      <c r="A2361" s="103" t="n">
        <v>46303</v>
      </c>
      <c r="B2361" s="104" t="s">
        <v>34</v>
      </c>
      <c r="C2361" s="104" t="s">
        <v>438</v>
      </c>
      <c r="D2361" s="105" t="n">
        <v>1.1667</v>
      </c>
      <c r="E2361" s="106" t="n">
        <v>114.2857</v>
      </c>
      <c r="F2361" s="107" t="n">
        <f aca="false">IF($C2361="","",$D2361*$E2361)</f>
        <v>133.33712619</v>
      </c>
      <c r="G2361" s="107" t="n">
        <f aca="false">IF($C2361="","",$D2361*IFERROR(INDEX('تحليل التكلفة والسعر'!$C$2:$C$700,MATCH($C2361,'تحليل التكلفة والسعر'!$B$2:$B$700,0)),0))</f>
        <v>60.009578607625</v>
      </c>
      <c r="H2361" s="104" t="s">
        <v>719</v>
      </c>
    </row>
    <row r="2362" customFormat="false" ht="15" hidden="false" customHeight="false" outlineLevel="0" collapsed="false">
      <c r="A2362" s="103" t="n">
        <v>46304</v>
      </c>
      <c r="B2362" s="104" t="s">
        <v>34</v>
      </c>
      <c r="C2362" s="104" t="s">
        <v>438</v>
      </c>
      <c r="D2362" s="105" t="n">
        <v>1.1667</v>
      </c>
      <c r="E2362" s="106" t="n">
        <v>114.2857</v>
      </c>
      <c r="F2362" s="107" t="n">
        <f aca="false">IF($C2362="","",$D2362*$E2362)</f>
        <v>133.33712619</v>
      </c>
      <c r="G2362" s="107" t="n">
        <f aca="false">IF($C2362="","",$D2362*IFERROR(INDEX('تحليل التكلفة والسعر'!$C$2:$C$700,MATCH($C2362,'تحليل التكلفة والسعر'!$B$2:$B$700,0)),0))</f>
        <v>60.009578607625</v>
      </c>
      <c r="H2362" s="104" t="s">
        <v>719</v>
      </c>
    </row>
    <row r="2363" customFormat="false" ht="15" hidden="false" customHeight="false" outlineLevel="0" collapsed="false">
      <c r="A2363" s="103" t="n">
        <v>46305</v>
      </c>
      <c r="B2363" s="104" t="s">
        <v>34</v>
      </c>
      <c r="C2363" s="104" t="s">
        <v>438</v>
      </c>
      <c r="D2363" s="105" t="n">
        <v>1.1667</v>
      </c>
      <c r="E2363" s="106" t="n">
        <v>114.2857</v>
      </c>
      <c r="F2363" s="107" t="n">
        <f aca="false">IF($C2363="","",$D2363*$E2363)</f>
        <v>133.33712619</v>
      </c>
      <c r="G2363" s="107" t="n">
        <f aca="false">IF($C2363="","",$D2363*IFERROR(INDEX('تحليل التكلفة والسعر'!$C$2:$C$700,MATCH($C2363,'تحليل التكلفة والسعر'!$B$2:$B$700,0)),0))</f>
        <v>60.009578607625</v>
      </c>
      <c r="H2363" s="104" t="s">
        <v>719</v>
      </c>
    </row>
    <row r="2364" customFormat="false" ht="15" hidden="false" customHeight="false" outlineLevel="0" collapsed="false">
      <c r="A2364" s="103" t="n">
        <v>46306</v>
      </c>
      <c r="B2364" s="104" t="s">
        <v>34</v>
      </c>
      <c r="C2364" s="104" t="s">
        <v>438</v>
      </c>
      <c r="D2364" s="105" t="n">
        <v>1.1667</v>
      </c>
      <c r="E2364" s="106" t="n">
        <v>114.2857</v>
      </c>
      <c r="F2364" s="107" t="n">
        <f aca="false">IF($C2364="","",$D2364*$E2364)</f>
        <v>133.33712619</v>
      </c>
      <c r="G2364" s="107" t="n">
        <f aca="false">IF($C2364="","",$D2364*IFERROR(INDEX('تحليل التكلفة والسعر'!$C$2:$C$700,MATCH($C2364,'تحليل التكلفة والسعر'!$B$2:$B$700,0)),0))</f>
        <v>60.009578607625</v>
      </c>
      <c r="H2364" s="104" t="s">
        <v>719</v>
      </c>
    </row>
    <row r="2365" customFormat="false" ht="15" hidden="false" customHeight="false" outlineLevel="0" collapsed="false">
      <c r="A2365" s="103" t="n">
        <v>46307</v>
      </c>
      <c r="B2365" s="104" t="s">
        <v>34</v>
      </c>
      <c r="C2365" s="104" t="s">
        <v>438</v>
      </c>
      <c r="D2365" s="105" t="n">
        <v>1.1667</v>
      </c>
      <c r="E2365" s="106" t="n">
        <v>114.2857</v>
      </c>
      <c r="F2365" s="107" t="n">
        <f aca="false">IF($C2365="","",$D2365*$E2365)</f>
        <v>133.33712619</v>
      </c>
      <c r="G2365" s="107" t="n">
        <f aca="false">IF($C2365="","",$D2365*IFERROR(INDEX('تحليل التكلفة والسعر'!$C$2:$C$700,MATCH($C2365,'تحليل التكلفة والسعر'!$B$2:$B$700,0)),0))</f>
        <v>60.009578607625</v>
      </c>
      <c r="H2365" s="104" t="s">
        <v>719</v>
      </c>
    </row>
    <row r="2366" customFormat="false" ht="15" hidden="false" customHeight="false" outlineLevel="0" collapsed="false">
      <c r="A2366" s="103" t="n">
        <v>46296</v>
      </c>
      <c r="B2366" s="104" t="s">
        <v>34</v>
      </c>
      <c r="C2366" s="104" t="s">
        <v>555</v>
      </c>
      <c r="D2366" s="105" t="n">
        <v>0.1667</v>
      </c>
      <c r="E2366" s="106" t="n">
        <v>170</v>
      </c>
      <c r="F2366" s="107" t="n">
        <f aca="false">IF($C2366="","",$D2366*$E2366)</f>
        <v>28.339</v>
      </c>
      <c r="G2366" s="107" t="n">
        <f aca="false">IF($C2366="","",$D2366*IFERROR(INDEX('تحليل التكلفة والسعر'!$C$2:$C$700,MATCH($C2366,'تحليل التكلفة والسعر'!$B$2:$B$700,0)),0))</f>
        <v>12.6028470792917</v>
      </c>
      <c r="H2366" s="104" t="s">
        <v>719</v>
      </c>
    </row>
    <row r="2367" customFormat="false" ht="15" hidden="false" customHeight="false" outlineLevel="0" collapsed="false">
      <c r="A2367" s="103" t="n">
        <v>46297</v>
      </c>
      <c r="B2367" s="104" t="s">
        <v>34</v>
      </c>
      <c r="C2367" s="104" t="s">
        <v>555</v>
      </c>
      <c r="D2367" s="105" t="n">
        <v>0.1667</v>
      </c>
      <c r="E2367" s="106" t="n">
        <v>170</v>
      </c>
      <c r="F2367" s="107" t="n">
        <f aca="false">IF($C2367="","",$D2367*$E2367)</f>
        <v>28.339</v>
      </c>
      <c r="G2367" s="107" t="n">
        <f aca="false">IF($C2367="","",$D2367*IFERROR(INDEX('تحليل التكلفة والسعر'!$C$2:$C$700,MATCH($C2367,'تحليل التكلفة والسعر'!$B$2:$B$700,0)),0))</f>
        <v>12.6028470792917</v>
      </c>
      <c r="H2367" s="104" t="s">
        <v>719</v>
      </c>
    </row>
    <row r="2368" customFormat="false" ht="15" hidden="false" customHeight="false" outlineLevel="0" collapsed="false">
      <c r="A2368" s="103" t="n">
        <v>46298</v>
      </c>
      <c r="B2368" s="104" t="s">
        <v>34</v>
      </c>
      <c r="C2368" s="104" t="s">
        <v>555</v>
      </c>
      <c r="D2368" s="105" t="n">
        <v>0.1667</v>
      </c>
      <c r="E2368" s="106" t="n">
        <v>170</v>
      </c>
      <c r="F2368" s="107" t="n">
        <f aca="false">IF($C2368="","",$D2368*$E2368)</f>
        <v>28.339</v>
      </c>
      <c r="G2368" s="107" t="n">
        <f aca="false">IF($C2368="","",$D2368*IFERROR(INDEX('تحليل التكلفة والسعر'!$C$2:$C$700,MATCH($C2368,'تحليل التكلفة والسعر'!$B$2:$B$700,0)),0))</f>
        <v>12.6028470792917</v>
      </c>
      <c r="H2368" s="104" t="s">
        <v>719</v>
      </c>
    </row>
    <row r="2369" customFormat="false" ht="15" hidden="false" customHeight="false" outlineLevel="0" collapsed="false">
      <c r="A2369" s="103" t="n">
        <v>46299</v>
      </c>
      <c r="B2369" s="104" t="s">
        <v>34</v>
      </c>
      <c r="C2369" s="104" t="s">
        <v>555</v>
      </c>
      <c r="D2369" s="105" t="n">
        <v>0.1667</v>
      </c>
      <c r="E2369" s="106" t="n">
        <v>170</v>
      </c>
      <c r="F2369" s="107" t="n">
        <f aca="false">IF($C2369="","",$D2369*$E2369)</f>
        <v>28.339</v>
      </c>
      <c r="G2369" s="107" t="n">
        <f aca="false">IF($C2369="","",$D2369*IFERROR(INDEX('تحليل التكلفة والسعر'!$C$2:$C$700,MATCH($C2369,'تحليل التكلفة والسعر'!$B$2:$B$700,0)),0))</f>
        <v>12.6028470792917</v>
      </c>
      <c r="H2369" s="104" t="s">
        <v>719</v>
      </c>
    </row>
    <row r="2370" customFormat="false" ht="15" hidden="false" customHeight="false" outlineLevel="0" collapsed="false">
      <c r="A2370" s="103" t="n">
        <v>46300</v>
      </c>
      <c r="B2370" s="104" t="s">
        <v>34</v>
      </c>
      <c r="C2370" s="104" t="s">
        <v>555</v>
      </c>
      <c r="D2370" s="105" t="n">
        <v>0.1667</v>
      </c>
      <c r="E2370" s="106" t="n">
        <v>170</v>
      </c>
      <c r="F2370" s="107" t="n">
        <f aca="false">IF($C2370="","",$D2370*$E2370)</f>
        <v>28.339</v>
      </c>
      <c r="G2370" s="107" t="n">
        <f aca="false">IF($C2370="","",$D2370*IFERROR(INDEX('تحليل التكلفة والسعر'!$C$2:$C$700,MATCH($C2370,'تحليل التكلفة والسعر'!$B$2:$B$700,0)),0))</f>
        <v>12.6028470792917</v>
      </c>
      <c r="H2370" s="104" t="s">
        <v>719</v>
      </c>
    </row>
    <row r="2371" customFormat="false" ht="15" hidden="false" customHeight="false" outlineLevel="0" collapsed="false">
      <c r="A2371" s="103" t="n">
        <v>46301</v>
      </c>
      <c r="B2371" s="104" t="s">
        <v>34</v>
      </c>
      <c r="C2371" s="104" t="s">
        <v>555</v>
      </c>
      <c r="D2371" s="105" t="n">
        <v>0.1667</v>
      </c>
      <c r="E2371" s="106" t="n">
        <v>170</v>
      </c>
      <c r="F2371" s="107" t="n">
        <f aca="false">IF($C2371="","",$D2371*$E2371)</f>
        <v>28.339</v>
      </c>
      <c r="G2371" s="107" t="n">
        <f aca="false">IF($C2371="","",$D2371*IFERROR(INDEX('تحليل التكلفة والسعر'!$C$2:$C$700,MATCH($C2371,'تحليل التكلفة والسعر'!$B$2:$B$700,0)),0))</f>
        <v>12.6028470792917</v>
      </c>
      <c r="H2371" s="104" t="s">
        <v>719</v>
      </c>
    </row>
    <row r="2372" customFormat="false" ht="15" hidden="false" customHeight="false" outlineLevel="0" collapsed="false">
      <c r="A2372" s="103" t="n">
        <v>46302</v>
      </c>
      <c r="B2372" s="104" t="s">
        <v>34</v>
      </c>
      <c r="C2372" s="104" t="s">
        <v>555</v>
      </c>
      <c r="D2372" s="105" t="n">
        <v>0.1667</v>
      </c>
      <c r="E2372" s="106" t="n">
        <v>170</v>
      </c>
      <c r="F2372" s="107" t="n">
        <f aca="false">IF($C2372="","",$D2372*$E2372)</f>
        <v>28.339</v>
      </c>
      <c r="G2372" s="107" t="n">
        <f aca="false">IF($C2372="","",$D2372*IFERROR(INDEX('تحليل التكلفة والسعر'!$C$2:$C$700,MATCH($C2372,'تحليل التكلفة والسعر'!$B$2:$B$700,0)),0))</f>
        <v>12.6028470792917</v>
      </c>
      <c r="H2372" s="104" t="s">
        <v>719</v>
      </c>
    </row>
    <row r="2373" customFormat="false" ht="15" hidden="false" customHeight="false" outlineLevel="0" collapsed="false">
      <c r="A2373" s="103" t="n">
        <v>46303</v>
      </c>
      <c r="B2373" s="104" t="s">
        <v>34</v>
      </c>
      <c r="C2373" s="104" t="s">
        <v>555</v>
      </c>
      <c r="D2373" s="105" t="n">
        <v>0.1667</v>
      </c>
      <c r="E2373" s="106" t="n">
        <v>170</v>
      </c>
      <c r="F2373" s="107" t="n">
        <f aca="false">IF($C2373="","",$D2373*$E2373)</f>
        <v>28.339</v>
      </c>
      <c r="G2373" s="107" t="n">
        <f aca="false">IF($C2373="","",$D2373*IFERROR(INDEX('تحليل التكلفة والسعر'!$C$2:$C$700,MATCH($C2373,'تحليل التكلفة والسعر'!$B$2:$B$700,0)),0))</f>
        <v>12.6028470792917</v>
      </c>
      <c r="H2373" s="104" t="s">
        <v>719</v>
      </c>
    </row>
    <row r="2374" customFormat="false" ht="15" hidden="false" customHeight="false" outlineLevel="0" collapsed="false">
      <c r="A2374" s="103" t="n">
        <v>46304</v>
      </c>
      <c r="B2374" s="104" t="s">
        <v>34</v>
      </c>
      <c r="C2374" s="104" t="s">
        <v>555</v>
      </c>
      <c r="D2374" s="105" t="n">
        <v>0.1667</v>
      </c>
      <c r="E2374" s="106" t="n">
        <v>170</v>
      </c>
      <c r="F2374" s="107" t="n">
        <f aca="false">IF($C2374="","",$D2374*$E2374)</f>
        <v>28.339</v>
      </c>
      <c r="G2374" s="107" t="n">
        <f aca="false">IF($C2374="","",$D2374*IFERROR(INDEX('تحليل التكلفة والسعر'!$C$2:$C$700,MATCH($C2374,'تحليل التكلفة والسعر'!$B$2:$B$700,0)),0))</f>
        <v>12.6028470792917</v>
      </c>
      <c r="H2374" s="104" t="s">
        <v>719</v>
      </c>
    </row>
    <row r="2375" customFormat="false" ht="15" hidden="false" customHeight="false" outlineLevel="0" collapsed="false">
      <c r="A2375" s="103" t="n">
        <v>46305</v>
      </c>
      <c r="B2375" s="104" t="s">
        <v>34</v>
      </c>
      <c r="C2375" s="104" t="s">
        <v>555</v>
      </c>
      <c r="D2375" s="105" t="n">
        <v>0.1667</v>
      </c>
      <c r="E2375" s="106" t="n">
        <v>170</v>
      </c>
      <c r="F2375" s="107" t="n">
        <f aca="false">IF($C2375="","",$D2375*$E2375)</f>
        <v>28.339</v>
      </c>
      <c r="G2375" s="107" t="n">
        <f aca="false">IF($C2375="","",$D2375*IFERROR(INDEX('تحليل التكلفة والسعر'!$C$2:$C$700,MATCH($C2375,'تحليل التكلفة والسعر'!$B$2:$B$700,0)),0))</f>
        <v>12.6028470792917</v>
      </c>
      <c r="H2375" s="104" t="s">
        <v>719</v>
      </c>
    </row>
    <row r="2376" customFormat="false" ht="15" hidden="false" customHeight="false" outlineLevel="0" collapsed="false">
      <c r="A2376" s="103" t="n">
        <v>46306</v>
      </c>
      <c r="B2376" s="104" t="s">
        <v>34</v>
      </c>
      <c r="C2376" s="104" t="s">
        <v>555</v>
      </c>
      <c r="D2376" s="105" t="n">
        <v>0.1667</v>
      </c>
      <c r="E2376" s="106" t="n">
        <v>170</v>
      </c>
      <c r="F2376" s="107" t="n">
        <f aca="false">IF($C2376="","",$D2376*$E2376)</f>
        <v>28.339</v>
      </c>
      <c r="G2376" s="107" t="n">
        <f aca="false">IF($C2376="","",$D2376*IFERROR(INDEX('تحليل التكلفة والسعر'!$C$2:$C$700,MATCH($C2376,'تحليل التكلفة والسعر'!$B$2:$B$700,0)),0))</f>
        <v>12.6028470792917</v>
      </c>
      <c r="H2376" s="104" t="s">
        <v>719</v>
      </c>
    </row>
    <row r="2377" customFormat="false" ht="15" hidden="false" customHeight="false" outlineLevel="0" collapsed="false">
      <c r="A2377" s="103" t="n">
        <v>46307</v>
      </c>
      <c r="B2377" s="104" t="s">
        <v>34</v>
      </c>
      <c r="C2377" s="104" t="s">
        <v>555</v>
      </c>
      <c r="D2377" s="105" t="n">
        <v>0.1667</v>
      </c>
      <c r="E2377" s="106" t="n">
        <v>170</v>
      </c>
      <c r="F2377" s="107" t="n">
        <f aca="false">IF($C2377="","",$D2377*$E2377)</f>
        <v>28.339</v>
      </c>
      <c r="G2377" s="107" t="n">
        <f aca="false">IF($C2377="","",$D2377*IFERROR(INDEX('تحليل التكلفة والسعر'!$C$2:$C$700,MATCH($C2377,'تحليل التكلفة والسعر'!$B$2:$B$700,0)),0))</f>
        <v>12.6028470792917</v>
      </c>
      <c r="H2377" s="104" t="s">
        <v>719</v>
      </c>
    </row>
    <row r="2378" customFormat="false" ht="15" hidden="false" customHeight="false" outlineLevel="0" collapsed="false">
      <c r="A2378" s="103" t="n">
        <v>46296</v>
      </c>
      <c r="B2378" s="104" t="s">
        <v>34</v>
      </c>
      <c r="C2378" s="104" t="s">
        <v>449</v>
      </c>
      <c r="D2378" s="105" t="n">
        <v>1.0833</v>
      </c>
      <c r="E2378" s="106" t="n">
        <v>117.6923</v>
      </c>
      <c r="F2378" s="107" t="n">
        <f aca="false">IF($C2378="","",$D2378*$E2378)</f>
        <v>127.49606859</v>
      </c>
      <c r="G2378" s="107" t="n">
        <f aca="false">IF($C2378="","",$D2378*IFERROR(INDEX('تحليل التكلفة والسعر'!$C$2:$C$700,MATCH($C2378,'تحليل التكلفة والسعر'!$B$2:$B$700,0)),0))</f>
        <v>54.817105524875</v>
      </c>
      <c r="H2378" s="104" t="s">
        <v>719</v>
      </c>
    </row>
    <row r="2379" customFormat="false" ht="15" hidden="false" customHeight="false" outlineLevel="0" collapsed="false">
      <c r="A2379" s="103" t="n">
        <v>46297</v>
      </c>
      <c r="B2379" s="104" t="s">
        <v>34</v>
      </c>
      <c r="C2379" s="104" t="s">
        <v>449</v>
      </c>
      <c r="D2379" s="105" t="n">
        <v>1.0833</v>
      </c>
      <c r="E2379" s="106" t="n">
        <v>117.6923</v>
      </c>
      <c r="F2379" s="107" t="n">
        <f aca="false">IF($C2379="","",$D2379*$E2379)</f>
        <v>127.49606859</v>
      </c>
      <c r="G2379" s="107" t="n">
        <f aca="false">IF($C2379="","",$D2379*IFERROR(INDEX('تحليل التكلفة والسعر'!$C$2:$C$700,MATCH($C2379,'تحليل التكلفة والسعر'!$B$2:$B$700,0)),0))</f>
        <v>54.817105524875</v>
      </c>
      <c r="H2379" s="104" t="s">
        <v>719</v>
      </c>
    </row>
    <row r="2380" customFormat="false" ht="15" hidden="false" customHeight="false" outlineLevel="0" collapsed="false">
      <c r="A2380" s="103" t="n">
        <v>46298</v>
      </c>
      <c r="B2380" s="104" t="s">
        <v>34</v>
      </c>
      <c r="C2380" s="104" t="s">
        <v>449</v>
      </c>
      <c r="D2380" s="105" t="n">
        <v>1.0833</v>
      </c>
      <c r="E2380" s="106" t="n">
        <v>117.6923</v>
      </c>
      <c r="F2380" s="107" t="n">
        <f aca="false">IF($C2380="","",$D2380*$E2380)</f>
        <v>127.49606859</v>
      </c>
      <c r="G2380" s="107" t="n">
        <f aca="false">IF($C2380="","",$D2380*IFERROR(INDEX('تحليل التكلفة والسعر'!$C$2:$C$700,MATCH($C2380,'تحليل التكلفة والسعر'!$B$2:$B$700,0)),0))</f>
        <v>54.817105524875</v>
      </c>
      <c r="H2380" s="104" t="s">
        <v>719</v>
      </c>
    </row>
    <row r="2381" customFormat="false" ht="15" hidden="false" customHeight="false" outlineLevel="0" collapsed="false">
      <c r="A2381" s="103" t="n">
        <v>46299</v>
      </c>
      <c r="B2381" s="104" t="s">
        <v>34</v>
      </c>
      <c r="C2381" s="104" t="s">
        <v>449</v>
      </c>
      <c r="D2381" s="105" t="n">
        <v>1.0833</v>
      </c>
      <c r="E2381" s="106" t="n">
        <v>117.6923</v>
      </c>
      <c r="F2381" s="107" t="n">
        <f aca="false">IF($C2381="","",$D2381*$E2381)</f>
        <v>127.49606859</v>
      </c>
      <c r="G2381" s="107" t="n">
        <f aca="false">IF($C2381="","",$D2381*IFERROR(INDEX('تحليل التكلفة والسعر'!$C$2:$C$700,MATCH($C2381,'تحليل التكلفة والسعر'!$B$2:$B$700,0)),0))</f>
        <v>54.817105524875</v>
      </c>
      <c r="H2381" s="104" t="s">
        <v>719</v>
      </c>
    </row>
    <row r="2382" customFormat="false" ht="15" hidden="false" customHeight="false" outlineLevel="0" collapsed="false">
      <c r="A2382" s="103" t="n">
        <v>46300</v>
      </c>
      <c r="B2382" s="104" t="s">
        <v>34</v>
      </c>
      <c r="C2382" s="104" t="s">
        <v>449</v>
      </c>
      <c r="D2382" s="105" t="n">
        <v>1.0833</v>
      </c>
      <c r="E2382" s="106" t="n">
        <v>117.6923</v>
      </c>
      <c r="F2382" s="107" t="n">
        <f aca="false">IF($C2382="","",$D2382*$E2382)</f>
        <v>127.49606859</v>
      </c>
      <c r="G2382" s="107" t="n">
        <f aca="false">IF($C2382="","",$D2382*IFERROR(INDEX('تحليل التكلفة والسعر'!$C$2:$C$700,MATCH($C2382,'تحليل التكلفة والسعر'!$B$2:$B$700,0)),0))</f>
        <v>54.817105524875</v>
      </c>
      <c r="H2382" s="104" t="s">
        <v>719</v>
      </c>
    </row>
    <row r="2383" customFormat="false" ht="15" hidden="false" customHeight="false" outlineLevel="0" collapsed="false">
      <c r="A2383" s="103" t="n">
        <v>46301</v>
      </c>
      <c r="B2383" s="104" t="s">
        <v>34</v>
      </c>
      <c r="C2383" s="104" t="s">
        <v>449</v>
      </c>
      <c r="D2383" s="105" t="n">
        <v>1.0833</v>
      </c>
      <c r="E2383" s="106" t="n">
        <v>117.6923</v>
      </c>
      <c r="F2383" s="107" t="n">
        <f aca="false">IF($C2383="","",$D2383*$E2383)</f>
        <v>127.49606859</v>
      </c>
      <c r="G2383" s="107" t="n">
        <f aca="false">IF($C2383="","",$D2383*IFERROR(INDEX('تحليل التكلفة والسعر'!$C$2:$C$700,MATCH($C2383,'تحليل التكلفة والسعر'!$B$2:$B$700,0)),0))</f>
        <v>54.817105524875</v>
      </c>
      <c r="H2383" s="104" t="s">
        <v>719</v>
      </c>
    </row>
    <row r="2384" customFormat="false" ht="15" hidden="false" customHeight="false" outlineLevel="0" collapsed="false">
      <c r="A2384" s="103" t="n">
        <v>46302</v>
      </c>
      <c r="B2384" s="104" t="s">
        <v>34</v>
      </c>
      <c r="C2384" s="104" t="s">
        <v>449</v>
      </c>
      <c r="D2384" s="105" t="n">
        <v>1.0833</v>
      </c>
      <c r="E2384" s="106" t="n">
        <v>117.6923</v>
      </c>
      <c r="F2384" s="107" t="n">
        <f aca="false">IF($C2384="","",$D2384*$E2384)</f>
        <v>127.49606859</v>
      </c>
      <c r="G2384" s="107" t="n">
        <f aca="false">IF($C2384="","",$D2384*IFERROR(INDEX('تحليل التكلفة والسعر'!$C$2:$C$700,MATCH($C2384,'تحليل التكلفة والسعر'!$B$2:$B$700,0)),0))</f>
        <v>54.817105524875</v>
      </c>
      <c r="H2384" s="104" t="s">
        <v>719</v>
      </c>
    </row>
    <row r="2385" customFormat="false" ht="15" hidden="false" customHeight="false" outlineLevel="0" collapsed="false">
      <c r="A2385" s="103" t="n">
        <v>46303</v>
      </c>
      <c r="B2385" s="104" t="s">
        <v>34</v>
      </c>
      <c r="C2385" s="104" t="s">
        <v>449</v>
      </c>
      <c r="D2385" s="105" t="n">
        <v>1.0833</v>
      </c>
      <c r="E2385" s="106" t="n">
        <v>117.6923</v>
      </c>
      <c r="F2385" s="107" t="n">
        <f aca="false">IF($C2385="","",$D2385*$E2385)</f>
        <v>127.49606859</v>
      </c>
      <c r="G2385" s="107" t="n">
        <f aca="false">IF($C2385="","",$D2385*IFERROR(INDEX('تحليل التكلفة والسعر'!$C$2:$C$700,MATCH($C2385,'تحليل التكلفة والسعر'!$B$2:$B$700,0)),0))</f>
        <v>54.817105524875</v>
      </c>
      <c r="H2385" s="104" t="s">
        <v>719</v>
      </c>
    </row>
    <row r="2386" customFormat="false" ht="15" hidden="false" customHeight="false" outlineLevel="0" collapsed="false">
      <c r="A2386" s="103" t="n">
        <v>46304</v>
      </c>
      <c r="B2386" s="104" t="s">
        <v>34</v>
      </c>
      <c r="C2386" s="104" t="s">
        <v>449</v>
      </c>
      <c r="D2386" s="105" t="n">
        <v>1.0833</v>
      </c>
      <c r="E2386" s="106" t="n">
        <v>117.6923</v>
      </c>
      <c r="F2386" s="107" t="n">
        <f aca="false">IF($C2386="","",$D2386*$E2386)</f>
        <v>127.49606859</v>
      </c>
      <c r="G2386" s="107" t="n">
        <f aca="false">IF($C2386="","",$D2386*IFERROR(INDEX('تحليل التكلفة والسعر'!$C$2:$C$700,MATCH($C2386,'تحليل التكلفة والسعر'!$B$2:$B$700,0)),0))</f>
        <v>54.817105524875</v>
      </c>
      <c r="H2386" s="104" t="s">
        <v>719</v>
      </c>
    </row>
    <row r="2387" customFormat="false" ht="15" hidden="false" customHeight="false" outlineLevel="0" collapsed="false">
      <c r="A2387" s="103" t="n">
        <v>46305</v>
      </c>
      <c r="B2387" s="104" t="s">
        <v>34</v>
      </c>
      <c r="C2387" s="104" t="s">
        <v>449</v>
      </c>
      <c r="D2387" s="105" t="n">
        <v>1.0833</v>
      </c>
      <c r="E2387" s="106" t="n">
        <v>117.6923</v>
      </c>
      <c r="F2387" s="107" t="n">
        <f aca="false">IF($C2387="","",$D2387*$E2387)</f>
        <v>127.49606859</v>
      </c>
      <c r="G2387" s="107" t="n">
        <f aca="false">IF($C2387="","",$D2387*IFERROR(INDEX('تحليل التكلفة والسعر'!$C$2:$C$700,MATCH($C2387,'تحليل التكلفة والسعر'!$B$2:$B$700,0)),0))</f>
        <v>54.817105524875</v>
      </c>
      <c r="H2387" s="104" t="s">
        <v>719</v>
      </c>
    </row>
    <row r="2388" customFormat="false" ht="15" hidden="false" customHeight="false" outlineLevel="0" collapsed="false">
      <c r="A2388" s="103" t="n">
        <v>46306</v>
      </c>
      <c r="B2388" s="104" t="s">
        <v>34</v>
      </c>
      <c r="C2388" s="104" t="s">
        <v>449</v>
      </c>
      <c r="D2388" s="105" t="n">
        <v>1.0833</v>
      </c>
      <c r="E2388" s="106" t="n">
        <v>117.6923</v>
      </c>
      <c r="F2388" s="107" t="n">
        <f aca="false">IF($C2388="","",$D2388*$E2388)</f>
        <v>127.49606859</v>
      </c>
      <c r="G2388" s="107" t="n">
        <f aca="false">IF($C2388="","",$D2388*IFERROR(INDEX('تحليل التكلفة والسعر'!$C$2:$C$700,MATCH($C2388,'تحليل التكلفة والسعر'!$B$2:$B$700,0)),0))</f>
        <v>54.817105524875</v>
      </c>
      <c r="H2388" s="104" t="s">
        <v>719</v>
      </c>
    </row>
    <row r="2389" customFormat="false" ht="15" hidden="false" customHeight="false" outlineLevel="0" collapsed="false">
      <c r="A2389" s="103" t="n">
        <v>46307</v>
      </c>
      <c r="B2389" s="104" t="s">
        <v>34</v>
      </c>
      <c r="C2389" s="104" t="s">
        <v>449</v>
      </c>
      <c r="D2389" s="105" t="n">
        <v>1.0833</v>
      </c>
      <c r="E2389" s="106" t="n">
        <v>117.6923</v>
      </c>
      <c r="F2389" s="107" t="n">
        <f aca="false">IF($C2389="","",$D2389*$E2389)</f>
        <v>127.49606859</v>
      </c>
      <c r="G2389" s="107" t="n">
        <f aca="false">IF($C2389="","",$D2389*IFERROR(INDEX('تحليل التكلفة والسعر'!$C$2:$C$700,MATCH($C2389,'تحليل التكلفة والسعر'!$B$2:$B$700,0)),0))</f>
        <v>54.817105524875</v>
      </c>
      <c r="H2389" s="104" t="s">
        <v>719</v>
      </c>
    </row>
    <row r="2390" customFormat="false" ht="15" hidden="false" customHeight="false" outlineLevel="0" collapsed="false">
      <c r="A2390" s="103" t="n">
        <v>46296</v>
      </c>
      <c r="B2390" s="104" t="s">
        <v>34</v>
      </c>
      <c r="C2390" s="104" t="s">
        <v>450</v>
      </c>
      <c r="D2390" s="105" t="n">
        <v>0.3333</v>
      </c>
      <c r="E2390" s="106" t="n">
        <v>115</v>
      </c>
      <c r="F2390" s="107" t="n">
        <f aca="false">IF($C2390="","",$D2390*$E2390)</f>
        <v>38.3295</v>
      </c>
      <c r="G2390" s="107" t="n">
        <f aca="false">IF($C2390="","",$D2390*IFERROR(INDEX('تحليل التكلفة والسعر'!$C$2:$C$700,MATCH($C2390,'تحليل التكلفة والسعر'!$B$2:$B$700,0)),0))</f>
        <v>23.025684562375</v>
      </c>
      <c r="H2390" s="104" t="s">
        <v>719</v>
      </c>
    </row>
    <row r="2391" customFormat="false" ht="15" hidden="false" customHeight="false" outlineLevel="0" collapsed="false">
      <c r="A2391" s="103" t="n">
        <v>46297</v>
      </c>
      <c r="B2391" s="104" t="s">
        <v>34</v>
      </c>
      <c r="C2391" s="104" t="s">
        <v>450</v>
      </c>
      <c r="D2391" s="105" t="n">
        <v>0.3333</v>
      </c>
      <c r="E2391" s="106" t="n">
        <v>115</v>
      </c>
      <c r="F2391" s="107" t="n">
        <f aca="false">IF($C2391="","",$D2391*$E2391)</f>
        <v>38.3295</v>
      </c>
      <c r="G2391" s="107" t="n">
        <f aca="false">IF($C2391="","",$D2391*IFERROR(INDEX('تحليل التكلفة والسعر'!$C$2:$C$700,MATCH($C2391,'تحليل التكلفة والسعر'!$B$2:$B$700,0)),0))</f>
        <v>23.025684562375</v>
      </c>
      <c r="H2391" s="104" t="s">
        <v>719</v>
      </c>
    </row>
    <row r="2392" customFormat="false" ht="15" hidden="false" customHeight="false" outlineLevel="0" collapsed="false">
      <c r="A2392" s="103" t="n">
        <v>46298</v>
      </c>
      <c r="B2392" s="104" t="s">
        <v>34</v>
      </c>
      <c r="C2392" s="104" t="s">
        <v>450</v>
      </c>
      <c r="D2392" s="105" t="n">
        <v>0.3333</v>
      </c>
      <c r="E2392" s="106" t="n">
        <v>115</v>
      </c>
      <c r="F2392" s="107" t="n">
        <f aca="false">IF($C2392="","",$D2392*$E2392)</f>
        <v>38.3295</v>
      </c>
      <c r="G2392" s="107" t="n">
        <f aca="false">IF($C2392="","",$D2392*IFERROR(INDEX('تحليل التكلفة والسعر'!$C$2:$C$700,MATCH($C2392,'تحليل التكلفة والسعر'!$B$2:$B$700,0)),0))</f>
        <v>23.025684562375</v>
      </c>
      <c r="H2392" s="104" t="s">
        <v>719</v>
      </c>
    </row>
    <row r="2393" customFormat="false" ht="15" hidden="false" customHeight="false" outlineLevel="0" collapsed="false">
      <c r="A2393" s="103" t="n">
        <v>46299</v>
      </c>
      <c r="B2393" s="104" t="s">
        <v>34</v>
      </c>
      <c r="C2393" s="104" t="s">
        <v>450</v>
      </c>
      <c r="D2393" s="105" t="n">
        <v>0.3333</v>
      </c>
      <c r="E2393" s="106" t="n">
        <v>115</v>
      </c>
      <c r="F2393" s="107" t="n">
        <f aca="false">IF($C2393="","",$D2393*$E2393)</f>
        <v>38.3295</v>
      </c>
      <c r="G2393" s="107" t="n">
        <f aca="false">IF($C2393="","",$D2393*IFERROR(INDEX('تحليل التكلفة والسعر'!$C$2:$C$700,MATCH($C2393,'تحليل التكلفة والسعر'!$B$2:$B$700,0)),0))</f>
        <v>23.025684562375</v>
      </c>
      <c r="H2393" s="104" t="s">
        <v>719</v>
      </c>
    </row>
    <row r="2394" customFormat="false" ht="15" hidden="false" customHeight="false" outlineLevel="0" collapsed="false">
      <c r="A2394" s="103" t="n">
        <v>46300</v>
      </c>
      <c r="B2394" s="104" t="s">
        <v>34</v>
      </c>
      <c r="C2394" s="104" t="s">
        <v>450</v>
      </c>
      <c r="D2394" s="105" t="n">
        <v>0.3333</v>
      </c>
      <c r="E2394" s="106" t="n">
        <v>115</v>
      </c>
      <c r="F2394" s="107" t="n">
        <f aca="false">IF($C2394="","",$D2394*$E2394)</f>
        <v>38.3295</v>
      </c>
      <c r="G2394" s="107" t="n">
        <f aca="false">IF($C2394="","",$D2394*IFERROR(INDEX('تحليل التكلفة والسعر'!$C$2:$C$700,MATCH($C2394,'تحليل التكلفة والسعر'!$B$2:$B$700,0)),0))</f>
        <v>23.025684562375</v>
      </c>
      <c r="H2394" s="104" t="s">
        <v>719</v>
      </c>
    </row>
    <row r="2395" customFormat="false" ht="15" hidden="false" customHeight="false" outlineLevel="0" collapsed="false">
      <c r="A2395" s="103" t="n">
        <v>46301</v>
      </c>
      <c r="B2395" s="104" t="s">
        <v>34</v>
      </c>
      <c r="C2395" s="104" t="s">
        <v>450</v>
      </c>
      <c r="D2395" s="105" t="n">
        <v>0.3333</v>
      </c>
      <c r="E2395" s="106" t="n">
        <v>115</v>
      </c>
      <c r="F2395" s="107" t="n">
        <f aca="false">IF($C2395="","",$D2395*$E2395)</f>
        <v>38.3295</v>
      </c>
      <c r="G2395" s="107" t="n">
        <f aca="false">IF($C2395="","",$D2395*IFERROR(INDEX('تحليل التكلفة والسعر'!$C$2:$C$700,MATCH($C2395,'تحليل التكلفة والسعر'!$B$2:$B$700,0)),0))</f>
        <v>23.025684562375</v>
      </c>
      <c r="H2395" s="104" t="s">
        <v>719</v>
      </c>
    </row>
    <row r="2396" customFormat="false" ht="15" hidden="false" customHeight="false" outlineLevel="0" collapsed="false">
      <c r="A2396" s="103" t="n">
        <v>46302</v>
      </c>
      <c r="B2396" s="104" t="s">
        <v>34</v>
      </c>
      <c r="C2396" s="104" t="s">
        <v>450</v>
      </c>
      <c r="D2396" s="105" t="n">
        <v>0.3333</v>
      </c>
      <c r="E2396" s="106" t="n">
        <v>115</v>
      </c>
      <c r="F2396" s="107" t="n">
        <f aca="false">IF($C2396="","",$D2396*$E2396)</f>
        <v>38.3295</v>
      </c>
      <c r="G2396" s="107" t="n">
        <f aca="false">IF($C2396="","",$D2396*IFERROR(INDEX('تحليل التكلفة والسعر'!$C$2:$C$700,MATCH($C2396,'تحليل التكلفة والسعر'!$B$2:$B$700,0)),0))</f>
        <v>23.025684562375</v>
      </c>
      <c r="H2396" s="104" t="s">
        <v>719</v>
      </c>
    </row>
    <row r="2397" customFormat="false" ht="15" hidden="false" customHeight="false" outlineLevel="0" collapsed="false">
      <c r="A2397" s="103" t="n">
        <v>46303</v>
      </c>
      <c r="B2397" s="104" t="s">
        <v>34</v>
      </c>
      <c r="C2397" s="104" t="s">
        <v>450</v>
      </c>
      <c r="D2397" s="105" t="n">
        <v>0.3333</v>
      </c>
      <c r="E2397" s="106" t="n">
        <v>115</v>
      </c>
      <c r="F2397" s="107" t="n">
        <f aca="false">IF($C2397="","",$D2397*$E2397)</f>
        <v>38.3295</v>
      </c>
      <c r="G2397" s="107" t="n">
        <f aca="false">IF($C2397="","",$D2397*IFERROR(INDEX('تحليل التكلفة والسعر'!$C$2:$C$700,MATCH($C2397,'تحليل التكلفة والسعر'!$B$2:$B$700,0)),0))</f>
        <v>23.025684562375</v>
      </c>
      <c r="H2397" s="104" t="s">
        <v>719</v>
      </c>
    </row>
    <row r="2398" customFormat="false" ht="15" hidden="false" customHeight="false" outlineLevel="0" collapsed="false">
      <c r="A2398" s="103" t="n">
        <v>46304</v>
      </c>
      <c r="B2398" s="104" t="s">
        <v>34</v>
      </c>
      <c r="C2398" s="104" t="s">
        <v>450</v>
      </c>
      <c r="D2398" s="105" t="n">
        <v>0.3333</v>
      </c>
      <c r="E2398" s="106" t="n">
        <v>115</v>
      </c>
      <c r="F2398" s="107" t="n">
        <f aca="false">IF($C2398="","",$D2398*$E2398)</f>
        <v>38.3295</v>
      </c>
      <c r="G2398" s="107" t="n">
        <f aca="false">IF($C2398="","",$D2398*IFERROR(INDEX('تحليل التكلفة والسعر'!$C$2:$C$700,MATCH($C2398,'تحليل التكلفة والسعر'!$B$2:$B$700,0)),0))</f>
        <v>23.025684562375</v>
      </c>
      <c r="H2398" s="104" t="s">
        <v>719</v>
      </c>
    </row>
    <row r="2399" customFormat="false" ht="15" hidden="false" customHeight="false" outlineLevel="0" collapsed="false">
      <c r="A2399" s="103" t="n">
        <v>46305</v>
      </c>
      <c r="B2399" s="104" t="s">
        <v>34</v>
      </c>
      <c r="C2399" s="104" t="s">
        <v>450</v>
      </c>
      <c r="D2399" s="105" t="n">
        <v>0.3333</v>
      </c>
      <c r="E2399" s="106" t="n">
        <v>115</v>
      </c>
      <c r="F2399" s="107" t="n">
        <f aca="false">IF($C2399="","",$D2399*$E2399)</f>
        <v>38.3295</v>
      </c>
      <c r="G2399" s="107" t="n">
        <f aca="false">IF($C2399="","",$D2399*IFERROR(INDEX('تحليل التكلفة والسعر'!$C$2:$C$700,MATCH($C2399,'تحليل التكلفة والسعر'!$B$2:$B$700,0)),0))</f>
        <v>23.025684562375</v>
      </c>
      <c r="H2399" s="104" t="s">
        <v>719</v>
      </c>
    </row>
    <row r="2400" customFormat="false" ht="15" hidden="false" customHeight="false" outlineLevel="0" collapsed="false">
      <c r="A2400" s="103" t="n">
        <v>46306</v>
      </c>
      <c r="B2400" s="104" t="s">
        <v>34</v>
      </c>
      <c r="C2400" s="104" t="s">
        <v>450</v>
      </c>
      <c r="D2400" s="105" t="n">
        <v>0.3333</v>
      </c>
      <c r="E2400" s="106" t="n">
        <v>115</v>
      </c>
      <c r="F2400" s="107" t="n">
        <f aca="false">IF($C2400="","",$D2400*$E2400)</f>
        <v>38.3295</v>
      </c>
      <c r="G2400" s="107" t="n">
        <f aca="false">IF($C2400="","",$D2400*IFERROR(INDEX('تحليل التكلفة والسعر'!$C$2:$C$700,MATCH($C2400,'تحليل التكلفة والسعر'!$B$2:$B$700,0)),0))</f>
        <v>23.025684562375</v>
      </c>
      <c r="H2400" s="104" t="s">
        <v>719</v>
      </c>
    </row>
    <row r="2401" customFormat="false" ht="15" hidden="false" customHeight="false" outlineLevel="0" collapsed="false">
      <c r="A2401" s="103" t="n">
        <v>46307</v>
      </c>
      <c r="B2401" s="104" t="s">
        <v>34</v>
      </c>
      <c r="C2401" s="104" t="s">
        <v>450</v>
      </c>
      <c r="D2401" s="105" t="n">
        <v>0.3333</v>
      </c>
      <c r="E2401" s="106" t="n">
        <v>115</v>
      </c>
      <c r="F2401" s="107" t="n">
        <f aca="false">IF($C2401="","",$D2401*$E2401)</f>
        <v>38.3295</v>
      </c>
      <c r="G2401" s="107" t="n">
        <f aca="false">IF($C2401="","",$D2401*IFERROR(INDEX('تحليل التكلفة والسعر'!$C$2:$C$700,MATCH($C2401,'تحليل التكلفة والسعر'!$B$2:$B$700,0)),0))</f>
        <v>23.025684562375</v>
      </c>
      <c r="H2401" s="104" t="s">
        <v>719</v>
      </c>
    </row>
    <row r="2402" customFormat="false" ht="15" hidden="false" customHeight="false" outlineLevel="0" collapsed="false">
      <c r="A2402" s="103" t="n">
        <v>46296</v>
      </c>
      <c r="B2402" s="104" t="s">
        <v>34</v>
      </c>
      <c r="C2402" s="104" t="s">
        <v>434</v>
      </c>
      <c r="D2402" s="105" t="n">
        <v>3.5</v>
      </c>
      <c r="E2402" s="106" t="n">
        <v>130.7143</v>
      </c>
      <c r="F2402" s="107" t="n">
        <f aca="false">IF($C2402="","",$D2402*$E2402)</f>
        <v>457.50005</v>
      </c>
      <c r="G2402" s="107" t="n">
        <f aca="false">IF($C2402="","",$D2402*IFERROR(INDEX('تحليل التكلفة والسعر'!$C$2:$C$700,MATCH($C2402,'تحليل التكلفة والسعر'!$B$2:$B$700,0)),0))</f>
        <v>222.878817291667</v>
      </c>
      <c r="H2402" s="104" t="s">
        <v>719</v>
      </c>
    </row>
    <row r="2403" customFormat="false" ht="15" hidden="false" customHeight="false" outlineLevel="0" collapsed="false">
      <c r="A2403" s="103" t="n">
        <v>46297</v>
      </c>
      <c r="B2403" s="104" t="s">
        <v>34</v>
      </c>
      <c r="C2403" s="104" t="s">
        <v>434</v>
      </c>
      <c r="D2403" s="105" t="n">
        <v>3.5</v>
      </c>
      <c r="E2403" s="106" t="n">
        <v>130.7143</v>
      </c>
      <c r="F2403" s="107" t="n">
        <f aca="false">IF($C2403="","",$D2403*$E2403)</f>
        <v>457.50005</v>
      </c>
      <c r="G2403" s="107" t="n">
        <f aca="false">IF($C2403="","",$D2403*IFERROR(INDEX('تحليل التكلفة والسعر'!$C$2:$C$700,MATCH($C2403,'تحليل التكلفة والسعر'!$B$2:$B$700,0)),0))</f>
        <v>222.878817291667</v>
      </c>
      <c r="H2403" s="104" t="s">
        <v>719</v>
      </c>
    </row>
    <row r="2404" customFormat="false" ht="15" hidden="false" customHeight="false" outlineLevel="0" collapsed="false">
      <c r="A2404" s="103" t="n">
        <v>46298</v>
      </c>
      <c r="B2404" s="104" t="s">
        <v>34</v>
      </c>
      <c r="C2404" s="104" t="s">
        <v>434</v>
      </c>
      <c r="D2404" s="105" t="n">
        <v>3.5</v>
      </c>
      <c r="E2404" s="106" t="n">
        <v>130.7143</v>
      </c>
      <c r="F2404" s="107" t="n">
        <f aca="false">IF($C2404="","",$D2404*$E2404)</f>
        <v>457.50005</v>
      </c>
      <c r="G2404" s="107" t="n">
        <f aca="false">IF($C2404="","",$D2404*IFERROR(INDEX('تحليل التكلفة والسعر'!$C$2:$C$700,MATCH($C2404,'تحليل التكلفة والسعر'!$B$2:$B$700,0)),0))</f>
        <v>222.878817291667</v>
      </c>
      <c r="H2404" s="104" t="s">
        <v>719</v>
      </c>
    </row>
    <row r="2405" customFormat="false" ht="15" hidden="false" customHeight="false" outlineLevel="0" collapsed="false">
      <c r="A2405" s="103" t="n">
        <v>46299</v>
      </c>
      <c r="B2405" s="104" t="s">
        <v>34</v>
      </c>
      <c r="C2405" s="104" t="s">
        <v>434</v>
      </c>
      <c r="D2405" s="105" t="n">
        <v>3.5</v>
      </c>
      <c r="E2405" s="106" t="n">
        <v>130.7143</v>
      </c>
      <c r="F2405" s="107" t="n">
        <f aca="false">IF($C2405="","",$D2405*$E2405)</f>
        <v>457.50005</v>
      </c>
      <c r="G2405" s="107" t="n">
        <f aca="false">IF($C2405="","",$D2405*IFERROR(INDEX('تحليل التكلفة والسعر'!$C$2:$C$700,MATCH($C2405,'تحليل التكلفة والسعر'!$B$2:$B$700,0)),0))</f>
        <v>222.878817291667</v>
      </c>
      <c r="H2405" s="104" t="s">
        <v>719</v>
      </c>
    </row>
    <row r="2406" customFormat="false" ht="15" hidden="false" customHeight="false" outlineLevel="0" collapsed="false">
      <c r="A2406" s="103" t="n">
        <v>46300</v>
      </c>
      <c r="B2406" s="104" t="s">
        <v>34</v>
      </c>
      <c r="C2406" s="104" t="s">
        <v>434</v>
      </c>
      <c r="D2406" s="105" t="n">
        <v>3.5</v>
      </c>
      <c r="E2406" s="106" t="n">
        <v>130.7143</v>
      </c>
      <c r="F2406" s="107" t="n">
        <f aca="false">IF($C2406="","",$D2406*$E2406)</f>
        <v>457.50005</v>
      </c>
      <c r="G2406" s="107" t="n">
        <f aca="false">IF($C2406="","",$D2406*IFERROR(INDEX('تحليل التكلفة والسعر'!$C$2:$C$700,MATCH($C2406,'تحليل التكلفة والسعر'!$B$2:$B$700,0)),0))</f>
        <v>222.878817291667</v>
      </c>
      <c r="H2406" s="104" t="s">
        <v>719</v>
      </c>
    </row>
    <row r="2407" customFormat="false" ht="15" hidden="false" customHeight="false" outlineLevel="0" collapsed="false">
      <c r="A2407" s="103" t="n">
        <v>46301</v>
      </c>
      <c r="B2407" s="104" t="s">
        <v>34</v>
      </c>
      <c r="C2407" s="104" t="s">
        <v>434</v>
      </c>
      <c r="D2407" s="105" t="n">
        <v>3.5</v>
      </c>
      <c r="E2407" s="106" t="n">
        <v>130.7143</v>
      </c>
      <c r="F2407" s="107" t="n">
        <f aca="false">IF($C2407="","",$D2407*$E2407)</f>
        <v>457.50005</v>
      </c>
      <c r="G2407" s="107" t="n">
        <f aca="false">IF($C2407="","",$D2407*IFERROR(INDEX('تحليل التكلفة والسعر'!$C$2:$C$700,MATCH($C2407,'تحليل التكلفة والسعر'!$B$2:$B$700,0)),0))</f>
        <v>222.878817291667</v>
      </c>
      <c r="H2407" s="104" t="s">
        <v>719</v>
      </c>
    </row>
    <row r="2408" customFormat="false" ht="15" hidden="false" customHeight="false" outlineLevel="0" collapsed="false">
      <c r="A2408" s="103" t="n">
        <v>46302</v>
      </c>
      <c r="B2408" s="104" t="s">
        <v>34</v>
      </c>
      <c r="C2408" s="104" t="s">
        <v>434</v>
      </c>
      <c r="D2408" s="105" t="n">
        <v>3.5</v>
      </c>
      <c r="E2408" s="106" t="n">
        <v>130.7143</v>
      </c>
      <c r="F2408" s="107" t="n">
        <f aca="false">IF($C2408="","",$D2408*$E2408)</f>
        <v>457.50005</v>
      </c>
      <c r="G2408" s="107" t="n">
        <f aca="false">IF($C2408="","",$D2408*IFERROR(INDEX('تحليل التكلفة والسعر'!$C$2:$C$700,MATCH($C2408,'تحليل التكلفة والسعر'!$B$2:$B$700,0)),0))</f>
        <v>222.878817291667</v>
      </c>
      <c r="H2408" s="104" t="s">
        <v>719</v>
      </c>
    </row>
    <row r="2409" customFormat="false" ht="15" hidden="false" customHeight="false" outlineLevel="0" collapsed="false">
      <c r="A2409" s="103" t="n">
        <v>46303</v>
      </c>
      <c r="B2409" s="104" t="s">
        <v>34</v>
      </c>
      <c r="C2409" s="104" t="s">
        <v>434</v>
      </c>
      <c r="D2409" s="105" t="n">
        <v>3.5</v>
      </c>
      <c r="E2409" s="106" t="n">
        <v>130.7143</v>
      </c>
      <c r="F2409" s="107" t="n">
        <f aca="false">IF($C2409="","",$D2409*$E2409)</f>
        <v>457.50005</v>
      </c>
      <c r="G2409" s="107" t="n">
        <f aca="false">IF($C2409="","",$D2409*IFERROR(INDEX('تحليل التكلفة والسعر'!$C$2:$C$700,MATCH($C2409,'تحليل التكلفة والسعر'!$B$2:$B$700,0)),0))</f>
        <v>222.878817291667</v>
      </c>
      <c r="H2409" s="104" t="s">
        <v>719</v>
      </c>
    </row>
    <row r="2410" customFormat="false" ht="15" hidden="false" customHeight="false" outlineLevel="0" collapsed="false">
      <c r="A2410" s="103" t="n">
        <v>46304</v>
      </c>
      <c r="B2410" s="104" t="s">
        <v>34</v>
      </c>
      <c r="C2410" s="104" t="s">
        <v>434</v>
      </c>
      <c r="D2410" s="105" t="n">
        <v>3.5</v>
      </c>
      <c r="E2410" s="106" t="n">
        <v>130.7143</v>
      </c>
      <c r="F2410" s="107" t="n">
        <f aca="false">IF($C2410="","",$D2410*$E2410)</f>
        <v>457.50005</v>
      </c>
      <c r="G2410" s="107" t="n">
        <f aca="false">IF($C2410="","",$D2410*IFERROR(INDEX('تحليل التكلفة والسعر'!$C$2:$C$700,MATCH($C2410,'تحليل التكلفة والسعر'!$B$2:$B$700,0)),0))</f>
        <v>222.878817291667</v>
      </c>
      <c r="H2410" s="104" t="s">
        <v>719</v>
      </c>
    </row>
    <row r="2411" customFormat="false" ht="15" hidden="false" customHeight="false" outlineLevel="0" collapsed="false">
      <c r="A2411" s="103" t="n">
        <v>46305</v>
      </c>
      <c r="B2411" s="104" t="s">
        <v>34</v>
      </c>
      <c r="C2411" s="104" t="s">
        <v>434</v>
      </c>
      <c r="D2411" s="105" t="n">
        <v>3.5</v>
      </c>
      <c r="E2411" s="106" t="n">
        <v>130.7143</v>
      </c>
      <c r="F2411" s="107" t="n">
        <f aca="false">IF($C2411="","",$D2411*$E2411)</f>
        <v>457.50005</v>
      </c>
      <c r="G2411" s="107" t="n">
        <f aca="false">IF($C2411="","",$D2411*IFERROR(INDEX('تحليل التكلفة والسعر'!$C$2:$C$700,MATCH($C2411,'تحليل التكلفة والسعر'!$B$2:$B$700,0)),0))</f>
        <v>222.878817291667</v>
      </c>
      <c r="H2411" s="104" t="s">
        <v>719</v>
      </c>
    </row>
    <row r="2412" customFormat="false" ht="15" hidden="false" customHeight="false" outlineLevel="0" collapsed="false">
      <c r="A2412" s="103" t="n">
        <v>46306</v>
      </c>
      <c r="B2412" s="104" t="s">
        <v>34</v>
      </c>
      <c r="C2412" s="104" t="s">
        <v>434</v>
      </c>
      <c r="D2412" s="105" t="n">
        <v>3.5</v>
      </c>
      <c r="E2412" s="106" t="n">
        <v>130.7143</v>
      </c>
      <c r="F2412" s="107" t="n">
        <f aca="false">IF($C2412="","",$D2412*$E2412)</f>
        <v>457.50005</v>
      </c>
      <c r="G2412" s="107" t="n">
        <f aca="false">IF($C2412="","",$D2412*IFERROR(INDEX('تحليل التكلفة والسعر'!$C$2:$C$700,MATCH($C2412,'تحليل التكلفة والسعر'!$B$2:$B$700,0)),0))</f>
        <v>222.878817291667</v>
      </c>
      <c r="H2412" s="104" t="s">
        <v>719</v>
      </c>
    </row>
    <row r="2413" customFormat="false" ht="15" hidden="false" customHeight="false" outlineLevel="0" collapsed="false">
      <c r="A2413" s="103" t="n">
        <v>46307</v>
      </c>
      <c r="B2413" s="104" t="s">
        <v>34</v>
      </c>
      <c r="C2413" s="104" t="s">
        <v>434</v>
      </c>
      <c r="D2413" s="105" t="n">
        <v>3.5</v>
      </c>
      <c r="E2413" s="106" t="n">
        <v>130.7143</v>
      </c>
      <c r="F2413" s="107" t="n">
        <f aca="false">IF($C2413="","",$D2413*$E2413)</f>
        <v>457.50005</v>
      </c>
      <c r="G2413" s="107" t="n">
        <f aca="false">IF($C2413="","",$D2413*IFERROR(INDEX('تحليل التكلفة والسعر'!$C$2:$C$700,MATCH($C2413,'تحليل التكلفة والسعر'!$B$2:$B$700,0)),0))</f>
        <v>222.878817291667</v>
      </c>
      <c r="H2413" s="104" t="s">
        <v>719</v>
      </c>
    </row>
    <row r="2414" customFormat="false" ht="15" hidden="false" customHeight="false" outlineLevel="0" collapsed="false">
      <c r="A2414" s="103" t="n">
        <v>46296</v>
      </c>
      <c r="B2414" s="104" t="s">
        <v>34</v>
      </c>
      <c r="C2414" s="104" t="s">
        <v>436</v>
      </c>
      <c r="D2414" s="105" t="n">
        <v>1.6667</v>
      </c>
      <c r="E2414" s="106" t="n">
        <v>132.5</v>
      </c>
      <c r="F2414" s="107" t="n">
        <f aca="false">IF($C2414="","",$D2414*$E2414)</f>
        <v>220.83775</v>
      </c>
      <c r="G2414" s="107" t="n">
        <f aca="false">IF($C2414="","",$D2414*IFERROR(INDEX('تحليل التكلفة والسعر'!$C$2:$C$700,MATCH($C2414,'تحليل التكلفة والسعر'!$B$2:$B$700,0)),0))</f>
        <v>100.156939904292</v>
      </c>
      <c r="H2414" s="104" t="s">
        <v>719</v>
      </c>
    </row>
    <row r="2415" customFormat="false" ht="15" hidden="false" customHeight="false" outlineLevel="0" collapsed="false">
      <c r="A2415" s="103" t="n">
        <v>46297</v>
      </c>
      <c r="B2415" s="104" t="s">
        <v>34</v>
      </c>
      <c r="C2415" s="104" t="s">
        <v>436</v>
      </c>
      <c r="D2415" s="105" t="n">
        <v>1.6667</v>
      </c>
      <c r="E2415" s="106" t="n">
        <v>132.5</v>
      </c>
      <c r="F2415" s="107" t="n">
        <f aca="false">IF($C2415="","",$D2415*$E2415)</f>
        <v>220.83775</v>
      </c>
      <c r="G2415" s="107" t="n">
        <f aca="false">IF($C2415="","",$D2415*IFERROR(INDEX('تحليل التكلفة والسعر'!$C$2:$C$700,MATCH($C2415,'تحليل التكلفة والسعر'!$B$2:$B$700,0)),0))</f>
        <v>100.156939904292</v>
      </c>
      <c r="H2415" s="104" t="s">
        <v>719</v>
      </c>
    </row>
    <row r="2416" customFormat="false" ht="15" hidden="false" customHeight="false" outlineLevel="0" collapsed="false">
      <c r="A2416" s="103" t="n">
        <v>46298</v>
      </c>
      <c r="B2416" s="104" t="s">
        <v>34</v>
      </c>
      <c r="C2416" s="104" t="s">
        <v>436</v>
      </c>
      <c r="D2416" s="105" t="n">
        <v>1.6667</v>
      </c>
      <c r="E2416" s="106" t="n">
        <v>132.5</v>
      </c>
      <c r="F2416" s="107" t="n">
        <f aca="false">IF($C2416="","",$D2416*$E2416)</f>
        <v>220.83775</v>
      </c>
      <c r="G2416" s="107" t="n">
        <f aca="false">IF($C2416="","",$D2416*IFERROR(INDEX('تحليل التكلفة والسعر'!$C$2:$C$700,MATCH($C2416,'تحليل التكلفة والسعر'!$B$2:$B$700,0)),0))</f>
        <v>100.156939904292</v>
      </c>
      <c r="H2416" s="104" t="s">
        <v>719</v>
      </c>
    </row>
    <row r="2417" customFormat="false" ht="15" hidden="false" customHeight="false" outlineLevel="0" collapsed="false">
      <c r="A2417" s="103" t="n">
        <v>46299</v>
      </c>
      <c r="B2417" s="104" t="s">
        <v>34</v>
      </c>
      <c r="C2417" s="104" t="s">
        <v>436</v>
      </c>
      <c r="D2417" s="105" t="n">
        <v>1.6667</v>
      </c>
      <c r="E2417" s="106" t="n">
        <v>132.5</v>
      </c>
      <c r="F2417" s="107" t="n">
        <f aca="false">IF($C2417="","",$D2417*$E2417)</f>
        <v>220.83775</v>
      </c>
      <c r="G2417" s="107" t="n">
        <f aca="false">IF($C2417="","",$D2417*IFERROR(INDEX('تحليل التكلفة والسعر'!$C$2:$C$700,MATCH($C2417,'تحليل التكلفة والسعر'!$B$2:$B$700,0)),0))</f>
        <v>100.156939904292</v>
      </c>
      <c r="H2417" s="104" t="s">
        <v>719</v>
      </c>
    </row>
    <row r="2418" customFormat="false" ht="15" hidden="false" customHeight="false" outlineLevel="0" collapsed="false">
      <c r="A2418" s="103" t="n">
        <v>46300</v>
      </c>
      <c r="B2418" s="104" t="s">
        <v>34</v>
      </c>
      <c r="C2418" s="104" t="s">
        <v>436</v>
      </c>
      <c r="D2418" s="105" t="n">
        <v>1.6667</v>
      </c>
      <c r="E2418" s="106" t="n">
        <v>132.5</v>
      </c>
      <c r="F2418" s="107" t="n">
        <f aca="false">IF($C2418="","",$D2418*$E2418)</f>
        <v>220.83775</v>
      </c>
      <c r="G2418" s="107" t="n">
        <f aca="false">IF($C2418="","",$D2418*IFERROR(INDEX('تحليل التكلفة والسعر'!$C$2:$C$700,MATCH($C2418,'تحليل التكلفة والسعر'!$B$2:$B$700,0)),0))</f>
        <v>100.156939904292</v>
      </c>
      <c r="H2418" s="104" t="s">
        <v>719</v>
      </c>
    </row>
    <row r="2419" customFormat="false" ht="15" hidden="false" customHeight="false" outlineLevel="0" collapsed="false">
      <c r="A2419" s="103" t="n">
        <v>46301</v>
      </c>
      <c r="B2419" s="104" t="s">
        <v>34</v>
      </c>
      <c r="C2419" s="104" t="s">
        <v>436</v>
      </c>
      <c r="D2419" s="105" t="n">
        <v>1.6667</v>
      </c>
      <c r="E2419" s="106" t="n">
        <v>132.5</v>
      </c>
      <c r="F2419" s="107" t="n">
        <f aca="false">IF($C2419="","",$D2419*$E2419)</f>
        <v>220.83775</v>
      </c>
      <c r="G2419" s="107" t="n">
        <f aca="false">IF($C2419="","",$D2419*IFERROR(INDEX('تحليل التكلفة والسعر'!$C$2:$C$700,MATCH($C2419,'تحليل التكلفة والسعر'!$B$2:$B$700,0)),0))</f>
        <v>100.156939904292</v>
      </c>
      <c r="H2419" s="104" t="s">
        <v>719</v>
      </c>
    </row>
    <row r="2420" customFormat="false" ht="15" hidden="false" customHeight="false" outlineLevel="0" collapsed="false">
      <c r="A2420" s="103" t="n">
        <v>46302</v>
      </c>
      <c r="B2420" s="104" t="s">
        <v>34</v>
      </c>
      <c r="C2420" s="104" t="s">
        <v>436</v>
      </c>
      <c r="D2420" s="105" t="n">
        <v>1.6667</v>
      </c>
      <c r="E2420" s="106" t="n">
        <v>132.5</v>
      </c>
      <c r="F2420" s="107" t="n">
        <f aca="false">IF($C2420="","",$D2420*$E2420)</f>
        <v>220.83775</v>
      </c>
      <c r="G2420" s="107" t="n">
        <f aca="false">IF($C2420="","",$D2420*IFERROR(INDEX('تحليل التكلفة والسعر'!$C$2:$C$700,MATCH($C2420,'تحليل التكلفة والسعر'!$B$2:$B$700,0)),0))</f>
        <v>100.156939904292</v>
      </c>
      <c r="H2420" s="104" t="s">
        <v>719</v>
      </c>
    </row>
    <row r="2421" customFormat="false" ht="15" hidden="false" customHeight="false" outlineLevel="0" collapsed="false">
      <c r="A2421" s="103" t="n">
        <v>46303</v>
      </c>
      <c r="B2421" s="104" t="s">
        <v>34</v>
      </c>
      <c r="C2421" s="104" t="s">
        <v>436</v>
      </c>
      <c r="D2421" s="105" t="n">
        <v>1.6667</v>
      </c>
      <c r="E2421" s="106" t="n">
        <v>132.5</v>
      </c>
      <c r="F2421" s="107" t="n">
        <f aca="false">IF($C2421="","",$D2421*$E2421)</f>
        <v>220.83775</v>
      </c>
      <c r="G2421" s="107" t="n">
        <f aca="false">IF($C2421="","",$D2421*IFERROR(INDEX('تحليل التكلفة والسعر'!$C$2:$C$700,MATCH($C2421,'تحليل التكلفة والسعر'!$B$2:$B$700,0)),0))</f>
        <v>100.156939904292</v>
      </c>
      <c r="H2421" s="104" t="s">
        <v>719</v>
      </c>
    </row>
    <row r="2422" customFormat="false" ht="15" hidden="false" customHeight="false" outlineLevel="0" collapsed="false">
      <c r="A2422" s="103" t="n">
        <v>46304</v>
      </c>
      <c r="B2422" s="104" t="s">
        <v>34</v>
      </c>
      <c r="C2422" s="104" t="s">
        <v>436</v>
      </c>
      <c r="D2422" s="105" t="n">
        <v>1.6667</v>
      </c>
      <c r="E2422" s="106" t="n">
        <v>132.5</v>
      </c>
      <c r="F2422" s="107" t="n">
        <f aca="false">IF($C2422="","",$D2422*$E2422)</f>
        <v>220.83775</v>
      </c>
      <c r="G2422" s="107" t="n">
        <f aca="false">IF($C2422="","",$D2422*IFERROR(INDEX('تحليل التكلفة والسعر'!$C$2:$C$700,MATCH($C2422,'تحليل التكلفة والسعر'!$B$2:$B$700,0)),0))</f>
        <v>100.156939904292</v>
      </c>
      <c r="H2422" s="104" t="s">
        <v>719</v>
      </c>
    </row>
    <row r="2423" customFormat="false" ht="15" hidden="false" customHeight="false" outlineLevel="0" collapsed="false">
      <c r="A2423" s="103" t="n">
        <v>46305</v>
      </c>
      <c r="B2423" s="104" t="s">
        <v>34</v>
      </c>
      <c r="C2423" s="104" t="s">
        <v>436</v>
      </c>
      <c r="D2423" s="105" t="n">
        <v>1.6667</v>
      </c>
      <c r="E2423" s="106" t="n">
        <v>132.5</v>
      </c>
      <c r="F2423" s="107" t="n">
        <f aca="false">IF($C2423="","",$D2423*$E2423)</f>
        <v>220.83775</v>
      </c>
      <c r="G2423" s="107" t="n">
        <f aca="false">IF($C2423="","",$D2423*IFERROR(INDEX('تحليل التكلفة والسعر'!$C$2:$C$700,MATCH($C2423,'تحليل التكلفة والسعر'!$B$2:$B$700,0)),0))</f>
        <v>100.156939904292</v>
      </c>
      <c r="H2423" s="104" t="s">
        <v>719</v>
      </c>
    </row>
    <row r="2424" customFormat="false" ht="15" hidden="false" customHeight="false" outlineLevel="0" collapsed="false">
      <c r="A2424" s="103" t="n">
        <v>46306</v>
      </c>
      <c r="B2424" s="104" t="s">
        <v>34</v>
      </c>
      <c r="C2424" s="104" t="s">
        <v>436</v>
      </c>
      <c r="D2424" s="105" t="n">
        <v>1.6667</v>
      </c>
      <c r="E2424" s="106" t="n">
        <v>132.5</v>
      </c>
      <c r="F2424" s="107" t="n">
        <f aca="false">IF($C2424="","",$D2424*$E2424)</f>
        <v>220.83775</v>
      </c>
      <c r="G2424" s="107" t="n">
        <f aca="false">IF($C2424="","",$D2424*IFERROR(INDEX('تحليل التكلفة والسعر'!$C$2:$C$700,MATCH($C2424,'تحليل التكلفة والسعر'!$B$2:$B$700,0)),0))</f>
        <v>100.156939904292</v>
      </c>
      <c r="H2424" s="104" t="s">
        <v>719</v>
      </c>
    </row>
    <row r="2425" customFormat="false" ht="15" hidden="false" customHeight="false" outlineLevel="0" collapsed="false">
      <c r="A2425" s="103" t="n">
        <v>46307</v>
      </c>
      <c r="B2425" s="104" t="s">
        <v>34</v>
      </c>
      <c r="C2425" s="104" t="s">
        <v>436</v>
      </c>
      <c r="D2425" s="105" t="n">
        <v>1.6667</v>
      </c>
      <c r="E2425" s="106" t="n">
        <v>132.5</v>
      </c>
      <c r="F2425" s="107" t="n">
        <f aca="false">IF($C2425="","",$D2425*$E2425)</f>
        <v>220.83775</v>
      </c>
      <c r="G2425" s="107" t="n">
        <f aca="false">IF($C2425="","",$D2425*IFERROR(INDEX('تحليل التكلفة والسعر'!$C$2:$C$700,MATCH($C2425,'تحليل التكلفة والسعر'!$B$2:$B$700,0)),0))</f>
        <v>100.156939904292</v>
      </c>
      <c r="H2425" s="104" t="s">
        <v>719</v>
      </c>
    </row>
    <row r="2426" customFormat="false" ht="15" hidden="false" customHeight="false" outlineLevel="0" collapsed="false">
      <c r="A2426" s="103" t="n">
        <v>46296</v>
      </c>
      <c r="B2426" s="104" t="s">
        <v>34</v>
      </c>
      <c r="C2426" s="104" t="s">
        <v>751</v>
      </c>
      <c r="D2426" s="105" t="n">
        <v>3.4167</v>
      </c>
      <c r="E2426" s="106" t="n">
        <v>162.8049</v>
      </c>
      <c r="F2426" s="107" t="n">
        <f aca="false">IF($C2426="","",$D2426*$E2426)</f>
        <v>556.25550183</v>
      </c>
      <c r="G2426" s="107" t="n">
        <f aca="false">IF($C2426="","",$D2426*IFERROR(INDEX('تحليل التكلفة والسعر'!$C$2:$C$700,MATCH($C2426,'تحليل التكلفة والسعر'!$B$2:$B$700,0)),0))</f>
        <v>299.0210319999</v>
      </c>
      <c r="H2426" s="104" t="s">
        <v>719</v>
      </c>
    </row>
    <row r="2427" customFormat="false" ht="15" hidden="false" customHeight="false" outlineLevel="0" collapsed="false">
      <c r="A2427" s="103" t="n">
        <v>46297</v>
      </c>
      <c r="B2427" s="104" t="s">
        <v>34</v>
      </c>
      <c r="C2427" s="104" t="s">
        <v>751</v>
      </c>
      <c r="D2427" s="105" t="n">
        <v>3.4167</v>
      </c>
      <c r="E2427" s="106" t="n">
        <v>162.8049</v>
      </c>
      <c r="F2427" s="107" t="n">
        <f aca="false">IF($C2427="","",$D2427*$E2427)</f>
        <v>556.25550183</v>
      </c>
      <c r="G2427" s="107" t="n">
        <f aca="false">IF($C2427="","",$D2427*IFERROR(INDEX('تحليل التكلفة والسعر'!$C$2:$C$700,MATCH($C2427,'تحليل التكلفة والسعر'!$B$2:$B$700,0)),0))</f>
        <v>299.0210319999</v>
      </c>
      <c r="H2427" s="104" t="s">
        <v>719</v>
      </c>
    </row>
    <row r="2428" customFormat="false" ht="15" hidden="false" customHeight="false" outlineLevel="0" collapsed="false">
      <c r="A2428" s="103" t="n">
        <v>46298</v>
      </c>
      <c r="B2428" s="104" t="s">
        <v>34</v>
      </c>
      <c r="C2428" s="104" t="s">
        <v>751</v>
      </c>
      <c r="D2428" s="105" t="n">
        <v>3.4167</v>
      </c>
      <c r="E2428" s="106" t="n">
        <v>162.8049</v>
      </c>
      <c r="F2428" s="107" t="n">
        <f aca="false">IF($C2428="","",$D2428*$E2428)</f>
        <v>556.25550183</v>
      </c>
      <c r="G2428" s="107" t="n">
        <f aca="false">IF($C2428="","",$D2428*IFERROR(INDEX('تحليل التكلفة والسعر'!$C$2:$C$700,MATCH($C2428,'تحليل التكلفة والسعر'!$B$2:$B$700,0)),0))</f>
        <v>299.0210319999</v>
      </c>
      <c r="H2428" s="104" t="s">
        <v>719</v>
      </c>
    </row>
    <row r="2429" customFormat="false" ht="15" hidden="false" customHeight="false" outlineLevel="0" collapsed="false">
      <c r="A2429" s="103" t="n">
        <v>46299</v>
      </c>
      <c r="B2429" s="104" t="s">
        <v>34</v>
      </c>
      <c r="C2429" s="104" t="s">
        <v>751</v>
      </c>
      <c r="D2429" s="105" t="n">
        <v>3.4167</v>
      </c>
      <c r="E2429" s="106" t="n">
        <v>162.8049</v>
      </c>
      <c r="F2429" s="107" t="n">
        <f aca="false">IF($C2429="","",$D2429*$E2429)</f>
        <v>556.25550183</v>
      </c>
      <c r="G2429" s="107" t="n">
        <f aca="false">IF($C2429="","",$D2429*IFERROR(INDEX('تحليل التكلفة والسعر'!$C$2:$C$700,MATCH($C2429,'تحليل التكلفة والسعر'!$B$2:$B$700,0)),0))</f>
        <v>299.0210319999</v>
      </c>
      <c r="H2429" s="104" t="s">
        <v>719</v>
      </c>
    </row>
    <row r="2430" customFormat="false" ht="15" hidden="false" customHeight="false" outlineLevel="0" collapsed="false">
      <c r="A2430" s="103" t="n">
        <v>46300</v>
      </c>
      <c r="B2430" s="104" t="s">
        <v>34</v>
      </c>
      <c r="C2430" s="104" t="s">
        <v>751</v>
      </c>
      <c r="D2430" s="105" t="n">
        <v>3.4167</v>
      </c>
      <c r="E2430" s="106" t="n">
        <v>162.8049</v>
      </c>
      <c r="F2430" s="107" t="n">
        <f aca="false">IF($C2430="","",$D2430*$E2430)</f>
        <v>556.25550183</v>
      </c>
      <c r="G2430" s="107" t="n">
        <f aca="false">IF($C2430="","",$D2430*IFERROR(INDEX('تحليل التكلفة والسعر'!$C$2:$C$700,MATCH($C2430,'تحليل التكلفة والسعر'!$B$2:$B$700,0)),0))</f>
        <v>299.0210319999</v>
      </c>
      <c r="H2430" s="104" t="s">
        <v>719</v>
      </c>
    </row>
    <row r="2431" customFormat="false" ht="15" hidden="false" customHeight="false" outlineLevel="0" collapsed="false">
      <c r="A2431" s="103" t="n">
        <v>46301</v>
      </c>
      <c r="B2431" s="104" t="s">
        <v>34</v>
      </c>
      <c r="C2431" s="104" t="s">
        <v>751</v>
      </c>
      <c r="D2431" s="105" t="n">
        <v>3.4167</v>
      </c>
      <c r="E2431" s="106" t="n">
        <v>162.8049</v>
      </c>
      <c r="F2431" s="107" t="n">
        <f aca="false">IF($C2431="","",$D2431*$E2431)</f>
        <v>556.25550183</v>
      </c>
      <c r="G2431" s="107" t="n">
        <f aca="false">IF($C2431="","",$D2431*IFERROR(INDEX('تحليل التكلفة والسعر'!$C$2:$C$700,MATCH($C2431,'تحليل التكلفة والسعر'!$B$2:$B$700,0)),0))</f>
        <v>299.0210319999</v>
      </c>
      <c r="H2431" s="104" t="s">
        <v>719</v>
      </c>
    </row>
    <row r="2432" customFormat="false" ht="15" hidden="false" customHeight="false" outlineLevel="0" collapsed="false">
      <c r="A2432" s="103" t="n">
        <v>46302</v>
      </c>
      <c r="B2432" s="104" t="s">
        <v>34</v>
      </c>
      <c r="C2432" s="104" t="s">
        <v>751</v>
      </c>
      <c r="D2432" s="105" t="n">
        <v>3.4167</v>
      </c>
      <c r="E2432" s="106" t="n">
        <v>162.8049</v>
      </c>
      <c r="F2432" s="107" t="n">
        <f aca="false">IF($C2432="","",$D2432*$E2432)</f>
        <v>556.25550183</v>
      </c>
      <c r="G2432" s="107" t="n">
        <f aca="false">IF($C2432="","",$D2432*IFERROR(INDEX('تحليل التكلفة والسعر'!$C$2:$C$700,MATCH($C2432,'تحليل التكلفة والسعر'!$B$2:$B$700,0)),0))</f>
        <v>299.0210319999</v>
      </c>
      <c r="H2432" s="104" t="s">
        <v>719</v>
      </c>
    </row>
    <row r="2433" customFormat="false" ht="15" hidden="false" customHeight="false" outlineLevel="0" collapsed="false">
      <c r="A2433" s="103" t="n">
        <v>46303</v>
      </c>
      <c r="B2433" s="104" t="s">
        <v>34</v>
      </c>
      <c r="C2433" s="104" t="s">
        <v>751</v>
      </c>
      <c r="D2433" s="105" t="n">
        <v>3.4167</v>
      </c>
      <c r="E2433" s="106" t="n">
        <v>162.8049</v>
      </c>
      <c r="F2433" s="107" t="n">
        <f aca="false">IF($C2433="","",$D2433*$E2433)</f>
        <v>556.25550183</v>
      </c>
      <c r="G2433" s="107" t="n">
        <f aca="false">IF($C2433="","",$D2433*IFERROR(INDEX('تحليل التكلفة والسعر'!$C$2:$C$700,MATCH($C2433,'تحليل التكلفة والسعر'!$B$2:$B$700,0)),0))</f>
        <v>299.0210319999</v>
      </c>
      <c r="H2433" s="104" t="s">
        <v>719</v>
      </c>
    </row>
    <row r="2434" customFormat="false" ht="15" hidden="false" customHeight="false" outlineLevel="0" collapsed="false">
      <c r="A2434" s="103" t="n">
        <v>46304</v>
      </c>
      <c r="B2434" s="104" t="s">
        <v>34</v>
      </c>
      <c r="C2434" s="104" t="s">
        <v>751</v>
      </c>
      <c r="D2434" s="105" t="n">
        <v>3.4167</v>
      </c>
      <c r="E2434" s="106" t="n">
        <v>162.8049</v>
      </c>
      <c r="F2434" s="107" t="n">
        <f aca="false">IF($C2434="","",$D2434*$E2434)</f>
        <v>556.25550183</v>
      </c>
      <c r="G2434" s="107" t="n">
        <f aca="false">IF($C2434="","",$D2434*IFERROR(INDEX('تحليل التكلفة والسعر'!$C$2:$C$700,MATCH($C2434,'تحليل التكلفة والسعر'!$B$2:$B$700,0)),0))</f>
        <v>299.0210319999</v>
      </c>
      <c r="H2434" s="104" t="s">
        <v>719</v>
      </c>
    </row>
    <row r="2435" customFormat="false" ht="15" hidden="false" customHeight="false" outlineLevel="0" collapsed="false">
      <c r="A2435" s="103" t="n">
        <v>46305</v>
      </c>
      <c r="B2435" s="104" t="s">
        <v>34</v>
      </c>
      <c r="C2435" s="104" t="s">
        <v>751</v>
      </c>
      <c r="D2435" s="105" t="n">
        <v>3.4167</v>
      </c>
      <c r="E2435" s="106" t="n">
        <v>162.8049</v>
      </c>
      <c r="F2435" s="107" t="n">
        <f aca="false">IF($C2435="","",$D2435*$E2435)</f>
        <v>556.25550183</v>
      </c>
      <c r="G2435" s="107" t="n">
        <f aca="false">IF($C2435="","",$D2435*IFERROR(INDEX('تحليل التكلفة والسعر'!$C$2:$C$700,MATCH($C2435,'تحليل التكلفة والسعر'!$B$2:$B$700,0)),0))</f>
        <v>299.0210319999</v>
      </c>
      <c r="H2435" s="104" t="s">
        <v>719</v>
      </c>
    </row>
    <row r="2436" customFormat="false" ht="15" hidden="false" customHeight="false" outlineLevel="0" collapsed="false">
      <c r="A2436" s="103" t="n">
        <v>46306</v>
      </c>
      <c r="B2436" s="104" t="s">
        <v>34</v>
      </c>
      <c r="C2436" s="104" t="s">
        <v>751</v>
      </c>
      <c r="D2436" s="105" t="n">
        <v>3.4167</v>
      </c>
      <c r="E2436" s="106" t="n">
        <v>162.8049</v>
      </c>
      <c r="F2436" s="107" t="n">
        <f aca="false">IF($C2436="","",$D2436*$E2436)</f>
        <v>556.25550183</v>
      </c>
      <c r="G2436" s="107" t="n">
        <f aca="false">IF($C2436="","",$D2436*IFERROR(INDEX('تحليل التكلفة والسعر'!$C$2:$C$700,MATCH($C2436,'تحليل التكلفة والسعر'!$B$2:$B$700,0)),0))</f>
        <v>299.0210319999</v>
      </c>
      <c r="H2436" s="104" t="s">
        <v>719</v>
      </c>
    </row>
    <row r="2437" customFormat="false" ht="15" hidden="false" customHeight="false" outlineLevel="0" collapsed="false">
      <c r="A2437" s="103" t="n">
        <v>46307</v>
      </c>
      <c r="B2437" s="104" t="s">
        <v>34</v>
      </c>
      <c r="C2437" s="104" t="s">
        <v>751</v>
      </c>
      <c r="D2437" s="105" t="n">
        <v>3.4167</v>
      </c>
      <c r="E2437" s="106" t="n">
        <v>162.8049</v>
      </c>
      <c r="F2437" s="107" t="n">
        <f aca="false">IF($C2437="","",$D2437*$E2437)</f>
        <v>556.25550183</v>
      </c>
      <c r="G2437" s="107" t="n">
        <f aca="false">IF($C2437="","",$D2437*IFERROR(INDEX('تحليل التكلفة والسعر'!$C$2:$C$700,MATCH($C2437,'تحليل التكلفة والسعر'!$B$2:$B$700,0)),0))</f>
        <v>299.0210319999</v>
      </c>
      <c r="H2437" s="104" t="s">
        <v>719</v>
      </c>
    </row>
    <row r="2438" customFormat="false" ht="15" hidden="false" customHeight="false" outlineLevel="0" collapsed="false">
      <c r="A2438" s="103" t="n">
        <v>46296</v>
      </c>
      <c r="B2438" s="104" t="s">
        <v>34</v>
      </c>
      <c r="C2438" s="104" t="s">
        <v>505</v>
      </c>
      <c r="D2438" s="105" t="n">
        <v>0.1667</v>
      </c>
      <c r="E2438" s="106" t="n">
        <v>260</v>
      </c>
      <c r="F2438" s="107" t="n">
        <f aca="false">IF($C2438="","",$D2438*$E2438)</f>
        <v>43.342</v>
      </c>
      <c r="G2438" s="107" t="n">
        <f aca="false">IF($C2438="","",$D2438*IFERROR(INDEX('تحليل التكلفة والسعر'!$C$2:$C$700,MATCH($C2438,'تحليل التكلفة والسعر'!$B$2:$B$700,0)),0))</f>
        <v>23.2485379445</v>
      </c>
      <c r="H2438" s="104" t="s">
        <v>719</v>
      </c>
    </row>
    <row r="2439" customFormat="false" ht="15" hidden="false" customHeight="false" outlineLevel="0" collapsed="false">
      <c r="A2439" s="103" t="n">
        <v>46297</v>
      </c>
      <c r="B2439" s="104" t="s">
        <v>34</v>
      </c>
      <c r="C2439" s="104" t="s">
        <v>505</v>
      </c>
      <c r="D2439" s="105" t="n">
        <v>0.1667</v>
      </c>
      <c r="E2439" s="106" t="n">
        <v>260</v>
      </c>
      <c r="F2439" s="107" t="n">
        <f aca="false">IF($C2439="","",$D2439*$E2439)</f>
        <v>43.342</v>
      </c>
      <c r="G2439" s="107" t="n">
        <f aca="false">IF($C2439="","",$D2439*IFERROR(INDEX('تحليل التكلفة والسعر'!$C$2:$C$700,MATCH($C2439,'تحليل التكلفة والسعر'!$B$2:$B$700,0)),0))</f>
        <v>23.2485379445</v>
      </c>
      <c r="H2439" s="104" t="s">
        <v>719</v>
      </c>
    </row>
    <row r="2440" customFormat="false" ht="15" hidden="false" customHeight="false" outlineLevel="0" collapsed="false">
      <c r="A2440" s="103" t="n">
        <v>46298</v>
      </c>
      <c r="B2440" s="104" t="s">
        <v>34</v>
      </c>
      <c r="C2440" s="104" t="s">
        <v>505</v>
      </c>
      <c r="D2440" s="105" t="n">
        <v>0.1667</v>
      </c>
      <c r="E2440" s="106" t="n">
        <v>260</v>
      </c>
      <c r="F2440" s="107" t="n">
        <f aca="false">IF($C2440="","",$D2440*$E2440)</f>
        <v>43.342</v>
      </c>
      <c r="G2440" s="107" t="n">
        <f aca="false">IF($C2440="","",$D2440*IFERROR(INDEX('تحليل التكلفة والسعر'!$C$2:$C$700,MATCH($C2440,'تحليل التكلفة والسعر'!$B$2:$B$700,0)),0))</f>
        <v>23.2485379445</v>
      </c>
      <c r="H2440" s="104" t="s">
        <v>719</v>
      </c>
    </row>
    <row r="2441" customFormat="false" ht="15" hidden="false" customHeight="false" outlineLevel="0" collapsed="false">
      <c r="A2441" s="103" t="n">
        <v>46299</v>
      </c>
      <c r="B2441" s="104" t="s">
        <v>34</v>
      </c>
      <c r="C2441" s="104" t="s">
        <v>505</v>
      </c>
      <c r="D2441" s="105" t="n">
        <v>0.1667</v>
      </c>
      <c r="E2441" s="106" t="n">
        <v>260</v>
      </c>
      <c r="F2441" s="107" t="n">
        <f aca="false">IF($C2441="","",$D2441*$E2441)</f>
        <v>43.342</v>
      </c>
      <c r="G2441" s="107" t="n">
        <f aca="false">IF($C2441="","",$D2441*IFERROR(INDEX('تحليل التكلفة والسعر'!$C$2:$C$700,MATCH($C2441,'تحليل التكلفة والسعر'!$B$2:$B$700,0)),0))</f>
        <v>23.2485379445</v>
      </c>
      <c r="H2441" s="104" t="s">
        <v>719</v>
      </c>
    </row>
    <row r="2442" customFormat="false" ht="15" hidden="false" customHeight="false" outlineLevel="0" collapsed="false">
      <c r="A2442" s="103" t="n">
        <v>46300</v>
      </c>
      <c r="B2442" s="104" t="s">
        <v>34</v>
      </c>
      <c r="C2442" s="104" t="s">
        <v>505</v>
      </c>
      <c r="D2442" s="105" t="n">
        <v>0.1667</v>
      </c>
      <c r="E2442" s="106" t="n">
        <v>260</v>
      </c>
      <c r="F2442" s="107" t="n">
        <f aca="false">IF($C2442="","",$D2442*$E2442)</f>
        <v>43.342</v>
      </c>
      <c r="G2442" s="107" t="n">
        <f aca="false">IF($C2442="","",$D2442*IFERROR(INDEX('تحليل التكلفة والسعر'!$C$2:$C$700,MATCH($C2442,'تحليل التكلفة والسعر'!$B$2:$B$700,0)),0))</f>
        <v>23.2485379445</v>
      </c>
      <c r="H2442" s="104" t="s">
        <v>719</v>
      </c>
    </row>
    <row r="2443" customFormat="false" ht="15" hidden="false" customHeight="false" outlineLevel="0" collapsed="false">
      <c r="A2443" s="103" t="n">
        <v>46301</v>
      </c>
      <c r="B2443" s="104" t="s">
        <v>34</v>
      </c>
      <c r="C2443" s="104" t="s">
        <v>505</v>
      </c>
      <c r="D2443" s="105" t="n">
        <v>0.1667</v>
      </c>
      <c r="E2443" s="106" t="n">
        <v>260</v>
      </c>
      <c r="F2443" s="107" t="n">
        <f aca="false">IF($C2443="","",$D2443*$E2443)</f>
        <v>43.342</v>
      </c>
      <c r="G2443" s="107" t="n">
        <f aca="false">IF($C2443="","",$D2443*IFERROR(INDEX('تحليل التكلفة والسعر'!$C$2:$C$700,MATCH($C2443,'تحليل التكلفة والسعر'!$B$2:$B$700,0)),0))</f>
        <v>23.2485379445</v>
      </c>
      <c r="H2443" s="104" t="s">
        <v>719</v>
      </c>
    </row>
    <row r="2444" customFormat="false" ht="15" hidden="false" customHeight="false" outlineLevel="0" collapsed="false">
      <c r="A2444" s="103" t="n">
        <v>46302</v>
      </c>
      <c r="B2444" s="104" t="s">
        <v>34</v>
      </c>
      <c r="C2444" s="104" t="s">
        <v>505</v>
      </c>
      <c r="D2444" s="105" t="n">
        <v>0.1667</v>
      </c>
      <c r="E2444" s="106" t="n">
        <v>260</v>
      </c>
      <c r="F2444" s="107" t="n">
        <f aca="false">IF($C2444="","",$D2444*$E2444)</f>
        <v>43.342</v>
      </c>
      <c r="G2444" s="107" t="n">
        <f aca="false">IF($C2444="","",$D2444*IFERROR(INDEX('تحليل التكلفة والسعر'!$C$2:$C$700,MATCH($C2444,'تحليل التكلفة والسعر'!$B$2:$B$700,0)),0))</f>
        <v>23.2485379445</v>
      </c>
      <c r="H2444" s="104" t="s">
        <v>719</v>
      </c>
    </row>
    <row r="2445" customFormat="false" ht="15" hidden="false" customHeight="false" outlineLevel="0" collapsed="false">
      <c r="A2445" s="103" t="n">
        <v>46303</v>
      </c>
      <c r="B2445" s="104" t="s">
        <v>34</v>
      </c>
      <c r="C2445" s="104" t="s">
        <v>505</v>
      </c>
      <c r="D2445" s="105" t="n">
        <v>0.1667</v>
      </c>
      <c r="E2445" s="106" t="n">
        <v>260</v>
      </c>
      <c r="F2445" s="107" t="n">
        <f aca="false">IF($C2445="","",$D2445*$E2445)</f>
        <v>43.342</v>
      </c>
      <c r="G2445" s="107" t="n">
        <f aca="false">IF($C2445="","",$D2445*IFERROR(INDEX('تحليل التكلفة والسعر'!$C$2:$C$700,MATCH($C2445,'تحليل التكلفة والسعر'!$B$2:$B$700,0)),0))</f>
        <v>23.2485379445</v>
      </c>
      <c r="H2445" s="104" t="s">
        <v>719</v>
      </c>
    </row>
    <row r="2446" customFormat="false" ht="15" hidden="false" customHeight="false" outlineLevel="0" collapsed="false">
      <c r="A2446" s="103" t="n">
        <v>46304</v>
      </c>
      <c r="B2446" s="104" t="s">
        <v>34</v>
      </c>
      <c r="C2446" s="104" t="s">
        <v>505</v>
      </c>
      <c r="D2446" s="105" t="n">
        <v>0.1667</v>
      </c>
      <c r="E2446" s="106" t="n">
        <v>260</v>
      </c>
      <c r="F2446" s="107" t="n">
        <f aca="false">IF($C2446="","",$D2446*$E2446)</f>
        <v>43.342</v>
      </c>
      <c r="G2446" s="107" t="n">
        <f aca="false">IF($C2446="","",$D2446*IFERROR(INDEX('تحليل التكلفة والسعر'!$C$2:$C$700,MATCH($C2446,'تحليل التكلفة والسعر'!$B$2:$B$700,0)),0))</f>
        <v>23.2485379445</v>
      </c>
      <c r="H2446" s="104" t="s">
        <v>719</v>
      </c>
    </row>
    <row r="2447" customFormat="false" ht="15" hidden="false" customHeight="false" outlineLevel="0" collapsed="false">
      <c r="A2447" s="103" t="n">
        <v>46305</v>
      </c>
      <c r="B2447" s="104" t="s">
        <v>34</v>
      </c>
      <c r="C2447" s="104" t="s">
        <v>505</v>
      </c>
      <c r="D2447" s="105" t="n">
        <v>0.1667</v>
      </c>
      <c r="E2447" s="106" t="n">
        <v>260</v>
      </c>
      <c r="F2447" s="107" t="n">
        <f aca="false">IF($C2447="","",$D2447*$E2447)</f>
        <v>43.342</v>
      </c>
      <c r="G2447" s="107" t="n">
        <f aca="false">IF($C2447="","",$D2447*IFERROR(INDEX('تحليل التكلفة والسعر'!$C$2:$C$700,MATCH($C2447,'تحليل التكلفة والسعر'!$B$2:$B$700,0)),0))</f>
        <v>23.2485379445</v>
      </c>
      <c r="H2447" s="104" t="s">
        <v>719</v>
      </c>
    </row>
    <row r="2448" customFormat="false" ht="15" hidden="false" customHeight="false" outlineLevel="0" collapsed="false">
      <c r="A2448" s="103" t="n">
        <v>46306</v>
      </c>
      <c r="B2448" s="104" t="s">
        <v>34</v>
      </c>
      <c r="C2448" s="104" t="s">
        <v>505</v>
      </c>
      <c r="D2448" s="105" t="n">
        <v>0.1667</v>
      </c>
      <c r="E2448" s="106" t="n">
        <v>260</v>
      </c>
      <c r="F2448" s="107" t="n">
        <f aca="false">IF($C2448="","",$D2448*$E2448)</f>
        <v>43.342</v>
      </c>
      <c r="G2448" s="107" t="n">
        <f aca="false">IF($C2448="","",$D2448*IFERROR(INDEX('تحليل التكلفة والسعر'!$C$2:$C$700,MATCH($C2448,'تحليل التكلفة والسعر'!$B$2:$B$700,0)),0))</f>
        <v>23.2485379445</v>
      </c>
      <c r="H2448" s="104" t="s">
        <v>719</v>
      </c>
    </row>
    <row r="2449" customFormat="false" ht="15" hidden="false" customHeight="false" outlineLevel="0" collapsed="false">
      <c r="A2449" s="103" t="n">
        <v>46307</v>
      </c>
      <c r="B2449" s="104" t="s">
        <v>34</v>
      </c>
      <c r="C2449" s="104" t="s">
        <v>505</v>
      </c>
      <c r="D2449" s="105" t="n">
        <v>0.1667</v>
      </c>
      <c r="E2449" s="106" t="n">
        <v>260</v>
      </c>
      <c r="F2449" s="107" t="n">
        <f aca="false">IF($C2449="","",$D2449*$E2449)</f>
        <v>43.342</v>
      </c>
      <c r="G2449" s="107" t="n">
        <f aca="false">IF($C2449="","",$D2449*IFERROR(INDEX('تحليل التكلفة والسعر'!$C$2:$C$700,MATCH($C2449,'تحليل التكلفة والسعر'!$B$2:$B$700,0)),0))</f>
        <v>23.2485379445</v>
      </c>
      <c r="H2449" s="104" t="s">
        <v>719</v>
      </c>
    </row>
    <row r="2450" customFormat="false" ht="15" hidden="false" customHeight="false" outlineLevel="0" collapsed="false">
      <c r="A2450" s="103" t="n">
        <v>46296</v>
      </c>
      <c r="B2450" s="104" t="s">
        <v>34</v>
      </c>
      <c r="C2450" s="104" t="s">
        <v>455</v>
      </c>
      <c r="D2450" s="105" t="n">
        <v>0.1667</v>
      </c>
      <c r="E2450" s="106" t="n">
        <v>140</v>
      </c>
      <c r="F2450" s="107" t="n">
        <f aca="false">IF($C2450="","",$D2450*$E2450)</f>
        <v>23.338</v>
      </c>
      <c r="G2450" s="107" t="n">
        <f aca="false">IF($C2450="","",$D2450*IFERROR(INDEX('تحليل التكلفة والسعر'!$C$2:$C$700,MATCH($C2450,'تحليل التكلفة والسعر'!$B$2:$B$700,0)),0))</f>
        <v>13.2465379445</v>
      </c>
      <c r="H2450" s="104" t="s">
        <v>719</v>
      </c>
    </row>
    <row r="2451" customFormat="false" ht="15" hidden="false" customHeight="false" outlineLevel="0" collapsed="false">
      <c r="A2451" s="103" t="n">
        <v>46297</v>
      </c>
      <c r="B2451" s="104" t="s">
        <v>34</v>
      </c>
      <c r="C2451" s="104" t="s">
        <v>455</v>
      </c>
      <c r="D2451" s="105" t="n">
        <v>0.1667</v>
      </c>
      <c r="E2451" s="106" t="n">
        <v>140</v>
      </c>
      <c r="F2451" s="107" t="n">
        <f aca="false">IF($C2451="","",$D2451*$E2451)</f>
        <v>23.338</v>
      </c>
      <c r="G2451" s="107" t="n">
        <f aca="false">IF($C2451="","",$D2451*IFERROR(INDEX('تحليل التكلفة والسعر'!$C$2:$C$700,MATCH($C2451,'تحليل التكلفة والسعر'!$B$2:$B$700,0)),0))</f>
        <v>13.2465379445</v>
      </c>
      <c r="H2451" s="104" t="s">
        <v>719</v>
      </c>
    </row>
    <row r="2452" customFormat="false" ht="15" hidden="false" customHeight="false" outlineLevel="0" collapsed="false">
      <c r="A2452" s="103" t="n">
        <v>46298</v>
      </c>
      <c r="B2452" s="104" t="s">
        <v>34</v>
      </c>
      <c r="C2452" s="104" t="s">
        <v>455</v>
      </c>
      <c r="D2452" s="105" t="n">
        <v>0.1667</v>
      </c>
      <c r="E2452" s="106" t="n">
        <v>140</v>
      </c>
      <c r="F2452" s="107" t="n">
        <f aca="false">IF($C2452="","",$D2452*$E2452)</f>
        <v>23.338</v>
      </c>
      <c r="G2452" s="107" t="n">
        <f aca="false">IF($C2452="","",$D2452*IFERROR(INDEX('تحليل التكلفة والسعر'!$C$2:$C$700,MATCH($C2452,'تحليل التكلفة والسعر'!$B$2:$B$700,0)),0))</f>
        <v>13.2465379445</v>
      </c>
      <c r="H2452" s="104" t="s">
        <v>719</v>
      </c>
    </row>
    <row r="2453" customFormat="false" ht="15" hidden="false" customHeight="false" outlineLevel="0" collapsed="false">
      <c r="A2453" s="103" t="n">
        <v>46299</v>
      </c>
      <c r="B2453" s="104" t="s">
        <v>34</v>
      </c>
      <c r="C2453" s="104" t="s">
        <v>455</v>
      </c>
      <c r="D2453" s="105" t="n">
        <v>0.1667</v>
      </c>
      <c r="E2453" s="106" t="n">
        <v>140</v>
      </c>
      <c r="F2453" s="107" t="n">
        <f aca="false">IF($C2453="","",$D2453*$E2453)</f>
        <v>23.338</v>
      </c>
      <c r="G2453" s="107" t="n">
        <f aca="false">IF($C2453="","",$D2453*IFERROR(INDEX('تحليل التكلفة والسعر'!$C$2:$C$700,MATCH($C2453,'تحليل التكلفة والسعر'!$B$2:$B$700,0)),0))</f>
        <v>13.2465379445</v>
      </c>
      <c r="H2453" s="104" t="s">
        <v>719</v>
      </c>
    </row>
    <row r="2454" customFormat="false" ht="15" hidden="false" customHeight="false" outlineLevel="0" collapsed="false">
      <c r="A2454" s="103" t="n">
        <v>46300</v>
      </c>
      <c r="B2454" s="104" t="s">
        <v>34</v>
      </c>
      <c r="C2454" s="104" t="s">
        <v>455</v>
      </c>
      <c r="D2454" s="105" t="n">
        <v>0.1667</v>
      </c>
      <c r="E2454" s="106" t="n">
        <v>140</v>
      </c>
      <c r="F2454" s="107" t="n">
        <f aca="false">IF($C2454="","",$D2454*$E2454)</f>
        <v>23.338</v>
      </c>
      <c r="G2454" s="107" t="n">
        <f aca="false">IF($C2454="","",$D2454*IFERROR(INDEX('تحليل التكلفة والسعر'!$C$2:$C$700,MATCH($C2454,'تحليل التكلفة والسعر'!$B$2:$B$700,0)),0))</f>
        <v>13.2465379445</v>
      </c>
      <c r="H2454" s="104" t="s">
        <v>719</v>
      </c>
    </row>
    <row r="2455" customFormat="false" ht="15" hidden="false" customHeight="false" outlineLevel="0" collapsed="false">
      <c r="A2455" s="103" t="n">
        <v>46301</v>
      </c>
      <c r="B2455" s="104" t="s">
        <v>34</v>
      </c>
      <c r="C2455" s="104" t="s">
        <v>455</v>
      </c>
      <c r="D2455" s="105" t="n">
        <v>0.1667</v>
      </c>
      <c r="E2455" s="106" t="n">
        <v>140</v>
      </c>
      <c r="F2455" s="107" t="n">
        <f aca="false">IF($C2455="","",$D2455*$E2455)</f>
        <v>23.338</v>
      </c>
      <c r="G2455" s="107" t="n">
        <f aca="false">IF($C2455="","",$D2455*IFERROR(INDEX('تحليل التكلفة والسعر'!$C$2:$C$700,MATCH($C2455,'تحليل التكلفة والسعر'!$B$2:$B$700,0)),0))</f>
        <v>13.2465379445</v>
      </c>
      <c r="H2455" s="104" t="s">
        <v>719</v>
      </c>
    </row>
    <row r="2456" customFormat="false" ht="15" hidden="false" customHeight="false" outlineLevel="0" collapsed="false">
      <c r="A2456" s="103" t="n">
        <v>46302</v>
      </c>
      <c r="B2456" s="104" t="s">
        <v>34</v>
      </c>
      <c r="C2456" s="104" t="s">
        <v>455</v>
      </c>
      <c r="D2456" s="105" t="n">
        <v>0.1667</v>
      </c>
      <c r="E2456" s="106" t="n">
        <v>140</v>
      </c>
      <c r="F2456" s="107" t="n">
        <f aca="false">IF($C2456="","",$D2456*$E2456)</f>
        <v>23.338</v>
      </c>
      <c r="G2456" s="107" t="n">
        <f aca="false">IF($C2456="","",$D2456*IFERROR(INDEX('تحليل التكلفة والسعر'!$C$2:$C$700,MATCH($C2456,'تحليل التكلفة والسعر'!$B$2:$B$700,0)),0))</f>
        <v>13.2465379445</v>
      </c>
      <c r="H2456" s="104" t="s">
        <v>719</v>
      </c>
    </row>
    <row r="2457" customFormat="false" ht="15" hidden="false" customHeight="false" outlineLevel="0" collapsed="false">
      <c r="A2457" s="103" t="n">
        <v>46303</v>
      </c>
      <c r="B2457" s="104" t="s">
        <v>34</v>
      </c>
      <c r="C2457" s="104" t="s">
        <v>455</v>
      </c>
      <c r="D2457" s="105" t="n">
        <v>0.1667</v>
      </c>
      <c r="E2457" s="106" t="n">
        <v>140</v>
      </c>
      <c r="F2457" s="107" t="n">
        <f aca="false">IF($C2457="","",$D2457*$E2457)</f>
        <v>23.338</v>
      </c>
      <c r="G2457" s="107" t="n">
        <f aca="false">IF($C2457="","",$D2457*IFERROR(INDEX('تحليل التكلفة والسعر'!$C$2:$C$700,MATCH($C2457,'تحليل التكلفة والسعر'!$B$2:$B$700,0)),0))</f>
        <v>13.2465379445</v>
      </c>
      <c r="H2457" s="104" t="s">
        <v>719</v>
      </c>
    </row>
    <row r="2458" customFormat="false" ht="15" hidden="false" customHeight="false" outlineLevel="0" collapsed="false">
      <c r="A2458" s="103" t="n">
        <v>46304</v>
      </c>
      <c r="B2458" s="104" t="s">
        <v>34</v>
      </c>
      <c r="C2458" s="104" t="s">
        <v>455</v>
      </c>
      <c r="D2458" s="105" t="n">
        <v>0.1667</v>
      </c>
      <c r="E2458" s="106" t="n">
        <v>140</v>
      </c>
      <c r="F2458" s="107" t="n">
        <f aca="false">IF($C2458="","",$D2458*$E2458)</f>
        <v>23.338</v>
      </c>
      <c r="G2458" s="107" t="n">
        <f aca="false">IF($C2458="","",$D2458*IFERROR(INDEX('تحليل التكلفة والسعر'!$C$2:$C$700,MATCH($C2458,'تحليل التكلفة والسعر'!$B$2:$B$700,0)),0))</f>
        <v>13.2465379445</v>
      </c>
      <c r="H2458" s="104" t="s">
        <v>719</v>
      </c>
    </row>
    <row r="2459" customFormat="false" ht="15" hidden="false" customHeight="false" outlineLevel="0" collapsed="false">
      <c r="A2459" s="103" t="n">
        <v>46305</v>
      </c>
      <c r="B2459" s="104" t="s">
        <v>34</v>
      </c>
      <c r="C2459" s="104" t="s">
        <v>455</v>
      </c>
      <c r="D2459" s="105" t="n">
        <v>0.1667</v>
      </c>
      <c r="E2459" s="106" t="n">
        <v>140</v>
      </c>
      <c r="F2459" s="107" t="n">
        <f aca="false">IF($C2459="","",$D2459*$E2459)</f>
        <v>23.338</v>
      </c>
      <c r="G2459" s="107" t="n">
        <f aca="false">IF($C2459="","",$D2459*IFERROR(INDEX('تحليل التكلفة والسعر'!$C$2:$C$700,MATCH($C2459,'تحليل التكلفة والسعر'!$B$2:$B$700,0)),0))</f>
        <v>13.2465379445</v>
      </c>
      <c r="H2459" s="104" t="s">
        <v>719</v>
      </c>
    </row>
    <row r="2460" customFormat="false" ht="15" hidden="false" customHeight="false" outlineLevel="0" collapsed="false">
      <c r="A2460" s="103" t="n">
        <v>46306</v>
      </c>
      <c r="B2460" s="104" t="s">
        <v>34</v>
      </c>
      <c r="C2460" s="104" t="s">
        <v>455</v>
      </c>
      <c r="D2460" s="105" t="n">
        <v>0.1667</v>
      </c>
      <c r="E2460" s="106" t="n">
        <v>140</v>
      </c>
      <c r="F2460" s="107" t="n">
        <f aca="false">IF($C2460="","",$D2460*$E2460)</f>
        <v>23.338</v>
      </c>
      <c r="G2460" s="107" t="n">
        <f aca="false">IF($C2460="","",$D2460*IFERROR(INDEX('تحليل التكلفة والسعر'!$C$2:$C$700,MATCH($C2460,'تحليل التكلفة والسعر'!$B$2:$B$700,0)),0))</f>
        <v>13.2465379445</v>
      </c>
      <c r="H2460" s="104" t="s">
        <v>719</v>
      </c>
    </row>
    <row r="2461" customFormat="false" ht="15" hidden="false" customHeight="false" outlineLevel="0" collapsed="false">
      <c r="A2461" s="103" t="n">
        <v>46307</v>
      </c>
      <c r="B2461" s="104" t="s">
        <v>34</v>
      </c>
      <c r="C2461" s="104" t="s">
        <v>455</v>
      </c>
      <c r="D2461" s="105" t="n">
        <v>0.1667</v>
      </c>
      <c r="E2461" s="106" t="n">
        <v>140</v>
      </c>
      <c r="F2461" s="107" t="n">
        <f aca="false">IF($C2461="","",$D2461*$E2461)</f>
        <v>23.338</v>
      </c>
      <c r="G2461" s="107" t="n">
        <f aca="false">IF($C2461="","",$D2461*IFERROR(INDEX('تحليل التكلفة والسعر'!$C$2:$C$700,MATCH($C2461,'تحليل التكلفة والسعر'!$B$2:$B$700,0)),0))</f>
        <v>13.2465379445</v>
      </c>
      <c r="H2461" s="104" t="s">
        <v>719</v>
      </c>
    </row>
    <row r="2462" customFormat="false" ht="15" hidden="false" customHeight="false" outlineLevel="0" collapsed="false">
      <c r="A2462" s="103" t="n">
        <v>46296</v>
      </c>
      <c r="B2462" s="104" t="s">
        <v>34</v>
      </c>
      <c r="C2462" s="104" t="s">
        <v>520</v>
      </c>
      <c r="D2462" s="105" t="n">
        <v>0.25</v>
      </c>
      <c r="E2462" s="106" t="n">
        <v>80</v>
      </c>
      <c r="F2462" s="107" t="n">
        <f aca="false">IF($C2462="","",$D2462*$E2462)</f>
        <v>20</v>
      </c>
      <c r="G2462" s="107" t="n">
        <f aca="false">IF($C2462="","",$D2462*IFERROR(INDEX('تحليل التكلفة والسعر'!$C$2:$C$700,MATCH($C2462,'تحليل التكلفة والسعر'!$B$2:$B$700,0)),0))</f>
        <v>9.1325</v>
      </c>
      <c r="H2462" s="104" t="s">
        <v>719</v>
      </c>
    </row>
    <row r="2463" customFormat="false" ht="15" hidden="false" customHeight="false" outlineLevel="0" collapsed="false">
      <c r="A2463" s="103" t="n">
        <v>46297</v>
      </c>
      <c r="B2463" s="104" t="s">
        <v>34</v>
      </c>
      <c r="C2463" s="104" t="s">
        <v>520</v>
      </c>
      <c r="D2463" s="105" t="n">
        <v>0.25</v>
      </c>
      <c r="E2463" s="106" t="n">
        <v>80</v>
      </c>
      <c r="F2463" s="107" t="n">
        <f aca="false">IF($C2463="","",$D2463*$E2463)</f>
        <v>20</v>
      </c>
      <c r="G2463" s="107" t="n">
        <f aca="false">IF($C2463="","",$D2463*IFERROR(INDEX('تحليل التكلفة والسعر'!$C$2:$C$700,MATCH($C2463,'تحليل التكلفة والسعر'!$B$2:$B$700,0)),0))</f>
        <v>9.1325</v>
      </c>
      <c r="H2463" s="104" t="s">
        <v>719</v>
      </c>
    </row>
    <row r="2464" customFormat="false" ht="15" hidden="false" customHeight="false" outlineLevel="0" collapsed="false">
      <c r="A2464" s="103" t="n">
        <v>46298</v>
      </c>
      <c r="B2464" s="104" t="s">
        <v>34</v>
      </c>
      <c r="C2464" s="104" t="s">
        <v>520</v>
      </c>
      <c r="D2464" s="105" t="n">
        <v>0.25</v>
      </c>
      <c r="E2464" s="106" t="n">
        <v>80</v>
      </c>
      <c r="F2464" s="107" t="n">
        <f aca="false">IF($C2464="","",$D2464*$E2464)</f>
        <v>20</v>
      </c>
      <c r="G2464" s="107" t="n">
        <f aca="false">IF($C2464="","",$D2464*IFERROR(INDEX('تحليل التكلفة والسعر'!$C$2:$C$700,MATCH($C2464,'تحليل التكلفة والسعر'!$B$2:$B$700,0)),0))</f>
        <v>9.1325</v>
      </c>
      <c r="H2464" s="104" t="s">
        <v>719</v>
      </c>
    </row>
    <row r="2465" customFormat="false" ht="15" hidden="false" customHeight="false" outlineLevel="0" collapsed="false">
      <c r="A2465" s="103" t="n">
        <v>46299</v>
      </c>
      <c r="B2465" s="104" t="s">
        <v>34</v>
      </c>
      <c r="C2465" s="104" t="s">
        <v>520</v>
      </c>
      <c r="D2465" s="105" t="n">
        <v>0.25</v>
      </c>
      <c r="E2465" s="106" t="n">
        <v>80</v>
      </c>
      <c r="F2465" s="107" t="n">
        <f aca="false">IF($C2465="","",$D2465*$E2465)</f>
        <v>20</v>
      </c>
      <c r="G2465" s="107" t="n">
        <f aca="false">IF($C2465="","",$D2465*IFERROR(INDEX('تحليل التكلفة والسعر'!$C$2:$C$700,MATCH($C2465,'تحليل التكلفة والسعر'!$B$2:$B$700,0)),0))</f>
        <v>9.1325</v>
      </c>
      <c r="H2465" s="104" t="s">
        <v>719</v>
      </c>
    </row>
    <row r="2466" customFormat="false" ht="15" hidden="false" customHeight="false" outlineLevel="0" collapsed="false">
      <c r="A2466" s="103" t="n">
        <v>46300</v>
      </c>
      <c r="B2466" s="104" t="s">
        <v>34</v>
      </c>
      <c r="C2466" s="104" t="s">
        <v>520</v>
      </c>
      <c r="D2466" s="105" t="n">
        <v>0.25</v>
      </c>
      <c r="E2466" s="106" t="n">
        <v>80</v>
      </c>
      <c r="F2466" s="107" t="n">
        <f aca="false">IF($C2466="","",$D2466*$E2466)</f>
        <v>20</v>
      </c>
      <c r="G2466" s="107" t="n">
        <f aca="false">IF($C2466="","",$D2466*IFERROR(INDEX('تحليل التكلفة والسعر'!$C$2:$C$700,MATCH($C2466,'تحليل التكلفة والسعر'!$B$2:$B$700,0)),0))</f>
        <v>9.1325</v>
      </c>
      <c r="H2466" s="104" t="s">
        <v>719</v>
      </c>
    </row>
    <row r="2467" customFormat="false" ht="15" hidden="false" customHeight="false" outlineLevel="0" collapsed="false">
      <c r="A2467" s="103" t="n">
        <v>46301</v>
      </c>
      <c r="B2467" s="104" t="s">
        <v>34</v>
      </c>
      <c r="C2467" s="104" t="s">
        <v>520</v>
      </c>
      <c r="D2467" s="105" t="n">
        <v>0.25</v>
      </c>
      <c r="E2467" s="106" t="n">
        <v>80</v>
      </c>
      <c r="F2467" s="107" t="n">
        <f aca="false">IF($C2467="","",$D2467*$E2467)</f>
        <v>20</v>
      </c>
      <c r="G2467" s="107" t="n">
        <f aca="false">IF($C2467="","",$D2467*IFERROR(INDEX('تحليل التكلفة والسعر'!$C$2:$C$700,MATCH($C2467,'تحليل التكلفة والسعر'!$B$2:$B$700,0)),0))</f>
        <v>9.1325</v>
      </c>
      <c r="H2467" s="104" t="s">
        <v>719</v>
      </c>
    </row>
    <row r="2468" customFormat="false" ht="15" hidden="false" customHeight="false" outlineLevel="0" collapsed="false">
      <c r="A2468" s="103" t="n">
        <v>46302</v>
      </c>
      <c r="B2468" s="104" t="s">
        <v>34</v>
      </c>
      <c r="C2468" s="104" t="s">
        <v>520</v>
      </c>
      <c r="D2468" s="105" t="n">
        <v>0.25</v>
      </c>
      <c r="E2468" s="106" t="n">
        <v>80</v>
      </c>
      <c r="F2468" s="107" t="n">
        <f aca="false">IF($C2468="","",$D2468*$E2468)</f>
        <v>20</v>
      </c>
      <c r="G2468" s="107" t="n">
        <f aca="false">IF($C2468="","",$D2468*IFERROR(INDEX('تحليل التكلفة والسعر'!$C$2:$C$700,MATCH($C2468,'تحليل التكلفة والسعر'!$B$2:$B$700,0)),0))</f>
        <v>9.1325</v>
      </c>
      <c r="H2468" s="104" t="s">
        <v>719</v>
      </c>
    </row>
    <row r="2469" customFormat="false" ht="15" hidden="false" customHeight="false" outlineLevel="0" collapsed="false">
      <c r="A2469" s="103" t="n">
        <v>46303</v>
      </c>
      <c r="B2469" s="104" t="s">
        <v>34</v>
      </c>
      <c r="C2469" s="104" t="s">
        <v>520</v>
      </c>
      <c r="D2469" s="105" t="n">
        <v>0.25</v>
      </c>
      <c r="E2469" s="106" t="n">
        <v>80</v>
      </c>
      <c r="F2469" s="107" t="n">
        <f aca="false">IF($C2469="","",$D2469*$E2469)</f>
        <v>20</v>
      </c>
      <c r="G2469" s="107" t="n">
        <f aca="false">IF($C2469="","",$D2469*IFERROR(INDEX('تحليل التكلفة والسعر'!$C$2:$C$700,MATCH($C2469,'تحليل التكلفة والسعر'!$B$2:$B$700,0)),0))</f>
        <v>9.1325</v>
      </c>
      <c r="H2469" s="104" t="s">
        <v>719</v>
      </c>
    </row>
    <row r="2470" customFormat="false" ht="15" hidden="false" customHeight="false" outlineLevel="0" collapsed="false">
      <c r="A2470" s="103" t="n">
        <v>46304</v>
      </c>
      <c r="B2470" s="104" t="s">
        <v>34</v>
      </c>
      <c r="C2470" s="104" t="s">
        <v>520</v>
      </c>
      <c r="D2470" s="105" t="n">
        <v>0.25</v>
      </c>
      <c r="E2470" s="106" t="n">
        <v>80</v>
      </c>
      <c r="F2470" s="107" t="n">
        <f aca="false">IF($C2470="","",$D2470*$E2470)</f>
        <v>20</v>
      </c>
      <c r="G2470" s="107" t="n">
        <f aca="false">IF($C2470="","",$D2470*IFERROR(INDEX('تحليل التكلفة والسعر'!$C$2:$C$700,MATCH($C2470,'تحليل التكلفة والسعر'!$B$2:$B$700,0)),0))</f>
        <v>9.1325</v>
      </c>
      <c r="H2470" s="104" t="s">
        <v>719</v>
      </c>
    </row>
    <row r="2471" customFormat="false" ht="15" hidden="false" customHeight="false" outlineLevel="0" collapsed="false">
      <c r="A2471" s="103" t="n">
        <v>46305</v>
      </c>
      <c r="B2471" s="104" t="s">
        <v>34</v>
      </c>
      <c r="C2471" s="104" t="s">
        <v>520</v>
      </c>
      <c r="D2471" s="105" t="n">
        <v>0.25</v>
      </c>
      <c r="E2471" s="106" t="n">
        <v>80</v>
      </c>
      <c r="F2471" s="107" t="n">
        <f aca="false">IF($C2471="","",$D2471*$E2471)</f>
        <v>20</v>
      </c>
      <c r="G2471" s="107" t="n">
        <f aca="false">IF($C2471="","",$D2471*IFERROR(INDEX('تحليل التكلفة والسعر'!$C$2:$C$700,MATCH($C2471,'تحليل التكلفة والسعر'!$B$2:$B$700,0)),0))</f>
        <v>9.1325</v>
      </c>
      <c r="H2471" s="104" t="s">
        <v>719</v>
      </c>
    </row>
    <row r="2472" customFormat="false" ht="15" hidden="false" customHeight="false" outlineLevel="0" collapsed="false">
      <c r="A2472" s="103" t="n">
        <v>46306</v>
      </c>
      <c r="B2472" s="104" t="s">
        <v>34</v>
      </c>
      <c r="C2472" s="104" t="s">
        <v>520</v>
      </c>
      <c r="D2472" s="105" t="n">
        <v>0.25</v>
      </c>
      <c r="E2472" s="106" t="n">
        <v>80</v>
      </c>
      <c r="F2472" s="107" t="n">
        <f aca="false">IF($C2472="","",$D2472*$E2472)</f>
        <v>20</v>
      </c>
      <c r="G2472" s="107" t="n">
        <f aca="false">IF($C2472="","",$D2472*IFERROR(INDEX('تحليل التكلفة والسعر'!$C$2:$C$700,MATCH($C2472,'تحليل التكلفة والسعر'!$B$2:$B$700,0)),0))</f>
        <v>9.1325</v>
      </c>
      <c r="H2472" s="104" t="s">
        <v>719</v>
      </c>
    </row>
    <row r="2473" customFormat="false" ht="15" hidden="false" customHeight="false" outlineLevel="0" collapsed="false">
      <c r="A2473" s="103" t="n">
        <v>46307</v>
      </c>
      <c r="B2473" s="104" t="s">
        <v>34</v>
      </c>
      <c r="C2473" s="104" t="s">
        <v>520</v>
      </c>
      <c r="D2473" s="105" t="n">
        <v>0.25</v>
      </c>
      <c r="E2473" s="106" t="n">
        <v>80</v>
      </c>
      <c r="F2473" s="107" t="n">
        <f aca="false">IF($C2473="","",$D2473*$E2473)</f>
        <v>20</v>
      </c>
      <c r="G2473" s="107" t="n">
        <f aca="false">IF($C2473="","",$D2473*IFERROR(INDEX('تحليل التكلفة والسعر'!$C$2:$C$700,MATCH($C2473,'تحليل التكلفة والسعر'!$B$2:$B$700,0)),0))</f>
        <v>9.1325</v>
      </c>
      <c r="H2473" s="104" t="s">
        <v>719</v>
      </c>
    </row>
    <row r="2474" customFormat="false" ht="15" hidden="false" customHeight="false" outlineLevel="0" collapsed="false">
      <c r="A2474" s="103" t="n">
        <v>46296</v>
      </c>
      <c r="B2474" s="104" t="s">
        <v>34</v>
      </c>
      <c r="C2474" s="104" t="s">
        <v>529</v>
      </c>
      <c r="D2474" s="105" t="n">
        <v>0.25</v>
      </c>
      <c r="E2474" s="106" t="n">
        <v>140</v>
      </c>
      <c r="F2474" s="107" t="n">
        <f aca="false">IF($C2474="","",$D2474*$E2474)</f>
        <v>35</v>
      </c>
      <c r="G2474" s="107" t="n">
        <f aca="false">IF($C2474="","",$D2474*IFERROR(INDEX('تحليل التكلفة والسعر'!$C$2:$C$700,MATCH($C2474,'تحليل التكلفة والسعر'!$B$2:$B$700,0)),0))</f>
        <v>19.61583375</v>
      </c>
      <c r="H2474" s="104" t="s">
        <v>719</v>
      </c>
    </row>
    <row r="2475" customFormat="false" ht="15" hidden="false" customHeight="false" outlineLevel="0" collapsed="false">
      <c r="A2475" s="103" t="n">
        <v>46297</v>
      </c>
      <c r="B2475" s="104" t="s">
        <v>34</v>
      </c>
      <c r="C2475" s="104" t="s">
        <v>529</v>
      </c>
      <c r="D2475" s="105" t="n">
        <v>0.25</v>
      </c>
      <c r="E2475" s="106" t="n">
        <v>140</v>
      </c>
      <c r="F2475" s="107" t="n">
        <f aca="false">IF($C2475="","",$D2475*$E2475)</f>
        <v>35</v>
      </c>
      <c r="G2475" s="107" t="n">
        <f aca="false">IF($C2475="","",$D2475*IFERROR(INDEX('تحليل التكلفة والسعر'!$C$2:$C$700,MATCH($C2475,'تحليل التكلفة والسعر'!$B$2:$B$700,0)),0))</f>
        <v>19.61583375</v>
      </c>
      <c r="H2475" s="104" t="s">
        <v>719</v>
      </c>
    </row>
    <row r="2476" customFormat="false" ht="15" hidden="false" customHeight="false" outlineLevel="0" collapsed="false">
      <c r="A2476" s="103" t="n">
        <v>46298</v>
      </c>
      <c r="B2476" s="104" t="s">
        <v>34</v>
      </c>
      <c r="C2476" s="104" t="s">
        <v>529</v>
      </c>
      <c r="D2476" s="105" t="n">
        <v>0.25</v>
      </c>
      <c r="E2476" s="106" t="n">
        <v>140</v>
      </c>
      <c r="F2476" s="107" t="n">
        <f aca="false">IF($C2476="","",$D2476*$E2476)</f>
        <v>35</v>
      </c>
      <c r="G2476" s="107" t="n">
        <f aca="false">IF($C2476="","",$D2476*IFERROR(INDEX('تحليل التكلفة والسعر'!$C$2:$C$700,MATCH($C2476,'تحليل التكلفة والسعر'!$B$2:$B$700,0)),0))</f>
        <v>19.61583375</v>
      </c>
      <c r="H2476" s="104" t="s">
        <v>719</v>
      </c>
    </row>
    <row r="2477" customFormat="false" ht="15" hidden="false" customHeight="false" outlineLevel="0" collapsed="false">
      <c r="A2477" s="103" t="n">
        <v>46299</v>
      </c>
      <c r="B2477" s="104" t="s">
        <v>34</v>
      </c>
      <c r="C2477" s="104" t="s">
        <v>529</v>
      </c>
      <c r="D2477" s="105" t="n">
        <v>0.25</v>
      </c>
      <c r="E2477" s="106" t="n">
        <v>140</v>
      </c>
      <c r="F2477" s="107" t="n">
        <f aca="false">IF($C2477="","",$D2477*$E2477)</f>
        <v>35</v>
      </c>
      <c r="G2477" s="107" t="n">
        <f aca="false">IF($C2477="","",$D2477*IFERROR(INDEX('تحليل التكلفة والسعر'!$C$2:$C$700,MATCH($C2477,'تحليل التكلفة والسعر'!$B$2:$B$700,0)),0))</f>
        <v>19.61583375</v>
      </c>
      <c r="H2477" s="104" t="s">
        <v>719</v>
      </c>
    </row>
    <row r="2478" customFormat="false" ht="15" hidden="false" customHeight="false" outlineLevel="0" collapsed="false">
      <c r="A2478" s="103" t="n">
        <v>46300</v>
      </c>
      <c r="B2478" s="104" t="s">
        <v>34</v>
      </c>
      <c r="C2478" s="104" t="s">
        <v>529</v>
      </c>
      <c r="D2478" s="105" t="n">
        <v>0.25</v>
      </c>
      <c r="E2478" s="106" t="n">
        <v>140</v>
      </c>
      <c r="F2478" s="107" t="n">
        <f aca="false">IF($C2478="","",$D2478*$E2478)</f>
        <v>35</v>
      </c>
      <c r="G2478" s="107" t="n">
        <f aca="false">IF($C2478="","",$D2478*IFERROR(INDEX('تحليل التكلفة والسعر'!$C$2:$C$700,MATCH($C2478,'تحليل التكلفة والسعر'!$B$2:$B$700,0)),0))</f>
        <v>19.61583375</v>
      </c>
      <c r="H2478" s="104" t="s">
        <v>719</v>
      </c>
    </row>
    <row r="2479" customFormat="false" ht="15" hidden="false" customHeight="false" outlineLevel="0" collapsed="false">
      <c r="A2479" s="103" t="n">
        <v>46301</v>
      </c>
      <c r="B2479" s="104" t="s">
        <v>34</v>
      </c>
      <c r="C2479" s="104" t="s">
        <v>529</v>
      </c>
      <c r="D2479" s="105" t="n">
        <v>0.25</v>
      </c>
      <c r="E2479" s="106" t="n">
        <v>140</v>
      </c>
      <c r="F2479" s="107" t="n">
        <f aca="false">IF($C2479="","",$D2479*$E2479)</f>
        <v>35</v>
      </c>
      <c r="G2479" s="107" t="n">
        <f aca="false">IF($C2479="","",$D2479*IFERROR(INDEX('تحليل التكلفة والسعر'!$C$2:$C$700,MATCH($C2479,'تحليل التكلفة والسعر'!$B$2:$B$700,0)),0))</f>
        <v>19.61583375</v>
      </c>
      <c r="H2479" s="104" t="s">
        <v>719</v>
      </c>
    </row>
    <row r="2480" customFormat="false" ht="15" hidden="false" customHeight="false" outlineLevel="0" collapsed="false">
      <c r="A2480" s="103" t="n">
        <v>46302</v>
      </c>
      <c r="B2480" s="104" t="s">
        <v>34</v>
      </c>
      <c r="C2480" s="104" t="s">
        <v>529</v>
      </c>
      <c r="D2480" s="105" t="n">
        <v>0.25</v>
      </c>
      <c r="E2480" s="106" t="n">
        <v>140</v>
      </c>
      <c r="F2480" s="107" t="n">
        <f aca="false">IF($C2480="","",$D2480*$E2480)</f>
        <v>35</v>
      </c>
      <c r="G2480" s="107" t="n">
        <f aca="false">IF($C2480="","",$D2480*IFERROR(INDEX('تحليل التكلفة والسعر'!$C$2:$C$700,MATCH($C2480,'تحليل التكلفة والسعر'!$B$2:$B$700,0)),0))</f>
        <v>19.61583375</v>
      </c>
      <c r="H2480" s="104" t="s">
        <v>719</v>
      </c>
    </row>
    <row r="2481" customFormat="false" ht="15" hidden="false" customHeight="false" outlineLevel="0" collapsed="false">
      <c r="A2481" s="103" t="n">
        <v>46303</v>
      </c>
      <c r="B2481" s="104" t="s">
        <v>34</v>
      </c>
      <c r="C2481" s="104" t="s">
        <v>529</v>
      </c>
      <c r="D2481" s="105" t="n">
        <v>0.25</v>
      </c>
      <c r="E2481" s="106" t="n">
        <v>140</v>
      </c>
      <c r="F2481" s="107" t="n">
        <f aca="false">IF($C2481="","",$D2481*$E2481)</f>
        <v>35</v>
      </c>
      <c r="G2481" s="107" t="n">
        <f aca="false">IF($C2481="","",$D2481*IFERROR(INDEX('تحليل التكلفة والسعر'!$C$2:$C$700,MATCH($C2481,'تحليل التكلفة والسعر'!$B$2:$B$700,0)),0))</f>
        <v>19.61583375</v>
      </c>
      <c r="H2481" s="104" t="s">
        <v>719</v>
      </c>
    </row>
    <row r="2482" customFormat="false" ht="15" hidden="false" customHeight="false" outlineLevel="0" collapsed="false">
      <c r="A2482" s="103" t="n">
        <v>46304</v>
      </c>
      <c r="B2482" s="104" t="s">
        <v>34</v>
      </c>
      <c r="C2482" s="104" t="s">
        <v>529</v>
      </c>
      <c r="D2482" s="105" t="n">
        <v>0.25</v>
      </c>
      <c r="E2482" s="106" t="n">
        <v>140</v>
      </c>
      <c r="F2482" s="107" t="n">
        <f aca="false">IF($C2482="","",$D2482*$E2482)</f>
        <v>35</v>
      </c>
      <c r="G2482" s="107" t="n">
        <f aca="false">IF($C2482="","",$D2482*IFERROR(INDEX('تحليل التكلفة والسعر'!$C$2:$C$700,MATCH($C2482,'تحليل التكلفة والسعر'!$B$2:$B$700,0)),0))</f>
        <v>19.61583375</v>
      </c>
      <c r="H2482" s="104" t="s">
        <v>719</v>
      </c>
    </row>
    <row r="2483" customFormat="false" ht="15" hidden="false" customHeight="false" outlineLevel="0" collapsed="false">
      <c r="A2483" s="103" t="n">
        <v>46305</v>
      </c>
      <c r="B2483" s="104" t="s">
        <v>34</v>
      </c>
      <c r="C2483" s="104" t="s">
        <v>529</v>
      </c>
      <c r="D2483" s="105" t="n">
        <v>0.25</v>
      </c>
      <c r="E2483" s="106" t="n">
        <v>140</v>
      </c>
      <c r="F2483" s="107" t="n">
        <f aca="false">IF($C2483="","",$D2483*$E2483)</f>
        <v>35</v>
      </c>
      <c r="G2483" s="107" t="n">
        <f aca="false">IF($C2483="","",$D2483*IFERROR(INDEX('تحليل التكلفة والسعر'!$C$2:$C$700,MATCH($C2483,'تحليل التكلفة والسعر'!$B$2:$B$700,0)),0))</f>
        <v>19.61583375</v>
      </c>
      <c r="H2483" s="104" t="s">
        <v>719</v>
      </c>
    </row>
    <row r="2484" customFormat="false" ht="15" hidden="false" customHeight="false" outlineLevel="0" collapsed="false">
      <c r="A2484" s="103" t="n">
        <v>46306</v>
      </c>
      <c r="B2484" s="104" t="s">
        <v>34</v>
      </c>
      <c r="C2484" s="104" t="s">
        <v>529</v>
      </c>
      <c r="D2484" s="105" t="n">
        <v>0.25</v>
      </c>
      <c r="E2484" s="106" t="n">
        <v>140</v>
      </c>
      <c r="F2484" s="107" t="n">
        <f aca="false">IF($C2484="","",$D2484*$E2484)</f>
        <v>35</v>
      </c>
      <c r="G2484" s="107" t="n">
        <f aca="false">IF($C2484="","",$D2484*IFERROR(INDEX('تحليل التكلفة والسعر'!$C$2:$C$700,MATCH($C2484,'تحليل التكلفة والسعر'!$B$2:$B$700,0)),0))</f>
        <v>19.61583375</v>
      </c>
      <c r="H2484" s="104" t="s">
        <v>719</v>
      </c>
    </row>
    <row r="2485" customFormat="false" ht="15" hidden="false" customHeight="false" outlineLevel="0" collapsed="false">
      <c r="A2485" s="103" t="n">
        <v>46307</v>
      </c>
      <c r="B2485" s="104" t="s">
        <v>34</v>
      </c>
      <c r="C2485" s="104" t="s">
        <v>529</v>
      </c>
      <c r="D2485" s="105" t="n">
        <v>0.25</v>
      </c>
      <c r="E2485" s="106" t="n">
        <v>140</v>
      </c>
      <c r="F2485" s="107" t="n">
        <f aca="false">IF($C2485="","",$D2485*$E2485)</f>
        <v>35</v>
      </c>
      <c r="G2485" s="107" t="n">
        <f aca="false">IF($C2485="","",$D2485*IFERROR(INDEX('تحليل التكلفة والسعر'!$C$2:$C$700,MATCH($C2485,'تحليل التكلفة والسعر'!$B$2:$B$700,0)),0))</f>
        <v>19.61583375</v>
      </c>
      <c r="H2485" s="104" t="s">
        <v>719</v>
      </c>
    </row>
    <row r="2486" customFormat="false" ht="15" hidden="false" customHeight="false" outlineLevel="0" collapsed="false">
      <c r="A2486" s="103" t="n">
        <v>46296</v>
      </c>
      <c r="B2486" s="104" t="s">
        <v>34</v>
      </c>
      <c r="C2486" s="104" t="s">
        <v>554</v>
      </c>
      <c r="D2486" s="105" t="n">
        <v>0.1667</v>
      </c>
      <c r="E2486" s="106" t="n">
        <v>140</v>
      </c>
      <c r="F2486" s="107" t="n">
        <f aca="false">IF($C2486="","",$D2486*$E2486)</f>
        <v>23.338</v>
      </c>
      <c r="G2486" s="107" t="n">
        <f aca="false">IF($C2486="","",$D2486*IFERROR(INDEX('تحليل التكلفة والسعر'!$C$2:$C$700,MATCH($C2486,'تحليل التكلفة والسعر'!$B$2:$B$700,0)),0))</f>
        <v>10.9127379445</v>
      </c>
      <c r="H2486" s="104" t="s">
        <v>719</v>
      </c>
    </row>
    <row r="2487" customFormat="false" ht="15" hidden="false" customHeight="false" outlineLevel="0" collapsed="false">
      <c r="A2487" s="103" t="n">
        <v>46297</v>
      </c>
      <c r="B2487" s="104" t="s">
        <v>34</v>
      </c>
      <c r="C2487" s="104" t="s">
        <v>554</v>
      </c>
      <c r="D2487" s="105" t="n">
        <v>0.1667</v>
      </c>
      <c r="E2487" s="106" t="n">
        <v>140</v>
      </c>
      <c r="F2487" s="107" t="n">
        <f aca="false">IF($C2487="","",$D2487*$E2487)</f>
        <v>23.338</v>
      </c>
      <c r="G2487" s="107" t="n">
        <f aca="false">IF($C2487="","",$D2487*IFERROR(INDEX('تحليل التكلفة والسعر'!$C$2:$C$700,MATCH($C2487,'تحليل التكلفة والسعر'!$B$2:$B$700,0)),0))</f>
        <v>10.9127379445</v>
      </c>
      <c r="H2487" s="104" t="s">
        <v>719</v>
      </c>
    </row>
    <row r="2488" customFormat="false" ht="15" hidden="false" customHeight="false" outlineLevel="0" collapsed="false">
      <c r="A2488" s="103" t="n">
        <v>46298</v>
      </c>
      <c r="B2488" s="104" t="s">
        <v>34</v>
      </c>
      <c r="C2488" s="104" t="s">
        <v>554</v>
      </c>
      <c r="D2488" s="105" t="n">
        <v>0.1667</v>
      </c>
      <c r="E2488" s="106" t="n">
        <v>140</v>
      </c>
      <c r="F2488" s="107" t="n">
        <f aca="false">IF($C2488="","",$D2488*$E2488)</f>
        <v>23.338</v>
      </c>
      <c r="G2488" s="107" t="n">
        <f aca="false">IF($C2488="","",$D2488*IFERROR(INDEX('تحليل التكلفة والسعر'!$C$2:$C$700,MATCH($C2488,'تحليل التكلفة والسعر'!$B$2:$B$700,0)),0))</f>
        <v>10.9127379445</v>
      </c>
      <c r="H2488" s="104" t="s">
        <v>719</v>
      </c>
    </row>
    <row r="2489" customFormat="false" ht="15" hidden="false" customHeight="false" outlineLevel="0" collapsed="false">
      <c r="A2489" s="103" t="n">
        <v>46299</v>
      </c>
      <c r="B2489" s="104" t="s">
        <v>34</v>
      </c>
      <c r="C2489" s="104" t="s">
        <v>554</v>
      </c>
      <c r="D2489" s="105" t="n">
        <v>0.1667</v>
      </c>
      <c r="E2489" s="106" t="n">
        <v>140</v>
      </c>
      <c r="F2489" s="107" t="n">
        <f aca="false">IF($C2489="","",$D2489*$E2489)</f>
        <v>23.338</v>
      </c>
      <c r="G2489" s="107" t="n">
        <f aca="false">IF($C2489="","",$D2489*IFERROR(INDEX('تحليل التكلفة والسعر'!$C$2:$C$700,MATCH($C2489,'تحليل التكلفة والسعر'!$B$2:$B$700,0)),0))</f>
        <v>10.9127379445</v>
      </c>
      <c r="H2489" s="104" t="s">
        <v>719</v>
      </c>
    </row>
    <row r="2490" customFormat="false" ht="15" hidden="false" customHeight="false" outlineLevel="0" collapsed="false">
      <c r="A2490" s="103" t="n">
        <v>46300</v>
      </c>
      <c r="B2490" s="104" t="s">
        <v>34</v>
      </c>
      <c r="C2490" s="104" t="s">
        <v>554</v>
      </c>
      <c r="D2490" s="105" t="n">
        <v>0.1667</v>
      </c>
      <c r="E2490" s="106" t="n">
        <v>140</v>
      </c>
      <c r="F2490" s="107" t="n">
        <f aca="false">IF($C2490="","",$D2490*$E2490)</f>
        <v>23.338</v>
      </c>
      <c r="G2490" s="107" t="n">
        <f aca="false">IF($C2490="","",$D2490*IFERROR(INDEX('تحليل التكلفة والسعر'!$C$2:$C$700,MATCH($C2490,'تحليل التكلفة والسعر'!$B$2:$B$700,0)),0))</f>
        <v>10.9127379445</v>
      </c>
      <c r="H2490" s="104" t="s">
        <v>719</v>
      </c>
    </row>
    <row r="2491" customFormat="false" ht="15" hidden="false" customHeight="false" outlineLevel="0" collapsed="false">
      <c r="A2491" s="103" t="n">
        <v>46301</v>
      </c>
      <c r="B2491" s="104" t="s">
        <v>34</v>
      </c>
      <c r="C2491" s="104" t="s">
        <v>554</v>
      </c>
      <c r="D2491" s="105" t="n">
        <v>0.1667</v>
      </c>
      <c r="E2491" s="106" t="n">
        <v>140</v>
      </c>
      <c r="F2491" s="107" t="n">
        <f aca="false">IF($C2491="","",$D2491*$E2491)</f>
        <v>23.338</v>
      </c>
      <c r="G2491" s="107" t="n">
        <f aca="false">IF($C2491="","",$D2491*IFERROR(INDEX('تحليل التكلفة والسعر'!$C$2:$C$700,MATCH($C2491,'تحليل التكلفة والسعر'!$B$2:$B$700,0)),0))</f>
        <v>10.9127379445</v>
      </c>
      <c r="H2491" s="104" t="s">
        <v>719</v>
      </c>
    </row>
    <row r="2492" customFormat="false" ht="15" hidden="false" customHeight="false" outlineLevel="0" collapsed="false">
      <c r="A2492" s="103" t="n">
        <v>46302</v>
      </c>
      <c r="B2492" s="104" t="s">
        <v>34</v>
      </c>
      <c r="C2492" s="104" t="s">
        <v>554</v>
      </c>
      <c r="D2492" s="105" t="n">
        <v>0.1667</v>
      </c>
      <c r="E2492" s="106" t="n">
        <v>140</v>
      </c>
      <c r="F2492" s="107" t="n">
        <f aca="false">IF($C2492="","",$D2492*$E2492)</f>
        <v>23.338</v>
      </c>
      <c r="G2492" s="107" t="n">
        <f aca="false">IF($C2492="","",$D2492*IFERROR(INDEX('تحليل التكلفة والسعر'!$C$2:$C$700,MATCH($C2492,'تحليل التكلفة والسعر'!$B$2:$B$700,0)),0))</f>
        <v>10.9127379445</v>
      </c>
      <c r="H2492" s="104" t="s">
        <v>719</v>
      </c>
    </row>
    <row r="2493" customFormat="false" ht="15" hidden="false" customHeight="false" outlineLevel="0" collapsed="false">
      <c r="A2493" s="103" t="n">
        <v>46303</v>
      </c>
      <c r="B2493" s="104" t="s">
        <v>34</v>
      </c>
      <c r="C2493" s="104" t="s">
        <v>554</v>
      </c>
      <c r="D2493" s="105" t="n">
        <v>0.1667</v>
      </c>
      <c r="E2493" s="106" t="n">
        <v>140</v>
      </c>
      <c r="F2493" s="107" t="n">
        <f aca="false">IF($C2493="","",$D2493*$E2493)</f>
        <v>23.338</v>
      </c>
      <c r="G2493" s="107" t="n">
        <f aca="false">IF($C2493="","",$D2493*IFERROR(INDEX('تحليل التكلفة والسعر'!$C$2:$C$700,MATCH($C2493,'تحليل التكلفة والسعر'!$B$2:$B$700,0)),0))</f>
        <v>10.9127379445</v>
      </c>
      <c r="H2493" s="104" t="s">
        <v>719</v>
      </c>
    </row>
    <row r="2494" customFormat="false" ht="15" hidden="false" customHeight="false" outlineLevel="0" collapsed="false">
      <c r="A2494" s="103" t="n">
        <v>46304</v>
      </c>
      <c r="B2494" s="104" t="s">
        <v>34</v>
      </c>
      <c r="C2494" s="104" t="s">
        <v>554</v>
      </c>
      <c r="D2494" s="105" t="n">
        <v>0.1667</v>
      </c>
      <c r="E2494" s="106" t="n">
        <v>140</v>
      </c>
      <c r="F2494" s="107" t="n">
        <f aca="false">IF($C2494="","",$D2494*$E2494)</f>
        <v>23.338</v>
      </c>
      <c r="G2494" s="107" t="n">
        <f aca="false">IF($C2494="","",$D2494*IFERROR(INDEX('تحليل التكلفة والسعر'!$C$2:$C$700,MATCH($C2494,'تحليل التكلفة والسعر'!$B$2:$B$700,0)),0))</f>
        <v>10.9127379445</v>
      </c>
      <c r="H2494" s="104" t="s">
        <v>719</v>
      </c>
    </row>
    <row r="2495" customFormat="false" ht="15" hidden="false" customHeight="false" outlineLevel="0" collapsed="false">
      <c r="A2495" s="103" t="n">
        <v>46305</v>
      </c>
      <c r="B2495" s="104" t="s">
        <v>34</v>
      </c>
      <c r="C2495" s="104" t="s">
        <v>554</v>
      </c>
      <c r="D2495" s="105" t="n">
        <v>0.1667</v>
      </c>
      <c r="E2495" s="106" t="n">
        <v>140</v>
      </c>
      <c r="F2495" s="107" t="n">
        <f aca="false">IF($C2495="","",$D2495*$E2495)</f>
        <v>23.338</v>
      </c>
      <c r="G2495" s="107" t="n">
        <f aca="false">IF($C2495="","",$D2495*IFERROR(INDEX('تحليل التكلفة والسعر'!$C$2:$C$700,MATCH($C2495,'تحليل التكلفة والسعر'!$B$2:$B$700,0)),0))</f>
        <v>10.9127379445</v>
      </c>
      <c r="H2495" s="104" t="s">
        <v>719</v>
      </c>
    </row>
    <row r="2496" customFormat="false" ht="15" hidden="false" customHeight="false" outlineLevel="0" collapsed="false">
      <c r="A2496" s="103" t="n">
        <v>46306</v>
      </c>
      <c r="B2496" s="104" t="s">
        <v>34</v>
      </c>
      <c r="C2496" s="104" t="s">
        <v>554</v>
      </c>
      <c r="D2496" s="105" t="n">
        <v>0.1667</v>
      </c>
      <c r="E2496" s="106" t="n">
        <v>140</v>
      </c>
      <c r="F2496" s="107" t="n">
        <f aca="false">IF($C2496="","",$D2496*$E2496)</f>
        <v>23.338</v>
      </c>
      <c r="G2496" s="107" t="n">
        <f aca="false">IF($C2496="","",$D2496*IFERROR(INDEX('تحليل التكلفة والسعر'!$C$2:$C$700,MATCH($C2496,'تحليل التكلفة والسعر'!$B$2:$B$700,0)),0))</f>
        <v>10.9127379445</v>
      </c>
      <c r="H2496" s="104" t="s">
        <v>719</v>
      </c>
    </row>
    <row r="2497" customFormat="false" ht="15" hidden="false" customHeight="false" outlineLevel="0" collapsed="false">
      <c r="A2497" s="103" t="n">
        <v>46307</v>
      </c>
      <c r="B2497" s="104" t="s">
        <v>34</v>
      </c>
      <c r="C2497" s="104" t="s">
        <v>554</v>
      </c>
      <c r="D2497" s="105" t="n">
        <v>0.1667</v>
      </c>
      <c r="E2497" s="106" t="n">
        <v>140</v>
      </c>
      <c r="F2497" s="107" t="n">
        <f aca="false">IF($C2497="","",$D2497*$E2497)</f>
        <v>23.338</v>
      </c>
      <c r="G2497" s="107" t="n">
        <f aca="false">IF($C2497="","",$D2497*IFERROR(INDEX('تحليل التكلفة والسعر'!$C$2:$C$700,MATCH($C2497,'تحليل التكلفة والسعر'!$B$2:$B$700,0)),0))</f>
        <v>10.9127379445</v>
      </c>
      <c r="H2497" s="104" t="s">
        <v>719</v>
      </c>
    </row>
    <row r="2498" customFormat="false" ht="15" hidden="false" customHeight="false" outlineLevel="0" collapsed="false">
      <c r="A2498" s="103" t="n">
        <v>46296</v>
      </c>
      <c r="B2498" s="104" t="s">
        <v>34</v>
      </c>
      <c r="C2498" s="104" t="s">
        <v>452</v>
      </c>
      <c r="D2498" s="105" t="n">
        <v>0.6667</v>
      </c>
      <c r="E2498" s="106" t="n">
        <v>192.5</v>
      </c>
      <c r="F2498" s="107" t="n">
        <f aca="false">IF($C2498="","",$D2498*$E2498)</f>
        <v>128.33975</v>
      </c>
      <c r="G2498" s="107" t="n">
        <f aca="false">IF($C2498="","",$D2498*IFERROR(INDEX('تحليل التكلفة والسعر'!$C$2:$C$700,MATCH($C2498,'تحليل التكلفة والسعر'!$B$2:$B$700,0)),0))</f>
        <v>60.3637080345</v>
      </c>
      <c r="H2498" s="104" t="s">
        <v>719</v>
      </c>
    </row>
    <row r="2499" customFormat="false" ht="15" hidden="false" customHeight="false" outlineLevel="0" collapsed="false">
      <c r="A2499" s="103" t="n">
        <v>46297</v>
      </c>
      <c r="B2499" s="104" t="s">
        <v>34</v>
      </c>
      <c r="C2499" s="104" t="s">
        <v>452</v>
      </c>
      <c r="D2499" s="105" t="n">
        <v>0.6667</v>
      </c>
      <c r="E2499" s="106" t="n">
        <v>192.5</v>
      </c>
      <c r="F2499" s="107" t="n">
        <f aca="false">IF($C2499="","",$D2499*$E2499)</f>
        <v>128.33975</v>
      </c>
      <c r="G2499" s="107" t="n">
        <f aca="false">IF($C2499="","",$D2499*IFERROR(INDEX('تحليل التكلفة والسعر'!$C$2:$C$700,MATCH($C2499,'تحليل التكلفة والسعر'!$B$2:$B$700,0)),0))</f>
        <v>60.3637080345</v>
      </c>
      <c r="H2499" s="104" t="s">
        <v>719</v>
      </c>
    </row>
    <row r="2500" customFormat="false" ht="15" hidden="false" customHeight="false" outlineLevel="0" collapsed="false">
      <c r="A2500" s="103" t="n">
        <v>46298</v>
      </c>
      <c r="B2500" s="104" t="s">
        <v>34</v>
      </c>
      <c r="C2500" s="104" t="s">
        <v>452</v>
      </c>
      <c r="D2500" s="105" t="n">
        <v>0.6667</v>
      </c>
      <c r="E2500" s="106" t="n">
        <v>192.5</v>
      </c>
      <c r="F2500" s="107" t="n">
        <f aca="false">IF($C2500="","",$D2500*$E2500)</f>
        <v>128.33975</v>
      </c>
      <c r="G2500" s="107" t="n">
        <f aca="false">IF($C2500="","",$D2500*IFERROR(INDEX('تحليل التكلفة والسعر'!$C$2:$C$700,MATCH($C2500,'تحليل التكلفة والسعر'!$B$2:$B$700,0)),0))</f>
        <v>60.3637080345</v>
      </c>
      <c r="H2500" s="104" t="s">
        <v>719</v>
      </c>
    </row>
    <row r="2501" customFormat="false" ht="15" hidden="false" customHeight="false" outlineLevel="0" collapsed="false">
      <c r="A2501" s="103" t="n">
        <v>46299</v>
      </c>
      <c r="B2501" s="104" t="s">
        <v>34</v>
      </c>
      <c r="C2501" s="104" t="s">
        <v>452</v>
      </c>
      <c r="D2501" s="105" t="n">
        <v>0.6667</v>
      </c>
      <c r="E2501" s="106" t="n">
        <v>192.5</v>
      </c>
      <c r="F2501" s="107" t="n">
        <f aca="false">IF($C2501="","",$D2501*$E2501)</f>
        <v>128.33975</v>
      </c>
      <c r="G2501" s="107" t="n">
        <f aca="false">IF($C2501="","",$D2501*IFERROR(INDEX('تحليل التكلفة والسعر'!$C$2:$C$700,MATCH($C2501,'تحليل التكلفة والسعر'!$B$2:$B$700,0)),0))</f>
        <v>60.3637080345</v>
      </c>
      <c r="H2501" s="104" t="s">
        <v>719</v>
      </c>
    </row>
    <row r="2502" customFormat="false" ht="15" hidden="false" customHeight="false" outlineLevel="0" collapsed="false">
      <c r="A2502" s="103" t="n">
        <v>46300</v>
      </c>
      <c r="B2502" s="104" t="s">
        <v>34</v>
      </c>
      <c r="C2502" s="104" t="s">
        <v>452</v>
      </c>
      <c r="D2502" s="105" t="n">
        <v>0.6667</v>
      </c>
      <c r="E2502" s="106" t="n">
        <v>192.5</v>
      </c>
      <c r="F2502" s="107" t="n">
        <f aca="false">IF($C2502="","",$D2502*$E2502)</f>
        <v>128.33975</v>
      </c>
      <c r="G2502" s="107" t="n">
        <f aca="false">IF($C2502="","",$D2502*IFERROR(INDEX('تحليل التكلفة والسعر'!$C$2:$C$700,MATCH($C2502,'تحليل التكلفة والسعر'!$B$2:$B$700,0)),0))</f>
        <v>60.3637080345</v>
      </c>
      <c r="H2502" s="104" t="s">
        <v>719</v>
      </c>
    </row>
    <row r="2503" customFormat="false" ht="15" hidden="false" customHeight="false" outlineLevel="0" collapsed="false">
      <c r="A2503" s="103" t="n">
        <v>46301</v>
      </c>
      <c r="B2503" s="104" t="s">
        <v>34</v>
      </c>
      <c r="C2503" s="104" t="s">
        <v>452</v>
      </c>
      <c r="D2503" s="105" t="n">
        <v>0.6667</v>
      </c>
      <c r="E2503" s="106" t="n">
        <v>192.5</v>
      </c>
      <c r="F2503" s="107" t="n">
        <f aca="false">IF($C2503="","",$D2503*$E2503)</f>
        <v>128.33975</v>
      </c>
      <c r="G2503" s="107" t="n">
        <f aca="false">IF($C2503="","",$D2503*IFERROR(INDEX('تحليل التكلفة والسعر'!$C$2:$C$700,MATCH($C2503,'تحليل التكلفة والسعر'!$B$2:$B$700,0)),0))</f>
        <v>60.3637080345</v>
      </c>
      <c r="H2503" s="104" t="s">
        <v>719</v>
      </c>
    </row>
    <row r="2504" customFormat="false" ht="15" hidden="false" customHeight="false" outlineLevel="0" collapsed="false">
      <c r="A2504" s="103" t="n">
        <v>46302</v>
      </c>
      <c r="B2504" s="104" t="s">
        <v>34</v>
      </c>
      <c r="C2504" s="104" t="s">
        <v>452</v>
      </c>
      <c r="D2504" s="105" t="n">
        <v>0.6667</v>
      </c>
      <c r="E2504" s="106" t="n">
        <v>192.5</v>
      </c>
      <c r="F2504" s="107" t="n">
        <f aca="false">IF($C2504="","",$D2504*$E2504)</f>
        <v>128.33975</v>
      </c>
      <c r="G2504" s="107" t="n">
        <f aca="false">IF($C2504="","",$D2504*IFERROR(INDEX('تحليل التكلفة والسعر'!$C$2:$C$700,MATCH($C2504,'تحليل التكلفة والسعر'!$B$2:$B$700,0)),0))</f>
        <v>60.3637080345</v>
      </c>
      <c r="H2504" s="104" t="s">
        <v>719</v>
      </c>
    </row>
    <row r="2505" customFormat="false" ht="15" hidden="false" customHeight="false" outlineLevel="0" collapsed="false">
      <c r="A2505" s="103" t="n">
        <v>46303</v>
      </c>
      <c r="B2505" s="104" t="s">
        <v>34</v>
      </c>
      <c r="C2505" s="104" t="s">
        <v>452</v>
      </c>
      <c r="D2505" s="105" t="n">
        <v>0.6667</v>
      </c>
      <c r="E2505" s="106" t="n">
        <v>192.5</v>
      </c>
      <c r="F2505" s="107" t="n">
        <f aca="false">IF($C2505="","",$D2505*$E2505)</f>
        <v>128.33975</v>
      </c>
      <c r="G2505" s="107" t="n">
        <f aca="false">IF($C2505="","",$D2505*IFERROR(INDEX('تحليل التكلفة والسعر'!$C$2:$C$700,MATCH($C2505,'تحليل التكلفة والسعر'!$B$2:$B$700,0)),0))</f>
        <v>60.3637080345</v>
      </c>
      <c r="H2505" s="104" t="s">
        <v>719</v>
      </c>
    </row>
    <row r="2506" customFormat="false" ht="15" hidden="false" customHeight="false" outlineLevel="0" collapsed="false">
      <c r="A2506" s="103" t="n">
        <v>46304</v>
      </c>
      <c r="B2506" s="104" t="s">
        <v>34</v>
      </c>
      <c r="C2506" s="104" t="s">
        <v>452</v>
      </c>
      <c r="D2506" s="105" t="n">
        <v>0.6667</v>
      </c>
      <c r="E2506" s="106" t="n">
        <v>192.5</v>
      </c>
      <c r="F2506" s="107" t="n">
        <f aca="false">IF($C2506="","",$D2506*$E2506)</f>
        <v>128.33975</v>
      </c>
      <c r="G2506" s="107" t="n">
        <f aca="false">IF($C2506="","",$D2506*IFERROR(INDEX('تحليل التكلفة والسعر'!$C$2:$C$700,MATCH($C2506,'تحليل التكلفة والسعر'!$B$2:$B$700,0)),0))</f>
        <v>60.3637080345</v>
      </c>
      <c r="H2506" s="104" t="s">
        <v>719</v>
      </c>
    </row>
    <row r="2507" customFormat="false" ht="15" hidden="false" customHeight="false" outlineLevel="0" collapsed="false">
      <c r="A2507" s="103" t="n">
        <v>46305</v>
      </c>
      <c r="B2507" s="104" t="s">
        <v>34</v>
      </c>
      <c r="C2507" s="104" t="s">
        <v>452</v>
      </c>
      <c r="D2507" s="105" t="n">
        <v>0.6667</v>
      </c>
      <c r="E2507" s="106" t="n">
        <v>192.5</v>
      </c>
      <c r="F2507" s="107" t="n">
        <f aca="false">IF($C2507="","",$D2507*$E2507)</f>
        <v>128.33975</v>
      </c>
      <c r="G2507" s="107" t="n">
        <f aca="false">IF($C2507="","",$D2507*IFERROR(INDEX('تحليل التكلفة والسعر'!$C$2:$C$700,MATCH($C2507,'تحليل التكلفة والسعر'!$B$2:$B$700,0)),0))</f>
        <v>60.3637080345</v>
      </c>
      <c r="H2507" s="104" t="s">
        <v>719</v>
      </c>
    </row>
    <row r="2508" customFormat="false" ht="15" hidden="false" customHeight="false" outlineLevel="0" collapsed="false">
      <c r="A2508" s="103" t="n">
        <v>46306</v>
      </c>
      <c r="B2508" s="104" t="s">
        <v>34</v>
      </c>
      <c r="C2508" s="104" t="s">
        <v>452</v>
      </c>
      <c r="D2508" s="105" t="n">
        <v>0.6667</v>
      </c>
      <c r="E2508" s="106" t="n">
        <v>192.5</v>
      </c>
      <c r="F2508" s="107" t="n">
        <f aca="false">IF($C2508="","",$D2508*$E2508)</f>
        <v>128.33975</v>
      </c>
      <c r="G2508" s="107" t="n">
        <f aca="false">IF($C2508="","",$D2508*IFERROR(INDEX('تحليل التكلفة والسعر'!$C$2:$C$700,MATCH($C2508,'تحليل التكلفة والسعر'!$B$2:$B$700,0)),0))</f>
        <v>60.3637080345</v>
      </c>
      <c r="H2508" s="104" t="s">
        <v>719</v>
      </c>
    </row>
    <row r="2509" customFormat="false" ht="15" hidden="false" customHeight="false" outlineLevel="0" collapsed="false">
      <c r="A2509" s="103" t="n">
        <v>46307</v>
      </c>
      <c r="B2509" s="104" t="s">
        <v>34</v>
      </c>
      <c r="C2509" s="104" t="s">
        <v>452</v>
      </c>
      <c r="D2509" s="105" t="n">
        <v>0.6667</v>
      </c>
      <c r="E2509" s="106" t="n">
        <v>192.5</v>
      </c>
      <c r="F2509" s="107" t="n">
        <f aca="false">IF($C2509="","",$D2509*$E2509)</f>
        <v>128.33975</v>
      </c>
      <c r="G2509" s="107" t="n">
        <f aca="false">IF($C2509="","",$D2509*IFERROR(INDEX('تحليل التكلفة والسعر'!$C$2:$C$700,MATCH($C2509,'تحليل التكلفة والسعر'!$B$2:$B$700,0)),0))</f>
        <v>60.3637080345</v>
      </c>
      <c r="H2509" s="104" t="s">
        <v>719</v>
      </c>
    </row>
    <row r="2510" customFormat="false" ht="15" hidden="false" customHeight="false" outlineLevel="0" collapsed="false">
      <c r="A2510" s="103" t="n">
        <v>46296</v>
      </c>
      <c r="B2510" s="104" t="s">
        <v>34</v>
      </c>
      <c r="C2510" s="104" t="s">
        <v>467</v>
      </c>
      <c r="D2510" s="105" t="n">
        <v>1.1667</v>
      </c>
      <c r="E2510" s="106" t="n">
        <v>188.5714</v>
      </c>
      <c r="F2510" s="107" t="n">
        <f aca="false">IF($C2510="","",$D2510*$E2510)</f>
        <v>220.00625238</v>
      </c>
      <c r="G2510" s="107" t="n">
        <f aca="false">IF($C2510="","",$D2510*IFERROR(INDEX('تحليل التكلفة والسعر'!$C$2:$C$700,MATCH($C2510,'تحليل التكلفة والسعر'!$B$2:$B$700,0)),0))</f>
        <v>109.7176755345</v>
      </c>
      <c r="H2510" s="104" t="s">
        <v>719</v>
      </c>
    </row>
    <row r="2511" customFormat="false" ht="15" hidden="false" customHeight="false" outlineLevel="0" collapsed="false">
      <c r="A2511" s="103" t="n">
        <v>46297</v>
      </c>
      <c r="B2511" s="104" t="s">
        <v>34</v>
      </c>
      <c r="C2511" s="104" t="s">
        <v>467</v>
      </c>
      <c r="D2511" s="105" t="n">
        <v>1.1667</v>
      </c>
      <c r="E2511" s="106" t="n">
        <v>188.5714</v>
      </c>
      <c r="F2511" s="107" t="n">
        <f aca="false">IF($C2511="","",$D2511*$E2511)</f>
        <v>220.00625238</v>
      </c>
      <c r="G2511" s="107" t="n">
        <f aca="false">IF($C2511="","",$D2511*IFERROR(INDEX('تحليل التكلفة والسعر'!$C$2:$C$700,MATCH($C2511,'تحليل التكلفة والسعر'!$B$2:$B$700,0)),0))</f>
        <v>109.7176755345</v>
      </c>
      <c r="H2511" s="104" t="s">
        <v>719</v>
      </c>
    </row>
    <row r="2512" customFormat="false" ht="15" hidden="false" customHeight="false" outlineLevel="0" collapsed="false">
      <c r="A2512" s="103" t="n">
        <v>46298</v>
      </c>
      <c r="B2512" s="104" t="s">
        <v>34</v>
      </c>
      <c r="C2512" s="104" t="s">
        <v>467</v>
      </c>
      <c r="D2512" s="105" t="n">
        <v>1.1667</v>
      </c>
      <c r="E2512" s="106" t="n">
        <v>188.5714</v>
      </c>
      <c r="F2512" s="107" t="n">
        <f aca="false">IF($C2512="","",$D2512*$E2512)</f>
        <v>220.00625238</v>
      </c>
      <c r="G2512" s="107" t="n">
        <f aca="false">IF($C2512="","",$D2512*IFERROR(INDEX('تحليل التكلفة والسعر'!$C$2:$C$700,MATCH($C2512,'تحليل التكلفة والسعر'!$B$2:$B$700,0)),0))</f>
        <v>109.7176755345</v>
      </c>
      <c r="H2512" s="104" t="s">
        <v>719</v>
      </c>
    </row>
    <row r="2513" customFormat="false" ht="15" hidden="false" customHeight="false" outlineLevel="0" collapsed="false">
      <c r="A2513" s="103" t="n">
        <v>46299</v>
      </c>
      <c r="B2513" s="104" t="s">
        <v>34</v>
      </c>
      <c r="C2513" s="104" t="s">
        <v>467</v>
      </c>
      <c r="D2513" s="105" t="n">
        <v>1.1667</v>
      </c>
      <c r="E2513" s="106" t="n">
        <v>188.5714</v>
      </c>
      <c r="F2513" s="107" t="n">
        <f aca="false">IF($C2513="","",$D2513*$E2513)</f>
        <v>220.00625238</v>
      </c>
      <c r="G2513" s="107" t="n">
        <f aca="false">IF($C2513="","",$D2513*IFERROR(INDEX('تحليل التكلفة والسعر'!$C$2:$C$700,MATCH($C2513,'تحليل التكلفة والسعر'!$B$2:$B$700,0)),0))</f>
        <v>109.7176755345</v>
      </c>
      <c r="H2513" s="104" t="s">
        <v>719</v>
      </c>
    </row>
    <row r="2514" customFormat="false" ht="15" hidden="false" customHeight="false" outlineLevel="0" collapsed="false">
      <c r="A2514" s="103" t="n">
        <v>46300</v>
      </c>
      <c r="B2514" s="104" t="s">
        <v>34</v>
      </c>
      <c r="C2514" s="104" t="s">
        <v>467</v>
      </c>
      <c r="D2514" s="105" t="n">
        <v>1.1667</v>
      </c>
      <c r="E2514" s="106" t="n">
        <v>188.5714</v>
      </c>
      <c r="F2514" s="107" t="n">
        <f aca="false">IF($C2514="","",$D2514*$E2514)</f>
        <v>220.00625238</v>
      </c>
      <c r="G2514" s="107" t="n">
        <f aca="false">IF($C2514="","",$D2514*IFERROR(INDEX('تحليل التكلفة والسعر'!$C$2:$C$700,MATCH($C2514,'تحليل التكلفة والسعر'!$B$2:$B$700,0)),0))</f>
        <v>109.7176755345</v>
      </c>
      <c r="H2514" s="104" t="s">
        <v>719</v>
      </c>
    </row>
    <row r="2515" customFormat="false" ht="15" hidden="false" customHeight="false" outlineLevel="0" collapsed="false">
      <c r="A2515" s="103" t="n">
        <v>46301</v>
      </c>
      <c r="B2515" s="104" t="s">
        <v>34</v>
      </c>
      <c r="C2515" s="104" t="s">
        <v>467</v>
      </c>
      <c r="D2515" s="105" t="n">
        <v>1.1667</v>
      </c>
      <c r="E2515" s="106" t="n">
        <v>188.5714</v>
      </c>
      <c r="F2515" s="107" t="n">
        <f aca="false">IF($C2515="","",$D2515*$E2515)</f>
        <v>220.00625238</v>
      </c>
      <c r="G2515" s="107" t="n">
        <f aca="false">IF($C2515="","",$D2515*IFERROR(INDEX('تحليل التكلفة والسعر'!$C$2:$C$700,MATCH($C2515,'تحليل التكلفة والسعر'!$B$2:$B$700,0)),0))</f>
        <v>109.7176755345</v>
      </c>
      <c r="H2515" s="104" t="s">
        <v>719</v>
      </c>
    </row>
    <row r="2516" customFormat="false" ht="15" hidden="false" customHeight="false" outlineLevel="0" collapsed="false">
      <c r="A2516" s="103" t="n">
        <v>46302</v>
      </c>
      <c r="B2516" s="104" t="s">
        <v>34</v>
      </c>
      <c r="C2516" s="104" t="s">
        <v>467</v>
      </c>
      <c r="D2516" s="105" t="n">
        <v>1.1667</v>
      </c>
      <c r="E2516" s="106" t="n">
        <v>188.5714</v>
      </c>
      <c r="F2516" s="107" t="n">
        <f aca="false">IF($C2516="","",$D2516*$E2516)</f>
        <v>220.00625238</v>
      </c>
      <c r="G2516" s="107" t="n">
        <f aca="false">IF($C2516="","",$D2516*IFERROR(INDEX('تحليل التكلفة والسعر'!$C$2:$C$700,MATCH($C2516,'تحليل التكلفة والسعر'!$B$2:$B$700,0)),0))</f>
        <v>109.7176755345</v>
      </c>
      <c r="H2516" s="104" t="s">
        <v>719</v>
      </c>
    </row>
    <row r="2517" customFormat="false" ht="15" hidden="false" customHeight="false" outlineLevel="0" collapsed="false">
      <c r="A2517" s="103" t="n">
        <v>46303</v>
      </c>
      <c r="B2517" s="104" t="s">
        <v>34</v>
      </c>
      <c r="C2517" s="104" t="s">
        <v>467</v>
      </c>
      <c r="D2517" s="105" t="n">
        <v>1.1667</v>
      </c>
      <c r="E2517" s="106" t="n">
        <v>188.5714</v>
      </c>
      <c r="F2517" s="107" t="n">
        <f aca="false">IF($C2517="","",$D2517*$E2517)</f>
        <v>220.00625238</v>
      </c>
      <c r="G2517" s="107" t="n">
        <f aca="false">IF($C2517="","",$D2517*IFERROR(INDEX('تحليل التكلفة والسعر'!$C$2:$C$700,MATCH($C2517,'تحليل التكلفة والسعر'!$B$2:$B$700,0)),0))</f>
        <v>109.7176755345</v>
      </c>
      <c r="H2517" s="104" t="s">
        <v>719</v>
      </c>
    </row>
    <row r="2518" customFormat="false" ht="15" hidden="false" customHeight="false" outlineLevel="0" collapsed="false">
      <c r="A2518" s="103" t="n">
        <v>46304</v>
      </c>
      <c r="B2518" s="104" t="s">
        <v>34</v>
      </c>
      <c r="C2518" s="104" t="s">
        <v>467</v>
      </c>
      <c r="D2518" s="105" t="n">
        <v>1.1667</v>
      </c>
      <c r="E2518" s="106" t="n">
        <v>188.5714</v>
      </c>
      <c r="F2518" s="107" t="n">
        <f aca="false">IF($C2518="","",$D2518*$E2518)</f>
        <v>220.00625238</v>
      </c>
      <c r="G2518" s="107" t="n">
        <f aca="false">IF($C2518="","",$D2518*IFERROR(INDEX('تحليل التكلفة والسعر'!$C$2:$C$700,MATCH($C2518,'تحليل التكلفة والسعر'!$B$2:$B$700,0)),0))</f>
        <v>109.7176755345</v>
      </c>
      <c r="H2518" s="104" t="s">
        <v>719</v>
      </c>
    </row>
    <row r="2519" customFormat="false" ht="15" hidden="false" customHeight="false" outlineLevel="0" collapsed="false">
      <c r="A2519" s="103" t="n">
        <v>46305</v>
      </c>
      <c r="B2519" s="104" t="s">
        <v>34</v>
      </c>
      <c r="C2519" s="104" t="s">
        <v>467</v>
      </c>
      <c r="D2519" s="105" t="n">
        <v>1.1667</v>
      </c>
      <c r="E2519" s="106" t="n">
        <v>188.5714</v>
      </c>
      <c r="F2519" s="107" t="n">
        <f aca="false">IF($C2519="","",$D2519*$E2519)</f>
        <v>220.00625238</v>
      </c>
      <c r="G2519" s="107" t="n">
        <f aca="false">IF($C2519="","",$D2519*IFERROR(INDEX('تحليل التكلفة والسعر'!$C$2:$C$700,MATCH($C2519,'تحليل التكلفة والسعر'!$B$2:$B$700,0)),0))</f>
        <v>109.7176755345</v>
      </c>
      <c r="H2519" s="104" t="s">
        <v>719</v>
      </c>
    </row>
    <row r="2520" customFormat="false" ht="15" hidden="false" customHeight="false" outlineLevel="0" collapsed="false">
      <c r="A2520" s="103" t="n">
        <v>46306</v>
      </c>
      <c r="B2520" s="104" t="s">
        <v>34</v>
      </c>
      <c r="C2520" s="104" t="s">
        <v>467</v>
      </c>
      <c r="D2520" s="105" t="n">
        <v>1.1667</v>
      </c>
      <c r="E2520" s="106" t="n">
        <v>188.5714</v>
      </c>
      <c r="F2520" s="107" t="n">
        <f aca="false">IF($C2520="","",$D2520*$E2520)</f>
        <v>220.00625238</v>
      </c>
      <c r="G2520" s="107" t="n">
        <f aca="false">IF($C2520="","",$D2520*IFERROR(INDEX('تحليل التكلفة والسعر'!$C$2:$C$700,MATCH($C2520,'تحليل التكلفة والسعر'!$B$2:$B$700,0)),0))</f>
        <v>109.7176755345</v>
      </c>
      <c r="H2520" s="104" t="s">
        <v>719</v>
      </c>
    </row>
    <row r="2521" customFormat="false" ht="15" hidden="false" customHeight="false" outlineLevel="0" collapsed="false">
      <c r="A2521" s="103" t="n">
        <v>46307</v>
      </c>
      <c r="B2521" s="104" t="s">
        <v>34</v>
      </c>
      <c r="C2521" s="104" t="s">
        <v>467</v>
      </c>
      <c r="D2521" s="105" t="n">
        <v>1.1667</v>
      </c>
      <c r="E2521" s="106" t="n">
        <v>188.5714</v>
      </c>
      <c r="F2521" s="107" t="n">
        <f aca="false">IF($C2521="","",$D2521*$E2521)</f>
        <v>220.00625238</v>
      </c>
      <c r="G2521" s="107" t="n">
        <f aca="false">IF($C2521="","",$D2521*IFERROR(INDEX('تحليل التكلفة والسعر'!$C$2:$C$700,MATCH($C2521,'تحليل التكلفة والسعر'!$B$2:$B$700,0)),0))</f>
        <v>109.7176755345</v>
      </c>
      <c r="H2521" s="104" t="s">
        <v>719</v>
      </c>
    </row>
    <row r="2522" customFormat="false" ht="15" hidden="false" customHeight="false" outlineLevel="0" collapsed="false">
      <c r="A2522" s="103" t="n">
        <v>46296</v>
      </c>
      <c r="B2522" s="104" t="s">
        <v>34</v>
      </c>
      <c r="C2522" s="104" t="s">
        <v>398</v>
      </c>
      <c r="D2522" s="105" t="n">
        <v>0.0833</v>
      </c>
      <c r="E2522" s="106" t="n">
        <v>120</v>
      </c>
      <c r="F2522" s="107" t="n">
        <f aca="false">IF($C2522="","",$D2522*$E2522)</f>
        <v>9.996</v>
      </c>
      <c r="G2522" s="107" t="n">
        <f aca="false">IF($C2522="","",$D2522*IFERROR(INDEX('تحليل التكلفة والسعر'!$C$2:$C$700,MATCH($C2522,'تحليل التكلفة والسعر'!$B$2:$B$700,0)),0))</f>
        <v>3.7986600946</v>
      </c>
      <c r="H2522" s="104" t="s">
        <v>719</v>
      </c>
    </row>
    <row r="2523" customFormat="false" ht="15" hidden="false" customHeight="false" outlineLevel="0" collapsed="false">
      <c r="A2523" s="103" t="n">
        <v>46297</v>
      </c>
      <c r="B2523" s="104" t="s">
        <v>34</v>
      </c>
      <c r="C2523" s="104" t="s">
        <v>398</v>
      </c>
      <c r="D2523" s="105" t="n">
        <v>0.0833</v>
      </c>
      <c r="E2523" s="106" t="n">
        <v>120</v>
      </c>
      <c r="F2523" s="107" t="n">
        <f aca="false">IF($C2523="","",$D2523*$E2523)</f>
        <v>9.996</v>
      </c>
      <c r="G2523" s="107" t="n">
        <f aca="false">IF($C2523="","",$D2523*IFERROR(INDEX('تحليل التكلفة والسعر'!$C$2:$C$700,MATCH($C2523,'تحليل التكلفة والسعر'!$B$2:$B$700,0)),0))</f>
        <v>3.7986600946</v>
      </c>
      <c r="H2523" s="104" t="s">
        <v>719</v>
      </c>
    </row>
    <row r="2524" customFormat="false" ht="15" hidden="false" customHeight="false" outlineLevel="0" collapsed="false">
      <c r="A2524" s="103" t="n">
        <v>46298</v>
      </c>
      <c r="B2524" s="104" t="s">
        <v>34</v>
      </c>
      <c r="C2524" s="104" t="s">
        <v>398</v>
      </c>
      <c r="D2524" s="105" t="n">
        <v>0.0833</v>
      </c>
      <c r="E2524" s="106" t="n">
        <v>120</v>
      </c>
      <c r="F2524" s="107" t="n">
        <f aca="false">IF($C2524="","",$D2524*$E2524)</f>
        <v>9.996</v>
      </c>
      <c r="G2524" s="107" t="n">
        <f aca="false">IF($C2524="","",$D2524*IFERROR(INDEX('تحليل التكلفة والسعر'!$C$2:$C$700,MATCH($C2524,'تحليل التكلفة والسعر'!$B$2:$B$700,0)),0))</f>
        <v>3.7986600946</v>
      </c>
      <c r="H2524" s="104" t="s">
        <v>719</v>
      </c>
    </row>
    <row r="2525" customFormat="false" ht="15" hidden="false" customHeight="false" outlineLevel="0" collapsed="false">
      <c r="A2525" s="103" t="n">
        <v>46299</v>
      </c>
      <c r="B2525" s="104" t="s">
        <v>34</v>
      </c>
      <c r="C2525" s="104" t="s">
        <v>398</v>
      </c>
      <c r="D2525" s="105" t="n">
        <v>0.0833</v>
      </c>
      <c r="E2525" s="106" t="n">
        <v>120</v>
      </c>
      <c r="F2525" s="107" t="n">
        <f aca="false">IF($C2525="","",$D2525*$E2525)</f>
        <v>9.996</v>
      </c>
      <c r="G2525" s="107" t="n">
        <f aca="false">IF($C2525="","",$D2525*IFERROR(INDEX('تحليل التكلفة والسعر'!$C$2:$C$700,MATCH($C2525,'تحليل التكلفة والسعر'!$B$2:$B$700,0)),0))</f>
        <v>3.7986600946</v>
      </c>
      <c r="H2525" s="104" t="s">
        <v>719</v>
      </c>
    </row>
    <row r="2526" customFormat="false" ht="15" hidden="false" customHeight="false" outlineLevel="0" collapsed="false">
      <c r="A2526" s="103" t="n">
        <v>46300</v>
      </c>
      <c r="B2526" s="104" t="s">
        <v>34</v>
      </c>
      <c r="C2526" s="104" t="s">
        <v>398</v>
      </c>
      <c r="D2526" s="105" t="n">
        <v>0.0833</v>
      </c>
      <c r="E2526" s="106" t="n">
        <v>120</v>
      </c>
      <c r="F2526" s="107" t="n">
        <f aca="false">IF($C2526="","",$D2526*$E2526)</f>
        <v>9.996</v>
      </c>
      <c r="G2526" s="107" t="n">
        <f aca="false">IF($C2526="","",$D2526*IFERROR(INDEX('تحليل التكلفة والسعر'!$C$2:$C$700,MATCH($C2526,'تحليل التكلفة والسعر'!$B$2:$B$700,0)),0))</f>
        <v>3.7986600946</v>
      </c>
      <c r="H2526" s="104" t="s">
        <v>719</v>
      </c>
    </row>
    <row r="2527" customFormat="false" ht="15" hidden="false" customHeight="false" outlineLevel="0" collapsed="false">
      <c r="A2527" s="103" t="n">
        <v>46301</v>
      </c>
      <c r="B2527" s="104" t="s">
        <v>34</v>
      </c>
      <c r="C2527" s="104" t="s">
        <v>398</v>
      </c>
      <c r="D2527" s="105" t="n">
        <v>0.0833</v>
      </c>
      <c r="E2527" s="106" t="n">
        <v>120</v>
      </c>
      <c r="F2527" s="107" t="n">
        <f aca="false">IF($C2527="","",$D2527*$E2527)</f>
        <v>9.996</v>
      </c>
      <c r="G2527" s="107" t="n">
        <f aca="false">IF($C2527="","",$D2527*IFERROR(INDEX('تحليل التكلفة والسعر'!$C$2:$C$700,MATCH($C2527,'تحليل التكلفة والسعر'!$B$2:$B$700,0)),0))</f>
        <v>3.7986600946</v>
      </c>
      <c r="H2527" s="104" t="s">
        <v>719</v>
      </c>
    </row>
    <row r="2528" customFormat="false" ht="15" hidden="false" customHeight="false" outlineLevel="0" collapsed="false">
      <c r="A2528" s="103" t="n">
        <v>46302</v>
      </c>
      <c r="B2528" s="104" t="s">
        <v>34</v>
      </c>
      <c r="C2528" s="104" t="s">
        <v>398</v>
      </c>
      <c r="D2528" s="105" t="n">
        <v>0.0833</v>
      </c>
      <c r="E2528" s="106" t="n">
        <v>120</v>
      </c>
      <c r="F2528" s="107" t="n">
        <f aca="false">IF($C2528="","",$D2528*$E2528)</f>
        <v>9.996</v>
      </c>
      <c r="G2528" s="107" t="n">
        <f aca="false">IF($C2528="","",$D2528*IFERROR(INDEX('تحليل التكلفة والسعر'!$C$2:$C$700,MATCH($C2528,'تحليل التكلفة والسعر'!$B$2:$B$700,0)),0))</f>
        <v>3.7986600946</v>
      </c>
      <c r="H2528" s="104" t="s">
        <v>719</v>
      </c>
    </row>
    <row r="2529" customFormat="false" ht="15" hidden="false" customHeight="false" outlineLevel="0" collapsed="false">
      <c r="A2529" s="103" t="n">
        <v>46303</v>
      </c>
      <c r="B2529" s="104" t="s">
        <v>34</v>
      </c>
      <c r="C2529" s="104" t="s">
        <v>398</v>
      </c>
      <c r="D2529" s="105" t="n">
        <v>0.0833</v>
      </c>
      <c r="E2529" s="106" t="n">
        <v>120</v>
      </c>
      <c r="F2529" s="107" t="n">
        <f aca="false">IF($C2529="","",$D2529*$E2529)</f>
        <v>9.996</v>
      </c>
      <c r="G2529" s="107" t="n">
        <f aca="false">IF($C2529="","",$D2529*IFERROR(INDEX('تحليل التكلفة والسعر'!$C$2:$C$700,MATCH($C2529,'تحليل التكلفة والسعر'!$B$2:$B$700,0)),0))</f>
        <v>3.7986600946</v>
      </c>
      <c r="H2529" s="104" t="s">
        <v>719</v>
      </c>
    </row>
    <row r="2530" customFormat="false" ht="15" hidden="false" customHeight="false" outlineLevel="0" collapsed="false">
      <c r="A2530" s="103" t="n">
        <v>46304</v>
      </c>
      <c r="B2530" s="104" t="s">
        <v>34</v>
      </c>
      <c r="C2530" s="104" t="s">
        <v>398</v>
      </c>
      <c r="D2530" s="105" t="n">
        <v>0.0833</v>
      </c>
      <c r="E2530" s="106" t="n">
        <v>120</v>
      </c>
      <c r="F2530" s="107" t="n">
        <f aca="false">IF($C2530="","",$D2530*$E2530)</f>
        <v>9.996</v>
      </c>
      <c r="G2530" s="107" t="n">
        <f aca="false">IF($C2530="","",$D2530*IFERROR(INDEX('تحليل التكلفة والسعر'!$C$2:$C$700,MATCH($C2530,'تحليل التكلفة والسعر'!$B$2:$B$700,0)),0))</f>
        <v>3.7986600946</v>
      </c>
      <c r="H2530" s="104" t="s">
        <v>719</v>
      </c>
    </row>
    <row r="2531" customFormat="false" ht="15" hidden="false" customHeight="false" outlineLevel="0" collapsed="false">
      <c r="A2531" s="103" t="n">
        <v>46305</v>
      </c>
      <c r="B2531" s="104" t="s">
        <v>34</v>
      </c>
      <c r="C2531" s="104" t="s">
        <v>398</v>
      </c>
      <c r="D2531" s="105" t="n">
        <v>0.0833</v>
      </c>
      <c r="E2531" s="106" t="n">
        <v>120</v>
      </c>
      <c r="F2531" s="107" t="n">
        <f aca="false">IF($C2531="","",$D2531*$E2531)</f>
        <v>9.996</v>
      </c>
      <c r="G2531" s="107" t="n">
        <f aca="false">IF($C2531="","",$D2531*IFERROR(INDEX('تحليل التكلفة والسعر'!$C$2:$C$700,MATCH($C2531,'تحليل التكلفة والسعر'!$B$2:$B$700,0)),0))</f>
        <v>3.7986600946</v>
      </c>
      <c r="H2531" s="104" t="s">
        <v>719</v>
      </c>
    </row>
    <row r="2532" customFormat="false" ht="15" hidden="false" customHeight="false" outlineLevel="0" collapsed="false">
      <c r="A2532" s="103" t="n">
        <v>46306</v>
      </c>
      <c r="B2532" s="104" t="s">
        <v>34</v>
      </c>
      <c r="C2532" s="104" t="s">
        <v>398</v>
      </c>
      <c r="D2532" s="105" t="n">
        <v>0.0833</v>
      </c>
      <c r="E2532" s="106" t="n">
        <v>120</v>
      </c>
      <c r="F2532" s="107" t="n">
        <f aca="false">IF($C2532="","",$D2532*$E2532)</f>
        <v>9.996</v>
      </c>
      <c r="G2532" s="107" t="n">
        <f aca="false">IF($C2532="","",$D2532*IFERROR(INDEX('تحليل التكلفة والسعر'!$C$2:$C$700,MATCH($C2532,'تحليل التكلفة والسعر'!$B$2:$B$700,0)),0))</f>
        <v>3.7986600946</v>
      </c>
      <c r="H2532" s="104" t="s">
        <v>719</v>
      </c>
    </row>
    <row r="2533" customFormat="false" ht="15" hidden="false" customHeight="false" outlineLevel="0" collapsed="false">
      <c r="A2533" s="103" t="n">
        <v>46307</v>
      </c>
      <c r="B2533" s="104" t="s">
        <v>34</v>
      </c>
      <c r="C2533" s="104" t="s">
        <v>398</v>
      </c>
      <c r="D2533" s="105" t="n">
        <v>0.0833</v>
      </c>
      <c r="E2533" s="106" t="n">
        <v>120</v>
      </c>
      <c r="F2533" s="107" t="n">
        <f aca="false">IF($C2533="","",$D2533*$E2533)</f>
        <v>9.996</v>
      </c>
      <c r="G2533" s="107" t="n">
        <f aca="false">IF($C2533="","",$D2533*IFERROR(INDEX('تحليل التكلفة والسعر'!$C$2:$C$700,MATCH($C2533,'تحليل التكلفة والسعر'!$B$2:$B$700,0)),0))</f>
        <v>3.7986600946</v>
      </c>
      <c r="H2533" s="104" t="s">
        <v>719</v>
      </c>
    </row>
    <row r="2534" customFormat="false" ht="15" hidden="false" customHeight="false" outlineLevel="0" collapsed="false">
      <c r="A2534" s="103" t="n">
        <v>46296</v>
      </c>
      <c r="B2534" s="104" t="s">
        <v>34</v>
      </c>
      <c r="C2534" s="104" t="s">
        <v>759</v>
      </c>
      <c r="D2534" s="105" t="n">
        <v>0.0833</v>
      </c>
      <c r="E2534" s="106" t="n">
        <v>120</v>
      </c>
      <c r="F2534" s="107" t="n">
        <f aca="false">IF($C2534="","",$D2534*$E2534)</f>
        <v>9.996</v>
      </c>
      <c r="G2534" s="107" t="n">
        <f aca="false">IF($C2534="","",$D2534*IFERROR(INDEX('تحليل التكلفة والسعر'!$C$2:$C$700,MATCH($C2534,'تحليل التكلفة والسعر'!$B$2:$B$700,0)),0))</f>
        <v>4.052545</v>
      </c>
      <c r="H2534" s="104" t="s">
        <v>719</v>
      </c>
    </row>
    <row r="2535" customFormat="false" ht="15" hidden="false" customHeight="false" outlineLevel="0" collapsed="false">
      <c r="A2535" s="103" t="n">
        <v>46297</v>
      </c>
      <c r="B2535" s="104" t="s">
        <v>34</v>
      </c>
      <c r="C2535" s="104" t="s">
        <v>759</v>
      </c>
      <c r="D2535" s="105" t="n">
        <v>0.0833</v>
      </c>
      <c r="E2535" s="106" t="n">
        <v>120</v>
      </c>
      <c r="F2535" s="107" t="n">
        <f aca="false">IF($C2535="","",$D2535*$E2535)</f>
        <v>9.996</v>
      </c>
      <c r="G2535" s="107" t="n">
        <f aca="false">IF($C2535="","",$D2535*IFERROR(INDEX('تحليل التكلفة والسعر'!$C$2:$C$700,MATCH($C2535,'تحليل التكلفة والسعر'!$B$2:$B$700,0)),0))</f>
        <v>4.052545</v>
      </c>
      <c r="H2535" s="104" t="s">
        <v>719</v>
      </c>
    </row>
    <row r="2536" customFormat="false" ht="15" hidden="false" customHeight="false" outlineLevel="0" collapsed="false">
      <c r="A2536" s="103" t="n">
        <v>46298</v>
      </c>
      <c r="B2536" s="104" t="s">
        <v>34</v>
      </c>
      <c r="C2536" s="104" t="s">
        <v>759</v>
      </c>
      <c r="D2536" s="105" t="n">
        <v>0.0833</v>
      </c>
      <c r="E2536" s="106" t="n">
        <v>120</v>
      </c>
      <c r="F2536" s="107" t="n">
        <f aca="false">IF($C2536="","",$D2536*$E2536)</f>
        <v>9.996</v>
      </c>
      <c r="G2536" s="107" t="n">
        <f aca="false">IF($C2536="","",$D2536*IFERROR(INDEX('تحليل التكلفة والسعر'!$C$2:$C$700,MATCH($C2536,'تحليل التكلفة والسعر'!$B$2:$B$700,0)),0))</f>
        <v>4.052545</v>
      </c>
      <c r="H2536" s="104" t="s">
        <v>719</v>
      </c>
    </row>
    <row r="2537" customFormat="false" ht="15" hidden="false" customHeight="false" outlineLevel="0" collapsed="false">
      <c r="A2537" s="103" t="n">
        <v>46299</v>
      </c>
      <c r="B2537" s="104" t="s">
        <v>34</v>
      </c>
      <c r="C2537" s="104" t="s">
        <v>759</v>
      </c>
      <c r="D2537" s="105" t="n">
        <v>0.0833</v>
      </c>
      <c r="E2537" s="106" t="n">
        <v>120</v>
      </c>
      <c r="F2537" s="107" t="n">
        <f aca="false">IF($C2537="","",$D2537*$E2537)</f>
        <v>9.996</v>
      </c>
      <c r="G2537" s="107" t="n">
        <f aca="false">IF($C2537="","",$D2537*IFERROR(INDEX('تحليل التكلفة والسعر'!$C$2:$C$700,MATCH($C2537,'تحليل التكلفة والسعر'!$B$2:$B$700,0)),0))</f>
        <v>4.052545</v>
      </c>
      <c r="H2537" s="104" t="s">
        <v>719</v>
      </c>
    </row>
    <row r="2538" customFormat="false" ht="15" hidden="false" customHeight="false" outlineLevel="0" collapsed="false">
      <c r="A2538" s="103" t="n">
        <v>46300</v>
      </c>
      <c r="B2538" s="104" t="s">
        <v>34</v>
      </c>
      <c r="C2538" s="104" t="s">
        <v>759</v>
      </c>
      <c r="D2538" s="105" t="n">
        <v>0.0833</v>
      </c>
      <c r="E2538" s="106" t="n">
        <v>120</v>
      </c>
      <c r="F2538" s="107" t="n">
        <f aca="false">IF($C2538="","",$D2538*$E2538)</f>
        <v>9.996</v>
      </c>
      <c r="G2538" s="107" t="n">
        <f aca="false">IF($C2538="","",$D2538*IFERROR(INDEX('تحليل التكلفة والسعر'!$C$2:$C$700,MATCH($C2538,'تحليل التكلفة والسعر'!$B$2:$B$700,0)),0))</f>
        <v>4.052545</v>
      </c>
      <c r="H2538" s="104" t="s">
        <v>719</v>
      </c>
    </row>
    <row r="2539" customFormat="false" ht="15" hidden="false" customHeight="false" outlineLevel="0" collapsed="false">
      <c r="A2539" s="103" t="n">
        <v>46301</v>
      </c>
      <c r="B2539" s="104" t="s">
        <v>34</v>
      </c>
      <c r="C2539" s="104" t="s">
        <v>759</v>
      </c>
      <c r="D2539" s="105" t="n">
        <v>0.0833</v>
      </c>
      <c r="E2539" s="106" t="n">
        <v>120</v>
      </c>
      <c r="F2539" s="107" t="n">
        <f aca="false">IF($C2539="","",$D2539*$E2539)</f>
        <v>9.996</v>
      </c>
      <c r="G2539" s="107" t="n">
        <f aca="false">IF($C2539="","",$D2539*IFERROR(INDEX('تحليل التكلفة والسعر'!$C$2:$C$700,MATCH($C2539,'تحليل التكلفة والسعر'!$B$2:$B$700,0)),0))</f>
        <v>4.052545</v>
      </c>
      <c r="H2539" s="104" t="s">
        <v>719</v>
      </c>
    </row>
    <row r="2540" customFormat="false" ht="15" hidden="false" customHeight="false" outlineLevel="0" collapsed="false">
      <c r="A2540" s="103" t="n">
        <v>46302</v>
      </c>
      <c r="B2540" s="104" t="s">
        <v>34</v>
      </c>
      <c r="C2540" s="104" t="s">
        <v>759</v>
      </c>
      <c r="D2540" s="105" t="n">
        <v>0.0833</v>
      </c>
      <c r="E2540" s="106" t="n">
        <v>120</v>
      </c>
      <c r="F2540" s="107" t="n">
        <f aca="false">IF($C2540="","",$D2540*$E2540)</f>
        <v>9.996</v>
      </c>
      <c r="G2540" s="107" t="n">
        <f aca="false">IF($C2540="","",$D2540*IFERROR(INDEX('تحليل التكلفة والسعر'!$C$2:$C$700,MATCH($C2540,'تحليل التكلفة والسعر'!$B$2:$B$700,0)),0))</f>
        <v>4.052545</v>
      </c>
      <c r="H2540" s="104" t="s">
        <v>719</v>
      </c>
    </row>
    <row r="2541" customFormat="false" ht="15" hidden="false" customHeight="false" outlineLevel="0" collapsed="false">
      <c r="A2541" s="103" t="n">
        <v>46303</v>
      </c>
      <c r="B2541" s="104" t="s">
        <v>34</v>
      </c>
      <c r="C2541" s="104" t="s">
        <v>759</v>
      </c>
      <c r="D2541" s="105" t="n">
        <v>0.0833</v>
      </c>
      <c r="E2541" s="106" t="n">
        <v>120</v>
      </c>
      <c r="F2541" s="107" t="n">
        <f aca="false">IF($C2541="","",$D2541*$E2541)</f>
        <v>9.996</v>
      </c>
      <c r="G2541" s="107" t="n">
        <f aca="false">IF($C2541="","",$D2541*IFERROR(INDEX('تحليل التكلفة والسعر'!$C$2:$C$700,MATCH($C2541,'تحليل التكلفة والسعر'!$B$2:$B$700,0)),0))</f>
        <v>4.052545</v>
      </c>
      <c r="H2541" s="104" t="s">
        <v>719</v>
      </c>
    </row>
    <row r="2542" customFormat="false" ht="15" hidden="false" customHeight="false" outlineLevel="0" collapsed="false">
      <c r="A2542" s="103" t="n">
        <v>46304</v>
      </c>
      <c r="B2542" s="104" t="s">
        <v>34</v>
      </c>
      <c r="C2542" s="104" t="s">
        <v>759</v>
      </c>
      <c r="D2542" s="105" t="n">
        <v>0.0833</v>
      </c>
      <c r="E2542" s="106" t="n">
        <v>120</v>
      </c>
      <c r="F2542" s="107" t="n">
        <f aca="false">IF($C2542="","",$D2542*$E2542)</f>
        <v>9.996</v>
      </c>
      <c r="G2542" s="107" t="n">
        <f aca="false">IF($C2542="","",$D2542*IFERROR(INDEX('تحليل التكلفة والسعر'!$C$2:$C$700,MATCH($C2542,'تحليل التكلفة والسعر'!$B$2:$B$700,0)),0))</f>
        <v>4.052545</v>
      </c>
      <c r="H2542" s="104" t="s">
        <v>719</v>
      </c>
    </row>
    <row r="2543" customFormat="false" ht="15" hidden="false" customHeight="false" outlineLevel="0" collapsed="false">
      <c r="A2543" s="103" t="n">
        <v>46305</v>
      </c>
      <c r="B2543" s="104" t="s">
        <v>34</v>
      </c>
      <c r="C2543" s="104" t="s">
        <v>759</v>
      </c>
      <c r="D2543" s="105" t="n">
        <v>0.0833</v>
      </c>
      <c r="E2543" s="106" t="n">
        <v>120</v>
      </c>
      <c r="F2543" s="107" t="n">
        <f aca="false">IF($C2543="","",$D2543*$E2543)</f>
        <v>9.996</v>
      </c>
      <c r="G2543" s="107" t="n">
        <f aca="false">IF($C2543="","",$D2543*IFERROR(INDEX('تحليل التكلفة والسعر'!$C$2:$C$700,MATCH($C2543,'تحليل التكلفة والسعر'!$B$2:$B$700,0)),0))</f>
        <v>4.052545</v>
      </c>
      <c r="H2543" s="104" t="s">
        <v>719</v>
      </c>
    </row>
    <row r="2544" customFormat="false" ht="15" hidden="false" customHeight="false" outlineLevel="0" collapsed="false">
      <c r="A2544" s="103" t="n">
        <v>46306</v>
      </c>
      <c r="B2544" s="104" t="s">
        <v>34</v>
      </c>
      <c r="C2544" s="104" t="s">
        <v>759</v>
      </c>
      <c r="D2544" s="105" t="n">
        <v>0.0833</v>
      </c>
      <c r="E2544" s="106" t="n">
        <v>120</v>
      </c>
      <c r="F2544" s="107" t="n">
        <f aca="false">IF($C2544="","",$D2544*$E2544)</f>
        <v>9.996</v>
      </c>
      <c r="G2544" s="107" t="n">
        <f aca="false">IF($C2544="","",$D2544*IFERROR(INDEX('تحليل التكلفة والسعر'!$C$2:$C$700,MATCH($C2544,'تحليل التكلفة والسعر'!$B$2:$B$700,0)),0))</f>
        <v>4.052545</v>
      </c>
      <c r="H2544" s="104" t="s">
        <v>719</v>
      </c>
    </row>
    <row r="2545" customFormat="false" ht="15" hidden="false" customHeight="false" outlineLevel="0" collapsed="false">
      <c r="A2545" s="103" t="n">
        <v>46307</v>
      </c>
      <c r="B2545" s="104" t="s">
        <v>34</v>
      </c>
      <c r="C2545" s="104" t="s">
        <v>759</v>
      </c>
      <c r="D2545" s="105" t="n">
        <v>0.0833</v>
      </c>
      <c r="E2545" s="106" t="n">
        <v>120</v>
      </c>
      <c r="F2545" s="107" t="n">
        <f aca="false">IF($C2545="","",$D2545*$E2545)</f>
        <v>9.996</v>
      </c>
      <c r="G2545" s="107" t="n">
        <f aca="false">IF($C2545="","",$D2545*IFERROR(INDEX('تحليل التكلفة والسعر'!$C$2:$C$700,MATCH($C2545,'تحليل التكلفة والسعر'!$B$2:$B$700,0)),0))</f>
        <v>4.052545</v>
      </c>
      <c r="H2545" s="104" t="s">
        <v>719</v>
      </c>
    </row>
    <row r="2546" customFormat="false" ht="15" hidden="false" customHeight="false" outlineLevel="0" collapsed="false">
      <c r="A2546" s="103" t="n">
        <v>46296</v>
      </c>
      <c r="B2546" s="104" t="s">
        <v>34</v>
      </c>
      <c r="C2546" s="104" t="s">
        <v>760</v>
      </c>
      <c r="D2546" s="105" t="n">
        <v>0.0833</v>
      </c>
      <c r="E2546" s="106" t="n">
        <v>170</v>
      </c>
      <c r="F2546" s="107" t="n">
        <f aca="false">IF($C2546="","",$D2546*$E2546)</f>
        <v>14.161</v>
      </c>
      <c r="G2546" s="107" t="n">
        <f aca="false">IF($C2546="","",$D2546*IFERROR(INDEX('تحليل التكلفة والسعر'!$C$2:$C$700,MATCH($C2546,'تحليل التكلفة والسعر'!$B$2:$B$700,0)),0))</f>
        <v>4.16638840275</v>
      </c>
      <c r="H2546" s="104" t="s">
        <v>719</v>
      </c>
    </row>
    <row r="2547" customFormat="false" ht="15" hidden="false" customHeight="false" outlineLevel="0" collapsed="false">
      <c r="A2547" s="103" t="n">
        <v>46297</v>
      </c>
      <c r="B2547" s="104" t="s">
        <v>34</v>
      </c>
      <c r="C2547" s="104" t="s">
        <v>760</v>
      </c>
      <c r="D2547" s="105" t="n">
        <v>0.0833</v>
      </c>
      <c r="E2547" s="106" t="n">
        <v>170</v>
      </c>
      <c r="F2547" s="107" t="n">
        <f aca="false">IF($C2547="","",$D2547*$E2547)</f>
        <v>14.161</v>
      </c>
      <c r="G2547" s="107" t="n">
        <f aca="false">IF($C2547="","",$D2547*IFERROR(INDEX('تحليل التكلفة والسعر'!$C$2:$C$700,MATCH($C2547,'تحليل التكلفة والسعر'!$B$2:$B$700,0)),0))</f>
        <v>4.16638840275</v>
      </c>
      <c r="H2547" s="104" t="s">
        <v>719</v>
      </c>
    </row>
    <row r="2548" customFormat="false" ht="15" hidden="false" customHeight="false" outlineLevel="0" collapsed="false">
      <c r="A2548" s="103" t="n">
        <v>46298</v>
      </c>
      <c r="B2548" s="104" t="s">
        <v>34</v>
      </c>
      <c r="C2548" s="104" t="s">
        <v>760</v>
      </c>
      <c r="D2548" s="105" t="n">
        <v>0.0833</v>
      </c>
      <c r="E2548" s="106" t="n">
        <v>170</v>
      </c>
      <c r="F2548" s="107" t="n">
        <f aca="false">IF($C2548="","",$D2548*$E2548)</f>
        <v>14.161</v>
      </c>
      <c r="G2548" s="107" t="n">
        <f aca="false">IF($C2548="","",$D2548*IFERROR(INDEX('تحليل التكلفة والسعر'!$C$2:$C$700,MATCH($C2548,'تحليل التكلفة والسعر'!$B$2:$B$700,0)),0))</f>
        <v>4.16638840275</v>
      </c>
      <c r="H2548" s="104" t="s">
        <v>719</v>
      </c>
    </row>
    <row r="2549" customFormat="false" ht="15" hidden="false" customHeight="false" outlineLevel="0" collapsed="false">
      <c r="A2549" s="103" t="n">
        <v>46299</v>
      </c>
      <c r="B2549" s="104" t="s">
        <v>34</v>
      </c>
      <c r="C2549" s="104" t="s">
        <v>760</v>
      </c>
      <c r="D2549" s="105" t="n">
        <v>0.0833</v>
      </c>
      <c r="E2549" s="106" t="n">
        <v>170</v>
      </c>
      <c r="F2549" s="107" t="n">
        <f aca="false">IF($C2549="","",$D2549*$E2549)</f>
        <v>14.161</v>
      </c>
      <c r="G2549" s="107" t="n">
        <f aca="false">IF($C2549="","",$D2549*IFERROR(INDEX('تحليل التكلفة والسعر'!$C$2:$C$700,MATCH($C2549,'تحليل التكلفة والسعر'!$B$2:$B$700,0)),0))</f>
        <v>4.16638840275</v>
      </c>
      <c r="H2549" s="104" t="s">
        <v>719</v>
      </c>
    </row>
    <row r="2550" customFormat="false" ht="15" hidden="false" customHeight="false" outlineLevel="0" collapsed="false">
      <c r="A2550" s="103" t="n">
        <v>46300</v>
      </c>
      <c r="B2550" s="104" t="s">
        <v>34</v>
      </c>
      <c r="C2550" s="104" t="s">
        <v>760</v>
      </c>
      <c r="D2550" s="105" t="n">
        <v>0.0833</v>
      </c>
      <c r="E2550" s="106" t="n">
        <v>170</v>
      </c>
      <c r="F2550" s="107" t="n">
        <f aca="false">IF($C2550="","",$D2550*$E2550)</f>
        <v>14.161</v>
      </c>
      <c r="G2550" s="107" t="n">
        <f aca="false">IF($C2550="","",$D2550*IFERROR(INDEX('تحليل التكلفة والسعر'!$C$2:$C$700,MATCH($C2550,'تحليل التكلفة والسعر'!$B$2:$B$700,0)),0))</f>
        <v>4.16638840275</v>
      </c>
      <c r="H2550" s="104" t="s">
        <v>719</v>
      </c>
    </row>
    <row r="2551" customFormat="false" ht="15" hidden="false" customHeight="false" outlineLevel="0" collapsed="false">
      <c r="A2551" s="103" t="n">
        <v>46301</v>
      </c>
      <c r="B2551" s="104" t="s">
        <v>34</v>
      </c>
      <c r="C2551" s="104" t="s">
        <v>760</v>
      </c>
      <c r="D2551" s="105" t="n">
        <v>0.0833</v>
      </c>
      <c r="E2551" s="106" t="n">
        <v>170</v>
      </c>
      <c r="F2551" s="107" t="n">
        <f aca="false">IF($C2551="","",$D2551*$E2551)</f>
        <v>14.161</v>
      </c>
      <c r="G2551" s="107" t="n">
        <f aca="false">IF($C2551="","",$D2551*IFERROR(INDEX('تحليل التكلفة والسعر'!$C$2:$C$700,MATCH($C2551,'تحليل التكلفة والسعر'!$B$2:$B$700,0)),0))</f>
        <v>4.16638840275</v>
      </c>
      <c r="H2551" s="104" t="s">
        <v>719</v>
      </c>
    </row>
    <row r="2552" customFormat="false" ht="15" hidden="false" customHeight="false" outlineLevel="0" collapsed="false">
      <c r="A2552" s="103" t="n">
        <v>46302</v>
      </c>
      <c r="B2552" s="104" t="s">
        <v>34</v>
      </c>
      <c r="C2552" s="104" t="s">
        <v>760</v>
      </c>
      <c r="D2552" s="105" t="n">
        <v>0.0833</v>
      </c>
      <c r="E2552" s="106" t="n">
        <v>170</v>
      </c>
      <c r="F2552" s="107" t="n">
        <f aca="false">IF($C2552="","",$D2552*$E2552)</f>
        <v>14.161</v>
      </c>
      <c r="G2552" s="107" t="n">
        <f aca="false">IF($C2552="","",$D2552*IFERROR(INDEX('تحليل التكلفة والسعر'!$C$2:$C$700,MATCH($C2552,'تحليل التكلفة والسعر'!$B$2:$B$700,0)),0))</f>
        <v>4.16638840275</v>
      </c>
      <c r="H2552" s="104" t="s">
        <v>719</v>
      </c>
    </row>
    <row r="2553" customFormat="false" ht="15" hidden="false" customHeight="false" outlineLevel="0" collapsed="false">
      <c r="A2553" s="103" t="n">
        <v>46303</v>
      </c>
      <c r="B2553" s="104" t="s">
        <v>34</v>
      </c>
      <c r="C2553" s="104" t="s">
        <v>760</v>
      </c>
      <c r="D2553" s="105" t="n">
        <v>0.0833</v>
      </c>
      <c r="E2553" s="106" t="n">
        <v>170</v>
      </c>
      <c r="F2553" s="107" t="n">
        <f aca="false">IF($C2553="","",$D2553*$E2553)</f>
        <v>14.161</v>
      </c>
      <c r="G2553" s="107" t="n">
        <f aca="false">IF($C2553="","",$D2553*IFERROR(INDEX('تحليل التكلفة والسعر'!$C$2:$C$700,MATCH($C2553,'تحليل التكلفة والسعر'!$B$2:$B$700,0)),0))</f>
        <v>4.16638840275</v>
      </c>
      <c r="H2553" s="104" t="s">
        <v>719</v>
      </c>
    </row>
    <row r="2554" customFormat="false" ht="15" hidden="false" customHeight="false" outlineLevel="0" collapsed="false">
      <c r="A2554" s="103" t="n">
        <v>46304</v>
      </c>
      <c r="B2554" s="104" t="s">
        <v>34</v>
      </c>
      <c r="C2554" s="104" t="s">
        <v>760</v>
      </c>
      <c r="D2554" s="105" t="n">
        <v>0.0833</v>
      </c>
      <c r="E2554" s="106" t="n">
        <v>170</v>
      </c>
      <c r="F2554" s="107" t="n">
        <f aca="false">IF($C2554="","",$D2554*$E2554)</f>
        <v>14.161</v>
      </c>
      <c r="G2554" s="107" t="n">
        <f aca="false">IF($C2554="","",$D2554*IFERROR(INDEX('تحليل التكلفة والسعر'!$C$2:$C$700,MATCH($C2554,'تحليل التكلفة والسعر'!$B$2:$B$700,0)),0))</f>
        <v>4.16638840275</v>
      </c>
      <c r="H2554" s="104" t="s">
        <v>719</v>
      </c>
    </row>
    <row r="2555" customFormat="false" ht="15" hidden="false" customHeight="false" outlineLevel="0" collapsed="false">
      <c r="A2555" s="103" t="n">
        <v>46305</v>
      </c>
      <c r="B2555" s="104" t="s">
        <v>34</v>
      </c>
      <c r="C2555" s="104" t="s">
        <v>760</v>
      </c>
      <c r="D2555" s="105" t="n">
        <v>0.0833</v>
      </c>
      <c r="E2555" s="106" t="n">
        <v>170</v>
      </c>
      <c r="F2555" s="107" t="n">
        <f aca="false">IF($C2555="","",$D2555*$E2555)</f>
        <v>14.161</v>
      </c>
      <c r="G2555" s="107" t="n">
        <f aca="false">IF($C2555="","",$D2555*IFERROR(INDEX('تحليل التكلفة والسعر'!$C$2:$C$700,MATCH($C2555,'تحليل التكلفة والسعر'!$B$2:$B$700,0)),0))</f>
        <v>4.16638840275</v>
      </c>
      <c r="H2555" s="104" t="s">
        <v>719</v>
      </c>
    </row>
    <row r="2556" customFormat="false" ht="15" hidden="false" customHeight="false" outlineLevel="0" collapsed="false">
      <c r="A2556" s="103" t="n">
        <v>46306</v>
      </c>
      <c r="B2556" s="104" t="s">
        <v>34</v>
      </c>
      <c r="C2556" s="104" t="s">
        <v>760</v>
      </c>
      <c r="D2556" s="105" t="n">
        <v>0.0833</v>
      </c>
      <c r="E2556" s="106" t="n">
        <v>170</v>
      </c>
      <c r="F2556" s="107" t="n">
        <f aca="false">IF($C2556="","",$D2556*$E2556)</f>
        <v>14.161</v>
      </c>
      <c r="G2556" s="107" t="n">
        <f aca="false">IF($C2556="","",$D2556*IFERROR(INDEX('تحليل التكلفة والسعر'!$C$2:$C$700,MATCH($C2556,'تحليل التكلفة والسعر'!$B$2:$B$700,0)),0))</f>
        <v>4.16638840275</v>
      </c>
      <c r="H2556" s="104" t="s">
        <v>719</v>
      </c>
    </row>
    <row r="2557" customFormat="false" ht="15" hidden="false" customHeight="false" outlineLevel="0" collapsed="false">
      <c r="A2557" s="103" t="n">
        <v>46307</v>
      </c>
      <c r="B2557" s="104" t="s">
        <v>34</v>
      </c>
      <c r="C2557" s="104" t="s">
        <v>760</v>
      </c>
      <c r="D2557" s="105" t="n">
        <v>0.0833</v>
      </c>
      <c r="E2557" s="106" t="n">
        <v>170</v>
      </c>
      <c r="F2557" s="107" t="n">
        <f aca="false">IF($C2557="","",$D2557*$E2557)</f>
        <v>14.161</v>
      </c>
      <c r="G2557" s="107" t="n">
        <f aca="false">IF($C2557="","",$D2557*IFERROR(INDEX('تحليل التكلفة والسعر'!$C$2:$C$700,MATCH($C2557,'تحليل التكلفة والسعر'!$B$2:$B$700,0)),0))</f>
        <v>4.16638840275</v>
      </c>
      <c r="H2557" s="104" t="s">
        <v>719</v>
      </c>
    </row>
    <row r="2558" customFormat="false" ht="15" hidden="false" customHeight="false" outlineLevel="0" collapsed="false">
      <c r="A2558" s="103" t="n">
        <v>46296</v>
      </c>
      <c r="B2558" s="104" t="s">
        <v>34</v>
      </c>
      <c r="C2558" s="104" t="s">
        <v>565</v>
      </c>
      <c r="D2558" s="105" t="n">
        <v>0.0833</v>
      </c>
      <c r="E2558" s="106" t="n">
        <v>140</v>
      </c>
      <c r="F2558" s="107" t="n">
        <f aca="false">IF($C2558="","",$D2558*$E2558)</f>
        <v>11.662</v>
      </c>
      <c r="G2558" s="107" t="n">
        <f aca="false">IF($C2558="","",$D2558*IFERROR(INDEX('تحليل التكلفة والسعر'!$C$2:$C$700,MATCH($C2558,'تحليل التكلفة والسعر'!$B$2:$B$700,0)),0))</f>
        <v>4.256101045</v>
      </c>
      <c r="H2558" s="104" t="s">
        <v>719</v>
      </c>
    </row>
    <row r="2559" customFormat="false" ht="15" hidden="false" customHeight="false" outlineLevel="0" collapsed="false">
      <c r="A2559" s="103" t="n">
        <v>46297</v>
      </c>
      <c r="B2559" s="104" t="s">
        <v>34</v>
      </c>
      <c r="C2559" s="104" t="s">
        <v>565</v>
      </c>
      <c r="D2559" s="105" t="n">
        <v>0.0833</v>
      </c>
      <c r="E2559" s="106" t="n">
        <v>140</v>
      </c>
      <c r="F2559" s="107" t="n">
        <f aca="false">IF($C2559="","",$D2559*$E2559)</f>
        <v>11.662</v>
      </c>
      <c r="G2559" s="107" t="n">
        <f aca="false">IF($C2559="","",$D2559*IFERROR(INDEX('تحليل التكلفة والسعر'!$C$2:$C$700,MATCH($C2559,'تحليل التكلفة والسعر'!$B$2:$B$700,0)),0))</f>
        <v>4.256101045</v>
      </c>
      <c r="H2559" s="104" t="s">
        <v>719</v>
      </c>
    </row>
    <row r="2560" customFormat="false" ht="15" hidden="false" customHeight="false" outlineLevel="0" collapsed="false">
      <c r="A2560" s="103" t="n">
        <v>46298</v>
      </c>
      <c r="B2560" s="104" t="s">
        <v>34</v>
      </c>
      <c r="C2560" s="104" t="s">
        <v>565</v>
      </c>
      <c r="D2560" s="105" t="n">
        <v>0.0833</v>
      </c>
      <c r="E2560" s="106" t="n">
        <v>140</v>
      </c>
      <c r="F2560" s="107" t="n">
        <f aca="false">IF($C2560="","",$D2560*$E2560)</f>
        <v>11.662</v>
      </c>
      <c r="G2560" s="107" t="n">
        <f aca="false">IF($C2560="","",$D2560*IFERROR(INDEX('تحليل التكلفة والسعر'!$C$2:$C$700,MATCH($C2560,'تحليل التكلفة والسعر'!$B$2:$B$700,0)),0))</f>
        <v>4.256101045</v>
      </c>
      <c r="H2560" s="104" t="s">
        <v>719</v>
      </c>
    </row>
    <row r="2561" customFormat="false" ht="15" hidden="false" customHeight="false" outlineLevel="0" collapsed="false">
      <c r="A2561" s="103" t="n">
        <v>46299</v>
      </c>
      <c r="B2561" s="104" t="s">
        <v>34</v>
      </c>
      <c r="C2561" s="104" t="s">
        <v>565</v>
      </c>
      <c r="D2561" s="105" t="n">
        <v>0.0833</v>
      </c>
      <c r="E2561" s="106" t="n">
        <v>140</v>
      </c>
      <c r="F2561" s="107" t="n">
        <f aca="false">IF($C2561="","",$D2561*$E2561)</f>
        <v>11.662</v>
      </c>
      <c r="G2561" s="107" t="n">
        <f aca="false">IF($C2561="","",$D2561*IFERROR(INDEX('تحليل التكلفة والسعر'!$C$2:$C$700,MATCH($C2561,'تحليل التكلفة والسعر'!$B$2:$B$700,0)),0))</f>
        <v>4.256101045</v>
      </c>
      <c r="H2561" s="104" t="s">
        <v>719</v>
      </c>
    </row>
    <row r="2562" customFormat="false" ht="15" hidden="false" customHeight="false" outlineLevel="0" collapsed="false">
      <c r="A2562" s="103" t="n">
        <v>46300</v>
      </c>
      <c r="B2562" s="104" t="s">
        <v>34</v>
      </c>
      <c r="C2562" s="104" t="s">
        <v>565</v>
      </c>
      <c r="D2562" s="105" t="n">
        <v>0.0833</v>
      </c>
      <c r="E2562" s="106" t="n">
        <v>140</v>
      </c>
      <c r="F2562" s="107" t="n">
        <f aca="false">IF($C2562="","",$D2562*$E2562)</f>
        <v>11.662</v>
      </c>
      <c r="G2562" s="107" t="n">
        <f aca="false">IF($C2562="","",$D2562*IFERROR(INDEX('تحليل التكلفة والسعر'!$C$2:$C$700,MATCH($C2562,'تحليل التكلفة والسعر'!$B$2:$B$700,0)),0))</f>
        <v>4.256101045</v>
      </c>
      <c r="H2562" s="104" t="s">
        <v>719</v>
      </c>
    </row>
    <row r="2563" customFormat="false" ht="15" hidden="false" customHeight="false" outlineLevel="0" collapsed="false">
      <c r="A2563" s="103" t="n">
        <v>46301</v>
      </c>
      <c r="B2563" s="104" t="s">
        <v>34</v>
      </c>
      <c r="C2563" s="104" t="s">
        <v>565</v>
      </c>
      <c r="D2563" s="105" t="n">
        <v>0.0833</v>
      </c>
      <c r="E2563" s="106" t="n">
        <v>140</v>
      </c>
      <c r="F2563" s="107" t="n">
        <f aca="false">IF($C2563="","",$D2563*$E2563)</f>
        <v>11.662</v>
      </c>
      <c r="G2563" s="107" t="n">
        <f aca="false">IF($C2563="","",$D2563*IFERROR(INDEX('تحليل التكلفة والسعر'!$C$2:$C$700,MATCH($C2563,'تحليل التكلفة والسعر'!$B$2:$B$700,0)),0))</f>
        <v>4.256101045</v>
      </c>
      <c r="H2563" s="104" t="s">
        <v>719</v>
      </c>
    </row>
    <row r="2564" customFormat="false" ht="15" hidden="false" customHeight="false" outlineLevel="0" collapsed="false">
      <c r="A2564" s="103" t="n">
        <v>46302</v>
      </c>
      <c r="B2564" s="104" t="s">
        <v>34</v>
      </c>
      <c r="C2564" s="104" t="s">
        <v>565</v>
      </c>
      <c r="D2564" s="105" t="n">
        <v>0.0833</v>
      </c>
      <c r="E2564" s="106" t="n">
        <v>140</v>
      </c>
      <c r="F2564" s="107" t="n">
        <f aca="false">IF($C2564="","",$D2564*$E2564)</f>
        <v>11.662</v>
      </c>
      <c r="G2564" s="107" t="n">
        <f aca="false">IF($C2564="","",$D2564*IFERROR(INDEX('تحليل التكلفة والسعر'!$C$2:$C$700,MATCH($C2564,'تحليل التكلفة والسعر'!$B$2:$B$700,0)),0))</f>
        <v>4.256101045</v>
      </c>
      <c r="H2564" s="104" t="s">
        <v>719</v>
      </c>
    </row>
    <row r="2565" customFormat="false" ht="15" hidden="false" customHeight="false" outlineLevel="0" collapsed="false">
      <c r="A2565" s="103" t="n">
        <v>46303</v>
      </c>
      <c r="B2565" s="104" t="s">
        <v>34</v>
      </c>
      <c r="C2565" s="104" t="s">
        <v>565</v>
      </c>
      <c r="D2565" s="105" t="n">
        <v>0.0833</v>
      </c>
      <c r="E2565" s="106" t="n">
        <v>140</v>
      </c>
      <c r="F2565" s="107" t="n">
        <f aca="false">IF($C2565="","",$D2565*$E2565)</f>
        <v>11.662</v>
      </c>
      <c r="G2565" s="107" t="n">
        <f aca="false">IF($C2565="","",$D2565*IFERROR(INDEX('تحليل التكلفة والسعر'!$C$2:$C$700,MATCH($C2565,'تحليل التكلفة والسعر'!$B$2:$B$700,0)),0))</f>
        <v>4.256101045</v>
      </c>
      <c r="H2565" s="104" t="s">
        <v>719</v>
      </c>
    </row>
    <row r="2566" customFormat="false" ht="15" hidden="false" customHeight="false" outlineLevel="0" collapsed="false">
      <c r="A2566" s="103" t="n">
        <v>46304</v>
      </c>
      <c r="B2566" s="104" t="s">
        <v>34</v>
      </c>
      <c r="C2566" s="104" t="s">
        <v>565</v>
      </c>
      <c r="D2566" s="105" t="n">
        <v>0.0833</v>
      </c>
      <c r="E2566" s="106" t="n">
        <v>140</v>
      </c>
      <c r="F2566" s="107" t="n">
        <f aca="false">IF($C2566="","",$D2566*$E2566)</f>
        <v>11.662</v>
      </c>
      <c r="G2566" s="107" t="n">
        <f aca="false">IF($C2566="","",$D2566*IFERROR(INDEX('تحليل التكلفة والسعر'!$C$2:$C$700,MATCH($C2566,'تحليل التكلفة والسعر'!$B$2:$B$700,0)),0))</f>
        <v>4.256101045</v>
      </c>
      <c r="H2566" s="104" t="s">
        <v>719</v>
      </c>
    </row>
    <row r="2567" customFormat="false" ht="15" hidden="false" customHeight="false" outlineLevel="0" collapsed="false">
      <c r="A2567" s="103" t="n">
        <v>46305</v>
      </c>
      <c r="B2567" s="104" t="s">
        <v>34</v>
      </c>
      <c r="C2567" s="104" t="s">
        <v>565</v>
      </c>
      <c r="D2567" s="105" t="n">
        <v>0.0833</v>
      </c>
      <c r="E2567" s="106" t="n">
        <v>140</v>
      </c>
      <c r="F2567" s="107" t="n">
        <f aca="false">IF($C2567="","",$D2567*$E2567)</f>
        <v>11.662</v>
      </c>
      <c r="G2567" s="107" t="n">
        <f aca="false">IF($C2567="","",$D2567*IFERROR(INDEX('تحليل التكلفة والسعر'!$C$2:$C$700,MATCH($C2567,'تحليل التكلفة والسعر'!$B$2:$B$700,0)),0))</f>
        <v>4.256101045</v>
      </c>
      <c r="H2567" s="104" t="s">
        <v>719</v>
      </c>
    </row>
    <row r="2568" customFormat="false" ht="15" hidden="false" customHeight="false" outlineLevel="0" collapsed="false">
      <c r="A2568" s="103" t="n">
        <v>46306</v>
      </c>
      <c r="B2568" s="104" t="s">
        <v>34</v>
      </c>
      <c r="C2568" s="104" t="s">
        <v>565</v>
      </c>
      <c r="D2568" s="105" t="n">
        <v>0.0833</v>
      </c>
      <c r="E2568" s="106" t="n">
        <v>140</v>
      </c>
      <c r="F2568" s="107" t="n">
        <f aca="false">IF($C2568="","",$D2568*$E2568)</f>
        <v>11.662</v>
      </c>
      <c r="G2568" s="107" t="n">
        <f aca="false">IF($C2568="","",$D2568*IFERROR(INDEX('تحليل التكلفة والسعر'!$C$2:$C$700,MATCH($C2568,'تحليل التكلفة والسعر'!$B$2:$B$700,0)),0))</f>
        <v>4.256101045</v>
      </c>
      <c r="H2568" s="104" t="s">
        <v>719</v>
      </c>
    </row>
    <row r="2569" customFormat="false" ht="15" hidden="false" customHeight="false" outlineLevel="0" collapsed="false">
      <c r="A2569" s="103" t="n">
        <v>46307</v>
      </c>
      <c r="B2569" s="104" t="s">
        <v>34</v>
      </c>
      <c r="C2569" s="104" t="s">
        <v>565</v>
      </c>
      <c r="D2569" s="105" t="n">
        <v>0.0833</v>
      </c>
      <c r="E2569" s="106" t="n">
        <v>140</v>
      </c>
      <c r="F2569" s="107" t="n">
        <f aca="false">IF($C2569="","",$D2569*$E2569)</f>
        <v>11.662</v>
      </c>
      <c r="G2569" s="107" t="n">
        <f aca="false">IF($C2569="","",$D2569*IFERROR(INDEX('تحليل التكلفة والسعر'!$C$2:$C$700,MATCH($C2569,'تحليل التكلفة والسعر'!$B$2:$B$700,0)),0))</f>
        <v>4.256101045</v>
      </c>
      <c r="H2569" s="104" t="s">
        <v>719</v>
      </c>
    </row>
    <row r="2570" customFormat="false" ht="15" hidden="false" customHeight="false" outlineLevel="0" collapsed="false">
      <c r="A2570" s="103" t="n">
        <v>46296</v>
      </c>
      <c r="B2570" s="104" t="s">
        <v>34</v>
      </c>
      <c r="C2570" s="104" t="s">
        <v>564</v>
      </c>
      <c r="D2570" s="105" t="n">
        <v>0.0833</v>
      </c>
      <c r="E2570" s="106" t="n">
        <v>120</v>
      </c>
      <c r="F2570" s="107" t="n">
        <f aca="false">IF($C2570="","",$D2570*$E2570)</f>
        <v>9.996</v>
      </c>
      <c r="G2570" s="107" t="n">
        <f aca="false">IF($C2570="","",$D2570*IFERROR(INDEX('تحليل التكلفة والسعر'!$C$2:$C$700,MATCH($C2570,'تحليل التكلفة والسعر'!$B$2:$B$700,0)),0))</f>
        <v>3.132767225</v>
      </c>
      <c r="H2570" s="104" t="s">
        <v>719</v>
      </c>
    </row>
    <row r="2571" customFormat="false" ht="15" hidden="false" customHeight="false" outlineLevel="0" collapsed="false">
      <c r="A2571" s="103" t="n">
        <v>46297</v>
      </c>
      <c r="B2571" s="104" t="s">
        <v>34</v>
      </c>
      <c r="C2571" s="104" t="s">
        <v>564</v>
      </c>
      <c r="D2571" s="105" t="n">
        <v>0.0833</v>
      </c>
      <c r="E2571" s="106" t="n">
        <v>120</v>
      </c>
      <c r="F2571" s="107" t="n">
        <f aca="false">IF($C2571="","",$D2571*$E2571)</f>
        <v>9.996</v>
      </c>
      <c r="G2571" s="107" t="n">
        <f aca="false">IF($C2571="","",$D2571*IFERROR(INDEX('تحليل التكلفة والسعر'!$C$2:$C$700,MATCH($C2571,'تحليل التكلفة والسعر'!$B$2:$B$700,0)),0))</f>
        <v>3.132767225</v>
      </c>
      <c r="H2571" s="104" t="s">
        <v>719</v>
      </c>
    </row>
    <row r="2572" customFormat="false" ht="15" hidden="false" customHeight="false" outlineLevel="0" collapsed="false">
      <c r="A2572" s="103" t="n">
        <v>46298</v>
      </c>
      <c r="B2572" s="104" t="s">
        <v>34</v>
      </c>
      <c r="C2572" s="104" t="s">
        <v>564</v>
      </c>
      <c r="D2572" s="105" t="n">
        <v>0.0833</v>
      </c>
      <c r="E2572" s="106" t="n">
        <v>120</v>
      </c>
      <c r="F2572" s="107" t="n">
        <f aca="false">IF($C2572="","",$D2572*$E2572)</f>
        <v>9.996</v>
      </c>
      <c r="G2572" s="107" t="n">
        <f aca="false">IF($C2572="","",$D2572*IFERROR(INDEX('تحليل التكلفة والسعر'!$C$2:$C$700,MATCH($C2572,'تحليل التكلفة والسعر'!$B$2:$B$700,0)),0))</f>
        <v>3.132767225</v>
      </c>
      <c r="H2572" s="104" t="s">
        <v>719</v>
      </c>
    </row>
    <row r="2573" customFormat="false" ht="15" hidden="false" customHeight="false" outlineLevel="0" collapsed="false">
      <c r="A2573" s="103" t="n">
        <v>46299</v>
      </c>
      <c r="B2573" s="104" t="s">
        <v>34</v>
      </c>
      <c r="C2573" s="104" t="s">
        <v>564</v>
      </c>
      <c r="D2573" s="105" t="n">
        <v>0.0833</v>
      </c>
      <c r="E2573" s="106" t="n">
        <v>120</v>
      </c>
      <c r="F2573" s="107" t="n">
        <f aca="false">IF($C2573="","",$D2573*$E2573)</f>
        <v>9.996</v>
      </c>
      <c r="G2573" s="107" t="n">
        <f aca="false">IF($C2573="","",$D2573*IFERROR(INDEX('تحليل التكلفة والسعر'!$C$2:$C$700,MATCH($C2573,'تحليل التكلفة والسعر'!$B$2:$B$700,0)),0))</f>
        <v>3.132767225</v>
      </c>
      <c r="H2573" s="104" t="s">
        <v>719</v>
      </c>
    </row>
    <row r="2574" customFormat="false" ht="15" hidden="false" customHeight="false" outlineLevel="0" collapsed="false">
      <c r="A2574" s="103" t="n">
        <v>46300</v>
      </c>
      <c r="B2574" s="104" t="s">
        <v>34</v>
      </c>
      <c r="C2574" s="104" t="s">
        <v>564</v>
      </c>
      <c r="D2574" s="105" t="n">
        <v>0.0833</v>
      </c>
      <c r="E2574" s="106" t="n">
        <v>120</v>
      </c>
      <c r="F2574" s="107" t="n">
        <f aca="false">IF($C2574="","",$D2574*$E2574)</f>
        <v>9.996</v>
      </c>
      <c r="G2574" s="107" t="n">
        <f aca="false">IF($C2574="","",$D2574*IFERROR(INDEX('تحليل التكلفة والسعر'!$C$2:$C$700,MATCH($C2574,'تحليل التكلفة والسعر'!$B$2:$B$700,0)),0))</f>
        <v>3.132767225</v>
      </c>
      <c r="H2574" s="104" t="s">
        <v>719</v>
      </c>
    </row>
    <row r="2575" customFormat="false" ht="15" hidden="false" customHeight="false" outlineLevel="0" collapsed="false">
      <c r="A2575" s="103" t="n">
        <v>46301</v>
      </c>
      <c r="B2575" s="104" t="s">
        <v>34</v>
      </c>
      <c r="C2575" s="104" t="s">
        <v>564</v>
      </c>
      <c r="D2575" s="105" t="n">
        <v>0.0833</v>
      </c>
      <c r="E2575" s="106" t="n">
        <v>120</v>
      </c>
      <c r="F2575" s="107" t="n">
        <f aca="false">IF($C2575="","",$D2575*$E2575)</f>
        <v>9.996</v>
      </c>
      <c r="G2575" s="107" t="n">
        <f aca="false">IF($C2575="","",$D2575*IFERROR(INDEX('تحليل التكلفة والسعر'!$C$2:$C$700,MATCH($C2575,'تحليل التكلفة والسعر'!$B$2:$B$700,0)),0))</f>
        <v>3.132767225</v>
      </c>
      <c r="H2575" s="104" t="s">
        <v>719</v>
      </c>
    </row>
    <row r="2576" customFormat="false" ht="15" hidden="false" customHeight="false" outlineLevel="0" collapsed="false">
      <c r="A2576" s="103" t="n">
        <v>46302</v>
      </c>
      <c r="B2576" s="104" t="s">
        <v>34</v>
      </c>
      <c r="C2576" s="104" t="s">
        <v>564</v>
      </c>
      <c r="D2576" s="105" t="n">
        <v>0.0833</v>
      </c>
      <c r="E2576" s="106" t="n">
        <v>120</v>
      </c>
      <c r="F2576" s="107" t="n">
        <f aca="false">IF($C2576="","",$D2576*$E2576)</f>
        <v>9.996</v>
      </c>
      <c r="G2576" s="107" t="n">
        <f aca="false">IF($C2576="","",$D2576*IFERROR(INDEX('تحليل التكلفة والسعر'!$C$2:$C$700,MATCH($C2576,'تحليل التكلفة والسعر'!$B$2:$B$700,0)),0))</f>
        <v>3.132767225</v>
      </c>
      <c r="H2576" s="104" t="s">
        <v>719</v>
      </c>
    </row>
    <row r="2577" customFormat="false" ht="15" hidden="false" customHeight="false" outlineLevel="0" collapsed="false">
      <c r="A2577" s="103" t="n">
        <v>46303</v>
      </c>
      <c r="B2577" s="104" t="s">
        <v>34</v>
      </c>
      <c r="C2577" s="104" t="s">
        <v>564</v>
      </c>
      <c r="D2577" s="105" t="n">
        <v>0.0833</v>
      </c>
      <c r="E2577" s="106" t="n">
        <v>120</v>
      </c>
      <c r="F2577" s="107" t="n">
        <f aca="false">IF($C2577="","",$D2577*$E2577)</f>
        <v>9.996</v>
      </c>
      <c r="G2577" s="107" t="n">
        <f aca="false">IF($C2577="","",$D2577*IFERROR(INDEX('تحليل التكلفة والسعر'!$C$2:$C$700,MATCH($C2577,'تحليل التكلفة والسعر'!$B$2:$B$700,0)),0))</f>
        <v>3.132767225</v>
      </c>
      <c r="H2577" s="104" t="s">
        <v>719</v>
      </c>
    </row>
    <row r="2578" customFormat="false" ht="15" hidden="false" customHeight="false" outlineLevel="0" collapsed="false">
      <c r="A2578" s="103" t="n">
        <v>46304</v>
      </c>
      <c r="B2578" s="104" t="s">
        <v>34</v>
      </c>
      <c r="C2578" s="104" t="s">
        <v>564</v>
      </c>
      <c r="D2578" s="105" t="n">
        <v>0.0833</v>
      </c>
      <c r="E2578" s="106" t="n">
        <v>120</v>
      </c>
      <c r="F2578" s="107" t="n">
        <f aca="false">IF($C2578="","",$D2578*$E2578)</f>
        <v>9.996</v>
      </c>
      <c r="G2578" s="107" t="n">
        <f aca="false">IF($C2578="","",$D2578*IFERROR(INDEX('تحليل التكلفة والسعر'!$C$2:$C$700,MATCH($C2578,'تحليل التكلفة والسعر'!$B$2:$B$700,0)),0))</f>
        <v>3.132767225</v>
      </c>
      <c r="H2578" s="104" t="s">
        <v>719</v>
      </c>
    </row>
    <row r="2579" customFormat="false" ht="15" hidden="false" customHeight="false" outlineLevel="0" collapsed="false">
      <c r="A2579" s="103" t="n">
        <v>46305</v>
      </c>
      <c r="B2579" s="104" t="s">
        <v>34</v>
      </c>
      <c r="C2579" s="104" t="s">
        <v>564</v>
      </c>
      <c r="D2579" s="105" t="n">
        <v>0.0833</v>
      </c>
      <c r="E2579" s="106" t="n">
        <v>120</v>
      </c>
      <c r="F2579" s="107" t="n">
        <f aca="false">IF($C2579="","",$D2579*$E2579)</f>
        <v>9.996</v>
      </c>
      <c r="G2579" s="107" t="n">
        <f aca="false">IF($C2579="","",$D2579*IFERROR(INDEX('تحليل التكلفة والسعر'!$C$2:$C$700,MATCH($C2579,'تحليل التكلفة والسعر'!$B$2:$B$700,0)),0))</f>
        <v>3.132767225</v>
      </c>
      <c r="H2579" s="104" t="s">
        <v>719</v>
      </c>
    </row>
    <row r="2580" customFormat="false" ht="15" hidden="false" customHeight="false" outlineLevel="0" collapsed="false">
      <c r="A2580" s="103" t="n">
        <v>46306</v>
      </c>
      <c r="B2580" s="104" t="s">
        <v>34</v>
      </c>
      <c r="C2580" s="104" t="s">
        <v>564</v>
      </c>
      <c r="D2580" s="105" t="n">
        <v>0.0833</v>
      </c>
      <c r="E2580" s="106" t="n">
        <v>120</v>
      </c>
      <c r="F2580" s="107" t="n">
        <f aca="false">IF($C2580="","",$D2580*$E2580)</f>
        <v>9.996</v>
      </c>
      <c r="G2580" s="107" t="n">
        <f aca="false">IF($C2580="","",$D2580*IFERROR(INDEX('تحليل التكلفة والسعر'!$C$2:$C$700,MATCH($C2580,'تحليل التكلفة والسعر'!$B$2:$B$700,0)),0))</f>
        <v>3.132767225</v>
      </c>
      <c r="H2580" s="104" t="s">
        <v>719</v>
      </c>
    </row>
    <row r="2581" customFormat="false" ht="15" hidden="false" customHeight="false" outlineLevel="0" collapsed="false">
      <c r="A2581" s="103" t="n">
        <v>46307</v>
      </c>
      <c r="B2581" s="104" t="s">
        <v>34</v>
      </c>
      <c r="C2581" s="104" t="s">
        <v>564</v>
      </c>
      <c r="D2581" s="105" t="n">
        <v>0.0833</v>
      </c>
      <c r="E2581" s="106" t="n">
        <v>120</v>
      </c>
      <c r="F2581" s="107" t="n">
        <f aca="false">IF($C2581="","",$D2581*$E2581)</f>
        <v>9.996</v>
      </c>
      <c r="G2581" s="107" t="n">
        <f aca="false">IF($C2581="","",$D2581*IFERROR(INDEX('تحليل التكلفة والسعر'!$C$2:$C$700,MATCH($C2581,'تحليل التكلفة والسعر'!$B$2:$B$700,0)),0))</f>
        <v>3.132767225</v>
      </c>
      <c r="H2581" s="104" t="s">
        <v>719</v>
      </c>
    </row>
    <row r="2582" customFormat="false" ht="15" hidden="false" customHeight="false" outlineLevel="0" collapsed="false">
      <c r="A2582" s="103" t="n">
        <v>46296</v>
      </c>
      <c r="B2582" s="104" t="s">
        <v>32</v>
      </c>
      <c r="C2582" s="104" t="s">
        <v>720</v>
      </c>
      <c r="D2582" s="105" t="n">
        <v>0.1667</v>
      </c>
      <c r="E2582" s="106" t="n">
        <v>90</v>
      </c>
      <c r="F2582" s="107" t="n">
        <f aca="false">IF($C2582="","",$D2582*$E2582)</f>
        <v>15.003</v>
      </c>
      <c r="G2582" s="107" t="n">
        <f aca="false">IF($C2582="","",$D2582*IFERROR(INDEX('تحليل التكلفة والسعر'!$C$2:$C$700,MATCH($C2582,'تحليل التكلفة والسعر'!$B$2:$B$700,0)),0))</f>
        <v>7.77933889</v>
      </c>
      <c r="H2582" s="104" t="s">
        <v>719</v>
      </c>
    </row>
    <row r="2583" customFormat="false" ht="15" hidden="false" customHeight="false" outlineLevel="0" collapsed="false">
      <c r="A2583" s="103" t="n">
        <v>46297</v>
      </c>
      <c r="B2583" s="104" t="s">
        <v>32</v>
      </c>
      <c r="C2583" s="104" t="s">
        <v>720</v>
      </c>
      <c r="D2583" s="105" t="n">
        <v>0.1667</v>
      </c>
      <c r="E2583" s="106" t="n">
        <v>90</v>
      </c>
      <c r="F2583" s="107" t="n">
        <f aca="false">IF($C2583="","",$D2583*$E2583)</f>
        <v>15.003</v>
      </c>
      <c r="G2583" s="107" t="n">
        <f aca="false">IF($C2583="","",$D2583*IFERROR(INDEX('تحليل التكلفة والسعر'!$C$2:$C$700,MATCH($C2583,'تحليل التكلفة والسعر'!$B$2:$B$700,0)),0))</f>
        <v>7.77933889</v>
      </c>
      <c r="H2583" s="104" t="s">
        <v>719</v>
      </c>
    </row>
    <row r="2584" customFormat="false" ht="15" hidden="false" customHeight="false" outlineLevel="0" collapsed="false">
      <c r="A2584" s="103" t="n">
        <v>46298</v>
      </c>
      <c r="B2584" s="104" t="s">
        <v>32</v>
      </c>
      <c r="C2584" s="104" t="s">
        <v>720</v>
      </c>
      <c r="D2584" s="105" t="n">
        <v>0.1667</v>
      </c>
      <c r="E2584" s="106" t="n">
        <v>90</v>
      </c>
      <c r="F2584" s="107" t="n">
        <f aca="false">IF($C2584="","",$D2584*$E2584)</f>
        <v>15.003</v>
      </c>
      <c r="G2584" s="107" t="n">
        <f aca="false">IF($C2584="","",$D2584*IFERROR(INDEX('تحليل التكلفة والسعر'!$C$2:$C$700,MATCH($C2584,'تحليل التكلفة والسعر'!$B$2:$B$700,0)),0))</f>
        <v>7.77933889</v>
      </c>
      <c r="H2584" s="104" t="s">
        <v>719</v>
      </c>
    </row>
    <row r="2585" customFormat="false" ht="15" hidden="false" customHeight="false" outlineLevel="0" collapsed="false">
      <c r="A2585" s="103" t="n">
        <v>46299</v>
      </c>
      <c r="B2585" s="104" t="s">
        <v>32</v>
      </c>
      <c r="C2585" s="104" t="s">
        <v>720</v>
      </c>
      <c r="D2585" s="105" t="n">
        <v>0.1667</v>
      </c>
      <c r="E2585" s="106" t="n">
        <v>90</v>
      </c>
      <c r="F2585" s="107" t="n">
        <f aca="false">IF($C2585="","",$D2585*$E2585)</f>
        <v>15.003</v>
      </c>
      <c r="G2585" s="107" t="n">
        <f aca="false">IF($C2585="","",$D2585*IFERROR(INDEX('تحليل التكلفة والسعر'!$C$2:$C$700,MATCH($C2585,'تحليل التكلفة والسعر'!$B$2:$B$700,0)),0))</f>
        <v>7.77933889</v>
      </c>
      <c r="H2585" s="104" t="s">
        <v>719</v>
      </c>
    </row>
    <row r="2586" customFormat="false" ht="15" hidden="false" customHeight="false" outlineLevel="0" collapsed="false">
      <c r="A2586" s="103" t="n">
        <v>46300</v>
      </c>
      <c r="B2586" s="104" t="s">
        <v>32</v>
      </c>
      <c r="C2586" s="104" t="s">
        <v>720</v>
      </c>
      <c r="D2586" s="105" t="n">
        <v>0.1667</v>
      </c>
      <c r="E2586" s="106" t="n">
        <v>90</v>
      </c>
      <c r="F2586" s="107" t="n">
        <f aca="false">IF($C2586="","",$D2586*$E2586)</f>
        <v>15.003</v>
      </c>
      <c r="G2586" s="107" t="n">
        <f aca="false">IF($C2586="","",$D2586*IFERROR(INDEX('تحليل التكلفة والسعر'!$C$2:$C$700,MATCH($C2586,'تحليل التكلفة والسعر'!$B$2:$B$700,0)),0))</f>
        <v>7.77933889</v>
      </c>
      <c r="H2586" s="104" t="s">
        <v>719</v>
      </c>
    </row>
    <row r="2587" customFormat="false" ht="15" hidden="false" customHeight="false" outlineLevel="0" collapsed="false">
      <c r="A2587" s="103" t="n">
        <v>46301</v>
      </c>
      <c r="B2587" s="104" t="s">
        <v>32</v>
      </c>
      <c r="C2587" s="104" t="s">
        <v>720</v>
      </c>
      <c r="D2587" s="105" t="n">
        <v>0.1667</v>
      </c>
      <c r="E2587" s="106" t="n">
        <v>90</v>
      </c>
      <c r="F2587" s="107" t="n">
        <f aca="false">IF($C2587="","",$D2587*$E2587)</f>
        <v>15.003</v>
      </c>
      <c r="G2587" s="107" t="n">
        <f aca="false">IF($C2587="","",$D2587*IFERROR(INDEX('تحليل التكلفة والسعر'!$C$2:$C$700,MATCH($C2587,'تحليل التكلفة والسعر'!$B$2:$B$700,0)),0))</f>
        <v>7.77933889</v>
      </c>
      <c r="H2587" s="104" t="s">
        <v>719</v>
      </c>
    </row>
    <row r="2588" customFormat="false" ht="15" hidden="false" customHeight="false" outlineLevel="0" collapsed="false">
      <c r="A2588" s="103" t="n">
        <v>46302</v>
      </c>
      <c r="B2588" s="104" t="s">
        <v>32</v>
      </c>
      <c r="C2588" s="104" t="s">
        <v>720</v>
      </c>
      <c r="D2588" s="105" t="n">
        <v>0.1667</v>
      </c>
      <c r="E2588" s="106" t="n">
        <v>90</v>
      </c>
      <c r="F2588" s="107" t="n">
        <f aca="false">IF($C2588="","",$D2588*$E2588)</f>
        <v>15.003</v>
      </c>
      <c r="G2588" s="107" t="n">
        <f aca="false">IF($C2588="","",$D2588*IFERROR(INDEX('تحليل التكلفة والسعر'!$C$2:$C$700,MATCH($C2588,'تحليل التكلفة والسعر'!$B$2:$B$700,0)),0))</f>
        <v>7.77933889</v>
      </c>
      <c r="H2588" s="104" t="s">
        <v>719</v>
      </c>
    </row>
    <row r="2589" customFormat="false" ht="15" hidden="false" customHeight="false" outlineLevel="0" collapsed="false">
      <c r="A2589" s="103" t="n">
        <v>46303</v>
      </c>
      <c r="B2589" s="104" t="s">
        <v>32</v>
      </c>
      <c r="C2589" s="104" t="s">
        <v>720</v>
      </c>
      <c r="D2589" s="105" t="n">
        <v>0.1667</v>
      </c>
      <c r="E2589" s="106" t="n">
        <v>90</v>
      </c>
      <c r="F2589" s="107" t="n">
        <f aca="false">IF($C2589="","",$D2589*$E2589)</f>
        <v>15.003</v>
      </c>
      <c r="G2589" s="107" t="n">
        <f aca="false">IF($C2589="","",$D2589*IFERROR(INDEX('تحليل التكلفة والسعر'!$C$2:$C$700,MATCH($C2589,'تحليل التكلفة والسعر'!$B$2:$B$700,0)),0))</f>
        <v>7.77933889</v>
      </c>
      <c r="H2589" s="104" t="s">
        <v>719</v>
      </c>
    </row>
    <row r="2590" customFormat="false" ht="15" hidden="false" customHeight="false" outlineLevel="0" collapsed="false">
      <c r="A2590" s="103" t="n">
        <v>46304</v>
      </c>
      <c r="B2590" s="104" t="s">
        <v>32</v>
      </c>
      <c r="C2590" s="104" t="s">
        <v>720</v>
      </c>
      <c r="D2590" s="105" t="n">
        <v>0.1667</v>
      </c>
      <c r="E2590" s="106" t="n">
        <v>90</v>
      </c>
      <c r="F2590" s="107" t="n">
        <f aca="false">IF($C2590="","",$D2590*$E2590)</f>
        <v>15.003</v>
      </c>
      <c r="G2590" s="107" t="n">
        <f aca="false">IF($C2590="","",$D2590*IFERROR(INDEX('تحليل التكلفة والسعر'!$C$2:$C$700,MATCH($C2590,'تحليل التكلفة والسعر'!$B$2:$B$700,0)),0))</f>
        <v>7.77933889</v>
      </c>
      <c r="H2590" s="104" t="s">
        <v>719</v>
      </c>
    </row>
    <row r="2591" customFormat="false" ht="15" hidden="false" customHeight="false" outlineLevel="0" collapsed="false">
      <c r="A2591" s="103" t="n">
        <v>46305</v>
      </c>
      <c r="B2591" s="104" t="s">
        <v>32</v>
      </c>
      <c r="C2591" s="104" t="s">
        <v>720</v>
      </c>
      <c r="D2591" s="105" t="n">
        <v>0.1667</v>
      </c>
      <c r="E2591" s="106" t="n">
        <v>90</v>
      </c>
      <c r="F2591" s="107" t="n">
        <f aca="false">IF($C2591="","",$D2591*$E2591)</f>
        <v>15.003</v>
      </c>
      <c r="G2591" s="107" t="n">
        <f aca="false">IF($C2591="","",$D2591*IFERROR(INDEX('تحليل التكلفة والسعر'!$C$2:$C$700,MATCH($C2591,'تحليل التكلفة والسعر'!$B$2:$B$700,0)),0))</f>
        <v>7.77933889</v>
      </c>
      <c r="H2591" s="104" t="s">
        <v>719</v>
      </c>
    </row>
    <row r="2592" customFormat="false" ht="15" hidden="false" customHeight="false" outlineLevel="0" collapsed="false">
      <c r="A2592" s="103" t="n">
        <v>46306</v>
      </c>
      <c r="B2592" s="104" t="s">
        <v>32</v>
      </c>
      <c r="C2592" s="104" t="s">
        <v>720</v>
      </c>
      <c r="D2592" s="105" t="n">
        <v>0.1667</v>
      </c>
      <c r="E2592" s="106" t="n">
        <v>90</v>
      </c>
      <c r="F2592" s="107" t="n">
        <f aca="false">IF($C2592="","",$D2592*$E2592)</f>
        <v>15.003</v>
      </c>
      <c r="G2592" s="107" t="n">
        <f aca="false">IF($C2592="","",$D2592*IFERROR(INDEX('تحليل التكلفة والسعر'!$C$2:$C$700,MATCH($C2592,'تحليل التكلفة والسعر'!$B$2:$B$700,0)),0))</f>
        <v>7.77933889</v>
      </c>
      <c r="H2592" s="104" t="s">
        <v>719</v>
      </c>
    </row>
    <row r="2593" customFormat="false" ht="15" hidden="false" customHeight="false" outlineLevel="0" collapsed="false">
      <c r="A2593" s="103" t="n">
        <v>46307</v>
      </c>
      <c r="B2593" s="104" t="s">
        <v>32</v>
      </c>
      <c r="C2593" s="104" t="s">
        <v>720</v>
      </c>
      <c r="D2593" s="105" t="n">
        <v>0.1667</v>
      </c>
      <c r="E2593" s="106" t="n">
        <v>90</v>
      </c>
      <c r="F2593" s="107" t="n">
        <f aca="false">IF($C2593="","",$D2593*$E2593)</f>
        <v>15.003</v>
      </c>
      <c r="G2593" s="107" t="n">
        <f aca="false">IF($C2593="","",$D2593*IFERROR(INDEX('تحليل التكلفة والسعر'!$C$2:$C$700,MATCH($C2593,'تحليل التكلفة والسعر'!$B$2:$B$700,0)),0))</f>
        <v>7.77933889</v>
      </c>
      <c r="H2593" s="104" t="s">
        <v>719</v>
      </c>
    </row>
    <row r="2594" customFormat="false" ht="15" hidden="false" customHeight="false" outlineLevel="0" collapsed="false">
      <c r="A2594" s="103" t="n">
        <v>46296</v>
      </c>
      <c r="B2594" s="104" t="s">
        <v>32</v>
      </c>
      <c r="C2594" s="104" t="s">
        <v>761</v>
      </c>
      <c r="D2594" s="105" t="n">
        <v>0.5833</v>
      </c>
      <c r="E2594" s="106" t="n">
        <v>70</v>
      </c>
      <c r="F2594" s="107" t="n">
        <f aca="false">IF($C2594="","",$D2594*$E2594)</f>
        <v>40.831</v>
      </c>
      <c r="G2594" s="107" t="n">
        <f aca="false">IF($C2594="","",$D2594*IFERROR(INDEX('تحليل التكلفة والسعر'!$C$2:$C$700,MATCH($C2594,'تحليل التكلفة والسعر'!$B$2:$B$700,0)),0))</f>
        <v>20.4155</v>
      </c>
      <c r="H2594" s="104" t="s">
        <v>719</v>
      </c>
    </row>
    <row r="2595" customFormat="false" ht="15" hidden="false" customHeight="false" outlineLevel="0" collapsed="false">
      <c r="A2595" s="103" t="n">
        <v>46297</v>
      </c>
      <c r="B2595" s="104" t="s">
        <v>32</v>
      </c>
      <c r="C2595" s="104" t="s">
        <v>761</v>
      </c>
      <c r="D2595" s="105" t="n">
        <v>0.5833</v>
      </c>
      <c r="E2595" s="106" t="n">
        <v>70</v>
      </c>
      <c r="F2595" s="107" t="n">
        <f aca="false">IF($C2595="","",$D2595*$E2595)</f>
        <v>40.831</v>
      </c>
      <c r="G2595" s="107" t="n">
        <f aca="false">IF($C2595="","",$D2595*IFERROR(INDEX('تحليل التكلفة والسعر'!$C$2:$C$700,MATCH($C2595,'تحليل التكلفة والسعر'!$B$2:$B$700,0)),0))</f>
        <v>20.4155</v>
      </c>
      <c r="H2595" s="104" t="s">
        <v>719</v>
      </c>
    </row>
    <row r="2596" customFormat="false" ht="15" hidden="false" customHeight="false" outlineLevel="0" collapsed="false">
      <c r="A2596" s="103" t="n">
        <v>46298</v>
      </c>
      <c r="B2596" s="104" t="s">
        <v>32</v>
      </c>
      <c r="C2596" s="104" t="s">
        <v>761</v>
      </c>
      <c r="D2596" s="105" t="n">
        <v>0.5833</v>
      </c>
      <c r="E2596" s="106" t="n">
        <v>70</v>
      </c>
      <c r="F2596" s="107" t="n">
        <f aca="false">IF($C2596="","",$D2596*$E2596)</f>
        <v>40.831</v>
      </c>
      <c r="G2596" s="107" t="n">
        <f aca="false">IF($C2596="","",$D2596*IFERROR(INDEX('تحليل التكلفة والسعر'!$C$2:$C$700,MATCH($C2596,'تحليل التكلفة والسعر'!$B$2:$B$700,0)),0))</f>
        <v>20.4155</v>
      </c>
      <c r="H2596" s="104" t="s">
        <v>719</v>
      </c>
    </row>
    <row r="2597" customFormat="false" ht="15" hidden="false" customHeight="false" outlineLevel="0" collapsed="false">
      <c r="A2597" s="103" t="n">
        <v>46299</v>
      </c>
      <c r="B2597" s="104" t="s">
        <v>32</v>
      </c>
      <c r="C2597" s="104" t="s">
        <v>761</v>
      </c>
      <c r="D2597" s="105" t="n">
        <v>0.5833</v>
      </c>
      <c r="E2597" s="106" t="n">
        <v>70</v>
      </c>
      <c r="F2597" s="107" t="n">
        <f aca="false">IF($C2597="","",$D2597*$E2597)</f>
        <v>40.831</v>
      </c>
      <c r="G2597" s="107" t="n">
        <f aca="false">IF($C2597="","",$D2597*IFERROR(INDEX('تحليل التكلفة والسعر'!$C$2:$C$700,MATCH($C2597,'تحليل التكلفة والسعر'!$B$2:$B$700,0)),0))</f>
        <v>20.4155</v>
      </c>
      <c r="H2597" s="104" t="s">
        <v>719</v>
      </c>
    </row>
    <row r="2598" customFormat="false" ht="15" hidden="false" customHeight="false" outlineLevel="0" collapsed="false">
      <c r="A2598" s="103" t="n">
        <v>46300</v>
      </c>
      <c r="B2598" s="104" t="s">
        <v>32</v>
      </c>
      <c r="C2598" s="104" t="s">
        <v>761</v>
      </c>
      <c r="D2598" s="105" t="n">
        <v>0.5833</v>
      </c>
      <c r="E2598" s="106" t="n">
        <v>70</v>
      </c>
      <c r="F2598" s="107" t="n">
        <f aca="false">IF($C2598="","",$D2598*$E2598)</f>
        <v>40.831</v>
      </c>
      <c r="G2598" s="107" t="n">
        <f aca="false">IF($C2598="","",$D2598*IFERROR(INDEX('تحليل التكلفة والسعر'!$C$2:$C$700,MATCH($C2598,'تحليل التكلفة والسعر'!$B$2:$B$700,0)),0))</f>
        <v>20.4155</v>
      </c>
      <c r="H2598" s="104" t="s">
        <v>719</v>
      </c>
    </row>
    <row r="2599" customFormat="false" ht="15" hidden="false" customHeight="false" outlineLevel="0" collapsed="false">
      <c r="A2599" s="103" t="n">
        <v>46301</v>
      </c>
      <c r="B2599" s="104" t="s">
        <v>32</v>
      </c>
      <c r="C2599" s="104" t="s">
        <v>761</v>
      </c>
      <c r="D2599" s="105" t="n">
        <v>0.5833</v>
      </c>
      <c r="E2599" s="106" t="n">
        <v>70</v>
      </c>
      <c r="F2599" s="107" t="n">
        <f aca="false">IF($C2599="","",$D2599*$E2599)</f>
        <v>40.831</v>
      </c>
      <c r="G2599" s="107" t="n">
        <f aca="false">IF($C2599="","",$D2599*IFERROR(INDEX('تحليل التكلفة والسعر'!$C$2:$C$700,MATCH($C2599,'تحليل التكلفة والسعر'!$B$2:$B$700,0)),0))</f>
        <v>20.4155</v>
      </c>
      <c r="H2599" s="104" t="s">
        <v>719</v>
      </c>
    </row>
    <row r="2600" customFormat="false" ht="15" hidden="false" customHeight="false" outlineLevel="0" collapsed="false">
      <c r="A2600" s="103" t="n">
        <v>46302</v>
      </c>
      <c r="B2600" s="104" t="s">
        <v>32</v>
      </c>
      <c r="C2600" s="104" t="s">
        <v>761</v>
      </c>
      <c r="D2600" s="105" t="n">
        <v>0.5833</v>
      </c>
      <c r="E2600" s="106" t="n">
        <v>70</v>
      </c>
      <c r="F2600" s="107" t="n">
        <f aca="false">IF($C2600="","",$D2600*$E2600)</f>
        <v>40.831</v>
      </c>
      <c r="G2600" s="107" t="n">
        <f aca="false">IF($C2600="","",$D2600*IFERROR(INDEX('تحليل التكلفة والسعر'!$C$2:$C$700,MATCH($C2600,'تحليل التكلفة والسعر'!$B$2:$B$700,0)),0))</f>
        <v>20.4155</v>
      </c>
      <c r="H2600" s="104" t="s">
        <v>719</v>
      </c>
    </row>
    <row r="2601" customFormat="false" ht="15" hidden="false" customHeight="false" outlineLevel="0" collapsed="false">
      <c r="A2601" s="103" t="n">
        <v>46303</v>
      </c>
      <c r="B2601" s="104" t="s">
        <v>32</v>
      </c>
      <c r="C2601" s="104" t="s">
        <v>761</v>
      </c>
      <c r="D2601" s="105" t="n">
        <v>0.5833</v>
      </c>
      <c r="E2601" s="106" t="n">
        <v>70</v>
      </c>
      <c r="F2601" s="107" t="n">
        <f aca="false">IF($C2601="","",$D2601*$E2601)</f>
        <v>40.831</v>
      </c>
      <c r="G2601" s="107" t="n">
        <f aca="false">IF($C2601="","",$D2601*IFERROR(INDEX('تحليل التكلفة والسعر'!$C$2:$C$700,MATCH($C2601,'تحليل التكلفة والسعر'!$B$2:$B$700,0)),0))</f>
        <v>20.4155</v>
      </c>
      <c r="H2601" s="104" t="s">
        <v>719</v>
      </c>
    </row>
    <row r="2602" customFormat="false" ht="15" hidden="false" customHeight="false" outlineLevel="0" collapsed="false">
      <c r="A2602" s="103" t="n">
        <v>46304</v>
      </c>
      <c r="B2602" s="104" t="s">
        <v>32</v>
      </c>
      <c r="C2602" s="104" t="s">
        <v>761</v>
      </c>
      <c r="D2602" s="105" t="n">
        <v>0.5833</v>
      </c>
      <c r="E2602" s="106" t="n">
        <v>70</v>
      </c>
      <c r="F2602" s="107" t="n">
        <f aca="false">IF($C2602="","",$D2602*$E2602)</f>
        <v>40.831</v>
      </c>
      <c r="G2602" s="107" t="n">
        <f aca="false">IF($C2602="","",$D2602*IFERROR(INDEX('تحليل التكلفة والسعر'!$C$2:$C$700,MATCH($C2602,'تحليل التكلفة والسعر'!$B$2:$B$700,0)),0))</f>
        <v>20.4155</v>
      </c>
      <c r="H2602" s="104" t="s">
        <v>719</v>
      </c>
    </row>
    <row r="2603" customFormat="false" ht="15" hidden="false" customHeight="false" outlineLevel="0" collapsed="false">
      <c r="A2603" s="103" t="n">
        <v>46305</v>
      </c>
      <c r="B2603" s="104" t="s">
        <v>32</v>
      </c>
      <c r="C2603" s="104" t="s">
        <v>761</v>
      </c>
      <c r="D2603" s="105" t="n">
        <v>0.5833</v>
      </c>
      <c r="E2603" s="106" t="n">
        <v>70</v>
      </c>
      <c r="F2603" s="107" t="n">
        <f aca="false">IF($C2603="","",$D2603*$E2603)</f>
        <v>40.831</v>
      </c>
      <c r="G2603" s="107" t="n">
        <f aca="false">IF($C2603="","",$D2603*IFERROR(INDEX('تحليل التكلفة والسعر'!$C$2:$C$700,MATCH($C2603,'تحليل التكلفة والسعر'!$B$2:$B$700,0)),0))</f>
        <v>20.4155</v>
      </c>
      <c r="H2603" s="104" t="s">
        <v>719</v>
      </c>
    </row>
    <row r="2604" customFormat="false" ht="15" hidden="false" customHeight="false" outlineLevel="0" collapsed="false">
      <c r="A2604" s="103" t="n">
        <v>46306</v>
      </c>
      <c r="B2604" s="104" t="s">
        <v>32</v>
      </c>
      <c r="C2604" s="104" t="s">
        <v>761</v>
      </c>
      <c r="D2604" s="105" t="n">
        <v>0.5833</v>
      </c>
      <c r="E2604" s="106" t="n">
        <v>70</v>
      </c>
      <c r="F2604" s="107" t="n">
        <f aca="false">IF($C2604="","",$D2604*$E2604)</f>
        <v>40.831</v>
      </c>
      <c r="G2604" s="107" t="n">
        <f aca="false">IF($C2604="","",$D2604*IFERROR(INDEX('تحليل التكلفة والسعر'!$C$2:$C$700,MATCH($C2604,'تحليل التكلفة والسعر'!$B$2:$B$700,0)),0))</f>
        <v>20.4155</v>
      </c>
      <c r="H2604" s="104" t="s">
        <v>719</v>
      </c>
    </row>
    <row r="2605" customFormat="false" ht="15" hidden="false" customHeight="false" outlineLevel="0" collapsed="false">
      <c r="A2605" s="103" t="n">
        <v>46307</v>
      </c>
      <c r="B2605" s="104" t="s">
        <v>32</v>
      </c>
      <c r="C2605" s="104" t="s">
        <v>761</v>
      </c>
      <c r="D2605" s="105" t="n">
        <v>0.5833</v>
      </c>
      <c r="E2605" s="106" t="n">
        <v>70</v>
      </c>
      <c r="F2605" s="107" t="n">
        <f aca="false">IF($C2605="","",$D2605*$E2605)</f>
        <v>40.831</v>
      </c>
      <c r="G2605" s="107" t="n">
        <f aca="false">IF($C2605="","",$D2605*IFERROR(INDEX('تحليل التكلفة والسعر'!$C$2:$C$700,MATCH($C2605,'تحليل التكلفة والسعر'!$B$2:$B$700,0)),0))</f>
        <v>20.4155</v>
      </c>
      <c r="H2605" s="104" t="s">
        <v>719</v>
      </c>
    </row>
    <row r="2606" customFormat="false" ht="15" hidden="false" customHeight="false" outlineLevel="0" collapsed="false">
      <c r="A2606" s="103" t="n">
        <v>46296</v>
      </c>
      <c r="B2606" s="104" t="s">
        <v>32</v>
      </c>
      <c r="C2606" s="104" t="s">
        <v>762</v>
      </c>
      <c r="D2606" s="105" t="n">
        <v>0.0833</v>
      </c>
      <c r="E2606" s="106" t="n">
        <v>90</v>
      </c>
      <c r="F2606" s="107" t="n">
        <f aca="false">IF($C2606="","",$D2606*$E2606)</f>
        <v>7.497</v>
      </c>
      <c r="G2606" s="107" t="n">
        <f aca="false">IF($C2606="","",$D2606*IFERROR(INDEX('تحليل التكلفة والسعر'!$C$2:$C$700,MATCH($C2606,'تحليل التكلفة والسعر'!$B$2:$B$700,0)),0))</f>
        <v>3.88733611</v>
      </c>
      <c r="H2606" s="104" t="s">
        <v>719</v>
      </c>
    </row>
    <row r="2607" customFormat="false" ht="15" hidden="false" customHeight="false" outlineLevel="0" collapsed="false">
      <c r="A2607" s="103" t="n">
        <v>46297</v>
      </c>
      <c r="B2607" s="104" t="s">
        <v>32</v>
      </c>
      <c r="C2607" s="104" t="s">
        <v>762</v>
      </c>
      <c r="D2607" s="105" t="n">
        <v>0.0833</v>
      </c>
      <c r="E2607" s="106" t="n">
        <v>90</v>
      </c>
      <c r="F2607" s="107" t="n">
        <f aca="false">IF($C2607="","",$D2607*$E2607)</f>
        <v>7.497</v>
      </c>
      <c r="G2607" s="107" t="n">
        <f aca="false">IF($C2607="","",$D2607*IFERROR(INDEX('تحليل التكلفة والسعر'!$C$2:$C$700,MATCH($C2607,'تحليل التكلفة والسعر'!$B$2:$B$700,0)),0))</f>
        <v>3.88733611</v>
      </c>
      <c r="H2607" s="104" t="s">
        <v>719</v>
      </c>
    </row>
    <row r="2608" customFormat="false" ht="15" hidden="false" customHeight="false" outlineLevel="0" collapsed="false">
      <c r="A2608" s="103" t="n">
        <v>46298</v>
      </c>
      <c r="B2608" s="104" t="s">
        <v>32</v>
      </c>
      <c r="C2608" s="104" t="s">
        <v>762</v>
      </c>
      <c r="D2608" s="105" t="n">
        <v>0.0833</v>
      </c>
      <c r="E2608" s="106" t="n">
        <v>90</v>
      </c>
      <c r="F2608" s="107" t="n">
        <f aca="false">IF($C2608="","",$D2608*$E2608)</f>
        <v>7.497</v>
      </c>
      <c r="G2608" s="107" t="n">
        <f aca="false">IF($C2608="","",$D2608*IFERROR(INDEX('تحليل التكلفة والسعر'!$C$2:$C$700,MATCH($C2608,'تحليل التكلفة والسعر'!$B$2:$B$700,0)),0))</f>
        <v>3.88733611</v>
      </c>
      <c r="H2608" s="104" t="s">
        <v>719</v>
      </c>
    </row>
    <row r="2609" customFormat="false" ht="15" hidden="false" customHeight="false" outlineLevel="0" collapsed="false">
      <c r="A2609" s="103" t="n">
        <v>46299</v>
      </c>
      <c r="B2609" s="104" t="s">
        <v>32</v>
      </c>
      <c r="C2609" s="104" t="s">
        <v>762</v>
      </c>
      <c r="D2609" s="105" t="n">
        <v>0.0833</v>
      </c>
      <c r="E2609" s="106" t="n">
        <v>90</v>
      </c>
      <c r="F2609" s="107" t="n">
        <f aca="false">IF($C2609="","",$D2609*$E2609)</f>
        <v>7.497</v>
      </c>
      <c r="G2609" s="107" t="n">
        <f aca="false">IF($C2609="","",$D2609*IFERROR(INDEX('تحليل التكلفة والسعر'!$C$2:$C$700,MATCH($C2609,'تحليل التكلفة والسعر'!$B$2:$B$700,0)),0))</f>
        <v>3.88733611</v>
      </c>
      <c r="H2609" s="104" t="s">
        <v>719</v>
      </c>
    </row>
    <row r="2610" customFormat="false" ht="15" hidden="false" customHeight="false" outlineLevel="0" collapsed="false">
      <c r="A2610" s="103" t="n">
        <v>46300</v>
      </c>
      <c r="B2610" s="104" t="s">
        <v>32</v>
      </c>
      <c r="C2610" s="104" t="s">
        <v>762</v>
      </c>
      <c r="D2610" s="105" t="n">
        <v>0.0833</v>
      </c>
      <c r="E2610" s="106" t="n">
        <v>90</v>
      </c>
      <c r="F2610" s="107" t="n">
        <f aca="false">IF($C2610="","",$D2610*$E2610)</f>
        <v>7.497</v>
      </c>
      <c r="G2610" s="107" t="n">
        <f aca="false">IF($C2610="","",$D2610*IFERROR(INDEX('تحليل التكلفة والسعر'!$C$2:$C$700,MATCH($C2610,'تحليل التكلفة والسعر'!$B$2:$B$700,0)),0))</f>
        <v>3.88733611</v>
      </c>
      <c r="H2610" s="104" t="s">
        <v>719</v>
      </c>
    </row>
    <row r="2611" customFormat="false" ht="15" hidden="false" customHeight="false" outlineLevel="0" collapsed="false">
      <c r="A2611" s="103" t="n">
        <v>46301</v>
      </c>
      <c r="B2611" s="104" t="s">
        <v>32</v>
      </c>
      <c r="C2611" s="104" t="s">
        <v>762</v>
      </c>
      <c r="D2611" s="105" t="n">
        <v>0.0833</v>
      </c>
      <c r="E2611" s="106" t="n">
        <v>90</v>
      </c>
      <c r="F2611" s="107" t="n">
        <f aca="false">IF($C2611="","",$D2611*$E2611)</f>
        <v>7.497</v>
      </c>
      <c r="G2611" s="107" t="n">
        <f aca="false">IF($C2611="","",$D2611*IFERROR(INDEX('تحليل التكلفة والسعر'!$C$2:$C$700,MATCH($C2611,'تحليل التكلفة والسعر'!$B$2:$B$700,0)),0))</f>
        <v>3.88733611</v>
      </c>
      <c r="H2611" s="104" t="s">
        <v>719</v>
      </c>
    </row>
    <row r="2612" customFormat="false" ht="15" hidden="false" customHeight="false" outlineLevel="0" collapsed="false">
      <c r="A2612" s="103" t="n">
        <v>46302</v>
      </c>
      <c r="B2612" s="104" t="s">
        <v>32</v>
      </c>
      <c r="C2612" s="104" t="s">
        <v>762</v>
      </c>
      <c r="D2612" s="105" t="n">
        <v>0.0833</v>
      </c>
      <c r="E2612" s="106" t="n">
        <v>90</v>
      </c>
      <c r="F2612" s="107" t="n">
        <f aca="false">IF($C2612="","",$D2612*$E2612)</f>
        <v>7.497</v>
      </c>
      <c r="G2612" s="107" t="n">
        <f aca="false">IF($C2612="","",$D2612*IFERROR(INDEX('تحليل التكلفة والسعر'!$C$2:$C$700,MATCH($C2612,'تحليل التكلفة والسعر'!$B$2:$B$700,0)),0))</f>
        <v>3.88733611</v>
      </c>
      <c r="H2612" s="104" t="s">
        <v>719</v>
      </c>
    </row>
    <row r="2613" customFormat="false" ht="15" hidden="false" customHeight="false" outlineLevel="0" collapsed="false">
      <c r="A2613" s="103" t="n">
        <v>46303</v>
      </c>
      <c r="B2613" s="104" t="s">
        <v>32</v>
      </c>
      <c r="C2613" s="104" t="s">
        <v>762</v>
      </c>
      <c r="D2613" s="105" t="n">
        <v>0.0833</v>
      </c>
      <c r="E2613" s="106" t="n">
        <v>90</v>
      </c>
      <c r="F2613" s="107" t="n">
        <f aca="false">IF($C2613="","",$D2613*$E2613)</f>
        <v>7.497</v>
      </c>
      <c r="G2613" s="107" t="n">
        <f aca="false">IF($C2613="","",$D2613*IFERROR(INDEX('تحليل التكلفة والسعر'!$C$2:$C$700,MATCH($C2613,'تحليل التكلفة والسعر'!$B$2:$B$700,0)),0))</f>
        <v>3.88733611</v>
      </c>
      <c r="H2613" s="104" t="s">
        <v>719</v>
      </c>
    </row>
    <row r="2614" customFormat="false" ht="15" hidden="false" customHeight="false" outlineLevel="0" collapsed="false">
      <c r="A2614" s="103" t="n">
        <v>46304</v>
      </c>
      <c r="B2614" s="104" t="s">
        <v>32</v>
      </c>
      <c r="C2614" s="104" t="s">
        <v>762</v>
      </c>
      <c r="D2614" s="105" t="n">
        <v>0.0833</v>
      </c>
      <c r="E2614" s="106" t="n">
        <v>90</v>
      </c>
      <c r="F2614" s="107" t="n">
        <f aca="false">IF($C2614="","",$D2614*$E2614)</f>
        <v>7.497</v>
      </c>
      <c r="G2614" s="107" t="n">
        <f aca="false">IF($C2614="","",$D2614*IFERROR(INDEX('تحليل التكلفة والسعر'!$C$2:$C$700,MATCH($C2614,'تحليل التكلفة والسعر'!$B$2:$B$700,0)),0))</f>
        <v>3.88733611</v>
      </c>
      <c r="H2614" s="104" t="s">
        <v>719</v>
      </c>
    </row>
    <row r="2615" customFormat="false" ht="15" hidden="false" customHeight="false" outlineLevel="0" collapsed="false">
      <c r="A2615" s="103" t="n">
        <v>46305</v>
      </c>
      <c r="B2615" s="104" t="s">
        <v>32</v>
      </c>
      <c r="C2615" s="104" t="s">
        <v>762</v>
      </c>
      <c r="D2615" s="105" t="n">
        <v>0.0833</v>
      </c>
      <c r="E2615" s="106" t="n">
        <v>90</v>
      </c>
      <c r="F2615" s="107" t="n">
        <f aca="false">IF($C2615="","",$D2615*$E2615)</f>
        <v>7.497</v>
      </c>
      <c r="G2615" s="107" t="n">
        <f aca="false">IF($C2615="","",$D2615*IFERROR(INDEX('تحليل التكلفة والسعر'!$C$2:$C$700,MATCH($C2615,'تحليل التكلفة والسعر'!$B$2:$B$700,0)),0))</f>
        <v>3.88733611</v>
      </c>
      <c r="H2615" s="104" t="s">
        <v>719</v>
      </c>
    </row>
    <row r="2616" customFormat="false" ht="15" hidden="false" customHeight="false" outlineLevel="0" collapsed="false">
      <c r="A2616" s="103" t="n">
        <v>46306</v>
      </c>
      <c r="B2616" s="104" t="s">
        <v>32</v>
      </c>
      <c r="C2616" s="104" t="s">
        <v>762</v>
      </c>
      <c r="D2616" s="105" t="n">
        <v>0.0833</v>
      </c>
      <c r="E2616" s="106" t="n">
        <v>90</v>
      </c>
      <c r="F2616" s="107" t="n">
        <f aca="false">IF($C2616="","",$D2616*$E2616)</f>
        <v>7.497</v>
      </c>
      <c r="G2616" s="107" t="n">
        <f aca="false">IF($C2616="","",$D2616*IFERROR(INDEX('تحليل التكلفة والسعر'!$C$2:$C$700,MATCH($C2616,'تحليل التكلفة والسعر'!$B$2:$B$700,0)),0))</f>
        <v>3.88733611</v>
      </c>
      <c r="H2616" s="104" t="s">
        <v>719</v>
      </c>
    </row>
    <row r="2617" customFormat="false" ht="15" hidden="false" customHeight="false" outlineLevel="0" collapsed="false">
      <c r="A2617" s="103" t="n">
        <v>46307</v>
      </c>
      <c r="B2617" s="104" t="s">
        <v>32</v>
      </c>
      <c r="C2617" s="104" t="s">
        <v>762</v>
      </c>
      <c r="D2617" s="105" t="n">
        <v>0.0833</v>
      </c>
      <c r="E2617" s="106" t="n">
        <v>90</v>
      </c>
      <c r="F2617" s="107" t="n">
        <f aca="false">IF($C2617="","",$D2617*$E2617)</f>
        <v>7.497</v>
      </c>
      <c r="G2617" s="107" t="n">
        <f aca="false">IF($C2617="","",$D2617*IFERROR(INDEX('تحليل التكلفة والسعر'!$C$2:$C$700,MATCH($C2617,'تحليل التكلفة والسعر'!$B$2:$B$700,0)),0))</f>
        <v>3.88733611</v>
      </c>
      <c r="H2617" s="104" t="s">
        <v>719</v>
      </c>
    </row>
    <row r="2618" customFormat="false" ht="15" hidden="false" customHeight="false" outlineLevel="0" collapsed="false">
      <c r="A2618" s="103" t="n">
        <v>46296</v>
      </c>
      <c r="B2618" s="104" t="s">
        <v>32</v>
      </c>
      <c r="C2618" s="104" t="s">
        <v>721</v>
      </c>
      <c r="D2618" s="105" t="n">
        <v>0.1667</v>
      </c>
      <c r="E2618" s="106" t="n">
        <v>70</v>
      </c>
      <c r="F2618" s="107" t="n">
        <f aca="false">IF($C2618="","",$D2618*$E2618)</f>
        <v>11.669</v>
      </c>
      <c r="G2618" s="107" t="n">
        <f aca="false">IF($C2618="","",$D2618*IFERROR(INDEX('تحليل التكلفة والسعر'!$C$2:$C$700,MATCH($C2618,'تحليل التكلفة والسعر'!$B$2:$B$700,0)),0))</f>
        <v>5.8345</v>
      </c>
      <c r="H2618" s="104" t="s">
        <v>719</v>
      </c>
    </row>
    <row r="2619" customFormat="false" ht="15" hidden="false" customHeight="false" outlineLevel="0" collapsed="false">
      <c r="A2619" s="103" t="n">
        <v>46297</v>
      </c>
      <c r="B2619" s="104" t="s">
        <v>32</v>
      </c>
      <c r="C2619" s="104" t="s">
        <v>721</v>
      </c>
      <c r="D2619" s="105" t="n">
        <v>0.1667</v>
      </c>
      <c r="E2619" s="106" t="n">
        <v>70</v>
      </c>
      <c r="F2619" s="107" t="n">
        <f aca="false">IF($C2619="","",$D2619*$E2619)</f>
        <v>11.669</v>
      </c>
      <c r="G2619" s="107" t="n">
        <f aca="false">IF($C2619="","",$D2619*IFERROR(INDEX('تحليل التكلفة والسعر'!$C$2:$C$700,MATCH($C2619,'تحليل التكلفة والسعر'!$B$2:$B$700,0)),0))</f>
        <v>5.8345</v>
      </c>
      <c r="H2619" s="104" t="s">
        <v>719</v>
      </c>
    </row>
    <row r="2620" customFormat="false" ht="15" hidden="false" customHeight="false" outlineLevel="0" collapsed="false">
      <c r="A2620" s="103" t="n">
        <v>46298</v>
      </c>
      <c r="B2620" s="104" t="s">
        <v>32</v>
      </c>
      <c r="C2620" s="104" t="s">
        <v>721</v>
      </c>
      <c r="D2620" s="105" t="n">
        <v>0.1667</v>
      </c>
      <c r="E2620" s="106" t="n">
        <v>70</v>
      </c>
      <c r="F2620" s="107" t="n">
        <f aca="false">IF($C2620="","",$D2620*$E2620)</f>
        <v>11.669</v>
      </c>
      <c r="G2620" s="107" t="n">
        <f aca="false">IF($C2620="","",$D2620*IFERROR(INDEX('تحليل التكلفة والسعر'!$C$2:$C$700,MATCH($C2620,'تحليل التكلفة والسعر'!$B$2:$B$700,0)),0))</f>
        <v>5.8345</v>
      </c>
      <c r="H2620" s="104" t="s">
        <v>719</v>
      </c>
    </row>
    <row r="2621" customFormat="false" ht="15" hidden="false" customHeight="false" outlineLevel="0" collapsed="false">
      <c r="A2621" s="103" t="n">
        <v>46299</v>
      </c>
      <c r="B2621" s="104" t="s">
        <v>32</v>
      </c>
      <c r="C2621" s="104" t="s">
        <v>721</v>
      </c>
      <c r="D2621" s="105" t="n">
        <v>0.1667</v>
      </c>
      <c r="E2621" s="106" t="n">
        <v>70</v>
      </c>
      <c r="F2621" s="107" t="n">
        <f aca="false">IF($C2621="","",$D2621*$E2621)</f>
        <v>11.669</v>
      </c>
      <c r="G2621" s="107" t="n">
        <f aca="false">IF($C2621="","",$D2621*IFERROR(INDEX('تحليل التكلفة والسعر'!$C$2:$C$700,MATCH($C2621,'تحليل التكلفة والسعر'!$B$2:$B$700,0)),0))</f>
        <v>5.8345</v>
      </c>
      <c r="H2621" s="104" t="s">
        <v>719</v>
      </c>
    </row>
    <row r="2622" customFormat="false" ht="15" hidden="false" customHeight="false" outlineLevel="0" collapsed="false">
      <c r="A2622" s="103" t="n">
        <v>46300</v>
      </c>
      <c r="B2622" s="104" t="s">
        <v>32</v>
      </c>
      <c r="C2622" s="104" t="s">
        <v>721</v>
      </c>
      <c r="D2622" s="105" t="n">
        <v>0.1667</v>
      </c>
      <c r="E2622" s="106" t="n">
        <v>70</v>
      </c>
      <c r="F2622" s="107" t="n">
        <f aca="false">IF($C2622="","",$D2622*$E2622)</f>
        <v>11.669</v>
      </c>
      <c r="G2622" s="107" t="n">
        <f aca="false">IF($C2622="","",$D2622*IFERROR(INDEX('تحليل التكلفة والسعر'!$C$2:$C$700,MATCH($C2622,'تحليل التكلفة والسعر'!$B$2:$B$700,0)),0))</f>
        <v>5.8345</v>
      </c>
      <c r="H2622" s="104" t="s">
        <v>719</v>
      </c>
    </row>
    <row r="2623" customFormat="false" ht="15" hidden="false" customHeight="false" outlineLevel="0" collapsed="false">
      <c r="A2623" s="103" t="n">
        <v>46301</v>
      </c>
      <c r="B2623" s="104" t="s">
        <v>32</v>
      </c>
      <c r="C2623" s="104" t="s">
        <v>721</v>
      </c>
      <c r="D2623" s="105" t="n">
        <v>0.1667</v>
      </c>
      <c r="E2623" s="106" t="n">
        <v>70</v>
      </c>
      <c r="F2623" s="107" t="n">
        <f aca="false">IF($C2623="","",$D2623*$E2623)</f>
        <v>11.669</v>
      </c>
      <c r="G2623" s="107" t="n">
        <f aca="false">IF($C2623="","",$D2623*IFERROR(INDEX('تحليل التكلفة والسعر'!$C$2:$C$700,MATCH($C2623,'تحليل التكلفة والسعر'!$B$2:$B$700,0)),0))</f>
        <v>5.8345</v>
      </c>
      <c r="H2623" s="104" t="s">
        <v>719</v>
      </c>
    </row>
    <row r="2624" customFormat="false" ht="15" hidden="false" customHeight="false" outlineLevel="0" collapsed="false">
      <c r="A2624" s="103" t="n">
        <v>46302</v>
      </c>
      <c r="B2624" s="104" t="s">
        <v>32</v>
      </c>
      <c r="C2624" s="104" t="s">
        <v>721</v>
      </c>
      <c r="D2624" s="105" t="n">
        <v>0.1667</v>
      </c>
      <c r="E2624" s="106" t="n">
        <v>70</v>
      </c>
      <c r="F2624" s="107" t="n">
        <f aca="false">IF($C2624="","",$D2624*$E2624)</f>
        <v>11.669</v>
      </c>
      <c r="G2624" s="107" t="n">
        <f aca="false">IF($C2624="","",$D2624*IFERROR(INDEX('تحليل التكلفة والسعر'!$C$2:$C$700,MATCH($C2624,'تحليل التكلفة والسعر'!$B$2:$B$700,0)),0))</f>
        <v>5.8345</v>
      </c>
      <c r="H2624" s="104" t="s">
        <v>719</v>
      </c>
    </row>
    <row r="2625" customFormat="false" ht="15" hidden="false" customHeight="false" outlineLevel="0" collapsed="false">
      <c r="A2625" s="103" t="n">
        <v>46303</v>
      </c>
      <c r="B2625" s="104" t="s">
        <v>32</v>
      </c>
      <c r="C2625" s="104" t="s">
        <v>721</v>
      </c>
      <c r="D2625" s="105" t="n">
        <v>0.1667</v>
      </c>
      <c r="E2625" s="106" t="n">
        <v>70</v>
      </c>
      <c r="F2625" s="107" t="n">
        <f aca="false">IF($C2625="","",$D2625*$E2625)</f>
        <v>11.669</v>
      </c>
      <c r="G2625" s="107" t="n">
        <f aca="false">IF($C2625="","",$D2625*IFERROR(INDEX('تحليل التكلفة والسعر'!$C$2:$C$700,MATCH($C2625,'تحليل التكلفة والسعر'!$B$2:$B$700,0)),0))</f>
        <v>5.8345</v>
      </c>
      <c r="H2625" s="104" t="s">
        <v>719</v>
      </c>
    </row>
    <row r="2626" customFormat="false" ht="15" hidden="false" customHeight="false" outlineLevel="0" collapsed="false">
      <c r="A2626" s="103" t="n">
        <v>46304</v>
      </c>
      <c r="B2626" s="104" t="s">
        <v>32</v>
      </c>
      <c r="C2626" s="104" t="s">
        <v>721</v>
      </c>
      <c r="D2626" s="105" t="n">
        <v>0.1667</v>
      </c>
      <c r="E2626" s="106" t="n">
        <v>70</v>
      </c>
      <c r="F2626" s="107" t="n">
        <f aca="false">IF($C2626="","",$D2626*$E2626)</f>
        <v>11.669</v>
      </c>
      <c r="G2626" s="107" t="n">
        <f aca="false">IF($C2626="","",$D2626*IFERROR(INDEX('تحليل التكلفة والسعر'!$C$2:$C$700,MATCH($C2626,'تحليل التكلفة والسعر'!$B$2:$B$700,0)),0))</f>
        <v>5.8345</v>
      </c>
      <c r="H2626" s="104" t="s">
        <v>719</v>
      </c>
    </row>
    <row r="2627" customFormat="false" ht="15" hidden="false" customHeight="false" outlineLevel="0" collapsed="false">
      <c r="A2627" s="103" t="n">
        <v>46305</v>
      </c>
      <c r="B2627" s="104" t="s">
        <v>32</v>
      </c>
      <c r="C2627" s="104" t="s">
        <v>721</v>
      </c>
      <c r="D2627" s="105" t="n">
        <v>0.1667</v>
      </c>
      <c r="E2627" s="106" t="n">
        <v>70</v>
      </c>
      <c r="F2627" s="107" t="n">
        <f aca="false">IF($C2627="","",$D2627*$E2627)</f>
        <v>11.669</v>
      </c>
      <c r="G2627" s="107" t="n">
        <f aca="false">IF($C2627="","",$D2627*IFERROR(INDEX('تحليل التكلفة والسعر'!$C$2:$C$700,MATCH($C2627,'تحليل التكلفة والسعر'!$B$2:$B$700,0)),0))</f>
        <v>5.8345</v>
      </c>
      <c r="H2627" s="104" t="s">
        <v>719</v>
      </c>
    </row>
    <row r="2628" customFormat="false" ht="15" hidden="false" customHeight="false" outlineLevel="0" collapsed="false">
      <c r="A2628" s="103" t="n">
        <v>46306</v>
      </c>
      <c r="B2628" s="104" t="s">
        <v>32</v>
      </c>
      <c r="C2628" s="104" t="s">
        <v>721</v>
      </c>
      <c r="D2628" s="105" t="n">
        <v>0.1667</v>
      </c>
      <c r="E2628" s="106" t="n">
        <v>70</v>
      </c>
      <c r="F2628" s="107" t="n">
        <f aca="false">IF($C2628="","",$D2628*$E2628)</f>
        <v>11.669</v>
      </c>
      <c r="G2628" s="107" t="n">
        <f aca="false">IF($C2628="","",$D2628*IFERROR(INDEX('تحليل التكلفة والسعر'!$C$2:$C$700,MATCH($C2628,'تحليل التكلفة والسعر'!$B$2:$B$700,0)),0))</f>
        <v>5.8345</v>
      </c>
      <c r="H2628" s="104" t="s">
        <v>719</v>
      </c>
    </row>
    <row r="2629" customFormat="false" ht="15" hidden="false" customHeight="false" outlineLevel="0" collapsed="false">
      <c r="A2629" s="103" t="n">
        <v>46307</v>
      </c>
      <c r="B2629" s="104" t="s">
        <v>32</v>
      </c>
      <c r="C2629" s="104" t="s">
        <v>721</v>
      </c>
      <c r="D2629" s="105" t="n">
        <v>0.1667</v>
      </c>
      <c r="E2629" s="106" t="n">
        <v>70</v>
      </c>
      <c r="F2629" s="107" t="n">
        <f aca="false">IF($C2629="","",$D2629*$E2629)</f>
        <v>11.669</v>
      </c>
      <c r="G2629" s="107" t="n">
        <f aca="false">IF($C2629="","",$D2629*IFERROR(INDEX('تحليل التكلفة والسعر'!$C$2:$C$700,MATCH($C2629,'تحليل التكلفة والسعر'!$B$2:$B$700,0)),0))</f>
        <v>5.8345</v>
      </c>
      <c r="H2629" s="104" t="s">
        <v>719</v>
      </c>
    </row>
    <row r="2630" customFormat="false" ht="15" hidden="false" customHeight="false" outlineLevel="0" collapsed="false">
      <c r="A2630" s="103" t="n">
        <v>46296</v>
      </c>
      <c r="B2630" s="104" t="s">
        <v>32</v>
      </c>
      <c r="C2630" s="104" t="s">
        <v>763</v>
      </c>
      <c r="D2630" s="105" t="n">
        <v>0.1667</v>
      </c>
      <c r="E2630" s="106" t="n">
        <v>40</v>
      </c>
      <c r="F2630" s="107" t="n">
        <f aca="false">IF($C2630="","",$D2630*$E2630)</f>
        <v>6.668</v>
      </c>
      <c r="G2630" s="107" t="n">
        <f aca="false">IF($C2630="","",$D2630*IFERROR(INDEX('تحليل التكلفة والسعر'!$C$2:$C$700,MATCH($C2630,'تحليل التكلفة والسعر'!$B$2:$B$700,0)),0))</f>
        <v>1.5003</v>
      </c>
      <c r="H2630" s="104" t="s">
        <v>719</v>
      </c>
    </row>
    <row r="2631" customFormat="false" ht="15" hidden="false" customHeight="false" outlineLevel="0" collapsed="false">
      <c r="A2631" s="103" t="n">
        <v>46297</v>
      </c>
      <c r="B2631" s="104" t="s">
        <v>32</v>
      </c>
      <c r="C2631" s="104" t="s">
        <v>763</v>
      </c>
      <c r="D2631" s="105" t="n">
        <v>0.1667</v>
      </c>
      <c r="E2631" s="106" t="n">
        <v>40</v>
      </c>
      <c r="F2631" s="107" t="n">
        <f aca="false">IF($C2631="","",$D2631*$E2631)</f>
        <v>6.668</v>
      </c>
      <c r="G2631" s="107" t="n">
        <f aca="false">IF($C2631="","",$D2631*IFERROR(INDEX('تحليل التكلفة والسعر'!$C$2:$C$700,MATCH($C2631,'تحليل التكلفة والسعر'!$B$2:$B$700,0)),0))</f>
        <v>1.5003</v>
      </c>
      <c r="H2631" s="104" t="s">
        <v>719</v>
      </c>
    </row>
    <row r="2632" customFormat="false" ht="15" hidden="false" customHeight="false" outlineLevel="0" collapsed="false">
      <c r="A2632" s="103" t="n">
        <v>46298</v>
      </c>
      <c r="B2632" s="104" t="s">
        <v>32</v>
      </c>
      <c r="C2632" s="104" t="s">
        <v>763</v>
      </c>
      <c r="D2632" s="105" t="n">
        <v>0.1667</v>
      </c>
      <c r="E2632" s="106" t="n">
        <v>40</v>
      </c>
      <c r="F2632" s="107" t="n">
        <f aca="false">IF($C2632="","",$D2632*$E2632)</f>
        <v>6.668</v>
      </c>
      <c r="G2632" s="107" t="n">
        <f aca="false">IF($C2632="","",$D2632*IFERROR(INDEX('تحليل التكلفة والسعر'!$C$2:$C$700,MATCH($C2632,'تحليل التكلفة والسعر'!$B$2:$B$700,0)),0))</f>
        <v>1.5003</v>
      </c>
      <c r="H2632" s="104" t="s">
        <v>719</v>
      </c>
    </row>
    <row r="2633" customFormat="false" ht="15" hidden="false" customHeight="false" outlineLevel="0" collapsed="false">
      <c r="A2633" s="103" t="n">
        <v>46299</v>
      </c>
      <c r="B2633" s="104" t="s">
        <v>32</v>
      </c>
      <c r="C2633" s="104" t="s">
        <v>763</v>
      </c>
      <c r="D2633" s="105" t="n">
        <v>0.1667</v>
      </c>
      <c r="E2633" s="106" t="n">
        <v>40</v>
      </c>
      <c r="F2633" s="107" t="n">
        <f aca="false">IF($C2633="","",$D2633*$E2633)</f>
        <v>6.668</v>
      </c>
      <c r="G2633" s="107" t="n">
        <f aca="false">IF($C2633="","",$D2633*IFERROR(INDEX('تحليل التكلفة والسعر'!$C$2:$C$700,MATCH($C2633,'تحليل التكلفة والسعر'!$B$2:$B$700,0)),0))</f>
        <v>1.5003</v>
      </c>
      <c r="H2633" s="104" t="s">
        <v>719</v>
      </c>
    </row>
    <row r="2634" customFormat="false" ht="15" hidden="false" customHeight="false" outlineLevel="0" collapsed="false">
      <c r="A2634" s="103" t="n">
        <v>46300</v>
      </c>
      <c r="B2634" s="104" t="s">
        <v>32</v>
      </c>
      <c r="C2634" s="104" t="s">
        <v>763</v>
      </c>
      <c r="D2634" s="105" t="n">
        <v>0.1667</v>
      </c>
      <c r="E2634" s="106" t="n">
        <v>40</v>
      </c>
      <c r="F2634" s="107" t="n">
        <f aca="false">IF($C2634="","",$D2634*$E2634)</f>
        <v>6.668</v>
      </c>
      <c r="G2634" s="107" t="n">
        <f aca="false">IF($C2634="","",$D2634*IFERROR(INDEX('تحليل التكلفة والسعر'!$C$2:$C$700,MATCH($C2634,'تحليل التكلفة والسعر'!$B$2:$B$700,0)),0))</f>
        <v>1.5003</v>
      </c>
      <c r="H2634" s="104" t="s">
        <v>719</v>
      </c>
    </row>
    <row r="2635" customFormat="false" ht="15" hidden="false" customHeight="false" outlineLevel="0" collapsed="false">
      <c r="A2635" s="103" t="n">
        <v>46301</v>
      </c>
      <c r="B2635" s="104" t="s">
        <v>32</v>
      </c>
      <c r="C2635" s="104" t="s">
        <v>763</v>
      </c>
      <c r="D2635" s="105" t="n">
        <v>0.1667</v>
      </c>
      <c r="E2635" s="106" t="n">
        <v>40</v>
      </c>
      <c r="F2635" s="107" t="n">
        <f aca="false">IF($C2635="","",$D2635*$E2635)</f>
        <v>6.668</v>
      </c>
      <c r="G2635" s="107" t="n">
        <f aca="false">IF($C2635="","",$D2635*IFERROR(INDEX('تحليل التكلفة والسعر'!$C$2:$C$700,MATCH($C2635,'تحليل التكلفة والسعر'!$B$2:$B$700,0)),0))</f>
        <v>1.5003</v>
      </c>
      <c r="H2635" s="104" t="s">
        <v>719</v>
      </c>
    </row>
    <row r="2636" customFormat="false" ht="15" hidden="false" customHeight="false" outlineLevel="0" collapsed="false">
      <c r="A2636" s="103" t="n">
        <v>46302</v>
      </c>
      <c r="B2636" s="104" t="s">
        <v>32</v>
      </c>
      <c r="C2636" s="104" t="s">
        <v>763</v>
      </c>
      <c r="D2636" s="105" t="n">
        <v>0.1667</v>
      </c>
      <c r="E2636" s="106" t="n">
        <v>40</v>
      </c>
      <c r="F2636" s="107" t="n">
        <f aca="false">IF($C2636="","",$D2636*$E2636)</f>
        <v>6.668</v>
      </c>
      <c r="G2636" s="107" t="n">
        <f aca="false">IF($C2636="","",$D2636*IFERROR(INDEX('تحليل التكلفة والسعر'!$C$2:$C$700,MATCH($C2636,'تحليل التكلفة والسعر'!$B$2:$B$700,0)),0))</f>
        <v>1.5003</v>
      </c>
      <c r="H2636" s="104" t="s">
        <v>719</v>
      </c>
    </row>
    <row r="2637" customFormat="false" ht="15" hidden="false" customHeight="false" outlineLevel="0" collapsed="false">
      <c r="A2637" s="103" t="n">
        <v>46303</v>
      </c>
      <c r="B2637" s="104" t="s">
        <v>32</v>
      </c>
      <c r="C2637" s="104" t="s">
        <v>763</v>
      </c>
      <c r="D2637" s="105" t="n">
        <v>0.1667</v>
      </c>
      <c r="E2637" s="106" t="n">
        <v>40</v>
      </c>
      <c r="F2637" s="107" t="n">
        <f aca="false">IF($C2637="","",$D2637*$E2637)</f>
        <v>6.668</v>
      </c>
      <c r="G2637" s="107" t="n">
        <f aca="false">IF($C2637="","",$D2637*IFERROR(INDEX('تحليل التكلفة والسعر'!$C$2:$C$700,MATCH($C2637,'تحليل التكلفة والسعر'!$B$2:$B$700,0)),0))</f>
        <v>1.5003</v>
      </c>
      <c r="H2637" s="104" t="s">
        <v>719</v>
      </c>
    </row>
    <row r="2638" customFormat="false" ht="15" hidden="false" customHeight="false" outlineLevel="0" collapsed="false">
      <c r="A2638" s="103" t="n">
        <v>46304</v>
      </c>
      <c r="B2638" s="104" t="s">
        <v>32</v>
      </c>
      <c r="C2638" s="104" t="s">
        <v>763</v>
      </c>
      <c r="D2638" s="105" t="n">
        <v>0.1667</v>
      </c>
      <c r="E2638" s="106" t="n">
        <v>40</v>
      </c>
      <c r="F2638" s="107" t="n">
        <f aca="false">IF($C2638="","",$D2638*$E2638)</f>
        <v>6.668</v>
      </c>
      <c r="G2638" s="107" t="n">
        <f aca="false">IF($C2638="","",$D2638*IFERROR(INDEX('تحليل التكلفة والسعر'!$C$2:$C$700,MATCH($C2638,'تحليل التكلفة والسعر'!$B$2:$B$700,0)),0))</f>
        <v>1.5003</v>
      </c>
      <c r="H2638" s="104" t="s">
        <v>719</v>
      </c>
    </row>
    <row r="2639" customFormat="false" ht="15" hidden="false" customHeight="false" outlineLevel="0" collapsed="false">
      <c r="A2639" s="103" t="n">
        <v>46305</v>
      </c>
      <c r="B2639" s="104" t="s">
        <v>32</v>
      </c>
      <c r="C2639" s="104" t="s">
        <v>763</v>
      </c>
      <c r="D2639" s="105" t="n">
        <v>0.1667</v>
      </c>
      <c r="E2639" s="106" t="n">
        <v>40</v>
      </c>
      <c r="F2639" s="107" t="n">
        <f aca="false">IF($C2639="","",$D2639*$E2639)</f>
        <v>6.668</v>
      </c>
      <c r="G2639" s="107" t="n">
        <f aca="false">IF($C2639="","",$D2639*IFERROR(INDEX('تحليل التكلفة والسعر'!$C$2:$C$700,MATCH($C2639,'تحليل التكلفة والسعر'!$B$2:$B$700,0)),0))</f>
        <v>1.5003</v>
      </c>
      <c r="H2639" s="104" t="s">
        <v>719</v>
      </c>
    </row>
    <row r="2640" customFormat="false" ht="15" hidden="false" customHeight="false" outlineLevel="0" collapsed="false">
      <c r="A2640" s="103" t="n">
        <v>46306</v>
      </c>
      <c r="B2640" s="104" t="s">
        <v>32</v>
      </c>
      <c r="C2640" s="104" t="s">
        <v>763</v>
      </c>
      <c r="D2640" s="105" t="n">
        <v>0.1667</v>
      </c>
      <c r="E2640" s="106" t="n">
        <v>40</v>
      </c>
      <c r="F2640" s="107" t="n">
        <f aca="false">IF($C2640="","",$D2640*$E2640)</f>
        <v>6.668</v>
      </c>
      <c r="G2640" s="107" t="n">
        <f aca="false">IF($C2640="","",$D2640*IFERROR(INDEX('تحليل التكلفة والسعر'!$C$2:$C$700,MATCH($C2640,'تحليل التكلفة والسعر'!$B$2:$B$700,0)),0))</f>
        <v>1.5003</v>
      </c>
      <c r="H2640" s="104" t="s">
        <v>719</v>
      </c>
    </row>
    <row r="2641" customFormat="false" ht="15" hidden="false" customHeight="false" outlineLevel="0" collapsed="false">
      <c r="A2641" s="103" t="n">
        <v>46307</v>
      </c>
      <c r="B2641" s="104" t="s">
        <v>32</v>
      </c>
      <c r="C2641" s="104" t="s">
        <v>763</v>
      </c>
      <c r="D2641" s="105" t="n">
        <v>0.1667</v>
      </c>
      <c r="E2641" s="106" t="n">
        <v>40</v>
      </c>
      <c r="F2641" s="107" t="n">
        <f aca="false">IF($C2641="","",$D2641*$E2641)</f>
        <v>6.668</v>
      </c>
      <c r="G2641" s="107" t="n">
        <f aca="false">IF($C2641="","",$D2641*IFERROR(INDEX('تحليل التكلفة والسعر'!$C$2:$C$700,MATCH($C2641,'تحليل التكلفة والسعر'!$B$2:$B$700,0)),0))</f>
        <v>1.5003</v>
      </c>
      <c r="H2641" s="104" t="s">
        <v>719</v>
      </c>
    </row>
    <row r="2642" customFormat="false" ht="15" hidden="false" customHeight="false" outlineLevel="0" collapsed="false">
      <c r="A2642" s="103" t="n">
        <v>46296</v>
      </c>
      <c r="B2642" s="104" t="s">
        <v>32</v>
      </c>
      <c r="C2642" s="104" t="s">
        <v>722</v>
      </c>
      <c r="D2642" s="105" t="n">
        <v>0.0833</v>
      </c>
      <c r="E2642" s="106" t="n">
        <v>55</v>
      </c>
      <c r="F2642" s="107" t="n">
        <f aca="false">IF($C2642="","",$D2642*$E2642)</f>
        <v>4.5815</v>
      </c>
      <c r="G2642" s="107" t="n">
        <f aca="false">IF($C2642="","",$D2642*IFERROR(INDEX('تحليل التكلفة والسعر'!$C$2:$C$700,MATCH($C2642,'تحليل التكلفة والسعر'!$B$2:$B$700,0)),0))</f>
        <v>1.7493</v>
      </c>
      <c r="H2642" s="104" t="s">
        <v>719</v>
      </c>
    </row>
    <row r="2643" customFormat="false" ht="15" hidden="false" customHeight="false" outlineLevel="0" collapsed="false">
      <c r="A2643" s="103" t="n">
        <v>46297</v>
      </c>
      <c r="B2643" s="104" t="s">
        <v>32</v>
      </c>
      <c r="C2643" s="104" t="s">
        <v>722</v>
      </c>
      <c r="D2643" s="105" t="n">
        <v>0.0833</v>
      </c>
      <c r="E2643" s="106" t="n">
        <v>55</v>
      </c>
      <c r="F2643" s="107" t="n">
        <f aca="false">IF($C2643="","",$D2643*$E2643)</f>
        <v>4.5815</v>
      </c>
      <c r="G2643" s="107" t="n">
        <f aca="false">IF($C2643="","",$D2643*IFERROR(INDEX('تحليل التكلفة والسعر'!$C$2:$C$700,MATCH($C2643,'تحليل التكلفة والسعر'!$B$2:$B$700,0)),0))</f>
        <v>1.7493</v>
      </c>
      <c r="H2643" s="104" t="s">
        <v>719</v>
      </c>
    </row>
    <row r="2644" customFormat="false" ht="15" hidden="false" customHeight="false" outlineLevel="0" collapsed="false">
      <c r="A2644" s="103" t="n">
        <v>46298</v>
      </c>
      <c r="B2644" s="104" t="s">
        <v>32</v>
      </c>
      <c r="C2644" s="104" t="s">
        <v>722</v>
      </c>
      <c r="D2644" s="105" t="n">
        <v>0.0833</v>
      </c>
      <c r="E2644" s="106" t="n">
        <v>55</v>
      </c>
      <c r="F2644" s="107" t="n">
        <f aca="false">IF($C2644="","",$D2644*$E2644)</f>
        <v>4.5815</v>
      </c>
      <c r="G2644" s="107" t="n">
        <f aca="false">IF($C2644="","",$D2644*IFERROR(INDEX('تحليل التكلفة والسعر'!$C$2:$C$700,MATCH($C2644,'تحليل التكلفة والسعر'!$B$2:$B$700,0)),0))</f>
        <v>1.7493</v>
      </c>
      <c r="H2644" s="104" t="s">
        <v>719</v>
      </c>
    </row>
    <row r="2645" customFormat="false" ht="15" hidden="false" customHeight="false" outlineLevel="0" collapsed="false">
      <c r="A2645" s="103" t="n">
        <v>46299</v>
      </c>
      <c r="B2645" s="104" t="s">
        <v>32</v>
      </c>
      <c r="C2645" s="104" t="s">
        <v>722</v>
      </c>
      <c r="D2645" s="105" t="n">
        <v>0.0833</v>
      </c>
      <c r="E2645" s="106" t="n">
        <v>55</v>
      </c>
      <c r="F2645" s="107" t="n">
        <f aca="false">IF($C2645="","",$D2645*$E2645)</f>
        <v>4.5815</v>
      </c>
      <c r="G2645" s="107" t="n">
        <f aca="false">IF($C2645="","",$D2645*IFERROR(INDEX('تحليل التكلفة والسعر'!$C$2:$C$700,MATCH($C2645,'تحليل التكلفة والسعر'!$B$2:$B$700,0)),0))</f>
        <v>1.7493</v>
      </c>
      <c r="H2645" s="104" t="s">
        <v>719</v>
      </c>
    </row>
    <row r="2646" customFormat="false" ht="15" hidden="false" customHeight="false" outlineLevel="0" collapsed="false">
      <c r="A2646" s="103" t="n">
        <v>46300</v>
      </c>
      <c r="B2646" s="104" t="s">
        <v>32</v>
      </c>
      <c r="C2646" s="104" t="s">
        <v>722</v>
      </c>
      <c r="D2646" s="105" t="n">
        <v>0.0833</v>
      </c>
      <c r="E2646" s="106" t="n">
        <v>55</v>
      </c>
      <c r="F2646" s="107" t="n">
        <f aca="false">IF($C2646="","",$D2646*$E2646)</f>
        <v>4.5815</v>
      </c>
      <c r="G2646" s="107" t="n">
        <f aca="false">IF($C2646="","",$D2646*IFERROR(INDEX('تحليل التكلفة والسعر'!$C$2:$C$700,MATCH($C2646,'تحليل التكلفة والسعر'!$B$2:$B$700,0)),0))</f>
        <v>1.7493</v>
      </c>
      <c r="H2646" s="104" t="s">
        <v>719</v>
      </c>
    </row>
    <row r="2647" customFormat="false" ht="15" hidden="false" customHeight="false" outlineLevel="0" collapsed="false">
      <c r="A2647" s="103" t="n">
        <v>46301</v>
      </c>
      <c r="B2647" s="104" t="s">
        <v>32</v>
      </c>
      <c r="C2647" s="104" t="s">
        <v>722</v>
      </c>
      <c r="D2647" s="105" t="n">
        <v>0.0833</v>
      </c>
      <c r="E2647" s="106" t="n">
        <v>55</v>
      </c>
      <c r="F2647" s="107" t="n">
        <f aca="false">IF($C2647="","",$D2647*$E2647)</f>
        <v>4.5815</v>
      </c>
      <c r="G2647" s="107" t="n">
        <f aca="false">IF($C2647="","",$D2647*IFERROR(INDEX('تحليل التكلفة والسعر'!$C$2:$C$700,MATCH($C2647,'تحليل التكلفة والسعر'!$B$2:$B$700,0)),0))</f>
        <v>1.7493</v>
      </c>
      <c r="H2647" s="104" t="s">
        <v>719</v>
      </c>
    </row>
    <row r="2648" customFormat="false" ht="15" hidden="false" customHeight="false" outlineLevel="0" collapsed="false">
      <c r="A2648" s="103" t="n">
        <v>46302</v>
      </c>
      <c r="B2648" s="104" t="s">
        <v>32</v>
      </c>
      <c r="C2648" s="104" t="s">
        <v>722</v>
      </c>
      <c r="D2648" s="105" t="n">
        <v>0.0833</v>
      </c>
      <c r="E2648" s="106" t="n">
        <v>55</v>
      </c>
      <c r="F2648" s="107" t="n">
        <f aca="false">IF($C2648="","",$D2648*$E2648)</f>
        <v>4.5815</v>
      </c>
      <c r="G2648" s="107" t="n">
        <f aca="false">IF($C2648="","",$D2648*IFERROR(INDEX('تحليل التكلفة والسعر'!$C$2:$C$700,MATCH($C2648,'تحليل التكلفة والسعر'!$B$2:$B$700,0)),0))</f>
        <v>1.7493</v>
      </c>
      <c r="H2648" s="104" t="s">
        <v>719</v>
      </c>
    </row>
    <row r="2649" customFormat="false" ht="15" hidden="false" customHeight="false" outlineLevel="0" collapsed="false">
      <c r="A2649" s="103" t="n">
        <v>46303</v>
      </c>
      <c r="B2649" s="104" t="s">
        <v>32</v>
      </c>
      <c r="C2649" s="104" t="s">
        <v>722</v>
      </c>
      <c r="D2649" s="105" t="n">
        <v>0.0833</v>
      </c>
      <c r="E2649" s="106" t="n">
        <v>55</v>
      </c>
      <c r="F2649" s="107" t="n">
        <f aca="false">IF($C2649="","",$D2649*$E2649)</f>
        <v>4.5815</v>
      </c>
      <c r="G2649" s="107" t="n">
        <f aca="false">IF($C2649="","",$D2649*IFERROR(INDEX('تحليل التكلفة والسعر'!$C$2:$C$700,MATCH($C2649,'تحليل التكلفة والسعر'!$B$2:$B$700,0)),0))</f>
        <v>1.7493</v>
      </c>
      <c r="H2649" s="104" t="s">
        <v>719</v>
      </c>
    </row>
    <row r="2650" customFormat="false" ht="15" hidden="false" customHeight="false" outlineLevel="0" collapsed="false">
      <c r="A2650" s="103" t="n">
        <v>46304</v>
      </c>
      <c r="B2650" s="104" t="s">
        <v>32</v>
      </c>
      <c r="C2650" s="104" t="s">
        <v>722</v>
      </c>
      <c r="D2650" s="105" t="n">
        <v>0.0833</v>
      </c>
      <c r="E2650" s="106" t="n">
        <v>55</v>
      </c>
      <c r="F2650" s="107" t="n">
        <f aca="false">IF($C2650="","",$D2650*$E2650)</f>
        <v>4.5815</v>
      </c>
      <c r="G2650" s="107" t="n">
        <f aca="false">IF($C2650="","",$D2650*IFERROR(INDEX('تحليل التكلفة والسعر'!$C$2:$C$700,MATCH($C2650,'تحليل التكلفة والسعر'!$B$2:$B$700,0)),0))</f>
        <v>1.7493</v>
      </c>
      <c r="H2650" s="104" t="s">
        <v>719</v>
      </c>
    </row>
    <row r="2651" customFormat="false" ht="15" hidden="false" customHeight="false" outlineLevel="0" collapsed="false">
      <c r="A2651" s="103" t="n">
        <v>46305</v>
      </c>
      <c r="B2651" s="104" t="s">
        <v>32</v>
      </c>
      <c r="C2651" s="104" t="s">
        <v>722</v>
      </c>
      <c r="D2651" s="105" t="n">
        <v>0.0833</v>
      </c>
      <c r="E2651" s="106" t="n">
        <v>55</v>
      </c>
      <c r="F2651" s="107" t="n">
        <f aca="false">IF($C2651="","",$D2651*$E2651)</f>
        <v>4.5815</v>
      </c>
      <c r="G2651" s="107" t="n">
        <f aca="false">IF($C2651="","",$D2651*IFERROR(INDEX('تحليل التكلفة والسعر'!$C$2:$C$700,MATCH($C2651,'تحليل التكلفة والسعر'!$B$2:$B$700,0)),0))</f>
        <v>1.7493</v>
      </c>
      <c r="H2651" s="104" t="s">
        <v>719</v>
      </c>
    </row>
    <row r="2652" customFormat="false" ht="15" hidden="false" customHeight="false" outlineLevel="0" collapsed="false">
      <c r="A2652" s="103" t="n">
        <v>46306</v>
      </c>
      <c r="B2652" s="104" t="s">
        <v>32</v>
      </c>
      <c r="C2652" s="104" t="s">
        <v>722</v>
      </c>
      <c r="D2652" s="105" t="n">
        <v>0.0833</v>
      </c>
      <c r="E2652" s="106" t="n">
        <v>55</v>
      </c>
      <c r="F2652" s="107" t="n">
        <f aca="false">IF($C2652="","",$D2652*$E2652)</f>
        <v>4.5815</v>
      </c>
      <c r="G2652" s="107" t="n">
        <f aca="false">IF($C2652="","",$D2652*IFERROR(INDEX('تحليل التكلفة والسعر'!$C$2:$C$700,MATCH($C2652,'تحليل التكلفة والسعر'!$B$2:$B$700,0)),0))</f>
        <v>1.7493</v>
      </c>
      <c r="H2652" s="104" t="s">
        <v>719</v>
      </c>
    </row>
    <row r="2653" customFormat="false" ht="15" hidden="false" customHeight="false" outlineLevel="0" collapsed="false">
      <c r="A2653" s="103" t="n">
        <v>46307</v>
      </c>
      <c r="B2653" s="104" t="s">
        <v>32</v>
      </c>
      <c r="C2653" s="104" t="s">
        <v>722</v>
      </c>
      <c r="D2653" s="105" t="n">
        <v>0.0833</v>
      </c>
      <c r="E2653" s="106" t="n">
        <v>55</v>
      </c>
      <c r="F2653" s="107" t="n">
        <f aca="false">IF($C2653="","",$D2653*$E2653)</f>
        <v>4.5815</v>
      </c>
      <c r="G2653" s="107" t="n">
        <f aca="false">IF($C2653="","",$D2653*IFERROR(INDEX('تحليل التكلفة والسعر'!$C$2:$C$700,MATCH($C2653,'تحليل التكلفة والسعر'!$B$2:$B$700,0)),0))</f>
        <v>1.7493</v>
      </c>
      <c r="H2653" s="104" t="s">
        <v>719</v>
      </c>
    </row>
    <row r="2654" customFormat="false" ht="15" hidden="false" customHeight="false" outlineLevel="0" collapsed="false">
      <c r="A2654" s="103" t="n">
        <v>46296</v>
      </c>
      <c r="B2654" s="104" t="s">
        <v>32</v>
      </c>
      <c r="C2654" s="104" t="s">
        <v>723</v>
      </c>
      <c r="D2654" s="105" t="n">
        <v>0.1667</v>
      </c>
      <c r="E2654" s="106" t="n">
        <v>40</v>
      </c>
      <c r="F2654" s="107" t="n">
        <f aca="false">IF($C2654="","",$D2654*$E2654)</f>
        <v>6.668</v>
      </c>
      <c r="G2654" s="107" t="n">
        <f aca="false">IF($C2654="","",$D2654*IFERROR(INDEX('تحليل التكلفة والسعر'!$C$2:$C$700,MATCH($C2654,'تحليل التكلفة والسعر'!$B$2:$B$700,0)),0))</f>
        <v>2.3338</v>
      </c>
      <c r="H2654" s="104" t="s">
        <v>719</v>
      </c>
    </row>
    <row r="2655" customFormat="false" ht="15" hidden="false" customHeight="false" outlineLevel="0" collapsed="false">
      <c r="A2655" s="103" t="n">
        <v>46297</v>
      </c>
      <c r="B2655" s="104" t="s">
        <v>32</v>
      </c>
      <c r="C2655" s="104" t="s">
        <v>723</v>
      </c>
      <c r="D2655" s="105" t="n">
        <v>0.1667</v>
      </c>
      <c r="E2655" s="106" t="n">
        <v>40</v>
      </c>
      <c r="F2655" s="107" t="n">
        <f aca="false">IF($C2655="","",$D2655*$E2655)</f>
        <v>6.668</v>
      </c>
      <c r="G2655" s="107" t="n">
        <f aca="false">IF($C2655="","",$D2655*IFERROR(INDEX('تحليل التكلفة والسعر'!$C$2:$C$700,MATCH($C2655,'تحليل التكلفة والسعر'!$B$2:$B$700,0)),0))</f>
        <v>2.3338</v>
      </c>
      <c r="H2655" s="104" t="s">
        <v>719</v>
      </c>
    </row>
    <row r="2656" customFormat="false" ht="15" hidden="false" customHeight="false" outlineLevel="0" collapsed="false">
      <c r="A2656" s="103" t="n">
        <v>46298</v>
      </c>
      <c r="B2656" s="104" t="s">
        <v>32</v>
      </c>
      <c r="C2656" s="104" t="s">
        <v>723</v>
      </c>
      <c r="D2656" s="105" t="n">
        <v>0.1667</v>
      </c>
      <c r="E2656" s="106" t="n">
        <v>40</v>
      </c>
      <c r="F2656" s="107" t="n">
        <f aca="false">IF($C2656="","",$D2656*$E2656)</f>
        <v>6.668</v>
      </c>
      <c r="G2656" s="107" t="n">
        <f aca="false">IF($C2656="","",$D2656*IFERROR(INDEX('تحليل التكلفة والسعر'!$C$2:$C$700,MATCH($C2656,'تحليل التكلفة والسعر'!$B$2:$B$700,0)),0))</f>
        <v>2.3338</v>
      </c>
      <c r="H2656" s="104" t="s">
        <v>719</v>
      </c>
    </row>
    <row r="2657" customFormat="false" ht="15" hidden="false" customHeight="false" outlineLevel="0" collapsed="false">
      <c r="A2657" s="103" t="n">
        <v>46299</v>
      </c>
      <c r="B2657" s="104" t="s">
        <v>32</v>
      </c>
      <c r="C2657" s="104" t="s">
        <v>723</v>
      </c>
      <c r="D2657" s="105" t="n">
        <v>0.1667</v>
      </c>
      <c r="E2657" s="106" t="n">
        <v>40</v>
      </c>
      <c r="F2657" s="107" t="n">
        <f aca="false">IF($C2657="","",$D2657*$E2657)</f>
        <v>6.668</v>
      </c>
      <c r="G2657" s="107" t="n">
        <f aca="false">IF($C2657="","",$D2657*IFERROR(INDEX('تحليل التكلفة والسعر'!$C$2:$C$700,MATCH($C2657,'تحليل التكلفة والسعر'!$B$2:$B$700,0)),0))</f>
        <v>2.3338</v>
      </c>
      <c r="H2657" s="104" t="s">
        <v>719</v>
      </c>
    </row>
    <row r="2658" customFormat="false" ht="15" hidden="false" customHeight="false" outlineLevel="0" collapsed="false">
      <c r="A2658" s="103" t="n">
        <v>46300</v>
      </c>
      <c r="B2658" s="104" t="s">
        <v>32</v>
      </c>
      <c r="C2658" s="104" t="s">
        <v>723</v>
      </c>
      <c r="D2658" s="105" t="n">
        <v>0.1667</v>
      </c>
      <c r="E2658" s="106" t="n">
        <v>40</v>
      </c>
      <c r="F2658" s="107" t="n">
        <f aca="false">IF($C2658="","",$D2658*$E2658)</f>
        <v>6.668</v>
      </c>
      <c r="G2658" s="107" t="n">
        <f aca="false">IF($C2658="","",$D2658*IFERROR(INDEX('تحليل التكلفة والسعر'!$C$2:$C$700,MATCH($C2658,'تحليل التكلفة والسعر'!$B$2:$B$700,0)),0))</f>
        <v>2.3338</v>
      </c>
      <c r="H2658" s="104" t="s">
        <v>719</v>
      </c>
    </row>
    <row r="2659" customFormat="false" ht="15" hidden="false" customHeight="false" outlineLevel="0" collapsed="false">
      <c r="A2659" s="103" t="n">
        <v>46301</v>
      </c>
      <c r="B2659" s="104" t="s">
        <v>32</v>
      </c>
      <c r="C2659" s="104" t="s">
        <v>723</v>
      </c>
      <c r="D2659" s="105" t="n">
        <v>0.1667</v>
      </c>
      <c r="E2659" s="106" t="n">
        <v>40</v>
      </c>
      <c r="F2659" s="107" t="n">
        <f aca="false">IF($C2659="","",$D2659*$E2659)</f>
        <v>6.668</v>
      </c>
      <c r="G2659" s="107" t="n">
        <f aca="false">IF($C2659="","",$D2659*IFERROR(INDEX('تحليل التكلفة والسعر'!$C$2:$C$700,MATCH($C2659,'تحليل التكلفة والسعر'!$B$2:$B$700,0)),0))</f>
        <v>2.3338</v>
      </c>
      <c r="H2659" s="104" t="s">
        <v>719</v>
      </c>
    </row>
    <row r="2660" customFormat="false" ht="15" hidden="false" customHeight="false" outlineLevel="0" collapsed="false">
      <c r="A2660" s="103" t="n">
        <v>46302</v>
      </c>
      <c r="B2660" s="104" t="s">
        <v>32</v>
      </c>
      <c r="C2660" s="104" t="s">
        <v>723</v>
      </c>
      <c r="D2660" s="105" t="n">
        <v>0.1667</v>
      </c>
      <c r="E2660" s="106" t="n">
        <v>40</v>
      </c>
      <c r="F2660" s="107" t="n">
        <f aca="false">IF($C2660="","",$D2660*$E2660)</f>
        <v>6.668</v>
      </c>
      <c r="G2660" s="107" t="n">
        <f aca="false">IF($C2660="","",$D2660*IFERROR(INDEX('تحليل التكلفة والسعر'!$C$2:$C$700,MATCH($C2660,'تحليل التكلفة والسعر'!$B$2:$B$700,0)),0))</f>
        <v>2.3338</v>
      </c>
      <c r="H2660" s="104" t="s">
        <v>719</v>
      </c>
    </row>
    <row r="2661" customFormat="false" ht="15" hidden="false" customHeight="false" outlineLevel="0" collapsed="false">
      <c r="A2661" s="103" t="n">
        <v>46303</v>
      </c>
      <c r="B2661" s="104" t="s">
        <v>32</v>
      </c>
      <c r="C2661" s="104" t="s">
        <v>723</v>
      </c>
      <c r="D2661" s="105" t="n">
        <v>0.1667</v>
      </c>
      <c r="E2661" s="106" t="n">
        <v>40</v>
      </c>
      <c r="F2661" s="107" t="n">
        <f aca="false">IF($C2661="","",$D2661*$E2661)</f>
        <v>6.668</v>
      </c>
      <c r="G2661" s="107" t="n">
        <f aca="false">IF($C2661="","",$D2661*IFERROR(INDEX('تحليل التكلفة والسعر'!$C$2:$C$700,MATCH($C2661,'تحليل التكلفة والسعر'!$B$2:$B$700,0)),0))</f>
        <v>2.3338</v>
      </c>
      <c r="H2661" s="104" t="s">
        <v>719</v>
      </c>
    </row>
    <row r="2662" customFormat="false" ht="15" hidden="false" customHeight="false" outlineLevel="0" collapsed="false">
      <c r="A2662" s="103" t="n">
        <v>46304</v>
      </c>
      <c r="B2662" s="104" t="s">
        <v>32</v>
      </c>
      <c r="C2662" s="104" t="s">
        <v>723</v>
      </c>
      <c r="D2662" s="105" t="n">
        <v>0.1667</v>
      </c>
      <c r="E2662" s="106" t="n">
        <v>40</v>
      </c>
      <c r="F2662" s="107" t="n">
        <f aca="false">IF($C2662="","",$D2662*$E2662)</f>
        <v>6.668</v>
      </c>
      <c r="G2662" s="107" t="n">
        <f aca="false">IF($C2662="","",$D2662*IFERROR(INDEX('تحليل التكلفة والسعر'!$C$2:$C$700,MATCH($C2662,'تحليل التكلفة والسعر'!$B$2:$B$700,0)),0))</f>
        <v>2.3338</v>
      </c>
      <c r="H2662" s="104" t="s">
        <v>719</v>
      </c>
    </row>
    <row r="2663" customFormat="false" ht="15" hidden="false" customHeight="false" outlineLevel="0" collapsed="false">
      <c r="A2663" s="103" t="n">
        <v>46305</v>
      </c>
      <c r="B2663" s="104" t="s">
        <v>32</v>
      </c>
      <c r="C2663" s="104" t="s">
        <v>723</v>
      </c>
      <c r="D2663" s="105" t="n">
        <v>0.1667</v>
      </c>
      <c r="E2663" s="106" t="n">
        <v>40</v>
      </c>
      <c r="F2663" s="107" t="n">
        <f aca="false">IF($C2663="","",$D2663*$E2663)</f>
        <v>6.668</v>
      </c>
      <c r="G2663" s="107" t="n">
        <f aca="false">IF($C2663="","",$D2663*IFERROR(INDEX('تحليل التكلفة والسعر'!$C$2:$C$700,MATCH($C2663,'تحليل التكلفة والسعر'!$B$2:$B$700,0)),0))</f>
        <v>2.3338</v>
      </c>
      <c r="H2663" s="104" t="s">
        <v>719</v>
      </c>
    </row>
    <row r="2664" customFormat="false" ht="15" hidden="false" customHeight="false" outlineLevel="0" collapsed="false">
      <c r="A2664" s="103" t="n">
        <v>46306</v>
      </c>
      <c r="B2664" s="104" t="s">
        <v>32</v>
      </c>
      <c r="C2664" s="104" t="s">
        <v>723</v>
      </c>
      <c r="D2664" s="105" t="n">
        <v>0.1667</v>
      </c>
      <c r="E2664" s="106" t="n">
        <v>40</v>
      </c>
      <c r="F2664" s="107" t="n">
        <f aca="false">IF($C2664="","",$D2664*$E2664)</f>
        <v>6.668</v>
      </c>
      <c r="G2664" s="107" t="n">
        <f aca="false">IF($C2664="","",$D2664*IFERROR(INDEX('تحليل التكلفة والسعر'!$C$2:$C$700,MATCH($C2664,'تحليل التكلفة والسعر'!$B$2:$B$700,0)),0))</f>
        <v>2.3338</v>
      </c>
      <c r="H2664" s="104" t="s">
        <v>719</v>
      </c>
    </row>
    <row r="2665" customFormat="false" ht="15" hidden="false" customHeight="false" outlineLevel="0" collapsed="false">
      <c r="A2665" s="103" t="n">
        <v>46307</v>
      </c>
      <c r="B2665" s="104" t="s">
        <v>32</v>
      </c>
      <c r="C2665" s="104" t="s">
        <v>723</v>
      </c>
      <c r="D2665" s="105" t="n">
        <v>0.1667</v>
      </c>
      <c r="E2665" s="106" t="n">
        <v>40</v>
      </c>
      <c r="F2665" s="107" t="n">
        <f aca="false">IF($C2665="","",$D2665*$E2665)</f>
        <v>6.668</v>
      </c>
      <c r="G2665" s="107" t="n">
        <f aca="false">IF($C2665="","",$D2665*IFERROR(INDEX('تحليل التكلفة والسعر'!$C$2:$C$700,MATCH($C2665,'تحليل التكلفة والسعر'!$B$2:$B$700,0)),0))</f>
        <v>2.3338</v>
      </c>
      <c r="H2665" s="104" t="s">
        <v>719</v>
      </c>
    </row>
    <row r="2666" customFormat="false" ht="15" hidden="false" customHeight="false" outlineLevel="0" collapsed="false">
      <c r="A2666" s="103" t="n">
        <v>46296</v>
      </c>
      <c r="B2666" s="104" t="s">
        <v>32</v>
      </c>
      <c r="C2666" s="104" t="s">
        <v>724</v>
      </c>
      <c r="D2666" s="105" t="n">
        <v>0.9167</v>
      </c>
      <c r="E2666" s="106" t="n">
        <v>56.8182</v>
      </c>
      <c r="F2666" s="107" t="n">
        <f aca="false">IF($C2666="","",$D2666*$E2666)</f>
        <v>52.08524394</v>
      </c>
      <c r="G2666" s="107" t="n">
        <f aca="false">IF($C2666="","",$D2666*IFERROR(INDEX('تحليل التكلفة والسعر'!$C$2:$C$700,MATCH($C2666,'تحليل التكلفة والسعر'!$B$2:$B$700,0)),0))</f>
        <v>19.2507</v>
      </c>
      <c r="H2666" s="104" t="s">
        <v>719</v>
      </c>
    </row>
    <row r="2667" customFormat="false" ht="15" hidden="false" customHeight="false" outlineLevel="0" collapsed="false">
      <c r="A2667" s="103" t="n">
        <v>46297</v>
      </c>
      <c r="B2667" s="104" t="s">
        <v>32</v>
      </c>
      <c r="C2667" s="104" t="s">
        <v>724</v>
      </c>
      <c r="D2667" s="105" t="n">
        <v>0.9167</v>
      </c>
      <c r="E2667" s="106" t="n">
        <v>56.8182</v>
      </c>
      <c r="F2667" s="107" t="n">
        <f aca="false">IF($C2667="","",$D2667*$E2667)</f>
        <v>52.08524394</v>
      </c>
      <c r="G2667" s="107" t="n">
        <f aca="false">IF($C2667="","",$D2667*IFERROR(INDEX('تحليل التكلفة والسعر'!$C$2:$C$700,MATCH($C2667,'تحليل التكلفة والسعر'!$B$2:$B$700,0)),0))</f>
        <v>19.2507</v>
      </c>
      <c r="H2667" s="104" t="s">
        <v>719</v>
      </c>
    </row>
    <row r="2668" customFormat="false" ht="15" hidden="false" customHeight="false" outlineLevel="0" collapsed="false">
      <c r="A2668" s="103" t="n">
        <v>46298</v>
      </c>
      <c r="B2668" s="104" t="s">
        <v>32</v>
      </c>
      <c r="C2668" s="104" t="s">
        <v>724</v>
      </c>
      <c r="D2668" s="105" t="n">
        <v>0.9167</v>
      </c>
      <c r="E2668" s="106" t="n">
        <v>56.8182</v>
      </c>
      <c r="F2668" s="107" t="n">
        <f aca="false">IF($C2668="","",$D2668*$E2668)</f>
        <v>52.08524394</v>
      </c>
      <c r="G2668" s="107" t="n">
        <f aca="false">IF($C2668="","",$D2668*IFERROR(INDEX('تحليل التكلفة والسعر'!$C$2:$C$700,MATCH($C2668,'تحليل التكلفة والسعر'!$B$2:$B$700,0)),0))</f>
        <v>19.2507</v>
      </c>
      <c r="H2668" s="104" t="s">
        <v>719</v>
      </c>
    </row>
    <row r="2669" customFormat="false" ht="15" hidden="false" customHeight="false" outlineLevel="0" collapsed="false">
      <c r="A2669" s="103" t="n">
        <v>46299</v>
      </c>
      <c r="B2669" s="104" t="s">
        <v>32</v>
      </c>
      <c r="C2669" s="104" t="s">
        <v>724</v>
      </c>
      <c r="D2669" s="105" t="n">
        <v>0.9167</v>
      </c>
      <c r="E2669" s="106" t="n">
        <v>56.8182</v>
      </c>
      <c r="F2669" s="107" t="n">
        <f aca="false">IF($C2669="","",$D2669*$E2669)</f>
        <v>52.08524394</v>
      </c>
      <c r="G2669" s="107" t="n">
        <f aca="false">IF($C2669="","",$D2669*IFERROR(INDEX('تحليل التكلفة والسعر'!$C$2:$C$700,MATCH($C2669,'تحليل التكلفة والسعر'!$B$2:$B$700,0)),0))</f>
        <v>19.2507</v>
      </c>
      <c r="H2669" s="104" t="s">
        <v>719</v>
      </c>
    </row>
    <row r="2670" customFormat="false" ht="15" hidden="false" customHeight="false" outlineLevel="0" collapsed="false">
      <c r="A2670" s="103" t="n">
        <v>46300</v>
      </c>
      <c r="B2670" s="104" t="s">
        <v>32</v>
      </c>
      <c r="C2670" s="104" t="s">
        <v>724</v>
      </c>
      <c r="D2670" s="105" t="n">
        <v>0.9167</v>
      </c>
      <c r="E2670" s="106" t="n">
        <v>56.8182</v>
      </c>
      <c r="F2670" s="107" t="n">
        <f aca="false">IF($C2670="","",$D2670*$E2670)</f>
        <v>52.08524394</v>
      </c>
      <c r="G2670" s="107" t="n">
        <f aca="false">IF($C2670="","",$D2670*IFERROR(INDEX('تحليل التكلفة والسعر'!$C$2:$C$700,MATCH($C2670,'تحليل التكلفة والسعر'!$B$2:$B$700,0)),0))</f>
        <v>19.2507</v>
      </c>
      <c r="H2670" s="104" t="s">
        <v>719</v>
      </c>
    </row>
    <row r="2671" customFormat="false" ht="15" hidden="false" customHeight="false" outlineLevel="0" collapsed="false">
      <c r="A2671" s="103" t="n">
        <v>46301</v>
      </c>
      <c r="B2671" s="104" t="s">
        <v>32</v>
      </c>
      <c r="C2671" s="104" t="s">
        <v>724</v>
      </c>
      <c r="D2671" s="105" t="n">
        <v>0.9167</v>
      </c>
      <c r="E2671" s="106" t="n">
        <v>56.8182</v>
      </c>
      <c r="F2671" s="107" t="n">
        <f aca="false">IF($C2671="","",$D2671*$E2671)</f>
        <v>52.08524394</v>
      </c>
      <c r="G2671" s="107" t="n">
        <f aca="false">IF($C2671="","",$D2671*IFERROR(INDEX('تحليل التكلفة والسعر'!$C$2:$C$700,MATCH($C2671,'تحليل التكلفة والسعر'!$B$2:$B$700,0)),0))</f>
        <v>19.2507</v>
      </c>
      <c r="H2671" s="104" t="s">
        <v>719</v>
      </c>
    </row>
    <row r="2672" customFormat="false" ht="15" hidden="false" customHeight="false" outlineLevel="0" collapsed="false">
      <c r="A2672" s="103" t="n">
        <v>46302</v>
      </c>
      <c r="B2672" s="104" t="s">
        <v>32</v>
      </c>
      <c r="C2672" s="104" t="s">
        <v>724</v>
      </c>
      <c r="D2672" s="105" t="n">
        <v>0.9167</v>
      </c>
      <c r="E2672" s="106" t="n">
        <v>56.8182</v>
      </c>
      <c r="F2672" s="107" t="n">
        <f aca="false">IF($C2672="","",$D2672*$E2672)</f>
        <v>52.08524394</v>
      </c>
      <c r="G2672" s="107" t="n">
        <f aca="false">IF($C2672="","",$D2672*IFERROR(INDEX('تحليل التكلفة والسعر'!$C$2:$C$700,MATCH($C2672,'تحليل التكلفة والسعر'!$B$2:$B$700,0)),0))</f>
        <v>19.2507</v>
      </c>
      <c r="H2672" s="104" t="s">
        <v>719</v>
      </c>
    </row>
    <row r="2673" customFormat="false" ht="15" hidden="false" customHeight="false" outlineLevel="0" collapsed="false">
      <c r="A2673" s="103" t="n">
        <v>46303</v>
      </c>
      <c r="B2673" s="104" t="s">
        <v>32</v>
      </c>
      <c r="C2673" s="104" t="s">
        <v>724</v>
      </c>
      <c r="D2673" s="105" t="n">
        <v>0.9167</v>
      </c>
      <c r="E2673" s="106" t="n">
        <v>56.8182</v>
      </c>
      <c r="F2673" s="107" t="n">
        <f aca="false">IF($C2673="","",$D2673*$E2673)</f>
        <v>52.08524394</v>
      </c>
      <c r="G2673" s="107" t="n">
        <f aca="false">IF($C2673="","",$D2673*IFERROR(INDEX('تحليل التكلفة والسعر'!$C$2:$C$700,MATCH($C2673,'تحليل التكلفة والسعر'!$B$2:$B$700,0)),0))</f>
        <v>19.2507</v>
      </c>
      <c r="H2673" s="104" t="s">
        <v>719</v>
      </c>
    </row>
    <row r="2674" customFormat="false" ht="15" hidden="false" customHeight="false" outlineLevel="0" collapsed="false">
      <c r="A2674" s="103" t="n">
        <v>46304</v>
      </c>
      <c r="B2674" s="104" t="s">
        <v>32</v>
      </c>
      <c r="C2674" s="104" t="s">
        <v>724</v>
      </c>
      <c r="D2674" s="105" t="n">
        <v>0.9167</v>
      </c>
      <c r="E2674" s="106" t="n">
        <v>56.8182</v>
      </c>
      <c r="F2674" s="107" t="n">
        <f aca="false">IF($C2674="","",$D2674*$E2674)</f>
        <v>52.08524394</v>
      </c>
      <c r="G2674" s="107" t="n">
        <f aca="false">IF($C2674="","",$D2674*IFERROR(INDEX('تحليل التكلفة والسعر'!$C$2:$C$700,MATCH($C2674,'تحليل التكلفة والسعر'!$B$2:$B$700,0)),0))</f>
        <v>19.2507</v>
      </c>
      <c r="H2674" s="104" t="s">
        <v>719</v>
      </c>
    </row>
    <row r="2675" customFormat="false" ht="15" hidden="false" customHeight="false" outlineLevel="0" collapsed="false">
      <c r="A2675" s="103" t="n">
        <v>46305</v>
      </c>
      <c r="B2675" s="104" t="s">
        <v>32</v>
      </c>
      <c r="C2675" s="104" t="s">
        <v>724</v>
      </c>
      <c r="D2675" s="105" t="n">
        <v>0.9167</v>
      </c>
      <c r="E2675" s="106" t="n">
        <v>56.8182</v>
      </c>
      <c r="F2675" s="107" t="n">
        <f aca="false">IF($C2675="","",$D2675*$E2675)</f>
        <v>52.08524394</v>
      </c>
      <c r="G2675" s="107" t="n">
        <f aca="false">IF($C2675="","",$D2675*IFERROR(INDEX('تحليل التكلفة والسعر'!$C$2:$C$700,MATCH($C2675,'تحليل التكلفة والسعر'!$B$2:$B$700,0)),0))</f>
        <v>19.2507</v>
      </c>
      <c r="H2675" s="104" t="s">
        <v>719</v>
      </c>
    </row>
    <row r="2676" customFormat="false" ht="15" hidden="false" customHeight="false" outlineLevel="0" collapsed="false">
      <c r="A2676" s="103" t="n">
        <v>46306</v>
      </c>
      <c r="B2676" s="104" t="s">
        <v>32</v>
      </c>
      <c r="C2676" s="104" t="s">
        <v>724</v>
      </c>
      <c r="D2676" s="105" t="n">
        <v>0.9167</v>
      </c>
      <c r="E2676" s="106" t="n">
        <v>56.8182</v>
      </c>
      <c r="F2676" s="107" t="n">
        <f aca="false">IF($C2676="","",$D2676*$E2676)</f>
        <v>52.08524394</v>
      </c>
      <c r="G2676" s="107" t="n">
        <f aca="false">IF($C2676="","",$D2676*IFERROR(INDEX('تحليل التكلفة والسعر'!$C$2:$C$700,MATCH($C2676,'تحليل التكلفة والسعر'!$B$2:$B$700,0)),0))</f>
        <v>19.2507</v>
      </c>
      <c r="H2676" s="104" t="s">
        <v>719</v>
      </c>
    </row>
    <row r="2677" customFormat="false" ht="15" hidden="false" customHeight="false" outlineLevel="0" collapsed="false">
      <c r="A2677" s="103" t="n">
        <v>46307</v>
      </c>
      <c r="B2677" s="104" t="s">
        <v>32</v>
      </c>
      <c r="C2677" s="104" t="s">
        <v>724</v>
      </c>
      <c r="D2677" s="105" t="n">
        <v>0.9167</v>
      </c>
      <c r="E2677" s="106" t="n">
        <v>56.8182</v>
      </c>
      <c r="F2677" s="107" t="n">
        <f aca="false">IF($C2677="","",$D2677*$E2677)</f>
        <v>52.08524394</v>
      </c>
      <c r="G2677" s="107" t="n">
        <f aca="false">IF($C2677="","",$D2677*IFERROR(INDEX('تحليل التكلفة والسعر'!$C$2:$C$700,MATCH($C2677,'تحليل التكلفة والسعر'!$B$2:$B$700,0)),0))</f>
        <v>19.2507</v>
      </c>
      <c r="H2677" s="104" t="s">
        <v>719</v>
      </c>
    </row>
    <row r="2678" customFormat="false" ht="15" hidden="false" customHeight="false" outlineLevel="0" collapsed="false">
      <c r="A2678" s="103" t="n">
        <v>46296</v>
      </c>
      <c r="B2678" s="104" t="s">
        <v>32</v>
      </c>
      <c r="C2678" s="104" t="s">
        <v>725</v>
      </c>
      <c r="D2678" s="105" t="n">
        <v>2.4167</v>
      </c>
      <c r="E2678" s="106" t="n">
        <v>40.5172</v>
      </c>
      <c r="F2678" s="107" t="n">
        <f aca="false">IF($C2678="","",$D2678*$E2678)</f>
        <v>97.91791724</v>
      </c>
      <c r="G2678" s="107" t="n">
        <f aca="false">IF($C2678="","",$D2678*IFERROR(INDEX('تحليل التكلفة والسعر'!$C$2:$C$700,MATCH($C2678,'تحليل التكلفة والسعر'!$B$2:$B$700,0)),0))</f>
        <v>33.8338</v>
      </c>
      <c r="H2678" s="104" t="s">
        <v>719</v>
      </c>
    </row>
    <row r="2679" customFormat="false" ht="15" hidden="false" customHeight="false" outlineLevel="0" collapsed="false">
      <c r="A2679" s="103" t="n">
        <v>46297</v>
      </c>
      <c r="B2679" s="104" t="s">
        <v>32</v>
      </c>
      <c r="C2679" s="104" t="s">
        <v>725</v>
      </c>
      <c r="D2679" s="105" t="n">
        <v>2.4167</v>
      </c>
      <c r="E2679" s="106" t="n">
        <v>40.5172</v>
      </c>
      <c r="F2679" s="107" t="n">
        <f aca="false">IF($C2679="","",$D2679*$E2679)</f>
        <v>97.91791724</v>
      </c>
      <c r="G2679" s="107" t="n">
        <f aca="false">IF($C2679="","",$D2679*IFERROR(INDEX('تحليل التكلفة والسعر'!$C$2:$C$700,MATCH($C2679,'تحليل التكلفة والسعر'!$B$2:$B$700,0)),0))</f>
        <v>33.8338</v>
      </c>
      <c r="H2679" s="104" t="s">
        <v>719</v>
      </c>
    </row>
    <row r="2680" customFormat="false" ht="15" hidden="false" customHeight="false" outlineLevel="0" collapsed="false">
      <c r="A2680" s="103" t="n">
        <v>46298</v>
      </c>
      <c r="B2680" s="104" t="s">
        <v>32</v>
      </c>
      <c r="C2680" s="104" t="s">
        <v>725</v>
      </c>
      <c r="D2680" s="105" t="n">
        <v>2.4167</v>
      </c>
      <c r="E2680" s="106" t="n">
        <v>40.5172</v>
      </c>
      <c r="F2680" s="107" t="n">
        <f aca="false">IF($C2680="","",$D2680*$E2680)</f>
        <v>97.91791724</v>
      </c>
      <c r="G2680" s="107" t="n">
        <f aca="false">IF($C2680="","",$D2680*IFERROR(INDEX('تحليل التكلفة والسعر'!$C$2:$C$700,MATCH($C2680,'تحليل التكلفة والسعر'!$B$2:$B$700,0)),0))</f>
        <v>33.8338</v>
      </c>
      <c r="H2680" s="104" t="s">
        <v>719</v>
      </c>
    </row>
    <row r="2681" customFormat="false" ht="15" hidden="false" customHeight="false" outlineLevel="0" collapsed="false">
      <c r="A2681" s="103" t="n">
        <v>46299</v>
      </c>
      <c r="B2681" s="104" t="s">
        <v>32</v>
      </c>
      <c r="C2681" s="104" t="s">
        <v>725</v>
      </c>
      <c r="D2681" s="105" t="n">
        <v>2.4167</v>
      </c>
      <c r="E2681" s="106" t="n">
        <v>40.5172</v>
      </c>
      <c r="F2681" s="107" t="n">
        <f aca="false">IF($C2681="","",$D2681*$E2681)</f>
        <v>97.91791724</v>
      </c>
      <c r="G2681" s="107" t="n">
        <f aca="false">IF($C2681="","",$D2681*IFERROR(INDEX('تحليل التكلفة والسعر'!$C$2:$C$700,MATCH($C2681,'تحليل التكلفة والسعر'!$B$2:$B$700,0)),0))</f>
        <v>33.8338</v>
      </c>
      <c r="H2681" s="104" t="s">
        <v>719</v>
      </c>
    </row>
    <row r="2682" customFormat="false" ht="15" hidden="false" customHeight="false" outlineLevel="0" collapsed="false">
      <c r="A2682" s="103" t="n">
        <v>46300</v>
      </c>
      <c r="B2682" s="104" t="s">
        <v>32</v>
      </c>
      <c r="C2682" s="104" t="s">
        <v>725</v>
      </c>
      <c r="D2682" s="105" t="n">
        <v>2.4167</v>
      </c>
      <c r="E2682" s="106" t="n">
        <v>40.5172</v>
      </c>
      <c r="F2682" s="107" t="n">
        <f aca="false">IF($C2682="","",$D2682*$E2682)</f>
        <v>97.91791724</v>
      </c>
      <c r="G2682" s="107" t="n">
        <f aca="false">IF($C2682="","",$D2682*IFERROR(INDEX('تحليل التكلفة والسعر'!$C$2:$C$700,MATCH($C2682,'تحليل التكلفة والسعر'!$B$2:$B$700,0)),0))</f>
        <v>33.8338</v>
      </c>
      <c r="H2682" s="104" t="s">
        <v>719</v>
      </c>
    </row>
    <row r="2683" customFormat="false" ht="15" hidden="false" customHeight="false" outlineLevel="0" collapsed="false">
      <c r="A2683" s="103" t="n">
        <v>46301</v>
      </c>
      <c r="B2683" s="104" t="s">
        <v>32</v>
      </c>
      <c r="C2683" s="104" t="s">
        <v>725</v>
      </c>
      <c r="D2683" s="105" t="n">
        <v>2.4167</v>
      </c>
      <c r="E2683" s="106" t="n">
        <v>40.5172</v>
      </c>
      <c r="F2683" s="107" t="n">
        <f aca="false">IF($C2683="","",$D2683*$E2683)</f>
        <v>97.91791724</v>
      </c>
      <c r="G2683" s="107" t="n">
        <f aca="false">IF($C2683="","",$D2683*IFERROR(INDEX('تحليل التكلفة والسعر'!$C$2:$C$700,MATCH($C2683,'تحليل التكلفة والسعر'!$B$2:$B$700,0)),0))</f>
        <v>33.8338</v>
      </c>
      <c r="H2683" s="104" t="s">
        <v>719</v>
      </c>
    </row>
    <row r="2684" customFormat="false" ht="15" hidden="false" customHeight="false" outlineLevel="0" collapsed="false">
      <c r="A2684" s="103" t="n">
        <v>46302</v>
      </c>
      <c r="B2684" s="104" t="s">
        <v>32</v>
      </c>
      <c r="C2684" s="104" t="s">
        <v>725</v>
      </c>
      <c r="D2684" s="105" t="n">
        <v>2.4167</v>
      </c>
      <c r="E2684" s="106" t="n">
        <v>40.5172</v>
      </c>
      <c r="F2684" s="107" t="n">
        <f aca="false">IF($C2684="","",$D2684*$E2684)</f>
        <v>97.91791724</v>
      </c>
      <c r="G2684" s="107" t="n">
        <f aca="false">IF($C2684="","",$D2684*IFERROR(INDEX('تحليل التكلفة والسعر'!$C$2:$C$700,MATCH($C2684,'تحليل التكلفة والسعر'!$B$2:$B$700,0)),0))</f>
        <v>33.8338</v>
      </c>
      <c r="H2684" s="104" t="s">
        <v>719</v>
      </c>
    </row>
    <row r="2685" customFormat="false" ht="15" hidden="false" customHeight="false" outlineLevel="0" collapsed="false">
      <c r="A2685" s="103" t="n">
        <v>46303</v>
      </c>
      <c r="B2685" s="104" t="s">
        <v>32</v>
      </c>
      <c r="C2685" s="104" t="s">
        <v>725</v>
      </c>
      <c r="D2685" s="105" t="n">
        <v>2.4167</v>
      </c>
      <c r="E2685" s="106" t="n">
        <v>40.5172</v>
      </c>
      <c r="F2685" s="107" t="n">
        <f aca="false">IF($C2685="","",$D2685*$E2685)</f>
        <v>97.91791724</v>
      </c>
      <c r="G2685" s="107" t="n">
        <f aca="false">IF($C2685="","",$D2685*IFERROR(INDEX('تحليل التكلفة والسعر'!$C$2:$C$700,MATCH($C2685,'تحليل التكلفة والسعر'!$B$2:$B$700,0)),0))</f>
        <v>33.8338</v>
      </c>
      <c r="H2685" s="104" t="s">
        <v>719</v>
      </c>
    </row>
    <row r="2686" customFormat="false" ht="15" hidden="false" customHeight="false" outlineLevel="0" collapsed="false">
      <c r="A2686" s="103" t="n">
        <v>46304</v>
      </c>
      <c r="B2686" s="104" t="s">
        <v>32</v>
      </c>
      <c r="C2686" s="104" t="s">
        <v>725</v>
      </c>
      <c r="D2686" s="105" t="n">
        <v>2.4167</v>
      </c>
      <c r="E2686" s="106" t="n">
        <v>40.5172</v>
      </c>
      <c r="F2686" s="107" t="n">
        <f aca="false">IF($C2686="","",$D2686*$E2686)</f>
        <v>97.91791724</v>
      </c>
      <c r="G2686" s="107" t="n">
        <f aca="false">IF($C2686="","",$D2686*IFERROR(INDEX('تحليل التكلفة والسعر'!$C$2:$C$700,MATCH($C2686,'تحليل التكلفة والسعر'!$B$2:$B$700,0)),0))</f>
        <v>33.8338</v>
      </c>
      <c r="H2686" s="104" t="s">
        <v>719</v>
      </c>
    </row>
    <row r="2687" customFormat="false" ht="15" hidden="false" customHeight="false" outlineLevel="0" collapsed="false">
      <c r="A2687" s="103" t="n">
        <v>46305</v>
      </c>
      <c r="B2687" s="104" t="s">
        <v>32</v>
      </c>
      <c r="C2687" s="104" t="s">
        <v>725</v>
      </c>
      <c r="D2687" s="105" t="n">
        <v>2.4167</v>
      </c>
      <c r="E2687" s="106" t="n">
        <v>40.5172</v>
      </c>
      <c r="F2687" s="107" t="n">
        <f aca="false">IF($C2687="","",$D2687*$E2687)</f>
        <v>97.91791724</v>
      </c>
      <c r="G2687" s="107" t="n">
        <f aca="false">IF($C2687="","",$D2687*IFERROR(INDEX('تحليل التكلفة والسعر'!$C$2:$C$700,MATCH($C2687,'تحليل التكلفة والسعر'!$B$2:$B$700,0)),0))</f>
        <v>33.8338</v>
      </c>
      <c r="H2687" s="104" t="s">
        <v>719</v>
      </c>
    </row>
    <row r="2688" customFormat="false" ht="15" hidden="false" customHeight="false" outlineLevel="0" collapsed="false">
      <c r="A2688" s="103" t="n">
        <v>46306</v>
      </c>
      <c r="B2688" s="104" t="s">
        <v>32</v>
      </c>
      <c r="C2688" s="104" t="s">
        <v>725</v>
      </c>
      <c r="D2688" s="105" t="n">
        <v>2.4167</v>
      </c>
      <c r="E2688" s="106" t="n">
        <v>40.5172</v>
      </c>
      <c r="F2688" s="107" t="n">
        <f aca="false">IF($C2688="","",$D2688*$E2688)</f>
        <v>97.91791724</v>
      </c>
      <c r="G2688" s="107" t="n">
        <f aca="false">IF($C2688="","",$D2688*IFERROR(INDEX('تحليل التكلفة والسعر'!$C$2:$C$700,MATCH($C2688,'تحليل التكلفة والسعر'!$B$2:$B$700,0)),0))</f>
        <v>33.8338</v>
      </c>
      <c r="H2688" s="104" t="s">
        <v>719</v>
      </c>
    </row>
    <row r="2689" customFormat="false" ht="15" hidden="false" customHeight="false" outlineLevel="0" collapsed="false">
      <c r="A2689" s="103" t="n">
        <v>46307</v>
      </c>
      <c r="B2689" s="104" t="s">
        <v>32</v>
      </c>
      <c r="C2689" s="104" t="s">
        <v>725</v>
      </c>
      <c r="D2689" s="105" t="n">
        <v>2.4167</v>
      </c>
      <c r="E2689" s="106" t="n">
        <v>40.5172</v>
      </c>
      <c r="F2689" s="107" t="n">
        <f aca="false">IF($C2689="","",$D2689*$E2689)</f>
        <v>97.91791724</v>
      </c>
      <c r="G2689" s="107" t="n">
        <f aca="false">IF($C2689="","",$D2689*IFERROR(INDEX('تحليل التكلفة والسعر'!$C$2:$C$700,MATCH($C2689,'تحليل التكلفة والسعر'!$B$2:$B$700,0)),0))</f>
        <v>33.8338</v>
      </c>
      <c r="H2689" s="104" t="s">
        <v>719</v>
      </c>
    </row>
    <row r="2690" customFormat="false" ht="15" hidden="false" customHeight="false" outlineLevel="0" collapsed="false">
      <c r="A2690" s="103" t="n">
        <v>46296</v>
      </c>
      <c r="B2690" s="104" t="s">
        <v>32</v>
      </c>
      <c r="C2690" s="104" t="s">
        <v>727</v>
      </c>
      <c r="D2690" s="105" t="n">
        <v>0.3333</v>
      </c>
      <c r="E2690" s="106" t="n">
        <v>40</v>
      </c>
      <c r="F2690" s="107" t="n">
        <f aca="false">IF($C2690="","",$D2690*$E2690)</f>
        <v>13.332</v>
      </c>
      <c r="G2690" s="107" t="n">
        <f aca="false">IF($C2690="","",$D2690*IFERROR(INDEX('تحليل التكلفة والسعر'!$C$2:$C$700,MATCH($C2690,'تحليل التكلفة والسعر'!$B$2:$B$700,0)),0))</f>
        <v>6.666</v>
      </c>
      <c r="H2690" s="104" t="s">
        <v>719</v>
      </c>
    </row>
    <row r="2691" customFormat="false" ht="15" hidden="false" customHeight="false" outlineLevel="0" collapsed="false">
      <c r="A2691" s="103" t="n">
        <v>46297</v>
      </c>
      <c r="B2691" s="104" t="s">
        <v>32</v>
      </c>
      <c r="C2691" s="104" t="s">
        <v>727</v>
      </c>
      <c r="D2691" s="105" t="n">
        <v>0.3333</v>
      </c>
      <c r="E2691" s="106" t="n">
        <v>40</v>
      </c>
      <c r="F2691" s="107" t="n">
        <f aca="false">IF($C2691="","",$D2691*$E2691)</f>
        <v>13.332</v>
      </c>
      <c r="G2691" s="107" t="n">
        <f aca="false">IF($C2691="","",$D2691*IFERROR(INDEX('تحليل التكلفة والسعر'!$C$2:$C$700,MATCH($C2691,'تحليل التكلفة والسعر'!$B$2:$B$700,0)),0))</f>
        <v>6.666</v>
      </c>
      <c r="H2691" s="104" t="s">
        <v>719</v>
      </c>
    </row>
    <row r="2692" customFormat="false" ht="15" hidden="false" customHeight="false" outlineLevel="0" collapsed="false">
      <c r="A2692" s="103" t="n">
        <v>46298</v>
      </c>
      <c r="B2692" s="104" t="s">
        <v>32</v>
      </c>
      <c r="C2692" s="104" t="s">
        <v>727</v>
      </c>
      <c r="D2692" s="105" t="n">
        <v>0.3333</v>
      </c>
      <c r="E2692" s="106" t="n">
        <v>40</v>
      </c>
      <c r="F2692" s="107" t="n">
        <f aca="false">IF($C2692="","",$D2692*$E2692)</f>
        <v>13.332</v>
      </c>
      <c r="G2692" s="107" t="n">
        <f aca="false">IF($C2692="","",$D2692*IFERROR(INDEX('تحليل التكلفة والسعر'!$C$2:$C$700,MATCH($C2692,'تحليل التكلفة والسعر'!$B$2:$B$700,0)),0))</f>
        <v>6.666</v>
      </c>
      <c r="H2692" s="104" t="s">
        <v>719</v>
      </c>
    </row>
    <row r="2693" customFormat="false" ht="15" hidden="false" customHeight="false" outlineLevel="0" collapsed="false">
      <c r="A2693" s="103" t="n">
        <v>46299</v>
      </c>
      <c r="B2693" s="104" t="s">
        <v>32</v>
      </c>
      <c r="C2693" s="104" t="s">
        <v>727</v>
      </c>
      <c r="D2693" s="105" t="n">
        <v>0.3333</v>
      </c>
      <c r="E2693" s="106" t="n">
        <v>40</v>
      </c>
      <c r="F2693" s="107" t="n">
        <f aca="false">IF($C2693="","",$D2693*$E2693)</f>
        <v>13.332</v>
      </c>
      <c r="G2693" s="107" t="n">
        <f aca="false">IF($C2693="","",$D2693*IFERROR(INDEX('تحليل التكلفة والسعر'!$C$2:$C$700,MATCH($C2693,'تحليل التكلفة والسعر'!$B$2:$B$700,0)),0))</f>
        <v>6.666</v>
      </c>
      <c r="H2693" s="104" t="s">
        <v>719</v>
      </c>
    </row>
    <row r="2694" customFormat="false" ht="15" hidden="false" customHeight="false" outlineLevel="0" collapsed="false">
      <c r="A2694" s="103" t="n">
        <v>46300</v>
      </c>
      <c r="B2694" s="104" t="s">
        <v>32</v>
      </c>
      <c r="C2694" s="104" t="s">
        <v>727</v>
      </c>
      <c r="D2694" s="105" t="n">
        <v>0.3333</v>
      </c>
      <c r="E2694" s="106" t="n">
        <v>40</v>
      </c>
      <c r="F2694" s="107" t="n">
        <f aca="false">IF($C2694="","",$D2694*$E2694)</f>
        <v>13.332</v>
      </c>
      <c r="G2694" s="107" t="n">
        <f aca="false">IF($C2694="","",$D2694*IFERROR(INDEX('تحليل التكلفة والسعر'!$C$2:$C$700,MATCH($C2694,'تحليل التكلفة والسعر'!$B$2:$B$700,0)),0))</f>
        <v>6.666</v>
      </c>
      <c r="H2694" s="104" t="s">
        <v>719</v>
      </c>
    </row>
    <row r="2695" customFormat="false" ht="15" hidden="false" customHeight="false" outlineLevel="0" collapsed="false">
      <c r="A2695" s="103" t="n">
        <v>46301</v>
      </c>
      <c r="B2695" s="104" t="s">
        <v>32</v>
      </c>
      <c r="C2695" s="104" t="s">
        <v>727</v>
      </c>
      <c r="D2695" s="105" t="n">
        <v>0.3333</v>
      </c>
      <c r="E2695" s="106" t="n">
        <v>40</v>
      </c>
      <c r="F2695" s="107" t="n">
        <f aca="false">IF($C2695="","",$D2695*$E2695)</f>
        <v>13.332</v>
      </c>
      <c r="G2695" s="107" t="n">
        <f aca="false">IF($C2695="","",$D2695*IFERROR(INDEX('تحليل التكلفة والسعر'!$C$2:$C$700,MATCH($C2695,'تحليل التكلفة والسعر'!$B$2:$B$700,0)),0))</f>
        <v>6.666</v>
      </c>
      <c r="H2695" s="104" t="s">
        <v>719</v>
      </c>
    </row>
    <row r="2696" customFormat="false" ht="15" hidden="false" customHeight="false" outlineLevel="0" collapsed="false">
      <c r="A2696" s="103" t="n">
        <v>46302</v>
      </c>
      <c r="B2696" s="104" t="s">
        <v>32</v>
      </c>
      <c r="C2696" s="104" t="s">
        <v>727</v>
      </c>
      <c r="D2696" s="105" t="n">
        <v>0.3333</v>
      </c>
      <c r="E2696" s="106" t="n">
        <v>40</v>
      </c>
      <c r="F2696" s="107" t="n">
        <f aca="false">IF($C2696="","",$D2696*$E2696)</f>
        <v>13.332</v>
      </c>
      <c r="G2696" s="107" t="n">
        <f aca="false">IF($C2696="","",$D2696*IFERROR(INDEX('تحليل التكلفة والسعر'!$C$2:$C$700,MATCH($C2696,'تحليل التكلفة والسعر'!$B$2:$B$700,0)),0))</f>
        <v>6.666</v>
      </c>
      <c r="H2696" s="104" t="s">
        <v>719</v>
      </c>
    </row>
    <row r="2697" customFormat="false" ht="15" hidden="false" customHeight="false" outlineLevel="0" collapsed="false">
      <c r="A2697" s="103" t="n">
        <v>46303</v>
      </c>
      <c r="B2697" s="104" t="s">
        <v>32</v>
      </c>
      <c r="C2697" s="104" t="s">
        <v>727</v>
      </c>
      <c r="D2697" s="105" t="n">
        <v>0.3333</v>
      </c>
      <c r="E2697" s="106" t="n">
        <v>40</v>
      </c>
      <c r="F2697" s="107" t="n">
        <f aca="false">IF($C2697="","",$D2697*$E2697)</f>
        <v>13.332</v>
      </c>
      <c r="G2697" s="107" t="n">
        <f aca="false">IF($C2697="","",$D2697*IFERROR(INDEX('تحليل التكلفة والسعر'!$C$2:$C$700,MATCH($C2697,'تحليل التكلفة والسعر'!$B$2:$B$700,0)),0))</f>
        <v>6.666</v>
      </c>
      <c r="H2697" s="104" t="s">
        <v>719</v>
      </c>
    </row>
    <row r="2698" customFormat="false" ht="15" hidden="false" customHeight="false" outlineLevel="0" collapsed="false">
      <c r="A2698" s="103" t="n">
        <v>46304</v>
      </c>
      <c r="B2698" s="104" t="s">
        <v>32</v>
      </c>
      <c r="C2698" s="104" t="s">
        <v>727</v>
      </c>
      <c r="D2698" s="105" t="n">
        <v>0.3333</v>
      </c>
      <c r="E2698" s="106" t="n">
        <v>40</v>
      </c>
      <c r="F2698" s="107" t="n">
        <f aca="false">IF($C2698="","",$D2698*$E2698)</f>
        <v>13.332</v>
      </c>
      <c r="G2698" s="107" t="n">
        <f aca="false">IF($C2698="","",$D2698*IFERROR(INDEX('تحليل التكلفة والسعر'!$C$2:$C$700,MATCH($C2698,'تحليل التكلفة والسعر'!$B$2:$B$700,0)),0))</f>
        <v>6.666</v>
      </c>
      <c r="H2698" s="104" t="s">
        <v>719</v>
      </c>
    </row>
    <row r="2699" customFormat="false" ht="15" hidden="false" customHeight="false" outlineLevel="0" collapsed="false">
      <c r="A2699" s="103" t="n">
        <v>46305</v>
      </c>
      <c r="B2699" s="104" t="s">
        <v>32</v>
      </c>
      <c r="C2699" s="104" t="s">
        <v>727</v>
      </c>
      <c r="D2699" s="105" t="n">
        <v>0.3333</v>
      </c>
      <c r="E2699" s="106" t="n">
        <v>40</v>
      </c>
      <c r="F2699" s="107" t="n">
        <f aca="false">IF($C2699="","",$D2699*$E2699)</f>
        <v>13.332</v>
      </c>
      <c r="G2699" s="107" t="n">
        <f aca="false">IF($C2699="","",$D2699*IFERROR(INDEX('تحليل التكلفة والسعر'!$C$2:$C$700,MATCH($C2699,'تحليل التكلفة والسعر'!$B$2:$B$700,0)),0))</f>
        <v>6.666</v>
      </c>
      <c r="H2699" s="104" t="s">
        <v>719</v>
      </c>
    </row>
    <row r="2700" customFormat="false" ht="15" hidden="false" customHeight="false" outlineLevel="0" collapsed="false">
      <c r="A2700" s="103" t="n">
        <v>46306</v>
      </c>
      <c r="B2700" s="104" t="s">
        <v>32</v>
      </c>
      <c r="C2700" s="104" t="s">
        <v>727</v>
      </c>
      <c r="D2700" s="105" t="n">
        <v>0.3333</v>
      </c>
      <c r="E2700" s="106" t="n">
        <v>40</v>
      </c>
      <c r="F2700" s="107" t="n">
        <f aca="false">IF($C2700="","",$D2700*$E2700)</f>
        <v>13.332</v>
      </c>
      <c r="G2700" s="107" t="n">
        <f aca="false">IF($C2700="","",$D2700*IFERROR(INDEX('تحليل التكلفة والسعر'!$C$2:$C$700,MATCH($C2700,'تحليل التكلفة والسعر'!$B$2:$B$700,0)),0))</f>
        <v>6.666</v>
      </c>
      <c r="H2700" s="104" t="s">
        <v>719</v>
      </c>
    </row>
    <row r="2701" customFormat="false" ht="15" hidden="false" customHeight="false" outlineLevel="0" collapsed="false">
      <c r="A2701" s="103" t="n">
        <v>46307</v>
      </c>
      <c r="B2701" s="104" t="s">
        <v>32</v>
      </c>
      <c r="C2701" s="104" t="s">
        <v>727</v>
      </c>
      <c r="D2701" s="105" t="n">
        <v>0.3333</v>
      </c>
      <c r="E2701" s="106" t="n">
        <v>40</v>
      </c>
      <c r="F2701" s="107" t="n">
        <f aca="false">IF($C2701="","",$D2701*$E2701)</f>
        <v>13.332</v>
      </c>
      <c r="G2701" s="107" t="n">
        <f aca="false">IF($C2701="","",$D2701*IFERROR(INDEX('تحليل التكلفة والسعر'!$C$2:$C$700,MATCH($C2701,'تحليل التكلفة والسعر'!$B$2:$B$700,0)),0))</f>
        <v>6.666</v>
      </c>
      <c r="H2701" s="104" t="s">
        <v>719</v>
      </c>
    </row>
    <row r="2702" customFormat="false" ht="15" hidden="false" customHeight="false" outlineLevel="0" collapsed="false">
      <c r="A2702" s="103" t="n">
        <v>46296</v>
      </c>
      <c r="B2702" s="104" t="s">
        <v>32</v>
      </c>
      <c r="C2702" s="104" t="s">
        <v>728</v>
      </c>
      <c r="D2702" s="105" t="n">
        <v>0.1667</v>
      </c>
      <c r="E2702" s="106" t="n">
        <v>55</v>
      </c>
      <c r="F2702" s="107" t="n">
        <f aca="false">IF($C2702="","",$D2702*$E2702)</f>
        <v>9.1685</v>
      </c>
      <c r="G2702" s="107" t="n">
        <f aca="false">IF($C2702="","",$D2702*IFERROR(INDEX('تحليل التكلفة والسعر'!$C$2:$C$700,MATCH($C2702,'تحليل التكلفة والسعر'!$B$2:$B$700,0)),0))</f>
        <v>4.1675</v>
      </c>
      <c r="H2702" s="104" t="s">
        <v>719</v>
      </c>
    </row>
    <row r="2703" customFormat="false" ht="15" hidden="false" customHeight="false" outlineLevel="0" collapsed="false">
      <c r="A2703" s="103" t="n">
        <v>46297</v>
      </c>
      <c r="B2703" s="104" t="s">
        <v>32</v>
      </c>
      <c r="C2703" s="104" t="s">
        <v>728</v>
      </c>
      <c r="D2703" s="105" t="n">
        <v>0.1667</v>
      </c>
      <c r="E2703" s="106" t="n">
        <v>55</v>
      </c>
      <c r="F2703" s="107" t="n">
        <f aca="false">IF($C2703="","",$D2703*$E2703)</f>
        <v>9.1685</v>
      </c>
      <c r="G2703" s="107" t="n">
        <f aca="false">IF($C2703="","",$D2703*IFERROR(INDEX('تحليل التكلفة والسعر'!$C$2:$C$700,MATCH($C2703,'تحليل التكلفة والسعر'!$B$2:$B$700,0)),0))</f>
        <v>4.1675</v>
      </c>
      <c r="H2703" s="104" t="s">
        <v>719</v>
      </c>
    </row>
    <row r="2704" customFormat="false" ht="15" hidden="false" customHeight="false" outlineLevel="0" collapsed="false">
      <c r="A2704" s="103" t="n">
        <v>46298</v>
      </c>
      <c r="B2704" s="104" t="s">
        <v>32</v>
      </c>
      <c r="C2704" s="104" t="s">
        <v>728</v>
      </c>
      <c r="D2704" s="105" t="n">
        <v>0.1667</v>
      </c>
      <c r="E2704" s="106" t="n">
        <v>55</v>
      </c>
      <c r="F2704" s="107" t="n">
        <f aca="false">IF($C2704="","",$D2704*$E2704)</f>
        <v>9.1685</v>
      </c>
      <c r="G2704" s="107" t="n">
        <f aca="false">IF($C2704="","",$D2704*IFERROR(INDEX('تحليل التكلفة والسعر'!$C$2:$C$700,MATCH($C2704,'تحليل التكلفة والسعر'!$B$2:$B$700,0)),0))</f>
        <v>4.1675</v>
      </c>
      <c r="H2704" s="104" t="s">
        <v>719</v>
      </c>
    </row>
    <row r="2705" customFormat="false" ht="15" hidden="false" customHeight="false" outlineLevel="0" collapsed="false">
      <c r="A2705" s="103" t="n">
        <v>46299</v>
      </c>
      <c r="B2705" s="104" t="s">
        <v>32</v>
      </c>
      <c r="C2705" s="104" t="s">
        <v>728</v>
      </c>
      <c r="D2705" s="105" t="n">
        <v>0.1667</v>
      </c>
      <c r="E2705" s="106" t="n">
        <v>55</v>
      </c>
      <c r="F2705" s="107" t="n">
        <f aca="false">IF($C2705="","",$D2705*$E2705)</f>
        <v>9.1685</v>
      </c>
      <c r="G2705" s="107" t="n">
        <f aca="false">IF($C2705="","",$D2705*IFERROR(INDEX('تحليل التكلفة والسعر'!$C$2:$C$700,MATCH($C2705,'تحليل التكلفة والسعر'!$B$2:$B$700,0)),0))</f>
        <v>4.1675</v>
      </c>
      <c r="H2705" s="104" t="s">
        <v>719</v>
      </c>
    </row>
    <row r="2706" customFormat="false" ht="15" hidden="false" customHeight="false" outlineLevel="0" collapsed="false">
      <c r="A2706" s="103" t="n">
        <v>46300</v>
      </c>
      <c r="B2706" s="104" t="s">
        <v>32</v>
      </c>
      <c r="C2706" s="104" t="s">
        <v>728</v>
      </c>
      <c r="D2706" s="105" t="n">
        <v>0.1667</v>
      </c>
      <c r="E2706" s="106" t="n">
        <v>55</v>
      </c>
      <c r="F2706" s="107" t="n">
        <f aca="false">IF($C2706="","",$D2706*$E2706)</f>
        <v>9.1685</v>
      </c>
      <c r="G2706" s="107" t="n">
        <f aca="false">IF($C2706="","",$D2706*IFERROR(INDEX('تحليل التكلفة والسعر'!$C$2:$C$700,MATCH($C2706,'تحليل التكلفة والسعر'!$B$2:$B$700,0)),0))</f>
        <v>4.1675</v>
      </c>
      <c r="H2706" s="104" t="s">
        <v>719</v>
      </c>
    </row>
    <row r="2707" customFormat="false" ht="15" hidden="false" customHeight="false" outlineLevel="0" collapsed="false">
      <c r="A2707" s="103" t="n">
        <v>46301</v>
      </c>
      <c r="B2707" s="104" t="s">
        <v>32</v>
      </c>
      <c r="C2707" s="104" t="s">
        <v>728</v>
      </c>
      <c r="D2707" s="105" t="n">
        <v>0.1667</v>
      </c>
      <c r="E2707" s="106" t="n">
        <v>55</v>
      </c>
      <c r="F2707" s="107" t="n">
        <f aca="false">IF($C2707="","",$D2707*$E2707)</f>
        <v>9.1685</v>
      </c>
      <c r="G2707" s="107" t="n">
        <f aca="false">IF($C2707="","",$D2707*IFERROR(INDEX('تحليل التكلفة والسعر'!$C$2:$C$700,MATCH($C2707,'تحليل التكلفة والسعر'!$B$2:$B$700,0)),0))</f>
        <v>4.1675</v>
      </c>
      <c r="H2707" s="104" t="s">
        <v>719</v>
      </c>
    </row>
    <row r="2708" customFormat="false" ht="15" hidden="false" customHeight="false" outlineLevel="0" collapsed="false">
      <c r="A2708" s="103" t="n">
        <v>46302</v>
      </c>
      <c r="B2708" s="104" t="s">
        <v>32</v>
      </c>
      <c r="C2708" s="104" t="s">
        <v>728</v>
      </c>
      <c r="D2708" s="105" t="n">
        <v>0.1667</v>
      </c>
      <c r="E2708" s="106" t="n">
        <v>55</v>
      </c>
      <c r="F2708" s="107" t="n">
        <f aca="false">IF($C2708="","",$D2708*$E2708)</f>
        <v>9.1685</v>
      </c>
      <c r="G2708" s="107" t="n">
        <f aca="false">IF($C2708="","",$D2708*IFERROR(INDEX('تحليل التكلفة والسعر'!$C$2:$C$700,MATCH($C2708,'تحليل التكلفة والسعر'!$B$2:$B$700,0)),0))</f>
        <v>4.1675</v>
      </c>
      <c r="H2708" s="104" t="s">
        <v>719</v>
      </c>
    </row>
    <row r="2709" customFormat="false" ht="15" hidden="false" customHeight="false" outlineLevel="0" collapsed="false">
      <c r="A2709" s="103" t="n">
        <v>46303</v>
      </c>
      <c r="B2709" s="104" t="s">
        <v>32</v>
      </c>
      <c r="C2709" s="104" t="s">
        <v>728</v>
      </c>
      <c r="D2709" s="105" t="n">
        <v>0.1667</v>
      </c>
      <c r="E2709" s="106" t="n">
        <v>55</v>
      </c>
      <c r="F2709" s="107" t="n">
        <f aca="false">IF($C2709="","",$D2709*$E2709)</f>
        <v>9.1685</v>
      </c>
      <c r="G2709" s="107" t="n">
        <f aca="false">IF($C2709="","",$D2709*IFERROR(INDEX('تحليل التكلفة والسعر'!$C$2:$C$700,MATCH($C2709,'تحليل التكلفة والسعر'!$B$2:$B$700,0)),0))</f>
        <v>4.1675</v>
      </c>
      <c r="H2709" s="104" t="s">
        <v>719</v>
      </c>
    </row>
    <row r="2710" customFormat="false" ht="15" hidden="false" customHeight="false" outlineLevel="0" collapsed="false">
      <c r="A2710" s="103" t="n">
        <v>46304</v>
      </c>
      <c r="B2710" s="104" t="s">
        <v>32</v>
      </c>
      <c r="C2710" s="104" t="s">
        <v>728</v>
      </c>
      <c r="D2710" s="105" t="n">
        <v>0.1667</v>
      </c>
      <c r="E2710" s="106" t="n">
        <v>55</v>
      </c>
      <c r="F2710" s="107" t="n">
        <f aca="false">IF($C2710="","",$D2710*$E2710)</f>
        <v>9.1685</v>
      </c>
      <c r="G2710" s="107" t="n">
        <f aca="false">IF($C2710="","",$D2710*IFERROR(INDEX('تحليل التكلفة والسعر'!$C$2:$C$700,MATCH($C2710,'تحليل التكلفة والسعر'!$B$2:$B$700,0)),0))</f>
        <v>4.1675</v>
      </c>
      <c r="H2710" s="104" t="s">
        <v>719</v>
      </c>
    </row>
    <row r="2711" customFormat="false" ht="15" hidden="false" customHeight="false" outlineLevel="0" collapsed="false">
      <c r="A2711" s="103" t="n">
        <v>46305</v>
      </c>
      <c r="B2711" s="104" t="s">
        <v>32</v>
      </c>
      <c r="C2711" s="104" t="s">
        <v>728</v>
      </c>
      <c r="D2711" s="105" t="n">
        <v>0.1667</v>
      </c>
      <c r="E2711" s="106" t="n">
        <v>55</v>
      </c>
      <c r="F2711" s="107" t="n">
        <f aca="false">IF($C2711="","",$D2711*$E2711)</f>
        <v>9.1685</v>
      </c>
      <c r="G2711" s="107" t="n">
        <f aca="false">IF($C2711="","",$D2711*IFERROR(INDEX('تحليل التكلفة والسعر'!$C$2:$C$700,MATCH($C2711,'تحليل التكلفة والسعر'!$B$2:$B$700,0)),0))</f>
        <v>4.1675</v>
      </c>
      <c r="H2711" s="104" t="s">
        <v>719</v>
      </c>
    </row>
    <row r="2712" customFormat="false" ht="15" hidden="false" customHeight="false" outlineLevel="0" collapsed="false">
      <c r="A2712" s="103" t="n">
        <v>46306</v>
      </c>
      <c r="B2712" s="104" t="s">
        <v>32</v>
      </c>
      <c r="C2712" s="104" t="s">
        <v>728</v>
      </c>
      <c r="D2712" s="105" t="n">
        <v>0.1667</v>
      </c>
      <c r="E2712" s="106" t="n">
        <v>55</v>
      </c>
      <c r="F2712" s="107" t="n">
        <f aca="false">IF($C2712="","",$D2712*$E2712)</f>
        <v>9.1685</v>
      </c>
      <c r="G2712" s="107" t="n">
        <f aca="false">IF($C2712="","",$D2712*IFERROR(INDEX('تحليل التكلفة والسعر'!$C$2:$C$700,MATCH($C2712,'تحليل التكلفة والسعر'!$B$2:$B$700,0)),0))</f>
        <v>4.1675</v>
      </c>
      <c r="H2712" s="104" t="s">
        <v>719</v>
      </c>
    </row>
    <row r="2713" customFormat="false" ht="15" hidden="false" customHeight="false" outlineLevel="0" collapsed="false">
      <c r="A2713" s="103" t="n">
        <v>46307</v>
      </c>
      <c r="B2713" s="104" t="s">
        <v>32</v>
      </c>
      <c r="C2713" s="104" t="s">
        <v>728</v>
      </c>
      <c r="D2713" s="105" t="n">
        <v>0.1667</v>
      </c>
      <c r="E2713" s="106" t="n">
        <v>55</v>
      </c>
      <c r="F2713" s="107" t="n">
        <f aca="false">IF($C2713="","",$D2713*$E2713)</f>
        <v>9.1685</v>
      </c>
      <c r="G2713" s="107" t="n">
        <f aca="false">IF($C2713="","",$D2713*IFERROR(INDEX('تحليل التكلفة والسعر'!$C$2:$C$700,MATCH($C2713,'تحليل التكلفة والسعر'!$B$2:$B$700,0)),0))</f>
        <v>4.1675</v>
      </c>
      <c r="H2713" s="104" t="s">
        <v>719</v>
      </c>
    </row>
    <row r="2714" customFormat="false" ht="15" hidden="false" customHeight="false" outlineLevel="0" collapsed="false">
      <c r="A2714" s="103" t="n">
        <v>46296</v>
      </c>
      <c r="B2714" s="104" t="s">
        <v>32</v>
      </c>
      <c r="C2714" s="104" t="s">
        <v>729</v>
      </c>
      <c r="D2714" s="105" t="n">
        <v>0.8333</v>
      </c>
      <c r="E2714" s="106" t="n">
        <v>40</v>
      </c>
      <c r="F2714" s="107" t="n">
        <f aca="false">IF($C2714="","",$D2714*$E2714)</f>
        <v>33.332</v>
      </c>
      <c r="G2714" s="107" t="n">
        <f aca="false">IF($C2714="","",$D2714*IFERROR(INDEX('تحليل التكلفة والسعر'!$C$2:$C$700,MATCH($C2714,'تحليل التكلفة والسعر'!$B$2:$B$700,0)),0))</f>
        <v>14.58275</v>
      </c>
      <c r="H2714" s="104" t="s">
        <v>719</v>
      </c>
    </row>
    <row r="2715" customFormat="false" ht="15" hidden="false" customHeight="false" outlineLevel="0" collapsed="false">
      <c r="A2715" s="103" t="n">
        <v>46297</v>
      </c>
      <c r="B2715" s="104" t="s">
        <v>32</v>
      </c>
      <c r="C2715" s="104" t="s">
        <v>729</v>
      </c>
      <c r="D2715" s="105" t="n">
        <v>0.8333</v>
      </c>
      <c r="E2715" s="106" t="n">
        <v>40</v>
      </c>
      <c r="F2715" s="107" t="n">
        <f aca="false">IF($C2715="","",$D2715*$E2715)</f>
        <v>33.332</v>
      </c>
      <c r="G2715" s="107" t="n">
        <f aca="false">IF($C2715="","",$D2715*IFERROR(INDEX('تحليل التكلفة والسعر'!$C$2:$C$700,MATCH($C2715,'تحليل التكلفة والسعر'!$B$2:$B$700,0)),0))</f>
        <v>14.58275</v>
      </c>
      <c r="H2715" s="104" t="s">
        <v>719</v>
      </c>
    </row>
    <row r="2716" customFormat="false" ht="15" hidden="false" customHeight="false" outlineLevel="0" collapsed="false">
      <c r="A2716" s="103" t="n">
        <v>46298</v>
      </c>
      <c r="B2716" s="104" t="s">
        <v>32</v>
      </c>
      <c r="C2716" s="104" t="s">
        <v>729</v>
      </c>
      <c r="D2716" s="105" t="n">
        <v>0.8333</v>
      </c>
      <c r="E2716" s="106" t="n">
        <v>40</v>
      </c>
      <c r="F2716" s="107" t="n">
        <f aca="false">IF($C2716="","",$D2716*$E2716)</f>
        <v>33.332</v>
      </c>
      <c r="G2716" s="107" t="n">
        <f aca="false">IF($C2716="","",$D2716*IFERROR(INDEX('تحليل التكلفة والسعر'!$C$2:$C$700,MATCH($C2716,'تحليل التكلفة والسعر'!$B$2:$B$700,0)),0))</f>
        <v>14.58275</v>
      </c>
      <c r="H2716" s="104" t="s">
        <v>719</v>
      </c>
    </row>
    <row r="2717" customFormat="false" ht="15" hidden="false" customHeight="false" outlineLevel="0" collapsed="false">
      <c r="A2717" s="103" t="n">
        <v>46299</v>
      </c>
      <c r="B2717" s="104" t="s">
        <v>32</v>
      </c>
      <c r="C2717" s="104" t="s">
        <v>729</v>
      </c>
      <c r="D2717" s="105" t="n">
        <v>0.8333</v>
      </c>
      <c r="E2717" s="106" t="n">
        <v>40</v>
      </c>
      <c r="F2717" s="107" t="n">
        <f aca="false">IF($C2717="","",$D2717*$E2717)</f>
        <v>33.332</v>
      </c>
      <c r="G2717" s="107" t="n">
        <f aca="false">IF($C2717="","",$D2717*IFERROR(INDEX('تحليل التكلفة والسعر'!$C$2:$C$700,MATCH($C2717,'تحليل التكلفة والسعر'!$B$2:$B$700,0)),0))</f>
        <v>14.58275</v>
      </c>
      <c r="H2717" s="104" t="s">
        <v>719</v>
      </c>
    </row>
    <row r="2718" customFormat="false" ht="15" hidden="false" customHeight="false" outlineLevel="0" collapsed="false">
      <c r="A2718" s="103" t="n">
        <v>46300</v>
      </c>
      <c r="B2718" s="104" t="s">
        <v>32</v>
      </c>
      <c r="C2718" s="104" t="s">
        <v>729</v>
      </c>
      <c r="D2718" s="105" t="n">
        <v>0.8333</v>
      </c>
      <c r="E2718" s="106" t="n">
        <v>40</v>
      </c>
      <c r="F2718" s="107" t="n">
        <f aca="false">IF($C2718="","",$D2718*$E2718)</f>
        <v>33.332</v>
      </c>
      <c r="G2718" s="107" t="n">
        <f aca="false">IF($C2718="","",$D2718*IFERROR(INDEX('تحليل التكلفة والسعر'!$C$2:$C$700,MATCH($C2718,'تحليل التكلفة والسعر'!$B$2:$B$700,0)),0))</f>
        <v>14.58275</v>
      </c>
      <c r="H2718" s="104" t="s">
        <v>719</v>
      </c>
    </row>
    <row r="2719" customFormat="false" ht="15" hidden="false" customHeight="false" outlineLevel="0" collapsed="false">
      <c r="A2719" s="103" t="n">
        <v>46301</v>
      </c>
      <c r="B2719" s="104" t="s">
        <v>32</v>
      </c>
      <c r="C2719" s="104" t="s">
        <v>729</v>
      </c>
      <c r="D2719" s="105" t="n">
        <v>0.8333</v>
      </c>
      <c r="E2719" s="106" t="n">
        <v>40</v>
      </c>
      <c r="F2719" s="107" t="n">
        <f aca="false">IF($C2719="","",$D2719*$E2719)</f>
        <v>33.332</v>
      </c>
      <c r="G2719" s="107" t="n">
        <f aca="false">IF($C2719="","",$D2719*IFERROR(INDEX('تحليل التكلفة والسعر'!$C$2:$C$700,MATCH($C2719,'تحليل التكلفة والسعر'!$B$2:$B$700,0)),0))</f>
        <v>14.58275</v>
      </c>
      <c r="H2719" s="104" t="s">
        <v>719</v>
      </c>
    </row>
    <row r="2720" customFormat="false" ht="15" hidden="false" customHeight="false" outlineLevel="0" collapsed="false">
      <c r="A2720" s="103" t="n">
        <v>46302</v>
      </c>
      <c r="B2720" s="104" t="s">
        <v>32</v>
      </c>
      <c r="C2720" s="104" t="s">
        <v>729</v>
      </c>
      <c r="D2720" s="105" t="n">
        <v>0.8333</v>
      </c>
      <c r="E2720" s="106" t="n">
        <v>40</v>
      </c>
      <c r="F2720" s="107" t="n">
        <f aca="false">IF($C2720="","",$D2720*$E2720)</f>
        <v>33.332</v>
      </c>
      <c r="G2720" s="107" t="n">
        <f aca="false">IF($C2720="","",$D2720*IFERROR(INDEX('تحليل التكلفة والسعر'!$C$2:$C$700,MATCH($C2720,'تحليل التكلفة والسعر'!$B$2:$B$700,0)),0))</f>
        <v>14.58275</v>
      </c>
      <c r="H2720" s="104" t="s">
        <v>719</v>
      </c>
    </row>
    <row r="2721" customFormat="false" ht="15" hidden="false" customHeight="false" outlineLevel="0" collapsed="false">
      <c r="A2721" s="103" t="n">
        <v>46303</v>
      </c>
      <c r="B2721" s="104" t="s">
        <v>32</v>
      </c>
      <c r="C2721" s="104" t="s">
        <v>729</v>
      </c>
      <c r="D2721" s="105" t="n">
        <v>0.8333</v>
      </c>
      <c r="E2721" s="106" t="n">
        <v>40</v>
      </c>
      <c r="F2721" s="107" t="n">
        <f aca="false">IF($C2721="","",$D2721*$E2721)</f>
        <v>33.332</v>
      </c>
      <c r="G2721" s="107" t="n">
        <f aca="false">IF($C2721="","",$D2721*IFERROR(INDEX('تحليل التكلفة والسعر'!$C$2:$C$700,MATCH($C2721,'تحليل التكلفة والسعر'!$B$2:$B$700,0)),0))</f>
        <v>14.58275</v>
      </c>
      <c r="H2721" s="104" t="s">
        <v>719</v>
      </c>
    </row>
    <row r="2722" customFormat="false" ht="15" hidden="false" customHeight="false" outlineLevel="0" collapsed="false">
      <c r="A2722" s="103" t="n">
        <v>46304</v>
      </c>
      <c r="B2722" s="104" t="s">
        <v>32</v>
      </c>
      <c r="C2722" s="104" t="s">
        <v>729</v>
      </c>
      <c r="D2722" s="105" t="n">
        <v>0.8333</v>
      </c>
      <c r="E2722" s="106" t="n">
        <v>40</v>
      </c>
      <c r="F2722" s="107" t="n">
        <f aca="false">IF($C2722="","",$D2722*$E2722)</f>
        <v>33.332</v>
      </c>
      <c r="G2722" s="107" t="n">
        <f aca="false">IF($C2722="","",$D2722*IFERROR(INDEX('تحليل التكلفة والسعر'!$C$2:$C$700,MATCH($C2722,'تحليل التكلفة والسعر'!$B$2:$B$700,0)),0))</f>
        <v>14.58275</v>
      </c>
      <c r="H2722" s="104" t="s">
        <v>719</v>
      </c>
    </row>
    <row r="2723" customFormat="false" ht="15" hidden="false" customHeight="false" outlineLevel="0" collapsed="false">
      <c r="A2723" s="103" t="n">
        <v>46305</v>
      </c>
      <c r="B2723" s="104" t="s">
        <v>32</v>
      </c>
      <c r="C2723" s="104" t="s">
        <v>729</v>
      </c>
      <c r="D2723" s="105" t="n">
        <v>0.8333</v>
      </c>
      <c r="E2723" s="106" t="n">
        <v>40</v>
      </c>
      <c r="F2723" s="107" t="n">
        <f aca="false">IF($C2723="","",$D2723*$E2723)</f>
        <v>33.332</v>
      </c>
      <c r="G2723" s="107" t="n">
        <f aca="false">IF($C2723="","",$D2723*IFERROR(INDEX('تحليل التكلفة والسعر'!$C$2:$C$700,MATCH($C2723,'تحليل التكلفة والسعر'!$B$2:$B$700,0)),0))</f>
        <v>14.58275</v>
      </c>
      <c r="H2723" s="104" t="s">
        <v>719</v>
      </c>
    </row>
    <row r="2724" customFormat="false" ht="15" hidden="false" customHeight="false" outlineLevel="0" collapsed="false">
      <c r="A2724" s="103" t="n">
        <v>46306</v>
      </c>
      <c r="B2724" s="104" t="s">
        <v>32</v>
      </c>
      <c r="C2724" s="104" t="s">
        <v>729</v>
      </c>
      <c r="D2724" s="105" t="n">
        <v>0.8333</v>
      </c>
      <c r="E2724" s="106" t="n">
        <v>40</v>
      </c>
      <c r="F2724" s="107" t="n">
        <f aca="false">IF($C2724="","",$D2724*$E2724)</f>
        <v>33.332</v>
      </c>
      <c r="G2724" s="107" t="n">
        <f aca="false">IF($C2724="","",$D2724*IFERROR(INDEX('تحليل التكلفة والسعر'!$C$2:$C$700,MATCH($C2724,'تحليل التكلفة والسعر'!$B$2:$B$700,0)),0))</f>
        <v>14.58275</v>
      </c>
      <c r="H2724" s="104" t="s">
        <v>719</v>
      </c>
    </row>
    <row r="2725" customFormat="false" ht="15" hidden="false" customHeight="false" outlineLevel="0" collapsed="false">
      <c r="A2725" s="103" t="n">
        <v>46307</v>
      </c>
      <c r="B2725" s="104" t="s">
        <v>32</v>
      </c>
      <c r="C2725" s="104" t="s">
        <v>729</v>
      </c>
      <c r="D2725" s="105" t="n">
        <v>0.8333</v>
      </c>
      <c r="E2725" s="106" t="n">
        <v>40</v>
      </c>
      <c r="F2725" s="107" t="n">
        <f aca="false">IF($C2725="","",$D2725*$E2725)</f>
        <v>33.332</v>
      </c>
      <c r="G2725" s="107" t="n">
        <f aca="false">IF($C2725="","",$D2725*IFERROR(INDEX('تحليل التكلفة والسعر'!$C$2:$C$700,MATCH($C2725,'تحليل التكلفة والسعر'!$B$2:$B$700,0)),0))</f>
        <v>14.58275</v>
      </c>
      <c r="H2725" s="104" t="s">
        <v>719</v>
      </c>
    </row>
    <row r="2726" customFormat="false" ht="15" hidden="false" customHeight="false" outlineLevel="0" collapsed="false">
      <c r="A2726" s="103" t="n">
        <v>46296</v>
      </c>
      <c r="B2726" s="104" t="s">
        <v>32</v>
      </c>
      <c r="C2726" s="104" t="s">
        <v>753</v>
      </c>
      <c r="D2726" s="105" t="n">
        <v>0.1667</v>
      </c>
      <c r="E2726" s="106" t="n">
        <v>45</v>
      </c>
      <c r="F2726" s="107" t="n">
        <f aca="false">IF($C2726="","",$D2726*$E2726)</f>
        <v>7.5015</v>
      </c>
      <c r="G2726" s="107" t="n">
        <f aca="false">IF($C2726="","",$D2726*IFERROR(INDEX('تحليل التكلفة والسعر'!$C$2:$C$700,MATCH($C2726,'تحليل التكلفة والسعر'!$B$2:$B$700,0)),0))</f>
        <v>3.3931159875</v>
      </c>
      <c r="H2726" s="104" t="s">
        <v>719</v>
      </c>
    </row>
    <row r="2727" customFormat="false" ht="15" hidden="false" customHeight="false" outlineLevel="0" collapsed="false">
      <c r="A2727" s="103" t="n">
        <v>46297</v>
      </c>
      <c r="B2727" s="104" t="s">
        <v>32</v>
      </c>
      <c r="C2727" s="104" t="s">
        <v>753</v>
      </c>
      <c r="D2727" s="105" t="n">
        <v>0.1667</v>
      </c>
      <c r="E2727" s="106" t="n">
        <v>45</v>
      </c>
      <c r="F2727" s="107" t="n">
        <f aca="false">IF($C2727="","",$D2727*$E2727)</f>
        <v>7.5015</v>
      </c>
      <c r="G2727" s="107" t="n">
        <f aca="false">IF($C2727="","",$D2727*IFERROR(INDEX('تحليل التكلفة والسعر'!$C$2:$C$700,MATCH($C2727,'تحليل التكلفة والسعر'!$B$2:$B$700,0)),0))</f>
        <v>3.3931159875</v>
      </c>
      <c r="H2727" s="104" t="s">
        <v>719</v>
      </c>
    </row>
    <row r="2728" customFormat="false" ht="15" hidden="false" customHeight="false" outlineLevel="0" collapsed="false">
      <c r="A2728" s="103" t="n">
        <v>46298</v>
      </c>
      <c r="B2728" s="104" t="s">
        <v>32</v>
      </c>
      <c r="C2728" s="104" t="s">
        <v>753</v>
      </c>
      <c r="D2728" s="105" t="n">
        <v>0.1667</v>
      </c>
      <c r="E2728" s="106" t="n">
        <v>45</v>
      </c>
      <c r="F2728" s="107" t="n">
        <f aca="false">IF($C2728="","",$D2728*$E2728)</f>
        <v>7.5015</v>
      </c>
      <c r="G2728" s="107" t="n">
        <f aca="false">IF($C2728="","",$D2728*IFERROR(INDEX('تحليل التكلفة والسعر'!$C$2:$C$700,MATCH($C2728,'تحليل التكلفة والسعر'!$B$2:$B$700,0)),0))</f>
        <v>3.3931159875</v>
      </c>
      <c r="H2728" s="104" t="s">
        <v>719</v>
      </c>
    </row>
    <row r="2729" customFormat="false" ht="15" hidden="false" customHeight="false" outlineLevel="0" collapsed="false">
      <c r="A2729" s="103" t="n">
        <v>46299</v>
      </c>
      <c r="B2729" s="104" t="s">
        <v>32</v>
      </c>
      <c r="C2729" s="104" t="s">
        <v>753</v>
      </c>
      <c r="D2729" s="105" t="n">
        <v>0.1667</v>
      </c>
      <c r="E2729" s="106" t="n">
        <v>45</v>
      </c>
      <c r="F2729" s="107" t="n">
        <f aca="false">IF($C2729="","",$D2729*$E2729)</f>
        <v>7.5015</v>
      </c>
      <c r="G2729" s="107" t="n">
        <f aca="false">IF($C2729="","",$D2729*IFERROR(INDEX('تحليل التكلفة والسعر'!$C$2:$C$700,MATCH($C2729,'تحليل التكلفة والسعر'!$B$2:$B$700,0)),0))</f>
        <v>3.3931159875</v>
      </c>
      <c r="H2729" s="104" t="s">
        <v>719</v>
      </c>
    </row>
    <row r="2730" customFormat="false" ht="15" hidden="false" customHeight="false" outlineLevel="0" collapsed="false">
      <c r="A2730" s="103" t="n">
        <v>46300</v>
      </c>
      <c r="B2730" s="104" t="s">
        <v>32</v>
      </c>
      <c r="C2730" s="104" t="s">
        <v>753</v>
      </c>
      <c r="D2730" s="105" t="n">
        <v>0.1667</v>
      </c>
      <c r="E2730" s="106" t="n">
        <v>45</v>
      </c>
      <c r="F2730" s="107" t="n">
        <f aca="false">IF($C2730="","",$D2730*$E2730)</f>
        <v>7.5015</v>
      </c>
      <c r="G2730" s="107" t="n">
        <f aca="false">IF($C2730="","",$D2730*IFERROR(INDEX('تحليل التكلفة والسعر'!$C$2:$C$700,MATCH($C2730,'تحليل التكلفة والسعر'!$B$2:$B$700,0)),0))</f>
        <v>3.3931159875</v>
      </c>
      <c r="H2730" s="104" t="s">
        <v>719</v>
      </c>
    </row>
    <row r="2731" customFormat="false" ht="15" hidden="false" customHeight="false" outlineLevel="0" collapsed="false">
      <c r="A2731" s="103" t="n">
        <v>46301</v>
      </c>
      <c r="B2731" s="104" t="s">
        <v>32</v>
      </c>
      <c r="C2731" s="104" t="s">
        <v>753</v>
      </c>
      <c r="D2731" s="105" t="n">
        <v>0.1667</v>
      </c>
      <c r="E2731" s="106" t="n">
        <v>45</v>
      </c>
      <c r="F2731" s="107" t="n">
        <f aca="false">IF($C2731="","",$D2731*$E2731)</f>
        <v>7.5015</v>
      </c>
      <c r="G2731" s="107" t="n">
        <f aca="false">IF($C2731="","",$D2731*IFERROR(INDEX('تحليل التكلفة والسعر'!$C$2:$C$700,MATCH($C2731,'تحليل التكلفة والسعر'!$B$2:$B$700,0)),0))</f>
        <v>3.3931159875</v>
      </c>
      <c r="H2731" s="104" t="s">
        <v>719</v>
      </c>
    </row>
    <row r="2732" customFormat="false" ht="15" hidden="false" customHeight="false" outlineLevel="0" collapsed="false">
      <c r="A2732" s="103" t="n">
        <v>46302</v>
      </c>
      <c r="B2732" s="104" t="s">
        <v>32</v>
      </c>
      <c r="C2732" s="104" t="s">
        <v>753</v>
      </c>
      <c r="D2732" s="105" t="n">
        <v>0.1667</v>
      </c>
      <c r="E2732" s="106" t="n">
        <v>45</v>
      </c>
      <c r="F2732" s="107" t="n">
        <f aca="false">IF($C2732="","",$D2732*$E2732)</f>
        <v>7.5015</v>
      </c>
      <c r="G2732" s="107" t="n">
        <f aca="false">IF($C2732="","",$D2732*IFERROR(INDEX('تحليل التكلفة والسعر'!$C$2:$C$700,MATCH($C2732,'تحليل التكلفة والسعر'!$B$2:$B$700,0)),0))</f>
        <v>3.3931159875</v>
      </c>
      <c r="H2732" s="104" t="s">
        <v>719</v>
      </c>
    </row>
    <row r="2733" customFormat="false" ht="15" hidden="false" customHeight="false" outlineLevel="0" collapsed="false">
      <c r="A2733" s="103" t="n">
        <v>46303</v>
      </c>
      <c r="B2733" s="104" t="s">
        <v>32</v>
      </c>
      <c r="C2733" s="104" t="s">
        <v>753</v>
      </c>
      <c r="D2733" s="105" t="n">
        <v>0.1667</v>
      </c>
      <c r="E2733" s="106" t="n">
        <v>45</v>
      </c>
      <c r="F2733" s="107" t="n">
        <f aca="false">IF($C2733="","",$D2733*$E2733)</f>
        <v>7.5015</v>
      </c>
      <c r="G2733" s="107" t="n">
        <f aca="false">IF($C2733="","",$D2733*IFERROR(INDEX('تحليل التكلفة والسعر'!$C$2:$C$700,MATCH($C2733,'تحليل التكلفة والسعر'!$B$2:$B$700,0)),0))</f>
        <v>3.3931159875</v>
      </c>
      <c r="H2733" s="104" t="s">
        <v>719</v>
      </c>
    </row>
    <row r="2734" customFormat="false" ht="15" hidden="false" customHeight="false" outlineLevel="0" collapsed="false">
      <c r="A2734" s="103" t="n">
        <v>46304</v>
      </c>
      <c r="B2734" s="104" t="s">
        <v>32</v>
      </c>
      <c r="C2734" s="104" t="s">
        <v>753</v>
      </c>
      <c r="D2734" s="105" t="n">
        <v>0.1667</v>
      </c>
      <c r="E2734" s="106" t="n">
        <v>45</v>
      </c>
      <c r="F2734" s="107" t="n">
        <f aca="false">IF($C2734="","",$D2734*$E2734)</f>
        <v>7.5015</v>
      </c>
      <c r="G2734" s="107" t="n">
        <f aca="false">IF($C2734="","",$D2734*IFERROR(INDEX('تحليل التكلفة والسعر'!$C$2:$C$700,MATCH($C2734,'تحليل التكلفة والسعر'!$B$2:$B$700,0)),0))</f>
        <v>3.3931159875</v>
      </c>
      <c r="H2734" s="104" t="s">
        <v>719</v>
      </c>
    </row>
    <row r="2735" customFormat="false" ht="15" hidden="false" customHeight="false" outlineLevel="0" collapsed="false">
      <c r="A2735" s="103" t="n">
        <v>46305</v>
      </c>
      <c r="B2735" s="104" t="s">
        <v>32</v>
      </c>
      <c r="C2735" s="104" t="s">
        <v>753</v>
      </c>
      <c r="D2735" s="105" t="n">
        <v>0.1667</v>
      </c>
      <c r="E2735" s="106" t="n">
        <v>45</v>
      </c>
      <c r="F2735" s="107" t="n">
        <f aca="false">IF($C2735="","",$D2735*$E2735)</f>
        <v>7.5015</v>
      </c>
      <c r="G2735" s="107" t="n">
        <f aca="false">IF($C2735="","",$D2735*IFERROR(INDEX('تحليل التكلفة والسعر'!$C$2:$C$700,MATCH($C2735,'تحليل التكلفة والسعر'!$B$2:$B$700,0)),0))</f>
        <v>3.3931159875</v>
      </c>
      <c r="H2735" s="104" t="s">
        <v>719</v>
      </c>
    </row>
    <row r="2736" customFormat="false" ht="15" hidden="false" customHeight="false" outlineLevel="0" collapsed="false">
      <c r="A2736" s="103" t="n">
        <v>46306</v>
      </c>
      <c r="B2736" s="104" t="s">
        <v>32</v>
      </c>
      <c r="C2736" s="104" t="s">
        <v>753</v>
      </c>
      <c r="D2736" s="105" t="n">
        <v>0.1667</v>
      </c>
      <c r="E2736" s="106" t="n">
        <v>45</v>
      </c>
      <c r="F2736" s="107" t="n">
        <f aca="false">IF($C2736="","",$D2736*$E2736)</f>
        <v>7.5015</v>
      </c>
      <c r="G2736" s="107" t="n">
        <f aca="false">IF($C2736="","",$D2736*IFERROR(INDEX('تحليل التكلفة والسعر'!$C$2:$C$700,MATCH($C2736,'تحليل التكلفة والسعر'!$B$2:$B$700,0)),0))</f>
        <v>3.3931159875</v>
      </c>
      <c r="H2736" s="104" t="s">
        <v>719</v>
      </c>
    </row>
    <row r="2737" customFormat="false" ht="15" hidden="false" customHeight="false" outlineLevel="0" collapsed="false">
      <c r="A2737" s="103" t="n">
        <v>46307</v>
      </c>
      <c r="B2737" s="104" t="s">
        <v>32</v>
      </c>
      <c r="C2737" s="104" t="s">
        <v>753</v>
      </c>
      <c r="D2737" s="105" t="n">
        <v>0.1667</v>
      </c>
      <c r="E2737" s="106" t="n">
        <v>45</v>
      </c>
      <c r="F2737" s="107" t="n">
        <f aca="false">IF($C2737="","",$D2737*$E2737)</f>
        <v>7.5015</v>
      </c>
      <c r="G2737" s="107" t="n">
        <f aca="false">IF($C2737="","",$D2737*IFERROR(INDEX('تحليل التكلفة والسعر'!$C$2:$C$700,MATCH($C2737,'تحليل التكلفة والسعر'!$B$2:$B$700,0)),0))</f>
        <v>3.3931159875</v>
      </c>
      <c r="H2737" s="104" t="s">
        <v>719</v>
      </c>
    </row>
    <row r="2738" customFormat="false" ht="15" hidden="false" customHeight="false" outlineLevel="0" collapsed="false">
      <c r="A2738" s="103" t="n">
        <v>46296</v>
      </c>
      <c r="B2738" s="104" t="s">
        <v>32</v>
      </c>
      <c r="C2738" s="104" t="s">
        <v>731</v>
      </c>
      <c r="D2738" s="105" t="n">
        <v>0.0833</v>
      </c>
      <c r="E2738" s="106" t="n">
        <v>90</v>
      </c>
      <c r="F2738" s="107" t="n">
        <f aca="false">IF($C2738="","",$D2738*$E2738)</f>
        <v>7.497</v>
      </c>
      <c r="G2738" s="107" t="n">
        <f aca="false">IF($C2738="","",$D2738*IFERROR(INDEX('تحليل التكلفة والسعر'!$C$2:$C$700,MATCH($C2738,'تحليل التكلفة والسعر'!$B$2:$B$700,0)),0))</f>
        <v>3.7485</v>
      </c>
      <c r="H2738" s="104" t="s">
        <v>719</v>
      </c>
    </row>
    <row r="2739" customFormat="false" ht="15" hidden="false" customHeight="false" outlineLevel="0" collapsed="false">
      <c r="A2739" s="103" t="n">
        <v>46297</v>
      </c>
      <c r="B2739" s="104" t="s">
        <v>32</v>
      </c>
      <c r="C2739" s="104" t="s">
        <v>731</v>
      </c>
      <c r="D2739" s="105" t="n">
        <v>0.0833</v>
      </c>
      <c r="E2739" s="106" t="n">
        <v>90</v>
      </c>
      <c r="F2739" s="107" t="n">
        <f aca="false">IF($C2739="","",$D2739*$E2739)</f>
        <v>7.497</v>
      </c>
      <c r="G2739" s="107" t="n">
        <f aca="false">IF($C2739="","",$D2739*IFERROR(INDEX('تحليل التكلفة والسعر'!$C$2:$C$700,MATCH($C2739,'تحليل التكلفة والسعر'!$B$2:$B$700,0)),0))</f>
        <v>3.7485</v>
      </c>
      <c r="H2739" s="104" t="s">
        <v>719</v>
      </c>
    </row>
    <row r="2740" customFormat="false" ht="15" hidden="false" customHeight="false" outlineLevel="0" collapsed="false">
      <c r="A2740" s="103" t="n">
        <v>46298</v>
      </c>
      <c r="B2740" s="104" t="s">
        <v>32</v>
      </c>
      <c r="C2740" s="104" t="s">
        <v>731</v>
      </c>
      <c r="D2740" s="105" t="n">
        <v>0.0833</v>
      </c>
      <c r="E2740" s="106" t="n">
        <v>90</v>
      </c>
      <c r="F2740" s="107" t="n">
        <f aca="false">IF($C2740="","",$D2740*$E2740)</f>
        <v>7.497</v>
      </c>
      <c r="G2740" s="107" t="n">
        <f aca="false">IF($C2740="","",$D2740*IFERROR(INDEX('تحليل التكلفة والسعر'!$C$2:$C$700,MATCH($C2740,'تحليل التكلفة والسعر'!$B$2:$B$700,0)),0))</f>
        <v>3.7485</v>
      </c>
      <c r="H2740" s="104" t="s">
        <v>719</v>
      </c>
    </row>
    <row r="2741" customFormat="false" ht="15" hidden="false" customHeight="false" outlineLevel="0" collapsed="false">
      <c r="A2741" s="103" t="n">
        <v>46299</v>
      </c>
      <c r="B2741" s="104" t="s">
        <v>32</v>
      </c>
      <c r="C2741" s="104" t="s">
        <v>731</v>
      </c>
      <c r="D2741" s="105" t="n">
        <v>0.0833</v>
      </c>
      <c r="E2741" s="106" t="n">
        <v>90</v>
      </c>
      <c r="F2741" s="107" t="n">
        <f aca="false">IF($C2741="","",$D2741*$E2741)</f>
        <v>7.497</v>
      </c>
      <c r="G2741" s="107" t="n">
        <f aca="false">IF($C2741="","",$D2741*IFERROR(INDEX('تحليل التكلفة والسعر'!$C$2:$C$700,MATCH($C2741,'تحليل التكلفة والسعر'!$B$2:$B$700,0)),0))</f>
        <v>3.7485</v>
      </c>
      <c r="H2741" s="104" t="s">
        <v>719</v>
      </c>
    </row>
    <row r="2742" customFormat="false" ht="15" hidden="false" customHeight="false" outlineLevel="0" collapsed="false">
      <c r="A2742" s="103" t="n">
        <v>46300</v>
      </c>
      <c r="B2742" s="104" t="s">
        <v>32</v>
      </c>
      <c r="C2742" s="104" t="s">
        <v>731</v>
      </c>
      <c r="D2742" s="105" t="n">
        <v>0.0833</v>
      </c>
      <c r="E2742" s="106" t="n">
        <v>90</v>
      </c>
      <c r="F2742" s="107" t="n">
        <f aca="false">IF($C2742="","",$D2742*$E2742)</f>
        <v>7.497</v>
      </c>
      <c r="G2742" s="107" t="n">
        <f aca="false">IF($C2742="","",$D2742*IFERROR(INDEX('تحليل التكلفة والسعر'!$C$2:$C$700,MATCH($C2742,'تحليل التكلفة والسعر'!$B$2:$B$700,0)),0))</f>
        <v>3.7485</v>
      </c>
      <c r="H2742" s="104" t="s">
        <v>719</v>
      </c>
    </row>
    <row r="2743" customFormat="false" ht="15" hidden="false" customHeight="false" outlineLevel="0" collapsed="false">
      <c r="A2743" s="103" t="n">
        <v>46301</v>
      </c>
      <c r="B2743" s="104" t="s">
        <v>32</v>
      </c>
      <c r="C2743" s="104" t="s">
        <v>731</v>
      </c>
      <c r="D2743" s="105" t="n">
        <v>0.0833</v>
      </c>
      <c r="E2743" s="106" t="n">
        <v>90</v>
      </c>
      <c r="F2743" s="107" t="n">
        <f aca="false">IF($C2743="","",$D2743*$E2743)</f>
        <v>7.497</v>
      </c>
      <c r="G2743" s="107" t="n">
        <f aca="false">IF($C2743="","",$D2743*IFERROR(INDEX('تحليل التكلفة والسعر'!$C$2:$C$700,MATCH($C2743,'تحليل التكلفة والسعر'!$B$2:$B$700,0)),0))</f>
        <v>3.7485</v>
      </c>
      <c r="H2743" s="104" t="s">
        <v>719</v>
      </c>
    </row>
    <row r="2744" customFormat="false" ht="15" hidden="false" customHeight="false" outlineLevel="0" collapsed="false">
      <c r="A2744" s="103" t="n">
        <v>46302</v>
      </c>
      <c r="B2744" s="104" t="s">
        <v>32</v>
      </c>
      <c r="C2744" s="104" t="s">
        <v>731</v>
      </c>
      <c r="D2744" s="105" t="n">
        <v>0.0833</v>
      </c>
      <c r="E2744" s="106" t="n">
        <v>90</v>
      </c>
      <c r="F2744" s="107" t="n">
        <f aca="false">IF($C2744="","",$D2744*$E2744)</f>
        <v>7.497</v>
      </c>
      <c r="G2744" s="107" t="n">
        <f aca="false">IF($C2744="","",$D2744*IFERROR(INDEX('تحليل التكلفة والسعر'!$C$2:$C$700,MATCH($C2744,'تحليل التكلفة والسعر'!$B$2:$B$700,0)),0))</f>
        <v>3.7485</v>
      </c>
      <c r="H2744" s="104" t="s">
        <v>719</v>
      </c>
    </row>
    <row r="2745" customFormat="false" ht="15" hidden="false" customHeight="false" outlineLevel="0" collapsed="false">
      <c r="A2745" s="103" t="n">
        <v>46303</v>
      </c>
      <c r="B2745" s="104" t="s">
        <v>32</v>
      </c>
      <c r="C2745" s="104" t="s">
        <v>731</v>
      </c>
      <c r="D2745" s="105" t="n">
        <v>0.0833</v>
      </c>
      <c r="E2745" s="106" t="n">
        <v>90</v>
      </c>
      <c r="F2745" s="107" t="n">
        <f aca="false">IF($C2745="","",$D2745*$E2745)</f>
        <v>7.497</v>
      </c>
      <c r="G2745" s="107" t="n">
        <f aca="false">IF($C2745="","",$D2745*IFERROR(INDEX('تحليل التكلفة والسعر'!$C$2:$C$700,MATCH($C2745,'تحليل التكلفة والسعر'!$B$2:$B$700,0)),0))</f>
        <v>3.7485</v>
      </c>
      <c r="H2745" s="104" t="s">
        <v>719</v>
      </c>
    </row>
    <row r="2746" customFormat="false" ht="15" hidden="false" customHeight="false" outlineLevel="0" collapsed="false">
      <c r="A2746" s="103" t="n">
        <v>46304</v>
      </c>
      <c r="B2746" s="104" t="s">
        <v>32</v>
      </c>
      <c r="C2746" s="104" t="s">
        <v>731</v>
      </c>
      <c r="D2746" s="105" t="n">
        <v>0.0833</v>
      </c>
      <c r="E2746" s="106" t="n">
        <v>90</v>
      </c>
      <c r="F2746" s="107" t="n">
        <f aca="false">IF($C2746="","",$D2746*$E2746)</f>
        <v>7.497</v>
      </c>
      <c r="G2746" s="107" t="n">
        <f aca="false">IF($C2746="","",$D2746*IFERROR(INDEX('تحليل التكلفة والسعر'!$C$2:$C$700,MATCH($C2746,'تحليل التكلفة والسعر'!$B$2:$B$700,0)),0))</f>
        <v>3.7485</v>
      </c>
      <c r="H2746" s="104" t="s">
        <v>719</v>
      </c>
    </row>
    <row r="2747" customFormat="false" ht="15" hidden="false" customHeight="false" outlineLevel="0" collapsed="false">
      <c r="A2747" s="103" t="n">
        <v>46305</v>
      </c>
      <c r="B2747" s="104" t="s">
        <v>32</v>
      </c>
      <c r="C2747" s="104" t="s">
        <v>731</v>
      </c>
      <c r="D2747" s="105" t="n">
        <v>0.0833</v>
      </c>
      <c r="E2747" s="106" t="n">
        <v>90</v>
      </c>
      <c r="F2747" s="107" t="n">
        <f aca="false">IF($C2747="","",$D2747*$E2747)</f>
        <v>7.497</v>
      </c>
      <c r="G2747" s="107" t="n">
        <f aca="false">IF($C2747="","",$D2747*IFERROR(INDEX('تحليل التكلفة والسعر'!$C$2:$C$700,MATCH($C2747,'تحليل التكلفة والسعر'!$B$2:$B$700,0)),0))</f>
        <v>3.7485</v>
      </c>
      <c r="H2747" s="104" t="s">
        <v>719</v>
      </c>
    </row>
    <row r="2748" customFormat="false" ht="15" hidden="false" customHeight="false" outlineLevel="0" collapsed="false">
      <c r="A2748" s="103" t="n">
        <v>46306</v>
      </c>
      <c r="B2748" s="104" t="s">
        <v>32</v>
      </c>
      <c r="C2748" s="104" t="s">
        <v>731</v>
      </c>
      <c r="D2748" s="105" t="n">
        <v>0.0833</v>
      </c>
      <c r="E2748" s="106" t="n">
        <v>90</v>
      </c>
      <c r="F2748" s="107" t="n">
        <f aca="false">IF($C2748="","",$D2748*$E2748)</f>
        <v>7.497</v>
      </c>
      <c r="G2748" s="107" t="n">
        <f aca="false">IF($C2748="","",$D2748*IFERROR(INDEX('تحليل التكلفة والسعر'!$C$2:$C$700,MATCH($C2748,'تحليل التكلفة والسعر'!$B$2:$B$700,0)),0))</f>
        <v>3.7485</v>
      </c>
      <c r="H2748" s="104" t="s">
        <v>719</v>
      </c>
    </row>
    <row r="2749" customFormat="false" ht="15" hidden="false" customHeight="false" outlineLevel="0" collapsed="false">
      <c r="A2749" s="103" t="n">
        <v>46307</v>
      </c>
      <c r="B2749" s="104" t="s">
        <v>32</v>
      </c>
      <c r="C2749" s="104" t="s">
        <v>731</v>
      </c>
      <c r="D2749" s="105" t="n">
        <v>0.0833</v>
      </c>
      <c r="E2749" s="106" t="n">
        <v>90</v>
      </c>
      <c r="F2749" s="107" t="n">
        <f aca="false">IF($C2749="","",$D2749*$E2749)</f>
        <v>7.497</v>
      </c>
      <c r="G2749" s="107" t="n">
        <f aca="false">IF($C2749="","",$D2749*IFERROR(INDEX('تحليل التكلفة والسعر'!$C$2:$C$700,MATCH($C2749,'تحليل التكلفة والسعر'!$B$2:$B$700,0)),0))</f>
        <v>3.7485</v>
      </c>
      <c r="H2749" s="104" t="s">
        <v>719</v>
      </c>
    </row>
    <row r="2750" customFormat="false" ht="15" hidden="false" customHeight="false" outlineLevel="0" collapsed="false">
      <c r="A2750" s="103" t="n">
        <v>46296</v>
      </c>
      <c r="B2750" s="104" t="s">
        <v>32</v>
      </c>
      <c r="C2750" s="104" t="s">
        <v>764</v>
      </c>
      <c r="D2750" s="105" t="n">
        <v>0.0833</v>
      </c>
      <c r="E2750" s="106" t="n">
        <v>70</v>
      </c>
      <c r="F2750" s="107" t="n">
        <f aca="false">IF($C2750="","",$D2750*$E2750)</f>
        <v>5.831</v>
      </c>
      <c r="G2750" s="107" t="n">
        <f aca="false">IF($C2750="","",$D2750*IFERROR(INDEX('تحليل التكلفة والسعر'!$C$2:$C$700,MATCH($C2750,'تحليل التكلفة والسعر'!$B$2:$B$700,0)),0))</f>
        <v>2.8322</v>
      </c>
      <c r="H2750" s="104" t="s">
        <v>719</v>
      </c>
    </row>
    <row r="2751" customFormat="false" ht="15" hidden="false" customHeight="false" outlineLevel="0" collapsed="false">
      <c r="A2751" s="103" t="n">
        <v>46297</v>
      </c>
      <c r="B2751" s="104" t="s">
        <v>32</v>
      </c>
      <c r="C2751" s="104" t="s">
        <v>764</v>
      </c>
      <c r="D2751" s="105" t="n">
        <v>0.0833</v>
      </c>
      <c r="E2751" s="106" t="n">
        <v>70</v>
      </c>
      <c r="F2751" s="107" t="n">
        <f aca="false">IF($C2751="","",$D2751*$E2751)</f>
        <v>5.831</v>
      </c>
      <c r="G2751" s="107" t="n">
        <f aca="false">IF($C2751="","",$D2751*IFERROR(INDEX('تحليل التكلفة والسعر'!$C$2:$C$700,MATCH($C2751,'تحليل التكلفة والسعر'!$B$2:$B$700,0)),0))</f>
        <v>2.8322</v>
      </c>
      <c r="H2751" s="104" t="s">
        <v>719</v>
      </c>
    </row>
    <row r="2752" customFormat="false" ht="15" hidden="false" customHeight="false" outlineLevel="0" collapsed="false">
      <c r="A2752" s="103" t="n">
        <v>46298</v>
      </c>
      <c r="B2752" s="104" t="s">
        <v>32</v>
      </c>
      <c r="C2752" s="104" t="s">
        <v>764</v>
      </c>
      <c r="D2752" s="105" t="n">
        <v>0.0833</v>
      </c>
      <c r="E2752" s="106" t="n">
        <v>70</v>
      </c>
      <c r="F2752" s="107" t="n">
        <f aca="false">IF($C2752="","",$D2752*$E2752)</f>
        <v>5.831</v>
      </c>
      <c r="G2752" s="107" t="n">
        <f aca="false">IF($C2752="","",$D2752*IFERROR(INDEX('تحليل التكلفة والسعر'!$C$2:$C$700,MATCH($C2752,'تحليل التكلفة والسعر'!$B$2:$B$700,0)),0))</f>
        <v>2.8322</v>
      </c>
      <c r="H2752" s="104" t="s">
        <v>719</v>
      </c>
    </row>
    <row r="2753" customFormat="false" ht="15" hidden="false" customHeight="false" outlineLevel="0" collapsed="false">
      <c r="A2753" s="103" t="n">
        <v>46299</v>
      </c>
      <c r="B2753" s="104" t="s">
        <v>32</v>
      </c>
      <c r="C2753" s="104" t="s">
        <v>764</v>
      </c>
      <c r="D2753" s="105" t="n">
        <v>0.0833</v>
      </c>
      <c r="E2753" s="106" t="n">
        <v>70</v>
      </c>
      <c r="F2753" s="107" t="n">
        <f aca="false">IF($C2753="","",$D2753*$E2753)</f>
        <v>5.831</v>
      </c>
      <c r="G2753" s="107" t="n">
        <f aca="false">IF($C2753="","",$D2753*IFERROR(INDEX('تحليل التكلفة والسعر'!$C$2:$C$700,MATCH($C2753,'تحليل التكلفة والسعر'!$B$2:$B$700,0)),0))</f>
        <v>2.8322</v>
      </c>
      <c r="H2753" s="104" t="s">
        <v>719</v>
      </c>
    </row>
    <row r="2754" customFormat="false" ht="15" hidden="false" customHeight="false" outlineLevel="0" collapsed="false">
      <c r="A2754" s="103" t="n">
        <v>46300</v>
      </c>
      <c r="B2754" s="104" t="s">
        <v>32</v>
      </c>
      <c r="C2754" s="104" t="s">
        <v>764</v>
      </c>
      <c r="D2754" s="105" t="n">
        <v>0.0833</v>
      </c>
      <c r="E2754" s="106" t="n">
        <v>70</v>
      </c>
      <c r="F2754" s="107" t="n">
        <f aca="false">IF($C2754="","",$D2754*$E2754)</f>
        <v>5.831</v>
      </c>
      <c r="G2754" s="107" t="n">
        <f aca="false">IF($C2754="","",$D2754*IFERROR(INDEX('تحليل التكلفة والسعر'!$C$2:$C$700,MATCH($C2754,'تحليل التكلفة والسعر'!$B$2:$B$700,0)),0))</f>
        <v>2.8322</v>
      </c>
      <c r="H2754" s="104" t="s">
        <v>719</v>
      </c>
    </row>
    <row r="2755" customFormat="false" ht="15" hidden="false" customHeight="false" outlineLevel="0" collapsed="false">
      <c r="A2755" s="103" t="n">
        <v>46301</v>
      </c>
      <c r="B2755" s="104" t="s">
        <v>32</v>
      </c>
      <c r="C2755" s="104" t="s">
        <v>764</v>
      </c>
      <c r="D2755" s="105" t="n">
        <v>0.0833</v>
      </c>
      <c r="E2755" s="106" t="n">
        <v>70</v>
      </c>
      <c r="F2755" s="107" t="n">
        <f aca="false">IF($C2755="","",$D2755*$E2755)</f>
        <v>5.831</v>
      </c>
      <c r="G2755" s="107" t="n">
        <f aca="false">IF($C2755="","",$D2755*IFERROR(INDEX('تحليل التكلفة والسعر'!$C$2:$C$700,MATCH($C2755,'تحليل التكلفة والسعر'!$B$2:$B$700,0)),0))</f>
        <v>2.8322</v>
      </c>
      <c r="H2755" s="104" t="s">
        <v>719</v>
      </c>
    </row>
    <row r="2756" customFormat="false" ht="15" hidden="false" customHeight="false" outlineLevel="0" collapsed="false">
      <c r="A2756" s="103" t="n">
        <v>46302</v>
      </c>
      <c r="B2756" s="104" t="s">
        <v>32</v>
      </c>
      <c r="C2756" s="104" t="s">
        <v>764</v>
      </c>
      <c r="D2756" s="105" t="n">
        <v>0.0833</v>
      </c>
      <c r="E2756" s="106" t="n">
        <v>70</v>
      </c>
      <c r="F2756" s="107" t="n">
        <f aca="false">IF($C2756="","",$D2756*$E2756)</f>
        <v>5.831</v>
      </c>
      <c r="G2756" s="107" t="n">
        <f aca="false">IF($C2756="","",$D2756*IFERROR(INDEX('تحليل التكلفة والسعر'!$C$2:$C$700,MATCH($C2756,'تحليل التكلفة والسعر'!$B$2:$B$700,0)),0))</f>
        <v>2.8322</v>
      </c>
      <c r="H2756" s="104" t="s">
        <v>719</v>
      </c>
    </row>
    <row r="2757" customFormat="false" ht="15" hidden="false" customHeight="false" outlineLevel="0" collapsed="false">
      <c r="A2757" s="103" t="n">
        <v>46303</v>
      </c>
      <c r="B2757" s="104" t="s">
        <v>32</v>
      </c>
      <c r="C2757" s="104" t="s">
        <v>764</v>
      </c>
      <c r="D2757" s="105" t="n">
        <v>0.0833</v>
      </c>
      <c r="E2757" s="106" t="n">
        <v>70</v>
      </c>
      <c r="F2757" s="107" t="n">
        <f aca="false">IF($C2757="","",$D2757*$E2757)</f>
        <v>5.831</v>
      </c>
      <c r="G2757" s="107" t="n">
        <f aca="false">IF($C2757="","",$D2757*IFERROR(INDEX('تحليل التكلفة والسعر'!$C$2:$C$700,MATCH($C2757,'تحليل التكلفة والسعر'!$B$2:$B$700,0)),0))</f>
        <v>2.8322</v>
      </c>
      <c r="H2757" s="104" t="s">
        <v>719</v>
      </c>
    </row>
    <row r="2758" customFormat="false" ht="15" hidden="false" customHeight="false" outlineLevel="0" collapsed="false">
      <c r="A2758" s="103" t="n">
        <v>46304</v>
      </c>
      <c r="B2758" s="104" t="s">
        <v>32</v>
      </c>
      <c r="C2758" s="104" t="s">
        <v>764</v>
      </c>
      <c r="D2758" s="105" t="n">
        <v>0.0833</v>
      </c>
      <c r="E2758" s="106" t="n">
        <v>70</v>
      </c>
      <c r="F2758" s="107" t="n">
        <f aca="false">IF($C2758="","",$D2758*$E2758)</f>
        <v>5.831</v>
      </c>
      <c r="G2758" s="107" t="n">
        <f aca="false">IF($C2758="","",$D2758*IFERROR(INDEX('تحليل التكلفة والسعر'!$C$2:$C$700,MATCH($C2758,'تحليل التكلفة والسعر'!$B$2:$B$700,0)),0))</f>
        <v>2.8322</v>
      </c>
      <c r="H2758" s="104" t="s">
        <v>719</v>
      </c>
    </row>
    <row r="2759" customFormat="false" ht="15" hidden="false" customHeight="false" outlineLevel="0" collapsed="false">
      <c r="A2759" s="103" t="n">
        <v>46305</v>
      </c>
      <c r="B2759" s="104" t="s">
        <v>32</v>
      </c>
      <c r="C2759" s="104" t="s">
        <v>764</v>
      </c>
      <c r="D2759" s="105" t="n">
        <v>0.0833</v>
      </c>
      <c r="E2759" s="106" t="n">
        <v>70</v>
      </c>
      <c r="F2759" s="107" t="n">
        <f aca="false">IF($C2759="","",$D2759*$E2759)</f>
        <v>5.831</v>
      </c>
      <c r="G2759" s="107" t="n">
        <f aca="false">IF($C2759="","",$D2759*IFERROR(INDEX('تحليل التكلفة والسعر'!$C$2:$C$700,MATCH($C2759,'تحليل التكلفة والسعر'!$B$2:$B$700,0)),0))</f>
        <v>2.8322</v>
      </c>
      <c r="H2759" s="104" t="s">
        <v>719</v>
      </c>
    </row>
    <row r="2760" customFormat="false" ht="15" hidden="false" customHeight="false" outlineLevel="0" collapsed="false">
      <c r="A2760" s="103" t="n">
        <v>46306</v>
      </c>
      <c r="B2760" s="104" t="s">
        <v>32</v>
      </c>
      <c r="C2760" s="104" t="s">
        <v>764</v>
      </c>
      <c r="D2760" s="105" t="n">
        <v>0.0833</v>
      </c>
      <c r="E2760" s="106" t="n">
        <v>70</v>
      </c>
      <c r="F2760" s="107" t="n">
        <f aca="false">IF($C2760="","",$D2760*$E2760)</f>
        <v>5.831</v>
      </c>
      <c r="G2760" s="107" t="n">
        <f aca="false">IF($C2760="","",$D2760*IFERROR(INDEX('تحليل التكلفة والسعر'!$C$2:$C$700,MATCH($C2760,'تحليل التكلفة والسعر'!$B$2:$B$700,0)),0))</f>
        <v>2.8322</v>
      </c>
      <c r="H2760" s="104" t="s">
        <v>719</v>
      </c>
    </row>
    <row r="2761" customFormat="false" ht="15" hidden="false" customHeight="false" outlineLevel="0" collapsed="false">
      <c r="A2761" s="103" t="n">
        <v>46307</v>
      </c>
      <c r="B2761" s="104" t="s">
        <v>32</v>
      </c>
      <c r="C2761" s="104" t="s">
        <v>764</v>
      </c>
      <c r="D2761" s="105" t="n">
        <v>0.0833</v>
      </c>
      <c r="E2761" s="106" t="n">
        <v>70</v>
      </c>
      <c r="F2761" s="107" t="n">
        <f aca="false">IF($C2761="","",$D2761*$E2761)</f>
        <v>5.831</v>
      </c>
      <c r="G2761" s="107" t="n">
        <f aca="false">IF($C2761="","",$D2761*IFERROR(INDEX('تحليل التكلفة والسعر'!$C$2:$C$700,MATCH($C2761,'تحليل التكلفة والسعر'!$B$2:$B$700,0)),0))</f>
        <v>2.8322</v>
      </c>
      <c r="H2761" s="104" t="s">
        <v>719</v>
      </c>
    </row>
    <row r="2762" customFormat="false" ht="15" hidden="false" customHeight="false" outlineLevel="0" collapsed="false">
      <c r="A2762" s="103" t="n">
        <v>46296</v>
      </c>
      <c r="B2762" s="104" t="s">
        <v>32</v>
      </c>
      <c r="C2762" s="104" t="s">
        <v>732</v>
      </c>
      <c r="D2762" s="105" t="n">
        <v>0.0833</v>
      </c>
      <c r="E2762" s="106" t="n">
        <v>90</v>
      </c>
      <c r="F2762" s="107" t="n">
        <f aca="false">IF($C2762="","",$D2762*$E2762)</f>
        <v>7.497</v>
      </c>
      <c r="G2762" s="107" t="n">
        <f aca="false">IF($C2762="","",$D2762*IFERROR(INDEX('تحليل التكلفة والسعر'!$C$2:$C$700,MATCH($C2762,'تحليل التكلفة والسعر'!$B$2:$B$700,0)),0))</f>
        <v>3.7485</v>
      </c>
      <c r="H2762" s="104" t="s">
        <v>719</v>
      </c>
    </row>
    <row r="2763" customFormat="false" ht="15" hidden="false" customHeight="false" outlineLevel="0" collapsed="false">
      <c r="A2763" s="103" t="n">
        <v>46297</v>
      </c>
      <c r="B2763" s="104" t="s">
        <v>32</v>
      </c>
      <c r="C2763" s="104" t="s">
        <v>732</v>
      </c>
      <c r="D2763" s="105" t="n">
        <v>0.0833</v>
      </c>
      <c r="E2763" s="106" t="n">
        <v>90</v>
      </c>
      <c r="F2763" s="107" t="n">
        <f aca="false">IF($C2763="","",$D2763*$E2763)</f>
        <v>7.497</v>
      </c>
      <c r="G2763" s="107" t="n">
        <f aca="false">IF($C2763="","",$D2763*IFERROR(INDEX('تحليل التكلفة والسعر'!$C$2:$C$700,MATCH($C2763,'تحليل التكلفة والسعر'!$B$2:$B$700,0)),0))</f>
        <v>3.7485</v>
      </c>
      <c r="H2763" s="104" t="s">
        <v>719</v>
      </c>
    </row>
    <row r="2764" customFormat="false" ht="15" hidden="false" customHeight="false" outlineLevel="0" collapsed="false">
      <c r="A2764" s="103" t="n">
        <v>46298</v>
      </c>
      <c r="B2764" s="104" t="s">
        <v>32</v>
      </c>
      <c r="C2764" s="104" t="s">
        <v>732</v>
      </c>
      <c r="D2764" s="105" t="n">
        <v>0.0833</v>
      </c>
      <c r="E2764" s="106" t="n">
        <v>90</v>
      </c>
      <c r="F2764" s="107" t="n">
        <f aca="false">IF($C2764="","",$D2764*$E2764)</f>
        <v>7.497</v>
      </c>
      <c r="G2764" s="107" t="n">
        <f aca="false">IF($C2764="","",$D2764*IFERROR(INDEX('تحليل التكلفة والسعر'!$C$2:$C$700,MATCH($C2764,'تحليل التكلفة والسعر'!$B$2:$B$700,0)),0))</f>
        <v>3.7485</v>
      </c>
      <c r="H2764" s="104" t="s">
        <v>719</v>
      </c>
    </row>
    <row r="2765" customFormat="false" ht="15" hidden="false" customHeight="false" outlineLevel="0" collapsed="false">
      <c r="A2765" s="103" t="n">
        <v>46299</v>
      </c>
      <c r="B2765" s="104" t="s">
        <v>32</v>
      </c>
      <c r="C2765" s="104" t="s">
        <v>732</v>
      </c>
      <c r="D2765" s="105" t="n">
        <v>0.0833</v>
      </c>
      <c r="E2765" s="106" t="n">
        <v>90</v>
      </c>
      <c r="F2765" s="107" t="n">
        <f aca="false">IF($C2765="","",$D2765*$E2765)</f>
        <v>7.497</v>
      </c>
      <c r="G2765" s="107" t="n">
        <f aca="false">IF($C2765="","",$D2765*IFERROR(INDEX('تحليل التكلفة والسعر'!$C$2:$C$700,MATCH($C2765,'تحليل التكلفة والسعر'!$B$2:$B$700,0)),0))</f>
        <v>3.7485</v>
      </c>
      <c r="H2765" s="104" t="s">
        <v>719</v>
      </c>
    </row>
    <row r="2766" customFormat="false" ht="15" hidden="false" customHeight="false" outlineLevel="0" collapsed="false">
      <c r="A2766" s="103" t="n">
        <v>46300</v>
      </c>
      <c r="B2766" s="104" t="s">
        <v>32</v>
      </c>
      <c r="C2766" s="104" t="s">
        <v>732</v>
      </c>
      <c r="D2766" s="105" t="n">
        <v>0.0833</v>
      </c>
      <c r="E2766" s="106" t="n">
        <v>90</v>
      </c>
      <c r="F2766" s="107" t="n">
        <f aca="false">IF($C2766="","",$D2766*$E2766)</f>
        <v>7.497</v>
      </c>
      <c r="G2766" s="107" t="n">
        <f aca="false">IF($C2766="","",$D2766*IFERROR(INDEX('تحليل التكلفة والسعر'!$C$2:$C$700,MATCH($C2766,'تحليل التكلفة والسعر'!$B$2:$B$700,0)),0))</f>
        <v>3.7485</v>
      </c>
      <c r="H2766" s="104" t="s">
        <v>719</v>
      </c>
    </row>
    <row r="2767" customFormat="false" ht="15" hidden="false" customHeight="false" outlineLevel="0" collapsed="false">
      <c r="A2767" s="103" t="n">
        <v>46301</v>
      </c>
      <c r="B2767" s="104" t="s">
        <v>32</v>
      </c>
      <c r="C2767" s="104" t="s">
        <v>732</v>
      </c>
      <c r="D2767" s="105" t="n">
        <v>0.0833</v>
      </c>
      <c r="E2767" s="106" t="n">
        <v>90</v>
      </c>
      <c r="F2767" s="107" t="n">
        <f aca="false">IF($C2767="","",$D2767*$E2767)</f>
        <v>7.497</v>
      </c>
      <c r="G2767" s="107" t="n">
        <f aca="false">IF($C2767="","",$D2767*IFERROR(INDEX('تحليل التكلفة والسعر'!$C$2:$C$700,MATCH($C2767,'تحليل التكلفة والسعر'!$B$2:$B$700,0)),0))</f>
        <v>3.7485</v>
      </c>
      <c r="H2767" s="104" t="s">
        <v>719</v>
      </c>
    </row>
    <row r="2768" customFormat="false" ht="15" hidden="false" customHeight="false" outlineLevel="0" collapsed="false">
      <c r="A2768" s="103" t="n">
        <v>46302</v>
      </c>
      <c r="B2768" s="104" t="s">
        <v>32</v>
      </c>
      <c r="C2768" s="104" t="s">
        <v>732</v>
      </c>
      <c r="D2768" s="105" t="n">
        <v>0.0833</v>
      </c>
      <c r="E2768" s="106" t="n">
        <v>90</v>
      </c>
      <c r="F2768" s="107" t="n">
        <f aca="false">IF($C2768="","",$D2768*$E2768)</f>
        <v>7.497</v>
      </c>
      <c r="G2768" s="107" t="n">
        <f aca="false">IF($C2768="","",$D2768*IFERROR(INDEX('تحليل التكلفة والسعر'!$C$2:$C$700,MATCH($C2768,'تحليل التكلفة والسعر'!$B$2:$B$700,0)),0))</f>
        <v>3.7485</v>
      </c>
      <c r="H2768" s="104" t="s">
        <v>719</v>
      </c>
    </row>
    <row r="2769" customFormat="false" ht="15" hidden="false" customHeight="false" outlineLevel="0" collapsed="false">
      <c r="A2769" s="103" t="n">
        <v>46303</v>
      </c>
      <c r="B2769" s="104" t="s">
        <v>32</v>
      </c>
      <c r="C2769" s="104" t="s">
        <v>732</v>
      </c>
      <c r="D2769" s="105" t="n">
        <v>0.0833</v>
      </c>
      <c r="E2769" s="106" t="n">
        <v>90</v>
      </c>
      <c r="F2769" s="107" t="n">
        <f aca="false">IF($C2769="","",$D2769*$E2769)</f>
        <v>7.497</v>
      </c>
      <c r="G2769" s="107" t="n">
        <f aca="false">IF($C2769="","",$D2769*IFERROR(INDEX('تحليل التكلفة والسعر'!$C$2:$C$700,MATCH($C2769,'تحليل التكلفة والسعر'!$B$2:$B$700,0)),0))</f>
        <v>3.7485</v>
      </c>
      <c r="H2769" s="104" t="s">
        <v>719</v>
      </c>
    </row>
    <row r="2770" customFormat="false" ht="15" hidden="false" customHeight="false" outlineLevel="0" collapsed="false">
      <c r="A2770" s="103" t="n">
        <v>46304</v>
      </c>
      <c r="B2770" s="104" t="s">
        <v>32</v>
      </c>
      <c r="C2770" s="104" t="s">
        <v>732</v>
      </c>
      <c r="D2770" s="105" t="n">
        <v>0.0833</v>
      </c>
      <c r="E2770" s="106" t="n">
        <v>90</v>
      </c>
      <c r="F2770" s="107" t="n">
        <f aca="false">IF($C2770="","",$D2770*$E2770)</f>
        <v>7.497</v>
      </c>
      <c r="G2770" s="107" t="n">
        <f aca="false">IF($C2770="","",$D2770*IFERROR(INDEX('تحليل التكلفة والسعر'!$C$2:$C$700,MATCH($C2770,'تحليل التكلفة والسعر'!$B$2:$B$700,0)),0))</f>
        <v>3.7485</v>
      </c>
      <c r="H2770" s="104" t="s">
        <v>719</v>
      </c>
    </row>
    <row r="2771" customFormat="false" ht="15" hidden="false" customHeight="false" outlineLevel="0" collapsed="false">
      <c r="A2771" s="103" t="n">
        <v>46305</v>
      </c>
      <c r="B2771" s="104" t="s">
        <v>32</v>
      </c>
      <c r="C2771" s="104" t="s">
        <v>732</v>
      </c>
      <c r="D2771" s="105" t="n">
        <v>0.0833</v>
      </c>
      <c r="E2771" s="106" t="n">
        <v>90</v>
      </c>
      <c r="F2771" s="107" t="n">
        <f aca="false">IF($C2771="","",$D2771*$E2771)</f>
        <v>7.497</v>
      </c>
      <c r="G2771" s="107" t="n">
        <f aca="false">IF($C2771="","",$D2771*IFERROR(INDEX('تحليل التكلفة والسعر'!$C$2:$C$700,MATCH($C2771,'تحليل التكلفة والسعر'!$B$2:$B$700,0)),0))</f>
        <v>3.7485</v>
      </c>
      <c r="H2771" s="104" t="s">
        <v>719</v>
      </c>
    </row>
    <row r="2772" customFormat="false" ht="15" hidden="false" customHeight="false" outlineLevel="0" collapsed="false">
      <c r="A2772" s="103" t="n">
        <v>46306</v>
      </c>
      <c r="B2772" s="104" t="s">
        <v>32</v>
      </c>
      <c r="C2772" s="104" t="s">
        <v>732</v>
      </c>
      <c r="D2772" s="105" t="n">
        <v>0.0833</v>
      </c>
      <c r="E2772" s="106" t="n">
        <v>90</v>
      </c>
      <c r="F2772" s="107" t="n">
        <f aca="false">IF($C2772="","",$D2772*$E2772)</f>
        <v>7.497</v>
      </c>
      <c r="G2772" s="107" t="n">
        <f aca="false">IF($C2772="","",$D2772*IFERROR(INDEX('تحليل التكلفة والسعر'!$C$2:$C$700,MATCH($C2772,'تحليل التكلفة والسعر'!$B$2:$B$700,0)),0))</f>
        <v>3.7485</v>
      </c>
      <c r="H2772" s="104" t="s">
        <v>719</v>
      </c>
    </row>
    <row r="2773" customFormat="false" ht="15" hidden="false" customHeight="false" outlineLevel="0" collapsed="false">
      <c r="A2773" s="103" t="n">
        <v>46307</v>
      </c>
      <c r="B2773" s="104" t="s">
        <v>32</v>
      </c>
      <c r="C2773" s="104" t="s">
        <v>732</v>
      </c>
      <c r="D2773" s="105" t="n">
        <v>0.0833</v>
      </c>
      <c r="E2773" s="106" t="n">
        <v>90</v>
      </c>
      <c r="F2773" s="107" t="n">
        <f aca="false">IF($C2773="","",$D2773*$E2773)</f>
        <v>7.497</v>
      </c>
      <c r="G2773" s="107" t="n">
        <f aca="false">IF($C2773="","",$D2773*IFERROR(INDEX('تحليل التكلفة والسعر'!$C$2:$C$700,MATCH($C2773,'تحليل التكلفة والسعر'!$B$2:$B$700,0)),0))</f>
        <v>3.7485</v>
      </c>
      <c r="H2773" s="104" t="s">
        <v>719</v>
      </c>
    </row>
    <row r="2774" customFormat="false" ht="15" hidden="false" customHeight="false" outlineLevel="0" collapsed="false">
      <c r="A2774" s="103" t="n">
        <v>46296</v>
      </c>
      <c r="B2774" s="104" t="s">
        <v>32</v>
      </c>
      <c r="C2774" s="104" t="s">
        <v>765</v>
      </c>
      <c r="D2774" s="105" t="n">
        <v>0.0833</v>
      </c>
      <c r="E2774" s="106" t="n">
        <v>50</v>
      </c>
      <c r="F2774" s="107" t="n">
        <f aca="false">IF($C2774="","",$D2774*$E2774)</f>
        <v>4.165</v>
      </c>
      <c r="G2774" s="107" t="n">
        <f aca="false">IF($C2774="","",$D2774*IFERROR(INDEX('تحليل التكلفة والسعر'!$C$2:$C$700,MATCH($C2774,'تحليل التكلفة والسعر'!$B$2:$B$700,0)),0))</f>
        <v>2.24666764</v>
      </c>
      <c r="H2774" s="104" t="s">
        <v>719</v>
      </c>
    </row>
    <row r="2775" customFormat="false" ht="15" hidden="false" customHeight="false" outlineLevel="0" collapsed="false">
      <c r="A2775" s="103" t="n">
        <v>46297</v>
      </c>
      <c r="B2775" s="104" t="s">
        <v>32</v>
      </c>
      <c r="C2775" s="104" t="s">
        <v>765</v>
      </c>
      <c r="D2775" s="105" t="n">
        <v>0.0833</v>
      </c>
      <c r="E2775" s="106" t="n">
        <v>50</v>
      </c>
      <c r="F2775" s="107" t="n">
        <f aca="false">IF($C2775="","",$D2775*$E2775)</f>
        <v>4.165</v>
      </c>
      <c r="G2775" s="107" t="n">
        <f aca="false">IF($C2775="","",$D2775*IFERROR(INDEX('تحليل التكلفة والسعر'!$C$2:$C$700,MATCH($C2775,'تحليل التكلفة والسعر'!$B$2:$B$700,0)),0))</f>
        <v>2.24666764</v>
      </c>
      <c r="H2775" s="104" t="s">
        <v>719</v>
      </c>
    </row>
    <row r="2776" customFormat="false" ht="15" hidden="false" customHeight="false" outlineLevel="0" collapsed="false">
      <c r="A2776" s="103" t="n">
        <v>46298</v>
      </c>
      <c r="B2776" s="104" t="s">
        <v>32</v>
      </c>
      <c r="C2776" s="104" t="s">
        <v>765</v>
      </c>
      <c r="D2776" s="105" t="n">
        <v>0.0833</v>
      </c>
      <c r="E2776" s="106" t="n">
        <v>50</v>
      </c>
      <c r="F2776" s="107" t="n">
        <f aca="false">IF($C2776="","",$D2776*$E2776)</f>
        <v>4.165</v>
      </c>
      <c r="G2776" s="107" t="n">
        <f aca="false">IF($C2776="","",$D2776*IFERROR(INDEX('تحليل التكلفة والسعر'!$C$2:$C$700,MATCH($C2776,'تحليل التكلفة والسعر'!$B$2:$B$700,0)),0))</f>
        <v>2.24666764</v>
      </c>
      <c r="H2776" s="104" t="s">
        <v>719</v>
      </c>
    </row>
    <row r="2777" customFormat="false" ht="15" hidden="false" customHeight="false" outlineLevel="0" collapsed="false">
      <c r="A2777" s="103" t="n">
        <v>46299</v>
      </c>
      <c r="B2777" s="104" t="s">
        <v>32</v>
      </c>
      <c r="C2777" s="104" t="s">
        <v>765</v>
      </c>
      <c r="D2777" s="105" t="n">
        <v>0.0833</v>
      </c>
      <c r="E2777" s="106" t="n">
        <v>50</v>
      </c>
      <c r="F2777" s="107" t="n">
        <f aca="false">IF($C2777="","",$D2777*$E2777)</f>
        <v>4.165</v>
      </c>
      <c r="G2777" s="107" t="n">
        <f aca="false">IF($C2777="","",$D2777*IFERROR(INDEX('تحليل التكلفة والسعر'!$C$2:$C$700,MATCH($C2777,'تحليل التكلفة والسعر'!$B$2:$B$700,0)),0))</f>
        <v>2.24666764</v>
      </c>
      <c r="H2777" s="104" t="s">
        <v>719</v>
      </c>
    </row>
    <row r="2778" customFormat="false" ht="15" hidden="false" customHeight="false" outlineLevel="0" collapsed="false">
      <c r="A2778" s="103" t="n">
        <v>46300</v>
      </c>
      <c r="B2778" s="104" t="s">
        <v>32</v>
      </c>
      <c r="C2778" s="104" t="s">
        <v>765</v>
      </c>
      <c r="D2778" s="105" t="n">
        <v>0.0833</v>
      </c>
      <c r="E2778" s="106" t="n">
        <v>50</v>
      </c>
      <c r="F2778" s="107" t="n">
        <f aca="false">IF($C2778="","",$D2778*$E2778)</f>
        <v>4.165</v>
      </c>
      <c r="G2778" s="107" t="n">
        <f aca="false">IF($C2778="","",$D2778*IFERROR(INDEX('تحليل التكلفة والسعر'!$C$2:$C$700,MATCH($C2778,'تحليل التكلفة والسعر'!$B$2:$B$700,0)),0))</f>
        <v>2.24666764</v>
      </c>
      <c r="H2778" s="104" t="s">
        <v>719</v>
      </c>
    </row>
    <row r="2779" customFormat="false" ht="15" hidden="false" customHeight="false" outlineLevel="0" collapsed="false">
      <c r="A2779" s="103" t="n">
        <v>46301</v>
      </c>
      <c r="B2779" s="104" t="s">
        <v>32</v>
      </c>
      <c r="C2779" s="104" t="s">
        <v>765</v>
      </c>
      <c r="D2779" s="105" t="n">
        <v>0.0833</v>
      </c>
      <c r="E2779" s="106" t="n">
        <v>50</v>
      </c>
      <c r="F2779" s="107" t="n">
        <f aca="false">IF($C2779="","",$D2779*$E2779)</f>
        <v>4.165</v>
      </c>
      <c r="G2779" s="107" t="n">
        <f aca="false">IF($C2779="","",$D2779*IFERROR(INDEX('تحليل التكلفة والسعر'!$C$2:$C$700,MATCH($C2779,'تحليل التكلفة والسعر'!$B$2:$B$700,0)),0))</f>
        <v>2.24666764</v>
      </c>
      <c r="H2779" s="104" t="s">
        <v>719</v>
      </c>
    </row>
    <row r="2780" customFormat="false" ht="15" hidden="false" customHeight="false" outlineLevel="0" collapsed="false">
      <c r="A2780" s="103" t="n">
        <v>46302</v>
      </c>
      <c r="B2780" s="104" t="s">
        <v>32</v>
      </c>
      <c r="C2780" s="104" t="s">
        <v>765</v>
      </c>
      <c r="D2780" s="105" t="n">
        <v>0.0833</v>
      </c>
      <c r="E2780" s="106" t="n">
        <v>50</v>
      </c>
      <c r="F2780" s="107" t="n">
        <f aca="false">IF($C2780="","",$D2780*$E2780)</f>
        <v>4.165</v>
      </c>
      <c r="G2780" s="107" t="n">
        <f aca="false">IF($C2780="","",$D2780*IFERROR(INDEX('تحليل التكلفة والسعر'!$C$2:$C$700,MATCH($C2780,'تحليل التكلفة والسعر'!$B$2:$B$700,0)),0))</f>
        <v>2.24666764</v>
      </c>
      <c r="H2780" s="104" t="s">
        <v>719</v>
      </c>
    </row>
    <row r="2781" customFormat="false" ht="15" hidden="false" customHeight="false" outlineLevel="0" collapsed="false">
      <c r="A2781" s="103" t="n">
        <v>46303</v>
      </c>
      <c r="B2781" s="104" t="s">
        <v>32</v>
      </c>
      <c r="C2781" s="104" t="s">
        <v>765</v>
      </c>
      <c r="D2781" s="105" t="n">
        <v>0.0833</v>
      </c>
      <c r="E2781" s="106" t="n">
        <v>50</v>
      </c>
      <c r="F2781" s="107" t="n">
        <f aca="false">IF($C2781="","",$D2781*$E2781)</f>
        <v>4.165</v>
      </c>
      <c r="G2781" s="107" t="n">
        <f aca="false">IF($C2781="","",$D2781*IFERROR(INDEX('تحليل التكلفة والسعر'!$C$2:$C$700,MATCH($C2781,'تحليل التكلفة والسعر'!$B$2:$B$700,0)),0))</f>
        <v>2.24666764</v>
      </c>
      <c r="H2781" s="104" t="s">
        <v>719</v>
      </c>
    </row>
    <row r="2782" customFormat="false" ht="15" hidden="false" customHeight="false" outlineLevel="0" collapsed="false">
      <c r="A2782" s="103" t="n">
        <v>46304</v>
      </c>
      <c r="B2782" s="104" t="s">
        <v>32</v>
      </c>
      <c r="C2782" s="104" t="s">
        <v>765</v>
      </c>
      <c r="D2782" s="105" t="n">
        <v>0.0833</v>
      </c>
      <c r="E2782" s="106" t="n">
        <v>50</v>
      </c>
      <c r="F2782" s="107" t="n">
        <f aca="false">IF($C2782="","",$D2782*$E2782)</f>
        <v>4.165</v>
      </c>
      <c r="G2782" s="107" t="n">
        <f aca="false">IF($C2782="","",$D2782*IFERROR(INDEX('تحليل التكلفة والسعر'!$C$2:$C$700,MATCH($C2782,'تحليل التكلفة والسعر'!$B$2:$B$700,0)),0))</f>
        <v>2.24666764</v>
      </c>
      <c r="H2782" s="104" t="s">
        <v>719</v>
      </c>
    </row>
    <row r="2783" customFormat="false" ht="15" hidden="false" customHeight="false" outlineLevel="0" collapsed="false">
      <c r="A2783" s="103" t="n">
        <v>46305</v>
      </c>
      <c r="B2783" s="104" t="s">
        <v>32</v>
      </c>
      <c r="C2783" s="104" t="s">
        <v>765</v>
      </c>
      <c r="D2783" s="105" t="n">
        <v>0.0833</v>
      </c>
      <c r="E2783" s="106" t="n">
        <v>50</v>
      </c>
      <c r="F2783" s="107" t="n">
        <f aca="false">IF($C2783="","",$D2783*$E2783)</f>
        <v>4.165</v>
      </c>
      <c r="G2783" s="107" t="n">
        <f aca="false">IF($C2783="","",$D2783*IFERROR(INDEX('تحليل التكلفة والسعر'!$C$2:$C$700,MATCH($C2783,'تحليل التكلفة والسعر'!$B$2:$B$700,0)),0))</f>
        <v>2.24666764</v>
      </c>
      <c r="H2783" s="104" t="s">
        <v>719</v>
      </c>
    </row>
    <row r="2784" customFormat="false" ht="15" hidden="false" customHeight="false" outlineLevel="0" collapsed="false">
      <c r="A2784" s="103" t="n">
        <v>46306</v>
      </c>
      <c r="B2784" s="104" t="s">
        <v>32</v>
      </c>
      <c r="C2784" s="104" t="s">
        <v>765</v>
      </c>
      <c r="D2784" s="105" t="n">
        <v>0.0833</v>
      </c>
      <c r="E2784" s="106" t="n">
        <v>50</v>
      </c>
      <c r="F2784" s="107" t="n">
        <f aca="false">IF($C2784="","",$D2784*$E2784)</f>
        <v>4.165</v>
      </c>
      <c r="G2784" s="107" t="n">
        <f aca="false">IF($C2784="","",$D2784*IFERROR(INDEX('تحليل التكلفة والسعر'!$C$2:$C$700,MATCH($C2784,'تحليل التكلفة والسعر'!$B$2:$B$700,0)),0))</f>
        <v>2.24666764</v>
      </c>
      <c r="H2784" s="104" t="s">
        <v>719</v>
      </c>
    </row>
    <row r="2785" customFormat="false" ht="15" hidden="false" customHeight="false" outlineLevel="0" collapsed="false">
      <c r="A2785" s="103" t="n">
        <v>46307</v>
      </c>
      <c r="B2785" s="104" t="s">
        <v>32</v>
      </c>
      <c r="C2785" s="104" t="s">
        <v>765</v>
      </c>
      <c r="D2785" s="105" t="n">
        <v>0.0833</v>
      </c>
      <c r="E2785" s="106" t="n">
        <v>50</v>
      </c>
      <c r="F2785" s="107" t="n">
        <f aca="false">IF($C2785="","",$D2785*$E2785)</f>
        <v>4.165</v>
      </c>
      <c r="G2785" s="107" t="n">
        <f aca="false">IF($C2785="","",$D2785*IFERROR(INDEX('تحليل التكلفة والسعر'!$C$2:$C$700,MATCH($C2785,'تحليل التكلفة والسعر'!$B$2:$B$700,0)),0))</f>
        <v>2.24666764</v>
      </c>
      <c r="H2785" s="104" t="s">
        <v>719</v>
      </c>
    </row>
    <row r="2786" customFormat="false" ht="15" hidden="false" customHeight="false" outlineLevel="0" collapsed="false">
      <c r="A2786" s="103" t="n">
        <v>46296</v>
      </c>
      <c r="B2786" s="104" t="s">
        <v>32</v>
      </c>
      <c r="C2786" s="104" t="s">
        <v>733</v>
      </c>
      <c r="D2786" s="105" t="n">
        <v>0.5</v>
      </c>
      <c r="E2786" s="106" t="n">
        <v>40</v>
      </c>
      <c r="F2786" s="107" t="n">
        <f aca="false">IF($C2786="","",$D2786*$E2786)</f>
        <v>20</v>
      </c>
      <c r="G2786" s="107" t="n">
        <f aca="false">IF($C2786="","",$D2786*IFERROR(INDEX('تحليل التكلفة والسعر'!$C$2:$C$700,MATCH($C2786,'تحليل التكلفة والسعر'!$B$2:$B$700,0)),0))</f>
        <v>6.38291</v>
      </c>
      <c r="H2786" s="104" t="s">
        <v>719</v>
      </c>
    </row>
    <row r="2787" customFormat="false" ht="15" hidden="false" customHeight="false" outlineLevel="0" collapsed="false">
      <c r="A2787" s="103" t="n">
        <v>46297</v>
      </c>
      <c r="B2787" s="104" t="s">
        <v>32</v>
      </c>
      <c r="C2787" s="104" t="s">
        <v>733</v>
      </c>
      <c r="D2787" s="105" t="n">
        <v>0.5</v>
      </c>
      <c r="E2787" s="106" t="n">
        <v>40</v>
      </c>
      <c r="F2787" s="107" t="n">
        <f aca="false">IF($C2787="","",$D2787*$E2787)</f>
        <v>20</v>
      </c>
      <c r="G2787" s="107" t="n">
        <f aca="false">IF($C2787="","",$D2787*IFERROR(INDEX('تحليل التكلفة والسعر'!$C$2:$C$700,MATCH($C2787,'تحليل التكلفة والسعر'!$B$2:$B$700,0)),0))</f>
        <v>6.38291</v>
      </c>
      <c r="H2787" s="104" t="s">
        <v>719</v>
      </c>
    </row>
    <row r="2788" customFormat="false" ht="15" hidden="false" customHeight="false" outlineLevel="0" collapsed="false">
      <c r="A2788" s="103" t="n">
        <v>46298</v>
      </c>
      <c r="B2788" s="104" t="s">
        <v>32</v>
      </c>
      <c r="C2788" s="104" t="s">
        <v>733</v>
      </c>
      <c r="D2788" s="105" t="n">
        <v>0.5</v>
      </c>
      <c r="E2788" s="106" t="n">
        <v>40</v>
      </c>
      <c r="F2788" s="107" t="n">
        <f aca="false">IF($C2788="","",$D2788*$E2788)</f>
        <v>20</v>
      </c>
      <c r="G2788" s="107" t="n">
        <f aca="false">IF($C2788="","",$D2788*IFERROR(INDEX('تحليل التكلفة والسعر'!$C$2:$C$700,MATCH($C2788,'تحليل التكلفة والسعر'!$B$2:$B$700,0)),0))</f>
        <v>6.38291</v>
      </c>
      <c r="H2788" s="104" t="s">
        <v>719</v>
      </c>
    </row>
    <row r="2789" customFormat="false" ht="15" hidden="false" customHeight="false" outlineLevel="0" collapsed="false">
      <c r="A2789" s="103" t="n">
        <v>46299</v>
      </c>
      <c r="B2789" s="104" t="s">
        <v>32</v>
      </c>
      <c r="C2789" s="104" t="s">
        <v>733</v>
      </c>
      <c r="D2789" s="105" t="n">
        <v>0.5</v>
      </c>
      <c r="E2789" s="106" t="n">
        <v>40</v>
      </c>
      <c r="F2789" s="107" t="n">
        <f aca="false">IF($C2789="","",$D2789*$E2789)</f>
        <v>20</v>
      </c>
      <c r="G2789" s="107" t="n">
        <f aca="false">IF($C2789="","",$D2789*IFERROR(INDEX('تحليل التكلفة والسعر'!$C$2:$C$700,MATCH($C2789,'تحليل التكلفة والسعر'!$B$2:$B$700,0)),0))</f>
        <v>6.38291</v>
      </c>
      <c r="H2789" s="104" t="s">
        <v>719</v>
      </c>
    </row>
    <row r="2790" customFormat="false" ht="15" hidden="false" customHeight="false" outlineLevel="0" collapsed="false">
      <c r="A2790" s="103" t="n">
        <v>46300</v>
      </c>
      <c r="B2790" s="104" t="s">
        <v>32</v>
      </c>
      <c r="C2790" s="104" t="s">
        <v>733</v>
      </c>
      <c r="D2790" s="105" t="n">
        <v>0.5</v>
      </c>
      <c r="E2790" s="106" t="n">
        <v>40</v>
      </c>
      <c r="F2790" s="107" t="n">
        <f aca="false">IF($C2790="","",$D2790*$E2790)</f>
        <v>20</v>
      </c>
      <c r="G2790" s="107" t="n">
        <f aca="false">IF($C2790="","",$D2790*IFERROR(INDEX('تحليل التكلفة والسعر'!$C$2:$C$700,MATCH($C2790,'تحليل التكلفة والسعر'!$B$2:$B$700,0)),0))</f>
        <v>6.38291</v>
      </c>
      <c r="H2790" s="104" t="s">
        <v>719</v>
      </c>
    </row>
    <row r="2791" customFormat="false" ht="15" hidden="false" customHeight="false" outlineLevel="0" collapsed="false">
      <c r="A2791" s="103" t="n">
        <v>46301</v>
      </c>
      <c r="B2791" s="104" t="s">
        <v>32</v>
      </c>
      <c r="C2791" s="104" t="s">
        <v>733</v>
      </c>
      <c r="D2791" s="105" t="n">
        <v>0.5</v>
      </c>
      <c r="E2791" s="106" t="n">
        <v>40</v>
      </c>
      <c r="F2791" s="107" t="n">
        <f aca="false">IF($C2791="","",$D2791*$E2791)</f>
        <v>20</v>
      </c>
      <c r="G2791" s="107" t="n">
        <f aca="false">IF($C2791="","",$D2791*IFERROR(INDEX('تحليل التكلفة والسعر'!$C$2:$C$700,MATCH($C2791,'تحليل التكلفة والسعر'!$B$2:$B$700,0)),0))</f>
        <v>6.38291</v>
      </c>
      <c r="H2791" s="104" t="s">
        <v>719</v>
      </c>
    </row>
    <row r="2792" customFormat="false" ht="15" hidden="false" customHeight="false" outlineLevel="0" collapsed="false">
      <c r="A2792" s="103" t="n">
        <v>46302</v>
      </c>
      <c r="B2792" s="104" t="s">
        <v>32</v>
      </c>
      <c r="C2792" s="104" t="s">
        <v>733</v>
      </c>
      <c r="D2792" s="105" t="n">
        <v>0.5</v>
      </c>
      <c r="E2792" s="106" t="n">
        <v>40</v>
      </c>
      <c r="F2792" s="107" t="n">
        <f aca="false">IF($C2792="","",$D2792*$E2792)</f>
        <v>20</v>
      </c>
      <c r="G2792" s="107" t="n">
        <f aca="false">IF($C2792="","",$D2792*IFERROR(INDEX('تحليل التكلفة والسعر'!$C$2:$C$700,MATCH($C2792,'تحليل التكلفة والسعر'!$B$2:$B$700,0)),0))</f>
        <v>6.38291</v>
      </c>
      <c r="H2792" s="104" t="s">
        <v>719</v>
      </c>
    </row>
    <row r="2793" customFormat="false" ht="15" hidden="false" customHeight="false" outlineLevel="0" collapsed="false">
      <c r="A2793" s="103" t="n">
        <v>46303</v>
      </c>
      <c r="B2793" s="104" t="s">
        <v>32</v>
      </c>
      <c r="C2793" s="104" t="s">
        <v>733</v>
      </c>
      <c r="D2793" s="105" t="n">
        <v>0.5</v>
      </c>
      <c r="E2793" s="106" t="n">
        <v>40</v>
      </c>
      <c r="F2793" s="107" t="n">
        <f aca="false">IF($C2793="","",$D2793*$E2793)</f>
        <v>20</v>
      </c>
      <c r="G2793" s="107" t="n">
        <f aca="false">IF($C2793="","",$D2793*IFERROR(INDEX('تحليل التكلفة والسعر'!$C$2:$C$700,MATCH($C2793,'تحليل التكلفة والسعر'!$B$2:$B$700,0)),0))</f>
        <v>6.38291</v>
      </c>
      <c r="H2793" s="104" t="s">
        <v>719</v>
      </c>
    </row>
    <row r="2794" customFormat="false" ht="15" hidden="false" customHeight="false" outlineLevel="0" collapsed="false">
      <c r="A2794" s="103" t="n">
        <v>46304</v>
      </c>
      <c r="B2794" s="104" t="s">
        <v>32</v>
      </c>
      <c r="C2794" s="104" t="s">
        <v>733</v>
      </c>
      <c r="D2794" s="105" t="n">
        <v>0.5</v>
      </c>
      <c r="E2794" s="106" t="n">
        <v>40</v>
      </c>
      <c r="F2794" s="107" t="n">
        <f aca="false">IF($C2794="","",$D2794*$E2794)</f>
        <v>20</v>
      </c>
      <c r="G2794" s="107" t="n">
        <f aca="false">IF($C2794="","",$D2794*IFERROR(INDEX('تحليل التكلفة والسعر'!$C$2:$C$700,MATCH($C2794,'تحليل التكلفة والسعر'!$B$2:$B$700,0)),0))</f>
        <v>6.38291</v>
      </c>
      <c r="H2794" s="104" t="s">
        <v>719</v>
      </c>
    </row>
    <row r="2795" customFormat="false" ht="15" hidden="false" customHeight="false" outlineLevel="0" collapsed="false">
      <c r="A2795" s="103" t="n">
        <v>46305</v>
      </c>
      <c r="B2795" s="104" t="s">
        <v>32</v>
      </c>
      <c r="C2795" s="104" t="s">
        <v>733</v>
      </c>
      <c r="D2795" s="105" t="n">
        <v>0.5</v>
      </c>
      <c r="E2795" s="106" t="n">
        <v>40</v>
      </c>
      <c r="F2795" s="107" t="n">
        <f aca="false">IF($C2795="","",$D2795*$E2795)</f>
        <v>20</v>
      </c>
      <c r="G2795" s="107" t="n">
        <f aca="false">IF($C2795="","",$D2795*IFERROR(INDEX('تحليل التكلفة والسعر'!$C$2:$C$700,MATCH($C2795,'تحليل التكلفة والسعر'!$B$2:$B$700,0)),0))</f>
        <v>6.38291</v>
      </c>
      <c r="H2795" s="104" t="s">
        <v>719</v>
      </c>
    </row>
    <row r="2796" customFormat="false" ht="15" hidden="false" customHeight="false" outlineLevel="0" collapsed="false">
      <c r="A2796" s="103" t="n">
        <v>46306</v>
      </c>
      <c r="B2796" s="104" t="s">
        <v>32</v>
      </c>
      <c r="C2796" s="104" t="s">
        <v>733</v>
      </c>
      <c r="D2796" s="105" t="n">
        <v>0.5</v>
      </c>
      <c r="E2796" s="106" t="n">
        <v>40</v>
      </c>
      <c r="F2796" s="107" t="n">
        <f aca="false">IF($C2796="","",$D2796*$E2796)</f>
        <v>20</v>
      </c>
      <c r="G2796" s="107" t="n">
        <f aca="false">IF($C2796="","",$D2796*IFERROR(INDEX('تحليل التكلفة والسعر'!$C$2:$C$700,MATCH($C2796,'تحليل التكلفة والسعر'!$B$2:$B$700,0)),0))</f>
        <v>6.38291</v>
      </c>
      <c r="H2796" s="104" t="s">
        <v>719</v>
      </c>
    </row>
    <row r="2797" customFormat="false" ht="15" hidden="false" customHeight="false" outlineLevel="0" collapsed="false">
      <c r="A2797" s="103" t="n">
        <v>46307</v>
      </c>
      <c r="B2797" s="104" t="s">
        <v>32</v>
      </c>
      <c r="C2797" s="104" t="s">
        <v>733</v>
      </c>
      <c r="D2797" s="105" t="n">
        <v>0.5</v>
      </c>
      <c r="E2797" s="106" t="n">
        <v>40</v>
      </c>
      <c r="F2797" s="107" t="n">
        <f aca="false">IF($C2797="","",$D2797*$E2797)</f>
        <v>20</v>
      </c>
      <c r="G2797" s="107" t="n">
        <f aca="false">IF($C2797="","",$D2797*IFERROR(INDEX('تحليل التكلفة والسعر'!$C$2:$C$700,MATCH($C2797,'تحليل التكلفة والسعر'!$B$2:$B$700,0)),0))</f>
        <v>6.38291</v>
      </c>
      <c r="H2797" s="104" t="s">
        <v>719</v>
      </c>
    </row>
    <row r="2798" customFormat="false" ht="15" hidden="false" customHeight="false" outlineLevel="0" collapsed="false">
      <c r="A2798" s="103" t="n">
        <v>46296</v>
      </c>
      <c r="B2798" s="104" t="s">
        <v>32</v>
      </c>
      <c r="C2798" s="104" t="s">
        <v>766</v>
      </c>
      <c r="D2798" s="105" t="n">
        <v>0.0833</v>
      </c>
      <c r="E2798" s="106" t="n">
        <v>170</v>
      </c>
      <c r="F2798" s="107" t="n">
        <f aca="false">IF($C2798="","",$D2798*$E2798)</f>
        <v>14.161</v>
      </c>
      <c r="G2798" s="107" t="n">
        <f aca="false">IF($C2798="","",$D2798*IFERROR(INDEX('تحليل التكلفة والسعر'!$C$2:$C$700,MATCH($C2798,'تحليل التكلفة والسعر'!$B$2:$B$700,0)),0))</f>
        <v>4.06351561</v>
      </c>
      <c r="H2798" s="104" t="s">
        <v>719</v>
      </c>
    </row>
    <row r="2799" customFormat="false" ht="15" hidden="false" customHeight="false" outlineLevel="0" collapsed="false">
      <c r="A2799" s="103" t="n">
        <v>46297</v>
      </c>
      <c r="B2799" s="104" t="s">
        <v>32</v>
      </c>
      <c r="C2799" s="104" t="s">
        <v>766</v>
      </c>
      <c r="D2799" s="105" t="n">
        <v>0.0833</v>
      </c>
      <c r="E2799" s="106" t="n">
        <v>170</v>
      </c>
      <c r="F2799" s="107" t="n">
        <f aca="false">IF($C2799="","",$D2799*$E2799)</f>
        <v>14.161</v>
      </c>
      <c r="G2799" s="107" t="n">
        <f aca="false">IF($C2799="","",$D2799*IFERROR(INDEX('تحليل التكلفة والسعر'!$C$2:$C$700,MATCH($C2799,'تحليل التكلفة والسعر'!$B$2:$B$700,0)),0))</f>
        <v>4.06351561</v>
      </c>
      <c r="H2799" s="104" t="s">
        <v>719</v>
      </c>
    </row>
    <row r="2800" customFormat="false" ht="15" hidden="false" customHeight="false" outlineLevel="0" collapsed="false">
      <c r="A2800" s="103" t="n">
        <v>46298</v>
      </c>
      <c r="B2800" s="104" t="s">
        <v>32</v>
      </c>
      <c r="C2800" s="104" t="s">
        <v>766</v>
      </c>
      <c r="D2800" s="105" t="n">
        <v>0.0833</v>
      </c>
      <c r="E2800" s="106" t="n">
        <v>170</v>
      </c>
      <c r="F2800" s="107" t="n">
        <f aca="false">IF($C2800="","",$D2800*$E2800)</f>
        <v>14.161</v>
      </c>
      <c r="G2800" s="107" t="n">
        <f aca="false">IF($C2800="","",$D2800*IFERROR(INDEX('تحليل التكلفة والسعر'!$C$2:$C$700,MATCH($C2800,'تحليل التكلفة والسعر'!$B$2:$B$700,0)),0))</f>
        <v>4.06351561</v>
      </c>
      <c r="H2800" s="104" t="s">
        <v>719</v>
      </c>
    </row>
    <row r="2801" customFormat="false" ht="15" hidden="false" customHeight="false" outlineLevel="0" collapsed="false">
      <c r="A2801" s="103" t="n">
        <v>46299</v>
      </c>
      <c r="B2801" s="104" t="s">
        <v>32</v>
      </c>
      <c r="C2801" s="104" t="s">
        <v>766</v>
      </c>
      <c r="D2801" s="105" t="n">
        <v>0.0833</v>
      </c>
      <c r="E2801" s="106" t="n">
        <v>170</v>
      </c>
      <c r="F2801" s="107" t="n">
        <f aca="false">IF($C2801="","",$D2801*$E2801)</f>
        <v>14.161</v>
      </c>
      <c r="G2801" s="107" t="n">
        <f aca="false">IF($C2801="","",$D2801*IFERROR(INDEX('تحليل التكلفة والسعر'!$C$2:$C$700,MATCH($C2801,'تحليل التكلفة والسعر'!$B$2:$B$700,0)),0))</f>
        <v>4.06351561</v>
      </c>
      <c r="H2801" s="104" t="s">
        <v>719</v>
      </c>
    </row>
    <row r="2802" customFormat="false" ht="15" hidden="false" customHeight="false" outlineLevel="0" collapsed="false">
      <c r="A2802" s="103" t="n">
        <v>46300</v>
      </c>
      <c r="B2802" s="104" t="s">
        <v>32</v>
      </c>
      <c r="C2802" s="104" t="s">
        <v>766</v>
      </c>
      <c r="D2802" s="105" t="n">
        <v>0.0833</v>
      </c>
      <c r="E2802" s="106" t="n">
        <v>170</v>
      </c>
      <c r="F2802" s="107" t="n">
        <f aca="false">IF($C2802="","",$D2802*$E2802)</f>
        <v>14.161</v>
      </c>
      <c r="G2802" s="107" t="n">
        <f aca="false">IF($C2802="","",$D2802*IFERROR(INDEX('تحليل التكلفة والسعر'!$C$2:$C$700,MATCH($C2802,'تحليل التكلفة والسعر'!$B$2:$B$700,0)),0))</f>
        <v>4.06351561</v>
      </c>
      <c r="H2802" s="104" t="s">
        <v>719</v>
      </c>
    </row>
    <row r="2803" customFormat="false" ht="15" hidden="false" customHeight="false" outlineLevel="0" collapsed="false">
      <c r="A2803" s="103" t="n">
        <v>46301</v>
      </c>
      <c r="B2803" s="104" t="s">
        <v>32</v>
      </c>
      <c r="C2803" s="104" t="s">
        <v>766</v>
      </c>
      <c r="D2803" s="105" t="n">
        <v>0.0833</v>
      </c>
      <c r="E2803" s="106" t="n">
        <v>170</v>
      </c>
      <c r="F2803" s="107" t="n">
        <f aca="false">IF($C2803="","",$D2803*$E2803)</f>
        <v>14.161</v>
      </c>
      <c r="G2803" s="107" t="n">
        <f aca="false">IF($C2803="","",$D2803*IFERROR(INDEX('تحليل التكلفة والسعر'!$C$2:$C$700,MATCH($C2803,'تحليل التكلفة والسعر'!$B$2:$B$700,0)),0))</f>
        <v>4.06351561</v>
      </c>
      <c r="H2803" s="104" t="s">
        <v>719</v>
      </c>
    </row>
    <row r="2804" customFormat="false" ht="15" hidden="false" customHeight="false" outlineLevel="0" collapsed="false">
      <c r="A2804" s="103" t="n">
        <v>46302</v>
      </c>
      <c r="B2804" s="104" t="s">
        <v>32</v>
      </c>
      <c r="C2804" s="104" t="s">
        <v>766</v>
      </c>
      <c r="D2804" s="105" t="n">
        <v>0.0833</v>
      </c>
      <c r="E2804" s="106" t="n">
        <v>170</v>
      </c>
      <c r="F2804" s="107" t="n">
        <f aca="false">IF($C2804="","",$D2804*$E2804)</f>
        <v>14.161</v>
      </c>
      <c r="G2804" s="107" t="n">
        <f aca="false">IF($C2804="","",$D2804*IFERROR(INDEX('تحليل التكلفة والسعر'!$C$2:$C$700,MATCH($C2804,'تحليل التكلفة والسعر'!$B$2:$B$700,0)),0))</f>
        <v>4.06351561</v>
      </c>
      <c r="H2804" s="104" t="s">
        <v>719</v>
      </c>
    </row>
    <row r="2805" customFormat="false" ht="15" hidden="false" customHeight="false" outlineLevel="0" collapsed="false">
      <c r="A2805" s="103" t="n">
        <v>46303</v>
      </c>
      <c r="B2805" s="104" t="s">
        <v>32</v>
      </c>
      <c r="C2805" s="104" t="s">
        <v>766</v>
      </c>
      <c r="D2805" s="105" t="n">
        <v>0.0833</v>
      </c>
      <c r="E2805" s="106" t="n">
        <v>170</v>
      </c>
      <c r="F2805" s="107" t="n">
        <f aca="false">IF($C2805="","",$D2805*$E2805)</f>
        <v>14.161</v>
      </c>
      <c r="G2805" s="107" t="n">
        <f aca="false">IF($C2805="","",$D2805*IFERROR(INDEX('تحليل التكلفة والسعر'!$C$2:$C$700,MATCH($C2805,'تحليل التكلفة والسعر'!$B$2:$B$700,0)),0))</f>
        <v>4.06351561</v>
      </c>
      <c r="H2805" s="104" t="s">
        <v>719</v>
      </c>
    </row>
    <row r="2806" customFormat="false" ht="15" hidden="false" customHeight="false" outlineLevel="0" collapsed="false">
      <c r="A2806" s="103" t="n">
        <v>46304</v>
      </c>
      <c r="B2806" s="104" t="s">
        <v>32</v>
      </c>
      <c r="C2806" s="104" t="s">
        <v>766</v>
      </c>
      <c r="D2806" s="105" t="n">
        <v>0.0833</v>
      </c>
      <c r="E2806" s="106" t="n">
        <v>170</v>
      </c>
      <c r="F2806" s="107" t="n">
        <f aca="false">IF($C2806="","",$D2806*$E2806)</f>
        <v>14.161</v>
      </c>
      <c r="G2806" s="107" t="n">
        <f aca="false">IF($C2806="","",$D2806*IFERROR(INDEX('تحليل التكلفة والسعر'!$C$2:$C$700,MATCH($C2806,'تحليل التكلفة والسعر'!$B$2:$B$700,0)),0))</f>
        <v>4.06351561</v>
      </c>
      <c r="H2806" s="104" t="s">
        <v>719</v>
      </c>
    </row>
    <row r="2807" customFormat="false" ht="15" hidden="false" customHeight="false" outlineLevel="0" collapsed="false">
      <c r="A2807" s="103" t="n">
        <v>46305</v>
      </c>
      <c r="B2807" s="104" t="s">
        <v>32</v>
      </c>
      <c r="C2807" s="104" t="s">
        <v>766</v>
      </c>
      <c r="D2807" s="105" t="n">
        <v>0.0833</v>
      </c>
      <c r="E2807" s="106" t="n">
        <v>170</v>
      </c>
      <c r="F2807" s="107" t="n">
        <f aca="false">IF($C2807="","",$D2807*$E2807)</f>
        <v>14.161</v>
      </c>
      <c r="G2807" s="107" t="n">
        <f aca="false">IF($C2807="","",$D2807*IFERROR(INDEX('تحليل التكلفة والسعر'!$C$2:$C$700,MATCH($C2807,'تحليل التكلفة والسعر'!$B$2:$B$700,0)),0))</f>
        <v>4.06351561</v>
      </c>
      <c r="H2807" s="104" t="s">
        <v>719</v>
      </c>
    </row>
    <row r="2808" customFormat="false" ht="15" hidden="false" customHeight="false" outlineLevel="0" collapsed="false">
      <c r="A2808" s="103" t="n">
        <v>46306</v>
      </c>
      <c r="B2808" s="104" t="s">
        <v>32</v>
      </c>
      <c r="C2808" s="104" t="s">
        <v>766</v>
      </c>
      <c r="D2808" s="105" t="n">
        <v>0.0833</v>
      </c>
      <c r="E2808" s="106" t="n">
        <v>170</v>
      </c>
      <c r="F2808" s="107" t="n">
        <f aca="false">IF($C2808="","",$D2808*$E2808)</f>
        <v>14.161</v>
      </c>
      <c r="G2808" s="107" t="n">
        <f aca="false">IF($C2808="","",$D2808*IFERROR(INDEX('تحليل التكلفة والسعر'!$C$2:$C$700,MATCH($C2808,'تحليل التكلفة والسعر'!$B$2:$B$700,0)),0))</f>
        <v>4.06351561</v>
      </c>
      <c r="H2808" s="104" t="s">
        <v>719</v>
      </c>
    </row>
    <row r="2809" customFormat="false" ht="15" hidden="false" customHeight="false" outlineLevel="0" collapsed="false">
      <c r="A2809" s="103" t="n">
        <v>46307</v>
      </c>
      <c r="B2809" s="104" t="s">
        <v>32</v>
      </c>
      <c r="C2809" s="104" t="s">
        <v>766</v>
      </c>
      <c r="D2809" s="105" t="n">
        <v>0.0833</v>
      </c>
      <c r="E2809" s="106" t="n">
        <v>170</v>
      </c>
      <c r="F2809" s="107" t="n">
        <f aca="false">IF($C2809="","",$D2809*$E2809)</f>
        <v>14.161</v>
      </c>
      <c r="G2809" s="107" t="n">
        <f aca="false">IF($C2809="","",$D2809*IFERROR(INDEX('تحليل التكلفة والسعر'!$C$2:$C$700,MATCH($C2809,'تحليل التكلفة والسعر'!$B$2:$B$700,0)),0))</f>
        <v>4.06351561</v>
      </c>
      <c r="H2809" s="104" t="s">
        <v>719</v>
      </c>
    </row>
    <row r="2810" customFormat="false" ht="15" hidden="false" customHeight="false" outlineLevel="0" collapsed="false">
      <c r="A2810" s="103" t="n">
        <v>46296</v>
      </c>
      <c r="B2810" s="104" t="s">
        <v>32</v>
      </c>
      <c r="C2810" s="104" t="s">
        <v>737</v>
      </c>
      <c r="D2810" s="105" t="n">
        <v>0.0833</v>
      </c>
      <c r="E2810" s="106" t="n">
        <v>50</v>
      </c>
      <c r="F2810" s="107" t="n">
        <f aca="false">IF($C2810="","",$D2810*$E2810)</f>
        <v>4.165</v>
      </c>
      <c r="G2810" s="107" t="n">
        <f aca="false">IF($C2810="","",$D2810*IFERROR(INDEX('تحليل التكلفة والسعر'!$C$2:$C$700,MATCH($C2810,'تحليل التكلفة والسعر'!$B$2:$B$700,0)),0))</f>
        <v>2.0825</v>
      </c>
      <c r="H2810" s="104" t="s">
        <v>719</v>
      </c>
    </row>
    <row r="2811" customFormat="false" ht="15" hidden="false" customHeight="false" outlineLevel="0" collapsed="false">
      <c r="A2811" s="103" t="n">
        <v>46297</v>
      </c>
      <c r="B2811" s="104" t="s">
        <v>32</v>
      </c>
      <c r="C2811" s="104" t="s">
        <v>737</v>
      </c>
      <c r="D2811" s="105" t="n">
        <v>0.0833</v>
      </c>
      <c r="E2811" s="106" t="n">
        <v>50</v>
      </c>
      <c r="F2811" s="107" t="n">
        <f aca="false">IF($C2811="","",$D2811*$E2811)</f>
        <v>4.165</v>
      </c>
      <c r="G2811" s="107" t="n">
        <f aca="false">IF($C2811="","",$D2811*IFERROR(INDEX('تحليل التكلفة والسعر'!$C$2:$C$700,MATCH($C2811,'تحليل التكلفة والسعر'!$B$2:$B$700,0)),0))</f>
        <v>2.0825</v>
      </c>
      <c r="H2811" s="104" t="s">
        <v>719</v>
      </c>
    </row>
    <row r="2812" customFormat="false" ht="15" hidden="false" customHeight="false" outlineLevel="0" collapsed="false">
      <c r="A2812" s="103" t="n">
        <v>46298</v>
      </c>
      <c r="B2812" s="104" t="s">
        <v>32</v>
      </c>
      <c r="C2812" s="104" t="s">
        <v>737</v>
      </c>
      <c r="D2812" s="105" t="n">
        <v>0.0833</v>
      </c>
      <c r="E2812" s="106" t="n">
        <v>50</v>
      </c>
      <c r="F2812" s="107" t="n">
        <f aca="false">IF($C2812="","",$D2812*$E2812)</f>
        <v>4.165</v>
      </c>
      <c r="G2812" s="107" t="n">
        <f aca="false">IF($C2812="","",$D2812*IFERROR(INDEX('تحليل التكلفة والسعر'!$C$2:$C$700,MATCH($C2812,'تحليل التكلفة والسعر'!$B$2:$B$700,0)),0))</f>
        <v>2.0825</v>
      </c>
      <c r="H2812" s="104" t="s">
        <v>719</v>
      </c>
    </row>
    <row r="2813" customFormat="false" ht="15" hidden="false" customHeight="false" outlineLevel="0" collapsed="false">
      <c r="A2813" s="103" t="n">
        <v>46299</v>
      </c>
      <c r="B2813" s="104" t="s">
        <v>32</v>
      </c>
      <c r="C2813" s="104" t="s">
        <v>737</v>
      </c>
      <c r="D2813" s="105" t="n">
        <v>0.0833</v>
      </c>
      <c r="E2813" s="106" t="n">
        <v>50</v>
      </c>
      <c r="F2813" s="107" t="n">
        <f aca="false">IF($C2813="","",$D2813*$E2813)</f>
        <v>4.165</v>
      </c>
      <c r="G2813" s="107" t="n">
        <f aca="false">IF($C2813="","",$D2813*IFERROR(INDEX('تحليل التكلفة والسعر'!$C$2:$C$700,MATCH($C2813,'تحليل التكلفة والسعر'!$B$2:$B$700,0)),0))</f>
        <v>2.0825</v>
      </c>
      <c r="H2813" s="104" t="s">
        <v>719</v>
      </c>
    </row>
    <row r="2814" customFormat="false" ht="15" hidden="false" customHeight="false" outlineLevel="0" collapsed="false">
      <c r="A2814" s="103" t="n">
        <v>46300</v>
      </c>
      <c r="B2814" s="104" t="s">
        <v>32</v>
      </c>
      <c r="C2814" s="104" t="s">
        <v>737</v>
      </c>
      <c r="D2814" s="105" t="n">
        <v>0.0833</v>
      </c>
      <c r="E2814" s="106" t="n">
        <v>50</v>
      </c>
      <c r="F2814" s="107" t="n">
        <f aca="false">IF($C2814="","",$D2814*$E2814)</f>
        <v>4.165</v>
      </c>
      <c r="G2814" s="107" t="n">
        <f aca="false">IF($C2814="","",$D2814*IFERROR(INDEX('تحليل التكلفة والسعر'!$C$2:$C$700,MATCH($C2814,'تحليل التكلفة والسعر'!$B$2:$B$700,0)),0))</f>
        <v>2.0825</v>
      </c>
      <c r="H2814" s="104" t="s">
        <v>719</v>
      </c>
    </row>
    <row r="2815" customFormat="false" ht="15" hidden="false" customHeight="false" outlineLevel="0" collapsed="false">
      <c r="A2815" s="103" t="n">
        <v>46301</v>
      </c>
      <c r="B2815" s="104" t="s">
        <v>32</v>
      </c>
      <c r="C2815" s="104" t="s">
        <v>737</v>
      </c>
      <c r="D2815" s="105" t="n">
        <v>0.0833</v>
      </c>
      <c r="E2815" s="106" t="n">
        <v>50</v>
      </c>
      <c r="F2815" s="107" t="n">
        <f aca="false">IF($C2815="","",$D2815*$E2815)</f>
        <v>4.165</v>
      </c>
      <c r="G2815" s="107" t="n">
        <f aca="false">IF($C2815="","",$D2815*IFERROR(INDEX('تحليل التكلفة والسعر'!$C$2:$C$700,MATCH($C2815,'تحليل التكلفة والسعر'!$B$2:$B$700,0)),0))</f>
        <v>2.0825</v>
      </c>
      <c r="H2815" s="104" t="s">
        <v>719</v>
      </c>
    </row>
    <row r="2816" customFormat="false" ht="15" hidden="false" customHeight="false" outlineLevel="0" collapsed="false">
      <c r="A2816" s="103" t="n">
        <v>46302</v>
      </c>
      <c r="B2816" s="104" t="s">
        <v>32</v>
      </c>
      <c r="C2816" s="104" t="s">
        <v>737</v>
      </c>
      <c r="D2816" s="105" t="n">
        <v>0.0833</v>
      </c>
      <c r="E2816" s="106" t="n">
        <v>50</v>
      </c>
      <c r="F2816" s="107" t="n">
        <f aca="false">IF($C2816="","",$D2816*$E2816)</f>
        <v>4.165</v>
      </c>
      <c r="G2816" s="107" t="n">
        <f aca="false">IF($C2816="","",$D2816*IFERROR(INDEX('تحليل التكلفة والسعر'!$C$2:$C$700,MATCH($C2816,'تحليل التكلفة والسعر'!$B$2:$B$700,0)),0))</f>
        <v>2.0825</v>
      </c>
      <c r="H2816" s="104" t="s">
        <v>719</v>
      </c>
    </row>
    <row r="2817" customFormat="false" ht="15" hidden="false" customHeight="false" outlineLevel="0" collapsed="false">
      <c r="A2817" s="103" t="n">
        <v>46303</v>
      </c>
      <c r="B2817" s="104" t="s">
        <v>32</v>
      </c>
      <c r="C2817" s="104" t="s">
        <v>737</v>
      </c>
      <c r="D2817" s="105" t="n">
        <v>0.0833</v>
      </c>
      <c r="E2817" s="106" t="n">
        <v>50</v>
      </c>
      <c r="F2817" s="107" t="n">
        <f aca="false">IF($C2817="","",$D2817*$E2817)</f>
        <v>4.165</v>
      </c>
      <c r="G2817" s="107" t="n">
        <f aca="false">IF($C2817="","",$D2817*IFERROR(INDEX('تحليل التكلفة والسعر'!$C$2:$C$700,MATCH($C2817,'تحليل التكلفة والسعر'!$B$2:$B$700,0)),0))</f>
        <v>2.0825</v>
      </c>
      <c r="H2817" s="104" t="s">
        <v>719</v>
      </c>
    </row>
    <row r="2818" customFormat="false" ht="15" hidden="false" customHeight="false" outlineLevel="0" collapsed="false">
      <c r="A2818" s="103" t="n">
        <v>46304</v>
      </c>
      <c r="B2818" s="104" t="s">
        <v>32</v>
      </c>
      <c r="C2818" s="104" t="s">
        <v>737</v>
      </c>
      <c r="D2818" s="105" t="n">
        <v>0.0833</v>
      </c>
      <c r="E2818" s="106" t="n">
        <v>50</v>
      </c>
      <c r="F2818" s="107" t="n">
        <f aca="false">IF($C2818="","",$D2818*$E2818)</f>
        <v>4.165</v>
      </c>
      <c r="G2818" s="107" t="n">
        <f aca="false">IF($C2818="","",$D2818*IFERROR(INDEX('تحليل التكلفة والسعر'!$C$2:$C$700,MATCH($C2818,'تحليل التكلفة والسعر'!$B$2:$B$700,0)),0))</f>
        <v>2.0825</v>
      </c>
      <c r="H2818" s="104" t="s">
        <v>719</v>
      </c>
    </row>
    <row r="2819" customFormat="false" ht="15" hidden="false" customHeight="false" outlineLevel="0" collapsed="false">
      <c r="A2819" s="103" t="n">
        <v>46305</v>
      </c>
      <c r="B2819" s="104" t="s">
        <v>32</v>
      </c>
      <c r="C2819" s="104" t="s">
        <v>737</v>
      </c>
      <c r="D2819" s="105" t="n">
        <v>0.0833</v>
      </c>
      <c r="E2819" s="106" t="n">
        <v>50</v>
      </c>
      <c r="F2819" s="107" t="n">
        <f aca="false">IF($C2819="","",$D2819*$E2819)</f>
        <v>4.165</v>
      </c>
      <c r="G2819" s="107" t="n">
        <f aca="false">IF($C2819="","",$D2819*IFERROR(INDEX('تحليل التكلفة والسعر'!$C$2:$C$700,MATCH($C2819,'تحليل التكلفة والسعر'!$B$2:$B$700,0)),0))</f>
        <v>2.0825</v>
      </c>
      <c r="H2819" s="104" t="s">
        <v>719</v>
      </c>
    </row>
    <row r="2820" customFormat="false" ht="15" hidden="false" customHeight="false" outlineLevel="0" collapsed="false">
      <c r="A2820" s="103" t="n">
        <v>46306</v>
      </c>
      <c r="B2820" s="104" t="s">
        <v>32</v>
      </c>
      <c r="C2820" s="104" t="s">
        <v>737</v>
      </c>
      <c r="D2820" s="105" t="n">
        <v>0.0833</v>
      </c>
      <c r="E2820" s="106" t="n">
        <v>50</v>
      </c>
      <c r="F2820" s="107" t="n">
        <f aca="false">IF($C2820="","",$D2820*$E2820)</f>
        <v>4.165</v>
      </c>
      <c r="G2820" s="107" t="n">
        <f aca="false">IF($C2820="","",$D2820*IFERROR(INDEX('تحليل التكلفة والسعر'!$C$2:$C$700,MATCH($C2820,'تحليل التكلفة والسعر'!$B$2:$B$700,0)),0))</f>
        <v>2.0825</v>
      </c>
      <c r="H2820" s="104" t="s">
        <v>719</v>
      </c>
    </row>
    <row r="2821" customFormat="false" ht="15" hidden="false" customHeight="false" outlineLevel="0" collapsed="false">
      <c r="A2821" s="103" t="n">
        <v>46307</v>
      </c>
      <c r="B2821" s="104" t="s">
        <v>32</v>
      </c>
      <c r="C2821" s="104" t="s">
        <v>737</v>
      </c>
      <c r="D2821" s="105" t="n">
        <v>0.0833</v>
      </c>
      <c r="E2821" s="106" t="n">
        <v>50</v>
      </c>
      <c r="F2821" s="107" t="n">
        <f aca="false">IF($C2821="","",$D2821*$E2821)</f>
        <v>4.165</v>
      </c>
      <c r="G2821" s="107" t="n">
        <f aca="false">IF($C2821="","",$D2821*IFERROR(INDEX('تحليل التكلفة والسعر'!$C$2:$C$700,MATCH($C2821,'تحليل التكلفة والسعر'!$B$2:$B$700,0)),0))</f>
        <v>2.0825</v>
      </c>
      <c r="H2821" s="104" t="s">
        <v>719</v>
      </c>
    </row>
    <row r="2822" customFormat="false" ht="15" hidden="false" customHeight="false" outlineLevel="0" collapsed="false">
      <c r="A2822" s="103" t="n">
        <v>46296</v>
      </c>
      <c r="B2822" s="104" t="s">
        <v>32</v>
      </c>
      <c r="C2822" s="104" t="s">
        <v>738</v>
      </c>
      <c r="D2822" s="105" t="n">
        <v>0.1667</v>
      </c>
      <c r="E2822" s="106" t="n">
        <v>50</v>
      </c>
      <c r="F2822" s="107" t="n">
        <f aca="false">IF($C2822="","",$D2822*$E2822)</f>
        <v>8.335</v>
      </c>
      <c r="G2822" s="107" t="n">
        <f aca="false">IF($C2822="","",$D2822*IFERROR(INDEX('تحليل التكلفة والسعر'!$C$2:$C$700,MATCH($C2822,'تحليل التكلفة والسعر'!$B$2:$B$700,0)),0))</f>
        <v>3.5007</v>
      </c>
      <c r="H2822" s="104" t="s">
        <v>719</v>
      </c>
    </row>
    <row r="2823" customFormat="false" ht="15" hidden="false" customHeight="false" outlineLevel="0" collapsed="false">
      <c r="A2823" s="103" t="n">
        <v>46297</v>
      </c>
      <c r="B2823" s="104" t="s">
        <v>32</v>
      </c>
      <c r="C2823" s="104" t="s">
        <v>738</v>
      </c>
      <c r="D2823" s="105" t="n">
        <v>0.1667</v>
      </c>
      <c r="E2823" s="106" t="n">
        <v>50</v>
      </c>
      <c r="F2823" s="107" t="n">
        <f aca="false">IF($C2823="","",$D2823*$E2823)</f>
        <v>8.335</v>
      </c>
      <c r="G2823" s="107" t="n">
        <f aca="false">IF($C2823="","",$D2823*IFERROR(INDEX('تحليل التكلفة والسعر'!$C$2:$C$700,MATCH($C2823,'تحليل التكلفة والسعر'!$B$2:$B$700,0)),0))</f>
        <v>3.5007</v>
      </c>
      <c r="H2823" s="104" t="s">
        <v>719</v>
      </c>
    </row>
    <row r="2824" customFormat="false" ht="15" hidden="false" customHeight="false" outlineLevel="0" collapsed="false">
      <c r="A2824" s="103" t="n">
        <v>46298</v>
      </c>
      <c r="B2824" s="104" t="s">
        <v>32</v>
      </c>
      <c r="C2824" s="104" t="s">
        <v>738</v>
      </c>
      <c r="D2824" s="105" t="n">
        <v>0.1667</v>
      </c>
      <c r="E2824" s="106" t="n">
        <v>50</v>
      </c>
      <c r="F2824" s="107" t="n">
        <f aca="false">IF($C2824="","",$D2824*$E2824)</f>
        <v>8.335</v>
      </c>
      <c r="G2824" s="107" t="n">
        <f aca="false">IF($C2824="","",$D2824*IFERROR(INDEX('تحليل التكلفة والسعر'!$C$2:$C$700,MATCH($C2824,'تحليل التكلفة والسعر'!$B$2:$B$700,0)),0))</f>
        <v>3.5007</v>
      </c>
      <c r="H2824" s="104" t="s">
        <v>719</v>
      </c>
    </row>
    <row r="2825" customFormat="false" ht="15" hidden="false" customHeight="false" outlineLevel="0" collapsed="false">
      <c r="A2825" s="103" t="n">
        <v>46299</v>
      </c>
      <c r="B2825" s="104" t="s">
        <v>32</v>
      </c>
      <c r="C2825" s="104" t="s">
        <v>738</v>
      </c>
      <c r="D2825" s="105" t="n">
        <v>0.1667</v>
      </c>
      <c r="E2825" s="106" t="n">
        <v>50</v>
      </c>
      <c r="F2825" s="107" t="n">
        <f aca="false">IF($C2825="","",$D2825*$E2825)</f>
        <v>8.335</v>
      </c>
      <c r="G2825" s="107" t="n">
        <f aca="false">IF($C2825="","",$D2825*IFERROR(INDEX('تحليل التكلفة والسعر'!$C$2:$C$700,MATCH($C2825,'تحليل التكلفة والسعر'!$B$2:$B$700,0)),0))</f>
        <v>3.5007</v>
      </c>
      <c r="H2825" s="104" t="s">
        <v>719</v>
      </c>
    </row>
    <row r="2826" customFormat="false" ht="15" hidden="false" customHeight="false" outlineLevel="0" collapsed="false">
      <c r="A2826" s="103" t="n">
        <v>46300</v>
      </c>
      <c r="B2826" s="104" t="s">
        <v>32</v>
      </c>
      <c r="C2826" s="104" t="s">
        <v>738</v>
      </c>
      <c r="D2826" s="105" t="n">
        <v>0.1667</v>
      </c>
      <c r="E2826" s="106" t="n">
        <v>50</v>
      </c>
      <c r="F2826" s="107" t="n">
        <f aca="false">IF($C2826="","",$D2826*$E2826)</f>
        <v>8.335</v>
      </c>
      <c r="G2826" s="107" t="n">
        <f aca="false">IF($C2826="","",$D2826*IFERROR(INDEX('تحليل التكلفة والسعر'!$C$2:$C$700,MATCH($C2826,'تحليل التكلفة والسعر'!$B$2:$B$700,0)),0))</f>
        <v>3.5007</v>
      </c>
      <c r="H2826" s="104" t="s">
        <v>719</v>
      </c>
    </row>
    <row r="2827" customFormat="false" ht="15" hidden="false" customHeight="false" outlineLevel="0" collapsed="false">
      <c r="A2827" s="103" t="n">
        <v>46301</v>
      </c>
      <c r="B2827" s="104" t="s">
        <v>32</v>
      </c>
      <c r="C2827" s="104" t="s">
        <v>738</v>
      </c>
      <c r="D2827" s="105" t="n">
        <v>0.1667</v>
      </c>
      <c r="E2827" s="106" t="n">
        <v>50</v>
      </c>
      <c r="F2827" s="107" t="n">
        <f aca="false">IF($C2827="","",$D2827*$E2827)</f>
        <v>8.335</v>
      </c>
      <c r="G2827" s="107" t="n">
        <f aca="false">IF($C2827="","",$D2827*IFERROR(INDEX('تحليل التكلفة والسعر'!$C$2:$C$700,MATCH($C2827,'تحليل التكلفة والسعر'!$B$2:$B$700,0)),0))</f>
        <v>3.5007</v>
      </c>
      <c r="H2827" s="104" t="s">
        <v>719</v>
      </c>
    </row>
    <row r="2828" customFormat="false" ht="15" hidden="false" customHeight="false" outlineLevel="0" collapsed="false">
      <c r="A2828" s="103" t="n">
        <v>46302</v>
      </c>
      <c r="B2828" s="104" t="s">
        <v>32</v>
      </c>
      <c r="C2828" s="104" t="s">
        <v>738</v>
      </c>
      <c r="D2828" s="105" t="n">
        <v>0.1667</v>
      </c>
      <c r="E2828" s="106" t="n">
        <v>50</v>
      </c>
      <c r="F2828" s="107" t="n">
        <f aca="false">IF($C2828="","",$D2828*$E2828)</f>
        <v>8.335</v>
      </c>
      <c r="G2828" s="107" t="n">
        <f aca="false">IF($C2828="","",$D2828*IFERROR(INDEX('تحليل التكلفة والسعر'!$C$2:$C$700,MATCH($C2828,'تحليل التكلفة والسعر'!$B$2:$B$700,0)),0))</f>
        <v>3.5007</v>
      </c>
      <c r="H2828" s="104" t="s">
        <v>719</v>
      </c>
    </row>
    <row r="2829" customFormat="false" ht="15" hidden="false" customHeight="false" outlineLevel="0" collapsed="false">
      <c r="A2829" s="103" t="n">
        <v>46303</v>
      </c>
      <c r="B2829" s="104" t="s">
        <v>32</v>
      </c>
      <c r="C2829" s="104" t="s">
        <v>738</v>
      </c>
      <c r="D2829" s="105" t="n">
        <v>0.1667</v>
      </c>
      <c r="E2829" s="106" t="n">
        <v>50</v>
      </c>
      <c r="F2829" s="107" t="n">
        <f aca="false">IF($C2829="","",$D2829*$E2829)</f>
        <v>8.335</v>
      </c>
      <c r="G2829" s="107" t="n">
        <f aca="false">IF($C2829="","",$D2829*IFERROR(INDEX('تحليل التكلفة والسعر'!$C$2:$C$700,MATCH($C2829,'تحليل التكلفة والسعر'!$B$2:$B$700,0)),0))</f>
        <v>3.5007</v>
      </c>
      <c r="H2829" s="104" t="s">
        <v>719</v>
      </c>
    </row>
    <row r="2830" customFormat="false" ht="15" hidden="false" customHeight="false" outlineLevel="0" collapsed="false">
      <c r="A2830" s="103" t="n">
        <v>46304</v>
      </c>
      <c r="B2830" s="104" t="s">
        <v>32</v>
      </c>
      <c r="C2830" s="104" t="s">
        <v>738</v>
      </c>
      <c r="D2830" s="105" t="n">
        <v>0.1667</v>
      </c>
      <c r="E2830" s="106" t="n">
        <v>50</v>
      </c>
      <c r="F2830" s="107" t="n">
        <f aca="false">IF($C2830="","",$D2830*$E2830)</f>
        <v>8.335</v>
      </c>
      <c r="G2830" s="107" t="n">
        <f aca="false">IF($C2830="","",$D2830*IFERROR(INDEX('تحليل التكلفة والسعر'!$C$2:$C$700,MATCH($C2830,'تحليل التكلفة والسعر'!$B$2:$B$700,0)),0))</f>
        <v>3.5007</v>
      </c>
      <c r="H2830" s="104" t="s">
        <v>719</v>
      </c>
    </row>
    <row r="2831" customFormat="false" ht="15" hidden="false" customHeight="false" outlineLevel="0" collapsed="false">
      <c r="A2831" s="103" t="n">
        <v>46305</v>
      </c>
      <c r="B2831" s="104" t="s">
        <v>32</v>
      </c>
      <c r="C2831" s="104" t="s">
        <v>738</v>
      </c>
      <c r="D2831" s="105" t="n">
        <v>0.1667</v>
      </c>
      <c r="E2831" s="106" t="n">
        <v>50</v>
      </c>
      <c r="F2831" s="107" t="n">
        <f aca="false">IF($C2831="","",$D2831*$E2831)</f>
        <v>8.335</v>
      </c>
      <c r="G2831" s="107" t="n">
        <f aca="false">IF($C2831="","",$D2831*IFERROR(INDEX('تحليل التكلفة والسعر'!$C$2:$C$700,MATCH($C2831,'تحليل التكلفة والسعر'!$B$2:$B$700,0)),0))</f>
        <v>3.5007</v>
      </c>
      <c r="H2831" s="104" t="s">
        <v>719</v>
      </c>
    </row>
    <row r="2832" customFormat="false" ht="15" hidden="false" customHeight="false" outlineLevel="0" collapsed="false">
      <c r="A2832" s="103" t="n">
        <v>46306</v>
      </c>
      <c r="B2832" s="104" t="s">
        <v>32</v>
      </c>
      <c r="C2832" s="104" t="s">
        <v>738</v>
      </c>
      <c r="D2832" s="105" t="n">
        <v>0.1667</v>
      </c>
      <c r="E2832" s="106" t="n">
        <v>50</v>
      </c>
      <c r="F2832" s="107" t="n">
        <f aca="false">IF($C2832="","",$D2832*$E2832)</f>
        <v>8.335</v>
      </c>
      <c r="G2832" s="107" t="n">
        <f aca="false">IF($C2832="","",$D2832*IFERROR(INDEX('تحليل التكلفة والسعر'!$C$2:$C$700,MATCH($C2832,'تحليل التكلفة والسعر'!$B$2:$B$700,0)),0))</f>
        <v>3.5007</v>
      </c>
      <c r="H2832" s="104" t="s">
        <v>719</v>
      </c>
    </row>
    <row r="2833" customFormat="false" ht="15" hidden="false" customHeight="false" outlineLevel="0" collapsed="false">
      <c r="A2833" s="103" t="n">
        <v>46307</v>
      </c>
      <c r="B2833" s="104" t="s">
        <v>32</v>
      </c>
      <c r="C2833" s="104" t="s">
        <v>738</v>
      </c>
      <c r="D2833" s="105" t="n">
        <v>0.1667</v>
      </c>
      <c r="E2833" s="106" t="n">
        <v>50</v>
      </c>
      <c r="F2833" s="107" t="n">
        <f aca="false">IF($C2833="","",$D2833*$E2833)</f>
        <v>8.335</v>
      </c>
      <c r="G2833" s="107" t="n">
        <f aca="false">IF($C2833="","",$D2833*IFERROR(INDEX('تحليل التكلفة والسعر'!$C$2:$C$700,MATCH($C2833,'تحليل التكلفة والسعر'!$B$2:$B$700,0)),0))</f>
        <v>3.5007</v>
      </c>
      <c r="H2833" s="104" t="s">
        <v>719</v>
      </c>
    </row>
    <row r="2834" customFormat="false" ht="15" hidden="false" customHeight="false" outlineLevel="0" collapsed="false">
      <c r="A2834" s="103" t="n">
        <v>46296</v>
      </c>
      <c r="B2834" s="104" t="s">
        <v>32</v>
      </c>
      <c r="C2834" s="104" t="s">
        <v>756</v>
      </c>
      <c r="D2834" s="105" t="n">
        <v>0.1667</v>
      </c>
      <c r="E2834" s="106" t="n">
        <v>50</v>
      </c>
      <c r="F2834" s="107" t="n">
        <f aca="false">IF($C2834="","",$D2834*$E2834)</f>
        <v>8.335</v>
      </c>
      <c r="G2834" s="107" t="n">
        <f aca="false">IF($C2834="","",$D2834*IFERROR(INDEX('تحليل التكلفة والسعر'!$C$2:$C$700,MATCH($C2834,'تحليل التكلفة والسعر'!$B$2:$B$700,0)),0))</f>
        <v>3.5007</v>
      </c>
      <c r="H2834" s="104" t="s">
        <v>719</v>
      </c>
    </row>
    <row r="2835" customFormat="false" ht="15" hidden="false" customHeight="false" outlineLevel="0" collapsed="false">
      <c r="A2835" s="103" t="n">
        <v>46297</v>
      </c>
      <c r="B2835" s="104" t="s">
        <v>32</v>
      </c>
      <c r="C2835" s="104" t="s">
        <v>756</v>
      </c>
      <c r="D2835" s="105" t="n">
        <v>0.1667</v>
      </c>
      <c r="E2835" s="106" t="n">
        <v>50</v>
      </c>
      <c r="F2835" s="107" t="n">
        <f aca="false">IF($C2835="","",$D2835*$E2835)</f>
        <v>8.335</v>
      </c>
      <c r="G2835" s="107" t="n">
        <f aca="false">IF($C2835="","",$D2835*IFERROR(INDEX('تحليل التكلفة والسعر'!$C$2:$C$700,MATCH($C2835,'تحليل التكلفة والسعر'!$B$2:$B$700,0)),0))</f>
        <v>3.5007</v>
      </c>
      <c r="H2835" s="104" t="s">
        <v>719</v>
      </c>
    </row>
    <row r="2836" customFormat="false" ht="15" hidden="false" customHeight="false" outlineLevel="0" collapsed="false">
      <c r="A2836" s="103" t="n">
        <v>46298</v>
      </c>
      <c r="B2836" s="104" t="s">
        <v>32</v>
      </c>
      <c r="C2836" s="104" t="s">
        <v>756</v>
      </c>
      <c r="D2836" s="105" t="n">
        <v>0.1667</v>
      </c>
      <c r="E2836" s="106" t="n">
        <v>50</v>
      </c>
      <c r="F2836" s="107" t="n">
        <f aca="false">IF($C2836="","",$D2836*$E2836)</f>
        <v>8.335</v>
      </c>
      <c r="G2836" s="107" t="n">
        <f aca="false">IF($C2836="","",$D2836*IFERROR(INDEX('تحليل التكلفة والسعر'!$C$2:$C$700,MATCH($C2836,'تحليل التكلفة والسعر'!$B$2:$B$700,0)),0))</f>
        <v>3.5007</v>
      </c>
      <c r="H2836" s="104" t="s">
        <v>719</v>
      </c>
    </row>
    <row r="2837" customFormat="false" ht="15" hidden="false" customHeight="false" outlineLevel="0" collapsed="false">
      <c r="A2837" s="103" t="n">
        <v>46299</v>
      </c>
      <c r="B2837" s="104" t="s">
        <v>32</v>
      </c>
      <c r="C2837" s="104" t="s">
        <v>756</v>
      </c>
      <c r="D2837" s="105" t="n">
        <v>0.1667</v>
      </c>
      <c r="E2837" s="106" t="n">
        <v>50</v>
      </c>
      <c r="F2837" s="107" t="n">
        <f aca="false">IF($C2837="","",$D2837*$E2837)</f>
        <v>8.335</v>
      </c>
      <c r="G2837" s="107" t="n">
        <f aca="false">IF($C2837="","",$D2837*IFERROR(INDEX('تحليل التكلفة والسعر'!$C$2:$C$700,MATCH($C2837,'تحليل التكلفة والسعر'!$B$2:$B$700,0)),0))</f>
        <v>3.5007</v>
      </c>
      <c r="H2837" s="104" t="s">
        <v>719</v>
      </c>
    </row>
    <row r="2838" customFormat="false" ht="15" hidden="false" customHeight="false" outlineLevel="0" collapsed="false">
      <c r="A2838" s="103" t="n">
        <v>46300</v>
      </c>
      <c r="B2838" s="104" t="s">
        <v>32</v>
      </c>
      <c r="C2838" s="104" t="s">
        <v>756</v>
      </c>
      <c r="D2838" s="105" t="n">
        <v>0.1667</v>
      </c>
      <c r="E2838" s="106" t="n">
        <v>50</v>
      </c>
      <c r="F2838" s="107" t="n">
        <f aca="false">IF($C2838="","",$D2838*$E2838)</f>
        <v>8.335</v>
      </c>
      <c r="G2838" s="107" t="n">
        <f aca="false">IF($C2838="","",$D2838*IFERROR(INDEX('تحليل التكلفة والسعر'!$C$2:$C$700,MATCH($C2838,'تحليل التكلفة والسعر'!$B$2:$B$700,0)),0))</f>
        <v>3.5007</v>
      </c>
      <c r="H2838" s="104" t="s">
        <v>719</v>
      </c>
    </row>
    <row r="2839" customFormat="false" ht="15" hidden="false" customHeight="false" outlineLevel="0" collapsed="false">
      <c r="A2839" s="103" t="n">
        <v>46301</v>
      </c>
      <c r="B2839" s="104" t="s">
        <v>32</v>
      </c>
      <c r="C2839" s="104" t="s">
        <v>756</v>
      </c>
      <c r="D2839" s="105" t="n">
        <v>0.1667</v>
      </c>
      <c r="E2839" s="106" t="n">
        <v>50</v>
      </c>
      <c r="F2839" s="107" t="n">
        <f aca="false">IF($C2839="","",$D2839*$E2839)</f>
        <v>8.335</v>
      </c>
      <c r="G2839" s="107" t="n">
        <f aca="false">IF($C2839="","",$D2839*IFERROR(INDEX('تحليل التكلفة والسعر'!$C$2:$C$700,MATCH($C2839,'تحليل التكلفة والسعر'!$B$2:$B$700,0)),0))</f>
        <v>3.5007</v>
      </c>
      <c r="H2839" s="104" t="s">
        <v>719</v>
      </c>
    </row>
    <row r="2840" customFormat="false" ht="15" hidden="false" customHeight="false" outlineLevel="0" collapsed="false">
      <c r="A2840" s="103" t="n">
        <v>46302</v>
      </c>
      <c r="B2840" s="104" t="s">
        <v>32</v>
      </c>
      <c r="C2840" s="104" t="s">
        <v>756</v>
      </c>
      <c r="D2840" s="105" t="n">
        <v>0.1667</v>
      </c>
      <c r="E2840" s="106" t="n">
        <v>50</v>
      </c>
      <c r="F2840" s="107" t="n">
        <f aca="false">IF($C2840="","",$D2840*$E2840)</f>
        <v>8.335</v>
      </c>
      <c r="G2840" s="107" t="n">
        <f aca="false">IF($C2840="","",$D2840*IFERROR(INDEX('تحليل التكلفة والسعر'!$C$2:$C$700,MATCH($C2840,'تحليل التكلفة والسعر'!$B$2:$B$700,0)),0))</f>
        <v>3.5007</v>
      </c>
      <c r="H2840" s="104" t="s">
        <v>719</v>
      </c>
    </row>
    <row r="2841" customFormat="false" ht="15" hidden="false" customHeight="false" outlineLevel="0" collapsed="false">
      <c r="A2841" s="103" t="n">
        <v>46303</v>
      </c>
      <c r="B2841" s="104" t="s">
        <v>32</v>
      </c>
      <c r="C2841" s="104" t="s">
        <v>756</v>
      </c>
      <c r="D2841" s="105" t="n">
        <v>0.1667</v>
      </c>
      <c r="E2841" s="106" t="n">
        <v>50</v>
      </c>
      <c r="F2841" s="107" t="n">
        <f aca="false">IF($C2841="","",$D2841*$E2841)</f>
        <v>8.335</v>
      </c>
      <c r="G2841" s="107" t="n">
        <f aca="false">IF($C2841="","",$D2841*IFERROR(INDEX('تحليل التكلفة والسعر'!$C$2:$C$700,MATCH($C2841,'تحليل التكلفة والسعر'!$B$2:$B$700,0)),0))</f>
        <v>3.5007</v>
      </c>
      <c r="H2841" s="104" t="s">
        <v>719</v>
      </c>
    </row>
    <row r="2842" customFormat="false" ht="15" hidden="false" customHeight="false" outlineLevel="0" collapsed="false">
      <c r="A2842" s="103" t="n">
        <v>46304</v>
      </c>
      <c r="B2842" s="104" t="s">
        <v>32</v>
      </c>
      <c r="C2842" s="104" t="s">
        <v>756</v>
      </c>
      <c r="D2842" s="105" t="n">
        <v>0.1667</v>
      </c>
      <c r="E2842" s="106" t="n">
        <v>50</v>
      </c>
      <c r="F2842" s="107" t="n">
        <f aca="false">IF($C2842="","",$D2842*$E2842)</f>
        <v>8.335</v>
      </c>
      <c r="G2842" s="107" t="n">
        <f aca="false">IF($C2842="","",$D2842*IFERROR(INDEX('تحليل التكلفة والسعر'!$C$2:$C$700,MATCH($C2842,'تحليل التكلفة والسعر'!$B$2:$B$700,0)),0))</f>
        <v>3.5007</v>
      </c>
      <c r="H2842" s="104" t="s">
        <v>719</v>
      </c>
    </row>
    <row r="2843" customFormat="false" ht="15" hidden="false" customHeight="false" outlineLevel="0" collapsed="false">
      <c r="A2843" s="103" t="n">
        <v>46305</v>
      </c>
      <c r="B2843" s="104" t="s">
        <v>32</v>
      </c>
      <c r="C2843" s="104" t="s">
        <v>756</v>
      </c>
      <c r="D2843" s="105" t="n">
        <v>0.1667</v>
      </c>
      <c r="E2843" s="106" t="n">
        <v>50</v>
      </c>
      <c r="F2843" s="107" t="n">
        <f aca="false">IF($C2843="","",$D2843*$E2843)</f>
        <v>8.335</v>
      </c>
      <c r="G2843" s="107" t="n">
        <f aca="false">IF($C2843="","",$D2843*IFERROR(INDEX('تحليل التكلفة والسعر'!$C$2:$C$700,MATCH($C2843,'تحليل التكلفة والسعر'!$B$2:$B$700,0)),0))</f>
        <v>3.5007</v>
      </c>
      <c r="H2843" s="104" t="s">
        <v>719</v>
      </c>
    </row>
    <row r="2844" customFormat="false" ht="15" hidden="false" customHeight="false" outlineLevel="0" collapsed="false">
      <c r="A2844" s="103" t="n">
        <v>46306</v>
      </c>
      <c r="B2844" s="104" t="s">
        <v>32</v>
      </c>
      <c r="C2844" s="104" t="s">
        <v>756</v>
      </c>
      <c r="D2844" s="105" t="n">
        <v>0.1667</v>
      </c>
      <c r="E2844" s="106" t="n">
        <v>50</v>
      </c>
      <c r="F2844" s="107" t="n">
        <f aca="false">IF($C2844="","",$D2844*$E2844)</f>
        <v>8.335</v>
      </c>
      <c r="G2844" s="107" t="n">
        <f aca="false">IF($C2844="","",$D2844*IFERROR(INDEX('تحليل التكلفة والسعر'!$C$2:$C$700,MATCH($C2844,'تحليل التكلفة والسعر'!$B$2:$B$700,0)),0))</f>
        <v>3.5007</v>
      </c>
      <c r="H2844" s="104" t="s">
        <v>719</v>
      </c>
    </row>
    <row r="2845" customFormat="false" ht="15" hidden="false" customHeight="false" outlineLevel="0" collapsed="false">
      <c r="A2845" s="103" t="n">
        <v>46307</v>
      </c>
      <c r="B2845" s="104" t="s">
        <v>32</v>
      </c>
      <c r="C2845" s="104" t="s">
        <v>756</v>
      </c>
      <c r="D2845" s="105" t="n">
        <v>0.1667</v>
      </c>
      <c r="E2845" s="106" t="n">
        <v>50</v>
      </c>
      <c r="F2845" s="107" t="n">
        <f aca="false">IF($C2845="","",$D2845*$E2845)</f>
        <v>8.335</v>
      </c>
      <c r="G2845" s="107" t="n">
        <f aca="false">IF($C2845="","",$D2845*IFERROR(INDEX('تحليل التكلفة والسعر'!$C$2:$C$700,MATCH($C2845,'تحليل التكلفة والسعر'!$B$2:$B$700,0)),0))</f>
        <v>3.5007</v>
      </c>
      <c r="H2845" s="104" t="s">
        <v>719</v>
      </c>
    </row>
    <row r="2846" customFormat="false" ht="15" hidden="false" customHeight="false" outlineLevel="0" collapsed="false">
      <c r="A2846" s="103" t="n">
        <v>46296</v>
      </c>
      <c r="B2846" s="104" t="s">
        <v>32</v>
      </c>
      <c r="C2846" s="104" t="s">
        <v>757</v>
      </c>
      <c r="D2846" s="105" t="n">
        <v>0.1667</v>
      </c>
      <c r="E2846" s="106" t="n">
        <v>52.5</v>
      </c>
      <c r="F2846" s="107" t="n">
        <f aca="false">IF($C2846="","",$D2846*$E2846)</f>
        <v>8.75175</v>
      </c>
      <c r="G2846" s="107" t="n">
        <f aca="false">IF($C2846="","",$D2846*IFERROR(INDEX('تحليل التكلفة والسعر'!$C$2:$C$700,MATCH($C2846,'تحليل التكلفة والسعر'!$B$2:$B$700,0)),0))</f>
        <v>3.8341</v>
      </c>
      <c r="H2846" s="104" t="s">
        <v>719</v>
      </c>
    </row>
    <row r="2847" customFormat="false" ht="15" hidden="false" customHeight="false" outlineLevel="0" collapsed="false">
      <c r="A2847" s="103" t="n">
        <v>46297</v>
      </c>
      <c r="B2847" s="104" t="s">
        <v>32</v>
      </c>
      <c r="C2847" s="104" t="s">
        <v>757</v>
      </c>
      <c r="D2847" s="105" t="n">
        <v>0.1667</v>
      </c>
      <c r="E2847" s="106" t="n">
        <v>52.5</v>
      </c>
      <c r="F2847" s="107" t="n">
        <f aca="false">IF($C2847="","",$D2847*$E2847)</f>
        <v>8.75175</v>
      </c>
      <c r="G2847" s="107" t="n">
        <f aca="false">IF($C2847="","",$D2847*IFERROR(INDEX('تحليل التكلفة والسعر'!$C$2:$C$700,MATCH($C2847,'تحليل التكلفة والسعر'!$B$2:$B$700,0)),0))</f>
        <v>3.8341</v>
      </c>
      <c r="H2847" s="104" t="s">
        <v>719</v>
      </c>
    </row>
    <row r="2848" customFormat="false" ht="15" hidden="false" customHeight="false" outlineLevel="0" collapsed="false">
      <c r="A2848" s="103" t="n">
        <v>46298</v>
      </c>
      <c r="B2848" s="104" t="s">
        <v>32</v>
      </c>
      <c r="C2848" s="104" t="s">
        <v>757</v>
      </c>
      <c r="D2848" s="105" t="n">
        <v>0.1667</v>
      </c>
      <c r="E2848" s="106" t="n">
        <v>52.5</v>
      </c>
      <c r="F2848" s="107" t="n">
        <f aca="false">IF($C2848="","",$D2848*$E2848)</f>
        <v>8.75175</v>
      </c>
      <c r="G2848" s="107" t="n">
        <f aca="false">IF($C2848="","",$D2848*IFERROR(INDEX('تحليل التكلفة والسعر'!$C$2:$C$700,MATCH($C2848,'تحليل التكلفة والسعر'!$B$2:$B$700,0)),0))</f>
        <v>3.8341</v>
      </c>
      <c r="H2848" s="104" t="s">
        <v>719</v>
      </c>
    </row>
    <row r="2849" customFormat="false" ht="15" hidden="false" customHeight="false" outlineLevel="0" collapsed="false">
      <c r="A2849" s="103" t="n">
        <v>46299</v>
      </c>
      <c r="B2849" s="104" t="s">
        <v>32</v>
      </c>
      <c r="C2849" s="104" t="s">
        <v>757</v>
      </c>
      <c r="D2849" s="105" t="n">
        <v>0.1667</v>
      </c>
      <c r="E2849" s="106" t="n">
        <v>52.5</v>
      </c>
      <c r="F2849" s="107" t="n">
        <f aca="false">IF($C2849="","",$D2849*$E2849)</f>
        <v>8.75175</v>
      </c>
      <c r="G2849" s="107" t="n">
        <f aca="false">IF($C2849="","",$D2849*IFERROR(INDEX('تحليل التكلفة والسعر'!$C$2:$C$700,MATCH($C2849,'تحليل التكلفة والسعر'!$B$2:$B$700,0)),0))</f>
        <v>3.8341</v>
      </c>
      <c r="H2849" s="104" t="s">
        <v>719</v>
      </c>
    </row>
    <row r="2850" customFormat="false" ht="15" hidden="false" customHeight="false" outlineLevel="0" collapsed="false">
      <c r="A2850" s="103" t="n">
        <v>46300</v>
      </c>
      <c r="B2850" s="104" t="s">
        <v>32</v>
      </c>
      <c r="C2850" s="104" t="s">
        <v>757</v>
      </c>
      <c r="D2850" s="105" t="n">
        <v>0.1667</v>
      </c>
      <c r="E2850" s="106" t="n">
        <v>52.5</v>
      </c>
      <c r="F2850" s="107" t="n">
        <f aca="false">IF($C2850="","",$D2850*$E2850)</f>
        <v>8.75175</v>
      </c>
      <c r="G2850" s="107" t="n">
        <f aca="false">IF($C2850="","",$D2850*IFERROR(INDEX('تحليل التكلفة والسعر'!$C$2:$C$700,MATCH($C2850,'تحليل التكلفة والسعر'!$B$2:$B$700,0)),0))</f>
        <v>3.8341</v>
      </c>
      <c r="H2850" s="104" t="s">
        <v>719</v>
      </c>
    </row>
    <row r="2851" customFormat="false" ht="15" hidden="false" customHeight="false" outlineLevel="0" collapsed="false">
      <c r="A2851" s="103" t="n">
        <v>46301</v>
      </c>
      <c r="B2851" s="104" t="s">
        <v>32</v>
      </c>
      <c r="C2851" s="104" t="s">
        <v>757</v>
      </c>
      <c r="D2851" s="105" t="n">
        <v>0.1667</v>
      </c>
      <c r="E2851" s="106" t="n">
        <v>52.5</v>
      </c>
      <c r="F2851" s="107" t="n">
        <f aca="false">IF($C2851="","",$D2851*$E2851)</f>
        <v>8.75175</v>
      </c>
      <c r="G2851" s="107" t="n">
        <f aca="false">IF($C2851="","",$D2851*IFERROR(INDEX('تحليل التكلفة والسعر'!$C$2:$C$700,MATCH($C2851,'تحليل التكلفة والسعر'!$B$2:$B$700,0)),0))</f>
        <v>3.8341</v>
      </c>
      <c r="H2851" s="104" t="s">
        <v>719</v>
      </c>
    </row>
    <row r="2852" customFormat="false" ht="15" hidden="false" customHeight="false" outlineLevel="0" collapsed="false">
      <c r="A2852" s="103" t="n">
        <v>46302</v>
      </c>
      <c r="B2852" s="104" t="s">
        <v>32</v>
      </c>
      <c r="C2852" s="104" t="s">
        <v>757</v>
      </c>
      <c r="D2852" s="105" t="n">
        <v>0.1667</v>
      </c>
      <c r="E2852" s="106" t="n">
        <v>52.5</v>
      </c>
      <c r="F2852" s="107" t="n">
        <f aca="false">IF($C2852="","",$D2852*$E2852)</f>
        <v>8.75175</v>
      </c>
      <c r="G2852" s="107" t="n">
        <f aca="false">IF($C2852="","",$D2852*IFERROR(INDEX('تحليل التكلفة والسعر'!$C$2:$C$700,MATCH($C2852,'تحليل التكلفة والسعر'!$B$2:$B$700,0)),0))</f>
        <v>3.8341</v>
      </c>
      <c r="H2852" s="104" t="s">
        <v>719</v>
      </c>
    </row>
    <row r="2853" customFormat="false" ht="15" hidden="false" customHeight="false" outlineLevel="0" collapsed="false">
      <c r="A2853" s="103" t="n">
        <v>46303</v>
      </c>
      <c r="B2853" s="104" t="s">
        <v>32</v>
      </c>
      <c r="C2853" s="104" t="s">
        <v>757</v>
      </c>
      <c r="D2853" s="105" t="n">
        <v>0.1667</v>
      </c>
      <c r="E2853" s="106" t="n">
        <v>52.5</v>
      </c>
      <c r="F2853" s="107" t="n">
        <f aca="false">IF($C2853="","",$D2853*$E2853)</f>
        <v>8.75175</v>
      </c>
      <c r="G2853" s="107" t="n">
        <f aca="false">IF($C2853="","",$D2853*IFERROR(INDEX('تحليل التكلفة والسعر'!$C$2:$C$700,MATCH($C2853,'تحليل التكلفة والسعر'!$B$2:$B$700,0)),0))</f>
        <v>3.8341</v>
      </c>
      <c r="H2853" s="104" t="s">
        <v>719</v>
      </c>
    </row>
    <row r="2854" customFormat="false" ht="15" hidden="false" customHeight="false" outlineLevel="0" collapsed="false">
      <c r="A2854" s="103" t="n">
        <v>46304</v>
      </c>
      <c r="B2854" s="104" t="s">
        <v>32</v>
      </c>
      <c r="C2854" s="104" t="s">
        <v>757</v>
      </c>
      <c r="D2854" s="105" t="n">
        <v>0.1667</v>
      </c>
      <c r="E2854" s="106" t="n">
        <v>52.5</v>
      </c>
      <c r="F2854" s="107" t="n">
        <f aca="false">IF($C2854="","",$D2854*$E2854)</f>
        <v>8.75175</v>
      </c>
      <c r="G2854" s="107" t="n">
        <f aca="false">IF($C2854="","",$D2854*IFERROR(INDEX('تحليل التكلفة والسعر'!$C$2:$C$700,MATCH($C2854,'تحليل التكلفة والسعر'!$B$2:$B$700,0)),0))</f>
        <v>3.8341</v>
      </c>
      <c r="H2854" s="104" t="s">
        <v>719</v>
      </c>
    </row>
    <row r="2855" customFormat="false" ht="15" hidden="false" customHeight="false" outlineLevel="0" collapsed="false">
      <c r="A2855" s="103" t="n">
        <v>46305</v>
      </c>
      <c r="B2855" s="104" t="s">
        <v>32</v>
      </c>
      <c r="C2855" s="104" t="s">
        <v>757</v>
      </c>
      <c r="D2855" s="105" t="n">
        <v>0.1667</v>
      </c>
      <c r="E2855" s="106" t="n">
        <v>52.5</v>
      </c>
      <c r="F2855" s="107" t="n">
        <f aca="false">IF($C2855="","",$D2855*$E2855)</f>
        <v>8.75175</v>
      </c>
      <c r="G2855" s="107" t="n">
        <f aca="false">IF($C2855="","",$D2855*IFERROR(INDEX('تحليل التكلفة والسعر'!$C$2:$C$700,MATCH($C2855,'تحليل التكلفة والسعر'!$B$2:$B$700,0)),0))</f>
        <v>3.8341</v>
      </c>
      <c r="H2855" s="104" t="s">
        <v>719</v>
      </c>
    </row>
    <row r="2856" customFormat="false" ht="15" hidden="false" customHeight="false" outlineLevel="0" collapsed="false">
      <c r="A2856" s="103" t="n">
        <v>46306</v>
      </c>
      <c r="B2856" s="104" t="s">
        <v>32</v>
      </c>
      <c r="C2856" s="104" t="s">
        <v>757</v>
      </c>
      <c r="D2856" s="105" t="n">
        <v>0.1667</v>
      </c>
      <c r="E2856" s="106" t="n">
        <v>52.5</v>
      </c>
      <c r="F2856" s="107" t="n">
        <f aca="false">IF($C2856="","",$D2856*$E2856)</f>
        <v>8.75175</v>
      </c>
      <c r="G2856" s="107" t="n">
        <f aca="false">IF($C2856="","",$D2856*IFERROR(INDEX('تحليل التكلفة والسعر'!$C$2:$C$700,MATCH($C2856,'تحليل التكلفة والسعر'!$B$2:$B$700,0)),0))</f>
        <v>3.8341</v>
      </c>
      <c r="H2856" s="104" t="s">
        <v>719</v>
      </c>
    </row>
    <row r="2857" customFormat="false" ht="15" hidden="false" customHeight="false" outlineLevel="0" collapsed="false">
      <c r="A2857" s="103" t="n">
        <v>46307</v>
      </c>
      <c r="B2857" s="104" t="s">
        <v>32</v>
      </c>
      <c r="C2857" s="104" t="s">
        <v>757</v>
      </c>
      <c r="D2857" s="105" t="n">
        <v>0.1667</v>
      </c>
      <c r="E2857" s="106" t="n">
        <v>52.5</v>
      </c>
      <c r="F2857" s="107" t="n">
        <f aca="false">IF($C2857="","",$D2857*$E2857)</f>
        <v>8.75175</v>
      </c>
      <c r="G2857" s="107" t="n">
        <f aca="false">IF($C2857="","",$D2857*IFERROR(INDEX('تحليل التكلفة والسعر'!$C$2:$C$700,MATCH($C2857,'تحليل التكلفة والسعر'!$B$2:$B$700,0)),0))</f>
        <v>3.8341</v>
      </c>
      <c r="H2857" s="104" t="s">
        <v>719</v>
      </c>
    </row>
    <row r="2858" customFormat="false" ht="15" hidden="false" customHeight="false" outlineLevel="0" collapsed="false">
      <c r="A2858" s="103" t="n">
        <v>46296</v>
      </c>
      <c r="B2858" s="104" t="s">
        <v>32</v>
      </c>
      <c r="C2858" s="104" t="s">
        <v>740</v>
      </c>
      <c r="D2858" s="105" t="n">
        <v>0.1667</v>
      </c>
      <c r="E2858" s="106" t="n">
        <v>60</v>
      </c>
      <c r="F2858" s="107" t="n">
        <f aca="false">IF($C2858="","",$D2858*$E2858)</f>
        <v>10.002</v>
      </c>
      <c r="G2858" s="107" t="n">
        <f aca="false">IF($C2858="","",$D2858*IFERROR(INDEX('تحليل التكلفة والسعر'!$C$2:$C$700,MATCH($C2858,'تحليل التكلفة والسعر'!$B$2:$B$700,0)),0))</f>
        <v>5.592785</v>
      </c>
      <c r="H2858" s="104" t="s">
        <v>719</v>
      </c>
    </row>
    <row r="2859" customFormat="false" ht="15" hidden="false" customHeight="false" outlineLevel="0" collapsed="false">
      <c r="A2859" s="103" t="n">
        <v>46297</v>
      </c>
      <c r="B2859" s="104" t="s">
        <v>32</v>
      </c>
      <c r="C2859" s="104" t="s">
        <v>740</v>
      </c>
      <c r="D2859" s="105" t="n">
        <v>0.1667</v>
      </c>
      <c r="E2859" s="106" t="n">
        <v>60</v>
      </c>
      <c r="F2859" s="107" t="n">
        <f aca="false">IF($C2859="","",$D2859*$E2859)</f>
        <v>10.002</v>
      </c>
      <c r="G2859" s="107" t="n">
        <f aca="false">IF($C2859="","",$D2859*IFERROR(INDEX('تحليل التكلفة والسعر'!$C$2:$C$700,MATCH($C2859,'تحليل التكلفة والسعر'!$B$2:$B$700,0)),0))</f>
        <v>5.592785</v>
      </c>
      <c r="H2859" s="104" t="s">
        <v>719</v>
      </c>
    </row>
    <row r="2860" customFormat="false" ht="15" hidden="false" customHeight="false" outlineLevel="0" collapsed="false">
      <c r="A2860" s="103" t="n">
        <v>46298</v>
      </c>
      <c r="B2860" s="104" t="s">
        <v>32</v>
      </c>
      <c r="C2860" s="104" t="s">
        <v>740</v>
      </c>
      <c r="D2860" s="105" t="n">
        <v>0.1667</v>
      </c>
      <c r="E2860" s="106" t="n">
        <v>60</v>
      </c>
      <c r="F2860" s="107" t="n">
        <f aca="false">IF($C2860="","",$D2860*$E2860)</f>
        <v>10.002</v>
      </c>
      <c r="G2860" s="107" t="n">
        <f aca="false">IF($C2860="","",$D2860*IFERROR(INDEX('تحليل التكلفة والسعر'!$C$2:$C$700,MATCH($C2860,'تحليل التكلفة والسعر'!$B$2:$B$700,0)),0))</f>
        <v>5.592785</v>
      </c>
      <c r="H2860" s="104" t="s">
        <v>719</v>
      </c>
    </row>
    <row r="2861" customFormat="false" ht="15" hidden="false" customHeight="false" outlineLevel="0" collapsed="false">
      <c r="A2861" s="103" t="n">
        <v>46299</v>
      </c>
      <c r="B2861" s="104" t="s">
        <v>32</v>
      </c>
      <c r="C2861" s="104" t="s">
        <v>740</v>
      </c>
      <c r="D2861" s="105" t="n">
        <v>0.1667</v>
      </c>
      <c r="E2861" s="106" t="n">
        <v>60</v>
      </c>
      <c r="F2861" s="107" t="n">
        <f aca="false">IF($C2861="","",$D2861*$E2861)</f>
        <v>10.002</v>
      </c>
      <c r="G2861" s="107" t="n">
        <f aca="false">IF($C2861="","",$D2861*IFERROR(INDEX('تحليل التكلفة والسعر'!$C$2:$C$700,MATCH($C2861,'تحليل التكلفة والسعر'!$B$2:$B$700,0)),0))</f>
        <v>5.592785</v>
      </c>
      <c r="H2861" s="104" t="s">
        <v>719</v>
      </c>
    </row>
    <row r="2862" customFormat="false" ht="15" hidden="false" customHeight="false" outlineLevel="0" collapsed="false">
      <c r="A2862" s="103" t="n">
        <v>46300</v>
      </c>
      <c r="B2862" s="104" t="s">
        <v>32</v>
      </c>
      <c r="C2862" s="104" t="s">
        <v>740</v>
      </c>
      <c r="D2862" s="105" t="n">
        <v>0.1667</v>
      </c>
      <c r="E2862" s="106" t="n">
        <v>60</v>
      </c>
      <c r="F2862" s="107" t="n">
        <f aca="false">IF($C2862="","",$D2862*$E2862)</f>
        <v>10.002</v>
      </c>
      <c r="G2862" s="107" t="n">
        <f aca="false">IF($C2862="","",$D2862*IFERROR(INDEX('تحليل التكلفة والسعر'!$C$2:$C$700,MATCH($C2862,'تحليل التكلفة والسعر'!$B$2:$B$700,0)),0))</f>
        <v>5.592785</v>
      </c>
      <c r="H2862" s="104" t="s">
        <v>719</v>
      </c>
    </row>
    <row r="2863" customFormat="false" ht="15" hidden="false" customHeight="false" outlineLevel="0" collapsed="false">
      <c r="A2863" s="103" t="n">
        <v>46301</v>
      </c>
      <c r="B2863" s="104" t="s">
        <v>32</v>
      </c>
      <c r="C2863" s="104" t="s">
        <v>740</v>
      </c>
      <c r="D2863" s="105" t="n">
        <v>0.1667</v>
      </c>
      <c r="E2863" s="106" t="n">
        <v>60</v>
      </c>
      <c r="F2863" s="107" t="n">
        <f aca="false">IF($C2863="","",$D2863*$E2863)</f>
        <v>10.002</v>
      </c>
      <c r="G2863" s="107" t="n">
        <f aca="false">IF($C2863="","",$D2863*IFERROR(INDEX('تحليل التكلفة والسعر'!$C$2:$C$700,MATCH($C2863,'تحليل التكلفة والسعر'!$B$2:$B$700,0)),0))</f>
        <v>5.592785</v>
      </c>
      <c r="H2863" s="104" t="s">
        <v>719</v>
      </c>
    </row>
    <row r="2864" customFormat="false" ht="15" hidden="false" customHeight="false" outlineLevel="0" collapsed="false">
      <c r="A2864" s="103" t="n">
        <v>46302</v>
      </c>
      <c r="B2864" s="104" t="s">
        <v>32</v>
      </c>
      <c r="C2864" s="104" t="s">
        <v>740</v>
      </c>
      <c r="D2864" s="105" t="n">
        <v>0.1667</v>
      </c>
      <c r="E2864" s="106" t="n">
        <v>60</v>
      </c>
      <c r="F2864" s="107" t="n">
        <f aca="false">IF($C2864="","",$D2864*$E2864)</f>
        <v>10.002</v>
      </c>
      <c r="G2864" s="107" t="n">
        <f aca="false">IF($C2864="","",$D2864*IFERROR(INDEX('تحليل التكلفة والسعر'!$C$2:$C$700,MATCH($C2864,'تحليل التكلفة والسعر'!$B$2:$B$700,0)),0))</f>
        <v>5.592785</v>
      </c>
      <c r="H2864" s="104" t="s">
        <v>719</v>
      </c>
    </row>
    <row r="2865" customFormat="false" ht="15" hidden="false" customHeight="false" outlineLevel="0" collapsed="false">
      <c r="A2865" s="103" t="n">
        <v>46303</v>
      </c>
      <c r="B2865" s="104" t="s">
        <v>32</v>
      </c>
      <c r="C2865" s="104" t="s">
        <v>740</v>
      </c>
      <c r="D2865" s="105" t="n">
        <v>0.1667</v>
      </c>
      <c r="E2865" s="106" t="n">
        <v>60</v>
      </c>
      <c r="F2865" s="107" t="n">
        <f aca="false">IF($C2865="","",$D2865*$E2865)</f>
        <v>10.002</v>
      </c>
      <c r="G2865" s="107" t="n">
        <f aca="false">IF($C2865="","",$D2865*IFERROR(INDEX('تحليل التكلفة والسعر'!$C$2:$C$700,MATCH($C2865,'تحليل التكلفة والسعر'!$B$2:$B$700,0)),0))</f>
        <v>5.592785</v>
      </c>
      <c r="H2865" s="104" t="s">
        <v>719</v>
      </c>
    </row>
    <row r="2866" customFormat="false" ht="15" hidden="false" customHeight="false" outlineLevel="0" collapsed="false">
      <c r="A2866" s="103" t="n">
        <v>46304</v>
      </c>
      <c r="B2866" s="104" t="s">
        <v>32</v>
      </c>
      <c r="C2866" s="104" t="s">
        <v>740</v>
      </c>
      <c r="D2866" s="105" t="n">
        <v>0.1667</v>
      </c>
      <c r="E2866" s="106" t="n">
        <v>60</v>
      </c>
      <c r="F2866" s="107" t="n">
        <f aca="false">IF($C2866="","",$D2866*$E2866)</f>
        <v>10.002</v>
      </c>
      <c r="G2866" s="107" t="n">
        <f aca="false">IF($C2866="","",$D2866*IFERROR(INDEX('تحليل التكلفة والسعر'!$C$2:$C$700,MATCH($C2866,'تحليل التكلفة والسعر'!$B$2:$B$700,0)),0))</f>
        <v>5.592785</v>
      </c>
      <c r="H2866" s="104" t="s">
        <v>719</v>
      </c>
    </row>
    <row r="2867" customFormat="false" ht="15" hidden="false" customHeight="false" outlineLevel="0" collapsed="false">
      <c r="A2867" s="103" t="n">
        <v>46305</v>
      </c>
      <c r="B2867" s="104" t="s">
        <v>32</v>
      </c>
      <c r="C2867" s="104" t="s">
        <v>740</v>
      </c>
      <c r="D2867" s="105" t="n">
        <v>0.1667</v>
      </c>
      <c r="E2867" s="106" t="n">
        <v>60</v>
      </c>
      <c r="F2867" s="107" t="n">
        <f aca="false">IF($C2867="","",$D2867*$E2867)</f>
        <v>10.002</v>
      </c>
      <c r="G2867" s="107" t="n">
        <f aca="false">IF($C2867="","",$D2867*IFERROR(INDEX('تحليل التكلفة والسعر'!$C$2:$C$700,MATCH($C2867,'تحليل التكلفة والسعر'!$B$2:$B$700,0)),0))</f>
        <v>5.592785</v>
      </c>
      <c r="H2867" s="104" t="s">
        <v>719</v>
      </c>
    </row>
    <row r="2868" customFormat="false" ht="15" hidden="false" customHeight="false" outlineLevel="0" collapsed="false">
      <c r="A2868" s="103" t="n">
        <v>46306</v>
      </c>
      <c r="B2868" s="104" t="s">
        <v>32</v>
      </c>
      <c r="C2868" s="104" t="s">
        <v>740</v>
      </c>
      <c r="D2868" s="105" t="n">
        <v>0.1667</v>
      </c>
      <c r="E2868" s="106" t="n">
        <v>60</v>
      </c>
      <c r="F2868" s="107" t="n">
        <f aca="false">IF($C2868="","",$D2868*$E2868)</f>
        <v>10.002</v>
      </c>
      <c r="G2868" s="107" t="n">
        <f aca="false">IF($C2868="","",$D2868*IFERROR(INDEX('تحليل التكلفة والسعر'!$C$2:$C$700,MATCH($C2868,'تحليل التكلفة والسعر'!$B$2:$B$700,0)),0))</f>
        <v>5.592785</v>
      </c>
      <c r="H2868" s="104" t="s">
        <v>719</v>
      </c>
    </row>
    <row r="2869" customFormat="false" ht="15" hidden="false" customHeight="false" outlineLevel="0" collapsed="false">
      <c r="A2869" s="103" t="n">
        <v>46307</v>
      </c>
      <c r="B2869" s="104" t="s">
        <v>32</v>
      </c>
      <c r="C2869" s="104" t="s">
        <v>740</v>
      </c>
      <c r="D2869" s="105" t="n">
        <v>0.1667</v>
      </c>
      <c r="E2869" s="106" t="n">
        <v>60</v>
      </c>
      <c r="F2869" s="107" t="n">
        <f aca="false">IF($C2869="","",$D2869*$E2869)</f>
        <v>10.002</v>
      </c>
      <c r="G2869" s="107" t="n">
        <f aca="false">IF($C2869="","",$D2869*IFERROR(INDEX('تحليل التكلفة والسعر'!$C$2:$C$700,MATCH($C2869,'تحليل التكلفة والسعر'!$B$2:$B$700,0)),0))</f>
        <v>5.592785</v>
      </c>
      <c r="H2869" s="104" t="s">
        <v>719</v>
      </c>
    </row>
    <row r="2870" customFormat="false" ht="15" hidden="false" customHeight="false" outlineLevel="0" collapsed="false">
      <c r="A2870" s="103" t="n">
        <v>46296</v>
      </c>
      <c r="B2870" s="104" t="s">
        <v>32</v>
      </c>
      <c r="C2870" s="104" t="s">
        <v>741</v>
      </c>
      <c r="D2870" s="105" t="n">
        <v>0.4167</v>
      </c>
      <c r="E2870" s="106" t="n">
        <v>40</v>
      </c>
      <c r="F2870" s="107" t="n">
        <f aca="false">IF($C2870="","",$D2870*$E2870)</f>
        <v>16.668</v>
      </c>
      <c r="G2870" s="107" t="n">
        <f aca="false">IF($C2870="","",$D2870*IFERROR(INDEX('تحليل التكلفة والسعر'!$C$2:$C$700,MATCH($C2870,'تحليل التكلفة والسعر'!$B$2:$B$700,0)),0))</f>
        <v>7.2818325</v>
      </c>
      <c r="H2870" s="104" t="s">
        <v>719</v>
      </c>
    </row>
    <row r="2871" customFormat="false" ht="15" hidden="false" customHeight="false" outlineLevel="0" collapsed="false">
      <c r="A2871" s="103" t="n">
        <v>46297</v>
      </c>
      <c r="B2871" s="104" t="s">
        <v>32</v>
      </c>
      <c r="C2871" s="104" t="s">
        <v>741</v>
      </c>
      <c r="D2871" s="105" t="n">
        <v>0.4167</v>
      </c>
      <c r="E2871" s="106" t="n">
        <v>40</v>
      </c>
      <c r="F2871" s="107" t="n">
        <f aca="false">IF($C2871="","",$D2871*$E2871)</f>
        <v>16.668</v>
      </c>
      <c r="G2871" s="107" t="n">
        <f aca="false">IF($C2871="","",$D2871*IFERROR(INDEX('تحليل التكلفة والسعر'!$C$2:$C$700,MATCH($C2871,'تحليل التكلفة والسعر'!$B$2:$B$700,0)),0))</f>
        <v>7.2818325</v>
      </c>
      <c r="H2871" s="104" t="s">
        <v>719</v>
      </c>
    </row>
    <row r="2872" customFormat="false" ht="15" hidden="false" customHeight="false" outlineLevel="0" collapsed="false">
      <c r="A2872" s="103" t="n">
        <v>46298</v>
      </c>
      <c r="B2872" s="104" t="s">
        <v>32</v>
      </c>
      <c r="C2872" s="104" t="s">
        <v>741</v>
      </c>
      <c r="D2872" s="105" t="n">
        <v>0.4167</v>
      </c>
      <c r="E2872" s="106" t="n">
        <v>40</v>
      </c>
      <c r="F2872" s="107" t="n">
        <f aca="false">IF($C2872="","",$D2872*$E2872)</f>
        <v>16.668</v>
      </c>
      <c r="G2872" s="107" t="n">
        <f aca="false">IF($C2872="","",$D2872*IFERROR(INDEX('تحليل التكلفة والسعر'!$C$2:$C$700,MATCH($C2872,'تحليل التكلفة والسعر'!$B$2:$B$700,0)),0))</f>
        <v>7.2818325</v>
      </c>
      <c r="H2872" s="104" t="s">
        <v>719</v>
      </c>
    </row>
    <row r="2873" customFormat="false" ht="15" hidden="false" customHeight="false" outlineLevel="0" collapsed="false">
      <c r="A2873" s="103" t="n">
        <v>46299</v>
      </c>
      <c r="B2873" s="104" t="s">
        <v>32</v>
      </c>
      <c r="C2873" s="104" t="s">
        <v>741</v>
      </c>
      <c r="D2873" s="105" t="n">
        <v>0.4167</v>
      </c>
      <c r="E2873" s="106" t="n">
        <v>40</v>
      </c>
      <c r="F2873" s="107" t="n">
        <f aca="false">IF($C2873="","",$D2873*$E2873)</f>
        <v>16.668</v>
      </c>
      <c r="G2873" s="107" t="n">
        <f aca="false">IF($C2873="","",$D2873*IFERROR(INDEX('تحليل التكلفة والسعر'!$C$2:$C$700,MATCH($C2873,'تحليل التكلفة والسعر'!$B$2:$B$700,0)),0))</f>
        <v>7.2818325</v>
      </c>
      <c r="H2873" s="104" t="s">
        <v>719</v>
      </c>
    </row>
    <row r="2874" customFormat="false" ht="15" hidden="false" customHeight="false" outlineLevel="0" collapsed="false">
      <c r="A2874" s="103" t="n">
        <v>46300</v>
      </c>
      <c r="B2874" s="104" t="s">
        <v>32</v>
      </c>
      <c r="C2874" s="104" t="s">
        <v>741</v>
      </c>
      <c r="D2874" s="105" t="n">
        <v>0.4167</v>
      </c>
      <c r="E2874" s="106" t="n">
        <v>40</v>
      </c>
      <c r="F2874" s="107" t="n">
        <f aca="false">IF($C2874="","",$D2874*$E2874)</f>
        <v>16.668</v>
      </c>
      <c r="G2874" s="107" t="n">
        <f aca="false">IF($C2874="","",$D2874*IFERROR(INDEX('تحليل التكلفة والسعر'!$C$2:$C$700,MATCH($C2874,'تحليل التكلفة والسعر'!$B$2:$B$700,0)),0))</f>
        <v>7.2818325</v>
      </c>
      <c r="H2874" s="104" t="s">
        <v>719</v>
      </c>
    </row>
    <row r="2875" customFormat="false" ht="15" hidden="false" customHeight="false" outlineLevel="0" collapsed="false">
      <c r="A2875" s="103" t="n">
        <v>46301</v>
      </c>
      <c r="B2875" s="104" t="s">
        <v>32</v>
      </c>
      <c r="C2875" s="104" t="s">
        <v>741</v>
      </c>
      <c r="D2875" s="105" t="n">
        <v>0.4167</v>
      </c>
      <c r="E2875" s="106" t="n">
        <v>40</v>
      </c>
      <c r="F2875" s="107" t="n">
        <f aca="false">IF($C2875="","",$D2875*$E2875)</f>
        <v>16.668</v>
      </c>
      <c r="G2875" s="107" t="n">
        <f aca="false">IF($C2875="","",$D2875*IFERROR(INDEX('تحليل التكلفة والسعر'!$C$2:$C$700,MATCH($C2875,'تحليل التكلفة والسعر'!$B$2:$B$700,0)),0))</f>
        <v>7.2818325</v>
      </c>
      <c r="H2875" s="104" t="s">
        <v>719</v>
      </c>
    </row>
    <row r="2876" customFormat="false" ht="15" hidden="false" customHeight="false" outlineLevel="0" collapsed="false">
      <c r="A2876" s="103" t="n">
        <v>46302</v>
      </c>
      <c r="B2876" s="104" t="s">
        <v>32</v>
      </c>
      <c r="C2876" s="104" t="s">
        <v>741</v>
      </c>
      <c r="D2876" s="105" t="n">
        <v>0.4167</v>
      </c>
      <c r="E2876" s="106" t="n">
        <v>40</v>
      </c>
      <c r="F2876" s="107" t="n">
        <f aca="false">IF($C2876="","",$D2876*$E2876)</f>
        <v>16.668</v>
      </c>
      <c r="G2876" s="107" t="n">
        <f aca="false">IF($C2876="","",$D2876*IFERROR(INDEX('تحليل التكلفة والسعر'!$C$2:$C$700,MATCH($C2876,'تحليل التكلفة والسعر'!$B$2:$B$700,0)),0))</f>
        <v>7.2818325</v>
      </c>
      <c r="H2876" s="104" t="s">
        <v>719</v>
      </c>
    </row>
    <row r="2877" customFormat="false" ht="15" hidden="false" customHeight="false" outlineLevel="0" collapsed="false">
      <c r="A2877" s="103" t="n">
        <v>46303</v>
      </c>
      <c r="B2877" s="104" t="s">
        <v>32</v>
      </c>
      <c r="C2877" s="104" t="s">
        <v>741</v>
      </c>
      <c r="D2877" s="105" t="n">
        <v>0.4167</v>
      </c>
      <c r="E2877" s="106" t="n">
        <v>40</v>
      </c>
      <c r="F2877" s="107" t="n">
        <f aca="false">IF($C2877="","",$D2877*$E2877)</f>
        <v>16.668</v>
      </c>
      <c r="G2877" s="107" t="n">
        <f aca="false">IF($C2877="","",$D2877*IFERROR(INDEX('تحليل التكلفة والسعر'!$C$2:$C$700,MATCH($C2877,'تحليل التكلفة والسعر'!$B$2:$B$700,0)),0))</f>
        <v>7.2818325</v>
      </c>
      <c r="H2877" s="104" t="s">
        <v>719</v>
      </c>
    </row>
    <row r="2878" customFormat="false" ht="15" hidden="false" customHeight="false" outlineLevel="0" collapsed="false">
      <c r="A2878" s="103" t="n">
        <v>46304</v>
      </c>
      <c r="B2878" s="104" t="s">
        <v>32</v>
      </c>
      <c r="C2878" s="104" t="s">
        <v>741</v>
      </c>
      <c r="D2878" s="105" t="n">
        <v>0.4167</v>
      </c>
      <c r="E2878" s="106" t="n">
        <v>40</v>
      </c>
      <c r="F2878" s="107" t="n">
        <f aca="false">IF($C2878="","",$D2878*$E2878)</f>
        <v>16.668</v>
      </c>
      <c r="G2878" s="107" t="n">
        <f aca="false">IF($C2878="","",$D2878*IFERROR(INDEX('تحليل التكلفة والسعر'!$C$2:$C$700,MATCH($C2878,'تحليل التكلفة والسعر'!$B$2:$B$700,0)),0))</f>
        <v>7.2818325</v>
      </c>
      <c r="H2878" s="104" t="s">
        <v>719</v>
      </c>
    </row>
    <row r="2879" customFormat="false" ht="15" hidden="false" customHeight="false" outlineLevel="0" collapsed="false">
      <c r="A2879" s="103" t="n">
        <v>46305</v>
      </c>
      <c r="B2879" s="104" t="s">
        <v>32</v>
      </c>
      <c r="C2879" s="104" t="s">
        <v>741</v>
      </c>
      <c r="D2879" s="105" t="n">
        <v>0.4167</v>
      </c>
      <c r="E2879" s="106" t="n">
        <v>40</v>
      </c>
      <c r="F2879" s="107" t="n">
        <f aca="false">IF($C2879="","",$D2879*$E2879)</f>
        <v>16.668</v>
      </c>
      <c r="G2879" s="107" t="n">
        <f aca="false">IF($C2879="","",$D2879*IFERROR(INDEX('تحليل التكلفة والسعر'!$C$2:$C$700,MATCH($C2879,'تحليل التكلفة والسعر'!$B$2:$B$700,0)),0))</f>
        <v>7.2818325</v>
      </c>
      <c r="H2879" s="104" t="s">
        <v>719</v>
      </c>
    </row>
    <row r="2880" customFormat="false" ht="15" hidden="false" customHeight="false" outlineLevel="0" collapsed="false">
      <c r="A2880" s="103" t="n">
        <v>46306</v>
      </c>
      <c r="B2880" s="104" t="s">
        <v>32</v>
      </c>
      <c r="C2880" s="104" t="s">
        <v>741</v>
      </c>
      <c r="D2880" s="105" t="n">
        <v>0.4167</v>
      </c>
      <c r="E2880" s="106" t="n">
        <v>40</v>
      </c>
      <c r="F2880" s="107" t="n">
        <f aca="false">IF($C2880="","",$D2880*$E2880)</f>
        <v>16.668</v>
      </c>
      <c r="G2880" s="107" t="n">
        <f aca="false">IF($C2880="","",$D2880*IFERROR(INDEX('تحليل التكلفة والسعر'!$C$2:$C$700,MATCH($C2880,'تحليل التكلفة والسعر'!$B$2:$B$700,0)),0))</f>
        <v>7.2818325</v>
      </c>
      <c r="H2880" s="104" t="s">
        <v>719</v>
      </c>
    </row>
    <row r="2881" customFormat="false" ht="15" hidden="false" customHeight="false" outlineLevel="0" collapsed="false">
      <c r="A2881" s="103" t="n">
        <v>46307</v>
      </c>
      <c r="B2881" s="104" t="s">
        <v>32</v>
      </c>
      <c r="C2881" s="104" t="s">
        <v>741</v>
      </c>
      <c r="D2881" s="105" t="n">
        <v>0.4167</v>
      </c>
      <c r="E2881" s="106" t="n">
        <v>40</v>
      </c>
      <c r="F2881" s="107" t="n">
        <f aca="false">IF($C2881="","",$D2881*$E2881)</f>
        <v>16.668</v>
      </c>
      <c r="G2881" s="107" t="n">
        <f aca="false">IF($C2881="","",$D2881*IFERROR(INDEX('تحليل التكلفة والسعر'!$C$2:$C$700,MATCH($C2881,'تحليل التكلفة والسعر'!$B$2:$B$700,0)),0))</f>
        <v>7.2818325</v>
      </c>
      <c r="H2881" s="104" t="s">
        <v>719</v>
      </c>
    </row>
    <row r="2882" customFormat="false" ht="15" hidden="false" customHeight="false" outlineLevel="0" collapsed="false">
      <c r="A2882" s="103" t="n">
        <v>46296</v>
      </c>
      <c r="B2882" s="104" t="s">
        <v>32</v>
      </c>
      <c r="C2882" s="104" t="s">
        <v>456</v>
      </c>
      <c r="D2882" s="105" t="n">
        <v>0.5</v>
      </c>
      <c r="E2882" s="106" t="n">
        <v>56.6667</v>
      </c>
      <c r="F2882" s="107" t="n">
        <f aca="false">IF($C2882="","",$D2882*$E2882)</f>
        <v>28.33335</v>
      </c>
      <c r="G2882" s="107" t="n">
        <f aca="false">IF($C2882="","",$D2882*IFERROR(INDEX('تحليل التكلفة والسعر'!$C$2:$C$700,MATCH($C2882,'تحليل التكلفة والسعر'!$B$2:$B$700,0)),0))</f>
        <v>12.56385</v>
      </c>
      <c r="H2882" s="104" t="s">
        <v>719</v>
      </c>
    </row>
    <row r="2883" customFormat="false" ht="15" hidden="false" customHeight="false" outlineLevel="0" collapsed="false">
      <c r="A2883" s="103" t="n">
        <v>46297</v>
      </c>
      <c r="B2883" s="104" t="s">
        <v>32</v>
      </c>
      <c r="C2883" s="104" t="s">
        <v>456</v>
      </c>
      <c r="D2883" s="105" t="n">
        <v>0.5</v>
      </c>
      <c r="E2883" s="106" t="n">
        <v>56.6667</v>
      </c>
      <c r="F2883" s="107" t="n">
        <f aca="false">IF($C2883="","",$D2883*$E2883)</f>
        <v>28.33335</v>
      </c>
      <c r="G2883" s="107" t="n">
        <f aca="false">IF($C2883="","",$D2883*IFERROR(INDEX('تحليل التكلفة والسعر'!$C$2:$C$700,MATCH($C2883,'تحليل التكلفة والسعر'!$B$2:$B$700,0)),0))</f>
        <v>12.56385</v>
      </c>
      <c r="H2883" s="104" t="s">
        <v>719</v>
      </c>
    </row>
    <row r="2884" customFormat="false" ht="15" hidden="false" customHeight="false" outlineLevel="0" collapsed="false">
      <c r="A2884" s="103" t="n">
        <v>46298</v>
      </c>
      <c r="B2884" s="104" t="s">
        <v>32</v>
      </c>
      <c r="C2884" s="104" t="s">
        <v>456</v>
      </c>
      <c r="D2884" s="105" t="n">
        <v>0.5</v>
      </c>
      <c r="E2884" s="106" t="n">
        <v>56.6667</v>
      </c>
      <c r="F2884" s="107" t="n">
        <f aca="false">IF($C2884="","",$D2884*$E2884)</f>
        <v>28.33335</v>
      </c>
      <c r="G2884" s="107" t="n">
        <f aca="false">IF($C2884="","",$D2884*IFERROR(INDEX('تحليل التكلفة والسعر'!$C$2:$C$700,MATCH($C2884,'تحليل التكلفة والسعر'!$B$2:$B$700,0)),0))</f>
        <v>12.56385</v>
      </c>
      <c r="H2884" s="104" t="s">
        <v>719</v>
      </c>
    </row>
    <row r="2885" customFormat="false" ht="15" hidden="false" customHeight="false" outlineLevel="0" collapsed="false">
      <c r="A2885" s="103" t="n">
        <v>46299</v>
      </c>
      <c r="B2885" s="104" t="s">
        <v>32</v>
      </c>
      <c r="C2885" s="104" t="s">
        <v>456</v>
      </c>
      <c r="D2885" s="105" t="n">
        <v>0.5</v>
      </c>
      <c r="E2885" s="106" t="n">
        <v>56.6667</v>
      </c>
      <c r="F2885" s="107" t="n">
        <f aca="false">IF($C2885="","",$D2885*$E2885)</f>
        <v>28.33335</v>
      </c>
      <c r="G2885" s="107" t="n">
        <f aca="false">IF($C2885="","",$D2885*IFERROR(INDEX('تحليل التكلفة والسعر'!$C$2:$C$700,MATCH($C2885,'تحليل التكلفة والسعر'!$B$2:$B$700,0)),0))</f>
        <v>12.56385</v>
      </c>
      <c r="H2885" s="104" t="s">
        <v>719</v>
      </c>
    </row>
    <row r="2886" customFormat="false" ht="15" hidden="false" customHeight="false" outlineLevel="0" collapsed="false">
      <c r="A2886" s="103" t="n">
        <v>46300</v>
      </c>
      <c r="B2886" s="104" t="s">
        <v>32</v>
      </c>
      <c r="C2886" s="104" t="s">
        <v>456</v>
      </c>
      <c r="D2886" s="105" t="n">
        <v>0.5</v>
      </c>
      <c r="E2886" s="106" t="n">
        <v>56.6667</v>
      </c>
      <c r="F2886" s="107" t="n">
        <f aca="false">IF($C2886="","",$D2886*$E2886)</f>
        <v>28.33335</v>
      </c>
      <c r="G2886" s="107" t="n">
        <f aca="false">IF($C2886="","",$D2886*IFERROR(INDEX('تحليل التكلفة والسعر'!$C$2:$C$700,MATCH($C2886,'تحليل التكلفة والسعر'!$B$2:$B$700,0)),0))</f>
        <v>12.56385</v>
      </c>
      <c r="H2886" s="104" t="s">
        <v>719</v>
      </c>
    </row>
    <row r="2887" customFormat="false" ht="15" hidden="false" customHeight="false" outlineLevel="0" collapsed="false">
      <c r="A2887" s="103" t="n">
        <v>46301</v>
      </c>
      <c r="B2887" s="104" t="s">
        <v>32</v>
      </c>
      <c r="C2887" s="104" t="s">
        <v>456</v>
      </c>
      <c r="D2887" s="105" t="n">
        <v>0.5</v>
      </c>
      <c r="E2887" s="106" t="n">
        <v>56.6667</v>
      </c>
      <c r="F2887" s="107" t="n">
        <f aca="false">IF($C2887="","",$D2887*$E2887)</f>
        <v>28.33335</v>
      </c>
      <c r="G2887" s="107" t="n">
        <f aca="false">IF($C2887="","",$D2887*IFERROR(INDEX('تحليل التكلفة والسعر'!$C$2:$C$700,MATCH($C2887,'تحليل التكلفة والسعر'!$B$2:$B$700,0)),0))</f>
        <v>12.56385</v>
      </c>
      <c r="H2887" s="104" t="s">
        <v>719</v>
      </c>
    </row>
    <row r="2888" customFormat="false" ht="15" hidden="false" customHeight="false" outlineLevel="0" collapsed="false">
      <c r="A2888" s="103" t="n">
        <v>46302</v>
      </c>
      <c r="B2888" s="104" t="s">
        <v>32</v>
      </c>
      <c r="C2888" s="104" t="s">
        <v>456</v>
      </c>
      <c r="D2888" s="105" t="n">
        <v>0.5</v>
      </c>
      <c r="E2888" s="106" t="n">
        <v>56.6667</v>
      </c>
      <c r="F2888" s="107" t="n">
        <f aca="false">IF($C2888="","",$D2888*$E2888)</f>
        <v>28.33335</v>
      </c>
      <c r="G2888" s="107" t="n">
        <f aca="false">IF($C2888="","",$D2888*IFERROR(INDEX('تحليل التكلفة والسعر'!$C$2:$C$700,MATCH($C2888,'تحليل التكلفة والسعر'!$B$2:$B$700,0)),0))</f>
        <v>12.56385</v>
      </c>
      <c r="H2888" s="104" t="s">
        <v>719</v>
      </c>
    </row>
    <row r="2889" customFormat="false" ht="15" hidden="false" customHeight="false" outlineLevel="0" collapsed="false">
      <c r="A2889" s="103" t="n">
        <v>46303</v>
      </c>
      <c r="B2889" s="104" t="s">
        <v>32</v>
      </c>
      <c r="C2889" s="104" t="s">
        <v>456</v>
      </c>
      <c r="D2889" s="105" t="n">
        <v>0.5</v>
      </c>
      <c r="E2889" s="106" t="n">
        <v>56.6667</v>
      </c>
      <c r="F2889" s="107" t="n">
        <f aca="false">IF($C2889="","",$D2889*$E2889)</f>
        <v>28.33335</v>
      </c>
      <c r="G2889" s="107" t="n">
        <f aca="false">IF($C2889="","",$D2889*IFERROR(INDEX('تحليل التكلفة والسعر'!$C$2:$C$700,MATCH($C2889,'تحليل التكلفة والسعر'!$B$2:$B$700,0)),0))</f>
        <v>12.56385</v>
      </c>
      <c r="H2889" s="104" t="s">
        <v>719</v>
      </c>
    </row>
    <row r="2890" customFormat="false" ht="15" hidden="false" customHeight="false" outlineLevel="0" collapsed="false">
      <c r="A2890" s="103" t="n">
        <v>46304</v>
      </c>
      <c r="B2890" s="104" t="s">
        <v>32</v>
      </c>
      <c r="C2890" s="104" t="s">
        <v>456</v>
      </c>
      <c r="D2890" s="105" t="n">
        <v>0.5</v>
      </c>
      <c r="E2890" s="106" t="n">
        <v>56.6667</v>
      </c>
      <c r="F2890" s="107" t="n">
        <f aca="false">IF($C2890="","",$D2890*$E2890)</f>
        <v>28.33335</v>
      </c>
      <c r="G2890" s="107" t="n">
        <f aca="false">IF($C2890="","",$D2890*IFERROR(INDEX('تحليل التكلفة والسعر'!$C$2:$C$700,MATCH($C2890,'تحليل التكلفة والسعر'!$B$2:$B$700,0)),0))</f>
        <v>12.56385</v>
      </c>
      <c r="H2890" s="104" t="s">
        <v>719</v>
      </c>
    </row>
    <row r="2891" customFormat="false" ht="15" hidden="false" customHeight="false" outlineLevel="0" collapsed="false">
      <c r="A2891" s="103" t="n">
        <v>46305</v>
      </c>
      <c r="B2891" s="104" t="s">
        <v>32</v>
      </c>
      <c r="C2891" s="104" t="s">
        <v>456</v>
      </c>
      <c r="D2891" s="105" t="n">
        <v>0.5</v>
      </c>
      <c r="E2891" s="106" t="n">
        <v>56.6667</v>
      </c>
      <c r="F2891" s="107" t="n">
        <f aca="false">IF($C2891="","",$D2891*$E2891)</f>
        <v>28.33335</v>
      </c>
      <c r="G2891" s="107" t="n">
        <f aca="false">IF($C2891="","",$D2891*IFERROR(INDEX('تحليل التكلفة والسعر'!$C$2:$C$700,MATCH($C2891,'تحليل التكلفة والسعر'!$B$2:$B$700,0)),0))</f>
        <v>12.56385</v>
      </c>
      <c r="H2891" s="104" t="s">
        <v>719</v>
      </c>
    </row>
    <row r="2892" customFormat="false" ht="15" hidden="false" customHeight="false" outlineLevel="0" collapsed="false">
      <c r="A2892" s="103" t="n">
        <v>46306</v>
      </c>
      <c r="B2892" s="104" t="s">
        <v>32</v>
      </c>
      <c r="C2892" s="104" t="s">
        <v>456</v>
      </c>
      <c r="D2892" s="105" t="n">
        <v>0.5</v>
      </c>
      <c r="E2892" s="106" t="n">
        <v>56.6667</v>
      </c>
      <c r="F2892" s="107" t="n">
        <f aca="false">IF($C2892="","",$D2892*$E2892)</f>
        <v>28.33335</v>
      </c>
      <c r="G2892" s="107" t="n">
        <f aca="false">IF($C2892="","",$D2892*IFERROR(INDEX('تحليل التكلفة والسعر'!$C$2:$C$700,MATCH($C2892,'تحليل التكلفة والسعر'!$B$2:$B$700,0)),0))</f>
        <v>12.56385</v>
      </c>
      <c r="H2892" s="104" t="s">
        <v>719</v>
      </c>
    </row>
    <row r="2893" customFormat="false" ht="15" hidden="false" customHeight="false" outlineLevel="0" collapsed="false">
      <c r="A2893" s="103" t="n">
        <v>46307</v>
      </c>
      <c r="B2893" s="104" t="s">
        <v>32</v>
      </c>
      <c r="C2893" s="104" t="s">
        <v>456</v>
      </c>
      <c r="D2893" s="105" t="n">
        <v>0.5</v>
      </c>
      <c r="E2893" s="106" t="n">
        <v>56.6667</v>
      </c>
      <c r="F2893" s="107" t="n">
        <f aca="false">IF($C2893="","",$D2893*$E2893)</f>
        <v>28.33335</v>
      </c>
      <c r="G2893" s="107" t="n">
        <f aca="false">IF($C2893="","",$D2893*IFERROR(INDEX('تحليل التكلفة والسعر'!$C$2:$C$700,MATCH($C2893,'تحليل التكلفة والسعر'!$B$2:$B$700,0)),0))</f>
        <v>12.56385</v>
      </c>
      <c r="H2893" s="104" t="s">
        <v>719</v>
      </c>
    </row>
    <row r="2894" customFormat="false" ht="15" hidden="false" customHeight="false" outlineLevel="0" collapsed="false">
      <c r="A2894" s="103" t="n">
        <v>46296</v>
      </c>
      <c r="B2894" s="104" t="s">
        <v>32</v>
      </c>
      <c r="C2894" s="104" t="s">
        <v>470</v>
      </c>
      <c r="D2894" s="105" t="n">
        <v>0.25</v>
      </c>
      <c r="E2894" s="106" t="n">
        <v>30</v>
      </c>
      <c r="F2894" s="107" t="n">
        <f aca="false">IF($C2894="","",$D2894*$E2894)</f>
        <v>7.5</v>
      </c>
      <c r="G2894" s="107" t="n">
        <f aca="false">IF($C2894="","",$D2894*IFERROR(INDEX('تحليل التكلفة والسعر'!$C$2:$C$700,MATCH($C2894,'تحليل التكلفة والسعر'!$B$2:$B$700,0)),0))</f>
        <v>4.013175</v>
      </c>
      <c r="H2894" s="104" t="s">
        <v>719</v>
      </c>
    </row>
    <row r="2895" customFormat="false" ht="15" hidden="false" customHeight="false" outlineLevel="0" collapsed="false">
      <c r="A2895" s="103" t="n">
        <v>46297</v>
      </c>
      <c r="B2895" s="104" t="s">
        <v>32</v>
      </c>
      <c r="C2895" s="104" t="s">
        <v>470</v>
      </c>
      <c r="D2895" s="105" t="n">
        <v>0.25</v>
      </c>
      <c r="E2895" s="106" t="n">
        <v>30</v>
      </c>
      <c r="F2895" s="107" t="n">
        <f aca="false">IF($C2895="","",$D2895*$E2895)</f>
        <v>7.5</v>
      </c>
      <c r="G2895" s="107" t="n">
        <f aca="false">IF($C2895="","",$D2895*IFERROR(INDEX('تحليل التكلفة والسعر'!$C$2:$C$700,MATCH($C2895,'تحليل التكلفة والسعر'!$B$2:$B$700,0)),0))</f>
        <v>4.013175</v>
      </c>
      <c r="H2895" s="104" t="s">
        <v>719</v>
      </c>
    </row>
    <row r="2896" customFormat="false" ht="15" hidden="false" customHeight="false" outlineLevel="0" collapsed="false">
      <c r="A2896" s="103" t="n">
        <v>46298</v>
      </c>
      <c r="B2896" s="104" t="s">
        <v>32</v>
      </c>
      <c r="C2896" s="104" t="s">
        <v>470</v>
      </c>
      <c r="D2896" s="105" t="n">
        <v>0.25</v>
      </c>
      <c r="E2896" s="106" t="n">
        <v>30</v>
      </c>
      <c r="F2896" s="107" t="n">
        <f aca="false">IF($C2896="","",$D2896*$E2896)</f>
        <v>7.5</v>
      </c>
      <c r="G2896" s="107" t="n">
        <f aca="false">IF($C2896="","",$D2896*IFERROR(INDEX('تحليل التكلفة والسعر'!$C$2:$C$700,MATCH($C2896,'تحليل التكلفة والسعر'!$B$2:$B$700,0)),0))</f>
        <v>4.013175</v>
      </c>
      <c r="H2896" s="104" t="s">
        <v>719</v>
      </c>
    </row>
    <row r="2897" customFormat="false" ht="15" hidden="false" customHeight="false" outlineLevel="0" collapsed="false">
      <c r="A2897" s="103" t="n">
        <v>46299</v>
      </c>
      <c r="B2897" s="104" t="s">
        <v>32</v>
      </c>
      <c r="C2897" s="104" t="s">
        <v>470</v>
      </c>
      <c r="D2897" s="105" t="n">
        <v>0.25</v>
      </c>
      <c r="E2897" s="106" t="n">
        <v>30</v>
      </c>
      <c r="F2897" s="107" t="n">
        <f aca="false">IF($C2897="","",$D2897*$E2897)</f>
        <v>7.5</v>
      </c>
      <c r="G2897" s="107" t="n">
        <f aca="false">IF($C2897="","",$D2897*IFERROR(INDEX('تحليل التكلفة والسعر'!$C$2:$C$700,MATCH($C2897,'تحليل التكلفة والسعر'!$B$2:$B$700,0)),0))</f>
        <v>4.013175</v>
      </c>
      <c r="H2897" s="104" t="s">
        <v>719</v>
      </c>
    </row>
    <row r="2898" customFormat="false" ht="15" hidden="false" customHeight="false" outlineLevel="0" collapsed="false">
      <c r="A2898" s="103" t="n">
        <v>46300</v>
      </c>
      <c r="B2898" s="104" t="s">
        <v>32</v>
      </c>
      <c r="C2898" s="104" t="s">
        <v>470</v>
      </c>
      <c r="D2898" s="105" t="n">
        <v>0.25</v>
      </c>
      <c r="E2898" s="106" t="n">
        <v>30</v>
      </c>
      <c r="F2898" s="107" t="n">
        <f aca="false">IF($C2898="","",$D2898*$E2898)</f>
        <v>7.5</v>
      </c>
      <c r="G2898" s="107" t="n">
        <f aca="false">IF($C2898="","",$D2898*IFERROR(INDEX('تحليل التكلفة والسعر'!$C$2:$C$700,MATCH($C2898,'تحليل التكلفة والسعر'!$B$2:$B$700,0)),0))</f>
        <v>4.013175</v>
      </c>
      <c r="H2898" s="104" t="s">
        <v>719</v>
      </c>
    </row>
    <row r="2899" customFormat="false" ht="15" hidden="false" customHeight="false" outlineLevel="0" collapsed="false">
      <c r="A2899" s="103" t="n">
        <v>46301</v>
      </c>
      <c r="B2899" s="104" t="s">
        <v>32</v>
      </c>
      <c r="C2899" s="104" t="s">
        <v>470</v>
      </c>
      <c r="D2899" s="105" t="n">
        <v>0.25</v>
      </c>
      <c r="E2899" s="106" t="n">
        <v>30</v>
      </c>
      <c r="F2899" s="107" t="n">
        <f aca="false">IF($C2899="","",$D2899*$E2899)</f>
        <v>7.5</v>
      </c>
      <c r="G2899" s="107" t="n">
        <f aca="false">IF($C2899="","",$D2899*IFERROR(INDEX('تحليل التكلفة والسعر'!$C$2:$C$700,MATCH($C2899,'تحليل التكلفة والسعر'!$B$2:$B$700,0)),0))</f>
        <v>4.013175</v>
      </c>
      <c r="H2899" s="104" t="s">
        <v>719</v>
      </c>
    </row>
    <row r="2900" customFormat="false" ht="15" hidden="false" customHeight="false" outlineLevel="0" collapsed="false">
      <c r="A2900" s="103" t="n">
        <v>46302</v>
      </c>
      <c r="B2900" s="104" t="s">
        <v>32</v>
      </c>
      <c r="C2900" s="104" t="s">
        <v>470</v>
      </c>
      <c r="D2900" s="105" t="n">
        <v>0.25</v>
      </c>
      <c r="E2900" s="106" t="n">
        <v>30</v>
      </c>
      <c r="F2900" s="107" t="n">
        <f aca="false">IF($C2900="","",$D2900*$E2900)</f>
        <v>7.5</v>
      </c>
      <c r="G2900" s="107" t="n">
        <f aca="false">IF($C2900="","",$D2900*IFERROR(INDEX('تحليل التكلفة والسعر'!$C$2:$C$700,MATCH($C2900,'تحليل التكلفة والسعر'!$B$2:$B$700,0)),0))</f>
        <v>4.013175</v>
      </c>
      <c r="H2900" s="104" t="s">
        <v>719</v>
      </c>
    </row>
    <row r="2901" customFormat="false" ht="15" hidden="false" customHeight="false" outlineLevel="0" collapsed="false">
      <c r="A2901" s="103" t="n">
        <v>46303</v>
      </c>
      <c r="B2901" s="104" t="s">
        <v>32</v>
      </c>
      <c r="C2901" s="104" t="s">
        <v>470</v>
      </c>
      <c r="D2901" s="105" t="n">
        <v>0.25</v>
      </c>
      <c r="E2901" s="106" t="n">
        <v>30</v>
      </c>
      <c r="F2901" s="107" t="n">
        <f aca="false">IF($C2901="","",$D2901*$E2901)</f>
        <v>7.5</v>
      </c>
      <c r="G2901" s="107" t="n">
        <f aca="false">IF($C2901="","",$D2901*IFERROR(INDEX('تحليل التكلفة والسعر'!$C$2:$C$700,MATCH($C2901,'تحليل التكلفة والسعر'!$B$2:$B$700,0)),0))</f>
        <v>4.013175</v>
      </c>
      <c r="H2901" s="104" t="s">
        <v>719</v>
      </c>
    </row>
    <row r="2902" customFormat="false" ht="15" hidden="false" customHeight="false" outlineLevel="0" collapsed="false">
      <c r="A2902" s="103" t="n">
        <v>46304</v>
      </c>
      <c r="B2902" s="104" t="s">
        <v>32</v>
      </c>
      <c r="C2902" s="104" t="s">
        <v>470</v>
      </c>
      <c r="D2902" s="105" t="n">
        <v>0.25</v>
      </c>
      <c r="E2902" s="106" t="n">
        <v>30</v>
      </c>
      <c r="F2902" s="107" t="n">
        <f aca="false">IF($C2902="","",$D2902*$E2902)</f>
        <v>7.5</v>
      </c>
      <c r="G2902" s="107" t="n">
        <f aca="false">IF($C2902="","",$D2902*IFERROR(INDEX('تحليل التكلفة والسعر'!$C$2:$C$700,MATCH($C2902,'تحليل التكلفة والسعر'!$B$2:$B$700,0)),0))</f>
        <v>4.013175</v>
      </c>
      <c r="H2902" s="104" t="s">
        <v>719</v>
      </c>
    </row>
    <row r="2903" customFormat="false" ht="15" hidden="false" customHeight="false" outlineLevel="0" collapsed="false">
      <c r="A2903" s="103" t="n">
        <v>46305</v>
      </c>
      <c r="B2903" s="104" t="s">
        <v>32</v>
      </c>
      <c r="C2903" s="104" t="s">
        <v>470</v>
      </c>
      <c r="D2903" s="105" t="n">
        <v>0.25</v>
      </c>
      <c r="E2903" s="106" t="n">
        <v>30</v>
      </c>
      <c r="F2903" s="107" t="n">
        <f aca="false">IF($C2903="","",$D2903*$E2903)</f>
        <v>7.5</v>
      </c>
      <c r="G2903" s="107" t="n">
        <f aca="false">IF($C2903="","",$D2903*IFERROR(INDEX('تحليل التكلفة والسعر'!$C$2:$C$700,MATCH($C2903,'تحليل التكلفة والسعر'!$B$2:$B$700,0)),0))</f>
        <v>4.013175</v>
      </c>
      <c r="H2903" s="104" t="s">
        <v>719</v>
      </c>
    </row>
    <row r="2904" customFormat="false" ht="15" hidden="false" customHeight="false" outlineLevel="0" collapsed="false">
      <c r="A2904" s="103" t="n">
        <v>46306</v>
      </c>
      <c r="B2904" s="104" t="s">
        <v>32</v>
      </c>
      <c r="C2904" s="104" t="s">
        <v>470</v>
      </c>
      <c r="D2904" s="105" t="n">
        <v>0.25</v>
      </c>
      <c r="E2904" s="106" t="n">
        <v>30</v>
      </c>
      <c r="F2904" s="107" t="n">
        <f aca="false">IF($C2904="","",$D2904*$E2904)</f>
        <v>7.5</v>
      </c>
      <c r="G2904" s="107" t="n">
        <f aca="false">IF($C2904="","",$D2904*IFERROR(INDEX('تحليل التكلفة والسعر'!$C$2:$C$700,MATCH($C2904,'تحليل التكلفة والسعر'!$B$2:$B$700,0)),0))</f>
        <v>4.013175</v>
      </c>
      <c r="H2904" s="104" t="s">
        <v>719</v>
      </c>
    </row>
    <row r="2905" customFormat="false" ht="15" hidden="false" customHeight="false" outlineLevel="0" collapsed="false">
      <c r="A2905" s="103" t="n">
        <v>46307</v>
      </c>
      <c r="B2905" s="104" t="s">
        <v>32</v>
      </c>
      <c r="C2905" s="104" t="s">
        <v>470</v>
      </c>
      <c r="D2905" s="105" t="n">
        <v>0.25</v>
      </c>
      <c r="E2905" s="106" t="n">
        <v>30</v>
      </c>
      <c r="F2905" s="107" t="n">
        <f aca="false">IF($C2905="","",$D2905*$E2905)</f>
        <v>7.5</v>
      </c>
      <c r="G2905" s="107" t="n">
        <f aca="false">IF($C2905="","",$D2905*IFERROR(INDEX('تحليل التكلفة والسعر'!$C$2:$C$700,MATCH($C2905,'تحليل التكلفة والسعر'!$B$2:$B$700,0)),0))</f>
        <v>4.013175</v>
      </c>
      <c r="H2905" s="104" t="s">
        <v>719</v>
      </c>
    </row>
    <row r="2906" customFormat="false" ht="15" hidden="false" customHeight="false" outlineLevel="0" collapsed="false">
      <c r="A2906" s="103" t="n">
        <v>46296</v>
      </c>
      <c r="B2906" s="104" t="s">
        <v>32</v>
      </c>
      <c r="C2906" s="104" t="s">
        <v>512</v>
      </c>
      <c r="D2906" s="105" t="n">
        <v>2.1667</v>
      </c>
      <c r="E2906" s="106" t="n">
        <v>101.9231</v>
      </c>
      <c r="F2906" s="107" t="n">
        <f aca="false">IF($C2906="","",$D2906*$E2906)</f>
        <v>220.83678077</v>
      </c>
      <c r="G2906" s="107" t="n">
        <f aca="false">IF($C2906="","",$D2906*IFERROR(INDEX('تحليل التكلفة والسعر'!$C$2:$C$700,MATCH($C2906,'تحليل التكلفة والسعر'!$B$2:$B$700,0)),0))</f>
        <v>210.858347258</v>
      </c>
      <c r="H2906" s="104" t="s">
        <v>719</v>
      </c>
    </row>
    <row r="2907" customFormat="false" ht="15" hidden="false" customHeight="false" outlineLevel="0" collapsed="false">
      <c r="A2907" s="103" t="n">
        <v>46297</v>
      </c>
      <c r="B2907" s="104" t="s">
        <v>32</v>
      </c>
      <c r="C2907" s="104" t="s">
        <v>512</v>
      </c>
      <c r="D2907" s="105" t="n">
        <v>2.1667</v>
      </c>
      <c r="E2907" s="106" t="n">
        <v>101.9231</v>
      </c>
      <c r="F2907" s="107" t="n">
        <f aca="false">IF($C2907="","",$D2907*$E2907)</f>
        <v>220.83678077</v>
      </c>
      <c r="G2907" s="107" t="n">
        <f aca="false">IF($C2907="","",$D2907*IFERROR(INDEX('تحليل التكلفة والسعر'!$C$2:$C$700,MATCH($C2907,'تحليل التكلفة والسعر'!$B$2:$B$700,0)),0))</f>
        <v>210.858347258</v>
      </c>
      <c r="H2907" s="104" t="s">
        <v>719</v>
      </c>
    </row>
    <row r="2908" customFormat="false" ht="15" hidden="false" customHeight="false" outlineLevel="0" collapsed="false">
      <c r="A2908" s="103" t="n">
        <v>46298</v>
      </c>
      <c r="B2908" s="104" t="s">
        <v>32</v>
      </c>
      <c r="C2908" s="104" t="s">
        <v>512</v>
      </c>
      <c r="D2908" s="105" t="n">
        <v>2.1667</v>
      </c>
      <c r="E2908" s="106" t="n">
        <v>101.9231</v>
      </c>
      <c r="F2908" s="107" t="n">
        <f aca="false">IF($C2908="","",$D2908*$E2908)</f>
        <v>220.83678077</v>
      </c>
      <c r="G2908" s="107" t="n">
        <f aca="false">IF($C2908="","",$D2908*IFERROR(INDEX('تحليل التكلفة والسعر'!$C$2:$C$700,MATCH($C2908,'تحليل التكلفة والسعر'!$B$2:$B$700,0)),0))</f>
        <v>210.858347258</v>
      </c>
      <c r="H2908" s="104" t="s">
        <v>719</v>
      </c>
    </row>
    <row r="2909" customFormat="false" ht="15" hidden="false" customHeight="false" outlineLevel="0" collapsed="false">
      <c r="A2909" s="103" t="n">
        <v>46299</v>
      </c>
      <c r="B2909" s="104" t="s">
        <v>32</v>
      </c>
      <c r="C2909" s="104" t="s">
        <v>512</v>
      </c>
      <c r="D2909" s="105" t="n">
        <v>2.1667</v>
      </c>
      <c r="E2909" s="106" t="n">
        <v>101.9231</v>
      </c>
      <c r="F2909" s="107" t="n">
        <f aca="false">IF($C2909="","",$D2909*$E2909)</f>
        <v>220.83678077</v>
      </c>
      <c r="G2909" s="107" t="n">
        <f aca="false">IF($C2909="","",$D2909*IFERROR(INDEX('تحليل التكلفة والسعر'!$C$2:$C$700,MATCH($C2909,'تحليل التكلفة والسعر'!$B$2:$B$700,0)),0))</f>
        <v>210.858347258</v>
      </c>
      <c r="H2909" s="104" t="s">
        <v>719</v>
      </c>
    </row>
    <row r="2910" customFormat="false" ht="15" hidden="false" customHeight="false" outlineLevel="0" collapsed="false">
      <c r="A2910" s="103" t="n">
        <v>46300</v>
      </c>
      <c r="B2910" s="104" t="s">
        <v>32</v>
      </c>
      <c r="C2910" s="104" t="s">
        <v>512</v>
      </c>
      <c r="D2910" s="105" t="n">
        <v>2.1667</v>
      </c>
      <c r="E2910" s="106" t="n">
        <v>101.9231</v>
      </c>
      <c r="F2910" s="107" t="n">
        <f aca="false">IF($C2910="","",$D2910*$E2910)</f>
        <v>220.83678077</v>
      </c>
      <c r="G2910" s="107" t="n">
        <f aca="false">IF($C2910="","",$D2910*IFERROR(INDEX('تحليل التكلفة والسعر'!$C$2:$C$700,MATCH($C2910,'تحليل التكلفة والسعر'!$B$2:$B$700,0)),0))</f>
        <v>210.858347258</v>
      </c>
      <c r="H2910" s="104" t="s">
        <v>719</v>
      </c>
    </row>
    <row r="2911" customFormat="false" ht="15" hidden="false" customHeight="false" outlineLevel="0" collapsed="false">
      <c r="A2911" s="103" t="n">
        <v>46301</v>
      </c>
      <c r="B2911" s="104" t="s">
        <v>32</v>
      </c>
      <c r="C2911" s="104" t="s">
        <v>512</v>
      </c>
      <c r="D2911" s="105" t="n">
        <v>2.1667</v>
      </c>
      <c r="E2911" s="106" t="n">
        <v>101.9231</v>
      </c>
      <c r="F2911" s="107" t="n">
        <f aca="false">IF($C2911="","",$D2911*$E2911)</f>
        <v>220.83678077</v>
      </c>
      <c r="G2911" s="107" t="n">
        <f aca="false">IF($C2911="","",$D2911*IFERROR(INDEX('تحليل التكلفة والسعر'!$C$2:$C$700,MATCH($C2911,'تحليل التكلفة والسعر'!$B$2:$B$700,0)),0))</f>
        <v>210.858347258</v>
      </c>
      <c r="H2911" s="104" t="s">
        <v>719</v>
      </c>
    </row>
    <row r="2912" customFormat="false" ht="15" hidden="false" customHeight="false" outlineLevel="0" collapsed="false">
      <c r="A2912" s="103" t="n">
        <v>46302</v>
      </c>
      <c r="B2912" s="104" t="s">
        <v>32</v>
      </c>
      <c r="C2912" s="104" t="s">
        <v>512</v>
      </c>
      <c r="D2912" s="105" t="n">
        <v>2.1667</v>
      </c>
      <c r="E2912" s="106" t="n">
        <v>101.9231</v>
      </c>
      <c r="F2912" s="107" t="n">
        <f aca="false">IF($C2912="","",$D2912*$E2912)</f>
        <v>220.83678077</v>
      </c>
      <c r="G2912" s="107" t="n">
        <f aca="false">IF($C2912="","",$D2912*IFERROR(INDEX('تحليل التكلفة والسعر'!$C$2:$C$700,MATCH($C2912,'تحليل التكلفة والسعر'!$B$2:$B$700,0)),0))</f>
        <v>210.858347258</v>
      </c>
      <c r="H2912" s="104" t="s">
        <v>719</v>
      </c>
    </row>
    <row r="2913" customFormat="false" ht="15" hidden="false" customHeight="false" outlineLevel="0" collapsed="false">
      <c r="A2913" s="103" t="n">
        <v>46303</v>
      </c>
      <c r="B2913" s="104" t="s">
        <v>32</v>
      </c>
      <c r="C2913" s="104" t="s">
        <v>512</v>
      </c>
      <c r="D2913" s="105" t="n">
        <v>2.1667</v>
      </c>
      <c r="E2913" s="106" t="n">
        <v>101.9231</v>
      </c>
      <c r="F2913" s="107" t="n">
        <f aca="false">IF($C2913="","",$D2913*$E2913)</f>
        <v>220.83678077</v>
      </c>
      <c r="G2913" s="107" t="n">
        <f aca="false">IF($C2913="","",$D2913*IFERROR(INDEX('تحليل التكلفة والسعر'!$C$2:$C$700,MATCH($C2913,'تحليل التكلفة والسعر'!$B$2:$B$700,0)),0))</f>
        <v>210.858347258</v>
      </c>
      <c r="H2913" s="104" t="s">
        <v>719</v>
      </c>
    </row>
    <row r="2914" customFormat="false" ht="15" hidden="false" customHeight="false" outlineLevel="0" collapsed="false">
      <c r="A2914" s="103" t="n">
        <v>46304</v>
      </c>
      <c r="B2914" s="104" t="s">
        <v>32</v>
      </c>
      <c r="C2914" s="104" t="s">
        <v>512</v>
      </c>
      <c r="D2914" s="105" t="n">
        <v>2.1667</v>
      </c>
      <c r="E2914" s="106" t="n">
        <v>101.9231</v>
      </c>
      <c r="F2914" s="107" t="n">
        <f aca="false">IF($C2914="","",$D2914*$E2914)</f>
        <v>220.83678077</v>
      </c>
      <c r="G2914" s="107" t="n">
        <f aca="false">IF($C2914="","",$D2914*IFERROR(INDEX('تحليل التكلفة والسعر'!$C$2:$C$700,MATCH($C2914,'تحليل التكلفة والسعر'!$B$2:$B$700,0)),0))</f>
        <v>210.858347258</v>
      </c>
      <c r="H2914" s="104" t="s">
        <v>719</v>
      </c>
    </row>
    <row r="2915" customFormat="false" ht="15" hidden="false" customHeight="false" outlineLevel="0" collapsed="false">
      <c r="A2915" s="103" t="n">
        <v>46305</v>
      </c>
      <c r="B2915" s="104" t="s">
        <v>32</v>
      </c>
      <c r="C2915" s="104" t="s">
        <v>512</v>
      </c>
      <c r="D2915" s="105" t="n">
        <v>2.1667</v>
      </c>
      <c r="E2915" s="106" t="n">
        <v>101.9231</v>
      </c>
      <c r="F2915" s="107" t="n">
        <f aca="false">IF($C2915="","",$D2915*$E2915)</f>
        <v>220.83678077</v>
      </c>
      <c r="G2915" s="107" t="n">
        <f aca="false">IF($C2915="","",$D2915*IFERROR(INDEX('تحليل التكلفة والسعر'!$C$2:$C$700,MATCH($C2915,'تحليل التكلفة والسعر'!$B$2:$B$700,0)),0))</f>
        <v>210.858347258</v>
      </c>
      <c r="H2915" s="104" t="s">
        <v>719</v>
      </c>
    </row>
    <row r="2916" customFormat="false" ht="15" hidden="false" customHeight="false" outlineLevel="0" collapsed="false">
      <c r="A2916" s="103" t="n">
        <v>46306</v>
      </c>
      <c r="B2916" s="104" t="s">
        <v>32</v>
      </c>
      <c r="C2916" s="104" t="s">
        <v>512</v>
      </c>
      <c r="D2916" s="105" t="n">
        <v>2.1667</v>
      </c>
      <c r="E2916" s="106" t="n">
        <v>101.9231</v>
      </c>
      <c r="F2916" s="107" t="n">
        <f aca="false">IF($C2916="","",$D2916*$E2916)</f>
        <v>220.83678077</v>
      </c>
      <c r="G2916" s="107" t="n">
        <f aca="false">IF($C2916="","",$D2916*IFERROR(INDEX('تحليل التكلفة والسعر'!$C$2:$C$700,MATCH($C2916,'تحليل التكلفة والسعر'!$B$2:$B$700,0)),0))</f>
        <v>210.858347258</v>
      </c>
      <c r="H2916" s="104" t="s">
        <v>719</v>
      </c>
    </row>
    <row r="2917" customFormat="false" ht="15" hidden="false" customHeight="false" outlineLevel="0" collapsed="false">
      <c r="A2917" s="103" t="n">
        <v>46307</v>
      </c>
      <c r="B2917" s="104" t="s">
        <v>32</v>
      </c>
      <c r="C2917" s="104" t="s">
        <v>512</v>
      </c>
      <c r="D2917" s="105" t="n">
        <v>2.1667</v>
      </c>
      <c r="E2917" s="106" t="n">
        <v>101.9231</v>
      </c>
      <c r="F2917" s="107" t="n">
        <f aca="false">IF($C2917="","",$D2917*$E2917)</f>
        <v>220.83678077</v>
      </c>
      <c r="G2917" s="107" t="n">
        <f aca="false">IF($C2917="","",$D2917*IFERROR(INDEX('تحليل التكلفة والسعر'!$C$2:$C$700,MATCH($C2917,'تحليل التكلفة والسعر'!$B$2:$B$700,0)),0))</f>
        <v>210.858347258</v>
      </c>
      <c r="H2917" s="104" t="s">
        <v>719</v>
      </c>
    </row>
    <row r="2918" customFormat="false" ht="15" hidden="false" customHeight="false" outlineLevel="0" collapsed="false">
      <c r="A2918" s="103" t="n">
        <v>46296</v>
      </c>
      <c r="B2918" s="104" t="s">
        <v>32</v>
      </c>
      <c r="C2918" s="104" t="s">
        <v>533</v>
      </c>
      <c r="D2918" s="105" t="n">
        <v>0.5</v>
      </c>
      <c r="E2918" s="106" t="n">
        <v>81.6667</v>
      </c>
      <c r="F2918" s="107" t="n">
        <f aca="false">IF($C2918="","",$D2918*$E2918)</f>
        <v>40.83335</v>
      </c>
      <c r="G2918" s="107" t="n">
        <f aca="false">IF($C2918="","",$D2918*IFERROR(INDEX('تحليل التكلفة والسعر'!$C$2:$C$700,MATCH($C2918,'تحليل التكلفة والسعر'!$B$2:$B$700,0)),0))</f>
        <v>47.57272</v>
      </c>
      <c r="H2918" s="104" t="s">
        <v>719</v>
      </c>
    </row>
    <row r="2919" customFormat="false" ht="15" hidden="false" customHeight="false" outlineLevel="0" collapsed="false">
      <c r="A2919" s="103" t="n">
        <v>46297</v>
      </c>
      <c r="B2919" s="104" t="s">
        <v>32</v>
      </c>
      <c r="C2919" s="104" t="s">
        <v>533</v>
      </c>
      <c r="D2919" s="105" t="n">
        <v>0.5</v>
      </c>
      <c r="E2919" s="106" t="n">
        <v>81.6667</v>
      </c>
      <c r="F2919" s="107" t="n">
        <f aca="false">IF($C2919="","",$D2919*$E2919)</f>
        <v>40.83335</v>
      </c>
      <c r="G2919" s="107" t="n">
        <f aca="false">IF($C2919="","",$D2919*IFERROR(INDEX('تحليل التكلفة والسعر'!$C$2:$C$700,MATCH($C2919,'تحليل التكلفة والسعر'!$B$2:$B$700,0)),0))</f>
        <v>47.57272</v>
      </c>
      <c r="H2919" s="104" t="s">
        <v>719</v>
      </c>
    </row>
    <row r="2920" customFormat="false" ht="15" hidden="false" customHeight="false" outlineLevel="0" collapsed="false">
      <c r="A2920" s="103" t="n">
        <v>46298</v>
      </c>
      <c r="B2920" s="104" t="s">
        <v>32</v>
      </c>
      <c r="C2920" s="104" t="s">
        <v>533</v>
      </c>
      <c r="D2920" s="105" t="n">
        <v>0.5</v>
      </c>
      <c r="E2920" s="106" t="n">
        <v>81.6667</v>
      </c>
      <c r="F2920" s="107" t="n">
        <f aca="false">IF($C2920="","",$D2920*$E2920)</f>
        <v>40.83335</v>
      </c>
      <c r="G2920" s="107" t="n">
        <f aca="false">IF($C2920="","",$D2920*IFERROR(INDEX('تحليل التكلفة والسعر'!$C$2:$C$700,MATCH($C2920,'تحليل التكلفة والسعر'!$B$2:$B$700,0)),0))</f>
        <v>47.57272</v>
      </c>
      <c r="H2920" s="104" t="s">
        <v>719</v>
      </c>
    </row>
    <row r="2921" customFormat="false" ht="15" hidden="false" customHeight="false" outlineLevel="0" collapsed="false">
      <c r="A2921" s="103" t="n">
        <v>46299</v>
      </c>
      <c r="B2921" s="104" t="s">
        <v>32</v>
      </c>
      <c r="C2921" s="104" t="s">
        <v>533</v>
      </c>
      <c r="D2921" s="105" t="n">
        <v>0.5</v>
      </c>
      <c r="E2921" s="106" t="n">
        <v>81.6667</v>
      </c>
      <c r="F2921" s="107" t="n">
        <f aca="false">IF($C2921="","",$D2921*$E2921)</f>
        <v>40.83335</v>
      </c>
      <c r="G2921" s="107" t="n">
        <f aca="false">IF($C2921="","",$D2921*IFERROR(INDEX('تحليل التكلفة والسعر'!$C$2:$C$700,MATCH($C2921,'تحليل التكلفة والسعر'!$B$2:$B$700,0)),0))</f>
        <v>47.57272</v>
      </c>
      <c r="H2921" s="104" t="s">
        <v>719</v>
      </c>
    </row>
    <row r="2922" customFormat="false" ht="15" hidden="false" customHeight="false" outlineLevel="0" collapsed="false">
      <c r="A2922" s="103" t="n">
        <v>46300</v>
      </c>
      <c r="B2922" s="104" t="s">
        <v>32</v>
      </c>
      <c r="C2922" s="104" t="s">
        <v>533</v>
      </c>
      <c r="D2922" s="105" t="n">
        <v>0.5</v>
      </c>
      <c r="E2922" s="106" t="n">
        <v>81.6667</v>
      </c>
      <c r="F2922" s="107" t="n">
        <f aca="false">IF($C2922="","",$D2922*$E2922)</f>
        <v>40.83335</v>
      </c>
      <c r="G2922" s="107" t="n">
        <f aca="false">IF($C2922="","",$D2922*IFERROR(INDEX('تحليل التكلفة والسعر'!$C$2:$C$700,MATCH($C2922,'تحليل التكلفة والسعر'!$B$2:$B$700,0)),0))</f>
        <v>47.57272</v>
      </c>
      <c r="H2922" s="104" t="s">
        <v>719</v>
      </c>
    </row>
    <row r="2923" customFormat="false" ht="15" hidden="false" customHeight="false" outlineLevel="0" collapsed="false">
      <c r="A2923" s="103" t="n">
        <v>46301</v>
      </c>
      <c r="B2923" s="104" t="s">
        <v>32</v>
      </c>
      <c r="C2923" s="104" t="s">
        <v>533</v>
      </c>
      <c r="D2923" s="105" t="n">
        <v>0.5</v>
      </c>
      <c r="E2923" s="106" t="n">
        <v>81.6667</v>
      </c>
      <c r="F2923" s="107" t="n">
        <f aca="false">IF($C2923="","",$D2923*$E2923)</f>
        <v>40.83335</v>
      </c>
      <c r="G2923" s="107" t="n">
        <f aca="false">IF($C2923="","",$D2923*IFERROR(INDEX('تحليل التكلفة والسعر'!$C$2:$C$700,MATCH($C2923,'تحليل التكلفة والسعر'!$B$2:$B$700,0)),0))</f>
        <v>47.57272</v>
      </c>
      <c r="H2923" s="104" t="s">
        <v>719</v>
      </c>
    </row>
    <row r="2924" customFormat="false" ht="15" hidden="false" customHeight="false" outlineLevel="0" collapsed="false">
      <c r="A2924" s="103" t="n">
        <v>46302</v>
      </c>
      <c r="B2924" s="104" t="s">
        <v>32</v>
      </c>
      <c r="C2924" s="104" t="s">
        <v>533</v>
      </c>
      <c r="D2924" s="105" t="n">
        <v>0.5</v>
      </c>
      <c r="E2924" s="106" t="n">
        <v>81.6667</v>
      </c>
      <c r="F2924" s="107" t="n">
        <f aca="false">IF($C2924="","",$D2924*$E2924)</f>
        <v>40.83335</v>
      </c>
      <c r="G2924" s="107" t="n">
        <f aca="false">IF($C2924="","",$D2924*IFERROR(INDEX('تحليل التكلفة والسعر'!$C$2:$C$700,MATCH($C2924,'تحليل التكلفة والسعر'!$B$2:$B$700,0)),0))</f>
        <v>47.57272</v>
      </c>
      <c r="H2924" s="104" t="s">
        <v>719</v>
      </c>
    </row>
    <row r="2925" customFormat="false" ht="15" hidden="false" customHeight="false" outlineLevel="0" collapsed="false">
      <c r="A2925" s="103" t="n">
        <v>46303</v>
      </c>
      <c r="B2925" s="104" t="s">
        <v>32</v>
      </c>
      <c r="C2925" s="104" t="s">
        <v>533</v>
      </c>
      <c r="D2925" s="105" t="n">
        <v>0.5</v>
      </c>
      <c r="E2925" s="106" t="n">
        <v>81.6667</v>
      </c>
      <c r="F2925" s="107" t="n">
        <f aca="false">IF($C2925="","",$D2925*$E2925)</f>
        <v>40.83335</v>
      </c>
      <c r="G2925" s="107" t="n">
        <f aca="false">IF($C2925="","",$D2925*IFERROR(INDEX('تحليل التكلفة والسعر'!$C$2:$C$700,MATCH($C2925,'تحليل التكلفة والسعر'!$B$2:$B$700,0)),0))</f>
        <v>47.57272</v>
      </c>
      <c r="H2925" s="104" t="s">
        <v>719</v>
      </c>
    </row>
    <row r="2926" customFormat="false" ht="15" hidden="false" customHeight="false" outlineLevel="0" collapsed="false">
      <c r="A2926" s="103" t="n">
        <v>46304</v>
      </c>
      <c r="B2926" s="104" t="s">
        <v>32</v>
      </c>
      <c r="C2926" s="104" t="s">
        <v>533</v>
      </c>
      <c r="D2926" s="105" t="n">
        <v>0.5</v>
      </c>
      <c r="E2926" s="106" t="n">
        <v>81.6667</v>
      </c>
      <c r="F2926" s="107" t="n">
        <f aca="false">IF($C2926="","",$D2926*$E2926)</f>
        <v>40.83335</v>
      </c>
      <c r="G2926" s="107" t="n">
        <f aca="false">IF($C2926="","",$D2926*IFERROR(INDEX('تحليل التكلفة والسعر'!$C$2:$C$700,MATCH($C2926,'تحليل التكلفة والسعر'!$B$2:$B$700,0)),0))</f>
        <v>47.57272</v>
      </c>
      <c r="H2926" s="104" t="s">
        <v>719</v>
      </c>
    </row>
    <row r="2927" customFormat="false" ht="15" hidden="false" customHeight="false" outlineLevel="0" collapsed="false">
      <c r="A2927" s="103" t="n">
        <v>46305</v>
      </c>
      <c r="B2927" s="104" t="s">
        <v>32</v>
      </c>
      <c r="C2927" s="104" t="s">
        <v>533</v>
      </c>
      <c r="D2927" s="105" t="n">
        <v>0.5</v>
      </c>
      <c r="E2927" s="106" t="n">
        <v>81.6667</v>
      </c>
      <c r="F2927" s="107" t="n">
        <f aca="false">IF($C2927="","",$D2927*$E2927)</f>
        <v>40.83335</v>
      </c>
      <c r="G2927" s="107" t="n">
        <f aca="false">IF($C2927="","",$D2927*IFERROR(INDEX('تحليل التكلفة والسعر'!$C$2:$C$700,MATCH($C2927,'تحليل التكلفة والسعر'!$B$2:$B$700,0)),0))</f>
        <v>47.57272</v>
      </c>
      <c r="H2927" s="104" t="s">
        <v>719</v>
      </c>
    </row>
    <row r="2928" customFormat="false" ht="15" hidden="false" customHeight="false" outlineLevel="0" collapsed="false">
      <c r="A2928" s="103" t="n">
        <v>46306</v>
      </c>
      <c r="B2928" s="104" t="s">
        <v>32</v>
      </c>
      <c r="C2928" s="104" t="s">
        <v>533</v>
      </c>
      <c r="D2928" s="105" t="n">
        <v>0.5</v>
      </c>
      <c r="E2928" s="106" t="n">
        <v>81.6667</v>
      </c>
      <c r="F2928" s="107" t="n">
        <f aca="false">IF($C2928="","",$D2928*$E2928)</f>
        <v>40.83335</v>
      </c>
      <c r="G2928" s="107" t="n">
        <f aca="false">IF($C2928="","",$D2928*IFERROR(INDEX('تحليل التكلفة والسعر'!$C$2:$C$700,MATCH($C2928,'تحليل التكلفة والسعر'!$B$2:$B$700,0)),0))</f>
        <v>47.57272</v>
      </c>
      <c r="H2928" s="104" t="s">
        <v>719</v>
      </c>
    </row>
    <row r="2929" customFormat="false" ht="15" hidden="false" customHeight="false" outlineLevel="0" collapsed="false">
      <c r="A2929" s="103" t="n">
        <v>46307</v>
      </c>
      <c r="B2929" s="104" t="s">
        <v>32</v>
      </c>
      <c r="C2929" s="104" t="s">
        <v>533</v>
      </c>
      <c r="D2929" s="105" t="n">
        <v>0.5</v>
      </c>
      <c r="E2929" s="106" t="n">
        <v>81.6667</v>
      </c>
      <c r="F2929" s="107" t="n">
        <f aca="false">IF($C2929="","",$D2929*$E2929)</f>
        <v>40.83335</v>
      </c>
      <c r="G2929" s="107" t="n">
        <f aca="false">IF($C2929="","",$D2929*IFERROR(INDEX('تحليل التكلفة والسعر'!$C$2:$C$700,MATCH($C2929,'تحليل التكلفة والسعر'!$B$2:$B$700,0)),0))</f>
        <v>47.57272</v>
      </c>
      <c r="H2929" s="104" t="s">
        <v>719</v>
      </c>
    </row>
    <row r="2930" customFormat="false" ht="15" hidden="false" customHeight="false" outlineLevel="0" collapsed="false">
      <c r="A2930" s="103" t="n">
        <v>46296</v>
      </c>
      <c r="B2930" s="104" t="s">
        <v>32</v>
      </c>
      <c r="C2930" s="104" t="s">
        <v>742</v>
      </c>
      <c r="D2930" s="105" t="n">
        <v>0.0833</v>
      </c>
      <c r="E2930" s="106" t="n">
        <v>40</v>
      </c>
      <c r="F2930" s="107" t="n">
        <f aca="false">IF($C2930="","",$D2930*$E2930)</f>
        <v>3.332</v>
      </c>
      <c r="G2930" s="107" t="n">
        <f aca="false">IF($C2930="","",$D2930*IFERROR(INDEX('تحليل التكلفة والسعر'!$C$2:$C$700,MATCH($C2930,'تحليل التكلفة والسعر'!$B$2:$B$700,0)),0))</f>
        <v>3.332</v>
      </c>
      <c r="H2930" s="104" t="s">
        <v>719</v>
      </c>
    </row>
    <row r="2931" customFormat="false" ht="15" hidden="false" customHeight="false" outlineLevel="0" collapsed="false">
      <c r="A2931" s="103" t="n">
        <v>46297</v>
      </c>
      <c r="B2931" s="104" t="s">
        <v>32</v>
      </c>
      <c r="C2931" s="104" t="s">
        <v>742</v>
      </c>
      <c r="D2931" s="105" t="n">
        <v>0.0833</v>
      </c>
      <c r="E2931" s="106" t="n">
        <v>40</v>
      </c>
      <c r="F2931" s="107" t="n">
        <f aca="false">IF($C2931="","",$D2931*$E2931)</f>
        <v>3.332</v>
      </c>
      <c r="G2931" s="107" t="n">
        <f aca="false">IF($C2931="","",$D2931*IFERROR(INDEX('تحليل التكلفة والسعر'!$C$2:$C$700,MATCH($C2931,'تحليل التكلفة والسعر'!$B$2:$B$700,0)),0))</f>
        <v>3.332</v>
      </c>
      <c r="H2931" s="104" t="s">
        <v>719</v>
      </c>
    </row>
    <row r="2932" customFormat="false" ht="15" hidden="false" customHeight="false" outlineLevel="0" collapsed="false">
      <c r="A2932" s="103" t="n">
        <v>46298</v>
      </c>
      <c r="B2932" s="104" t="s">
        <v>32</v>
      </c>
      <c r="C2932" s="104" t="s">
        <v>742</v>
      </c>
      <c r="D2932" s="105" t="n">
        <v>0.0833</v>
      </c>
      <c r="E2932" s="106" t="n">
        <v>40</v>
      </c>
      <c r="F2932" s="107" t="n">
        <f aca="false">IF($C2932="","",$D2932*$E2932)</f>
        <v>3.332</v>
      </c>
      <c r="G2932" s="107" t="n">
        <f aca="false">IF($C2932="","",$D2932*IFERROR(INDEX('تحليل التكلفة والسعر'!$C$2:$C$700,MATCH($C2932,'تحليل التكلفة والسعر'!$B$2:$B$700,0)),0))</f>
        <v>3.332</v>
      </c>
      <c r="H2932" s="104" t="s">
        <v>719</v>
      </c>
    </row>
    <row r="2933" customFormat="false" ht="15" hidden="false" customHeight="false" outlineLevel="0" collapsed="false">
      <c r="A2933" s="103" t="n">
        <v>46299</v>
      </c>
      <c r="B2933" s="104" t="s">
        <v>32</v>
      </c>
      <c r="C2933" s="104" t="s">
        <v>742</v>
      </c>
      <c r="D2933" s="105" t="n">
        <v>0.0833</v>
      </c>
      <c r="E2933" s="106" t="n">
        <v>40</v>
      </c>
      <c r="F2933" s="107" t="n">
        <f aca="false">IF($C2933="","",$D2933*$E2933)</f>
        <v>3.332</v>
      </c>
      <c r="G2933" s="107" t="n">
        <f aca="false">IF($C2933="","",$D2933*IFERROR(INDEX('تحليل التكلفة والسعر'!$C$2:$C$700,MATCH($C2933,'تحليل التكلفة والسعر'!$B$2:$B$700,0)),0))</f>
        <v>3.332</v>
      </c>
      <c r="H2933" s="104" t="s">
        <v>719</v>
      </c>
    </row>
    <row r="2934" customFormat="false" ht="15" hidden="false" customHeight="false" outlineLevel="0" collapsed="false">
      <c r="A2934" s="103" t="n">
        <v>46300</v>
      </c>
      <c r="B2934" s="104" t="s">
        <v>32</v>
      </c>
      <c r="C2934" s="104" t="s">
        <v>742</v>
      </c>
      <c r="D2934" s="105" t="n">
        <v>0.0833</v>
      </c>
      <c r="E2934" s="106" t="n">
        <v>40</v>
      </c>
      <c r="F2934" s="107" t="n">
        <f aca="false">IF($C2934="","",$D2934*$E2934)</f>
        <v>3.332</v>
      </c>
      <c r="G2934" s="107" t="n">
        <f aca="false">IF($C2934="","",$D2934*IFERROR(INDEX('تحليل التكلفة والسعر'!$C$2:$C$700,MATCH($C2934,'تحليل التكلفة والسعر'!$B$2:$B$700,0)),0))</f>
        <v>3.332</v>
      </c>
      <c r="H2934" s="104" t="s">
        <v>719</v>
      </c>
    </row>
    <row r="2935" customFormat="false" ht="15" hidden="false" customHeight="false" outlineLevel="0" collapsed="false">
      <c r="A2935" s="103" t="n">
        <v>46301</v>
      </c>
      <c r="B2935" s="104" t="s">
        <v>32</v>
      </c>
      <c r="C2935" s="104" t="s">
        <v>742</v>
      </c>
      <c r="D2935" s="105" t="n">
        <v>0.0833</v>
      </c>
      <c r="E2935" s="106" t="n">
        <v>40</v>
      </c>
      <c r="F2935" s="107" t="n">
        <f aca="false">IF($C2935="","",$D2935*$E2935)</f>
        <v>3.332</v>
      </c>
      <c r="G2935" s="107" t="n">
        <f aca="false">IF($C2935="","",$D2935*IFERROR(INDEX('تحليل التكلفة والسعر'!$C$2:$C$700,MATCH($C2935,'تحليل التكلفة والسعر'!$B$2:$B$700,0)),0))</f>
        <v>3.332</v>
      </c>
      <c r="H2935" s="104" t="s">
        <v>719</v>
      </c>
    </row>
    <row r="2936" customFormat="false" ht="15" hidden="false" customHeight="false" outlineLevel="0" collapsed="false">
      <c r="A2936" s="103" t="n">
        <v>46302</v>
      </c>
      <c r="B2936" s="104" t="s">
        <v>32</v>
      </c>
      <c r="C2936" s="104" t="s">
        <v>742</v>
      </c>
      <c r="D2936" s="105" t="n">
        <v>0.0833</v>
      </c>
      <c r="E2936" s="106" t="n">
        <v>40</v>
      </c>
      <c r="F2936" s="107" t="n">
        <f aca="false">IF($C2936="","",$D2936*$E2936)</f>
        <v>3.332</v>
      </c>
      <c r="G2936" s="107" t="n">
        <f aca="false">IF($C2936="","",$D2936*IFERROR(INDEX('تحليل التكلفة والسعر'!$C$2:$C$700,MATCH($C2936,'تحليل التكلفة والسعر'!$B$2:$B$700,0)),0))</f>
        <v>3.332</v>
      </c>
      <c r="H2936" s="104" t="s">
        <v>719</v>
      </c>
    </row>
    <row r="2937" customFormat="false" ht="15" hidden="false" customHeight="false" outlineLevel="0" collapsed="false">
      <c r="A2937" s="103" t="n">
        <v>46303</v>
      </c>
      <c r="B2937" s="104" t="s">
        <v>32</v>
      </c>
      <c r="C2937" s="104" t="s">
        <v>742</v>
      </c>
      <c r="D2937" s="105" t="n">
        <v>0.0833</v>
      </c>
      <c r="E2937" s="106" t="n">
        <v>40</v>
      </c>
      <c r="F2937" s="107" t="n">
        <f aca="false">IF($C2937="","",$D2937*$E2937)</f>
        <v>3.332</v>
      </c>
      <c r="G2937" s="107" t="n">
        <f aca="false">IF($C2937="","",$D2937*IFERROR(INDEX('تحليل التكلفة والسعر'!$C$2:$C$700,MATCH($C2937,'تحليل التكلفة والسعر'!$B$2:$B$700,0)),0))</f>
        <v>3.332</v>
      </c>
      <c r="H2937" s="104" t="s">
        <v>719</v>
      </c>
    </row>
    <row r="2938" customFormat="false" ht="15" hidden="false" customHeight="false" outlineLevel="0" collapsed="false">
      <c r="A2938" s="103" t="n">
        <v>46304</v>
      </c>
      <c r="B2938" s="104" t="s">
        <v>32</v>
      </c>
      <c r="C2938" s="104" t="s">
        <v>742</v>
      </c>
      <c r="D2938" s="105" t="n">
        <v>0.0833</v>
      </c>
      <c r="E2938" s="106" t="n">
        <v>40</v>
      </c>
      <c r="F2938" s="107" t="n">
        <f aca="false">IF($C2938="","",$D2938*$E2938)</f>
        <v>3.332</v>
      </c>
      <c r="G2938" s="107" t="n">
        <f aca="false">IF($C2938="","",$D2938*IFERROR(INDEX('تحليل التكلفة والسعر'!$C$2:$C$700,MATCH($C2938,'تحليل التكلفة والسعر'!$B$2:$B$700,0)),0))</f>
        <v>3.332</v>
      </c>
      <c r="H2938" s="104" t="s">
        <v>719</v>
      </c>
    </row>
    <row r="2939" customFormat="false" ht="15" hidden="false" customHeight="false" outlineLevel="0" collapsed="false">
      <c r="A2939" s="103" t="n">
        <v>46305</v>
      </c>
      <c r="B2939" s="104" t="s">
        <v>32</v>
      </c>
      <c r="C2939" s="104" t="s">
        <v>742</v>
      </c>
      <c r="D2939" s="105" t="n">
        <v>0.0833</v>
      </c>
      <c r="E2939" s="106" t="n">
        <v>40</v>
      </c>
      <c r="F2939" s="107" t="n">
        <f aca="false">IF($C2939="","",$D2939*$E2939)</f>
        <v>3.332</v>
      </c>
      <c r="G2939" s="107" t="n">
        <f aca="false">IF($C2939="","",$D2939*IFERROR(INDEX('تحليل التكلفة والسعر'!$C$2:$C$700,MATCH($C2939,'تحليل التكلفة والسعر'!$B$2:$B$700,0)),0))</f>
        <v>3.332</v>
      </c>
      <c r="H2939" s="104" t="s">
        <v>719</v>
      </c>
    </row>
    <row r="2940" customFormat="false" ht="15" hidden="false" customHeight="false" outlineLevel="0" collapsed="false">
      <c r="A2940" s="103" t="n">
        <v>46306</v>
      </c>
      <c r="B2940" s="104" t="s">
        <v>32</v>
      </c>
      <c r="C2940" s="104" t="s">
        <v>742</v>
      </c>
      <c r="D2940" s="105" t="n">
        <v>0.0833</v>
      </c>
      <c r="E2940" s="106" t="n">
        <v>40</v>
      </c>
      <c r="F2940" s="107" t="n">
        <f aca="false">IF($C2940="","",$D2940*$E2940)</f>
        <v>3.332</v>
      </c>
      <c r="G2940" s="107" t="n">
        <f aca="false">IF($C2940="","",$D2940*IFERROR(INDEX('تحليل التكلفة والسعر'!$C$2:$C$700,MATCH($C2940,'تحليل التكلفة والسعر'!$B$2:$B$700,0)),0))</f>
        <v>3.332</v>
      </c>
      <c r="H2940" s="104" t="s">
        <v>719</v>
      </c>
    </row>
    <row r="2941" customFormat="false" ht="15" hidden="false" customHeight="false" outlineLevel="0" collapsed="false">
      <c r="A2941" s="103" t="n">
        <v>46307</v>
      </c>
      <c r="B2941" s="104" t="s">
        <v>32</v>
      </c>
      <c r="C2941" s="104" t="s">
        <v>742</v>
      </c>
      <c r="D2941" s="105" t="n">
        <v>0.0833</v>
      </c>
      <c r="E2941" s="106" t="n">
        <v>40</v>
      </c>
      <c r="F2941" s="107" t="n">
        <f aca="false">IF($C2941="","",$D2941*$E2941)</f>
        <v>3.332</v>
      </c>
      <c r="G2941" s="107" t="n">
        <f aca="false">IF($C2941="","",$D2941*IFERROR(INDEX('تحليل التكلفة والسعر'!$C$2:$C$700,MATCH($C2941,'تحليل التكلفة والسعر'!$B$2:$B$700,0)),0))</f>
        <v>3.332</v>
      </c>
      <c r="H2941" s="104" t="s">
        <v>719</v>
      </c>
    </row>
    <row r="2942" customFormat="false" ht="15" hidden="false" customHeight="false" outlineLevel="0" collapsed="false">
      <c r="A2942" s="103" t="n">
        <v>46296</v>
      </c>
      <c r="B2942" s="104" t="s">
        <v>32</v>
      </c>
      <c r="C2942" s="104" t="s">
        <v>202</v>
      </c>
      <c r="D2942" s="105" t="n">
        <v>0.5</v>
      </c>
      <c r="E2942" s="106" t="n">
        <v>25</v>
      </c>
      <c r="F2942" s="107" t="n">
        <f aca="false">IF($C2942="","",$D2942*$E2942)</f>
        <v>12.5</v>
      </c>
      <c r="G2942" s="107" t="n">
        <f aca="false">IF($C2942="","",$D2942*IFERROR(INDEX('تحليل التكلفة والسعر'!$C$2:$C$700,MATCH($C2942,'تحليل التكلفة والسعر'!$B$2:$B$700,0)),0))</f>
        <v>8.59375</v>
      </c>
      <c r="H2942" s="104" t="s">
        <v>719</v>
      </c>
    </row>
    <row r="2943" customFormat="false" ht="15" hidden="false" customHeight="false" outlineLevel="0" collapsed="false">
      <c r="A2943" s="103" t="n">
        <v>46297</v>
      </c>
      <c r="B2943" s="104" t="s">
        <v>32</v>
      </c>
      <c r="C2943" s="104" t="s">
        <v>202</v>
      </c>
      <c r="D2943" s="105" t="n">
        <v>0.5</v>
      </c>
      <c r="E2943" s="106" t="n">
        <v>25</v>
      </c>
      <c r="F2943" s="107" t="n">
        <f aca="false">IF($C2943="","",$D2943*$E2943)</f>
        <v>12.5</v>
      </c>
      <c r="G2943" s="107" t="n">
        <f aca="false">IF($C2943="","",$D2943*IFERROR(INDEX('تحليل التكلفة والسعر'!$C$2:$C$700,MATCH($C2943,'تحليل التكلفة والسعر'!$B$2:$B$700,0)),0))</f>
        <v>8.59375</v>
      </c>
      <c r="H2943" s="104" t="s">
        <v>719</v>
      </c>
    </row>
    <row r="2944" customFormat="false" ht="15" hidden="false" customHeight="false" outlineLevel="0" collapsed="false">
      <c r="A2944" s="103" t="n">
        <v>46298</v>
      </c>
      <c r="B2944" s="104" t="s">
        <v>32</v>
      </c>
      <c r="C2944" s="104" t="s">
        <v>202</v>
      </c>
      <c r="D2944" s="105" t="n">
        <v>0.5</v>
      </c>
      <c r="E2944" s="106" t="n">
        <v>25</v>
      </c>
      <c r="F2944" s="107" t="n">
        <f aca="false">IF($C2944="","",$D2944*$E2944)</f>
        <v>12.5</v>
      </c>
      <c r="G2944" s="107" t="n">
        <f aca="false">IF($C2944="","",$D2944*IFERROR(INDEX('تحليل التكلفة والسعر'!$C$2:$C$700,MATCH($C2944,'تحليل التكلفة والسعر'!$B$2:$B$700,0)),0))</f>
        <v>8.59375</v>
      </c>
      <c r="H2944" s="104" t="s">
        <v>719</v>
      </c>
    </row>
    <row r="2945" customFormat="false" ht="15" hidden="false" customHeight="false" outlineLevel="0" collapsed="false">
      <c r="A2945" s="103" t="n">
        <v>46299</v>
      </c>
      <c r="B2945" s="104" t="s">
        <v>32</v>
      </c>
      <c r="C2945" s="104" t="s">
        <v>202</v>
      </c>
      <c r="D2945" s="105" t="n">
        <v>0.5</v>
      </c>
      <c r="E2945" s="106" t="n">
        <v>25</v>
      </c>
      <c r="F2945" s="107" t="n">
        <f aca="false">IF($C2945="","",$D2945*$E2945)</f>
        <v>12.5</v>
      </c>
      <c r="G2945" s="107" t="n">
        <f aca="false">IF($C2945="","",$D2945*IFERROR(INDEX('تحليل التكلفة والسعر'!$C$2:$C$700,MATCH($C2945,'تحليل التكلفة والسعر'!$B$2:$B$700,0)),0))</f>
        <v>8.59375</v>
      </c>
      <c r="H2945" s="104" t="s">
        <v>719</v>
      </c>
    </row>
    <row r="2946" customFormat="false" ht="15" hidden="false" customHeight="false" outlineLevel="0" collapsed="false">
      <c r="A2946" s="103" t="n">
        <v>46300</v>
      </c>
      <c r="B2946" s="104" t="s">
        <v>32</v>
      </c>
      <c r="C2946" s="104" t="s">
        <v>202</v>
      </c>
      <c r="D2946" s="105" t="n">
        <v>0.5</v>
      </c>
      <c r="E2946" s="106" t="n">
        <v>25</v>
      </c>
      <c r="F2946" s="107" t="n">
        <f aca="false">IF($C2946="","",$D2946*$E2946)</f>
        <v>12.5</v>
      </c>
      <c r="G2946" s="107" t="n">
        <f aca="false">IF($C2946="","",$D2946*IFERROR(INDEX('تحليل التكلفة والسعر'!$C$2:$C$700,MATCH($C2946,'تحليل التكلفة والسعر'!$B$2:$B$700,0)),0))</f>
        <v>8.59375</v>
      </c>
      <c r="H2946" s="104" t="s">
        <v>719</v>
      </c>
    </row>
    <row r="2947" customFormat="false" ht="15" hidden="false" customHeight="false" outlineLevel="0" collapsed="false">
      <c r="A2947" s="103" t="n">
        <v>46301</v>
      </c>
      <c r="B2947" s="104" t="s">
        <v>32</v>
      </c>
      <c r="C2947" s="104" t="s">
        <v>202</v>
      </c>
      <c r="D2947" s="105" t="n">
        <v>0.5</v>
      </c>
      <c r="E2947" s="106" t="n">
        <v>25</v>
      </c>
      <c r="F2947" s="107" t="n">
        <f aca="false">IF($C2947="","",$D2947*$E2947)</f>
        <v>12.5</v>
      </c>
      <c r="G2947" s="107" t="n">
        <f aca="false">IF($C2947="","",$D2947*IFERROR(INDEX('تحليل التكلفة والسعر'!$C$2:$C$700,MATCH($C2947,'تحليل التكلفة والسعر'!$B$2:$B$700,0)),0))</f>
        <v>8.59375</v>
      </c>
      <c r="H2947" s="104" t="s">
        <v>719</v>
      </c>
    </row>
    <row r="2948" customFormat="false" ht="15" hidden="false" customHeight="false" outlineLevel="0" collapsed="false">
      <c r="A2948" s="103" t="n">
        <v>46302</v>
      </c>
      <c r="B2948" s="104" t="s">
        <v>32</v>
      </c>
      <c r="C2948" s="104" t="s">
        <v>202</v>
      </c>
      <c r="D2948" s="105" t="n">
        <v>0.5</v>
      </c>
      <c r="E2948" s="106" t="n">
        <v>25</v>
      </c>
      <c r="F2948" s="107" t="n">
        <f aca="false">IF($C2948="","",$D2948*$E2948)</f>
        <v>12.5</v>
      </c>
      <c r="G2948" s="107" t="n">
        <f aca="false">IF($C2948="","",$D2948*IFERROR(INDEX('تحليل التكلفة والسعر'!$C$2:$C$700,MATCH($C2948,'تحليل التكلفة والسعر'!$B$2:$B$700,0)),0))</f>
        <v>8.59375</v>
      </c>
      <c r="H2948" s="104" t="s">
        <v>719</v>
      </c>
    </row>
    <row r="2949" customFormat="false" ht="15" hidden="false" customHeight="false" outlineLevel="0" collapsed="false">
      <c r="A2949" s="103" t="n">
        <v>46303</v>
      </c>
      <c r="B2949" s="104" t="s">
        <v>32</v>
      </c>
      <c r="C2949" s="104" t="s">
        <v>202</v>
      </c>
      <c r="D2949" s="105" t="n">
        <v>0.5</v>
      </c>
      <c r="E2949" s="106" t="n">
        <v>25</v>
      </c>
      <c r="F2949" s="107" t="n">
        <f aca="false">IF($C2949="","",$D2949*$E2949)</f>
        <v>12.5</v>
      </c>
      <c r="G2949" s="107" t="n">
        <f aca="false">IF($C2949="","",$D2949*IFERROR(INDEX('تحليل التكلفة والسعر'!$C$2:$C$700,MATCH($C2949,'تحليل التكلفة والسعر'!$B$2:$B$700,0)),0))</f>
        <v>8.59375</v>
      </c>
      <c r="H2949" s="104" t="s">
        <v>719</v>
      </c>
    </row>
    <row r="2950" customFormat="false" ht="15" hidden="false" customHeight="false" outlineLevel="0" collapsed="false">
      <c r="A2950" s="103" t="n">
        <v>46304</v>
      </c>
      <c r="B2950" s="104" t="s">
        <v>32</v>
      </c>
      <c r="C2950" s="104" t="s">
        <v>202</v>
      </c>
      <c r="D2950" s="105" t="n">
        <v>0.5</v>
      </c>
      <c r="E2950" s="106" t="n">
        <v>25</v>
      </c>
      <c r="F2950" s="107" t="n">
        <f aca="false">IF($C2950="","",$D2950*$E2950)</f>
        <v>12.5</v>
      </c>
      <c r="G2950" s="107" t="n">
        <f aca="false">IF($C2950="","",$D2950*IFERROR(INDEX('تحليل التكلفة والسعر'!$C$2:$C$700,MATCH($C2950,'تحليل التكلفة والسعر'!$B$2:$B$700,0)),0))</f>
        <v>8.59375</v>
      </c>
      <c r="H2950" s="104" t="s">
        <v>719</v>
      </c>
    </row>
    <row r="2951" customFormat="false" ht="15" hidden="false" customHeight="false" outlineLevel="0" collapsed="false">
      <c r="A2951" s="103" t="n">
        <v>46305</v>
      </c>
      <c r="B2951" s="104" t="s">
        <v>32</v>
      </c>
      <c r="C2951" s="104" t="s">
        <v>202</v>
      </c>
      <c r="D2951" s="105" t="n">
        <v>0.5</v>
      </c>
      <c r="E2951" s="106" t="n">
        <v>25</v>
      </c>
      <c r="F2951" s="107" t="n">
        <f aca="false">IF($C2951="","",$D2951*$E2951)</f>
        <v>12.5</v>
      </c>
      <c r="G2951" s="107" t="n">
        <f aca="false">IF($C2951="","",$D2951*IFERROR(INDEX('تحليل التكلفة والسعر'!$C$2:$C$700,MATCH($C2951,'تحليل التكلفة والسعر'!$B$2:$B$700,0)),0))</f>
        <v>8.59375</v>
      </c>
      <c r="H2951" s="104" t="s">
        <v>719</v>
      </c>
    </row>
    <row r="2952" customFormat="false" ht="15" hidden="false" customHeight="false" outlineLevel="0" collapsed="false">
      <c r="A2952" s="103" t="n">
        <v>46306</v>
      </c>
      <c r="B2952" s="104" t="s">
        <v>32</v>
      </c>
      <c r="C2952" s="104" t="s">
        <v>202</v>
      </c>
      <c r="D2952" s="105" t="n">
        <v>0.5</v>
      </c>
      <c r="E2952" s="106" t="n">
        <v>25</v>
      </c>
      <c r="F2952" s="107" t="n">
        <f aca="false">IF($C2952="","",$D2952*$E2952)</f>
        <v>12.5</v>
      </c>
      <c r="G2952" s="107" t="n">
        <f aca="false">IF($C2952="","",$D2952*IFERROR(INDEX('تحليل التكلفة والسعر'!$C$2:$C$700,MATCH($C2952,'تحليل التكلفة والسعر'!$B$2:$B$700,0)),0))</f>
        <v>8.59375</v>
      </c>
      <c r="H2952" s="104" t="s">
        <v>719</v>
      </c>
    </row>
    <row r="2953" customFormat="false" ht="15" hidden="false" customHeight="false" outlineLevel="0" collapsed="false">
      <c r="A2953" s="103" t="n">
        <v>46307</v>
      </c>
      <c r="B2953" s="104" t="s">
        <v>32</v>
      </c>
      <c r="C2953" s="104" t="s">
        <v>202</v>
      </c>
      <c r="D2953" s="105" t="n">
        <v>0.5</v>
      </c>
      <c r="E2953" s="106" t="n">
        <v>25</v>
      </c>
      <c r="F2953" s="107" t="n">
        <f aca="false">IF($C2953="","",$D2953*$E2953)</f>
        <v>12.5</v>
      </c>
      <c r="G2953" s="107" t="n">
        <f aca="false">IF($C2953="","",$D2953*IFERROR(INDEX('تحليل التكلفة والسعر'!$C$2:$C$700,MATCH($C2953,'تحليل التكلفة والسعر'!$B$2:$B$700,0)),0))</f>
        <v>8.59375</v>
      </c>
      <c r="H2953" s="104" t="s">
        <v>719</v>
      </c>
    </row>
    <row r="2954" customFormat="false" ht="15" hidden="false" customHeight="false" outlineLevel="0" collapsed="false">
      <c r="A2954" s="103" t="n">
        <v>46296</v>
      </c>
      <c r="B2954" s="104" t="s">
        <v>32</v>
      </c>
      <c r="C2954" s="104" t="s">
        <v>462</v>
      </c>
      <c r="D2954" s="105" t="n">
        <v>1.25</v>
      </c>
      <c r="E2954" s="106" t="n">
        <v>216.3333</v>
      </c>
      <c r="F2954" s="107" t="n">
        <f aca="false">IF($C2954="","",$D2954*$E2954)</f>
        <v>270.416625</v>
      </c>
      <c r="G2954" s="107" t="n">
        <f aca="false">IF($C2954="","",$D2954*IFERROR(INDEX('تحليل التكلفة والسعر'!$C$2:$C$700,MATCH($C2954,'تحليل التكلفة والسعر'!$B$2:$B$700,0)),0))</f>
        <v>121.197125</v>
      </c>
      <c r="H2954" s="104" t="s">
        <v>719</v>
      </c>
    </row>
    <row r="2955" customFormat="false" ht="15" hidden="false" customHeight="false" outlineLevel="0" collapsed="false">
      <c r="A2955" s="103" t="n">
        <v>46297</v>
      </c>
      <c r="B2955" s="104" t="s">
        <v>32</v>
      </c>
      <c r="C2955" s="104" t="s">
        <v>462</v>
      </c>
      <c r="D2955" s="105" t="n">
        <v>1.25</v>
      </c>
      <c r="E2955" s="106" t="n">
        <v>216.3333</v>
      </c>
      <c r="F2955" s="107" t="n">
        <f aca="false">IF($C2955="","",$D2955*$E2955)</f>
        <v>270.416625</v>
      </c>
      <c r="G2955" s="107" t="n">
        <f aca="false">IF($C2955="","",$D2955*IFERROR(INDEX('تحليل التكلفة والسعر'!$C$2:$C$700,MATCH($C2955,'تحليل التكلفة والسعر'!$B$2:$B$700,0)),0))</f>
        <v>121.197125</v>
      </c>
      <c r="H2955" s="104" t="s">
        <v>719</v>
      </c>
    </row>
    <row r="2956" customFormat="false" ht="15" hidden="false" customHeight="false" outlineLevel="0" collapsed="false">
      <c r="A2956" s="103" t="n">
        <v>46298</v>
      </c>
      <c r="B2956" s="104" t="s">
        <v>32</v>
      </c>
      <c r="C2956" s="104" t="s">
        <v>462</v>
      </c>
      <c r="D2956" s="105" t="n">
        <v>1.25</v>
      </c>
      <c r="E2956" s="106" t="n">
        <v>216.3333</v>
      </c>
      <c r="F2956" s="107" t="n">
        <f aca="false">IF($C2956="","",$D2956*$E2956)</f>
        <v>270.416625</v>
      </c>
      <c r="G2956" s="107" t="n">
        <f aca="false">IF($C2956="","",$D2956*IFERROR(INDEX('تحليل التكلفة والسعر'!$C$2:$C$700,MATCH($C2956,'تحليل التكلفة والسعر'!$B$2:$B$700,0)),0))</f>
        <v>121.197125</v>
      </c>
      <c r="H2956" s="104" t="s">
        <v>719</v>
      </c>
    </row>
    <row r="2957" customFormat="false" ht="15" hidden="false" customHeight="false" outlineLevel="0" collapsed="false">
      <c r="A2957" s="103" t="n">
        <v>46299</v>
      </c>
      <c r="B2957" s="104" t="s">
        <v>32</v>
      </c>
      <c r="C2957" s="104" t="s">
        <v>462</v>
      </c>
      <c r="D2957" s="105" t="n">
        <v>1.25</v>
      </c>
      <c r="E2957" s="106" t="n">
        <v>216.3333</v>
      </c>
      <c r="F2957" s="107" t="n">
        <f aca="false">IF($C2957="","",$D2957*$E2957)</f>
        <v>270.416625</v>
      </c>
      <c r="G2957" s="107" t="n">
        <f aca="false">IF($C2957="","",$D2957*IFERROR(INDEX('تحليل التكلفة والسعر'!$C$2:$C$700,MATCH($C2957,'تحليل التكلفة والسعر'!$B$2:$B$700,0)),0))</f>
        <v>121.197125</v>
      </c>
      <c r="H2957" s="104" t="s">
        <v>719</v>
      </c>
    </row>
    <row r="2958" customFormat="false" ht="15" hidden="false" customHeight="false" outlineLevel="0" collapsed="false">
      <c r="A2958" s="103" t="n">
        <v>46300</v>
      </c>
      <c r="B2958" s="104" t="s">
        <v>32</v>
      </c>
      <c r="C2958" s="104" t="s">
        <v>462</v>
      </c>
      <c r="D2958" s="105" t="n">
        <v>1.25</v>
      </c>
      <c r="E2958" s="106" t="n">
        <v>216.3333</v>
      </c>
      <c r="F2958" s="107" t="n">
        <f aca="false">IF($C2958="","",$D2958*$E2958)</f>
        <v>270.416625</v>
      </c>
      <c r="G2958" s="107" t="n">
        <f aca="false">IF($C2958="","",$D2958*IFERROR(INDEX('تحليل التكلفة والسعر'!$C$2:$C$700,MATCH($C2958,'تحليل التكلفة والسعر'!$B$2:$B$700,0)),0))</f>
        <v>121.197125</v>
      </c>
      <c r="H2958" s="104" t="s">
        <v>719</v>
      </c>
    </row>
    <row r="2959" customFormat="false" ht="15" hidden="false" customHeight="false" outlineLevel="0" collapsed="false">
      <c r="A2959" s="103" t="n">
        <v>46301</v>
      </c>
      <c r="B2959" s="104" t="s">
        <v>32</v>
      </c>
      <c r="C2959" s="104" t="s">
        <v>462</v>
      </c>
      <c r="D2959" s="105" t="n">
        <v>1.25</v>
      </c>
      <c r="E2959" s="106" t="n">
        <v>216.3333</v>
      </c>
      <c r="F2959" s="107" t="n">
        <f aca="false">IF($C2959="","",$D2959*$E2959)</f>
        <v>270.416625</v>
      </c>
      <c r="G2959" s="107" t="n">
        <f aca="false">IF($C2959="","",$D2959*IFERROR(INDEX('تحليل التكلفة والسعر'!$C$2:$C$700,MATCH($C2959,'تحليل التكلفة والسعر'!$B$2:$B$700,0)),0))</f>
        <v>121.197125</v>
      </c>
      <c r="H2959" s="104" t="s">
        <v>719</v>
      </c>
    </row>
    <row r="2960" customFormat="false" ht="15" hidden="false" customHeight="false" outlineLevel="0" collapsed="false">
      <c r="A2960" s="103" t="n">
        <v>46302</v>
      </c>
      <c r="B2960" s="104" t="s">
        <v>32</v>
      </c>
      <c r="C2960" s="104" t="s">
        <v>462</v>
      </c>
      <c r="D2960" s="105" t="n">
        <v>1.25</v>
      </c>
      <c r="E2960" s="106" t="n">
        <v>216.3333</v>
      </c>
      <c r="F2960" s="107" t="n">
        <f aca="false">IF($C2960="","",$D2960*$E2960)</f>
        <v>270.416625</v>
      </c>
      <c r="G2960" s="107" t="n">
        <f aca="false">IF($C2960="","",$D2960*IFERROR(INDEX('تحليل التكلفة والسعر'!$C$2:$C$700,MATCH($C2960,'تحليل التكلفة والسعر'!$B$2:$B$700,0)),0))</f>
        <v>121.197125</v>
      </c>
      <c r="H2960" s="104" t="s">
        <v>719</v>
      </c>
    </row>
    <row r="2961" customFormat="false" ht="15" hidden="false" customHeight="false" outlineLevel="0" collapsed="false">
      <c r="A2961" s="103" t="n">
        <v>46303</v>
      </c>
      <c r="B2961" s="104" t="s">
        <v>32</v>
      </c>
      <c r="C2961" s="104" t="s">
        <v>462</v>
      </c>
      <c r="D2961" s="105" t="n">
        <v>1.25</v>
      </c>
      <c r="E2961" s="106" t="n">
        <v>216.3333</v>
      </c>
      <c r="F2961" s="107" t="n">
        <f aca="false">IF($C2961="","",$D2961*$E2961)</f>
        <v>270.416625</v>
      </c>
      <c r="G2961" s="107" t="n">
        <f aca="false">IF($C2961="","",$D2961*IFERROR(INDEX('تحليل التكلفة والسعر'!$C$2:$C$700,MATCH($C2961,'تحليل التكلفة والسعر'!$B$2:$B$700,0)),0))</f>
        <v>121.197125</v>
      </c>
      <c r="H2961" s="104" t="s">
        <v>719</v>
      </c>
    </row>
    <row r="2962" customFormat="false" ht="15" hidden="false" customHeight="false" outlineLevel="0" collapsed="false">
      <c r="A2962" s="103" t="n">
        <v>46304</v>
      </c>
      <c r="B2962" s="104" t="s">
        <v>32</v>
      </c>
      <c r="C2962" s="104" t="s">
        <v>462</v>
      </c>
      <c r="D2962" s="105" t="n">
        <v>1.25</v>
      </c>
      <c r="E2962" s="106" t="n">
        <v>216.3333</v>
      </c>
      <c r="F2962" s="107" t="n">
        <f aca="false">IF($C2962="","",$D2962*$E2962)</f>
        <v>270.416625</v>
      </c>
      <c r="G2962" s="107" t="n">
        <f aca="false">IF($C2962="","",$D2962*IFERROR(INDEX('تحليل التكلفة والسعر'!$C$2:$C$700,MATCH($C2962,'تحليل التكلفة والسعر'!$B$2:$B$700,0)),0))</f>
        <v>121.197125</v>
      </c>
      <c r="H2962" s="104" t="s">
        <v>719</v>
      </c>
    </row>
    <row r="2963" customFormat="false" ht="15" hidden="false" customHeight="false" outlineLevel="0" collapsed="false">
      <c r="A2963" s="103" t="n">
        <v>46305</v>
      </c>
      <c r="B2963" s="104" t="s">
        <v>32</v>
      </c>
      <c r="C2963" s="104" t="s">
        <v>462</v>
      </c>
      <c r="D2963" s="105" t="n">
        <v>1.25</v>
      </c>
      <c r="E2963" s="106" t="n">
        <v>216.3333</v>
      </c>
      <c r="F2963" s="107" t="n">
        <f aca="false">IF($C2963="","",$D2963*$E2963)</f>
        <v>270.416625</v>
      </c>
      <c r="G2963" s="107" t="n">
        <f aca="false">IF($C2963="","",$D2963*IFERROR(INDEX('تحليل التكلفة والسعر'!$C$2:$C$700,MATCH($C2963,'تحليل التكلفة والسعر'!$B$2:$B$700,0)),0))</f>
        <v>121.197125</v>
      </c>
      <c r="H2963" s="104" t="s">
        <v>719</v>
      </c>
    </row>
    <row r="2964" customFormat="false" ht="15" hidden="false" customHeight="false" outlineLevel="0" collapsed="false">
      <c r="A2964" s="103" t="n">
        <v>46306</v>
      </c>
      <c r="B2964" s="104" t="s">
        <v>32</v>
      </c>
      <c r="C2964" s="104" t="s">
        <v>462</v>
      </c>
      <c r="D2964" s="105" t="n">
        <v>1.25</v>
      </c>
      <c r="E2964" s="106" t="n">
        <v>216.3333</v>
      </c>
      <c r="F2964" s="107" t="n">
        <f aca="false">IF($C2964="","",$D2964*$E2964)</f>
        <v>270.416625</v>
      </c>
      <c r="G2964" s="107" t="n">
        <f aca="false">IF($C2964="","",$D2964*IFERROR(INDEX('تحليل التكلفة والسعر'!$C$2:$C$700,MATCH($C2964,'تحليل التكلفة والسعر'!$B$2:$B$700,0)),0))</f>
        <v>121.197125</v>
      </c>
      <c r="H2964" s="104" t="s">
        <v>719</v>
      </c>
    </row>
    <row r="2965" customFormat="false" ht="15" hidden="false" customHeight="false" outlineLevel="0" collapsed="false">
      <c r="A2965" s="103" t="n">
        <v>46307</v>
      </c>
      <c r="B2965" s="104" t="s">
        <v>32</v>
      </c>
      <c r="C2965" s="104" t="s">
        <v>462</v>
      </c>
      <c r="D2965" s="105" t="n">
        <v>1.25</v>
      </c>
      <c r="E2965" s="106" t="n">
        <v>216.3333</v>
      </c>
      <c r="F2965" s="107" t="n">
        <f aca="false">IF($C2965="","",$D2965*$E2965)</f>
        <v>270.416625</v>
      </c>
      <c r="G2965" s="107" t="n">
        <f aca="false">IF($C2965="","",$D2965*IFERROR(INDEX('تحليل التكلفة والسعر'!$C$2:$C$700,MATCH($C2965,'تحليل التكلفة والسعر'!$B$2:$B$700,0)),0))</f>
        <v>121.197125</v>
      </c>
      <c r="H2965" s="104" t="s">
        <v>719</v>
      </c>
    </row>
    <row r="2966" customFormat="false" ht="15" hidden="false" customHeight="false" outlineLevel="0" collapsed="false">
      <c r="A2966" s="103" t="n">
        <v>46296</v>
      </c>
      <c r="B2966" s="104" t="s">
        <v>32</v>
      </c>
      <c r="C2966" s="104" t="s">
        <v>443</v>
      </c>
      <c r="D2966" s="105" t="n">
        <v>11.8333</v>
      </c>
      <c r="E2966" s="106" t="n">
        <v>72.9577</v>
      </c>
      <c r="F2966" s="107" t="n">
        <f aca="false">IF($C2966="","",$D2966*$E2966)</f>
        <v>863.33035141</v>
      </c>
      <c r="G2966" s="107" t="n">
        <f aca="false">IF($C2966="","",$D2966*IFERROR(INDEX('تحليل التكلفة والسعر'!$C$2:$C$700,MATCH($C2966,'تحليل التكلفة والسعر'!$B$2:$B$700,0)),0))</f>
        <v>862.84281945</v>
      </c>
      <c r="H2966" s="104" t="s">
        <v>719</v>
      </c>
    </row>
    <row r="2967" customFormat="false" ht="15" hidden="false" customHeight="false" outlineLevel="0" collapsed="false">
      <c r="A2967" s="103" t="n">
        <v>46297</v>
      </c>
      <c r="B2967" s="104" t="s">
        <v>32</v>
      </c>
      <c r="C2967" s="104" t="s">
        <v>443</v>
      </c>
      <c r="D2967" s="105" t="n">
        <v>11.8333</v>
      </c>
      <c r="E2967" s="106" t="n">
        <v>72.9577</v>
      </c>
      <c r="F2967" s="107" t="n">
        <f aca="false">IF($C2967="","",$D2967*$E2967)</f>
        <v>863.33035141</v>
      </c>
      <c r="G2967" s="107" t="n">
        <f aca="false">IF($C2967="","",$D2967*IFERROR(INDEX('تحليل التكلفة والسعر'!$C$2:$C$700,MATCH($C2967,'تحليل التكلفة والسعر'!$B$2:$B$700,0)),0))</f>
        <v>862.84281945</v>
      </c>
      <c r="H2967" s="104" t="s">
        <v>719</v>
      </c>
    </row>
    <row r="2968" customFormat="false" ht="15" hidden="false" customHeight="false" outlineLevel="0" collapsed="false">
      <c r="A2968" s="103" t="n">
        <v>46298</v>
      </c>
      <c r="B2968" s="104" t="s">
        <v>32</v>
      </c>
      <c r="C2968" s="104" t="s">
        <v>443</v>
      </c>
      <c r="D2968" s="105" t="n">
        <v>11.8333</v>
      </c>
      <c r="E2968" s="106" t="n">
        <v>72.9577</v>
      </c>
      <c r="F2968" s="107" t="n">
        <f aca="false">IF($C2968="","",$D2968*$E2968)</f>
        <v>863.33035141</v>
      </c>
      <c r="G2968" s="107" t="n">
        <f aca="false">IF($C2968="","",$D2968*IFERROR(INDEX('تحليل التكلفة والسعر'!$C$2:$C$700,MATCH($C2968,'تحليل التكلفة والسعر'!$B$2:$B$700,0)),0))</f>
        <v>862.84281945</v>
      </c>
      <c r="H2968" s="104" t="s">
        <v>719</v>
      </c>
    </row>
    <row r="2969" customFormat="false" ht="15" hidden="false" customHeight="false" outlineLevel="0" collapsed="false">
      <c r="A2969" s="103" t="n">
        <v>46299</v>
      </c>
      <c r="B2969" s="104" t="s">
        <v>32</v>
      </c>
      <c r="C2969" s="104" t="s">
        <v>443</v>
      </c>
      <c r="D2969" s="105" t="n">
        <v>11.8333</v>
      </c>
      <c r="E2969" s="106" t="n">
        <v>72.9577</v>
      </c>
      <c r="F2969" s="107" t="n">
        <f aca="false">IF($C2969="","",$D2969*$E2969)</f>
        <v>863.33035141</v>
      </c>
      <c r="G2969" s="107" t="n">
        <f aca="false">IF($C2969="","",$D2969*IFERROR(INDEX('تحليل التكلفة والسعر'!$C$2:$C$700,MATCH($C2969,'تحليل التكلفة والسعر'!$B$2:$B$700,0)),0))</f>
        <v>862.84281945</v>
      </c>
      <c r="H2969" s="104" t="s">
        <v>719</v>
      </c>
    </row>
    <row r="2970" customFormat="false" ht="15" hidden="false" customHeight="false" outlineLevel="0" collapsed="false">
      <c r="A2970" s="103" t="n">
        <v>46300</v>
      </c>
      <c r="B2970" s="104" t="s">
        <v>32</v>
      </c>
      <c r="C2970" s="104" t="s">
        <v>443</v>
      </c>
      <c r="D2970" s="105" t="n">
        <v>11.8333</v>
      </c>
      <c r="E2970" s="106" t="n">
        <v>72.9577</v>
      </c>
      <c r="F2970" s="107" t="n">
        <f aca="false">IF($C2970="","",$D2970*$E2970)</f>
        <v>863.33035141</v>
      </c>
      <c r="G2970" s="107" t="n">
        <f aca="false">IF($C2970="","",$D2970*IFERROR(INDEX('تحليل التكلفة والسعر'!$C$2:$C$700,MATCH($C2970,'تحليل التكلفة والسعر'!$B$2:$B$700,0)),0))</f>
        <v>862.84281945</v>
      </c>
      <c r="H2970" s="104" t="s">
        <v>719</v>
      </c>
    </row>
    <row r="2971" customFormat="false" ht="15" hidden="false" customHeight="false" outlineLevel="0" collapsed="false">
      <c r="A2971" s="103" t="n">
        <v>46301</v>
      </c>
      <c r="B2971" s="104" t="s">
        <v>32</v>
      </c>
      <c r="C2971" s="104" t="s">
        <v>443</v>
      </c>
      <c r="D2971" s="105" t="n">
        <v>11.8333</v>
      </c>
      <c r="E2971" s="106" t="n">
        <v>72.9577</v>
      </c>
      <c r="F2971" s="107" t="n">
        <f aca="false">IF($C2971="","",$D2971*$E2971)</f>
        <v>863.33035141</v>
      </c>
      <c r="G2971" s="107" t="n">
        <f aca="false">IF($C2971="","",$D2971*IFERROR(INDEX('تحليل التكلفة والسعر'!$C$2:$C$700,MATCH($C2971,'تحليل التكلفة والسعر'!$B$2:$B$700,0)),0))</f>
        <v>862.84281945</v>
      </c>
      <c r="H2971" s="104" t="s">
        <v>719</v>
      </c>
    </row>
    <row r="2972" customFormat="false" ht="15" hidden="false" customHeight="false" outlineLevel="0" collapsed="false">
      <c r="A2972" s="103" t="n">
        <v>46302</v>
      </c>
      <c r="B2972" s="104" t="s">
        <v>32</v>
      </c>
      <c r="C2972" s="104" t="s">
        <v>443</v>
      </c>
      <c r="D2972" s="105" t="n">
        <v>11.8333</v>
      </c>
      <c r="E2972" s="106" t="n">
        <v>72.9577</v>
      </c>
      <c r="F2972" s="107" t="n">
        <f aca="false">IF($C2972="","",$D2972*$E2972)</f>
        <v>863.33035141</v>
      </c>
      <c r="G2972" s="107" t="n">
        <f aca="false">IF($C2972="","",$D2972*IFERROR(INDEX('تحليل التكلفة والسعر'!$C$2:$C$700,MATCH($C2972,'تحليل التكلفة والسعر'!$B$2:$B$700,0)),0))</f>
        <v>862.84281945</v>
      </c>
      <c r="H2972" s="104" t="s">
        <v>719</v>
      </c>
    </row>
    <row r="2973" customFormat="false" ht="15" hidden="false" customHeight="false" outlineLevel="0" collapsed="false">
      <c r="A2973" s="103" t="n">
        <v>46303</v>
      </c>
      <c r="B2973" s="104" t="s">
        <v>32</v>
      </c>
      <c r="C2973" s="104" t="s">
        <v>443</v>
      </c>
      <c r="D2973" s="105" t="n">
        <v>11.8333</v>
      </c>
      <c r="E2973" s="106" t="n">
        <v>72.9577</v>
      </c>
      <c r="F2973" s="107" t="n">
        <f aca="false">IF($C2973="","",$D2973*$E2973)</f>
        <v>863.33035141</v>
      </c>
      <c r="G2973" s="107" t="n">
        <f aca="false">IF($C2973="","",$D2973*IFERROR(INDEX('تحليل التكلفة والسعر'!$C$2:$C$700,MATCH($C2973,'تحليل التكلفة والسعر'!$B$2:$B$700,0)),0))</f>
        <v>862.84281945</v>
      </c>
      <c r="H2973" s="104" t="s">
        <v>719</v>
      </c>
    </row>
    <row r="2974" customFormat="false" ht="15" hidden="false" customHeight="false" outlineLevel="0" collapsed="false">
      <c r="A2974" s="103" t="n">
        <v>46304</v>
      </c>
      <c r="B2974" s="104" t="s">
        <v>32</v>
      </c>
      <c r="C2974" s="104" t="s">
        <v>443</v>
      </c>
      <c r="D2974" s="105" t="n">
        <v>11.8333</v>
      </c>
      <c r="E2974" s="106" t="n">
        <v>72.9577</v>
      </c>
      <c r="F2974" s="107" t="n">
        <f aca="false">IF($C2974="","",$D2974*$E2974)</f>
        <v>863.33035141</v>
      </c>
      <c r="G2974" s="107" t="n">
        <f aca="false">IF($C2974="","",$D2974*IFERROR(INDEX('تحليل التكلفة والسعر'!$C$2:$C$700,MATCH($C2974,'تحليل التكلفة والسعر'!$B$2:$B$700,0)),0))</f>
        <v>862.84281945</v>
      </c>
      <c r="H2974" s="104" t="s">
        <v>719</v>
      </c>
    </row>
    <row r="2975" customFormat="false" ht="15" hidden="false" customHeight="false" outlineLevel="0" collapsed="false">
      <c r="A2975" s="103" t="n">
        <v>46305</v>
      </c>
      <c r="B2975" s="104" t="s">
        <v>32</v>
      </c>
      <c r="C2975" s="104" t="s">
        <v>443</v>
      </c>
      <c r="D2975" s="105" t="n">
        <v>11.8333</v>
      </c>
      <c r="E2975" s="106" t="n">
        <v>72.9577</v>
      </c>
      <c r="F2975" s="107" t="n">
        <f aca="false">IF($C2975="","",$D2975*$E2975)</f>
        <v>863.33035141</v>
      </c>
      <c r="G2975" s="107" t="n">
        <f aca="false">IF($C2975="","",$D2975*IFERROR(INDEX('تحليل التكلفة والسعر'!$C$2:$C$700,MATCH($C2975,'تحليل التكلفة والسعر'!$B$2:$B$700,0)),0))</f>
        <v>862.84281945</v>
      </c>
      <c r="H2975" s="104" t="s">
        <v>719</v>
      </c>
    </row>
    <row r="2976" customFormat="false" ht="15" hidden="false" customHeight="false" outlineLevel="0" collapsed="false">
      <c r="A2976" s="103" t="n">
        <v>46306</v>
      </c>
      <c r="B2976" s="104" t="s">
        <v>32</v>
      </c>
      <c r="C2976" s="104" t="s">
        <v>443</v>
      </c>
      <c r="D2976" s="105" t="n">
        <v>11.8333</v>
      </c>
      <c r="E2976" s="106" t="n">
        <v>72.9577</v>
      </c>
      <c r="F2976" s="107" t="n">
        <f aca="false">IF($C2976="","",$D2976*$E2976)</f>
        <v>863.33035141</v>
      </c>
      <c r="G2976" s="107" t="n">
        <f aca="false">IF($C2976="","",$D2976*IFERROR(INDEX('تحليل التكلفة والسعر'!$C$2:$C$700,MATCH($C2976,'تحليل التكلفة والسعر'!$B$2:$B$700,0)),0))</f>
        <v>862.84281945</v>
      </c>
      <c r="H2976" s="104" t="s">
        <v>719</v>
      </c>
    </row>
    <row r="2977" customFormat="false" ht="15" hidden="false" customHeight="false" outlineLevel="0" collapsed="false">
      <c r="A2977" s="103" t="n">
        <v>46307</v>
      </c>
      <c r="B2977" s="104" t="s">
        <v>32</v>
      </c>
      <c r="C2977" s="104" t="s">
        <v>443</v>
      </c>
      <c r="D2977" s="105" t="n">
        <v>11.8333</v>
      </c>
      <c r="E2977" s="106" t="n">
        <v>72.9577</v>
      </c>
      <c r="F2977" s="107" t="n">
        <f aca="false">IF($C2977="","",$D2977*$E2977)</f>
        <v>863.33035141</v>
      </c>
      <c r="G2977" s="107" t="n">
        <f aca="false">IF($C2977="","",$D2977*IFERROR(INDEX('تحليل التكلفة والسعر'!$C$2:$C$700,MATCH($C2977,'تحليل التكلفة والسعر'!$B$2:$B$700,0)),0))</f>
        <v>862.84281945</v>
      </c>
      <c r="H2977" s="104" t="s">
        <v>719</v>
      </c>
    </row>
    <row r="2978" customFormat="false" ht="15" hidden="false" customHeight="false" outlineLevel="0" collapsed="false">
      <c r="A2978" s="103" t="n">
        <v>46296</v>
      </c>
      <c r="B2978" s="104" t="s">
        <v>32</v>
      </c>
      <c r="C2978" s="104" t="s">
        <v>465</v>
      </c>
      <c r="D2978" s="105" t="n">
        <v>0.4167</v>
      </c>
      <c r="E2978" s="106" t="n">
        <v>396</v>
      </c>
      <c r="F2978" s="107" t="n">
        <f aca="false">IF($C2978="","",$D2978*$E2978)</f>
        <v>165.0132</v>
      </c>
      <c r="G2978" s="107" t="n">
        <f aca="false">IF($C2978="","",$D2978*IFERROR(INDEX('تحليل التكلفة والسعر'!$C$2:$C$700,MATCH($C2978,'تحليل التكلفة والسعر'!$B$2:$B$700,0)),0))</f>
        <v>80.3360097</v>
      </c>
      <c r="H2978" s="104" t="s">
        <v>719</v>
      </c>
    </row>
    <row r="2979" customFormat="false" ht="15" hidden="false" customHeight="false" outlineLevel="0" collapsed="false">
      <c r="A2979" s="103" t="n">
        <v>46297</v>
      </c>
      <c r="B2979" s="104" t="s">
        <v>32</v>
      </c>
      <c r="C2979" s="104" t="s">
        <v>465</v>
      </c>
      <c r="D2979" s="105" t="n">
        <v>0.4167</v>
      </c>
      <c r="E2979" s="106" t="n">
        <v>396</v>
      </c>
      <c r="F2979" s="107" t="n">
        <f aca="false">IF($C2979="","",$D2979*$E2979)</f>
        <v>165.0132</v>
      </c>
      <c r="G2979" s="107" t="n">
        <f aca="false">IF($C2979="","",$D2979*IFERROR(INDEX('تحليل التكلفة والسعر'!$C$2:$C$700,MATCH($C2979,'تحليل التكلفة والسعر'!$B$2:$B$700,0)),0))</f>
        <v>80.3360097</v>
      </c>
      <c r="H2979" s="104" t="s">
        <v>719</v>
      </c>
    </row>
    <row r="2980" customFormat="false" ht="15" hidden="false" customHeight="false" outlineLevel="0" collapsed="false">
      <c r="A2980" s="103" t="n">
        <v>46298</v>
      </c>
      <c r="B2980" s="104" t="s">
        <v>32</v>
      </c>
      <c r="C2980" s="104" t="s">
        <v>465</v>
      </c>
      <c r="D2980" s="105" t="n">
        <v>0.4167</v>
      </c>
      <c r="E2980" s="106" t="n">
        <v>396</v>
      </c>
      <c r="F2980" s="107" t="n">
        <f aca="false">IF($C2980="","",$D2980*$E2980)</f>
        <v>165.0132</v>
      </c>
      <c r="G2980" s="107" t="n">
        <f aca="false">IF($C2980="","",$D2980*IFERROR(INDEX('تحليل التكلفة والسعر'!$C$2:$C$700,MATCH($C2980,'تحليل التكلفة والسعر'!$B$2:$B$700,0)),0))</f>
        <v>80.3360097</v>
      </c>
      <c r="H2980" s="104" t="s">
        <v>719</v>
      </c>
    </row>
    <row r="2981" customFormat="false" ht="15" hidden="false" customHeight="false" outlineLevel="0" collapsed="false">
      <c r="A2981" s="103" t="n">
        <v>46299</v>
      </c>
      <c r="B2981" s="104" t="s">
        <v>32</v>
      </c>
      <c r="C2981" s="104" t="s">
        <v>465</v>
      </c>
      <c r="D2981" s="105" t="n">
        <v>0.4167</v>
      </c>
      <c r="E2981" s="106" t="n">
        <v>396</v>
      </c>
      <c r="F2981" s="107" t="n">
        <f aca="false">IF($C2981="","",$D2981*$E2981)</f>
        <v>165.0132</v>
      </c>
      <c r="G2981" s="107" t="n">
        <f aca="false">IF($C2981="","",$D2981*IFERROR(INDEX('تحليل التكلفة والسعر'!$C$2:$C$700,MATCH($C2981,'تحليل التكلفة والسعر'!$B$2:$B$700,0)),0))</f>
        <v>80.3360097</v>
      </c>
      <c r="H2981" s="104" t="s">
        <v>719</v>
      </c>
    </row>
    <row r="2982" customFormat="false" ht="15" hidden="false" customHeight="false" outlineLevel="0" collapsed="false">
      <c r="A2982" s="103" t="n">
        <v>46300</v>
      </c>
      <c r="B2982" s="104" t="s">
        <v>32</v>
      </c>
      <c r="C2982" s="104" t="s">
        <v>465</v>
      </c>
      <c r="D2982" s="105" t="n">
        <v>0.4167</v>
      </c>
      <c r="E2982" s="106" t="n">
        <v>396</v>
      </c>
      <c r="F2982" s="107" t="n">
        <f aca="false">IF($C2982="","",$D2982*$E2982)</f>
        <v>165.0132</v>
      </c>
      <c r="G2982" s="107" t="n">
        <f aca="false">IF($C2982="","",$D2982*IFERROR(INDEX('تحليل التكلفة والسعر'!$C$2:$C$700,MATCH($C2982,'تحليل التكلفة والسعر'!$B$2:$B$700,0)),0))</f>
        <v>80.3360097</v>
      </c>
      <c r="H2982" s="104" t="s">
        <v>719</v>
      </c>
    </row>
    <row r="2983" customFormat="false" ht="15" hidden="false" customHeight="false" outlineLevel="0" collapsed="false">
      <c r="A2983" s="103" t="n">
        <v>46301</v>
      </c>
      <c r="B2983" s="104" t="s">
        <v>32</v>
      </c>
      <c r="C2983" s="104" t="s">
        <v>465</v>
      </c>
      <c r="D2983" s="105" t="n">
        <v>0.4167</v>
      </c>
      <c r="E2983" s="106" t="n">
        <v>396</v>
      </c>
      <c r="F2983" s="107" t="n">
        <f aca="false">IF($C2983="","",$D2983*$E2983)</f>
        <v>165.0132</v>
      </c>
      <c r="G2983" s="107" t="n">
        <f aca="false">IF($C2983="","",$D2983*IFERROR(INDEX('تحليل التكلفة والسعر'!$C$2:$C$700,MATCH($C2983,'تحليل التكلفة والسعر'!$B$2:$B$700,0)),0))</f>
        <v>80.3360097</v>
      </c>
      <c r="H2983" s="104" t="s">
        <v>719</v>
      </c>
    </row>
    <row r="2984" customFormat="false" ht="15" hidden="false" customHeight="false" outlineLevel="0" collapsed="false">
      <c r="A2984" s="103" t="n">
        <v>46302</v>
      </c>
      <c r="B2984" s="104" t="s">
        <v>32</v>
      </c>
      <c r="C2984" s="104" t="s">
        <v>465</v>
      </c>
      <c r="D2984" s="105" t="n">
        <v>0.4167</v>
      </c>
      <c r="E2984" s="106" t="n">
        <v>396</v>
      </c>
      <c r="F2984" s="107" t="n">
        <f aca="false">IF($C2984="","",$D2984*$E2984)</f>
        <v>165.0132</v>
      </c>
      <c r="G2984" s="107" t="n">
        <f aca="false">IF($C2984="","",$D2984*IFERROR(INDEX('تحليل التكلفة والسعر'!$C$2:$C$700,MATCH($C2984,'تحليل التكلفة والسعر'!$B$2:$B$700,0)),0))</f>
        <v>80.3360097</v>
      </c>
      <c r="H2984" s="104" t="s">
        <v>719</v>
      </c>
    </row>
    <row r="2985" customFormat="false" ht="15" hidden="false" customHeight="false" outlineLevel="0" collapsed="false">
      <c r="A2985" s="103" t="n">
        <v>46303</v>
      </c>
      <c r="B2985" s="104" t="s">
        <v>32</v>
      </c>
      <c r="C2985" s="104" t="s">
        <v>465</v>
      </c>
      <c r="D2985" s="105" t="n">
        <v>0.4167</v>
      </c>
      <c r="E2985" s="106" t="n">
        <v>396</v>
      </c>
      <c r="F2985" s="107" t="n">
        <f aca="false">IF($C2985="","",$D2985*$E2985)</f>
        <v>165.0132</v>
      </c>
      <c r="G2985" s="107" t="n">
        <f aca="false">IF($C2985="","",$D2985*IFERROR(INDEX('تحليل التكلفة والسعر'!$C$2:$C$700,MATCH($C2985,'تحليل التكلفة والسعر'!$B$2:$B$700,0)),0))</f>
        <v>80.3360097</v>
      </c>
      <c r="H2985" s="104" t="s">
        <v>719</v>
      </c>
    </row>
    <row r="2986" customFormat="false" ht="15" hidden="false" customHeight="false" outlineLevel="0" collapsed="false">
      <c r="A2986" s="103" t="n">
        <v>46304</v>
      </c>
      <c r="B2986" s="104" t="s">
        <v>32</v>
      </c>
      <c r="C2986" s="104" t="s">
        <v>465</v>
      </c>
      <c r="D2986" s="105" t="n">
        <v>0.4167</v>
      </c>
      <c r="E2986" s="106" t="n">
        <v>396</v>
      </c>
      <c r="F2986" s="107" t="n">
        <f aca="false">IF($C2986="","",$D2986*$E2986)</f>
        <v>165.0132</v>
      </c>
      <c r="G2986" s="107" t="n">
        <f aca="false">IF($C2986="","",$D2986*IFERROR(INDEX('تحليل التكلفة والسعر'!$C$2:$C$700,MATCH($C2986,'تحليل التكلفة والسعر'!$B$2:$B$700,0)),0))</f>
        <v>80.3360097</v>
      </c>
      <c r="H2986" s="104" t="s">
        <v>719</v>
      </c>
    </row>
    <row r="2987" customFormat="false" ht="15" hidden="false" customHeight="false" outlineLevel="0" collapsed="false">
      <c r="A2987" s="103" t="n">
        <v>46305</v>
      </c>
      <c r="B2987" s="104" t="s">
        <v>32</v>
      </c>
      <c r="C2987" s="104" t="s">
        <v>465</v>
      </c>
      <c r="D2987" s="105" t="n">
        <v>0.4167</v>
      </c>
      <c r="E2987" s="106" t="n">
        <v>396</v>
      </c>
      <c r="F2987" s="107" t="n">
        <f aca="false">IF($C2987="","",$D2987*$E2987)</f>
        <v>165.0132</v>
      </c>
      <c r="G2987" s="107" t="n">
        <f aca="false">IF($C2987="","",$D2987*IFERROR(INDEX('تحليل التكلفة والسعر'!$C$2:$C$700,MATCH($C2987,'تحليل التكلفة والسعر'!$B$2:$B$700,0)),0))</f>
        <v>80.3360097</v>
      </c>
      <c r="H2987" s="104" t="s">
        <v>719</v>
      </c>
    </row>
    <row r="2988" customFormat="false" ht="15" hidden="false" customHeight="false" outlineLevel="0" collapsed="false">
      <c r="A2988" s="103" t="n">
        <v>46306</v>
      </c>
      <c r="B2988" s="104" t="s">
        <v>32</v>
      </c>
      <c r="C2988" s="104" t="s">
        <v>465</v>
      </c>
      <c r="D2988" s="105" t="n">
        <v>0.4167</v>
      </c>
      <c r="E2988" s="106" t="n">
        <v>396</v>
      </c>
      <c r="F2988" s="107" t="n">
        <f aca="false">IF($C2988="","",$D2988*$E2988)</f>
        <v>165.0132</v>
      </c>
      <c r="G2988" s="107" t="n">
        <f aca="false">IF($C2988="","",$D2988*IFERROR(INDEX('تحليل التكلفة والسعر'!$C$2:$C$700,MATCH($C2988,'تحليل التكلفة والسعر'!$B$2:$B$700,0)),0))</f>
        <v>80.3360097</v>
      </c>
      <c r="H2988" s="104" t="s">
        <v>719</v>
      </c>
    </row>
    <row r="2989" customFormat="false" ht="15" hidden="false" customHeight="false" outlineLevel="0" collapsed="false">
      <c r="A2989" s="103" t="n">
        <v>46307</v>
      </c>
      <c r="B2989" s="104" t="s">
        <v>32</v>
      </c>
      <c r="C2989" s="104" t="s">
        <v>465</v>
      </c>
      <c r="D2989" s="105" t="n">
        <v>0.4167</v>
      </c>
      <c r="E2989" s="106" t="n">
        <v>396</v>
      </c>
      <c r="F2989" s="107" t="n">
        <f aca="false">IF($C2989="","",$D2989*$E2989)</f>
        <v>165.0132</v>
      </c>
      <c r="G2989" s="107" t="n">
        <f aca="false">IF($C2989="","",$D2989*IFERROR(INDEX('تحليل التكلفة والسعر'!$C$2:$C$700,MATCH($C2989,'تحليل التكلفة والسعر'!$B$2:$B$700,0)),0))</f>
        <v>80.3360097</v>
      </c>
      <c r="H2989" s="104" t="s">
        <v>719</v>
      </c>
    </row>
    <row r="2990" customFormat="false" ht="15" hidden="false" customHeight="false" outlineLevel="0" collapsed="false">
      <c r="A2990" s="103" t="n">
        <v>46296</v>
      </c>
      <c r="B2990" s="104" t="s">
        <v>32</v>
      </c>
      <c r="C2990" s="104" t="s">
        <v>528</v>
      </c>
      <c r="D2990" s="105" t="n">
        <v>0.0833</v>
      </c>
      <c r="E2990" s="106" t="n">
        <v>240</v>
      </c>
      <c r="F2990" s="107" t="n">
        <f aca="false">IF($C2990="","",$D2990*$E2990)</f>
        <v>19.992</v>
      </c>
      <c r="G2990" s="107" t="n">
        <f aca="false">IF($C2990="","",$D2990*IFERROR(INDEX('تحليل التكلفة والسعر'!$C$2:$C$700,MATCH($C2990,'تحليل التكلفة والسعر'!$B$2:$B$700,0)),0))</f>
        <v>11.07194445</v>
      </c>
      <c r="H2990" s="104" t="s">
        <v>719</v>
      </c>
    </row>
    <row r="2991" customFormat="false" ht="15" hidden="false" customHeight="false" outlineLevel="0" collapsed="false">
      <c r="A2991" s="103" t="n">
        <v>46297</v>
      </c>
      <c r="B2991" s="104" t="s">
        <v>32</v>
      </c>
      <c r="C2991" s="104" t="s">
        <v>528</v>
      </c>
      <c r="D2991" s="105" t="n">
        <v>0.0833</v>
      </c>
      <c r="E2991" s="106" t="n">
        <v>240</v>
      </c>
      <c r="F2991" s="107" t="n">
        <f aca="false">IF($C2991="","",$D2991*$E2991)</f>
        <v>19.992</v>
      </c>
      <c r="G2991" s="107" t="n">
        <f aca="false">IF($C2991="","",$D2991*IFERROR(INDEX('تحليل التكلفة والسعر'!$C$2:$C$700,MATCH($C2991,'تحليل التكلفة والسعر'!$B$2:$B$700,0)),0))</f>
        <v>11.07194445</v>
      </c>
      <c r="H2991" s="104" t="s">
        <v>719</v>
      </c>
    </row>
    <row r="2992" customFormat="false" ht="15" hidden="false" customHeight="false" outlineLevel="0" collapsed="false">
      <c r="A2992" s="103" t="n">
        <v>46298</v>
      </c>
      <c r="B2992" s="104" t="s">
        <v>32</v>
      </c>
      <c r="C2992" s="104" t="s">
        <v>528</v>
      </c>
      <c r="D2992" s="105" t="n">
        <v>0.0833</v>
      </c>
      <c r="E2992" s="106" t="n">
        <v>240</v>
      </c>
      <c r="F2992" s="107" t="n">
        <f aca="false">IF($C2992="","",$D2992*$E2992)</f>
        <v>19.992</v>
      </c>
      <c r="G2992" s="107" t="n">
        <f aca="false">IF($C2992="","",$D2992*IFERROR(INDEX('تحليل التكلفة والسعر'!$C$2:$C$700,MATCH($C2992,'تحليل التكلفة والسعر'!$B$2:$B$700,0)),0))</f>
        <v>11.07194445</v>
      </c>
      <c r="H2992" s="104" t="s">
        <v>719</v>
      </c>
    </row>
    <row r="2993" customFormat="false" ht="15" hidden="false" customHeight="false" outlineLevel="0" collapsed="false">
      <c r="A2993" s="103" t="n">
        <v>46299</v>
      </c>
      <c r="B2993" s="104" t="s">
        <v>32</v>
      </c>
      <c r="C2993" s="104" t="s">
        <v>528</v>
      </c>
      <c r="D2993" s="105" t="n">
        <v>0.0833</v>
      </c>
      <c r="E2993" s="106" t="n">
        <v>240</v>
      </c>
      <c r="F2993" s="107" t="n">
        <f aca="false">IF($C2993="","",$D2993*$E2993)</f>
        <v>19.992</v>
      </c>
      <c r="G2993" s="107" t="n">
        <f aca="false">IF($C2993="","",$D2993*IFERROR(INDEX('تحليل التكلفة والسعر'!$C$2:$C$700,MATCH($C2993,'تحليل التكلفة والسعر'!$B$2:$B$700,0)),0))</f>
        <v>11.07194445</v>
      </c>
      <c r="H2993" s="104" t="s">
        <v>719</v>
      </c>
    </row>
    <row r="2994" customFormat="false" ht="15" hidden="false" customHeight="false" outlineLevel="0" collapsed="false">
      <c r="A2994" s="103" t="n">
        <v>46300</v>
      </c>
      <c r="B2994" s="104" t="s">
        <v>32</v>
      </c>
      <c r="C2994" s="104" t="s">
        <v>528</v>
      </c>
      <c r="D2994" s="105" t="n">
        <v>0.0833</v>
      </c>
      <c r="E2994" s="106" t="n">
        <v>240</v>
      </c>
      <c r="F2994" s="107" t="n">
        <f aca="false">IF($C2994="","",$D2994*$E2994)</f>
        <v>19.992</v>
      </c>
      <c r="G2994" s="107" t="n">
        <f aca="false">IF($C2994="","",$D2994*IFERROR(INDEX('تحليل التكلفة والسعر'!$C$2:$C$700,MATCH($C2994,'تحليل التكلفة والسعر'!$B$2:$B$700,0)),0))</f>
        <v>11.07194445</v>
      </c>
      <c r="H2994" s="104" t="s">
        <v>719</v>
      </c>
    </row>
    <row r="2995" customFormat="false" ht="15" hidden="false" customHeight="false" outlineLevel="0" collapsed="false">
      <c r="A2995" s="103" t="n">
        <v>46301</v>
      </c>
      <c r="B2995" s="104" t="s">
        <v>32</v>
      </c>
      <c r="C2995" s="104" t="s">
        <v>528</v>
      </c>
      <c r="D2995" s="105" t="n">
        <v>0.0833</v>
      </c>
      <c r="E2995" s="106" t="n">
        <v>240</v>
      </c>
      <c r="F2995" s="107" t="n">
        <f aca="false">IF($C2995="","",$D2995*$E2995)</f>
        <v>19.992</v>
      </c>
      <c r="G2995" s="107" t="n">
        <f aca="false">IF($C2995="","",$D2995*IFERROR(INDEX('تحليل التكلفة والسعر'!$C$2:$C$700,MATCH($C2995,'تحليل التكلفة والسعر'!$B$2:$B$700,0)),0))</f>
        <v>11.07194445</v>
      </c>
      <c r="H2995" s="104" t="s">
        <v>719</v>
      </c>
    </row>
    <row r="2996" customFormat="false" ht="15" hidden="false" customHeight="false" outlineLevel="0" collapsed="false">
      <c r="A2996" s="103" t="n">
        <v>46302</v>
      </c>
      <c r="B2996" s="104" t="s">
        <v>32</v>
      </c>
      <c r="C2996" s="104" t="s">
        <v>528</v>
      </c>
      <c r="D2996" s="105" t="n">
        <v>0.0833</v>
      </c>
      <c r="E2996" s="106" t="n">
        <v>240</v>
      </c>
      <c r="F2996" s="107" t="n">
        <f aca="false">IF($C2996="","",$D2996*$E2996)</f>
        <v>19.992</v>
      </c>
      <c r="G2996" s="107" t="n">
        <f aca="false">IF($C2996="","",$D2996*IFERROR(INDEX('تحليل التكلفة والسعر'!$C$2:$C$700,MATCH($C2996,'تحليل التكلفة والسعر'!$B$2:$B$700,0)),0))</f>
        <v>11.07194445</v>
      </c>
      <c r="H2996" s="104" t="s">
        <v>719</v>
      </c>
    </row>
    <row r="2997" customFormat="false" ht="15" hidden="false" customHeight="false" outlineLevel="0" collapsed="false">
      <c r="A2997" s="103" t="n">
        <v>46303</v>
      </c>
      <c r="B2997" s="104" t="s">
        <v>32</v>
      </c>
      <c r="C2997" s="104" t="s">
        <v>528</v>
      </c>
      <c r="D2997" s="105" t="n">
        <v>0.0833</v>
      </c>
      <c r="E2997" s="106" t="n">
        <v>240</v>
      </c>
      <c r="F2997" s="107" t="n">
        <f aca="false">IF($C2997="","",$D2997*$E2997)</f>
        <v>19.992</v>
      </c>
      <c r="G2997" s="107" t="n">
        <f aca="false">IF($C2997="","",$D2997*IFERROR(INDEX('تحليل التكلفة والسعر'!$C$2:$C$700,MATCH($C2997,'تحليل التكلفة والسعر'!$B$2:$B$700,0)),0))</f>
        <v>11.07194445</v>
      </c>
      <c r="H2997" s="104" t="s">
        <v>719</v>
      </c>
    </row>
    <row r="2998" customFormat="false" ht="15" hidden="false" customHeight="false" outlineLevel="0" collapsed="false">
      <c r="A2998" s="103" t="n">
        <v>46304</v>
      </c>
      <c r="B2998" s="104" t="s">
        <v>32</v>
      </c>
      <c r="C2998" s="104" t="s">
        <v>528</v>
      </c>
      <c r="D2998" s="105" t="n">
        <v>0.0833</v>
      </c>
      <c r="E2998" s="106" t="n">
        <v>240</v>
      </c>
      <c r="F2998" s="107" t="n">
        <f aca="false">IF($C2998="","",$D2998*$E2998)</f>
        <v>19.992</v>
      </c>
      <c r="G2998" s="107" t="n">
        <f aca="false">IF($C2998="","",$D2998*IFERROR(INDEX('تحليل التكلفة والسعر'!$C$2:$C$700,MATCH($C2998,'تحليل التكلفة والسعر'!$B$2:$B$700,0)),0))</f>
        <v>11.07194445</v>
      </c>
      <c r="H2998" s="104" t="s">
        <v>719</v>
      </c>
    </row>
    <row r="2999" customFormat="false" ht="15" hidden="false" customHeight="false" outlineLevel="0" collapsed="false">
      <c r="A2999" s="103" t="n">
        <v>46305</v>
      </c>
      <c r="B2999" s="104" t="s">
        <v>32</v>
      </c>
      <c r="C2999" s="104" t="s">
        <v>528</v>
      </c>
      <c r="D2999" s="105" t="n">
        <v>0.0833</v>
      </c>
      <c r="E2999" s="106" t="n">
        <v>240</v>
      </c>
      <c r="F2999" s="107" t="n">
        <f aca="false">IF($C2999="","",$D2999*$E2999)</f>
        <v>19.992</v>
      </c>
      <c r="G2999" s="107" t="n">
        <f aca="false">IF($C2999="","",$D2999*IFERROR(INDEX('تحليل التكلفة والسعر'!$C$2:$C$700,MATCH($C2999,'تحليل التكلفة والسعر'!$B$2:$B$700,0)),0))</f>
        <v>11.07194445</v>
      </c>
      <c r="H2999" s="104" t="s">
        <v>719</v>
      </c>
    </row>
    <row r="3000" customFormat="false" ht="15" hidden="false" customHeight="false" outlineLevel="0" collapsed="false">
      <c r="A3000" s="103" t="n">
        <v>46306</v>
      </c>
      <c r="B3000" s="104" t="s">
        <v>32</v>
      </c>
      <c r="C3000" s="104" t="s">
        <v>528</v>
      </c>
      <c r="D3000" s="105" t="n">
        <v>0.0833</v>
      </c>
      <c r="E3000" s="106" t="n">
        <v>240</v>
      </c>
      <c r="F3000" s="107" t="n">
        <f aca="false">IF($C3000="","",$D3000*$E3000)</f>
        <v>19.992</v>
      </c>
      <c r="G3000" s="107" t="n">
        <f aca="false">IF($C3000="","",$D3000*IFERROR(INDEX('تحليل التكلفة والسعر'!$C$2:$C$700,MATCH($C3000,'تحليل التكلفة والسعر'!$B$2:$B$700,0)),0))</f>
        <v>11.07194445</v>
      </c>
      <c r="H3000" s="104" t="s">
        <v>719</v>
      </c>
    </row>
    <row r="3001" customFormat="false" ht="15" hidden="false" customHeight="false" outlineLevel="0" collapsed="false">
      <c r="A3001" s="103" t="n">
        <v>46307</v>
      </c>
      <c r="B3001" s="104" t="s">
        <v>32</v>
      </c>
      <c r="C3001" s="104" t="s">
        <v>528</v>
      </c>
      <c r="D3001" s="105" t="n">
        <v>0.0833</v>
      </c>
      <c r="E3001" s="106" t="n">
        <v>240</v>
      </c>
      <c r="F3001" s="107" t="n">
        <f aca="false">IF($C3001="","",$D3001*$E3001)</f>
        <v>19.992</v>
      </c>
      <c r="G3001" s="107" t="n">
        <f aca="false">IF($C3001="","",$D3001*IFERROR(INDEX('تحليل التكلفة والسعر'!$C$2:$C$700,MATCH($C3001,'تحليل التكلفة والسعر'!$B$2:$B$700,0)),0))</f>
        <v>11.07194445</v>
      </c>
      <c r="H3001" s="104" t="s">
        <v>719</v>
      </c>
    </row>
    <row r="3002" customFormat="false" ht="15" hidden="false" customHeight="false" outlineLevel="0" collapsed="false">
      <c r="A3002" s="103" t="n">
        <v>46296</v>
      </c>
      <c r="B3002" s="104" t="s">
        <v>32</v>
      </c>
      <c r="C3002" s="104" t="s">
        <v>743</v>
      </c>
      <c r="D3002" s="105" t="n">
        <v>0.25</v>
      </c>
      <c r="E3002" s="106" t="n">
        <v>190</v>
      </c>
      <c r="F3002" s="107" t="n">
        <f aca="false">IF($C3002="","",$D3002*$E3002)</f>
        <v>47.5</v>
      </c>
      <c r="G3002" s="107" t="n">
        <f aca="false">IF($C3002="","",$D3002*IFERROR(INDEX('تحليل التكلفة والسعر'!$C$2:$C$700,MATCH($C3002,'تحليل التكلفة والسعر'!$B$2:$B$700,0)),0))</f>
        <v>22.6868</v>
      </c>
      <c r="H3002" s="104" t="s">
        <v>719</v>
      </c>
    </row>
    <row r="3003" customFormat="false" ht="15" hidden="false" customHeight="false" outlineLevel="0" collapsed="false">
      <c r="A3003" s="103" t="n">
        <v>46297</v>
      </c>
      <c r="B3003" s="104" t="s">
        <v>32</v>
      </c>
      <c r="C3003" s="104" t="s">
        <v>743</v>
      </c>
      <c r="D3003" s="105" t="n">
        <v>0.25</v>
      </c>
      <c r="E3003" s="106" t="n">
        <v>190</v>
      </c>
      <c r="F3003" s="107" t="n">
        <f aca="false">IF($C3003="","",$D3003*$E3003)</f>
        <v>47.5</v>
      </c>
      <c r="G3003" s="107" t="n">
        <f aca="false">IF($C3003="","",$D3003*IFERROR(INDEX('تحليل التكلفة والسعر'!$C$2:$C$700,MATCH($C3003,'تحليل التكلفة والسعر'!$B$2:$B$700,0)),0))</f>
        <v>22.6868</v>
      </c>
      <c r="H3003" s="104" t="s">
        <v>719</v>
      </c>
    </row>
    <row r="3004" customFormat="false" ht="15" hidden="false" customHeight="false" outlineLevel="0" collapsed="false">
      <c r="A3004" s="103" t="n">
        <v>46298</v>
      </c>
      <c r="B3004" s="104" t="s">
        <v>32</v>
      </c>
      <c r="C3004" s="104" t="s">
        <v>743</v>
      </c>
      <c r="D3004" s="105" t="n">
        <v>0.25</v>
      </c>
      <c r="E3004" s="106" t="n">
        <v>190</v>
      </c>
      <c r="F3004" s="107" t="n">
        <f aca="false">IF($C3004="","",$D3004*$E3004)</f>
        <v>47.5</v>
      </c>
      <c r="G3004" s="107" t="n">
        <f aca="false">IF($C3004="","",$D3004*IFERROR(INDEX('تحليل التكلفة والسعر'!$C$2:$C$700,MATCH($C3004,'تحليل التكلفة والسعر'!$B$2:$B$700,0)),0))</f>
        <v>22.6868</v>
      </c>
      <c r="H3004" s="104" t="s">
        <v>719</v>
      </c>
    </row>
    <row r="3005" customFormat="false" ht="15" hidden="false" customHeight="false" outlineLevel="0" collapsed="false">
      <c r="A3005" s="103" t="n">
        <v>46299</v>
      </c>
      <c r="B3005" s="104" t="s">
        <v>32</v>
      </c>
      <c r="C3005" s="104" t="s">
        <v>743</v>
      </c>
      <c r="D3005" s="105" t="n">
        <v>0.25</v>
      </c>
      <c r="E3005" s="106" t="n">
        <v>190</v>
      </c>
      <c r="F3005" s="107" t="n">
        <f aca="false">IF($C3005="","",$D3005*$E3005)</f>
        <v>47.5</v>
      </c>
      <c r="G3005" s="107" t="n">
        <f aca="false">IF($C3005="","",$D3005*IFERROR(INDEX('تحليل التكلفة والسعر'!$C$2:$C$700,MATCH($C3005,'تحليل التكلفة والسعر'!$B$2:$B$700,0)),0))</f>
        <v>22.6868</v>
      </c>
      <c r="H3005" s="104" t="s">
        <v>719</v>
      </c>
    </row>
    <row r="3006" customFormat="false" ht="15" hidden="false" customHeight="false" outlineLevel="0" collapsed="false">
      <c r="A3006" s="103" t="n">
        <v>46300</v>
      </c>
      <c r="B3006" s="104" t="s">
        <v>32</v>
      </c>
      <c r="C3006" s="104" t="s">
        <v>743</v>
      </c>
      <c r="D3006" s="105" t="n">
        <v>0.25</v>
      </c>
      <c r="E3006" s="106" t="n">
        <v>190</v>
      </c>
      <c r="F3006" s="107" t="n">
        <f aca="false">IF($C3006="","",$D3006*$E3006)</f>
        <v>47.5</v>
      </c>
      <c r="G3006" s="107" t="n">
        <f aca="false">IF($C3006="","",$D3006*IFERROR(INDEX('تحليل التكلفة والسعر'!$C$2:$C$700,MATCH($C3006,'تحليل التكلفة والسعر'!$B$2:$B$700,0)),0))</f>
        <v>22.6868</v>
      </c>
      <c r="H3006" s="104" t="s">
        <v>719</v>
      </c>
    </row>
    <row r="3007" customFormat="false" ht="15" hidden="false" customHeight="false" outlineLevel="0" collapsed="false">
      <c r="A3007" s="103" t="n">
        <v>46301</v>
      </c>
      <c r="B3007" s="104" t="s">
        <v>32</v>
      </c>
      <c r="C3007" s="104" t="s">
        <v>743</v>
      </c>
      <c r="D3007" s="105" t="n">
        <v>0.25</v>
      </c>
      <c r="E3007" s="106" t="n">
        <v>190</v>
      </c>
      <c r="F3007" s="107" t="n">
        <f aca="false">IF($C3007="","",$D3007*$E3007)</f>
        <v>47.5</v>
      </c>
      <c r="G3007" s="107" t="n">
        <f aca="false">IF($C3007="","",$D3007*IFERROR(INDEX('تحليل التكلفة والسعر'!$C$2:$C$700,MATCH($C3007,'تحليل التكلفة والسعر'!$B$2:$B$700,0)),0))</f>
        <v>22.6868</v>
      </c>
      <c r="H3007" s="104" t="s">
        <v>719</v>
      </c>
    </row>
    <row r="3008" customFormat="false" ht="15" hidden="false" customHeight="false" outlineLevel="0" collapsed="false">
      <c r="A3008" s="103" t="n">
        <v>46302</v>
      </c>
      <c r="B3008" s="104" t="s">
        <v>32</v>
      </c>
      <c r="C3008" s="104" t="s">
        <v>743</v>
      </c>
      <c r="D3008" s="105" t="n">
        <v>0.25</v>
      </c>
      <c r="E3008" s="106" t="n">
        <v>190</v>
      </c>
      <c r="F3008" s="107" t="n">
        <f aca="false">IF($C3008="","",$D3008*$E3008)</f>
        <v>47.5</v>
      </c>
      <c r="G3008" s="107" t="n">
        <f aca="false">IF($C3008="","",$D3008*IFERROR(INDEX('تحليل التكلفة والسعر'!$C$2:$C$700,MATCH($C3008,'تحليل التكلفة والسعر'!$B$2:$B$700,0)),0))</f>
        <v>22.6868</v>
      </c>
      <c r="H3008" s="104" t="s">
        <v>719</v>
      </c>
    </row>
    <row r="3009" customFormat="false" ht="15" hidden="false" customHeight="false" outlineLevel="0" collapsed="false">
      <c r="A3009" s="103" t="n">
        <v>46303</v>
      </c>
      <c r="B3009" s="104" t="s">
        <v>32</v>
      </c>
      <c r="C3009" s="104" t="s">
        <v>743</v>
      </c>
      <c r="D3009" s="105" t="n">
        <v>0.25</v>
      </c>
      <c r="E3009" s="106" t="n">
        <v>190</v>
      </c>
      <c r="F3009" s="107" t="n">
        <f aca="false">IF($C3009="","",$D3009*$E3009)</f>
        <v>47.5</v>
      </c>
      <c r="G3009" s="107" t="n">
        <f aca="false">IF($C3009="","",$D3009*IFERROR(INDEX('تحليل التكلفة والسعر'!$C$2:$C$700,MATCH($C3009,'تحليل التكلفة والسعر'!$B$2:$B$700,0)),0))</f>
        <v>22.6868</v>
      </c>
      <c r="H3009" s="104" t="s">
        <v>719</v>
      </c>
    </row>
    <row r="3010" customFormat="false" ht="15" hidden="false" customHeight="false" outlineLevel="0" collapsed="false">
      <c r="A3010" s="103" t="n">
        <v>46304</v>
      </c>
      <c r="B3010" s="104" t="s">
        <v>32</v>
      </c>
      <c r="C3010" s="104" t="s">
        <v>743</v>
      </c>
      <c r="D3010" s="105" t="n">
        <v>0.25</v>
      </c>
      <c r="E3010" s="106" t="n">
        <v>190</v>
      </c>
      <c r="F3010" s="107" t="n">
        <f aca="false">IF($C3010="","",$D3010*$E3010)</f>
        <v>47.5</v>
      </c>
      <c r="G3010" s="107" t="n">
        <f aca="false">IF($C3010="","",$D3010*IFERROR(INDEX('تحليل التكلفة والسعر'!$C$2:$C$700,MATCH($C3010,'تحليل التكلفة والسعر'!$B$2:$B$700,0)),0))</f>
        <v>22.6868</v>
      </c>
      <c r="H3010" s="104" t="s">
        <v>719</v>
      </c>
    </row>
    <row r="3011" customFormat="false" ht="15" hidden="false" customHeight="false" outlineLevel="0" collapsed="false">
      <c r="A3011" s="103" t="n">
        <v>46305</v>
      </c>
      <c r="B3011" s="104" t="s">
        <v>32</v>
      </c>
      <c r="C3011" s="104" t="s">
        <v>743</v>
      </c>
      <c r="D3011" s="105" t="n">
        <v>0.25</v>
      </c>
      <c r="E3011" s="106" t="n">
        <v>190</v>
      </c>
      <c r="F3011" s="107" t="n">
        <f aca="false">IF($C3011="","",$D3011*$E3011)</f>
        <v>47.5</v>
      </c>
      <c r="G3011" s="107" t="n">
        <f aca="false">IF($C3011="","",$D3011*IFERROR(INDEX('تحليل التكلفة والسعر'!$C$2:$C$700,MATCH($C3011,'تحليل التكلفة والسعر'!$B$2:$B$700,0)),0))</f>
        <v>22.6868</v>
      </c>
      <c r="H3011" s="104" t="s">
        <v>719</v>
      </c>
    </row>
    <row r="3012" customFormat="false" ht="15" hidden="false" customHeight="false" outlineLevel="0" collapsed="false">
      <c r="A3012" s="103" t="n">
        <v>46306</v>
      </c>
      <c r="B3012" s="104" t="s">
        <v>32</v>
      </c>
      <c r="C3012" s="104" t="s">
        <v>743</v>
      </c>
      <c r="D3012" s="105" t="n">
        <v>0.25</v>
      </c>
      <c r="E3012" s="106" t="n">
        <v>190</v>
      </c>
      <c r="F3012" s="107" t="n">
        <f aca="false">IF($C3012="","",$D3012*$E3012)</f>
        <v>47.5</v>
      </c>
      <c r="G3012" s="107" t="n">
        <f aca="false">IF($C3012="","",$D3012*IFERROR(INDEX('تحليل التكلفة والسعر'!$C$2:$C$700,MATCH($C3012,'تحليل التكلفة والسعر'!$B$2:$B$700,0)),0))</f>
        <v>22.6868</v>
      </c>
      <c r="H3012" s="104" t="s">
        <v>719</v>
      </c>
    </row>
    <row r="3013" customFormat="false" ht="15" hidden="false" customHeight="false" outlineLevel="0" collapsed="false">
      <c r="A3013" s="103" t="n">
        <v>46307</v>
      </c>
      <c r="B3013" s="104" t="s">
        <v>32</v>
      </c>
      <c r="C3013" s="104" t="s">
        <v>743</v>
      </c>
      <c r="D3013" s="105" t="n">
        <v>0.25</v>
      </c>
      <c r="E3013" s="106" t="n">
        <v>190</v>
      </c>
      <c r="F3013" s="107" t="n">
        <f aca="false">IF($C3013="","",$D3013*$E3013)</f>
        <v>47.5</v>
      </c>
      <c r="G3013" s="107" t="n">
        <f aca="false">IF($C3013="","",$D3013*IFERROR(INDEX('تحليل التكلفة والسعر'!$C$2:$C$700,MATCH($C3013,'تحليل التكلفة والسعر'!$B$2:$B$700,0)),0))</f>
        <v>22.6868</v>
      </c>
      <c r="H3013" s="104" t="s">
        <v>719</v>
      </c>
    </row>
    <row r="3014" customFormat="false" ht="15" hidden="false" customHeight="false" outlineLevel="0" collapsed="false">
      <c r="A3014" s="103" t="n">
        <v>46296</v>
      </c>
      <c r="B3014" s="104" t="s">
        <v>32</v>
      </c>
      <c r="C3014" s="104" t="s">
        <v>744</v>
      </c>
      <c r="D3014" s="105" t="n">
        <v>4.0833</v>
      </c>
      <c r="E3014" s="106" t="n">
        <v>27.551</v>
      </c>
      <c r="F3014" s="107" t="n">
        <f aca="false">IF($C3014="","",$D3014*$E3014)</f>
        <v>112.4989983</v>
      </c>
      <c r="G3014" s="107" t="n">
        <f aca="false">IF($C3014="","",$D3014*IFERROR(INDEX('تحليل التكلفة والسعر'!$C$2:$C$700,MATCH($C3014,'تحليل التكلفة والسعر'!$B$2:$B$700,0)),0))</f>
        <v>264.95431209</v>
      </c>
      <c r="H3014" s="104" t="s">
        <v>719</v>
      </c>
    </row>
    <row r="3015" customFormat="false" ht="15" hidden="false" customHeight="false" outlineLevel="0" collapsed="false">
      <c r="A3015" s="103" t="n">
        <v>46297</v>
      </c>
      <c r="B3015" s="104" t="s">
        <v>32</v>
      </c>
      <c r="C3015" s="104" t="s">
        <v>744</v>
      </c>
      <c r="D3015" s="105" t="n">
        <v>4.0833</v>
      </c>
      <c r="E3015" s="106" t="n">
        <v>27.551</v>
      </c>
      <c r="F3015" s="107" t="n">
        <f aca="false">IF($C3015="","",$D3015*$E3015)</f>
        <v>112.4989983</v>
      </c>
      <c r="G3015" s="107" t="n">
        <f aca="false">IF($C3015="","",$D3015*IFERROR(INDEX('تحليل التكلفة والسعر'!$C$2:$C$700,MATCH($C3015,'تحليل التكلفة والسعر'!$B$2:$B$700,0)),0))</f>
        <v>264.95431209</v>
      </c>
      <c r="H3015" s="104" t="s">
        <v>719</v>
      </c>
    </row>
    <row r="3016" customFormat="false" ht="15" hidden="false" customHeight="false" outlineLevel="0" collapsed="false">
      <c r="A3016" s="103" t="n">
        <v>46298</v>
      </c>
      <c r="B3016" s="104" t="s">
        <v>32</v>
      </c>
      <c r="C3016" s="104" t="s">
        <v>744</v>
      </c>
      <c r="D3016" s="105" t="n">
        <v>4.0833</v>
      </c>
      <c r="E3016" s="106" t="n">
        <v>27.551</v>
      </c>
      <c r="F3016" s="107" t="n">
        <f aca="false">IF($C3016="","",$D3016*$E3016)</f>
        <v>112.4989983</v>
      </c>
      <c r="G3016" s="107" t="n">
        <f aca="false">IF($C3016="","",$D3016*IFERROR(INDEX('تحليل التكلفة والسعر'!$C$2:$C$700,MATCH($C3016,'تحليل التكلفة والسعر'!$B$2:$B$700,0)),0))</f>
        <v>264.95431209</v>
      </c>
      <c r="H3016" s="104" t="s">
        <v>719</v>
      </c>
    </row>
    <row r="3017" customFormat="false" ht="15" hidden="false" customHeight="false" outlineLevel="0" collapsed="false">
      <c r="A3017" s="103" t="n">
        <v>46299</v>
      </c>
      <c r="B3017" s="104" t="s">
        <v>32</v>
      </c>
      <c r="C3017" s="104" t="s">
        <v>744</v>
      </c>
      <c r="D3017" s="105" t="n">
        <v>4.0833</v>
      </c>
      <c r="E3017" s="106" t="n">
        <v>27.551</v>
      </c>
      <c r="F3017" s="107" t="n">
        <f aca="false">IF($C3017="","",$D3017*$E3017)</f>
        <v>112.4989983</v>
      </c>
      <c r="G3017" s="107" t="n">
        <f aca="false">IF($C3017="","",$D3017*IFERROR(INDEX('تحليل التكلفة والسعر'!$C$2:$C$700,MATCH($C3017,'تحليل التكلفة والسعر'!$B$2:$B$700,0)),0))</f>
        <v>264.95431209</v>
      </c>
      <c r="H3017" s="104" t="s">
        <v>719</v>
      </c>
    </row>
    <row r="3018" customFormat="false" ht="15" hidden="false" customHeight="false" outlineLevel="0" collapsed="false">
      <c r="A3018" s="103" t="n">
        <v>46300</v>
      </c>
      <c r="B3018" s="104" t="s">
        <v>32</v>
      </c>
      <c r="C3018" s="104" t="s">
        <v>744</v>
      </c>
      <c r="D3018" s="105" t="n">
        <v>4.0833</v>
      </c>
      <c r="E3018" s="106" t="n">
        <v>27.551</v>
      </c>
      <c r="F3018" s="107" t="n">
        <f aca="false">IF($C3018="","",$D3018*$E3018)</f>
        <v>112.4989983</v>
      </c>
      <c r="G3018" s="107" t="n">
        <f aca="false">IF($C3018="","",$D3018*IFERROR(INDEX('تحليل التكلفة والسعر'!$C$2:$C$700,MATCH($C3018,'تحليل التكلفة والسعر'!$B$2:$B$700,0)),0))</f>
        <v>264.95431209</v>
      </c>
      <c r="H3018" s="104" t="s">
        <v>719</v>
      </c>
    </row>
    <row r="3019" customFormat="false" ht="15" hidden="false" customHeight="false" outlineLevel="0" collapsed="false">
      <c r="A3019" s="103" t="n">
        <v>46301</v>
      </c>
      <c r="B3019" s="104" t="s">
        <v>32</v>
      </c>
      <c r="C3019" s="104" t="s">
        <v>744</v>
      </c>
      <c r="D3019" s="105" t="n">
        <v>4.0833</v>
      </c>
      <c r="E3019" s="106" t="n">
        <v>27.551</v>
      </c>
      <c r="F3019" s="107" t="n">
        <f aca="false">IF($C3019="","",$D3019*$E3019)</f>
        <v>112.4989983</v>
      </c>
      <c r="G3019" s="107" t="n">
        <f aca="false">IF($C3019="","",$D3019*IFERROR(INDEX('تحليل التكلفة والسعر'!$C$2:$C$700,MATCH($C3019,'تحليل التكلفة والسعر'!$B$2:$B$700,0)),0))</f>
        <v>264.95431209</v>
      </c>
      <c r="H3019" s="104" t="s">
        <v>719</v>
      </c>
    </row>
    <row r="3020" customFormat="false" ht="15" hidden="false" customHeight="false" outlineLevel="0" collapsed="false">
      <c r="A3020" s="103" t="n">
        <v>46302</v>
      </c>
      <c r="B3020" s="104" t="s">
        <v>32</v>
      </c>
      <c r="C3020" s="104" t="s">
        <v>744</v>
      </c>
      <c r="D3020" s="105" t="n">
        <v>4.0833</v>
      </c>
      <c r="E3020" s="106" t="n">
        <v>27.551</v>
      </c>
      <c r="F3020" s="107" t="n">
        <f aca="false">IF($C3020="","",$D3020*$E3020)</f>
        <v>112.4989983</v>
      </c>
      <c r="G3020" s="107" t="n">
        <f aca="false">IF($C3020="","",$D3020*IFERROR(INDEX('تحليل التكلفة والسعر'!$C$2:$C$700,MATCH($C3020,'تحليل التكلفة والسعر'!$B$2:$B$700,0)),0))</f>
        <v>264.95431209</v>
      </c>
      <c r="H3020" s="104" t="s">
        <v>719</v>
      </c>
    </row>
    <row r="3021" customFormat="false" ht="15" hidden="false" customHeight="false" outlineLevel="0" collapsed="false">
      <c r="A3021" s="103" t="n">
        <v>46303</v>
      </c>
      <c r="B3021" s="104" t="s">
        <v>32</v>
      </c>
      <c r="C3021" s="104" t="s">
        <v>744</v>
      </c>
      <c r="D3021" s="105" t="n">
        <v>4.0833</v>
      </c>
      <c r="E3021" s="106" t="n">
        <v>27.551</v>
      </c>
      <c r="F3021" s="107" t="n">
        <f aca="false">IF($C3021="","",$D3021*$E3021)</f>
        <v>112.4989983</v>
      </c>
      <c r="G3021" s="107" t="n">
        <f aca="false">IF($C3021="","",$D3021*IFERROR(INDEX('تحليل التكلفة والسعر'!$C$2:$C$700,MATCH($C3021,'تحليل التكلفة والسعر'!$B$2:$B$700,0)),0))</f>
        <v>264.95431209</v>
      </c>
      <c r="H3021" s="104" t="s">
        <v>719</v>
      </c>
    </row>
    <row r="3022" customFormat="false" ht="15" hidden="false" customHeight="false" outlineLevel="0" collapsed="false">
      <c r="A3022" s="103" t="n">
        <v>46304</v>
      </c>
      <c r="B3022" s="104" t="s">
        <v>32</v>
      </c>
      <c r="C3022" s="104" t="s">
        <v>744</v>
      </c>
      <c r="D3022" s="105" t="n">
        <v>4.0833</v>
      </c>
      <c r="E3022" s="106" t="n">
        <v>27.551</v>
      </c>
      <c r="F3022" s="107" t="n">
        <f aca="false">IF($C3022="","",$D3022*$E3022)</f>
        <v>112.4989983</v>
      </c>
      <c r="G3022" s="107" t="n">
        <f aca="false">IF($C3022="","",$D3022*IFERROR(INDEX('تحليل التكلفة والسعر'!$C$2:$C$700,MATCH($C3022,'تحليل التكلفة والسعر'!$B$2:$B$700,0)),0))</f>
        <v>264.95431209</v>
      </c>
      <c r="H3022" s="104" t="s">
        <v>719</v>
      </c>
    </row>
    <row r="3023" customFormat="false" ht="15" hidden="false" customHeight="false" outlineLevel="0" collapsed="false">
      <c r="A3023" s="103" t="n">
        <v>46305</v>
      </c>
      <c r="B3023" s="104" t="s">
        <v>32</v>
      </c>
      <c r="C3023" s="104" t="s">
        <v>744</v>
      </c>
      <c r="D3023" s="105" t="n">
        <v>4.0833</v>
      </c>
      <c r="E3023" s="106" t="n">
        <v>27.551</v>
      </c>
      <c r="F3023" s="107" t="n">
        <f aca="false">IF($C3023="","",$D3023*$E3023)</f>
        <v>112.4989983</v>
      </c>
      <c r="G3023" s="107" t="n">
        <f aca="false">IF($C3023="","",$D3023*IFERROR(INDEX('تحليل التكلفة والسعر'!$C$2:$C$700,MATCH($C3023,'تحليل التكلفة والسعر'!$B$2:$B$700,0)),0))</f>
        <v>264.95431209</v>
      </c>
      <c r="H3023" s="104" t="s">
        <v>719</v>
      </c>
    </row>
    <row r="3024" customFormat="false" ht="15" hidden="false" customHeight="false" outlineLevel="0" collapsed="false">
      <c r="A3024" s="103" t="n">
        <v>46306</v>
      </c>
      <c r="B3024" s="104" t="s">
        <v>32</v>
      </c>
      <c r="C3024" s="104" t="s">
        <v>744</v>
      </c>
      <c r="D3024" s="105" t="n">
        <v>4.0833</v>
      </c>
      <c r="E3024" s="106" t="n">
        <v>27.551</v>
      </c>
      <c r="F3024" s="107" t="n">
        <f aca="false">IF($C3024="","",$D3024*$E3024)</f>
        <v>112.4989983</v>
      </c>
      <c r="G3024" s="107" t="n">
        <f aca="false">IF($C3024="","",$D3024*IFERROR(INDEX('تحليل التكلفة والسعر'!$C$2:$C$700,MATCH($C3024,'تحليل التكلفة والسعر'!$B$2:$B$700,0)),0))</f>
        <v>264.95431209</v>
      </c>
      <c r="H3024" s="104" t="s">
        <v>719</v>
      </c>
    </row>
    <row r="3025" customFormat="false" ht="15" hidden="false" customHeight="false" outlineLevel="0" collapsed="false">
      <c r="A3025" s="103" t="n">
        <v>46307</v>
      </c>
      <c r="B3025" s="104" t="s">
        <v>32</v>
      </c>
      <c r="C3025" s="104" t="s">
        <v>744</v>
      </c>
      <c r="D3025" s="105" t="n">
        <v>4.0833</v>
      </c>
      <c r="E3025" s="106" t="n">
        <v>27.551</v>
      </c>
      <c r="F3025" s="107" t="n">
        <f aca="false">IF($C3025="","",$D3025*$E3025)</f>
        <v>112.4989983</v>
      </c>
      <c r="G3025" s="107" t="n">
        <f aca="false">IF($C3025="","",$D3025*IFERROR(INDEX('تحليل التكلفة والسعر'!$C$2:$C$700,MATCH($C3025,'تحليل التكلفة والسعر'!$B$2:$B$700,0)),0))</f>
        <v>264.95431209</v>
      </c>
      <c r="H3025" s="104" t="s">
        <v>719</v>
      </c>
    </row>
    <row r="3026" customFormat="false" ht="15" hidden="false" customHeight="false" outlineLevel="0" collapsed="false">
      <c r="A3026" s="103" t="n">
        <v>46296</v>
      </c>
      <c r="B3026" s="104" t="s">
        <v>32</v>
      </c>
      <c r="C3026" s="104" t="s">
        <v>426</v>
      </c>
      <c r="D3026" s="105" t="n">
        <v>1.3333</v>
      </c>
      <c r="E3026" s="106" t="n">
        <v>218.125</v>
      </c>
      <c r="F3026" s="107" t="n">
        <f aca="false">IF($C3026="","",$D3026*$E3026)</f>
        <v>290.8260625</v>
      </c>
      <c r="G3026" s="107" t="n">
        <f aca="false">IF($C3026="","",$D3026*IFERROR(INDEX('تحليل التكلفة والسعر'!$C$2:$C$700,MATCH($C3026,'تحليل التكلفة والسعر'!$B$2:$B$700,0)),0))</f>
        <v>127.0514903</v>
      </c>
      <c r="H3026" s="104" t="s">
        <v>719</v>
      </c>
    </row>
    <row r="3027" customFormat="false" ht="15" hidden="false" customHeight="false" outlineLevel="0" collapsed="false">
      <c r="A3027" s="103" t="n">
        <v>46297</v>
      </c>
      <c r="B3027" s="104" t="s">
        <v>32</v>
      </c>
      <c r="C3027" s="104" t="s">
        <v>426</v>
      </c>
      <c r="D3027" s="105" t="n">
        <v>1.3333</v>
      </c>
      <c r="E3027" s="106" t="n">
        <v>218.125</v>
      </c>
      <c r="F3027" s="107" t="n">
        <f aca="false">IF($C3027="","",$D3027*$E3027)</f>
        <v>290.8260625</v>
      </c>
      <c r="G3027" s="107" t="n">
        <f aca="false">IF($C3027="","",$D3027*IFERROR(INDEX('تحليل التكلفة والسعر'!$C$2:$C$700,MATCH($C3027,'تحليل التكلفة والسعر'!$B$2:$B$700,0)),0))</f>
        <v>127.0514903</v>
      </c>
      <c r="H3027" s="104" t="s">
        <v>719</v>
      </c>
    </row>
    <row r="3028" customFormat="false" ht="15" hidden="false" customHeight="false" outlineLevel="0" collapsed="false">
      <c r="A3028" s="103" t="n">
        <v>46298</v>
      </c>
      <c r="B3028" s="104" t="s">
        <v>32</v>
      </c>
      <c r="C3028" s="104" t="s">
        <v>426</v>
      </c>
      <c r="D3028" s="105" t="n">
        <v>1.3333</v>
      </c>
      <c r="E3028" s="106" t="n">
        <v>218.125</v>
      </c>
      <c r="F3028" s="107" t="n">
        <f aca="false">IF($C3028="","",$D3028*$E3028)</f>
        <v>290.8260625</v>
      </c>
      <c r="G3028" s="107" t="n">
        <f aca="false">IF($C3028="","",$D3028*IFERROR(INDEX('تحليل التكلفة والسعر'!$C$2:$C$700,MATCH($C3028,'تحليل التكلفة والسعر'!$B$2:$B$700,0)),0))</f>
        <v>127.0514903</v>
      </c>
      <c r="H3028" s="104" t="s">
        <v>719</v>
      </c>
    </row>
    <row r="3029" customFormat="false" ht="15" hidden="false" customHeight="false" outlineLevel="0" collapsed="false">
      <c r="A3029" s="103" t="n">
        <v>46299</v>
      </c>
      <c r="B3029" s="104" t="s">
        <v>32</v>
      </c>
      <c r="C3029" s="104" t="s">
        <v>426</v>
      </c>
      <c r="D3029" s="105" t="n">
        <v>1.3333</v>
      </c>
      <c r="E3029" s="106" t="n">
        <v>218.125</v>
      </c>
      <c r="F3029" s="107" t="n">
        <f aca="false">IF($C3029="","",$D3029*$E3029)</f>
        <v>290.8260625</v>
      </c>
      <c r="G3029" s="107" t="n">
        <f aca="false">IF($C3029="","",$D3029*IFERROR(INDEX('تحليل التكلفة والسعر'!$C$2:$C$700,MATCH($C3029,'تحليل التكلفة والسعر'!$B$2:$B$700,0)),0))</f>
        <v>127.0514903</v>
      </c>
      <c r="H3029" s="104" t="s">
        <v>719</v>
      </c>
    </row>
    <row r="3030" customFormat="false" ht="15" hidden="false" customHeight="false" outlineLevel="0" collapsed="false">
      <c r="A3030" s="103" t="n">
        <v>46300</v>
      </c>
      <c r="B3030" s="104" t="s">
        <v>32</v>
      </c>
      <c r="C3030" s="104" t="s">
        <v>426</v>
      </c>
      <c r="D3030" s="105" t="n">
        <v>1.3333</v>
      </c>
      <c r="E3030" s="106" t="n">
        <v>218.125</v>
      </c>
      <c r="F3030" s="107" t="n">
        <f aca="false">IF($C3030="","",$D3030*$E3030)</f>
        <v>290.8260625</v>
      </c>
      <c r="G3030" s="107" t="n">
        <f aca="false">IF($C3030="","",$D3030*IFERROR(INDEX('تحليل التكلفة والسعر'!$C$2:$C$700,MATCH($C3030,'تحليل التكلفة والسعر'!$B$2:$B$700,0)),0))</f>
        <v>127.0514903</v>
      </c>
      <c r="H3030" s="104" t="s">
        <v>719</v>
      </c>
    </row>
    <row r="3031" customFormat="false" ht="15" hidden="false" customHeight="false" outlineLevel="0" collapsed="false">
      <c r="A3031" s="103" t="n">
        <v>46301</v>
      </c>
      <c r="B3031" s="104" t="s">
        <v>32</v>
      </c>
      <c r="C3031" s="104" t="s">
        <v>426</v>
      </c>
      <c r="D3031" s="105" t="n">
        <v>1.3333</v>
      </c>
      <c r="E3031" s="106" t="n">
        <v>218.125</v>
      </c>
      <c r="F3031" s="107" t="n">
        <f aca="false">IF($C3031="","",$D3031*$E3031)</f>
        <v>290.8260625</v>
      </c>
      <c r="G3031" s="107" t="n">
        <f aca="false">IF($C3031="","",$D3031*IFERROR(INDEX('تحليل التكلفة والسعر'!$C$2:$C$700,MATCH($C3031,'تحليل التكلفة والسعر'!$B$2:$B$700,0)),0))</f>
        <v>127.0514903</v>
      </c>
      <c r="H3031" s="104" t="s">
        <v>719</v>
      </c>
    </row>
    <row r="3032" customFormat="false" ht="15" hidden="false" customHeight="false" outlineLevel="0" collapsed="false">
      <c r="A3032" s="103" t="n">
        <v>46302</v>
      </c>
      <c r="B3032" s="104" t="s">
        <v>32</v>
      </c>
      <c r="C3032" s="104" t="s">
        <v>426</v>
      </c>
      <c r="D3032" s="105" t="n">
        <v>1.3333</v>
      </c>
      <c r="E3032" s="106" t="n">
        <v>218.125</v>
      </c>
      <c r="F3032" s="107" t="n">
        <f aca="false">IF($C3032="","",$D3032*$E3032)</f>
        <v>290.8260625</v>
      </c>
      <c r="G3032" s="107" t="n">
        <f aca="false">IF($C3032="","",$D3032*IFERROR(INDEX('تحليل التكلفة والسعر'!$C$2:$C$700,MATCH($C3032,'تحليل التكلفة والسعر'!$B$2:$B$700,0)),0))</f>
        <v>127.0514903</v>
      </c>
      <c r="H3032" s="104" t="s">
        <v>719</v>
      </c>
    </row>
    <row r="3033" customFormat="false" ht="15" hidden="false" customHeight="false" outlineLevel="0" collapsed="false">
      <c r="A3033" s="103" t="n">
        <v>46303</v>
      </c>
      <c r="B3033" s="104" t="s">
        <v>32</v>
      </c>
      <c r="C3033" s="104" t="s">
        <v>426</v>
      </c>
      <c r="D3033" s="105" t="n">
        <v>1.3333</v>
      </c>
      <c r="E3033" s="106" t="n">
        <v>218.125</v>
      </c>
      <c r="F3033" s="107" t="n">
        <f aca="false">IF($C3033="","",$D3033*$E3033)</f>
        <v>290.8260625</v>
      </c>
      <c r="G3033" s="107" t="n">
        <f aca="false">IF($C3033="","",$D3033*IFERROR(INDEX('تحليل التكلفة والسعر'!$C$2:$C$700,MATCH($C3033,'تحليل التكلفة والسعر'!$B$2:$B$700,0)),0))</f>
        <v>127.0514903</v>
      </c>
      <c r="H3033" s="104" t="s">
        <v>719</v>
      </c>
    </row>
    <row r="3034" customFormat="false" ht="15" hidden="false" customHeight="false" outlineLevel="0" collapsed="false">
      <c r="A3034" s="103" t="n">
        <v>46304</v>
      </c>
      <c r="B3034" s="104" t="s">
        <v>32</v>
      </c>
      <c r="C3034" s="104" t="s">
        <v>426</v>
      </c>
      <c r="D3034" s="105" t="n">
        <v>1.3333</v>
      </c>
      <c r="E3034" s="106" t="n">
        <v>218.125</v>
      </c>
      <c r="F3034" s="107" t="n">
        <f aca="false">IF($C3034="","",$D3034*$E3034)</f>
        <v>290.8260625</v>
      </c>
      <c r="G3034" s="107" t="n">
        <f aca="false">IF($C3034="","",$D3034*IFERROR(INDEX('تحليل التكلفة والسعر'!$C$2:$C$700,MATCH($C3034,'تحليل التكلفة والسعر'!$B$2:$B$700,0)),0))</f>
        <v>127.0514903</v>
      </c>
      <c r="H3034" s="104" t="s">
        <v>719</v>
      </c>
    </row>
    <row r="3035" customFormat="false" ht="15" hidden="false" customHeight="false" outlineLevel="0" collapsed="false">
      <c r="A3035" s="103" t="n">
        <v>46305</v>
      </c>
      <c r="B3035" s="104" t="s">
        <v>32</v>
      </c>
      <c r="C3035" s="104" t="s">
        <v>426</v>
      </c>
      <c r="D3035" s="105" t="n">
        <v>1.3333</v>
      </c>
      <c r="E3035" s="106" t="n">
        <v>218.125</v>
      </c>
      <c r="F3035" s="107" t="n">
        <f aca="false">IF($C3035="","",$D3035*$E3035)</f>
        <v>290.8260625</v>
      </c>
      <c r="G3035" s="107" t="n">
        <f aca="false">IF($C3035="","",$D3035*IFERROR(INDEX('تحليل التكلفة والسعر'!$C$2:$C$700,MATCH($C3035,'تحليل التكلفة والسعر'!$B$2:$B$700,0)),0))</f>
        <v>127.0514903</v>
      </c>
      <c r="H3035" s="104" t="s">
        <v>719</v>
      </c>
    </row>
    <row r="3036" customFormat="false" ht="15" hidden="false" customHeight="false" outlineLevel="0" collapsed="false">
      <c r="A3036" s="103" t="n">
        <v>46306</v>
      </c>
      <c r="B3036" s="104" t="s">
        <v>32</v>
      </c>
      <c r="C3036" s="104" t="s">
        <v>426</v>
      </c>
      <c r="D3036" s="105" t="n">
        <v>1.3333</v>
      </c>
      <c r="E3036" s="106" t="n">
        <v>218.125</v>
      </c>
      <c r="F3036" s="107" t="n">
        <f aca="false">IF($C3036="","",$D3036*$E3036)</f>
        <v>290.8260625</v>
      </c>
      <c r="G3036" s="107" t="n">
        <f aca="false">IF($C3036="","",$D3036*IFERROR(INDEX('تحليل التكلفة والسعر'!$C$2:$C$700,MATCH($C3036,'تحليل التكلفة والسعر'!$B$2:$B$700,0)),0))</f>
        <v>127.0514903</v>
      </c>
      <c r="H3036" s="104" t="s">
        <v>719</v>
      </c>
    </row>
    <row r="3037" customFormat="false" ht="15" hidden="false" customHeight="false" outlineLevel="0" collapsed="false">
      <c r="A3037" s="103" t="n">
        <v>46307</v>
      </c>
      <c r="B3037" s="104" t="s">
        <v>32</v>
      </c>
      <c r="C3037" s="104" t="s">
        <v>426</v>
      </c>
      <c r="D3037" s="105" t="n">
        <v>1.3333</v>
      </c>
      <c r="E3037" s="106" t="n">
        <v>218.125</v>
      </c>
      <c r="F3037" s="107" t="n">
        <f aca="false">IF($C3037="","",$D3037*$E3037)</f>
        <v>290.8260625</v>
      </c>
      <c r="G3037" s="107" t="n">
        <f aca="false">IF($C3037="","",$D3037*IFERROR(INDEX('تحليل التكلفة والسعر'!$C$2:$C$700,MATCH($C3037,'تحليل التكلفة والسعر'!$B$2:$B$700,0)),0))</f>
        <v>127.0514903</v>
      </c>
      <c r="H3037" s="104" t="s">
        <v>719</v>
      </c>
    </row>
    <row r="3038" customFormat="false" ht="15" hidden="false" customHeight="false" outlineLevel="0" collapsed="false">
      <c r="A3038" s="103" t="n">
        <v>46296</v>
      </c>
      <c r="B3038" s="104" t="s">
        <v>32</v>
      </c>
      <c r="C3038" s="104" t="s">
        <v>494</v>
      </c>
      <c r="D3038" s="105" t="n">
        <v>7.5833</v>
      </c>
      <c r="E3038" s="106" t="n">
        <v>62.2527</v>
      </c>
      <c r="F3038" s="107" t="n">
        <f aca="false">IF($C3038="","",$D3038*$E3038)</f>
        <v>472.08089991</v>
      </c>
      <c r="G3038" s="107" t="n">
        <f aca="false">IF($C3038="","",$D3038*IFERROR(INDEX('تحليل التكلفة والسعر'!$C$2:$C$700,MATCH($C3038,'تحليل التكلفة والسعر'!$B$2:$B$700,0)),0))</f>
        <v>545.36439445</v>
      </c>
      <c r="H3038" s="104" t="s">
        <v>719</v>
      </c>
    </row>
    <row r="3039" customFormat="false" ht="15" hidden="false" customHeight="false" outlineLevel="0" collapsed="false">
      <c r="A3039" s="103" t="n">
        <v>46297</v>
      </c>
      <c r="B3039" s="104" t="s">
        <v>32</v>
      </c>
      <c r="C3039" s="104" t="s">
        <v>494</v>
      </c>
      <c r="D3039" s="105" t="n">
        <v>7.5833</v>
      </c>
      <c r="E3039" s="106" t="n">
        <v>62.2527</v>
      </c>
      <c r="F3039" s="107" t="n">
        <f aca="false">IF($C3039="","",$D3039*$E3039)</f>
        <v>472.08089991</v>
      </c>
      <c r="G3039" s="107" t="n">
        <f aca="false">IF($C3039="","",$D3039*IFERROR(INDEX('تحليل التكلفة والسعر'!$C$2:$C$700,MATCH($C3039,'تحليل التكلفة والسعر'!$B$2:$B$700,0)),0))</f>
        <v>545.36439445</v>
      </c>
      <c r="H3039" s="104" t="s">
        <v>719</v>
      </c>
    </row>
    <row r="3040" customFormat="false" ht="15" hidden="false" customHeight="false" outlineLevel="0" collapsed="false">
      <c r="A3040" s="103" t="n">
        <v>46298</v>
      </c>
      <c r="B3040" s="104" t="s">
        <v>32</v>
      </c>
      <c r="C3040" s="104" t="s">
        <v>494</v>
      </c>
      <c r="D3040" s="105" t="n">
        <v>7.5833</v>
      </c>
      <c r="E3040" s="106" t="n">
        <v>62.2527</v>
      </c>
      <c r="F3040" s="107" t="n">
        <f aca="false">IF($C3040="","",$D3040*$E3040)</f>
        <v>472.08089991</v>
      </c>
      <c r="G3040" s="107" t="n">
        <f aca="false">IF($C3040="","",$D3040*IFERROR(INDEX('تحليل التكلفة والسعر'!$C$2:$C$700,MATCH($C3040,'تحليل التكلفة والسعر'!$B$2:$B$700,0)),0))</f>
        <v>545.36439445</v>
      </c>
      <c r="H3040" s="104" t="s">
        <v>719</v>
      </c>
    </row>
    <row r="3041" customFormat="false" ht="15" hidden="false" customHeight="false" outlineLevel="0" collapsed="false">
      <c r="A3041" s="103" t="n">
        <v>46299</v>
      </c>
      <c r="B3041" s="104" t="s">
        <v>32</v>
      </c>
      <c r="C3041" s="104" t="s">
        <v>494</v>
      </c>
      <c r="D3041" s="105" t="n">
        <v>7.5833</v>
      </c>
      <c r="E3041" s="106" t="n">
        <v>62.2527</v>
      </c>
      <c r="F3041" s="107" t="n">
        <f aca="false">IF($C3041="","",$D3041*$E3041)</f>
        <v>472.08089991</v>
      </c>
      <c r="G3041" s="107" t="n">
        <f aca="false">IF($C3041="","",$D3041*IFERROR(INDEX('تحليل التكلفة والسعر'!$C$2:$C$700,MATCH($C3041,'تحليل التكلفة والسعر'!$B$2:$B$700,0)),0))</f>
        <v>545.36439445</v>
      </c>
      <c r="H3041" s="104" t="s">
        <v>719</v>
      </c>
    </row>
    <row r="3042" customFormat="false" ht="15" hidden="false" customHeight="false" outlineLevel="0" collapsed="false">
      <c r="A3042" s="103" t="n">
        <v>46300</v>
      </c>
      <c r="B3042" s="104" t="s">
        <v>32</v>
      </c>
      <c r="C3042" s="104" t="s">
        <v>494</v>
      </c>
      <c r="D3042" s="105" t="n">
        <v>7.5833</v>
      </c>
      <c r="E3042" s="106" t="n">
        <v>62.2527</v>
      </c>
      <c r="F3042" s="107" t="n">
        <f aca="false">IF($C3042="","",$D3042*$E3042)</f>
        <v>472.08089991</v>
      </c>
      <c r="G3042" s="107" t="n">
        <f aca="false">IF($C3042="","",$D3042*IFERROR(INDEX('تحليل التكلفة والسعر'!$C$2:$C$700,MATCH($C3042,'تحليل التكلفة والسعر'!$B$2:$B$700,0)),0))</f>
        <v>545.36439445</v>
      </c>
      <c r="H3042" s="104" t="s">
        <v>719</v>
      </c>
    </row>
    <row r="3043" customFormat="false" ht="15" hidden="false" customHeight="false" outlineLevel="0" collapsed="false">
      <c r="A3043" s="103" t="n">
        <v>46301</v>
      </c>
      <c r="B3043" s="104" t="s">
        <v>32</v>
      </c>
      <c r="C3043" s="104" t="s">
        <v>494</v>
      </c>
      <c r="D3043" s="105" t="n">
        <v>7.5833</v>
      </c>
      <c r="E3043" s="106" t="n">
        <v>62.2527</v>
      </c>
      <c r="F3043" s="107" t="n">
        <f aca="false">IF($C3043="","",$D3043*$E3043)</f>
        <v>472.08089991</v>
      </c>
      <c r="G3043" s="107" t="n">
        <f aca="false">IF($C3043="","",$D3043*IFERROR(INDEX('تحليل التكلفة والسعر'!$C$2:$C$700,MATCH($C3043,'تحليل التكلفة والسعر'!$B$2:$B$700,0)),0))</f>
        <v>545.36439445</v>
      </c>
      <c r="H3043" s="104" t="s">
        <v>719</v>
      </c>
    </row>
    <row r="3044" customFormat="false" ht="15" hidden="false" customHeight="false" outlineLevel="0" collapsed="false">
      <c r="A3044" s="103" t="n">
        <v>46302</v>
      </c>
      <c r="B3044" s="104" t="s">
        <v>32</v>
      </c>
      <c r="C3044" s="104" t="s">
        <v>494</v>
      </c>
      <c r="D3044" s="105" t="n">
        <v>7.5833</v>
      </c>
      <c r="E3044" s="106" t="n">
        <v>62.2527</v>
      </c>
      <c r="F3044" s="107" t="n">
        <f aca="false">IF($C3044="","",$D3044*$E3044)</f>
        <v>472.08089991</v>
      </c>
      <c r="G3044" s="107" t="n">
        <f aca="false">IF($C3044="","",$D3044*IFERROR(INDEX('تحليل التكلفة والسعر'!$C$2:$C$700,MATCH($C3044,'تحليل التكلفة والسعر'!$B$2:$B$700,0)),0))</f>
        <v>545.36439445</v>
      </c>
      <c r="H3044" s="104" t="s">
        <v>719</v>
      </c>
    </row>
    <row r="3045" customFormat="false" ht="15" hidden="false" customHeight="false" outlineLevel="0" collapsed="false">
      <c r="A3045" s="103" t="n">
        <v>46303</v>
      </c>
      <c r="B3045" s="104" t="s">
        <v>32</v>
      </c>
      <c r="C3045" s="104" t="s">
        <v>494</v>
      </c>
      <c r="D3045" s="105" t="n">
        <v>7.5833</v>
      </c>
      <c r="E3045" s="106" t="n">
        <v>62.2527</v>
      </c>
      <c r="F3045" s="107" t="n">
        <f aca="false">IF($C3045="","",$D3045*$E3045)</f>
        <v>472.08089991</v>
      </c>
      <c r="G3045" s="107" t="n">
        <f aca="false">IF($C3045="","",$D3045*IFERROR(INDEX('تحليل التكلفة والسعر'!$C$2:$C$700,MATCH($C3045,'تحليل التكلفة والسعر'!$B$2:$B$700,0)),0))</f>
        <v>545.36439445</v>
      </c>
      <c r="H3045" s="104" t="s">
        <v>719</v>
      </c>
    </row>
    <row r="3046" customFormat="false" ht="15" hidden="false" customHeight="false" outlineLevel="0" collapsed="false">
      <c r="A3046" s="103" t="n">
        <v>46304</v>
      </c>
      <c r="B3046" s="104" t="s">
        <v>32</v>
      </c>
      <c r="C3046" s="104" t="s">
        <v>494</v>
      </c>
      <c r="D3046" s="105" t="n">
        <v>7.5833</v>
      </c>
      <c r="E3046" s="106" t="n">
        <v>62.2527</v>
      </c>
      <c r="F3046" s="107" t="n">
        <f aca="false">IF($C3046="","",$D3046*$E3046)</f>
        <v>472.08089991</v>
      </c>
      <c r="G3046" s="107" t="n">
        <f aca="false">IF($C3046="","",$D3046*IFERROR(INDEX('تحليل التكلفة والسعر'!$C$2:$C$700,MATCH($C3046,'تحليل التكلفة والسعر'!$B$2:$B$700,0)),0))</f>
        <v>545.36439445</v>
      </c>
      <c r="H3046" s="104" t="s">
        <v>719</v>
      </c>
    </row>
    <row r="3047" customFormat="false" ht="15" hidden="false" customHeight="false" outlineLevel="0" collapsed="false">
      <c r="A3047" s="103" t="n">
        <v>46305</v>
      </c>
      <c r="B3047" s="104" t="s">
        <v>32</v>
      </c>
      <c r="C3047" s="104" t="s">
        <v>494</v>
      </c>
      <c r="D3047" s="105" t="n">
        <v>7.5833</v>
      </c>
      <c r="E3047" s="106" t="n">
        <v>62.2527</v>
      </c>
      <c r="F3047" s="107" t="n">
        <f aca="false">IF($C3047="","",$D3047*$E3047)</f>
        <v>472.08089991</v>
      </c>
      <c r="G3047" s="107" t="n">
        <f aca="false">IF($C3047="","",$D3047*IFERROR(INDEX('تحليل التكلفة والسعر'!$C$2:$C$700,MATCH($C3047,'تحليل التكلفة والسعر'!$B$2:$B$700,0)),0))</f>
        <v>545.36439445</v>
      </c>
      <c r="H3047" s="104" t="s">
        <v>719</v>
      </c>
    </row>
    <row r="3048" customFormat="false" ht="15" hidden="false" customHeight="false" outlineLevel="0" collapsed="false">
      <c r="A3048" s="103" t="n">
        <v>46306</v>
      </c>
      <c r="B3048" s="104" t="s">
        <v>32</v>
      </c>
      <c r="C3048" s="104" t="s">
        <v>494</v>
      </c>
      <c r="D3048" s="105" t="n">
        <v>7.5833</v>
      </c>
      <c r="E3048" s="106" t="n">
        <v>62.2527</v>
      </c>
      <c r="F3048" s="107" t="n">
        <f aca="false">IF($C3048="","",$D3048*$E3048)</f>
        <v>472.08089991</v>
      </c>
      <c r="G3048" s="107" t="n">
        <f aca="false">IF($C3048="","",$D3048*IFERROR(INDEX('تحليل التكلفة والسعر'!$C$2:$C$700,MATCH($C3048,'تحليل التكلفة والسعر'!$B$2:$B$700,0)),0))</f>
        <v>545.36439445</v>
      </c>
      <c r="H3048" s="104" t="s">
        <v>719</v>
      </c>
    </row>
    <row r="3049" customFormat="false" ht="15" hidden="false" customHeight="false" outlineLevel="0" collapsed="false">
      <c r="A3049" s="103" t="n">
        <v>46307</v>
      </c>
      <c r="B3049" s="104" t="s">
        <v>32</v>
      </c>
      <c r="C3049" s="104" t="s">
        <v>494</v>
      </c>
      <c r="D3049" s="105" t="n">
        <v>7.5833</v>
      </c>
      <c r="E3049" s="106" t="n">
        <v>62.2527</v>
      </c>
      <c r="F3049" s="107" t="n">
        <f aca="false">IF($C3049="","",$D3049*$E3049)</f>
        <v>472.08089991</v>
      </c>
      <c r="G3049" s="107" t="n">
        <f aca="false">IF($C3049="","",$D3049*IFERROR(INDEX('تحليل التكلفة والسعر'!$C$2:$C$700,MATCH($C3049,'تحليل التكلفة والسعر'!$B$2:$B$700,0)),0))</f>
        <v>545.36439445</v>
      </c>
      <c r="H3049" s="104" t="s">
        <v>719</v>
      </c>
    </row>
    <row r="3050" customFormat="false" ht="15" hidden="false" customHeight="false" outlineLevel="0" collapsed="false">
      <c r="A3050" s="103" t="n">
        <v>46296</v>
      </c>
      <c r="B3050" s="104" t="s">
        <v>32</v>
      </c>
      <c r="C3050" s="104" t="s">
        <v>424</v>
      </c>
      <c r="D3050" s="105" t="n">
        <v>0.3333</v>
      </c>
      <c r="E3050" s="106" t="n">
        <v>242.5</v>
      </c>
      <c r="F3050" s="107" t="n">
        <f aca="false">IF($C3050="","",$D3050*$E3050)</f>
        <v>80.82525</v>
      </c>
      <c r="G3050" s="107" t="n">
        <f aca="false">IF($C3050="","",$D3050*IFERROR(INDEX('تحليل التكلفة والسعر'!$C$2:$C$700,MATCH($C3050,'تحليل التكلفة والسعر'!$B$2:$B$700,0)),0))</f>
        <v>36.52058091</v>
      </c>
      <c r="H3050" s="104" t="s">
        <v>719</v>
      </c>
    </row>
    <row r="3051" customFormat="false" ht="15" hidden="false" customHeight="false" outlineLevel="0" collapsed="false">
      <c r="A3051" s="103" t="n">
        <v>46297</v>
      </c>
      <c r="B3051" s="104" t="s">
        <v>32</v>
      </c>
      <c r="C3051" s="104" t="s">
        <v>424</v>
      </c>
      <c r="D3051" s="105" t="n">
        <v>0.3333</v>
      </c>
      <c r="E3051" s="106" t="n">
        <v>242.5</v>
      </c>
      <c r="F3051" s="107" t="n">
        <f aca="false">IF($C3051="","",$D3051*$E3051)</f>
        <v>80.82525</v>
      </c>
      <c r="G3051" s="107" t="n">
        <f aca="false">IF($C3051="","",$D3051*IFERROR(INDEX('تحليل التكلفة والسعر'!$C$2:$C$700,MATCH($C3051,'تحليل التكلفة والسعر'!$B$2:$B$700,0)),0))</f>
        <v>36.52058091</v>
      </c>
      <c r="H3051" s="104" t="s">
        <v>719</v>
      </c>
    </row>
    <row r="3052" customFormat="false" ht="15" hidden="false" customHeight="false" outlineLevel="0" collapsed="false">
      <c r="A3052" s="103" t="n">
        <v>46298</v>
      </c>
      <c r="B3052" s="104" t="s">
        <v>32</v>
      </c>
      <c r="C3052" s="104" t="s">
        <v>424</v>
      </c>
      <c r="D3052" s="105" t="n">
        <v>0.3333</v>
      </c>
      <c r="E3052" s="106" t="n">
        <v>242.5</v>
      </c>
      <c r="F3052" s="107" t="n">
        <f aca="false">IF($C3052="","",$D3052*$E3052)</f>
        <v>80.82525</v>
      </c>
      <c r="G3052" s="107" t="n">
        <f aca="false">IF($C3052="","",$D3052*IFERROR(INDEX('تحليل التكلفة والسعر'!$C$2:$C$700,MATCH($C3052,'تحليل التكلفة والسعر'!$B$2:$B$700,0)),0))</f>
        <v>36.52058091</v>
      </c>
      <c r="H3052" s="104" t="s">
        <v>719</v>
      </c>
    </row>
    <row r="3053" customFormat="false" ht="15" hidden="false" customHeight="false" outlineLevel="0" collapsed="false">
      <c r="A3053" s="103" t="n">
        <v>46299</v>
      </c>
      <c r="B3053" s="104" t="s">
        <v>32</v>
      </c>
      <c r="C3053" s="104" t="s">
        <v>424</v>
      </c>
      <c r="D3053" s="105" t="n">
        <v>0.3333</v>
      </c>
      <c r="E3053" s="106" t="n">
        <v>242.5</v>
      </c>
      <c r="F3053" s="107" t="n">
        <f aca="false">IF($C3053="","",$D3053*$E3053)</f>
        <v>80.82525</v>
      </c>
      <c r="G3053" s="107" t="n">
        <f aca="false">IF($C3053="","",$D3053*IFERROR(INDEX('تحليل التكلفة والسعر'!$C$2:$C$700,MATCH($C3053,'تحليل التكلفة والسعر'!$B$2:$B$700,0)),0))</f>
        <v>36.52058091</v>
      </c>
      <c r="H3053" s="104" t="s">
        <v>719</v>
      </c>
    </row>
    <row r="3054" customFormat="false" ht="15" hidden="false" customHeight="false" outlineLevel="0" collapsed="false">
      <c r="A3054" s="103" t="n">
        <v>46300</v>
      </c>
      <c r="B3054" s="104" t="s">
        <v>32</v>
      </c>
      <c r="C3054" s="104" t="s">
        <v>424</v>
      </c>
      <c r="D3054" s="105" t="n">
        <v>0.3333</v>
      </c>
      <c r="E3054" s="106" t="n">
        <v>242.5</v>
      </c>
      <c r="F3054" s="107" t="n">
        <f aca="false">IF($C3054="","",$D3054*$E3054)</f>
        <v>80.82525</v>
      </c>
      <c r="G3054" s="107" t="n">
        <f aca="false">IF($C3054="","",$D3054*IFERROR(INDEX('تحليل التكلفة والسعر'!$C$2:$C$700,MATCH($C3054,'تحليل التكلفة والسعر'!$B$2:$B$700,0)),0))</f>
        <v>36.52058091</v>
      </c>
      <c r="H3054" s="104" t="s">
        <v>719</v>
      </c>
    </row>
    <row r="3055" customFormat="false" ht="15" hidden="false" customHeight="false" outlineLevel="0" collapsed="false">
      <c r="A3055" s="103" t="n">
        <v>46301</v>
      </c>
      <c r="B3055" s="104" t="s">
        <v>32</v>
      </c>
      <c r="C3055" s="104" t="s">
        <v>424</v>
      </c>
      <c r="D3055" s="105" t="n">
        <v>0.3333</v>
      </c>
      <c r="E3055" s="106" t="n">
        <v>242.5</v>
      </c>
      <c r="F3055" s="107" t="n">
        <f aca="false">IF($C3055="","",$D3055*$E3055)</f>
        <v>80.82525</v>
      </c>
      <c r="G3055" s="107" t="n">
        <f aca="false">IF($C3055="","",$D3055*IFERROR(INDEX('تحليل التكلفة والسعر'!$C$2:$C$700,MATCH($C3055,'تحليل التكلفة والسعر'!$B$2:$B$700,0)),0))</f>
        <v>36.52058091</v>
      </c>
      <c r="H3055" s="104" t="s">
        <v>719</v>
      </c>
    </row>
    <row r="3056" customFormat="false" ht="15" hidden="false" customHeight="false" outlineLevel="0" collapsed="false">
      <c r="A3056" s="103" t="n">
        <v>46302</v>
      </c>
      <c r="B3056" s="104" t="s">
        <v>32</v>
      </c>
      <c r="C3056" s="104" t="s">
        <v>424</v>
      </c>
      <c r="D3056" s="105" t="n">
        <v>0.3333</v>
      </c>
      <c r="E3056" s="106" t="n">
        <v>242.5</v>
      </c>
      <c r="F3056" s="107" t="n">
        <f aca="false">IF($C3056="","",$D3056*$E3056)</f>
        <v>80.82525</v>
      </c>
      <c r="G3056" s="107" t="n">
        <f aca="false">IF($C3056="","",$D3056*IFERROR(INDEX('تحليل التكلفة والسعر'!$C$2:$C$700,MATCH($C3056,'تحليل التكلفة والسعر'!$B$2:$B$700,0)),0))</f>
        <v>36.52058091</v>
      </c>
      <c r="H3056" s="104" t="s">
        <v>719</v>
      </c>
    </row>
    <row r="3057" customFormat="false" ht="15" hidden="false" customHeight="false" outlineLevel="0" collapsed="false">
      <c r="A3057" s="103" t="n">
        <v>46303</v>
      </c>
      <c r="B3057" s="104" t="s">
        <v>32</v>
      </c>
      <c r="C3057" s="104" t="s">
        <v>424</v>
      </c>
      <c r="D3057" s="105" t="n">
        <v>0.3333</v>
      </c>
      <c r="E3057" s="106" t="n">
        <v>242.5</v>
      </c>
      <c r="F3057" s="107" t="n">
        <f aca="false">IF($C3057="","",$D3057*$E3057)</f>
        <v>80.82525</v>
      </c>
      <c r="G3057" s="107" t="n">
        <f aca="false">IF($C3057="","",$D3057*IFERROR(INDEX('تحليل التكلفة والسعر'!$C$2:$C$700,MATCH($C3057,'تحليل التكلفة والسعر'!$B$2:$B$700,0)),0))</f>
        <v>36.52058091</v>
      </c>
      <c r="H3057" s="104" t="s">
        <v>719</v>
      </c>
    </row>
    <row r="3058" customFormat="false" ht="15" hidden="false" customHeight="false" outlineLevel="0" collapsed="false">
      <c r="A3058" s="103" t="n">
        <v>46304</v>
      </c>
      <c r="B3058" s="104" t="s">
        <v>32</v>
      </c>
      <c r="C3058" s="104" t="s">
        <v>424</v>
      </c>
      <c r="D3058" s="105" t="n">
        <v>0.3333</v>
      </c>
      <c r="E3058" s="106" t="n">
        <v>242.5</v>
      </c>
      <c r="F3058" s="107" t="n">
        <f aca="false">IF($C3058="","",$D3058*$E3058)</f>
        <v>80.82525</v>
      </c>
      <c r="G3058" s="107" t="n">
        <f aca="false">IF($C3058="","",$D3058*IFERROR(INDEX('تحليل التكلفة والسعر'!$C$2:$C$700,MATCH($C3058,'تحليل التكلفة والسعر'!$B$2:$B$700,0)),0))</f>
        <v>36.52058091</v>
      </c>
      <c r="H3058" s="104" t="s">
        <v>719</v>
      </c>
    </row>
    <row r="3059" customFormat="false" ht="15" hidden="false" customHeight="false" outlineLevel="0" collapsed="false">
      <c r="A3059" s="103" t="n">
        <v>46305</v>
      </c>
      <c r="B3059" s="104" t="s">
        <v>32</v>
      </c>
      <c r="C3059" s="104" t="s">
        <v>424</v>
      </c>
      <c r="D3059" s="105" t="n">
        <v>0.3333</v>
      </c>
      <c r="E3059" s="106" t="n">
        <v>242.5</v>
      </c>
      <c r="F3059" s="107" t="n">
        <f aca="false">IF($C3059="","",$D3059*$E3059)</f>
        <v>80.82525</v>
      </c>
      <c r="G3059" s="107" t="n">
        <f aca="false">IF($C3059="","",$D3059*IFERROR(INDEX('تحليل التكلفة والسعر'!$C$2:$C$700,MATCH($C3059,'تحليل التكلفة والسعر'!$B$2:$B$700,0)),0))</f>
        <v>36.52058091</v>
      </c>
      <c r="H3059" s="104" t="s">
        <v>719</v>
      </c>
    </row>
    <row r="3060" customFormat="false" ht="15" hidden="false" customHeight="false" outlineLevel="0" collapsed="false">
      <c r="A3060" s="103" t="n">
        <v>46306</v>
      </c>
      <c r="B3060" s="104" t="s">
        <v>32</v>
      </c>
      <c r="C3060" s="104" t="s">
        <v>424</v>
      </c>
      <c r="D3060" s="105" t="n">
        <v>0.3333</v>
      </c>
      <c r="E3060" s="106" t="n">
        <v>242.5</v>
      </c>
      <c r="F3060" s="107" t="n">
        <f aca="false">IF($C3060="","",$D3060*$E3060)</f>
        <v>80.82525</v>
      </c>
      <c r="G3060" s="107" t="n">
        <f aca="false">IF($C3060="","",$D3060*IFERROR(INDEX('تحليل التكلفة والسعر'!$C$2:$C$700,MATCH($C3060,'تحليل التكلفة والسعر'!$B$2:$B$700,0)),0))</f>
        <v>36.52058091</v>
      </c>
      <c r="H3060" s="104" t="s">
        <v>719</v>
      </c>
    </row>
    <row r="3061" customFormat="false" ht="15" hidden="false" customHeight="false" outlineLevel="0" collapsed="false">
      <c r="A3061" s="103" t="n">
        <v>46307</v>
      </c>
      <c r="B3061" s="104" t="s">
        <v>32</v>
      </c>
      <c r="C3061" s="104" t="s">
        <v>424</v>
      </c>
      <c r="D3061" s="105" t="n">
        <v>0.3333</v>
      </c>
      <c r="E3061" s="106" t="n">
        <v>242.5</v>
      </c>
      <c r="F3061" s="107" t="n">
        <f aca="false">IF($C3061="","",$D3061*$E3061)</f>
        <v>80.82525</v>
      </c>
      <c r="G3061" s="107" t="n">
        <f aca="false">IF($C3061="","",$D3061*IFERROR(INDEX('تحليل التكلفة والسعر'!$C$2:$C$700,MATCH($C3061,'تحليل التكلفة والسعر'!$B$2:$B$700,0)),0))</f>
        <v>36.52058091</v>
      </c>
      <c r="H3061" s="104" t="s">
        <v>719</v>
      </c>
    </row>
    <row r="3062" customFormat="false" ht="15" hidden="false" customHeight="false" outlineLevel="0" collapsed="false">
      <c r="A3062" s="103" t="n">
        <v>46296</v>
      </c>
      <c r="B3062" s="104" t="s">
        <v>32</v>
      </c>
      <c r="C3062" s="104" t="s">
        <v>488</v>
      </c>
      <c r="D3062" s="105" t="n">
        <v>1.4167</v>
      </c>
      <c r="E3062" s="106" t="n">
        <v>159.4118</v>
      </c>
      <c r="F3062" s="107" t="n">
        <f aca="false">IF($C3062="","",$D3062*$E3062)</f>
        <v>225.83869706</v>
      </c>
      <c r="G3062" s="107" t="n">
        <f aca="false">IF($C3062="","",$D3062*IFERROR(INDEX('تحليل التكلفة والسعر'!$C$2:$C$700,MATCH($C3062,'تحليل التكلفة والسعر'!$B$2:$B$700,0)),0))</f>
        <v>111.77550495</v>
      </c>
      <c r="H3062" s="104" t="s">
        <v>719</v>
      </c>
    </row>
    <row r="3063" customFormat="false" ht="15" hidden="false" customHeight="false" outlineLevel="0" collapsed="false">
      <c r="A3063" s="103" t="n">
        <v>46297</v>
      </c>
      <c r="B3063" s="104" t="s">
        <v>32</v>
      </c>
      <c r="C3063" s="104" t="s">
        <v>488</v>
      </c>
      <c r="D3063" s="105" t="n">
        <v>1.4167</v>
      </c>
      <c r="E3063" s="106" t="n">
        <v>159.4118</v>
      </c>
      <c r="F3063" s="107" t="n">
        <f aca="false">IF($C3063="","",$D3063*$E3063)</f>
        <v>225.83869706</v>
      </c>
      <c r="G3063" s="107" t="n">
        <f aca="false">IF($C3063="","",$D3063*IFERROR(INDEX('تحليل التكلفة والسعر'!$C$2:$C$700,MATCH($C3063,'تحليل التكلفة والسعر'!$B$2:$B$700,0)),0))</f>
        <v>111.77550495</v>
      </c>
      <c r="H3063" s="104" t="s">
        <v>719</v>
      </c>
    </row>
    <row r="3064" customFormat="false" ht="15" hidden="false" customHeight="false" outlineLevel="0" collapsed="false">
      <c r="A3064" s="103" t="n">
        <v>46298</v>
      </c>
      <c r="B3064" s="104" t="s">
        <v>32</v>
      </c>
      <c r="C3064" s="104" t="s">
        <v>488</v>
      </c>
      <c r="D3064" s="105" t="n">
        <v>1.4167</v>
      </c>
      <c r="E3064" s="106" t="n">
        <v>159.4118</v>
      </c>
      <c r="F3064" s="107" t="n">
        <f aca="false">IF($C3064="","",$D3064*$E3064)</f>
        <v>225.83869706</v>
      </c>
      <c r="G3064" s="107" t="n">
        <f aca="false">IF($C3064="","",$D3064*IFERROR(INDEX('تحليل التكلفة والسعر'!$C$2:$C$700,MATCH($C3064,'تحليل التكلفة والسعر'!$B$2:$B$700,0)),0))</f>
        <v>111.77550495</v>
      </c>
      <c r="H3064" s="104" t="s">
        <v>719</v>
      </c>
    </row>
    <row r="3065" customFormat="false" ht="15" hidden="false" customHeight="false" outlineLevel="0" collapsed="false">
      <c r="A3065" s="103" t="n">
        <v>46299</v>
      </c>
      <c r="B3065" s="104" t="s">
        <v>32</v>
      </c>
      <c r="C3065" s="104" t="s">
        <v>488</v>
      </c>
      <c r="D3065" s="105" t="n">
        <v>1.4167</v>
      </c>
      <c r="E3065" s="106" t="n">
        <v>159.4118</v>
      </c>
      <c r="F3065" s="107" t="n">
        <f aca="false">IF($C3065="","",$D3065*$E3065)</f>
        <v>225.83869706</v>
      </c>
      <c r="G3065" s="107" t="n">
        <f aca="false">IF($C3065="","",$D3065*IFERROR(INDEX('تحليل التكلفة والسعر'!$C$2:$C$700,MATCH($C3065,'تحليل التكلفة والسعر'!$B$2:$B$700,0)),0))</f>
        <v>111.77550495</v>
      </c>
      <c r="H3065" s="104" t="s">
        <v>719</v>
      </c>
    </row>
    <row r="3066" customFormat="false" ht="15" hidden="false" customHeight="false" outlineLevel="0" collapsed="false">
      <c r="A3066" s="103" t="n">
        <v>46300</v>
      </c>
      <c r="B3066" s="104" t="s">
        <v>32</v>
      </c>
      <c r="C3066" s="104" t="s">
        <v>488</v>
      </c>
      <c r="D3066" s="105" t="n">
        <v>1.4167</v>
      </c>
      <c r="E3066" s="106" t="n">
        <v>159.4118</v>
      </c>
      <c r="F3066" s="107" t="n">
        <f aca="false">IF($C3066="","",$D3066*$E3066)</f>
        <v>225.83869706</v>
      </c>
      <c r="G3066" s="107" t="n">
        <f aca="false">IF($C3066="","",$D3066*IFERROR(INDEX('تحليل التكلفة والسعر'!$C$2:$C$700,MATCH($C3066,'تحليل التكلفة والسعر'!$B$2:$B$700,0)),0))</f>
        <v>111.77550495</v>
      </c>
      <c r="H3066" s="104" t="s">
        <v>719</v>
      </c>
    </row>
    <row r="3067" customFormat="false" ht="15" hidden="false" customHeight="false" outlineLevel="0" collapsed="false">
      <c r="A3067" s="103" t="n">
        <v>46301</v>
      </c>
      <c r="B3067" s="104" t="s">
        <v>32</v>
      </c>
      <c r="C3067" s="104" t="s">
        <v>488</v>
      </c>
      <c r="D3067" s="105" t="n">
        <v>1.4167</v>
      </c>
      <c r="E3067" s="106" t="n">
        <v>159.4118</v>
      </c>
      <c r="F3067" s="107" t="n">
        <f aca="false">IF($C3067="","",$D3067*$E3067)</f>
        <v>225.83869706</v>
      </c>
      <c r="G3067" s="107" t="n">
        <f aca="false">IF($C3067="","",$D3067*IFERROR(INDEX('تحليل التكلفة والسعر'!$C$2:$C$700,MATCH($C3067,'تحليل التكلفة والسعر'!$B$2:$B$700,0)),0))</f>
        <v>111.77550495</v>
      </c>
      <c r="H3067" s="104" t="s">
        <v>719</v>
      </c>
    </row>
    <row r="3068" customFormat="false" ht="15" hidden="false" customHeight="false" outlineLevel="0" collapsed="false">
      <c r="A3068" s="103" t="n">
        <v>46302</v>
      </c>
      <c r="B3068" s="104" t="s">
        <v>32</v>
      </c>
      <c r="C3068" s="104" t="s">
        <v>488</v>
      </c>
      <c r="D3068" s="105" t="n">
        <v>1.4167</v>
      </c>
      <c r="E3068" s="106" t="n">
        <v>159.4118</v>
      </c>
      <c r="F3068" s="107" t="n">
        <f aca="false">IF($C3068="","",$D3068*$E3068)</f>
        <v>225.83869706</v>
      </c>
      <c r="G3068" s="107" t="n">
        <f aca="false">IF($C3068="","",$D3068*IFERROR(INDEX('تحليل التكلفة والسعر'!$C$2:$C$700,MATCH($C3068,'تحليل التكلفة والسعر'!$B$2:$B$700,0)),0))</f>
        <v>111.77550495</v>
      </c>
      <c r="H3068" s="104" t="s">
        <v>719</v>
      </c>
    </row>
    <row r="3069" customFormat="false" ht="15" hidden="false" customHeight="false" outlineLevel="0" collapsed="false">
      <c r="A3069" s="103" t="n">
        <v>46303</v>
      </c>
      <c r="B3069" s="104" t="s">
        <v>32</v>
      </c>
      <c r="C3069" s="104" t="s">
        <v>488</v>
      </c>
      <c r="D3069" s="105" t="n">
        <v>1.4167</v>
      </c>
      <c r="E3069" s="106" t="n">
        <v>159.4118</v>
      </c>
      <c r="F3069" s="107" t="n">
        <f aca="false">IF($C3069="","",$D3069*$E3069)</f>
        <v>225.83869706</v>
      </c>
      <c r="G3069" s="107" t="n">
        <f aca="false">IF($C3069="","",$D3069*IFERROR(INDEX('تحليل التكلفة والسعر'!$C$2:$C$700,MATCH($C3069,'تحليل التكلفة والسعر'!$B$2:$B$700,0)),0))</f>
        <v>111.77550495</v>
      </c>
      <c r="H3069" s="104" t="s">
        <v>719</v>
      </c>
    </row>
    <row r="3070" customFormat="false" ht="15" hidden="false" customHeight="false" outlineLevel="0" collapsed="false">
      <c r="A3070" s="103" t="n">
        <v>46304</v>
      </c>
      <c r="B3070" s="104" t="s">
        <v>32</v>
      </c>
      <c r="C3070" s="104" t="s">
        <v>488</v>
      </c>
      <c r="D3070" s="105" t="n">
        <v>1.4167</v>
      </c>
      <c r="E3070" s="106" t="n">
        <v>159.4118</v>
      </c>
      <c r="F3070" s="107" t="n">
        <f aca="false">IF($C3070="","",$D3070*$E3070)</f>
        <v>225.83869706</v>
      </c>
      <c r="G3070" s="107" t="n">
        <f aca="false">IF($C3070="","",$D3070*IFERROR(INDEX('تحليل التكلفة والسعر'!$C$2:$C$700,MATCH($C3070,'تحليل التكلفة والسعر'!$B$2:$B$700,0)),0))</f>
        <v>111.77550495</v>
      </c>
      <c r="H3070" s="104" t="s">
        <v>719</v>
      </c>
    </row>
    <row r="3071" customFormat="false" ht="15" hidden="false" customHeight="false" outlineLevel="0" collapsed="false">
      <c r="A3071" s="103" t="n">
        <v>46305</v>
      </c>
      <c r="B3071" s="104" t="s">
        <v>32</v>
      </c>
      <c r="C3071" s="104" t="s">
        <v>488</v>
      </c>
      <c r="D3071" s="105" t="n">
        <v>1.4167</v>
      </c>
      <c r="E3071" s="106" t="n">
        <v>159.4118</v>
      </c>
      <c r="F3071" s="107" t="n">
        <f aca="false">IF($C3071="","",$D3071*$E3071)</f>
        <v>225.83869706</v>
      </c>
      <c r="G3071" s="107" t="n">
        <f aca="false">IF($C3071="","",$D3071*IFERROR(INDEX('تحليل التكلفة والسعر'!$C$2:$C$700,MATCH($C3071,'تحليل التكلفة والسعر'!$B$2:$B$700,0)),0))</f>
        <v>111.77550495</v>
      </c>
      <c r="H3071" s="104" t="s">
        <v>719</v>
      </c>
    </row>
    <row r="3072" customFormat="false" ht="15" hidden="false" customHeight="false" outlineLevel="0" collapsed="false">
      <c r="A3072" s="103" t="n">
        <v>46306</v>
      </c>
      <c r="B3072" s="104" t="s">
        <v>32</v>
      </c>
      <c r="C3072" s="104" t="s">
        <v>488</v>
      </c>
      <c r="D3072" s="105" t="n">
        <v>1.4167</v>
      </c>
      <c r="E3072" s="106" t="n">
        <v>159.4118</v>
      </c>
      <c r="F3072" s="107" t="n">
        <f aca="false">IF($C3072="","",$D3072*$E3072)</f>
        <v>225.83869706</v>
      </c>
      <c r="G3072" s="107" t="n">
        <f aca="false">IF($C3072="","",$D3072*IFERROR(INDEX('تحليل التكلفة والسعر'!$C$2:$C$700,MATCH($C3072,'تحليل التكلفة والسعر'!$B$2:$B$700,0)),0))</f>
        <v>111.77550495</v>
      </c>
      <c r="H3072" s="104" t="s">
        <v>719</v>
      </c>
    </row>
    <row r="3073" customFormat="false" ht="15" hidden="false" customHeight="false" outlineLevel="0" collapsed="false">
      <c r="A3073" s="103" t="n">
        <v>46307</v>
      </c>
      <c r="B3073" s="104" t="s">
        <v>32</v>
      </c>
      <c r="C3073" s="104" t="s">
        <v>488</v>
      </c>
      <c r="D3073" s="105" t="n">
        <v>1.4167</v>
      </c>
      <c r="E3073" s="106" t="n">
        <v>159.4118</v>
      </c>
      <c r="F3073" s="107" t="n">
        <f aca="false">IF($C3073="","",$D3073*$E3073)</f>
        <v>225.83869706</v>
      </c>
      <c r="G3073" s="107" t="n">
        <f aca="false">IF($C3073="","",$D3073*IFERROR(INDEX('تحليل التكلفة والسعر'!$C$2:$C$700,MATCH($C3073,'تحليل التكلفة والسعر'!$B$2:$B$700,0)),0))</f>
        <v>111.77550495</v>
      </c>
      <c r="H3073" s="104" t="s">
        <v>719</v>
      </c>
    </row>
    <row r="3074" customFormat="false" ht="15" hidden="false" customHeight="false" outlineLevel="0" collapsed="false">
      <c r="A3074" s="103" t="n">
        <v>46296</v>
      </c>
      <c r="B3074" s="104" t="s">
        <v>32</v>
      </c>
      <c r="C3074" s="104" t="s">
        <v>425</v>
      </c>
      <c r="D3074" s="105" t="n">
        <v>1.3333</v>
      </c>
      <c r="E3074" s="106" t="n">
        <v>239.375</v>
      </c>
      <c r="F3074" s="107" t="n">
        <f aca="false">IF($C3074="","",$D3074*$E3074)</f>
        <v>319.1586875</v>
      </c>
      <c r="G3074" s="107" t="n">
        <f aca="false">IF($C3074="","",$D3074*IFERROR(INDEX('تحليل التكلفة والسعر'!$C$2:$C$700,MATCH($C3074,'تحليل التكلفة والسعر'!$B$2:$B$700,0)),0))</f>
        <v>153.09310591</v>
      </c>
      <c r="H3074" s="104" t="s">
        <v>719</v>
      </c>
    </row>
    <row r="3075" customFormat="false" ht="15" hidden="false" customHeight="false" outlineLevel="0" collapsed="false">
      <c r="A3075" s="103" t="n">
        <v>46297</v>
      </c>
      <c r="B3075" s="104" t="s">
        <v>32</v>
      </c>
      <c r="C3075" s="104" t="s">
        <v>425</v>
      </c>
      <c r="D3075" s="105" t="n">
        <v>1.3333</v>
      </c>
      <c r="E3075" s="106" t="n">
        <v>239.375</v>
      </c>
      <c r="F3075" s="107" t="n">
        <f aca="false">IF($C3075="","",$D3075*$E3075)</f>
        <v>319.1586875</v>
      </c>
      <c r="G3075" s="107" t="n">
        <f aca="false">IF($C3075="","",$D3075*IFERROR(INDEX('تحليل التكلفة والسعر'!$C$2:$C$700,MATCH($C3075,'تحليل التكلفة والسعر'!$B$2:$B$700,0)),0))</f>
        <v>153.09310591</v>
      </c>
      <c r="H3075" s="104" t="s">
        <v>719</v>
      </c>
    </row>
    <row r="3076" customFormat="false" ht="15" hidden="false" customHeight="false" outlineLevel="0" collapsed="false">
      <c r="A3076" s="103" t="n">
        <v>46298</v>
      </c>
      <c r="B3076" s="104" t="s">
        <v>32</v>
      </c>
      <c r="C3076" s="104" t="s">
        <v>425</v>
      </c>
      <c r="D3076" s="105" t="n">
        <v>1.3333</v>
      </c>
      <c r="E3076" s="106" t="n">
        <v>239.375</v>
      </c>
      <c r="F3076" s="107" t="n">
        <f aca="false">IF($C3076="","",$D3076*$E3076)</f>
        <v>319.1586875</v>
      </c>
      <c r="G3076" s="107" t="n">
        <f aca="false">IF($C3076="","",$D3076*IFERROR(INDEX('تحليل التكلفة والسعر'!$C$2:$C$700,MATCH($C3076,'تحليل التكلفة والسعر'!$B$2:$B$700,0)),0))</f>
        <v>153.09310591</v>
      </c>
      <c r="H3076" s="104" t="s">
        <v>719</v>
      </c>
    </row>
    <row r="3077" customFormat="false" ht="15" hidden="false" customHeight="false" outlineLevel="0" collapsed="false">
      <c r="A3077" s="103" t="n">
        <v>46299</v>
      </c>
      <c r="B3077" s="104" t="s">
        <v>32</v>
      </c>
      <c r="C3077" s="104" t="s">
        <v>425</v>
      </c>
      <c r="D3077" s="105" t="n">
        <v>1.3333</v>
      </c>
      <c r="E3077" s="106" t="n">
        <v>239.375</v>
      </c>
      <c r="F3077" s="107" t="n">
        <f aca="false">IF($C3077="","",$D3077*$E3077)</f>
        <v>319.1586875</v>
      </c>
      <c r="G3077" s="107" t="n">
        <f aca="false">IF($C3077="","",$D3077*IFERROR(INDEX('تحليل التكلفة والسعر'!$C$2:$C$700,MATCH($C3077,'تحليل التكلفة والسعر'!$B$2:$B$700,0)),0))</f>
        <v>153.09310591</v>
      </c>
      <c r="H3077" s="104" t="s">
        <v>719</v>
      </c>
    </row>
    <row r="3078" customFormat="false" ht="15" hidden="false" customHeight="false" outlineLevel="0" collapsed="false">
      <c r="A3078" s="103" t="n">
        <v>46300</v>
      </c>
      <c r="B3078" s="104" t="s">
        <v>32</v>
      </c>
      <c r="C3078" s="104" t="s">
        <v>425</v>
      </c>
      <c r="D3078" s="105" t="n">
        <v>1.3333</v>
      </c>
      <c r="E3078" s="106" t="n">
        <v>239.375</v>
      </c>
      <c r="F3078" s="107" t="n">
        <f aca="false">IF($C3078="","",$D3078*$E3078)</f>
        <v>319.1586875</v>
      </c>
      <c r="G3078" s="107" t="n">
        <f aca="false">IF($C3078="","",$D3078*IFERROR(INDEX('تحليل التكلفة والسعر'!$C$2:$C$700,MATCH($C3078,'تحليل التكلفة والسعر'!$B$2:$B$700,0)),0))</f>
        <v>153.09310591</v>
      </c>
      <c r="H3078" s="104" t="s">
        <v>719</v>
      </c>
    </row>
    <row r="3079" customFormat="false" ht="15" hidden="false" customHeight="false" outlineLevel="0" collapsed="false">
      <c r="A3079" s="103" t="n">
        <v>46301</v>
      </c>
      <c r="B3079" s="104" t="s">
        <v>32</v>
      </c>
      <c r="C3079" s="104" t="s">
        <v>425</v>
      </c>
      <c r="D3079" s="105" t="n">
        <v>1.3333</v>
      </c>
      <c r="E3079" s="106" t="n">
        <v>239.375</v>
      </c>
      <c r="F3079" s="107" t="n">
        <f aca="false">IF($C3079="","",$D3079*$E3079)</f>
        <v>319.1586875</v>
      </c>
      <c r="G3079" s="107" t="n">
        <f aca="false">IF($C3079="","",$D3079*IFERROR(INDEX('تحليل التكلفة والسعر'!$C$2:$C$700,MATCH($C3079,'تحليل التكلفة والسعر'!$B$2:$B$700,0)),0))</f>
        <v>153.09310591</v>
      </c>
      <c r="H3079" s="104" t="s">
        <v>719</v>
      </c>
    </row>
    <row r="3080" customFormat="false" ht="15" hidden="false" customHeight="false" outlineLevel="0" collapsed="false">
      <c r="A3080" s="103" t="n">
        <v>46302</v>
      </c>
      <c r="B3080" s="104" t="s">
        <v>32</v>
      </c>
      <c r="C3080" s="104" t="s">
        <v>425</v>
      </c>
      <c r="D3080" s="105" t="n">
        <v>1.3333</v>
      </c>
      <c r="E3080" s="106" t="n">
        <v>239.375</v>
      </c>
      <c r="F3080" s="107" t="n">
        <f aca="false">IF($C3080="","",$D3080*$E3080)</f>
        <v>319.1586875</v>
      </c>
      <c r="G3080" s="107" t="n">
        <f aca="false">IF($C3080="","",$D3080*IFERROR(INDEX('تحليل التكلفة والسعر'!$C$2:$C$700,MATCH($C3080,'تحليل التكلفة والسعر'!$B$2:$B$700,0)),0))</f>
        <v>153.09310591</v>
      </c>
      <c r="H3080" s="104" t="s">
        <v>719</v>
      </c>
    </row>
    <row r="3081" customFormat="false" ht="15" hidden="false" customHeight="false" outlineLevel="0" collapsed="false">
      <c r="A3081" s="103" t="n">
        <v>46303</v>
      </c>
      <c r="B3081" s="104" t="s">
        <v>32</v>
      </c>
      <c r="C3081" s="104" t="s">
        <v>425</v>
      </c>
      <c r="D3081" s="105" t="n">
        <v>1.3333</v>
      </c>
      <c r="E3081" s="106" t="n">
        <v>239.375</v>
      </c>
      <c r="F3081" s="107" t="n">
        <f aca="false">IF($C3081="","",$D3081*$E3081)</f>
        <v>319.1586875</v>
      </c>
      <c r="G3081" s="107" t="n">
        <f aca="false">IF($C3081="","",$D3081*IFERROR(INDEX('تحليل التكلفة والسعر'!$C$2:$C$700,MATCH($C3081,'تحليل التكلفة والسعر'!$B$2:$B$700,0)),0))</f>
        <v>153.09310591</v>
      </c>
      <c r="H3081" s="104" t="s">
        <v>719</v>
      </c>
    </row>
    <row r="3082" customFormat="false" ht="15" hidden="false" customHeight="false" outlineLevel="0" collapsed="false">
      <c r="A3082" s="103" t="n">
        <v>46304</v>
      </c>
      <c r="B3082" s="104" t="s">
        <v>32</v>
      </c>
      <c r="C3082" s="104" t="s">
        <v>425</v>
      </c>
      <c r="D3082" s="105" t="n">
        <v>1.3333</v>
      </c>
      <c r="E3082" s="106" t="n">
        <v>239.375</v>
      </c>
      <c r="F3082" s="107" t="n">
        <f aca="false">IF($C3082="","",$D3082*$E3082)</f>
        <v>319.1586875</v>
      </c>
      <c r="G3082" s="107" t="n">
        <f aca="false">IF($C3082="","",$D3082*IFERROR(INDEX('تحليل التكلفة والسعر'!$C$2:$C$700,MATCH($C3082,'تحليل التكلفة والسعر'!$B$2:$B$700,0)),0))</f>
        <v>153.09310591</v>
      </c>
      <c r="H3082" s="104" t="s">
        <v>719</v>
      </c>
    </row>
    <row r="3083" customFormat="false" ht="15" hidden="false" customHeight="false" outlineLevel="0" collapsed="false">
      <c r="A3083" s="103" t="n">
        <v>46305</v>
      </c>
      <c r="B3083" s="104" t="s">
        <v>32</v>
      </c>
      <c r="C3083" s="104" t="s">
        <v>425</v>
      </c>
      <c r="D3083" s="105" t="n">
        <v>1.3333</v>
      </c>
      <c r="E3083" s="106" t="n">
        <v>239.375</v>
      </c>
      <c r="F3083" s="107" t="n">
        <f aca="false">IF($C3083="","",$D3083*$E3083)</f>
        <v>319.1586875</v>
      </c>
      <c r="G3083" s="107" t="n">
        <f aca="false">IF($C3083="","",$D3083*IFERROR(INDEX('تحليل التكلفة والسعر'!$C$2:$C$700,MATCH($C3083,'تحليل التكلفة والسعر'!$B$2:$B$700,0)),0))</f>
        <v>153.09310591</v>
      </c>
      <c r="H3083" s="104" t="s">
        <v>719</v>
      </c>
    </row>
    <row r="3084" customFormat="false" ht="15" hidden="false" customHeight="false" outlineLevel="0" collapsed="false">
      <c r="A3084" s="103" t="n">
        <v>46306</v>
      </c>
      <c r="B3084" s="104" t="s">
        <v>32</v>
      </c>
      <c r="C3084" s="104" t="s">
        <v>425</v>
      </c>
      <c r="D3084" s="105" t="n">
        <v>1.3333</v>
      </c>
      <c r="E3084" s="106" t="n">
        <v>239.375</v>
      </c>
      <c r="F3084" s="107" t="n">
        <f aca="false">IF($C3084="","",$D3084*$E3084)</f>
        <v>319.1586875</v>
      </c>
      <c r="G3084" s="107" t="n">
        <f aca="false">IF($C3084="","",$D3084*IFERROR(INDEX('تحليل التكلفة والسعر'!$C$2:$C$700,MATCH($C3084,'تحليل التكلفة والسعر'!$B$2:$B$700,0)),0))</f>
        <v>153.09310591</v>
      </c>
      <c r="H3084" s="104" t="s">
        <v>719</v>
      </c>
    </row>
    <row r="3085" customFormat="false" ht="15" hidden="false" customHeight="false" outlineLevel="0" collapsed="false">
      <c r="A3085" s="103" t="n">
        <v>46307</v>
      </c>
      <c r="B3085" s="104" t="s">
        <v>32</v>
      </c>
      <c r="C3085" s="104" t="s">
        <v>425</v>
      </c>
      <c r="D3085" s="105" t="n">
        <v>1.3333</v>
      </c>
      <c r="E3085" s="106" t="n">
        <v>239.375</v>
      </c>
      <c r="F3085" s="107" t="n">
        <f aca="false">IF($C3085="","",$D3085*$E3085)</f>
        <v>319.1586875</v>
      </c>
      <c r="G3085" s="107" t="n">
        <f aca="false">IF($C3085="","",$D3085*IFERROR(INDEX('تحليل التكلفة والسعر'!$C$2:$C$700,MATCH($C3085,'تحليل التكلفة والسعر'!$B$2:$B$700,0)),0))</f>
        <v>153.09310591</v>
      </c>
      <c r="H3085" s="104" t="s">
        <v>719</v>
      </c>
    </row>
    <row r="3086" customFormat="false" ht="15" hidden="false" customHeight="false" outlineLevel="0" collapsed="false">
      <c r="A3086" s="103" t="n">
        <v>46296</v>
      </c>
      <c r="B3086" s="104" t="s">
        <v>32</v>
      </c>
      <c r="C3086" s="104" t="s">
        <v>484</v>
      </c>
      <c r="D3086" s="105" t="n">
        <v>6.4167</v>
      </c>
      <c r="E3086" s="106" t="n">
        <v>144.7403</v>
      </c>
      <c r="F3086" s="107" t="n">
        <f aca="false">IF($C3086="","",$D3086*$E3086)</f>
        <v>928.75508301</v>
      </c>
      <c r="G3086" s="107" t="n">
        <f aca="false">IF($C3086="","",$D3086*IFERROR(INDEX('تحليل التكلفة والسعر'!$C$2:$C$700,MATCH($C3086,'تحليل التكلفة والسعر'!$B$2:$B$700,0)),0))</f>
        <v>528.72645495</v>
      </c>
      <c r="H3086" s="104" t="s">
        <v>719</v>
      </c>
    </row>
    <row r="3087" customFormat="false" ht="15" hidden="false" customHeight="false" outlineLevel="0" collapsed="false">
      <c r="A3087" s="103" t="n">
        <v>46297</v>
      </c>
      <c r="B3087" s="104" t="s">
        <v>32</v>
      </c>
      <c r="C3087" s="104" t="s">
        <v>484</v>
      </c>
      <c r="D3087" s="105" t="n">
        <v>6.4167</v>
      </c>
      <c r="E3087" s="106" t="n">
        <v>144.7403</v>
      </c>
      <c r="F3087" s="107" t="n">
        <f aca="false">IF($C3087="","",$D3087*$E3087)</f>
        <v>928.75508301</v>
      </c>
      <c r="G3087" s="107" t="n">
        <f aca="false">IF($C3087="","",$D3087*IFERROR(INDEX('تحليل التكلفة والسعر'!$C$2:$C$700,MATCH($C3087,'تحليل التكلفة والسعر'!$B$2:$B$700,0)),0))</f>
        <v>528.72645495</v>
      </c>
      <c r="H3087" s="104" t="s">
        <v>719</v>
      </c>
    </row>
    <row r="3088" customFormat="false" ht="15" hidden="false" customHeight="false" outlineLevel="0" collapsed="false">
      <c r="A3088" s="103" t="n">
        <v>46298</v>
      </c>
      <c r="B3088" s="104" t="s">
        <v>32</v>
      </c>
      <c r="C3088" s="104" t="s">
        <v>484</v>
      </c>
      <c r="D3088" s="105" t="n">
        <v>6.4167</v>
      </c>
      <c r="E3088" s="106" t="n">
        <v>144.7403</v>
      </c>
      <c r="F3088" s="107" t="n">
        <f aca="false">IF($C3088="","",$D3088*$E3088)</f>
        <v>928.75508301</v>
      </c>
      <c r="G3088" s="107" t="n">
        <f aca="false">IF($C3088="","",$D3088*IFERROR(INDEX('تحليل التكلفة والسعر'!$C$2:$C$700,MATCH($C3088,'تحليل التكلفة والسعر'!$B$2:$B$700,0)),0))</f>
        <v>528.72645495</v>
      </c>
      <c r="H3088" s="104" t="s">
        <v>719</v>
      </c>
    </row>
    <row r="3089" customFormat="false" ht="15" hidden="false" customHeight="false" outlineLevel="0" collapsed="false">
      <c r="A3089" s="103" t="n">
        <v>46299</v>
      </c>
      <c r="B3089" s="104" t="s">
        <v>32</v>
      </c>
      <c r="C3089" s="104" t="s">
        <v>484</v>
      </c>
      <c r="D3089" s="105" t="n">
        <v>6.4167</v>
      </c>
      <c r="E3089" s="106" t="n">
        <v>144.7403</v>
      </c>
      <c r="F3089" s="107" t="n">
        <f aca="false">IF($C3089="","",$D3089*$E3089)</f>
        <v>928.75508301</v>
      </c>
      <c r="G3089" s="107" t="n">
        <f aca="false">IF($C3089="","",$D3089*IFERROR(INDEX('تحليل التكلفة والسعر'!$C$2:$C$700,MATCH($C3089,'تحليل التكلفة والسعر'!$B$2:$B$700,0)),0))</f>
        <v>528.72645495</v>
      </c>
      <c r="H3089" s="104" t="s">
        <v>719</v>
      </c>
    </row>
    <row r="3090" customFormat="false" ht="15" hidden="false" customHeight="false" outlineLevel="0" collapsed="false">
      <c r="A3090" s="103" t="n">
        <v>46300</v>
      </c>
      <c r="B3090" s="104" t="s">
        <v>32</v>
      </c>
      <c r="C3090" s="104" t="s">
        <v>484</v>
      </c>
      <c r="D3090" s="105" t="n">
        <v>6.4167</v>
      </c>
      <c r="E3090" s="106" t="n">
        <v>144.7403</v>
      </c>
      <c r="F3090" s="107" t="n">
        <f aca="false">IF($C3090="","",$D3090*$E3090)</f>
        <v>928.75508301</v>
      </c>
      <c r="G3090" s="107" t="n">
        <f aca="false">IF($C3090="","",$D3090*IFERROR(INDEX('تحليل التكلفة والسعر'!$C$2:$C$700,MATCH($C3090,'تحليل التكلفة والسعر'!$B$2:$B$700,0)),0))</f>
        <v>528.72645495</v>
      </c>
      <c r="H3090" s="104" t="s">
        <v>719</v>
      </c>
    </row>
    <row r="3091" customFormat="false" ht="15" hidden="false" customHeight="false" outlineLevel="0" collapsed="false">
      <c r="A3091" s="103" t="n">
        <v>46301</v>
      </c>
      <c r="B3091" s="104" t="s">
        <v>32</v>
      </c>
      <c r="C3091" s="104" t="s">
        <v>484</v>
      </c>
      <c r="D3091" s="105" t="n">
        <v>6.4167</v>
      </c>
      <c r="E3091" s="106" t="n">
        <v>144.7403</v>
      </c>
      <c r="F3091" s="107" t="n">
        <f aca="false">IF($C3091="","",$D3091*$E3091)</f>
        <v>928.75508301</v>
      </c>
      <c r="G3091" s="107" t="n">
        <f aca="false">IF($C3091="","",$D3091*IFERROR(INDEX('تحليل التكلفة والسعر'!$C$2:$C$700,MATCH($C3091,'تحليل التكلفة والسعر'!$B$2:$B$700,0)),0))</f>
        <v>528.72645495</v>
      </c>
      <c r="H3091" s="104" t="s">
        <v>719</v>
      </c>
    </row>
    <row r="3092" customFormat="false" ht="15" hidden="false" customHeight="false" outlineLevel="0" collapsed="false">
      <c r="A3092" s="103" t="n">
        <v>46302</v>
      </c>
      <c r="B3092" s="104" t="s">
        <v>32</v>
      </c>
      <c r="C3092" s="104" t="s">
        <v>484</v>
      </c>
      <c r="D3092" s="105" t="n">
        <v>6.4167</v>
      </c>
      <c r="E3092" s="106" t="n">
        <v>144.7403</v>
      </c>
      <c r="F3092" s="107" t="n">
        <f aca="false">IF($C3092="","",$D3092*$E3092)</f>
        <v>928.75508301</v>
      </c>
      <c r="G3092" s="107" t="n">
        <f aca="false">IF($C3092="","",$D3092*IFERROR(INDEX('تحليل التكلفة والسعر'!$C$2:$C$700,MATCH($C3092,'تحليل التكلفة والسعر'!$B$2:$B$700,0)),0))</f>
        <v>528.72645495</v>
      </c>
      <c r="H3092" s="104" t="s">
        <v>719</v>
      </c>
    </row>
    <row r="3093" customFormat="false" ht="15" hidden="false" customHeight="false" outlineLevel="0" collapsed="false">
      <c r="A3093" s="103" t="n">
        <v>46303</v>
      </c>
      <c r="B3093" s="104" t="s">
        <v>32</v>
      </c>
      <c r="C3093" s="104" t="s">
        <v>484</v>
      </c>
      <c r="D3093" s="105" t="n">
        <v>6.4167</v>
      </c>
      <c r="E3093" s="106" t="n">
        <v>144.7403</v>
      </c>
      <c r="F3093" s="107" t="n">
        <f aca="false">IF($C3093="","",$D3093*$E3093)</f>
        <v>928.75508301</v>
      </c>
      <c r="G3093" s="107" t="n">
        <f aca="false">IF($C3093="","",$D3093*IFERROR(INDEX('تحليل التكلفة والسعر'!$C$2:$C$700,MATCH($C3093,'تحليل التكلفة والسعر'!$B$2:$B$700,0)),0))</f>
        <v>528.72645495</v>
      </c>
      <c r="H3093" s="104" t="s">
        <v>719</v>
      </c>
    </row>
    <row r="3094" customFormat="false" ht="15" hidden="false" customHeight="false" outlineLevel="0" collapsed="false">
      <c r="A3094" s="103" t="n">
        <v>46304</v>
      </c>
      <c r="B3094" s="104" t="s">
        <v>32</v>
      </c>
      <c r="C3094" s="104" t="s">
        <v>484</v>
      </c>
      <c r="D3094" s="105" t="n">
        <v>6.4167</v>
      </c>
      <c r="E3094" s="106" t="n">
        <v>144.7403</v>
      </c>
      <c r="F3094" s="107" t="n">
        <f aca="false">IF($C3094="","",$D3094*$E3094)</f>
        <v>928.75508301</v>
      </c>
      <c r="G3094" s="107" t="n">
        <f aca="false">IF($C3094="","",$D3094*IFERROR(INDEX('تحليل التكلفة والسعر'!$C$2:$C$700,MATCH($C3094,'تحليل التكلفة والسعر'!$B$2:$B$700,0)),0))</f>
        <v>528.72645495</v>
      </c>
      <c r="H3094" s="104" t="s">
        <v>719</v>
      </c>
    </row>
    <row r="3095" customFormat="false" ht="15" hidden="false" customHeight="false" outlineLevel="0" collapsed="false">
      <c r="A3095" s="103" t="n">
        <v>46305</v>
      </c>
      <c r="B3095" s="104" t="s">
        <v>32</v>
      </c>
      <c r="C3095" s="104" t="s">
        <v>484</v>
      </c>
      <c r="D3095" s="105" t="n">
        <v>6.4167</v>
      </c>
      <c r="E3095" s="106" t="n">
        <v>144.7403</v>
      </c>
      <c r="F3095" s="107" t="n">
        <f aca="false">IF($C3095="","",$D3095*$E3095)</f>
        <v>928.75508301</v>
      </c>
      <c r="G3095" s="107" t="n">
        <f aca="false">IF($C3095="","",$D3095*IFERROR(INDEX('تحليل التكلفة والسعر'!$C$2:$C$700,MATCH($C3095,'تحليل التكلفة والسعر'!$B$2:$B$700,0)),0))</f>
        <v>528.72645495</v>
      </c>
      <c r="H3095" s="104" t="s">
        <v>719</v>
      </c>
    </row>
    <row r="3096" customFormat="false" ht="15" hidden="false" customHeight="false" outlineLevel="0" collapsed="false">
      <c r="A3096" s="103" t="n">
        <v>46306</v>
      </c>
      <c r="B3096" s="104" t="s">
        <v>32</v>
      </c>
      <c r="C3096" s="104" t="s">
        <v>484</v>
      </c>
      <c r="D3096" s="105" t="n">
        <v>6.4167</v>
      </c>
      <c r="E3096" s="106" t="n">
        <v>144.7403</v>
      </c>
      <c r="F3096" s="107" t="n">
        <f aca="false">IF($C3096="","",$D3096*$E3096)</f>
        <v>928.75508301</v>
      </c>
      <c r="G3096" s="107" t="n">
        <f aca="false">IF($C3096="","",$D3096*IFERROR(INDEX('تحليل التكلفة والسعر'!$C$2:$C$700,MATCH($C3096,'تحليل التكلفة والسعر'!$B$2:$B$700,0)),0))</f>
        <v>528.72645495</v>
      </c>
      <c r="H3096" s="104" t="s">
        <v>719</v>
      </c>
    </row>
    <row r="3097" customFormat="false" ht="15" hidden="false" customHeight="false" outlineLevel="0" collapsed="false">
      <c r="A3097" s="103" t="n">
        <v>46307</v>
      </c>
      <c r="B3097" s="104" t="s">
        <v>32</v>
      </c>
      <c r="C3097" s="104" t="s">
        <v>484</v>
      </c>
      <c r="D3097" s="105" t="n">
        <v>6.4167</v>
      </c>
      <c r="E3097" s="106" t="n">
        <v>144.7403</v>
      </c>
      <c r="F3097" s="107" t="n">
        <f aca="false">IF($C3097="","",$D3097*$E3097)</f>
        <v>928.75508301</v>
      </c>
      <c r="G3097" s="107" t="n">
        <f aca="false">IF($C3097="","",$D3097*IFERROR(INDEX('تحليل التكلفة والسعر'!$C$2:$C$700,MATCH($C3097,'تحليل التكلفة والسعر'!$B$2:$B$700,0)),0))</f>
        <v>528.72645495</v>
      </c>
      <c r="H3097" s="104" t="s">
        <v>719</v>
      </c>
    </row>
    <row r="3098" customFormat="false" ht="15" hidden="false" customHeight="false" outlineLevel="0" collapsed="false">
      <c r="A3098" s="103" t="n">
        <v>46296</v>
      </c>
      <c r="B3098" s="104" t="s">
        <v>32</v>
      </c>
      <c r="C3098" s="104" t="s">
        <v>388</v>
      </c>
      <c r="D3098" s="105" t="n">
        <v>0.0833</v>
      </c>
      <c r="E3098" s="106" t="n">
        <v>330</v>
      </c>
      <c r="F3098" s="107" t="n">
        <f aca="false">IF($C3098="","",$D3098*$E3098)</f>
        <v>27.489</v>
      </c>
      <c r="G3098" s="107" t="n">
        <f aca="false">IF($C3098="","",$D3098*IFERROR(INDEX('تحليل التكلفة والسعر'!$C$2:$C$700,MATCH($C3098,'تحليل التكلفة والسعر'!$B$2:$B$700,0)),0))</f>
        <v>8.38153771</v>
      </c>
      <c r="H3098" s="104" t="s">
        <v>719</v>
      </c>
    </row>
    <row r="3099" customFormat="false" ht="15" hidden="false" customHeight="false" outlineLevel="0" collapsed="false">
      <c r="A3099" s="103" t="n">
        <v>46297</v>
      </c>
      <c r="B3099" s="104" t="s">
        <v>32</v>
      </c>
      <c r="C3099" s="104" t="s">
        <v>388</v>
      </c>
      <c r="D3099" s="105" t="n">
        <v>0.0833</v>
      </c>
      <c r="E3099" s="106" t="n">
        <v>330</v>
      </c>
      <c r="F3099" s="107" t="n">
        <f aca="false">IF($C3099="","",$D3099*$E3099)</f>
        <v>27.489</v>
      </c>
      <c r="G3099" s="107" t="n">
        <f aca="false">IF($C3099="","",$D3099*IFERROR(INDEX('تحليل التكلفة والسعر'!$C$2:$C$700,MATCH($C3099,'تحليل التكلفة والسعر'!$B$2:$B$700,0)),0))</f>
        <v>8.38153771</v>
      </c>
      <c r="H3099" s="104" t="s">
        <v>719</v>
      </c>
    </row>
    <row r="3100" customFormat="false" ht="15" hidden="false" customHeight="false" outlineLevel="0" collapsed="false">
      <c r="A3100" s="103" t="n">
        <v>46298</v>
      </c>
      <c r="B3100" s="104" t="s">
        <v>32</v>
      </c>
      <c r="C3100" s="104" t="s">
        <v>388</v>
      </c>
      <c r="D3100" s="105" t="n">
        <v>0.0833</v>
      </c>
      <c r="E3100" s="106" t="n">
        <v>330</v>
      </c>
      <c r="F3100" s="107" t="n">
        <f aca="false">IF($C3100="","",$D3100*$E3100)</f>
        <v>27.489</v>
      </c>
      <c r="G3100" s="107" t="n">
        <f aca="false">IF($C3100="","",$D3100*IFERROR(INDEX('تحليل التكلفة والسعر'!$C$2:$C$700,MATCH($C3100,'تحليل التكلفة والسعر'!$B$2:$B$700,0)),0))</f>
        <v>8.38153771</v>
      </c>
      <c r="H3100" s="104" t="s">
        <v>719</v>
      </c>
    </row>
    <row r="3101" customFormat="false" ht="15" hidden="false" customHeight="false" outlineLevel="0" collapsed="false">
      <c r="A3101" s="103" t="n">
        <v>46299</v>
      </c>
      <c r="B3101" s="104" t="s">
        <v>32</v>
      </c>
      <c r="C3101" s="104" t="s">
        <v>388</v>
      </c>
      <c r="D3101" s="105" t="n">
        <v>0.0833</v>
      </c>
      <c r="E3101" s="106" t="n">
        <v>330</v>
      </c>
      <c r="F3101" s="107" t="n">
        <f aca="false">IF($C3101="","",$D3101*$E3101)</f>
        <v>27.489</v>
      </c>
      <c r="G3101" s="107" t="n">
        <f aca="false">IF($C3101="","",$D3101*IFERROR(INDEX('تحليل التكلفة والسعر'!$C$2:$C$700,MATCH($C3101,'تحليل التكلفة والسعر'!$B$2:$B$700,0)),0))</f>
        <v>8.38153771</v>
      </c>
      <c r="H3101" s="104" t="s">
        <v>719</v>
      </c>
    </row>
    <row r="3102" customFormat="false" ht="15" hidden="false" customHeight="false" outlineLevel="0" collapsed="false">
      <c r="A3102" s="103" t="n">
        <v>46300</v>
      </c>
      <c r="B3102" s="104" t="s">
        <v>32</v>
      </c>
      <c r="C3102" s="104" t="s">
        <v>388</v>
      </c>
      <c r="D3102" s="105" t="n">
        <v>0.0833</v>
      </c>
      <c r="E3102" s="106" t="n">
        <v>330</v>
      </c>
      <c r="F3102" s="107" t="n">
        <f aca="false">IF($C3102="","",$D3102*$E3102)</f>
        <v>27.489</v>
      </c>
      <c r="G3102" s="107" t="n">
        <f aca="false">IF($C3102="","",$D3102*IFERROR(INDEX('تحليل التكلفة والسعر'!$C$2:$C$700,MATCH($C3102,'تحليل التكلفة والسعر'!$B$2:$B$700,0)),0))</f>
        <v>8.38153771</v>
      </c>
      <c r="H3102" s="104" t="s">
        <v>719</v>
      </c>
    </row>
    <row r="3103" customFormat="false" ht="15" hidden="false" customHeight="false" outlineLevel="0" collapsed="false">
      <c r="A3103" s="103" t="n">
        <v>46301</v>
      </c>
      <c r="B3103" s="104" t="s">
        <v>32</v>
      </c>
      <c r="C3103" s="104" t="s">
        <v>388</v>
      </c>
      <c r="D3103" s="105" t="n">
        <v>0.0833</v>
      </c>
      <c r="E3103" s="106" t="n">
        <v>330</v>
      </c>
      <c r="F3103" s="107" t="n">
        <f aca="false">IF($C3103="","",$D3103*$E3103)</f>
        <v>27.489</v>
      </c>
      <c r="G3103" s="107" t="n">
        <f aca="false">IF($C3103="","",$D3103*IFERROR(INDEX('تحليل التكلفة والسعر'!$C$2:$C$700,MATCH($C3103,'تحليل التكلفة والسعر'!$B$2:$B$700,0)),0))</f>
        <v>8.38153771</v>
      </c>
      <c r="H3103" s="104" t="s">
        <v>719</v>
      </c>
    </row>
    <row r="3104" customFormat="false" ht="15" hidden="false" customHeight="false" outlineLevel="0" collapsed="false">
      <c r="A3104" s="103" t="n">
        <v>46302</v>
      </c>
      <c r="B3104" s="104" t="s">
        <v>32</v>
      </c>
      <c r="C3104" s="104" t="s">
        <v>388</v>
      </c>
      <c r="D3104" s="105" t="n">
        <v>0.0833</v>
      </c>
      <c r="E3104" s="106" t="n">
        <v>330</v>
      </c>
      <c r="F3104" s="107" t="n">
        <f aca="false">IF($C3104="","",$D3104*$E3104)</f>
        <v>27.489</v>
      </c>
      <c r="G3104" s="107" t="n">
        <f aca="false">IF($C3104="","",$D3104*IFERROR(INDEX('تحليل التكلفة والسعر'!$C$2:$C$700,MATCH($C3104,'تحليل التكلفة والسعر'!$B$2:$B$700,0)),0))</f>
        <v>8.38153771</v>
      </c>
      <c r="H3104" s="104" t="s">
        <v>719</v>
      </c>
    </row>
    <row r="3105" customFormat="false" ht="15" hidden="false" customHeight="false" outlineLevel="0" collapsed="false">
      <c r="A3105" s="103" t="n">
        <v>46303</v>
      </c>
      <c r="B3105" s="104" t="s">
        <v>32</v>
      </c>
      <c r="C3105" s="104" t="s">
        <v>388</v>
      </c>
      <c r="D3105" s="105" t="n">
        <v>0.0833</v>
      </c>
      <c r="E3105" s="106" t="n">
        <v>330</v>
      </c>
      <c r="F3105" s="107" t="n">
        <f aca="false">IF($C3105="","",$D3105*$E3105)</f>
        <v>27.489</v>
      </c>
      <c r="G3105" s="107" t="n">
        <f aca="false">IF($C3105="","",$D3105*IFERROR(INDEX('تحليل التكلفة والسعر'!$C$2:$C$700,MATCH($C3105,'تحليل التكلفة والسعر'!$B$2:$B$700,0)),0))</f>
        <v>8.38153771</v>
      </c>
      <c r="H3105" s="104" t="s">
        <v>719</v>
      </c>
    </row>
    <row r="3106" customFormat="false" ht="15" hidden="false" customHeight="false" outlineLevel="0" collapsed="false">
      <c r="A3106" s="103" t="n">
        <v>46304</v>
      </c>
      <c r="B3106" s="104" t="s">
        <v>32</v>
      </c>
      <c r="C3106" s="104" t="s">
        <v>388</v>
      </c>
      <c r="D3106" s="105" t="n">
        <v>0.0833</v>
      </c>
      <c r="E3106" s="106" t="n">
        <v>330</v>
      </c>
      <c r="F3106" s="107" t="n">
        <f aca="false">IF($C3106="","",$D3106*$E3106)</f>
        <v>27.489</v>
      </c>
      <c r="G3106" s="107" t="n">
        <f aca="false">IF($C3106="","",$D3106*IFERROR(INDEX('تحليل التكلفة والسعر'!$C$2:$C$700,MATCH($C3106,'تحليل التكلفة والسعر'!$B$2:$B$700,0)),0))</f>
        <v>8.38153771</v>
      </c>
      <c r="H3106" s="104" t="s">
        <v>719</v>
      </c>
    </row>
    <row r="3107" customFormat="false" ht="15" hidden="false" customHeight="false" outlineLevel="0" collapsed="false">
      <c r="A3107" s="103" t="n">
        <v>46305</v>
      </c>
      <c r="B3107" s="104" t="s">
        <v>32</v>
      </c>
      <c r="C3107" s="104" t="s">
        <v>388</v>
      </c>
      <c r="D3107" s="105" t="n">
        <v>0.0833</v>
      </c>
      <c r="E3107" s="106" t="n">
        <v>330</v>
      </c>
      <c r="F3107" s="107" t="n">
        <f aca="false">IF($C3107="","",$D3107*$E3107)</f>
        <v>27.489</v>
      </c>
      <c r="G3107" s="107" t="n">
        <f aca="false">IF($C3107="","",$D3107*IFERROR(INDEX('تحليل التكلفة والسعر'!$C$2:$C$700,MATCH($C3107,'تحليل التكلفة والسعر'!$B$2:$B$700,0)),0))</f>
        <v>8.38153771</v>
      </c>
      <c r="H3107" s="104" t="s">
        <v>719</v>
      </c>
    </row>
    <row r="3108" customFormat="false" ht="15" hidden="false" customHeight="false" outlineLevel="0" collapsed="false">
      <c r="A3108" s="103" t="n">
        <v>46306</v>
      </c>
      <c r="B3108" s="104" t="s">
        <v>32</v>
      </c>
      <c r="C3108" s="104" t="s">
        <v>388</v>
      </c>
      <c r="D3108" s="105" t="n">
        <v>0.0833</v>
      </c>
      <c r="E3108" s="106" t="n">
        <v>330</v>
      </c>
      <c r="F3108" s="107" t="n">
        <f aca="false">IF($C3108="","",$D3108*$E3108)</f>
        <v>27.489</v>
      </c>
      <c r="G3108" s="107" t="n">
        <f aca="false">IF($C3108="","",$D3108*IFERROR(INDEX('تحليل التكلفة والسعر'!$C$2:$C$700,MATCH($C3108,'تحليل التكلفة والسعر'!$B$2:$B$700,0)),0))</f>
        <v>8.38153771</v>
      </c>
      <c r="H3108" s="104" t="s">
        <v>719</v>
      </c>
    </row>
    <row r="3109" customFormat="false" ht="15" hidden="false" customHeight="false" outlineLevel="0" collapsed="false">
      <c r="A3109" s="103" t="n">
        <v>46307</v>
      </c>
      <c r="B3109" s="104" t="s">
        <v>32</v>
      </c>
      <c r="C3109" s="104" t="s">
        <v>388</v>
      </c>
      <c r="D3109" s="105" t="n">
        <v>0.0833</v>
      </c>
      <c r="E3109" s="106" t="n">
        <v>330</v>
      </c>
      <c r="F3109" s="107" t="n">
        <f aca="false">IF($C3109="","",$D3109*$E3109)</f>
        <v>27.489</v>
      </c>
      <c r="G3109" s="107" t="n">
        <f aca="false">IF($C3109="","",$D3109*IFERROR(INDEX('تحليل التكلفة والسعر'!$C$2:$C$700,MATCH($C3109,'تحليل التكلفة والسعر'!$B$2:$B$700,0)),0))</f>
        <v>8.38153771</v>
      </c>
      <c r="H3109" s="104" t="s">
        <v>719</v>
      </c>
    </row>
    <row r="3110" customFormat="false" ht="15" hidden="false" customHeight="false" outlineLevel="0" collapsed="false">
      <c r="A3110" s="103" t="n">
        <v>46296</v>
      </c>
      <c r="B3110" s="104" t="s">
        <v>32</v>
      </c>
      <c r="C3110" s="104" t="s">
        <v>464</v>
      </c>
      <c r="D3110" s="105" t="n">
        <v>0.5833</v>
      </c>
      <c r="E3110" s="106" t="n">
        <v>161.4286</v>
      </c>
      <c r="F3110" s="107" t="n">
        <f aca="false">IF($C3110="","",$D3110*$E3110)</f>
        <v>94.16130238</v>
      </c>
      <c r="G3110" s="107" t="n">
        <f aca="false">IF($C3110="","",$D3110*IFERROR(INDEX('تحليل التكلفة والسعر'!$C$2:$C$700,MATCH($C3110,'تحليل التكلفة والسعر'!$B$2:$B$700,0)),0))</f>
        <v>48.99381686</v>
      </c>
      <c r="H3110" s="104" t="s">
        <v>719</v>
      </c>
    </row>
    <row r="3111" customFormat="false" ht="15" hidden="false" customHeight="false" outlineLevel="0" collapsed="false">
      <c r="A3111" s="103" t="n">
        <v>46297</v>
      </c>
      <c r="B3111" s="104" t="s">
        <v>32</v>
      </c>
      <c r="C3111" s="104" t="s">
        <v>464</v>
      </c>
      <c r="D3111" s="105" t="n">
        <v>0.5833</v>
      </c>
      <c r="E3111" s="106" t="n">
        <v>161.4286</v>
      </c>
      <c r="F3111" s="107" t="n">
        <f aca="false">IF($C3111="","",$D3111*$E3111)</f>
        <v>94.16130238</v>
      </c>
      <c r="G3111" s="107" t="n">
        <f aca="false">IF($C3111="","",$D3111*IFERROR(INDEX('تحليل التكلفة والسعر'!$C$2:$C$700,MATCH($C3111,'تحليل التكلفة والسعر'!$B$2:$B$700,0)),0))</f>
        <v>48.99381686</v>
      </c>
      <c r="H3111" s="104" t="s">
        <v>719</v>
      </c>
    </row>
    <row r="3112" customFormat="false" ht="15" hidden="false" customHeight="false" outlineLevel="0" collapsed="false">
      <c r="A3112" s="103" t="n">
        <v>46298</v>
      </c>
      <c r="B3112" s="104" t="s">
        <v>32</v>
      </c>
      <c r="C3112" s="104" t="s">
        <v>464</v>
      </c>
      <c r="D3112" s="105" t="n">
        <v>0.5833</v>
      </c>
      <c r="E3112" s="106" t="n">
        <v>161.4286</v>
      </c>
      <c r="F3112" s="107" t="n">
        <f aca="false">IF($C3112="","",$D3112*$E3112)</f>
        <v>94.16130238</v>
      </c>
      <c r="G3112" s="107" t="n">
        <f aca="false">IF($C3112="","",$D3112*IFERROR(INDEX('تحليل التكلفة والسعر'!$C$2:$C$700,MATCH($C3112,'تحليل التكلفة والسعر'!$B$2:$B$700,0)),0))</f>
        <v>48.99381686</v>
      </c>
      <c r="H3112" s="104" t="s">
        <v>719</v>
      </c>
    </row>
    <row r="3113" customFormat="false" ht="15" hidden="false" customHeight="false" outlineLevel="0" collapsed="false">
      <c r="A3113" s="103" t="n">
        <v>46299</v>
      </c>
      <c r="B3113" s="104" t="s">
        <v>32</v>
      </c>
      <c r="C3113" s="104" t="s">
        <v>464</v>
      </c>
      <c r="D3113" s="105" t="n">
        <v>0.5833</v>
      </c>
      <c r="E3113" s="106" t="n">
        <v>161.4286</v>
      </c>
      <c r="F3113" s="107" t="n">
        <f aca="false">IF($C3113="","",$D3113*$E3113)</f>
        <v>94.16130238</v>
      </c>
      <c r="G3113" s="107" t="n">
        <f aca="false">IF($C3113="","",$D3113*IFERROR(INDEX('تحليل التكلفة والسعر'!$C$2:$C$700,MATCH($C3113,'تحليل التكلفة والسعر'!$B$2:$B$700,0)),0))</f>
        <v>48.99381686</v>
      </c>
      <c r="H3113" s="104" t="s">
        <v>719</v>
      </c>
    </row>
    <row r="3114" customFormat="false" ht="15" hidden="false" customHeight="false" outlineLevel="0" collapsed="false">
      <c r="A3114" s="103" t="n">
        <v>46300</v>
      </c>
      <c r="B3114" s="104" t="s">
        <v>32</v>
      </c>
      <c r="C3114" s="104" t="s">
        <v>464</v>
      </c>
      <c r="D3114" s="105" t="n">
        <v>0.5833</v>
      </c>
      <c r="E3114" s="106" t="n">
        <v>161.4286</v>
      </c>
      <c r="F3114" s="107" t="n">
        <f aca="false">IF($C3114="","",$D3114*$E3114)</f>
        <v>94.16130238</v>
      </c>
      <c r="G3114" s="107" t="n">
        <f aca="false">IF($C3114="","",$D3114*IFERROR(INDEX('تحليل التكلفة والسعر'!$C$2:$C$700,MATCH($C3114,'تحليل التكلفة والسعر'!$B$2:$B$700,0)),0))</f>
        <v>48.99381686</v>
      </c>
      <c r="H3114" s="104" t="s">
        <v>719</v>
      </c>
    </row>
    <row r="3115" customFormat="false" ht="15" hidden="false" customHeight="false" outlineLevel="0" collapsed="false">
      <c r="A3115" s="103" t="n">
        <v>46301</v>
      </c>
      <c r="B3115" s="104" t="s">
        <v>32</v>
      </c>
      <c r="C3115" s="104" t="s">
        <v>464</v>
      </c>
      <c r="D3115" s="105" t="n">
        <v>0.5833</v>
      </c>
      <c r="E3115" s="106" t="n">
        <v>161.4286</v>
      </c>
      <c r="F3115" s="107" t="n">
        <f aca="false">IF($C3115="","",$D3115*$E3115)</f>
        <v>94.16130238</v>
      </c>
      <c r="G3115" s="107" t="n">
        <f aca="false">IF($C3115="","",$D3115*IFERROR(INDEX('تحليل التكلفة والسعر'!$C$2:$C$700,MATCH($C3115,'تحليل التكلفة والسعر'!$B$2:$B$700,0)),0))</f>
        <v>48.99381686</v>
      </c>
      <c r="H3115" s="104" t="s">
        <v>719</v>
      </c>
    </row>
    <row r="3116" customFormat="false" ht="15" hidden="false" customHeight="false" outlineLevel="0" collapsed="false">
      <c r="A3116" s="103" t="n">
        <v>46302</v>
      </c>
      <c r="B3116" s="104" t="s">
        <v>32</v>
      </c>
      <c r="C3116" s="104" t="s">
        <v>464</v>
      </c>
      <c r="D3116" s="105" t="n">
        <v>0.5833</v>
      </c>
      <c r="E3116" s="106" t="n">
        <v>161.4286</v>
      </c>
      <c r="F3116" s="107" t="n">
        <f aca="false">IF($C3116="","",$D3116*$E3116)</f>
        <v>94.16130238</v>
      </c>
      <c r="G3116" s="107" t="n">
        <f aca="false">IF($C3116="","",$D3116*IFERROR(INDEX('تحليل التكلفة والسعر'!$C$2:$C$700,MATCH($C3116,'تحليل التكلفة والسعر'!$B$2:$B$700,0)),0))</f>
        <v>48.99381686</v>
      </c>
      <c r="H3116" s="104" t="s">
        <v>719</v>
      </c>
    </row>
    <row r="3117" customFormat="false" ht="15" hidden="false" customHeight="false" outlineLevel="0" collapsed="false">
      <c r="A3117" s="103" t="n">
        <v>46303</v>
      </c>
      <c r="B3117" s="104" t="s">
        <v>32</v>
      </c>
      <c r="C3117" s="104" t="s">
        <v>464</v>
      </c>
      <c r="D3117" s="105" t="n">
        <v>0.5833</v>
      </c>
      <c r="E3117" s="106" t="n">
        <v>161.4286</v>
      </c>
      <c r="F3117" s="107" t="n">
        <f aca="false">IF($C3117="","",$D3117*$E3117)</f>
        <v>94.16130238</v>
      </c>
      <c r="G3117" s="107" t="n">
        <f aca="false">IF($C3117="","",$D3117*IFERROR(INDEX('تحليل التكلفة والسعر'!$C$2:$C$700,MATCH($C3117,'تحليل التكلفة والسعر'!$B$2:$B$700,0)),0))</f>
        <v>48.99381686</v>
      </c>
      <c r="H3117" s="104" t="s">
        <v>719</v>
      </c>
    </row>
    <row r="3118" customFormat="false" ht="15" hidden="false" customHeight="false" outlineLevel="0" collapsed="false">
      <c r="A3118" s="103" t="n">
        <v>46304</v>
      </c>
      <c r="B3118" s="104" t="s">
        <v>32</v>
      </c>
      <c r="C3118" s="104" t="s">
        <v>464</v>
      </c>
      <c r="D3118" s="105" t="n">
        <v>0.5833</v>
      </c>
      <c r="E3118" s="106" t="n">
        <v>161.4286</v>
      </c>
      <c r="F3118" s="107" t="n">
        <f aca="false">IF($C3118="","",$D3118*$E3118)</f>
        <v>94.16130238</v>
      </c>
      <c r="G3118" s="107" t="n">
        <f aca="false">IF($C3118="","",$D3118*IFERROR(INDEX('تحليل التكلفة والسعر'!$C$2:$C$700,MATCH($C3118,'تحليل التكلفة والسعر'!$B$2:$B$700,0)),0))</f>
        <v>48.99381686</v>
      </c>
      <c r="H3118" s="104" t="s">
        <v>719</v>
      </c>
    </row>
    <row r="3119" customFormat="false" ht="15" hidden="false" customHeight="false" outlineLevel="0" collapsed="false">
      <c r="A3119" s="103" t="n">
        <v>46305</v>
      </c>
      <c r="B3119" s="104" t="s">
        <v>32</v>
      </c>
      <c r="C3119" s="104" t="s">
        <v>464</v>
      </c>
      <c r="D3119" s="105" t="n">
        <v>0.5833</v>
      </c>
      <c r="E3119" s="106" t="n">
        <v>161.4286</v>
      </c>
      <c r="F3119" s="107" t="n">
        <f aca="false">IF($C3119="","",$D3119*$E3119)</f>
        <v>94.16130238</v>
      </c>
      <c r="G3119" s="107" t="n">
        <f aca="false">IF($C3119="","",$D3119*IFERROR(INDEX('تحليل التكلفة والسعر'!$C$2:$C$700,MATCH($C3119,'تحليل التكلفة والسعر'!$B$2:$B$700,0)),0))</f>
        <v>48.99381686</v>
      </c>
      <c r="H3119" s="104" t="s">
        <v>719</v>
      </c>
    </row>
    <row r="3120" customFormat="false" ht="15" hidden="false" customHeight="false" outlineLevel="0" collapsed="false">
      <c r="A3120" s="103" t="n">
        <v>46306</v>
      </c>
      <c r="B3120" s="104" t="s">
        <v>32</v>
      </c>
      <c r="C3120" s="104" t="s">
        <v>464</v>
      </c>
      <c r="D3120" s="105" t="n">
        <v>0.5833</v>
      </c>
      <c r="E3120" s="106" t="n">
        <v>161.4286</v>
      </c>
      <c r="F3120" s="107" t="n">
        <f aca="false">IF($C3120="","",$D3120*$E3120)</f>
        <v>94.16130238</v>
      </c>
      <c r="G3120" s="107" t="n">
        <f aca="false">IF($C3120="","",$D3120*IFERROR(INDEX('تحليل التكلفة والسعر'!$C$2:$C$700,MATCH($C3120,'تحليل التكلفة والسعر'!$B$2:$B$700,0)),0))</f>
        <v>48.99381686</v>
      </c>
      <c r="H3120" s="104" t="s">
        <v>719</v>
      </c>
    </row>
    <row r="3121" customFormat="false" ht="15" hidden="false" customHeight="false" outlineLevel="0" collapsed="false">
      <c r="A3121" s="103" t="n">
        <v>46307</v>
      </c>
      <c r="B3121" s="104" t="s">
        <v>32</v>
      </c>
      <c r="C3121" s="104" t="s">
        <v>464</v>
      </c>
      <c r="D3121" s="105" t="n">
        <v>0.5833</v>
      </c>
      <c r="E3121" s="106" t="n">
        <v>161.4286</v>
      </c>
      <c r="F3121" s="107" t="n">
        <f aca="false">IF($C3121="","",$D3121*$E3121)</f>
        <v>94.16130238</v>
      </c>
      <c r="G3121" s="107" t="n">
        <f aca="false">IF($C3121="","",$D3121*IFERROR(INDEX('تحليل التكلفة والسعر'!$C$2:$C$700,MATCH($C3121,'تحليل التكلفة والسعر'!$B$2:$B$700,0)),0))</f>
        <v>48.99381686</v>
      </c>
      <c r="H3121" s="104" t="s">
        <v>719</v>
      </c>
    </row>
    <row r="3122" customFormat="false" ht="15" hidden="false" customHeight="false" outlineLevel="0" collapsed="false">
      <c r="A3122" s="103" t="n">
        <v>46296</v>
      </c>
      <c r="B3122" s="104" t="s">
        <v>32</v>
      </c>
      <c r="C3122" s="104" t="s">
        <v>394</v>
      </c>
      <c r="D3122" s="105" t="n">
        <v>0.0833</v>
      </c>
      <c r="E3122" s="106" t="n">
        <v>230</v>
      </c>
      <c r="F3122" s="107" t="n">
        <f aca="false">IF($C3122="","",$D3122*$E3122)</f>
        <v>19.159</v>
      </c>
      <c r="G3122" s="107" t="n">
        <f aca="false">IF($C3122="","",$D3122*IFERROR(INDEX('تحليل التكلفة والسعر'!$C$2:$C$700,MATCH($C3122,'تحليل التكلفة والسعر'!$B$2:$B$700,0)),0))</f>
        <v>8.81886271</v>
      </c>
      <c r="H3122" s="104" t="s">
        <v>719</v>
      </c>
    </row>
    <row r="3123" customFormat="false" ht="15" hidden="false" customHeight="false" outlineLevel="0" collapsed="false">
      <c r="A3123" s="103" t="n">
        <v>46297</v>
      </c>
      <c r="B3123" s="104" t="s">
        <v>32</v>
      </c>
      <c r="C3123" s="104" t="s">
        <v>394</v>
      </c>
      <c r="D3123" s="105" t="n">
        <v>0.0833</v>
      </c>
      <c r="E3123" s="106" t="n">
        <v>230</v>
      </c>
      <c r="F3123" s="107" t="n">
        <f aca="false">IF($C3123="","",$D3123*$E3123)</f>
        <v>19.159</v>
      </c>
      <c r="G3123" s="107" t="n">
        <f aca="false">IF($C3123="","",$D3123*IFERROR(INDEX('تحليل التكلفة والسعر'!$C$2:$C$700,MATCH($C3123,'تحليل التكلفة والسعر'!$B$2:$B$700,0)),0))</f>
        <v>8.81886271</v>
      </c>
      <c r="H3123" s="104" t="s">
        <v>719</v>
      </c>
    </row>
    <row r="3124" customFormat="false" ht="15" hidden="false" customHeight="false" outlineLevel="0" collapsed="false">
      <c r="A3124" s="103" t="n">
        <v>46298</v>
      </c>
      <c r="B3124" s="104" t="s">
        <v>32</v>
      </c>
      <c r="C3124" s="104" t="s">
        <v>394</v>
      </c>
      <c r="D3124" s="105" t="n">
        <v>0.0833</v>
      </c>
      <c r="E3124" s="106" t="n">
        <v>230</v>
      </c>
      <c r="F3124" s="107" t="n">
        <f aca="false">IF($C3124="","",$D3124*$E3124)</f>
        <v>19.159</v>
      </c>
      <c r="G3124" s="107" t="n">
        <f aca="false">IF($C3124="","",$D3124*IFERROR(INDEX('تحليل التكلفة والسعر'!$C$2:$C$700,MATCH($C3124,'تحليل التكلفة والسعر'!$B$2:$B$700,0)),0))</f>
        <v>8.81886271</v>
      </c>
      <c r="H3124" s="104" t="s">
        <v>719</v>
      </c>
    </row>
    <row r="3125" customFormat="false" ht="15" hidden="false" customHeight="false" outlineLevel="0" collapsed="false">
      <c r="A3125" s="103" t="n">
        <v>46299</v>
      </c>
      <c r="B3125" s="104" t="s">
        <v>32</v>
      </c>
      <c r="C3125" s="104" t="s">
        <v>394</v>
      </c>
      <c r="D3125" s="105" t="n">
        <v>0.0833</v>
      </c>
      <c r="E3125" s="106" t="n">
        <v>230</v>
      </c>
      <c r="F3125" s="107" t="n">
        <f aca="false">IF($C3125="","",$D3125*$E3125)</f>
        <v>19.159</v>
      </c>
      <c r="G3125" s="107" t="n">
        <f aca="false">IF($C3125="","",$D3125*IFERROR(INDEX('تحليل التكلفة والسعر'!$C$2:$C$700,MATCH($C3125,'تحليل التكلفة والسعر'!$B$2:$B$700,0)),0))</f>
        <v>8.81886271</v>
      </c>
      <c r="H3125" s="104" t="s">
        <v>719</v>
      </c>
    </row>
    <row r="3126" customFormat="false" ht="15" hidden="false" customHeight="false" outlineLevel="0" collapsed="false">
      <c r="A3126" s="103" t="n">
        <v>46300</v>
      </c>
      <c r="B3126" s="104" t="s">
        <v>32</v>
      </c>
      <c r="C3126" s="104" t="s">
        <v>394</v>
      </c>
      <c r="D3126" s="105" t="n">
        <v>0.0833</v>
      </c>
      <c r="E3126" s="106" t="n">
        <v>230</v>
      </c>
      <c r="F3126" s="107" t="n">
        <f aca="false">IF($C3126="","",$D3126*$E3126)</f>
        <v>19.159</v>
      </c>
      <c r="G3126" s="107" t="n">
        <f aca="false">IF($C3126="","",$D3126*IFERROR(INDEX('تحليل التكلفة والسعر'!$C$2:$C$700,MATCH($C3126,'تحليل التكلفة والسعر'!$B$2:$B$700,0)),0))</f>
        <v>8.81886271</v>
      </c>
      <c r="H3126" s="104" t="s">
        <v>719</v>
      </c>
    </row>
    <row r="3127" customFormat="false" ht="15" hidden="false" customHeight="false" outlineLevel="0" collapsed="false">
      <c r="A3127" s="103" t="n">
        <v>46301</v>
      </c>
      <c r="B3127" s="104" t="s">
        <v>32</v>
      </c>
      <c r="C3127" s="104" t="s">
        <v>394</v>
      </c>
      <c r="D3127" s="105" t="n">
        <v>0.0833</v>
      </c>
      <c r="E3127" s="106" t="n">
        <v>230</v>
      </c>
      <c r="F3127" s="107" t="n">
        <f aca="false">IF($C3127="","",$D3127*$E3127)</f>
        <v>19.159</v>
      </c>
      <c r="G3127" s="107" t="n">
        <f aca="false">IF($C3127="","",$D3127*IFERROR(INDEX('تحليل التكلفة والسعر'!$C$2:$C$700,MATCH($C3127,'تحليل التكلفة والسعر'!$B$2:$B$700,0)),0))</f>
        <v>8.81886271</v>
      </c>
      <c r="H3127" s="104" t="s">
        <v>719</v>
      </c>
    </row>
    <row r="3128" customFormat="false" ht="15" hidden="false" customHeight="false" outlineLevel="0" collapsed="false">
      <c r="A3128" s="103" t="n">
        <v>46302</v>
      </c>
      <c r="B3128" s="104" t="s">
        <v>32</v>
      </c>
      <c r="C3128" s="104" t="s">
        <v>394</v>
      </c>
      <c r="D3128" s="105" t="n">
        <v>0.0833</v>
      </c>
      <c r="E3128" s="106" t="n">
        <v>230</v>
      </c>
      <c r="F3128" s="107" t="n">
        <f aca="false">IF($C3128="","",$D3128*$E3128)</f>
        <v>19.159</v>
      </c>
      <c r="G3128" s="107" t="n">
        <f aca="false">IF($C3128="","",$D3128*IFERROR(INDEX('تحليل التكلفة والسعر'!$C$2:$C$700,MATCH($C3128,'تحليل التكلفة والسعر'!$B$2:$B$700,0)),0))</f>
        <v>8.81886271</v>
      </c>
      <c r="H3128" s="104" t="s">
        <v>719</v>
      </c>
    </row>
    <row r="3129" customFormat="false" ht="15" hidden="false" customHeight="false" outlineLevel="0" collapsed="false">
      <c r="A3129" s="103" t="n">
        <v>46303</v>
      </c>
      <c r="B3129" s="104" t="s">
        <v>32</v>
      </c>
      <c r="C3129" s="104" t="s">
        <v>394</v>
      </c>
      <c r="D3129" s="105" t="n">
        <v>0.0833</v>
      </c>
      <c r="E3129" s="106" t="n">
        <v>230</v>
      </c>
      <c r="F3129" s="107" t="n">
        <f aca="false">IF($C3129="","",$D3129*$E3129)</f>
        <v>19.159</v>
      </c>
      <c r="G3129" s="107" t="n">
        <f aca="false">IF($C3129="","",$D3129*IFERROR(INDEX('تحليل التكلفة والسعر'!$C$2:$C$700,MATCH($C3129,'تحليل التكلفة والسعر'!$B$2:$B$700,0)),0))</f>
        <v>8.81886271</v>
      </c>
      <c r="H3129" s="104" t="s">
        <v>719</v>
      </c>
    </row>
    <row r="3130" customFormat="false" ht="15" hidden="false" customHeight="false" outlineLevel="0" collapsed="false">
      <c r="A3130" s="103" t="n">
        <v>46304</v>
      </c>
      <c r="B3130" s="104" t="s">
        <v>32</v>
      </c>
      <c r="C3130" s="104" t="s">
        <v>394</v>
      </c>
      <c r="D3130" s="105" t="n">
        <v>0.0833</v>
      </c>
      <c r="E3130" s="106" t="n">
        <v>230</v>
      </c>
      <c r="F3130" s="107" t="n">
        <f aca="false">IF($C3130="","",$D3130*$E3130)</f>
        <v>19.159</v>
      </c>
      <c r="G3130" s="107" t="n">
        <f aca="false">IF($C3130="","",$D3130*IFERROR(INDEX('تحليل التكلفة والسعر'!$C$2:$C$700,MATCH($C3130,'تحليل التكلفة والسعر'!$B$2:$B$700,0)),0))</f>
        <v>8.81886271</v>
      </c>
      <c r="H3130" s="104" t="s">
        <v>719</v>
      </c>
    </row>
    <row r="3131" customFormat="false" ht="15" hidden="false" customHeight="false" outlineLevel="0" collapsed="false">
      <c r="A3131" s="103" t="n">
        <v>46305</v>
      </c>
      <c r="B3131" s="104" t="s">
        <v>32</v>
      </c>
      <c r="C3131" s="104" t="s">
        <v>394</v>
      </c>
      <c r="D3131" s="105" t="n">
        <v>0.0833</v>
      </c>
      <c r="E3131" s="106" t="n">
        <v>230</v>
      </c>
      <c r="F3131" s="107" t="n">
        <f aca="false">IF($C3131="","",$D3131*$E3131)</f>
        <v>19.159</v>
      </c>
      <c r="G3131" s="107" t="n">
        <f aca="false">IF($C3131="","",$D3131*IFERROR(INDEX('تحليل التكلفة والسعر'!$C$2:$C$700,MATCH($C3131,'تحليل التكلفة والسعر'!$B$2:$B$700,0)),0))</f>
        <v>8.81886271</v>
      </c>
      <c r="H3131" s="104" t="s">
        <v>719</v>
      </c>
    </row>
    <row r="3132" customFormat="false" ht="15" hidden="false" customHeight="false" outlineLevel="0" collapsed="false">
      <c r="A3132" s="103" t="n">
        <v>46306</v>
      </c>
      <c r="B3132" s="104" t="s">
        <v>32</v>
      </c>
      <c r="C3132" s="104" t="s">
        <v>394</v>
      </c>
      <c r="D3132" s="105" t="n">
        <v>0.0833</v>
      </c>
      <c r="E3132" s="106" t="n">
        <v>230</v>
      </c>
      <c r="F3132" s="107" t="n">
        <f aca="false">IF($C3132="","",$D3132*$E3132)</f>
        <v>19.159</v>
      </c>
      <c r="G3132" s="107" t="n">
        <f aca="false">IF($C3132="","",$D3132*IFERROR(INDEX('تحليل التكلفة والسعر'!$C$2:$C$700,MATCH($C3132,'تحليل التكلفة والسعر'!$B$2:$B$700,0)),0))</f>
        <v>8.81886271</v>
      </c>
      <c r="H3132" s="104" t="s">
        <v>719</v>
      </c>
    </row>
    <row r="3133" customFormat="false" ht="15" hidden="false" customHeight="false" outlineLevel="0" collapsed="false">
      <c r="A3133" s="103" t="n">
        <v>46307</v>
      </c>
      <c r="B3133" s="104" t="s">
        <v>32</v>
      </c>
      <c r="C3133" s="104" t="s">
        <v>394</v>
      </c>
      <c r="D3133" s="105" t="n">
        <v>0.0833</v>
      </c>
      <c r="E3133" s="106" t="n">
        <v>230</v>
      </c>
      <c r="F3133" s="107" t="n">
        <f aca="false">IF($C3133="","",$D3133*$E3133)</f>
        <v>19.159</v>
      </c>
      <c r="G3133" s="107" t="n">
        <f aca="false">IF($C3133="","",$D3133*IFERROR(INDEX('تحليل التكلفة والسعر'!$C$2:$C$700,MATCH($C3133,'تحليل التكلفة والسعر'!$B$2:$B$700,0)),0))</f>
        <v>8.81886271</v>
      </c>
      <c r="H3133" s="104" t="s">
        <v>719</v>
      </c>
    </row>
    <row r="3134" customFormat="false" ht="15" hidden="false" customHeight="false" outlineLevel="0" collapsed="false">
      <c r="A3134" s="103" t="n">
        <v>46296</v>
      </c>
      <c r="B3134" s="104" t="s">
        <v>32</v>
      </c>
      <c r="C3134" s="104" t="s">
        <v>481</v>
      </c>
      <c r="D3134" s="105" t="n">
        <v>0.1667</v>
      </c>
      <c r="E3134" s="106" t="n">
        <v>150</v>
      </c>
      <c r="F3134" s="107" t="n">
        <f aca="false">IF($C3134="","",$D3134*$E3134)</f>
        <v>25.005</v>
      </c>
      <c r="G3134" s="107" t="n">
        <f aca="false">IF($C3134="","",$D3134*IFERROR(INDEX('تحليل التكلفة والسعر'!$C$2:$C$700,MATCH($C3134,'تحليل التكلفة والسعر'!$B$2:$B$700,0)),0))</f>
        <v>14.58528314</v>
      </c>
      <c r="H3134" s="104" t="s">
        <v>719</v>
      </c>
    </row>
    <row r="3135" customFormat="false" ht="15" hidden="false" customHeight="false" outlineLevel="0" collapsed="false">
      <c r="A3135" s="103" t="n">
        <v>46297</v>
      </c>
      <c r="B3135" s="104" t="s">
        <v>32</v>
      </c>
      <c r="C3135" s="104" t="s">
        <v>481</v>
      </c>
      <c r="D3135" s="105" t="n">
        <v>0.1667</v>
      </c>
      <c r="E3135" s="106" t="n">
        <v>150</v>
      </c>
      <c r="F3135" s="107" t="n">
        <f aca="false">IF($C3135="","",$D3135*$E3135)</f>
        <v>25.005</v>
      </c>
      <c r="G3135" s="107" t="n">
        <f aca="false">IF($C3135="","",$D3135*IFERROR(INDEX('تحليل التكلفة والسعر'!$C$2:$C$700,MATCH($C3135,'تحليل التكلفة والسعر'!$B$2:$B$700,0)),0))</f>
        <v>14.58528314</v>
      </c>
      <c r="H3135" s="104" t="s">
        <v>719</v>
      </c>
    </row>
    <row r="3136" customFormat="false" ht="15" hidden="false" customHeight="false" outlineLevel="0" collapsed="false">
      <c r="A3136" s="103" t="n">
        <v>46298</v>
      </c>
      <c r="B3136" s="104" t="s">
        <v>32</v>
      </c>
      <c r="C3136" s="104" t="s">
        <v>481</v>
      </c>
      <c r="D3136" s="105" t="n">
        <v>0.1667</v>
      </c>
      <c r="E3136" s="106" t="n">
        <v>150</v>
      </c>
      <c r="F3136" s="107" t="n">
        <f aca="false">IF($C3136="","",$D3136*$E3136)</f>
        <v>25.005</v>
      </c>
      <c r="G3136" s="107" t="n">
        <f aca="false">IF($C3136="","",$D3136*IFERROR(INDEX('تحليل التكلفة والسعر'!$C$2:$C$700,MATCH($C3136,'تحليل التكلفة والسعر'!$B$2:$B$700,0)),0))</f>
        <v>14.58528314</v>
      </c>
      <c r="H3136" s="104" t="s">
        <v>719</v>
      </c>
    </row>
    <row r="3137" customFormat="false" ht="15" hidden="false" customHeight="false" outlineLevel="0" collapsed="false">
      <c r="A3137" s="103" t="n">
        <v>46299</v>
      </c>
      <c r="B3137" s="104" t="s">
        <v>32</v>
      </c>
      <c r="C3137" s="104" t="s">
        <v>481</v>
      </c>
      <c r="D3137" s="105" t="n">
        <v>0.1667</v>
      </c>
      <c r="E3137" s="106" t="n">
        <v>150</v>
      </c>
      <c r="F3137" s="107" t="n">
        <f aca="false">IF($C3137="","",$D3137*$E3137)</f>
        <v>25.005</v>
      </c>
      <c r="G3137" s="107" t="n">
        <f aca="false">IF($C3137="","",$D3137*IFERROR(INDEX('تحليل التكلفة والسعر'!$C$2:$C$700,MATCH($C3137,'تحليل التكلفة والسعر'!$B$2:$B$700,0)),0))</f>
        <v>14.58528314</v>
      </c>
      <c r="H3137" s="104" t="s">
        <v>719</v>
      </c>
    </row>
    <row r="3138" customFormat="false" ht="15" hidden="false" customHeight="false" outlineLevel="0" collapsed="false">
      <c r="A3138" s="103" t="n">
        <v>46300</v>
      </c>
      <c r="B3138" s="104" t="s">
        <v>32</v>
      </c>
      <c r="C3138" s="104" t="s">
        <v>481</v>
      </c>
      <c r="D3138" s="105" t="n">
        <v>0.1667</v>
      </c>
      <c r="E3138" s="106" t="n">
        <v>150</v>
      </c>
      <c r="F3138" s="107" t="n">
        <f aca="false">IF($C3138="","",$D3138*$E3138)</f>
        <v>25.005</v>
      </c>
      <c r="G3138" s="107" t="n">
        <f aca="false">IF($C3138="","",$D3138*IFERROR(INDEX('تحليل التكلفة والسعر'!$C$2:$C$700,MATCH($C3138,'تحليل التكلفة والسعر'!$B$2:$B$700,0)),0))</f>
        <v>14.58528314</v>
      </c>
      <c r="H3138" s="104" t="s">
        <v>719</v>
      </c>
    </row>
    <row r="3139" customFormat="false" ht="15" hidden="false" customHeight="false" outlineLevel="0" collapsed="false">
      <c r="A3139" s="103" t="n">
        <v>46301</v>
      </c>
      <c r="B3139" s="104" t="s">
        <v>32</v>
      </c>
      <c r="C3139" s="104" t="s">
        <v>481</v>
      </c>
      <c r="D3139" s="105" t="n">
        <v>0.1667</v>
      </c>
      <c r="E3139" s="106" t="n">
        <v>150</v>
      </c>
      <c r="F3139" s="107" t="n">
        <f aca="false">IF($C3139="","",$D3139*$E3139)</f>
        <v>25.005</v>
      </c>
      <c r="G3139" s="107" t="n">
        <f aca="false">IF($C3139="","",$D3139*IFERROR(INDEX('تحليل التكلفة والسعر'!$C$2:$C$700,MATCH($C3139,'تحليل التكلفة والسعر'!$B$2:$B$700,0)),0))</f>
        <v>14.58528314</v>
      </c>
      <c r="H3139" s="104" t="s">
        <v>719</v>
      </c>
    </row>
    <row r="3140" customFormat="false" ht="15" hidden="false" customHeight="false" outlineLevel="0" collapsed="false">
      <c r="A3140" s="103" t="n">
        <v>46302</v>
      </c>
      <c r="B3140" s="104" t="s">
        <v>32</v>
      </c>
      <c r="C3140" s="104" t="s">
        <v>481</v>
      </c>
      <c r="D3140" s="105" t="n">
        <v>0.1667</v>
      </c>
      <c r="E3140" s="106" t="n">
        <v>150</v>
      </c>
      <c r="F3140" s="107" t="n">
        <f aca="false">IF($C3140="","",$D3140*$E3140)</f>
        <v>25.005</v>
      </c>
      <c r="G3140" s="107" t="n">
        <f aca="false">IF($C3140="","",$D3140*IFERROR(INDEX('تحليل التكلفة والسعر'!$C$2:$C$700,MATCH($C3140,'تحليل التكلفة والسعر'!$B$2:$B$700,0)),0))</f>
        <v>14.58528314</v>
      </c>
      <c r="H3140" s="104" t="s">
        <v>719</v>
      </c>
    </row>
    <row r="3141" customFormat="false" ht="15" hidden="false" customHeight="false" outlineLevel="0" collapsed="false">
      <c r="A3141" s="103" t="n">
        <v>46303</v>
      </c>
      <c r="B3141" s="104" t="s">
        <v>32</v>
      </c>
      <c r="C3141" s="104" t="s">
        <v>481</v>
      </c>
      <c r="D3141" s="105" t="n">
        <v>0.1667</v>
      </c>
      <c r="E3141" s="106" t="n">
        <v>150</v>
      </c>
      <c r="F3141" s="107" t="n">
        <f aca="false">IF($C3141="","",$D3141*$E3141)</f>
        <v>25.005</v>
      </c>
      <c r="G3141" s="107" t="n">
        <f aca="false">IF($C3141="","",$D3141*IFERROR(INDEX('تحليل التكلفة والسعر'!$C$2:$C$700,MATCH($C3141,'تحليل التكلفة والسعر'!$B$2:$B$700,0)),0))</f>
        <v>14.58528314</v>
      </c>
      <c r="H3141" s="104" t="s">
        <v>719</v>
      </c>
    </row>
    <row r="3142" customFormat="false" ht="15" hidden="false" customHeight="false" outlineLevel="0" collapsed="false">
      <c r="A3142" s="103" t="n">
        <v>46304</v>
      </c>
      <c r="B3142" s="104" t="s">
        <v>32</v>
      </c>
      <c r="C3142" s="104" t="s">
        <v>481</v>
      </c>
      <c r="D3142" s="105" t="n">
        <v>0.1667</v>
      </c>
      <c r="E3142" s="106" t="n">
        <v>150</v>
      </c>
      <c r="F3142" s="107" t="n">
        <f aca="false">IF($C3142="","",$D3142*$E3142)</f>
        <v>25.005</v>
      </c>
      <c r="G3142" s="107" t="n">
        <f aca="false">IF($C3142="","",$D3142*IFERROR(INDEX('تحليل التكلفة والسعر'!$C$2:$C$700,MATCH($C3142,'تحليل التكلفة والسعر'!$B$2:$B$700,0)),0))</f>
        <v>14.58528314</v>
      </c>
      <c r="H3142" s="104" t="s">
        <v>719</v>
      </c>
    </row>
    <row r="3143" customFormat="false" ht="15" hidden="false" customHeight="false" outlineLevel="0" collapsed="false">
      <c r="A3143" s="103" t="n">
        <v>46305</v>
      </c>
      <c r="B3143" s="104" t="s">
        <v>32</v>
      </c>
      <c r="C3143" s="104" t="s">
        <v>481</v>
      </c>
      <c r="D3143" s="105" t="n">
        <v>0.1667</v>
      </c>
      <c r="E3143" s="106" t="n">
        <v>150</v>
      </c>
      <c r="F3143" s="107" t="n">
        <f aca="false">IF($C3143="","",$D3143*$E3143)</f>
        <v>25.005</v>
      </c>
      <c r="G3143" s="107" t="n">
        <f aca="false">IF($C3143="","",$D3143*IFERROR(INDEX('تحليل التكلفة والسعر'!$C$2:$C$700,MATCH($C3143,'تحليل التكلفة والسعر'!$B$2:$B$700,0)),0))</f>
        <v>14.58528314</v>
      </c>
      <c r="H3143" s="104" t="s">
        <v>719</v>
      </c>
    </row>
    <row r="3144" customFormat="false" ht="15" hidden="false" customHeight="false" outlineLevel="0" collapsed="false">
      <c r="A3144" s="103" t="n">
        <v>46306</v>
      </c>
      <c r="B3144" s="104" t="s">
        <v>32</v>
      </c>
      <c r="C3144" s="104" t="s">
        <v>481</v>
      </c>
      <c r="D3144" s="105" t="n">
        <v>0.1667</v>
      </c>
      <c r="E3144" s="106" t="n">
        <v>150</v>
      </c>
      <c r="F3144" s="107" t="n">
        <f aca="false">IF($C3144="","",$D3144*$E3144)</f>
        <v>25.005</v>
      </c>
      <c r="G3144" s="107" t="n">
        <f aca="false">IF($C3144="","",$D3144*IFERROR(INDEX('تحليل التكلفة والسعر'!$C$2:$C$700,MATCH($C3144,'تحليل التكلفة والسعر'!$B$2:$B$700,0)),0))</f>
        <v>14.58528314</v>
      </c>
      <c r="H3144" s="104" t="s">
        <v>719</v>
      </c>
    </row>
    <row r="3145" customFormat="false" ht="15" hidden="false" customHeight="false" outlineLevel="0" collapsed="false">
      <c r="A3145" s="103" t="n">
        <v>46307</v>
      </c>
      <c r="B3145" s="104" t="s">
        <v>32</v>
      </c>
      <c r="C3145" s="104" t="s">
        <v>481</v>
      </c>
      <c r="D3145" s="105" t="n">
        <v>0.1667</v>
      </c>
      <c r="E3145" s="106" t="n">
        <v>150</v>
      </c>
      <c r="F3145" s="107" t="n">
        <f aca="false">IF($C3145="","",$D3145*$E3145)</f>
        <v>25.005</v>
      </c>
      <c r="G3145" s="107" t="n">
        <f aca="false">IF($C3145="","",$D3145*IFERROR(INDEX('تحليل التكلفة والسعر'!$C$2:$C$700,MATCH($C3145,'تحليل التكلفة والسعر'!$B$2:$B$700,0)),0))</f>
        <v>14.58528314</v>
      </c>
      <c r="H3145" s="104" t="s">
        <v>719</v>
      </c>
    </row>
    <row r="3146" customFormat="false" ht="15" hidden="false" customHeight="false" outlineLevel="0" collapsed="false">
      <c r="A3146" s="103" t="n">
        <v>46296</v>
      </c>
      <c r="B3146" s="104" t="s">
        <v>32</v>
      </c>
      <c r="C3146" s="104" t="s">
        <v>418</v>
      </c>
      <c r="D3146" s="105" t="n">
        <v>2.5833</v>
      </c>
      <c r="E3146" s="106" t="n">
        <v>134.8387</v>
      </c>
      <c r="F3146" s="107" t="n">
        <f aca="false">IF($C3146="","",$D3146*$E3146)</f>
        <v>348.32881371</v>
      </c>
      <c r="G3146" s="107" t="n">
        <f aca="false">IF($C3146="","",$D3146*IFERROR(INDEX('تحليل التكلفة والسعر'!$C$2:$C$700,MATCH($C3146,'تحليل التكلفة والسعر'!$B$2:$B$700,0)),0))</f>
        <v>129.9167403</v>
      </c>
      <c r="H3146" s="104" t="s">
        <v>719</v>
      </c>
    </row>
    <row r="3147" customFormat="false" ht="15" hidden="false" customHeight="false" outlineLevel="0" collapsed="false">
      <c r="A3147" s="103" t="n">
        <v>46297</v>
      </c>
      <c r="B3147" s="104" t="s">
        <v>32</v>
      </c>
      <c r="C3147" s="104" t="s">
        <v>418</v>
      </c>
      <c r="D3147" s="105" t="n">
        <v>2.5833</v>
      </c>
      <c r="E3147" s="106" t="n">
        <v>134.8387</v>
      </c>
      <c r="F3147" s="107" t="n">
        <f aca="false">IF($C3147="","",$D3147*$E3147)</f>
        <v>348.32881371</v>
      </c>
      <c r="G3147" s="107" t="n">
        <f aca="false">IF($C3147="","",$D3147*IFERROR(INDEX('تحليل التكلفة والسعر'!$C$2:$C$700,MATCH($C3147,'تحليل التكلفة والسعر'!$B$2:$B$700,0)),0))</f>
        <v>129.9167403</v>
      </c>
      <c r="H3147" s="104" t="s">
        <v>719</v>
      </c>
    </row>
    <row r="3148" customFormat="false" ht="15" hidden="false" customHeight="false" outlineLevel="0" collapsed="false">
      <c r="A3148" s="103" t="n">
        <v>46298</v>
      </c>
      <c r="B3148" s="104" t="s">
        <v>32</v>
      </c>
      <c r="C3148" s="104" t="s">
        <v>418</v>
      </c>
      <c r="D3148" s="105" t="n">
        <v>2.5833</v>
      </c>
      <c r="E3148" s="106" t="n">
        <v>134.8387</v>
      </c>
      <c r="F3148" s="107" t="n">
        <f aca="false">IF($C3148="","",$D3148*$E3148)</f>
        <v>348.32881371</v>
      </c>
      <c r="G3148" s="107" t="n">
        <f aca="false">IF($C3148="","",$D3148*IFERROR(INDEX('تحليل التكلفة والسعر'!$C$2:$C$700,MATCH($C3148,'تحليل التكلفة والسعر'!$B$2:$B$700,0)),0))</f>
        <v>129.9167403</v>
      </c>
      <c r="H3148" s="104" t="s">
        <v>719</v>
      </c>
    </row>
    <row r="3149" customFormat="false" ht="15" hidden="false" customHeight="false" outlineLevel="0" collapsed="false">
      <c r="A3149" s="103" t="n">
        <v>46299</v>
      </c>
      <c r="B3149" s="104" t="s">
        <v>32</v>
      </c>
      <c r="C3149" s="104" t="s">
        <v>418</v>
      </c>
      <c r="D3149" s="105" t="n">
        <v>2.5833</v>
      </c>
      <c r="E3149" s="106" t="n">
        <v>134.8387</v>
      </c>
      <c r="F3149" s="107" t="n">
        <f aca="false">IF($C3149="","",$D3149*$E3149)</f>
        <v>348.32881371</v>
      </c>
      <c r="G3149" s="107" t="n">
        <f aca="false">IF($C3149="","",$D3149*IFERROR(INDEX('تحليل التكلفة والسعر'!$C$2:$C$700,MATCH($C3149,'تحليل التكلفة والسعر'!$B$2:$B$700,0)),0))</f>
        <v>129.9167403</v>
      </c>
      <c r="H3149" s="104" t="s">
        <v>719</v>
      </c>
    </row>
    <row r="3150" customFormat="false" ht="15" hidden="false" customHeight="false" outlineLevel="0" collapsed="false">
      <c r="A3150" s="103" t="n">
        <v>46300</v>
      </c>
      <c r="B3150" s="104" t="s">
        <v>32</v>
      </c>
      <c r="C3150" s="104" t="s">
        <v>418</v>
      </c>
      <c r="D3150" s="105" t="n">
        <v>2.5833</v>
      </c>
      <c r="E3150" s="106" t="n">
        <v>134.8387</v>
      </c>
      <c r="F3150" s="107" t="n">
        <f aca="false">IF($C3150="","",$D3150*$E3150)</f>
        <v>348.32881371</v>
      </c>
      <c r="G3150" s="107" t="n">
        <f aca="false">IF($C3150="","",$D3150*IFERROR(INDEX('تحليل التكلفة والسعر'!$C$2:$C$700,MATCH($C3150,'تحليل التكلفة والسعر'!$B$2:$B$700,0)),0))</f>
        <v>129.9167403</v>
      </c>
      <c r="H3150" s="104" t="s">
        <v>719</v>
      </c>
    </row>
    <row r="3151" customFormat="false" ht="15" hidden="false" customHeight="false" outlineLevel="0" collapsed="false">
      <c r="A3151" s="103" t="n">
        <v>46301</v>
      </c>
      <c r="B3151" s="104" t="s">
        <v>32</v>
      </c>
      <c r="C3151" s="104" t="s">
        <v>418</v>
      </c>
      <c r="D3151" s="105" t="n">
        <v>2.5833</v>
      </c>
      <c r="E3151" s="106" t="n">
        <v>134.8387</v>
      </c>
      <c r="F3151" s="107" t="n">
        <f aca="false">IF($C3151="","",$D3151*$E3151)</f>
        <v>348.32881371</v>
      </c>
      <c r="G3151" s="107" t="n">
        <f aca="false">IF($C3151="","",$D3151*IFERROR(INDEX('تحليل التكلفة والسعر'!$C$2:$C$700,MATCH($C3151,'تحليل التكلفة والسعر'!$B$2:$B$700,0)),0))</f>
        <v>129.9167403</v>
      </c>
      <c r="H3151" s="104" t="s">
        <v>719</v>
      </c>
    </row>
    <row r="3152" customFormat="false" ht="15" hidden="false" customHeight="false" outlineLevel="0" collapsed="false">
      <c r="A3152" s="103" t="n">
        <v>46302</v>
      </c>
      <c r="B3152" s="104" t="s">
        <v>32</v>
      </c>
      <c r="C3152" s="104" t="s">
        <v>418</v>
      </c>
      <c r="D3152" s="105" t="n">
        <v>2.5833</v>
      </c>
      <c r="E3152" s="106" t="n">
        <v>134.8387</v>
      </c>
      <c r="F3152" s="107" t="n">
        <f aca="false">IF($C3152="","",$D3152*$E3152)</f>
        <v>348.32881371</v>
      </c>
      <c r="G3152" s="107" t="n">
        <f aca="false">IF($C3152="","",$D3152*IFERROR(INDEX('تحليل التكلفة والسعر'!$C$2:$C$700,MATCH($C3152,'تحليل التكلفة والسعر'!$B$2:$B$700,0)),0))</f>
        <v>129.9167403</v>
      </c>
      <c r="H3152" s="104" t="s">
        <v>719</v>
      </c>
    </row>
    <row r="3153" customFormat="false" ht="15" hidden="false" customHeight="false" outlineLevel="0" collapsed="false">
      <c r="A3153" s="103" t="n">
        <v>46303</v>
      </c>
      <c r="B3153" s="104" t="s">
        <v>32</v>
      </c>
      <c r="C3153" s="104" t="s">
        <v>418</v>
      </c>
      <c r="D3153" s="105" t="n">
        <v>2.5833</v>
      </c>
      <c r="E3153" s="106" t="n">
        <v>134.8387</v>
      </c>
      <c r="F3153" s="107" t="n">
        <f aca="false">IF($C3153="","",$D3153*$E3153)</f>
        <v>348.32881371</v>
      </c>
      <c r="G3153" s="107" t="n">
        <f aca="false">IF($C3153="","",$D3153*IFERROR(INDEX('تحليل التكلفة والسعر'!$C$2:$C$700,MATCH($C3153,'تحليل التكلفة والسعر'!$B$2:$B$700,0)),0))</f>
        <v>129.9167403</v>
      </c>
      <c r="H3153" s="104" t="s">
        <v>719</v>
      </c>
    </row>
    <row r="3154" customFormat="false" ht="15" hidden="false" customHeight="false" outlineLevel="0" collapsed="false">
      <c r="A3154" s="103" t="n">
        <v>46304</v>
      </c>
      <c r="B3154" s="104" t="s">
        <v>32</v>
      </c>
      <c r="C3154" s="104" t="s">
        <v>418</v>
      </c>
      <c r="D3154" s="105" t="n">
        <v>2.5833</v>
      </c>
      <c r="E3154" s="106" t="n">
        <v>134.8387</v>
      </c>
      <c r="F3154" s="107" t="n">
        <f aca="false">IF($C3154="","",$D3154*$E3154)</f>
        <v>348.32881371</v>
      </c>
      <c r="G3154" s="107" t="n">
        <f aca="false">IF($C3154="","",$D3154*IFERROR(INDEX('تحليل التكلفة والسعر'!$C$2:$C$700,MATCH($C3154,'تحليل التكلفة والسعر'!$B$2:$B$700,0)),0))</f>
        <v>129.9167403</v>
      </c>
      <c r="H3154" s="104" t="s">
        <v>719</v>
      </c>
    </row>
    <row r="3155" customFormat="false" ht="15" hidden="false" customHeight="false" outlineLevel="0" collapsed="false">
      <c r="A3155" s="103" t="n">
        <v>46305</v>
      </c>
      <c r="B3155" s="104" t="s">
        <v>32</v>
      </c>
      <c r="C3155" s="104" t="s">
        <v>418</v>
      </c>
      <c r="D3155" s="105" t="n">
        <v>2.5833</v>
      </c>
      <c r="E3155" s="106" t="n">
        <v>134.8387</v>
      </c>
      <c r="F3155" s="107" t="n">
        <f aca="false">IF($C3155="","",$D3155*$E3155)</f>
        <v>348.32881371</v>
      </c>
      <c r="G3155" s="107" t="n">
        <f aca="false">IF($C3155="","",$D3155*IFERROR(INDEX('تحليل التكلفة والسعر'!$C$2:$C$700,MATCH($C3155,'تحليل التكلفة والسعر'!$B$2:$B$700,0)),0))</f>
        <v>129.9167403</v>
      </c>
      <c r="H3155" s="104" t="s">
        <v>719</v>
      </c>
    </row>
    <row r="3156" customFormat="false" ht="15" hidden="false" customHeight="false" outlineLevel="0" collapsed="false">
      <c r="A3156" s="103" t="n">
        <v>46306</v>
      </c>
      <c r="B3156" s="104" t="s">
        <v>32</v>
      </c>
      <c r="C3156" s="104" t="s">
        <v>418</v>
      </c>
      <c r="D3156" s="105" t="n">
        <v>2.5833</v>
      </c>
      <c r="E3156" s="106" t="n">
        <v>134.8387</v>
      </c>
      <c r="F3156" s="107" t="n">
        <f aca="false">IF($C3156="","",$D3156*$E3156)</f>
        <v>348.32881371</v>
      </c>
      <c r="G3156" s="107" t="n">
        <f aca="false">IF($C3156="","",$D3156*IFERROR(INDEX('تحليل التكلفة والسعر'!$C$2:$C$700,MATCH($C3156,'تحليل التكلفة والسعر'!$B$2:$B$700,0)),0))</f>
        <v>129.9167403</v>
      </c>
      <c r="H3156" s="104" t="s">
        <v>719</v>
      </c>
    </row>
    <row r="3157" customFormat="false" ht="15" hidden="false" customHeight="false" outlineLevel="0" collapsed="false">
      <c r="A3157" s="103" t="n">
        <v>46307</v>
      </c>
      <c r="B3157" s="104" t="s">
        <v>32</v>
      </c>
      <c r="C3157" s="104" t="s">
        <v>418</v>
      </c>
      <c r="D3157" s="105" t="n">
        <v>2.5833</v>
      </c>
      <c r="E3157" s="106" t="n">
        <v>134.8387</v>
      </c>
      <c r="F3157" s="107" t="n">
        <f aca="false">IF($C3157="","",$D3157*$E3157)</f>
        <v>348.32881371</v>
      </c>
      <c r="G3157" s="107" t="n">
        <f aca="false">IF($C3157="","",$D3157*IFERROR(INDEX('تحليل التكلفة والسعر'!$C$2:$C$700,MATCH($C3157,'تحليل التكلفة والسعر'!$B$2:$B$700,0)),0))</f>
        <v>129.9167403</v>
      </c>
      <c r="H3157" s="104" t="s">
        <v>719</v>
      </c>
    </row>
    <row r="3158" customFormat="false" ht="15" hidden="false" customHeight="false" outlineLevel="0" collapsed="false">
      <c r="A3158" s="103" t="n">
        <v>46296</v>
      </c>
      <c r="B3158" s="104" t="s">
        <v>32</v>
      </c>
      <c r="C3158" s="104" t="s">
        <v>473</v>
      </c>
      <c r="D3158" s="105" t="n">
        <v>4.5</v>
      </c>
      <c r="E3158" s="106" t="n">
        <v>93.7037</v>
      </c>
      <c r="F3158" s="107" t="n">
        <f aca="false">IF($C3158="","",$D3158*$E3158)</f>
        <v>421.66665</v>
      </c>
      <c r="G3158" s="107" t="n">
        <f aca="false">IF($C3158="","",$D3158*IFERROR(INDEX('تحليل التكلفة والسعر'!$C$2:$C$700,MATCH($C3158,'تحليل التكلفة والسعر'!$B$2:$B$700,0)),0))</f>
        <v>170.62425</v>
      </c>
      <c r="H3158" s="104" t="s">
        <v>719</v>
      </c>
    </row>
    <row r="3159" customFormat="false" ht="15" hidden="false" customHeight="false" outlineLevel="0" collapsed="false">
      <c r="A3159" s="103" t="n">
        <v>46297</v>
      </c>
      <c r="B3159" s="104" t="s">
        <v>32</v>
      </c>
      <c r="C3159" s="104" t="s">
        <v>473</v>
      </c>
      <c r="D3159" s="105" t="n">
        <v>4.5</v>
      </c>
      <c r="E3159" s="106" t="n">
        <v>93.7037</v>
      </c>
      <c r="F3159" s="107" t="n">
        <f aca="false">IF($C3159="","",$D3159*$E3159)</f>
        <v>421.66665</v>
      </c>
      <c r="G3159" s="107" t="n">
        <f aca="false">IF($C3159="","",$D3159*IFERROR(INDEX('تحليل التكلفة والسعر'!$C$2:$C$700,MATCH($C3159,'تحليل التكلفة والسعر'!$B$2:$B$700,0)),0))</f>
        <v>170.62425</v>
      </c>
      <c r="H3159" s="104" t="s">
        <v>719</v>
      </c>
    </row>
    <row r="3160" customFormat="false" ht="15" hidden="false" customHeight="false" outlineLevel="0" collapsed="false">
      <c r="A3160" s="103" t="n">
        <v>46298</v>
      </c>
      <c r="B3160" s="104" t="s">
        <v>32</v>
      </c>
      <c r="C3160" s="104" t="s">
        <v>473</v>
      </c>
      <c r="D3160" s="105" t="n">
        <v>4.5</v>
      </c>
      <c r="E3160" s="106" t="n">
        <v>93.7037</v>
      </c>
      <c r="F3160" s="107" t="n">
        <f aca="false">IF($C3160="","",$D3160*$E3160)</f>
        <v>421.66665</v>
      </c>
      <c r="G3160" s="107" t="n">
        <f aca="false">IF($C3160="","",$D3160*IFERROR(INDEX('تحليل التكلفة والسعر'!$C$2:$C$700,MATCH($C3160,'تحليل التكلفة والسعر'!$B$2:$B$700,0)),0))</f>
        <v>170.62425</v>
      </c>
      <c r="H3160" s="104" t="s">
        <v>719</v>
      </c>
    </row>
    <row r="3161" customFormat="false" ht="15" hidden="false" customHeight="false" outlineLevel="0" collapsed="false">
      <c r="A3161" s="103" t="n">
        <v>46299</v>
      </c>
      <c r="B3161" s="104" t="s">
        <v>32</v>
      </c>
      <c r="C3161" s="104" t="s">
        <v>473</v>
      </c>
      <c r="D3161" s="105" t="n">
        <v>4.5</v>
      </c>
      <c r="E3161" s="106" t="n">
        <v>93.7037</v>
      </c>
      <c r="F3161" s="107" t="n">
        <f aca="false">IF($C3161="","",$D3161*$E3161)</f>
        <v>421.66665</v>
      </c>
      <c r="G3161" s="107" t="n">
        <f aca="false">IF($C3161="","",$D3161*IFERROR(INDEX('تحليل التكلفة والسعر'!$C$2:$C$700,MATCH($C3161,'تحليل التكلفة والسعر'!$B$2:$B$700,0)),0))</f>
        <v>170.62425</v>
      </c>
      <c r="H3161" s="104" t="s">
        <v>719</v>
      </c>
    </row>
    <row r="3162" customFormat="false" ht="15" hidden="false" customHeight="false" outlineLevel="0" collapsed="false">
      <c r="A3162" s="103" t="n">
        <v>46300</v>
      </c>
      <c r="B3162" s="104" t="s">
        <v>32</v>
      </c>
      <c r="C3162" s="104" t="s">
        <v>473</v>
      </c>
      <c r="D3162" s="105" t="n">
        <v>4.5</v>
      </c>
      <c r="E3162" s="106" t="n">
        <v>93.7037</v>
      </c>
      <c r="F3162" s="107" t="n">
        <f aca="false">IF($C3162="","",$D3162*$E3162)</f>
        <v>421.66665</v>
      </c>
      <c r="G3162" s="107" t="n">
        <f aca="false">IF($C3162="","",$D3162*IFERROR(INDEX('تحليل التكلفة والسعر'!$C$2:$C$700,MATCH($C3162,'تحليل التكلفة والسعر'!$B$2:$B$700,0)),0))</f>
        <v>170.62425</v>
      </c>
      <c r="H3162" s="104" t="s">
        <v>719</v>
      </c>
    </row>
    <row r="3163" customFormat="false" ht="15" hidden="false" customHeight="false" outlineLevel="0" collapsed="false">
      <c r="A3163" s="103" t="n">
        <v>46301</v>
      </c>
      <c r="B3163" s="104" t="s">
        <v>32</v>
      </c>
      <c r="C3163" s="104" t="s">
        <v>473</v>
      </c>
      <c r="D3163" s="105" t="n">
        <v>4.5</v>
      </c>
      <c r="E3163" s="106" t="n">
        <v>93.7037</v>
      </c>
      <c r="F3163" s="107" t="n">
        <f aca="false">IF($C3163="","",$D3163*$E3163)</f>
        <v>421.66665</v>
      </c>
      <c r="G3163" s="107" t="n">
        <f aca="false">IF($C3163="","",$D3163*IFERROR(INDEX('تحليل التكلفة والسعر'!$C$2:$C$700,MATCH($C3163,'تحليل التكلفة والسعر'!$B$2:$B$700,0)),0))</f>
        <v>170.62425</v>
      </c>
      <c r="H3163" s="104" t="s">
        <v>719</v>
      </c>
    </row>
    <row r="3164" customFormat="false" ht="15" hidden="false" customHeight="false" outlineLevel="0" collapsed="false">
      <c r="A3164" s="103" t="n">
        <v>46302</v>
      </c>
      <c r="B3164" s="104" t="s">
        <v>32</v>
      </c>
      <c r="C3164" s="104" t="s">
        <v>473</v>
      </c>
      <c r="D3164" s="105" t="n">
        <v>4.5</v>
      </c>
      <c r="E3164" s="106" t="n">
        <v>93.7037</v>
      </c>
      <c r="F3164" s="107" t="n">
        <f aca="false">IF($C3164="","",$D3164*$E3164)</f>
        <v>421.66665</v>
      </c>
      <c r="G3164" s="107" t="n">
        <f aca="false">IF($C3164="","",$D3164*IFERROR(INDEX('تحليل التكلفة والسعر'!$C$2:$C$700,MATCH($C3164,'تحليل التكلفة والسعر'!$B$2:$B$700,0)),0))</f>
        <v>170.62425</v>
      </c>
      <c r="H3164" s="104" t="s">
        <v>719</v>
      </c>
    </row>
    <row r="3165" customFormat="false" ht="15" hidden="false" customHeight="false" outlineLevel="0" collapsed="false">
      <c r="A3165" s="103" t="n">
        <v>46303</v>
      </c>
      <c r="B3165" s="104" t="s">
        <v>32</v>
      </c>
      <c r="C3165" s="104" t="s">
        <v>473</v>
      </c>
      <c r="D3165" s="105" t="n">
        <v>4.5</v>
      </c>
      <c r="E3165" s="106" t="n">
        <v>93.7037</v>
      </c>
      <c r="F3165" s="107" t="n">
        <f aca="false">IF($C3165="","",$D3165*$E3165)</f>
        <v>421.66665</v>
      </c>
      <c r="G3165" s="107" t="n">
        <f aca="false">IF($C3165="","",$D3165*IFERROR(INDEX('تحليل التكلفة والسعر'!$C$2:$C$700,MATCH($C3165,'تحليل التكلفة والسعر'!$B$2:$B$700,0)),0))</f>
        <v>170.62425</v>
      </c>
      <c r="H3165" s="104" t="s">
        <v>719</v>
      </c>
    </row>
    <row r="3166" customFormat="false" ht="15" hidden="false" customHeight="false" outlineLevel="0" collapsed="false">
      <c r="A3166" s="103" t="n">
        <v>46304</v>
      </c>
      <c r="B3166" s="104" t="s">
        <v>32</v>
      </c>
      <c r="C3166" s="104" t="s">
        <v>473</v>
      </c>
      <c r="D3166" s="105" t="n">
        <v>4.5</v>
      </c>
      <c r="E3166" s="106" t="n">
        <v>93.7037</v>
      </c>
      <c r="F3166" s="107" t="n">
        <f aca="false">IF($C3166="","",$D3166*$E3166)</f>
        <v>421.66665</v>
      </c>
      <c r="G3166" s="107" t="n">
        <f aca="false">IF($C3166="","",$D3166*IFERROR(INDEX('تحليل التكلفة والسعر'!$C$2:$C$700,MATCH($C3166,'تحليل التكلفة والسعر'!$B$2:$B$700,0)),0))</f>
        <v>170.62425</v>
      </c>
      <c r="H3166" s="104" t="s">
        <v>719</v>
      </c>
    </row>
    <row r="3167" customFormat="false" ht="15" hidden="false" customHeight="false" outlineLevel="0" collapsed="false">
      <c r="A3167" s="103" t="n">
        <v>46305</v>
      </c>
      <c r="B3167" s="104" t="s">
        <v>32</v>
      </c>
      <c r="C3167" s="104" t="s">
        <v>473</v>
      </c>
      <c r="D3167" s="105" t="n">
        <v>4.5</v>
      </c>
      <c r="E3167" s="106" t="n">
        <v>93.7037</v>
      </c>
      <c r="F3167" s="107" t="n">
        <f aca="false">IF($C3167="","",$D3167*$E3167)</f>
        <v>421.66665</v>
      </c>
      <c r="G3167" s="107" t="n">
        <f aca="false">IF($C3167="","",$D3167*IFERROR(INDEX('تحليل التكلفة والسعر'!$C$2:$C$700,MATCH($C3167,'تحليل التكلفة والسعر'!$B$2:$B$700,0)),0))</f>
        <v>170.62425</v>
      </c>
      <c r="H3167" s="104" t="s">
        <v>719</v>
      </c>
    </row>
    <row r="3168" customFormat="false" ht="15" hidden="false" customHeight="false" outlineLevel="0" collapsed="false">
      <c r="A3168" s="103" t="n">
        <v>46306</v>
      </c>
      <c r="B3168" s="104" t="s">
        <v>32</v>
      </c>
      <c r="C3168" s="104" t="s">
        <v>473</v>
      </c>
      <c r="D3168" s="105" t="n">
        <v>4.5</v>
      </c>
      <c r="E3168" s="106" t="n">
        <v>93.7037</v>
      </c>
      <c r="F3168" s="107" t="n">
        <f aca="false">IF($C3168="","",$D3168*$E3168)</f>
        <v>421.66665</v>
      </c>
      <c r="G3168" s="107" t="n">
        <f aca="false">IF($C3168="","",$D3168*IFERROR(INDEX('تحليل التكلفة والسعر'!$C$2:$C$700,MATCH($C3168,'تحليل التكلفة والسعر'!$B$2:$B$700,0)),0))</f>
        <v>170.62425</v>
      </c>
      <c r="H3168" s="104" t="s">
        <v>719</v>
      </c>
    </row>
    <row r="3169" customFormat="false" ht="15" hidden="false" customHeight="false" outlineLevel="0" collapsed="false">
      <c r="A3169" s="103" t="n">
        <v>46307</v>
      </c>
      <c r="B3169" s="104" t="s">
        <v>32</v>
      </c>
      <c r="C3169" s="104" t="s">
        <v>473</v>
      </c>
      <c r="D3169" s="105" t="n">
        <v>4.5</v>
      </c>
      <c r="E3169" s="106" t="n">
        <v>93.7037</v>
      </c>
      <c r="F3169" s="107" t="n">
        <f aca="false">IF($C3169="","",$D3169*$E3169)</f>
        <v>421.66665</v>
      </c>
      <c r="G3169" s="107" t="n">
        <f aca="false">IF($C3169="","",$D3169*IFERROR(INDEX('تحليل التكلفة والسعر'!$C$2:$C$700,MATCH($C3169,'تحليل التكلفة والسعر'!$B$2:$B$700,0)),0))</f>
        <v>170.62425</v>
      </c>
      <c r="H3169" s="104" t="s">
        <v>719</v>
      </c>
    </row>
    <row r="3170" customFormat="false" ht="15" hidden="false" customHeight="false" outlineLevel="0" collapsed="false">
      <c r="A3170" s="103" t="n">
        <v>46296</v>
      </c>
      <c r="B3170" s="104" t="s">
        <v>32</v>
      </c>
      <c r="C3170" s="104" t="s">
        <v>390</v>
      </c>
      <c r="D3170" s="105" t="n">
        <v>0.0833</v>
      </c>
      <c r="E3170" s="106" t="n">
        <v>160</v>
      </c>
      <c r="F3170" s="107" t="n">
        <f aca="false">IF($C3170="","",$D3170*$E3170)</f>
        <v>13.328</v>
      </c>
      <c r="G3170" s="107" t="n">
        <f aca="false">IF($C3170="","",$D3170*IFERROR(INDEX('تحليل التكلفة والسعر'!$C$2:$C$700,MATCH($C3170,'تحليل التكلفة والسعر'!$B$2:$B$700,0)),0))</f>
        <v>5.9002976865</v>
      </c>
      <c r="H3170" s="104" t="s">
        <v>719</v>
      </c>
    </row>
    <row r="3171" customFormat="false" ht="15" hidden="false" customHeight="false" outlineLevel="0" collapsed="false">
      <c r="A3171" s="103" t="n">
        <v>46297</v>
      </c>
      <c r="B3171" s="104" t="s">
        <v>32</v>
      </c>
      <c r="C3171" s="104" t="s">
        <v>390</v>
      </c>
      <c r="D3171" s="105" t="n">
        <v>0.0833</v>
      </c>
      <c r="E3171" s="106" t="n">
        <v>160</v>
      </c>
      <c r="F3171" s="107" t="n">
        <f aca="false">IF($C3171="","",$D3171*$E3171)</f>
        <v>13.328</v>
      </c>
      <c r="G3171" s="107" t="n">
        <f aca="false">IF($C3171="","",$D3171*IFERROR(INDEX('تحليل التكلفة والسعر'!$C$2:$C$700,MATCH($C3171,'تحليل التكلفة والسعر'!$B$2:$B$700,0)),0))</f>
        <v>5.9002976865</v>
      </c>
      <c r="H3171" s="104" t="s">
        <v>719</v>
      </c>
    </row>
    <row r="3172" customFormat="false" ht="15" hidden="false" customHeight="false" outlineLevel="0" collapsed="false">
      <c r="A3172" s="103" t="n">
        <v>46298</v>
      </c>
      <c r="B3172" s="104" t="s">
        <v>32</v>
      </c>
      <c r="C3172" s="104" t="s">
        <v>390</v>
      </c>
      <c r="D3172" s="105" t="n">
        <v>0.0833</v>
      </c>
      <c r="E3172" s="106" t="n">
        <v>160</v>
      </c>
      <c r="F3172" s="107" t="n">
        <f aca="false">IF($C3172="","",$D3172*$E3172)</f>
        <v>13.328</v>
      </c>
      <c r="G3172" s="107" t="n">
        <f aca="false">IF($C3172="","",$D3172*IFERROR(INDEX('تحليل التكلفة والسعر'!$C$2:$C$700,MATCH($C3172,'تحليل التكلفة والسعر'!$B$2:$B$700,0)),0))</f>
        <v>5.9002976865</v>
      </c>
      <c r="H3172" s="104" t="s">
        <v>719</v>
      </c>
    </row>
    <row r="3173" customFormat="false" ht="15" hidden="false" customHeight="false" outlineLevel="0" collapsed="false">
      <c r="A3173" s="103" t="n">
        <v>46299</v>
      </c>
      <c r="B3173" s="104" t="s">
        <v>32</v>
      </c>
      <c r="C3173" s="104" t="s">
        <v>390</v>
      </c>
      <c r="D3173" s="105" t="n">
        <v>0.0833</v>
      </c>
      <c r="E3173" s="106" t="n">
        <v>160</v>
      </c>
      <c r="F3173" s="107" t="n">
        <f aca="false">IF($C3173="","",$D3173*$E3173)</f>
        <v>13.328</v>
      </c>
      <c r="G3173" s="107" t="n">
        <f aca="false">IF($C3173="","",$D3173*IFERROR(INDEX('تحليل التكلفة والسعر'!$C$2:$C$700,MATCH($C3173,'تحليل التكلفة والسعر'!$B$2:$B$700,0)),0))</f>
        <v>5.9002976865</v>
      </c>
      <c r="H3173" s="104" t="s">
        <v>719</v>
      </c>
    </row>
    <row r="3174" customFormat="false" ht="15" hidden="false" customHeight="false" outlineLevel="0" collapsed="false">
      <c r="A3174" s="103" t="n">
        <v>46300</v>
      </c>
      <c r="B3174" s="104" t="s">
        <v>32</v>
      </c>
      <c r="C3174" s="104" t="s">
        <v>390</v>
      </c>
      <c r="D3174" s="105" t="n">
        <v>0.0833</v>
      </c>
      <c r="E3174" s="106" t="n">
        <v>160</v>
      </c>
      <c r="F3174" s="107" t="n">
        <f aca="false">IF($C3174="","",$D3174*$E3174)</f>
        <v>13.328</v>
      </c>
      <c r="G3174" s="107" t="n">
        <f aca="false">IF($C3174="","",$D3174*IFERROR(INDEX('تحليل التكلفة والسعر'!$C$2:$C$700,MATCH($C3174,'تحليل التكلفة والسعر'!$B$2:$B$700,0)),0))</f>
        <v>5.9002976865</v>
      </c>
      <c r="H3174" s="104" t="s">
        <v>719</v>
      </c>
    </row>
    <row r="3175" customFormat="false" ht="15" hidden="false" customHeight="false" outlineLevel="0" collapsed="false">
      <c r="A3175" s="103" t="n">
        <v>46301</v>
      </c>
      <c r="B3175" s="104" t="s">
        <v>32</v>
      </c>
      <c r="C3175" s="104" t="s">
        <v>390</v>
      </c>
      <c r="D3175" s="105" t="n">
        <v>0.0833</v>
      </c>
      <c r="E3175" s="106" t="n">
        <v>160</v>
      </c>
      <c r="F3175" s="107" t="n">
        <f aca="false">IF($C3175="","",$D3175*$E3175)</f>
        <v>13.328</v>
      </c>
      <c r="G3175" s="107" t="n">
        <f aca="false">IF($C3175="","",$D3175*IFERROR(INDEX('تحليل التكلفة والسعر'!$C$2:$C$700,MATCH($C3175,'تحليل التكلفة والسعر'!$B$2:$B$700,0)),0))</f>
        <v>5.9002976865</v>
      </c>
      <c r="H3175" s="104" t="s">
        <v>719</v>
      </c>
    </row>
    <row r="3176" customFormat="false" ht="15" hidden="false" customHeight="false" outlineLevel="0" collapsed="false">
      <c r="A3176" s="103" t="n">
        <v>46302</v>
      </c>
      <c r="B3176" s="104" t="s">
        <v>32</v>
      </c>
      <c r="C3176" s="104" t="s">
        <v>390</v>
      </c>
      <c r="D3176" s="105" t="n">
        <v>0.0833</v>
      </c>
      <c r="E3176" s="106" t="n">
        <v>160</v>
      </c>
      <c r="F3176" s="107" t="n">
        <f aca="false">IF($C3176="","",$D3176*$E3176)</f>
        <v>13.328</v>
      </c>
      <c r="G3176" s="107" t="n">
        <f aca="false">IF($C3176="","",$D3176*IFERROR(INDEX('تحليل التكلفة والسعر'!$C$2:$C$700,MATCH($C3176,'تحليل التكلفة والسعر'!$B$2:$B$700,0)),0))</f>
        <v>5.9002976865</v>
      </c>
      <c r="H3176" s="104" t="s">
        <v>719</v>
      </c>
    </row>
    <row r="3177" customFormat="false" ht="15" hidden="false" customHeight="false" outlineLevel="0" collapsed="false">
      <c r="A3177" s="103" t="n">
        <v>46303</v>
      </c>
      <c r="B3177" s="104" t="s">
        <v>32</v>
      </c>
      <c r="C3177" s="104" t="s">
        <v>390</v>
      </c>
      <c r="D3177" s="105" t="n">
        <v>0.0833</v>
      </c>
      <c r="E3177" s="106" t="n">
        <v>160</v>
      </c>
      <c r="F3177" s="107" t="n">
        <f aca="false">IF($C3177="","",$D3177*$E3177)</f>
        <v>13.328</v>
      </c>
      <c r="G3177" s="107" t="n">
        <f aca="false">IF($C3177="","",$D3177*IFERROR(INDEX('تحليل التكلفة والسعر'!$C$2:$C$700,MATCH($C3177,'تحليل التكلفة والسعر'!$B$2:$B$700,0)),0))</f>
        <v>5.9002976865</v>
      </c>
      <c r="H3177" s="104" t="s">
        <v>719</v>
      </c>
    </row>
    <row r="3178" customFormat="false" ht="15" hidden="false" customHeight="false" outlineLevel="0" collapsed="false">
      <c r="A3178" s="103" t="n">
        <v>46304</v>
      </c>
      <c r="B3178" s="104" t="s">
        <v>32</v>
      </c>
      <c r="C3178" s="104" t="s">
        <v>390</v>
      </c>
      <c r="D3178" s="105" t="n">
        <v>0.0833</v>
      </c>
      <c r="E3178" s="106" t="n">
        <v>160</v>
      </c>
      <c r="F3178" s="107" t="n">
        <f aca="false">IF($C3178="","",$D3178*$E3178)</f>
        <v>13.328</v>
      </c>
      <c r="G3178" s="107" t="n">
        <f aca="false">IF($C3178="","",$D3178*IFERROR(INDEX('تحليل التكلفة والسعر'!$C$2:$C$700,MATCH($C3178,'تحليل التكلفة والسعر'!$B$2:$B$700,0)),0))</f>
        <v>5.9002976865</v>
      </c>
      <c r="H3178" s="104" t="s">
        <v>719</v>
      </c>
    </row>
    <row r="3179" customFormat="false" ht="15" hidden="false" customHeight="false" outlineLevel="0" collapsed="false">
      <c r="A3179" s="103" t="n">
        <v>46305</v>
      </c>
      <c r="B3179" s="104" t="s">
        <v>32</v>
      </c>
      <c r="C3179" s="104" t="s">
        <v>390</v>
      </c>
      <c r="D3179" s="105" t="n">
        <v>0.0833</v>
      </c>
      <c r="E3179" s="106" t="n">
        <v>160</v>
      </c>
      <c r="F3179" s="107" t="n">
        <f aca="false">IF($C3179="","",$D3179*$E3179)</f>
        <v>13.328</v>
      </c>
      <c r="G3179" s="107" t="n">
        <f aca="false">IF($C3179="","",$D3179*IFERROR(INDEX('تحليل التكلفة والسعر'!$C$2:$C$700,MATCH($C3179,'تحليل التكلفة والسعر'!$B$2:$B$700,0)),0))</f>
        <v>5.9002976865</v>
      </c>
      <c r="H3179" s="104" t="s">
        <v>719</v>
      </c>
    </row>
    <row r="3180" customFormat="false" ht="15" hidden="false" customHeight="false" outlineLevel="0" collapsed="false">
      <c r="A3180" s="103" t="n">
        <v>46306</v>
      </c>
      <c r="B3180" s="104" t="s">
        <v>32</v>
      </c>
      <c r="C3180" s="104" t="s">
        <v>390</v>
      </c>
      <c r="D3180" s="105" t="n">
        <v>0.0833</v>
      </c>
      <c r="E3180" s="106" t="n">
        <v>160</v>
      </c>
      <c r="F3180" s="107" t="n">
        <f aca="false">IF($C3180="","",$D3180*$E3180)</f>
        <v>13.328</v>
      </c>
      <c r="G3180" s="107" t="n">
        <f aca="false">IF($C3180="","",$D3180*IFERROR(INDEX('تحليل التكلفة والسعر'!$C$2:$C$700,MATCH($C3180,'تحليل التكلفة والسعر'!$B$2:$B$700,0)),0))</f>
        <v>5.9002976865</v>
      </c>
      <c r="H3180" s="104" t="s">
        <v>719</v>
      </c>
    </row>
    <row r="3181" customFormat="false" ht="15" hidden="false" customHeight="false" outlineLevel="0" collapsed="false">
      <c r="A3181" s="103" t="n">
        <v>46307</v>
      </c>
      <c r="B3181" s="104" t="s">
        <v>32</v>
      </c>
      <c r="C3181" s="104" t="s">
        <v>390</v>
      </c>
      <c r="D3181" s="105" t="n">
        <v>0.0833</v>
      </c>
      <c r="E3181" s="106" t="n">
        <v>160</v>
      </c>
      <c r="F3181" s="107" t="n">
        <f aca="false">IF($C3181="","",$D3181*$E3181)</f>
        <v>13.328</v>
      </c>
      <c r="G3181" s="107" t="n">
        <f aca="false">IF($C3181="","",$D3181*IFERROR(INDEX('تحليل التكلفة والسعر'!$C$2:$C$700,MATCH($C3181,'تحليل التكلفة والسعر'!$B$2:$B$700,0)),0))</f>
        <v>5.9002976865</v>
      </c>
      <c r="H3181" s="104" t="s">
        <v>719</v>
      </c>
    </row>
    <row r="3182" customFormat="false" ht="15" hidden="false" customHeight="false" outlineLevel="0" collapsed="false">
      <c r="A3182" s="103" t="n">
        <v>46296</v>
      </c>
      <c r="B3182" s="104" t="s">
        <v>32</v>
      </c>
      <c r="C3182" s="104" t="s">
        <v>469</v>
      </c>
      <c r="D3182" s="105" t="n">
        <v>0.75</v>
      </c>
      <c r="E3182" s="106" t="n">
        <v>203.3333</v>
      </c>
      <c r="F3182" s="107" t="n">
        <f aca="false">IF($C3182="","",$D3182*$E3182)</f>
        <v>152.499975</v>
      </c>
      <c r="G3182" s="107" t="n">
        <f aca="false">IF($C3182="","",$D3182*IFERROR(INDEX('تحليل التكلفة والسعر'!$C$2:$C$700,MATCH($C3182,'تحليل التكلفة والسعر'!$B$2:$B$700,0)),0))</f>
        <v>79.34325</v>
      </c>
      <c r="H3182" s="104" t="s">
        <v>719</v>
      </c>
    </row>
    <row r="3183" customFormat="false" ht="15" hidden="false" customHeight="false" outlineLevel="0" collapsed="false">
      <c r="A3183" s="103" t="n">
        <v>46297</v>
      </c>
      <c r="B3183" s="104" t="s">
        <v>32</v>
      </c>
      <c r="C3183" s="104" t="s">
        <v>469</v>
      </c>
      <c r="D3183" s="105" t="n">
        <v>0.75</v>
      </c>
      <c r="E3183" s="106" t="n">
        <v>203.3333</v>
      </c>
      <c r="F3183" s="107" t="n">
        <f aca="false">IF($C3183="","",$D3183*$E3183)</f>
        <v>152.499975</v>
      </c>
      <c r="G3183" s="107" t="n">
        <f aca="false">IF($C3183="","",$D3183*IFERROR(INDEX('تحليل التكلفة والسعر'!$C$2:$C$700,MATCH($C3183,'تحليل التكلفة والسعر'!$B$2:$B$700,0)),0))</f>
        <v>79.34325</v>
      </c>
      <c r="H3183" s="104" t="s">
        <v>719</v>
      </c>
    </row>
    <row r="3184" customFormat="false" ht="15" hidden="false" customHeight="false" outlineLevel="0" collapsed="false">
      <c r="A3184" s="103" t="n">
        <v>46298</v>
      </c>
      <c r="B3184" s="104" t="s">
        <v>32</v>
      </c>
      <c r="C3184" s="104" t="s">
        <v>469</v>
      </c>
      <c r="D3184" s="105" t="n">
        <v>0.75</v>
      </c>
      <c r="E3184" s="106" t="n">
        <v>203.3333</v>
      </c>
      <c r="F3184" s="107" t="n">
        <f aca="false">IF($C3184="","",$D3184*$E3184)</f>
        <v>152.499975</v>
      </c>
      <c r="G3184" s="107" t="n">
        <f aca="false">IF($C3184="","",$D3184*IFERROR(INDEX('تحليل التكلفة والسعر'!$C$2:$C$700,MATCH($C3184,'تحليل التكلفة والسعر'!$B$2:$B$700,0)),0))</f>
        <v>79.34325</v>
      </c>
      <c r="H3184" s="104" t="s">
        <v>719</v>
      </c>
    </row>
    <row r="3185" customFormat="false" ht="15" hidden="false" customHeight="false" outlineLevel="0" collapsed="false">
      <c r="A3185" s="103" t="n">
        <v>46299</v>
      </c>
      <c r="B3185" s="104" t="s">
        <v>32</v>
      </c>
      <c r="C3185" s="104" t="s">
        <v>469</v>
      </c>
      <c r="D3185" s="105" t="n">
        <v>0.75</v>
      </c>
      <c r="E3185" s="106" t="n">
        <v>203.3333</v>
      </c>
      <c r="F3185" s="107" t="n">
        <f aca="false">IF($C3185="","",$D3185*$E3185)</f>
        <v>152.499975</v>
      </c>
      <c r="G3185" s="107" t="n">
        <f aca="false">IF($C3185="","",$D3185*IFERROR(INDEX('تحليل التكلفة والسعر'!$C$2:$C$700,MATCH($C3185,'تحليل التكلفة والسعر'!$B$2:$B$700,0)),0))</f>
        <v>79.34325</v>
      </c>
      <c r="H3185" s="104" t="s">
        <v>719</v>
      </c>
    </row>
    <row r="3186" customFormat="false" ht="15" hidden="false" customHeight="false" outlineLevel="0" collapsed="false">
      <c r="A3186" s="103" t="n">
        <v>46300</v>
      </c>
      <c r="B3186" s="104" t="s">
        <v>32</v>
      </c>
      <c r="C3186" s="104" t="s">
        <v>469</v>
      </c>
      <c r="D3186" s="105" t="n">
        <v>0.75</v>
      </c>
      <c r="E3186" s="106" t="n">
        <v>203.3333</v>
      </c>
      <c r="F3186" s="107" t="n">
        <f aca="false">IF($C3186="","",$D3186*$E3186)</f>
        <v>152.499975</v>
      </c>
      <c r="G3186" s="107" t="n">
        <f aca="false">IF($C3186="","",$D3186*IFERROR(INDEX('تحليل التكلفة والسعر'!$C$2:$C$700,MATCH($C3186,'تحليل التكلفة والسعر'!$B$2:$B$700,0)),0))</f>
        <v>79.34325</v>
      </c>
      <c r="H3186" s="104" t="s">
        <v>719</v>
      </c>
    </row>
    <row r="3187" customFormat="false" ht="15" hidden="false" customHeight="false" outlineLevel="0" collapsed="false">
      <c r="A3187" s="103" t="n">
        <v>46301</v>
      </c>
      <c r="B3187" s="104" t="s">
        <v>32</v>
      </c>
      <c r="C3187" s="104" t="s">
        <v>469</v>
      </c>
      <c r="D3187" s="105" t="n">
        <v>0.75</v>
      </c>
      <c r="E3187" s="106" t="n">
        <v>203.3333</v>
      </c>
      <c r="F3187" s="107" t="n">
        <f aca="false">IF($C3187="","",$D3187*$E3187)</f>
        <v>152.499975</v>
      </c>
      <c r="G3187" s="107" t="n">
        <f aca="false">IF($C3187="","",$D3187*IFERROR(INDEX('تحليل التكلفة والسعر'!$C$2:$C$700,MATCH($C3187,'تحليل التكلفة والسعر'!$B$2:$B$700,0)),0))</f>
        <v>79.34325</v>
      </c>
      <c r="H3187" s="104" t="s">
        <v>719</v>
      </c>
    </row>
    <row r="3188" customFormat="false" ht="15" hidden="false" customHeight="false" outlineLevel="0" collapsed="false">
      <c r="A3188" s="103" t="n">
        <v>46302</v>
      </c>
      <c r="B3188" s="104" t="s">
        <v>32</v>
      </c>
      <c r="C3188" s="104" t="s">
        <v>469</v>
      </c>
      <c r="D3188" s="105" t="n">
        <v>0.75</v>
      </c>
      <c r="E3188" s="106" t="n">
        <v>203.3333</v>
      </c>
      <c r="F3188" s="107" t="n">
        <f aca="false">IF($C3188="","",$D3188*$E3188)</f>
        <v>152.499975</v>
      </c>
      <c r="G3188" s="107" t="n">
        <f aca="false">IF($C3188="","",$D3188*IFERROR(INDEX('تحليل التكلفة والسعر'!$C$2:$C$700,MATCH($C3188,'تحليل التكلفة والسعر'!$B$2:$B$700,0)),0))</f>
        <v>79.34325</v>
      </c>
      <c r="H3188" s="104" t="s">
        <v>719</v>
      </c>
    </row>
    <row r="3189" customFormat="false" ht="15" hidden="false" customHeight="false" outlineLevel="0" collapsed="false">
      <c r="A3189" s="103" t="n">
        <v>46303</v>
      </c>
      <c r="B3189" s="104" t="s">
        <v>32</v>
      </c>
      <c r="C3189" s="104" t="s">
        <v>469</v>
      </c>
      <c r="D3189" s="105" t="n">
        <v>0.75</v>
      </c>
      <c r="E3189" s="106" t="n">
        <v>203.3333</v>
      </c>
      <c r="F3189" s="107" t="n">
        <f aca="false">IF($C3189="","",$D3189*$E3189)</f>
        <v>152.499975</v>
      </c>
      <c r="G3189" s="107" t="n">
        <f aca="false">IF($C3189="","",$D3189*IFERROR(INDEX('تحليل التكلفة والسعر'!$C$2:$C$700,MATCH($C3189,'تحليل التكلفة والسعر'!$B$2:$B$700,0)),0))</f>
        <v>79.34325</v>
      </c>
      <c r="H3189" s="104" t="s">
        <v>719</v>
      </c>
    </row>
    <row r="3190" customFormat="false" ht="15" hidden="false" customHeight="false" outlineLevel="0" collapsed="false">
      <c r="A3190" s="103" t="n">
        <v>46304</v>
      </c>
      <c r="B3190" s="104" t="s">
        <v>32</v>
      </c>
      <c r="C3190" s="104" t="s">
        <v>469</v>
      </c>
      <c r="D3190" s="105" t="n">
        <v>0.75</v>
      </c>
      <c r="E3190" s="106" t="n">
        <v>203.3333</v>
      </c>
      <c r="F3190" s="107" t="n">
        <f aca="false">IF($C3190="","",$D3190*$E3190)</f>
        <v>152.499975</v>
      </c>
      <c r="G3190" s="107" t="n">
        <f aca="false">IF($C3190="","",$D3190*IFERROR(INDEX('تحليل التكلفة والسعر'!$C$2:$C$700,MATCH($C3190,'تحليل التكلفة والسعر'!$B$2:$B$700,0)),0))</f>
        <v>79.34325</v>
      </c>
      <c r="H3190" s="104" t="s">
        <v>719</v>
      </c>
    </row>
    <row r="3191" customFormat="false" ht="15" hidden="false" customHeight="false" outlineLevel="0" collapsed="false">
      <c r="A3191" s="103" t="n">
        <v>46305</v>
      </c>
      <c r="B3191" s="104" t="s">
        <v>32</v>
      </c>
      <c r="C3191" s="104" t="s">
        <v>469</v>
      </c>
      <c r="D3191" s="105" t="n">
        <v>0.75</v>
      </c>
      <c r="E3191" s="106" t="n">
        <v>203.3333</v>
      </c>
      <c r="F3191" s="107" t="n">
        <f aca="false">IF($C3191="","",$D3191*$E3191)</f>
        <v>152.499975</v>
      </c>
      <c r="G3191" s="107" t="n">
        <f aca="false">IF($C3191="","",$D3191*IFERROR(INDEX('تحليل التكلفة والسعر'!$C$2:$C$700,MATCH($C3191,'تحليل التكلفة والسعر'!$B$2:$B$700,0)),0))</f>
        <v>79.34325</v>
      </c>
      <c r="H3191" s="104" t="s">
        <v>719</v>
      </c>
    </row>
    <row r="3192" customFormat="false" ht="15" hidden="false" customHeight="false" outlineLevel="0" collapsed="false">
      <c r="A3192" s="103" t="n">
        <v>46306</v>
      </c>
      <c r="B3192" s="104" t="s">
        <v>32</v>
      </c>
      <c r="C3192" s="104" t="s">
        <v>469</v>
      </c>
      <c r="D3192" s="105" t="n">
        <v>0.75</v>
      </c>
      <c r="E3192" s="106" t="n">
        <v>203.3333</v>
      </c>
      <c r="F3192" s="107" t="n">
        <f aca="false">IF($C3192="","",$D3192*$E3192)</f>
        <v>152.499975</v>
      </c>
      <c r="G3192" s="107" t="n">
        <f aca="false">IF($C3192="","",$D3192*IFERROR(INDEX('تحليل التكلفة والسعر'!$C$2:$C$700,MATCH($C3192,'تحليل التكلفة والسعر'!$B$2:$B$700,0)),0))</f>
        <v>79.34325</v>
      </c>
      <c r="H3192" s="104" t="s">
        <v>719</v>
      </c>
    </row>
    <row r="3193" customFormat="false" ht="15" hidden="false" customHeight="false" outlineLevel="0" collapsed="false">
      <c r="A3193" s="103" t="n">
        <v>46307</v>
      </c>
      <c r="B3193" s="104" t="s">
        <v>32</v>
      </c>
      <c r="C3193" s="104" t="s">
        <v>469</v>
      </c>
      <c r="D3193" s="105" t="n">
        <v>0.75</v>
      </c>
      <c r="E3193" s="106" t="n">
        <v>203.3333</v>
      </c>
      <c r="F3193" s="107" t="n">
        <f aca="false">IF($C3193="","",$D3193*$E3193)</f>
        <v>152.499975</v>
      </c>
      <c r="G3193" s="107" t="n">
        <f aca="false">IF($C3193="","",$D3193*IFERROR(INDEX('تحليل التكلفة والسعر'!$C$2:$C$700,MATCH($C3193,'تحليل التكلفة والسعر'!$B$2:$B$700,0)),0))</f>
        <v>79.34325</v>
      </c>
      <c r="H3193" s="104" t="s">
        <v>719</v>
      </c>
    </row>
    <row r="3194" customFormat="false" ht="15" hidden="false" customHeight="false" outlineLevel="0" collapsed="false">
      <c r="A3194" s="103" t="n">
        <v>46296</v>
      </c>
      <c r="B3194" s="104" t="s">
        <v>32</v>
      </c>
      <c r="C3194" s="104" t="s">
        <v>472</v>
      </c>
      <c r="D3194" s="105" t="n">
        <v>4.6667</v>
      </c>
      <c r="E3194" s="106" t="n">
        <v>131.875</v>
      </c>
      <c r="F3194" s="107" t="n">
        <f aca="false">IF($C3194="","",$D3194*$E3194)</f>
        <v>615.4210625</v>
      </c>
      <c r="G3194" s="107" t="n">
        <f aca="false">IF($C3194="","",$D3194*IFERROR(INDEX('تحليل التكلفة والسعر'!$C$2:$C$700,MATCH($C3194,'تحليل التكلفة والسعر'!$B$2:$B$700,0)),0))</f>
        <v>349.61283055</v>
      </c>
      <c r="H3194" s="104" t="s">
        <v>719</v>
      </c>
    </row>
    <row r="3195" customFormat="false" ht="15" hidden="false" customHeight="false" outlineLevel="0" collapsed="false">
      <c r="A3195" s="103" t="n">
        <v>46297</v>
      </c>
      <c r="B3195" s="104" t="s">
        <v>32</v>
      </c>
      <c r="C3195" s="104" t="s">
        <v>472</v>
      </c>
      <c r="D3195" s="105" t="n">
        <v>4.6667</v>
      </c>
      <c r="E3195" s="106" t="n">
        <v>131.875</v>
      </c>
      <c r="F3195" s="107" t="n">
        <f aca="false">IF($C3195="","",$D3195*$E3195)</f>
        <v>615.4210625</v>
      </c>
      <c r="G3195" s="107" t="n">
        <f aca="false">IF($C3195="","",$D3195*IFERROR(INDEX('تحليل التكلفة والسعر'!$C$2:$C$700,MATCH($C3195,'تحليل التكلفة والسعر'!$B$2:$B$700,0)),0))</f>
        <v>349.61283055</v>
      </c>
      <c r="H3195" s="104" t="s">
        <v>719</v>
      </c>
    </row>
    <row r="3196" customFormat="false" ht="15" hidden="false" customHeight="false" outlineLevel="0" collapsed="false">
      <c r="A3196" s="103" t="n">
        <v>46298</v>
      </c>
      <c r="B3196" s="104" t="s">
        <v>32</v>
      </c>
      <c r="C3196" s="104" t="s">
        <v>472</v>
      </c>
      <c r="D3196" s="105" t="n">
        <v>4.6667</v>
      </c>
      <c r="E3196" s="106" t="n">
        <v>131.875</v>
      </c>
      <c r="F3196" s="107" t="n">
        <f aca="false">IF($C3196="","",$D3196*$E3196)</f>
        <v>615.4210625</v>
      </c>
      <c r="G3196" s="107" t="n">
        <f aca="false">IF($C3196="","",$D3196*IFERROR(INDEX('تحليل التكلفة والسعر'!$C$2:$C$700,MATCH($C3196,'تحليل التكلفة والسعر'!$B$2:$B$700,0)),0))</f>
        <v>349.61283055</v>
      </c>
      <c r="H3196" s="104" t="s">
        <v>719</v>
      </c>
    </row>
    <row r="3197" customFormat="false" ht="15" hidden="false" customHeight="false" outlineLevel="0" collapsed="false">
      <c r="A3197" s="103" t="n">
        <v>46299</v>
      </c>
      <c r="B3197" s="104" t="s">
        <v>32</v>
      </c>
      <c r="C3197" s="104" t="s">
        <v>472</v>
      </c>
      <c r="D3197" s="105" t="n">
        <v>4.6667</v>
      </c>
      <c r="E3197" s="106" t="n">
        <v>131.875</v>
      </c>
      <c r="F3197" s="107" t="n">
        <f aca="false">IF($C3197="","",$D3197*$E3197)</f>
        <v>615.4210625</v>
      </c>
      <c r="G3197" s="107" t="n">
        <f aca="false">IF($C3197="","",$D3197*IFERROR(INDEX('تحليل التكلفة والسعر'!$C$2:$C$700,MATCH($C3197,'تحليل التكلفة والسعر'!$B$2:$B$700,0)),0))</f>
        <v>349.61283055</v>
      </c>
      <c r="H3197" s="104" t="s">
        <v>719</v>
      </c>
    </row>
    <row r="3198" customFormat="false" ht="15" hidden="false" customHeight="false" outlineLevel="0" collapsed="false">
      <c r="A3198" s="103" t="n">
        <v>46300</v>
      </c>
      <c r="B3198" s="104" t="s">
        <v>32</v>
      </c>
      <c r="C3198" s="104" t="s">
        <v>472</v>
      </c>
      <c r="D3198" s="105" t="n">
        <v>4.6667</v>
      </c>
      <c r="E3198" s="106" t="n">
        <v>131.875</v>
      </c>
      <c r="F3198" s="107" t="n">
        <f aca="false">IF($C3198="","",$D3198*$E3198)</f>
        <v>615.4210625</v>
      </c>
      <c r="G3198" s="107" t="n">
        <f aca="false">IF($C3198="","",$D3198*IFERROR(INDEX('تحليل التكلفة والسعر'!$C$2:$C$700,MATCH($C3198,'تحليل التكلفة والسعر'!$B$2:$B$700,0)),0))</f>
        <v>349.61283055</v>
      </c>
      <c r="H3198" s="104" t="s">
        <v>719</v>
      </c>
    </row>
    <row r="3199" customFormat="false" ht="15" hidden="false" customHeight="false" outlineLevel="0" collapsed="false">
      <c r="A3199" s="103" t="n">
        <v>46301</v>
      </c>
      <c r="B3199" s="104" t="s">
        <v>32</v>
      </c>
      <c r="C3199" s="104" t="s">
        <v>472</v>
      </c>
      <c r="D3199" s="105" t="n">
        <v>4.6667</v>
      </c>
      <c r="E3199" s="106" t="n">
        <v>131.875</v>
      </c>
      <c r="F3199" s="107" t="n">
        <f aca="false">IF($C3199="","",$D3199*$E3199)</f>
        <v>615.4210625</v>
      </c>
      <c r="G3199" s="107" t="n">
        <f aca="false">IF($C3199="","",$D3199*IFERROR(INDEX('تحليل التكلفة والسعر'!$C$2:$C$700,MATCH($C3199,'تحليل التكلفة والسعر'!$B$2:$B$700,0)),0))</f>
        <v>349.61283055</v>
      </c>
      <c r="H3199" s="104" t="s">
        <v>719</v>
      </c>
    </row>
    <row r="3200" customFormat="false" ht="15" hidden="false" customHeight="false" outlineLevel="0" collapsed="false">
      <c r="A3200" s="103" t="n">
        <v>46302</v>
      </c>
      <c r="B3200" s="104" t="s">
        <v>32</v>
      </c>
      <c r="C3200" s="104" t="s">
        <v>472</v>
      </c>
      <c r="D3200" s="105" t="n">
        <v>4.6667</v>
      </c>
      <c r="E3200" s="106" t="n">
        <v>131.875</v>
      </c>
      <c r="F3200" s="107" t="n">
        <f aca="false">IF($C3200="","",$D3200*$E3200)</f>
        <v>615.4210625</v>
      </c>
      <c r="G3200" s="107" t="n">
        <f aca="false">IF($C3200="","",$D3200*IFERROR(INDEX('تحليل التكلفة والسعر'!$C$2:$C$700,MATCH($C3200,'تحليل التكلفة والسعر'!$B$2:$B$700,0)),0))</f>
        <v>349.61283055</v>
      </c>
      <c r="H3200" s="104" t="s">
        <v>719</v>
      </c>
    </row>
    <row r="3201" customFormat="false" ht="15" hidden="false" customHeight="false" outlineLevel="0" collapsed="false">
      <c r="A3201" s="103" t="n">
        <v>46303</v>
      </c>
      <c r="B3201" s="104" t="s">
        <v>32</v>
      </c>
      <c r="C3201" s="104" t="s">
        <v>472</v>
      </c>
      <c r="D3201" s="105" t="n">
        <v>4.6667</v>
      </c>
      <c r="E3201" s="106" t="n">
        <v>131.875</v>
      </c>
      <c r="F3201" s="107" t="n">
        <f aca="false">IF($C3201="","",$D3201*$E3201)</f>
        <v>615.4210625</v>
      </c>
      <c r="G3201" s="107" t="n">
        <f aca="false">IF($C3201="","",$D3201*IFERROR(INDEX('تحليل التكلفة والسعر'!$C$2:$C$700,MATCH($C3201,'تحليل التكلفة والسعر'!$B$2:$B$700,0)),0))</f>
        <v>349.61283055</v>
      </c>
      <c r="H3201" s="104" t="s">
        <v>719</v>
      </c>
    </row>
    <row r="3202" customFormat="false" ht="15" hidden="false" customHeight="false" outlineLevel="0" collapsed="false">
      <c r="A3202" s="103" t="n">
        <v>46304</v>
      </c>
      <c r="B3202" s="104" t="s">
        <v>32</v>
      </c>
      <c r="C3202" s="104" t="s">
        <v>472</v>
      </c>
      <c r="D3202" s="105" t="n">
        <v>4.6667</v>
      </c>
      <c r="E3202" s="106" t="n">
        <v>131.875</v>
      </c>
      <c r="F3202" s="107" t="n">
        <f aca="false">IF($C3202="","",$D3202*$E3202)</f>
        <v>615.4210625</v>
      </c>
      <c r="G3202" s="107" t="n">
        <f aca="false">IF($C3202="","",$D3202*IFERROR(INDEX('تحليل التكلفة والسعر'!$C$2:$C$700,MATCH($C3202,'تحليل التكلفة والسعر'!$B$2:$B$700,0)),0))</f>
        <v>349.61283055</v>
      </c>
      <c r="H3202" s="104" t="s">
        <v>719</v>
      </c>
    </row>
    <row r="3203" customFormat="false" ht="15" hidden="false" customHeight="false" outlineLevel="0" collapsed="false">
      <c r="A3203" s="103" t="n">
        <v>46305</v>
      </c>
      <c r="B3203" s="104" t="s">
        <v>32</v>
      </c>
      <c r="C3203" s="104" t="s">
        <v>472</v>
      </c>
      <c r="D3203" s="105" t="n">
        <v>4.6667</v>
      </c>
      <c r="E3203" s="106" t="n">
        <v>131.875</v>
      </c>
      <c r="F3203" s="107" t="n">
        <f aca="false">IF($C3203="","",$D3203*$E3203)</f>
        <v>615.4210625</v>
      </c>
      <c r="G3203" s="107" t="n">
        <f aca="false">IF($C3203="","",$D3203*IFERROR(INDEX('تحليل التكلفة والسعر'!$C$2:$C$700,MATCH($C3203,'تحليل التكلفة والسعر'!$B$2:$B$700,0)),0))</f>
        <v>349.61283055</v>
      </c>
      <c r="H3203" s="104" t="s">
        <v>719</v>
      </c>
    </row>
    <row r="3204" customFormat="false" ht="15" hidden="false" customHeight="false" outlineLevel="0" collapsed="false">
      <c r="A3204" s="103" t="n">
        <v>46306</v>
      </c>
      <c r="B3204" s="104" t="s">
        <v>32</v>
      </c>
      <c r="C3204" s="104" t="s">
        <v>472</v>
      </c>
      <c r="D3204" s="105" t="n">
        <v>4.6667</v>
      </c>
      <c r="E3204" s="106" t="n">
        <v>131.875</v>
      </c>
      <c r="F3204" s="107" t="n">
        <f aca="false">IF($C3204="","",$D3204*$E3204)</f>
        <v>615.4210625</v>
      </c>
      <c r="G3204" s="107" t="n">
        <f aca="false">IF($C3204="","",$D3204*IFERROR(INDEX('تحليل التكلفة والسعر'!$C$2:$C$700,MATCH($C3204,'تحليل التكلفة والسعر'!$B$2:$B$700,0)),0))</f>
        <v>349.61283055</v>
      </c>
      <c r="H3204" s="104" t="s">
        <v>719</v>
      </c>
    </row>
    <row r="3205" customFormat="false" ht="15" hidden="false" customHeight="false" outlineLevel="0" collapsed="false">
      <c r="A3205" s="103" t="n">
        <v>46307</v>
      </c>
      <c r="B3205" s="104" t="s">
        <v>32</v>
      </c>
      <c r="C3205" s="104" t="s">
        <v>472</v>
      </c>
      <c r="D3205" s="105" t="n">
        <v>4.6667</v>
      </c>
      <c r="E3205" s="106" t="n">
        <v>131.875</v>
      </c>
      <c r="F3205" s="107" t="n">
        <f aca="false">IF($C3205="","",$D3205*$E3205)</f>
        <v>615.4210625</v>
      </c>
      <c r="G3205" s="107" t="n">
        <f aca="false">IF($C3205="","",$D3205*IFERROR(INDEX('تحليل التكلفة والسعر'!$C$2:$C$700,MATCH($C3205,'تحليل التكلفة والسعر'!$B$2:$B$700,0)),0))</f>
        <v>349.61283055</v>
      </c>
      <c r="H3205" s="104" t="s">
        <v>719</v>
      </c>
    </row>
    <row r="3206" customFormat="false" ht="15" hidden="false" customHeight="false" outlineLevel="0" collapsed="false">
      <c r="A3206" s="103" t="n">
        <v>46296</v>
      </c>
      <c r="B3206" s="104" t="s">
        <v>32</v>
      </c>
      <c r="C3206" s="104" t="s">
        <v>466</v>
      </c>
      <c r="D3206" s="105" t="n">
        <v>0.0833</v>
      </c>
      <c r="E3206" s="106" t="n">
        <v>220</v>
      </c>
      <c r="F3206" s="107" t="n">
        <f aca="false">IF($C3206="","",$D3206*$E3206)</f>
        <v>18.326</v>
      </c>
      <c r="G3206" s="107" t="n">
        <f aca="false">IF($C3206="","",$D3206*IFERROR(INDEX('تحليل التكلفة والسعر'!$C$2:$C$700,MATCH($C3206,'تحليل التكلفة والسعر'!$B$2:$B$700,0)),0))</f>
        <v>10.65544445</v>
      </c>
      <c r="H3206" s="104" t="s">
        <v>719</v>
      </c>
    </row>
    <row r="3207" customFormat="false" ht="15" hidden="false" customHeight="false" outlineLevel="0" collapsed="false">
      <c r="A3207" s="103" t="n">
        <v>46297</v>
      </c>
      <c r="B3207" s="104" t="s">
        <v>32</v>
      </c>
      <c r="C3207" s="104" t="s">
        <v>466</v>
      </c>
      <c r="D3207" s="105" t="n">
        <v>0.0833</v>
      </c>
      <c r="E3207" s="106" t="n">
        <v>220</v>
      </c>
      <c r="F3207" s="107" t="n">
        <f aca="false">IF($C3207="","",$D3207*$E3207)</f>
        <v>18.326</v>
      </c>
      <c r="G3207" s="107" t="n">
        <f aca="false">IF($C3207="","",$D3207*IFERROR(INDEX('تحليل التكلفة والسعر'!$C$2:$C$700,MATCH($C3207,'تحليل التكلفة والسعر'!$B$2:$B$700,0)),0))</f>
        <v>10.65544445</v>
      </c>
      <c r="H3207" s="104" t="s">
        <v>719</v>
      </c>
    </row>
    <row r="3208" customFormat="false" ht="15" hidden="false" customHeight="false" outlineLevel="0" collapsed="false">
      <c r="A3208" s="103" t="n">
        <v>46298</v>
      </c>
      <c r="B3208" s="104" t="s">
        <v>32</v>
      </c>
      <c r="C3208" s="104" t="s">
        <v>466</v>
      </c>
      <c r="D3208" s="105" t="n">
        <v>0.0833</v>
      </c>
      <c r="E3208" s="106" t="n">
        <v>220</v>
      </c>
      <c r="F3208" s="107" t="n">
        <f aca="false">IF($C3208="","",$D3208*$E3208)</f>
        <v>18.326</v>
      </c>
      <c r="G3208" s="107" t="n">
        <f aca="false">IF($C3208="","",$D3208*IFERROR(INDEX('تحليل التكلفة والسعر'!$C$2:$C$700,MATCH($C3208,'تحليل التكلفة والسعر'!$B$2:$B$700,0)),0))</f>
        <v>10.65544445</v>
      </c>
      <c r="H3208" s="104" t="s">
        <v>719</v>
      </c>
    </row>
    <row r="3209" customFormat="false" ht="15" hidden="false" customHeight="false" outlineLevel="0" collapsed="false">
      <c r="A3209" s="103" t="n">
        <v>46299</v>
      </c>
      <c r="B3209" s="104" t="s">
        <v>32</v>
      </c>
      <c r="C3209" s="104" t="s">
        <v>466</v>
      </c>
      <c r="D3209" s="105" t="n">
        <v>0.0833</v>
      </c>
      <c r="E3209" s="106" t="n">
        <v>220</v>
      </c>
      <c r="F3209" s="107" t="n">
        <f aca="false">IF($C3209="","",$D3209*$E3209)</f>
        <v>18.326</v>
      </c>
      <c r="G3209" s="107" t="n">
        <f aca="false">IF($C3209="","",$D3209*IFERROR(INDEX('تحليل التكلفة والسعر'!$C$2:$C$700,MATCH($C3209,'تحليل التكلفة والسعر'!$B$2:$B$700,0)),0))</f>
        <v>10.65544445</v>
      </c>
      <c r="H3209" s="104" t="s">
        <v>719</v>
      </c>
    </row>
    <row r="3210" customFormat="false" ht="15" hidden="false" customHeight="false" outlineLevel="0" collapsed="false">
      <c r="A3210" s="103" t="n">
        <v>46300</v>
      </c>
      <c r="B3210" s="104" t="s">
        <v>32</v>
      </c>
      <c r="C3210" s="104" t="s">
        <v>466</v>
      </c>
      <c r="D3210" s="105" t="n">
        <v>0.0833</v>
      </c>
      <c r="E3210" s="106" t="n">
        <v>220</v>
      </c>
      <c r="F3210" s="107" t="n">
        <f aca="false">IF($C3210="","",$D3210*$E3210)</f>
        <v>18.326</v>
      </c>
      <c r="G3210" s="107" t="n">
        <f aca="false">IF($C3210="","",$D3210*IFERROR(INDEX('تحليل التكلفة والسعر'!$C$2:$C$700,MATCH($C3210,'تحليل التكلفة والسعر'!$B$2:$B$700,0)),0))</f>
        <v>10.65544445</v>
      </c>
      <c r="H3210" s="104" t="s">
        <v>719</v>
      </c>
    </row>
    <row r="3211" customFormat="false" ht="15" hidden="false" customHeight="false" outlineLevel="0" collapsed="false">
      <c r="A3211" s="103" t="n">
        <v>46301</v>
      </c>
      <c r="B3211" s="104" t="s">
        <v>32</v>
      </c>
      <c r="C3211" s="104" t="s">
        <v>466</v>
      </c>
      <c r="D3211" s="105" t="n">
        <v>0.0833</v>
      </c>
      <c r="E3211" s="106" t="n">
        <v>220</v>
      </c>
      <c r="F3211" s="107" t="n">
        <f aca="false">IF($C3211="","",$D3211*$E3211)</f>
        <v>18.326</v>
      </c>
      <c r="G3211" s="107" t="n">
        <f aca="false">IF($C3211="","",$D3211*IFERROR(INDEX('تحليل التكلفة والسعر'!$C$2:$C$700,MATCH($C3211,'تحليل التكلفة والسعر'!$B$2:$B$700,0)),0))</f>
        <v>10.65544445</v>
      </c>
      <c r="H3211" s="104" t="s">
        <v>719</v>
      </c>
    </row>
    <row r="3212" customFormat="false" ht="15" hidden="false" customHeight="false" outlineLevel="0" collapsed="false">
      <c r="A3212" s="103" t="n">
        <v>46302</v>
      </c>
      <c r="B3212" s="104" t="s">
        <v>32</v>
      </c>
      <c r="C3212" s="104" t="s">
        <v>466</v>
      </c>
      <c r="D3212" s="105" t="n">
        <v>0.0833</v>
      </c>
      <c r="E3212" s="106" t="n">
        <v>220</v>
      </c>
      <c r="F3212" s="107" t="n">
        <f aca="false">IF($C3212="","",$D3212*$E3212)</f>
        <v>18.326</v>
      </c>
      <c r="G3212" s="107" t="n">
        <f aca="false">IF($C3212="","",$D3212*IFERROR(INDEX('تحليل التكلفة والسعر'!$C$2:$C$700,MATCH($C3212,'تحليل التكلفة والسعر'!$B$2:$B$700,0)),0))</f>
        <v>10.65544445</v>
      </c>
      <c r="H3212" s="104" t="s">
        <v>719</v>
      </c>
    </row>
    <row r="3213" customFormat="false" ht="15" hidden="false" customHeight="false" outlineLevel="0" collapsed="false">
      <c r="A3213" s="103" t="n">
        <v>46303</v>
      </c>
      <c r="B3213" s="104" t="s">
        <v>32</v>
      </c>
      <c r="C3213" s="104" t="s">
        <v>466</v>
      </c>
      <c r="D3213" s="105" t="n">
        <v>0.0833</v>
      </c>
      <c r="E3213" s="106" t="n">
        <v>220</v>
      </c>
      <c r="F3213" s="107" t="n">
        <f aca="false">IF($C3213="","",$D3213*$E3213)</f>
        <v>18.326</v>
      </c>
      <c r="G3213" s="107" t="n">
        <f aca="false">IF($C3213="","",$D3213*IFERROR(INDEX('تحليل التكلفة والسعر'!$C$2:$C$700,MATCH($C3213,'تحليل التكلفة والسعر'!$B$2:$B$700,0)),0))</f>
        <v>10.65544445</v>
      </c>
      <c r="H3213" s="104" t="s">
        <v>719</v>
      </c>
    </row>
    <row r="3214" customFormat="false" ht="15" hidden="false" customHeight="false" outlineLevel="0" collapsed="false">
      <c r="A3214" s="103" t="n">
        <v>46304</v>
      </c>
      <c r="B3214" s="104" t="s">
        <v>32</v>
      </c>
      <c r="C3214" s="104" t="s">
        <v>466</v>
      </c>
      <c r="D3214" s="105" t="n">
        <v>0.0833</v>
      </c>
      <c r="E3214" s="106" t="n">
        <v>220</v>
      </c>
      <c r="F3214" s="107" t="n">
        <f aca="false">IF($C3214="","",$D3214*$E3214)</f>
        <v>18.326</v>
      </c>
      <c r="G3214" s="107" t="n">
        <f aca="false">IF($C3214="","",$D3214*IFERROR(INDEX('تحليل التكلفة والسعر'!$C$2:$C$700,MATCH($C3214,'تحليل التكلفة والسعر'!$B$2:$B$700,0)),0))</f>
        <v>10.65544445</v>
      </c>
      <c r="H3214" s="104" t="s">
        <v>719</v>
      </c>
    </row>
    <row r="3215" customFormat="false" ht="15" hidden="false" customHeight="false" outlineLevel="0" collapsed="false">
      <c r="A3215" s="103" t="n">
        <v>46305</v>
      </c>
      <c r="B3215" s="104" t="s">
        <v>32</v>
      </c>
      <c r="C3215" s="104" t="s">
        <v>466</v>
      </c>
      <c r="D3215" s="105" t="n">
        <v>0.0833</v>
      </c>
      <c r="E3215" s="106" t="n">
        <v>220</v>
      </c>
      <c r="F3215" s="107" t="n">
        <f aca="false">IF($C3215="","",$D3215*$E3215)</f>
        <v>18.326</v>
      </c>
      <c r="G3215" s="107" t="n">
        <f aca="false">IF($C3215="","",$D3215*IFERROR(INDEX('تحليل التكلفة والسعر'!$C$2:$C$700,MATCH($C3215,'تحليل التكلفة والسعر'!$B$2:$B$700,0)),0))</f>
        <v>10.65544445</v>
      </c>
      <c r="H3215" s="104" t="s">
        <v>719</v>
      </c>
    </row>
    <row r="3216" customFormat="false" ht="15" hidden="false" customHeight="false" outlineLevel="0" collapsed="false">
      <c r="A3216" s="103" t="n">
        <v>46306</v>
      </c>
      <c r="B3216" s="104" t="s">
        <v>32</v>
      </c>
      <c r="C3216" s="104" t="s">
        <v>466</v>
      </c>
      <c r="D3216" s="105" t="n">
        <v>0.0833</v>
      </c>
      <c r="E3216" s="106" t="n">
        <v>220</v>
      </c>
      <c r="F3216" s="107" t="n">
        <f aca="false">IF($C3216="","",$D3216*$E3216)</f>
        <v>18.326</v>
      </c>
      <c r="G3216" s="107" t="n">
        <f aca="false">IF($C3216="","",$D3216*IFERROR(INDEX('تحليل التكلفة والسعر'!$C$2:$C$700,MATCH($C3216,'تحليل التكلفة والسعر'!$B$2:$B$700,0)),0))</f>
        <v>10.65544445</v>
      </c>
      <c r="H3216" s="104" t="s">
        <v>719</v>
      </c>
    </row>
    <row r="3217" customFormat="false" ht="15" hidden="false" customHeight="false" outlineLevel="0" collapsed="false">
      <c r="A3217" s="103" t="n">
        <v>46307</v>
      </c>
      <c r="B3217" s="104" t="s">
        <v>32</v>
      </c>
      <c r="C3217" s="104" t="s">
        <v>466</v>
      </c>
      <c r="D3217" s="105" t="n">
        <v>0.0833</v>
      </c>
      <c r="E3217" s="106" t="n">
        <v>220</v>
      </c>
      <c r="F3217" s="107" t="n">
        <f aca="false">IF($C3217="","",$D3217*$E3217)</f>
        <v>18.326</v>
      </c>
      <c r="G3217" s="107" t="n">
        <f aca="false">IF($C3217="","",$D3217*IFERROR(INDEX('تحليل التكلفة والسعر'!$C$2:$C$700,MATCH($C3217,'تحليل التكلفة والسعر'!$B$2:$B$700,0)),0))</f>
        <v>10.65544445</v>
      </c>
      <c r="H3217" s="104" t="s">
        <v>719</v>
      </c>
    </row>
    <row r="3218" customFormat="false" ht="15" hidden="false" customHeight="false" outlineLevel="0" collapsed="false">
      <c r="A3218" s="103" t="n">
        <v>46296</v>
      </c>
      <c r="B3218" s="104" t="s">
        <v>32</v>
      </c>
      <c r="C3218" s="104" t="s">
        <v>396</v>
      </c>
      <c r="D3218" s="105" t="n">
        <v>0.5833</v>
      </c>
      <c r="E3218" s="106" t="n">
        <v>341.4286</v>
      </c>
      <c r="F3218" s="107" t="n">
        <f aca="false">IF($C3218="","",$D3218*$E3218)</f>
        <v>199.15530238</v>
      </c>
      <c r="G3218" s="107" t="n">
        <f aca="false">IF($C3218="","",$D3218*IFERROR(INDEX('تحليل التكلفة والسعر'!$C$2:$C$700,MATCH($C3218,'تحليل التكلفة والسعر'!$B$2:$B$700,0)),0))</f>
        <v>105.113430675</v>
      </c>
      <c r="H3218" s="104" t="s">
        <v>719</v>
      </c>
    </row>
    <row r="3219" customFormat="false" ht="15" hidden="false" customHeight="false" outlineLevel="0" collapsed="false">
      <c r="A3219" s="103" t="n">
        <v>46297</v>
      </c>
      <c r="B3219" s="104" t="s">
        <v>32</v>
      </c>
      <c r="C3219" s="104" t="s">
        <v>396</v>
      </c>
      <c r="D3219" s="105" t="n">
        <v>0.5833</v>
      </c>
      <c r="E3219" s="106" t="n">
        <v>341.4286</v>
      </c>
      <c r="F3219" s="107" t="n">
        <f aca="false">IF($C3219="","",$D3219*$E3219)</f>
        <v>199.15530238</v>
      </c>
      <c r="G3219" s="107" t="n">
        <f aca="false">IF($C3219="","",$D3219*IFERROR(INDEX('تحليل التكلفة والسعر'!$C$2:$C$700,MATCH($C3219,'تحليل التكلفة والسعر'!$B$2:$B$700,0)),0))</f>
        <v>105.113430675</v>
      </c>
      <c r="H3219" s="104" t="s">
        <v>719</v>
      </c>
    </row>
    <row r="3220" customFormat="false" ht="15" hidden="false" customHeight="false" outlineLevel="0" collapsed="false">
      <c r="A3220" s="103" t="n">
        <v>46298</v>
      </c>
      <c r="B3220" s="104" t="s">
        <v>32</v>
      </c>
      <c r="C3220" s="104" t="s">
        <v>396</v>
      </c>
      <c r="D3220" s="105" t="n">
        <v>0.5833</v>
      </c>
      <c r="E3220" s="106" t="n">
        <v>341.4286</v>
      </c>
      <c r="F3220" s="107" t="n">
        <f aca="false">IF($C3220="","",$D3220*$E3220)</f>
        <v>199.15530238</v>
      </c>
      <c r="G3220" s="107" t="n">
        <f aca="false">IF($C3220="","",$D3220*IFERROR(INDEX('تحليل التكلفة والسعر'!$C$2:$C$700,MATCH($C3220,'تحليل التكلفة والسعر'!$B$2:$B$700,0)),0))</f>
        <v>105.113430675</v>
      </c>
      <c r="H3220" s="104" t="s">
        <v>719</v>
      </c>
    </row>
    <row r="3221" customFormat="false" ht="15" hidden="false" customHeight="false" outlineLevel="0" collapsed="false">
      <c r="A3221" s="103" t="n">
        <v>46299</v>
      </c>
      <c r="B3221" s="104" t="s">
        <v>32</v>
      </c>
      <c r="C3221" s="104" t="s">
        <v>396</v>
      </c>
      <c r="D3221" s="105" t="n">
        <v>0.5833</v>
      </c>
      <c r="E3221" s="106" t="n">
        <v>341.4286</v>
      </c>
      <c r="F3221" s="107" t="n">
        <f aca="false">IF($C3221="","",$D3221*$E3221)</f>
        <v>199.15530238</v>
      </c>
      <c r="G3221" s="107" t="n">
        <f aca="false">IF($C3221="","",$D3221*IFERROR(INDEX('تحليل التكلفة والسعر'!$C$2:$C$700,MATCH($C3221,'تحليل التكلفة والسعر'!$B$2:$B$700,0)),0))</f>
        <v>105.113430675</v>
      </c>
      <c r="H3221" s="104" t="s">
        <v>719</v>
      </c>
    </row>
    <row r="3222" customFormat="false" ht="15" hidden="false" customHeight="false" outlineLevel="0" collapsed="false">
      <c r="A3222" s="103" t="n">
        <v>46300</v>
      </c>
      <c r="B3222" s="104" t="s">
        <v>32</v>
      </c>
      <c r="C3222" s="104" t="s">
        <v>396</v>
      </c>
      <c r="D3222" s="105" t="n">
        <v>0.5833</v>
      </c>
      <c r="E3222" s="106" t="n">
        <v>341.4286</v>
      </c>
      <c r="F3222" s="107" t="n">
        <f aca="false">IF($C3222="","",$D3222*$E3222)</f>
        <v>199.15530238</v>
      </c>
      <c r="G3222" s="107" t="n">
        <f aca="false">IF($C3222="","",$D3222*IFERROR(INDEX('تحليل التكلفة والسعر'!$C$2:$C$700,MATCH($C3222,'تحليل التكلفة والسعر'!$B$2:$B$700,0)),0))</f>
        <v>105.113430675</v>
      </c>
      <c r="H3222" s="104" t="s">
        <v>719</v>
      </c>
    </row>
    <row r="3223" customFormat="false" ht="15" hidden="false" customHeight="false" outlineLevel="0" collapsed="false">
      <c r="A3223" s="103" t="n">
        <v>46301</v>
      </c>
      <c r="B3223" s="104" t="s">
        <v>32</v>
      </c>
      <c r="C3223" s="104" t="s">
        <v>396</v>
      </c>
      <c r="D3223" s="105" t="n">
        <v>0.5833</v>
      </c>
      <c r="E3223" s="106" t="n">
        <v>341.4286</v>
      </c>
      <c r="F3223" s="107" t="n">
        <f aca="false">IF($C3223="","",$D3223*$E3223)</f>
        <v>199.15530238</v>
      </c>
      <c r="G3223" s="107" t="n">
        <f aca="false">IF($C3223="","",$D3223*IFERROR(INDEX('تحليل التكلفة والسعر'!$C$2:$C$700,MATCH($C3223,'تحليل التكلفة والسعر'!$B$2:$B$700,0)),0))</f>
        <v>105.113430675</v>
      </c>
      <c r="H3223" s="104" t="s">
        <v>719</v>
      </c>
    </row>
    <row r="3224" customFormat="false" ht="15" hidden="false" customHeight="false" outlineLevel="0" collapsed="false">
      <c r="A3224" s="103" t="n">
        <v>46302</v>
      </c>
      <c r="B3224" s="104" t="s">
        <v>32</v>
      </c>
      <c r="C3224" s="104" t="s">
        <v>396</v>
      </c>
      <c r="D3224" s="105" t="n">
        <v>0.5833</v>
      </c>
      <c r="E3224" s="106" t="n">
        <v>341.4286</v>
      </c>
      <c r="F3224" s="107" t="n">
        <f aca="false">IF($C3224="","",$D3224*$E3224)</f>
        <v>199.15530238</v>
      </c>
      <c r="G3224" s="107" t="n">
        <f aca="false">IF($C3224="","",$D3224*IFERROR(INDEX('تحليل التكلفة والسعر'!$C$2:$C$700,MATCH($C3224,'تحليل التكلفة والسعر'!$B$2:$B$700,0)),0))</f>
        <v>105.113430675</v>
      </c>
      <c r="H3224" s="104" t="s">
        <v>719</v>
      </c>
    </row>
    <row r="3225" customFormat="false" ht="15" hidden="false" customHeight="false" outlineLevel="0" collapsed="false">
      <c r="A3225" s="103" t="n">
        <v>46303</v>
      </c>
      <c r="B3225" s="104" t="s">
        <v>32</v>
      </c>
      <c r="C3225" s="104" t="s">
        <v>396</v>
      </c>
      <c r="D3225" s="105" t="n">
        <v>0.5833</v>
      </c>
      <c r="E3225" s="106" t="n">
        <v>341.4286</v>
      </c>
      <c r="F3225" s="107" t="n">
        <f aca="false">IF($C3225="","",$D3225*$E3225)</f>
        <v>199.15530238</v>
      </c>
      <c r="G3225" s="107" t="n">
        <f aca="false">IF($C3225="","",$D3225*IFERROR(INDEX('تحليل التكلفة والسعر'!$C$2:$C$700,MATCH($C3225,'تحليل التكلفة والسعر'!$B$2:$B$700,0)),0))</f>
        <v>105.113430675</v>
      </c>
      <c r="H3225" s="104" t="s">
        <v>719</v>
      </c>
    </row>
    <row r="3226" customFormat="false" ht="15" hidden="false" customHeight="false" outlineLevel="0" collapsed="false">
      <c r="A3226" s="103" t="n">
        <v>46304</v>
      </c>
      <c r="B3226" s="104" t="s">
        <v>32</v>
      </c>
      <c r="C3226" s="104" t="s">
        <v>396</v>
      </c>
      <c r="D3226" s="105" t="n">
        <v>0.5833</v>
      </c>
      <c r="E3226" s="106" t="n">
        <v>341.4286</v>
      </c>
      <c r="F3226" s="107" t="n">
        <f aca="false">IF($C3226="","",$D3226*$E3226)</f>
        <v>199.15530238</v>
      </c>
      <c r="G3226" s="107" t="n">
        <f aca="false">IF($C3226="","",$D3226*IFERROR(INDEX('تحليل التكلفة والسعر'!$C$2:$C$700,MATCH($C3226,'تحليل التكلفة والسعر'!$B$2:$B$700,0)),0))</f>
        <v>105.113430675</v>
      </c>
      <c r="H3226" s="104" t="s">
        <v>719</v>
      </c>
    </row>
    <row r="3227" customFormat="false" ht="15" hidden="false" customHeight="false" outlineLevel="0" collapsed="false">
      <c r="A3227" s="103" t="n">
        <v>46305</v>
      </c>
      <c r="B3227" s="104" t="s">
        <v>32</v>
      </c>
      <c r="C3227" s="104" t="s">
        <v>396</v>
      </c>
      <c r="D3227" s="105" t="n">
        <v>0.5833</v>
      </c>
      <c r="E3227" s="106" t="n">
        <v>341.4286</v>
      </c>
      <c r="F3227" s="107" t="n">
        <f aca="false">IF($C3227="","",$D3227*$E3227)</f>
        <v>199.15530238</v>
      </c>
      <c r="G3227" s="107" t="n">
        <f aca="false">IF($C3227="","",$D3227*IFERROR(INDEX('تحليل التكلفة والسعر'!$C$2:$C$700,MATCH($C3227,'تحليل التكلفة والسعر'!$B$2:$B$700,0)),0))</f>
        <v>105.113430675</v>
      </c>
      <c r="H3227" s="104" t="s">
        <v>719</v>
      </c>
    </row>
    <row r="3228" customFormat="false" ht="15" hidden="false" customHeight="false" outlineLevel="0" collapsed="false">
      <c r="A3228" s="103" t="n">
        <v>46306</v>
      </c>
      <c r="B3228" s="104" t="s">
        <v>32</v>
      </c>
      <c r="C3228" s="104" t="s">
        <v>396</v>
      </c>
      <c r="D3228" s="105" t="n">
        <v>0.5833</v>
      </c>
      <c r="E3228" s="106" t="n">
        <v>341.4286</v>
      </c>
      <c r="F3228" s="107" t="n">
        <f aca="false">IF($C3228="","",$D3228*$E3228)</f>
        <v>199.15530238</v>
      </c>
      <c r="G3228" s="107" t="n">
        <f aca="false">IF($C3228="","",$D3228*IFERROR(INDEX('تحليل التكلفة والسعر'!$C$2:$C$700,MATCH($C3228,'تحليل التكلفة والسعر'!$B$2:$B$700,0)),0))</f>
        <v>105.113430675</v>
      </c>
      <c r="H3228" s="104" t="s">
        <v>719</v>
      </c>
    </row>
    <row r="3229" customFormat="false" ht="15" hidden="false" customHeight="false" outlineLevel="0" collapsed="false">
      <c r="A3229" s="103" t="n">
        <v>46307</v>
      </c>
      <c r="B3229" s="104" t="s">
        <v>32</v>
      </c>
      <c r="C3229" s="104" t="s">
        <v>396</v>
      </c>
      <c r="D3229" s="105" t="n">
        <v>0.5833</v>
      </c>
      <c r="E3229" s="106" t="n">
        <v>341.4286</v>
      </c>
      <c r="F3229" s="107" t="n">
        <f aca="false">IF($C3229="","",$D3229*$E3229)</f>
        <v>199.15530238</v>
      </c>
      <c r="G3229" s="107" t="n">
        <f aca="false">IF($C3229="","",$D3229*IFERROR(INDEX('تحليل التكلفة والسعر'!$C$2:$C$700,MATCH($C3229,'تحليل التكلفة والسعر'!$B$2:$B$700,0)),0))</f>
        <v>105.113430675</v>
      </c>
      <c r="H3229" s="104" t="s">
        <v>719</v>
      </c>
    </row>
    <row r="3230" customFormat="false" ht="15" hidden="false" customHeight="false" outlineLevel="0" collapsed="false">
      <c r="A3230" s="103" t="n">
        <v>46296</v>
      </c>
      <c r="B3230" s="104" t="s">
        <v>32</v>
      </c>
      <c r="C3230" s="104" t="s">
        <v>745</v>
      </c>
      <c r="D3230" s="105" t="n">
        <v>0.1667</v>
      </c>
      <c r="E3230" s="106" t="n">
        <v>35</v>
      </c>
      <c r="F3230" s="107" t="n">
        <f aca="false">IF($C3230="","",$D3230*$E3230)</f>
        <v>5.8345</v>
      </c>
      <c r="G3230" s="107" t="n">
        <f aca="false">IF($C3230="","",$D3230*IFERROR(INDEX('تحليل التكلفة والسعر'!$C$2:$C$700,MATCH($C3230,'تحليل التكلفة والسعر'!$B$2:$B$700,0)),0))</f>
        <v>1.75035</v>
      </c>
      <c r="H3230" s="104" t="s">
        <v>719</v>
      </c>
    </row>
    <row r="3231" customFormat="false" ht="15" hidden="false" customHeight="false" outlineLevel="0" collapsed="false">
      <c r="A3231" s="103" t="n">
        <v>46297</v>
      </c>
      <c r="B3231" s="104" t="s">
        <v>32</v>
      </c>
      <c r="C3231" s="104" t="s">
        <v>745</v>
      </c>
      <c r="D3231" s="105" t="n">
        <v>0.1667</v>
      </c>
      <c r="E3231" s="106" t="n">
        <v>35</v>
      </c>
      <c r="F3231" s="107" t="n">
        <f aca="false">IF($C3231="","",$D3231*$E3231)</f>
        <v>5.8345</v>
      </c>
      <c r="G3231" s="107" t="n">
        <f aca="false">IF($C3231="","",$D3231*IFERROR(INDEX('تحليل التكلفة والسعر'!$C$2:$C$700,MATCH($C3231,'تحليل التكلفة والسعر'!$B$2:$B$700,0)),0))</f>
        <v>1.75035</v>
      </c>
      <c r="H3231" s="104" t="s">
        <v>719</v>
      </c>
    </row>
    <row r="3232" customFormat="false" ht="15" hidden="false" customHeight="false" outlineLevel="0" collapsed="false">
      <c r="A3232" s="103" t="n">
        <v>46298</v>
      </c>
      <c r="B3232" s="104" t="s">
        <v>32</v>
      </c>
      <c r="C3232" s="104" t="s">
        <v>745</v>
      </c>
      <c r="D3232" s="105" t="n">
        <v>0.1667</v>
      </c>
      <c r="E3232" s="106" t="n">
        <v>35</v>
      </c>
      <c r="F3232" s="107" t="n">
        <f aca="false">IF($C3232="","",$D3232*$E3232)</f>
        <v>5.8345</v>
      </c>
      <c r="G3232" s="107" t="n">
        <f aca="false">IF($C3232="","",$D3232*IFERROR(INDEX('تحليل التكلفة والسعر'!$C$2:$C$700,MATCH($C3232,'تحليل التكلفة والسعر'!$B$2:$B$700,0)),0))</f>
        <v>1.75035</v>
      </c>
      <c r="H3232" s="104" t="s">
        <v>719</v>
      </c>
    </row>
    <row r="3233" customFormat="false" ht="15" hidden="false" customHeight="false" outlineLevel="0" collapsed="false">
      <c r="A3233" s="103" t="n">
        <v>46299</v>
      </c>
      <c r="B3233" s="104" t="s">
        <v>32</v>
      </c>
      <c r="C3233" s="104" t="s">
        <v>745</v>
      </c>
      <c r="D3233" s="105" t="n">
        <v>0.1667</v>
      </c>
      <c r="E3233" s="106" t="n">
        <v>35</v>
      </c>
      <c r="F3233" s="107" t="n">
        <f aca="false">IF($C3233="","",$D3233*$E3233)</f>
        <v>5.8345</v>
      </c>
      <c r="G3233" s="107" t="n">
        <f aca="false">IF($C3233="","",$D3233*IFERROR(INDEX('تحليل التكلفة والسعر'!$C$2:$C$700,MATCH($C3233,'تحليل التكلفة والسعر'!$B$2:$B$700,0)),0))</f>
        <v>1.75035</v>
      </c>
      <c r="H3233" s="104" t="s">
        <v>719</v>
      </c>
    </row>
    <row r="3234" customFormat="false" ht="15" hidden="false" customHeight="false" outlineLevel="0" collapsed="false">
      <c r="A3234" s="103" t="n">
        <v>46300</v>
      </c>
      <c r="B3234" s="104" t="s">
        <v>32</v>
      </c>
      <c r="C3234" s="104" t="s">
        <v>745</v>
      </c>
      <c r="D3234" s="105" t="n">
        <v>0.1667</v>
      </c>
      <c r="E3234" s="106" t="n">
        <v>35</v>
      </c>
      <c r="F3234" s="107" t="n">
        <f aca="false">IF($C3234="","",$D3234*$E3234)</f>
        <v>5.8345</v>
      </c>
      <c r="G3234" s="107" t="n">
        <f aca="false">IF($C3234="","",$D3234*IFERROR(INDEX('تحليل التكلفة والسعر'!$C$2:$C$700,MATCH($C3234,'تحليل التكلفة والسعر'!$B$2:$B$700,0)),0))</f>
        <v>1.75035</v>
      </c>
      <c r="H3234" s="104" t="s">
        <v>719</v>
      </c>
    </row>
    <row r="3235" customFormat="false" ht="15" hidden="false" customHeight="false" outlineLevel="0" collapsed="false">
      <c r="A3235" s="103" t="n">
        <v>46301</v>
      </c>
      <c r="B3235" s="104" t="s">
        <v>32</v>
      </c>
      <c r="C3235" s="104" t="s">
        <v>745</v>
      </c>
      <c r="D3235" s="105" t="n">
        <v>0.1667</v>
      </c>
      <c r="E3235" s="106" t="n">
        <v>35</v>
      </c>
      <c r="F3235" s="107" t="n">
        <f aca="false">IF($C3235="","",$D3235*$E3235)</f>
        <v>5.8345</v>
      </c>
      <c r="G3235" s="107" t="n">
        <f aca="false">IF($C3235="","",$D3235*IFERROR(INDEX('تحليل التكلفة والسعر'!$C$2:$C$700,MATCH($C3235,'تحليل التكلفة والسعر'!$B$2:$B$700,0)),0))</f>
        <v>1.75035</v>
      </c>
      <c r="H3235" s="104" t="s">
        <v>719</v>
      </c>
    </row>
    <row r="3236" customFormat="false" ht="15" hidden="false" customHeight="false" outlineLevel="0" collapsed="false">
      <c r="A3236" s="103" t="n">
        <v>46302</v>
      </c>
      <c r="B3236" s="104" t="s">
        <v>32</v>
      </c>
      <c r="C3236" s="104" t="s">
        <v>745</v>
      </c>
      <c r="D3236" s="105" t="n">
        <v>0.1667</v>
      </c>
      <c r="E3236" s="106" t="n">
        <v>35</v>
      </c>
      <c r="F3236" s="107" t="n">
        <f aca="false">IF($C3236="","",$D3236*$E3236)</f>
        <v>5.8345</v>
      </c>
      <c r="G3236" s="107" t="n">
        <f aca="false">IF($C3236="","",$D3236*IFERROR(INDEX('تحليل التكلفة والسعر'!$C$2:$C$700,MATCH($C3236,'تحليل التكلفة والسعر'!$B$2:$B$700,0)),0))</f>
        <v>1.75035</v>
      </c>
      <c r="H3236" s="104" t="s">
        <v>719</v>
      </c>
    </row>
    <row r="3237" customFormat="false" ht="15" hidden="false" customHeight="false" outlineLevel="0" collapsed="false">
      <c r="A3237" s="103" t="n">
        <v>46303</v>
      </c>
      <c r="B3237" s="104" t="s">
        <v>32</v>
      </c>
      <c r="C3237" s="104" t="s">
        <v>745</v>
      </c>
      <c r="D3237" s="105" t="n">
        <v>0.1667</v>
      </c>
      <c r="E3237" s="106" t="n">
        <v>35</v>
      </c>
      <c r="F3237" s="107" t="n">
        <f aca="false">IF($C3237="","",$D3237*$E3237)</f>
        <v>5.8345</v>
      </c>
      <c r="G3237" s="107" t="n">
        <f aca="false">IF($C3237="","",$D3237*IFERROR(INDEX('تحليل التكلفة والسعر'!$C$2:$C$700,MATCH($C3237,'تحليل التكلفة والسعر'!$B$2:$B$700,0)),0))</f>
        <v>1.75035</v>
      </c>
      <c r="H3237" s="104" t="s">
        <v>719</v>
      </c>
    </row>
    <row r="3238" customFormat="false" ht="15" hidden="false" customHeight="false" outlineLevel="0" collapsed="false">
      <c r="A3238" s="103" t="n">
        <v>46304</v>
      </c>
      <c r="B3238" s="104" t="s">
        <v>32</v>
      </c>
      <c r="C3238" s="104" t="s">
        <v>745</v>
      </c>
      <c r="D3238" s="105" t="n">
        <v>0.1667</v>
      </c>
      <c r="E3238" s="106" t="n">
        <v>35</v>
      </c>
      <c r="F3238" s="107" t="n">
        <f aca="false">IF($C3238="","",$D3238*$E3238)</f>
        <v>5.8345</v>
      </c>
      <c r="G3238" s="107" t="n">
        <f aca="false">IF($C3238="","",$D3238*IFERROR(INDEX('تحليل التكلفة والسعر'!$C$2:$C$700,MATCH($C3238,'تحليل التكلفة والسعر'!$B$2:$B$700,0)),0))</f>
        <v>1.75035</v>
      </c>
      <c r="H3238" s="104" t="s">
        <v>719</v>
      </c>
    </row>
    <row r="3239" customFormat="false" ht="15" hidden="false" customHeight="false" outlineLevel="0" collapsed="false">
      <c r="A3239" s="103" t="n">
        <v>46305</v>
      </c>
      <c r="B3239" s="104" t="s">
        <v>32</v>
      </c>
      <c r="C3239" s="104" t="s">
        <v>745</v>
      </c>
      <c r="D3239" s="105" t="n">
        <v>0.1667</v>
      </c>
      <c r="E3239" s="106" t="n">
        <v>35</v>
      </c>
      <c r="F3239" s="107" t="n">
        <f aca="false">IF($C3239="","",$D3239*$E3239)</f>
        <v>5.8345</v>
      </c>
      <c r="G3239" s="107" t="n">
        <f aca="false">IF($C3239="","",$D3239*IFERROR(INDEX('تحليل التكلفة والسعر'!$C$2:$C$700,MATCH($C3239,'تحليل التكلفة والسعر'!$B$2:$B$700,0)),0))</f>
        <v>1.75035</v>
      </c>
      <c r="H3239" s="104" t="s">
        <v>719</v>
      </c>
    </row>
    <row r="3240" customFormat="false" ht="15" hidden="false" customHeight="false" outlineLevel="0" collapsed="false">
      <c r="A3240" s="103" t="n">
        <v>46306</v>
      </c>
      <c r="B3240" s="104" t="s">
        <v>32</v>
      </c>
      <c r="C3240" s="104" t="s">
        <v>745</v>
      </c>
      <c r="D3240" s="105" t="n">
        <v>0.1667</v>
      </c>
      <c r="E3240" s="106" t="n">
        <v>35</v>
      </c>
      <c r="F3240" s="107" t="n">
        <f aca="false">IF($C3240="","",$D3240*$E3240)</f>
        <v>5.8345</v>
      </c>
      <c r="G3240" s="107" t="n">
        <f aca="false">IF($C3240="","",$D3240*IFERROR(INDEX('تحليل التكلفة والسعر'!$C$2:$C$700,MATCH($C3240,'تحليل التكلفة والسعر'!$B$2:$B$700,0)),0))</f>
        <v>1.75035</v>
      </c>
      <c r="H3240" s="104" t="s">
        <v>719</v>
      </c>
    </row>
    <row r="3241" customFormat="false" ht="15" hidden="false" customHeight="false" outlineLevel="0" collapsed="false">
      <c r="A3241" s="103" t="n">
        <v>46307</v>
      </c>
      <c r="B3241" s="104" t="s">
        <v>32</v>
      </c>
      <c r="C3241" s="104" t="s">
        <v>745</v>
      </c>
      <c r="D3241" s="105" t="n">
        <v>0.1667</v>
      </c>
      <c r="E3241" s="106" t="n">
        <v>35</v>
      </c>
      <c r="F3241" s="107" t="n">
        <f aca="false">IF($C3241="","",$D3241*$E3241)</f>
        <v>5.8345</v>
      </c>
      <c r="G3241" s="107" t="n">
        <f aca="false">IF($C3241="","",$D3241*IFERROR(INDEX('تحليل التكلفة والسعر'!$C$2:$C$700,MATCH($C3241,'تحليل التكلفة والسعر'!$B$2:$B$700,0)),0))</f>
        <v>1.75035</v>
      </c>
      <c r="H3241" s="104" t="s">
        <v>719</v>
      </c>
    </row>
    <row r="3242" customFormat="false" ht="15" hidden="false" customHeight="false" outlineLevel="0" collapsed="false">
      <c r="A3242" s="103" t="n">
        <v>46296</v>
      </c>
      <c r="B3242" s="104" t="s">
        <v>32</v>
      </c>
      <c r="C3242" s="104" t="s">
        <v>746</v>
      </c>
      <c r="D3242" s="105" t="n">
        <v>0.5833</v>
      </c>
      <c r="E3242" s="106" t="n">
        <v>27.8571</v>
      </c>
      <c r="F3242" s="107" t="n">
        <f aca="false">IF($C3242="","",$D3242*$E3242)</f>
        <v>16.24904643</v>
      </c>
      <c r="G3242" s="107" t="n">
        <f aca="false">IF($C3242="","",$D3242*IFERROR(INDEX('تحليل التكلفة والسعر'!$C$2:$C$700,MATCH($C3242,'تحليل التكلفة والسعر'!$B$2:$B$700,0)),0))</f>
        <v>4.0831</v>
      </c>
      <c r="H3242" s="104" t="s">
        <v>719</v>
      </c>
    </row>
    <row r="3243" customFormat="false" ht="15" hidden="false" customHeight="false" outlineLevel="0" collapsed="false">
      <c r="A3243" s="103" t="n">
        <v>46297</v>
      </c>
      <c r="B3243" s="104" t="s">
        <v>32</v>
      </c>
      <c r="C3243" s="104" t="s">
        <v>746</v>
      </c>
      <c r="D3243" s="105" t="n">
        <v>0.5833</v>
      </c>
      <c r="E3243" s="106" t="n">
        <v>27.8571</v>
      </c>
      <c r="F3243" s="107" t="n">
        <f aca="false">IF($C3243="","",$D3243*$E3243)</f>
        <v>16.24904643</v>
      </c>
      <c r="G3243" s="107" t="n">
        <f aca="false">IF($C3243="","",$D3243*IFERROR(INDEX('تحليل التكلفة والسعر'!$C$2:$C$700,MATCH($C3243,'تحليل التكلفة والسعر'!$B$2:$B$700,0)),0))</f>
        <v>4.0831</v>
      </c>
      <c r="H3243" s="104" t="s">
        <v>719</v>
      </c>
    </row>
    <row r="3244" customFormat="false" ht="15" hidden="false" customHeight="false" outlineLevel="0" collapsed="false">
      <c r="A3244" s="103" t="n">
        <v>46298</v>
      </c>
      <c r="B3244" s="104" t="s">
        <v>32</v>
      </c>
      <c r="C3244" s="104" t="s">
        <v>746</v>
      </c>
      <c r="D3244" s="105" t="n">
        <v>0.5833</v>
      </c>
      <c r="E3244" s="106" t="n">
        <v>27.8571</v>
      </c>
      <c r="F3244" s="107" t="n">
        <f aca="false">IF($C3244="","",$D3244*$E3244)</f>
        <v>16.24904643</v>
      </c>
      <c r="G3244" s="107" t="n">
        <f aca="false">IF($C3244="","",$D3244*IFERROR(INDEX('تحليل التكلفة والسعر'!$C$2:$C$700,MATCH($C3244,'تحليل التكلفة والسعر'!$B$2:$B$700,0)),0))</f>
        <v>4.0831</v>
      </c>
      <c r="H3244" s="104" t="s">
        <v>719</v>
      </c>
    </row>
    <row r="3245" customFormat="false" ht="15" hidden="false" customHeight="false" outlineLevel="0" collapsed="false">
      <c r="A3245" s="103" t="n">
        <v>46299</v>
      </c>
      <c r="B3245" s="104" t="s">
        <v>32</v>
      </c>
      <c r="C3245" s="104" t="s">
        <v>746</v>
      </c>
      <c r="D3245" s="105" t="n">
        <v>0.5833</v>
      </c>
      <c r="E3245" s="106" t="n">
        <v>27.8571</v>
      </c>
      <c r="F3245" s="107" t="n">
        <f aca="false">IF($C3245="","",$D3245*$E3245)</f>
        <v>16.24904643</v>
      </c>
      <c r="G3245" s="107" t="n">
        <f aca="false">IF($C3245="","",$D3245*IFERROR(INDEX('تحليل التكلفة والسعر'!$C$2:$C$700,MATCH($C3245,'تحليل التكلفة والسعر'!$B$2:$B$700,0)),0))</f>
        <v>4.0831</v>
      </c>
      <c r="H3245" s="104" t="s">
        <v>719</v>
      </c>
    </row>
    <row r="3246" customFormat="false" ht="15" hidden="false" customHeight="false" outlineLevel="0" collapsed="false">
      <c r="A3246" s="103" t="n">
        <v>46300</v>
      </c>
      <c r="B3246" s="104" t="s">
        <v>32</v>
      </c>
      <c r="C3246" s="104" t="s">
        <v>746</v>
      </c>
      <c r="D3246" s="105" t="n">
        <v>0.5833</v>
      </c>
      <c r="E3246" s="106" t="n">
        <v>27.8571</v>
      </c>
      <c r="F3246" s="107" t="n">
        <f aca="false">IF($C3246="","",$D3246*$E3246)</f>
        <v>16.24904643</v>
      </c>
      <c r="G3246" s="107" t="n">
        <f aca="false">IF($C3246="","",$D3246*IFERROR(INDEX('تحليل التكلفة والسعر'!$C$2:$C$700,MATCH($C3246,'تحليل التكلفة والسعر'!$B$2:$B$700,0)),0))</f>
        <v>4.0831</v>
      </c>
      <c r="H3246" s="104" t="s">
        <v>719</v>
      </c>
    </row>
    <row r="3247" customFormat="false" ht="15" hidden="false" customHeight="false" outlineLevel="0" collapsed="false">
      <c r="A3247" s="103" t="n">
        <v>46301</v>
      </c>
      <c r="B3247" s="104" t="s">
        <v>32</v>
      </c>
      <c r="C3247" s="104" t="s">
        <v>746</v>
      </c>
      <c r="D3247" s="105" t="n">
        <v>0.5833</v>
      </c>
      <c r="E3247" s="106" t="n">
        <v>27.8571</v>
      </c>
      <c r="F3247" s="107" t="n">
        <f aca="false">IF($C3247="","",$D3247*$E3247)</f>
        <v>16.24904643</v>
      </c>
      <c r="G3247" s="107" t="n">
        <f aca="false">IF($C3247="","",$D3247*IFERROR(INDEX('تحليل التكلفة والسعر'!$C$2:$C$700,MATCH($C3247,'تحليل التكلفة والسعر'!$B$2:$B$700,0)),0))</f>
        <v>4.0831</v>
      </c>
      <c r="H3247" s="104" t="s">
        <v>719</v>
      </c>
    </row>
    <row r="3248" customFormat="false" ht="15" hidden="false" customHeight="false" outlineLevel="0" collapsed="false">
      <c r="A3248" s="103" t="n">
        <v>46302</v>
      </c>
      <c r="B3248" s="104" t="s">
        <v>32</v>
      </c>
      <c r="C3248" s="104" t="s">
        <v>746</v>
      </c>
      <c r="D3248" s="105" t="n">
        <v>0.5833</v>
      </c>
      <c r="E3248" s="106" t="n">
        <v>27.8571</v>
      </c>
      <c r="F3248" s="107" t="n">
        <f aca="false">IF($C3248="","",$D3248*$E3248)</f>
        <v>16.24904643</v>
      </c>
      <c r="G3248" s="107" t="n">
        <f aca="false">IF($C3248="","",$D3248*IFERROR(INDEX('تحليل التكلفة والسعر'!$C$2:$C$700,MATCH($C3248,'تحليل التكلفة والسعر'!$B$2:$B$700,0)),0))</f>
        <v>4.0831</v>
      </c>
      <c r="H3248" s="104" t="s">
        <v>719</v>
      </c>
    </row>
    <row r="3249" customFormat="false" ht="15" hidden="false" customHeight="false" outlineLevel="0" collapsed="false">
      <c r="A3249" s="103" t="n">
        <v>46303</v>
      </c>
      <c r="B3249" s="104" t="s">
        <v>32</v>
      </c>
      <c r="C3249" s="104" t="s">
        <v>746</v>
      </c>
      <c r="D3249" s="105" t="n">
        <v>0.5833</v>
      </c>
      <c r="E3249" s="106" t="n">
        <v>27.8571</v>
      </c>
      <c r="F3249" s="107" t="n">
        <f aca="false">IF($C3249="","",$D3249*$E3249)</f>
        <v>16.24904643</v>
      </c>
      <c r="G3249" s="107" t="n">
        <f aca="false">IF($C3249="","",$D3249*IFERROR(INDEX('تحليل التكلفة والسعر'!$C$2:$C$700,MATCH($C3249,'تحليل التكلفة والسعر'!$B$2:$B$700,0)),0))</f>
        <v>4.0831</v>
      </c>
      <c r="H3249" s="104" t="s">
        <v>719</v>
      </c>
    </row>
    <row r="3250" customFormat="false" ht="15" hidden="false" customHeight="false" outlineLevel="0" collapsed="false">
      <c r="A3250" s="103" t="n">
        <v>46304</v>
      </c>
      <c r="B3250" s="104" t="s">
        <v>32</v>
      </c>
      <c r="C3250" s="104" t="s">
        <v>746</v>
      </c>
      <c r="D3250" s="105" t="n">
        <v>0.5833</v>
      </c>
      <c r="E3250" s="106" t="n">
        <v>27.8571</v>
      </c>
      <c r="F3250" s="107" t="n">
        <f aca="false">IF($C3250="","",$D3250*$E3250)</f>
        <v>16.24904643</v>
      </c>
      <c r="G3250" s="107" t="n">
        <f aca="false">IF($C3250="","",$D3250*IFERROR(INDEX('تحليل التكلفة والسعر'!$C$2:$C$700,MATCH($C3250,'تحليل التكلفة والسعر'!$B$2:$B$700,0)),0))</f>
        <v>4.0831</v>
      </c>
      <c r="H3250" s="104" t="s">
        <v>719</v>
      </c>
    </row>
    <row r="3251" customFormat="false" ht="15" hidden="false" customHeight="false" outlineLevel="0" collapsed="false">
      <c r="A3251" s="103" t="n">
        <v>46305</v>
      </c>
      <c r="B3251" s="104" t="s">
        <v>32</v>
      </c>
      <c r="C3251" s="104" t="s">
        <v>746</v>
      </c>
      <c r="D3251" s="105" t="n">
        <v>0.5833</v>
      </c>
      <c r="E3251" s="106" t="n">
        <v>27.8571</v>
      </c>
      <c r="F3251" s="107" t="n">
        <f aca="false">IF($C3251="","",$D3251*$E3251)</f>
        <v>16.24904643</v>
      </c>
      <c r="G3251" s="107" t="n">
        <f aca="false">IF($C3251="","",$D3251*IFERROR(INDEX('تحليل التكلفة والسعر'!$C$2:$C$700,MATCH($C3251,'تحليل التكلفة والسعر'!$B$2:$B$700,0)),0))</f>
        <v>4.0831</v>
      </c>
      <c r="H3251" s="104" t="s">
        <v>719</v>
      </c>
    </row>
    <row r="3252" customFormat="false" ht="15" hidden="false" customHeight="false" outlineLevel="0" collapsed="false">
      <c r="A3252" s="103" t="n">
        <v>46306</v>
      </c>
      <c r="B3252" s="104" t="s">
        <v>32</v>
      </c>
      <c r="C3252" s="104" t="s">
        <v>746</v>
      </c>
      <c r="D3252" s="105" t="n">
        <v>0.5833</v>
      </c>
      <c r="E3252" s="106" t="n">
        <v>27.8571</v>
      </c>
      <c r="F3252" s="107" t="n">
        <f aca="false">IF($C3252="","",$D3252*$E3252)</f>
        <v>16.24904643</v>
      </c>
      <c r="G3252" s="107" t="n">
        <f aca="false">IF($C3252="","",$D3252*IFERROR(INDEX('تحليل التكلفة والسعر'!$C$2:$C$700,MATCH($C3252,'تحليل التكلفة والسعر'!$B$2:$B$700,0)),0))</f>
        <v>4.0831</v>
      </c>
      <c r="H3252" s="104" t="s">
        <v>719</v>
      </c>
    </row>
    <row r="3253" customFormat="false" ht="15" hidden="false" customHeight="false" outlineLevel="0" collapsed="false">
      <c r="A3253" s="103" t="n">
        <v>46307</v>
      </c>
      <c r="B3253" s="104" t="s">
        <v>32</v>
      </c>
      <c r="C3253" s="104" t="s">
        <v>746</v>
      </c>
      <c r="D3253" s="105" t="n">
        <v>0.5833</v>
      </c>
      <c r="E3253" s="106" t="n">
        <v>27.8571</v>
      </c>
      <c r="F3253" s="107" t="n">
        <f aca="false">IF($C3253="","",$D3253*$E3253)</f>
        <v>16.24904643</v>
      </c>
      <c r="G3253" s="107" t="n">
        <f aca="false">IF($C3253="","",$D3253*IFERROR(INDEX('تحليل التكلفة والسعر'!$C$2:$C$700,MATCH($C3253,'تحليل التكلفة والسعر'!$B$2:$B$700,0)),0))</f>
        <v>4.0831</v>
      </c>
      <c r="H3253" s="104" t="s">
        <v>719</v>
      </c>
    </row>
    <row r="3254" customFormat="false" ht="15" hidden="false" customHeight="false" outlineLevel="0" collapsed="false">
      <c r="A3254" s="103" t="n">
        <v>46296</v>
      </c>
      <c r="B3254" s="104" t="s">
        <v>32</v>
      </c>
      <c r="C3254" s="104" t="s">
        <v>747</v>
      </c>
      <c r="D3254" s="105" t="n">
        <v>0.6667</v>
      </c>
      <c r="E3254" s="106" t="n">
        <v>21.875</v>
      </c>
      <c r="F3254" s="107" t="n">
        <f aca="false">IF($C3254="","",$D3254*$E3254)</f>
        <v>14.5840625</v>
      </c>
      <c r="G3254" s="107" t="n">
        <f aca="false">IF($C3254="","",$D3254*IFERROR(INDEX('تحليل التكلفة والسعر'!$C$2:$C$700,MATCH($C3254,'تحليل التكلفة والسعر'!$B$2:$B$700,0)),0))</f>
        <v>7.00035</v>
      </c>
      <c r="H3254" s="104" t="s">
        <v>719</v>
      </c>
    </row>
    <row r="3255" customFormat="false" ht="15" hidden="false" customHeight="false" outlineLevel="0" collapsed="false">
      <c r="A3255" s="103" t="n">
        <v>46297</v>
      </c>
      <c r="B3255" s="104" t="s">
        <v>32</v>
      </c>
      <c r="C3255" s="104" t="s">
        <v>747</v>
      </c>
      <c r="D3255" s="105" t="n">
        <v>0.6667</v>
      </c>
      <c r="E3255" s="106" t="n">
        <v>21.875</v>
      </c>
      <c r="F3255" s="107" t="n">
        <f aca="false">IF($C3255="","",$D3255*$E3255)</f>
        <v>14.5840625</v>
      </c>
      <c r="G3255" s="107" t="n">
        <f aca="false">IF($C3255="","",$D3255*IFERROR(INDEX('تحليل التكلفة والسعر'!$C$2:$C$700,MATCH($C3255,'تحليل التكلفة والسعر'!$B$2:$B$700,0)),0))</f>
        <v>7.00035</v>
      </c>
      <c r="H3255" s="104" t="s">
        <v>719</v>
      </c>
    </row>
    <row r="3256" customFormat="false" ht="15" hidden="false" customHeight="false" outlineLevel="0" collapsed="false">
      <c r="A3256" s="103" t="n">
        <v>46298</v>
      </c>
      <c r="B3256" s="104" t="s">
        <v>32</v>
      </c>
      <c r="C3256" s="104" t="s">
        <v>747</v>
      </c>
      <c r="D3256" s="105" t="n">
        <v>0.6667</v>
      </c>
      <c r="E3256" s="106" t="n">
        <v>21.875</v>
      </c>
      <c r="F3256" s="107" t="n">
        <f aca="false">IF($C3256="","",$D3256*$E3256)</f>
        <v>14.5840625</v>
      </c>
      <c r="G3256" s="107" t="n">
        <f aca="false">IF($C3256="","",$D3256*IFERROR(INDEX('تحليل التكلفة والسعر'!$C$2:$C$700,MATCH($C3256,'تحليل التكلفة والسعر'!$B$2:$B$700,0)),0))</f>
        <v>7.00035</v>
      </c>
      <c r="H3256" s="104" t="s">
        <v>719</v>
      </c>
    </row>
    <row r="3257" customFormat="false" ht="15" hidden="false" customHeight="false" outlineLevel="0" collapsed="false">
      <c r="A3257" s="103" t="n">
        <v>46299</v>
      </c>
      <c r="B3257" s="104" t="s">
        <v>32</v>
      </c>
      <c r="C3257" s="104" t="s">
        <v>747</v>
      </c>
      <c r="D3257" s="105" t="n">
        <v>0.6667</v>
      </c>
      <c r="E3257" s="106" t="n">
        <v>21.875</v>
      </c>
      <c r="F3257" s="107" t="n">
        <f aca="false">IF($C3257="","",$D3257*$E3257)</f>
        <v>14.5840625</v>
      </c>
      <c r="G3257" s="107" t="n">
        <f aca="false">IF($C3257="","",$D3257*IFERROR(INDEX('تحليل التكلفة والسعر'!$C$2:$C$700,MATCH($C3257,'تحليل التكلفة والسعر'!$B$2:$B$700,0)),0))</f>
        <v>7.00035</v>
      </c>
      <c r="H3257" s="104" t="s">
        <v>719</v>
      </c>
    </row>
    <row r="3258" customFormat="false" ht="15" hidden="false" customHeight="false" outlineLevel="0" collapsed="false">
      <c r="A3258" s="103" t="n">
        <v>46300</v>
      </c>
      <c r="B3258" s="104" t="s">
        <v>32</v>
      </c>
      <c r="C3258" s="104" t="s">
        <v>747</v>
      </c>
      <c r="D3258" s="105" t="n">
        <v>0.6667</v>
      </c>
      <c r="E3258" s="106" t="n">
        <v>21.875</v>
      </c>
      <c r="F3258" s="107" t="n">
        <f aca="false">IF($C3258="","",$D3258*$E3258)</f>
        <v>14.5840625</v>
      </c>
      <c r="G3258" s="107" t="n">
        <f aca="false">IF($C3258="","",$D3258*IFERROR(INDEX('تحليل التكلفة والسعر'!$C$2:$C$700,MATCH($C3258,'تحليل التكلفة والسعر'!$B$2:$B$700,0)),0))</f>
        <v>7.00035</v>
      </c>
      <c r="H3258" s="104" t="s">
        <v>719</v>
      </c>
    </row>
    <row r="3259" customFormat="false" ht="15" hidden="false" customHeight="false" outlineLevel="0" collapsed="false">
      <c r="A3259" s="103" t="n">
        <v>46301</v>
      </c>
      <c r="B3259" s="104" t="s">
        <v>32</v>
      </c>
      <c r="C3259" s="104" t="s">
        <v>747</v>
      </c>
      <c r="D3259" s="105" t="n">
        <v>0.6667</v>
      </c>
      <c r="E3259" s="106" t="n">
        <v>21.875</v>
      </c>
      <c r="F3259" s="107" t="n">
        <f aca="false">IF($C3259="","",$D3259*$E3259)</f>
        <v>14.5840625</v>
      </c>
      <c r="G3259" s="107" t="n">
        <f aca="false">IF($C3259="","",$D3259*IFERROR(INDEX('تحليل التكلفة والسعر'!$C$2:$C$700,MATCH($C3259,'تحليل التكلفة والسعر'!$B$2:$B$700,0)),0))</f>
        <v>7.00035</v>
      </c>
      <c r="H3259" s="104" t="s">
        <v>719</v>
      </c>
    </row>
    <row r="3260" customFormat="false" ht="15" hidden="false" customHeight="false" outlineLevel="0" collapsed="false">
      <c r="A3260" s="103" t="n">
        <v>46302</v>
      </c>
      <c r="B3260" s="104" t="s">
        <v>32</v>
      </c>
      <c r="C3260" s="104" t="s">
        <v>747</v>
      </c>
      <c r="D3260" s="105" t="n">
        <v>0.6667</v>
      </c>
      <c r="E3260" s="106" t="n">
        <v>21.875</v>
      </c>
      <c r="F3260" s="107" t="n">
        <f aca="false">IF($C3260="","",$D3260*$E3260)</f>
        <v>14.5840625</v>
      </c>
      <c r="G3260" s="107" t="n">
        <f aca="false">IF($C3260="","",$D3260*IFERROR(INDEX('تحليل التكلفة والسعر'!$C$2:$C$700,MATCH($C3260,'تحليل التكلفة والسعر'!$B$2:$B$700,0)),0))</f>
        <v>7.00035</v>
      </c>
      <c r="H3260" s="104" t="s">
        <v>719</v>
      </c>
    </row>
    <row r="3261" customFormat="false" ht="15" hidden="false" customHeight="false" outlineLevel="0" collapsed="false">
      <c r="A3261" s="103" t="n">
        <v>46303</v>
      </c>
      <c r="B3261" s="104" t="s">
        <v>32</v>
      </c>
      <c r="C3261" s="104" t="s">
        <v>747</v>
      </c>
      <c r="D3261" s="105" t="n">
        <v>0.6667</v>
      </c>
      <c r="E3261" s="106" t="n">
        <v>21.875</v>
      </c>
      <c r="F3261" s="107" t="n">
        <f aca="false">IF($C3261="","",$D3261*$E3261)</f>
        <v>14.5840625</v>
      </c>
      <c r="G3261" s="107" t="n">
        <f aca="false">IF($C3261="","",$D3261*IFERROR(INDEX('تحليل التكلفة والسعر'!$C$2:$C$700,MATCH($C3261,'تحليل التكلفة والسعر'!$B$2:$B$700,0)),0))</f>
        <v>7.00035</v>
      </c>
      <c r="H3261" s="104" t="s">
        <v>719</v>
      </c>
    </row>
    <row r="3262" customFormat="false" ht="15" hidden="false" customHeight="false" outlineLevel="0" collapsed="false">
      <c r="A3262" s="103" t="n">
        <v>46304</v>
      </c>
      <c r="B3262" s="104" t="s">
        <v>32</v>
      </c>
      <c r="C3262" s="104" t="s">
        <v>747</v>
      </c>
      <c r="D3262" s="105" t="n">
        <v>0.6667</v>
      </c>
      <c r="E3262" s="106" t="n">
        <v>21.875</v>
      </c>
      <c r="F3262" s="107" t="n">
        <f aca="false">IF($C3262="","",$D3262*$E3262)</f>
        <v>14.5840625</v>
      </c>
      <c r="G3262" s="107" t="n">
        <f aca="false">IF($C3262="","",$D3262*IFERROR(INDEX('تحليل التكلفة والسعر'!$C$2:$C$700,MATCH($C3262,'تحليل التكلفة والسعر'!$B$2:$B$700,0)),0))</f>
        <v>7.00035</v>
      </c>
      <c r="H3262" s="104" t="s">
        <v>719</v>
      </c>
    </row>
    <row r="3263" customFormat="false" ht="15" hidden="false" customHeight="false" outlineLevel="0" collapsed="false">
      <c r="A3263" s="103" t="n">
        <v>46305</v>
      </c>
      <c r="B3263" s="104" t="s">
        <v>32</v>
      </c>
      <c r="C3263" s="104" t="s">
        <v>747</v>
      </c>
      <c r="D3263" s="105" t="n">
        <v>0.6667</v>
      </c>
      <c r="E3263" s="106" t="n">
        <v>21.875</v>
      </c>
      <c r="F3263" s="107" t="n">
        <f aca="false">IF($C3263="","",$D3263*$E3263)</f>
        <v>14.5840625</v>
      </c>
      <c r="G3263" s="107" t="n">
        <f aca="false">IF($C3263="","",$D3263*IFERROR(INDEX('تحليل التكلفة والسعر'!$C$2:$C$700,MATCH($C3263,'تحليل التكلفة والسعر'!$B$2:$B$700,0)),0))</f>
        <v>7.00035</v>
      </c>
      <c r="H3263" s="104" t="s">
        <v>719</v>
      </c>
    </row>
    <row r="3264" customFormat="false" ht="15" hidden="false" customHeight="false" outlineLevel="0" collapsed="false">
      <c r="A3264" s="103" t="n">
        <v>46306</v>
      </c>
      <c r="B3264" s="104" t="s">
        <v>32</v>
      </c>
      <c r="C3264" s="104" t="s">
        <v>747</v>
      </c>
      <c r="D3264" s="105" t="n">
        <v>0.6667</v>
      </c>
      <c r="E3264" s="106" t="n">
        <v>21.875</v>
      </c>
      <c r="F3264" s="107" t="n">
        <f aca="false">IF($C3264="","",$D3264*$E3264)</f>
        <v>14.5840625</v>
      </c>
      <c r="G3264" s="107" t="n">
        <f aca="false">IF($C3264="","",$D3264*IFERROR(INDEX('تحليل التكلفة والسعر'!$C$2:$C$700,MATCH($C3264,'تحليل التكلفة والسعر'!$B$2:$B$700,0)),0))</f>
        <v>7.00035</v>
      </c>
      <c r="H3264" s="104" t="s">
        <v>719</v>
      </c>
    </row>
    <row r="3265" customFormat="false" ht="15" hidden="false" customHeight="false" outlineLevel="0" collapsed="false">
      <c r="A3265" s="103" t="n">
        <v>46307</v>
      </c>
      <c r="B3265" s="104" t="s">
        <v>32</v>
      </c>
      <c r="C3265" s="104" t="s">
        <v>747</v>
      </c>
      <c r="D3265" s="105" t="n">
        <v>0.6667</v>
      </c>
      <c r="E3265" s="106" t="n">
        <v>21.875</v>
      </c>
      <c r="F3265" s="107" t="n">
        <f aca="false">IF($C3265="","",$D3265*$E3265)</f>
        <v>14.5840625</v>
      </c>
      <c r="G3265" s="107" t="n">
        <f aca="false">IF($C3265="","",$D3265*IFERROR(INDEX('تحليل التكلفة والسعر'!$C$2:$C$700,MATCH($C3265,'تحليل التكلفة والسعر'!$B$2:$B$700,0)),0))</f>
        <v>7.00035</v>
      </c>
      <c r="H3265" s="104" t="s">
        <v>719</v>
      </c>
    </row>
    <row r="3266" customFormat="false" ht="15" hidden="false" customHeight="false" outlineLevel="0" collapsed="false">
      <c r="A3266" s="103" t="n">
        <v>46296</v>
      </c>
      <c r="B3266" s="104" t="s">
        <v>32</v>
      </c>
      <c r="C3266" s="104" t="s">
        <v>748</v>
      </c>
      <c r="D3266" s="105" t="n">
        <v>0.0833</v>
      </c>
      <c r="E3266" s="106" t="n">
        <v>30</v>
      </c>
      <c r="F3266" s="107" t="n">
        <f aca="false">IF($C3266="","",$D3266*$E3266)</f>
        <v>2.499</v>
      </c>
      <c r="G3266" s="107" t="n">
        <f aca="false">IF($C3266="","",$D3266*IFERROR(INDEX('تحليل التكلفة والسعر'!$C$2:$C$700,MATCH($C3266,'تحليل التكلفة والسعر'!$B$2:$B$700,0)),0))</f>
        <v>1.7493</v>
      </c>
      <c r="H3266" s="104" t="s">
        <v>719</v>
      </c>
    </row>
    <row r="3267" customFormat="false" ht="15" hidden="false" customHeight="false" outlineLevel="0" collapsed="false">
      <c r="A3267" s="103" t="n">
        <v>46297</v>
      </c>
      <c r="B3267" s="104" t="s">
        <v>32</v>
      </c>
      <c r="C3267" s="104" t="s">
        <v>748</v>
      </c>
      <c r="D3267" s="105" t="n">
        <v>0.0833</v>
      </c>
      <c r="E3267" s="106" t="n">
        <v>30</v>
      </c>
      <c r="F3267" s="107" t="n">
        <f aca="false">IF($C3267="","",$D3267*$E3267)</f>
        <v>2.499</v>
      </c>
      <c r="G3267" s="107" t="n">
        <f aca="false">IF($C3267="","",$D3267*IFERROR(INDEX('تحليل التكلفة والسعر'!$C$2:$C$700,MATCH($C3267,'تحليل التكلفة والسعر'!$B$2:$B$700,0)),0))</f>
        <v>1.7493</v>
      </c>
      <c r="H3267" s="104" t="s">
        <v>719</v>
      </c>
    </row>
    <row r="3268" customFormat="false" ht="15" hidden="false" customHeight="false" outlineLevel="0" collapsed="false">
      <c r="A3268" s="103" t="n">
        <v>46298</v>
      </c>
      <c r="B3268" s="104" t="s">
        <v>32</v>
      </c>
      <c r="C3268" s="104" t="s">
        <v>748</v>
      </c>
      <c r="D3268" s="105" t="n">
        <v>0.0833</v>
      </c>
      <c r="E3268" s="106" t="n">
        <v>30</v>
      </c>
      <c r="F3268" s="107" t="n">
        <f aca="false">IF($C3268="","",$D3268*$E3268)</f>
        <v>2.499</v>
      </c>
      <c r="G3268" s="107" t="n">
        <f aca="false">IF($C3268="","",$D3268*IFERROR(INDEX('تحليل التكلفة والسعر'!$C$2:$C$700,MATCH($C3268,'تحليل التكلفة والسعر'!$B$2:$B$700,0)),0))</f>
        <v>1.7493</v>
      </c>
      <c r="H3268" s="104" t="s">
        <v>719</v>
      </c>
    </row>
    <row r="3269" customFormat="false" ht="15" hidden="false" customHeight="false" outlineLevel="0" collapsed="false">
      <c r="A3269" s="103" t="n">
        <v>46299</v>
      </c>
      <c r="B3269" s="104" t="s">
        <v>32</v>
      </c>
      <c r="C3269" s="104" t="s">
        <v>748</v>
      </c>
      <c r="D3269" s="105" t="n">
        <v>0.0833</v>
      </c>
      <c r="E3269" s="106" t="n">
        <v>30</v>
      </c>
      <c r="F3269" s="107" t="n">
        <f aca="false">IF($C3269="","",$D3269*$E3269)</f>
        <v>2.499</v>
      </c>
      <c r="G3269" s="107" t="n">
        <f aca="false">IF($C3269="","",$D3269*IFERROR(INDEX('تحليل التكلفة والسعر'!$C$2:$C$700,MATCH($C3269,'تحليل التكلفة والسعر'!$B$2:$B$700,0)),0))</f>
        <v>1.7493</v>
      </c>
      <c r="H3269" s="104" t="s">
        <v>719</v>
      </c>
    </row>
    <row r="3270" customFormat="false" ht="15" hidden="false" customHeight="false" outlineLevel="0" collapsed="false">
      <c r="A3270" s="103" t="n">
        <v>46300</v>
      </c>
      <c r="B3270" s="104" t="s">
        <v>32</v>
      </c>
      <c r="C3270" s="104" t="s">
        <v>748</v>
      </c>
      <c r="D3270" s="105" t="n">
        <v>0.0833</v>
      </c>
      <c r="E3270" s="106" t="n">
        <v>30</v>
      </c>
      <c r="F3270" s="107" t="n">
        <f aca="false">IF($C3270="","",$D3270*$E3270)</f>
        <v>2.499</v>
      </c>
      <c r="G3270" s="107" t="n">
        <f aca="false">IF($C3270="","",$D3270*IFERROR(INDEX('تحليل التكلفة والسعر'!$C$2:$C$700,MATCH($C3270,'تحليل التكلفة والسعر'!$B$2:$B$700,0)),0))</f>
        <v>1.7493</v>
      </c>
      <c r="H3270" s="104" t="s">
        <v>719</v>
      </c>
    </row>
    <row r="3271" customFormat="false" ht="15" hidden="false" customHeight="false" outlineLevel="0" collapsed="false">
      <c r="A3271" s="103" t="n">
        <v>46301</v>
      </c>
      <c r="B3271" s="104" t="s">
        <v>32</v>
      </c>
      <c r="C3271" s="104" t="s">
        <v>748</v>
      </c>
      <c r="D3271" s="105" t="n">
        <v>0.0833</v>
      </c>
      <c r="E3271" s="106" t="n">
        <v>30</v>
      </c>
      <c r="F3271" s="107" t="n">
        <f aca="false">IF($C3271="","",$D3271*$E3271)</f>
        <v>2.499</v>
      </c>
      <c r="G3271" s="107" t="n">
        <f aca="false">IF($C3271="","",$D3271*IFERROR(INDEX('تحليل التكلفة والسعر'!$C$2:$C$700,MATCH($C3271,'تحليل التكلفة والسعر'!$B$2:$B$700,0)),0))</f>
        <v>1.7493</v>
      </c>
      <c r="H3271" s="104" t="s">
        <v>719</v>
      </c>
    </row>
    <row r="3272" customFormat="false" ht="15" hidden="false" customHeight="false" outlineLevel="0" collapsed="false">
      <c r="A3272" s="103" t="n">
        <v>46302</v>
      </c>
      <c r="B3272" s="104" t="s">
        <v>32</v>
      </c>
      <c r="C3272" s="104" t="s">
        <v>748</v>
      </c>
      <c r="D3272" s="105" t="n">
        <v>0.0833</v>
      </c>
      <c r="E3272" s="106" t="n">
        <v>30</v>
      </c>
      <c r="F3272" s="107" t="n">
        <f aca="false">IF($C3272="","",$D3272*$E3272)</f>
        <v>2.499</v>
      </c>
      <c r="G3272" s="107" t="n">
        <f aca="false">IF($C3272="","",$D3272*IFERROR(INDEX('تحليل التكلفة والسعر'!$C$2:$C$700,MATCH($C3272,'تحليل التكلفة والسعر'!$B$2:$B$700,0)),0))</f>
        <v>1.7493</v>
      </c>
      <c r="H3272" s="104" t="s">
        <v>719</v>
      </c>
    </row>
    <row r="3273" customFormat="false" ht="15" hidden="false" customHeight="false" outlineLevel="0" collapsed="false">
      <c r="A3273" s="103" t="n">
        <v>46303</v>
      </c>
      <c r="B3273" s="104" t="s">
        <v>32</v>
      </c>
      <c r="C3273" s="104" t="s">
        <v>748</v>
      </c>
      <c r="D3273" s="105" t="n">
        <v>0.0833</v>
      </c>
      <c r="E3273" s="106" t="n">
        <v>30</v>
      </c>
      <c r="F3273" s="107" t="n">
        <f aca="false">IF($C3273="","",$D3273*$E3273)</f>
        <v>2.499</v>
      </c>
      <c r="G3273" s="107" t="n">
        <f aca="false">IF($C3273="","",$D3273*IFERROR(INDEX('تحليل التكلفة والسعر'!$C$2:$C$700,MATCH($C3273,'تحليل التكلفة والسعر'!$B$2:$B$700,0)),0))</f>
        <v>1.7493</v>
      </c>
      <c r="H3273" s="104" t="s">
        <v>719</v>
      </c>
    </row>
    <row r="3274" customFormat="false" ht="15" hidden="false" customHeight="false" outlineLevel="0" collapsed="false">
      <c r="A3274" s="103" t="n">
        <v>46304</v>
      </c>
      <c r="B3274" s="104" t="s">
        <v>32</v>
      </c>
      <c r="C3274" s="104" t="s">
        <v>748</v>
      </c>
      <c r="D3274" s="105" t="n">
        <v>0.0833</v>
      </c>
      <c r="E3274" s="106" t="n">
        <v>30</v>
      </c>
      <c r="F3274" s="107" t="n">
        <f aca="false">IF($C3274="","",$D3274*$E3274)</f>
        <v>2.499</v>
      </c>
      <c r="G3274" s="107" t="n">
        <f aca="false">IF($C3274="","",$D3274*IFERROR(INDEX('تحليل التكلفة والسعر'!$C$2:$C$700,MATCH($C3274,'تحليل التكلفة والسعر'!$B$2:$B$700,0)),0))</f>
        <v>1.7493</v>
      </c>
      <c r="H3274" s="104" t="s">
        <v>719</v>
      </c>
    </row>
    <row r="3275" customFormat="false" ht="15" hidden="false" customHeight="false" outlineLevel="0" collapsed="false">
      <c r="A3275" s="103" t="n">
        <v>46305</v>
      </c>
      <c r="B3275" s="104" t="s">
        <v>32</v>
      </c>
      <c r="C3275" s="104" t="s">
        <v>748</v>
      </c>
      <c r="D3275" s="105" t="n">
        <v>0.0833</v>
      </c>
      <c r="E3275" s="106" t="n">
        <v>30</v>
      </c>
      <c r="F3275" s="107" t="n">
        <f aca="false">IF($C3275="","",$D3275*$E3275)</f>
        <v>2.499</v>
      </c>
      <c r="G3275" s="107" t="n">
        <f aca="false">IF($C3275="","",$D3275*IFERROR(INDEX('تحليل التكلفة والسعر'!$C$2:$C$700,MATCH($C3275,'تحليل التكلفة والسعر'!$B$2:$B$700,0)),0))</f>
        <v>1.7493</v>
      </c>
      <c r="H3275" s="104" t="s">
        <v>719</v>
      </c>
    </row>
    <row r="3276" customFormat="false" ht="15" hidden="false" customHeight="false" outlineLevel="0" collapsed="false">
      <c r="A3276" s="103" t="n">
        <v>46306</v>
      </c>
      <c r="B3276" s="104" t="s">
        <v>32</v>
      </c>
      <c r="C3276" s="104" t="s">
        <v>748</v>
      </c>
      <c r="D3276" s="105" t="n">
        <v>0.0833</v>
      </c>
      <c r="E3276" s="106" t="n">
        <v>30</v>
      </c>
      <c r="F3276" s="107" t="n">
        <f aca="false">IF($C3276="","",$D3276*$E3276)</f>
        <v>2.499</v>
      </c>
      <c r="G3276" s="107" t="n">
        <f aca="false">IF($C3276="","",$D3276*IFERROR(INDEX('تحليل التكلفة والسعر'!$C$2:$C$700,MATCH($C3276,'تحليل التكلفة والسعر'!$B$2:$B$700,0)),0))</f>
        <v>1.7493</v>
      </c>
      <c r="H3276" s="104" t="s">
        <v>719</v>
      </c>
    </row>
    <row r="3277" customFormat="false" ht="15" hidden="false" customHeight="false" outlineLevel="0" collapsed="false">
      <c r="A3277" s="103" t="n">
        <v>46307</v>
      </c>
      <c r="B3277" s="104" t="s">
        <v>32</v>
      </c>
      <c r="C3277" s="104" t="s">
        <v>748</v>
      </c>
      <c r="D3277" s="105" t="n">
        <v>0.0833</v>
      </c>
      <c r="E3277" s="106" t="n">
        <v>30</v>
      </c>
      <c r="F3277" s="107" t="n">
        <f aca="false">IF($C3277="","",$D3277*$E3277)</f>
        <v>2.499</v>
      </c>
      <c r="G3277" s="107" t="n">
        <f aca="false">IF($C3277="","",$D3277*IFERROR(INDEX('تحليل التكلفة والسعر'!$C$2:$C$700,MATCH($C3277,'تحليل التكلفة والسعر'!$B$2:$B$700,0)),0))</f>
        <v>1.7493</v>
      </c>
      <c r="H3277" s="104" t="s">
        <v>719</v>
      </c>
    </row>
    <row r="3278" customFormat="false" ht="15" hidden="false" customHeight="false" outlineLevel="0" collapsed="false">
      <c r="A3278" s="103" t="n">
        <v>46296</v>
      </c>
      <c r="B3278" s="104" t="s">
        <v>32</v>
      </c>
      <c r="C3278" s="104" t="s">
        <v>749</v>
      </c>
      <c r="D3278" s="105" t="n">
        <v>0.25</v>
      </c>
      <c r="E3278" s="106" t="n">
        <v>23.3333</v>
      </c>
      <c r="F3278" s="107" t="n">
        <f aca="false">IF($C3278="","",$D3278*$E3278)</f>
        <v>5.833325</v>
      </c>
      <c r="G3278" s="107" t="n">
        <f aca="false">IF($C3278="","",$D3278*IFERROR(INDEX('تحليل التكلفة والسعر'!$C$2:$C$700,MATCH($C3278,'تحليل التكلفة والسعر'!$B$2:$B$700,0)),0))</f>
        <v>3.5</v>
      </c>
      <c r="H3278" s="104" t="s">
        <v>719</v>
      </c>
    </row>
    <row r="3279" customFormat="false" ht="15" hidden="false" customHeight="false" outlineLevel="0" collapsed="false">
      <c r="A3279" s="103" t="n">
        <v>46297</v>
      </c>
      <c r="B3279" s="104" t="s">
        <v>32</v>
      </c>
      <c r="C3279" s="104" t="s">
        <v>749</v>
      </c>
      <c r="D3279" s="105" t="n">
        <v>0.25</v>
      </c>
      <c r="E3279" s="106" t="n">
        <v>23.3333</v>
      </c>
      <c r="F3279" s="107" t="n">
        <f aca="false">IF($C3279="","",$D3279*$E3279)</f>
        <v>5.833325</v>
      </c>
      <c r="G3279" s="107" t="n">
        <f aca="false">IF($C3279="","",$D3279*IFERROR(INDEX('تحليل التكلفة والسعر'!$C$2:$C$700,MATCH($C3279,'تحليل التكلفة والسعر'!$B$2:$B$700,0)),0))</f>
        <v>3.5</v>
      </c>
      <c r="H3279" s="104" t="s">
        <v>719</v>
      </c>
    </row>
    <row r="3280" customFormat="false" ht="15" hidden="false" customHeight="false" outlineLevel="0" collapsed="false">
      <c r="A3280" s="103" t="n">
        <v>46298</v>
      </c>
      <c r="B3280" s="104" t="s">
        <v>32</v>
      </c>
      <c r="C3280" s="104" t="s">
        <v>749</v>
      </c>
      <c r="D3280" s="105" t="n">
        <v>0.25</v>
      </c>
      <c r="E3280" s="106" t="n">
        <v>23.3333</v>
      </c>
      <c r="F3280" s="107" t="n">
        <f aca="false">IF($C3280="","",$D3280*$E3280)</f>
        <v>5.833325</v>
      </c>
      <c r="G3280" s="107" t="n">
        <f aca="false">IF($C3280="","",$D3280*IFERROR(INDEX('تحليل التكلفة والسعر'!$C$2:$C$700,MATCH($C3280,'تحليل التكلفة والسعر'!$B$2:$B$700,0)),0))</f>
        <v>3.5</v>
      </c>
      <c r="H3280" s="104" t="s">
        <v>719</v>
      </c>
    </row>
    <row r="3281" customFormat="false" ht="15" hidden="false" customHeight="false" outlineLevel="0" collapsed="false">
      <c r="A3281" s="103" t="n">
        <v>46299</v>
      </c>
      <c r="B3281" s="104" t="s">
        <v>32</v>
      </c>
      <c r="C3281" s="104" t="s">
        <v>749</v>
      </c>
      <c r="D3281" s="105" t="n">
        <v>0.25</v>
      </c>
      <c r="E3281" s="106" t="n">
        <v>23.3333</v>
      </c>
      <c r="F3281" s="107" t="n">
        <f aca="false">IF($C3281="","",$D3281*$E3281)</f>
        <v>5.833325</v>
      </c>
      <c r="G3281" s="107" t="n">
        <f aca="false">IF($C3281="","",$D3281*IFERROR(INDEX('تحليل التكلفة والسعر'!$C$2:$C$700,MATCH($C3281,'تحليل التكلفة والسعر'!$B$2:$B$700,0)),0))</f>
        <v>3.5</v>
      </c>
      <c r="H3281" s="104" t="s">
        <v>719</v>
      </c>
    </row>
    <row r="3282" customFormat="false" ht="15" hidden="false" customHeight="false" outlineLevel="0" collapsed="false">
      <c r="A3282" s="103" t="n">
        <v>46300</v>
      </c>
      <c r="B3282" s="104" t="s">
        <v>32</v>
      </c>
      <c r="C3282" s="104" t="s">
        <v>749</v>
      </c>
      <c r="D3282" s="105" t="n">
        <v>0.25</v>
      </c>
      <c r="E3282" s="106" t="n">
        <v>23.3333</v>
      </c>
      <c r="F3282" s="107" t="n">
        <f aca="false">IF($C3282="","",$D3282*$E3282)</f>
        <v>5.833325</v>
      </c>
      <c r="G3282" s="107" t="n">
        <f aca="false">IF($C3282="","",$D3282*IFERROR(INDEX('تحليل التكلفة والسعر'!$C$2:$C$700,MATCH($C3282,'تحليل التكلفة والسعر'!$B$2:$B$700,0)),0))</f>
        <v>3.5</v>
      </c>
      <c r="H3282" s="104" t="s">
        <v>719</v>
      </c>
    </row>
    <row r="3283" customFormat="false" ht="15" hidden="false" customHeight="false" outlineLevel="0" collapsed="false">
      <c r="A3283" s="103" t="n">
        <v>46301</v>
      </c>
      <c r="B3283" s="104" t="s">
        <v>32</v>
      </c>
      <c r="C3283" s="104" t="s">
        <v>749</v>
      </c>
      <c r="D3283" s="105" t="n">
        <v>0.25</v>
      </c>
      <c r="E3283" s="106" t="n">
        <v>23.3333</v>
      </c>
      <c r="F3283" s="107" t="n">
        <f aca="false">IF($C3283="","",$D3283*$E3283)</f>
        <v>5.833325</v>
      </c>
      <c r="G3283" s="107" t="n">
        <f aca="false">IF($C3283="","",$D3283*IFERROR(INDEX('تحليل التكلفة والسعر'!$C$2:$C$700,MATCH($C3283,'تحليل التكلفة والسعر'!$B$2:$B$700,0)),0))</f>
        <v>3.5</v>
      </c>
      <c r="H3283" s="104" t="s">
        <v>719</v>
      </c>
    </row>
    <row r="3284" customFormat="false" ht="15" hidden="false" customHeight="false" outlineLevel="0" collapsed="false">
      <c r="A3284" s="103" t="n">
        <v>46302</v>
      </c>
      <c r="B3284" s="104" t="s">
        <v>32</v>
      </c>
      <c r="C3284" s="104" t="s">
        <v>749</v>
      </c>
      <c r="D3284" s="105" t="n">
        <v>0.25</v>
      </c>
      <c r="E3284" s="106" t="n">
        <v>23.3333</v>
      </c>
      <c r="F3284" s="107" t="n">
        <f aca="false">IF($C3284="","",$D3284*$E3284)</f>
        <v>5.833325</v>
      </c>
      <c r="G3284" s="107" t="n">
        <f aca="false">IF($C3284="","",$D3284*IFERROR(INDEX('تحليل التكلفة والسعر'!$C$2:$C$700,MATCH($C3284,'تحليل التكلفة والسعر'!$B$2:$B$700,0)),0))</f>
        <v>3.5</v>
      </c>
      <c r="H3284" s="104" t="s">
        <v>719</v>
      </c>
    </row>
    <row r="3285" customFormat="false" ht="15" hidden="false" customHeight="false" outlineLevel="0" collapsed="false">
      <c r="A3285" s="103" t="n">
        <v>46303</v>
      </c>
      <c r="B3285" s="104" t="s">
        <v>32</v>
      </c>
      <c r="C3285" s="104" t="s">
        <v>749</v>
      </c>
      <c r="D3285" s="105" t="n">
        <v>0.25</v>
      </c>
      <c r="E3285" s="106" t="n">
        <v>23.3333</v>
      </c>
      <c r="F3285" s="107" t="n">
        <f aca="false">IF($C3285="","",$D3285*$E3285)</f>
        <v>5.833325</v>
      </c>
      <c r="G3285" s="107" t="n">
        <f aca="false">IF($C3285="","",$D3285*IFERROR(INDEX('تحليل التكلفة والسعر'!$C$2:$C$700,MATCH($C3285,'تحليل التكلفة والسعر'!$B$2:$B$700,0)),0))</f>
        <v>3.5</v>
      </c>
      <c r="H3285" s="104" t="s">
        <v>719</v>
      </c>
    </row>
    <row r="3286" customFormat="false" ht="15" hidden="false" customHeight="false" outlineLevel="0" collapsed="false">
      <c r="A3286" s="103" t="n">
        <v>46304</v>
      </c>
      <c r="B3286" s="104" t="s">
        <v>32</v>
      </c>
      <c r="C3286" s="104" t="s">
        <v>749</v>
      </c>
      <c r="D3286" s="105" t="n">
        <v>0.25</v>
      </c>
      <c r="E3286" s="106" t="n">
        <v>23.3333</v>
      </c>
      <c r="F3286" s="107" t="n">
        <f aca="false">IF($C3286="","",$D3286*$E3286)</f>
        <v>5.833325</v>
      </c>
      <c r="G3286" s="107" t="n">
        <f aca="false">IF($C3286="","",$D3286*IFERROR(INDEX('تحليل التكلفة والسعر'!$C$2:$C$700,MATCH($C3286,'تحليل التكلفة والسعر'!$B$2:$B$700,0)),0))</f>
        <v>3.5</v>
      </c>
      <c r="H3286" s="104" t="s">
        <v>719</v>
      </c>
    </row>
    <row r="3287" customFormat="false" ht="15" hidden="false" customHeight="false" outlineLevel="0" collapsed="false">
      <c r="A3287" s="103" t="n">
        <v>46305</v>
      </c>
      <c r="B3287" s="104" t="s">
        <v>32</v>
      </c>
      <c r="C3287" s="104" t="s">
        <v>749</v>
      </c>
      <c r="D3287" s="105" t="n">
        <v>0.25</v>
      </c>
      <c r="E3287" s="106" t="n">
        <v>23.3333</v>
      </c>
      <c r="F3287" s="107" t="n">
        <f aca="false">IF($C3287="","",$D3287*$E3287)</f>
        <v>5.833325</v>
      </c>
      <c r="G3287" s="107" t="n">
        <f aca="false">IF($C3287="","",$D3287*IFERROR(INDEX('تحليل التكلفة والسعر'!$C$2:$C$700,MATCH($C3287,'تحليل التكلفة والسعر'!$B$2:$B$700,0)),0))</f>
        <v>3.5</v>
      </c>
      <c r="H3287" s="104" t="s">
        <v>719</v>
      </c>
    </row>
    <row r="3288" customFormat="false" ht="15" hidden="false" customHeight="false" outlineLevel="0" collapsed="false">
      <c r="A3288" s="103" t="n">
        <v>46306</v>
      </c>
      <c r="B3288" s="104" t="s">
        <v>32</v>
      </c>
      <c r="C3288" s="104" t="s">
        <v>749</v>
      </c>
      <c r="D3288" s="105" t="n">
        <v>0.25</v>
      </c>
      <c r="E3288" s="106" t="n">
        <v>23.3333</v>
      </c>
      <c r="F3288" s="107" t="n">
        <f aca="false">IF($C3288="","",$D3288*$E3288)</f>
        <v>5.833325</v>
      </c>
      <c r="G3288" s="107" t="n">
        <f aca="false">IF($C3288="","",$D3288*IFERROR(INDEX('تحليل التكلفة والسعر'!$C$2:$C$700,MATCH($C3288,'تحليل التكلفة والسعر'!$B$2:$B$700,0)),0))</f>
        <v>3.5</v>
      </c>
      <c r="H3288" s="104" t="s">
        <v>719</v>
      </c>
    </row>
    <row r="3289" customFormat="false" ht="15" hidden="false" customHeight="false" outlineLevel="0" collapsed="false">
      <c r="A3289" s="103" t="n">
        <v>46307</v>
      </c>
      <c r="B3289" s="104" t="s">
        <v>32</v>
      </c>
      <c r="C3289" s="104" t="s">
        <v>749</v>
      </c>
      <c r="D3289" s="105" t="n">
        <v>0.25</v>
      </c>
      <c r="E3289" s="106" t="n">
        <v>23.3333</v>
      </c>
      <c r="F3289" s="107" t="n">
        <f aca="false">IF($C3289="","",$D3289*$E3289)</f>
        <v>5.833325</v>
      </c>
      <c r="G3289" s="107" t="n">
        <f aca="false">IF($C3289="","",$D3289*IFERROR(INDEX('تحليل التكلفة والسعر'!$C$2:$C$700,MATCH($C3289,'تحليل التكلفة والسعر'!$B$2:$B$700,0)),0))</f>
        <v>3.5</v>
      </c>
      <c r="H3289" s="104" t="s">
        <v>719</v>
      </c>
    </row>
    <row r="3290" customFormat="false" ht="15" hidden="false" customHeight="false" outlineLevel="0" collapsed="false">
      <c r="A3290" s="103" t="n">
        <v>46296</v>
      </c>
      <c r="B3290" s="104" t="s">
        <v>32</v>
      </c>
      <c r="C3290" s="104" t="s">
        <v>427</v>
      </c>
      <c r="D3290" s="105" t="n">
        <v>0.75</v>
      </c>
      <c r="E3290" s="106" t="n">
        <v>207.2222</v>
      </c>
      <c r="F3290" s="107" t="n">
        <f aca="false">IF($C3290="","",$D3290*$E3290)</f>
        <v>155.41665</v>
      </c>
      <c r="G3290" s="107" t="n">
        <f aca="false">IF($C3290="","",$D3290*IFERROR(INDEX('تحليل التكلفة والسعر'!$C$2:$C$700,MATCH($C3290,'تحليل التكلفة والسعر'!$B$2:$B$700,0)),0))</f>
        <v>69.22365</v>
      </c>
      <c r="H3290" s="104" t="s">
        <v>719</v>
      </c>
    </row>
    <row r="3291" customFormat="false" ht="15" hidden="false" customHeight="false" outlineLevel="0" collapsed="false">
      <c r="A3291" s="103" t="n">
        <v>46297</v>
      </c>
      <c r="B3291" s="104" t="s">
        <v>32</v>
      </c>
      <c r="C3291" s="104" t="s">
        <v>427</v>
      </c>
      <c r="D3291" s="105" t="n">
        <v>0.75</v>
      </c>
      <c r="E3291" s="106" t="n">
        <v>207.2222</v>
      </c>
      <c r="F3291" s="107" t="n">
        <f aca="false">IF($C3291="","",$D3291*$E3291)</f>
        <v>155.41665</v>
      </c>
      <c r="G3291" s="107" t="n">
        <f aca="false">IF($C3291="","",$D3291*IFERROR(INDEX('تحليل التكلفة والسعر'!$C$2:$C$700,MATCH($C3291,'تحليل التكلفة والسعر'!$B$2:$B$700,0)),0))</f>
        <v>69.22365</v>
      </c>
      <c r="H3291" s="104" t="s">
        <v>719</v>
      </c>
    </row>
    <row r="3292" customFormat="false" ht="15" hidden="false" customHeight="false" outlineLevel="0" collapsed="false">
      <c r="A3292" s="103" t="n">
        <v>46298</v>
      </c>
      <c r="B3292" s="104" t="s">
        <v>32</v>
      </c>
      <c r="C3292" s="104" t="s">
        <v>427</v>
      </c>
      <c r="D3292" s="105" t="n">
        <v>0.75</v>
      </c>
      <c r="E3292" s="106" t="n">
        <v>207.2222</v>
      </c>
      <c r="F3292" s="107" t="n">
        <f aca="false">IF($C3292="","",$D3292*$E3292)</f>
        <v>155.41665</v>
      </c>
      <c r="G3292" s="107" t="n">
        <f aca="false">IF($C3292="","",$D3292*IFERROR(INDEX('تحليل التكلفة والسعر'!$C$2:$C$700,MATCH($C3292,'تحليل التكلفة والسعر'!$B$2:$B$700,0)),0))</f>
        <v>69.22365</v>
      </c>
      <c r="H3292" s="104" t="s">
        <v>719</v>
      </c>
    </row>
    <row r="3293" customFormat="false" ht="15" hidden="false" customHeight="false" outlineLevel="0" collapsed="false">
      <c r="A3293" s="103" t="n">
        <v>46299</v>
      </c>
      <c r="B3293" s="104" t="s">
        <v>32</v>
      </c>
      <c r="C3293" s="104" t="s">
        <v>427</v>
      </c>
      <c r="D3293" s="105" t="n">
        <v>0.75</v>
      </c>
      <c r="E3293" s="106" t="n">
        <v>207.2222</v>
      </c>
      <c r="F3293" s="107" t="n">
        <f aca="false">IF($C3293="","",$D3293*$E3293)</f>
        <v>155.41665</v>
      </c>
      <c r="G3293" s="107" t="n">
        <f aca="false">IF($C3293="","",$D3293*IFERROR(INDEX('تحليل التكلفة والسعر'!$C$2:$C$700,MATCH($C3293,'تحليل التكلفة والسعر'!$B$2:$B$700,0)),0))</f>
        <v>69.22365</v>
      </c>
      <c r="H3293" s="104" t="s">
        <v>719</v>
      </c>
    </row>
    <row r="3294" customFormat="false" ht="15" hidden="false" customHeight="false" outlineLevel="0" collapsed="false">
      <c r="A3294" s="103" t="n">
        <v>46300</v>
      </c>
      <c r="B3294" s="104" t="s">
        <v>32</v>
      </c>
      <c r="C3294" s="104" t="s">
        <v>427</v>
      </c>
      <c r="D3294" s="105" t="n">
        <v>0.75</v>
      </c>
      <c r="E3294" s="106" t="n">
        <v>207.2222</v>
      </c>
      <c r="F3294" s="107" t="n">
        <f aca="false">IF($C3294="","",$D3294*$E3294)</f>
        <v>155.41665</v>
      </c>
      <c r="G3294" s="107" t="n">
        <f aca="false">IF($C3294="","",$D3294*IFERROR(INDEX('تحليل التكلفة والسعر'!$C$2:$C$700,MATCH($C3294,'تحليل التكلفة والسعر'!$B$2:$B$700,0)),0))</f>
        <v>69.22365</v>
      </c>
      <c r="H3294" s="104" t="s">
        <v>719</v>
      </c>
    </row>
    <row r="3295" customFormat="false" ht="15" hidden="false" customHeight="false" outlineLevel="0" collapsed="false">
      <c r="A3295" s="103" t="n">
        <v>46301</v>
      </c>
      <c r="B3295" s="104" t="s">
        <v>32</v>
      </c>
      <c r="C3295" s="104" t="s">
        <v>427</v>
      </c>
      <c r="D3295" s="105" t="n">
        <v>0.75</v>
      </c>
      <c r="E3295" s="106" t="n">
        <v>207.2222</v>
      </c>
      <c r="F3295" s="107" t="n">
        <f aca="false">IF($C3295="","",$D3295*$E3295)</f>
        <v>155.41665</v>
      </c>
      <c r="G3295" s="107" t="n">
        <f aca="false">IF($C3295="","",$D3295*IFERROR(INDEX('تحليل التكلفة والسعر'!$C$2:$C$700,MATCH($C3295,'تحليل التكلفة والسعر'!$B$2:$B$700,0)),0))</f>
        <v>69.22365</v>
      </c>
      <c r="H3295" s="104" t="s">
        <v>719</v>
      </c>
    </row>
    <row r="3296" customFormat="false" ht="15" hidden="false" customHeight="false" outlineLevel="0" collapsed="false">
      <c r="A3296" s="103" t="n">
        <v>46302</v>
      </c>
      <c r="B3296" s="104" t="s">
        <v>32</v>
      </c>
      <c r="C3296" s="104" t="s">
        <v>427</v>
      </c>
      <c r="D3296" s="105" t="n">
        <v>0.75</v>
      </c>
      <c r="E3296" s="106" t="n">
        <v>207.2222</v>
      </c>
      <c r="F3296" s="107" t="n">
        <f aca="false">IF($C3296="","",$D3296*$E3296)</f>
        <v>155.41665</v>
      </c>
      <c r="G3296" s="107" t="n">
        <f aca="false">IF($C3296="","",$D3296*IFERROR(INDEX('تحليل التكلفة والسعر'!$C$2:$C$700,MATCH($C3296,'تحليل التكلفة والسعر'!$B$2:$B$700,0)),0))</f>
        <v>69.22365</v>
      </c>
      <c r="H3296" s="104" t="s">
        <v>719</v>
      </c>
    </row>
    <row r="3297" customFormat="false" ht="15" hidden="false" customHeight="false" outlineLevel="0" collapsed="false">
      <c r="A3297" s="103" t="n">
        <v>46303</v>
      </c>
      <c r="B3297" s="104" t="s">
        <v>32</v>
      </c>
      <c r="C3297" s="104" t="s">
        <v>427</v>
      </c>
      <c r="D3297" s="105" t="n">
        <v>0.75</v>
      </c>
      <c r="E3297" s="106" t="n">
        <v>207.2222</v>
      </c>
      <c r="F3297" s="107" t="n">
        <f aca="false">IF($C3297="","",$D3297*$E3297)</f>
        <v>155.41665</v>
      </c>
      <c r="G3297" s="107" t="n">
        <f aca="false">IF($C3297="","",$D3297*IFERROR(INDEX('تحليل التكلفة والسعر'!$C$2:$C$700,MATCH($C3297,'تحليل التكلفة والسعر'!$B$2:$B$700,0)),0))</f>
        <v>69.22365</v>
      </c>
      <c r="H3297" s="104" t="s">
        <v>719</v>
      </c>
    </row>
    <row r="3298" customFormat="false" ht="15" hidden="false" customHeight="false" outlineLevel="0" collapsed="false">
      <c r="A3298" s="103" t="n">
        <v>46304</v>
      </c>
      <c r="B3298" s="104" t="s">
        <v>32</v>
      </c>
      <c r="C3298" s="104" t="s">
        <v>427</v>
      </c>
      <c r="D3298" s="105" t="n">
        <v>0.75</v>
      </c>
      <c r="E3298" s="106" t="n">
        <v>207.2222</v>
      </c>
      <c r="F3298" s="107" t="n">
        <f aca="false">IF($C3298="","",$D3298*$E3298)</f>
        <v>155.41665</v>
      </c>
      <c r="G3298" s="107" t="n">
        <f aca="false">IF($C3298="","",$D3298*IFERROR(INDEX('تحليل التكلفة والسعر'!$C$2:$C$700,MATCH($C3298,'تحليل التكلفة والسعر'!$B$2:$B$700,0)),0))</f>
        <v>69.22365</v>
      </c>
      <c r="H3298" s="104" t="s">
        <v>719</v>
      </c>
    </row>
    <row r="3299" customFormat="false" ht="15" hidden="false" customHeight="false" outlineLevel="0" collapsed="false">
      <c r="A3299" s="103" t="n">
        <v>46305</v>
      </c>
      <c r="B3299" s="104" t="s">
        <v>32</v>
      </c>
      <c r="C3299" s="104" t="s">
        <v>427</v>
      </c>
      <c r="D3299" s="105" t="n">
        <v>0.75</v>
      </c>
      <c r="E3299" s="106" t="n">
        <v>207.2222</v>
      </c>
      <c r="F3299" s="107" t="n">
        <f aca="false">IF($C3299="","",$D3299*$E3299)</f>
        <v>155.41665</v>
      </c>
      <c r="G3299" s="107" t="n">
        <f aca="false">IF($C3299="","",$D3299*IFERROR(INDEX('تحليل التكلفة والسعر'!$C$2:$C$700,MATCH($C3299,'تحليل التكلفة والسعر'!$B$2:$B$700,0)),0))</f>
        <v>69.22365</v>
      </c>
      <c r="H3299" s="104" t="s">
        <v>719</v>
      </c>
    </row>
    <row r="3300" customFormat="false" ht="15" hidden="false" customHeight="false" outlineLevel="0" collapsed="false">
      <c r="A3300" s="103" t="n">
        <v>46306</v>
      </c>
      <c r="B3300" s="104" t="s">
        <v>32</v>
      </c>
      <c r="C3300" s="104" t="s">
        <v>427</v>
      </c>
      <c r="D3300" s="105" t="n">
        <v>0.75</v>
      </c>
      <c r="E3300" s="106" t="n">
        <v>207.2222</v>
      </c>
      <c r="F3300" s="107" t="n">
        <f aca="false">IF($C3300="","",$D3300*$E3300)</f>
        <v>155.41665</v>
      </c>
      <c r="G3300" s="107" t="n">
        <f aca="false">IF($C3300="","",$D3300*IFERROR(INDEX('تحليل التكلفة والسعر'!$C$2:$C$700,MATCH($C3300,'تحليل التكلفة والسعر'!$B$2:$B$700,0)),0))</f>
        <v>69.22365</v>
      </c>
      <c r="H3300" s="104" t="s">
        <v>719</v>
      </c>
    </row>
    <row r="3301" customFormat="false" ht="15" hidden="false" customHeight="false" outlineLevel="0" collapsed="false">
      <c r="A3301" s="103" t="n">
        <v>46307</v>
      </c>
      <c r="B3301" s="104" t="s">
        <v>32</v>
      </c>
      <c r="C3301" s="104" t="s">
        <v>427</v>
      </c>
      <c r="D3301" s="105" t="n">
        <v>0.75</v>
      </c>
      <c r="E3301" s="106" t="n">
        <v>207.2222</v>
      </c>
      <c r="F3301" s="107" t="n">
        <f aca="false">IF($C3301="","",$D3301*$E3301)</f>
        <v>155.41665</v>
      </c>
      <c r="G3301" s="107" t="n">
        <f aca="false">IF($C3301="","",$D3301*IFERROR(INDEX('تحليل التكلفة والسعر'!$C$2:$C$700,MATCH($C3301,'تحليل التكلفة والسعر'!$B$2:$B$700,0)),0))</f>
        <v>69.22365</v>
      </c>
      <c r="H3301" s="104" t="s">
        <v>719</v>
      </c>
    </row>
    <row r="3302" customFormat="false" ht="15" hidden="false" customHeight="false" outlineLevel="0" collapsed="false">
      <c r="A3302" s="103" t="n">
        <v>46296</v>
      </c>
      <c r="B3302" s="104" t="s">
        <v>32</v>
      </c>
      <c r="C3302" s="104" t="s">
        <v>453</v>
      </c>
      <c r="D3302" s="105" t="n">
        <v>24.75</v>
      </c>
      <c r="E3302" s="106" t="n">
        <v>45.1852</v>
      </c>
      <c r="F3302" s="107" t="n">
        <f aca="false">IF($C3302="","",$D3302*$E3302)</f>
        <v>1118.3337</v>
      </c>
      <c r="G3302" s="107" t="n">
        <f aca="false">IF($C3302="","",$D3302*IFERROR(INDEX('تحليل التكلفة والسعر'!$C$2:$C$700,MATCH($C3302,'تحليل التكلفة والسعر'!$B$2:$B$700,0)),0))</f>
        <v>1690.338375</v>
      </c>
      <c r="H3302" s="104" t="s">
        <v>719</v>
      </c>
    </row>
    <row r="3303" customFormat="false" ht="15" hidden="false" customHeight="false" outlineLevel="0" collapsed="false">
      <c r="A3303" s="103" t="n">
        <v>46297</v>
      </c>
      <c r="B3303" s="104" t="s">
        <v>32</v>
      </c>
      <c r="C3303" s="104" t="s">
        <v>453</v>
      </c>
      <c r="D3303" s="105" t="n">
        <v>24.75</v>
      </c>
      <c r="E3303" s="106" t="n">
        <v>45.1852</v>
      </c>
      <c r="F3303" s="107" t="n">
        <f aca="false">IF($C3303="","",$D3303*$E3303)</f>
        <v>1118.3337</v>
      </c>
      <c r="G3303" s="107" t="n">
        <f aca="false">IF($C3303="","",$D3303*IFERROR(INDEX('تحليل التكلفة والسعر'!$C$2:$C$700,MATCH($C3303,'تحليل التكلفة والسعر'!$B$2:$B$700,0)),0))</f>
        <v>1690.338375</v>
      </c>
      <c r="H3303" s="104" t="s">
        <v>719</v>
      </c>
    </row>
    <row r="3304" customFormat="false" ht="15" hidden="false" customHeight="false" outlineLevel="0" collapsed="false">
      <c r="A3304" s="103" t="n">
        <v>46298</v>
      </c>
      <c r="B3304" s="104" t="s">
        <v>32</v>
      </c>
      <c r="C3304" s="104" t="s">
        <v>453</v>
      </c>
      <c r="D3304" s="105" t="n">
        <v>24.75</v>
      </c>
      <c r="E3304" s="106" t="n">
        <v>45.1852</v>
      </c>
      <c r="F3304" s="107" t="n">
        <f aca="false">IF($C3304="","",$D3304*$E3304)</f>
        <v>1118.3337</v>
      </c>
      <c r="G3304" s="107" t="n">
        <f aca="false">IF($C3304="","",$D3304*IFERROR(INDEX('تحليل التكلفة والسعر'!$C$2:$C$700,MATCH($C3304,'تحليل التكلفة والسعر'!$B$2:$B$700,0)),0))</f>
        <v>1690.338375</v>
      </c>
      <c r="H3304" s="104" t="s">
        <v>719</v>
      </c>
    </row>
    <row r="3305" customFormat="false" ht="15" hidden="false" customHeight="false" outlineLevel="0" collapsed="false">
      <c r="A3305" s="103" t="n">
        <v>46299</v>
      </c>
      <c r="B3305" s="104" t="s">
        <v>32</v>
      </c>
      <c r="C3305" s="104" t="s">
        <v>453</v>
      </c>
      <c r="D3305" s="105" t="n">
        <v>24.75</v>
      </c>
      <c r="E3305" s="106" t="n">
        <v>45.1852</v>
      </c>
      <c r="F3305" s="107" t="n">
        <f aca="false">IF($C3305="","",$D3305*$E3305)</f>
        <v>1118.3337</v>
      </c>
      <c r="G3305" s="107" t="n">
        <f aca="false">IF($C3305="","",$D3305*IFERROR(INDEX('تحليل التكلفة والسعر'!$C$2:$C$700,MATCH($C3305,'تحليل التكلفة والسعر'!$B$2:$B$700,0)),0))</f>
        <v>1690.338375</v>
      </c>
      <c r="H3305" s="104" t="s">
        <v>719</v>
      </c>
    </row>
    <row r="3306" customFormat="false" ht="15" hidden="false" customHeight="false" outlineLevel="0" collapsed="false">
      <c r="A3306" s="103" t="n">
        <v>46300</v>
      </c>
      <c r="B3306" s="104" t="s">
        <v>32</v>
      </c>
      <c r="C3306" s="104" t="s">
        <v>453</v>
      </c>
      <c r="D3306" s="105" t="n">
        <v>24.75</v>
      </c>
      <c r="E3306" s="106" t="n">
        <v>45.1852</v>
      </c>
      <c r="F3306" s="107" t="n">
        <f aca="false">IF($C3306="","",$D3306*$E3306)</f>
        <v>1118.3337</v>
      </c>
      <c r="G3306" s="107" t="n">
        <f aca="false">IF($C3306="","",$D3306*IFERROR(INDEX('تحليل التكلفة والسعر'!$C$2:$C$700,MATCH($C3306,'تحليل التكلفة والسعر'!$B$2:$B$700,0)),0))</f>
        <v>1690.338375</v>
      </c>
      <c r="H3306" s="104" t="s">
        <v>719</v>
      </c>
    </row>
    <row r="3307" customFormat="false" ht="15" hidden="false" customHeight="false" outlineLevel="0" collapsed="false">
      <c r="A3307" s="103" t="n">
        <v>46301</v>
      </c>
      <c r="B3307" s="104" t="s">
        <v>32</v>
      </c>
      <c r="C3307" s="104" t="s">
        <v>453</v>
      </c>
      <c r="D3307" s="105" t="n">
        <v>24.75</v>
      </c>
      <c r="E3307" s="106" t="n">
        <v>45.1852</v>
      </c>
      <c r="F3307" s="107" t="n">
        <f aca="false">IF($C3307="","",$D3307*$E3307)</f>
        <v>1118.3337</v>
      </c>
      <c r="G3307" s="107" t="n">
        <f aca="false">IF($C3307="","",$D3307*IFERROR(INDEX('تحليل التكلفة والسعر'!$C$2:$C$700,MATCH($C3307,'تحليل التكلفة والسعر'!$B$2:$B$700,0)),0))</f>
        <v>1690.338375</v>
      </c>
      <c r="H3307" s="104" t="s">
        <v>719</v>
      </c>
    </row>
    <row r="3308" customFormat="false" ht="15" hidden="false" customHeight="false" outlineLevel="0" collapsed="false">
      <c r="A3308" s="103" t="n">
        <v>46302</v>
      </c>
      <c r="B3308" s="104" t="s">
        <v>32</v>
      </c>
      <c r="C3308" s="104" t="s">
        <v>453</v>
      </c>
      <c r="D3308" s="105" t="n">
        <v>24.75</v>
      </c>
      <c r="E3308" s="106" t="n">
        <v>45.1852</v>
      </c>
      <c r="F3308" s="107" t="n">
        <f aca="false">IF($C3308="","",$D3308*$E3308)</f>
        <v>1118.3337</v>
      </c>
      <c r="G3308" s="107" t="n">
        <f aca="false">IF($C3308="","",$D3308*IFERROR(INDEX('تحليل التكلفة والسعر'!$C$2:$C$700,MATCH($C3308,'تحليل التكلفة والسعر'!$B$2:$B$700,0)),0))</f>
        <v>1690.338375</v>
      </c>
      <c r="H3308" s="104" t="s">
        <v>719</v>
      </c>
    </row>
    <row r="3309" customFormat="false" ht="15" hidden="false" customHeight="false" outlineLevel="0" collapsed="false">
      <c r="A3309" s="103" t="n">
        <v>46303</v>
      </c>
      <c r="B3309" s="104" t="s">
        <v>32</v>
      </c>
      <c r="C3309" s="104" t="s">
        <v>453</v>
      </c>
      <c r="D3309" s="105" t="n">
        <v>24.75</v>
      </c>
      <c r="E3309" s="106" t="n">
        <v>45.1852</v>
      </c>
      <c r="F3309" s="107" t="n">
        <f aca="false">IF($C3309="","",$D3309*$E3309)</f>
        <v>1118.3337</v>
      </c>
      <c r="G3309" s="107" t="n">
        <f aca="false">IF($C3309="","",$D3309*IFERROR(INDEX('تحليل التكلفة والسعر'!$C$2:$C$700,MATCH($C3309,'تحليل التكلفة والسعر'!$B$2:$B$700,0)),0))</f>
        <v>1690.338375</v>
      </c>
      <c r="H3309" s="104" t="s">
        <v>719</v>
      </c>
    </row>
    <row r="3310" customFormat="false" ht="15" hidden="false" customHeight="false" outlineLevel="0" collapsed="false">
      <c r="A3310" s="103" t="n">
        <v>46304</v>
      </c>
      <c r="B3310" s="104" t="s">
        <v>32</v>
      </c>
      <c r="C3310" s="104" t="s">
        <v>453</v>
      </c>
      <c r="D3310" s="105" t="n">
        <v>24.75</v>
      </c>
      <c r="E3310" s="106" t="n">
        <v>45.1852</v>
      </c>
      <c r="F3310" s="107" t="n">
        <f aca="false">IF($C3310="","",$D3310*$E3310)</f>
        <v>1118.3337</v>
      </c>
      <c r="G3310" s="107" t="n">
        <f aca="false">IF($C3310="","",$D3310*IFERROR(INDEX('تحليل التكلفة والسعر'!$C$2:$C$700,MATCH($C3310,'تحليل التكلفة والسعر'!$B$2:$B$700,0)),0))</f>
        <v>1690.338375</v>
      </c>
      <c r="H3310" s="104" t="s">
        <v>719</v>
      </c>
    </row>
    <row r="3311" customFormat="false" ht="15" hidden="false" customHeight="false" outlineLevel="0" collapsed="false">
      <c r="A3311" s="103" t="n">
        <v>46305</v>
      </c>
      <c r="B3311" s="104" t="s">
        <v>32</v>
      </c>
      <c r="C3311" s="104" t="s">
        <v>453</v>
      </c>
      <c r="D3311" s="105" t="n">
        <v>24.75</v>
      </c>
      <c r="E3311" s="106" t="n">
        <v>45.1852</v>
      </c>
      <c r="F3311" s="107" t="n">
        <f aca="false">IF($C3311="","",$D3311*$E3311)</f>
        <v>1118.3337</v>
      </c>
      <c r="G3311" s="107" t="n">
        <f aca="false">IF($C3311="","",$D3311*IFERROR(INDEX('تحليل التكلفة والسعر'!$C$2:$C$700,MATCH($C3311,'تحليل التكلفة والسعر'!$B$2:$B$700,0)),0))</f>
        <v>1690.338375</v>
      </c>
      <c r="H3311" s="104" t="s">
        <v>719</v>
      </c>
    </row>
    <row r="3312" customFormat="false" ht="15" hidden="false" customHeight="false" outlineLevel="0" collapsed="false">
      <c r="A3312" s="103" t="n">
        <v>46306</v>
      </c>
      <c r="B3312" s="104" t="s">
        <v>32</v>
      </c>
      <c r="C3312" s="104" t="s">
        <v>453</v>
      </c>
      <c r="D3312" s="105" t="n">
        <v>24.75</v>
      </c>
      <c r="E3312" s="106" t="n">
        <v>45.1852</v>
      </c>
      <c r="F3312" s="107" t="n">
        <f aca="false">IF($C3312="","",$D3312*$E3312)</f>
        <v>1118.3337</v>
      </c>
      <c r="G3312" s="107" t="n">
        <f aca="false">IF($C3312="","",$D3312*IFERROR(INDEX('تحليل التكلفة والسعر'!$C$2:$C$700,MATCH($C3312,'تحليل التكلفة والسعر'!$B$2:$B$700,0)),0))</f>
        <v>1690.338375</v>
      </c>
      <c r="H3312" s="104" t="s">
        <v>719</v>
      </c>
    </row>
    <row r="3313" customFormat="false" ht="15" hidden="false" customHeight="false" outlineLevel="0" collapsed="false">
      <c r="A3313" s="103" t="n">
        <v>46307</v>
      </c>
      <c r="B3313" s="104" t="s">
        <v>32</v>
      </c>
      <c r="C3313" s="104" t="s">
        <v>453</v>
      </c>
      <c r="D3313" s="105" t="n">
        <v>24.75</v>
      </c>
      <c r="E3313" s="106" t="n">
        <v>45.1852</v>
      </c>
      <c r="F3313" s="107" t="n">
        <f aca="false">IF($C3313="","",$D3313*$E3313)</f>
        <v>1118.3337</v>
      </c>
      <c r="G3313" s="107" t="n">
        <f aca="false">IF($C3313="","",$D3313*IFERROR(INDEX('تحليل التكلفة والسعر'!$C$2:$C$700,MATCH($C3313,'تحليل التكلفة والسعر'!$B$2:$B$700,0)),0))</f>
        <v>1690.338375</v>
      </c>
      <c r="H3313" s="104" t="s">
        <v>719</v>
      </c>
    </row>
    <row r="3314" customFormat="false" ht="15" hidden="false" customHeight="false" outlineLevel="0" collapsed="false">
      <c r="A3314" s="103" t="n">
        <v>46296</v>
      </c>
      <c r="B3314" s="104" t="s">
        <v>32</v>
      </c>
      <c r="C3314" s="104" t="s">
        <v>489</v>
      </c>
      <c r="D3314" s="105" t="n">
        <v>0.1667</v>
      </c>
      <c r="E3314" s="106" t="n">
        <v>360</v>
      </c>
      <c r="F3314" s="107" t="n">
        <f aca="false">IF($C3314="","",$D3314*$E3314)</f>
        <v>60.012</v>
      </c>
      <c r="G3314" s="107" t="n">
        <f aca="false">IF($C3314="","",$D3314*IFERROR(INDEX('تحليل التكلفة والسعر'!$C$2:$C$700,MATCH($C3314,'تحليل التكلفة والسعر'!$B$2:$B$700,0)),0))</f>
        <v>31.36152105</v>
      </c>
      <c r="H3314" s="104" t="s">
        <v>719</v>
      </c>
    </row>
    <row r="3315" customFormat="false" ht="15" hidden="false" customHeight="false" outlineLevel="0" collapsed="false">
      <c r="A3315" s="103" t="n">
        <v>46297</v>
      </c>
      <c r="B3315" s="104" t="s">
        <v>32</v>
      </c>
      <c r="C3315" s="104" t="s">
        <v>489</v>
      </c>
      <c r="D3315" s="105" t="n">
        <v>0.1667</v>
      </c>
      <c r="E3315" s="106" t="n">
        <v>360</v>
      </c>
      <c r="F3315" s="107" t="n">
        <f aca="false">IF($C3315="","",$D3315*$E3315)</f>
        <v>60.012</v>
      </c>
      <c r="G3315" s="107" t="n">
        <f aca="false">IF($C3315="","",$D3315*IFERROR(INDEX('تحليل التكلفة والسعر'!$C$2:$C$700,MATCH($C3315,'تحليل التكلفة والسعر'!$B$2:$B$700,0)),0))</f>
        <v>31.36152105</v>
      </c>
      <c r="H3315" s="104" t="s">
        <v>719</v>
      </c>
    </row>
    <row r="3316" customFormat="false" ht="15" hidden="false" customHeight="false" outlineLevel="0" collapsed="false">
      <c r="A3316" s="103" t="n">
        <v>46298</v>
      </c>
      <c r="B3316" s="104" t="s">
        <v>32</v>
      </c>
      <c r="C3316" s="104" t="s">
        <v>489</v>
      </c>
      <c r="D3316" s="105" t="n">
        <v>0.1667</v>
      </c>
      <c r="E3316" s="106" t="n">
        <v>360</v>
      </c>
      <c r="F3316" s="107" t="n">
        <f aca="false">IF($C3316="","",$D3316*$E3316)</f>
        <v>60.012</v>
      </c>
      <c r="G3316" s="107" t="n">
        <f aca="false">IF($C3316="","",$D3316*IFERROR(INDEX('تحليل التكلفة والسعر'!$C$2:$C$700,MATCH($C3316,'تحليل التكلفة والسعر'!$B$2:$B$700,0)),0))</f>
        <v>31.36152105</v>
      </c>
      <c r="H3316" s="104" t="s">
        <v>719</v>
      </c>
    </row>
    <row r="3317" customFormat="false" ht="15" hidden="false" customHeight="false" outlineLevel="0" collapsed="false">
      <c r="A3317" s="103" t="n">
        <v>46299</v>
      </c>
      <c r="B3317" s="104" t="s">
        <v>32</v>
      </c>
      <c r="C3317" s="104" t="s">
        <v>489</v>
      </c>
      <c r="D3317" s="105" t="n">
        <v>0.1667</v>
      </c>
      <c r="E3317" s="106" t="n">
        <v>360</v>
      </c>
      <c r="F3317" s="107" t="n">
        <f aca="false">IF($C3317="","",$D3317*$E3317)</f>
        <v>60.012</v>
      </c>
      <c r="G3317" s="107" t="n">
        <f aca="false">IF($C3317="","",$D3317*IFERROR(INDEX('تحليل التكلفة والسعر'!$C$2:$C$700,MATCH($C3317,'تحليل التكلفة والسعر'!$B$2:$B$700,0)),0))</f>
        <v>31.36152105</v>
      </c>
      <c r="H3317" s="104" t="s">
        <v>719</v>
      </c>
    </row>
    <row r="3318" customFormat="false" ht="15" hidden="false" customHeight="false" outlineLevel="0" collapsed="false">
      <c r="A3318" s="103" t="n">
        <v>46300</v>
      </c>
      <c r="B3318" s="104" t="s">
        <v>32</v>
      </c>
      <c r="C3318" s="104" t="s">
        <v>489</v>
      </c>
      <c r="D3318" s="105" t="n">
        <v>0.1667</v>
      </c>
      <c r="E3318" s="106" t="n">
        <v>360</v>
      </c>
      <c r="F3318" s="107" t="n">
        <f aca="false">IF($C3318="","",$D3318*$E3318)</f>
        <v>60.012</v>
      </c>
      <c r="G3318" s="107" t="n">
        <f aca="false">IF($C3318="","",$D3318*IFERROR(INDEX('تحليل التكلفة والسعر'!$C$2:$C$700,MATCH($C3318,'تحليل التكلفة والسعر'!$B$2:$B$700,0)),0))</f>
        <v>31.36152105</v>
      </c>
      <c r="H3318" s="104" t="s">
        <v>719</v>
      </c>
    </row>
    <row r="3319" customFormat="false" ht="15" hidden="false" customHeight="false" outlineLevel="0" collapsed="false">
      <c r="A3319" s="103" t="n">
        <v>46301</v>
      </c>
      <c r="B3319" s="104" t="s">
        <v>32</v>
      </c>
      <c r="C3319" s="104" t="s">
        <v>489</v>
      </c>
      <c r="D3319" s="105" t="n">
        <v>0.1667</v>
      </c>
      <c r="E3319" s="106" t="n">
        <v>360</v>
      </c>
      <c r="F3319" s="107" t="n">
        <f aca="false">IF($C3319="","",$D3319*$E3319)</f>
        <v>60.012</v>
      </c>
      <c r="G3319" s="107" t="n">
        <f aca="false">IF($C3319="","",$D3319*IFERROR(INDEX('تحليل التكلفة والسعر'!$C$2:$C$700,MATCH($C3319,'تحليل التكلفة والسعر'!$B$2:$B$700,0)),0))</f>
        <v>31.36152105</v>
      </c>
      <c r="H3319" s="104" t="s">
        <v>719</v>
      </c>
    </row>
    <row r="3320" customFormat="false" ht="15" hidden="false" customHeight="false" outlineLevel="0" collapsed="false">
      <c r="A3320" s="103" t="n">
        <v>46302</v>
      </c>
      <c r="B3320" s="104" t="s">
        <v>32</v>
      </c>
      <c r="C3320" s="104" t="s">
        <v>489</v>
      </c>
      <c r="D3320" s="105" t="n">
        <v>0.1667</v>
      </c>
      <c r="E3320" s="106" t="n">
        <v>360</v>
      </c>
      <c r="F3320" s="107" t="n">
        <f aca="false">IF($C3320="","",$D3320*$E3320)</f>
        <v>60.012</v>
      </c>
      <c r="G3320" s="107" t="n">
        <f aca="false">IF($C3320="","",$D3320*IFERROR(INDEX('تحليل التكلفة والسعر'!$C$2:$C$700,MATCH($C3320,'تحليل التكلفة والسعر'!$B$2:$B$700,0)),0))</f>
        <v>31.36152105</v>
      </c>
      <c r="H3320" s="104" t="s">
        <v>719</v>
      </c>
    </row>
    <row r="3321" customFormat="false" ht="15" hidden="false" customHeight="false" outlineLevel="0" collapsed="false">
      <c r="A3321" s="103" t="n">
        <v>46303</v>
      </c>
      <c r="B3321" s="104" t="s">
        <v>32</v>
      </c>
      <c r="C3321" s="104" t="s">
        <v>489</v>
      </c>
      <c r="D3321" s="105" t="n">
        <v>0.1667</v>
      </c>
      <c r="E3321" s="106" t="n">
        <v>360</v>
      </c>
      <c r="F3321" s="107" t="n">
        <f aca="false">IF($C3321="","",$D3321*$E3321)</f>
        <v>60.012</v>
      </c>
      <c r="G3321" s="107" t="n">
        <f aca="false">IF($C3321="","",$D3321*IFERROR(INDEX('تحليل التكلفة والسعر'!$C$2:$C$700,MATCH($C3321,'تحليل التكلفة والسعر'!$B$2:$B$700,0)),0))</f>
        <v>31.36152105</v>
      </c>
      <c r="H3321" s="104" t="s">
        <v>719</v>
      </c>
    </row>
    <row r="3322" customFormat="false" ht="15" hidden="false" customHeight="false" outlineLevel="0" collapsed="false">
      <c r="A3322" s="103" t="n">
        <v>46304</v>
      </c>
      <c r="B3322" s="104" t="s">
        <v>32</v>
      </c>
      <c r="C3322" s="104" t="s">
        <v>489</v>
      </c>
      <c r="D3322" s="105" t="n">
        <v>0.1667</v>
      </c>
      <c r="E3322" s="106" t="n">
        <v>360</v>
      </c>
      <c r="F3322" s="107" t="n">
        <f aca="false">IF($C3322="","",$D3322*$E3322)</f>
        <v>60.012</v>
      </c>
      <c r="G3322" s="107" t="n">
        <f aca="false">IF($C3322="","",$D3322*IFERROR(INDEX('تحليل التكلفة والسعر'!$C$2:$C$700,MATCH($C3322,'تحليل التكلفة والسعر'!$B$2:$B$700,0)),0))</f>
        <v>31.36152105</v>
      </c>
      <c r="H3322" s="104" t="s">
        <v>719</v>
      </c>
    </row>
    <row r="3323" customFormat="false" ht="15" hidden="false" customHeight="false" outlineLevel="0" collapsed="false">
      <c r="A3323" s="103" t="n">
        <v>46305</v>
      </c>
      <c r="B3323" s="104" t="s">
        <v>32</v>
      </c>
      <c r="C3323" s="104" t="s">
        <v>489</v>
      </c>
      <c r="D3323" s="105" t="n">
        <v>0.1667</v>
      </c>
      <c r="E3323" s="106" t="n">
        <v>360</v>
      </c>
      <c r="F3323" s="107" t="n">
        <f aca="false">IF($C3323="","",$D3323*$E3323)</f>
        <v>60.012</v>
      </c>
      <c r="G3323" s="107" t="n">
        <f aca="false">IF($C3323="","",$D3323*IFERROR(INDEX('تحليل التكلفة والسعر'!$C$2:$C$700,MATCH($C3323,'تحليل التكلفة والسعر'!$B$2:$B$700,0)),0))</f>
        <v>31.36152105</v>
      </c>
      <c r="H3323" s="104" t="s">
        <v>719</v>
      </c>
    </row>
    <row r="3324" customFormat="false" ht="15" hidden="false" customHeight="false" outlineLevel="0" collapsed="false">
      <c r="A3324" s="103" t="n">
        <v>46306</v>
      </c>
      <c r="B3324" s="104" t="s">
        <v>32</v>
      </c>
      <c r="C3324" s="104" t="s">
        <v>489</v>
      </c>
      <c r="D3324" s="105" t="n">
        <v>0.1667</v>
      </c>
      <c r="E3324" s="106" t="n">
        <v>360</v>
      </c>
      <c r="F3324" s="107" t="n">
        <f aca="false">IF($C3324="","",$D3324*$E3324)</f>
        <v>60.012</v>
      </c>
      <c r="G3324" s="107" t="n">
        <f aca="false">IF($C3324="","",$D3324*IFERROR(INDEX('تحليل التكلفة والسعر'!$C$2:$C$700,MATCH($C3324,'تحليل التكلفة والسعر'!$B$2:$B$700,0)),0))</f>
        <v>31.36152105</v>
      </c>
      <c r="H3324" s="104" t="s">
        <v>719</v>
      </c>
    </row>
    <row r="3325" customFormat="false" ht="15" hidden="false" customHeight="false" outlineLevel="0" collapsed="false">
      <c r="A3325" s="103" t="n">
        <v>46307</v>
      </c>
      <c r="B3325" s="104" t="s">
        <v>32</v>
      </c>
      <c r="C3325" s="104" t="s">
        <v>489</v>
      </c>
      <c r="D3325" s="105" t="n">
        <v>0.1667</v>
      </c>
      <c r="E3325" s="106" t="n">
        <v>360</v>
      </c>
      <c r="F3325" s="107" t="n">
        <f aca="false">IF($C3325="","",$D3325*$E3325)</f>
        <v>60.012</v>
      </c>
      <c r="G3325" s="107" t="n">
        <f aca="false">IF($C3325="","",$D3325*IFERROR(INDEX('تحليل التكلفة والسعر'!$C$2:$C$700,MATCH($C3325,'تحليل التكلفة والسعر'!$B$2:$B$700,0)),0))</f>
        <v>31.36152105</v>
      </c>
      <c r="H3325" s="104" t="s">
        <v>719</v>
      </c>
    </row>
    <row r="3326" customFormat="false" ht="15" hidden="false" customHeight="false" outlineLevel="0" collapsed="false">
      <c r="A3326" s="103" t="n">
        <v>46296</v>
      </c>
      <c r="B3326" s="104" t="s">
        <v>32</v>
      </c>
      <c r="C3326" s="104" t="s">
        <v>500</v>
      </c>
      <c r="D3326" s="105" t="n">
        <v>0.3333</v>
      </c>
      <c r="E3326" s="106" t="n">
        <v>262.5</v>
      </c>
      <c r="F3326" s="107" t="n">
        <f aca="false">IF($C3326="","",$D3326*$E3326)</f>
        <v>87.49125</v>
      </c>
      <c r="G3326" s="107" t="n">
        <f aca="false">IF($C3326="","",$D3326*IFERROR(INDEX('تحليل التكلفة والسعر'!$C$2:$C$700,MATCH($C3326,'تحليل التكلفة والسعر'!$B$2:$B$700,0)),0))</f>
        <v>42.76122345</v>
      </c>
      <c r="H3326" s="104" t="s">
        <v>719</v>
      </c>
    </row>
    <row r="3327" customFormat="false" ht="15" hidden="false" customHeight="false" outlineLevel="0" collapsed="false">
      <c r="A3327" s="103" t="n">
        <v>46297</v>
      </c>
      <c r="B3327" s="104" t="s">
        <v>32</v>
      </c>
      <c r="C3327" s="104" t="s">
        <v>500</v>
      </c>
      <c r="D3327" s="105" t="n">
        <v>0.3333</v>
      </c>
      <c r="E3327" s="106" t="n">
        <v>262.5</v>
      </c>
      <c r="F3327" s="107" t="n">
        <f aca="false">IF($C3327="","",$D3327*$E3327)</f>
        <v>87.49125</v>
      </c>
      <c r="G3327" s="107" t="n">
        <f aca="false">IF($C3327="","",$D3327*IFERROR(INDEX('تحليل التكلفة والسعر'!$C$2:$C$700,MATCH($C3327,'تحليل التكلفة والسعر'!$B$2:$B$700,0)),0))</f>
        <v>42.76122345</v>
      </c>
      <c r="H3327" s="104" t="s">
        <v>719</v>
      </c>
    </row>
    <row r="3328" customFormat="false" ht="15" hidden="false" customHeight="false" outlineLevel="0" collapsed="false">
      <c r="A3328" s="103" t="n">
        <v>46298</v>
      </c>
      <c r="B3328" s="104" t="s">
        <v>32</v>
      </c>
      <c r="C3328" s="104" t="s">
        <v>500</v>
      </c>
      <c r="D3328" s="105" t="n">
        <v>0.3333</v>
      </c>
      <c r="E3328" s="106" t="n">
        <v>262.5</v>
      </c>
      <c r="F3328" s="107" t="n">
        <f aca="false">IF($C3328="","",$D3328*$E3328)</f>
        <v>87.49125</v>
      </c>
      <c r="G3328" s="107" t="n">
        <f aca="false">IF($C3328="","",$D3328*IFERROR(INDEX('تحليل التكلفة والسعر'!$C$2:$C$700,MATCH($C3328,'تحليل التكلفة والسعر'!$B$2:$B$700,0)),0))</f>
        <v>42.76122345</v>
      </c>
      <c r="H3328" s="104" t="s">
        <v>719</v>
      </c>
    </row>
    <row r="3329" customFormat="false" ht="15" hidden="false" customHeight="false" outlineLevel="0" collapsed="false">
      <c r="A3329" s="103" t="n">
        <v>46299</v>
      </c>
      <c r="B3329" s="104" t="s">
        <v>32</v>
      </c>
      <c r="C3329" s="104" t="s">
        <v>500</v>
      </c>
      <c r="D3329" s="105" t="n">
        <v>0.3333</v>
      </c>
      <c r="E3329" s="106" t="n">
        <v>262.5</v>
      </c>
      <c r="F3329" s="107" t="n">
        <f aca="false">IF($C3329="","",$D3329*$E3329)</f>
        <v>87.49125</v>
      </c>
      <c r="G3329" s="107" t="n">
        <f aca="false">IF($C3329="","",$D3329*IFERROR(INDEX('تحليل التكلفة والسعر'!$C$2:$C$700,MATCH($C3329,'تحليل التكلفة والسعر'!$B$2:$B$700,0)),0))</f>
        <v>42.76122345</v>
      </c>
      <c r="H3329" s="104" t="s">
        <v>719</v>
      </c>
    </row>
    <row r="3330" customFormat="false" ht="15" hidden="false" customHeight="false" outlineLevel="0" collapsed="false">
      <c r="A3330" s="103" t="n">
        <v>46300</v>
      </c>
      <c r="B3330" s="104" t="s">
        <v>32</v>
      </c>
      <c r="C3330" s="104" t="s">
        <v>500</v>
      </c>
      <c r="D3330" s="105" t="n">
        <v>0.3333</v>
      </c>
      <c r="E3330" s="106" t="n">
        <v>262.5</v>
      </c>
      <c r="F3330" s="107" t="n">
        <f aca="false">IF($C3330="","",$D3330*$E3330)</f>
        <v>87.49125</v>
      </c>
      <c r="G3330" s="107" t="n">
        <f aca="false">IF($C3330="","",$D3330*IFERROR(INDEX('تحليل التكلفة والسعر'!$C$2:$C$700,MATCH($C3330,'تحليل التكلفة والسعر'!$B$2:$B$700,0)),0))</f>
        <v>42.76122345</v>
      </c>
      <c r="H3330" s="104" t="s">
        <v>719</v>
      </c>
    </row>
    <row r="3331" customFormat="false" ht="15" hidden="false" customHeight="false" outlineLevel="0" collapsed="false">
      <c r="A3331" s="103" t="n">
        <v>46301</v>
      </c>
      <c r="B3331" s="104" t="s">
        <v>32</v>
      </c>
      <c r="C3331" s="104" t="s">
        <v>500</v>
      </c>
      <c r="D3331" s="105" t="n">
        <v>0.3333</v>
      </c>
      <c r="E3331" s="106" t="n">
        <v>262.5</v>
      </c>
      <c r="F3331" s="107" t="n">
        <f aca="false">IF($C3331="","",$D3331*$E3331)</f>
        <v>87.49125</v>
      </c>
      <c r="G3331" s="107" t="n">
        <f aca="false">IF($C3331="","",$D3331*IFERROR(INDEX('تحليل التكلفة والسعر'!$C$2:$C$700,MATCH($C3331,'تحليل التكلفة والسعر'!$B$2:$B$700,0)),0))</f>
        <v>42.76122345</v>
      </c>
      <c r="H3331" s="104" t="s">
        <v>719</v>
      </c>
    </row>
    <row r="3332" customFormat="false" ht="15" hidden="false" customHeight="false" outlineLevel="0" collapsed="false">
      <c r="A3332" s="103" t="n">
        <v>46302</v>
      </c>
      <c r="B3332" s="104" t="s">
        <v>32</v>
      </c>
      <c r="C3332" s="104" t="s">
        <v>500</v>
      </c>
      <c r="D3332" s="105" t="n">
        <v>0.3333</v>
      </c>
      <c r="E3332" s="106" t="n">
        <v>262.5</v>
      </c>
      <c r="F3332" s="107" t="n">
        <f aca="false">IF($C3332="","",$D3332*$E3332)</f>
        <v>87.49125</v>
      </c>
      <c r="G3332" s="107" t="n">
        <f aca="false">IF($C3332="","",$D3332*IFERROR(INDEX('تحليل التكلفة والسعر'!$C$2:$C$700,MATCH($C3332,'تحليل التكلفة والسعر'!$B$2:$B$700,0)),0))</f>
        <v>42.76122345</v>
      </c>
      <c r="H3332" s="104" t="s">
        <v>719</v>
      </c>
    </row>
    <row r="3333" customFormat="false" ht="15" hidden="false" customHeight="false" outlineLevel="0" collapsed="false">
      <c r="A3333" s="103" t="n">
        <v>46303</v>
      </c>
      <c r="B3333" s="104" t="s">
        <v>32</v>
      </c>
      <c r="C3333" s="104" t="s">
        <v>500</v>
      </c>
      <c r="D3333" s="105" t="n">
        <v>0.3333</v>
      </c>
      <c r="E3333" s="106" t="n">
        <v>262.5</v>
      </c>
      <c r="F3333" s="107" t="n">
        <f aca="false">IF($C3333="","",$D3333*$E3333)</f>
        <v>87.49125</v>
      </c>
      <c r="G3333" s="107" t="n">
        <f aca="false">IF($C3333="","",$D3333*IFERROR(INDEX('تحليل التكلفة والسعر'!$C$2:$C$700,MATCH($C3333,'تحليل التكلفة والسعر'!$B$2:$B$700,0)),0))</f>
        <v>42.76122345</v>
      </c>
      <c r="H3333" s="104" t="s">
        <v>719</v>
      </c>
    </row>
    <row r="3334" customFormat="false" ht="15" hidden="false" customHeight="false" outlineLevel="0" collapsed="false">
      <c r="A3334" s="103" t="n">
        <v>46304</v>
      </c>
      <c r="B3334" s="104" t="s">
        <v>32</v>
      </c>
      <c r="C3334" s="104" t="s">
        <v>500</v>
      </c>
      <c r="D3334" s="105" t="n">
        <v>0.3333</v>
      </c>
      <c r="E3334" s="106" t="n">
        <v>262.5</v>
      </c>
      <c r="F3334" s="107" t="n">
        <f aca="false">IF($C3334="","",$D3334*$E3334)</f>
        <v>87.49125</v>
      </c>
      <c r="G3334" s="107" t="n">
        <f aca="false">IF($C3334="","",$D3334*IFERROR(INDEX('تحليل التكلفة والسعر'!$C$2:$C$700,MATCH($C3334,'تحليل التكلفة والسعر'!$B$2:$B$700,0)),0))</f>
        <v>42.76122345</v>
      </c>
      <c r="H3334" s="104" t="s">
        <v>719</v>
      </c>
    </row>
    <row r="3335" customFormat="false" ht="15" hidden="false" customHeight="false" outlineLevel="0" collapsed="false">
      <c r="A3335" s="103" t="n">
        <v>46305</v>
      </c>
      <c r="B3335" s="104" t="s">
        <v>32</v>
      </c>
      <c r="C3335" s="104" t="s">
        <v>500</v>
      </c>
      <c r="D3335" s="105" t="n">
        <v>0.3333</v>
      </c>
      <c r="E3335" s="106" t="n">
        <v>262.5</v>
      </c>
      <c r="F3335" s="107" t="n">
        <f aca="false">IF($C3335="","",$D3335*$E3335)</f>
        <v>87.49125</v>
      </c>
      <c r="G3335" s="107" t="n">
        <f aca="false">IF($C3335="","",$D3335*IFERROR(INDEX('تحليل التكلفة والسعر'!$C$2:$C$700,MATCH($C3335,'تحليل التكلفة والسعر'!$B$2:$B$700,0)),0))</f>
        <v>42.76122345</v>
      </c>
      <c r="H3335" s="104" t="s">
        <v>719</v>
      </c>
    </row>
    <row r="3336" customFormat="false" ht="15" hidden="false" customHeight="false" outlineLevel="0" collapsed="false">
      <c r="A3336" s="103" t="n">
        <v>46306</v>
      </c>
      <c r="B3336" s="104" t="s">
        <v>32</v>
      </c>
      <c r="C3336" s="104" t="s">
        <v>500</v>
      </c>
      <c r="D3336" s="105" t="n">
        <v>0.3333</v>
      </c>
      <c r="E3336" s="106" t="n">
        <v>262.5</v>
      </c>
      <c r="F3336" s="107" t="n">
        <f aca="false">IF($C3336="","",$D3336*$E3336)</f>
        <v>87.49125</v>
      </c>
      <c r="G3336" s="107" t="n">
        <f aca="false">IF($C3336="","",$D3336*IFERROR(INDEX('تحليل التكلفة والسعر'!$C$2:$C$700,MATCH($C3336,'تحليل التكلفة والسعر'!$B$2:$B$700,0)),0))</f>
        <v>42.76122345</v>
      </c>
      <c r="H3336" s="104" t="s">
        <v>719</v>
      </c>
    </row>
    <row r="3337" customFormat="false" ht="15" hidden="false" customHeight="false" outlineLevel="0" collapsed="false">
      <c r="A3337" s="103" t="n">
        <v>46307</v>
      </c>
      <c r="B3337" s="104" t="s">
        <v>32</v>
      </c>
      <c r="C3337" s="104" t="s">
        <v>500</v>
      </c>
      <c r="D3337" s="105" t="n">
        <v>0.3333</v>
      </c>
      <c r="E3337" s="106" t="n">
        <v>262.5</v>
      </c>
      <c r="F3337" s="107" t="n">
        <f aca="false">IF($C3337="","",$D3337*$E3337)</f>
        <v>87.49125</v>
      </c>
      <c r="G3337" s="107" t="n">
        <f aca="false">IF($C3337="","",$D3337*IFERROR(INDEX('تحليل التكلفة والسعر'!$C$2:$C$700,MATCH($C3337,'تحليل التكلفة والسعر'!$B$2:$B$700,0)),0))</f>
        <v>42.76122345</v>
      </c>
      <c r="H3337" s="104" t="s">
        <v>719</v>
      </c>
    </row>
    <row r="3338" customFormat="false" ht="15" hidden="false" customHeight="false" outlineLevel="0" collapsed="false">
      <c r="A3338" s="103" t="n">
        <v>46296</v>
      </c>
      <c r="B3338" s="104" t="s">
        <v>32</v>
      </c>
      <c r="C3338" s="104" t="s">
        <v>509</v>
      </c>
      <c r="D3338" s="105" t="n">
        <v>0.4167</v>
      </c>
      <c r="E3338" s="106" t="n">
        <v>90</v>
      </c>
      <c r="F3338" s="107" t="n">
        <f aca="false">IF($C3338="","",$D3338*$E3338)</f>
        <v>37.503</v>
      </c>
      <c r="G3338" s="107" t="n">
        <f aca="false">IF($C3338="","",$D3338*IFERROR(INDEX('تحليل التكلفة والسعر'!$C$2:$C$700,MATCH($C3338,'تحليل التكلفة والسعر'!$B$2:$B$700,0)),0))</f>
        <v>13.87465155</v>
      </c>
      <c r="H3338" s="104" t="s">
        <v>719</v>
      </c>
    </row>
    <row r="3339" customFormat="false" ht="15" hidden="false" customHeight="false" outlineLevel="0" collapsed="false">
      <c r="A3339" s="103" t="n">
        <v>46297</v>
      </c>
      <c r="B3339" s="104" t="s">
        <v>32</v>
      </c>
      <c r="C3339" s="104" t="s">
        <v>509</v>
      </c>
      <c r="D3339" s="105" t="n">
        <v>0.4167</v>
      </c>
      <c r="E3339" s="106" t="n">
        <v>90</v>
      </c>
      <c r="F3339" s="107" t="n">
        <f aca="false">IF($C3339="","",$D3339*$E3339)</f>
        <v>37.503</v>
      </c>
      <c r="G3339" s="107" t="n">
        <f aca="false">IF($C3339="","",$D3339*IFERROR(INDEX('تحليل التكلفة والسعر'!$C$2:$C$700,MATCH($C3339,'تحليل التكلفة والسعر'!$B$2:$B$700,0)),0))</f>
        <v>13.87465155</v>
      </c>
      <c r="H3339" s="104" t="s">
        <v>719</v>
      </c>
    </row>
    <row r="3340" customFormat="false" ht="15" hidden="false" customHeight="false" outlineLevel="0" collapsed="false">
      <c r="A3340" s="103" t="n">
        <v>46298</v>
      </c>
      <c r="B3340" s="104" t="s">
        <v>32</v>
      </c>
      <c r="C3340" s="104" t="s">
        <v>509</v>
      </c>
      <c r="D3340" s="105" t="n">
        <v>0.4167</v>
      </c>
      <c r="E3340" s="106" t="n">
        <v>90</v>
      </c>
      <c r="F3340" s="107" t="n">
        <f aca="false">IF($C3340="","",$D3340*$E3340)</f>
        <v>37.503</v>
      </c>
      <c r="G3340" s="107" t="n">
        <f aca="false">IF($C3340="","",$D3340*IFERROR(INDEX('تحليل التكلفة والسعر'!$C$2:$C$700,MATCH($C3340,'تحليل التكلفة والسعر'!$B$2:$B$700,0)),0))</f>
        <v>13.87465155</v>
      </c>
      <c r="H3340" s="104" t="s">
        <v>719</v>
      </c>
    </row>
    <row r="3341" customFormat="false" ht="15" hidden="false" customHeight="false" outlineLevel="0" collapsed="false">
      <c r="A3341" s="103" t="n">
        <v>46299</v>
      </c>
      <c r="B3341" s="104" t="s">
        <v>32</v>
      </c>
      <c r="C3341" s="104" t="s">
        <v>509</v>
      </c>
      <c r="D3341" s="105" t="n">
        <v>0.4167</v>
      </c>
      <c r="E3341" s="106" t="n">
        <v>90</v>
      </c>
      <c r="F3341" s="107" t="n">
        <f aca="false">IF($C3341="","",$D3341*$E3341)</f>
        <v>37.503</v>
      </c>
      <c r="G3341" s="107" t="n">
        <f aca="false">IF($C3341="","",$D3341*IFERROR(INDEX('تحليل التكلفة والسعر'!$C$2:$C$700,MATCH($C3341,'تحليل التكلفة والسعر'!$B$2:$B$700,0)),0))</f>
        <v>13.87465155</v>
      </c>
      <c r="H3341" s="104" t="s">
        <v>719</v>
      </c>
    </row>
    <row r="3342" customFormat="false" ht="15" hidden="false" customHeight="false" outlineLevel="0" collapsed="false">
      <c r="A3342" s="103" t="n">
        <v>46300</v>
      </c>
      <c r="B3342" s="104" t="s">
        <v>32</v>
      </c>
      <c r="C3342" s="104" t="s">
        <v>509</v>
      </c>
      <c r="D3342" s="105" t="n">
        <v>0.4167</v>
      </c>
      <c r="E3342" s="106" t="n">
        <v>90</v>
      </c>
      <c r="F3342" s="107" t="n">
        <f aca="false">IF($C3342="","",$D3342*$E3342)</f>
        <v>37.503</v>
      </c>
      <c r="G3342" s="107" t="n">
        <f aca="false">IF($C3342="","",$D3342*IFERROR(INDEX('تحليل التكلفة والسعر'!$C$2:$C$700,MATCH($C3342,'تحليل التكلفة والسعر'!$B$2:$B$700,0)),0))</f>
        <v>13.87465155</v>
      </c>
      <c r="H3342" s="104" t="s">
        <v>719</v>
      </c>
    </row>
    <row r="3343" customFormat="false" ht="15" hidden="false" customHeight="false" outlineLevel="0" collapsed="false">
      <c r="A3343" s="103" t="n">
        <v>46301</v>
      </c>
      <c r="B3343" s="104" t="s">
        <v>32</v>
      </c>
      <c r="C3343" s="104" t="s">
        <v>509</v>
      </c>
      <c r="D3343" s="105" t="n">
        <v>0.4167</v>
      </c>
      <c r="E3343" s="106" t="n">
        <v>90</v>
      </c>
      <c r="F3343" s="107" t="n">
        <f aca="false">IF($C3343="","",$D3343*$E3343)</f>
        <v>37.503</v>
      </c>
      <c r="G3343" s="107" t="n">
        <f aca="false">IF($C3343="","",$D3343*IFERROR(INDEX('تحليل التكلفة والسعر'!$C$2:$C$700,MATCH($C3343,'تحليل التكلفة والسعر'!$B$2:$B$700,0)),0))</f>
        <v>13.87465155</v>
      </c>
      <c r="H3343" s="104" t="s">
        <v>719</v>
      </c>
    </row>
    <row r="3344" customFormat="false" ht="15" hidden="false" customHeight="false" outlineLevel="0" collapsed="false">
      <c r="A3344" s="103" t="n">
        <v>46302</v>
      </c>
      <c r="B3344" s="104" t="s">
        <v>32</v>
      </c>
      <c r="C3344" s="104" t="s">
        <v>509</v>
      </c>
      <c r="D3344" s="105" t="n">
        <v>0.4167</v>
      </c>
      <c r="E3344" s="106" t="n">
        <v>90</v>
      </c>
      <c r="F3344" s="107" t="n">
        <f aca="false">IF($C3344="","",$D3344*$E3344)</f>
        <v>37.503</v>
      </c>
      <c r="G3344" s="107" t="n">
        <f aca="false">IF($C3344="","",$D3344*IFERROR(INDEX('تحليل التكلفة والسعر'!$C$2:$C$700,MATCH($C3344,'تحليل التكلفة والسعر'!$B$2:$B$700,0)),0))</f>
        <v>13.87465155</v>
      </c>
      <c r="H3344" s="104" t="s">
        <v>719</v>
      </c>
    </row>
    <row r="3345" customFormat="false" ht="15" hidden="false" customHeight="false" outlineLevel="0" collapsed="false">
      <c r="A3345" s="103" t="n">
        <v>46303</v>
      </c>
      <c r="B3345" s="104" t="s">
        <v>32</v>
      </c>
      <c r="C3345" s="104" t="s">
        <v>509</v>
      </c>
      <c r="D3345" s="105" t="n">
        <v>0.4167</v>
      </c>
      <c r="E3345" s="106" t="n">
        <v>90</v>
      </c>
      <c r="F3345" s="107" t="n">
        <f aca="false">IF($C3345="","",$D3345*$E3345)</f>
        <v>37.503</v>
      </c>
      <c r="G3345" s="107" t="n">
        <f aca="false">IF($C3345="","",$D3345*IFERROR(INDEX('تحليل التكلفة والسعر'!$C$2:$C$700,MATCH($C3345,'تحليل التكلفة والسعر'!$B$2:$B$700,0)),0))</f>
        <v>13.87465155</v>
      </c>
      <c r="H3345" s="104" t="s">
        <v>719</v>
      </c>
    </row>
    <row r="3346" customFormat="false" ht="15" hidden="false" customHeight="false" outlineLevel="0" collapsed="false">
      <c r="A3346" s="103" t="n">
        <v>46304</v>
      </c>
      <c r="B3346" s="104" t="s">
        <v>32</v>
      </c>
      <c r="C3346" s="104" t="s">
        <v>509</v>
      </c>
      <c r="D3346" s="105" t="n">
        <v>0.4167</v>
      </c>
      <c r="E3346" s="106" t="n">
        <v>90</v>
      </c>
      <c r="F3346" s="107" t="n">
        <f aca="false">IF($C3346="","",$D3346*$E3346)</f>
        <v>37.503</v>
      </c>
      <c r="G3346" s="107" t="n">
        <f aca="false">IF($C3346="","",$D3346*IFERROR(INDEX('تحليل التكلفة والسعر'!$C$2:$C$700,MATCH($C3346,'تحليل التكلفة والسعر'!$B$2:$B$700,0)),0))</f>
        <v>13.87465155</v>
      </c>
      <c r="H3346" s="104" t="s">
        <v>719</v>
      </c>
    </row>
    <row r="3347" customFormat="false" ht="15" hidden="false" customHeight="false" outlineLevel="0" collapsed="false">
      <c r="A3347" s="103" t="n">
        <v>46305</v>
      </c>
      <c r="B3347" s="104" t="s">
        <v>32</v>
      </c>
      <c r="C3347" s="104" t="s">
        <v>509</v>
      </c>
      <c r="D3347" s="105" t="n">
        <v>0.4167</v>
      </c>
      <c r="E3347" s="106" t="n">
        <v>90</v>
      </c>
      <c r="F3347" s="107" t="n">
        <f aca="false">IF($C3347="","",$D3347*$E3347)</f>
        <v>37.503</v>
      </c>
      <c r="G3347" s="107" t="n">
        <f aca="false">IF($C3347="","",$D3347*IFERROR(INDEX('تحليل التكلفة والسعر'!$C$2:$C$700,MATCH($C3347,'تحليل التكلفة والسعر'!$B$2:$B$700,0)),0))</f>
        <v>13.87465155</v>
      </c>
      <c r="H3347" s="104" t="s">
        <v>719</v>
      </c>
    </row>
    <row r="3348" customFormat="false" ht="15" hidden="false" customHeight="false" outlineLevel="0" collapsed="false">
      <c r="A3348" s="103" t="n">
        <v>46306</v>
      </c>
      <c r="B3348" s="104" t="s">
        <v>32</v>
      </c>
      <c r="C3348" s="104" t="s">
        <v>509</v>
      </c>
      <c r="D3348" s="105" t="n">
        <v>0.4167</v>
      </c>
      <c r="E3348" s="106" t="n">
        <v>90</v>
      </c>
      <c r="F3348" s="107" t="n">
        <f aca="false">IF($C3348="","",$D3348*$E3348)</f>
        <v>37.503</v>
      </c>
      <c r="G3348" s="107" t="n">
        <f aca="false">IF($C3348="","",$D3348*IFERROR(INDEX('تحليل التكلفة والسعر'!$C$2:$C$700,MATCH($C3348,'تحليل التكلفة والسعر'!$B$2:$B$700,0)),0))</f>
        <v>13.87465155</v>
      </c>
      <c r="H3348" s="104" t="s">
        <v>719</v>
      </c>
    </row>
    <row r="3349" customFormat="false" ht="15" hidden="false" customHeight="false" outlineLevel="0" collapsed="false">
      <c r="A3349" s="103" t="n">
        <v>46307</v>
      </c>
      <c r="B3349" s="104" t="s">
        <v>32</v>
      </c>
      <c r="C3349" s="104" t="s">
        <v>509</v>
      </c>
      <c r="D3349" s="105" t="n">
        <v>0.4167</v>
      </c>
      <c r="E3349" s="106" t="n">
        <v>90</v>
      </c>
      <c r="F3349" s="107" t="n">
        <f aca="false">IF($C3349="","",$D3349*$E3349)</f>
        <v>37.503</v>
      </c>
      <c r="G3349" s="107" t="n">
        <f aca="false">IF($C3349="","",$D3349*IFERROR(INDEX('تحليل التكلفة والسعر'!$C$2:$C$700,MATCH($C3349,'تحليل التكلفة والسعر'!$B$2:$B$700,0)),0))</f>
        <v>13.87465155</v>
      </c>
      <c r="H3349" s="104" t="s">
        <v>719</v>
      </c>
    </row>
    <row r="3350" customFormat="false" ht="15" hidden="false" customHeight="false" outlineLevel="0" collapsed="false">
      <c r="A3350" s="103" t="n">
        <v>46296</v>
      </c>
      <c r="B3350" s="104" t="s">
        <v>32</v>
      </c>
      <c r="C3350" s="104" t="s">
        <v>454</v>
      </c>
      <c r="D3350" s="105" t="n">
        <v>2.6667</v>
      </c>
      <c r="E3350" s="106" t="n">
        <v>200.625</v>
      </c>
      <c r="F3350" s="107" t="n">
        <f aca="false">IF($C3350="","",$D3350*$E3350)</f>
        <v>535.0066875</v>
      </c>
      <c r="G3350" s="107" t="n">
        <f aca="false">IF($C3350="","",$D3350*IFERROR(INDEX('تحليل التكلفة والسعر'!$C$2:$C$700,MATCH($C3350,'تحليل التكلفة والسعر'!$B$2:$B$700,0)),0))</f>
        <v>277.68747105</v>
      </c>
      <c r="H3350" s="104" t="s">
        <v>719</v>
      </c>
    </row>
    <row r="3351" customFormat="false" ht="15" hidden="false" customHeight="false" outlineLevel="0" collapsed="false">
      <c r="A3351" s="103" t="n">
        <v>46297</v>
      </c>
      <c r="B3351" s="104" t="s">
        <v>32</v>
      </c>
      <c r="C3351" s="104" t="s">
        <v>454</v>
      </c>
      <c r="D3351" s="105" t="n">
        <v>2.6667</v>
      </c>
      <c r="E3351" s="106" t="n">
        <v>200.625</v>
      </c>
      <c r="F3351" s="107" t="n">
        <f aca="false">IF($C3351="","",$D3351*$E3351)</f>
        <v>535.0066875</v>
      </c>
      <c r="G3351" s="107" t="n">
        <f aca="false">IF($C3351="","",$D3351*IFERROR(INDEX('تحليل التكلفة والسعر'!$C$2:$C$700,MATCH($C3351,'تحليل التكلفة والسعر'!$B$2:$B$700,0)),0))</f>
        <v>277.68747105</v>
      </c>
      <c r="H3351" s="104" t="s">
        <v>719</v>
      </c>
    </row>
    <row r="3352" customFormat="false" ht="15" hidden="false" customHeight="false" outlineLevel="0" collapsed="false">
      <c r="A3352" s="103" t="n">
        <v>46298</v>
      </c>
      <c r="B3352" s="104" t="s">
        <v>32</v>
      </c>
      <c r="C3352" s="104" t="s">
        <v>454</v>
      </c>
      <c r="D3352" s="105" t="n">
        <v>2.6667</v>
      </c>
      <c r="E3352" s="106" t="n">
        <v>200.625</v>
      </c>
      <c r="F3352" s="107" t="n">
        <f aca="false">IF($C3352="","",$D3352*$E3352)</f>
        <v>535.0066875</v>
      </c>
      <c r="G3352" s="107" t="n">
        <f aca="false">IF($C3352="","",$D3352*IFERROR(INDEX('تحليل التكلفة والسعر'!$C$2:$C$700,MATCH($C3352,'تحليل التكلفة والسعر'!$B$2:$B$700,0)),0))</f>
        <v>277.68747105</v>
      </c>
      <c r="H3352" s="104" t="s">
        <v>719</v>
      </c>
    </row>
    <row r="3353" customFormat="false" ht="15" hidden="false" customHeight="false" outlineLevel="0" collapsed="false">
      <c r="A3353" s="103" t="n">
        <v>46299</v>
      </c>
      <c r="B3353" s="104" t="s">
        <v>32</v>
      </c>
      <c r="C3353" s="104" t="s">
        <v>454</v>
      </c>
      <c r="D3353" s="105" t="n">
        <v>2.6667</v>
      </c>
      <c r="E3353" s="106" t="n">
        <v>200.625</v>
      </c>
      <c r="F3353" s="107" t="n">
        <f aca="false">IF($C3353="","",$D3353*$E3353)</f>
        <v>535.0066875</v>
      </c>
      <c r="G3353" s="107" t="n">
        <f aca="false">IF($C3353="","",$D3353*IFERROR(INDEX('تحليل التكلفة والسعر'!$C$2:$C$700,MATCH($C3353,'تحليل التكلفة والسعر'!$B$2:$B$700,0)),0))</f>
        <v>277.68747105</v>
      </c>
      <c r="H3353" s="104" t="s">
        <v>719</v>
      </c>
    </row>
    <row r="3354" customFormat="false" ht="15" hidden="false" customHeight="false" outlineLevel="0" collapsed="false">
      <c r="A3354" s="103" t="n">
        <v>46300</v>
      </c>
      <c r="B3354" s="104" t="s">
        <v>32</v>
      </c>
      <c r="C3354" s="104" t="s">
        <v>454</v>
      </c>
      <c r="D3354" s="105" t="n">
        <v>2.6667</v>
      </c>
      <c r="E3354" s="106" t="n">
        <v>200.625</v>
      </c>
      <c r="F3354" s="107" t="n">
        <f aca="false">IF($C3354="","",$D3354*$E3354)</f>
        <v>535.0066875</v>
      </c>
      <c r="G3354" s="107" t="n">
        <f aca="false">IF($C3354="","",$D3354*IFERROR(INDEX('تحليل التكلفة والسعر'!$C$2:$C$700,MATCH($C3354,'تحليل التكلفة والسعر'!$B$2:$B$700,0)),0))</f>
        <v>277.68747105</v>
      </c>
      <c r="H3354" s="104" t="s">
        <v>719</v>
      </c>
    </row>
    <row r="3355" customFormat="false" ht="15" hidden="false" customHeight="false" outlineLevel="0" collapsed="false">
      <c r="A3355" s="103" t="n">
        <v>46301</v>
      </c>
      <c r="B3355" s="104" t="s">
        <v>32</v>
      </c>
      <c r="C3355" s="104" t="s">
        <v>454</v>
      </c>
      <c r="D3355" s="105" t="n">
        <v>2.6667</v>
      </c>
      <c r="E3355" s="106" t="n">
        <v>200.625</v>
      </c>
      <c r="F3355" s="107" t="n">
        <f aca="false">IF($C3355="","",$D3355*$E3355)</f>
        <v>535.0066875</v>
      </c>
      <c r="G3355" s="107" t="n">
        <f aca="false">IF($C3355="","",$D3355*IFERROR(INDEX('تحليل التكلفة والسعر'!$C$2:$C$700,MATCH($C3355,'تحليل التكلفة والسعر'!$B$2:$B$700,0)),0))</f>
        <v>277.68747105</v>
      </c>
      <c r="H3355" s="104" t="s">
        <v>719</v>
      </c>
    </row>
    <row r="3356" customFormat="false" ht="15" hidden="false" customHeight="false" outlineLevel="0" collapsed="false">
      <c r="A3356" s="103" t="n">
        <v>46302</v>
      </c>
      <c r="B3356" s="104" t="s">
        <v>32</v>
      </c>
      <c r="C3356" s="104" t="s">
        <v>454</v>
      </c>
      <c r="D3356" s="105" t="n">
        <v>2.6667</v>
      </c>
      <c r="E3356" s="106" t="n">
        <v>200.625</v>
      </c>
      <c r="F3356" s="107" t="n">
        <f aca="false">IF($C3356="","",$D3356*$E3356)</f>
        <v>535.0066875</v>
      </c>
      <c r="G3356" s="107" t="n">
        <f aca="false">IF($C3356="","",$D3356*IFERROR(INDEX('تحليل التكلفة والسعر'!$C$2:$C$700,MATCH($C3356,'تحليل التكلفة والسعر'!$B$2:$B$700,0)),0))</f>
        <v>277.68747105</v>
      </c>
      <c r="H3356" s="104" t="s">
        <v>719</v>
      </c>
    </row>
    <row r="3357" customFormat="false" ht="15" hidden="false" customHeight="false" outlineLevel="0" collapsed="false">
      <c r="A3357" s="103" t="n">
        <v>46303</v>
      </c>
      <c r="B3357" s="104" t="s">
        <v>32</v>
      </c>
      <c r="C3357" s="104" t="s">
        <v>454</v>
      </c>
      <c r="D3357" s="105" t="n">
        <v>2.6667</v>
      </c>
      <c r="E3357" s="106" t="n">
        <v>200.625</v>
      </c>
      <c r="F3357" s="107" t="n">
        <f aca="false">IF($C3357="","",$D3357*$E3357)</f>
        <v>535.0066875</v>
      </c>
      <c r="G3357" s="107" t="n">
        <f aca="false">IF($C3357="","",$D3357*IFERROR(INDEX('تحليل التكلفة والسعر'!$C$2:$C$700,MATCH($C3357,'تحليل التكلفة والسعر'!$B$2:$B$700,0)),0))</f>
        <v>277.68747105</v>
      </c>
      <c r="H3357" s="104" t="s">
        <v>719</v>
      </c>
    </row>
    <row r="3358" customFormat="false" ht="15" hidden="false" customHeight="false" outlineLevel="0" collapsed="false">
      <c r="A3358" s="103" t="n">
        <v>46304</v>
      </c>
      <c r="B3358" s="104" t="s">
        <v>32</v>
      </c>
      <c r="C3358" s="104" t="s">
        <v>454</v>
      </c>
      <c r="D3358" s="105" t="n">
        <v>2.6667</v>
      </c>
      <c r="E3358" s="106" t="n">
        <v>200.625</v>
      </c>
      <c r="F3358" s="107" t="n">
        <f aca="false">IF($C3358="","",$D3358*$E3358)</f>
        <v>535.0066875</v>
      </c>
      <c r="G3358" s="107" t="n">
        <f aca="false">IF($C3358="","",$D3358*IFERROR(INDEX('تحليل التكلفة والسعر'!$C$2:$C$700,MATCH($C3358,'تحليل التكلفة والسعر'!$B$2:$B$700,0)),0))</f>
        <v>277.68747105</v>
      </c>
      <c r="H3358" s="104" t="s">
        <v>719</v>
      </c>
    </row>
    <row r="3359" customFormat="false" ht="15" hidden="false" customHeight="false" outlineLevel="0" collapsed="false">
      <c r="A3359" s="103" t="n">
        <v>46305</v>
      </c>
      <c r="B3359" s="104" t="s">
        <v>32</v>
      </c>
      <c r="C3359" s="104" t="s">
        <v>454</v>
      </c>
      <c r="D3359" s="105" t="n">
        <v>2.6667</v>
      </c>
      <c r="E3359" s="106" t="n">
        <v>200.625</v>
      </c>
      <c r="F3359" s="107" t="n">
        <f aca="false">IF($C3359="","",$D3359*$E3359)</f>
        <v>535.0066875</v>
      </c>
      <c r="G3359" s="107" t="n">
        <f aca="false">IF($C3359="","",$D3359*IFERROR(INDEX('تحليل التكلفة والسعر'!$C$2:$C$700,MATCH($C3359,'تحليل التكلفة والسعر'!$B$2:$B$700,0)),0))</f>
        <v>277.68747105</v>
      </c>
      <c r="H3359" s="104" t="s">
        <v>719</v>
      </c>
    </row>
    <row r="3360" customFormat="false" ht="15" hidden="false" customHeight="false" outlineLevel="0" collapsed="false">
      <c r="A3360" s="103" t="n">
        <v>46306</v>
      </c>
      <c r="B3360" s="104" t="s">
        <v>32</v>
      </c>
      <c r="C3360" s="104" t="s">
        <v>454</v>
      </c>
      <c r="D3360" s="105" t="n">
        <v>2.6667</v>
      </c>
      <c r="E3360" s="106" t="n">
        <v>200.625</v>
      </c>
      <c r="F3360" s="107" t="n">
        <f aca="false">IF($C3360="","",$D3360*$E3360)</f>
        <v>535.0066875</v>
      </c>
      <c r="G3360" s="107" t="n">
        <f aca="false">IF($C3360="","",$D3360*IFERROR(INDEX('تحليل التكلفة والسعر'!$C$2:$C$700,MATCH($C3360,'تحليل التكلفة والسعر'!$B$2:$B$700,0)),0))</f>
        <v>277.68747105</v>
      </c>
      <c r="H3360" s="104" t="s">
        <v>719</v>
      </c>
    </row>
    <row r="3361" customFormat="false" ht="15" hidden="false" customHeight="false" outlineLevel="0" collapsed="false">
      <c r="A3361" s="103" t="n">
        <v>46307</v>
      </c>
      <c r="B3361" s="104" t="s">
        <v>32</v>
      </c>
      <c r="C3361" s="104" t="s">
        <v>454</v>
      </c>
      <c r="D3361" s="105" t="n">
        <v>2.6667</v>
      </c>
      <c r="E3361" s="106" t="n">
        <v>200.625</v>
      </c>
      <c r="F3361" s="107" t="n">
        <f aca="false">IF($C3361="","",$D3361*$E3361)</f>
        <v>535.0066875</v>
      </c>
      <c r="G3361" s="107" t="n">
        <f aca="false">IF($C3361="","",$D3361*IFERROR(INDEX('تحليل التكلفة والسعر'!$C$2:$C$700,MATCH($C3361,'تحليل التكلفة والسعر'!$B$2:$B$700,0)),0))</f>
        <v>277.68747105</v>
      </c>
      <c r="H3361" s="104" t="s">
        <v>719</v>
      </c>
    </row>
    <row r="3362" customFormat="false" ht="15" hidden="false" customHeight="false" outlineLevel="0" collapsed="false">
      <c r="A3362" s="103" t="n">
        <v>46296</v>
      </c>
      <c r="B3362" s="104" t="s">
        <v>32</v>
      </c>
      <c r="C3362" s="104" t="s">
        <v>523</v>
      </c>
      <c r="D3362" s="105" t="n">
        <v>31.4167</v>
      </c>
      <c r="E3362" s="106" t="n">
        <v>43.3554</v>
      </c>
      <c r="F3362" s="107" t="n">
        <f aca="false">IF($C3362="","",$D3362*$E3362)</f>
        <v>1362.08359518</v>
      </c>
      <c r="G3362" s="107" t="n">
        <f aca="false">IF($C3362="","",$D3362*IFERROR(INDEX('تحليل التكلفة والسعر'!$C$2:$C$700,MATCH($C3362,'تحليل التكلفة والسعر'!$B$2:$B$700,0)),0))</f>
        <v>2396.98425155</v>
      </c>
      <c r="H3362" s="104" t="s">
        <v>719</v>
      </c>
    </row>
    <row r="3363" customFormat="false" ht="15" hidden="false" customHeight="false" outlineLevel="0" collapsed="false">
      <c r="A3363" s="103" t="n">
        <v>46297</v>
      </c>
      <c r="B3363" s="104" t="s">
        <v>32</v>
      </c>
      <c r="C3363" s="104" t="s">
        <v>523</v>
      </c>
      <c r="D3363" s="105" t="n">
        <v>31.4167</v>
      </c>
      <c r="E3363" s="106" t="n">
        <v>43.3554</v>
      </c>
      <c r="F3363" s="107" t="n">
        <f aca="false">IF($C3363="","",$D3363*$E3363)</f>
        <v>1362.08359518</v>
      </c>
      <c r="G3363" s="107" t="n">
        <f aca="false">IF($C3363="","",$D3363*IFERROR(INDEX('تحليل التكلفة والسعر'!$C$2:$C$700,MATCH($C3363,'تحليل التكلفة والسعر'!$B$2:$B$700,0)),0))</f>
        <v>2396.98425155</v>
      </c>
      <c r="H3363" s="104" t="s">
        <v>719</v>
      </c>
    </row>
    <row r="3364" customFormat="false" ht="15" hidden="false" customHeight="false" outlineLevel="0" collapsed="false">
      <c r="A3364" s="103" t="n">
        <v>46298</v>
      </c>
      <c r="B3364" s="104" t="s">
        <v>32</v>
      </c>
      <c r="C3364" s="104" t="s">
        <v>523</v>
      </c>
      <c r="D3364" s="105" t="n">
        <v>31.4167</v>
      </c>
      <c r="E3364" s="106" t="n">
        <v>43.3554</v>
      </c>
      <c r="F3364" s="107" t="n">
        <f aca="false">IF($C3364="","",$D3364*$E3364)</f>
        <v>1362.08359518</v>
      </c>
      <c r="G3364" s="107" t="n">
        <f aca="false">IF($C3364="","",$D3364*IFERROR(INDEX('تحليل التكلفة والسعر'!$C$2:$C$700,MATCH($C3364,'تحليل التكلفة والسعر'!$B$2:$B$700,0)),0))</f>
        <v>2396.98425155</v>
      </c>
      <c r="H3364" s="104" t="s">
        <v>719</v>
      </c>
    </row>
    <row r="3365" customFormat="false" ht="15" hidden="false" customHeight="false" outlineLevel="0" collapsed="false">
      <c r="A3365" s="103" t="n">
        <v>46299</v>
      </c>
      <c r="B3365" s="104" t="s">
        <v>32</v>
      </c>
      <c r="C3365" s="104" t="s">
        <v>523</v>
      </c>
      <c r="D3365" s="105" t="n">
        <v>31.4167</v>
      </c>
      <c r="E3365" s="106" t="n">
        <v>43.3554</v>
      </c>
      <c r="F3365" s="107" t="n">
        <f aca="false">IF($C3365="","",$D3365*$E3365)</f>
        <v>1362.08359518</v>
      </c>
      <c r="G3365" s="107" t="n">
        <f aca="false">IF($C3365="","",$D3365*IFERROR(INDEX('تحليل التكلفة والسعر'!$C$2:$C$700,MATCH($C3365,'تحليل التكلفة والسعر'!$B$2:$B$700,0)),0))</f>
        <v>2396.98425155</v>
      </c>
      <c r="H3365" s="104" t="s">
        <v>719</v>
      </c>
    </row>
    <row r="3366" customFormat="false" ht="15" hidden="false" customHeight="false" outlineLevel="0" collapsed="false">
      <c r="A3366" s="103" t="n">
        <v>46300</v>
      </c>
      <c r="B3366" s="104" t="s">
        <v>32</v>
      </c>
      <c r="C3366" s="104" t="s">
        <v>523</v>
      </c>
      <c r="D3366" s="105" t="n">
        <v>31.4167</v>
      </c>
      <c r="E3366" s="106" t="n">
        <v>43.3554</v>
      </c>
      <c r="F3366" s="107" t="n">
        <f aca="false">IF($C3366="","",$D3366*$E3366)</f>
        <v>1362.08359518</v>
      </c>
      <c r="G3366" s="107" t="n">
        <f aca="false">IF($C3366="","",$D3366*IFERROR(INDEX('تحليل التكلفة والسعر'!$C$2:$C$700,MATCH($C3366,'تحليل التكلفة والسعر'!$B$2:$B$700,0)),0))</f>
        <v>2396.98425155</v>
      </c>
      <c r="H3366" s="104" t="s">
        <v>719</v>
      </c>
    </row>
    <row r="3367" customFormat="false" ht="15" hidden="false" customHeight="false" outlineLevel="0" collapsed="false">
      <c r="A3367" s="103" t="n">
        <v>46301</v>
      </c>
      <c r="B3367" s="104" t="s">
        <v>32</v>
      </c>
      <c r="C3367" s="104" t="s">
        <v>523</v>
      </c>
      <c r="D3367" s="105" t="n">
        <v>31.4167</v>
      </c>
      <c r="E3367" s="106" t="n">
        <v>43.3554</v>
      </c>
      <c r="F3367" s="107" t="n">
        <f aca="false">IF($C3367="","",$D3367*$E3367)</f>
        <v>1362.08359518</v>
      </c>
      <c r="G3367" s="107" t="n">
        <f aca="false">IF($C3367="","",$D3367*IFERROR(INDEX('تحليل التكلفة والسعر'!$C$2:$C$700,MATCH($C3367,'تحليل التكلفة والسعر'!$B$2:$B$700,0)),0))</f>
        <v>2396.98425155</v>
      </c>
      <c r="H3367" s="104" t="s">
        <v>719</v>
      </c>
    </row>
    <row r="3368" customFormat="false" ht="15" hidden="false" customHeight="false" outlineLevel="0" collapsed="false">
      <c r="A3368" s="103" t="n">
        <v>46302</v>
      </c>
      <c r="B3368" s="104" t="s">
        <v>32</v>
      </c>
      <c r="C3368" s="104" t="s">
        <v>523</v>
      </c>
      <c r="D3368" s="105" t="n">
        <v>31.4167</v>
      </c>
      <c r="E3368" s="106" t="n">
        <v>43.3554</v>
      </c>
      <c r="F3368" s="107" t="n">
        <f aca="false">IF($C3368="","",$D3368*$E3368)</f>
        <v>1362.08359518</v>
      </c>
      <c r="G3368" s="107" t="n">
        <f aca="false">IF($C3368="","",$D3368*IFERROR(INDEX('تحليل التكلفة والسعر'!$C$2:$C$700,MATCH($C3368,'تحليل التكلفة والسعر'!$B$2:$B$700,0)),0))</f>
        <v>2396.98425155</v>
      </c>
      <c r="H3368" s="104" t="s">
        <v>719</v>
      </c>
    </row>
    <row r="3369" customFormat="false" ht="15" hidden="false" customHeight="false" outlineLevel="0" collapsed="false">
      <c r="A3369" s="103" t="n">
        <v>46303</v>
      </c>
      <c r="B3369" s="104" t="s">
        <v>32</v>
      </c>
      <c r="C3369" s="104" t="s">
        <v>523</v>
      </c>
      <c r="D3369" s="105" t="n">
        <v>31.4167</v>
      </c>
      <c r="E3369" s="106" t="n">
        <v>43.3554</v>
      </c>
      <c r="F3369" s="107" t="n">
        <f aca="false">IF($C3369="","",$D3369*$E3369)</f>
        <v>1362.08359518</v>
      </c>
      <c r="G3369" s="107" t="n">
        <f aca="false">IF($C3369="","",$D3369*IFERROR(INDEX('تحليل التكلفة والسعر'!$C$2:$C$700,MATCH($C3369,'تحليل التكلفة والسعر'!$B$2:$B$700,0)),0))</f>
        <v>2396.98425155</v>
      </c>
      <c r="H3369" s="104" t="s">
        <v>719</v>
      </c>
    </row>
    <row r="3370" customFormat="false" ht="15" hidden="false" customHeight="false" outlineLevel="0" collapsed="false">
      <c r="A3370" s="103" t="n">
        <v>46304</v>
      </c>
      <c r="B3370" s="104" t="s">
        <v>32</v>
      </c>
      <c r="C3370" s="104" t="s">
        <v>523</v>
      </c>
      <c r="D3370" s="105" t="n">
        <v>31.4167</v>
      </c>
      <c r="E3370" s="106" t="n">
        <v>43.3554</v>
      </c>
      <c r="F3370" s="107" t="n">
        <f aca="false">IF($C3370="","",$D3370*$E3370)</f>
        <v>1362.08359518</v>
      </c>
      <c r="G3370" s="107" t="n">
        <f aca="false">IF($C3370="","",$D3370*IFERROR(INDEX('تحليل التكلفة والسعر'!$C$2:$C$700,MATCH($C3370,'تحليل التكلفة والسعر'!$B$2:$B$700,0)),0))</f>
        <v>2396.98425155</v>
      </c>
      <c r="H3370" s="104" t="s">
        <v>719</v>
      </c>
    </row>
    <row r="3371" customFormat="false" ht="15" hidden="false" customHeight="false" outlineLevel="0" collapsed="false">
      <c r="A3371" s="103" t="n">
        <v>46305</v>
      </c>
      <c r="B3371" s="104" t="s">
        <v>32</v>
      </c>
      <c r="C3371" s="104" t="s">
        <v>523</v>
      </c>
      <c r="D3371" s="105" t="n">
        <v>31.4167</v>
      </c>
      <c r="E3371" s="106" t="n">
        <v>43.3554</v>
      </c>
      <c r="F3371" s="107" t="n">
        <f aca="false">IF($C3371="","",$D3371*$E3371)</f>
        <v>1362.08359518</v>
      </c>
      <c r="G3371" s="107" t="n">
        <f aca="false">IF($C3371="","",$D3371*IFERROR(INDEX('تحليل التكلفة والسعر'!$C$2:$C$700,MATCH($C3371,'تحليل التكلفة والسعر'!$B$2:$B$700,0)),0))</f>
        <v>2396.98425155</v>
      </c>
      <c r="H3371" s="104" t="s">
        <v>719</v>
      </c>
    </row>
    <row r="3372" customFormat="false" ht="15" hidden="false" customHeight="false" outlineLevel="0" collapsed="false">
      <c r="A3372" s="103" t="n">
        <v>46306</v>
      </c>
      <c r="B3372" s="104" t="s">
        <v>32</v>
      </c>
      <c r="C3372" s="104" t="s">
        <v>523</v>
      </c>
      <c r="D3372" s="105" t="n">
        <v>31.4167</v>
      </c>
      <c r="E3372" s="106" t="n">
        <v>43.3554</v>
      </c>
      <c r="F3372" s="107" t="n">
        <f aca="false">IF($C3372="","",$D3372*$E3372)</f>
        <v>1362.08359518</v>
      </c>
      <c r="G3372" s="107" t="n">
        <f aca="false">IF($C3372="","",$D3372*IFERROR(INDEX('تحليل التكلفة والسعر'!$C$2:$C$700,MATCH($C3372,'تحليل التكلفة والسعر'!$B$2:$B$700,0)),0))</f>
        <v>2396.98425155</v>
      </c>
      <c r="H3372" s="104" t="s">
        <v>719</v>
      </c>
    </row>
    <row r="3373" customFormat="false" ht="15" hidden="false" customHeight="false" outlineLevel="0" collapsed="false">
      <c r="A3373" s="103" t="n">
        <v>46307</v>
      </c>
      <c r="B3373" s="104" t="s">
        <v>32</v>
      </c>
      <c r="C3373" s="104" t="s">
        <v>523</v>
      </c>
      <c r="D3373" s="105" t="n">
        <v>31.4167</v>
      </c>
      <c r="E3373" s="106" t="n">
        <v>43.3554</v>
      </c>
      <c r="F3373" s="107" t="n">
        <f aca="false">IF($C3373="","",$D3373*$E3373)</f>
        <v>1362.08359518</v>
      </c>
      <c r="G3373" s="107" t="n">
        <f aca="false">IF($C3373="","",$D3373*IFERROR(INDEX('تحليل التكلفة والسعر'!$C$2:$C$700,MATCH($C3373,'تحليل التكلفة والسعر'!$B$2:$B$700,0)),0))</f>
        <v>2396.98425155</v>
      </c>
      <c r="H3373" s="104" t="s">
        <v>719</v>
      </c>
    </row>
    <row r="3374" customFormat="false" ht="15" hidden="false" customHeight="false" outlineLevel="0" collapsed="false">
      <c r="A3374" s="103" t="n">
        <v>46296</v>
      </c>
      <c r="B3374" s="104" t="s">
        <v>32</v>
      </c>
      <c r="C3374" s="104" t="s">
        <v>750</v>
      </c>
      <c r="D3374" s="105" t="n">
        <v>48.1667</v>
      </c>
      <c r="E3374" s="106" t="n">
        <v>21.8166</v>
      </c>
      <c r="F3374" s="107" t="n">
        <f aca="false">IF($C3374="","",$D3374*$E3374)</f>
        <v>1050.83362722</v>
      </c>
      <c r="G3374" s="107" t="n">
        <f aca="false">IF($C3374="","",$D3374*IFERROR(INDEX('تحليل التكلفة والسعر'!$C$2:$C$700,MATCH($C3374,'تحليل التكلفة والسعر'!$B$2:$B$700,0)),0))</f>
        <v>932.1687964324</v>
      </c>
      <c r="H3374" s="104" t="s">
        <v>719</v>
      </c>
    </row>
    <row r="3375" customFormat="false" ht="15" hidden="false" customHeight="false" outlineLevel="0" collapsed="false">
      <c r="A3375" s="103" t="n">
        <v>46297</v>
      </c>
      <c r="B3375" s="104" t="s">
        <v>32</v>
      </c>
      <c r="C3375" s="104" t="s">
        <v>750</v>
      </c>
      <c r="D3375" s="105" t="n">
        <v>48.1667</v>
      </c>
      <c r="E3375" s="106" t="n">
        <v>21.8166</v>
      </c>
      <c r="F3375" s="107" t="n">
        <f aca="false">IF($C3375="","",$D3375*$E3375)</f>
        <v>1050.83362722</v>
      </c>
      <c r="G3375" s="107" t="n">
        <f aca="false">IF($C3375="","",$D3375*IFERROR(INDEX('تحليل التكلفة والسعر'!$C$2:$C$700,MATCH($C3375,'تحليل التكلفة والسعر'!$B$2:$B$700,0)),0))</f>
        <v>932.1687964324</v>
      </c>
      <c r="H3375" s="104" t="s">
        <v>719</v>
      </c>
    </row>
    <row r="3376" customFormat="false" ht="15" hidden="false" customHeight="false" outlineLevel="0" collapsed="false">
      <c r="A3376" s="103" t="n">
        <v>46298</v>
      </c>
      <c r="B3376" s="104" t="s">
        <v>32</v>
      </c>
      <c r="C3376" s="104" t="s">
        <v>750</v>
      </c>
      <c r="D3376" s="105" t="n">
        <v>48.1667</v>
      </c>
      <c r="E3376" s="106" t="n">
        <v>21.8166</v>
      </c>
      <c r="F3376" s="107" t="n">
        <f aca="false">IF($C3376="","",$D3376*$E3376)</f>
        <v>1050.83362722</v>
      </c>
      <c r="G3376" s="107" t="n">
        <f aca="false">IF($C3376="","",$D3376*IFERROR(INDEX('تحليل التكلفة والسعر'!$C$2:$C$700,MATCH($C3376,'تحليل التكلفة والسعر'!$B$2:$B$700,0)),0))</f>
        <v>932.1687964324</v>
      </c>
      <c r="H3376" s="104" t="s">
        <v>719</v>
      </c>
    </row>
    <row r="3377" customFormat="false" ht="15" hidden="false" customHeight="false" outlineLevel="0" collapsed="false">
      <c r="A3377" s="103" t="n">
        <v>46299</v>
      </c>
      <c r="B3377" s="104" t="s">
        <v>32</v>
      </c>
      <c r="C3377" s="104" t="s">
        <v>750</v>
      </c>
      <c r="D3377" s="105" t="n">
        <v>48.1667</v>
      </c>
      <c r="E3377" s="106" t="n">
        <v>21.8166</v>
      </c>
      <c r="F3377" s="107" t="n">
        <f aca="false">IF($C3377="","",$D3377*$E3377)</f>
        <v>1050.83362722</v>
      </c>
      <c r="G3377" s="107" t="n">
        <f aca="false">IF($C3377="","",$D3377*IFERROR(INDEX('تحليل التكلفة والسعر'!$C$2:$C$700,MATCH($C3377,'تحليل التكلفة والسعر'!$B$2:$B$700,0)),0))</f>
        <v>932.1687964324</v>
      </c>
      <c r="H3377" s="104" t="s">
        <v>719</v>
      </c>
    </row>
    <row r="3378" customFormat="false" ht="15" hidden="false" customHeight="false" outlineLevel="0" collapsed="false">
      <c r="A3378" s="103" t="n">
        <v>46300</v>
      </c>
      <c r="B3378" s="104" t="s">
        <v>32</v>
      </c>
      <c r="C3378" s="104" t="s">
        <v>750</v>
      </c>
      <c r="D3378" s="105" t="n">
        <v>48.1667</v>
      </c>
      <c r="E3378" s="106" t="n">
        <v>21.8166</v>
      </c>
      <c r="F3378" s="107" t="n">
        <f aca="false">IF($C3378="","",$D3378*$E3378)</f>
        <v>1050.83362722</v>
      </c>
      <c r="G3378" s="107" t="n">
        <f aca="false">IF($C3378="","",$D3378*IFERROR(INDEX('تحليل التكلفة والسعر'!$C$2:$C$700,MATCH($C3378,'تحليل التكلفة والسعر'!$B$2:$B$700,0)),0))</f>
        <v>932.1687964324</v>
      </c>
      <c r="H3378" s="104" t="s">
        <v>719</v>
      </c>
    </row>
    <row r="3379" customFormat="false" ht="15" hidden="false" customHeight="false" outlineLevel="0" collapsed="false">
      <c r="A3379" s="103" t="n">
        <v>46301</v>
      </c>
      <c r="B3379" s="104" t="s">
        <v>32</v>
      </c>
      <c r="C3379" s="104" t="s">
        <v>750</v>
      </c>
      <c r="D3379" s="105" t="n">
        <v>48.1667</v>
      </c>
      <c r="E3379" s="106" t="n">
        <v>21.8166</v>
      </c>
      <c r="F3379" s="107" t="n">
        <f aca="false">IF($C3379="","",$D3379*$E3379)</f>
        <v>1050.83362722</v>
      </c>
      <c r="G3379" s="107" t="n">
        <f aca="false">IF($C3379="","",$D3379*IFERROR(INDEX('تحليل التكلفة والسعر'!$C$2:$C$700,MATCH($C3379,'تحليل التكلفة والسعر'!$B$2:$B$700,0)),0))</f>
        <v>932.1687964324</v>
      </c>
      <c r="H3379" s="104" t="s">
        <v>719</v>
      </c>
    </row>
    <row r="3380" customFormat="false" ht="15" hidden="false" customHeight="false" outlineLevel="0" collapsed="false">
      <c r="A3380" s="103" t="n">
        <v>46302</v>
      </c>
      <c r="B3380" s="104" t="s">
        <v>32</v>
      </c>
      <c r="C3380" s="104" t="s">
        <v>750</v>
      </c>
      <c r="D3380" s="105" t="n">
        <v>48.1667</v>
      </c>
      <c r="E3380" s="106" t="n">
        <v>21.8166</v>
      </c>
      <c r="F3380" s="107" t="n">
        <f aca="false">IF($C3380="","",$D3380*$E3380)</f>
        <v>1050.83362722</v>
      </c>
      <c r="G3380" s="107" t="n">
        <f aca="false">IF($C3380="","",$D3380*IFERROR(INDEX('تحليل التكلفة والسعر'!$C$2:$C$700,MATCH($C3380,'تحليل التكلفة والسعر'!$B$2:$B$700,0)),0))</f>
        <v>932.1687964324</v>
      </c>
      <c r="H3380" s="104" t="s">
        <v>719</v>
      </c>
    </row>
    <row r="3381" customFormat="false" ht="15" hidden="false" customHeight="false" outlineLevel="0" collapsed="false">
      <c r="A3381" s="103" t="n">
        <v>46303</v>
      </c>
      <c r="B3381" s="104" t="s">
        <v>32</v>
      </c>
      <c r="C3381" s="104" t="s">
        <v>750</v>
      </c>
      <c r="D3381" s="105" t="n">
        <v>48.1667</v>
      </c>
      <c r="E3381" s="106" t="n">
        <v>21.8166</v>
      </c>
      <c r="F3381" s="107" t="n">
        <f aca="false">IF($C3381="","",$D3381*$E3381)</f>
        <v>1050.83362722</v>
      </c>
      <c r="G3381" s="107" t="n">
        <f aca="false">IF($C3381="","",$D3381*IFERROR(INDEX('تحليل التكلفة والسعر'!$C$2:$C$700,MATCH($C3381,'تحليل التكلفة والسعر'!$B$2:$B$700,0)),0))</f>
        <v>932.1687964324</v>
      </c>
      <c r="H3381" s="104" t="s">
        <v>719</v>
      </c>
    </row>
    <row r="3382" customFormat="false" ht="15" hidden="false" customHeight="false" outlineLevel="0" collapsed="false">
      <c r="A3382" s="103" t="n">
        <v>46304</v>
      </c>
      <c r="B3382" s="104" t="s">
        <v>32</v>
      </c>
      <c r="C3382" s="104" t="s">
        <v>750</v>
      </c>
      <c r="D3382" s="105" t="n">
        <v>48.1667</v>
      </c>
      <c r="E3382" s="106" t="n">
        <v>21.8166</v>
      </c>
      <c r="F3382" s="107" t="n">
        <f aca="false">IF($C3382="","",$D3382*$E3382)</f>
        <v>1050.83362722</v>
      </c>
      <c r="G3382" s="107" t="n">
        <f aca="false">IF($C3382="","",$D3382*IFERROR(INDEX('تحليل التكلفة والسعر'!$C$2:$C$700,MATCH($C3382,'تحليل التكلفة والسعر'!$B$2:$B$700,0)),0))</f>
        <v>932.1687964324</v>
      </c>
      <c r="H3382" s="104" t="s">
        <v>719</v>
      </c>
    </row>
    <row r="3383" customFormat="false" ht="15" hidden="false" customHeight="false" outlineLevel="0" collapsed="false">
      <c r="A3383" s="103" t="n">
        <v>46305</v>
      </c>
      <c r="B3383" s="104" t="s">
        <v>32</v>
      </c>
      <c r="C3383" s="104" t="s">
        <v>750</v>
      </c>
      <c r="D3383" s="105" t="n">
        <v>48.1667</v>
      </c>
      <c r="E3383" s="106" t="n">
        <v>21.8166</v>
      </c>
      <c r="F3383" s="107" t="n">
        <f aca="false">IF($C3383="","",$D3383*$E3383)</f>
        <v>1050.83362722</v>
      </c>
      <c r="G3383" s="107" t="n">
        <f aca="false">IF($C3383="","",$D3383*IFERROR(INDEX('تحليل التكلفة والسعر'!$C$2:$C$700,MATCH($C3383,'تحليل التكلفة والسعر'!$B$2:$B$700,0)),0))</f>
        <v>932.1687964324</v>
      </c>
      <c r="H3383" s="104" t="s">
        <v>719</v>
      </c>
    </row>
    <row r="3384" customFormat="false" ht="15" hidden="false" customHeight="false" outlineLevel="0" collapsed="false">
      <c r="A3384" s="103" t="n">
        <v>46306</v>
      </c>
      <c r="B3384" s="104" t="s">
        <v>32</v>
      </c>
      <c r="C3384" s="104" t="s">
        <v>750</v>
      </c>
      <c r="D3384" s="105" t="n">
        <v>48.1667</v>
      </c>
      <c r="E3384" s="106" t="n">
        <v>21.8166</v>
      </c>
      <c r="F3384" s="107" t="n">
        <f aca="false">IF($C3384="","",$D3384*$E3384)</f>
        <v>1050.83362722</v>
      </c>
      <c r="G3384" s="107" t="n">
        <f aca="false">IF($C3384="","",$D3384*IFERROR(INDEX('تحليل التكلفة والسعر'!$C$2:$C$700,MATCH($C3384,'تحليل التكلفة والسعر'!$B$2:$B$700,0)),0))</f>
        <v>932.1687964324</v>
      </c>
      <c r="H3384" s="104" t="s">
        <v>719</v>
      </c>
    </row>
    <row r="3385" customFormat="false" ht="15" hidden="false" customHeight="false" outlineLevel="0" collapsed="false">
      <c r="A3385" s="103" t="n">
        <v>46307</v>
      </c>
      <c r="B3385" s="104" t="s">
        <v>32</v>
      </c>
      <c r="C3385" s="104" t="s">
        <v>750</v>
      </c>
      <c r="D3385" s="105" t="n">
        <v>48.1667</v>
      </c>
      <c r="E3385" s="106" t="n">
        <v>21.8166</v>
      </c>
      <c r="F3385" s="107" t="n">
        <f aca="false">IF($C3385="","",$D3385*$E3385)</f>
        <v>1050.83362722</v>
      </c>
      <c r="G3385" s="107" t="n">
        <f aca="false">IF($C3385="","",$D3385*IFERROR(INDEX('تحليل التكلفة والسعر'!$C$2:$C$700,MATCH($C3385,'تحليل التكلفة والسعر'!$B$2:$B$700,0)),0))</f>
        <v>932.1687964324</v>
      </c>
      <c r="H3385" s="104" t="s">
        <v>719</v>
      </c>
    </row>
    <row r="3386" customFormat="false" ht="15" hidden="false" customHeight="false" outlineLevel="0" collapsed="false">
      <c r="A3386" s="103" t="n">
        <v>46296</v>
      </c>
      <c r="B3386" s="104" t="s">
        <v>32</v>
      </c>
      <c r="C3386" s="104" t="s">
        <v>401</v>
      </c>
      <c r="D3386" s="105" t="n">
        <v>10.5417</v>
      </c>
      <c r="E3386" s="106" t="n">
        <v>39.2885</v>
      </c>
      <c r="F3386" s="107" t="n">
        <f aca="false">IF($C3386="","",$D3386*$E3386)</f>
        <v>414.16758045</v>
      </c>
      <c r="G3386" s="107" t="n">
        <f aca="false">IF($C3386="","",$D3386*IFERROR(INDEX('تحليل التكلفة والسعر'!$C$2:$C$700,MATCH($C3386,'تحليل التكلفة والسعر'!$B$2:$B$700,0)),0))</f>
        <v>459.7268470938</v>
      </c>
      <c r="H3386" s="104" t="s">
        <v>719</v>
      </c>
    </row>
    <row r="3387" customFormat="false" ht="15" hidden="false" customHeight="false" outlineLevel="0" collapsed="false">
      <c r="A3387" s="103" t="n">
        <v>46297</v>
      </c>
      <c r="B3387" s="104" t="s">
        <v>32</v>
      </c>
      <c r="C3387" s="104" t="s">
        <v>401</v>
      </c>
      <c r="D3387" s="105" t="n">
        <v>10.5417</v>
      </c>
      <c r="E3387" s="106" t="n">
        <v>39.2885</v>
      </c>
      <c r="F3387" s="107" t="n">
        <f aca="false">IF($C3387="","",$D3387*$E3387)</f>
        <v>414.16758045</v>
      </c>
      <c r="G3387" s="107" t="n">
        <f aca="false">IF($C3387="","",$D3387*IFERROR(INDEX('تحليل التكلفة والسعر'!$C$2:$C$700,MATCH($C3387,'تحليل التكلفة والسعر'!$B$2:$B$700,0)),0))</f>
        <v>459.7268470938</v>
      </c>
      <c r="H3387" s="104" t="s">
        <v>719</v>
      </c>
    </row>
    <row r="3388" customFormat="false" ht="15" hidden="false" customHeight="false" outlineLevel="0" collapsed="false">
      <c r="A3388" s="103" t="n">
        <v>46298</v>
      </c>
      <c r="B3388" s="104" t="s">
        <v>32</v>
      </c>
      <c r="C3388" s="104" t="s">
        <v>401</v>
      </c>
      <c r="D3388" s="105" t="n">
        <v>10.5417</v>
      </c>
      <c r="E3388" s="106" t="n">
        <v>39.2885</v>
      </c>
      <c r="F3388" s="107" t="n">
        <f aca="false">IF($C3388="","",$D3388*$E3388)</f>
        <v>414.16758045</v>
      </c>
      <c r="G3388" s="107" t="n">
        <f aca="false">IF($C3388="","",$D3388*IFERROR(INDEX('تحليل التكلفة والسعر'!$C$2:$C$700,MATCH($C3388,'تحليل التكلفة والسعر'!$B$2:$B$700,0)),0))</f>
        <v>459.7268470938</v>
      </c>
      <c r="H3388" s="104" t="s">
        <v>719</v>
      </c>
    </row>
    <row r="3389" customFormat="false" ht="15" hidden="false" customHeight="false" outlineLevel="0" collapsed="false">
      <c r="A3389" s="103" t="n">
        <v>46299</v>
      </c>
      <c r="B3389" s="104" t="s">
        <v>32</v>
      </c>
      <c r="C3389" s="104" t="s">
        <v>401</v>
      </c>
      <c r="D3389" s="105" t="n">
        <v>10.5417</v>
      </c>
      <c r="E3389" s="106" t="n">
        <v>39.2885</v>
      </c>
      <c r="F3389" s="107" t="n">
        <f aca="false">IF($C3389="","",$D3389*$E3389)</f>
        <v>414.16758045</v>
      </c>
      <c r="G3389" s="107" t="n">
        <f aca="false">IF($C3389="","",$D3389*IFERROR(INDEX('تحليل التكلفة والسعر'!$C$2:$C$700,MATCH($C3389,'تحليل التكلفة والسعر'!$B$2:$B$700,0)),0))</f>
        <v>459.7268470938</v>
      </c>
      <c r="H3389" s="104" t="s">
        <v>719</v>
      </c>
    </row>
    <row r="3390" customFormat="false" ht="15" hidden="false" customHeight="false" outlineLevel="0" collapsed="false">
      <c r="A3390" s="103" t="n">
        <v>46300</v>
      </c>
      <c r="B3390" s="104" t="s">
        <v>32</v>
      </c>
      <c r="C3390" s="104" t="s">
        <v>401</v>
      </c>
      <c r="D3390" s="105" t="n">
        <v>10.5417</v>
      </c>
      <c r="E3390" s="106" t="n">
        <v>39.2885</v>
      </c>
      <c r="F3390" s="107" t="n">
        <f aca="false">IF($C3390="","",$D3390*$E3390)</f>
        <v>414.16758045</v>
      </c>
      <c r="G3390" s="107" t="n">
        <f aca="false">IF($C3390="","",$D3390*IFERROR(INDEX('تحليل التكلفة والسعر'!$C$2:$C$700,MATCH($C3390,'تحليل التكلفة والسعر'!$B$2:$B$700,0)),0))</f>
        <v>459.7268470938</v>
      </c>
      <c r="H3390" s="104" t="s">
        <v>719</v>
      </c>
    </row>
    <row r="3391" customFormat="false" ht="15" hidden="false" customHeight="false" outlineLevel="0" collapsed="false">
      <c r="A3391" s="103" t="n">
        <v>46301</v>
      </c>
      <c r="B3391" s="104" t="s">
        <v>32</v>
      </c>
      <c r="C3391" s="104" t="s">
        <v>401</v>
      </c>
      <c r="D3391" s="105" t="n">
        <v>10.5417</v>
      </c>
      <c r="E3391" s="106" t="n">
        <v>39.2885</v>
      </c>
      <c r="F3391" s="107" t="n">
        <f aca="false">IF($C3391="","",$D3391*$E3391)</f>
        <v>414.16758045</v>
      </c>
      <c r="G3391" s="107" t="n">
        <f aca="false">IF($C3391="","",$D3391*IFERROR(INDEX('تحليل التكلفة والسعر'!$C$2:$C$700,MATCH($C3391,'تحليل التكلفة والسعر'!$B$2:$B$700,0)),0))</f>
        <v>459.7268470938</v>
      </c>
      <c r="H3391" s="104" t="s">
        <v>719</v>
      </c>
    </row>
    <row r="3392" customFormat="false" ht="15" hidden="false" customHeight="false" outlineLevel="0" collapsed="false">
      <c r="A3392" s="103" t="n">
        <v>46302</v>
      </c>
      <c r="B3392" s="104" t="s">
        <v>32</v>
      </c>
      <c r="C3392" s="104" t="s">
        <v>401</v>
      </c>
      <c r="D3392" s="105" t="n">
        <v>10.5417</v>
      </c>
      <c r="E3392" s="106" t="n">
        <v>39.2885</v>
      </c>
      <c r="F3392" s="107" t="n">
        <f aca="false">IF($C3392="","",$D3392*$E3392)</f>
        <v>414.16758045</v>
      </c>
      <c r="G3392" s="107" t="n">
        <f aca="false">IF($C3392="","",$D3392*IFERROR(INDEX('تحليل التكلفة والسعر'!$C$2:$C$700,MATCH($C3392,'تحليل التكلفة والسعر'!$B$2:$B$700,0)),0))</f>
        <v>459.7268470938</v>
      </c>
      <c r="H3392" s="104" t="s">
        <v>719</v>
      </c>
    </row>
    <row r="3393" customFormat="false" ht="15" hidden="false" customHeight="false" outlineLevel="0" collapsed="false">
      <c r="A3393" s="103" t="n">
        <v>46303</v>
      </c>
      <c r="B3393" s="104" t="s">
        <v>32</v>
      </c>
      <c r="C3393" s="104" t="s">
        <v>401</v>
      </c>
      <c r="D3393" s="105" t="n">
        <v>10.5417</v>
      </c>
      <c r="E3393" s="106" t="n">
        <v>39.2885</v>
      </c>
      <c r="F3393" s="107" t="n">
        <f aca="false">IF($C3393="","",$D3393*$E3393)</f>
        <v>414.16758045</v>
      </c>
      <c r="G3393" s="107" t="n">
        <f aca="false">IF($C3393="","",$D3393*IFERROR(INDEX('تحليل التكلفة والسعر'!$C$2:$C$700,MATCH($C3393,'تحليل التكلفة والسعر'!$B$2:$B$700,0)),0))</f>
        <v>459.7268470938</v>
      </c>
      <c r="H3393" s="104" t="s">
        <v>719</v>
      </c>
    </row>
    <row r="3394" customFormat="false" ht="15" hidden="false" customHeight="false" outlineLevel="0" collapsed="false">
      <c r="A3394" s="103" t="n">
        <v>46304</v>
      </c>
      <c r="B3394" s="104" t="s">
        <v>32</v>
      </c>
      <c r="C3394" s="104" t="s">
        <v>401</v>
      </c>
      <c r="D3394" s="105" t="n">
        <v>10.5417</v>
      </c>
      <c r="E3394" s="106" t="n">
        <v>39.2885</v>
      </c>
      <c r="F3394" s="107" t="n">
        <f aca="false">IF($C3394="","",$D3394*$E3394)</f>
        <v>414.16758045</v>
      </c>
      <c r="G3394" s="107" t="n">
        <f aca="false">IF($C3394="","",$D3394*IFERROR(INDEX('تحليل التكلفة والسعر'!$C$2:$C$700,MATCH($C3394,'تحليل التكلفة والسعر'!$B$2:$B$700,0)),0))</f>
        <v>459.7268470938</v>
      </c>
      <c r="H3394" s="104" t="s">
        <v>719</v>
      </c>
    </row>
    <row r="3395" customFormat="false" ht="15" hidden="false" customHeight="false" outlineLevel="0" collapsed="false">
      <c r="A3395" s="103" t="n">
        <v>46305</v>
      </c>
      <c r="B3395" s="104" t="s">
        <v>32</v>
      </c>
      <c r="C3395" s="104" t="s">
        <v>401</v>
      </c>
      <c r="D3395" s="105" t="n">
        <v>10.5417</v>
      </c>
      <c r="E3395" s="106" t="n">
        <v>39.2885</v>
      </c>
      <c r="F3395" s="107" t="n">
        <f aca="false">IF($C3395="","",$D3395*$E3395)</f>
        <v>414.16758045</v>
      </c>
      <c r="G3395" s="107" t="n">
        <f aca="false">IF($C3395="","",$D3395*IFERROR(INDEX('تحليل التكلفة والسعر'!$C$2:$C$700,MATCH($C3395,'تحليل التكلفة والسعر'!$B$2:$B$700,0)),0))</f>
        <v>459.7268470938</v>
      </c>
      <c r="H3395" s="104" t="s">
        <v>719</v>
      </c>
    </row>
    <row r="3396" customFormat="false" ht="15" hidden="false" customHeight="false" outlineLevel="0" collapsed="false">
      <c r="A3396" s="103" t="n">
        <v>46306</v>
      </c>
      <c r="B3396" s="104" t="s">
        <v>32</v>
      </c>
      <c r="C3396" s="104" t="s">
        <v>401</v>
      </c>
      <c r="D3396" s="105" t="n">
        <v>10.5417</v>
      </c>
      <c r="E3396" s="106" t="n">
        <v>39.2885</v>
      </c>
      <c r="F3396" s="107" t="n">
        <f aca="false">IF($C3396="","",$D3396*$E3396)</f>
        <v>414.16758045</v>
      </c>
      <c r="G3396" s="107" t="n">
        <f aca="false">IF($C3396="","",$D3396*IFERROR(INDEX('تحليل التكلفة والسعر'!$C$2:$C$700,MATCH($C3396,'تحليل التكلفة والسعر'!$B$2:$B$700,0)),0))</f>
        <v>459.7268470938</v>
      </c>
      <c r="H3396" s="104" t="s">
        <v>719</v>
      </c>
    </row>
    <row r="3397" customFormat="false" ht="15" hidden="false" customHeight="false" outlineLevel="0" collapsed="false">
      <c r="A3397" s="103" t="n">
        <v>46307</v>
      </c>
      <c r="B3397" s="104" t="s">
        <v>32</v>
      </c>
      <c r="C3397" s="104" t="s">
        <v>401</v>
      </c>
      <c r="D3397" s="105" t="n">
        <v>10.5417</v>
      </c>
      <c r="E3397" s="106" t="n">
        <v>39.2885</v>
      </c>
      <c r="F3397" s="107" t="n">
        <f aca="false">IF($C3397="","",$D3397*$E3397)</f>
        <v>414.16758045</v>
      </c>
      <c r="G3397" s="107" t="n">
        <f aca="false">IF($C3397="","",$D3397*IFERROR(INDEX('تحليل التكلفة والسعر'!$C$2:$C$700,MATCH($C3397,'تحليل التكلفة والسعر'!$B$2:$B$700,0)),0))</f>
        <v>459.7268470938</v>
      </c>
      <c r="H3397" s="104" t="s">
        <v>719</v>
      </c>
    </row>
    <row r="3398" customFormat="false" ht="15" hidden="false" customHeight="false" outlineLevel="0" collapsed="false">
      <c r="A3398" s="103" t="n">
        <v>46296</v>
      </c>
      <c r="B3398" s="104" t="s">
        <v>32</v>
      </c>
      <c r="C3398" s="104" t="s">
        <v>399</v>
      </c>
      <c r="D3398" s="105" t="n">
        <v>0.0833</v>
      </c>
      <c r="E3398" s="106" t="n">
        <v>95</v>
      </c>
      <c r="F3398" s="107" t="n">
        <f aca="false">IF($C3398="","",$D3398*$E3398)</f>
        <v>7.9135</v>
      </c>
      <c r="G3398" s="107" t="n">
        <f aca="false">IF($C3398="","",$D3398*IFERROR(INDEX('تحليل التكلفة والسعر'!$C$2:$C$700,MATCH($C3398,'تحليل التكلفة والسعر'!$B$2:$B$700,0)),0))</f>
        <v>3.5294469896</v>
      </c>
      <c r="H3398" s="104" t="s">
        <v>719</v>
      </c>
    </row>
    <row r="3399" customFormat="false" ht="15" hidden="false" customHeight="false" outlineLevel="0" collapsed="false">
      <c r="A3399" s="103" t="n">
        <v>46297</v>
      </c>
      <c r="B3399" s="104" t="s">
        <v>32</v>
      </c>
      <c r="C3399" s="104" t="s">
        <v>399</v>
      </c>
      <c r="D3399" s="105" t="n">
        <v>0.0833</v>
      </c>
      <c r="E3399" s="106" t="n">
        <v>95</v>
      </c>
      <c r="F3399" s="107" t="n">
        <f aca="false">IF($C3399="","",$D3399*$E3399)</f>
        <v>7.9135</v>
      </c>
      <c r="G3399" s="107" t="n">
        <f aca="false">IF($C3399="","",$D3399*IFERROR(INDEX('تحليل التكلفة والسعر'!$C$2:$C$700,MATCH($C3399,'تحليل التكلفة والسعر'!$B$2:$B$700,0)),0))</f>
        <v>3.5294469896</v>
      </c>
      <c r="H3399" s="104" t="s">
        <v>719</v>
      </c>
    </row>
    <row r="3400" customFormat="false" ht="15" hidden="false" customHeight="false" outlineLevel="0" collapsed="false">
      <c r="A3400" s="103" t="n">
        <v>46298</v>
      </c>
      <c r="B3400" s="104" t="s">
        <v>32</v>
      </c>
      <c r="C3400" s="104" t="s">
        <v>399</v>
      </c>
      <c r="D3400" s="105" t="n">
        <v>0.0833</v>
      </c>
      <c r="E3400" s="106" t="n">
        <v>95</v>
      </c>
      <c r="F3400" s="107" t="n">
        <f aca="false">IF($C3400="","",$D3400*$E3400)</f>
        <v>7.9135</v>
      </c>
      <c r="G3400" s="107" t="n">
        <f aca="false">IF($C3400="","",$D3400*IFERROR(INDEX('تحليل التكلفة والسعر'!$C$2:$C$700,MATCH($C3400,'تحليل التكلفة والسعر'!$B$2:$B$700,0)),0))</f>
        <v>3.5294469896</v>
      </c>
      <c r="H3400" s="104" t="s">
        <v>719</v>
      </c>
    </row>
    <row r="3401" customFormat="false" ht="15" hidden="false" customHeight="false" outlineLevel="0" collapsed="false">
      <c r="A3401" s="103" t="n">
        <v>46299</v>
      </c>
      <c r="B3401" s="104" t="s">
        <v>32</v>
      </c>
      <c r="C3401" s="104" t="s">
        <v>399</v>
      </c>
      <c r="D3401" s="105" t="n">
        <v>0.0833</v>
      </c>
      <c r="E3401" s="106" t="n">
        <v>95</v>
      </c>
      <c r="F3401" s="107" t="n">
        <f aca="false">IF($C3401="","",$D3401*$E3401)</f>
        <v>7.9135</v>
      </c>
      <c r="G3401" s="107" t="n">
        <f aca="false">IF($C3401="","",$D3401*IFERROR(INDEX('تحليل التكلفة والسعر'!$C$2:$C$700,MATCH($C3401,'تحليل التكلفة والسعر'!$B$2:$B$700,0)),0))</f>
        <v>3.5294469896</v>
      </c>
      <c r="H3401" s="104" t="s">
        <v>719</v>
      </c>
    </row>
    <row r="3402" customFormat="false" ht="15" hidden="false" customHeight="false" outlineLevel="0" collapsed="false">
      <c r="A3402" s="103" t="n">
        <v>46300</v>
      </c>
      <c r="B3402" s="104" t="s">
        <v>32</v>
      </c>
      <c r="C3402" s="104" t="s">
        <v>399</v>
      </c>
      <c r="D3402" s="105" t="n">
        <v>0.0833</v>
      </c>
      <c r="E3402" s="106" t="n">
        <v>95</v>
      </c>
      <c r="F3402" s="107" t="n">
        <f aca="false">IF($C3402="","",$D3402*$E3402)</f>
        <v>7.9135</v>
      </c>
      <c r="G3402" s="107" t="n">
        <f aca="false">IF($C3402="","",$D3402*IFERROR(INDEX('تحليل التكلفة والسعر'!$C$2:$C$700,MATCH($C3402,'تحليل التكلفة والسعر'!$B$2:$B$700,0)),0))</f>
        <v>3.5294469896</v>
      </c>
      <c r="H3402" s="104" t="s">
        <v>719</v>
      </c>
    </row>
    <row r="3403" customFormat="false" ht="15" hidden="false" customHeight="false" outlineLevel="0" collapsed="false">
      <c r="A3403" s="103" t="n">
        <v>46301</v>
      </c>
      <c r="B3403" s="104" t="s">
        <v>32</v>
      </c>
      <c r="C3403" s="104" t="s">
        <v>399</v>
      </c>
      <c r="D3403" s="105" t="n">
        <v>0.0833</v>
      </c>
      <c r="E3403" s="106" t="n">
        <v>95</v>
      </c>
      <c r="F3403" s="107" t="n">
        <f aca="false">IF($C3403="","",$D3403*$E3403)</f>
        <v>7.9135</v>
      </c>
      <c r="G3403" s="107" t="n">
        <f aca="false">IF($C3403="","",$D3403*IFERROR(INDEX('تحليل التكلفة والسعر'!$C$2:$C$700,MATCH($C3403,'تحليل التكلفة والسعر'!$B$2:$B$700,0)),0))</f>
        <v>3.5294469896</v>
      </c>
      <c r="H3403" s="104" t="s">
        <v>719</v>
      </c>
    </row>
    <row r="3404" customFormat="false" ht="15" hidden="false" customHeight="false" outlineLevel="0" collapsed="false">
      <c r="A3404" s="103" t="n">
        <v>46302</v>
      </c>
      <c r="B3404" s="104" t="s">
        <v>32</v>
      </c>
      <c r="C3404" s="104" t="s">
        <v>399</v>
      </c>
      <c r="D3404" s="105" t="n">
        <v>0.0833</v>
      </c>
      <c r="E3404" s="106" t="n">
        <v>95</v>
      </c>
      <c r="F3404" s="107" t="n">
        <f aca="false">IF($C3404="","",$D3404*$E3404)</f>
        <v>7.9135</v>
      </c>
      <c r="G3404" s="107" t="n">
        <f aca="false">IF($C3404="","",$D3404*IFERROR(INDEX('تحليل التكلفة والسعر'!$C$2:$C$700,MATCH($C3404,'تحليل التكلفة والسعر'!$B$2:$B$700,0)),0))</f>
        <v>3.5294469896</v>
      </c>
      <c r="H3404" s="104" t="s">
        <v>719</v>
      </c>
    </row>
    <row r="3405" customFormat="false" ht="15" hidden="false" customHeight="false" outlineLevel="0" collapsed="false">
      <c r="A3405" s="103" t="n">
        <v>46303</v>
      </c>
      <c r="B3405" s="104" t="s">
        <v>32</v>
      </c>
      <c r="C3405" s="104" t="s">
        <v>399</v>
      </c>
      <c r="D3405" s="105" t="n">
        <v>0.0833</v>
      </c>
      <c r="E3405" s="106" t="n">
        <v>95</v>
      </c>
      <c r="F3405" s="107" t="n">
        <f aca="false">IF($C3405="","",$D3405*$E3405)</f>
        <v>7.9135</v>
      </c>
      <c r="G3405" s="107" t="n">
        <f aca="false">IF($C3405="","",$D3405*IFERROR(INDEX('تحليل التكلفة والسعر'!$C$2:$C$700,MATCH($C3405,'تحليل التكلفة والسعر'!$B$2:$B$700,0)),0))</f>
        <v>3.5294469896</v>
      </c>
      <c r="H3405" s="104" t="s">
        <v>719</v>
      </c>
    </row>
    <row r="3406" customFormat="false" ht="15" hidden="false" customHeight="false" outlineLevel="0" collapsed="false">
      <c r="A3406" s="103" t="n">
        <v>46304</v>
      </c>
      <c r="B3406" s="104" t="s">
        <v>32</v>
      </c>
      <c r="C3406" s="104" t="s">
        <v>399</v>
      </c>
      <c r="D3406" s="105" t="n">
        <v>0.0833</v>
      </c>
      <c r="E3406" s="106" t="n">
        <v>95</v>
      </c>
      <c r="F3406" s="107" t="n">
        <f aca="false">IF($C3406="","",$D3406*$E3406)</f>
        <v>7.9135</v>
      </c>
      <c r="G3406" s="107" t="n">
        <f aca="false">IF($C3406="","",$D3406*IFERROR(INDEX('تحليل التكلفة والسعر'!$C$2:$C$700,MATCH($C3406,'تحليل التكلفة والسعر'!$B$2:$B$700,0)),0))</f>
        <v>3.5294469896</v>
      </c>
      <c r="H3406" s="104" t="s">
        <v>719</v>
      </c>
    </row>
    <row r="3407" customFormat="false" ht="15" hidden="false" customHeight="false" outlineLevel="0" collapsed="false">
      <c r="A3407" s="103" t="n">
        <v>46305</v>
      </c>
      <c r="B3407" s="104" t="s">
        <v>32</v>
      </c>
      <c r="C3407" s="104" t="s">
        <v>399</v>
      </c>
      <c r="D3407" s="105" t="n">
        <v>0.0833</v>
      </c>
      <c r="E3407" s="106" t="n">
        <v>95</v>
      </c>
      <c r="F3407" s="107" t="n">
        <f aca="false">IF($C3407="","",$D3407*$E3407)</f>
        <v>7.9135</v>
      </c>
      <c r="G3407" s="107" t="n">
        <f aca="false">IF($C3407="","",$D3407*IFERROR(INDEX('تحليل التكلفة والسعر'!$C$2:$C$700,MATCH($C3407,'تحليل التكلفة والسعر'!$B$2:$B$700,0)),0))</f>
        <v>3.5294469896</v>
      </c>
      <c r="H3407" s="104" t="s">
        <v>719</v>
      </c>
    </row>
    <row r="3408" customFormat="false" ht="15" hidden="false" customHeight="false" outlineLevel="0" collapsed="false">
      <c r="A3408" s="103" t="n">
        <v>46306</v>
      </c>
      <c r="B3408" s="104" t="s">
        <v>32</v>
      </c>
      <c r="C3408" s="104" t="s">
        <v>399</v>
      </c>
      <c r="D3408" s="105" t="n">
        <v>0.0833</v>
      </c>
      <c r="E3408" s="106" t="n">
        <v>95</v>
      </c>
      <c r="F3408" s="107" t="n">
        <f aca="false">IF($C3408="","",$D3408*$E3408)</f>
        <v>7.9135</v>
      </c>
      <c r="G3408" s="107" t="n">
        <f aca="false">IF($C3408="","",$D3408*IFERROR(INDEX('تحليل التكلفة والسعر'!$C$2:$C$700,MATCH($C3408,'تحليل التكلفة والسعر'!$B$2:$B$700,0)),0))</f>
        <v>3.5294469896</v>
      </c>
      <c r="H3408" s="104" t="s">
        <v>719</v>
      </c>
    </row>
    <row r="3409" customFormat="false" ht="15" hidden="false" customHeight="false" outlineLevel="0" collapsed="false">
      <c r="A3409" s="103" t="n">
        <v>46307</v>
      </c>
      <c r="B3409" s="104" t="s">
        <v>32</v>
      </c>
      <c r="C3409" s="104" t="s">
        <v>399</v>
      </c>
      <c r="D3409" s="105" t="n">
        <v>0.0833</v>
      </c>
      <c r="E3409" s="106" t="n">
        <v>95</v>
      </c>
      <c r="F3409" s="107" t="n">
        <f aca="false">IF($C3409="","",$D3409*$E3409)</f>
        <v>7.9135</v>
      </c>
      <c r="G3409" s="107" t="n">
        <f aca="false">IF($C3409="","",$D3409*IFERROR(INDEX('تحليل التكلفة والسعر'!$C$2:$C$700,MATCH($C3409,'تحليل التكلفة والسعر'!$B$2:$B$700,0)),0))</f>
        <v>3.5294469896</v>
      </c>
      <c r="H3409" s="104" t="s">
        <v>719</v>
      </c>
    </row>
    <row r="3410" customFormat="false" ht="15" hidden="false" customHeight="false" outlineLevel="0" collapsed="false">
      <c r="A3410" s="103" t="n">
        <v>46296</v>
      </c>
      <c r="B3410" s="104" t="s">
        <v>32</v>
      </c>
      <c r="C3410" s="104" t="s">
        <v>448</v>
      </c>
      <c r="D3410" s="105" t="n">
        <v>0.1667</v>
      </c>
      <c r="E3410" s="106" t="n">
        <v>310</v>
      </c>
      <c r="F3410" s="107" t="n">
        <f aca="false">IF($C3410="","",$D3410*$E3410)</f>
        <v>51.677</v>
      </c>
      <c r="G3410" s="107" t="n">
        <f aca="false">IF($C3410="","",$D3410*IFERROR(INDEX('تحليل التكلفة والسعر'!$C$2:$C$700,MATCH($C3410,'تحليل التكلفة والسعر'!$B$2:$B$700,0)),0))</f>
        <v>17.48903044</v>
      </c>
      <c r="H3410" s="104" t="s">
        <v>719</v>
      </c>
    </row>
    <row r="3411" customFormat="false" ht="15" hidden="false" customHeight="false" outlineLevel="0" collapsed="false">
      <c r="A3411" s="103" t="n">
        <v>46297</v>
      </c>
      <c r="B3411" s="104" t="s">
        <v>32</v>
      </c>
      <c r="C3411" s="104" t="s">
        <v>448</v>
      </c>
      <c r="D3411" s="105" t="n">
        <v>0.1667</v>
      </c>
      <c r="E3411" s="106" t="n">
        <v>310</v>
      </c>
      <c r="F3411" s="107" t="n">
        <f aca="false">IF($C3411="","",$D3411*$E3411)</f>
        <v>51.677</v>
      </c>
      <c r="G3411" s="107" t="n">
        <f aca="false">IF($C3411="","",$D3411*IFERROR(INDEX('تحليل التكلفة والسعر'!$C$2:$C$700,MATCH($C3411,'تحليل التكلفة والسعر'!$B$2:$B$700,0)),0))</f>
        <v>17.48903044</v>
      </c>
      <c r="H3411" s="104" t="s">
        <v>719</v>
      </c>
    </row>
    <row r="3412" customFormat="false" ht="15" hidden="false" customHeight="false" outlineLevel="0" collapsed="false">
      <c r="A3412" s="103" t="n">
        <v>46298</v>
      </c>
      <c r="B3412" s="104" t="s">
        <v>32</v>
      </c>
      <c r="C3412" s="104" t="s">
        <v>448</v>
      </c>
      <c r="D3412" s="105" t="n">
        <v>0.1667</v>
      </c>
      <c r="E3412" s="106" t="n">
        <v>310</v>
      </c>
      <c r="F3412" s="107" t="n">
        <f aca="false">IF($C3412="","",$D3412*$E3412)</f>
        <v>51.677</v>
      </c>
      <c r="G3412" s="107" t="n">
        <f aca="false">IF($C3412="","",$D3412*IFERROR(INDEX('تحليل التكلفة والسعر'!$C$2:$C$700,MATCH($C3412,'تحليل التكلفة والسعر'!$B$2:$B$700,0)),0))</f>
        <v>17.48903044</v>
      </c>
      <c r="H3412" s="104" t="s">
        <v>719</v>
      </c>
    </row>
    <row r="3413" customFormat="false" ht="15" hidden="false" customHeight="false" outlineLevel="0" collapsed="false">
      <c r="A3413" s="103" t="n">
        <v>46299</v>
      </c>
      <c r="B3413" s="104" t="s">
        <v>32</v>
      </c>
      <c r="C3413" s="104" t="s">
        <v>448</v>
      </c>
      <c r="D3413" s="105" t="n">
        <v>0.1667</v>
      </c>
      <c r="E3413" s="106" t="n">
        <v>310</v>
      </c>
      <c r="F3413" s="107" t="n">
        <f aca="false">IF($C3413="","",$D3413*$E3413)</f>
        <v>51.677</v>
      </c>
      <c r="G3413" s="107" t="n">
        <f aca="false">IF($C3413="","",$D3413*IFERROR(INDEX('تحليل التكلفة والسعر'!$C$2:$C$700,MATCH($C3413,'تحليل التكلفة والسعر'!$B$2:$B$700,0)),0))</f>
        <v>17.48903044</v>
      </c>
      <c r="H3413" s="104" t="s">
        <v>719</v>
      </c>
    </row>
    <row r="3414" customFormat="false" ht="15" hidden="false" customHeight="false" outlineLevel="0" collapsed="false">
      <c r="A3414" s="103" t="n">
        <v>46300</v>
      </c>
      <c r="B3414" s="104" t="s">
        <v>32</v>
      </c>
      <c r="C3414" s="104" t="s">
        <v>448</v>
      </c>
      <c r="D3414" s="105" t="n">
        <v>0.1667</v>
      </c>
      <c r="E3414" s="106" t="n">
        <v>310</v>
      </c>
      <c r="F3414" s="107" t="n">
        <f aca="false">IF($C3414="","",$D3414*$E3414)</f>
        <v>51.677</v>
      </c>
      <c r="G3414" s="107" t="n">
        <f aca="false">IF($C3414="","",$D3414*IFERROR(INDEX('تحليل التكلفة والسعر'!$C$2:$C$700,MATCH($C3414,'تحليل التكلفة والسعر'!$B$2:$B$700,0)),0))</f>
        <v>17.48903044</v>
      </c>
      <c r="H3414" s="104" t="s">
        <v>719</v>
      </c>
    </row>
    <row r="3415" customFormat="false" ht="15" hidden="false" customHeight="false" outlineLevel="0" collapsed="false">
      <c r="A3415" s="103" t="n">
        <v>46301</v>
      </c>
      <c r="B3415" s="104" t="s">
        <v>32</v>
      </c>
      <c r="C3415" s="104" t="s">
        <v>448</v>
      </c>
      <c r="D3415" s="105" t="n">
        <v>0.1667</v>
      </c>
      <c r="E3415" s="106" t="n">
        <v>310</v>
      </c>
      <c r="F3415" s="107" t="n">
        <f aca="false">IF($C3415="","",$D3415*$E3415)</f>
        <v>51.677</v>
      </c>
      <c r="G3415" s="107" t="n">
        <f aca="false">IF($C3415="","",$D3415*IFERROR(INDEX('تحليل التكلفة والسعر'!$C$2:$C$700,MATCH($C3415,'تحليل التكلفة والسعر'!$B$2:$B$700,0)),0))</f>
        <v>17.48903044</v>
      </c>
      <c r="H3415" s="104" t="s">
        <v>719</v>
      </c>
    </row>
    <row r="3416" customFormat="false" ht="15" hidden="false" customHeight="false" outlineLevel="0" collapsed="false">
      <c r="A3416" s="103" t="n">
        <v>46302</v>
      </c>
      <c r="B3416" s="104" t="s">
        <v>32</v>
      </c>
      <c r="C3416" s="104" t="s">
        <v>448</v>
      </c>
      <c r="D3416" s="105" t="n">
        <v>0.1667</v>
      </c>
      <c r="E3416" s="106" t="n">
        <v>310</v>
      </c>
      <c r="F3416" s="107" t="n">
        <f aca="false">IF($C3416="","",$D3416*$E3416)</f>
        <v>51.677</v>
      </c>
      <c r="G3416" s="107" t="n">
        <f aca="false">IF($C3416="","",$D3416*IFERROR(INDEX('تحليل التكلفة والسعر'!$C$2:$C$700,MATCH($C3416,'تحليل التكلفة والسعر'!$B$2:$B$700,0)),0))</f>
        <v>17.48903044</v>
      </c>
      <c r="H3416" s="104" t="s">
        <v>719</v>
      </c>
    </row>
    <row r="3417" customFormat="false" ht="15" hidden="false" customHeight="false" outlineLevel="0" collapsed="false">
      <c r="A3417" s="103" t="n">
        <v>46303</v>
      </c>
      <c r="B3417" s="104" t="s">
        <v>32</v>
      </c>
      <c r="C3417" s="104" t="s">
        <v>448</v>
      </c>
      <c r="D3417" s="105" t="n">
        <v>0.1667</v>
      </c>
      <c r="E3417" s="106" t="n">
        <v>310</v>
      </c>
      <c r="F3417" s="107" t="n">
        <f aca="false">IF($C3417="","",$D3417*$E3417)</f>
        <v>51.677</v>
      </c>
      <c r="G3417" s="107" t="n">
        <f aca="false">IF($C3417="","",$D3417*IFERROR(INDEX('تحليل التكلفة والسعر'!$C$2:$C$700,MATCH($C3417,'تحليل التكلفة والسعر'!$B$2:$B$700,0)),0))</f>
        <v>17.48903044</v>
      </c>
      <c r="H3417" s="104" t="s">
        <v>719</v>
      </c>
    </row>
    <row r="3418" customFormat="false" ht="15" hidden="false" customHeight="false" outlineLevel="0" collapsed="false">
      <c r="A3418" s="103" t="n">
        <v>46304</v>
      </c>
      <c r="B3418" s="104" t="s">
        <v>32</v>
      </c>
      <c r="C3418" s="104" t="s">
        <v>448</v>
      </c>
      <c r="D3418" s="105" t="n">
        <v>0.1667</v>
      </c>
      <c r="E3418" s="106" t="n">
        <v>310</v>
      </c>
      <c r="F3418" s="107" t="n">
        <f aca="false">IF($C3418="","",$D3418*$E3418)</f>
        <v>51.677</v>
      </c>
      <c r="G3418" s="107" t="n">
        <f aca="false">IF($C3418="","",$D3418*IFERROR(INDEX('تحليل التكلفة والسعر'!$C$2:$C$700,MATCH($C3418,'تحليل التكلفة والسعر'!$B$2:$B$700,0)),0))</f>
        <v>17.48903044</v>
      </c>
      <c r="H3418" s="104" t="s">
        <v>719</v>
      </c>
    </row>
    <row r="3419" customFormat="false" ht="15" hidden="false" customHeight="false" outlineLevel="0" collapsed="false">
      <c r="A3419" s="103" t="n">
        <v>46305</v>
      </c>
      <c r="B3419" s="104" t="s">
        <v>32</v>
      </c>
      <c r="C3419" s="104" t="s">
        <v>448</v>
      </c>
      <c r="D3419" s="105" t="n">
        <v>0.1667</v>
      </c>
      <c r="E3419" s="106" t="n">
        <v>310</v>
      </c>
      <c r="F3419" s="107" t="n">
        <f aca="false">IF($C3419="","",$D3419*$E3419)</f>
        <v>51.677</v>
      </c>
      <c r="G3419" s="107" t="n">
        <f aca="false">IF($C3419="","",$D3419*IFERROR(INDEX('تحليل التكلفة والسعر'!$C$2:$C$700,MATCH($C3419,'تحليل التكلفة والسعر'!$B$2:$B$700,0)),0))</f>
        <v>17.48903044</v>
      </c>
      <c r="H3419" s="104" t="s">
        <v>719</v>
      </c>
    </row>
    <row r="3420" customFormat="false" ht="15" hidden="false" customHeight="false" outlineLevel="0" collapsed="false">
      <c r="A3420" s="103" t="n">
        <v>46306</v>
      </c>
      <c r="B3420" s="104" t="s">
        <v>32</v>
      </c>
      <c r="C3420" s="104" t="s">
        <v>448</v>
      </c>
      <c r="D3420" s="105" t="n">
        <v>0.1667</v>
      </c>
      <c r="E3420" s="106" t="n">
        <v>310</v>
      </c>
      <c r="F3420" s="107" t="n">
        <f aca="false">IF($C3420="","",$D3420*$E3420)</f>
        <v>51.677</v>
      </c>
      <c r="G3420" s="107" t="n">
        <f aca="false">IF($C3420="","",$D3420*IFERROR(INDEX('تحليل التكلفة والسعر'!$C$2:$C$700,MATCH($C3420,'تحليل التكلفة والسعر'!$B$2:$B$700,0)),0))</f>
        <v>17.48903044</v>
      </c>
      <c r="H3420" s="104" t="s">
        <v>719</v>
      </c>
    </row>
    <row r="3421" customFormat="false" ht="15" hidden="false" customHeight="false" outlineLevel="0" collapsed="false">
      <c r="A3421" s="103" t="n">
        <v>46307</v>
      </c>
      <c r="B3421" s="104" t="s">
        <v>32</v>
      </c>
      <c r="C3421" s="104" t="s">
        <v>448</v>
      </c>
      <c r="D3421" s="105" t="n">
        <v>0.1667</v>
      </c>
      <c r="E3421" s="106" t="n">
        <v>310</v>
      </c>
      <c r="F3421" s="107" t="n">
        <f aca="false">IF($C3421="","",$D3421*$E3421)</f>
        <v>51.677</v>
      </c>
      <c r="G3421" s="107" t="n">
        <f aca="false">IF($C3421="","",$D3421*IFERROR(INDEX('تحليل التكلفة والسعر'!$C$2:$C$700,MATCH($C3421,'تحليل التكلفة والسعر'!$B$2:$B$700,0)),0))</f>
        <v>17.48903044</v>
      </c>
      <c r="H3421" s="104" t="s">
        <v>719</v>
      </c>
    </row>
    <row r="3422" customFormat="false" ht="15" hidden="false" customHeight="false" outlineLevel="0" collapsed="false">
      <c r="A3422" s="103" t="n">
        <v>46296</v>
      </c>
      <c r="B3422" s="104" t="s">
        <v>32</v>
      </c>
      <c r="C3422" s="104" t="s">
        <v>463</v>
      </c>
      <c r="D3422" s="105" t="n">
        <v>0.25</v>
      </c>
      <c r="E3422" s="106" t="n">
        <v>171.6667</v>
      </c>
      <c r="F3422" s="107" t="n">
        <f aca="false">IF($C3422="","",$D3422*$E3422)</f>
        <v>42.916675</v>
      </c>
      <c r="G3422" s="107" t="n">
        <f aca="false">IF($C3422="","",$D3422*IFERROR(INDEX('تحليل التكلفة والسعر'!$C$2:$C$700,MATCH($C3422,'تحليل التكلفة والسعر'!$B$2:$B$700,0)),0))</f>
        <v>18.569625</v>
      </c>
      <c r="H3422" s="104" t="s">
        <v>719</v>
      </c>
    </row>
    <row r="3423" customFormat="false" ht="15" hidden="false" customHeight="false" outlineLevel="0" collapsed="false">
      <c r="A3423" s="103" t="n">
        <v>46297</v>
      </c>
      <c r="B3423" s="104" t="s">
        <v>32</v>
      </c>
      <c r="C3423" s="104" t="s">
        <v>463</v>
      </c>
      <c r="D3423" s="105" t="n">
        <v>0.25</v>
      </c>
      <c r="E3423" s="106" t="n">
        <v>171.6667</v>
      </c>
      <c r="F3423" s="107" t="n">
        <f aca="false">IF($C3423="","",$D3423*$E3423)</f>
        <v>42.916675</v>
      </c>
      <c r="G3423" s="107" t="n">
        <f aca="false">IF($C3423="","",$D3423*IFERROR(INDEX('تحليل التكلفة والسعر'!$C$2:$C$700,MATCH($C3423,'تحليل التكلفة والسعر'!$B$2:$B$700,0)),0))</f>
        <v>18.569625</v>
      </c>
      <c r="H3423" s="104" t="s">
        <v>719</v>
      </c>
    </row>
    <row r="3424" customFormat="false" ht="15" hidden="false" customHeight="false" outlineLevel="0" collapsed="false">
      <c r="A3424" s="103" t="n">
        <v>46298</v>
      </c>
      <c r="B3424" s="104" t="s">
        <v>32</v>
      </c>
      <c r="C3424" s="104" t="s">
        <v>463</v>
      </c>
      <c r="D3424" s="105" t="n">
        <v>0.25</v>
      </c>
      <c r="E3424" s="106" t="n">
        <v>171.6667</v>
      </c>
      <c r="F3424" s="107" t="n">
        <f aca="false">IF($C3424="","",$D3424*$E3424)</f>
        <v>42.916675</v>
      </c>
      <c r="G3424" s="107" t="n">
        <f aca="false">IF($C3424="","",$D3424*IFERROR(INDEX('تحليل التكلفة والسعر'!$C$2:$C$700,MATCH($C3424,'تحليل التكلفة والسعر'!$B$2:$B$700,0)),0))</f>
        <v>18.569625</v>
      </c>
      <c r="H3424" s="104" t="s">
        <v>719</v>
      </c>
    </row>
    <row r="3425" customFormat="false" ht="15" hidden="false" customHeight="false" outlineLevel="0" collapsed="false">
      <c r="A3425" s="103" t="n">
        <v>46299</v>
      </c>
      <c r="B3425" s="104" t="s">
        <v>32</v>
      </c>
      <c r="C3425" s="104" t="s">
        <v>463</v>
      </c>
      <c r="D3425" s="105" t="n">
        <v>0.25</v>
      </c>
      <c r="E3425" s="106" t="n">
        <v>171.6667</v>
      </c>
      <c r="F3425" s="107" t="n">
        <f aca="false">IF($C3425="","",$D3425*$E3425)</f>
        <v>42.916675</v>
      </c>
      <c r="G3425" s="107" t="n">
        <f aca="false">IF($C3425="","",$D3425*IFERROR(INDEX('تحليل التكلفة والسعر'!$C$2:$C$700,MATCH($C3425,'تحليل التكلفة والسعر'!$B$2:$B$700,0)),0))</f>
        <v>18.569625</v>
      </c>
      <c r="H3425" s="104" t="s">
        <v>719</v>
      </c>
    </row>
    <row r="3426" customFormat="false" ht="15" hidden="false" customHeight="false" outlineLevel="0" collapsed="false">
      <c r="A3426" s="103" t="n">
        <v>46300</v>
      </c>
      <c r="B3426" s="104" t="s">
        <v>32</v>
      </c>
      <c r="C3426" s="104" t="s">
        <v>463</v>
      </c>
      <c r="D3426" s="105" t="n">
        <v>0.25</v>
      </c>
      <c r="E3426" s="106" t="n">
        <v>171.6667</v>
      </c>
      <c r="F3426" s="107" t="n">
        <f aca="false">IF($C3426="","",$D3426*$E3426)</f>
        <v>42.916675</v>
      </c>
      <c r="G3426" s="107" t="n">
        <f aca="false">IF($C3426="","",$D3426*IFERROR(INDEX('تحليل التكلفة والسعر'!$C$2:$C$700,MATCH($C3426,'تحليل التكلفة والسعر'!$B$2:$B$700,0)),0))</f>
        <v>18.569625</v>
      </c>
      <c r="H3426" s="104" t="s">
        <v>719</v>
      </c>
    </row>
    <row r="3427" customFormat="false" ht="15" hidden="false" customHeight="false" outlineLevel="0" collapsed="false">
      <c r="A3427" s="103" t="n">
        <v>46301</v>
      </c>
      <c r="B3427" s="104" t="s">
        <v>32</v>
      </c>
      <c r="C3427" s="104" t="s">
        <v>463</v>
      </c>
      <c r="D3427" s="105" t="n">
        <v>0.25</v>
      </c>
      <c r="E3427" s="106" t="n">
        <v>171.6667</v>
      </c>
      <c r="F3427" s="107" t="n">
        <f aca="false">IF($C3427="","",$D3427*$E3427)</f>
        <v>42.916675</v>
      </c>
      <c r="G3427" s="107" t="n">
        <f aca="false">IF($C3427="","",$D3427*IFERROR(INDEX('تحليل التكلفة والسعر'!$C$2:$C$700,MATCH($C3427,'تحليل التكلفة والسعر'!$B$2:$B$700,0)),0))</f>
        <v>18.569625</v>
      </c>
      <c r="H3427" s="104" t="s">
        <v>719</v>
      </c>
    </row>
    <row r="3428" customFormat="false" ht="15" hidden="false" customHeight="false" outlineLevel="0" collapsed="false">
      <c r="A3428" s="103" t="n">
        <v>46302</v>
      </c>
      <c r="B3428" s="104" t="s">
        <v>32</v>
      </c>
      <c r="C3428" s="104" t="s">
        <v>463</v>
      </c>
      <c r="D3428" s="105" t="n">
        <v>0.25</v>
      </c>
      <c r="E3428" s="106" t="n">
        <v>171.6667</v>
      </c>
      <c r="F3428" s="107" t="n">
        <f aca="false">IF($C3428="","",$D3428*$E3428)</f>
        <v>42.916675</v>
      </c>
      <c r="G3428" s="107" t="n">
        <f aca="false">IF($C3428="","",$D3428*IFERROR(INDEX('تحليل التكلفة والسعر'!$C$2:$C$700,MATCH($C3428,'تحليل التكلفة والسعر'!$B$2:$B$700,0)),0))</f>
        <v>18.569625</v>
      </c>
      <c r="H3428" s="104" t="s">
        <v>719</v>
      </c>
    </row>
    <row r="3429" customFormat="false" ht="15" hidden="false" customHeight="false" outlineLevel="0" collapsed="false">
      <c r="A3429" s="103" t="n">
        <v>46303</v>
      </c>
      <c r="B3429" s="104" t="s">
        <v>32</v>
      </c>
      <c r="C3429" s="104" t="s">
        <v>463</v>
      </c>
      <c r="D3429" s="105" t="n">
        <v>0.25</v>
      </c>
      <c r="E3429" s="106" t="n">
        <v>171.6667</v>
      </c>
      <c r="F3429" s="107" t="n">
        <f aca="false">IF($C3429="","",$D3429*$E3429)</f>
        <v>42.916675</v>
      </c>
      <c r="G3429" s="107" t="n">
        <f aca="false">IF($C3429="","",$D3429*IFERROR(INDEX('تحليل التكلفة والسعر'!$C$2:$C$700,MATCH($C3429,'تحليل التكلفة والسعر'!$B$2:$B$700,0)),0))</f>
        <v>18.569625</v>
      </c>
      <c r="H3429" s="104" t="s">
        <v>719</v>
      </c>
    </row>
    <row r="3430" customFormat="false" ht="15" hidden="false" customHeight="false" outlineLevel="0" collapsed="false">
      <c r="A3430" s="103" t="n">
        <v>46304</v>
      </c>
      <c r="B3430" s="104" t="s">
        <v>32</v>
      </c>
      <c r="C3430" s="104" t="s">
        <v>463</v>
      </c>
      <c r="D3430" s="105" t="n">
        <v>0.25</v>
      </c>
      <c r="E3430" s="106" t="n">
        <v>171.6667</v>
      </c>
      <c r="F3430" s="107" t="n">
        <f aca="false">IF($C3430="","",$D3430*$E3430)</f>
        <v>42.916675</v>
      </c>
      <c r="G3430" s="107" t="n">
        <f aca="false">IF($C3430="","",$D3430*IFERROR(INDEX('تحليل التكلفة والسعر'!$C$2:$C$700,MATCH($C3430,'تحليل التكلفة والسعر'!$B$2:$B$700,0)),0))</f>
        <v>18.569625</v>
      </c>
      <c r="H3430" s="104" t="s">
        <v>719</v>
      </c>
    </row>
    <row r="3431" customFormat="false" ht="15" hidden="false" customHeight="false" outlineLevel="0" collapsed="false">
      <c r="A3431" s="103" t="n">
        <v>46305</v>
      </c>
      <c r="B3431" s="104" t="s">
        <v>32</v>
      </c>
      <c r="C3431" s="104" t="s">
        <v>463</v>
      </c>
      <c r="D3431" s="105" t="n">
        <v>0.25</v>
      </c>
      <c r="E3431" s="106" t="n">
        <v>171.6667</v>
      </c>
      <c r="F3431" s="107" t="n">
        <f aca="false">IF($C3431="","",$D3431*$E3431)</f>
        <v>42.916675</v>
      </c>
      <c r="G3431" s="107" t="n">
        <f aca="false">IF($C3431="","",$D3431*IFERROR(INDEX('تحليل التكلفة والسعر'!$C$2:$C$700,MATCH($C3431,'تحليل التكلفة والسعر'!$B$2:$B$700,0)),0))</f>
        <v>18.569625</v>
      </c>
      <c r="H3431" s="104" t="s">
        <v>719</v>
      </c>
    </row>
    <row r="3432" customFormat="false" ht="15" hidden="false" customHeight="false" outlineLevel="0" collapsed="false">
      <c r="A3432" s="103" t="n">
        <v>46306</v>
      </c>
      <c r="B3432" s="104" t="s">
        <v>32</v>
      </c>
      <c r="C3432" s="104" t="s">
        <v>463</v>
      </c>
      <c r="D3432" s="105" t="n">
        <v>0.25</v>
      </c>
      <c r="E3432" s="106" t="n">
        <v>171.6667</v>
      </c>
      <c r="F3432" s="107" t="n">
        <f aca="false">IF($C3432="","",$D3432*$E3432)</f>
        <v>42.916675</v>
      </c>
      <c r="G3432" s="107" t="n">
        <f aca="false">IF($C3432="","",$D3432*IFERROR(INDEX('تحليل التكلفة والسعر'!$C$2:$C$700,MATCH($C3432,'تحليل التكلفة والسعر'!$B$2:$B$700,0)),0))</f>
        <v>18.569625</v>
      </c>
      <c r="H3432" s="104" t="s">
        <v>719</v>
      </c>
    </row>
    <row r="3433" customFormat="false" ht="15" hidden="false" customHeight="false" outlineLevel="0" collapsed="false">
      <c r="A3433" s="103" t="n">
        <v>46307</v>
      </c>
      <c r="B3433" s="104" t="s">
        <v>32</v>
      </c>
      <c r="C3433" s="104" t="s">
        <v>463</v>
      </c>
      <c r="D3433" s="105" t="n">
        <v>0.25</v>
      </c>
      <c r="E3433" s="106" t="n">
        <v>171.6667</v>
      </c>
      <c r="F3433" s="107" t="n">
        <f aca="false">IF($C3433="","",$D3433*$E3433)</f>
        <v>42.916675</v>
      </c>
      <c r="G3433" s="107" t="n">
        <f aca="false">IF($C3433="","",$D3433*IFERROR(INDEX('تحليل التكلفة والسعر'!$C$2:$C$700,MATCH($C3433,'تحليل التكلفة والسعر'!$B$2:$B$700,0)),0))</f>
        <v>18.569625</v>
      </c>
      <c r="H3433" s="104" t="s">
        <v>719</v>
      </c>
    </row>
    <row r="3434" customFormat="false" ht="15" hidden="false" customHeight="false" outlineLevel="0" collapsed="false">
      <c r="A3434" s="103" t="n">
        <v>46296</v>
      </c>
      <c r="B3434" s="104" t="s">
        <v>32</v>
      </c>
      <c r="C3434" s="104" t="s">
        <v>447</v>
      </c>
      <c r="D3434" s="105" t="n">
        <v>0.6667</v>
      </c>
      <c r="E3434" s="106" t="n">
        <v>291.25</v>
      </c>
      <c r="F3434" s="107" t="n">
        <f aca="false">IF($C3434="","",$D3434*$E3434)</f>
        <v>194.176375</v>
      </c>
      <c r="G3434" s="107" t="n">
        <f aca="false">IF($C3434="","",$D3434*IFERROR(INDEX('تحليل التكلفة والسعر'!$C$2:$C$700,MATCH($C3434,'تحليل التكلفة والسعر'!$B$2:$B$700,0)),0))</f>
        <v>73.44580544</v>
      </c>
      <c r="H3434" s="104" t="s">
        <v>719</v>
      </c>
    </row>
    <row r="3435" customFormat="false" ht="15" hidden="false" customHeight="false" outlineLevel="0" collapsed="false">
      <c r="A3435" s="103" t="n">
        <v>46297</v>
      </c>
      <c r="B3435" s="104" t="s">
        <v>32</v>
      </c>
      <c r="C3435" s="104" t="s">
        <v>447</v>
      </c>
      <c r="D3435" s="105" t="n">
        <v>0.6667</v>
      </c>
      <c r="E3435" s="106" t="n">
        <v>291.25</v>
      </c>
      <c r="F3435" s="107" t="n">
        <f aca="false">IF($C3435="","",$D3435*$E3435)</f>
        <v>194.176375</v>
      </c>
      <c r="G3435" s="107" t="n">
        <f aca="false">IF($C3435="","",$D3435*IFERROR(INDEX('تحليل التكلفة والسعر'!$C$2:$C$700,MATCH($C3435,'تحليل التكلفة والسعر'!$B$2:$B$700,0)),0))</f>
        <v>73.44580544</v>
      </c>
      <c r="H3435" s="104" t="s">
        <v>719</v>
      </c>
    </row>
    <row r="3436" customFormat="false" ht="15" hidden="false" customHeight="false" outlineLevel="0" collapsed="false">
      <c r="A3436" s="103" t="n">
        <v>46298</v>
      </c>
      <c r="B3436" s="104" t="s">
        <v>32</v>
      </c>
      <c r="C3436" s="104" t="s">
        <v>447</v>
      </c>
      <c r="D3436" s="105" t="n">
        <v>0.6667</v>
      </c>
      <c r="E3436" s="106" t="n">
        <v>291.25</v>
      </c>
      <c r="F3436" s="107" t="n">
        <f aca="false">IF($C3436="","",$D3436*$E3436)</f>
        <v>194.176375</v>
      </c>
      <c r="G3436" s="107" t="n">
        <f aca="false">IF($C3436="","",$D3436*IFERROR(INDEX('تحليل التكلفة والسعر'!$C$2:$C$700,MATCH($C3436,'تحليل التكلفة والسعر'!$B$2:$B$700,0)),0))</f>
        <v>73.44580544</v>
      </c>
      <c r="H3436" s="104" t="s">
        <v>719</v>
      </c>
    </row>
    <row r="3437" customFormat="false" ht="15" hidden="false" customHeight="false" outlineLevel="0" collapsed="false">
      <c r="A3437" s="103" t="n">
        <v>46299</v>
      </c>
      <c r="B3437" s="104" t="s">
        <v>32</v>
      </c>
      <c r="C3437" s="104" t="s">
        <v>447</v>
      </c>
      <c r="D3437" s="105" t="n">
        <v>0.6667</v>
      </c>
      <c r="E3437" s="106" t="n">
        <v>291.25</v>
      </c>
      <c r="F3437" s="107" t="n">
        <f aca="false">IF($C3437="","",$D3437*$E3437)</f>
        <v>194.176375</v>
      </c>
      <c r="G3437" s="107" t="n">
        <f aca="false">IF($C3437="","",$D3437*IFERROR(INDEX('تحليل التكلفة والسعر'!$C$2:$C$700,MATCH($C3437,'تحليل التكلفة والسعر'!$B$2:$B$700,0)),0))</f>
        <v>73.44580544</v>
      </c>
      <c r="H3437" s="104" t="s">
        <v>719</v>
      </c>
    </row>
    <row r="3438" customFormat="false" ht="15" hidden="false" customHeight="false" outlineLevel="0" collapsed="false">
      <c r="A3438" s="103" t="n">
        <v>46300</v>
      </c>
      <c r="B3438" s="104" t="s">
        <v>32</v>
      </c>
      <c r="C3438" s="104" t="s">
        <v>447</v>
      </c>
      <c r="D3438" s="105" t="n">
        <v>0.6667</v>
      </c>
      <c r="E3438" s="106" t="n">
        <v>291.25</v>
      </c>
      <c r="F3438" s="107" t="n">
        <f aca="false">IF($C3438="","",$D3438*$E3438)</f>
        <v>194.176375</v>
      </c>
      <c r="G3438" s="107" t="n">
        <f aca="false">IF($C3438="","",$D3438*IFERROR(INDEX('تحليل التكلفة والسعر'!$C$2:$C$700,MATCH($C3438,'تحليل التكلفة والسعر'!$B$2:$B$700,0)),0))</f>
        <v>73.44580544</v>
      </c>
      <c r="H3438" s="104" t="s">
        <v>719</v>
      </c>
    </row>
    <row r="3439" customFormat="false" ht="15" hidden="false" customHeight="false" outlineLevel="0" collapsed="false">
      <c r="A3439" s="103" t="n">
        <v>46301</v>
      </c>
      <c r="B3439" s="104" t="s">
        <v>32</v>
      </c>
      <c r="C3439" s="104" t="s">
        <v>447</v>
      </c>
      <c r="D3439" s="105" t="n">
        <v>0.6667</v>
      </c>
      <c r="E3439" s="106" t="n">
        <v>291.25</v>
      </c>
      <c r="F3439" s="107" t="n">
        <f aca="false">IF($C3439="","",$D3439*$E3439)</f>
        <v>194.176375</v>
      </c>
      <c r="G3439" s="107" t="n">
        <f aca="false">IF($C3439="","",$D3439*IFERROR(INDEX('تحليل التكلفة والسعر'!$C$2:$C$700,MATCH($C3439,'تحليل التكلفة والسعر'!$B$2:$B$700,0)),0))</f>
        <v>73.44580544</v>
      </c>
      <c r="H3439" s="104" t="s">
        <v>719</v>
      </c>
    </row>
    <row r="3440" customFormat="false" ht="15" hidden="false" customHeight="false" outlineLevel="0" collapsed="false">
      <c r="A3440" s="103" t="n">
        <v>46302</v>
      </c>
      <c r="B3440" s="104" t="s">
        <v>32</v>
      </c>
      <c r="C3440" s="104" t="s">
        <v>447</v>
      </c>
      <c r="D3440" s="105" t="n">
        <v>0.6667</v>
      </c>
      <c r="E3440" s="106" t="n">
        <v>291.25</v>
      </c>
      <c r="F3440" s="107" t="n">
        <f aca="false">IF($C3440="","",$D3440*$E3440)</f>
        <v>194.176375</v>
      </c>
      <c r="G3440" s="107" t="n">
        <f aca="false">IF($C3440="","",$D3440*IFERROR(INDEX('تحليل التكلفة والسعر'!$C$2:$C$700,MATCH($C3440,'تحليل التكلفة والسعر'!$B$2:$B$700,0)),0))</f>
        <v>73.44580544</v>
      </c>
      <c r="H3440" s="104" t="s">
        <v>719</v>
      </c>
    </row>
    <row r="3441" customFormat="false" ht="15" hidden="false" customHeight="false" outlineLevel="0" collapsed="false">
      <c r="A3441" s="103" t="n">
        <v>46303</v>
      </c>
      <c r="B3441" s="104" t="s">
        <v>32</v>
      </c>
      <c r="C3441" s="104" t="s">
        <v>447</v>
      </c>
      <c r="D3441" s="105" t="n">
        <v>0.6667</v>
      </c>
      <c r="E3441" s="106" t="n">
        <v>291.25</v>
      </c>
      <c r="F3441" s="107" t="n">
        <f aca="false">IF($C3441="","",$D3441*$E3441)</f>
        <v>194.176375</v>
      </c>
      <c r="G3441" s="107" t="n">
        <f aca="false">IF($C3441="","",$D3441*IFERROR(INDEX('تحليل التكلفة والسعر'!$C$2:$C$700,MATCH($C3441,'تحليل التكلفة والسعر'!$B$2:$B$700,0)),0))</f>
        <v>73.44580544</v>
      </c>
      <c r="H3441" s="104" t="s">
        <v>719</v>
      </c>
    </row>
    <row r="3442" customFormat="false" ht="15" hidden="false" customHeight="false" outlineLevel="0" collapsed="false">
      <c r="A3442" s="103" t="n">
        <v>46304</v>
      </c>
      <c r="B3442" s="104" t="s">
        <v>32</v>
      </c>
      <c r="C3442" s="104" t="s">
        <v>447</v>
      </c>
      <c r="D3442" s="105" t="n">
        <v>0.6667</v>
      </c>
      <c r="E3442" s="106" t="n">
        <v>291.25</v>
      </c>
      <c r="F3442" s="107" t="n">
        <f aca="false">IF($C3442="","",$D3442*$E3442)</f>
        <v>194.176375</v>
      </c>
      <c r="G3442" s="107" t="n">
        <f aca="false">IF($C3442="","",$D3442*IFERROR(INDEX('تحليل التكلفة والسعر'!$C$2:$C$700,MATCH($C3442,'تحليل التكلفة والسعر'!$B$2:$B$700,0)),0))</f>
        <v>73.44580544</v>
      </c>
      <c r="H3442" s="104" t="s">
        <v>719</v>
      </c>
    </row>
    <row r="3443" customFormat="false" ht="15" hidden="false" customHeight="false" outlineLevel="0" collapsed="false">
      <c r="A3443" s="103" t="n">
        <v>46305</v>
      </c>
      <c r="B3443" s="104" t="s">
        <v>32</v>
      </c>
      <c r="C3443" s="104" t="s">
        <v>447</v>
      </c>
      <c r="D3443" s="105" t="n">
        <v>0.6667</v>
      </c>
      <c r="E3443" s="106" t="n">
        <v>291.25</v>
      </c>
      <c r="F3443" s="107" t="n">
        <f aca="false">IF($C3443="","",$D3443*$E3443)</f>
        <v>194.176375</v>
      </c>
      <c r="G3443" s="107" t="n">
        <f aca="false">IF($C3443="","",$D3443*IFERROR(INDEX('تحليل التكلفة والسعر'!$C$2:$C$700,MATCH($C3443,'تحليل التكلفة والسعر'!$B$2:$B$700,0)),0))</f>
        <v>73.44580544</v>
      </c>
      <c r="H3443" s="104" t="s">
        <v>719</v>
      </c>
    </row>
    <row r="3444" customFormat="false" ht="15" hidden="false" customHeight="false" outlineLevel="0" collapsed="false">
      <c r="A3444" s="103" t="n">
        <v>46306</v>
      </c>
      <c r="B3444" s="104" t="s">
        <v>32</v>
      </c>
      <c r="C3444" s="104" t="s">
        <v>447</v>
      </c>
      <c r="D3444" s="105" t="n">
        <v>0.6667</v>
      </c>
      <c r="E3444" s="106" t="n">
        <v>291.25</v>
      </c>
      <c r="F3444" s="107" t="n">
        <f aca="false">IF($C3444="","",$D3444*$E3444)</f>
        <v>194.176375</v>
      </c>
      <c r="G3444" s="107" t="n">
        <f aca="false">IF($C3444="","",$D3444*IFERROR(INDEX('تحليل التكلفة والسعر'!$C$2:$C$700,MATCH($C3444,'تحليل التكلفة والسعر'!$B$2:$B$700,0)),0))</f>
        <v>73.44580544</v>
      </c>
      <c r="H3444" s="104" t="s">
        <v>719</v>
      </c>
    </row>
    <row r="3445" customFormat="false" ht="15" hidden="false" customHeight="false" outlineLevel="0" collapsed="false">
      <c r="A3445" s="103" t="n">
        <v>46307</v>
      </c>
      <c r="B3445" s="104" t="s">
        <v>32</v>
      </c>
      <c r="C3445" s="104" t="s">
        <v>447</v>
      </c>
      <c r="D3445" s="105" t="n">
        <v>0.6667</v>
      </c>
      <c r="E3445" s="106" t="n">
        <v>291.25</v>
      </c>
      <c r="F3445" s="107" t="n">
        <f aca="false">IF($C3445="","",$D3445*$E3445)</f>
        <v>194.176375</v>
      </c>
      <c r="G3445" s="107" t="n">
        <f aca="false">IF($C3445="","",$D3445*IFERROR(INDEX('تحليل التكلفة والسعر'!$C$2:$C$700,MATCH($C3445,'تحليل التكلفة والسعر'!$B$2:$B$700,0)),0))</f>
        <v>73.44580544</v>
      </c>
      <c r="H3445" s="104" t="s">
        <v>719</v>
      </c>
    </row>
    <row r="3446" customFormat="false" ht="15" hidden="false" customHeight="false" outlineLevel="0" collapsed="false">
      <c r="A3446" s="103" t="n">
        <v>46296</v>
      </c>
      <c r="B3446" s="104" t="s">
        <v>32</v>
      </c>
      <c r="C3446" s="104" t="s">
        <v>461</v>
      </c>
      <c r="D3446" s="105" t="n">
        <v>5.25</v>
      </c>
      <c r="E3446" s="106" t="n">
        <v>152.619</v>
      </c>
      <c r="F3446" s="107" t="n">
        <f aca="false">IF($C3446="","",$D3446*$E3446)</f>
        <v>801.24975</v>
      </c>
      <c r="G3446" s="107" t="n">
        <f aca="false">IF($C3446="","",$D3446*IFERROR(INDEX('تحليل التكلفة والسعر'!$C$2:$C$700,MATCH($C3446,'تحليل التكلفة والسعر'!$B$2:$B$700,0)),0))</f>
        <v>408.337125</v>
      </c>
      <c r="H3446" s="104" t="s">
        <v>719</v>
      </c>
    </row>
    <row r="3447" customFormat="false" ht="15" hidden="false" customHeight="false" outlineLevel="0" collapsed="false">
      <c r="A3447" s="103" t="n">
        <v>46297</v>
      </c>
      <c r="B3447" s="104" t="s">
        <v>32</v>
      </c>
      <c r="C3447" s="104" t="s">
        <v>461</v>
      </c>
      <c r="D3447" s="105" t="n">
        <v>5.25</v>
      </c>
      <c r="E3447" s="106" t="n">
        <v>152.619</v>
      </c>
      <c r="F3447" s="107" t="n">
        <f aca="false">IF($C3447="","",$D3447*$E3447)</f>
        <v>801.24975</v>
      </c>
      <c r="G3447" s="107" t="n">
        <f aca="false">IF($C3447="","",$D3447*IFERROR(INDEX('تحليل التكلفة والسعر'!$C$2:$C$700,MATCH($C3447,'تحليل التكلفة والسعر'!$B$2:$B$700,0)),0))</f>
        <v>408.337125</v>
      </c>
      <c r="H3447" s="104" t="s">
        <v>719</v>
      </c>
    </row>
    <row r="3448" customFormat="false" ht="15" hidden="false" customHeight="false" outlineLevel="0" collapsed="false">
      <c r="A3448" s="103" t="n">
        <v>46298</v>
      </c>
      <c r="B3448" s="104" t="s">
        <v>32</v>
      </c>
      <c r="C3448" s="104" t="s">
        <v>461</v>
      </c>
      <c r="D3448" s="105" t="n">
        <v>5.25</v>
      </c>
      <c r="E3448" s="106" t="n">
        <v>152.619</v>
      </c>
      <c r="F3448" s="107" t="n">
        <f aca="false">IF($C3448="","",$D3448*$E3448)</f>
        <v>801.24975</v>
      </c>
      <c r="G3448" s="107" t="n">
        <f aca="false">IF($C3448="","",$D3448*IFERROR(INDEX('تحليل التكلفة والسعر'!$C$2:$C$700,MATCH($C3448,'تحليل التكلفة والسعر'!$B$2:$B$700,0)),0))</f>
        <v>408.337125</v>
      </c>
      <c r="H3448" s="104" t="s">
        <v>719</v>
      </c>
    </row>
    <row r="3449" customFormat="false" ht="15" hidden="false" customHeight="false" outlineLevel="0" collapsed="false">
      <c r="A3449" s="103" t="n">
        <v>46299</v>
      </c>
      <c r="B3449" s="104" t="s">
        <v>32</v>
      </c>
      <c r="C3449" s="104" t="s">
        <v>461</v>
      </c>
      <c r="D3449" s="105" t="n">
        <v>5.25</v>
      </c>
      <c r="E3449" s="106" t="n">
        <v>152.619</v>
      </c>
      <c r="F3449" s="107" t="n">
        <f aca="false">IF($C3449="","",$D3449*$E3449)</f>
        <v>801.24975</v>
      </c>
      <c r="G3449" s="107" t="n">
        <f aca="false">IF($C3449="","",$D3449*IFERROR(INDEX('تحليل التكلفة والسعر'!$C$2:$C$700,MATCH($C3449,'تحليل التكلفة والسعر'!$B$2:$B$700,0)),0))</f>
        <v>408.337125</v>
      </c>
      <c r="H3449" s="104" t="s">
        <v>719</v>
      </c>
    </row>
    <row r="3450" customFormat="false" ht="15" hidden="false" customHeight="false" outlineLevel="0" collapsed="false">
      <c r="A3450" s="103" t="n">
        <v>46300</v>
      </c>
      <c r="B3450" s="104" t="s">
        <v>32</v>
      </c>
      <c r="C3450" s="104" t="s">
        <v>461</v>
      </c>
      <c r="D3450" s="105" t="n">
        <v>5.25</v>
      </c>
      <c r="E3450" s="106" t="n">
        <v>152.619</v>
      </c>
      <c r="F3450" s="107" t="n">
        <f aca="false">IF($C3450="","",$D3450*$E3450)</f>
        <v>801.24975</v>
      </c>
      <c r="G3450" s="107" t="n">
        <f aca="false">IF($C3450="","",$D3450*IFERROR(INDEX('تحليل التكلفة والسعر'!$C$2:$C$700,MATCH($C3450,'تحليل التكلفة والسعر'!$B$2:$B$700,0)),0))</f>
        <v>408.337125</v>
      </c>
      <c r="H3450" s="104" t="s">
        <v>719</v>
      </c>
    </row>
    <row r="3451" customFormat="false" ht="15" hidden="false" customHeight="false" outlineLevel="0" collapsed="false">
      <c r="A3451" s="103" t="n">
        <v>46301</v>
      </c>
      <c r="B3451" s="104" t="s">
        <v>32</v>
      </c>
      <c r="C3451" s="104" t="s">
        <v>461</v>
      </c>
      <c r="D3451" s="105" t="n">
        <v>5.25</v>
      </c>
      <c r="E3451" s="106" t="n">
        <v>152.619</v>
      </c>
      <c r="F3451" s="107" t="n">
        <f aca="false">IF($C3451="","",$D3451*$E3451)</f>
        <v>801.24975</v>
      </c>
      <c r="G3451" s="107" t="n">
        <f aca="false">IF($C3451="","",$D3451*IFERROR(INDEX('تحليل التكلفة والسعر'!$C$2:$C$700,MATCH($C3451,'تحليل التكلفة والسعر'!$B$2:$B$700,0)),0))</f>
        <v>408.337125</v>
      </c>
      <c r="H3451" s="104" t="s">
        <v>719</v>
      </c>
    </row>
    <row r="3452" customFormat="false" ht="15" hidden="false" customHeight="false" outlineLevel="0" collapsed="false">
      <c r="A3452" s="103" t="n">
        <v>46302</v>
      </c>
      <c r="B3452" s="104" t="s">
        <v>32</v>
      </c>
      <c r="C3452" s="104" t="s">
        <v>461</v>
      </c>
      <c r="D3452" s="105" t="n">
        <v>5.25</v>
      </c>
      <c r="E3452" s="106" t="n">
        <v>152.619</v>
      </c>
      <c r="F3452" s="107" t="n">
        <f aca="false">IF($C3452="","",$D3452*$E3452)</f>
        <v>801.24975</v>
      </c>
      <c r="G3452" s="107" t="n">
        <f aca="false">IF($C3452="","",$D3452*IFERROR(INDEX('تحليل التكلفة والسعر'!$C$2:$C$700,MATCH($C3452,'تحليل التكلفة والسعر'!$B$2:$B$700,0)),0))</f>
        <v>408.337125</v>
      </c>
      <c r="H3452" s="104" t="s">
        <v>719</v>
      </c>
    </row>
    <row r="3453" customFormat="false" ht="15" hidden="false" customHeight="false" outlineLevel="0" collapsed="false">
      <c r="A3453" s="103" t="n">
        <v>46303</v>
      </c>
      <c r="B3453" s="104" t="s">
        <v>32</v>
      </c>
      <c r="C3453" s="104" t="s">
        <v>461</v>
      </c>
      <c r="D3453" s="105" t="n">
        <v>5.25</v>
      </c>
      <c r="E3453" s="106" t="n">
        <v>152.619</v>
      </c>
      <c r="F3453" s="107" t="n">
        <f aca="false">IF($C3453="","",$D3453*$E3453)</f>
        <v>801.24975</v>
      </c>
      <c r="G3453" s="107" t="n">
        <f aca="false">IF($C3453="","",$D3453*IFERROR(INDEX('تحليل التكلفة والسعر'!$C$2:$C$700,MATCH($C3453,'تحليل التكلفة والسعر'!$B$2:$B$700,0)),0))</f>
        <v>408.337125</v>
      </c>
      <c r="H3453" s="104" t="s">
        <v>719</v>
      </c>
    </row>
    <row r="3454" customFormat="false" ht="15" hidden="false" customHeight="false" outlineLevel="0" collapsed="false">
      <c r="A3454" s="103" t="n">
        <v>46304</v>
      </c>
      <c r="B3454" s="104" t="s">
        <v>32</v>
      </c>
      <c r="C3454" s="104" t="s">
        <v>461</v>
      </c>
      <c r="D3454" s="105" t="n">
        <v>5.25</v>
      </c>
      <c r="E3454" s="106" t="n">
        <v>152.619</v>
      </c>
      <c r="F3454" s="107" t="n">
        <f aca="false">IF($C3454="","",$D3454*$E3454)</f>
        <v>801.24975</v>
      </c>
      <c r="G3454" s="107" t="n">
        <f aca="false">IF($C3454="","",$D3454*IFERROR(INDEX('تحليل التكلفة والسعر'!$C$2:$C$700,MATCH($C3454,'تحليل التكلفة والسعر'!$B$2:$B$700,0)),0))</f>
        <v>408.337125</v>
      </c>
      <c r="H3454" s="104" t="s">
        <v>719</v>
      </c>
    </row>
    <row r="3455" customFormat="false" ht="15" hidden="false" customHeight="false" outlineLevel="0" collapsed="false">
      <c r="A3455" s="103" t="n">
        <v>46305</v>
      </c>
      <c r="B3455" s="104" t="s">
        <v>32</v>
      </c>
      <c r="C3455" s="104" t="s">
        <v>461</v>
      </c>
      <c r="D3455" s="105" t="n">
        <v>5.25</v>
      </c>
      <c r="E3455" s="106" t="n">
        <v>152.619</v>
      </c>
      <c r="F3455" s="107" t="n">
        <f aca="false">IF($C3455="","",$D3455*$E3455)</f>
        <v>801.24975</v>
      </c>
      <c r="G3455" s="107" t="n">
        <f aca="false">IF($C3455="","",$D3455*IFERROR(INDEX('تحليل التكلفة والسعر'!$C$2:$C$700,MATCH($C3455,'تحليل التكلفة والسعر'!$B$2:$B$700,0)),0))</f>
        <v>408.337125</v>
      </c>
      <c r="H3455" s="104" t="s">
        <v>719</v>
      </c>
    </row>
    <row r="3456" customFormat="false" ht="15" hidden="false" customHeight="false" outlineLevel="0" collapsed="false">
      <c r="A3456" s="103" t="n">
        <v>46306</v>
      </c>
      <c r="B3456" s="104" t="s">
        <v>32</v>
      </c>
      <c r="C3456" s="104" t="s">
        <v>461</v>
      </c>
      <c r="D3456" s="105" t="n">
        <v>5.25</v>
      </c>
      <c r="E3456" s="106" t="n">
        <v>152.619</v>
      </c>
      <c r="F3456" s="107" t="n">
        <f aca="false">IF($C3456="","",$D3456*$E3456)</f>
        <v>801.24975</v>
      </c>
      <c r="G3456" s="107" t="n">
        <f aca="false">IF($C3456="","",$D3456*IFERROR(INDEX('تحليل التكلفة والسعر'!$C$2:$C$700,MATCH($C3456,'تحليل التكلفة والسعر'!$B$2:$B$700,0)),0))</f>
        <v>408.337125</v>
      </c>
      <c r="H3456" s="104" t="s">
        <v>719</v>
      </c>
    </row>
    <row r="3457" customFormat="false" ht="15" hidden="false" customHeight="false" outlineLevel="0" collapsed="false">
      <c r="A3457" s="103" t="n">
        <v>46307</v>
      </c>
      <c r="B3457" s="104" t="s">
        <v>32</v>
      </c>
      <c r="C3457" s="104" t="s">
        <v>461</v>
      </c>
      <c r="D3457" s="105" t="n">
        <v>5.25</v>
      </c>
      <c r="E3457" s="106" t="n">
        <v>152.619</v>
      </c>
      <c r="F3457" s="107" t="n">
        <f aca="false">IF($C3457="","",$D3457*$E3457)</f>
        <v>801.24975</v>
      </c>
      <c r="G3457" s="107" t="n">
        <f aca="false">IF($C3457="","",$D3457*IFERROR(INDEX('تحليل التكلفة والسعر'!$C$2:$C$700,MATCH($C3457,'تحليل التكلفة والسعر'!$B$2:$B$700,0)),0))</f>
        <v>408.337125</v>
      </c>
      <c r="H3457" s="104" t="s">
        <v>719</v>
      </c>
    </row>
    <row r="3458" customFormat="false" ht="15" hidden="false" customHeight="false" outlineLevel="0" collapsed="false">
      <c r="A3458" s="103" t="n">
        <v>46296</v>
      </c>
      <c r="B3458" s="104" t="s">
        <v>32</v>
      </c>
      <c r="C3458" s="104" t="s">
        <v>392</v>
      </c>
      <c r="D3458" s="105" t="n">
        <v>0.0833</v>
      </c>
      <c r="E3458" s="106" t="n">
        <v>250</v>
      </c>
      <c r="F3458" s="107" t="n">
        <f aca="false">IF($C3458="","",$D3458*$E3458)</f>
        <v>20.825</v>
      </c>
      <c r="G3458" s="107" t="n">
        <f aca="false">IF($C3458="","",$D3458*IFERROR(INDEX('تحليل التكلفة والسعر'!$C$2:$C$700,MATCH($C3458,'تحليل التكلفة والسعر'!$B$2:$B$700,0)),0))</f>
        <v>7.99340136</v>
      </c>
      <c r="H3458" s="104" t="s">
        <v>719</v>
      </c>
    </row>
    <row r="3459" customFormat="false" ht="15" hidden="false" customHeight="false" outlineLevel="0" collapsed="false">
      <c r="A3459" s="103" t="n">
        <v>46297</v>
      </c>
      <c r="B3459" s="104" t="s">
        <v>32</v>
      </c>
      <c r="C3459" s="104" t="s">
        <v>392</v>
      </c>
      <c r="D3459" s="105" t="n">
        <v>0.0833</v>
      </c>
      <c r="E3459" s="106" t="n">
        <v>250</v>
      </c>
      <c r="F3459" s="107" t="n">
        <f aca="false">IF($C3459="","",$D3459*$E3459)</f>
        <v>20.825</v>
      </c>
      <c r="G3459" s="107" t="n">
        <f aca="false">IF($C3459="","",$D3459*IFERROR(INDEX('تحليل التكلفة والسعر'!$C$2:$C$700,MATCH($C3459,'تحليل التكلفة والسعر'!$B$2:$B$700,0)),0))</f>
        <v>7.99340136</v>
      </c>
      <c r="H3459" s="104" t="s">
        <v>719</v>
      </c>
    </row>
    <row r="3460" customFormat="false" ht="15" hidden="false" customHeight="false" outlineLevel="0" collapsed="false">
      <c r="A3460" s="103" t="n">
        <v>46298</v>
      </c>
      <c r="B3460" s="104" t="s">
        <v>32</v>
      </c>
      <c r="C3460" s="104" t="s">
        <v>392</v>
      </c>
      <c r="D3460" s="105" t="n">
        <v>0.0833</v>
      </c>
      <c r="E3460" s="106" t="n">
        <v>250</v>
      </c>
      <c r="F3460" s="107" t="n">
        <f aca="false">IF($C3460="","",$D3460*$E3460)</f>
        <v>20.825</v>
      </c>
      <c r="G3460" s="107" t="n">
        <f aca="false">IF($C3460="","",$D3460*IFERROR(INDEX('تحليل التكلفة والسعر'!$C$2:$C$700,MATCH($C3460,'تحليل التكلفة والسعر'!$B$2:$B$700,0)),0))</f>
        <v>7.99340136</v>
      </c>
      <c r="H3460" s="104" t="s">
        <v>719</v>
      </c>
    </row>
    <row r="3461" customFormat="false" ht="15" hidden="false" customHeight="false" outlineLevel="0" collapsed="false">
      <c r="A3461" s="103" t="n">
        <v>46299</v>
      </c>
      <c r="B3461" s="104" t="s">
        <v>32</v>
      </c>
      <c r="C3461" s="104" t="s">
        <v>392</v>
      </c>
      <c r="D3461" s="105" t="n">
        <v>0.0833</v>
      </c>
      <c r="E3461" s="106" t="n">
        <v>250</v>
      </c>
      <c r="F3461" s="107" t="n">
        <f aca="false">IF($C3461="","",$D3461*$E3461)</f>
        <v>20.825</v>
      </c>
      <c r="G3461" s="107" t="n">
        <f aca="false">IF($C3461="","",$D3461*IFERROR(INDEX('تحليل التكلفة والسعر'!$C$2:$C$700,MATCH($C3461,'تحليل التكلفة والسعر'!$B$2:$B$700,0)),0))</f>
        <v>7.99340136</v>
      </c>
      <c r="H3461" s="104" t="s">
        <v>719</v>
      </c>
    </row>
    <row r="3462" customFormat="false" ht="15" hidden="false" customHeight="false" outlineLevel="0" collapsed="false">
      <c r="A3462" s="103" t="n">
        <v>46300</v>
      </c>
      <c r="B3462" s="104" t="s">
        <v>32</v>
      </c>
      <c r="C3462" s="104" t="s">
        <v>392</v>
      </c>
      <c r="D3462" s="105" t="n">
        <v>0.0833</v>
      </c>
      <c r="E3462" s="106" t="n">
        <v>250</v>
      </c>
      <c r="F3462" s="107" t="n">
        <f aca="false">IF($C3462="","",$D3462*$E3462)</f>
        <v>20.825</v>
      </c>
      <c r="G3462" s="107" t="n">
        <f aca="false">IF($C3462="","",$D3462*IFERROR(INDEX('تحليل التكلفة والسعر'!$C$2:$C$700,MATCH($C3462,'تحليل التكلفة والسعر'!$B$2:$B$700,0)),0))</f>
        <v>7.99340136</v>
      </c>
      <c r="H3462" s="104" t="s">
        <v>719</v>
      </c>
    </row>
    <row r="3463" customFormat="false" ht="15" hidden="false" customHeight="false" outlineLevel="0" collapsed="false">
      <c r="A3463" s="103" t="n">
        <v>46301</v>
      </c>
      <c r="B3463" s="104" t="s">
        <v>32</v>
      </c>
      <c r="C3463" s="104" t="s">
        <v>392</v>
      </c>
      <c r="D3463" s="105" t="n">
        <v>0.0833</v>
      </c>
      <c r="E3463" s="106" t="n">
        <v>250</v>
      </c>
      <c r="F3463" s="107" t="n">
        <f aca="false">IF($C3463="","",$D3463*$E3463)</f>
        <v>20.825</v>
      </c>
      <c r="G3463" s="107" t="n">
        <f aca="false">IF($C3463="","",$D3463*IFERROR(INDEX('تحليل التكلفة والسعر'!$C$2:$C$700,MATCH($C3463,'تحليل التكلفة والسعر'!$B$2:$B$700,0)),0))</f>
        <v>7.99340136</v>
      </c>
      <c r="H3463" s="104" t="s">
        <v>719</v>
      </c>
    </row>
    <row r="3464" customFormat="false" ht="15" hidden="false" customHeight="false" outlineLevel="0" collapsed="false">
      <c r="A3464" s="103" t="n">
        <v>46302</v>
      </c>
      <c r="B3464" s="104" t="s">
        <v>32</v>
      </c>
      <c r="C3464" s="104" t="s">
        <v>392</v>
      </c>
      <c r="D3464" s="105" t="n">
        <v>0.0833</v>
      </c>
      <c r="E3464" s="106" t="n">
        <v>250</v>
      </c>
      <c r="F3464" s="107" t="n">
        <f aca="false">IF($C3464="","",$D3464*$E3464)</f>
        <v>20.825</v>
      </c>
      <c r="G3464" s="107" t="n">
        <f aca="false">IF($C3464="","",$D3464*IFERROR(INDEX('تحليل التكلفة والسعر'!$C$2:$C$700,MATCH($C3464,'تحليل التكلفة والسعر'!$B$2:$B$700,0)),0))</f>
        <v>7.99340136</v>
      </c>
      <c r="H3464" s="104" t="s">
        <v>719</v>
      </c>
    </row>
    <row r="3465" customFormat="false" ht="15" hidden="false" customHeight="false" outlineLevel="0" collapsed="false">
      <c r="A3465" s="103" t="n">
        <v>46303</v>
      </c>
      <c r="B3465" s="104" t="s">
        <v>32</v>
      </c>
      <c r="C3465" s="104" t="s">
        <v>392</v>
      </c>
      <c r="D3465" s="105" t="n">
        <v>0.0833</v>
      </c>
      <c r="E3465" s="106" t="n">
        <v>250</v>
      </c>
      <c r="F3465" s="107" t="n">
        <f aca="false">IF($C3465="","",$D3465*$E3465)</f>
        <v>20.825</v>
      </c>
      <c r="G3465" s="107" t="n">
        <f aca="false">IF($C3465="","",$D3465*IFERROR(INDEX('تحليل التكلفة والسعر'!$C$2:$C$700,MATCH($C3465,'تحليل التكلفة والسعر'!$B$2:$B$700,0)),0))</f>
        <v>7.99340136</v>
      </c>
      <c r="H3465" s="104" t="s">
        <v>719</v>
      </c>
    </row>
    <row r="3466" customFormat="false" ht="15" hidden="false" customHeight="false" outlineLevel="0" collapsed="false">
      <c r="A3466" s="103" t="n">
        <v>46304</v>
      </c>
      <c r="B3466" s="104" t="s">
        <v>32</v>
      </c>
      <c r="C3466" s="104" t="s">
        <v>392</v>
      </c>
      <c r="D3466" s="105" t="n">
        <v>0.0833</v>
      </c>
      <c r="E3466" s="106" t="n">
        <v>250</v>
      </c>
      <c r="F3466" s="107" t="n">
        <f aca="false">IF($C3466="","",$D3466*$E3466)</f>
        <v>20.825</v>
      </c>
      <c r="G3466" s="107" t="n">
        <f aca="false">IF($C3466="","",$D3466*IFERROR(INDEX('تحليل التكلفة والسعر'!$C$2:$C$700,MATCH($C3466,'تحليل التكلفة والسعر'!$B$2:$B$700,0)),0))</f>
        <v>7.99340136</v>
      </c>
      <c r="H3466" s="104" t="s">
        <v>719</v>
      </c>
    </row>
    <row r="3467" customFormat="false" ht="15" hidden="false" customHeight="false" outlineLevel="0" collapsed="false">
      <c r="A3467" s="103" t="n">
        <v>46305</v>
      </c>
      <c r="B3467" s="104" t="s">
        <v>32</v>
      </c>
      <c r="C3467" s="104" t="s">
        <v>392</v>
      </c>
      <c r="D3467" s="105" t="n">
        <v>0.0833</v>
      </c>
      <c r="E3467" s="106" t="n">
        <v>250</v>
      </c>
      <c r="F3467" s="107" t="n">
        <f aca="false">IF($C3467="","",$D3467*$E3467)</f>
        <v>20.825</v>
      </c>
      <c r="G3467" s="107" t="n">
        <f aca="false">IF($C3467="","",$D3467*IFERROR(INDEX('تحليل التكلفة والسعر'!$C$2:$C$700,MATCH($C3467,'تحليل التكلفة والسعر'!$B$2:$B$700,0)),0))</f>
        <v>7.99340136</v>
      </c>
      <c r="H3467" s="104" t="s">
        <v>719</v>
      </c>
    </row>
    <row r="3468" customFormat="false" ht="15" hidden="false" customHeight="false" outlineLevel="0" collapsed="false">
      <c r="A3468" s="103" t="n">
        <v>46306</v>
      </c>
      <c r="B3468" s="104" t="s">
        <v>32</v>
      </c>
      <c r="C3468" s="104" t="s">
        <v>392</v>
      </c>
      <c r="D3468" s="105" t="n">
        <v>0.0833</v>
      </c>
      <c r="E3468" s="106" t="n">
        <v>250</v>
      </c>
      <c r="F3468" s="107" t="n">
        <f aca="false">IF($C3468="","",$D3468*$E3468)</f>
        <v>20.825</v>
      </c>
      <c r="G3468" s="107" t="n">
        <f aca="false">IF($C3468="","",$D3468*IFERROR(INDEX('تحليل التكلفة والسعر'!$C$2:$C$700,MATCH($C3468,'تحليل التكلفة والسعر'!$B$2:$B$700,0)),0))</f>
        <v>7.99340136</v>
      </c>
      <c r="H3468" s="104" t="s">
        <v>719</v>
      </c>
    </row>
    <row r="3469" customFormat="false" ht="15" hidden="false" customHeight="false" outlineLevel="0" collapsed="false">
      <c r="A3469" s="103" t="n">
        <v>46307</v>
      </c>
      <c r="B3469" s="104" t="s">
        <v>32</v>
      </c>
      <c r="C3469" s="104" t="s">
        <v>392</v>
      </c>
      <c r="D3469" s="105" t="n">
        <v>0.0833</v>
      </c>
      <c r="E3469" s="106" t="n">
        <v>250</v>
      </c>
      <c r="F3469" s="107" t="n">
        <f aca="false">IF($C3469="","",$D3469*$E3469)</f>
        <v>20.825</v>
      </c>
      <c r="G3469" s="107" t="n">
        <f aca="false">IF($C3469="","",$D3469*IFERROR(INDEX('تحليل التكلفة والسعر'!$C$2:$C$700,MATCH($C3469,'تحليل التكلفة والسعر'!$B$2:$B$700,0)),0))</f>
        <v>7.99340136</v>
      </c>
      <c r="H3469" s="104" t="s">
        <v>719</v>
      </c>
    </row>
    <row r="3470" customFormat="false" ht="15" hidden="false" customHeight="false" outlineLevel="0" collapsed="false">
      <c r="A3470" s="103" t="n">
        <v>46296</v>
      </c>
      <c r="B3470" s="104" t="s">
        <v>32</v>
      </c>
      <c r="C3470" s="104" t="s">
        <v>445</v>
      </c>
      <c r="D3470" s="105" t="n">
        <v>0.25</v>
      </c>
      <c r="E3470" s="106" t="n">
        <v>160</v>
      </c>
      <c r="F3470" s="107" t="n">
        <f aca="false">IF($C3470="","",$D3470*$E3470)</f>
        <v>40</v>
      </c>
      <c r="G3470" s="107" t="n">
        <f aca="false">IF($C3470="","",$D3470*IFERROR(INDEX('تحليل التكلفة والسعر'!$C$2:$C$700,MATCH($C3470,'تحليل التكلفة والسعر'!$B$2:$B$700,0)),0))</f>
        <v>19.84355</v>
      </c>
      <c r="H3470" s="104" t="s">
        <v>719</v>
      </c>
    </row>
    <row r="3471" customFormat="false" ht="15" hidden="false" customHeight="false" outlineLevel="0" collapsed="false">
      <c r="A3471" s="103" t="n">
        <v>46297</v>
      </c>
      <c r="B3471" s="104" t="s">
        <v>32</v>
      </c>
      <c r="C3471" s="104" t="s">
        <v>445</v>
      </c>
      <c r="D3471" s="105" t="n">
        <v>0.25</v>
      </c>
      <c r="E3471" s="106" t="n">
        <v>160</v>
      </c>
      <c r="F3471" s="107" t="n">
        <f aca="false">IF($C3471="","",$D3471*$E3471)</f>
        <v>40</v>
      </c>
      <c r="G3471" s="107" t="n">
        <f aca="false">IF($C3471="","",$D3471*IFERROR(INDEX('تحليل التكلفة والسعر'!$C$2:$C$700,MATCH($C3471,'تحليل التكلفة والسعر'!$B$2:$B$700,0)),0))</f>
        <v>19.84355</v>
      </c>
      <c r="H3471" s="104" t="s">
        <v>719</v>
      </c>
    </row>
    <row r="3472" customFormat="false" ht="15" hidden="false" customHeight="false" outlineLevel="0" collapsed="false">
      <c r="A3472" s="103" t="n">
        <v>46298</v>
      </c>
      <c r="B3472" s="104" t="s">
        <v>32</v>
      </c>
      <c r="C3472" s="104" t="s">
        <v>445</v>
      </c>
      <c r="D3472" s="105" t="n">
        <v>0.25</v>
      </c>
      <c r="E3472" s="106" t="n">
        <v>160</v>
      </c>
      <c r="F3472" s="107" t="n">
        <f aca="false">IF($C3472="","",$D3472*$E3472)</f>
        <v>40</v>
      </c>
      <c r="G3472" s="107" t="n">
        <f aca="false">IF($C3472="","",$D3472*IFERROR(INDEX('تحليل التكلفة والسعر'!$C$2:$C$700,MATCH($C3472,'تحليل التكلفة والسعر'!$B$2:$B$700,0)),0))</f>
        <v>19.84355</v>
      </c>
      <c r="H3472" s="104" t="s">
        <v>719</v>
      </c>
    </row>
    <row r="3473" customFormat="false" ht="15" hidden="false" customHeight="false" outlineLevel="0" collapsed="false">
      <c r="A3473" s="103" t="n">
        <v>46299</v>
      </c>
      <c r="B3473" s="104" t="s">
        <v>32</v>
      </c>
      <c r="C3473" s="104" t="s">
        <v>445</v>
      </c>
      <c r="D3473" s="105" t="n">
        <v>0.25</v>
      </c>
      <c r="E3473" s="106" t="n">
        <v>160</v>
      </c>
      <c r="F3473" s="107" t="n">
        <f aca="false">IF($C3473="","",$D3473*$E3473)</f>
        <v>40</v>
      </c>
      <c r="G3473" s="107" t="n">
        <f aca="false">IF($C3473="","",$D3473*IFERROR(INDEX('تحليل التكلفة والسعر'!$C$2:$C$700,MATCH($C3473,'تحليل التكلفة والسعر'!$B$2:$B$700,0)),0))</f>
        <v>19.84355</v>
      </c>
      <c r="H3473" s="104" t="s">
        <v>719</v>
      </c>
    </row>
    <row r="3474" customFormat="false" ht="15" hidden="false" customHeight="false" outlineLevel="0" collapsed="false">
      <c r="A3474" s="103" t="n">
        <v>46300</v>
      </c>
      <c r="B3474" s="104" t="s">
        <v>32</v>
      </c>
      <c r="C3474" s="104" t="s">
        <v>445</v>
      </c>
      <c r="D3474" s="105" t="n">
        <v>0.25</v>
      </c>
      <c r="E3474" s="106" t="n">
        <v>160</v>
      </c>
      <c r="F3474" s="107" t="n">
        <f aca="false">IF($C3474="","",$D3474*$E3474)</f>
        <v>40</v>
      </c>
      <c r="G3474" s="107" t="n">
        <f aca="false">IF($C3474="","",$D3474*IFERROR(INDEX('تحليل التكلفة والسعر'!$C$2:$C$700,MATCH($C3474,'تحليل التكلفة والسعر'!$B$2:$B$700,0)),0))</f>
        <v>19.84355</v>
      </c>
      <c r="H3474" s="104" t="s">
        <v>719</v>
      </c>
    </row>
    <row r="3475" customFormat="false" ht="15" hidden="false" customHeight="false" outlineLevel="0" collapsed="false">
      <c r="A3475" s="103" t="n">
        <v>46301</v>
      </c>
      <c r="B3475" s="104" t="s">
        <v>32</v>
      </c>
      <c r="C3475" s="104" t="s">
        <v>445</v>
      </c>
      <c r="D3475" s="105" t="n">
        <v>0.25</v>
      </c>
      <c r="E3475" s="106" t="n">
        <v>160</v>
      </c>
      <c r="F3475" s="107" t="n">
        <f aca="false">IF($C3475="","",$D3475*$E3475)</f>
        <v>40</v>
      </c>
      <c r="G3475" s="107" t="n">
        <f aca="false">IF($C3475="","",$D3475*IFERROR(INDEX('تحليل التكلفة والسعر'!$C$2:$C$700,MATCH($C3475,'تحليل التكلفة والسعر'!$B$2:$B$700,0)),0))</f>
        <v>19.84355</v>
      </c>
      <c r="H3475" s="104" t="s">
        <v>719</v>
      </c>
    </row>
    <row r="3476" customFormat="false" ht="15" hidden="false" customHeight="false" outlineLevel="0" collapsed="false">
      <c r="A3476" s="103" t="n">
        <v>46302</v>
      </c>
      <c r="B3476" s="104" t="s">
        <v>32</v>
      </c>
      <c r="C3476" s="104" t="s">
        <v>445</v>
      </c>
      <c r="D3476" s="105" t="n">
        <v>0.25</v>
      </c>
      <c r="E3476" s="106" t="n">
        <v>160</v>
      </c>
      <c r="F3476" s="107" t="n">
        <f aca="false">IF($C3476="","",$D3476*$E3476)</f>
        <v>40</v>
      </c>
      <c r="G3476" s="107" t="n">
        <f aca="false">IF($C3476="","",$D3476*IFERROR(INDEX('تحليل التكلفة والسعر'!$C$2:$C$700,MATCH($C3476,'تحليل التكلفة والسعر'!$B$2:$B$700,0)),0))</f>
        <v>19.84355</v>
      </c>
      <c r="H3476" s="104" t="s">
        <v>719</v>
      </c>
    </row>
    <row r="3477" customFormat="false" ht="15" hidden="false" customHeight="false" outlineLevel="0" collapsed="false">
      <c r="A3477" s="103" t="n">
        <v>46303</v>
      </c>
      <c r="B3477" s="104" t="s">
        <v>32</v>
      </c>
      <c r="C3477" s="104" t="s">
        <v>445</v>
      </c>
      <c r="D3477" s="105" t="n">
        <v>0.25</v>
      </c>
      <c r="E3477" s="106" t="n">
        <v>160</v>
      </c>
      <c r="F3477" s="107" t="n">
        <f aca="false">IF($C3477="","",$D3477*$E3477)</f>
        <v>40</v>
      </c>
      <c r="G3477" s="107" t="n">
        <f aca="false">IF($C3477="","",$D3477*IFERROR(INDEX('تحليل التكلفة والسعر'!$C$2:$C$700,MATCH($C3477,'تحليل التكلفة والسعر'!$B$2:$B$700,0)),0))</f>
        <v>19.84355</v>
      </c>
      <c r="H3477" s="104" t="s">
        <v>719</v>
      </c>
    </row>
    <row r="3478" customFormat="false" ht="15" hidden="false" customHeight="false" outlineLevel="0" collapsed="false">
      <c r="A3478" s="103" t="n">
        <v>46304</v>
      </c>
      <c r="B3478" s="104" t="s">
        <v>32</v>
      </c>
      <c r="C3478" s="104" t="s">
        <v>445</v>
      </c>
      <c r="D3478" s="105" t="n">
        <v>0.25</v>
      </c>
      <c r="E3478" s="106" t="n">
        <v>160</v>
      </c>
      <c r="F3478" s="107" t="n">
        <f aca="false">IF($C3478="","",$D3478*$E3478)</f>
        <v>40</v>
      </c>
      <c r="G3478" s="107" t="n">
        <f aca="false">IF($C3478="","",$D3478*IFERROR(INDEX('تحليل التكلفة والسعر'!$C$2:$C$700,MATCH($C3478,'تحليل التكلفة والسعر'!$B$2:$B$700,0)),0))</f>
        <v>19.84355</v>
      </c>
      <c r="H3478" s="104" t="s">
        <v>719</v>
      </c>
    </row>
    <row r="3479" customFormat="false" ht="15" hidden="false" customHeight="false" outlineLevel="0" collapsed="false">
      <c r="A3479" s="103" t="n">
        <v>46305</v>
      </c>
      <c r="B3479" s="104" t="s">
        <v>32</v>
      </c>
      <c r="C3479" s="104" t="s">
        <v>445</v>
      </c>
      <c r="D3479" s="105" t="n">
        <v>0.25</v>
      </c>
      <c r="E3479" s="106" t="n">
        <v>160</v>
      </c>
      <c r="F3479" s="107" t="n">
        <f aca="false">IF($C3479="","",$D3479*$E3479)</f>
        <v>40</v>
      </c>
      <c r="G3479" s="107" t="n">
        <f aca="false">IF($C3479="","",$D3479*IFERROR(INDEX('تحليل التكلفة والسعر'!$C$2:$C$700,MATCH($C3479,'تحليل التكلفة والسعر'!$B$2:$B$700,0)),0))</f>
        <v>19.84355</v>
      </c>
      <c r="H3479" s="104" t="s">
        <v>719</v>
      </c>
    </row>
    <row r="3480" customFormat="false" ht="15" hidden="false" customHeight="false" outlineLevel="0" collapsed="false">
      <c r="A3480" s="103" t="n">
        <v>46306</v>
      </c>
      <c r="B3480" s="104" t="s">
        <v>32</v>
      </c>
      <c r="C3480" s="104" t="s">
        <v>445</v>
      </c>
      <c r="D3480" s="105" t="n">
        <v>0.25</v>
      </c>
      <c r="E3480" s="106" t="n">
        <v>160</v>
      </c>
      <c r="F3480" s="107" t="n">
        <f aca="false">IF($C3480="","",$D3480*$E3480)</f>
        <v>40</v>
      </c>
      <c r="G3480" s="107" t="n">
        <f aca="false">IF($C3480="","",$D3480*IFERROR(INDEX('تحليل التكلفة والسعر'!$C$2:$C$700,MATCH($C3480,'تحليل التكلفة والسعر'!$B$2:$B$700,0)),0))</f>
        <v>19.84355</v>
      </c>
      <c r="H3480" s="104" t="s">
        <v>719</v>
      </c>
    </row>
    <row r="3481" customFormat="false" ht="15" hidden="false" customHeight="false" outlineLevel="0" collapsed="false">
      <c r="A3481" s="103" t="n">
        <v>46307</v>
      </c>
      <c r="B3481" s="104" t="s">
        <v>32</v>
      </c>
      <c r="C3481" s="104" t="s">
        <v>445</v>
      </c>
      <c r="D3481" s="105" t="n">
        <v>0.25</v>
      </c>
      <c r="E3481" s="106" t="n">
        <v>160</v>
      </c>
      <c r="F3481" s="107" t="n">
        <f aca="false">IF($C3481="","",$D3481*$E3481)</f>
        <v>40</v>
      </c>
      <c r="G3481" s="107" t="n">
        <f aca="false">IF($C3481="","",$D3481*IFERROR(INDEX('تحليل التكلفة والسعر'!$C$2:$C$700,MATCH($C3481,'تحليل التكلفة والسعر'!$B$2:$B$700,0)),0))</f>
        <v>19.84355</v>
      </c>
      <c r="H3481" s="104" t="s">
        <v>719</v>
      </c>
    </row>
    <row r="3482" customFormat="false" ht="15" hidden="false" customHeight="false" outlineLevel="0" collapsed="false">
      <c r="A3482" s="103" t="n">
        <v>46296</v>
      </c>
      <c r="B3482" s="104" t="s">
        <v>32</v>
      </c>
      <c r="C3482" s="104" t="s">
        <v>432</v>
      </c>
      <c r="D3482" s="105" t="n">
        <v>1</v>
      </c>
      <c r="E3482" s="106" t="n">
        <v>185.4167</v>
      </c>
      <c r="F3482" s="107" t="n">
        <f aca="false">IF($C3482="","",$D3482*$E3482)</f>
        <v>185.4167</v>
      </c>
      <c r="G3482" s="107" t="n">
        <f aca="false">IF($C3482="","",$D3482*IFERROR(INDEX('تحليل التكلفة والسعر'!$C$2:$C$700,MATCH($C3482,'تحليل التكلفة والسعر'!$B$2:$B$700,0)),0))</f>
        <v>73.419722</v>
      </c>
      <c r="H3482" s="104" t="s">
        <v>719</v>
      </c>
    </row>
    <row r="3483" customFormat="false" ht="15" hidden="false" customHeight="false" outlineLevel="0" collapsed="false">
      <c r="A3483" s="103" t="n">
        <v>46297</v>
      </c>
      <c r="B3483" s="104" t="s">
        <v>32</v>
      </c>
      <c r="C3483" s="104" t="s">
        <v>432</v>
      </c>
      <c r="D3483" s="105" t="n">
        <v>1</v>
      </c>
      <c r="E3483" s="106" t="n">
        <v>185.4167</v>
      </c>
      <c r="F3483" s="107" t="n">
        <f aca="false">IF($C3483="","",$D3483*$E3483)</f>
        <v>185.4167</v>
      </c>
      <c r="G3483" s="107" t="n">
        <f aca="false">IF($C3483="","",$D3483*IFERROR(INDEX('تحليل التكلفة والسعر'!$C$2:$C$700,MATCH($C3483,'تحليل التكلفة والسعر'!$B$2:$B$700,0)),0))</f>
        <v>73.419722</v>
      </c>
      <c r="H3483" s="104" t="s">
        <v>719</v>
      </c>
    </row>
    <row r="3484" customFormat="false" ht="15" hidden="false" customHeight="false" outlineLevel="0" collapsed="false">
      <c r="A3484" s="103" t="n">
        <v>46298</v>
      </c>
      <c r="B3484" s="104" t="s">
        <v>32</v>
      </c>
      <c r="C3484" s="104" t="s">
        <v>432</v>
      </c>
      <c r="D3484" s="105" t="n">
        <v>1</v>
      </c>
      <c r="E3484" s="106" t="n">
        <v>185.4167</v>
      </c>
      <c r="F3484" s="107" t="n">
        <f aca="false">IF($C3484="","",$D3484*$E3484)</f>
        <v>185.4167</v>
      </c>
      <c r="G3484" s="107" t="n">
        <f aca="false">IF($C3484="","",$D3484*IFERROR(INDEX('تحليل التكلفة والسعر'!$C$2:$C$700,MATCH($C3484,'تحليل التكلفة والسعر'!$B$2:$B$700,0)),0))</f>
        <v>73.419722</v>
      </c>
      <c r="H3484" s="104" t="s">
        <v>719</v>
      </c>
    </row>
    <row r="3485" customFormat="false" ht="15" hidden="false" customHeight="false" outlineLevel="0" collapsed="false">
      <c r="A3485" s="103" t="n">
        <v>46299</v>
      </c>
      <c r="B3485" s="104" t="s">
        <v>32</v>
      </c>
      <c r="C3485" s="104" t="s">
        <v>432</v>
      </c>
      <c r="D3485" s="105" t="n">
        <v>1</v>
      </c>
      <c r="E3485" s="106" t="n">
        <v>185.4167</v>
      </c>
      <c r="F3485" s="107" t="n">
        <f aca="false">IF($C3485="","",$D3485*$E3485)</f>
        <v>185.4167</v>
      </c>
      <c r="G3485" s="107" t="n">
        <f aca="false">IF($C3485="","",$D3485*IFERROR(INDEX('تحليل التكلفة والسعر'!$C$2:$C$700,MATCH($C3485,'تحليل التكلفة والسعر'!$B$2:$B$700,0)),0))</f>
        <v>73.419722</v>
      </c>
      <c r="H3485" s="104" t="s">
        <v>719</v>
      </c>
    </row>
    <row r="3486" customFormat="false" ht="15" hidden="false" customHeight="false" outlineLevel="0" collapsed="false">
      <c r="A3486" s="103" t="n">
        <v>46300</v>
      </c>
      <c r="B3486" s="104" t="s">
        <v>32</v>
      </c>
      <c r="C3486" s="104" t="s">
        <v>432</v>
      </c>
      <c r="D3486" s="105" t="n">
        <v>1</v>
      </c>
      <c r="E3486" s="106" t="n">
        <v>185.4167</v>
      </c>
      <c r="F3486" s="107" t="n">
        <f aca="false">IF($C3486="","",$D3486*$E3486)</f>
        <v>185.4167</v>
      </c>
      <c r="G3486" s="107" t="n">
        <f aca="false">IF($C3486="","",$D3486*IFERROR(INDEX('تحليل التكلفة والسعر'!$C$2:$C$700,MATCH($C3486,'تحليل التكلفة والسعر'!$B$2:$B$700,0)),0))</f>
        <v>73.419722</v>
      </c>
      <c r="H3486" s="104" t="s">
        <v>719</v>
      </c>
    </row>
    <row r="3487" customFormat="false" ht="15" hidden="false" customHeight="false" outlineLevel="0" collapsed="false">
      <c r="A3487" s="103" t="n">
        <v>46301</v>
      </c>
      <c r="B3487" s="104" t="s">
        <v>32</v>
      </c>
      <c r="C3487" s="104" t="s">
        <v>432</v>
      </c>
      <c r="D3487" s="105" t="n">
        <v>1</v>
      </c>
      <c r="E3487" s="106" t="n">
        <v>185.4167</v>
      </c>
      <c r="F3487" s="107" t="n">
        <f aca="false">IF($C3487="","",$D3487*$E3487)</f>
        <v>185.4167</v>
      </c>
      <c r="G3487" s="107" t="n">
        <f aca="false">IF($C3487="","",$D3487*IFERROR(INDEX('تحليل التكلفة والسعر'!$C$2:$C$700,MATCH($C3487,'تحليل التكلفة والسعر'!$B$2:$B$700,0)),0))</f>
        <v>73.419722</v>
      </c>
      <c r="H3487" s="104" t="s">
        <v>719</v>
      </c>
    </row>
    <row r="3488" customFormat="false" ht="15" hidden="false" customHeight="false" outlineLevel="0" collapsed="false">
      <c r="A3488" s="103" t="n">
        <v>46302</v>
      </c>
      <c r="B3488" s="104" t="s">
        <v>32</v>
      </c>
      <c r="C3488" s="104" t="s">
        <v>432</v>
      </c>
      <c r="D3488" s="105" t="n">
        <v>1</v>
      </c>
      <c r="E3488" s="106" t="n">
        <v>185.4167</v>
      </c>
      <c r="F3488" s="107" t="n">
        <f aca="false">IF($C3488="","",$D3488*$E3488)</f>
        <v>185.4167</v>
      </c>
      <c r="G3488" s="107" t="n">
        <f aca="false">IF($C3488="","",$D3488*IFERROR(INDEX('تحليل التكلفة والسعر'!$C$2:$C$700,MATCH($C3488,'تحليل التكلفة والسعر'!$B$2:$B$700,0)),0))</f>
        <v>73.419722</v>
      </c>
      <c r="H3488" s="104" t="s">
        <v>719</v>
      </c>
    </row>
    <row r="3489" customFormat="false" ht="15" hidden="false" customHeight="false" outlineLevel="0" collapsed="false">
      <c r="A3489" s="103" t="n">
        <v>46303</v>
      </c>
      <c r="B3489" s="104" t="s">
        <v>32</v>
      </c>
      <c r="C3489" s="104" t="s">
        <v>432</v>
      </c>
      <c r="D3489" s="105" t="n">
        <v>1</v>
      </c>
      <c r="E3489" s="106" t="n">
        <v>185.4167</v>
      </c>
      <c r="F3489" s="107" t="n">
        <f aca="false">IF($C3489="","",$D3489*$E3489)</f>
        <v>185.4167</v>
      </c>
      <c r="G3489" s="107" t="n">
        <f aca="false">IF($C3489="","",$D3489*IFERROR(INDEX('تحليل التكلفة والسعر'!$C$2:$C$700,MATCH($C3489,'تحليل التكلفة والسعر'!$B$2:$B$700,0)),0))</f>
        <v>73.419722</v>
      </c>
      <c r="H3489" s="104" t="s">
        <v>719</v>
      </c>
    </row>
    <row r="3490" customFormat="false" ht="15" hidden="false" customHeight="false" outlineLevel="0" collapsed="false">
      <c r="A3490" s="103" t="n">
        <v>46304</v>
      </c>
      <c r="B3490" s="104" t="s">
        <v>32</v>
      </c>
      <c r="C3490" s="104" t="s">
        <v>432</v>
      </c>
      <c r="D3490" s="105" t="n">
        <v>1</v>
      </c>
      <c r="E3490" s="106" t="n">
        <v>185.4167</v>
      </c>
      <c r="F3490" s="107" t="n">
        <f aca="false">IF($C3490="","",$D3490*$E3490)</f>
        <v>185.4167</v>
      </c>
      <c r="G3490" s="107" t="n">
        <f aca="false">IF($C3490="","",$D3490*IFERROR(INDEX('تحليل التكلفة والسعر'!$C$2:$C$700,MATCH($C3490,'تحليل التكلفة والسعر'!$B$2:$B$700,0)),0))</f>
        <v>73.419722</v>
      </c>
      <c r="H3490" s="104" t="s">
        <v>719</v>
      </c>
    </row>
    <row r="3491" customFormat="false" ht="15" hidden="false" customHeight="false" outlineLevel="0" collapsed="false">
      <c r="A3491" s="103" t="n">
        <v>46305</v>
      </c>
      <c r="B3491" s="104" t="s">
        <v>32</v>
      </c>
      <c r="C3491" s="104" t="s">
        <v>432</v>
      </c>
      <c r="D3491" s="105" t="n">
        <v>1</v>
      </c>
      <c r="E3491" s="106" t="n">
        <v>185.4167</v>
      </c>
      <c r="F3491" s="107" t="n">
        <f aca="false">IF($C3491="","",$D3491*$E3491)</f>
        <v>185.4167</v>
      </c>
      <c r="G3491" s="107" t="n">
        <f aca="false">IF($C3491="","",$D3491*IFERROR(INDEX('تحليل التكلفة والسعر'!$C$2:$C$700,MATCH($C3491,'تحليل التكلفة والسعر'!$B$2:$B$700,0)),0))</f>
        <v>73.419722</v>
      </c>
      <c r="H3491" s="104" t="s">
        <v>719</v>
      </c>
    </row>
    <row r="3492" customFormat="false" ht="15" hidden="false" customHeight="false" outlineLevel="0" collapsed="false">
      <c r="A3492" s="103" t="n">
        <v>46306</v>
      </c>
      <c r="B3492" s="104" t="s">
        <v>32</v>
      </c>
      <c r="C3492" s="104" t="s">
        <v>432</v>
      </c>
      <c r="D3492" s="105" t="n">
        <v>1</v>
      </c>
      <c r="E3492" s="106" t="n">
        <v>185.4167</v>
      </c>
      <c r="F3492" s="107" t="n">
        <f aca="false">IF($C3492="","",$D3492*$E3492)</f>
        <v>185.4167</v>
      </c>
      <c r="G3492" s="107" t="n">
        <f aca="false">IF($C3492="","",$D3492*IFERROR(INDEX('تحليل التكلفة والسعر'!$C$2:$C$700,MATCH($C3492,'تحليل التكلفة والسعر'!$B$2:$B$700,0)),0))</f>
        <v>73.419722</v>
      </c>
      <c r="H3492" s="104" t="s">
        <v>719</v>
      </c>
    </row>
    <row r="3493" customFormat="false" ht="15" hidden="false" customHeight="false" outlineLevel="0" collapsed="false">
      <c r="A3493" s="103" t="n">
        <v>46307</v>
      </c>
      <c r="B3493" s="104" t="s">
        <v>32</v>
      </c>
      <c r="C3493" s="104" t="s">
        <v>432</v>
      </c>
      <c r="D3493" s="105" t="n">
        <v>1</v>
      </c>
      <c r="E3493" s="106" t="n">
        <v>185.4167</v>
      </c>
      <c r="F3493" s="107" t="n">
        <f aca="false">IF($C3493="","",$D3493*$E3493)</f>
        <v>185.4167</v>
      </c>
      <c r="G3493" s="107" t="n">
        <f aca="false">IF($C3493="","",$D3493*IFERROR(INDEX('تحليل التكلفة والسعر'!$C$2:$C$700,MATCH($C3493,'تحليل التكلفة والسعر'!$B$2:$B$700,0)),0))</f>
        <v>73.419722</v>
      </c>
      <c r="H3493" s="104" t="s">
        <v>719</v>
      </c>
    </row>
    <row r="3494" customFormat="false" ht="15" hidden="false" customHeight="false" outlineLevel="0" collapsed="false">
      <c r="A3494" s="103" t="n">
        <v>46296</v>
      </c>
      <c r="B3494" s="104" t="s">
        <v>32</v>
      </c>
      <c r="C3494" s="104" t="s">
        <v>410</v>
      </c>
      <c r="D3494" s="105" t="n">
        <v>1.5833</v>
      </c>
      <c r="E3494" s="106" t="n">
        <v>147.3684</v>
      </c>
      <c r="F3494" s="107" t="n">
        <f aca="false">IF($C3494="","",$D3494*$E3494)</f>
        <v>233.32838772</v>
      </c>
      <c r="G3494" s="107" t="n">
        <f aca="false">IF($C3494="","",$D3494*IFERROR(INDEX('تحليل التكلفة والسعر'!$C$2:$C$700,MATCH($C3494,'تحليل التكلفة والسعر'!$B$2:$B$700,0)),0))</f>
        <v>124.1591750676</v>
      </c>
      <c r="H3494" s="104" t="s">
        <v>719</v>
      </c>
    </row>
    <row r="3495" customFormat="false" ht="15" hidden="false" customHeight="false" outlineLevel="0" collapsed="false">
      <c r="A3495" s="103" t="n">
        <v>46297</v>
      </c>
      <c r="B3495" s="104" t="s">
        <v>32</v>
      </c>
      <c r="C3495" s="104" t="s">
        <v>410</v>
      </c>
      <c r="D3495" s="105" t="n">
        <v>1.5833</v>
      </c>
      <c r="E3495" s="106" t="n">
        <v>147.3684</v>
      </c>
      <c r="F3495" s="107" t="n">
        <f aca="false">IF($C3495="","",$D3495*$E3495)</f>
        <v>233.32838772</v>
      </c>
      <c r="G3495" s="107" t="n">
        <f aca="false">IF($C3495="","",$D3495*IFERROR(INDEX('تحليل التكلفة والسعر'!$C$2:$C$700,MATCH($C3495,'تحليل التكلفة والسعر'!$B$2:$B$700,0)),0))</f>
        <v>124.1591750676</v>
      </c>
      <c r="H3495" s="104" t="s">
        <v>719</v>
      </c>
    </row>
    <row r="3496" customFormat="false" ht="15" hidden="false" customHeight="false" outlineLevel="0" collapsed="false">
      <c r="A3496" s="103" t="n">
        <v>46298</v>
      </c>
      <c r="B3496" s="104" t="s">
        <v>32</v>
      </c>
      <c r="C3496" s="104" t="s">
        <v>410</v>
      </c>
      <c r="D3496" s="105" t="n">
        <v>1.5833</v>
      </c>
      <c r="E3496" s="106" t="n">
        <v>147.3684</v>
      </c>
      <c r="F3496" s="107" t="n">
        <f aca="false">IF($C3496="","",$D3496*$E3496)</f>
        <v>233.32838772</v>
      </c>
      <c r="G3496" s="107" t="n">
        <f aca="false">IF($C3496="","",$D3496*IFERROR(INDEX('تحليل التكلفة والسعر'!$C$2:$C$700,MATCH($C3496,'تحليل التكلفة والسعر'!$B$2:$B$700,0)),0))</f>
        <v>124.1591750676</v>
      </c>
      <c r="H3496" s="104" t="s">
        <v>719</v>
      </c>
    </row>
    <row r="3497" customFormat="false" ht="15" hidden="false" customHeight="false" outlineLevel="0" collapsed="false">
      <c r="A3497" s="103" t="n">
        <v>46299</v>
      </c>
      <c r="B3497" s="104" t="s">
        <v>32</v>
      </c>
      <c r="C3497" s="104" t="s">
        <v>410</v>
      </c>
      <c r="D3497" s="105" t="n">
        <v>1.5833</v>
      </c>
      <c r="E3497" s="106" t="n">
        <v>147.3684</v>
      </c>
      <c r="F3497" s="107" t="n">
        <f aca="false">IF($C3497="","",$D3497*$E3497)</f>
        <v>233.32838772</v>
      </c>
      <c r="G3497" s="107" t="n">
        <f aca="false">IF($C3497="","",$D3497*IFERROR(INDEX('تحليل التكلفة والسعر'!$C$2:$C$700,MATCH($C3497,'تحليل التكلفة والسعر'!$B$2:$B$700,0)),0))</f>
        <v>124.1591750676</v>
      </c>
      <c r="H3497" s="104" t="s">
        <v>719</v>
      </c>
    </row>
    <row r="3498" customFormat="false" ht="15" hidden="false" customHeight="false" outlineLevel="0" collapsed="false">
      <c r="A3498" s="103" t="n">
        <v>46300</v>
      </c>
      <c r="B3498" s="104" t="s">
        <v>32</v>
      </c>
      <c r="C3498" s="104" t="s">
        <v>410</v>
      </c>
      <c r="D3498" s="105" t="n">
        <v>1.5833</v>
      </c>
      <c r="E3498" s="106" t="n">
        <v>147.3684</v>
      </c>
      <c r="F3498" s="107" t="n">
        <f aca="false">IF($C3498="","",$D3498*$E3498)</f>
        <v>233.32838772</v>
      </c>
      <c r="G3498" s="107" t="n">
        <f aca="false">IF($C3498="","",$D3498*IFERROR(INDEX('تحليل التكلفة والسعر'!$C$2:$C$700,MATCH($C3498,'تحليل التكلفة والسعر'!$B$2:$B$700,0)),0))</f>
        <v>124.1591750676</v>
      </c>
      <c r="H3498" s="104" t="s">
        <v>719</v>
      </c>
    </row>
    <row r="3499" customFormat="false" ht="15" hidden="false" customHeight="false" outlineLevel="0" collapsed="false">
      <c r="A3499" s="103" t="n">
        <v>46301</v>
      </c>
      <c r="B3499" s="104" t="s">
        <v>32</v>
      </c>
      <c r="C3499" s="104" t="s">
        <v>410</v>
      </c>
      <c r="D3499" s="105" t="n">
        <v>1.5833</v>
      </c>
      <c r="E3499" s="106" t="n">
        <v>147.3684</v>
      </c>
      <c r="F3499" s="107" t="n">
        <f aca="false">IF($C3499="","",$D3499*$E3499)</f>
        <v>233.32838772</v>
      </c>
      <c r="G3499" s="107" t="n">
        <f aca="false">IF($C3499="","",$D3499*IFERROR(INDEX('تحليل التكلفة والسعر'!$C$2:$C$700,MATCH($C3499,'تحليل التكلفة والسعر'!$B$2:$B$700,0)),0))</f>
        <v>124.1591750676</v>
      </c>
      <c r="H3499" s="104" t="s">
        <v>719</v>
      </c>
    </row>
    <row r="3500" customFormat="false" ht="15" hidden="false" customHeight="false" outlineLevel="0" collapsed="false">
      <c r="A3500" s="103" t="n">
        <v>46302</v>
      </c>
      <c r="B3500" s="104" t="s">
        <v>32</v>
      </c>
      <c r="C3500" s="104" t="s">
        <v>410</v>
      </c>
      <c r="D3500" s="105" t="n">
        <v>1.5833</v>
      </c>
      <c r="E3500" s="106" t="n">
        <v>147.3684</v>
      </c>
      <c r="F3500" s="107" t="n">
        <f aca="false">IF($C3500="","",$D3500*$E3500)</f>
        <v>233.32838772</v>
      </c>
      <c r="G3500" s="107" t="n">
        <f aca="false">IF($C3500="","",$D3500*IFERROR(INDEX('تحليل التكلفة والسعر'!$C$2:$C$700,MATCH($C3500,'تحليل التكلفة والسعر'!$B$2:$B$700,0)),0))</f>
        <v>124.1591750676</v>
      </c>
      <c r="H3500" s="104" t="s">
        <v>719</v>
      </c>
    </row>
    <row r="3501" customFormat="false" ht="15" hidden="false" customHeight="false" outlineLevel="0" collapsed="false">
      <c r="A3501" s="103" t="n">
        <v>46303</v>
      </c>
      <c r="B3501" s="104" t="s">
        <v>32</v>
      </c>
      <c r="C3501" s="104" t="s">
        <v>410</v>
      </c>
      <c r="D3501" s="105" t="n">
        <v>1.5833</v>
      </c>
      <c r="E3501" s="106" t="n">
        <v>147.3684</v>
      </c>
      <c r="F3501" s="107" t="n">
        <f aca="false">IF($C3501="","",$D3501*$E3501)</f>
        <v>233.32838772</v>
      </c>
      <c r="G3501" s="107" t="n">
        <f aca="false">IF($C3501="","",$D3501*IFERROR(INDEX('تحليل التكلفة والسعر'!$C$2:$C$700,MATCH($C3501,'تحليل التكلفة والسعر'!$B$2:$B$700,0)),0))</f>
        <v>124.1591750676</v>
      </c>
      <c r="H3501" s="104" t="s">
        <v>719</v>
      </c>
    </row>
    <row r="3502" customFormat="false" ht="15" hidden="false" customHeight="false" outlineLevel="0" collapsed="false">
      <c r="A3502" s="103" t="n">
        <v>46304</v>
      </c>
      <c r="B3502" s="104" t="s">
        <v>32</v>
      </c>
      <c r="C3502" s="104" t="s">
        <v>410</v>
      </c>
      <c r="D3502" s="105" t="n">
        <v>1.5833</v>
      </c>
      <c r="E3502" s="106" t="n">
        <v>147.3684</v>
      </c>
      <c r="F3502" s="107" t="n">
        <f aca="false">IF($C3502="","",$D3502*$E3502)</f>
        <v>233.32838772</v>
      </c>
      <c r="G3502" s="107" t="n">
        <f aca="false">IF($C3502="","",$D3502*IFERROR(INDEX('تحليل التكلفة والسعر'!$C$2:$C$700,MATCH($C3502,'تحليل التكلفة والسعر'!$B$2:$B$700,0)),0))</f>
        <v>124.1591750676</v>
      </c>
      <c r="H3502" s="104" t="s">
        <v>719</v>
      </c>
    </row>
    <row r="3503" customFormat="false" ht="15" hidden="false" customHeight="false" outlineLevel="0" collapsed="false">
      <c r="A3503" s="103" t="n">
        <v>46305</v>
      </c>
      <c r="B3503" s="104" t="s">
        <v>32</v>
      </c>
      <c r="C3503" s="104" t="s">
        <v>410</v>
      </c>
      <c r="D3503" s="105" t="n">
        <v>1.5833</v>
      </c>
      <c r="E3503" s="106" t="n">
        <v>147.3684</v>
      </c>
      <c r="F3503" s="107" t="n">
        <f aca="false">IF($C3503="","",$D3503*$E3503)</f>
        <v>233.32838772</v>
      </c>
      <c r="G3503" s="107" t="n">
        <f aca="false">IF($C3503="","",$D3503*IFERROR(INDEX('تحليل التكلفة والسعر'!$C$2:$C$700,MATCH($C3503,'تحليل التكلفة والسعر'!$B$2:$B$700,0)),0))</f>
        <v>124.1591750676</v>
      </c>
      <c r="H3503" s="104" t="s">
        <v>719</v>
      </c>
    </row>
    <row r="3504" customFormat="false" ht="15" hidden="false" customHeight="false" outlineLevel="0" collapsed="false">
      <c r="A3504" s="103" t="n">
        <v>46306</v>
      </c>
      <c r="B3504" s="104" t="s">
        <v>32</v>
      </c>
      <c r="C3504" s="104" t="s">
        <v>410</v>
      </c>
      <c r="D3504" s="105" t="n">
        <v>1.5833</v>
      </c>
      <c r="E3504" s="106" t="n">
        <v>147.3684</v>
      </c>
      <c r="F3504" s="107" t="n">
        <f aca="false">IF($C3504="","",$D3504*$E3504)</f>
        <v>233.32838772</v>
      </c>
      <c r="G3504" s="107" t="n">
        <f aca="false">IF($C3504="","",$D3504*IFERROR(INDEX('تحليل التكلفة والسعر'!$C$2:$C$700,MATCH($C3504,'تحليل التكلفة والسعر'!$B$2:$B$700,0)),0))</f>
        <v>124.1591750676</v>
      </c>
      <c r="H3504" s="104" t="s">
        <v>719</v>
      </c>
    </row>
    <row r="3505" customFormat="false" ht="15" hidden="false" customHeight="false" outlineLevel="0" collapsed="false">
      <c r="A3505" s="103" t="n">
        <v>46307</v>
      </c>
      <c r="B3505" s="104" t="s">
        <v>32</v>
      </c>
      <c r="C3505" s="104" t="s">
        <v>410</v>
      </c>
      <c r="D3505" s="105" t="n">
        <v>1.5833</v>
      </c>
      <c r="E3505" s="106" t="n">
        <v>147.3684</v>
      </c>
      <c r="F3505" s="107" t="n">
        <f aca="false">IF($C3505="","",$D3505*$E3505)</f>
        <v>233.32838772</v>
      </c>
      <c r="G3505" s="107" t="n">
        <f aca="false">IF($C3505="","",$D3505*IFERROR(INDEX('تحليل التكلفة والسعر'!$C$2:$C$700,MATCH($C3505,'تحليل التكلفة والسعر'!$B$2:$B$700,0)),0))</f>
        <v>124.1591750676</v>
      </c>
      <c r="H3505" s="104" t="s">
        <v>719</v>
      </c>
    </row>
    <row r="3506" customFormat="false" ht="15" hidden="false" customHeight="false" outlineLevel="0" collapsed="false">
      <c r="A3506" s="103" t="n">
        <v>46296</v>
      </c>
      <c r="B3506" s="104" t="s">
        <v>32</v>
      </c>
      <c r="C3506" s="104" t="s">
        <v>522</v>
      </c>
      <c r="D3506" s="105" t="n">
        <v>0.6667</v>
      </c>
      <c r="E3506" s="106" t="n">
        <v>218.75</v>
      </c>
      <c r="F3506" s="107" t="n">
        <f aca="false">IF($C3506="","",$D3506*$E3506)</f>
        <v>145.840625</v>
      </c>
      <c r="G3506" s="107" t="n">
        <f aca="false">IF($C3506="","",$D3506*IFERROR(INDEX('تحليل التكلفة والسعر'!$C$2:$C$700,MATCH($C3506,'تحليل التكلفة والسعر'!$B$2:$B$700,0)),0))</f>
        <v>75.75812105</v>
      </c>
      <c r="H3506" s="104" t="s">
        <v>719</v>
      </c>
    </row>
    <row r="3507" customFormat="false" ht="15" hidden="false" customHeight="false" outlineLevel="0" collapsed="false">
      <c r="A3507" s="103" t="n">
        <v>46297</v>
      </c>
      <c r="B3507" s="104" t="s">
        <v>32</v>
      </c>
      <c r="C3507" s="104" t="s">
        <v>522</v>
      </c>
      <c r="D3507" s="105" t="n">
        <v>0.6667</v>
      </c>
      <c r="E3507" s="106" t="n">
        <v>218.75</v>
      </c>
      <c r="F3507" s="107" t="n">
        <f aca="false">IF($C3507="","",$D3507*$E3507)</f>
        <v>145.840625</v>
      </c>
      <c r="G3507" s="107" t="n">
        <f aca="false">IF($C3507="","",$D3507*IFERROR(INDEX('تحليل التكلفة والسعر'!$C$2:$C$700,MATCH($C3507,'تحليل التكلفة والسعر'!$B$2:$B$700,0)),0))</f>
        <v>75.75812105</v>
      </c>
      <c r="H3507" s="104" t="s">
        <v>719</v>
      </c>
    </row>
    <row r="3508" customFormat="false" ht="15" hidden="false" customHeight="false" outlineLevel="0" collapsed="false">
      <c r="A3508" s="103" t="n">
        <v>46298</v>
      </c>
      <c r="B3508" s="104" t="s">
        <v>32</v>
      </c>
      <c r="C3508" s="104" t="s">
        <v>522</v>
      </c>
      <c r="D3508" s="105" t="n">
        <v>0.6667</v>
      </c>
      <c r="E3508" s="106" t="n">
        <v>218.75</v>
      </c>
      <c r="F3508" s="107" t="n">
        <f aca="false">IF($C3508="","",$D3508*$E3508)</f>
        <v>145.840625</v>
      </c>
      <c r="G3508" s="107" t="n">
        <f aca="false">IF($C3508="","",$D3508*IFERROR(INDEX('تحليل التكلفة والسعر'!$C$2:$C$700,MATCH($C3508,'تحليل التكلفة والسعر'!$B$2:$B$700,0)),0))</f>
        <v>75.75812105</v>
      </c>
      <c r="H3508" s="104" t="s">
        <v>719</v>
      </c>
    </row>
    <row r="3509" customFormat="false" ht="15" hidden="false" customHeight="false" outlineLevel="0" collapsed="false">
      <c r="A3509" s="103" t="n">
        <v>46299</v>
      </c>
      <c r="B3509" s="104" t="s">
        <v>32</v>
      </c>
      <c r="C3509" s="104" t="s">
        <v>522</v>
      </c>
      <c r="D3509" s="105" t="n">
        <v>0.6667</v>
      </c>
      <c r="E3509" s="106" t="n">
        <v>218.75</v>
      </c>
      <c r="F3509" s="107" t="n">
        <f aca="false">IF($C3509="","",$D3509*$E3509)</f>
        <v>145.840625</v>
      </c>
      <c r="G3509" s="107" t="n">
        <f aca="false">IF($C3509="","",$D3509*IFERROR(INDEX('تحليل التكلفة والسعر'!$C$2:$C$700,MATCH($C3509,'تحليل التكلفة والسعر'!$B$2:$B$700,0)),0))</f>
        <v>75.75812105</v>
      </c>
      <c r="H3509" s="104" t="s">
        <v>719</v>
      </c>
    </row>
    <row r="3510" customFormat="false" ht="15" hidden="false" customHeight="false" outlineLevel="0" collapsed="false">
      <c r="A3510" s="103" t="n">
        <v>46300</v>
      </c>
      <c r="B3510" s="104" t="s">
        <v>32</v>
      </c>
      <c r="C3510" s="104" t="s">
        <v>522</v>
      </c>
      <c r="D3510" s="105" t="n">
        <v>0.6667</v>
      </c>
      <c r="E3510" s="106" t="n">
        <v>218.75</v>
      </c>
      <c r="F3510" s="107" t="n">
        <f aca="false">IF($C3510="","",$D3510*$E3510)</f>
        <v>145.840625</v>
      </c>
      <c r="G3510" s="107" t="n">
        <f aca="false">IF($C3510="","",$D3510*IFERROR(INDEX('تحليل التكلفة والسعر'!$C$2:$C$700,MATCH($C3510,'تحليل التكلفة والسعر'!$B$2:$B$700,0)),0))</f>
        <v>75.75812105</v>
      </c>
      <c r="H3510" s="104" t="s">
        <v>719</v>
      </c>
    </row>
    <row r="3511" customFormat="false" ht="15" hidden="false" customHeight="false" outlineLevel="0" collapsed="false">
      <c r="A3511" s="103" t="n">
        <v>46301</v>
      </c>
      <c r="B3511" s="104" t="s">
        <v>32</v>
      </c>
      <c r="C3511" s="104" t="s">
        <v>522</v>
      </c>
      <c r="D3511" s="105" t="n">
        <v>0.6667</v>
      </c>
      <c r="E3511" s="106" t="n">
        <v>218.75</v>
      </c>
      <c r="F3511" s="107" t="n">
        <f aca="false">IF($C3511="","",$D3511*$E3511)</f>
        <v>145.840625</v>
      </c>
      <c r="G3511" s="107" t="n">
        <f aca="false">IF($C3511="","",$D3511*IFERROR(INDEX('تحليل التكلفة والسعر'!$C$2:$C$700,MATCH($C3511,'تحليل التكلفة والسعر'!$B$2:$B$700,0)),0))</f>
        <v>75.75812105</v>
      </c>
      <c r="H3511" s="104" t="s">
        <v>719</v>
      </c>
    </row>
    <row r="3512" customFormat="false" ht="15" hidden="false" customHeight="false" outlineLevel="0" collapsed="false">
      <c r="A3512" s="103" t="n">
        <v>46302</v>
      </c>
      <c r="B3512" s="104" t="s">
        <v>32</v>
      </c>
      <c r="C3512" s="104" t="s">
        <v>522</v>
      </c>
      <c r="D3512" s="105" t="n">
        <v>0.6667</v>
      </c>
      <c r="E3512" s="106" t="n">
        <v>218.75</v>
      </c>
      <c r="F3512" s="107" t="n">
        <f aca="false">IF($C3512="","",$D3512*$E3512)</f>
        <v>145.840625</v>
      </c>
      <c r="G3512" s="107" t="n">
        <f aca="false">IF($C3512="","",$D3512*IFERROR(INDEX('تحليل التكلفة والسعر'!$C$2:$C$700,MATCH($C3512,'تحليل التكلفة والسعر'!$B$2:$B$700,0)),0))</f>
        <v>75.75812105</v>
      </c>
      <c r="H3512" s="104" t="s">
        <v>719</v>
      </c>
    </row>
    <row r="3513" customFormat="false" ht="15" hidden="false" customHeight="false" outlineLevel="0" collapsed="false">
      <c r="A3513" s="103" t="n">
        <v>46303</v>
      </c>
      <c r="B3513" s="104" t="s">
        <v>32</v>
      </c>
      <c r="C3513" s="104" t="s">
        <v>522</v>
      </c>
      <c r="D3513" s="105" t="n">
        <v>0.6667</v>
      </c>
      <c r="E3513" s="106" t="n">
        <v>218.75</v>
      </c>
      <c r="F3513" s="107" t="n">
        <f aca="false">IF($C3513="","",$D3513*$E3513)</f>
        <v>145.840625</v>
      </c>
      <c r="G3513" s="107" t="n">
        <f aca="false">IF($C3513="","",$D3513*IFERROR(INDEX('تحليل التكلفة والسعر'!$C$2:$C$700,MATCH($C3513,'تحليل التكلفة والسعر'!$B$2:$B$700,0)),0))</f>
        <v>75.75812105</v>
      </c>
      <c r="H3513" s="104" t="s">
        <v>719</v>
      </c>
    </row>
    <row r="3514" customFormat="false" ht="15" hidden="false" customHeight="false" outlineLevel="0" collapsed="false">
      <c r="A3514" s="103" t="n">
        <v>46304</v>
      </c>
      <c r="B3514" s="104" t="s">
        <v>32</v>
      </c>
      <c r="C3514" s="104" t="s">
        <v>522</v>
      </c>
      <c r="D3514" s="105" t="n">
        <v>0.6667</v>
      </c>
      <c r="E3514" s="106" t="n">
        <v>218.75</v>
      </c>
      <c r="F3514" s="107" t="n">
        <f aca="false">IF($C3514="","",$D3514*$E3514)</f>
        <v>145.840625</v>
      </c>
      <c r="G3514" s="107" t="n">
        <f aca="false">IF($C3514="","",$D3514*IFERROR(INDEX('تحليل التكلفة والسعر'!$C$2:$C$700,MATCH($C3514,'تحليل التكلفة والسعر'!$B$2:$B$700,0)),0))</f>
        <v>75.75812105</v>
      </c>
      <c r="H3514" s="104" t="s">
        <v>719</v>
      </c>
    </row>
    <row r="3515" customFormat="false" ht="15" hidden="false" customHeight="false" outlineLevel="0" collapsed="false">
      <c r="A3515" s="103" t="n">
        <v>46305</v>
      </c>
      <c r="B3515" s="104" t="s">
        <v>32</v>
      </c>
      <c r="C3515" s="104" t="s">
        <v>522</v>
      </c>
      <c r="D3515" s="105" t="n">
        <v>0.6667</v>
      </c>
      <c r="E3515" s="106" t="n">
        <v>218.75</v>
      </c>
      <c r="F3515" s="107" t="n">
        <f aca="false">IF($C3515="","",$D3515*$E3515)</f>
        <v>145.840625</v>
      </c>
      <c r="G3515" s="107" t="n">
        <f aca="false">IF($C3515="","",$D3515*IFERROR(INDEX('تحليل التكلفة والسعر'!$C$2:$C$700,MATCH($C3515,'تحليل التكلفة والسعر'!$B$2:$B$700,0)),0))</f>
        <v>75.75812105</v>
      </c>
      <c r="H3515" s="104" t="s">
        <v>719</v>
      </c>
    </row>
    <row r="3516" customFormat="false" ht="15" hidden="false" customHeight="false" outlineLevel="0" collapsed="false">
      <c r="A3516" s="103" t="n">
        <v>46306</v>
      </c>
      <c r="B3516" s="104" t="s">
        <v>32</v>
      </c>
      <c r="C3516" s="104" t="s">
        <v>522</v>
      </c>
      <c r="D3516" s="105" t="n">
        <v>0.6667</v>
      </c>
      <c r="E3516" s="106" t="n">
        <v>218.75</v>
      </c>
      <c r="F3516" s="107" t="n">
        <f aca="false">IF($C3516="","",$D3516*$E3516)</f>
        <v>145.840625</v>
      </c>
      <c r="G3516" s="107" t="n">
        <f aca="false">IF($C3516="","",$D3516*IFERROR(INDEX('تحليل التكلفة والسعر'!$C$2:$C$700,MATCH($C3516,'تحليل التكلفة والسعر'!$B$2:$B$700,0)),0))</f>
        <v>75.75812105</v>
      </c>
      <c r="H3516" s="104" t="s">
        <v>719</v>
      </c>
    </row>
    <row r="3517" customFormat="false" ht="15" hidden="false" customHeight="false" outlineLevel="0" collapsed="false">
      <c r="A3517" s="103" t="n">
        <v>46307</v>
      </c>
      <c r="B3517" s="104" t="s">
        <v>32</v>
      </c>
      <c r="C3517" s="104" t="s">
        <v>522</v>
      </c>
      <c r="D3517" s="105" t="n">
        <v>0.6667</v>
      </c>
      <c r="E3517" s="106" t="n">
        <v>218.75</v>
      </c>
      <c r="F3517" s="107" t="n">
        <f aca="false">IF($C3517="","",$D3517*$E3517)</f>
        <v>145.840625</v>
      </c>
      <c r="G3517" s="107" t="n">
        <f aca="false">IF($C3517="","",$D3517*IFERROR(INDEX('تحليل التكلفة والسعر'!$C$2:$C$700,MATCH($C3517,'تحليل التكلفة والسعر'!$B$2:$B$700,0)),0))</f>
        <v>75.75812105</v>
      </c>
      <c r="H3517" s="104" t="s">
        <v>719</v>
      </c>
    </row>
    <row r="3518" customFormat="false" ht="15" hidden="false" customHeight="false" outlineLevel="0" collapsed="false">
      <c r="A3518" s="103" t="n">
        <v>46296</v>
      </c>
      <c r="B3518" s="104" t="s">
        <v>32</v>
      </c>
      <c r="C3518" s="104" t="s">
        <v>507</v>
      </c>
      <c r="D3518" s="105" t="n">
        <v>6.0833</v>
      </c>
      <c r="E3518" s="106" t="n">
        <v>139.2466</v>
      </c>
      <c r="F3518" s="107" t="n">
        <f aca="false">IF($C3518="","",$D3518*$E3518)</f>
        <v>847.07884178</v>
      </c>
      <c r="G3518" s="107" t="n">
        <f aca="false">IF($C3518="","",$D3518*IFERROR(INDEX('تحليل التكلفة والسعر'!$C$2:$C$700,MATCH($C3518,'تحليل التكلفة والسعر'!$B$2:$B$700,0)),0))</f>
        <v>480.86357345</v>
      </c>
      <c r="H3518" s="104" t="s">
        <v>719</v>
      </c>
    </row>
    <row r="3519" customFormat="false" ht="15" hidden="false" customHeight="false" outlineLevel="0" collapsed="false">
      <c r="A3519" s="103" t="n">
        <v>46297</v>
      </c>
      <c r="B3519" s="104" t="s">
        <v>32</v>
      </c>
      <c r="C3519" s="104" t="s">
        <v>507</v>
      </c>
      <c r="D3519" s="105" t="n">
        <v>6.0833</v>
      </c>
      <c r="E3519" s="106" t="n">
        <v>139.2466</v>
      </c>
      <c r="F3519" s="107" t="n">
        <f aca="false">IF($C3519="","",$D3519*$E3519)</f>
        <v>847.07884178</v>
      </c>
      <c r="G3519" s="107" t="n">
        <f aca="false">IF($C3519="","",$D3519*IFERROR(INDEX('تحليل التكلفة والسعر'!$C$2:$C$700,MATCH($C3519,'تحليل التكلفة والسعر'!$B$2:$B$700,0)),0))</f>
        <v>480.86357345</v>
      </c>
      <c r="H3519" s="104" t="s">
        <v>719</v>
      </c>
    </row>
    <row r="3520" customFormat="false" ht="15" hidden="false" customHeight="false" outlineLevel="0" collapsed="false">
      <c r="A3520" s="103" t="n">
        <v>46298</v>
      </c>
      <c r="B3520" s="104" t="s">
        <v>32</v>
      </c>
      <c r="C3520" s="104" t="s">
        <v>507</v>
      </c>
      <c r="D3520" s="105" t="n">
        <v>6.0833</v>
      </c>
      <c r="E3520" s="106" t="n">
        <v>139.2466</v>
      </c>
      <c r="F3520" s="107" t="n">
        <f aca="false">IF($C3520="","",$D3520*$E3520)</f>
        <v>847.07884178</v>
      </c>
      <c r="G3520" s="107" t="n">
        <f aca="false">IF($C3520="","",$D3520*IFERROR(INDEX('تحليل التكلفة والسعر'!$C$2:$C$700,MATCH($C3520,'تحليل التكلفة والسعر'!$B$2:$B$700,0)),0))</f>
        <v>480.86357345</v>
      </c>
      <c r="H3520" s="104" t="s">
        <v>719</v>
      </c>
    </row>
    <row r="3521" customFormat="false" ht="15" hidden="false" customHeight="false" outlineLevel="0" collapsed="false">
      <c r="A3521" s="103" t="n">
        <v>46299</v>
      </c>
      <c r="B3521" s="104" t="s">
        <v>32</v>
      </c>
      <c r="C3521" s="104" t="s">
        <v>507</v>
      </c>
      <c r="D3521" s="105" t="n">
        <v>6.0833</v>
      </c>
      <c r="E3521" s="106" t="n">
        <v>139.2466</v>
      </c>
      <c r="F3521" s="107" t="n">
        <f aca="false">IF($C3521="","",$D3521*$E3521)</f>
        <v>847.07884178</v>
      </c>
      <c r="G3521" s="107" t="n">
        <f aca="false">IF($C3521="","",$D3521*IFERROR(INDEX('تحليل التكلفة والسعر'!$C$2:$C$700,MATCH($C3521,'تحليل التكلفة والسعر'!$B$2:$B$700,0)),0))</f>
        <v>480.86357345</v>
      </c>
      <c r="H3521" s="104" t="s">
        <v>719</v>
      </c>
    </row>
    <row r="3522" customFormat="false" ht="15" hidden="false" customHeight="false" outlineLevel="0" collapsed="false">
      <c r="A3522" s="103" t="n">
        <v>46300</v>
      </c>
      <c r="B3522" s="104" t="s">
        <v>32</v>
      </c>
      <c r="C3522" s="104" t="s">
        <v>507</v>
      </c>
      <c r="D3522" s="105" t="n">
        <v>6.0833</v>
      </c>
      <c r="E3522" s="106" t="n">
        <v>139.2466</v>
      </c>
      <c r="F3522" s="107" t="n">
        <f aca="false">IF($C3522="","",$D3522*$E3522)</f>
        <v>847.07884178</v>
      </c>
      <c r="G3522" s="107" t="n">
        <f aca="false">IF($C3522="","",$D3522*IFERROR(INDEX('تحليل التكلفة والسعر'!$C$2:$C$700,MATCH($C3522,'تحليل التكلفة والسعر'!$B$2:$B$700,0)),0))</f>
        <v>480.86357345</v>
      </c>
      <c r="H3522" s="104" t="s">
        <v>719</v>
      </c>
    </row>
    <row r="3523" customFormat="false" ht="15" hidden="false" customHeight="false" outlineLevel="0" collapsed="false">
      <c r="A3523" s="103" t="n">
        <v>46301</v>
      </c>
      <c r="B3523" s="104" t="s">
        <v>32</v>
      </c>
      <c r="C3523" s="104" t="s">
        <v>507</v>
      </c>
      <c r="D3523" s="105" t="n">
        <v>6.0833</v>
      </c>
      <c r="E3523" s="106" t="n">
        <v>139.2466</v>
      </c>
      <c r="F3523" s="107" t="n">
        <f aca="false">IF($C3523="","",$D3523*$E3523)</f>
        <v>847.07884178</v>
      </c>
      <c r="G3523" s="107" t="n">
        <f aca="false">IF($C3523="","",$D3523*IFERROR(INDEX('تحليل التكلفة والسعر'!$C$2:$C$700,MATCH($C3523,'تحليل التكلفة والسعر'!$B$2:$B$700,0)),0))</f>
        <v>480.86357345</v>
      </c>
      <c r="H3523" s="104" t="s">
        <v>719</v>
      </c>
    </row>
    <row r="3524" customFormat="false" ht="15" hidden="false" customHeight="false" outlineLevel="0" collapsed="false">
      <c r="A3524" s="103" t="n">
        <v>46302</v>
      </c>
      <c r="B3524" s="104" t="s">
        <v>32</v>
      </c>
      <c r="C3524" s="104" t="s">
        <v>507</v>
      </c>
      <c r="D3524" s="105" t="n">
        <v>6.0833</v>
      </c>
      <c r="E3524" s="106" t="n">
        <v>139.2466</v>
      </c>
      <c r="F3524" s="107" t="n">
        <f aca="false">IF($C3524="","",$D3524*$E3524)</f>
        <v>847.07884178</v>
      </c>
      <c r="G3524" s="107" t="n">
        <f aca="false">IF($C3524="","",$D3524*IFERROR(INDEX('تحليل التكلفة والسعر'!$C$2:$C$700,MATCH($C3524,'تحليل التكلفة والسعر'!$B$2:$B$700,0)),0))</f>
        <v>480.86357345</v>
      </c>
      <c r="H3524" s="104" t="s">
        <v>719</v>
      </c>
    </row>
    <row r="3525" customFormat="false" ht="15" hidden="false" customHeight="false" outlineLevel="0" collapsed="false">
      <c r="A3525" s="103" t="n">
        <v>46303</v>
      </c>
      <c r="B3525" s="104" t="s">
        <v>32</v>
      </c>
      <c r="C3525" s="104" t="s">
        <v>507</v>
      </c>
      <c r="D3525" s="105" t="n">
        <v>6.0833</v>
      </c>
      <c r="E3525" s="106" t="n">
        <v>139.2466</v>
      </c>
      <c r="F3525" s="107" t="n">
        <f aca="false">IF($C3525="","",$D3525*$E3525)</f>
        <v>847.07884178</v>
      </c>
      <c r="G3525" s="107" t="n">
        <f aca="false">IF($C3525="","",$D3525*IFERROR(INDEX('تحليل التكلفة والسعر'!$C$2:$C$700,MATCH($C3525,'تحليل التكلفة والسعر'!$B$2:$B$700,0)),0))</f>
        <v>480.86357345</v>
      </c>
      <c r="H3525" s="104" t="s">
        <v>719</v>
      </c>
    </row>
    <row r="3526" customFormat="false" ht="15" hidden="false" customHeight="false" outlineLevel="0" collapsed="false">
      <c r="A3526" s="103" t="n">
        <v>46304</v>
      </c>
      <c r="B3526" s="104" t="s">
        <v>32</v>
      </c>
      <c r="C3526" s="104" t="s">
        <v>507</v>
      </c>
      <c r="D3526" s="105" t="n">
        <v>6.0833</v>
      </c>
      <c r="E3526" s="106" t="n">
        <v>139.2466</v>
      </c>
      <c r="F3526" s="107" t="n">
        <f aca="false">IF($C3526="","",$D3526*$E3526)</f>
        <v>847.07884178</v>
      </c>
      <c r="G3526" s="107" t="n">
        <f aca="false">IF($C3526="","",$D3526*IFERROR(INDEX('تحليل التكلفة والسعر'!$C$2:$C$700,MATCH($C3526,'تحليل التكلفة والسعر'!$B$2:$B$700,0)),0))</f>
        <v>480.86357345</v>
      </c>
      <c r="H3526" s="104" t="s">
        <v>719</v>
      </c>
    </row>
    <row r="3527" customFormat="false" ht="15" hidden="false" customHeight="false" outlineLevel="0" collapsed="false">
      <c r="A3527" s="103" t="n">
        <v>46305</v>
      </c>
      <c r="B3527" s="104" t="s">
        <v>32</v>
      </c>
      <c r="C3527" s="104" t="s">
        <v>507</v>
      </c>
      <c r="D3527" s="105" t="n">
        <v>6.0833</v>
      </c>
      <c r="E3527" s="106" t="n">
        <v>139.2466</v>
      </c>
      <c r="F3527" s="107" t="n">
        <f aca="false">IF($C3527="","",$D3527*$E3527)</f>
        <v>847.07884178</v>
      </c>
      <c r="G3527" s="107" t="n">
        <f aca="false">IF($C3527="","",$D3527*IFERROR(INDEX('تحليل التكلفة والسعر'!$C$2:$C$700,MATCH($C3527,'تحليل التكلفة والسعر'!$B$2:$B$700,0)),0))</f>
        <v>480.86357345</v>
      </c>
      <c r="H3527" s="104" t="s">
        <v>719</v>
      </c>
    </row>
    <row r="3528" customFormat="false" ht="15" hidden="false" customHeight="false" outlineLevel="0" collapsed="false">
      <c r="A3528" s="103" t="n">
        <v>46306</v>
      </c>
      <c r="B3528" s="104" t="s">
        <v>32</v>
      </c>
      <c r="C3528" s="104" t="s">
        <v>507</v>
      </c>
      <c r="D3528" s="105" t="n">
        <v>6.0833</v>
      </c>
      <c r="E3528" s="106" t="n">
        <v>139.2466</v>
      </c>
      <c r="F3528" s="107" t="n">
        <f aca="false">IF($C3528="","",$D3528*$E3528)</f>
        <v>847.07884178</v>
      </c>
      <c r="G3528" s="107" t="n">
        <f aca="false">IF($C3528="","",$D3528*IFERROR(INDEX('تحليل التكلفة والسعر'!$C$2:$C$700,MATCH($C3528,'تحليل التكلفة والسعر'!$B$2:$B$700,0)),0))</f>
        <v>480.86357345</v>
      </c>
      <c r="H3528" s="104" t="s">
        <v>719</v>
      </c>
    </row>
    <row r="3529" customFormat="false" ht="15" hidden="false" customHeight="false" outlineLevel="0" collapsed="false">
      <c r="A3529" s="103" t="n">
        <v>46307</v>
      </c>
      <c r="B3529" s="104" t="s">
        <v>32</v>
      </c>
      <c r="C3529" s="104" t="s">
        <v>507</v>
      </c>
      <c r="D3529" s="105" t="n">
        <v>6.0833</v>
      </c>
      <c r="E3529" s="106" t="n">
        <v>139.2466</v>
      </c>
      <c r="F3529" s="107" t="n">
        <f aca="false">IF($C3529="","",$D3529*$E3529)</f>
        <v>847.07884178</v>
      </c>
      <c r="G3529" s="107" t="n">
        <f aca="false">IF($C3529="","",$D3529*IFERROR(INDEX('تحليل التكلفة والسعر'!$C$2:$C$700,MATCH($C3529,'تحليل التكلفة والسعر'!$B$2:$B$700,0)),0))</f>
        <v>480.86357345</v>
      </c>
      <c r="H3529" s="104" t="s">
        <v>719</v>
      </c>
    </row>
    <row r="3530" customFormat="false" ht="15" hidden="false" customHeight="false" outlineLevel="0" collapsed="false">
      <c r="A3530" s="103" t="n">
        <v>46296</v>
      </c>
      <c r="B3530" s="104" t="s">
        <v>32</v>
      </c>
      <c r="C3530" s="104" t="s">
        <v>476</v>
      </c>
      <c r="D3530" s="105" t="n">
        <v>0.3333</v>
      </c>
      <c r="E3530" s="106" t="n">
        <v>330</v>
      </c>
      <c r="F3530" s="107" t="n">
        <f aca="false">IF($C3530="","",$D3530*$E3530)</f>
        <v>109.989</v>
      </c>
      <c r="G3530" s="107" t="n">
        <f aca="false">IF($C3530="","",$D3530*IFERROR(INDEX('تحليل التكلفة والسعر'!$C$2:$C$700,MATCH($C3530,'تحليل التكلفة والسعر'!$B$2:$B$700,0)),0))</f>
        <v>52.76079006</v>
      </c>
      <c r="H3530" s="104" t="s">
        <v>719</v>
      </c>
    </row>
    <row r="3531" customFormat="false" ht="15" hidden="false" customHeight="false" outlineLevel="0" collapsed="false">
      <c r="A3531" s="103" t="n">
        <v>46297</v>
      </c>
      <c r="B3531" s="104" t="s">
        <v>32</v>
      </c>
      <c r="C3531" s="104" t="s">
        <v>476</v>
      </c>
      <c r="D3531" s="105" t="n">
        <v>0.3333</v>
      </c>
      <c r="E3531" s="106" t="n">
        <v>330</v>
      </c>
      <c r="F3531" s="107" t="n">
        <f aca="false">IF($C3531="","",$D3531*$E3531)</f>
        <v>109.989</v>
      </c>
      <c r="G3531" s="107" t="n">
        <f aca="false">IF($C3531="","",$D3531*IFERROR(INDEX('تحليل التكلفة والسعر'!$C$2:$C$700,MATCH($C3531,'تحليل التكلفة والسعر'!$B$2:$B$700,0)),0))</f>
        <v>52.76079006</v>
      </c>
      <c r="H3531" s="104" t="s">
        <v>719</v>
      </c>
    </row>
    <row r="3532" customFormat="false" ht="15" hidden="false" customHeight="false" outlineLevel="0" collapsed="false">
      <c r="A3532" s="103" t="n">
        <v>46298</v>
      </c>
      <c r="B3532" s="104" t="s">
        <v>32</v>
      </c>
      <c r="C3532" s="104" t="s">
        <v>476</v>
      </c>
      <c r="D3532" s="105" t="n">
        <v>0.3333</v>
      </c>
      <c r="E3532" s="106" t="n">
        <v>330</v>
      </c>
      <c r="F3532" s="107" t="n">
        <f aca="false">IF($C3532="","",$D3532*$E3532)</f>
        <v>109.989</v>
      </c>
      <c r="G3532" s="107" t="n">
        <f aca="false">IF($C3532="","",$D3532*IFERROR(INDEX('تحليل التكلفة والسعر'!$C$2:$C$700,MATCH($C3532,'تحليل التكلفة والسعر'!$B$2:$B$700,0)),0))</f>
        <v>52.76079006</v>
      </c>
      <c r="H3532" s="104" t="s">
        <v>719</v>
      </c>
    </row>
    <row r="3533" customFormat="false" ht="15" hidden="false" customHeight="false" outlineLevel="0" collapsed="false">
      <c r="A3533" s="103" t="n">
        <v>46299</v>
      </c>
      <c r="B3533" s="104" t="s">
        <v>32</v>
      </c>
      <c r="C3533" s="104" t="s">
        <v>476</v>
      </c>
      <c r="D3533" s="105" t="n">
        <v>0.3333</v>
      </c>
      <c r="E3533" s="106" t="n">
        <v>330</v>
      </c>
      <c r="F3533" s="107" t="n">
        <f aca="false">IF($C3533="","",$D3533*$E3533)</f>
        <v>109.989</v>
      </c>
      <c r="G3533" s="107" t="n">
        <f aca="false">IF($C3533="","",$D3533*IFERROR(INDEX('تحليل التكلفة والسعر'!$C$2:$C$700,MATCH($C3533,'تحليل التكلفة والسعر'!$B$2:$B$700,0)),0))</f>
        <v>52.76079006</v>
      </c>
      <c r="H3533" s="104" t="s">
        <v>719</v>
      </c>
    </row>
    <row r="3534" customFormat="false" ht="15" hidden="false" customHeight="false" outlineLevel="0" collapsed="false">
      <c r="A3534" s="103" t="n">
        <v>46300</v>
      </c>
      <c r="B3534" s="104" t="s">
        <v>32</v>
      </c>
      <c r="C3534" s="104" t="s">
        <v>476</v>
      </c>
      <c r="D3534" s="105" t="n">
        <v>0.3333</v>
      </c>
      <c r="E3534" s="106" t="n">
        <v>330</v>
      </c>
      <c r="F3534" s="107" t="n">
        <f aca="false">IF($C3534="","",$D3534*$E3534)</f>
        <v>109.989</v>
      </c>
      <c r="G3534" s="107" t="n">
        <f aca="false">IF($C3534="","",$D3534*IFERROR(INDEX('تحليل التكلفة والسعر'!$C$2:$C$700,MATCH($C3534,'تحليل التكلفة والسعر'!$B$2:$B$700,0)),0))</f>
        <v>52.76079006</v>
      </c>
      <c r="H3534" s="104" t="s">
        <v>719</v>
      </c>
    </row>
    <row r="3535" customFormat="false" ht="15" hidden="false" customHeight="false" outlineLevel="0" collapsed="false">
      <c r="A3535" s="103" t="n">
        <v>46301</v>
      </c>
      <c r="B3535" s="104" t="s">
        <v>32</v>
      </c>
      <c r="C3535" s="104" t="s">
        <v>476</v>
      </c>
      <c r="D3535" s="105" t="n">
        <v>0.3333</v>
      </c>
      <c r="E3535" s="106" t="n">
        <v>330</v>
      </c>
      <c r="F3535" s="107" t="n">
        <f aca="false">IF($C3535="","",$D3535*$E3535)</f>
        <v>109.989</v>
      </c>
      <c r="G3535" s="107" t="n">
        <f aca="false">IF($C3535="","",$D3535*IFERROR(INDEX('تحليل التكلفة والسعر'!$C$2:$C$700,MATCH($C3535,'تحليل التكلفة والسعر'!$B$2:$B$700,0)),0))</f>
        <v>52.76079006</v>
      </c>
      <c r="H3535" s="104" t="s">
        <v>719</v>
      </c>
    </row>
    <row r="3536" customFormat="false" ht="15" hidden="false" customHeight="false" outlineLevel="0" collapsed="false">
      <c r="A3536" s="103" t="n">
        <v>46302</v>
      </c>
      <c r="B3536" s="104" t="s">
        <v>32</v>
      </c>
      <c r="C3536" s="104" t="s">
        <v>476</v>
      </c>
      <c r="D3536" s="105" t="n">
        <v>0.3333</v>
      </c>
      <c r="E3536" s="106" t="n">
        <v>330</v>
      </c>
      <c r="F3536" s="107" t="n">
        <f aca="false">IF($C3536="","",$D3536*$E3536)</f>
        <v>109.989</v>
      </c>
      <c r="G3536" s="107" t="n">
        <f aca="false">IF($C3536="","",$D3536*IFERROR(INDEX('تحليل التكلفة والسعر'!$C$2:$C$700,MATCH($C3536,'تحليل التكلفة والسعر'!$B$2:$B$700,0)),0))</f>
        <v>52.76079006</v>
      </c>
      <c r="H3536" s="104" t="s">
        <v>719</v>
      </c>
    </row>
    <row r="3537" customFormat="false" ht="15" hidden="false" customHeight="false" outlineLevel="0" collapsed="false">
      <c r="A3537" s="103" t="n">
        <v>46303</v>
      </c>
      <c r="B3537" s="104" t="s">
        <v>32</v>
      </c>
      <c r="C3537" s="104" t="s">
        <v>476</v>
      </c>
      <c r="D3537" s="105" t="n">
        <v>0.3333</v>
      </c>
      <c r="E3537" s="106" t="n">
        <v>330</v>
      </c>
      <c r="F3537" s="107" t="n">
        <f aca="false">IF($C3537="","",$D3537*$E3537)</f>
        <v>109.989</v>
      </c>
      <c r="G3537" s="107" t="n">
        <f aca="false">IF($C3537="","",$D3537*IFERROR(INDEX('تحليل التكلفة والسعر'!$C$2:$C$700,MATCH($C3537,'تحليل التكلفة والسعر'!$B$2:$B$700,0)),0))</f>
        <v>52.76079006</v>
      </c>
      <c r="H3537" s="104" t="s">
        <v>719</v>
      </c>
    </row>
    <row r="3538" customFormat="false" ht="15" hidden="false" customHeight="false" outlineLevel="0" collapsed="false">
      <c r="A3538" s="103" t="n">
        <v>46304</v>
      </c>
      <c r="B3538" s="104" t="s">
        <v>32</v>
      </c>
      <c r="C3538" s="104" t="s">
        <v>476</v>
      </c>
      <c r="D3538" s="105" t="n">
        <v>0.3333</v>
      </c>
      <c r="E3538" s="106" t="n">
        <v>330</v>
      </c>
      <c r="F3538" s="107" t="n">
        <f aca="false">IF($C3538="","",$D3538*$E3538)</f>
        <v>109.989</v>
      </c>
      <c r="G3538" s="107" t="n">
        <f aca="false">IF($C3538="","",$D3538*IFERROR(INDEX('تحليل التكلفة والسعر'!$C$2:$C$700,MATCH($C3538,'تحليل التكلفة والسعر'!$B$2:$B$700,0)),0))</f>
        <v>52.76079006</v>
      </c>
      <c r="H3538" s="104" t="s">
        <v>719</v>
      </c>
    </row>
    <row r="3539" customFormat="false" ht="15" hidden="false" customHeight="false" outlineLevel="0" collapsed="false">
      <c r="A3539" s="103" t="n">
        <v>46305</v>
      </c>
      <c r="B3539" s="104" t="s">
        <v>32</v>
      </c>
      <c r="C3539" s="104" t="s">
        <v>476</v>
      </c>
      <c r="D3539" s="105" t="n">
        <v>0.3333</v>
      </c>
      <c r="E3539" s="106" t="n">
        <v>330</v>
      </c>
      <c r="F3539" s="107" t="n">
        <f aca="false">IF($C3539="","",$D3539*$E3539)</f>
        <v>109.989</v>
      </c>
      <c r="G3539" s="107" t="n">
        <f aca="false">IF($C3539="","",$D3539*IFERROR(INDEX('تحليل التكلفة والسعر'!$C$2:$C$700,MATCH($C3539,'تحليل التكلفة والسعر'!$B$2:$B$700,0)),0))</f>
        <v>52.76079006</v>
      </c>
      <c r="H3539" s="104" t="s">
        <v>719</v>
      </c>
    </row>
    <row r="3540" customFormat="false" ht="15" hidden="false" customHeight="false" outlineLevel="0" collapsed="false">
      <c r="A3540" s="103" t="n">
        <v>46306</v>
      </c>
      <c r="B3540" s="104" t="s">
        <v>32</v>
      </c>
      <c r="C3540" s="104" t="s">
        <v>476</v>
      </c>
      <c r="D3540" s="105" t="n">
        <v>0.3333</v>
      </c>
      <c r="E3540" s="106" t="n">
        <v>330</v>
      </c>
      <c r="F3540" s="107" t="n">
        <f aca="false">IF($C3540="","",$D3540*$E3540)</f>
        <v>109.989</v>
      </c>
      <c r="G3540" s="107" t="n">
        <f aca="false">IF($C3540="","",$D3540*IFERROR(INDEX('تحليل التكلفة والسعر'!$C$2:$C$700,MATCH($C3540,'تحليل التكلفة والسعر'!$B$2:$B$700,0)),0))</f>
        <v>52.76079006</v>
      </c>
      <c r="H3540" s="104" t="s">
        <v>719</v>
      </c>
    </row>
    <row r="3541" customFormat="false" ht="15" hidden="false" customHeight="false" outlineLevel="0" collapsed="false">
      <c r="A3541" s="103" t="n">
        <v>46307</v>
      </c>
      <c r="B3541" s="104" t="s">
        <v>32</v>
      </c>
      <c r="C3541" s="104" t="s">
        <v>476</v>
      </c>
      <c r="D3541" s="105" t="n">
        <v>0.3333</v>
      </c>
      <c r="E3541" s="106" t="n">
        <v>330</v>
      </c>
      <c r="F3541" s="107" t="n">
        <f aca="false">IF($C3541="","",$D3541*$E3541)</f>
        <v>109.989</v>
      </c>
      <c r="G3541" s="107" t="n">
        <f aca="false">IF($C3541="","",$D3541*IFERROR(INDEX('تحليل التكلفة والسعر'!$C$2:$C$700,MATCH($C3541,'تحليل التكلفة والسعر'!$B$2:$B$700,0)),0))</f>
        <v>52.76079006</v>
      </c>
      <c r="H3541" s="104" t="s">
        <v>719</v>
      </c>
    </row>
    <row r="3542" customFormat="false" ht="15" hidden="false" customHeight="false" outlineLevel="0" collapsed="false">
      <c r="A3542" s="103" t="n">
        <v>46296</v>
      </c>
      <c r="B3542" s="104" t="s">
        <v>32</v>
      </c>
      <c r="C3542" s="104" t="s">
        <v>479</v>
      </c>
      <c r="D3542" s="105" t="n">
        <v>1</v>
      </c>
      <c r="E3542" s="106" t="n">
        <v>220</v>
      </c>
      <c r="F3542" s="107" t="n">
        <f aca="false">IF($C3542="","",$D3542*$E3542)</f>
        <v>220</v>
      </c>
      <c r="G3542" s="107" t="n">
        <f aca="false">IF($C3542="","",$D3542*IFERROR(INDEX('تحليل التكلفة والسعر'!$C$2:$C$700,MATCH($C3542,'تحليل التكلفة والسعر'!$B$2:$B$700,0)),0))</f>
        <v>123.2965</v>
      </c>
      <c r="H3542" s="104" t="s">
        <v>719</v>
      </c>
    </row>
    <row r="3543" customFormat="false" ht="15" hidden="false" customHeight="false" outlineLevel="0" collapsed="false">
      <c r="A3543" s="103" t="n">
        <v>46297</v>
      </c>
      <c r="B3543" s="104" t="s">
        <v>32</v>
      </c>
      <c r="C3543" s="104" t="s">
        <v>479</v>
      </c>
      <c r="D3543" s="105" t="n">
        <v>1</v>
      </c>
      <c r="E3543" s="106" t="n">
        <v>220</v>
      </c>
      <c r="F3543" s="107" t="n">
        <f aca="false">IF($C3543="","",$D3543*$E3543)</f>
        <v>220</v>
      </c>
      <c r="G3543" s="107" t="n">
        <f aca="false">IF($C3543="","",$D3543*IFERROR(INDEX('تحليل التكلفة والسعر'!$C$2:$C$700,MATCH($C3543,'تحليل التكلفة والسعر'!$B$2:$B$700,0)),0))</f>
        <v>123.2965</v>
      </c>
      <c r="H3543" s="104" t="s">
        <v>719</v>
      </c>
    </row>
    <row r="3544" customFormat="false" ht="15" hidden="false" customHeight="false" outlineLevel="0" collapsed="false">
      <c r="A3544" s="103" t="n">
        <v>46298</v>
      </c>
      <c r="B3544" s="104" t="s">
        <v>32</v>
      </c>
      <c r="C3544" s="104" t="s">
        <v>479</v>
      </c>
      <c r="D3544" s="105" t="n">
        <v>1</v>
      </c>
      <c r="E3544" s="106" t="n">
        <v>220</v>
      </c>
      <c r="F3544" s="107" t="n">
        <f aca="false">IF($C3544="","",$D3544*$E3544)</f>
        <v>220</v>
      </c>
      <c r="G3544" s="107" t="n">
        <f aca="false">IF($C3544="","",$D3544*IFERROR(INDEX('تحليل التكلفة والسعر'!$C$2:$C$700,MATCH($C3544,'تحليل التكلفة والسعر'!$B$2:$B$700,0)),0))</f>
        <v>123.2965</v>
      </c>
      <c r="H3544" s="104" t="s">
        <v>719</v>
      </c>
    </row>
    <row r="3545" customFormat="false" ht="15" hidden="false" customHeight="false" outlineLevel="0" collapsed="false">
      <c r="A3545" s="103" t="n">
        <v>46299</v>
      </c>
      <c r="B3545" s="104" t="s">
        <v>32</v>
      </c>
      <c r="C3545" s="104" t="s">
        <v>479</v>
      </c>
      <c r="D3545" s="105" t="n">
        <v>1</v>
      </c>
      <c r="E3545" s="106" t="n">
        <v>220</v>
      </c>
      <c r="F3545" s="107" t="n">
        <f aca="false">IF($C3545="","",$D3545*$E3545)</f>
        <v>220</v>
      </c>
      <c r="G3545" s="107" t="n">
        <f aca="false">IF($C3545="","",$D3545*IFERROR(INDEX('تحليل التكلفة والسعر'!$C$2:$C$700,MATCH($C3545,'تحليل التكلفة والسعر'!$B$2:$B$700,0)),0))</f>
        <v>123.2965</v>
      </c>
      <c r="H3545" s="104" t="s">
        <v>719</v>
      </c>
    </row>
    <row r="3546" customFormat="false" ht="15" hidden="false" customHeight="false" outlineLevel="0" collapsed="false">
      <c r="A3546" s="103" t="n">
        <v>46300</v>
      </c>
      <c r="B3546" s="104" t="s">
        <v>32</v>
      </c>
      <c r="C3546" s="104" t="s">
        <v>479</v>
      </c>
      <c r="D3546" s="105" t="n">
        <v>1</v>
      </c>
      <c r="E3546" s="106" t="n">
        <v>220</v>
      </c>
      <c r="F3546" s="107" t="n">
        <f aca="false">IF($C3546="","",$D3546*$E3546)</f>
        <v>220</v>
      </c>
      <c r="G3546" s="107" t="n">
        <f aca="false">IF($C3546="","",$D3546*IFERROR(INDEX('تحليل التكلفة والسعر'!$C$2:$C$700,MATCH($C3546,'تحليل التكلفة والسعر'!$B$2:$B$700,0)),0))</f>
        <v>123.2965</v>
      </c>
      <c r="H3546" s="104" t="s">
        <v>719</v>
      </c>
    </row>
    <row r="3547" customFormat="false" ht="15" hidden="false" customHeight="false" outlineLevel="0" collapsed="false">
      <c r="A3547" s="103" t="n">
        <v>46301</v>
      </c>
      <c r="B3547" s="104" t="s">
        <v>32</v>
      </c>
      <c r="C3547" s="104" t="s">
        <v>479</v>
      </c>
      <c r="D3547" s="105" t="n">
        <v>1</v>
      </c>
      <c r="E3547" s="106" t="n">
        <v>220</v>
      </c>
      <c r="F3547" s="107" t="n">
        <f aca="false">IF($C3547="","",$D3547*$E3547)</f>
        <v>220</v>
      </c>
      <c r="G3547" s="107" t="n">
        <f aca="false">IF($C3547="","",$D3547*IFERROR(INDEX('تحليل التكلفة والسعر'!$C$2:$C$700,MATCH($C3547,'تحليل التكلفة والسعر'!$B$2:$B$700,0)),0))</f>
        <v>123.2965</v>
      </c>
      <c r="H3547" s="104" t="s">
        <v>719</v>
      </c>
    </row>
    <row r="3548" customFormat="false" ht="15" hidden="false" customHeight="false" outlineLevel="0" collapsed="false">
      <c r="A3548" s="103" t="n">
        <v>46302</v>
      </c>
      <c r="B3548" s="104" t="s">
        <v>32</v>
      </c>
      <c r="C3548" s="104" t="s">
        <v>479</v>
      </c>
      <c r="D3548" s="105" t="n">
        <v>1</v>
      </c>
      <c r="E3548" s="106" t="n">
        <v>220</v>
      </c>
      <c r="F3548" s="107" t="n">
        <f aca="false">IF($C3548="","",$D3548*$E3548)</f>
        <v>220</v>
      </c>
      <c r="G3548" s="107" t="n">
        <f aca="false">IF($C3548="","",$D3548*IFERROR(INDEX('تحليل التكلفة والسعر'!$C$2:$C$700,MATCH($C3548,'تحليل التكلفة والسعر'!$B$2:$B$700,0)),0))</f>
        <v>123.2965</v>
      </c>
      <c r="H3548" s="104" t="s">
        <v>719</v>
      </c>
    </row>
    <row r="3549" customFormat="false" ht="15" hidden="false" customHeight="false" outlineLevel="0" collapsed="false">
      <c r="A3549" s="103" t="n">
        <v>46303</v>
      </c>
      <c r="B3549" s="104" t="s">
        <v>32</v>
      </c>
      <c r="C3549" s="104" t="s">
        <v>479</v>
      </c>
      <c r="D3549" s="105" t="n">
        <v>1</v>
      </c>
      <c r="E3549" s="106" t="n">
        <v>220</v>
      </c>
      <c r="F3549" s="107" t="n">
        <f aca="false">IF($C3549="","",$D3549*$E3549)</f>
        <v>220</v>
      </c>
      <c r="G3549" s="107" t="n">
        <f aca="false">IF($C3549="","",$D3549*IFERROR(INDEX('تحليل التكلفة والسعر'!$C$2:$C$700,MATCH($C3549,'تحليل التكلفة والسعر'!$B$2:$B$700,0)),0))</f>
        <v>123.2965</v>
      </c>
      <c r="H3549" s="104" t="s">
        <v>719</v>
      </c>
    </row>
    <row r="3550" customFormat="false" ht="15" hidden="false" customHeight="false" outlineLevel="0" collapsed="false">
      <c r="A3550" s="103" t="n">
        <v>46304</v>
      </c>
      <c r="B3550" s="104" t="s">
        <v>32</v>
      </c>
      <c r="C3550" s="104" t="s">
        <v>479</v>
      </c>
      <c r="D3550" s="105" t="n">
        <v>1</v>
      </c>
      <c r="E3550" s="106" t="n">
        <v>220</v>
      </c>
      <c r="F3550" s="107" t="n">
        <f aca="false">IF($C3550="","",$D3550*$E3550)</f>
        <v>220</v>
      </c>
      <c r="G3550" s="107" t="n">
        <f aca="false">IF($C3550="","",$D3550*IFERROR(INDEX('تحليل التكلفة والسعر'!$C$2:$C$700,MATCH($C3550,'تحليل التكلفة والسعر'!$B$2:$B$700,0)),0))</f>
        <v>123.2965</v>
      </c>
      <c r="H3550" s="104" t="s">
        <v>719</v>
      </c>
    </row>
    <row r="3551" customFormat="false" ht="15" hidden="false" customHeight="false" outlineLevel="0" collapsed="false">
      <c r="A3551" s="103" t="n">
        <v>46305</v>
      </c>
      <c r="B3551" s="104" t="s">
        <v>32</v>
      </c>
      <c r="C3551" s="104" t="s">
        <v>479</v>
      </c>
      <c r="D3551" s="105" t="n">
        <v>1</v>
      </c>
      <c r="E3551" s="106" t="n">
        <v>220</v>
      </c>
      <c r="F3551" s="107" t="n">
        <f aca="false">IF($C3551="","",$D3551*$E3551)</f>
        <v>220</v>
      </c>
      <c r="G3551" s="107" t="n">
        <f aca="false">IF($C3551="","",$D3551*IFERROR(INDEX('تحليل التكلفة والسعر'!$C$2:$C$700,MATCH($C3551,'تحليل التكلفة والسعر'!$B$2:$B$700,0)),0))</f>
        <v>123.2965</v>
      </c>
      <c r="H3551" s="104" t="s">
        <v>719</v>
      </c>
    </row>
    <row r="3552" customFormat="false" ht="15" hidden="false" customHeight="false" outlineLevel="0" collapsed="false">
      <c r="A3552" s="103" t="n">
        <v>46306</v>
      </c>
      <c r="B3552" s="104" t="s">
        <v>32</v>
      </c>
      <c r="C3552" s="104" t="s">
        <v>479</v>
      </c>
      <c r="D3552" s="105" t="n">
        <v>1</v>
      </c>
      <c r="E3552" s="106" t="n">
        <v>220</v>
      </c>
      <c r="F3552" s="107" t="n">
        <f aca="false">IF($C3552="","",$D3552*$E3552)</f>
        <v>220</v>
      </c>
      <c r="G3552" s="107" t="n">
        <f aca="false">IF($C3552="","",$D3552*IFERROR(INDEX('تحليل التكلفة والسعر'!$C$2:$C$700,MATCH($C3552,'تحليل التكلفة والسعر'!$B$2:$B$700,0)),0))</f>
        <v>123.2965</v>
      </c>
      <c r="H3552" s="104" t="s">
        <v>719</v>
      </c>
    </row>
    <row r="3553" customFormat="false" ht="15" hidden="false" customHeight="false" outlineLevel="0" collapsed="false">
      <c r="A3553" s="103" t="n">
        <v>46307</v>
      </c>
      <c r="B3553" s="104" t="s">
        <v>32</v>
      </c>
      <c r="C3553" s="104" t="s">
        <v>479</v>
      </c>
      <c r="D3553" s="105" t="n">
        <v>1</v>
      </c>
      <c r="E3553" s="106" t="n">
        <v>220</v>
      </c>
      <c r="F3553" s="107" t="n">
        <f aca="false">IF($C3553="","",$D3553*$E3553)</f>
        <v>220</v>
      </c>
      <c r="G3553" s="107" t="n">
        <f aca="false">IF($C3553="","",$D3553*IFERROR(INDEX('تحليل التكلفة والسعر'!$C$2:$C$700,MATCH($C3553,'تحليل التكلفة والسعر'!$B$2:$B$700,0)),0))</f>
        <v>123.2965</v>
      </c>
      <c r="H3553" s="104" t="s">
        <v>719</v>
      </c>
    </row>
    <row r="3554" customFormat="false" ht="15" hidden="false" customHeight="false" outlineLevel="0" collapsed="false">
      <c r="A3554" s="103" t="n">
        <v>46296</v>
      </c>
      <c r="B3554" s="104" t="s">
        <v>32</v>
      </c>
      <c r="C3554" s="104" t="s">
        <v>460</v>
      </c>
      <c r="D3554" s="105" t="n">
        <v>0.1667</v>
      </c>
      <c r="E3554" s="106" t="n">
        <v>60</v>
      </c>
      <c r="F3554" s="107" t="n">
        <f aca="false">IF($C3554="","",$D3554*$E3554)</f>
        <v>10.002</v>
      </c>
      <c r="G3554" s="107" t="n">
        <f aca="false">IF($C3554="","",$D3554*IFERROR(INDEX('تحليل التكلفة والسعر'!$C$2:$C$700,MATCH($C3554,'تحليل التكلفة والسعر'!$B$2:$B$700,0)),0))</f>
        <v>6.976395</v>
      </c>
      <c r="H3554" s="104" t="s">
        <v>719</v>
      </c>
    </row>
    <row r="3555" customFormat="false" ht="15" hidden="false" customHeight="false" outlineLevel="0" collapsed="false">
      <c r="A3555" s="103" t="n">
        <v>46297</v>
      </c>
      <c r="B3555" s="104" t="s">
        <v>32</v>
      </c>
      <c r="C3555" s="104" t="s">
        <v>460</v>
      </c>
      <c r="D3555" s="105" t="n">
        <v>0.1667</v>
      </c>
      <c r="E3555" s="106" t="n">
        <v>60</v>
      </c>
      <c r="F3555" s="107" t="n">
        <f aca="false">IF($C3555="","",$D3555*$E3555)</f>
        <v>10.002</v>
      </c>
      <c r="G3555" s="107" t="n">
        <f aca="false">IF($C3555="","",$D3555*IFERROR(INDEX('تحليل التكلفة والسعر'!$C$2:$C$700,MATCH($C3555,'تحليل التكلفة والسعر'!$B$2:$B$700,0)),0))</f>
        <v>6.976395</v>
      </c>
      <c r="H3555" s="104" t="s">
        <v>719</v>
      </c>
    </row>
    <row r="3556" customFormat="false" ht="15" hidden="false" customHeight="false" outlineLevel="0" collapsed="false">
      <c r="A3556" s="103" t="n">
        <v>46298</v>
      </c>
      <c r="B3556" s="104" t="s">
        <v>32</v>
      </c>
      <c r="C3556" s="104" t="s">
        <v>460</v>
      </c>
      <c r="D3556" s="105" t="n">
        <v>0.1667</v>
      </c>
      <c r="E3556" s="106" t="n">
        <v>60</v>
      </c>
      <c r="F3556" s="107" t="n">
        <f aca="false">IF($C3556="","",$D3556*$E3556)</f>
        <v>10.002</v>
      </c>
      <c r="G3556" s="107" t="n">
        <f aca="false">IF($C3556="","",$D3556*IFERROR(INDEX('تحليل التكلفة والسعر'!$C$2:$C$700,MATCH($C3556,'تحليل التكلفة والسعر'!$B$2:$B$700,0)),0))</f>
        <v>6.976395</v>
      </c>
      <c r="H3556" s="104" t="s">
        <v>719</v>
      </c>
    </row>
    <row r="3557" customFormat="false" ht="15" hidden="false" customHeight="false" outlineLevel="0" collapsed="false">
      <c r="A3557" s="103" t="n">
        <v>46299</v>
      </c>
      <c r="B3557" s="104" t="s">
        <v>32</v>
      </c>
      <c r="C3557" s="104" t="s">
        <v>460</v>
      </c>
      <c r="D3557" s="105" t="n">
        <v>0.1667</v>
      </c>
      <c r="E3557" s="106" t="n">
        <v>60</v>
      </c>
      <c r="F3557" s="107" t="n">
        <f aca="false">IF($C3557="","",$D3557*$E3557)</f>
        <v>10.002</v>
      </c>
      <c r="G3557" s="107" t="n">
        <f aca="false">IF($C3557="","",$D3557*IFERROR(INDEX('تحليل التكلفة والسعر'!$C$2:$C$700,MATCH($C3557,'تحليل التكلفة والسعر'!$B$2:$B$700,0)),0))</f>
        <v>6.976395</v>
      </c>
      <c r="H3557" s="104" t="s">
        <v>719</v>
      </c>
    </row>
    <row r="3558" customFormat="false" ht="15" hidden="false" customHeight="false" outlineLevel="0" collapsed="false">
      <c r="A3558" s="103" t="n">
        <v>46300</v>
      </c>
      <c r="B3558" s="104" t="s">
        <v>32</v>
      </c>
      <c r="C3558" s="104" t="s">
        <v>460</v>
      </c>
      <c r="D3558" s="105" t="n">
        <v>0.1667</v>
      </c>
      <c r="E3558" s="106" t="n">
        <v>60</v>
      </c>
      <c r="F3558" s="107" t="n">
        <f aca="false">IF($C3558="","",$D3558*$E3558)</f>
        <v>10.002</v>
      </c>
      <c r="G3558" s="107" t="n">
        <f aca="false">IF($C3558="","",$D3558*IFERROR(INDEX('تحليل التكلفة والسعر'!$C$2:$C$700,MATCH($C3558,'تحليل التكلفة والسعر'!$B$2:$B$700,0)),0))</f>
        <v>6.976395</v>
      </c>
      <c r="H3558" s="104" t="s">
        <v>719</v>
      </c>
    </row>
    <row r="3559" customFormat="false" ht="15" hidden="false" customHeight="false" outlineLevel="0" collapsed="false">
      <c r="A3559" s="103" t="n">
        <v>46301</v>
      </c>
      <c r="B3559" s="104" t="s">
        <v>32</v>
      </c>
      <c r="C3559" s="104" t="s">
        <v>460</v>
      </c>
      <c r="D3559" s="105" t="n">
        <v>0.1667</v>
      </c>
      <c r="E3559" s="106" t="n">
        <v>60</v>
      </c>
      <c r="F3559" s="107" t="n">
        <f aca="false">IF($C3559="","",$D3559*$E3559)</f>
        <v>10.002</v>
      </c>
      <c r="G3559" s="107" t="n">
        <f aca="false">IF($C3559="","",$D3559*IFERROR(INDEX('تحليل التكلفة والسعر'!$C$2:$C$700,MATCH($C3559,'تحليل التكلفة والسعر'!$B$2:$B$700,0)),0))</f>
        <v>6.976395</v>
      </c>
      <c r="H3559" s="104" t="s">
        <v>719</v>
      </c>
    </row>
    <row r="3560" customFormat="false" ht="15" hidden="false" customHeight="false" outlineLevel="0" collapsed="false">
      <c r="A3560" s="103" t="n">
        <v>46302</v>
      </c>
      <c r="B3560" s="104" t="s">
        <v>32</v>
      </c>
      <c r="C3560" s="104" t="s">
        <v>460</v>
      </c>
      <c r="D3560" s="105" t="n">
        <v>0.1667</v>
      </c>
      <c r="E3560" s="106" t="n">
        <v>60</v>
      </c>
      <c r="F3560" s="107" t="n">
        <f aca="false">IF($C3560="","",$D3560*$E3560)</f>
        <v>10.002</v>
      </c>
      <c r="G3560" s="107" t="n">
        <f aca="false">IF($C3560="","",$D3560*IFERROR(INDEX('تحليل التكلفة والسعر'!$C$2:$C$700,MATCH($C3560,'تحليل التكلفة والسعر'!$B$2:$B$700,0)),0))</f>
        <v>6.976395</v>
      </c>
      <c r="H3560" s="104" t="s">
        <v>719</v>
      </c>
    </row>
    <row r="3561" customFormat="false" ht="15" hidden="false" customHeight="false" outlineLevel="0" collapsed="false">
      <c r="A3561" s="103" t="n">
        <v>46303</v>
      </c>
      <c r="B3561" s="104" t="s">
        <v>32</v>
      </c>
      <c r="C3561" s="104" t="s">
        <v>460</v>
      </c>
      <c r="D3561" s="105" t="n">
        <v>0.1667</v>
      </c>
      <c r="E3561" s="106" t="n">
        <v>60</v>
      </c>
      <c r="F3561" s="107" t="n">
        <f aca="false">IF($C3561="","",$D3561*$E3561)</f>
        <v>10.002</v>
      </c>
      <c r="G3561" s="107" t="n">
        <f aca="false">IF($C3561="","",$D3561*IFERROR(INDEX('تحليل التكلفة والسعر'!$C$2:$C$700,MATCH($C3561,'تحليل التكلفة والسعر'!$B$2:$B$700,0)),0))</f>
        <v>6.976395</v>
      </c>
      <c r="H3561" s="104" t="s">
        <v>719</v>
      </c>
    </row>
    <row r="3562" customFormat="false" ht="15" hidden="false" customHeight="false" outlineLevel="0" collapsed="false">
      <c r="A3562" s="103" t="n">
        <v>46304</v>
      </c>
      <c r="B3562" s="104" t="s">
        <v>32</v>
      </c>
      <c r="C3562" s="104" t="s">
        <v>460</v>
      </c>
      <c r="D3562" s="105" t="n">
        <v>0.1667</v>
      </c>
      <c r="E3562" s="106" t="n">
        <v>60</v>
      </c>
      <c r="F3562" s="107" t="n">
        <f aca="false">IF($C3562="","",$D3562*$E3562)</f>
        <v>10.002</v>
      </c>
      <c r="G3562" s="107" t="n">
        <f aca="false">IF($C3562="","",$D3562*IFERROR(INDEX('تحليل التكلفة والسعر'!$C$2:$C$700,MATCH($C3562,'تحليل التكلفة والسعر'!$B$2:$B$700,0)),0))</f>
        <v>6.976395</v>
      </c>
      <c r="H3562" s="104" t="s">
        <v>719</v>
      </c>
    </row>
    <row r="3563" customFormat="false" ht="15" hidden="false" customHeight="false" outlineLevel="0" collapsed="false">
      <c r="A3563" s="103" t="n">
        <v>46305</v>
      </c>
      <c r="B3563" s="104" t="s">
        <v>32</v>
      </c>
      <c r="C3563" s="104" t="s">
        <v>460</v>
      </c>
      <c r="D3563" s="105" t="n">
        <v>0.1667</v>
      </c>
      <c r="E3563" s="106" t="n">
        <v>60</v>
      </c>
      <c r="F3563" s="107" t="n">
        <f aca="false">IF($C3563="","",$D3563*$E3563)</f>
        <v>10.002</v>
      </c>
      <c r="G3563" s="107" t="n">
        <f aca="false">IF($C3563="","",$D3563*IFERROR(INDEX('تحليل التكلفة والسعر'!$C$2:$C$700,MATCH($C3563,'تحليل التكلفة والسعر'!$B$2:$B$700,0)),0))</f>
        <v>6.976395</v>
      </c>
      <c r="H3563" s="104" t="s">
        <v>719</v>
      </c>
    </row>
    <row r="3564" customFormat="false" ht="15" hidden="false" customHeight="false" outlineLevel="0" collapsed="false">
      <c r="A3564" s="103" t="n">
        <v>46306</v>
      </c>
      <c r="B3564" s="104" t="s">
        <v>32</v>
      </c>
      <c r="C3564" s="104" t="s">
        <v>460</v>
      </c>
      <c r="D3564" s="105" t="n">
        <v>0.1667</v>
      </c>
      <c r="E3564" s="106" t="n">
        <v>60</v>
      </c>
      <c r="F3564" s="107" t="n">
        <f aca="false">IF($C3564="","",$D3564*$E3564)</f>
        <v>10.002</v>
      </c>
      <c r="G3564" s="107" t="n">
        <f aca="false">IF($C3564="","",$D3564*IFERROR(INDEX('تحليل التكلفة والسعر'!$C$2:$C$700,MATCH($C3564,'تحليل التكلفة والسعر'!$B$2:$B$700,0)),0))</f>
        <v>6.976395</v>
      </c>
      <c r="H3564" s="104" t="s">
        <v>719</v>
      </c>
    </row>
    <row r="3565" customFormat="false" ht="15" hidden="false" customHeight="false" outlineLevel="0" collapsed="false">
      <c r="A3565" s="103" t="n">
        <v>46307</v>
      </c>
      <c r="B3565" s="104" t="s">
        <v>32</v>
      </c>
      <c r="C3565" s="104" t="s">
        <v>460</v>
      </c>
      <c r="D3565" s="105" t="n">
        <v>0.1667</v>
      </c>
      <c r="E3565" s="106" t="n">
        <v>60</v>
      </c>
      <c r="F3565" s="107" t="n">
        <f aca="false">IF($C3565="","",$D3565*$E3565)</f>
        <v>10.002</v>
      </c>
      <c r="G3565" s="107" t="n">
        <f aca="false">IF($C3565="","",$D3565*IFERROR(INDEX('تحليل التكلفة والسعر'!$C$2:$C$700,MATCH($C3565,'تحليل التكلفة والسعر'!$B$2:$B$700,0)),0))</f>
        <v>6.976395</v>
      </c>
      <c r="H3565" s="104" t="s">
        <v>719</v>
      </c>
    </row>
    <row r="3566" customFormat="false" ht="15" hidden="false" customHeight="false" outlineLevel="0" collapsed="false">
      <c r="A3566" s="103" t="n">
        <v>46296</v>
      </c>
      <c r="B3566" s="104" t="s">
        <v>32</v>
      </c>
      <c r="C3566" s="104" t="s">
        <v>474</v>
      </c>
      <c r="D3566" s="105" t="n">
        <v>0.0833</v>
      </c>
      <c r="E3566" s="106" t="n">
        <v>160</v>
      </c>
      <c r="F3566" s="107" t="n">
        <f aca="false">IF($C3566="","",$D3566*$E3566)</f>
        <v>13.328</v>
      </c>
      <c r="G3566" s="107" t="n">
        <f aca="false">IF($C3566="","",$D3566*IFERROR(INDEX('تحليل التكلفة والسعر'!$C$2:$C$700,MATCH($C3566,'تحليل التكلفة والسعر'!$B$2:$B$700,0)),0))</f>
        <v>7.417865</v>
      </c>
      <c r="H3566" s="104" t="s">
        <v>719</v>
      </c>
    </row>
    <row r="3567" customFormat="false" ht="15" hidden="false" customHeight="false" outlineLevel="0" collapsed="false">
      <c r="A3567" s="103" t="n">
        <v>46297</v>
      </c>
      <c r="B3567" s="104" t="s">
        <v>32</v>
      </c>
      <c r="C3567" s="104" t="s">
        <v>474</v>
      </c>
      <c r="D3567" s="105" t="n">
        <v>0.0833</v>
      </c>
      <c r="E3567" s="106" t="n">
        <v>160</v>
      </c>
      <c r="F3567" s="107" t="n">
        <f aca="false">IF($C3567="","",$D3567*$E3567)</f>
        <v>13.328</v>
      </c>
      <c r="G3567" s="107" t="n">
        <f aca="false">IF($C3567="","",$D3567*IFERROR(INDEX('تحليل التكلفة والسعر'!$C$2:$C$700,MATCH($C3567,'تحليل التكلفة والسعر'!$B$2:$B$700,0)),0))</f>
        <v>7.417865</v>
      </c>
      <c r="H3567" s="104" t="s">
        <v>719</v>
      </c>
    </row>
    <row r="3568" customFormat="false" ht="15" hidden="false" customHeight="false" outlineLevel="0" collapsed="false">
      <c r="A3568" s="103" t="n">
        <v>46298</v>
      </c>
      <c r="B3568" s="104" t="s">
        <v>32</v>
      </c>
      <c r="C3568" s="104" t="s">
        <v>474</v>
      </c>
      <c r="D3568" s="105" t="n">
        <v>0.0833</v>
      </c>
      <c r="E3568" s="106" t="n">
        <v>160</v>
      </c>
      <c r="F3568" s="107" t="n">
        <f aca="false">IF($C3568="","",$D3568*$E3568)</f>
        <v>13.328</v>
      </c>
      <c r="G3568" s="107" t="n">
        <f aca="false">IF($C3568="","",$D3568*IFERROR(INDEX('تحليل التكلفة والسعر'!$C$2:$C$700,MATCH($C3568,'تحليل التكلفة والسعر'!$B$2:$B$700,0)),0))</f>
        <v>7.417865</v>
      </c>
      <c r="H3568" s="104" t="s">
        <v>719</v>
      </c>
    </row>
    <row r="3569" customFormat="false" ht="15" hidden="false" customHeight="false" outlineLevel="0" collapsed="false">
      <c r="A3569" s="103" t="n">
        <v>46299</v>
      </c>
      <c r="B3569" s="104" t="s">
        <v>32</v>
      </c>
      <c r="C3569" s="104" t="s">
        <v>474</v>
      </c>
      <c r="D3569" s="105" t="n">
        <v>0.0833</v>
      </c>
      <c r="E3569" s="106" t="n">
        <v>160</v>
      </c>
      <c r="F3569" s="107" t="n">
        <f aca="false">IF($C3569="","",$D3569*$E3569)</f>
        <v>13.328</v>
      </c>
      <c r="G3569" s="107" t="n">
        <f aca="false">IF($C3569="","",$D3569*IFERROR(INDEX('تحليل التكلفة والسعر'!$C$2:$C$700,MATCH($C3569,'تحليل التكلفة والسعر'!$B$2:$B$700,0)),0))</f>
        <v>7.417865</v>
      </c>
      <c r="H3569" s="104" t="s">
        <v>719</v>
      </c>
    </row>
    <row r="3570" customFormat="false" ht="15" hidden="false" customHeight="false" outlineLevel="0" collapsed="false">
      <c r="A3570" s="103" t="n">
        <v>46300</v>
      </c>
      <c r="B3570" s="104" t="s">
        <v>32</v>
      </c>
      <c r="C3570" s="104" t="s">
        <v>474</v>
      </c>
      <c r="D3570" s="105" t="n">
        <v>0.0833</v>
      </c>
      <c r="E3570" s="106" t="n">
        <v>160</v>
      </c>
      <c r="F3570" s="107" t="n">
        <f aca="false">IF($C3570="","",$D3570*$E3570)</f>
        <v>13.328</v>
      </c>
      <c r="G3570" s="107" t="n">
        <f aca="false">IF($C3570="","",$D3570*IFERROR(INDEX('تحليل التكلفة والسعر'!$C$2:$C$700,MATCH($C3570,'تحليل التكلفة والسعر'!$B$2:$B$700,0)),0))</f>
        <v>7.417865</v>
      </c>
      <c r="H3570" s="104" t="s">
        <v>719</v>
      </c>
    </row>
    <row r="3571" customFormat="false" ht="15" hidden="false" customHeight="false" outlineLevel="0" collapsed="false">
      <c r="A3571" s="103" t="n">
        <v>46301</v>
      </c>
      <c r="B3571" s="104" t="s">
        <v>32</v>
      </c>
      <c r="C3571" s="104" t="s">
        <v>474</v>
      </c>
      <c r="D3571" s="105" t="n">
        <v>0.0833</v>
      </c>
      <c r="E3571" s="106" t="n">
        <v>160</v>
      </c>
      <c r="F3571" s="107" t="n">
        <f aca="false">IF($C3571="","",$D3571*$E3571)</f>
        <v>13.328</v>
      </c>
      <c r="G3571" s="107" t="n">
        <f aca="false">IF($C3571="","",$D3571*IFERROR(INDEX('تحليل التكلفة والسعر'!$C$2:$C$700,MATCH($C3571,'تحليل التكلفة والسعر'!$B$2:$B$700,0)),0))</f>
        <v>7.417865</v>
      </c>
      <c r="H3571" s="104" t="s">
        <v>719</v>
      </c>
    </row>
    <row r="3572" customFormat="false" ht="15" hidden="false" customHeight="false" outlineLevel="0" collapsed="false">
      <c r="A3572" s="103" t="n">
        <v>46302</v>
      </c>
      <c r="B3572" s="104" t="s">
        <v>32</v>
      </c>
      <c r="C3572" s="104" t="s">
        <v>474</v>
      </c>
      <c r="D3572" s="105" t="n">
        <v>0.0833</v>
      </c>
      <c r="E3572" s="106" t="n">
        <v>160</v>
      </c>
      <c r="F3572" s="107" t="n">
        <f aca="false">IF($C3572="","",$D3572*$E3572)</f>
        <v>13.328</v>
      </c>
      <c r="G3572" s="107" t="n">
        <f aca="false">IF($C3572="","",$D3572*IFERROR(INDEX('تحليل التكلفة والسعر'!$C$2:$C$700,MATCH($C3572,'تحليل التكلفة والسعر'!$B$2:$B$700,0)),0))</f>
        <v>7.417865</v>
      </c>
      <c r="H3572" s="104" t="s">
        <v>719</v>
      </c>
    </row>
    <row r="3573" customFormat="false" ht="15" hidden="false" customHeight="false" outlineLevel="0" collapsed="false">
      <c r="A3573" s="103" t="n">
        <v>46303</v>
      </c>
      <c r="B3573" s="104" t="s">
        <v>32</v>
      </c>
      <c r="C3573" s="104" t="s">
        <v>474</v>
      </c>
      <c r="D3573" s="105" t="n">
        <v>0.0833</v>
      </c>
      <c r="E3573" s="106" t="n">
        <v>160</v>
      </c>
      <c r="F3573" s="107" t="n">
        <f aca="false">IF($C3573="","",$D3573*$E3573)</f>
        <v>13.328</v>
      </c>
      <c r="G3573" s="107" t="n">
        <f aca="false">IF($C3573="","",$D3573*IFERROR(INDEX('تحليل التكلفة والسعر'!$C$2:$C$700,MATCH($C3573,'تحليل التكلفة والسعر'!$B$2:$B$700,0)),0))</f>
        <v>7.417865</v>
      </c>
      <c r="H3573" s="104" t="s">
        <v>719</v>
      </c>
    </row>
    <row r="3574" customFormat="false" ht="15" hidden="false" customHeight="false" outlineLevel="0" collapsed="false">
      <c r="A3574" s="103" t="n">
        <v>46304</v>
      </c>
      <c r="B3574" s="104" t="s">
        <v>32</v>
      </c>
      <c r="C3574" s="104" t="s">
        <v>474</v>
      </c>
      <c r="D3574" s="105" t="n">
        <v>0.0833</v>
      </c>
      <c r="E3574" s="106" t="n">
        <v>160</v>
      </c>
      <c r="F3574" s="107" t="n">
        <f aca="false">IF($C3574="","",$D3574*$E3574)</f>
        <v>13.328</v>
      </c>
      <c r="G3574" s="107" t="n">
        <f aca="false">IF($C3574="","",$D3574*IFERROR(INDEX('تحليل التكلفة والسعر'!$C$2:$C$700,MATCH($C3574,'تحليل التكلفة والسعر'!$B$2:$B$700,0)),0))</f>
        <v>7.417865</v>
      </c>
      <c r="H3574" s="104" t="s">
        <v>719</v>
      </c>
    </row>
    <row r="3575" customFormat="false" ht="15" hidden="false" customHeight="false" outlineLevel="0" collapsed="false">
      <c r="A3575" s="103" t="n">
        <v>46305</v>
      </c>
      <c r="B3575" s="104" t="s">
        <v>32</v>
      </c>
      <c r="C3575" s="104" t="s">
        <v>474</v>
      </c>
      <c r="D3575" s="105" t="n">
        <v>0.0833</v>
      </c>
      <c r="E3575" s="106" t="n">
        <v>160</v>
      </c>
      <c r="F3575" s="107" t="n">
        <f aca="false">IF($C3575="","",$D3575*$E3575)</f>
        <v>13.328</v>
      </c>
      <c r="G3575" s="107" t="n">
        <f aca="false">IF($C3575="","",$D3575*IFERROR(INDEX('تحليل التكلفة والسعر'!$C$2:$C$700,MATCH($C3575,'تحليل التكلفة والسعر'!$B$2:$B$700,0)),0))</f>
        <v>7.417865</v>
      </c>
      <c r="H3575" s="104" t="s">
        <v>719</v>
      </c>
    </row>
    <row r="3576" customFormat="false" ht="15" hidden="false" customHeight="false" outlineLevel="0" collapsed="false">
      <c r="A3576" s="103" t="n">
        <v>46306</v>
      </c>
      <c r="B3576" s="104" t="s">
        <v>32</v>
      </c>
      <c r="C3576" s="104" t="s">
        <v>474</v>
      </c>
      <c r="D3576" s="105" t="n">
        <v>0.0833</v>
      </c>
      <c r="E3576" s="106" t="n">
        <v>160</v>
      </c>
      <c r="F3576" s="107" t="n">
        <f aca="false">IF($C3576="","",$D3576*$E3576)</f>
        <v>13.328</v>
      </c>
      <c r="G3576" s="107" t="n">
        <f aca="false">IF($C3576="","",$D3576*IFERROR(INDEX('تحليل التكلفة والسعر'!$C$2:$C$700,MATCH($C3576,'تحليل التكلفة والسعر'!$B$2:$B$700,0)),0))</f>
        <v>7.417865</v>
      </c>
      <c r="H3576" s="104" t="s">
        <v>719</v>
      </c>
    </row>
    <row r="3577" customFormat="false" ht="15" hidden="false" customHeight="false" outlineLevel="0" collapsed="false">
      <c r="A3577" s="103" t="n">
        <v>46307</v>
      </c>
      <c r="B3577" s="104" t="s">
        <v>32</v>
      </c>
      <c r="C3577" s="104" t="s">
        <v>474</v>
      </c>
      <c r="D3577" s="105" t="n">
        <v>0.0833</v>
      </c>
      <c r="E3577" s="106" t="n">
        <v>160</v>
      </c>
      <c r="F3577" s="107" t="n">
        <f aca="false">IF($C3577="","",$D3577*$E3577)</f>
        <v>13.328</v>
      </c>
      <c r="G3577" s="107" t="n">
        <f aca="false">IF($C3577="","",$D3577*IFERROR(INDEX('تحليل التكلفة والسعر'!$C$2:$C$700,MATCH($C3577,'تحليل التكلفة والسعر'!$B$2:$B$700,0)),0))</f>
        <v>7.417865</v>
      </c>
      <c r="H3577" s="104" t="s">
        <v>719</v>
      </c>
    </row>
    <row r="3578" customFormat="false" ht="15" hidden="false" customHeight="false" outlineLevel="0" collapsed="false">
      <c r="A3578" s="103" t="n">
        <v>46296</v>
      </c>
      <c r="B3578" s="104" t="s">
        <v>32</v>
      </c>
      <c r="C3578" s="104" t="s">
        <v>468</v>
      </c>
      <c r="D3578" s="105" t="n">
        <v>0.1667</v>
      </c>
      <c r="E3578" s="106" t="n">
        <v>100</v>
      </c>
      <c r="F3578" s="107" t="n">
        <f aca="false">IF($C3578="","",$D3578*$E3578)</f>
        <v>16.67</v>
      </c>
      <c r="G3578" s="107" t="n">
        <f aca="false">IF($C3578="","",$D3578*IFERROR(INDEX('تحليل التكلفة والسعر'!$C$2:$C$700,MATCH($C3578,'تحليل التكلفة والسعر'!$B$2:$B$700,0)),0))</f>
        <v>10.577115</v>
      </c>
      <c r="H3578" s="104" t="s">
        <v>719</v>
      </c>
    </row>
    <row r="3579" customFormat="false" ht="15" hidden="false" customHeight="false" outlineLevel="0" collapsed="false">
      <c r="A3579" s="103" t="n">
        <v>46297</v>
      </c>
      <c r="B3579" s="104" t="s">
        <v>32</v>
      </c>
      <c r="C3579" s="104" t="s">
        <v>468</v>
      </c>
      <c r="D3579" s="105" t="n">
        <v>0.1667</v>
      </c>
      <c r="E3579" s="106" t="n">
        <v>100</v>
      </c>
      <c r="F3579" s="107" t="n">
        <f aca="false">IF($C3579="","",$D3579*$E3579)</f>
        <v>16.67</v>
      </c>
      <c r="G3579" s="107" t="n">
        <f aca="false">IF($C3579="","",$D3579*IFERROR(INDEX('تحليل التكلفة والسعر'!$C$2:$C$700,MATCH($C3579,'تحليل التكلفة والسعر'!$B$2:$B$700,0)),0))</f>
        <v>10.577115</v>
      </c>
      <c r="H3579" s="104" t="s">
        <v>719</v>
      </c>
    </row>
    <row r="3580" customFormat="false" ht="15" hidden="false" customHeight="false" outlineLevel="0" collapsed="false">
      <c r="A3580" s="103" t="n">
        <v>46298</v>
      </c>
      <c r="B3580" s="104" t="s">
        <v>32</v>
      </c>
      <c r="C3580" s="104" t="s">
        <v>468</v>
      </c>
      <c r="D3580" s="105" t="n">
        <v>0.1667</v>
      </c>
      <c r="E3580" s="106" t="n">
        <v>100</v>
      </c>
      <c r="F3580" s="107" t="n">
        <f aca="false">IF($C3580="","",$D3580*$E3580)</f>
        <v>16.67</v>
      </c>
      <c r="G3580" s="107" t="n">
        <f aca="false">IF($C3580="","",$D3580*IFERROR(INDEX('تحليل التكلفة والسعر'!$C$2:$C$700,MATCH($C3580,'تحليل التكلفة والسعر'!$B$2:$B$700,0)),0))</f>
        <v>10.577115</v>
      </c>
      <c r="H3580" s="104" t="s">
        <v>719</v>
      </c>
    </row>
    <row r="3581" customFormat="false" ht="15" hidden="false" customHeight="false" outlineLevel="0" collapsed="false">
      <c r="A3581" s="103" t="n">
        <v>46299</v>
      </c>
      <c r="B3581" s="104" t="s">
        <v>32</v>
      </c>
      <c r="C3581" s="104" t="s">
        <v>468</v>
      </c>
      <c r="D3581" s="105" t="n">
        <v>0.1667</v>
      </c>
      <c r="E3581" s="106" t="n">
        <v>100</v>
      </c>
      <c r="F3581" s="107" t="n">
        <f aca="false">IF($C3581="","",$D3581*$E3581)</f>
        <v>16.67</v>
      </c>
      <c r="G3581" s="107" t="n">
        <f aca="false">IF($C3581="","",$D3581*IFERROR(INDEX('تحليل التكلفة والسعر'!$C$2:$C$700,MATCH($C3581,'تحليل التكلفة والسعر'!$B$2:$B$700,0)),0))</f>
        <v>10.577115</v>
      </c>
      <c r="H3581" s="104" t="s">
        <v>719</v>
      </c>
    </row>
    <row r="3582" customFormat="false" ht="15" hidden="false" customHeight="false" outlineLevel="0" collapsed="false">
      <c r="A3582" s="103" t="n">
        <v>46300</v>
      </c>
      <c r="B3582" s="104" t="s">
        <v>32</v>
      </c>
      <c r="C3582" s="104" t="s">
        <v>468</v>
      </c>
      <c r="D3582" s="105" t="n">
        <v>0.1667</v>
      </c>
      <c r="E3582" s="106" t="n">
        <v>100</v>
      </c>
      <c r="F3582" s="107" t="n">
        <f aca="false">IF($C3582="","",$D3582*$E3582)</f>
        <v>16.67</v>
      </c>
      <c r="G3582" s="107" t="n">
        <f aca="false">IF($C3582="","",$D3582*IFERROR(INDEX('تحليل التكلفة والسعر'!$C$2:$C$700,MATCH($C3582,'تحليل التكلفة والسعر'!$B$2:$B$700,0)),0))</f>
        <v>10.577115</v>
      </c>
      <c r="H3582" s="104" t="s">
        <v>719</v>
      </c>
    </row>
    <row r="3583" customFormat="false" ht="15" hidden="false" customHeight="false" outlineLevel="0" collapsed="false">
      <c r="A3583" s="103" t="n">
        <v>46301</v>
      </c>
      <c r="B3583" s="104" t="s">
        <v>32</v>
      </c>
      <c r="C3583" s="104" t="s">
        <v>468</v>
      </c>
      <c r="D3583" s="105" t="n">
        <v>0.1667</v>
      </c>
      <c r="E3583" s="106" t="n">
        <v>100</v>
      </c>
      <c r="F3583" s="107" t="n">
        <f aca="false">IF($C3583="","",$D3583*$E3583)</f>
        <v>16.67</v>
      </c>
      <c r="G3583" s="107" t="n">
        <f aca="false">IF($C3583="","",$D3583*IFERROR(INDEX('تحليل التكلفة والسعر'!$C$2:$C$700,MATCH($C3583,'تحليل التكلفة والسعر'!$B$2:$B$700,0)),0))</f>
        <v>10.577115</v>
      </c>
      <c r="H3583" s="104" t="s">
        <v>719</v>
      </c>
    </row>
    <row r="3584" customFormat="false" ht="15" hidden="false" customHeight="false" outlineLevel="0" collapsed="false">
      <c r="A3584" s="103" t="n">
        <v>46302</v>
      </c>
      <c r="B3584" s="104" t="s">
        <v>32</v>
      </c>
      <c r="C3584" s="104" t="s">
        <v>468</v>
      </c>
      <c r="D3584" s="105" t="n">
        <v>0.1667</v>
      </c>
      <c r="E3584" s="106" t="n">
        <v>100</v>
      </c>
      <c r="F3584" s="107" t="n">
        <f aca="false">IF($C3584="","",$D3584*$E3584)</f>
        <v>16.67</v>
      </c>
      <c r="G3584" s="107" t="n">
        <f aca="false">IF($C3584="","",$D3584*IFERROR(INDEX('تحليل التكلفة والسعر'!$C$2:$C$700,MATCH($C3584,'تحليل التكلفة والسعر'!$B$2:$B$700,0)),0))</f>
        <v>10.577115</v>
      </c>
      <c r="H3584" s="104" t="s">
        <v>719</v>
      </c>
    </row>
    <row r="3585" customFormat="false" ht="15" hidden="false" customHeight="false" outlineLevel="0" collapsed="false">
      <c r="A3585" s="103" t="n">
        <v>46303</v>
      </c>
      <c r="B3585" s="104" t="s">
        <v>32</v>
      </c>
      <c r="C3585" s="104" t="s">
        <v>468</v>
      </c>
      <c r="D3585" s="105" t="n">
        <v>0.1667</v>
      </c>
      <c r="E3585" s="106" t="n">
        <v>100</v>
      </c>
      <c r="F3585" s="107" t="n">
        <f aca="false">IF($C3585="","",$D3585*$E3585)</f>
        <v>16.67</v>
      </c>
      <c r="G3585" s="107" t="n">
        <f aca="false">IF($C3585="","",$D3585*IFERROR(INDEX('تحليل التكلفة والسعر'!$C$2:$C$700,MATCH($C3585,'تحليل التكلفة والسعر'!$B$2:$B$700,0)),0))</f>
        <v>10.577115</v>
      </c>
      <c r="H3585" s="104" t="s">
        <v>719</v>
      </c>
    </row>
    <row r="3586" customFormat="false" ht="15" hidden="false" customHeight="false" outlineLevel="0" collapsed="false">
      <c r="A3586" s="103" t="n">
        <v>46304</v>
      </c>
      <c r="B3586" s="104" t="s">
        <v>32</v>
      </c>
      <c r="C3586" s="104" t="s">
        <v>468</v>
      </c>
      <c r="D3586" s="105" t="n">
        <v>0.1667</v>
      </c>
      <c r="E3586" s="106" t="n">
        <v>100</v>
      </c>
      <c r="F3586" s="107" t="n">
        <f aca="false">IF($C3586="","",$D3586*$E3586)</f>
        <v>16.67</v>
      </c>
      <c r="G3586" s="107" t="n">
        <f aca="false">IF($C3586="","",$D3586*IFERROR(INDEX('تحليل التكلفة والسعر'!$C$2:$C$700,MATCH($C3586,'تحليل التكلفة والسعر'!$B$2:$B$700,0)),0))</f>
        <v>10.577115</v>
      </c>
      <c r="H3586" s="104" t="s">
        <v>719</v>
      </c>
    </row>
    <row r="3587" customFormat="false" ht="15" hidden="false" customHeight="false" outlineLevel="0" collapsed="false">
      <c r="A3587" s="103" t="n">
        <v>46305</v>
      </c>
      <c r="B3587" s="104" t="s">
        <v>32</v>
      </c>
      <c r="C3587" s="104" t="s">
        <v>468</v>
      </c>
      <c r="D3587" s="105" t="n">
        <v>0.1667</v>
      </c>
      <c r="E3587" s="106" t="n">
        <v>100</v>
      </c>
      <c r="F3587" s="107" t="n">
        <f aca="false">IF($C3587="","",$D3587*$E3587)</f>
        <v>16.67</v>
      </c>
      <c r="G3587" s="107" t="n">
        <f aca="false">IF($C3587="","",$D3587*IFERROR(INDEX('تحليل التكلفة والسعر'!$C$2:$C$700,MATCH($C3587,'تحليل التكلفة والسعر'!$B$2:$B$700,0)),0))</f>
        <v>10.577115</v>
      </c>
      <c r="H3587" s="104" t="s">
        <v>719</v>
      </c>
    </row>
    <row r="3588" customFormat="false" ht="15" hidden="false" customHeight="false" outlineLevel="0" collapsed="false">
      <c r="A3588" s="103" t="n">
        <v>46306</v>
      </c>
      <c r="B3588" s="104" t="s">
        <v>32</v>
      </c>
      <c r="C3588" s="104" t="s">
        <v>468</v>
      </c>
      <c r="D3588" s="105" t="n">
        <v>0.1667</v>
      </c>
      <c r="E3588" s="106" t="n">
        <v>100</v>
      </c>
      <c r="F3588" s="107" t="n">
        <f aca="false">IF($C3588="","",$D3588*$E3588)</f>
        <v>16.67</v>
      </c>
      <c r="G3588" s="107" t="n">
        <f aca="false">IF($C3588="","",$D3588*IFERROR(INDEX('تحليل التكلفة والسعر'!$C$2:$C$700,MATCH($C3588,'تحليل التكلفة والسعر'!$B$2:$B$700,0)),0))</f>
        <v>10.577115</v>
      </c>
      <c r="H3588" s="104" t="s">
        <v>719</v>
      </c>
    </row>
    <row r="3589" customFormat="false" ht="15" hidden="false" customHeight="false" outlineLevel="0" collapsed="false">
      <c r="A3589" s="103" t="n">
        <v>46307</v>
      </c>
      <c r="B3589" s="104" t="s">
        <v>32</v>
      </c>
      <c r="C3589" s="104" t="s">
        <v>468</v>
      </c>
      <c r="D3589" s="105" t="n">
        <v>0.1667</v>
      </c>
      <c r="E3589" s="106" t="n">
        <v>100</v>
      </c>
      <c r="F3589" s="107" t="n">
        <f aca="false">IF($C3589="","",$D3589*$E3589)</f>
        <v>16.67</v>
      </c>
      <c r="G3589" s="107" t="n">
        <f aca="false">IF($C3589="","",$D3589*IFERROR(INDEX('تحليل التكلفة والسعر'!$C$2:$C$700,MATCH($C3589,'تحليل التكلفة والسعر'!$B$2:$B$700,0)),0))</f>
        <v>10.577115</v>
      </c>
      <c r="H3589" s="104" t="s">
        <v>719</v>
      </c>
    </row>
    <row r="3590" customFormat="false" ht="15" hidden="false" customHeight="false" outlineLevel="0" collapsed="false">
      <c r="A3590" s="103" t="n">
        <v>46296</v>
      </c>
      <c r="B3590" s="104" t="s">
        <v>32</v>
      </c>
      <c r="C3590" s="104" t="s">
        <v>442</v>
      </c>
      <c r="D3590" s="105" t="n">
        <v>1.1667</v>
      </c>
      <c r="E3590" s="106" t="n">
        <v>78.5714</v>
      </c>
      <c r="F3590" s="107" t="n">
        <f aca="false">IF($C3590="","",$D3590*$E3590)</f>
        <v>91.66925238</v>
      </c>
      <c r="G3590" s="107" t="n">
        <f aca="false">IF($C3590="","",$D3590*IFERROR(INDEX('تحليل التكلفة والسعر'!$C$2:$C$700,MATCH($C3590,'تحليل التكلفة والسعر'!$B$2:$B$700,0)),0))</f>
        <v>46.4556279324</v>
      </c>
      <c r="H3590" s="104" t="s">
        <v>719</v>
      </c>
    </row>
    <row r="3591" customFormat="false" ht="15" hidden="false" customHeight="false" outlineLevel="0" collapsed="false">
      <c r="A3591" s="103" t="n">
        <v>46297</v>
      </c>
      <c r="B3591" s="104" t="s">
        <v>32</v>
      </c>
      <c r="C3591" s="104" t="s">
        <v>442</v>
      </c>
      <c r="D3591" s="105" t="n">
        <v>1.1667</v>
      </c>
      <c r="E3591" s="106" t="n">
        <v>78.5714</v>
      </c>
      <c r="F3591" s="107" t="n">
        <f aca="false">IF($C3591="","",$D3591*$E3591)</f>
        <v>91.66925238</v>
      </c>
      <c r="G3591" s="107" t="n">
        <f aca="false">IF($C3591="","",$D3591*IFERROR(INDEX('تحليل التكلفة والسعر'!$C$2:$C$700,MATCH($C3591,'تحليل التكلفة والسعر'!$B$2:$B$700,0)),0))</f>
        <v>46.4556279324</v>
      </c>
      <c r="H3591" s="104" t="s">
        <v>719</v>
      </c>
    </row>
    <row r="3592" customFormat="false" ht="15" hidden="false" customHeight="false" outlineLevel="0" collapsed="false">
      <c r="A3592" s="103" t="n">
        <v>46298</v>
      </c>
      <c r="B3592" s="104" t="s">
        <v>32</v>
      </c>
      <c r="C3592" s="104" t="s">
        <v>442</v>
      </c>
      <c r="D3592" s="105" t="n">
        <v>1.1667</v>
      </c>
      <c r="E3592" s="106" t="n">
        <v>78.5714</v>
      </c>
      <c r="F3592" s="107" t="n">
        <f aca="false">IF($C3592="","",$D3592*$E3592)</f>
        <v>91.66925238</v>
      </c>
      <c r="G3592" s="107" t="n">
        <f aca="false">IF($C3592="","",$D3592*IFERROR(INDEX('تحليل التكلفة والسعر'!$C$2:$C$700,MATCH($C3592,'تحليل التكلفة والسعر'!$B$2:$B$700,0)),0))</f>
        <v>46.4556279324</v>
      </c>
      <c r="H3592" s="104" t="s">
        <v>719</v>
      </c>
    </row>
    <row r="3593" customFormat="false" ht="15" hidden="false" customHeight="false" outlineLevel="0" collapsed="false">
      <c r="A3593" s="103" t="n">
        <v>46299</v>
      </c>
      <c r="B3593" s="104" t="s">
        <v>32</v>
      </c>
      <c r="C3593" s="104" t="s">
        <v>442</v>
      </c>
      <c r="D3593" s="105" t="n">
        <v>1.1667</v>
      </c>
      <c r="E3593" s="106" t="n">
        <v>78.5714</v>
      </c>
      <c r="F3593" s="107" t="n">
        <f aca="false">IF($C3593="","",$D3593*$E3593)</f>
        <v>91.66925238</v>
      </c>
      <c r="G3593" s="107" t="n">
        <f aca="false">IF($C3593="","",$D3593*IFERROR(INDEX('تحليل التكلفة والسعر'!$C$2:$C$700,MATCH($C3593,'تحليل التكلفة والسعر'!$B$2:$B$700,0)),0))</f>
        <v>46.4556279324</v>
      </c>
      <c r="H3593" s="104" t="s">
        <v>719</v>
      </c>
    </row>
    <row r="3594" customFormat="false" ht="15" hidden="false" customHeight="false" outlineLevel="0" collapsed="false">
      <c r="A3594" s="103" t="n">
        <v>46300</v>
      </c>
      <c r="B3594" s="104" t="s">
        <v>32</v>
      </c>
      <c r="C3594" s="104" t="s">
        <v>442</v>
      </c>
      <c r="D3594" s="105" t="n">
        <v>1.1667</v>
      </c>
      <c r="E3594" s="106" t="n">
        <v>78.5714</v>
      </c>
      <c r="F3594" s="107" t="n">
        <f aca="false">IF($C3594="","",$D3594*$E3594)</f>
        <v>91.66925238</v>
      </c>
      <c r="G3594" s="107" t="n">
        <f aca="false">IF($C3594="","",$D3594*IFERROR(INDEX('تحليل التكلفة والسعر'!$C$2:$C$700,MATCH($C3594,'تحليل التكلفة والسعر'!$B$2:$B$700,0)),0))</f>
        <v>46.4556279324</v>
      </c>
      <c r="H3594" s="104" t="s">
        <v>719</v>
      </c>
    </row>
    <row r="3595" customFormat="false" ht="15" hidden="false" customHeight="false" outlineLevel="0" collapsed="false">
      <c r="A3595" s="103" t="n">
        <v>46301</v>
      </c>
      <c r="B3595" s="104" t="s">
        <v>32</v>
      </c>
      <c r="C3595" s="104" t="s">
        <v>442</v>
      </c>
      <c r="D3595" s="105" t="n">
        <v>1.1667</v>
      </c>
      <c r="E3595" s="106" t="n">
        <v>78.5714</v>
      </c>
      <c r="F3595" s="107" t="n">
        <f aca="false">IF($C3595="","",$D3595*$E3595)</f>
        <v>91.66925238</v>
      </c>
      <c r="G3595" s="107" t="n">
        <f aca="false">IF($C3595="","",$D3595*IFERROR(INDEX('تحليل التكلفة والسعر'!$C$2:$C$700,MATCH($C3595,'تحليل التكلفة والسعر'!$B$2:$B$700,0)),0))</f>
        <v>46.4556279324</v>
      </c>
      <c r="H3595" s="104" t="s">
        <v>719</v>
      </c>
    </row>
    <row r="3596" customFormat="false" ht="15" hidden="false" customHeight="false" outlineLevel="0" collapsed="false">
      <c r="A3596" s="103" t="n">
        <v>46302</v>
      </c>
      <c r="B3596" s="104" t="s">
        <v>32</v>
      </c>
      <c r="C3596" s="104" t="s">
        <v>442</v>
      </c>
      <c r="D3596" s="105" t="n">
        <v>1.1667</v>
      </c>
      <c r="E3596" s="106" t="n">
        <v>78.5714</v>
      </c>
      <c r="F3596" s="107" t="n">
        <f aca="false">IF($C3596="","",$D3596*$E3596)</f>
        <v>91.66925238</v>
      </c>
      <c r="G3596" s="107" t="n">
        <f aca="false">IF($C3596="","",$D3596*IFERROR(INDEX('تحليل التكلفة والسعر'!$C$2:$C$700,MATCH($C3596,'تحليل التكلفة والسعر'!$B$2:$B$700,0)),0))</f>
        <v>46.4556279324</v>
      </c>
      <c r="H3596" s="104" t="s">
        <v>719</v>
      </c>
    </row>
    <row r="3597" customFormat="false" ht="15" hidden="false" customHeight="false" outlineLevel="0" collapsed="false">
      <c r="A3597" s="103" t="n">
        <v>46303</v>
      </c>
      <c r="B3597" s="104" t="s">
        <v>32</v>
      </c>
      <c r="C3597" s="104" t="s">
        <v>442</v>
      </c>
      <c r="D3597" s="105" t="n">
        <v>1.1667</v>
      </c>
      <c r="E3597" s="106" t="n">
        <v>78.5714</v>
      </c>
      <c r="F3597" s="107" t="n">
        <f aca="false">IF($C3597="","",$D3597*$E3597)</f>
        <v>91.66925238</v>
      </c>
      <c r="G3597" s="107" t="n">
        <f aca="false">IF($C3597="","",$D3597*IFERROR(INDEX('تحليل التكلفة والسعر'!$C$2:$C$700,MATCH($C3597,'تحليل التكلفة والسعر'!$B$2:$B$700,0)),0))</f>
        <v>46.4556279324</v>
      </c>
      <c r="H3597" s="104" t="s">
        <v>719</v>
      </c>
    </row>
    <row r="3598" customFormat="false" ht="15" hidden="false" customHeight="false" outlineLevel="0" collapsed="false">
      <c r="A3598" s="103" t="n">
        <v>46304</v>
      </c>
      <c r="B3598" s="104" t="s">
        <v>32</v>
      </c>
      <c r="C3598" s="104" t="s">
        <v>442</v>
      </c>
      <c r="D3598" s="105" t="n">
        <v>1.1667</v>
      </c>
      <c r="E3598" s="106" t="n">
        <v>78.5714</v>
      </c>
      <c r="F3598" s="107" t="n">
        <f aca="false">IF($C3598="","",$D3598*$E3598)</f>
        <v>91.66925238</v>
      </c>
      <c r="G3598" s="107" t="n">
        <f aca="false">IF($C3598="","",$D3598*IFERROR(INDEX('تحليل التكلفة والسعر'!$C$2:$C$700,MATCH($C3598,'تحليل التكلفة والسعر'!$B$2:$B$700,0)),0))</f>
        <v>46.4556279324</v>
      </c>
      <c r="H3598" s="104" t="s">
        <v>719</v>
      </c>
    </row>
    <row r="3599" customFormat="false" ht="15" hidden="false" customHeight="false" outlineLevel="0" collapsed="false">
      <c r="A3599" s="103" t="n">
        <v>46305</v>
      </c>
      <c r="B3599" s="104" t="s">
        <v>32</v>
      </c>
      <c r="C3599" s="104" t="s">
        <v>442</v>
      </c>
      <c r="D3599" s="105" t="n">
        <v>1.1667</v>
      </c>
      <c r="E3599" s="106" t="n">
        <v>78.5714</v>
      </c>
      <c r="F3599" s="107" t="n">
        <f aca="false">IF($C3599="","",$D3599*$E3599)</f>
        <v>91.66925238</v>
      </c>
      <c r="G3599" s="107" t="n">
        <f aca="false">IF($C3599="","",$D3599*IFERROR(INDEX('تحليل التكلفة والسعر'!$C$2:$C$700,MATCH($C3599,'تحليل التكلفة والسعر'!$B$2:$B$700,0)),0))</f>
        <v>46.4556279324</v>
      </c>
      <c r="H3599" s="104" t="s">
        <v>719</v>
      </c>
    </row>
    <row r="3600" customFormat="false" ht="15" hidden="false" customHeight="false" outlineLevel="0" collapsed="false">
      <c r="A3600" s="103" t="n">
        <v>46306</v>
      </c>
      <c r="B3600" s="104" t="s">
        <v>32</v>
      </c>
      <c r="C3600" s="104" t="s">
        <v>442</v>
      </c>
      <c r="D3600" s="105" t="n">
        <v>1.1667</v>
      </c>
      <c r="E3600" s="106" t="n">
        <v>78.5714</v>
      </c>
      <c r="F3600" s="107" t="n">
        <f aca="false">IF($C3600="","",$D3600*$E3600)</f>
        <v>91.66925238</v>
      </c>
      <c r="G3600" s="107" t="n">
        <f aca="false">IF($C3600="","",$D3600*IFERROR(INDEX('تحليل التكلفة والسعر'!$C$2:$C$700,MATCH($C3600,'تحليل التكلفة والسعر'!$B$2:$B$700,0)),0))</f>
        <v>46.4556279324</v>
      </c>
      <c r="H3600" s="104" t="s">
        <v>719</v>
      </c>
    </row>
    <row r="3601" customFormat="false" ht="15" hidden="false" customHeight="false" outlineLevel="0" collapsed="false">
      <c r="A3601" s="103" t="n">
        <v>46307</v>
      </c>
      <c r="B3601" s="104" t="s">
        <v>32</v>
      </c>
      <c r="C3601" s="104" t="s">
        <v>442</v>
      </c>
      <c r="D3601" s="105" t="n">
        <v>1.1667</v>
      </c>
      <c r="E3601" s="106" t="n">
        <v>78.5714</v>
      </c>
      <c r="F3601" s="107" t="n">
        <f aca="false">IF($C3601="","",$D3601*$E3601)</f>
        <v>91.66925238</v>
      </c>
      <c r="G3601" s="107" t="n">
        <f aca="false">IF($C3601="","",$D3601*IFERROR(INDEX('تحليل التكلفة والسعر'!$C$2:$C$700,MATCH($C3601,'تحليل التكلفة والسعر'!$B$2:$B$700,0)),0))</f>
        <v>46.4556279324</v>
      </c>
      <c r="H3601" s="104" t="s">
        <v>719</v>
      </c>
    </row>
    <row r="3602" customFormat="false" ht="15" hidden="false" customHeight="false" outlineLevel="0" collapsed="false">
      <c r="A3602" s="103" t="n">
        <v>46296</v>
      </c>
      <c r="B3602" s="104" t="s">
        <v>32</v>
      </c>
      <c r="C3602" s="104" t="s">
        <v>475</v>
      </c>
      <c r="D3602" s="105" t="n">
        <v>1</v>
      </c>
      <c r="E3602" s="106" t="n">
        <v>350</v>
      </c>
      <c r="F3602" s="107" t="n">
        <f aca="false">IF($C3602="","",$D3602*$E3602)</f>
        <v>350</v>
      </c>
      <c r="G3602" s="107" t="n">
        <f aca="false">IF($C3602="","",$D3602*IFERROR(INDEX('تحليل التكلفة والسعر'!$C$2:$C$700,MATCH($C3602,'تحليل التكلفة والسعر'!$B$2:$B$700,0)),0))</f>
        <v>158.2982</v>
      </c>
      <c r="H3602" s="104" t="s">
        <v>719</v>
      </c>
    </row>
    <row r="3603" customFormat="false" ht="15" hidden="false" customHeight="false" outlineLevel="0" collapsed="false">
      <c r="A3603" s="103" t="n">
        <v>46297</v>
      </c>
      <c r="B3603" s="104" t="s">
        <v>32</v>
      </c>
      <c r="C3603" s="104" t="s">
        <v>475</v>
      </c>
      <c r="D3603" s="105" t="n">
        <v>1</v>
      </c>
      <c r="E3603" s="106" t="n">
        <v>350</v>
      </c>
      <c r="F3603" s="107" t="n">
        <f aca="false">IF($C3603="","",$D3603*$E3603)</f>
        <v>350</v>
      </c>
      <c r="G3603" s="107" t="n">
        <f aca="false">IF($C3603="","",$D3603*IFERROR(INDEX('تحليل التكلفة والسعر'!$C$2:$C$700,MATCH($C3603,'تحليل التكلفة والسعر'!$B$2:$B$700,0)),0))</f>
        <v>158.2982</v>
      </c>
      <c r="H3603" s="104" t="s">
        <v>719</v>
      </c>
    </row>
    <row r="3604" customFormat="false" ht="15" hidden="false" customHeight="false" outlineLevel="0" collapsed="false">
      <c r="A3604" s="103" t="n">
        <v>46298</v>
      </c>
      <c r="B3604" s="104" t="s">
        <v>32</v>
      </c>
      <c r="C3604" s="104" t="s">
        <v>475</v>
      </c>
      <c r="D3604" s="105" t="n">
        <v>1</v>
      </c>
      <c r="E3604" s="106" t="n">
        <v>350</v>
      </c>
      <c r="F3604" s="107" t="n">
        <f aca="false">IF($C3604="","",$D3604*$E3604)</f>
        <v>350</v>
      </c>
      <c r="G3604" s="107" t="n">
        <f aca="false">IF($C3604="","",$D3604*IFERROR(INDEX('تحليل التكلفة والسعر'!$C$2:$C$700,MATCH($C3604,'تحليل التكلفة والسعر'!$B$2:$B$700,0)),0))</f>
        <v>158.2982</v>
      </c>
      <c r="H3604" s="104" t="s">
        <v>719</v>
      </c>
    </row>
    <row r="3605" customFormat="false" ht="15" hidden="false" customHeight="false" outlineLevel="0" collapsed="false">
      <c r="A3605" s="103" t="n">
        <v>46299</v>
      </c>
      <c r="B3605" s="104" t="s">
        <v>32</v>
      </c>
      <c r="C3605" s="104" t="s">
        <v>475</v>
      </c>
      <c r="D3605" s="105" t="n">
        <v>1</v>
      </c>
      <c r="E3605" s="106" t="n">
        <v>350</v>
      </c>
      <c r="F3605" s="107" t="n">
        <f aca="false">IF($C3605="","",$D3605*$E3605)</f>
        <v>350</v>
      </c>
      <c r="G3605" s="107" t="n">
        <f aca="false">IF($C3605="","",$D3605*IFERROR(INDEX('تحليل التكلفة والسعر'!$C$2:$C$700,MATCH($C3605,'تحليل التكلفة والسعر'!$B$2:$B$700,0)),0))</f>
        <v>158.2982</v>
      </c>
      <c r="H3605" s="104" t="s">
        <v>719</v>
      </c>
    </row>
    <row r="3606" customFormat="false" ht="15" hidden="false" customHeight="false" outlineLevel="0" collapsed="false">
      <c r="A3606" s="103" t="n">
        <v>46300</v>
      </c>
      <c r="B3606" s="104" t="s">
        <v>32</v>
      </c>
      <c r="C3606" s="104" t="s">
        <v>475</v>
      </c>
      <c r="D3606" s="105" t="n">
        <v>1</v>
      </c>
      <c r="E3606" s="106" t="n">
        <v>350</v>
      </c>
      <c r="F3606" s="107" t="n">
        <f aca="false">IF($C3606="","",$D3606*$E3606)</f>
        <v>350</v>
      </c>
      <c r="G3606" s="107" t="n">
        <f aca="false">IF($C3606="","",$D3606*IFERROR(INDEX('تحليل التكلفة والسعر'!$C$2:$C$700,MATCH($C3606,'تحليل التكلفة والسعر'!$B$2:$B$700,0)),0))</f>
        <v>158.2982</v>
      </c>
      <c r="H3606" s="104" t="s">
        <v>719</v>
      </c>
    </row>
    <row r="3607" customFormat="false" ht="15" hidden="false" customHeight="false" outlineLevel="0" collapsed="false">
      <c r="A3607" s="103" t="n">
        <v>46301</v>
      </c>
      <c r="B3607" s="104" t="s">
        <v>32</v>
      </c>
      <c r="C3607" s="104" t="s">
        <v>475</v>
      </c>
      <c r="D3607" s="105" t="n">
        <v>1</v>
      </c>
      <c r="E3607" s="106" t="n">
        <v>350</v>
      </c>
      <c r="F3607" s="107" t="n">
        <f aca="false">IF($C3607="","",$D3607*$E3607)</f>
        <v>350</v>
      </c>
      <c r="G3607" s="107" t="n">
        <f aca="false">IF($C3607="","",$D3607*IFERROR(INDEX('تحليل التكلفة والسعر'!$C$2:$C$700,MATCH($C3607,'تحليل التكلفة والسعر'!$B$2:$B$700,0)),0))</f>
        <v>158.2982</v>
      </c>
      <c r="H3607" s="104" t="s">
        <v>719</v>
      </c>
    </row>
    <row r="3608" customFormat="false" ht="15" hidden="false" customHeight="false" outlineLevel="0" collapsed="false">
      <c r="A3608" s="103" t="n">
        <v>46302</v>
      </c>
      <c r="B3608" s="104" t="s">
        <v>32</v>
      </c>
      <c r="C3608" s="104" t="s">
        <v>475</v>
      </c>
      <c r="D3608" s="105" t="n">
        <v>1</v>
      </c>
      <c r="E3608" s="106" t="n">
        <v>350</v>
      </c>
      <c r="F3608" s="107" t="n">
        <f aca="false">IF($C3608="","",$D3608*$E3608)</f>
        <v>350</v>
      </c>
      <c r="G3608" s="107" t="n">
        <f aca="false">IF($C3608="","",$D3608*IFERROR(INDEX('تحليل التكلفة والسعر'!$C$2:$C$700,MATCH($C3608,'تحليل التكلفة والسعر'!$B$2:$B$700,0)),0))</f>
        <v>158.2982</v>
      </c>
      <c r="H3608" s="104" t="s">
        <v>719</v>
      </c>
    </row>
    <row r="3609" customFormat="false" ht="15" hidden="false" customHeight="false" outlineLevel="0" collapsed="false">
      <c r="A3609" s="103" t="n">
        <v>46303</v>
      </c>
      <c r="B3609" s="104" t="s">
        <v>32</v>
      </c>
      <c r="C3609" s="104" t="s">
        <v>475</v>
      </c>
      <c r="D3609" s="105" t="n">
        <v>1</v>
      </c>
      <c r="E3609" s="106" t="n">
        <v>350</v>
      </c>
      <c r="F3609" s="107" t="n">
        <f aca="false">IF($C3609="","",$D3609*$E3609)</f>
        <v>350</v>
      </c>
      <c r="G3609" s="107" t="n">
        <f aca="false">IF($C3609="","",$D3609*IFERROR(INDEX('تحليل التكلفة والسعر'!$C$2:$C$700,MATCH($C3609,'تحليل التكلفة والسعر'!$B$2:$B$700,0)),0))</f>
        <v>158.2982</v>
      </c>
      <c r="H3609" s="104" t="s">
        <v>719</v>
      </c>
    </row>
    <row r="3610" customFormat="false" ht="15" hidden="false" customHeight="false" outlineLevel="0" collapsed="false">
      <c r="A3610" s="103" t="n">
        <v>46304</v>
      </c>
      <c r="B3610" s="104" t="s">
        <v>32</v>
      </c>
      <c r="C3610" s="104" t="s">
        <v>475</v>
      </c>
      <c r="D3610" s="105" t="n">
        <v>1</v>
      </c>
      <c r="E3610" s="106" t="n">
        <v>350</v>
      </c>
      <c r="F3610" s="107" t="n">
        <f aca="false">IF($C3610="","",$D3610*$E3610)</f>
        <v>350</v>
      </c>
      <c r="G3610" s="107" t="n">
        <f aca="false">IF($C3610="","",$D3610*IFERROR(INDEX('تحليل التكلفة والسعر'!$C$2:$C$700,MATCH($C3610,'تحليل التكلفة والسعر'!$B$2:$B$700,0)),0))</f>
        <v>158.2982</v>
      </c>
      <c r="H3610" s="104" t="s">
        <v>719</v>
      </c>
    </row>
    <row r="3611" customFormat="false" ht="15" hidden="false" customHeight="false" outlineLevel="0" collapsed="false">
      <c r="A3611" s="103" t="n">
        <v>46305</v>
      </c>
      <c r="B3611" s="104" t="s">
        <v>32</v>
      </c>
      <c r="C3611" s="104" t="s">
        <v>475</v>
      </c>
      <c r="D3611" s="105" t="n">
        <v>1</v>
      </c>
      <c r="E3611" s="106" t="n">
        <v>350</v>
      </c>
      <c r="F3611" s="107" t="n">
        <f aca="false">IF($C3611="","",$D3611*$E3611)</f>
        <v>350</v>
      </c>
      <c r="G3611" s="107" t="n">
        <f aca="false">IF($C3611="","",$D3611*IFERROR(INDEX('تحليل التكلفة والسعر'!$C$2:$C$700,MATCH($C3611,'تحليل التكلفة والسعر'!$B$2:$B$700,0)),0))</f>
        <v>158.2982</v>
      </c>
      <c r="H3611" s="104" t="s">
        <v>719</v>
      </c>
    </row>
    <row r="3612" customFormat="false" ht="15" hidden="false" customHeight="false" outlineLevel="0" collapsed="false">
      <c r="A3612" s="103" t="n">
        <v>46306</v>
      </c>
      <c r="B3612" s="104" t="s">
        <v>32</v>
      </c>
      <c r="C3612" s="104" t="s">
        <v>475</v>
      </c>
      <c r="D3612" s="105" t="n">
        <v>1</v>
      </c>
      <c r="E3612" s="106" t="n">
        <v>350</v>
      </c>
      <c r="F3612" s="107" t="n">
        <f aca="false">IF($C3612="","",$D3612*$E3612)</f>
        <v>350</v>
      </c>
      <c r="G3612" s="107" t="n">
        <f aca="false">IF($C3612="","",$D3612*IFERROR(INDEX('تحليل التكلفة والسعر'!$C$2:$C$700,MATCH($C3612,'تحليل التكلفة والسعر'!$B$2:$B$700,0)),0))</f>
        <v>158.2982</v>
      </c>
      <c r="H3612" s="104" t="s">
        <v>719</v>
      </c>
    </row>
    <row r="3613" customFormat="false" ht="15" hidden="false" customHeight="false" outlineLevel="0" collapsed="false">
      <c r="A3613" s="103" t="n">
        <v>46307</v>
      </c>
      <c r="B3613" s="104" t="s">
        <v>32</v>
      </c>
      <c r="C3613" s="104" t="s">
        <v>475</v>
      </c>
      <c r="D3613" s="105" t="n">
        <v>1</v>
      </c>
      <c r="E3613" s="106" t="n">
        <v>350</v>
      </c>
      <c r="F3613" s="107" t="n">
        <f aca="false">IF($C3613="","",$D3613*$E3613)</f>
        <v>350</v>
      </c>
      <c r="G3613" s="107" t="n">
        <f aca="false">IF($C3613="","",$D3613*IFERROR(INDEX('تحليل التكلفة والسعر'!$C$2:$C$700,MATCH($C3613,'تحليل التكلفة والسعر'!$B$2:$B$700,0)),0))</f>
        <v>158.2982</v>
      </c>
      <c r="H3613" s="104" t="s">
        <v>719</v>
      </c>
    </row>
    <row r="3614" customFormat="false" ht="15" hidden="false" customHeight="false" outlineLevel="0" collapsed="false">
      <c r="A3614" s="103" t="n">
        <v>46296</v>
      </c>
      <c r="B3614" s="104" t="s">
        <v>32</v>
      </c>
      <c r="C3614" s="104" t="s">
        <v>477</v>
      </c>
      <c r="D3614" s="105" t="n">
        <v>3</v>
      </c>
      <c r="E3614" s="106" t="n">
        <v>235.2778</v>
      </c>
      <c r="F3614" s="107" t="n">
        <f aca="false">IF($C3614="","",$D3614*$E3614)</f>
        <v>705.8334</v>
      </c>
      <c r="G3614" s="107" t="n">
        <f aca="false">IF($C3614="","",$D3614*IFERROR(INDEX('تحليل التكلفة والسعر'!$C$2:$C$700,MATCH($C3614,'تحليل التكلفة والسعر'!$B$2:$B$700,0)),0))</f>
        <v>348.8895</v>
      </c>
      <c r="H3614" s="104" t="s">
        <v>719</v>
      </c>
    </row>
    <row r="3615" customFormat="false" ht="15" hidden="false" customHeight="false" outlineLevel="0" collapsed="false">
      <c r="A3615" s="103" t="n">
        <v>46297</v>
      </c>
      <c r="B3615" s="104" t="s">
        <v>32</v>
      </c>
      <c r="C3615" s="104" t="s">
        <v>477</v>
      </c>
      <c r="D3615" s="105" t="n">
        <v>3</v>
      </c>
      <c r="E3615" s="106" t="n">
        <v>235.2778</v>
      </c>
      <c r="F3615" s="107" t="n">
        <f aca="false">IF($C3615="","",$D3615*$E3615)</f>
        <v>705.8334</v>
      </c>
      <c r="G3615" s="107" t="n">
        <f aca="false">IF($C3615="","",$D3615*IFERROR(INDEX('تحليل التكلفة والسعر'!$C$2:$C$700,MATCH($C3615,'تحليل التكلفة والسعر'!$B$2:$B$700,0)),0))</f>
        <v>348.8895</v>
      </c>
      <c r="H3615" s="104" t="s">
        <v>719</v>
      </c>
    </row>
    <row r="3616" customFormat="false" ht="15" hidden="false" customHeight="false" outlineLevel="0" collapsed="false">
      <c r="A3616" s="103" t="n">
        <v>46298</v>
      </c>
      <c r="B3616" s="104" t="s">
        <v>32</v>
      </c>
      <c r="C3616" s="104" t="s">
        <v>477</v>
      </c>
      <c r="D3616" s="105" t="n">
        <v>3</v>
      </c>
      <c r="E3616" s="106" t="n">
        <v>235.2778</v>
      </c>
      <c r="F3616" s="107" t="n">
        <f aca="false">IF($C3616="","",$D3616*$E3616)</f>
        <v>705.8334</v>
      </c>
      <c r="G3616" s="107" t="n">
        <f aca="false">IF($C3616="","",$D3616*IFERROR(INDEX('تحليل التكلفة والسعر'!$C$2:$C$700,MATCH($C3616,'تحليل التكلفة والسعر'!$B$2:$B$700,0)),0))</f>
        <v>348.8895</v>
      </c>
      <c r="H3616" s="104" t="s">
        <v>719</v>
      </c>
    </row>
    <row r="3617" customFormat="false" ht="15" hidden="false" customHeight="false" outlineLevel="0" collapsed="false">
      <c r="A3617" s="103" t="n">
        <v>46299</v>
      </c>
      <c r="B3617" s="104" t="s">
        <v>32</v>
      </c>
      <c r="C3617" s="104" t="s">
        <v>477</v>
      </c>
      <c r="D3617" s="105" t="n">
        <v>3</v>
      </c>
      <c r="E3617" s="106" t="n">
        <v>235.2778</v>
      </c>
      <c r="F3617" s="107" t="n">
        <f aca="false">IF($C3617="","",$D3617*$E3617)</f>
        <v>705.8334</v>
      </c>
      <c r="G3617" s="107" t="n">
        <f aca="false">IF($C3617="","",$D3617*IFERROR(INDEX('تحليل التكلفة والسعر'!$C$2:$C$700,MATCH($C3617,'تحليل التكلفة والسعر'!$B$2:$B$700,0)),0))</f>
        <v>348.8895</v>
      </c>
      <c r="H3617" s="104" t="s">
        <v>719</v>
      </c>
    </row>
    <row r="3618" customFormat="false" ht="15" hidden="false" customHeight="false" outlineLevel="0" collapsed="false">
      <c r="A3618" s="103" t="n">
        <v>46300</v>
      </c>
      <c r="B3618" s="104" t="s">
        <v>32</v>
      </c>
      <c r="C3618" s="104" t="s">
        <v>477</v>
      </c>
      <c r="D3618" s="105" t="n">
        <v>3</v>
      </c>
      <c r="E3618" s="106" t="n">
        <v>235.2778</v>
      </c>
      <c r="F3618" s="107" t="n">
        <f aca="false">IF($C3618="","",$D3618*$E3618)</f>
        <v>705.8334</v>
      </c>
      <c r="G3618" s="107" t="n">
        <f aca="false">IF($C3618="","",$D3618*IFERROR(INDEX('تحليل التكلفة والسعر'!$C$2:$C$700,MATCH($C3618,'تحليل التكلفة والسعر'!$B$2:$B$700,0)),0))</f>
        <v>348.8895</v>
      </c>
      <c r="H3618" s="104" t="s">
        <v>719</v>
      </c>
    </row>
    <row r="3619" customFormat="false" ht="15" hidden="false" customHeight="false" outlineLevel="0" collapsed="false">
      <c r="A3619" s="103" t="n">
        <v>46301</v>
      </c>
      <c r="B3619" s="104" t="s">
        <v>32</v>
      </c>
      <c r="C3619" s="104" t="s">
        <v>477</v>
      </c>
      <c r="D3619" s="105" t="n">
        <v>3</v>
      </c>
      <c r="E3619" s="106" t="n">
        <v>235.2778</v>
      </c>
      <c r="F3619" s="107" t="n">
        <f aca="false">IF($C3619="","",$D3619*$E3619)</f>
        <v>705.8334</v>
      </c>
      <c r="G3619" s="107" t="n">
        <f aca="false">IF($C3619="","",$D3619*IFERROR(INDEX('تحليل التكلفة والسعر'!$C$2:$C$700,MATCH($C3619,'تحليل التكلفة والسعر'!$B$2:$B$700,0)),0))</f>
        <v>348.8895</v>
      </c>
      <c r="H3619" s="104" t="s">
        <v>719</v>
      </c>
    </row>
    <row r="3620" customFormat="false" ht="15" hidden="false" customHeight="false" outlineLevel="0" collapsed="false">
      <c r="A3620" s="103" t="n">
        <v>46302</v>
      </c>
      <c r="B3620" s="104" t="s">
        <v>32</v>
      </c>
      <c r="C3620" s="104" t="s">
        <v>477</v>
      </c>
      <c r="D3620" s="105" t="n">
        <v>3</v>
      </c>
      <c r="E3620" s="106" t="n">
        <v>235.2778</v>
      </c>
      <c r="F3620" s="107" t="n">
        <f aca="false">IF($C3620="","",$D3620*$E3620)</f>
        <v>705.8334</v>
      </c>
      <c r="G3620" s="107" t="n">
        <f aca="false">IF($C3620="","",$D3620*IFERROR(INDEX('تحليل التكلفة والسعر'!$C$2:$C$700,MATCH($C3620,'تحليل التكلفة والسعر'!$B$2:$B$700,0)),0))</f>
        <v>348.8895</v>
      </c>
      <c r="H3620" s="104" t="s">
        <v>719</v>
      </c>
    </row>
    <row r="3621" customFormat="false" ht="15" hidden="false" customHeight="false" outlineLevel="0" collapsed="false">
      <c r="A3621" s="103" t="n">
        <v>46303</v>
      </c>
      <c r="B3621" s="104" t="s">
        <v>32</v>
      </c>
      <c r="C3621" s="104" t="s">
        <v>477</v>
      </c>
      <c r="D3621" s="105" t="n">
        <v>3</v>
      </c>
      <c r="E3621" s="106" t="n">
        <v>235.2778</v>
      </c>
      <c r="F3621" s="107" t="n">
        <f aca="false">IF($C3621="","",$D3621*$E3621)</f>
        <v>705.8334</v>
      </c>
      <c r="G3621" s="107" t="n">
        <f aca="false">IF($C3621="","",$D3621*IFERROR(INDEX('تحليل التكلفة والسعر'!$C$2:$C$700,MATCH($C3621,'تحليل التكلفة والسعر'!$B$2:$B$700,0)),0))</f>
        <v>348.8895</v>
      </c>
      <c r="H3621" s="104" t="s">
        <v>719</v>
      </c>
    </row>
    <row r="3622" customFormat="false" ht="15" hidden="false" customHeight="false" outlineLevel="0" collapsed="false">
      <c r="A3622" s="103" t="n">
        <v>46304</v>
      </c>
      <c r="B3622" s="104" t="s">
        <v>32</v>
      </c>
      <c r="C3622" s="104" t="s">
        <v>477</v>
      </c>
      <c r="D3622" s="105" t="n">
        <v>3</v>
      </c>
      <c r="E3622" s="106" t="n">
        <v>235.2778</v>
      </c>
      <c r="F3622" s="107" t="n">
        <f aca="false">IF($C3622="","",$D3622*$E3622)</f>
        <v>705.8334</v>
      </c>
      <c r="G3622" s="107" t="n">
        <f aca="false">IF($C3622="","",$D3622*IFERROR(INDEX('تحليل التكلفة والسعر'!$C$2:$C$700,MATCH($C3622,'تحليل التكلفة والسعر'!$B$2:$B$700,0)),0))</f>
        <v>348.8895</v>
      </c>
      <c r="H3622" s="104" t="s">
        <v>719</v>
      </c>
    </row>
    <row r="3623" customFormat="false" ht="15" hidden="false" customHeight="false" outlineLevel="0" collapsed="false">
      <c r="A3623" s="103" t="n">
        <v>46305</v>
      </c>
      <c r="B3623" s="104" t="s">
        <v>32</v>
      </c>
      <c r="C3623" s="104" t="s">
        <v>477</v>
      </c>
      <c r="D3623" s="105" t="n">
        <v>3</v>
      </c>
      <c r="E3623" s="106" t="n">
        <v>235.2778</v>
      </c>
      <c r="F3623" s="107" t="n">
        <f aca="false">IF($C3623="","",$D3623*$E3623)</f>
        <v>705.8334</v>
      </c>
      <c r="G3623" s="107" t="n">
        <f aca="false">IF($C3623="","",$D3623*IFERROR(INDEX('تحليل التكلفة والسعر'!$C$2:$C$700,MATCH($C3623,'تحليل التكلفة والسعر'!$B$2:$B$700,0)),0))</f>
        <v>348.8895</v>
      </c>
      <c r="H3623" s="104" t="s">
        <v>719</v>
      </c>
    </row>
    <row r="3624" customFormat="false" ht="15" hidden="false" customHeight="false" outlineLevel="0" collapsed="false">
      <c r="A3624" s="103" t="n">
        <v>46306</v>
      </c>
      <c r="B3624" s="104" t="s">
        <v>32</v>
      </c>
      <c r="C3624" s="104" t="s">
        <v>477</v>
      </c>
      <c r="D3624" s="105" t="n">
        <v>3</v>
      </c>
      <c r="E3624" s="106" t="n">
        <v>235.2778</v>
      </c>
      <c r="F3624" s="107" t="n">
        <f aca="false">IF($C3624="","",$D3624*$E3624)</f>
        <v>705.8334</v>
      </c>
      <c r="G3624" s="107" t="n">
        <f aca="false">IF($C3624="","",$D3624*IFERROR(INDEX('تحليل التكلفة والسعر'!$C$2:$C$700,MATCH($C3624,'تحليل التكلفة والسعر'!$B$2:$B$700,0)),0))</f>
        <v>348.8895</v>
      </c>
      <c r="H3624" s="104" t="s">
        <v>719</v>
      </c>
    </row>
    <row r="3625" customFormat="false" ht="15" hidden="false" customHeight="false" outlineLevel="0" collapsed="false">
      <c r="A3625" s="103" t="n">
        <v>46307</v>
      </c>
      <c r="B3625" s="104" t="s">
        <v>32</v>
      </c>
      <c r="C3625" s="104" t="s">
        <v>477</v>
      </c>
      <c r="D3625" s="105" t="n">
        <v>3</v>
      </c>
      <c r="E3625" s="106" t="n">
        <v>235.2778</v>
      </c>
      <c r="F3625" s="107" t="n">
        <f aca="false">IF($C3625="","",$D3625*$E3625)</f>
        <v>705.8334</v>
      </c>
      <c r="G3625" s="107" t="n">
        <f aca="false">IF($C3625="","",$D3625*IFERROR(INDEX('تحليل التكلفة والسعر'!$C$2:$C$700,MATCH($C3625,'تحليل التكلفة والسعر'!$B$2:$B$700,0)),0))</f>
        <v>348.8895</v>
      </c>
      <c r="H3625" s="104" t="s">
        <v>719</v>
      </c>
    </row>
    <row r="3626" customFormat="false" ht="15" hidden="false" customHeight="false" outlineLevel="0" collapsed="false">
      <c r="A3626" s="103" t="n">
        <v>46296</v>
      </c>
      <c r="B3626" s="104" t="s">
        <v>32</v>
      </c>
      <c r="C3626" s="104" t="s">
        <v>428</v>
      </c>
      <c r="D3626" s="105" t="n">
        <v>0.1667</v>
      </c>
      <c r="E3626" s="106" t="n">
        <v>260</v>
      </c>
      <c r="F3626" s="107" t="n">
        <f aca="false">IF($C3626="","",$D3626*$E3626)</f>
        <v>43.342</v>
      </c>
      <c r="G3626" s="107" t="n">
        <f aca="false">IF($C3626="","",$D3626*IFERROR(INDEX('تحليل التكلفة والسعر'!$C$2:$C$700,MATCH($C3626,'تحليل التكلفة والسعر'!$B$2:$B$700,0)),0))</f>
        <v>27.4363198334</v>
      </c>
      <c r="H3626" s="104" t="s">
        <v>719</v>
      </c>
    </row>
    <row r="3627" customFormat="false" ht="15" hidden="false" customHeight="false" outlineLevel="0" collapsed="false">
      <c r="A3627" s="103" t="n">
        <v>46297</v>
      </c>
      <c r="B3627" s="104" t="s">
        <v>32</v>
      </c>
      <c r="C3627" s="104" t="s">
        <v>428</v>
      </c>
      <c r="D3627" s="105" t="n">
        <v>0.1667</v>
      </c>
      <c r="E3627" s="106" t="n">
        <v>260</v>
      </c>
      <c r="F3627" s="107" t="n">
        <f aca="false">IF($C3627="","",$D3627*$E3627)</f>
        <v>43.342</v>
      </c>
      <c r="G3627" s="107" t="n">
        <f aca="false">IF($C3627="","",$D3627*IFERROR(INDEX('تحليل التكلفة والسعر'!$C$2:$C$700,MATCH($C3627,'تحليل التكلفة والسعر'!$B$2:$B$700,0)),0))</f>
        <v>27.4363198334</v>
      </c>
      <c r="H3627" s="104" t="s">
        <v>719</v>
      </c>
    </row>
    <row r="3628" customFormat="false" ht="15" hidden="false" customHeight="false" outlineLevel="0" collapsed="false">
      <c r="A3628" s="103" t="n">
        <v>46298</v>
      </c>
      <c r="B3628" s="104" t="s">
        <v>32</v>
      </c>
      <c r="C3628" s="104" t="s">
        <v>428</v>
      </c>
      <c r="D3628" s="105" t="n">
        <v>0.1667</v>
      </c>
      <c r="E3628" s="106" t="n">
        <v>260</v>
      </c>
      <c r="F3628" s="107" t="n">
        <f aca="false">IF($C3628="","",$D3628*$E3628)</f>
        <v>43.342</v>
      </c>
      <c r="G3628" s="107" t="n">
        <f aca="false">IF($C3628="","",$D3628*IFERROR(INDEX('تحليل التكلفة والسعر'!$C$2:$C$700,MATCH($C3628,'تحليل التكلفة والسعر'!$B$2:$B$700,0)),0))</f>
        <v>27.4363198334</v>
      </c>
      <c r="H3628" s="104" t="s">
        <v>719</v>
      </c>
    </row>
    <row r="3629" customFormat="false" ht="15" hidden="false" customHeight="false" outlineLevel="0" collapsed="false">
      <c r="A3629" s="103" t="n">
        <v>46299</v>
      </c>
      <c r="B3629" s="104" t="s">
        <v>32</v>
      </c>
      <c r="C3629" s="104" t="s">
        <v>428</v>
      </c>
      <c r="D3629" s="105" t="n">
        <v>0.1667</v>
      </c>
      <c r="E3629" s="106" t="n">
        <v>260</v>
      </c>
      <c r="F3629" s="107" t="n">
        <f aca="false">IF($C3629="","",$D3629*$E3629)</f>
        <v>43.342</v>
      </c>
      <c r="G3629" s="107" t="n">
        <f aca="false">IF($C3629="","",$D3629*IFERROR(INDEX('تحليل التكلفة والسعر'!$C$2:$C$700,MATCH($C3629,'تحليل التكلفة والسعر'!$B$2:$B$700,0)),0))</f>
        <v>27.4363198334</v>
      </c>
      <c r="H3629" s="104" t="s">
        <v>719</v>
      </c>
    </row>
    <row r="3630" customFormat="false" ht="15" hidden="false" customHeight="false" outlineLevel="0" collapsed="false">
      <c r="A3630" s="103" t="n">
        <v>46300</v>
      </c>
      <c r="B3630" s="104" t="s">
        <v>32</v>
      </c>
      <c r="C3630" s="104" t="s">
        <v>428</v>
      </c>
      <c r="D3630" s="105" t="n">
        <v>0.1667</v>
      </c>
      <c r="E3630" s="106" t="n">
        <v>260</v>
      </c>
      <c r="F3630" s="107" t="n">
        <f aca="false">IF($C3630="","",$D3630*$E3630)</f>
        <v>43.342</v>
      </c>
      <c r="G3630" s="107" t="n">
        <f aca="false">IF($C3630="","",$D3630*IFERROR(INDEX('تحليل التكلفة والسعر'!$C$2:$C$700,MATCH($C3630,'تحليل التكلفة والسعر'!$B$2:$B$700,0)),0))</f>
        <v>27.4363198334</v>
      </c>
      <c r="H3630" s="104" t="s">
        <v>719</v>
      </c>
    </row>
    <row r="3631" customFormat="false" ht="15" hidden="false" customHeight="false" outlineLevel="0" collapsed="false">
      <c r="A3631" s="103" t="n">
        <v>46301</v>
      </c>
      <c r="B3631" s="104" t="s">
        <v>32</v>
      </c>
      <c r="C3631" s="104" t="s">
        <v>428</v>
      </c>
      <c r="D3631" s="105" t="n">
        <v>0.1667</v>
      </c>
      <c r="E3631" s="106" t="n">
        <v>260</v>
      </c>
      <c r="F3631" s="107" t="n">
        <f aca="false">IF($C3631="","",$D3631*$E3631)</f>
        <v>43.342</v>
      </c>
      <c r="G3631" s="107" t="n">
        <f aca="false">IF($C3631="","",$D3631*IFERROR(INDEX('تحليل التكلفة والسعر'!$C$2:$C$700,MATCH($C3631,'تحليل التكلفة والسعر'!$B$2:$B$700,0)),0))</f>
        <v>27.4363198334</v>
      </c>
      <c r="H3631" s="104" t="s">
        <v>719</v>
      </c>
    </row>
    <row r="3632" customFormat="false" ht="15" hidden="false" customHeight="false" outlineLevel="0" collapsed="false">
      <c r="A3632" s="103" t="n">
        <v>46302</v>
      </c>
      <c r="B3632" s="104" t="s">
        <v>32</v>
      </c>
      <c r="C3632" s="104" t="s">
        <v>428</v>
      </c>
      <c r="D3632" s="105" t="n">
        <v>0.1667</v>
      </c>
      <c r="E3632" s="106" t="n">
        <v>260</v>
      </c>
      <c r="F3632" s="107" t="n">
        <f aca="false">IF($C3632="","",$D3632*$E3632)</f>
        <v>43.342</v>
      </c>
      <c r="G3632" s="107" t="n">
        <f aca="false">IF($C3632="","",$D3632*IFERROR(INDEX('تحليل التكلفة والسعر'!$C$2:$C$700,MATCH($C3632,'تحليل التكلفة والسعر'!$B$2:$B$700,0)),0))</f>
        <v>27.4363198334</v>
      </c>
      <c r="H3632" s="104" t="s">
        <v>719</v>
      </c>
    </row>
    <row r="3633" customFormat="false" ht="15" hidden="false" customHeight="false" outlineLevel="0" collapsed="false">
      <c r="A3633" s="103" t="n">
        <v>46303</v>
      </c>
      <c r="B3633" s="104" t="s">
        <v>32</v>
      </c>
      <c r="C3633" s="104" t="s">
        <v>428</v>
      </c>
      <c r="D3633" s="105" t="n">
        <v>0.1667</v>
      </c>
      <c r="E3633" s="106" t="n">
        <v>260</v>
      </c>
      <c r="F3633" s="107" t="n">
        <f aca="false">IF($C3633="","",$D3633*$E3633)</f>
        <v>43.342</v>
      </c>
      <c r="G3633" s="107" t="n">
        <f aca="false">IF($C3633="","",$D3633*IFERROR(INDEX('تحليل التكلفة والسعر'!$C$2:$C$700,MATCH($C3633,'تحليل التكلفة والسعر'!$B$2:$B$700,0)),0))</f>
        <v>27.4363198334</v>
      </c>
      <c r="H3633" s="104" t="s">
        <v>719</v>
      </c>
    </row>
    <row r="3634" customFormat="false" ht="15" hidden="false" customHeight="false" outlineLevel="0" collapsed="false">
      <c r="A3634" s="103" t="n">
        <v>46304</v>
      </c>
      <c r="B3634" s="104" t="s">
        <v>32</v>
      </c>
      <c r="C3634" s="104" t="s">
        <v>428</v>
      </c>
      <c r="D3634" s="105" t="n">
        <v>0.1667</v>
      </c>
      <c r="E3634" s="106" t="n">
        <v>260</v>
      </c>
      <c r="F3634" s="107" t="n">
        <f aca="false">IF($C3634="","",$D3634*$E3634)</f>
        <v>43.342</v>
      </c>
      <c r="G3634" s="107" t="n">
        <f aca="false">IF($C3634="","",$D3634*IFERROR(INDEX('تحليل التكلفة والسعر'!$C$2:$C$700,MATCH($C3634,'تحليل التكلفة والسعر'!$B$2:$B$700,0)),0))</f>
        <v>27.4363198334</v>
      </c>
      <c r="H3634" s="104" t="s">
        <v>719</v>
      </c>
    </row>
    <row r="3635" customFormat="false" ht="15" hidden="false" customHeight="false" outlineLevel="0" collapsed="false">
      <c r="A3635" s="103" t="n">
        <v>46305</v>
      </c>
      <c r="B3635" s="104" t="s">
        <v>32</v>
      </c>
      <c r="C3635" s="104" t="s">
        <v>428</v>
      </c>
      <c r="D3635" s="105" t="n">
        <v>0.1667</v>
      </c>
      <c r="E3635" s="106" t="n">
        <v>260</v>
      </c>
      <c r="F3635" s="107" t="n">
        <f aca="false">IF($C3635="","",$D3635*$E3635)</f>
        <v>43.342</v>
      </c>
      <c r="G3635" s="107" t="n">
        <f aca="false">IF($C3635="","",$D3635*IFERROR(INDEX('تحليل التكلفة والسعر'!$C$2:$C$700,MATCH($C3635,'تحليل التكلفة والسعر'!$B$2:$B$700,0)),0))</f>
        <v>27.4363198334</v>
      </c>
      <c r="H3635" s="104" t="s">
        <v>719</v>
      </c>
    </row>
    <row r="3636" customFormat="false" ht="15" hidden="false" customHeight="false" outlineLevel="0" collapsed="false">
      <c r="A3636" s="103" t="n">
        <v>46306</v>
      </c>
      <c r="B3636" s="104" t="s">
        <v>32</v>
      </c>
      <c r="C3636" s="104" t="s">
        <v>428</v>
      </c>
      <c r="D3636" s="105" t="n">
        <v>0.1667</v>
      </c>
      <c r="E3636" s="106" t="n">
        <v>260</v>
      </c>
      <c r="F3636" s="107" t="n">
        <f aca="false">IF($C3636="","",$D3636*$E3636)</f>
        <v>43.342</v>
      </c>
      <c r="G3636" s="107" t="n">
        <f aca="false">IF($C3636="","",$D3636*IFERROR(INDEX('تحليل التكلفة والسعر'!$C$2:$C$700,MATCH($C3636,'تحليل التكلفة والسعر'!$B$2:$B$700,0)),0))</f>
        <v>27.4363198334</v>
      </c>
      <c r="H3636" s="104" t="s">
        <v>719</v>
      </c>
    </row>
    <row r="3637" customFormat="false" ht="15" hidden="false" customHeight="false" outlineLevel="0" collapsed="false">
      <c r="A3637" s="103" t="n">
        <v>46307</v>
      </c>
      <c r="B3637" s="104" t="s">
        <v>32</v>
      </c>
      <c r="C3637" s="104" t="s">
        <v>428</v>
      </c>
      <c r="D3637" s="105" t="n">
        <v>0.1667</v>
      </c>
      <c r="E3637" s="106" t="n">
        <v>260</v>
      </c>
      <c r="F3637" s="107" t="n">
        <f aca="false">IF($C3637="","",$D3637*$E3637)</f>
        <v>43.342</v>
      </c>
      <c r="G3637" s="107" t="n">
        <f aca="false">IF($C3637="","",$D3637*IFERROR(INDEX('تحليل التكلفة والسعر'!$C$2:$C$700,MATCH($C3637,'تحليل التكلفة والسعر'!$B$2:$B$700,0)),0))</f>
        <v>27.4363198334</v>
      </c>
      <c r="H3637" s="104" t="s">
        <v>719</v>
      </c>
    </row>
    <row r="3638" customFormat="false" ht="15" hidden="false" customHeight="false" outlineLevel="0" collapsed="false">
      <c r="A3638" s="103" t="n">
        <v>46296</v>
      </c>
      <c r="B3638" s="104" t="s">
        <v>32</v>
      </c>
      <c r="C3638" s="104" t="s">
        <v>530</v>
      </c>
      <c r="D3638" s="105" t="n">
        <v>3.75</v>
      </c>
      <c r="E3638" s="106" t="n">
        <v>27.2222</v>
      </c>
      <c r="F3638" s="107" t="n">
        <f aca="false">IF($C3638="","",$D3638*$E3638)</f>
        <v>102.08325</v>
      </c>
      <c r="G3638" s="107" t="n">
        <f aca="false">IF($C3638="","",$D3638*IFERROR(INDEX('تحليل التكلفة والسعر'!$C$2:$C$700,MATCH($C3638,'تحليل التكلفة والسعر'!$B$2:$B$700,0)),0))</f>
        <v>297.099375</v>
      </c>
      <c r="H3638" s="104" t="s">
        <v>719</v>
      </c>
    </row>
    <row r="3639" customFormat="false" ht="15" hidden="false" customHeight="false" outlineLevel="0" collapsed="false">
      <c r="A3639" s="103" t="n">
        <v>46297</v>
      </c>
      <c r="B3639" s="104" t="s">
        <v>32</v>
      </c>
      <c r="C3639" s="104" t="s">
        <v>530</v>
      </c>
      <c r="D3639" s="105" t="n">
        <v>3.75</v>
      </c>
      <c r="E3639" s="106" t="n">
        <v>27.2222</v>
      </c>
      <c r="F3639" s="107" t="n">
        <f aca="false">IF($C3639="","",$D3639*$E3639)</f>
        <v>102.08325</v>
      </c>
      <c r="G3639" s="107" t="n">
        <f aca="false">IF($C3639="","",$D3639*IFERROR(INDEX('تحليل التكلفة والسعر'!$C$2:$C$700,MATCH($C3639,'تحليل التكلفة والسعر'!$B$2:$B$700,0)),0))</f>
        <v>297.099375</v>
      </c>
      <c r="H3639" s="104" t="s">
        <v>719</v>
      </c>
    </row>
    <row r="3640" customFormat="false" ht="15" hidden="false" customHeight="false" outlineLevel="0" collapsed="false">
      <c r="A3640" s="103" t="n">
        <v>46298</v>
      </c>
      <c r="B3640" s="104" t="s">
        <v>32</v>
      </c>
      <c r="C3640" s="104" t="s">
        <v>530</v>
      </c>
      <c r="D3640" s="105" t="n">
        <v>3.75</v>
      </c>
      <c r="E3640" s="106" t="n">
        <v>27.2222</v>
      </c>
      <c r="F3640" s="107" t="n">
        <f aca="false">IF($C3640="","",$D3640*$E3640)</f>
        <v>102.08325</v>
      </c>
      <c r="G3640" s="107" t="n">
        <f aca="false">IF($C3640="","",$D3640*IFERROR(INDEX('تحليل التكلفة والسعر'!$C$2:$C$700,MATCH($C3640,'تحليل التكلفة والسعر'!$B$2:$B$700,0)),0))</f>
        <v>297.099375</v>
      </c>
      <c r="H3640" s="104" t="s">
        <v>719</v>
      </c>
    </row>
    <row r="3641" customFormat="false" ht="15" hidden="false" customHeight="false" outlineLevel="0" collapsed="false">
      <c r="A3641" s="103" t="n">
        <v>46299</v>
      </c>
      <c r="B3641" s="104" t="s">
        <v>32</v>
      </c>
      <c r="C3641" s="104" t="s">
        <v>530</v>
      </c>
      <c r="D3641" s="105" t="n">
        <v>3.75</v>
      </c>
      <c r="E3641" s="106" t="n">
        <v>27.2222</v>
      </c>
      <c r="F3641" s="107" t="n">
        <f aca="false">IF($C3641="","",$D3641*$E3641)</f>
        <v>102.08325</v>
      </c>
      <c r="G3641" s="107" t="n">
        <f aca="false">IF($C3641="","",$D3641*IFERROR(INDEX('تحليل التكلفة والسعر'!$C$2:$C$700,MATCH($C3641,'تحليل التكلفة والسعر'!$B$2:$B$700,0)),0))</f>
        <v>297.099375</v>
      </c>
      <c r="H3641" s="104" t="s">
        <v>719</v>
      </c>
    </row>
    <row r="3642" customFormat="false" ht="15" hidden="false" customHeight="false" outlineLevel="0" collapsed="false">
      <c r="A3642" s="103" t="n">
        <v>46300</v>
      </c>
      <c r="B3642" s="104" t="s">
        <v>32</v>
      </c>
      <c r="C3642" s="104" t="s">
        <v>530</v>
      </c>
      <c r="D3642" s="105" t="n">
        <v>3.75</v>
      </c>
      <c r="E3642" s="106" t="n">
        <v>27.2222</v>
      </c>
      <c r="F3642" s="107" t="n">
        <f aca="false">IF($C3642="","",$D3642*$E3642)</f>
        <v>102.08325</v>
      </c>
      <c r="G3642" s="107" t="n">
        <f aca="false">IF($C3642="","",$D3642*IFERROR(INDEX('تحليل التكلفة والسعر'!$C$2:$C$700,MATCH($C3642,'تحليل التكلفة والسعر'!$B$2:$B$700,0)),0))</f>
        <v>297.099375</v>
      </c>
      <c r="H3642" s="104" t="s">
        <v>719</v>
      </c>
    </row>
    <row r="3643" customFormat="false" ht="15" hidden="false" customHeight="false" outlineLevel="0" collapsed="false">
      <c r="A3643" s="103" t="n">
        <v>46301</v>
      </c>
      <c r="B3643" s="104" t="s">
        <v>32</v>
      </c>
      <c r="C3643" s="104" t="s">
        <v>530</v>
      </c>
      <c r="D3643" s="105" t="n">
        <v>3.75</v>
      </c>
      <c r="E3643" s="106" t="n">
        <v>27.2222</v>
      </c>
      <c r="F3643" s="107" t="n">
        <f aca="false">IF($C3643="","",$D3643*$E3643)</f>
        <v>102.08325</v>
      </c>
      <c r="G3643" s="107" t="n">
        <f aca="false">IF($C3643="","",$D3643*IFERROR(INDEX('تحليل التكلفة والسعر'!$C$2:$C$700,MATCH($C3643,'تحليل التكلفة والسعر'!$B$2:$B$700,0)),0))</f>
        <v>297.099375</v>
      </c>
      <c r="H3643" s="104" t="s">
        <v>719</v>
      </c>
    </row>
    <row r="3644" customFormat="false" ht="15" hidden="false" customHeight="false" outlineLevel="0" collapsed="false">
      <c r="A3644" s="103" t="n">
        <v>46302</v>
      </c>
      <c r="B3644" s="104" t="s">
        <v>32</v>
      </c>
      <c r="C3644" s="104" t="s">
        <v>530</v>
      </c>
      <c r="D3644" s="105" t="n">
        <v>3.75</v>
      </c>
      <c r="E3644" s="106" t="n">
        <v>27.2222</v>
      </c>
      <c r="F3644" s="107" t="n">
        <f aca="false">IF($C3644="","",$D3644*$E3644)</f>
        <v>102.08325</v>
      </c>
      <c r="G3644" s="107" t="n">
        <f aca="false">IF($C3644="","",$D3644*IFERROR(INDEX('تحليل التكلفة والسعر'!$C$2:$C$700,MATCH($C3644,'تحليل التكلفة والسعر'!$B$2:$B$700,0)),0))</f>
        <v>297.099375</v>
      </c>
      <c r="H3644" s="104" t="s">
        <v>719</v>
      </c>
    </row>
    <row r="3645" customFormat="false" ht="15" hidden="false" customHeight="false" outlineLevel="0" collapsed="false">
      <c r="A3645" s="103" t="n">
        <v>46303</v>
      </c>
      <c r="B3645" s="104" t="s">
        <v>32</v>
      </c>
      <c r="C3645" s="104" t="s">
        <v>530</v>
      </c>
      <c r="D3645" s="105" t="n">
        <v>3.75</v>
      </c>
      <c r="E3645" s="106" t="n">
        <v>27.2222</v>
      </c>
      <c r="F3645" s="107" t="n">
        <f aca="false">IF($C3645="","",$D3645*$E3645)</f>
        <v>102.08325</v>
      </c>
      <c r="G3645" s="107" t="n">
        <f aca="false">IF($C3645="","",$D3645*IFERROR(INDEX('تحليل التكلفة والسعر'!$C$2:$C$700,MATCH($C3645,'تحليل التكلفة والسعر'!$B$2:$B$700,0)),0))</f>
        <v>297.099375</v>
      </c>
      <c r="H3645" s="104" t="s">
        <v>719</v>
      </c>
    </row>
    <row r="3646" customFormat="false" ht="15" hidden="false" customHeight="false" outlineLevel="0" collapsed="false">
      <c r="A3646" s="103" t="n">
        <v>46304</v>
      </c>
      <c r="B3646" s="104" t="s">
        <v>32</v>
      </c>
      <c r="C3646" s="104" t="s">
        <v>530</v>
      </c>
      <c r="D3646" s="105" t="n">
        <v>3.75</v>
      </c>
      <c r="E3646" s="106" t="n">
        <v>27.2222</v>
      </c>
      <c r="F3646" s="107" t="n">
        <f aca="false">IF($C3646="","",$D3646*$E3646)</f>
        <v>102.08325</v>
      </c>
      <c r="G3646" s="107" t="n">
        <f aca="false">IF($C3646="","",$D3646*IFERROR(INDEX('تحليل التكلفة والسعر'!$C$2:$C$700,MATCH($C3646,'تحليل التكلفة والسعر'!$B$2:$B$700,0)),0))</f>
        <v>297.099375</v>
      </c>
      <c r="H3646" s="104" t="s">
        <v>719</v>
      </c>
    </row>
    <row r="3647" customFormat="false" ht="15" hidden="false" customHeight="false" outlineLevel="0" collapsed="false">
      <c r="A3647" s="103" t="n">
        <v>46305</v>
      </c>
      <c r="B3647" s="104" t="s">
        <v>32</v>
      </c>
      <c r="C3647" s="104" t="s">
        <v>530</v>
      </c>
      <c r="D3647" s="105" t="n">
        <v>3.75</v>
      </c>
      <c r="E3647" s="106" t="n">
        <v>27.2222</v>
      </c>
      <c r="F3647" s="107" t="n">
        <f aca="false">IF($C3647="","",$D3647*$E3647)</f>
        <v>102.08325</v>
      </c>
      <c r="G3647" s="107" t="n">
        <f aca="false">IF($C3647="","",$D3647*IFERROR(INDEX('تحليل التكلفة والسعر'!$C$2:$C$700,MATCH($C3647,'تحليل التكلفة والسعر'!$B$2:$B$700,0)),0))</f>
        <v>297.099375</v>
      </c>
      <c r="H3647" s="104" t="s">
        <v>719</v>
      </c>
    </row>
    <row r="3648" customFormat="false" ht="15" hidden="false" customHeight="false" outlineLevel="0" collapsed="false">
      <c r="A3648" s="103" t="n">
        <v>46306</v>
      </c>
      <c r="B3648" s="104" t="s">
        <v>32</v>
      </c>
      <c r="C3648" s="104" t="s">
        <v>530</v>
      </c>
      <c r="D3648" s="105" t="n">
        <v>3.75</v>
      </c>
      <c r="E3648" s="106" t="n">
        <v>27.2222</v>
      </c>
      <c r="F3648" s="107" t="n">
        <f aca="false">IF($C3648="","",$D3648*$E3648)</f>
        <v>102.08325</v>
      </c>
      <c r="G3648" s="107" t="n">
        <f aca="false">IF($C3648="","",$D3648*IFERROR(INDEX('تحليل التكلفة والسعر'!$C$2:$C$700,MATCH($C3648,'تحليل التكلفة والسعر'!$B$2:$B$700,0)),0))</f>
        <v>297.099375</v>
      </c>
      <c r="H3648" s="104" t="s">
        <v>719</v>
      </c>
    </row>
    <row r="3649" customFormat="false" ht="15" hidden="false" customHeight="false" outlineLevel="0" collapsed="false">
      <c r="A3649" s="103" t="n">
        <v>46307</v>
      </c>
      <c r="B3649" s="104" t="s">
        <v>32</v>
      </c>
      <c r="C3649" s="104" t="s">
        <v>530</v>
      </c>
      <c r="D3649" s="105" t="n">
        <v>3.75</v>
      </c>
      <c r="E3649" s="106" t="n">
        <v>27.2222</v>
      </c>
      <c r="F3649" s="107" t="n">
        <f aca="false">IF($C3649="","",$D3649*$E3649)</f>
        <v>102.08325</v>
      </c>
      <c r="G3649" s="107" t="n">
        <f aca="false">IF($C3649="","",$D3649*IFERROR(INDEX('تحليل التكلفة والسعر'!$C$2:$C$700,MATCH($C3649,'تحليل التكلفة والسعر'!$B$2:$B$700,0)),0))</f>
        <v>297.099375</v>
      </c>
      <c r="H3649" s="104" t="s">
        <v>719</v>
      </c>
    </row>
    <row r="3650" customFormat="false" ht="15" hidden="false" customHeight="false" outlineLevel="0" collapsed="false">
      <c r="A3650" s="103" t="n">
        <v>46296</v>
      </c>
      <c r="B3650" s="104" t="s">
        <v>32</v>
      </c>
      <c r="C3650" s="104" t="s">
        <v>504</v>
      </c>
      <c r="D3650" s="105" t="n">
        <v>1.0833</v>
      </c>
      <c r="E3650" s="106" t="n">
        <v>36.9231</v>
      </c>
      <c r="F3650" s="107" t="n">
        <f aca="false">IF($C3650="","",$D3650*$E3650)</f>
        <v>39.99879423</v>
      </c>
      <c r="G3650" s="107" t="n">
        <f aca="false">IF($C3650="","",$D3650*IFERROR(INDEX('تحليل التكلفة والسعر'!$C$2:$C$700,MATCH($C3650,'تحليل التكلفة والسعر'!$B$2:$B$700,0)),0))</f>
        <v>94.30581486</v>
      </c>
      <c r="H3650" s="104" t="s">
        <v>719</v>
      </c>
    </row>
    <row r="3651" customFormat="false" ht="15" hidden="false" customHeight="false" outlineLevel="0" collapsed="false">
      <c r="A3651" s="103" t="n">
        <v>46297</v>
      </c>
      <c r="B3651" s="104" t="s">
        <v>32</v>
      </c>
      <c r="C3651" s="104" t="s">
        <v>504</v>
      </c>
      <c r="D3651" s="105" t="n">
        <v>1.0833</v>
      </c>
      <c r="E3651" s="106" t="n">
        <v>36.9231</v>
      </c>
      <c r="F3651" s="107" t="n">
        <f aca="false">IF($C3651="","",$D3651*$E3651)</f>
        <v>39.99879423</v>
      </c>
      <c r="G3651" s="107" t="n">
        <f aca="false">IF($C3651="","",$D3651*IFERROR(INDEX('تحليل التكلفة والسعر'!$C$2:$C$700,MATCH($C3651,'تحليل التكلفة والسعر'!$B$2:$B$700,0)),0))</f>
        <v>94.30581486</v>
      </c>
      <c r="H3651" s="104" t="s">
        <v>719</v>
      </c>
    </row>
    <row r="3652" customFormat="false" ht="15" hidden="false" customHeight="false" outlineLevel="0" collapsed="false">
      <c r="A3652" s="103" t="n">
        <v>46298</v>
      </c>
      <c r="B3652" s="104" t="s">
        <v>32</v>
      </c>
      <c r="C3652" s="104" t="s">
        <v>504</v>
      </c>
      <c r="D3652" s="105" t="n">
        <v>1.0833</v>
      </c>
      <c r="E3652" s="106" t="n">
        <v>36.9231</v>
      </c>
      <c r="F3652" s="107" t="n">
        <f aca="false">IF($C3652="","",$D3652*$E3652)</f>
        <v>39.99879423</v>
      </c>
      <c r="G3652" s="107" t="n">
        <f aca="false">IF($C3652="","",$D3652*IFERROR(INDEX('تحليل التكلفة والسعر'!$C$2:$C$700,MATCH($C3652,'تحليل التكلفة والسعر'!$B$2:$B$700,0)),0))</f>
        <v>94.30581486</v>
      </c>
      <c r="H3652" s="104" t="s">
        <v>719</v>
      </c>
    </row>
    <row r="3653" customFormat="false" ht="15" hidden="false" customHeight="false" outlineLevel="0" collapsed="false">
      <c r="A3653" s="103" t="n">
        <v>46299</v>
      </c>
      <c r="B3653" s="104" t="s">
        <v>32</v>
      </c>
      <c r="C3653" s="104" t="s">
        <v>504</v>
      </c>
      <c r="D3653" s="105" t="n">
        <v>1.0833</v>
      </c>
      <c r="E3653" s="106" t="n">
        <v>36.9231</v>
      </c>
      <c r="F3653" s="107" t="n">
        <f aca="false">IF($C3653="","",$D3653*$E3653)</f>
        <v>39.99879423</v>
      </c>
      <c r="G3653" s="107" t="n">
        <f aca="false">IF($C3653="","",$D3653*IFERROR(INDEX('تحليل التكلفة والسعر'!$C$2:$C$700,MATCH($C3653,'تحليل التكلفة والسعر'!$B$2:$B$700,0)),0))</f>
        <v>94.30581486</v>
      </c>
      <c r="H3653" s="104" t="s">
        <v>719</v>
      </c>
    </row>
    <row r="3654" customFormat="false" ht="15" hidden="false" customHeight="false" outlineLevel="0" collapsed="false">
      <c r="A3654" s="103" t="n">
        <v>46300</v>
      </c>
      <c r="B3654" s="104" t="s">
        <v>32</v>
      </c>
      <c r="C3654" s="104" t="s">
        <v>504</v>
      </c>
      <c r="D3654" s="105" t="n">
        <v>1.0833</v>
      </c>
      <c r="E3654" s="106" t="n">
        <v>36.9231</v>
      </c>
      <c r="F3654" s="107" t="n">
        <f aca="false">IF($C3654="","",$D3654*$E3654)</f>
        <v>39.99879423</v>
      </c>
      <c r="G3654" s="107" t="n">
        <f aca="false">IF($C3654="","",$D3654*IFERROR(INDEX('تحليل التكلفة والسعر'!$C$2:$C$700,MATCH($C3654,'تحليل التكلفة والسعر'!$B$2:$B$700,0)),0))</f>
        <v>94.30581486</v>
      </c>
      <c r="H3654" s="104" t="s">
        <v>719</v>
      </c>
    </row>
    <row r="3655" customFormat="false" ht="15" hidden="false" customHeight="false" outlineLevel="0" collapsed="false">
      <c r="A3655" s="103" t="n">
        <v>46301</v>
      </c>
      <c r="B3655" s="104" t="s">
        <v>32</v>
      </c>
      <c r="C3655" s="104" t="s">
        <v>504</v>
      </c>
      <c r="D3655" s="105" t="n">
        <v>1.0833</v>
      </c>
      <c r="E3655" s="106" t="n">
        <v>36.9231</v>
      </c>
      <c r="F3655" s="107" t="n">
        <f aca="false">IF($C3655="","",$D3655*$E3655)</f>
        <v>39.99879423</v>
      </c>
      <c r="G3655" s="107" t="n">
        <f aca="false">IF($C3655="","",$D3655*IFERROR(INDEX('تحليل التكلفة والسعر'!$C$2:$C$700,MATCH($C3655,'تحليل التكلفة والسعر'!$B$2:$B$700,0)),0))</f>
        <v>94.30581486</v>
      </c>
      <c r="H3655" s="104" t="s">
        <v>719</v>
      </c>
    </row>
    <row r="3656" customFormat="false" ht="15" hidden="false" customHeight="false" outlineLevel="0" collapsed="false">
      <c r="A3656" s="103" t="n">
        <v>46302</v>
      </c>
      <c r="B3656" s="104" t="s">
        <v>32</v>
      </c>
      <c r="C3656" s="104" t="s">
        <v>504</v>
      </c>
      <c r="D3656" s="105" t="n">
        <v>1.0833</v>
      </c>
      <c r="E3656" s="106" t="n">
        <v>36.9231</v>
      </c>
      <c r="F3656" s="107" t="n">
        <f aca="false">IF($C3656="","",$D3656*$E3656)</f>
        <v>39.99879423</v>
      </c>
      <c r="G3656" s="107" t="n">
        <f aca="false">IF($C3656="","",$D3656*IFERROR(INDEX('تحليل التكلفة والسعر'!$C$2:$C$700,MATCH($C3656,'تحليل التكلفة والسعر'!$B$2:$B$700,0)),0))</f>
        <v>94.30581486</v>
      </c>
      <c r="H3656" s="104" t="s">
        <v>719</v>
      </c>
    </row>
    <row r="3657" customFormat="false" ht="15" hidden="false" customHeight="false" outlineLevel="0" collapsed="false">
      <c r="A3657" s="103" t="n">
        <v>46303</v>
      </c>
      <c r="B3657" s="104" t="s">
        <v>32</v>
      </c>
      <c r="C3657" s="104" t="s">
        <v>504</v>
      </c>
      <c r="D3657" s="105" t="n">
        <v>1.0833</v>
      </c>
      <c r="E3657" s="106" t="n">
        <v>36.9231</v>
      </c>
      <c r="F3657" s="107" t="n">
        <f aca="false">IF($C3657="","",$D3657*$E3657)</f>
        <v>39.99879423</v>
      </c>
      <c r="G3657" s="107" t="n">
        <f aca="false">IF($C3657="","",$D3657*IFERROR(INDEX('تحليل التكلفة والسعر'!$C$2:$C$700,MATCH($C3657,'تحليل التكلفة والسعر'!$B$2:$B$700,0)),0))</f>
        <v>94.30581486</v>
      </c>
      <c r="H3657" s="104" t="s">
        <v>719</v>
      </c>
    </row>
    <row r="3658" customFormat="false" ht="15" hidden="false" customHeight="false" outlineLevel="0" collapsed="false">
      <c r="A3658" s="103" t="n">
        <v>46304</v>
      </c>
      <c r="B3658" s="104" t="s">
        <v>32</v>
      </c>
      <c r="C3658" s="104" t="s">
        <v>504</v>
      </c>
      <c r="D3658" s="105" t="n">
        <v>1.0833</v>
      </c>
      <c r="E3658" s="106" t="n">
        <v>36.9231</v>
      </c>
      <c r="F3658" s="107" t="n">
        <f aca="false">IF($C3658="","",$D3658*$E3658)</f>
        <v>39.99879423</v>
      </c>
      <c r="G3658" s="107" t="n">
        <f aca="false">IF($C3658="","",$D3658*IFERROR(INDEX('تحليل التكلفة والسعر'!$C$2:$C$700,MATCH($C3658,'تحليل التكلفة والسعر'!$B$2:$B$700,0)),0))</f>
        <v>94.30581486</v>
      </c>
      <c r="H3658" s="104" t="s">
        <v>719</v>
      </c>
    </row>
    <row r="3659" customFormat="false" ht="15" hidden="false" customHeight="false" outlineLevel="0" collapsed="false">
      <c r="A3659" s="103" t="n">
        <v>46305</v>
      </c>
      <c r="B3659" s="104" t="s">
        <v>32</v>
      </c>
      <c r="C3659" s="104" t="s">
        <v>504</v>
      </c>
      <c r="D3659" s="105" t="n">
        <v>1.0833</v>
      </c>
      <c r="E3659" s="106" t="n">
        <v>36.9231</v>
      </c>
      <c r="F3659" s="107" t="n">
        <f aca="false">IF($C3659="","",$D3659*$E3659)</f>
        <v>39.99879423</v>
      </c>
      <c r="G3659" s="107" t="n">
        <f aca="false">IF($C3659="","",$D3659*IFERROR(INDEX('تحليل التكلفة والسعر'!$C$2:$C$700,MATCH($C3659,'تحليل التكلفة والسعر'!$B$2:$B$700,0)),0))</f>
        <v>94.30581486</v>
      </c>
      <c r="H3659" s="104" t="s">
        <v>719</v>
      </c>
    </row>
    <row r="3660" customFormat="false" ht="15" hidden="false" customHeight="false" outlineLevel="0" collapsed="false">
      <c r="A3660" s="103" t="n">
        <v>46306</v>
      </c>
      <c r="B3660" s="104" t="s">
        <v>32</v>
      </c>
      <c r="C3660" s="104" t="s">
        <v>504</v>
      </c>
      <c r="D3660" s="105" t="n">
        <v>1.0833</v>
      </c>
      <c r="E3660" s="106" t="n">
        <v>36.9231</v>
      </c>
      <c r="F3660" s="107" t="n">
        <f aca="false">IF($C3660="","",$D3660*$E3660)</f>
        <v>39.99879423</v>
      </c>
      <c r="G3660" s="107" t="n">
        <f aca="false">IF($C3660="","",$D3660*IFERROR(INDEX('تحليل التكلفة والسعر'!$C$2:$C$700,MATCH($C3660,'تحليل التكلفة والسعر'!$B$2:$B$700,0)),0))</f>
        <v>94.30581486</v>
      </c>
      <c r="H3660" s="104" t="s">
        <v>719</v>
      </c>
    </row>
    <row r="3661" customFormat="false" ht="15" hidden="false" customHeight="false" outlineLevel="0" collapsed="false">
      <c r="A3661" s="103" t="n">
        <v>46307</v>
      </c>
      <c r="B3661" s="104" t="s">
        <v>32</v>
      </c>
      <c r="C3661" s="104" t="s">
        <v>504</v>
      </c>
      <c r="D3661" s="105" t="n">
        <v>1.0833</v>
      </c>
      <c r="E3661" s="106" t="n">
        <v>36.9231</v>
      </c>
      <c r="F3661" s="107" t="n">
        <f aca="false">IF($C3661="","",$D3661*$E3661)</f>
        <v>39.99879423</v>
      </c>
      <c r="G3661" s="107" t="n">
        <f aca="false">IF($C3661="","",$D3661*IFERROR(INDEX('تحليل التكلفة والسعر'!$C$2:$C$700,MATCH($C3661,'تحليل التكلفة والسعر'!$B$2:$B$700,0)),0))</f>
        <v>94.30581486</v>
      </c>
      <c r="H3661" s="104" t="s">
        <v>719</v>
      </c>
    </row>
    <row r="3662" customFormat="false" ht="15" hidden="false" customHeight="false" outlineLevel="0" collapsed="false">
      <c r="A3662" s="103" t="n">
        <v>46296</v>
      </c>
      <c r="B3662" s="104" t="s">
        <v>32</v>
      </c>
      <c r="C3662" s="104" t="s">
        <v>438</v>
      </c>
      <c r="D3662" s="105" t="n">
        <v>1.75</v>
      </c>
      <c r="E3662" s="106" t="n">
        <v>111.9048</v>
      </c>
      <c r="F3662" s="107" t="n">
        <f aca="false">IF($C3662="","",$D3662*$E3662)</f>
        <v>195.8334</v>
      </c>
      <c r="G3662" s="107" t="n">
        <f aca="false">IF($C3662="","",$D3662*IFERROR(INDEX('تحليل التكلفة والسعر'!$C$2:$C$700,MATCH($C3662,'تحليل التكلفة والسعر'!$B$2:$B$700,0)),0))</f>
        <v>90.0117961458333</v>
      </c>
      <c r="H3662" s="104" t="s">
        <v>719</v>
      </c>
    </row>
    <row r="3663" customFormat="false" ht="15" hidden="false" customHeight="false" outlineLevel="0" collapsed="false">
      <c r="A3663" s="103" t="n">
        <v>46297</v>
      </c>
      <c r="B3663" s="104" t="s">
        <v>32</v>
      </c>
      <c r="C3663" s="104" t="s">
        <v>438</v>
      </c>
      <c r="D3663" s="105" t="n">
        <v>1.75</v>
      </c>
      <c r="E3663" s="106" t="n">
        <v>111.9048</v>
      </c>
      <c r="F3663" s="107" t="n">
        <f aca="false">IF($C3663="","",$D3663*$E3663)</f>
        <v>195.8334</v>
      </c>
      <c r="G3663" s="107" t="n">
        <f aca="false">IF($C3663="","",$D3663*IFERROR(INDEX('تحليل التكلفة والسعر'!$C$2:$C$700,MATCH($C3663,'تحليل التكلفة والسعر'!$B$2:$B$700,0)),0))</f>
        <v>90.0117961458333</v>
      </c>
      <c r="H3663" s="104" t="s">
        <v>719</v>
      </c>
    </row>
    <row r="3664" customFormat="false" ht="15" hidden="false" customHeight="false" outlineLevel="0" collapsed="false">
      <c r="A3664" s="103" t="n">
        <v>46298</v>
      </c>
      <c r="B3664" s="104" t="s">
        <v>32</v>
      </c>
      <c r="C3664" s="104" t="s">
        <v>438</v>
      </c>
      <c r="D3664" s="105" t="n">
        <v>1.75</v>
      </c>
      <c r="E3664" s="106" t="n">
        <v>111.9048</v>
      </c>
      <c r="F3664" s="107" t="n">
        <f aca="false">IF($C3664="","",$D3664*$E3664)</f>
        <v>195.8334</v>
      </c>
      <c r="G3664" s="107" t="n">
        <f aca="false">IF($C3664="","",$D3664*IFERROR(INDEX('تحليل التكلفة والسعر'!$C$2:$C$700,MATCH($C3664,'تحليل التكلفة والسعر'!$B$2:$B$700,0)),0))</f>
        <v>90.0117961458333</v>
      </c>
      <c r="H3664" s="104" t="s">
        <v>719</v>
      </c>
    </row>
    <row r="3665" customFormat="false" ht="15" hidden="false" customHeight="false" outlineLevel="0" collapsed="false">
      <c r="A3665" s="103" t="n">
        <v>46299</v>
      </c>
      <c r="B3665" s="104" t="s">
        <v>32</v>
      </c>
      <c r="C3665" s="104" t="s">
        <v>438</v>
      </c>
      <c r="D3665" s="105" t="n">
        <v>1.75</v>
      </c>
      <c r="E3665" s="106" t="n">
        <v>111.9048</v>
      </c>
      <c r="F3665" s="107" t="n">
        <f aca="false">IF($C3665="","",$D3665*$E3665)</f>
        <v>195.8334</v>
      </c>
      <c r="G3665" s="107" t="n">
        <f aca="false">IF($C3665="","",$D3665*IFERROR(INDEX('تحليل التكلفة والسعر'!$C$2:$C$700,MATCH($C3665,'تحليل التكلفة والسعر'!$B$2:$B$700,0)),0))</f>
        <v>90.0117961458333</v>
      </c>
      <c r="H3665" s="104" t="s">
        <v>719</v>
      </c>
    </row>
    <row r="3666" customFormat="false" ht="15" hidden="false" customHeight="false" outlineLevel="0" collapsed="false">
      <c r="A3666" s="103" t="n">
        <v>46300</v>
      </c>
      <c r="B3666" s="104" t="s">
        <v>32</v>
      </c>
      <c r="C3666" s="104" t="s">
        <v>438</v>
      </c>
      <c r="D3666" s="105" t="n">
        <v>1.75</v>
      </c>
      <c r="E3666" s="106" t="n">
        <v>111.9048</v>
      </c>
      <c r="F3666" s="107" t="n">
        <f aca="false">IF($C3666="","",$D3666*$E3666)</f>
        <v>195.8334</v>
      </c>
      <c r="G3666" s="107" t="n">
        <f aca="false">IF($C3666="","",$D3666*IFERROR(INDEX('تحليل التكلفة والسعر'!$C$2:$C$700,MATCH($C3666,'تحليل التكلفة والسعر'!$B$2:$B$700,0)),0))</f>
        <v>90.0117961458333</v>
      </c>
      <c r="H3666" s="104" t="s">
        <v>719</v>
      </c>
    </row>
    <row r="3667" customFormat="false" ht="15" hidden="false" customHeight="false" outlineLevel="0" collapsed="false">
      <c r="A3667" s="103" t="n">
        <v>46301</v>
      </c>
      <c r="B3667" s="104" t="s">
        <v>32</v>
      </c>
      <c r="C3667" s="104" t="s">
        <v>438</v>
      </c>
      <c r="D3667" s="105" t="n">
        <v>1.75</v>
      </c>
      <c r="E3667" s="106" t="n">
        <v>111.9048</v>
      </c>
      <c r="F3667" s="107" t="n">
        <f aca="false">IF($C3667="","",$D3667*$E3667)</f>
        <v>195.8334</v>
      </c>
      <c r="G3667" s="107" t="n">
        <f aca="false">IF($C3667="","",$D3667*IFERROR(INDEX('تحليل التكلفة والسعر'!$C$2:$C$700,MATCH($C3667,'تحليل التكلفة والسعر'!$B$2:$B$700,0)),0))</f>
        <v>90.0117961458333</v>
      </c>
      <c r="H3667" s="104" t="s">
        <v>719</v>
      </c>
    </row>
    <row r="3668" customFormat="false" ht="15" hidden="false" customHeight="false" outlineLevel="0" collapsed="false">
      <c r="A3668" s="103" t="n">
        <v>46302</v>
      </c>
      <c r="B3668" s="104" t="s">
        <v>32</v>
      </c>
      <c r="C3668" s="104" t="s">
        <v>438</v>
      </c>
      <c r="D3668" s="105" t="n">
        <v>1.75</v>
      </c>
      <c r="E3668" s="106" t="n">
        <v>111.9048</v>
      </c>
      <c r="F3668" s="107" t="n">
        <f aca="false">IF($C3668="","",$D3668*$E3668)</f>
        <v>195.8334</v>
      </c>
      <c r="G3668" s="107" t="n">
        <f aca="false">IF($C3668="","",$D3668*IFERROR(INDEX('تحليل التكلفة والسعر'!$C$2:$C$700,MATCH($C3668,'تحليل التكلفة والسعر'!$B$2:$B$700,0)),0))</f>
        <v>90.0117961458333</v>
      </c>
      <c r="H3668" s="104" t="s">
        <v>719</v>
      </c>
    </row>
    <row r="3669" customFormat="false" ht="15" hidden="false" customHeight="false" outlineLevel="0" collapsed="false">
      <c r="A3669" s="103" t="n">
        <v>46303</v>
      </c>
      <c r="B3669" s="104" t="s">
        <v>32</v>
      </c>
      <c r="C3669" s="104" t="s">
        <v>438</v>
      </c>
      <c r="D3669" s="105" t="n">
        <v>1.75</v>
      </c>
      <c r="E3669" s="106" t="n">
        <v>111.9048</v>
      </c>
      <c r="F3669" s="107" t="n">
        <f aca="false">IF($C3669="","",$D3669*$E3669)</f>
        <v>195.8334</v>
      </c>
      <c r="G3669" s="107" t="n">
        <f aca="false">IF($C3669="","",$D3669*IFERROR(INDEX('تحليل التكلفة والسعر'!$C$2:$C$700,MATCH($C3669,'تحليل التكلفة والسعر'!$B$2:$B$700,0)),0))</f>
        <v>90.0117961458333</v>
      </c>
      <c r="H3669" s="104" t="s">
        <v>719</v>
      </c>
    </row>
    <row r="3670" customFormat="false" ht="15" hidden="false" customHeight="false" outlineLevel="0" collapsed="false">
      <c r="A3670" s="103" t="n">
        <v>46304</v>
      </c>
      <c r="B3670" s="104" t="s">
        <v>32</v>
      </c>
      <c r="C3670" s="104" t="s">
        <v>438</v>
      </c>
      <c r="D3670" s="105" t="n">
        <v>1.75</v>
      </c>
      <c r="E3670" s="106" t="n">
        <v>111.9048</v>
      </c>
      <c r="F3670" s="107" t="n">
        <f aca="false">IF($C3670="","",$D3670*$E3670)</f>
        <v>195.8334</v>
      </c>
      <c r="G3670" s="107" t="n">
        <f aca="false">IF($C3670="","",$D3670*IFERROR(INDEX('تحليل التكلفة والسعر'!$C$2:$C$700,MATCH($C3670,'تحليل التكلفة والسعر'!$B$2:$B$700,0)),0))</f>
        <v>90.0117961458333</v>
      </c>
      <c r="H3670" s="104" t="s">
        <v>719</v>
      </c>
    </row>
    <row r="3671" customFormat="false" ht="15" hidden="false" customHeight="false" outlineLevel="0" collapsed="false">
      <c r="A3671" s="103" t="n">
        <v>46305</v>
      </c>
      <c r="B3671" s="104" t="s">
        <v>32</v>
      </c>
      <c r="C3671" s="104" t="s">
        <v>438</v>
      </c>
      <c r="D3671" s="105" t="n">
        <v>1.75</v>
      </c>
      <c r="E3671" s="106" t="n">
        <v>111.9048</v>
      </c>
      <c r="F3671" s="107" t="n">
        <f aca="false">IF($C3671="","",$D3671*$E3671)</f>
        <v>195.8334</v>
      </c>
      <c r="G3671" s="107" t="n">
        <f aca="false">IF($C3671="","",$D3671*IFERROR(INDEX('تحليل التكلفة والسعر'!$C$2:$C$700,MATCH($C3671,'تحليل التكلفة والسعر'!$B$2:$B$700,0)),0))</f>
        <v>90.0117961458333</v>
      </c>
      <c r="H3671" s="104" t="s">
        <v>719</v>
      </c>
    </row>
    <row r="3672" customFormat="false" ht="15" hidden="false" customHeight="false" outlineLevel="0" collapsed="false">
      <c r="A3672" s="103" t="n">
        <v>46306</v>
      </c>
      <c r="B3672" s="104" t="s">
        <v>32</v>
      </c>
      <c r="C3672" s="104" t="s">
        <v>438</v>
      </c>
      <c r="D3672" s="105" t="n">
        <v>1.75</v>
      </c>
      <c r="E3672" s="106" t="n">
        <v>111.9048</v>
      </c>
      <c r="F3672" s="107" t="n">
        <f aca="false">IF($C3672="","",$D3672*$E3672)</f>
        <v>195.8334</v>
      </c>
      <c r="G3672" s="107" t="n">
        <f aca="false">IF($C3672="","",$D3672*IFERROR(INDEX('تحليل التكلفة والسعر'!$C$2:$C$700,MATCH($C3672,'تحليل التكلفة والسعر'!$B$2:$B$700,0)),0))</f>
        <v>90.0117961458333</v>
      </c>
      <c r="H3672" s="104" t="s">
        <v>719</v>
      </c>
    </row>
    <row r="3673" customFormat="false" ht="15" hidden="false" customHeight="false" outlineLevel="0" collapsed="false">
      <c r="A3673" s="103" t="n">
        <v>46307</v>
      </c>
      <c r="B3673" s="104" t="s">
        <v>32</v>
      </c>
      <c r="C3673" s="104" t="s">
        <v>438</v>
      </c>
      <c r="D3673" s="105" t="n">
        <v>1.75</v>
      </c>
      <c r="E3673" s="106" t="n">
        <v>111.9048</v>
      </c>
      <c r="F3673" s="107" t="n">
        <f aca="false">IF($C3673="","",$D3673*$E3673)</f>
        <v>195.8334</v>
      </c>
      <c r="G3673" s="107" t="n">
        <f aca="false">IF($C3673="","",$D3673*IFERROR(INDEX('تحليل التكلفة والسعر'!$C$2:$C$700,MATCH($C3673,'تحليل التكلفة والسعر'!$B$2:$B$700,0)),0))</f>
        <v>90.0117961458333</v>
      </c>
      <c r="H3673" s="104" t="s">
        <v>719</v>
      </c>
    </row>
    <row r="3674" customFormat="false" ht="15" hidden="false" customHeight="false" outlineLevel="0" collapsed="false">
      <c r="A3674" s="103" t="n">
        <v>46296</v>
      </c>
      <c r="B3674" s="104" t="s">
        <v>32</v>
      </c>
      <c r="C3674" s="104" t="s">
        <v>499</v>
      </c>
      <c r="D3674" s="105" t="n">
        <v>0.1667</v>
      </c>
      <c r="E3674" s="106" t="n">
        <v>80</v>
      </c>
      <c r="F3674" s="107" t="n">
        <f aca="false">IF($C3674="","",$D3674*$E3674)</f>
        <v>13.336</v>
      </c>
      <c r="G3674" s="107" t="n">
        <f aca="false">IF($C3674="","",$D3674*IFERROR(INDEX('تحليل التكلفة والسعر'!$C$2:$C$700,MATCH($C3674,'تحليل التكلفة والسعر'!$B$2:$B$700,0)),0))</f>
        <v>5.98254161629167</v>
      </c>
      <c r="H3674" s="104" t="s">
        <v>719</v>
      </c>
    </row>
    <row r="3675" customFormat="false" ht="15" hidden="false" customHeight="false" outlineLevel="0" collapsed="false">
      <c r="A3675" s="103" t="n">
        <v>46297</v>
      </c>
      <c r="B3675" s="104" t="s">
        <v>32</v>
      </c>
      <c r="C3675" s="104" t="s">
        <v>499</v>
      </c>
      <c r="D3675" s="105" t="n">
        <v>0.1667</v>
      </c>
      <c r="E3675" s="106" t="n">
        <v>80</v>
      </c>
      <c r="F3675" s="107" t="n">
        <f aca="false">IF($C3675="","",$D3675*$E3675)</f>
        <v>13.336</v>
      </c>
      <c r="G3675" s="107" t="n">
        <f aca="false">IF($C3675="","",$D3675*IFERROR(INDEX('تحليل التكلفة والسعر'!$C$2:$C$700,MATCH($C3675,'تحليل التكلفة والسعر'!$B$2:$B$700,0)),0))</f>
        <v>5.98254161629167</v>
      </c>
      <c r="H3675" s="104" t="s">
        <v>719</v>
      </c>
    </row>
    <row r="3676" customFormat="false" ht="15" hidden="false" customHeight="false" outlineLevel="0" collapsed="false">
      <c r="A3676" s="103" t="n">
        <v>46298</v>
      </c>
      <c r="B3676" s="104" t="s">
        <v>32</v>
      </c>
      <c r="C3676" s="104" t="s">
        <v>499</v>
      </c>
      <c r="D3676" s="105" t="n">
        <v>0.1667</v>
      </c>
      <c r="E3676" s="106" t="n">
        <v>80</v>
      </c>
      <c r="F3676" s="107" t="n">
        <f aca="false">IF($C3676="","",$D3676*$E3676)</f>
        <v>13.336</v>
      </c>
      <c r="G3676" s="107" t="n">
        <f aca="false">IF($C3676="","",$D3676*IFERROR(INDEX('تحليل التكلفة والسعر'!$C$2:$C$700,MATCH($C3676,'تحليل التكلفة والسعر'!$B$2:$B$700,0)),0))</f>
        <v>5.98254161629167</v>
      </c>
      <c r="H3676" s="104" t="s">
        <v>719</v>
      </c>
    </row>
    <row r="3677" customFormat="false" ht="15" hidden="false" customHeight="false" outlineLevel="0" collapsed="false">
      <c r="A3677" s="103" t="n">
        <v>46299</v>
      </c>
      <c r="B3677" s="104" t="s">
        <v>32</v>
      </c>
      <c r="C3677" s="104" t="s">
        <v>499</v>
      </c>
      <c r="D3677" s="105" t="n">
        <v>0.1667</v>
      </c>
      <c r="E3677" s="106" t="n">
        <v>80</v>
      </c>
      <c r="F3677" s="107" t="n">
        <f aca="false">IF($C3677="","",$D3677*$E3677)</f>
        <v>13.336</v>
      </c>
      <c r="G3677" s="107" t="n">
        <f aca="false">IF($C3677="","",$D3677*IFERROR(INDEX('تحليل التكلفة والسعر'!$C$2:$C$700,MATCH($C3677,'تحليل التكلفة والسعر'!$B$2:$B$700,0)),0))</f>
        <v>5.98254161629167</v>
      </c>
      <c r="H3677" s="104" t="s">
        <v>719</v>
      </c>
    </row>
    <row r="3678" customFormat="false" ht="15" hidden="false" customHeight="false" outlineLevel="0" collapsed="false">
      <c r="A3678" s="103" t="n">
        <v>46300</v>
      </c>
      <c r="B3678" s="104" t="s">
        <v>32</v>
      </c>
      <c r="C3678" s="104" t="s">
        <v>499</v>
      </c>
      <c r="D3678" s="105" t="n">
        <v>0.1667</v>
      </c>
      <c r="E3678" s="106" t="n">
        <v>80</v>
      </c>
      <c r="F3678" s="107" t="n">
        <f aca="false">IF($C3678="","",$D3678*$E3678)</f>
        <v>13.336</v>
      </c>
      <c r="G3678" s="107" t="n">
        <f aca="false">IF($C3678="","",$D3678*IFERROR(INDEX('تحليل التكلفة والسعر'!$C$2:$C$700,MATCH($C3678,'تحليل التكلفة والسعر'!$B$2:$B$700,0)),0))</f>
        <v>5.98254161629167</v>
      </c>
      <c r="H3678" s="104" t="s">
        <v>719</v>
      </c>
    </row>
    <row r="3679" customFormat="false" ht="15" hidden="false" customHeight="false" outlineLevel="0" collapsed="false">
      <c r="A3679" s="103" t="n">
        <v>46301</v>
      </c>
      <c r="B3679" s="104" t="s">
        <v>32</v>
      </c>
      <c r="C3679" s="104" t="s">
        <v>499</v>
      </c>
      <c r="D3679" s="105" t="n">
        <v>0.1667</v>
      </c>
      <c r="E3679" s="106" t="n">
        <v>80</v>
      </c>
      <c r="F3679" s="107" t="n">
        <f aca="false">IF($C3679="","",$D3679*$E3679)</f>
        <v>13.336</v>
      </c>
      <c r="G3679" s="107" t="n">
        <f aca="false">IF($C3679="","",$D3679*IFERROR(INDEX('تحليل التكلفة والسعر'!$C$2:$C$700,MATCH($C3679,'تحليل التكلفة والسعر'!$B$2:$B$700,0)),0))</f>
        <v>5.98254161629167</v>
      </c>
      <c r="H3679" s="104" t="s">
        <v>719</v>
      </c>
    </row>
    <row r="3680" customFormat="false" ht="15" hidden="false" customHeight="false" outlineLevel="0" collapsed="false">
      <c r="A3680" s="103" t="n">
        <v>46302</v>
      </c>
      <c r="B3680" s="104" t="s">
        <v>32</v>
      </c>
      <c r="C3680" s="104" t="s">
        <v>499</v>
      </c>
      <c r="D3680" s="105" t="n">
        <v>0.1667</v>
      </c>
      <c r="E3680" s="106" t="n">
        <v>80</v>
      </c>
      <c r="F3680" s="107" t="n">
        <f aca="false">IF($C3680="","",$D3680*$E3680)</f>
        <v>13.336</v>
      </c>
      <c r="G3680" s="107" t="n">
        <f aca="false">IF($C3680="","",$D3680*IFERROR(INDEX('تحليل التكلفة والسعر'!$C$2:$C$700,MATCH($C3680,'تحليل التكلفة والسعر'!$B$2:$B$700,0)),0))</f>
        <v>5.98254161629167</v>
      </c>
      <c r="H3680" s="104" t="s">
        <v>719</v>
      </c>
    </row>
    <row r="3681" customFormat="false" ht="15" hidden="false" customHeight="false" outlineLevel="0" collapsed="false">
      <c r="A3681" s="103" t="n">
        <v>46303</v>
      </c>
      <c r="B3681" s="104" t="s">
        <v>32</v>
      </c>
      <c r="C3681" s="104" t="s">
        <v>499</v>
      </c>
      <c r="D3681" s="105" t="n">
        <v>0.1667</v>
      </c>
      <c r="E3681" s="106" t="n">
        <v>80</v>
      </c>
      <c r="F3681" s="107" t="n">
        <f aca="false">IF($C3681="","",$D3681*$E3681)</f>
        <v>13.336</v>
      </c>
      <c r="G3681" s="107" t="n">
        <f aca="false">IF($C3681="","",$D3681*IFERROR(INDEX('تحليل التكلفة والسعر'!$C$2:$C$700,MATCH($C3681,'تحليل التكلفة والسعر'!$B$2:$B$700,0)),0))</f>
        <v>5.98254161629167</v>
      </c>
      <c r="H3681" s="104" t="s">
        <v>719</v>
      </c>
    </row>
    <row r="3682" customFormat="false" ht="15" hidden="false" customHeight="false" outlineLevel="0" collapsed="false">
      <c r="A3682" s="103" t="n">
        <v>46304</v>
      </c>
      <c r="B3682" s="104" t="s">
        <v>32</v>
      </c>
      <c r="C3682" s="104" t="s">
        <v>499</v>
      </c>
      <c r="D3682" s="105" t="n">
        <v>0.1667</v>
      </c>
      <c r="E3682" s="106" t="n">
        <v>80</v>
      </c>
      <c r="F3682" s="107" t="n">
        <f aca="false">IF($C3682="","",$D3682*$E3682)</f>
        <v>13.336</v>
      </c>
      <c r="G3682" s="107" t="n">
        <f aca="false">IF($C3682="","",$D3682*IFERROR(INDEX('تحليل التكلفة والسعر'!$C$2:$C$700,MATCH($C3682,'تحليل التكلفة والسعر'!$B$2:$B$700,0)),0))</f>
        <v>5.98254161629167</v>
      </c>
      <c r="H3682" s="104" t="s">
        <v>719</v>
      </c>
    </row>
    <row r="3683" customFormat="false" ht="15" hidden="false" customHeight="false" outlineLevel="0" collapsed="false">
      <c r="A3683" s="103" t="n">
        <v>46305</v>
      </c>
      <c r="B3683" s="104" t="s">
        <v>32</v>
      </c>
      <c r="C3683" s="104" t="s">
        <v>499</v>
      </c>
      <c r="D3683" s="105" t="n">
        <v>0.1667</v>
      </c>
      <c r="E3683" s="106" t="n">
        <v>80</v>
      </c>
      <c r="F3683" s="107" t="n">
        <f aca="false">IF($C3683="","",$D3683*$E3683)</f>
        <v>13.336</v>
      </c>
      <c r="G3683" s="107" t="n">
        <f aca="false">IF($C3683="","",$D3683*IFERROR(INDEX('تحليل التكلفة والسعر'!$C$2:$C$700,MATCH($C3683,'تحليل التكلفة والسعر'!$B$2:$B$700,0)),0))</f>
        <v>5.98254161629167</v>
      </c>
      <c r="H3683" s="104" t="s">
        <v>719</v>
      </c>
    </row>
    <row r="3684" customFormat="false" ht="15" hidden="false" customHeight="false" outlineLevel="0" collapsed="false">
      <c r="A3684" s="103" t="n">
        <v>46306</v>
      </c>
      <c r="B3684" s="104" t="s">
        <v>32</v>
      </c>
      <c r="C3684" s="104" t="s">
        <v>499</v>
      </c>
      <c r="D3684" s="105" t="n">
        <v>0.1667</v>
      </c>
      <c r="E3684" s="106" t="n">
        <v>80</v>
      </c>
      <c r="F3684" s="107" t="n">
        <f aca="false">IF($C3684="","",$D3684*$E3684)</f>
        <v>13.336</v>
      </c>
      <c r="G3684" s="107" t="n">
        <f aca="false">IF($C3684="","",$D3684*IFERROR(INDEX('تحليل التكلفة والسعر'!$C$2:$C$700,MATCH($C3684,'تحليل التكلفة والسعر'!$B$2:$B$700,0)),0))</f>
        <v>5.98254161629167</v>
      </c>
      <c r="H3684" s="104" t="s">
        <v>719</v>
      </c>
    </row>
    <row r="3685" customFormat="false" ht="15" hidden="false" customHeight="false" outlineLevel="0" collapsed="false">
      <c r="A3685" s="103" t="n">
        <v>46307</v>
      </c>
      <c r="B3685" s="104" t="s">
        <v>32</v>
      </c>
      <c r="C3685" s="104" t="s">
        <v>499</v>
      </c>
      <c r="D3685" s="105" t="n">
        <v>0.1667</v>
      </c>
      <c r="E3685" s="106" t="n">
        <v>80</v>
      </c>
      <c r="F3685" s="107" t="n">
        <f aca="false">IF($C3685="","",$D3685*$E3685)</f>
        <v>13.336</v>
      </c>
      <c r="G3685" s="107" t="n">
        <f aca="false">IF($C3685="","",$D3685*IFERROR(INDEX('تحليل التكلفة والسعر'!$C$2:$C$700,MATCH($C3685,'تحليل التكلفة والسعر'!$B$2:$B$700,0)),0))</f>
        <v>5.98254161629167</v>
      </c>
      <c r="H3685" s="104" t="s">
        <v>719</v>
      </c>
    </row>
    <row r="3686" customFormat="false" ht="15" hidden="false" customHeight="false" outlineLevel="0" collapsed="false">
      <c r="A3686" s="103" t="n">
        <v>46296</v>
      </c>
      <c r="B3686" s="104" t="s">
        <v>32</v>
      </c>
      <c r="C3686" s="104" t="s">
        <v>555</v>
      </c>
      <c r="D3686" s="105" t="n">
        <v>0.1667</v>
      </c>
      <c r="E3686" s="106" t="n">
        <v>125</v>
      </c>
      <c r="F3686" s="107" t="n">
        <f aca="false">IF($C3686="","",$D3686*$E3686)</f>
        <v>20.8375</v>
      </c>
      <c r="G3686" s="107" t="n">
        <f aca="false">IF($C3686="","",$D3686*IFERROR(INDEX('تحليل التكلفة والسعر'!$C$2:$C$700,MATCH($C3686,'تحليل التكلفة والسعر'!$B$2:$B$700,0)),0))</f>
        <v>12.6028470792917</v>
      </c>
      <c r="H3686" s="104" t="s">
        <v>719</v>
      </c>
    </row>
    <row r="3687" customFormat="false" ht="15" hidden="false" customHeight="false" outlineLevel="0" collapsed="false">
      <c r="A3687" s="103" t="n">
        <v>46297</v>
      </c>
      <c r="B3687" s="104" t="s">
        <v>32</v>
      </c>
      <c r="C3687" s="104" t="s">
        <v>555</v>
      </c>
      <c r="D3687" s="105" t="n">
        <v>0.1667</v>
      </c>
      <c r="E3687" s="106" t="n">
        <v>125</v>
      </c>
      <c r="F3687" s="107" t="n">
        <f aca="false">IF($C3687="","",$D3687*$E3687)</f>
        <v>20.8375</v>
      </c>
      <c r="G3687" s="107" t="n">
        <f aca="false">IF($C3687="","",$D3687*IFERROR(INDEX('تحليل التكلفة والسعر'!$C$2:$C$700,MATCH($C3687,'تحليل التكلفة والسعر'!$B$2:$B$700,0)),0))</f>
        <v>12.6028470792917</v>
      </c>
      <c r="H3687" s="104" t="s">
        <v>719</v>
      </c>
    </row>
    <row r="3688" customFormat="false" ht="15" hidden="false" customHeight="false" outlineLevel="0" collapsed="false">
      <c r="A3688" s="103" t="n">
        <v>46298</v>
      </c>
      <c r="B3688" s="104" t="s">
        <v>32</v>
      </c>
      <c r="C3688" s="104" t="s">
        <v>555</v>
      </c>
      <c r="D3688" s="105" t="n">
        <v>0.1667</v>
      </c>
      <c r="E3688" s="106" t="n">
        <v>125</v>
      </c>
      <c r="F3688" s="107" t="n">
        <f aca="false">IF($C3688="","",$D3688*$E3688)</f>
        <v>20.8375</v>
      </c>
      <c r="G3688" s="107" t="n">
        <f aca="false">IF($C3688="","",$D3688*IFERROR(INDEX('تحليل التكلفة والسعر'!$C$2:$C$700,MATCH($C3688,'تحليل التكلفة والسعر'!$B$2:$B$700,0)),0))</f>
        <v>12.6028470792917</v>
      </c>
      <c r="H3688" s="104" t="s">
        <v>719</v>
      </c>
    </row>
    <row r="3689" customFormat="false" ht="15" hidden="false" customHeight="false" outlineLevel="0" collapsed="false">
      <c r="A3689" s="103" t="n">
        <v>46299</v>
      </c>
      <c r="B3689" s="104" t="s">
        <v>32</v>
      </c>
      <c r="C3689" s="104" t="s">
        <v>555</v>
      </c>
      <c r="D3689" s="105" t="n">
        <v>0.1667</v>
      </c>
      <c r="E3689" s="106" t="n">
        <v>125</v>
      </c>
      <c r="F3689" s="107" t="n">
        <f aca="false">IF($C3689="","",$D3689*$E3689)</f>
        <v>20.8375</v>
      </c>
      <c r="G3689" s="107" t="n">
        <f aca="false">IF($C3689="","",$D3689*IFERROR(INDEX('تحليل التكلفة والسعر'!$C$2:$C$700,MATCH($C3689,'تحليل التكلفة والسعر'!$B$2:$B$700,0)),0))</f>
        <v>12.6028470792917</v>
      </c>
      <c r="H3689" s="104" t="s">
        <v>719</v>
      </c>
    </row>
    <row r="3690" customFormat="false" ht="15" hidden="false" customHeight="false" outlineLevel="0" collapsed="false">
      <c r="A3690" s="103" t="n">
        <v>46300</v>
      </c>
      <c r="B3690" s="104" t="s">
        <v>32</v>
      </c>
      <c r="C3690" s="104" t="s">
        <v>555</v>
      </c>
      <c r="D3690" s="105" t="n">
        <v>0.1667</v>
      </c>
      <c r="E3690" s="106" t="n">
        <v>125</v>
      </c>
      <c r="F3690" s="107" t="n">
        <f aca="false">IF($C3690="","",$D3690*$E3690)</f>
        <v>20.8375</v>
      </c>
      <c r="G3690" s="107" t="n">
        <f aca="false">IF($C3690="","",$D3690*IFERROR(INDEX('تحليل التكلفة والسعر'!$C$2:$C$700,MATCH($C3690,'تحليل التكلفة والسعر'!$B$2:$B$700,0)),0))</f>
        <v>12.6028470792917</v>
      </c>
      <c r="H3690" s="104" t="s">
        <v>719</v>
      </c>
    </row>
    <row r="3691" customFormat="false" ht="15" hidden="false" customHeight="false" outlineLevel="0" collapsed="false">
      <c r="A3691" s="103" t="n">
        <v>46301</v>
      </c>
      <c r="B3691" s="104" t="s">
        <v>32</v>
      </c>
      <c r="C3691" s="104" t="s">
        <v>555</v>
      </c>
      <c r="D3691" s="105" t="n">
        <v>0.1667</v>
      </c>
      <c r="E3691" s="106" t="n">
        <v>125</v>
      </c>
      <c r="F3691" s="107" t="n">
        <f aca="false">IF($C3691="","",$D3691*$E3691)</f>
        <v>20.8375</v>
      </c>
      <c r="G3691" s="107" t="n">
        <f aca="false">IF($C3691="","",$D3691*IFERROR(INDEX('تحليل التكلفة والسعر'!$C$2:$C$700,MATCH($C3691,'تحليل التكلفة والسعر'!$B$2:$B$700,0)),0))</f>
        <v>12.6028470792917</v>
      </c>
      <c r="H3691" s="104" t="s">
        <v>719</v>
      </c>
    </row>
    <row r="3692" customFormat="false" ht="15" hidden="false" customHeight="false" outlineLevel="0" collapsed="false">
      <c r="A3692" s="103" t="n">
        <v>46302</v>
      </c>
      <c r="B3692" s="104" t="s">
        <v>32</v>
      </c>
      <c r="C3692" s="104" t="s">
        <v>555</v>
      </c>
      <c r="D3692" s="105" t="n">
        <v>0.1667</v>
      </c>
      <c r="E3692" s="106" t="n">
        <v>125</v>
      </c>
      <c r="F3692" s="107" t="n">
        <f aca="false">IF($C3692="","",$D3692*$E3692)</f>
        <v>20.8375</v>
      </c>
      <c r="G3692" s="107" t="n">
        <f aca="false">IF($C3692="","",$D3692*IFERROR(INDEX('تحليل التكلفة والسعر'!$C$2:$C$700,MATCH($C3692,'تحليل التكلفة والسعر'!$B$2:$B$700,0)),0))</f>
        <v>12.6028470792917</v>
      </c>
      <c r="H3692" s="104" t="s">
        <v>719</v>
      </c>
    </row>
    <row r="3693" customFormat="false" ht="15" hidden="false" customHeight="false" outlineLevel="0" collapsed="false">
      <c r="A3693" s="103" t="n">
        <v>46303</v>
      </c>
      <c r="B3693" s="104" t="s">
        <v>32</v>
      </c>
      <c r="C3693" s="104" t="s">
        <v>555</v>
      </c>
      <c r="D3693" s="105" t="n">
        <v>0.1667</v>
      </c>
      <c r="E3693" s="106" t="n">
        <v>125</v>
      </c>
      <c r="F3693" s="107" t="n">
        <f aca="false">IF($C3693="","",$D3693*$E3693)</f>
        <v>20.8375</v>
      </c>
      <c r="G3693" s="107" t="n">
        <f aca="false">IF($C3693="","",$D3693*IFERROR(INDEX('تحليل التكلفة والسعر'!$C$2:$C$700,MATCH($C3693,'تحليل التكلفة والسعر'!$B$2:$B$700,0)),0))</f>
        <v>12.6028470792917</v>
      </c>
      <c r="H3693" s="104" t="s">
        <v>719</v>
      </c>
    </row>
    <row r="3694" customFormat="false" ht="15" hidden="false" customHeight="false" outlineLevel="0" collapsed="false">
      <c r="A3694" s="103" t="n">
        <v>46304</v>
      </c>
      <c r="B3694" s="104" t="s">
        <v>32</v>
      </c>
      <c r="C3694" s="104" t="s">
        <v>555</v>
      </c>
      <c r="D3694" s="105" t="n">
        <v>0.1667</v>
      </c>
      <c r="E3694" s="106" t="n">
        <v>125</v>
      </c>
      <c r="F3694" s="107" t="n">
        <f aca="false">IF($C3694="","",$D3694*$E3694)</f>
        <v>20.8375</v>
      </c>
      <c r="G3694" s="107" t="n">
        <f aca="false">IF($C3694="","",$D3694*IFERROR(INDEX('تحليل التكلفة والسعر'!$C$2:$C$700,MATCH($C3694,'تحليل التكلفة والسعر'!$B$2:$B$700,0)),0))</f>
        <v>12.6028470792917</v>
      </c>
      <c r="H3694" s="104" t="s">
        <v>719</v>
      </c>
    </row>
    <row r="3695" customFormat="false" ht="15" hidden="false" customHeight="false" outlineLevel="0" collapsed="false">
      <c r="A3695" s="103" t="n">
        <v>46305</v>
      </c>
      <c r="B3695" s="104" t="s">
        <v>32</v>
      </c>
      <c r="C3695" s="104" t="s">
        <v>555</v>
      </c>
      <c r="D3695" s="105" t="n">
        <v>0.1667</v>
      </c>
      <c r="E3695" s="106" t="n">
        <v>125</v>
      </c>
      <c r="F3695" s="107" t="n">
        <f aca="false">IF($C3695="","",$D3695*$E3695)</f>
        <v>20.8375</v>
      </c>
      <c r="G3695" s="107" t="n">
        <f aca="false">IF($C3695="","",$D3695*IFERROR(INDEX('تحليل التكلفة والسعر'!$C$2:$C$700,MATCH($C3695,'تحليل التكلفة والسعر'!$B$2:$B$700,0)),0))</f>
        <v>12.6028470792917</v>
      </c>
      <c r="H3695" s="104" t="s">
        <v>719</v>
      </c>
    </row>
    <row r="3696" customFormat="false" ht="15" hidden="false" customHeight="false" outlineLevel="0" collapsed="false">
      <c r="A3696" s="103" t="n">
        <v>46306</v>
      </c>
      <c r="B3696" s="104" t="s">
        <v>32</v>
      </c>
      <c r="C3696" s="104" t="s">
        <v>555</v>
      </c>
      <c r="D3696" s="105" t="n">
        <v>0.1667</v>
      </c>
      <c r="E3696" s="106" t="n">
        <v>125</v>
      </c>
      <c r="F3696" s="107" t="n">
        <f aca="false">IF($C3696="","",$D3696*$E3696)</f>
        <v>20.8375</v>
      </c>
      <c r="G3696" s="107" t="n">
        <f aca="false">IF($C3696="","",$D3696*IFERROR(INDEX('تحليل التكلفة والسعر'!$C$2:$C$700,MATCH($C3696,'تحليل التكلفة والسعر'!$B$2:$B$700,0)),0))</f>
        <v>12.6028470792917</v>
      </c>
      <c r="H3696" s="104" t="s">
        <v>719</v>
      </c>
    </row>
    <row r="3697" customFormat="false" ht="15" hidden="false" customHeight="false" outlineLevel="0" collapsed="false">
      <c r="A3697" s="103" t="n">
        <v>46307</v>
      </c>
      <c r="B3697" s="104" t="s">
        <v>32</v>
      </c>
      <c r="C3697" s="104" t="s">
        <v>555</v>
      </c>
      <c r="D3697" s="105" t="n">
        <v>0.1667</v>
      </c>
      <c r="E3697" s="106" t="n">
        <v>125</v>
      </c>
      <c r="F3697" s="107" t="n">
        <f aca="false">IF($C3697="","",$D3697*$E3697)</f>
        <v>20.8375</v>
      </c>
      <c r="G3697" s="107" t="n">
        <f aca="false">IF($C3697="","",$D3697*IFERROR(INDEX('تحليل التكلفة والسعر'!$C$2:$C$700,MATCH($C3697,'تحليل التكلفة والسعر'!$B$2:$B$700,0)),0))</f>
        <v>12.6028470792917</v>
      </c>
      <c r="H3697" s="104" t="s">
        <v>719</v>
      </c>
    </row>
    <row r="3698" customFormat="false" ht="15" hidden="false" customHeight="false" outlineLevel="0" collapsed="false">
      <c r="A3698" s="103" t="n">
        <v>46296</v>
      </c>
      <c r="B3698" s="104" t="s">
        <v>32</v>
      </c>
      <c r="C3698" s="104" t="s">
        <v>449</v>
      </c>
      <c r="D3698" s="105" t="n">
        <v>1.75</v>
      </c>
      <c r="E3698" s="106" t="n">
        <v>115.7143</v>
      </c>
      <c r="F3698" s="107" t="n">
        <f aca="false">IF($C3698="","",$D3698*$E3698)</f>
        <v>202.500025</v>
      </c>
      <c r="G3698" s="107" t="n">
        <f aca="false">IF($C3698="","",$D3698*IFERROR(INDEX('تحليل التكلفة والسعر'!$C$2:$C$700,MATCH($C3698,'تحليل التكلفة والسعر'!$B$2:$B$700,0)),0))</f>
        <v>88.5534336458333</v>
      </c>
      <c r="H3698" s="104" t="s">
        <v>719</v>
      </c>
    </row>
    <row r="3699" customFormat="false" ht="15" hidden="false" customHeight="false" outlineLevel="0" collapsed="false">
      <c r="A3699" s="103" t="n">
        <v>46297</v>
      </c>
      <c r="B3699" s="104" t="s">
        <v>32</v>
      </c>
      <c r="C3699" s="104" t="s">
        <v>449</v>
      </c>
      <c r="D3699" s="105" t="n">
        <v>1.75</v>
      </c>
      <c r="E3699" s="106" t="n">
        <v>115.7143</v>
      </c>
      <c r="F3699" s="107" t="n">
        <f aca="false">IF($C3699="","",$D3699*$E3699)</f>
        <v>202.500025</v>
      </c>
      <c r="G3699" s="107" t="n">
        <f aca="false">IF($C3699="","",$D3699*IFERROR(INDEX('تحليل التكلفة والسعر'!$C$2:$C$700,MATCH($C3699,'تحليل التكلفة والسعر'!$B$2:$B$700,0)),0))</f>
        <v>88.5534336458333</v>
      </c>
      <c r="H3699" s="104" t="s">
        <v>719</v>
      </c>
    </row>
    <row r="3700" customFormat="false" ht="15" hidden="false" customHeight="false" outlineLevel="0" collapsed="false">
      <c r="A3700" s="103" t="n">
        <v>46298</v>
      </c>
      <c r="B3700" s="104" t="s">
        <v>32</v>
      </c>
      <c r="C3700" s="104" t="s">
        <v>449</v>
      </c>
      <c r="D3700" s="105" t="n">
        <v>1.75</v>
      </c>
      <c r="E3700" s="106" t="n">
        <v>115.7143</v>
      </c>
      <c r="F3700" s="107" t="n">
        <f aca="false">IF($C3700="","",$D3700*$E3700)</f>
        <v>202.500025</v>
      </c>
      <c r="G3700" s="107" t="n">
        <f aca="false">IF($C3700="","",$D3700*IFERROR(INDEX('تحليل التكلفة والسعر'!$C$2:$C$700,MATCH($C3700,'تحليل التكلفة والسعر'!$B$2:$B$700,0)),0))</f>
        <v>88.5534336458333</v>
      </c>
      <c r="H3700" s="104" t="s">
        <v>719</v>
      </c>
    </row>
    <row r="3701" customFormat="false" ht="15" hidden="false" customHeight="false" outlineLevel="0" collapsed="false">
      <c r="A3701" s="103" t="n">
        <v>46299</v>
      </c>
      <c r="B3701" s="104" t="s">
        <v>32</v>
      </c>
      <c r="C3701" s="104" t="s">
        <v>449</v>
      </c>
      <c r="D3701" s="105" t="n">
        <v>1.75</v>
      </c>
      <c r="E3701" s="106" t="n">
        <v>115.7143</v>
      </c>
      <c r="F3701" s="107" t="n">
        <f aca="false">IF($C3701="","",$D3701*$E3701)</f>
        <v>202.500025</v>
      </c>
      <c r="G3701" s="107" t="n">
        <f aca="false">IF($C3701="","",$D3701*IFERROR(INDEX('تحليل التكلفة والسعر'!$C$2:$C$700,MATCH($C3701,'تحليل التكلفة والسعر'!$B$2:$B$700,0)),0))</f>
        <v>88.5534336458333</v>
      </c>
      <c r="H3701" s="104" t="s">
        <v>719</v>
      </c>
    </row>
    <row r="3702" customFormat="false" ht="15" hidden="false" customHeight="false" outlineLevel="0" collapsed="false">
      <c r="A3702" s="103" t="n">
        <v>46300</v>
      </c>
      <c r="B3702" s="104" t="s">
        <v>32</v>
      </c>
      <c r="C3702" s="104" t="s">
        <v>449</v>
      </c>
      <c r="D3702" s="105" t="n">
        <v>1.75</v>
      </c>
      <c r="E3702" s="106" t="n">
        <v>115.7143</v>
      </c>
      <c r="F3702" s="107" t="n">
        <f aca="false">IF($C3702="","",$D3702*$E3702)</f>
        <v>202.500025</v>
      </c>
      <c r="G3702" s="107" t="n">
        <f aca="false">IF($C3702="","",$D3702*IFERROR(INDEX('تحليل التكلفة والسعر'!$C$2:$C$700,MATCH($C3702,'تحليل التكلفة والسعر'!$B$2:$B$700,0)),0))</f>
        <v>88.5534336458333</v>
      </c>
      <c r="H3702" s="104" t="s">
        <v>719</v>
      </c>
    </row>
    <row r="3703" customFormat="false" ht="15" hidden="false" customHeight="false" outlineLevel="0" collapsed="false">
      <c r="A3703" s="103" t="n">
        <v>46301</v>
      </c>
      <c r="B3703" s="104" t="s">
        <v>32</v>
      </c>
      <c r="C3703" s="104" t="s">
        <v>449</v>
      </c>
      <c r="D3703" s="105" t="n">
        <v>1.75</v>
      </c>
      <c r="E3703" s="106" t="n">
        <v>115.7143</v>
      </c>
      <c r="F3703" s="107" t="n">
        <f aca="false">IF($C3703="","",$D3703*$E3703)</f>
        <v>202.500025</v>
      </c>
      <c r="G3703" s="107" t="n">
        <f aca="false">IF($C3703="","",$D3703*IFERROR(INDEX('تحليل التكلفة والسعر'!$C$2:$C$700,MATCH($C3703,'تحليل التكلفة والسعر'!$B$2:$B$700,0)),0))</f>
        <v>88.5534336458333</v>
      </c>
      <c r="H3703" s="104" t="s">
        <v>719</v>
      </c>
    </row>
    <row r="3704" customFormat="false" ht="15" hidden="false" customHeight="false" outlineLevel="0" collapsed="false">
      <c r="A3704" s="103" t="n">
        <v>46302</v>
      </c>
      <c r="B3704" s="104" t="s">
        <v>32</v>
      </c>
      <c r="C3704" s="104" t="s">
        <v>449</v>
      </c>
      <c r="D3704" s="105" t="n">
        <v>1.75</v>
      </c>
      <c r="E3704" s="106" t="n">
        <v>115.7143</v>
      </c>
      <c r="F3704" s="107" t="n">
        <f aca="false">IF($C3704="","",$D3704*$E3704)</f>
        <v>202.500025</v>
      </c>
      <c r="G3704" s="107" t="n">
        <f aca="false">IF($C3704="","",$D3704*IFERROR(INDEX('تحليل التكلفة والسعر'!$C$2:$C$700,MATCH($C3704,'تحليل التكلفة والسعر'!$B$2:$B$700,0)),0))</f>
        <v>88.5534336458333</v>
      </c>
      <c r="H3704" s="104" t="s">
        <v>719</v>
      </c>
    </row>
    <row r="3705" customFormat="false" ht="15" hidden="false" customHeight="false" outlineLevel="0" collapsed="false">
      <c r="A3705" s="103" t="n">
        <v>46303</v>
      </c>
      <c r="B3705" s="104" t="s">
        <v>32</v>
      </c>
      <c r="C3705" s="104" t="s">
        <v>449</v>
      </c>
      <c r="D3705" s="105" t="n">
        <v>1.75</v>
      </c>
      <c r="E3705" s="106" t="n">
        <v>115.7143</v>
      </c>
      <c r="F3705" s="107" t="n">
        <f aca="false">IF($C3705="","",$D3705*$E3705)</f>
        <v>202.500025</v>
      </c>
      <c r="G3705" s="107" t="n">
        <f aca="false">IF($C3705="","",$D3705*IFERROR(INDEX('تحليل التكلفة والسعر'!$C$2:$C$700,MATCH($C3705,'تحليل التكلفة والسعر'!$B$2:$B$700,0)),0))</f>
        <v>88.5534336458333</v>
      </c>
      <c r="H3705" s="104" t="s">
        <v>719</v>
      </c>
    </row>
    <row r="3706" customFormat="false" ht="15" hidden="false" customHeight="false" outlineLevel="0" collapsed="false">
      <c r="A3706" s="103" t="n">
        <v>46304</v>
      </c>
      <c r="B3706" s="104" t="s">
        <v>32</v>
      </c>
      <c r="C3706" s="104" t="s">
        <v>449</v>
      </c>
      <c r="D3706" s="105" t="n">
        <v>1.75</v>
      </c>
      <c r="E3706" s="106" t="n">
        <v>115.7143</v>
      </c>
      <c r="F3706" s="107" t="n">
        <f aca="false">IF($C3706="","",$D3706*$E3706)</f>
        <v>202.500025</v>
      </c>
      <c r="G3706" s="107" t="n">
        <f aca="false">IF($C3706="","",$D3706*IFERROR(INDEX('تحليل التكلفة والسعر'!$C$2:$C$700,MATCH($C3706,'تحليل التكلفة والسعر'!$B$2:$B$700,0)),0))</f>
        <v>88.5534336458333</v>
      </c>
      <c r="H3706" s="104" t="s">
        <v>719</v>
      </c>
    </row>
    <row r="3707" customFormat="false" ht="15" hidden="false" customHeight="false" outlineLevel="0" collapsed="false">
      <c r="A3707" s="103" t="n">
        <v>46305</v>
      </c>
      <c r="B3707" s="104" t="s">
        <v>32</v>
      </c>
      <c r="C3707" s="104" t="s">
        <v>449</v>
      </c>
      <c r="D3707" s="105" t="n">
        <v>1.75</v>
      </c>
      <c r="E3707" s="106" t="n">
        <v>115.7143</v>
      </c>
      <c r="F3707" s="107" t="n">
        <f aca="false">IF($C3707="","",$D3707*$E3707)</f>
        <v>202.500025</v>
      </c>
      <c r="G3707" s="107" t="n">
        <f aca="false">IF($C3707="","",$D3707*IFERROR(INDEX('تحليل التكلفة والسعر'!$C$2:$C$700,MATCH($C3707,'تحليل التكلفة والسعر'!$B$2:$B$700,0)),0))</f>
        <v>88.5534336458333</v>
      </c>
      <c r="H3707" s="104" t="s">
        <v>719</v>
      </c>
    </row>
    <row r="3708" customFormat="false" ht="15" hidden="false" customHeight="false" outlineLevel="0" collapsed="false">
      <c r="A3708" s="103" t="n">
        <v>46306</v>
      </c>
      <c r="B3708" s="104" t="s">
        <v>32</v>
      </c>
      <c r="C3708" s="104" t="s">
        <v>449</v>
      </c>
      <c r="D3708" s="105" t="n">
        <v>1.75</v>
      </c>
      <c r="E3708" s="106" t="n">
        <v>115.7143</v>
      </c>
      <c r="F3708" s="107" t="n">
        <f aca="false">IF($C3708="","",$D3708*$E3708)</f>
        <v>202.500025</v>
      </c>
      <c r="G3708" s="107" t="n">
        <f aca="false">IF($C3708="","",$D3708*IFERROR(INDEX('تحليل التكلفة والسعر'!$C$2:$C$700,MATCH($C3708,'تحليل التكلفة والسعر'!$B$2:$B$700,0)),0))</f>
        <v>88.5534336458333</v>
      </c>
      <c r="H3708" s="104" t="s">
        <v>719</v>
      </c>
    </row>
    <row r="3709" customFormat="false" ht="15" hidden="false" customHeight="false" outlineLevel="0" collapsed="false">
      <c r="A3709" s="103" t="n">
        <v>46307</v>
      </c>
      <c r="B3709" s="104" t="s">
        <v>32</v>
      </c>
      <c r="C3709" s="104" t="s">
        <v>449</v>
      </c>
      <c r="D3709" s="105" t="n">
        <v>1.75</v>
      </c>
      <c r="E3709" s="106" t="n">
        <v>115.7143</v>
      </c>
      <c r="F3709" s="107" t="n">
        <f aca="false">IF($C3709="","",$D3709*$E3709)</f>
        <v>202.500025</v>
      </c>
      <c r="G3709" s="107" t="n">
        <f aca="false">IF($C3709="","",$D3709*IFERROR(INDEX('تحليل التكلفة والسعر'!$C$2:$C$700,MATCH($C3709,'تحليل التكلفة والسعر'!$B$2:$B$700,0)),0))</f>
        <v>88.5534336458333</v>
      </c>
      <c r="H3709" s="104" t="s">
        <v>719</v>
      </c>
    </row>
    <row r="3710" customFormat="false" ht="15" hidden="false" customHeight="false" outlineLevel="0" collapsed="false">
      <c r="A3710" s="103" t="n">
        <v>46296</v>
      </c>
      <c r="B3710" s="104" t="s">
        <v>32</v>
      </c>
      <c r="C3710" s="104" t="s">
        <v>450</v>
      </c>
      <c r="D3710" s="105" t="n">
        <v>0.5833</v>
      </c>
      <c r="E3710" s="106" t="n">
        <v>132.8571</v>
      </c>
      <c r="F3710" s="107" t="n">
        <f aca="false">IF($C3710="","",$D3710*$E3710)</f>
        <v>77.49554643</v>
      </c>
      <c r="G3710" s="107" t="n">
        <f aca="false">IF($C3710="","",$D3710*IFERROR(INDEX('تحليل التكلفة والسعر'!$C$2:$C$700,MATCH($C3710,'تحليل التكلفة والسعر'!$B$2:$B$700,0)),0))</f>
        <v>40.2966750832083</v>
      </c>
      <c r="H3710" s="104" t="s">
        <v>719</v>
      </c>
    </row>
    <row r="3711" customFormat="false" ht="15" hidden="false" customHeight="false" outlineLevel="0" collapsed="false">
      <c r="A3711" s="103" t="n">
        <v>46297</v>
      </c>
      <c r="B3711" s="104" t="s">
        <v>32</v>
      </c>
      <c r="C3711" s="104" t="s">
        <v>450</v>
      </c>
      <c r="D3711" s="105" t="n">
        <v>0.5833</v>
      </c>
      <c r="E3711" s="106" t="n">
        <v>132.8571</v>
      </c>
      <c r="F3711" s="107" t="n">
        <f aca="false">IF($C3711="","",$D3711*$E3711)</f>
        <v>77.49554643</v>
      </c>
      <c r="G3711" s="107" t="n">
        <f aca="false">IF($C3711="","",$D3711*IFERROR(INDEX('تحليل التكلفة والسعر'!$C$2:$C$700,MATCH($C3711,'تحليل التكلفة والسعر'!$B$2:$B$700,0)),0))</f>
        <v>40.2966750832083</v>
      </c>
      <c r="H3711" s="104" t="s">
        <v>719</v>
      </c>
    </row>
    <row r="3712" customFormat="false" ht="15" hidden="false" customHeight="false" outlineLevel="0" collapsed="false">
      <c r="A3712" s="103" t="n">
        <v>46298</v>
      </c>
      <c r="B3712" s="104" t="s">
        <v>32</v>
      </c>
      <c r="C3712" s="104" t="s">
        <v>450</v>
      </c>
      <c r="D3712" s="105" t="n">
        <v>0.5833</v>
      </c>
      <c r="E3712" s="106" t="n">
        <v>132.8571</v>
      </c>
      <c r="F3712" s="107" t="n">
        <f aca="false">IF($C3712="","",$D3712*$E3712)</f>
        <v>77.49554643</v>
      </c>
      <c r="G3712" s="107" t="n">
        <f aca="false">IF($C3712="","",$D3712*IFERROR(INDEX('تحليل التكلفة والسعر'!$C$2:$C$700,MATCH($C3712,'تحليل التكلفة والسعر'!$B$2:$B$700,0)),0))</f>
        <v>40.2966750832083</v>
      </c>
      <c r="H3712" s="104" t="s">
        <v>719</v>
      </c>
    </row>
    <row r="3713" customFormat="false" ht="15" hidden="false" customHeight="false" outlineLevel="0" collapsed="false">
      <c r="A3713" s="103" t="n">
        <v>46299</v>
      </c>
      <c r="B3713" s="104" t="s">
        <v>32</v>
      </c>
      <c r="C3713" s="104" t="s">
        <v>450</v>
      </c>
      <c r="D3713" s="105" t="n">
        <v>0.5833</v>
      </c>
      <c r="E3713" s="106" t="n">
        <v>132.8571</v>
      </c>
      <c r="F3713" s="107" t="n">
        <f aca="false">IF($C3713="","",$D3713*$E3713)</f>
        <v>77.49554643</v>
      </c>
      <c r="G3713" s="107" t="n">
        <f aca="false">IF($C3713="","",$D3713*IFERROR(INDEX('تحليل التكلفة والسعر'!$C$2:$C$700,MATCH($C3713,'تحليل التكلفة والسعر'!$B$2:$B$700,0)),0))</f>
        <v>40.2966750832083</v>
      </c>
      <c r="H3713" s="104" t="s">
        <v>719</v>
      </c>
    </row>
    <row r="3714" customFormat="false" ht="15" hidden="false" customHeight="false" outlineLevel="0" collapsed="false">
      <c r="A3714" s="103" t="n">
        <v>46300</v>
      </c>
      <c r="B3714" s="104" t="s">
        <v>32</v>
      </c>
      <c r="C3714" s="104" t="s">
        <v>450</v>
      </c>
      <c r="D3714" s="105" t="n">
        <v>0.5833</v>
      </c>
      <c r="E3714" s="106" t="n">
        <v>132.8571</v>
      </c>
      <c r="F3714" s="107" t="n">
        <f aca="false">IF($C3714="","",$D3714*$E3714)</f>
        <v>77.49554643</v>
      </c>
      <c r="G3714" s="107" t="n">
        <f aca="false">IF($C3714="","",$D3714*IFERROR(INDEX('تحليل التكلفة والسعر'!$C$2:$C$700,MATCH($C3714,'تحليل التكلفة والسعر'!$B$2:$B$700,0)),0))</f>
        <v>40.2966750832083</v>
      </c>
      <c r="H3714" s="104" t="s">
        <v>719</v>
      </c>
    </row>
    <row r="3715" customFormat="false" ht="15" hidden="false" customHeight="false" outlineLevel="0" collapsed="false">
      <c r="A3715" s="103" t="n">
        <v>46301</v>
      </c>
      <c r="B3715" s="104" t="s">
        <v>32</v>
      </c>
      <c r="C3715" s="104" t="s">
        <v>450</v>
      </c>
      <c r="D3715" s="105" t="n">
        <v>0.5833</v>
      </c>
      <c r="E3715" s="106" t="n">
        <v>132.8571</v>
      </c>
      <c r="F3715" s="107" t="n">
        <f aca="false">IF($C3715="","",$D3715*$E3715)</f>
        <v>77.49554643</v>
      </c>
      <c r="G3715" s="107" t="n">
        <f aca="false">IF($C3715="","",$D3715*IFERROR(INDEX('تحليل التكلفة والسعر'!$C$2:$C$700,MATCH($C3715,'تحليل التكلفة والسعر'!$B$2:$B$700,0)),0))</f>
        <v>40.2966750832083</v>
      </c>
      <c r="H3715" s="104" t="s">
        <v>719</v>
      </c>
    </row>
    <row r="3716" customFormat="false" ht="15" hidden="false" customHeight="false" outlineLevel="0" collapsed="false">
      <c r="A3716" s="103" t="n">
        <v>46302</v>
      </c>
      <c r="B3716" s="104" t="s">
        <v>32</v>
      </c>
      <c r="C3716" s="104" t="s">
        <v>450</v>
      </c>
      <c r="D3716" s="105" t="n">
        <v>0.5833</v>
      </c>
      <c r="E3716" s="106" t="n">
        <v>132.8571</v>
      </c>
      <c r="F3716" s="107" t="n">
        <f aca="false">IF($C3716="","",$D3716*$E3716)</f>
        <v>77.49554643</v>
      </c>
      <c r="G3716" s="107" t="n">
        <f aca="false">IF($C3716="","",$D3716*IFERROR(INDEX('تحليل التكلفة والسعر'!$C$2:$C$700,MATCH($C3716,'تحليل التكلفة والسعر'!$B$2:$B$700,0)),0))</f>
        <v>40.2966750832083</v>
      </c>
      <c r="H3716" s="104" t="s">
        <v>719</v>
      </c>
    </row>
    <row r="3717" customFormat="false" ht="15" hidden="false" customHeight="false" outlineLevel="0" collapsed="false">
      <c r="A3717" s="103" t="n">
        <v>46303</v>
      </c>
      <c r="B3717" s="104" t="s">
        <v>32</v>
      </c>
      <c r="C3717" s="104" t="s">
        <v>450</v>
      </c>
      <c r="D3717" s="105" t="n">
        <v>0.5833</v>
      </c>
      <c r="E3717" s="106" t="n">
        <v>132.8571</v>
      </c>
      <c r="F3717" s="107" t="n">
        <f aca="false">IF($C3717="","",$D3717*$E3717)</f>
        <v>77.49554643</v>
      </c>
      <c r="G3717" s="107" t="n">
        <f aca="false">IF($C3717="","",$D3717*IFERROR(INDEX('تحليل التكلفة والسعر'!$C$2:$C$700,MATCH($C3717,'تحليل التكلفة والسعر'!$B$2:$B$700,0)),0))</f>
        <v>40.2966750832083</v>
      </c>
      <c r="H3717" s="104" t="s">
        <v>719</v>
      </c>
    </row>
    <row r="3718" customFormat="false" ht="15" hidden="false" customHeight="false" outlineLevel="0" collapsed="false">
      <c r="A3718" s="103" t="n">
        <v>46304</v>
      </c>
      <c r="B3718" s="104" t="s">
        <v>32</v>
      </c>
      <c r="C3718" s="104" t="s">
        <v>450</v>
      </c>
      <c r="D3718" s="105" t="n">
        <v>0.5833</v>
      </c>
      <c r="E3718" s="106" t="n">
        <v>132.8571</v>
      </c>
      <c r="F3718" s="107" t="n">
        <f aca="false">IF($C3718="","",$D3718*$E3718)</f>
        <v>77.49554643</v>
      </c>
      <c r="G3718" s="107" t="n">
        <f aca="false">IF($C3718="","",$D3718*IFERROR(INDEX('تحليل التكلفة والسعر'!$C$2:$C$700,MATCH($C3718,'تحليل التكلفة والسعر'!$B$2:$B$700,0)),0))</f>
        <v>40.2966750832083</v>
      </c>
      <c r="H3718" s="104" t="s">
        <v>719</v>
      </c>
    </row>
    <row r="3719" customFormat="false" ht="15" hidden="false" customHeight="false" outlineLevel="0" collapsed="false">
      <c r="A3719" s="103" t="n">
        <v>46305</v>
      </c>
      <c r="B3719" s="104" t="s">
        <v>32</v>
      </c>
      <c r="C3719" s="104" t="s">
        <v>450</v>
      </c>
      <c r="D3719" s="105" t="n">
        <v>0.5833</v>
      </c>
      <c r="E3719" s="106" t="n">
        <v>132.8571</v>
      </c>
      <c r="F3719" s="107" t="n">
        <f aca="false">IF($C3719="","",$D3719*$E3719)</f>
        <v>77.49554643</v>
      </c>
      <c r="G3719" s="107" t="n">
        <f aca="false">IF($C3719="","",$D3719*IFERROR(INDEX('تحليل التكلفة والسعر'!$C$2:$C$700,MATCH($C3719,'تحليل التكلفة والسعر'!$B$2:$B$700,0)),0))</f>
        <v>40.2966750832083</v>
      </c>
      <c r="H3719" s="104" t="s">
        <v>719</v>
      </c>
    </row>
    <row r="3720" customFormat="false" ht="15" hidden="false" customHeight="false" outlineLevel="0" collapsed="false">
      <c r="A3720" s="103" t="n">
        <v>46306</v>
      </c>
      <c r="B3720" s="104" t="s">
        <v>32</v>
      </c>
      <c r="C3720" s="104" t="s">
        <v>450</v>
      </c>
      <c r="D3720" s="105" t="n">
        <v>0.5833</v>
      </c>
      <c r="E3720" s="106" t="n">
        <v>132.8571</v>
      </c>
      <c r="F3720" s="107" t="n">
        <f aca="false">IF($C3720="","",$D3720*$E3720)</f>
        <v>77.49554643</v>
      </c>
      <c r="G3720" s="107" t="n">
        <f aca="false">IF($C3720="","",$D3720*IFERROR(INDEX('تحليل التكلفة والسعر'!$C$2:$C$700,MATCH($C3720,'تحليل التكلفة والسعر'!$B$2:$B$700,0)),0))</f>
        <v>40.2966750832083</v>
      </c>
      <c r="H3720" s="104" t="s">
        <v>719</v>
      </c>
    </row>
    <row r="3721" customFormat="false" ht="15" hidden="false" customHeight="false" outlineLevel="0" collapsed="false">
      <c r="A3721" s="103" t="n">
        <v>46307</v>
      </c>
      <c r="B3721" s="104" t="s">
        <v>32</v>
      </c>
      <c r="C3721" s="104" t="s">
        <v>450</v>
      </c>
      <c r="D3721" s="105" t="n">
        <v>0.5833</v>
      </c>
      <c r="E3721" s="106" t="n">
        <v>132.8571</v>
      </c>
      <c r="F3721" s="107" t="n">
        <f aca="false">IF($C3721="","",$D3721*$E3721)</f>
        <v>77.49554643</v>
      </c>
      <c r="G3721" s="107" t="n">
        <f aca="false">IF($C3721="","",$D3721*IFERROR(INDEX('تحليل التكلفة والسعر'!$C$2:$C$700,MATCH($C3721,'تحليل التكلفة والسعر'!$B$2:$B$700,0)),0))</f>
        <v>40.2966750832083</v>
      </c>
      <c r="H3721" s="104" t="s">
        <v>719</v>
      </c>
    </row>
    <row r="3722" customFormat="false" ht="15" hidden="false" customHeight="false" outlineLevel="0" collapsed="false">
      <c r="A3722" s="103" t="n">
        <v>46296</v>
      </c>
      <c r="B3722" s="104" t="s">
        <v>32</v>
      </c>
      <c r="C3722" s="104" t="s">
        <v>556</v>
      </c>
      <c r="D3722" s="105" t="n">
        <v>0.25</v>
      </c>
      <c r="E3722" s="106" t="n">
        <v>105</v>
      </c>
      <c r="F3722" s="107" t="n">
        <f aca="false">IF($C3722="","",$D3722*$E3722)</f>
        <v>26.25</v>
      </c>
      <c r="G3722" s="107" t="n">
        <f aca="false">IF($C3722="","",$D3722*IFERROR(INDEX('تحليل التكلفة والسعر'!$C$2:$C$700,MATCH($C3722,'تحليل التكلفة والسعر'!$B$2:$B$700,0)),0))</f>
        <v>15.5209905208333</v>
      </c>
      <c r="H3722" s="104" t="s">
        <v>719</v>
      </c>
    </row>
    <row r="3723" customFormat="false" ht="15" hidden="false" customHeight="false" outlineLevel="0" collapsed="false">
      <c r="A3723" s="103" t="n">
        <v>46297</v>
      </c>
      <c r="B3723" s="104" t="s">
        <v>32</v>
      </c>
      <c r="C3723" s="104" t="s">
        <v>556</v>
      </c>
      <c r="D3723" s="105" t="n">
        <v>0.25</v>
      </c>
      <c r="E3723" s="106" t="n">
        <v>105</v>
      </c>
      <c r="F3723" s="107" t="n">
        <f aca="false">IF($C3723="","",$D3723*$E3723)</f>
        <v>26.25</v>
      </c>
      <c r="G3723" s="107" t="n">
        <f aca="false">IF($C3723="","",$D3723*IFERROR(INDEX('تحليل التكلفة والسعر'!$C$2:$C$700,MATCH($C3723,'تحليل التكلفة والسعر'!$B$2:$B$700,0)),0))</f>
        <v>15.5209905208333</v>
      </c>
      <c r="H3723" s="104" t="s">
        <v>719</v>
      </c>
    </row>
    <row r="3724" customFormat="false" ht="15" hidden="false" customHeight="false" outlineLevel="0" collapsed="false">
      <c r="A3724" s="103" t="n">
        <v>46298</v>
      </c>
      <c r="B3724" s="104" t="s">
        <v>32</v>
      </c>
      <c r="C3724" s="104" t="s">
        <v>556</v>
      </c>
      <c r="D3724" s="105" t="n">
        <v>0.25</v>
      </c>
      <c r="E3724" s="106" t="n">
        <v>105</v>
      </c>
      <c r="F3724" s="107" t="n">
        <f aca="false">IF($C3724="","",$D3724*$E3724)</f>
        <v>26.25</v>
      </c>
      <c r="G3724" s="107" t="n">
        <f aca="false">IF($C3724="","",$D3724*IFERROR(INDEX('تحليل التكلفة والسعر'!$C$2:$C$700,MATCH($C3724,'تحليل التكلفة والسعر'!$B$2:$B$700,0)),0))</f>
        <v>15.5209905208333</v>
      </c>
      <c r="H3724" s="104" t="s">
        <v>719</v>
      </c>
    </row>
    <row r="3725" customFormat="false" ht="15" hidden="false" customHeight="false" outlineLevel="0" collapsed="false">
      <c r="A3725" s="103" t="n">
        <v>46299</v>
      </c>
      <c r="B3725" s="104" t="s">
        <v>32</v>
      </c>
      <c r="C3725" s="104" t="s">
        <v>556</v>
      </c>
      <c r="D3725" s="105" t="n">
        <v>0.25</v>
      </c>
      <c r="E3725" s="106" t="n">
        <v>105</v>
      </c>
      <c r="F3725" s="107" t="n">
        <f aca="false">IF($C3725="","",$D3725*$E3725)</f>
        <v>26.25</v>
      </c>
      <c r="G3725" s="107" t="n">
        <f aca="false">IF($C3725="","",$D3725*IFERROR(INDEX('تحليل التكلفة والسعر'!$C$2:$C$700,MATCH($C3725,'تحليل التكلفة والسعر'!$B$2:$B$700,0)),0))</f>
        <v>15.5209905208333</v>
      </c>
      <c r="H3725" s="104" t="s">
        <v>719</v>
      </c>
    </row>
    <row r="3726" customFormat="false" ht="15" hidden="false" customHeight="false" outlineLevel="0" collapsed="false">
      <c r="A3726" s="103" t="n">
        <v>46300</v>
      </c>
      <c r="B3726" s="104" t="s">
        <v>32</v>
      </c>
      <c r="C3726" s="104" t="s">
        <v>556</v>
      </c>
      <c r="D3726" s="105" t="n">
        <v>0.25</v>
      </c>
      <c r="E3726" s="106" t="n">
        <v>105</v>
      </c>
      <c r="F3726" s="107" t="n">
        <f aca="false">IF($C3726="","",$D3726*$E3726)</f>
        <v>26.25</v>
      </c>
      <c r="G3726" s="107" t="n">
        <f aca="false">IF($C3726="","",$D3726*IFERROR(INDEX('تحليل التكلفة والسعر'!$C$2:$C$700,MATCH($C3726,'تحليل التكلفة والسعر'!$B$2:$B$700,0)),0))</f>
        <v>15.5209905208333</v>
      </c>
      <c r="H3726" s="104" t="s">
        <v>719</v>
      </c>
    </row>
    <row r="3727" customFormat="false" ht="15" hidden="false" customHeight="false" outlineLevel="0" collapsed="false">
      <c r="A3727" s="103" t="n">
        <v>46301</v>
      </c>
      <c r="B3727" s="104" t="s">
        <v>32</v>
      </c>
      <c r="C3727" s="104" t="s">
        <v>556</v>
      </c>
      <c r="D3727" s="105" t="n">
        <v>0.25</v>
      </c>
      <c r="E3727" s="106" t="n">
        <v>105</v>
      </c>
      <c r="F3727" s="107" t="n">
        <f aca="false">IF($C3727="","",$D3727*$E3727)</f>
        <v>26.25</v>
      </c>
      <c r="G3727" s="107" t="n">
        <f aca="false">IF($C3727="","",$D3727*IFERROR(INDEX('تحليل التكلفة والسعر'!$C$2:$C$700,MATCH($C3727,'تحليل التكلفة والسعر'!$B$2:$B$700,0)),0))</f>
        <v>15.5209905208333</v>
      </c>
      <c r="H3727" s="104" t="s">
        <v>719</v>
      </c>
    </row>
    <row r="3728" customFormat="false" ht="15" hidden="false" customHeight="false" outlineLevel="0" collapsed="false">
      <c r="A3728" s="103" t="n">
        <v>46302</v>
      </c>
      <c r="B3728" s="104" t="s">
        <v>32</v>
      </c>
      <c r="C3728" s="104" t="s">
        <v>556</v>
      </c>
      <c r="D3728" s="105" t="n">
        <v>0.25</v>
      </c>
      <c r="E3728" s="106" t="n">
        <v>105</v>
      </c>
      <c r="F3728" s="107" t="n">
        <f aca="false">IF($C3728="","",$D3728*$E3728)</f>
        <v>26.25</v>
      </c>
      <c r="G3728" s="107" t="n">
        <f aca="false">IF($C3728="","",$D3728*IFERROR(INDEX('تحليل التكلفة والسعر'!$C$2:$C$700,MATCH($C3728,'تحليل التكلفة والسعر'!$B$2:$B$700,0)),0))</f>
        <v>15.5209905208333</v>
      </c>
      <c r="H3728" s="104" t="s">
        <v>719</v>
      </c>
    </row>
    <row r="3729" customFormat="false" ht="15" hidden="false" customHeight="false" outlineLevel="0" collapsed="false">
      <c r="A3729" s="103" t="n">
        <v>46303</v>
      </c>
      <c r="B3729" s="104" t="s">
        <v>32</v>
      </c>
      <c r="C3729" s="104" t="s">
        <v>556</v>
      </c>
      <c r="D3729" s="105" t="n">
        <v>0.25</v>
      </c>
      <c r="E3729" s="106" t="n">
        <v>105</v>
      </c>
      <c r="F3729" s="107" t="n">
        <f aca="false">IF($C3729="","",$D3729*$E3729)</f>
        <v>26.25</v>
      </c>
      <c r="G3729" s="107" t="n">
        <f aca="false">IF($C3729="","",$D3729*IFERROR(INDEX('تحليل التكلفة والسعر'!$C$2:$C$700,MATCH($C3729,'تحليل التكلفة والسعر'!$B$2:$B$700,0)),0))</f>
        <v>15.5209905208333</v>
      </c>
      <c r="H3729" s="104" t="s">
        <v>719</v>
      </c>
    </row>
    <row r="3730" customFormat="false" ht="15" hidden="false" customHeight="false" outlineLevel="0" collapsed="false">
      <c r="A3730" s="103" t="n">
        <v>46304</v>
      </c>
      <c r="B3730" s="104" t="s">
        <v>32</v>
      </c>
      <c r="C3730" s="104" t="s">
        <v>556</v>
      </c>
      <c r="D3730" s="105" t="n">
        <v>0.25</v>
      </c>
      <c r="E3730" s="106" t="n">
        <v>105</v>
      </c>
      <c r="F3730" s="107" t="n">
        <f aca="false">IF($C3730="","",$D3730*$E3730)</f>
        <v>26.25</v>
      </c>
      <c r="G3730" s="107" t="n">
        <f aca="false">IF($C3730="","",$D3730*IFERROR(INDEX('تحليل التكلفة والسعر'!$C$2:$C$700,MATCH($C3730,'تحليل التكلفة والسعر'!$B$2:$B$700,0)),0))</f>
        <v>15.5209905208333</v>
      </c>
      <c r="H3730" s="104" t="s">
        <v>719</v>
      </c>
    </row>
    <row r="3731" customFormat="false" ht="15" hidden="false" customHeight="false" outlineLevel="0" collapsed="false">
      <c r="A3731" s="103" t="n">
        <v>46305</v>
      </c>
      <c r="B3731" s="104" t="s">
        <v>32</v>
      </c>
      <c r="C3731" s="104" t="s">
        <v>556</v>
      </c>
      <c r="D3731" s="105" t="n">
        <v>0.25</v>
      </c>
      <c r="E3731" s="106" t="n">
        <v>105</v>
      </c>
      <c r="F3731" s="107" t="n">
        <f aca="false">IF($C3731="","",$D3731*$E3731)</f>
        <v>26.25</v>
      </c>
      <c r="G3731" s="107" t="n">
        <f aca="false">IF($C3731="","",$D3731*IFERROR(INDEX('تحليل التكلفة والسعر'!$C$2:$C$700,MATCH($C3731,'تحليل التكلفة والسعر'!$B$2:$B$700,0)),0))</f>
        <v>15.5209905208333</v>
      </c>
      <c r="H3731" s="104" t="s">
        <v>719</v>
      </c>
    </row>
    <row r="3732" customFormat="false" ht="15" hidden="false" customHeight="false" outlineLevel="0" collapsed="false">
      <c r="A3732" s="103" t="n">
        <v>46306</v>
      </c>
      <c r="B3732" s="104" t="s">
        <v>32</v>
      </c>
      <c r="C3732" s="104" t="s">
        <v>556</v>
      </c>
      <c r="D3732" s="105" t="n">
        <v>0.25</v>
      </c>
      <c r="E3732" s="106" t="n">
        <v>105</v>
      </c>
      <c r="F3732" s="107" t="n">
        <f aca="false">IF($C3732="","",$D3732*$E3732)</f>
        <v>26.25</v>
      </c>
      <c r="G3732" s="107" t="n">
        <f aca="false">IF($C3732="","",$D3732*IFERROR(INDEX('تحليل التكلفة والسعر'!$C$2:$C$700,MATCH($C3732,'تحليل التكلفة والسعر'!$B$2:$B$700,0)),0))</f>
        <v>15.5209905208333</v>
      </c>
      <c r="H3732" s="104" t="s">
        <v>719</v>
      </c>
    </row>
    <row r="3733" customFormat="false" ht="15" hidden="false" customHeight="false" outlineLevel="0" collapsed="false">
      <c r="A3733" s="103" t="n">
        <v>46307</v>
      </c>
      <c r="B3733" s="104" t="s">
        <v>32</v>
      </c>
      <c r="C3733" s="104" t="s">
        <v>556</v>
      </c>
      <c r="D3733" s="105" t="n">
        <v>0.25</v>
      </c>
      <c r="E3733" s="106" t="n">
        <v>105</v>
      </c>
      <c r="F3733" s="107" t="n">
        <f aca="false">IF($C3733="","",$D3733*$E3733)</f>
        <v>26.25</v>
      </c>
      <c r="G3733" s="107" t="n">
        <f aca="false">IF($C3733="","",$D3733*IFERROR(INDEX('تحليل التكلفة والسعر'!$C$2:$C$700,MATCH($C3733,'تحليل التكلفة والسعر'!$B$2:$B$700,0)),0))</f>
        <v>15.5209905208333</v>
      </c>
      <c r="H3733" s="104" t="s">
        <v>719</v>
      </c>
    </row>
    <row r="3734" customFormat="false" ht="15" hidden="false" customHeight="false" outlineLevel="0" collapsed="false">
      <c r="A3734" s="103" t="n">
        <v>46296</v>
      </c>
      <c r="B3734" s="104" t="s">
        <v>32</v>
      </c>
      <c r="C3734" s="104" t="s">
        <v>434</v>
      </c>
      <c r="D3734" s="105" t="n">
        <v>5.8333</v>
      </c>
      <c r="E3734" s="106" t="n">
        <v>126.7143</v>
      </c>
      <c r="F3734" s="107" t="n">
        <f aca="false">IF($C3734="","",$D3734*$E3734)</f>
        <v>739.16252619</v>
      </c>
      <c r="G3734" s="107" t="n">
        <f aca="false">IF($C3734="","",$D3734*IFERROR(INDEX('تحليل التكلفة والسعر'!$C$2:$C$700,MATCH($C3734,'تحليل التكلفة والسعر'!$B$2:$B$700,0)),0))</f>
        <v>371.462572830708</v>
      </c>
      <c r="H3734" s="104" t="s">
        <v>719</v>
      </c>
    </row>
    <row r="3735" customFormat="false" ht="15" hidden="false" customHeight="false" outlineLevel="0" collapsed="false">
      <c r="A3735" s="103" t="n">
        <v>46297</v>
      </c>
      <c r="B3735" s="104" t="s">
        <v>32</v>
      </c>
      <c r="C3735" s="104" t="s">
        <v>434</v>
      </c>
      <c r="D3735" s="105" t="n">
        <v>5.8333</v>
      </c>
      <c r="E3735" s="106" t="n">
        <v>126.7143</v>
      </c>
      <c r="F3735" s="107" t="n">
        <f aca="false">IF($C3735="","",$D3735*$E3735)</f>
        <v>739.16252619</v>
      </c>
      <c r="G3735" s="107" t="n">
        <f aca="false">IF($C3735="","",$D3735*IFERROR(INDEX('تحليل التكلفة والسعر'!$C$2:$C$700,MATCH($C3735,'تحليل التكلفة والسعر'!$B$2:$B$700,0)),0))</f>
        <v>371.462572830708</v>
      </c>
      <c r="H3735" s="104" t="s">
        <v>719</v>
      </c>
    </row>
    <row r="3736" customFormat="false" ht="15" hidden="false" customHeight="false" outlineLevel="0" collapsed="false">
      <c r="A3736" s="103" t="n">
        <v>46298</v>
      </c>
      <c r="B3736" s="104" t="s">
        <v>32</v>
      </c>
      <c r="C3736" s="104" t="s">
        <v>434</v>
      </c>
      <c r="D3736" s="105" t="n">
        <v>5.8333</v>
      </c>
      <c r="E3736" s="106" t="n">
        <v>126.7143</v>
      </c>
      <c r="F3736" s="107" t="n">
        <f aca="false">IF($C3736="","",$D3736*$E3736)</f>
        <v>739.16252619</v>
      </c>
      <c r="G3736" s="107" t="n">
        <f aca="false">IF($C3736="","",$D3736*IFERROR(INDEX('تحليل التكلفة والسعر'!$C$2:$C$700,MATCH($C3736,'تحليل التكلفة والسعر'!$B$2:$B$700,0)),0))</f>
        <v>371.462572830708</v>
      </c>
      <c r="H3736" s="104" t="s">
        <v>719</v>
      </c>
    </row>
    <row r="3737" customFormat="false" ht="15" hidden="false" customHeight="false" outlineLevel="0" collapsed="false">
      <c r="A3737" s="103" t="n">
        <v>46299</v>
      </c>
      <c r="B3737" s="104" t="s">
        <v>32</v>
      </c>
      <c r="C3737" s="104" t="s">
        <v>434</v>
      </c>
      <c r="D3737" s="105" t="n">
        <v>5.8333</v>
      </c>
      <c r="E3737" s="106" t="n">
        <v>126.7143</v>
      </c>
      <c r="F3737" s="107" t="n">
        <f aca="false">IF($C3737="","",$D3737*$E3737)</f>
        <v>739.16252619</v>
      </c>
      <c r="G3737" s="107" t="n">
        <f aca="false">IF($C3737="","",$D3737*IFERROR(INDEX('تحليل التكلفة والسعر'!$C$2:$C$700,MATCH($C3737,'تحليل التكلفة والسعر'!$B$2:$B$700,0)),0))</f>
        <v>371.462572830708</v>
      </c>
      <c r="H3737" s="104" t="s">
        <v>719</v>
      </c>
    </row>
    <row r="3738" customFormat="false" ht="15" hidden="false" customHeight="false" outlineLevel="0" collapsed="false">
      <c r="A3738" s="103" t="n">
        <v>46300</v>
      </c>
      <c r="B3738" s="104" t="s">
        <v>32</v>
      </c>
      <c r="C3738" s="104" t="s">
        <v>434</v>
      </c>
      <c r="D3738" s="105" t="n">
        <v>5.8333</v>
      </c>
      <c r="E3738" s="106" t="n">
        <v>126.7143</v>
      </c>
      <c r="F3738" s="107" t="n">
        <f aca="false">IF($C3738="","",$D3738*$E3738)</f>
        <v>739.16252619</v>
      </c>
      <c r="G3738" s="107" t="n">
        <f aca="false">IF($C3738="","",$D3738*IFERROR(INDEX('تحليل التكلفة والسعر'!$C$2:$C$700,MATCH($C3738,'تحليل التكلفة والسعر'!$B$2:$B$700,0)),0))</f>
        <v>371.462572830708</v>
      </c>
      <c r="H3738" s="104" t="s">
        <v>719</v>
      </c>
    </row>
    <row r="3739" customFormat="false" ht="15" hidden="false" customHeight="false" outlineLevel="0" collapsed="false">
      <c r="A3739" s="103" t="n">
        <v>46301</v>
      </c>
      <c r="B3739" s="104" t="s">
        <v>32</v>
      </c>
      <c r="C3739" s="104" t="s">
        <v>434</v>
      </c>
      <c r="D3739" s="105" t="n">
        <v>5.8333</v>
      </c>
      <c r="E3739" s="106" t="n">
        <v>126.7143</v>
      </c>
      <c r="F3739" s="107" t="n">
        <f aca="false">IF($C3739="","",$D3739*$E3739)</f>
        <v>739.16252619</v>
      </c>
      <c r="G3739" s="107" t="n">
        <f aca="false">IF($C3739="","",$D3739*IFERROR(INDEX('تحليل التكلفة والسعر'!$C$2:$C$700,MATCH($C3739,'تحليل التكلفة والسعر'!$B$2:$B$700,0)),0))</f>
        <v>371.462572830708</v>
      </c>
      <c r="H3739" s="104" t="s">
        <v>719</v>
      </c>
    </row>
    <row r="3740" customFormat="false" ht="15" hidden="false" customHeight="false" outlineLevel="0" collapsed="false">
      <c r="A3740" s="103" t="n">
        <v>46302</v>
      </c>
      <c r="B3740" s="104" t="s">
        <v>32</v>
      </c>
      <c r="C3740" s="104" t="s">
        <v>434</v>
      </c>
      <c r="D3740" s="105" t="n">
        <v>5.8333</v>
      </c>
      <c r="E3740" s="106" t="n">
        <v>126.7143</v>
      </c>
      <c r="F3740" s="107" t="n">
        <f aca="false">IF($C3740="","",$D3740*$E3740)</f>
        <v>739.16252619</v>
      </c>
      <c r="G3740" s="107" t="n">
        <f aca="false">IF($C3740="","",$D3740*IFERROR(INDEX('تحليل التكلفة والسعر'!$C$2:$C$700,MATCH($C3740,'تحليل التكلفة والسعر'!$B$2:$B$700,0)),0))</f>
        <v>371.462572830708</v>
      </c>
      <c r="H3740" s="104" t="s">
        <v>719</v>
      </c>
    </row>
    <row r="3741" customFormat="false" ht="15" hidden="false" customHeight="false" outlineLevel="0" collapsed="false">
      <c r="A3741" s="103" t="n">
        <v>46303</v>
      </c>
      <c r="B3741" s="104" t="s">
        <v>32</v>
      </c>
      <c r="C3741" s="104" t="s">
        <v>434</v>
      </c>
      <c r="D3741" s="105" t="n">
        <v>5.8333</v>
      </c>
      <c r="E3741" s="106" t="n">
        <v>126.7143</v>
      </c>
      <c r="F3741" s="107" t="n">
        <f aca="false">IF($C3741="","",$D3741*$E3741)</f>
        <v>739.16252619</v>
      </c>
      <c r="G3741" s="107" t="n">
        <f aca="false">IF($C3741="","",$D3741*IFERROR(INDEX('تحليل التكلفة والسعر'!$C$2:$C$700,MATCH($C3741,'تحليل التكلفة والسعر'!$B$2:$B$700,0)),0))</f>
        <v>371.462572830708</v>
      </c>
      <c r="H3741" s="104" t="s">
        <v>719</v>
      </c>
    </row>
    <row r="3742" customFormat="false" ht="15" hidden="false" customHeight="false" outlineLevel="0" collapsed="false">
      <c r="A3742" s="103" t="n">
        <v>46304</v>
      </c>
      <c r="B3742" s="104" t="s">
        <v>32</v>
      </c>
      <c r="C3742" s="104" t="s">
        <v>434</v>
      </c>
      <c r="D3742" s="105" t="n">
        <v>5.8333</v>
      </c>
      <c r="E3742" s="106" t="n">
        <v>126.7143</v>
      </c>
      <c r="F3742" s="107" t="n">
        <f aca="false">IF($C3742="","",$D3742*$E3742)</f>
        <v>739.16252619</v>
      </c>
      <c r="G3742" s="107" t="n">
        <f aca="false">IF($C3742="","",$D3742*IFERROR(INDEX('تحليل التكلفة والسعر'!$C$2:$C$700,MATCH($C3742,'تحليل التكلفة والسعر'!$B$2:$B$700,0)),0))</f>
        <v>371.462572830708</v>
      </c>
      <c r="H3742" s="104" t="s">
        <v>719</v>
      </c>
    </row>
    <row r="3743" customFormat="false" ht="15" hidden="false" customHeight="false" outlineLevel="0" collapsed="false">
      <c r="A3743" s="103" t="n">
        <v>46305</v>
      </c>
      <c r="B3743" s="104" t="s">
        <v>32</v>
      </c>
      <c r="C3743" s="104" t="s">
        <v>434</v>
      </c>
      <c r="D3743" s="105" t="n">
        <v>5.8333</v>
      </c>
      <c r="E3743" s="106" t="n">
        <v>126.7143</v>
      </c>
      <c r="F3743" s="107" t="n">
        <f aca="false">IF($C3743="","",$D3743*$E3743)</f>
        <v>739.16252619</v>
      </c>
      <c r="G3743" s="107" t="n">
        <f aca="false">IF($C3743="","",$D3743*IFERROR(INDEX('تحليل التكلفة والسعر'!$C$2:$C$700,MATCH($C3743,'تحليل التكلفة والسعر'!$B$2:$B$700,0)),0))</f>
        <v>371.462572830708</v>
      </c>
      <c r="H3743" s="104" t="s">
        <v>719</v>
      </c>
    </row>
    <row r="3744" customFormat="false" ht="15" hidden="false" customHeight="false" outlineLevel="0" collapsed="false">
      <c r="A3744" s="103" t="n">
        <v>46306</v>
      </c>
      <c r="B3744" s="104" t="s">
        <v>32</v>
      </c>
      <c r="C3744" s="104" t="s">
        <v>434</v>
      </c>
      <c r="D3744" s="105" t="n">
        <v>5.8333</v>
      </c>
      <c r="E3744" s="106" t="n">
        <v>126.7143</v>
      </c>
      <c r="F3744" s="107" t="n">
        <f aca="false">IF($C3744="","",$D3744*$E3744)</f>
        <v>739.16252619</v>
      </c>
      <c r="G3744" s="107" t="n">
        <f aca="false">IF($C3744="","",$D3744*IFERROR(INDEX('تحليل التكلفة والسعر'!$C$2:$C$700,MATCH($C3744,'تحليل التكلفة والسعر'!$B$2:$B$700,0)),0))</f>
        <v>371.462572830708</v>
      </c>
      <c r="H3744" s="104" t="s">
        <v>719</v>
      </c>
    </row>
    <row r="3745" customFormat="false" ht="15" hidden="false" customHeight="false" outlineLevel="0" collapsed="false">
      <c r="A3745" s="103" t="n">
        <v>46307</v>
      </c>
      <c r="B3745" s="104" t="s">
        <v>32</v>
      </c>
      <c r="C3745" s="104" t="s">
        <v>434</v>
      </c>
      <c r="D3745" s="105" t="n">
        <v>5.8333</v>
      </c>
      <c r="E3745" s="106" t="n">
        <v>126.7143</v>
      </c>
      <c r="F3745" s="107" t="n">
        <f aca="false">IF($C3745="","",$D3745*$E3745)</f>
        <v>739.16252619</v>
      </c>
      <c r="G3745" s="107" t="n">
        <f aca="false">IF($C3745="","",$D3745*IFERROR(INDEX('تحليل التكلفة والسعر'!$C$2:$C$700,MATCH($C3745,'تحليل التكلفة والسعر'!$B$2:$B$700,0)),0))</f>
        <v>371.462572830708</v>
      </c>
      <c r="H3745" s="104" t="s">
        <v>719</v>
      </c>
    </row>
    <row r="3746" customFormat="false" ht="15" hidden="false" customHeight="false" outlineLevel="0" collapsed="false">
      <c r="A3746" s="103" t="n">
        <v>46296</v>
      </c>
      <c r="B3746" s="104" t="s">
        <v>32</v>
      </c>
      <c r="C3746" s="104" t="s">
        <v>436</v>
      </c>
      <c r="D3746" s="105" t="n">
        <v>1.5833</v>
      </c>
      <c r="E3746" s="106" t="n">
        <v>125</v>
      </c>
      <c r="F3746" s="107" t="n">
        <f aca="false">IF($C3746="","",$D3746*$E3746)</f>
        <v>197.9125</v>
      </c>
      <c r="G3746" s="107" t="n">
        <f aca="false">IF($C3746="","",$D3746*IFERROR(INDEX('تحليل التكلفة والسعر'!$C$2:$C$700,MATCH($C3746,'تحليل التكلفة والسعر'!$B$2:$B$700,0)),0))</f>
        <v>95.1451868665417</v>
      </c>
      <c r="H3746" s="104" t="s">
        <v>719</v>
      </c>
    </row>
    <row r="3747" customFormat="false" ht="15" hidden="false" customHeight="false" outlineLevel="0" collapsed="false">
      <c r="A3747" s="103" t="n">
        <v>46297</v>
      </c>
      <c r="B3747" s="104" t="s">
        <v>32</v>
      </c>
      <c r="C3747" s="104" t="s">
        <v>436</v>
      </c>
      <c r="D3747" s="105" t="n">
        <v>1.5833</v>
      </c>
      <c r="E3747" s="106" t="n">
        <v>125</v>
      </c>
      <c r="F3747" s="107" t="n">
        <f aca="false">IF($C3747="","",$D3747*$E3747)</f>
        <v>197.9125</v>
      </c>
      <c r="G3747" s="107" t="n">
        <f aca="false">IF($C3747="","",$D3747*IFERROR(INDEX('تحليل التكلفة والسعر'!$C$2:$C$700,MATCH($C3747,'تحليل التكلفة والسعر'!$B$2:$B$700,0)),0))</f>
        <v>95.1451868665417</v>
      </c>
      <c r="H3747" s="104" t="s">
        <v>719</v>
      </c>
    </row>
    <row r="3748" customFormat="false" ht="15" hidden="false" customHeight="false" outlineLevel="0" collapsed="false">
      <c r="A3748" s="103" t="n">
        <v>46298</v>
      </c>
      <c r="B3748" s="104" t="s">
        <v>32</v>
      </c>
      <c r="C3748" s="104" t="s">
        <v>436</v>
      </c>
      <c r="D3748" s="105" t="n">
        <v>1.5833</v>
      </c>
      <c r="E3748" s="106" t="n">
        <v>125</v>
      </c>
      <c r="F3748" s="107" t="n">
        <f aca="false">IF($C3748="","",$D3748*$E3748)</f>
        <v>197.9125</v>
      </c>
      <c r="G3748" s="107" t="n">
        <f aca="false">IF($C3748="","",$D3748*IFERROR(INDEX('تحليل التكلفة والسعر'!$C$2:$C$700,MATCH($C3748,'تحليل التكلفة والسعر'!$B$2:$B$700,0)),0))</f>
        <v>95.1451868665417</v>
      </c>
      <c r="H3748" s="104" t="s">
        <v>719</v>
      </c>
    </row>
    <row r="3749" customFormat="false" ht="15" hidden="false" customHeight="false" outlineLevel="0" collapsed="false">
      <c r="A3749" s="103" t="n">
        <v>46299</v>
      </c>
      <c r="B3749" s="104" t="s">
        <v>32</v>
      </c>
      <c r="C3749" s="104" t="s">
        <v>436</v>
      </c>
      <c r="D3749" s="105" t="n">
        <v>1.5833</v>
      </c>
      <c r="E3749" s="106" t="n">
        <v>125</v>
      </c>
      <c r="F3749" s="107" t="n">
        <f aca="false">IF($C3749="","",$D3749*$E3749)</f>
        <v>197.9125</v>
      </c>
      <c r="G3749" s="107" t="n">
        <f aca="false">IF($C3749="","",$D3749*IFERROR(INDEX('تحليل التكلفة والسعر'!$C$2:$C$700,MATCH($C3749,'تحليل التكلفة والسعر'!$B$2:$B$700,0)),0))</f>
        <v>95.1451868665417</v>
      </c>
      <c r="H3749" s="104" t="s">
        <v>719</v>
      </c>
    </row>
    <row r="3750" customFormat="false" ht="15" hidden="false" customHeight="false" outlineLevel="0" collapsed="false">
      <c r="A3750" s="103" t="n">
        <v>46300</v>
      </c>
      <c r="B3750" s="104" t="s">
        <v>32</v>
      </c>
      <c r="C3750" s="104" t="s">
        <v>436</v>
      </c>
      <c r="D3750" s="105" t="n">
        <v>1.5833</v>
      </c>
      <c r="E3750" s="106" t="n">
        <v>125</v>
      </c>
      <c r="F3750" s="107" t="n">
        <f aca="false">IF($C3750="","",$D3750*$E3750)</f>
        <v>197.9125</v>
      </c>
      <c r="G3750" s="107" t="n">
        <f aca="false">IF($C3750="","",$D3750*IFERROR(INDEX('تحليل التكلفة والسعر'!$C$2:$C$700,MATCH($C3750,'تحليل التكلفة والسعر'!$B$2:$B$700,0)),0))</f>
        <v>95.1451868665417</v>
      </c>
      <c r="H3750" s="104" t="s">
        <v>719</v>
      </c>
    </row>
    <row r="3751" customFormat="false" ht="15" hidden="false" customHeight="false" outlineLevel="0" collapsed="false">
      <c r="A3751" s="103" t="n">
        <v>46301</v>
      </c>
      <c r="B3751" s="104" t="s">
        <v>32</v>
      </c>
      <c r="C3751" s="104" t="s">
        <v>436</v>
      </c>
      <c r="D3751" s="105" t="n">
        <v>1.5833</v>
      </c>
      <c r="E3751" s="106" t="n">
        <v>125</v>
      </c>
      <c r="F3751" s="107" t="n">
        <f aca="false">IF($C3751="","",$D3751*$E3751)</f>
        <v>197.9125</v>
      </c>
      <c r="G3751" s="107" t="n">
        <f aca="false">IF($C3751="","",$D3751*IFERROR(INDEX('تحليل التكلفة والسعر'!$C$2:$C$700,MATCH($C3751,'تحليل التكلفة والسعر'!$B$2:$B$700,0)),0))</f>
        <v>95.1451868665417</v>
      </c>
      <c r="H3751" s="104" t="s">
        <v>719</v>
      </c>
    </row>
    <row r="3752" customFormat="false" ht="15" hidden="false" customHeight="false" outlineLevel="0" collapsed="false">
      <c r="A3752" s="103" t="n">
        <v>46302</v>
      </c>
      <c r="B3752" s="104" t="s">
        <v>32</v>
      </c>
      <c r="C3752" s="104" t="s">
        <v>436</v>
      </c>
      <c r="D3752" s="105" t="n">
        <v>1.5833</v>
      </c>
      <c r="E3752" s="106" t="n">
        <v>125</v>
      </c>
      <c r="F3752" s="107" t="n">
        <f aca="false">IF($C3752="","",$D3752*$E3752)</f>
        <v>197.9125</v>
      </c>
      <c r="G3752" s="107" t="n">
        <f aca="false">IF($C3752="","",$D3752*IFERROR(INDEX('تحليل التكلفة والسعر'!$C$2:$C$700,MATCH($C3752,'تحليل التكلفة والسعر'!$B$2:$B$700,0)),0))</f>
        <v>95.1451868665417</v>
      </c>
      <c r="H3752" s="104" t="s">
        <v>719</v>
      </c>
    </row>
    <row r="3753" customFormat="false" ht="15" hidden="false" customHeight="false" outlineLevel="0" collapsed="false">
      <c r="A3753" s="103" t="n">
        <v>46303</v>
      </c>
      <c r="B3753" s="104" t="s">
        <v>32</v>
      </c>
      <c r="C3753" s="104" t="s">
        <v>436</v>
      </c>
      <c r="D3753" s="105" t="n">
        <v>1.5833</v>
      </c>
      <c r="E3753" s="106" t="n">
        <v>125</v>
      </c>
      <c r="F3753" s="107" t="n">
        <f aca="false">IF($C3753="","",$D3753*$E3753)</f>
        <v>197.9125</v>
      </c>
      <c r="G3753" s="107" t="n">
        <f aca="false">IF($C3753="","",$D3753*IFERROR(INDEX('تحليل التكلفة والسعر'!$C$2:$C$700,MATCH($C3753,'تحليل التكلفة والسعر'!$B$2:$B$700,0)),0))</f>
        <v>95.1451868665417</v>
      </c>
      <c r="H3753" s="104" t="s">
        <v>719</v>
      </c>
    </row>
    <row r="3754" customFormat="false" ht="15" hidden="false" customHeight="false" outlineLevel="0" collapsed="false">
      <c r="A3754" s="103" t="n">
        <v>46304</v>
      </c>
      <c r="B3754" s="104" t="s">
        <v>32</v>
      </c>
      <c r="C3754" s="104" t="s">
        <v>436</v>
      </c>
      <c r="D3754" s="105" t="n">
        <v>1.5833</v>
      </c>
      <c r="E3754" s="106" t="n">
        <v>125</v>
      </c>
      <c r="F3754" s="107" t="n">
        <f aca="false">IF($C3754="","",$D3754*$E3754)</f>
        <v>197.9125</v>
      </c>
      <c r="G3754" s="107" t="n">
        <f aca="false">IF($C3754="","",$D3754*IFERROR(INDEX('تحليل التكلفة والسعر'!$C$2:$C$700,MATCH($C3754,'تحليل التكلفة والسعر'!$B$2:$B$700,0)),0))</f>
        <v>95.1451868665417</v>
      </c>
      <c r="H3754" s="104" t="s">
        <v>719</v>
      </c>
    </row>
    <row r="3755" customFormat="false" ht="15" hidden="false" customHeight="false" outlineLevel="0" collapsed="false">
      <c r="A3755" s="103" t="n">
        <v>46305</v>
      </c>
      <c r="B3755" s="104" t="s">
        <v>32</v>
      </c>
      <c r="C3755" s="104" t="s">
        <v>436</v>
      </c>
      <c r="D3755" s="105" t="n">
        <v>1.5833</v>
      </c>
      <c r="E3755" s="106" t="n">
        <v>125</v>
      </c>
      <c r="F3755" s="107" t="n">
        <f aca="false">IF($C3755="","",$D3755*$E3755)</f>
        <v>197.9125</v>
      </c>
      <c r="G3755" s="107" t="n">
        <f aca="false">IF($C3755="","",$D3755*IFERROR(INDEX('تحليل التكلفة والسعر'!$C$2:$C$700,MATCH($C3755,'تحليل التكلفة والسعر'!$B$2:$B$700,0)),0))</f>
        <v>95.1451868665417</v>
      </c>
      <c r="H3755" s="104" t="s">
        <v>719</v>
      </c>
    </row>
    <row r="3756" customFormat="false" ht="15" hidden="false" customHeight="false" outlineLevel="0" collapsed="false">
      <c r="A3756" s="103" t="n">
        <v>46306</v>
      </c>
      <c r="B3756" s="104" t="s">
        <v>32</v>
      </c>
      <c r="C3756" s="104" t="s">
        <v>436</v>
      </c>
      <c r="D3756" s="105" t="n">
        <v>1.5833</v>
      </c>
      <c r="E3756" s="106" t="n">
        <v>125</v>
      </c>
      <c r="F3756" s="107" t="n">
        <f aca="false">IF($C3756="","",$D3756*$E3756)</f>
        <v>197.9125</v>
      </c>
      <c r="G3756" s="107" t="n">
        <f aca="false">IF($C3756="","",$D3756*IFERROR(INDEX('تحليل التكلفة والسعر'!$C$2:$C$700,MATCH($C3756,'تحليل التكلفة والسعر'!$B$2:$B$700,0)),0))</f>
        <v>95.1451868665417</v>
      </c>
      <c r="H3756" s="104" t="s">
        <v>719</v>
      </c>
    </row>
    <row r="3757" customFormat="false" ht="15" hidden="false" customHeight="false" outlineLevel="0" collapsed="false">
      <c r="A3757" s="103" t="n">
        <v>46307</v>
      </c>
      <c r="B3757" s="104" t="s">
        <v>32</v>
      </c>
      <c r="C3757" s="104" t="s">
        <v>436</v>
      </c>
      <c r="D3757" s="105" t="n">
        <v>1.5833</v>
      </c>
      <c r="E3757" s="106" t="n">
        <v>125</v>
      </c>
      <c r="F3757" s="107" t="n">
        <f aca="false">IF($C3757="","",$D3757*$E3757)</f>
        <v>197.9125</v>
      </c>
      <c r="G3757" s="107" t="n">
        <f aca="false">IF($C3757="","",$D3757*IFERROR(INDEX('تحليل التكلفة والسعر'!$C$2:$C$700,MATCH($C3757,'تحليل التكلفة والسعر'!$B$2:$B$700,0)),0))</f>
        <v>95.1451868665417</v>
      </c>
      <c r="H3757" s="104" t="s">
        <v>719</v>
      </c>
    </row>
    <row r="3758" customFormat="false" ht="15" hidden="false" customHeight="false" outlineLevel="0" collapsed="false">
      <c r="A3758" s="103" t="n">
        <v>46296</v>
      </c>
      <c r="B3758" s="104" t="s">
        <v>32</v>
      </c>
      <c r="C3758" s="104" t="s">
        <v>751</v>
      </c>
      <c r="D3758" s="105" t="n">
        <v>2.75</v>
      </c>
      <c r="E3758" s="106" t="n">
        <v>160.9091</v>
      </c>
      <c r="F3758" s="107" t="n">
        <f aca="false">IF($C3758="","",$D3758*$E3758)</f>
        <v>442.500025</v>
      </c>
      <c r="G3758" s="107" t="n">
        <f aca="false">IF($C3758="","",$D3758*IFERROR(INDEX('تحليل التكلفة والسعر'!$C$2:$C$700,MATCH($C3758,'تحليل التكلفة والسعر'!$B$2:$B$700,0)),0))</f>
        <v>240.67311675</v>
      </c>
      <c r="H3758" s="104" t="s">
        <v>719</v>
      </c>
    </row>
    <row r="3759" customFormat="false" ht="15" hidden="false" customHeight="false" outlineLevel="0" collapsed="false">
      <c r="A3759" s="103" t="n">
        <v>46297</v>
      </c>
      <c r="B3759" s="104" t="s">
        <v>32</v>
      </c>
      <c r="C3759" s="104" t="s">
        <v>751</v>
      </c>
      <c r="D3759" s="105" t="n">
        <v>2.75</v>
      </c>
      <c r="E3759" s="106" t="n">
        <v>160.9091</v>
      </c>
      <c r="F3759" s="107" t="n">
        <f aca="false">IF($C3759="","",$D3759*$E3759)</f>
        <v>442.500025</v>
      </c>
      <c r="G3759" s="107" t="n">
        <f aca="false">IF($C3759="","",$D3759*IFERROR(INDEX('تحليل التكلفة والسعر'!$C$2:$C$700,MATCH($C3759,'تحليل التكلفة والسعر'!$B$2:$B$700,0)),0))</f>
        <v>240.67311675</v>
      </c>
      <c r="H3759" s="104" t="s">
        <v>719</v>
      </c>
    </row>
    <row r="3760" customFormat="false" ht="15" hidden="false" customHeight="false" outlineLevel="0" collapsed="false">
      <c r="A3760" s="103" t="n">
        <v>46298</v>
      </c>
      <c r="B3760" s="104" t="s">
        <v>32</v>
      </c>
      <c r="C3760" s="104" t="s">
        <v>751</v>
      </c>
      <c r="D3760" s="105" t="n">
        <v>2.75</v>
      </c>
      <c r="E3760" s="106" t="n">
        <v>160.9091</v>
      </c>
      <c r="F3760" s="107" t="n">
        <f aca="false">IF($C3760="","",$D3760*$E3760)</f>
        <v>442.500025</v>
      </c>
      <c r="G3760" s="107" t="n">
        <f aca="false">IF($C3760="","",$D3760*IFERROR(INDEX('تحليل التكلفة والسعر'!$C$2:$C$700,MATCH($C3760,'تحليل التكلفة والسعر'!$B$2:$B$700,0)),0))</f>
        <v>240.67311675</v>
      </c>
      <c r="H3760" s="104" t="s">
        <v>719</v>
      </c>
    </row>
    <row r="3761" customFormat="false" ht="15" hidden="false" customHeight="false" outlineLevel="0" collapsed="false">
      <c r="A3761" s="103" t="n">
        <v>46299</v>
      </c>
      <c r="B3761" s="104" t="s">
        <v>32</v>
      </c>
      <c r="C3761" s="104" t="s">
        <v>751</v>
      </c>
      <c r="D3761" s="105" t="n">
        <v>2.75</v>
      </c>
      <c r="E3761" s="106" t="n">
        <v>160.9091</v>
      </c>
      <c r="F3761" s="107" t="n">
        <f aca="false">IF($C3761="","",$D3761*$E3761)</f>
        <v>442.500025</v>
      </c>
      <c r="G3761" s="107" t="n">
        <f aca="false">IF($C3761="","",$D3761*IFERROR(INDEX('تحليل التكلفة والسعر'!$C$2:$C$700,MATCH($C3761,'تحليل التكلفة والسعر'!$B$2:$B$700,0)),0))</f>
        <v>240.67311675</v>
      </c>
      <c r="H3761" s="104" t="s">
        <v>719</v>
      </c>
    </row>
    <row r="3762" customFormat="false" ht="15" hidden="false" customHeight="false" outlineLevel="0" collapsed="false">
      <c r="A3762" s="103" t="n">
        <v>46300</v>
      </c>
      <c r="B3762" s="104" t="s">
        <v>32</v>
      </c>
      <c r="C3762" s="104" t="s">
        <v>751</v>
      </c>
      <c r="D3762" s="105" t="n">
        <v>2.75</v>
      </c>
      <c r="E3762" s="106" t="n">
        <v>160.9091</v>
      </c>
      <c r="F3762" s="107" t="n">
        <f aca="false">IF($C3762="","",$D3762*$E3762)</f>
        <v>442.500025</v>
      </c>
      <c r="G3762" s="107" t="n">
        <f aca="false">IF($C3762="","",$D3762*IFERROR(INDEX('تحليل التكلفة والسعر'!$C$2:$C$700,MATCH($C3762,'تحليل التكلفة والسعر'!$B$2:$B$700,0)),0))</f>
        <v>240.67311675</v>
      </c>
      <c r="H3762" s="104" t="s">
        <v>719</v>
      </c>
    </row>
    <row r="3763" customFormat="false" ht="15" hidden="false" customHeight="false" outlineLevel="0" collapsed="false">
      <c r="A3763" s="103" t="n">
        <v>46301</v>
      </c>
      <c r="B3763" s="104" t="s">
        <v>32</v>
      </c>
      <c r="C3763" s="104" t="s">
        <v>751</v>
      </c>
      <c r="D3763" s="105" t="n">
        <v>2.75</v>
      </c>
      <c r="E3763" s="106" t="n">
        <v>160.9091</v>
      </c>
      <c r="F3763" s="107" t="n">
        <f aca="false">IF($C3763="","",$D3763*$E3763)</f>
        <v>442.500025</v>
      </c>
      <c r="G3763" s="107" t="n">
        <f aca="false">IF($C3763="","",$D3763*IFERROR(INDEX('تحليل التكلفة والسعر'!$C$2:$C$700,MATCH($C3763,'تحليل التكلفة والسعر'!$B$2:$B$700,0)),0))</f>
        <v>240.67311675</v>
      </c>
      <c r="H3763" s="104" t="s">
        <v>719</v>
      </c>
    </row>
    <row r="3764" customFormat="false" ht="15" hidden="false" customHeight="false" outlineLevel="0" collapsed="false">
      <c r="A3764" s="103" t="n">
        <v>46302</v>
      </c>
      <c r="B3764" s="104" t="s">
        <v>32</v>
      </c>
      <c r="C3764" s="104" t="s">
        <v>751</v>
      </c>
      <c r="D3764" s="105" t="n">
        <v>2.75</v>
      </c>
      <c r="E3764" s="106" t="n">
        <v>160.9091</v>
      </c>
      <c r="F3764" s="107" t="n">
        <f aca="false">IF($C3764="","",$D3764*$E3764)</f>
        <v>442.500025</v>
      </c>
      <c r="G3764" s="107" t="n">
        <f aca="false">IF($C3764="","",$D3764*IFERROR(INDEX('تحليل التكلفة والسعر'!$C$2:$C$700,MATCH($C3764,'تحليل التكلفة والسعر'!$B$2:$B$700,0)),0))</f>
        <v>240.67311675</v>
      </c>
      <c r="H3764" s="104" t="s">
        <v>719</v>
      </c>
    </row>
    <row r="3765" customFormat="false" ht="15" hidden="false" customHeight="false" outlineLevel="0" collapsed="false">
      <c r="A3765" s="103" t="n">
        <v>46303</v>
      </c>
      <c r="B3765" s="104" t="s">
        <v>32</v>
      </c>
      <c r="C3765" s="104" t="s">
        <v>751</v>
      </c>
      <c r="D3765" s="105" t="n">
        <v>2.75</v>
      </c>
      <c r="E3765" s="106" t="n">
        <v>160.9091</v>
      </c>
      <c r="F3765" s="107" t="n">
        <f aca="false">IF($C3765="","",$D3765*$E3765)</f>
        <v>442.500025</v>
      </c>
      <c r="G3765" s="107" t="n">
        <f aca="false">IF($C3765="","",$D3765*IFERROR(INDEX('تحليل التكلفة والسعر'!$C$2:$C$700,MATCH($C3765,'تحليل التكلفة والسعر'!$B$2:$B$700,0)),0))</f>
        <v>240.67311675</v>
      </c>
      <c r="H3765" s="104" t="s">
        <v>719</v>
      </c>
    </row>
    <row r="3766" customFormat="false" ht="15" hidden="false" customHeight="false" outlineLevel="0" collapsed="false">
      <c r="A3766" s="103" t="n">
        <v>46304</v>
      </c>
      <c r="B3766" s="104" t="s">
        <v>32</v>
      </c>
      <c r="C3766" s="104" t="s">
        <v>751</v>
      </c>
      <c r="D3766" s="105" t="n">
        <v>2.75</v>
      </c>
      <c r="E3766" s="106" t="n">
        <v>160.9091</v>
      </c>
      <c r="F3766" s="107" t="n">
        <f aca="false">IF($C3766="","",$D3766*$E3766)</f>
        <v>442.500025</v>
      </c>
      <c r="G3766" s="107" t="n">
        <f aca="false">IF($C3766="","",$D3766*IFERROR(INDEX('تحليل التكلفة والسعر'!$C$2:$C$700,MATCH($C3766,'تحليل التكلفة والسعر'!$B$2:$B$700,0)),0))</f>
        <v>240.67311675</v>
      </c>
      <c r="H3766" s="104" t="s">
        <v>719</v>
      </c>
    </row>
    <row r="3767" customFormat="false" ht="15" hidden="false" customHeight="false" outlineLevel="0" collapsed="false">
      <c r="A3767" s="103" t="n">
        <v>46305</v>
      </c>
      <c r="B3767" s="104" t="s">
        <v>32</v>
      </c>
      <c r="C3767" s="104" t="s">
        <v>751</v>
      </c>
      <c r="D3767" s="105" t="n">
        <v>2.75</v>
      </c>
      <c r="E3767" s="106" t="n">
        <v>160.9091</v>
      </c>
      <c r="F3767" s="107" t="n">
        <f aca="false">IF($C3767="","",$D3767*$E3767)</f>
        <v>442.500025</v>
      </c>
      <c r="G3767" s="107" t="n">
        <f aca="false">IF($C3767="","",$D3767*IFERROR(INDEX('تحليل التكلفة والسعر'!$C$2:$C$700,MATCH($C3767,'تحليل التكلفة والسعر'!$B$2:$B$700,0)),0))</f>
        <v>240.67311675</v>
      </c>
      <c r="H3767" s="104" t="s">
        <v>719</v>
      </c>
    </row>
    <row r="3768" customFormat="false" ht="15" hidden="false" customHeight="false" outlineLevel="0" collapsed="false">
      <c r="A3768" s="103" t="n">
        <v>46306</v>
      </c>
      <c r="B3768" s="104" t="s">
        <v>32</v>
      </c>
      <c r="C3768" s="104" t="s">
        <v>751</v>
      </c>
      <c r="D3768" s="105" t="n">
        <v>2.75</v>
      </c>
      <c r="E3768" s="106" t="n">
        <v>160.9091</v>
      </c>
      <c r="F3768" s="107" t="n">
        <f aca="false">IF($C3768="","",$D3768*$E3768)</f>
        <v>442.500025</v>
      </c>
      <c r="G3768" s="107" t="n">
        <f aca="false">IF($C3768="","",$D3768*IFERROR(INDEX('تحليل التكلفة والسعر'!$C$2:$C$700,MATCH($C3768,'تحليل التكلفة والسعر'!$B$2:$B$700,0)),0))</f>
        <v>240.67311675</v>
      </c>
      <c r="H3768" s="104" t="s">
        <v>719</v>
      </c>
    </row>
    <row r="3769" customFormat="false" ht="15" hidden="false" customHeight="false" outlineLevel="0" collapsed="false">
      <c r="A3769" s="103" t="n">
        <v>46307</v>
      </c>
      <c r="B3769" s="104" t="s">
        <v>32</v>
      </c>
      <c r="C3769" s="104" t="s">
        <v>751</v>
      </c>
      <c r="D3769" s="105" t="n">
        <v>2.75</v>
      </c>
      <c r="E3769" s="106" t="n">
        <v>160.9091</v>
      </c>
      <c r="F3769" s="107" t="n">
        <f aca="false">IF($C3769="","",$D3769*$E3769)</f>
        <v>442.500025</v>
      </c>
      <c r="G3769" s="107" t="n">
        <f aca="false">IF($C3769="","",$D3769*IFERROR(INDEX('تحليل التكلفة والسعر'!$C$2:$C$700,MATCH($C3769,'تحليل التكلفة والسعر'!$B$2:$B$700,0)),0))</f>
        <v>240.67311675</v>
      </c>
      <c r="H3769" s="104" t="s">
        <v>719</v>
      </c>
    </row>
    <row r="3770" customFormat="false" ht="15" hidden="false" customHeight="false" outlineLevel="0" collapsed="false">
      <c r="A3770" s="103" t="n">
        <v>46296</v>
      </c>
      <c r="B3770" s="104" t="s">
        <v>32</v>
      </c>
      <c r="C3770" s="104" t="s">
        <v>505</v>
      </c>
      <c r="D3770" s="105" t="n">
        <v>0.5</v>
      </c>
      <c r="E3770" s="106" t="n">
        <v>255</v>
      </c>
      <c r="F3770" s="107" t="n">
        <f aca="false">IF($C3770="","",$D3770*$E3770)</f>
        <v>127.5</v>
      </c>
      <c r="G3770" s="107" t="n">
        <f aca="false">IF($C3770="","",$D3770*IFERROR(INDEX('تحليل التكلفة والسعر'!$C$2:$C$700,MATCH($C3770,'تحليل التكلفة والسعر'!$B$2:$B$700,0)),0))</f>
        <v>69.7316675</v>
      </c>
      <c r="H3770" s="104" t="s">
        <v>719</v>
      </c>
    </row>
    <row r="3771" customFormat="false" ht="15" hidden="false" customHeight="false" outlineLevel="0" collapsed="false">
      <c r="A3771" s="103" t="n">
        <v>46297</v>
      </c>
      <c r="B3771" s="104" t="s">
        <v>32</v>
      </c>
      <c r="C3771" s="104" t="s">
        <v>505</v>
      </c>
      <c r="D3771" s="105" t="n">
        <v>0.5</v>
      </c>
      <c r="E3771" s="106" t="n">
        <v>255</v>
      </c>
      <c r="F3771" s="107" t="n">
        <f aca="false">IF($C3771="","",$D3771*$E3771)</f>
        <v>127.5</v>
      </c>
      <c r="G3771" s="107" t="n">
        <f aca="false">IF($C3771="","",$D3771*IFERROR(INDEX('تحليل التكلفة والسعر'!$C$2:$C$700,MATCH($C3771,'تحليل التكلفة والسعر'!$B$2:$B$700,0)),0))</f>
        <v>69.7316675</v>
      </c>
      <c r="H3771" s="104" t="s">
        <v>719</v>
      </c>
    </row>
    <row r="3772" customFormat="false" ht="15" hidden="false" customHeight="false" outlineLevel="0" collapsed="false">
      <c r="A3772" s="103" t="n">
        <v>46298</v>
      </c>
      <c r="B3772" s="104" t="s">
        <v>32</v>
      </c>
      <c r="C3772" s="104" t="s">
        <v>505</v>
      </c>
      <c r="D3772" s="105" t="n">
        <v>0.5</v>
      </c>
      <c r="E3772" s="106" t="n">
        <v>255</v>
      </c>
      <c r="F3772" s="107" t="n">
        <f aca="false">IF($C3772="","",$D3772*$E3772)</f>
        <v>127.5</v>
      </c>
      <c r="G3772" s="107" t="n">
        <f aca="false">IF($C3772="","",$D3772*IFERROR(INDEX('تحليل التكلفة والسعر'!$C$2:$C$700,MATCH($C3772,'تحليل التكلفة والسعر'!$B$2:$B$700,0)),0))</f>
        <v>69.7316675</v>
      </c>
      <c r="H3772" s="104" t="s">
        <v>719</v>
      </c>
    </row>
    <row r="3773" customFormat="false" ht="15" hidden="false" customHeight="false" outlineLevel="0" collapsed="false">
      <c r="A3773" s="103" t="n">
        <v>46299</v>
      </c>
      <c r="B3773" s="104" t="s">
        <v>32</v>
      </c>
      <c r="C3773" s="104" t="s">
        <v>505</v>
      </c>
      <c r="D3773" s="105" t="n">
        <v>0.5</v>
      </c>
      <c r="E3773" s="106" t="n">
        <v>255</v>
      </c>
      <c r="F3773" s="107" t="n">
        <f aca="false">IF($C3773="","",$D3773*$E3773)</f>
        <v>127.5</v>
      </c>
      <c r="G3773" s="107" t="n">
        <f aca="false">IF($C3773="","",$D3773*IFERROR(INDEX('تحليل التكلفة والسعر'!$C$2:$C$700,MATCH($C3773,'تحليل التكلفة والسعر'!$B$2:$B$700,0)),0))</f>
        <v>69.7316675</v>
      </c>
      <c r="H3773" s="104" t="s">
        <v>719</v>
      </c>
    </row>
    <row r="3774" customFormat="false" ht="15" hidden="false" customHeight="false" outlineLevel="0" collapsed="false">
      <c r="A3774" s="103" t="n">
        <v>46300</v>
      </c>
      <c r="B3774" s="104" t="s">
        <v>32</v>
      </c>
      <c r="C3774" s="104" t="s">
        <v>505</v>
      </c>
      <c r="D3774" s="105" t="n">
        <v>0.5</v>
      </c>
      <c r="E3774" s="106" t="n">
        <v>255</v>
      </c>
      <c r="F3774" s="107" t="n">
        <f aca="false">IF($C3774="","",$D3774*$E3774)</f>
        <v>127.5</v>
      </c>
      <c r="G3774" s="107" t="n">
        <f aca="false">IF($C3774="","",$D3774*IFERROR(INDEX('تحليل التكلفة والسعر'!$C$2:$C$700,MATCH($C3774,'تحليل التكلفة والسعر'!$B$2:$B$700,0)),0))</f>
        <v>69.7316675</v>
      </c>
      <c r="H3774" s="104" t="s">
        <v>719</v>
      </c>
    </row>
    <row r="3775" customFormat="false" ht="15" hidden="false" customHeight="false" outlineLevel="0" collapsed="false">
      <c r="A3775" s="103" t="n">
        <v>46301</v>
      </c>
      <c r="B3775" s="104" t="s">
        <v>32</v>
      </c>
      <c r="C3775" s="104" t="s">
        <v>505</v>
      </c>
      <c r="D3775" s="105" t="n">
        <v>0.5</v>
      </c>
      <c r="E3775" s="106" t="n">
        <v>255</v>
      </c>
      <c r="F3775" s="107" t="n">
        <f aca="false">IF($C3775="","",$D3775*$E3775)</f>
        <v>127.5</v>
      </c>
      <c r="G3775" s="107" t="n">
        <f aca="false">IF($C3775="","",$D3775*IFERROR(INDEX('تحليل التكلفة والسعر'!$C$2:$C$700,MATCH($C3775,'تحليل التكلفة والسعر'!$B$2:$B$700,0)),0))</f>
        <v>69.7316675</v>
      </c>
      <c r="H3775" s="104" t="s">
        <v>719</v>
      </c>
    </row>
    <row r="3776" customFormat="false" ht="15" hidden="false" customHeight="false" outlineLevel="0" collapsed="false">
      <c r="A3776" s="103" t="n">
        <v>46302</v>
      </c>
      <c r="B3776" s="104" t="s">
        <v>32</v>
      </c>
      <c r="C3776" s="104" t="s">
        <v>505</v>
      </c>
      <c r="D3776" s="105" t="n">
        <v>0.5</v>
      </c>
      <c r="E3776" s="106" t="n">
        <v>255</v>
      </c>
      <c r="F3776" s="107" t="n">
        <f aca="false">IF($C3776="","",$D3776*$E3776)</f>
        <v>127.5</v>
      </c>
      <c r="G3776" s="107" t="n">
        <f aca="false">IF($C3776="","",$D3776*IFERROR(INDEX('تحليل التكلفة والسعر'!$C$2:$C$700,MATCH($C3776,'تحليل التكلفة والسعر'!$B$2:$B$700,0)),0))</f>
        <v>69.7316675</v>
      </c>
      <c r="H3776" s="104" t="s">
        <v>719</v>
      </c>
    </row>
    <row r="3777" customFormat="false" ht="15" hidden="false" customHeight="false" outlineLevel="0" collapsed="false">
      <c r="A3777" s="103" t="n">
        <v>46303</v>
      </c>
      <c r="B3777" s="104" t="s">
        <v>32</v>
      </c>
      <c r="C3777" s="104" t="s">
        <v>505</v>
      </c>
      <c r="D3777" s="105" t="n">
        <v>0.5</v>
      </c>
      <c r="E3777" s="106" t="n">
        <v>255</v>
      </c>
      <c r="F3777" s="107" t="n">
        <f aca="false">IF($C3777="","",$D3777*$E3777)</f>
        <v>127.5</v>
      </c>
      <c r="G3777" s="107" t="n">
        <f aca="false">IF($C3777="","",$D3777*IFERROR(INDEX('تحليل التكلفة والسعر'!$C$2:$C$700,MATCH($C3777,'تحليل التكلفة والسعر'!$B$2:$B$700,0)),0))</f>
        <v>69.7316675</v>
      </c>
      <c r="H3777" s="104" t="s">
        <v>719</v>
      </c>
    </row>
    <row r="3778" customFormat="false" ht="15" hidden="false" customHeight="false" outlineLevel="0" collapsed="false">
      <c r="A3778" s="103" t="n">
        <v>46304</v>
      </c>
      <c r="B3778" s="104" t="s">
        <v>32</v>
      </c>
      <c r="C3778" s="104" t="s">
        <v>505</v>
      </c>
      <c r="D3778" s="105" t="n">
        <v>0.5</v>
      </c>
      <c r="E3778" s="106" t="n">
        <v>255</v>
      </c>
      <c r="F3778" s="107" t="n">
        <f aca="false">IF($C3778="","",$D3778*$E3778)</f>
        <v>127.5</v>
      </c>
      <c r="G3778" s="107" t="n">
        <f aca="false">IF($C3778="","",$D3778*IFERROR(INDEX('تحليل التكلفة والسعر'!$C$2:$C$700,MATCH($C3778,'تحليل التكلفة والسعر'!$B$2:$B$700,0)),0))</f>
        <v>69.7316675</v>
      </c>
      <c r="H3778" s="104" t="s">
        <v>719</v>
      </c>
    </row>
    <row r="3779" customFormat="false" ht="15" hidden="false" customHeight="false" outlineLevel="0" collapsed="false">
      <c r="A3779" s="103" t="n">
        <v>46305</v>
      </c>
      <c r="B3779" s="104" t="s">
        <v>32</v>
      </c>
      <c r="C3779" s="104" t="s">
        <v>505</v>
      </c>
      <c r="D3779" s="105" t="n">
        <v>0.5</v>
      </c>
      <c r="E3779" s="106" t="n">
        <v>255</v>
      </c>
      <c r="F3779" s="107" t="n">
        <f aca="false">IF($C3779="","",$D3779*$E3779)</f>
        <v>127.5</v>
      </c>
      <c r="G3779" s="107" t="n">
        <f aca="false">IF($C3779="","",$D3779*IFERROR(INDEX('تحليل التكلفة والسعر'!$C$2:$C$700,MATCH($C3779,'تحليل التكلفة والسعر'!$B$2:$B$700,0)),0))</f>
        <v>69.7316675</v>
      </c>
      <c r="H3779" s="104" t="s">
        <v>719</v>
      </c>
    </row>
    <row r="3780" customFormat="false" ht="15" hidden="false" customHeight="false" outlineLevel="0" collapsed="false">
      <c r="A3780" s="103" t="n">
        <v>46306</v>
      </c>
      <c r="B3780" s="104" t="s">
        <v>32</v>
      </c>
      <c r="C3780" s="104" t="s">
        <v>505</v>
      </c>
      <c r="D3780" s="105" t="n">
        <v>0.5</v>
      </c>
      <c r="E3780" s="106" t="n">
        <v>255</v>
      </c>
      <c r="F3780" s="107" t="n">
        <f aca="false">IF($C3780="","",$D3780*$E3780)</f>
        <v>127.5</v>
      </c>
      <c r="G3780" s="107" t="n">
        <f aca="false">IF($C3780="","",$D3780*IFERROR(INDEX('تحليل التكلفة والسعر'!$C$2:$C$700,MATCH($C3780,'تحليل التكلفة والسعر'!$B$2:$B$700,0)),0))</f>
        <v>69.7316675</v>
      </c>
      <c r="H3780" s="104" t="s">
        <v>719</v>
      </c>
    </row>
    <row r="3781" customFormat="false" ht="15" hidden="false" customHeight="false" outlineLevel="0" collapsed="false">
      <c r="A3781" s="103" t="n">
        <v>46307</v>
      </c>
      <c r="B3781" s="104" t="s">
        <v>32</v>
      </c>
      <c r="C3781" s="104" t="s">
        <v>505</v>
      </c>
      <c r="D3781" s="105" t="n">
        <v>0.5</v>
      </c>
      <c r="E3781" s="106" t="n">
        <v>255</v>
      </c>
      <c r="F3781" s="107" t="n">
        <f aca="false">IF($C3781="","",$D3781*$E3781)</f>
        <v>127.5</v>
      </c>
      <c r="G3781" s="107" t="n">
        <f aca="false">IF($C3781="","",$D3781*IFERROR(INDEX('تحليل التكلفة والسعر'!$C$2:$C$700,MATCH($C3781,'تحليل التكلفة والسعر'!$B$2:$B$700,0)),0))</f>
        <v>69.7316675</v>
      </c>
      <c r="H3781" s="104" t="s">
        <v>719</v>
      </c>
    </row>
    <row r="3782" customFormat="false" ht="15" hidden="false" customHeight="false" outlineLevel="0" collapsed="false">
      <c r="A3782" s="103" t="n">
        <v>46296</v>
      </c>
      <c r="B3782" s="104" t="s">
        <v>32</v>
      </c>
      <c r="C3782" s="104" t="s">
        <v>455</v>
      </c>
      <c r="D3782" s="105" t="n">
        <v>0.6667</v>
      </c>
      <c r="E3782" s="106" t="n">
        <v>140</v>
      </c>
      <c r="F3782" s="107" t="n">
        <f aca="false">IF($C3782="","",$D3782*$E3782)</f>
        <v>93.338</v>
      </c>
      <c r="G3782" s="107" t="n">
        <f aca="false">IF($C3782="","",$D3782*IFERROR(INDEX('تحليل التكلفة والسعر'!$C$2:$C$700,MATCH($C3782,'تحليل التكلفة والسعر'!$B$2:$B$700,0)),0))</f>
        <v>52.9782054445</v>
      </c>
      <c r="H3782" s="104" t="s">
        <v>719</v>
      </c>
    </row>
    <row r="3783" customFormat="false" ht="15" hidden="false" customHeight="false" outlineLevel="0" collapsed="false">
      <c r="A3783" s="103" t="n">
        <v>46297</v>
      </c>
      <c r="B3783" s="104" t="s">
        <v>32</v>
      </c>
      <c r="C3783" s="104" t="s">
        <v>455</v>
      </c>
      <c r="D3783" s="105" t="n">
        <v>0.6667</v>
      </c>
      <c r="E3783" s="106" t="n">
        <v>140</v>
      </c>
      <c r="F3783" s="107" t="n">
        <f aca="false">IF($C3783="","",$D3783*$E3783)</f>
        <v>93.338</v>
      </c>
      <c r="G3783" s="107" t="n">
        <f aca="false">IF($C3783="","",$D3783*IFERROR(INDEX('تحليل التكلفة والسعر'!$C$2:$C$700,MATCH($C3783,'تحليل التكلفة والسعر'!$B$2:$B$700,0)),0))</f>
        <v>52.9782054445</v>
      </c>
      <c r="H3783" s="104" t="s">
        <v>719</v>
      </c>
    </row>
    <row r="3784" customFormat="false" ht="15" hidden="false" customHeight="false" outlineLevel="0" collapsed="false">
      <c r="A3784" s="103" t="n">
        <v>46298</v>
      </c>
      <c r="B3784" s="104" t="s">
        <v>32</v>
      </c>
      <c r="C3784" s="104" t="s">
        <v>455</v>
      </c>
      <c r="D3784" s="105" t="n">
        <v>0.6667</v>
      </c>
      <c r="E3784" s="106" t="n">
        <v>140</v>
      </c>
      <c r="F3784" s="107" t="n">
        <f aca="false">IF($C3784="","",$D3784*$E3784)</f>
        <v>93.338</v>
      </c>
      <c r="G3784" s="107" t="n">
        <f aca="false">IF($C3784="","",$D3784*IFERROR(INDEX('تحليل التكلفة والسعر'!$C$2:$C$700,MATCH($C3784,'تحليل التكلفة والسعر'!$B$2:$B$700,0)),0))</f>
        <v>52.9782054445</v>
      </c>
      <c r="H3784" s="104" t="s">
        <v>719</v>
      </c>
    </row>
    <row r="3785" customFormat="false" ht="15" hidden="false" customHeight="false" outlineLevel="0" collapsed="false">
      <c r="A3785" s="103" t="n">
        <v>46299</v>
      </c>
      <c r="B3785" s="104" t="s">
        <v>32</v>
      </c>
      <c r="C3785" s="104" t="s">
        <v>455</v>
      </c>
      <c r="D3785" s="105" t="n">
        <v>0.6667</v>
      </c>
      <c r="E3785" s="106" t="n">
        <v>140</v>
      </c>
      <c r="F3785" s="107" t="n">
        <f aca="false">IF($C3785="","",$D3785*$E3785)</f>
        <v>93.338</v>
      </c>
      <c r="G3785" s="107" t="n">
        <f aca="false">IF($C3785="","",$D3785*IFERROR(INDEX('تحليل التكلفة والسعر'!$C$2:$C$700,MATCH($C3785,'تحليل التكلفة والسعر'!$B$2:$B$700,0)),0))</f>
        <v>52.9782054445</v>
      </c>
      <c r="H3785" s="104" t="s">
        <v>719</v>
      </c>
    </row>
    <row r="3786" customFormat="false" ht="15" hidden="false" customHeight="false" outlineLevel="0" collapsed="false">
      <c r="A3786" s="103" t="n">
        <v>46300</v>
      </c>
      <c r="B3786" s="104" t="s">
        <v>32</v>
      </c>
      <c r="C3786" s="104" t="s">
        <v>455</v>
      </c>
      <c r="D3786" s="105" t="n">
        <v>0.6667</v>
      </c>
      <c r="E3786" s="106" t="n">
        <v>140</v>
      </c>
      <c r="F3786" s="107" t="n">
        <f aca="false">IF($C3786="","",$D3786*$E3786)</f>
        <v>93.338</v>
      </c>
      <c r="G3786" s="107" t="n">
        <f aca="false">IF($C3786="","",$D3786*IFERROR(INDEX('تحليل التكلفة والسعر'!$C$2:$C$700,MATCH($C3786,'تحليل التكلفة والسعر'!$B$2:$B$700,0)),0))</f>
        <v>52.9782054445</v>
      </c>
      <c r="H3786" s="104" t="s">
        <v>719</v>
      </c>
    </row>
    <row r="3787" customFormat="false" ht="15" hidden="false" customHeight="false" outlineLevel="0" collapsed="false">
      <c r="A3787" s="103" t="n">
        <v>46301</v>
      </c>
      <c r="B3787" s="104" t="s">
        <v>32</v>
      </c>
      <c r="C3787" s="104" t="s">
        <v>455</v>
      </c>
      <c r="D3787" s="105" t="n">
        <v>0.6667</v>
      </c>
      <c r="E3787" s="106" t="n">
        <v>140</v>
      </c>
      <c r="F3787" s="107" t="n">
        <f aca="false">IF($C3787="","",$D3787*$E3787)</f>
        <v>93.338</v>
      </c>
      <c r="G3787" s="107" t="n">
        <f aca="false">IF($C3787="","",$D3787*IFERROR(INDEX('تحليل التكلفة والسعر'!$C$2:$C$700,MATCH($C3787,'تحليل التكلفة والسعر'!$B$2:$B$700,0)),0))</f>
        <v>52.9782054445</v>
      </c>
      <c r="H3787" s="104" t="s">
        <v>719</v>
      </c>
    </row>
    <row r="3788" customFormat="false" ht="15" hidden="false" customHeight="false" outlineLevel="0" collapsed="false">
      <c r="A3788" s="103" t="n">
        <v>46302</v>
      </c>
      <c r="B3788" s="104" t="s">
        <v>32</v>
      </c>
      <c r="C3788" s="104" t="s">
        <v>455</v>
      </c>
      <c r="D3788" s="105" t="n">
        <v>0.6667</v>
      </c>
      <c r="E3788" s="106" t="n">
        <v>140</v>
      </c>
      <c r="F3788" s="107" t="n">
        <f aca="false">IF($C3788="","",$D3788*$E3788)</f>
        <v>93.338</v>
      </c>
      <c r="G3788" s="107" t="n">
        <f aca="false">IF($C3788="","",$D3788*IFERROR(INDEX('تحليل التكلفة والسعر'!$C$2:$C$700,MATCH($C3788,'تحليل التكلفة والسعر'!$B$2:$B$700,0)),0))</f>
        <v>52.9782054445</v>
      </c>
      <c r="H3788" s="104" t="s">
        <v>719</v>
      </c>
    </row>
    <row r="3789" customFormat="false" ht="15" hidden="false" customHeight="false" outlineLevel="0" collapsed="false">
      <c r="A3789" s="103" t="n">
        <v>46303</v>
      </c>
      <c r="B3789" s="104" t="s">
        <v>32</v>
      </c>
      <c r="C3789" s="104" t="s">
        <v>455</v>
      </c>
      <c r="D3789" s="105" t="n">
        <v>0.6667</v>
      </c>
      <c r="E3789" s="106" t="n">
        <v>140</v>
      </c>
      <c r="F3789" s="107" t="n">
        <f aca="false">IF($C3789="","",$D3789*$E3789)</f>
        <v>93.338</v>
      </c>
      <c r="G3789" s="107" t="n">
        <f aca="false">IF($C3789="","",$D3789*IFERROR(INDEX('تحليل التكلفة والسعر'!$C$2:$C$700,MATCH($C3789,'تحليل التكلفة والسعر'!$B$2:$B$700,0)),0))</f>
        <v>52.9782054445</v>
      </c>
      <c r="H3789" s="104" t="s">
        <v>719</v>
      </c>
    </row>
    <row r="3790" customFormat="false" ht="15" hidden="false" customHeight="false" outlineLevel="0" collapsed="false">
      <c r="A3790" s="103" t="n">
        <v>46304</v>
      </c>
      <c r="B3790" s="104" t="s">
        <v>32</v>
      </c>
      <c r="C3790" s="104" t="s">
        <v>455</v>
      </c>
      <c r="D3790" s="105" t="n">
        <v>0.6667</v>
      </c>
      <c r="E3790" s="106" t="n">
        <v>140</v>
      </c>
      <c r="F3790" s="107" t="n">
        <f aca="false">IF($C3790="","",$D3790*$E3790)</f>
        <v>93.338</v>
      </c>
      <c r="G3790" s="107" t="n">
        <f aca="false">IF($C3790="","",$D3790*IFERROR(INDEX('تحليل التكلفة والسعر'!$C$2:$C$700,MATCH($C3790,'تحليل التكلفة والسعر'!$B$2:$B$700,0)),0))</f>
        <v>52.9782054445</v>
      </c>
      <c r="H3790" s="104" t="s">
        <v>719</v>
      </c>
    </row>
    <row r="3791" customFormat="false" ht="15" hidden="false" customHeight="false" outlineLevel="0" collapsed="false">
      <c r="A3791" s="103" t="n">
        <v>46305</v>
      </c>
      <c r="B3791" s="104" t="s">
        <v>32</v>
      </c>
      <c r="C3791" s="104" t="s">
        <v>455</v>
      </c>
      <c r="D3791" s="105" t="n">
        <v>0.6667</v>
      </c>
      <c r="E3791" s="106" t="n">
        <v>140</v>
      </c>
      <c r="F3791" s="107" t="n">
        <f aca="false">IF($C3791="","",$D3791*$E3791)</f>
        <v>93.338</v>
      </c>
      <c r="G3791" s="107" t="n">
        <f aca="false">IF($C3791="","",$D3791*IFERROR(INDEX('تحليل التكلفة والسعر'!$C$2:$C$700,MATCH($C3791,'تحليل التكلفة والسعر'!$B$2:$B$700,0)),0))</f>
        <v>52.9782054445</v>
      </c>
      <c r="H3791" s="104" t="s">
        <v>719</v>
      </c>
    </row>
    <row r="3792" customFormat="false" ht="15" hidden="false" customHeight="false" outlineLevel="0" collapsed="false">
      <c r="A3792" s="103" t="n">
        <v>46306</v>
      </c>
      <c r="B3792" s="104" t="s">
        <v>32</v>
      </c>
      <c r="C3792" s="104" t="s">
        <v>455</v>
      </c>
      <c r="D3792" s="105" t="n">
        <v>0.6667</v>
      </c>
      <c r="E3792" s="106" t="n">
        <v>140</v>
      </c>
      <c r="F3792" s="107" t="n">
        <f aca="false">IF($C3792="","",$D3792*$E3792)</f>
        <v>93.338</v>
      </c>
      <c r="G3792" s="107" t="n">
        <f aca="false">IF($C3792="","",$D3792*IFERROR(INDEX('تحليل التكلفة والسعر'!$C$2:$C$700,MATCH($C3792,'تحليل التكلفة والسعر'!$B$2:$B$700,0)),0))</f>
        <v>52.9782054445</v>
      </c>
      <c r="H3792" s="104" t="s">
        <v>719</v>
      </c>
    </row>
    <row r="3793" customFormat="false" ht="15" hidden="false" customHeight="false" outlineLevel="0" collapsed="false">
      <c r="A3793" s="103" t="n">
        <v>46307</v>
      </c>
      <c r="B3793" s="104" t="s">
        <v>32</v>
      </c>
      <c r="C3793" s="104" t="s">
        <v>455</v>
      </c>
      <c r="D3793" s="105" t="n">
        <v>0.6667</v>
      </c>
      <c r="E3793" s="106" t="n">
        <v>140</v>
      </c>
      <c r="F3793" s="107" t="n">
        <f aca="false">IF($C3793="","",$D3793*$E3793)</f>
        <v>93.338</v>
      </c>
      <c r="G3793" s="107" t="n">
        <f aca="false">IF($C3793="","",$D3793*IFERROR(INDEX('تحليل التكلفة والسعر'!$C$2:$C$700,MATCH($C3793,'تحليل التكلفة والسعر'!$B$2:$B$700,0)),0))</f>
        <v>52.9782054445</v>
      </c>
      <c r="H3793" s="104" t="s">
        <v>719</v>
      </c>
    </row>
    <row r="3794" customFormat="false" ht="15" hidden="false" customHeight="false" outlineLevel="0" collapsed="false">
      <c r="A3794" s="103" t="n">
        <v>46296</v>
      </c>
      <c r="B3794" s="104" t="s">
        <v>32</v>
      </c>
      <c r="C3794" s="104" t="s">
        <v>520</v>
      </c>
      <c r="D3794" s="105" t="n">
        <v>0.1667</v>
      </c>
      <c r="E3794" s="106" t="n">
        <v>80</v>
      </c>
      <c r="F3794" s="107" t="n">
        <f aca="false">IF($C3794="","",$D3794*$E3794)</f>
        <v>13.336</v>
      </c>
      <c r="G3794" s="107" t="n">
        <f aca="false">IF($C3794="","",$D3794*IFERROR(INDEX('تحليل التكلفة والسعر'!$C$2:$C$700,MATCH($C3794,'تحليل التكلفة والسعر'!$B$2:$B$700,0)),0))</f>
        <v>6.089551</v>
      </c>
      <c r="H3794" s="104" t="s">
        <v>719</v>
      </c>
    </row>
    <row r="3795" customFormat="false" ht="15" hidden="false" customHeight="false" outlineLevel="0" collapsed="false">
      <c r="A3795" s="103" t="n">
        <v>46297</v>
      </c>
      <c r="B3795" s="104" t="s">
        <v>32</v>
      </c>
      <c r="C3795" s="104" t="s">
        <v>520</v>
      </c>
      <c r="D3795" s="105" t="n">
        <v>0.1667</v>
      </c>
      <c r="E3795" s="106" t="n">
        <v>80</v>
      </c>
      <c r="F3795" s="107" t="n">
        <f aca="false">IF($C3795="","",$D3795*$E3795)</f>
        <v>13.336</v>
      </c>
      <c r="G3795" s="107" t="n">
        <f aca="false">IF($C3795="","",$D3795*IFERROR(INDEX('تحليل التكلفة والسعر'!$C$2:$C$700,MATCH($C3795,'تحليل التكلفة والسعر'!$B$2:$B$700,0)),0))</f>
        <v>6.089551</v>
      </c>
      <c r="H3795" s="104" t="s">
        <v>719</v>
      </c>
    </row>
    <row r="3796" customFormat="false" ht="15" hidden="false" customHeight="false" outlineLevel="0" collapsed="false">
      <c r="A3796" s="103" t="n">
        <v>46298</v>
      </c>
      <c r="B3796" s="104" t="s">
        <v>32</v>
      </c>
      <c r="C3796" s="104" t="s">
        <v>520</v>
      </c>
      <c r="D3796" s="105" t="n">
        <v>0.1667</v>
      </c>
      <c r="E3796" s="106" t="n">
        <v>80</v>
      </c>
      <c r="F3796" s="107" t="n">
        <f aca="false">IF($C3796="","",$D3796*$E3796)</f>
        <v>13.336</v>
      </c>
      <c r="G3796" s="107" t="n">
        <f aca="false">IF($C3796="","",$D3796*IFERROR(INDEX('تحليل التكلفة والسعر'!$C$2:$C$700,MATCH($C3796,'تحليل التكلفة والسعر'!$B$2:$B$700,0)),0))</f>
        <v>6.089551</v>
      </c>
      <c r="H3796" s="104" t="s">
        <v>719</v>
      </c>
    </row>
    <row r="3797" customFormat="false" ht="15" hidden="false" customHeight="false" outlineLevel="0" collapsed="false">
      <c r="A3797" s="103" t="n">
        <v>46299</v>
      </c>
      <c r="B3797" s="104" t="s">
        <v>32</v>
      </c>
      <c r="C3797" s="104" t="s">
        <v>520</v>
      </c>
      <c r="D3797" s="105" t="n">
        <v>0.1667</v>
      </c>
      <c r="E3797" s="106" t="n">
        <v>80</v>
      </c>
      <c r="F3797" s="107" t="n">
        <f aca="false">IF($C3797="","",$D3797*$E3797)</f>
        <v>13.336</v>
      </c>
      <c r="G3797" s="107" t="n">
        <f aca="false">IF($C3797="","",$D3797*IFERROR(INDEX('تحليل التكلفة والسعر'!$C$2:$C$700,MATCH($C3797,'تحليل التكلفة والسعر'!$B$2:$B$700,0)),0))</f>
        <v>6.089551</v>
      </c>
      <c r="H3797" s="104" t="s">
        <v>719</v>
      </c>
    </row>
    <row r="3798" customFormat="false" ht="15" hidden="false" customHeight="false" outlineLevel="0" collapsed="false">
      <c r="A3798" s="103" t="n">
        <v>46300</v>
      </c>
      <c r="B3798" s="104" t="s">
        <v>32</v>
      </c>
      <c r="C3798" s="104" t="s">
        <v>520</v>
      </c>
      <c r="D3798" s="105" t="n">
        <v>0.1667</v>
      </c>
      <c r="E3798" s="106" t="n">
        <v>80</v>
      </c>
      <c r="F3798" s="107" t="n">
        <f aca="false">IF($C3798="","",$D3798*$E3798)</f>
        <v>13.336</v>
      </c>
      <c r="G3798" s="107" t="n">
        <f aca="false">IF($C3798="","",$D3798*IFERROR(INDEX('تحليل التكلفة والسعر'!$C$2:$C$700,MATCH($C3798,'تحليل التكلفة والسعر'!$B$2:$B$700,0)),0))</f>
        <v>6.089551</v>
      </c>
      <c r="H3798" s="104" t="s">
        <v>719</v>
      </c>
    </row>
    <row r="3799" customFormat="false" ht="15" hidden="false" customHeight="false" outlineLevel="0" collapsed="false">
      <c r="A3799" s="103" t="n">
        <v>46301</v>
      </c>
      <c r="B3799" s="104" t="s">
        <v>32</v>
      </c>
      <c r="C3799" s="104" t="s">
        <v>520</v>
      </c>
      <c r="D3799" s="105" t="n">
        <v>0.1667</v>
      </c>
      <c r="E3799" s="106" t="n">
        <v>80</v>
      </c>
      <c r="F3799" s="107" t="n">
        <f aca="false">IF($C3799="","",$D3799*$E3799)</f>
        <v>13.336</v>
      </c>
      <c r="G3799" s="107" t="n">
        <f aca="false">IF($C3799="","",$D3799*IFERROR(INDEX('تحليل التكلفة والسعر'!$C$2:$C$700,MATCH($C3799,'تحليل التكلفة والسعر'!$B$2:$B$700,0)),0))</f>
        <v>6.089551</v>
      </c>
      <c r="H3799" s="104" t="s">
        <v>719</v>
      </c>
    </row>
    <row r="3800" customFormat="false" ht="15" hidden="false" customHeight="false" outlineLevel="0" collapsed="false">
      <c r="A3800" s="103" t="n">
        <v>46302</v>
      </c>
      <c r="B3800" s="104" t="s">
        <v>32</v>
      </c>
      <c r="C3800" s="104" t="s">
        <v>520</v>
      </c>
      <c r="D3800" s="105" t="n">
        <v>0.1667</v>
      </c>
      <c r="E3800" s="106" t="n">
        <v>80</v>
      </c>
      <c r="F3800" s="107" t="n">
        <f aca="false">IF($C3800="","",$D3800*$E3800)</f>
        <v>13.336</v>
      </c>
      <c r="G3800" s="107" t="n">
        <f aca="false">IF($C3800="","",$D3800*IFERROR(INDEX('تحليل التكلفة والسعر'!$C$2:$C$700,MATCH($C3800,'تحليل التكلفة والسعر'!$B$2:$B$700,0)),0))</f>
        <v>6.089551</v>
      </c>
      <c r="H3800" s="104" t="s">
        <v>719</v>
      </c>
    </row>
    <row r="3801" customFormat="false" ht="15" hidden="false" customHeight="false" outlineLevel="0" collapsed="false">
      <c r="A3801" s="103" t="n">
        <v>46303</v>
      </c>
      <c r="B3801" s="104" t="s">
        <v>32</v>
      </c>
      <c r="C3801" s="104" t="s">
        <v>520</v>
      </c>
      <c r="D3801" s="105" t="n">
        <v>0.1667</v>
      </c>
      <c r="E3801" s="106" t="n">
        <v>80</v>
      </c>
      <c r="F3801" s="107" t="n">
        <f aca="false">IF($C3801="","",$D3801*$E3801)</f>
        <v>13.336</v>
      </c>
      <c r="G3801" s="107" t="n">
        <f aca="false">IF($C3801="","",$D3801*IFERROR(INDEX('تحليل التكلفة والسعر'!$C$2:$C$700,MATCH($C3801,'تحليل التكلفة والسعر'!$B$2:$B$700,0)),0))</f>
        <v>6.089551</v>
      </c>
      <c r="H3801" s="104" t="s">
        <v>719</v>
      </c>
    </row>
    <row r="3802" customFormat="false" ht="15" hidden="false" customHeight="false" outlineLevel="0" collapsed="false">
      <c r="A3802" s="103" t="n">
        <v>46304</v>
      </c>
      <c r="B3802" s="104" t="s">
        <v>32</v>
      </c>
      <c r="C3802" s="104" t="s">
        <v>520</v>
      </c>
      <c r="D3802" s="105" t="n">
        <v>0.1667</v>
      </c>
      <c r="E3802" s="106" t="n">
        <v>80</v>
      </c>
      <c r="F3802" s="107" t="n">
        <f aca="false">IF($C3802="","",$D3802*$E3802)</f>
        <v>13.336</v>
      </c>
      <c r="G3802" s="107" t="n">
        <f aca="false">IF($C3802="","",$D3802*IFERROR(INDEX('تحليل التكلفة والسعر'!$C$2:$C$700,MATCH($C3802,'تحليل التكلفة والسعر'!$B$2:$B$700,0)),0))</f>
        <v>6.089551</v>
      </c>
      <c r="H3802" s="104" t="s">
        <v>719</v>
      </c>
    </row>
    <row r="3803" customFormat="false" ht="15" hidden="false" customHeight="false" outlineLevel="0" collapsed="false">
      <c r="A3803" s="103" t="n">
        <v>46305</v>
      </c>
      <c r="B3803" s="104" t="s">
        <v>32</v>
      </c>
      <c r="C3803" s="104" t="s">
        <v>520</v>
      </c>
      <c r="D3803" s="105" t="n">
        <v>0.1667</v>
      </c>
      <c r="E3803" s="106" t="n">
        <v>80</v>
      </c>
      <c r="F3803" s="107" t="n">
        <f aca="false">IF($C3803="","",$D3803*$E3803)</f>
        <v>13.336</v>
      </c>
      <c r="G3803" s="107" t="n">
        <f aca="false">IF($C3803="","",$D3803*IFERROR(INDEX('تحليل التكلفة والسعر'!$C$2:$C$700,MATCH($C3803,'تحليل التكلفة والسعر'!$B$2:$B$700,0)),0))</f>
        <v>6.089551</v>
      </c>
      <c r="H3803" s="104" t="s">
        <v>719</v>
      </c>
    </row>
    <row r="3804" customFormat="false" ht="15" hidden="false" customHeight="false" outlineLevel="0" collapsed="false">
      <c r="A3804" s="103" t="n">
        <v>46306</v>
      </c>
      <c r="B3804" s="104" t="s">
        <v>32</v>
      </c>
      <c r="C3804" s="104" t="s">
        <v>520</v>
      </c>
      <c r="D3804" s="105" t="n">
        <v>0.1667</v>
      </c>
      <c r="E3804" s="106" t="n">
        <v>80</v>
      </c>
      <c r="F3804" s="107" t="n">
        <f aca="false">IF($C3804="","",$D3804*$E3804)</f>
        <v>13.336</v>
      </c>
      <c r="G3804" s="107" t="n">
        <f aca="false">IF($C3804="","",$D3804*IFERROR(INDEX('تحليل التكلفة والسعر'!$C$2:$C$700,MATCH($C3804,'تحليل التكلفة والسعر'!$B$2:$B$700,0)),0))</f>
        <v>6.089551</v>
      </c>
      <c r="H3804" s="104" t="s">
        <v>719</v>
      </c>
    </row>
    <row r="3805" customFormat="false" ht="15" hidden="false" customHeight="false" outlineLevel="0" collapsed="false">
      <c r="A3805" s="103" t="n">
        <v>46307</v>
      </c>
      <c r="B3805" s="104" t="s">
        <v>32</v>
      </c>
      <c r="C3805" s="104" t="s">
        <v>520</v>
      </c>
      <c r="D3805" s="105" t="n">
        <v>0.1667</v>
      </c>
      <c r="E3805" s="106" t="n">
        <v>80</v>
      </c>
      <c r="F3805" s="107" t="n">
        <f aca="false">IF($C3805="","",$D3805*$E3805)</f>
        <v>13.336</v>
      </c>
      <c r="G3805" s="107" t="n">
        <f aca="false">IF($C3805="","",$D3805*IFERROR(INDEX('تحليل التكلفة والسعر'!$C$2:$C$700,MATCH($C3805,'تحليل التكلفة والسعر'!$B$2:$B$700,0)),0))</f>
        <v>6.089551</v>
      </c>
      <c r="H3805" s="104" t="s">
        <v>719</v>
      </c>
    </row>
    <row r="3806" customFormat="false" ht="15" hidden="false" customHeight="false" outlineLevel="0" collapsed="false">
      <c r="A3806" s="103" t="n">
        <v>46296</v>
      </c>
      <c r="B3806" s="104" t="s">
        <v>32</v>
      </c>
      <c r="C3806" s="104" t="s">
        <v>529</v>
      </c>
      <c r="D3806" s="105" t="n">
        <v>0.9167</v>
      </c>
      <c r="E3806" s="106" t="n">
        <v>142.7273</v>
      </c>
      <c r="F3806" s="107" t="n">
        <f aca="false">IF($C3806="","",$D3806*$E3806)</f>
        <v>130.83811591</v>
      </c>
      <c r="G3806" s="107" t="n">
        <f aca="false">IF($C3806="","",$D3806*IFERROR(INDEX('تحليل التكلفة والسعر'!$C$2:$C$700,MATCH($C3806,'تحليل التكلفة والسعر'!$B$2:$B$700,0)),0))</f>
        <v>71.9273391945</v>
      </c>
      <c r="H3806" s="104" t="s">
        <v>719</v>
      </c>
    </row>
    <row r="3807" customFormat="false" ht="15" hidden="false" customHeight="false" outlineLevel="0" collapsed="false">
      <c r="A3807" s="103" t="n">
        <v>46297</v>
      </c>
      <c r="B3807" s="104" t="s">
        <v>32</v>
      </c>
      <c r="C3807" s="104" t="s">
        <v>529</v>
      </c>
      <c r="D3807" s="105" t="n">
        <v>0.9167</v>
      </c>
      <c r="E3807" s="106" t="n">
        <v>142.7273</v>
      </c>
      <c r="F3807" s="107" t="n">
        <f aca="false">IF($C3807="","",$D3807*$E3807)</f>
        <v>130.83811591</v>
      </c>
      <c r="G3807" s="107" t="n">
        <f aca="false">IF($C3807="","",$D3807*IFERROR(INDEX('تحليل التكلفة والسعر'!$C$2:$C$700,MATCH($C3807,'تحليل التكلفة والسعر'!$B$2:$B$700,0)),0))</f>
        <v>71.9273391945</v>
      </c>
      <c r="H3807" s="104" t="s">
        <v>719</v>
      </c>
    </row>
    <row r="3808" customFormat="false" ht="15" hidden="false" customHeight="false" outlineLevel="0" collapsed="false">
      <c r="A3808" s="103" t="n">
        <v>46298</v>
      </c>
      <c r="B3808" s="104" t="s">
        <v>32</v>
      </c>
      <c r="C3808" s="104" t="s">
        <v>529</v>
      </c>
      <c r="D3808" s="105" t="n">
        <v>0.9167</v>
      </c>
      <c r="E3808" s="106" t="n">
        <v>142.7273</v>
      </c>
      <c r="F3808" s="107" t="n">
        <f aca="false">IF($C3808="","",$D3808*$E3808)</f>
        <v>130.83811591</v>
      </c>
      <c r="G3808" s="107" t="n">
        <f aca="false">IF($C3808="","",$D3808*IFERROR(INDEX('تحليل التكلفة والسعر'!$C$2:$C$700,MATCH($C3808,'تحليل التكلفة والسعر'!$B$2:$B$700,0)),0))</f>
        <v>71.9273391945</v>
      </c>
      <c r="H3808" s="104" t="s">
        <v>719</v>
      </c>
    </row>
    <row r="3809" customFormat="false" ht="15" hidden="false" customHeight="false" outlineLevel="0" collapsed="false">
      <c r="A3809" s="103" t="n">
        <v>46299</v>
      </c>
      <c r="B3809" s="104" t="s">
        <v>32</v>
      </c>
      <c r="C3809" s="104" t="s">
        <v>529</v>
      </c>
      <c r="D3809" s="105" t="n">
        <v>0.9167</v>
      </c>
      <c r="E3809" s="106" t="n">
        <v>142.7273</v>
      </c>
      <c r="F3809" s="107" t="n">
        <f aca="false">IF($C3809="","",$D3809*$E3809)</f>
        <v>130.83811591</v>
      </c>
      <c r="G3809" s="107" t="n">
        <f aca="false">IF($C3809="","",$D3809*IFERROR(INDEX('تحليل التكلفة والسعر'!$C$2:$C$700,MATCH($C3809,'تحليل التكلفة والسعر'!$B$2:$B$700,0)),0))</f>
        <v>71.9273391945</v>
      </c>
      <c r="H3809" s="104" t="s">
        <v>719</v>
      </c>
    </row>
    <row r="3810" customFormat="false" ht="15" hidden="false" customHeight="false" outlineLevel="0" collapsed="false">
      <c r="A3810" s="103" t="n">
        <v>46300</v>
      </c>
      <c r="B3810" s="104" t="s">
        <v>32</v>
      </c>
      <c r="C3810" s="104" t="s">
        <v>529</v>
      </c>
      <c r="D3810" s="105" t="n">
        <v>0.9167</v>
      </c>
      <c r="E3810" s="106" t="n">
        <v>142.7273</v>
      </c>
      <c r="F3810" s="107" t="n">
        <f aca="false">IF($C3810="","",$D3810*$E3810)</f>
        <v>130.83811591</v>
      </c>
      <c r="G3810" s="107" t="n">
        <f aca="false">IF($C3810="","",$D3810*IFERROR(INDEX('تحليل التكلفة والسعر'!$C$2:$C$700,MATCH($C3810,'تحليل التكلفة والسعر'!$B$2:$B$700,0)),0))</f>
        <v>71.9273391945</v>
      </c>
      <c r="H3810" s="104" t="s">
        <v>719</v>
      </c>
    </row>
    <row r="3811" customFormat="false" ht="15" hidden="false" customHeight="false" outlineLevel="0" collapsed="false">
      <c r="A3811" s="103" t="n">
        <v>46301</v>
      </c>
      <c r="B3811" s="104" t="s">
        <v>32</v>
      </c>
      <c r="C3811" s="104" t="s">
        <v>529</v>
      </c>
      <c r="D3811" s="105" t="n">
        <v>0.9167</v>
      </c>
      <c r="E3811" s="106" t="n">
        <v>142.7273</v>
      </c>
      <c r="F3811" s="107" t="n">
        <f aca="false">IF($C3811="","",$D3811*$E3811)</f>
        <v>130.83811591</v>
      </c>
      <c r="G3811" s="107" t="n">
        <f aca="false">IF($C3811="","",$D3811*IFERROR(INDEX('تحليل التكلفة والسعر'!$C$2:$C$700,MATCH($C3811,'تحليل التكلفة والسعر'!$B$2:$B$700,0)),0))</f>
        <v>71.9273391945</v>
      </c>
      <c r="H3811" s="104" t="s">
        <v>719</v>
      </c>
    </row>
    <row r="3812" customFormat="false" ht="15" hidden="false" customHeight="false" outlineLevel="0" collapsed="false">
      <c r="A3812" s="103" t="n">
        <v>46302</v>
      </c>
      <c r="B3812" s="104" t="s">
        <v>32</v>
      </c>
      <c r="C3812" s="104" t="s">
        <v>529</v>
      </c>
      <c r="D3812" s="105" t="n">
        <v>0.9167</v>
      </c>
      <c r="E3812" s="106" t="n">
        <v>142.7273</v>
      </c>
      <c r="F3812" s="107" t="n">
        <f aca="false">IF($C3812="","",$D3812*$E3812)</f>
        <v>130.83811591</v>
      </c>
      <c r="G3812" s="107" t="n">
        <f aca="false">IF($C3812="","",$D3812*IFERROR(INDEX('تحليل التكلفة والسعر'!$C$2:$C$700,MATCH($C3812,'تحليل التكلفة والسعر'!$B$2:$B$700,0)),0))</f>
        <v>71.9273391945</v>
      </c>
      <c r="H3812" s="104" t="s">
        <v>719</v>
      </c>
    </row>
    <row r="3813" customFormat="false" ht="15" hidden="false" customHeight="false" outlineLevel="0" collapsed="false">
      <c r="A3813" s="103" t="n">
        <v>46303</v>
      </c>
      <c r="B3813" s="104" t="s">
        <v>32</v>
      </c>
      <c r="C3813" s="104" t="s">
        <v>529</v>
      </c>
      <c r="D3813" s="105" t="n">
        <v>0.9167</v>
      </c>
      <c r="E3813" s="106" t="n">
        <v>142.7273</v>
      </c>
      <c r="F3813" s="107" t="n">
        <f aca="false">IF($C3813="","",$D3813*$E3813)</f>
        <v>130.83811591</v>
      </c>
      <c r="G3813" s="107" t="n">
        <f aca="false">IF($C3813="","",$D3813*IFERROR(INDEX('تحليل التكلفة والسعر'!$C$2:$C$700,MATCH($C3813,'تحليل التكلفة والسعر'!$B$2:$B$700,0)),0))</f>
        <v>71.9273391945</v>
      </c>
      <c r="H3813" s="104" t="s">
        <v>719</v>
      </c>
    </row>
    <row r="3814" customFormat="false" ht="15" hidden="false" customHeight="false" outlineLevel="0" collapsed="false">
      <c r="A3814" s="103" t="n">
        <v>46304</v>
      </c>
      <c r="B3814" s="104" t="s">
        <v>32</v>
      </c>
      <c r="C3814" s="104" t="s">
        <v>529</v>
      </c>
      <c r="D3814" s="105" t="n">
        <v>0.9167</v>
      </c>
      <c r="E3814" s="106" t="n">
        <v>142.7273</v>
      </c>
      <c r="F3814" s="107" t="n">
        <f aca="false">IF($C3814="","",$D3814*$E3814)</f>
        <v>130.83811591</v>
      </c>
      <c r="G3814" s="107" t="n">
        <f aca="false">IF($C3814="","",$D3814*IFERROR(INDEX('تحليل التكلفة والسعر'!$C$2:$C$700,MATCH($C3814,'تحليل التكلفة والسعر'!$B$2:$B$700,0)),0))</f>
        <v>71.9273391945</v>
      </c>
      <c r="H3814" s="104" t="s">
        <v>719</v>
      </c>
    </row>
    <row r="3815" customFormat="false" ht="15" hidden="false" customHeight="false" outlineLevel="0" collapsed="false">
      <c r="A3815" s="103" t="n">
        <v>46305</v>
      </c>
      <c r="B3815" s="104" t="s">
        <v>32</v>
      </c>
      <c r="C3815" s="104" t="s">
        <v>529</v>
      </c>
      <c r="D3815" s="105" t="n">
        <v>0.9167</v>
      </c>
      <c r="E3815" s="106" t="n">
        <v>142.7273</v>
      </c>
      <c r="F3815" s="107" t="n">
        <f aca="false">IF($C3815="","",$D3815*$E3815)</f>
        <v>130.83811591</v>
      </c>
      <c r="G3815" s="107" t="n">
        <f aca="false">IF($C3815="","",$D3815*IFERROR(INDEX('تحليل التكلفة والسعر'!$C$2:$C$700,MATCH($C3815,'تحليل التكلفة والسعر'!$B$2:$B$700,0)),0))</f>
        <v>71.9273391945</v>
      </c>
      <c r="H3815" s="104" t="s">
        <v>719</v>
      </c>
    </row>
    <row r="3816" customFormat="false" ht="15" hidden="false" customHeight="false" outlineLevel="0" collapsed="false">
      <c r="A3816" s="103" t="n">
        <v>46306</v>
      </c>
      <c r="B3816" s="104" t="s">
        <v>32</v>
      </c>
      <c r="C3816" s="104" t="s">
        <v>529</v>
      </c>
      <c r="D3816" s="105" t="n">
        <v>0.9167</v>
      </c>
      <c r="E3816" s="106" t="n">
        <v>142.7273</v>
      </c>
      <c r="F3816" s="107" t="n">
        <f aca="false">IF($C3816="","",$D3816*$E3816)</f>
        <v>130.83811591</v>
      </c>
      <c r="G3816" s="107" t="n">
        <f aca="false">IF($C3816="","",$D3816*IFERROR(INDEX('تحليل التكلفة والسعر'!$C$2:$C$700,MATCH($C3816,'تحليل التكلفة والسعر'!$B$2:$B$700,0)),0))</f>
        <v>71.9273391945</v>
      </c>
      <c r="H3816" s="104" t="s">
        <v>719</v>
      </c>
    </row>
    <row r="3817" customFormat="false" ht="15" hidden="false" customHeight="false" outlineLevel="0" collapsed="false">
      <c r="A3817" s="103" t="n">
        <v>46307</v>
      </c>
      <c r="B3817" s="104" t="s">
        <v>32</v>
      </c>
      <c r="C3817" s="104" t="s">
        <v>529</v>
      </c>
      <c r="D3817" s="105" t="n">
        <v>0.9167</v>
      </c>
      <c r="E3817" s="106" t="n">
        <v>142.7273</v>
      </c>
      <c r="F3817" s="107" t="n">
        <f aca="false">IF($C3817="","",$D3817*$E3817)</f>
        <v>130.83811591</v>
      </c>
      <c r="G3817" s="107" t="n">
        <f aca="false">IF($C3817="","",$D3817*IFERROR(INDEX('تحليل التكلفة والسعر'!$C$2:$C$700,MATCH($C3817,'تحليل التكلفة والسعر'!$B$2:$B$700,0)),0))</f>
        <v>71.9273391945</v>
      </c>
      <c r="H3817" s="104" t="s">
        <v>719</v>
      </c>
    </row>
    <row r="3818" customFormat="false" ht="15" hidden="false" customHeight="false" outlineLevel="0" collapsed="false">
      <c r="A3818" s="103" t="n">
        <v>46296</v>
      </c>
      <c r="B3818" s="104" t="s">
        <v>32</v>
      </c>
      <c r="C3818" s="104" t="s">
        <v>554</v>
      </c>
      <c r="D3818" s="105" t="n">
        <v>0.25</v>
      </c>
      <c r="E3818" s="106" t="n">
        <v>155</v>
      </c>
      <c r="F3818" s="107" t="n">
        <f aca="false">IF($C3818="","",$D3818*$E3818)</f>
        <v>38.75</v>
      </c>
      <c r="G3818" s="107" t="n">
        <f aca="false">IF($C3818="","",$D3818*IFERROR(INDEX('تحليل التكلفة والسعر'!$C$2:$C$700,MATCH($C3818,'تحليل التكلفة والسعر'!$B$2:$B$700,0)),0))</f>
        <v>16.36583375</v>
      </c>
      <c r="H3818" s="104" t="s">
        <v>719</v>
      </c>
    </row>
    <row r="3819" customFormat="false" ht="15" hidden="false" customHeight="false" outlineLevel="0" collapsed="false">
      <c r="A3819" s="103" t="n">
        <v>46297</v>
      </c>
      <c r="B3819" s="104" t="s">
        <v>32</v>
      </c>
      <c r="C3819" s="104" t="s">
        <v>554</v>
      </c>
      <c r="D3819" s="105" t="n">
        <v>0.25</v>
      </c>
      <c r="E3819" s="106" t="n">
        <v>155</v>
      </c>
      <c r="F3819" s="107" t="n">
        <f aca="false">IF($C3819="","",$D3819*$E3819)</f>
        <v>38.75</v>
      </c>
      <c r="G3819" s="107" t="n">
        <f aca="false">IF($C3819="","",$D3819*IFERROR(INDEX('تحليل التكلفة والسعر'!$C$2:$C$700,MATCH($C3819,'تحليل التكلفة والسعر'!$B$2:$B$700,0)),0))</f>
        <v>16.36583375</v>
      </c>
      <c r="H3819" s="104" t="s">
        <v>719</v>
      </c>
    </row>
    <row r="3820" customFormat="false" ht="15" hidden="false" customHeight="false" outlineLevel="0" collapsed="false">
      <c r="A3820" s="103" t="n">
        <v>46298</v>
      </c>
      <c r="B3820" s="104" t="s">
        <v>32</v>
      </c>
      <c r="C3820" s="104" t="s">
        <v>554</v>
      </c>
      <c r="D3820" s="105" t="n">
        <v>0.25</v>
      </c>
      <c r="E3820" s="106" t="n">
        <v>155</v>
      </c>
      <c r="F3820" s="107" t="n">
        <f aca="false">IF($C3820="","",$D3820*$E3820)</f>
        <v>38.75</v>
      </c>
      <c r="G3820" s="107" t="n">
        <f aca="false">IF($C3820="","",$D3820*IFERROR(INDEX('تحليل التكلفة والسعر'!$C$2:$C$700,MATCH($C3820,'تحليل التكلفة والسعر'!$B$2:$B$700,0)),0))</f>
        <v>16.36583375</v>
      </c>
      <c r="H3820" s="104" t="s">
        <v>719</v>
      </c>
    </row>
    <row r="3821" customFormat="false" ht="15" hidden="false" customHeight="false" outlineLevel="0" collapsed="false">
      <c r="A3821" s="103" t="n">
        <v>46299</v>
      </c>
      <c r="B3821" s="104" t="s">
        <v>32</v>
      </c>
      <c r="C3821" s="104" t="s">
        <v>554</v>
      </c>
      <c r="D3821" s="105" t="n">
        <v>0.25</v>
      </c>
      <c r="E3821" s="106" t="n">
        <v>155</v>
      </c>
      <c r="F3821" s="107" t="n">
        <f aca="false">IF($C3821="","",$D3821*$E3821)</f>
        <v>38.75</v>
      </c>
      <c r="G3821" s="107" t="n">
        <f aca="false">IF($C3821="","",$D3821*IFERROR(INDEX('تحليل التكلفة والسعر'!$C$2:$C$700,MATCH($C3821,'تحليل التكلفة والسعر'!$B$2:$B$700,0)),0))</f>
        <v>16.36583375</v>
      </c>
      <c r="H3821" s="104" t="s">
        <v>719</v>
      </c>
    </row>
    <row r="3822" customFormat="false" ht="15" hidden="false" customHeight="false" outlineLevel="0" collapsed="false">
      <c r="A3822" s="103" t="n">
        <v>46300</v>
      </c>
      <c r="B3822" s="104" t="s">
        <v>32</v>
      </c>
      <c r="C3822" s="104" t="s">
        <v>554</v>
      </c>
      <c r="D3822" s="105" t="n">
        <v>0.25</v>
      </c>
      <c r="E3822" s="106" t="n">
        <v>155</v>
      </c>
      <c r="F3822" s="107" t="n">
        <f aca="false">IF($C3822="","",$D3822*$E3822)</f>
        <v>38.75</v>
      </c>
      <c r="G3822" s="107" t="n">
        <f aca="false">IF($C3822="","",$D3822*IFERROR(INDEX('تحليل التكلفة والسعر'!$C$2:$C$700,MATCH($C3822,'تحليل التكلفة والسعر'!$B$2:$B$700,0)),0))</f>
        <v>16.36583375</v>
      </c>
      <c r="H3822" s="104" t="s">
        <v>719</v>
      </c>
    </row>
    <row r="3823" customFormat="false" ht="15" hidden="false" customHeight="false" outlineLevel="0" collapsed="false">
      <c r="A3823" s="103" t="n">
        <v>46301</v>
      </c>
      <c r="B3823" s="104" t="s">
        <v>32</v>
      </c>
      <c r="C3823" s="104" t="s">
        <v>554</v>
      </c>
      <c r="D3823" s="105" t="n">
        <v>0.25</v>
      </c>
      <c r="E3823" s="106" t="n">
        <v>155</v>
      </c>
      <c r="F3823" s="107" t="n">
        <f aca="false">IF($C3823="","",$D3823*$E3823)</f>
        <v>38.75</v>
      </c>
      <c r="G3823" s="107" t="n">
        <f aca="false">IF($C3823="","",$D3823*IFERROR(INDEX('تحليل التكلفة والسعر'!$C$2:$C$700,MATCH($C3823,'تحليل التكلفة والسعر'!$B$2:$B$700,0)),0))</f>
        <v>16.36583375</v>
      </c>
      <c r="H3823" s="104" t="s">
        <v>719</v>
      </c>
    </row>
    <row r="3824" customFormat="false" ht="15" hidden="false" customHeight="false" outlineLevel="0" collapsed="false">
      <c r="A3824" s="103" t="n">
        <v>46302</v>
      </c>
      <c r="B3824" s="104" t="s">
        <v>32</v>
      </c>
      <c r="C3824" s="104" t="s">
        <v>554</v>
      </c>
      <c r="D3824" s="105" t="n">
        <v>0.25</v>
      </c>
      <c r="E3824" s="106" t="n">
        <v>155</v>
      </c>
      <c r="F3824" s="107" t="n">
        <f aca="false">IF($C3824="","",$D3824*$E3824)</f>
        <v>38.75</v>
      </c>
      <c r="G3824" s="107" t="n">
        <f aca="false">IF($C3824="","",$D3824*IFERROR(INDEX('تحليل التكلفة والسعر'!$C$2:$C$700,MATCH($C3824,'تحليل التكلفة والسعر'!$B$2:$B$700,0)),0))</f>
        <v>16.36583375</v>
      </c>
      <c r="H3824" s="104" t="s">
        <v>719</v>
      </c>
    </row>
    <row r="3825" customFormat="false" ht="15" hidden="false" customHeight="false" outlineLevel="0" collapsed="false">
      <c r="A3825" s="103" t="n">
        <v>46303</v>
      </c>
      <c r="B3825" s="104" t="s">
        <v>32</v>
      </c>
      <c r="C3825" s="104" t="s">
        <v>554</v>
      </c>
      <c r="D3825" s="105" t="n">
        <v>0.25</v>
      </c>
      <c r="E3825" s="106" t="n">
        <v>155</v>
      </c>
      <c r="F3825" s="107" t="n">
        <f aca="false">IF($C3825="","",$D3825*$E3825)</f>
        <v>38.75</v>
      </c>
      <c r="G3825" s="107" t="n">
        <f aca="false">IF($C3825="","",$D3825*IFERROR(INDEX('تحليل التكلفة والسعر'!$C$2:$C$700,MATCH($C3825,'تحليل التكلفة والسعر'!$B$2:$B$700,0)),0))</f>
        <v>16.36583375</v>
      </c>
      <c r="H3825" s="104" t="s">
        <v>719</v>
      </c>
    </row>
    <row r="3826" customFormat="false" ht="15" hidden="false" customHeight="false" outlineLevel="0" collapsed="false">
      <c r="A3826" s="103" t="n">
        <v>46304</v>
      </c>
      <c r="B3826" s="104" t="s">
        <v>32</v>
      </c>
      <c r="C3826" s="104" t="s">
        <v>554</v>
      </c>
      <c r="D3826" s="105" t="n">
        <v>0.25</v>
      </c>
      <c r="E3826" s="106" t="n">
        <v>155</v>
      </c>
      <c r="F3826" s="107" t="n">
        <f aca="false">IF($C3826="","",$D3826*$E3826)</f>
        <v>38.75</v>
      </c>
      <c r="G3826" s="107" t="n">
        <f aca="false">IF($C3826="","",$D3826*IFERROR(INDEX('تحليل التكلفة والسعر'!$C$2:$C$700,MATCH($C3826,'تحليل التكلفة والسعر'!$B$2:$B$700,0)),0))</f>
        <v>16.36583375</v>
      </c>
      <c r="H3826" s="104" t="s">
        <v>719</v>
      </c>
    </row>
    <row r="3827" customFormat="false" ht="15" hidden="false" customHeight="false" outlineLevel="0" collapsed="false">
      <c r="A3827" s="103" t="n">
        <v>46305</v>
      </c>
      <c r="B3827" s="104" t="s">
        <v>32</v>
      </c>
      <c r="C3827" s="104" t="s">
        <v>554</v>
      </c>
      <c r="D3827" s="105" t="n">
        <v>0.25</v>
      </c>
      <c r="E3827" s="106" t="n">
        <v>155</v>
      </c>
      <c r="F3827" s="107" t="n">
        <f aca="false">IF($C3827="","",$D3827*$E3827)</f>
        <v>38.75</v>
      </c>
      <c r="G3827" s="107" t="n">
        <f aca="false">IF($C3827="","",$D3827*IFERROR(INDEX('تحليل التكلفة والسعر'!$C$2:$C$700,MATCH($C3827,'تحليل التكلفة والسعر'!$B$2:$B$700,0)),0))</f>
        <v>16.36583375</v>
      </c>
      <c r="H3827" s="104" t="s">
        <v>719</v>
      </c>
    </row>
    <row r="3828" customFormat="false" ht="15" hidden="false" customHeight="false" outlineLevel="0" collapsed="false">
      <c r="A3828" s="103" t="n">
        <v>46306</v>
      </c>
      <c r="B3828" s="104" t="s">
        <v>32</v>
      </c>
      <c r="C3828" s="104" t="s">
        <v>554</v>
      </c>
      <c r="D3828" s="105" t="n">
        <v>0.25</v>
      </c>
      <c r="E3828" s="106" t="n">
        <v>155</v>
      </c>
      <c r="F3828" s="107" t="n">
        <f aca="false">IF($C3828="","",$D3828*$E3828)</f>
        <v>38.75</v>
      </c>
      <c r="G3828" s="107" t="n">
        <f aca="false">IF($C3828="","",$D3828*IFERROR(INDEX('تحليل التكلفة والسعر'!$C$2:$C$700,MATCH($C3828,'تحليل التكلفة والسعر'!$B$2:$B$700,0)),0))</f>
        <v>16.36583375</v>
      </c>
      <c r="H3828" s="104" t="s">
        <v>719</v>
      </c>
    </row>
    <row r="3829" customFormat="false" ht="15" hidden="false" customHeight="false" outlineLevel="0" collapsed="false">
      <c r="A3829" s="103" t="n">
        <v>46307</v>
      </c>
      <c r="B3829" s="104" t="s">
        <v>32</v>
      </c>
      <c r="C3829" s="104" t="s">
        <v>554</v>
      </c>
      <c r="D3829" s="105" t="n">
        <v>0.25</v>
      </c>
      <c r="E3829" s="106" t="n">
        <v>155</v>
      </c>
      <c r="F3829" s="107" t="n">
        <f aca="false">IF($C3829="","",$D3829*$E3829)</f>
        <v>38.75</v>
      </c>
      <c r="G3829" s="107" t="n">
        <f aca="false">IF($C3829="","",$D3829*IFERROR(INDEX('تحليل التكلفة والسعر'!$C$2:$C$700,MATCH($C3829,'تحليل التكلفة والسعر'!$B$2:$B$700,0)),0))</f>
        <v>16.36583375</v>
      </c>
      <c r="H3829" s="104" t="s">
        <v>719</v>
      </c>
    </row>
    <row r="3830" customFormat="false" ht="15" hidden="false" customHeight="false" outlineLevel="0" collapsed="false">
      <c r="A3830" s="103" t="n">
        <v>46296</v>
      </c>
      <c r="B3830" s="104" t="s">
        <v>32</v>
      </c>
      <c r="C3830" s="104" t="s">
        <v>452</v>
      </c>
      <c r="D3830" s="105" t="n">
        <v>0.25</v>
      </c>
      <c r="E3830" s="106" t="n">
        <v>180</v>
      </c>
      <c r="F3830" s="107" t="n">
        <f aca="false">IF($C3830="","",$D3830*$E3830)</f>
        <v>45</v>
      </c>
      <c r="G3830" s="107" t="n">
        <f aca="false">IF($C3830="","",$D3830*IFERROR(INDEX('تحليل التكلفة والسعر'!$C$2:$C$700,MATCH($C3830,'تحليل التكلفة والسعر'!$B$2:$B$700,0)),0))</f>
        <v>22.63525875</v>
      </c>
      <c r="H3830" s="104" t="s">
        <v>719</v>
      </c>
    </row>
    <row r="3831" customFormat="false" ht="15" hidden="false" customHeight="false" outlineLevel="0" collapsed="false">
      <c r="A3831" s="103" t="n">
        <v>46297</v>
      </c>
      <c r="B3831" s="104" t="s">
        <v>32</v>
      </c>
      <c r="C3831" s="104" t="s">
        <v>452</v>
      </c>
      <c r="D3831" s="105" t="n">
        <v>0.25</v>
      </c>
      <c r="E3831" s="106" t="n">
        <v>180</v>
      </c>
      <c r="F3831" s="107" t="n">
        <f aca="false">IF($C3831="","",$D3831*$E3831)</f>
        <v>45</v>
      </c>
      <c r="G3831" s="107" t="n">
        <f aca="false">IF($C3831="","",$D3831*IFERROR(INDEX('تحليل التكلفة والسعر'!$C$2:$C$700,MATCH($C3831,'تحليل التكلفة والسعر'!$B$2:$B$700,0)),0))</f>
        <v>22.63525875</v>
      </c>
      <c r="H3831" s="104" t="s">
        <v>719</v>
      </c>
    </row>
    <row r="3832" customFormat="false" ht="15" hidden="false" customHeight="false" outlineLevel="0" collapsed="false">
      <c r="A3832" s="103" t="n">
        <v>46298</v>
      </c>
      <c r="B3832" s="104" t="s">
        <v>32</v>
      </c>
      <c r="C3832" s="104" t="s">
        <v>452</v>
      </c>
      <c r="D3832" s="105" t="n">
        <v>0.25</v>
      </c>
      <c r="E3832" s="106" t="n">
        <v>180</v>
      </c>
      <c r="F3832" s="107" t="n">
        <f aca="false">IF($C3832="","",$D3832*$E3832)</f>
        <v>45</v>
      </c>
      <c r="G3832" s="107" t="n">
        <f aca="false">IF($C3832="","",$D3832*IFERROR(INDEX('تحليل التكلفة والسعر'!$C$2:$C$700,MATCH($C3832,'تحليل التكلفة والسعر'!$B$2:$B$700,0)),0))</f>
        <v>22.63525875</v>
      </c>
      <c r="H3832" s="104" t="s">
        <v>719</v>
      </c>
    </row>
    <row r="3833" customFormat="false" ht="15" hidden="false" customHeight="false" outlineLevel="0" collapsed="false">
      <c r="A3833" s="103" t="n">
        <v>46299</v>
      </c>
      <c r="B3833" s="104" t="s">
        <v>32</v>
      </c>
      <c r="C3833" s="104" t="s">
        <v>452</v>
      </c>
      <c r="D3833" s="105" t="n">
        <v>0.25</v>
      </c>
      <c r="E3833" s="106" t="n">
        <v>180</v>
      </c>
      <c r="F3833" s="107" t="n">
        <f aca="false">IF($C3833="","",$D3833*$E3833)</f>
        <v>45</v>
      </c>
      <c r="G3833" s="107" t="n">
        <f aca="false">IF($C3833="","",$D3833*IFERROR(INDEX('تحليل التكلفة والسعر'!$C$2:$C$700,MATCH($C3833,'تحليل التكلفة والسعر'!$B$2:$B$700,0)),0))</f>
        <v>22.63525875</v>
      </c>
      <c r="H3833" s="104" t="s">
        <v>719</v>
      </c>
    </row>
    <row r="3834" customFormat="false" ht="15" hidden="false" customHeight="false" outlineLevel="0" collapsed="false">
      <c r="A3834" s="103" t="n">
        <v>46300</v>
      </c>
      <c r="B3834" s="104" t="s">
        <v>32</v>
      </c>
      <c r="C3834" s="104" t="s">
        <v>452</v>
      </c>
      <c r="D3834" s="105" t="n">
        <v>0.25</v>
      </c>
      <c r="E3834" s="106" t="n">
        <v>180</v>
      </c>
      <c r="F3834" s="107" t="n">
        <f aca="false">IF($C3834="","",$D3834*$E3834)</f>
        <v>45</v>
      </c>
      <c r="G3834" s="107" t="n">
        <f aca="false">IF($C3834="","",$D3834*IFERROR(INDEX('تحليل التكلفة والسعر'!$C$2:$C$700,MATCH($C3834,'تحليل التكلفة والسعر'!$B$2:$B$700,0)),0))</f>
        <v>22.63525875</v>
      </c>
      <c r="H3834" s="104" t="s">
        <v>719</v>
      </c>
    </row>
    <row r="3835" customFormat="false" ht="15" hidden="false" customHeight="false" outlineLevel="0" collapsed="false">
      <c r="A3835" s="103" t="n">
        <v>46301</v>
      </c>
      <c r="B3835" s="104" t="s">
        <v>32</v>
      </c>
      <c r="C3835" s="104" t="s">
        <v>452</v>
      </c>
      <c r="D3835" s="105" t="n">
        <v>0.25</v>
      </c>
      <c r="E3835" s="106" t="n">
        <v>180</v>
      </c>
      <c r="F3835" s="107" t="n">
        <f aca="false">IF($C3835="","",$D3835*$E3835)</f>
        <v>45</v>
      </c>
      <c r="G3835" s="107" t="n">
        <f aca="false">IF($C3835="","",$D3835*IFERROR(INDEX('تحليل التكلفة والسعر'!$C$2:$C$700,MATCH($C3835,'تحليل التكلفة والسعر'!$B$2:$B$700,0)),0))</f>
        <v>22.63525875</v>
      </c>
      <c r="H3835" s="104" t="s">
        <v>719</v>
      </c>
    </row>
    <row r="3836" customFormat="false" ht="15" hidden="false" customHeight="false" outlineLevel="0" collapsed="false">
      <c r="A3836" s="103" t="n">
        <v>46302</v>
      </c>
      <c r="B3836" s="104" t="s">
        <v>32</v>
      </c>
      <c r="C3836" s="104" t="s">
        <v>452</v>
      </c>
      <c r="D3836" s="105" t="n">
        <v>0.25</v>
      </c>
      <c r="E3836" s="106" t="n">
        <v>180</v>
      </c>
      <c r="F3836" s="107" t="n">
        <f aca="false">IF($C3836="","",$D3836*$E3836)</f>
        <v>45</v>
      </c>
      <c r="G3836" s="107" t="n">
        <f aca="false">IF($C3836="","",$D3836*IFERROR(INDEX('تحليل التكلفة والسعر'!$C$2:$C$700,MATCH($C3836,'تحليل التكلفة والسعر'!$B$2:$B$700,0)),0))</f>
        <v>22.63525875</v>
      </c>
      <c r="H3836" s="104" t="s">
        <v>719</v>
      </c>
    </row>
    <row r="3837" customFormat="false" ht="15" hidden="false" customHeight="false" outlineLevel="0" collapsed="false">
      <c r="A3837" s="103" t="n">
        <v>46303</v>
      </c>
      <c r="B3837" s="104" t="s">
        <v>32</v>
      </c>
      <c r="C3837" s="104" t="s">
        <v>452</v>
      </c>
      <c r="D3837" s="105" t="n">
        <v>0.25</v>
      </c>
      <c r="E3837" s="106" t="n">
        <v>180</v>
      </c>
      <c r="F3837" s="107" t="n">
        <f aca="false">IF($C3837="","",$D3837*$E3837)</f>
        <v>45</v>
      </c>
      <c r="G3837" s="107" t="n">
        <f aca="false">IF($C3837="","",$D3837*IFERROR(INDEX('تحليل التكلفة والسعر'!$C$2:$C$700,MATCH($C3837,'تحليل التكلفة والسعر'!$B$2:$B$700,0)),0))</f>
        <v>22.63525875</v>
      </c>
      <c r="H3837" s="104" t="s">
        <v>719</v>
      </c>
    </row>
    <row r="3838" customFormat="false" ht="15" hidden="false" customHeight="false" outlineLevel="0" collapsed="false">
      <c r="A3838" s="103" t="n">
        <v>46304</v>
      </c>
      <c r="B3838" s="104" t="s">
        <v>32</v>
      </c>
      <c r="C3838" s="104" t="s">
        <v>452</v>
      </c>
      <c r="D3838" s="105" t="n">
        <v>0.25</v>
      </c>
      <c r="E3838" s="106" t="n">
        <v>180</v>
      </c>
      <c r="F3838" s="107" t="n">
        <f aca="false">IF($C3838="","",$D3838*$E3838)</f>
        <v>45</v>
      </c>
      <c r="G3838" s="107" t="n">
        <f aca="false">IF($C3838="","",$D3838*IFERROR(INDEX('تحليل التكلفة والسعر'!$C$2:$C$700,MATCH($C3838,'تحليل التكلفة والسعر'!$B$2:$B$700,0)),0))</f>
        <v>22.63525875</v>
      </c>
      <c r="H3838" s="104" t="s">
        <v>719</v>
      </c>
    </row>
    <row r="3839" customFormat="false" ht="15" hidden="false" customHeight="false" outlineLevel="0" collapsed="false">
      <c r="A3839" s="103" t="n">
        <v>46305</v>
      </c>
      <c r="B3839" s="104" t="s">
        <v>32</v>
      </c>
      <c r="C3839" s="104" t="s">
        <v>452</v>
      </c>
      <c r="D3839" s="105" t="n">
        <v>0.25</v>
      </c>
      <c r="E3839" s="106" t="n">
        <v>180</v>
      </c>
      <c r="F3839" s="107" t="n">
        <f aca="false">IF($C3839="","",$D3839*$E3839)</f>
        <v>45</v>
      </c>
      <c r="G3839" s="107" t="n">
        <f aca="false">IF($C3839="","",$D3839*IFERROR(INDEX('تحليل التكلفة والسعر'!$C$2:$C$700,MATCH($C3839,'تحليل التكلفة والسعر'!$B$2:$B$700,0)),0))</f>
        <v>22.63525875</v>
      </c>
      <c r="H3839" s="104" t="s">
        <v>719</v>
      </c>
    </row>
    <row r="3840" customFormat="false" ht="15" hidden="false" customHeight="false" outlineLevel="0" collapsed="false">
      <c r="A3840" s="103" t="n">
        <v>46306</v>
      </c>
      <c r="B3840" s="104" t="s">
        <v>32</v>
      </c>
      <c r="C3840" s="104" t="s">
        <v>452</v>
      </c>
      <c r="D3840" s="105" t="n">
        <v>0.25</v>
      </c>
      <c r="E3840" s="106" t="n">
        <v>180</v>
      </c>
      <c r="F3840" s="107" t="n">
        <f aca="false">IF($C3840="","",$D3840*$E3840)</f>
        <v>45</v>
      </c>
      <c r="G3840" s="107" t="n">
        <f aca="false">IF($C3840="","",$D3840*IFERROR(INDEX('تحليل التكلفة والسعر'!$C$2:$C$700,MATCH($C3840,'تحليل التكلفة والسعر'!$B$2:$B$700,0)),0))</f>
        <v>22.63525875</v>
      </c>
      <c r="H3840" s="104" t="s">
        <v>719</v>
      </c>
    </row>
    <row r="3841" customFormat="false" ht="15" hidden="false" customHeight="false" outlineLevel="0" collapsed="false">
      <c r="A3841" s="103" t="n">
        <v>46307</v>
      </c>
      <c r="B3841" s="104" t="s">
        <v>32</v>
      </c>
      <c r="C3841" s="104" t="s">
        <v>452</v>
      </c>
      <c r="D3841" s="105" t="n">
        <v>0.25</v>
      </c>
      <c r="E3841" s="106" t="n">
        <v>180</v>
      </c>
      <c r="F3841" s="107" t="n">
        <f aca="false">IF($C3841="","",$D3841*$E3841)</f>
        <v>45</v>
      </c>
      <c r="G3841" s="107" t="n">
        <f aca="false">IF($C3841="","",$D3841*IFERROR(INDEX('تحليل التكلفة والسعر'!$C$2:$C$700,MATCH($C3841,'تحليل التكلفة والسعر'!$B$2:$B$700,0)),0))</f>
        <v>22.63525875</v>
      </c>
      <c r="H3841" s="104" t="s">
        <v>719</v>
      </c>
    </row>
    <row r="3842" customFormat="false" ht="15" hidden="false" customHeight="false" outlineLevel="0" collapsed="false">
      <c r="A3842" s="103" t="n">
        <v>46296</v>
      </c>
      <c r="B3842" s="104" t="s">
        <v>32</v>
      </c>
      <c r="C3842" s="104" t="s">
        <v>467</v>
      </c>
      <c r="D3842" s="105" t="n">
        <v>0.5833</v>
      </c>
      <c r="E3842" s="106" t="n">
        <v>185.7143</v>
      </c>
      <c r="F3842" s="107" t="n">
        <f aca="false">IF($C3842="","",$D3842*$E3842)</f>
        <v>108.32715119</v>
      </c>
      <c r="G3842" s="107" t="n">
        <f aca="false">IF($C3842="","",$D3842*IFERROR(INDEX('تحليل التكلفة والسعر'!$C$2:$C$700,MATCH($C3842,'تحليل التكلفة والسعر'!$B$2:$B$700,0)),0))</f>
        <v>54.8541357155</v>
      </c>
      <c r="H3842" s="104" t="s">
        <v>719</v>
      </c>
    </row>
    <row r="3843" customFormat="false" ht="15" hidden="false" customHeight="false" outlineLevel="0" collapsed="false">
      <c r="A3843" s="103" t="n">
        <v>46297</v>
      </c>
      <c r="B3843" s="104" t="s">
        <v>32</v>
      </c>
      <c r="C3843" s="104" t="s">
        <v>467</v>
      </c>
      <c r="D3843" s="105" t="n">
        <v>0.5833</v>
      </c>
      <c r="E3843" s="106" t="n">
        <v>185.7143</v>
      </c>
      <c r="F3843" s="107" t="n">
        <f aca="false">IF($C3843="","",$D3843*$E3843)</f>
        <v>108.32715119</v>
      </c>
      <c r="G3843" s="107" t="n">
        <f aca="false">IF($C3843="","",$D3843*IFERROR(INDEX('تحليل التكلفة والسعر'!$C$2:$C$700,MATCH($C3843,'تحليل التكلفة والسعر'!$B$2:$B$700,0)),0))</f>
        <v>54.8541357155</v>
      </c>
      <c r="H3843" s="104" t="s">
        <v>719</v>
      </c>
    </row>
    <row r="3844" customFormat="false" ht="15" hidden="false" customHeight="false" outlineLevel="0" collapsed="false">
      <c r="A3844" s="103" t="n">
        <v>46298</v>
      </c>
      <c r="B3844" s="104" t="s">
        <v>32</v>
      </c>
      <c r="C3844" s="104" t="s">
        <v>467</v>
      </c>
      <c r="D3844" s="105" t="n">
        <v>0.5833</v>
      </c>
      <c r="E3844" s="106" t="n">
        <v>185.7143</v>
      </c>
      <c r="F3844" s="107" t="n">
        <f aca="false">IF($C3844="","",$D3844*$E3844)</f>
        <v>108.32715119</v>
      </c>
      <c r="G3844" s="107" t="n">
        <f aca="false">IF($C3844="","",$D3844*IFERROR(INDEX('تحليل التكلفة والسعر'!$C$2:$C$700,MATCH($C3844,'تحليل التكلفة والسعر'!$B$2:$B$700,0)),0))</f>
        <v>54.8541357155</v>
      </c>
      <c r="H3844" s="104" t="s">
        <v>719</v>
      </c>
    </row>
    <row r="3845" customFormat="false" ht="15" hidden="false" customHeight="false" outlineLevel="0" collapsed="false">
      <c r="A3845" s="103" t="n">
        <v>46299</v>
      </c>
      <c r="B3845" s="104" t="s">
        <v>32</v>
      </c>
      <c r="C3845" s="104" t="s">
        <v>467</v>
      </c>
      <c r="D3845" s="105" t="n">
        <v>0.5833</v>
      </c>
      <c r="E3845" s="106" t="n">
        <v>185.7143</v>
      </c>
      <c r="F3845" s="107" t="n">
        <f aca="false">IF($C3845="","",$D3845*$E3845)</f>
        <v>108.32715119</v>
      </c>
      <c r="G3845" s="107" t="n">
        <f aca="false">IF($C3845="","",$D3845*IFERROR(INDEX('تحليل التكلفة والسعر'!$C$2:$C$700,MATCH($C3845,'تحليل التكلفة والسعر'!$B$2:$B$700,0)),0))</f>
        <v>54.8541357155</v>
      </c>
      <c r="H3845" s="104" t="s">
        <v>719</v>
      </c>
    </row>
    <row r="3846" customFormat="false" ht="15" hidden="false" customHeight="false" outlineLevel="0" collapsed="false">
      <c r="A3846" s="103" t="n">
        <v>46300</v>
      </c>
      <c r="B3846" s="104" t="s">
        <v>32</v>
      </c>
      <c r="C3846" s="104" t="s">
        <v>467</v>
      </c>
      <c r="D3846" s="105" t="n">
        <v>0.5833</v>
      </c>
      <c r="E3846" s="106" t="n">
        <v>185.7143</v>
      </c>
      <c r="F3846" s="107" t="n">
        <f aca="false">IF($C3846="","",$D3846*$E3846)</f>
        <v>108.32715119</v>
      </c>
      <c r="G3846" s="107" t="n">
        <f aca="false">IF($C3846="","",$D3846*IFERROR(INDEX('تحليل التكلفة والسعر'!$C$2:$C$700,MATCH($C3846,'تحليل التكلفة والسعر'!$B$2:$B$700,0)),0))</f>
        <v>54.8541357155</v>
      </c>
      <c r="H3846" s="104" t="s">
        <v>719</v>
      </c>
    </row>
    <row r="3847" customFormat="false" ht="15" hidden="false" customHeight="false" outlineLevel="0" collapsed="false">
      <c r="A3847" s="103" t="n">
        <v>46301</v>
      </c>
      <c r="B3847" s="104" t="s">
        <v>32</v>
      </c>
      <c r="C3847" s="104" t="s">
        <v>467</v>
      </c>
      <c r="D3847" s="105" t="n">
        <v>0.5833</v>
      </c>
      <c r="E3847" s="106" t="n">
        <v>185.7143</v>
      </c>
      <c r="F3847" s="107" t="n">
        <f aca="false">IF($C3847="","",$D3847*$E3847)</f>
        <v>108.32715119</v>
      </c>
      <c r="G3847" s="107" t="n">
        <f aca="false">IF($C3847="","",$D3847*IFERROR(INDEX('تحليل التكلفة والسعر'!$C$2:$C$700,MATCH($C3847,'تحليل التكلفة والسعر'!$B$2:$B$700,0)),0))</f>
        <v>54.8541357155</v>
      </c>
      <c r="H3847" s="104" t="s">
        <v>719</v>
      </c>
    </row>
    <row r="3848" customFormat="false" ht="15" hidden="false" customHeight="false" outlineLevel="0" collapsed="false">
      <c r="A3848" s="103" t="n">
        <v>46302</v>
      </c>
      <c r="B3848" s="104" t="s">
        <v>32</v>
      </c>
      <c r="C3848" s="104" t="s">
        <v>467</v>
      </c>
      <c r="D3848" s="105" t="n">
        <v>0.5833</v>
      </c>
      <c r="E3848" s="106" t="n">
        <v>185.7143</v>
      </c>
      <c r="F3848" s="107" t="n">
        <f aca="false">IF($C3848="","",$D3848*$E3848)</f>
        <v>108.32715119</v>
      </c>
      <c r="G3848" s="107" t="n">
        <f aca="false">IF($C3848="","",$D3848*IFERROR(INDEX('تحليل التكلفة والسعر'!$C$2:$C$700,MATCH($C3848,'تحليل التكلفة والسعر'!$B$2:$B$700,0)),0))</f>
        <v>54.8541357155</v>
      </c>
      <c r="H3848" s="104" t="s">
        <v>719</v>
      </c>
    </row>
    <row r="3849" customFormat="false" ht="15" hidden="false" customHeight="false" outlineLevel="0" collapsed="false">
      <c r="A3849" s="103" t="n">
        <v>46303</v>
      </c>
      <c r="B3849" s="104" t="s">
        <v>32</v>
      </c>
      <c r="C3849" s="104" t="s">
        <v>467</v>
      </c>
      <c r="D3849" s="105" t="n">
        <v>0.5833</v>
      </c>
      <c r="E3849" s="106" t="n">
        <v>185.7143</v>
      </c>
      <c r="F3849" s="107" t="n">
        <f aca="false">IF($C3849="","",$D3849*$E3849)</f>
        <v>108.32715119</v>
      </c>
      <c r="G3849" s="107" t="n">
        <f aca="false">IF($C3849="","",$D3849*IFERROR(INDEX('تحليل التكلفة والسعر'!$C$2:$C$700,MATCH($C3849,'تحليل التكلفة والسعر'!$B$2:$B$700,0)),0))</f>
        <v>54.8541357155</v>
      </c>
      <c r="H3849" s="104" t="s">
        <v>719</v>
      </c>
    </row>
    <row r="3850" customFormat="false" ht="15" hidden="false" customHeight="false" outlineLevel="0" collapsed="false">
      <c r="A3850" s="103" t="n">
        <v>46304</v>
      </c>
      <c r="B3850" s="104" t="s">
        <v>32</v>
      </c>
      <c r="C3850" s="104" t="s">
        <v>467</v>
      </c>
      <c r="D3850" s="105" t="n">
        <v>0.5833</v>
      </c>
      <c r="E3850" s="106" t="n">
        <v>185.7143</v>
      </c>
      <c r="F3850" s="107" t="n">
        <f aca="false">IF($C3850="","",$D3850*$E3850)</f>
        <v>108.32715119</v>
      </c>
      <c r="G3850" s="107" t="n">
        <f aca="false">IF($C3850="","",$D3850*IFERROR(INDEX('تحليل التكلفة والسعر'!$C$2:$C$700,MATCH($C3850,'تحليل التكلفة والسعر'!$B$2:$B$700,0)),0))</f>
        <v>54.8541357155</v>
      </c>
      <c r="H3850" s="104" t="s">
        <v>719</v>
      </c>
    </row>
    <row r="3851" customFormat="false" ht="15" hidden="false" customHeight="false" outlineLevel="0" collapsed="false">
      <c r="A3851" s="103" t="n">
        <v>46305</v>
      </c>
      <c r="B3851" s="104" t="s">
        <v>32</v>
      </c>
      <c r="C3851" s="104" t="s">
        <v>467</v>
      </c>
      <c r="D3851" s="105" t="n">
        <v>0.5833</v>
      </c>
      <c r="E3851" s="106" t="n">
        <v>185.7143</v>
      </c>
      <c r="F3851" s="107" t="n">
        <f aca="false">IF($C3851="","",$D3851*$E3851)</f>
        <v>108.32715119</v>
      </c>
      <c r="G3851" s="107" t="n">
        <f aca="false">IF($C3851="","",$D3851*IFERROR(INDEX('تحليل التكلفة والسعر'!$C$2:$C$700,MATCH($C3851,'تحليل التكلفة والسعر'!$B$2:$B$700,0)),0))</f>
        <v>54.8541357155</v>
      </c>
      <c r="H3851" s="104" t="s">
        <v>719</v>
      </c>
    </row>
    <row r="3852" customFormat="false" ht="15" hidden="false" customHeight="false" outlineLevel="0" collapsed="false">
      <c r="A3852" s="103" t="n">
        <v>46306</v>
      </c>
      <c r="B3852" s="104" t="s">
        <v>32</v>
      </c>
      <c r="C3852" s="104" t="s">
        <v>467</v>
      </c>
      <c r="D3852" s="105" t="n">
        <v>0.5833</v>
      </c>
      <c r="E3852" s="106" t="n">
        <v>185.7143</v>
      </c>
      <c r="F3852" s="107" t="n">
        <f aca="false">IF($C3852="","",$D3852*$E3852)</f>
        <v>108.32715119</v>
      </c>
      <c r="G3852" s="107" t="n">
        <f aca="false">IF($C3852="","",$D3852*IFERROR(INDEX('تحليل التكلفة والسعر'!$C$2:$C$700,MATCH($C3852,'تحليل التكلفة والسعر'!$B$2:$B$700,0)),0))</f>
        <v>54.8541357155</v>
      </c>
      <c r="H3852" s="104" t="s">
        <v>719</v>
      </c>
    </row>
    <row r="3853" customFormat="false" ht="15" hidden="false" customHeight="false" outlineLevel="0" collapsed="false">
      <c r="A3853" s="103" t="n">
        <v>46307</v>
      </c>
      <c r="B3853" s="104" t="s">
        <v>32</v>
      </c>
      <c r="C3853" s="104" t="s">
        <v>467</v>
      </c>
      <c r="D3853" s="105" t="n">
        <v>0.5833</v>
      </c>
      <c r="E3853" s="106" t="n">
        <v>185.7143</v>
      </c>
      <c r="F3853" s="107" t="n">
        <f aca="false">IF($C3853="","",$D3853*$E3853)</f>
        <v>108.32715119</v>
      </c>
      <c r="G3853" s="107" t="n">
        <f aca="false">IF($C3853="","",$D3853*IFERROR(INDEX('تحليل التكلفة والسعر'!$C$2:$C$700,MATCH($C3853,'تحليل التكلفة والسعر'!$B$2:$B$700,0)),0))</f>
        <v>54.8541357155</v>
      </c>
      <c r="H3853" s="104" t="s">
        <v>719</v>
      </c>
    </row>
    <row r="3854" customFormat="false" ht="15" hidden="false" customHeight="false" outlineLevel="0" collapsed="false">
      <c r="A3854" s="103" t="n">
        <v>46296</v>
      </c>
      <c r="B3854" s="104" t="s">
        <v>32</v>
      </c>
      <c r="C3854" s="104" t="s">
        <v>565</v>
      </c>
      <c r="D3854" s="105" t="n">
        <v>0.0833</v>
      </c>
      <c r="E3854" s="106" t="n">
        <v>140</v>
      </c>
      <c r="F3854" s="107" t="n">
        <f aca="false">IF($C3854="","",$D3854*$E3854)</f>
        <v>11.662</v>
      </c>
      <c r="G3854" s="107" t="n">
        <f aca="false">IF($C3854="","",$D3854*IFERROR(INDEX('تحليل التكلفة والسعر'!$C$2:$C$700,MATCH($C3854,'تحليل التكلفة والسعر'!$B$2:$B$700,0)),0))</f>
        <v>4.256101045</v>
      </c>
      <c r="H3854" s="104" t="s">
        <v>719</v>
      </c>
    </row>
    <row r="3855" customFormat="false" ht="15" hidden="false" customHeight="false" outlineLevel="0" collapsed="false">
      <c r="A3855" s="103" t="n">
        <v>46297</v>
      </c>
      <c r="B3855" s="104" t="s">
        <v>32</v>
      </c>
      <c r="C3855" s="104" t="s">
        <v>565</v>
      </c>
      <c r="D3855" s="105" t="n">
        <v>0.0833</v>
      </c>
      <c r="E3855" s="106" t="n">
        <v>140</v>
      </c>
      <c r="F3855" s="107" t="n">
        <f aca="false">IF($C3855="","",$D3855*$E3855)</f>
        <v>11.662</v>
      </c>
      <c r="G3855" s="107" t="n">
        <f aca="false">IF($C3855="","",$D3855*IFERROR(INDEX('تحليل التكلفة والسعر'!$C$2:$C$700,MATCH($C3855,'تحليل التكلفة والسعر'!$B$2:$B$700,0)),0))</f>
        <v>4.256101045</v>
      </c>
      <c r="H3855" s="104" t="s">
        <v>719</v>
      </c>
    </row>
    <row r="3856" customFormat="false" ht="15" hidden="false" customHeight="false" outlineLevel="0" collapsed="false">
      <c r="A3856" s="103" t="n">
        <v>46298</v>
      </c>
      <c r="B3856" s="104" t="s">
        <v>32</v>
      </c>
      <c r="C3856" s="104" t="s">
        <v>565</v>
      </c>
      <c r="D3856" s="105" t="n">
        <v>0.0833</v>
      </c>
      <c r="E3856" s="106" t="n">
        <v>140</v>
      </c>
      <c r="F3856" s="107" t="n">
        <f aca="false">IF($C3856="","",$D3856*$E3856)</f>
        <v>11.662</v>
      </c>
      <c r="G3856" s="107" t="n">
        <f aca="false">IF($C3856="","",$D3856*IFERROR(INDEX('تحليل التكلفة والسعر'!$C$2:$C$700,MATCH($C3856,'تحليل التكلفة والسعر'!$B$2:$B$700,0)),0))</f>
        <v>4.256101045</v>
      </c>
      <c r="H3856" s="104" t="s">
        <v>719</v>
      </c>
    </row>
    <row r="3857" customFormat="false" ht="15" hidden="false" customHeight="false" outlineLevel="0" collapsed="false">
      <c r="A3857" s="103" t="n">
        <v>46299</v>
      </c>
      <c r="B3857" s="104" t="s">
        <v>32</v>
      </c>
      <c r="C3857" s="104" t="s">
        <v>565</v>
      </c>
      <c r="D3857" s="105" t="n">
        <v>0.0833</v>
      </c>
      <c r="E3857" s="106" t="n">
        <v>140</v>
      </c>
      <c r="F3857" s="107" t="n">
        <f aca="false">IF($C3857="","",$D3857*$E3857)</f>
        <v>11.662</v>
      </c>
      <c r="G3857" s="107" t="n">
        <f aca="false">IF($C3857="","",$D3857*IFERROR(INDEX('تحليل التكلفة والسعر'!$C$2:$C$700,MATCH($C3857,'تحليل التكلفة والسعر'!$B$2:$B$700,0)),0))</f>
        <v>4.256101045</v>
      </c>
      <c r="H3857" s="104" t="s">
        <v>719</v>
      </c>
    </row>
    <row r="3858" customFormat="false" ht="15" hidden="false" customHeight="false" outlineLevel="0" collapsed="false">
      <c r="A3858" s="103" t="n">
        <v>46300</v>
      </c>
      <c r="B3858" s="104" t="s">
        <v>32</v>
      </c>
      <c r="C3858" s="104" t="s">
        <v>565</v>
      </c>
      <c r="D3858" s="105" t="n">
        <v>0.0833</v>
      </c>
      <c r="E3858" s="106" t="n">
        <v>140</v>
      </c>
      <c r="F3858" s="107" t="n">
        <f aca="false">IF($C3858="","",$D3858*$E3858)</f>
        <v>11.662</v>
      </c>
      <c r="G3858" s="107" t="n">
        <f aca="false">IF($C3858="","",$D3858*IFERROR(INDEX('تحليل التكلفة والسعر'!$C$2:$C$700,MATCH($C3858,'تحليل التكلفة والسعر'!$B$2:$B$700,0)),0))</f>
        <v>4.256101045</v>
      </c>
      <c r="H3858" s="104" t="s">
        <v>719</v>
      </c>
    </row>
    <row r="3859" customFormat="false" ht="15" hidden="false" customHeight="false" outlineLevel="0" collapsed="false">
      <c r="A3859" s="103" t="n">
        <v>46301</v>
      </c>
      <c r="B3859" s="104" t="s">
        <v>32</v>
      </c>
      <c r="C3859" s="104" t="s">
        <v>565</v>
      </c>
      <c r="D3859" s="105" t="n">
        <v>0.0833</v>
      </c>
      <c r="E3859" s="106" t="n">
        <v>140</v>
      </c>
      <c r="F3859" s="107" t="n">
        <f aca="false">IF($C3859="","",$D3859*$E3859)</f>
        <v>11.662</v>
      </c>
      <c r="G3859" s="107" t="n">
        <f aca="false">IF($C3859="","",$D3859*IFERROR(INDEX('تحليل التكلفة والسعر'!$C$2:$C$700,MATCH($C3859,'تحليل التكلفة والسعر'!$B$2:$B$700,0)),0))</f>
        <v>4.256101045</v>
      </c>
      <c r="H3859" s="104" t="s">
        <v>719</v>
      </c>
    </row>
    <row r="3860" customFormat="false" ht="15" hidden="false" customHeight="false" outlineLevel="0" collapsed="false">
      <c r="A3860" s="103" t="n">
        <v>46302</v>
      </c>
      <c r="B3860" s="104" t="s">
        <v>32</v>
      </c>
      <c r="C3860" s="104" t="s">
        <v>565</v>
      </c>
      <c r="D3860" s="105" t="n">
        <v>0.0833</v>
      </c>
      <c r="E3860" s="106" t="n">
        <v>140</v>
      </c>
      <c r="F3860" s="107" t="n">
        <f aca="false">IF($C3860="","",$D3860*$E3860)</f>
        <v>11.662</v>
      </c>
      <c r="G3860" s="107" t="n">
        <f aca="false">IF($C3860="","",$D3860*IFERROR(INDEX('تحليل التكلفة والسعر'!$C$2:$C$700,MATCH($C3860,'تحليل التكلفة والسعر'!$B$2:$B$700,0)),0))</f>
        <v>4.256101045</v>
      </c>
      <c r="H3860" s="104" t="s">
        <v>719</v>
      </c>
    </row>
    <row r="3861" customFormat="false" ht="15" hidden="false" customHeight="false" outlineLevel="0" collapsed="false">
      <c r="A3861" s="103" t="n">
        <v>46303</v>
      </c>
      <c r="B3861" s="104" t="s">
        <v>32</v>
      </c>
      <c r="C3861" s="104" t="s">
        <v>565</v>
      </c>
      <c r="D3861" s="105" t="n">
        <v>0.0833</v>
      </c>
      <c r="E3861" s="106" t="n">
        <v>140</v>
      </c>
      <c r="F3861" s="107" t="n">
        <f aca="false">IF($C3861="","",$D3861*$E3861)</f>
        <v>11.662</v>
      </c>
      <c r="G3861" s="107" t="n">
        <f aca="false">IF($C3861="","",$D3861*IFERROR(INDEX('تحليل التكلفة والسعر'!$C$2:$C$700,MATCH($C3861,'تحليل التكلفة والسعر'!$B$2:$B$700,0)),0))</f>
        <v>4.256101045</v>
      </c>
      <c r="H3861" s="104" t="s">
        <v>719</v>
      </c>
    </row>
    <row r="3862" customFormat="false" ht="15" hidden="false" customHeight="false" outlineLevel="0" collapsed="false">
      <c r="A3862" s="103" t="n">
        <v>46304</v>
      </c>
      <c r="B3862" s="104" t="s">
        <v>32</v>
      </c>
      <c r="C3862" s="104" t="s">
        <v>565</v>
      </c>
      <c r="D3862" s="105" t="n">
        <v>0.0833</v>
      </c>
      <c r="E3862" s="106" t="n">
        <v>140</v>
      </c>
      <c r="F3862" s="107" t="n">
        <f aca="false">IF($C3862="","",$D3862*$E3862)</f>
        <v>11.662</v>
      </c>
      <c r="G3862" s="107" t="n">
        <f aca="false">IF($C3862="","",$D3862*IFERROR(INDEX('تحليل التكلفة والسعر'!$C$2:$C$700,MATCH($C3862,'تحليل التكلفة والسعر'!$B$2:$B$700,0)),0))</f>
        <v>4.256101045</v>
      </c>
      <c r="H3862" s="104" t="s">
        <v>719</v>
      </c>
    </row>
    <row r="3863" customFormat="false" ht="15" hidden="false" customHeight="false" outlineLevel="0" collapsed="false">
      <c r="A3863" s="103" t="n">
        <v>46305</v>
      </c>
      <c r="B3863" s="104" t="s">
        <v>32</v>
      </c>
      <c r="C3863" s="104" t="s">
        <v>565</v>
      </c>
      <c r="D3863" s="105" t="n">
        <v>0.0833</v>
      </c>
      <c r="E3863" s="106" t="n">
        <v>140</v>
      </c>
      <c r="F3863" s="107" t="n">
        <f aca="false">IF($C3863="","",$D3863*$E3863)</f>
        <v>11.662</v>
      </c>
      <c r="G3863" s="107" t="n">
        <f aca="false">IF($C3863="","",$D3863*IFERROR(INDEX('تحليل التكلفة والسعر'!$C$2:$C$700,MATCH($C3863,'تحليل التكلفة والسعر'!$B$2:$B$700,0)),0))</f>
        <v>4.256101045</v>
      </c>
      <c r="H3863" s="104" t="s">
        <v>719</v>
      </c>
    </row>
    <row r="3864" customFormat="false" ht="15" hidden="false" customHeight="false" outlineLevel="0" collapsed="false">
      <c r="A3864" s="103" t="n">
        <v>46306</v>
      </c>
      <c r="B3864" s="104" t="s">
        <v>32</v>
      </c>
      <c r="C3864" s="104" t="s">
        <v>565</v>
      </c>
      <c r="D3864" s="105" t="n">
        <v>0.0833</v>
      </c>
      <c r="E3864" s="106" t="n">
        <v>140</v>
      </c>
      <c r="F3864" s="107" t="n">
        <f aca="false">IF($C3864="","",$D3864*$E3864)</f>
        <v>11.662</v>
      </c>
      <c r="G3864" s="107" t="n">
        <f aca="false">IF($C3864="","",$D3864*IFERROR(INDEX('تحليل التكلفة والسعر'!$C$2:$C$700,MATCH($C3864,'تحليل التكلفة والسعر'!$B$2:$B$700,0)),0))</f>
        <v>4.256101045</v>
      </c>
      <c r="H3864" s="104" t="s">
        <v>719</v>
      </c>
    </row>
    <row r="3865" customFormat="false" ht="15" hidden="false" customHeight="false" outlineLevel="0" collapsed="false">
      <c r="A3865" s="103" t="n">
        <v>46307</v>
      </c>
      <c r="B3865" s="104" t="s">
        <v>32</v>
      </c>
      <c r="C3865" s="104" t="s">
        <v>565</v>
      </c>
      <c r="D3865" s="105" t="n">
        <v>0.0833</v>
      </c>
      <c r="E3865" s="106" t="n">
        <v>140</v>
      </c>
      <c r="F3865" s="107" t="n">
        <f aca="false">IF($C3865="","",$D3865*$E3865)</f>
        <v>11.662</v>
      </c>
      <c r="G3865" s="107" t="n">
        <f aca="false">IF($C3865="","",$D3865*IFERROR(INDEX('تحليل التكلفة والسعر'!$C$2:$C$700,MATCH($C3865,'تحليل التكلفة والسعر'!$B$2:$B$700,0)),0))</f>
        <v>4.256101045</v>
      </c>
      <c r="H3865" s="104" t="s">
        <v>719</v>
      </c>
    </row>
    <row r="3866" customFormat="false" ht="15" hidden="false" customHeight="false" outlineLevel="0" collapsed="false">
      <c r="A3866" s="103" t="n">
        <v>46296</v>
      </c>
      <c r="B3866" s="104" t="s">
        <v>32</v>
      </c>
      <c r="C3866" s="104" t="s">
        <v>564</v>
      </c>
      <c r="D3866" s="105" t="n">
        <v>0.0833</v>
      </c>
      <c r="E3866" s="106" t="n">
        <v>120</v>
      </c>
      <c r="F3866" s="107" t="n">
        <f aca="false">IF($C3866="","",$D3866*$E3866)</f>
        <v>9.996</v>
      </c>
      <c r="G3866" s="107" t="n">
        <f aca="false">IF($C3866="","",$D3866*IFERROR(INDEX('تحليل التكلفة والسعر'!$C$2:$C$700,MATCH($C3866,'تحليل التكلفة والسعر'!$B$2:$B$700,0)),0))</f>
        <v>3.132767225</v>
      </c>
      <c r="H3866" s="104" t="s">
        <v>719</v>
      </c>
    </row>
    <row r="3867" customFormat="false" ht="15" hidden="false" customHeight="false" outlineLevel="0" collapsed="false">
      <c r="A3867" s="103" t="n">
        <v>46297</v>
      </c>
      <c r="B3867" s="104" t="s">
        <v>32</v>
      </c>
      <c r="C3867" s="104" t="s">
        <v>564</v>
      </c>
      <c r="D3867" s="105" t="n">
        <v>0.0833</v>
      </c>
      <c r="E3867" s="106" t="n">
        <v>120</v>
      </c>
      <c r="F3867" s="107" t="n">
        <f aca="false">IF($C3867="","",$D3867*$E3867)</f>
        <v>9.996</v>
      </c>
      <c r="G3867" s="107" t="n">
        <f aca="false">IF($C3867="","",$D3867*IFERROR(INDEX('تحليل التكلفة والسعر'!$C$2:$C$700,MATCH($C3867,'تحليل التكلفة والسعر'!$B$2:$B$700,0)),0))</f>
        <v>3.132767225</v>
      </c>
      <c r="H3867" s="104" t="s">
        <v>719</v>
      </c>
    </row>
    <row r="3868" customFormat="false" ht="15" hidden="false" customHeight="false" outlineLevel="0" collapsed="false">
      <c r="A3868" s="103" t="n">
        <v>46298</v>
      </c>
      <c r="B3868" s="104" t="s">
        <v>32</v>
      </c>
      <c r="C3868" s="104" t="s">
        <v>564</v>
      </c>
      <c r="D3868" s="105" t="n">
        <v>0.0833</v>
      </c>
      <c r="E3868" s="106" t="n">
        <v>120</v>
      </c>
      <c r="F3868" s="107" t="n">
        <f aca="false">IF($C3868="","",$D3868*$E3868)</f>
        <v>9.996</v>
      </c>
      <c r="G3868" s="107" t="n">
        <f aca="false">IF($C3868="","",$D3868*IFERROR(INDEX('تحليل التكلفة والسعر'!$C$2:$C$700,MATCH($C3868,'تحليل التكلفة والسعر'!$B$2:$B$700,0)),0))</f>
        <v>3.132767225</v>
      </c>
      <c r="H3868" s="104" t="s">
        <v>719</v>
      </c>
    </row>
    <row r="3869" customFormat="false" ht="15" hidden="false" customHeight="false" outlineLevel="0" collapsed="false">
      <c r="A3869" s="103" t="n">
        <v>46299</v>
      </c>
      <c r="B3869" s="104" t="s">
        <v>32</v>
      </c>
      <c r="C3869" s="104" t="s">
        <v>564</v>
      </c>
      <c r="D3869" s="105" t="n">
        <v>0.0833</v>
      </c>
      <c r="E3869" s="106" t="n">
        <v>120</v>
      </c>
      <c r="F3869" s="107" t="n">
        <f aca="false">IF($C3869="","",$D3869*$E3869)</f>
        <v>9.996</v>
      </c>
      <c r="G3869" s="107" t="n">
        <f aca="false">IF($C3869="","",$D3869*IFERROR(INDEX('تحليل التكلفة والسعر'!$C$2:$C$700,MATCH($C3869,'تحليل التكلفة والسعر'!$B$2:$B$700,0)),0))</f>
        <v>3.132767225</v>
      </c>
      <c r="H3869" s="104" t="s">
        <v>719</v>
      </c>
    </row>
    <row r="3870" customFormat="false" ht="15" hidden="false" customHeight="false" outlineLevel="0" collapsed="false">
      <c r="A3870" s="103" t="n">
        <v>46300</v>
      </c>
      <c r="B3870" s="104" t="s">
        <v>32</v>
      </c>
      <c r="C3870" s="104" t="s">
        <v>564</v>
      </c>
      <c r="D3870" s="105" t="n">
        <v>0.0833</v>
      </c>
      <c r="E3870" s="106" t="n">
        <v>120</v>
      </c>
      <c r="F3870" s="107" t="n">
        <f aca="false">IF($C3870="","",$D3870*$E3870)</f>
        <v>9.996</v>
      </c>
      <c r="G3870" s="107" t="n">
        <f aca="false">IF($C3870="","",$D3870*IFERROR(INDEX('تحليل التكلفة والسعر'!$C$2:$C$700,MATCH($C3870,'تحليل التكلفة والسعر'!$B$2:$B$700,0)),0))</f>
        <v>3.132767225</v>
      </c>
      <c r="H3870" s="104" t="s">
        <v>719</v>
      </c>
    </row>
    <row r="3871" customFormat="false" ht="15" hidden="false" customHeight="false" outlineLevel="0" collapsed="false">
      <c r="A3871" s="103" t="n">
        <v>46301</v>
      </c>
      <c r="B3871" s="104" t="s">
        <v>32</v>
      </c>
      <c r="C3871" s="104" t="s">
        <v>564</v>
      </c>
      <c r="D3871" s="105" t="n">
        <v>0.0833</v>
      </c>
      <c r="E3871" s="106" t="n">
        <v>120</v>
      </c>
      <c r="F3871" s="107" t="n">
        <f aca="false">IF($C3871="","",$D3871*$E3871)</f>
        <v>9.996</v>
      </c>
      <c r="G3871" s="107" t="n">
        <f aca="false">IF($C3871="","",$D3871*IFERROR(INDEX('تحليل التكلفة والسعر'!$C$2:$C$700,MATCH($C3871,'تحليل التكلفة والسعر'!$B$2:$B$700,0)),0))</f>
        <v>3.132767225</v>
      </c>
      <c r="H3871" s="104" t="s">
        <v>719</v>
      </c>
    </row>
    <row r="3872" customFormat="false" ht="15" hidden="false" customHeight="false" outlineLevel="0" collapsed="false">
      <c r="A3872" s="103" t="n">
        <v>46302</v>
      </c>
      <c r="B3872" s="104" t="s">
        <v>32</v>
      </c>
      <c r="C3872" s="104" t="s">
        <v>564</v>
      </c>
      <c r="D3872" s="105" t="n">
        <v>0.0833</v>
      </c>
      <c r="E3872" s="106" t="n">
        <v>120</v>
      </c>
      <c r="F3872" s="107" t="n">
        <f aca="false">IF($C3872="","",$D3872*$E3872)</f>
        <v>9.996</v>
      </c>
      <c r="G3872" s="107" t="n">
        <f aca="false">IF($C3872="","",$D3872*IFERROR(INDEX('تحليل التكلفة والسعر'!$C$2:$C$700,MATCH($C3872,'تحليل التكلفة والسعر'!$B$2:$B$700,0)),0))</f>
        <v>3.132767225</v>
      </c>
      <c r="H3872" s="104" t="s">
        <v>719</v>
      </c>
    </row>
    <row r="3873" customFormat="false" ht="15" hidden="false" customHeight="false" outlineLevel="0" collapsed="false">
      <c r="A3873" s="103" t="n">
        <v>46303</v>
      </c>
      <c r="B3873" s="104" t="s">
        <v>32</v>
      </c>
      <c r="C3873" s="104" t="s">
        <v>564</v>
      </c>
      <c r="D3873" s="105" t="n">
        <v>0.0833</v>
      </c>
      <c r="E3873" s="106" t="n">
        <v>120</v>
      </c>
      <c r="F3873" s="107" t="n">
        <f aca="false">IF($C3873="","",$D3873*$E3873)</f>
        <v>9.996</v>
      </c>
      <c r="G3873" s="107" t="n">
        <f aca="false">IF($C3873="","",$D3873*IFERROR(INDEX('تحليل التكلفة والسعر'!$C$2:$C$700,MATCH($C3873,'تحليل التكلفة والسعر'!$B$2:$B$700,0)),0))</f>
        <v>3.132767225</v>
      </c>
      <c r="H3873" s="104" t="s">
        <v>719</v>
      </c>
    </row>
    <row r="3874" customFormat="false" ht="15" hidden="false" customHeight="false" outlineLevel="0" collapsed="false">
      <c r="A3874" s="103" t="n">
        <v>46304</v>
      </c>
      <c r="B3874" s="104" t="s">
        <v>32</v>
      </c>
      <c r="C3874" s="104" t="s">
        <v>564</v>
      </c>
      <c r="D3874" s="105" t="n">
        <v>0.0833</v>
      </c>
      <c r="E3874" s="106" t="n">
        <v>120</v>
      </c>
      <c r="F3874" s="107" t="n">
        <f aca="false">IF($C3874="","",$D3874*$E3874)</f>
        <v>9.996</v>
      </c>
      <c r="G3874" s="107" t="n">
        <f aca="false">IF($C3874="","",$D3874*IFERROR(INDEX('تحليل التكلفة والسعر'!$C$2:$C$700,MATCH($C3874,'تحليل التكلفة والسعر'!$B$2:$B$700,0)),0))</f>
        <v>3.132767225</v>
      </c>
      <c r="H3874" s="104" t="s">
        <v>719</v>
      </c>
    </row>
    <row r="3875" customFormat="false" ht="15" hidden="false" customHeight="false" outlineLevel="0" collapsed="false">
      <c r="A3875" s="103" t="n">
        <v>46305</v>
      </c>
      <c r="B3875" s="104" t="s">
        <v>32</v>
      </c>
      <c r="C3875" s="104" t="s">
        <v>564</v>
      </c>
      <c r="D3875" s="105" t="n">
        <v>0.0833</v>
      </c>
      <c r="E3875" s="106" t="n">
        <v>120</v>
      </c>
      <c r="F3875" s="107" t="n">
        <f aca="false">IF($C3875="","",$D3875*$E3875)</f>
        <v>9.996</v>
      </c>
      <c r="G3875" s="107" t="n">
        <f aca="false">IF($C3875="","",$D3875*IFERROR(INDEX('تحليل التكلفة والسعر'!$C$2:$C$700,MATCH($C3875,'تحليل التكلفة والسعر'!$B$2:$B$700,0)),0))</f>
        <v>3.132767225</v>
      </c>
      <c r="H3875" s="104" t="s">
        <v>719</v>
      </c>
    </row>
    <row r="3876" customFormat="false" ht="15" hidden="false" customHeight="false" outlineLevel="0" collapsed="false">
      <c r="A3876" s="103" t="n">
        <v>46306</v>
      </c>
      <c r="B3876" s="104" t="s">
        <v>32</v>
      </c>
      <c r="C3876" s="104" t="s">
        <v>564</v>
      </c>
      <c r="D3876" s="105" t="n">
        <v>0.0833</v>
      </c>
      <c r="E3876" s="106" t="n">
        <v>120</v>
      </c>
      <c r="F3876" s="107" t="n">
        <f aca="false">IF($C3876="","",$D3876*$E3876)</f>
        <v>9.996</v>
      </c>
      <c r="G3876" s="107" t="n">
        <f aca="false">IF($C3876="","",$D3876*IFERROR(INDEX('تحليل التكلفة والسعر'!$C$2:$C$700,MATCH($C3876,'تحليل التكلفة والسعر'!$B$2:$B$700,0)),0))</f>
        <v>3.132767225</v>
      </c>
      <c r="H3876" s="104" t="s">
        <v>719</v>
      </c>
    </row>
    <row r="3877" customFormat="false" ht="15" hidden="false" customHeight="false" outlineLevel="0" collapsed="false">
      <c r="A3877" s="103" t="n">
        <v>46307</v>
      </c>
      <c r="B3877" s="104" t="s">
        <v>32</v>
      </c>
      <c r="C3877" s="104" t="s">
        <v>564</v>
      </c>
      <c r="D3877" s="105" t="n">
        <v>0.0833</v>
      </c>
      <c r="E3877" s="106" t="n">
        <v>120</v>
      </c>
      <c r="F3877" s="107" t="n">
        <f aca="false">IF($C3877="","",$D3877*$E3877)</f>
        <v>9.996</v>
      </c>
      <c r="G3877" s="107" t="n">
        <f aca="false">IF($C3877="","",$D3877*IFERROR(INDEX('تحليل التكلفة والسعر'!$C$2:$C$700,MATCH($C3877,'تحليل التكلفة والسعر'!$B$2:$B$700,0)),0))</f>
        <v>3.132767225</v>
      </c>
      <c r="H3877" s="104" t="s">
        <v>719</v>
      </c>
    </row>
    <row r="3878" customFormat="false" ht="15" hidden="false" customHeight="false" outlineLevel="0" collapsed="false">
      <c r="A3878" s="103" t="n">
        <v>46296</v>
      </c>
      <c r="B3878" s="104" t="s">
        <v>33</v>
      </c>
      <c r="C3878" s="104" t="s">
        <v>767</v>
      </c>
      <c r="D3878" s="105" t="n">
        <v>13.9167</v>
      </c>
      <c r="E3878" s="106" t="n">
        <v>270.479</v>
      </c>
      <c r="F3878" s="107" t="n">
        <f aca="false">IF($C3878="","",$D3878*$E3878)</f>
        <v>3764.1750993</v>
      </c>
      <c r="G3878" s="107" t="n">
        <f aca="false">IF($C3878="","",$D3878*IFERROR(INDEX('تحليل التكلفة والسعر'!$C$2:$C$700,MATCH($C3878,'تحليل التكلفة والسعر'!$B$2:$B$700,0)),0))</f>
        <v>0</v>
      </c>
      <c r="H3878" s="104" t="s">
        <v>768</v>
      </c>
    </row>
    <row r="3879" customFormat="false" ht="15" hidden="false" customHeight="false" outlineLevel="0" collapsed="false">
      <c r="A3879" s="103" t="n">
        <v>46297</v>
      </c>
      <c r="B3879" s="104" t="s">
        <v>33</v>
      </c>
      <c r="C3879" s="104" t="s">
        <v>767</v>
      </c>
      <c r="D3879" s="105" t="n">
        <v>13.9167</v>
      </c>
      <c r="E3879" s="106" t="n">
        <v>270.479</v>
      </c>
      <c r="F3879" s="107" t="n">
        <f aca="false">IF($C3879="","",$D3879*$E3879)</f>
        <v>3764.1750993</v>
      </c>
      <c r="G3879" s="107" t="n">
        <f aca="false">IF($C3879="","",$D3879*IFERROR(INDEX('تحليل التكلفة والسعر'!$C$2:$C$700,MATCH($C3879,'تحليل التكلفة والسعر'!$B$2:$B$700,0)),0))</f>
        <v>0</v>
      </c>
      <c r="H3879" s="104" t="s">
        <v>768</v>
      </c>
    </row>
    <row r="3880" customFormat="false" ht="15" hidden="false" customHeight="false" outlineLevel="0" collapsed="false">
      <c r="A3880" s="103" t="n">
        <v>46298</v>
      </c>
      <c r="B3880" s="104" t="s">
        <v>33</v>
      </c>
      <c r="C3880" s="104" t="s">
        <v>767</v>
      </c>
      <c r="D3880" s="105" t="n">
        <v>13.9167</v>
      </c>
      <c r="E3880" s="106" t="n">
        <v>270.479</v>
      </c>
      <c r="F3880" s="107" t="n">
        <f aca="false">IF($C3880="","",$D3880*$E3880)</f>
        <v>3764.1750993</v>
      </c>
      <c r="G3880" s="107" t="n">
        <f aca="false">IF($C3880="","",$D3880*IFERROR(INDEX('تحليل التكلفة والسعر'!$C$2:$C$700,MATCH($C3880,'تحليل التكلفة والسعر'!$B$2:$B$700,0)),0))</f>
        <v>0</v>
      </c>
      <c r="H3880" s="104" t="s">
        <v>768</v>
      </c>
    </row>
    <row r="3881" customFormat="false" ht="15" hidden="false" customHeight="false" outlineLevel="0" collapsed="false">
      <c r="A3881" s="103" t="n">
        <v>46299</v>
      </c>
      <c r="B3881" s="104" t="s">
        <v>33</v>
      </c>
      <c r="C3881" s="104" t="s">
        <v>767</v>
      </c>
      <c r="D3881" s="105" t="n">
        <v>13.9167</v>
      </c>
      <c r="E3881" s="106" t="n">
        <v>270.479</v>
      </c>
      <c r="F3881" s="107" t="n">
        <f aca="false">IF($C3881="","",$D3881*$E3881)</f>
        <v>3764.1750993</v>
      </c>
      <c r="G3881" s="107" t="n">
        <f aca="false">IF($C3881="","",$D3881*IFERROR(INDEX('تحليل التكلفة والسعر'!$C$2:$C$700,MATCH($C3881,'تحليل التكلفة والسعر'!$B$2:$B$700,0)),0))</f>
        <v>0</v>
      </c>
      <c r="H3881" s="104" t="s">
        <v>768</v>
      </c>
    </row>
    <row r="3882" customFormat="false" ht="15" hidden="false" customHeight="false" outlineLevel="0" collapsed="false">
      <c r="A3882" s="103" t="n">
        <v>46300</v>
      </c>
      <c r="B3882" s="104" t="s">
        <v>33</v>
      </c>
      <c r="C3882" s="104" t="s">
        <v>767</v>
      </c>
      <c r="D3882" s="105" t="n">
        <v>13.9167</v>
      </c>
      <c r="E3882" s="106" t="n">
        <v>270.479</v>
      </c>
      <c r="F3882" s="107" t="n">
        <f aca="false">IF($C3882="","",$D3882*$E3882)</f>
        <v>3764.1750993</v>
      </c>
      <c r="G3882" s="107" t="n">
        <f aca="false">IF($C3882="","",$D3882*IFERROR(INDEX('تحليل التكلفة والسعر'!$C$2:$C$700,MATCH($C3882,'تحليل التكلفة والسعر'!$B$2:$B$700,0)),0))</f>
        <v>0</v>
      </c>
      <c r="H3882" s="104" t="s">
        <v>768</v>
      </c>
    </row>
    <row r="3883" customFormat="false" ht="15" hidden="false" customHeight="false" outlineLevel="0" collapsed="false">
      <c r="A3883" s="103" t="n">
        <v>46301</v>
      </c>
      <c r="B3883" s="104" t="s">
        <v>33</v>
      </c>
      <c r="C3883" s="104" t="s">
        <v>767</v>
      </c>
      <c r="D3883" s="105" t="n">
        <v>13.9167</v>
      </c>
      <c r="E3883" s="106" t="n">
        <v>270.479</v>
      </c>
      <c r="F3883" s="107" t="n">
        <f aca="false">IF($C3883="","",$D3883*$E3883)</f>
        <v>3764.1750993</v>
      </c>
      <c r="G3883" s="107" t="n">
        <f aca="false">IF($C3883="","",$D3883*IFERROR(INDEX('تحليل التكلفة والسعر'!$C$2:$C$700,MATCH($C3883,'تحليل التكلفة والسعر'!$B$2:$B$700,0)),0))</f>
        <v>0</v>
      </c>
      <c r="H3883" s="104" t="s">
        <v>768</v>
      </c>
    </row>
    <row r="3884" customFormat="false" ht="15" hidden="false" customHeight="false" outlineLevel="0" collapsed="false">
      <c r="A3884" s="103" t="n">
        <v>46302</v>
      </c>
      <c r="B3884" s="104" t="s">
        <v>33</v>
      </c>
      <c r="C3884" s="104" t="s">
        <v>767</v>
      </c>
      <c r="D3884" s="105" t="n">
        <v>13.9167</v>
      </c>
      <c r="E3884" s="106" t="n">
        <v>270.479</v>
      </c>
      <c r="F3884" s="107" t="n">
        <f aca="false">IF($C3884="","",$D3884*$E3884)</f>
        <v>3764.1750993</v>
      </c>
      <c r="G3884" s="107" t="n">
        <f aca="false">IF($C3884="","",$D3884*IFERROR(INDEX('تحليل التكلفة والسعر'!$C$2:$C$700,MATCH($C3884,'تحليل التكلفة والسعر'!$B$2:$B$700,0)),0))</f>
        <v>0</v>
      </c>
      <c r="H3884" s="104" t="s">
        <v>768</v>
      </c>
    </row>
    <row r="3885" customFormat="false" ht="15" hidden="false" customHeight="false" outlineLevel="0" collapsed="false">
      <c r="A3885" s="103" t="n">
        <v>46303</v>
      </c>
      <c r="B3885" s="104" t="s">
        <v>33</v>
      </c>
      <c r="C3885" s="104" t="s">
        <v>767</v>
      </c>
      <c r="D3885" s="105" t="n">
        <v>13.9167</v>
      </c>
      <c r="E3885" s="106" t="n">
        <v>270.479</v>
      </c>
      <c r="F3885" s="107" t="n">
        <f aca="false">IF($C3885="","",$D3885*$E3885)</f>
        <v>3764.1750993</v>
      </c>
      <c r="G3885" s="107" t="n">
        <f aca="false">IF($C3885="","",$D3885*IFERROR(INDEX('تحليل التكلفة والسعر'!$C$2:$C$700,MATCH($C3885,'تحليل التكلفة والسعر'!$B$2:$B$700,0)),0))</f>
        <v>0</v>
      </c>
      <c r="H3885" s="104" t="s">
        <v>768</v>
      </c>
    </row>
    <row r="3886" customFormat="false" ht="15" hidden="false" customHeight="false" outlineLevel="0" collapsed="false">
      <c r="A3886" s="103" t="n">
        <v>46304</v>
      </c>
      <c r="B3886" s="104" t="s">
        <v>33</v>
      </c>
      <c r="C3886" s="104" t="s">
        <v>767</v>
      </c>
      <c r="D3886" s="105" t="n">
        <v>13.9167</v>
      </c>
      <c r="E3886" s="106" t="n">
        <v>270.479</v>
      </c>
      <c r="F3886" s="107" t="n">
        <f aca="false">IF($C3886="","",$D3886*$E3886)</f>
        <v>3764.1750993</v>
      </c>
      <c r="G3886" s="107" t="n">
        <f aca="false">IF($C3886="","",$D3886*IFERROR(INDEX('تحليل التكلفة والسعر'!$C$2:$C$700,MATCH($C3886,'تحليل التكلفة والسعر'!$B$2:$B$700,0)),0))</f>
        <v>0</v>
      </c>
      <c r="H3886" s="104" t="s">
        <v>768</v>
      </c>
    </row>
    <row r="3887" customFormat="false" ht="15" hidden="false" customHeight="false" outlineLevel="0" collapsed="false">
      <c r="A3887" s="103" t="n">
        <v>46305</v>
      </c>
      <c r="B3887" s="104" t="s">
        <v>33</v>
      </c>
      <c r="C3887" s="104" t="s">
        <v>767</v>
      </c>
      <c r="D3887" s="105" t="n">
        <v>13.9167</v>
      </c>
      <c r="E3887" s="106" t="n">
        <v>270.479</v>
      </c>
      <c r="F3887" s="107" t="n">
        <f aca="false">IF($C3887="","",$D3887*$E3887)</f>
        <v>3764.1750993</v>
      </c>
      <c r="G3887" s="107" t="n">
        <f aca="false">IF($C3887="","",$D3887*IFERROR(INDEX('تحليل التكلفة والسعر'!$C$2:$C$700,MATCH($C3887,'تحليل التكلفة والسعر'!$B$2:$B$700,0)),0))</f>
        <v>0</v>
      </c>
      <c r="H3887" s="104" t="s">
        <v>768</v>
      </c>
    </row>
    <row r="3888" customFormat="false" ht="15" hidden="false" customHeight="false" outlineLevel="0" collapsed="false">
      <c r="A3888" s="103" t="n">
        <v>46306</v>
      </c>
      <c r="B3888" s="104" t="s">
        <v>33</v>
      </c>
      <c r="C3888" s="104" t="s">
        <v>767</v>
      </c>
      <c r="D3888" s="105" t="n">
        <v>13.9167</v>
      </c>
      <c r="E3888" s="106" t="n">
        <v>270.479</v>
      </c>
      <c r="F3888" s="107" t="n">
        <f aca="false">IF($C3888="","",$D3888*$E3888)</f>
        <v>3764.1750993</v>
      </c>
      <c r="G3888" s="107" t="n">
        <f aca="false">IF($C3888="","",$D3888*IFERROR(INDEX('تحليل التكلفة والسعر'!$C$2:$C$700,MATCH($C3888,'تحليل التكلفة والسعر'!$B$2:$B$700,0)),0))</f>
        <v>0</v>
      </c>
      <c r="H3888" s="104" t="s">
        <v>768</v>
      </c>
    </row>
    <row r="3889" customFormat="false" ht="15" hidden="false" customHeight="false" outlineLevel="0" collapsed="false">
      <c r="A3889" s="103" t="n">
        <v>46307</v>
      </c>
      <c r="B3889" s="104" t="s">
        <v>33</v>
      </c>
      <c r="C3889" s="104" t="s">
        <v>767</v>
      </c>
      <c r="D3889" s="105" t="n">
        <v>13.9167</v>
      </c>
      <c r="E3889" s="106" t="n">
        <v>270.479</v>
      </c>
      <c r="F3889" s="107" t="n">
        <f aca="false">IF($C3889="","",$D3889*$E3889)</f>
        <v>3764.1750993</v>
      </c>
      <c r="G3889" s="107" t="n">
        <f aca="false">IF($C3889="","",$D3889*IFERROR(INDEX('تحليل التكلفة والسعر'!$C$2:$C$700,MATCH($C3889,'تحليل التكلفة والسعر'!$B$2:$B$700,0)),0))</f>
        <v>0</v>
      </c>
      <c r="H3889" s="104" t="s">
        <v>768</v>
      </c>
    </row>
    <row r="3890" customFormat="false" ht="15" hidden="false" customHeight="false" outlineLevel="0" collapsed="false">
      <c r="A3890" s="103" t="n">
        <v>46296</v>
      </c>
      <c r="B3890" s="104" t="s">
        <v>33</v>
      </c>
      <c r="C3890" s="104" t="s">
        <v>769</v>
      </c>
      <c r="D3890" s="105" t="n">
        <v>7.5</v>
      </c>
      <c r="E3890" s="106" t="n">
        <v>250</v>
      </c>
      <c r="F3890" s="107" t="n">
        <f aca="false">IF($C3890="","",$D3890*$E3890)</f>
        <v>1875</v>
      </c>
      <c r="G3890" s="107" t="n">
        <f aca="false">IF($C3890="","",$D3890*IFERROR(INDEX('تحليل التكلفة والسعر'!$C$2:$C$700,MATCH($C3890,'تحليل التكلفة والسعر'!$B$2:$B$700,0)),0))</f>
        <v>0</v>
      </c>
      <c r="H3890" s="104" t="s">
        <v>768</v>
      </c>
    </row>
    <row r="3891" customFormat="false" ht="15" hidden="false" customHeight="false" outlineLevel="0" collapsed="false">
      <c r="A3891" s="103" t="n">
        <v>46297</v>
      </c>
      <c r="B3891" s="104" t="s">
        <v>33</v>
      </c>
      <c r="C3891" s="104" t="s">
        <v>769</v>
      </c>
      <c r="D3891" s="105" t="n">
        <v>7.5</v>
      </c>
      <c r="E3891" s="106" t="n">
        <v>250</v>
      </c>
      <c r="F3891" s="107" t="n">
        <f aca="false">IF($C3891="","",$D3891*$E3891)</f>
        <v>1875</v>
      </c>
      <c r="G3891" s="107" t="n">
        <f aca="false">IF($C3891="","",$D3891*IFERROR(INDEX('تحليل التكلفة والسعر'!$C$2:$C$700,MATCH($C3891,'تحليل التكلفة والسعر'!$B$2:$B$700,0)),0))</f>
        <v>0</v>
      </c>
      <c r="H3891" s="104" t="s">
        <v>768</v>
      </c>
    </row>
    <row r="3892" customFormat="false" ht="15" hidden="false" customHeight="false" outlineLevel="0" collapsed="false">
      <c r="A3892" s="103" t="n">
        <v>46298</v>
      </c>
      <c r="B3892" s="104" t="s">
        <v>33</v>
      </c>
      <c r="C3892" s="104" t="s">
        <v>769</v>
      </c>
      <c r="D3892" s="105" t="n">
        <v>7.5</v>
      </c>
      <c r="E3892" s="106" t="n">
        <v>250</v>
      </c>
      <c r="F3892" s="107" t="n">
        <f aca="false">IF($C3892="","",$D3892*$E3892)</f>
        <v>1875</v>
      </c>
      <c r="G3892" s="107" t="n">
        <f aca="false">IF($C3892="","",$D3892*IFERROR(INDEX('تحليل التكلفة والسعر'!$C$2:$C$700,MATCH($C3892,'تحليل التكلفة والسعر'!$B$2:$B$700,0)),0))</f>
        <v>0</v>
      </c>
      <c r="H3892" s="104" t="s">
        <v>768</v>
      </c>
    </row>
    <row r="3893" customFormat="false" ht="15" hidden="false" customHeight="false" outlineLevel="0" collapsed="false">
      <c r="A3893" s="103" t="n">
        <v>46299</v>
      </c>
      <c r="B3893" s="104" t="s">
        <v>33</v>
      </c>
      <c r="C3893" s="104" t="s">
        <v>769</v>
      </c>
      <c r="D3893" s="105" t="n">
        <v>7.5</v>
      </c>
      <c r="E3893" s="106" t="n">
        <v>250</v>
      </c>
      <c r="F3893" s="107" t="n">
        <f aca="false">IF($C3893="","",$D3893*$E3893)</f>
        <v>1875</v>
      </c>
      <c r="G3893" s="107" t="n">
        <f aca="false">IF($C3893="","",$D3893*IFERROR(INDEX('تحليل التكلفة والسعر'!$C$2:$C$700,MATCH($C3893,'تحليل التكلفة والسعر'!$B$2:$B$700,0)),0))</f>
        <v>0</v>
      </c>
      <c r="H3893" s="104" t="s">
        <v>768</v>
      </c>
    </row>
    <row r="3894" customFormat="false" ht="15" hidden="false" customHeight="false" outlineLevel="0" collapsed="false">
      <c r="A3894" s="103" t="n">
        <v>46300</v>
      </c>
      <c r="B3894" s="104" t="s">
        <v>33</v>
      </c>
      <c r="C3894" s="104" t="s">
        <v>769</v>
      </c>
      <c r="D3894" s="105" t="n">
        <v>7.5</v>
      </c>
      <c r="E3894" s="106" t="n">
        <v>250</v>
      </c>
      <c r="F3894" s="107" t="n">
        <f aca="false">IF($C3894="","",$D3894*$E3894)</f>
        <v>1875</v>
      </c>
      <c r="G3894" s="107" t="n">
        <f aca="false">IF($C3894="","",$D3894*IFERROR(INDEX('تحليل التكلفة والسعر'!$C$2:$C$700,MATCH($C3894,'تحليل التكلفة والسعر'!$B$2:$B$700,0)),0))</f>
        <v>0</v>
      </c>
      <c r="H3894" s="104" t="s">
        <v>768</v>
      </c>
    </row>
    <row r="3895" customFormat="false" ht="15" hidden="false" customHeight="false" outlineLevel="0" collapsed="false">
      <c r="A3895" s="103" t="n">
        <v>46301</v>
      </c>
      <c r="B3895" s="104" t="s">
        <v>33</v>
      </c>
      <c r="C3895" s="104" t="s">
        <v>769</v>
      </c>
      <c r="D3895" s="105" t="n">
        <v>7.5</v>
      </c>
      <c r="E3895" s="106" t="n">
        <v>250</v>
      </c>
      <c r="F3895" s="107" t="n">
        <f aca="false">IF($C3895="","",$D3895*$E3895)</f>
        <v>1875</v>
      </c>
      <c r="G3895" s="107" t="n">
        <f aca="false">IF($C3895="","",$D3895*IFERROR(INDEX('تحليل التكلفة والسعر'!$C$2:$C$700,MATCH($C3895,'تحليل التكلفة والسعر'!$B$2:$B$700,0)),0))</f>
        <v>0</v>
      </c>
      <c r="H3895" s="104" t="s">
        <v>768</v>
      </c>
    </row>
    <row r="3896" customFormat="false" ht="15" hidden="false" customHeight="false" outlineLevel="0" collapsed="false">
      <c r="A3896" s="103" t="n">
        <v>46302</v>
      </c>
      <c r="B3896" s="104" t="s">
        <v>33</v>
      </c>
      <c r="C3896" s="104" t="s">
        <v>769</v>
      </c>
      <c r="D3896" s="105" t="n">
        <v>7.5</v>
      </c>
      <c r="E3896" s="106" t="n">
        <v>250</v>
      </c>
      <c r="F3896" s="107" t="n">
        <f aca="false">IF($C3896="","",$D3896*$E3896)</f>
        <v>1875</v>
      </c>
      <c r="G3896" s="107" t="n">
        <f aca="false">IF($C3896="","",$D3896*IFERROR(INDEX('تحليل التكلفة والسعر'!$C$2:$C$700,MATCH($C3896,'تحليل التكلفة والسعر'!$B$2:$B$700,0)),0))</f>
        <v>0</v>
      </c>
      <c r="H3896" s="104" t="s">
        <v>768</v>
      </c>
    </row>
    <row r="3897" customFormat="false" ht="15" hidden="false" customHeight="false" outlineLevel="0" collapsed="false">
      <c r="A3897" s="103" t="n">
        <v>46303</v>
      </c>
      <c r="B3897" s="104" t="s">
        <v>33</v>
      </c>
      <c r="C3897" s="104" t="s">
        <v>769</v>
      </c>
      <c r="D3897" s="105" t="n">
        <v>7.5</v>
      </c>
      <c r="E3897" s="106" t="n">
        <v>250</v>
      </c>
      <c r="F3897" s="107" t="n">
        <f aca="false">IF($C3897="","",$D3897*$E3897)</f>
        <v>1875</v>
      </c>
      <c r="G3897" s="107" t="n">
        <f aca="false">IF($C3897="","",$D3897*IFERROR(INDEX('تحليل التكلفة والسعر'!$C$2:$C$700,MATCH($C3897,'تحليل التكلفة والسعر'!$B$2:$B$700,0)),0))</f>
        <v>0</v>
      </c>
      <c r="H3897" s="104" t="s">
        <v>768</v>
      </c>
    </row>
    <row r="3898" customFormat="false" ht="15" hidden="false" customHeight="false" outlineLevel="0" collapsed="false">
      <c r="A3898" s="103" t="n">
        <v>46304</v>
      </c>
      <c r="B3898" s="104" t="s">
        <v>33</v>
      </c>
      <c r="C3898" s="104" t="s">
        <v>769</v>
      </c>
      <c r="D3898" s="105" t="n">
        <v>7.5</v>
      </c>
      <c r="E3898" s="106" t="n">
        <v>250</v>
      </c>
      <c r="F3898" s="107" t="n">
        <f aca="false">IF($C3898="","",$D3898*$E3898)</f>
        <v>1875</v>
      </c>
      <c r="G3898" s="107" t="n">
        <f aca="false">IF($C3898="","",$D3898*IFERROR(INDEX('تحليل التكلفة والسعر'!$C$2:$C$700,MATCH($C3898,'تحليل التكلفة والسعر'!$B$2:$B$700,0)),0))</f>
        <v>0</v>
      </c>
      <c r="H3898" s="104" t="s">
        <v>768</v>
      </c>
    </row>
    <row r="3899" customFormat="false" ht="15" hidden="false" customHeight="false" outlineLevel="0" collapsed="false">
      <c r="A3899" s="103" t="n">
        <v>46305</v>
      </c>
      <c r="B3899" s="104" t="s">
        <v>33</v>
      </c>
      <c r="C3899" s="104" t="s">
        <v>769</v>
      </c>
      <c r="D3899" s="105" t="n">
        <v>7.5</v>
      </c>
      <c r="E3899" s="106" t="n">
        <v>250</v>
      </c>
      <c r="F3899" s="107" t="n">
        <f aca="false">IF($C3899="","",$D3899*$E3899)</f>
        <v>1875</v>
      </c>
      <c r="G3899" s="107" t="n">
        <f aca="false">IF($C3899="","",$D3899*IFERROR(INDEX('تحليل التكلفة والسعر'!$C$2:$C$700,MATCH($C3899,'تحليل التكلفة والسعر'!$B$2:$B$700,0)),0))</f>
        <v>0</v>
      </c>
      <c r="H3899" s="104" t="s">
        <v>768</v>
      </c>
    </row>
    <row r="3900" customFormat="false" ht="15" hidden="false" customHeight="false" outlineLevel="0" collapsed="false">
      <c r="A3900" s="103" t="n">
        <v>46306</v>
      </c>
      <c r="B3900" s="104" t="s">
        <v>33</v>
      </c>
      <c r="C3900" s="104" t="s">
        <v>769</v>
      </c>
      <c r="D3900" s="105" t="n">
        <v>7.5</v>
      </c>
      <c r="E3900" s="106" t="n">
        <v>250</v>
      </c>
      <c r="F3900" s="107" t="n">
        <f aca="false">IF($C3900="","",$D3900*$E3900)</f>
        <v>1875</v>
      </c>
      <c r="G3900" s="107" t="n">
        <f aca="false">IF($C3900="","",$D3900*IFERROR(INDEX('تحليل التكلفة والسعر'!$C$2:$C$700,MATCH($C3900,'تحليل التكلفة والسعر'!$B$2:$B$700,0)),0))</f>
        <v>0</v>
      </c>
      <c r="H3900" s="104" t="s">
        <v>768</v>
      </c>
    </row>
    <row r="3901" customFormat="false" ht="15" hidden="false" customHeight="false" outlineLevel="0" collapsed="false">
      <c r="A3901" s="103" t="n">
        <v>46307</v>
      </c>
      <c r="B3901" s="104" t="s">
        <v>33</v>
      </c>
      <c r="C3901" s="104" t="s">
        <v>769</v>
      </c>
      <c r="D3901" s="105" t="n">
        <v>7.5</v>
      </c>
      <c r="E3901" s="106" t="n">
        <v>250</v>
      </c>
      <c r="F3901" s="107" t="n">
        <f aca="false">IF($C3901="","",$D3901*$E3901)</f>
        <v>1875</v>
      </c>
      <c r="G3901" s="107" t="n">
        <f aca="false">IF($C3901="","",$D3901*IFERROR(INDEX('تحليل التكلفة والسعر'!$C$2:$C$700,MATCH($C3901,'تحليل التكلفة والسعر'!$B$2:$B$700,0)),0))</f>
        <v>0</v>
      </c>
      <c r="H3901" s="104" t="s">
        <v>768</v>
      </c>
    </row>
    <row r="3902" customFormat="false" ht="15" hidden="false" customHeight="false" outlineLevel="0" collapsed="false">
      <c r="A3902" s="103" t="n">
        <v>46296</v>
      </c>
      <c r="B3902" s="104" t="s">
        <v>33</v>
      </c>
      <c r="C3902" s="104" t="s">
        <v>770</v>
      </c>
      <c r="D3902" s="105" t="n">
        <v>4</v>
      </c>
      <c r="E3902" s="106" t="n">
        <v>172.0833</v>
      </c>
      <c r="F3902" s="107" t="n">
        <f aca="false">IF($C3902="","",$D3902*$E3902)</f>
        <v>688.3332</v>
      </c>
      <c r="G3902" s="107" t="n">
        <f aca="false">IF($C3902="","",$D3902*IFERROR(INDEX('تحليل التكلفة والسعر'!$C$2:$C$700,MATCH($C3902,'تحليل التكلفة والسعر'!$B$2:$B$700,0)),0))</f>
        <v>0</v>
      </c>
      <c r="H3902" s="104" t="s">
        <v>768</v>
      </c>
    </row>
    <row r="3903" customFormat="false" ht="15" hidden="false" customHeight="false" outlineLevel="0" collapsed="false">
      <c r="A3903" s="103" t="n">
        <v>46297</v>
      </c>
      <c r="B3903" s="104" t="s">
        <v>33</v>
      </c>
      <c r="C3903" s="104" t="s">
        <v>770</v>
      </c>
      <c r="D3903" s="105" t="n">
        <v>4</v>
      </c>
      <c r="E3903" s="106" t="n">
        <v>172.0833</v>
      </c>
      <c r="F3903" s="107" t="n">
        <f aca="false">IF($C3903="","",$D3903*$E3903)</f>
        <v>688.3332</v>
      </c>
      <c r="G3903" s="107" t="n">
        <f aca="false">IF($C3903="","",$D3903*IFERROR(INDEX('تحليل التكلفة والسعر'!$C$2:$C$700,MATCH($C3903,'تحليل التكلفة والسعر'!$B$2:$B$700,0)),0))</f>
        <v>0</v>
      </c>
      <c r="H3903" s="104" t="s">
        <v>768</v>
      </c>
    </row>
    <row r="3904" customFormat="false" ht="15" hidden="false" customHeight="false" outlineLevel="0" collapsed="false">
      <c r="A3904" s="103" t="n">
        <v>46298</v>
      </c>
      <c r="B3904" s="104" t="s">
        <v>33</v>
      </c>
      <c r="C3904" s="104" t="s">
        <v>770</v>
      </c>
      <c r="D3904" s="105" t="n">
        <v>4</v>
      </c>
      <c r="E3904" s="106" t="n">
        <v>172.0833</v>
      </c>
      <c r="F3904" s="107" t="n">
        <f aca="false">IF($C3904="","",$D3904*$E3904)</f>
        <v>688.3332</v>
      </c>
      <c r="G3904" s="107" t="n">
        <f aca="false">IF($C3904="","",$D3904*IFERROR(INDEX('تحليل التكلفة والسعر'!$C$2:$C$700,MATCH($C3904,'تحليل التكلفة والسعر'!$B$2:$B$700,0)),0))</f>
        <v>0</v>
      </c>
      <c r="H3904" s="104" t="s">
        <v>768</v>
      </c>
    </row>
    <row r="3905" customFormat="false" ht="15" hidden="false" customHeight="false" outlineLevel="0" collapsed="false">
      <c r="A3905" s="103" t="n">
        <v>46299</v>
      </c>
      <c r="B3905" s="104" t="s">
        <v>33</v>
      </c>
      <c r="C3905" s="104" t="s">
        <v>770</v>
      </c>
      <c r="D3905" s="105" t="n">
        <v>4</v>
      </c>
      <c r="E3905" s="106" t="n">
        <v>172.0833</v>
      </c>
      <c r="F3905" s="107" t="n">
        <f aca="false">IF($C3905="","",$D3905*$E3905)</f>
        <v>688.3332</v>
      </c>
      <c r="G3905" s="107" t="n">
        <f aca="false">IF($C3905="","",$D3905*IFERROR(INDEX('تحليل التكلفة والسعر'!$C$2:$C$700,MATCH($C3905,'تحليل التكلفة والسعر'!$B$2:$B$700,0)),0))</f>
        <v>0</v>
      </c>
      <c r="H3905" s="104" t="s">
        <v>768</v>
      </c>
    </row>
    <row r="3906" customFormat="false" ht="15" hidden="false" customHeight="false" outlineLevel="0" collapsed="false">
      <c r="A3906" s="103" t="n">
        <v>46300</v>
      </c>
      <c r="B3906" s="104" t="s">
        <v>33</v>
      </c>
      <c r="C3906" s="104" t="s">
        <v>770</v>
      </c>
      <c r="D3906" s="105" t="n">
        <v>4</v>
      </c>
      <c r="E3906" s="106" t="n">
        <v>172.0833</v>
      </c>
      <c r="F3906" s="107" t="n">
        <f aca="false">IF($C3906="","",$D3906*$E3906)</f>
        <v>688.3332</v>
      </c>
      <c r="G3906" s="107" t="n">
        <f aca="false">IF($C3906="","",$D3906*IFERROR(INDEX('تحليل التكلفة والسعر'!$C$2:$C$700,MATCH($C3906,'تحليل التكلفة والسعر'!$B$2:$B$700,0)),0))</f>
        <v>0</v>
      </c>
      <c r="H3906" s="104" t="s">
        <v>768</v>
      </c>
    </row>
    <row r="3907" customFormat="false" ht="15" hidden="false" customHeight="false" outlineLevel="0" collapsed="false">
      <c r="A3907" s="103" t="n">
        <v>46301</v>
      </c>
      <c r="B3907" s="104" t="s">
        <v>33</v>
      </c>
      <c r="C3907" s="104" t="s">
        <v>770</v>
      </c>
      <c r="D3907" s="105" t="n">
        <v>4</v>
      </c>
      <c r="E3907" s="106" t="n">
        <v>172.0833</v>
      </c>
      <c r="F3907" s="107" t="n">
        <f aca="false">IF($C3907="","",$D3907*$E3907)</f>
        <v>688.3332</v>
      </c>
      <c r="G3907" s="107" t="n">
        <f aca="false">IF($C3907="","",$D3907*IFERROR(INDEX('تحليل التكلفة والسعر'!$C$2:$C$700,MATCH($C3907,'تحليل التكلفة والسعر'!$B$2:$B$700,0)),0))</f>
        <v>0</v>
      </c>
      <c r="H3907" s="104" t="s">
        <v>768</v>
      </c>
    </row>
    <row r="3908" customFormat="false" ht="15" hidden="false" customHeight="false" outlineLevel="0" collapsed="false">
      <c r="A3908" s="103" t="n">
        <v>46302</v>
      </c>
      <c r="B3908" s="104" t="s">
        <v>33</v>
      </c>
      <c r="C3908" s="104" t="s">
        <v>770</v>
      </c>
      <c r="D3908" s="105" t="n">
        <v>4</v>
      </c>
      <c r="E3908" s="106" t="n">
        <v>172.0833</v>
      </c>
      <c r="F3908" s="107" t="n">
        <f aca="false">IF($C3908="","",$D3908*$E3908)</f>
        <v>688.3332</v>
      </c>
      <c r="G3908" s="107" t="n">
        <f aca="false">IF($C3908="","",$D3908*IFERROR(INDEX('تحليل التكلفة والسعر'!$C$2:$C$700,MATCH($C3908,'تحليل التكلفة والسعر'!$B$2:$B$700,0)),0))</f>
        <v>0</v>
      </c>
      <c r="H3908" s="104" t="s">
        <v>768</v>
      </c>
    </row>
    <row r="3909" customFormat="false" ht="15" hidden="false" customHeight="false" outlineLevel="0" collapsed="false">
      <c r="A3909" s="103" t="n">
        <v>46303</v>
      </c>
      <c r="B3909" s="104" t="s">
        <v>33</v>
      </c>
      <c r="C3909" s="104" t="s">
        <v>770</v>
      </c>
      <c r="D3909" s="105" t="n">
        <v>4</v>
      </c>
      <c r="E3909" s="106" t="n">
        <v>172.0833</v>
      </c>
      <c r="F3909" s="107" t="n">
        <f aca="false">IF($C3909="","",$D3909*$E3909)</f>
        <v>688.3332</v>
      </c>
      <c r="G3909" s="107" t="n">
        <f aca="false">IF($C3909="","",$D3909*IFERROR(INDEX('تحليل التكلفة والسعر'!$C$2:$C$700,MATCH($C3909,'تحليل التكلفة والسعر'!$B$2:$B$700,0)),0))</f>
        <v>0</v>
      </c>
      <c r="H3909" s="104" t="s">
        <v>768</v>
      </c>
    </row>
    <row r="3910" customFormat="false" ht="15" hidden="false" customHeight="false" outlineLevel="0" collapsed="false">
      <c r="A3910" s="103" t="n">
        <v>46304</v>
      </c>
      <c r="B3910" s="104" t="s">
        <v>33</v>
      </c>
      <c r="C3910" s="104" t="s">
        <v>770</v>
      </c>
      <c r="D3910" s="105" t="n">
        <v>4</v>
      </c>
      <c r="E3910" s="106" t="n">
        <v>172.0833</v>
      </c>
      <c r="F3910" s="107" t="n">
        <f aca="false">IF($C3910="","",$D3910*$E3910)</f>
        <v>688.3332</v>
      </c>
      <c r="G3910" s="107" t="n">
        <f aca="false">IF($C3910="","",$D3910*IFERROR(INDEX('تحليل التكلفة والسعر'!$C$2:$C$700,MATCH($C3910,'تحليل التكلفة والسعر'!$B$2:$B$700,0)),0))</f>
        <v>0</v>
      </c>
      <c r="H3910" s="104" t="s">
        <v>768</v>
      </c>
    </row>
    <row r="3911" customFormat="false" ht="15" hidden="false" customHeight="false" outlineLevel="0" collapsed="false">
      <c r="A3911" s="103" t="n">
        <v>46305</v>
      </c>
      <c r="B3911" s="104" t="s">
        <v>33</v>
      </c>
      <c r="C3911" s="104" t="s">
        <v>770</v>
      </c>
      <c r="D3911" s="105" t="n">
        <v>4</v>
      </c>
      <c r="E3911" s="106" t="n">
        <v>172.0833</v>
      </c>
      <c r="F3911" s="107" t="n">
        <f aca="false">IF($C3911="","",$D3911*$E3911)</f>
        <v>688.3332</v>
      </c>
      <c r="G3911" s="107" t="n">
        <f aca="false">IF($C3911="","",$D3911*IFERROR(INDEX('تحليل التكلفة والسعر'!$C$2:$C$700,MATCH($C3911,'تحليل التكلفة والسعر'!$B$2:$B$700,0)),0))</f>
        <v>0</v>
      </c>
      <c r="H3911" s="104" t="s">
        <v>768</v>
      </c>
    </row>
    <row r="3912" customFormat="false" ht="15" hidden="false" customHeight="false" outlineLevel="0" collapsed="false">
      <c r="A3912" s="103" t="n">
        <v>46306</v>
      </c>
      <c r="B3912" s="104" t="s">
        <v>33</v>
      </c>
      <c r="C3912" s="104" t="s">
        <v>770</v>
      </c>
      <c r="D3912" s="105" t="n">
        <v>4</v>
      </c>
      <c r="E3912" s="106" t="n">
        <v>172.0833</v>
      </c>
      <c r="F3912" s="107" t="n">
        <f aca="false">IF($C3912="","",$D3912*$E3912)</f>
        <v>688.3332</v>
      </c>
      <c r="G3912" s="107" t="n">
        <f aca="false">IF($C3912="","",$D3912*IFERROR(INDEX('تحليل التكلفة والسعر'!$C$2:$C$700,MATCH($C3912,'تحليل التكلفة والسعر'!$B$2:$B$700,0)),0))</f>
        <v>0</v>
      </c>
      <c r="H3912" s="104" t="s">
        <v>768</v>
      </c>
    </row>
    <row r="3913" customFormat="false" ht="15" hidden="false" customHeight="false" outlineLevel="0" collapsed="false">
      <c r="A3913" s="103" t="n">
        <v>46307</v>
      </c>
      <c r="B3913" s="104" t="s">
        <v>33</v>
      </c>
      <c r="C3913" s="104" t="s">
        <v>770</v>
      </c>
      <c r="D3913" s="105" t="n">
        <v>4</v>
      </c>
      <c r="E3913" s="106" t="n">
        <v>172.0833</v>
      </c>
      <c r="F3913" s="107" t="n">
        <f aca="false">IF($C3913="","",$D3913*$E3913)</f>
        <v>688.3332</v>
      </c>
      <c r="G3913" s="107" t="n">
        <f aca="false">IF($C3913="","",$D3913*IFERROR(INDEX('تحليل التكلفة والسعر'!$C$2:$C$700,MATCH($C3913,'تحليل التكلفة والسعر'!$B$2:$B$700,0)),0))</f>
        <v>0</v>
      </c>
      <c r="H3913" s="104" t="s">
        <v>768</v>
      </c>
    </row>
    <row r="3914" customFormat="false" ht="15" hidden="false" customHeight="false" outlineLevel="0" collapsed="false">
      <c r="A3914" s="103" t="n">
        <v>46296</v>
      </c>
      <c r="B3914" s="104" t="s">
        <v>33</v>
      </c>
      <c r="C3914" s="104" t="s">
        <v>771</v>
      </c>
      <c r="D3914" s="105" t="n">
        <v>0.5</v>
      </c>
      <c r="E3914" s="106" t="n">
        <v>280</v>
      </c>
      <c r="F3914" s="107" t="n">
        <f aca="false">IF($C3914="","",$D3914*$E3914)</f>
        <v>140</v>
      </c>
      <c r="G3914" s="107" t="n">
        <f aca="false">IF($C3914="","",$D3914*IFERROR(INDEX('تحليل التكلفة والسعر'!$C$2:$C$700,MATCH($C3914,'تحليل التكلفة والسعر'!$B$2:$B$700,0)),0))</f>
        <v>0</v>
      </c>
      <c r="H3914" s="104" t="s">
        <v>768</v>
      </c>
    </row>
    <row r="3915" customFormat="false" ht="15" hidden="false" customHeight="false" outlineLevel="0" collapsed="false">
      <c r="A3915" s="103" t="n">
        <v>46297</v>
      </c>
      <c r="B3915" s="104" t="s">
        <v>33</v>
      </c>
      <c r="C3915" s="104" t="s">
        <v>771</v>
      </c>
      <c r="D3915" s="105" t="n">
        <v>0.5</v>
      </c>
      <c r="E3915" s="106" t="n">
        <v>280</v>
      </c>
      <c r="F3915" s="107" t="n">
        <f aca="false">IF($C3915="","",$D3915*$E3915)</f>
        <v>140</v>
      </c>
      <c r="G3915" s="107" t="n">
        <f aca="false">IF($C3915="","",$D3915*IFERROR(INDEX('تحليل التكلفة والسعر'!$C$2:$C$700,MATCH($C3915,'تحليل التكلفة والسعر'!$B$2:$B$700,0)),0))</f>
        <v>0</v>
      </c>
      <c r="H3915" s="104" t="s">
        <v>768</v>
      </c>
    </row>
    <row r="3916" customFormat="false" ht="15" hidden="false" customHeight="false" outlineLevel="0" collapsed="false">
      <c r="A3916" s="103" t="n">
        <v>46298</v>
      </c>
      <c r="B3916" s="104" t="s">
        <v>33</v>
      </c>
      <c r="C3916" s="104" t="s">
        <v>771</v>
      </c>
      <c r="D3916" s="105" t="n">
        <v>0.5</v>
      </c>
      <c r="E3916" s="106" t="n">
        <v>280</v>
      </c>
      <c r="F3916" s="107" t="n">
        <f aca="false">IF($C3916="","",$D3916*$E3916)</f>
        <v>140</v>
      </c>
      <c r="G3916" s="107" t="n">
        <f aca="false">IF($C3916="","",$D3916*IFERROR(INDEX('تحليل التكلفة والسعر'!$C$2:$C$700,MATCH($C3916,'تحليل التكلفة والسعر'!$B$2:$B$700,0)),0))</f>
        <v>0</v>
      </c>
      <c r="H3916" s="104" t="s">
        <v>768</v>
      </c>
    </row>
    <row r="3917" customFormat="false" ht="15" hidden="false" customHeight="false" outlineLevel="0" collapsed="false">
      <c r="A3917" s="103" t="n">
        <v>46299</v>
      </c>
      <c r="B3917" s="104" t="s">
        <v>33</v>
      </c>
      <c r="C3917" s="104" t="s">
        <v>771</v>
      </c>
      <c r="D3917" s="105" t="n">
        <v>0.5</v>
      </c>
      <c r="E3917" s="106" t="n">
        <v>280</v>
      </c>
      <c r="F3917" s="107" t="n">
        <f aca="false">IF($C3917="","",$D3917*$E3917)</f>
        <v>140</v>
      </c>
      <c r="G3917" s="107" t="n">
        <f aca="false">IF($C3917="","",$D3917*IFERROR(INDEX('تحليل التكلفة والسعر'!$C$2:$C$700,MATCH($C3917,'تحليل التكلفة والسعر'!$B$2:$B$700,0)),0))</f>
        <v>0</v>
      </c>
      <c r="H3917" s="104" t="s">
        <v>768</v>
      </c>
    </row>
    <row r="3918" customFormat="false" ht="15" hidden="false" customHeight="false" outlineLevel="0" collapsed="false">
      <c r="A3918" s="103" t="n">
        <v>46300</v>
      </c>
      <c r="B3918" s="104" t="s">
        <v>33</v>
      </c>
      <c r="C3918" s="104" t="s">
        <v>771</v>
      </c>
      <c r="D3918" s="105" t="n">
        <v>0.5</v>
      </c>
      <c r="E3918" s="106" t="n">
        <v>280</v>
      </c>
      <c r="F3918" s="107" t="n">
        <f aca="false">IF($C3918="","",$D3918*$E3918)</f>
        <v>140</v>
      </c>
      <c r="G3918" s="107" t="n">
        <f aca="false">IF($C3918="","",$D3918*IFERROR(INDEX('تحليل التكلفة والسعر'!$C$2:$C$700,MATCH($C3918,'تحليل التكلفة والسعر'!$B$2:$B$700,0)),0))</f>
        <v>0</v>
      </c>
      <c r="H3918" s="104" t="s">
        <v>768</v>
      </c>
    </row>
    <row r="3919" customFormat="false" ht="15" hidden="false" customHeight="false" outlineLevel="0" collapsed="false">
      <c r="A3919" s="103" t="n">
        <v>46301</v>
      </c>
      <c r="B3919" s="104" t="s">
        <v>33</v>
      </c>
      <c r="C3919" s="104" t="s">
        <v>771</v>
      </c>
      <c r="D3919" s="105" t="n">
        <v>0.5</v>
      </c>
      <c r="E3919" s="106" t="n">
        <v>280</v>
      </c>
      <c r="F3919" s="107" t="n">
        <f aca="false">IF($C3919="","",$D3919*$E3919)</f>
        <v>140</v>
      </c>
      <c r="G3919" s="107" t="n">
        <f aca="false">IF($C3919="","",$D3919*IFERROR(INDEX('تحليل التكلفة والسعر'!$C$2:$C$700,MATCH($C3919,'تحليل التكلفة والسعر'!$B$2:$B$700,0)),0))</f>
        <v>0</v>
      </c>
      <c r="H3919" s="104" t="s">
        <v>768</v>
      </c>
    </row>
    <row r="3920" customFormat="false" ht="15" hidden="false" customHeight="false" outlineLevel="0" collapsed="false">
      <c r="A3920" s="103" t="n">
        <v>46302</v>
      </c>
      <c r="B3920" s="104" t="s">
        <v>33</v>
      </c>
      <c r="C3920" s="104" t="s">
        <v>771</v>
      </c>
      <c r="D3920" s="105" t="n">
        <v>0.5</v>
      </c>
      <c r="E3920" s="106" t="n">
        <v>280</v>
      </c>
      <c r="F3920" s="107" t="n">
        <f aca="false">IF($C3920="","",$D3920*$E3920)</f>
        <v>140</v>
      </c>
      <c r="G3920" s="107" t="n">
        <f aca="false">IF($C3920="","",$D3920*IFERROR(INDEX('تحليل التكلفة والسعر'!$C$2:$C$700,MATCH($C3920,'تحليل التكلفة والسعر'!$B$2:$B$700,0)),0))</f>
        <v>0</v>
      </c>
      <c r="H3920" s="104" t="s">
        <v>768</v>
      </c>
    </row>
    <row r="3921" customFormat="false" ht="15" hidden="false" customHeight="false" outlineLevel="0" collapsed="false">
      <c r="A3921" s="103" t="n">
        <v>46303</v>
      </c>
      <c r="B3921" s="104" t="s">
        <v>33</v>
      </c>
      <c r="C3921" s="104" t="s">
        <v>771</v>
      </c>
      <c r="D3921" s="105" t="n">
        <v>0.5</v>
      </c>
      <c r="E3921" s="106" t="n">
        <v>280</v>
      </c>
      <c r="F3921" s="107" t="n">
        <f aca="false">IF($C3921="","",$D3921*$E3921)</f>
        <v>140</v>
      </c>
      <c r="G3921" s="107" t="n">
        <f aca="false">IF($C3921="","",$D3921*IFERROR(INDEX('تحليل التكلفة والسعر'!$C$2:$C$700,MATCH($C3921,'تحليل التكلفة والسعر'!$B$2:$B$700,0)),0))</f>
        <v>0</v>
      </c>
      <c r="H3921" s="104" t="s">
        <v>768</v>
      </c>
    </row>
    <row r="3922" customFormat="false" ht="15" hidden="false" customHeight="false" outlineLevel="0" collapsed="false">
      <c r="A3922" s="103" t="n">
        <v>46304</v>
      </c>
      <c r="B3922" s="104" t="s">
        <v>33</v>
      </c>
      <c r="C3922" s="104" t="s">
        <v>771</v>
      </c>
      <c r="D3922" s="105" t="n">
        <v>0.5</v>
      </c>
      <c r="E3922" s="106" t="n">
        <v>280</v>
      </c>
      <c r="F3922" s="107" t="n">
        <f aca="false">IF($C3922="","",$D3922*$E3922)</f>
        <v>140</v>
      </c>
      <c r="G3922" s="107" t="n">
        <f aca="false">IF($C3922="","",$D3922*IFERROR(INDEX('تحليل التكلفة والسعر'!$C$2:$C$700,MATCH($C3922,'تحليل التكلفة والسعر'!$B$2:$B$700,0)),0))</f>
        <v>0</v>
      </c>
      <c r="H3922" s="104" t="s">
        <v>768</v>
      </c>
    </row>
    <row r="3923" customFormat="false" ht="15" hidden="false" customHeight="false" outlineLevel="0" collapsed="false">
      <c r="A3923" s="103" t="n">
        <v>46305</v>
      </c>
      <c r="B3923" s="104" t="s">
        <v>33</v>
      </c>
      <c r="C3923" s="104" t="s">
        <v>771</v>
      </c>
      <c r="D3923" s="105" t="n">
        <v>0.5</v>
      </c>
      <c r="E3923" s="106" t="n">
        <v>280</v>
      </c>
      <c r="F3923" s="107" t="n">
        <f aca="false">IF($C3923="","",$D3923*$E3923)</f>
        <v>140</v>
      </c>
      <c r="G3923" s="107" t="n">
        <f aca="false">IF($C3923="","",$D3923*IFERROR(INDEX('تحليل التكلفة والسعر'!$C$2:$C$700,MATCH($C3923,'تحليل التكلفة والسعر'!$B$2:$B$700,0)),0))</f>
        <v>0</v>
      </c>
      <c r="H3923" s="104" t="s">
        <v>768</v>
      </c>
    </row>
    <row r="3924" customFormat="false" ht="15" hidden="false" customHeight="false" outlineLevel="0" collapsed="false">
      <c r="A3924" s="103" t="n">
        <v>46306</v>
      </c>
      <c r="B3924" s="104" t="s">
        <v>33</v>
      </c>
      <c r="C3924" s="104" t="s">
        <v>771</v>
      </c>
      <c r="D3924" s="105" t="n">
        <v>0.5</v>
      </c>
      <c r="E3924" s="106" t="n">
        <v>280</v>
      </c>
      <c r="F3924" s="107" t="n">
        <f aca="false">IF($C3924="","",$D3924*$E3924)</f>
        <v>140</v>
      </c>
      <c r="G3924" s="107" t="n">
        <f aca="false">IF($C3924="","",$D3924*IFERROR(INDEX('تحليل التكلفة والسعر'!$C$2:$C$700,MATCH($C3924,'تحليل التكلفة والسعر'!$B$2:$B$700,0)),0))</f>
        <v>0</v>
      </c>
      <c r="H3924" s="104" t="s">
        <v>768</v>
      </c>
    </row>
    <row r="3925" customFormat="false" ht="15" hidden="false" customHeight="false" outlineLevel="0" collapsed="false">
      <c r="A3925" s="103" t="n">
        <v>46307</v>
      </c>
      <c r="B3925" s="104" t="s">
        <v>33</v>
      </c>
      <c r="C3925" s="104" t="s">
        <v>771</v>
      </c>
      <c r="D3925" s="105" t="n">
        <v>0.5</v>
      </c>
      <c r="E3925" s="106" t="n">
        <v>280</v>
      </c>
      <c r="F3925" s="107" t="n">
        <f aca="false">IF($C3925="","",$D3925*$E3925)</f>
        <v>140</v>
      </c>
      <c r="G3925" s="107" t="n">
        <f aca="false">IF($C3925="","",$D3925*IFERROR(INDEX('تحليل التكلفة والسعر'!$C$2:$C$700,MATCH($C3925,'تحليل التكلفة والسعر'!$B$2:$B$700,0)),0))</f>
        <v>0</v>
      </c>
      <c r="H3925" s="104" t="s">
        <v>768</v>
      </c>
    </row>
    <row r="3926" customFormat="false" ht="15" hidden="false" customHeight="false" outlineLevel="0" collapsed="false">
      <c r="A3926" s="103" t="n">
        <v>46296</v>
      </c>
      <c r="B3926" s="104" t="s">
        <v>34</v>
      </c>
      <c r="C3926" s="104" t="s">
        <v>767</v>
      </c>
      <c r="D3926" s="105" t="n">
        <v>13.8333</v>
      </c>
      <c r="E3926" s="106" t="n">
        <v>256.0241</v>
      </c>
      <c r="F3926" s="107" t="n">
        <f aca="false">IF($C3926="","",$D3926*$E3926)</f>
        <v>3541.65818253</v>
      </c>
      <c r="G3926" s="107" t="n">
        <f aca="false">IF($C3926="","",$D3926*IFERROR(INDEX('تحليل التكلفة والسعر'!$C$2:$C$700,MATCH($C3926,'تحليل التكلفة والسعر'!$B$2:$B$700,0)),0))</f>
        <v>0</v>
      </c>
      <c r="H3926" s="104" t="s">
        <v>768</v>
      </c>
    </row>
    <row r="3927" customFormat="false" ht="15" hidden="false" customHeight="false" outlineLevel="0" collapsed="false">
      <c r="A3927" s="103" t="n">
        <v>46297</v>
      </c>
      <c r="B3927" s="104" t="s">
        <v>34</v>
      </c>
      <c r="C3927" s="104" t="s">
        <v>767</v>
      </c>
      <c r="D3927" s="105" t="n">
        <v>13.8333</v>
      </c>
      <c r="E3927" s="106" t="n">
        <v>256.0241</v>
      </c>
      <c r="F3927" s="107" t="n">
        <f aca="false">IF($C3927="","",$D3927*$E3927)</f>
        <v>3541.65818253</v>
      </c>
      <c r="G3927" s="107" t="n">
        <f aca="false">IF($C3927="","",$D3927*IFERROR(INDEX('تحليل التكلفة والسعر'!$C$2:$C$700,MATCH($C3927,'تحليل التكلفة والسعر'!$B$2:$B$700,0)),0))</f>
        <v>0</v>
      </c>
      <c r="H3927" s="104" t="s">
        <v>768</v>
      </c>
    </row>
    <row r="3928" customFormat="false" ht="15" hidden="false" customHeight="false" outlineLevel="0" collapsed="false">
      <c r="A3928" s="103" t="n">
        <v>46298</v>
      </c>
      <c r="B3928" s="104" t="s">
        <v>34</v>
      </c>
      <c r="C3928" s="104" t="s">
        <v>767</v>
      </c>
      <c r="D3928" s="105" t="n">
        <v>13.8333</v>
      </c>
      <c r="E3928" s="106" t="n">
        <v>256.0241</v>
      </c>
      <c r="F3928" s="107" t="n">
        <f aca="false">IF($C3928="","",$D3928*$E3928)</f>
        <v>3541.65818253</v>
      </c>
      <c r="G3928" s="107" t="n">
        <f aca="false">IF($C3928="","",$D3928*IFERROR(INDEX('تحليل التكلفة والسعر'!$C$2:$C$700,MATCH($C3928,'تحليل التكلفة والسعر'!$B$2:$B$700,0)),0))</f>
        <v>0</v>
      </c>
      <c r="H3928" s="104" t="s">
        <v>768</v>
      </c>
    </row>
    <row r="3929" customFormat="false" ht="15" hidden="false" customHeight="false" outlineLevel="0" collapsed="false">
      <c r="A3929" s="103" t="n">
        <v>46299</v>
      </c>
      <c r="B3929" s="104" t="s">
        <v>34</v>
      </c>
      <c r="C3929" s="104" t="s">
        <v>767</v>
      </c>
      <c r="D3929" s="105" t="n">
        <v>13.8333</v>
      </c>
      <c r="E3929" s="106" t="n">
        <v>256.0241</v>
      </c>
      <c r="F3929" s="107" t="n">
        <f aca="false">IF($C3929="","",$D3929*$E3929)</f>
        <v>3541.65818253</v>
      </c>
      <c r="G3929" s="107" t="n">
        <f aca="false">IF($C3929="","",$D3929*IFERROR(INDEX('تحليل التكلفة والسعر'!$C$2:$C$700,MATCH($C3929,'تحليل التكلفة والسعر'!$B$2:$B$700,0)),0))</f>
        <v>0</v>
      </c>
      <c r="H3929" s="104" t="s">
        <v>768</v>
      </c>
    </row>
    <row r="3930" customFormat="false" ht="15" hidden="false" customHeight="false" outlineLevel="0" collapsed="false">
      <c r="A3930" s="103" t="n">
        <v>46300</v>
      </c>
      <c r="B3930" s="104" t="s">
        <v>34</v>
      </c>
      <c r="C3930" s="104" t="s">
        <v>767</v>
      </c>
      <c r="D3930" s="105" t="n">
        <v>13.8333</v>
      </c>
      <c r="E3930" s="106" t="n">
        <v>256.0241</v>
      </c>
      <c r="F3930" s="107" t="n">
        <f aca="false">IF($C3930="","",$D3930*$E3930)</f>
        <v>3541.65818253</v>
      </c>
      <c r="G3930" s="107" t="n">
        <f aca="false">IF($C3930="","",$D3930*IFERROR(INDEX('تحليل التكلفة والسعر'!$C$2:$C$700,MATCH($C3930,'تحليل التكلفة والسعر'!$B$2:$B$700,0)),0))</f>
        <v>0</v>
      </c>
      <c r="H3930" s="104" t="s">
        <v>768</v>
      </c>
    </row>
    <row r="3931" customFormat="false" ht="15" hidden="false" customHeight="false" outlineLevel="0" collapsed="false">
      <c r="A3931" s="103" t="n">
        <v>46301</v>
      </c>
      <c r="B3931" s="104" t="s">
        <v>34</v>
      </c>
      <c r="C3931" s="104" t="s">
        <v>767</v>
      </c>
      <c r="D3931" s="105" t="n">
        <v>13.8333</v>
      </c>
      <c r="E3931" s="106" t="n">
        <v>256.0241</v>
      </c>
      <c r="F3931" s="107" t="n">
        <f aca="false">IF($C3931="","",$D3931*$E3931)</f>
        <v>3541.65818253</v>
      </c>
      <c r="G3931" s="107" t="n">
        <f aca="false">IF($C3931="","",$D3931*IFERROR(INDEX('تحليل التكلفة والسعر'!$C$2:$C$700,MATCH($C3931,'تحليل التكلفة والسعر'!$B$2:$B$700,0)),0))</f>
        <v>0</v>
      </c>
      <c r="H3931" s="104" t="s">
        <v>768</v>
      </c>
    </row>
    <row r="3932" customFormat="false" ht="15" hidden="false" customHeight="false" outlineLevel="0" collapsed="false">
      <c r="A3932" s="103" t="n">
        <v>46302</v>
      </c>
      <c r="B3932" s="104" t="s">
        <v>34</v>
      </c>
      <c r="C3932" s="104" t="s">
        <v>767</v>
      </c>
      <c r="D3932" s="105" t="n">
        <v>13.8333</v>
      </c>
      <c r="E3932" s="106" t="n">
        <v>256.0241</v>
      </c>
      <c r="F3932" s="107" t="n">
        <f aca="false">IF($C3932="","",$D3932*$E3932)</f>
        <v>3541.65818253</v>
      </c>
      <c r="G3932" s="107" t="n">
        <f aca="false">IF($C3932="","",$D3932*IFERROR(INDEX('تحليل التكلفة والسعر'!$C$2:$C$700,MATCH($C3932,'تحليل التكلفة والسعر'!$B$2:$B$700,0)),0))</f>
        <v>0</v>
      </c>
      <c r="H3932" s="104" t="s">
        <v>768</v>
      </c>
    </row>
    <row r="3933" customFormat="false" ht="15" hidden="false" customHeight="false" outlineLevel="0" collapsed="false">
      <c r="A3933" s="103" t="n">
        <v>46303</v>
      </c>
      <c r="B3933" s="104" t="s">
        <v>34</v>
      </c>
      <c r="C3933" s="104" t="s">
        <v>767</v>
      </c>
      <c r="D3933" s="105" t="n">
        <v>13.8333</v>
      </c>
      <c r="E3933" s="106" t="n">
        <v>256.0241</v>
      </c>
      <c r="F3933" s="107" t="n">
        <f aca="false">IF($C3933="","",$D3933*$E3933)</f>
        <v>3541.65818253</v>
      </c>
      <c r="G3933" s="107" t="n">
        <f aca="false">IF($C3933="","",$D3933*IFERROR(INDEX('تحليل التكلفة والسعر'!$C$2:$C$700,MATCH($C3933,'تحليل التكلفة والسعر'!$B$2:$B$700,0)),0))</f>
        <v>0</v>
      </c>
      <c r="H3933" s="104" t="s">
        <v>768</v>
      </c>
    </row>
    <row r="3934" customFormat="false" ht="15" hidden="false" customHeight="false" outlineLevel="0" collapsed="false">
      <c r="A3934" s="103" t="n">
        <v>46304</v>
      </c>
      <c r="B3934" s="104" t="s">
        <v>34</v>
      </c>
      <c r="C3934" s="104" t="s">
        <v>767</v>
      </c>
      <c r="D3934" s="105" t="n">
        <v>13.8333</v>
      </c>
      <c r="E3934" s="106" t="n">
        <v>256.0241</v>
      </c>
      <c r="F3934" s="107" t="n">
        <f aca="false">IF($C3934="","",$D3934*$E3934)</f>
        <v>3541.65818253</v>
      </c>
      <c r="G3934" s="107" t="n">
        <f aca="false">IF($C3934="","",$D3934*IFERROR(INDEX('تحليل التكلفة والسعر'!$C$2:$C$700,MATCH($C3934,'تحليل التكلفة والسعر'!$B$2:$B$700,0)),0))</f>
        <v>0</v>
      </c>
      <c r="H3934" s="104" t="s">
        <v>768</v>
      </c>
    </row>
    <row r="3935" customFormat="false" ht="15" hidden="false" customHeight="false" outlineLevel="0" collapsed="false">
      <c r="A3935" s="103" t="n">
        <v>46305</v>
      </c>
      <c r="B3935" s="104" t="s">
        <v>34</v>
      </c>
      <c r="C3935" s="104" t="s">
        <v>767</v>
      </c>
      <c r="D3935" s="105" t="n">
        <v>13.8333</v>
      </c>
      <c r="E3935" s="106" t="n">
        <v>256.0241</v>
      </c>
      <c r="F3935" s="107" t="n">
        <f aca="false">IF($C3935="","",$D3935*$E3935)</f>
        <v>3541.65818253</v>
      </c>
      <c r="G3935" s="107" t="n">
        <f aca="false">IF($C3935="","",$D3935*IFERROR(INDEX('تحليل التكلفة والسعر'!$C$2:$C$700,MATCH($C3935,'تحليل التكلفة والسعر'!$B$2:$B$700,0)),0))</f>
        <v>0</v>
      </c>
      <c r="H3935" s="104" t="s">
        <v>768</v>
      </c>
    </row>
    <row r="3936" customFormat="false" ht="15" hidden="false" customHeight="false" outlineLevel="0" collapsed="false">
      <c r="A3936" s="103" t="n">
        <v>46306</v>
      </c>
      <c r="B3936" s="104" t="s">
        <v>34</v>
      </c>
      <c r="C3936" s="104" t="s">
        <v>767</v>
      </c>
      <c r="D3936" s="105" t="n">
        <v>13.8333</v>
      </c>
      <c r="E3936" s="106" t="n">
        <v>256.0241</v>
      </c>
      <c r="F3936" s="107" t="n">
        <f aca="false">IF($C3936="","",$D3936*$E3936)</f>
        <v>3541.65818253</v>
      </c>
      <c r="G3936" s="107" t="n">
        <f aca="false">IF($C3936="","",$D3936*IFERROR(INDEX('تحليل التكلفة والسعر'!$C$2:$C$700,MATCH($C3936,'تحليل التكلفة والسعر'!$B$2:$B$700,0)),0))</f>
        <v>0</v>
      </c>
      <c r="H3936" s="104" t="s">
        <v>768</v>
      </c>
    </row>
    <row r="3937" customFormat="false" ht="15" hidden="false" customHeight="false" outlineLevel="0" collapsed="false">
      <c r="A3937" s="103" t="n">
        <v>46307</v>
      </c>
      <c r="B3937" s="104" t="s">
        <v>34</v>
      </c>
      <c r="C3937" s="104" t="s">
        <v>767</v>
      </c>
      <c r="D3937" s="105" t="n">
        <v>13.8333</v>
      </c>
      <c r="E3937" s="106" t="n">
        <v>256.0241</v>
      </c>
      <c r="F3937" s="107" t="n">
        <f aca="false">IF($C3937="","",$D3937*$E3937)</f>
        <v>3541.65818253</v>
      </c>
      <c r="G3937" s="107" t="n">
        <f aca="false">IF($C3937="","",$D3937*IFERROR(INDEX('تحليل التكلفة والسعر'!$C$2:$C$700,MATCH($C3937,'تحليل التكلفة والسعر'!$B$2:$B$700,0)),0))</f>
        <v>0</v>
      </c>
      <c r="H3937" s="104" t="s">
        <v>768</v>
      </c>
    </row>
    <row r="3938" customFormat="false" ht="15" hidden="false" customHeight="false" outlineLevel="0" collapsed="false">
      <c r="A3938" s="103" t="n">
        <v>46296</v>
      </c>
      <c r="B3938" s="104" t="s">
        <v>34</v>
      </c>
      <c r="C3938" s="104" t="s">
        <v>769</v>
      </c>
      <c r="D3938" s="105" t="n">
        <v>9.5</v>
      </c>
      <c r="E3938" s="106" t="n">
        <v>250</v>
      </c>
      <c r="F3938" s="107" t="n">
        <f aca="false">IF($C3938="","",$D3938*$E3938)</f>
        <v>2375</v>
      </c>
      <c r="G3938" s="107" t="n">
        <f aca="false">IF($C3938="","",$D3938*IFERROR(INDEX('تحليل التكلفة والسعر'!$C$2:$C$700,MATCH($C3938,'تحليل التكلفة والسعر'!$B$2:$B$700,0)),0))</f>
        <v>0</v>
      </c>
      <c r="H3938" s="104" t="s">
        <v>768</v>
      </c>
    </row>
    <row r="3939" customFormat="false" ht="15" hidden="false" customHeight="false" outlineLevel="0" collapsed="false">
      <c r="A3939" s="103" t="n">
        <v>46297</v>
      </c>
      <c r="B3939" s="104" t="s">
        <v>34</v>
      </c>
      <c r="C3939" s="104" t="s">
        <v>769</v>
      </c>
      <c r="D3939" s="105" t="n">
        <v>9.5</v>
      </c>
      <c r="E3939" s="106" t="n">
        <v>250</v>
      </c>
      <c r="F3939" s="107" t="n">
        <f aca="false">IF($C3939="","",$D3939*$E3939)</f>
        <v>2375</v>
      </c>
      <c r="G3939" s="107" t="n">
        <f aca="false">IF($C3939="","",$D3939*IFERROR(INDEX('تحليل التكلفة والسعر'!$C$2:$C$700,MATCH($C3939,'تحليل التكلفة والسعر'!$B$2:$B$700,0)),0))</f>
        <v>0</v>
      </c>
      <c r="H3939" s="104" t="s">
        <v>768</v>
      </c>
    </row>
    <row r="3940" customFormat="false" ht="15" hidden="false" customHeight="false" outlineLevel="0" collapsed="false">
      <c r="A3940" s="103" t="n">
        <v>46298</v>
      </c>
      <c r="B3940" s="104" t="s">
        <v>34</v>
      </c>
      <c r="C3940" s="104" t="s">
        <v>769</v>
      </c>
      <c r="D3940" s="105" t="n">
        <v>9.5</v>
      </c>
      <c r="E3940" s="106" t="n">
        <v>250</v>
      </c>
      <c r="F3940" s="107" t="n">
        <f aca="false">IF($C3940="","",$D3940*$E3940)</f>
        <v>2375</v>
      </c>
      <c r="G3940" s="107" t="n">
        <f aca="false">IF($C3940="","",$D3940*IFERROR(INDEX('تحليل التكلفة والسعر'!$C$2:$C$700,MATCH($C3940,'تحليل التكلفة والسعر'!$B$2:$B$700,0)),0))</f>
        <v>0</v>
      </c>
      <c r="H3940" s="104" t="s">
        <v>768</v>
      </c>
    </row>
    <row r="3941" customFormat="false" ht="15" hidden="false" customHeight="false" outlineLevel="0" collapsed="false">
      <c r="A3941" s="103" t="n">
        <v>46299</v>
      </c>
      <c r="B3941" s="104" t="s">
        <v>34</v>
      </c>
      <c r="C3941" s="104" t="s">
        <v>769</v>
      </c>
      <c r="D3941" s="105" t="n">
        <v>9.5</v>
      </c>
      <c r="E3941" s="106" t="n">
        <v>250</v>
      </c>
      <c r="F3941" s="107" t="n">
        <f aca="false">IF($C3941="","",$D3941*$E3941)</f>
        <v>2375</v>
      </c>
      <c r="G3941" s="107" t="n">
        <f aca="false">IF($C3941="","",$D3941*IFERROR(INDEX('تحليل التكلفة والسعر'!$C$2:$C$700,MATCH($C3941,'تحليل التكلفة والسعر'!$B$2:$B$700,0)),0))</f>
        <v>0</v>
      </c>
      <c r="H3941" s="104" t="s">
        <v>768</v>
      </c>
    </row>
    <row r="3942" customFormat="false" ht="15" hidden="false" customHeight="false" outlineLevel="0" collapsed="false">
      <c r="A3942" s="103" t="n">
        <v>46300</v>
      </c>
      <c r="B3942" s="104" t="s">
        <v>34</v>
      </c>
      <c r="C3942" s="104" t="s">
        <v>769</v>
      </c>
      <c r="D3942" s="105" t="n">
        <v>9.5</v>
      </c>
      <c r="E3942" s="106" t="n">
        <v>250</v>
      </c>
      <c r="F3942" s="107" t="n">
        <f aca="false">IF($C3942="","",$D3942*$E3942)</f>
        <v>2375</v>
      </c>
      <c r="G3942" s="107" t="n">
        <f aca="false">IF($C3942="","",$D3942*IFERROR(INDEX('تحليل التكلفة والسعر'!$C$2:$C$700,MATCH($C3942,'تحليل التكلفة والسعر'!$B$2:$B$700,0)),0))</f>
        <v>0</v>
      </c>
      <c r="H3942" s="104" t="s">
        <v>768</v>
      </c>
    </row>
    <row r="3943" customFormat="false" ht="15" hidden="false" customHeight="false" outlineLevel="0" collapsed="false">
      <c r="A3943" s="103" t="n">
        <v>46301</v>
      </c>
      <c r="B3943" s="104" t="s">
        <v>34</v>
      </c>
      <c r="C3943" s="104" t="s">
        <v>769</v>
      </c>
      <c r="D3943" s="105" t="n">
        <v>9.5</v>
      </c>
      <c r="E3943" s="106" t="n">
        <v>250</v>
      </c>
      <c r="F3943" s="107" t="n">
        <f aca="false">IF($C3943="","",$D3943*$E3943)</f>
        <v>2375</v>
      </c>
      <c r="G3943" s="107" t="n">
        <f aca="false">IF($C3943="","",$D3943*IFERROR(INDEX('تحليل التكلفة والسعر'!$C$2:$C$700,MATCH($C3943,'تحليل التكلفة والسعر'!$B$2:$B$700,0)),0))</f>
        <v>0</v>
      </c>
      <c r="H3943" s="104" t="s">
        <v>768</v>
      </c>
    </row>
    <row r="3944" customFormat="false" ht="15" hidden="false" customHeight="false" outlineLevel="0" collapsed="false">
      <c r="A3944" s="103" t="n">
        <v>46302</v>
      </c>
      <c r="B3944" s="104" t="s">
        <v>34</v>
      </c>
      <c r="C3944" s="104" t="s">
        <v>769</v>
      </c>
      <c r="D3944" s="105" t="n">
        <v>9.5</v>
      </c>
      <c r="E3944" s="106" t="n">
        <v>250</v>
      </c>
      <c r="F3944" s="107" t="n">
        <f aca="false">IF($C3944="","",$D3944*$E3944)</f>
        <v>2375</v>
      </c>
      <c r="G3944" s="107" t="n">
        <f aca="false">IF($C3944="","",$D3944*IFERROR(INDEX('تحليل التكلفة والسعر'!$C$2:$C$700,MATCH($C3944,'تحليل التكلفة والسعر'!$B$2:$B$700,0)),0))</f>
        <v>0</v>
      </c>
      <c r="H3944" s="104" t="s">
        <v>768</v>
      </c>
    </row>
    <row r="3945" customFormat="false" ht="15" hidden="false" customHeight="false" outlineLevel="0" collapsed="false">
      <c r="A3945" s="103" t="n">
        <v>46303</v>
      </c>
      <c r="B3945" s="104" t="s">
        <v>34</v>
      </c>
      <c r="C3945" s="104" t="s">
        <v>769</v>
      </c>
      <c r="D3945" s="105" t="n">
        <v>9.5</v>
      </c>
      <c r="E3945" s="106" t="n">
        <v>250</v>
      </c>
      <c r="F3945" s="107" t="n">
        <f aca="false">IF($C3945="","",$D3945*$E3945)</f>
        <v>2375</v>
      </c>
      <c r="G3945" s="107" t="n">
        <f aca="false">IF($C3945="","",$D3945*IFERROR(INDEX('تحليل التكلفة والسعر'!$C$2:$C$700,MATCH($C3945,'تحليل التكلفة والسعر'!$B$2:$B$700,0)),0))</f>
        <v>0</v>
      </c>
      <c r="H3945" s="104" t="s">
        <v>768</v>
      </c>
    </row>
    <row r="3946" customFormat="false" ht="15" hidden="false" customHeight="false" outlineLevel="0" collapsed="false">
      <c r="A3946" s="103" t="n">
        <v>46304</v>
      </c>
      <c r="B3946" s="104" t="s">
        <v>34</v>
      </c>
      <c r="C3946" s="104" t="s">
        <v>769</v>
      </c>
      <c r="D3946" s="105" t="n">
        <v>9.5</v>
      </c>
      <c r="E3946" s="106" t="n">
        <v>250</v>
      </c>
      <c r="F3946" s="107" t="n">
        <f aca="false">IF($C3946="","",$D3946*$E3946)</f>
        <v>2375</v>
      </c>
      <c r="G3946" s="107" t="n">
        <f aca="false">IF($C3946="","",$D3946*IFERROR(INDEX('تحليل التكلفة والسعر'!$C$2:$C$700,MATCH($C3946,'تحليل التكلفة والسعر'!$B$2:$B$700,0)),0))</f>
        <v>0</v>
      </c>
      <c r="H3946" s="104" t="s">
        <v>768</v>
      </c>
    </row>
    <row r="3947" customFormat="false" ht="15" hidden="false" customHeight="false" outlineLevel="0" collapsed="false">
      <c r="A3947" s="103" t="n">
        <v>46305</v>
      </c>
      <c r="B3947" s="104" t="s">
        <v>34</v>
      </c>
      <c r="C3947" s="104" t="s">
        <v>769</v>
      </c>
      <c r="D3947" s="105" t="n">
        <v>9.5</v>
      </c>
      <c r="E3947" s="106" t="n">
        <v>250</v>
      </c>
      <c r="F3947" s="107" t="n">
        <f aca="false">IF($C3947="","",$D3947*$E3947)</f>
        <v>2375</v>
      </c>
      <c r="G3947" s="107" t="n">
        <f aca="false">IF($C3947="","",$D3947*IFERROR(INDEX('تحليل التكلفة والسعر'!$C$2:$C$700,MATCH($C3947,'تحليل التكلفة والسعر'!$B$2:$B$700,0)),0))</f>
        <v>0</v>
      </c>
      <c r="H3947" s="104" t="s">
        <v>768</v>
      </c>
    </row>
    <row r="3948" customFormat="false" ht="15" hidden="false" customHeight="false" outlineLevel="0" collapsed="false">
      <c r="A3948" s="103" t="n">
        <v>46306</v>
      </c>
      <c r="B3948" s="104" t="s">
        <v>34</v>
      </c>
      <c r="C3948" s="104" t="s">
        <v>769</v>
      </c>
      <c r="D3948" s="105" t="n">
        <v>9.5</v>
      </c>
      <c r="E3948" s="106" t="n">
        <v>250</v>
      </c>
      <c r="F3948" s="107" t="n">
        <f aca="false">IF($C3948="","",$D3948*$E3948)</f>
        <v>2375</v>
      </c>
      <c r="G3948" s="107" t="n">
        <f aca="false">IF($C3948="","",$D3948*IFERROR(INDEX('تحليل التكلفة والسعر'!$C$2:$C$700,MATCH($C3948,'تحليل التكلفة والسعر'!$B$2:$B$700,0)),0))</f>
        <v>0</v>
      </c>
      <c r="H3948" s="104" t="s">
        <v>768</v>
      </c>
    </row>
    <row r="3949" customFormat="false" ht="15" hidden="false" customHeight="false" outlineLevel="0" collapsed="false">
      <c r="A3949" s="103" t="n">
        <v>46307</v>
      </c>
      <c r="B3949" s="104" t="s">
        <v>34</v>
      </c>
      <c r="C3949" s="104" t="s">
        <v>769</v>
      </c>
      <c r="D3949" s="105" t="n">
        <v>9.5</v>
      </c>
      <c r="E3949" s="106" t="n">
        <v>250</v>
      </c>
      <c r="F3949" s="107" t="n">
        <f aca="false">IF($C3949="","",$D3949*$E3949)</f>
        <v>2375</v>
      </c>
      <c r="G3949" s="107" t="n">
        <f aca="false">IF($C3949="","",$D3949*IFERROR(INDEX('تحليل التكلفة والسعر'!$C$2:$C$700,MATCH($C3949,'تحليل التكلفة والسعر'!$B$2:$B$700,0)),0))</f>
        <v>0</v>
      </c>
      <c r="H3949" s="104" t="s">
        <v>768</v>
      </c>
    </row>
    <row r="3950" customFormat="false" ht="15" hidden="false" customHeight="false" outlineLevel="0" collapsed="false">
      <c r="A3950" s="103" t="n">
        <v>46296</v>
      </c>
      <c r="B3950" s="104" t="s">
        <v>34</v>
      </c>
      <c r="C3950" s="104" t="s">
        <v>770</v>
      </c>
      <c r="D3950" s="105" t="n">
        <v>7.0833</v>
      </c>
      <c r="E3950" s="106" t="n">
        <v>162.8235</v>
      </c>
      <c r="F3950" s="107" t="n">
        <f aca="false">IF($C3950="","",$D3950*$E3950)</f>
        <v>1153.32769755</v>
      </c>
      <c r="G3950" s="107" t="n">
        <f aca="false">IF($C3950="","",$D3950*IFERROR(INDEX('تحليل التكلفة والسعر'!$C$2:$C$700,MATCH($C3950,'تحليل التكلفة والسعر'!$B$2:$B$700,0)),0))</f>
        <v>0</v>
      </c>
      <c r="H3950" s="104" t="s">
        <v>768</v>
      </c>
    </row>
    <row r="3951" customFormat="false" ht="15" hidden="false" customHeight="false" outlineLevel="0" collapsed="false">
      <c r="A3951" s="103" t="n">
        <v>46297</v>
      </c>
      <c r="B3951" s="104" t="s">
        <v>34</v>
      </c>
      <c r="C3951" s="104" t="s">
        <v>770</v>
      </c>
      <c r="D3951" s="105" t="n">
        <v>7.0833</v>
      </c>
      <c r="E3951" s="106" t="n">
        <v>162.8235</v>
      </c>
      <c r="F3951" s="107" t="n">
        <f aca="false">IF($C3951="","",$D3951*$E3951)</f>
        <v>1153.32769755</v>
      </c>
      <c r="G3951" s="107" t="n">
        <f aca="false">IF($C3951="","",$D3951*IFERROR(INDEX('تحليل التكلفة والسعر'!$C$2:$C$700,MATCH($C3951,'تحليل التكلفة والسعر'!$B$2:$B$700,0)),0))</f>
        <v>0</v>
      </c>
      <c r="H3951" s="104" t="s">
        <v>768</v>
      </c>
    </row>
    <row r="3952" customFormat="false" ht="15" hidden="false" customHeight="false" outlineLevel="0" collapsed="false">
      <c r="A3952" s="103" t="n">
        <v>46298</v>
      </c>
      <c r="B3952" s="104" t="s">
        <v>34</v>
      </c>
      <c r="C3952" s="104" t="s">
        <v>770</v>
      </c>
      <c r="D3952" s="105" t="n">
        <v>7.0833</v>
      </c>
      <c r="E3952" s="106" t="n">
        <v>162.8235</v>
      </c>
      <c r="F3952" s="107" t="n">
        <f aca="false">IF($C3952="","",$D3952*$E3952)</f>
        <v>1153.32769755</v>
      </c>
      <c r="G3952" s="107" t="n">
        <f aca="false">IF($C3952="","",$D3952*IFERROR(INDEX('تحليل التكلفة والسعر'!$C$2:$C$700,MATCH($C3952,'تحليل التكلفة والسعر'!$B$2:$B$700,0)),0))</f>
        <v>0</v>
      </c>
      <c r="H3952" s="104" t="s">
        <v>768</v>
      </c>
    </row>
    <row r="3953" customFormat="false" ht="15" hidden="false" customHeight="false" outlineLevel="0" collapsed="false">
      <c r="A3953" s="103" t="n">
        <v>46299</v>
      </c>
      <c r="B3953" s="104" t="s">
        <v>34</v>
      </c>
      <c r="C3953" s="104" t="s">
        <v>770</v>
      </c>
      <c r="D3953" s="105" t="n">
        <v>7.0833</v>
      </c>
      <c r="E3953" s="106" t="n">
        <v>162.8235</v>
      </c>
      <c r="F3953" s="107" t="n">
        <f aca="false">IF($C3953="","",$D3953*$E3953)</f>
        <v>1153.32769755</v>
      </c>
      <c r="G3953" s="107" t="n">
        <f aca="false">IF($C3953="","",$D3953*IFERROR(INDEX('تحليل التكلفة والسعر'!$C$2:$C$700,MATCH($C3953,'تحليل التكلفة والسعر'!$B$2:$B$700,0)),0))</f>
        <v>0</v>
      </c>
      <c r="H3953" s="104" t="s">
        <v>768</v>
      </c>
    </row>
    <row r="3954" customFormat="false" ht="15" hidden="false" customHeight="false" outlineLevel="0" collapsed="false">
      <c r="A3954" s="103" t="n">
        <v>46300</v>
      </c>
      <c r="B3954" s="104" t="s">
        <v>34</v>
      </c>
      <c r="C3954" s="104" t="s">
        <v>770</v>
      </c>
      <c r="D3954" s="105" t="n">
        <v>7.0833</v>
      </c>
      <c r="E3954" s="106" t="n">
        <v>162.8235</v>
      </c>
      <c r="F3954" s="107" t="n">
        <f aca="false">IF($C3954="","",$D3954*$E3954)</f>
        <v>1153.32769755</v>
      </c>
      <c r="G3954" s="107" t="n">
        <f aca="false">IF($C3954="","",$D3954*IFERROR(INDEX('تحليل التكلفة والسعر'!$C$2:$C$700,MATCH($C3954,'تحليل التكلفة والسعر'!$B$2:$B$700,0)),0))</f>
        <v>0</v>
      </c>
      <c r="H3954" s="104" t="s">
        <v>768</v>
      </c>
    </row>
    <row r="3955" customFormat="false" ht="15" hidden="false" customHeight="false" outlineLevel="0" collapsed="false">
      <c r="A3955" s="103" t="n">
        <v>46301</v>
      </c>
      <c r="B3955" s="104" t="s">
        <v>34</v>
      </c>
      <c r="C3955" s="104" t="s">
        <v>770</v>
      </c>
      <c r="D3955" s="105" t="n">
        <v>7.0833</v>
      </c>
      <c r="E3955" s="106" t="n">
        <v>162.8235</v>
      </c>
      <c r="F3955" s="107" t="n">
        <f aca="false">IF($C3955="","",$D3955*$E3955)</f>
        <v>1153.32769755</v>
      </c>
      <c r="G3955" s="107" t="n">
        <f aca="false">IF($C3955="","",$D3955*IFERROR(INDEX('تحليل التكلفة والسعر'!$C$2:$C$700,MATCH($C3955,'تحليل التكلفة والسعر'!$B$2:$B$700,0)),0))</f>
        <v>0</v>
      </c>
      <c r="H3955" s="104" t="s">
        <v>768</v>
      </c>
    </row>
    <row r="3956" customFormat="false" ht="15" hidden="false" customHeight="false" outlineLevel="0" collapsed="false">
      <c r="A3956" s="103" t="n">
        <v>46302</v>
      </c>
      <c r="B3956" s="104" t="s">
        <v>34</v>
      </c>
      <c r="C3956" s="104" t="s">
        <v>770</v>
      </c>
      <c r="D3956" s="105" t="n">
        <v>7.0833</v>
      </c>
      <c r="E3956" s="106" t="n">
        <v>162.8235</v>
      </c>
      <c r="F3956" s="107" t="n">
        <f aca="false">IF($C3956="","",$D3956*$E3956)</f>
        <v>1153.32769755</v>
      </c>
      <c r="G3956" s="107" t="n">
        <f aca="false">IF($C3956="","",$D3956*IFERROR(INDEX('تحليل التكلفة والسعر'!$C$2:$C$700,MATCH($C3956,'تحليل التكلفة والسعر'!$B$2:$B$700,0)),0))</f>
        <v>0</v>
      </c>
      <c r="H3956" s="104" t="s">
        <v>768</v>
      </c>
    </row>
    <row r="3957" customFormat="false" ht="15" hidden="false" customHeight="false" outlineLevel="0" collapsed="false">
      <c r="A3957" s="103" t="n">
        <v>46303</v>
      </c>
      <c r="B3957" s="104" t="s">
        <v>34</v>
      </c>
      <c r="C3957" s="104" t="s">
        <v>770</v>
      </c>
      <c r="D3957" s="105" t="n">
        <v>7.0833</v>
      </c>
      <c r="E3957" s="106" t="n">
        <v>162.8235</v>
      </c>
      <c r="F3957" s="107" t="n">
        <f aca="false">IF($C3957="","",$D3957*$E3957)</f>
        <v>1153.32769755</v>
      </c>
      <c r="G3957" s="107" t="n">
        <f aca="false">IF($C3957="","",$D3957*IFERROR(INDEX('تحليل التكلفة والسعر'!$C$2:$C$700,MATCH($C3957,'تحليل التكلفة والسعر'!$B$2:$B$700,0)),0))</f>
        <v>0</v>
      </c>
      <c r="H3957" s="104" t="s">
        <v>768</v>
      </c>
    </row>
    <row r="3958" customFormat="false" ht="15" hidden="false" customHeight="false" outlineLevel="0" collapsed="false">
      <c r="A3958" s="103" t="n">
        <v>46304</v>
      </c>
      <c r="B3958" s="104" t="s">
        <v>34</v>
      </c>
      <c r="C3958" s="104" t="s">
        <v>770</v>
      </c>
      <c r="D3958" s="105" t="n">
        <v>7.0833</v>
      </c>
      <c r="E3958" s="106" t="n">
        <v>162.8235</v>
      </c>
      <c r="F3958" s="107" t="n">
        <f aca="false">IF($C3958="","",$D3958*$E3958)</f>
        <v>1153.32769755</v>
      </c>
      <c r="G3958" s="107" t="n">
        <f aca="false">IF($C3958="","",$D3958*IFERROR(INDEX('تحليل التكلفة والسعر'!$C$2:$C$700,MATCH($C3958,'تحليل التكلفة والسعر'!$B$2:$B$700,0)),0))</f>
        <v>0</v>
      </c>
      <c r="H3958" s="104" t="s">
        <v>768</v>
      </c>
    </row>
    <row r="3959" customFormat="false" ht="15" hidden="false" customHeight="false" outlineLevel="0" collapsed="false">
      <c r="A3959" s="103" t="n">
        <v>46305</v>
      </c>
      <c r="B3959" s="104" t="s">
        <v>34</v>
      </c>
      <c r="C3959" s="104" t="s">
        <v>770</v>
      </c>
      <c r="D3959" s="105" t="n">
        <v>7.0833</v>
      </c>
      <c r="E3959" s="106" t="n">
        <v>162.8235</v>
      </c>
      <c r="F3959" s="107" t="n">
        <f aca="false">IF($C3959="","",$D3959*$E3959)</f>
        <v>1153.32769755</v>
      </c>
      <c r="G3959" s="107" t="n">
        <f aca="false">IF($C3959="","",$D3959*IFERROR(INDEX('تحليل التكلفة والسعر'!$C$2:$C$700,MATCH($C3959,'تحليل التكلفة والسعر'!$B$2:$B$700,0)),0))</f>
        <v>0</v>
      </c>
      <c r="H3959" s="104" t="s">
        <v>768</v>
      </c>
    </row>
    <row r="3960" customFormat="false" ht="15" hidden="false" customHeight="false" outlineLevel="0" collapsed="false">
      <c r="A3960" s="103" t="n">
        <v>46306</v>
      </c>
      <c r="B3960" s="104" t="s">
        <v>34</v>
      </c>
      <c r="C3960" s="104" t="s">
        <v>770</v>
      </c>
      <c r="D3960" s="105" t="n">
        <v>7.0833</v>
      </c>
      <c r="E3960" s="106" t="n">
        <v>162.8235</v>
      </c>
      <c r="F3960" s="107" t="n">
        <f aca="false">IF($C3960="","",$D3960*$E3960)</f>
        <v>1153.32769755</v>
      </c>
      <c r="G3960" s="107" t="n">
        <f aca="false">IF($C3960="","",$D3960*IFERROR(INDEX('تحليل التكلفة والسعر'!$C$2:$C$700,MATCH($C3960,'تحليل التكلفة والسعر'!$B$2:$B$700,0)),0))</f>
        <v>0</v>
      </c>
      <c r="H3960" s="104" t="s">
        <v>768</v>
      </c>
    </row>
    <row r="3961" customFormat="false" ht="15" hidden="false" customHeight="false" outlineLevel="0" collapsed="false">
      <c r="A3961" s="103" t="n">
        <v>46307</v>
      </c>
      <c r="B3961" s="104" t="s">
        <v>34</v>
      </c>
      <c r="C3961" s="104" t="s">
        <v>770</v>
      </c>
      <c r="D3961" s="105" t="n">
        <v>7.0833</v>
      </c>
      <c r="E3961" s="106" t="n">
        <v>162.8235</v>
      </c>
      <c r="F3961" s="107" t="n">
        <f aca="false">IF($C3961="","",$D3961*$E3961)</f>
        <v>1153.32769755</v>
      </c>
      <c r="G3961" s="107" t="n">
        <f aca="false">IF($C3961="","",$D3961*IFERROR(INDEX('تحليل التكلفة والسعر'!$C$2:$C$700,MATCH($C3961,'تحليل التكلفة والسعر'!$B$2:$B$700,0)),0))</f>
        <v>0</v>
      </c>
      <c r="H3961" s="104" t="s">
        <v>768</v>
      </c>
    </row>
    <row r="3962" customFormat="false" ht="15" hidden="false" customHeight="false" outlineLevel="0" collapsed="false">
      <c r="A3962" s="103" t="n">
        <v>46296</v>
      </c>
      <c r="B3962" s="104" t="s">
        <v>34</v>
      </c>
      <c r="C3962" s="104" t="s">
        <v>771</v>
      </c>
      <c r="D3962" s="105" t="n">
        <v>0.3333</v>
      </c>
      <c r="E3962" s="106" t="n">
        <v>280</v>
      </c>
      <c r="F3962" s="107" t="n">
        <f aca="false">IF($C3962="","",$D3962*$E3962)</f>
        <v>93.324</v>
      </c>
      <c r="G3962" s="107" t="n">
        <f aca="false">IF($C3962="","",$D3962*IFERROR(INDEX('تحليل التكلفة والسعر'!$C$2:$C$700,MATCH($C3962,'تحليل التكلفة والسعر'!$B$2:$B$700,0)),0))</f>
        <v>0</v>
      </c>
      <c r="H3962" s="104" t="s">
        <v>768</v>
      </c>
    </row>
    <row r="3963" customFormat="false" ht="15" hidden="false" customHeight="false" outlineLevel="0" collapsed="false">
      <c r="A3963" s="103" t="n">
        <v>46297</v>
      </c>
      <c r="B3963" s="104" t="s">
        <v>34</v>
      </c>
      <c r="C3963" s="104" t="s">
        <v>771</v>
      </c>
      <c r="D3963" s="105" t="n">
        <v>0.3333</v>
      </c>
      <c r="E3963" s="106" t="n">
        <v>280</v>
      </c>
      <c r="F3963" s="107" t="n">
        <f aca="false">IF($C3963="","",$D3963*$E3963)</f>
        <v>93.324</v>
      </c>
      <c r="G3963" s="107" t="n">
        <f aca="false">IF($C3963="","",$D3963*IFERROR(INDEX('تحليل التكلفة والسعر'!$C$2:$C$700,MATCH($C3963,'تحليل التكلفة والسعر'!$B$2:$B$700,0)),0))</f>
        <v>0</v>
      </c>
      <c r="H3963" s="104" t="s">
        <v>768</v>
      </c>
    </row>
    <row r="3964" customFormat="false" ht="15" hidden="false" customHeight="false" outlineLevel="0" collapsed="false">
      <c r="A3964" s="103" t="n">
        <v>46298</v>
      </c>
      <c r="B3964" s="104" t="s">
        <v>34</v>
      </c>
      <c r="C3964" s="104" t="s">
        <v>771</v>
      </c>
      <c r="D3964" s="105" t="n">
        <v>0.3333</v>
      </c>
      <c r="E3964" s="106" t="n">
        <v>280</v>
      </c>
      <c r="F3964" s="107" t="n">
        <f aca="false">IF($C3964="","",$D3964*$E3964)</f>
        <v>93.324</v>
      </c>
      <c r="G3964" s="107" t="n">
        <f aca="false">IF($C3964="","",$D3964*IFERROR(INDEX('تحليل التكلفة والسعر'!$C$2:$C$700,MATCH($C3964,'تحليل التكلفة والسعر'!$B$2:$B$700,0)),0))</f>
        <v>0</v>
      </c>
      <c r="H3964" s="104" t="s">
        <v>768</v>
      </c>
    </row>
    <row r="3965" customFormat="false" ht="15" hidden="false" customHeight="false" outlineLevel="0" collapsed="false">
      <c r="A3965" s="103" t="n">
        <v>46299</v>
      </c>
      <c r="B3965" s="104" t="s">
        <v>34</v>
      </c>
      <c r="C3965" s="104" t="s">
        <v>771</v>
      </c>
      <c r="D3965" s="105" t="n">
        <v>0.3333</v>
      </c>
      <c r="E3965" s="106" t="n">
        <v>280</v>
      </c>
      <c r="F3965" s="107" t="n">
        <f aca="false">IF($C3965="","",$D3965*$E3965)</f>
        <v>93.324</v>
      </c>
      <c r="G3965" s="107" t="n">
        <f aca="false">IF($C3965="","",$D3965*IFERROR(INDEX('تحليل التكلفة والسعر'!$C$2:$C$700,MATCH($C3965,'تحليل التكلفة والسعر'!$B$2:$B$700,0)),0))</f>
        <v>0</v>
      </c>
      <c r="H3965" s="104" t="s">
        <v>768</v>
      </c>
    </row>
    <row r="3966" customFormat="false" ht="15" hidden="false" customHeight="false" outlineLevel="0" collapsed="false">
      <c r="A3966" s="103" t="n">
        <v>46300</v>
      </c>
      <c r="B3966" s="104" t="s">
        <v>34</v>
      </c>
      <c r="C3966" s="104" t="s">
        <v>771</v>
      </c>
      <c r="D3966" s="105" t="n">
        <v>0.3333</v>
      </c>
      <c r="E3966" s="106" t="n">
        <v>280</v>
      </c>
      <c r="F3966" s="107" t="n">
        <f aca="false">IF($C3966="","",$D3966*$E3966)</f>
        <v>93.324</v>
      </c>
      <c r="G3966" s="107" t="n">
        <f aca="false">IF($C3966="","",$D3966*IFERROR(INDEX('تحليل التكلفة والسعر'!$C$2:$C$700,MATCH($C3966,'تحليل التكلفة والسعر'!$B$2:$B$700,0)),0))</f>
        <v>0</v>
      </c>
      <c r="H3966" s="104" t="s">
        <v>768</v>
      </c>
    </row>
    <row r="3967" customFormat="false" ht="15" hidden="false" customHeight="false" outlineLevel="0" collapsed="false">
      <c r="A3967" s="103" t="n">
        <v>46301</v>
      </c>
      <c r="B3967" s="104" t="s">
        <v>34</v>
      </c>
      <c r="C3967" s="104" t="s">
        <v>771</v>
      </c>
      <c r="D3967" s="105" t="n">
        <v>0.3333</v>
      </c>
      <c r="E3967" s="106" t="n">
        <v>280</v>
      </c>
      <c r="F3967" s="107" t="n">
        <f aca="false">IF($C3967="","",$D3967*$E3967)</f>
        <v>93.324</v>
      </c>
      <c r="G3967" s="107" t="n">
        <f aca="false">IF($C3967="","",$D3967*IFERROR(INDEX('تحليل التكلفة والسعر'!$C$2:$C$700,MATCH($C3967,'تحليل التكلفة والسعر'!$B$2:$B$700,0)),0))</f>
        <v>0</v>
      </c>
      <c r="H3967" s="104" t="s">
        <v>768</v>
      </c>
    </row>
    <row r="3968" customFormat="false" ht="15" hidden="false" customHeight="false" outlineLevel="0" collapsed="false">
      <c r="A3968" s="103" t="n">
        <v>46302</v>
      </c>
      <c r="B3968" s="104" t="s">
        <v>34</v>
      </c>
      <c r="C3968" s="104" t="s">
        <v>771</v>
      </c>
      <c r="D3968" s="105" t="n">
        <v>0.3333</v>
      </c>
      <c r="E3968" s="106" t="n">
        <v>280</v>
      </c>
      <c r="F3968" s="107" t="n">
        <f aca="false">IF($C3968="","",$D3968*$E3968)</f>
        <v>93.324</v>
      </c>
      <c r="G3968" s="107" t="n">
        <f aca="false">IF($C3968="","",$D3968*IFERROR(INDEX('تحليل التكلفة والسعر'!$C$2:$C$700,MATCH($C3968,'تحليل التكلفة والسعر'!$B$2:$B$700,0)),0))</f>
        <v>0</v>
      </c>
      <c r="H3968" s="104" t="s">
        <v>768</v>
      </c>
    </row>
    <row r="3969" customFormat="false" ht="15" hidden="false" customHeight="false" outlineLevel="0" collapsed="false">
      <c r="A3969" s="103" t="n">
        <v>46303</v>
      </c>
      <c r="B3969" s="104" t="s">
        <v>34</v>
      </c>
      <c r="C3969" s="104" t="s">
        <v>771</v>
      </c>
      <c r="D3969" s="105" t="n">
        <v>0.3333</v>
      </c>
      <c r="E3969" s="106" t="n">
        <v>280</v>
      </c>
      <c r="F3969" s="107" t="n">
        <f aca="false">IF($C3969="","",$D3969*$E3969)</f>
        <v>93.324</v>
      </c>
      <c r="G3969" s="107" t="n">
        <f aca="false">IF($C3969="","",$D3969*IFERROR(INDEX('تحليل التكلفة والسعر'!$C$2:$C$700,MATCH($C3969,'تحليل التكلفة والسعر'!$B$2:$B$700,0)),0))</f>
        <v>0</v>
      </c>
      <c r="H3969" s="104" t="s">
        <v>768</v>
      </c>
    </row>
    <row r="3970" customFormat="false" ht="15" hidden="false" customHeight="false" outlineLevel="0" collapsed="false">
      <c r="A3970" s="103" t="n">
        <v>46304</v>
      </c>
      <c r="B3970" s="104" t="s">
        <v>34</v>
      </c>
      <c r="C3970" s="104" t="s">
        <v>771</v>
      </c>
      <c r="D3970" s="105" t="n">
        <v>0.3333</v>
      </c>
      <c r="E3970" s="106" t="n">
        <v>280</v>
      </c>
      <c r="F3970" s="107" t="n">
        <f aca="false">IF($C3970="","",$D3970*$E3970)</f>
        <v>93.324</v>
      </c>
      <c r="G3970" s="107" t="n">
        <f aca="false">IF($C3970="","",$D3970*IFERROR(INDEX('تحليل التكلفة والسعر'!$C$2:$C$700,MATCH($C3970,'تحليل التكلفة والسعر'!$B$2:$B$700,0)),0))</f>
        <v>0</v>
      </c>
      <c r="H3970" s="104" t="s">
        <v>768</v>
      </c>
    </row>
    <row r="3971" customFormat="false" ht="15" hidden="false" customHeight="false" outlineLevel="0" collapsed="false">
      <c r="A3971" s="103" t="n">
        <v>46305</v>
      </c>
      <c r="B3971" s="104" t="s">
        <v>34</v>
      </c>
      <c r="C3971" s="104" t="s">
        <v>771</v>
      </c>
      <c r="D3971" s="105" t="n">
        <v>0.3333</v>
      </c>
      <c r="E3971" s="106" t="n">
        <v>280</v>
      </c>
      <c r="F3971" s="107" t="n">
        <f aca="false">IF($C3971="","",$D3971*$E3971)</f>
        <v>93.324</v>
      </c>
      <c r="G3971" s="107" t="n">
        <f aca="false">IF($C3971="","",$D3971*IFERROR(INDEX('تحليل التكلفة والسعر'!$C$2:$C$700,MATCH($C3971,'تحليل التكلفة والسعر'!$B$2:$B$700,0)),0))</f>
        <v>0</v>
      </c>
      <c r="H3971" s="104" t="s">
        <v>768</v>
      </c>
    </row>
    <row r="3972" customFormat="false" ht="15" hidden="false" customHeight="false" outlineLevel="0" collapsed="false">
      <c r="A3972" s="103" t="n">
        <v>46306</v>
      </c>
      <c r="B3972" s="104" t="s">
        <v>34</v>
      </c>
      <c r="C3972" s="104" t="s">
        <v>771</v>
      </c>
      <c r="D3972" s="105" t="n">
        <v>0.3333</v>
      </c>
      <c r="E3972" s="106" t="n">
        <v>280</v>
      </c>
      <c r="F3972" s="107" t="n">
        <f aca="false">IF($C3972="","",$D3972*$E3972)</f>
        <v>93.324</v>
      </c>
      <c r="G3972" s="107" t="n">
        <f aca="false">IF($C3972="","",$D3972*IFERROR(INDEX('تحليل التكلفة والسعر'!$C$2:$C$700,MATCH($C3972,'تحليل التكلفة والسعر'!$B$2:$B$700,0)),0))</f>
        <v>0</v>
      </c>
      <c r="H3972" s="104" t="s">
        <v>768</v>
      </c>
    </row>
    <row r="3973" customFormat="false" ht="15" hidden="false" customHeight="false" outlineLevel="0" collapsed="false">
      <c r="A3973" s="103" t="n">
        <v>46307</v>
      </c>
      <c r="B3973" s="104" t="s">
        <v>34</v>
      </c>
      <c r="C3973" s="104" t="s">
        <v>771</v>
      </c>
      <c r="D3973" s="105" t="n">
        <v>0.3333</v>
      </c>
      <c r="E3973" s="106" t="n">
        <v>280</v>
      </c>
      <c r="F3973" s="107" t="n">
        <f aca="false">IF($C3973="","",$D3973*$E3973)</f>
        <v>93.324</v>
      </c>
      <c r="G3973" s="107" t="n">
        <f aca="false">IF($C3973="","",$D3973*IFERROR(INDEX('تحليل التكلفة والسعر'!$C$2:$C$700,MATCH($C3973,'تحليل التكلفة والسعر'!$B$2:$B$700,0)),0))</f>
        <v>0</v>
      </c>
      <c r="H3973" s="104" t="s">
        <v>768</v>
      </c>
    </row>
    <row r="3974" customFormat="false" ht="15" hidden="false" customHeight="false" outlineLevel="0" collapsed="false">
      <c r="A3974" s="103" t="n">
        <v>46296</v>
      </c>
      <c r="B3974" s="104" t="s">
        <v>32</v>
      </c>
      <c r="C3974" s="104" t="s">
        <v>767</v>
      </c>
      <c r="D3974" s="105" t="n">
        <v>12.9167</v>
      </c>
      <c r="E3974" s="106" t="n">
        <v>255.2258</v>
      </c>
      <c r="F3974" s="107" t="n">
        <f aca="false">IF($C3974="","",$D3974*$E3974)</f>
        <v>3296.67509086</v>
      </c>
      <c r="G3974" s="107" t="n">
        <f aca="false">IF($C3974="","",$D3974*IFERROR(INDEX('تحليل التكلفة والسعر'!$C$2:$C$700,MATCH($C3974,'تحليل التكلفة والسعر'!$B$2:$B$700,0)),0))</f>
        <v>0</v>
      </c>
      <c r="H3974" s="104" t="s">
        <v>768</v>
      </c>
    </row>
    <row r="3975" customFormat="false" ht="15" hidden="false" customHeight="false" outlineLevel="0" collapsed="false">
      <c r="A3975" s="103" t="n">
        <v>46297</v>
      </c>
      <c r="B3975" s="104" t="s">
        <v>32</v>
      </c>
      <c r="C3975" s="104" t="s">
        <v>767</v>
      </c>
      <c r="D3975" s="105" t="n">
        <v>12.9167</v>
      </c>
      <c r="E3975" s="106" t="n">
        <v>255.2258</v>
      </c>
      <c r="F3975" s="107" t="n">
        <f aca="false">IF($C3975="","",$D3975*$E3975)</f>
        <v>3296.67509086</v>
      </c>
      <c r="G3975" s="107" t="n">
        <f aca="false">IF($C3975="","",$D3975*IFERROR(INDEX('تحليل التكلفة والسعر'!$C$2:$C$700,MATCH($C3975,'تحليل التكلفة والسعر'!$B$2:$B$700,0)),0))</f>
        <v>0</v>
      </c>
      <c r="H3975" s="104" t="s">
        <v>768</v>
      </c>
    </row>
    <row r="3976" customFormat="false" ht="15" hidden="false" customHeight="false" outlineLevel="0" collapsed="false">
      <c r="A3976" s="103" t="n">
        <v>46298</v>
      </c>
      <c r="B3976" s="104" t="s">
        <v>32</v>
      </c>
      <c r="C3976" s="104" t="s">
        <v>767</v>
      </c>
      <c r="D3976" s="105" t="n">
        <v>12.9167</v>
      </c>
      <c r="E3976" s="106" t="n">
        <v>255.2258</v>
      </c>
      <c r="F3976" s="107" t="n">
        <f aca="false">IF($C3976="","",$D3976*$E3976)</f>
        <v>3296.67509086</v>
      </c>
      <c r="G3976" s="107" t="n">
        <f aca="false">IF($C3976="","",$D3976*IFERROR(INDEX('تحليل التكلفة والسعر'!$C$2:$C$700,MATCH($C3976,'تحليل التكلفة والسعر'!$B$2:$B$700,0)),0))</f>
        <v>0</v>
      </c>
      <c r="H3976" s="104" t="s">
        <v>768</v>
      </c>
    </row>
    <row r="3977" customFormat="false" ht="15" hidden="false" customHeight="false" outlineLevel="0" collapsed="false">
      <c r="A3977" s="103" t="n">
        <v>46299</v>
      </c>
      <c r="B3977" s="104" t="s">
        <v>32</v>
      </c>
      <c r="C3977" s="104" t="s">
        <v>767</v>
      </c>
      <c r="D3977" s="105" t="n">
        <v>12.9167</v>
      </c>
      <c r="E3977" s="106" t="n">
        <v>255.2258</v>
      </c>
      <c r="F3977" s="107" t="n">
        <f aca="false">IF($C3977="","",$D3977*$E3977)</f>
        <v>3296.67509086</v>
      </c>
      <c r="G3977" s="107" t="n">
        <f aca="false">IF($C3977="","",$D3977*IFERROR(INDEX('تحليل التكلفة والسعر'!$C$2:$C$700,MATCH($C3977,'تحليل التكلفة والسعر'!$B$2:$B$700,0)),0))</f>
        <v>0</v>
      </c>
      <c r="H3977" s="104" t="s">
        <v>768</v>
      </c>
    </row>
    <row r="3978" customFormat="false" ht="15" hidden="false" customHeight="false" outlineLevel="0" collapsed="false">
      <c r="A3978" s="103" t="n">
        <v>46300</v>
      </c>
      <c r="B3978" s="104" t="s">
        <v>32</v>
      </c>
      <c r="C3978" s="104" t="s">
        <v>767</v>
      </c>
      <c r="D3978" s="105" t="n">
        <v>12.9167</v>
      </c>
      <c r="E3978" s="106" t="n">
        <v>255.2258</v>
      </c>
      <c r="F3978" s="107" t="n">
        <f aca="false">IF($C3978="","",$D3978*$E3978)</f>
        <v>3296.67509086</v>
      </c>
      <c r="G3978" s="107" t="n">
        <f aca="false">IF($C3978="","",$D3978*IFERROR(INDEX('تحليل التكلفة والسعر'!$C$2:$C$700,MATCH($C3978,'تحليل التكلفة والسعر'!$B$2:$B$700,0)),0))</f>
        <v>0</v>
      </c>
      <c r="H3978" s="104" t="s">
        <v>768</v>
      </c>
    </row>
    <row r="3979" customFormat="false" ht="15" hidden="false" customHeight="false" outlineLevel="0" collapsed="false">
      <c r="A3979" s="103" t="n">
        <v>46301</v>
      </c>
      <c r="B3979" s="104" t="s">
        <v>32</v>
      </c>
      <c r="C3979" s="104" t="s">
        <v>767</v>
      </c>
      <c r="D3979" s="105" t="n">
        <v>12.9167</v>
      </c>
      <c r="E3979" s="106" t="n">
        <v>255.2258</v>
      </c>
      <c r="F3979" s="107" t="n">
        <f aca="false">IF($C3979="","",$D3979*$E3979)</f>
        <v>3296.67509086</v>
      </c>
      <c r="G3979" s="107" t="n">
        <f aca="false">IF($C3979="","",$D3979*IFERROR(INDEX('تحليل التكلفة والسعر'!$C$2:$C$700,MATCH($C3979,'تحليل التكلفة والسعر'!$B$2:$B$700,0)),0))</f>
        <v>0</v>
      </c>
      <c r="H3979" s="104" t="s">
        <v>768</v>
      </c>
    </row>
    <row r="3980" customFormat="false" ht="15" hidden="false" customHeight="false" outlineLevel="0" collapsed="false">
      <c r="A3980" s="103" t="n">
        <v>46302</v>
      </c>
      <c r="B3980" s="104" t="s">
        <v>32</v>
      </c>
      <c r="C3980" s="104" t="s">
        <v>767</v>
      </c>
      <c r="D3980" s="105" t="n">
        <v>12.9167</v>
      </c>
      <c r="E3980" s="106" t="n">
        <v>255.2258</v>
      </c>
      <c r="F3980" s="107" t="n">
        <f aca="false">IF($C3980="","",$D3980*$E3980)</f>
        <v>3296.67509086</v>
      </c>
      <c r="G3980" s="107" t="n">
        <f aca="false">IF($C3980="","",$D3980*IFERROR(INDEX('تحليل التكلفة والسعر'!$C$2:$C$700,MATCH($C3980,'تحليل التكلفة والسعر'!$B$2:$B$700,0)),0))</f>
        <v>0</v>
      </c>
      <c r="H3980" s="104" t="s">
        <v>768</v>
      </c>
    </row>
    <row r="3981" customFormat="false" ht="15" hidden="false" customHeight="false" outlineLevel="0" collapsed="false">
      <c r="A3981" s="103" t="n">
        <v>46303</v>
      </c>
      <c r="B3981" s="104" t="s">
        <v>32</v>
      </c>
      <c r="C3981" s="104" t="s">
        <v>767</v>
      </c>
      <c r="D3981" s="105" t="n">
        <v>12.9167</v>
      </c>
      <c r="E3981" s="106" t="n">
        <v>255.2258</v>
      </c>
      <c r="F3981" s="107" t="n">
        <f aca="false">IF($C3981="","",$D3981*$E3981)</f>
        <v>3296.67509086</v>
      </c>
      <c r="G3981" s="107" t="n">
        <f aca="false">IF($C3981="","",$D3981*IFERROR(INDEX('تحليل التكلفة والسعر'!$C$2:$C$700,MATCH($C3981,'تحليل التكلفة والسعر'!$B$2:$B$700,0)),0))</f>
        <v>0</v>
      </c>
      <c r="H3981" s="104" t="s">
        <v>768</v>
      </c>
    </row>
    <row r="3982" customFormat="false" ht="15" hidden="false" customHeight="false" outlineLevel="0" collapsed="false">
      <c r="A3982" s="103" t="n">
        <v>46304</v>
      </c>
      <c r="B3982" s="104" t="s">
        <v>32</v>
      </c>
      <c r="C3982" s="104" t="s">
        <v>767</v>
      </c>
      <c r="D3982" s="105" t="n">
        <v>12.9167</v>
      </c>
      <c r="E3982" s="106" t="n">
        <v>255.2258</v>
      </c>
      <c r="F3982" s="107" t="n">
        <f aca="false">IF($C3982="","",$D3982*$E3982)</f>
        <v>3296.67509086</v>
      </c>
      <c r="G3982" s="107" t="n">
        <f aca="false">IF($C3982="","",$D3982*IFERROR(INDEX('تحليل التكلفة والسعر'!$C$2:$C$700,MATCH($C3982,'تحليل التكلفة والسعر'!$B$2:$B$700,0)),0))</f>
        <v>0</v>
      </c>
      <c r="H3982" s="104" t="s">
        <v>768</v>
      </c>
    </row>
    <row r="3983" customFormat="false" ht="15" hidden="false" customHeight="false" outlineLevel="0" collapsed="false">
      <c r="A3983" s="103" t="n">
        <v>46305</v>
      </c>
      <c r="B3983" s="104" t="s">
        <v>32</v>
      </c>
      <c r="C3983" s="104" t="s">
        <v>767</v>
      </c>
      <c r="D3983" s="105" t="n">
        <v>12.9167</v>
      </c>
      <c r="E3983" s="106" t="n">
        <v>255.2258</v>
      </c>
      <c r="F3983" s="107" t="n">
        <f aca="false">IF($C3983="","",$D3983*$E3983)</f>
        <v>3296.67509086</v>
      </c>
      <c r="G3983" s="107" t="n">
        <f aca="false">IF($C3983="","",$D3983*IFERROR(INDEX('تحليل التكلفة والسعر'!$C$2:$C$700,MATCH($C3983,'تحليل التكلفة والسعر'!$B$2:$B$700,0)),0))</f>
        <v>0</v>
      </c>
      <c r="H3983" s="104" t="s">
        <v>768</v>
      </c>
    </row>
    <row r="3984" customFormat="false" ht="15" hidden="false" customHeight="false" outlineLevel="0" collapsed="false">
      <c r="A3984" s="103" t="n">
        <v>46306</v>
      </c>
      <c r="B3984" s="104" t="s">
        <v>32</v>
      </c>
      <c r="C3984" s="104" t="s">
        <v>767</v>
      </c>
      <c r="D3984" s="105" t="n">
        <v>12.9167</v>
      </c>
      <c r="E3984" s="106" t="n">
        <v>255.2258</v>
      </c>
      <c r="F3984" s="107" t="n">
        <f aca="false">IF($C3984="","",$D3984*$E3984)</f>
        <v>3296.67509086</v>
      </c>
      <c r="G3984" s="107" t="n">
        <f aca="false">IF($C3984="","",$D3984*IFERROR(INDEX('تحليل التكلفة والسعر'!$C$2:$C$700,MATCH($C3984,'تحليل التكلفة والسعر'!$B$2:$B$700,0)),0))</f>
        <v>0</v>
      </c>
      <c r="H3984" s="104" t="s">
        <v>768</v>
      </c>
    </row>
    <row r="3985" customFormat="false" ht="15" hidden="false" customHeight="false" outlineLevel="0" collapsed="false">
      <c r="A3985" s="103" t="n">
        <v>46307</v>
      </c>
      <c r="B3985" s="104" t="s">
        <v>32</v>
      </c>
      <c r="C3985" s="104" t="s">
        <v>767</v>
      </c>
      <c r="D3985" s="105" t="n">
        <v>12.9167</v>
      </c>
      <c r="E3985" s="106" t="n">
        <v>255.2258</v>
      </c>
      <c r="F3985" s="107" t="n">
        <f aca="false">IF($C3985="","",$D3985*$E3985)</f>
        <v>3296.67509086</v>
      </c>
      <c r="G3985" s="107" t="n">
        <f aca="false">IF($C3985="","",$D3985*IFERROR(INDEX('تحليل التكلفة والسعر'!$C$2:$C$700,MATCH($C3985,'تحليل التكلفة والسعر'!$B$2:$B$700,0)),0))</f>
        <v>0</v>
      </c>
      <c r="H3985" s="104" t="s">
        <v>768</v>
      </c>
    </row>
    <row r="3986" customFormat="false" ht="15" hidden="false" customHeight="false" outlineLevel="0" collapsed="false">
      <c r="A3986" s="103" t="n">
        <v>46296</v>
      </c>
      <c r="B3986" s="104" t="s">
        <v>32</v>
      </c>
      <c r="C3986" s="104" t="s">
        <v>769</v>
      </c>
      <c r="D3986" s="105" t="n">
        <v>12.6667</v>
      </c>
      <c r="E3986" s="106" t="n">
        <v>250</v>
      </c>
      <c r="F3986" s="107" t="n">
        <f aca="false">IF($C3986="","",$D3986*$E3986)</f>
        <v>3166.675</v>
      </c>
      <c r="G3986" s="107" t="n">
        <f aca="false">IF($C3986="","",$D3986*IFERROR(INDEX('تحليل التكلفة والسعر'!$C$2:$C$700,MATCH($C3986,'تحليل التكلفة والسعر'!$B$2:$B$700,0)),0))</f>
        <v>0</v>
      </c>
      <c r="H3986" s="104" t="s">
        <v>768</v>
      </c>
    </row>
    <row r="3987" customFormat="false" ht="15" hidden="false" customHeight="false" outlineLevel="0" collapsed="false">
      <c r="A3987" s="103" t="n">
        <v>46297</v>
      </c>
      <c r="B3987" s="104" t="s">
        <v>32</v>
      </c>
      <c r="C3987" s="104" t="s">
        <v>769</v>
      </c>
      <c r="D3987" s="105" t="n">
        <v>12.6667</v>
      </c>
      <c r="E3987" s="106" t="n">
        <v>250</v>
      </c>
      <c r="F3987" s="107" t="n">
        <f aca="false">IF($C3987="","",$D3987*$E3987)</f>
        <v>3166.675</v>
      </c>
      <c r="G3987" s="107" t="n">
        <f aca="false">IF($C3987="","",$D3987*IFERROR(INDEX('تحليل التكلفة والسعر'!$C$2:$C$700,MATCH($C3987,'تحليل التكلفة والسعر'!$B$2:$B$700,0)),0))</f>
        <v>0</v>
      </c>
      <c r="H3987" s="104" t="s">
        <v>768</v>
      </c>
    </row>
    <row r="3988" customFormat="false" ht="15" hidden="false" customHeight="false" outlineLevel="0" collapsed="false">
      <c r="A3988" s="103" t="n">
        <v>46298</v>
      </c>
      <c r="B3988" s="104" t="s">
        <v>32</v>
      </c>
      <c r="C3988" s="104" t="s">
        <v>769</v>
      </c>
      <c r="D3988" s="105" t="n">
        <v>12.6667</v>
      </c>
      <c r="E3988" s="106" t="n">
        <v>250</v>
      </c>
      <c r="F3988" s="107" t="n">
        <f aca="false">IF($C3988="","",$D3988*$E3988)</f>
        <v>3166.675</v>
      </c>
      <c r="G3988" s="107" t="n">
        <f aca="false">IF($C3988="","",$D3988*IFERROR(INDEX('تحليل التكلفة والسعر'!$C$2:$C$700,MATCH($C3988,'تحليل التكلفة والسعر'!$B$2:$B$700,0)),0))</f>
        <v>0</v>
      </c>
      <c r="H3988" s="104" t="s">
        <v>768</v>
      </c>
    </row>
    <row r="3989" customFormat="false" ht="15" hidden="false" customHeight="false" outlineLevel="0" collapsed="false">
      <c r="A3989" s="103" t="n">
        <v>46299</v>
      </c>
      <c r="B3989" s="104" t="s">
        <v>32</v>
      </c>
      <c r="C3989" s="104" t="s">
        <v>769</v>
      </c>
      <c r="D3989" s="105" t="n">
        <v>12.6667</v>
      </c>
      <c r="E3989" s="106" t="n">
        <v>250</v>
      </c>
      <c r="F3989" s="107" t="n">
        <f aca="false">IF($C3989="","",$D3989*$E3989)</f>
        <v>3166.675</v>
      </c>
      <c r="G3989" s="107" t="n">
        <f aca="false">IF($C3989="","",$D3989*IFERROR(INDEX('تحليل التكلفة والسعر'!$C$2:$C$700,MATCH($C3989,'تحليل التكلفة والسعر'!$B$2:$B$700,0)),0))</f>
        <v>0</v>
      </c>
      <c r="H3989" s="104" t="s">
        <v>768</v>
      </c>
    </row>
    <row r="3990" customFormat="false" ht="15" hidden="false" customHeight="false" outlineLevel="0" collapsed="false">
      <c r="A3990" s="103" t="n">
        <v>46300</v>
      </c>
      <c r="B3990" s="104" t="s">
        <v>32</v>
      </c>
      <c r="C3990" s="104" t="s">
        <v>769</v>
      </c>
      <c r="D3990" s="105" t="n">
        <v>12.6667</v>
      </c>
      <c r="E3990" s="106" t="n">
        <v>250</v>
      </c>
      <c r="F3990" s="107" t="n">
        <f aca="false">IF($C3990="","",$D3990*$E3990)</f>
        <v>3166.675</v>
      </c>
      <c r="G3990" s="107" t="n">
        <f aca="false">IF($C3990="","",$D3990*IFERROR(INDEX('تحليل التكلفة والسعر'!$C$2:$C$700,MATCH($C3990,'تحليل التكلفة والسعر'!$B$2:$B$700,0)),0))</f>
        <v>0</v>
      </c>
      <c r="H3990" s="104" t="s">
        <v>768</v>
      </c>
    </row>
    <row r="3991" customFormat="false" ht="15" hidden="false" customHeight="false" outlineLevel="0" collapsed="false">
      <c r="A3991" s="103" t="n">
        <v>46301</v>
      </c>
      <c r="B3991" s="104" t="s">
        <v>32</v>
      </c>
      <c r="C3991" s="104" t="s">
        <v>769</v>
      </c>
      <c r="D3991" s="105" t="n">
        <v>12.6667</v>
      </c>
      <c r="E3991" s="106" t="n">
        <v>250</v>
      </c>
      <c r="F3991" s="107" t="n">
        <f aca="false">IF($C3991="","",$D3991*$E3991)</f>
        <v>3166.675</v>
      </c>
      <c r="G3991" s="107" t="n">
        <f aca="false">IF($C3991="","",$D3991*IFERROR(INDEX('تحليل التكلفة والسعر'!$C$2:$C$700,MATCH($C3991,'تحليل التكلفة والسعر'!$B$2:$B$700,0)),0))</f>
        <v>0</v>
      </c>
      <c r="H3991" s="104" t="s">
        <v>768</v>
      </c>
    </row>
    <row r="3992" customFormat="false" ht="15" hidden="false" customHeight="false" outlineLevel="0" collapsed="false">
      <c r="A3992" s="103" t="n">
        <v>46302</v>
      </c>
      <c r="B3992" s="104" t="s">
        <v>32</v>
      </c>
      <c r="C3992" s="104" t="s">
        <v>769</v>
      </c>
      <c r="D3992" s="105" t="n">
        <v>12.6667</v>
      </c>
      <c r="E3992" s="106" t="n">
        <v>250</v>
      </c>
      <c r="F3992" s="107" t="n">
        <f aca="false">IF($C3992="","",$D3992*$E3992)</f>
        <v>3166.675</v>
      </c>
      <c r="G3992" s="107" t="n">
        <f aca="false">IF($C3992="","",$D3992*IFERROR(INDEX('تحليل التكلفة والسعر'!$C$2:$C$700,MATCH($C3992,'تحليل التكلفة والسعر'!$B$2:$B$700,0)),0))</f>
        <v>0</v>
      </c>
      <c r="H3992" s="104" t="s">
        <v>768</v>
      </c>
    </row>
    <row r="3993" customFormat="false" ht="15" hidden="false" customHeight="false" outlineLevel="0" collapsed="false">
      <c r="A3993" s="103" t="n">
        <v>46303</v>
      </c>
      <c r="B3993" s="104" t="s">
        <v>32</v>
      </c>
      <c r="C3993" s="104" t="s">
        <v>769</v>
      </c>
      <c r="D3993" s="105" t="n">
        <v>12.6667</v>
      </c>
      <c r="E3993" s="106" t="n">
        <v>250</v>
      </c>
      <c r="F3993" s="107" t="n">
        <f aca="false">IF($C3993="","",$D3993*$E3993)</f>
        <v>3166.675</v>
      </c>
      <c r="G3993" s="107" t="n">
        <f aca="false">IF($C3993="","",$D3993*IFERROR(INDEX('تحليل التكلفة والسعر'!$C$2:$C$700,MATCH($C3993,'تحليل التكلفة والسعر'!$B$2:$B$700,0)),0))</f>
        <v>0</v>
      </c>
      <c r="H3993" s="104" t="s">
        <v>768</v>
      </c>
    </row>
    <row r="3994" customFormat="false" ht="15" hidden="false" customHeight="false" outlineLevel="0" collapsed="false">
      <c r="A3994" s="103" t="n">
        <v>46304</v>
      </c>
      <c r="B3994" s="104" t="s">
        <v>32</v>
      </c>
      <c r="C3994" s="104" t="s">
        <v>769</v>
      </c>
      <c r="D3994" s="105" t="n">
        <v>12.6667</v>
      </c>
      <c r="E3994" s="106" t="n">
        <v>250</v>
      </c>
      <c r="F3994" s="107" t="n">
        <f aca="false">IF($C3994="","",$D3994*$E3994)</f>
        <v>3166.675</v>
      </c>
      <c r="G3994" s="107" t="n">
        <f aca="false">IF($C3994="","",$D3994*IFERROR(INDEX('تحليل التكلفة والسعر'!$C$2:$C$700,MATCH($C3994,'تحليل التكلفة والسعر'!$B$2:$B$700,0)),0))</f>
        <v>0</v>
      </c>
      <c r="H3994" s="104" t="s">
        <v>768</v>
      </c>
    </row>
    <row r="3995" customFormat="false" ht="15" hidden="false" customHeight="false" outlineLevel="0" collapsed="false">
      <c r="A3995" s="103" t="n">
        <v>46305</v>
      </c>
      <c r="B3995" s="104" t="s">
        <v>32</v>
      </c>
      <c r="C3995" s="104" t="s">
        <v>769</v>
      </c>
      <c r="D3995" s="105" t="n">
        <v>12.6667</v>
      </c>
      <c r="E3995" s="106" t="n">
        <v>250</v>
      </c>
      <c r="F3995" s="107" t="n">
        <f aca="false">IF($C3995="","",$D3995*$E3995)</f>
        <v>3166.675</v>
      </c>
      <c r="G3995" s="107" t="n">
        <f aca="false">IF($C3995="","",$D3995*IFERROR(INDEX('تحليل التكلفة والسعر'!$C$2:$C$700,MATCH($C3995,'تحليل التكلفة والسعر'!$B$2:$B$700,0)),0))</f>
        <v>0</v>
      </c>
      <c r="H3995" s="104" t="s">
        <v>768</v>
      </c>
    </row>
    <row r="3996" customFormat="false" ht="15" hidden="false" customHeight="false" outlineLevel="0" collapsed="false">
      <c r="A3996" s="103" t="n">
        <v>46306</v>
      </c>
      <c r="B3996" s="104" t="s">
        <v>32</v>
      </c>
      <c r="C3996" s="104" t="s">
        <v>769</v>
      </c>
      <c r="D3996" s="105" t="n">
        <v>12.6667</v>
      </c>
      <c r="E3996" s="106" t="n">
        <v>250</v>
      </c>
      <c r="F3996" s="107" t="n">
        <f aca="false">IF($C3996="","",$D3996*$E3996)</f>
        <v>3166.675</v>
      </c>
      <c r="G3996" s="107" t="n">
        <f aca="false">IF($C3996="","",$D3996*IFERROR(INDEX('تحليل التكلفة والسعر'!$C$2:$C$700,MATCH($C3996,'تحليل التكلفة والسعر'!$B$2:$B$700,0)),0))</f>
        <v>0</v>
      </c>
      <c r="H3996" s="104" t="s">
        <v>768</v>
      </c>
    </row>
    <row r="3997" customFormat="false" ht="15" hidden="false" customHeight="false" outlineLevel="0" collapsed="false">
      <c r="A3997" s="103" t="n">
        <v>46307</v>
      </c>
      <c r="B3997" s="104" t="s">
        <v>32</v>
      </c>
      <c r="C3997" s="104" t="s">
        <v>769</v>
      </c>
      <c r="D3997" s="105" t="n">
        <v>12.6667</v>
      </c>
      <c r="E3997" s="106" t="n">
        <v>250</v>
      </c>
      <c r="F3997" s="107" t="n">
        <f aca="false">IF($C3997="","",$D3997*$E3997)</f>
        <v>3166.675</v>
      </c>
      <c r="G3997" s="107" t="n">
        <f aca="false">IF($C3997="","",$D3997*IFERROR(INDEX('تحليل التكلفة والسعر'!$C$2:$C$700,MATCH($C3997,'تحليل التكلفة والسعر'!$B$2:$B$700,0)),0))</f>
        <v>0</v>
      </c>
      <c r="H3997" s="104" t="s">
        <v>768</v>
      </c>
    </row>
    <row r="3998" customFormat="false" ht="15" hidden="false" customHeight="false" outlineLevel="0" collapsed="false">
      <c r="A3998" s="103" t="n">
        <v>46296</v>
      </c>
      <c r="B3998" s="104" t="s">
        <v>32</v>
      </c>
      <c r="C3998" s="104" t="s">
        <v>770</v>
      </c>
      <c r="D3998" s="105" t="n">
        <v>4.25</v>
      </c>
      <c r="E3998" s="106" t="n">
        <v>168.6275</v>
      </c>
      <c r="F3998" s="107" t="n">
        <f aca="false">IF($C3998="","",$D3998*$E3998)</f>
        <v>716.666875</v>
      </c>
      <c r="G3998" s="107" t="n">
        <f aca="false">IF($C3998="","",$D3998*IFERROR(INDEX('تحليل التكلفة والسعر'!$C$2:$C$700,MATCH($C3998,'تحليل التكلفة والسعر'!$B$2:$B$700,0)),0))</f>
        <v>0</v>
      </c>
      <c r="H3998" s="104" t="s">
        <v>768</v>
      </c>
    </row>
    <row r="3999" customFormat="false" ht="15" hidden="false" customHeight="false" outlineLevel="0" collapsed="false">
      <c r="A3999" s="103" t="n">
        <v>46297</v>
      </c>
      <c r="B3999" s="104" t="s">
        <v>32</v>
      </c>
      <c r="C3999" s="104" t="s">
        <v>770</v>
      </c>
      <c r="D3999" s="105" t="n">
        <v>4.25</v>
      </c>
      <c r="E3999" s="106" t="n">
        <v>168.6275</v>
      </c>
      <c r="F3999" s="107" t="n">
        <f aca="false">IF($C3999="","",$D3999*$E3999)</f>
        <v>716.666875</v>
      </c>
      <c r="G3999" s="107" t="n">
        <f aca="false">IF($C3999="","",$D3999*IFERROR(INDEX('تحليل التكلفة والسعر'!$C$2:$C$700,MATCH($C3999,'تحليل التكلفة والسعر'!$B$2:$B$700,0)),0))</f>
        <v>0</v>
      </c>
      <c r="H3999" s="104" t="s">
        <v>768</v>
      </c>
    </row>
    <row r="4000" customFormat="false" ht="15" hidden="false" customHeight="false" outlineLevel="0" collapsed="false">
      <c r="A4000" s="103" t="n">
        <v>46298</v>
      </c>
      <c r="B4000" s="104" t="s">
        <v>32</v>
      </c>
      <c r="C4000" s="104" t="s">
        <v>770</v>
      </c>
      <c r="D4000" s="105" t="n">
        <v>4.25</v>
      </c>
      <c r="E4000" s="106" t="n">
        <v>168.6275</v>
      </c>
      <c r="F4000" s="107" t="n">
        <f aca="false">IF($C4000="","",$D4000*$E4000)</f>
        <v>716.666875</v>
      </c>
      <c r="G4000" s="107" t="n">
        <f aca="false">IF($C4000="","",$D4000*IFERROR(INDEX('تحليل التكلفة والسعر'!$C$2:$C$700,MATCH($C4000,'تحليل التكلفة والسعر'!$B$2:$B$700,0)),0))</f>
        <v>0</v>
      </c>
      <c r="H4000" s="104" t="s">
        <v>768</v>
      </c>
    </row>
    <row r="4001" customFormat="false" ht="15" hidden="false" customHeight="false" outlineLevel="0" collapsed="false">
      <c r="A4001" s="103" t="n">
        <v>46299</v>
      </c>
      <c r="B4001" s="104" t="s">
        <v>32</v>
      </c>
      <c r="C4001" s="104" t="s">
        <v>770</v>
      </c>
      <c r="D4001" s="105" t="n">
        <v>4.25</v>
      </c>
      <c r="E4001" s="106" t="n">
        <v>168.6275</v>
      </c>
      <c r="F4001" s="107" t="n">
        <f aca="false">IF($C4001="","",$D4001*$E4001)</f>
        <v>716.666875</v>
      </c>
      <c r="G4001" s="107" t="n">
        <f aca="false">IF($C4001="","",$D4001*IFERROR(INDEX('تحليل التكلفة والسعر'!$C$2:$C$700,MATCH($C4001,'تحليل التكلفة والسعر'!$B$2:$B$700,0)),0))</f>
        <v>0</v>
      </c>
      <c r="H4001" s="104" t="s">
        <v>768</v>
      </c>
    </row>
    <row r="4002" customFormat="false" ht="15" hidden="false" customHeight="false" outlineLevel="0" collapsed="false">
      <c r="A4002" s="103" t="n">
        <v>46300</v>
      </c>
      <c r="B4002" s="104" t="s">
        <v>32</v>
      </c>
      <c r="C4002" s="104" t="s">
        <v>770</v>
      </c>
      <c r="D4002" s="105" t="n">
        <v>4.25</v>
      </c>
      <c r="E4002" s="106" t="n">
        <v>168.6275</v>
      </c>
      <c r="F4002" s="107" t="n">
        <f aca="false">IF($C4002="","",$D4002*$E4002)</f>
        <v>716.666875</v>
      </c>
      <c r="G4002" s="107" t="n">
        <f aca="false">IF($C4002="","",$D4002*IFERROR(INDEX('تحليل التكلفة والسعر'!$C$2:$C$700,MATCH($C4002,'تحليل التكلفة والسعر'!$B$2:$B$700,0)),0))</f>
        <v>0</v>
      </c>
      <c r="H4002" s="104" t="s">
        <v>768</v>
      </c>
    </row>
    <row r="4003" customFormat="false" ht="15" hidden="false" customHeight="false" outlineLevel="0" collapsed="false">
      <c r="A4003" s="103" t="n">
        <v>46301</v>
      </c>
      <c r="B4003" s="104" t="s">
        <v>32</v>
      </c>
      <c r="C4003" s="104" t="s">
        <v>770</v>
      </c>
      <c r="D4003" s="105" t="n">
        <v>4.25</v>
      </c>
      <c r="E4003" s="106" t="n">
        <v>168.6275</v>
      </c>
      <c r="F4003" s="107" t="n">
        <f aca="false">IF($C4003="","",$D4003*$E4003)</f>
        <v>716.666875</v>
      </c>
      <c r="G4003" s="107" t="n">
        <f aca="false">IF($C4003="","",$D4003*IFERROR(INDEX('تحليل التكلفة والسعر'!$C$2:$C$700,MATCH($C4003,'تحليل التكلفة والسعر'!$B$2:$B$700,0)),0))</f>
        <v>0</v>
      </c>
      <c r="H4003" s="104" t="s">
        <v>768</v>
      </c>
    </row>
    <row r="4004" customFormat="false" ht="15" hidden="false" customHeight="false" outlineLevel="0" collapsed="false">
      <c r="A4004" s="103" t="n">
        <v>46302</v>
      </c>
      <c r="B4004" s="104" t="s">
        <v>32</v>
      </c>
      <c r="C4004" s="104" t="s">
        <v>770</v>
      </c>
      <c r="D4004" s="105" t="n">
        <v>4.25</v>
      </c>
      <c r="E4004" s="106" t="n">
        <v>168.6275</v>
      </c>
      <c r="F4004" s="107" t="n">
        <f aca="false">IF($C4004="","",$D4004*$E4004)</f>
        <v>716.666875</v>
      </c>
      <c r="G4004" s="107" t="n">
        <f aca="false">IF($C4004="","",$D4004*IFERROR(INDEX('تحليل التكلفة والسعر'!$C$2:$C$700,MATCH($C4004,'تحليل التكلفة والسعر'!$B$2:$B$700,0)),0))</f>
        <v>0</v>
      </c>
      <c r="H4004" s="104" t="s">
        <v>768</v>
      </c>
    </row>
    <row r="4005" customFormat="false" ht="15" hidden="false" customHeight="false" outlineLevel="0" collapsed="false">
      <c r="A4005" s="103" t="n">
        <v>46303</v>
      </c>
      <c r="B4005" s="104" t="s">
        <v>32</v>
      </c>
      <c r="C4005" s="104" t="s">
        <v>770</v>
      </c>
      <c r="D4005" s="105" t="n">
        <v>4.25</v>
      </c>
      <c r="E4005" s="106" t="n">
        <v>168.6275</v>
      </c>
      <c r="F4005" s="107" t="n">
        <f aca="false">IF($C4005="","",$D4005*$E4005)</f>
        <v>716.666875</v>
      </c>
      <c r="G4005" s="107" t="n">
        <f aca="false">IF($C4005="","",$D4005*IFERROR(INDEX('تحليل التكلفة والسعر'!$C$2:$C$700,MATCH($C4005,'تحليل التكلفة والسعر'!$B$2:$B$700,0)),0))</f>
        <v>0</v>
      </c>
      <c r="H4005" s="104" t="s">
        <v>768</v>
      </c>
    </row>
    <row r="4006" customFormat="false" ht="15" hidden="false" customHeight="false" outlineLevel="0" collapsed="false">
      <c r="A4006" s="103" t="n">
        <v>46304</v>
      </c>
      <c r="B4006" s="104" t="s">
        <v>32</v>
      </c>
      <c r="C4006" s="104" t="s">
        <v>770</v>
      </c>
      <c r="D4006" s="105" t="n">
        <v>4.25</v>
      </c>
      <c r="E4006" s="106" t="n">
        <v>168.6275</v>
      </c>
      <c r="F4006" s="107" t="n">
        <f aca="false">IF($C4006="","",$D4006*$E4006)</f>
        <v>716.666875</v>
      </c>
      <c r="G4006" s="107" t="n">
        <f aca="false">IF($C4006="","",$D4006*IFERROR(INDEX('تحليل التكلفة والسعر'!$C$2:$C$700,MATCH($C4006,'تحليل التكلفة والسعر'!$B$2:$B$700,0)),0))</f>
        <v>0</v>
      </c>
      <c r="H4006" s="104" t="s">
        <v>768</v>
      </c>
    </row>
    <row r="4007" customFormat="false" ht="15" hidden="false" customHeight="false" outlineLevel="0" collapsed="false">
      <c r="A4007" s="103" t="n">
        <v>46305</v>
      </c>
      <c r="B4007" s="104" t="s">
        <v>32</v>
      </c>
      <c r="C4007" s="104" t="s">
        <v>770</v>
      </c>
      <c r="D4007" s="105" t="n">
        <v>4.25</v>
      </c>
      <c r="E4007" s="106" t="n">
        <v>168.6275</v>
      </c>
      <c r="F4007" s="107" t="n">
        <f aca="false">IF($C4007="","",$D4007*$E4007)</f>
        <v>716.666875</v>
      </c>
      <c r="G4007" s="107" t="n">
        <f aca="false">IF($C4007="","",$D4007*IFERROR(INDEX('تحليل التكلفة والسعر'!$C$2:$C$700,MATCH($C4007,'تحليل التكلفة والسعر'!$B$2:$B$700,0)),0))</f>
        <v>0</v>
      </c>
      <c r="H4007" s="104" t="s">
        <v>768</v>
      </c>
    </row>
    <row r="4008" customFormat="false" ht="15" hidden="false" customHeight="false" outlineLevel="0" collapsed="false">
      <c r="A4008" s="103" t="n">
        <v>46306</v>
      </c>
      <c r="B4008" s="104" t="s">
        <v>32</v>
      </c>
      <c r="C4008" s="104" t="s">
        <v>770</v>
      </c>
      <c r="D4008" s="105" t="n">
        <v>4.25</v>
      </c>
      <c r="E4008" s="106" t="n">
        <v>168.6275</v>
      </c>
      <c r="F4008" s="107" t="n">
        <f aca="false">IF($C4008="","",$D4008*$E4008)</f>
        <v>716.666875</v>
      </c>
      <c r="G4008" s="107" t="n">
        <f aca="false">IF($C4008="","",$D4008*IFERROR(INDEX('تحليل التكلفة والسعر'!$C$2:$C$700,MATCH($C4008,'تحليل التكلفة والسعر'!$B$2:$B$700,0)),0))</f>
        <v>0</v>
      </c>
      <c r="H4008" s="104" t="s">
        <v>768</v>
      </c>
    </row>
    <row r="4009" customFormat="false" ht="15" hidden="false" customHeight="false" outlineLevel="0" collapsed="false">
      <c r="A4009" s="103" t="n">
        <v>46307</v>
      </c>
      <c r="B4009" s="104" t="s">
        <v>32</v>
      </c>
      <c r="C4009" s="104" t="s">
        <v>770</v>
      </c>
      <c r="D4009" s="105" t="n">
        <v>4.25</v>
      </c>
      <c r="E4009" s="106" t="n">
        <v>168.6275</v>
      </c>
      <c r="F4009" s="107" t="n">
        <f aca="false">IF($C4009="","",$D4009*$E4009)</f>
        <v>716.666875</v>
      </c>
      <c r="G4009" s="107" t="n">
        <f aca="false">IF($C4009="","",$D4009*IFERROR(INDEX('تحليل التكلفة والسعر'!$C$2:$C$700,MATCH($C4009,'تحليل التكلفة والسعر'!$B$2:$B$700,0)),0))</f>
        <v>0</v>
      </c>
      <c r="H4009" s="104" t="s">
        <v>768</v>
      </c>
    </row>
    <row r="4010" customFormat="false" ht="15" hidden="false" customHeight="false" outlineLevel="0" collapsed="false">
      <c r="A4010" s="103" t="n">
        <v>46296</v>
      </c>
      <c r="B4010" s="104" t="s">
        <v>32</v>
      </c>
      <c r="C4010" s="104" t="s">
        <v>771</v>
      </c>
      <c r="D4010" s="105" t="n">
        <v>0.6667</v>
      </c>
      <c r="E4010" s="106" t="n">
        <v>280</v>
      </c>
      <c r="F4010" s="107" t="n">
        <f aca="false">IF($C4010="","",$D4010*$E4010)</f>
        <v>186.676</v>
      </c>
      <c r="G4010" s="107" t="n">
        <f aca="false">IF($C4010="","",$D4010*IFERROR(INDEX('تحليل التكلفة والسعر'!$C$2:$C$700,MATCH($C4010,'تحليل التكلفة والسعر'!$B$2:$B$700,0)),0))</f>
        <v>0</v>
      </c>
      <c r="H4010" s="104" t="s">
        <v>768</v>
      </c>
    </row>
    <row r="4011" customFormat="false" ht="15" hidden="false" customHeight="false" outlineLevel="0" collapsed="false">
      <c r="A4011" s="103" t="n">
        <v>46297</v>
      </c>
      <c r="B4011" s="104" t="s">
        <v>32</v>
      </c>
      <c r="C4011" s="104" t="s">
        <v>771</v>
      </c>
      <c r="D4011" s="105" t="n">
        <v>0.6667</v>
      </c>
      <c r="E4011" s="106" t="n">
        <v>280</v>
      </c>
      <c r="F4011" s="107" t="n">
        <f aca="false">IF($C4011="","",$D4011*$E4011)</f>
        <v>186.676</v>
      </c>
      <c r="G4011" s="107" t="n">
        <f aca="false">IF($C4011="","",$D4011*IFERROR(INDEX('تحليل التكلفة والسعر'!$C$2:$C$700,MATCH($C4011,'تحليل التكلفة والسعر'!$B$2:$B$700,0)),0))</f>
        <v>0</v>
      </c>
      <c r="H4011" s="104" t="s">
        <v>768</v>
      </c>
    </row>
    <row r="4012" customFormat="false" ht="15" hidden="false" customHeight="false" outlineLevel="0" collapsed="false">
      <c r="A4012" s="103" t="n">
        <v>46298</v>
      </c>
      <c r="B4012" s="104" t="s">
        <v>32</v>
      </c>
      <c r="C4012" s="104" t="s">
        <v>771</v>
      </c>
      <c r="D4012" s="105" t="n">
        <v>0.6667</v>
      </c>
      <c r="E4012" s="106" t="n">
        <v>280</v>
      </c>
      <c r="F4012" s="107" t="n">
        <f aca="false">IF($C4012="","",$D4012*$E4012)</f>
        <v>186.676</v>
      </c>
      <c r="G4012" s="107" t="n">
        <f aca="false">IF($C4012="","",$D4012*IFERROR(INDEX('تحليل التكلفة والسعر'!$C$2:$C$700,MATCH($C4012,'تحليل التكلفة والسعر'!$B$2:$B$700,0)),0))</f>
        <v>0</v>
      </c>
      <c r="H4012" s="104" t="s">
        <v>768</v>
      </c>
    </row>
    <row r="4013" customFormat="false" ht="15" hidden="false" customHeight="false" outlineLevel="0" collapsed="false">
      <c r="A4013" s="103" t="n">
        <v>46299</v>
      </c>
      <c r="B4013" s="104" t="s">
        <v>32</v>
      </c>
      <c r="C4013" s="104" t="s">
        <v>771</v>
      </c>
      <c r="D4013" s="105" t="n">
        <v>0.6667</v>
      </c>
      <c r="E4013" s="106" t="n">
        <v>280</v>
      </c>
      <c r="F4013" s="107" t="n">
        <f aca="false">IF($C4013="","",$D4013*$E4013)</f>
        <v>186.676</v>
      </c>
      <c r="G4013" s="107" t="n">
        <f aca="false">IF($C4013="","",$D4013*IFERROR(INDEX('تحليل التكلفة والسعر'!$C$2:$C$700,MATCH($C4013,'تحليل التكلفة والسعر'!$B$2:$B$700,0)),0))</f>
        <v>0</v>
      </c>
      <c r="H4013" s="104" t="s">
        <v>768</v>
      </c>
    </row>
    <row r="4014" customFormat="false" ht="15" hidden="false" customHeight="false" outlineLevel="0" collapsed="false">
      <c r="A4014" s="103" t="n">
        <v>46300</v>
      </c>
      <c r="B4014" s="104" t="s">
        <v>32</v>
      </c>
      <c r="C4014" s="104" t="s">
        <v>771</v>
      </c>
      <c r="D4014" s="105" t="n">
        <v>0.6667</v>
      </c>
      <c r="E4014" s="106" t="n">
        <v>280</v>
      </c>
      <c r="F4014" s="107" t="n">
        <f aca="false">IF($C4014="","",$D4014*$E4014)</f>
        <v>186.676</v>
      </c>
      <c r="G4014" s="107" t="n">
        <f aca="false">IF($C4014="","",$D4014*IFERROR(INDEX('تحليل التكلفة والسعر'!$C$2:$C$700,MATCH($C4014,'تحليل التكلفة والسعر'!$B$2:$B$700,0)),0))</f>
        <v>0</v>
      </c>
      <c r="H4014" s="104" t="s">
        <v>768</v>
      </c>
    </row>
    <row r="4015" customFormat="false" ht="15" hidden="false" customHeight="false" outlineLevel="0" collapsed="false">
      <c r="A4015" s="103" t="n">
        <v>46301</v>
      </c>
      <c r="B4015" s="104" t="s">
        <v>32</v>
      </c>
      <c r="C4015" s="104" t="s">
        <v>771</v>
      </c>
      <c r="D4015" s="105" t="n">
        <v>0.6667</v>
      </c>
      <c r="E4015" s="106" t="n">
        <v>280</v>
      </c>
      <c r="F4015" s="107" t="n">
        <f aca="false">IF($C4015="","",$D4015*$E4015)</f>
        <v>186.676</v>
      </c>
      <c r="G4015" s="107" t="n">
        <f aca="false">IF($C4015="","",$D4015*IFERROR(INDEX('تحليل التكلفة والسعر'!$C$2:$C$700,MATCH($C4015,'تحليل التكلفة والسعر'!$B$2:$B$700,0)),0))</f>
        <v>0</v>
      </c>
      <c r="H4015" s="104" t="s">
        <v>768</v>
      </c>
    </row>
    <row r="4016" customFormat="false" ht="15" hidden="false" customHeight="false" outlineLevel="0" collapsed="false">
      <c r="A4016" s="103" t="n">
        <v>46302</v>
      </c>
      <c r="B4016" s="104" t="s">
        <v>32</v>
      </c>
      <c r="C4016" s="104" t="s">
        <v>771</v>
      </c>
      <c r="D4016" s="105" t="n">
        <v>0.6667</v>
      </c>
      <c r="E4016" s="106" t="n">
        <v>280</v>
      </c>
      <c r="F4016" s="107" t="n">
        <f aca="false">IF($C4016="","",$D4016*$E4016)</f>
        <v>186.676</v>
      </c>
      <c r="G4016" s="107" t="n">
        <f aca="false">IF($C4016="","",$D4016*IFERROR(INDEX('تحليل التكلفة والسعر'!$C$2:$C$700,MATCH($C4016,'تحليل التكلفة والسعر'!$B$2:$B$700,0)),0))</f>
        <v>0</v>
      </c>
      <c r="H4016" s="104" t="s">
        <v>768</v>
      </c>
    </row>
    <row r="4017" customFormat="false" ht="15" hidden="false" customHeight="false" outlineLevel="0" collapsed="false">
      <c r="A4017" s="103" t="n">
        <v>46303</v>
      </c>
      <c r="B4017" s="104" t="s">
        <v>32</v>
      </c>
      <c r="C4017" s="104" t="s">
        <v>771</v>
      </c>
      <c r="D4017" s="105" t="n">
        <v>0.6667</v>
      </c>
      <c r="E4017" s="106" t="n">
        <v>280</v>
      </c>
      <c r="F4017" s="107" t="n">
        <f aca="false">IF($C4017="","",$D4017*$E4017)</f>
        <v>186.676</v>
      </c>
      <c r="G4017" s="107" t="n">
        <f aca="false">IF($C4017="","",$D4017*IFERROR(INDEX('تحليل التكلفة والسعر'!$C$2:$C$700,MATCH($C4017,'تحليل التكلفة والسعر'!$B$2:$B$700,0)),0))</f>
        <v>0</v>
      </c>
      <c r="H4017" s="104" t="s">
        <v>768</v>
      </c>
    </row>
    <row r="4018" customFormat="false" ht="15" hidden="false" customHeight="false" outlineLevel="0" collapsed="false">
      <c r="A4018" s="103" t="n">
        <v>46304</v>
      </c>
      <c r="B4018" s="104" t="s">
        <v>32</v>
      </c>
      <c r="C4018" s="104" t="s">
        <v>771</v>
      </c>
      <c r="D4018" s="105" t="n">
        <v>0.6667</v>
      </c>
      <c r="E4018" s="106" t="n">
        <v>280</v>
      </c>
      <c r="F4018" s="107" t="n">
        <f aca="false">IF($C4018="","",$D4018*$E4018)</f>
        <v>186.676</v>
      </c>
      <c r="G4018" s="107" t="n">
        <f aca="false">IF($C4018="","",$D4018*IFERROR(INDEX('تحليل التكلفة والسعر'!$C$2:$C$700,MATCH($C4018,'تحليل التكلفة والسعر'!$B$2:$B$700,0)),0))</f>
        <v>0</v>
      </c>
      <c r="H4018" s="104" t="s">
        <v>768</v>
      </c>
    </row>
    <row r="4019" customFormat="false" ht="15" hidden="false" customHeight="false" outlineLevel="0" collapsed="false">
      <c r="A4019" s="103" t="n">
        <v>46305</v>
      </c>
      <c r="B4019" s="104" t="s">
        <v>32</v>
      </c>
      <c r="C4019" s="104" t="s">
        <v>771</v>
      </c>
      <c r="D4019" s="105" t="n">
        <v>0.6667</v>
      </c>
      <c r="E4019" s="106" t="n">
        <v>280</v>
      </c>
      <c r="F4019" s="107" t="n">
        <f aca="false">IF($C4019="","",$D4019*$E4019)</f>
        <v>186.676</v>
      </c>
      <c r="G4019" s="107" t="n">
        <f aca="false">IF($C4019="","",$D4019*IFERROR(INDEX('تحليل التكلفة والسعر'!$C$2:$C$700,MATCH($C4019,'تحليل التكلفة والسعر'!$B$2:$B$700,0)),0))</f>
        <v>0</v>
      </c>
      <c r="H4019" s="104" t="s">
        <v>768</v>
      </c>
    </row>
    <row r="4020" customFormat="false" ht="15" hidden="false" customHeight="false" outlineLevel="0" collapsed="false">
      <c r="A4020" s="103" t="n">
        <v>46306</v>
      </c>
      <c r="B4020" s="104" t="s">
        <v>32</v>
      </c>
      <c r="C4020" s="104" t="s">
        <v>771</v>
      </c>
      <c r="D4020" s="105" t="n">
        <v>0.6667</v>
      </c>
      <c r="E4020" s="106" t="n">
        <v>280</v>
      </c>
      <c r="F4020" s="107" t="n">
        <f aca="false">IF($C4020="","",$D4020*$E4020)</f>
        <v>186.676</v>
      </c>
      <c r="G4020" s="107" t="n">
        <f aca="false">IF($C4020="","",$D4020*IFERROR(INDEX('تحليل التكلفة والسعر'!$C$2:$C$700,MATCH($C4020,'تحليل التكلفة والسعر'!$B$2:$B$700,0)),0))</f>
        <v>0</v>
      </c>
      <c r="H4020" s="104" t="s">
        <v>768</v>
      </c>
    </row>
    <row r="4021" customFormat="false" ht="15" hidden="false" customHeight="false" outlineLevel="0" collapsed="false">
      <c r="A4021" s="103" t="n">
        <v>46307</v>
      </c>
      <c r="B4021" s="104" t="s">
        <v>32</v>
      </c>
      <c r="C4021" s="104" t="s">
        <v>771</v>
      </c>
      <c r="D4021" s="105" t="n">
        <v>0.6667</v>
      </c>
      <c r="E4021" s="106" t="n">
        <v>280</v>
      </c>
      <c r="F4021" s="107" t="n">
        <f aca="false">IF($C4021="","",$D4021*$E4021)</f>
        <v>186.676</v>
      </c>
      <c r="G4021" s="107" t="n">
        <f aca="false">IF($C4021="","",$D4021*IFERROR(INDEX('تحليل التكلفة والسعر'!$C$2:$C$700,MATCH($C4021,'تحليل التكلفة والسعر'!$B$2:$B$700,0)),0))</f>
        <v>0</v>
      </c>
      <c r="H4021" s="104" t="s">
        <v>768</v>
      </c>
    </row>
    <row r="4022" customFormat="false" ht="15" hidden="false" customHeight="false" outlineLevel="0" collapsed="false">
      <c r="A4022" s="103"/>
      <c r="B4022" s="104"/>
      <c r="C4022" s="104"/>
      <c r="E4022" s="107" t="str">
        <f aca="false">IF($C4022="","",IFERROR(INDEX(المنيو!$C$2:$C$500,MATCH($C4022,المنيو!$B$2:$B$500,0)),0))</f>
        <v/>
      </c>
      <c r="F4022" s="107" t="str">
        <f aca="false">IF($C4022="","",$D4022*$E4022)</f>
        <v/>
      </c>
      <c r="G4022" s="107" t="str">
        <f aca="false">IF($C4022="","",$D4022*IFERROR(INDEX('تحليل التكلفة والسعر'!$C$2:$C$700,MATCH($C4022,'تحليل التكلفة والسعر'!$B$2:$B$700,0)),0))</f>
        <v/>
      </c>
    </row>
    <row r="4023" customFormat="false" ht="15" hidden="false" customHeight="false" outlineLevel="0" collapsed="false">
      <c r="A4023" s="103"/>
      <c r="B4023" s="104"/>
      <c r="C4023" s="104"/>
      <c r="E4023" s="107" t="str">
        <f aca="false">IF($C4023="","",IFERROR(INDEX(المنيو!$C$2:$C$500,MATCH($C4023,المنيو!$B$2:$B$500,0)),0))</f>
        <v/>
      </c>
      <c r="F4023" s="107" t="str">
        <f aca="false">IF($C4023="","",$D4023*$E4023)</f>
        <v/>
      </c>
      <c r="G4023" s="107" t="str">
        <f aca="false">IF($C4023="","",$D4023*IFERROR(INDEX('تحليل التكلفة والسعر'!$C$2:$C$700,MATCH($C4023,'تحليل التكلفة والسعر'!$B$2:$B$700,0)),0))</f>
        <v/>
      </c>
    </row>
    <row r="4024" customFormat="false" ht="15" hidden="false" customHeight="false" outlineLevel="0" collapsed="false">
      <c r="A4024" s="103"/>
      <c r="B4024" s="104"/>
      <c r="C4024" s="104"/>
      <c r="E4024" s="107" t="str">
        <f aca="false">IF($C4024="","",IFERROR(INDEX(المنيو!$C$2:$C$500,MATCH($C4024,المنيو!$B$2:$B$500,0)),0))</f>
        <v/>
      </c>
      <c r="F4024" s="107" t="str">
        <f aca="false">IF($C4024="","",$D4024*$E4024)</f>
        <v/>
      </c>
      <c r="G4024" s="107" t="str">
        <f aca="false">IF($C4024="","",$D4024*IFERROR(INDEX('تحليل التكلفة والسعر'!$C$2:$C$700,MATCH($C4024,'تحليل التكلفة والسعر'!$B$2:$B$700,0)),0))</f>
        <v/>
      </c>
    </row>
    <row r="4025" customFormat="false" ht="15" hidden="false" customHeight="false" outlineLevel="0" collapsed="false">
      <c r="A4025" s="103"/>
      <c r="B4025" s="104"/>
      <c r="C4025" s="104"/>
      <c r="E4025" s="107" t="str">
        <f aca="false">IF($C4025="","",IFERROR(INDEX(المنيو!$C$2:$C$500,MATCH($C4025,المنيو!$B$2:$B$500,0)),0))</f>
        <v/>
      </c>
      <c r="F4025" s="107" t="str">
        <f aca="false">IF($C4025="","",$D4025*$E4025)</f>
        <v/>
      </c>
      <c r="G4025" s="107" t="str">
        <f aca="false">IF($C4025="","",$D4025*IFERROR(INDEX('تحليل التكلفة والسعر'!$C$2:$C$700,MATCH($C4025,'تحليل التكلفة والسعر'!$B$2:$B$700,0)),0))</f>
        <v/>
      </c>
    </row>
    <row r="4026" customFormat="false" ht="15" hidden="false" customHeight="false" outlineLevel="0" collapsed="false">
      <c r="A4026" s="103"/>
      <c r="B4026" s="104"/>
      <c r="C4026" s="104"/>
      <c r="E4026" s="107" t="str">
        <f aca="false">IF($C4026="","",IFERROR(INDEX(المنيو!$C$2:$C$500,MATCH($C4026,المنيو!$B$2:$B$500,0)),0))</f>
        <v/>
      </c>
      <c r="F4026" s="107" t="str">
        <f aca="false">IF($C4026="","",$D4026*$E4026)</f>
        <v/>
      </c>
      <c r="G4026" s="107" t="str">
        <f aca="false">IF($C4026="","",$D4026*IFERROR(INDEX('تحليل التكلفة والسعر'!$C$2:$C$700,MATCH($C4026,'تحليل التكلفة والسعر'!$B$2:$B$700,0)),0))</f>
        <v/>
      </c>
    </row>
    <row r="4027" customFormat="false" ht="15" hidden="false" customHeight="false" outlineLevel="0" collapsed="false">
      <c r="A4027" s="103"/>
      <c r="B4027" s="104"/>
      <c r="C4027" s="104"/>
      <c r="E4027" s="107" t="str">
        <f aca="false">IF($C4027="","",IFERROR(INDEX(المنيو!$C$2:$C$500,MATCH($C4027,المنيو!$B$2:$B$500,0)),0))</f>
        <v/>
      </c>
      <c r="F4027" s="107" t="str">
        <f aca="false">IF($C4027="","",$D4027*$E4027)</f>
        <v/>
      </c>
      <c r="G4027" s="107" t="str">
        <f aca="false">IF($C4027="","",$D4027*IFERROR(INDEX('تحليل التكلفة والسعر'!$C$2:$C$700,MATCH($C4027,'تحليل التكلفة والسعر'!$B$2:$B$700,0)),0))</f>
        <v/>
      </c>
    </row>
    <row r="4028" customFormat="false" ht="15" hidden="false" customHeight="false" outlineLevel="0" collapsed="false">
      <c r="A4028" s="103"/>
      <c r="B4028" s="104"/>
      <c r="C4028" s="104"/>
      <c r="E4028" s="107" t="str">
        <f aca="false">IF($C4028="","",IFERROR(INDEX(المنيو!$C$2:$C$500,MATCH($C4028,المنيو!$B$2:$B$500,0)),0))</f>
        <v/>
      </c>
      <c r="F4028" s="107" t="str">
        <f aca="false">IF($C4028="","",$D4028*$E4028)</f>
        <v/>
      </c>
      <c r="G4028" s="107" t="str">
        <f aca="false">IF($C4028="","",$D4028*IFERROR(INDEX('تحليل التكلفة والسعر'!$C$2:$C$700,MATCH($C4028,'تحليل التكلفة والسعر'!$B$2:$B$700,0)),0))</f>
        <v/>
      </c>
    </row>
    <row r="4029" customFormat="false" ht="15" hidden="false" customHeight="false" outlineLevel="0" collapsed="false">
      <c r="A4029" s="103"/>
      <c r="B4029" s="104"/>
      <c r="C4029" s="104"/>
      <c r="E4029" s="107" t="str">
        <f aca="false">IF($C4029="","",IFERROR(INDEX(المنيو!$C$2:$C$500,MATCH($C4029,المنيو!$B$2:$B$500,0)),0))</f>
        <v/>
      </c>
      <c r="F4029" s="107" t="str">
        <f aca="false">IF($C4029="","",$D4029*$E4029)</f>
        <v/>
      </c>
      <c r="G4029" s="107" t="str">
        <f aca="false">IF($C4029="","",$D4029*IFERROR(INDEX('تحليل التكلفة والسعر'!$C$2:$C$700,MATCH($C4029,'تحليل التكلفة والسعر'!$B$2:$B$700,0)),0))</f>
        <v/>
      </c>
    </row>
    <row r="4030" customFormat="false" ht="15" hidden="false" customHeight="false" outlineLevel="0" collapsed="false">
      <c r="A4030" s="103"/>
      <c r="B4030" s="104"/>
      <c r="C4030" s="104"/>
      <c r="E4030" s="107" t="str">
        <f aca="false">IF($C4030="","",IFERROR(INDEX(المنيو!$C$2:$C$500,MATCH($C4030,المنيو!$B$2:$B$500,0)),0))</f>
        <v/>
      </c>
      <c r="F4030" s="107" t="str">
        <f aca="false">IF($C4030="","",$D4030*$E4030)</f>
        <v/>
      </c>
      <c r="G4030" s="107" t="str">
        <f aca="false">IF($C4030="","",$D4030*IFERROR(INDEX('تحليل التكلفة والسعر'!$C$2:$C$700,MATCH($C4030,'تحليل التكلفة والسعر'!$B$2:$B$700,0)),0))</f>
        <v/>
      </c>
    </row>
    <row r="4031" customFormat="false" ht="15" hidden="false" customHeight="false" outlineLevel="0" collapsed="false">
      <c r="A4031" s="103"/>
      <c r="B4031" s="104"/>
      <c r="C4031" s="104"/>
      <c r="E4031" s="107" t="str">
        <f aca="false">IF($C4031="","",IFERROR(INDEX(المنيو!$C$2:$C$500,MATCH($C4031,المنيو!$B$2:$B$500,0)),0))</f>
        <v/>
      </c>
      <c r="F4031" s="107" t="str">
        <f aca="false">IF($C4031="","",$D4031*$E4031)</f>
        <v/>
      </c>
      <c r="G4031" s="107" t="str">
        <f aca="false">IF($C4031="","",$D4031*IFERROR(INDEX('تحليل التكلفة والسعر'!$C$2:$C$700,MATCH($C4031,'تحليل التكلفة والسعر'!$B$2:$B$700,0)),0))</f>
        <v/>
      </c>
    </row>
    <row r="4032" customFormat="false" ht="15" hidden="false" customHeight="false" outlineLevel="0" collapsed="false">
      <c r="A4032" s="103"/>
      <c r="B4032" s="104"/>
      <c r="C4032" s="104"/>
      <c r="E4032" s="107" t="str">
        <f aca="false">IF($C4032="","",IFERROR(INDEX(المنيو!$C$2:$C$500,MATCH($C4032,المنيو!$B$2:$B$500,0)),0))</f>
        <v/>
      </c>
      <c r="F4032" s="107" t="str">
        <f aca="false">IF($C4032="","",$D4032*$E4032)</f>
        <v/>
      </c>
      <c r="G4032" s="107" t="str">
        <f aca="false">IF($C4032="","",$D4032*IFERROR(INDEX('تحليل التكلفة والسعر'!$C$2:$C$700,MATCH($C4032,'تحليل التكلفة والسعر'!$B$2:$B$700,0)),0))</f>
        <v/>
      </c>
    </row>
    <row r="4033" customFormat="false" ht="15" hidden="false" customHeight="false" outlineLevel="0" collapsed="false">
      <c r="A4033" s="103"/>
      <c r="B4033" s="104"/>
      <c r="C4033" s="104"/>
      <c r="E4033" s="107" t="str">
        <f aca="false">IF($C4033="","",IFERROR(INDEX(المنيو!$C$2:$C$500,MATCH($C4033,المنيو!$B$2:$B$500,0)),0))</f>
        <v/>
      </c>
      <c r="F4033" s="107" t="str">
        <f aca="false">IF($C4033="","",$D4033*$E4033)</f>
        <v/>
      </c>
      <c r="G4033" s="107" t="str">
        <f aca="false">IF($C4033="","",$D4033*IFERROR(INDEX('تحليل التكلفة والسعر'!$C$2:$C$700,MATCH($C4033,'تحليل التكلفة والسعر'!$B$2:$B$700,0)),0))</f>
        <v/>
      </c>
    </row>
    <row r="4034" customFormat="false" ht="15" hidden="false" customHeight="false" outlineLevel="0" collapsed="false">
      <c r="A4034" s="103"/>
      <c r="B4034" s="104"/>
      <c r="C4034" s="104"/>
      <c r="E4034" s="107" t="str">
        <f aca="false">IF($C4034="","",IFERROR(INDEX(المنيو!$C$2:$C$500,MATCH($C4034,المنيو!$B$2:$B$500,0)),0))</f>
        <v/>
      </c>
      <c r="F4034" s="107" t="str">
        <f aca="false">IF($C4034="","",$D4034*$E4034)</f>
        <v/>
      </c>
      <c r="G4034" s="107" t="str">
        <f aca="false">IF($C4034="","",$D4034*IFERROR(INDEX('تحليل التكلفة والسعر'!$C$2:$C$700,MATCH($C4034,'تحليل التكلفة والسعر'!$B$2:$B$700,0)),0))</f>
        <v/>
      </c>
    </row>
    <row r="4035" customFormat="false" ht="15" hidden="false" customHeight="false" outlineLevel="0" collapsed="false">
      <c r="A4035" s="103"/>
      <c r="B4035" s="104"/>
      <c r="C4035" s="104"/>
      <c r="E4035" s="107" t="str">
        <f aca="false">IF($C4035="","",IFERROR(INDEX(المنيو!$C$2:$C$500,MATCH($C4035,المنيو!$B$2:$B$500,0)),0))</f>
        <v/>
      </c>
      <c r="F4035" s="107" t="str">
        <f aca="false">IF($C4035="","",$D4035*$E4035)</f>
        <v/>
      </c>
      <c r="G4035" s="107" t="str">
        <f aca="false">IF($C4035="","",$D4035*IFERROR(INDEX('تحليل التكلفة والسعر'!$C$2:$C$700,MATCH($C4035,'تحليل التكلفة والسعر'!$B$2:$B$700,0)),0))</f>
        <v/>
      </c>
    </row>
    <row r="4036" customFormat="false" ht="15" hidden="false" customHeight="false" outlineLevel="0" collapsed="false">
      <c r="A4036" s="103"/>
      <c r="B4036" s="104"/>
      <c r="C4036" s="104"/>
      <c r="E4036" s="107" t="str">
        <f aca="false">IF($C4036="","",IFERROR(INDEX(المنيو!$C$2:$C$500,MATCH($C4036,المنيو!$B$2:$B$500,0)),0))</f>
        <v/>
      </c>
      <c r="F4036" s="107" t="str">
        <f aca="false">IF($C4036="","",$D4036*$E4036)</f>
        <v/>
      </c>
      <c r="G4036" s="107" t="str">
        <f aca="false">IF($C4036="","",$D4036*IFERROR(INDEX('تحليل التكلفة والسعر'!$C$2:$C$700,MATCH($C4036,'تحليل التكلفة والسعر'!$B$2:$B$700,0)),0))</f>
        <v/>
      </c>
    </row>
    <row r="4037" customFormat="false" ht="15" hidden="false" customHeight="false" outlineLevel="0" collapsed="false">
      <c r="A4037" s="103"/>
      <c r="B4037" s="104"/>
      <c r="C4037" s="104"/>
      <c r="E4037" s="107" t="str">
        <f aca="false">IF($C4037="","",IFERROR(INDEX(المنيو!$C$2:$C$500,MATCH($C4037,المنيو!$B$2:$B$500,0)),0))</f>
        <v/>
      </c>
      <c r="F4037" s="107" t="str">
        <f aca="false">IF($C4037="","",$D4037*$E4037)</f>
        <v/>
      </c>
      <c r="G4037" s="107" t="str">
        <f aca="false">IF($C4037="","",$D4037*IFERROR(INDEX('تحليل التكلفة والسعر'!$C$2:$C$700,MATCH($C4037,'تحليل التكلفة والسعر'!$B$2:$B$700,0)),0))</f>
        <v/>
      </c>
    </row>
    <row r="4038" customFormat="false" ht="15" hidden="false" customHeight="false" outlineLevel="0" collapsed="false">
      <c r="A4038" s="103"/>
      <c r="B4038" s="104"/>
      <c r="C4038" s="104"/>
      <c r="E4038" s="107" t="str">
        <f aca="false">IF($C4038="","",IFERROR(INDEX(المنيو!$C$2:$C$500,MATCH($C4038,المنيو!$B$2:$B$500,0)),0))</f>
        <v/>
      </c>
      <c r="F4038" s="107" t="str">
        <f aca="false">IF($C4038="","",$D4038*$E4038)</f>
        <v/>
      </c>
      <c r="G4038" s="107" t="str">
        <f aca="false">IF($C4038="","",$D4038*IFERROR(INDEX('تحليل التكلفة والسعر'!$C$2:$C$700,MATCH($C4038,'تحليل التكلفة والسعر'!$B$2:$B$700,0)),0))</f>
        <v/>
      </c>
    </row>
    <row r="4039" customFormat="false" ht="15" hidden="false" customHeight="false" outlineLevel="0" collapsed="false">
      <c r="A4039" s="103"/>
      <c r="B4039" s="104"/>
      <c r="C4039" s="104"/>
      <c r="E4039" s="107" t="str">
        <f aca="false">IF($C4039="","",IFERROR(INDEX(المنيو!$C$2:$C$500,MATCH($C4039,المنيو!$B$2:$B$500,0)),0))</f>
        <v/>
      </c>
      <c r="F4039" s="107" t="str">
        <f aca="false">IF($C4039="","",$D4039*$E4039)</f>
        <v/>
      </c>
      <c r="G4039" s="107" t="str">
        <f aca="false">IF($C4039="","",$D4039*IFERROR(INDEX('تحليل التكلفة والسعر'!$C$2:$C$700,MATCH($C4039,'تحليل التكلفة والسعر'!$B$2:$B$700,0)),0))</f>
        <v/>
      </c>
    </row>
    <row r="4040" customFormat="false" ht="15" hidden="false" customHeight="false" outlineLevel="0" collapsed="false">
      <c r="A4040" s="103"/>
      <c r="B4040" s="104"/>
      <c r="C4040" s="104"/>
      <c r="E4040" s="107" t="str">
        <f aca="false">IF($C4040="","",IFERROR(INDEX(المنيو!$C$2:$C$500,MATCH($C4040,المنيو!$B$2:$B$500,0)),0))</f>
        <v/>
      </c>
      <c r="F4040" s="107" t="str">
        <f aca="false">IF($C4040="","",$D4040*$E4040)</f>
        <v/>
      </c>
      <c r="G4040" s="107" t="str">
        <f aca="false">IF($C4040="","",$D4040*IFERROR(INDEX('تحليل التكلفة والسعر'!$C$2:$C$700,MATCH($C4040,'تحليل التكلفة والسعر'!$B$2:$B$700,0)),0))</f>
        <v/>
      </c>
    </row>
    <row r="4041" customFormat="false" ht="15" hidden="false" customHeight="false" outlineLevel="0" collapsed="false">
      <c r="A4041" s="103"/>
      <c r="B4041" s="104"/>
      <c r="C4041" s="104"/>
      <c r="E4041" s="107" t="str">
        <f aca="false">IF($C4041="","",IFERROR(INDEX(المنيو!$C$2:$C$500,MATCH($C4041,المنيو!$B$2:$B$500,0)),0))</f>
        <v/>
      </c>
      <c r="F4041" s="107" t="str">
        <f aca="false">IF($C4041="","",$D4041*$E4041)</f>
        <v/>
      </c>
      <c r="G4041" s="107" t="str">
        <f aca="false">IF($C4041="","",$D4041*IFERROR(INDEX('تحليل التكلفة والسعر'!$C$2:$C$700,MATCH($C4041,'تحليل التكلفة والسعر'!$B$2:$B$700,0)),0))</f>
        <v/>
      </c>
    </row>
    <row r="4042" customFormat="false" ht="15" hidden="false" customHeight="false" outlineLevel="0" collapsed="false">
      <c r="A4042" s="103"/>
      <c r="B4042" s="104"/>
      <c r="C4042" s="104"/>
      <c r="E4042" s="107" t="str">
        <f aca="false">IF($C4042="","",IFERROR(INDEX(المنيو!$C$2:$C$500,MATCH($C4042,المنيو!$B$2:$B$500,0)),0))</f>
        <v/>
      </c>
      <c r="F4042" s="107" t="str">
        <f aca="false">IF($C4042="","",$D4042*$E4042)</f>
        <v/>
      </c>
      <c r="G4042" s="107" t="str">
        <f aca="false">IF($C4042="","",$D4042*IFERROR(INDEX('تحليل التكلفة والسعر'!$C$2:$C$700,MATCH($C4042,'تحليل التكلفة والسعر'!$B$2:$B$700,0)),0))</f>
        <v/>
      </c>
    </row>
    <row r="4043" customFormat="false" ht="15" hidden="false" customHeight="false" outlineLevel="0" collapsed="false">
      <c r="A4043" s="103"/>
      <c r="B4043" s="104"/>
      <c r="C4043" s="104"/>
      <c r="E4043" s="107" t="str">
        <f aca="false">IF($C4043="","",IFERROR(INDEX(المنيو!$C$2:$C$500,MATCH($C4043,المنيو!$B$2:$B$500,0)),0))</f>
        <v/>
      </c>
      <c r="F4043" s="107" t="str">
        <f aca="false">IF($C4043="","",$D4043*$E4043)</f>
        <v/>
      </c>
      <c r="G4043" s="107" t="str">
        <f aca="false">IF($C4043="","",$D4043*IFERROR(INDEX('تحليل التكلفة والسعر'!$C$2:$C$700,MATCH($C4043,'تحليل التكلفة والسعر'!$B$2:$B$700,0)),0))</f>
        <v/>
      </c>
    </row>
    <row r="4044" customFormat="false" ht="15" hidden="false" customHeight="false" outlineLevel="0" collapsed="false">
      <c r="A4044" s="103"/>
      <c r="B4044" s="104"/>
      <c r="C4044" s="104"/>
      <c r="E4044" s="107" t="str">
        <f aca="false">IF($C4044="","",IFERROR(INDEX(المنيو!$C$2:$C$500,MATCH($C4044,المنيو!$B$2:$B$500,0)),0))</f>
        <v/>
      </c>
      <c r="F4044" s="107" t="str">
        <f aca="false">IF($C4044="","",$D4044*$E4044)</f>
        <v/>
      </c>
      <c r="G4044" s="107" t="str">
        <f aca="false">IF($C4044="","",$D4044*IFERROR(INDEX('تحليل التكلفة والسعر'!$C$2:$C$700,MATCH($C4044,'تحليل التكلفة والسعر'!$B$2:$B$700,0)),0))</f>
        <v/>
      </c>
    </row>
    <row r="4045" customFormat="false" ht="15" hidden="false" customHeight="false" outlineLevel="0" collapsed="false">
      <c r="A4045" s="103"/>
      <c r="B4045" s="104"/>
      <c r="C4045" s="104"/>
      <c r="E4045" s="107" t="str">
        <f aca="false">IF($C4045="","",IFERROR(INDEX(المنيو!$C$2:$C$500,MATCH($C4045,المنيو!$B$2:$B$500,0)),0))</f>
        <v/>
      </c>
      <c r="F4045" s="107" t="str">
        <f aca="false">IF($C4045="","",$D4045*$E4045)</f>
        <v/>
      </c>
      <c r="G4045" s="107" t="str">
        <f aca="false">IF($C4045="","",$D4045*IFERROR(INDEX('تحليل التكلفة والسعر'!$C$2:$C$700,MATCH($C4045,'تحليل التكلفة والسعر'!$B$2:$B$700,0)),0))</f>
        <v/>
      </c>
    </row>
    <row r="4046" customFormat="false" ht="15" hidden="false" customHeight="false" outlineLevel="0" collapsed="false">
      <c r="A4046" s="103"/>
      <c r="B4046" s="104"/>
      <c r="C4046" s="104"/>
      <c r="E4046" s="107" t="str">
        <f aca="false">IF($C4046="","",IFERROR(INDEX(المنيو!$C$2:$C$500,MATCH($C4046,المنيو!$B$2:$B$500,0)),0))</f>
        <v/>
      </c>
      <c r="F4046" s="107" t="str">
        <f aca="false">IF($C4046="","",$D4046*$E4046)</f>
        <v/>
      </c>
      <c r="G4046" s="107" t="str">
        <f aca="false">IF($C4046="","",$D4046*IFERROR(INDEX('تحليل التكلفة والسعر'!$C$2:$C$700,MATCH($C4046,'تحليل التكلفة والسعر'!$B$2:$B$700,0)),0))</f>
        <v/>
      </c>
    </row>
    <row r="4047" customFormat="false" ht="15" hidden="false" customHeight="false" outlineLevel="0" collapsed="false">
      <c r="A4047" s="103"/>
      <c r="B4047" s="104"/>
      <c r="C4047" s="104"/>
      <c r="E4047" s="107" t="str">
        <f aca="false">IF($C4047="","",IFERROR(INDEX(المنيو!$C$2:$C$500,MATCH($C4047,المنيو!$B$2:$B$500,0)),0))</f>
        <v/>
      </c>
      <c r="F4047" s="107" t="str">
        <f aca="false">IF($C4047="","",$D4047*$E4047)</f>
        <v/>
      </c>
      <c r="G4047" s="107" t="str">
        <f aca="false">IF($C4047="","",$D4047*IFERROR(INDEX('تحليل التكلفة والسعر'!$C$2:$C$700,MATCH($C4047,'تحليل التكلفة والسعر'!$B$2:$B$700,0)),0))</f>
        <v/>
      </c>
    </row>
    <row r="4048" customFormat="false" ht="15" hidden="false" customHeight="false" outlineLevel="0" collapsed="false">
      <c r="A4048" s="103"/>
      <c r="B4048" s="104"/>
      <c r="C4048" s="104"/>
      <c r="E4048" s="107" t="str">
        <f aca="false">IF($C4048="","",IFERROR(INDEX(المنيو!$C$2:$C$500,MATCH($C4048,المنيو!$B$2:$B$500,0)),0))</f>
        <v/>
      </c>
      <c r="F4048" s="107" t="str">
        <f aca="false">IF($C4048="","",$D4048*$E4048)</f>
        <v/>
      </c>
      <c r="G4048" s="107" t="str">
        <f aca="false">IF($C4048="","",$D4048*IFERROR(INDEX('تحليل التكلفة والسعر'!$C$2:$C$700,MATCH($C4048,'تحليل التكلفة والسعر'!$B$2:$B$700,0)),0))</f>
        <v/>
      </c>
    </row>
    <row r="4049" customFormat="false" ht="15" hidden="false" customHeight="false" outlineLevel="0" collapsed="false">
      <c r="A4049" s="103"/>
      <c r="B4049" s="104"/>
      <c r="C4049" s="104"/>
      <c r="E4049" s="107" t="str">
        <f aca="false">IF($C4049="","",IFERROR(INDEX(المنيو!$C$2:$C$500,MATCH($C4049,المنيو!$B$2:$B$500,0)),0))</f>
        <v/>
      </c>
      <c r="F4049" s="107" t="str">
        <f aca="false">IF($C4049="","",$D4049*$E4049)</f>
        <v/>
      </c>
      <c r="G4049" s="107" t="str">
        <f aca="false">IF($C4049="","",$D4049*IFERROR(INDEX('تحليل التكلفة والسعر'!$C$2:$C$700,MATCH($C4049,'تحليل التكلفة والسعر'!$B$2:$B$700,0)),0))</f>
        <v/>
      </c>
    </row>
    <row r="4050" customFormat="false" ht="15" hidden="false" customHeight="false" outlineLevel="0" collapsed="false">
      <c r="A4050" s="103"/>
      <c r="B4050" s="104"/>
      <c r="C4050" s="104"/>
      <c r="E4050" s="107" t="str">
        <f aca="false">IF($C4050="","",IFERROR(INDEX(المنيو!$C$2:$C$500,MATCH($C4050,المنيو!$B$2:$B$500,0)),0))</f>
        <v/>
      </c>
      <c r="F4050" s="107" t="str">
        <f aca="false">IF($C4050="","",$D4050*$E4050)</f>
        <v/>
      </c>
      <c r="G4050" s="107" t="str">
        <f aca="false">IF($C4050="","",$D4050*IFERROR(INDEX('تحليل التكلفة والسعر'!$C$2:$C$700,MATCH($C4050,'تحليل التكلفة والسعر'!$B$2:$B$700,0)),0))</f>
        <v/>
      </c>
    </row>
    <row r="4051" customFormat="false" ht="15" hidden="false" customHeight="false" outlineLevel="0" collapsed="false">
      <c r="A4051" s="103"/>
      <c r="B4051" s="104"/>
      <c r="C4051" s="104"/>
      <c r="E4051" s="107" t="str">
        <f aca="false">IF($C4051="","",IFERROR(INDEX(المنيو!$C$2:$C$500,MATCH($C4051,المنيو!$B$2:$B$500,0)),0))</f>
        <v/>
      </c>
      <c r="F4051" s="107" t="str">
        <f aca="false">IF($C4051="","",$D4051*$E4051)</f>
        <v/>
      </c>
      <c r="G4051" s="107" t="str">
        <f aca="false">IF($C4051="","",$D4051*IFERROR(INDEX('تحليل التكلفة والسعر'!$C$2:$C$700,MATCH($C4051,'تحليل التكلفة والسعر'!$B$2:$B$700,0)),0))</f>
        <v/>
      </c>
    </row>
    <row r="4052" customFormat="false" ht="15" hidden="false" customHeight="false" outlineLevel="0" collapsed="false">
      <c r="A4052" s="103"/>
      <c r="B4052" s="104"/>
      <c r="C4052" s="104"/>
      <c r="E4052" s="107" t="str">
        <f aca="false">IF($C4052="","",IFERROR(INDEX(المنيو!$C$2:$C$500,MATCH($C4052,المنيو!$B$2:$B$500,0)),0))</f>
        <v/>
      </c>
      <c r="F4052" s="107" t="str">
        <f aca="false">IF($C4052="","",$D4052*$E4052)</f>
        <v/>
      </c>
      <c r="G4052" s="107" t="str">
        <f aca="false">IF($C4052="","",$D4052*IFERROR(INDEX('تحليل التكلفة والسعر'!$C$2:$C$700,MATCH($C4052,'تحليل التكلفة والسعر'!$B$2:$B$700,0)),0))</f>
        <v/>
      </c>
    </row>
    <row r="4053" customFormat="false" ht="15" hidden="false" customHeight="false" outlineLevel="0" collapsed="false">
      <c r="A4053" s="103"/>
      <c r="B4053" s="104"/>
      <c r="C4053" s="104"/>
      <c r="E4053" s="107" t="str">
        <f aca="false">IF($C4053="","",IFERROR(INDEX(المنيو!$C$2:$C$500,MATCH($C4053,المنيو!$B$2:$B$500,0)),0))</f>
        <v/>
      </c>
      <c r="F4053" s="107" t="str">
        <f aca="false">IF($C4053="","",$D4053*$E4053)</f>
        <v/>
      </c>
      <c r="G4053" s="107" t="str">
        <f aca="false">IF($C4053="","",$D4053*IFERROR(INDEX('تحليل التكلفة والسعر'!$C$2:$C$700,MATCH($C4053,'تحليل التكلفة والسعر'!$B$2:$B$700,0)),0))</f>
        <v/>
      </c>
    </row>
    <row r="4054" customFormat="false" ht="15" hidden="false" customHeight="false" outlineLevel="0" collapsed="false">
      <c r="A4054" s="103"/>
      <c r="B4054" s="104"/>
      <c r="C4054" s="104"/>
      <c r="E4054" s="107" t="str">
        <f aca="false">IF($C4054="","",IFERROR(INDEX(المنيو!$C$2:$C$500,MATCH($C4054,المنيو!$B$2:$B$500,0)),0))</f>
        <v/>
      </c>
      <c r="F4054" s="107" t="str">
        <f aca="false">IF($C4054="","",$D4054*$E4054)</f>
        <v/>
      </c>
      <c r="G4054" s="107" t="str">
        <f aca="false">IF($C4054="","",$D4054*IFERROR(INDEX('تحليل التكلفة والسعر'!$C$2:$C$700,MATCH($C4054,'تحليل التكلفة والسعر'!$B$2:$B$700,0)),0))</f>
        <v/>
      </c>
    </row>
    <row r="4055" customFormat="false" ht="15" hidden="false" customHeight="false" outlineLevel="0" collapsed="false">
      <c r="A4055" s="103"/>
      <c r="B4055" s="104"/>
      <c r="C4055" s="104"/>
      <c r="E4055" s="107" t="str">
        <f aca="false">IF($C4055="","",IFERROR(INDEX(المنيو!$C$2:$C$500,MATCH($C4055,المنيو!$B$2:$B$500,0)),0))</f>
        <v/>
      </c>
      <c r="F4055" s="107" t="str">
        <f aca="false">IF($C4055="","",$D4055*$E4055)</f>
        <v/>
      </c>
      <c r="G4055" s="107" t="str">
        <f aca="false">IF($C4055="","",$D4055*IFERROR(INDEX('تحليل التكلفة والسعر'!$C$2:$C$700,MATCH($C4055,'تحليل التكلفة والسعر'!$B$2:$B$700,0)),0))</f>
        <v/>
      </c>
    </row>
    <row r="4056" customFormat="false" ht="15" hidden="false" customHeight="false" outlineLevel="0" collapsed="false">
      <c r="A4056" s="103"/>
      <c r="B4056" s="104"/>
      <c r="C4056" s="104"/>
      <c r="E4056" s="107" t="str">
        <f aca="false">IF($C4056="","",IFERROR(INDEX(المنيو!$C$2:$C$500,MATCH($C4056,المنيو!$B$2:$B$500,0)),0))</f>
        <v/>
      </c>
      <c r="F4056" s="107" t="str">
        <f aca="false">IF($C4056="","",$D4056*$E4056)</f>
        <v/>
      </c>
      <c r="G4056" s="107" t="str">
        <f aca="false">IF($C4056="","",$D4056*IFERROR(INDEX('تحليل التكلفة والسعر'!$C$2:$C$700,MATCH($C4056,'تحليل التكلفة والسعر'!$B$2:$B$700,0)),0))</f>
        <v/>
      </c>
    </row>
    <row r="4057" customFormat="false" ht="15" hidden="false" customHeight="false" outlineLevel="0" collapsed="false">
      <c r="A4057" s="103"/>
      <c r="B4057" s="104"/>
      <c r="C4057" s="104"/>
      <c r="E4057" s="107" t="str">
        <f aca="false">IF($C4057="","",IFERROR(INDEX(المنيو!$C$2:$C$500,MATCH($C4057,المنيو!$B$2:$B$500,0)),0))</f>
        <v/>
      </c>
      <c r="F4057" s="107" t="str">
        <f aca="false">IF($C4057="","",$D4057*$E4057)</f>
        <v/>
      </c>
      <c r="G4057" s="107" t="str">
        <f aca="false">IF($C4057="","",$D4057*IFERROR(INDEX('تحليل التكلفة والسعر'!$C$2:$C$700,MATCH($C4057,'تحليل التكلفة والسعر'!$B$2:$B$700,0)),0))</f>
        <v/>
      </c>
    </row>
    <row r="4058" customFormat="false" ht="15" hidden="false" customHeight="false" outlineLevel="0" collapsed="false">
      <c r="A4058" s="103"/>
      <c r="B4058" s="104"/>
      <c r="C4058" s="104"/>
      <c r="E4058" s="107" t="str">
        <f aca="false">IF($C4058="","",IFERROR(INDEX(المنيو!$C$2:$C$500,MATCH($C4058,المنيو!$B$2:$B$500,0)),0))</f>
        <v/>
      </c>
      <c r="F4058" s="107" t="str">
        <f aca="false">IF($C4058="","",$D4058*$E4058)</f>
        <v/>
      </c>
      <c r="G4058" s="107" t="str">
        <f aca="false">IF($C4058="","",$D4058*IFERROR(INDEX('تحليل التكلفة والسعر'!$C$2:$C$700,MATCH($C4058,'تحليل التكلفة والسعر'!$B$2:$B$700,0)),0))</f>
        <v/>
      </c>
    </row>
    <row r="4059" customFormat="false" ht="15" hidden="false" customHeight="false" outlineLevel="0" collapsed="false">
      <c r="A4059" s="103"/>
      <c r="B4059" s="104"/>
      <c r="C4059" s="104"/>
      <c r="E4059" s="107" t="str">
        <f aca="false">IF($C4059="","",IFERROR(INDEX(المنيو!$C$2:$C$500,MATCH($C4059,المنيو!$B$2:$B$500,0)),0))</f>
        <v/>
      </c>
      <c r="F4059" s="107" t="str">
        <f aca="false">IF($C4059="","",$D4059*$E4059)</f>
        <v/>
      </c>
      <c r="G4059" s="107" t="str">
        <f aca="false">IF($C4059="","",$D4059*IFERROR(INDEX('تحليل التكلفة والسعر'!$C$2:$C$700,MATCH($C4059,'تحليل التكلفة والسعر'!$B$2:$B$700,0)),0))</f>
        <v/>
      </c>
    </row>
    <row r="4060" customFormat="false" ht="15" hidden="false" customHeight="false" outlineLevel="0" collapsed="false">
      <c r="A4060" s="103"/>
      <c r="B4060" s="104"/>
      <c r="C4060" s="104"/>
      <c r="E4060" s="107" t="str">
        <f aca="false">IF($C4060="","",IFERROR(INDEX(المنيو!$C$2:$C$500,MATCH($C4060,المنيو!$B$2:$B$500,0)),0))</f>
        <v/>
      </c>
      <c r="F4060" s="107" t="str">
        <f aca="false">IF($C4060="","",$D4060*$E4060)</f>
        <v/>
      </c>
      <c r="G4060" s="107" t="str">
        <f aca="false">IF($C4060="","",$D4060*IFERROR(INDEX('تحليل التكلفة والسعر'!$C$2:$C$700,MATCH($C4060,'تحليل التكلفة والسعر'!$B$2:$B$700,0)),0))</f>
        <v/>
      </c>
    </row>
    <row r="4061" customFormat="false" ht="15" hidden="false" customHeight="false" outlineLevel="0" collapsed="false">
      <c r="A4061" s="103"/>
      <c r="B4061" s="104"/>
      <c r="C4061" s="104"/>
      <c r="E4061" s="107" t="str">
        <f aca="false">IF($C4061="","",IFERROR(INDEX(المنيو!$C$2:$C$500,MATCH($C4061,المنيو!$B$2:$B$500,0)),0))</f>
        <v/>
      </c>
      <c r="F4061" s="107" t="str">
        <f aca="false">IF($C4061="","",$D4061*$E4061)</f>
        <v/>
      </c>
      <c r="G4061" s="107" t="str">
        <f aca="false">IF($C4061="","",$D4061*IFERROR(INDEX('تحليل التكلفة والسعر'!$C$2:$C$700,MATCH($C4061,'تحليل التكلفة والسعر'!$B$2:$B$700,0)),0))</f>
        <v/>
      </c>
    </row>
    <row r="4062" customFormat="false" ht="15" hidden="false" customHeight="false" outlineLevel="0" collapsed="false">
      <c r="A4062" s="103"/>
      <c r="B4062" s="104"/>
      <c r="C4062" s="104"/>
      <c r="E4062" s="107" t="str">
        <f aca="false">IF($C4062="","",IFERROR(INDEX(المنيو!$C$2:$C$500,MATCH($C4062,المنيو!$B$2:$B$500,0)),0))</f>
        <v/>
      </c>
      <c r="F4062" s="107" t="str">
        <f aca="false">IF($C4062="","",$D4062*$E4062)</f>
        <v/>
      </c>
      <c r="G4062" s="107" t="str">
        <f aca="false">IF($C4062="","",$D4062*IFERROR(INDEX('تحليل التكلفة والسعر'!$C$2:$C$700,MATCH($C4062,'تحليل التكلفة والسعر'!$B$2:$B$700,0)),0))</f>
        <v/>
      </c>
    </row>
    <row r="4063" customFormat="false" ht="15" hidden="false" customHeight="false" outlineLevel="0" collapsed="false">
      <c r="A4063" s="103"/>
      <c r="B4063" s="104"/>
      <c r="C4063" s="104"/>
      <c r="E4063" s="107" t="str">
        <f aca="false">IF($C4063="","",IFERROR(INDEX(المنيو!$C$2:$C$500,MATCH($C4063,المنيو!$B$2:$B$500,0)),0))</f>
        <v/>
      </c>
      <c r="F4063" s="107" t="str">
        <f aca="false">IF($C4063="","",$D4063*$E4063)</f>
        <v/>
      </c>
      <c r="G4063" s="107" t="str">
        <f aca="false">IF($C4063="","",$D4063*IFERROR(INDEX('تحليل التكلفة والسعر'!$C$2:$C$700,MATCH($C4063,'تحليل التكلفة والسعر'!$B$2:$B$700,0)),0))</f>
        <v/>
      </c>
    </row>
    <row r="4064" customFormat="false" ht="15" hidden="false" customHeight="false" outlineLevel="0" collapsed="false">
      <c r="A4064" s="103"/>
      <c r="B4064" s="104"/>
      <c r="C4064" s="104"/>
      <c r="E4064" s="107" t="str">
        <f aca="false">IF($C4064="","",IFERROR(INDEX(المنيو!$C$2:$C$500,MATCH($C4064,المنيو!$B$2:$B$500,0)),0))</f>
        <v/>
      </c>
      <c r="F4064" s="107" t="str">
        <f aca="false">IF($C4064="","",$D4064*$E4064)</f>
        <v/>
      </c>
      <c r="G4064" s="107" t="str">
        <f aca="false">IF($C4064="","",$D4064*IFERROR(INDEX('تحليل التكلفة والسعر'!$C$2:$C$700,MATCH($C4064,'تحليل التكلفة والسعر'!$B$2:$B$700,0)),0))</f>
        <v/>
      </c>
    </row>
    <row r="4065" customFormat="false" ht="15" hidden="false" customHeight="false" outlineLevel="0" collapsed="false">
      <c r="A4065" s="103"/>
      <c r="B4065" s="104"/>
      <c r="C4065" s="104"/>
      <c r="E4065" s="107" t="str">
        <f aca="false">IF($C4065="","",IFERROR(INDEX(المنيو!$C$2:$C$500,MATCH($C4065,المنيو!$B$2:$B$500,0)),0))</f>
        <v/>
      </c>
      <c r="F4065" s="107" t="str">
        <f aca="false">IF($C4065="","",$D4065*$E4065)</f>
        <v/>
      </c>
      <c r="G4065" s="107" t="str">
        <f aca="false">IF($C4065="","",$D4065*IFERROR(INDEX('تحليل التكلفة والسعر'!$C$2:$C$700,MATCH($C4065,'تحليل التكلفة والسعر'!$B$2:$B$700,0)),0))</f>
        <v/>
      </c>
    </row>
    <row r="4066" customFormat="false" ht="15" hidden="false" customHeight="false" outlineLevel="0" collapsed="false">
      <c r="A4066" s="103"/>
      <c r="B4066" s="104"/>
      <c r="C4066" s="104"/>
      <c r="E4066" s="107" t="str">
        <f aca="false">IF($C4066="","",IFERROR(INDEX(المنيو!$C$2:$C$500,MATCH($C4066,المنيو!$B$2:$B$500,0)),0))</f>
        <v/>
      </c>
      <c r="F4066" s="107" t="str">
        <f aca="false">IF($C4066="","",$D4066*$E4066)</f>
        <v/>
      </c>
      <c r="G4066" s="107" t="str">
        <f aca="false">IF($C4066="","",$D4066*IFERROR(INDEX('تحليل التكلفة والسعر'!$C$2:$C$700,MATCH($C4066,'تحليل التكلفة والسعر'!$B$2:$B$700,0)),0))</f>
        <v/>
      </c>
    </row>
    <row r="4067" customFormat="false" ht="15" hidden="false" customHeight="false" outlineLevel="0" collapsed="false">
      <c r="A4067" s="103"/>
      <c r="B4067" s="104"/>
      <c r="C4067" s="104"/>
      <c r="E4067" s="107" t="str">
        <f aca="false">IF($C4067="","",IFERROR(INDEX(المنيو!$C$2:$C$500,MATCH($C4067,المنيو!$B$2:$B$500,0)),0))</f>
        <v/>
      </c>
      <c r="F4067" s="107" t="str">
        <f aca="false">IF($C4067="","",$D4067*$E4067)</f>
        <v/>
      </c>
      <c r="G4067" s="107" t="str">
        <f aca="false">IF($C4067="","",$D4067*IFERROR(INDEX('تحليل التكلفة والسعر'!$C$2:$C$700,MATCH($C4067,'تحليل التكلفة والسعر'!$B$2:$B$700,0)),0))</f>
        <v/>
      </c>
    </row>
    <row r="4068" customFormat="false" ht="15" hidden="false" customHeight="false" outlineLevel="0" collapsed="false">
      <c r="A4068" s="103"/>
      <c r="B4068" s="104"/>
      <c r="C4068" s="104"/>
      <c r="E4068" s="107" t="str">
        <f aca="false">IF($C4068="","",IFERROR(INDEX(المنيو!$C$2:$C$500,MATCH($C4068,المنيو!$B$2:$B$500,0)),0))</f>
        <v/>
      </c>
      <c r="F4068" s="107" t="str">
        <f aca="false">IF($C4068="","",$D4068*$E4068)</f>
        <v/>
      </c>
      <c r="G4068" s="107" t="str">
        <f aca="false">IF($C4068="","",$D4068*IFERROR(INDEX('تحليل التكلفة والسعر'!$C$2:$C$700,MATCH($C4068,'تحليل التكلفة والسعر'!$B$2:$B$700,0)),0))</f>
        <v/>
      </c>
    </row>
    <row r="4069" customFormat="false" ht="15" hidden="false" customHeight="false" outlineLevel="0" collapsed="false">
      <c r="A4069" s="103"/>
      <c r="B4069" s="104"/>
      <c r="C4069" s="104"/>
      <c r="E4069" s="107" t="str">
        <f aca="false">IF($C4069="","",IFERROR(INDEX(المنيو!$C$2:$C$500,MATCH($C4069,المنيو!$B$2:$B$500,0)),0))</f>
        <v/>
      </c>
      <c r="F4069" s="107" t="str">
        <f aca="false">IF($C4069="","",$D4069*$E4069)</f>
        <v/>
      </c>
      <c r="G4069" s="107" t="str">
        <f aca="false">IF($C4069="","",$D4069*IFERROR(INDEX('تحليل التكلفة والسعر'!$C$2:$C$700,MATCH($C4069,'تحليل التكلفة والسعر'!$B$2:$B$700,0)),0))</f>
        <v/>
      </c>
    </row>
    <row r="4070" customFormat="false" ht="15" hidden="false" customHeight="false" outlineLevel="0" collapsed="false">
      <c r="A4070" s="103"/>
      <c r="B4070" s="104"/>
      <c r="C4070" s="104"/>
      <c r="E4070" s="107" t="str">
        <f aca="false">IF($C4070="","",IFERROR(INDEX(المنيو!$C$2:$C$500,MATCH($C4070,المنيو!$B$2:$B$500,0)),0))</f>
        <v/>
      </c>
      <c r="F4070" s="107" t="str">
        <f aca="false">IF($C4070="","",$D4070*$E4070)</f>
        <v/>
      </c>
      <c r="G4070" s="107" t="str">
        <f aca="false">IF($C4070="","",$D4070*IFERROR(INDEX('تحليل التكلفة والسعر'!$C$2:$C$700,MATCH($C4070,'تحليل التكلفة والسعر'!$B$2:$B$700,0)),0))</f>
        <v/>
      </c>
    </row>
    <row r="4071" customFormat="false" ht="15" hidden="false" customHeight="false" outlineLevel="0" collapsed="false">
      <c r="A4071" s="103"/>
      <c r="B4071" s="104"/>
      <c r="C4071" s="104"/>
      <c r="E4071" s="107" t="str">
        <f aca="false">IF($C4071="","",IFERROR(INDEX(المنيو!$C$2:$C$500,MATCH($C4071,المنيو!$B$2:$B$500,0)),0))</f>
        <v/>
      </c>
      <c r="F4071" s="107" t="str">
        <f aca="false">IF($C4071="","",$D4071*$E4071)</f>
        <v/>
      </c>
      <c r="G4071" s="107" t="str">
        <f aca="false">IF($C4071="","",$D4071*IFERROR(INDEX('تحليل التكلفة والسعر'!$C$2:$C$700,MATCH($C4071,'تحليل التكلفة والسعر'!$B$2:$B$700,0)),0))</f>
        <v/>
      </c>
    </row>
    <row r="4072" customFormat="false" ht="15" hidden="false" customHeight="false" outlineLevel="0" collapsed="false">
      <c r="A4072" s="103"/>
      <c r="B4072" s="104"/>
      <c r="C4072" s="104"/>
      <c r="E4072" s="107" t="str">
        <f aca="false">IF($C4072="","",IFERROR(INDEX(المنيو!$C$2:$C$500,MATCH($C4072,المنيو!$B$2:$B$500,0)),0))</f>
        <v/>
      </c>
      <c r="F4072" s="107" t="str">
        <f aca="false">IF($C4072="","",$D4072*$E4072)</f>
        <v/>
      </c>
      <c r="G4072" s="107" t="str">
        <f aca="false">IF($C4072="","",$D4072*IFERROR(INDEX('تحليل التكلفة والسعر'!$C$2:$C$700,MATCH($C4072,'تحليل التكلفة والسعر'!$B$2:$B$700,0)),0))</f>
        <v/>
      </c>
    </row>
    <row r="4073" customFormat="false" ht="15" hidden="false" customHeight="false" outlineLevel="0" collapsed="false">
      <c r="A4073" s="103"/>
      <c r="B4073" s="104"/>
      <c r="C4073" s="104"/>
      <c r="E4073" s="107" t="str">
        <f aca="false">IF($C4073="","",IFERROR(INDEX(المنيو!$C$2:$C$500,MATCH($C4073,المنيو!$B$2:$B$500,0)),0))</f>
        <v/>
      </c>
      <c r="F4073" s="107" t="str">
        <f aca="false">IF($C4073="","",$D4073*$E4073)</f>
        <v/>
      </c>
      <c r="G4073" s="107" t="str">
        <f aca="false">IF($C4073="","",$D4073*IFERROR(INDEX('تحليل التكلفة والسعر'!$C$2:$C$700,MATCH($C4073,'تحليل التكلفة والسعر'!$B$2:$B$700,0)),0))</f>
        <v/>
      </c>
    </row>
    <row r="4074" customFormat="false" ht="15" hidden="false" customHeight="false" outlineLevel="0" collapsed="false">
      <c r="A4074" s="103"/>
      <c r="B4074" s="104"/>
      <c r="C4074" s="104"/>
      <c r="E4074" s="107" t="str">
        <f aca="false">IF($C4074="","",IFERROR(INDEX(المنيو!$C$2:$C$500,MATCH($C4074,المنيو!$B$2:$B$500,0)),0))</f>
        <v/>
      </c>
      <c r="F4074" s="107" t="str">
        <f aca="false">IF($C4074="","",$D4074*$E4074)</f>
        <v/>
      </c>
      <c r="G4074" s="107" t="str">
        <f aca="false">IF($C4074="","",$D4074*IFERROR(INDEX('تحليل التكلفة والسعر'!$C$2:$C$700,MATCH($C4074,'تحليل التكلفة والسعر'!$B$2:$B$700,0)),0))</f>
        <v/>
      </c>
    </row>
    <row r="4075" customFormat="false" ht="15" hidden="false" customHeight="false" outlineLevel="0" collapsed="false">
      <c r="A4075" s="103"/>
      <c r="B4075" s="104"/>
      <c r="C4075" s="104"/>
      <c r="E4075" s="107" t="str">
        <f aca="false">IF($C4075="","",IFERROR(INDEX(المنيو!$C$2:$C$500,MATCH($C4075,المنيو!$B$2:$B$500,0)),0))</f>
        <v/>
      </c>
      <c r="F4075" s="107" t="str">
        <f aca="false">IF($C4075="","",$D4075*$E4075)</f>
        <v/>
      </c>
      <c r="G4075" s="107" t="str">
        <f aca="false">IF($C4075="","",$D4075*IFERROR(INDEX('تحليل التكلفة والسعر'!$C$2:$C$700,MATCH($C4075,'تحليل التكلفة والسعر'!$B$2:$B$700,0)),0))</f>
        <v/>
      </c>
    </row>
    <row r="4076" customFormat="false" ht="15" hidden="false" customHeight="false" outlineLevel="0" collapsed="false">
      <c r="A4076" s="103"/>
      <c r="B4076" s="104"/>
      <c r="C4076" s="104"/>
      <c r="E4076" s="107" t="str">
        <f aca="false">IF($C4076="","",IFERROR(INDEX(المنيو!$C$2:$C$500,MATCH($C4076,المنيو!$B$2:$B$500,0)),0))</f>
        <v/>
      </c>
      <c r="F4076" s="107" t="str">
        <f aca="false">IF($C4076="","",$D4076*$E4076)</f>
        <v/>
      </c>
      <c r="G4076" s="107" t="str">
        <f aca="false">IF($C4076="","",$D4076*IFERROR(INDEX('تحليل التكلفة والسعر'!$C$2:$C$700,MATCH($C4076,'تحليل التكلفة والسعر'!$B$2:$B$700,0)),0))</f>
        <v/>
      </c>
    </row>
    <row r="4077" customFormat="false" ht="15" hidden="false" customHeight="false" outlineLevel="0" collapsed="false">
      <c r="A4077" s="103"/>
      <c r="B4077" s="104"/>
      <c r="C4077" s="104"/>
      <c r="E4077" s="107" t="str">
        <f aca="false">IF($C4077="","",IFERROR(INDEX(المنيو!$C$2:$C$500,MATCH($C4077,المنيو!$B$2:$B$500,0)),0))</f>
        <v/>
      </c>
      <c r="F4077" s="107" t="str">
        <f aca="false">IF($C4077="","",$D4077*$E4077)</f>
        <v/>
      </c>
      <c r="G4077" s="107" t="str">
        <f aca="false">IF($C4077="","",$D4077*IFERROR(INDEX('تحليل التكلفة والسعر'!$C$2:$C$700,MATCH($C4077,'تحليل التكلفة والسعر'!$B$2:$B$700,0)),0))</f>
        <v/>
      </c>
    </row>
    <row r="4078" customFormat="false" ht="15" hidden="false" customHeight="false" outlineLevel="0" collapsed="false">
      <c r="A4078" s="103"/>
      <c r="B4078" s="104"/>
      <c r="C4078" s="104"/>
      <c r="E4078" s="107" t="str">
        <f aca="false">IF($C4078="","",IFERROR(INDEX(المنيو!$C$2:$C$500,MATCH($C4078,المنيو!$B$2:$B$500,0)),0))</f>
        <v/>
      </c>
      <c r="F4078" s="107" t="str">
        <f aca="false">IF($C4078="","",$D4078*$E4078)</f>
        <v/>
      </c>
      <c r="G4078" s="107" t="str">
        <f aca="false">IF($C4078="","",$D4078*IFERROR(INDEX('تحليل التكلفة والسعر'!$C$2:$C$700,MATCH($C4078,'تحليل التكلفة والسعر'!$B$2:$B$700,0)),0))</f>
        <v/>
      </c>
    </row>
    <row r="4079" customFormat="false" ht="15" hidden="false" customHeight="false" outlineLevel="0" collapsed="false">
      <c r="A4079" s="103"/>
      <c r="B4079" s="104"/>
      <c r="C4079" s="104"/>
      <c r="E4079" s="107" t="str">
        <f aca="false">IF($C4079="","",IFERROR(INDEX(المنيو!$C$2:$C$500,MATCH($C4079,المنيو!$B$2:$B$500,0)),0))</f>
        <v/>
      </c>
      <c r="F4079" s="107" t="str">
        <f aca="false">IF($C4079="","",$D4079*$E4079)</f>
        <v/>
      </c>
      <c r="G4079" s="107" t="str">
        <f aca="false">IF($C4079="","",$D4079*IFERROR(INDEX('تحليل التكلفة والسعر'!$C$2:$C$700,MATCH($C4079,'تحليل التكلفة والسعر'!$B$2:$B$700,0)),0))</f>
        <v/>
      </c>
    </row>
    <row r="4080" customFormat="false" ht="15" hidden="false" customHeight="false" outlineLevel="0" collapsed="false">
      <c r="A4080" s="103"/>
      <c r="B4080" s="104"/>
      <c r="C4080" s="104"/>
      <c r="E4080" s="107" t="str">
        <f aca="false">IF($C4080="","",IFERROR(INDEX(المنيو!$C$2:$C$500,MATCH($C4080,المنيو!$B$2:$B$500,0)),0))</f>
        <v/>
      </c>
      <c r="F4080" s="107" t="str">
        <f aca="false">IF($C4080="","",$D4080*$E4080)</f>
        <v/>
      </c>
      <c r="G4080" s="107" t="str">
        <f aca="false">IF($C4080="","",$D4080*IFERROR(INDEX('تحليل التكلفة والسعر'!$C$2:$C$700,MATCH($C4080,'تحليل التكلفة والسعر'!$B$2:$B$700,0)),0))</f>
        <v/>
      </c>
    </row>
    <row r="4081" customFormat="false" ht="15" hidden="false" customHeight="false" outlineLevel="0" collapsed="false">
      <c r="A4081" s="103"/>
      <c r="B4081" s="104"/>
      <c r="C4081" s="104"/>
      <c r="E4081" s="107" t="str">
        <f aca="false">IF($C4081="","",IFERROR(INDEX(المنيو!$C$2:$C$500,MATCH($C4081,المنيو!$B$2:$B$500,0)),0))</f>
        <v/>
      </c>
      <c r="F4081" s="107" t="str">
        <f aca="false">IF($C4081="","",$D4081*$E4081)</f>
        <v/>
      </c>
      <c r="G4081" s="107" t="str">
        <f aca="false">IF($C4081="","",$D4081*IFERROR(INDEX('تحليل التكلفة والسعر'!$C$2:$C$700,MATCH($C4081,'تحليل التكلفة والسعر'!$B$2:$B$700,0)),0))</f>
        <v/>
      </c>
    </row>
    <row r="4082" customFormat="false" ht="15" hidden="false" customHeight="false" outlineLevel="0" collapsed="false">
      <c r="A4082" s="103"/>
      <c r="B4082" s="104"/>
      <c r="C4082" s="104"/>
      <c r="E4082" s="107" t="str">
        <f aca="false">IF($C4082="","",IFERROR(INDEX(المنيو!$C$2:$C$500,MATCH($C4082,المنيو!$B$2:$B$500,0)),0))</f>
        <v/>
      </c>
      <c r="F4082" s="107" t="str">
        <f aca="false">IF($C4082="","",$D4082*$E4082)</f>
        <v/>
      </c>
      <c r="G4082" s="107" t="str">
        <f aca="false">IF($C4082="","",$D4082*IFERROR(INDEX('تحليل التكلفة والسعر'!$C$2:$C$700,MATCH($C4082,'تحليل التكلفة والسعر'!$B$2:$B$700,0)),0))</f>
        <v/>
      </c>
    </row>
    <row r="4083" customFormat="false" ht="15" hidden="false" customHeight="false" outlineLevel="0" collapsed="false">
      <c r="A4083" s="103"/>
      <c r="B4083" s="104"/>
      <c r="C4083" s="104"/>
      <c r="E4083" s="107" t="str">
        <f aca="false">IF($C4083="","",IFERROR(INDEX(المنيو!$C$2:$C$500,MATCH($C4083,المنيو!$B$2:$B$500,0)),0))</f>
        <v/>
      </c>
      <c r="F4083" s="107" t="str">
        <f aca="false">IF($C4083="","",$D4083*$E4083)</f>
        <v/>
      </c>
      <c r="G4083" s="107" t="str">
        <f aca="false">IF($C4083="","",$D4083*IFERROR(INDEX('تحليل التكلفة والسعر'!$C$2:$C$700,MATCH($C4083,'تحليل التكلفة والسعر'!$B$2:$B$700,0)),0))</f>
        <v/>
      </c>
    </row>
    <row r="4084" customFormat="false" ht="15" hidden="false" customHeight="false" outlineLevel="0" collapsed="false">
      <c r="A4084" s="103"/>
      <c r="B4084" s="104"/>
      <c r="C4084" s="104"/>
      <c r="E4084" s="107" t="str">
        <f aca="false">IF($C4084="","",IFERROR(INDEX(المنيو!$C$2:$C$500,MATCH($C4084,المنيو!$B$2:$B$500,0)),0))</f>
        <v/>
      </c>
      <c r="F4084" s="107" t="str">
        <f aca="false">IF($C4084="","",$D4084*$E4084)</f>
        <v/>
      </c>
      <c r="G4084" s="107" t="str">
        <f aca="false">IF($C4084="","",$D4084*IFERROR(INDEX('تحليل التكلفة والسعر'!$C$2:$C$700,MATCH($C4084,'تحليل التكلفة والسعر'!$B$2:$B$700,0)),0))</f>
        <v/>
      </c>
    </row>
    <row r="4085" customFormat="false" ht="15" hidden="false" customHeight="false" outlineLevel="0" collapsed="false">
      <c r="A4085" s="103"/>
      <c r="B4085" s="104"/>
      <c r="C4085" s="104"/>
      <c r="E4085" s="107" t="str">
        <f aca="false">IF($C4085="","",IFERROR(INDEX(المنيو!$C$2:$C$500,MATCH($C4085,المنيو!$B$2:$B$500,0)),0))</f>
        <v/>
      </c>
      <c r="F4085" s="107" t="str">
        <f aca="false">IF($C4085="","",$D4085*$E4085)</f>
        <v/>
      </c>
      <c r="G4085" s="107" t="str">
        <f aca="false">IF($C4085="","",$D4085*IFERROR(INDEX('تحليل التكلفة والسعر'!$C$2:$C$700,MATCH($C4085,'تحليل التكلفة والسعر'!$B$2:$B$700,0)),0))</f>
        <v/>
      </c>
    </row>
    <row r="4086" customFormat="false" ht="15" hidden="false" customHeight="false" outlineLevel="0" collapsed="false">
      <c r="A4086" s="103"/>
      <c r="B4086" s="104"/>
      <c r="C4086" s="104"/>
      <c r="E4086" s="107" t="str">
        <f aca="false">IF($C4086="","",IFERROR(INDEX(المنيو!$C$2:$C$500,MATCH($C4086,المنيو!$B$2:$B$500,0)),0))</f>
        <v/>
      </c>
      <c r="F4086" s="107" t="str">
        <f aca="false">IF($C4086="","",$D4086*$E4086)</f>
        <v/>
      </c>
      <c r="G4086" s="107" t="str">
        <f aca="false">IF($C4086="","",$D4086*IFERROR(INDEX('تحليل التكلفة والسعر'!$C$2:$C$700,MATCH($C4086,'تحليل التكلفة والسعر'!$B$2:$B$700,0)),0))</f>
        <v/>
      </c>
    </row>
    <row r="4087" customFormat="false" ht="15" hidden="false" customHeight="false" outlineLevel="0" collapsed="false">
      <c r="A4087" s="103"/>
      <c r="B4087" s="104"/>
      <c r="C4087" s="104"/>
      <c r="E4087" s="107" t="str">
        <f aca="false">IF($C4087="","",IFERROR(INDEX(المنيو!$C$2:$C$500,MATCH($C4087,المنيو!$B$2:$B$500,0)),0))</f>
        <v/>
      </c>
      <c r="F4087" s="107" t="str">
        <f aca="false">IF($C4087="","",$D4087*$E4087)</f>
        <v/>
      </c>
      <c r="G4087" s="107" t="str">
        <f aca="false">IF($C4087="","",$D4087*IFERROR(INDEX('تحليل التكلفة والسعر'!$C$2:$C$700,MATCH($C4087,'تحليل التكلفة والسعر'!$B$2:$B$700,0)),0))</f>
        <v/>
      </c>
    </row>
    <row r="4088" customFormat="false" ht="15" hidden="false" customHeight="false" outlineLevel="0" collapsed="false">
      <c r="A4088" s="103"/>
      <c r="B4088" s="104"/>
      <c r="C4088" s="104"/>
      <c r="E4088" s="107" t="str">
        <f aca="false">IF($C4088="","",IFERROR(INDEX(المنيو!$C$2:$C$500,MATCH($C4088,المنيو!$B$2:$B$500,0)),0))</f>
        <v/>
      </c>
      <c r="F4088" s="107" t="str">
        <f aca="false">IF($C4088="","",$D4088*$E4088)</f>
        <v/>
      </c>
      <c r="G4088" s="107" t="str">
        <f aca="false">IF($C4088="","",$D4088*IFERROR(INDEX('تحليل التكلفة والسعر'!$C$2:$C$700,MATCH($C4088,'تحليل التكلفة والسعر'!$B$2:$B$700,0)),0))</f>
        <v/>
      </c>
    </row>
    <row r="4089" customFormat="false" ht="15" hidden="false" customHeight="false" outlineLevel="0" collapsed="false">
      <c r="A4089" s="103"/>
      <c r="B4089" s="104"/>
      <c r="C4089" s="104"/>
      <c r="E4089" s="107" t="str">
        <f aca="false">IF($C4089="","",IFERROR(INDEX(المنيو!$C$2:$C$500,MATCH($C4089,المنيو!$B$2:$B$500,0)),0))</f>
        <v/>
      </c>
      <c r="F4089" s="107" t="str">
        <f aca="false">IF($C4089="","",$D4089*$E4089)</f>
        <v/>
      </c>
      <c r="G4089" s="107" t="str">
        <f aca="false">IF($C4089="","",$D4089*IFERROR(INDEX('تحليل التكلفة والسعر'!$C$2:$C$700,MATCH($C4089,'تحليل التكلفة والسعر'!$B$2:$B$700,0)),0))</f>
        <v/>
      </c>
    </row>
    <row r="4090" customFormat="false" ht="15" hidden="false" customHeight="false" outlineLevel="0" collapsed="false">
      <c r="A4090" s="103"/>
      <c r="B4090" s="104"/>
      <c r="C4090" s="104"/>
      <c r="E4090" s="107" t="str">
        <f aca="false">IF($C4090="","",IFERROR(INDEX(المنيو!$C$2:$C$500,MATCH($C4090,المنيو!$B$2:$B$500,0)),0))</f>
        <v/>
      </c>
      <c r="F4090" s="107" t="str">
        <f aca="false">IF($C4090="","",$D4090*$E4090)</f>
        <v/>
      </c>
      <c r="G4090" s="107" t="str">
        <f aca="false">IF($C4090="","",$D4090*IFERROR(INDEX('تحليل التكلفة والسعر'!$C$2:$C$700,MATCH($C4090,'تحليل التكلفة والسعر'!$B$2:$B$700,0)),0))</f>
        <v/>
      </c>
    </row>
    <row r="4091" customFormat="false" ht="15" hidden="false" customHeight="false" outlineLevel="0" collapsed="false">
      <c r="A4091" s="103"/>
      <c r="B4091" s="104"/>
      <c r="C4091" s="104"/>
      <c r="E4091" s="107" t="str">
        <f aca="false">IF($C4091="","",IFERROR(INDEX(المنيو!$C$2:$C$500,MATCH($C4091,المنيو!$B$2:$B$500,0)),0))</f>
        <v/>
      </c>
      <c r="F4091" s="107" t="str">
        <f aca="false">IF($C4091="","",$D4091*$E4091)</f>
        <v/>
      </c>
      <c r="G4091" s="107" t="str">
        <f aca="false">IF($C4091="","",$D4091*IFERROR(INDEX('تحليل التكلفة والسعر'!$C$2:$C$700,MATCH($C4091,'تحليل التكلفة والسعر'!$B$2:$B$700,0)),0))</f>
        <v/>
      </c>
    </row>
    <row r="4092" customFormat="false" ht="15" hidden="false" customHeight="false" outlineLevel="0" collapsed="false">
      <c r="A4092" s="103"/>
      <c r="B4092" s="104"/>
      <c r="C4092" s="104"/>
      <c r="E4092" s="107" t="str">
        <f aca="false">IF($C4092="","",IFERROR(INDEX(المنيو!$C$2:$C$500,MATCH($C4092,المنيو!$B$2:$B$500,0)),0))</f>
        <v/>
      </c>
      <c r="F4092" s="107" t="str">
        <f aca="false">IF($C4092="","",$D4092*$E4092)</f>
        <v/>
      </c>
      <c r="G4092" s="107" t="str">
        <f aca="false">IF($C4092="","",$D4092*IFERROR(INDEX('تحليل التكلفة والسعر'!$C$2:$C$700,MATCH($C4092,'تحليل التكلفة والسعر'!$B$2:$B$700,0)),0))</f>
        <v/>
      </c>
    </row>
    <row r="4093" customFormat="false" ht="15" hidden="false" customHeight="false" outlineLevel="0" collapsed="false">
      <c r="A4093" s="103"/>
      <c r="B4093" s="104"/>
      <c r="C4093" s="104"/>
      <c r="E4093" s="107" t="str">
        <f aca="false">IF($C4093="","",IFERROR(INDEX(المنيو!$C$2:$C$500,MATCH($C4093,المنيو!$B$2:$B$500,0)),0))</f>
        <v/>
      </c>
      <c r="F4093" s="107" t="str">
        <f aca="false">IF($C4093="","",$D4093*$E4093)</f>
        <v/>
      </c>
      <c r="G4093" s="107" t="str">
        <f aca="false">IF($C4093="","",$D4093*IFERROR(INDEX('تحليل التكلفة والسعر'!$C$2:$C$700,MATCH($C4093,'تحليل التكلفة والسعر'!$B$2:$B$700,0)),0))</f>
        <v/>
      </c>
    </row>
    <row r="4094" customFormat="false" ht="15" hidden="false" customHeight="false" outlineLevel="0" collapsed="false">
      <c r="A4094" s="103"/>
      <c r="B4094" s="104"/>
      <c r="C4094" s="104"/>
      <c r="E4094" s="107" t="str">
        <f aca="false">IF($C4094="","",IFERROR(INDEX(المنيو!$C$2:$C$500,MATCH($C4094,المنيو!$B$2:$B$500,0)),0))</f>
        <v/>
      </c>
      <c r="F4094" s="107" t="str">
        <f aca="false">IF($C4094="","",$D4094*$E4094)</f>
        <v/>
      </c>
      <c r="G4094" s="107" t="str">
        <f aca="false">IF($C4094="","",$D4094*IFERROR(INDEX('تحليل التكلفة والسعر'!$C$2:$C$700,MATCH($C4094,'تحليل التكلفة والسعر'!$B$2:$B$700,0)),0))</f>
        <v/>
      </c>
    </row>
    <row r="4095" customFormat="false" ht="15" hidden="false" customHeight="false" outlineLevel="0" collapsed="false">
      <c r="A4095" s="103"/>
      <c r="B4095" s="104"/>
      <c r="C4095" s="104"/>
      <c r="E4095" s="107" t="str">
        <f aca="false">IF($C4095="","",IFERROR(INDEX(المنيو!$C$2:$C$500,MATCH($C4095,المنيو!$B$2:$B$500,0)),0))</f>
        <v/>
      </c>
      <c r="F4095" s="107" t="str">
        <f aca="false">IF($C4095="","",$D4095*$E4095)</f>
        <v/>
      </c>
      <c r="G4095" s="107" t="str">
        <f aca="false">IF($C4095="","",$D4095*IFERROR(INDEX('تحليل التكلفة والسعر'!$C$2:$C$700,MATCH($C4095,'تحليل التكلفة والسعر'!$B$2:$B$700,0)),0))</f>
        <v/>
      </c>
    </row>
    <row r="4096" customFormat="false" ht="15" hidden="false" customHeight="false" outlineLevel="0" collapsed="false">
      <c r="A4096" s="103"/>
      <c r="B4096" s="104"/>
      <c r="C4096" s="104"/>
      <c r="E4096" s="107" t="str">
        <f aca="false">IF($C4096="","",IFERROR(INDEX(المنيو!$C$2:$C$500,MATCH($C4096,المنيو!$B$2:$B$500,0)),0))</f>
        <v/>
      </c>
      <c r="F4096" s="107" t="str">
        <f aca="false">IF($C4096="","",$D4096*$E4096)</f>
        <v/>
      </c>
      <c r="G4096" s="107" t="str">
        <f aca="false">IF($C4096="","",$D4096*IFERROR(INDEX('تحليل التكلفة والسعر'!$C$2:$C$700,MATCH($C4096,'تحليل التكلفة والسعر'!$B$2:$B$700,0)),0))</f>
        <v/>
      </c>
    </row>
    <row r="4097" customFormat="false" ht="15" hidden="false" customHeight="false" outlineLevel="0" collapsed="false">
      <c r="A4097" s="103"/>
      <c r="B4097" s="104"/>
      <c r="C4097" s="104"/>
      <c r="E4097" s="107" t="str">
        <f aca="false">IF($C4097="","",IFERROR(INDEX(المنيو!$C$2:$C$500,MATCH($C4097,المنيو!$B$2:$B$500,0)),0))</f>
        <v/>
      </c>
      <c r="F4097" s="107" t="str">
        <f aca="false">IF($C4097="","",$D4097*$E4097)</f>
        <v/>
      </c>
      <c r="G4097" s="107" t="str">
        <f aca="false">IF($C4097="","",$D4097*IFERROR(INDEX('تحليل التكلفة والسعر'!$C$2:$C$700,MATCH($C4097,'تحليل التكلفة والسعر'!$B$2:$B$700,0)),0))</f>
        <v/>
      </c>
    </row>
    <row r="4098" customFormat="false" ht="15" hidden="false" customHeight="false" outlineLevel="0" collapsed="false">
      <c r="A4098" s="103"/>
      <c r="B4098" s="104"/>
      <c r="C4098" s="104"/>
      <c r="E4098" s="107" t="str">
        <f aca="false">IF($C4098="","",IFERROR(INDEX(المنيو!$C$2:$C$500,MATCH($C4098,المنيو!$B$2:$B$500,0)),0))</f>
        <v/>
      </c>
      <c r="F4098" s="107" t="str">
        <f aca="false">IF($C4098="","",$D4098*$E4098)</f>
        <v/>
      </c>
      <c r="G4098" s="107" t="str">
        <f aca="false">IF($C4098="","",$D4098*IFERROR(INDEX('تحليل التكلفة والسعر'!$C$2:$C$700,MATCH($C4098,'تحليل التكلفة والسعر'!$B$2:$B$700,0)),0))</f>
        <v/>
      </c>
    </row>
    <row r="4099" customFormat="false" ht="15" hidden="false" customHeight="false" outlineLevel="0" collapsed="false">
      <c r="A4099" s="103"/>
      <c r="B4099" s="104"/>
      <c r="C4099" s="104"/>
      <c r="E4099" s="107" t="str">
        <f aca="false">IF($C4099="","",IFERROR(INDEX(المنيو!$C$2:$C$500,MATCH($C4099,المنيو!$B$2:$B$500,0)),0))</f>
        <v/>
      </c>
      <c r="F4099" s="107" t="str">
        <f aca="false">IF($C4099="","",$D4099*$E4099)</f>
        <v/>
      </c>
      <c r="G4099" s="107" t="str">
        <f aca="false">IF($C4099="","",$D4099*IFERROR(INDEX('تحليل التكلفة والسعر'!$C$2:$C$700,MATCH($C4099,'تحليل التكلفة والسعر'!$B$2:$B$700,0)),0))</f>
        <v/>
      </c>
    </row>
    <row r="4100" customFormat="false" ht="15" hidden="false" customHeight="false" outlineLevel="0" collapsed="false">
      <c r="A4100" s="103"/>
      <c r="B4100" s="104"/>
      <c r="C4100" s="104"/>
      <c r="E4100" s="107" t="str">
        <f aca="false">IF($C4100="","",IFERROR(INDEX(المنيو!$C$2:$C$500,MATCH($C4100,المنيو!$B$2:$B$500,0)),0))</f>
        <v/>
      </c>
      <c r="F4100" s="107" t="str">
        <f aca="false">IF($C4100="","",$D4100*$E4100)</f>
        <v/>
      </c>
      <c r="G4100" s="107" t="str">
        <f aca="false">IF($C4100="","",$D4100*IFERROR(INDEX('تحليل التكلفة والسعر'!$C$2:$C$700,MATCH($C4100,'تحليل التكلفة والسعر'!$B$2:$B$700,0)),0))</f>
        <v/>
      </c>
    </row>
    <row r="4101" customFormat="false" ht="15" hidden="false" customHeight="false" outlineLevel="0" collapsed="false">
      <c r="A4101" s="103"/>
      <c r="B4101" s="104"/>
      <c r="C4101" s="104"/>
      <c r="E4101" s="107" t="str">
        <f aca="false">IF($C4101="","",IFERROR(INDEX(المنيو!$C$2:$C$500,MATCH($C4101,المنيو!$B$2:$B$500,0)),0))</f>
        <v/>
      </c>
      <c r="F4101" s="107" t="str">
        <f aca="false">IF($C4101="","",$D4101*$E4101)</f>
        <v/>
      </c>
      <c r="G4101" s="107" t="str">
        <f aca="false">IF($C4101="","",$D4101*IFERROR(INDEX('تحليل التكلفة والسعر'!$C$2:$C$700,MATCH($C4101,'تحليل التكلفة والسعر'!$B$2:$B$700,0)),0))</f>
        <v/>
      </c>
    </row>
    <row r="4102" customFormat="false" ht="15" hidden="false" customHeight="false" outlineLevel="0" collapsed="false">
      <c r="A4102" s="103"/>
      <c r="B4102" s="104"/>
      <c r="C4102" s="104"/>
      <c r="E4102" s="107" t="str">
        <f aca="false">IF($C4102="","",IFERROR(INDEX(المنيو!$C$2:$C$500,MATCH($C4102,المنيو!$B$2:$B$500,0)),0))</f>
        <v/>
      </c>
      <c r="F4102" s="107" t="str">
        <f aca="false">IF($C4102="","",$D4102*$E4102)</f>
        <v/>
      </c>
      <c r="G4102" s="107" t="str">
        <f aca="false">IF($C4102="","",$D4102*IFERROR(INDEX('تحليل التكلفة والسعر'!$C$2:$C$700,MATCH($C4102,'تحليل التكلفة والسعر'!$B$2:$B$700,0)),0))</f>
        <v/>
      </c>
    </row>
    <row r="4103" customFormat="false" ht="15" hidden="false" customHeight="false" outlineLevel="0" collapsed="false">
      <c r="A4103" s="103"/>
      <c r="B4103" s="104"/>
      <c r="C4103" s="104"/>
      <c r="E4103" s="107" t="str">
        <f aca="false">IF($C4103="","",IFERROR(INDEX(المنيو!$C$2:$C$500,MATCH($C4103,المنيو!$B$2:$B$500,0)),0))</f>
        <v/>
      </c>
      <c r="F4103" s="107" t="str">
        <f aca="false">IF($C4103="","",$D4103*$E4103)</f>
        <v/>
      </c>
      <c r="G4103" s="107" t="str">
        <f aca="false">IF($C4103="","",$D4103*IFERROR(INDEX('تحليل التكلفة والسعر'!$C$2:$C$700,MATCH($C4103,'تحليل التكلفة والسعر'!$B$2:$B$700,0)),0))</f>
        <v/>
      </c>
    </row>
    <row r="4104" customFormat="false" ht="15" hidden="false" customHeight="false" outlineLevel="0" collapsed="false">
      <c r="A4104" s="103"/>
      <c r="B4104" s="104"/>
      <c r="C4104" s="104"/>
      <c r="E4104" s="107" t="str">
        <f aca="false">IF($C4104="","",IFERROR(INDEX(المنيو!$C$2:$C$500,MATCH($C4104,المنيو!$B$2:$B$500,0)),0))</f>
        <v/>
      </c>
      <c r="F4104" s="107" t="str">
        <f aca="false">IF($C4104="","",$D4104*$E4104)</f>
        <v/>
      </c>
      <c r="G4104" s="107" t="str">
        <f aca="false">IF($C4104="","",$D4104*IFERROR(INDEX('تحليل التكلفة والسعر'!$C$2:$C$700,MATCH($C4104,'تحليل التكلفة والسعر'!$B$2:$B$700,0)),0))</f>
        <v/>
      </c>
    </row>
    <row r="4105" customFormat="false" ht="15" hidden="false" customHeight="false" outlineLevel="0" collapsed="false">
      <c r="A4105" s="103"/>
      <c r="B4105" s="104"/>
      <c r="C4105" s="104"/>
      <c r="E4105" s="107" t="str">
        <f aca="false">IF($C4105="","",IFERROR(INDEX(المنيو!$C$2:$C$500,MATCH($C4105,المنيو!$B$2:$B$500,0)),0))</f>
        <v/>
      </c>
      <c r="F4105" s="107" t="str">
        <f aca="false">IF($C4105="","",$D4105*$E4105)</f>
        <v/>
      </c>
      <c r="G4105" s="107" t="str">
        <f aca="false">IF($C4105="","",$D4105*IFERROR(INDEX('تحليل التكلفة والسعر'!$C$2:$C$700,MATCH($C4105,'تحليل التكلفة والسعر'!$B$2:$B$700,0)),0))</f>
        <v/>
      </c>
    </row>
    <row r="4106" customFormat="false" ht="15" hidden="false" customHeight="false" outlineLevel="0" collapsed="false">
      <c r="A4106" s="103"/>
      <c r="B4106" s="104"/>
      <c r="C4106" s="104"/>
      <c r="E4106" s="107" t="str">
        <f aca="false">IF($C4106="","",IFERROR(INDEX(المنيو!$C$2:$C$500,MATCH($C4106,المنيو!$B$2:$B$500,0)),0))</f>
        <v/>
      </c>
      <c r="F4106" s="107" t="str">
        <f aca="false">IF($C4106="","",$D4106*$E4106)</f>
        <v/>
      </c>
      <c r="G4106" s="107" t="str">
        <f aca="false">IF($C4106="","",$D4106*IFERROR(INDEX('تحليل التكلفة والسعر'!$C$2:$C$700,MATCH($C4106,'تحليل التكلفة والسعر'!$B$2:$B$700,0)),0))</f>
        <v/>
      </c>
    </row>
    <row r="4107" customFormat="false" ht="15" hidden="false" customHeight="false" outlineLevel="0" collapsed="false">
      <c r="A4107" s="103"/>
      <c r="B4107" s="104"/>
      <c r="C4107" s="104"/>
      <c r="E4107" s="107" t="str">
        <f aca="false">IF($C4107="","",IFERROR(INDEX(المنيو!$C$2:$C$500,MATCH($C4107,المنيو!$B$2:$B$500,0)),0))</f>
        <v/>
      </c>
      <c r="F4107" s="107" t="str">
        <f aca="false">IF($C4107="","",$D4107*$E4107)</f>
        <v/>
      </c>
      <c r="G4107" s="107" t="str">
        <f aca="false">IF($C4107="","",$D4107*IFERROR(INDEX('تحليل التكلفة والسعر'!$C$2:$C$700,MATCH($C4107,'تحليل التكلفة والسعر'!$B$2:$B$700,0)),0))</f>
        <v/>
      </c>
    </row>
    <row r="4108" customFormat="false" ht="15" hidden="false" customHeight="false" outlineLevel="0" collapsed="false">
      <c r="A4108" s="103"/>
      <c r="B4108" s="104"/>
      <c r="C4108" s="104"/>
      <c r="E4108" s="107" t="str">
        <f aca="false">IF($C4108="","",IFERROR(INDEX(المنيو!$C$2:$C$500,MATCH($C4108,المنيو!$B$2:$B$500,0)),0))</f>
        <v/>
      </c>
      <c r="F4108" s="107" t="str">
        <f aca="false">IF($C4108="","",$D4108*$E4108)</f>
        <v/>
      </c>
      <c r="G4108" s="107" t="str">
        <f aca="false">IF($C4108="","",$D4108*IFERROR(INDEX('تحليل التكلفة والسعر'!$C$2:$C$700,MATCH($C4108,'تحليل التكلفة والسعر'!$B$2:$B$700,0)),0))</f>
        <v/>
      </c>
    </row>
    <row r="4109" customFormat="false" ht="15" hidden="false" customHeight="false" outlineLevel="0" collapsed="false">
      <c r="A4109" s="103"/>
      <c r="B4109" s="104"/>
      <c r="C4109" s="104"/>
      <c r="E4109" s="107" t="str">
        <f aca="false">IF($C4109="","",IFERROR(INDEX(المنيو!$C$2:$C$500,MATCH($C4109,المنيو!$B$2:$B$500,0)),0))</f>
        <v/>
      </c>
      <c r="F4109" s="107" t="str">
        <f aca="false">IF($C4109="","",$D4109*$E4109)</f>
        <v/>
      </c>
      <c r="G4109" s="107" t="str">
        <f aca="false">IF($C4109="","",$D4109*IFERROR(INDEX('تحليل التكلفة والسعر'!$C$2:$C$700,MATCH($C4109,'تحليل التكلفة والسعر'!$B$2:$B$700,0)),0))</f>
        <v/>
      </c>
    </row>
    <row r="4110" customFormat="false" ht="15" hidden="false" customHeight="false" outlineLevel="0" collapsed="false">
      <c r="A4110" s="103"/>
      <c r="B4110" s="104"/>
      <c r="C4110" s="104"/>
      <c r="E4110" s="107" t="str">
        <f aca="false">IF($C4110="","",IFERROR(INDEX(المنيو!$C$2:$C$500,MATCH($C4110,المنيو!$B$2:$B$500,0)),0))</f>
        <v/>
      </c>
      <c r="F4110" s="107" t="str">
        <f aca="false">IF($C4110="","",$D4110*$E4110)</f>
        <v/>
      </c>
      <c r="G4110" s="107" t="str">
        <f aca="false">IF($C4110="","",$D4110*IFERROR(INDEX('تحليل التكلفة والسعر'!$C$2:$C$700,MATCH($C4110,'تحليل التكلفة والسعر'!$B$2:$B$700,0)),0))</f>
        <v/>
      </c>
    </row>
    <row r="4111" customFormat="false" ht="15" hidden="false" customHeight="false" outlineLevel="0" collapsed="false">
      <c r="A4111" s="103"/>
      <c r="B4111" s="104"/>
      <c r="C4111" s="104"/>
      <c r="E4111" s="107" t="str">
        <f aca="false">IF($C4111="","",IFERROR(INDEX(المنيو!$C$2:$C$500,MATCH($C4111,المنيو!$B$2:$B$500,0)),0))</f>
        <v/>
      </c>
      <c r="F4111" s="107" t="str">
        <f aca="false">IF($C4111="","",$D4111*$E4111)</f>
        <v/>
      </c>
      <c r="G4111" s="107" t="str">
        <f aca="false">IF($C4111="","",$D4111*IFERROR(INDEX('تحليل التكلفة والسعر'!$C$2:$C$700,MATCH($C4111,'تحليل التكلفة والسعر'!$B$2:$B$700,0)),0))</f>
        <v/>
      </c>
    </row>
    <row r="4112" customFormat="false" ht="15" hidden="false" customHeight="false" outlineLevel="0" collapsed="false">
      <c r="A4112" s="103"/>
      <c r="B4112" s="104"/>
      <c r="C4112" s="104"/>
      <c r="E4112" s="107" t="str">
        <f aca="false">IF($C4112="","",IFERROR(INDEX(المنيو!$C$2:$C$500,MATCH($C4112,المنيو!$B$2:$B$500,0)),0))</f>
        <v/>
      </c>
      <c r="F4112" s="107" t="str">
        <f aca="false">IF($C4112="","",$D4112*$E4112)</f>
        <v/>
      </c>
      <c r="G4112" s="107" t="str">
        <f aca="false">IF($C4112="","",$D4112*IFERROR(INDEX('تحليل التكلفة والسعر'!$C$2:$C$700,MATCH($C4112,'تحليل التكلفة والسعر'!$B$2:$B$700,0)),0))</f>
        <v/>
      </c>
    </row>
    <row r="4113" customFormat="false" ht="15" hidden="false" customHeight="false" outlineLevel="0" collapsed="false">
      <c r="A4113" s="103"/>
      <c r="B4113" s="104"/>
      <c r="C4113" s="104"/>
      <c r="E4113" s="107" t="str">
        <f aca="false">IF($C4113="","",IFERROR(INDEX(المنيو!$C$2:$C$500,MATCH($C4113,المنيو!$B$2:$B$500,0)),0))</f>
        <v/>
      </c>
      <c r="F4113" s="107" t="str">
        <f aca="false">IF($C4113="","",$D4113*$E4113)</f>
        <v/>
      </c>
      <c r="G4113" s="107" t="str">
        <f aca="false">IF($C4113="","",$D4113*IFERROR(INDEX('تحليل التكلفة والسعر'!$C$2:$C$700,MATCH($C4113,'تحليل التكلفة والسعر'!$B$2:$B$700,0)),0))</f>
        <v/>
      </c>
    </row>
    <row r="4114" customFormat="false" ht="15" hidden="false" customHeight="false" outlineLevel="0" collapsed="false">
      <c r="A4114" s="103"/>
      <c r="B4114" s="104"/>
      <c r="C4114" s="104"/>
      <c r="E4114" s="107" t="str">
        <f aca="false">IF($C4114="","",IFERROR(INDEX(المنيو!$C$2:$C$500,MATCH($C4114,المنيو!$B$2:$B$500,0)),0))</f>
        <v/>
      </c>
      <c r="F4114" s="107" t="str">
        <f aca="false">IF($C4114="","",$D4114*$E4114)</f>
        <v/>
      </c>
      <c r="G4114" s="107" t="str">
        <f aca="false">IF($C4114="","",$D4114*IFERROR(INDEX('تحليل التكلفة والسعر'!$C$2:$C$700,MATCH($C4114,'تحليل التكلفة والسعر'!$B$2:$B$700,0)),0))</f>
        <v/>
      </c>
    </row>
    <row r="4115" customFormat="false" ht="15" hidden="false" customHeight="false" outlineLevel="0" collapsed="false">
      <c r="A4115" s="103"/>
      <c r="B4115" s="104"/>
      <c r="C4115" s="104"/>
      <c r="E4115" s="107" t="str">
        <f aca="false">IF($C4115="","",IFERROR(INDEX(المنيو!$C$2:$C$500,MATCH($C4115,المنيو!$B$2:$B$500,0)),0))</f>
        <v/>
      </c>
      <c r="F4115" s="107" t="str">
        <f aca="false">IF($C4115="","",$D4115*$E4115)</f>
        <v/>
      </c>
      <c r="G4115" s="107" t="str">
        <f aca="false">IF($C4115="","",$D4115*IFERROR(INDEX('تحليل التكلفة والسعر'!$C$2:$C$700,MATCH($C4115,'تحليل التكلفة والسعر'!$B$2:$B$700,0)),0))</f>
        <v/>
      </c>
    </row>
    <row r="4116" customFormat="false" ht="15" hidden="false" customHeight="false" outlineLevel="0" collapsed="false">
      <c r="A4116" s="103"/>
      <c r="B4116" s="104"/>
      <c r="C4116" s="104"/>
      <c r="E4116" s="107" t="str">
        <f aca="false">IF($C4116="","",IFERROR(INDEX(المنيو!$C$2:$C$500,MATCH($C4116,المنيو!$B$2:$B$500,0)),0))</f>
        <v/>
      </c>
      <c r="F4116" s="107" t="str">
        <f aca="false">IF($C4116="","",$D4116*$E4116)</f>
        <v/>
      </c>
      <c r="G4116" s="107" t="str">
        <f aca="false">IF($C4116="","",$D4116*IFERROR(INDEX('تحليل التكلفة والسعر'!$C$2:$C$700,MATCH($C4116,'تحليل التكلفة والسعر'!$B$2:$B$700,0)),0))</f>
        <v/>
      </c>
    </row>
    <row r="4117" customFormat="false" ht="15" hidden="false" customHeight="false" outlineLevel="0" collapsed="false">
      <c r="A4117" s="103"/>
      <c r="B4117" s="104"/>
      <c r="C4117" s="104"/>
      <c r="E4117" s="107" t="str">
        <f aca="false">IF($C4117="","",IFERROR(INDEX(المنيو!$C$2:$C$500,MATCH($C4117,المنيو!$B$2:$B$500,0)),0))</f>
        <v/>
      </c>
      <c r="F4117" s="107" t="str">
        <f aca="false">IF($C4117="","",$D4117*$E4117)</f>
        <v/>
      </c>
      <c r="G4117" s="107" t="str">
        <f aca="false">IF($C4117="","",$D4117*IFERROR(INDEX('تحليل التكلفة والسعر'!$C$2:$C$700,MATCH($C4117,'تحليل التكلفة والسعر'!$B$2:$B$700,0)),0))</f>
        <v/>
      </c>
    </row>
    <row r="4118" customFormat="false" ht="15" hidden="false" customHeight="false" outlineLevel="0" collapsed="false">
      <c r="A4118" s="103"/>
      <c r="B4118" s="104"/>
      <c r="C4118" s="104"/>
      <c r="E4118" s="107" t="str">
        <f aca="false">IF($C4118="","",IFERROR(INDEX(المنيو!$C$2:$C$500,MATCH($C4118,المنيو!$B$2:$B$500,0)),0))</f>
        <v/>
      </c>
      <c r="F4118" s="107" t="str">
        <f aca="false">IF($C4118="","",$D4118*$E4118)</f>
        <v/>
      </c>
      <c r="G4118" s="107" t="str">
        <f aca="false">IF($C4118="","",$D4118*IFERROR(INDEX('تحليل التكلفة والسعر'!$C$2:$C$700,MATCH($C4118,'تحليل التكلفة والسعر'!$B$2:$B$700,0)),0))</f>
        <v/>
      </c>
    </row>
    <row r="4119" customFormat="false" ht="15" hidden="false" customHeight="false" outlineLevel="0" collapsed="false">
      <c r="A4119" s="103"/>
      <c r="B4119" s="104"/>
      <c r="C4119" s="104"/>
      <c r="E4119" s="107" t="str">
        <f aca="false">IF($C4119="","",IFERROR(INDEX(المنيو!$C$2:$C$500,MATCH($C4119,المنيو!$B$2:$B$500,0)),0))</f>
        <v/>
      </c>
      <c r="F4119" s="107" t="str">
        <f aca="false">IF($C4119="","",$D4119*$E4119)</f>
        <v/>
      </c>
      <c r="G4119" s="107" t="str">
        <f aca="false">IF($C4119="","",$D4119*IFERROR(INDEX('تحليل التكلفة والسعر'!$C$2:$C$700,MATCH($C4119,'تحليل التكلفة والسعر'!$B$2:$B$700,0)),0))</f>
        <v/>
      </c>
    </row>
    <row r="4120" customFormat="false" ht="15" hidden="false" customHeight="false" outlineLevel="0" collapsed="false">
      <c r="A4120" s="103"/>
      <c r="B4120" s="104"/>
      <c r="C4120" s="104"/>
      <c r="E4120" s="107" t="str">
        <f aca="false">IF($C4120="","",IFERROR(INDEX(المنيو!$C$2:$C$500,MATCH($C4120,المنيو!$B$2:$B$500,0)),0))</f>
        <v/>
      </c>
      <c r="F4120" s="107" t="str">
        <f aca="false">IF($C4120="","",$D4120*$E4120)</f>
        <v/>
      </c>
      <c r="G4120" s="107" t="str">
        <f aca="false">IF($C4120="","",$D4120*IFERROR(INDEX('تحليل التكلفة والسعر'!$C$2:$C$700,MATCH($C4120,'تحليل التكلفة والسعر'!$B$2:$B$700,0)),0))</f>
        <v/>
      </c>
    </row>
    <row r="4121" customFormat="false" ht="15" hidden="false" customHeight="false" outlineLevel="0" collapsed="false">
      <c r="A4121" s="103"/>
      <c r="B4121" s="104"/>
      <c r="C4121" s="104"/>
      <c r="E4121" s="107" t="str">
        <f aca="false">IF($C4121="","",IFERROR(INDEX(المنيو!$C$2:$C$500,MATCH($C4121,المنيو!$B$2:$B$500,0)),0))</f>
        <v/>
      </c>
      <c r="F4121" s="107" t="str">
        <f aca="false">IF($C4121="","",$D4121*$E4121)</f>
        <v/>
      </c>
      <c r="G4121" s="107" t="str">
        <f aca="false">IF($C4121="","",$D4121*IFERROR(INDEX('تحليل التكلفة والسعر'!$C$2:$C$700,MATCH($C4121,'تحليل التكلفة والسعر'!$B$2:$B$700,0)),0))</f>
        <v/>
      </c>
    </row>
    <row r="4122" customFormat="false" ht="15" hidden="false" customHeight="false" outlineLevel="0" collapsed="false">
      <c r="A4122" s="103"/>
      <c r="B4122" s="104"/>
      <c r="C4122" s="104"/>
      <c r="E4122" s="107" t="str">
        <f aca="false">IF($C4122="","",IFERROR(INDEX(المنيو!$C$2:$C$500,MATCH($C4122,المنيو!$B$2:$B$500,0)),0))</f>
        <v/>
      </c>
      <c r="F4122" s="107" t="str">
        <f aca="false">IF($C4122="","",$D4122*$E4122)</f>
        <v/>
      </c>
      <c r="G4122" s="107" t="str">
        <f aca="false">IF($C4122="","",$D4122*IFERROR(INDEX('تحليل التكلفة والسعر'!$C$2:$C$700,MATCH($C4122,'تحليل التكلفة والسعر'!$B$2:$B$700,0)),0))</f>
        <v/>
      </c>
    </row>
    <row r="4123" customFormat="false" ht="15" hidden="false" customHeight="false" outlineLevel="0" collapsed="false">
      <c r="A4123" s="103"/>
      <c r="B4123" s="104"/>
      <c r="C4123" s="104"/>
      <c r="E4123" s="107" t="str">
        <f aca="false">IF($C4123="","",IFERROR(INDEX(المنيو!$C$2:$C$500,MATCH($C4123,المنيو!$B$2:$B$500,0)),0))</f>
        <v/>
      </c>
      <c r="F4123" s="107" t="str">
        <f aca="false">IF($C4123="","",$D4123*$E4123)</f>
        <v/>
      </c>
      <c r="G4123" s="107" t="str">
        <f aca="false">IF($C4123="","",$D4123*IFERROR(INDEX('تحليل التكلفة والسعر'!$C$2:$C$700,MATCH($C4123,'تحليل التكلفة والسعر'!$B$2:$B$700,0)),0))</f>
        <v/>
      </c>
    </row>
    <row r="4124" customFormat="false" ht="15" hidden="false" customHeight="false" outlineLevel="0" collapsed="false">
      <c r="A4124" s="103"/>
      <c r="B4124" s="104"/>
      <c r="C4124" s="104"/>
      <c r="E4124" s="107" t="str">
        <f aca="false">IF($C4124="","",IFERROR(INDEX(المنيو!$C$2:$C$500,MATCH($C4124,المنيو!$B$2:$B$500,0)),0))</f>
        <v/>
      </c>
      <c r="F4124" s="107" t="str">
        <f aca="false">IF($C4124="","",$D4124*$E4124)</f>
        <v/>
      </c>
      <c r="G4124" s="107" t="str">
        <f aca="false">IF($C4124="","",$D4124*IFERROR(INDEX('تحليل التكلفة والسعر'!$C$2:$C$700,MATCH($C4124,'تحليل التكلفة والسعر'!$B$2:$B$700,0)),0))</f>
        <v/>
      </c>
    </row>
    <row r="4125" customFormat="false" ht="15" hidden="false" customHeight="false" outlineLevel="0" collapsed="false">
      <c r="A4125" s="103"/>
      <c r="B4125" s="104"/>
      <c r="C4125" s="104"/>
      <c r="E4125" s="107" t="str">
        <f aca="false">IF($C4125="","",IFERROR(INDEX(المنيو!$C$2:$C$500,MATCH($C4125,المنيو!$B$2:$B$500,0)),0))</f>
        <v/>
      </c>
      <c r="F4125" s="107" t="str">
        <f aca="false">IF($C4125="","",$D4125*$E4125)</f>
        <v/>
      </c>
      <c r="G4125" s="107" t="str">
        <f aca="false">IF($C4125="","",$D4125*IFERROR(INDEX('تحليل التكلفة والسعر'!$C$2:$C$700,MATCH($C4125,'تحليل التكلفة والسعر'!$B$2:$B$700,0)),0))</f>
        <v/>
      </c>
    </row>
    <row r="4126" customFormat="false" ht="15" hidden="false" customHeight="false" outlineLevel="0" collapsed="false">
      <c r="A4126" s="103"/>
      <c r="B4126" s="104"/>
      <c r="C4126" s="104"/>
      <c r="E4126" s="107" t="str">
        <f aca="false">IF($C4126="","",IFERROR(INDEX(المنيو!$C$2:$C$500,MATCH($C4126,المنيو!$B$2:$B$500,0)),0))</f>
        <v/>
      </c>
      <c r="F4126" s="107" t="str">
        <f aca="false">IF($C4126="","",$D4126*$E4126)</f>
        <v/>
      </c>
      <c r="G4126" s="107" t="str">
        <f aca="false">IF($C4126="","",$D4126*IFERROR(INDEX('تحليل التكلفة والسعر'!$C$2:$C$700,MATCH($C4126,'تحليل التكلفة والسعر'!$B$2:$B$700,0)),0))</f>
        <v/>
      </c>
    </row>
    <row r="4127" customFormat="false" ht="15" hidden="false" customHeight="false" outlineLevel="0" collapsed="false">
      <c r="A4127" s="103"/>
      <c r="B4127" s="104"/>
      <c r="C4127" s="104"/>
      <c r="E4127" s="107" t="str">
        <f aca="false">IF($C4127="","",IFERROR(INDEX(المنيو!$C$2:$C$500,MATCH($C4127,المنيو!$B$2:$B$500,0)),0))</f>
        <v/>
      </c>
      <c r="F4127" s="107" t="str">
        <f aca="false">IF($C4127="","",$D4127*$E4127)</f>
        <v/>
      </c>
      <c r="G4127" s="107" t="str">
        <f aca="false">IF($C4127="","",$D4127*IFERROR(INDEX('تحليل التكلفة والسعر'!$C$2:$C$700,MATCH($C4127,'تحليل التكلفة والسعر'!$B$2:$B$700,0)),0))</f>
        <v/>
      </c>
    </row>
    <row r="4128" customFormat="false" ht="15" hidden="false" customHeight="false" outlineLevel="0" collapsed="false">
      <c r="A4128" s="103"/>
      <c r="B4128" s="104"/>
      <c r="C4128" s="104"/>
      <c r="E4128" s="107" t="str">
        <f aca="false">IF($C4128="","",IFERROR(INDEX(المنيو!$C$2:$C$500,MATCH($C4128,المنيو!$B$2:$B$500,0)),0))</f>
        <v/>
      </c>
      <c r="F4128" s="107" t="str">
        <f aca="false">IF($C4128="","",$D4128*$E4128)</f>
        <v/>
      </c>
      <c r="G4128" s="107" t="str">
        <f aca="false">IF($C4128="","",$D4128*IFERROR(INDEX('تحليل التكلفة والسعر'!$C$2:$C$700,MATCH($C4128,'تحليل التكلفة والسعر'!$B$2:$B$700,0)),0))</f>
        <v/>
      </c>
    </row>
    <row r="4129" customFormat="false" ht="15" hidden="false" customHeight="false" outlineLevel="0" collapsed="false">
      <c r="A4129" s="103"/>
      <c r="B4129" s="104"/>
      <c r="C4129" s="104"/>
      <c r="E4129" s="107" t="str">
        <f aca="false">IF($C4129="","",IFERROR(INDEX(المنيو!$C$2:$C$500,MATCH($C4129,المنيو!$B$2:$B$500,0)),0))</f>
        <v/>
      </c>
      <c r="F4129" s="107" t="str">
        <f aca="false">IF($C4129="","",$D4129*$E4129)</f>
        <v/>
      </c>
      <c r="G4129" s="107" t="str">
        <f aca="false">IF($C4129="","",$D4129*IFERROR(INDEX('تحليل التكلفة والسعر'!$C$2:$C$700,MATCH($C4129,'تحليل التكلفة والسعر'!$B$2:$B$700,0)),0))</f>
        <v/>
      </c>
    </row>
    <row r="4130" customFormat="false" ht="15" hidden="false" customHeight="false" outlineLevel="0" collapsed="false">
      <c r="A4130" s="103"/>
      <c r="B4130" s="104"/>
      <c r="C4130" s="104"/>
      <c r="E4130" s="107" t="str">
        <f aca="false">IF($C4130="","",IFERROR(INDEX(المنيو!$C$2:$C$500,MATCH($C4130,المنيو!$B$2:$B$500,0)),0))</f>
        <v/>
      </c>
      <c r="F4130" s="107" t="str">
        <f aca="false">IF($C4130="","",$D4130*$E4130)</f>
        <v/>
      </c>
      <c r="G4130" s="107" t="str">
        <f aca="false">IF($C4130="","",$D4130*IFERROR(INDEX('تحليل التكلفة والسعر'!$C$2:$C$700,MATCH($C4130,'تحليل التكلفة والسعر'!$B$2:$B$700,0)),0))</f>
        <v/>
      </c>
    </row>
    <row r="4131" customFormat="false" ht="15" hidden="false" customHeight="false" outlineLevel="0" collapsed="false">
      <c r="A4131" s="103"/>
      <c r="B4131" s="104"/>
      <c r="C4131" s="104"/>
      <c r="E4131" s="107" t="str">
        <f aca="false">IF($C4131="","",IFERROR(INDEX(المنيو!$C$2:$C$500,MATCH($C4131,المنيو!$B$2:$B$500,0)),0))</f>
        <v/>
      </c>
      <c r="F4131" s="107" t="str">
        <f aca="false">IF($C4131="","",$D4131*$E4131)</f>
        <v/>
      </c>
      <c r="G4131" s="107" t="str">
        <f aca="false">IF($C4131="","",$D4131*IFERROR(INDEX('تحليل التكلفة والسعر'!$C$2:$C$700,MATCH($C4131,'تحليل التكلفة والسعر'!$B$2:$B$700,0)),0))</f>
        <v/>
      </c>
    </row>
    <row r="4132" customFormat="false" ht="15" hidden="false" customHeight="false" outlineLevel="0" collapsed="false">
      <c r="A4132" s="103"/>
      <c r="B4132" s="104"/>
      <c r="C4132" s="104"/>
      <c r="E4132" s="107" t="str">
        <f aca="false">IF($C4132="","",IFERROR(INDEX(المنيو!$C$2:$C$500,MATCH($C4132,المنيو!$B$2:$B$500,0)),0))</f>
        <v/>
      </c>
      <c r="F4132" s="107" t="str">
        <f aca="false">IF($C4132="","",$D4132*$E4132)</f>
        <v/>
      </c>
      <c r="G4132" s="107" t="str">
        <f aca="false">IF($C4132="","",$D4132*IFERROR(INDEX('تحليل التكلفة والسعر'!$C$2:$C$700,MATCH($C4132,'تحليل التكلفة والسعر'!$B$2:$B$700,0)),0))</f>
        <v/>
      </c>
    </row>
    <row r="4133" customFormat="false" ht="15" hidden="false" customHeight="false" outlineLevel="0" collapsed="false">
      <c r="A4133" s="103"/>
      <c r="B4133" s="104"/>
      <c r="C4133" s="104"/>
      <c r="E4133" s="107" t="str">
        <f aca="false">IF($C4133="","",IFERROR(INDEX(المنيو!$C$2:$C$500,MATCH($C4133,المنيو!$B$2:$B$500,0)),0))</f>
        <v/>
      </c>
      <c r="F4133" s="107" t="str">
        <f aca="false">IF($C4133="","",$D4133*$E4133)</f>
        <v/>
      </c>
      <c r="G4133" s="107" t="str">
        <f aca="false">IF($C4133="","",$D4133*IFERROR(INDEX('تحليل التكلفة والسعر'!$C$2:$C$700,MATCH($C4133,'تحليل التكلفة والسعر'!$B$2:$B$700,0)),0))</f>
        <v/>
      </c>
    </row>
    <row r="4134" customFormat="false" ht="15" hidden="false" customHeight="false" outlineLevel="0" collapsed="false">
      <c r="A4134" s="103"/>
      <c r="B4134" s="104"/>
      <c r="C4134" s="104"/>
      <c r="E4134" s="107" t="str">
        <f aca="false">IF($C4134="","",IFERROR(INDEX(المنيو!$C$2:$C$500,MATCH($C4134,المنيو!$B$2:$B$500,0)),0))</f>
        <v/>
      </c>
      <c r="F4134" s="107" t="str">
        <f aca="false">IF($C4134="","",$D4134*$E4134)</f>
        <v/>
      </c>
      <c r="G4134" s="107" t="str">
        <f aca="false">IF($C4134="","",$D4134*IFERROR(INDEX('تحليل التكلفة والسعر'!$C$2:$C$700,MATCH($C4134,'تحليل التكلفة والسعر'!$B$2:$B$700,0)),0))</f>
        <v/>
      </c>
    </row>
    <row r="4135" customFormat="false" ht="15" hidden="false" customHeight="false" outlineLevel="0" collapsed="false">
      <c r="A4135" s="103"/>
      <c r="B4135" s="104"/>
      <c r="C4135" s="104"/>
      <c r="E4135" s="107" t="str">
        <f aca="false">IF($C4135="","",IFERROR(INDEX(المنيو!$C$2:$C$500,MATCH($C4135,المنيو!$B$2:$B$500,0)),0))</f>
        <v/>
      </c>
      <c r="F4135" s="107" t="str">
        <f aca="false">IF($C4135="","",$D4135*$E4135)</f>
        <v/>
      </c>
      <c r="G4135" s="107" t="str">
        <f aca="false">IF($C4135="","",$D4135*IFERROR(INDEX('تحليل التكلفة والسعر'!$C$2:$C$700,MATCH($C4135,'تحليل التكلفة والسعر'!$B$2:$B$700,0)),0))</f>
        <v/>
      </c>
    </row>
    <row r="4136" customFormat="false" ht="15" hidden="false" customHeight="false" outlineLevel="0" collapsed="false">
      <c r="A4136" s="103"/>
      <c r="B4136" s="104"/>
      <c r="C4136" s="104"/>
      <c r="E4136" s="107" t="str">
        <f aca="false">IF($C4136="","",IFERROR(INDEX(المنيو!$C$2:$C$500,MATCH($C4136,المنيو!$B$2:$B$500,0)),0))</f>
        <v/>
      </c>
      <c r="F4136" s="107" t="str">
        <f aca="false">IF($C4136="","",$D4136*$E4136)</f>
        <v/>
      </c>
      <c r="G4136" s="107" t="str">
        <f aca="false">IF($C4136="","",$D4136*IFERROR(INDEX('تحليل التكلفة والسعر'!$C$2:$C$700,MATCH($C4136,'تحليل التكلفة والسعر'!$B$2:$B$700,0)),0))</f>
        <v/>
      </c>
    </row>
    <row r="4137" customFormat="false" ht="15" hidden="false" customHeight="false" outlineLevel="0" collapsed="false">
      <c r="A4137" s="103"/>
      <c r="B4137" s="104"/>
      <c r="C4137" s="104"/>
      <c r="E4137" s="107" t="str">
        <f aca="false">IF($C4137="","",IFERROR(INDEX(المنيو!$C$2:$C$500,MATCH($C4137,المنيو!$B$2:$B$500,0)),0))</f>
        <v/>
      </c>
      <c r="F4137" s="107" t="str">
        <f aca="false">IF($C4137="","",$D4137*$E4137)</f>
        <v/>
      </c>
      <c r="G4137" s="107" t="str">
        <f aca="false">IF($C4137="","",$D4137*IFERROR(INDEX('تحليل التكلفة والسعر'!$C$2:$C$700,MATCH($C4137,'تحليل التكلفة والسعر'!$B$2:$B$700,0)),0))</f>
        <v/>
      </c>
    </row>
    <row r="4138" customFormat="false" ht="15" hidden="false" customHeight="false" outlineLevel="0" collapsed="false">
      <c r="A4138" s="103"/>
      <c r="B4138" s="104"/>
      <c r="C4138" s="104"/>
      <c r="E4138" s="107" t="str">
        <f aca="false">IF($C4138="","",IFERROR(INDEX(المنيو!$C$2:$C$500,MATCH($C4138,المنيو!$B$2:$B$500,0)),0))</f>
        <v/>
      </c>
      <c r="F4138" s="107" t="str">
        <f aca="false">IF($C4138="","",$D4138*$E4138)</f>
        <v/>
      </c>
      <c r="G4138" s="107" t="str">
        <f aca="false">IF($C4138="","",$D4138*IFERROR(INDEX('تحليل التكلفة والسعر'!$C$2:$C$700,MATCH($C4138,'تحليل التكلفة والسعر'!$B$2:$B$700,0)),0))</f>
        <v/>
      </c>
    </row>
    <row r="4139" customFormat="false" ht="15" hidden="false" customHeight="false" outlineLevel="0" collapsed="false">
      <c r="A4139" s="103"/>
      <c r="B4139" s="104"/>
      <c r="C4139" s="104"/>
      <c r="E4139" s="107" t="str">
        <f aca="false">IF($C4139="","",IFERROR(INDEX(المنيو!$C$2:$C$500,MATCH($C4139,المنيو!$B$2:$B$500,0)),0))</f>
        <v/>
      </c>
      <c r="F4139" s="107" t="str">
        <f aca="false">IF($C4139="","",$D4139*$E4139)</f>
        <v/>
      </c>
      <c r="G4139" s="107" t="str">
        <f aca="false">IF($C4139="","",$D4139*IFERROR(INDEX('تحليل التكلفة والسعر'!$C$2:$C$700,MATCH($C4139,'تحليل التكلفة والسعر'!$B$2:$B$700,0)),0))</f>
        <v/>
      </c>
    </row>
    <row r="4140" customFormat="false" ht="15" hidden="false" customHeight="false" outlineLevel="0" collapsed="false">
      <c r="A4140" s="103"/>
      <c r="B4140" s="104"/>
      <c r="C4140" s="104"/>
      <c r="E4140" s="107" t="str">
        <f aca="false">IF($C4140="","",IFERROR(INDEX(المنيو!$C$2:$C$500,MATCH($C4140,المنيو!$B$2:$B$500,0)),0))</f>
        <v/>
      </c>
      <c r="F4140" s="107" t="str">
        <f aca="false">IF($C4140="","",$D4140*$E4140)</f>
        <v/>
      </c>
      <c r="G4140" s="107" t="str">
        <f aca="false">IF($C4140="","",$D4140*IFERROR(INDEX('تحليل التكلفة والسعر'!$C$2:$C$700,MATCH($C4140,'تحليل التكلفة والسعر'!$B$2:$B$700,0)),0))</f>
        <v/>
      </c>
    </row>
    <row r="4141" customFormat="false" ht="15" hidden="false" customHeight="false" outlineLevel="0" collapsed="false">
      <c r="A4141" s="103"/>
      <c r="B4141" s="104"/>
      <c r="C4141" s="104"/>
      <c r="E4141" s="107" t="str">
        <f aca="false">IF($C4141="","",IFERROR(INDEX(المنيو!$C$2:$C$500,MATCH($C4141,المنيو!$B$2:$B$500,0)),0))</f>
        <v/>
      </c>
      <c r="F4141" s="107" t="str">
        <f aca="false">IF($C4141="","",$D4141*$E4141)</f>
        <v/>
      </c>
      <c r="G4141" s="107" t="str">
        <f aca="false">IF($C4141="","",$D4141*IFERROR(INDEX('تحليل التكلفة والسعر'!$C$2:$C$700,MATCH($C4141,'تحليل التكلفة والسعر'!$B$2:$B$700,0)),0))</f>
        <v/>
      </c>
    </row>
    <row r="4142" customFormat="false" ht="15" hidden="false" customHeight="false" outlineLevel="0" collapsed="false">
      <c r="A4142" s="103"/>
      <c r="B4142" s="104"/>
      <c r="C4142" s="104"/>
      <c r="E4142" s="107" t="str">
        <f aca="false">IF($C4142="","",IFERROR(INDEX(المنيو!$C$2:$C$500,MATCH($C4142,المنيو!$B$2:$B$500,0)),0))</f>
        <v/>
      </c>
      <c r="F4142" s="107" t="str">
        <f aca="false">IF($C4142="","",$D4142*$E4142)</f>
        <v/>
      </c>
      <c r="G4142" s="107" t="str">
        <f aca="false">IF($C4142="","",$D4142*IFERROR(INDEX('تحليل التكلفة والسعر'!$C$2:$C$700,MATCH($C4142,'تحليل التكلفة والسعر'!$B$2:$B$700,0)),0))</f>
        <v/>
      </c>
    </row>
    <row r="4143" customFormat="false" ht="15" hidden="false" customHeight="false" outlineLevel="0" collapsed="false">
      <c r="A4143" s="103"/>
      <c r="B4143" s="104"/>
      <c r="C4143" s="104"/>
      <c r="E4143" s="107" t="str">
        <f aca="false">IF($C4143="","",IFERROR(INDEX(المنيو!$C$2:$C$500,MATCH($C4143,المنيو!$B$2:$B$500,0)),0))</f>
        <v/>
      </c>
      <c r="F4143" s="107" t="str">
        <f aca="false">IF($C4143="","",$D4143*$E4143)</f>
        <v/>
      </c>
      <c r="G4143" s="107" t="str">
        <f aca="false">IF($C4143="","",$D4143*IFERROR(INDEX('تحليل التكلفة والسعر'!$C$2:$C$700,MATCH($C4143,'تحليل التكلفة والسعر'!$B$2:$B$700,0)),0))</f>
        <v/>
      </c>
    </row>
    <row r="4144" customFormat="false" ht="15" hidden="false" customHeight="false" outlineLevel="0" collapsed="false">
      <c r="A4144" s="103"/>
      <c r="B4144" s="104"/>
      <c r="C4144" s="104"/>
      <c r="E4144" s="107" t="str">
        <f aca="false">IF($C4144="","",IFERROR(INDEX(المنيو!$C$2:$C$500,MATCH($C4144,المنيو!$B$2:$B$500,0)),0))</f>
        <v/>
      </c>
      <c r="F4144" s="107" t="str">
        <f aca="false">IF($C4144="","",$D4144*$E4144)</f>
        <v/>
      </c>
      <c r="G4144" s="107" t="str">
        <f aca="false">IF($C4144="","",$D4144*IFERROR(INDEX('تحليل التكلفة والسعر'!$C$2:$C$700,MATCH($C4144,'تحليل التكلفة والسعر'!$B$2:$B$700,0)),0))</f>
        <v/>
      </c>
    </row>
    <row r="4145" customFormat="false" ht="15" hidden="false" customHeight="false" outlineLevel="0" collapsed="false">
      <c r="A4145" s="103"/>
      <c r="B4145" s="104"/>
      <c r="C4145" s="104"/>
      <c r="E4145" s="107" t="str">
        <f aca="false">IF($C4145="","",IFERROR(INDEX(المنيو!$C$2:$C$500,MATCH($C4145,المنيو!$B$2:$B$500,0)),0))</f>
        <v/>
      </c>
      <c r="F4145" s="107" t="str">
        <f aca="false">IF($C4145="","",$D4145*$E4145)</f>
        <v/>
      </c>
      <c r="G4145" s="107" t="str">
        <f aca="false">IF($C4145="","",$D4145*IFERROR(INDEX('تحليل التكلفة والسعر'!$C$2:$C$700,MATCH($C4145,'تحليل التكلفة والسعر'!$B$2:$B$700,0)),0))</f>
        <v/>
      </c>
    </row>
    <row r="4146" customFormat="false" ht="15" hidden="false" customHeight="false" outlineLevel="0" collapsed="false">
      <c r="A4146" s="103"/>
      <c r="B4146" s="104"/>
      <c r="C4146" s="104"/>
      <c r="E4146" s="107" t="str">
        <f aca="false">IF($C4146="","",IFERROR(INDEX(المنيو!$C$2:$C$500,MATCH($C4146,المنيو!$B$2:$B$500,0)),0))</f>
        <v/>
      </c>
      <c r="F4146" s="107" t="str">
        <f aca="false">IF($C4146="","",$D4146*$E4146)</f>
        <v/>
      </c>
      <c r="G4146" s="107" t="str">
        <f aca="false">IF($C4146="","",$D4146*IFERROR(INDEX('تحليل التكلفة والسعر'!$C$2:$C$700,MATCH($C4146,'تحليل التكلفة والسعر'!$B$2:$B$700,0)),0))</f>
        <v/>
      </c>
    </row>
    <row r="4147" customFormat="false" ht="15" hidden="false" customHeight="false" outlineLevel="0" collapsed="false">
      <c r="A4147" s="103"/>
      <c r="B4147" s="104"/>
      <c r="C4147" s="104"/>
      <c r="E4147" s="107" t="str">
        <f aca="false">IF($C4147="","",IFERROR(INDEX(المنيو!$C$2:$C$500,MATCH($C4147,المنيو!$B$2:$B$500,0)),0))</f>
        <v/>
      </c>
      <c r="F4147" s="107" t="str">
        <f aca="false">IF($C4147="","",$D4147*$E4147)</f>
        <v/>
      </c>
      <c r="G4147" s="107" t="str">
        <f aca="false">IF($C4147="","",$D4147*IFERROR(INDEX('تحليل التكلفة والسعر'!$C$2:$C$700,MATCH($C4147,'تحليل التكلفة والسعر'!$B$2:$B$700,0)),0))</f>
        <v/>
      </c>
    </row>
    <row r="4148" customFormat="false" ht="15" hidden="false" customHeight="false" outlineLevel="0" collapsed="false">
      <c r="A4148" s="103"/>
      <c r="B4148" s="104"/>
      <c r="C4148" s="104"/>
      <c r="E4148" s="107" t="str">
        <f aca="false">IF($C4148="","",IFERROR(INDEX(المنيو!$C$2:$C$500,MATCH($C4148,المنيو!$B$2:$B$500,0)),0))</f>
        <v/>
      </c>
      <c r="F4148" s="107" t="str">
        <f aca="false">IF($C4148="","",$D4148*$E4148)</f>
        <v/>
      </c>
      <c r="G4148" s="107" t="str">
        <f aca="false">IF($C4148="","",$D4148*IFERROR(INDEX('تحليل التكلفة والسعر'!$C$2:$C$700,MATCH($C4148,'تحليل التكلفة والسعر'!$B$2:$B$700,0)),0))</f>
        <v/>
      </c>
    </row>
    <row r="4149" customFormat="false" ht="15" hidden="false" customHeight="false" outlineLevel="0" collapsed="false">
      <c r="A4149" s="103"/>
      <c r="B4149" s="104"/>
      <c r="C4149" s="104"/>
      <c r="E4149" s="107" t="str">
        <f aca="false">IF($C4149="","",IFERROR(INDEX(المنيو!$C$2:$C$500,MATCH($C4149,المنيو!$B$2:$B$500,0)),0))</f>
        <v/>
      </c>
      <c r="F4149" s="107" t="str">
        <f aca="false">IF($C4149="","",$D4149*$E4149)</f>
        <v/>
      </c>
      <c r="G4149" s="107" t="str">
        <f aca="false">IF($C4149="","",$D4149*IFERROR(INDEX('تحليل التكلفة والسعر'!$C$2:$C$700,MATCH($C4149,'تحليل التكلفة والسعر'!$B$2:$B$700,0)),0))</f>
        <v/>
      </c>
    </row>
    <row r="4150" customFormat="false" ht="15" hidden="false" customHeight="false" outlineLevel="0" collapsed="false">
      <c r="A4150" s="103"/>
      <c r="B4150" s="104"/>
      <c r="C4150" s="104"/>
      <c r="E4150" s="107" t="str">
        <f aca="false">IF($C4150="","",IFERROR(INDEX(المنيو!$C$2:$C$500,MATCH($C4150,المنيو!$B$2:$B$500,0)),0))</f>
        <v/>
      </c>
      <c r="F4150" s="107" t="str">
        <f aca="false">IF($C4150="","",$D4150*$E4150)</f>
        <v/>
      </c>
      <c r="G4150" s="107" t="str">
        <f aca="false">IF($C4150="","",$D4150*IFERROR(INDEX('تحليل التكلفة والسعر'!$C$2:$C$700,MATCH($C4150,'تحليل التكلفة والسعر'!$B$2:$B$700,0)),0))</f>
        <v/>
      </c>
    </row>
    <row r="4151" customFormat="false" ht="15" hidden="false" customHeight="false" outlineLevel="0" collapsed="false">
      <c r="A4151" s="103"/>
      <c r="B4151" s="104"/>
      <c r="C4151" s="104"/>
      <c r="E4151" s="107" t="str">
        <f aca="false">IF($C4151="","",IFERROR(INDEX(المنيو!$C$2:$C$500,MATCH($C4151,المنيو!$B$2:$B$500,0)),0))</f>
        <v/>
      </c>
      <c r="F4151" s="107" t="str">
        <f aca="false">IF($C4151="","",$D4151*$E4151)</f>
        <v/>
      </c>
      <c r="G4151" s="107" t="str">
        <f aca="false">IF($C4151="","",$D4151*IFERROR(INDEX('تحليل التكلفة والسعر'!$C$2:$C$700,MATCH($C4151,'تحليل التكلفة والسعر'!$B$2:$B$700,0)),0))</f>
        <v/>
      </c>
    </row>
    <row r="4152" customFormat="false" ht="15" hidden="false" customHeight="false" outlineLevel="0" collapsed="false">
      <c r="A4152" s="103"/>
      <c r="B4152" s="104"/>
      <c r="C4152" s="104"/>
      <c r="E4152" s="107" t="str">
        <f aca="false">IF($C4152="","",IFERROR(INDEX(المنيو!$C$2:$C$500,MATCH($C4152,المنيو!$B$2:$B$500,0)),0))</f>
        <v/>
      </c>
      <c r="F4152" s="107" t="str">
        <f aca="false">IF($C4152="","",$D4152*$E4152)</f>
        <v/>
      </c>
      <c r="G4152" s="107" t="str">
        <f aca="false">IF($C4152="","",$D4152*IFERROR(INDEX('تحليل التكلفة والسعر'!$C$2:$C$700,MATCH($C4152,'تحليل التكلفة والسعر'!$B$2:$B$700,0)),0))</f>
        <v/>
      </c>
    </row>
    <row r="4153" customFormat="false" ht="15" hidden="false" customHeight="false" outlineLevel="0" collapsed="false">
      <c r="A4153" s="103"/>
      <c r="B4153" s="104"/>
      <c r="C4153" s="104"/>
      <c r="E4153" s="107" t="str">
        <f aca="false">IF($C4153="","",IFERROR(INDEX(المنيو!$C$2:$C$500,MATCH($C4153,المنيو!$B$2:$B$500,0)),0))</f>
        <v/>
      </c>
      <c r="F4153" s="107" t="str">
        <f aca="false">IF($C4153="","",$D4153*$E4153)</f>
        <v/>
      </c>
      <c r="G4153" s="107" t="str">
        <f aca="false">IF($C4153="","",$D4153*IFERROR(INDEX('تحليل التكلفة والسعر'!$C$2:$C$700,MATCH($C4153,'تحليل التكلفة والسعر'!$B$2:$B$700,0)),0))</f>
        <v/>
      </c>
    </row>
    <row r="4154" customFormat="false" ht="15" hidden="false" customHeight="false" outlineLevel="0" collapsed="false">
      <c r="A4154" s="103"/>
      <c r="B4154" s="104"/>
      <c r="C4154" s="104"/>
      <c r="E4154" s="107" t="str">
        <f aca="false">IF($C4154="","",IFERROR(INDEX(المنيو!$C$2:$C$500,MATCH($C4154,المنيو!$B$2:$B$500,0)),0))</f>
        <v/>
      </c>
      <c r="F4154" s="107" t="str">
        <f aca="false">IF($C4154="","",$D4154*$E4154)</f>
        <v/>
      </c>
      <c r="G4154" s="107" t="str">
        <f aca="false">IF($C4154="","",$D4154*IFERROR(INDEX('تحليل التكلفة والسعر'!$C$2:$C$700,MATCH($C4154,'تحليل التكلفة والسعر'!$B$2:$B$700,0)),0))</f>
        <v/>
      </c>
    </row>
    <row r="4155" customFormat="false" ht="15" hidden="false" customHeight="false" outlineLevel="0" collapsed="false">
      <c r="A4155" s="103"/>
      <c r="B4155" s="104"/>
      <c r="C4155" s="104"/>
      <c r="E4155" s="107" t="str">
        <f aca="false">IF($C4155="","",IFERROR(INDEX(المنيو!$C$2:$C$500,MATCH($C4155,المنيو!$B$2:$B$500,0)),0))</f>
        <v/>
      </c>
      <c r="F4155" s="107" t="str">
        <f aca="false">IF($C4155="","",$D4155*$E4155)</f>
        <v/>
      </c>
      <c r="G4155" s="107" t="str">
        <f aca="false">IF($C4155="","",$D4155*IFERROR(INDEX('تحليل التكلفة والسعر'!$C$2:$C$700,MATCH($C4155,'تحليل التكلفة والسعر'!$B$2:$B$700,0)),0))</f>
        <v/>
      </c>
    </row>
    <row r="4156" customFormat="false" ht="15" hidden="false" customHeight="false" outlineLevel="0" collapsed="false">
      <c r="A4156" s="103"/>
      <c r="B4156" s="104"/>
      <c r="C4156" s="104"/>
      <c r="E4156" s="107" t="str">
        <f aca="false">IF($C4156="","",IFERROR(INDEX(المنيو!$C$2:$C$500,MATCH($C4156,المنيو!$B$2:$B$500,0)),0))</f>
        <v/>
      </c>
      <c r="F4156" s="107" t="str">
        <f aca="false">IF($C4156="","",$D4156*$E4156)</f>
        <v/>
      </c>
      <c r="G4156" s="107" t="str">
        <f aca="false">IF($C4156="","",$D4156*IFERROR(INDEX('تحليل التكلفة والسعر'!$C$2:$C$700,MATCH($C4156,'تحليل التكلفة والسعر'!$B$2:$B$700,0)),0))</f>
        <v/>
      </c>
    </row>
    <row r="4157" customFormat="false" ht="15" hidden="false" customHeight="false" outlineLevel="0" collapsed="false">
      <c r="A4157" s="103"/>
      <c r="B4157" s="104"/>
      <c r="C4157" s="104"/>
      <c r="E4157" s="107" t="str">
        <f aca="false">IF($C4157="","",IFERROR(INDEX(المنيو!$C$2:$C$500,MATCH($C4157,المنيو!$B$2:$B$500,0)),0))</f>
        <v/>
      </c>
      <c r="F4157" s="107" t="str">
        <f aca="false">IF($C4157="","",$D4157*$E4157)</f>
        <v/>
      </c>
      <c r="G4157" s="107" t="str">
        <f aca="false">IF($C4157="","",$D4157*IFERROR(INDEX('تحليل التكلفة والسعر'!$C$2:$C$700,MATCH($C4157,'تحليل التكلفة والسعر'!$B$2:$B$700,0)),0))</f>
        <v/>
      </c>
    </row>
    <row r="4158" customFormat="false" ht="15" hidden="false" customHeight="false" outlineLevel="0" collapsed="false">
      <c r="A4158" s="103"/>
      <c r="B4158" s="104"/>
      <c r="C4158" s="104"/>
      <c r="E4158" s="107" t="str">
        <f aca="false">IF($C4158="","",IFERROR(INDEX(المنيو!$C$2:$C$500,MATCH($C4158,المنيو!$B$2:$B$500,0)),0))</f>
        <v/>
      </c>
      <c r="F4158" s="107" t="str">
        <f aca="false">IF($C4158="","",$D4158*$E4158)</f>
        <v/>
      </c>
      <c r="G4158" s="107" t="str">
        <f aca="false">IF($C4158="","",$D4158*IFERROR(INDEX('تحليل التكلفة والسعر'!$C$2:$C$700,MATCH($C4158,'تحليل التكلفة والسعر'!$B$2:$B$700,0)),0))</f>
        <v/>
      </c>
    </row>
    <row r="4159" customFormat="false" ht="15" hidden="false" customHeight="false" outlineLevel="0" collapsed="false">
      <c r="A4159" s="103"/>
      <c r="B4159" s="104"/>
      <c r="C4159" s="104"/>
      <c r="E4159" s="107" t="str">
        <f aca="false">IF($C4159="","",IFERROR(INDEX(المنيو!$C$2:$C$500,MATCH($C4159,المنيو!$B$2:$B$500,0)),0))</f>
        <v/>
      </c>
      <c r="F4159" s="107" t="str">
        <f aca="false">IF($C4159="","",$D4159*$E4159)</f>
        <v/>
      </c>
      <c r="G4159" s="107" t="str">
        <f aca="false">IF($C4159="","",$D4159*IFERROR(INDEX('تحليل التكلفة والسعر'!$C$2:$C$700,MATCH($C4159,'تحليل التكلفة والسعر'!$B$2:$B$700,0)),0))</f>
        <v/>
      </c>
    </row>
    <row r="4160" customFormat="false" ht="15" hidden="false" customHeight="false" outlineLevel="0" collapsed="false">
      <c r="A4160" s="103"/>
      <c r="B4160" s="104"/>
      <c r="C4160" s="104"/>
      <c r="E4160" s="107" t="str">
        <f aca="false">IF($C4160="","",IFERROR(INDEX(المنيو!$C$2:$C$500,MATCH($C4160,المنيو!$B$2:$B$500,0)),0))</f>
        <v/>
      </c>
      <c r="F4160" s="107" t="str">
        <f aca="false">IF($C4160="","",$D4160*$E4160)</f>
        <v/>
      </c>
      <c r="G4160" s="107" t="str">
        <f aca="false">IF($C4160="","",$D4160*IFERROR(INDEX('تحليل التكلفة والسعر'!$C$2:$C$700,MATCH($C4160,'تحليل التكلفة والسعر'!$B$2:$B$700,0)),0))</f>
        <v/>
      </c>
    </row>
    <row r="4161" customFormat="false" ht="15" hidden="false" customHeight="false" outlineLevel="0" collapsed="false">
      <c r="A4161" s="103"/>
      <c r="B4161" s="104"/>
      <c r="C4161" s="104"/>
      <c r="E4161" s="107" t="str">
        <f aca="false">IF($C4161="","",IFERROR(INDEX(المنيو!$C$2:$C$500,MATCH($C4161,المنيو!$B$2:$B$500,0)),0))</f>
        <v/>
      </c>
      <c r="F4161" s="107" t="str">
        <f aca="false">IF($C4161="","",$D4161*$E4161)</f>
        <v/>
      </c>
      <c r="G4161" s="107" t="str">
        <f aca="false">IF($C4161="","",$D4161*IFERROR(INDEX('تحليل التكلفة والسعر'!$C$2:$C$700,MATCH($C4161,'تحليل التكلفة والسعر'!$B$2:$B$700,0)),0))</f>
        <v/>
      </c>
    </row>
    <row r="4162" customFormat="false" ht="15" hidden="false" customHeight="false" outlineLevel="0" collapsed="false">
      <c r="A4162" s="103"/>
      <c r="B4162" s="104"/>
      <c r="C4162" s="104"/>
      <c r="E4162" s="107" t="str">
        <f aca="false">IF($C4162="","",IFERROR(INDEX(المنيو!$C$2:$C$500,MATCH($C4162,المنيو!$B$2:$B$500,0)),0))</f>
        <v/>
      </c>
      <c r="F4162" s="107" t="str">
        <f aca="false">IF($C4162="","",$D4162*$E4162)</f>
        <v/>
      </c>
      <c r="G4162" s="107" t="str">
        <f aca="false">IF($C4162="","",$D4162*IFERROR(INDEX('تحليل التكلفة والسعر'!$C$2:$C$700,MATCH($C4162,'تحليل التكلفة والسعر'!$B$2:$B$700,0)),0))</f>
        <v/>
      </c>
    </row>
    <row r="4163" customFormat="false" ht="15" hidden="false" customHeight="false" outlineLevel="0" collapsed="false">
      <c r="A4163" s="103"/>
      <c r="B4163" s="104"/>
      <c r="C4163" s="104"/>
      <c r="E4163" s="107" t="str">
        <f aca="false">IF($C4163="","",IFERROR(INDEX(المنيو!$C$2:$C$500,MATCH($C4163,المنيو!$B$2:$B$500,0)),0))</f>
        <v/>
      </c>
      <c r="F4163" s="107" t="str">
        <f aca="false">IF($C4163="","",$D4163*$E4163)</f>
        <v/>
      </c>
      <c r="G4163" s="107" t="str">
        <f aca="false">IF($C4163="","",$D4163*IFERROR(INDEX('تحليل التكلفة والسعر'!$C$2:$C$700,MATCH($C4163,'تحليل التكلفة والسعر'!$B$2:$B$700,0)),0))</f>
        <v/>
      </c>
    </row>
    <row r="4164" customFormat="false" ht="15" hidden="false" customHeight="false" outlineLevel="0" collapsed="false">
      <c r="A4164" s="103"/>
      <c r="B4164" s="104"/>
      <c r="C4164" s="104"/>
      <c r="E4164" s="107" t="str">
        <f aca="false">IF($C4164="","",IFERROR(INDEX(المنيو!$C$2:$C$500,MATCH($C4164,المنيو!$B$2:$B$500,0)),0))</f>
        <v/>
      </c>
      <c r="F4164" s="107" t="str">
        <f aca="false">IF($C4164="","",$D4164*$E4164)</f>
        <v/>
      </c>
      <c r="G4164" s="107" t="str">
        <f aca="false">IF($C4164="","",$D4164*IFERROR(INDEX('تحليل التكلفة والسعر'!$C$2:$C$700,MATCH($C4164,'تحليل التكلفة والسعر'!$B$2:$B$700,0)),0))</f>
        <v/>
      </c>
    </row>
    <row r="4165" customFormat="false" ht="15" hidden="false" customHeight="false" outlineLevel="0" collapsed="false">
      <c r="A4165" s="103"/>
      <c r="B4165" s="104"/>
      <c r="C4165" s="104"/>
      <c r="E4165" s="107" t="str">
        <f aca="false">IF($C4165="","",IFERROR(INDEX(المنيو!$C$2:$C$500,MATCH($C4165,المنيو!$B$2:$B$500,0)),0))</f>
        <v/>
      </c>
      <c r="F4165" s="107" t="str">
        <f aca="false">IF($C4165="","",$D4165*$E4165)</f>
        <v/>
      </c>
      <c r="G4165" s="107" t="str">
        <f aca="false">IF($C4165="","",$D4165*IFERROR(INDEX('تحليل التكلفة والسعر'!$C$2:$C$700,MATCH($C4165,'تحليل التكلفة والسعر'!$B$2:$B$700,0)),0))</f>
        <v/>
      </c>
    </row>
    <row r="4166" customFormat="false" ht="15" hidden="false" customHeight="false" outlineLevel="0" collapsed="false">
      <c r="A4166" s="103"/>
      <c r="B4166" s="104"/>
      <c r="C4166" s="104"/>
      <c r="E4166" s="107" t="str">
        <f aca="false">IF($C4166="","",IFERROR(INDEX(المنيو!$C$2:$C$500,MATCH($C4166,المنيو!$B$2:$B$500,0)),0))</f>
        <v/>
      </c>
      <c r="F4166" s="107" t="str">
        <f aca="false">IF($C4166="","",$D4166*$E4166)</f>
        <v/>
      </c>
      <c r="G4166" s="107" t="str">
        <f aca="false">IF($C4166="","",$D4166*IFERROR(INDEX('تحليل التكلفة والسعر'!$C$2:$C$700,MATCH($C4166,'تحليل التكلفة والسعر'!$B$2:$B$700,0)),0))</f>
        <v/>
      </c>
    </row>
    <row r="4167" customFormat="false" ht="15" hidden="false" customHeight="false" outlineLevel="0" collapsed="false">
      <c r="A4167" s="103"/>
      <c r="B4167" s="104"/>
      <c r="C4167" s="104"/>
      <c r="E4167" s="107" t="str">
        <f aca="false">IF($C4167="","",IFERROR(INDEX(المنيو!$C$2:$C$500,MATCH($C4167,المنيو!$B$2:$B$500,0)),0))</f>
        <v/>
      </c>
      <c r="F4167" s="107" t="str">
        <f aca="false">IF($C4167="","",$D4167*$E4167)</f>
        <v/>
      </c>
      <c r="G4167" s="107" t="str">
        <f aca="false">IF($C4167="","",$D4167*IFERROR(INDEX('تحليل التكلفة والسعر'!$C$2:$C$700,MATCH($C4167,'تحليل التكلفة والسعر'!$B$2:$B$700,0)),0))</f>
        <v/>
      </c>
    </row>
    <row r="4168" customFormat="false" ht="15" hidden="false" customHeight="false" outlineLevel="0" collapsed="false">
      <c r="A4168" s="103"/>
      <c r="B4168" s="104"/>
      <c r="C4168" s="104"/>
      <c r="E4168" s="107" t="str">
        <f aca="false">IF($C4168="","",IFERROR(INDEX(المنيو!$C$2:$C$500,MATCH($C4168,المنيو!$B$2:$B$500,0)),0))</f>
        <v/>
      </c>
      <c r="F4168" s="107" t="str">
        <f aca="false">IF($C4168="","",$D4168*$E4168)</f>
        <v/>
      </c>
      <c r="G4168" s="107" t="str">
        <f aca="false">IF($C4168="","",$D4168*IFERROR(INDEX('تحليل التكلفة والسعر'!$C$2:$C$700,MATCH($C4168,'تحليل التكلفة والسعر'!$B$2:$B$700,0)),0))</f>
        <v/>
      </c>
    </row>
    <row r="4169" customFormat="false" ht="15" hidden="false" customHeight="false" outlineLevel="0" collapsed="false">
      <c r="A4169" s="103"/>
      <c r="B4169" s="104"/>
      <c r="C4169" s="104"/>
      <c r="E4169" s="107" t="str">
        <f aca="false">IF($C4169="","",IFERROR(INDEX(المنيو!$C$2:$C$500,MATCH($C4169,المنيو!$B$2:$B$500,0)),0))</f>
        <v/>
      </c>
      <c r="F4169" s="107" t="str">
        <f aca="false">IF($C4169="","",$D4169*$E4169)</f>
        <v/>
      </c>
      <c r="G4169" s="107" t="str">
        <f aca="false">IF($C4169="","",$D4169*IFERROR(INDEX('تحليل التكلفة والسعر'!$C$2:$C$700,MATCH($C4169,'تحليل التكلفة والسعر'!$B$2:$B$700,0)),0))</f>
        <v/>
      </c>
    </row>
    <row r="4170" customFormat="false" ht="15" hidden="false" customHeight="false" outlineLevel="0" collapsed="false">
      <c r="A4170" s="103"/>
      <c r="B4170" s="104"/>
      <c r="C4170" s="104"/>
      <c r="E4170" s="107" t="str">
        <f aca="false">IF($C4170="","",IFERROR(INDEX(المنيو!$C$2:$C$500,MATCH($C4170,المنيو!$B$2:$B$500,0)),0))</f>
        <v/>
      </c>
      <c r="F4170" s="107" t="str">
        <f aca="false">IF($C4170="","",$D4170*$E4170)</f>
        <v/>
      </c>
      <c r="G4170" s="107" t="str">
        <f aca="false">IF($C4170="","",$D4170*IFERROR(INDEX('تحليل التكلفة والسعر'!$C$2:$C$700,MATCH($C4170,'تحليل التكلفة والسعر'!$B$2:$B$700,0)),0))</f>
        <v/>
      </c>
    </row>
    <row r="4171" customFormat="false" ht="15" hidden="false" customHeight="false" outlineLevel="0" collapsed="false">
      <c r="A4171" s="103"/>
      <c r="B4171" s="104"/>
      <c r="C4171" s="104"/>
      <c r="E4171" s="107" t="str">
        <f aca="false">IF($C4171="","",IFERROR(INDEX(المنيو!$C$2:$C$500,MATCH($C4171,المنيو!$B$2:$B$500,0)),0))</f>
        <v/>
      </c>
      <c r="F4171" s="107" t="str">
        <f aca="false">IF($C4171="","",$D4171*$E4171)</f>
        <v/>
      </c>
      <c r="G4171" s="107" t="str">
        <f aca="false">IF($C4171="","",$D4171*IFERROR(INDEX('تحليل التكلفة والسعر'!$C$2:$C$700,MATCH($C4171,'تحليل التكلفة والسعر'!$B$2:$B$700,0)),0))</f>
        <v/>
      </c>
    </row>
    <row r="4172" customFormat="false" ht="15" hidden="false" customHeight="false" outlineLevel="0" collapsed="false">
      <c r="A4172" s="103"/>
      <c r="B4172" s="104"/>
      <c r="C4172" s="104"/>
      <c r="E4172" s="107" t="str">
        <f aca="false">IF($C4172="","",IFERROR(INDEX(المنيو!$C$2:$C$500,MATCH($C4172,المنيو!$B$2:$B$500,0)),0))</f>
        <v/>
      </c>
      <c r="F4172" s="107" t="str">
        <f aca="false">IF($C4172="","",$D4172*$E4172)</f>
        <v/>
      </c>
      <c r="G4172" s="107" t="str">
        <f aca="false">IF($C4172="","",$D4172*IFERROR(INDEX('تحليل التكلفة والسعر'!$C$2:$C$700,MATCH($C4172,'تحليل التكلفة والسعر'!$B$2:$B$700,0)),0))</f>
        <v/>
      </c>
    </row>
    <row r="4173" customFormat="false" ht="15" hidden="false" customHeight="false" outlineLevel="0" collapsed="false">
      <c r="A4173" s="103"/>
      <c r="B4173" s="104"/>
      <c r="C4173" s="104"/>
      <c r="E4173" s="107" t="str">
        <f aca="false">IF($C4173="","",IFERROR(INDEX(المنيو!$C$2:$C$500,MATCH($C4173,المنيو!$B$2:$B$500,0)),0))</f>
        <v/>
      </c>
      <c r="F4173" s="107" t="str">
        <f aca="false">IF($C4173="","",$D4173*$E4173)</f>
        <v/>
      </c>
      <c r="G4173" s="107" t="str">
        <f aca="false">IF($C4173="","",$D4173*IFERROR(INDEX('تحليل التكلفة والسعر'!$C$2:$C$700,MATCH($C4173,'تحليل التكلفة والسعر'!$B$2:$B$700,0)),0))</f>
        <v/>
      </c>
    </row>
    <row r="4174" customFormat="false" ht="15" hidden="false" customHeight="false" outlineLevel="0" collapsed="false">
      <c r="A4174" s="103"/>
      <c r="B4174" s="104"/>
      <c r="C4174" s="104"/>
      <c r="E4174" s="107" t="str">
        <f aca="false">IF($C4174="","",IFERROR(INDEX(المنيو!$C$2:$C$500,MATCH($C4174,المنيو!$B$2:$B$500,0)),0))</f>
        <v/>
      </c>
      <c r="F4174" s="107" t="str">
        <f aca="false">IF($C4174="","",$D4174*$E4174)</f>
        <v/>
      </c>
      <c r="G4174" s="107" t="str">
        <f aca="false">IF($C4174="","",$D4174*IFERROR(INDEX('تحليل التكلفة والسعر'!$C$2:$C$700,MATCH($C4174,'تحليل التكلفة والسعر'!$B$2:$B$700,0)),0))</f>
        <v/>
      </c>
    </row>
    <row r="4175" customFormat="false" ht="15" hidden="false" customHeight="false" outlineLevel="0" collapsed="false">
      <c r="A4175" s="103"/>
      <c r="B4175" s="104"/>
      <c r="C4175" s="104"/>
      <c r="E4175" s="107" t="str">
        <f aca="false">IF($C4175="","",IFERROR(INDEX(المنيو!$C$2:$C$500,MATCH($C4175,المنيو!$B$2:$B$500,0)),0))</f>
        <v/>
      </c>
      <c r="F4175" s="107" t="str">
        <f aca="false">IF($C4175="","",$D4175*$E4175)</f>
        <v/>
      </c>
      <c r="G4175" s="107" t="str">
        <f aca="false">IF($C4175="","",$D4175*IFERROR(INDEX('تحليل التكلفة والسعر'!$C$2:$C$700,MATCH($C4175,'تحليل التكلفة والسعر'!$B$2:$B$700,0)),0))</f>
        <v/>
      </c>
    </row>
    <row r="4176" customFormat="false" ht="15" hidden="false" customHeight="false" outlineLevel="0" collapsed="false">
      <c r="A4176" s="103"/>
      <c r="B4176" s="104"/>
      <c r="C4176" s="104"/>
      <c r="E4176" s="107" t="str">
        <f aca="false">IF($C4176="","",IFERROR(INDEX(المنيو!$C$2:$C$500,MATCH($C4176,المنيو!$B$2:$B$500,0)),0))</f>
        <v/>
      </c>
      <c r="F4176" s="107" t="str">
        <f aca="false">IF($C4176="","",$D4176*$E4176)</f>
        <v/>
      </c>
      <c r="G4176" s="107" t="str">
        <f aca="false">IF($C4176="","",$D4176*IFERROR(INDEX('تحليل التكلفة والسعر'!$C$2:$C$700,MATCH($C4176,'تحليل التكلفة والسعر'!$B$2:$B$700,0)),0))</f>
        <v/>
      </c>
    </row>
    <row r="4177" customFormat="false" ht="15" hidden="false" customHeight="false" outlineLevel="0" collapsed="false">
      <c r="A4177" s="103"/>
      <c r="B4177" s="104"/>
      <c r="C4177" s="104"/>
      <c r="E4177" s="107" t="str">
        <f aca="false">IF($C4177="","",IFERROR(INDEX(المنيو!$C$2:$C$500,MATCH($C4177,المنيو!$B$2:$B$500,0)),0))</f>
        <v/>
      </c>
      <c r="F4177" s="107" t="str">
        <f aca="false">IF($C4177="","",$D4177*$E4177)</f>
        <v/>
      </c>
      <c r="G4177" s="107" t="str">
        <f aca="false">IF($C4177="","",$D4177*IFERROR(INDEX('تحليل التكلفة والسعر'!$C$2:$C$700,MATCH($C4177,'تحليل التكلفة والسعر'!$B$2:$B$700,0)),0))</f>
        <v/>
      </c>
    </row>
    <row r="4178" customFormat="false" ht="15" hidden="false" customHeight="false" outlineLevel="0" collapsed="false">
      <c r="A4178" s="103"/>
      <c r="B4178" s="104"/>
      <c r="C4178" s="104"/>
      <c r="E4178" s="107" t="str">
        <f aca="false">IF($C4178="","",IFERROR(INDEX(المنيو!$C$2:$C$500,MATCH($C4178,المنيو!$B$2:$B$500,0)),0))</f>
        <v/>
      </c>
      <c r="F4178" s="107" t="str">
        <f aca="false">IF($C4178="","",$D4178*$E4178)</f>
        <v/>
      </c>
      <c r="G4178" s="107" t="str">
        <f aca="false">IF($C4178="","",$D4178*IFERROR(INDEX('تحليل التكلفة والسعر'!$C$2:$C$700,MATCH($C4178,'تحليل التكلفة والسعر'!$B$2:$B$700,0)),0))</f>
        <v/>
      </c>
    </row>
    <row r="4179" customFormat="false" ht="15" hidden="false" customHeight="false" outlineLevel="0" collapsed="false">
      <c r="A4179" s="103"/>
      <c r="B4179" s="104"/>
      <c r="C4179" s="104"/>
      <c r="E4179" s="107" t="str">
        <f aca="false">IF($C4179="","",IFERROR(INDEX(المنيو!$C$2:$C$500,MATCH($C4179,المنيو!$B$2:$B$500,0)),0))</f>
        <v/>
      </c>
      <c r="F4179" s="107" t="str">
        <f aca="false">IF($C4179="","",$D4179*$E4179)</f>
        <v/>
      </c>
      <c r="G4179" s="107" t="str">
        <f aca="false">IF($C4179="","",$D4179*IFERROR(INDEX('تحليل التكلفة والسعر'!$C$2:$C$700,MATCH($C4179,'تحليل التكلفة والسعر'!$B$2:$B$700,0)),0))</f>
        <v/>
      </c>
    </row>
    <row r="4180" customFormat="false" ht="15" hidden="false" customHeight="false" outlineLevel="0" collapsed="false">
      <c r="A4180" s="103"/>
      <c r="B4180" s="104"/>
      <c r="C4180" s="104"/>
      <c r="E4180" s="107" t="str">
        <f aca="false">IF($C4180="","",IFERROR(INDEX(المنيو!$C$2:$C$500,MATCH($C4180,المنيو!$B$2:$B$500,0)),0))</f>
        <v/>
      </c>
      <c r="F4180" s="107" t="str">
        <f aca="false">IF($C4180="","",$D4180*$E4180)</f>
        <v/>
      </c>
      <c r="G4180" s="107" t="str">
        <f aca="false">IF($C4180="","",$D4180*IFERROR(INDEX('تحليل التكلفة والسعر'!$C$2:$C$700,MATCH($C4180,'تحليل التكلفة والسعر'!$B$2:$B$700,0)),0))</f>
        <v/>
      </c>
    </row>
    <row r="4181" customFormat="false" ht="15" hidden="false" customHeight="false" outlineLevel="0" collapsed="false">
      <c r="A4181" s="103"/>
      <c r="B4181" s="104"/>
      <c r="C4181" s="104"/>
      <c r="E4181" s="107" t="str">
        <f aca="false">IF($C4181="","",IFERROR(INDEX(المنيو!$C$2:$C$500,MATCH($C4181,المنيو!$B$2:$B$500,0)),0))</f>
        <v/>
      </c>
      <c r="F4181" s="107" t="str">
        <f aca="false">IF($C4181="","",$D4181*$E4181)</f>
        <v/>
      </c>
      <c r="G4181" s="107" t="str">
        <f aca="false">IF($C4181="","",$D4181*IFERROR(INDEX('تحليل التكلفة والسعر'!$C$2:$C$700,MATCH($C4181,'تحليل التكلفة والسعر'!$B$2:$B$700,0)),0))</f>
        <v/>
      </c>
    </row>
    <row r="4182" customFormat="false" ht="15" hidden="false" customHeight="false" outlineLevel="0" collapsed="false">
      <c r="A4182" s="103"/>
      <c r="B4182" s="104"/>
      <c r="C4182" s="104"/>
      <c r="E4182" s="107" t="str">
        <f aca="false">IF($C4182="","",IFERROR(INDEX(المنيو!$C$2:$C$500,MATCH($C4182,المنيو!$B$2:$B$500,0)),0))</f>
        <v/>
      </c>
      <c r="F4182" s="107" t="str">
        <f aca="false">IF($C4182="","",$D4182*$E4182)</f>
        <v/>
      </c>
      <c r="G4182" s="107" t="str">
        <f aca="false">IF($C4182="","",$D4182*IFERROR(INDEX('تحليل التكلفة والسعر'!$C$2:$C$700,MATCH($C4182,'تحليل التكلفة والسعر'!$B$2:$B$700,0)),0))</f>
        <v/>
      </c>
    </row>
    <row r="4183" customFormat="false" ht="15" hidden="false" customHeight="false" outlineLevel="0" collapsed="false">
      <c r="A4183" s="103"/>
      <c r="B4183" s="104"/>
      <c r="C4183" s="104"/>
      <c r="E4183" s="107" t="str">
        <f aca="false">IF($C4183="","",IFERROR(INDEX(المنيو!$C$2:$C$500,MATCH($C4183,المنيو!$B$2:$B$500,0)),0))</f>
        <v/>
      </c>
      <c r="F4183" s="107" t="str">
        <f aca="false">IF($C4183="","",$D4183*$E4183)</f>
        <v/>
      </c>
      <c r="G4183" s="107" t="str">
        <f aca="false">IF($C4183="","",$D4183*IFERROR(INDEX('تحليل التكلفة والسعر'!$C$2:$C$700,MATCH($C4183,'تحليل التكلفة والسعر'!$B$2:$B$700,0)),0))</f>
        <v/>
      </c>
    </row>
    <row r="4184" customFormat="false" ht="15" hidden="false" customHeight="false" outlineLevel="0" collapsed="false">
      <c r="A4184" s="103"/>
      <c r="B4184" s="104"/>
      <c r="C4184" s="104"/>
      <c r="E4184" s="107" t="str">
        <f aca="false">IF($C4184="","",IFERROR(INDEX(المنيو!$C$2:$C$500,MATCH($C4184,المنيو!$B$2:$B$500,0)),0))</f>
        <v/>
      </c>
      <c r="F4184" s="107" t="str">
        <f aca="false">IF($C4184="","",$D4184*$E4184)</f>
        <v/>
      </c>
      <c r="G4184" s="107" t="str">
        <f aca="false">IF($C4184="","",$D4184*IFERROR(INDEX('تحليل التكلفة والسعر'!$C$2:$C$700,MATCH($C4184,'تحليل التكلفة والسعر'!$B$2:$B$700,0)),0))</f>
        <v/>
      </c>
    </row>
    <row r="4185" customFormat="false" ht="15" hidden="false" customHeight="false" outlineLevel="0" collapsed="false">
      <c r="A4185" s="103"/>
      <c r="B4185" s="104"/>
      <c r="C4185" s="104"/>
      <c r="E4185" s="107" t="str">
        <f aca="false">IF($C4185="","",IFERROR(INDEX(المنيو!$C$2:$C$500,MATCH($C4185,المنيو!$B$2:$B$500,0)),0))</f>
        <v/>
      </c>
      <c r="F4185" s="107" t="str">
        <f aca="false">IF($C4185="","",$D4185*$E4185)</f>
        <v/>
      </c>
      <c r="G4185" s="107" t="str">
        <f aca="false">IF($C4185="","",$D4185*IFERROR(INDEX('تحليل التكلفة والسعر'!$C$2:$C$700,MATCH($C4185,'تحليل التكلفة والسعر'!$B$2:$B$700,0)),0))</f>
        <v/>
      </c>
    </row>
    <row r="4186" customFormat="false" ht="15" hidden="false" customHeight="false" outlineLevel="0" collapsed="false">
      <c r="A4186" s="103"/>
      <c r="B4186" s="104"/>
      <c r="C4186" s="104"/>
      <c r="E4186" s="107" t="str">
        <f aca="false">IF($C4186="","",IFERROR(INDEX(المنيو!$C$2:$C$500,MATCH($C4186,المنيو!$B$2:$B$500,0)),0))</f>
        <v/>
      </c>
      <c r="F4186" s="107" t="str">
        <f aca="false">IF($C4186="","",$D4186*$E4186)</f>
        <v/>
      </c>
      <c r="G4186" s="107" t="str">
        <f aca="false">IF($C4186="","",$D4186*IFERROR(INDEX('تحليل التكلفة والسعر'!$C$2:$C$700,MATCH($C4186,'تحليل التكلفة والسعر'!$B$2:$B$700,0)),0))</f>
        <v/>
      </c>
    </row>
    <row r="4187" customFormat="false" ht="15" hidden="false" customHeight="false" outlineLevel="0" collapsed="false">
      <c r="A4187" s="103"/>
      <c r="B4187" s="104"/>
      <c r="C4187" s="104"/>
      <c r="E4187" s="107" t="str">
        <f aca="false">IF($C4187="","",IFERROR(INDEX(المنيو!$C$2:$C$500,MATCH($C4187,المنيو!$B$2:$B$500,0)),0))</f>
        <v/>
      </c>
      <c r="F4187" s="107" t="str">
        <f aca="false">IF($C4187="","",$D4187*$E4187)</f>
        <v/>
      </c>
      <c r="G4187" s="107" t="str">
        <f aca="false">IF($C4187="","",$D4187*IFERROR(INDEX('تحليل التكلفة والسعر'!$C$2:$C$700,MATCH($C4187,'تحليل التكلفة والسعر'!$B$2:$B$700,0)),0))</f>
        <v/>
      </c>
    </row>
    <row r="4188" customFormat="false" ht="15" hidden="false" customHeight="false" outlineLevel="0" collapsed="false">
      <c r="A4188" s="103"/>
      <c r="B4188" s="104"/>
      <c r="C4188" s="104"/>
      <c r="E4188" s="107" t="str">
        <f aca="false">IF($C4188="","",IFERROR(INDEX(المنيو!$C$2:$C$500,MATCH($C4188,المنيو!$B$2:$B$500,0)),0))</f>
        <v/>
      </c>
      <c r="F4188" s="107" t="str">
        <f aca="false">IF($C4188="","",$D4188*$E4188)</f>
        <v/>
      </c>
      <c r="G4188" s="107" t="str">
        <f aca="false">IF($C4188="","",$D4188*IFERROR(INDEX('تحليل التكلفة والسعر'!$C$2:$C$700,MATCH($C4188,'تحليل التكلفة والسعر'!$B$2:$B$700,0)),0))</f>
        <v/>
      </c>
    </row>
    <row r="4189" customFormat="false" ht="15" hidden="false" customHeight="false" outlineLevel="0" collapsed="false">
      <c r="A4189" s="103"/>
      <c r="B4189" s="104"/>
      <c r="C4189" s="104"/>
      <c r="E4189" s="107" t="str">
        <f aca="false">IF($C4189="","",IFERROR(INDEX(المنيو!$C$2:$C$500,MATCH($C4189,المنيو!$B$2:$B$500,0)),0))</f>
        <v/>
      </c>
      <c r="F4189" s="107" t="str">
        <f aca="false">IF($C4189="","",$D4189*$E4189)</f>
        <v/>
      </c>
      <c r="G4189" s="107" t="str">
        <f aca="false">IF($C4189="","",$D4189*IFERROR(INDEX('تحليل التكلفة والسعر'!$C$2:$C$700,MATCH($C4189,'تحليل التكلفة والسعر'!$B$2:$B$700,0)),0))</f>
        <v/>
      </c>
    </row>
    <row r="4190" customFormat="false" ht="15" hidden="false" customHeight="false" outlineLevel="0" collapsed="false">
      <c r="A4190" s="103"/>
      <c r="B4190" s="104"/>
      <c r="C4190" s="104"/>
      <c r="E4190" s="107" t="str">
        <f aca="false">IF($C4190="","",IFERROR(INDEX(المنيو!$C$2:$C$500,MATCH($C4190,المنيو!$B$2:$B$500,0)),0))</f>
        <v/>
      </c>
      <c r="F4190" s="107" t="str">
        <f aca="false">IF($C4190="","",$D4190*$E4190)</f>
        <v/>
      </c>
      <c r="G4190" s="107" t="str">
        <f aca="false">IF($C4190="","",$D4190*IFERROR(INDEX('تحليل التكلفة والسعر'!$C$2:$C$700,MATCH($C4190,'تحليل التكلفة والسعر'!$B$2:$B$700,0)),0))</f>
        <v/>
      </c>
    </row>
    <row r="4191" customFormat="false" ht="15" hidden="false" customHeight="false" outlineLevel="0" collapsed="false">
      <c r="A4191" s="103"/>
      <c r="B4191" s="104"/>
      <c r="C4191" s="104"/>
      <c r="E4191" s="107" t="str">
        <f aca="false">IF($C4191="","",IFERROR(INDEX(المنيو!$C$2:$C$500,MATCH($C4191,المنيو!$B$2:$B$500,0)),0))</f>
        <v/>
      </c>
      <c r="F4191" s="107" t="str">
        <f aca="false">IF($C4191="","",$D4191*$E4191)</f>
        <v/>
      </c>
      <c r="G4191" s="107" t="str">
        <f aca="false">IF($C4191="","",$D4191*IFERROR(INDEX('تحليل التكلفة والسعر'!$C$2:$C$700,MATCH($C4191,'تحليل التكلفة والسعر'!$B$2:$B$700,0)),0))</f>
        <v/>
      </c>
    </row>
    <row r="4192" customFormat="false" ht="15" hidden="false" customHeight="false" outlineLevel="0" collapsed="false">
      <c r="A4192" s="103"/>
      <c r="B4192" s="104"/>
      <c r="C4192" s="104"/>
      <c r="E4192" s="107" t="str">
        <f aca="false">IF($C4192="","",IFERROR(INDEX(المنيو!$C$2:$C$500,MATCH($C4192,المنيو!$B$2:$B$500,0)),0))</f>
        <v/>
      </c>
      <c r="F4192" s="107" t="str">
        <f aca="false">IF($C4192="","",$D4192*$E4192)</f>
        <v/>
      </c>
      <c r="G4192" s="107" t="str">
        <f aca="false">IF($C4192="","",$D4192*IFERROR(INDEX('تحليل التكلفة والسعر'!$C$2:$C$700,MATCH($C4192,'تحليل التكلفة والسعر'!$B$2:$B$700,0)),0))</f>
        <v/>
      </c>
    </row>
    <row r="4193" customFormat="false" ht="15" hidden="false" customHeight="false" outlineLevel="0" collapsed="false">
      <c r="A4193" s="103"/>
      <c r="B4193" s="104"/>
      <c r="C4193" s="104"/>
      <c r="E4193" s="107" t="str">
        <f aca="false">IF($C4193="","",IFERROR(INDEX(المنيو!$C$2:$C$500,MATCH($C4193,المنيو!$B$2:$B$500,0)),0))</f>
        <v/>
      </c>
      <c r="F4193" s="107" t="str">
        <f aca="false">IF($C4193="","",$D4193*$E4193)</f>
        <v/>
      </c>
      <c r="G4193" s="107" t="str">
        <f aca="false">IF($C4193="","",$D4193*IFERROR(INDEX('تحليل التكلفة والسعر'!$C$2:$C$700,MATCH($C4193,'تحليل التكلفة والسعر'!$B$2:$B$700,0)),0))</f>
        <v/>
      </c>
    </row>
    <row r="4194" customFormat="false" ht="15" hidden="false" customHeight="false" outlineLevel="0" collapsed="false">
      <c r="A4194" s="103"/>
      <c r="B4194" s="104"/>
      <c r="C4194" s="104"/>
      <c r="E4194" s="107" t="str">
        <f aca="false">IF($C4194="","",IFERROR(INDEX(المنيو!$C$2:$C$500,MATCH($C4194,المنيو!$B$2:$B$500,0)),0))</f>
        <v/>
      </c>
      <c r="F4194" s="107" t="str">
        <f aca="false">IF($C4194="","",$D4194*$E4194)</f>
        <v/>
      </c>
      <c r="G4194" s="107" t="str">
        <f aca="false">IF($C4194="","",$D4194*IFERROR(INDEX('تحليل التكلفة والسعر'!$C$2:$C$700,MATCH($C4194,'تحليل التكلفة والسعر'!$B$2:$B$700,0)),0))</f>
        <v/>
      </c>
    </row>
    <row r="4195" customFormat="false" ht="15" hidden="false" customHeight="false" outlineLevel="0" collapsed="false">
      <c r="A4195" s="103"/>
      <c r="B4195" s="104"/>
      <c r="C4195" s="104"/>
      <c r="E4195" s="107" t="str">
        <f aca="false">IF($C4195="","",IFERROR(INDEX(المنيو!$C$2:$C$500,MATCH($C4195,المنيو!$B$2:$B$500,0)),0))</f>
        <v/>
      </c>
      <c r="F4195" s="107" t="str">
        <f aca="false">IF($C4195="","",$D4195*$E4195)</f>
        <v/>
      </c>
      <c r="G4195" s="107" t="str">
        <f aca="false">IF($C4195="","",$D4195*IFERROR(INDEX('تحليل التكلفة والسعر'!$C$2:$C$700,MATCH($C4195,'تحليل التكلفة والسعر'!$B$2:$B$700,0)),0))</f>
        <v/>
      </c>
    </row>
    <row r="4196" customFormat="false" ht="15" hidden="false" customHeight="false" outlineLevel="0" collapsed="false">
      <c r="A4196" s="103"/>
      <c r="B4196" s="104"/>
      <c r="C4196" s="104"/>
      <c r="E4196" s="107" t="str">
        <f aca="false">IF($C4196="","",IFERROR(INDEX(المنيو!$C$2:$C$500,MATCH($C4196,المنيو!$B$2:$B$500,0)),0))</f>
        <v/>
      </c>
      <c r="F4196" s="107" t="str">
        <f aca="false">IF($C4196="","",$D4196*$E4196)</f>
        <v/>
      </c>
      <c r="G4196" s="107" t="str">
        <f aca="false">IF($C4196="","",$D4196*IFERROR(INDEX('تحليل التكلفة والسعر'!$C$2:$C$700,MATCH($C4196,'تحليل التكلفة والسعر'!$B$2:$B$700,0)),0))</f>
        <v/>
      </c>
    </row>
    <row r="4197" customFormat="false" ht="15" hidden="false" customHeight="false" outlineLevel="0" collapsed="false">
      <c r="A4197" s="103"/>
      <c r="B4197" s="104"/>
      <c r="C4197" s="104"/>
      <c r="E4197" s="107" t="str">
        <f aca="false">IF($C4197="","",IFERROR(INDEX(المنيو!$C$2:$C$500,MATCH($C4197,المنيو!$B$2:$B$500,0)),0))</f>
        <v/>
      </c>
      <c r="F4197" s="107" t="str">
        <f aca="false">IF($C4197="","",$D4197*$E4197)</f>
        <v/>
      </c>
      <c r="G4197" s="107" t="str">
        <f aca="false">IF($C4197="","",$D4197*IFERROR(INDEX('تحليل التكلفة والسعر'!$C$2:$C$700,MATCH($C4197,'تحليل التكلفة والسعر'!$B$2:$B$700,0)),0))</f>
        <v/>
      </c>
    </row>
    <row r="4198" customFormat="false" ht="15" hidden="false" customHeight="false" outlineLevel="0" collapsed="false">
      <c r="A4198" s="103"/>
      <c r="B4198" s="104"/>
      <c r="C4198" s="104"/>
      <c r="E4198" s="107" t="str">
        <f aca="false">IF($C4198="","",IFERROR(INDEX(المنيو!$C$2:$C$500,MATCH($C4198,المنيو!$B$2:$B$500,0)),0))</f>
        <v/>
      </c>
      <c r="F4198" s="107" t="str">
        <f aca="false">IF($C4198="","",$D4198*$E4198)</f>
        <v/>
      </c>
      <c r="G4198" s="107" t="str">
        <f aca="false">IF($C4198="","",$D4198*IFERROR(INDEX('تحليل التكلفة والسعر'!$C$2:$C$700,MATCH($C4198,'تحليل التكلفة والسعر'!$B$2:$B$700,0)),0))</f>
        <v/>
      </c>
    </row>
    <row r="4199" customFormat="false" ht="15" hidden="false" customHeight="false" outlineLevel="0" collapsed="false">
      <c r="A4199" s="103"/>
      <c r="B4199" s="104"/>
      <c r="C4199" s="104"/>
      <c r="E4199" s="107" t="str">
        <f aca="false">IF($C4199="","",IFERROR(INDEX(المنيو!$C$2:$C$500,MATCH($C4199,المنيو!$B$2:$B$500,0)),0))</f>
        <v/>
      </c>
      <c r="F4199" s="107" t="str">
        <f aca="false">IF($C4199="","",$D4199*$E4199)</f>
        <v/>
      </c>
      <c r="G4199" s="107" t="str">
        <f aca="false">IF($C4199="","",$D4199*IFERROR(INDEX('تحليل التكلفة والسعر'!$C$2:$C$700,MATCH($C4199,'تحليل التكلفة والسعر'!$B$2:$B$700,0)),0))</f>
        <v/>
      </c>
    </row>
    <row r="4200" customFormat="false" ht="15" hidden="false" customHeight="false" outlineLevel="0" collapsed="false">
      <c r="A4200" s="103"/>
      <c r="B4200" s="104"/>
      <c r="C4200" s="104"/>
      <c r="E4200" s="107" t="str">
        <f aca="false">IF($C4200="","",IFERROR(INDEX(المنيو!$C$2:$C$500,MATCH($C4200,المنيو!$B$2:$B$500,0)),0))</f>
        <v/>
      </c>
      <c r="F4200" s="107" t="str">
        <f aca="false">IF($C4200="","",$D4200*$E4200)</f>
        <v/>
      </c>
      <c r="G4200" s="107" t="str">
        <f aca="false">IF($C4200="","",$D4200*IFERROR(INDEX('تحليل التكلفة والسعر'!$C$2:$C$700,MATCH($C4200,'تحليل التكلفة والسعر'!$B$2:$B$700,0)),0))</f>
        <v/>
      </c>
    </row>
    <row r="4201" customFormat="false" ht="15" hidden="false" customHeight="false" outlineLevel="0" collapsed="false">
      <c r="A4201" s="103"/>
      <c r="B4201" s="104"/>
      <c r="C4201" s="104"/>
      <c r="E4201" s="107" t="str">
        <f aca="false">IF($C4201="","",IFERROR(INDEX(المنيو!$C$2:$C$500,MATCH($C4201,المنيو!$B$2:$B$500,0)),0))</f>
        <v/>
      </c>
      <c r="F4201" s="107" t="str">
        <f aca="false">IF($C4201="","",$D4201*$E4201)</f>
        <v/>
      </c>
      <c r="G4201" s="107" t="str">
        <f aca="false">IF($C4201="","",$D4201*IFERROR(INDEX('تحليل التكلفة والسعر'!$C$2:$C$700,MATCH($C4201,'تحليل التكلفة والسعر'!$B$2:$B$700,0)),0))</f>
        <v/>
      </c>
    </row>
    <row r="4202" customFormat="false" ht="15" hidden="false" customHeight="false" outlineLevel="0" collapsed="false">
      <c r="A4202" s="103"/>
      <c r="B4202" s="104"/>
      <c r="C4202" s="104"/>
      <c r="E4202" s="107" t="str">
        <f aca="false">IF($C4202="","",IFERROR(INDEX(المنيو!$C$2:$C$500,MATCH($C4202,المنيو!$B$2:$B$500,0)),0))</f>
        <v/>
      </c>
      <c r="F4202" s="107" t="str">
        <f aca="false">IF($C4202="","",$D4202*$E4202)</f>
        <v/>
      </c>
      <c r="G4202" s="107" t="str">
        <f aca="false">IF($C4202="","",$D4202*IFERROR(INDEX('تحليل التكلفة والسعر'!$C$2:$C$700,MATCH($C4202,'تحليل التكلفة والسعر'!$B$2:$B$700,0)),0))</f>
        <v/>
      </c>
    </row>
    <row r="4203" customFormat="false" ht="15" hidden="false" customHeight="false" outlineLevel="0" collapsed="false">
      <c r="A4203" s="103"/>
      <c r="B4203" s="104"/>
      <c r="C4203" s="104"/>
      <c r="E4203" s="107" t="str">
        <f aca="false">IF($C4203="","",IFERROR(INDEX(المنيو!$C$2:$C$500,MATCH($C4203,المنيو!$B$2:$B$500,0)),0))</f>
        <v/>
      </c>
      <c r="F4203" s="107" t="str">
        <f aca="false">IF($C4203="","",$D4203*$E4203)</f>
        <v/>
      </c>
      <c r="G4203" s="107" t="str">
        <f aca="false">IF($C4203="","",$D4203*IFERROR(INDEX('تحليل التكلفة والسعر'!$C$2:$C$700,MATCH($C4203,'تحليل التكلفة والسعر'!$B$2:$B$700,0)),0))</f>
        <v/>
      </c>
    </row>
    <row r="4204" customFormat="false" ht="15" hidden="false" customHeight="false" outlineLevel="0" collapsed="false">
      <c r="A4204" s="103"/>
      <c r="B4204" s="104"/>
      <c r="C4204" s="104"/>
      <c r="E4204" s="107" t="str">
        <f aca="false">IF($C4204="","",IFERROR(INDEX(المنيو!$C$2:$C$500,MATCH($C4204,المنيو!$B$2:$B$500,0)),0))</f>
        <v/>
      </c>
      <c r="F4204" s="107" t="str">
        <f aca="false">IF($C4204="","",$D4204*$E4204)</f>
        <v/>
      </c>
      <c r="G4204" s="107" t="str">
        <f aca="false">IF($C4204="","",$D4204*IFERROR(INDEX('تحليل التكلفة والسعر'!$C$2:$C$700,MATCH($C4204,'تحليل التكلفة والسعر'!$B$2:$B$700,0)),0))</f>
        <v/>
      </c>
    </row>
    <row r="4205" customFormat="false" ht="15" hidden="false" customHeight="false" outlineLevel="0" collapsed="false">
      <c r="A4205" s="103"/>
      <c r="B4205" s="104"/>
      <c r="C4205" s="104"/>
      <c r="E4205" s="107" t="str">
        <f aca="false">IF($C4205="","",IFERROR(INDEX(المنيو!$C$2:$C$500,MATCH($C4205,المنيو!$B$2:$B$500,0)),0))</f>
        <v/>
      </c>
      <c r="F4205" s="107" t="str">
        <f aca="false">IF($C4205="","",$D4205*$E4205)</f>
        <v/>
      </c>
      <c r="G4205" s="107" t="str">
        <f aca="false">IF($C4205="","",$D4205*IFERROR(INDEX('تحليل التكلفة والسعر'!$C$2:$C$700,MATCH($C4205,'تحليل التكلفة والسعر'!$B$2:$B$700,0)),0))</f>
        <v/>
      </c>
    </row>
    <row r="4206" customFormat="false" ht="15" hidden="false" customHeight="false" outlineLevel="0" collapsed="false">
      <c r="A4206" s="103"/>
      <c r="B4206" s="104"/>
      <c r="C4206" s="104"/>
      <c r="E4206" s="107" t="str">
        <f aca="false">IF($C4206="","",IFERROR(INDEX(المنيو!$C$2:$C$500,MATCH($C4206,المنيو!$B$2:$B$500,0)),0))</f>
        <v/>
      </c>
      <c r="F4206" s="107" t="str">
        <f aca="false">IF($C4206="","",$D4206*$E4206)</f>
        <v/>
      </c>
      <c r="G4206" s="107" t="str">
        <f aca="false">IF($C4206="","",$D4206*IFERROR(INDEX('تحليل التكلفة والسعر'!$C$2:$C$700,MATCH($C4206,'تحليل التكلفة والسعر'!$B$2:$B$700,0)),0))</f>
        <v/>
      </c>
    </row>
    <row r="4207" customFormat="false" ht="15" hidden="false" customHeight="false" outlineLevel="0" collapsed="false">
      <c r="A4207" s="103"/>
      <c r="B4207" s="104"/>
      <c r="C4207" s="104"/>
      <c r="E4207" s="107" t="str">
        <f aca="false">IF($C4207="","",IFERROR(INDEX(المنيو!$C$2:$C$500,MATCH($C4207,المنيو!$B$2:$B$500,0)),0))</f>
        <v/>
      </c>
      <c r="F4207" s="107" t="str">
        <f aca="false">IF($C4207="","",$D4207*$E4207)</f>
        <v/>
      </c>
      <c r="G4207" s="107" t="str">
        <f aca="false">IF($C4207="","",$D4207*IFERROR(INDEX('تحليل التكلفة والسعر'!$C$2:$C$700,MATCH($C4207,'تحليل التكلفة والسعر'!$B$2:$B$700,0)),0))</f>
        <v/>
      </c>
    </row>
    <row r="4208" customFormat="false" ht="15" hidden="false" customHeight="false" outlineLevel="0" collapsed="false">
      <c r="A4208" s="103"/>
      <c r="B4208" s="104"/>
      <c r="C4208" s="104"/>
      <c r="E4208" s="107" t="str">
        <f aca="false">IF($C4208="","",IFERROR(INDEX(المنيو!$C$2:$C$500,MATCH($C4208,المنيو!$B$2:$B$500,0)),0))</f>
        <v/>
      </c>
      <c r="F4208" s="107" t="str">
        <f aca="false">IF($C4208="","",$D4208*$E4208)</f>
        <v/>
      </c>
      <c r="G4208" s="107" t="str">
        <f aca="false">IF($C4208="","",$D4208*IFERROR(INDEX('تحليل التكلفة والسعر'!$C$2:$C$700,MATCH($C4208,'تحليل التكلفة والسعر'!$B$2:$B$700,0)),0))</f>
        <v/>
      </c>
    </row>
    <row r="4209" customFormat="false" ht="15" hidden="false" customHeight="false" outlineLevel="0" collapsed="false">
      <c r="A4209" s="103"/>
      <c r="B4209" s="104"/>
      <c r="C4209" s="104"/>
      <c r="E4209" s="107" t="str">
        <f aca="false">IF($C4209="","",IFERROR(INDEX(المنيو!$C$2:$C$500,MATCH($C4209,المنيو!$B$2:$B$500,0)),0))</f>
        <v/>
      </c>
      <c r="F4209" s="107" t="str">
        <f aca="false">IF($C4209="","",$D4209*$E4209)</f>
        <v/>
      </c>
      <c r="G4209" s="107" t="str">
        <f aca="false">IF($C4209="","",$D4209*IFERROR(INDEX('تحليل التكلفة والسعر'!$C$2:$C$700,MATCH($C4209,'تحليل التكلفة والسعر'!$B$2:$B$700,0)),0))</f>
        <v/>
      </c>
    </row>
    <row r="4210" customFormat="false" ht="15" hidden="false" customHeight="false" outlineLevel="0" collapsed="false">
      <c r="A4210" s="103"/>
      <c r="B4210" s="104"/>
      <c r="C4210" s="104"/>
      <c r="E4210" s="107" t="str">
        <f aca="false">IF($C4210="","",IFERROR(INDEX(المنيو!$C$2:$C$500,MATCH($C4210,المنيو!$B$2:$B$500,0)),0))</f>
        <v/>
      </c>
      <c r="F4210" s="107" t="str">
        <f aca="false">IF($C4210="","",$D4210*$E4210)</f>
        <v/>
      </c>
      <c r="G4210" s="107" t="str">
        <f aca="false">IF($C4210="","",$D4210*IFERROR(INDEX('تحليل التكلفة والسعر'!$C$2:$C$700,MATCH($C4210,'تحليل التكلفة والسعر'!$B$2:$B$700,0)),0))</f>
        <v/>
      </c>
    </row>
    <row r="4211" customFormat="false" ht="15" hidden="false" customHeight="false" outlineLevel="0" collapsed="false">
      <c r="A4211" s="103"/>
      <c r="B4211" s="104"/>
      <c r="C4211" s="104"/>
      <c r="E4211" s="107" t="str">
        <f aca="false">IF($C4211="","",IFERROR(INDEX(المنيو!$C$2:$C$500,MATCH($C4211,المنيو!$B$2:$B$500,0)),0))</f>
        <v/>
      </c>
      <c r="F4211" s="107" t="str">
        <f aca="false">IF($C4211="","",$D4211*$E4211)</f>
        <v/>
      </c>
      <c r="G4211" s="107" t="str">
        <f aca="false">IF($C4211="","",$D4211*IFERROR(INDEX('تحليل التكلفة والسعر'!$C$2:$C$700,MATCH($C4211,'تحليل التكلفة والسعر'!$B$2:$B$700,0)),0))</f>
        <v/>
      </c>
    </row>
    <row r="4212" customFormat="false" ht="15" hidden="false" customHeight="false" outlineLevel="0" collapsed="false">
      <c r="A4212" s="103"/>
      <c r="B4212" s="104"/>
      <c r="C4212" s="104"/>
      <c r="E4212" s="107" t="str">
        <f aca="false">IF($C4212="","",IFERROR(INDEX(المنيو!$C$2:$C$500,MATCH($C4212,المنيو!$B$2:$B$500,0)),0))</f>
        <v/>
      </c>
      <c r="F4212" s="107" t="str">
        <f aca="false">IF($C4212="","",$D4212*$E4212)</f>
        <v/>
      </c>
      <c r="G4212" s="107" t="str">
        <f aca="false">IF($C4212="","",$D4212*IFERROR(INDEX('تحليل التكلفة والسعر'!$C$2:$C$700,MATCH($C4212,'تحليل التكلفة والسعر'!$B$2:$B$700,0)),0))</f>
        <v/>
      </c>
    </row>
    <row r="4213" customFormat="false" ht="15" hidden="false" customHeight="false" outlineLevel="0" collapsed="false">
      <c r="A4213" s="103"/>
      <c r="B4213" s="104"/>
      <c r="C4213" s="104"/>
      <c r="E4213" s="107" t="str">
        <f aca="false">IF($C4213="","",IFERROR(INDEX(المنيو!$C$2:$C$500,MATCH($C4213,المنيو!$B$2:$B$500,0)),0))</f>
        <v/>
      </c>
      <c r="F4213" s="107" t="str">
        <f aca="false">IF($C4213="","",$D4213*$E4213)</f>
        <v/>
      </c>
      <c r="G4213" s="107" t="str">
        <f aca="false">IF($C4213="","",$D4213*IFERROR(INDEX('تحليل التكلفة والسعر'!$C$2:$C$700,MATCH($C4213,'تحليل التكلفة والسعر'!$B$2:$B$700,0)),0))</f>
        <v/>
      </c>
    </row>
    <row r="4214" customFormat="false" ht="15" hidden="false" customHeight="false" outlineLevel="0" collapsed="false">
      <c r="A4214" s="103"/>
      <c r="B4214" s="104"/>
      <c r="C4214" s="104"/>
      <c r="E4214" s="107" t="str">
        <f aca="false">IF($C4214="","",IFERROR(INDEX(المنيو!$C$2:$C$500,MATCH($C4214,المنيو!$B$2:$B$500,0)),0))</f>
        <v/>
      </c>
      <c r="F4214" s="107" t="str">
        <f aca="false">IF($C4214="","",$D4214*$E4214)</f>
        <v/>
      </c>
      <c r="G4214" s="107" t="str">
        <f aca="false">IF($C4214="","",$D4214*IFERROR(INDEX('تحليل التكلفة والسعر'!$C$2:$C$700,MATCH($C4214,'تحليل التكلفة والسعر'!$B$2:$B$700,0)),0))</f>
        <v/>
      </c>
    </row>
    <row r="4215" customFormat="false" ht="15" hidden="false" customHeight="false" outlineLevel="0" collapsed="false">
      <c r="A4215" s="103"/>
      <c r="B4215" s="104"/>
      <c r="C4215" s="104"/>
      <c r="E4215" s="107" t="str">
        <f aca="false">IF($C4215="","",IFERROR(INDEX(المنيو!$C$2:$C$500,MATCH($C4215,المنيو!$B$2:$B$500,0)),0))</f>
        <v/>
      </c>
      <c r="F4215" s="107" t="str">
        <f aca="false">IF($C4215="","",$D4215*$E4215)</f>
        <v/>
      </c>
      <c r="G4215" s="107" t="str">
        <f aca="false">IF($C4215="","",$D4215*IFERROR(INDEX('تحليل التكلفة والسعر'!$C$2:$C$700,MATCH($C4215,'تحليل التكلفة والسعر'!$B$2:$B$700,0)),0))</f>
        <v/>
      </c>
    </row>
    <row r="4216" customFormat="false" ht="15" hidden="false" customHeight="false" outlineLevel="0" collapsed="false">
      <c r="A4216" s="103"/>
      <c r="B4216" s="104"/>
      <c r="C4216" s="104"/>
      <c r="E4216" s="107" t="str">
        <f aca="false">IF($C4216="","",IFERROR(INDEX(المنيو!$C$2:$C$500,MATCH($C4216,المنيو!$B$2:$B$500,0)),0))</f>
        <v/>
      </c>
      <c r="F4216" s="107" t="str">
        <f aca="false">IF($C4216="","",$D4216*$E4216)</f>
        <v/>
      </c>
      <c r="G4216" s="107" t="str">
        <f aca="false">IF($C4216="","",$D4216*IFERROR(INDEX('تحليل التكلفة والسعر'!$C$2:$C$700,MATCH($C4216,'تحليل التكلفة والسعر'!$B$2:$B$700,0)),0))</f>
        <v/>
      </c>
    </row>
    <row r="4217" customFormat="false" ht="15" hidden="false" customHeight="false" outlineLevel="0" collapsed="false">
      <c r="A4217" s="103"/>
      <c r="B4217" s="104"/>
      <c r="C4217" s="104"/>
      <c r="E4217" s="107" t="str">
        <f aca="false">IF($C4217="","",IFERROR(INDEX(المنيو!$C$2:$C$500,MATCH($C4217,المنيو!$B$2:$B$500,0)),0))</f>
        <v/>
      </c>
      <c r="F4217" s="107" t="str">
        <f aca="false">IF($C4217="","",$D4217*$E4217)</f>
        <v/>
      </c>
      <c r="G4217" s="107" t="str">
        <f aca="false">IF($C4217="","",$D4217*IFERROR(INDEX('تحليل التكلفة والسعر'!$C$2:$C$700,MATCH($C4217,'تحليل التكلفة والسعر'!$B$2:$B$700,0)),0))</f>
        <v/>
      </c>
    </row>
    <row r="4218" customFormat="false" ht="15" hidden="false" customHeight="false" outlineLevel="0" collapsed="false">
      <c r="A4218" s="103"/>
      <c r="B4218" s="104"/>
      <c r="C4218" s="104"/>
      <c r="E4218" s="107" t="str">
        <f aca="false">IF($C4218="","",IFERROR(INDEX(المنيو!$C$2:$C$500,MATCH($C4218,المنيو!$B$2:$B$500,0)),0))</f>
        <v/>
      </c>
      <c r="F4218" s="107" t="str">
        <f aca="false">IF($C4218="","",$D4218*$E4218)</f>
        <v/>
      </c>
      <c r="G4218" s="107" t="str">
        <f aca="false">IF($C4218="","",$D4218*IFERROR(INDEX('تحليل التكلفة والسعر'!$C$2:$C$700,MATCH($C4218,'تحليل التكلفة والسعر'!$B$2:$B$700,0)),0))</f>
        <v/>
      </c>
    </row>
    <row r="4219" customFormat="false" ht="15" hidden="false" customHeight="false" outlineLevel="0" collapsed="false">
      <c r="A4219" s="103"/>
      <c r="B4219" s="104"/>
      <c r="C4219" s="104"/>
      <c r="E4219" s="107" t="str">
        <f aca="false">IF($C4219="","",IFERROR(INDEX(المنيو!$C$2:$C$500,MATCH($C4219,المنيو!$B$2:$B$500,0)),0))</f>
        <v/>
      </c>
      <c r="F4219" s="107" t="str">
        <f aca="false">IF($C4219="","",$D4219*$E4219)</f>
        <v/>
      </c>
      <c r="G4219" s="107" t="str">
        <f aca="false">IF($C4219="","",$D4219*IFERROR(INDEX('تحليل التكلفة والسعر'!$C$2:$C$700,MATCH($C4219,'تحليل التكلفة والسعر'!$B$2:$B$700,0)),0))</f>
        <v/>
      </c>
    </row>
    <row r="4220" customFormat="false" ht="15" hidden="false" customHeight="false" outlineLevel="0" collapsed="false">
      <c r="A4220" s="103"/>
      <c r="B4220" s="104"/>
      <c r="C4220" s="104"/>
      <c r="E4220" s="107" t="str">
        <f aca="false">IF($C4220="","",IFERROR(INDEX(المنيو!$C$2:$C$500,MATCH($C4220,المنيو!$B$2:$B$500,0)),0))</f>
        <v/>
      </c>
      <c r="F4220" s="107" t="str">
        <f aca="false">IF($C4220="","",$D4220*$E4220)</f>
        <v/>
      </c>
      <c r="G4220" s="107" t="str">
        <f aca="false">IF($C4220="","",$D4220*IFERROR(INDEX('تحليل التكلفة والسعر'!$C$2:$C$700,MATCH($C4220,'تحليل التكلفة والسعر'!$B$2:$B$700,0)),0))</f>
        <v/>
      </c>
    </row>
    <row r="4221" customFormat="false" ht="15" hidden="false" customHeight="false" outlineLevel="0" collapsed="false">
      <c r="A4221" s="103"/>
      <c r="B4221" s="104"/>
      <c r="C4221" s="104"/>
      <c r="E4221" s="107" t="str">
        <f aca="false">IF($C4221="","",IFERROR(INDEX(المنيو!$C$2:$C$500,MATCH($C4221,المنيو!$B$2:$B$500,0)),0))</f>
        <v/>
      </c>
      <c r="F4221" s="107" t="str">
        <f aca="false">IF($C4221="","",$D4221*$E4221)</f>
        <v/>
      </c>
      <c r="G4221" s="107" t="str">
        <f aca="false">IF($C4221="","",$D4221*IFERROR(INDEX('تحليل التكلفة والسعر'!$C$2:$C$700,MATCH($C4221,'تحليل التكلفة والسعر'!$B$2:$B$700,0)),0))</f>
        <v/>
      </c>
    </row>
    <row r="4222" customFormat="false" ht="15" hidden="false" customHeight="false" outlineLevel="0" collapsed="false">
      <c r="A4222" s="103"/>
      <c r="B4222" s="104"/>
      <c r="C4222" s="104"/>
      <c r="E4222" s="107" t="str">
        <f aca="false">IF($C4222="","",IFERROR(INDEX(المنيو!$C$2:$C$500,MATCH($C4222,المنيو!$B$2:$B$500,0)),0))</f>
        <v/>
      </c>
      <c r="F4222" s="107" t="str">
        <f aca="false">IF($C4222="","",$D4222*$E4222)</f>
        <v/>
      </c>
      <c r="G4222" s="107" t="str">
        <f aca="false">IF($C4222="","",$D4222*IFERROR(INDEX('تحليل التكلفة والسعر'!$C$2:$C$700,MATCH($C4222,'تحليل التكلفة والسعر'!$B$2:$B$700,0)),0))</f>
        <v/>
      </c>
    </row>
    <row r="4223" customFormat="false" ht="15" hidden="false" customHeight="false" outlineLevel="0" collapsed="false">
      <c r="A4223" s="103"/>
      <c r="B4223" s="104"/>
      <c r="C4223" s="104"/>
      <c r="E4223" s="107" t="str">
        <f aca="false">IF($C4223="","",IFERROR(INDEX(المنيو!$C$2:$C$500,MATCH($C4223,المنيو!$B$2:$B$500,0)),0))</f>
        <v/>
      </c>
      <c r="F4223" s="107" t="str">
        <f aca="false">IF($C4223="","",$D4223*$E4223)</f>
        <v/>
      </c>
      <c r="G4223" s="107" t="str">
        <f aca="false">IF($C4223="","",$D4223*IFERROR(INDEX('تحليل التكلفة والسعر'!$C$2:$C$700,MATCH($C4223,'تحليل التكلفة والسعر'!$B$2:$B$700,0)),0))</f>
        <v/>
      </c>
    </row>
    <row r="4224" customFormat="false" ht="15" hidden="false" customHeight="false" outlineLevel="0" collapsed="false">
      <c r="A4224" s="103"/>
      <c r="B4224" s="104"/>
      <c r="C4224" s="104"/>
      <c r="E4224" s="107" t="str">
        <f aca="false">IF($C4224="","",IFERROR(INDEX(المنيو!$C$2:$C$500,MATCH($C4224,المنيو!$B$2:$B$500,0)),0))</f>
        <v/>
      </c>
      <c r="F4224" s="107" t="str">
        <f aca="false">IF($C4224="","",$D4224*$E4224)</f>
        <v/>
      </c>
      <c r="G4224" s="107" t="str">
        <f aca="false">IF($C4224="","",$D4224*IFERROR(INDEX('تحليل التكلفة والسعر'!$C$2:$C$700,MATCH($C4224,'تحليل التكلفة والسعر'!$B$2:$B$700,0)),0))</f>
        <v/>
      </c>
    </row>
    <row r="4225" customFormat="false" ht="15" hidden="false" customHeight="false" outlineLevel="0" collapsed="false">
      <c r="A4225" s="103"/>
      <c r="B4225" s="104"/>
      <c r="C4225" s="104"/>
      <c r="E4225" s="107" t="str">
        <f aca="false">IF($C4225="","",IFERROR(INDEX(المنيو!$C$2:$C$500,MATCH($C4225,المنيو!$B$2:$B$500,0)),0))</f>
        <v/>
      </c>
      <c r="F4225" s="107" t="str">
        <f aca="false">IF($C4225="","",$D4225*$E4225)</f>
        <v/>
      </c>
      <c r="G4225" s="107" t="str">
        <f aca="false">IF($C4225="","",$D4225*IFERROR(INDEX('تحليل التكلفة والسعر'!$C$2:$C$700,MATCH($C4225,'تحليل التكلفة والسعر'!$B$2:$B$700,0)),0))</f>
        <v/>
      </c>
    </row>
    <row r="4226" customFormat="false" ht="15" hidden="false" customHeight="false" outlineLevel="0" collapsed="false">
      <c r="A4226" s="103"/>
      <c r="B4226" s="104"/>
      <c r="C4226" s="104"/>
      <c r="E4226" s="107" t="str">
        <f aca="false">IF($C4226="","",IFERROR(INDEX(المنيو!$C$2:$C$500,MATCH($C4226,المنيو!$B$2:$B$500,0)),0))</f>
        <v/>
      </c>
      <c r="F4226" s="107" t="str">
        <f aca="false">IF($C4226="","",$D4226*$E4226)</f>
        <v/>
      </c>
      <c r="G4226" s="107" t="str">
        <f aca="false">IF($C4226="","",$D4226*IFERROR(INDEX('تحليل التكلفة والسعر'!$C$2:$C$700,MATCH($C4226,'تحليل التكلفة والسعر'!$B$2:$B$700,0)),0))</f>
        <v/>
      </c>
    </row>
    <row r="4227" customFormat="false" ht="15" hidden="false" customHeight="false" outlineLevel="0" collapsed="false">
      <c r="A4227" s="103"/>
      <c r="B4227" s="104"/>
      <c r="C4227" s="104"/>
      <c r="E4227" s="107" t="str">
        <f aca="false">IF($C4227="","",IFERROR(INDEX(المنيو!$C$2:$C$500,MATCH($C4227,المنيو!$B$2:$B$500,0)),0))</f>
        <v/>
      </c>
      <c r="F4227" s="107" t="str">
        <f aca="false">IF($C4227="","",$D4227*$E4227)</f>
        <v/>
      </c>
      <c r="G4227" s="107" t="str">
        <f aca="false">IF($C4227="","",$D4227*IFERROR(INDEX('تحليل التكلفة والسعر'!$C$2:$C$700,MATCH($C4227,'تحليل التكلفة والسعر'!$B$2:$B$700,0)),0))</f>
        <v/>
      </c>
    </row>
    <row r="4228" customFormat="false" ht="15" hidden="false" customHeight="false" outlineLevel="0" collapsed="false">
      <c r="A4228" s="103"/>
      <c r="B4228" s="104"/>
      <c r="C4228" s="104"/>
      <c r="E4228" s="107" t="str">
        <f aca="false">IF($C4228="","",IFERROR(INDEX(المنيو!$C$2:$C$500,MATCH($C4228,المنيو!$B$2:$B$500,0)),0))</f>
        <v/>
      </c>
      <c r="F4228" s="107" t="str">
        <f aca="false">IF($C4228="","",$D4228*$E4228)</f>
        <v/>
      </c>
      <c r="G4228" s="107" t="str">
        <f aca="false">IF($C4228="","",$D4228*IFERROR(INDEX('تحليل التكلفة والسعر'!$C$2:$C$700,MATCH($C4228,'تحليل التكلفة والسعر'!$B$2:$B$700,0)),0))</f>
        <v/>
      </c>
    </row>
    <row r="4229" customFormat="false" ht="15" hidden="false" customHeight="false" outlineLevel="0" collapsed="false">
      <c r="A4229" s="103"/>
      <c r="B4229" s="104"/>
      <c r="C4229" s="104"/>
      <c r="E4229" s="107" t="str">
        <f aca="false">IF($C4229="","",IFERROR(INDEX(المنيو!$C$2:$C$500,MATCH($C4229,المنيو!$B$2:$B$500,0)),0))</f>
        <v/>
      </c>
      <c r="F4229" s="107" t="str">
        <f aca="false">IF($C4229="","",$D4229*$E4229)</f>
        <v/>
      </c>
      <c r="G4229" s="107" t="str">
        <f aca="false">IF($C4229="","",$D4229*IFERROR(INDEX('تحليل التكلفة والسعر'!$C$2:$C$700,MATCH($C4229,'تحليل التكلفة والسعر'!$B$2:$B$700,0)),0))</f>
        <v/>
      </c>
    </row>
    <row r="4230" customFormat="false" ht="15" hidden="false" customHeight="false" outlineLevel="0" collapsed="false">
      <c r="A4230" s="103"/>
      <c r="B4230" s="104"/>
      <c r="C4230" s="104"/>
      <c r="E4230" s="107" t="str">
        <f aca="false">IF($C4230="","",IFERROR(INDEX(المنيو!$C$2:$C$500,MATCH($C4230,المنيو!$B$2:$B$500,0)),0))</f>
        <v/>
      </c>
      <c r="F4230" s="107" t="str">
        <f aca="false">IF($C4230="","",$D4230*$E4230)</f>
        <v/>
      </c>
      <c r="G4230" s="107" t="str">
        <f aca="false">IF($C4230="","",$D4230*IFERROR(INDEX('تحليل التكلفة والسعر'!$C$2:$C$700,MATCH($C4230,'تحليل التكلفة والسعر'!$B$2:$B$700,0)),0))</f>
        <v/>
      </c>
    </row>
    <row r="4231" customFormat="false" ht="15" hidden="false" customHeight="false" outlineLevel="0" collapsed="false">
      <c r="A4231" s="103"/>
      <c r="B4231" s="104"/>
      <c r="C4231" s="104"/>
      <c r="E4231" s="107" t="str">
        <f aca="false">IF($C4231="","",IFERROR(INDEX(المنيو!$C$2:$C$500,MATCH($C4231,المنيو!$B$2:$B$500,0)),0))</f>
        <v/>
      </c>
      <c r="F4231" s="107" t="str">
        <f aca="false">IF($C4231="","",$D4231*$E4231)</f>
        <v/>
      </c>
      <c r="G4231" s="107" t="str">
        <f aca="false">IF($C4231="","",$D4231*IFERROR(INDEX('تحليل التكلفة والسعر'!$C$2:$C$700,MATCH($C4231,'تحليل التكلفة والسعر'!$B$2:$B$700,0)),0))</f>
        <v/>
      </c>
    </row>
    <row r="4232" customFormat="false" ht="15" hidden="false" customHeight="false" outlineLevel="0" collapsed="false">
      <c r="A4232" s="103"/>
      <c r="B4232" s="104"/>
      <c r="C4232" s="104"/>
      <c r="E4232" s="107" t="str">
        <f aca="false">IF($C4232="","",IFERROR(INDEX(المنيو!$C$2:$C$500,MATCH($C4232,المنيو!$B$2:$B$500,0)),0))</f>
        <v/>
      </c>
      <c r="F4232" s="107" t="str">
        <f aca="false">IF($C4232="","",$D4232*$E4232)</f>
        <v/>
      </c>
      <c r="G4232" s="107" t="str">
        <f aca="false">IF($C4232="","",$D4232*IFERROR(INDEX('تحليل التكلفة والسعر'!$C$2:$C$700,MATCH($C4232,'تحليل التكلفة والسعر'!$B$2:$B$700,0)),0))</f>
        <v/>
      </c>
    </row>
    <row r="4233" customFormat="false" ht="15" hidden="false" customHeight="false" outlineLevel="0" collapsed="false">
      <c r="A4233" s="103"/>
      <c r="B4233" s="104"/>
      <c r="C4233" s="104"/>
      <c r="E4233" s="107" t="str">
        <f aca="false">IF($C4233="","",IFERROR(INDEX(المنيو!$C$2:$C$500,MATCH($C4233,المنيو!$B$2:$B$500,0)),0))</f>
        <v/>
      </c>
      <c r="F4233" s="107" t="str">
        <f aca="false">IF($C4233="","",$D4233*$E4233)</f>
        <v/>
      </c>
      <c r="G4233" s="107" t="str">
        <f aca="false">IF($C4233="","",$D4233*IFERROR(INDEX('تحليل التكلفة والسعر'!$C$2:$C$700,MATCH($C4233,'تحليل التكلفة والسعر'!$B$2:$B$700,0)),0))</f>
        <v/>
      </c>
    </row>
    <row r="4234" customFormat="false" ht="15" hidden="false" customHeight="false" outlineLevel="0" collapsed="false">
      <c r="A4234" s="103"/>
      <c r="B4234" s="104"/>
      <c r="C4234" s="104"/>
      <c r="E4234" s="107" t="str">
        <f aca="false">IF($C4234="","",IFERROR(INDEX(المنيو!$C$2:$C$500,MATCH($C4234,المنيو!$B$2:$B$500,0)),0))</f>
        <v/>
      </c>
      <c r="F4234" s="107" t="str">
        <f aca="false">IF($C4234="","",$D4234*$E4234)</f>
        <v/>
      </c>
      <c r="G4234" s="107" t="str">
        <f aca="false">IF($C4234="","",$D4234*IFERROR(INDEX('تحليل التكلفة والسعر'!$C$2:$C$700,MATCH($C4234,'تحليل التكلفة والسعر'!$B$2:$B$700,0)),0))</f>
        <v/>
      </c>
    </row>
    <row r="4235" customFormat="false" ht="15" hidden="false" customHeight="false" outlineLevel="0" collapsed="false">
      <c r="A4235" s="103"/>
      <c r="B4235" s="104"/>
      <c r="C4235" s="104"/>
      <c r="E4235" s="107" t="str">
        <f aca="false">IF($C4235="","",IFERROR(INDEX(المنيو!$C$2:$C$500,MATCH($C4235,المنيو!$B$2:$B$500,0)),0))</f>
        <v/>
      </c>
      <c r="F4235" s="107" t="str">
        <f aca="false">IF($C4235="","",$D4235*$E4235)</f>
        <v/>
      </c>
      <c r="G4235" s="107" t="str">
        <f aca="false">IF($C4235="","",$D4235*IFERROR(INDEX('تحليل التكلفة والسعر'!$C$2:$C$700,MATCH($C4235,'تحليل التكلفة والسعر'!$B$2:$B$700,0)),0))</f>
        <v/>
      </c>
    </row>
    <row r="4236" customFormat="false" ht="15" hidden="false" customHeight="false" outlineLevel="0" collapsed="false">
      <c r="A4236" s="103"/>
      <c r="B4236" s="104"/>
      <c r="C4236" s="104"/>
      <c r="E4236" s="107" t="str">
        <f aca="false">IF($C4236="","",IFERROR(INDEX(المنيو!$C$2:$C$500,MATCH($C4236,المنيو!$B$2:$B$500,0)),0))</f>
        <v/>
      </c>
      <c r="F4236" s="107" t="str">
        <f aca="false">IF($C4236="","",$D4236*$E4236)</f>
        <v/>
      </c>
      <c r="G4236" s="107" t="str">
        <f aca="false">IF($C4236="","",$D4236*IFERROR(INDEX('تحليل التكلفة والسعر'!$C$2:$C$700,MATCH($C4236,'تحليل التكلفة والسعر'!$B$2:$B$700,0)),0))</f>
        <v/>
      </c>
    </row>
    <row r="4237" customFormat="false" ht="15" hidden="false" customHeight="false" outlineLevel="0" collapsed="false">
      <c r="A4237" s="103"/>
      <c r="B4237" s="104"/>
      <c r="C4237" s="104"/>
      <c r="E4237" s="107" t="str">
        <f aca="false">IF($C4237="","",IFERROR(INDEX(المنيو!$C$2:$C$500,MATCH($C4237,المنيو!$B$2:$B$500,0)),0))</f>
        <v/>
      </c>
      <c r="F4237" s="107" t="str">
        <f aca="false">IF($C4237="","",$D4237*$E4237)</f>
        <v/>
      </c>
      <c r="G4237" s="107" t="str">
        <f aca="false">IF($C4237="","",$D4237*IFERROR(INDEX('تحليل التكلفة والسعر'!$C$2:$C$700,MATCH($C4237,'تحليل التكلفة والسعر'!$B$2:$B$700,0)),0))</f>
        <v/>
      </c>
    </row>
    <row r="4238" customFormat="false" ht="15" hidden="false" customHeight="false" outlineLevel="0" collapsed="false">
      <c r="A4238" s="103"/>
      <c r="B4238" s="104"/>
      <c r="C4238" s="104"/>
      <c r="E4238" s="107" t="str">
        <f aca="false">IF($C4238="","",IFERROR(INDEX(المنيو!$C$2:$C$500,MATCH($C4238,المنيو!$B$2:$B$500,0)),0))</f>
        <v/>
      </c>
      <c r="F4238" s="107" t="str">
        <f aca="false">IF($C4238="","",$D4238*$E4238)</f>
        <v/>
      </c>
      <c r="G4238" s="107" t="str">
        <f aca="false">IF($C4238="","",$D4238*IFERROR(INDEX('تحليل التكلفة والسعر'!$C$2:$C$700,MATCH($C4238,'تحليل التكلفة والسعر'!$B$2:$B$700,0)),0))</f>
        <v/>
      </c>
    </row>
    <row r="4239" customFormat="false" ht="15" hidden="false" customHeight="false" outlineLevel="0" collapsed="false">
      <c r="A4239" s="103"/>
      <c r="B4239" s="104"/>
      <c r="C4239" s="104"/>
      <c r="E4239" s="107" t="str">
        <f aca="false">IF($C4239="","",IFERROR(INDEX(المنيو!$C$2:$C$500,MATCH($C4239,المنيو!$B$2:$B$500,0)),0))</f>
        <v/>
      </c>
      <c r="F4239" s="107" t="str">
        <f aca="false">IF($C4239="","",$D4239*$E4239)</f>
        <v/>
      </c>
      <c r="G4239" s="107" t="str">
        <f aca="false">IF($C4239="","",$D4239*IFERROR(INDEX('تحليل التكلفة والسعر'!$C$2:$C$700,MATCH($C4239,'تحليل التكلفة والسعر'!$B$2:$B$700,0)),0))</f>
        <v/>
      </c>
    </row>
    <row r="4240" customFormat="false" ht="15" hidden="false" customHeight="false" outlineLevel="0" collapsed="false">
      <c r="A4240" s="103"/>
      <c r="B4240" s="104"/>
      <c r="C4240" s="104"/>
      <c r="E4240" s="107" t="str">
        <f aca="false">IF($C4240="","",IFERROR(INDEX(المنيو!$C$2:$C$500,MATCH($C4240,المنيو!$B$2:$B$500,0)),0))</f>
        <v/>
      </c>
      <c r="F4240" s="107" t="str">
        <f aca="false">IF($C4240="","",$D4240*$E4240)</f>
        <v/>
      </c>
      <c r="G4240" s="107" t="str">
        <f aca="false">IF($C4240="","",$D4240*IFERROR(INDEX('تحليل التكلفة والسعر'!$C$2:$C$700,MATCH($C4240,'تحليل التكلفة والسعر'!$B$2:$B$700,0)),0))</f>
        <v/>
      </c>
    </row>
    <row r="4241" customFormat="false" ht="15" hidden="false" customHeight="false" outlineLevel="0" collapsed="false">
      <c r="A4241" s="103"/>
      <c r="B4241" s="104"/>
      <c r="C4241" s="104"/>
      <c r="E4241" s="107" t="str">
        <f aca="false">IF($C4241="","",IFERROR(INDEX(المنيو!$C$2:$C$500,MATCH($C4241,المنيو!$B$2:$B$500,0)),0))</f>
        <v/>
      </c>
      <c r="F4241" s="107" t="str">
        <f aca="false">IF($C4241="","",$D4241*$E4241)</f>
        <v/>
      </c>
      <c r="G4241" s="107" t="str">
        <f aca="false">IF($C4241="","",$D4241*IFERROR(INDEX('تحليل التكلفة والسعر'!$C$2:$C$700,MATCH($C4241,'تحليل التكلفة والسعر'!$B$2:$B$700,0)),0))</f>
        <v/>
      </c>
    </row>
    <row r="4242" customFormat="false" ht="15" hidden="false" customHeight="false" outlineLevel="0" collapsed="false">
      <c r="A4242" s="103"/>
      <c r="B4242" s="104"/>
      <c r="C4242" s="104"/>
      <c r="E4242" s="107" t="str">
        <f aca="false">IF($C4242="","",IFERROR(INDEX(المنيو!$C$2:$C$500,MATCH($C4242,المنيو!$B$2:$B$500,0)),0))</f>
        <v/>
      </c>
      <c r="F4242" s="107" t="str">
        <f aca="false">IF($C4242="","",$D4242*$E4242)</f>
        <v/>
      </c>
      <c r="G4242" s="107" t="str">
        <f aca="false">IF($C4242="","",$D4242*IFERROR(INDEX('تحليل التكلفة والسعر'!$C$2:$C$700,MATCH($C4242,'تحليل التكلفة والسعر'!$B$2:$B$700,0)),0))</f>
        <v/>
      </c>
    </row>
    <row r="4243" customFormat="false" ht="15" hidden="false" customHeight="false" outlineLevel="0" collapsed="false">
      <c r="A4243" s="103"/>
      <c r="B4243" s="104"/>
      <c r="C4243" s="104"/>
      <c r="E4243" s="107" t="str">
        <f aca="false">IF($C4243="","",IFERROR(INDEX(المنيو!$C$2:$C$500,MATCH($C4243,المنيو!$B$2:$B$500,0)),0))</f>
        <v/>
      </c>
      <c r="F4243" s="107" t="str">
        <f aca="false">IF($C4243="","",$D4243*$E4243)</f>
        <v/>
      </c>
      <c r="G4243" s="107" t="str">
        <f aca="false">IF($C4243="","",$D4243*IFERROR(INDEX('تحليل التكلفة والسعر'!$C$2:$C$700,MATCH($C4243,'تحليل التكلفة والسعر'!$B$2:$B$700,0)),0))</f>
        <v/>
      </c>
    </row>
    <row r="4244" customFormat="false" ht="15" hidden="false" customHeight="false" outlineLevel="0" collapsed="false">
      <c r="A4244" s="103"/>
      <c r="B4244" s="104"/>
      <c r="C4244" s="104"/>
      <c r="E4244" s="107" t="str">
        <f aca="false">IF($C4244="","",IFERROR(INDEX(المنيو!$C$2:$C$500,MATCH($C4244,المنيو!$B$2:$B$500,0)),0))</f>
        <v/>
      </c>
      <c r="F4244" s="107" t="str">
        <f aca="false">IF($C4244="","",$D4244*$E4244)</f>
        <v/>
      </c>
      <c r="G4244" s="107" t="str">
        <f aca="false">IF($C4244="","",$D4244*IFERROR(INDEX('تحليل التكلفة والسعر'!$C$2:$C$700,MATCH($C4244,'تحليل التكلفة والسعر'!$B$2:$B$700,0)),0))</f>
        <v/>
      </c>
    </row>
    <row r="4245" customFormat="false" ht="15" hidden="false" customHeight="false" outlineLevel="0" collapsed="false">
      <c r="A4245" s="103"/>
      <c r="B4245" s="104"/>
      <c r="C4245" s="104"/>
      <c r="E4245" s="107" t="str">
        <f aca="false">IF($C4245="","",IFERROR(INDEX(المنيو!$C$2:$C$500,MATCH($C4245,المنيو!$B$2:$B$500,0)),0))</f>
        <v/>
      </c>
      <c r="F4245" s="107" t="str">
        <f aca="false">IF($C4245="","",$D4245*$E4245)</f>
        <v/>
      </c>
      <c r="G4245" s="107" t="str">
        <f aca="false">IF($C4245="","",$D4245*IFERROR(INDEX('تحليل التكلفة والسعر'!$C$2:$C$700,MATCH($C4245,'تحليل التكلفة والسعر'!$B$2:$B$700,0)),0))</f>
        <v/>
      </c>
    </row>
    <row r="4246" customFormat="false" ht="15" hidden="false" customHeight="false" outlineLevel="0" collapsed="false">
      <c r="A4246" s="103"/>
      <c r="B4246" s="104"/>
      <c r="C4246" s="104"/>
      <c r="E4246" s="107" t="str">
        <f aca="false">IF($C4246="","",IFERROR(INDEX(المنيو!$C$2:$C$500,MATCH($C4246,المنيو!$B$2:$B$500,0)),0))</f>
        <v/>
      </c>
      <c r="F4246" s="107" t="str">
        <f aca="false">IF($C4246="","",$D4246*$E4246)</f>
        <v/>
      </c>
      <c r="G4246" s="107" t="str">
        <f aca="false">IF($C4246="","",$D4246*IFERROR(INDEX('تحليل التكلفة والسعر'!$C$2:$C$700,MATCH($C4246,'تحليل التكلفة والسعر'!$B$2:$B$700,0)),0))</f>
        <v/>
      </c>
    </row>
    <row r="4247" customFormat="false" ht="15" hidden="false" customHeight="false" outlineLevel="0" collapsed="false">
      <c r="A4247" s="103"/>
      <c r="B4247" s="104"/>
      <c r="C4247" s="104"/>
      <c r="E4247" s="107" t="str">
        <f aca="false">IF($C4247="","",IFERROR(INDEX(المنيو!$C$2:$C$500,MATCH($C4247,المنيو!$B$2:$B$500,0)),0))</f>
        <v/>
      </c>
      <c r="F4247" s="107" t="str">
        <f aca="false">IF($C4247="","",$D4247*$E4247)</f>
        <v/>
      </c>
      <c r="G4247" s="107" t="str">
        <f aca="false">IF($C4247="","",$D4247*IFERROR(INDEX('تحليل التكلفة والسعر'!$C$2:$C$700,MATCH($C4247,'تحليل التكلفة والسعر'!$B$2:$B$700,0)),0))</f>
        <v/>
      </c>
    </row>
    <row r="4248" customFormat="false" ht="15" hidden="false" customHeight="false" outlineLevel="0" collapsed="false">
      <c r="A4248" s="103"/>
      <c r="B4248" s="104"/>
      <c r="C4248" s="104"/>
      <c r="E4248" s="107" t="str">
        <f aca="false">IF($C4248="","",IFERROR(INDEX(المنيو!$C$2:$C$500,MATCH($C4248,المنيو!$B$2:$B$500,0)),0))</f>
        <v/>
      </c>
      <c r="F4248" s="107" t="str">
        <f aca="false">IF($C4248="","",$D4248*$E4248)</f>
        <v/>
      </c>
      <c r="G4248" s="107" t="str">
        <f aca="false">IF($C4248="","",$D4248*IFERROR(INDEX('تحليل التكلفة والسعر'!$C$2:$C$700,MATCH($C4248,'تحليل التكلفة والسعر'!$B$2:$B$700,0)),0))</f>
        <v/>
      </c>
    </row>
    <row r="4249" customFormat="false" ht="15" hidden="false" customHeight="false" outlineLevel="0" collapsed="false">
      <c r="A4249" s="103"/>
      <c r="B4249" s="104"/>
      <c r="C4249" s="104"/>
      <c r="E4249" s="107" t="str">
        <f aca="false">IF($C4249="","",IFERROR(INDEX(المنيو!$C$2:$C$500,MATCH($C4249,المنيو!$B$2:$B$500,0)),0))</f>
        <v/>
      </c>
      <c r="F4249" s="107" t="str">
        <f aca="false">IF($C4249="","",$D4249*$E4249)</f>
        <v/>
      </c>
      <c r="G4249" s="107" t="str">
        <f aca="false">IF($C4249="","",$D4249*IFERROR(INDEX('تحليل التكلفة والسعر'!$C$2:$C$700,MATCH($C4249,'تحليل التكلفة والسعر'!$B$2:$B$700,0)),0))</f>
        <v/>
      </c>
    </row>
    <row r="4250" customFormat="false" ht="15" hidden="false" customHeight="false" outlineLevel="0" collapsed="false">
      <c r="A4250" s="103"/>
      <c r="B4250" s="104"/>
      <c r="C4250" s="104"/>
      <c r="E4250" s="107" t="str">
        <f aca="false">IF($C4250="","",IFERROR(INDEX(المنيو!$C$2:$C$500,MATCH($C4250,المنيو!$B$2:$B$500,0)),0))</f>
        <v/>
      </c>
      <c r="F4250" s="107" t="str">
        <f aca="false">IF($C4250="","",$D4250*$E4250)</f>
        <v/>
      </c>
      <c r="G4250" s="107" t="str">
        <f aca="false">IF($C4250="","",$D4250*IFERROR(INDEX('تحليل التكلفة والسعر'!$C$2:$C$700,MATCH($C4250,'تحليل التكلفة والسعر'!$B$2:$B$700,0)),0))</f>
        <v/>
      </c>
    </row>
    <row r="4251" customFormat="false" ht="15" hidden="false" customHeight="false" outlineLevel="0" collapsed="false">
      <c r="A4251" s="103"/>
      <c r="B4251" s="104"/>
      <c r="C4251" s="104"/>
      <c r="E4251" s="107" t="str">
        <f aca="false">IF($C4251="","",IFERROR(INDEX(المنيو!$C$2:$C$500,MATCH($C4251,المنيو!$B$2:$B$500,0)),0))</f>
        <v/>
      </c>
      <c r="F4251" s="107" t="str">
        <f aca="false">IF($C4251="","",$D4251*$E4251)</f>
        <v/>
      </c>
      <c r="G4251" s="107" t="str">
        <f aca="false">IF($C4251="","",$D4251*IFERROR(INDEX('تحليل التكلفة والسعر'!$C$2:$C$700,MATCH($C4251,'تحليل التكلفة والسعر'!$B$2:$B$700,0)),0))</f>
        <v/>
      </c>
    </row>
    <row r="4252" customFormat="false" ht="15" hidden="false" customHeight="false" outlineLevel="0" collapsed="false">
      <c r="A4252" s="103"/>
      <c r="B4252" s="104"/>
      <c r="C4252" s="104"/>
      <c r="E4252" s="107" t="str">
        <f aca="false">IF($C4252="","",IFERROR(INDEX(المنيو!$C$2:$C$500,MATCH($C4252,المنيو!$B$2:$B$500,0)),0))</f>
        <v/>
      </c>
      <c r="F4252" s="107" t="str">
        <f aca="false">IF($C4252="","",$D4252*$E4252)</f>
        <v/>
      </c>
      <c r="G4252" s="107" t="str">
        <f aca="false">IF($C4252="","",$D4252*IFERROR(INDEX('تحليل التكلفة والسعر'!$C$2:$C$700,MATCH($C4252,'تحليل التكلفة والسعر'!$B$2:$B$700,0)),0))</f>
        <v/>
      </c>
    </row>
    <row r="4253" customFormat="false" ht="15" hidden="false" customHeight="false" outlineLevel="0" collapsed="false">
      <c r="A4253" s="103"/>
      <c r="B4253" s="104"/>
      <c r="C4253" s="104"/>
      <c r="E4253" s="107" t="str">
        <f aca="false">IF($C4253="","",IFERROR(INDEX(المنيو!$C$2:$C$500,MATCH($C4253,المنيو!$B$2:$B$500,0)),0))</f>
        <v/>
      </c>
      <c r="F4253" s="107" t="str">
        <f aca="false">IF($C4253="","",$D4253*$E4253)</f>
        <v/>
      </c>
      <c r="G4253" s="107" t="str">
        <f aca="false">IF($C4253="","",$D4253*IFERROR(INDEX('تحليل التكلفة والسعر'!$C$2:$C$700,MATCH($C4253,'تحليل التكلفة والسعر'!$B$2:$B$700,0)),0))</f>
        <v/>
      </c>
    </row>
    <row r="4254" customFormat="false" ht="15" hidden="false" customHeight="false" outlineLevel="0" collapsed="false">
      <c r="A4254" s="103"/>
      <c r="B4254" s="104"/>
      <c r="C4254" s="104"/>
      <c r="E4254" s="107" t="str">
        <f aca="false">IF($C4254="","",IFERROR(INDEX(المنيو!$C$2:$C$500,MATCH($C4254,المنيو!$B$2:$B$500,0)),0))</f>
        <v/>
      </c>
      <c r="F4254" s="107" t="str">
        <f aca="false">IF($C4254="","",$D4254*$E4254)</f>
        <v/>
      </c>
      <c r="G4254" s="107" t="str">
        <f aca="false">IF($C4254="","",$D4254*IFERROR(INDEX('تحليل التكلفة والسعر'!$C$2:$C$700,MATCH($C4254,'تحليل التكلفة والسعر'!$B$2:$B$700,0)),0))</f>
        <v/>
      </c>
    </row>
    <row r="4255" customFormat="false" ht="15" hidden="false" customHeight="false" outlineLevel="0" collapsed="false">
      <c r="A4255" s="103"/>
      <c r="B4255" s="104"/>
      <c r="C4255" s="104"/>
      <c r="E4255" s="107" t="str">
        <f aca="false">IF($C4255="","",IFERROR(INDEX(المنيو!$C$2:$C$500,MATCH($C4255,المنيو!$B$2:$B$500,0)),0))</f>
        <v/>
      </c>
      <c r="F4255" s="107" t="str">
        <f aca="false">IF($C4255="","",$D4255*$E4255)</f>
        <v/>
      </c>
      <c r="G4255" s="107" t="str">
        <f aca="false">IF($C4255="","",$D4255*IFERROR(INDEX('تحليل التكلفة والسعر'!$C$2:$C$700,MATCH($C4255,'تحليل التكلفة والسعر'!$B$2:$B$700,0)),0))</f>
        <v/>
      </c>
    </row>
    <row r="4256" customFormat="false" ht="15" hidden="false" customHeight="false" outlineLevel="0" collapsed="false">
      <c r="A4256" s="103"/>
      <c r="B4256" s="104"/>
      <c r="C4256" s="104"/>
      <c r="E4256" s="107" t="str">
        <f aca="false">IF($C4256="","",IFERROR(INDEX(المنيو!$C$2:$C$500,MATCH($C4256,المنيو!$B$2:$B$500,0)),0))</f>
        <v/>
      </c>
      <c r="F4256" s="107" t="str">
        <f aca="false">IF($C4256="","",$D4256*$E4256)</f>
        <v/>
      </c>
      <c r="G4256" s="107" t="str">
        <f aca="false">IF($C4256="","",$D4256*IFERROR(INDEX('تحليل التكلفة والسعر'!$C$2:$C$700,MATCH($C4256,'تحليل التكلفة والسعر'!$B$2:$B$700,0)),0))</f>
        <v/>
      </c>
    </row>
    <row r="4257" customFormat="false" ht="15" hidden="false" customHeight="false" outlineLevel="0" collapsed="false">
      <c r="A4257" s="103"/>
      <c r="B4257" s="104"/>
      <c r="C4257" s="104"/>
      <c r="E4257" s="107" t="str">
        <f aca="false">IF($C4257="","",IFERROR(INDEX(المنيو!$C$2:$C$500,MATCH($C4257,المنيو!$B$2:$B$500,0)),0))</f>
        <v/>
      </c>
      <c r="F4257" s="107" t="str">
        <f aca="false">IF($C4257="","",$D4257*$E4257)</f>
        <v/>
      </c>
      <c r="G4257" s="107" t="str">
        <f aca="false">IF($C4257="","",$D4257*IFERROR(INDEX('تحليل التكلفة والسعر'!$C$2:$C$700,MATCH($C4257,'تحليل التكلفة والسعر'!$B$2:$B$700,0)),0))</f>
        <v/>
      </c>
    </row>
    <row r="4258" customFormat="false" ht="15" hidden="false" customHeight="false" outlineLevel="0" collapsed="false">
      <c r="A4258" s="103"/>
      <c r="B4258" s="104"/>
      <c r="C4258" s="104"/>
      <c r="E4258" s="107" t="str">
        <f aca="false">IF($C4258="","",IFERROR(INDEX(المنيو!$C$2:$C$500,MATCH($C4258,المنيو!$B$2:$B$500,0)),0))</f>
        <v/>
      </c>
      <c r="F4258" s="107" t="str">
        <f aca="false">IF($C4258="","",$D4258*$E4258)</f>
        <v/>
      </c>
      <c r="G4258" s="107" t="str">
        <f aca="false">IF($C4258="","",$D4258*IFERROR(INDEX('تحليل التكلفة والسعر'!$C$2:$C$700,MATCH($C4258,'تحليل التكلفة والسعر'!$B$2:$B$700,0)),0))</f>
        <v/>
      </c>
    </row>
    <row r="4259" customFormat="false" ht="15" hidden="false" customHeight="false" outlineLevel="0" collapsed="false">
      <c r="A4259" s="103"/>
      <c r="B4259" s="104"/>
      <c r="C4259" s="104"/>
      <c r="E4259" s="107" t="str">
        <f aca="false">IF($C4259="","",IFERROR(INDEX(المنيو!$C$2:$C$500,MATCH($C4259,المنيو!$B$2:$B$500,0)),0))</f>
        <v/>
      </c>
      <c r="F4259" s="107" t="str">
        <f aca="false">IF($C4259="","",$D4259*$E4259)</f>
        <v/>
      </c>
      <c r="G4259" s="107" t="str">
        <f aca="false">IF($C4259="","",$D4259*IFERROR(INDEX('تحليل التكلفة والسعر'!$C$2:$C$700,MATCH($C4259,'تحليل التكلفة والسعر'!$B$2:$B$700,0)),0))</f>
        <v/>
      </c>
    </row>
    <row r="4260" customFormat="false" ht="15" hidden="false" customHeight="false" outlineLevel="0" collapsed="false">
      <c r="A4260" s="103"/>
      <c r="B4260" s="104"/>
      <c r="C4260" s="104"/>
      <c r="E4260" s="107" t="str">
        <f aca="false">IF($C4260="","",IFERROR(INDEX(المنيو!$C$2:$C$500,MATCH($C4260,المنيو!$B$2:$B$500,0)),0))</f>
        <v/>
      </c>
      <c r="F4260" s="107" t="str">
        <f aca="false">IF($C4260="","",$D4260*$E4260)</f>
        <v/>
      </c>
      <c r="G4260" s="107" t="str">
        <f aca="false">IF($C4260="","",$D4260*IFERROR(INDEX('تحليل التكلفة والسعر'!$C$2:$C$700,MATCH($C4260,'تحليل التكلفة والسعر'!$B$2:$B$700,0)),0))</f>
        <v/>
      </c>
    </row>
    <row r="4261" customFormat="false" ht="15" hidden="false" customHeight="false" outlineLevel="0" collapsed="false">
      <c r="A4261" s="103"/>
      <c r="B4261" s="104"/>
      <c r="C4261" s="104"/>
      <c r="E4261" s="107" t="str">
        <f aca="false">IF($C4261="","",IFERROR(INDEX(المنيو!$C$2:$C$500,MATCH($C4261,المنيو!$B$2:$B$500,0)),0))</f>
        <v/>
      </c>
      <c r="F4261" s="107" t="str">
        <f aca="false">IF($C4261="","",$D4261*$E4261)</f>
        <v/>
      </c>
      <c r="G4261" s="107" t="str">
        <f aca="false">IF($C4261="","",$D4261*IFERROR(INDEX('تحليل التكلفة والسعر'!$C$2:$C$700,MATCH($C4261,'تحليل التكلفة والسعر'!$B$2:$B$700,0)),0))</f>
        <v/>
      </c>
    </row>
    <row r="4262" customFormat="false" ht="15" hidden="false" customHeight="false" outlineLevel="0" collapsed="false">
      <c r="A4262" s="103"/>
      <c r="B4262" s="104"/>
      <c r="C4262" s="104"/>
      <c r="E4262" s="107" t="str">
        <f aca="false">IF($C4262="","",IFERROR(INDEX(المنيو!$C$2:$C$500,MATCH($C4262,المنيو!$B$2:$B$500,0)),0))</f>
        <v/>
      </c>
      <c r="F4262" s="107" t="str">
        <f aca="false">IF($C4262="","",$D4262*$E4262)</f>
        <v/>
      </c>
      <c r="G4262" s="107" t="str">
        <f aca="false">IF($C4262="","",$D4262*IFERROR(INDEX('تحليل التكلفة والسعر'!$C$2:$C$700,MATCH($C4262,'تحليل التكلفة والسعر'!$B$2:$B$700,0)),0))</f>
        <v/>
      </c>
    </row>
    <row r="4263" customFormat="false" ht="15" hidden="false" customHeight="false" outlineLevel="0" collapsed="false">
      <c r="A4263" s="103"/>
      <c r="B4263" s="104"/>
      <c r="C4263" s="104"/>
      <c r="E4263" s="107" t="str">
        <f aca="false">IF($C4263="","",IFERROR(INDEX(المنيو!$C$2:$C$500,MATCH($C4263,المنيو!$B$2:$B$500,0)),0))</f>
        <v/>
      </c>
      <c r="F4263" s="107" t="str">
        <f aca="false">IF($C4263="","",$D4263*$E4263)</f>
        <v/>
      </c>
      <c r="G4263" s="107" t="str">
        <f aca="false">IF($C4263="","",$D4263*IFERROR(INDEX('تحليل التكلفة والسعر'!$C$2:$C$700,MATCH($C4263,'تحليل التكلفة والسعر'!$B$2:$B$700,0)),0))</f>
        <v/>
      </c>
    </row>
    <row r="4264" customFormat="false" ht="15" hidden="false" customHeight="false" outlineLevel="0" collapsed="false">
      <c r="A4264" s="103"/>
      <c r="B4264" s="104"/>
      <c r="C4264" s="104"/>
      <c r="E4264" s="107" t="str">
        <f aca="false">IF($C4264="","",IFERROR(INDEX(المنيو!$C$2:$C$500,MATCH($C4264,المنيو!$B$2:$B$500,0)),0))</f>
        <v/>
      </c>
      <c r="F4264" s="107" t="str">
        <f aca="false">IF($C4264="","",$D4264*$E4264)</f>
        <v/>
      </c>
      <c r="G4264" s="107" t="str">
        <f aca="false">IF($C4264="","",$D4264*IFERROR(INDEX('تحليل التكلفة والسعر'!$C$2:$C$700,MATCH($C4264,'تحليل التكلفة والسعر'!$B$2:$B$700,0)),0))</f>
        <v/>
      </c>
    </row>
    <row r="4265" customFormat="false" ht="15" hidden="false" customHeight="false" outlineLevel="0" collapsed="false">
      <c r="A4265" s="103"/>
      <c r="B4265" s="104"/>
      <c r="C4265" s="104"/>
      <c r="E4265" s="107" t="str">
        <f aca="false">IF($C4265="","",IFERROR(INDEX(المنيو!$C$2:$C$500,MATCH($C4265,المنيو!$B$2:$B$500,0)),0))</f>
        <v/>
      </c>
      <c r="F4265" s="107" t="str">
        <f aca="false">IF($C4265="","",$D4265*$E4265)</f>
        <v/>
      </c>
      <c r="G4265" s="107" t="str">
        <f aca="false">IF($C4265="","",$D4265*IFERROR(INDEX('تحليل التكلفة والسعر'!$C$2:$C$700,MATCH($C4265,'تحليل التكلفة والسعر'!$B$2:$B$700,0)),0))</f>
        <v/>
      </c>
    </row>
    <row r="4266" customFormat="false" ht="15" hidden="false" customHeight="false" outlineLevel="0" collapsed="false">
      <c r="A4266" s="103"/>
      <c r="B4266" s="104"/>
      <c r="C4266" s="104"/>
      <c r="E4266" s="107" t="str">
        <f aca="false">IF($C4266="","",IFERROR(INDEX(المنيو!$C$2:$C$500,MATCH($C4266,المنيو!$B$2:$B$500,0)),0))</f>
        <v/>
      </c>
      <c r="F4266" s="107" t="str">
        <f aca="false">IF($C4266="","",$D4266*$E4266)</f>
        <v/>
      </c>
      <c r="G4266" s="107" t="str">
        <f aca="false">IF($C4266="","",$D4266*IFERROR(INDEX('تحليل التكلفة والسعر'!$C$2:$C$700,MATCH($C4266,'تحليل التكلفة والسعر'!$B$2:$B$700,0)),0))</f>
        <v/>
      </c>
    </row>
    <row r="4267" customFormat="false" ht="15" hidden="false" customHeight="false" outlineLevel="0" collapsed="false">
      <c r="A4267" s="103"/>
      <c r="B4267" s="104"/>
      <c r="C4267" s="104"/>
      <c r="E4267" s="107" t="str">
        <f aca="false">IF($C4267="","",IFERROR(INDEX(المنيو!$C$2:$C$500,MATCH($C4267,المنيو!$B$2:$B$500,0)),0))</f>
        <v/>
      </c>
      <c r="F4267" s="107" t="str">
        <f aca="false">IF($C4267="","",$D4267*$E4267)</f>
        <v/>
      </c>
      <c r="G4267" s="107" t="str">
        <f aca="false">IF($C4267="","",$D4267*IFERROR(INDEX('تحليل التكلفة والسعر'!$C$2:$C$700,MATCH($C4267,'تحليل التكلفة والسعر'!$B$2:$B$700,0)),0))</f>
        <v/>
      </c>
    </row>
    <row r="4268" customFormat="false" ht="15" hidden="false" customHeight="false" outlineLevel="0" collapsed="false">
      <c r="A4268" s="103"/>
      <c r="B4268" s="104"/>
      <c r="C4268" s="104"/>
      <c r="E4268" s="107" t="str">
        <f aca="false">IF($C4268="","",IFERROR(INDEX(المنيو!$C$2:$C$500,MATCH($C4268,المنيو!$B$2:$B$500,0)),0))</f>
        <v/>
      </c>
      <c r="F4268" s="107" t="str">
        <f aca="false">IF($C4268="","",$D4268*$E4268)</f>
        <v/>
      </c>
      <c r="G4268" s="107" t="str">
        <f aca="false">IF($C4268="","",$D4268*IFERROR(INDEX('تحليل التكلفة والسعر'!$C$2:$C$700,MATCH($C4268,'تحليل التكلفة والسعر'!$B$2:$B$700,0)),0))</f>
        <v/>
      </c>
    </row>
    <row r="4269" customFormat="false" ht="15" hidden="false" customHeight="false" outlineLevel="0" collapsed="false">
      <c r="A4269" s="103"/>
      <c r="B4269" s="104"/>
      <c r="C4269" s="104"/>
      <c r="E4269" s="107" t="str">
        <f aca="false">IF($C4269="","",IFERROR(INDEX(المنيو!$C$2:$C$500,MATCH($C4269,المنيو!$B$2:$B$500,0)),0))</f>
        <v/>
      </c>
      <c r="F4269" s="107" t="str">
        <f aca="false">IF($C4269="","",$D4269*$E4269)</f>
        <v/>
      </c>
      <c r="G4269" s="107" t="str">
        <f aca="false">IF($C4269="","",$D4269*IFERROR(INDEX('تحليل التكلفة والسعر'!$C$2:$C$700,MATCH($C4269,'تحليل التكلفة والسعر'!$B$2:$B$700,0)),0))</f>
        <v/>
      </c>
    </row>
    <row r="4270" customFormat="false" ht="15" hidden="false" customHeight="false" outlineLevel="0" collapsed="false">
      <c r="A4270" s="103"/>
      <c r="B4270" s="104"/>
      <c r="C4270" s="104"/>
      <c r="E4270" s="107" t="str">
        <f aca="false">IF($C4270="","",IFERROR(INDEX(المنيو!$C$2:$C$500,MATCH($C4270,المنيو!$B$2:$B$500,0)),0))</f>
        <v/>
      </c>
      <c r="F4270" s="107" t="str">
        <f aca="false">IF($C4270="","",$D4270*$E4270)</f>
        <v/>
      </c>
      <c r="G4270" s="107" t="str">
        <f aca="false">IF($C4270="","",$D4270*IFERROR(INDEX('تحليل التكلفة والسعر'!$C$2:$C$700,MATCH($C4270,'تحليل التكلفة والسعر'!$B$2:$B$700,0)),0))</f>
        <v/>
      </c>
    </row>
    <row r="4271" customFormat="false" ht="15" hidden="false" customHeight="false" outlineLevel="0" collapsed="false">
      <c r="A4271" s="103"/>
      <c r="B4271" s="104"/>
      <c r="C4271" s="104"/>
      <c r="E4271" s="107" t="str">
        <f aca="false">IF($C4271="","",IFERROR(INDEX(المنيو!$C$2:$C$500,MATCH($C4271,المنيو!$B$2:$B$500,0)),0))</f>
        <v/>
      </c>
      <c r="F4271" s="107" t="str">
        <f aca="false">IF($C4271="","",$D4271*$E4271)</f>
        <v/>
      </c>
      <c r="G4271" s="107" t="str">
        <f aca="false">IF($C4271="","",$D4271*IFERROR(INDEX('تحليل التكلفة والسعر'!$C$2:$C$700,MATCH($C4271,'تحليل التكلفة والسعر'!$B$2:$B$700,0)),0))</f>
        <v/>
      </c>
    </row>
    <row r="4272" customFormat="false" ht="15" hidden="false" customHeight="false" outlineLevel="0" collapsed="false">
      <c r="A4272" s="103"/>
      <c r="B4272" s="104"/>
      <c r="C4272" s="104"/>
      <c r="E4272" s="107" t="str">
        <f aca="false">IF($C4272="","",IFERROR(INDEX(المنيو!$C$2:$C$500,MATCH($C4272,المنيو!$B$2:$B$500,0)),0))</f>
        <v/>
      </c>
      <c r="F4272" s="107" t="str">
        <f aca="false">IF($C4272="","",$D4272*$E4272)</f>
        <v/>
      </c>
      <c r="G4272" s="107" t="str">
        <f aca="false">IF($C4272="","",$D4272*IFERROR(INDEX('تحليل التكلفة والسعر'!$C$2:$C$700,MATCH($C4272,'تحليل التكلفة والسعر'!$B$2:$B$700,0)),0))</f>
        <v/>
      </c>
    </row>
    <row r="4273" customFormat="false" ht="15" hidden="false" customHeight="false" outlineLevel="0" collapsed="false">
      <c r="A4273" s="103"/>
      <c r="B4273" s="104"/>
      <c r="C4273" s="104"/>
      <c r="E4273" s="107" t="str">
        <f aca="false">IF($C4273="","",IFERROR(INDEX(المنيو!$C$2:$C$500,MATCH($C4273,المنيو!$B$2:$B$500,0)),0))</f>
        <v/>
      </c>
      <c r="F4273" s="107" t="str">
        <f aca="false">IF($C4273="","",$D4273*$E4273)</f>
        <v/>
      </c>
      <c r="G4273" s="107" t="str">
        <f aca="false">IF($C4273="","",$D4273*IFERROR(INDEX('تحليل التكلفة والسعر'!$C$2:$C$700,MATCH($C4273,'تحليل التكلفة والسعر'!$B$2:$B$700,0)),0))</f>
        <v/>
      </c>
    </row>
    <row r="4274" customFormat="false" ht="15" hidden="false" customHeight="false" outlineLevel="0" collapsed="false">
      <c r="A4274" s="103"/>
      <c r="B4274" s="104"/>
      <c r="C4274" s="104"/>
      <c r="E4274" s="107" t="str">
        <f aca="false">IF($C4274="","",IFERROR(INDEX(المنيو!$C$2:$C$500,MATCH($C4274,المنيو!$B$2:$B$500,0)),0))</f>
        <v/>
      </c>
      <c r="F4274" s="107" t="str">
        <f aca="false">IF($C4274="","",$D4274*$E4274)</f>
        <v/>
      </c>
      <c r="G4274" s="107" t="str">
        <f aca="false">IF($C4274="","",$D4274*IFERROR(INDEX('تحليل التكلفة والسعر'!$C$2:$C$700,MATCH($C4274,'تحليل التكلفة والسعر'!$B$2:$B$700,0)),0))</f>
        <v/>
      </c>
    </row>
    <row r="4275" customFormat="false" ht="15" hidden="false" customHeight="false" outlineLevel="0" collapsed="false">
      <c r="A4275" s="103"/>
      <c r="B4275" s="104"/>
      <c r="C4275" s="104"/>
      <c r="E4275" s="107" t="str">
        <f aca="false">IF($C4275="","",IFERROR(INDEX(المنيو!$C$2:$C$500,MATCH($C4275,المنيو!$B$2:$B$500,0)),0))</f>
        <v/>
      </c>
      <c r="F4275" s="107" t="str">
        <f aca="false">IF($C4275="","",$D4275*$E4275)</f>
        <v/>
      </c>
      <c r="G4275" s="107" t="str">
        <f aca="false">IF($C4275="","",$D4275*IFERROR(INDEX('تحليل التكلفة والسعر'!$C$2:$C$700,MATCH($C4275,'تحليل التكلفة والسعر'!$B$2:$B$700,0)),0))</f>
        <v/>
      </c>
    </row>
    <row r="4276" customFormat="false" ht="15" hidden="false" customHeight="false" outlineLevel="0" collapsed="false">
      <c r="A4276" s="103"/>
      <c r="B4276" s="104"/>
      <c r="C4276" s="104"/>
      <c r="E4276" s="107" t="str">
        <f aca="false">IF($C4276="","",IFERROR(INDEX(المنيو!$C$2:$C$500,MATCH($C4276,المنيو!$B$2:$B$500,0)),0))</f>
        <v/>
      </c>
      <c r="F4276" s="107" t="str">
        <f aca="false">IF($C4276="","",$D4276*$E4276)</f>
        <v/>
      </c>
      <c r="G4276" s="107" t="str">
        <f aca="false">IF($C4276="","",$D4276*IFERROR(INDEX('تحليل التكلفة والسعر'!$C$2:$C$700,MATCH($C4276,'تحليل التكلفة والسعر'!$B$2:$B$700,0)),0))</f>
        <v/>
      </c>
    </row>
    <row r="4277" customFormat="false" ht="15" hidden="false" customHeight="false" outlineLevel="0" collapsed="false">
      <c r="A4277" s="103"/>
      <c r="B4277" s="104"/>
      <c r="C4277" s="104"/>
      <c r="E4277" s="107" t="str">
        <f aca="false">IF($C4277="","",IFERROR(INDEX(المنيو!$C$2:$C$500,MATCH($C4277,المنيو!$B$2:$B$500,0)),0))</f>
        <v/>
      </c>
      <c r="F4277" s="107" t="str">
        <f aca="false">IF($C4277="","",$D4277*$E4277)</f>
        <v/>
      </c>
      <c r="G4277" s="107" t="str">
        <f aca="false">IF($C4277="","",$D4277*IFERROR(INDEX('تحليل التكلفة والسعر'!$C$2:$C$700,MATCH($C4277,'تحليل التكلفة والسعر'!$B$2:$B$700,0)),0))</f>
        <v/>
      </c>
    </row>
    <row r="4278" customFormat="false" ht="15" hidden="false" customHeight="false" outlineLevel="0" collapsed="false">
      <c r="A4278" s="103"/>
      <c r="B4278" s="104"/>
      <c r="C4278" s="104"/>
      <c r="E4278" s="107" t="str">
        <f aca="false">IF($C4278="","",IFERROR(INDEX(المنيو!$C$2:$C$500,MATCH($C4278,المنيو!$B$2:$B$500,0)),0))</f>
        <v/>
      </c>
      <c r="F4278" s="107" t="str">
        <f aca="false">IF($C4278="","",$D4278*$E4278)</f>
        <v/>
      </c>
      <c r="G4278" s="107" t="str">
        <f aca="false">IF($C4278="","",$D4278*IFERROR(INDEX('تحليل التكلفة والسعر'!$C$2:$C$700,MATCH($C4278,'تحليل التكلفة والسعر'!$B$2:$B$700,0)),0))</f>
        <v/>
      </c>
    </row>
    <row r="4279" customFormat="false" ht="15" hidden="false" customHeight="false" outlineLevel="0" collapsed="false">
      <c r="A4279" s="103"/>
      <c r="B4279" s="104"/>
      <c r="C4279" s="104"/>
      <c r="E4279" s="107" t="str">
        <f aca="false">IF($C4279="","",IFERROR(INDEX(المنيو!$C$2:$C$500,MATCH($C4279,المنيو!$B$2:$B$500,0)),0))</f>
        <v/>
      </c>
      <c r="F4279" s="107" t="str">
        <f aca="false">IF($C4279="","",$D4279*$E4279)</f>
        <v/>
      </c>
      <c r="G4279" s="107" t="str">
        <f aca="false">IF($C4279="","",$D4279*IFERROR(INDEX('تحليل التكلفة والسعر'!$C$2:$C$700,MATCH($C4279,'تحليل التكلفة والسعر'!$B$2:$B$700,0)),0))</f>
        <v/>
      </c>
    </row>
    <row r="4280" customFormat="false" ht="15" hidden="false" customHeight="false" outlineLevel="0" collapsed="false">
      <c r="A4280" s="103"/>
      <c r="B4280" s="104"/>
      <c r="C4280" s="104"/>
      <c r="E4280" s="107" t="str">
        <f aca="false">IF($C4280="","",IFERROR(INDEX(المنيو!$C$2:$C$500,MATCH($C4280,المنيو!$B$2:$B$500,0)),0))</f>
        <v/>
      </c>
      <c r="F4280" s="107" t="str">
        <f aca="false">IF($C4280="","",$D4280*$E4280)</f>
        <v/>
      </c>
      <c r="G4280" s="107" t="str">
        <f aca="false">IF($C4280="","",$D4280*IFERROR(INDEX('تحليل التكلفة والسعر'!$C$2:$C$700,MATCH($C4280,'تحليل التكلفة والسعر'!$B$2:$B$700,0)),0))</f>
        <v/>
      </c>
    </row>
    <row r="4281" customFormat="false" ht="15" hidden="false" customHeight="false" outlineLevel="0" collapsed="false">
      <c r="A4281" s="103"/>
      <c r="B4281" s="104"/>
      <c r="C4281" s="104"/>
      <c r="E4281" s="107" t="str">
        <f aca="false">IF($C4281="","",IFERROR(INDEX(المنيو!$C$2:$C$500,MATCH($C4281,المنيو!$B$2:$B$500,0)),0))</f>
        <v/>
      </c>
      <c r="F4281" s="107" t="str">
        <f aca="false">IF($C4281="","",$D4281*$E4281)</f>
        <v/>
      </c>
      <c r="G4281" s="107" t="str">
        <f aca="false">IF($C4281="","",$D4281*IFERROR(INDEX('تحليل التكلفة والسعر'!$C$2:$C$700,MATCH($C4281,'تحليل التكلفة والسعر'!$B$2:$B$700,0)),0))</f>
        <v/>
      </c>
    </row>
    <row r="4282" customFormat="false" ht="15" hidden="false" customHeight="false" outlineLevel="0" collapsed="false">
      <c r="A4282" s="103"/>
      <c r="B4282" s="104"/>
      <c r="C4282" s="104"/>
      <c r="E4282" s="107" t="str">
        <f aca="false">IF($C4282="","",IFERROR(INDEX(المنيو!$C$2:$C$500,MATCH($C4282,المنيو!$B$2:$B$500,0)),0))</f>
        <v/>
      </c>
      <c r="F4282" s="107" t="str">
        <f aca="false">IF($C4282="","",$D4282*$E4282)</f>
        <v/>
      </c>
      <c r="G4282" s="107" t="str">
        <f aca="false">IF($C4282="","",$D4282*IFERROR(INDEX('تحليل التكلفة والسعر'!$C$2:$C$700,MATCH($C4282,'تحليل التكلفة والسعر'!$B$2:$B$700,0)),0))</f>
        <v/>
      </c>
    </row>
    <row r="4283" customFormat="false" ht="15" hidden="false" customHeight="false" outlineLevel="0" collapsed="false">
      <c r="A4283" s="103"/>
      <c r="B4283" s="104"/>
      <c r="C4283" s="104"/>
      <c r="E4283" s="107" t="str">
        <f aca="false">IF($C4283="","",IFERROR(INDEX(المنيو!$C$2:$C$500,MATCH($C4283,المنيو!$B$2:$B$500,0)),0))</f>
        <v/>
      </c>
      <c r="F4283" s="107" t="str">
        <f aca="false">IF($C4283="","",$D4283*$E4283)</f>
        <v/>
      </c>
      <c r="G4283" s="107" t="str">
        <f aca="false">IF($C4283="","",$D4283*IFERROR(INDEX('تحليل التكلفة والسعر'!$C$2:$C$700,MATCH($C4283,'تحليل التكلفة والسعر'!$B$2:$B$700,0)),0))</f>
        <v/>
      </c>
    </row>
    <row r="4284" customFormat="false" ht="15" hidden="false" customHeight="false" outlineLevel="0" collapsed="false">
      <c r="A4284" s="103"/>
      <c r="B4284" s="104"/>
      <c r="C4284" s="104"/>
      <c r="E4284" s="107" t="str">
        <f aca="false">IF($C4284="","",IFERROR(INDEX(المنيو!$C$2:$C$500,MATCH($C4284,المنيو!$B$2:$B$500,0)),0))</f>
        <v/>
      </c>
      <c r="F4284" s="107" t="str">
        <f aca="false">IF($C4284="","",$D4284*$E4284)</f>
        <v/>
      </c>
      <c r="G4284" s="107" t="str">
        <f aca="false">IF($C4284="","",$D4284*IFERROR(INDEX('تحليل التكلفة والسعر'!$C$2:$C$700,MATCH($C4284,'تحليل التكلفة والسعر'!$B$2:$B$700,0)),0))</f>
        <v/>
      </c>
    </row>
    <row r="4285" customFormat="false" ht="15" hidden="false" customHeight="false" outlineLevel="0" collapsed="false">
      <c r="A4285" s="103"/>
      <c r="B4285" s="104"/>
      <c r="C4285" s="104"/>
      <c r="E4285" s="107" t="str">
        <f aca="false">IF($C4285="","",IFERROR(INDEX(المنيو!$C$2:$C$500,MATCH($C4285,المنيو!$B$2:$B$500,0)),0))</f>
        <v/>
      </c>
      <c r="F4285" s="107" t="str">
        <f aca="false">IF($C4285="","",$D4285*$E4285)</f>
        <v/>
      </c>
      <c r="G4285" s="107" t="str">
        <f aca="false">IF($C4285="","",$D4285*IFERROR(INDEX('تحليل التكلفة والسعر'!$C$2:$C$700,MATCH($C4285,'تحليل التكلفة والسعر'!$B$2:$B$700,0)),0))</f>
        <v/>
      </c>
    </row>
    <row r="4286" customFormat="false" ht="15" hidden="false" customHeight="false" outlineLevel="0" collapsed="false">
      <c r="A4286" s="103"/>
      <c r="B4286" s="104"/>
      <c r="C4286" s="104"/>
      <c r="E4286" s="107" t="str">
        <f aca="false">IF($C4286="","",IFERROR(INDEX(المنيو!$C$2:$C$500,MATCH($C4286,المنيو!$B$2:$B$500,0)),0))</f>
        <v/>
      </c>
      <c r="F4286" s="107" t="str">
        <f aca="false">IF($C4286="","",$D4286*$E4286)</f>
        <v/>
      </c>
      <c r="G4286" s="107" t="str">
        <f aca="false">IF($C4286="","",$D4286*IFERROR(INDEX('تحليل التكلفة والسعر'!$C$2:$C$700,MATCH($C4286,'تحليل التكلفة والسعر'!$B$2:$B$700,0)),0))</f>
        <v/>
      </c>
    </row>
    <row r="4287" customFormat="false" ht="15" hidden="false" customHeight="false" outlineLevel="0" collapsed="false">
      <c r="A4287" s="103"/>
      <c r="B4287" s="104"/>
      <c r="C4287" s="104"/>
      <c r="E4287" s="107" t="str">
        <f aca="false">IF($C4287="","",IFERROR(INDEX(المنيو!$C$2:$C$500,MATCH($C4287,المنيو!$B$2:$B$500,0)),0))</f>
        <v/>
      </c>
      <c r="F4287" s="107" t="str">
        <f aca="false">IF($C4287="","",$D4287*$E4287)</f>
        <v/>
      </c>
      <c r="G4287" s="107" t="str">
        <f aca="false">IF($C4287="","",$D4287*IFERROR(INDEX('تحليل التكلفة والسعر'!$C$2:$C$700,MATCH($C4287,'تحليل التكلفة والسعر'!$B$2:$B$700,0)),0))</f>
        <v/>
      </c>
    </row>
    <row r="4288" customFormat="false" ht="15" hidden="false" customHeight="false" outlineLevel="0" collapsed="false">
      <c r="A4288" s="103"/>
      <c r="B4288" s="104"/>
      <c r="C4288" s="104"/>
      <c r="E4288" s="107" t="str">
        <f aca="false">IF($C4288="","",IFERROR(INDEX(المنيو!$C$2:$C$500,MATCH($C4288,المنيو!$B$2:$B$500,0)),0))</f>
        <v/>
      </c>
      <c r="F4288" s="107" t="str">
        <f aca="false">IF($C4288="","",$D4288*$E4288)</f>
        <v/>
      </c>
      <c r="G4288" s="107" t="str">
        <f aca="false">IF($C4288="","",$D4288*IFERROR(INDEX('تحليل التكلفة والسعر'!$C$2:$C$700,MATCH($C4288,'تحليل التكلفة والسعر'!$B$2:$B$700,0)),0))</f>
        <v/>
      </c>
    </row>
    <row r="4289" customFormat="false" ht="15" hidden="false" customHeight="false" outlineLevel="0" collapsed="false">
      <c r="A4289" s="103"/>
      <c r="B4289" s="104"/>
      <c r="C4289" s="104"/>
      <c r="E4289" s="107" t="str">
        <f aca="false">IF($C4289="","",IFERROR(INDEX(المنيو!$C$2:$C$500,MATCH($C4289,المنيو!$B$2:$B$500,0)),0))</f>
        <v/>
      </c>
      <c r="F4289" s="107" t="str">
        <f aca="false">IF($C4289="","",$D4289*$E4289)</f>
        <v/>
      </c>
      <c r="G4289" s="107" t="str">
        <f aca="false">IF($C4289="","",$D4289*IFERROR(INDEX('تحليل التكلفة والسعر'!$C$2:$C$700,MATCH($C4289,'تحليل التكلفة والسعر'!$B$2:$B$700,0)),0))</f>
        <v/>
      </c>
    </row>
    <row r="4290" customFormat="false" ht="15" hidden="false" customHeight="false" outlineLevel="0" collapsed="false">
      <c r="A4290" s="103"/>
      <c r="B4290" s="104"/>
      <c r="C4290" s="104"/>
      <c r="E4290" s="107" t="str">
        <f aca="false">IF($C4290="","",IFERROR(INDEX(المنيو!$C$2:$C$500,MATCH($C4290,المنيو!$B$2:$B$500,0)),0))</f>
        <v/>
      </c>
      <c r="F4290" s="107" t="str">
        <f aca="false">IF($C4290="","",$D4290*$E4290)</f>
        <v/>
      </c>
      <c r="G4290" s="107" t="str">
        <f aca="false">IF($C4290="","",$D4290*IFERROR(INDEX('تحليل التكلفة والسعر'!$C$2:$C$700,MATCH($C4290,'تحليل التكلفة والسعر'!$B$2:$B$700,0)),0))</f>
        <v/>
      </c>
    </row>
    <row r="4291" customFormat="false" ht="15" hidden="false" customHeight="false" outlineLevel="0" collapsed="false">
      <c r="A4291" s="103"/>
      <c r="B4291" s="104"/>
      <c r="C4291" s="104"/>
      <c r="E4291" s="107" t="str">
        <f aca="false">IF($C4291="","",IFERROR(INDEX(المنيو!$C$2:$C$500,MATCH($C4291,المنيو!$B$2:$B$500,0)),0))</f>
        <v/>
      </c>
      <c r="F4291" s="107" t="str">
        <f aca="false">IF($C4291="","",$D4291*$E4291)</f>
        <v/>
      </c>
      <c r="G4291" s="107" t="str">
        <f aca="false">IF($C4291="","",$D4291*IFERROR(INDEX('تحليل التكلفة والسعر'!$C$2:$C$700,MATCH($C4291,'تحليل التكلفة والسعر'!$B$2:$B$700,0)),0))</f>
        <v/>
      </c>
    </row>
    <row r="4292" customFormat="false" ht="15" hidden="false" customHeight="false" outlineLevel="0" collapsed="false">
      <c r="A4292" s="103"/>
      <c r="B4292" s="104"/>
      <c r="C4292" s="104"/>
      <c r="E4292" s="107" t="str">
        <f aca="false">IF($C4292="","",IFERROR(INDEX(المنيو!$C$2:$C$500,MATCH($C4292,المنيو!$B$2:$B$500,0)),0))</f>
        <v/>
      </c>
      <c r="F4292" s="107" t="str">
        <f aca="false">IF($C4292="","",$D4292*$E4292)</f>
        <v/>
      </c>
      <c r="G4292" s="107" t="str">
        <f aca="false">IF($C4292="","",$D4292*IFERROR(INDEX('تحليل التكلفة والسعر'!$C$2:$C$700,MATCH($C4292,'تحليل التكلفة والسعر'!$B$2:$B$700,0)),0))</f>
        <v/>
      </c>
    </row>
    <row r="4293" customFormat="false" ht="15" hidden="false" customHeight="false" outlineLevel="0" collapsed="false">
      <c r="A4293" s="103"/>
      <c r="B4293" s="104"/>
      <c r="C4293" s="104"/>
      <c r="E4293" s="107" t="str">
        <f aca="false">IF($C4293="","",IFERROR(INDEX(المنيو!$C$2:$C$500,MATCH($C4293,المنيو!$B$2:$B$500,0)),0))</f>
        <v/>
      </c>
      <c r="F4293" s="107" t="str">
        <f aca="false">IF($C4293="","",$D4293*$E4293)</f>
        <v/>
      </c>
      <c r="G4293" s="107" t="str">
        <f aca="false">IF($C4293="","",$D4293*IFERROR(INDEX('تحليل التكلفة والسعر'!$C$2:$C$700,MATCH($C4293,'تحليل التكلفة والسعر'!$B$2:$B$700,0)),0))</f>
        <v/>
      </c>
    </row>
    <row r="4294" customFormat="false" ht="15" hidden="false" customHeight="false" outlineLevel="0" collapsed="false">
      <c r="A4294" s="103"/>
      <c r="B4294" s="104"/>
      <c r="C4294" s="104"/>
      <c r="E4294" s="107" t="str">
        <f aca="false">IF($C4294="","",IFERROR(INDEX(المنيو!$C$2:$C$500,MATCH($C4294,المنيو!$B$2:$B$500,0)),0))</f>
        <v/>
      </c>
      <c r="F4294" s="107" t="str">
        <f aca="false">IF($C4294="","",$D4294*$E4294)</f>
        <v/>
      </c>
      <c r="G4294" s="107" t="str">
        <f aca="false">IF($C4294="","",$D4294*IFERROR(INDEX('تحليل التكلفة والسعر'!$C$2:$C$700,MATCH($C4294,'تحليل التكلفة والسعر'!$B$2:$B$700,0)),0))</f>
        <v/>
      </c>
    </row>
    <row r="4295" customFormat="false" ht="15" hidden="false" customHeight="false" outlineLevel="0" collapsed="false">
      <c r="A4295" s="103"/>
      <c r="B4295" s="104"/>
      <c r="C4295" s="104"/>
      <c r="E4295" s="107" t="str">
        <f aca="false">IF($C4295="","",IFERROR(INDEX(المنيو!$C$2:$C$500,MATCH($C4295,المنيو!$B$2:$B$500,0)),0))</f>
        <v/>
      </c>
      <c r="F4295" s="107" t="str">
        <f aca="false">IF($C4295="","",$D4295*$E4295)</f>
        <v/>
      </c>
      <c r="G4295" s="107" t="str">
        <f aca="false">IF($C4295="","",$D4295*IFERROR(INDEX('تحليل التكلفة والسعر'!$C$2:$C$700,MATCH($C4295,'تحليل التكلفة والسعر'!$B$2:$B$700,0)),0))</f>
        <v/>
      </c>
    </row>
    <row r="4296" customFormat="false" ht="15" hidden="false" customHeight="false" outlineLevel="0" collapsed="false">
      <c r="A4296" s="103"/>
      <c r="B4296" s="104"/>
      <c r="C4296" s="104"/>
      <c r="E4296" s="107" t="str">
        <f aca="false">IF($C4296="","",IFERROR(INDEX(المنيو!$C$2:$C$500,MATCH($C4296,المنيو!$B$2:$B$500,0)),0))</f>
        <v/>
      </c>
      <c r="F4296" s="107" t="str">
        <f aca="false">IF($C4296="","",$D4296*$E4296)</f>
        <v/>
      </c>
      <c r="G4296" s="107" t="str">
        <f aca="false">IF($C4296="","",$D4296*IFERROR(INDEX('تحليل التكلفة والسعر'!$C$2:$C$700,MATCH($C4296,'تحليل التكلفة والسعر'!$B$2:$B$700,0)),0))</f>
        <v/>
      </c>
    </row>
    <row r="4297" customFormat="false" ht="15" hidden="false" customHeight="false" outlineLevel="0" collapsed="false">
      <c r="A4297" s="103"/>
      <c r="B4297" s="104"/>
      <c r="C4297" s="104"/>
      <c r="E4297" s="107" t="str">
        <f aca="false">IF($C4297="","",IFERROR(INDEX(المنيو!$C$2:$C$500,MATCH($C4297,المنيو!$B$2:$B$500,0)),0))</f>
        <v/>
      </c>
      <c r="F4297" s="107" t="str">
        <f aca="false">IF($C4297="","",$D4297*$E4297)</f>
        <v/>
      </c>
      <c r="G4297" s="107" t="str">
        <f aca="false">IF($C4297="","",$D4297*IFERROR(INDEX('تحليل التكلفة والسعر'!$C$2:$C$700,MATCH($C4297,'تحليل التكلفة والسعر'!$B$2:$B$700,0)),0))</f>
        <v/>
      </c>
    </row>
    <row r="4298" customFormat="false" ht="15" hidden="false" customHeight="false" outlineLevel="0" collapsed="false">
      <c r="A4298" s="103"/>
      <c r="B4298" s="104"/>
      <c r="C4298" s="104"/>
      <c r="E4298" s="107" t="str">
        <f aca="false">IF($C4298="","",IFERROR(INDEX(المنيو!$C$2:$C$500,MATCH($C4298,المنيو!$B$2:$B$500,0)),0))</f>
        <v/>
      </c>
      <c r="F4298" s="107" t="str">
        <f aca="false">IF($C4298="","",$D4298*$E4298)</f>
        <v/>
      </c>
      <c r="G4298" s="107" t="str">
        <f aca="false">IF($C4298="","",$D4298*IFERROR(INDEX('تحليل التكلفة والسعر'!$C$2:$C$700,MATCH($C4298,'تحليل التكلفة والسعر'!$B$2:$B$700,0)),0))</f>
        <v/>
      </c>
    </row>
    <row r="4299" customFormat="false" ht="15" hidden="false" customHeight="false" outlineLevel="0" collapsed="false">
      <c r="A4299" s="103"/>
      <c r="B4299" s="104"/>
      <c r="C4299" s="104"/>
      <c r="E4299" s="107" t="str">
        <f aca="false">IF($C4299="","",IFERROR(INDEX(المنيو!$C$2:$C$500,MATCH($C4299,المنيو!$B$2:$B$500,0)),0))</f>
        <v/>
      </c>
      <c r="F4299" s="107" t="str">
        <f aca="false">IF($C4299="","",$D4299*$E4299)</f>
        <v/>
      </c>
      <c r="G4299" s="107" t="str">
        <f aca="false">IF($C4299="","",$D4299*IFERROR(INDEX('تحليل التكلفة والسعر'!$C$2:$C$700,MATCH($C4299,'تحليل التكلفة والسعر'!$B$2:$B$700,0)),0))</f>
        <v/>
      </c>
    </row>
    <row r="4300" customFormat="false" ht="15" hidden="false" customHeight="false" outlineLevel="0" collapsed="false">
      <c r="A4300" s="103"/>
      <c r="B4300" s="104"/>
      <c r="C4300" s="104"/>
      <c r="E4300" s="107" t="str">
        <f aca="false">IF($C4300="","",IFERROR(INDEX(المنيو!$C$2:$C$500,MATCH($C4300,المنيو!$B$2:$B$500,0)),0))</f>
        <v/>
      </c>
      <c r="F4300" s="107" t="str">
        <f aca="false">IF($C4300="","",$D4300*$E4300)</f>
        <v/>
      </c>
      <c r="G4300" s="107" t="str">
        <f aca="false">IF($C4300="","",$D4300*IFERROR(INDEX('تحليل التكلفة والسعر'!$C$2:$C$700,MATCH($C4300,'تحليل التكلفة والسعر'!$B$2:$B$700,0)),0))</f>
        <v/>
      </c>
    </row>
    <row r="4301" customFormat="false" ht="15" hidden="false" customHeight="false" outlineLevel="0" collapsed="false">
      <c r="A4301" s="103"/>
      <c r="B4301" s="104"/>
      <c r="C4301" s="104"/>
      <c r="E4301" s="107" t="str">
        <f aca="false">IF($C4301="","",IFERROR(INDEX(المنيو!$C$2:$C$500,MATCH($C4301,المنيو!$B$2:$B$500,0)),0))</f>
        <v/>
      </c>
      <c r="F4301" s="107" t="str">
        <f aca="false">IF($C4301="","",$D4301*$E4301)</f>
        <v/>
      </c>
      <c r="G4301" s="107" t="str">
        <f aca="false">IF($C4301="","",$D4301*IFERROR(INDEX('تحليل التكلفة والسعر'!$C$2:$C$700,MATCH($C4301,'تحليل التكلفة والسعر'!$B$2:$B$700,0)),0))</f>
        <v/>
      </c>
    </row>
    <row r="4302" customFormat="false" ht="15" hidden="false" customHeight="false" outlineLevel="0" collapsed="false">
      <c r="A4302" s="103"/>
      <c r="B4302" s="104"/>
      <c r="C4302" s="104"/>
      <c r="E4302" s="107" t="str">
        <f aca="false">IF($C4302="","",IFERROR(INDEX(المنيو!$C$2:$C$500,MATCH($C4302,المنيو!$B$2:$B$500,0)),0))</f>
        <v/>
      </c>
      <c r="F4302" s="107" t="str">
        <f aca="false">IF($C4302="","",$D4302*$E4302)</f>
        <v/>
      </c>
      <c r="G4302" s="107" t="str">
        <f aca="false">IF($C4302="","",$D4302*IFERROR(INDEX('تحليل التكلفة والسعر'!$C$2:$C$700,MATCH($C4302,'تحليل التكلفة والسعر'!$B$2:$B$700,0)),0))</f>
        <v/>
      </c>
    </row>
    <row r="4303" customFormat="false" ht="15" hidden="false" customHeight="false" outlineLevel="0" collapsed="false">
      <c r="A4303" s="103"/>
      <c r="B4303" s="104"/>
      <c r="C4303" s="104"/>
      <c r="E4303" s="107" t="str">
        <f aca="false">IF($C4303="","",IFERROR(INDEX(المنيو!$C$2:$C$500,MATCH($C4303,المنيو!$B$2:$B$500,0)),0))</f>
        <v/>
      </c>
      <c r="F4303" s="107" t="str">
        <f aca="false">IF($C4303="","",$D4303*$E4303)</f>
        <v/>
      </c>
      <c r="G4303" s="107" t="str">
        <f aca="false">IF($C4303="","",$D4303*IFERROR(INDEX('تحليل التكلفة والسعر'!$C$2:$C$700,MATCH($C4303,'تحليل التكلفة والسعر'!$B$2:$B$700,0)),0))</f>
        <v/>
      </c>
    </row>
    <row r="4304" customFormat="false" ht="15" hidden="false" customHeight="false" outlineLevel="0" collapsed="false">
      <c r="A4304" s="103"/>
      <c r="B4304" s="104"/>
      <c r="C4304" s="104"/>
      <c r="E4304" s="107" t="str">
        <f aca="false">IF($C4304="","",IFERROR(INDEX(المنيو!$C$2:$C$500,MATCH($C4304,المنيو!$B$2:$B$500,0)),0))</f>
        <v/>
      </c>
      <c r="F4304" s="107" t="str">
        <f aca="false">IF($C4304="","",$D4304*$E4304)</f>
        <v/>
      </c>
      <c r="G4304" s="107" t="str">
        <f aca="false">IF($C4304="","",$D4304*IFERROR(INDEX('تحليل التكلفة والسعر'!$C$2:$C$700,MATCH($C4304,'تحليل التكلفة والسعر'!$B$2:$B$700,0)),0))</f>
        <v/>
      </c>
    </row>
    <row r="4305" customFormat="false" ht="15" hidden="false" customHeight="false" outlineLevel="0" collapsed="false">
      <c r="A4305" s="103"/>
      <c r="B4305" s="104"/>
      <c r="C4305" s="104"/>
      <c r="E4305" s="107" t="str">
        <f aca="false">IF($C4305="","",IFERROR(INDEX(المنيو!$C$2:$C$500,MATCH($C4305,المنيو!$B$2:$B$500,0)),0))</f>
        <v/>
      </c>
      <c r="F4305" s="107" t="str">
        <f aca="false">IF($C4305="","",$D4305*$E4305)</f>
        <v/>
      </c>
      <c r="G4305" s="107" t="str">
        <f aca="false">IF($C4305="","",$D4305*IFERROR(INDEX('تحليل التكلفة والسعر'!$C$2:$C$700,MATCH($C4305,'تحليل التكلفة والسعر'!$B$2:$B$700,0)),0))</f>
        <v/>
      </c>
    </row>
    <row r="4306" customFormat="false" ht="15" hidden="false" customHeight="false" outlineLevel="0" collapsed="false">
      <c r="A4306" s="103"/>
      <c r="B4306" s="104"/>
      <c r="C4306" s="104"/>
      <c r="E4306" s="107" t="str">
        <f aca="false">IF($C4306="","",IFERROR(INDEX(المنيو!$C$2:$C$500,MATCH($C4306,المنيو!$B$2:$B$500,0)),0))</f>
        <v/>
      </c>
      <c r="F4306" s="107" t="str">
        <f aca="false">IF($C4306="","",$D4306*$E4306)</f>
        <v/>
      </c>
      <c r="G4306" s="107" t="str">
        <f aca="false">IF($C4306="","",$D4306*IFERROR(INDEX('تحليل التكلفة والسعر'!$C$2:$C$700,MATCH($C4306,'تحليل التكلفة والسعر'!$B$2:$B$700,0)),0))</f>
        <v/>
      </c>
    </row>
    <row r="4307" customFormat="false" ht="15" hidden="false" customHeight="false" outlineLevel="0" collapsed="false">
      <c r="A4307" s="103"/>
      <c r="B4307" s="104"/>
      <c r="C4307" s="104"/>
      <c r="E4307" s="107" t="str">
        <f aca="false">IF($C4307="","",IFERROR(INDEX(المنيو!$C$2:$C$500,MATCH($C4307,المنيو!$B$2:$B$500,0)),0))</f>
        <v/>
      </c>
      <c r="F4307" s="107" t="str">
        <f aca="false">IF($C4307="","",$D4307*$E4307)</f>
        <v/>
      </c>
      <c r="G4307" s="107" t="str">
        <f aca="false">IF($C4307="","",$D4307*IFERROR(INDEX('تحليل التكلفة والسعر'!$C$2:$C$700,MATCH($C4307,'تحليل التكلفة والسعر'!$B$2:$B$700,0)),0))</f>
        <v/>
      </c>
    </row>
    <row r="4308" customFormat="false" ht="15" hidden="false" customHeight="false" outlineLevel="0" collapsed="false">
      <c r="A4308" s="103"/>
      <c r="B4308" s="104"/>
      <c r="C4308" s="104"/>
      <c r="E4308" s="107" t="str">
        <f aca="false">IF($C4308="","",IFERROR(INDEX(المنيو!$C$2:$C$500,MATCH($C4308,المنيو!$B$2:$B$500,0)),0))</f>
        <v/>
      </c>
      <c r="F4308" s="107" t="str">
        <f aca="false">IF($C4308="","",$D4308*$E4308)</f>
        <v/>
      </c>
      <c r="G4308" s="107" t="str">
        <f aca="false">IF($C4308="","",$D4308*IFERROR(INDEX('تحليل التكلفة والسعر'!$C$2:$C$700,MATCH($C4308,'تحليل التكلفة والسعر'!$B$2:$B$700,0)),0))</f>
        <v/>
      </c>
    </row>
    <row r="4309" customFormat="false" ht="15" hidden="false" customHeight="false" outlineLevel="0" collapsed="false">
      <c r="A4309" s="103"/>
      <c r="B4309" s="104"/>
      <c r="C4309" s="104"/>
      <c r="E4309" s="107" t="str">
        <f aca="false">IF($C4309="","",IFERROR(INDEX(المنيو!$C$2:$C$500,MATCH($C4309,المنيو!$B$2:$B$500,0)),0))</f>
        <v/>
      </c>
      <c r="F4309" s="107" t="str">
        <f aca="false">IF($C4309="","",$D4309*$E4309)</f>
        <v/>
      </c>
      <c r="G4309" s="107" t="str">
        <f aca="false">IF($C4309="","",$D4309*IFERROR(INDEX('تحليل التكلفة والسعر'!$C$2:$C$700,MATCH($C4309,'تحليل التكلفة والسعر'!$B$2:$B$700,0)),0))</f>
        <v/>
      </c>
    </row>
    <row r="4310" customFormat="false" ht="15" hidden="false" customHeight="false" outlineLevel="0" collapsed="false">
      <c r="A4310" s="103"/>
      <c r="B4310" s="104"/>
      <c r="C4310" s="104"/>
      <c r="E4310" s="107" t="str">
        <f aca="false">IF($C4310="","",IFERROR(INDEX(المنيو!$C$2:$C$500,MATCH($C4310,المنيو!$B$2:$B$500,0)),0))</f>
        <v/>
      </c>
      <c r="F4310" s="107" t="str">
        <f aca="false">IF($C4310="","",$D4310*$E4310)</f>
        <v/>
      </c>
      <c r="G4310" s="107" t="str">
        <f aca="false">IF($C4310="","",$D4310*IFERROR(INDEX('تحليل التكلفة والسعر'!$C$2:$C$700,MATCH($C4310,'تحليل التكلفة والسعر'!$B$2:$B$700,0)),0))</f>
        <v/>
      </c>
    </row>
    <row r="4311" customFormat="false" ht="15" hidden="false" customHeight="false" outlineLevel="0" collapsed="false">
      <c r="A4311" s="103"/>
      <c r="B4311" s="104"/>
      <c r="C4311" s="104"/>
      <c r="E4311" s="107" t="str">
        <f aca="false">IF($C4311="","",IFERROR(INDEX(المنيو!$C$2:$C$500,MATCH($C4311,المنيو!$B$2:$B$500,0)),0))</f>
        <v/>
      </c>
      <c r="F4311" s="107" t="str">
        <f aca="false">IF($C4311="","",$D4311*$E4311)</f>
        <v/>
      </c>
      <c r="G4311" s="107" t="str">
        <f aca="false">IF($C4311="","",$D4311*IFERROR(INDEX('تحليل التكلفة والسعر'!$C$2:$C$700,MATCH($C4311,'تحليل التكلفة والسعر'!$B$2:$B$700,0)),0))</f>
        <v/>
      </c>
    </row>
    <row r="4312" customFormat="false" ht="15" hidden="false" customHeight="false" outlineLevel="0" collapsed="false">
      <c r="A4312" s="103"/>
      <c r="B4312" s="104"/>
      <c r="C4312" s="104"/>
      <c r="E4312" s="107" t="str">
        <f aca="false">IF($C4312="","",IFERROR(INDEX(المنيو!$C$2:$C$500,MATCH($C4312,المنيو!$B$2:$B$500,0)),0))</f>
        <v/>
      </c>
      <c r="F4312" s="107" t="str">
        <f aca="false">IF($C4312="","",$D4312*$E4312)</f>
        <v/>
      </c>
      <c r="G4312" s="107" t="str">
        <f aca="false">IF($C4312="","",$D4312*IFERROR(INDEX('تحليل التكلفة والسعر'!$C$2:$C$700,MATCH($C4312,'تحليل التكلفة والسعر'!$B$2:$B$700,0)),0))</f>
        <v/>
      </c>
    </row>
    <row r="4313" customFormat="false" ht="15" hidden="false" customHeight="false" outlineLevel="0" collapsed="false">
      <c r="A4313" s="103"/>
      <c r="B4313" s="104"/>
      <c r="C4313" s="104"/>
      <c r="E4313" s="107" t="str">
        <f aca="false">IF($C4313="","",IFERROR(INDEX(المنيو!$C$2:$C$500,MATCH($C4313,المنيو!$B$2:$B$500,0)),0))</f>
        <v/>
      </c>
      <c r="F4313" s="107" t="str">
        <f aca="false">IF($C4313="","",$D4313*$E4313)</f>
        <v/>
      </c>
      <c r="G4313" s="107" t="str">
        <f aca="false">IF($C4313="","",$D4313*IFERROR(INDEX('تحليل التكلفة والسعر'!$C$2:$C$700,MATCH($C4313,'تحليل التكلفة والسعر'!$B$2:$B$700,0)),0))</f>
        <v/>
      </c>
    </row>
    <row r="4314" customFormat="false" ht="15" hidden="false" customHeight="false" outlineLevel="0" collapsed="false">
      <c r="A4314" s="103"/>
      <c r="B4314" s="104"/>
      <c r="C4314" s="104"/>
      <c r="E4314" s="107" t="str">
        <f aca="false">IF($C4314="","",IFERROR(INDEX(المنيو!$C$2:$C$500,MATCH($C4314,المنيو!$B$2:$B$500,0)),0))</f>
        <v/>
      </c>
      <c r="F4314" s="107" t="str">
        <f aca="false">IF($C4314="","",$D4314*$E4314)</f>
        <v/>
      </c>
      <c r="G4314" s="107" t="str">
        <f aca="false">IF($C4314="","",$D4314*IFERROR(INDEX('تحليل التكلفة والسعر'!$C$2:$C$700,MATCH($C4314,'تحليل التكلفة والسعر'!$B$2:$B$700,0)),0))</f>
        <v/>
      </c>
    </row>
    <row r="4315" customFormat="false" ht="15" hidden="false" customHeight="false" outlineLevel="0" collapsed="false">
      <c r="A4315" s="103"/>
      <c r="B4315" s="104"/>
      <c r="C4315" s="104"/>
      <c r="E4315" s="107" t="str">
        <f aca="false">IF($C4315="","",IFERROR(INDEX(المنيو!$C$2:$C$500,MATCH($C4315,المنيو!$B$2:$B$500,0)),0))</f>
        <v/>
      </c>
      <c r="F4315" s="107" t="str">
        <f aca="false">IF($C4315="","",$D4315*$E4315)</f>
        <v/>
      </c>
      <c r="G4315" s="107" t="str">
        <f aca="false">IF($C4315="","",$D4315*IFERROR(INDEX('تحليل التكلفة والسعر'!$C$2:$C$700,MATCH($C4315,'تحليل التكلفة والسعر'!$B$2:$B$700,0)),0))</f>
        <v/>
      </c>
    </row>
    <row r="4316" customFormat="false" ht="15" hidden="false" customHeight="false" outlineLevel="0" collapsed="false">
      <c r="A4316" s="103"/>
      <c r="B4316" s="104"/>
      <c r="C4316" s="104"/>
      <c r="E4316" s="107" t="str">
        <f aca="false">IF($C4316="","",IFERROR(INDEX(المنيو!$C$2:$C$500,MATCH($C4316,المنيو!$B$2:$B$500,0)),0))</f>
        <v/>
      </c>
      <c r="F4316" s="107" t="str">
        <f aca="false">IF($C4316="","",$D4316*$E4316)</f>
        <v/>
      </c>
      <c r="G4316" s="107" t="str">
        <f aca="false">IF($C4316="","",$D4316*IFERROR(INDEX('تحليل التكلفة والسعر'!$C$2:$C$700,MATCH($C4316,'تحليل التكلفة والسعر'!$B$2:$B$700,0)),0))</f>
        <v/>
      </c>
    </row>
    <row r="4317" customFormat="false" ht="15" hidden="false" customHeight="false" outlineLevel="0" collapsed="false">
      <c r="A4317" s="103"/>
      <c r="B4317" s="104"/>
      <c r="C4317" s="104"/>
      <c r="E4317" s="107" t="str">
        <f aca="false">IF($C4317="","",IFERROR(INDEX(المنيو!$C$2:$C$500,MATCH($C4317,المنيو!$B$2:$B$500,0)),0))</f>
        <v/>
      </c>
      <c r="F4317" s="107" t="str">
        <f aca="false">IF($C4317="","",$D4317*$E4317)</f>
        <v/>
      </c>
      <c r="G4317" s="107" t="str">
        <f aca="false">IF($C4317="","",$D4317*IFERROR(INDEX('تحليل التكلفة والسعر'!$C$2:$C$700,MATCH($C4317,'تحليل التكلفة والسعر'!$B$2:$B$700,0)),0))</f>
        <v/>
      </c>
    </row>
    <row r="4318" customFormat="false" ht="15" hidden="false" customHeight="false" outlineLevel="0" collapsed="false">
      <c r="A4318" s="103"/>
      <c r="B4318" s="104"/>
      <c r="C4318" s="104"/>
      <c r="E4318" s="107" t="str">
        <f aca="false">IF($C4318="","",IFERROR(INDEX(المنيو!$C$2:$C$500,MATCH($C4318,المنيو!$B$2:$B$500,0)),0))</f>
        <v/>
      </c>
      <c r="F4318" s="107" t="str">
        <f aca="false">IF($C4318="","",$D4318*$E4318)</f>
        <v/>
      </c>
      <c r="G4318" s="107" t="str">
        <f aca="false">IF($C4318="","",$D4318*IFERROR(INDEX('تحليل التكلفة والسعر'!$C$2:$C$700,MATCH($C4318,'تحليل التكلفة والسعر'!$B$2:$B$700,0)),0))</f>
        <v/>
      </c>
    </row>
    <row r="4319" customFormat="false" ht="15" hidden="false" customHeight="false" outlineLevel="0" collapsed="false">
      <c r="A4319" s="103"/>
      <c r="B4319" s="104"/>
      <c r="C4319" s="104"/>
      <c r="E4319" s="107" t="str">
        <f aca="false">IF($C4319="","",IFERROR(INDEX(المنيو!$C$2:$C$500,MATCH($C4319,المنيو!$B$2:$B$500,0)),0))</f>
        <v/>
      </c>
      <c r="F4319" s="107" t="str">
        <f aca="false">IF($C4319="","",$D4319*$E4319)</f>
        <v/>
      </c>
      <c r="G4319" s="107" t="str">
        <f aca="false">IF($C4319="","",$D4319*IFERROR(INDEX('تحليل التكلفة والسعر'!$C$2:$C$700,MATCH($C4319,'تحليل التكلفة والسعر'!$B$2:$B$700,0)),0))</f>
        <v/>
      </c>
    </row>
    <row r="4320" customFormat="false" ht="15" hidden="false" customHeight="false" outlineLevel="0" collapsed="false">
      <c r="A4320" s="103"/>
      <c r="B4320" s="104"/>
      <c r="C4320" s="104"/>
      <c r="E4320" s="107" t="str">
        <f aca="false">IF($C4320="","",IFERROR(INDEX(المنيو!$C$2:$C$500,MATCH($C4320,المنيو!$B$2:$B$500,0)),0))</f>
        <v/>
      </c>
      <c r="F4320" s="107" t="str">
        <f aca="false">IF($C4320="","",$D4320*$E4320)</f>
        <v/>
      </c>
      <c r="G4320" s="107" t="str">
        <f aca="false">IF($C4320="","",$D4320*IFERROR(INDEX('تحليل التكلفة والسعر'!$C$2:$C$700,MATCH($C4320,'تحليل التكلفة والسعر'!$B$2:$B$700,0)),0))</f>
        <v/>
      </c>
    </row>
    <row r="4321" customFormat="false" ht="15" hidden="false" customHeight="false" outlineLevel="0" collapsed="false">
      <c r="A4321" s="103"/>
      <c r="B4321" s="104"/>
      <c r="C4321" s="104"/>
      <c r="E4321" s="107" t="str">
        <f aca="false">IF($C4321="","",IFERROR(INDEX(المنيو!$C$2:$C$500,MATCH($C4321,المنيو!$B$2:$B$500,0)),0))</f>
        <v/>
      </c>
      <c r="F4321" s="107" t="str">
        <f aca="false">IF($C4321="","",$D4321*$E4321)</f>
        <v/>
      </c>
      <c r="G4321" s="107" t="str">
        <f aca="false">IF($C4321="","",$D4321*IFERROR(INDEX('تحليل التكلفة والسعر'!$C$2:$C$700,MATCH($C4321,'تحليل التكلفة والسعر'!$B$2:$B$700,0)),0))</f>
        <v/>
      </c>
    </row>
    <row r="4322" customFormat="false" ht="15" hidden="false" customHeight="false" outlineLevel="0" collapsed="false">
      <c r="A4322" s="103"/>
      <c r="B4322" s="104"/>
      <c r="C4322" s="104"/>
      <c r="E4322" s="107" t="str">
        <f aca="false">IF($C4322="","",IFERROR(INDEX(المنيو!$C$2:$C$500,MATCH($C4322,المنيو!$B$2:$B$500,0)),0))</f>
        <v/>
      </c>
      <c r="F4322" s="107" t="str">
        <f aca="false">IF($C4322="","",$D4322*$E4322)</f>
        <v/>
      </c>
      <c r="G4322" s="107" t="str">
        <f aca="false">IF($C4322="","",$D4322*IFERROR(INDEX('تحليل التكلفة والسعر'!$C$2:$C$700,MATCH($C4322,'تحليل التكلفة والسعر'!$B$2:$B$700,0)),0))</f>
        <v/>
      </c>
    </row>
    <row r="4323" customFormat="false" ht="15" hidden="false" customHeight="false" outlineLevel="0" collapsed="false">
      <c r="A4323" s="103"/>
      <c r="B4323" s="104"/>
      <c r="C4323" s="104"/>
      <c r="E4323" s="107" t="str">
        <f aca="false">IF($C4323="","",IFERROR(INDEX(المنيو!$C$2:$C$500,MATCH($C4323,المنيو!$B$2:$B$500,0)),0))</f>
        <v/>
      </c>
      <c r="F4323" s="107" t="str">
        <f aca="false">IF($C4323="","",$D4323*$E4323)</f>
        <v/>
      </c>
      <c r="G4323" s="107" t="str">
        <f aca="false">IF($C4323="","",$D4323*IFERROR(INDEX('تحليل التكلفة والسعر'!$C$2:$C$700,MATCH($C4323,'تحليل التكلفة والسعر'!$B$2:$B$700,0)),0))</f>
        <v/>
      </c>
    </row>
    <row r="4324" customFormat="false" ht="15" hidden="false" customHeight="false" outlineLevel="0" collapsed="false">
      <c r="A4324" s="103"/>
      <c r="B4324" s="104"/>
      <c r="C4324" s="104"/>
      <c r="E4324" s="107" t="str">
        <f aca="false">IF($C4324="","",IFERROR(INDEX(المنيو!$C$2:$C$500,MATCH($C4324,المنيو!$B$2:$B$500,0)),0))</f>
        <v/>
      </c>
      <c r="F4324" s="107" t="str">
        <f aca="false">IF($C4324="","",$D4324*$E4324)</f>
        <v/>
      </c>
      <c r="G4324" s="107" t="str">
        <f aca="false">IF($C4324="","",$D4324*IFERROR(INDEX('تحليل التكلفة والسعر'!$C$2:$C$700,MATCH($C4324,'تحليل التكلفة والسعر'!$B$2:$B$700,0)),0))</f>
        <v/>
      </c>
    </row>
    <row r="4325" customFormat="false" ht="15" hidden="false" customHeight="false" outlineLevel="0" collapsed="false">
      <c r="A4325" s="103"/>
      <c r="B4325" s="104"/>
      <c r="C4325" s="104"/>
      <c r="E4325" s="107" t="str">
        <f aca="false">IF($C4325="","",IFERROR(INDEX(المنيو!$C$2:$C$500,MATCH($C4325,المنيو!$B$2:$B$500,0)),0))</f>
        <v/>
      </c>
      <c r="F4325" s="107" t="str">
        <f aca="false">IF($C4325="","",$D4325*$E4325)</f>
        <v/>
      </c>
      <c r="G4325" s="107" t="str">
        <f aca="false">IF($C4325="","",$D4325*IFERROR(INDEX('تحليل التكلفة والسعر'!$C$2:$C$700,MATCH($C4325,'تحليل التكلفة والسعر'!$B$2:$B$700,0)),0))</f>
        <v/>
      </c>
    </row>
    <row r="4326" customFormat="false" ht="15" hidden="false" customHeight="false" outlineLevel="0" collapsed="false">
      <c r="A4326" s="103"/>
      <c r="B4326" s="104"/>
      <c r="C4326" s="104"/>
      <c r="E4326" s="107" t="str">
        <f aca="false">IF($C4326="","",IFERROR(INDEX(المنيو!$C$2:$C$500,MATCH($C4326,المنيو!$B$2:$B$500,0)),0))</f>
        <v/>
      </c>
      <c r="F4326" s="107" t="str">
        <f aca="false">IF($C4326="","",$D4326*$E4326)</f>
        <v/>
      </c>
      <c r="G4326" s="107" t="str">
        <f aca="false">IF($C4326="","",$D4326*IFERROR(INDEX('تحليل التكلفة والسعر'!$C$2:$C$700,MATCH($C4326,'تحليل التكلفة والسعر'!$B$2:$B$700,0)),0))</f>
        <v/>
      </c>
    </row>
    <row r="4327" customFormat="false" ht="15" hidden="false" customHeight="false" outlineLevel="0" collapsed="false">
      <c r="A4327" s="103"/>
      <c r="B4327" s="104"/>
      <c r="C4327" s="104"/>
      <c r="E4327" s="107" t="str">
        <f aca="false">IF($C4327="","",IFERROR(INDEX(المنيو!$C$2:$C$500,MATCH($C4327,المنيو!$B$2:$B$500,0)),0))</f>
        <v/>
      </c>
      <c r="F4327" s="107" t="str">
        <f aca="false">IF($C4327="","",$D4327*$E4327)</f>
        <v/>
      </c>
      <c r="G4327" s="107" t="str">
        <f aca="false">IF($C4327="","",$D4327*IFERROR(INDEX('تحليل التكلفة والسعر'!$C$2:$C$700,MATCH($C4327,'تحليل التكلفة والسعر'!$B$2:$B$700,0)),0))</f>
        <v/>
      </c>
    </row>
    <row r="4328" customFormat="false" ht="15" hidden="false" customHeight="false" outlineLevel="0" collapsed="false">
      <c r="A4328" s="103"/>
      <c r="B4328" s="104"/>
      <c r="C4328" s="104"/>
      <c r="E4328" s="107" t="str">
        <f aca="false">IF($C4328="","",IFERROR(INDEX(المنيو!$C$2:$C$500,MATCH($C4328,المنيو!$B$2:$B$500,0)),0))</f>
        <v/>
      </c>
      <c r="F4328" s="107" t="str">
        <f aca="false">IF($C4328="","",$D4328*$E4328)</f>
        <v/>
      </c>
      <c r="G4328" s="107" t="str">
        <f aca="false">IF($C4328="","",$D4328*IFERROR(INDEX('تحليل التكلفة والسعر'!$C$2:$C$700,MATCH($C4328,'تحليل التكلفة والسعر'!$B$2:$B$700,0)),0))</f>
        <v/>
      </c>
    </row>
    <row r="4329" customFormat="false" ht="15" hidden="false" customHeight="false" outlineLevel="0" collapsed="false">
      <c r="A4329" s="103"/>
      <c r="B4329" s="104"/>
      <c r="C4329" s="104"/>
      <c r="E4329" s="107" t="str">
        <f aca="false">IF($C4329="","",IFERROR(INDEX(المنيو!$C$2:$C$500,MATCH($C4329,المنيو!$B$2:$B$500,0)),0))</f>
        <v/>
      </c>
      <c r="F4329" s="107" t="str">
        <f aca="false">IF($C4329="","",$D4329*$E4329)</f>
        <v/>
      </c>
      <c r="G4329" s="107" t="str">
        <f aca="false">IF($C4329="","",$D4329*IFERROR(INDEX('تحليل التكلفة والسعر'!$C$2:$C$700,MATCH($C4329,'تحليل التكلفة والسعر'!$B$2:$B$700,0)),0))</f>
        <v/>
      </c>
    </row>
    <row r="4330" customFormat="false" ht="15" hidden="false" customHeight="false" outlineLevel="0" collapsed="false">
      <c r="A4330" s="103"/>
      <c r="B4330" s="104"/>
      <c r="C4330" s="104"/>
      <c r="E4330" s="107" t="str">
        <f aca="false">IF($C4330="","",IFERROR(INDEX(المنيو!$C$2:$C$500,MATCH($C4330,المنيو!$B$2:$B$500,0)),0))</f>
        <v/>
      </c>
      <c r="F4330" s="107" t="str">
        <f aca="false">IF($C4330="","",$D4330*$E4330)</f>
        <v/>
      </c>
      <c r="G4330" s="107" t="str">
        <f aca="false">IF($C4330="","",$D4330*IFERROR(INDEX('تحليل التكلفة والسعر'!$C$2:$C$700,MATCH($C4330,'تحليل التكلفة والسعر'!$B$2:$B$700,0)),0))</f>
        <v/>
      </c>
    </row>
    <row r="4331" customFormat="false" ht="15" hidden="false" customHeight="false" outlineLevel="0" collapsed="false">
      <c r="A4331" s="103"/>
      <c r="B4331" s="104"/>
      <c r="C4331" s="104"/>
      <c r="E4331" s="107" t="str">
        <f aca="false">IF($C4331="","",IFERROR(INDEX(المنيو!$C$2:$C$500,MATCH($C4331,المنيو!$B$2:$B$500,0)),0))</f>
        <v/>
      </c>
      <c r="F4331" s="107" t="str">
        <f aca="false">IF($C4331="","",$D4331*$E4331)</f>
        <v/>
      </c>
      <c r="G4331" s="107" t="str">
        <f aca="false">IF($C4331="","",$D4331*IFERROR(INDEX('تحليل التكلفة والسعر'!$C$2:$C$700,MATCH($C4331,'تحليل التكلفة والسعر'!$B$2:$B$700,0)),0))</f>
        <v/>
      </c>
    </row>
    <row r="4332" customFormat="false" ht="15" hidden="false" customHeight="false" outlineLevel="0" collapsed="false">
      <c r="A4332" s="103"/>
      <c r="B4332" s="104"/>
      <c r="C4332" s="104"/>
      <c r="E4332" s="107" t="str">
        <f aca="false">IF($C4332="","",IFERROR(INDEX(المنيو!$C$2:$C$500,MATCH($C4332,المنيو!$B$2:$B$500,0)),0))</f>
        <v/>
      </c>
      <c r="F4332" s="107" t="str">
        <f aca="false">IF($C4332="","",$D4332*$E4332)</f>
        <v/>
      </c>
      <c r="G4332" s="107" t="str">
        <f aca="false">IF($C4332="","",$D4332*IFERROR(INDEX('تحليل التكلفة والسعر'!$C$2:$C$700,MATCH($C4332,'تحليل التكلفة والسعر'!$B$2:$B$700,0)),0))</f>
        <v/>
      </c>
    </row>
    <row r="4333" customFormat="false" ht="15" hidden="false" customHeight="false" outlineLevel="0" collapsed="false">
      <c r="A4333" s="103"/>
      <c r="B4333" s="104"/>
      <c r="C4333" s="104"/>
      <c r="E4333" s="107" t="str">
        <f aca="false">IF($C4333="","",IFERROR(INDEX(المنيو!$C$2:$C$500,MATCH($C4333,المنيو!$B$2:$B$500,0)),0))</f>
        <v/>
      </c>
      <c r="F4333" s="107" t="str">
        <f aca="false">IF($C4333="","",$D4333*$E4333)</f>
        <v/>
      </c>
      <c r="G4333" s="107" t="str">
        <f aca="false">IF($C4333="","",$D4333*IFERROR(INDEX('تحليل التكلفة والسعر'!$C$2:$C$700,MATCH($C4333,'تحليل التكلفة والسعر'!$B$2:$B$700,0)),0))</f>
        <v/>
      </c>
    </row>
    <row r="4334" customFormat="false" ht="15" hidden="false" customHeight="false" outlineLevel="0" collapsed="false">
      <c r="A4334" s="103"/>
      <c r="B4334" s="104"/>
      <c r="C4334" s="104"/>
      <c r="E4334" s="107" t="str">
        <f aca="false">IF($C4334="","",IFERROR(INDEX(المنيو!$C$2:$C$500,MATCH($C4334,المنيو!$B$2:$B$500,0)),0))</f>
        <v/>
      </c>
      <c r="F4334" s="107" t="str">
        <f aca="false">IF($C4334="","",$D4334*$E4334)</f>
        <v/>
      </c>
      <c r="G4334" s="107" t="str">
        <f aca="false">IF($C4334="","",$D4334*IFERROR(INDEX('تحليل التكلفة والسعر'!$C$2:$C$700,MATCH($C4334,'تحليل التكلفة والسعر'!$B$2:$B$700,0)),0))</f>
        <v/>
      </c>
    </row>
    <row r="4335" customFormat="false" ht="15" hidden="false" customHeight="false" outlineLevel="0" collapsed="false">
      <c r="A4335" s="103"/>
      <c r="B4335" s="104"/>
      <c r="C4335" s="104"/>
      <c r="E4335" s="107" t="str">
        <f aca="false">IF($C4335="","",IFERROR(INDEX(المنيو!$C$2:$C$500,MATCH($C4335,المنيو!$B$2:$B$500,0)),0))</f>
        <v/>
      </c>
      <c r="F4335" s="107" t="str">
        <f aca="false">IF($C4335="","",$D4335*$E4335)</f>
        <v/>
      </c>
      <c r="G4335" s="107" t="str">
        <f aca="false">IF($C4335="","",$D4335*IFERROR(INDEX('تحليل التكلفة والسعر'!$C$2:$C$700,MATCH($C4335,'تحليل التكلفة والسعر'!$B$2:$B$700,0)),0))</f>
        <v/>
      </c>
    </row>
    <row r="4336" customFormat="false" ht="15" hidden="false" customHeight="false" outlineLevel="0" collapsed="false">
      <c r="A4336" s="103"/>
      <c r="B4336" s="104"/>
      <c r="C4336" s="104"/>
      <c r="E4336" s="107" t="str">
        <f aca="false">IF($C4336="","",IFERROR(INDEX(المنيو!$C$2:$C$500,MATCH($C4336,المنيو!$B$2:$B$500,0)),0))</f>
        <v/>
      </c>
      <c r="F4336" s="107" t="str">
        <f aca="false">IF($C4336="","",$D4336*$E4336)</f>
        <v/>
      </c>
      <c r="G4336" s="107" t="str">
        <f aca="false">IF($C4336="","",$D4336*IFERROR(INDEX('تحليل التكلفة والسعر'!$C$2:$C$700,MATCH($C4336,'تحليل التكلفة والسعر'!$B$2:$B$700,0)),0))</f>
        <v/>
      </c>
    </row>
    <row r="4337" customFormat="false" ht="15" hidden="false" customHeight="false" outlineLevel="0" collapsed="false">
      <c r="A4337" s="103"/>
      <c r="B4337" s="104"/>
      <c r="C4337" s="104"/>
      <c r="E4337" s="107" t="str">
        <f aca="false">IF($C4337="","",IFERROR(INDEX(المنيو!$C$2:$C$500,MATCH($C4337,المنيو!$B$2:$B$500,0)),0))</f>
        <v/>
      </c>
      <c r="F4337" s="107" t="str">
        <f aca="false">IF($C4337="","",$D4337*$E4337)</f>
        <v/>
      </c>
      <c r="G4337" s="107" t="str">
        <f aca="false">IF($C4337="","",$D4337*IFERROR(INDEX('تحليل التكلفة والسعر'!$C$2:$C$700,MATCH($C4337,'تحليل التكلفة والسعر'!$B$2:$B$700,0)),0))</f>
        <v/>
      </c>
    </row>
    <row r="4338" customFormat="false" ht="15" hidden="false" customHeight="false" outlineLevel="0" collapsed="false">
      <c r="A4338" s="103"/>
      <c r="B4338" s="104"/>
      <c r="C4338" s="104"/>
      <c r="E4338" s="107" t="str">
        <f aca="false">IF($C4338="","",IFERROR(INDEX(المنيو!$C$2:$C$500,MATCH($C4338,المنيو!$B$2:$B$500,0)),0))</f>
        <v/>
      </c>
      <c r="F4338" s="107" t="str">
        <f aca="false">IF($C4338="","",$D4338*$E4338)</f>
        <v/>
      </c>
      <c r="G4338" s="107" t="str">
        <f aca="false">IF($C4338="","",$D4338*IFERROR(INDEX('تحليل التكلفة والسعر'!$C$2:$C$700,MATCH($C4338,'تحليل التكلفة والسعر'!$B$2:$B$700,0)),0))</f>
        <v/>
      </c>
    </row>
    <row r="4339" customFormat="false" ht="15" hidden="false" customHeight="false" outlineLevel="0" collapsed="false">
      <c r="A4339" s="103"/>
      <c r="B4339" s="104"/>
      <c r="C4339" s="104"/>
      <c r="E4339" s="107" t="str">
        <f aca="false">IF($C4339="","",IFERROR(INDEX(المنيو!$C$2:$C$500,MATCH($C4339,المنيو!$B$2:$B$500,0)),0))</f>
        <v/>
      </c>
      <c r="F4339" s="107" t="str">
        <f aca="false">IF($C4339="","",$D4339*$E4339)</f>
        <v/>
      </c>
      <c r="G4339" s="107" t="str">
        <f aca="false">IF($C4339="","",$D4339*IFERROR(INDEX('تحليل التكلفة والسعر'!$C$2:$C$700,MATCH($C4339,'تحليل التكلفة والسعر'!$B$2:$B$700,0)),0))</f>
        <v/>
      </c>
    </row>
    <row r="4340" customFormat="false" ht="15" hidden="false" customHeight="false" outlineLevel="0" collapsed="false">
      <c r="A4340" s="103"/>
      <c r="B4340" s="104"/>
      <c r="C4340" s="104"/>
      <c r="E4340" s="107" t="str">
        <f aca="false">IF($C4340="","",IFERROR(INDEX(المنيو!$C$2:$C$500,MATCH($C4340,المنيو!$B$2:$B$500,0)),0))</f>
        <v/>
      </c>
      <c r="F4340" s="107" t="str">
        <f aca="false">IF($C4340="","",$D4340*$E4340)</f>
        <v/>
      </c>
      <c r="G4340" s="107" t="str">
        <f aca="false">IF($C4340="","",$D4340*IFERROR(INDEX('تحليل التكلفة والسعر'!$C$2:$C$700,MATCH($C4340,'تحليل التكلفة والسعر'!$B$2:$B$700,0)),0))</f>
        <v/>
      </c>
    </row>
    <row r="4341" customFormat="false" ht="15" hidden="false" customHeight="false" outlineLevel="0" collapsed="false">
      <c r="A4341" s="103"/>
      <c r="B4341" s="104"/>
      <c r="C4341" s="104"/>
      <c r="E4341" s="107" t="str">
        <f aca="false">IF($C4341="","",IFERROR(INDEX(المنيو!$C$2:$C$500,MATCH($C4341,المنيو!$B$2:$B$500,0)),0))</f>
        <v/>
      </c>
      <c r="F4341" s="107" t="str">
        <f aca="false">IF($C4341="","",$D4341*$E4341)</f>
        <v/>
      </c>
      <c r="G4341" s="107" t="str">
        <f aca="false">IF($C4341="","",$D4341*IFERROR(INDEX('تحليل التكلفة والسعر'!$C$2:$C$700,MATCH($C4341,'تحليل التكلفة والسعر'!$B$2:$B$700,0)),0))</f>
        <v/>
      </c>
    </row>
    <row r="4342" customFormat="false" ht="15" hidden="false" customHeight="false" outlineLevel="0" collapsed="false">
      <c r="A4342" s="103"/>
      <c r="B4342" s="104"/>
      <c r="C4342" s="104"/>
      <c r="E4342" s="107" t="str">
        <f aca="false">IF($C4342="","",IFERROR(INDEX(المنيو!$C$2:$C$500,MATCH($C4342,المنيو!$B$2:$B$500,0)),0))</f>
        <v/>
      </c>
      <c r="F4342" s="107" t="str">
        <f aca="false">IF($C4342="","",$D4342*$E4342)</f>
        <v/>
      </c>
      <c r="G4342" s="107" t="str">
        <f aca="false">IF($C4342="","",$D4342*IFERROR(INDEX('تحليل التكلفة والسعر'!$C$2:$C$700,MATCH($C4342,'تحليل التكلفة والسعر'!$B$2:$B$700,0)),0))</f>
        <v/>
      </c>
    </row>
    <row r="4343" customFormat="false" ht="15" hidden="false" customHeight="false" outlineLevel="0" collapsed="false">
      <c r="A4343" s="103"/>
      <c r="B4343" s="104"/>
      <c r="C4343" s="104"/>
      <c r="E4343" s="107" t="str">
        <f aca="false">IF($C4343="","",IFERROR(INDEX(المنيو!$C$2:$C$500,MATCH($C4343,المنيو!$B$2:$B$500,0)),0))</f>
        <v/>
      </c>
      <c r="F4343" s="107" t="str">
        <f aca="false">IF($C4343="","",$D4343*$E4343)</f>
        <v/>
      </c>
      <c r="G4343" s="107" t="str">
        <f aca="false">IF($C4343="","",$D4343*IFERROR(INDEX('تحليل التكلفة والسعر'!$C$2:$C$700,MATCH($C4343,'تحليل التكلفة والسعر'!$B$2:$B$700,0)),0))</f>
        <v/>
      </c>
    </row>
    <row r="4344" customFormat="false" ht="15" hidden="false" customHeight="false" outlineLevel="0" collapsed="false">
      <c r="A4344" s="103"/>
      <c r="B4344" s="104"/>
      <c r="C4344" s="104"/>
      <c r="E4344" s="107" t="str">
        <f aca="false">IF($C4344="","",IFERROR(INDEX(المنيو!$C$2:$C$500,MATCH($C4344,المنيو!$B$2:$B$500,0)),0))</f>
        <v/>
      </c>
      <c r="F4344" s="107" t="str">
        <f aca="false">IF($C4344="","",$D4344*$E4344)</f>
        <v/>
      </c>
      <c r="G4344" s="107" t="str">
        <f aca="false">IF($C4344="","",$D4344*IFERROR(INDEX('تحليل التكلفة والسعر'!$C$2:$C$700,MATCH($C4344,'تحليل التكلفة والسعر'!$B$2:$B$700,0)),0))</f>
        <v/>
      </c>
    </row>
    <row r="4345" customFormat="false" ht="15" hidden="false" customHeight="false" outlineLevel="0" collapsed="false">
      <c r="A4345" s="103"/>
      <c r="B4345" s="104"/>
      <c r="C4345" s="104"/>
      <c r="E4345" s="107" t="str">
        <f aca="false">IF($C4345="","",IFERROR(INDEX(المنيو!$C$2:$C$500,MATCH($C4345,المنيو!$B$2:$B$500,0)),0))</f>
        <v/>
      </c>
      <c r="F4345" s="107" t="str">
        <f aca="false">IF($C4345="","",$D4345*$E4345)</f>
        <v/>
      </c>
      <c r="G4345" s="107" t="str">
        <f aca="false">IF($C4345="","",$D4345*IFERROR(INDEX('تحليل التكلفة والسعر'!$C$2:$C$700,MATCH($C4345,'تحليل التكلفة والسعر'!$B$2:$B$700,0)),0))</f>
        <v/>
      </c>
    </row>
    <row r="4346" customFormat="false" ht="15" hidden="false" customHeight="false" outlineLevel="0" collapsed="false">
      <c r="A4346" s="103"/>
      <c r="B4346" s="104"/>
      <c r="C4346" s="104"/>
      <c r="E4346" s="107" t="str">
        <f aca="false">IF($C4346="","",IFERROR(INDEX(المنيو!$C$2:$C$500,MATCH($C4346,المنيو!$B$2:$B$500,0)),0))</f>
        <v/>
      </c>
      <c r="F4346" s="107" t="str">
        <f aca="false">IF($C4346="","",$D4346*$E4346)</f>
        <v/>
      </c>
      <c r="G4346" s="107" t="str">
        <f aca="false">IF($C4346="","",$D4346*IFERROR(INDEX('تحليل التكلفة والسعر'!$C$2:$C$700,MATCH($C4346,'تحليل التكلفة والسعر'!$B$2:$B$700,0)),0))</f>
        <v/>
      </c>
    </row>
    <row r="4347" customFormat="false" ht="15" hidden="false" customHeight="false" outlineLevel="0" collapsed="false">
      <c r="A4347" s="103"/>
      <c r="B4347" s="104"/>
      <c r="C4347" s="104"/>
      <c r="E4347" s="107" t="str">
        <f aca="false">IF($C4347="","",IFERROR(INDEX(المنيو!$C$2:$C$500,MATCH($C4347,المنيو!$B$2:$B$500,0)),0))</f>
        <v/>
      </c>
      <c r="F4347" s="107" t="str">
        <f aca="false">IF($C4347="","",$D4347*$E4347)</f>
        <v/>
      </c>
      <c r="G4347" s="107" t="str">
        <f aca="false">IF($C4347="","",$D4347*IFERROR(INDEX('تحليل التكلفة والسعر'!$C$2:$C$700,MATCH($C4347,'تحليل التكلفة والسعر'!$B$2:$B$700,0)),0))</f>
        <v/>
      </c>
    </row>
    <row r="4348" customFormat="false" ht="15" hidden="false" customHeight="false" outlineLevel="0" collapsed="false">
      <c r="A4348" s="103"/>
      <c r="B4348" s="104"/>
      <c r="C4348" s="104"/>
      <c r="E4348" s="107" t="str">
        <f aca="false">IF($C4348="","",IFERROR(INDEX(المنيو!$C$2:$C$500,MATCH($C4348,المنيو!$B$2:$B$500,0)),0))</f>
        <v/>
      </c>
      <c r="F4348" s="107" t="str">
        <f aca="false">IF($C4348="","",$D4348*$E4348)</f>
        <v/>
      </c>
      <c r="G4348" s="107" t="str">
        <f aca="false">IF($C4348="","",$D4348*IFERROR(INDEX('تحليل التكلفة والسعر'!$C$2:$C$700,MATCH($C4348,'تحليل التكلفة والسعر'!$B$2:$B$700,0)),0))</f>
        <v/>
      </c>
    </row>
    <row r="4349" customFormat="false" ht="15" hidden="false" customHeight="false" outlineLevel="0" collapsed="false">
      <c r="A4349" s="103"/>
      <c r="B4349" s="104"/>
      <c r="C4349" s="104"/>
      <c r="E4349" s="107" t="str">
        <f aca="false">IF($C4349="","",IFERROR(INDEX(المنيو!$C$2:$C$500,MATCH($C4349,المنيو!$B$2:$B$500,0)),0))</f>
        <v/>
      </c>
      <c r="F4349" s="107" t="str">
        <f aca="false">IF($C4349="","",$D4349*$E4349)</f>
        <v/>
      </c>
      <c r="G4349" s="107" t="str">
        <f aca="false">IF($C4349="","",$D4349*IFERROR(INDEX('تحليل التكلفة والسعر'!$C$2:$C$700,MATCH($C4349,'تحليل التكلفة والسعر'!$B$2:$B$700,0)),0))</f>
        <v/>
      </c>
    </row>
    <row r="4350" customFormat="false" ht="15" hidden="false" customHeight="false" outlineLevel="0" collapsed="false">
      <c r="A4350" s="103"/>
      <c r="B4350" s="104"/>
      <c r="C4350" s="104"/>
      <c r="E4350" s="107" t="str">
        <f aca="false">IF($C4350="","",IFERROR(INDEX(المنيو!$C$2:$C$500,MATCH($C4350,المنيو!$B$2:$B$500,0)),0))</f>
        <v/>
      </c>
      <c r="F4350" s="107" t="str">
        <f aca="false">IF($C4350="","",$D4350*$E4350)</f>
        <v/>
      </c>
      <c r="G4350" s="107" t="str">
        <f aca="false">IF($C4350="","",$D4350*IFERROR(INDEX('تحليل التكلفة والسعر'!$C$2:$C$700,MATCH($C4350,'تحليل التكلفة والسعر'!$B$2:$B$700,0)),0))</f>
        <v/>
      </c>
    </row>
    <row r="4351" customFormat="false" ht="15" hidden="false" customHeight="false" outlineLevel="0" collapsed="false">
      <c r="A4351" s="103"/>
      <c r="B4351" s="104"/>
      <c r="C4351" s="104"/>
      <c r="E4351" s="107" t="str">
        <f aca="false">IF($C4351="","",IFERROR(INDEX(المنيو!$C$2:$C$500,MATCH($C4351,المنيو!$B$2:$B$500,0)),0))</f>
        <v/>
      </c>
      <c r="F4351" s="107" t="str">
        <f aca="false">IF($C4351="","",$D4351*$E4351)</f>
        <v/>
      </c>
      <c r="G4351" s="107" t="str">
        <f aca="false">IF($C4351="","",$D4351*IFERROR(INDEX('تحليل التكلفة والسعر'!$C$2:$C$700,MATCH($C4351,'تحليل التكلفة والسعر'!$B$2:$B$700,0)),0))</f>
        <v/>
      </c>
    </row>
    <row r="4352" customFormat="false" ht="15" hidden="false" customHeight="false" outlineLevel="0" collapsed="false">
      <c r="A4352" s="103"/>
      <c r="B4352" s="104"/>
      <c r="C4352" s="104"/>
      <c r="E4352" s="107" t="str">
        <f aca="false">IF($C4352="","",IFERROR(INDEX(المنيو!$C$2:$C$500,MATCH($C4352,المنيو!$B$2:$B$500,0)),0))</f>
        <v/>
      </c>
      <c r="F4352" s="107" t="str">
        <f aca="false">IF($C4352="","",$D4352*$E4352)</f>
        <v/>
      </c>
      <c r="G4352" s="107" t="str">
        <f aca="false">IF($C4352="","",$D4352*IFERROR(INDEX('تحليل التكلفة والسعر'!$C$2:$C$700,MATCH($C4352,'تحليل التكلفة والسعر'!$B$2:$B$700,0)),0))</f>
        <v/>
      </c>
    </row>
    <row r="4353" customFormat="false" ht="15" hidden="false" customHeight="false" outlineLevel="0" collapsed="false">
      <c r="A4353" s="103"/>
      <c r="B4353" s="104"/>
      <c r="C4353" s="104"/>
      <c r="E4353" s="107" t="str">
        <f aca="false">IF($C4353="","",IFERROR(INDEX(المنيو!$C$2:$C$500,MATCH($C4353,المنيو!$B$2:$B$500,0)),0))</f>
        <v/>
      </c>
      <c r="F4353" s="107" t="str">
        <f aca="false">IF($C4353="","",$D4353*$E4353)</f>
        <v/>
      </c>
      <c r="G4353" s="107" t="str">
        <f aca="false">IF($C4353="","",$D4353*IFERROR(INDEX('تحليل التكلفة والسعر'!$C$2:$C$700,MATCH($C4353,'تحليل التكلفة والسعر'!$B$2:$B$700,0)),0))</f>
        <v/>
      </c>
    </row>
    <row r="4354" customFormat="false" ht="15" hidden="false" customHeight="false" outlineLevel="0" collapsed="false">
      <c r="A4354" s="103"/>
      <c r="B4354" s="104"/>
      <c r="C4354" s="104"/>
      <c r="E4354" s="107" t="str">
        <f aca="false">IF($C4354="","",IFERROR(INDEX(المنيو!$C$2:$C$500,MATCH($C4354,المنيو!$B$2:$B$500,0)),0))</f>
        <v/>
      </c>
      <c r="F4354" s="107" t="str">
        <f aca="false">IF($C4354="","",$D4354*$E4354)</f>
        <v/>
      </c>
      <c r="G4354" s="107" t="str">
        <f aca="false">IF($C4354="","",$D4354*IFERROR(INDEX('تحليل التكلفة والسعر'!$C$2:$C$700,MATCH($C4354,'تحليل التكلفة والسعر'!$B$2:$B$700,0)),0))</f>
        <v/>
      </c>
    </row>
    <row r="4355" customFormat="false" ht="15" hidden="false" customHeight="false" outlineLevel="0" collapsed="false">
      <c r="A4355" s="103"/>
      <c r="B4355" s="104"/>
      <c r="C4355" s="104"/>
      <c r="E4355" s="107" t="str">
        <f aca="false">IF($C4355="","",IFERROR(INDEX(المنيو!$C$2:$C$500,MATCH($C4355,المنيو!$B$2:$B$500,0)),0))</f>
        <v/>
      </c>
      <c r="F4355" s="107" t="str">
        <f aca="false">IF($C4355="","",$D4355*$E4355)</f>
        <v/>
      </c>
      <c r="G4355" s="107" t="str">
        <f aca="false">IF($C4355="","",$D4355*IFERROR(INDEX('تحليل التكلفة والسعر'!$C$2:$C$700,MATCH($C4355,'تحليل التكلفة والسعر'!$B$2:$B$700,0)),0))</f>
        <v/>
      </c>
    </row>
    <row r="4356" customFormat="false" ht="15" hidden="false" customHeight="false" outlineLevel="0" collapsed="false">
      <c r="A4356" s="103"/>
      <c r="B4356" s="104"/>
      <c r="C4356" s="104"/>
      <c r="E4356" s="107" t="str">
        <f aca="false">IF($C4356="","",IFERROR(INDEX(المنيو!$C$2:$C$500,MATCH($C4356,المنيو!$B$2:$B$500,0)),0))</f>
        <v/>
      </c>
      <c r="F4356" s="107" t="str">
        <f aca="false">IF($C4356="","",$D4356*$E4356)</f>
        <v/>
      </c>
      <c r="G4356" s="107" t="str">
        <f aca="false">IF($C4356="","",$D4356*IFERROR(INDEX('تحليل التكلفة والسعر'!$C$2:$C$700,MATCH($C4356,'تحليل التكلفة والسعر'!$B$2:$B$700,0)),0))</f>
        <v/>
      </c>
    </row>
    <row r="4357" customFormat="false" ht="15" hidden="false" customHeight="false" outlineLevel="0" collapsed="false">
      <c r="A4357" s="103"/>
      <c r="B4357" s="104"/>
      <c r="C4357" s="104"/>
      <c r="E4357" s="107" t="str">
        <f aca="false">IF($C4357="","",IFERROR(INDEX(المنيو!$C$2:$C$500,MATCH($C4357,المنيو!$B$2:$B$500,0)),0))</f>
        <v/>
      </c>
      <c r="F4357" s="107" t="str">
        <f aca="false">IF($C4357="","",$D4357*$E4357)</f>
        <v/>
      </c>
      <c r="G4357" s="107" t="str">
        <f aca="false">IF($C4357="","",$D4357*IFERROR(INDEX('تحليل التكلفة والسعر'!$C$2:$C$700,MATCH($C4357,'تحليل التكلفة والسعر'!$B$2:$B$700,0)),0))</f>
        <v/>
      </c>
    </row>
    <row r="4358" customFormat="false" ht="15" hidden="false" customHeight="false" outlineLevel="0" collapsed="false">
      <c r="A4358" s="103"/>
      <c r="B4358" s="104"/>
      <c r="C4358" s="104"/>
      <c r="E4358" s="107" t="str">
        <f aca="false">IF($C4358="","",IFERROR(INDEX(المنيو!$C$2:$C$500,MATCH($C4358,المنيو!$B$2:$B$500,0)),0))</f>
        <v/>
      </c>
      <c r="F4358" s="107" t="str">
        <f aca="false">IF($C4358="","",$D4358*$E4358)</f>
        <v/>
      </c>
      <c r="G4358" s="107" t="str">
        <f aca="false">IF($C4358="","",$D4358*IFERROR(INDEX('تحليل التكلفة والسعر'!$C$2:$C$700,MATCH($C4358,'تحليل التكلفة والسعر'!$B$2:$B$700,0)),0))</f>
        <v/>
      </c>
    </row>
    <row r="4359" customFormat="false" ht="15" hidden="false" customHeight="false" outlineLevel="0" collapsed="false">
      <c r="A4359" s="103"/>
      <c r="B4359" s="104"/>
      <c r="C4359" s="104"/>
      <c r="E4359" s="107" t="str">
        <f aca="false">IF($C4359="","",IFERROR(INDEX(المنيو!$C$2:$C$500,MATCH($C4359,المنيو!$B$2:$B$500,0)),0))</f>
        <v/>
      </c>
      <c r="F4359" s="107" t="str">
        <f aca="false">IF($C4359="","",$D4359*$E4359)</f>
        <v/>
      </c>
      <c r="G4359" s="107" t="str">
        <f aca="false">IF($C4359="","",$D4359*IFERROR(INDEX('تحليل التكلفة والسعر'!$C$2:$C$700,MATCH($C4359,'تحليل التكلفة والسعر'!$B$2:$B$700,0)),0))</f>
        <v/>
      </c>
    </row>
    <row r="4360" customFormat="false" ht="15" hidden="false" customHeight="false" outlineLevel="0" collapsed="false">
      <c r="A4360" s="103"/>
      <c r="B4360" s="104"/>
      <c r="C4360" s="104"/>
      <c r="E4360" s="107" t="str">
        <f aca="false">IF($C4360="","",IFERROR(INDEX(المنيو!$C$2:$C$500,MATCH($C4360,المنيو!$B$2:$B$500,0)),0))</f>
        <v/>
      </c>
      <c r="F4360" s="107" t="str">
        <f aca="false">IF($C4360="","",$D4360*$E4360)</f>
        <v/>
      </c>
      <c r="G4360" s="107" t="str">
        <f aca="false">IF($C4360="","",$D4360*IFERROR(INDEX('تحليل التكلفة والسعر'!$C$2:$C$700,MATCH($C4360,'تحليل التكلفة والسعر'!$B$2:$B$700,0)),0))</f>
        <v/>
      </c>
    </row>
    <row r="4361" customFormat="false" ht="15" hidden="false" customHeight="false" outlineLevel="0" collapsed="false">
      <c r="A4361" s="103"/>
      <c r="B4361" s="104"/>
      <c r="C4361" s="104"/>
      <c r="E4361" s="107" t="str">
        <f aca="false">IF($C4361="","",IFERROR(INDEX(المنيو!$C$2:$C$500,MATCH($C4361,المنيو!$B$2:$B$500,0)),0))</f>
        <v/>
      </c>
      <c r="F4361" s="107" t="str">
        <f aca="false">IF($C4361="","",$D4361*$E4361)</f>
        <v/>
      </c>
      <c r="G4361" s="107" t="str">
        <f aca="false">IF($C4361="","",$D4361*IFERROR(INDEX('تحليل التكلفة والسعر'!$C$2:$C$700,MATCH($C4361,'تحليل التكلفة والسعر'!$B$2:$B$700,0)),0))</f>
        <v/>
      </c>
    </row>
    <row r="4362" customFormat="false" ht="15" hidden="false" customHeight="false" outlineLevel="0" collapsed="false">
      <c r="A4362" s="103"/>
      <c r="B4362" s="104"/>
      <c r="C4362" s="104"/>
      <c r="E4362" s="107" t="str">
        <f aca="false">IF($C4362="","",IFERROR(INDEX(المنيو!$C$2:$C$500,MATCH($C4362,المنيو!$B$2:$B$500,0)),0))</f>
        <v/>
      </c>
      <c r="F4362" s="107" t="str">
        <f aca="false">IF($C4362="","",$D4362*$E4362)</f>
        <v/>
      </c>
      <c r="G4362" s="107" t="str">
        <f aca="false">IF($C4362="","",$D4362*IFERROR(INDEX('تحليل التكلفة والسعر'!$C$2:$C$700,MATCH($C4362,'تحليل التكلفة والسعر'!$B$2:$B$700,0)),0))</f>
        <v/>
      </c>
    </row>
    <row r="4363" customFormat="false" ht="15" hidden="false" customHeight="false" outlineLevel="0" collapsed="false">
      <c r="A4363" s="103"/>
      <c r="B4363" s="104"/>
      <c r="C4363" s="104"/>
      <c r="E4363" s="107" t="str">
        <f aca="false">IF($C4363="","",IFERROR(INDEX(المنيو!$C$2:$C$500,MATCH($C4363,المنيو!$B$2:$B$500,0)),0))</f>
        <v/>
      </c>
      <c r="F4363" s="107" t="str">
        <f aca="false">IF($C4363="","",$D4363*$E4363)</f>
        <v/>
      </c>
      <c r="G4363" s="107" t="str">
        <f aca="false">IF($C4363="","",$D4363*IFERROR(INDEX('تحليل التكلفة والسعر'!$C$2:$C$700,MATCH($C4363,'تحليل التكلفة والسعر'!$B$2:$B$700,0)),0))</f>
        <v/>
      </c>
    </row>
    <row r="4364" customFormat="false" ht="15" hidden="false" customHeight="false" outlineLevel="0" collapsed="false">
      <c r="A4364" s="103"/>
      <c r="B4364" s="104"/>
      <c r="C4364" s="104"/>
      <c r="E4364" s="107" t="str">
        <f aca="false">IF($C4364="","",IFERROR(INDEX(المنيو!$C$2:$C$500,MATCH($C4364,المنيو!$B$2:$B$500,0)),0))</f>
        <v/>
      </c>
      <c r="F4364" s="107" t="str">
        <f aca="false">IF($C4364="","",$D4364*$E4364)</f>
        <v/>
      </c>
      <c r="G4364" s="107" t="str">
        <f aca="false">IF($C4364="","",$D4364*IFERROR(INDEX('تحليل التكلفة والسعر'!$C$2:$C$700,MATCH($C4364,'تحليل التكلفة والسعر'!$B$2:$B$700,0)),0))</f>
        <v/>
      </c>
    </row>
    <row r="4365" customFormat="false" ht="15" hidden="false" customHeight="false" outlineLevel="0" collapsed="false">
      <c r="A4365" s="103"/>
      <c r="B4365" s="104"/>
      <c r="C4365" s="104"/>
      <c r="E4365" s="107" t="str">
        <f aca="false">IF($C4365="","",IFERROR(INDEX(المنيو!$C$2:$C$500,MATCH($C4365,المنيو!$B$2:$B$500,0)),0))</f>
        <v/>
      </c>
      <c r="F4365" s="107" t="str">
        <f aca="false">IF($C4365="","",$D4365*$E4365)</f>
        <v/>
      </c>
      <c r="G4365" s="107" t="str">
        <f aca="false">IF($C4365="","",$D4365*IFERROR(INDEX('تحليل التكلفة والسعر'!$C$2:$C$700,MATCH($C4365,'تحليل التكلفة والسعر'!$B$2:$B$700,0)),0))</f>
        <v/>
      </c>
    </row>
    <row r="4366" customFormat="false" ht="15" hidden="false" customHeight="false" outlineLevel="0" collapsed="false">
      <c r="A4366" s="103"/>
      <c r="B4366" s="104"/>
      <c r="C4366" s="104"/>
      <c r="E4366" s="107" t="str">
        <f aca="false">IF($C4366="","",IFERROR(INDEX(المنيو!$C$2:$C$500,MATCH($C4366,المنيو!$B$2:$B$500,0)),0))</f>
        <v/>
      </c>
      <c r="F4366" s="107" t="str">
        <f aca="false">IF($C4366="","",$D4366*$E4366)</f>
        <v/>
      </c>
      <c r="G4366" s="107" t="str">
        <f aca="false">IF($C4366="","",$D4366*IFERROR(INDEX('تحليل التكلفة والسعر'!$C$2:$C$700,MATCH($C4366,'تحليل التكلفة والسعر'!$B$2:$B$700,0)),0))</f>
        <v/>
      </c>
    </row>
    <row r="4367" customFormat="false" ht="15" hidden="false" customHeight="false" outlineLevel="0" collapsed="false">
      <c r="A4367" s="103"/>
      <c r="B4367" s="104"/>
      <c r="C4367" s="104"/>
      <c r="E4367" s="107" t="str">
        <f aca="false">IF($C4367="","",IFERROR(INDEX(المنيو!$C$2:$C$500,MATCH($C4367,المنيو!$B$2:$B$500,0)),0))</f>
        <v/>
      </c>
      <c r="F4367" s="107" t="str">
        <f aca="false">IF($C4367="","",$D4367*$E4367)</f>
        <v/>
      </c>
      <c r="G4367" s="107" t="str">
        <f aca="false">IF($C4367="","",$D4367*IFERROR(INDEX('تحليل التكلفة والسعر'!$C$2:$C$700,MATCH($C4367,'تحليل التكلفة والسعر'!$B$2:$B$700,0)),0))</f>
        <v/>
      </c>
    </row>
    <row r="4368" customFormat="false" ht="15" hidden="false" customHeight="false" outlineLevel="0" collapsed="false">
      <c r="A4368" s="103"/>
      <c r="B4368" s="104"/>
      <c r="C4368" s="104"/>
      <c r="E4368" s="107" t="str">
        <f aca="false">IF($C4368="","",IFERROR(INDEX(المنيو!$C$2:$C$500,MATCH($C4368,المنيو!$B$2:$B$500,0)),0))</f>
        <v/>
      </c>
      <c r="F4368" s="107" t="str">
        <f aca="false">IF($C4368="","",$D4368*$E4368)</f>
        <v/>
      </c>
      <c r="G4368" s="107" t="str">
        <f aca="false">IF($C4368="","",$D4368*IFERROR(INDEX('تحليل التكلفة والسعر'!$C$2:$C$700,MATCH($C4368,'تحليل التكلفة والسعر'!$B$2:$B$700,0)),0))</f>
        <v/>
      </c>
    </row>
    <row r="4369" customFormat="false" ht="15" hidden="false" customHeight="false" outlineLevel="0" collapsed="false">
      <c r="A4369" s="103"/>
      <c r="B4369" s="104"/>
      <c r="C4369" s="104"/>
      <c r="E4369" s="107" t="str">
        <f aca="false">IF($C4369="","",IFERROR(INDEX(المنيو!$C$2:$C$500,MATCH($C4369,المنيو!$B$2:$B$500,0)),0))</f>
        <v/>
      </c>
      <c r="F4369" s="107" t="str">
        <f aca="false">IF($C4369="","",$D4369*$E4369)</f>
        <v/>
      </c>
      <c r="G4369" s="107" t="str">
        <f aca="false">IF($C4369="","",$D4369*IFERROR(INDEX('تحليل التكلفة والسعر'!$C$2:$C$700,MATCH($C4369,'تحليل التكلفة والسعر'!$B$2:$B$700,0)),0))</f>
        <v/>
      </c>
    </row>
    <row r="4370" customFormat="false" ht="15" hidden="false" customHeight="false" outlineLevel="0" collapsed="false">
      <c r="A4370" s="103"/>
      <c r="B4370" s="104"/>
      <c r="C4370" s="104"/>
      <c r="E4370" s="107" t="str">
        <f aca="false">IF($C4370="","",IFERROR(INDEX(المنيو!$C$2:$C$500,MATCH($C4370,المنيو!$B$2:$B$500,0)),0))</f>
        <v/>
      </c>
      <c r="F4370" s="107" t="str">
        <f aca="false">IF($C4370="","",$D4370*$E4370)</f>
        <v/>
      </c>
      <c r="G4370" s="107" t="str">
        <f aca="false">IF($C4370="","",$D4370*IFERROR(INDEX('تحليل التكلفة والسعر'!$C$2:$C$700,MATCH($C4370,'تحليل التكلفة والسعر'!$B$2:$B$700,0)),0))</f>
        <v/>
      </c>
    </row>
    <row r="4371" customFormat="false" ht="15" hidden="false" customHeight="false" outlineLevel="0" collapsed="false">
      <c r="A4371" s="103"/>
      <c r="B4371" s="104"/>
      <c r="C4371" s="104"/>
      <c r="E4371" s="107" t="str">
        <f aca="false">IF($C4371="","",IFERROR(INDEX(المنيو!$C$2:$C$500,MATCH($C4371,المنيو!$B$2:$B$500,0)),0))</f>
        <v/>
      </c>
      <c r="F4371" s="107" t="str">
        <f aca="false">IF($C4371="","",$D4371*$E4371)</f>
        <v/>
      </c>
      <c r="G4371" s="107" t="str">
        <f aca="false">IF($C4371="","",$D4371*IFERROR(INDEX('تحليل التكلفة والسعر'!$C$2:$C$700,MATCH($C4371,'تحليل التكلفة والسعر'!$B$2:$B$700,0)),0))</f>
        <v/>
      </c>
    </row>
    <row r="4372" customFormat="false" ht="15" hidden="false" customHeight="false" outlineLevel="0" collapsed="false">
      <c r="A4372" s="103"/>
      <c r="B4372" s="104"/>
      <c r="C4372" s="104"/>
      <c r="E4372" s="107" t="str">
        <f aca="false">IF($C4372="","",IFERROR(INDEX(المنيو!$C$2:$C$500,MATCH($C4372,المنيو!$B$2:$B$500,0)),0))</f>
        <v/>
      </c>
      <c r="F4372" s="107" t="str">
        <f aca="false">IF($C4372="","",$D4372*$E4372)</f>
        <v/>
      </c>
      <c r="G4372" s="107" t="str">
        <f aca="false">IF($C4372="","",$D4372*IFERROR(INDEX('تحليل التكلفة والسعر'!$C$2:$C$700,MATCH($C4372,'تحليل التكلفة والسعر'!$B$2:$B$700,0)),0))</f>
        <v/>
      </c>
    </row>
    <row r="4373" customFormat="false" ht="15" hidden="false" customHeight="false" outlineLevel="0" collapsed="false">
      <c r="A4373" s="103"/>
      <c r="B4373" s="104"/>
      <c r="C4373" s="104"/>
      <c r="E4373" s="107" t="str">
        <f aca="false">IF($C4373="","",IFERROR(INDEX(المنيو!$C$2:$C$500,MATCH($C4373,المنيو!$B$2:$B$500,0)),0))</f>
        <v/>
      </c>
      <c r="F4373" s="107" t="str">
        <f aca="false">IF($C4373="","",$D4373*$E4373)</f>
        <v/>
      </c>
      <c r="G4373" s="107" t="str">
        <f aca="false">IF($C4373="","",$D4373*IFERROR(INDEX('تحليل التكلفة والسعر'!$C$2:$C$700,MATCH($C4373,'تحليل التكلفة والسعر'!$B$2:$B$700,0)),0))</f>
        <v/>
      </c>
    </row>
    <row r="4374" customFormat="false" ht="15" hidden="false" customHeight="false" outlineLevel="0" collapsed="false">
      <c r="A4374" s="103"/>
      <c r="B4374" s="104"/>
      <c r="C4374" s="104"/>
      <c r="E4374" s="107" t="str">
        <f aca="false">IF($C4374="","",IFERROR(INDEX(المنيو!$C$2:$C$500,MATCH($C4374,المنيو!$B$2:$B$500,0)),0))</f>
        <v/>
      </c>
      <c r="F4374" s="107" t="str">
        <f aca="false">IF($C4374="","",$D4374*$E4374)</f>
        <v/>
      </c>
      <c r="G4374" s="107" t="str">
        <f aca="false">IF($C4374="","",$D4374*IFERROR(INDEX('تحليل التكلفة والسعر'!$C$2:$C$700,MATCH($C4374,'تحليل التكلفة والسعر'!$B$2:$B$700,0)),0))</f>
        <v/>
      </c>
    </row>
    <row r="4375" customFormat="false" ht="15" hidden="false" customHeight="false" outlineLevel="0" collapsed="false">
      <c r="A4375" s="103"/>
      <c r="B4375" s="104"/>
      <c r="C4375" s="104"/>
      <c r="E4375" s="107" t="str">
        <f aca="false">IF($C4375="","",IFERROR(INDEX(المنيو!$C$2:$C$500,MATCH($C4375,المنيو!$B$2:$B$500,0)),0))</f>
        <v/>
      </c>
      <c r="F4375" s="107" t="str">
        <f aca="false">IF($C4375="","",$D4375*$E4375)</f>
        <v/>
      </c>
      <c r="G4375" s="107" t="str">
        <f aca="false">IF($C4375="","",$D4375*IFERROR(INDEX('تحليل التكلفة والسعر'!$C$2:$C$700,MATCH($C4375,'تحليل التكلفة والسعر'!$B$2:$B$700,0)),0))</f>
        <v/>
      </c>
    </row>
    <row r="4376" customFormat="false" ht="15" hidden="false" customHeight="false" outlineLevel="0" collapsed="false">
      <c r="A4376" s="103"/>
      <c r="B4376" s="104"/>
      <c r="C4376" s="104"/>
      <c r="E4376" s="107" t="str">
        <f aca="false">IF($C4376="","",IFERROR(INDEX(المنيو!$C$2:$C$500,MATCH($C4376,المنيو!$B$2:$B$500,0)),0))</f>
        <v/>
      </c>
      <c r="F4376" s="107" t="str">
        <f aca="false">IF($C4376="","",$D4376*$E4376)</f>
        <v/>
      </c>
      <c r="G4376" s="107" t="str">
        <f aca="false">IF($C4376="","",$D4376*IFERROR(INDEX('تحليل التكلفة والسعر'!$C$2:$C$700,MATCH($C4376,'تحليل التكلفة والسعر'!$B$2:$B$700,0)),0))</f>
        <v/>
      </c>
    </row>
    <row r="4377" customFormat="false" ht="15" hidden="false" customHeight="false" outlineLevel="0" collapsed="false">
      <c r="A4377" s="103"/>
      <c r="B4377" s="104"/>
      <c r="C4377" s="104"/>
      <c r="E4377" s="107" t="str">
        <f aca="false">IF($C4377="","",IFERROR(INDEX(المنيو!$C$2:$C$500,MATCH($C4377,المنيو!$B$2:$B$500,0)),0))</f>
        <v/>
      </c>
      <c r="F4377" s="107" t="str">
        <f aca="false">IF($C4377="","",$D4377*$E4377)</f>
        <v/>
      </c>
      <c r="G4377" s="107" t="str">
        <f aca="false">IF($C4377="","",$D4377*IFERROR(INDEX('تحليل التكلفة والسعر'!$C$2:$C$700,MATCH($C4377,'تحليل التكلفة والسعر'!$B$2:$B$700,0)),0))</f>
        <v/>
      </c>
    </row>
    <row r="4378" customFormat="false" ht="15" hidden="false" customHeight="false" outlineLevel="0" collapsed="false">
      <c r="A4378" s="103"/>
      <c r="B4378" s="104"/>
      <c r="C4378" s="104"/>
      <c r="E4378" s="107" t="str">
        <f aca="false">IF($C4378="","",IFERROR(INDEX(المنيو!$C$2:$C$500,MATCH($C4378,المنيو!$B$2:$B$500,0)),0))</f>
        <v/>
      </c>
      <c r="F4378" s="107" t="str">
        <f aca="false">IF($C4378="","",$D4378*$E4378)</f>
        <v/>
      </c>
      <c r="G4378" s="107" t="str">
        <f aca="false">IF($C4378="","",$D4378*IFERROR(INDEX('تحليل التكلفة والسعر'!$C$2:$C$700,MATCH($C4378,'تحليل التكلفة والسعر'!$B$2:$B$700,0)),0))</f>
        <v/>
      </c>
    </row>
    <row r="4379" customFormat="false" ht="15" hidden="false" customHeight="false" outlineLevel="0" collapsed="false">
      <c r="A4379" s="103"/>
      <c r="B4379" s="104"/>
      <c r="C4379" s="104"/>
      <c r="E4379" s="107" t="str">
        <f aca="false">IF($C4379="","",IFERROR(INDEX(المنيو!$C$2:$C$500,MATCH($C4379,المنيو!$B$2:$B$500,0)),0))</f>
        <v/>
      </c>
      <c r="F4379" s="107" t="str">
        <f aca="false">IF($C4379="","",$D4379*$E4379)</f>
        <v/>
      </c>
      <c r="G4379" s="107" t="str">
        <f aca="false">IF($C4379="","",$D4379*IFERROR(INDEX('تحليل التكلفة والسعر'!$C$2:$C$700,MATCH($C4379,'تحليل التكلفة والسعر'!$B$2:$B$700,0)),0))</f>
        <v/>
      </c>
    </row>
    <row r="4380" customFormat="false" ht="15" hidden="false" customHeight="false" outlineLevel="0" collapsed="false">
      <c r="A4380" s="103"/>
      <c r="B4380" s="104"/>
      <c r="C4380" s="104"/>
      <c r="E4380" s="107" t="str">
        <f aca="false">IF($C4380="","",IFERROR(INDEX(المنيو!$C$2:$C$500,MATCH($C4380,المنيو!$B$2:$B$500,0)),0))</f>
        <v/>
      </c>
      <c r="F4380" s="107" t="str">
        <f aca="false">IF($C4380="","",$D4380*$E4380)</f>
        <v/>
      </c>
      <c r="G4380" s="107" t="str">
        <f aca="false">IF($C4380="","",$D4380*IFERROR(INDEX('تحليل التكلفة والسعر'!$C$2:$C$700,MATCH($C4380,'تحليل التكلفة والسعر'!$B$2:$B$700,0)),0))</f>
        <v/>
      </c>
    </row>
    <row r="4381" customFormat="false" ht="15" hidden="false" customHeight="false" outlineLevel="0" collapsed="false">
      <c r="A4381" s="103"/>
      <c r="B4381" s="104"/>
      <c r="C4381" s="104"/>
      <c r="E4381" s="107" t="str">
        <f aca="false">IF($C4381="","",IFERROR(INDEX(المنيو!$C$2:$C$500,MATCH($C4381,المنيو!$B$2:$B$500,0)),0))</f>
        <v/>
      </c>
      <c r="F4381" s="107" t="str">
        <f aca="false">IF($C4381="","",$D4381*$E4381)</f>
        <v/>
      </c>
      <c r="G4381" s="107" t="str">
        <f aca="false">IF($C4381="","",$D4381*IFERROR(INDEX('تحليل التكلفة والسعر'!$C$2:$C$700,MATCH($C4381,'تحليل التكلفة والسعر'!$B$2:$B$700,0)),0))</f>
        <v/>
      </c>
    </row>
    <row r="4382" customFormat="false" ht="15" hidden="false" customHeight="false" outlineLevel="0" collapsed="false">
      <c r="A4382" s="103"/>
      <c r="B4382" s="104"/>
      <c r="C4382" s="104"/>
      <c r="E4382" s="107" t="str">
        <f aca="false">IF($C4382="","",IFERROR(INDEX(المنيو!$C$2:$C$500,MATCH($C4382,المنيو!$B$2:$B$500,0)),0))</f>
        <v/>
      </c>
      <c r="F4382" s="107" t="str">
        <f aca="false">IF($C4382="","",$D4382*$E4382)</f>
        <v/>
      </c>
      <c r="G4382" s="107" t="str">
        <f aca="false">IF($C4382="","",$D4382*IFERROR(INDEX('تحليل التكلفة والسعر'!$C$2:$C$700,MATCH($C4382,'تحليل التكلفة والسعر'!$B$2:$B$700,0)),0))</f>
        <v/>
      </c>
    </row>
    <row r="4383" customFormat="false" ht="15" hidden="false" customHeight="false" outlineLevel="0" collapsed="false">
      <c r="A4383" s="103"/>
      <c r="B4383" s="104"/>
      <c r="C4383" s="104"/>
      <c r="E4383" s="107" t="str">
        <f aca="false">IF($C4383="","",IFERROR(INDEX(المنيو!$C$2:$C$500,MATCH($C4383,المنيو!$B$2:$B$500,0)),0))</f>
        <v/>
      </c>
      <c r="F4383" s="107" t="str">
        <f aca="false">IF($C4383="","",$D4383*$E4383)</f>
        <v/>
      </c>
      <c r="G4383" s="107" t="str">
        <f aca="false">IF($C4383="","",$D4383*IFERROR(INDEX('تحليل التكلفة والسعر'!$C$2:$C$700,MATCH($C4383,'تحليل التكلفة والسعر'!$B$2:$B$700,0)),0))</f>
        <v/>
      </c>
    </row>
    <row r="4384" customFormat="false" ht="15" hidden="false" customHeight="false" outlineLevel="0" collapsed="false">
      <c r="A4384" s="103"/>
      <c r="B4384" s="104"/>
      <c r="C4384" s="104"/>
      <c r="E4384" s="107" t="str">
        <f aca="false">IF($C4384="","",IFERROR(INDEX(المنيو!$C$2:$C$500,MATCH($C4384,المنيو!$B$2:$B$500,0)),0))</f>
        <v/>
      </c>
      <c r="F4384" s="107" t="str">
        <f aca="false">IF($C4384="","",$D4384*$E4384)</f>
        <v/>
      </c>
      <c r="G4384" s="107" t="str">
        <f aca="false">IF($C4384="","",$D4384*IFERROR(INDEX('تحليل التكلفة والسعر'!$C$2:$C$700,MATCH($C4384,'تحليل التكلفة والسعر'!$B$2:$B$700,0)),0))</f>
        <v/>
      </c>
    </row>
    <row r="4385" customFormat="false" ht="15" hidden="false" customHeight="false" outlineLevel="0" collapsed="false">
      <c r="A4385" s="103"/>
      <c r="B4385" s="104"/>
      <c r="C4385" s="104"/>
      <c r="E4385" s="107" t="str">
        <f aca="false">IF($C4385="","",IFERROR(INDEX(المنيو!$C$2:$C$500,MATCH($C4385,المنيو!$B$2:$B$500,0)),0))</f>
        <v/>
      </c>
      <c r="F4385" s="107" t="str">
        <f aca="false">IF($C4385="","",$D4385*$E4385)</f>
        <v/>
      </c>
      <c r="G4385" s="107" t="str">
        <f aca="false">IF($C4385="","",$D4385*IFERROR(INDEX('تحليل التكلفة والسعر'!$C$2:$C$700,MATCH($C4385,'تحليل التكلفة والسعر'!$B$2:$B$700,0)),0))</f>
        <v/>
      </c>
    </row>
    <row r="4386" customFormat="false" ht="15" hidden="false" customHeight="false" outlineLevel="0" collapsed="false">
      <c r="A4386" s="103"/>
      <c r="B4386" s="104"/>
      <c r="C4386" s="104"/>
      <c r="E4386" s="107" t="str">
        <f aca="false">IF($C4386="","",IFERROR(INDEX(المنيو!$C$2:$C$500,MATCH($C4386,المنيو!$B$2:$B$500,0)),0))</f>
        <v/>
      </c>
      <c r="F4386" s="107" t="str">
        <f aca="false">IF($C4386="","",$D4386*$E4386)</f>
        <v/>
      </c>
      <c r="G4386" s="107" t="str">
        <f aca="false">IF($C4386="","",$D4386*IFERROR(INDEX('تحليل التكلفة والسعر'!$C$2:$C$700,MATCH($C4386,'تحليل التكلفة والسعر'!$B$2:$B$700,0)),0))</f>
        <v/>
      </c>
    </row>
    <row r="4387" customFormat="false" ht="15" hidden="false" customHeight="false" outlineLevel="0" collapsed="false">
      <c r="A4387" s="103"/>
      <c r="B4387" s="104"/>
      <c r="C4387" s="104"/>
      <c r="E4387" s="107" t="str">
        <f aca="false">IF($C4387="","",IFERROR(INDEX(المنيو!$C$2:$C$500,MATCH($C4387,المنيو!$B$2:$B$500,0)),0))</f>
        <v/>
      </c>
      <c r="F4387" s="107" t="str">
        <f aca="false">IF($C4387="","",$D4387*$E4387)</f>
        <v/>
      </c>
      <c r="G4387" s="107" t="str">
        <f aca="false">IF($C4387="","",$D4387*IFERROR(INDEX('تحليل التكلفة والسعر'!$C$2:$C$700,MATCH($C4387,'تحليل التكلفة والسعر'!$B$2:$B$700,0)),0))</f>
        <v/>
      </c>
    </row>
    <row r="4388" customFormat="false" ht="15" hidden="false" customHeight="false" outlineLevel="0" collapsed="false">
      <c r="A4388" s="103"/>
      <c r="B4388" s="104"/>
      <c r="C4388" s="104"/>
      <c r="E4388" s="107" t="str">
        <f aca="false">IF($C4388="","",IFERROR(INDEX(المنيو!$C$2:$C$500,MATCH($C4388,المنيو!$B$2:$B$500,0)),0))</f>
        <v/>
      </c>
      <c r="F4388" s="107" t="str">
        <f aca="false">IF($C4388="","",$D4388*$E4388)</f>
        <v/>
      </c>
      <c r="G4388" s="107" t="str">
        <f aca="false">IF($C4388="","",$D4388*IFERROR(INDEX('تحليل التكلفة والسعر'!$C$2:$C$700,MATCH($C4388,'تحليل التكلفة والسعر'!$B$2:$B$700,0)),0))</f>
        <v/>
      </c>
    </row>
    <row r="4389" customFormat="false" ht="15" hidden="false" customHeight="false" outlineLevel="0" collapsed="false">
      <c r="A4389" s="103"/>
      <c r="B4389" s="104"/>
      <c r="C4389" s="104"/>
      <c r="E4389" s="107" t="str">
        <f aca="false">IF($C4389="","",IFERROR(INDEX(المنيو!$C$2:$C$500,MATCH($C4389,المنيو!$B$2:$B$500,0)),0))</f>
        <v/>
      </c>
      <c r="F4389" s="107" t="str">
        <f aca="false">IF($C4389="","",$D4389*$E4389)</f>
        <v/>
      </c>
      <c r="G4389" s="107" t="str">
        <f aca="false">IF($C4389="","",$D4389*IFERROR(INDEX('تحليل التكلفة والسعر'!$C$2:$C$700,MATCH($C4389,'تحليل التكلفة والسعر'!$B$2:$B$700,0)),0))</f>
        <v/>
      </c>
    </row>
    <row r="4390" customFormat="false" ht="15" hidden="false" customHeight="false" outlineLevel="0" collapsed="false">
      <c r="A4390" s="103"/>
      <c r="B4390" s="104"/>
      <c r="C4390" s="104"/>
      <c r="E4390" s="107" t="str">
        <f aca="false">IF($C4390="","",IFERROR(INDEX(المنيو!$C$2:$C$500,MATCH($C4390,المنيو!$B$2:$B$500,0)),0))</f>
        <v/>
      </c>
      <c r="F4390" s="107" t="str">
        <f aca="false">IF($C4390="","",$D4390*$E4390)</f>
        <v/>
      </c>
      <c r="G4390" s="107" t="str">
        <f aca="false">IF($C4390="","",$D4390*IFERROR(INDEX('تحليل التكلفة والسعر'!$C$2:$C$700,MATCH($C4390,'تحليل التكلفة والسعر'!$B$2:$B$700,0)),0))</f>
        <v/>
      </c>
    </row>
    <row r="4391" customFormat="false" ht="15" hidden="false" customHeight="false" outlineLevel="0" collapsed="false">
      <c r="A4391" s="103"/>
      <c r="B4391" s="104"/>
      <c r="C4391" s="104"/>
      <c r="E4391" s="107" t="str">
        <f aca="false">IF($C4391="","",IFERROR(INDEX(المنيو!$C$2:$C$500,MATCH($C4391,المنيو!$B$2:$B$500,0)),0))</f>
        <v/>
      </c>
      <c r="F4391" s="107" t="str">
        <f aca="false">IF($C4391="","",$D4391*$E4391)</f>
        <v/>
      </c>
      <c r="G4391" s="107" t="str">
        <f aca="false">IF($C4391="","",$D4391*IFERROR(INDEX('تحليل التكلفة والسعر'!$C$2:$C$700,MATCH($C4391,'تحليل التكلفة والسعر'!$B$2:$B$700,0)),0))</f>
        <v/>
      </c>
    </row>
    <row r="4392" customFormat="false" ht="15" hidden="false" customHeight="false" outlineLevel="0" collapsed="false">
      <c r="A4392" s="103"/>
      <c r="B4392" s="104"/>
      <c r="C4392" s="104"/>
      <c r="E4392" s="107" t="str">
        <f aca="false">IF($C4392="","",IFERROR(INDEX(المنيو!$C$2:$C$500,MATCH($C4392,المنيو!$B$2:$B$500,0)),0))</f>
        <v/>
      </c>
      <c r="F4392" s="107" t="str">
        <f aca="false">IF($C4392="","",$D4392*$E4392)</f>
        <v/>
      </c>
      <c r="G4392" s="107" t="str">
        <f aca="false">IF($C4392="","",$D4392*IFERROR(INDEX('تحليل التكلفة والسعر'!$C$2:$C$700,MATCH($C4392,'تحليل التكلفة والسعر'!$B$2:$B$700,0)),0))</f>
        <v/>
      </c>
    </row>
    <row r="4393" customFormat="false" ht="15" hidden="false" customHeight="false" outlineLevel="0" collapsed="false">
      <c r="A4393" s="103"/>
      <c r="B4393" s="104"/>
      <c r="C4393" s="104"/>
      <c r="E4393" s="107" t="str">
        <f aca="false">IF($C4393="","",IFERROR(INDEX(المنيو!$C$2:$C$500,MATCH($C4393,المنيو!$B$2:$B$500,0)),0))</f>
        <v/>
      </c>
      <c r="F4393" s="107" t="str">
        <f aca="false">IF($C4393="","",$D4393*$E4393)</f>
        <v/>
      </c>
      <c r="G4393" s="107" t="str">
        <f aca="false">IF($C4393="","",$D4393*IFERROR(INDEX('تحليل التكلفة والسعر'!$C$2:$C$700,MATCH($C4393,'تحليل التكلفة والسعر'!$B$2:$B$700,0)),0))</f>
        <v/>
      </c>
    </row>
    <row r="4394" customFormat="false" ht="15" hidden="false" customHeight="false" outlineLevel="0" collapsed="false">
      <c r="A4394" s="103"/>
      <c r="B4394" s="104"/>
      <c r="C4394" s="104"/>
      <c r="E4394" s="107" t="str">
        <f aca="false">IF($C4394="","",IFERROR(INDEX(المنيو!$C$2:$C$500,MATCH($C4394,المنيو!$B$2:$B$500,0)),0))</f>
        <v/>
      </c>
      <c r="F4394" s="107" t="str">
        <f aca="false">IF($C4394="","",$D4394*$E4394)</f>
        <v/>
      </c>
      <c r="G4394" s="107" t="str">
        <f aca="false">IF($C4394="","",$D4394*IFERROR(INDEX('تحليل التكلفة والسعر'!$C$2:$C$700,MATCH($C4394,'تحليل التكلفة والسعر'!$B$2:$B$700,0)),0))</f>
        <v/>
      </c>
    </row>
    <row r="4395" customFormat="false" ht="15" hidden="false" customHeight="false" outlineLevel="0" collapsed="false">
      <c r="A4395" s="103"/>
      <c r="B4395" s="104"/>
      <c r="C4395" s="104"/>
      <c r="E4395" s="107" t="str">
        <f aca="false">IF($C4395="","",IFERROR(INDEX(المنيو!$C$2:$C$500,MATCH($C4395,المنيو!$B$2:$B$500,0)),0))</f>
        <v/>
      </c>
      <c r="F4395" s="107" t="str">
        <f aca="false">IF($C4395="","",$D4395*$E4395)</f>
        <v/>
      </c>
      <c r="G4395" s="107" t="str">
        <f aca="false">IF($C4395="","",$D4395*IFERROR(INDEX('تحليل التكلفة والسعر'!$C$2:$C$700,MATCH($C4395,'تحليل التكلفة والسعر'!$B$2:$B$700,0)),0))</f>
        <v/>
      </c>
    </row>
    <row r="4396" customFormat="false" ht="15" hidden="false" customHeight="false" outlineLevel="0" collapsed="false">
      <c r="A4396" s="103"/>
      <c r="B4396" s="104"/>
      <c r="C4396" s="104"/>
      <c r="E4396" s="107" t="str">
        <f aca="false">IF($C4396="","",IFERROR(INDEX(المنيو!$C$2:$C$500,MATCH($C4396,المنيو!$B$2:$B$500,0)),0))</f>
        <v/>
      </c>
      <c r="F4396" s="107" t="str">
        <f aca="false">IF($C4396="","",$D4396*$E4396)</f>
        <v/>
      </c>
      <c r="G4396" s="107" t="str">
        <f aca="false">IF($C4396="","",$D4396*IFERROR(INDEX('تحليل التكلفة والسعر'!$C$2:$C$700,MATCH($C4396,'تحليل التكلفة والسعر'!$B$2:$B$700,0)),0))</f>
        <v/>
      </c>
    </row>
    <row r="4397" customFormat="false" ht="15" hidden="false" customHeight="false" outlineLevel="0" collapsed="false">
      <c r="A4397" s="103"/>
      <c r="B4397" s="104"/>
      <c r="C4397" s="104"/>
      <c r="E4397" s="107" t="str">
        <f aca="false">IF($C4397="","",IFERROR(INDEX(المنيو!$C$2:$C$500,MATCH($C4397,المنيو!$B$2:$B$500,0)),0))</f>
        <v/>
      </c>
      <c r="F4397" s="107" t="str">
        <f aca="false">IF($C4397="","",$D4397*$E4397)</f>
        <v/>
      </c>
      <c r="G4397" s="107" t="str">
        <f aca="false">IF($C4397="","",$D4397*IFERROR(INDEX('تحليل التكلفة والسعر'!$C$2:$C$700,MATCH($C4397,'تحليل التكلفة والسعر'!$B$2:$B$700,0)),0))</f>
        <v/>
      </c>
    </row>
    <row r="4398" customFormat="false" ht="15" hidden="false" customHeight="false" outlineLevel="0" collapsed="false">
      <c r="A4398" s="103"/>
      <c r="B4398" s="104"/>
      <c r="C4398" s="104"/>
      <c r="E4398" s="107" t="str">
        <f aca="false">IF($C4398="","",IFERROR(INDEX(المنيو!$C$2:$C$500,MATCH($C4398,المنيو!$B$2:$B$500,0)),0))</f>
        <v/>
      </c>
      <c r="F4398" s="107" t="str">
        <f aca="false">IF($C4398="","",$D4398*$E4398)</f>
        <v/>
      </c>
      <c r="G4398" s="107" t="str">
        <f aca="false">IF($C4398="","",$D4398*IFERROR(INDEX('تحليل التكلفة والسعر'!$C$2:$C$700,MATCH($C4398,'تحليل التكلفة والسعر'!$B$2:$B$700,0)),0))</f>
        <v/>
      </c>
    </row>
    <row r="4399" customFormat="false" ht="15" hidden="false" customHeight="false" outlineLevel="0" collapsed="false">
      <c r="A4399" s="103"/>
      <c r="B4399" s="104"/>
      <c r="C4399" s="104"/>
      <c r="E4399" s="107" t="str">
        <f aca="false">IF($C4399="","",IFERROR(INDEX(المنيو!$C$2:$C$500,MATCH($C4399,المنيو!$B$2:$B$500,0)),0))</f>
        <v/>
      </c>
      <c r="F4399" s="107" t="str">
        <f aca="false">IF($C4399="","",$D4399*$E4399)</f>
        <v/>
      </c>
      <c r="G4399" s="107" t="str">
        <f aca="false">IF($C4399="","",$D4399*IFERROR(INDEX('تحليل التكلفة والسعر'!$C$2:$C$700,MATCH($C4399,'تحليل التكلفة والسعر'!$B$2:$B$700,0)),0))</f>
        <v/>
      </c>
    </row>
    <row r="4400" customFormat="false" ht="15" hidden="false" customHeight="false" outlineLevel="0" collapsed="false">
      <c r="A4400" s="103"/>
      <c r="B4400" s="104"/>
      <c r="C4400" s="104"/>
      <c r="E4400" s="107" t="str">
        <f aca="false">IF($C4400="","",IFERROR(INDEX(المنيو!$C$2:$C$500,MATCH($C4400,المنيو!$B$2:$B$500,0)),0))</f>
        <v/>
      </c>
      <c r="F4400" s="107" t="str">
        <f aca="false">IF($C4400="","",$D4400*$E4400)</f>
        <v/>
      </c>
      <c r="G4400" s="107" t="str">
        <f aca="false">IF($C4400="","",$D4400*IFERROR(INDEX('تحليل التكلفة والسعر'!$C$2:$C$700,MATCH($C4400,'تحليل التكلفة والسعر'!$B$2:$B$700,0)),0))</f>
        <v/>
      </c>
    </row>
    <row r="4401" customFormat="false" ht="15" hidden="false" customHeight="false" outlineLevel="0" collapsed="false">
      <c r="A4401" s="103"/>
      <c r="B4401" s="104"/>
      <c r="C4401" s="104"/>
      <c r="E4401" s="107" t="str">
        <f aca="false">IF($C4401="","",IFERROR(INDEX(المنيو!$C$2:$C$500,MATCH($C4401,المنيو!$B$2:$B$500,0)),0))</f>
        <v/>
      </c>
      <c r="F4401" s="107" t="str">
        <f aca="false">IF($C4401="","",$D4401*$E4401)</f>
        <v/>
      </c>
      <c r="G4401" s="107" t="str">
        <f aca="false">IF($C4401="","",$D4401*IFERROR(INDEX('تحليل التكلفة والسعر'!$C$2:$C$700,MATCH($C4401,'تحليل التكلفة والسعر'!$B$2:$B$700,0)),0))</f>
        <v/>
      </c>
    </row>
    <row r="4402" customFormat="false" ht="15" hidden="false" customHeight="false" outlineLevel="0" collapsed="false">
      <c r="A4402" s="103"/>
      <c r="B4402" s="104"/>
      <c r="C4402" s="104"/>
      <c r="E4402" s="107" t="str">
        <f aca="false">IF($C4402="","",IFERROR(INDEX(المنيو!$C$2:$C$500,MATCH($C4402,المنيو!$B$2:$B$500,0)),0))</f>
        <v/>
      </c>
      <c r="F4402" s="107" t="str">
        <f aca="false">IF($C4402="","",$D4402*$E4402)</f>
        <v/>
      </c>
      <c r="G4402" s="107" t="str">
        <f aca="false">IF($C4402="","",$D4402*IFERROR(INDEX('تحليل التكلفة والسعر'!$C$2:$C$700,MATCH($C4402,'تحليل التكلفة والسعر'!$B$2:$B$700,0)),0))</f>
        <v/>
      </c>
    </row>
    <row r="4403" customFormat="false" ht="15" hidden="false" customHeight="false" outlineLevel="0" collapsed="false">
      <c r="A4403" s="103"/>
      <c r="B4403" s="104"/>
      <c r="C4403" s="104"/>
      <c r="E4403" s="107" t="str">
        <f aca="false">IF($C4403="","",IFERROR(INDEX(المنيو!$C$2:$C$500,MATCH($C4403,المنيو!$B$2:$B$500,0)),0))</f>
        <v/>
      </c>
      <c r="F4403" s="107" t="str">
        <f aca="false">IF($C4403="","",$D4403*$E4403)</f>
        <v/>
      </c>
      <c r="G4403" s="107" t="str">
        <f aca="false">IF($C4403="","",$D4403*IFERROR(INDEX('تحليل التكلفة والسعر'!$C$2:$C$700,MATCH($C4403,'تحليل التكلفة والسعر'!$B$2:$B$700,0)),0))</f>
        <v/>
      </c>
    </row>
    <row r="4404" customFormat="false" ht="15" hidden="false" customHeight="false" outlineLevel="0" collapsed="false">
      <c r="A4404" s="103"/>
      <c r="B4404" s="104"/>
      <c r="C4404" s="104"/>
      <c r="E4404" s="107" t="str">
        <f aca="false">IF($C4404="","",IFERROR(INDEX(المنيو!$C$2:$C$500,MATCH($C4404,المنيو!$B$2:$B$500,0)),0))</f>
        <v/>
      </c>
      <c r="F4404" s="107" t="str">
        <f aca="false">IF($C4404="","",$D4404*$E4404)</f>
        <v/>
      </c>
      <c r="G4404" s="107" t="str">
        <f aca="false">IF($C4404="","",$D4404*IFERROR(INDEX('تحليل التكلفة والسعر'!$C$2:$C$700,MATCH($C4404,'تحليل التكلفة والسعر'!$B$2:$B$700,0)),0))</f>
        <v/>
      </c>
    </row>
    <row r="4405" customFormat="false" ht="15" hidden="false" customHeight="false" outlineLevel="0" collapsed="false">
      <c r="A4405" s="103"/>
      <c r="B4405" s="104"/>
      <c r="C4405" s="104"/>
      <c r="E4405" s="107" t="str">
        <f aca="false">IF($C4405="","",IFERROR(INDEX(المنيو!$C$2:$C$500,MATCH($C4405,المنيو!$B$2:$B$500,0)),0))</f>
        <v/>
      </c>
      <c r="F4405" s="107" t="str">
        <f aca="false">IF($C4405="","",$D4405*$E4405)</f>
        <v/>
      </c>
      <c r="G4405" s="107" t="str">
        <f aca="false">IF($C4405="","",$D4405*IFERROR(INDEX('تحليل التكلفة والسعر'!$C$2:$C$700,MATCH($C4405,'تحليل التكلفة والسعر'!$B$2:$B$700,0)),0))</f>
        <v/>
      </c>
    </row>
    <row r="4406" customFormat="false" ht="15" hidden="false" customHeight="false" outlineLevel="0" collapsed="false">
      <c r="A4406" s="103"/>
      <c r="B4406" s="104"/>
      <c r="C4406" s="104"/>
      <c r="E4406" s="107" t="str">
        <f aca="false">IF($C4406="","",IFERROR(INDEX(المنيو!$C$2:$C$500,MATCH($C4406,المنيو!$B$2:$B$500,0)),0))</f>
        <v/>
      </c>
      <c r="F4406" s="107" t="str">
        <f aca="false">IF($C4406="","",$D4406*$E4406)</f>
        <v/>
      </c>
      <c r="G4406" s="107" t="str">
        <f aca="false">IF($C4406="","",$D4406*IFERROR(INDEX('تحليل التكلفة والسعر'!$C$2:$C$700,MATCH($C4406,'تحليل التكلفة والسعر'!$B$2:$B$700,0)),0))</f>
        <v/>
      </c>
    </row>
    <row r="4407" customFormat="false" ht="15" hidden="false" customHeight="false" outlineLevel="0" collapsed="false">
      <c r="A4407" s="103"/>
      <c r="B4407" s="104"/>
      <c r="C4407" s="104"/>
      <c r="E4407" s="107" t="str">
        <f aca="false">IF($C4407="","",IFERROR(INDEX(المنيو!$C$2:$C$500,MATCH($C4407,المنيو!$B$2:$B$500,0)),0))</f>
        <v/>
      </c>
      <c r="F4407" s="107" t="str">
        <f aca="false">IF($C4407="","",$D4407*$E4407)</f>
        <v/>
      </c>
      <c r="G4407" s="107" t="str">
        <f aca="false">IF($C4407="","",$D4407*IFERROR(INDEX('تحليل التكلفة والسعر'!$C$2:$C$700,MATCH($C4407,'تحليل التكلفة والسعر'!$B$2:$B$700,0)),0))</f>
        <v/>
      </c>
    </row>
    <row r="4408" customFormat="false" ht="15" hidden="false" customHeight="false" outlineLevel="0" collapsed="false">
      <c r="A4408" s="103"/>
      <c r="B4408" s="104"/>
      <c r="C4408" s="104"/>
      <c r="E4408" s="107" t="str">
        <f aca="false">IF($C4408="","",IFERROR(INDEX(المنيو!$C$2:$C$500,MATCH($C4408,المنيو!$B$2:$B$500,0)),0))</f>
        <v/>
      </c>
      <c r="F4408" s="107" t="str">
        <f aca="false">IF($C4408="","",$D4408*$E4408)</f>
        <v/>
      </c>
      <c r="G4408" s="107" t="str">
        <f aca="false">IF($C4408="","",$D4408*IFERROR(INDEX('تحليل التكلفة والسعر'!$C$2:$C$700,MATCH($C4408,'تحليل التكلفة والسعر'!$B$2:$B$700,0)),0))</f>
        <v/>
      </c>
    </row>
    <row r="4409" customFormat="false" ht="15" hidden="false" customHeight="false" outlineLevel="0" collapsed="false">
      <c r="A4409" s="103"/>
      <c r="B4409" s="104"/>
      <c r="C4409" s="104"/>
      <c r="E4409" s="107" t="str">
        <f aca="false">IF($C4409="","",IFERROR(INDEX(المنيو!$C$2:$C$500,MATCH($C4409,المنيو!$B$2:$B$500,0)),0))</f>
        <v/>
      </c>
      <c r="F4409" s="107" t="str">
        <f aca="false">IF($C4409="","",$D4409*$E4409)</f>
        <v/>
      </c>
      <c r="G4409" s="107" t="str">
        <f aca="false">IF($C4409="","",$D4409*IFERROR(INDEX('تحليل التكلفة والسعر'!$C$2:$C$700,MATCH($C4409,'تحليل التكلفة والسعر'!$B$2:$B$700,0)),0))</f>
        <v/>
      </c>
    </row>
    <row r="4410" customFormat="false" ht="15" hidden="false" customHeight="false" outlineLevel="0" collapsed="false">
      <c r="A4410" s="103"/>
      <c r="B4410" s="104"/>
      <c r="C4410" s="104"/>
      <c r="E4410" s="107" t="str">
        <f aca="false">IF($C4410="","",IFERROR(INDEX(المنيو!$C$2:$C$500,MATCH($C4410,المنيو!$B$2:$B$500,0)),0))</f>
        <v/>
      </c>
      <c r="F4410" s="107" t="str">
        <f aca="false">IF($C4410="","",$D4410*$E4410)</f>
        <v/>
      </c>
      <c r="G4410" s="107" t="str">
        <f aca="false">IF($C4410="","",$D4410*IFERROR(INDEX('تحليل التكلفة والسعر'!$C$2:$C$700,MATCH($C4410,'تحليل التكلفة والسعر'!$B$2:$B$700,0)),0))</f>
        <v/>
      </c>
    </row>
    <row r="4411" customFormat="false" ht="15" hidden="false" customHeight="false" outlineLevel="0" collapsed="false">
      <c r="A4411" s="103"/>
      <c r="B4411" s="104"/>
      <c r="C4411" s="104"/>
      <c r="E4411" s="107" t="str">
        <f aca="false">IF($C4411="","",IFERROR(INDEX(المنيو!$C$2:$C$500,MATCH($C4411,المنيو!$B$2:$B$500,0)),0))</f>
        <v/>
      </c>
      <c r="F4411" s="107" t="str">
        <f aca="false">IF($C4411="","",$D4411*$E4411)</f>
        <v/>
      </c>
      <c r="G4411" s="107" t="str">
        <f aca="false">IF($C4411="","",$D4411*IFERROR(INDEX('تحليل التكلفة والسعر'!$C$2:$C$700,MATCH($C4411,'تحليل التكلفة والسعر'!$B$2:$B$700,0)),0))</f>
        <v/>
      </c>
    </row>
    <row r="4412" customFormat="false" ht="15" hidden="false" customHeight="false" outlineLevel="0" collapsed="false">
      <c r="A4412" s="103"/>
      <c r="B4412" s="104"/>
      <c r="C4412" s="104"/>
      <c r="E4412" s="107" t="str">
        <f aca="false">IF($C4412="","",IFERROR(INDEX(المنيو!$C$2:$C$500,MATCH($C4412,المنيو!$B$2:$B$500,0)),0))</f>
        <v/>
      </c>
      <c r="F4412" s="107" t="str">
        <f aca="false">IF($C4412="","",$D4412*$E4412)</f>
        <v/>
      </c>
      <c r="G4412" s="107" t="str">
        <f aca="false">IF($C4412="","",$D4412*IFERROR(INDEX('تحليل التكلفة والسعر'!$C$2:$C$700,MATCH($C4412,'تحليل التكلفة والسعر'!$B$2:$B$700,0)),0))</f>
        <v/>
      </c>
    </row>
    <row r="4413" customFormat="false" ht="15" hidden="false" customHeight="false" outlineLevel="0" collapsed="false">
      <c r="A4413" s="103"/>
      <c r="B4413" s="104"/>
      <c r="C4413" s="104"/>
      <c r="E4413" s="107" t="str">
        <f aca="false">IF($C4413="","",IFERROR(INDEX(المنيو!$C$2:$C$500,MATCH($C4413,المنيو!$B$2:$B$500,0)),0))</f>
        <v/>
      </c>
      <c r="F4413" s="107" t="str">
        <f aca="false">IF($C4413="","",$D4413*$E4413)</f>
        <v/>
      </c>
      <c r="G4413" s="107" t="str">
        <f aca="false">IF($C4413="","",$D4413*IFERROR(INDEX('تحليل التكلفة والسعر'!$C$2:$C$700,MATCH($C4413,'تحليل التكلفة والسعر'!$B$2:$B$700,0)),0))</f>
        <v/>
      </c>
    </row>
    <row r="4414" customFormat="false" ht="15" hidden="false" customHeight="false" outlineLevel="0" collapsed="false">
      <c r="A4414" s="103"/>
      <c r="B4414" s="104"/>
      <c r="C4414" s="104"/>
      <c r="E4414" s="107" t="str">
        <f aca="false">IF($C4414="","",IFERROR(INDEX(المنيو!$C$2:$C$500,MATCH($C4414,المنيو!$B$2:$B$500,0)),0))</f>
        <v/>
      </c>
      <c r="F4414" s="107" t="str">
        <f aca="false">IF($C4414="","",$D4414*$E4414)</f>
        <v/>
      </c>
      <c r="G4414" s="107" t="str">
        <f aca="false">IF($C4414="","",$D4414*IFERROR(INDEX('تحليل التكلفة والسعر'!$C$2:$C$700,MATCH($C4414,'تحليل التكلفة والسعر'!$B$2:$B$700,0)),0))</f>
        <v/>
      </c>
    </row>
    <row r="4415" customFormat="false" ht="15" hidden="false" customHeight="false" outlineLevel="0" collapsed="false">
      <c r="A4415" s="103"/>
      <c r="B4415" s="104"/>
      <c r="C4415" s="104"/>
      <c r="E4415" s="107" t="str">
        <f aca="false">IF($C4415="","",IFERROR(INDEX(المنيو!$C$2:$C$500,MATCH($C4415,المنيو!$B$2:$B$500,0)),0))</f>
        <v/>
      </c>
      <c r="F4415" s="107" t="str">
        <f aca="false">IF($C4415="","",$D4415*$E4415)</f>
        <v/>
      </c>
      <c r="G4415" s="107" t="str">
        <f aca="false">IF($C4415="","",$D4415*IFERROR(INDEX('تحليل التكلفة والسعر'!$C$2:$C$700,MATCH($C4415,'تحليل التكلفة والسعر'!$B$2:$B$700,0)),0))</f>
        <v/>
      </c>
    </row>
    <row r="4416" customFormat="false" ht="15" hidden="false" customHeight="false" outlineLevel="0" collapsed="false">
      <c r="A4416" s="103"/>
      <c r="B4416" s="104"/>
      <c r="C4416" s="104"/>
      <c r="E4416" s="107" t="str">
        <f aca="false">IF($C4416="","",IFERROR(INDEX(المنيو!$C$2:$C$500,MATCH($C4416,المنيو!$B$2:$B$500,0)),0))</f>
        <v/>
      </c>
      <c r="F4416" s="107" t="str">
        <f aca="false">IF($C4416="","",$D4416*$E4416)</f>
        <v/>
      </c>
      <c r="G4416" s="107" t="str">
        <f aca="false">IF($C4416="","",$D4416*IFERROR(INDEX('تحليل التكلفة والسعر'!$C$2:$C$700,MATCH($C4416,'تحليل التكلفة والسعر'!$B$2:$B$700,0)),0))</f>
        <v/>
      </c>
    </row>
    <row r="4417" customFormat="false" ht="15" hidden="false" customHeight="false" outlineLevel="0" collapsed="false">
      <c r="A4417" s="103"/>
      <c r="B4417" s="104"/>
      <c r="C4417" s="104"/>
      <c r="E4417" s="107" t="str">
        <f aca="false">IF($C4417="","",IFERROR(INDEX(المنيو!$C$2:$C$500,MATCH($C4417,المنيو!$B$2:$B$500,0)),0))</f>
        <v/>
      </c>
      <c r="F4417" s="107" t="str">
        <f aca="false">IF($C4417="","",$D4417*$E4417)</f>
        <v/>
      </c>
      <c r="G4417" s="107" t="str">
        <f aca="false">IF($C4417="","",$D4417*IFERROR(INDEX('تحليل التكلفة والسعر'!$C$2:$C$700,MATCH($C4417,'تحليل التكلفة والسعر'!$B$2:$B$700,0)),0))</f>
        <v/>
      </c>
    </row>
    <row r="4418" customFormat="false" ht="15" hidden="false" customHeight="false" outlineLevel="0" collapsed="false">
      <c r="A4418" s="103"/>
      <c r="B4418" s="104"/>
      <c r="C4418" s="104"/>
      <c r="E4418" s="107" t="str">
        <f aca="false">IF($C4418="","",IFERROR(INDEX(المنيو!$C$2:$C$500,MATCH($C4418,المنيو!$B$2:$B$500,0)),0))</f>
        <v/>
      </c>
      <c r="F4418" s="107" t="str">
        <f aca="false">IF($C4418="","",$D4418*$E4418)</f>
        <v/>
      </c>
      <c r="G4418" s="107" t="str">
        <f aca="false">IF($C4418="","",$D4418*IFERROR(INDEX('تحليل التكلفة والسعر'!$C$2:$C$700,MATCH($C4418,'تحليل التكلفة والسعر'!$B$2:$B$700,0)),0))</f>
        <v/>
      </c>
    </row>
    <row r="4419" customFormat="false" ht="15" hidden="false" customHeight="false" outlineLevel="0" collapsed="false">
      <c r="A4419" s="103"/>
      <c r="B4419" s="104"/>
      <c r="C4419" s="104"/>
      <c r="E4419" s="107" t="str">
        <f aca="false">IF($C4419="","",IFERROR(INDEX(المنيو!$C$2:$C$500,MATCH($C4419,المنيو!$B$2:$B$500,0)),0))</f>
        <v/>
      </c>
      <c r="F4419" s="107" t="str">
        <f aca="false">IF($C4419="","",$D4419*$E4419)</f>
        <v/>
      </c>
      <c r="G4419" s="107" t="str">
        <f aca="false">IF($C4419="","",$D4419*IFERROR(INDEX('تحليل التكلفة والسعر'!$C$2:$C$700,MATCH($C4419,'تحليل التكلفة والسعر'!$B$2:$B$700,0)),0))</f>
        <v/>
      </c>
    </row>
    <row r="4420" customFormat="false" ht="15" hidden="false" customHeight="false" outlineLevel="0" collapsed="false">
      <c r="A4420" s="103"/>
      <c r="B4420" s="104"/>
      <c r="C4420" s="104"/>
      <c r="E4420" s="107" t="str">
        <f aca="false">IF($C4420="","",IFERROR(INDEX(المنيو!$C$2:$C$500,MATCH($C4420,المنيو!$B$2:$B$500,0)),0))</f>
        <v/>
      </c>
      <c r="F4420" s="107" t="str">
        <f aca="false">IF($C4420="","",$D4420*$E4420)</f>
        <v/>
      </c>
      <c r="G4420" s="107" t="str">
        <f aca="false">IF($C4420="","",$D4420*IFERROR(INDEX('تحليل التكلفة والسعر'!$C$2:$C$700,MATCH($C4420,'تحليل التكلفة والسعر'!$B$2:$B$700,0)),0))</f>
        <v/>
      </c>
    </row>
    <row r="4421" customFormat="false" ht="15" hidden="false" customHeight="false" outlineLevel="0" collapsed="false">
      <c r="A4421" s="103"/>
      <c r="B4421" s="104"/>
      <c r="C4421" s="104"/>
      <c r="E4421" s="107" t="str">
        <f aca="false">IF($C4421="","",IFERROR(INDEX(المنيو!$C$2:$C$500,MATCH($C4421,المنيو!$B$2:$B$500,0)),0))</f>
        <v/>
      </c>
      <c r="F4421" s="107" t="str">
        <f aca="false">IF($C4421="","",$D4421*$E4421)</f>
        <v/>
      </c>
      <c r="G4421" s="107" t="str">
        <f aca="false">IF($C4421="","",$D4421*IFERROR(INDEX('تحليل التكلفة والسعر'!$C$2:$C$700,MATCH($C4421,'تحليل التكلفة والسعر'!$B$2:$B$700,0)),0))</f>
        <v/>
      </c>
    </row>
    <row r="4422" customFormat="false" ht="15" hidden="false" customHeight="false" outlineLevel="0" collapsed="false">
      <c r="A4422" s="103"/>
      <c r="B4422" s="104"/>
      <c r="C4422" s="104"/>
      <c r="E4422" s="107" t="str">
        <f aca="false">IF($C4422="","",IFERROR(INDEX(المنيو!$C$2:$C$500,MATCH($C4422,المنيو!$B$2:$B$500,0)),0))</f>
        <v/>
      </c>
      <c r="F4422" s="107" t="str">
        <f aca="false">IF($C4422="","",$D4422*$E4422)</f>
        <v/>
      </c>
      <c r="G4422" s="107" t="str">
        <f aca="false">IF($C4422="","",$D4422*IFERROR(INDEX('تحليل التكلفة والسعر'!$C$2:$C$700,MATCH($C4422,'تحليل التكلفة والسعر'!$B$2:$B$700,0)),0))</f>
        <v/>
      </c>
    </row>
    <row r="4423" customFormat="false" ht="15" hidden="false" customHeight="false" outlineLevel="0" collapsed="false">
      <c r="A4423" s="103"/>
      <c r="B4423" s="104"/>
      <c r="C4423" s="104"/>
      <c r="E4423" s="107" t="str">
        <f aca="false">IF($C4423="","",IFERROR(INDEX(المنيو!$C$2:$C$500,MATCH($C4423,المنيو!$B$2:$B$500,0)),0))</f>
        <v/>
      </c>
      <c r="F4423" s="107" t="str">
        <f aca="false">IF($C4423="","",$D4423*$E4423)</f>
        <v/>
      </c>
      <c r="G4423" s="107" t="str">
        <f aca="false">IF($C4423="","",$D4423*IFERROR(INDEX('تحليل التكلفة والسعر'!$C$2:$C$700,MATCH($C4423,'تحليل التكلفة والسعر'!$B$2:$B$700,0)),0))</f>
        <v/>
      </c>
    </row>
    <row r="4424" customFormat="false" ht="15" hidden="false" customHeight="false" outlineLevel="0" collapsed="false">
      <c r="A4424" s="103"/>
      <c r="B4424" s="104"/>
      <c r="C4424" s="104"/>
      <c r="E4424" s="107" t="str">
        <f aca="false">IF($C4424="","",IFERROR(INDEX(المنيو!$C$2:$C$500,MATCH($C4424,المنيو!$B$2:$B$500,0)),0))</f>
        <v/>
      </c>
      <c r="F4424" s="107" t="str">
        <f aca="false">IF($C4424="","",$D4424*$E4424)</f>
        <v/>
      </c>
      <c r="G4424" s="107" t="str">
        <f aca="false">IF($C4424="","",$D4424*IFERROR(INDEX('تحليل التكلفة والسعر'!$C$2:$C$700,MATCH($C4424,'تحليل التكلفة والسعر'!$B$2:$B$700,0)),0))</f>
        <v/>
      </c>
    </row>
    <row r="4425" customFormat="false" ht="15" hidden="false" customHeight="false" outlineLevel="0" collapsed="false">
      <c r="A4425" s="103"/>
      <c r="B4425" s="104"/>
      <c r="C4425" s="104"/>
      <c r="E4425" s="107" t="str">
        <f aca="false">IF($C4425="","",IFERROR(INDEX(المنيو!$C$2:$C$500,MATCH($C4425,المنيو!$B$2:$B$500,0)),0))</f>
        <v/>
      </c>
      <c r="F4425" s="107" t="str">
        <f aca="false">IF($C4425="","",$D4425*$E4425)</f>
        <v/>
      </c>
      <c r="G4425" s="107" t="str">
        <f aca="false">IF($C4425="","",$D4425*IFERROR(INDEX('تحليل التكلفة والسعر'!$C$2:$C$700,MATCH($C4425,'تحليل التكلفة والسعر'!$B$2:$B$700,0)),0))</f>
        <v/>
      </c>
    </row>
    <row r="4426" customFormat="false" ht="15" hidden="false" customHeight="false" outlineLevel="0" collapsed="false">
      <c r="A4426" s="103"/>
      <c r="B4426" s="104"/>
      <c r="C4426" s="104"/>
      <c r="E4426" s="107" t="str">
        <f aca="false">IF($C4426="","",IFERROR(INDEX(المنيو!$C$2:$C$500,MATCH($C4426,المنيو!$B$2:$B$500,0)),0))</f>
        <v/>
      </c>
      <c r="F4426" s="107" t="str">
        <f aca="false">IF($C4426="","",$D4426*$E4426)</f>
        <v/>
      </c>
      <c r="G4426" s="107" t="str">
        <f aca="false">IF($C4426="","",$D4426*IFERROR(INDEX('تحليل التكلفة والسعر'!$C$2:$C$700,MATCH($C4426,'تحليل التكلفة والسعر'!$B$2:$B$700,0)),0))</f>
        <v/>
      </c>
    </row>
    <row r="4427" customFormat="false" ht="15" hidden="false" customHeight="false" outlineLevel="0" collapsed="false">
      <c r="A4427" s="103"/>
      <c r="B4427" s="104"/>
      <c r="C4427" s="104"/>
      <c r="E4427" s="107" t="str">
        <f aca="false">IF($C4427="","",IFERROR(INDEX(المنيو!$C$2:$C$500,MATCH($C4427,المنيو!$B$2:$B$500,0)),0))</f>
        <v/>
      </c>
      <c r="F4427" s="107" t="str">
        <f aca="false">IF($C4427="","",$D4427*$E4427)</f>
        <v/>
      </c>
      <c r="G4427" s="107" t="str">
        <f aca="false">IF($C4427="","",$D4427*IFERROR(INDEX('تحليل التكلفة والسعر'!$C$2:$C$700,MATCH($C4427,'تحليل التكلفة والسعر'!$B$2:$B$700,0)),0))</f>
        <v/>
      </c>
    </row>
    <row r="4428" customFormat="false" ht="15" hidden="false" customHeight="false" outlineLevel="0" collapsed="false">
      <c r="A4428" s="103"/>
      <c r="B4428" s="104"/>
      <c r="C4428" s="104"/>
      <c r="E4428" s="107" t="str">
        <f aca="false">IF($C4428="","",IFERROR(INDEX(المنيو!$C$2:$C$500,MATCH($C4428,المنيو!$B$2:$B$500,0)),0))</f>
        <v/>
      </c>
      <c r="F4428" s="107" t="str">
        <f aca="false">IF($C4428="","",$D4428*$E4428)</f>
        <v/>
      </c>
      <c r="G4428" s="107" t="str">
        <f aca="false">IF($C4428="","",$D4428*IFERROR(INDEX('تحليل التكلفة والسعر'!$C$2:$C$700,MATCH($C4428,'تحليل التكلفة والسعر'!$B$2:$B$700,0)),0))</f>
        <v/>
      </c>
    </row>
    <row r="4429" customFormat="false" ht="15" hidden="false" customHeight="false" outlineLevel="0" collapsed="false">
      <c r="A4429" s="103"/>
      <c r="B4429" s="104"/>
      <c r="C4429" s="104"/>
      <c r="E4429" s="107" t="str">
        <f aca="false">IF($C4429="","",IFERROR(INDEX(المنيو!$C$2:$C$500,MATCH($C4429,المنيو!$B$2:$B$500,0)),0))</f>
        <v/>
      </c>
      <c r="F4429" s="107" t="str">
        <f aca="false">IF($C4429="","",$D4429*$E4429)</f>
        <v/>
      </c>
      <c r="G4429" s="107" t="str">
        <f aca="false">IF($C4429="","",$D4429*IFERROR(INDEX('تحليل التكلفة والسعر'!$C$2:$C$700,MATCH($C4429,'تحليل التكلفة والسعر'!$B$2:$B$700,0)),0))</f>
        <v/>
      </c>
    </row>
    <row r="4430" customFormat="false" ht="15" hidden="false" customHeight="false" outlineLevel="0" collapsed="false">
      <c r="A4430" s="103"/>
      <c r="B4430" s="104"/>
      <c r="C4430" s="104"/>
      <c r="E4430" s="107" t="str">
        <f aca="false">IF($C4430="","",IFERROR(INDEX(المنيو!$C$2:$C$500,MATCH($C4430,المنيو!$B$2:$B$500,0)),0))</f>
        <v/>
      </c>
      <c r="F4430" s="107" t="str">
        <f aca="false">IF($C4430="","",$D4430*$E4430)</f>
        <v/>
      </c>
      <c r="G4430" s="107" t="str">
        <f aca="false">IF($C4430="","",$D4430*IFERROR(INDEX('تحليل التكلفة والسعر'!$C$2:$C$700,MATCH($C4430,'تحليل التكلفة والسعر'!$B$2:$B$700,0)),0))</f>
        <v/>
      </c>
    </row>
    <row r="4431" customFormat="false" ht="15" hidden="false" customHeight="false" outlineLevel="0" collapsed="false">
      <c r="A4431" s="103"/>
      <c r="B4431" s="104"/>
      <c r="C4431" s="104"/>
      <c r="E4431" s="107" t="str">
        <f aca="false">IF($C4431="","",IFERROR(INDEX(المنيو!$C$2:$C$500,MATCH($C4431,المنيو!$B$2:$B$500,0)),0))</f>
        <v/>
      </c>
      <c r="F4431" s="107" t="str">
        <f aca="false">IF($C4431="","",$D4431*$E4431)</f>
        <v/>
      </c>
      <c r="G4431" s="107" t="str">
        <f aca="false">IF($C4431="","",$D4431*IFERROR(INDEX('تحليل التكلفة والسعر'!$C$2:$C$700,MATCH($C4431,'تحليل التكلفة والسعر'!$B$2:$B$700,0)),0))</f>
        <v/>
      </c>
    </row>
    <row r="4432" customFormat="false" ht="15" hidden="false" customHeight="false" outlineLevel="0" collapsed="false">
      <c r="A4432" s="103"/>
      <c r="B4432" s="104"/>
      <c r="C4432" s="104"/>
      <c r="E4432" s="107" t="str">
        <f aca="false">IF($C4432="","",IFERROR(INDEX(المنيو!$C$2:$C$500,MATCH($C4432,المنيو!$B$2:$B$500,0)),0))</f>
        <v/>
      </c>
      <c r="F4432" s="107" t="str">
        <f aca="false">IF($C4432="","",$D4432*$E4432)</f>
        <v/>
      </c>
      <c r="G4432" s="107" t="str">
        <f aca="false">IF($C4432="","",$D4432*IFERROR(INDEX('تحليل التكلفة والسعر'!$C$2:$C$700,MATCH($C4432,'تحليل التكلفة والسعر'!$B$2:$B$700,0)),0))</f>
        <v/>
      </c>
    </row>
    <row r="4433" customFormat="false" ht="15" hidden="false" customHeight="false" outlineLevel="0" collapsed="false">
      <c r="A4433" s="103"/>
      <c r="B4433" s="104"/>
      <c r="C4433" s="104"/>
      <c r="E4433" s="107" t="str">
        <f aca="false">IF($C4433="","",IFERROR(INDEX(المنيو!$C$2:$C$500,MATCH($C4433,المنيو!$B$2:$B$500,0)),0))</f>
        <v/>
      </c>
      <c r="F4433" s="107" t="str">
        <f aca="false">IF($C4433="","",$D4433*$E4433)</f>
        <v/>
      </c>
      <c r="G4433" s="107" t="str">
        <f aca="false">IF($C4433="","",$D4433*IFERROR(INDEX('تحليل التكلفة والسعر'!$C$2:$C$700,MATCH($C4433,'تحليل التكلفة والسعر'!$B$2:$B$700,0)),0))</f>
        <v/>
      </c>
    </row>
    <row r="4434" customFormat="false" ht="15" hidden="false" customHeight="false" outlineLevel="0" collapsed="false">
      <c r="A4434" s="103"/>
      <c r="B4434" s="104"/>
      <c r="C4434" s="104"/>
      <c r="E4434" s="107" t="str">
        <f aca="false">IF($C4434="","",IFERROR(INDEX(المنيو!$C$2:$C$500,MATCH($C4434,المنيو!$B$2:$B$500,0)),0))</f>
        <v/>
      </c>
      <c r="F4434" s="107" t="str">
        <f aca="false">IF($C4434="","",$D4434*$E4434)</f>
        <v/>
      </c>
      <c r="G4434" s="107" t="str">
        <f aca="false">IF($C4434="","",$D4434*IFERROR(INDEX('تحليل التكلفة والسعر'!$C$2:$C$700,MATCH($C4434,'تحليل التكلفة والسعر'!$B$2:$B$700,0)),0))</f>
        <v/>
      </c>
    </row>
    <row r="4435" customFormat="false" ht="15" hidden="false" customHeight="false" outlineLevel="0" collapsed="false">
      <c r="A4435" s="103"/>
      <c r="B4435" s="104"/>
      <c r="C4435" s="104"/>
      <c r="E4435" s="107" t="str">
        <f aca="false">IF($C4435="","",IFERROR(INDEX(المنيو!$C$2:$C$500,MATCH($C4435,المنيو!$B$2:$B$500,0)),0))</f>
        <v/>
      </c>
      <c r="F4435" s="107" t="str">
        <f aca="false">IF($C4435="","",$D4435*$E4435)</f>
        <v/>
      </c>
      <c r="G4435" s="107" t="str">
        <f aca="false">IF($C4435="","",$D4435*IFERROR(INDEX('تحليل التكلفة والسعر'!$C$2:$C$700,MATCH($C4435,'تحليل التكلفة والسعر'!$B$2:$B$700,0)),0))</f>
        <v/>
      </c>
    </row>
    <row r="4436" customFormat="false" ht="15" hidden="false" customHeight="false" outlineLevel="0" collapsed="false">
      <c r="A4436" s="103"/>
      <c r="B4436" s="104"/>
      <c r="C4436" s="104"/>
      <c r="E4436" s="107" t="str">
        <f aca="false">IF($C4436="","",IFERROR(INDEX(المنيو!$C$2:$C$500,MATCH($C4436,المنيو!$B$2:$B$500,0)),0))</f>
        <v/>
      </c>
      <c r="F4436" s="107" t="str">
        <f aca="false">IF($C4436="","",$D4436*$E4436)</f>
        <v/>
      </c>
      <c r="G4436" s="107" t="str">
        <f aca="false">IF($C4436="","",$D4436*IFERROR(INDEX('تحليل التكلفة والسعر'!$C$2:$C$700,MATCH($C4436,'تحليل التكلفة والسعر'!$B$2:$B$700,0)),0))</f>
        <v/>
      </c>
    </row>
    <row r="4437" customFormat="false" ht="15" hidden="false" customHeight="false" outlineLevel="0" collapsed="false">
      <c r="A4437" s="103"/>
      <c r="B4437" s="104"/>
      <c r="C4437" s="104"/>
      <c r="E4437" s="107" t="str">
        <f aca="false">IF($C4437="","",IFERROR(INDEX(المنيو!$C$2:$C$500,MATCH($C4437,المنيو!$B$2:$B$500,0)),0))</f>
        <v/>
      </c>
      <c r="F4437" s="107" t="str">
        <f aca="false">IF($C4437="","",$D4437*$E4437)</f>
        <v/>
      </c>
      <c r="G4437" s="107" t="str">
        <f aca="false">IF($C4437="","",$D4437*IFERROR(INDEX('تحليل التكلفة والسعر'!$C$2:$C$700,MATCH($C4437,'تحليل التكلفة والسعر'!$B$2:$B$700,0)),0))</f>
        <v/>
      </c>
    </row>
    <row r="4438" customFormat="false" ht="15" hidden="false" customHeight="false" outlineLevel="0" collapsed="false">
      <c r="A4438" s="103"/>
      <c r="B4438" s="104"/>
      <c r="C4438" s="104"/>
      <c r="E4438" s="107" t="str">
        <f aca="false">IF($C4438="","",IFERROR(INDEX(المنيو!$C$2:$C$500,MATCH($C4438,المنيو!$B$2:$B$500,0)),0))</f>
        <v/>
      </c>
      <c r="F4438" s="107" t="str">
        <f aca="false">IF($C4438="","",$D4438*$E4438)</f>
        <v/>
      </c>
      <c r="G4438" s="107" t="str">
        <f aca="false">IF($C4438="","",$D4438*IFERROR(INDEX('تحليل التكلفة والسعر'!$C$2:$C$700,MATCH($C4438,'تحليل التكلفة والسعر'!$B$2:$B$700,0)),0))</f>
        <v/>
      </c>
    </row>
    <row r="4439" customFormat="false" ht="15" hidden="false" customHeight="false" outlineLevel="0" collapsed="false">
      <c r="A4439" s="103"/>
      <c r="B4439" s="104"/>
      <c r="C4439" s="104"/>
      <c r="E4439" s="107" t="str">
        <f aca="false">IF($C4439="","",IFERROR(INDEX(المنيو!$C$2:$C$500,MATCH($C4439,المنيو!$B$2:$B$500,0)),0))</f>
        <v/>
      </c>
      <c r="F4439" s="107" t="str">
        <f aca="false">IF($C4439="","",$D4439*$E4439)</f>
        <v/>
      </c>
      <c r="G4439" s="107" t="str">
        <f aca="false">IF($C4439="","",$D4439*IFERROR(INDEX('تحليل التكلفة والسعر'!$C$2:$C$700,MATCH($C4439,'تحليل التكلفة والسعر'!$B$2:$B$700,0)),0))</f>
        <v/>
      </c>
    </row>
    <row r="4440" customFormat="false" ht="15" hidden="false" customHeight="false" outlineLevel="0" collapsed="false">
      <c r="A4440" s="103"/>
      <c r="B4440" s="104"/>
      <c r="C4440" s="104"/>
      <c r="E4440" s="107" t="str">
        <f aca="false">IF($C4440="","",IFERROR(INDEX(المنيو!$C$2:$C$500,MATCH($C4440,المنيو!$B$2:$B$500,0)),0))</f>
        <v/>
      </c>
      <c r="F4440" s="107" t="str">
        <f aca="false">IF($C4440="","",$D4440*$E4440)</f>
        <v/>
      </c>
      <c r="G4440" s="107" t="str">
        <f aca="false">IF($C4440="","",$D4440*IFERROR(INDEX('تحليل التكلفة والسعر'!$C$2:$C$700,MATCH($C4440,'تحليل التكلفة والسعر'!$B$2:$B$700,0)),0))</f>
        <v/>
      </c>
    </row>
    <row r="4441" customFormat="false" ht="15" hidden="false" customHeight="false" outlineLevel="0" collapsed="false">
      <c r="A4441" s="103"/>
      <c r="B4441" s="104"/>
      <c r="C4441" s="104"/>
      <c r="E4441" s="107" t="str">
        <f aca="false">IF($C4441="","",IFERROR(INDEX(المنيو!$C$2:$C$500,MATCH($C4441,المنيو!$B$2:$B$500,0)),0))</f>
        <v/>
      </c>
      <c r="F4441" s="107" t="str">
        <f aca="false">IF($C4441="","",$D4441*$E4441)</f>
        <v/>
      </c>
      <c r="G4441" s="107" t="str">
        <f aca="false">IF($C4441="","",$D4441*IFERROR(INDEX('تحليل التكلفة والسعر'!$C$2:$C$700,MATCH($C4441,'تحليل التكلفة والسعر'!$B$2:$B$700,0)),0))</f>
        <v/>
      </c>
    </row>
    <row r="4442" customFormat="false" ht="15" hidden="false" customHeight="false" outlineLevel="0" collapsed="false">
      <c r="A4442" s="103"/>
      <c r="B4442" s="104"/>
      <c r="C4442" s="104"/>
      <c r="E4442" s="107" t="str">
        <f aca="false">IF($C4442="","",IFERROR(INDEX(المنيو!$C$2:$C$500,MATCH($C4442,المنيو!$B$2:$B$500,0)),0))</f>
        <v/>
      </c>
      <c r="F4442" s="107" t="str">
        <f aca="false">IF($C4442="","",$D4442*$E4442)</f>
        <v/>
      </c>
      <c r="G4442" s="107" t="str">
        <f aca="false">IF($C4442="","",$D4442*IFERROR(INDEX('تحليل التكلفة والسعر'!$C$2:$C$700,MATCH($C4442,'تحليل التكلفة والسعر'!$B$2:$B$700,0)),0))</f>
        <v/>
      </c>
    </row>
    <row r="4443" customFormat="false" ht="15" hidden="false" customHeight="false" outlineLevel="0" collapsed="false">
      <c r="A4443" s="103"/>
      <c r="B4443" s="104"/>
      <c r="C4443" s="104"/>
      <c r="E4443" s="107" t="str">
        <f aca="false">IF($C4443="","",IFERROR(INDEX(المنيو!$C$2:$C$500,MATCH($C4443,المنيو!$B$2:$B$500,0)),0))</f>
        <v/>
      </c>
      <c r="F4443" s="107" t="str">
        <f aca="false">IF($C4443="","",$D4443*$E4443)</f>
        <v/>
      </c>
      <c r="G4443" s="107" t="str">
        <f aca="false">IF($C4443="","",$D4443*IFERROR(INDEX('تحليل التكلفة والسعر'!$C$2:$C$700,MATCH($C4443,'تحليل التكلفة والسعر'!$B$2:$B$700,0)),0))</f>
        <v/>
      </c>
    </row>
    <row r="4444" customFormat="false" ht="15" hidden="false" customHeight="false" outlineLevel="0" collapsed="false">
      <c r="A4444" s="103"/>
      <c r="B4444" s="104"/>
      <c r="C4444" s="104"/>
      <c r="E4444" s="107" t="str">
        <f aca="false">IF($C4444="","",IFERROR(INDEX(المنيو!$C$2:$C$500,MATCH($C4444,المنيو!$B$2:$B$500,0)),0))</f>
        <v/>
      </c>
      <c r="F4444" s="107" t="str">
        <f aca="false">IF($C4444="","",$D4444*$E4444)</f>
        <v/>
      </c>
      <c r="G4444" s="107" t="str">
        <f aca="false">IF($C4444="","",$D4444*IFERROR(INDEX('تحليل التكلفة والسعر'!$C$2:$C$700,MATCH($C4444,'تحليل التكلفة والسعر'!$B$2:$B$700,0)),0))</f>
        <v/>
      </c>
    </row>
    <row r="4445" customFormat="false" ht="15" hidden="false" customHeight="false" outlineLevel="0" collapsed="false">
      <c r="A4445" s="103"/>
      <c r="B4445" s="104"/>
      <c r="C4445" s="104"/>
      <c r="E4445" s="107" t="str">
        <f aca="false">IF($C4445="","",IFERROR(INDEX(المنيو!$C$2:$C$500,MATCH($C4445,المنيو!$B$2:$B$500,0)),0))</f>
        <v/>
      </c>
      <c r="F4445" s="107" t="str">
        <f aca="false">IF($C4445="","",$D4445*$E4445)</f>
        <v/>
      </c>
      <c r="G4445" s="107" t="str">
        <f aca="false">IF($C4445="","",$D4445*IFERROR(INDEX('تحليل التكلفة والسعر'!$C$2:$C$700,MATCH($C4445,'تحليل التكلفة والسعر'!$B$2:$B$700,0)),0))</f>
        <v/>
      </c>
    </row>
    <row r="4446" customFormat="false" ht="15" hidden="false" customHeight="false" outlineLevel="0" collapsed="false">
      <c r="A4446" s="103"/>
      <c r="B4446" s="104"/>
      <c r="C4446" s="104"/>
      <c r="E4446" s="107" t="str">
        <f aca="false">IF($C4446="","",IFERROR(INDEX(المنيو!$C$2:$C$500,MATCH($C4446,المنيو!$B$2:$B$500,0)),0))</f>
        <v/>
      </c>
      <c r="F4446" s="107" t="str">
        <f aca="false">IF($C4446="","",$D4446*$E4446)</f>
        <v/>
      </c>
      <c r="G4446" s="107" t="str">
        <f aca="false">IF($C4446="","",$D4446*IFERROR(INDEX('تحليل التكلفة والسعر'!$C$2:$C$700,MATCH($C4446,'تحليل التكلفة والسعر'!$B$2:$B$700,0)),0))</f>
        <v/>
      </c>
    </row>
    <row r="4447" customFormat="false" ht="15" hidden="false" customHeight="false" outlineLevel="0" collapsed="false">
      <c r="A4447" s="103"/>
      <c r="B4447" s="104"/>
      <c r="C4447" s="104"/>
      <c r="E4447" s="107" t="str">
        <f aca="false">IF($C4447="","",IFERROR(INDEX(المنيو!$C$2:$C$500,MATCH($C4447,المنيو!$B$2:$B$500,0)),0))</f>
        <v/>
      </c>
      <c r="F4447" s="107" t="str">
        <f aca="false">IF($C4447="","",$D4447*$E4447)</f>
        <v/>
      </c>
      <c r="G4447" s="107" t="str">
        <f aca="false">IF($C4447="","",$D4447*IFERROR(INDEX('تحليل التكلفة والسعر'!$C$2:$C$700,MATCH($C4447,'تحليل التكلفة والسعر'!$B$2:$B$700,0)),0))</f>
        <v/>
      </c>
    </row>
    <row r="4448" customFormat="false" ht="15" hidden="false" customHeight="false" outlineLevel="0" collapsed="false">
      <c r="A4448" s="103"/>
      <c r="B4448" s="104"/>
      <c r="C4448" s="104"/>
      <c r="E4448" s="107" t="str">
        <f aca="false">IF($C4448="","",IFERROR(INDEX(المنيو!$C$2:$C$500,MATCH($C4448,المنيو!$B$2:$B$500,0)),0))</f>
        <v/>
      </c>
      <c r="F4448" s="107" t="str">
        <f aca="false">IF($C4448="","",$D4448*$E4448)</f>
        <v/>
      </c>
      <c r="G4448" s="107" t="str">
        <f aca="false">IF($C4448="","",$D4448*IFERROR(INDEX('تحليل التكلفة والسعر'!$C$2:$C$700,MATCH($C4448,'تحليل التكلفة والسعر'!$B$2:$B$700,0)),0))</f>
        <v/>
      </c>
    </row>
    <row r="4449" customFormat="false" ht="15" hidden="false" customHeight="false" outlineLevel="0" collapsed="false">
      <c r="A4449" s="103"/>
      <c r="B4449" s="104"/>
      <c r="C4449" s="104"/>
      <c r="E4449" s="107" t="str">
        <f aca="false">IF($C4449="","",IFERROR(INDEX(المنيو!$C$2:$C$500,MATCH($C4449,المنيو!$B$2:$B$500,0)),0))</f>
        <v/>
      </c>
      <c r="F4449" s="107" t="str">
        <f aca="false">IF($C4449="","",$D4449*$E4449)</f>
        <v/>
      </c>
      <c r="G4449" s="107" t="str">
        <f aca="false">IF($C4449="","",$D4449*IFERROR(INDEX('تحليل التكلفة والسعر'!$C$2:$C$700,MATCH($C4449,'تحليل التكلفة والسعر'!$B$2:$B$700,0)),0))</f>
        <v/>
      </c>
    </row>
    <row r="4450" customFormat="false" ht="15" hidden="false" customHeight="false" outlineLevel="0" collapsed="false">
      <c r="A4450" s="103"/>
      <c r="B4450" s="104"/>
      <c r="C4450" s="104"/>
      <c r="E4450" s="107" t="str">
        <f aca="false">IF($C4450="","",IFERROR(INDEX(المنيو!$C$2:$C$500,MATCH($C4450,المنيو!$B$2:$B$500,0)),0))</f>
        <v/>
      </c>
      <c r="F4450" s="107" t="str">
        <f aca="false">IF($C4450="","",$D4450*$E4450)</f>
        <v/>
      </c>
      <c r="G4450" s="107" t="str">
        <f aca="false">IF($C4450="","",$D4450*IFERROR(INDEX('تحليل التكلفة والسعر'!$C$2:$C$700,MATCH($C4450,'تحليل التكلفة والسعر'!$B$2:$B$700,0)),0))</f>
        <v/>
      </c>
    </row>
    <row r="4451" customFormat="false" ht="15" hidden="false" customHeight="false" outlineLevel="0" collapsed="false">
      <c r="A4451" s="103"/>
      <c r="B4451" s="104"/>
      <c r="C4451" s="104"/>
      <c r="E4451" s="107" t="str">
        <f aca="false">IF($C4451="","",IFERROR(INDEX(المنيو!$C$2:$C$500,MATCH($C4451,المنيو!$B$2:$B$500,0)),0))</f>
        <v/>
      </c>
      <c r="F4451" s="107" t="str">
        <f aca="false">IF($C4451="","",$D4451*$E4451)</f>
        <v/>
      </c>
      <c r="G4451" s="107" t="str">
        <f aca="false">IF($C4451="","",$D4451*IFERROR(INDEX('تحليل التكلفة والسعر'!$C$2:$C$700,MATCH($C4451,'تحليل التكلفة والسعر'!$B$2:$B$700,0)),0))</f>
        <v/>
      </c>
    </row>
    <row r="4452" customFormat="false" ht="15" hidden="false" customHeight="false" outlineLevel="0" collapsed="false">
      <c r="A4452" s="103"/>
      <c r="B4452" s="104"/>
      <c r="C4452" s="104"/>
      <c r="E4452" s="107" t="str">
        <f aca="false">IF($C4452="","",IFERROR(INDEX(المنيو!$C$2:$C$500,MATCH($C4452,المنيو!$B$2:$B$500,0)),0))</f>
        <v/>
      </c>
      <c r="F4452" s="107" t="str">
        <f aca="false">IF($C4452="","",$D4452*$E4452)</f>
        <v/>
      </c>
      <c r="G4452" s="107" t="str">
        <f aca="false">IF($C4452="","",$D4452*IFERROR(INDEX('تحليل التكلفة والسعر'!$C$2:$C$700,MATCH($C4452,'تحليل التكلفة والسعر'!$B$2:$B$700,0)),0))</f>
        <v/>
      </c>
    </row>
    <row r="4453" customFormat="false" ht="15" hidden="false" customHeight="false" outlineLevel="0" collapsed="false">
      <c r="A4453" s="103"/>
      <c r="B4453" s="104"/>
      <c r="C4453" s="104"/>
      <c r="E4453" s="107" t="str">
        <f aca="false">IF($C4453="","",IFERROR(INDEX(المنيو!$C$2:$C$500,MATCH($C4453,المنيو!$B$2:$B$500,0)),0))</f>
        <v/>
      </c>
      <c r="F4453" s="107" t="str">
        <f aca="false">IF($C4453="","",$D4453*$E4453)</f>
        <v/>
      </c>
      <c r="G4453" s="107" t="str">
        <f aca="false">IF($C4453="","",$D4453*IFERROR(INDEX('تحليل التكلفة والسعر'!$C$2:$C$700,MATCH($C4453,'تحليل التكلفة والسعر'!$B$2:$B$700,0)),0))</f>
        <v/>
      </c>
    </row>
    <row r="4454" customFormat="false" ht="15" hidden="false" customHeight="false" outlineLevel="0" collapsed="false">
      <c r="A4454" s="103"/>
      <c r="B4454" s="104"/>
      <c r="C4454" s="104"/>
      <c r="E4454" s="107" t="str">
        <f aca="false">IF($C4454="","",IFERROR(INDEX(المنيو!$C$2:$C$500,MATCH($C4454,المنيو!$B$2:$B$500,0)),0))</f>
        <v/>
      </c>
      <c r="F4454" s="107" t="str">
        <f aca="false">IF($C4454="","",$D4454*$E4454)</f>
        <v/>
      </c>
      <c r="G4454" s="107" t="str">
        <f aca="false">IF($C4454="","",$D4454*IFERROR(INDEX('تحليل التكلفة والسعر'!$C$2:$C$700,MATCH($C4454,'تحليل التكلفة والسعر'!$B$2:$B$700,0)),0))</f>
        <v/>
      </c>
    </row>
    <row r="4455" customFormat="false" ht="15" hidden="false" customHeight="false" outlineLevel="0" collapsed="false">
      <c r="A4455" s="103"/>
      <c r="B4455" s="104"/>
      <c r="C4455" s="104"/>
      <c r="E4455" s="107" t="str">
        <f aca="false">IF($C4455="","",IFERROR(INDEX(المنيو!$C$2:$C$500,MATCH($C4455,المنيو!$B$2:$B$500,0)),0))</f>
        <v/>
      </c>
      <c r="F4455" s="107" t="str">
        <f aca="false">IF($C4455="","",$D4455*$E4455)</f>
        <v/>
      </c>
      <c r="G4455" s="107" t="str">
        <f aca="false">IF($C4455="","",$D4455*IFERROR(INDEX('تحليل التكلفة والسعر'!$C$2:$C$700,MATCH($C4455,'تحليل التكلفة والسعر'!$B$2:$B$700,0)),0))</f>
        <v/>
      </c>
    </row>
    <row r="4456" customFormat="false" ht="15" hidden="false" customHeight="false" outlineLevel="0" collapsed="false">
      <c r="A4456" s="103"/>
      <c r="B4456" s="104"/>
      <c r="C4456" s="104"/>
      <c r="E4456" s="107" t="str">
        <f aca="false">IF($C4456="","",IFERROR(INDEX(المنيو!$C$2:$C$500,MATCH($C4456,المنيو!$B$2:$B$500,0)),0))</f>
        <v/>
      </c>
      <c r="F4456" s="107" t="str">
        <f aca="false">IF($C4456="","",$D4456*$E4456)</f>
        <v/>
      </c>
      <c r="G4456" s="107" t="str">
        <f aca="false">IF($C4456="","",$D4456*IFERROR(INDEX('تحليل التكلفة والسعر'!$C$2:$C$700,MATCH($C4456,'تحليل التكلفة والسعر'!$B$2:$B$700,0)),0))</f>
        <v/>
      </c>
    </row>
    <row r="4457" customFormat="false" ht="15" hidden="false" customHeight="false" outlineLevel="0" collapsed="false">
      <c r="A4457" s="103"/>
      <c r="B4457" s="104"/>
      <c r="C4457" s="104"/>
      <c r="E4457" s="107" t="str">
        <f aca="false">IF($C4457="","",IFERROR(INDEX(المنيو!$C$2:$C$500,MATCH($C4457,المنيو!$B$2:$B$500,0)),0))</f>
        <v/>
      </c>
      <c r="F4457" s="107" t="str">
        <f aca="false">IF($C4457="","",$D4457*$E4457)</f>
        <v/>
      </c>
      <c r="G4457" s="107" t="str">
        <f aca="false">IF($C4457="","",$D4457*IFERROR(INDEX('تحليل التكلفة والسعر'!$C$2:$C$700,MATCH($C4457,'تحليل التكلفة والسعر'!$B$2:$B$700,0)),0))</f>
        <v/>
      </c>
    </row>
    <row r="4458" customFormat="false" ht="15" hidden="false" customHeight="false" outlineLevel="0" collapsed="false">
      <c r="A4458" s="103"/>
      <c r="B4458" s="104"/>
      <c r="C4458" s="104"/>
      <c r="E4458" s="107" t="str">
        <f aca="false">IF($C4458="","",IFERROR(INDEX(المنيو!$C$2:$C$500,MATCH($C4458,المنيو!$B$2:$B$500,0)),0))</f>
        <v/>
      </c>
      <c r="F4458" s="107" t="str">
        <f aca="false">IF($C4458="","",$D4458*$E4458)</f>
        <v/>
      </c>
      <c r="G4458" s="107" t="str">
        <f aca="false">IF($C4458="","",$D4458*IFERROR(INDEX('تحليل التكلفة والسعر'!$C$2:$C$700,MATCH($C4458,'تحليل التكلفة والسعر'!$B$2:$B$700,0)),0))</f>
        <v/>
      </c>
    </row>
    <row r="4459" customFormat="false" ht="15" hidden="false" customHeight="false" outlineLevel="0" collapsed="false">
      <c r="A4459" s="103"/>
      <c r="B4459" s="104"/>
      <c r="C4459" s="104"/>
      <c r="E4459" s="107" t="str">
        <f aca="false">IF($C4459="","",IFERROR(INDEX(المنيو!$C$2:$C$500,MATCH($C4459,المنيو!$B$2:$B$500,0)),0))</f>
        <v/>
      </c>
      <c r="F4459" s="107" t="str">
        <f aca="false">IF($C4459="","",$D4459*$E4459)</f>
        <v/>
      </c>
      <c r="G4459" s="107" t="str">
        <f aca="false">IF($C4459="","",$D4459*IFERROR(INDEX('تحليل التكلفة والسعر'!$C$2:$C$700,MATCH($C4459,'تحليل التكلفة والسعر'!$B$2:$B$700,0)),0))</f>
        <v/>
      </c>
    </row>
    <row r="4460" customFormat="false" ht="15" hidden="false" customHeight="false" outlineLevel="0" collapsed="false">
      <c r="A4460" s="103"/>
      <c r="B4460" s="104"/>
      <c r="C4460" s="104"/>
      <c r="E4460" s="107" t="str">
        <f aca="false">IF($C4460="","",IFERROR(INDEX(المنيو!$C$2:$C$500,MATCH($C4460,المنيو!$B$2:$B$500,0)),0))</f>
        <v/>
      </c>
      <c r="F4460" s="107" t="str">
        <f aca="false">IF($C4460="","",$D4460*$E4460)</f>
        <v/>
      </c>
      <c r="G4460" s="107" t="str">
        <f aca="false">IF($C4460="","",$D4460*IFERROR(INDEX('تحليل التكلفة والسعر'!$C$2:$C$700,MATCH($C4460,'تحليل التكلفة والسعر'!$B$2:$B$700,0)),0))</f>
        <v/>
      </c>
    </row>
    <row r="4461" customFormat="false" ht="15" hidden="false" customHeight="false" outlineLevel="0" collapsed="false">
      <c r="A4461" s="103"/>
      <c r="B4461" s="104"/>
      <c r="C4461" s="104"/>
      <c r="E4461" s="107" t="str">
        <f aca="false">IF($C4461="","",IFERROR(INDEX(المنيو!$C$2:$C$500,MATCH($C4461,المنيو!$B$2:$B$500,0)),0))</f>
        <v/>
      </c>
      <c r="F4461" s="107" t="str">
        <f aca="false">IF($C4461="","",$D4461*$E4461)</f>
        <v/>
      </c>
      <c r="G4461" s="107" t="str">
        <f aca="false">IF($C4461="","",$D4461*IFERROR(INDEX('تحليل التكلفة والسعر'!$C$2:$C$700,MATCH($C4461,'تحليل التكلفة والسعر'!$B$2:$B$700,0)),0))</f>
        <v/>
      </c>
    </row>
    <row r="4462" customFormat="false" ht="15" hidden="false" customHeight="false" outlineLevel="0" collapsed="false">
      <c r="A4462" s="103"/>
      <c r="B4462" s="104"/>
      <c r="C4462" s="104"/>
      <c r="E4462" s="107" t="str">
        <f aca="false">IF($C4462="","",IFERROR(INDEX(المنيو!$C$2:$C$500,MATCH($C4462,المنيو!$B$2:$B$500,0)),0))</f>
        <v/>
      </c>
      <c r="F4462" s="107" t="str">
        <f aca="false">IF($C4462="","",$D4462*$E4462)</f>
        <v/>
      </c>
      <c r="G4462" s="107" t="str">
        <f aca="false">IF($C4462="","",$D4462*IFERROR(INDEX('تحليل التكلفة والسعر'!$C$2:$C$700,MATCH($C4462,'تحليل التكلفة والسعر'!$B$2:$B$700,0)),0))</f>
        <v/>
      </c>
    </row>
    <row r="4463" customFormat="false" ht="15" hidden="false" customHeight="false" outlineLevel="0" collapsed="false">
      <c r="A4463" s="103"/>
      <c r="B4463" s="104"/>
      <c r="C4463" s="104"/>
      <c r="E4463" s="107" t="str">
        <f aca="false">IF($C4463="","",IFERROR(INDEX(المنيو!$C$2:$C$500,MATCH($C4463,المنيو!$B$2:$B$500,0)),0))</f>
        <v/>
      </c>
      <c r="F4463" s="107" t="str">
        <f aca="false">IF($C4463="","",$D4463*$E4463)</f>
        <v/>
      </c>
      <c r="G4463" s="107" t="str">
        <f aca="false">IF($C4463="","",$D4463*IFERROR(INDEX('تحليل التكلفة والسعر'!$C$2:$C$700,MATCH($C4463,'تحليل التكلفة والسعر'!$B$2:$B$700,0)),0))</f>
        <v/>
      </c>
    </row>
    <row r="4464" customFormat="false" ht="15" hidden="false" customHeight="false" outlineLevel="0" collapsed="false">
      <c r="A4464" s="103"/>
      <c r="B4464" s="104"/>
      <c r="C4464" s="104"/>
      <c r="E4464" s="107" t="str">
        <f aca="false">IF($C4464="","",IFERROR(INDEX(المنيو!$C$2:$C$500,MATCH($C4464,المنيو!$B$2:$B$500,0)),0))</f>
        <v/>
      </c>
      <c r="F4464" s="107" t="str">
        <f aca="false">IF($C4464="","",$D4464*$E4464)</f>
        <v/>
      </c>
      <c r="G4464" s="107" t="str">
        <f aca="false">IF($C4464="","",$D4464*IFERROR(INDEX('تحليل التكلفة والسعر'!$C$2:$C$700,MATCH($C4464,'تحليل التكلفة والسعر'!$B$2:$B$700,0)),0))</f>
        <v/>
      </c>
    </row>
    <row r="4465" customFormat="false" ht="15" hidden="false" customHeight="false" outlineLevel="0" collapsed="false">
      <c r="A4465" s="103"/>
      <c r="B4465" s="104"/>
      <c r="C4465" s="104"/>
      <c r="E4465" s="107" t="str">
        <f aca="false">IF($C4465="","",IFERROR(INDEX(المنيو!$C$2:$C$500,MATCH($C4465,المنيو!$B$2:$B$500,0)),0))</f>
        <v/>
      </c>
      <c r="F4465" s="107" t="str">
        <f aca="false">IF($C4465="","",$D4465*$E4465)</f>
        <v/>
      </c>
      <c r="G4465" s="107" t="str">
        <f aca="false">IF($C4465="","",$D4465*IFERROR(INDEX('تحليل التكلفة والسعر'!$C$2:$C$700,MATCH($C4465,'تحليل التكلفة والسعر'!$B$2:$B$700,0)),0))</f>
        <v/>
      </c>
    </row>
    <row r="4466" customFormat="false" ht="15" hidden="false" customHeight="false" outlineLevel="0" collapsed="false">
      <c r="A4466" s="103"/>
      <c r="B4466" s="104"/>
      <c r="C4466" s="104"/>
      <c r="E4466" s="107" t="str">
        <f aca="false">IF($C4466="","",IFERROR(INDEX(المنيو!$C$2:$C$500,MATCH($C4466,المنيو!$B$2:$B$500,0)),0))</f>
        <v/>
      </c>
      <c r="F4466" s="107" t="str">
        <f aca="false">IF($C4466="","",$D4466*$E4466)</f>
        <v/>
      </c>
      <c r="G4466" s="107" t="str">
        <f aca="false">IF($C4466="","",$D4466*IFERROR(INDEX('تحليل التكلفة والسعر'!$C$2:$C$700,MATCH($C4466,'تحليل التكلفة والسعر'!$B$2:$B$700,0)),0))</f>
        <v/>
      </c>
    </row>
    <row r="4467" customFormat="false" ht="15" hidden="false" customHeight="false" outlineLevel="0" collapsed="false">
      <c r="A4467" s="103"/>
      <c r="B4467" s="104"/>
      <c r="C4467" s="104"/>
      <c r="E4467" s="107" t="str">
        <f aca="false">IF($C4467="","",IFERROR(INDEX(المنيو!$C$2:$C$500,MATCH($C4467,المنيو!$B$2:$B$500,0)),0))</f>
        <v/>
      </c>
      <c r="F4467" s="107" t="str">
        <f aca="false">IF($C4467="","",$D4467*$E4467)</f>
        <v/>
      </c>
      <c r="G4467" s="107" t="str">
        <f aca="false">IF($C4467="","",$D4467*IFERROR(INDEX('تحليل التكلفة والسعر'!$C$2:$C$700,MATCH($C4467,'تحليل التكلفة والسعر'!$B$2:$B$700,0)),0))</f>
        <v/>
      </c>
    </row>
    <row r="4468" customFormat="false" ht="15" hidden="false" customHeight="false" outlineLevel="0" collapsed="false">
      <c r="A4468" s="103"/>
      <c r="B4468" s="104"/>
      <c r="C4468" s="104"/>
      <c r="E4468" s="107" t="str">
        <f aca="false">IF($C4468="","",IFERROR(INDEX(المنيو!$C$2:$C$500,MATCH($C4468,المنيو!$B$2:$B$500,0)),0))</f>
        <v/>
      </c>
      <c r="F4468" s="107" t="str">
        <f aca="false">IF($C4468="","",$D4468*$E4468)</f>
        <v/>
      </c>
      <c r="G4468" s="107" t="str">
        <f aca="false">IF($C4468="","",$D4468*IFERROR(INDEX('تحليل التكلفة والسعر'!$C$2:$C$700,MATCH($C4468,'تحليل التكلفة والسعر'!$B$2:$B$700,0)),0))</f>
        <v/>
      </c>
    </row>
    <row r="4469" customFormat="false" ht="15" hidden="false" customHeight="false" outlineLevel="0" collapsed="false">
      <c r="A4469" s="103"/>
      <c r="B4469" s="104"/>
      <c r="C4469" s="104"/>
      <c r="E4469" s="107" t="str">
        <f aca="false">IF($C4469="","",IFERROR(INDEX(المنيو!$C$2:$C$500,MATCH($C4469,المنيو!$B$2:$B$500,0)),0))</f>
        <v/>
      </c>
      <c r="F4469" s="107" t="str">
        <f aca="false">IF($C4469="","",$D4469*$E4469)</f>
        <v/>
      </c>
      <c r="G4469" s="107" t="str">
        <f aca="false">IF($C4469="","",$D4469*IFERROR(INDEX('تحليل التكلفة والسعر'!$C$2:$C$700,MATCH($C4469,'تحليل التكلفة والسعر'!$B$2:$B$700,0)),0))</f>
        <v/>
      </c>
    </row>
    <row r="4470" customFormat="false" ht="15" hidden="false" customHeight="false" outlineLevel="0" collapsed="false">
      <c r="A4470" s="103"/>
      <c r="B4470" s="104"/>
      <c r="C4470" s="104"/>
      <c r="E4470" s="107" t="str">
        <f aca="false">IF($C4470="","",IFERROR(INDEX(المنيو!$C$2:$C$500,MATCH($C4470,المنيو!$B$2:$B$500,0)),0))</f>
        <v/>
      </c>
      <c r="F4470" s="107" t="str">
        <f aca="false">IF($C4470="","",$D4470*$E4470)</f>
        <v/>
      </c>
      <c r="G4470" s="107" t="str">
        <f aca="false">IF($C4470="","",$D4470*IFERROR(INDEX('تحليل التكلفة والسعر'!$C$2:$C$700,MATCH($C4470,'تحليل التكلفة والسعر'!$B$2:$B$700,0)),0))</f>
        <v/>
      </c>
    </row>
    <row r="4471" customFormat="false" ht="15" hidden="false" customHeight="false" outlineLevel="0" collapsed="false">
      <c r="A4471" s="103"/>
      <c r="B4471" s="104"/>
      <c r="C4471" s="104"/>
      <c r="E4471" s="107" t="str">
        <f aca="false">IF($C4471="","",IFERROR(INDEX(المنيو!$C$2:$C$500,MATCH($C4471,المنيو!$B$2:$B$500,0)),0))</f>
        <v/>
      </c>
      <c r="F4471" s="107" t="str">
        <f aca="false">IF($C4471="","",$D4471*$E4471)</f>
        <v/>
      </c>
      <c r="G4471" s="107" t="str">
        <f aca="false">IF($C4471="","",$D4471*IFERROR(INDEX('تحليل التكلفة والسعر'!$C$2:$C$700,MATCH($C4471,'تحليل التكلفة والسعر'!$B$2:$B$700,0)),0))</f>
        <v/>
      </c>
    </row>
    <row r="4472" customFormat="false" ht="15" hidden="false" customHeight="false" outlineLevel="0" collapsed="false">
      <c r="A4472" s="103"/>
      <c r="B4472" s="104"/>
      <c r="C4472" s="104"/>
      <c r="E4472" s="107" t="str">
        <f aca="false">IF($C4472="","",IFERROR(INDEX(المنيو!$C$2:$C$500,MATCH($C4472,المنيو!$B$2:$B$500,0)),0))</f>
        <v/>
      </c>
      <c r="F4472" s="107" t="str">
        <f aca="false">IF($C4472="","",$D4472*$E4472)</f>
        <v/>
      </c>
      <c r="G4472" s="107" t="str">
        <f aca="false">IF($C4472="","",$D4472*IFERROR(INDEX('تحليل التكلفة والسعر'!$C$2:$C$700,MATCH($C4472,'تحليل التكلفة والسعر'!$B$2:$B$700,0)),0))</f>
        <v/>
      </c>
    </row>
    <row r="4473" customFormat="false" ht="15" hidden="false" customHeight="false" outlineLevel="0" collapsed="false">
      <c r="A4473" s="103"/>
      <c r="B4473" s="104"/>
      <c r="C4473" s="104"/>
      <c r="E4473" s="107" t="str">
        <f aca="false">IF($C4473="","",IFERROR(INDEX(المنيو!$C$2:$C$500,MATCH($C4473,المنيو!$B$2:$B$500,0)),0))</f>
        <v/>
      </c>
      <c r="F4473" s="107" t="str">
        <f aca="false">IF($C4473="","",$D4473*$E4473)</f>
        <v/>
      </c>
      <c r="G4473" s="107" t="str">
        <f aca="false">IF($C4473="","",$D4473*IFERROR(INDEX('تحليل التكلفة والسعر'!$C$2:$C$700,MATCH($C4473,'تحليل التكلفة والسعر'!$B$2:$B$700,0)),0))</f>
        <v/>
      </c>
    </row>
    <row r="4474" customFormat="false" ht="15" hidden="false" customHeight="false" outlineLevel="0" collapsed="false">
      <c r="A4474" s="103"/>
      <c r="B4474" s="104"/>
      <c r="C4474" s="104"/>
      <c r="E4474" s="107" t="str">
        <f aca="false">IF($C4474="","",IFERROR(INDEX(المنيو!$C$2:$C$500,MATCH($C4474,المنيو!$B$2:$B$500,0)),0))</f>
        <v/>
      </c>
      <c r="F4474" s="107" t="str">
        <f aca="false">IF($C4474="","",$D4474*$E4474)</f>
        <v/>
      </c>
      <c r="G4474" s="107" t="str">
        <f aca="false">IF($C4474="","",$D4474*IFERROR(INDEX('تحليل التكلفة والسعر'!$C$2:$C$700,MATCH($C4474,'تحليل التكلفة والسعر'!$B$2:$B$700,0)),0))</f>
        <v/>
      </c>
    </row>
    <row r="4475" customFormat="false" ht="15" hidden="false" customHeight="false" outlineLevel="0" collapsed="false">
      <c r="A4475" s="103"/>
      <c r="B4475" s="104"/>
      <c r="C4475" s="104"/>
      <c r="E4475" s="107" t="str">
        <f aca="false">IF($C4475="","",IFERROR(INDEX(المنيو!$C$2:$C$500,MATCH($C4475,المنيو!$B$2:$B$500,0)),0))</f>
        <v/>
      </c>
      <c r="F4475" s="107" t="str">
        <f aca="false">IF($C4475="","",$D4475*$E4475)</f>
        <v/>
      </c>
      <c r="G4475" s="107" t="str">
        <f aca="false">IF($C4475="","",$D4475*IFERROR(INDEX('تحليل التكلفة والسعر'!$C$2:$C$700,MATCH($C4475,'تحليل التكلفة والسعر'!$B$2:$B$700,0)),0))</f>
        <v/>
      </c>
    </row>
    <row r="4476" customFormat="false" ht="15" hidden="false" customHeight="false" outlineLevel="0" collapsed="false">
      <c r="A4476" s="103"/>
      <c r="B4476" s="104"/>
      <c r="C4476" s="104"/>
      <c r="E4476" s="107" t="str">
        <f aca="false">IF($C4476="","",IFERROR(INDEX(المنيو!$C$2:$C$500,MATCH($C4476,المنيو!$B$2:$B$500,0)),0))</f>
        <v/>
      </c>
      <c r="F4476" s="107" t="str">
        <f aca="false">IF($C4476="","",$D4476*$E4476)</f>
        <v/>
      </c>
      <c r="G4476" s="107" t="str">
        <f aca="false">IF($C4476="","",$D4476*IFERROR(INDEX('تحليل التكلفة والسعر'!$C$2:$C$700,MATCH($C4476,'تحليل التكلفة والسعر'!$B$2:$B$700,0)),0))</f>
        <v/>
      </c>
    </row>
    <row r="4477" customFormat="false" ht="15" hidden="false" customHeight="false" outlineLevel="0" collapsed="false">
      <c r="A4477" s="103"/>
      <c r="B4477" s="104"/>
      <c r="C4477" s="104"/>
      <c r="E4477" s="107" t="str">
        <f aca="false">IF($C4477="","",IFERROR(INDEX(المنيو!$C$2:$C$500,MATCH($C4477,المنيو!$B$2:$B$500,0)),0))</f>
        <v/>
      </c>
      <c r="F4477" s="107" t="str">
        <f aca="false">IF($C4477="","",$D4477*$E4477)</f>
        <v/>
      </c>
      <c r="G4477" s="107" t="str">
        <f aca="false">IF($C4477="","",$D4477*IFERROR(INDEX('تحليل التكلفة والسعر'!$C$2:$C$700,MATCH($C4477,'تحليل التكلفة والسعر'!$B$2:$B$700,0)),0))</f>
        <v/>
      </c>
    </row>
    <row r="4478" customFormat="false" ht="15" hidden="false" customHeight="false" outlineLevel="0" collapsed="false">
      <c r="A4478" s="103"/>
      <c r="B4478" s="104"/>
      <c r="C4478" s="104"/>
      <c r="E4478" s="107" t="str">
        <f aca="false">IF($C4478="","",IFERROR(INDEX(المنيو!$C$2:$C$500,MATCH($C4478,المنيو!$B$2:$B$500,0)),0))</f>
        <v/>
      </c>
      <c r="F4478" s="107" t="str">
        <f aca="false">IF($C4478="","",$D4478*$E4478)</f>
        <v/>
      </c>
      <c r="G4478" s="107" t="str">
        <f aca="false">IF($C4478="","",$D4478*IFERROR(INDEX('تحليل التكلفة والسعر'!$C$2:$C$700,MATCH($C4478,'تحليل التكلفة والسعر'!$B$2:$B$700,0)),0))</f>
        <v/>
      </c>
    </row>
    <row r="4479" customFormat="false" ht="15" hidden="false" customHeight="false" outlineLevel="0" collapsed="false">
      <c r="A4479" s="103"/>
      <c r="B4479" s="104"/>
      <c r="C4479" s="104"/>
      <c r="E4479" s="107" t="str">
        <f aca="false">IF($C4479="","",IFERROR(INDEX(المنيو!$C$2:$C$500,MATCH($C4479,المنيو!$B$2:$B$500,0)),0))</f>
        <v/>
      </c>
      <c r="F4479" s="107" t="str">
        <f aca="false">IF($C4479="","",$D4479*$E4479)</f>
        <v/>
      </c>
      <c r="G4479" s="107" t="str">
        <f aca="false">IF($C4479="","",$D4479*IFERROR(INDEX('تحليل التكلفة والسعر'!$C$2:$C$700,MATCH($C4479,'تحليل التكلفة والسعر'!$B$2:$B$700,0)),0))</f>
        <v/>
      </c>
    </row>
    <row r="4480" customFormat="false" ht="15" hidden="false" customHeight="false" outlineLevel="0" collapsed="false">
      <c r="A4480" s="103"/>
      <c r="B4480" s="104"/>
      <c r="C4480" s="104"/>
      <c r="E4480" s="107" t="str">
        <f aca="false">IF($C4480="","",IFERROR(INDEX(المنيو!$C$2:$C$500,MATCH($C4480,المنيو!$B$2:$B$500,0)),0))</f>
        <v/>
      </c>
      <c r="F4480" s="107" t="str">
        <f aca="false">IF($C4480="","",$D4480*$E4480)</f>
        <v/>
      </c>
      <c r="G4480" s="107" t="str">
        <f aca="false">IF($C4480="","",$D4480*IFERROR(INDEX('تحليل التكلفة والسعر'!$C$2:$C$700,MATCH($C4480,'تحليل التكلفة والسعر'!$B$2:$B$700,0)),0))</f>
        <v/>
      </c>
    </row>
    <row r="4481" customFormat="false" ht="15" hidden="false" customHeight="false" outlineLevel="0" collapsed="false">
      <c r="A4481" s="103"/>
      <c r="B4481" s="104"/>
      <c r="C4481" s="104"/>
      <c r="E4481" s="107" t="str">
        <f aca="false">IF($C4481="","",IFERROR(INDEX(المنيو!$C$2:$C$500,MATCH($C4481,المنيو!$B$2:$B$500,0)),0))</f>
        <v/>
      </c>
      <c r="F4481" s="107" t="str">
        <f aca="false">IF($C4481="","",$D4481*$E4481)</f>
        <v/>
      </c>
      <c r="G4481" s="107" t="str">
        <f aca="false">IF($C4481="","",$D4481*IFERROR(INDEX('تحليل التكلفة والسعر'!$C$2:$C$700,MATCH($C4481,'تحليل التكلفة والسعر'!$B$2:$B$700,0)),0))</f>
        <v/>
      </c>
    </row>
    <row r="4482" customFormat="false" ht="15" hidden="false" customHeight="false" outlineLevel="0" collapsed="false">
      <c r="A4482" s="103"/>
      <c r="B4482" s="104"/>
      <c r="C4482" s="104"/>
      <c r="E4482" s="107" t="str">
        <f aca="false">IF($C4482="","",IFERROR(INDEX(المنيو!$C$2:$C$500,MATCH($C4482,المنيو!$B$2:$B$500,0)),0))</f>
        <v/>
      </c>
      <c r="F4482" s="107" t="str">
        <f aca="false">IF($C4482="","",$D4482*$E4482)</f>
        <v/>
      </c>
      <c r="G4482" s="107" t="str">
        <f aca="false">IF($C4482="","",$D4482*IFERROR(INDEX('تحليل التكلفة والسعر'!$C$2:$C$700,MATCH($C4482,'تحليل التكلفة والسعر'!$B$2:$B$700,0)),0))</f>
        <v/>
      </c>
    </row>
    <row r="4483" customFormat="false" ht="15" hidden="false" customHeight="false" outlineLevel="0" collapsed="false">
      <c r="A4483" s="103"/>
      <c r="B4483" s="104"/>
      <c r="C4483" s="104"/>
      <c r="E4483" s="107" t="str">
        <f aca="false">IF($C4483="","",IFERROR(INDEX(المنيو!$C$2:$C$500,MATCH($C4483,المنيو!$B$2:$B$500,0)),0))</f>
        <v/>
      </c>
      <c r="F4483" s="107" t="str">
        <f aca="false">IF($C4483="","",$D4483*$E4483)</f>
        <v/>
      </c>
      <c r="G4483" s="107" t="str">
        <f aca="false">IF($C4483="","",$D4483*IFERROR(INDEX('تحليل التكلفة والسعر'!$C$2:$C$700,MATCH($C4483,'تحليل التكلفة والسعر'!$B$2:$B$700,0)),0))</f>
        <v/>
      </c>
    </row>
    <row r="4484" customFormat="false" ht="15" hidden="false" customHeight="false" outlineLevel="0" collapsed="false">
      <c r="A4484" s="103"/>
      <c r="B4484" s="104"/>
      <c r="C4484" s="104"/>
      <c r="E4484" s="107" t="str">
        <f aca="false">IF($C4484="","",IFERROR(INDEX(المنيو!$C$2:$C$500,MATCH($C4484,المنيو!$B$2:$B$500,0)),0))</f>
        <v/>
      </c>
      <c r="F4484" s="107" t="str">
        <f aca="false">IF($C4484="","",$D4484*$E4484)</f>
        <v/>
      </c>
      <c r="G4484" s="107" t="str">
        <f aca="false">IF($C4484="","",$D4484*IFERROR(INDEX('تحليل التكلفة والسعر'!$C$2:$C$700,MATCH($C4484,'تحليل التكلفة والسعر'!$B$2:$B$700,0)),0))</f>
        <v/>
      </c>
    </row>
    <row r="4485" customFormat="false" ht="15" hidden="false" customHeight="false" outlineLevel="0" collapsed="false">
      <c r="A4485" s="103"/>
      <c r="B4485" s="104"/>
      <c r="C4485" s="104"/>
      <c r="E4485" s="107" t="str">
        <f aca="false">IF($C4485="","",IFERROR(INDEX(المنيو!$C$2:$C$500,MATCH($C4485,المنيو!$B$2:$B$500,0)),0))</f>
        <v/>
      </c>
      <c r="F4485" s="107" t="str">
        <f aca="false">IF($C4485="","",$D4485*$E4485)</f>
        <v/>
      </c>
      <c r="G4485" s="107" t="str">
        <f aca="false">IF($C4485="","",$D4485*IFERROR(INDEX('تحليل التكلفة والسعر'!$C$2:$C$700,MATCH($C4485,'تحليل التكلفة والسعر'!$B$2:$B$700,0)),0))</f>
        <v/>
      </c>
    </row>
    <row r="4486" customFormat="false" ht="15" hidden="false" customHeight="false" outlineLevel="0" collapsed="false">
      <c r="A4486" s="103"/>
      <c r="B4486" s="104"/>
      <c r="C4486" s="104"/>
      <c r="E4486" s="107" t="str">
        <f aca="false">IF($C4486="","",IFERROR(INDEX(المنيو!$C$2:$C$500,MATCH($C4486,المنيو!$B$2:$B$500,0)),0))</f>
        <v/>
      </c>
      <c r="F4486" s="107" t="str">
        <f aca="false">IF($C4486="","",$D4486*$E4486)</f>
        <v/>
      </c>
      <c r="G4486" s="107" t="str">
        <f aca="false">IF($C4486="","",$D4486*IFERROR(INDEX('تحليل التكلفة والسعر'!$C$2:$C$700,MATCH($C4486,'تحليل التكلفة والسعر'!$B$2:$B$700,0)),0))</f>
        <v/>
      </c>
    </row>
    <row r="4487" customFormat="false" ht="15" hidden="false" customHeight="false" outlineLevel="0" collapsed="false">
      <c r="A4487" s="103"/>
      <c r="B4487" s="104"/>
      <c r="C4487" s="104"/>
      <c r="E4487" s="107" t="str">
        <f aca="false">IF($C4487="","",IFERROR(INDEX(المنيو!$C$2:$C$500,MATCH($C4487,المنيو!$B$2:$B$500,0)),0))</f>
        <v/>
      </c>
      <c r="F4487" s="107" t="str">
        <f aca="false">IF($C4487="","",$D4487*$E4487)</f>
        <v/>
      </c>
      <c r="G4487" s="107" t="str">
        <f aca="false">IF($C4487="","",$D4487*IFERROR(INDEX('تحليل التكلفة والسعر'!$C$2:$C$700,MATCH($C4487,'تحليل التكلفة والسعر'!$B$2:$B$700,0)),0))</f>
        <v/>
      </c>
    </row>
    <row r="4488" customFormat="false" ht="15" hidden="false" customHeight="false" outlineLevel="0" collapsed="false">
      <c r="A4488" s="103"/>
      <c r="B4488" s="104"/>
      <c r="C4488" s="104"/>
      <c r="E4488" s="107" t="str">
        <f aca="false">IF($C4488="","",IFERROR(INDEX(المنيو!$C$2:$C$500,MATCH($C4488,المنيو!$B$2:$B$500,0)),0))</f>
        <v/>
      </c>
      <c r="F4488" s="107" t="str">
        <f aca="false">IF($C4488="","",$D4488*$E4488)</f>
        <v/>
      </c>
      <c r="G4488" s="107" t="str">
        <f aca="false">IF($C4488="","",$D4488*IFERROR(INDEX('تحليل التكلفة والسعر'!$C$2:$C$700,MATCH($C4488,'تحليل التكلفة والسعر'!$B$2:$B$700,0)),0))</f>
        <v/>
      </c>
    </row>
    <row r="4489" customFormat="false" ht="15" hidden="false" customHeight="false" outlineLevel="0" collapsed="false">
      <c r="A4489" s="103"/>
      <c r="B4489" s="104"/>
      <c r="C4489" s="104"/>
      <c r="E4489" s="107" t="str">
        <f aca="false">IF($C4489="","",IFERROR(INDEX(المنيو!$C$2:$C$500,MATCH($C4489,المنيو!$B$2:$B$500,0)),0))</f>
        <v/>
      </c>
      <c r="F4489" s="107" t="str">
        <f aca="false">IF($C4489="","",$D4489*$E4489)</f>
        <v/>
      </c>
      <c r="G4489" s="107" t="str">
        <f aca="false">IF($C4489="","",$D4489*IFERROR(INDEX('تحليل التكلفة والسعر'!$C$2:$C$700,MATCH($C4489,'تحليل التكلفة والسعر'!$B$2:$B$700,0)),0))</f>
        <v/>
      </c>
    </row>
    <row r="4490" customFormat="false" ht="15" hidden="false" customHeight="false" outlineLevel="0" collapsed="false">
      <c r="A4490" s="103"/>
      <c r="B4490" s="104"/>
      <c r="C4490" s="104"/>
      <c r="E4490" s="107" t="str">
        <f aca="false">IF($C4490="","",IFERROR(INDEX(المنيو!$C$2:$C$500,MATCH($C4490,المنيو!$B$2:$B$500,0)),0))</f>
        <v/>
      </c>
      <c r="F4490" s="107" t="str">
        <f aca="false">IF($C4490="","",$D4490*$E4490)</f>
        <v/>
      </c>
      <c r="G4490" s="107" t="str">
        <f aca="false">IF($C4490="","",$D4490*IFERROR(INDEX('تحليل التكلفة والسعر'!$C$2:$C$700,MATCH($C4490,'تحليل التكلفة والسعر'!$B$2:$B$700,0)),0))</f>
        <v/>
      </c>
    </row>
    <row r="4491" customFormat="false" ht="15" hidden="false" customHeight="false" outlineLevel="0" collapsed="false">
      <c r="A4491" s="103"/>
      <c r="B4491" s="104"/>
      <c r="C4491" s="104"/>
      <c r="E4491" s="107" t="str">
        <f aca="false">IF($C4491="","",IFERROR(INDEX(المنيو!$C$2:$C$500,MATCH($C4491,المنيو!$B$2:$B$500,0)),0))</f>
        <v/>
      </c>
      <c r="F4491" s="107" t="str">
        <f aca="false">IF($C4491="","",$D4491*$E4491)</f>
        <v/>
      </c>
      <c r="G4491" s="107" t="str">
        <f aca="false">IF($C4491="","",$D4491*IFERROR(INDEX('تحليل التكلفة والسعر'!$C$2:$C$700,MATCH($C4491,'تحليل التكلفة والسعر'!$B$2:$B$700,0)),0))</f>
        <v/>
      </c>
    </row>
    <row r="4492" customFormat="false" ht="15" hidden="false" customHeight="false" outlineLevel="0" collapsed="false">
      <c r="A4492" s="103"/>
      <c r="B4492" s="104"/>
      <c r="C4492" s="104"/>
      <c r="E4492" s="107" t="str">
        <f aca="false">IF($C4492="","",IFERROR(INDEX(المنيو!$C$2:$C$500,MATCH($C4492,المنيو!$B$2:$B$500,0)),0))</f>
        <v/>
      </c>
      <c r="F4492" s="107" t="str">
        <f aca="false">IF($C4492="","",$D4492*$E4492)</f>
        <v/>
      </c>
      <c r="G4492" s="107" t="str">
        <f aca="false">IF($C4492="","",$D4492*IFERROR(INDEX('تحليل التكلفة والسعر'!$C$2:$C$700,MATCH($C4492,'تحليل التكلفة والسعر'!$B$2:$B$700,0)),0))</f>
        <v/>
      </c>
    </row>
    <row r="4493" customFormat="false" ht="15" hidden="false" customHeight="false" outlineLevel="0" collapsed="false">
      <c r="A4493" s="103"/>
      <c r="B4493" s="104"/>
      <c r="C4493" s="104"/>
      <c r="E4493" s="107" t="str">
        <f aca="false">IF($C4493="","",IFERROR(INDEX(المنيو!$C$2:$C$500,MATCH($C4493,المنيو!$B$2:$B$500,0)),0))</f>
        <v/>
      </c>
      <c r="F4493" s="107" t="str">
        <f aca="false">IF($C4493="","",$D4493*$E4493)</f>
        <v/>
      </c>
      <c r="G4493" s="107" t="str">
        <f aca="false">IF($C4493="","",$D4493*IFERROR(INDEX('تحليل التكلفة والسعر'!$C$2:$C$700,MATCH($C4493,'تحليل التكلفة والسعر'!$B$2:$B$700,0)),0))</f>
        <v/>
      </c>
    </row>
    <row r="4494" customFormat="false" ht="15" hidden="false" customHeight="false" outlineLevel="0" collapsed="false">
      <c r="A4494" s="103"/>
      <c r="B4494" s="104"/>
      <c r="C4494" s="104"/>
      <c r="E4494" s="107" t="str">
        <f aca="false">IF($C4494="","",IFERROR(INDEX(المنيو!$C$2:$C$500,MATCH($C4494,المنيو!$B$2:$B$500,0)),0))</f>
        <v/>
      </c>
      <c r="F4494" s="107" t="str">
        <f aca="false">IF($C4494="","",$D4494*$E4494)</f>
        <v/>
      </c>
      <c r="G4494" s="107" t="str">
        <f aca="false">IF($C4494="","",$D4494*IFERROR(INDEX('تحليل التكلفة والسعر'!$C$2:$C$700,MATCH($C4494,'تحليل التكلفة والسعر'!$B$2:$B$700,0)),0))</f>
        <v/>
      </c>
    </row>
    <row r="4495" customFormat="false" ht="15" hidden="false" customHeight="false" outlineLevel="0" collapsed="false">
      <c r="A4495" s="103"/>
      <c r="B4495" s="104"/>
      <c r="C4495" s="104"/>
      <c r="E4495" s="107" t="str">
        <f aca="false">IF($C4495="","",IFERROR(INDEX(المنيو!$C$2:$C$500,MATCH($C4495,المنيو!$B$2:$B$500,0)),0))</f>
        <v/>
      </c>
      <c r="F4495" s="107" t="str">
        <f aca="false">IF($C4495="","",$D4495*$E4495)</f>
        <v/>
      </c>
      <c r="G4495" s="107" t="str">
        <f aca="false">IF($C4495="","",$D4495*IFERROR(INDEX('تحليل التكلفة والسعر'!$C$2:$C$700,MATCH($C4495,'تحليل التكلفة والسعر'!$B$2:$B$700,0)),0))</f>
        <v/>
      </c>
    </row>
    <row r="4496" customFormat="false" ht="15" hidden="false" customHeight="false" outlineLevel="0" collapsed="false">
      <c r="A4496" s="103"/>
      <c r="B4496" s="104"/>
      <c r="C4496" s="104"/>
      <c r="E4496" s="107" t="str">
        <f aca="false">IF($C4496="","",IFERROR(INDEX(المنيو!$C$2:$C$500,MATCH($C4496,المنيو!$B$2:$B$500,0)),0))</f>
        <v/>
      </c>
      <c r="F4496" s="107" t="str">
        <f aca="false">IF($C4496="","",$D4496*$E4496)</f>
        <v/>
      </c>
      <c r="G4496" s="107" t="str">
        <f aca="false">IF($C4496="","",$D4496*IFERROR(INDEX('تحليل التكلفة والسعر'!$C$2:$C$700,MATCH($C4496,'تحليل التكلفة والسعر'!$B$2:$B$700,0)),0))</f>
        <v/>
      </c>
    </row>
    <row r="4497" customFormat="false" ht="15" hidden="false" customHeight="false" outlineLevel="0" collapsed="false">
      <c r="A4497" s="103"/>
      <c r="B4497" s="104"/>
      <c r="C4497" s="104"/>
      <c r="E4497" s="107" t="str">
        <f aca="false">IF($C4497="","",IFERROR(INDEX(المنيو!$C$2:$C$500,MATCH($C4497,المنيو!$B$2:$B$500,0)),0))</f>
        <v/>
      </c>
      <c r="F4497" s="107" t="str">
        <f aca="false">IF($C4497="","",$D4497*$E4497)</f>
        <v/>
      </c>
      <c r="G4497" s="107" t="str">
        <f aca="false">IF($C4497="","",$D4497*IFERROR(INDEX('تحليل التكلفة والسعر'!$C$2:$C$700,MATCH($C4497,'تحليل التكلفة والسعر'!$B$2:$B$700,0)),0))</f>
        <v/>
      </c>
    </row>
    <row r="4498" customFormat="false" ht="15" hidden="false" customHeight="false" outlineLevel="0" collapsed="false">
      <c r="A4498" s="103"/>
      <c r="B4498" s="104"/>
      <c r="C4498" s="104"/>
      <c r="E4498" s="107" t="str">
        <f aca="false">IF($C4498="","",IFERROR(INDEX(المنيو!$C$2:$C$500,MATCH($C4498,المنيو!$B$2:$B$500,0)),0))</f>
        <v/>
      </c>
      <c r="F4498" s="107" t="str">
        <f aca="false">IF($C4498="","",$D4498*$E4498)</f>
        <v/>
      </c>
      <c r="G4498" s="107" t="str">
        <f aca="false">IF($C4498="","",$D4498*IFERROR(INDEX('تحليل التكلفة والسعر'!$C$2:$C$700,MATCH($C4498,'تحليل التكلفة والسعر'!$B$2:$B$700,0)),0))</f>
        <v/>
      </c>
    </row>
    <row r="4499" customFormat="false" ht="15" hidden="false" customHeight="false" outlineLevel="0" collapsed="false">
      <c r="A4499" s="103"/>
      <c r="B4499" s="104"/>
      <c r="C4499" s="104"/>
      <c r="E4499" s="107" t="str">
        <f aca="false">IF($C4499="","",IFERROR(INDEX(المنيو!$C$2:$C$500,MATCH($C4499,المنيو!$B$2:$B$500,0)),0))</f>
        <v/>
      </c>
      <c r="F4499" s="107" t="str">
        <f aca="false">IF($C4499="","",$D4499*$E4499)</f>
        <v/>
      </c>
      <c r="G4499" s="107" t="str">
        <f aca="false">IF($C4499="","",$D4499*IFERROR(INDEX('تحليل التكلفة والسعر'!$C$2:$C$700,MATCH($C4499,'تحليل التكلفة والسعر'!$B$2:$B$700,0)),0))</f>
        <v/>
      </c>
    </row>
    <row r="4500" customFormat="false" ht="15" hidden="false" customHeight="false" outlineLevel="0" collapsed="false">
      <c r="A4500" s="103"/>
      <c r="B4500" s="104"/>
      <c r="C4500" s="104"/>
      <c r="E4500" s="107" t="str">
        <f aca="false">IF($C4500="","",IFERROR(INDEX(المنيو!$C$2:$C$500,MATCH($C4500,المنيو!$B$2:$B$500,0)),0))</f>
        <v/>
      </c>
      <c r="F4500" s="107" t="str">
        <f aca="false">IF($C4500="","",$D4500*$E4500)</f>
        <v/>
      </c>
      <c r="G4500" s="107" t="str">
        <f aca="false">IF($C4500="","",$D4500*IFERROR(INDEX('تحليل التكلفة والسعر'!$C$2:$C$700,MATCH($C4500,'تحليل التكلفة والسعر'!$B$2:$B$700,0)),0))</f>
        <v/>
      </c>
    </row>
    <row r="4501" customFormat="false" ht="15" hidden="false" customHeight="false" outlineLevel="0" collapsed="false">
      <c r="A4501" s="103"/>
      <c r="B4501" s="104"/>
      <c r="C4501" s="104"/>
      <c r="E4501" s="107" t="str">
        <f aca="false">IF($C4501="","",IFERROR(INDEX(المنيو!$C$2:$C$500,MATCH($C4501,المنيو!$B$2:$B$500,0)),0))</f>
        <v/>
      </c>
      <c r="F4501" s="107" t="str">
        <f aca="false">IF($C4501="","",$D4501*$E4501)</f>
        <v/>
      </c>
      <c r="G4501" s="107" t="str">
        <f aca="false">IF($C4501="","",$D4501*IFERROR(INDEX('تحليل التكلفة والسعر'!$C$2:$C$700,MATCH($C4501,'تحليل التكلفة والسعر'!$B$2:$B$700,0)),0))</f>
        <v/>
      </c>
    </row>
    <row r="4502" customFormat="false" ht="15" hidden="false" customHeight="false" outlineLevel="0" collapsed="false">
      <c r="A4502" s="103"/>
      <c r="B4502" s="104"/>
      <c r="C4502" s="104"/>
      <c r="E4502" s="107" t="str">
        <f aca="false">IF($C4502="","",IFERROR(INDEX(المنيو!$C$2:$C$500,MATCH($C4502,المنيو!$B$2:$B$500,0)),0))</f>
        <v/>
      </c>
      <c r="F4502" s="107" t="str">
        <f aca="false">IF($C4502="","",$D4502*$E4502)</f>
        <v/>
      </c>
      <c r="G4502" s="107" t="str">
        <f aca="false">IF($C4502="","",$D4502*IFERROR(INDEX('تحليل التكلفة والسعر'!$C$2:$C$700,MATCH($C4502,'تحليل التكلفة والسعر'!$B$2:$B$700,0)),0))</f>
        <v/>
      </c>
    </row>
    <row r="4503" customFormat="false" ht="15" hidden="false" customHeight="false" outlineLevel="0" collapsed="false">
      <c r="A4503" s="103"/>
      <c r="B4503" s="104"/>
      <c r="C4503" s="104"/>
      <c r="E4503" s="107" t="str">
        <f aca="false">IF($C4503="","",IFERROR(INDEX(المنيو!$C$2:$C$500,MATCH($C4503,المنيو!$B$2:$B$500,0)),0))</f>
        <v/>
      </c>
      <c r="F4503" s="107" t="str">
        <f aca="false">IF($C4503="","",$D4503*$E4503)</f>
        <v/>
      </c>
      <c r="G4503" s="107" t="str">
        <f aca="false">IF($C4503="","",$D4503*IFERROR(INDEX('تحليل التكلفة والسعر'!$C$2:$C$700,MATCH($C4503,'تحليل التكلفة والسعر'!$B$2:$B$700,0)),0))</f>
        <v/>
      </c>
    </row>
    <row r="4504" customFormat="false" ht="15" hidden="false" customHeight="false" outlineLevel="0" collapsed="false">
      <c r="A4504" s="103"/>
      <c r="B4504" s="104"/>
      <c r="C4504" s="104"/>
      <c r="E4504" s="107" t="str">
        <f aca="false">IF($C4504="","",IFERROR(INDEX(المنيو!$C$2:$C$500,MATCH($C4504,المنيو!$B$2:$B$500,0)),0))</f>
        <v/>
      </c>
      <c r="F4504" s="107" t="str">
        <f aca="false">IF($C4504="","",$D4504*$E4504)</f>
        <v/>
      </c>
      <c r="G4504" s="107" t="str">
        <f aca="false">IF($C4504="","",$D4504*IFERROR(INDEX('تحليل التكلفة والسعر'!$C$2:$C$700,MATCH($C4504,'تحليل التكلفة والسعر'!$B$2:$B$700,0)),0))</f>
        <v/>
      </c>
    </row>
    <row r="4505" customFormat="false" ht="15" hidden="false" customHeight="false" outlineLevel="0" collapsed="false">
      <c r="A4505" s="103"/>
      <c r="B4505" s="104"/>
      <c r="C4505" s="104"/>
      <c r="E4505" s="107" t="str">
        <f aca="false">IF($C4505="","",IFERROR(INDEX(المنيو!$C$2:$C$500,MATCH($C4505,المنيو!$B$2:$B$500,0)),0))</f>
        <v/>
      </c>
      <c r="F4505" s="107" t="str">
        <f aca="false">IF($C4505="","",$D4505*$E4505)</f>
        <v/>
      </c>
      <c r="G4505" s="107" t="str">
        <f aca="false">IF($C4505="","",$D4505*IFERROR(INDEX('تحليل التكلفة والسعر'!$C$2:$C$700,MATCH($C4505,'تحليل التكلفة والسعر'!$B$2:$B$700,0)),0))</f>
        <v/>
      </c>
    </row>
    <row r="4506" customFormat="false" ht="15" hidden="false" customHeight="false" outlineLevel="0" collapsed="false">
      <c r="A4506" s="103"/>
      <c r="B4506" s="104"/>
      <c r="C4506" s="104"/>
      <c r="E4506" s="107" t="str">
        <f aca="false">IF($C4506="","",IFERROR(INDEX(المنيو!$C$2:$C$500,MATCH($C4506,المنيو!$B$2:$B$500,0)),0))</f>
        <v/>
      </c>
      <c r="F4506" s="107" t="str">
        <f aca="false">IF($C4506="","",$D4506*$E4506)</f>
        <v/>
      </c>
      <c r="G4506" s="107" t="str">
        <f aca="false">IF($C4506="","",$D4506*IFERROR(INDEX('تحليل التكلفة والسعر'!$C$2:$C$700,MATCH($C4506,'تحليل التكلفة والسعر'!$B$2:$B$700,0)),0))</f>
        <v/>
      </c>
    </row>
    <row r="4507" customFormat="false" ht="15" hidden="false" customHeight="false" outlineLevel="0" collapsed="false">
      <c r="A4507" s="103"/>
      <c r="B4507" s="104"/>
      <c r="C4507" s="104"/>
      <c r="E4507" s="107" t="str">
        <f aca="false">IF($C4507="","",IFERROR(INDEX(المنيو!$C$2:$C$500,MATCH($C4507,المنيو!$B$2:$B$500,0)),0))</f>
        <v/>
      </c>
      <c r="F4507" s="107" t="str">
        <f aca="false">IF($C4507="","",$D4507*$E4507)</f>
        <v/>
      </c>
      <c r="G4507" s="107" t="str">
        <f aca="false">IF($C4507="","",$D4507*IFERROR(INDEX('تحليل التكلفة والسعر'!$C$2:$C$700,MATCH($C4507,'تحليل التكلفة والسعر'!$B$2:$B$700,0)),0))</f>
        <v/>
      </c>
    </row>
    <row r="4508" customFormat="false" ht="15" hidden="false" customHeight="false" outlineLevel="0" collapsed="false">
      <c r="A4508" s="103"/>
      <c r="B4508" s="104"/>
      <c r="C4508" s="104"/>
      <c r="E4508" s="107" t="str">
        <f aca="false">IF($C4508="","",IFERROR(INDEX(المنيو!$C$2:$C$500,MATCH($C4508,المنيو!$B$2:$B$500,0)),0))</f>
        <v/>
      </c>
      <c r="F4508" s="107" t="str">
        <f aca="false">IF($C4508="","",$D4508*$E4508)</f>
        <v/>
      </c>
      <c r="G4508" s="107" t="str">
        <f aca="false">IF($C4508="","",$D4508*IFERROR(INDEX('تحليل التكلفة والسعر'!$C$2:$C$700,MATCH($C4508,'تحليل التكلفة والسعر'!$B$2:$B$700,0)),0))</f>
        <v/>
      </c>
    </row>
    <row r="4509" customFormat="false" ht="15" hidden="false" customHeight="false" outlineLevel="0" collapsed="false">
      <c r="A4509" s="103"/>
      <c r="B4509" s="104"/>
      <c r="C4509" s="104"/>
      <c r="E4509" s="107" t="str">
        <f aca="false">IF($C4509="","",IFERROR(INDEX(المنيو!$C$2:$C$500,MATCH($C4509,المنيو!$B$2:$B$500,0)),0))</f>
        <v/>
      </c>
      <c r="F4509" s="107" t="str">
        <f aca="false">IF($C4509="","",$D4509*$E4509)</f>
        <v/>
      </c>
      <c r="G4509" s="107" t="str">
        <f aca="false">IF($C4509="","",$D4509*IFERROR(INDEX('تحليل التكلفة والسعر'!$C$2:$C$700,MATCH($C4509,'تحليل التكلفة والسعر'!$B$2:$B$700,0)),0))</f>
        <v/>
      </c>
    </row>
    <row r="4510" customFormat="false" ht="15" hidden="false" customHeight="false" outlineLevel="0" collapsed="false">
      <c r="A4510" s="103"/>
      <c r="B4510" s="104"/>
      <c r="C4510" s="104"/>
      <c r="E4510" s="107" t="str">
        <f aca="false">IF($C4510="","",IFERROR(INDEX(المنيو!$C$2:$C$500,MATCH($C4510,المنيو!$B$2:$B$500,0)),0))</f>
        <v/>
      </c>
      <c r="F4510" s="107" t="str">
        <f aca="false">IF($C4510="","",$D4510*$E4510)</f>
        <v/>
      </c>
      <c r="G4510" s="107" t="str">
        <f aca="false">IF($C4510="","",$D4510*IFERROR(INDEX('تحليل التكلفة والسعر'!$C$2:$C$700,MATCH($C4510,'تحليل التكلفة والسعر'!$B$2:$B$700,0)),0))</f>
        <v/>
      </c>
    </row>
    <row r="4511" customFormat="false" ht="15" hidden="false" customHeight="false" outlineLevel="0" collapsed="false">
      <c r="A4511" s="103"/>
      <c r="B4511" s="104"/>
      <c r="C4511" s="104"/>
      <c r="E4511" s="107" t="str">
        <f aca="false">IF($C4511="","",IFERROR(INDEX(المنيو!$C$2:$C$500,MATCH($C4511,المنيو!$B$2:$B$500,0)),0))</f>
        <v/>
      </c>
      <c r="F4511" s="107" t="str">
        <f aca="false">IF($C4511="","",$D4511*$E4511)</f>
        <v/>
      </c>
      <c r="G4511" s="107" t="str">
        <f aca="false">IF($C4511="","",$D4511*IFERROR(INDEX('تحليل التكلفة والسعر'!$C$2:$C$700,MATCH($C4511,'تحليل التكلفة والسعر'!$B$2:$B$700,0)),0))</f>
        <v/>
      </c>
    </row>
    <row r="4512" customFormat="false" ht="15" hidden="false" customHeight="false" outlineLevel="0" collapsed="false">
      <c r="A4512" s="103"/>
      <c r="B4512" s="104"/>
      <c r="C4512" s="104"/>
      <c r="E4512" s="107" t="str">
        <f aca="false">IF($C4512="","",IFERROR(INDEX(المنيو!$C$2:$C$500,MATCH($C4512,المنيو!$B$2:$B$500,0)),0))</f>
        <v/>
      </c>
      <c r="F4512" s="107" t="str">
        <f aca="false">IF($C4512="","",$D4512*$E4512)</f>
        <v/>
      </c>
      <c r="G4512" s="107" t="str">
        <f aca="false">IF($C4512="","",$D4512*IFERROR(INDEX('تحليل التكلفة والسعر'!$C$2:$C$700,MATCH($C4512,'تحليل التكلفة والسعر'!$B$2:$B$700,0)),0))</f>
        <v/>
      </c>
    </row>
    <row r="4513" customFormat="false" ht="15" hidden="false" customHeight="false" outlineLevel="0" collapsed="false">
      <c r="A4513" s="103"/>
      <c r="B4513" s="104"/>
      <c r="C4513" s="104"/>
      <c r="E4513" s="107" t="str">
        <f aca="false">IF($C4513="","",IFERROR(INDEX(المنيو!$C$2:$C$500,MATCH($C4513,المنيو!$B$2:$B$500,0)),0))</f>
        <v/>
      </c>
      <c r="F4513" s="107" t="str">
        <f aca="false">IF($C4513="","",$D4513*$E4513)</f>
        <v/>
      </c>
      <c r="G4513" s="107" t="str">
        <f aca="false">IF($C4513="","",$D4513*IFERROR(INDEX('تحليل التكلفة والسعر'!$C$2:$C$700,MATCH($C4513,'تحليل التكلفة والسعر'!$B$2:$B$700,0)),0))</f>
        <v/>
      </c>
    </row>
    <row r="4514" customFormat="false" ht="15" hidden="false" customHeight="false" outlineLevel="0" collapsed="false">
      <c r="A4514" s="103"/>
      <c r="B4514" s="104"/>
      <c r="C4514" s="104"/>
      <c r="E4514" s="107" t="str">
        <f aca="false">IF($C4514="","",IFERROR(INDEX(المنيو!$C$2:$C$500,MATCH($C4514,المنيو!$B$2:$B$500,0)),0))</f>
        <v/>
      </c>
      <c r="F4514" s="107" t="str">
        <f aca="false">IF($C4514="","",$D4514*$E4514)</f>
        <v/>
      </c>
      <c r="G4514" s="107" t="str">
        <f aca="false">IF($C4514="","",$D4514*IFERROR(INDEX('تحليل التكلفة والسعر'!$C$2:$C$700,MATCH($C4514,'تحليل التكلفة والسعر'!$B$2:$B$700,0)),0))</f>
        <v/>
      </c>
    </row>
    <row r="4515" customFormat="false" ht="15" hidden="false" customHeight="false" outlineLevel="0" collapsed="false">
      <c r="A4515" s="103"/>
      <c r="B4515" s="104"/>
      <c r="C4515" s="104"/>
      <c r="E4515" s="107" t="str">
        <f aca="false">IF($C4515="","",IFERROR(INDEX(المنيو!$C$2:$C$500,MATCH($C4515,المنيو!$B$2:$B$500,0)),0))</f>
        <v/>
      </c>
      <c r="F4515" s="107" t="str">
        <f aca="false">IF($C4515="","",$D4515*$E4515)</f>
        <v/>
      </c>
      <c r="G4515" s="107" t="str">
        <f aca="false">IF($C4515="","",$D4515*IFERROR(INDEX('تحليل التكلفة والسعر'!$C$2:$C$700,MATCH($C4515,'تحليل التكلفة والسعر'!$B$2:$B$700,0)),0))</f>
        <v/>
      </c>
    </row>
    <row r="4516" customFormat="false" ht="15" hidden="false" customHeight="false" outlineLevel="0" collapsed="false">
      <c r="A4516" s="103"/>
      <c r="B4516" s="104"/>
      <c r="C4516" s="104"/>
      <c r="E4516" s="107" t="str">
        <f aca="false">IF($C4516="","",IFERROR(INDEX(المنيو!$C$2:$C$500,MATCH($C4516,المنيو!$B$2:$B$500,0)),0))</f>
        <v/>
      </c>
      <c r="F4516" s="107" t="str">
        <f aca="false">IF($C4516="","",$D4516*$E4516)</f>
        <v/>
      </c>
      <c r="G4516" s="107" t="str">
        <f aca="false">IF($C4516="","",$D4516*IFERROR(INDEX('تحليل التكلفة والسعر'!$C$2:$C$700,MATCH($C4516,'تحليل التكلفة والسعر'!$B$2:$B$700,0)),0))</f>
        <v/>
      </c>
    </row>
    <row r="4517" customFormat="false" ht="15" hidden="false" customHeight="false" outlineLevel="0" collapsed="false">
      <c r="A4517" s="103"/>
      <c r="B4517" s="104"/>
      <c r="C4517" s="104"/>
      <c r="E4517" s="107" t="str">
        <f aca="false">IF($C4517="","",IFERROR(INDEX(المنيو!$C$2:$C$500,MATCH($C4517,المنيو!$B$2:$B$500,0)),0))</f>
        <v/>
      </c>
      <c r="F4517" s="107" t="str">
        <f aca="false">IF($C4517="","",$D4517*$E4517)</f>
        <v/>
      </c>
      <c r="G4517" s="107" t="str">
        <f aca="false">IF($C4517="","",$D4517*IFERROR(INDEX('تحليل التكلفة والسعر'!$C$2:$C$700,MATCH($C4517,'تحليل التكلفة والسعر'!$B$2:$B$700,0)),0))</f>
        <v/>
      </c>
    </row>
    <row r="4518" customFormat="false" ht="15" hidden="false" customHeight="false" outlineLevel="0" collapsed="false">
      <c r="A4518" s="103"/>
      <c r="B4518" s="104"/>
      <c r="C4518" s="104"/>
      <c r="E4518" s="107" t="str">
        <f aca="false">IF($C4518="","",IFERROR(INDEX(المنيو!$C$2:$C$500,MATCH($C4518,المنيو!$B$2:$B$500,0)),0))</f>
        <v/>
      </c>
      <c r="F4518" s="107" t="str">
        <f aca="false">IF($C4518="","",$D4518*$E4518)</f>
        <v/>
      </c>
      <c r="G4518" s="107" t="str">
        <f aca="false">IF($C4518="","",$D4518*IFERROR(INDEX('تحليل التكلفة والسعر'!$C$2:$C$700,MATCH($C4518,'تحليل التكلفة والسعر'!$B$2:$B$700,0)),0))</f>
        <v/>
      </c>
    </row>
    <row r="4519" customFormat="false" ht="15" hidden="false" customHeight="false" outlineLevel="0" collapsed="false">
      <c r="A4519" s="103"/>
      <c r="B4519" s="104"/>
      <c r="C4519" s="104"/>
      <c r="E4519" s="107" t="str">
        <f aca="false">IF($C4519="","",IFERROR(INDEX(المنيو!$C$2:$C$500,MATCH($C4519,المنيو!$B$2:$B$500,0)),0))</f>
        <v/>
      </c>
      <c r="F4519" s="107" t="str">
        <f aca="false">IF($C4519="","",$D4519*$E4519)</f>
        <v/>
      </c>
      <c r="G4519" s="107" t="str">
        <f aca="false">IF($C4519="","",$D4519*IFERROR(INDEX('تحليل التكلفة والسعر'!$C$2:$C$700,MATCH($C4519,'تحليل التكلفة والسعر'!$B$2:$B$700,0)),0))</f>
        <v/>
      </c>
    </row>
    <row r="4520" customFormat="false" ht="15" hidden="false" customHeight="false" outlineLevel="0" collapsed="false">
      <c r="A4520" s="103"/>
      <c r="B4520" s="104"/>
      <c r="C4520" s="104"/>
      <c r="E4520" s="107" t="str">
        <f aca="false">IF($C4520="","",IFERROR(INDEX(المنيو!$C$2:$C$500,MATCH($C4520,المنيو!$B$2:$B$500,0)),0))</f>
        <v/>
      </c>
      <c r="F4520" s="107" t="str">
        <f aca="false">IF($C4520="","",$D4520*$E4520)</f>
        <v/>
      </c>
      <c r="G4520" s="107" t="str">
        <f aca="false">IF($C4520="","",$D4520*IFERROR(INDEX('تحليل التكلفة والسعر'!$C$2:$C$700,MATCH($C4520,'تحليل التكلفة والسعر'!$B$2:$B$700,0)),0))</f>
        <v/>
      </c>
    </row>
    <row r="4521" customFormat="false" ht="15" hidden="false" customHeight="false" outlineLevel="0" collapsed="false">
      <c r="A4521" s="103"/>
      <c r="B4521" s="104"/>
      <c r="C4521" s="104"/>
      <c r="E4521" s="107" t="str">
        <f aca="false">IF($C4521="","",IFERROR(INDEX(المنيو!$C$2:$C$500,MATCH($C4521,المنيو!$B$2:$B$500,0)),0))</f>
        <v/>
      </c>
      <c r="F4521" s="107" t="str">
        <f aca="false">IF($C4521="","",$D4521*$E4521)</f>
        <v/>
      </c>
      <c r="G4521" s="107" t="str">
        <f aca="false">IF($C4521="","",$D4521*IFERROR(INDEX('تحليل التكلفة والسعر'!$C$2:$C$700,MATCH($C4521,'تحليل التكلفة والسعر'!$B$2:$B$700,0)),0))</f>
        <v/>
      </c>
    </row>
    <row r="4522" customFormat="false" ht="15" hidden="false" customHeight="false" outlineLevel="0" collapsed="false">
      <c r="A4522" s="103"/>
      <c r="B4522" s="104"/>
      <c r="C4522" s="104"/>
      <c r="E4522" s="107" t="str">
        <f aca="false">IF($C4522="","",IFERROR(INDEX(المنيو!$C$2:$C$500,MATCH($C4522,المنيو!$B$2:$B$500,0)),0))</f>
        <v/>
      </c>
      <c r="F4522" s="107" t="str">
        <f aca="false">IF($C4522="","",$D4522*$E4522)</f>
        <v/>
      </c>
      <c r="G4522" s="107" t="str">
        <f aca="false">IF($C4522="","",$D4522*IFERROR(INDEX('تحليل التكلفة والسعر'!$C$2:$C$700,MATCH($C4522,'تحليل التكلفة والسعر'!$B$2:$B$700,0)),0))</f>
        <v/>
      </c>
    </row>
    <row r="4523" customFormat="false" ht="15" hidden="false" customHeight="false" outlineLevel="0" collapsed="false">
      <c r="A4523" s="103"/>
      <c r="B4523" s="104"/>
      <c r="C4523" s="104"/>
      <c r="E4523" s="107" t="str">
        <f aca="false">IF($C4523="","",IFERROR(INDEX(المنيو!$C$2:$C$500,MATCH($C4523,المنيو!$B$2:$B$500,0)),0))</f>
        <v/>
      </c>
      <c r="F4523" s="107" t="str">
        <f aca="false">IF($C4523="","",$D4523*$E4523)</f>
        <v/>
      </c>
      <c r="G4523" s="107" t="str">
        <f aca="false">IF($C4523="","",$D4523*IFERROR(INDEX('تحليل التكلفة والسعر'!$C$2:$C$700,MATCH($C4523,'تحليل التكلفة والسعر'!$B$2:$B$700,0)),0))</f>
        <v/>
      </c>
    </row>
    <row r="4524" customFormat="false" ht="15" hidden="false" customHeight="false" outlineLevel="0" collapsed="false">
      <c r="A4524" s="103"/>
      <c r="B4524" s="104"/>
      <c r="C4524" s="104"/>
      <c r="E4524" s="107" t="str">
        <f aca="false">IF($C4524="","",IFERROR(INDEX(المنيو!$C$2:$C$500,MATCH($C4524,المنيو!$B$2:$B$500,0)),0))</f>
        <v/>
      </c>
      <c r="F4524" s="107" t="str">
        <f aca="false">IF($C4524="","",$D4524*$E4524)</f>
        <v/>
      </c>
      <c r="G4524" s="107" t="str">
        <f aca="false">IF($C4524="","",$D4524*IFERROR(INDEX('تحليل التكلفة والسعر'!$C$2:$C$700,MATCH($C4524,'تحليل التكلفة والسعر'!$B$2:$B$700,0)),0))</f>
        <v/>
      </c>
    </row>
    <row r="4525" customFormat="false" ht="15" hidden="false" customHeight="false" outlineLevel="0" collapsed="false">
      <c r="A4525" s="103"/>
      <c r="B4525" s="104"/>
      <c r="C4525" s="104"/>
      <c r="E4525" s="107" t="str">
        <f aca="false">IF($C4525="","",IFERROR(INDEX(المنيو!$C$2:$C$500,MATCH($C4525,المنيو!$B$2:$B$500,0)),0))</f>
        <v/>
      </c>
      <c r="F4525" s="107" t="str">
        <f aca="false">IF($C4525="","",$D4525*$E4525)</f>
        <v/>
      </c>
      <c r="G4525" s="107" t="str">
        <f aca="false">IF($C4525="","",$D4525*IFERROR(INDEX('تحليل التكلفة والسعر'!$C$2:$C$700,MATCH($C4525,'تحليل التكلفة والسعر'!$B$2:$B$700,0)),0))</f>
        <v/>
      </c>
    </row>
    <row r="4526" customFormat="false" ht="15" hidden="false" customHeight="false" outlineLevel="0" collapsed="false">
      <c r="A4526" s="103"/>
      <c r="B4526" s="104"/>
      <c r="C4526" s="104"/>
      <c r="E4526" s="107" t="str">
        <f aca="false">IF($C4526="","",IFERROR(INDEX(المنيو!$C$2:$C$500,MATCH($C4526,المنيو!$B$2:$B$500,0)),0))</f>
        <v/>
      </c>
      <c r="F4526" s="107" t="str">
        <f aca="false">IF($C4526="","",$D4526*$E4526)</f>
        <v/>
      </c>
      <c r="G4526" s="107" t="str">
        <f aca="false">IF($C4526="","",$D4526*IFERROR(INDEX('تحليل التكلفة والسعر'!$C$2:$C$700,MATCH($C4526,'تحليل التكلفة والسعر'!$B$2:$B$700,0)),0))</f>
        <v/>
      </c>
    </row>
    <row r="4527" customFormat="false" ht="15" hidden="false" customHeight="false" outlineLevel="0" collapsed="false">
      <c r="A4527" s="103"/>
      <c r="B4527" s="104"/>
      <c r="C4527" s="104"/>
      <c r="E4527" s="107" t="str">
        <f aca="false">IF($C4527="","",IFERROR(INDEX(المنيو!$C$2:$C$500,MATCH($C4527,المنيو!$B$2:$B$500,0)),0))</f>
        <v/>
      </c>
      <c r="F4527" s="107" t="str">
        <f aca="false">IF($C4527="","",$D4527*$E4527)</f>
        <v/>
      </c>
      <c r="G4527" s="107" t="str">
        <f aca="false">IF($C4527="","",$D4527*IFERROR(INDEX('تحليل التكلفة والسعر'!$C$2:$C$700,MATCH($C4527,'تحليل التكلفة والسعر'!$B$2:$B$700,0)),0))</f>
        <v/>
      </c>
    </row>
    <row r="4528" customFormat="false" ht="15" hidden="false" customHeight="false" outlineLevel="0" collapsed="false">
      <c r="A4528" s="103"/>
      <c r="B4528" s="104"/>
      <c r="C4528" s="104"/>
      <c r="E4528" s="107" t="str">
        <f aca="false">IF($C4528="","",IFERROR(INDEX(المنيو!$C$2:$C$500,MATCH($C4528,المنيو!$B$2:$B$500,0)),0))</f>
        <v/>
      </c>
      <c r="F4528" s="107" t="str">
        <f aca="false">IF($C4528="","",$D4528*$E4528)</f>
        <v/>
      </c>
      <c r="G4528" s="107" t="str">
        <f aca="false">IF($C4528="","",$D4528*IFERROR(INDEX('تحليل التكلفة والسعر'!$C$2:$C$700,MATCH($C4528,'تحليل التكلفة والسعر'!$B$2:$B$700,0)),0))</f>
        <v/>
      </c>
    </row>
    <row r="4529" customFormat="false" ht="15" hidden="false" customHeight="false" outlineLevel="0" collapsed="false">
      <c r="A4529" s="103"/>
      <c r="B4529" s="104"/>
      <c r="C4529" s="104"/>
      <c r="E4529" s="107" t="str">
        <f aca="false">IF($C4529="","",IFERROR(INDEX(المنيو!$C$2:$C$500,MATCH($C4529,المنيو!$B$2:$B$500,0)),0))</f>
        <v/>
      </c>
      <c r="F4529" s="107" t="str">
        <f aca="false">IF($C4529="","",$D4529*$E4529)</f>
        <v/>
      </c>
      <c r="G4529" s="107" t="str">
        <f aca="false">IF($C4529="","",$D4529*IFERROR(INDEX('تحليل التكلفة والسعر'!$C$2:$C$700,MATCH($C4529,'تحليل التكلفة والسعر'!$B$2:$B$700,0)),0))</f>
        <v/>
      </c>
    </row>
    <row r="4530" customFormat="false" ht="15" hidden="false" customHeight="false" outlineLevel="0" collapsed="false">
      <c r="A4530" s="103"/>
      <c r="B4530" s="104"/>
      <c r="C4530" s="104"/>
      <c r="E4530" s="107" t="str">
        <f aca="false">IF($C4530="","",IFERROR(INDEX(المنيو!$C$2:$C$500,MATCH($C4530,المنيو!$B$2:$B$500,0)),0))</f>
        <v/>
      </c>
      <c r="F4530" s="107" t="str">
        <f aca="false">IF($C4530="","",$D4530*$E4530)</f>
        <v/>
      </c>
      <c r="G4530" s="107" t="str">
        <f aca="false">IF($C4530="","",$D4530*IFERROR(INDEX('تحليل التكلفة والسعر'!$C$2:$C$700,MATCH($C4530,'تحليل التكلفة والسعر'!$B$2:$B$700,0)),0))</f>
        <v/>
      </c>
    </row>
    <row r="4531" customFormat="false" ht="15" hidden="false" customHeight="false" outlineLevel="0" collapsed="false">
      <c r="A4531" s="103"/>
      <c r="B4531" s="104"/>
      <c r="C4531" s="104"/>
      <c r="E4531" s="107" t="str">
        <f aca="false">IF($C4531="","",IFERROR(INDEX(المنيو!$C$2:$C$500,MATCH($C4531,المنيو!$B$2:$B$500,0)),0))</f>
        <v/>
      </c>
      <c r="F4531" s="107" t="str">
        <f aca="false">IF($C4531="","",$D4531*$E4531)</f>
        <v/>
      </c>
      <c r="G4531" s="107" t="str">
        <f aca="false">IF($C4531="","",$D4531*IFERROR(INDEX('تحليل التكلفة والسعر'!$C$2:$C$700,MATCH($C4531,'تحليل التكلفة والسعر'!$B$2:$B$700,0)),0))</f>
        <v/>
      </c>
    </row>
    <row r="4532" customFormat="false" ht="15" hidden="false" customHeight="false" outlineLevel="0" collapsed="false">
      <c r="A4532" s="103"/>
      <c r="B4532" s="104"/>
      <c r="C4532" s="104"/>
      <c r="E4532" s="107" t="str">
        <f aca="false">IF($C4532="","",IFERROR(INDEX(المنيو!$C$2:$C$500,MATCH($C4532,المنيو!$B$2:$B$500,0)),0))</f>
        <v/>
      </c>
      <c r="F4532" s="107" t="str">
        <f aca="false">IF($C4532="","",$D4532*$E4532)</f>
        <v/>
      </c>
      <c r="G4532" s="107" t="str">
        <f aca="false">IF($C4532="","",$D4532*IFERROR(INDEX('تحليل التكلفة والسعر'!$C$2:$C$700,MATCH($C4532,'تحليل التكلفة والسعر'!$B$2:$B$700,0)),0))</f>
        <v/>
      </c>
    </row>
    <row r="4533" customFormat="false" ht="15" hidden="false" customHeight="false" outlineLevel="0" collapsed="false">
      <c r="A4533" s="103"/>
      <c r="B4533" s="104"/>
      <c r="C4533" s="104"/>
      <c r="E4533" s="107" t="str">
        <f aca="false">IF($C4533="","",IFERROR(INDEX(المنيو!$C$2:$C$500,MATCH($C4533,المنيو!$B$2:$B$500,0)),0))</f>
        <v/>
      </c>
      <c r="F4533" s="107" t="str">
        <f aca="false">IF($C4533="","",$D4533*$E4533)</f>
        <v/>
      </c>
      <c r="G4533" s="107" t="str">
        <f aca="false">IF($C4533="","",$D4533*IFERROR(INDEX('تحليل التكلفة والسعر'!$C$2:$C$700,MATCH($C4533,'تحليل التكلفة والسعر'!$B$2:$B$700,0)),0))</f>
        <v/>
      </c>
    </row>
    <row r="4534" customFormat="false" ht="15" hidden="false" customHeight="false" outlineLevel="0" collapsed="false">
      <c r="A4534" s="103"/>
      <c r="B4534" s="104"/>
      <c r="C4534" s="104"/>
      <c r="E4534" s="107" t="str">
        <f aca="false">IF($C4534="","",IFERROR(INDEX(المنيو!$C$2:$C$500,MATCH($C4534,المنيو!$B$2:$B$500,0)),0))</f>
        <v/>
      </c>
      <c r="F4534" s="107" t="str">
        <f aca="false">IF($C4534="","",$D4534*$E4534)</f>
        <v/>
      </c>
      <c r="G4534" s="107" t="str">
        <f aca="false">IF($C4534="","",$D4534*IFERROR(INDEX('تحليل التكلفة والسعر'!$C$2:$C$700,MATCH($C4534,'تحليل التكلفة والسعر'!$B$2:$B$700,0)),0))</f>
        <v/>
      </c>
    </row>
    <row r="4535" customFormat="false" ht="15" hidden="false" customHeight="false" outlineLevel="0" collapsed="false">
      <c r="A4535" s="103"/>
      <c r="B4535" s="104"/>
      <c r="C4535" s="104"/>
      <c r="E4535" s="107" t="str">
        <f aca="false">IF($C4535="","",IFERROR(INDEX(المنيو!$C$2:$C$500,MATCH($C4535,المنيو!$B$2:$B$500,0)),0))</f>
        <v/>
      </c>
      <c r="F4535" s="107" t="str">
        <f aca="false">IF($C4535="","",$D4535*$E4535)</f>
        <v/>
      </c>
      <c r="G4535" s="107" t="str">
        <f aca="false">IF($C4535="","",$D4535*IFERROR(INDEX('تحليل التكلفة والسعر'!$C$2:$C$700,MATCH($C4535,'تحليل التكلفة والسعر'!$B$2:$B$700,0)),0))</f>
        <v/>
      </c>
    </row>
    <row r="4536" customFormat="false" ht="15" hidden="false" customHeight="false" outlineLevel="0" collapsed="false">
      <c r="A4536" s="103"/>
      <c r="B4536" s="104"/>
      <c r="C4536" s="104"/>
      <c r="E4536" s="107" t="str">
        <f aca="false">IF($C4536="","",IFERROR(INDEX(المنيو!$C$2:$C$500,MATCH($C4536,المنيو!$B$2:$B$500,0)),0))</f>
        <v/>
      </c>
      <c r="F4536" s="107" t="str">
        <f aca="false">IF($C4536="","",$D4536*$E4536)</f>
        <v/>
      </c>
      <c r="G4536" s="107" t="str">
        <f aca="false">IF($C4536="","",$D4536*IFERROR(INDEX('تحليل التكلفة والسعر'!$C$2:$C$700,MATCH($C4536,'تحليل التكلفة والسعر'!$B$2:$B$700,0)),0))</f>
        <v/>
      </c>
    </row>
    <row r="4537" customFormat="false" ht="15" hidden="false" customHeight="false" outlineLevel="0" collapsed="false">
      <c r="A4537" s="103"/>
      <c r="B4537" s="104"/>
      <c r="C4537" s="104"/>
      <c r="E4537" s="107" t="str">
        <f aca="false">IF($C4537="","",IFERROR(INDEX(المنيو!$C$2:$C$500,MATCH($C4537,المنيو!$B$2:$B$500,0)),0))</f>
        <v/>
      </c>
      <c r="F4537" s="107" t="str">
        <f aca="false">IF($C4537="","",$D4537*$E4537)</f>
        <v/>
      </c>
      <c r="G4537" s="107" t="str">
        <f aca="false">IF($C4537="","",$D4537*IFERROR(INDEX('تحليل التكلفة والسعر'!$C$2:$C$700,MATCH($C4537,'تحليل التكلفة والسعر'!$B$2:$B$700,0)),0))</f>
        <v/>
      </c>
    </row>
    <row r="4538" customFormat="false" ht="15" hidden="false" customHeight="false" outlineLevel="0" collapsed="false">
      <c r="A4538" s="103"/>
      <c r="B4538" s="104"/>
      <c r="C4538" s="104"/>
      <c r="E4538" s="107" t="str">
        <f aca="false">IF($C4538="","",IFERROR(INDEX(المنيو!$C$2:$C$500,MATCH($C4538,المنيو!$B$2:$B$500,0)),0))</f>
        <v/>
      </c>
      <c r="F4538" s="107" t="str">
        <f aca="false">IF($C4538="","",$D4538*$E4538)</f>
        <v/>
      </c>
      <c r="G4538" s="107" t="str">
        <f aca="false">IF($C4538="","",$D4538*IFERROR(INDEX('تحليل التكلفة والسعر'!$C$2:$C$700,MATCH($C4538,'تحليل التكلفة والسعر'!$B$2:$B$700,0)),0))</f>
        <v/>
      </c>
    </row>
    <row r="4539" customFormat="false" ht="15" hidden="false" customHeight="false" outlineLevel="0" collapsed="false">
      <c r="A4539" s="103"/>
      <c r="B4539" s="104"/>
      <c r="C4539" s="104"/>
      <c r="E4539" s="107" t="str">
        <f aca="false">IF($C4539="","",IFERROR(INDEX(المنيو!$C$2:$C$500,MATCH($C4539,المنيو!$B$2:$B$500,0)),0))</f>
        <v/>
      </c>
      <c r="F4539" s="107" t="str">
        <f aca="false">IF($C4539="","",$D4539*$E4539)</f>
        <v/>
      </c>
      <c r="G4539" s="107" t="str">
        <f aca="false">IF($C4539="","",$D4539*IFERROR(INDEX('تحليل التكلفة والسعر'!$C$2:$C$700,MATCH($C4539,'تحليل التكلفة والسعر'!$B$2:$B$700,0)),0))</f>
        <v/>
      </c>
    </row>
    <row r="4540" customFormat="false" ht="15" hidden="false" customHeight="false" outlineLevel="0" collapsed="false">
      <c r="A4540" s="103"/>
      <c r="B4540" s="104"/>
      <c r="C4540" s="104"/>
      <c r="E4540" s="107" t="str">
        <f aca="false">IF($C4540="","",IFERROR(INDEX(المنيو!$C$2:$C$500,MATCH($C4540,المنيو!$B$2:$B$500,0)),0))</f>
        <v/>
      </c>
      <c r="F4540" s="107" t="str">
        <f aca="false">IF($C4540="","",$D4540*$E4540)</f>
        <v/>
      </c>
      <c r="G4540" s="107" t="str">
        <f aca="false">IF($C4540="","",$D4540*IFERROR(INDEX('تحليل التكلفة والسعر'!$C$2:$C$700,MATCH($C4540,'تحليل التكلفة والسعر'!$B$2:$B$700,0)),0))</f>
        <v/>
      </c>
    </row>
    <row r="4541" customFormat="false" ht="15" hidden="false" customHeight="false" outlineLevel="0" collapsed="false">
      <c r="A4541" s="103"/>
      <c r="B4541" s="104"/>
      <c r="C4541" s="104"/>
      <c r="E4541" s="107" t="str">
        <f aca="false">IF($C4541="","",IFERROR(INDEX(المنيو!$C$2:$C$500,MATCH($C4541,المنيو!$B$2:$B$500,0)),0))</f>
        <v/>
      </c>
      <c r="F4541" s="107" t="str">
        <f aca="false">IF($C4541="","",$D4541*$E4541)</f>
        <v/>
      </c>
      <c r="G4541" s="107" t="str">
        <f aca="false">IF($C4541="","",$D4541*IFERROR(INDEX('تحليل التكلفة والسعر'!$C$2:$C$700,MATCH($C4541,'تحليل التكلفة والسعر'!$B$2:$B$700,0)),0))</f>
        <v/>
      </c>
    </row>
    <row r="4542" customFormat="false" ht="15" hidden="false" customHeight="false" outlineLevel="0" collapsed="false">
      <c r="A4542" s="103"/>
      <c r="B4542" s="104"/>
      <c r="C4542" s="104"/>
      <c r="E4542" s="107" t="str">
        <f aca="false">IF($C4542="","",IFERROR(INDEX(المنيو!$C$2:$C$500,MATCH($C4542,المنيو!$B$2:$B$500,0)),0))</f>
        <v/>
      </c>
      <c r="F4542" s="107" t="str">
        <f aca="false">IF($C4542="","",$D4542*$E4542)</f>
        <v/>
      </c>
      <c r="G4542" s="107" t="str">
        <f aca="false">IF($C4542="","",$D4542*IFERROR(INDEX('تحليل التكلفة والسعر'!$C$2:$C$700,MATCH($C4542,'تحليل التكلفة والسعر'!$B$2:$B$700,0)),0))</f>
        <v/>
      </c>
    </row>
    <row r="4543" customFormat="false" ht="15" hidden="false" customHeight="false" outlineLevel="0" collapsed="false">
      <c r="A4543" s="103"/>
      <c r="B4543" s="104"/>
      <c r="C4543" s="104"/>
      <c r="E4543" s="107" t="str">
        <f aca="false">IF($C4543="","",IFERROR(INDEX(المنيو!$C$2:$C$500,MATCH($C4543,المنيو!$B$2:$B$500,0)),0))</f>
        <v/>
      </c>
      <c r="F4543" s="107" t="str">
        <f aca="false">IF($C4543="","",$D4543*$E4543)</f>
        <v/>
      </c>
      <c r="G4543" s="107" t="str">
        <f aca="false">IF($C4543="","",$D4543*IFERROR(INDEX('تحليل التكلفة والسعر'!$C$2:$C$700,MATCH($C4543,'تحليل التكلفة والسعر'!$B$2:$B$700,0)),0))</f>
        <v/>
      </c>
    </row>
    <row r="4544" customFormat="false" ht="15" hidden="false" customHeight="false" outlineLevel="0" collapsed="false">
      <c r="A4544" s="103"/>
      <c r="B4544" s="104"/>
      <c r="C4544" s="104"/>
      <c r="E4544" s="107" t="str">
        <f aca="false">IF($C4544="","",IFERROR(INDEX(المنيو!$C$2:$C$500,MATCH($C4544,المنيو!$B$2:$B$500,0)),0))</f>
        <v/>
      </c>
      <c r="F4544" s="107" t="str">
        <f aca="false">IF($C4544="","",$D4544*$E4544)</f>
        <v/>
      </c>
      <c r="G4544" s="107" t="str">
        <f aca="false">IF($C4544="","",$D4544*IFERROR(INDEX('تحليل التكلفة والسعر'!$C$2:$C$700,MATCH($C4544,'تحليل التكلفة والسعر'!$B$2:$B$700,0)),0))</f>
        <v/>
      </c>
    </row>
    <row r="4545" customFormat="false" ht="15" hidden="false" customHeight="false" outlineLevel="0" collapsed="false">
      <c r="A4545" s="103"/>
      <c r="B4545" s="104"/>
      <c r="C4545" s="104"/>
      <c r="E4545" s="107" t="str">
        <f aca="false">IF($C4545="","",IFERROR(INDEX(المنيو!$C$2:$C$500,MATCH($C4545,المنيو!$B$2:$B$500,0)),0))</f>
        <v/>
      </c>
      <c r="F4545" s="107" t="str">
        <f aca="false">IF($C4545="","",$D4545*$E4545)</f>
        <v/>
      </c>
      <c r="G4545" s="107" t="str">
        <f aca="false">IF($C4545="","",$D4545*IFERROR(INDEX('تحليل التكلفة والسعر'!$C$2:$C$700,MATCH($C4545,'تحليل التكلفة والسعر'!$B$2:$B$700,0)),0))</f>
        <v/>
      </c>
    </row>
    <row r="4546" customFormat="false" ht="15" hidden="false" customHeight="false" outlineLevel="0" collapsed="false">
      <c r="A4546" s="103"/>
      <c r="B4546" s="104"/>
      <c r="C4546" s="104"/>
      <c r="E4546" s="107" t="str">
        <f aca="false">IF($C4546="","",IFERROR(INDEX(المنيو!$C$2:$C$500,MATCH($C4546,المنيو!$B$2:$B$500,0)),0))</f>
        <v/>
      </c>
      <c r="F4546" s="107" t="str">
        <f aca="false">IF($C4546="","",$D4546*$E4546)</f>
        <v/>
      </c>
      <c r="G4546" s="107" t="str">
        <f aca="false">IF($C4546="","",$D4546*IFERROR(INDEX('تحليل التكلفة والسعر'!$C$2:$C$700,MATCH($C4546,'تحليل التكلفة والسعر'!$B$2:$B$700,0)),0))</f>
        <v/>
      </c>
    </row>
    <row r="4547" customFormat="false" ht="15" hidden="false" customHeight="false" outlineLevel="0" collapsed="false">
      <c r="A4547" s="103"/>
      <c r="B4547" s="104"/>
      <c r="C4547" s="104"/>
      <c r="E4547" s="107" t="str">
        <f aca="false">IF($C4547="","",IFERROR(INDEX(المنيو!$C$2:$C$500,MATCH($C4547,المنيو!$B$2:$B$500,0)),0))</f>
        <v/>
      </c>
      <c r="F4547" s="107" t="str">
        <f aca="false">IF($C4547="","",$D4547*$E4547)</f>
        <v/>
      </c>
      <c r="G4547" s="107" t="str">
        <f aca="false">IF($C4547="","",$D4547*IFERROR(INDEX('تحليل التكلفة والسعر'!$C$2:$C$700,MATCH($C4547,'تحليل التكلفة والسعر'!$B$2:$B$700,0)),0))</f>
        <v/>
      </c>
    </row>
    <row r="4548" customFormat="false" ht="15" hidden="false" customHeight="false" outlineLevel="0" collapsed="false">
      <c r="A4548" s="103"/>
      <c r="B4548" s="104"/>
      <c r="C4548" s="104"/>
      <c r="E4548" s="107" t="str">
        <f aca="false">IF($C4548="","",IFERROR(INDEX(المنيو!$C$2:$C$500,MATCH($C4548,المنيو!$B$2:$B$500,0)),0))</f>
        <v/>
      </c>
      <c r="F4548" s="107" t="str">
        <f aca="false">IF($C4548="","",$D4548*$E4548)</f>
        <v/>
      </c>
      <c r="G4548" s="107" t="str">
        <f aca="false">IF($C4548="","",$D4548*IFERROR(INDEX('تحليل التكلفة والسعر'!$C$2:$C$700,MATCH($C4548,'تحليل التكلفة والسعر'!$B$2:$B$700,0)),0))</f>
        <v/>
      </c>
    </row>
    <row r="4549" customFormat="false" ht="15" hidden="false" customHeight="false" outlineLevel="0" collapsed="false">
      <c r="A4549" s="103"/>
      <c r="B4549" s="104"/>
      <c r="C4549" s="104"/>
      <c r="E4549" s="107" t="str">
        <f aca="false">IF($C4549="","",IFERROR(INDEX(المنيو!$C$2:$C$500,MATCH($C4549,المنيو!$B$2:$B$500,0)),0))</f>
        <v/>
      </c>
      <c r="F4549" s="107" t="str">
        <f aca="false">IF($C4549="","",$D4549*$E4549)</f>
        <v/>
      </c>
      <c r="G4549" s="107" t="str">
        <f aca="false">IF($C4549="","",$D4549*IFERROR(INDEX('تحليل التكلفة والسعر'!$C$2:$C$700,MATCH($C4549,'تحليل التكلفة والسعر'!$B$2:$B$700,0)),0))</f>
        <v/>
      </c>
    </row>
    <row r="4550" customFormat="false" ht="15" hidden="false" customHeight="false" outlineLevel="0" collapsed="false">
      <c r="A4550" s="103"/>
      <c r="B4550" s="104"/>
      <c r="C4550" s="104"/>
      <c r="E4550" s="107" t="str">
        <f aca="false">IF($C4550="","",IFERROR(INDEX(المنيو!$C$2:$C$500,MATCH($C4550,المنيو!$B$2:$B$500,0)),0))</f>
        <v/>
      </c>
      <c r="F4550" s="107" t="str">
        <f aca="false">IF($C4550="","",$D4550*$E4550)</f>
        <v/>
      </c>
      <c r="G4550" s="107" t="str">
        <f aca="false">IF($C4550="","",$D4550*IFERROR(INDEX('تحليل التكلفة والسعر'!$C$2:$C$700,MATCH($C4550,'تحليل التكلفة والسعر'!$B$2:$B$700,0)),0))</f>
        <v/>
      </c>
    </row>
    <row r="4551" customFormat="false" ht="15" hidden="false" customHeight="false" outlineLevel="0" collapsed="false">
      <c r="A4551" s="103"/>
      <c r="B4551" s="104"/>
      <c r="C4551" s="104"/>
      <c r="E4551" s="107" t="str">
        <f aca="false">IF($C4551="","",IFERROR(INDEX(المنيو!$C$2:$C$500,MATCH($C4551,المنيو!$B$2:$B$500,0)),0))</f>
        <v/>
      </c>
      <c r="F4551" s="107" t="str">
        <f aca="false">IF($C4551="","",$D4551*$E4551)</f>
        <v/>
      </c>
      <c r="G4551" s="107" t="str">
        <f aca="false">IF($C4551="","",$D4551*IFERROR(INDEX('تحليل التكلفة والسعر'!$C$2:$C$700,MATCH($C4551,'تحليل التكلفة والسعر'!$B$2:$B$700,0)),0))</f>
        <v/>
      </c>
    </row>
    <row r="4552" customFormat="false" ht="15" hidden="false" customHeight="false" outlineLevel="0" collapsed="false">
      <c r="A4552" s="103"/>
      <c r="B4552" s="104"/>
      <c r="C4552" s="104"/>
      <c r="E4552" s="107" t="str">
        <f aca="false">IF($C4552="","",IFERROR(INDEX(المنيو!$C$2:$C$500,MATCH($C4552,المنيو!$B$2:$B$500,0)),0))</f>
        <v/>
      </c>
      <c r="F4552" s="107" t="str">
        <f aca="false">IF($C4552="","",$D4552*$E4552)</f>
        <v/>
      </c>
      <c r="G4552" s="107" t="str">
        <f aca="false">IF($C4552="","",$D4552*IFERROR(INDEX('تحليل التكلفة والسعر'!$C$2:$C$700,MATCH($C4552,'تحليل التكلفة والسعر'!$B$2:$B$700,0)),0))</f>
        <v/>
      </c>
    </row>
    <row r="4553" customFormat="false" ht="15" hidden="false" customHeight="false" outlineLevel="0" collapsed="false">
      <c r="A4553" s="103"/>
      <c r="B4553" s="104"/>
      <c r="C4553" s="104"/>
      <c r="E4553" s="107" t="str">
        <f aca="false">IF($C4553="","",IFERROR(INDEX(المنيو!$C$2:$C$500,MATCH($C4553,المنيو!$B$2:$B$500,0)),0))</f>
        <v/>
      </c>
      <c r="F4553" s="107" t="str">
        <f aca="false">IF($C4553="","",$D4553*$E4553)</f>
        <v/>
      </c>
      <c r="G4553" s="107" t="str">
        <f aca="false">IF($C4553="","",$D4553*IFERROR(INDEX('تحليل التكلفة والسعر'!$C$2:$C$700,MATCH($C4553,'تحليل التكلفة والسعر'!$B$2:$B$700,0)),0))</f>
        <v/>
      </c>
    </row>
    <row r="4554" customFormat="false" ht="15" hidden="false" customHeight="false" outlineLevel="0" collapsed="false">
      <c r="A4554" s="103"/>
      <c r="B4554" s="104"/>
      <c r="C4554" s="104"/>
      <c r="E4554" s="107" t="str">
        <f aca="false">IF($C4554="","",IFERROR(INDEX(المنيو!$C$2:$C$500,MATCH($C4554,المنيو!$B$2:$B$500,0)),0))</f>
        <v/>
      </c>
      <c r="F4554" s="107" t="str">
        <f aca="false">IF($C4554="","",$D4554*$E4554)</f>
        <v/>
      </c>
      <c r="G4554" s="107" t="str">
        <f aca="false">IF($C4554="","",$D4554*IFERROR(INDEX('تحليل التكلفة والسعر'!$C$2:$C$700,MATCH($C4554,'تحليل التكلفة والسعر'!$B$2:$B$700,0)),0))</f>
        <v/>
      </c>
    </row>
    <row r="4555" customFormat="false" ht="15" hidden="false" customHeight="false" outlineLevel="0" collapsed="false">
      <c r="A4555" s="103"/>
      <c r="B4555" s="104"/>
      <c r="C4555" s="104"/>
      <c r="E4555" s="107" t="str">
        <f aca="false">IF($C4555="","",IFERROR(INDEX(المنيو!$C$2:$C$500,MATCH($C4555,المنيو!$B$2:$B$500,0)),0))</f>
        <v/>
      </c>
      <c r="F4555" s="107" t="str">
        <f aca="false">IF($C4555="","",$D4555*$E4555)</f>
        <v/>
      </c>
      <c r="G4555" s="107" t="str">
        <f aca="false">IF($C4555="","",$D4555*IFERROR(INDEX('تحليل التكلفة والسعر'!$C$2:$C$700,MATCH($C4555,'تحليل التكلفة والسعر'!$B$2:$B$700,0)),0))</f>
        <v/>
      </c>
    </row>
    <row r="4556" customFormat="false" ht="15" hidden="false" customHeight="false" outlineLevel="0" collapsed="false">
      <c r="A4556" s="103"/>
      <c r="B4556" s="104"/>
      <c r="C4556" s="104"/>
      <c r="E4556" s="107" t="str">
        <f aca="false">IF($C4556="","",IFERROR(INDEX(المنيو!$C$2:$C$500,MATCH($C4556,المنيو!$B$2:$B$500,0)),0))</f>
        <v/>
      </c>
      <c r="F4556" s="107" t="str">
        <f aca="false">IF($C4556="","",$D4556*$E4556)</f>
        <v/>
      </c>
      <c r="G4556" s="107" t="str">
        <f aca="false">IF($C4556="","",$D4556*IFERROR(INDEX('تحليل التكلفة والسعر'!$C$2:$C$700,MATCH($C4556,'تحليل التكلفة والسعر'!$B$2:$B$700,0)),0))</f>
        <v/>
      </c>
    </row>
    <row r="4557" customFormat="false" ht="15" hidden="false" customHeight="false" outlineLevel="0" collapsed="false">
      <c r="A4557" s="103"/>
      <c r="B4557" s="104"/>
      <c r="C4557" s="104"/>
      <c r="E4557" s="107" t="str">
        <f aca="false">IF($C4557="","",IFERROR(INDEX(المنيو!$C$2:$C$500,MATCH($C4557,المنيو!$B$2:$B$500,0)),0))</f>
        <v/>
      </c>
      <c r="F4557" s="107" t="str">
        <f aca="false">IF($C4557="","",$D4557*$E4557)</f>
        <v/>
      </c>
      <c r="G4557" s="107" t="str">
        <f aca="false">IF($C4557="","",$D4557*IFERROR(INDEX('تحليل التكلفة والسعر'!$C$2:$C$700,MATCH($C4557,'تحليل التكلفة والسعر'!$B$2:$B$700,0)),0))</f>
        <v/>
      </c>
    </row>
    <row r="4558" customFormat="false" ht="15" hidden="false" customHeight="false" outlineLevel="0" collapsed="false">
      <c r="A4558" s="103"/>
      <c r="B4558" s="104"/>
      <c r="C4558" s="104"/>
      <c r="E4558" s="107" t="str">
        <f aca="false">IF($C4558="","",IFERROR(INDEX(المنيو!$C$2:$C$500,MATCH($C4558,المنيو!$B$2:$B$500,0)),0))</f>
        <v/>
      </c>
      <c r="F4558" s="107" t="str">
        <f aca="false">IF($C4558="","",$D4558*$E4558)</f>
        <v/>
      </c>
      <c r="G4558" s="107" t="str">
        <f aca="false">IF($C4558="","",$D4558*IFERROR(INDEX('تحليل التكلفة والسعر'!$C$2:$C$700,MATCH($C4558,'تحليل التكلفة والسعر'!$B$2:$B$700,0)),0))</f>
        <v/>
      </c>
    </row>
    <row r="4559" customFormat="false" ht="15" hidden="false" customHeight="false" outlineLevel="0" collapsed="false">
      <c r="A4559" s="103"/>
      <c r="B4559" s="104"/>
      <c r="C4559" s="104"/>
      <c r="E4559" s="107" t="str">
        <f aca="false">IF($C4559="","",IFERROR(INDEX(المنيو!$C$2:$C$500,MATCH($C4559,المنيو!$B$2:$B$500,0)),0))</f>
        <v/>
      </c>
      <c r="F4559" s="107" t="str">
        <f aca="false">IF($C4559="","",$D4559*$E4559)</f>
        <v/>
      </c>
      <c r="G4559" s="107" t="str">
        <f aca="false">IF($C4559="","",$D4559*IFERROR(INDEX('تحليل التكلفة والسعر'!$C$2:$C$700,MATCH($C4559,'تحليل التكلفة والسعر'!$B$2:$B$700,0)),0))</f>
        <v/>
      </c>
    </row>
    <row r="4560" customFormat="false" ht="15" hidden="false" customHeight="false" outlineLevel="0" collapsed="false">
      <c r="A4560" s="103"/>
      <c r="B4560" s="104"/>
      <c r="C4560" s="104"/>
      <c r="E4560" s="107" t="str">
        <f aca="false">IF($C4560="","",IFERROR(INDEX(المنيو!$C$2:$C$500,MATCH($C4560,المنيو!$B$2:$B$500,0)),0))</f>
        <v/>
      </c>
      <c r="F4560" s="107" t="str">
        <f aca="false">IF($C4560="","",$D4560*$E4560)</f>
        <v/>
      </c>
      <c r="G4560" s="107" t="str">
        <f aca="false">IF($C4560="","",$D4560*IFERROR(INDEX('تحليل التكلفة والسعر'!$C$2:$C$700,MATCH($C4560,'تحليل التكلفة والسعر'!$B$2:$B$700,0)),0))</f>
        <v/>
      </c>
    </row>
    <row r="4561" customFormat="false" ht="15" hidden="false" customHeight="false" outlineLevel="0" collapsed="false">
      <c r="A4561" s="103"/>
      <c r="B4561" s="104"/>
      <c r="C4561" s="104"/>
      <c r="E4561" s="107" t="str">
        <f aca="false">IF($C4561="","",IFERROR(INDEX(المنيو!$C$2:$C$500,MATCH($C4561,المنيو!$B$2:$B$500,0)),0))</f>
        <v/>
      </c>
      <c r="F4561" s="107" t="str">
        <f aca="false">IF($C4561="","",$D4561*$E4561)</f>
        <v/>
      </c>
      <c r="G4561" s="107" t="str">
        <f aca="false">IF($C4561="","",$D4561*IFERROR(INDEX('تحليل التكلفة والسعر'!$C$2:$C$700,MATCH($C4561,'تحليل التكلفة والسعر'!$B$2:$B$700,0)),0))</f>
        <v/>
      </c>
    </row>
    <row r="4562" customFormat="false" ht="15" hidden="false" customHeight="false" outlineLevel="0" collapsed="false">
      <c r="A4562" s="103"/>
      <c r="B4562" s="104"/>
      <c r="C4562" s="104"/>
      <c r="E4562" s="107" t="str">
        <f aca="false">IF($C4562="","",IFERROR(INDEX(المنيو!$C$2:$C$500,MATCH($C4562,المنيو!$B$2:$B$500,0)),0))</f>
        <v/>
      </c>
      <c r="F4562" s="107" t="str">
        <f aca="false">IF($C4562="","",$D4562*$E4562)</f>
        <v/>
      </c>
      <c r="G4562" s="107" t="str">
        <f aca="false">IF($C4562="","",$D4562*IFERROR(INDEX('تحليل التكلفة والسعر'!$C$2:$C$700,MATCH($C4562,'تحليل التكلفة والسعر'!$B$2:$B$700,0)),0))</f>
        <v/>
      </c>
    </row>
    <row r="4563" customFormat="false" ht="15" hidden="false" customHeight="false" outlineLevel="0" collapsed="false">
      <c r="A4563" s="103"/>
      <c r="B4563" s="104"/>
      <c r="C4563" s="104"/>
      <c r="E4563" s="107" t="str">
        <f aca="false">IF($C4563="","",IFERROR(INDEX(المنيو!$C$2:$C$500,MATCH($C4563,المنيو!$B$2:$B$500,0)),0))</f>
        <v/>
      </c>
      <c r="F4563" s="107" t="str">
        <f aca="false">IF($C4563="","",$D4563*$E4563)</f>
        <v/>
      </c>
      <c r="G4563" s="107" t="str">
        <f aca="false">IF($C4563="","",$D4563*IFERROR(INDEX('تحليل التكلفة والسعر'!$C$2:$C$700,MATCH($C4563,'تحليل التكلفة والسعر'!$B$2:$B$700,0)),0))</f>
        <v/>
      </c>
    </row>
    <row r="4564" customFormat="false" ht="15" hidden="false" customHeight="false" outlineLevel="0" collapsed="false">
      <c r="A4564" s="103"/>
      <c r="B4564" s="104"/>
      <c r="C4564" s="104"/>
      <c r="E4564" s="107" t="str">
        <f aca="false">IF($C4564="","",IFERROR(INDEX(المنيو!$C$2:$C$500,MATCH($C4564,المنيو!$B$2:$B$500,0)),0))</f>
        <v/>
      </c>
      <c r="F4564" s="107" t="str">
        <f aca="false">IF($C4564="","",$D4564*$E4564)</f>
        <v/>
      </c>
      <c r="G4564" s="107" t="str">
        <f aca="false">IF($C4564="","",$D4564*IFERROR(INDEX('تحليل التكلفة والسعر'!$C$2:$C$700,MATCH($C4564,'تحليل التكلفة والسعر'!$B$2:$B$700,0)),0))</f>
        <v/>
      </c>
    </row>
    <row r="4565" customFormat="false" ht="15" hidden="false" customHeight="false" outlineLevel="0" collapsed="false">
      <c r="A4565" s="103"/>
      <c r="B4565" s="104"/>
      <c r="C4565" s="104"/>
      <c r="E4565" s="107" t="str">
        <f aca="false">IF($C4565="","",IFERROR(INDEX(المنيو!$C$2:$C$500,MATCH($C4565,المنيو!$B$2:$B$500,0)),0))</f>
        <v/>
      </c>
      <c r="F4565" s="107" t="str">
        <f aca="false">IF($C4565="","",$D4565*$E4565)</f>
        <v/>
      </c>
      <c r="G4565" s="107" t="str">
        <f aca="false">IF($C4565="","",$D4565*IFERROR(INDEX('تحليل التكلفة والسعر'!$C$2:$C$700,MATCH($C4565,'تحليل التكلفة والسعر'!$B$2:$B$700,0)),0))</f>
        <v/>
      </c>
    </row>
    <row r="4566" customFormat="false" ht="15" hidden="false" customHeight="false" outlineLevel="0" collapsed="false">
      <c r="A4566" s="103"/>
      <c r="B4566" s="104"/>
      <c r="C4566" s="104"/>
      <c r="E4566" s="107" t="str">
        <f aca="false">IF($C4566="","",IFERROR(INDEX(المنيو!$C$2:$C$500,MATCH($C4566,المنيو!$B$2:$B$500,0)),0))</f>
        <v/>
      </c>
      <c r="F4566" s="107" t="str">
        <f aca="false">IF($C4566="","",$D4566*$E4566)</f>
        <v/>
      </c>
      <c r="G4566" s="107" t="str">
        <f aca="false">IF($C4566="","",$D4566*IFERROR(INDEX('تحليل التكلفة والسعر'!$C$2:$C$700,MATCH($C4566,'تحليل التكلفة والسعر'!$B$2:$B$700,0)),0))</f>
        <v/>
      </c>
    </row>
    <row r="4567" customFormat="false" ht="15" hidden="false" customHeight="false" outlineLevel="0" collapsed="false">
      <c r="A4567" s="103"/>
      <c r="B4567" s="104"/>
      <c r="C4567" s="104"/>
      <c r="E4567" s="107" t="str">
        <f aca="false">IF($C4567="","",IFERROR(INDEX(المنيو!$C$2:$C$500,MATCH($C4567,المنيو!$B$2:$B$500,0)),0))</f>
        <v/>
      </c>
      <c r="F4567" s="107" t="str">
        <f aca="false">IF($C4567="","",$D4567*$E4567)</f>
        <v/>
      </c>
      <c r="G4567" s="107" t="str">
        <f aca="false">IF($C4567="","",$D4567*IFERROR(INDEX('تحليل التكلفة والسعر'!$C$2:$C$700,MATCH($C4567,'تحليل التكلفة والسعر'!$B$2:$B$700,0)),0))</f>
        <v/>
      </c>
    </row>
    <row r="4568" customFormat="false" ht="15" hidden="false" customHeight="false" outlineLevel="0" collapsed="false">
      <c r="A4568" s="103"/>
      <c r="B4568" s="104"/>
      <c r="C4568" s="104"/>
      <c r="E4568" s="107" t="str">
        <f aca="false">IF($C4568="","",IFERROR(INDEX(المنيو!$C$2:$C$500,MATCH($C4568,المنيو!$B$2:$B$500,0)),0))</f>
        <v/>
      </c>
      <c r="F4568" s="107" t="str">
        <f aca="false">IF($C4568="","",$D4568*$E4568)</f>
        <v/>
      </c>
      <c r="G4568" s="107" t="str">
        <f aca="false">IF($C4568="","",$D4568*IFERROR(INDEX('تحليل التكلفة والسعر'!$C$2:$C$700,MATCH($C4568,'تحليل التكلفة والسعر'!$B$2:$B$700,0)),0))</f>
        <v/>
      </c>
    </row>
    <row r="4569" customFormat="false" ht="15" hidden="false" customHeight="false" outlineLevel="0" collapsed="false">
      <c r="A4569" s="103"/>
      <c r="B4569" s="104"/>
      <c r="C4569" s="104"/>
      <c r="E4569" s="107" t="str">
        <f aca="false">IF($C4569="","",IFERROR(INDEX(المنيو!$C$2:$C$500,MATCH($C4569,المنيو!$B$2:$B$500,0)),0))</f>
        <v/>
      </c>
      <c r="F4569" s="107" t="str">
        <f aca="false">IF($C4569="","",$D4569*$E4569)</f>
        <v/>
      </c>
      <c r="G4569" s="107" t="str">
        <f aca="false">IF($C4569="","",$D4569*IFERROR(INDEX('تحليل التكلفة والسعر'!$C$2:$C$700,MATCH($C4569,'تحليل التكلفة والسعر'!$B$2:$B$700,0)),0))</f>
        <v/>
      </c>
    </row>
    <row r="4570" customFormat="false" ht="15" hidden="false" customHeight="false" outlineLevel="0" collapsed="false">
      <c r="A4570" s="103"/>
      <c r="B4570" s="104"/>
      <c r="C4570" s="104"/>
      <c r="E4570" s="107" t="str">
        <f aca="false">IF($C4570="","",IFERROR(INDEX(المنيو!$C$2:$C$500,MATCH($C4570,المنيو!$B$2:$B$500,0)),0))</f>
        <v/>
      </c>
      <c r="F4570" s="107" t="str">
        <f aca="false">IF($C4570="","",$D4570*$E4570)</f>
        <v/>
      </c>
      <c r="G4570" s="107" t="str">
        <f aca="false">IF($C4570="","",$D4570*IFERROR(INDEX('تحليل التكلفة والسعر'!$C$2:$C$700,MATCH($C4570,'تحليل التكلفة والسعر'!$B$2:$B$700,0)),0))</f>
        <v/>
      </c>
    </row>
    <row r="4571" customFormat="false" ht="15" hidden="false" customHeight="false" outlineLevel="0" collapsed="false">
      <c r="A4571" s="103"/>
      <c r="B4571" s="104"/>
      <c r="C4571" s="104"/>
      <c r="E4571" s="107" t="str">
        <f aca="false">IF($C4571="","",IFERROR(INDEX(المنيو!$C$2:$C$500,MATCH($C4571,المنيو!$B$2:$B$500,0)),0))</f>
        <v/>
      </c>
      <c r="F4571" s="107" t="str">
        <f aca="false">IF($C4571="","",$D4571*$E4571)</f>
        <v/>
      </c>
      <c r="G4571" s="107" t="str">
        <f aca="false">IF($C4571="","",$D4571*IFERROR(INDEX('تحليل التكلفة والسعر'!$C$2:$C$700,MATCH($C4571,'تحليل التكلفة والسعر'!$B$2:$B$700,0)),0))</f>
        <v/>
      </c>
    </row>
    <row r="4572" customFormat="false" ht="15" hidden="false" customHeight="false" outlineLevel="0" collapsed="false">
      <c r="A4572" s="103"/>
      <c r="B4572" s="104"/>
      <c r="C4572" s="104"/>
      <c r="E4572" s="107" t="str">
        <f aca="false">IF($C4572="","",IFERROR(INDEX(المنيو!$C$2:$C$500,MATCH($C4572,المنيو!$B$2:$B$500,0)),0))</f>
        <v/>
      </c>
      <c r="F4572" s="107" t="str">
        <f aca="false">IF($C4572="","",$D4572*$E4572)</f>
        <v/>
      </c>
      <c r="G4572" s="107" t="str">
        <f aca="false">IF($C4572="","",$D4572*IFERROR(INDEX('تحليل التكلفة والسعر'!$C$2:$C$700,MATCH($C4572,'تحليل التكلفة والسعر'!$B$2:$B$700,0)),0))</f>
        <v/>
      </c>
    </row>
    <row r="4573" customFormat="false" ht="15" hidden="false" customHeight="false" outlineLevel="0" collapsed="false">
      <c r="A4573" s="103"/>
      <c r="B4573" s="104"/>
      <c r="C4573" s="104"/>
      <c r="E4573" s="107" t="str">
        <f aca="false">IF($C4573="","",IFERROR(INDEX(المنيو!$C$2:$C$500,MATCH($C4573,المنيو!$B$2:$B$500,0)),0))</f>
        <v/>
      </c>
      <c r="F4573" s="107" t="str">
        <f aca="false">IF($C4573="","",$D4573*$E4573)</f>
        <v/>
      </c>
      <c r="G4573" s="107" t="str">
        <f aca="false">IF($C4573="","",$D4573*IFERROR(INDEX('تحليل التكلفة والسعر'!$C$2:$C$700,MATCH($C4573,'تحليل التكلفة والسعر'!$B$2:$B$700,0)),0))</f>
        <v/>
      </c>
    </row>
    <row r="4574" customFormat="false" ht="15" hidden="false" customHeight="false" outlineLevel="0" collapsed="false">
      <c r="A4574" s="103"/>
      <c r="B4574" s="104"/>
      <c r="C4574" s="104"/>
      <c r="E4574" s="107" t="str">
        <f aca="false">IF($C4574="","",IFERROR(INDEX(المنيو!$C$2:$C$500,MATCH($C4574,المنيو!$B$2:$B$500,0)),0))</f>
        <v/>
      </c>
      <c r="F4574" s="107" t="str">
        <f aca="false">IF($C4574="","",$D4574*$E4574)</f>
        <v/>
      </c>
      <c r="G4574" s="107" t="str">
        <f aca="false">IF($C4574="","",$D4574*IFERROR(INDEX('تحليل التكلفة والسعر'!$C$2:$C$700,MATCH($C4574,'تحليل التكلفة والسعر'!$B$2:$B$700,0)),0))</f>
        <v/>
      </c>
    </row>
    <row r="4575" customFormat="false" ht="15" hidden="false" customHeight="false" outlineLevel="0" collapsed="false">
      <c r="A4575" s="103"/>
      <c r="B4575" s="104"/>
      <c r="C4575" s="104"/>
      <c r="E4575" s="107" t="str">
        <f aca="false">IF($C4575="","",IFERROR(INDEX(المنيو!$C$2:$C$500,MATCH($C4575,المنيو!$B$2:$B$500,0)),0))</f>
        <v/>
      </c>
      <c r="F4575" s="107" t="str">
        <f aca="false">IF($C4575="","",$D4575*$E4575)</f>
        <v/>
      </c>
      <c r="G4575" s="107" t="str">
        <f aca="false">IF($C4575="","",$D4575*IFERROR(INDEX('تحليل التكلفة والسعر'!$C$2:$C$700,MATCH($C4575,'تحليل التكلفة والسعر'!$B$2:$B$700,0)),0))</f>
        <v/>
      </c>
    </row>
    <row r="4576" customFormat="false" ht="15" hidden="false" customHeight="false" outlineLevel="0" collapsed="false">
      <c r="A4576" s="103"/>
      <c r="B4576" s="104"/>
      <c r="C4576" s="104"/>
      <c r="E4576" s="107" t="str">
        <f aca="false">IF($C4576="","",IFERROR(INDEX(المنيو!$C$2:$C$500,MATCH($C4576,المنيو!$B$2:$B$500,0)),0))</f>
        <v/>
      </c>
      <c r="F4576" s="107" t="str">
        <f aca="false">IF($C4576="","",$D4576*$E4576)</f>
        <v/>
      </c>
      <c r="G4576" s="107" t="str">
        <f aca="false">IF($C4576="","",$D4576*IFERROR(INDEX('تحليل التكلفة والسعر'!$C$2:$C$700,MATCH($C4576,'تحليل التكلفة والسعر'!$B$2:$B$700,0)),0))</f>
        <v/>
      </c>
    </row>
    <row r="4577" customFormat="false" ht="15" hidden="false" customHeight="false" outlineLevel="0" collapsed="false">
      <c r="A4577" s="103"/>
      <c r="B4577" s="104"/>
      <c r="C4577" s="104"/>
      <c r="E4577" s="107" t="str">
        <f aca="false">IF($C4577="","",IFERROR(INDEX(المنيو!$C$2:$C$500,MATCH($C4577,المنيو!$B$2:$B$500,0)),0))</f>
        <v/>
      </c>
      <c r="F4577" s="107" t="str">
        <f aca="false">IF($C4577="","",$D4577*$E4577)</f>
        <v/>
      </c>
      <c r="G4577" s="107" t="str">
        <f aca="false">IF($C4577="","",$D4577*IFERROR(INDEX('تحليل التكلفة والسعر'!$C$2:$C$700,MATCH($C4577,'تحليل التكلفة والسعر'!$B$2:$B$700,0)),0))</f>
        <v/>
      </c>
    </row>
    <row r="4578" customFormat="false" ht="15" hidden="false" customHeight="false" outlineLevel="0" collapsed="false">
      <c r="A4578" s="103"/>
      <c r="B4578" s="104"/>
      <c r="C4578" s="104"/>
      <c r="E4578" s="107" t="str">
        <f aca="false">IF($C4578="","",IFERROR(INDEX(المنيو!$C$2:$C$500,MATCH($C4578,المنيو!$B$2:$B$500,0)),0))</f>
        <v/>
      </c>
      <c r="F4578" s="107" t="str">
        <f aca="false">IF($C4578="","",$D4578*$E4578)</f>
        <v/>
      </c>
      <c r="G4578" s="107" t="str">
        <f aca="false">IF($C4578="","",$D4578*IFERROR(INDEX('تحليل التكلفة والسعر'!$C$2:$C$700,MATCH($C4578,'تحليل التكلفة والسعر'!$B$2:$B$700,0)),0))</f>
        <v/>
      </c>
    </row>
    <row r="4579" customFormat="false" ht="15" hidden="false" customHeight="false" outlineLevel="0" collapsed="false">
      <c r="A4579" s="103"/>
      <c r="B4579" s="104"/>
      <c r="C4579" s="104"/>
      <c r="E4579" s="107" t="str">
        <f aca="false">IF($C4579="","",IFERROR(INDEX(المنيو!$C$2:$C$500,MATCH($C4579,المنيو!$B$2:$B$500,0)),0))</f>
        <v/>
      </c>
      <c r="F4579" s="107" t="str">
        <f aca="false">IF($C4579="","",$D4579*$E4579)</f>
        <v/>
      </c>
      <c r="G4579" s="107" t="str">
        <f aca="false">IF($C4579="","",$D4579*IFERROR(INDEX('تحليل التكلفة والسعر'!$C$2:$C$700,MATCH($C4579,'تحليل التكلفة والسعر'!$B$2:$B$700,0)),0))</f>
        <v/>
      </c>
    </row>
    <row r="4580" customFormat="false" ht="15" hidden="false" customHeight="false" outlineLevel="0" collapsed="false">
      <c r="A4580" s="103"/>
      <c r="B4580" s="104"/>
      <c r="C4580" s="104"/>
      <c r="E4580" s="107" t="str">
        <f aca="false">IF($C4580="","",IFERROR(INDEX(المنيو!$C$2:$C$500,MATCH($C4580,المنيو!$B$2:$B$500,0)),0))</f>
        <v/>
      </c>
      <c r="F4580" s="107" t="str">
        <f aca="false">IF($C4580="","",$D4580*$E4580)</f>
        <v/>
      </c>
      <c r="G4580" s="107" t="str">
        <f aca="false">IF($C4580="","",$D4580*IFERROR(INDEX('تحليل التكلفة والسعر'!$C$2:$C$700,MATCH($C4580,'تحليل التكلفة والسعر'!$B$2:$B$700,0)),0))</f>
        <v/>
      </c>
    </row>
    <row r="4581" customFormat="false" ht="15" hidden="false" customHeight="false" outlineLevel="0" collapsed="false">
      <c r="A4581" s="103"/>
      <c r="B4581" s="104"/>
      <c r="C4581" s="104"/>
      <c r="E4581" s="107" t="str">
        <f aca="false">IF($C4581="","",IFERROR(INDEX(المنيو!$C$2:$C$500,MATCH($C4581,المنيو!$B$2:$B$500,0)),0))</f>
        <v/>
      </c>
      <c r="F4581" s="107" t="str">
        <f aca="false">IF($C4581="","",$D4581*$E4581)</f>
        <v/>
      </c>
      <c r="G4581" s="107" t="str">
        <f aca="false">IF($C4581="","",$D4581*IFERROR(INDEX('تحليل التكلفة والسعر'!$C$2:$C$700,MATCH($C4581,'تحليل التكلفة والسعر'!$B$2:$B$700,0)),0))</f>
        <v/>
      </c>
    </row>
    <row r="4582" customFormat="false" ht="15" hidden="false" customHeight="false" outlineLevel="0" collapsed="false">
      <c r="A4582" s="103"/>
      <c r="B4582" s="104"/>
      <c r="C4582" s="104"/>
      <c r="E4582" s="107" t="str">
        <f aca="false">IF($C4582="","",IFERROR(INDEX(المنيو!$C$2:$C$500,MATCH($C4582,المنيو!$B$2:$B$500,0)),0))</f>
        <v/>
      </c>
      <c r="F4582" s="107" t="str">
        <f aca="false">IF($C4582="","",$D4582*$E4582)</f>
        <v/>
      </c>
      <c r="G4582" s="107" t="str">
        <f aca="false">IF($C4582="","",$D4582*IFERROR(INDEX('تحليل التكلفة والسعر'!$C$2:$C$700,MATCH($C4582,'تحليل التكلفة والسعر'!$B$2:$B$700,0)),0))</f>
        <v/>
      </c>
    </row>
    <row r="4583" customFormat="false" ht="15" hidden="false" customHeight="false" outlineLevel="0" collapsed="false">
      <c r="A4583" s="103"/>
      <c r="B4583" s="104"/>
      <c r="C4583" s="104"/>
      <c r="E4583" s="107" t="str">
        <f aca="false">IF($C4583="","",IFERROR(INDEX(المنيو!$C$2:$C$500,MATCH($C4583,المنيو!$B$2:$B$500,0)),0))</f>
        <v/>
      </c>
      <c r="F4583" s="107" t="str">
        <f aca="false">IF($C4583="","",$D4583*$E4583)</f>
        <v/>
      </c>
      <c r="G4583" s="107" t="str">
        <f aca="false">IF($C4583="","",$D4583*IFERROR(INDEX('تحليل التكلفة والسعر'!$C$2:$C$700,MATCH($C4583,'تحليل التكلفة والسعر'!$B$2:$B$700,0)),0))</f>
        <v/>
      </c>
    </row>
    <row r="4584" customFormat="false" ht="15" hidden="false" customHeight="false" outlineLevel="0" collapsed="false">
      <c r="A4584" s="103"/>
      <c r="B4584" s="104"/>
      <c r="C4584" s="104"/>
      <c r="E4584" s="107" t="str">
        <f aca="false">IF($C4584="","",IFERROR(INDEX(المنيو!$C$2:$C$500,MATCH($C4584,المنيو!$B$2:$B$500,0)),0))</f>
        <v/>
      </c>
      <c r="F4584" s="107" t="str">
        <f aca="false">IF($C4584="","",$D4584*$E4584)</f>
        <v/>
      </c>
      <c r="G4584" s="107" t="str">
        <f aca="false">IF($C4584="","",$D4584*IFERROR(INDEX('تحليل التكلفة والسعر'!$C$2:$C$700,MATCH($C4584,'تحليل التكلفة والسعر'!$B$2:$B$700,0)),0))</f>
        <v/>
      </c>
    </row>
    <row r="4585" customFormat="false" ht="15" hidden="false" customHeight="false" outlineLevel="0" collapsed="false">
      <c r="A4585" s="103"/>
      <c r="B4585" s="104"/>
      <c r="C4585" s="104"/>
      <c r="E4585" s="107" t="str">
        <f aca="false">IF($C4585="","",IFERROR(INDEX(المنيو!$C$2:$C$500,MATCH($C4585,المنيو!$B$2:$B$500,0)),0))</f>
        <v/>
      </c>
      <c r="F4585" s="107" t="str">
        <f aca="false">IF($C4585="","",$D4585*$E4585)</f>
        <v/>
      </c>
      <c r="G4585" s="107" t="str">
        <f aca="false">IF($C4585="","",$D4585*IFERROR(INDEX('تحليل التكلفة والسعر'!$C$2:$C$700,MATCH($C4585,'تحليل التكلفة والسعر'!$B$2:$B$700,0)),0))</f>
        <v/>
      </c>
    </row>
    <row r="4586" customFormat="false" ht="15" hidden="false" customHeight="false" outlineLevel="0" collapsed="false">
      <c r="A4586" s="103"/>
      <c r="B4586" s="104"/>
      <c r="C4586" s="104"/>
      <c r="E4586" s="107" t="str">
        <f aca="false">IF($C4586="","",IFERROR(INDEX(المنيو!$C$2:$C$500,MATCH($C4586,المنيو!$B$2:$B$500,0)),0))</f>
        <v/>
      </c>
      <c r="F4586" s="107" t="str">
        <f aca="false">IF($C4586="","",$D4586*$E4586)</f>
        <v/>
      </c>
      <c r="G4586" s="107" t="str">
        <f aca="false">IF($C4586="","",$D4586*IFERROR(INDEX('تحليل التكلفة والسعر'!$C$2:$C$700,MATCH($C4586,'تحليل التكلفة والسعر'!$B$2:$B$700,0)),0))</f>
        <v/>
      </c>
    </row>
    <row r="4587" customFormat="false" ht="15" hidden="false" customHeight="false" outlineLevel="0" collapsed="false">
      <c r="A4587" s="103"/>
      <c r="B4587" s="104"/>
      <c r="C4587" s="104"/>
      <c r="E4587" s="107" t="str">
        <f aca="false">IF($C4587="","",IFERROR(INDEX(المنيو!$C$2:$C$500,MATCH($C4587,المنيو!$B$2:$B$500,0)),0))</f>
        <v/>
      </c>
      <c r="F4587" s="107" t="str">
        <f aca="false">IF($C4587="","",$D4587*$E4587)</f>
        <v/>
      </c>
      <c r="G4587" s="107" t="str">
        <f aca="false">IF($C4587="","",$D4587*IFERROR(INDEX('تحليل التكلفة والسعر'!$C$2:$C$700,MATCH($C4587,'تحليل التكلفة والسعر'!$B$2:$B$700,0)),0))</f>
        <v/>
      </c>
    </row>
    <row r="4588" customFormat="false" ht="15" hidden="false" customHeight="false" outlineLevel="0" collapsed="false">
      <c r="A4588" s="103"/>
      <c r="B4588" s="104"/>
      <c r="C4588" s="104"/>
      <c r="E4588" s="107" t="str">
        <f aca="false">IF($C4588="","",IFERROR(INDEX(المنيو!$C$2:$C$500,MATCH($C4588,المنيو!$B$2:$B$500,0)),0))</f>
        <v/>
      </c>
      <c r="F4588" s="107" t="str">
        <f aca="false">IF($C4588="","",$D4588*$E4588)</f>
        <v/>
      </c>
      <c r="G4588" s="107" t="str">
        <f aca="false">IF($C4588="","",$D4588*IFERROR(INDEX('تحليل التكلفة والسعر'!$C$2:$C$700,MATCH($C4588,'تحليل التكلفة والسعر'!$B$2:$B$700,0)),0))</f>
        <v/>
      </c>
    </row>
    <row r="4589" customFormat="false" ht="15" hidden="false" customHeight="false" outlineLevel="0" collapsed="false">
      <c r="A4589" s="103"/>
      <c r="B4589" s="104"/>
      <c r="C4589" s="104"/>
      <c r="E4589" s="107" t="str">
        <f aca="false">IF($C4589="","",IFERROR(INDEX(المنيو!$C$2:$C$500,MATCH($C4589,المنيو!$B$2:$B$500,0)),0))</f>
        <v/>
      </c>
      <c r="F4589" s="107" t="str">
        <f aca="false">IF($C4589="","",$D4589*$E4589)</f>
        <v/>
      </c>
      <c r="G4589" s="107" t="str">
        <f aca="false">IF($C4589="","",$D4589*IFERROR(INDEX('تحليل التكلفة والسعر'!$C$2:$C$700,MATCH($C4589,'تحليل التكلفة والسعر'!$B$2:$B$700,0)),0))</f>
        <v/>
      </c>
    </row>
    <row r="4590" customFormat="false" ht="15" hidden="false" customHeight="false" outlineLevel="0" collapsed="false">
      <c r="A4590" s="103"/>
      <c r="B4590" s="104"/>
      <c r="C4590" s="104"/>
      <c r="E4590" s="107" t="str">
        <f aca="false">IF($C4590="","",IFERROR(INDEX(المنيو!$C$2:$C$500,MATCH($C4590,المنيو!$B$2:$B$500,0)),0))</f>
        <v/>
      </c>
      <c r="F4590" s="107" t="str">
        <f aca="false">IF($C4590="","",$D4590*$E4590)</f>
        <v/>
      </c>
      <c r="G4590" s="107" t="str">
        <f aca="false">IF($C4590="","",$D4590*IFERROR(INDEX('تحليل التكلفة والسعر'!$C$2:$C$700,MATCH($C4590,'تحليل التكلفة والسعر'!$B$2:$B$700,0)),0))</f>
        <v/>
      </c>
    </row>
    <row r="4591" customFormat="false" ht="15" hidden="false" customHeight="false" outlineLevel="0" collapsed="false">
      <c r="A4591" s="103"/>
      <c r="B4591" s="104"/>
      <c r="C4591" s="104"/>
      <c r="E4591" s="107" t="str">
        <f aca="false">IF($C4591="","",IFERROR(INDEX(المنيو!$C$2:$C$500,MATCH($C4591,المنيو!$B$2:$B$500,0)),0))</f>
        <v/>
      </c>
      <c r="F4591" s="107" t="str">
        <f aca="false">IF($C4591="","",$D4591*$E4591)</f>
        <v/>
      </c>
      <c r="G4591" s="107" t="str">
        <f aca="false">IF($C4591="","",$D4591*IFERROR(INDEX('تحليل التكلفة والسعر'!$C$2:$C$700,MATCH($C4591,'تحليل التكلفة والسعر'!$B$2:$B$700,0)),0))</f>
        <v/>
      </c>
    </row>
    <row r="4592" customFormat="false" ht="15" hidden="false" customHeight="false" outlineLevel="0" collapsed="false">
      <c r="A4592" s="103"/>
      <c r="B4592" s="104"/>
      <c r="C4592" s="104"/>
      <c r="E4592" s="107" t="str">
        <f aca="false">IF($C4592="","",IFERROR(INDEX(المنيو!$C$2:$C$500,MATCH($C4592,المنيو!$B$2:$B$500,0)),0))</f>
        <v/>
      </c>
      <c r="F4592" s="107" t="str">
        <f aca="false">IF($C4592="","",$D4592*$E4592)</f>
        <v/>
      </c>
      <c r="G4592" s="107" t="str">
        <f aca="false">IF($C4592="","",$D4592*IFERROR(INDEX('تحليل التكلفة والسعر'!$C$2:$C$700,MATCH($C4592,'تحليل التكلفة والسعر'!$B$2:$B$700,0)),0))</f>
        <v/>
      </c>
    </row>
    <row r="4593" customFormat="false" ht="15" hidden="false" customHeight="false" outlineLevel="0" collapsed="false">
      <c r="A4593" s="103"/>
      <c r="B4593" s="104"/>
      <c r="C4593" s="104"/>
      <c r="E4593" s="107" t="str">
        <f aca="false">IF($C4593="","",IFERROR(INDEX(المنيو!$C$2:$C$500,MATCH($C4593,المنيو!$B$2:$B$500,0)),0))</f>
        <v/>
      </c>
      <c r="F4593" s="107" t="str">
        <f aca="false">IF($C4593="","",$D4593*$E4593)</f>
        <v/>
      </c>
      <c r="G4593" s="107" t="str">
        <f aca="false">IF($C4593="","",$D4593*IFERROR(INDEX('تحليل التكلفة والسعر'!$C$2:$C$700,MATCH($C4593,'تحليل التكلفة والسعر'!$B$2:$B$700,0)),0))</f>
        <v/>
      </c>
    </row>
    <row r="4594" customFormat="false" ht="15" hidden="false" customHeight="false" outlineLevel="0" collapsed="false">
      <c r="A4594" s="103"/>
      <c r="B4594" s="104"/>
      <c r="C4594" s="104"/>
      <c r="E4594" s="107" t="str">
        <f aca="false">IF($C4594="","",IFERROR(INDEX(المنيو!$C$2:$C$500,MATCH($C4594,المنيو!$B$2:$B$500,0)),0))</f>
        <v/>
      </c>
      <c r="F4594" s="107" t="str">
        <f aca="false">IF($C4594="","",$D4594*$E4594)</f>
        <v/>
      </c>
      <c r="G4594" s="107" t="str">
        <f aca="false">IF($C4594="","",$D4594*IFERROR(INDEX('تحليل التكلفة والسعر'!$C$2:$C$700,MATCH($C4594,'تحليل التكلفة والسعر'!$B$2:$B$700,0)),0))</f>
        <v/>
      </c>
    </row>
    <row r="4595" customFormat="false" ht="15" hidden="false" customHeight="false" outlineLevel="0" collapsed="false">
      <c r="A4595" s="103"/>
      <c r="B4595" s="104"/>
      <c r="C4595" s="104"/>
      <c r="E4595" s="107" t="str">
        <f aca="false">IF($C4595="","",IFERROR(INDEX(المنيو!$C$2:$C$500,MATCH($C4595,المنيو!$B$2:$B$500,0)),0))</f>
        <v/>
      </c>
      <c r="F4595" s="107" t="str">
        <f aca="false">IF($C4595="","",$D4595*$E4595)</f>
        <v/>
      </c>
      <c r="G4595" s="107" t="str">
        <f aca="false">IF($C4595="","",$D4595*IFERROR(INDEX('تحليل التكلفة والسعر'!$C$2:$C$700,MATCH($C4595,'تحليل التكلفة والسعر'!$B$2:$B$700,0)),0))</f>
        <v/>
      </c>
    </row>
    <row r="4596" customFormat="false" ht="15" hidden="false" customHeight="false" outlineLevel="0" collapsed="false">
      <c r="A4596" s="103"/>
      <c r="B4596" s="104"/>
      <c r="C4596" s="104"/>
      <c r="E4596" s="107" t="str">
        <f aca="false">IF($C4596="","",IFERROR(INDEX(المنيو!$C$2:$C$500,MATCH($C4596,المنيو!$B$2:$B$500,0)),0))</f>
        <v/>
      </c>
      <c r="F4596" s="107" t="str">
        <f aca="false">IF($C4596="","",$D4596*$E4596)</f>
        <v/>
      </c>
      <c r="G4596" s="107" t="str">
        <f aca="false">IF($C4596="","",$D4596*IFERROR(INDEX('تحليل التكلفة والسعر'!$C$2:$C$700,MATCH($C4596,'تحليل التكلفة والسعر'!$B$2:$B$700,0)),0))</f>
        <v/>
      </c>
    </row>
    <row r="4597" customFormat="false" ht="15" hidden="false" customHeight="false" outlineLevel="0" collapsed="false">
      <c r="A4597" s="103"/>
      <c r="B4597" s="104"/>
      <c r="C4597" s="104"/>
      <c r="E4597" s="107" t="str">
        <f aca="false">IF($C4597="","",IFERROR(INDEX(المنيو!$C$2:$C$500,MATCH($C4597,المنيو!$B$2:$B$500,0)),0))</f>
        <v/>
      </c>
      <c r="F4597" s="107" t="str">
        <f aca="false">IF($C4597="","",$D4597*$E4597)</f>
        <v/>
      </c>
      <c r="G4597" s="107" t="str">
        <f aca="false">IF($C4597="","",$D4597*IFERROR(INDEX('تحليل التكلفة والسعر'!$C$2:$C$700,MATCH($C4597,'تحليل التكلفة والسعر'!$B$2:$B$700,0)),0))</f>
        <v/>
      </c>
    </row>
    <row r="4598" customFormat="false" ht="15" hidden="false" customHeight="false" outlineLevel="0" collapsed="false">
      <c r="A4598" s="103"/>
      <c r="B4598" s="104"/>
      <c r="C4598" s="104"/>
      <c r="E4598" s="107" t="str">
        <f aca="false">IF($C4598="","",IFERROR(INDEX(المنيو!$C$2:$C$500,MATCH($C4598,المنيو!$B$2:$B$500,0)),0))</f>
        <v/>
      </c>
      <c r="F4598" s="107" t="str">
        <f aca="false">IF($C4598="","",$D4598*$E4598)</f>
        <v/>
      </c>
      <c r="G4598" s="107" t="str">
        <f aca="false">IF($C4598="","",$D4598*IFERROR(INDEX('تحليل التكلفة والسعر'!$C$2:$C$700,MATCH($C4598,'تحليل التكلفة والسعر'!$B$2:$B$700,0)),0))</f>
        <v/>
      </c>
    </row>
    <row r="4599" customFormat="false" ht="15" hidden="false" customHeight="false" outlineLevel="0" collapsed="false">
      <c r="A4599" s="103"/>
      <c r="B4599" s="104"/>
      <c r="C4599" s="104"/>
      <c r="E4599" s="107" t="str">
        <f aca="false">IF($C4599="","",IFERROR(INDEX(المنيو!$C$2:$C$500,MATCH($C4599,المنيو!$B$2:$B$500,0)),0))</f>
        <v/>
      </c>
      <c r="F4599" s="107" t="str">
        <f aca="false">IF($C4599="","",$D4599*$E4599)</f>
        <v/>
      </c>
      <c r="G4599" s="107" t="str">
        <f aca="false">IF($C4599="","",$D4599*IFERROR(INDEX('تحليل التكلفة والسعر'!$C$2:$C$700,MATCH($C4599,'تحليل التكلفة والسعر'!$B$2:$B$700,0)),0))</f>
        <v/>
      </c>
    </row>
    <row r="4600" customFormat="false" ht="15" hidden="false" customHeight="false" outlineLevel="0" collapsed="false">
      <c r="A4600" s="103"/>
      <c r="B4600" s="104"/>
      <c r="C4600" s="104"/>
      <c r="E4600" s="107" t="str">
        <f aca="false">IF($C4600="","",IFERROR(INDEX(المنيو!$C$2:$C$500,MATCH($C4600,المنيو!$B$2:$B$500,0)),0))</f>
        <v/>
      </c>
      <c r="F4600" s="107" t="str">
        <f aca="false">IF($C4600="","",$D4600*$E4600)</f>
        <v/>
      </c>
      <c r="G4600" s="107" t="str">
        <f aca="false">IF($C4600="","",$D4600*IFERROR(INDEX('تحليل التكلفة والسعر'!$C$2:$C$700,MATCH($C4600,'تحليل التكلفة والسعر'!$B$2:$B$700,0)),0))</f>
        <v/>
      </c>
    </row>
    <row r="4601" customFormat="false" ht="15" hidden="false" customHeight="false" outlineLevel="0" collapsed="false">
      <c r="A4601" s="103"/>
      <c r="B4601" s="104"/>
      <c r="C4601" s="104"/>
      <c r="E4601" s="107" t="str">
        <f aca="false">IF($C4601="","",IFERROR(INDEX(المنيو!$C$2:$C$500,MATCH($C4601,المنيو!$B$2:$B$500,0)),0))</f>
        <v/>
      </c>
      <c r="F4601" s="107" t="str">
        <f aca="false">IF($C4601="","",$D4601*$E4601)</f>
        <v/>
      </c>
      <c r="G4601" s="107" t="str">
        <f aca="false">IF($C4601="","",$D4601*IFERROR(INDEX('تحليل التكلفة والسعر'!$C$2:$C$700,MATCH($C4601,'تحليل التكلفة والسعر'!$B$2:$B$700,0)),0))</f>
        <v/>
      </c>
    </row>
    <row r="4602" customFormat="false" ht="15" hidden="false" customHeight="false" outlineLevel="0" collapsed="false">
      <c r="A4602" s="103"/>
      <c r="B4602" s="104"/>
      <c r="C4602" s="104"/>
      <c r="E4602" s="107" t="str">
        <f aca="false">IF($C4602="","",IFERROR(INDEX(المنيو!$C$2:$C$500,MATCH($C4602,المنيو!$B$2:$B$500,0)),0))</f>
        <v/>
      </c>
      <c r="F4602" s="107" t="str">
        <f aca="false">IF($C4602="","",$D4602*$E4602)</f>
        <v/>
      </c>
      <c r="G4602" s="107" t="str">
        <f aca="false">IF($C4602="","",$D4602*IFERROR(INDEX('تحليل التكلفة والسعر'!$C$2:$C$700,MATCH($C4602,'تحليل التكلفة والسعر'!$B$2:$B$700,0)),0))</f>
        <v/>
      </c>
    </row>
    <row r="4603" customFormat="false" ht="15" hidden="false" customHeight="false" outlineLevel="0" collapsed="false">
      <c r="A4603" s="103"/>
      <c r="B4603" s="104"/>
      <c r="C4603" s="104"/>
      <c r="E4603" s="107" t="str">
        <f aca="false">IF($C4603="","",IFERROR(INDEX(المنيو!$C$2:$C$500,MATCH($C4603,المنيو!$B$2:$B$500,0)),0))</f>
        <v/>
      </c>
      <c r="F4603" s="107" t="str">
        <f aca="false">IF($C4603="","",$D4603*$E4603)</f>
        <v/>
      </c>
      <c r="G4603" s="107" t="str">
        <f aca="false">IF($C4603="","",$D4603*IFERROR(INDEX('تحليل التكلفة والسعر'!$C$2:$C$700,MATCH($C4603,'تحليل التكلفة والسعر'!$B$2:$B$700,0)),0))</f>
        <v/>
      </c>
    </row>
    <row r="4604" customFormat="false" ht="15" hidden="false" customHeight="false" outlineLevel="0" collapsed="false">
      <c r="A4604" s="103"/>
      <c r="B4604" s="104"/>
      <c r="C4604" s="104"/>
      <c r="E4604" s="107" t="str">
        <f aca="false">IF($C4604="","",IFERROR(INDEX(المنيو!$C$2:$C$500,MATCH($C4604,المنيو!$B$2:$B$500,0)),0))</f>
        <v/>
      </c>
      <c r="F4604" s="107" t="str">
        <f aca="false">IF($C4604="","",$D4604*$E4604)</f>
        <v/>
      </c>
      <c r="G4604" s="107" t="str">
        <f aca="false">IF($C4604="","",$D4604*IFERROR(INDEX('تحليل التكلفة والسعر'!$C$2:$C$700,MATCH($C4604,'تحليل التكلفة والسعر'!$B$2:$B$700,0)),0))</f>
        <v/>
      </c>
    </row>
    <row r="4605" customFormat="false" ht="15" hidden="false" customHeight="false" outlineLevel="0" collapsed="false">
      <c r="A4605" s="103"/>
      <c r="B4605" s="104"/>
      <c r="C4605" s="104"/>
      <c r="E4605" s="107" t="str">
        <f aca="false">IF($C4605="","",IFERROR(INDEX(المنيو!$C$2:$C$500,MATCH($C4605,المنيو!$B$2:$B$500,0)),0))</f>
        <v/>
      </c>
      <c r="F4605" s="107" t="str">
        <f aca="false">IF($C4605="","",$D4605*$E4605)</f>
        <v/>
      </c>
      <c r="G4605" s="107" t="str">
        <f aca="false">IF($C4605="","",$D4605*IFERROR(INDEX('تحليل التكلفة والسعر'!$C$2:$C$700,MATCH($C4605,'تحليل التكلفة والسعر'!$B$2:$B$700,0)),0))</f>
        <v/>
      </c>
    </row>
    <row r="4606" customFormat="false" ht="15" hidden="false" customHeight="false" outlineLevel="0" collapsed="false">
      <c r="A4606" s="103"/>
      <c r="B4606" s="104"/>
      <c r="C4606" s="104"/>
      <c r="E4606" s="107" t="str">
        <f aca="false">IF($C4606="","",IFERROR(INDEX(المنيو!$C$2:$C$500,MATCH($C4606,المنيو!$B$2:$B$500,0)),0))</f>
        <v/>
      </c>
      <c r="F4606" s="107" t="str">
        <f aca="false">IF($C4606="","",$D4606*$E4606)</f>
        <v/>
      </c>
      <c r="G4606" s="107" t="str">
        <f aca="false">IF($C4606="","",$D4606*IFERROR(INDEX('تحليل التكلفة والسعر'!$C$2:$C$700,MATCH($C4606,'تحليل التكلفة والسعر'!$B$2:$B$700,0)),0))</f>
        <v/>
      </c>
    </row>
    <row r="4607" customFormat="false" ht="15" hidden="false" customHeight="false" outlineLevel="0" collapsed="false">
      <c r="A4607" s="103"/>
      <c r="B4607" s="104"/>
      <c r="C4607" s="104"/>
      <c r="E4607" s="107" t="str">
        <f aca="false">IF($C4607="","",IFERROR(INDEX(المنيو!$C$2:$C$500,MATCH($C4607,المنيو!$B$2:$B$500,0)),0))</f>
        <v/>
      </c>
      <c r="F4607" s="107" t="str">
        <f aca="false">IF($C4607="","",$D4607*$E4607)</f>
        <v/>
      </c>
      <c r="G4607" s="107" t="str">
        <f aca="false">IF($C4607="","",$D4607*IFERROR(INDEX('تحليل التكلفة والسعر'!$C$2:$C$700,MATCH($C4607,'تحليل التكلفة والسعر'!$B$2:$B$700,0)),0))</f>
        <v/>
      </c>
    </row>
    <row r="4608" customFormat="false" ht="15" hidden="false" customHeight="false" outlineLevel="0" collapsed="false">
      <c r="A4608" s="103"/>
      <c r="B4608" s="104"/>
      <c r="C4608" s="104"/>
      <c r="E4608" s="107" t="str">
        <f aca="false">IF($C4608="","",IFERROR(INDEX(المنيو!$C$2:$C$500,MATCH($C4608,المنيو!$B$2:$B$500,0)),0))</f>
        <v/>
      </c>
      <c r="F4608" s="107" t="str">
        <f aca="false">IF($C4608="","",$D4608*$E4608)</f>
        <v/>
      </c>
      <c r="G4608" s="107" t="str">
        <f aca="false">IF($C4608="","",$D4608*IFERROR(INDEX('تحليل التكلفة والسعر'!$C$2:$C$700,MATCH($C4608,'تحليل التكلفة والسعر'!$B$2:$B$700,0)),0))</f>
        <v/>
      </c>
    </row>
    <row r="4609" customFormat="false" ht="15" hidden="false" customHeight="false" outlineLevel="0" collapsed="false">
      <c r="A4609" s="103"/>
      <c r="B4609" s="104"/>
      <c r="C4609" s="104"/>
      <c r="E4609" s="107" t="str">
        <f aca="false">IF($C4609="","",IFERROR(INDEX(المنيو!$C$2:$C$500,MATCH($C4609,المنيو!$B$2:$B$500,0)),0))</f>
        <v/>
      </c>
      <c r="F4609" s="107" t="str">
        <f aca="false">IF($C4609="","",$D4609*$E4609)</f>
        <v/>
      </c>
      <c r="G4609" s="107" t="str">
        <f aca="false">IF($C4609="","",$D4609*IFERROR(INDEX('تحليل التكلفة والسعر'!$C$2:$C$700,MATCH($C4609,'تحليل التكلفة والسعر'!$B$2:$B$700,0)),0))</f>
        <v/>
      </c>
    </row>
    <row r="4610" customFormat="false" ht="15" hidden="false" customHeight="false" outlineLevel="0" collapsed="false">
      <c r="A4610" s="103"/>
      <c r="B4610" s="104"/>
      <c r="C4610" s="104"/>
      <c r="E4610" s="107" t="str">
        <f aca="false">IF($C4610="","",IFERROR(INDEX(المنيو!$C$2:$C$500,MATCH($C4610,المنيو!$B$2:$B$500,0)),0))</f>
        <v/>
      </c>
      <c r="F4610" s="107" t="str">
        <f aca="false">IF($C4610="","",$D4610*$E4610)</f>
        <v/>
      </c>
      <c r="G4610" s="107" t="str">
        <f aca="false">IF($C4610="","",$D4610*IFERROR(INDEX('تحليل التكلفة والسعر'!$C$2:$C$700,MATCH($C4610,'تحليل التكلفة والسعر'!$B$2:$B$700,0)),0))</f>
        <v/>
      </c>
    </row>
    <row r="4611" customFormat="false" ht="15" hidden="false" customHeight="false" outlineLevel="0" collapsed="false">
      <c r="A4611" s="103"/>
      <c r="B4611" s="104"/>
      <c r="C4611" s="104"/>
      <c r="E4611" s="107" t="str">
        <f aca="false">IF($C4611="","",IFERROR(INDEX(المنيو!$C$2:$C$500,MATCH($C4611,المنيو!$B$2:$B$500,0)),0))</f>
        <v/>
      </c>
      <c r="F4611" s="107" t="str">
        <f aca="false">IF($C4611="","",$D4611*$E4611)</f>
        <v/>
      </c>
      <c r="G4611" s="107" t="str">
        <f aca="false">IF($C4611="","",$D4611*IFERROR(INDEX('تحليل التكلفة والسعر'!$C$2:$C$700,MATCH($C4611,'تحليل التكلفة والسعر'!$B$2:$B$700,0)),0))</f>
        <v/>
      </c>
    </row>
    <row r="4612" customFormat="false" ht="15" hidden="false" customHeight="false" outlineLevel="0" collapsed="false">
      <c r="A4612" s="103"/>
      <c r="B4612" s="104"/>
      <c r="C4612" s="104"/>
      <c r="E4612" s="107" t="str">
        <f aca="false">IF($C4612="","",IFERROR(INDEX(المنيو!$C$2:$C$500,MATCH($C4612,المنيو!$B$2:$B$500,0)),0))</f>
        <v/>
      </c>
      <c r="F4612" s="107" t="str">
        <f aca="false">IF($C4612="","",$D4612*$E4612)</f>
        <v/>
      </c>
      <c r="G4612" s="107" t="str">
        <f aca="false">IF($C4612="","",$D4612*IFERROR(INDEX('تحليل التكلفة والسعر'!$C$2:$C$700,MATCH($C4612,'تحليل التكلفة والسعر'!$B$2:$B$700,0)),0))</f>
        <v/>
      </c>
    </row>
    <row r="4613" customFormat="false" ht="15" hidden="false" customHeight="false" outlineLevel="0" collapsed="false">
      <c r="A4613" s="103"/>
      <c r="B4613" s="104"/>
      <c r="C4613" s="104"/>
      <c r="E4613" s="107" t="str">
        <f aca="false">IF($C4613="","",IFERROR(INDEX(المنيو!$C$2:$C$500,MATCH($C4613,المنيو!$B$2:$B$500,0)),0))</f>
        <v/>
      </c>
      <c r="F4613" s="107" t="str">
        <f aca="false">IF($C4613="","",$D4613*$E4613)</f>
        <v/>
      </c>
      <c r="G4613" s="107" t="str">
        <f aca="false">IF($C4613="","",$D4613*IFERROR(INDEX('تحليل التكلفة والسعر'!$C$2:$C$700,MATCH($C4613,'تحليل التكلفة والسعر'!$B$2:$B$700,0)),0))</f>
        <v/>
      </c>
    </row>
    <row r="4614" customFormat="false" ht="15" hidden="false" customHeight="false" outlineLevel="0" collapsed="false">
      <c r="A4614" s="103"/>
      <c r="B4614" s="104"/>
      <c r="C4614" s="104"/>
      <c r="E4614" s="107" t="str">
        <f aca="false">IF($C4614="","",IFERROR(INDEX(المنيو!$C$2:$C$500,MATCH($C4614,المنيو!$B$2:$B$500,0)),0))</f>
        <v/>
      </c>
      <c r="F4614" s="107" t="str">
        <f aca="false">IF($C4614="","",$D4614*$E4614)</f>
        <v/>
      </c>
      <c r="G4614" s="107" t="str">
        <f aca="false">IF($C4614="","",$D4614*IFERROR(INDEX('تحليل التكلفة والسعر'!$C$2:$C$700,MATCH($C4614,'تحليل التكلفة والسعر'!$B$2:$B$700,0)),0))</f>
        <v/>
      </c>
    </row>
    <row r="4615" customFormat="false" ht="15" hidden="false" customHeight="false" outlineLevel="0" collapsed="false">
      <c r="A4615" s="103"/>
      <c r="B4615" s="104"/>
      <c r="C4615" s="104"/>
      <c r="E4615" s="107" t="str">
        <f aca="false">IF($C4615="","",IFERROR(INDEX(المنيو!$C$2:$C$500,MATCH($C4615,المنيو!$B$2:$B$500,0)),0))</f>
        <v/>
      </c>
      <c r="F4615" s="107" t="str">
        <f aca="false">IF($C4615="","",$D4615*$E4615)</f>
        <v/>
      </c>
      <c r="G4615" s="107" t="str">
        <f aca="false">IF($C4615="","",$D4615*IFERROR(INDEX('تحليل التكلفة والسعر'!$C$2:$C$700,MATCH($C4615,'تحليل التكلفة والسعر'!$B$2:$B$700,0)),0))</f>
        <v/>
      </c>
    </row>
    <row r="4616" customFormat="false" ht="15" hidden="false" customHeight="false" outlineLevel="0" collapsed="false">
      <c r="A4616" s="103"/>
      <c r="B4616" s="104"/>
      <c r="C4616" s="104"/>
      <c r="E4616" s="107" t="str">
        <f aca="false">IF($C4616="","",IFERROR(INDEX(المنيو!$C$2:$C$500,MATCH($C4616,المنيو!$B$2:$B$500,0)),0))</f>
        <v/>
      </c>
      <c r="F4616" s="107" t="str">
        <f aca="false">IF($C4616="","",$D4616*$E4616)</f>
        <v/>
      </c>
      <c r="G4616" s="107" t="str">
        <f aca="false">IF($C4616="","",$D4616*IFERROR(INDEX('تحليل التكلفة والسعر'!$C$2:$C$700,MATCH($C4616,'تحليل التكلفة والسعر'!$B$2:$B$700,0)),0))</f>
        <v/>
      </c>
    </row>
    <row r="4617" customFormat="false" ht="15" hidden="false" customHeight="false" outlineLevel="0" collapsed="false">
      <c r="A4617" s="103"/>
      <c r="B4617" s="104"/>
      <c r="C4617" s="104"/>
      <c r="E4617" s="107" t="str">
        <f aca="false">IF($C4617="","",IFERROR(INDEX(المنيو!$C$2:$C$500,MATCH($C4617,المنيو!$B$2:$B$500,0)),0))</f>
        <v/>
      </c>
      <c r="F4617" s="107" t="str">
        <f aca="false">IF($C4617="","",$D4617*$E4617)</f>
        <v/>
      </c>
      <c r="G4617" s="107" t="str">
        <f aca="false">IF($C4617="","",$D4617*IFERROR(INDEX('تحليل التكلفة والسعر'!$C$2:$C$700,MATCH($C4617,'تحليل التكلفة والسعر'!$B$2:$B$700,0)),0))</f>
        <v/>
      </c>
    </row>
    <row r="4618" customFormat="false" ht="15" hidden="false" customHeight="false" outlineLevel="0" collapsed="false">
      <c r="A4618" s="103"/>
      <c r="B4618" s="104"/>
      <c r="C4618" s="104"/>
      <c r="E4618" s="107" t="str">
        <f aca="false">IF($C4618="","",IFERROR(INDEX(المنيو!$C$2:$C$500,MATCH($C4618,المنيو!$B$2:$B$500,0)),0))</f>
        <v/>
      </c>
      <c r="F4618" s="107" t="str">
        <f aca="false">IF($C4618="","",$D4618*$E4618)</f>
        <v/>
      </c>
      <c r="G4618" s="107" t="str">
        <f aca="false">IF($C4618="","",$D4618*IFERROR(INDEX('تحليل التكلفة والسعر'!$C$2:$C$700,MATCH($C4618,'تحليل التكلفة والسعر'!$B$2:$B$700,0)),0))</f>
        <v/>
      </c>
    </row>
    <row r="4619" customFormat="false" ht="15" hidden="false" customHeight="false" outlineLevel="0" collapsed="false">
      <c r="A4619" s="103"/>
      <c r="B4619" s="104"/>
      <c r="C4619" s="104"/>
      <c r="E4619" s="107" t="str">
        <f aca="false">IF($C4619="","",IFERROR(INDEX(المنيو!$C$2:$C$500,MATCH($C4619,المنيو!$B$2:$B$500,0)),0))</f>
        <v/>
      </c>
      <c r="F4619" s="107" t="str">
        <f aca="false">IF($C4619="","",$D4619*$E4619)</f>
        <v/>
      </c>
      <c r="G4619" s="107" t="str">
        <f aca="false">IF($C4619="","",$D4619*IFERROR(INDEX('تحليل التكلفة والسعر'!$C$2:$C$700,MATCH($C4619,'تحليل التكلفة والسعر'!$B$2:$B$700,0)),0))</f>
        <v/>
      </c>
    </row>
    <row r="4620" customFormat="false" ht="15" hidden="false" customHeight="false" outlineLevel="0" collapsed="false">
      <c r="A4620" s="103"/>
      <c r="B4620" s="104"/>
      <c r="C4620" s="104"/>
      <c r="E4620" s="107" t="str">
        <f aca="false">IF($C4620="","",IFERROR(INDEX(المنيو!$C$2:$C$500,MATCH($C4620,المنيو!$B$2:$B$500,0)),0))</f>
        <v/>
      </c>
      <c r="F4620" s="107" t="str">
        <f aca="false">IF($C4620="","",$D4620*$E4620)</f>
        <v/>
      </c>
      <c r="G4620" s="107" t="str">
        <f aca="false">IF($C4620="","",$D4620*IFERROR(INDEX('تحليل التكلفة والسعر'!$C$2:$C$700,MATCH($C4620,'تحليل التكلفة والسعر'!$B$2:$B$700,0)),0))</f>
        <v/>
      </c>
    </row>
    <row r="4621" customFormat="false" ht="15" hidden="false" customHeight="false" outlineLevel="0" collapsed="false">
      <c r="A4621" s="103"/>
      <c r="B4621" s="104"/>
      <c r="C4621" s="104"/>
      <c r="E4621" s="107" t="str">
        <f aca="false">IF($C4621="","",IFERROR(INDEX(المنيو!$C$2:$C$500,MATCH($C4621,المنيو!$B$2:$B$500,0)),0))</f>
        <v/>
      </c>
      <c r="F4621" s="107" t="str">
        <f aca="false">IF($C4621="","",$D4621*$E4621)</f>
        <v/>
      </c>
      <c r="G4621" s="107" t="str">
        <f aca="false">IF($C4621="","",$D4621*IFERROR(INDEX('تحليل التكلفة والسعر'!$C$2:$C$700,MATCH($C4621,'تحليل التكلفة والسعر'!$B$2:$B$700,0)),0))</f>
        <v/>
      </c>
    </row>
    <row r="4622" customFormat="false" ht="15" hidden="false" customHeight="false" outlineLevel="0" collapsed="false">
      <c r="A4622" s="103"/>
      <c r="B4622" s="104"/>
      <c r="C4622" s="104"/>
      <c r="E4622" s="107" t="str">
        <f aca="false">IF($C4622="","",IFERROR(INDEX(المنيو!$C$2:$C$500,MATCH($C4622,المنيو!$B$2:$B$500,0)),0))</f>
        <v/>
      </c>
      <c r="F4622" s="107" t="str">
        <f aca="false">IF($C4622="","",$D4622*$E4622)</f>
        <v/>
      </c>
      <c r="G4622" s="107" t="str">
        <f aca="false">IF($C4622="","",$D4622*IFERROR(INDEX('تحليل التكلفة والسعر'!$C$2:$C$700,MATCH($C4622,'تحليل التكلفة والسعر'!$B$2:$B$700,0)),0))</f>
        <v/>
      </c>
    </row>
    <row r="4623" customFormat="false" ht="15" hidden="false" customHeight="false" outlineLevel="0" collapsed="false">
      <c r="A4623" s="103"/>
      <c r="B4623" s="104"/>
      <c r="C4623" s="104"/>
      <c r="E4623" s="107" t="str">
        <f aca="false">IF($C4623="","",IFERROR(INDEX(المنيو!$C$2:$C$500,MATCH($C4623,المنيو!$B$2:$B$500,0)),0))</f>
        <v/>
      </c>
      <c r="F4623" s="107" t="str">
        <f aca="false">IF($C4623="","",$D4623*$E4623)</f>
        <v/>
      </c>
      <c r="G4623" s="107" t="str">
        <f aca="false">IF($C4623="","",$D4623*IFERROR(INDEX('تحليل التكلفة والسعر'!$C$2:$C$700,MATCH($C4623,'تحليل التكلفة والسعر'!$B$2:$B$700,0)),0))</f>
        <v/>
      </c>
    </row>
    <row r="4624" customFormat="false" ht="15" hidden="false" customHeight="false" outlineLevel="0" collapsed="false">
      <c r="A4624" s="103"/>
      <c r="B4624" s="104"/>
      <c r="C4624" s="104"/>
      <c r="E4624" s="107" t="str">
        <f aca="false">IF($C4624="","",IFERROR(INDEX(المنيو!$C$2:$C$500,MATCH($C4624,المنيو!$B$2:$B$500,0)),0))</f>
        <v/>
      </c>
      <c r="F4624" s="107" t="str">
        <f aca="false">IF($C4624="","",$D4624*$E4624)</f>
        <v/>
      </c>
      <c r="G4624" s="107" t="str">
        <f aca="false">IF($C4624="","",$D4624*IFERROR(INDEX('تحليل التكلفة والسعر'!$C$2:$C$700,MATCH($C4624,'تحليل التكلفة والسعر'!$B$2:$B$700,0)),0))</f>
        <v/>
      </c>
    </row>
    <row r="4625" customFormat="false" ht="15" hidden="false" customHeight="false" outlineLevel="0" collapsed="false">
      <c r="A4625" s="103"/>
      <c r="B4625" s="104"/>
      <c r="C4625" s="104"/>
      <c r="E4625" s="107" t="str">
        <f aca="false">IF($C4625="","",IFERROR(INDEX(المنيو!$C$2:$C$500,MATCH($C4625,المنيو!$B$2:$B$500,0)),0))</f>
        <v/>
      </c>
      <c r="F4625" s="107" t="str">
        <f aca="false">IF($C4625="","",$D4625*$E4625)</f>
        <v/>
      </c>
      <c r="G4625" s="107" t="str">
        <f aca="false">IF($C4625="","",$D4625*IFERROR(INDEX('تحليل التكلفة والسعر'!$C$2:$C$700,MATCH($C4625,'تحليل التكلفة والسعر'!$B$2:$B$700,0)),0))</f>
        <v/>
      </c>
    </row>
    <row r="4626" customFormat="false" ht="15" hidden="false" customHeight="false" outlineLevel="0" collapsed="false">
      <c r="A4626" s="103"/>
      <c r="B4626" s="104"/>
      <c r="C4626" s="104"/>
      <c r="E4626" s="107" t="str">
        <f aca="false">IF($C4626="","",IFERROR(INDEX(المنيو!$C$2:$C$500,MATCH($C4626,المنيو!$B$2:$B$500,0)),0))</f>
        <v/>
      </c>
      <c r="F4626" s="107" t="str">
        <f aca="false">IF($C4626="","",$D4626*$E4626)</f>
        <v/>
      </c>
      <c r="G4626" s="107" t="str">
        <f aca="false">IF($C4626="","",$D4626*IFERROR(INDEX('تحليل التكلفة والسعر'!$C$2:$C$700,MATCH($C4626,'تحليل التكلفة والسعر'!$B$2:$B$700,0)),0))</f>
        <v/>
      </c>
    </row>
    <row r="4627" customFormat="false" ht="15" hidden="false" customHeight="false" outlineLevel="0" collapsed="false">
      <c r="A4627" s="103"/>
      <c r="B4627" s="104"/>
      <c r="C4627" s="104"/>
      <c r="E4627" s="107" t="str">
        <f aca="false">IF($C4627="","",IFERROR(INDEX(المنيو!$C$2:$C$500,MATCH($C4627,المنيو!$B$2:$B$500,0)),0))</f>
        <v/>
      </c>
      <c r="F4627" s="107" t="str">
        <f aca="false">IF($C4627="","",$D4627*$E4627)</f>
        <v/>
      </c>
      <c r="G4627" s="107" t="str">
        <f aca="false">IF($C4627="","",$D4627*IFERROR(INDEX('تحليل التكلفة والسعر'!$C$2:$C$700,MATCH($C4627,'تحليل التكلفة والسعر'!$B$2:$B$700,0)),0))</f>
        <v/>
      </c>
    </row>
    <row r="4628" customFormat="false" ht="15" hidden="false" customHeight="false" outlineLevel="0" collapsed="false">
      <c r="A4628" s="103"/>
      <c r="B4628" s="104"/>
      <c r="C4628" s="104"/>
      <c r="E4628" s="107" t="str">
        <f aca="false">IF($C4628="","",IFERROR(INDEX(المنيو!$C$2:$C$500,MATCH($C4628,المنيو!$B$2:$B$500,0)),0))</f>
        <v/>
      </c>
      <c r="F4628" s="107" t="str">
        <f aca="false">IF($C4628="","",$D4628*$E4628)</f>
        <v/>
      </c>
      <c r="G4628" s="107" t="str">
        <f aca="false">IF($C4628="","",$D4628*IFERROR(INDEX('تحليل التكلفة والسعر'!$C$2:$C$700,MATCH($C4628,'تحليل التكلفة والسعر'!$B$2:$B$700,0)),0))</f>
        <v/>
      </c>
    </row>
    <row r="4629" customFormat="false" ht="15" hidden="false" customHeight="false" outlineLevel="0" collapsed="false">
      <c r="A4629" s="103"/>
      <c r="B4629" s="104"/>
      <c r="C4629" s="104"/>
      <c r="E4629" s="107" t="str">
        <f aca="false">IF($C4629="","",IFERROR(INDEX(المنيو!$C$2:$C$500,MATCH($C4629,المنيو!$B$2:$B$500,0)),0))</f>
        <v/>
      </c>
      <c r="F4629" s="107" t="str">
        <f aca="false">IF($C4629="","",$D4629*$E4629)</f>
        <v/>
      </c>
      <c r="G4629" s="107" t="str">
        <f aca="false">IF($C4629="","",$D4629*IFERROR(INDEX('تحليل التكلفة والسعر'!$C$2:$C$700,MATCH($C4629,'تحليل التكلفة والسعر'!$B$2:$B$700,0)),0))</f>
        <v/>
      </c>
    </row>
    <row r="4630" customFormat="false" ht="15" hidden="false" customHeight="false" outlineLevel="0" collapsed="false">
      <c r="A4630" s="103"/>
      <c r="B4630" s="104"/>
      <c r="C4630" s="104"/>
      <c r="E4630" s="107" t="str">
        <f aca="false">IF($C4630="","",IFERROR(INDEX(المنيو!$C$2:$C$500,MATCH($C4630,المنيو!$B$2:$B$500,0)),0))</f>
        <v/>
      </c>
      <c r="F4630" s="107" t="str">
        <f aca="false">IF($C4630="","",$D4630*$E4630)</f>
        <v/>
      </c>
      <c r="G4630" s="107" t="str">
        <f aca="false">IF($C4630="","",$D4630*IFERROR(INDEX('تحليل التكلفة والسعر'!$C$2:$C$700,MATCH($C4630,'تحليل التكلفة والسعر'!$B$2:$B$700,0)),0))</f>
        <v/>
      </c>
    </row>
    <row r="4631" customFormat="false" ht="15" hidden="false" customHeight="false" outlineLevel="0" collapsed="false">
      <c r="A4631" s="103"/>
      <c r="B4631" s="104"/>
      <c r="C4631" s="104"/>
      <c r="E4631" s="107" t="str">
        <f aca="false">IF($C4631="","",IFERROR(INDEX(المنيو!$C$2:$C$500,MATCH($C4631,المنيو!$B$2:$B$500,0)),0))</f>
        <v/>
      </c>
      <c r="F4631" s="107" t="str">
        <f aca="false">IF($C4631="","",$D4631*$E4631)</f>
        <v/>
      </c>
      <c r="G4631" s="107" t="str">
        <f aca="false">IF($C4631="","",$D4631*IFERROR(INDEX('تحليل التكلفة والسعر'!$C$2:$C$700,MATCH($C4631,'تحليل التكلفة والسعر'!$B$2:$B$700,0)),0))</f>
        <v/>
      </c>
    </row>
    <row r="4632" customFormat="false" ht="15" hidden="false" customHeight="false" outlineLevel="0" collapsed="false">
      <c r="A4632" s="103"/>
      <c r="B4632" s="104"/>
      <c r="C4632" s="104"/>
      <c r="E4632" s="107" t="str">
        <f aca="false">IF($C4632="","",IFERROR(INDEX(المنيو!$C$2:$C$500,MATCH($C4632,المنيو!$B$2:$B$500,0)),0))</f>
        <v/>
      </c>
      <c r="F4632" s="107" t="str">
        <f aca="false">IF($C4632="","",$D4632*$E4632)</f>
        <v/>
      </c>
      <c r="G4632" s="107" t="str">
        <f aca="false">IF($C4632="","",$D4632*IFERROR(INDEX('تحليل التكلفة والسعر'!$C$2:$C$700,MATCH($C4632,'تحليل التكلفة والسعر'!$B$2:$B$700,0)),0))</f>
        <v/>
      </c>
    </row>
    <row r="4633" customFormat="false" ht="15" hidden="false" customHeight="false" outlineLevel="0" collapsed="false">
      <c r="A4633" s="103"/>
      <c r="B4633" s="104"/>
      <c r="C4633" s="104"/>
      <c r="E4633" s="107" t="str">
        <f aca="false">IF($C4633="","",IFERROR(INDEX(المنيو!$C$2:$C$500,MATCH($C4633,المنيو!$B$2:$B$500,0)),0))</f>
        <v/>
      </c>
      <c r="F4633" s="107" t="str">
        <f aca="false">IF($C4633="","",$D4633*$E4633)</f>
        <v/>
      </c>
      <c r="G4633" s="107" t="str">
        <f aca="false">IF($C4633="","",$D4633*IFERROR(INDEX('تحليل التكلفة والسعر'!$C$2:$C$700,MATCH($C4633,'تحليل التكلفة والسعر'!$B$2:$B$700,0)),0))</f>
        <v/>
      </c>
    </row>
    <row r="4634" customFormat="false" ht="15" hidden="false" customHeight="false" outlineLevel="0" collapsed="false">
      <c r="A4634" s="103"/>
      <c r="B4634" s="104"/>
      <c r="C4634" s="104"/>
      <c r="E4634" s="107" t="str">
        <f aca="false">IF($C4634="","",IFERROR(INDEX(المنيو!$C$2:$C$500,MATCH($C4634,المنيو!$B$2:$B$500,0)),0))</f>
        <v/>
      </c>
      <c r="F4634" s="107" t="str">
        <f aca="false">IF($C4634="","",$D4634*$E4634)</f>
        <v/>
      </c>
      <c r="G4634" s="107" t="str">
        <f aca="false">IF($C4634="","",$D4634*IFERROR(INDEX('تحليل التكلفة والسعر'!$C$2:$C$700,MATCH($C4634,'تحليل التكلفة والسعر'!$B$2:$B$700,0)),0))</f>
        <v/>
      </c>
    </row>
    <row r="4635" customFormat="false" ht="15" hidden="false" customHeight="false" outlineLevel="0" collapsed="false">
      <c r="A4635" s="103"/>
      <c r="B4635" s="104"/>
      <c r="C4635" s="104"/>
      <c r="E4635" s="107" t="str">
        <f aca="false">IF($C4635="","",IFERROR(INDEX(المنيو!$C$2:$C$500,MATCH($C4635,المنيو!$B$2:$B$500,0)),0))</f>
        <v/>
      </c>
      <c r="F4635" s="107" t="str">
        <f aca="false">IF($C4635="","",$D4635*$E4635)</f>
        <v/>
      </c>
      <c r="G4635" s="107" t="str">
        <f aca="false">IF($C4635="","",$D4635*IFERROR(INDEX('تحليل التكلفة والسعر'!$C$2:$C$700,MATCH($C4635,'تحليل التكلفة والسعر'!$B$2:$B$700,0)),0))</f>
        <v/>
      </c>
    </row>
    <row r="4636" customFormat="false" ht="15" hidden="false" customHeight="false" outlineLevel="0" collapsed="false">
      <c r="A4636" s="103"/>
      <c r="B4636" s="104"/>
      <c r="C4636" s="104"/>
      <c r="E4636" s="107" t="str">
        <f aca="false">IF($C4636="","",IFERROR(INDEX(المنيو!$C$2:$C$500,MATCH($C4636,المنيو!$B$2:$B$500,0)),0))</f>
        <v/>
      </c>
      <c r="F4636" s="107" t="str">
        <f aca="false">IF($C4636="","",$D4636*$E4636)</f>
        <v/>
      </c>
      <c r="G4636" s="107" t="str">
        <f aca="false">IF($C4636="","",$D4636*IFERROR(INDEX('تحليل التكلفة والسعر'!$C$2:$C$700,MATCH($C4636,'تحليل التكلفة والسعر'!$B$2:$B$700,0)),0))</f>
        <v/>
      </c>
    </row>
    <row r="4637" customFormat="false" ht="15" hidden="false" customHeight="false" outlineLevel="0" collapsed="false">
      <c r="A4637" s="103"/>
      <c r="B4637" s="104"/>
      <c r="C4637" s="104"/>
      <c r="E4637" s="107" t="str">
        <f aca="false">IF($C4637="","",IFERROR(INDEX(المنيو!$C$2:$C$500,MATCH($C4637,المنيو!$B$2:$B$500,0)),0))</f>
        <v/>
      </c>
      <c r="F4637" s="107" t="str">
        <f aca="false">IF($C4637="","",$D4637*$E4637)</f>
        <v/>
      </c>
      <c r="G4637" s="107" t="str">
        <f aca="false">IF($C4637="","",$D4637*IFERROR(INDEX('تحليل التكلفة والسعر'!$C$2:$C$700,MATCH($C4637,'تحليل التكلفة والسعر'!$B$2:$B$700,0)),0))</f>
        <v/>
      </c>
    </row>
    <row r="4638" customFormat="false" ht="15" hidden="false" customHeight="false" outlineLevel="0" collapsed="false">
      <c r="A4638" s="103"/>
      <c r="B4638" s="104"/>
      <c r="C4638" s="104"/>
      <c r="E4638" s="107" t="str">
        <f aca="false">IF($C4638="","",IFERROR(INDEX(المنيو!$C$2:$C$500,MATCH($C4638,المنيو!$B$2:$B$500,0)),0))</f>
        <v/>
      </c>
      <c r="F4638" s="107" t="str">
        <f aca="false">IF($C4638="","",$D4638*$E4638)</f>
        <v/>
      </c>
      <c r="G4638" s="107" t="str">
        <f aca="false">IF($C4638="","",$D4638*IFERROR(INDEX('تحليل التكلفة والسعر'!$C$2:$C$700,MATCH($C4638,'تحليل التكلفة والسعر'!$B$2:$B$700,0)),0))</f>
        <v/>
      </c>
    </row>
    <row r="4639" customFormat="false" ht="15" hidden="false" customHeight="false" outlineLevel="0" collapsed="false">
      <c r="A4639" s="103"/>
      <c r="B4639" s="104"/>
      <c r="C4639" s="104"/>
      <c r="E4639" s="107" t="str">
        <f aca="false">IF($C4639="","",IFERROR(INDEX(المنيو!$C$2:$C$500,MATCH($C4639,المنيو!$B$2:$B$500,0)),0))</f>
        <v/>
      </c>
      <c r="F4639" s="107" t="str">
        <f aca="false">IF($C4639="","",$D4639*$E4639)</f>
        <v/>
      </c>
      <c r="G4639" s="107" t="str">
        <f aca="false">IF($C4639="","",$D4639*IFERROR(INDEX('تحليل التكلفة والسعر'!$C$2:$C$700,MATCH($C4639,'تحليل التكلفة والسعر'!$B$2:$B$700,0)),0))</f>
        <v/>
      </c>
    </row>
    <row r="4640" customFormat="false" ht="15" hidden="false" customHeight="false" outlineLevel="0" collapsed="false">
      <c r="A4640" s="103"/>
      <c r="B4640" s="104"/>
      <c r="C4640" s="104"/>
      <c r="E4640" s="107" t="str">
        <f aca="false">IF($C4640="","",IFERROR(INDEX(المنيو!$C$2:$C$500,MATCH($C4640,المنيو!$B$2:$B$500,0)),0))</f>
        <v/>
      </c>
      <c r="F4640" s="107" t="str">
        <f aca="false">IF($C4640="","",$D4640*$E4640)</f>
        <v/>
      </c>
      <c r="G4640" s="107" t="str">
        <f aca="false">IF($C4640="","",$D4640*IFERROR(INDEX('تحليل التكلفة والسعر'!$C$2:$C$700,MATCH($C4640,'تحليل التكلفة والسعر'!$B$2:$B$700,0)),0))</f>
        <v/>
      </c>
    </row>
    <row r="4641" customFormat="false" ht="15" hidden="false" customHeight="false" outlineLevel="0" collapsed="false">
      <c r="A4641" s="103"/>
      <c r="B4641" s="104"/>
      <c r="C4641" s="104"/>
      <c r="E4641" s="107" t="str">
        <f aca="false">IF($C4641="","",IFERROR(INDEX(المنيو!$C$2:$C$500,MATCH($C4641,المنيو!$B$2:$B$500,0)),0))</f>
        <v/>
      </c>
      <c r="F4641" s="107" t="str">
        <f aca="false">IF($C4641="","",$D4641*$E4641)</f>
        <v/>
      </c>
      <c r="G4641" s="107" t="str">
        <f aca="false">IF($C4641="","",$D4641*IFERROR(INDEX('تحليل التكلفة والسعر'!$C$2:$C$700,MATCH($C4641,'تحليل التكلفة والسعر'!$B$2:$B$700,0)),0))</f>
        <v/>
      </c>
    </row>
    <row r="4642" customFormat="false" ht="15" hidden="false" customHeight="false" outlineLevel="0" collapsed="false">
      <c r="A4642" s="103"/>
      <c r="B4642" s="104"/>
      <c r="C4642" s="104"/>
      <c r="E4642" s="107" t="str">
        <f aca="false">IF($C4642="","",IFERROR(INDEX(المنيو!$C$2:$C$500,MATCH($C4642,المنيو!$B$2:$B$500,0)),0))</f>
        <v/>
      </c>
      <c r="F4642" s="107" t="str">
        <f aca="false">IF($C4642="","",$D4642*$E4642)</f>
        <v/>
      </c>
      <c r="G4642" s="107" t="str">
        <f aca="false">IF($C4642="","",$D4642*IFERROR(INDEX('تحليل التكلفة والسعر'!$C$2:$C$700,MATCH($C4642,'تحليل التكلفة والسعر'!$B$2:$B$700,0)),0))</f>
        <v/>
      </c>
    </row>
    <row r="4643" customFormat="false" ht="15" hidden="false" customHeight="false" outlineLevel="0" collapsed="false">
      <c r="A4643" s="103"/>
      <c r="B4643" s="104"/>
      <c r="C4643" s="104"/>
      <c r="E4643" s="107" t="str">
        <f aca="false">IF($C4643="","",IFERROR(INDEX(المنيو!$C$2:$C$500,MATCH($C4643,المنيو!$B$2:$B$500,0)),0))</f>
        <v/>
      </c>
      <c r="F4643" s="107" t="str">
        <f aca="false">IF($C4643="","",$D4643*$E4643)</f>
        <v/>
      </c>
      <c r="G4643" s="107" t="str">
        <f aca="false">IF($C4643="","",$D4643*IFERROR(INDEX('تحليل التكلفة والسعر'!$C$2:$C$700,MATCH($C4643,'تحليل التكلفة والسعر'!$B$2:$B$700,0)),0))</f>
        <v/>
      </c>
    </row>
    <row r="4644" customFormat="false" ht="15" hidden="false" customHeight="false" outlineLevel="0" collapsed="false">
      <c r="A4644" s="103"/>
      <c r="B4644" s="104"/>
      <c r="C4644" s="104"/>
      <c r="E4644" s="107" t="str">
        <f aca="false">IF($C4644="","",IFERROR(INDEX(المنيو!$C$2:$C$500,MATCH($C4644,المنيو!$B$2:$B$500,0)),0))</f>
        <v/>
      </c>
      <c r="F4644" s="107" t="str">
        <f aca="false">IF($C4644="","",$D4644*$E4644)</f>
        <v/>
      </c>
      <c r="G4644" s="107" t="str">
        <f aca="false">IF($C4644="","",$D4644*IFERROR(INDEX('تحليل التكلفة والسعر'!$C$2:$C$700,MATCH($C4644,'تحليل التكلفة والسعر'!$B$2:$B$700,0)),0))</f>
        <v/>
      </c>
    </row>
    <row r="4645" customFormat="false" ht="15" hidden="false" customHeight="false" outlineLevel="0" collapsed="false">
      <c r="A4645" s="103"/>
      <c r="B4645" s="104"/>
      <c r="C4645" s="104"/>
      <c r="E4645" s="107" t="str">
        <f aca="false">IF($C4645="","",IFERROR(INDEX(المنيو!$C$2:$C$500,MATCH($C4645,المنيو!$B$2:$B$500,0)),0))</f>
        <v/>
      </c>
      <c r="F4645" s="107" t="str">
        <f aca="false">IF($C4645="","",$D4645*$E4645)</f>
        <v/>
      </c>
      <c r="G4645" s="107" t="str">
        <f aca="false">IF($C4645="","",$D4645*IFERROR(INDEX('تحليل التكلفة والسعر'!$C$2:$C$700,MATCH($C4645,'تحليل التكلفة والسعر'!$B$2:$B$700,0)),0))</f>
        <v/>
      </c>
    </row>
    <row r="4646" customFormat="false" ht="15" hidden="false" customHeight="false" outlineLevel="0" collapsed="false">
      <c r="A4646" s="103"/>
      <c r="B4646" s="104"/>
      <c r="C4646" s="104"/>
      <c r="E4646" s="107" t="str">
        <f aca="false">IF($C4646="","",IFERROR(INDEX(المنيو!$C$2:$C$500,MATCH($C4646,المنيو!$B$2:$B$500,0)),0))</f>
        <v/>
      </c>
      <c r="F4646" s="107" t="str">
        <f aca="false">IF($C4646="","",$D4646*$E4646)</f>
        <v/>
      </c>
      <c r="G4646" s="107" t="str">
        <f aca="false">IF($C4646="","",$D4646*IFERROR(INDEX('تحليل التكلفة والسعر'!$C$2:$C$700,MATCH($C4646,'تحليل التكلفة والسعر'!$B$2:$B$700,0)),0))</f>
        <v/>
      </c>
    </row>
    <row r="4647" customFormat="false" ht="15" hidden="false" customHeight="false" outlineLevel="0" collapsed="false">
      <c r="A4647" s="103"/>
      <c r="B4647" s="104"/>
      <c r="C4647" s="104"/>
      <c r="E4647" s="107" t="str">
        <f aca="false">IF($C4647="","",IFERROR(INDEX(المنيو!$C$2:$C$500,MATCH($C4647,المنيو!$B$2:$B$500,0)),0))</f>
        <v/>
      </c>
      <c r="F4647" s="107" t="str">
        <f aca="false">IF($C4647="","",$D4647*$E4647)</f>
        <v/>
      </c>
      <c r="G4647" s="107" t="str">
        <f aca="false">IF($C4647="","",$D4647*IFERROR(INDEX('تحليل التكلفة والسعر'!$C$2:$C$700,MATCH($C4647,'تحليل التكلفة والسعر'!$B$2:$B$700,0)),0))</f>
        <v/>
      </c>
    </row>
    <row r="4648" customFormat="false" ht="15" hidden="false" customHeight="false" outlineLevel="0" collapsed="false">
      <c r="A4648" s="103"/>
      <c r="B4648" s="104"/>
      <c r="C4648" s="104"/>
      <c r="E4648" s="107" t="str">
        <f aca="false">IF($C4648="","",IFERROR(INDEX(المنيو!$C$2:$C$500,MATCH($C4648,المنيو!$B$2:$B$500,0)),0))</f>
        <v/>
      </c>
      <c r="F4648" s="107" t="str">
        <f aca="false">IF($C4648="","",$D4648*$E4648)</f>
        <v/>
      </c>
      <c r="G4648" s="107" t="str">
        <f aca="false">IF($C4648="","",$D4648*IFERROR(INDEX('تحليل التكلفة والسعر'!$C$2:$C$700,MATCH($C4648,'تحليل التكلفة والسعر'!$B$2:$B$700,0)),0))</f>
        <v/>
      </c>
    </row>
    <row r="4649" customFormat="false" ht="15" hidden="false" customHeight="false" outlineLevel="0" collapsed="false">
      <c r="A4649" s="103"/>
      <c r="B4649" s="104"/>
      <c r="C4649" s="104"/>
      <c r="E4649" s="107" t="str">
        <f aca="false">IF($C4649="","",IFERROR(INDEX(المنيو!$C$2:$C$500,MATCH($C4649,المنيو!$B$2:$B$500,0)),0))</f>
        <v/>
      </c>
      <c r="F4649" s="107" t="str">
        <f aca="false">IF($C4649="","",$D4649*$E4649)</f>
        <v/>
      </c>
      <c r="G4649" s="107" t="str">
        <f aca="false">IF($C4649="","",$D4649*IFERROR(INDEX('تحليل التكلفة والسعر'!$C$2:$C$700,MATCH($C4649,'تحليل التكلفة والسعر'!$B$2:$B$700,0)),0))</f>
        <v/>
      </c>
    </row>
    <row r="4650" customFormat="false" ht="15" hidden="false" customHeight="false" outlineLevel="0" collapsed="false">
      <c r="A4650" s="103"/>
      <c r="B4650" s="104"/>
      <c r="C4650" s="104"/>
      <c r="E4650" s="107" t="str">
        <f aca="false">IF($C4650="","",IFERROR(INDEX(المنيو!$C$2:$C$500,MATCH($C4650,المنيو!$B$2:$B$500,0)),0))</f>
        <v/>
      </c>
      <c r="F4650" s="107" t="str">
        <f aca="false">IF($C4650="","",$D4650*$E4650)</f>
        <v/>
      </c>
      <c r="G4650" s="107" t="str">
        <f aca="false">IF($C4650="","",$D4650*IFERROR(INDEX('تحليل التكلفة والسعر'!$C$2:$C$700,MATCH($C4650,'تحليل التكلفة والسعر'!$B$2:$B$700,0)),0))</f>
        <v/>
      </c>
    </row>
    <row r="4651" customFormat="false" ht="15" hidden="false" customHeight="false" outlineLevel="0" collapsed="false">
      <c r="A4651" s="103"/>
      <c r="B4651" s="104"/>
      <c r="C4651" s="104"/>
      <c r="E4651" s="107" t="str">
        <f aca="false">IF($C4651="","",IFERROR(INDEX(المنيو!$C$2:$C$500,MATCH($C4651,المنيو!$B$2:$B$500,0)),0))</f>
        <v/>
      </c>
      <c r="F4651" s="107" t="str">
        <f aca="false">IF($C4651="","",$D4651*$E4651)</f>
        <v/>
      </c>
      <c r="G4651" s="107" t="str">
        <f aca="false">IF($C4651="","",$D4651*IFERROR(INDEX('تحليل التكلفة والسعر'!$C$2:$C$700,MATCH($C4651,'تحليل التكلفة والسعر'!$B$2:$B$700,0)),0))</f>
        <v/>
      </c>
    </row>
    <row r="4652" customFormat="false" ht="15" hidden="false" customHeight="false" outlineLevel="0" collapsed="false">
      <c r="A4652" s="103"/>
      <c r="B4652" s="104"/>
      <c r="C4652" s="104"/>
      <c r="E4652" s="107" t="str">
        <f aca="false">IF($C4652="","",IFERROR(INDEX(المنيو!$C$2:$C$500,MATCH($C4652,المنيو!$B$2:$B$500,0)),0))</f>
        <v/>
      </c>
      <c r="F4652" s="107" t="str">
        <f aca="false">IF($C4652="","",$D4652*$E4652)</f>
        <v/>
      </c>
      <c r="G4652" s="107" t="str">
        <f aca="false">IF($C4652="","",$D4652*IFERROR(INDEX('تحليل التكلفة والسعر'!$C$2:$C$700,MATCH($C4652,'تحليل التكلفة والسعر'!$B$2:$B$700,0)),0))</f>
        <v/>
      </c>
    </row>
    <row r="4653" customFormat="false" ht="15" hidden="false" customHeight="false" outlineLevel="0" collapsed="false">
      <c r="A4653" s="103"/>
      <c r="B4653" s="104"/>
      <c r="C4653" s="104"/>
      <c r="E4653" s="107" t="str">
        <f aca="false">IF($C4653="","",IFERROR(INDEX(المنيو!$C$2:$C$500,MATCH($C4653,المنيو!$B$2:$B$500,0)),0))</f>
        <v/>
      </c>
      <c r="F4653" s="107" t="str">
        <f aca="false">IF($C4653="","",$D4653*$E4653)</f>
        <v/>
      </c>
      <c r="G4653" s="107" t="str">
        <f aca="false">IF($C4653="","",$D4653*IFERROR(INDEX('تحليل التكلفة والسعر'!$C$2:$C$700,MATCH($C4653,'تحليل التكلفة والسعر'!$B$2:$B$700,0)),0))</f>
        <v/>
      </c>
    </row>
    <row r="4654" customFormat="false" ht="15" hidden="false" customHeight="false" outlineLevel="0" collapsed="false">
      <c r="A4654" s="103"/>
      <c r="B4654" s="104"/>
      <c r="C4654" s="104"/>
      <c r="E4654" s="107" t="str">
        <f aca="false">IF($C4654="","",IFERROR(INDEX(المنيو!$C$2:$C$500,MATCH($C4654,المنيو!$B$2:$B$500,0)),0))</f>
        <v/>
      </c>
      <c r="F4654" s="107" t="str">
        <f aca="false">IF($C4654="","",$D4654*$E4654)</f>
        <v/>
      </c>
      <c r="G4654" s="107" t="str">
        <f aca="false">IF($C4654="","",$D4654*IFERROR(INDEX('تحليل التكلفة والسعر'!$C$2:$C$700,MATCH($C4654,'تحليل التكلفة والسعر'!$B$2:$B$700,0)),0))</f>
        <v/>
      </c>
    </row>
    <row r="4655" customFormat="false" ht="15" hidden="false" customHeight="false" outlineLevel="0" collapsed="false">
      <c r="A4655" s="103"/>
      <c r="B4655" s="104"/>
      <c r="C4655" s="104"/>
      <c r="E4655" s="107" t="str">
        <f aca="false">IF($C4655="","",IFERROR(INDEX(المنيو!$C$2:$C$500,MATCH($C4655,المنيو!$B$2:$B$500,0)),0))</f>
        <v/>
      </c>
      <c r="F4655" s="107" t="str">
        <f aca="false">IF($C4655="","",$D4655*$E4655)</f>
        <v/>
      </c>
      <c r="G4655" s="107" t="str">
        <f aca="false">IF($C4655="","",$D4655*IFERROR(INDEX('تحليل التكلفة والسعر'!$C$2:$C$700,MATCH($C4655,'تحليل التكلفة والسعر'!$B$2:$B$700,0)),0))</f>
        <v/>
      </c>
    </row>
    <row r="4656" customFormat="false" ht="15" hidden="false" customHeight="false" outlineLevel="0" collapsed="false">
      <c r="A4656" s="103"/>
      <c r="B4656" s="104"/>
      <c r="C4656" s="104"/>
      <c r="E4656" s="107" t="str">
        <f aca="false">IF($C4656="","",IFERROR(INDEX(المنيو!$C$2:$C$500,MATCH($C4656,المنيو!$B$2:$B$500,0)),0))</f>
        <v/>
      </c>
      <c r="F4656" s="107" t="str">
        <f aca="false">IF($C4656="","",$D4656*$E4656)</f>
        <v/>
      </c>
      <c r="G4656" s="107" t="str">
        <f aca="false">IF($C4656="","",$D4656*IFERROR(INDEX('تحليل التكلفة والسعر'!$C$2:$C$700,MATCH($C4656,'تحليل التكلفة والسعر'!$B$2:$B$700,0)),0))</f>
        <v/>
      </c>
    </row>
    <row r="4657" customFormat="false" ht="15" hidden="false" customHeight="false" outlineLevel="0" collapsed="false">
      <c r="A4657" s="103"/>
      <c r="B4657" s="104"/>
      <c r="C4657" s="104"/>
      <c r="E4657" s="107" t="str">
        <f aca="false">IF($C4657="","",IFERROR(INDEX(المنيو!$C$2:$C$500,MATCH($C4657,المنيو!$B$2:$B$500,0)),0))</f>
        <v/>
      </c>
      <c r="F4657" s="107" t="str">
        <f aca="false">IF($C4657="","",$D4657*$E4657)</f>
        <v/>
      </c>
      <c r="G4657" s="107" t="str">
        <f aca="false">IF($C4657="","",$D4657*IFERROR(INDEX('تحليل التكلفة والسعر'!$C$2:$C$700,MATCH($C4657,'تحليل التكلفة والسعر'!$B$2:$B$700,0)),0))</f>
        <v/>
      </c>
    </row>
    <row r="4658" customFormat="false" ht="15" hidden="false" customHeight="false" outlineLevel="0" collapsed="false">
      <c r="A4658" s="103"/>
      <c r="B4658" s="104"/>
      <c r="C4658" s="104"/>
      <c r="E4658" s="107" t="str">
        <f aca="false">IF($C4658="","",IFERROR(INDEX(المنيو!$C$2:$C$500,MATCH($C4658,المنيو!$B$2:$B$500,0)),0))</f>
        <v/>
      </c>
      <c r="F4658" s="107" t="str">
        <f aca="false">IF($C4658="","",$D4658*$E4658)</f>
        <v/>
      </c>
      <c r="G4658" s="107" t="str">
        <f aca="false">IF($C4658="","",$D4658*IFERROR(INDEX('تحليل التكلفة والسعر'!$C$2:$C$700,MATCH($C4658,'تحليل التكلفة والسعر'!$B$2:$B$700,0)),0))</f>
        <v/>
      </c>
    </row>
    <row r="4659" customFormat="false" ht="15" hidden="false" customHeight="false" outlineLevel="0" collapsed="false">
      <c r="A4659" s="103"/>
      <c r="B4659" s="104"/>
      <c r="C4659" s="104"/>
      <c r="E4659" s="107" t="str">
        <f aca="false">IF($C4659="","",IFERROR(INDEX(المنيو!$C$2:$C$500,MATCH($C4659,المنيو!$B$2:$B$500,0)),0))</f>
        <v/>
      </c>
      <c r="F4659" s="107" t="str">
        <f aca="false">IF($C4659="","",$D4659*$E4659)</f>
        <v/>
      </c>
      <c r="G4659" s="107" t="str">
        <f aca="false">IF($C4659="","",$D4659*IFERROR(INDEX('تحليل التكلفة والسعر'!$C$2:$C$700,MATCH($C4659,'تحليل التكلفة والسعر'!$B$2:$B$700,0)),0))</f>
        <v/>
      </c>
    </row>
    <row r="4660" customFormat="false" ht="15" hidden="false" customHeight="false" outlineLevel="0" collapsed="false">
      <c r="A4660" s="103"/>
      <c r="B4660" s="104"/>
      <c r="C4660" s="104"/>
      <c r="E4660" s="107" t="str">
        <f aca="false">IF($C4660="","",IFERROR(INDEX(المنيو!$C$2:$C$500,MATCH($C4660,المنيو!$B$2:$B$500,0)),0))</f>
        <v/>
      </c>
      <c r="F4660" s="107" t="str">
        <f aca="false">IF($C4660="","",$D4660*$E4660)</f>
        <v/>
      </c>
      <c r="G4660" s="107" t="str">
        <f aca="false">IF($C4660="","",$D4660*IFERROR(INDEX('تحليل التكلفة والسعر'!$C$2:$C$700,MATCH($C4660,'تحليل التكلفة والسعر'!$B$2:$B$700,0)),0))</f>
        <v/>
      </c>
    </row>
    <row r="4661" customFormat="false" ht="15" hidden="false" customHeight="false" outlineLevel="0" collapsed="false">
      <c r="A4661" s="103"/>
      <c r="B4661" s="104"/>
      <c r="C4661" s="104"/>
      <c r="E4661" s="107" t="str">
        <f aca="false">IF($C4661="","",IFERROR(INDEX(المنيو!$C$2:$C$500,MATCH($C4661,المنيو!$B$2:$B$500,0)),0))</f>
        <v/>
      </c>
      <c r="F4661" s="107" t="str">
        <f aca="false">IF($C4661="","",$D4661*$E4661)</f>
        <v/>
      </c>
      <c r="G4661" s="107" t="str">
        <f aca="false">IF($C4661="","",$D4661*IFERROR(INDEX('تحليل التكلفة والسعر'!$C$2:$C$700,MATCH($C4661,'تحليل التكلفة والسعر'!$B$2:$B$700,0)),0))</f>
        <v/>
      </c>
    </row>
    <row r="4662" customFormat="false" ht="15" hidden="false" customHeight="false" outlineLevel="0" collapsed="false">
      <c r="A4662" s="103"/>
      <c r="B4662" s="104"/>
      <c r="C4662" s="104"/>
      <c r="E4662" s="107" t="str">
        <f aca="false">IF($C4662="","",IFERROR(INDEX(المنيو!$C$2:$C$500,MATCH($C4662,المنيو!$B$2:$B$500,0)),0))</f>
        <v/>
      </c>
      <c r="F4662" s="107" t="str">
        <f aca="false">IF($C4662="","",$D4662*$E4662)</f>
        <v/>
      </c>
      <c r="G4662" s="107" t="str">
        <f aca="false">IF($C4662="","",$D4662*IFERROR(INDEX('تحليل التكلفة والسعر'!$C$2:$C$700,MATCH($C4662,'تحليل التكلفة والسعر'!$B$2:$B$700,0)),0))</f>
        <v/>
      </c>
    </row>
    <row r="4663" customFormat="false" ht="15" hidden="false" customHeight="false" outlineLevel="0" collapsed="false">
      <c r="A4663" s="103"/>
      <c r="B4663" s="104"/>
      <c r="C4663" s="104"/>
      <c r="E4663" s="107" t="str">
        <f aca="false">IF($C4663="","",IFERROR(INDEX(المنيو!$C$2:$C$500,MATCH($C4663,المنيو!$B$2:$B$500,0)),0))</f>
        <v/>
      </c>
      <c r="F4663" s="107" t="str">
        <f aca="false">IF($C4663="","",$D4663*$E4663)</f>
        <v/>
      </c>
      <c r="G4663" s="107" t="str">
        <f aca="false">IF($C4663="","",$D4663*IFERROR(INDEX('تحليل التكلفة والسعر'!$C$2:$C$700,MATCH($C4663,'تحليل التكلفة والسعر'!$B$2:$B$700,0)),0))</f>
        <v/>
      </c>
    </row>
    <row r="4664" customFormat="false" ht="15" hidden="false" customHeight="false" outlineLevel="0" collapsed="false">
      <c r="A4664" s="103"/>
      <c r="B4664" s="104"/>
      <c r="C4664" s="104"/>
      <c r="E4664" s="107" t="str">
        <f aca="false">IF($C4664="","",IFERROR(INDEX(المنيو!$C$2:$C$500,MATCH($C4664,المنيو!$B$2:$B$500,0)),0))</f>
        <v/>
      </c>
      <c r="F4664" s="107" t="str">
        <f aca="false">IF($C4664="","",$D4664*$E4664)</f>
        <v/>
      </c>
      <c r="G4664" s="107" t="str">
        <f aca="false">IF($C4664="","",$D4664*IFERROR(INDEX('تحليل التكلفة والسعر'!$C$2:$C$700,MATCH($C4664,'تحليل التكلفة والسعر'!$B$2:$B$700,0)),0))</f>
        <v/>
      </c>
    </row>
    <row r="4665" customFormat="false" ht="15" hidden="false" customHeight="false" outlineLevel="0" collapsed="false">
      <c r="A4665" s="103"/>
      <c r="B4665" s="104"/>
      <c r="C4665" s="104"/>
      <c r="E4665" s="107" t="str">
        <f aca="false">IF($C4665="","",IFERROR(INDEX(المنيو!$C$2:$C$500,MATCH($C4665,المنيو!$B$2:$B$500,0)),0))</f>
        <v/>
      </c>
      <c r="F4665" s="107" t="str">
        <f aca="false">IF($C4665="","",$D4665*$E4665)</f>
        <v/>
      </c>
      <c r="G4665" s="107" t="str">
        <f aca="false">IF($C4665="","",$D4665*IFERROR(INDEX('تحليل التكلفة والسعر'!$C$2:$C$700,MATCH($C4665,'تحليل التكلفة والسعر'!$B$2:$B$700,0)),0))</f>
        <v/>
      </c>
    </row>
    <row r="4666" customFormat="false" ht="15" hidden="false" customHeight="false" outlineLevel="0" collapsed="false">
      <c r="A4666" s="103"/>
      <c r="B4666" s="104"/>
      <c r="C4666" s="104"/>
      <c r="E4666" s="107" t="str">
        <f aca="false">IF($C4666="","",IFERROR(INDEX(المنيو!$C$2:$C$500,MATCH($C4666,المنيو!$B$2:$B$500,0)),0))</f>
        <v/>
      </c>
      <c r="F4666" s="107" t="str">
        <f aca="false">IF($C4666="","",$D4666*$E4666)</f>
        <v/>
      </c>
      <c r="G4666" s="107" t="str">
        <f aca="false">IF($C4666="","",$D4666*IFERROR(INDEX('تحليل التكلفة والسعر'!$C$2:$C$700,MATCH($C4666,'تحليل التكلفة والسعر'!$B$2:$B$700,0)),0))</f>
        <v/>
      </c>
    </row>
    <row r="4667" customFormat="false" ht="15" hidden="false" customHeight="false" outlineLevel="0" collapsed="false">
      <c r="A4667" s="103"/>
      <c r="B4667" s="104"/>
      <c r="C4667" s="104"/>
      <c r="E4667" s="107" t="str">
        <f aca="false">IF($C4667="","",IFERROR(INDEX(المنيو!$C$2:$C$500,MATCH($C4667,المنيو!$B$2:$B$500,0)),0))</f>
        <v/>
      </c>
      <c r="F4667" s="107" t="str">
        <f aca="false">IF($C4667="","",$D4667*$E4667)</f>
        <v/>
      </c>
      <c r="G4667" s="107" t="str">
        <f aca="false">IF($C4667="","",$D4667*IFERROR(INDEX('تحليل التكلفة والسعر'!$C$2:$C$700,MATCH($C4667,'تحليل التكلفة والسعر'!$B$2:$B$700,0)),0))</f>
        <v/>
      </c>
    </row>
    <row r="4668" customFormat="false" ht="15" hidden="false" customHeight="false" outlineLevel="0" collapsed="false">
      <c r="A4668" s="103"/>
      <c r="B4668" s="104"/>
      <c r="C4668" s="104"/>
      <c r="E4668" s="107" t="str">
        <f aca="false">IF($C4668="","",IFERROR(INDEX(المنيو!$C$2:$C$500,MATCH($C4668,المنيو!$B$2:$B$500,0)),0))</f>
        <v/>
      </c>
      <c r="F4668" s="107" t="str">
        <f aca="false">IF($C4668="","",$D4668*$E4668)</f>
        <v/>
      </c>
      <c r="G4668" s="107" t="str">
        <f aca="false">IF($C4668="","",$D4668*IFERROR(INDEX('تحليل التكلفة والسعر'!$C$2:$C$700,MATCH($C4668,'تحليل التكلفة والسعر'!$B$2:$B$700,0)),0))</f>
        <v/>
      </c>
    </row>
    <row r="4669" customFormat="false" ht="15" hidden="false" customHeight="false" outlineLevel="0" collapsed="false">
      <c r="A4669" s="103"/>
      <c r="B4669" s="104"/>
      <c r="C4669" s="104"/>
      <c r="E4669" s="107" t="str">
        <f aca="false">IF($C4669="","",IFERROR(INDEX(المنيو!$C$2:$C$500,MATCH($C4669,المنيو!$B$2:$B$500,0)),0))</f>
        <v/>
      </c>
      <c r="F4669" s="107" t="str">
        <f aca="false">IF($C4669="","",$D4669*$E4669)</f>
        <v/>
      </c>
      <c r="G4669" s="107" t="str">
        <f aca="false">IF($C4669="","",$D4669*IFERROR(INDEX('تحليل التكلفة والسعر'!$C$2:$C$700,MATCH($C4669,'تحليل التكلفة والسعر'!$B$2:$B$700,0)),0))</f>
        <v/>
      </c>
    </row>
    <row r="4670" customFormat="false" ht="15" hidden="false" customHeight="false" outlineLevel="0" collapsed="false">
      <c r="A4670" s="103"/>
      <c r="B4670" s="104"/>
      <c r="C4670" s="104"/>
      <c r="E4670" s="107" t="str">
        <f aca="false">IF($C4670="","",IFERROR(INDEX(المنيو!$C$2:$C$500,MATCH($C4670,المنيو!$B$2:$B$500,0)),0))</f>
        <v/>
      </c>
      <c r="F4670" s="107" t="str">
        <f aca="false">IF($C4670="","",$D4670*$E4670)</f>
        <v/>
      </c>
      <c r="G4670" s="107" t="str">
        <f aca="false">IF($C4670="","",$D4670*IFERROR(INDEX('تحليل التكلفة والسعر'!$C$2:$C$700,MATCH($C4670,'تحليل التكلفة والسعر'!$B$2:$B$700,0)),0))</f>
        <v/>
      </c>
    </row>
    <row r="4671" customFormat="false" ht="15" hidden="false" customHeight="false" outlineLevel="0" collapsed="false">
      <c r="A4671" s="103"/>
      <c r="B4671" s="104"/>
      <c r="C4671" s="104"/>
      <c r="E4671" s="107" t="str">
        <f aca="false">IF($C4671="","",IFERROR(INDEX(المنيو!$C$2:$C$500,MATCH($C4671,المنيو!$B$2:$B$500,0)),0))</f>
        <v/>
      </c>
      <c r="F4671" s="107" t="str">
        <f aca="false">IF($C4671="","",$D4671*$E4671)</f>
        <v/>
      </c>
      <c r="G4671" s="107" t="str">
        <f aca="false">IF($C4671="","",$D4671*IFERROR(INDEX('تحليل التكلفة والسعر'!$C$2:$C$700,MATCH($C4671,'تحليل التكلفة والسعر'!$B$2:$B$700,0)),0))</f>
        <v/>
      </c>
    </row>
    <row r="4672" customFormat="false" ht="15" hidden="false" customHeight="false" outlineLevel="0" collapsed="false">
      <c r="A4672" s="103"/>
      <c r="B4672" s="104"/>
      <c r="C4672" s="104"/>
      <c r="E4672" s="107" t="str">
        <f aca="false">IF($C4672="","",IFERROR(INDEX(المنيو!$C$2:$C$500,MATCH($C4672,المنيو!$B$2:$B$500,0)),0))</f>
        <v/>
      </c>
      <c r="F4672" s="107" t="str">
        <f aca="false">IF($C4672="","",$D4672*$E4672)</f>
        <v/>
      </c>
      <c r="G4672" s="107" t="str">
        <f aca="false">IF($C4672="","",$D4672*IFERROR(INDEX('تحليل التكلفة والسعر'!$C$2:$C$700,MATCH($C4672,'تحليل التكلفة والسعر'!$B$2:$B$700,0)),0))</f>
        <v/>
      </c>
    </row>
    <row r="4673" customFormat="false" ht="15" hidden="false" customHeight="false" outlineLevel="0" collapsed="false">
      <c r="A4673" s="103"/>
      <c r="B4673" s="104"/>
      <c r="C4673" s="104"/>
      <c r="E4673" s="107" t="str">
        <f aca="false">IF($C4673="","",IFERROR(INDEX(المنيو!$C$2:$C$500,MATCH($C4673,المنيو!$B$2:$B$500,0)),0))</f>
        <v/>
      </c>
      <c r="F4673" s="107" t="str">
        <f aca="false">IF($C4673="","",$D4673*$E4673)</f>
        <v/>
      </c>
      <c r="G4673" s="107" t="str">
        <f aca="false">IF($C4673="","",$D4673*IFERROR(INDEX('تحليل التكلفة والسعر'!$C$2:$C$700,MATCH($C4673,'تحليل التكلفة والسعر'!$B$2:$B$700,0)),0))</f>
        <v/>
      </c>
    </row>
    <row r="4674" customFormat="false" ht="15" hidden="false" customHeight="false" outlineLevel="0" collapsed="false">
      <c r="A4674" s="103"/>
      <c r="B4674" s="104"/>
      <c r="C4674" s="104"/>
      <c r="E4674" s="107" t="str">
        <f aca="false">IF($C4674="","",IFERROR(INDEX(المنيو!$C$2:$C$500,MATCH($C4674,المنيو!$B$2:$B$500,0)),0))</f>
        <v/>
      </c>
      <c r="F4674" s="107" t="str">
        <f aca="false">IF($C4674="","",$D4674*$E4674)</f>
        <v/>
      </c>
      <c r="G4674" s="107" t="str">
        <f aca="false">IF($C4674="","",$D4674*IFERROR(INDEX('تحليل التكلفة والسعر'!$C$2:$C$700,MATCH($C4674,'تحليل التكلفة والسعر'!$B$2:$B$700,0)),0))</f>
        <v/>
      </c>
    </row>
    <row r="4675" customFormat="false" ht="15" hidden="false" customHeight="false" outlineLevel="0" collapsed="false">
      <c r="A4675" s="103"/>
      <c r="B4675" s="104"/>
      <c r="C4675" s="104"/>
      <c r="E4675" s="107" t="str">
        <f aca="false">IF($C4675="","",IFERROR(INDEX(المنيو!$C$2:$C$500,MATCH($C4675,المنيو!$B$2:$B$500,0)),0))</f>
        <v/>
      </c>
      <c r="F4675" s="107" t="str">
        <f aca="false">IF($C4675="","",$D4675*$E4675)</f>
        <v/>
      </c>
      <c r="G4675" s="107" t="str">
        <f aca="false">IF($C4675="","",$D4675*IFERROR(INDEX('تحليل التكلفة والسعر'!$C$2:$C$700,MATCH($C4675,'تحليل التكلفة والسعر'!$B$2:$B$700,0)),0))</f>
        <v/>
      </c>
    </row>
    <row r="4676" customFormat="false" ht="15" hidden="false" customHeight="false" outlineLevel="0" collapsed="false">
      <c r="A4676" s="103"/>
      <c r="B4676" s="104"/>
      <c r="C4676" s="104"/>
      <c r="E4676" s="107" t="str">
        <f aca="false">IF($C4676="","",IFERROR(INDEX(المنيو!$C$2:$C$500,MATCH($C4676,المنيو!$B$2:$B$500,0)),0))</f>
        <v/>
      </c>
      <c r="F4676" s="107" t="str">
        <f aca="false">IF($C4676="","",$D4676*$E4676)</f>
        <v/>
      </c>
      <c r="G4676" s="107" t="str">
        <f aca="false">IF($C4676="","",$D4676*IFERROR(INDEX('تحليل التكلفة والسعر'!$C$2:$C$700,MATCH($C4676,'تحليل التكلفة والسعر'!$B$2:$B$700,0)),0))</f>
        <v/>
      </c>
    </row>
    <row r="4677" customFormat="false" ht="15" hidden="false" customHeight="false" outlineLevel="0" collapsed="false">
      <c r="A4677" s="103"/>
      <c r="B4677" s="104"/>
      <c r="C4677" s="104"/>
      <c r="E4677" s="107" t="str">
        <f aca="false">IF($C4677="","",IFERROR(INDEX(المنيو!$C$2:$C$500,MATCH($C4677,المنيو!$B$2:$B$500,0)),0))</f>
        <v/>
      </c>
      <c r="F4677" s="107" t="str">
        <f aca="false">IF($C4677="","",$D4677*$E4677)</f>
        <v/>
      </c>
      <c r="G4677" s="107" t="str">
        <f aca="false">IF($C4677="","",$D4677*IFERROR(INDEX('تحليل التكلفة والسعر'!$C$2:$C$700,MATCH($C4677,'تحليل التكلفة والسعر'!$B$2:$B$700,0)),0))</f>
        <v/>
      </c>
    </row>
    <row r="4678" customFormat="false" ht="15" hidden="false" customHeight="false" outlineLevel="0" collapsed="false">
      <c r="A4678" s="103"/>
      <c r="B4678" s="104"/>
      <c r="C4678" s="104"/>
      <c r="E4678" s="107" t="str">
        <f aca="false">IF($C4678="","",IFERROR(INDEX(المنيو!$C$2:$C$500,MATCH($C4678,المنيو!$B$2:$B$500,0)),0))</f>
        <v/>
      </c>
      <c r="F4678" s="107" t="str">
        <f aca="false">IF($C4678="","",$D4678*$E4678)</f>
        <v/>
      </c>
      <c r="G4678" s="107" t="str">
        <f aca="false">IF($C4678="","",$D4678*IFERROR(INDEX('تحليل التكلفة والسعر'!$C$2:$C$700,MATCH($C4678,'تحليل التكلفة والسعر'!$B$2:$B$700,0)),0))</f>
        <v/>
      </c>
    </row>
    <row r="4679" customFormat="false" ht="15" hidden="false" customHeight="false" outlineLevel="0" collapsed="false">
      <c r="A4679" s="103"/>
      <c r="B4679" s="104"/>
      <c r="C4679" s="104"/>
      <c r="E4679" s="107" t="str">
        <f aca="false">IF($C4679="","",IFERROR(INDEX(المنيو!$C$2:$C$500,MATCH($C4679,المنيو!$B$2:$B$500,0)),0))</f>
        <v/>
      </c>
      <c r="F4679" s="107" t="str">
        <f aca="false">IF($C4679="","",$D4679*$E4679)</f>
        <v/>
      </c>
      <c r="G4679" s="107" t="str">
        <f aca="false">IF($C4679="","",$D4679*IFERROR(INDEX('تحليل التكلفة والسعر'!$C$2:$C$700,MATCH($C4679,'تحليل التكلفة والسعر'!$B$2:$B$700,0)),0))</f>
        <v/>
      </c>
    </row>
    <row r="4680" customFormat="false" ht="15" hidden="false" customHeight="false" outlineLevel="0" collapsed="false">
      <c r="A4680" s="103"/>
      <c r="B4680" s="104"/>
      <c r="C4680" s="104"/>
      <c r="E4680" s="107" t="str">
        <f aca="false">IF($C4680="","",IFERROR(INDEX(المنيو!$C$2:$C$500,MATCH($C4680,المنيو!$B$2:$B$500,0)),0))</f>
        <v/>
      </c>
      <c r="F4680" s="107" t="str">
        <f aca="false">IF($C4680="","",$D4680*$E4680)</f>
        <v/>
      </c>
      <c r="G4680" s="107" t="str">
        <f aca="false">IF($C4680="","",$D4680*IFERROR(INDEX('تحليل التكلفة والسعر'!$C$2:$C$700,MATCH($C4680,'تحليل التكلفة والسعر'!$B$2:$B$700,0)),0))</f>
        <v/>
      </c>
    </row>
    <row r="4681" customFormat="false" ht="15" hidden="false" customHeight="false" outlineLevel="0" collapsed="false">
      <c r="A4681" s="103"/>
      <c r="B4681" s="104"/>
      <c r="C4681" s="104"/>
      <c r="E4681" s="107" t="str">
        <f aca="false">IF($C4681="","",IFERROR(INDEX(المنيو!$C$2:$C$500,MATCH($C4681,المنيو!$B$2:$B$500,0)),0))</f>
        <v/>
      </c>
      <c r="F4681" s="107" t="str">
        <f aca="false">IF($C4681="","",$D4681*$E4681)</f>
        <v/>
      </c>
      <c r="G4681" s="107" t="str">
        <f aca="false">IF($C4681="","",$D4681*IFERROR(INDEX('تحليل التكلفة والسعر'!$C$2:$C$700,MATCH($C4681,'تحليل التكلفة والسعر'!$B$2:$B$700,0)),0))</f>
        <v/>
      </c>
    </row>
    <row r="4682" customFormat="false" ht="15" hidden="false" customHeight="false" outlineLevel="0" collapsed="false">
      <c r="A4682" s="103"/>
      <c r="B4682" s="104"/>
      <c r="C4682" s="104"/>
      <c r="E4682" s="107" t="str">
        <f aca="false">IF($C4682="","",IFERROR(INDEX(المنيو!$C$2:$C$500,MATCH($C4682,المنيو!$B$2:$B$500,0)),0))</f>
        <v/>
      </c>
      <c r="F4682" s="107" t="str">
        <f aca="false">IF($C4682="","",$D4682*$E4682)</f>
        <v/>
      </c>
      <c r="G4682" s="107" t="str">
        <f aca="false">IF($C4682="","",$D4682*IFERROR(INDEX('تحليل التكلفة والسعر'!$C$2:$C$700,MATCH($C4682,'تحليل التكلفة والسعر'!$B$2:$B$700,0)),0))</f>
        <v/>
      </c>
    </row>
    <row r="4683" customFormat="false" ht="15" hidden="false" customHeight="false" outlineLevel="0" collapsed="false">
      <c r="A4683" s="103"/>
      <c r="B4683" s="104"/>
      <c r="C4683" s="104"/>
      <c r="E4683" s="107" t="str">
        <f aca="false">IF($C4683="","",IFERROR(INDEX(المنيو!$C$2:$C$500,MATCH($C4683,المنيو!$B$2:$B$500,0)),0))</f>
        <v/>
      </c>
      <c r="F4683" s="107" t="str">
        <f aca="false">IF($C4683="","",$D4683*$E4683)</f>
        <v/>
      </c>
      <c r="G4683" s="107" t="str">
        <f aca="false">IF($C4683="","",$D4683*IFERROR(INDEX('تحليل التكلفة والسعر'!$C$2:$C$700,MATCH($C4683,'تحليل التكلفة والسعر'!$B$2:$B$700,0)),0))</f>
        <v/>
      </c>
    </row>
    <row r="4684" customFormat="false" ht="15" hidden="false" customHeight="false" outlineLevel="0" collapsed="false">
      <c r="A4684" s="103"/>
      <c r="B4684" s="104"/>
      <c r="C4684" s="104"/>
      <c r="E4684" s="107" t="str">
        <f aca="false">IF($C4684="","",IFERROR(INDEX(المنيو!$C$2:$C$500,MATCH($C4684,المنيو!$B$2:$B$500,0)),0))</f>
        <v/>
      </c>
      <c r="F4684" s="107" t="str">
        <f aca="false">IF($C4684="","",$D4684*$E4684)</f>
        <v/>
      </c>
      <c r="G4684" s="107" t="str">
        <f aca="false">IF($C4684="","",$D4684*IFERROR(INDEX('تحليل التكلفة والسعر'!$C$2:$C$700,MATCH($C4684,'تحليل التكلفة والسعر'!$B$2:$B$700,0)),0))</f>
        <v/>
      </c>
    </row>
    <row r="4685" customFormat="false" ht="15" hidden="false" customHeight="false" outlineLevel="0" collapsed="false">
      <c r="A4685" s="103"/>
      <c r="B4685" s="104"/>
      <c r="C4685" s="104"/>
      <c r="E4685" s="107" t="str">
        <f aca="false">IF($C4685="","",IFERROR(INDEX(المنيو!$C$2:$C$500,MATCH($C4685,المنيو!$B$2:$B$500,0)),0))</f>
        <v/>
      </c>
      <c r="F4685" s="107" t="str">
        <f aca="false">IF($C4685="","",$D4685*$E4685)</f>
        <v/>
      </c>
      <c r="G4685" s="107" t="str">
        <f aca="false">IF($C4685="","",$D4685*IFERROR(INDEX('تحليل التكلفة والسعر'!$C$2:$C$700,MATCH($C4685,'تحليل التكلفة والسعر'!$B$2:$B$700,0)),0))</f>
        <v/>
      </c>
    </row>
    <row r="4686" customFormat="false" ht="15" hidden="false" customHeight="false" outlineLevel="0" collapsed="false">
      <c r="A4686" s="103"/>
      <c r="B4686" s="104"/>
      <c r="C4686" s="104"/>
      <c r="E4686" s="107" t="str">
        <f aca="false">IF($C4686="","",IFERROR(INDEX(المنيو!$C$2:$C$500,MATCH($C4686,المنيو!$B$2:$B$500,0)),0))</f>
        <v/>
      </c>
      <c r="F4686" s="107" t="str">
        <f aca="false">IF($C4686="","",$D4686*$E4686)</f>
        <v/>
      </c>
      <c r="G4686" s="107" t="str">
        <f aca="false">IF($C4686="","",$D4686*IFERROR(INDEX('تحليل التكلفة والسعر'!$C$2:$C$700,MATCH($C4686,'تحليل التكلفة والسعر'!$B$2:$B$700,0)),0))</f>
        <v/>
      </c>
    </row>
    <row r="4687" customFormat="false" ht="15" hidden="false" customHeight="false" outlineLevel="0" collapsed="false">
      <c r="A4687" s="103"/>
      <c r="B4687" s="104"/>
      <c r="C4687" s="104"/>
      <c r="E4687" s="107" t="str">
        <f aca="false">IF($C4687="","",IFERROR(INDEX(المنيو!$C$2:$C$500,MATCH($C4687,المنيو!$B$2:$B$500,0)),0))</f>
        <v/>
      </c>
      <c r="F4687" s="107" t="str">
        <f aca="false">IF($C4687="","",$D4687*$E4687)</f>
        <v/>
      </c>
      <c r="G4687" s="107" t="str">
        <f aca="false">IF($C4687="","",$D4687*IFERROR(INDEX('تحليل التكلفة والسعر'!$C$2:$C$700,MATCH($C4687,'تحليل التكلفة والسعر'!$B$2:$B$700,0)),0))</f>
        <v/>
      </c>
    </row>
    <row r="4688" customFormat="false" ht="15" hidden="false" customHeight="false" outlineLevel="0" collapsed="false">
      <c r="A4688" s="103"/>
      <c r="B4688" s="104"/>
      <c r="C4688" s="104"/>
      <c r="E4688" s="107" t="str">
        <f aca="false">IF($C4688="","",IFERROR(INDEX(المنيو!$C$2:$C$500,MATCH($C4688,المنيو!$B$2:$B$500,0)),0))</f>
        <v/>
      </c>
      <c r="F4688" s="107" t="str">
        <f aca="false">IF($C4688="","",$D4688*$E4688)</f>
        <v/>
      </c>
      <c r="G4688" s="107" t="str">
        <f aca="false">IF($C4688="","",$D4688*IFERROR(INDEX('تحليل التكلفة والسعر'!$C$2:$C$700,MATCH($C4688,'تحليل التكلفة والسعر'!$B$2:$B$700,0)),0))</f>
        <v/>
      </c>
    </row>
    <row r="4689" customFormat="false" ht="15" hidden="false" customHeight="false" outlineLevel="0" collapsed="false">
      <c r="A4689" s="103"/>
      <c r="B4689" s="104"/>
      <c r="C4689" s="104"/>
      <c r="E4689" s="107" t="str">
        <f aca="false">IF($C4689="","",IFERROR(INDEX(المنيو!$C$2:$C$500,MATCH($C4689,المنيو!$B$2:$B$500,0)),0))</f>
        <v/>
      </c>
      <c r="F4689" s="107" t="str">
        <f aca="false">IF($C4689="","",$D4689*$E4689)</f>
        <v/>
      </c>
      <c r="G4689" s="107" t="str">
        <f aca="false">IF($C4689="","",$D4689*IFERROR(INDEX('تحليل التكلفة والسعر'!$C$2:$C$700,MATCH($C4689,'تحليل التكلفة والسعر'!$B$2:$B$700,0)),0))</f>
        <v/>
      </c>
    </row>
    <row r="4690" customFormat="false" ht="15" hidden="false" customHeight="false" outlineLevel="0" collapsed="false">
      <c r="A4690" s="103"/>
      <c r="B4690" s="104"/>
      <c r="C4690" s="104"/>
      <c r="E4690" s="107" t="str">
        <f aca="false">IF($C4690="","",IFERROR(INDEX(المنيو!$C$2:$C$500,MATCH($C4690,المنيو!$B$2:$B$500,0)),0))</f>
        <v/>
      </c>
      <c r="F4690" s="107" t="str">
        <f aca="false">IF($C4690="","",$D4690*$E4690)</f>
        <v/>
      </c>
      <c r="G4690" s="107" t="str">
        <f aca="false">IF($C4690="","",$D4690*IFERROR(INDEX('تحليل التكلفة والسعر'!$C$2:$C$700,MATCH($C4690,'تحليل التكلفة والسعر'!$B$2:$B$700,0)),0))</f>
        <v/>
      </c>
    </row>
    <row r="4691" customFormat="false" ht="15" hidden="false" customHeight="false" outlineLevel="0" collapsed="false">
      <c r="A4691" s="103"/>
      <c r="B4691" s="104"/>
      <c r="C4691" s="104"/>
      <c r="E4691" s="107" t="str">
        <f aca="false">IF($C4691="","",IFERROR(INDEX(المنيو!$C$2:$C$500,MATCH($C4691,المنيو!$B$2:$B$500,0)),0))</f>
        <v/>
      </c>
      <c r="F4691" s="107" t="str">
        <f aca="false">IF($C4691="","",$D4691*$E4691)</f>
        <v/>
      </c>
      <c r="G4691" s="107" t="str">
        <f aca="false">IF($C4691="","",$D4691*IFERROR(INDEX('تحليل التكلفة والسعر'!$C$2:$C$700,MATCH($C4691,'تحليل التكلفة والسعر'!$B$2:$B$700,0)),0))</f>
        <v/>
      </c>
    </row>
    <row r="4692" customFormat="false" ht="15" hidden="false" customHeight="false" outlineLevel="0" collapsed="false">
      <c r="A4692" s="103"/>
      <c r="B4692" s="104"/>
      <c r="C4692" s="104"/>
      <c r="E4692" s="107" t="str">
        <f aca="false">IF($C4692="","",IFERROR(INDEX(المنيو!$C$2:$C$500,MATCH($C4692,المنيو!$B$2:$B$500,0)),0))</f>
        <v/>
      </c>
      <c r="F4692" s="107" t="str">
        <f aca="false">IF($C4692="","",$D4692*$E4692)</f>
        <v/>
      </c>
      <c r="G4692" s="107" t="str">
        <f aca="false">IF($C4692="","",$D4692*IFERROR(INDEX('تحليل التكلفة والسعر'!$C$2:$C$700,MATCH($C4692,'تحليل التكلفة والسعر'!$B$2:$B$700,0)),0))</f>
        <v/>
      </c>
    </row>
    <row r="4693" customFormat="false" ht="15" hidden="false" customHeight="false" outlineLevel="0" collapsed="false">
      <c r="A4693" s="103"/>
      <c r="B4693" s="104"/>
      <c r="C4693" s="104"/>
      <c r="E4693" s="107" t="str">
        <f aca="false">IF($C4693="","",IFERROR(INDEX(المنيو!$C$2:$C$500,MATCH($C4693,المنيو!$B$2:$B$500,0)),0))</f>
        <v/>
      </c>
      <c r="F4693" s="107" t="str">
        <f aca="false">IF($C4693="","",$D4693*$E4693)</f>
        <v/>
      </c>
      <c r="G4693" s="107" t="str">
        <f aca="false">IF($C4693="","",$D4693*IFERROR(INDEX('تحليل التكلفة والسعر'!$C$2:$C$700,MATCH($C4693,'تحليل التكلفة والسعر'!$B$2:$B$700,0)),0))</f>
        <v/>
      </c>
    </row>
    <row r="4694" customFormat="false" ht="15" hidden="false" customHeight="false" outlineLevel="0" collapsed="false">
      <c r="A4694" s="103"/>
      <c r="B4694" s="104"/>
      <c r="C4694" s="104"/>
      <c r="E4694" s="107" t="str">
        <f aca="false">IF($C4694="","",IFERROR(INDEX(المنيو!$C$2:$C$500,MATCH($C4694,المنيو!$B$2:$B$500,0)),0))</f>
        <v/>
      </c>
      <c r="F4694" s="107" t="str">
        <f aca="false">IF($C4694="","",$D4694*$E4694)</f>
        <v/>
      </c>
      <c r="G4694" s="107" t="str">
        <f aca="false">IF($C4694="","",$D4694*IFERROR(INDEX('تحليل التكلفة والسعر'!$C$2:$C$700,MATCH($C4694,'تحليل التكلفة والسعر'!$B$2:$B$700,0)),0))</f>
        <v/>
      </c>
    </row>
    <row r="4695" customFormat="false" ht="15" hidden="false" customHeight="false" outlineLevel="0" collapsed="false">
      <c r="A4695" s="103"/>
      <c r="B4695" s="104"/>
      <c r="C4695" s="104"/>
      <c r="E4695" s="107" t="str">
        <f aca="false">IF($C4695="","",IFERROR(INDEX(المنيو!$C$2:$C$500,MATCH($C4695,المنيو!$B$2:$B$500,0)),0))</f>
        <v/>
      </c>
      <c r="F4695" s="107" t="str">
        <f aca="false">IF($C4695="","",$D4695*$E4695)</f>
        <v/>
      </c>
      <c r="G4695" s="107" t="str">
        <f aca="false">IF($C4695="","",$D4695*IFERROR(INDEX('تحليل التكلفة والسعر'!$C$2:$C$700,MATCH($C4695,'تحليل التكلفة والسعر'!$B$2:$B$700,0)),0))</f>
        <v/>
      </c>
    </row>
    <row r="4696" customFormat="false" ht="15" hidden="false" customHeight="false" outlineLevel="0" collapsed="false">
      <c r="A4696" s="103"/>
      <c r="B4696" s="104"/>
      <c r="C4696" s="104"/>
      <c r="E4696" s="107" t="str">
        <f aca="false">IF($C4696="","",IFERROR(INDEX(المنيو!$C$2:$C$500,MATCH($C4696,المنيو!$B$2:$B$500,0)),0))</f>
        <v/>
      </c>
      <c r="F4696" s="107" t="str">
        <f aca="false">IF($C4696="","",$D4696*$E4696)</f>
        <v/>
      </c>
      <c r="G4696" s="107" t="str">
        <f aca="false">IF($C4696="","",$D4696*IFERROR(INDEX('تحليل التكلفة والسعر'!$C$2:$C$700,MATCH($C4696,'تحليل التكلفة والسعر'!$B$2:$B$700,0)),0))</f>
        <v/>
      </c>
    </row>
    <row r="4697" customFormat="false" ht="15" hidden="false" customHeight="false" outlineLevel="0" collapsed="false">
      <c r="A4697" s="103"/>
      <c r="B4697" s="104"/>
      <c r="C4697" s="104"/>
      <c r="E4697" s="107" t="str">
        <f aca="false">IF($C4697="","",IFERROR(INDEX(المنيو!$C$2:$C$500,MATCH($C4697,المنيو!$B$2:$B$500,0)),0))</f>
        <v/>
      </c>
      <c r="F4697" s="107" t="str">
        <f aca="false">IF($C4697="","",$D4697*$E4697)</f>
        <v/>
      </c>
      <c r="G4697" s="107" t="str">
        <f aca="false">IF($C4697="","",$D4697*IFERROR(INDEX('تحليل التكلفة والسعر'!$C$2:$C$700,MATCH($C4697,'تحليل التكلفة والسعر'!$B$2:$B$700,0)),0))</f>
        <v/>
      </c>
    </row>
    <row r="4698" customFormat="false" ht="15" hidden="false" customHeight="false" outlineLevel="0" collapsed="false">
      <c r="A4698" s="103"/>
      <c r="B4698" s="104"/>
      <c r="C4698" s="104"/>
      <c r="E4698" s="107" t="str">
        <f aca="false">IF($C4698="","",IFERROR(INDEX(المنيو!$C$2:$C$500,MATCH($C4698,المنيو!$B$2:$B$500,0)),0))</f>
        <v/>
      </c>
      <c r="F4698" s="107" t="str">
        <f aca="false">IF($C4698="","",$D4698*$E4698)</f>
        <v/>
      </c>
      <c r="G4698" s="107" t="str">
        <f aca="false">IF($C4698="","",$D4698*IFERROR(INDEX('تحليل التكلفة والسعر'!$C$2:$C$700,MATCH($C4698,'تحليل التكلفة والسعر'!$B$2:$B$700,0)),0))</f>
        <v/>
      </c>
    </row>
    <row r="4699" customFormat="false" ht="15" hidden="false" customHeight="false" outlineLevel="0" collapsed="false">
      <c r="A4699" s="103"/>
      <c r="B4699" s="104"/>
      <c r="C4699" s="104"/>
      <c r="E4699" s="107" t="str">
        <f aca="false">IF($C4699="","",IFERROR(INDEX(المنيو!$C$2:$C$500,MATCH($C4699,المنيو!$B$2:$B$500,0)),0))</f>
        <v/>
      </c>
      <c r="F4699" s="107" t="str">
        <f aca="false">IF($C4699="","",$D4699*$E4699)</f>
        <v/>
      </c>
      <c r="G4699" s="107" t="str">
        <f aca="false">IF($C4699="","",$D4699*IFERROR(INDEX('تحليل التكلفة والسعر'!$C$2:$C$700,MATCH($C4699,'تحليل التكلفة والسعر'!$B$2:$B$700,0)),0))</f>
        <v/>
      </c>
    </row>
    <row r="4700" customFormat="false" ht="15" hidden="false" customHeight="false" outlineLevel="0" collapsed="false">
      <c r="A4700" s="103"/>
      <c r="B4700" s="104"/>
      <c r="C4700" s="104"/>
      <c r="E4700" s="107" t="str">
        <f aca="false">IF($C4700="","",IFERROR(INDEX(المنيو!$C$2:$C$500,MATCH($C4700,المنيو!$B$2:$B$500,0)),0))</f>
        <v/>
      </c>
      <c r="F4700" s="107" t="str">
        <f aca="false">IF($C4700="","",$D4700*$E4700)</f>
        <v/>
      </c>
      <c r="G4700" s="107" t="str">
        <f aca="false">IF($C4700="","",$D4700*IFERROR(INDEX('تحليل التكلفة والسعر'!$C$2:$C$700,MATCH($C4700,'تحليل التكلفة والسعر'!$B$2:$B$700,0)),0))</f>
        <v/>
      </c>
    </row>
    <row r="4701" customFormat="false" ht="15" hidden="false" customHeight="false" outlineLevel="0" collapsed="false">
      <c r="A4701" s="103"/>
      <c r="B4701" s="104"/>
      <c r="C4701" s="104"/>
      <c r="E4701" s="107" t="str">
        <f aca="false">IF($C4701="","",IFERROR(INDEX(المنيو!$C$2:$C$500,MATCH($C4701,المنيو!$B$2:$B$500,0)),0))</f>
        <v/>
      </c>
      <c r="F4701" s="107" t="str">
        <f aca="false">IF($C4701="","",$D4701*$E4701)</f>
        <v/>
      </c>
      <c r="G4701" s="107" t="str">
        <f aca="false">IF($C4701="","",$D4701*IFERROR(INDEX('تحليل التكلفة والسعر'!$C$2:$C$700,MATCH($C4701,'تحليل التكلفة والسعر'!$B$2:$B$700,0)),0))</f>
        <v/>
      </c>
    </row>
    <row r="4702" customFormat="false" ht="15" hidden="false" customHeight="false" outlineLevel="0" collapsed="false">
      <c r="A4702" s="103"/>
      <c r="B4702" s="104"/>
      <c r="C4702" s="104"/>
      <c r="E4702" s="107" t="str">
        <f aca="false">IF($C4702="","",IFERROR(INDEX(المنيو!$C$2:$C$500,MATCH($C4702,المنيو!$B$2:$B$500,0)),0))</f>
        <v/>
      </c>
      <c r="F4702" s="107" t="str">
        <f aca="false">IF($C4702="","",$D4702*$E4702)</f>
        <v/>
      </c>
      <c r="G4702" s="107" t="str">
        <f aca="false">IF($C4702="","",$D4702*IFERROR(INDEX('تحليل التكلفة والسعر'!$C$2:$C$700,MATCH($C4702,'تحليل التكلفة والسعر'!$B$2:$B$700,0)),0))</f>
        <v/>
      </c>
    </row>
    <row r="4703" customFormat="false" ht="15" hidden="false" customHeight="false" outlineLevel="0" collapsed="false">
      <c r="A4703" s="103"/>
      <c r="B4703" s="104"/>
      <c r="C4703" s="104"/>
      <c r="E4703" s="107" t="str">
        <f aca="false">IF($C4703="","",IFERROR(INDEX(المنيو!$C$2:$C$500,MATCH($C4703,المنيو!$B$2:$B$500,0)),0))</f>
        <v/>
      </c>
      <c r="F4703" s="107" t="str">
        <f aca="false">IF($C4703="","",$D4703*$E4703)</f>
        <v/>
      </c>
      <c r="G4703" s="107" t="str">
        <f aca="false">IF($C4703="","",$D4703*IFERROR(INDEX('تحليل التكلفة والسعر'!$C$2:$C$700,MATCH($C4703,'تحليل التكلفة والسعر'!$B$2:$B$700,0)),0))</f>
        <v/>
      </c>
    </row>
    <row r="4704" customFormat="false" ht="15" hidden="false" customHeight="false" outlineLevel="0" collapsed="false">
      <c r="A4704" s="103"/>
      <c r="B4704" s="104"/>
      <c r="C4704" s="104"/>
      <c r="E4704" s="107" t="str">
        <f aca="false">IF($C4704="","",IFERROR(INDEX(المنيو!$C$2:$C$500,MATCH($C4704,المنيو!$B$2:$B$500,0)),0))</f>
        <v/>
      </c>
      <c r="F4704" s="107" t="str">
        <f aca="false">IF($C4704="","",$D4704*$E4704)</f>
        <v/>
      </c>
      <c r="G4704" s="107" t="str">
        <f aca="false">IF($C4704="","",$D4704*IFERROR(INDEX('تحليل التكلفة والسعر'!$C$2:$C$700,MATCH($C4704,'تحليل التكلفة والسعر'!$B$2:$B$700,0)),0))</f>
        <v/>
      </c>
    </row>
    <row r="4705" customFormat="false" ht="15" hidden="false" customHeight="false" outlineLevel="0" collapsed="false">
      <c r="A4705" s="103"/>
      <c r="B4705" s="104"/>
      <c r="C4705" s="104"/>
      <c r="E4705" s="107" t="str">
        <f aca="false">IF($C4705="","",IFERROR(INDEX(المنيو!$C$2:$C$500,MATCH($C4705,المنيو!$B$2:$B$500,0)),0))</f>
        <v/>
      </c>
      <c r="F4705" s="107" t="str">
        <f aca="false">IF($C4705="","",$D4705*$E4705)</f>
        <v/>
      </c>
      <c r="G4705" s="107" t="str">
        <f aca="false">IF($C4705="","",$D4705*IFERROR(INDEX('تحليل التكلفة والسعر'!$C$2:$C$700,MATCH($C4705,'تحليل التكلفة والسعر'!$B$2:$B$700,0)),0))</f>
        <v/>
      </c>
    </row>
    <row r="4706" customFormat="false" ht="15" hidden="false" customHeight="false" outlineLevel="0" collapsed="false">
      <c r="A4706" s="103"/>
      <c r="B4706" s="104"/>
      <c r="C4706" s="104"/>
      <c r="E4706" s="107" t="str">
        <f aca="false">IF($C4706="","",IFERROR(INDEX(المنيو!$C$2:$C$500,MATCH($C4706,المنيو!$B$2:$B$500,0)),0))</f>
        <v/>
      </c>
      <c r="F4706" s="107" t="str">
        <f aca="false">IF($C4706="","",$D4706*$E4706)</f>
        <v/>
      </c>
      <c r="G4706" s="107" t="str">
        <f aca="false">IF($C4706="","",$D4706*IFERROR(INDEX('تحليل التكلفة والسعر'!$C$2:$C$700,MATCH($C4706,'تحليل التكلفة والسعر'!$B$2:$B$700,0)),0))</f>
        <v/>
      </c>
    </row>
    <row r="4707" customFormat="false" ht="15" hidden="false" customHeight="false" outlineLevel="0" collapsed="false">
      <c r="A4707" s="103"/>
      <c r="B4707" s="104"/>
      <c r="C4707" s="104"/>
      <c r="E4707" s="107" t="str">
        <f aca="false">IF($C4707="","",IFERROR(INDEX(المنيو!$C$2:$C$500,MATCH($C4707,المنيو!$B$2:$B$500,0)),0))</f>
        <v/>
      </c>
      <c r="F4707" s="107" t="str">
        <f aca="false">IF($C4707="","",$D4707*$E4707)</f>
        <v/>
      </c>
      <c r="G4707" s="107" t="str">
        <f aca="false">IF($C4707="","",$D4707*IFERROR(INDEX('تحليل التكلفة والسعر'!$C$2:$C$700,MATCH($C4707,'تحليل التكلفة والسعر'!$B$2:$B$700,0)),0))</f>
        <v/>
      </c>
    </row>
    <row r="4708" customFormat="false" ht="15" hidden="false" customHeight="false" outlineLevel="0" collapsed="false">
      <c r="A4708" s="103"/>
      <c r="B4708" s="104"/>
      <c r="C4708" s="104"/>
      <c r="E4708" s="107" t="str">
        <f aca="false">IF($C4708="","",IFERROR(INDEX(المنيو!$C$2:$C$500,MATCH($C4708,المنيو!$B$2:$B$500,0)),0))</f>
        <v/>
      </c>
      <c r="F4708" s="107" t="str">
        <f aca="false">IF($C4708="","",$D4708*$E4708)</f>
        <v/>
      </c>
      <c r="G4708" s="107" t="str">
        <f aca="false">IF($C4708="","",$D4708*IFERROR(INDEX('تحليل التكلفة والسعر'!$C$2:$C$700,MATCH($C4708,'تحليل التكلفة والسعر'!$B$2:$B$700,0)),0))</f>
        <v/>
      </c>
    </row>
    <row r="4709" customFormat="false" ht="15" hidden="false" customHeight="false" outlineLevel="0" collapsed="false">
      <c r="A4709" s="103"/>
      <c r="B4709" s="104"/>
      <c r="C4709" s="104"/>
      <c r="E4709" s="107" t="str">
        <f aca="false">IF($C4709="","",IFERROR(INDEX(المنيو!$C$2:$C$500,MATCH($C4709,المنيو!$B$2:$B$500,0)),0))</f>
        <v/>
      </c>
      <c r="F4709" s="107" t="str">
        <f aca="false">IF($C4709="","",$D4709*$E4709)</f>
        <v/>
      </c>
      <c r="G4709" s="107" t="str">
        <f aca="false">IF($C4709="","",$D4709*IFERROR(INDEX('تحليل التكلفة والسعر'!$C$2:$C$700,MATCH($C4709,'تحليل التكلفة والسعر'!$B$2:$B$700,0)),0))</f>
        <v/>
      </c>
    </row>
    <row r="4710" customFormat="false" ht="15" hidden="false" customHeight="false" outlineLevel="0" collapsed="false">
      <c r="A4710" s="103"/>
      <c r="B4710" s="104"/>
      <c r="C4710" s="104"/>
      <c r="E4710" s="107" t="str">
        <f aca="false">IF($C4710="","",IFERROR(INDEX(المنيو!$C$2:$C$500,MATCH($C4710,المنيو!$B$2:$B$500,0)),0))</f>
        <v/>
      </c>
      <c r="F4710" s="107" t="str">
        <f aca="false">IF($C4710="","",$D4710*$E4710)</f>
        <v/>
      </c>
      <c r="G4710" s="107" t="str">
        <f aca="false">IF($C4710="","",$D4710*IFERROR(INDEX('تحليل التكلفة والسعر'!$C$2:$C$700,MATCH($C4710,'تحليل التكلفة والسعر'!$B$2:$B$700,0)),0))</f>
        <v/>
      </c>
    </row>
    <row r="4711" customFormat="false" ht="15" hidden="false" customHeight="false" outlineLevel="0" collapsed="false">
      <c r="A4711" s="103"/>
      <c r="B4711" s="104"/>
      <c r="C4711" s="104"/>
      <c r="E4711" s="107" t="str">
        <f aca="false">IF($C4711="","",IFERROR(INDEX(المنيو!$C$2:$C$500,MATCH($C4711,المنيو!$B$2:$B$500,0)),0))</f>
        <v/>
      </c>
      <c r="F4711" s="107" t="str">
        <f aca="false">IF($C4711="","",$D4711*$E4711)</f>
        <v/>
      </c>
      <c r="G4711" s="107" t="str">
        <f aca="false">IF($C4711="","",$D4711*IFERROR(INDEX('تحليل التكلفة والسعر'!$C$2:$C$700,MATCH($C4711,'تحليل التكلفة والسعر'!$B$2:$B$700,0)),0))</f>
        <v/>
      </c>
    </row>
    <row r="4712" customFormat="false" ht="15" hidden="false" customHeight="false" outlineLevel="0" collapsed="false">
      <c r="A4712" s="103"/>
      <c r="B4712" s="104"/>
      <c r="C4712" s="104"/>
      <c r="E4712" s="107" t="str">
        <f aca="false">IF($C4712="","",IFERROR(INDEX(المنيو!$C$2:$C$500,MATCH($C4712,المنيو!$B$2:$B$500,0)),0))</f>
        <v/>
      </c>
      <c r="F4712" s="107" t="str">
        <f aca="false">IF($C4712="","",$D4712*$E4712)</f>
        <v/>
      </c>
      <c r="G4712" s="107" t="str">
        <f aca="false">IF($C4712="","",$D4712*IFERROR(INDEX('تحليل التكلفة والسعر'!$C$2:$C$700,MATCH($C4712,'تحليل التكلفة والسعر'!$B$2:$B$700,0)),0))</f>
        <v/>
      </c>
    </row>
    <row r="4713" customFormat="false" ht="15" hidden="false" customHeight="false" outlineLevel="0" collapsed="false">
      <c r="A4713" s="103"/>
      <c r="B4713" s="104"/>
      <c r="C4713" s="104"/>
      <c r="E4713" s="107" t="str">
        <f aca="false">IF($C4713="","",IFERROR(INDEX(المنيو!$C$2:$C$500,MATCH($C4713,المنيو!$B$2:$B$500,0)),0))</f>
        <v/>
      </c>
      <c r="F4713" s="107" t="str">
        <f aca="false">IF($C4713="","",$D4713*$E4713)</f>
        <v/>
      </c>
      <c r="G4713" s="107" t="str">
        <f aca="false">IF($C4713="","",$D4713*IFERROR(INDEX('تحليل التكلفة والسعر'!$C$2:$C$700,MATCH($C4713,'تحليل التكلفة والسعر'!$B$2:$B$700,0)),0))</f>
        <v/>
      </c>
    </row>
    <row r="4714" customFormat="false" ht="15" hidden="false" customHeight="false" outlineLevel="0" collapsed="false">
      <c r="A4714" s="103"/>
      <c r="B4714" s="104"/>
      <c r="C4714" s="104"/>
      <c r="E4714" s="107" t="str">
        <f aca="false">IF($C4714="","",IFERROR(INDEX(المنيو!$C$2:$C$500,MATCH($C4714,المنيو!$B$2:$B$500,0)),0))</f>
        <v/>
      </c>
      <c r="F4714" s="107" t="str">
        <f aca="false">IF($C4714="","",$D4714*$E4714)</f>
        <v/>
      </c>
      <c r="G4714" s="107" t="str">
        <f aca="false">IF($C4714="","",$D4714*IFERROR(INDEX('تحليل التكلفة والسعر'!$C$2:$C$700,MATCH($C4714,'تحليل التكلفة والسعر'!$B$2:$B$700,0)),0))</f>
        <v/>
      </c>
    </row>
    <row r="4715" customFormat="false" ht="15" hidden="false" customHeight="false" outlineLevel="0" collapsed="false">
      <c r="A4715" s="103"/>
      <c r="B4715" s="104"/>
      <c r="C4715" s="104"/>
      <c r="E4715" s="107" t="str">
        <f aca="false">IF($C4715="","",IFERROR(INDEX(المنيو!$C$2:$C$500,MATCH($C4715,المنيو!$B$2:$B$500,0)),0))</f>
        <v/>
      </c>
      <c r="F4715" s="107" t="str">
        <f aca="false">IF($C4715="","",$D4715*$E4715)</f>
        <v/>
      </c>
      <c r="G4715" s="107" t="str">
        <f aca="false">IF($C4715="","",$D4715*IFERROR(INDEX('تحليل التكلفة والسعر'!$C$2:$C$700,MATCH($C4715,'تحليل التكلفة والسعر'!$B$2:$B$700,0)),0))</f>
        <v/>
      </c>
    </row>
    <row r="4716" customFormat="false" ht="15" hidden="false" customHeight="false" outlineLevel="0" collapsed="false">
      <c r="A4716" s="103"/>
      <c r="B4716" s="104"/>
      <c r="C4716" s="104"/>
      <c r="E4716" s="107" t="str">
        <f aca="false">IF($C4716="","",IFERROR(INDEX(المنيو!$C$2:$C$500,MATCH($C4716,المنيو!$B$2:$B$500,0)),0))</f>
        <v/>
      </c>
      <c r="F4716" s="107" t="str">
        <f aca="false">IF($C4716="","",$D4716*$E4716)</f>
        <v/>
      </c>
      <c r="G4716" s="107" t="str">
        <f aca="false">IF($C4716="","",$D4716*IFERROR(INDEX('تحليل التكلفة والسعر'!$C$2:$C$700,MATCH($C4716,'تحليل التكلفة والسعر'!$B$2:$B$700,0)),0))</f>
        <v/>
      </c>
    </row>
    <row r="4717" customFormat="false" ht="15" hidden="false" customHeight="false" outlineLevel="0" collapsed="false">
      <c r="A4717" s="103"/>
      <c r="B4717" s="104"/>
      <c r="C4717" s="104"/>
      <c r="E4717" s="107" t="str">
        <f aca="false">IF($C4717="","",IFERROR(INDEX(المنيو!$C$2:$C$500,MATCH($C4717,المنيو!$B$2:$B$500,0)),0))</f>
        <v/>
      </c>
      <c r="F4717" s="107" t="str">
        <f aca="false">IF($C4717="","",$D4717*$E4717)</f>
        <v/>
      </c>
      <c r="G4717" s="107" t="str">
        <f aca="false">IF($C4717="","",$D4717*IFERROR(INDEX('تحليل التكلفة والسعر'!$C$2:$C$700,MATCH($C4717,'تحليل التكلفة والسعر'!$B$2:$B$700,0)),0))</f>
        <v/>
      </c>
    </row>
    <row r="4718" customFormat="false" ht="15" hidden="false" customHeight="false" outlineLevel="0" collapsed="false">
      <c r="A4718" s="103"/>
      <c r="B4718" s="104"/>
      <c r="C4718" s="104"/>
      <c r="E4718" s="107" t="str">
        <f aca="false">IF($C4718="","",IFERROR(INDEX(المنيو!$C$2:$C$500,MATCH($C4718,المنيو!$B$2:$B$500,0)),0))</f>
        <v/>
      </c>
      <c r="F4718" s="107" t="str">
        <f aca="false">IF($C4718="","",$D4718*$E4718)</f>
        <v/>
      </c>
      <c r="G4718" s="107" t="str">
        <f aca="false">IF($C4718="","",$D4718*IFERROR(INDEX('تحليل التكلفة والسعر'!$C$2:$C$700,MATCH($C4718,'تحليل التكلفة والسعر'!$B$2:$B$700,0)),0))</f>
        <v/>
      </c>
    </row>
    <row r="4719" customFormat="false" ht="15" hidden="false" customHeight="false" outlineLevel="0" collapsed="false">
      <c r="A4719" s="103"/>
      <c r="B4719" s="104"/>
      <c r="C4719" s="104"/>
      <c r="E4719" s="107" t="str">
        <f aca="false">IF($C4719="","",IFERROR(INDEX(المنيو!$C$2:$C$500,MATCH($C4719,المنيو!$B$2:$B$500,0)),0))</f>
        <v/>
      </c>
      <c r="F4719" s="107" t="str">
        <f aca="false">IF($C4719="","",$D4719*$E4719)</f>
        <v/>
      </c>
      <c r="G4719" s="107" t="str">
        <f aca="false">IF($C4719="","",$D4719*IFERROR(INDEX('تحليل التكلفة والسعر'!$C$2:$C$700,MATCH($C4719,'تحليل التكلفة والسعر'!$B$2:$B$700,0)),0))</f>
        <v/>
      </c>
    </row>
    <row r="4720" customFormat="false" ht="15" hidden="false" customHeight="false" outlineLevel="0" collapsed="false">
      <c r="A4720" s="103"/>
      <c r="B4720" s="104"/>
      <c r="C4720" s="104"/>
      <c r="E4720" s="107" t="str">
        <f aca="false">IF($C4720="","",IFERROR(INDEX(المنيو!$C$2:$C$500,MATCH($C4720,المنيو!$B$2:$B$500,0)),0))</f>
        <v/>
      </c>
      <c r="F4720" s="107" t="str">
        <f aca="false">IF($C4720="","",$D4720*$E4720)</f>
        <v/>
      </c>
      <c r="G4720" s="107" t="str">
        <f aca="false">IF($C4720="","",$D4720*IFERROR(INDEX('تحليل التكلفة والسعر'!$C$2:$C$700,MATCH($C4720,'تحليل التكلفة والسعر'!$B$2:$B$700,0)),0))</f>
        <v/>
      </c>
    </row>
    <row r="4721" customFormat="false" ht="15" hidden="false" customHeight="false" outlineLevel="0" collapsed="false">
      <c r="A4721" s="103"/>
      <c r="B4721" s="104"/>
      <c r="C4721" s="104"/>
      <c r="E4721" s="107" t="str">
        <f aca="false">IF($C4721="","",IFERROR(INDEX(المنيو!$C$2:$C$500,MATCH($C4721,المنيو!$B$2:$B$500,0)),0))</f>
        <v/>
      </c>
      <c r="F4721" s="107" t="str">
        <f aca="false">IF($C4721="","",$D4721*$E4721)</f>
        <v/>
      </c>
      <c r="G4721" s="107" t="str">
        <f aca="false">IF($C4721="","",$D4721*IFERROR(INDEX('تحليل التكلفة والسعر'!$C$2:$C$700,MATCH($C4721,'تحليل التكلفة والسعر'!$B$2:$B$700,0)),0))</f>
        <v/>
      </c>
    </row>
    <row r="4722" customFormat="false" ht="15" hidden="false" customHeight="false" outlineLevel="0" collapsed="false">
      <c r="A4722" s="103"/>
      <c r="B4722" s="104"/>
      <c r="C4722" s="104"/>
      <c r="E4722" s="107" t="str">
        <f aca="false">IF($C4722="","",IFERROR(INDEX(المنيو!$C$2:$C$500,MATCH($C4722,المنيو!$B$2:$B$500,0)),0))</f>
        <v/>
      </c>
      <c r="F4722" s="107" t="str">
        <f aca="false">IF($C4722="","",$D4722*$E4722)</f>
        <v/>
      </c>
      <c r="G4722" s="107" t="str">
        <f aca="false">IF($C4722="","",$D4722*IFERROR(INDEX('تحليل التكلفة والسعر'!$C$2:$C$700,MATCH($C4722,'تحليل التكلفة والسعر'!$B$2:$B$700,0)),0))</f>
        <v/>
      </c>
    </row>
    <row r="4723" customFormat="false" ht="15" hidden="false" customHeight="false" outlineLevel="0" collapsed="false">
      <c r="A4723" s="103"/>
      <c r="B4723" s="104"/>
      <c r="C4723" s="104"/>
      <c r="E4723" s="107" t="str">
        <f aca="false">IF($C4723="","",IFERROR(INDEX(المنيو!$C$2:$C$500,MATCH($C4723,المنيو!$B$2:$B$500,0)),0))</f>
        <v/>
      </c>
      <c r="F4723" s="107" t="str">
        <f aca="false">IF($C4723="","",$D4723*$E4723)</f>
        <v/>
      </c>
      <c r="G4723" s="107" t="str">
        <f aca="false">IF($C4723="","",$D4723*IFERROR(INDEX('تحليل التكلفة والسعر'!$C$2:$C$700,MATCH($C4723,'تحليل التكلفة والسعر'!$B$2:$B$700,0)),0))</f>
        <v/>
      </c>
    </row>
    <row r="4724" customFormat="false" ht="15" hidden="false" customHeight="false" outlineLevel="0" collapsed="false">
      <c r="A4724" s="103"/>
      <c r="B4724" s="104"/>
      <c r="C4724" s="104"/>
      <c r="E4724" s="107" t="str">
        <f aca="false">IF($C4724="","",IFERROR(INDEX(المنيو!$C$2:$C$500,MATCH($C4724,المنيو!$B$2:$B$500,0)),0))</f>
        <v/>
      </c>
      <c r="F4724" s="107" t="str">
        <f aca="false">IF($C4724="","",$D4724*$E4724)</f>
        <v/>
      </c>
      <c r="G4724" s="107" t="str">
        <f aca="false">IF($C4724="","",$D4724*IFERROR(INDEX('تحليل التكلفة والسعر'!$C$2:$C$700,MATCH($C4724,'تحليل التكلفة والسعر'!$B$2:$B$700,0)),0))</f>
        <v/>
      </c>
    </row>
    <row r="4725" customFormat="false" ht="15" hidden="false" customHeight="false" outlineLevel="0" collapsed="false">
      <c r="A4725" s="103"/>
      <c r="B4725" s="104"/>
      <c r="C4725" s="104"/>
      <c r="E4725" s="107" t="str">
        <f aca="false">IF($C4725="","",IFERROR(INDEX(المنيو!$C$2:$C$500,MATCH($C4725,المنيو!$B$2:$B$500,0)),0))</f>
        <v/>
      </c>
      <c r="F4725" s="107" t="str">
        <f aca="false">IF($C4725="","",$D4725*$E4725)</f>
        <v/>
      </c>
      <c r="G4725" s="107" t="str">
        <f aca="false">IF($C4725="","",$D4725*IFERROR(INDEX('تحليل التكلفة والسعر'!$C$2:$C$700,MATCH($C4725,'تحليل التكلفة والسعر'!$B$2:$B$700,0)),0))</f>
        <v/>
      </c>
    </row>
    <row r="4726" customFormat="false" ht="15" hidden="false" customHeight="false" outlineLevel="0" collapsed="false">
      <c r="A4726" s="103"/>
      <c r="B4726" s="104"/>
      <c r="C4726" s="104"/>
      <c r="E4726" s="107" t="str">
        <f aca="false">IF($C4726="","",IFERROR(INDEX(المنيو!$C$2:$C$500,MATCH($C4726,المنيو!$B$2:$B$500,0)),0))</f>
        <v/>
      </c>
      <c r="F4726" s="107" t="str">
        <f aca="false">IF($C4726="","",$D4726*$E4726)</f>
        <v/>
      </c>
      <c r="G4726" s="107" t="str">
        <f aca="false">IF($C4726="","",$D4726*IFERROR(INDEX('تحليل التكلفة والسعر'!$C$2:$C$700,MATCH($C4726,'تحليل التكلفة والسعر'!$B$2:$B$700,0)),0))</f>
        <v/>
      </c>
    </row>
    <row r="4727" customFormat="false" ht="15" hidden="false" customHeight="false" outlineLevel="0" collapsed="false">
      <c r="A4727" s="103"/>
      <c r="B4727" s="104"/>
      <c r="C4727" s="104"/>
      <c r="E4727" s="107" t="str">
        <f aca="false">IF($C4727="","",IFERROR(INDEX(المنيو!$C$2:$C$500,MATCH($C4727,المنيو!$B$2:$B$500,0)),0))</f>
        <v/>
      </c>
      <c r="F4727" s="107" t="str">
        <f aca="false">IF($C4727="","",$D4727*$E4727)</f>
        <v/>
      </c>
      <c r="G4727" s="107" t="str">
        <f aca="false">IF($C4727="","",$D4727*IFERROR(INDEX('تحليل التكلفة والسعر'!$C$2:$C$700,MATCH($C4727,'تحليل التكلفة والسعر'!$B$2:$B$700,0)),0))</f>
        <v/>
      </c>
    </row>
    <row r="4728" customFormat="false" ht="15" hidden="false" customHeight="false" outlineLevel="0" collapsed="false">
      <c r="A4728" s="103"/>
      <c r="B4728" s="104"/>
      <c r="C4728" s="104"/>
      <c r="E4728" s="107" t="str">
        <f aca="false">IF($C4728="","",IFERROR(INDEX(المنيو!$C$2:$C$500,MATCH($C4728,المنيو!$B$2:$B$500,0)),0))</f>
        <v/>
      </c>
      <c r="F4728" s="107" t="str">
        <f aca="false">IF($C4728="","",$D4728*$E4728)</f>
        <v/>
      </c>
      <c r="G4728" s="107" t="str">
        <f aca="false">IF($C4728="","",$D4728*IFERROR(INDEX('تحليل التكلفة والسعر'!$C$2:$C$700,MATCH($C4728,'تحليل التكلفة والسعر'!$B$2:$B$700,0)),0))</f>
        <v/>
      </c>
    </row>
    <row r="4729" customFormat="false" ht="15" hidden="false" customHeight="false" outlineLevel="0" collapsed="false">
      <c r="A4729" s="103"/>
      <c r="B4729" s="104"/>
      <c r="C4729" s="104"/>
      <c r="E4729" s="107" t="str">
        <f aca="false">IF($C4729="","",IFERROR(INDEX(المنيو!$C$2:$C$500,MATCH($C4729,المنيو!$B$2:$B$500,0)),0))</f>
        <v/>
      </c>
      <c r="F4729" s="107" t="str">
        <f aca="false">IF($C4729="","",$D4729*$E4729)</f>
        <v/>
      </c>
      <c r="G4729" s="107" t="str">
        <f aca="false">IF($C4729="","",$D4729*IFERROR(INDEX('تحليل التكلفة والسعر'!$C$2:$C$700,MATCH($C4729,'تحليل التكلفة والسعر'!$B$2:$B$700,0)),0))</f>
        <v/>
      </c>
    </row>
    <row r="4730" customFormat="false" ht="15" hidden="false" customHeight="false" outlineLevel="0" collapsed="false">
      <c r="A4730" s="103"/>
      <c r="B4730" s="104"/>
      <c r="C4730" s="104"/>
      <c r="E4730" s="107" t="str">
        <f aca="false">IF($C4730="","",IFERROR(INDEX(المنيو!$C$2:$C$500,MATCH($C4730,المنيو!$B$2:$B$500,0)),0))</f>
        <v/>
      </c>
      <c r="F4730" s="107" t="str">
        <f aca="false">IF($C4730="","",$D4730*$E4730)</f>
        <v/>
      </c>
      <c r="G4730" s="107" t="str">
        <f aca="false">IF($C4730="","",$D4730*IFERROR(INDEX('تحليل التكلفة والسعر'!$C$2:$C$700,MATCH($C4730,'تحليل التكلفة والسعر'!$B$2:$B$700,0)),0))</f>
        <v/>
      </c>
    </row>
    <row r="4731" customFormat="false" ht="15" hidden="false" customHeight="false" outlineLevel="0" collapsed="false">
      <c r="A4731" s="103"/>
      <c r="B4731" s="104"/>
      <c r="C4731" s="104"/>
      <c r="E4731" s="107" t="str">
        <f aca="false">IF($C4731="","",IFERROR(INDEX(المنيو!$C$2:$C$500,MATCH($C4731,المنيو!$B$2:$B$500,0)),0))</f>
        <v/>
      </c>
      <c r="F4731" s="107" t="str">
        <f aca="false">IF($C4731="","",$D4731*$E4731)</f>
        <v/>
      </c>
      <c r="G4731" s="107" t="str">
        <f aca="false">IF($C4731="","",$D4731*IFERROR(INDEX('تحليل التكلفة والسعر'!$C$2:$C$700,MATCH($C4731,'تحليل التكلفة والسعر'!$B$2:$B$700,0)),0))</f>
        <v/>
      </c>
    </row>
    <row r="4732" customFormat="false" ht="15" hidden="false" customHeight="false" outlineLevel="0" collapsed="false">
      <c r="A4732" s="103"/>
      <c r="B4732" s="104"/>
      <c r="C4732" s="104"/>
      <c r="E4732" s="107" t="str">
        <f aca="false">IF($C4732="","",IFERROR(INDEX(المنيو!$C$2:$C$500,MATCH($C4732,المنيو!$B$2:$B$500,0)),0))</f>
        <v/>
      </c>
      <c r="F4732" s="107" t="str">
        <f aca="false">IF($C4732="","",$D4732*$E4732)</f>
        <v/>
      </c>
      <c r="G4732" s="107" t="str">
        <f aca="false">IF($C4732="","",$D4732*IFERROR(INDEX('تحليل التكلفة والسعر'!$C$2:$C$700,MATCH($C4732,'تحليل التكلفة والسعر'!$B$2:$B$700,0)),0))</f>
        <v/>
      </c>
    </row>
    <row r="4733" customFormat="false" ht="15" hidden="false" customHeight="false" outlineLevel="0" collapsed="false">
      <c r="A4733" s="103"/>
      <c r="B4733" s="104"/>
      <c r="C4733" s="104"/>
      <c r="E4733" s="107" t="str">
        <f aca="false">IF($C4733="","",IFERROR(INDEX(المنيو!$C$2:$C$500,MATCH($C4733,المنيو!$B$2:$B$500,0)),0))</f>
        <v/>
      </c>
      <c r="F4733" s="107" t="str">
        <f aca="false">IF($C4733="","",$D4733*$E4733)</f>
        <v/>
      </c>
      <c r="G4733" s="107" t="str">
        <f aca="false">IF($C4733="","",$D4733*IFERROR(INDEX('تحليل التكلفة والسعر'!$C$2:$C$700,MATCH($C4733,'تحليل التكلفة والسعر'!$B$2:$B$700,0)),0))</f>
        <v/>
      </c>
    </row>
    <row r="4734" customFormat="false" ht="15" hidden="false" customHeight="false" outlineLevel="0" collapsed="false">
      <c r="A4734" s="103"/>
      <c r="B4734" s="104"/>
      <c r="C4734" s="104"/>
      <c r="E4734" s="107" t="str">
        <f aca="false">IF($C4734="","",IFERROR(INDEX(المنيو!$C$2:$C$500,MATCH($C4734,المنيو!$B$2:$B$500,0)),0))</f>
        <v/>
      </c>
      <c r="F4734" s="107" t="str">
        <f aca="false">IF($C4734="","",$D4734*$E4734)</f>
        <v/>
      </c>
      <c r="G4734" s="107" t="str">
        <f aca="false">IF($C4734="","",$D4734*IFERROR(INDEX('تحليل التكلفة والسعر'!$C$2:$C$700,MATCH($C4734,'تحليل التكلفة والسعر'!$B$2:$B$700,0)),0))</f>
        <v/>
      </c>
    </row>
    <row r="4735" customFormat="false" ht="15" hidden="false" customHeight="false" outlineLevel="0" collapsed="false">
      <c r="A4735" s="103"/>
      <c r="B4735" s="104"/>
      <c r="C4735" s="104"/>
      <c r="E4735" s="107" t="str">
        <f aca="false">IF($C4735="","",IFERROR(INDEX(المنيو!$C$2:$C$500,MATCH($C4735,المنيو!$B$2:$B$500,0)),0))</f>
        <v/>
      </c>
      <c r="F4735" s="107" t="str">
        <f aca="false">IF($C4735="","",$D4735*$E4735)</f>
        <v/>
      </c>
      <c r="G4735" s="107" t="str">
        <f aca="false">IF($C4735="","",$D4735*IFERROR(INDEX('تحليل التكلفة والسعر'!$C$2:$C$700,MATCH($C4735,'تحليل التكلفة والسعر'!$B$2:$B$700,0)),0))</f>
        <v/>
      </c>
    </row>
    <row r="4736" customFormat="false" ht="15" hidden="false" customHeight="false" outlineLevel="0" collapsed="false">
      <c r="A4736" s="103"/>
      <c r="B4736" s="104"/>
      <c r="C4736" s="104"/>
      <c r="E4736" s="107" t="str">
        <f aca="false">IF($C4736="","",IFERROR(INDEX(المنيو!$C$2:$C$500,MATCH($C4736,المنيو!$B$2:$B$500,0)),0))</f>
        <v/>
      </c>
      <c r="F4736" s="107" t="str">
        <f aca="false">IF($C4736="","",$D4736*$E4736)</f>
        <v/>
      </c>
      <c r="G4736" s="107" t="str">
        <f aca="false">IF($C4736="","",$D4736*IFERROR(INDEX('تحليل التكلفة والسعر'!$C$2:$C$700,MATCH($C4736,'تحليل التكلفة والسعر'!$B$2:$B$700,0)),0))</f>
        <v/>
      </c>
    </row>
    <row r="4737" customFormat="false" ht="15" hidden="false" customHeight="false" outlineLevel="0" collapsed="false">
      <c r="A4737" s="103"/>
      <c r="B4737" s="104"/>
      <c r="C4737" s="104"/>
      <c r="E4737" s="107" t="str">
        <f aca="false">IF($C4737="","",IFERROR(INDEX(المنيو!$C$2:$C$500,MATCH($C4737,المنيو!$B$2:$B$500,0)),0))</f>
        <v/>
      </c>
      <c r="F4737" s="107" t="str">
        <f aca="false">IF($C4737="","",$D4737*$E4737)</f>
        <v/>
      </c>
      <c r="G4737" s="107" t="str">
        <f aca="false">IF($C4737="","",$D4737*IFERROR(INDEX('تحليل التكلفة والسعر'!$C$2:$C$700,MATCH($C4737,'تحليل التكلفة والسعر'!$B$2:$B$700,0)),0))</f>
        <v/>
      </c>
    </row>
    <row r="4738" customFormat="false" ht="15" hidden="false" customHeight="false" outlineLevel="0" collapsed="false">
      <c r="A4738" s="103"/>
      <c r="B4738" s="104"/>
      <c r="C4738" s="104"/>
      <c r="E4738" s="107" t="str">
        <f aca="false">IF($C4738="","",IFERROR(INDEX(المنيو!$C$2:$C$500,MATCH($C4738,المنيو!$B$2:$B$500,0)),0))</f>
        <v/>
      </c>
      <c r="F4738" s="107" t="str">
        <f aca="false">IF($C4738="","",$D4738*$E4738)</f>
        <v/>
      </c>
      <c r="G4738" s="107" t="str">
        <f aca="false">IF($C4738="","",$D4738*IFERROR(INDEX('تحليل التكلفة والسعر'!$C$2:$C$700,MATCH($C4738,'تحليل التكلفة والسعر'!$B$2:$B$700,0)),0))</f>
        <v/>
      </c>
    </row>
    <row r="4739" customFormat="false" ht="15" hidden="false" customHeight="false" outlineLevel="0" collapsed="false">
      <c r="A4739" s="103"/>
      <c r="B4739" s="104"/>
      <c r="C4739" s="104"/>
      <c r="E4739" s="107" t="str">
        <f aca="false">IF($C4739="","",IFERROR(INDEX(المنيو!$C$2:$C$500,MATCH($C4739,المنيو!$B$2:$B$500,0)),0))</f>
        <v/>
      </c>
      <c r="F4739" s="107" t="str">
        <f aca="false">IF($C4739="","",$D4739*$E4739)</f>
        <v/>
      </c>
      <c r="G4739" s="107" t="str">
        <f aca="false">IF($C4739="","",$D4739*IFERROR(INDEX('تحليل التكلفة والسعر'!$C$2:$C$700,MATCH($C4739,'تحليل التكلفة والسعر'!$B$2:$B$700,0)),0))</f>
        <v/>
      </c>
    </row>
    <row r="4740" customFormat="false" ht="15" hidden="false" customHeight="false" outlineLevel="0" collapsed="false">
      <c r="A4740" s="103"/>
      <c r="B4740" s="104"/>
      <c r="C4740" s="104"/>
      <c r="E4740" s="107" t="str">
        <f aca="false">IF($C4740="","",IFERROR(INDEX(المنيو!$C$2:$C$500,MATCH($C4740,المنيو!$B$2:$B$500,0)),0))</f>
        <v/>
      </c>
      <c r="F4740" s="107" t="str">
        <f aca="false">IF($C4740="","",$D4740*$E4740)</f>
        <v/>
      </c>
      <c r="G4740" s="107" t="str">
        <f aca="false">IF($C4740="","",$D4740*IFERROR(INDEX('تحليل التكلفة والسعر'!$C$2:$C$700,MATCH($C4740,'تحليل التكلفة والسعر'!$B$2:$B$700,0)),0))</f>
        <v/>
      </c>
    </row>
    <row r="4741" customFormat="false" ht="15" hidden="false" customHeight="false" outlineLevel="0" collapsed="false">
      <c r="A4741" s="103"/>
      <c r="B4741" s="104"/>
      <c r="C4741" s="104"/>
      <c r="E4741" s="107" t="str">
        <f aca="false">IF($C4741="","",IFERROR(INDEX(المنيو!$C$2:$C$500,MATCH($C4741,المنيو!$B$2:$B$500,0)),0))</f>
        <v/>
      </c>
      <c r="F4741" s="107" t="str">
        <f aca="false">IF($C4741="","",$D4741*$E4741)</f>
        <v/>
      </c>
      <c r="G4741" s="107" t="str">
        <f aca="false">IF($C4741="","",$D4741*IFERROR(INDEX('تحليل التكلفة والسعر'!$C$2:$C$700,MATCH($C4741,'تحليل التكلفة والسعر'!$B$2:$B$700,0)),0))</f>
        <v/>
      </c>
    </row>
    <row r="4742" customFormat="false" ht="15" hidden="false" customHeight="false" outlineLevel="0" collapsed="false">
      <c r="A4742" s="103"/>
      <c r="B4742" s="104"/>
      <c r="C4742" s="104"/>
      <c r="E4742" s="107" t="str">
        <f aca="false">IF($C4742="","",IFERROR(INDEX(المنيو!$C$2:$C$500,MATCH($C4742,المنيو!$B$2:$B$500,0)),0))</f>
        <v/>
      </c>
      <c r="F4742" s="107" t="str">
        <f aca="false">IF($C4742="","",$D4742*$E4742)</f>
        <v/>
      </c>
      <c r="G4742" s="107" t="str">
        <f aca="false">IF($C4742="","",$D4742*IFERROR(INDEX('تحليل التكلفة والسعر'!$C$2:$C$700,MATCH($C4742,'تحليل التكلفة والسعر'!$B$2:$B$700,0)),0))</f>
        <v/>
      </c>
    </row>
    <row r="4743" customFormat="false" ht="15" hidden="false" customHeight="false" outlineLevel="0" collapsed="false">
      <c r="A4743" s="103"/>
      <c r="B4743" s="104"/>
      <c r="C4743" s="104"/>
      <c r="E4743" s="107" t="str">
        <f aca="false">IF($C4743="","",IFERROR(INDEX(المنيو!$C$2:$C$500,MATCH($C4743,المنيو!$B$2:$B$500,0)),0))</f>
        <v/>
      </c>
      <c r="F4743" s="107" t="str">
        <f aca="false">IF($C4743="","",$D4743*$E4743)</f>
        <v/>
      </c>
      <c r="G4743" s="107" t="str">
        <f aca="false">IF($C4743="","",$D4743*IFERROR(INDEX('تحليل التكلفة والسعر'!$C$2:$C$700,MATCH($C4743,'تحليل التكلفة والسعر'!$B$2:$B$700,0)),0))</f>
        <v/>
      </c>
    </row>
    <row r="4744" customFormat="false" ht="15" hidden="false" customHeight="false" outlineLevel="0" collapsed="false">
      <c r="A4744" s="103"/>
      <c r="B4744" s="104"/>
      <c r="C4744" s="104"/>
      <c r="E4744" s="107" t="str">
        <f aca="false">IF($C4744="","",IFERROR(INDEX(المنيو!$C$2:$C$500,MATCH($C4744,المنيو!$B$2:$B$500,0)),0))</f>
        <v/>
      </c>
      <c r="F4744" s="107" t="str">
        <f aca="false">IF($C4744="","",$D4744*$E4744)</f>
        <v/>
      </c>
      <c r="G4744" s="107" t="str">
        <f aca="false">IF($C4744="","",$D4744*IFERROR(INDEX('تحليل التكلفة والسعر'!$C$2:$C$700,MATCH($C4744,'تحليل التكلفة والسعر'!$B$2:$B$700,0)),0))</f>
        <v/>
      </c>
    </row>
    <row r="4745" customFormat="false" ht="15" hidden="false" customHeight="false" outlineLevel="0" collapsed="false">
      <c r="A4745" s="103"/>
      <c r="B4745" s="104"/>
      <c r="C4745" s="104"/>
      <c r="E4745" s="107" t="str">
        <f aca="false">IF($C4745="","",IFERROR(INDEX(المنيو!$C$2:$C$500,MATCH($C4745,المنيو!$B$2:$B$500,0)),0))</f>
        <v/>
      </c>
      <c r="F4745" s="107" t="str">
        <f aca="false">IF($C4745="","",$D4745*$E4745)</f>
        <v/>
      </c>
      <c r="G4745" s="107" t="str">
        <f aca="false">IF($C4745="","",$D4745*IFERROR(INDEX('تحليل التكلفة والسعر'!$C$2:$C$700,MATCH($C4745,'تحليل التكلفة والسعر'!$B$2:$B$700,0)),0))</f>
        <v/>
      </c>
    </row>
    <row r="4746" customFormat="false" ht="15" hidden="false" customHeight="false" outlineLevel="0" collapsed="false">
      <c r="A4746" s="103"/>
      <c r="B4746" s="104"/>
      <c r="C4746" s="104"/>
      <c r="E4746" s="107" t="str">
        <f aca="false">IF($C4746="","",IFERROR(INDEX(المنيو!$C$2:$C$500,MATCH($C4746,المنيو!$B$2:$B$500,0)),0))</f>
        <v/>
      </c>
      <c r="F4746" s="107" t="str">
        <f aca="false">IF($C4746="","",$D4746*$E4746)</f>
        <v/>
      </c>
      <c r="G4746" s="107" t="str">
        <f aca="false">IF($C4746="","",$D4746*IFERROR(INDEX('تحليل التكلفة والسعر'!$C$2:$C$700,MATCH($C4746,'تحليل التكلفة والسعر'!$B$2:$B$700,0)),0))</f>
        <v/>
      </c>
    </row>
    <row r="4747" customFormat="false" ht="15" hidden="false" customHeight="false" outlineLevel="0" collapsed="false">
      <c r="A4747" s="103"/>
      <c r="B4747" s="104"/>
      <c r="C4747" s="104"/>
      <c r="E4747" s="107" t="str">
        <f aca="false">IF($C4747="","",IFERROR(INDEX(المنيو!$C$2:$C$500,MATCH($C4747,المنيو!$B$2:$B$500,0)),0))</f>
        <v/>
      </c>
      <c r="F4747" s="107" t="str">
        <f aca="false">IF($C4747="","",$D4747*$E4747)</f>
        <v/>
      </c>
      <c r="G4747" s="107" t="str">
        <f aca="false">IF($C4747="","",$D4747*IFERROR(INDEX('تحليل التكلفة والسعر'!$C$2:$C$700,MATCH($C4747,'تحليل التكلفة والسعر'!$B$2:$B$700,0)),0))</f>
        <v/>
      </c>
    </row>
    <row r="4748" customFormat="false" ht="15" hidden="false" customHeight="false" outlineLevel="0" collapsed="false">
      <c r="A4748" s="103"/>
      <c r="B4748" s="104"/>
      <c r="C4748" s="104"/>
      <c r="E4748" s="107" t="str">
        <f aca="false">IF($C4748="","",IFERROR(INDEX(المنيو!$C$2:$C$500,MATCH($C4748,المنيو!$B$2:$B$500,0)),0))</f>
        <v/>
      </c>
      <c r="F4748" s="107" t="str">
        <f aca="false">IF($C4748="","",$D4748*$E4748)</f>
        <v/>
      </c>
      <c r="G4748" s="107" t="str">
        <f aca="false">IF($C4748="","",$D4748*IFERROR(INDEX('تحليل التكلفة والسعر'!$C$2:$C$700,MATCH($C4748,'تحليل التكلفة والسعر'!$B$2:$B$700,0)),0))</f>
        <v/>
      </c>
    </row>
    <row r="4749" customFormat="false" ht="15" hidden="false" customHeight="false" outlineLevel="0" collapsed="false">
      <c r="A4749" s="103"/>
      <c r="B4749" s="104"/>
      <c r="C4749" s="104"/>
      <c r="E4749" s="107" t="str">
        <f aca="false">IF($C4749="","",IFERROR(INDEX(المنيو!$C$2:$C$500,MATCH($C4749,المنيو!$B$2:$B$500,0)),0))</f>
        <v/>
      </c>
      <c r="F4749" s="107" t="str">
        <f aca="false">IF($C4749="","",$D4749*$E4749)</f>
        <v/>
      </c>
      <c r="G4749" s="107" t="str">
        <f aca="false">IF($C4749="","",$D4749*IFERROR(INDEX('تحليل التكلفة والسعر'!$C$2:$C$700,MATCH($C4749,'تحليل التكلفة والسعر'!$B$2:$B$700,0)),0))</f>
        <v/>
      </c>
    </row>
    <row r="4750" customFormat="false" ht="15" hidden="false" customHeight="false" outlineLevel="0" collapsed="false">
      <c r="A4750" s="103"/>
      <c r="B4750" s="104"/>
      <c r="C4750" s="104"/>
      <c r="E4750" s="107" t="str">
        <f aca="false">IF($C4750="","",IFERROR(INDEX(المنيو!$C$2:$C$500,MATCH($C4750,المنيو!$B$2:$B$500,0)),0))</f>
        <v/>
      </c>
      <c r="F4750" s="107" t="str">
        <f aca="false">IF($C4750="","",$D4750*$E4750)</f>
        <v/>
      </c>
      <c r="G4750" s="107" t="str">
        <f aca="false">IF($C4750="","",$D4750*IFERROR(INDEX('تحليل التكلفة والسعر'!$C$2:$C$700,MATCH($C4750,'تحليل التكلفة والسعر'!$B$2:$B$700,0)),0))</f>
        <v/>
      </c>
    </row>
    <row r="4751" customFormat="false" ht="15" hidden="false" customHeight="false" outlineLevel="0" collapsed="false">
      <c r="A4751" s="103"/>
      <c r="B4751" s="104"/>
      <c r="C4751" s="104"/>
      <c r="E4751" s="107" t="str">
        <f aca="false">IF($C4751="","",IFERROR(INDEX(المنيو!$C$2:$C$500,MATCH($C4751,المنيو!$B$2:$B$500,0)),0))</f>
        <v/>
      </c>
      <c r="F4751" s="107" t="str">
        <f aca="false">IF($C4751="","",$D4751*$E4751)</f>
        <v/>
      </c>
      <c r="G4751" s="107" t="str">
        <f aca="false">IF($C4751="","",$D4751*IFERROR(INDEX('تحليل التكلفة والسعر'!$C$2:$C$700,MATCH($C4751,'تحليل التكلفة والسعر'!$B$2:$B$700,0)),0))</f>
        <v/>
      </c>
    </row>
    <row r="4752" customFormat="false" ht="15" hidden="false" customHeight="false" outlineLevel="0" collapsed="false">
      <c r="A4752" s="103"/>
      <c r="B4752" s="104"/>
      <c r="C4752" s="104"/>
      <c r="E4752" s="107" t="str">
        <f aca="false">IF($C4752="","",IFERROR(INDEX(المنيو!$C$2:$C$500,MATCH($C4752,المنيو!$B$2:$B$500,0)),0))</f>
        <v/>
      </c>
      <c r="F4752" s="107" t="str">
        <f aca="false">IF($C4752="","",$D4752*$E4752)</f>
        <v/>
      </c>
      <c r="G4752" s="107" t="str">
        <f aca="false">IF($C4752="","",$D4752*IFERROR(INDEX('تحليل التكلفة والسعر'!$C$2:$C$700,MATCH($C4752,'تحليل التكلفة والسعر'!$B$2:$B$700,0)),0))</f>
        <v/>
      </c>
    </row>
    <row r="4753" customFormat="false" ht="15" hidden="false" customHeight="false" outlineLevel="0" collapsed="false">
      <c r="A4753" s="103"/>
      <c r="B4753" s="104"/>
      <c r="C4753" s="104"/>
      <c r="E4753" s="107" t="str">
        <f aca="false">IF($C4753="","",IFERROR(INDEX(المنيو!$C$2:$C$500,MATCH($C4753,المنيو!$B$2:$B$500,0)),0))</f>
        <v/>
      </c>
      <c r="F4753" s="107" t="str">
        <f aca="false">IF($C4753="","",$D4753*$E4753)</f>
        <v/>
      </c>
      <c r="G4753" s="107" t="str">
        <f aca="false">IF($C4753="","",$D4753*IFERROR(INDEX('تحليل التكلفة والسعر'!$C$2:$C$700,MATCH($C4753,'تحليل التكلفة والسعر'!$B$2:$B$700,0)),0))</f>
        <v/>
      </c>
    </row>
    <row r="4754" customFormat="false" ht="15" hidden="false" customHeight="false" outlineLevel="0" collapsed="false">
      <c r="A4754" s="103"/>
      <c r="B4754" s="104"/>
      <c r="C4754" s="104"/>
      <c r="E4754" s="107" t="str">
        <f aca="false">IF($C4754="","",IFERROR(INDEX(المنيو!$C$2:$C$500,MATCH($C4754,المنيو!$B$2:$B$500,0)),0))</f>
        <v/>
      </c>
      <c r="F4754" s="107" t="str">
        <f aca="false">IF($C4754="","",$D4754*$E4754)</f>
        <v/>
      </c>
      <c r="G4754" s="107" t="str">
        <f aca="false">IF($C4754="","",$D4754*IFERROR(INDEX('تحليل التكلفة والسعر'!$C$2:$C$700,MATCH($C4754,'تحليل التكلفة والسعر'!$B$2:$B$700,0)),0))</f>
        <v/>
      </c>
    </row>
    <row r="4755" customFormat="false" ht="15" hidden="false" customHeight="false" outlineLevel="0" collapsed="false">
      <c r="A4755" s="103"/>
      <c r="B4755" s="104"/>
      <c r="C4755" s="104"/>
      <c r="E4755" s="107" t="str">
        <f aca="false">IF($C4755="","",IFERROR(INDEX(المنيو!$C$2:$C$500,MATCH($C4755,المنيو!$B$2:$B$500,0)),0))</f>
        <v/>
      </c>
      <c r="F4755" s="107" t="str">
        <f aca="false">IF($C4755="","",$D4755*$E4755)</f>
        <v/>
      </c>
      <c r="G4755" s="107" t="str">
        <f aca="false">IF($C4755="","",$D4755*IFERROR(INDEX('تحليل التكلفة والسعر'!$C$2:$C$700,MATCH($C4755,'تحليل التكلفة والسعر'!$B$2:$B$700,0)),0))</f>
        <v/>
      </c>
    </row>
    <row r="4756" customFormat="false" ht="15" hidden="false" customHeight="false" outlineLevel="0" collapsed="false">
      <c r="A4756" s="103"/>
      <c r="B4756" s="104"/>
      <c r="C4756" s="104"/>
      <c r="E4756" s="107" t="str">
        <f aca="false">IF($C4756="","",IFERROR(INDEX(المنيو!$C$2:$C$500,MATCH($C4756,المنيو!$B$2:$B$500,0)),0))</f>
        <v/>
      </c>
      <c r="F4756" s="107" t="str">
        <f aca="false">IF($C4756="","",$D4756*$E4756)</f>
        <v/>
      </c>
      <c r="G4756" s="107" t="str">
        <f aca="false">IF($C4756="","",$D4756*IFERROR(INDEX('تحليل التكلفة والسعر'!$C$2:$C$700,MATCH($C4756,'تحليل التكلفة والسعر'!$B$2:$B$700,0)),0))</f>
        <v/>
      </c>
    </row>
    <row r="4757" customFormat="false" ht="15" hidden="false" customHeight="false" outlineLevel="0" collapsed="false">
      <c r="A4757" s="103"/>
      <c r="B4757" s="104"/>
      <c r="C4757" s="104"/>
      <c r="E4757" s="107" t="str">
        <f aca="false">IF($C4757="","",IFERROR(INDEX(المنيو!$C$2:$C$500,MATCH($C4757,المنيو!$B$2:$B$500,0)),0))</f>
        <v/>
      </c>
      <c r="F4757" s="107" t="str">
        <f aca="false">IF($C4757="","",$D4757*$E4757)</f>
        <v/>
      </c>
      <c r="G4757" s="107" t="str">
        <f aca="false">IF($C4757="","",$D4757*IFERROR(INDEX('تحليل التكلفة والسعر'!$C$2:$C$700,MATCH($C4757,'تحليل التكلفة والسعر'!$B$2:$B$700,0)),0))</f>
        <v/>
      </c>
    </row>
    <row r="4758" customFormat="false" ht="15" hidden="false" customHeight="false" outlineLevel="0" collapsed="false">
      <c r="A4758" s="103"/>
      <c r="B4758" s="104"/>
      <c r="C4758" s="104"/>
      <c r="E4758" s="107" t="str">
        <f aca="false">IF($C4758="","",IFERROR(INDEX(المنيو!$C$2:$C$500,MATCH($C4758,المنيو!$B$2:$B$500,0)),0))</f>
        <v/>
      </c>
      <c r="F4758" s="107" t="str">
        <f aca="false">IF($C4758="","",$D4758*$E4758)</f>
        <v/>
      </c>
      <c r="G4758" s="107" t="str">
        <f aca="false">IF($C4758="","",$D4758*IFERROR(INDEX('تحليل التكلفة والسعر'!$C$2:$C$700,MATCH($C4758,'تحليل التكلفة والسعر'!$B$2:$B$700,0)),0))</f>
        <v/>
      </c>
    </row>
    <row r="4759" customFormat="false" ht="15" hidden="false" customHeight="false" outlineLevel="0" collapsed="false">
      <c r="A4759" s="103"/>
      <c r="B4759" s="104"/>
      <c r="C4759" s="104"/>
      <c r="E4759" s="107" t="str">
        <f aca="false">IF($C4759="","",IFERROR(INDEX(المنيو!$C$2:$C$500,MATCH($C4759,المنيو!$B$2:$B$500,0)),0))</f>
        <v/>
      </c>
      <c r="F4759" s="107" t="str">
        <f aca="false">IF($C4759="","",$D4759*$E4759)</f>
        <v/>
      </c>
      <c r="G4759" s="107" t="str">
        <f aca="false">IF($C4759="","",$D4759*IFERROR(INDEX('تحليل التكلفة والسعر'!$C$2:$C$700,MATCH($C4759,'تحليل التكلفة والسعر'!$B$2:$B$700,0)),0))</f>
        <v/>
      </c>
    </row>
    <row r="4760" customFormat="false" ht="15" hidden="false" customHeight="false" outlineLevel="0" collapsed="false">
      <c r="A4760" s="103"/>
      <c r="B4760" s="104"/>
      <c r="C4760" s="104"/>
      <c r="E4760" s="107" t="str">
        <f aca="false">IF($C4760="","",IFERROR(INDEX(المنيو!$C$2:$C$500,MATCH($C4760,المنيو!$B$2:$B$500,0)),0))</f>
        <v/>
      </c>
      <c r="F4760" s="107" t="str">
        <f aca="false">IF($C4760="","",$D4760*$E4760)</f>
        <v/>
      </c>
      <c r="G4760" s="107" t="str">
        <f aca="false">IF($C4760="","",$D4760*IFERROR(INDEX('تحليل التكلفة والسعر'!$C$2:$C$700,MATCH($C4760,'تحليل التكلفة والسعر'!$B$2:$B$700,0)),0))</f>
        <v/>
      </c>
    </row>
    <row r="4761" customFormat="false" ht="15" hidden="false" customHeight="false" outlineLevel="0" collapsed="false">
      <c r="A4761" s="103"/>
      <c r="B4761" s="104"/>
      <c r="C4761" s="104"/>
      <c r="E4761" s="107" t="str">
        <f aca="false">IF($C4761="","",IFERROR(INDEX(المنيو!$C$2:$C$500,MATCH($C4761,المنيو!$B$2:$B$500,0)),0))</f>
        <v/>
      </c>
      <c r="F4761" s="107" t="str">
        <f aca="false">IF($C4761="","",$D4761*$E4761)</f>
        <v/>
      </c>
      <c r="G4761" s="107" t="str">
        <f aca="false">IF($C4761="","",$D4761*IFERROR(INDEX('تحليل التكلفة والسعر'!$C$2:$C$700,MATCH($C4761,'تحليل التكلفة والسعر'!$B$2:$B$700,0)),0))</f>
        <v/>
      </c>
    </row>
    <row r="4762" customFormat="false" ht="15" hidden="false" customHeight="false" outlineLevel="0" collapsed="false">
      <c r="A4762" s="103"/>
      <c r="B4762" s="104"/>
      <c r="C4762" s="104"/>
      <c r="E4762" s="107" t="str">
        <f aca="false">IF($C4762="","",IFERROR(INDEX(المنيو!$C$2:$C$500,MATCH($C4762,المنيو!$B$2:$B$500,0)),0))</f>
        <v/>
      </c>
      <c r="F4762" s="107" t="str">
        <f aca="false">IF($C4762="","",$D4762*$E4762)</f>
        <v/>
      </c>
      <c r="G4762" s="107" t="str">
        <f aca="false">IF($C4762="","",$D4762*IFERROR(INDEX('تحليل التكلفة والسعر'!$C$2:$C$700,MATCH($C4762,'تحليل التكلفة والسعر'!$B$2:$B$700,0)),0))</f>
        <v/>
      </c>
    </row>
    <row r="4763" customFormat="false" ht="15" hidden="false" customHeight="false" outlineLevel="0" collapsed="false">
      <c r="A4763" s="103"/>
      <c r="B4763" s="104"/>
      <c r="C4763" s="104"/>
      <c r="E4763" s="107" t="str">
        <f aca="false">IF($C4763="","",IFERROR(INDEX(المنيو!$C$2:$C$500,MATCH($C4763,المنيو!$B$2:$B$500,0)),0))</f>
        <v/>
      </c>
      <c r="F4763" s="107" t="str">
        <f aca="false">IF($C4763="","",$D4763*$E4763)</f>
        <v/>
      </c>
      <c r="G4763" s="107" t="str">
        <f aca="false">IF($C4763="","",$D4763*IFERROR(INDEX('تحليل التكلفة والسعر'!$C$2:$C$700,MATCH($C4763,'تحليل التكلفة والسعر'!$B$2:$B$700,0)),0))</f>
        <v/>
      </c>
    </row>
    <row r="4764" customFormat="false" ht="15" hidden="false" customHeight="false" outlineLevel="0" collapsed="false">
      <c r="A4764" s="103"/>
      <c r="B4764" s="104"/>
      <c r="C4764" s="104"/>
      <c r="E4764" s="107" t="str">
        <f aca="false">IF($C4764="","",IFERROR(INDEX(المنيو!$C$2:$C$500,MATCH($C4764,المنيو!$B$2:$B$500,0)),0))</f>
        <v/>
      </c>
      <c r="F4764" s="107" t="str">
        <f aca="false">IF($C4764="","",$D4764*$E4764)</f>
        <v/>
      </c>
      <c r="G4764" s="107" t="str">
        <f aca="false">IF($C4764="","",$D4764*IFERROR(INDEX('تحليل التكلفة والسعر'!$C$2:$C$700,MATCH($C4764,'تحليل التكلفة والسعر'!$B$2:$B$700,0)),0))</f>
        <v/>
      </c>
    </row>
    <row r="4765" customFormat="false" ht="15" hidden="false" customHeight="false" outlineLevel="0" collapsed="false">
      <c r="A4765" s="103"/>
      <c r="B4765" s="104"/>
      <c r="C4765" s="104"/>
      <c r="E4765" s="107" t="str">
        <f aca="false">IF($C4765="","",IFERROR(INDEX(المنيو!$C$2:$C$500,MATCH($C4765,المنيو!$B$2:$B$500,0)),0))</f>
        <v/>
      </c>
      <c r="F4765" s="107" t="str">
        <f aca="false">IF($C4765="","",$D4765*$E4765)</f>
        <v/>
      </c>
      <c r="G4765" s="107" t="str">
        <f aca="false">IF($C4765="","",$D4765*IFERROR(INDEX('تحليل التكلفة والسعر'!$C$2:$C$700,MATCH($C4765,'تحليل التكلفة والسعر'!$B$2:$B$700,0)),0))</f>
        <v/>
      </c>
    </row>
    <row r="4766" customFormat="false" ht="15" hidden="false" customHeight="false" outlineLevel="0" collapsed="false">
      <c r="A4766" s="103"/>
      <c r="B4766" s="104"/>
      <c r="C4766" s="104"/>
      <c r="E4766" s="107" t="str">
        <f aca="false">IF($C4766="","",IFERROR(INDEX(المنيو!$C$2:$C$500,MATCH($C4766,المنيو!$B$2:$B$500,0)),0))</f>
        <v/>
      </c>
      <c r="F4766" s="107" t="str">
        <f aca="false">IF($C4766="","",$D4766*$E4766)</f>
        <v/>
      </c>
      <c r="G4766" s="107" t="str">
        <f aca="false">IF($C4766="","",$D4766*IFERROR(INDEX('تحليل التكلفة والسعر'!$C$2:$C$700,MATCH($C4766,'تحليل التكلفة والسعر'!$B$2:$B$700,0)),0))</f>
        <v/>
      </c>
    </row>
    <row r="4767" customFormat="false" ht="15" hidden="false" customHeight="false" outlineLevel="0" collapsed="false">
      <c r="A4767" s="103"/>
      <c r="B4767" s="104"/>
      <c r="C4767" s="104"/>
      <c r="E4767" s="107" t="str">
        <f aca="false">IF($C4767="","",IFERROR(INDEX(المنيو!$C$2:$C$500,MATCH($C4767,المنيو!$B$2:$B$500,0)),0))</f>
        <v/>
      </c>
      <c r="F4767" s="107" t="str">
        <f aca="false">IF($C4767="","",$D4767*$E4767)</f>
        <v/>
      </c>
      <c r="G4767" s="107" t="str">
        <f aca="false">IF($C4767="","",$D4767*IFERROR(INDEX('تحليل التكلفة والسعر'!$C$2:$C$700,MATCH($C4767,'تحليل التكلفة والسعر'!$B$2:$B$700,0)),0))</f>
        <v/>
      </c>
    </row>
    <row r="4768" customFormat="false" ht="15" hidden="false" customHeight="false" outlineLevel="0" collapsed="false">
      <c r="A4768" s="103"/>
      <c r="B4768" s="104"/>
      <c r="C4768" s="104"/>
      <c r="E4768" s="107" t="str">
        <f aca="false">IF($C4768="","",IFERROR(INDEX(المنيو!$C$2:$C$500,MATCH($C4768,المنيو!$B$2:$B$500,0)),0))</f>
        <v/>
      </c>
      <c r="F4768" s="107" t="str">
        <f aca="false">IF($C4768="","",$D4768*$E4768)</f>
        <v/>
      </c>
      <c r="G4768" s="107" t="str">
        <f aca="false">IF($C4768="","",$D4768*IFERROR(INDEX('تحليل التكلفة والسعر'!$C$2:$C$700,MATCH($C4768,'تحليل التكلفة والسعر'!$B$2:$B$700,0)),0))</f>
        <v/>
      </c>
    </row>
    <row r="4769" customFormat="false" ht="15" hidden="false" customHeight="false" outlineLevel="0" collapsed="false">
      <c r="A4769" s="103"/>
      <c r="B4769" s="104"/>
      <c r="C4769" s="104"/>
      <c r="E4769" s="107" t="str">
        <f aca="false">IF($C4769="","",IFERROR(INDEX(المنيو!$C$2:$C$500,MATCH($C4769,المنيو!$B$2:$B$500,0)),0))</f>
        <v/>
      </c>
      <c r="F4769" s="107" t="str">
        <f aca="false">IF($C4769="","",$D4769*$E4769)</f>
        <v/>
      </c>
      <c r="G4769" s="107" t="str">
        <f aca="false">IF($C4769="","",$D4769*IFERROR(INDEX('تحليل التكلفة والسعر'!$C$2:$C$700,MATCH($C4769,'تحليل التكلفة والسعر'!$B$2:$B$700,0)),0))</f>
        <v/>
      </c>
    </row>
    <row r="4770" customFormat="false" ht="15" hidden="false" customHeight="false" outlineLevel="0" collapsed="false">
      <c r="A4770" s="103"/>
      <c r="B4770" s="104"/>
      <c r="C4770" s="104"/>
      <c r="E4770" s="107" t="str">
        <f aca="false">IF($C4770="","",IFERROR(INDEX(المنيو!$C$2:$C$500,MATCH($C4770,المنيو!$B$2:$B$500,0)),0))</f>
        <v/>
      </c>
      <c r="F4770" s="107" t="str">
        <f aca="false">IF($C4770="","",$D4770*$E4770)</f>
        <v/>
      </c>
      <c r="G4770" s="107" t="str">
        <f aca="false">IF($C4770="","",$D4770*IFERROR(INDEX('تحليل التكلفة والسعر'!$C$2:$C$700,MATCH($C4770,'تحليل التكلفة والسعر'!$B$2:$B$700,0)),0))</f>
        <v/>
      </c>
    </row>
    <row r="4771" customFormat="false" ht="15" hidden="false" customHeight="false" outlineLevel="0" collapsed="false">
      <c r="A4771" s="103"/>
      <c r="B4771" s="104"/>
      <c r="C4771" s="104"/>
      <c r="E4771" s="107" t="str">
        <f aca="false">IF($C4771="","",IFERROR(INDEX(المنيو!$C$2:$C$500,MATCH($C4771,المنيو!$B$2:$B$500,0)),0))</f>
        <v/>
      </c>
      <c r="F4771" s="107" t="str">
        <f aca="false">IF($C4771="","",$D4771*$E4771)</f>
        <v/>
      </c>
      <c r="G4771" s="107" t="str">
        <f aca="false">IF($C4771="","",$D4771*IFERROR(INDEX('تحليل التكلفة والسعر'!$C$2:$C$700,MATCH($C4771,'تحليل التكلفة والسعر'!$B$2:$B$700,0)),0))</f>
        <v/>
      </c>
    </row>
    <row r="4772" customFormat="false" ht="15" hidden="false" customHeight="false" outlineLevel="0" collapsed="false">
      <c r="A4772" s="103"/>
      <c r="B4772" s="104"/>
      <c r="C4772" s="104"/>
      <c r="E4772" s="107" t="str">
        <f aca="false">IF($C4772="","",IFERROR(INDEX(المنيو!$C$2:$C$500,MATCH($C4772,المنيو!$B$2:$B$500,0)),0))</f>
        <v/>
      </c>
      <c r="F4772" s="107" t="str">
        <f aca="false">IF($C4772="","",$D4772*$E4772)</f>
        <v/>
      </c>
      <c r="G4772" s="107" t="str">
        <f aca="false">IF($C4772="","",$D4772*IFERROR(INDEX('تحليل التكلفة والسعر'!$C$2:$C$700,MATCH($C4772,'تحليل التكلفة والسعر'!$B$2:$B$700,0)),0))</f>
        <v/>
      </c>
    </row>
    <row r="4773" customFormat="false" ht="15" hidden="false" customHeight="false" outlineLevel="0" collapsed="false">
      <c r="A4773" s="103"/>
      <c r="B4773" s="104"/>
      <c r="C4773" s="104"/>
      <c r="E4773" s="107" t="str">
        <f aca="false">IF($C4773="","",IFERROR(INDEX(المنيو!$C$2:$C$500,MATCH($C4773,المنيو!$B$2:$B$500,0)),0))</f>
        <v/>
      </c>
      <c r="F4773" s="107" t="str">
        <f aca="false">IF($C4773="","",$D4773*$E4773)</f>
        <v/>
      </c>
      <c r="G4773" s="107" t="str">
        <f aca="false">IF($C4773="","",$D4773*IFERROR(INDEX('تحليل التكلفة والسعر'!$C$2:$C$700,MATCH($C4773,'تحليل التكلفة والسعر'!$B$2:$B$700,0)),0))</f>
        <v/>
      </c>
    </row>
    <row r="4774" customFormat="false" ht="15" hidden="false" customHeight="false" outlineLevel="0" collapsed="false">
      <c r="A4774" s="103"/>
      <c r="B4774" s="104"/>
      <c r="C4774" s="104"/>
      <c r="E4774" s="107" t="str">
        <f aca="false">IF($C4774="","",IFERROR(INDEX(المنيو!$C$2:$C$500,MATCH($C4774,المنيو!$B$2:$B$500,0)),0))</f>
        <v/>
      </c>
      <c r="F4774" s="107" t="str">
        <f aca="false">IF($C4774="","",$D4774*$E4774)</f>
        <v/>
      </c>
      <c r="G4774" s="107" t="str">
        <f aca="false">IF($C4774="","",$D4774*IFERROR(INDEX('تحليل التكلفة والسعر'!$C$2:$C$700,MATCH($C4774,'تحليل التكلفة والسعر'!$B$2:$B$700,0)),0))</f>
        <v/>
      </c>
    </row>
    <row r="4775" customFormat="false" ht="15" hidden="false" customHeight="false" outlineLevel="0" collapsed="false">
      <c r="A4775" s="103"/>
      <c r="B4775" s="104"/>
      <c r="C4775" s="104"/>
      <c r="E4775" s="107" t="str">
        <f aca="false">IF($C4775="","",IFERROR(INDEX(المنيو!$C$2:$C$500,MATCH($C4775,المنيو!$B$2:$B$500,0)),0))</f>
        <v/>
      </c>
      <c r="F4775" s="107" t="str">
        <f aca="false">IF($C4775="","",$D4775*$E4775)</f>
        <v/>
      </c>
      <c r="G4775" s="107" t="str">
        <f aca="false">IF($C4775="","",$D4775*IFERROR(INDEX('تحليل التكلفة والسعر'!$C$2:$C$700,MATCH($C4775,'تحليل التكلفة والسعر'!$B$2:$B$700,0)),0))</f>
        <v/>
      </c>
    </row>
    <row r="4776" customFormat="false" ht="15" hidden="false" customHeight="false" outlineLevel="0" collapsed="false">
      <c r="A4776" s="103"/>
      <c r="B4776" s="104"/>
      <c r="C4776" s="104"/>
      <c r="E4776" s="107" t="str">
        <f aca="false">IF($C4776="","",IFERROR(INDEX(المنيو!$C$2:$C$500,MATCH($C4776,المنيو!$B$2:$B$500,0)),0))</f>
        <v/>
      </c>
      <c r="F4776" s="107" t="str">
        <f aca="false">IF($C4776="","",$D4776*$E4776)</f>
        <v/>
      </c>
      <c r="G4776" s="107" t="str">
        <f aca="false">IF($C4776="","",$D4776*IFERROR(INDEX('تحليل التكلفة والسعر'!$C$2:$C$700,MATCH($C4776,'تحليل التكلفة والسعر'!$B$2:$B$700,0)),0))</f>
        <v/>
      </c>
    </row>
    <row r="4777" customFormat="false" ht="15" hidden="false" customHeight="false" outlineLevel="0" collapsed="false">
      <c r="A4777" s="103"/>
      <c r="B4777" s="104"/>
      <c r="C4777" s="104"/>
      <c r="E4777" s="107" t="str">
        <f aca="false">IF($C4777="","",IFERROR(INDEX(المنيو!$C$2:$C$500,MATCH($C4777,المنيو!$B$2:$B$500,0)),0))</f>
        <v/>
      </c>
      <c r="F4777" s="107" t="str">
        <f aca="false">IF($C4777="","",$D4777*$E4777)</f>
        <v/>
      </c>
      <c r="G4777" s="107" t="str">
        <f aca="false">IF($C4777="","",$D4777*IFERROR(INDEX('تحليل التكلفة والسعر'!$C$2:$C$700,MATCH($C4777,'تحليل التكلفة والسعر'!$B$2:$B$700,0)),0))</f>
        <v/>
      </c>
    </row>
    <row r="4778" customFormat="false" ht="15" hidden="false" customHeight="false" outlineLevel="0" collapsed="false">
      <c r="A4778" s="103"/>
      <c r="B4778" s="104"/>
      <c r="C4778" s="104"/>
      <c r="E4778" s="107" t="str">
        <f aca="false">IF($C4778="","",IFERROR(INDEX(المنيو!$C$2:$C$500,MATCH($C4778,المنيو!$B$2:$B$500,0)),0))</f>
        <v/>
      </c>
      <c r="F4778" s="107" t="str">
        <f aca="false">IF($C4778="","",$D4778*$E4778)</f>
        <v/>
      </c>
      <c r="G4778" s="107" t="str">
        <f aca="false">IF($C4778="","",$D4778*IFERROR(INDEX('تحليل التكلفة والسعر'!$C$2:$C$700,MATCH($C4778,'تحليل التكلفة والسعر'!$B$2:$B$700,0)),0))</f>
        <v/>
      </c>
    </row>
    <row r="4779" customFormat="false" ht="15" hidden="false" customHeight="false" outlineLevel="0" collapsed="false">
      <c r="A4779" s="103"/>
      <c r="B4779" s="104"/>
      <c r="C4779" s="104"/>
      <c r="E4779" s="107" t="str">
        <f aca="false">IF($C4779="","",IFERROR(INDEX(المنيو!$C$2:$C$500,MATCH($C4779,المنيو!$B$2:$B$500,0)),0))</f>
        <v/>
      </c>
      <c r="F4779" s="107" t="str">
        <f aca="false">IF($C4779="","",$D4779*$E4779)</f>
        <v/>
      </c>
      <c r="G4779" s="107" t="str">
        <f aca="false">IF($C4779="","",$D4779*IFERROR(INDEX('تحليل التكلفة والسعر'!$C$2:$C$700,MATCH($C4779,'تحليل التكلفة والسعر'!$B$2:$B$700,0)),0))</f>
        <v/>
      </c>
    </row>
    <row r="4780" customFormat="false" ht="15" hidden="false" customHeight="false" outlineLevel="0" collapsed="false">
      <c r="A4780" s="103"/>
      <c r="B4780" s="104"/>
      <c r="C4780" s="104"/>
      <c r="E4780" s="107" t="str">
        <f aca="false">IF($C4780="","",IFERROR(INDEX(المنيو!$C$2:$C$500,MATCH($C4780,المنيو!$B$2:$B$500,0)),0))</f>
        <v/>
      </c>
      <c r="F4780" s="107" t="str">
        <f aca="false">IF($C4780="","",$D4780*$E4780)</f>
        <v/>
      </c>
      <c r="G4780" s="107" t="str">
        <f aca="false">IF($C4780="","",$D4780*IFERROR(INDEX('تحليل التكلفة والسعر'!$C$2:$C$700,MATCH($C4780,'تحليل التكلفة والسعر'!$B$2:$B$700,0)),0))</f>
        <v/>
      </c>
    </row>
    <row r="4781" customFormat="false" ht="15" hidden="false" customHeight="false" outlineLevel="0" collapsed="false">
      <c r="A4781" s="103"/>
      <c r="B4781" s="104"/>
      <c r="C4781" s="104"/>
      <c r="E4781" s="107" t="str">
        <f aca="false">IF($C4781="","",IFERROR(INDEX(المنيو!$C$2:$C$500,MATCH($C4781,المنيو!$B$2:$B$500,0)),0))</f>
        <v/>
      </c>
      <c r="F4781" s="107" t="str">
        <f aca="false">IF($C4781="","",$D4781*$E4781)</f>
        <v/>
      </c>
      <c r="G4781" s="107" t="str">
        <f aca="false">IF($C4781="","",$D4781*IFERROR(INDEX('تحليل التكلفة والسعر'!$C$2:$C$700,MATCH($C4781,'تحليل التكلفة والسعر'!$B$2:$B$700,0)),0))</f>
        <v/>
      </c>
    </row>
    <row r="4782" customFormat="false" ht="15" hidden="false" customHeight="false" outlineLevel="0" collapsed="false">
      <c r="A4782" s="103"/>
      <c r="B4782" s="104"/>
      <c r="C4782" s="104"/>
      <c r="E4782" s="107" t="str">
        <f aca="false">IF($C4782="","",IFERROR(INDEX(المنيو!$C$2:$C$500,MATCH($C4782,المنيو!$B$2:$B$500,0)),0))</f>
        <v/>
      </c>
      <c r="F4782" s="107" t="str">
        <f aca="false">IF($C4782="","",$D4782*$E4782)</f>
        <v/>
      </c>
      <c r="G4782" s="107" t="str">
        <f aca="false">IF($C4782="","",$D4782*IFERROR(INDEX('تحليل التكلفة والسعر'!$C$2:$C$700,MATCH($C4782,'تحليل التكلفة والسعر'!$B$2:$B$700,0)),0))</f>
        <v/>
      </c>
    </row>
    <row r="4783" customFormat="false" ht="15" hidden="false" customHeight="false" outlineLevel="0" collapsed="false">
      <c r="A4783" s="103"/>
      <c r="B4783" s="104"/>
      <c r="C4783" s="104"/>
      <c r="E4783" s="107" t="str">
        <f aca="false">IF($C4783="","",IFERROR(INDEX(المنيو!$C$2:$C$500,MATCH($C4783,المنيو!$B$2:$B$500,0)),0))</f>
        <v/>
      </c>
      <c r="F4783" s="107" t="str">
        <f aca="false">IF($C4783="","",$D4783*$E4783)</f>
        <v/>
      </c>
      <c r="G4783" s="107" t="str">
        <f aca="false">IF($C4783="","",$D4783*IFERROR(INDEX('تحليل التكلفة والسعر'!$C$2:$C$700,MATCH($C4783,'تحليل التكلفة والسعر'!$B$2:$B$700,0)),0))</f>
        <v/>
      </c>
    </row>
    <row r="4784" customFormat="false" ht="15" hidden="false" customHeight="false" outlineLevel="0" collapsed="false">
      <c r="A4784" s="103"/>
      <c r="B4784" s="104"/>
      <c r="C4784" s="104"/>
      <c r="E4784" s="107" t="str">
        <f aca="false">IF($C4784="","",IFERROR(INDEX(المنيو!$C$2:$C$500,MATCH($C4784,المنيو!$B$2:$B$500,0)),0))</f>
        <v/>
      </c>
      <c r="F4784" s="107" t="str">
        <f aca="false">IF($C4784="","",$D4784*$E4784)</f>
        <v/>
      </c>
      <c r="G4784" s="107" t="str">
        <f aca="false">IF($C4784="","",$D4784*IFERROR(INDEX('تحليل التكلفة والسعر'!$C$2:$C$700,MATCH($C4784,'تحليل التكلفة والسعر'!$B$2:$B$700,0)),0))</f>
        <v/>
      </c>
    </row>
    <row r="4785" customFormat="false" ht="15" hidden="false" customHeight="false" outlineLevel="0" collapsed="false">
      <c r="A4785" s="103"/>
      <c r="B4785" s="104"/>
      <c r="C4785" s="104"/>
      <c r="E4785" s="107" t="str">
        <f aca="false">IF($C4785="","",IFERROR(INDEX(المنيو!$C$2:$C$500,MATCH($C4785,المنيو!$B$2:$B$500,0)),0))</f>
        <v/>
      </c>
      <c r="F4785" s="107" t="str">
        <f aca="false">IF($C4785="","",$D4785*$E4785)</f>
        <v/>
      </c>
      <c r="G4785" s="107" t="str">
        <f aca="false">IF($C4785="","",$D4785*IFERROR(INDEX('تحليل التكلفة والسعر'!$C$2:$C$700,MATCH($C4785,'تحليل التكلفة والسعر'!$B$2:$B$700,0)),0))</f>
        <v/>
      </c>
    </row>
    <row r="4786" customFormat="false" ht="15" hidden="false" customHeight="false" outlineLevel="0" collapsed="false">
      <c r="A4786" s="103"/>
      <c r="B4786" s="104"/>
      <c r="C4786" s="104"/>
      <c r="E4786" s="107" t="str">
        <f aca="false">IF($C4786="","",IFERROR(INDEX(المنيو!$C$2:$C$500,MATCH($C4786,المنيو!$B$2:$B$500,0)),0))</f>
        <v/>
      </c>
      <c r="F4786" s="107" t="str">
        <f aca="false">IF($C4786="","",$D4786*$E4786)</f>
        <v/>
      </c>
      <c r="G4786" s="107" t="str">
        <f aca="false">IF($C4786="","",$D4786*IFERROR(INDEX('تحليل التكلفة والسعر'!$C$2:$C$700,MATCH($C4786,'تحليل التكلفة والسعر'!$B$2:$B$700,0)),0))</f>
        <v/>
      </c>
    </row>
    <row r="4787" customFormat="false" ht="15" hidden="false" customHeight="false" outlineLevel="0" collapsed="false">
      <c r="A4787" s="103"/>
      <c r="B4787" s="104"/>
      <c r="C4787" s="104"/>
      <c r="E4787" s="107" t="str">
        <f aca="false">IF($C4787="","",IFERROR(INDEX(المنيو!$C$2:$C$500,MATCH($C4787,المنيو!$B$2:$B$500,0)),0))</f>
        <v/>
      </c>
      <c r="F4787" s="107" t="str">
        <f aca="false">IF($C4787="","",$D4787*$E4787)</f>
        <v/>
      </c>
      <c r="G4787" s="107" t="str">
        <f aca="false">IF($C4787="","",$D4787*IFERROR(INDEX('تحليل التكلفة والسعر'!$C$2:$C$700,MATCH($C4787,'تحليل التكلفة والسعر'!$B$2:$B$700,0)),0))</f>
        <v/>
      </c>
    </row>
    <row r="4788" customFormat="false" ht="15" hidden="false" customHeight="false" outlineLevel="0" collapsed="false">
      <c r="A4788" s="103"/>
      <c r="B4788" s="104"/>
      <c r="C4788" s="104"/>
      <c r="E4788" s="107" t="str">
        <f aca="false">IF($C4788="","",IFERROR(INDEX(المنيو!$C$2:$C$500,MATCH($C4788,المنيو!$B$2:$B$500,0)),0))</f>
        <v/>
      </c>
      <c r="F4788" s="107" t="str">
        <f aca="false">IF($C4788="","",$D4788*$E4788)</f>
        <v/>
      </c>
      <c r="G4788" s="107" t="str">
        <f aca="false">IF($C4788="","",$D4788*IFERROR(INDEX('تحليل التكلفة والسعر'!$C$2:$C$700,MATCH($C4788,'تحليل التكلفة والسعر'!$B$2:$B$700,0)),0))</f>
        <v/>
      </c>
    </row>
    <row r="4789" customFormat="false" ht="15" hidden="false" customHeight="false" outlineLevel="0" collapsed="false">
      <c r="A4789" s="103"/>
      <c r="B4789" s="104"/>
      <c r="C4789" s="104"/>
      <c r="E4789" s="107" t="str">
        <f aca="false">IF($C4789="","",IFERROR(INDEX(المنيو!$C$2:$C$500,MATCH($C4789,المنيو!$B$2:$B$500,0)),0))</f>
        <v/>
      </c>
      <c r="F4789" s="107" t="str">
        <f aca="false">IF($C4789="","",$D4789*$E4789)</f>
        <v/>
      </c>
      <c r="G4789" s="107" t="str">
        <f aca="false">IF($C4789="","",$D4789*IFERROR(INDEX('تحليل التكلفة والسعر'!$C$2:$C$700,MATCH($C4789,'تحليل التكلفة والسعر'!$B$2:$B$700,0)),0))</f>
        <v/>
      </c>
    </row>
    <row r="4790" customFormat="false" ht="15" hidden="false" customHeight="false" outlineLevel="0" collapsed="false">
      <c r="A4790" s="103"/>
      <c r="B4790" s="104"/>
      <c r="C4790" s="104"/>
      <c r="E4790" s="107" t="str">
        <f aca="false">IF($C4790="","",IFERROR(INDEX(المنيو!$C$2:$C$500,MATCH($C4790,المنيو!$B$2:$B$500,0)),0))</f>
        <v/>
      </c>
      <c r="F4790" s="107" t="str">
        <f aca="false">IF($C4790="","",$D4790*$E4790)</f>
        <v/>
      </c>
      <c r="G4790" s="107" t="str">
        <f aca="false">IF($C4790="","",$D4790*IFERROR(INDEX('تحليل التكلفة والسعر'!$C$2:$C$700,MATCH($C4790,'تحليل التكلفة والسعر'!$B$2:$B$700,0)),0))</f>
        <v/>
      </c>
    </row>
    <row r="4791" customFormat="false" ht="15" hidden="false" customHeight="false" outlineLevel="0" collapsed="false">
      <c r="A4791" s="103"/>
      <c r="B4791" s="104"/>
      <c r="C4791" s="104"/>
      <c r="E4791" s="107" t="str">
        <f aca="false">IF($C4791="","",IFERROR(INDEX(المنيو!$C$2:$C$500,MATCH($C4791,المنيو!$B$2:$B$500,0)),0))</f>
        <v/>
      </c>
      <c r="F4791" s="107" t="str">
        <f aca="false">IF($C4791="","",$D4791*$E4791)</f>
        <v/>
      </c>
      <c r="G4791" s="107" t="str">
        <f aca="false">IF($C4791="","",$D4791*IFERROR(INDEX('تحليل التكلفة والسعر'!$C$2:$C$700,MATCH($C4791,'تحليل التكلفة والسعر'!$B$2:$B$700,0)),0))</f>
        <v/>
      </c>
    </row>
    <row r="4792" customFormat="false" ht="15" hidden="false" customHeight="false" outlineLevel="0" collapsed="false">
      <c r="A4792" s="103"/>
      <c r="B4792" s="104"/>
      <c r="C4792" s="104"/>
      <c r="E4792" s="107" t="str">
        <f aca="false">IF($C4792="","",IFERROR(INDEX(المنيو!$C$2:$C$500,MATCH($C4792,المنيو!$B$2:$B$500,0)),0))</f>
        <v/>
      </c>
      <c r="F4792" s="107" t="str">
        <f aca="false">IF($C4792="","",$D4792*$E4792)</f>
        <v/>
      </c>
      <c r="G4792" s="107" t="str">
        <f aca="false">IF($C4792="","",$D4792*IFERROR(INDEX('تحليل التكلفة والسعر'!$C$2:$C$700,MATCH($C4792,'تحليل التكلفة والسعر'!$B$2:$B$700,0)),0))</f>
        <v/>
      </c>
    </row>
    <row r="4793" customFormat="false" ht="15" hidden="false" customHeight="false" outlineLevel="0" collapsed="false">
      <c r="A4793" s="103"/>
      <c r="B4793" s="104"/>
      <c r="C4793" s="104"/>
      <c r="E4793" s="107" t="str">
        <f aca="false">IF($C4793="","",IFERROR(INDEX(المنيو!$C$2:$C$500,MATCH($C4793,المنيو!$B$2:$B$500,0)),0))</f>
        <v/>
      </c>
      <c r="F4793" s="107" t="str">
        <f aca="false">IF($C4793="","",$D4793*$E4793)</f>
        <v/>
      </c>
      <c r="G4793" s="107" t="str">
        <f aca="false">IF($C4793="","",$D4793*IFERROR(INDEX('تحليل التكلفة والسعر'!$C$2:$C$700,MATCH($C4793,'تحليل التكلفة والسعر'!$B$2:$B$700,0)),0))</f>
        <v/>
      </c>
    </row>
    <row r="4794" customFormat="false" ht="15" hidden="false" customHeight="false" outlineLevel="0" collapsed="false">
      <c r="A4794" s="103"/>
      <c r="B4794" s="104"/>
      <c r="C4794" s="104"/>
      <c r="E4794" s="107" t="str">
        <f aca="false">IF($C4794="","",IFERROR(INDEX(المنيو!$C$2:$C$500,MATCH($C4794,المنيو!$B$2:$B$500,0)),0))</f>
        <v/>
      </c>
      <c r="F4794" s="107" t="str">
        <f aca="false">IF($C4794="","",$D4794*$E4794)</f>
        <v/>
      </c>
      <c r="G4794" s="107" t="str">
        <f aca="false">IF($C4794="","",$D4794*IFERROR(INDEX('تحليل التكلفة والسعر'!$C$2:$C$700,MATCH($C4794,'تحليل التكلفة والسعر'!$B$2:$B$700,0)),0))</f>
        <v/>
      </c>
    </row>
    <row r="4795" customFormat="false" ht="15" hidden="false" customHeight="false" outlineLevel="0" collapsed="false">
      <c r="A4795" s="103"/>
      <c r="B4795" s="104"/>
      <c r="C4795" s="104"/>
      <c r="E4795" s="107" t="str">
        <f aca="false">IF($C4795="","",IFERROR(INDEX(المنيو!$C$2:$C$500,MATCH($C4795,المنيو!$B$2:$B$500,0)),0))</f>
        <v/>
      </c>
      <c r="F4795" s="107" t="str">
        <f aca="false">IF($C4795="","",$D4795*$E4795)</f>
        <v/>
      </c>
      <c r="G4795" s="107" t="str">
        <f aca="false">IF($C4795="","",$D4795*IFERROR(INDEX('تحليل التكلفة والسعر'!$C$2:$C$700,MATCH($C4795,'تحليل التكلفة والسعر'!$B$2:$B$700,0)),0))</f>
        <v/>
      </c>
    </row>
    <row r="4796" customFormat="false" ht="15" hidden="false" customHeight="false" outlineLevel="0" collapsed="false">
      <c r="A4796" s="103"/>
      <c r="B4796" s="104"/>
      <c r="C4796" s="104"/>
      <c r="E4796" s="107" t="str">
        <f aca="false">IF($C4796="","",IFERROR(INDEX(المنيو!$C$2:$C$500,MATCH($C4796,المنيو!$B$2:$B$500,0)),0))</f>
        <v/>
      </c>
      <c r="F4796" s="107" t="str">
        <f aca="false">IF($C4796="","",$D4796*$E4796)</f>
        <v/>
      </c>
      <c r="G4796" s="107" t="str">
        <f aca="false">IF($C4796="","",$D4796*IFERROR(INDEX('تحليل التكلفة والسعر'!$C$2:$C$700,MATCH($C4796,'تحليل التكلفة والسعر'!$B$2:$B$700,0)),0))</f>
        <v/>
      </c>
    </row>
    <row r="4797" customFormat="false" ht="15" hidden="false" customHeight="false" outlineLevel="0" collapsed="false">
      <c r="A4797" s="103"/>
      <c r="B4797" s="104"/>
      <c r="C4797" s="104"/>
      <c r="E4797" s="107" t="str">
        <f aca="false">IF($C4797="","",IFERROR(INDEX(المنيو!$C$2:$C$500,MATCH($C4797,المنيو!$B$2:$B$500,0)),0))</f>
        <v/>
      </c>
      <c r="F4797" s="107" t="str">
        <f aca="false">IF($C4797="","",$D4797*$E4797)</f>
        <v/>
      </c>
      <c r="G4797" s="107" t="str">
        <f aca="false">IF($C4797="","",$D4797*IFERROR(INDEX('تحليل التكلفة والسعر'!$C$2:$C$700,MATCH($C4797,'تحليل التكلفة والسعر'!$B$2:$B$700,0)),0))</f>
        <v/>
      </c>
    </row>
    <row r="4798" customFormat="false" ht="15" hidden="false" customHeight="false" outlineLevel="0" collapsed="false">
      <c r="A4798" s="103"/>
      <c r="B4798" s="104"/>
      <c r="C4798" s="104"/>
      <c r="E4798" s="107" t="str">
        <f aca="false">IF($C4798="","",IFERROR(INDEX(المنيو!$C$2:$C$500,MATCH($C4798,المنيو!$B$2:$B$500,0)),0))</f>
        <v/>
      </c>
      <c r="F4798" s="107" t="str">
        <f aca="false">IF($C4798="","",$D4798*$E4798)</f>
        <v/>
      </c>
      <c r="G4798" s="107" t="str">
        <f aca="false">IF($C4798="","",$D4798*IFERROR(INDEX('تحليل التكلفة والسعر'!$C$2:$C$700,MATCH($C4798,'تحليل التكلفة والسعر'!$B$2:$B$700,0)),0))</f>
        <v/>
      </c>
    </row>
    <row r="4799" customFormat="false" ht="15" hidden="false" customHeight="false" outlineLevel="0" collapsed="false">
      <c r="A4799" s="103"/>
      <c r="B4799" s="104"/>
      <c r="C4799" s="104"/>
      <c r="E4799" s="107" t="str">
        <f aca="false">IF($C4799="","",IFERROR(INDEX(المنيو!$C$2:$C$500,MATCH($C4799,المنيو!$B$2:$B$500,0)),0))</f>
        <v/>
      </c>
      <c r="F4799" s="107" t="str">
        <f aca="false">IF($C4799="","",$D4799*$E4799)</f>
        <v/>
      </c>
      <c r="G4799" s="107" t="str">
        <f aca="false">IF($C4799="","",$D4799*IFERROR(INDEX('تحليل التكلفة والسعر'!$C$2:$C$700,MATCH($C4799,'تحليل التكلفة والسعر'!$B$2:$B$700,0)),0))</f>
        <v/>
      </c>
    </row>
    <row r="4800" customFormat="false" ht="15" hidden="false" customHeight="false" outlineLevel="0" collapsed="false">
      <c r="A4800" s="103"/>
      <c r="B4800" s="104"/>
      <c r="C4800" s="104"/>
      <c r="E4800" s="107" t="str">
        <f aca="false">IF($C4800="","",IFERROR(INDEX(المنيو!$C$2:$C$500,MATCH($C4800,المنيو!$B$2:$B$500,0)),0))</f>
        <v/>
      </c>
      <c r="F4800" s="107" t="str">
        <f aca="false">IF($C4800="","",$D4800*$E4800)</f>
        <v/>
      </c>
      <c r="G4800" s="107" t="str">
        <f aca="false">IF($C4800="","",$D4800*IFERROR(INDEX('تحليل التكلفة والسعر'!$C$2:$C$700,MATCH($C4800,'تحليل التكلفة والسعر'!$B$2:$B$700,0)),0))</f>
        <v/>
      </c>
    </row>
    <row r="4801" customFormat="false" ht="15" hidden="false" customHeight="false" outlineLevel="0" collapsed="false">
      <c r="A4801" s="103"/>
      <c r="B4801" s="104"/>
      <c r="C4801" s="104"/>
      <c r="E4801" s="107" t="str">
        <f aca="false">IF($C4801="","",IFERROR(INDEX(المنيو!$C$2:$C$500,MATCH($C4801,المنيو!$B$2:$B$500,0)),0))</f>
        <v/>
      </c>
      <c r="F4801" s="107" t="str">
        <f aca="false">IF($C4801="","",$D4801*$E4801)</f>
        <v/>
      </c>
      <c r="G4801" s="107" t="str">
        <f aca="false">IF($C4801="","",$D4801*IFERROR(INDEX('تحليل التكلفة والسعر'!$C$2:$C$700,MATCH($C4801,'تحليل التكلفة والسعر'!$B$2:$B$700,0)),0))</f>
        <v/>
      </c>
    </row>
    <row r="4802" customFormat="false" ht="15" hidden="false" customHeight="false" outlineLevel="0" collapsed="false">
      <c r="A4802" s="103"/>
      <c r="B4802" s="104"/>
      <c r="C4802" s="104"/>
      <c r="E4802" s="107" t="str">
        <f aca="false">IF($C4802="","",IFERROR(INDEX(المنيو!$C$2:$C$500,MATCH($C4802,المنيو!$B$2:$B$500,0)),0))</f>
        <v/>
      </c>
      <c r="F4802" s="107" t="str">
        <f aca="false">IF($C4802="","",$D4802*$E4802)</f>
        <v/>
      </c>
      <c r="G4802" s="107" t="str">
        <f aca="false">IF($C4802="","",$D4802*IFERROR(INDEX('تحليل التكلفة والسعر'!$C$2:$C$700,MATCH($C4802,'تحليل التكلفة والسعر'!$B$2:$B$700,0)),0))</f>
        <v/>
      </c>
    </row>
    <row r="4803" customFormat="false" ht="15" hidden="false" customHeight="false" outlineLevel="0" collapsed="false">
      <c r="A4803" s="103"/>
      <c r="B4803" s="104"/>
      <c r="C4803" s="104"/>
      <c r="E4803" s="107" t="str">
        <f aca="false">IF($C4803="","",IFERROR(INDEX(المنيو!$C$2:$C$500,MATCH($C4803,المنيو!$B$2:$B$500,0)),0))</f>
        <v/>
      </c>
      <c r="F4803" s="107" t="str">
        <f aca="false">IF($C4803="","",$D4803*$E4803)</f>
        <v/>
      </c>
      <c r="G4803" s="107" t="str">
        <f aca="false">IF($C4803="","",$D4803*IFERROR(INDEX('تحليل التكلفة والسعر'!$C$2:$C$700,MATCH($C4803,'تحليل التكلفة والسعر'!$B$2:$B$700,0)),0))</f>
        <v/>
      </c>
    </row>
    <row r="4804" customFormat="false" ht="15" hidden="false" customHeight="false" outlineLevel="0" collapsed="false">
      <c r="A4804" s="103"/>
      <c r="B4804" s="104"/>
      <c r="C4804" s="104"/>
      <c r="E4804" s="107" t="str">
        <f aca="false">IF($C4804="","",IFERROR(INDEX(المنيو!$C$2:$C$500,MATCH($C4804,المنيو!$B$2:$B$500,0)),0))</f>
        <v/>
      </c>
      <c r="F4804" s="107" t="str">
        <f aca="false">IF($C4804="","",$D4804*$E4804)</f>
        <v/>
      </c>
      <c r="G4804" s="107" t="str">
        <f aca="false">IF($C4804="","",$D4804*IFERROR(INDEX('تحليل التكلفة والسعر'!$C$2:$C$700,MATCH($C4804,'تحليل التكلفة والسعر'!$B$2:$B$700,0)),0))</f>
        <v/>
      </c>
    </row>
    <row r="4805" customFormat="false" ht="15" hidden="false" customHeight="false" outlineLevel="0" collapsed="false">
      <c r="A4805" s="103"/>
      <c r="B4805" s="104"/>
      <c r="C4805" s="104"/>
      <c r="E4805" s="107" t="str">
        <f aca="false">IF($C4805="","",IFERROR(INDEX(المنيو!$C$2:$C$500,MATCH($C4805,المنيو!$B$2:$B$500,0)),0))</f>
        <v/>
      </c>
      <c r="F4805" s="107" t="str">
        <f aca="false">IF($C4805="","",$D4805*$E4805)</f>
        <v/>
      </c>
      <c r="G4805" s="107" t="str">
        <f aca="false">IF($C4805="","",$D4805*IFERROR(INDEX('تحليل التكلفة والسعر'!$C$2:$C$700,MATCH($C4805,'تحليل التكلفة والسعر'!$B$2:$B$700,0)),0))</f>
        <v/>
      </c>
    </row>
    <row r="4806" customFormat="false" ht="15" hidden="false" customHeight="false" outlineLevel="0" collapsed="false">
      <c r="A4806" s="103"/>
      <c r="B4806" s="104"/>
      <c r="C4806" s="104"/>
      <c r="E4806" s="107" t="str">
        <f aca="false">IF($C4806="","",IFERROR(INDEX(المنيو!$C$2:$C$500,MATCH($C4806,المنيو!$B$2:$B$500,0)),0))</f>
        <v/>
      </c>
      <c r="F4806" s="107" t="str">
        <f aca="false">IF($C4806="","",$D4806*$E4806)</f>
        <v/>
      </c>
      <c r="G4806" s="107" t="str">
        <f aca="false">IF($C4806="","",$D4806*IFERROR(INDEX('تحليل التكلفة والسعر'!$C$2:$C$700,MATCH($C4806,'تحليل التكلفة والسعر'!$B$2:$B$700,0)),0))</f>
        <v/>
      </c>
    </row>
    <row r="4807" customFormat="false" ht="15" hidden="false" customHeight="false" outlineLevel="0" collapsed="false">
      <c r="A4807" s="103"/>
      <c r="B4807" s="104"/>
      <c r="C4807" s="104"/>
      <c r="E4807" s="107" t="str">
        <f aca="false">IF($C4807="","",IFERROR(INDEX(المنيو!$C$2:$C$500,MATCH($C4807,المنيو!$B$2:$B$500,0)),0))</f>
        <v/>
      </c>
      <c r="F4807" s="107" t="str">
        <f aca="false">IF($C4807="","",$D4807*$E4807)</f>
        <v/>
      </c>
      <c r="G4807" s="107" t="str">
        <f aca="false">IF($C4807="","",$D4807*IFERROR(INDEX('تحليل التكلفة والسعر'!$C$2:$C$700,MATCH($C4807,'تحليل التكلفة والسعر'!$B$2:$B$700,0)),0))</f>
        <v/>
      </c>
    </row>
    <row r="4808" customFormat="false" ht="15" hidden="false" customHeight="false" outlineLevel="0" collapsed="false">
      <c r="A4808" s="103"/>
      <c r="B4808" s="104"/>
      <c r="C4808" s="104"/>
      <c r="E4808" s="107" t="str">
        <f aca="false">IF($C4808="","",IFERROR(INDEX(المنيو!$C$2:$C$500,MATCH($C4808,المنيو!$B$2:$B$500,0)),0))</f>
        <v/>
      </c>
      <c r="F4808" s="107" t="str">
        <f aca="false">IF($C4808="","",$D4808*$E4808)</f>
        <v/>
      </c>
      <c r="G4808" s="107" t="str">
        <f aca="false">IF($C4808="","",$D4808*IFERROR(INDEX('تحليل التكلفة والسعر'!$C$2:$C$700,MATCH($C4808,'تحليل التكلفة والسعر'!$B$2:$B$700,0)),0))</f>
        <v/>
      </c>
    </row>
    <row r="4809" customFormat="false" ht="15" hidden="false" customHeight="false" outlineLevel="0" collapsed="false">
      <c r="A4809" s="103"/>
      <c r="B4809" s="104"/>
      <c r="C4809" s="104"/>
      <c r="E4809" s="107" t="str">
        <f aca="false">IF($C4809="","",IFERROR(INDEX(المنيو!$C$2:$C$500,MATCH($C4809,المنيو!$B$2:$B$500,0)),0))</f>
        <v/>
      </c>
      <c r="F4809" s="107" t="str">
        <f aca="false">IF($C4809="","",$D4809*$E4809)</f>
        <v/>
      </c>
      <c r="G4809" s="107" t="str">
        <f aca="false">IF($C4809="","",$D4809*IFERROR(INDEX('تحليل التكلفة والسعر'!$C$2:$C$700,MATCH($C4809,'تحليل التكلفة والسعر'!$B$2:$B$700,0)),0))</f>
        <v/>
      </c>
    </row>
    <row r="4810" customFormat="false" ht="15" hidden="false" customHeight="false" outlineLevel="0" collapsed="false">
      <c r="A4810" s="103"/>
      <c r="B4810" s="104"/>
      <c r="C4810" s="104"/>
      <c r="E4810" s="107" t="str">
        <f aca="false">IF($C4810="","",IFERROR(INDEX(المنيو!$C$2:$C$500,MATCH($C4810,المنيو!$B$2:$B$500,0)),0))</f>
        <v/>
      </c>
      <c r="F4810" s="107" t="str">
        <f aca="false">IF($C4810="","",$D4810*$E4810)</f>
        <v/>
      </c>
      <c r="G4810" s="107" t="str">
        <f aca="false">IF($C4810="","",$D4810*IFERROR(INDEX('تحليل التكلفة والسعر'!$C$2:$C$700,MATCH($C4810,'تحليل التكلفة والسعر'!$B$2:$B$700,0)),0))</f>
        <v/>
      </c>
    </row>
    <row r="4811" customFormat="false" ht="15" hidden="false" customHeight="false" outlineLevel="0" collapsed="false">
      <c r="A4811" s="103"/>
      <c r="B4811" s="104"/>
      <c r="C4811" s="104"/>
      <c r="E4811" s="107" t="str">
        <f aca="false">IF($C4811="","",IFERROR(INDEX(المنيو!$C$2:$C$500,MATCH($C4811,المنيو!$B$2:$B$500,0)),0))</f>
        <v/>
      </c>
      <c r="F4811" s="107" t="str">
        <f aca="false">IF($C4811="","",$D4811*$E4811)</f>
        <v/>
      </c>
      <c r="G4811" s="107" t="str">
        <f aca="false">IF($C4811="","",$D4811*IFERROR(INDEX('تحليل التكلفة والسعر'!$C$2:$C$700,MATCH($C4811,'تحليل التكلفة والسعر'!$B$2:$B$700,0)),0))</f>
        <v/>
      </c>
    </row>
    <row r="4812" customFormat="false" ht="15" hidden="false" customHeight="false" outlineLevel="0" collapsed="false">
      <c r="A4812" s="103"/>
      <c r="B4812" s="104"/>
      <c r="C4812" s="104"/>
      <c r="E4812" s="107" t="str">
        <f aca="false">IF($C4812="","",IFERROR(INDEX(المنيو!$C$2:$C$500,MATCH($C4812,المنيو!$B$2:$B$500,0)),0))</f>
        <v/>
      </c>
      <c r="F4812" s="107" t="str">
        <f aca="false">IF($C4812="","",$D4812*$E4812)</f>
        <v/>
      </c>
      <c r="G4812" s="107" t="str">
        <f aca="false">IF($C4812="","",$D4812*IFERROR(INDEX('تحليل التكلفة والسعر'!$C$2:$C$700,MATCH($C4812,'تحليل التكلفة والسعر'!$B$2:$B$700,0)),0))</f>
        <v/>
      </c>
    </row>
    <row r="4813" customFormat="false" ht="15" hidden="false" customHeight="false" outlineLevel="0" collapsed="false">
      <c r="A4813" s="103"/>
      <c r="B4813" s="104"/>
      <c r="C4813" s="104"/>
      <c r="E4813" s="107" t="str">
        <f aca="false">IF($C4813="","",IFERROR(INDEX(المنيو!$C$2:$C$500,MATCH($C4813,المنيو!$B$2:$B$500,0)),0))</f>
        <v/>
      </c>
      <c r="F4813" s="107" t="str">
        <f aca="false">IF($C4813="","",$D4813*$E4813)</f>
        <v/>
      </c>
      <c r="G4813" s="107" t="str">
        <f aca="false">IF($C4813="","",$D4813*IFERROR(INDEX('تحليل التكلفة والسعر'!$C$2:$C$700,MATCH($C4813,'تحليل التكلفة والسعر'!$B$2:$B$700,0)),0))</f>
        <v/>
      </c>
    </row>
    <row r="4814" customFormat="false" ht="15" hidden="false" customHeight="false" outlineLevel="0" collapsed="false">
      <c r="A4814" s="103"/>
      <c r="B4814" s="104"/>
      <c r="C4814" s="104"/>
      <c r="E4814" s="107" t="str">
        <f aca="false">IF($C4814="","",IFERROR(INDEX(المنيو!$C$2:$C$500,MATCH($C4814,المنيو!$B$2:$B$500,0)),0))</f>
        <v/>
      </c>
      <c r="F4814" s="107" t="str">
        <f aca="false">IF($C4814="","",$D4814*$E4814)</f>
        <v/>
      </c>
      <c r="G4814" s="107" t="str">
        <f aca="false">IF($C4814="","",$D4814*IFERROR(INDEX('تحليل التكلفة والسعر'!$C$2:$C$700,MATCH($C4814,'تحليل التكلفة والسعر'!$B$2:$B$700,0)),0))</f>
        <v/>
      </c>
    </row>
    <row r="4815" customFormat="false" ht="15" hidden="false" customHeight="false" outlineLevel="0" collapsed="false">
      <c r="A4815" s="103"/>
      <c r="B4815" s="104"/>
      <c r="C4815" s="104"/>
      <c r="E4815" s="107" t="str">
        <f aca="false">IF($C4815="","",IFERROR(INDEX(المنيو!$C$2:$C$500,MATCH($C4815,المنيو!$B$2:$B$500,0)),0))</f>
        <v/>
      </c>
      <c r="F4815" s="107" t="str">
        <f aca="false">IF($C4815="","",$D4815*$E4815)</f>
        <v/>
      </c>
      <c r="G4815" s="107" t="str">
        <f aca="false">IF($C4815="","",$D4815*IFERROR(INDEX('تحليل التكلفة والسعر'!$C$2:$C$700,MATCH($C4815,'تحليل التكلفة والسعر'!$B$2:$B$700,0)),0))</f>
        <v/>
      </c>
    </row>
    <row r="4816" customFormat="false" ht="15" hidden="false" customHeight="false" outlineLevel="0" collapsed="false">
      <c r="A4816" s="103"/>
      <c r="B4816" s="104"/>
      <c r="C4816" s="104"/>
      <c r="E4816" s="107" t="str">
        <f aca="false">IF($C4816="","",IFERROR(INDEX(المنيو!$C$2:$C$500,MATCH($C4816,المنيو!$B$2:$B$500,0)),0))</f>
        <v/>
      </c>
      <c r="F4816" s="107" t="str">
        <f aca="false">IF($C4816="","",$D4816*$E4816)</f>
        <v/>
      </c>
      <c r="G4816" s="107" t="str">
        <f aca="false">IF($C4816="","",$D4816*IFERROR(INDEX('تحليل التكلفة والسعر'!$C$2:$C$700,MATCH($C4816,'تحليل التكلفة والسعر'!$B$2:$B$700,0)),0))</f>
        <v/>
      </c>
    </row>
    <row r="4817" customFormat="false" ht="15" hidden="false" customHeight="false" outlineLevel="0" collapsed="false">
      <c r="A4817" s="103"/>
      <c r="B4817" s="104"/>
      <c r="C4817" s="104"/>
      <c r="E4817" s="107" t="str">
        <f aca="false">IF($C4817="","",IFERROR(INDEX(المنيو!$C$2:$C$500,MATCH($C4817,المنيو!$B$2:$B$500,0)),0))</f>
        <v/>
      </c>
      <c r="F4817" s="107" t="str">
        <f aca="false">IF($C4817="","",$D4817*$E4817)</f>
        <v/>
      </c>
      <c r="G4817" s="107" t="str">
        <f aca="false">IF($C4817="","",$D4817*IFERROR(INDEX('تحليل التكلفة والسعر'!$C$2:$C$700,MATCH($C4817,'تحليل التكلفة والسعر'!$B$2:$B$700,0)),0))</f>
        <v/>
      </c>
    </row>
    <row r="4818" customFormat="false" ht="15" hidden="false" customHeight="false" outlineLevel="0" collapsed="false">
      <c r="A4818" s="103"/>
      <c r="B4818" s="104"/>
      <c r="C4818" s="104"/>
      <c r="E4818" s="107" t="str">
        <f aca="false">IF($C4818="","",IFERROR(INDEX(المنيو!$C$2:$C$500,MATCH($C4818,المنيو!$B$2:$B$500,0)),0))</f>
        <v/>
      </c>
      <c r="F4818" s="107" t="str">
        <f aca="false">IF($C4818="","",$D4818*$E4818)</f>
        <v/>
      </c>
      <c r="G4818" s="107" t="str">
        <f aca="false">IF($C4818="","",$D4818*IFERROR(INDEX('تحليل التكلفة والسعر'!$C$2:$C$700,MATCH($C4818,'تحليل التكلفة والسعر'!$B$2:$B$700,0)),0))</f>
        <v/>
      </c>
    </row>
    <row r="4819" customFormat="false" ht="15" hidden="false" customHeight="false" outlineLevel="0" collapsed="false">
      <c r="A4819" s="103"/>
      <c r="B4819" s="104"/>
      <c r="C4819" s="104"/>
      <c r="E4819" s="107" t="str">
        <f aca="false">IF($C4819="","",IFERROR(INDEX(المنيو!$C$2:$C$500,MATCH($C4819,المنيو!$B$2:$B$500,0)),0))</f>
        <v/>
      </c>
      <c r="F4819" s="107" t="str">
        <f aca="false">IF($C4819="","",$D4819*$E4819)</f>
        <v/>
      </c>
      <c r="G4819" s="107" t="str">
        <f aca="false">IF($C4819="","",$D4819*IFERROR(INDEX('تحليل التكلفة والسعر'!$C$2:$C$700,MATCH($C4819,'تحليل التكلفة والسعر'!$B$2:$B$700,0)),0))</f>
        <v/>
      </c>
    </row>
    <row r="4820" customFormat="false" ht="15" hidden="false" customHeight="false" outlineLevel="0" collapsed="false">
      <c r="A4820" s="103"/>
      <c r="B4820" s="104"/>
      <c r="C4820" s="104"/>
      <c r="E4820" s="107" t="str">
        <f aca="false">IF($C4820="","",IFERROR(INDEX(المنيو!$C$2:$C$500,MATCH($C4820,المنيو!$B$2:$B$500,0)),0))</f>
        <v/>
      </c>
      <c r="F4820" s="107" t="str">
        <f aca="false">IF($C4820="","",$D4820*$E4820)</f>
        <v/>
      </c>
      <c r="G4820" s="107" t="str">
        <f aca="false">IF($C4820="","",$D4820*IFERROR(INDEX('تحليل التكلفة والسعر'!$C$2:$C$700,MATCH($C4820,'تحليل التكلفة والسعر'!$B$2:$B$700,0)),0))</f>
        <v/>
      </c>
    </row>
    <row r="4821" customFormat="false" ht="15" hidden="false" customHeight="false" outlineLevel="0" collapsed="false">
      <c r="A4821" s="103"/>
      <c r="B4821" s="104"/>
      <c r="C4821" s="104"/>
      <c r="E4821" s="107" t="str">
        <f aca="false">IF($C4821="","",IFERROR(INDEX(المنيو!$C$2:$C$500,MATCH($C4821,المنيو!$B$2:$B$500,0)),0))</f>
        <v/>
      </c>
      <c r="F4821" s="107" t="str">
        <f aca="false">IF($C4821="","",$D4821*$E4821)</f>
        <v/>
      </c>
      <c r="G4821" s="107" t="str">
        <f aca="false">IF($C4821="","",$D4821*IFERROR(INDEX('تحليل التكلفة والسعر'!$C$2:$C$700,MATCH($C4821,'تحليل التكلفة والسعر'!$B$2:$B$700,0)),0))</f>
        <v/>
      </c>
    </row>
    <row r="4822" customFormat="false" ht="15" hidden="false" customHeight="false" outlineLevel="0" collapsed="false">
      <c r="A4822" s="103"/>
      <c r="B4822" s="104"/>
      <c r="C4822" s="104"/>
      <c r="E4822" s="107" t="str">
        <f aca="false">IF($C4822="","",IFERROR(INDEX(المنيو!$C$2:$C$500,MATCH($C4822,المنيو!$B$2:$B$500,0)),0))</f>
        <v/>
      </c>
      <c r="F4822" s="107" t="str">
        <f aca="false">IF($C4822="","",$D4822*$E4822)</f>
        <v/>
      </c>
      <c r="G4822" s="107" t="str">
        <f aca="false">IF($C4822="","",$D4822*IFERROR(INDEX('تحليل التكلفة والسعر'!$C$2:$C$700,MATCH($C4822,'تحليل التكلفة والسعر'!$B$2:$B$700,0)),0))</f>
        <v/>
      </c>
    </row>
    <row r="4823" customFormat="false" ht="15" hidden="false" customHeight="false" outlineLevel="0" collapsed="false">
      <c r="A4823" s="103"/>
      <c r="B4823" s="104"/>
      <c r="C4823" s="104"/>
      <c r="E4823" s="107" t="str">
        <f aca="false">IF($C4823="","",IFERROR(INDEX(المنيو!$C$2:$C$500,MATCH($C4823,المنيو!$B$2:$B$500,0)),0))</f>
        <v/>
      </c>
      <c r="F4823" s="107" t="str">
        <f aca="false">IF($C4823="","",$D4823*$E4823)</f>
        <v/>
      </c>
      <c r="G4823" s="107" t="str">
        <f aca="false">IF($C4823="","",$D4823*IFERROR(INDEX('تحليل التكلفة والسعر'!$C$2:$C$700,MATCH($C4823,'تحليل التكلفة والسعر'!$B$2:$B$700,0)),0))</f>
        <v/>
      </c>
    </row>
    <row r="4824" customFormat="false" ht="15" hidden="false" customHeight="false" outlineLevel="0" collapsed="false">
      <c r="A4824" s="103"/>
      <c r="B4824" s="104"/>
      <c r="C4824" s="104"/>
      <c r="E4824" s="107" t="str">
        <f aca="false">IF($C4824="","",IFERROR(INDEX(المنيو!$C$2:$C$500,MATCH($C4824,المنيو!$B$2:$B$500,0)),0))</f>
        <v/>
      </c>
      <c r="F4824" s="107" t="str">
        <f aca="false">IF($C4824="","",$D4824*$E4824)</f>
        <v/>
      </c>
      <c r="G4824" s="107" t="str">
        <f aca="false">IF($C4824="","",$D4824*IFERROR(INDEX('تحليل التكلفة والسعر'!$C$2:$C$700,MATCH($C4824,'تحليل التكلفة والسعر'!$B$2:$B$700,0)),0))</f>
        <v/>
      </c>
    </row>
    <row r="4825" customFormat="false" ht="15" hidden="false" customHeight="false" outlineLevel="0" collapsed="false">
      <c r="A4825" s="103"/>
      <c r="B4825" s="104"/>
      <c r="C4825" s="104"/>
      <c r="E4825" s="107" t="str">
        <f aca="false">IF($C4825="","",IFERROR(INDEX(المنيو!$C$2:$C$500,MATCH($C4825,المنيو!$B$2:$B$500,0)),0))</f>
        <v/>
      </c>
      <c r="F4825" s="107" t="str">
        <f aca="false">IF($C4825="","",$D4825*$E4825)</f>
        <v/>
      </c>
      <c r="G4825" s="107" t="str">
        <f aca="false">IF($C4825="","",$D4825*IFERROR(INDEX('تحليل التكلفة والسعر'!$C$2:$C$700,MATCH($C4825,'تحليل التكلفة والسعر'!$B$2:$B$700,0)),0))</f>
        <v/>
      </c>
    </row>
    <row r="4826" customFormat="false" ht="15" hidden="false" customHeight="false" outlineLevel="0" collapsed="false">
      <c r="A4826" s="103"/>
      <c r="B4826" s="104"/>
      <c r="C4826" s="104"/>
      <c r="E4826" s="107" t="str">
        <f aca="false">IF($C4826="","",IFERROR(INDEX(المنيو!$C$2:$C$500,MATCH($C4826,المنيو!$B$2:$B$500,0)),0))</f>
        <v/>
      </c>
      <c r="F4826" s="107" t="str">
        <f aca="false">IF($C4826="","",$D4826*$E4826)</f>
        <v/>
      </c>
      <c r="G4826" s="107" t="str">
        <f aca="false">IF($C4826="","",$D4826*IFERROR(INDEX('تحليل التكلفة والسعر'!$C$2:$C$700,MATCH($C4826,'تحليل التكلفة والسعر'!$B$2:$B$700,0)),0))</f>
        <v/>
      </c>
    </row>
    <row r="4827" customFormat="false" ht="15" hidden="false" customHeight="false" outlineLevel="0" collapsed="false">
      <c r="A4827" s="103"/>
      <c r="B4827" s="104"/>
      <c r="C4827" s="104"/>
      <c r="E4827" s="107" t="str">
        <f aca="false">IF($C4827="","",IFERROR(INDEX(المنيو!$C$2:$C$500,MATCH($C4827,المنيو!$B$2:$B$500,0)),0))</f>
        <v/>
      </c>
      <c r="F4827" s="107" t="str">
        <f aca="false">IF($C4827="","",$D4827*$E4827)</f>
        <v/>
      </c>
      <c r="G4827" s="107" t="str">
        <f aca="false">IF($C4827="","",$D4827*IFERROR(INDEX('تحليل التكلفة والسعر'!$C$2:$C$700,MATCH($C4827,'تحليل التكلفة والسعر'!$B$2:$B$700,0)),0))</f>
        <v/>
      </c>
    </row>
    <row r="4828" customFormat="false" ht="15" hidden="false" customHeight="false" outlineLevel="0" collapsed="false">
      <c r="A4828" s="103"/>
      <c r="B4828" s="104"/>
      <c r="C4828" s="104"/>
      <c r="E4828" s="107" t="str">
        <f aca="false">IF($C4828="","",IFERROR(INDEX(المنيو!$C$2:$C$500,MATCH($C4828,المنيو!$B$2:$B$500,0)),0))</f>
        <v/>
      </c>
      <c r="F4828" s="107" t="str">
        <f aca="false">IF($C4828="","",$D4828*$E4828)</f>
        <v/>
      </c>
      <c r="G4828" s="107" t="str">
        <f aca="false">IF($C4828="","",$D4828*IFERROR(INDEX('تحليل التكلفة والسعر'!$C$2:$C$700,MATCH($C4828,'تحليل التكلفة والسعر'!$B$2:$B$700,0)),0))</f>
        <v/>
      </c>
    </row>
    <row r="4829" customFormat="false" ht="15" hidden="false" customHeight="false" outlineLevel="0" collapsed="false">
      <c r="A4829" s="103"/>
      <c r="B4829" s="104"/>
      <c r="C4829" s="104"/>
      <c r="E4829" s="107" t="str">
        <f aca="false">IF($C4829="","",IFERROR(INDEX(المنيو!$C$2:$C$500,MATCH($C4829,المنيو!$B$2:$B$500,0)),0))</f>
        <v/>
      </c>
      <c r="F4829" s="107" t="str">
        <f aca="false">IF($C4829="","",$D4829*$E4829)</f>
        <v/>
      </c>
      <c r="G4829" s="107" t="str">
        <f aca="false">IF($C4829="","",$D4829*IFERROR(INDEX('تحليل التكلفة والسعر'!$C$2:$C$700,MATCH($C4829,'تحليل التكلفة والسعر'!$B$2:$B$700,0)),0))</f>
        <v/>
      </c>
    </row>
    <row r="4830" customFormat="false" ht="15" hidden="false" customHeight="false" outlineLevel="0" collapsed="false">
      <c r="A4830" s="103"/>
      <c r="B4830" s="104"/>
      <c r="C4830" s="104"/>
      <c r="E4830" s="107" t="str">
        <f aca="false">IF($C4830="","",IFERROR(INDEX(المنيو!$C$2:$C$500,MATCH($C4830,المنيو!$B$2:$B$500,0)),0))</f>
        <v/>
      </c>
      <c r="F4830" s="107" t="str">
        <f aca="false">IF($C4830="","",$D4830*$E4830)</f>
        <v/>
      </c>
      <c r="G4830" s="107" t="str">
        <f aca="false">IF($C4830="","",$D4830*IFERROR(INDEX('تحليل التكلفة والسعر'!$C$2:$C$700,MATCH($C4830,'تحليل التكلفة والسعر'!$B$2:$B$700,0)),0))</f>
        <v/>
      </c>
    </row>
    <row r="4831" customFormat="false" ht="15" hidden="false" customHeight="false" outlineLevel="0" collapsed="false">
      <c r="A4831" s="103"/>
      <c r="B4831" s="104"/>
      <c r="C4831" s="104"/>
      <c r="E4831" s="107" t="str">
        <f aca="false">IF($C4831="","",IFERROR(INDEX(المنيو!$C$2:$C$500,MATCH($C4831,المنيو!$B$2:$B$500,0)),0))</f>
        <v/>
      </c>
      <c r="F4831" s="107" t="str">
        <f aca="false">IF($C4831="","",$D4831*$E4831)</f>
        <v/>
      </c>
      <c r="G4831" s="107" t="str">
        <f aca="false">IF($C4831="","",$D4831*IFERROR(INDEX('تحليل التكلفة والسعر'!$C$2:$C$700,MATCH($C4831,'تحليل التكلفة والسعر'!$B$2:$B$700,0)),0))</f>
        <v/>
      </c>
    </row>
    <row r="4832" customFormat="false" ht="15" hidden="false" customHeight="false" outlineLevel="0" collapsed="false">
      <c r="A4832" s="103"/>
      <c r="B4832" s="104"/>
      <c r="C4832" s="104"/>
      <c r="E4832" s="107" t="str">
        <f aca="false">IF($C4832="","",IFERROR(INDEX(المنيو!$C$2:$C$500,MATCH($C4832,المنيو!$B$2:$B$500,0)),0))</f>
        <v/>
      </c>
      <c r="F4832" s="107" t="str">
        <f aca="false">IF($C4832="","",$D4832*$E4832)</f>
        <v/>
      </c>
      <c r="G4832" s="107" t="str">
        <f aca="false">IF($C4832="","",$D4832*IFERROR(INDEX('تحليل التكلفة والسعر'!$C$2:$C$700,MATCH($C4832,'تحليل التكلفة والسعر'!$B$2:$B$700,0)),0))</f>
        <v/>
      </c>
    </row>
    <row r="4833" customFormat="false" ht="15" hidden="false" customHeight="false" outlineLevel="0" collapsed="false">
      <c r="A4833" s="103"/>
      <c r="B4833" s="104"/>
      <c r="C4833" s="104"/>
      <c r="E4833" s="107" t="str">
        <f aca="false">IF($C4833="","",IFERROR(INDEX(المنيو!$C$2:$C$500,MATCH($C4833,المنيو!$B$2:$B$500,0)),0))</f>
        <v/>
      </c>
      <c r="F4833" s="107" t="str">
        <f aca="false">IF($C4833="","",$D4833*$E4833)</f>
        <v/>
      </c>
      <c r="G4833" s="107" t="str">
        <f aca="false">IF($C4833="","",$D4833*IFERROR(INDEX('تحليل التكلفة والسعر'!$C$2:$C$700,MATCH($C4833,'تحليل التكلفة والسعر'!$B$2:$B$700,0)),0))</f>
        <v/>
      </c>
    </row>
    <row r="4834" customFormat="false" ht="15" hidden="false" customHeight="false" outlineLevel="0" collapsed="false">
      <c r="A4834" s="103"/>
      <c r="B4834" s="104"/>
      <c r="C4834" s="104"/>
      <c r="E4834" s="107" t="str">
        <f aca="false">IF($C4834="","",IFERROR(INDEX(المنيو!$C$2:$C$500,MATCH($C4834,المنيو!$B$2:$B$500,0)),0))</f>
        <v/>
      </c>
      <c r="F4834" s="107" t="str">
        <f aca="false">IF($C4834="","",$D4834*$E4834)</f>
        <v/>
      </c>
      <c r="G4834" s="107" t="str">
        <f aca="false">IF($C4834="","",$D4834*IFERROR(INDEX('تحليل التكلفة والسعر'!$C$2:$C$700,MATCH($C4834,'تحليل التكلفة والسعر'!$B$2:$B$700,0)),0))</f>
        <v/>
      </c>
    </row>
    <row r="4835" customFormat="false" ht="15" hidden="false" customHeight="false" outlineLevel="0" collapsed="false">
      <c r="A4835" s="103"/>
      <c r="B4835" s="104"/>
      <c r="C4835" s="104"/>
      <c r="E4835" s="107" t="str">
        <f aca="false">IF($C4835="","",IFERROR(INDEX(المنيو!$C$2:$C$500,MATCH($C4835,المنيو!$B$2:$B$500,0)),0))</f>
        <v/>
      </c>
      <c r="F4835" s="107" t="str">
        <f aca="false">IF($C4835="","",$D4835*$E4835)</f>
        <v/>
      </c>
      <c r="G4835" s="107" t="str">
        <f aca="false">IF($C4835="","",$D4835*IFERROR(INDEX('تحليل التكلفة والسعر'!$C$2:$C$700,MATCH($C4835,'تحليل التكلفة والسعر'!$B$2:$B$700,0)),0))</f>
        <v/>
      </c>
    </row>
    <row r="4836" customFormat="false" ht="15" hidden="false" customHeight="false" outlineLevel="0" collapsed="false">
      <c r="A4836" s="103"/>
      <c r="B4836" s="104"/>
      <c r="C4836" s="104"/>
      <c r="E4836" s="107" t="str">
        <f aca="false">IF($C4836="","",IFERROR(INDEX(المنيو!$C$2:$C$500,MATCH($C4836,المنيو!$B$2:$B$500,0)),0))</f>
        <v/>
      </c>
      <c r="F4836" s="107" t="str">
        <f aca="false">IF($C4836="","",$D4836*$E4836)</f>
        <v/>
      </c>
      <c r="G4836" s="107" t="str">
        <f aca="false">IF($C4836="","",$D4836*IFERROR(INDEX('تحليل التكلفة والسعر'!$C$2:$C$700,MATCH($C4836,'تحليل التكلفة والسعر'!$B$2:$B$700,0)),0))</f>
        <v/>
      </c>
    </row>
    <row r="4837" customFormat="false" ht="15" hidden="false" customHeight="false" outlineLevel="0" collapsed="false">
      <c r="A4837" s="103"/>
      <c r="B4837" s="104"/>
      <c r="C4837" s="104"/>
      <c r="E4837" s="107" t="str">
        <f aca="false">IF($C4837="","",IFERROR(INDEX(المنيو!$C$2:$C$500,MATCH($C4837,المنيو!$B$2:$B$500,0)),0))</f>
        <v/>
      </c>
      <c r="F4837" s="107" t="str">
        <f aca="false">IF($C4837="","",$D4837*$E4837)</f>
        <v/>
      </c>
      <c r="G4837" s="107" t="str">
        <f aca="false">IF($C4837="","",$D4837*IFERROR(INDEX('تحليل التكلفة والسعر'!$C$2:$C$700,MATCH($C4837,'تحليل التكلفة والسعر'!$B$2:$B$700,0)),0))</f>
        <v/>
      </c>
    </row>
    <row r="4838" customFormat="false" ht="15" hidden="false" customHeight="false" outlineLevel="0" collapsed="false">
      <c r="A4838" s="103"/>
      <c r="B4838" s="104"/>
      <c r="C4838" s="104"/>
      <c r="E4838" s="107" t="str">
        <f aca="false">IF($C4838="","",IFERROR(INDEX(المنيو!$C$2:$C$500,MATCH($C4838,المنيو!$B$2:$B$500,0)),0))</f>
        <v/>
      </c>
      <c r="F4838" s="107" t="str">
        <f aca="false">IF($C4838="","",$D4838*$E4838)</f>
        <v/>
      </c>
      <c r="G4838" s="107" t="str">
        <f aca="false">IF($C4838="","",$D4838*IFERROR(INDEX('تحليل التكلفة والسعر'!$C$2:$C$700,MATCH($C4838,'تحليل التكلفة والسعر'!$B$2:$B$700,0)),0))</f>
        <v/>
      </c>
    </row>
    <row r="4839" customFormat="false" ht="15" hidden="false" customHeight="false" outlineLevel="0" collapsed="false">
      <c r="A4839" s="103"/>
      <c r="B4839" s="104"/>
      <c r="C4839" s="104"/>
      <c r="E4839" s="107" t="str">
        <f aca="false">IF($C4839="","",IFERROR(INDEX(المنيو!$C$2:$C$500,MATCH($C4839,المنيو!$B$2:$B$500,0)),0))</f>
        <v/>
      </c>
      <c r="F4839" s="107" t="str">
        <f aca="false">IF($C4839="","",$D4839*$E4839)</f>
        <v/>
      </c>
      <c r="G4839" s="107" t="str">
        <f aca="false">IF($C4839="","",$D4839*IFERROR(INDEX('تحليل التكلفة والسعر'!$C$2:$C$700,MATCH($C4839,'تحليل التكلفة والسعر'!$B$2:$B$700,0)),0))</f>
        <v/>
      </c>
    </row>
    <row r="4840" customFormat="false" ht="15" hidden="false" customHeight="false" outlineLevel="0" collapsed="false">
      <c r="A4840" s="103"/>
      <c r="B4840" s="104"/>
      <c r="C4840" s="104"/>
      <c r="E4840" s="107" t="str">
        <f aca="false">IF($C4840="","",IFERROR(INDEX(المنيو!$C$2:$C$500,MATCH($C4840,المنيو!$B$2:$B$500,0)),0))</f>
        <v/>
      </c>
      <c r="F4840" s="107" t="str">
        <f aca="false">IF($C4840="","",$D4840*$E4840)</f>
        <v/>
      </c>
      <c r="G4840" s="107" t="str">
        <f aca="false">IF($C4840="","",$D4840*IFERROR(INDEX('تحليل التكلفة والسعر'!$C$2:$C$700,MATCH($C4840,'تحليل التكلفة والسعر'!$B$2:$B$700,0)),0))</f>
        <v/>
      </c>
    </row>
    <row r="4841" customFormat="false" ht="15" hidden="false" customHeight="false" outlineLevel="0" collapsed="false">
      <c r="A4841" s="103"/>
      <c r="B4841" s="104"/>
      <c r="C4841" s="104"/>
      <c r="E4841" s="107" t="str">
        <f aca="false">IF($C4841="","",IFERROR(INDEX(المنيو!$C$2:$C$500,MATCH($C4841,المنيو!$B$2:$B$500,0)),0))</f>
        <v/>
      </c>
      <c r="F4841" s="107" t="str">
        <f aca="false">IF($C4841="","",$D4841*$E4841)</f>
        <v/>
      </c>
      <c r="G4841" s="107" t="str">
        <f aca="false">IF($C4841="","",$D4841*IFERROR(INDEX('تحليل التكلفة والسعر'!$C$2:$C$700,MATCH($C4841,'تحليل التكلفة والسعر'!$B$2:$B$700,0)),0))</f>
        <v/>
      </c>
    </row>
    <row r="4842" customFormat="false" ht="15" hidden="false" customHeight="false" outlineLevel="0" collapsed="false">
      <c r="A4842" s="103"/>
      <c r="B4842" s="104"/>
      <c r="C4842" s="104"/>
      <c r="E4842" s="107" t="str">
        <f aca="false">IF($C4842="","",IFERROR(INDEX(المنيو!$C$2:$C$500,MATCH($C4842,المنيو!$B$2:$B$500,0)),0))</f>
        <v/>
      </c>
      <c r="F4842" s="107" t="str">
        <f aca="false">IF($C4842="","",$D4842*$E4842)</f>
        <v/>
      </c>
      <c r="G4842" s="107" t="str">
        <f aca="false">IF($C4842="","",$D4842*IFERROR(INDEX('تحليل التكلفة والسعر'!$C$2:$C$700,MATCH($C4842,'تحليل التكلفة والسعر'!$B$2:$B$700,0)),0))</f>
        <v/>
      </c>
    </row>
    <row r="4843" customFormat="false" ht="15" hidden="false" customHeight="false" outlineLevel="0" collapsed="false">
      <c r="A4843" s="103"/>
      <c r="B4843" s="104"/>
      <c r="C4843" s="104"/>
      <c r="E4843" s="107" t="str">
        <f aca="false">IF($C4843="","",IFERROR(INDEX(المنيو!$C$2:$C$500,MATCH($C4843,المنيو!$B$2:$B$500,0)),0))</f>
        <v/>
      </c>
      <c r="F4843" s="107" t="str">
        <f aca="false">IF($C4843="","",$D4843*$E4843)</f>
        <v/>
      </c>
      <c r="G4843" s="107" t="str">
        <f aca="false">IF($C4843="","",$D4843*IFERROR(INDEX('تحليل التكلفة والسعر'!$C$2:$C$700,MATCH($C4843,'تحليل التكلفة والسعر'!$B$2:$B$700,0)),0))</f>
        <v/>
      </c>
    </row>
    <row r="4844" customFormat="false" ht="15" hidden="false" customHeight="false" outlineLevel="0" collapsed="false">
      <c r="A4844" s="103"/>
      <c r="B4844" s="104"/>
      <c r="C4844" s="104"/>
      <c r="E4844" s="107" t="str">
        <f aca="false">IF($C4844="","",IFERROR(INDEX(المنيو!$C$2:$C$500,MATCH($C4844,المنيو!$B$2:$B$500,0)),0))</f>
        <v/>
      </c>
      <c r="F4844" s="107" t="str">
        <f aca="false">IF($C4844="","",$D4844*$E4844)</f>
        <v/>
      </c>
      <c r="G4844" s="107" t="str">
        <f aca="false">IF($C4844="","",$D4844*IFERROR(INDEX('تحليل التكلفة والسعر'!$C$2:$C$700,MATCH($C4844,'تحليل التكلفة والسعر'!$B$2:$B$700,0)),0))</f>
        <v/>
      </c>
    </row>
    <row r="4845" customFormat="false" ht="15" hidden="false" customHeight="false" outlineLevel="0" collapsed="false">
      <c r="A4845" s="103"/>
      <c r="B4845" s="104"/>
      <c r="C4845" s="104"/>
      <c r="E4845" s="107" t="str">
        <f aca="false">IF($C4845="","",IFERROR(INDEX(المنيو!$C$2:$C$500,MATCH($C4845,المنيو!$B$2:$B$500,0)),0))</f>
        <v/>
      </c>
      <c r="F4845" s="107" t="str">
        <f aca="false">IF($C4845="","",$D4845*$E4845)</f>
        <v/>
      </c>
      <c r="G4845" s="107" t="str">
        <f aca="false">IF($C4845="","",$D4845*IFERROR(INDEX('تحليل التكلفة والسعر'!$C$2:$C$700,MATCH($C4845,'تحليل التكلفة والسعر'!$B$2:$B$700,0)),0))</f>
        <v/>
      </c>
    </row>
    <row r="4846" customFormat="false" ht="15" hidden="false" customHeight="false" outlineLevel="0" collapsed="false">
      <c r="A4846" s="103"/>
      <c r="B4846" s="104"/>
      <c r="C4846" s="104"/>
      <c r="E4846" s="107" t="str">
        <f aca="false">IF($C4846="","",IFERROR(INDEX(المنيو!$C$2:$C$500,MATCH($C4846,المنيو!$B$2:$B$500,0)),0))</f>
        <v/>
      </c>
      <c r="F4846" s="107" t="str">
        <f aca="false">IF($C4846="","",$D4846*$E4846)</f>
        <v/>
      </c>
      <c r="G4846" s="107" t="str">
        <f aca="false">IF($C4846="","",$D4846*IFERROR(INDEX('تحليل التكلفة والسعر'!$C$2:$C$700,MATCH($C4846,'تحليل التكلفة والسعر'!$B$2:$B$700,0)),0))</f>
        <v/>
      </c>
    </row>
    <row r="4847" customFormat="false" ht="15" hidden="false" customHeight="false" outlineLevel="0" collapsed="false">
      <c r="A4847" s="103"/>
      <c r="B4847" s="104"/>
      <c r="C4847" s="104"/>
      <c r="E4847" s="107" t="str">
        <f aca="false">IF($C4847="","",IFERROR(INDEX(المنيو!$C$2:$C$500,MATCH($C4847,المنيو!$B$2:$B$500,0)),0))</f>
        <v/>
      </c>
      <c r="F4847" s="107" t="str">
        <f aca="false">IF($C4847="","",$D4847*$E4847)</f>
        <v/>
      </c>
      <c r="G4847" s="107" t="str">
        <f aca="false">IF($C4847="","",$D4847*IFERROR(INDEX('تحليل التكلفة والسعر'!$C$2:$C$700,MATCH($C4847,'تحليل التكلفة والسعر'!$B$2:$B$700,0)),0))</f>
        <v/>
      </c>
    </row>
    <row r="4848" customFormat="false" ht="15" hidden="false" customHeight="false" outlineLevel="0" collapsed="false">
      <c r="A4848" s="103"/>
      <c r="B4848" s="104"/>
      <c r="C4848" s="104"/>
      <c r="E4848" s="107" t="str">
        <f aca="false">IF($C4848="","",IFERROR(INDEX(المنيو!$C$2:$C$500,MATCH($C4848,المنيو!$B$2:$B$500,0)),0))</f>
        <v/>
      </c>
      <c r="F4848" s="107" t="str">
        <f aca="false">IF($C4848="","",$D4848*$E4848)</f>
        <v/>
      </c>
      <c r="G4848" s="107" t="str">
        <f aca="false">IF($C4848="","",$D4848*IFERROR(INDEX('تحليل التكلفة والسعر'!$C$2:$C$700,MATCH($C4848,'تحليل التكلفة والسعر'!$B$2:$B$700,0)),0))</f>
        <v/>
      </c>
    </row>
    <row r="4849" customFormat="false" ht="15" hidden="false" customHeight="false" outlineLevel="0" collapsed="false">
      <c r="A4849" s="103"/>
      <c r="B4849" s="104"/>
      <c r="C4849" s="104"/>
      <c r="E4849" s="107" t="str">
        <f aca="false">IF($C4849="","",IFERROR(INDEX(المنيو!$C$2:$C$500,MATCH($C4849,المنيو!$B$2:$B$500,0)),0))</f>
        <v/>
      </c>
      <c r="F4849" s="107" t="str">
        <f aca="false">IF($C4849="","",$D4849*$E4849)</f>
        <v/>
      </c>
      <c r="G4849" s="107" t="str">
        <f aca="false">IF($C4849="","",$D4849*IFERROR(INDEX('تحليل التكلفة والسعر'!$C$2:$C$700,MATCH($C4849,'تحليل التكلفة والسعر'!$B$2:$B$700,0)),0))</f>
        <v/>
      </c>
    </row>
    <row r="4850" customFormat="false" ht="15" hidden="false" customHeight="false" outlineLevel="0" collapsed="false">
      <c r="A4850" s="103"/>
      <c r="B4850" s="104"/>
      <c r="C4850" s="104"/>
      <c r="E4850" s="107" t="str">
        <f aca="false">IF($C4850="","",IFERROR(INDEX(المنيو!$C$2:$C$500,MATCH($C4850,المنيو!$B$2:$B$500,0)),0))</f>
        <v/>
      </c>
      <c r="F4850" s="107" t="str">
        <f aca="false">IF($C4850="","",$D4850*$E4850)</f>
        <v/>
      </c>
      <c r="G4850" s="107" t="str">
        <f aca="false">IF($C4850="","",$D4850*IFERROR(INDEX('تحليل التكلفة والسعر'!$C$2:$C$700,MATCH($C4850,'تحليل التكلفة والسعر'!$B$2:$B$700,0)),0))</f>
        <v/>
      </c>
    </row>
    <row r="4851" customFormat="false" ht="15" hidden="false" customHeight="false" outlineLevel="0" collapsed="false">
      <c r="A4851" s="103"/>
      <c r="B4851" s="104"/>
      <c r="C4851" s="104"/>
      <c r="E4851" s="107" t="str">
        <f aca="false">IF($C4851="","",IFERROR(INDEX(المنيو!$C$2:$C$500,MATCH($C4851,المنيو!$B$2:$B$500,0)),0))</f>
        <v/>
      </c>
      <c r="F4851" s="107" t="str">
        <f aca="false">IF($C4851="","",$D4851*$E4851)</f>
        <v/>
      </c>
      <c r="G4851" s="107" t="str">
        <f aca="false">IF($C4851="","",$D4851*IFERROR(INDEX('تحليل التكلفة والسعر'!$C$2:$C$700,MATCH($C4851,'تحليل التكلفة والسعر'!$B$2:$B$700,0)),0))</f>
        <v/>
      </c>
    </row>
    <row r="4852" customFormat="false" ht="15" hidden="false" customHeight="false" outlineLevel="0" collapsed="false">
      <c r="A4852" s="103"/>
      <c r="B4852" s="104"/>
      <c r="C4852" s="104"/>
      <c r="E4852" s="107" t="str">
        <f aca="false">IF($C4852="","",IFERROR(INDEX(المنيو!$C$2:$C$500,MATCH($C4852,المنيو!$B$2:$B$500,0)),0))</f>
        <v/>
      </c>
      <c r="F4852" s="107" t="str">
        <f aca="false">IF($C4852="","",$D4852*$E4852)</f>
        <v/>
      </c>
      <c r="G4852" s="107" t="str">
        <f aca="false">IF($C4852="","",$D4852*IFERROR(INDEX('تحليل التكلفة والسعر'!$C$2:$C$700,MATCH($C4852,'تحليل التكلفة والسعر'!$B$2:$B$700,0)),0))</f>
        <v/>
      </c>
    </row>
    <row r="4853" customFormat="false" ht="15" hidden="false" customHeight="false" outlineLevel="0" collapsed="false">
      <c r="A4853" s="103"/>
      <c r="B4853" s="104"/>
      <c r="C4853" s="104"/>
      <c r="E4853" s="107" t="str">
        <f aca="false">IF($C4853="","",IFERROR(INDEX(المنيو!$C$2:$C$500,MATCH($C4853,المنيو!$B$2:$B$500,0)),0))</f>
        <v/>
      </c>
      <c r="F4853" s="107" t="str">
        <f aca="false">IF($C4853="","",$D4853*$E4853)</f>
        <v/>
      </c>
      <c r="G4853" s="107" t="str">
        <f aca="false">IF($C4853="","",$D4853*IFERROR(INDEX('تحليل التكلفة والسعر'!$C$2:$C$700,MATCH($C4853,'تحليل التكلفة والسعر'!$B$2:$B$700,0)),0))</f>
        <v/>
      </c>
    </row>
    <row r="4854" customFormat="false" ht="15" hidden="false" customHeight="false" outlineLevel="0" collapsed="false">
      <c r="A4854" s="103"/>
      <c r="B4854" s="104"/>
      <c r="C4854" s="104"/>
      <c r="E4854" s="107" t="str">
        <f aca="false">IF($C4854="","",IFERROR(INDEX(المنيو!$C$2:$C$500,MATCH($C4854,المنيو!$B$2:$B$500,0)),0))</f>
        <v/>
      </c>
      <c r="F4854" s="107" t="str">
        <f aca="false">IF($C4854="","",$D4854*$E4854)</f>
        <v/>
      </c>
      <c r="G4854" s="107" t="str">
        <f aca="false">IF($C4854="","",$D4854*IFERROR(INDEX('تحليل التكلفة والسعر'!$C$2:$C$700,MATCH($C4854,'تحليل التكلفة والسعر'!$B$2:$B$700,0)),0))</f>
        <v/>
      </c>
    </row>
    <row r="4855" customFormat="false" ht="15" hidden="false" customHeight="false" outlineLevel="0" collapsed="false">
      <c r="A4855" s="103"/>
      <c r="B4855" s="104"/>
      <c r="C4855" s="104"/>
      <c r="E4855" s="107" t="str">
        <f aca="false">IF($C4855="","",IFERROR(INDEX(المنيو!$C$2:$C$500,MATCH($C4855,المنيو!$B$2:$B$500,0)),0))</f>
        <v/>
      </c>
      <c r="F4855" s="107" t="str">
        <f aca="false">IF($C4855="","",$D4855*$E4855)</f>
        <v/>
      </c>
      <c r="G4855" s="107" t="str">
        <f aca="false">IF($C4855="","",$D4855*IFERROR(INDEX('تحليل التكلفة والسعر'!$C$2:$C$700,MATCH($C4855,'تحليل التكلفة والسعر'!$B$2:$B$700,0)),0))</f>
        <v/>
      </c>
    </row>
    <row r="4856" customFormat="false" ht="15" hidden="false" customHeight="false" outlineLevel="0" collapsed="false">
      <c r="A4856" s="103"/>
      <c r="B4856" s="104"/>
      <c r="C4856" s="104"/>
      <c r="E4856" s="107" t="str">
        <f aca="false">IF($C4856="","",IFERROR(INDEX(المنيو!$C$2:$C$500,MATCH($C4856,المنيو!$B$2:$B$500,0)),0))</f>
        <v/>
      </c>
      <c r="F4856" s="107" t="str">
        <f aca="false">IF($C4856="","",$D4856*$E4856)</f>
        <v/>
      </c>
      <c r="G4856" s="107" t="str">
        <f aca="false">IF($C4856="","",$D4856*IFERROR(INDEX('تحليل التكلفة والسعر'!$C$2:$C$700,MATCH($C4856,'تحليل التكلفة والسعر'!$B$2:$B$700,0)),0))</f>
        <v/>
      </c>
    </row>
    <row r="4857" customFormat="false" ht="15" hidden="false" customHeight="false" outlineLevel="0" collapsed="false">
      <c r="A4857" s="103"/>
      <c r="B4857" s="104"/>
      <c r="C4857" s="104"/>
      <c r="E4857" s="107" t="str">
        <f aca="false">IF($C4857="","",IFERROR(INDEX(المنيو!$C$2:$C$500,MATCH($C4857,المنيو!$B$2:$B$500,0)),0))</f>
        <v/>
      </c>
      <c r="F4857" s="107" t="str">
        <f aca="false">IF($C4857="","",$D4857*$E4857)</f>
        <v/>
      </c>
      <c r="G4857" s="107" t="str">
        <f aca="false">IF($C4857="","",$D4857*IFERROR(INDEX('تحليل التكلفة والسعر'!$C$2:$C$700,MATCH($C4857,'تحليل التكلفة والسعر'!$B$2:$B$700,0)),0))</f>
        <v/>
      </c>
    </row>
    <row r="4858" customFormat="false" ht="15" hidden="false" customHeight="false" outlineLevel="0" collapsed="false">
      <c r="A4858" s="103"/>
      <c r="B4858" s="104"/>
      <c r="C4858" s="104"/>
      <c r="E4858" s="107" t="str">
        <f aca="false">IF($C4858="","",IFERROR(INDEX(المنيو!$C$2:$C$500,MATCH($C4858,المنيو!$B$2:$B$500,0)),0))</f>
        <v/>
      </c>
      <c r="F4858" s="107" t="str">
        <f aca="false">IF($C4858="","",$D4858*$E4858)</f>
        <v/>
      </c>
      <c r="G4858" s="107" t="str">
        <f aca="false">IF($C4858="","",$D4858*IFERROR(INDEX('تحليل التكلفة والسعر'!$C$2:$C$700,MATCH($C4858,'تحليل التكلفة والسعر'!$B$2:$B$700,0)),0))</f>
        <v/>
      </c>
    </row>
    <row r="4859" customFormat="false" ht="15" hidden="false" customHeight="false" outlineLevel="0" collapsed="false">
      <c r="A4859" s="103"/>
      <c r="B4859" s="104"/>
      <c r="C4859" s="104"/>
      <c r="E4859" s="107" t="str">
        <f aca="false">IF($C4859="","",IFERROR(INDEX(المنيو!$C$2:$C$500,MATCH($C4859,المنيو!$B$2:$B$500,0)),0))</f>
        <v/>
      </c>
      <c r="F4859" s="107" t="str">
        <f aca="false">IF($C4859="","",$D4859*$E4859)</f>
        <v/>
      </c>
      <c r="G4859" s="107" t="str">
        <f aca="false">IF($C4859="","",$D4859*IFERROR(INDEX('تحليل التكلفة والسعر'!$C$2:$C$700,MATCH($C4859,'تحليل التكلفة والسعر'!$B$2:$B$700,0)),0))</f>
        <v/>
      </c>
    </row>
    <row r="4860" customFormat="false" ht="15" hidden="false" customHeight="false" outlineLevel="0" collapsed="false">
      <c r="A4860" s="103"/>
      <c r="B4860" s="104"/>
      <c r="C4860" s="104"/>
      <c r="E4860" s="107" t="str">
        <f aca="false">IF($C4860="","",IFERROR(INDEX(المنيو!$C$2:$C$500,MATCH($C4860,المنيو!$B$2:$B$500,0)),0))</f>
        <v/>
      </c>
      <c r="F4860" s="107" t="str">
        <f aca="false">IF($C4860="","",$D4860*$E4860)</f>
        <v/>
      </c>
      <c r="G4860" s="107" t="str">
        <f aca="false">IF($C4860="","",$D4860*IFERROR(INDEX('تحليل التكلفة والسعر'!$C$2:$C$700,MATCH($C4860,'تحليل التكلفة والسعر'!$B$2:$B$700,0)),0))</f>
        <v/>
      </c>
    </row>
    <row r="4861" customFormat="false" ht="15" hidden="false" customHeight="false" outlineLevel="0" collapsed="false">
      <c r="A4861" s="103"/>
      <c r="B4861" s="104"/>
      <c r="C4861" s="104"/>
      <c r="E4861" s="107" t="str">
        <f aca="false">IF($C4861="","",IFERROR(INDEX(المنيو!$C$2:$C$500,MATCH($C4861,المنيو!$B$2:$B$500,0)),0))</f>
        <v/>
      </c>
      <c r="F4861" s="107" t="str">
        <f aca="false">IF($C4861="","",$D4861*$E4861)</f>
        <v/>
      </c>
      <c r="G4861" s="107" t="str">
        <f aca="false">IF($C4861="","",$D4861*IFERROR(INDEX('تحليل التكلفة والسعر'!$C$2:$C$700,MATCH($C4861,'تحليل التكلفة والسعر'!$B$2:$B$700,0)),0))</f>
        <v/>
      </c>
    </row>
    <row r="4862" customFormat="false" ht="15" hidden="false" customHeight="false" outlineLevel="0" collapsed="false">
      <c r="A4862" s="103"/>
      <c r="B4862" s="104"/>
      <c r="C4862" s="104"/>
      <c r="E4862" s="107" t="str">
        <f aca="false">IF($C4862="","",IFERROR(INDEX(المنيو!$C$2:$C$500,MATCH($C4862,المنيو!$B$2:$B$500,0)),0))</f>
        <v/>
      </c>
      <c r="F4862" s="107" t="str">
        <f aca="false">IF($C4862="","",$D4862*$E4862)</f>
        <v/>
      </c>
      <c r="G4862" s="107" t="str">
        <f aca="false">IF($C4862="","",$D4862*IFERROR(INDEX('تحليل التكلفة والسعر'!$C$2:$C$700,MATCH($C4862,'تحليل التكلفة والسعر'!$B$2:$B$700,0)),0))</f>
        <v/>
      </c>
    </row>
    <row r="4863" customFormat="false" ht="15" hidden="false" customHeight="false" outlineLevel="0" collapsed="false">
      <c r="A4863" s="103"/>
      <c r="B4863" s="104"/>
      <c r="C4863" s="104"/>
      <c r="E4863" s="107" t="str">
        <f aca="false">IF($C4863="","",IFERROR(INDEX(المنيو!$C$2:$C$500,MATCH($C4863,المنيو!$B$2:$B$500,0)),0))</f>
        <v/>
      </c>
      <c r="F4863" s="107" t="str">
        <f aca="false">IF($C4863="","",$D4863*$E4863)</f>
        <v/>
      </c>
      <c r="G4863" s="107" t="str">
        <f aca="false">IF($C4863="","",$D4863*IFERROR(INDEX('تحليل التكلفة والسعر'!$C$2:$C$700,MATCH($C4863,'تحليل التكلفة والسعر'!$B$2:$B$700,0)),0))</f>
        <v/>
      </c>
    </row>
    <row r="4864" customFormat="false" ht="15" hidden="false" customHeight="false" outlineLevel="0" collapsed="false">
      <c r="A4864" s="103"/>
      <c r="B4864" s="104"/>
      <c r="C4864" s="104"/>
      <c r="E4864" s="107" t="str">
        <f aca="false">IF($C4864="","",IFERROR(INDEX(المنيو!$C$2:$C$500,MATCH($C4864,المنيو!$B$2:$B$500,0)),0))</f>
        <v/>
      </c>
      <c r="F4864" s="107" t="str">
        <f aca="false">IF($C4864="","",$D4864*$E4864)</f>
        <v/>
      </c>
      <c r="G4864" s="107" t="str">
        <f aca="false">IF($C4864="","",$D4864*IFERROR(INDEX('تحليل التكلفة والسعر'!$C$2:$C$700,MATCH($C4864,'تحليل التكلفة والسعر'!$B$2:$B$700,0)),0))</f>
        <v/>
      </c>
    </row>
    <row r="4865" customFormat="false" ht="15" hidden="false" customHeight="false" outlineLevel="0" collapsed="false">
      <c r="A4865" s="103"/>
      <c r="B4865" s="104"/>
      <c r="C4865" s="104"/>
      <c r="E4865" s="107" t="str">
        <f aca="false">IF($C4865="","",IFERROR(INDEX(المنيو!$C$2:$C$500,MATCH($C4865,المنيو!$B$2:$B$500,0)),0))</f>
        <v/>
      </c>
      <c r="F4865" s="107" t="str">
        <f aca="false">IF($C4865="","",$D4865*$E4865)</f>
        <v/>
      </c>
      <c r="G4865" s="107" t="str">
        <f aca="false">IF($C4865="","",$D4865*IFERROR(INDEX('تحليل التكلفة والسعر'!$C$2:$C$700,MATCH($C4865,'تحليل التكلفة والسعر'!$B$2:$B$700,0)),0))</f>
        <v/>
      </c>
    </row>
    <row r="4866" customFormat="false" ht="15" hidden="false" customHeight="false" outlineLevel="0" collapsed="false">
      <c r="A4866" s="103"/>
      <c r="B4866" s="104"/>
      <c r="C4866" s="104"/>
      <c r="E4866" s="107" t="str">
        <f aca="false">IF($C4866="","",IFERROR(INDEX(المنيو!$C$2:$C$500,MATCH($C4866,المنيو!$B$2:$B$500,0)),0))</f>
        <v/>
      </c>
      <c r="F4866" s="107" t="str">
        <f aca="false">IF($C4866="","",$D4866*$E4866)</f>
        <v/>
      </c>
      <c r="G4866" s="107" t="str">
        <f aca="false">IF($C4866="","",$D4866*IFERROR(INDEX('تحليل التكلفة والسعر'!$C$2:$C$700,MATCH($C4866,'تحليل التكلفة والسعر'!$B$2:$B$700,0)),0))</f>
        <v/>
      </c>
    </row>
    <row r="4867" customFormat="false" ht="15" hidden="false" customHeight="false" outlineLevel="0" collapsed="false">
      <c r="A4867" s="103"/>
      <c r="B4867" s="104"/>
      <c r="C4867" s="104"/>
      <c r="E4867" s="107" t="str">
        <f aca="false">IF($C4867="","",IFERROR(INDEX(المنيو!$C$2:$C$500,MATCH($C4867,المنيو!$B$2:$B$500,0)),0))</f>
        <v/>
      </c>
      <c r="F4867" s="107" t="str">
        <f aca="false">IF($C4867="","",$D4867*$E4867)</f>
        <v/>
      </c>
      <c r="G4867" s="107" t="str">
        <f aca="false">IF($C4867="","",$D4867*IFERROR(INDEX('تحليل التكلفة والسعر'!$C$2:$C$700,MATCH($C4867,'تحليل التكلفة والسعر'!$B$2:$B$700,0)),0))</f>
        <v/>
      </c>
    </row>
    <row r="4868" customFormat="false" ht="15" hidden="false" customHeight="false" outlineLevel="0" collapsed="false">
      <c r="A4868" s="103"/>
      <c r="B4868" s="104"/>
      <c r="C4868" s="104"/>
      <c r="E4868" s="107" t="str">
        <f aca="false">IF($C4868="","",IFERROR(INDEX(المنيو!$C$2:$C$500,MATCH($C4868,المنيو!$B$2:$B$500,0)),0))</f>
        <v/>
      </c>
      <c r="F4868" s="107" t="str">
        <f aca="false">IF($C4868="","",$D4868*$E4868)</f>
        <v/>
      </c>
      <c r="G4868" s="107" t="str">
        <f aca="false">IF($C4868="","",$D4868*IFERROR(INDEX('تحليل التكلفة والسعر'!$C$2:$C$700,MATCH($C4868,'تحليل التكلفة والسعر'!$B$2:$B$700,0)),0))</f>
        <v/>
      </c>
    </row>
    <row r="4869" customFormat="false" ht="15" hidden="false" customHeight="false" outlineLevel="0" collapsed="false">
      <c r="A4869" s="103"/>
      <c r="B4869" s="104"/>
      <c r="C4869" s="104"/>
      <c r="E4869" s="107" t="str">
        <f aca="false">IF($C4869="","",IFERROR(INDEX(المنيو!$C$2:$C$500,MATCH($C4869,المنيو!$B$2:$B$500,0)),0))</f>
        <v/>
      </c>
      <c r="F4869" s="107" t="str">
        <f aca="false">IF($C4869="","",$D4869*$E4869)</f>
        <v/>
      </c>
      <c r="G4869" s="107" t="str">
        <f aca="false">IF($C4869="","",$D4869*IFERROR(INDEX('تحليل التكلفة والسعر'!$C$2:$C$700,MATCH($C4869,'تحليل التكلفة والسعر'!$B$2:$B$700,0)),0))</f>
        <v/>
      </c>
    </row>
    <row r="4870" customFormat="false" ht="15" hidden="false" customHeight="false" outlineLevel="0" collapsed="false">
      <c r="A4870" s="103"/>
      <c r="B4870" s="104"/>
      <c r="C4870" s="104"/>
      <c r="E4870" s="107" t="str">
        <f aca="false">IF($C4870="","",IFERROR(INDEX(المنيو!$C$2:$C$500,MATCH($C4870,المنيو!$B$2:$B$500,0)),0))</f>
        <v/>
      </c>
      <c r="F4870" s="107" t="str">
        <f aca="false">IF($C4870="","",$D4870*$E4870)</f>
        <v/>
      </c>
      <c r="G4870" s="107" t="str">
        <f aca="false">IF($C4870="","",$D4870*IFERROR(INDEX('تحليل التكلفة والسعر'!$C$2:$C$700,MATCH($C4870,'تحليل التكلفة والسعر'!$B$2:$B$700,0)),0))</f>
        <v/>
      </c>
    </row>
    <row r="4871" customFormat="false" ht="15" hidden="false" customHeight="false" outlineLevel="0" collapsed="false">
      <c r="A4871" s="103"/>
      <c r="B4871" s="104"/>
      <c r="C4871" s="104"/>
      <c r="E4871" s="107" t="str">
        <f aca="false">IF($C4871="","",IFERROR(INDEX(المنيو!$C$2:$C$500,MATCH($C4871,المنيو!$B$2:$B$500,0)),0))</f>
        <v/>
      </c>
      <c r="F4871" s="107" t="str">
        <f aca="false">IF($C4871="","",$D4871*$E4871)</f>
        <v/>
      </c>
      <c r="G4871" s="107" t="str">
        <f aca="false">IF($C4871="","",$D4871*IFERROR(INDEX('تحليل التكلفة والسعر'!$C$2:$C$700,MATCH($C4871,'تحليل التكلفة والسعر'!$B$2:$B$700,0)),0))</f>
        <v/>
      </c>
    </row>
    <row r="4872" customFormat="false" ht="15" hidden="false" customHeight="false" outlineLevel="0" collapsed="false">
      <c r="A4872" s="103"/>
      <c r="B4872" s="104"/>
      <c r="C4872" s="104"/>
      <c r="E4872" s="107" t="str">
        <f aca="false">IF($C4872="","",IFERROR(INDEX(المنيو!$C$2:$C$500,MATCH($C4872,المنيو!$B$2:$B$500,0)),0))</f>
        <v/>
      </c>
      <c r="F4872" s="107" t="str">
        <f aca="false">IF($C4872="","",$D4872*$E4872)</f>
        <v/>
      </c>
      <c r="G4872" s="107" t="str">
        <f aca="false">IF($C4872="","",$D4872*IFERROR(INDEX('تحليل التكلفة والسعر'!$C$2:$C$700,MATCH($C4872,'تحليل التكلفة والسعر'!$B$2:$B$700,0)),0))</f>
        <v/>
      </c>
    </row>
    <row r="4873" customFormat="false" ht="15" hidden="false" customHeight="false" outlineLevel="0" collapsed="false">
      <c r="A4873" s="103"/>
      <c r="B4873" s="104"/>
      <c r="C4873" s="104"/>
      <c r="E4873" s="107" t="str">
        <f aca="false">IF($C4873="","",IFERROR(INDEX(المنيو!$C$2:$C$500,MATCH($C4873,المنيو!$B$2:$B$500,0)),0))</f>
        <v/>
      </c>
      <c r="F4873" s="107" t="str">
        <f aca="false">IF($C4873="","",$D4873*$E4873)</f>
        <v/>
      </c>
      <c r="G4873" s="107" t="str">
        <f aca="false">IF($C4873="","",$D4873*IFERROR(INDEX('تحليل التكلفة والسعر'!$C$2:$C$700,MATCH($C4873,'تحليل التكلفة والسعر'!$B$2:$B$700,0)),0))</f>
        <v/>
      </c>
    </row>
    <row r="4874" customFormat="false" ht="15" hidden="false" customHeight="false" outlineLevel="0" collapsed="false">
      <c r="A4874" s="103"/>
      <c r="B4874" s="104"/>
      <c r="C4874" s="104"/>
      <c r="E4874" s="107" t="str">
        <f aca="false">IF($C4874="","",IFERROR(INDEX(المنيو!$C$2:$C$500,MATCH($C4874,المنيو!$B$2:$B$500,0)),0))</f>
        <v/>
      </c>
      <c r="F4874" s="107" t="str">
        <f aca="false">IF($C4874="","",$D4874*$E4874)</f>
        <v/>
      </c>
      <c r="G4874" s="107" t="str">
        <f aca="false">IF($C4874="","",$D4874*IFERROR(INDEX('تحليل التكلفة والسعر'!$C$2:$C$700,MATCH($C4874,'تحليل التكلفة والسعر'!$B$2:$B$700,0)),0))</f>
        <v/>
      </c>
    </row>
    <row r="4875" customFormat="false" ht="15" hidden="false" customHeight="false" outlineLevel="0" collapsed="false">
      <c r="A4875" s="103"/>
      <c r="B4875" s="104"/>
      <c r="C4875" s="104"/>
      <c r="E4875" s="107" t="str">
        <f aca="false">IF($C4875="","",IFERROR(INDEX(المنيو!$C$2:$C$500,MATCH($C4875,المنيو!$B$2:$B$500,0)),0))</f>
        <v/>
      </c>
      <c r="F4875" s="107" t="str">
        <f aca="false">IF($C4875="","",$D4875*$E4875)</f>
        <v/>
      </c>
      <c r="G4875" s="107" t="str">
        <f aca="false">IF($C4875="","",$D4875*IFERROR(INDEX('تحليل التكلفة والسعر'!$C$2:$C$700,MATCH($C4875,'تحليل التكلفة والسعر'!$B$2:$B$700,0)),0))</f>
        <v/>
      </c>
    </row>
    <row r="4876" customFormat="false" ht="15" hidden="false" customHeight="false" outlineLevel="0" collapsed="false">
      <c r="A4876" s="103"/>
      <c r="B4876" s="104"/>
      <c r="C4876" s="104"/>
      <c r="E4876" s="107" t="str">
        <f aca="false">IF($C4876="","",IFERROR(INDEX(المنيو!$C$2:$C$500,MATCH($C4876,المنيو!$B$2:$B$500,0)),0))</f>
        <v/>
      </c>
      <c r="F4876" s="107" t="str">
        <f aca="false">IF($C4876="","",$D4876*$E4876)</f>
        <v/>
      </c>
      <c r="G4876" s="107" t="str">
        <f aca="false">IF($C4876="","",$D4876*IFERROR(INDEX('تحليل التكلفة والسعر'!$C$2:$C$700,MATCH($C4876,'تحليل التكلفة والسعر'!$B$2:$B$700,0)),0))</f>
        <v/>
      </c>
    </row>
    <row r="4877" customFormat="false" ht="15" hidden="false" customHeight="false" outlineLevel="0" collapsed="false">
      <c r="A4877" s="103"/>
      <c r="B4877" s="104"/>
      <c r="C4877" s="104"/>
      <c r="E4877" s="107" t="str">
        <f aca="false">IF($C4877="","",IFERROR(INDEX(المنيو!$C$2:$C$500,MATCH($C4877,المنيو!$B$2:$B$500,0)),0))</f>
        <v/>
      </c>
      <c r="F4877" s="107" t="str">
        <f aca="false">IF($C4877="","",$D4877*$E4877)</f>
        <v/>
      </c>
      <c r="G4877" s="107" t="str">
        <f aca="false">IF($C4877="","",$D4877*IFERROR(INDEX('تحليل التكلفة والسعر'!$C$2:$C$700,MATCH($C4877,'تحليل التكلفة والسعر'!$B$2:$B$700,0)),0))</f>
        <v/>
      </c>
    </row>
    <row r="4878" customFormat="false" ht="15" hidden="false" customHeight="false" outlineLevel="0" collapsed="false">
      <c r="A4878" s="103"/>
      <c r="B4878" s="104"/>
      <c r="C4878" s="104"/>
      <c r="E4878" s="107" t="str">
        <f aca="false">IF($C4878="","",IFERROR(INDEX(المنيو!$C$2:$C$500,MATCH($C4878,المنيو!$B$2:$B$500,0)),0))</f>
        <v/>
      </c>
      <c r="F4878" s="107" t="str">
        <f aca="false">IF($C4878="","",$D4878*$E4878)</f>
        <v/>
      </c>
      <c r="G4878" s="107" t="str">
        <f aca="false">IF($C4878="","",$D4878*IFERROR(INDEX('تحليل التكلفة والسعر'!$C$2:$C$700,MATCH($C4878,'تحليل التكلفة والسعر'!$B$2:$B$700,0)),0))</f>
        <v/>
      </c>
    </row>
    <row r="4879" customFormat="false" ht="15" hidden="false" customHeight="false" outlineLevel="0" collapsed="false">
      <c r="A4879" s="103"/>
      <c r="B4879" s="104"/>
      <c r="C4879" s="104"/>
      <c r="E4879" s="107" t="str">
        <f aca="false">IF($C4879="","",IFERROR(INDEX(المنيو!$C$2:$C$500,MATCH($C4879,المنيو!$B$2:$B$500,0)),0))</f>
        <v/>
      </c>
      <c r="F4879" s="107" t="str">
        <f aca="false">IF($C4879="","",$D4879*$E4879)</f>
        <v/>
      </c>
      <c r="G4879" s="107" t="str">
        <f aca="false">IF($C4879="","",$D4879*IFERROR(INDEX('تحليل التكلفة والسعر'!$C$2:$C$700,MATCH($C4879,'تحليل التكلفة والسعر'!$B$2:$B$700,0)),0))</f>
        <v/>
      </c>
    </row>
    <row r="4880" customFormat="false" ht="15" hidden="false" customHeight="false" outlineLevel="0" collapsed="false">
      <c r="A4880" s="103"/>
      <c r="B4880" s="104"/>
      <c r="C4880" s="104"/>
      <c r="E4880" s="107" t="str">
        <f aca="false">IF($C4880="","",IFERROR(INDEX(المنيو!$C$2:$C$500,MATCH($C4880,المنيو!$B$2:$B$500,0)),0))</f>
        <v/>
      </c>
      <c r="F4880" s="107" t="str">
        <f aca="false">IF($C4880="","",$D4880*$E4880)</f>
        <v/>
      </c>
      <c r="G4880" s="107" t="str">
        <f aca="false">IF($C4880="","",$D4880*IFERROR(INDEX('تحليل التكلفة والسعر'!$C$2:$C$700,MATCH($C4880,'تحليل التكلفة والسعر'!$B$2:$B$700,0)),0))</f>
        <v/>
      </c>
    </row>
    <row r="4881" customFormat="false" ht="15" hidden="false" customHeight="false" outlineLevel="0" collapsed="false">
      <c r="A4881" s="103"/>
      <c r="B4881" s="104"/>
      <c r="C4881" s="104"/>
      <c r="E4881" s="107" t="str">
        <f aca="false">IF($C4881="","",IFERROR(INDEX(المنيو!$C$2:$C$500,MATCH($C4881,المنيو!$B$2:$B$500,0)),0))</f>
        <v/>
      </c>
      <c r="F4881" s="107" t="str">
        <f aca="false">IF($C4881="","",$D4881*$E4881)</f>
        <v/>
      </c>
      <c r="G4881" s="107" t="str">
        <f aca="false">IF($C4881="","",$D4881*IFERROR(INDEX('تحليل التكلفة والسعر'!$C$2:$C$700,MATCH($C4881,'تحليل التكلفة والسعر'!$B$2:$B$700,0)),0))</f>
        <v/>
      </c>
    </row>
    <row r="4882" customFormat="false" ht="15" hidden="false" customHeight="false" outlineLevel="0" collapsed="false">
      <c r="A4882" s="103"/>
      <c r="B4882" s="104"/>
      <c r="C4882" s="104"/>
      <c r="E4882" s="107" t="str">
        <f aca="false">IF($C4882="","",IFERROR(INDEX(المنيو!$C$2:$C$500,MATCH($C4882,المنيو!$B$2:$B$500,0)),0))</f>
        <v/>
      </c>
      <c r="F4882" s="107" t="str">
        <f aca="false">IF($C4882="","",$D4882*$E4882)</f>
        <v/>
      </c>
      <c r="G4882" s="107" t="str">
        <f aca="false">IF($C4882="","",$D4882*IFERROR(INDEX('تحليل التكلفة والسعر'!$C$2:$C$700,MATCH($C4882,'تحليل التكلفة والسعر'!$B$2:$B$700,0)),0))</f>
        <v/>
      </c>
    </row>
    <row r="4883" customFormat="false" ht="15" hidden="false" customHeight="false" outlineLevel="0" collapsed="false">
      <c r="A4883" s="103"/>
      <c r="B4883" s="104"/>
      <c r="C4883" s="104"/>
      <c r="E4883" s="107" t="str">
        <f aca="false">IF($C4883="","",IFERROR(INDEX(المنيو!$C$2:$C$500,MATCH($C4883,المنيو!$B$2:$B$500,0)),0))</f>
        <v/>
      </c>
      <c r="F4883" s="107" t="str">
        <f aca="false">IF($C4883="","",$D4883*$E4883)</f>
        <v/>
      </c>
      <c r="G4883" s="107" t="str">
        <f aca="false">IF($C4883="","",$D4883*IFERROR(INDEX('تحليل التكلفة والسعر'!$C$2:$C$700,MATCH($C4883,'تحليل التكلفة والسعر'!$B$2:$B$700,0)),0))</f>
        <v/>
      </c>
    </row>
    <row r="4884" customFormat="false" ht="15" hidden="false" customHeight="false" outlineLevel="0" collapsed="false">
      <c r="A4884" s="103"/>
      <c r="B4884" s="104"/>
      <c r="C4884" s="104"/>
      <c r="E4884" s="107" t="str">
        <f aca="false">IF($C4884="","",IFERROR(INDEX(المنيو!$C$2:$C$500,MATCH($C4884,المنيو!$B$2:$B$500,0)),0))</f>
        <v/>
      </c>
      <c r="F4884" s="107" t="str">
        <f aca="false">IF($C4884="","",$D4884*$E4884)</f>
        <v/>
      </c>
      <c r="G4884" s="107" t="str">
        <f aca="false">IF($C4884="","",$D4884*IFERROR(INDEX('تحليل التكلفة والسعر'!$C$2:$C$700,MATCH($C4884,'تحليل التكلفة والسعر'!$B$2:$B$700,0)),0))</f>
        <v/>
      </c>
    </row>
    <row r="4885" customFormat="false" ht="15" hidden="false" customHeight="false" outlineLevel="0" collapsed="false">
      <c r="A4885" s="103"/>
      <c r="B4885" s="104"/>
      <c r="C4885" s="104"/>
      <c r="E4885" s="107" t="str">
        <f aca="false">IF($C4885="","",IFERROR(INDEX(المنيو!$C$2:$C$500,MATCH($C4885,المنيو!$B$2:$B$500,0)),0))</f>
        <v/>
      </c>
      <c r="F4885" s="107" t="str">
        <f aca="false">IF($C4885="","",$D4885*$E4885)</f>
        <v/>
      </c>
      <c r="G4885" s="107" t="str">
        <f aca="false">IF($C4885="","",$D4885*IFERROR(INDEX('تحليل التكلفة والسعر'!$C$2:$C$700,MATCH($C4885,'تحليل التكلفة والسعر'!$B$2:$B$700,0)),0))</f>
        <v/>
      </c>
    </row>
    <row r="4886" customFormat="false" ht="15" hidden="false" customHeight="false" outlineLevel="0" collapsed="false">
      <c r="A4886" s="103"/>
      <c r="B4886" s="104"/>
      <c r="C4886" s="104"/>
      <c r="E4886" s="107" t="str">
        <f aca="false">IF($C4886="","",IFERROR(INDEX(المنيو!$C$2:$C$500,MATCH($C4886,المنيو!$B$2:$B$500,0)),0))</f>
        <v/>
      </c>
      <c r="F4886" s="107" t="str">
        <f aca="false">IF($C4886="","",$D4886*$E4886)</f>
        <v/>
      </c>
      <c r="G4886" s="107" t="str">
        <f aca="false">IF($C4886="","",$D4886*IFERROR(INDEX('تحليل التكلفة والسعر'!$C$2:$C$700,MATCH($C4886,'تحليل التكلفة والسعر'!$B$2:$B$700,0)),0))</f>
        <v/>
      </c>
    </row>
    <row r="4887" customFormat="false" ht="15" hidden="false" customHeight="false" outlineLevel="0" collapsed="false">
      <c r="A4887" s="103"/>
      <c r="B4887" s="104"/>
      <c r="C4887" s="104"/>
      <c r="E4887" s="107" t="str">
        <f aca="false">IF($C4887="","",IFERROR(INDEX(المنيو!$C$2:$C$500,MATCH($C4887,المنيو!$B$2:$B$500,0)),0))</f>
        <v/>
      </c>
      <c r="F4887" s="107" t="str">
        <f aca="false">IF($C4887="","",$D4887*$E4887)</f>
        <v/>
      </c>
      <c r="G4887" s="107" t="str">
        <f aca="false">IF($C4887="","",$D4887*IFERROR(INDEX('تحليل التكلفة والسعر'!$C$2:$C$700,MATCH($C4887,'تحليل التكلفة والسعر'!$B$2:$B$700,0)),0))</f>
        <v/>
      </c>
    </row>
    <row r="4888" customFormat="false" ht="15" hidden="false" customHeight="false" outlineLevel="0" collapsed="false">
      <c r="A4888" s="103"/>
      <c r="B4888" s="104"/>
      <c r="C4888" s="104"/>
      <c r="E4888" s="107" t="str">
        <f aca="false">IF($C4888="","",IFERROR(INDEX(المنيو!$C$2:$C$500,MATCH($C4888,المنيو!$B$2:$B$500,0)),0))</f>
        <v/>
      </c>
      <c r="F4888" s="107" t="str">
        <f aca="false">IF($C4888="","",$D4888*$E4888)</f>
        <v/>
      </c>
      <c r="G4888" s="107" t="str">
        <f aca="false">IF($C4888="","",$D4888*IFERROR(INDEX('تحليل التكلفة والسعر'!$C$2:$C$700,MATCH($C4888,'تحليل التكلفة والسعر'!$B$2:$B$700,0)),0))</f>
        <v/>
      </c>
    </row>
    <row r="4889" customFormat="false" ht="15" hidden="false" customHeight="false" outlineLevel="0" collapsed="false">
      <c r="A4889" s="103"/>
      <c r="B4889" s="104"/>
      <c r="C4889" s="104"/>
      <c r="E4889" s="107" t="str">
        <f aca="false">IF($C4889="","",IFERROR(INDEX(المنيو!$C$2:$C$500,MATCH($C4889,المنيو!$B$2:$B$500,0)),0))</f>
        <v/>
      </c>
      <c r="F4889" s="107" t="str">
        <f aca="false">IF($C4889="","",$D4889*$E4889)</f>
        <v/>
      </c>
      <c r="G4889" s="107" t="str">
        <f aca="false">IF($C4889="","",$D4889*IFERROR(INDEX('تحليل التكلفة والسعر'!$C$2:$C$700,MATCH($C4889,'تحليل التكلفة والسعر'!$B$2:$B$700,0)),0))</f>
        <v/>
      </c>
    </row>
    <row r="4890" customFormat="false" ht="15" hidden="false" customHeight="false" outlineLevel="0" collapsed="false">
      <c r="A4890" s="103"/>
      <c r="B4890" s="104"/>
      <c r="C4890" s="104"/>
      <c r="E4890" s="107" t="str">
        <f aca="false">IF($C4890="","",IFERROR(INDEX(المنيو!$C$2:$C$500,MATCH($C4890,المنيو!$B$2:$B$500,0)),0))</f>
        <v/>
      </c>
      <c r="F4890" s="107" t="str">
        <f aca="false">IF($C4890="","",$D4890*$E4890)</f>
        <v/>
      </c>
      <c r="G4890" s="107" t="str">
        <f aca="false">IF($C4890="","",$D4890*IFERROR(INDEX('تحليل التكلفة والسعر'!$C$2:$C$700,MATCH($C4890,'تحليل التكلفة والسعر'!$B$2:$B$700,0)),0))</f>
        <v/>
      </c>
    </row>
    <row r="4891" customFormat="false" ht="15" hidden="false" customHeight="false" outlineLevel="0" collapsed="false">
      <c r="A4891" s="103"/>
      <c r="B4891" s="104"/>
      <c r="C4891" s="104"/>
      <c r="E4891" s="107" t="str">
        <f aca="false">IF($C4891="","",IFERROR(INDEX(المنيو!$C$2:$C$500,MATCH($C4891,المنيو!$B$2:$B$500,0)),0))</f>
        <v/>
      </c>
      <c r="F4891" s="107" t="str">
        <f aca="false">IF($C4891="","",$D4891*$E4891)</f>
        <v/>
      </c>
      <c r="G4891" s="107" t="str">
        <f aca="false">IF($C4891="","",$D4891*IFERROR(INDEX('تحليل التكلفة والسعر'!$C$2:$C$700,MATCH($C4891,'تحليل التكلفة والسعر'!$B$2:$B$700,0)),0))</f>
        <v/>
      </c>
    </row>
    <row r="4892" customFormat="false" ht="15" hidden="false" customHeight="false" outlineLevel="0" collapsed="false">
      <c r="A4892" s="103"/>
      <c r="B4892" s="104"/>
      <c r="C4892" s="104"/>
      <c r="E4892" s="107" t="str">
        <f aca="false">IF($C4892="","",IFERROR(INDEX(المنيو!$C$2:$C$500,MATCH($C4892,المنيو!$B$2:$B$500,0)),0))</f>
        <v/>
      </c>
      <c r="F4892" s="107" t="str">
        <f aca="false">IF($C4892="","",$D4892*$E4892)</f>
        <v/>
      </c>
      <c r="G4892" s="107" t="str">
        <f aca="false">IF($C4892="","",$D4892*IFERROR(INDEX('تحليل التكلفة والسعر'!$C$2:$C$700,MATCH($C4892,'تحليل التكلفة والسعر'!$B$2:$B$700,0)),0))</f>
        <v/>
      </c>
    </row>
    <row r="4893" customFormat="false" ht="15" hidden="false" customHeight="false" outlineLevel="0" collapsed="false">
      <c r="A4893" s="103"/>
      <c r="B4893" s="104"/>
      <c r="C4893" s="104"/>
      <c r="E4893" s="107" t="str">
        <f aca="false">IF($C4893="","",IFERROR(INDEX(المنيو!$C$2:$C$500,MATCH($C4893,المنيو!$B$2:$B$500,0)),0))</f>
        <v/>
      </c>
      <c r="F4893" s="107" t="str">
        <f aca="false">IF($C4893="","",$D4893*$E4893)</f>
        <v/>
      </c>
      <c r="G4893" s="107" t="str">
        <f aca="false">IF($C4893="","",$D4893*IFERROR(INDEX('تحليل التكلفة والسعر'!$C$2:$C$700,MATCH($C4893,'تحليل التكلفة والسعر'!$B$2:$B$700,0)),0))</f>
        <v/>
      </c>
    </row>
    <row r="4894" customFormat="false" ht="15" hidden="false" customHeight="false" outlineLevel="0" collapsed="false">
      <c r="A4894" s="103"/>
      <c r="B4894" s="104"/>
      <c r="C4894" s="104"/>
      <c r="E4894" s="107" t="str">
        <f aca="false">IF($C4894="","",IFERROR(INDEX(المنيو!$C$2:$C$500,MATCH($C4894,المنيو!$B$2:$B$500,0)),0))</f>
        <v/>
      </c>
      <c r="F4894" s="107" t="str">
        <f aca="false">IF($C4894="","",$D4894*$E4894)</f>
        <v/>
      </c>
      <c r="G4894" s="107" t="str">
        <f aca="false">IF($C4894="","",$D4894*IFERROR(INDEX('تحليل التكلفة والسعر'!$C$2:$C$700,MATCH($C4894,'تحليل التكلفة والسعر'!$B$2:$B$700,0)),0))</f>
        <v/>
      </c>
    </row>
    <row r="4895" customFormat="false" ht="15" hidden="false" customHeight="false" outlineLevel="0" collapsed="false">
      <c r="A4895" s="103"/>
      <c r="B4895" s="104"/>
      <c r="C4895" s="104"/>
      <c r="E4895" s="107" t="str">
        <f aca="false">IF($C4895="","",IFERROR(INDEX(المنيو!$C$2:$C$500,MATCH($C4895,المنيو!$B$2:$B$500,0)),0))</f>
        <v/>
      </c>
      <c r="F4895" s="107" t="str">
        <f aca="false">IF($C4895="","",$D4895*$E4895)</f>
        <v/>
      </c>
      <c r="G4895" s="107" t="str">
        <f aca="false">IF($C4895="","",$D4895*IFERROR(INDEX('تحليل التكلفة والسعر'!$C$2:$C$700,MATCH($C4895,'تحليل التكلفة والسعر'!$B$2:$B$700,0)),0))</f>
        <v/>
      </c>
    </row>
    <row r="4896" customFormat="false" ht="15" hidden="false" customHeight="false" outlineLevel="0" collapsed="false">
      <c r="A4896" s="103"/>
      <c r="B4896" s="104"/>
      <c r="C4896" s="104"/>
      <c r="E4896" s="107" t="str">
        <f aca="false">IF($C4896="","",IFERROR(INDEX(المنيو!$C$2:$C$500,MATCH($C4896,المنيو!$B$2:$B$500,0)),0))</f>
        <v/>
      </c>
      <c r="F4896" s="107" t="str">
        <f aca="false">IF($C4896="","",$D4896*$E4896)</f>
        <v/>
      </c>
      <c r="G4896" s="107" t="str">
        <f aca="false">IF($C4896="","",$D4896*IFERROR(INDEX('تحليل التكلفة والسعر'!$C$2:$C$700,MATCH($C4896,'تحليل التكلفة والسعر'!$B$2:$B$700,0)),0))</f>
        <v/>
      </c>
    </row>
    <row r="4897" customFormat="false" ht="15" hidden="false" customHeight="false" outlineLevel="0" collapsed="false">
      <c r="A4897" s="103"/>
      <c r="B4897" s="104"/>
      <c r="C4897" s="104"/>
      <c r="E4897" s="107" t="str">
        <f aca="false">IF($C4897="","",IFERROR(INDEX(المنيو!$C$2:$C$500,MATCH($C4897,المنيو!$B$2:$B$500,0)),0))</f>
        <v/>
      </c>
      <c r="F4897" s="107" t="str">
        <f aca="false">IF($C4897="","",$D4897*$E4897)</f>
        <v/>
      </c>
      <c r="G4897" s="107" t="str">
        <f aca="false">IF($C4897="","",$D4897*IFERROR(INDEX('تحليل التكلفة والسعر'!$C$2:$C$700,MATCH($C4897,'تحليل التكلفة والسعر'!$B$2:$B$700,0)),0))</f>
        <v/>
      </c>
    </row>
    <row r="4898" customFormat="false" ht="15" hidden="false" customHeight="false" outlineLevel="0" collapsed="false">
      <c r="A4898" s="103"/>
      <c r="B4898" s="104"/>
      <c r="C4898" s="104"/>
      <c r="E4898" s="107" t="str">
        <f aca="false">IF($C4898="","",IFERROR(INDEX(المنيو!$C$2:$C$500,MATCH($C4898,المنيو!$B$2:$B$500,0)),0))</f>
        <v/>
      </c>
      <c r="F4898" s="107" t="str">
        <f aca="false">IF($C4898="","",$D4898*$E4898)</f>
        <v/>
      </c>
      <c r="G4898" s="107" t="str">
        <f aca="false">IF($C4898="","",$D4898*IFERROR(INDEX('تحليل التكلفة والسعر'!$C$2:$C$700,MATCH($C4898,'تحليل التكلفة والسعر'!$B$2:$B$700,0)),0))</f>
        <v/>
      </c>
    </row>
    <row r="4899" customFormat="false" ht="15" hidden="false" customHeight="false" outlineLevel="0" collapsed="false">
      <c r="A4899" s="103"/>
      <c r="B4899" s="104"/>
      <c r="C4899" s="104"/>
      <c r="E4899" s="107" t="str">
        <f aca="false">IF($C4899="","",IFERROR(INDEX(المنيو!$C$2:$C$500,MATCH($C4899,المنيو!$B$2:$B$500,0)),0))</f>
        <v/>
      </c>
      <c r="F4899" s="107" t="str">
        <f aca="false">IF($C4899="","",$D4899*$E4899)</f>
        <v/>
      </c>
      <c r="G4899" s="107" t="str">
        <f aca="false">IF($C4899="","",$D4899*IFERROR(INDEX('تحليل التكلفة والسعر'!$C$2:$C$700,MATCH($C4899,'تحليل التكلفة والسعر'!$B$2:$B$700,0)),0))</f>
        <v/>
      </c>
    </row>
    <row r="4900" customFormat="false" ht="15" hidden="false" customHeight="false" outlineLevel="0" collapsed="false">
      <c r="A4900" s="103"/>
      <c r="B4900" s="104"/>
      <c r="C4900" s="104"/>
      <c r="E4900" s="107" t="str">
        <f aca="false">IF($C4900="","",IFERROR(INDEX(المنيو!$C$2:$C$500,MATCH($C4900,المنيو!$B$2:$B$500,0)),0))</f>
        <v/>
      </c>
      <c r="F4900" s="107" t="str">
        <f aca="false">IF($C4900="","",$D4900*$E4900)</f>
        <v/>
      </c>
      <c r="G4900" s="107" t="str">
        <f aca="false">IF($C4900="","",$D4900*IFERROR(INDEX('تحليل التكلفة والسعر'!$C$2:$C$700,MATCH($C4900,'تحليل التكلفة والسعر'!$B$2:$B$700,0)),0))</f>
        <v/>
      </c>
    </row>
    <row r="4901" customFormat="false" ht="15" hidden="false" customHeight="false" outlineLevel="0" collapsed="false">
      <c r="A4901" s="103"/>
      <c r="B4901" s="104"/>
      <c r="C4901" s="104"/>
      <c r="E4901" s="107" t="str">
        <f aca="false">IF($C4901="","",IFERROR(INDEX(المنيو!$C$2:$C$500,MATCH($C4901,المنيو!$B$2:$B$500,0)),0))</f>
        <v/>
      </c>
      <c r="F4901" s="107" t="str">
        <f aca="false">IF($C4901="","",$D4901*$E4901)</f>
        <v/>
      </c>
      <c r="G4901" s="107" t="str">
        <f aca="false">IF($C4901="","",$D4901*IFERROR(INDEX('تحليل التكلفة والسعر'!$C$2:$C$700,MATCH($C4901,'تحليل التكلفة والسعر'!$B$2:$B$700,0)),0))</f>
        <v/>
      </c>
    </row>
    <row r="4902" customFormat="false" ht="15" hidden="false" customHeight="false" outlineLevel="0" collapsed="false">
      <c r="A4902" s="103"/>
      <c r="B4902" s="104"/>
      <c r="C4902" s="104"/>
      <c r="E4902" s="107" t="str">
        <f aca="false">IF($C4902="","",IFERROR(INDEX(المنيو!$C$2:$C$500,MATCH($C4902,المنيو!$B$2:$B$500,0)),0))</f>
        <v/>
      </c>
      <c r="F4902" s="107" t="str">
        <f aca="false">IF($C4902="","",$D4902*$E4902)</f>
        <v/>
      </c>
      <c r="G4902" s="107" t="str">
        <f aca="false">IF($C4902="","",$D4902*IFERROR(INDEX('تحليل التكلفة والسعر'!$C$2:$C$700,MATCH($C4902,'تحليل التكلفة والسعر'!$B$2:$B$700,0)),0))</f>
        <v/>
      </c>
    </row>
    <row r="4903" customFormat="false" ht="15" hidden="false" customHeight="false" outlineLevel="0" collapsed="false">
      <c r="A4903" s="103"/>
      <c r="B4903" s="104"/>
      <c r="C4903" s="104"/>
      <c r="E4903" s="107" t="str">
        <f aca="false">IF($C4903="","",IFERROR(INDEX(المنيو!$C$2:$C$500,MATCH($C4903,المنيو!$B$2:$B$500,0)),0))</f>
        <v/>
      </c>
      <c r="F4903" s="107" t="str">
        <f aca="false">IF($C4903="","",$D4903*$E4903)</f>
        <v/>
      </c>
      <c r="G4903" s="107" t="str">
        <f aca="false">IF($C4903="","",$D4903*IFERROR(INDEX('تحليل التكلفة والسعر'!$C$2:$C$700,MATCH($C4903,'تحليل التكلفة والسعر'!$B$2:$B$700,0)),0))</f>
        <v/>
      </c>
    </row>
    <row r="4904" customFormat="false" ht="15" hidden="false" customHeight="false" outlineLevel="0" collapsed="false">
      <c r="A4904" s="103"/>
      <c r="B4904" s="104"/>
      <c r="C4904" s="104"/>
      <c r="E4904" s="107" t="str">
        <f aca="false">IF($C4904="","",IFERROR(INDEX(المنيو!$C$2:$C$500,MATCH($C4904,المنيو!$B$2:$B$500,0)),0))</f>
        <v/>
      </c>
      <c r="F4904" s="107" t="str">
        <f aca="false">IF($C4904="","",$D4904*$E4904)</f>
        <v/>
      </c>
      <c r="G4904" s="107" t="str">
        <f aca="false">IF($C4904="","",$D4904*IFERROR(INDEX('تحليل التكلفة والسعر'!$C$2:$C$700,MATCH($C4904,'تحليل التكلفة والسعر'!$B$2:$B$700,0)),0))</f>
        <v/>
      </c>
    </row>
    <row r="4905" customFormat="false" ht="15" hidden="false" customHeight="false" outlineLevel="0" collapsed="false">
      <c r="A4905" s="103"/>
      <c r="B4905" s="104"/>
      <c r="C4905" s="104"/>
      <c r="E4905" s="107" t="str">
        <f aca="false">IF($C4905="","",IFERROR(INDEX(المنيو!$C$2:$C$500,MATCH($C4905,المنيو!$B$2:$B$500,0)),0))</f>
        <v/>
      </c>
      <c r="F4905" s="107" t="str">
        <f aca="false">IF($C4905="","",$D4905*$E4905)</f>
        <v/>
      </c>
      <c r="G4905" s="107" t="str">
        <f aca="false">IF($C4905="","",$D4905*IFERROR(INDEX('تحليل التكلفة والسعر'!$C$2:$C$700,MATCH($C4905,'تحليل التكلفة والسعر'!$B$2:$B$700,0)),0))</f>
        <v/>
      </c>
    </row>
    <row r="4906" customFormat="false" ht="15" hidden="false" customHeight="false" outlineLevel="0" collapsed="false">
      <c r="A4906" s="103"/>
      <c r="B4906" s="104"/>
      <c r="C4906" s="104"/>
      <c r="E4906" s="107" t="str">
        <f aca="false">IF($C4906="","",IFERROR(INDEX(المنيو!$C$2:$C$500,MATCH($C4906,المنيو!$B$2:$B$500,0)),0))</f>
        <v/>
      </c>
      <c r="F4906" s="107" t="str">
        <f aca="false">IF($C4906="","",$D4906*$E4906)</f>
        <v/>
      </c>
      <c r="G4906" s="107" t="str">
        <f aca="false">IF($C4906="","",$D4906*IFERROR(INDEX('تحليل التكلفة والسعر'!$C$2:$C$700,MATCH($C4906,'تحليل التكلفة والسعر'!$B$2:$B$700,0)),0))</f>
        <v/>
      </c>
    </row>
    <row r="4907" customFormat="false" ht="15" hidden="false" customHeight="false" outlineLevel="0" collapsed="false">
      <c r="A4907" s="103"/>
      <c r="B4907" s="104"/>
      <c r="C4907" s="104"/>
      <c r="E4907" s="107" t="str">
        <f aca="false">IF($C4907="","",IFERROR(INDEX(المنيو!$C$2:$C$500,MATCH($C4907,المنيو!$B$2:$B$500,0)),0))</f>
        <v/>
      </c>
      <c r="F4907" s="107" t="str">
        <f aca="false">IF($C4907="","",$D4907*$E4907)</f>
        <v/>
      </c>
      <c r="G4907" s="107" t="str">
        <f aca="false">IF($C4907="","",$D4907*IFERROR(INDEX('تحليل التكلفة والسعر'!$C$2:$C$700,MATCH($C4907,'تحليل التكلفة والسعر'!$B$2:$B$700,0)),0))</f>
        <v/>
      </c>
    </row>
    <row r="4908" customFormat="false" ht="15" hidden="false" customHeight="false" outlineLevel="0" collapsed="false">
      <c r="A4908" s="103"/>
      <c r="B4908" s="104"/>
      <c r="C4908" s="104"/>
      <c r="E4908" s="107" t="str">
        <f aca="false">IF($C4908="","",IFERROR(INDEX(المنيو!$C$2:$C$500,MATCH($C4908,المنيو!$B$2:$B$500,0)),0))</f>
        <v/>
      </c>
      <c r="F4908" s="107" t="str">
        <f aca="false">IF($C4908="","",$D4908*$E4908)</f>
        <v/>
      </c>
      <c r="G4908" s="107" t="str">
        <f aca="false">IF($C4908="","",$D4908*IFERROR(INDEX('تحليل التكلفة والسعر'!$C$2:$C$700,MATCH($C4908,'تحليل التكلفة والسعر'!$B$2:$B$700,0)),0))</f>
        <v/>
      </c>
    </row>
    <row r="4909" customFormat="false" ht="15" hidden="false" customHeight="false" outlineLevel="0" collapsed="false">
      <c r="A4909" s="103"/>
      <c r="B4909" s="104"/>
      <c r="C4909" s="104"/>
      <c r="E4909" s="107" t="str">
        <f aca="false">IF($C4909="","",IFERROR(INDEX(المنيو!$C$2:$C$500,MATCH($C4909,المنيو!$B$2:$B$500,0)),0))</f>
        <v/>
      </c>
      <c r="F4909" s="107" t="str">
        <f aca="false">IF($C4909="","",$D4909*$E4909)</f>
        <v/>
      </c>
      <c r="G4909" s="107" t="str">
        <f aca="false">IF($C4909="","",$D4909*IFERROR(INDEX('تحليل التكلفة والسعر'!$C$2:$C$700,MATCH($C4909,'تحليل التكلفة والسعر'!$B$2:$B$700,0)),0))</f>
        <v/>
      </c>
    </row>
    <row r="4910" customFormat="false" ht="15" hidden="false" customHeight="false" outlineLevel="0" collapsed="false">
      <c r="A4910" s="103"/>
      <c r="B4910" s="104"/>
      <c r="C4910" s="104"/>
      <c r="E4910" s="107" t="str">
        <f aca="false">IF($C4910="","",IFERROR(INDEX(المنيو!$C$2:$C$500,MATCH($C4910,المنيو!$B$2:$B$500,0)),0))</f>
        <v/>
      </c>
      <c r="F4910" s="107" t="str">
        <f aca="false">IF($C4910="","",$D4910*$E4910)</f>
        <v/>
      </c>
      <c r="G4910" s="107" t="str">
        <f aca="false">IF($C4910="","",$D4910*IFERROR(INDEX('تحليل التكلفة والسعر'!$C$2:$C$700,MATCH($C4910,'تحليل التكلفة والسعر'!$B$2:$B$700,0)),0))</f>
        <v/>
      </c>
    </row>
    <row r="4911" customFormat="false" ht="15" hidden="false" customHeight="false" outlineLevel="0" collapsed="false">
      <c r="A4911" s="103"/>
      <c r="B4911" s="104"/>
      <c r="C4911" s="104"/>
      <c r="E4911" s="107" t="str">
        <f aca="false">IF($C4911="","",IFERROR(INDEX(المنيو!$C$2:$C$500,MATCH($C4911,المنيو!$B$2:$B$500,0)),0))</f>
        <v/>
      </c>
      <c r="F4911" s="107" t="str">
        <f aca="false">IF($C4911="","",$D4911*$E4911)</f>
        <v/>
      </c>
      <c r="G4911" s="107" t="str">
        <f aca="false">IF($C4911="","",$D4911*IFERROR(INDEX('تحليل التكلفة والسعر'!$C$2:$C$700,MATCH($C4911,'تحليل التكلفة والسعر'!$B$2:$B$700,0)),0))</f>
        <v/>
      </c>
    </row>
    <row r="4912" customFormat="false" ht="15" hidden="false" customHeight="false" outlineLevel="0" collapsed="false">
      <c r="A4912" s="103"/>
      <c r="B4912" s="104"/>
      <c r="C4912" s="104"/>
      <c r="E4912" s="107" t="str">
        <f aca="false">IF($C4912="","",IFERROR(INDEX(المنيو!$C$2:$C$500,MATCH($C4912,المنيو!$B$2:$B$500,0)),0))</f>
        <v/>
      </c>
      <c r="F4912" s="107" t="str">
        <f aca="false">IF($C4912="","",$D4912*$E4912)</f>
        <v/>
      </c>
      <c r="G4912" s="107" t="str">
        <f aca="false">IF($C4912="","",$D4912*IFERROR(INDEX('تحليل التكلفة والسعر'!$C$2:$C$700,MATCH($C4912,'تحليل التكلفة والسعر'!$B$2:$B$700,0)),0))</f>
        <v/>
      </c>
    </row>
    <row r="4913" customFormat="false" ht="15" hidden="false" customHeight="false" outlineLevel="0" collapsed="false">
      <c r="A4913" s="103"/>
      <c r="B4913" s="104"/>
      <c r="C4913" s="104"/>
      <c r="E4913" s="107" t="str">
        <f aca="false">IF($C4913="","",IFERROR(INDEX(المنيو!$C$2:$C$500,MATCH($C4913,المنيو!$B$2:$B$500,0)),0))</f>
        <v/>
      </c>
      <c r="F4913" s="107" t="str">
        <f aca="false">IF($C4913="","",$D4913*$E4913)</f>
        <v/>
      </c>
      <c r="G4913" s="107" t="str">
        <f aca="false">IF($C4913="","",$D4913*IFERROR(INDEX('تحليل التكلفة والسعر'!$C$2:$C$700,MATCH($C4913,'تحليل التكلفة والسعر'!$B$2:$B$700,0)),0))</f>
        <v/>
      </c>
    </row>
    <row r="4914" customFormat="false" ht="15" hidden="false" customHeight="false" outlineLevel="0" collapsed="false">
      <c r="A4914" s="103"/>
      <c r="B4914" s="104"/>
      <c r="C4914" s="104"/>
      <c r="E4914" s="107" t="str">
        <f aca="false">IF($C4914="","",IFERROR(INDEX(المنيو!$C$2:$C$500,MATCH($C4914,المنيو!$B$2:$B$500,0)),0))</f>
        <v/>
      </c>
      <c r="F4914" s="107" t="str">
        <f aca="false">IF($C4914="","",$D4914*$E4914)</f>
        <v/>
      </c>
      <c r="G4914" s="107" t="str">
        <f aca="false">IF($C4914="","",$D4914*IFERROR(INDEX('تحليل التكلفة والسعر'!$C$2:$C$700,MATCH($C4914,'تحليل التكلفة والسعر'!$B$2:$B$700,0)),0))</f>
        <v/>
      </c>
    </row>
    <row r="4915" customFormat="false" ht="15" hidden="false" customHeight="false" outlineLevel="0" collapsed="false">
      <c r="A4915" s="103"/>
      <c r="B4915" s="104"/>
      <c r="C4915" s="104"/>
      <c r="E4915" s="107" t="str">
        <f aca="false">IF($C4915="","",IFERROR(INDEX(المنيو!$C$2:$C$500,MATCH($C4915,المنيو!$B$2:$B$500,0)),0))</f>
        <v/>
      </c>
      <c r="F4915" s="107" t="str">
        <f aca="false">IF($C4915="","",$D4915*$E4915)</f>
        <v/>
      </c>
      <c r="G4915" s="107" t="str">
        <f aca="false">IF($C4915="","",$D4915*IFERROR(INDEX('تحليل التكلفة والسعر'!$C$2:$C$700,MATCH($C4915,'تحليل التكلفة والسعر'!$B$2:$B$700,0)),0))</f>
        <v/>
      </c>
    </row>
    <row r="4916" customFormat="false" ht="15" hidden="false" customHeight="false" outlineLevel="0" collapsed="false">
      <c r="A4916" s="103"/>
      <c r="B4916" s="104"/>
      <c r="C4916" s="104"/>
      <c r="E4916" s="107" t="str">
        <f aca="false">IF($C4916="","",IFERROR(INDEX(المنيو!$C$2:$C$500,MATCH($C4916,المنيو!$B$2:$B$500,0)),0))</f>
        <v/>
      </c>
      <c r="F4916" s="107" t="str">
        <f aca="false">IF($C4916="","",$D4916*$E4916)</f>
        <v/>
      </c>
      <c r="G4916" s="107" t="str">
        <f aca="false">IF($C4916="","",$D4916*IFERROR(INDEX('تحليل التكلفة والسعر'!$C$2:$C$700,MATCH($C4916,'تحليل التكلفة والسعر'!$B$2:$B$700,0)),0))</f>
        <v/>
      </c>
    </row>
    <row r="4917" customFormat="false" ht="15" hidden="false" customHeight="false" outlineLevel="0" collapsed="false">
      <c r="A4917" s="103"/>
      <c r="B4917" s="104"/>
      <c r="C4917" s="104"/>
      <c r="E4917" s="107" t="str">
        <f aca="false">IF($C4917="","",IFERROR(INDEX(المنيو!$C$2:$C$500,MATCH($C4917,المنيو!$B$2:$B$500,0)),0))</f>
        <v/>
      </c>
      <c r="F4917" s="107" t="str">
        <f aca="false">IF($C4917="","",$D4917*$E4917)</f>
        <v/>
      </c>
      <c r="G4917" s="107" t="str">
        <f aca="false">IF($C4917="","",$D4917*IFERROR(INDEX('تحليل التكلفة والسعر'!$C$2:$C$700,MATCH($C4917,'تحليل التكلفة والسعر'!$B$2:$B$700,0)),0))</f>
        <v/>
      </c>
    </row>
    <row r="4918" customFormat="false" ht="15" hidden="false" customHeight="false" outlineLevel="0" collapsed="false">
      <c r="A4918" s="103"/>
      <c r="B4918" s="104"/>
      <c r="C4918" s="104"/>
      <c r="E4918" s="107" t="str">
        <f aca="false">IF($C4918="","",IFERROR(INDEX(المنيو!$C$2:$C$500,MATCH($C4918,المنيو!$B$2:$B$500,0)),0))</f>
        <v/>
      </c>
      <c r="F4918" s="107" t="str">
        <f aca="false">IF($C4918="","",$D4918*$E4918)</f>
        <v/>
      </c>
      <c r="G4918" s="107" t="str">
        <f aca="false">IF($C4918="","",$D4918*IFERROR(INDEX('تحليل التكلفة والسعر'!$C$2:$C$700,MATCH($C4918,'تحليل التكلفة والسعر'!$B$2:$B$700,0)),0))</f>
        <v/>
      </c>
    </row>
    <row r="4919" customFormat="false" ht="15" hidden="false" customHeight="false" outlineLevel="0" collapsed="false">
      <c r="A4919" s="103"/>
      <c r="B4919" s="104"/>
      <c r="C4919" s="104"/>
      <c r="E4919" s="107" t="str">
        <f aca="false">IF($C4919="","",IFERROR(INDEX(المنيو!$C$2:$C$500,MATCH($C4919,المنيو!$B$2:$B$500,0)),0))</f>
        <v/>
      </c>
      <c r="F4919" s="107" t="str">
        <f aca="false">IF($C4919="","",$D4919*$E4919)</f>
        <v/>
      </c>
      <c r="G4919" s="107" t="str">
        <f aca="false">IF($C4919="","",$D4919*IFERROR(INDEX('تحليل التكلفة والسعر'!$C$2:$C$700,MATCH($C4919,'تحليل التكلفة والسعر'!$B$2:$B$700,0)),0))</f>
        <v/>
      </c>
    </row>
    <row r="4920" customFormat="false" ht="15" hidden="false" customHeight="false" outlineLevel="0" collapsed="false">
      <c r="A4920" s="103"/>
      <c r="B4920" s="104"/>
      <c r="C4920" s="104"/>
      <c r="E4920" s="107" t="str">
        <f aca="false">IF($C4920="","",IFERROR(INDEX(المنيو!$C$2:$C$500,MATCH($C4920,المنيو!$B$2:$B$500,0)),0))</f>
        <v/>
      </c>
      <c r="F4920" s="107" t="str">
        <f aca="false">IF($C4920="","",$D4920*$E4920)</f>
        <v/>
      </c>
      <c r="G4920" s="107" t="str">
        <f aca="false">IF($C4920="","",$D4920*IFERROR(INDEX('تحليل التكلفة والسعر'!$C$2:$C$700,MATCH($C4920,'تحليل التكلفة والسعر'!$B$2:$B$700,0)),0))</f>
        <v/>
      </c>
    </row>
    <row r="4921" customFormat="false" ht="15" hidden="false" customHeight="false" outlineLevel="0" collapsed="false">
      <c r="A4921" s="103"/>
      <c r="B4921" s="104"/>
      <c r="C4921" s="104"/>
      <c r="E4921" s="107" t="str">
        <f aca="false">IF($C4921="","",IFERROR(INDEX(المنيو!$C$2:$C$500,MATCH($C4921,المنيو!$B$2:$B$500,0)),0))</f>
        <v/>
      </c>
      <c r="F4921" s="107" t="str">
        <f aca="false">IF($C4921="","",$D4921*$E4921)</f>
        <v/>
      </c>
      <c r="G4921" s="107" t="str">
        <f aca="false">IF($C4921="","",$D4921*IFERROR(INDEX('تحليل التكلفة والسعر'!$C$2:$C$700,MATCH($C4921,'تحليل التكلفة والسعر'!$B$2:$B$700,0)),0))</f>
        <v/>
      </c>
    </row>
    <row r="4922" customFormat="false" ht="15" hidden="false" customHeight="false" outlineLevel="0" collapsed="false">
      <c r="A4922" s="103"/>
      <c r="B4922" s="104"/>
      <c r="C4922" s="104"/>
      <c r="E4922" s="107" t="str">
        <f aca="false">IF($C4922="","",IFERROR(INDEX(المنيو!$C$2:$C$500,MATCH($C4922,المنيو!$B$2:$B$500,0)),0))</f>
        <v/>
      </c>
      <c r="F4922" s="107" t="str">
        <f aca="false">IF($C4922="","",$D4922*$E4922)</f>
        <v/>
      </c>
      <c r="G4922" s="107" t="str">
        <f aca="false">IF($C4922="","",$D4922*IFERROR(INDEX('تحليل التكلفة والسعر'!$C$2:$C$700,MATCH($C4922,'تحليل التكلفة والسعر'!$B$2:$B$700,0)),0))</f>
        <v/>
      </c>
    </row>
    <row r="4923" customFormat="false" ht="15" hidden="false" customHeight="false" outlineLevel="0" collapsed="false">
      <c r="A4923" s="103"/>
      <c r="B4923" s="104"/>
      <c r="C4923" s="104"/>
      <c r="E4923" s="107" t="str">
        <f aca="false">IF($C4923="","",IFERROR(INDEX(المنيو!$C$2:$C$500,MATCH($C4923,المنيو!$B$2:$B$500,0)),0))</f>
        <v/>
      </c>
      <c r="F4923" s="107" t="str">
        <f aca="false">IF($C4923="","",$D4923*$E4923)</f>
        <v/>
      </c>
      <c r="G4923" s="107" t="str">
        <f aca="false">IF($C4923="","",$D4923*IFERROR(INDEX('تحليل التكلفة والسعر'!$C$2:$C$700,MATCH($C4923,'تحليل التكلفة والسعر'!$B$2:$B$700,0)),0))</f>
        <v/>
      </c>
    </row>
    <row r="4924" customFormat="false" ht="15" hidden="false" customHeight="false" outlineLevel="0" collapsed="false">
      <c r="A4924" s="103"/>
      <c r="B4924" s="104"/>
      <c r="C4924" s="104"/>
      <c r="E4924" s="107" t="str">
        <f aca="false">IF($C4924="","",IFERROR(INDEX(المنيو!$C$2:$C$500,MATCH($C4924,المنيو!$B$2:$B$500,0)),0))</f>
        <v/>
      </c>
      <c r="F4924" s="107" t="str">
        <f aca="false">IF($C4924="","",$D4924*$E4924)</f>
        <v/>
      </c>
      <c r="G4924" s="107" t="str">
        <f aca="false">IF($C4924="","",$D4924*IFERROR(INDEX('تحليل التكلفة والسعر'!$C$2:$C$700,MATCH($C4924,'تحليل التكلفة والسعر'!$B$2:$B$700,0)),0))</f>
        <v/>
      </c>
    </row>
    <row r="4925" customFormat="false" ht="15" hidden="false" customHeight="false" outlineLevel="0" collapsed="false">
      <c r="A4925" s="103"/>
      <c r="B4925" s="104"/>
      <c r="C4925" s="104"/>
      <c r="E4925" s="107" t="str">
        <f aca="false">IF($C4925="","",IFERROR(INDEX(المنيو!$C$2:$C$500,MATCH($C4925,المنيو!$B$2:$B$500,0)),0))</f>
        <v/>
      </c>
      <c r="F4925" s="107" t="str">
        <f aca="false">IF($C4925="","",$D4925*$E4925)</f>
        <v/>
      </c>
      <c r="G4925" s="107" t="str">
        <f aca="false">IF($C4925="","",$D4925*IFERROR(INDEX('تحليل التكلفة والسعر'!$C$2:$C$700,MATCH($C4925,'تحليل التكلفة والسعر'!$B$2:$B$700,0)),0))</f>
        <v/>
      </c>
    </row>
    <row r="4926" customFormat="false" ht="15" hidden="false" customHeight="false" outlineLevel="0" collapsed="false">
      <c r="A4926" s="103"/>
      <c r="B4926" s="104"/>
      <c r="C4926" s="104"/>
      <c r="E4926" s="107" t="str">
        <f aca="false">IF($C4926="","",IFERROR(INDEX(المنيو!$C$2:$C$500,MATCH($C4926,المنيو!$B$2:$B$500,0)),0))</f>
        <v/>
      </c>
      <c r="F4926" s="107" t="str">
        <f aca="false">IF($C4926="","",$D4926*$E4926)</f>
        <v/>
      </c>
      <c r="G4926" s="107" t="str">
        <f aca="false">IF($C4926="","",$D4926*IFERROR(INDEX('تحليل التكلفة والسعر'!$C$2:$C$700,MATCH($C4926,'تحليل التكلفة والسعر'!$B$2:$B$700,0)),0))</f>
        <v/>
      </c>
    </row>
    <row r="4927" customFormat="false" ht="15" hidden="false" customHeight="false" outlineLevel="0" collapsed="false">
      <c r="A4927" s="103"/>
      <c r="B4927" s="104"/>
      <c r="C4927" s="104"/>
      <c r="E4927" s="107" t="str">
        <f aca="false">IF($C4927="","",IFERROR(INDEX(المنيو!$C$2:$C$500,MATCH($C4927,المنيو!$B$2:$B$500,0)),0))</f>
        <v/>
      </c>
      <c r="F4927" s="107" t="str">
        <f aca="false">IF($C4927="","",$D4927*$E4927)</f>
        <v/>
      </c>
      <c r="G4927" s="107" t="str">
        <f aca="false">IF($C4927="","",$D4927*IFERROR(INDEX('تحليل التكلفة والسعر'!$C$2:$C$700,MATCH($C4927,'تحليل التكلفة والسعر'!$B$2:$B$700,0)),0))</f>
        <v/>
      </c>
    </row>
    <row r="4928" customFormat="false" ht="15" hidden="false" customHeight="false" outlineLevel="0" collapsed="false">
      <c r="A4928" s="103"/>
      <c r="B4928" s="104"/>
      <c r="C4928" s="104"/>
      <c r="E4928" s="107" t="str">
        <f aca="false">IF($C4928="","",IFERROR(INDEX(المنيو!$C$2:$C$500,MATCH($C4928,المنيو!$B$2:$B$500,0)),0))</f>
        <v/>
      </c>
      <c r="F4928" s="107" t="str">
        <f aca="false">IF($C4928="","",$D4928*$E4928)</f>
        <v/>
      </c>
      <c r="G4928" s="107" t="str">
        <f aca="false">IF($C4928="","",$D4928*IFERROR(INDEX('تحليل التكلفة والسعر'!$C$2:$C$700,MATCH($C4928,'تحليل التكلفة والسعر'!$B$2:$B$700,0)),0))</f>
        <v/>
      </c>
    </row>
    <row r="4929" customFormat="false" ht="15" hidden="false" customHeight="false" outlineLevel="0" collapsed="false">
      <c r="A4929" s="103"/>
      <c r="B4929" s="104"/>
      <c r="C4929" s="104"/>
      <c r="E4929" s="107" t="str">
        <f aca="false">IF($C4929="","",IFERROR(INDEX(المنيو!$C$2:$C$500,MATCH($C4929,المنيو!$B$2:$B$500,0)),0))</f>
        <v/>
      </c>
      <c r="F4929" s="107" t="str">
        <f aca="false">IF($C4929="","",$D4929*$E4929)</f>
        <v/>
      </c>
      <c r="G4929" s="107" t="str">
        <f aca="false">IF($C4929="","",$D4929*IFERROR(INDEX('تحليل التكلفة والسعر'!$C$2:$C$700,MATCH($C4929,'تحليل التكلفة والسعر'!$B$2:$B$700,0)),0))</f>
        <v/>
      </c>
    </row>
    <row r="4930" customFormat="false" ht="15" hidden="false" customHeight="false" outlineLevel="0" collapsed="false">
      <c r="A4930" s="103"/>
      <c r="B4930" s="104"/>
      <c r="C4930" s="104"/>
      <c r="E4930" s="107" t="str">
        <f aca="false">IF($C4930="","",IFERROR(INDEX(المنيو!$C$2:$C$500,MATCH($C4930,المنيو!$B$2:$B$500,0)),0))</f>
        <v/>
      </c>
      <c r="F4930" s="107" t="str">
        <f aca="false">IF($C4930="","",$D4930*$E4930)</f>
        <v/>
      </c>
      <c r="G4930" s="107" t="str">
        <f aca="false">IF($C4930="","",$D4930*IFERROR(INDEX('تحليل التكلفة والسعر'!$C$2:$C$700,MATCH($C4930,'تحليل التكلفة والسعر'!$B$2:$B$700,0)),0))</f>
        <v/>
      </c>
    </row>
    <row r="4931" customFormat="false" ht="15" hidden="false" customHeight="false" outlineLevel="0" collapsed="false">
      <c r="A4931" s="103"/>
      <c r="B4931" s="104"/>
      <c r="C4931" s="104"/>
      <c r="E4931" s="107" t="str">
        <f aca="false">IF($C4931="","",IFERROR(INDEX(المنيو!$C$2:$C$500,MATCH($C4931,المنيو!$B$2:$B$500,0)),0))</f>
        <v/>
      </c>
      <c r="F4931" s="107" t="str">
        <f aca="false">IF($C4931="","",$D4931*$E4931)</f>
        <v/>
      </c>
      <c r="G4931" s="107" t="str">
        <f aca="false">IF($C4931="","",$D4931*IFERROR(INDEX('تحليل التكلفة والسعر'!$C$2:$C$700,MATCH($C4931,'تحليل التكلفة والسعر'!$B$2:$B$700,0)),0))</f>
        <v/>
      </c>
    </row>
    <row r="4932" customFormat="false" ht="15" hidden="false" customHeight="false" outlineLevel="0" collapsed="false">
      <c r="A4932" s="103"/>
      <c r="B4932" s="104"/>
      <c r="C4932" s="104"/>
      <c r="E4932" s="107" t="str">
        <f aca="false">IF($C4932="","",IFERROR(INDEX(المنيو!$C$2:$C$500,MATCH($C4932,المنيو!$B$2:$B$500,0)),0))</f>
        <v/>
      </c>
      <c r="F4932" s="107" t="str">
        <f aca="false">IF($C4932="","",$D4932*$E4932)</f>
        <v/>
      </c>
      <c r="G4932" s="107" t="str">
        <f aca="false">IF($C4932="","",$D4932*IFERROR(INDEX('تحليل التكلفة والسعر'!$C$2:$C$700,MATCH($C4932,'تحليل التكلفة والسعر'!$B$2:$B$700,0)),0))</f>
        <v/>
      </c>
    </row>
    <row r="4933" customFormat="false" ht="15" hidden="false" customHeight="false" outlineLevel="0" collapsed="false">
      <c r="A4933" s="103"/>
      <c r="B4933" s="104"/>
      <c r="C4933" s="104"/>
      <c r="E4933" s="107" t="str">
        <f aca="false">IF($C4933="","",IFERROR(INDEX(المنيو!$C$2:$C$500,MATCH($C4933,المنيو!$B$2:$B$500,0)),0))</f>
        <v/>
      </c>
      <c r="F4933" s="107" t="str">
        <f aca="false">IF($C4933="","",$D4933*$E4933)</f>
        <v/>
      </c>
      <c r="G4933" s="107" t="str">
        <f aca="false">IF($C4933="","",$D4933*IFERROR(INDEX('تحليل التكلفة والسعر'!$C$2:$C$700,MATCH($C4933,'تحليل التكلفة والسعر'!$B$2:$B$700,0)),0))</f>
        <v/>
      </c>
    </row>
    <row r="4934" customFormat="false" ht="15" hidden="false" customHeight="false" outlineLevel="0" collapsed="false">
      <c r="A4934" s="103"/>
      <c r="B4934" s="104"/>
      <c r="C4934" s="104"/>
      <c r="E4934" s="107" t="str">
        <f aca="false">IF($C4934="","",IFERROR(INDEX(المنيو!$C$2:$C$500,MATCH($C4934,المنيو!$B$2:$B$500,0)),0))</f>
        <v/>
      </c>
      <c r="F4934" s="107" t="str">
        <f aca="false">IF($C4934="","",$D4934*$E4934)</f>
        <v/>
      </c>
      <c r="G4934" s="107" t="str">
        <f aca="false">IF($C4934="","",$D4934*IFERROR(INDEX('تحليل التكلفة والسعر'!$C$2:$C$700,MATCH($C4934,'تحليل التكلفة والسعر'!$B$2:$B$700,0)),0))</f>
        <v/>
      </c>
    </row>
    <row r="4935" customFormat="false" ht="15" hidden="false" customHeight="false" outlineLevel="0" collapsed="false">
      <c r="A4935" s="103"/>
      <c r="B4935" s="104"/>
      <c r="C4935" s="104"/>
      <c r="E4935" s="107" t="str">
        <f aca="false">IF($C4935="","",IFERROR(INDEX(المنيو!$C$2:$C$500,MATCH($C4935,المنيو!$B$2:$B$500,0)),0))</f>
        <v/>
      </c>
      <c r="F4935" s="107" t="str">
        <f aca="false">IF($C4935="","",$D4935*$E4935)</f>
        <v/>
      </c>
      <c r="G4935" s="107" t="str">
        <f aca="false">IF($C4935="","",$D4935*IFERROR(INDEX('تحليل التكلفة والسعر'!$C$2:$C$700,MATCH($C4935,'تحليل التكلفة والسعر'!$B$2:$B$700,0)),0))</f>
        <v/>
      </c>
    </row>
    <row r="4936" customFormat="false" ht="15" hidden="false" customHeight="false" outlineLevel="0" collapsed="false">
      <c r="A4936" s="103"/>
      <c r="B4936" s="104"/>
      <c r="C4936" s="104"/>
      <c r="E4936" s="107" t="str">
        <f aca="false">IF($C4936="","",IFERROR(INDEX(المنيو!$C$2:$C$500,MATCH($C4936,المنيو!$B$2:$B$500,0)),0))</f>
        <v/>
      </c>
      <c r="F4936" s="107" t="str">
        <f aca="false">IF($C4936="","",$D4936*$E4936)</f>
        <v/>
      </c>
      <c r="G4936" s="107" t="str">
        <f aca="false">IF($C4936="","",$D4936*IFERROR(INDEX('تحليل التكلفة والسعر'!$C$2:$C$700,MATCH($C4936,'تحليل التكلفة والسعر'!$B$2:$B$700,0)),0))</f>
        <v/>
      </c>
    </row>
    <row r="4937" customFormat="false" ht="15" hidden="false" customHeight="false" outlineLevel="0" collapsed="false">
      <c r="A4937" s="103"/>
      <c r="B4937" s="104"/>
      <c r="C4937" s="104"/>
      <c r="E4937" s="107" t="str">
        <f aca="false">IF($C4937="","",IFERROR(INDEX(المنيو!$C$2:$C$500,MATCH($C4937,المنيو!$B$2:$B$500,0)),0))</f>
        <v/>
      </c>
      <c r="F4937" s="107" t="str">
        <f aca="false">IF($C4937="","",$D4937*$E4937)</f>
        <v/>
      </c>
      <c r="G4937" s="107" t="str">
        <f aca="false">IF($C4937="","",$D4937*IFERROR(INDEX('تحليل التكلفة والسعر'!$C$2:$C$700,MATCH($C4937,'تحليل التكلفة والسعر'!$B$2:$B$700,0)),0))</f>
        <v/>
      </c>
    </row>
    <row r="4938" customFormat="false" ht="15" hidden="false" customHeight="false" outlineLevel="0" collapsed="false">
      <c r="A4938" s="103"/>
      <c r="B4938" s="104"/>
      <c r="C4938" s="104"/>
      <c r="E4938" s="107" t="str">
        <f aca="false">IF($C4938="","",IFERROR(INDEX(المنيو!$C$2:$C$500,MATCH($C4938,المنيو!$B$2:$B$500,0)),0))</f>
        <v/>
      </c>
      <c r="F4938" s="107" t="str">
        <f aca="false">IF($C4938="","",$D4938*$E4938)</f>
        <v/>
      </c>
      <c r="G4938" s="107" t="str">
        <f aca="false">IF($C4938="","",$D4938*IFERROR(INDEX('تحليل التكلفة والسعر'!$C$2:$C$700,MATCH($C4938,'تحليل التكلفة والسعر'!$B$2:$B$700,0)),0))</f>
        <v/>
      </c>
    </row>
    <row r="4939" customFormat="false" ht="15" hidden="false" customHeight="false" outlineLevel="0" collapsed="false">
      <c r="A4939" s="103"/>
      <c r="B4939" s="104"/>
      <c r="C4939" s="104"/>
      <c r="E4939" s="107" t="str">
        <f aca="false">IF($C4939="","",IFERROR(INDEX(المنيو!$C$2:$C$500,MATCH($C4939,المنيو!$B$2:$B$500,0)),0))</f>
        <v/>
      </c>
      <c r="F4939" s="107" t="str">
        <f aca="false">IF($C4939="","",$D4939*$E4939)</f>
        <v/>
      </c>
      <c r="G4939" s="107" t="str">
        <f aca="false">IF($C4939="","",$D4939*IFERROR(INDEX('تحليل التكلفة والسعر'!$C$2:$C$700,MATCH($C4939,'تحليل التكلفة والسعر'!$B$2:$B$700,0)),0))</f>
        <v/>
      </c>
    </row>
    <row r="4940" customFormat="false" ht="15" hidden="false" customHeight="false" outlineLevel="0" collapsed="false">
      <c r="A4940" s="103"/>
      <c r="B4940" s="104"/>
      <c r="C4940" s="104"/>
      <c r="E4940" s="107" t="str">
        <f aca="false">IF($C4940="","",IFERROR(INDEX(المنيو!$C$2:$C$500,MATCH($C4940,المنيو!$B$2:$B$500,0)),0))</f>
        <v/>
      </c>
      <c r="F4940" s="107" t="str">
        <f aca="false">IF($C4940="","",$D4940*$E4940)</f>
        <v/>
      </c>
      <c r="G4940" s="107" t="str">
        <f aca="false">IF($C4940="","",$D4940*IFERROR(INDEX('تحليل التكلفة والسعر'!$C$2:$C$700,MATCH($C4940,'تحليل التكلفة والسعر'!$B$2:$B$700,0)),0))</f>
        <v/>
      </c>
    </row>
    <row r="4941" customFormat="false" ht="15" hidden="false" customHeight="false" outlineLevel="0" collapsed="false">
      <c r="A4941" s="103"/>
      <c r="B4941" s="104"/>
      <c r="C4941" s="104"/>
      <c r="E4941" s="107" t="str">
        <f aca="false">IF($C4941="","",IFERROR(INDEX(المنيو!$C$2:$C$500,MATCH($C4941,المنيو!$B$2:$B$500,0)),0))</f>
        <v/>
      </c>
      <c r="F4941" s="107" t="str">
        <f aca="false">IF($C4941="","",$D4941*$E4941)</f>
        <v/>
      </c>
      <c r="G4941" s="107" t="str">
        <f aca="false">IF($C4941="","",$D4941*IFERROR(INDEX('تحليل التكلفة والسعر'!$C$2:$C$700,MATCH($C4941,'تحليل التكلفة والسعر'!$B$2:$B$700,0)),0))</f>
        <v/>
      </c>
    </row>
    <row r="4942" customFormat="false" ht="15" hidden="false" customHeight="false" outlineLevel="0" collapsed="false">
      <c r="A4942" s="103"/>
      <c r="B4942" s="104"/>
      <c r="C4942" s="104"/>
      <c r="E4942" s="107" t="str">
        <f aca="false">IF($C4942="","",IFERROR(INDEX(المنيو!$C$2:$C$500,MATCH($C4942,المنيو!$B$2:$B$500,0)),0))</f>
        <v/>
      </c>
      <c r="F4942" s="107" t="str">
        <f aca="false">IF($C4942="","",$D4942*$E4942)</f>
        <v/>
      </c>
      <c r="G4942" s="107" t="str">
        <f aca="false">IF($C4942="","",$D4942*IFERROR(INDEX('تحليل التكلفة والسعر'!$C$2:$C$700,MATCH($C4942,'تحليل التكلفة والسعر'!$B$2:$B$700,0)),0))</f>
        <v/>
      </c>
    </row>
    <row r="4943" customFormat="false" ht="15" hidden="false" customHeight="false" outlineLevel="0" collapsed="false">
      <c r="A4943" s="103"/>
      <c r="B4943" s="104"/>
      <c r="C4943" s="104"/>
      <c r="E4943" s="107" t="str">
        <f aca="false">IF($C4943="","",IFERROR(INDEX(المنيو!$C$2:$C$500,MATCH($C4943,المنيو!$B$2:$B$500,0)),0))</f>
        <v/>
      </c>
      <c r="F4943" s="107" t="str">
        <f aca="false">IF($C4943="","",$D4943*$E4943)</f>
        <v/>
      </c>
      <c r="G4943" s="107" t="str">
        <f aca="false">IF($C4943="","",$D4943*IFERROR(INDEX('تحليل التكلفة والسعر'!$C$2:$C$700,MATCH($C4943,'تحليل التكلفة والسعر'!$B$2:$B$700,0)),0))</f>
        <v/>
      </c>
    </row>
    <row r="4944" customFormat="false" ht="15" hidden="false" customHeight="false" outlineLevel="0" collapsed="false">
      <c r="A4944" s="103"/>
      <c r="B4944" s="104"/>
      <c r="C4944" s="104"/>
      <c r="E4944" s="107" t="str">
        <f aca="false">IF($C4944="","",IFERROR(INDEX(المنيو!$C$2:$C$500,MATCH($C4944,المنيو!$B$2:$B$500,0)),0))</f>
        <v/>
      </c>
      <c r="F4944" s="107" t="str">
        <f aca="false">IF($C4944="","",$D4944*$E4944)</f>
        <v/>
      </c>
      <c r="G4944" s="107" t="str">
        <f aca="false">IF($C4944="","",$D4944*IFERROR(INDEX('تحليل التكلفة والسعر'!$C$2:$C$700,MATCH($C4944,'تحليل التكلفة والسعر'!$B$2:$B$700,0)),0))</f>
        <v/>
      </c>
    </row>
    <row r="4945" customFormat="false" ht="15" hidden="false" customHeight="false" outlineLevel="0" collapsed="false">
      <c r="A4945" s="103"/>
      <c r="B4945" s="104"/>
      <c r="C4945" s="104"/>
      <c r="E4945" s="107" t="str">
        <f aca="false">IF($C4945="","",IFERROR(INDEX(المنيو!$C$2:$C$500,MATCH($C4945,المنيو!$B$2:$B$500,0)),0))</f>
        <v/>
      </c>
      <c r="F4945" s="107" t="str">
        <f aca="false">IF($C4945="","",$D4945*$E4945)</f>
        <v/>
      </c>
      <c r="G4945" s="107" t="str">
        <f aca="false">IF($C4945="","",$D4945*IFERROR(INDEX('تحليل التكلفة والسعر'!$C$2:$C$700,MATCH($C4945,'تحليل التكلفة والسعر'!$B$2:$B$700,0)),0))</f>
        <v/>
      </c>
    </row>
    <row r="4946" customFormat="false" ht="15" hidden="false" customHeight="false" outlineLevel="0" collapsed="false">
      <c r="A4946" s="103"/>
      <c r="B4946" s="104"/>
      <c r="C4946" s="104"/>
      <c r="E4946" s="107" t="str">
        <f aca="false">IF($C4946="","",IFERROR(INDEX(المنيو!$C$2:$C$500,MATCH($C4946,المنيو!$B$2:$B$500,0)),0))</f>
        <v/>
      </c>
      <c r="F4946" s="107" t="str">
        <f aca="false">IF($C4946="","",$D4946*$E4946)</f>
        <v/>
      </c>
      <c r="G4946" s="107" t="str">
        <f aca="false">IF($C4946="","",$D4946*IFERROR(INDEX('تحليل التكلفة والسعر'!$C$2:$C$700,MATCH($C4946,'تحليل التكلفة والسعر'!$B$2:$B$700,0)),0))</f>
        <v/>
      </c>
    </row>
    <row r="4947" customFormat="false" ht="15" hidden="false" customHeight="false" outlineLevel="0" collapsed="false">
      <c r="A4947" s="103"/>
      <c r="B4947" s="104"/>
      <c r="C4947" s="104"/>
      <c r="E4947" s="107" t="str">
        <f aca="false">IF($C4947="","",IFERROR(INDEX(المنيو!$C$2:$C$500,MATCH($C4947,المنيو!$B$2:$B$500,0)),0))</f>
        <v/>
      </c>
      <c r="F4947" s="107" t="str">
        <f aca="false">IF($C4947="","",$D4947*$E4947)</f>
        <v/>
      </c>
      <c r="G4947" s="107" t="str">
        <f aca="false">IF($C4947="","",$D4947*IFERROR(INDEX('تحليل التكلفة والسعر'!$C$2:$C$700,MATCH($C4947,'تحليل التكلفة والسعر'!$B$2:$B$700,0)),0))</f>
        <v/>
      </c>
    </row>
    <row r="4948" customFormat="false" ht="15" hidden="false" customHeight="false" outlineLevel="0" collapsed="false">
      <c r="A4948" s="103"/>
      <c r="B4948" s="104"/>
      <c r="C4948" s="104"/>
      <c r="E4948" s="107" t="str">
        <f aca="false">IF($C4948="","",IFERROR(INDEX(المنيو!$C$2:$C$500,MATCH($C4948,المنيو!$B$2:$B$500,0)),0))</f>
        <v/>
      </c>
      <c r="F4948" s="107" t="str">
        <f aca="false">IF($C4948="","",$D4948*$E4948)</f>
        <v/>
      </c>
      <c r="G4948" s="107" t="str">
        <f aca="false">IF($C4948="","",$D4948*IFERROR(INDEX('تحليل التكلفة والسعر'!$C$2:$C$700,MATCH($C4948,'تحليل التكلفة والسعر'!$B$2:$B$700,0)),0))</f>
        <v/>
      </c>
    </row>
    <row r="4949" customFormat="false" ht="15" hidden="false" customHeight="false" outlineLevel="0" collapsed="false">
      <c r="A4949" s="103"/>
      <c r="B4949" s="104"/>
      <c r="C4949" s="104"/>
      <c r="E4949" s="107" t="str">
        <f aca="false">IF($C4949="","",IFERROR(INDEX(المنيو!$C$2:$C$500,MATCH($C4949,المنيو!$B$2:$B$500,0)),0))</f>
        <v/>
      </c>
      <c r="F4949" s="107" t="str">
        <f aca="false">IF($C4949="","",$D4949*$E4949)</f>
        <v/>
      </c>
      <c r="G4949" s="107" t="str">
        <f aca="false">IF($C4949="","",$D4949*IFERROR(INDEX('تحليل التكلفة والسعر'!$C$2:$C$700,MATCH($C4949,'تحليل التكلفة والسعر'!$B$2:$B$700,0)),0))</f>
        <v/>
      </c>
    </row>
    <row r="4950" customFormat="false" ht="15" hidden="false" customHeight="false" outlineLevel="0" collapsed="false">
      <c r="A4950" s="103"/>
      <c r="B4950" s="104"/>
      <c r="C4950" s="104"/>
      <c r="E4950" s="107" t="str">
        <f aca="false">IF($C4950="","",IFERROR(INDEX(المنيو!$C$2:$C$500,MATCH($C4950,المنيو!$B$2:$B$500,0)),0))</f>
        <v/>
      </c>
      <c r="F4950" s="107" t="str">
        <f aca="false">IF($C4950="","",$D4950*$E4950)</f>
        <v/>
      </c>
      <c r="G4950" s="107" t="str">
        <f aca="false">IF($C4950="","",$D4950*IFERROR(INDEX('تحليل التكلفة والسعر'!$C$2:$C$700,MATCH($C4950,'تحليل التكلفة والسعر'!$B$2:$B$700,0)),0))</f>
        <v/>
      </c>
    </row>
    <row r="4951" customFormat="false" ht="15" hidden="false" customHeight="false" outlineLevel="0" collapsed="false">
      <c r="A4951" s="103"/>
      <c r="B4951" s="104"/>
      <c r="C4951" s="104"/>
      <c r="E4951" s="107" t="str">
        <f aca="false">IF($C4951="","",IFERROR(INDEX(المنيو!$C$2:$C$500,MATCH($C4951,المنيو!$B$2:$B$500,0)),0))</f>
        <v/>
      </c>
      <c r="F4951" s="107" t="str">
        <f aca="false">IF($C4951="","",$D4951*$E4951)</f>
        <v/>
      </c>
      <c r="G4951" s="107" t="str">
        <f aca="false">IF($C4951="","",$D4951*IFERROR(INDEX('تحليل التكلفة والسعر'!$C$2:$C$700,MATCH($C4951,'تحليل التكلفة والسعر'!$B$2:$B$700,0)),0))</f>
        <v/>
      </c>
    </row>
    <row r="4952" customFormat="false" ht="15" hidden="false" customHeight="false" outlineLevel="0" collapsed="false">
      <c r="A4952" s="103"/>
      <c r="B4952" s="104"/>
      <c r="C4952" s="104"/>
      <c r="E4952" s="107" t="str">
        <f aca="false">IF($C4952="","",IFERROR(INDEX(المنيو!$C$2:$C$500,MATCH($C4952,المنيو!$B$2:$B$500,0)),0))</f>
        <v/>
      </c>
      <c r="F4952" s="107" t="str">
        <f aca="false">IF($C4952="","",$D4952*$E4952)</f>
        <v/>
      </c>
      <c r="G4952" s="107" t="str">
        <f aca="false">IF($C4952="","",$D4952*IFERROR(INDEX('تحليل التكلفة والسعر'!$C$2:$C$700,MATCH($C4952,'تحليل التكلفة والسعر'!$B$2:$B$700,0)),0))</f>
        <v/>
      </c>
    </row>
    <row r="4953" customFormat="false" ht="15" hidden="false" customHeight="false" outlineLevel="0" collapsed="false">
      <c r="A4953" s="103"/>
      <c r="B4953" s="104"/>
      <c r="C4953" s="104"/>
      <c r="E4953" s="107" t="str">
        <f aca="false">IF($C4953="","",IFERROR(INDEX(المنيو!$C$2:$C$500,MATCH($C4953,المنيو!$B$2:$B$500,0)),0))</f>
        <v/>
      </c>
      <c r="F4953" s="107" t="str">
        <f aca="false">IF($C4953="","",$D4953*$E4953)</f>
        <v/>
      </c>
      <c r="G4953" s="107" t="str">
        <f aca="false">IF($C4953="","",$D4953*IFERROR(INDEX('تحليل التكلفة والسعر'!$C$2:$C$700,MATCH($C4953,'تحليل التكلفة والسعر'!$B$2:$B$700,0)),0))</f>
        <v/>
      </c>
    </row>
    <row r="4954" customFormat="false" ht="15" hidden="false" customHeight="false" outlineLevel="0" collapsed="false">
      <c r="A4954" s="103"/>
      <c r="B4954" s="104"/>
      <c r="C4954" s="104"/>
      <c r="E4954" s="107" t="str">
        <f aca="false">IF($C4954="","",IFERROR(INDEX(المنيو!$C$2:$C$500,MATCH($C4954,المنيو!$B$2:$B$500,0)),0))</f>
        <v/>
      </c>
      <c r="F4954" s="107" t="str">
        <f aca="false">IF($C4954="","",$D4954*$E4954)</f>
        <v/>
      </c>
      <c r="G4954" s="107" t="str">
        <f aca="false">IF($C4954="","",$D4954*IFERROR(INDEX('تحليل التكلفة والسعر'!$C$2:$C$700,MATCH($C4954,'تحليل التكلفة والسعر'!$B$2:$B$700,0)),0))</f>
        <v/>
      </c>
    </row>
    <row r="4955" customFormat="false" ht="15" hidden="false" customHeight="false" outlineLevel="0" collapsed="false">
      <c r="A4955" s="103"/>
      <c r="B4955" s="104"/>
      <c r="C4955" s="104"/>
      <c r="E4955" s="107" t="str">
        <f aca="false">IF($C4955="","",IFERROR(INDEX(المنيو!$C$2:$C$500,MATCH($C4955,المنيو!$B$2:$B$500,0)),0))</f>
        <v/>
      </c>
      <c r="F4955" s="107" t="str">
        <f aca="false">IF($C4955="","",$D4955*$E4955)</f>
        <v/>
      </c>
      <c r="G4955" s="107" t="str">
        <f aca="false">IF($C4955="","",$D4955*IFERROR(INDEX('تحليل التكلفة والسعر'!$C$2:$C$700,MATCH($C4955,'تحليل التكلفة والسعر'!$B$2:$B$700,0)),0))</f>
        <v/>
      </c>
    </row>
    <row r="4956" customFormat="false" ht="15" hidden="false" customHeight="false" outlineLevel="0" collapsed="false">
      <c r="A4956" s="103"/>
      <c r="B4956" s="104"/>
      <c r="C4956" s="104"/>
      <c r="E4956" s="107" t="str">
        <f aca="false">IF($C4956="","",IFERROR(INDEX(المنيو!$C$2:$C$500,MATCH($C4956,المنيو!$B$2:$B$500,0)),0))</f>
        <v/>
      </c>
      <c r="F4956" s="107" t="str">
        <f aca="false">IF($C4956="","",$D4956*$E4956)</f>
        <v/>
      </c>
      <c r="G4956" s="107" t="str">
        <f aca="false">IF($C4956="","",$D4956*IFERROR(INDEX('تحليل التكلفة والسعر'!$C$2:$C$700,MATCH($C4956,'تحليل التكلفة والسعر'!$B$2:$B$700,0)),0))</f>
        <v/>
      </c>
    </row>
    <row r="4957" customFormat="false" ht="15" hidden="false" customHeight="false" outlineLevel="0" collapsed="false">
      <c r="A4957" s="103"/>
      <c r="B4957" s="104"/>
      <c r="C4957" s="104"/>
      <c r="E4957" s="107" t="str">
        <f aca="false">IF($C4957="","",IFERROR(INDEX(المنيو!$C$2:$C$500,MATCH($C4957,المنيو!$B$2:$B$500,0)),0))</f>
        <v/>
      </c>
      <c r="F4957" s="107" t="str">
        <f aca="false">IF($C4957="","",$D4957*$E4957)</f>
        <v/>
      </c>
      <c r="G4957" s="107" t="str">
        <f aca="false">IF($C4957="","",$D4957*IFERROR(INDEX('تحليل التكلفة والسعر'!$C$2:$C$700,MATCH($C4957,'تحليل التكلفة والسعر'!$B$2:$B$700,0)),0))</f>
        <v/>
      </c>
    </row>
    <row r="4958" customFormat="false" ht="15" hidden="false" customHeight="false" outlineLevel="0" collapsed="false">
      <c r="A4958" s="103"/>
      <c r="B4958" s="104"/>
      <c r="C4958" s="104"/>
      <c r="E4958" s="107" t="str">
        <f aca="false">IF($C4958="","",IFERROR(INDEX(المنيو!$C$2:$C$500,MATCH($C4958,المنيو!$B$2:$B$500,0)),0))</f>
        <v/>
      </c>
      <c r="F4958" s="107" t="str">
        <f aca="false">IF($C4958="","",$D4958*$E4958)</f>
        <v/>
      </c>
      <c r="G4958" s="107" t="str">
        <f aca="false">IF($C4958="","",$D4958*IFERROR(INDEX('تحليل التكلفة والسعر'!$C$2:$C$700,MATCH($C4958,'تحليل التكلفة والسعر'!$B$2:$B$700,0)),0))</f>
        <v/>
      </c>
    </row>
    <row r="4959" customFormat="false" ht="15" hidden="false" customHeight="false" outlineLevel="0" collapsed="false">
      <c r="A4959" s="103"/>
      <c r="B4959" s="104"/>
      <c r="C4959" s="104"/>
      <c r="E4959" s="107" t="str">
        <f aca="false">IF($C4959="","",IFERROR(INDEX(المنيو!$C$2:$C$500,MATCH($C4959,المنيو!$B$2:$B$500,0)),0))</f>
        <v/>
      </c>
      <c r="F4959" s="107" t="str">
        <f aca="false">IF($C4959="","",$D4959*$E4959)</f>
        <v/>
      </c>
      <c r="G4959" s="107" t="str">
        <f aca="false">IF($C4959="","",$D4959*IFERROR(INDEX('تحليل التكلفة والسعر'!$C$2:$C$700,MATCH($C4959,'تحليل التكلفة والسعر'!$B$2:$B$700,0)),0))</f>
        <v/>
      </c>
    </row>
    <row r="4960" customFormat="false" ht="15" hidden="false" customHeight="false" outlineLevel="0" collapsed="false">
      <c r="A4960" s="103"/>
      <c r="B4960" s="104"/>
      <c r="C4960" s="104"/>
      <c r="E4960" s="107" t="str">
        <f aca="false">IF($C4960="","",IFERROR(INDEX(المنيو!$C$2:$C$500,MATCH($C4960,المنيو!$B$2:$B$500,0)),0))</f>
        <v/>
      </c>
      <c r="F4960" s="107" t="str">
        <f aca="false">IF($C4960="","",$D4960*$E4960)</f>
        <v/>
      </c>
      <c r="G4960" s="107" t="str">
        <f aca="false">IF($C4960="","",$D4960*IFERROR(INDEX('تحليل التكلفة والسعر'!$C$2:$C$700,MATCH($C4960,'تحليل التكلفة والسعر'!$B$2:$B$700,0)),0))</f>
        <v/>
      </c>
    </row>
    <row r="4961" customFormat="false" ht="15" hidden="false" customHeight="false" outlineLevel="0" collapsed="false">
      <c r="A4961" s="103"/>
      <c r="B4961" s="104"/>
      <c r="C4961" s="104"/>
      <c r="E4961" s="107" t="str">
        <f aca="false">IF($C4961="","",IFERROR(INDEX(المنيو!$C$2:$C$500,MATCH($C4961,المنيو!$B$2:$B$500,0)),0))</f>
        <v/>
      </c>
      <c r="F4961" s="107" t="str">
        <f aca="false">IF($C4961="","",$D4961*$E4961)</f>
        <v/>
      </c>
      <c r="G4961" s="107" t="str">
        <f aca="false">IF($C4961="","",$D4961*IFERROR(INDEX('تحليل التكلفة والسعر'!$C$2:$C$700,MATCH($C4961,'تحليل التكلفة والسعر'!$B$2:$B$700,0)),0))</f>
        <v/>
      </c>
    </row>
    <row r="4962" customFormat="false" ht="15" hidden="false" customHeight="false" outlineLevel="0" collapsed="false">
      <c r="A4962" s="103"/>
      <c r="B4962" s="104"/>
      <c r="C4962" s="104"/>
      <c r="E4962" s="107" t="str">
        <f aca="false">IF($C4962="","",IFERROR(INDEX(المنيو!$C$2:$C$500,MATCH($C4962,المنيو!$B$2:$B$500,0)),0))</f>
        <v/>
      </c>
      <c r="F4962" s="107" t="str">
        <f aca="false">IF($C4962="","",$D4962*$E4962)</f>
        <v/>
      </c>
      <c r="G4962" s="107" t="str">
        <f aca="false">IF($C4962="","",$D4962*IFERROR(INDEX('تحليل التكلفة والسعر'!$C$2:$C$700,MATCH($C4962,'تحليل التكلفة والسعر'!$B$2:$B$700,0)),0))</f>
        <v/>
      </c>
    </row>
    <row r="4963" customFormat="false" ht="15" hidden="false" customHeight="false" outlineLevel="0" collapsed="false">
      <c r="A4963" s="103"/>
      <c r="B4963" s="104"/>
      <c r="C4963" s="104"/>
      <c r="E4963" s="107" t="str">
        <f aca="false">IF($C4963="","",IFERROR(INDEX(المنيو!$C$2:$C$500,MATCH($C4963,المنيو!$B$2:$B$500,0)),0))</f>
        <v/>
      </c>
      <c r="F4963" s="107" t="str">
        <f aca="false">IF($C4963="","",$D4963*$E4963)</f>
        <v/>
      </c>
      <c r="G4963" s="107" t="str">
        <f aca="false">IF($C4963="","",$D4963*IFERROR(INDEX('تحليل التكلفة والسعر'!$C$2:$C$700,MATCH($C4963,'تحليل التكلفة والسعر'!$B$2:$B$700,0)),0))</f>
        <v/>
      </c>
    </row>
    <row r="4964" customFormat="false" ht="15" hidden="false" customHeight="false" outlineLevel="0" collapsed="false">
      <c r="A4964" s="103"/>
      <c r="B4964" s="104"/>
      <c r="C4964" s="104"/>
      <c r="E4964" s="107" t="str">
        <f aca="false">IF($C4964="","",IFERROR(INDEX(المنيو!$C$2:$C$500,MATCH($C4964,المنيو!$B$2:$B$500,0)),0))</f>
        <v/>
      </c>
      <c r="F4964" s="107" t="str">
        <f aca="false">IF($C4964="","",$D4964*$E4964)</f>
        <v/>
      </c>
      <c r="G4964" s="107" t="str">
        <f aca="false">IF($C4964="","",$D4964*IFERROR(INDEX('تحليل التكلفة والسعر'!$C$2:$C$700,MATCH($C4964,'تحليل التكلفة والسعر'!$B$2:$B$700,0)),0))</f>
        <v/>
      </c>
    </row>
    <row r="4965" customFormat="false" ht="15" hidden="false" customHeight="false" outlineLevel="0" collapsed="false">
      <c r="A4965" s="103"/>
      <c r="B4965" s="104"/>
      <c r="C4965" s="104"/>
      <c r="E4965" s="107" t="str">
        <f aca="false">IF($C4965="","",IFERROR(INDEX(المنيو!$C$2:$C$500,MATCH($C4965,المنيو!$B$2:$B$500,0)),0))</f>
        <v/>
      </c>
      <c r="F4965" s="107" t="str">
        <f aca="false">IF($C4965="","",$D4965*$E4965)</f>
        <v/>
      </c>
      <c r="G4965" s="107" t="str">
        <f aca="false">IF($C4965="","",$D4965*IFERROR(INDEX('تحليل التكلفة والسعر'!$C$2:$C$700,MATCH($C4965,'تحليل التكلفة والسعر'!$B$2:$B$700,0)),0))</f>
        <v/>
      </c>
    </row>
    <row r="4966" customFormat="false" ht="15" hidden="false" customHeight="false" outlineLevel="0" collapsed="false">
      <c r="A4966" s="103"/>
      <c r="B4966" s="104"/>
      <c r="C4966" s="104"/>
      <c r="E4966" s="107" t="str">
        <f aca="false">IF($C4966="","",IFERROR(INDEX(المنيو!$C$2:$C$500,MATCH($C4966,المنيو!$B$2:$B$500,0)),0))</f>
        <v/>
      </c>
      <c r="F4966" s="107" t="str">
        <f aca="false">IF($C4966="","",$D4966*$E4966)</f>
        <v/>
      </c>
      <c r="G4966" s="107" t="str">
        <f aca="false">IF($C4966="","",$D4966*IFERROR(INDEX('تحليل التكلفة والسعر'!$C$2:$C$700,MATCH($C4966,'تحليل التكلفة والسعر'!$B$2:$B$700,0)),0))</f>
        <v/>
      </c>
    </row>
    <row r="4967" customFormat="false" ht="15" hidden="false" customHeight="false" outlineLevel="0" collapsed="false">
      <c r="A4967" s="103"/>
      <c r="B4967" s="104"/>
      <c r="C4967" s="104"/>
      <c r="E4967" s="107" t="str">
        <f aca="false">IF($C4967="","",IFERROR(INDEX(المنيو!$C$2:$C$500,MATCH($C4967,المنيو!$B$2:$B$500,0)),0))</f>
        <v/>
      </c>
      <c r="F4967" s="107" t="str">
        <f aca="false">IF($C4967="","",$D4967*$E4967)</f>
        <v/>
      </c>
      <c r="G4967" s="107" t="str">
        <f aca="false">IF($C4967="","",$D4967*IFERROR(INDEX('تحليل التكلفة والسعر'!$C$2:$C$700,MATCH($C4967,'تحليل التكلفة والسعر'!$B$2:$B$700,0)),0))</f>
        <v/>
      </c>
    </row>
    <row r="4968" customFormat="false" ht="15" hidden="false" customHeight="false" outlineLevel="0" collapsed="false">
      <c r="A4968" s="103"/>
      <c r="B4968" s="104"/>
      <c r="C4968" s="104"/>
      <c r="E4968" s="107" t="str">
        <f aca="false">IF($C4968="","",IFERROR(INDEX(المنيو!$C$2:$C$500,MATCH($C4968,المنيو!$B$2:$B$500,0)),0))</f>
        <v/>
      </c>
      <c r="F4968" s="107" t="str">
        <f aca="false">IF($C4968="","",$D4968*$E4968)</f>
        <v/>
      </c>
      <c r="G4968" s="107" t="str">
        <f aca="false">IF($C4968="","",$D4968*IFERROR(INDEX('تحليل التكلفة والسعر'!$C$2:$C$700,MATCH($C4968,'تحليل التكلفة والسعر'!$B$2:$B$700,0)),0))</f>
        <v/>
      </c>
    </row>
    <row r="4969" customFormat="false" ht="15" hidden="false" customHeight="false" outlineLevel="0" collapsed="false">
      <c r="A4969" s="103"/>
      <c r="B4969" s="104"/>
      <c r="C4969" s="104"/>
      <c r="E4969" s="107" t="str">
        <f aca="false">IF($C4969="","",IFERROR(INDEX(المنيو!$C$2:$C$500,MATCH($C4969,المنيو!$B$2:$B$500,0)),0))</f>
        <v/>
      </c>
      <c r="F4969" s="107" t="str">
        <f aca="false">IF($C4969="","",$D4969*$E4969)</f>
        <v/>
      </c>
      <c r="G4969" s="107" t="str">
        <f aca="false">IF($C4969="","",$D4969*IFERROR(INDEX('تحليل التكلفة والسعر'!$C$2:$C$700,MATCH($C4969,'تحليل التكلفة والسعر'!$B$2:$B$700,0)),0))</f>
        <v/>
      </c>
    </row>
    <row r="4970" customFormat="false" ht="15" hidden="false" customHeight="false" outlineLevel="0" collapsed="false">
      <c r="A4970" s="103"/>
      <c r="B4970" s="104"/>
      <c r="C4970" s="104"/>
      <c r="E4970" s="107" t="str">
        <f aca="false">IF($C4970="","",IFERROR(INDEX(المنيو!$C$2:$C$500,MATCH($C4970,المنيو!$B$2:$B$500,0)),0))</f>
        <v/>
      </c>
      <c r="F4970" s="107" t="str">
        <f aca="false">IF($C4970="","",$D4970*$E4970)</f>
        <v/>
      </c>
      <c r="G4970" s="107" t="str">
        <f aca="false">IF($C4970="","",$D4970*IFERROR(INDEX('تحليل التكلفة والسعر'!$C$2:$C$700,MATCH($C4970,'تحليل التكلفة والسعر'!$B$2:$B$700,0)),0))</f>
        <v/>
      </c>
    </row>
    <row r="4971" customFormat="false" ht="15" hidden="false" customHeight="false" outlineLevel="0" collapsed="false">
      <c r="A4971" s="103"/>
      <c r="B4971" s="104"/>
      <c r="C4971" s="104"/>
      <c r="E4971" s="107" t="str">
        <f aca="false">IF($C4971="","",IFERROR(INDEX(المنيو!$C$2:$C$500,MATCH($C4971,المنيو!$B$2:$B$500,0)),0))</f>
        <v/>
      </c>
      <c r="F4971" s="107" t="str">
        <f aca="false">IF($C4971="","",$D4971*$E4971)</f>
        <v/>
      </c>
      <c r="G4971" s="107" t="str">
        <f aca="false">IF($C4971="","",$D4971*IFERROR(INDEX('تحليل التكلفة والسعر'!$C$2:$C$700,MATCH($C4971,'تحليل التكلفة والسعر'!$B$2:$B$700,0)),0))</f>
        <v/>
      </c>
    </row>
    <row r="4972" customFormat="false" ht="15" hidden="false" customHeight="false" outlineLevel="0" collapsed="false">
      <c r="A4972" s="103"/>
      <c r="B4972" s="104"/>
      <c r="C4972" s="104"/>
      <c r="E4972" s="107" t="str">
        <f aca="false">IF($C4972="","",IFERROR(INDEX(المنيو!$C$2:$C$500,MATCH($C4972,المنيو!$B$2:$B$500,0)),0))</f>
        <v/>
      </c>
      <c r="F4972" s="107" t="str">
        <f aca="false">IF($C4972="","",$D4972*$E4972)</f>
        <v/>
      </c>
      <c r="G4972" s="107" t="str">
        <f aca="false">IF($C4972="","",$D4972*IFERROR(INDEX('تحليل التكلفة والسعر'!$C$2:$C$700,MATCH($C4972,'تحليل التكلفة والسعر'!$B$2:$B$700,0)),0))</f>
        <v/>
      </c>
    </row>
    <row r="4973" customFormat="false" ht="15" hidden="false" customHeight="false" outlineLevel="0" collapsed="false">
      <c r="A4973" s="103"/>
      <c r="B4973" s="104"/>
      <c r="C4973" s="104"/>
      <c r="E4973" s="107" t="str">
        <f aca="false">IF($C4973="","",IFERROR(INDEX(المنيو!$C$2:$C$500,MATCH($C4973,المنيو!$B$2:$B$500,0)),0))</f>
        <v/>
      </c>
      <c r="F4973" s="107" t="str">
        <f aca="false">IF($C4973="","",$D4973*$E4973)</f>
        <v/>
      </c>
      <c r="G4973" s="107" t="str">
        <f aca="false">IF($C4973="","",$D4973*IFERROR(INDEX('تحليل التكلفة والسعر'!$C$2:$C$700,MATCH($C4973,'تحليل التكلفة والسعر'!$B$2:$B$700,0)),0))</f>
        <v/>
      </c>
    </row>
    <row r="4974" customFormat="false" ht="15" hidden="false" customHeight="false" outlineLevel="0" collapsed="false">
      <c r="A4974" s="103"/>
      <c r="B4974" s="104"/>
      <c r="C4974" s="104"/>
      <c r="E4974" s="107" t="str">
        <f aca="false">IF($C4974="","",IFERROR(INDEX(المنيو!$C$2:$C$500,MATCH($C4974,المنيو!$B$2:$B$500,0)),0))</f>
        <v/>
      </c>
      <c r="F4974" s="107" t="str">
        <f aca="false">IF($C4974="","",$D4974*$E4974)</f>
        <v/>
      </c>
      <c r="G4974" s="107" t="str">
        <f aca="false">IF($C4974="","",$D4974*IFERROR(INDEX('تحليل التكلفة والسعر'!$C$2:$C$700,MATCH($C4974,'تحليل التكلفة والسعر'!$B$2:$B$700,0)),0))</f>
        <v/>
      </c>
    </row>
    <row r="4975" customFormat="false" ht="15" hidden="false" customHeight="false" outlineLevel="0" collapsed="false">
      <c r="A4975" s="103"/>
      <c r="B4975" s="104"/>
      <c r="C4975" s="104"/>
      <c r="E4975" s="107" t="str">
        <f aca="false">IF($C4975="","",IFERROR(INDEX(المنيو!$C$2:$C$500,MATCH($C4975,المنيو!$B$2:$B$500,0)),0))</f>
        <v/>
      </c>
      <c r="F4975" s="107" t="str">
        <f aca="false">IF($C4975="","",$D4975*$E4975)</f>
        <v/>
      </c>
      <c r="G4975" s="107" t="str">
        <f aca="false">IF($C4975="","",$D4975*IFERROR(INDEX('تحليل التكلفة والسعر'!$C$2:$C$700,MATCH($C4975,'تحليل التكلفة والسعر'!$B$2:$B$700,0)),0))</f>
        <v/>
      </c>
    </row>
    <row r="4976" customFormat="false" ht="15" hidden="false" customHeight="false" outlineLevel="0" collapsed="false">
      <c r="A4976" s="103"/>
      <c r="B4976" s="104"/>
      <c r="C4976" s="104"/>
      <c r="E4976" s="107" t="str">
        <f aca="false">IF($C4976="","",IFERROR(INDEX(المنيو!$C$2:$C$500,MATCH($C4976,المنيو!$B$2:$B$500,0)),0))</f>
        <v/>
      </c>
      <c r="F4976" s="107" t="str">
        <f aca="false">IF($C4976="","",$D4976*$E4976)</f>
        <v/>
      </c>
      <c r="G4976" s="107" t="str">
        <f aca="false">IF($C4976="","",$D4976*IFERROR(INDEX('تحليل التكلفة والسعر'!$C$2:$C$700,MATCH($C4976,'تحليل التكلفة والسعر'!$B$2:$B$700,0)),0))</f>
        <v/>
      </c>
    </row>
    <row r="4977" customFormat="false" ht="15" hidden="false" customHeight="false" outlineLevel="0" collapsed="false">
      <c r="A4977" s="103"/>
      <c r="B4977" s="104"/>
      <c r="C4977" s="104"/>
      <c r="E4977" s="107" t="str">
        <f aca="false">IF($C4977="","",IFERROR(INDEX(المنيو!$C$2:$C$500,MATCH($C4977,المنيو!$B$2:$B$500,0)),0))</f>
        <v/>
      </c>
      <c r="F4977" s="107" t="str">
        <f aca="false">IF($C4977="","",$D4977*$E4977)</f>
        <v/>
      </c>
      <c r="G4977" s="107" t="str">
        <f aca="false">IF($C4977="","",$D4977*IFERROR(INDEX('تحليل التكلفة والسعر'!$C$2:$C$700,MATCH($C4977,'تحليل التكلفة والسعر'!$B$2:$B$700,0)),0))</f>
        <v/>
      </c>
    </row>
    <row r="4978" customFormat="false" ht="15" hidden="false" customHeight="false" outlineLevel="0" collapsed="false">
      <c r="A4978" s="103"/>
      <c r="B4978" s="104"/>
      <c r="C4978" s="104"/>
      <c r="E4978" s="107" t="str">
        <f aca="false">IF($C4978="","",IFERROR(INDEX(المنيو!$C$2:$C$500,MATCH($C4978,المنيو!$B$2:$B$500,0)),0))</f>
        <v/>
      </c>
      <c r="F4978" s="107" t="str">
        <f aca="false">IF($C4978="","",$D4978*$E4978)</f>
        <v/>
      </c>
      <c r="G4978" s="107" t="str">
        <f aca="false">IF($C4978="","",$D4978*IFERROR(INDEX('تحليل التكلفة والسعر'!$C$2:$C$700,MATCH($C4978,'تحليل التكلفة والسعر'!$B$2:$B$700,0)),0))</f>
        <v/>
      </c>
    </row>
    <row r="4979" customFormat="false" ht="15" hidden="false" customHeight="false" outlineLevel="0" collapsed="false">
      <c r="A4979" s="103"/>
      <c r="B4979" s="104"/>
      <c r="C4979" s="104"/>
      <c r="E4979" s="107" t="str">
        <f aca="false">IF($C4979="","",IFERROR(INDEX(المنيو!$C$2:$C$500,MATCH($C4979,المنيو!$B$2:$B$500,0)),0))</f>
        <v/>
      </c>
      <c r="F4979" s="107" t="str">
        <f aca="false">IF($C4979="","",$D4979*$E4979)</f>
        <v/>
      </c>
      <c r="G4979" s="107" t="str">
        <f aca="false">IF($C4979="","",$D4979*IFERROR(INDEX('تحليل التكلفة والسعر'!$C$2:$C$700,MATCH($C4979,'تحليل التكلفة والسعر'!$B$2:$B$700,0)),0))</f>
        <v/>
      </c>
    </row>
    <row r="4980" customFormat="false" ht="15" hidden="false" customHeight="false" outlineLevel="0" collapsed="false">
      <c r="A4980" s="103"/>
      <c r="B4980" s="104"/>
      <c r="C4980" s="104"/>
      <c r="E4980" s="107" t="str">
        <f aca="false">IF($C4980="","",IFERROR(INDEX(المنيو!$C$2:$C$500,MATCH($C4980,المنيو!$B$2:$B$500,0)),0))</f>
        <v/>
      </c>
      <c r="F4980" s="107" t="str">
        <f aca="false">IF($C4980="","",$D4980*$E4980)</f>
        <v/>
      </c>
      <c r="G4980" s="107" t="str">
        <f aca="false">IF($C4980="","",$D4980*IFERROR(INDEX('تحليل التكلفة والسعر'!$C$2:$C$700,MATCH($C4980,'تحليل التكلفة والسعر'!$B$2:$B$700,0)),0))</f>
        <v/>
      </c>
    </row>
    <row r="4981" customFormat="false" ht="15" hidden="false" customHeight="false" outlineLevel="0" collapsed="false">
      <c r="A4981" s="103"/>
      <c r="B4981" s="104"/>
      <c r="C4981" s="104"/>
      <c r="E4981" s="107" t="str">
        <f aca="false">IF($C4981="","",IFERROR(INDEX(المنيو!$C$2:$C$500,MATCH($C4981,المنيو!$B$2:$B$500,0)),0))</f>
        <v/>
      </c>
      <c r="F4981" s="107" t="str">
        <f aca="false">IF($C4981="","",$D4981*$E4981)</f>
        <v/>
      </c>
      <c r="G4981" s="107" t="str">
        <f aca="false">IF($C4981="","",$D4981*IFERROR(INDEX('تحليل التكلفة والسعر'!$C$2:$C$700,MATCH($C4981,'تحليل التكلفة والسعر'!$B$2:$B$700,0)),0))</f>
        <v/>
      </c>
    </row>
    <row r="4982" customFormat="false" ht="15" hidden="false" customHeight="false" outlineLevel="0" collapsed="false">
      <c r="A4982" s="103"/>
      <c r="B4982" s="104"/>
      <c r="C4982" s="104"/>
      <c r="E4982" s="107" t="str">
        <f aca="false">IF($C4982="","",IFERROR(INDEX(المنيو!$C$2:$C$500,MATCH($C4982,المنيو!$B$2:$B$500,0)),0))</f>
        <v/>
      </c>
      <c r="F4982" s="107" t="str">
        <f aca="false">IF($C4982="","",$D4982*$E4982)</f>
        <v/>
      </c>
      <c r="G4982" s="107" t="str">
        <f aca="false">IF($C4982="","",$D4982*IFERROR(INDEX('تحليل التكلفة والسعر'!$C$2:$C$700,MATCH($C4982,'تحليل التكلفة والسعر'!$B$2:$B$700,0)),0))</f>
        <v/>
      </c>
    </row>
    <row r="4983" customFormat="false" ht="15" hidden="false" customHeight="false" outlineLevel="0" collapsed="false">
      <c r="A4983" s="103"/>
      <c r="B4983" s="104"/>
      <c r="C4983" s="104"/>
      <c r="E4983" s="107" t="str">
        <f aca="false">IF($C4983="","",IFERROR(INDEX(المنيو!$C$2:$C$500,MATCH($C4983,المنيو!$B$2:$B$500,0)),0))</f>
        <v/>
      </c>
      <c r="F4983" s="107" t="str">
        <f aca="false">IF($C4983="","",$D4983*$E4983)</f>
        <v/>
      </c>
      <c r="G4983" s="107" t="str">
        <f aca="false">IF($C4983="","",$D4983*IFERROR(INDEX('تحليل التكلفة والسعر'!$C$2:$C$700,MATCH($C4983,'تحليل التكلفة والسعر'!$B$2:$B$700,0)),0))</f>
        <v/>
      </c>
    </row>
    <row r="4984" customFormat="false" ht="15" hidden="false" customHeight="false" outlineLevel="0" collapsed="false">
      <c r="A4984" s="103"/>
      <c r="B4984" s="104"/>
      <c r="C4984" s="104"/>
      <c r="E4984" s="107" t="str">
        <f aca="false">IF($C4984="","",IFERROR(INDEX(المنيو!$C$2:$C$500,MATCH($C4984,المنيو!$B$2:$B$500,0)),0))</f>
        <v/>
      </c>
      <c r="F4984" s="107" t="str">
        <f aca="false">IF($C4984="","",$D4984*$E4984)</f>
        <v/>
      </c>
      <c r="G4984" s="107" t="str">
        <f aca="false">IF($C4984="","",$D4984*IFERROR(INDEX('تحليل التكلفة والسعر'!$C$2:$C$700,MATCH($C4984,'تحليل التكلفة والسعر'!$B$2:$B$700,0)),0))</f>
        <v/>
      </c>
    </row>
    <row r="4985" customFormat="false" ht="15" hidden="false" customHeight="false" outlineLevel="0" collapsed="false">
      <c r="A4985" s="103"/>
      <c r="B4985" s="104"/>
      <c r="C4985" s="104"/>
      <c r="E4985" s="107" t="str">
        <f aca="false">IF($C4985="","",IFERROR(INDEX(المنيو!$C$2:$C$500,MATCH($C4985,المنيو!$B$2:$B$500,0)),0))</f>
        <v/>
      </c>
      <c r="F4985" s="107" t="str">
        <f aca="false">IF($C4985="","",$D4985*$E4985)</f>
        <v/>
      </c>
      <c r="G4985" s="107" t="str">
        <f aca="false">IF($C4985="","",$D4985*IFERROR(INDEX('تحليل التكلفة والسعر'!$C$2:$C$700,MATCH($C4985,'تحليل التكلفة والسعر'!$B$2:$B$700,0)),0))</f>
        <v/>
      </c>
    </row>
    <row r="4986" customFormat="false" ht="15" hidden="false" customHeight="false" outlineLevel="0" collapsed="false">
      <c r="A4986" s="103"/>
      <c r="B4986" s="104"/>
      <c r="C4986" s="104"/>
      <c r="E4986" s="107" t="str">
        <f aca="false">IF($C4986="","",IFERROR(INDEX(المنيو!$C$2:$C$500,MATCH($C4986,المنيو!$B$2:$B$500,0)),0))</f>
        <v/>
      </c>
      <c r="F4986" s="107" t="str">
        <f aca="false">IF($C4986="","",$D4986*$E4986)</f>
        <v/>
      </c>
      <c r="G4986" s="107" t="str">
        <f aca="false">IF($C4986="","",$D4986*IFERROR(INDEX('تحليل التكلفة والسعر'!$C$2:$C$700,MATCH($C4986,'تحليل التكلفة والسعر'!$B$2:$B$700,0)),0))</f>
        <v/>
      </c>
    </row>
    <row r="4987" customFormat="false" ht="15" hidden="false" customHeight="false" outlineLevel="0" collapsed="false">
      <c r="A4987" s="103"/>
      <c r="B4987" s="104"/>
      <c r="C4987" s="104"/>
      <c r="E4987" s="107" t="str">
        <f aca="false">IF($C4987="","",IFERROR(INDEX(المنيو!$C$2:$C$500,MATCH($C4987,المنيو!$B$2:$B$500,0)),0))</f>
        <v/>
      </c>
      <c r="F4987" s="107" t="str">
        <f aca="false">IF($C4987="","",$D4987*$E4987)</f>
        <v/>
      </c>
      <c r="G4987" s="107" t="str">
        <f aca="false">IF($C4987="","",$D4987*IFERROR(INDEX('تحليل التكلفة والسعر'!$C$2:$C$700,MATCH($C4987,'تحليل التكلفة والسعر'!$B$2:$B$700,0)),0))</f>
        <v/>
      </c>
    </row>
    <row r="4988" customFormat="false" ht="15" hidden="false" customHeight="false" outlineLevel="0" collapsed="false">
      <c r="A4988" s="103"/>
      <c r="B4988" s="104"/>
      <c r="C4988" s="104"/>
      <c r="E4988" s="107" t="str">
        <f aca="false">IF($C4988="","",IFERROR(INDEX(المنيو!$C$2:$C$500,MATCH($C4988,المنيو!$B$2:$B$500,0)),0))</f>
        <v/>
      </c>
      <c r="F4988" s="107" t="str">
        <f aca="false">IF($C4988="","",$D4988*$E4988)</f>
        <v/>
      </c>
      <c r="G4988" s="107" t="str">
        <f aca="false">IF($C4988="","",$D4988*IFERROR(INDEX('تحليل التكلفة والسعر'!$C$2:$C$700,MATCH($C4988,'تحليل التكلفة والسعر'!$B$2:$B$700,0)),0))</f>
        <v/>
      </c>
    </row>
    <row r="4989" customFormat="false" ht="15" hidden="false" customHeight="false" outlineLevel="0" collapsed="false">
      <c r="A4989" s="103"/>
      <c r="B4989" s="104"/>
      <c r="C4989" s="104"/>
      <c r="E4989" s="107" t="str">
        <f aca="false">IF($C4989="","",IFERROR(INDEX(المنيو!$C$2:$C$500,MATCH($C4989,المنيو!$B$2:$B$500,0)),0))</f>
        <v/>
      </c>
      <c r="F4989" s="107" t="str">
        <f aca="false">IF($C4989="","",$D4989*$E4989)</f>
        <v/>
      </c>
      <c r="G4989" s="107" t="str">
        <f aca="false">IF($C4989="","",$D4989*IFERROR(INDEX('تحليل التكلفة والسعر'!$C$2:$C$700,MATCH($C4989,'تحليل التكلفة والسعر'!$B$2:$B$700,0)),0))</f>
        <v/>
      </c>
    </row>
    <row r="4990" customFormat="false" ht="15" hidden="false" customHeight="false" outlineLevel="0" collapsed="false">
      <c r="A4990" s="103"/>
      <c r="B4990" s="104"/>
      <c r="C4990" s="104"/>
      <c r="E4990" s="107" t="str">
        <f aca="false">IF($C4990="","",IFERROR(INDEX(المنيو!$C$2:$C$500,MATCH($C4990,المنيو!$B$2:$B$500,0)),0))</f>
        <v/>
      </c>
      <c r="F4990" s="107" t="str">
        <f aca="false">IF($C4990="","",$D4990*$E4990)</f>
        <v/>
      </c>
      <c r="G4990" s="107" t="str">
        <f aca="false">IF($C4990="","",$D4990*IFERROR(INDEX('تحليل التكلفة والسعر'!$C$2:$C$700,MATCH($C4990,'تحليل التكلفة والسعر'!$B$2:$B$700,0)),0))</f>
        <v/>
      </c>
    </row>
    <row r="4991" customFormat="false" ht="15" hidden="false" customHeight="false" outlineLevel="0" collapsed="false">
      <c r="A4991" s="103"/>
      <c r="B4991" s="104"/>
      <c r="C4991" s="104"/>
      <c r="E4991" s="107" t="str">
        <f aca="false">IF($C4991="","",IFERROR(INDEX(المنيو!$C$2:$C$500,MATCH($C4991,المنيو!$B$2:$B$500,0)),0))</f>
        <v/>
      </c>
      <c r="F4991" s="107" t="str">
        <f aca="false">IF($C4991="","",$D4991*$E4991)</f>
        <v/>
      </c>
      <c r="G4991" s="107" t="str">
        <f aca="false">IF($C4991="","",$D4991*IFERROR(INDEX('تحليل التكلفة والسعر'!$C$2:$C$700,MATCH($C4991,'تحليل التكلفة والسعر'!$B$2:$B$700,0)),0))</f>
        <v/>
      </c>
    </row>
    <row r="4992" customFormat="false" ht="15" hidden="false" customHeight="false" outlineLevel="0" collapsed="false">
      <c r="A4992" s="103"/>
      <c r="B4992" s="104"/>
      <c r="C4992" s="104"/>
      <c r="E4992" s="107" t="str">
        <f aca="false">IF($C4992="","",IFERROR(INDEX(المنيو!$C$2:$C$500,MATCH($C4992,المنيو!$B$2:$B$500,0)),0))</f>
        <v/>
      </c>
      <c r="F4992" s="107" t="str">
        <f aca="false">IF($C4992="","",$D4992*$E4992)</f>
        <v/>
      </c>
      <c r="G4992" s="107" t="str">
        <f aca="false">IF($C4992="","",$D4992*IFERROR(INDEX('تحليل التكلفة والسعر'!$C$2:$C$700,MATCH($C4992,'تحليل التكلفة والسعر'!$B$2:$B$700,0)),0))</f>
        <v/>
      </c>
    </row>
    <row r="4993" customFormat="false" ht="15" hidden="false" customHeight="false" outlineLevel="0" collapsed="false">
      <c r="A4993" s="103"/>
      <c r="B4993" s="104"/>
      <c r="C4993" s="104"/>
      <c r="E4993" s="107" t="str">
        <f aca="false">IF($C4993="","",IFERROR(INDEX(المنيو!$C$2:$C$500,MATCH($C4993,المنيو!$B$2:$B$500,0)),0))</f>
        <v/>
      </c>
      <c r="F4993" s="107" t="str">
        <f aca="false">IF($C4993="","",$D4993*$E4993)</f>
        <v/>
      </c>
      <c r="G4993" s="107" t="str">
        <f aca="false">IF($C4993="","",$D4993*IFERROR(INDEX('تحليل التكلفة والسعر'!$C$2:$C$700,MATCH($C4993,'تحليل التكلفة والسعر'!$B$2:$B$700,0)),0))</f>
        <v/>
      </c>
    </row>
    <row r="4994" customFormat="false" ht="15" hidden="false" customHeight="false" outlineLevel="0" collapsed="false">
      <c r="A4994" s="103"/>
      <c r="B4994" s="104"/>
      <c r="C4994" s="104"/>
      <c r="E4994" s="107" t="str">
        <f aca="false">IF($C4994="","",IFERROR(INDEX(المنيو!$C$2:$C$500,MATCH($C4994,المنيو!$B$2:$B$500,0)),0))</f>
        <v/>
      </c>
      <c r="F4994" s="107" t="str">
        <f aca="false">IF($C4994="","",$D4994*$E4994)</f>
        <v/>
      </c>
      <c r="G4994" s="107" t="str">
        <f aca="false">IF($C4994="","",$D4994*IFERROR(INDEX('تحليل التكلفة والسعر'!$C$2:$C$700,MATCH($C4994,'تحليل التكلفة والسعر'!$B$2:$B$700,0)),0))</f>
        <v/>
      </c>
    </row>
    <row r="4995" customFormat="false" ht="15" hidden="false" customHeight="false" outlineLevel="0" collapsed="false">
      <c r="A4995" s="103"/>
      <c r="B4995" s="104"/>
      <c r="C4995" s="104"/>
      <c r="E4995" s="107" t="str">
        <f aca="false">IF($C4995="","",IFERROR(INDEX(المنيو!$C$2:$C$500,MATCH($C4995,المنيو!$B$2:$B$500,0)),0))</f>
        <v/>
      </c>
      <c r="F4995" s="107" t="str">
        <f aca="false">IF($C4995="","",$D4995*$E4995)</f>
        <v/>
      </c>
      <c r="G4995" s="107" t="str">
        <f aca="false">IF($C4995="","",$D4995*IFERROR(INDEX('تحليل التكلفة والسعر'!$C$2:$C$700,MATCH($C4995,'تحليل التكلفة والسعر'!$B$2:$B$700,0)),0))</f>
        <v/>
      </c>
    </row>
    <row r="4996" customFormat="false" ht="15" hidden="false" customHeight="false" outlineLevel="0" collapsed="false">
      <c r="A4996" s="103"/>
      <c r="B4996" s="104"/>
      <c r="C4996" s="104"/>
      <c r="E4996" s="107" t="str">
        <f aca="false">IF($C4996="","",IFERROR(INDEX(المنيو!$C$2:$C$500,MATCH($C4996,المنيو!$B$2:$B$500,0)),0))</f>
        <v/>
      </c>
      <c r="F4996" s="107" t="str">
        <f aca="false">IF($C4996="","",$D4996*$E4996)</f>
        <v/>
      </c>
      <c r="G4996" s="107" t="str">
        <f aca="false">IF($C4996="","",$D4996*IFERROR(INDEX('تحليل التكلفة والسعر'!$C$2:$C$700,MATCH($C4996,'تحليل التكلفة والسعر'!$B$2:$B$700,0)),0))</f>
        <v/>
      </c>
    </row>
    <row r="4997" customFormat="false" ht="15" hidden="false" customHeight="false" outlineLevel="0" collapsed="false">
      <c r="A4997" s="103"/>
      <c r="B4997" s="104"/>
      <c r="C4997" s="104"/>
      <c r="E4997" s="107" t="str">
        <f aca="false">IF($C4997="","",IFERROR(INDEX(المنيو!$C$2:$C$500,MATCH($C4997,المنيو!$B$2:$B$500,0)),0))</f>
        <v/>
      </c>
      <c r="F4997" s="107" t="str">
        <f aca="false">IF($C4997="","",$D4997*$E4997)</f>
        <v/>
      </c>
      <c r="G4997" s="107" t="str">
        <f aca="false">IF($C4997="","",$D4997*IFERROR(INDEX('تحليل التكلفة والسعر'!$C$2:$C$700,MATCH($C4997,'تحليل التكلفة والسعر'!$B$2:$B$700,0)),0))</f>
        <v/>
      </c>
    </row>
    <row r="4998" customFormat="false" ht="15" hidden="false" customHeight="false" outlineLevel="0" collapsed="false">
      <c r="A4998" s="103"/>
      <c r="B4998" s="104"/>
      <c r="C4998" s="104"/>
      <c r="E4998" s="107" t="str">
        <f aca="false">IF($C4998="","",IFERROR(INDEX(المنيو!$C$2:$C$500,MATCH($C4998,المنيو!$B$2:$B$500,0)),0))</f>
        <v/>
      </c>
      <c r="F4998" s="107" t="str">
        <f aca="false">IF($C4998="","",$D4998*$E4998)</f>
        <v/>
      </c>
      <c r="G4998" s="107" t="str">
        <f aca="false">IF($C4998="","",$D4998*IFERROR(INDEX('تحليل التكلفة والسعر'!$C$2:$C$700,MATCH($C4998,'تحليل التكلفة والسعر'!$B$2:$B$700,0)),0))</f>
        <v/>
      </c>
    </row>
    <row r="4999" customFormat="false" ht="15" hidden="false" customHeight="false" outlineLevel="0" collapsed="false">
      <c r="A4999" s="103"/>
      <c r="B4999" s="104"/>
      <c r="C4999" s="104"/>
      <c r="E4999" s="107" t="str">
        <f aca="false">IF($C4999="","",IFERROR(INDEX(المنيو!$C$2:$C$500,MATCH($C4999,المنيو!$B$2:$B$500,0)),0))</f>
        <v/>
      </c>
      <c r="F4999" s="107" t="str">
        <f aca="false">IF($C4999="","",$D4999*$E4999)</f>
        <v/>
      </c>
      <c r="G4999" s="107" t="str">
        <f aca="false">IF($C4999="","",$D4999*IFERROR(INDEX('تحليل التكلفة والسعر'!$C$2:$C$700,MATCH($C4999,'تحليل التكلفة والسعر'!$B$2:$B$700,0)),0))</f>
        <v/>
      </c>
    </row>
    <row r="5000" customFormat="false" ht="15" hidden="false" customHeight="false" outlineLevel="0" collapsed="false">
      <c r="A5000" s="103"/>
      <c r="B5000" s="104"/>
      <c r="C5000" s="104"/>
      <c r="E5000" s="107" t="str">
        <f aca="false">IF($C5000="","",IFERROR(INDEX(المنيو!$C$2:$C$500,MATCH($C5000,المنيو!$B$2:$B$500,0)),0))</f>
        <v/>
      </c>
      <c r="F5000" s="107" t="str">
        <f aca="false">IF($C5000="","",$D5000*$E5000)</f>
        <v/>
      </c>
      <c r="G5000" s="107" t="str">
        <f aca="false">IF($C5000="","",$D5000*IFERROR(INDEX('تحليل التكلفة والسعر'!$C$2:$C$700,MATCH($C5000,'تحليل التكلفة والسعر'!$B$2:$B$700,0)),0))</f>
        <v/>
      </c>
    </row>
    <row r="5001" customFormat="false" ht="15" hidden="false" customHeight="false" outlineLevel="0" collapsed="false">
      <c r="A5001" s="103"/>
      <c r="B5001" s="104"/>
      <c r="C5001" s="104"/>
      <c r="E5001" s="107" t="str">
        <f aca="false">IF($C5001="","",IFERROR(INDEX(المنيو!$C$2:$C$500,MATCH($C5001,المنيو!$B$2:$B$500,0)),0))</f>
        <v/>
      </c>
      <c r="F5001" s="107" t="str">
        <f aca="false">IF($C5001="","",$D5001*$E5001)</f>
        <v/>
      </c>
      <c r="G5001" s="107" t="str">
        <f aca="false">IF($C5001="","",$D5001*IFERROR(INDEX('تحليل التكلفة والسعر'!$C$2:$C$700,MATCH($C5001,'تحليل التكلفة والسعر'!$B$2:$B$700,0)),0))</f>
        <v/>
      </c>
    </row>
    <row r="5002" customFormat="false" ht="15" hidden="false" customHeight="false" outlineLevel="0" collapsed="false">
      <c r="A5002" s="103"/>
      <c r="B5002" s="104"/>
      <c r="C5002" s="104"/>
      <c r="E5002" s="107" t="str">
        <f aca="false">IF($C5002="","",IFERROR(INDEX(المنيو!$C$2:$C$500,MATCH($C5002,المنيو!$B$2:$B$500,0)),0))</f>
        <v/>
      </c>
      <c r="F5002" s="107" t="str">
        <f aca="false">IF($C5002="","",$D5002*$E5002)</f>
        <v/>
      </c>
      <c r="G5002" s="107" t="str">
        <f aca="false">IF($C5002="","",$D5002*IFERROR(INDEX('تحليل التكلفة والسعر'!$C$2:$C$700,MATCH($C5002,'تحليل التكلفة والسعر'!$B$2:$B$700,0)),0))</f>
        <v/>
      </c>
    </row>
    <row r="5003" customFormat="false" ht="15" hidden="false" customHeight="false" outlineLevel="0" collapsed="false">
      <c r="A5003" s="103"/>
      <c r="B5003" s="104"/>
      <c r="C5003" s="104"/>
      <c r="E5003" s="107" t="str">
        <f aca="false">IF($C5003="","",IFERROR(INDEX(المنيو!$C$2:$C$500,MATCH($C5003,المنيو!$B$2:$B$500,0)),0))</f>
        <v/>
      </c>
      <c r="F5003" s="107" t="str">
        <f aca="false">IF($C5003="","",$D5003*$E5003)</f>
        <v/>
      </c>
      <c r="G5003" s="107" t="str">
        <f aca="false">IF($C5003="","",$D5003*IFERROR(INDEX('تحليل التكلفة والسعر'!$C$2:$C$700,MATCH($C5003,'تحليل التكلفة والسعر'!$B$2:$B$700,0)),0))</f>
        <v/>
      </c>
    </row>
    <row r="5004" customFormat="false" ht="15" hidden="false" customHeight="false" outlineLevel="0" collapsed="false">
      <c r="A5004" s="103"/>
      <c r="B5004" s="104"/>
      <c r="C5004" s="104"/>
      <c r="E5004" s="107" t="str">
        <f aca="false">IF($C5004="","",IFERROR(INDEX(المنيو!$C$2:$C$500,MATCH($C5004,المنيو!$B$2:$B$500,0)),0))</f>
        <v/>
      </c>
      <c r="F5004" s="107" t="str">
        <f aca="false">IF($C5004="","",$D5004*$E5004)</f>
        <v/>
      </c>
      <c r="G5004" s="107" t="str">
        <f aca="false">IF($C5004="","",$D5004*IFERROR(INDEX('تحليل التكلفة والسعر'!$C$2:$C$700,MATCH($C5004,'تحليل التكلفة والسعر'!$B$2:$B$700,0)),0))</f>
        <v/>
      </c>
    </row>
    <row r="5005" customFormat="false" ht="15" hidden="false" customHeight="false" outlineLevel="0" collapsed="false">
      <c r="A5005" s="103"/>
      <c r="B5005" s="104"/>
      <c r="C5005" s="104"/>
      <c r="E5005" s="107" t="str">
        <f aca="false">IF($C5005="","",IFERROR(INDEX(المنيو!$C$2:$C$500,MATCH($C5005,المنيو!$B$2:$B$500,0)),0))</f>
        <v/>
      </c>
      <c r="F5005" s="107" t="str">
        <f aca="false">IF($C5005="","",$D5005*$E5005)</f>
        <v/>
      </c>
      <c r="G5005" s="107" t="str">
        <f aca="false">IF($C5005="","",$D5005*IFERROR(INDEX('تحليل التكلفة والسعر'!$C$2:$C$700,MATCH($C5005,'تحليل التكلفة والسعر'!$B$2:$B$700,0)),0))</f>
        <v/>
      </c>
    </row>
    <row r="5006" customFormat="false" ht="15" hidden="false" customHeight="false" outlineLevel="0" collapsed="false">
      <c r="A5006" s="103"/>
      <c r="B5006" s="104"/>
      <c r="C5006" s="104"/>
      <c r="E5006" s="107" t="str">
        <f aca="false">IF($C5006="","",IFERROR(INDEX(المنيو!$C$2:$C$500,MATCH($C5006,المنيو!$B$2:$B$500,0)),0))</f>
        <v/>
      </c>
      <c r="F5006" s="107" t="str">
        <f aca="false">IF($C5006="","",$D5006*$E5006)</f>
        <v/>
      </c>
      <c r="G5006" s="107" t="str">
        <f aca="false">IF($C5006="","",$D5006*IFERROR(INDEX('تحليل التكلفة والسعر'!$C$2:$C$700,MATCH($C5006,'تحليل التكلفة والسعر'!$B$2:$B$700,0)),0))</f>
        <v/>
      </c>
    </row>
    <row r="5007" customFormat="false" ht="15" hidden="false" customHeight="false" outlineLevel="0" collapsed="false">
      <c r="A5007" s="103"/>
      <c r="B5007" s="104"/>
      <c r="C5007" s="104"/>
      <c r="E5007" s="107" t="str">
        <f aca="false">IF($C5007="","",IFERROR(INDEX(المنيو!$C$2:$C$500,MATCH($C5007,المنيو!$B$2:$B$500,0)),0))</f>
        <v/>
      </c>
      <c r="F5007" s="107" t="str">
        <f aca="false">IF($C5007="","",$D5007*$E5007)</f>
        <v/>
      </c>
      <c r="G5007" s="107" t="str">
        <f aca="false">IF($C5007="","",$D5007*IFERROR(INDEX('تحليل التكلفة والسعر'!$C$2:$C$700,MATCH($C5007,'تحليل التكلفة والسعر'!$B$2:$B$700,0)),0))</f>
        <v/>
      </c>
    </row>
    <row r="5008" customFormat="false" ht="15" hidden="false" customHeight="false" outlineLevel="0" collapsed="false">
      <c r="A5008" s="103"/>
      <c r="B5008" s="104"/>
      <c r="C5008" s="104"/>
      <c r="E5008" s="107" t="str">
        <f aca="false">IF($C5008="","",IFERROR(INDEX(المنيو!$C$2:$C$500,MATCH($C5008,المنيو!$B$2:$B$500,0)),0))</f>
        <v/>
      </c>
      <c r="F5008" s="107" t="str">
        <f aca="false">IF($C5008="","",$D5008*$E5008)</f>
        <v/>
      </c>
      <c r="G5008" s="107" t="str">
        <f aca="false">IF($C5008="","",$D5008*IFERROR(INDEX('تحليل التكلفة والسعر'!$C$2:$C$700,MATCH($C5008,'تحليل التكلفة والسعر'!$B$2:$B$700,0)),0))</f>
        <v/>
      </c>
    </row>
    <row r="5009" customFormat="false" ht="15" hidden="false" customHeight="false" outlineLevel="0" collapsed="false">
      <c r="A5009" s="103"/>
      <c r="B5009" s="104"/>
      <c r="C5009" s="104"/>
      <c r="E5009" s="107" t="str">
        <f aca="false">IF($C5009="","",IFERROR(INDEX(المنيو!$C$2:$C$500,MATCH($C5009,المنيو!$B$2:$B$500,0)),0))</f>
        <v/>
      </c>
      <c r="F5009" s="107" t="str">
        <f aca="false">IF($C5009="","",$D5009*$E5009)</f>
        <v/>
      </c>
      <c r="G5009" s="107" t="str">
        <f aca="false">IF($C5009="","",$D5009*IFERROR(INDEX('تحليل التكلفة والسعر'!$C$2:$C$700,MATCH($C5009,'تحليل التكلفة والسعر'!$B$2:$B$700,0)),0))</f>
        <v/>
      </c>
    </row>
    <row r="5010" customFormat="false" ht="15" hidden="false" customHeight="false" outlineLevel="0" collapsed="false">
      <c r="A5010" s="103"/>
      <c r="B5010" s="104"/>
      <c r="C5010" s="104"/>
      <c r="E5010" s="107" t="str">
        <f aca="false">IF($C5010="","",IFERROR(INDEX(المنيو!$C$2:$C$500,MATCH($C5010,المنيو!$B$2:$B$500,0)),0))</f>
        <v/>
      </c>
      <c r="F5010" s="107" t="str">
        <f aca="false">IF($C5010="","",$D5010*$E5010)</f>
        <v/>
      </c>
      <c r="G5010" s="107" t="str">
        <f aca="false">IF($C5010="","",$D5010*IFERROR(INDEX('تحليل التكلفة والسعر'!$C$2:$C$700,MATCH($C5010,'تحليل التكلفة والسعر'!$B$2:$B$700,0)),0))</f>
        <v/>
      </c>
    </row>
    <row r="5011" customFormat="false" ht="15" hidden="false" customHeight="false" outlineLevel="0" collapsed="false">
      <c r="A5011" s="103"/>
      <c r="B5011" s="104"/>
      <c r="C5011" s="104"/>
      <c r="E5011" s="107" t="str">
        <f aca="false">IF($C5011="","",IFERROR(INDEX(المنيو!$C$2:$C$500,MATCH($C5011,المنيو!$B$2:$B$500,0)),0))</f>
        <v/>
      </c>
      <c r="F5011" s="107" t="str">
        <f aca="false">IF($C5011="","",$D5011*$E5011)</f>
        <v/>
      </c>
      <c r="G5011" s="107" t="str">
        <f aca="false">IF($C5011="","",$D5011*IFERROR(INDEX('تحليل التكلفة والسعر'!$C$2:$C$700,MATCH($C5011,'تحليل التكلفة والسعر'!$B$2:$B$700,0)),0))</f>
        <v/>
      </c>
    </row>
    <row r="5012" customFormat="false" ht="15" hidden="false" customHeight="false" outlineLevel="0" collapsed="false">
      <c r="A5012" s="103"/>
      <c r="B5012" s="104"/>
      <c r="C5012" s="104"/>
      <c r="E5012" s="107" t="str">
        <f aca="false">IF($C5012="","",IFERROR(INDEX(المنيو!$C$2:$C$500,MATCH($C5012,المنيو!$B$2:$B$500,0)),0))</f>
        <v/>
      </c>
      <c r="F5012" s="107" t="str">
        <f aca="false">IF($C5012="","",$D5012*$E5012)</f>
        <v/>
      </c>
      <c r="G5012" s="107" t="str">
        <f aca="false">IF($C5012="","",$D5012*IFERROR(INDEX('تحليل التكلفة والسعر'!$C$2:$C$700,MATCH($C5012,'تحليل التكلفة والسعر'!$B$2:$B$700,0)),0))</f>
        <v/>
      </c>
    </row>
    <row r="5013" customFormat="false" ht="15" hidden="false" customHeight="false" outlineLevel="0" collapsed="false">
      <c r="A5013" s="103"/>
      <c r="B5013" s="104"/>
      <c r="C5013" s="104"/>
      <c r="E5013" s="107" t="str">
        <f aca="false">IF($C5013="","",IFERROR(INDEX(المنيو!$C$2:$C$500,MATCH($C5013,المنيو!$B$2:$B$500,0)),0))</f>
        <v/>
      </c>
      <c r="F5013" s="107" t="str">
        <f aca="false">IF($C5013="","",$D5013*$E5013)</f>
        <v/>
      </c>
      <c r="G5013" s="107" t="str">
        <f aca="false">IF($C5013="","",$D5013*IFERROR(INDEX('تحليل التكلفة والسعر'!$C$2:$C$700,MATCH($C5013,'تحليل التكلفة والسعر'!$B$2:$B$700,0)),0))</f>
        <v/>
      </c>
    </row>
    <row r="5014" customFormat="false" ht="15" hidden="false" customHeight="false" outlineLevel="0" collapsed="false">
      <c r="A5014" s="103"/>
      <c r="B5014" s="104"/>
      <c r="C5014" s="104"/>
      <c r="E5014" s="107" t="str">
        <f aca="false">IF($C5014="","",IFERROR(INDEX(المنيو!$C$2:$C$500,MATCH($C5014,المنيو!$B$2:$B$500,0)),0))</f>
        <v/>
      </c>
      <c r="F5014" s="107" t="str">
        <f aca="false">IF($C5014="","",$D5014*$E5014)</f>
        <v/>
      </c>
      <c r="G5014" s="107" t="str">
        <f aca="false">IF($C5014="","",$D5014*IFERROR(INDEX('تحليل التكلفة والسعر'!$C$2:$C$700,MATCH($C5014,'تحليل التكلفة والسعر'!$B$2:$B$700,0)),0))</f>
        <v/>
      </c>
    </row>
    <row r="5015" customFormat="false" ht="15" hidden="false" customHeight="false" outlineLevel="0" collapsed="false">
      <c r="A5015" s="103"/>
      <c r="B5015" s="104"/>
      <c r="C5015" s="104"/>
      <c r="E5015" s="107" t="str">
        <f aca="false">IF($C5015="","",IFERROR(INDEX(المنيو!$C$2:$C$500,MATCH($C5015,المنيو!$B$2:$B$500,0)),0))</f>
        <v/>
      </c>
      <c r="F5015" s="107" t="str">
        <f aca="false">IF($C5015="","",$D5015*$E5015)</f>
        <v/>
      </c>
      <c r="G5015" s="107" t="str">
        <f aca="false">IF($C5015="","",$D5015*IFERROR(INDEX('تحليل التكلفة والسعر'!$C$2:$C$700,MATCH($C5015,'تحليل التكلفة والسعر'!$B$2:$B$700,0)),0))</f>
        <v/>
      </c>
    </row>
    <row r="5016" customFormat="false" ht="15" hidden="false" customHeight="false" outlineLevel="0" collapsed="false">
      <c r="A5016" s="103"/>
      <c r="B5016" s="104"/>
      <c r="C5016" s="104"/>
      <c r="E5016" s="107" t="str">
        <f aca="false">IF($C5016="","",IFERROR(INDEX(المنيو!$C$2:$C$500,MATCH($C5016,المنيو!$B$2:$B$500,0)),0))</f>
        <v/>
      </c>
      <c r="F5016" s="107" t="str">
        <f aca="false">IF($C5016="","",$D5016*$E5016)</f>
        <v/>
      </c>
      <c r="G5016" s="107" t="str">
        <f aca="false">IF($C5016="","",$D5016*IFERROR(INDEX('تحليل التكلفة والسعر'!$C$2:$C$700,MATCH($C5016,'تحليل التكلفة والسعر'!$B$2:$B$700,0)),0))</f>
        <v/>
      </c>
    </row>
    <row r="5017" customFormat="false" ht="15" hidden="false" customHeight="false" outlineLevel="0" collapsed="false">
      <c r="A5017" s="103"/>
      <c r="B5017" s="104"/>
      <c r="C5017" s="104"/>
      <c r="E5017" s="107" t="str">
        <f aca="false">IF($C5017="","",IFERROR(INDEX(المنيو!$C$2:$C$500,MATCH($C5017,المنيو!$B$2:$B$500,0)),0))</f>
        <v/>
      </c>
      <c r="F5017" s="107" t="str">
        <f aca="false">IF($C5017="","",$D5017*$E5017)</f>
        <v/>
      </c>
      <c r="G5017" s="107" t="str">
        <f aca="false">IF($C5017="","",$D5017*IFERROR(INDEX('تحليل التكلفة والسعر'!$C$2:$C$700,MATCH($C5017,'تحليل التكلفة والسعر'!$B$2:$B$700,0)),0))</f>
        <v/>
      </c>
    </row>
    <row r="5018" customFormat="false" ht="15" hidden="false" customHeight="false" outlineLevel="0" collapsed="false">
      <c r="A5018" s="103"/>
      <c r="B5018" s="104"/>
      <c r="C5018" s="104"/>
      <c r="E5018" s="107" t="str">
        <f aca="false">IF($C5018="","",IFERROR(INDEX(المنيو!$C$2:$C$500,MATCH($C5018,المنيو!$B$2:$B$500,0)),0))</f>
        <v/>
      </c>
      <c r="F5018" s="107" t="str">
        <f aca="false">IF($C5018="","",$D5018*$E5018)</f>
        <v/>
      </c>
      <c r="G5018" s="107" t="str">
        <f aca="false">IF($C5018="","",$D5018*IFERROR(INDEX('تحليل التكلفة والسعر'!$C$2:$C$700,MATCH($C5018,'تحليل التكلفة والسعر'!$B$2:$B$700,0)),0))</f>
        <v/>
      </c>
    </row>
    <row r="5019" customFormat="false" ht="15" hidden="false" customHeight="false" outlineLevel="0" collapsed="false">
      <c r="A5019" s="103"/>
      <c r="B5019" s="104"/>
      <c r="C5019" s="104"/>
      <c r="E5019" s="107" t="str">
        <f aca="false">IF($C5019="","",IFERROR(INDEX(المنيو!$C$2:$C$500,MATCH($C5019,المنيو!$B$2:$B$500,0)),0))</f>
        <v/>
      </c>
      <c r="F5019" s="107" t="str">
        <f aca="false">IF($C5019="","",$D5019*$E5019)</f>
        <v/>
      </c>
      <c r="G5019" s="107" t="str">
        <f aca="false">IF($C5019="","",$D5019*IFERROR(INDEX('تحليل التكلفة والسعر'!$C$2:$C$700,MATCH($C5019,'تحليل التكلفة والسعر'!$B$2:$B$700,0)),0))</f>
        <v/>
      </c>
    </row>
    <row r="5020" customFormat="false" ht="15" hidden="false" customHeight="false" outlineLevel="0" collapsed="false">
      <c r="A5020" s="103"/>
      <c r="B5020" s="104"/>
      <c r="C5020" s="104"/>
      <c r="E5020" s="107" t="str">
        <f aca="false">IF($C5020="","",IFERROR(INDEX(المنيو!$C$2:$C$500,MATCH($C5020,المنيو!$B$2:$B$500,0)),0))</f>
        <v/>
      </c>
      <c r="F5020" s="107" t="str">
        <f aca="false">IF($C5020="","",$D5020*$E5020)</f>
        <v/>
      </c>
      <c r="G5020" s="107" t="str">
        <f aca="false">IF($C5020="","",$D5020*IFERROR(INDEX('تحليل التكلفة والسعر'!$C$2:$C$700,MATCH($C5020,'تحليل التكلفة والسعر'!$B$2:$B$700,0)),0))</f>
        <v/>
      </c>
    </row>
    <row r="5021" customFormat="false" ht="15" hidden="false" customHeight="false" outlineLevel="0" collapsed="false">
      <c r="A5021" s="103"/>
      <c r="B5021" s="104"/>
      <c r="C5021" s="104"/>
      <c r="E5021" s="107" t="str">
        <f aca="false">IF($C5021="","",IFERROR(INDEX(المنيو!$C$2:$C$500,MATCH($C5021,المنيو!$B$2:$B$500,0)),0))</f>
        <v/>
      </c>
      <c r="F5021" s="107" t="str">
        <f aca="false">IF($C5021="","",$D5021*$E5021)</f>
        <v/>
      </c>
      <c r="G5021" s="107" t="str">
        <f aca="false">IF($C5021="","",$D5021*IFERROR(INDEX('تحليل التكلفة والسعر'!$C$2:$C$700,MATCH($C5021,'تحليل التكلفة والسعر'!$B$2:$B$700,0)),0))</f>
        <v/>
      </c>
    </row>
    <row r="5022" customFormat="false" ht="15" hidden="false" customHeight="false" outlineLevel="0" collapsed="false">
      <c r="A5022" s="103"/>
      <c r="B5022" s="104"/>
      <c r="C5022" s="104"/>
      <c r="E5022" s="107" t="str">
        <f aca="false">IF($C5022="","",IFERROR(INDEX(المنيو!$C$2:$C$500,MATCH($C5022,المنيو!$B$2:$B$500,0)),0))</f>
        <v/>
      </c>
      <c r="F5022" s="107" t="str">
        <f aca="false">IF($C5022="","",$D5022*$E5022)</f>
        <v/>
      </c>
      <c r="G5022" s="107" t="str">
        <f aca="false">IF($C5022="","",$D5022*IFERROR(INDEX('تحليل التكلفة والسعر'!$C$2:$C$700,MATCH($C5022,'تحليل التكلفة والسعر'!$B$2:$B$700,0)),0))</f>
        <v/>
      </c>
    </row>
    <row r="5023" customFormat="false" ht="15" hidden="false" customHeight="false" outlineLevel="0" collapsed="false">
      <c r="A5023" s="103"/>
      <c r="B5023" s="104"/>
      <c r="C5023" s="104"/>
      <c r="E5023" s="107" t="str">
        <f aca="false">IF($C5023="","",IFERROR(INDEX(المنيو!$C$2:$C$500,MATCH($C5023,المنيو!$B$2:$B$500,0)),0))</f>
        <v/>
      </c>
      <c r="F5023" s="107" t="str">
        <f aca="false">IF($C5023="","",$D5023*$E5023)</f>
        <v/>
      </c>
      <c r="G5023" s="107" t="str">
        <f aca="false">IF($C5023="","",$D5023*IFERROR(INDEX('تحليل التكلفة والسعر'!$C$2:$C$700,MATCH($C5023,'تحليل التكلفة والسعر'!$B$2:$B$700,0)),0))</f>
        <v/>
      </c>
    </row>
    <row r="5024" customFormat="false" ht="15" hidden="false" customHeight="false" outlineLevel="0" collapsed="false">
      <c r="A5024" s="103"/>
      <c r="B5024" s="104"/>
      <c r="C5024" s="104"/>
      <c r="E5024" s="107" t="str">
        <f aca="false">IF($C5024="","",IFERROR(INDEX(المنيو!$C$2:$C$500,MATCH($C5024,المنيو!$B$2:$B$500,0)),0))</f>
        <v/>
      </c>
      <c r="F5024" s="107" t="str">
        <f aca="false">IF($C5024="","",$D5024*$E5024)</f>
        <v/>
      </c>
      <c r="G5024" s="107" t="str">
        <f aca="false">IF($C5024="","",$D5024*IFERROR(INDEX('تحليل التكلفة والسعر'!$C$2:$C$700,MATCH($C5024,'تحليل التكلفة والسعر'!$B$2:$B$700,0)),0))</f>
        <v/>
      </c>
    </row>
    <row r="5025" customFormat="false" ht="15" hidden="false" customHeight="false" outlineLevel="0" collapsed="false">
      <c r="A5025" s="103"/>
      <c r="B5025" s="104"/>
      <c r="C5025" s="104"/>
      <c r="E5025" s="107" t="str">
        <f aca="false">IF($C5025="","",IFERROR(INDEX(المنيو!$C$2:$C$500,MATCH($C5025,المنيو!$B$2:$B$500,0)),0))</f>
        <v/>
      </c>
      <c r="F5025" s="107" t="str">
        <f aca="false">IF($C5025="","",$D5025*$E5025)</f>
        <v/>
      </c>
      <c r="G5025" s="107" t="str">
        <f aca="false">IF($C5025="","",$D5025*IFERROR(INDEX('تحليل التكلفة والسعر'!$C$2:$C$700,MATCH($C5025,'تحليل التكلفة والسعر'!$B$2:$B$700,0)),0))</f>
        <v/>
      </c>
    </row>
    <row r="5026" customFormat="false" ht="15" hidden="false" customHeight="false" outlineLevel="0" collapsed="false">
      <c r="A5026" s="103"/>
      <c r="B5026" s="104"/>
      <c r="C5026" s="104"/>
      <c r="E5026" s="107" t="str">
        <f aca="false">IF($C5026="","",IFERROR(INDEX(المنيو!$C$2:$C$500,MATCH($C5026,المنيو!$B$2:$B$500,0)),0))</f>
        <v/>
      </c>
      <c r="F5026" s="107" t="str">
        <f aca="false">IF($C5026="","",$D5026*$E5026)</f>
        <v/>
      </c>
      <c r="G5026" s="107" t="str">
        <f aca="false">IF($C5026="","",$D5026*IFERROR(INDEX('تحليل التكلفة والسعر'!$C$2:$C$700,MATCH($C5026,'تحليل التكلفة والسعر'!$B$2:$B$700,0)),0))</f>
        <v/>
      </c>
    </row>
    <row r="5027" customFormat="false" ht="15" hidden="false" customHeight="false" outlineLevel="0" collapsed="false">
      <c r="A5027" s="103"/>
      <c r="B5027" s="104"/>
      <c r="C5027" s="104"/>
      <c r="E5027" s="107" t="str">
        <f aca="false">IF($C5027="","",IFERROR(INDEX(المنيو!$C$2:$C$500,MATCH($C5027,المنيو!$B$2:$B$500,0)),0))</f>
        <v/>
      </c>
      <c r="F5027" s="107" t="str">
        <f aca="false">IF($C5027="","",$D5027*$E5027)</f>
        <v/>
      </c>
      <c r="G5027" s="107" t="str">
        <f aca="false">IF($C5027="","",$D5027*IFERROR(INDEX('تحليل التكلفة والسعر'!$C$2:$C$700,MATCH($C5027,'تحليل التكلفة والسعر'!$B$2:$B$700,0)),0))</f>
        <v/>
      </c>
    </row>
    <row r="5028" customFormat="false" ht="15" hidden="false" customHeight="false" outlineLevel="0" collapsed="false">
      <c r="A5028" s="103"/>
      <c r="B5028" s="104"/>
      <c r="C5028" s="104"/>
      <c r="E5028" s="107" t="str">
        <f aca="false">IF($C5028="","",IFERROR(INDEX(المنيو!$C$2:$C$500,MATCH($C5028,المنيو!$B$2:$B$500,0)),0))</f>
        <v/>
      </c>
      <c r="F5028" s="107" t="str">
        <f aca="false">IF($C5028="","",$D5028*$E5028)</f>
        <v/>
      </c>
      <c r="G5028" s="107" t="str">
        <f aca="false">IF($C5028="","",$D5028*IFERROR(INDEX('تحليل التكلفة والسعر'!$C$2:$C$700,MATCH($C5028,'تحليل التكلفة والسعر'!$B$2:$B$700,0)),0))</f>
        <v/>
      </c>
    </row>
    <row r="5029" customFormat="false" ht="15" hidden="false" customHeight="false" outlineLevel="0" collapsed="false">
      <c r="A5029" s="103"/>
      <c r="B5029" s="104"/>
      <c r="C5029" s="104"/>
      <c r="E5029" s="107" t="str">
        <f aca="false">IF($C5029="","",IFERROR(INDEX(المنيو!$C$2:$C$500,MATCH($C5029,المنيو!$B$2:$B$500,0)),0))</f>
        <v/>
      </c>
      <c r="F5029" s="107" t="str">
        <f aca="false">IF($C5029="","",$D5029*$E5029)</f>
        <v/>
      </c>
      <c r="G5029" s="107" t="str">
        <f aca="false">IF($C5029="","",$D5029*IFERROR(INDEX('تحليل التكلفة والسعر'!$C$2:$C$700,MATCH($C5029,'تحليل التكلفة والسعر'!$B$2:$B$700,0)),0))</f>
        <v/>
      </c>
    </row>
    <row r="5030" customFormat="false" ht="15" hidden="false" customHeight="false" outlineLevel="0" collapsed="false">
      <c r="A5030" s="103"/>
      <c r="B5030" s="104"/>
      <c r="C5030" s="104"/>
      <c r="E5030" s="107" t="str">
        <f aca="false">IF($C5030="","",IFERROR(INDEX(المنيو!$C$2:$C$500,MATCH($C5030,المنيو!$B$2:$B$500,0)),0))</f>
        <v/>
      </c>
      <c r="F5030" s="107" t="str">
        <f aca="false">IF($C5030="","",$D5030*$E5030)</f>
        <v/>
      </c>
      <c r="G5030" s="107" t="str">
        <f aca="false">IF($C5030="","",$D5030*IFERROR(INDEX('تحليل التكلفة والسعر'!$C$2:$C$700,MATCH($C5030,'تحليل التكلفة والسعر'!$B$2:$B$700,0)),0))</f>
        <v/>
      </c>
    </row>
    <row r="5031" customFormat="false" ht="15" hidden="false" customHeight="false" outlineLevel="0" collapsed="false">
      <c r="A5031" s="103"/>
      <c r="B5031" s="104"/>
      <c r="C5031" s="104"/>
      <c r="E5031" s="107" t="str">
        <f aca="false">IF($C5031="","",IFERROR(INDEX(المنيو!$C$2:$C$500,MATCH($C5031,المنيو!$B$2:$B$500,0)),0))</f>
        <v/>
      </c>
      <c r="F5031" s="107" t="str">
        <f aca="false">IF($C5031="","",$D5031*$E5031)</f>
        <v/>
      </c>
      <c r="G5031" s="107" t="str">
        <f aca="false">IF($C5031="","",$D5031*IFERROR(INDEX('تحليل التكلفة والسعر'!$C$2:$C$700,MATCH($C5031,'تحليل التكلفة والسعر'!$B$2:$B$700,0)),0))</f>
        <v/>
      </c>
    </row>
    <row r="5032" customFormat="false" ht="15" hidden="false" customHeight="false" outlineLevel="0" collapsed="false">
      <c r="A5032" s="103"/>
      <c r="B5032" s="104"/>
      <c r="C5032" s="104"/>
      <c r="E5032" s="107" t="str">
        <f aca="false">IF($C5032="","",IFERROR(INDEX(المنيو!$C$2:$C$500,MATCH($C5032,المنيو!$B$2:$B$500,0)),0))</f>
        <v/>
      </c>
      <c r="F5032" s="107" t="str">
        <f aca="false">IF($C5032="","",$D5032*$E5032)</f>
        <v/>
      </c>
      <c r="G5032" s="107" t="str">
        <f aca="false">IF($C5032="","",$D5032*IFERROR(INDEX('تحليل التكلفة والسعر'!$C$2:$C$700,MATCH($C5032,'تحليل التكلفة والسعر'!$B$2:$B$700,0)),0))</f>
        <v/>
      </c>
    </row>
    <row r="5033" customFormat="false" ht="15" hidden="false" customHeight="false" outlineLevel="0" collapsed="false">
      <c r="A5033" s="103"/>
      <c r="B5033" s="104"/>
      <c r="C5033" s="104"/>
      <c r="E5033" s="107" t="str">
        <f aca="false">IF($C5033="","",IFERROR(INDEX(المنيو!$C$2:$C$500,MATCH($C5033,المنيو!$B$2:$B$500,0)),0))</f>
        <v/>
      </c>
      <c r="F5033" s="107" t="str">
        <f aca="false">IF($C5033="","",$D5033*$E5033)</f>
        <v/>
      </c>
      <c r="G5033" s="107" t="str">
        <f aca="false">IF($C5033="","",$D5033*IFERROR(INDEX('تحليل التكلفة والسعر'!$C$2:$C$700,MATCH($C5033,'تحليل التكلفة والسعر'!$B$2:$B$700,0)),0))</f>
        <v/>
      </c>
    </row>
    <row r="5034" customFormat="false" ht="15" hidden="false" customHeight="false" outlineLevel="0" collapsed="false">
      <c r="A5034" s="103"/>
      <c r="B5034" s="104"/>
      <c r="C5034" s="104"/>
      <c r="E5034" s="107" t="str">
        <f aca="false">IF($C5034="","",IFERROR(INDEX(المنيو!$C$2:$C$500,MATCH($C5034,المنيو!$B$2:$B$500,0)),0))</f>
        <v/>
      </c>
      <c r="F5034" s="107" t="str">
        <f aca="false">IF($C5034="","",$D5034*$E5034)</f>
        <v/>
      </c>
      <c r="G5034" s="107" t="str">
        <f aca="false">IF($C5034="","",$D5034*IFERROR(INDEX('تحليل التكلفة والسعر'!$C$2:$C$700,MATCH($C5034,'تحليل التكلفة والسعر'!$B$2:$B$700,0)),0))</f>
        <v/>
      </c>
    </row>
    <row r="5035" customFormat="false" ht="15" hidden="false" customHeight="false" outlineLevel="0" collapsed="false">
      <c r="A5035" s="103"/>
      <c r="B5035" s="104"/>
      <c r="C5035" s="104"/>
      <c r="E5035" s="107" t="str">
        <f aca="false">IF($C5035="","",IFERROR(INDEX(المنيو!$C$2:$C$500,MATCH($C5035,المنيو!$B$2:$B$500,0)),0))</f>
        <v/>
      </c>
      <c r="F5035" s="107" t="str">
        <f aca="false">IF($C5035="","",$D5035*$E5035)</f>
        <v/>
      </c>
      <c r="G5035" s="107" t="str">
        <f aca="false">IF($C5035="","",$D5035*IFERROR(INDEX('تحليل التكلفة والسعر'!$C$2:$C$700,MATCH($C5035,'تحليل التكلفة والسعر'!$B$2:$B$700,0)),0))</f>
        <v/>
      </c>
    </row>
    <row r="5036" customFormat="false" ht="15" hidden="false" customHeight="false" outlineLevel="0" collapsed="false">
      <c r="A5036" s="103"/>
      <c r="B5036" s="104"/>
      <c r="C5036" s="104"/>
      <c r="E5036" s="107" t="str">
        <f aca="false">IF($C5036="","",IFERROR(INDEX(المنيو!$C$2:$C$500,MATCH($C5036,المنيو!$B$2:$B$500,0)),0))</f>
        <v/>
      </c>
      <c r="F5036" s="107" t="str">
        <f aca="false">IF($C5036="","",$D5036*$E5036)</f>
        <v/>
      </c>
      <c r="G5036" s="107" t="str">
        <f aca="false">IF($C5036="","",$D5036*IFERROR(INDEX('تحليل التكلفة والسعر'!$C$2:$C$700,MATCH($C5036,'تحليل التكلفة والسعر'!$B$2:$B$700,0)),0))</f>
        <v/>
      </c>
    </row>
    <row r="5037" customFormat="false" ht="15" hidden="false" customHeight="false" outlineLevel="0" collapsed="false">
      <c r="A5037" s="103"/>
      <c r="B5037" s="104"/>
      <c r="C5037" s="104"/>
      <c r="E5037" s="107" t="str">
        <f aca="false">IF($C5037="","",IFERROR(INDEX(المنيو!$C$2:$C$500,MATCH($C5037,المنيو!$B$2:$B$500,0)),0))</f>
        <v/>
      </c>
      <c r="F5037" s="107" t="str">
        <f aca="false">IF($C5037="","",$D5037*$E5037)</f>
        <v/>
      </c>
      <c r="G5037" s="107" t="str">
        <f aca="false">IF($C5037="","",$D5037*IFERROR(INDEX('تحليل التكلفة والسعر'!$C$2:$C$700,MATCH($C5037,'تحليل التكلفة والسعر'!$B$2:$B$700,0)),0))</f>
        <v/>
      </c>
    </row>
    <row r="5038" customFormat="false" ht="15" hidden="false" customHeight="false" outlineLevel="0" collapsed="false">
      <c r="A5038" s="103"/>
      <c r="B5038" s="104"/>
      <c r="C5038" s="104"/>
      <c r="E5038" s="107" t="str">
        <f aca="false">IF($C5038="","",IFERROR(INDEX(المنيو!$C$2:$C$500,MATCH($C5038,المنيو!$B$2:$B$500,0)),0))</f>
        <v/>
      </c>
      <c r="F5038" s="107" t="str">
        <f aca="false">IF($C5038="","",$D5038*$E5038)</f>
        <v/>
      </c>
      <c r="G5038" s="107" t="str">
        <f aca="false">IF($C5038="","",$D5038*IFERROR(INDEX('تحليل التكلفة والسعر'!$C$2:$C$700,MATCH($C5038,'تحليل التكلفة والسعر'!$B$2:$B$700,0)),0))</f>
        <v/>
      </c>
    </row>
    <row r="5039" customFormat="false" ht="15" hidden="false" customHeight="false" outlineLevel="0" collapsed="false">
      <c r="A5039" s="103"/>
      <c r="B5039" s="104"/>
      <c r="C5039" s="104"/>
      <c r="E5039" s="107" t="str">
        <f aca="false">IF($C5039="","",IFERROR(INDEX(المنيو!$C$2:$C$500,MATCH($C5039,المنيو!$B$2:$B$500,0)),0))</f>
        <v/>
      </c>
      <c r="F5039" s="107" t="str">
        <f aca="false">IF($C5039="","",$D5039*$E5039)</f>
        <v/>
      </c>
      <c r="G5039" s="107" t="str">
        <f aca="false">IF($C5039="","",$D5039*IFERROR(INDEX('تحليل التكلفة والسعر'!$C$2:$C$700,MATCH($C5039,'تحليل التكلفة والسعر'!$B$2:$B$700,0)),0))</f>
        <v/>
      </c>
    </row>
    <row r="5040" customFormat="false" ht="15" hidden="false" customHeight="false" outlineLevel="0" collapsed="false">
      <c r="A5040" s="103"/>
      <c r="B5040" s="104"/>
      <c r="C5040" s="104"/>
      <c r="E5040" s="107" t="str">
        <f aca="false">IF($C5040="","",IFERROR(INDEX(المنيو!$C$2:$C$500,MATCH($C5040,المنيو!$B$2:$B$500,0)),0))</f>
        <v/>
      </c>
      <c r="F5040" s="107" t="str">
        <f aca="false">IF($C5040="","",$D5040*$E5040)</f>
        <v/>
      </c>
      <c r="G5040" s="107" t="str">
        <f aca="false">IF($C5040="","",$D5040*IFERROR(INDEX('تحليل التكلفة والسعر'!$C$2:$C$700,MATCH($C5040,'تحليل التكلفة والسعر'!$B$2:$B$700,0)),0))</f>
        <v/>
      </c>
    </row>
    <row r="5041" customFormat="false" ht="15" hidden="false" customHeight="false" outlineLevel="0" collapsed="false">
      <c r="A5041" s="103"/>
      <c r="B5041" s="104"/>
      <c r="C5041" s="104"/>
      <c r="E5041" s="107" t="str">
        <f aca="false">IF($C5041="","",IFERROR(INDEX(المنيو!$C$2:$C$500,MATCH($C5041,المنيو!$B$2:$B$500,0)),0))</f>
        <v/>
      </c>
      <c r="F5041" s="107" t="str">
        <f aca="false">IF($C5041="","",$D5041*$E5041)</f>
        <v/>
      </c>
      <c r="G5041" s="107" t="str">
        <f aca="false">IF($C5041="","",$D5041*IFERROR(INDEX('تحليل التكلفة والسعر'!$C$2:$C$700,MATCH($C5041,'تحليل التكلفة والسعر'!$B$2:$B$700,0)),0))</f>
        <v/>
      </c>
    </row>
    <row r="5042" customFormat="false" ht="15" hidden="false" customHeight="false" outlineLevel="0" collapsed="false">
      <c r="A5042" s="103"/>
      <c r="B5042" s="104"/>
      <c r="C5042" s="104"/>
      <c r="E5042" s="107" t="str">
        <f aca="false">IF($C5042="","",IFERROR(INDEX(المنيو!$C$2:$C$500,MATCH($C5042,المنيو!$B$2:$B$500,0)),0))</f>
        <v/>
      </c>
      <c r="F5042" s="107" t="str">
        <f aca="false">IF($C5042="","",$D5042*$E5042)</f>
        <v/>
      </c>
      <c r="G5042" s="107" t="str">
        <f aca="false">IF($C5042="","",$D5042*IFERROR(INDEX('تحليل التكلفة والسعر'!$C$2:$C$700,MATCH($C5042,'تحليل التكلفة والسعر'!$B$2:$B$700,0)),0))</f>
        <v/>
      </c>
    </row>
    <row r="5043" customFormat="false" ht="15" hidden="false" customHeight="false" outlineLevel="0" collapsed="false">
      <c r="A5043" s="103"/>
      <c r="B5043" s="104"/>
      <c r="C5043" s="104"/>
      <c r="E5043" s="107" t="str">
        <f aca="false">IF($C5043="","",IFERROR(INDEX(المنيو!$C$2:$C$500,MATCH($C5043,المنيو!$B$2:$B$500,0)),0))</f>
        <v/>
      </c>
      <c r="F5043" s="107" t="str">
        <f aca="false">IF($C5043="","",$D5043*$E5043)</f>
        <v/>
      </c>
      <c r="G5043" s="107" t="str">
        <f aca="false">IF($C5043="","",$D5043*IFERROR(INDEX('تحليل التكلفة والسعر'!$C$2:$C$700,MATCH($C5043,'تحليل التكلفة والسعر'!$B$2:$B$700,0)),0))</f>
        <v/>
      </c>
    </row>
    <row r="5044" customFormat="false" ht="15" hidden="false" customHeight="false" outlineLevel="0" collapsed="false">
      <c r="A5044" s="103"/>
      <c r="B5044" s="104"/>
      <c r="C5044" s="104"/>
      <c r="E5044" s="107" t="str">
        <f aca="false">IF($C5044="","",IFERROR(INDEX(المنيو!$C$2:$C$500,MATCH($C5044,المنيو!$B$2:$B$500,0)),0))</f>
        <v/>
      </c>
      <c r="F5044" s="107" t="str">
        <f aca="false">IF($C5044="","",$D5044*$E5044)</f>
        <v/>
      </c>
      <c r="G5044" s="107" t="str">
        <f aca="false">IF($C5044="","",$D5044*IFERROR(INDEX('تحليل التكلفة والسعر'!$C$2:$C$700,MATCH($C5044,'تحليل التكلفة والسعر'!$B$2:$B$700,0)),0))</f>
        <v/>
      </c>
    </row>
    <row r="5045" customFormat="false" ht="15" hidden="false" customHeight="false" outlineLevel="0" collapsed="false">
      <c r="A5045" s="103"/>
      <c r="B5045" s="104"/>
      <c r="C5045" s="104"/>
      <c r="E5045" s="107" t="str">
        <f aca="false">IF($C5045="","",IFERROR(INDEX(المنيو!$C$2:$C$500,MATCH($C5045,المنيو!$B$2:$B$500,0)),0))</f>
        <v/>
      </c>
      <c r="F5045" s="107" t="str">
        <f aca="false">IF($C5045="","",$D5045*$E5045)</f>
        <v/>
      </c>
      <c r="G5045" s="107" t="str">
        <f aca="false">IF($C5045="","",$D5045*IFERROR(INDEX('تحليل التكلفة والسعر'!$C$2:$C$700,MATCH($C5045,'تحليل التكلفة والسعر'!$B$2:$B$700,0)),0))</f>
        <v/>
      </c>
    </row>
    <row r="5046" customFormat="false" ht="15" hidden="false" customHeight="false" outlineLevel="0" collapsed="false">
      <c r="A5046" s="103"/>
      <c r="B5046" s="104"/>
      <c r="C5046" s="104"/>
      <c r="E5046" s="107" t="str">
        <f aca="false">IF($C5046="","",IFERROR(INDEX(المنيو!$C$2:$C$500,MATCH($C5046,المنيو!$B$2:$B$500,0)),0))</f>
        <v/>
      </c>
      <c r="F5046" s="107" t="str">
        <f aca="false">IF($C5046="","",$D5046*$E5046)</f>
        <v/>
      </c>
      <c r="G5046" s="107" t="str">
        <f aca="false">IF($C5046="","",$D5046*IFERROR(INDEX('تحليل التكلفة والسعر'!$C$2:$C$700,MATCH($C5046,'تحليل التكلفة والسعر'!$B$2:$B$700,0)),0))</f>
        <v/>
      </c>
    </row>
    <row r="5047" customFormat="false" ht="15" hidden="false" customHeight="false" outlineLevel="0" collapsed="false">
      <c r="A5047" s="103"/>
      <c r="B5047" s="104"/>
      <c r="C5047" s="104"/>
      <c r="E5047" s="107" t="str">
        <f aca="false">IF($C5047="","",IFERROR(INDEX(المنيو!$C$2:$C$500,MATCH($C5047,المنيو!$B$2:$B$500,0)),0))</f>
        <v/>
      </c>
      <c r="F5047" s="107" t="str">
        <f aca="false">IF($C5047="","",$D5047*$E5047)</f>
        <v/>
      </c>
      <c r="G5047" s="107" t="str">
        <f aca="false">IF($C5047="","",$D5047*IFERROR(INDEX('تحليل التكلفة والسعر'!$C$2:$C$700,MATCH($C5047,'تحليل التكلفة والسعر'!$B$2:$B$700,0)),0))</f>
        <v/>
      </c>
    </row>
    <row r="5048" customFormat="false" ht="15" hidden="false" customHeight="false" outlineLevel="0" collapsed="false">
      <c r="A5048" s="103"/>
      <c r="B5048" s="104"/>
      <c r="C5048" s="104"/>
      <c r="E5048" s="107" t="str">
        <f aca="false">IF($C5048="","",IFERROR(INDEX(المنيو!$C$2:$C$500,MATCH($C5048,المنيو!$B$2:$B$500,0)),0))</f>
        <v/>
      </c>
      <c r="F5048" s="107" t="str">
        <f aca="false">IF($C5048="","",$D5048*$E5048)</f>
        <v/>
      </c>
      <c r="G5048" s="107" t="str">
        <f aca="false">IF($C5048="","",$D5048*IFERROR(INDEX('تحليل التكلفة والسعر'!$C$2:$C$700,MATCH($C5048,'تحليل التكلفة والسعر'!$B$2:$B$700,0)),0))</f>
        <v/>
      </c>
    </row>
    <row r="5049" customFormat="false" ht="15" hidden="false" customHeight="false" outlineLevel="0" collapsed="false">
      <c r="A5049" s="103"/>
      <c r="B5049" s="104"/>
      <c r="C5049" s="104"/>
      <c r="E5049" s="107" t="str">
        <f aca="false">IF($C5049="","",IFERROR(INDEX(المنيو!$C$2:$C$500,MATCH($C5049,المنيو!$B$2:$B$500,0)),0))</f>
        <v/>
      </c>
      <c r="F5049" s="107" t="str">
        <f aca="false">IF($C5049="","",$D5049*$E5049)</f>
        <v/>
      </c>
      <c r="G5049" s="107" t="str">
        <f aca="false">IF($C5049="","",$D5049*IFERROR(INDEX('تحليل التكلفة والسعر'!$C$2:$C$700,MATCH($C5049,'تحليل التكلفة والسعر'!$B$2:$B$700,0)),0))</f>
        <v/>
      </c>
    </row>
    <row r="5050" customFormat="false" ht="15" hidden="false" customHeight="false" outlineLevel="0" collapsed="false">
      <c r="A5050" s="103"/>
      <c r="B5050" s="104"/>
      <c r="C5050" s="104"/>
      <c r="E5050" s="107" t="str">
        <f aca="false">IF($C5050="","",IFERROR(INDEX(المنيو!$C$2:$C$500,MATCH($C5050,المنيو!$B$2:$B$500,0)),0))</f>
        <v/>
      </c>
      <c r="F5050" s="107" t="str">
        <f aca="false">IF($C5050="","",$D5050*$E5050)</f>
        <v/>
      </c>
      <c r="G5050" s="107" t="str">
        <f aca="false">IF($C5050="","",$D5050*IFERROR(INDEX('تحليل التكلفة والسعر'!$C$2:$C$700,MATCH($C5050,'تحليل التكلفة والسعر'!$B$2:$B$700,0)),0))</f>
        <v/>
      </c>
    </row>
    <row r="5051" customFormat="false" ht="15" hidden="false" customHeight="false" outlineLevel="0" collapsed="false">
      <c r="A5051" s="103"/>
      <c r="B5051" s="104"/>
      <c r="C5051" s="104"/>
      <c r="E5051" s="107" t="str">
        <f aca="false">IF($C5051="","",IFERROR(INDEX(المنيو!$C$2:$C$500,MATCH($C5051,المنيو!$B$2:$B$500,0)),0))</f>
        <v/>
      </c>
      <c r="F5051" s="107" t="str">
        <f aca="false">IF($C5051="","",$D5051*$E5051)</f>
        <v/>
      </c>
      <c r="G5051" s="107" t="str">
        <f aca="false">IF($C5051="","",$D5051*IFERROR(INDEX('تحليل التكلفة والسعر'!$C$2:$C$700,MATCH($C5051,'تحليل التكلفة والسعر'!$B$2:$B$700,0)),0))</f>
        <v/>
      </c>
    </row>
    <row r="5052" customFormat="false" ht="15" hidden="false" customHeight="false" outlineLevel="0" collapsed="false">
      <c r="A5052" s="103"/>
      <c r="B5052" s="104"/>
      <c r="C5052" s="104"/>
      <c r="E5052" s="107" t="str">
        <f aca="false">IF($C5052="","",IFERROR(INDEX(المنيو!$C$2:$C$500,MATCH($C5052,المنيو!$B$2:$B$500,0)),0))</f>
        <v/>
      </c>
      <c r="F5052" s="107" t="str">
        <f aca="false">IF($C5052="","",$D5052*$E5052)</f>
        <v/>
      </c>
      <c r="G5052" s="107" t="str">
        <f aca="false">IF($C5052="","",$D5052*IFERROR(INDEX('تحليل التكلفة والسعر'!$C$2:$C$700,MATCH($C5052,'تحليل التكلفة والسعر'!$B$2:$B$700,0)),0))</f>
        <v/>
      </c>
    </row>
    <row r="5053" customFormat="false" ht="15" hidden="false" customHeight="false" outlineLevel="0" collapsed="false">
      <c r="A5053" s="103"/>
      <c r="B5053" s="104"/>
      <c r="C5053" s="104"/>
      <c r="E5053" s="107" t="str">
        <f aca="false">IF($C5053="","",IFERROR(INDEX(المنيو!$C$2:$C$500,MATCH($C5053,المنيو!$B$2:$B$500,0)),0))</f>
        <v/>
      </c>
      <c r="F5053" s="107" t="str">
        <f aca="false">IF($C5053="","",$D5053*$E5053)</f>
        <v/>
      </c>
      <c r="G5053" s="107" t="str">
        <f aca="false">IF($C5053="","",$D5053*IFERROR(INDEX('تحليل التكلفة والسعر'!$C$2:$C$700,MATCH($C5053,'تحليل التكلفة والسعر'!$B$2:$B$700,0)),0))</f>
        <v/>
      </c>
    </row>
    <row r="5054" customFormat="false" ht="15" hidden="false" customHeight="false" outlineLevel="0" collapsed="false">
      <c r="A5054" s="103"/>
      <c r="B5054" s="104"/>
      <c r="C5054" s="104"/>
      <c r="E5054" s="107" t="str">
        <f aca="false">IF($C5054="","",IFERROR(INDEX(المنيو!$C$2:$C$500,MATCH($C5054,المنيو!$B$2:$B$500,0)),0))</f>
        <v/>
      </c>
      <c r="F5054" s="107" t="str">
        <f aca="false">IF($C5054="","",$D5054*$E5054)</f>
        <v/>
      </c>
      <c r="G5054" s="107" t="str">
        <f aca="false">IF($C5054="","",$D5054*IFERROR(INDEX('تحليل التكلفة والسعر'!$C$2:$C$700,MATCH($C5054,'تحليل التكلفة والسعر'!$B$2:$B$700,0)),0))</f>
        <v/>
      </c>
    </row>
    <row r="5055" customFormat="false" ht="15" hidden="false" customHeight="false" outlineLevel="0" collapsed="false">
      <c r="A5055" s="103"/>
      <c r="B5055" s="104"/>
      <c r="C5055" s="104"/>
      <c r="E5055" s="107" t="str">
        <f aca="false">IF($C5055="","",IFERROR(INDEX(المنيو!$C$2:$C$500,MATCH($C5055,المنيو!$B$2:$B$500,0)),0))</f>
        <v/>
      </c>
      <c r="F5055" s="107" t="str">
        <f aca="false">IF($C5055="","",$D5055*$E5055)</f>
        <v/>
      </c>
      <c r="G5055" s="107" t="str">
        <f aca="false">IF($C5055="","",$D5055*IFERROR(INDEX('تحليل التكلفة والسعر'!$C$2:$C$700,MATCH($C5055,'تحليل التكلفة والسعر'!$B$2:$B$700,0)),0))</f>
        <v/>
      </c>
    </row>
    <row r="5056" customFormat="false" ht="15" hidden="false" customHeight="false" outlineLevel="0" collapsed="false">
      <c r="A5056" s="103"/>
      <c r="B5056" s="104"/>
      <c r="C5056" s="104"/>
      <c r="E5056" s="107" t="str">
        <f aca="false">IF($C5056="","",IFERROR(INDEX(المنيو!$C$2:$C$500,MATCH($C5056,المنيو!$B$2:$B$500,0)),0))</f>
        <v/>
      </c>
      <c r="F5056" s="107" t="str">
        <f aca="false">IF($C5056="","",$D5056*$E5056)</f>
        <v/>
      </c>
      <c r="G5056" s="107" t="str">
        <f aca="false">IF($C5056="","",$D5056*IFERROR(INDEX('تحليل التكلفة والسعر'!$C$2:$C$700,MATCH($C5056,'تحليل التكلفة والسعر'!$B$2:$B$700,0)),0))</f>
        <v/>
      </c>
    </row>
    <row r="5057" customFormat="false" ht="15" hidden="false" customHeight="false" outlineLevel="0" collapsed="false">
      <c r="A5057" s="103"/>
      <c r="B5057" s="104"/>
      <c r="C5057" s="104"/>
      <c r="E5057" s="107" t="str">
        <f aca="false">IF($C5057="","",IFERROR(INDEX(المنيو!$C$2:$C$500,MATCH($C5057,المنيو!$B$2:$B$500,0)),0))</f>
        <v/>
      </c>
      <c r="F5057" s="107" t="str">
        <f aca="false">IF($C5057="","",$D5057*$E5057)</f>
        <v/>
      </c>
      <c r="G5057" s="107" t="str">
        <f aca="false">IF($C5057="","",$D5057*IFERROR(INDEX('تحليل التكلفة والسعر'!$C$2:$C$700,MATCH($C5057,'تحليل التكلفة والسعر'!$B$2:$B$700,0)),0))</f>
        <v/>
      </c>
    </row>
    <row r="5058" customFormat="false" ht="15" hidden="false" customHeight="false" outlineLevel="0" collapsed="false">
      <c r="A5058" s="103"/>
      <c r="B5058" s="104"/>
      <c r="C5058" s="104"/>
      <c r="E5058" s="107" t="str">
        <f aca="false">IF($C5058="","",IFERROR(INDEX(المنيو!$C$2:$C$500,MATCH($C5058,المنيو!$B$2:$B$500,0)),0))</f>
        <v/>
      </c>
      <c r="F5058" s="107" t="str">
        <f aca="false">IF($C5058="","",$D5058*$E5058)</f>
        <v/>
      </c>
      <c r="G5058" s="107" t="str">
        <f aca="false">IF($C5058="","",$D5058*IFERROR(INDEX('تحليل التكلفة والسعر'!$C$2:$C$700,MATCH($C5058,'تحليل التكلفة والسعر'!$B$2:$B$700,0)),0))</f>
        <v/>
      </c>
    </row>
    <row r="5059" customFormat="false" ht="15" hidden="false" customHeight="false" outlineLevel="0" collapsed="false">
      <c r="A5059" s="103"/>
      <c r="B5059" s="104"/>
      <c r="C5059" s="104"/>
      <c r="E5059" s="107" t="str">
        <f aca="false">IF($C5059="","",IFERROR(INDEX(المنيو!$C$2:$C$500,MATCH($C5059,المنيو!$B$2:$B$500,0)),0))</f>
        <v/>
      </c>
      <c r="F5059" s="107" t="str">
        <f aca="false">IF($C5059="","",$D5059*$E5059)</f>
        <v/>
      </c>
      <c r="G5059" s="107" t="str">
        <f aca="false">IF($C5059="","",$D5059*IFERROR(INDEX('تحليل التكلفة والسعر'!$C$2:$C$700,MATCH($C5059,'تحليل التكلفة والسعر'!$B$2:$B$700,0)),0))</f>
        <v/>
      </c>
    </row>
    <row r="5060" customFormat="false" ht="15" hidden="false" customHeight="false" outlineLevel="0" collapsed="false">
      <c r="A5060" s="103"/>
      <c r="B5060" s="104"/>
      <c r="C5060" s="104"/>
      <c r="E5060" s="107" t="str">
        <f aca="false">IF($C5060="","",IFERROR(INDEX(المنيو!$C$2:$C$500,MATCH($C5060,المنيو!$B$2:$B$500,0)),0))</f>
        <v/>
      </c>
      <c r="F5060" s="107" t="str">
        <f aca="false">IF($C5060="","",$D5060*$E5060)</f>
        <v/>
      </c>
      <c r="G5060" s="107" t="str">
        <f aca="false">IF($C5060="","",$D5060*IFERROR(INDEX('تحليل التكلفة والسعر'!$C$2:$C$700,MATCH($C5060,'تحليل التكلفة والسعر'!$B$2:$B$700,0)),0))</f>
        <v/>
      </c>
    </row>
    <row r="5061" customFormat="false" ht="15" hidden="false" customHeight="false" outlineLevel="0" collapsed="false">
      <c r="A5061" s="103"/>
      <c r="B5061" s="104"/>
      <c r="C5061" s="104"/>
      <c r="E5061" s="107" t="str">
        <f aca="false">IF($C5061="","",IFERROR(INDEX(المنيو!$C$2:$C$500,MATCH($C5061,المنيو!$B$2:$B$500,0)),0))</f>
        <v/>
      </c>
      <c r="F5061" s="107" t="str">
        <f aca="false">IF($C5061="","",$D5061*$E5061)</f>
        <v/>
      </c>
      <c r="G5061" s="107" t="str">
        <f aca="false">IF($C5061="","",$D5061*IFERROR(INDEX('تحليل التكلفة والسعر'!$C$2:$C$700,MATCH($C5061,'تحليل التكلفة والسعر'!$B$2:$B$700,0)),0))</f>
        <v/>
      </c>
    </row>
    <row r="5062" customFormat="false" ht="15" hidden="false" customHeight="false" outlineLevel="0" collapsed="false">
      <c r="A5062" s="103"/>
      <c r="B5062" s="104"/>
      <c r="C5062" s="104"/>
      <c r="E5062" s="107" t="str">
        <f aca="false">IF($C5062="","",IFERROR(INDEX(المنيو!$C$2:$C$500,MATCH($C5062,المنيو!$B$2:$B$500,0)),0))</f>
        <v/>
      </c>
      <c r="F5062" s="107" t="str">
        <f aca="false">IF($C5062="","",$D5062*$E5062)</f>
        <v/>
      </c>
      <c r="G5062" s="107" t="str">
        <f aca="false">IF($C5062="","",$D5062*IFERROR(INDEX('تحليل التكلفة والسعر'!$C$2:$C$700,MATCH($C5062,'تحليل التكلفة والسعر'!$B$2:$B$700,0)),0))</f>
        <v/>
      </c>
    </row>
    <row r="5063" customFormat="false" ht="15" hidden="false" customHeight="false" outlineLevel="0" collapsed="false">
      <c r="A5063" s="103"/>
      <c r="B5063" s="104"/>
      <c r="C5063" s="104"/>
      <c r="E5063" s="107" t="str">
        <f aca="false">IF($C5063="","",IFERROR(INDEX(المنيو!$C$2:$C$500,MATCH($C5063,المنيو!$B$2:$B$500,0)),0))</f>
        <v/>
      </c>
      <c r="F5063" s="107" t="str">
        <f aca="false">IF($C5063="","",$D5063*$E5063)</f>
        <v/>
      </c>
      <c r="G5063" s="107" t="str">
        <f aca="false">IF($C5063="","",$D5063*IFERROR(INDEX('تحليل التكلفة والسعر'!$C$2:$C$700,MATCH($C5063,'تحليل التكلفة والسعر'!$B$2:$B$700,0)),0))</f>
        <v/>
      </c>
    </row>
    <row r="5064" customFormat="false" ht="15" hidden="false" customHeight="false" outlineLevel="0" collapsed="false">
      <c r="A5064" s="103"/>
      <c r="B5064" s="104"/>
      <c r="C5064" s="104"/>
      <c r="E5064" s="107" t="str">
        <f aca="false">IF($C5064="","",IFERROR(INDEX(المنيو!$C$2:$C$500,MATCH($C5064,المنيو!$B$2:$B$500,0)),0))</f>
        <v/>
      </c>
      <c r="F5064" s="107" t="str">
        <f aca="false">IF($C5064="","",$D5064*$E5064)</f>
        <v/>
      </c>
      <c r="G5064" s="107" t="str">
        <f aca="false">IF($C5064="","",$D5064*IFERROR(INDEX('تحليل التكلفة والسعر'!$C$2:$C$700,MATCH($C5064,'تحليل التكلفة والسعر'!$B$2:$B$700,0)),0))</f>
        <v/>
      </c>
    </row>
    <row r="5065" customFormat="false" ht="15" hidden="false" customHeight="false" outlineLevel="0" collapsed="false">
      <c r="A5065" s="103"/>
      <c r="B5065" s="104"/>
      <c r="C5065" s="104"/>
      <c r="E5065" s="107" t="str">
        <f aca="false">IF($C5065="","",IFERROR(INDEX(المنيو!$C$2:$C$500,MATCH($C5065,المنيو!$B$2:$B$500,0)),0))</f>
        <v/>
      </c>
      <c r="F5065" s="107" t="str">
        <f aca="false">IF($C5065="","",$D5065*$E5065)</f>
        <v/>
      </c>
      <c r="G5065" s="107" t="str">
        <f aca="false">IF($C5065="","",$D5065*IFERROR(INDEX('تحليل التكلفة والسعر'!$C$2:$C$700,MATCH($C5065,'تحليل التكلفة والسعر'!$B$2:$B$700,0)),0))</f>
        <v/>
      </c>
    </row>
    <row r="5066" customFormat="false" ht="15" hidden="false" customHeight="false" outlineLevel="0" collapsed="false">
      <c r="A5066" s="103"/>
      <c r="B5066" s="104"/>
      <c r="C5066" s="104"/>
      <c r="E5066" s="107" t="str">
        <f aca="false">IF($C5066="","",IFERROR(INDEX(المنيو!$C$2:$C$500,MATCH($C5066,المنيو!$B$2:$B$500,0)),0))</f>
        <v/>
      </c>
      <c r="F5066" s="107" t="str">
        <f aca="false">IF($C5066="","",$D5066*$E5066)</f>
        <v/>
      </c>
      <c r="G5066" s="107" t="str">
        <f aca="false">IF($C5066="","",$D5066*IFERROR(INDEX('تحليل التكلفة والسعر'!$C$2:$C$700,MATCH($C5066,'تحليل التكلفة والسعر'!$B$2:$B$700,0)),0))</f>
        <v/>
      </c>
    </row>
    <row r="5067" customFormat="false" ht="15" hidden="false" customHeight="false" outlineLevel="0" collapsed="false">
      <c r="A5067" s="103"/>
      <c r="B5067" s="104"/>
      <c r="C5067" s="104"/>
      <c r="E5067" s="107" t="str">
        <f aca="false">IF($C5067="","",IFERROR(INDEX(المنيو!$C$2:$C$500,MATCH($C5067,المنيو!$B$2:$B$500,0)),0))</f>
        <v/>
      </c>
      <c r="F5067" s="107" t="str">
        <f aca="false">IF($C5067="","",$D5067*$E5067)</f>
        <v/>
      </c>
      <c r="G5067" s="107" t="str">
        <f aca="false">IF($C5067="","",$D5067*IFERROR(INDEX('تحليل التكلفة والسعر'!$C$2:$C$700,MATCH($C5067,'تحليل التكلفة والسعر'!$B$2:$B$700,0)),0))</f>
        <v/>
      </c>
    </row>
    <row r="5068" customFormat="false" ht="15" hidden="false" customHeight="false" outlineLevel="0" collapsed="false">
      <c r="A5068" s="103"/>
      <c r="B5068" s="104"/>
      <c r="C5068" s="104"/>
      <c r="E5068" s="107" t="str">
        <f aca="false">IF($C5068="","",IFERROR(INDEX(المنيو!$C$2:$C$500,MATCH($C5068,المنيو!$B$2:$B$500,0)),0))</f>
        <v/>
      </c>
      <c r="F5068" s="107" t="str">
        <f aca="false">IF($C5068="","",$D5068*$E5068)</f>
        <v/>
      </c>
      <c r="G5068" s="107" t="str">
        <f aca="false">IF($C5068="","",$D5068*IFERROR(INDEX('تحليل التكلفة والسعر'!$C$2:$C$700,MATCH($C5068,'تحليل التكلفة والسعر'!$B$2:$B$700,0)),0))</f>
        <v/>
      </c>
    </row>
    <row r="5069" customFormat="false" ht="15" hidden="false" customHeight="false" outlineLevel="0" collapsed="false">
      <c r="A5069" s="103"/>
      <c r="B5069" s="104"/>
      <c r="C5069" s="104"/>
      <c r="E5069" s="107" t="str">
        <f aca="false">IF($C5069="","",IFERROR(INDEX(المنيو!$C$2:$C$500,MATCH($C5069,المنيو!$B$2:$B$500,0)),0))</f>
        <v/>
      </c>
      <c r="F5069" s="107" t="str">
        <f aca="false">IF($C5069="","",$D5069*$E5069)</f>
        <v/>
      </c>
      <c r="G5069" s="107" t="str">
        <f aca="false">IF($C5069="","",$D5069*IFERROR(INDEX('تحليل التكلفة والسعر'!$C$2:$C$700,MATCH($C5069,'تحليل التكلفة والسعر'!$B$2:$B$700,0)),0))</f>
        <v/>
      </c>
    </row>
    <row r="5070" customFormat="false" ht="15" hidden="false" customHeight="false" outlineLevel="0" collapsed="false">
      <c r="A5070" s="103"/>
      <c r="B5070" s="104"/>
      <c r="C5070" s="104"/>
      <c r="E5070" s="107" t="str">
        <f aca="false">IF($C5070="","",IFERROR(INDEX(المنيو!$C$2:$C$500,MATCH($C5070,المنيو!$B$2:$B$500,0)),0))</f>
        <v/>
      </c>
      <c r="F5070" s="107" t="str">
        <f aca="false">IF($C5070="","",$D5070*$E5070)</f>
        <v/>
      </c>
      <c r="G5070" s="107" t="str">
        <f aca="false">IF($C5070="","",$D5070*IFERROR(INDEX('تحليل التكلفة والسعر'!$C$2:$C$700,MATCH($C5070,'تحليل التكلفة والسعر'!$B$2:$B$700,0)),0))</f>
        <v/>
      </c>
    </row>
    <row r="5071" customFormat="false" ht="15" hidden="false" customHeight="false" outlineLevel="0" collapsed="false">
      <c r="A5071" s="103"/>
      <c r="B5071" s="104"/>
      <c r="C5071" s="104"/>
      <c r="E5071" s="107" t="str">
        <f aca="false">IF($C5071="","",IFERROR(INDEX(المنيو!$C$2:$C$500,MATCH($C5071,المنيو!$B$2:$B$500,0)),0))</f>
        <v/>
      </c>
      <c r="F5071" s="107" t="str">
        <f aca="false">IF($C5071="","",$D5071*$E5071)</f>
        <v/>
      </c>
      <c r="G5071" s="107" t="str">
        <f aca="false">IF($C5071="","",$D5071*IFERROR(INDEX('تحليل التكلفة والسعر'!$C$2:$C$700,MATCH($C5071,'تحليل التكلفة والسعر'!$B$2:$B$700,0)),0))</f>
        <v/>
      </c>
    </row>
    <row r="5072" customFormat="false" ht="15" hidden="false" customHeight="false" outlineLevel="0" collapsed="false">
      <c r="A5072" s="103"/>
      <c r="B5072" s="104"/>
      <c r="C5072" s="104"/>
      <c r="E5072" s="107" t="str">
        <f aca="false">IF($C5072="","",IFERROR(INDEX(المنيو!$C$2:$C$500,MATCH($C5072,المنيو!$B$2:$B$500,0)),0))</f>
        <v/>
      </c>
      <c r="F5072" s="107" t="str">
        <f aca="false">IF($C5072="","",$D5072*$E5072)</f>
        <v/>
      </c>
      <c r="G5072" s="107" t="str">
        <f aca="false">IF($C5072="","",$D5072*IFERROR(INDEX('تحليل التكلفة والسعر'!$C$2:$C$700,MATCH($C5072,'تحليل التكلفة والسعر'!$B$2:$B$700,0)),0))</f>
        <v/>
      </c>
    </row>
    <row r="5073" customFormat="false" ht="15" hidden="false" customHeight="false" outlineLevel="0" collapsed="false">
      <c r="A5073" s="103"/>
      <c r="B5073" s="104"/>
      <c r="C5073" s="104"/>
      <c r="E5073" s="107" t="str">
        <f aca="false">IF($C5073="","",IFERROR(INDEX(المنيو!$C$2:$C$500,MATCH($C5073,المنيو!$B$2:$B$500,0)),0))</f>
        <v/>
      </c>
      <c r="F5073" s="107" t="str">
        <f aca="false">IF($C5073="","",$D5073*$E5073)</f>
        <v/>
      </c>
      <c r="G5073" s="107" t="str">
        <f aca="false">IF($C5073="","",$D5073*IFERROR(INDEX('تحليل التكلفة والسعر'!$C$2:$C$700,MATCH($C5073,'تحليل التكلفة والسعر'!$B$2:$B$700,0)),0))</f>
        <v/>
      </c>
    </row>
    <row r="5074" customFormat="false" ht="15" hidden="false" customHeight="false" outlineLevel="0" collapsed="false">
      <c r="A5074" s="103"/>
      <c r="B5074" s="104"/>
      <c r="C5074" s="104"/>
      <c r="E5074" s="107" t="str">
        <f aca="false">IF($C5074="","",IFERROR(INDEX(المنيو!$C$2:$C$500,MATCH($C5074,المنيو!$B$2:$B$500,0)),0))</f>
        <v/>
      </c>
      <c r="F5074" s="107" t="str">
        <f aca="false">IF($C5074="","",$D5074*$E5074)</f>
        <v/>
      </c>
      <c r="G5074" s="107" t="str">
        <f aca="false">IF($C5074="","",$D5074*IFERROR(INDEX('تحليل التكلفة والسعر'!$C$2:$C$700,MATCH($C5074,'تحليل التكلفة والسعر'!$B$2:$B$700,0)),0))</f>
        <v/>
      </c>
    </row>
    <row r="5075" customFormat="false" ht="15" hidden="false" customHeight="false" outlineLevel="0" collapsed="false">
      <c r="A5075" s="103"/>
      <c r="B5075" s="104"/>
      <c r="C5075" s="104"/>
      <c r="E5075" s="107" t="str">
        <f aca="false">IF($C5075="","",IFERROR(INDEX(المنيو!$C$2:$C$500,MATCH($C5075,المنيو!$B$2:$B$500,0)),0))</f>
        <v/>
      </c>
      <c r="F5075" s="107" t="str">
        <f aca="false">IF($C5075="","",$D5075*$E5075)</f>
        <v/>
      </c>
      <c r="G5075" s="107" t="str">
        <f aca="false">IF($C5075="","",$D5075*IFERROR(INDEX('تحليل التكلفة والسعر'!$C$2:$C$700,MATCH($C5075,'تحليل التكلفة والسعر'!$B$2:$B$700,0)),0))</f>
        <v/>
      </c>
    </row>
    <row r="5076" customFormat="false" ht="15" hidden="false" customHeight="false" outlineLevel="0" collapsed="false">
      <c r="A5076" s="103"/>
      <c r="B5076" s="104"/>
      <c r="C5076" s="104"/>
      <c r="E5076" s="107" t="str">
        <f aca="false">IF($C5076="","",IFERROR(INDEX(المنيو!$C$2:$C$500,MATCH($C5076,المنيو!$B$2:$B$500,0)),0))</f>
        <v/>
      </c>
      <c r="F5076" s="107" t="str">
        <f aca="false">IF($C5076="","",$D5076*$E5076)</f>
        <v/>
      </c>
      <c r="G5076" s="107" t="str">
        <f aca="false">IF($C5076="","",$D5076*IFERROR(INDEX('تحليل التكلفة والسعر'!$C$2:$C$700,MATCH($C5076,'تحليل التكلفة والسعر'!$B$2:$B$700,0)),0))</f>
        <v/>
      </c>
    </row>
    <row r="5077" customFormat="false" ht="15" hidden="false" customHeight="false" outlineLevel="0" collapsed="false">
      <c r="A5077" s="103"/>
      <c r="B5077" s="104"/>
      <c r="C5077" s="104"/>
      <c r="E5077" s="107" t="str">
        <f aca="false">IF($C5077="","",IFERROR(INDEX(المنيو!$C$2:$C$500,MATCH($C5077,المنيو!$B$2:$B$500,0)),0))</f>
        <v/>
      </c>
      <c r="F5077" s="107" t="str">
        <f aca="false">IF($C5077="","",$D5077*$E5077)</f>
        <v/>
      </c>
      <c r="G5077" s="107" t="str">
        <f aca="false">IF($C5077="","",$D5077*IFERROR(INDEX('تحليل التكلفة والسعر'!$C$2:$C$700,MATCH($C5077,'تحليل التكلفة والسعر'!$B$2:$B$700,0)),0))</f>
        <v/>
      </c>
    </row>
    <row r="5078" customFormat="false" ht="15" hidden="false" customHeight="false" outlineLevel="0" collapsed="false">
      <c r="A5078" s="103"/>
      <c r="B5078" s="104"/>
      <c r="C5078" s="104"/>
      <c r="E5078" s="107" t="str">
        <f aca="false">IF($C5078="","",IFERROR(INDEX(المنيو!$C$2:$C$500,MATCH($C5078,المنيو!$B$2:$B$500,0)),0))</f>
        <v/>
      </c>
      <c r="F5078" s="107" t="str">
        <f aca="false">IF($C5078="","",$D5078*$E5078)</f>
        <v/>
      </c>
      <c r="G5078" s="107" t="str">
        <f aca="false">IF($C5078="","",$D5078*IFERROR(INDEX('تحليل التكلفة والسعر'!$C$2:$C$700,MATCH($C5078,'تحليل التكلفة والسعر'!$B$2:$B$700,0)),0))</f>
        <v/>
      </c>
    </row>
    <row r="5079" customFormat="false" ht="15" hidden="false" customHeight="false" outlineLevel="0" collapsed="false">
      <c r="A5079" s="103"/>
      <c r="B5079" s="104"/>
      <c r="C5079" s="104"/>
      <c r="E5079" s="107" t="str">
        <f aca="false">IF($C5079="","",IFERROR(INDEX(المنيو!$C$2:$C$500,MATCH($C5079,المنيو!$B$2:$B$500,0)),0))</f>
        <v/>
      </c>
      <c r="F5079" s="107" t="str">
        <f aca="false">IF($C5079="","",$D5079*$E5079)</f>
        <v/>
      </c>
      <c r="G5079" s="107" t="str">
        <f aca="false">IF($C5079="","",$D5079*IFERROR(INDEX('تحليل التكلفة والسعر'!$C$2:$C$700,MATCH($C5079,'تحليل التكلفة والسعر'!$B$2:$B$700,0)),0))</f>
        <v/>
      </c>
    </row>
    <row r="5080" customFormat="false" ht="15" hidden="false" customHeight="false" outlineLevel="0" collapsed="false">
      <c r="A5080" s="103"/>
      <c r="B5080" s="104"/>
      <c r="C5080" s="104"/>
      <c r="E5080" s="107" t="str">
        <f aca="false">IF($C5080="","",IFERROR(INDEX(المنيو!$C$2:$C$500,MATCH($C5080,المنيو!$B$2:$B$500,0)),0))</f>
        <v/>
      </c>
      <c r="F5080" s="107" t="str">
        <f aca="false">IF($C5080="","",$D5080*$E5080)</f>
        <v/>
      </c>
      <c r="G5080" s="107" t="str">
        <f aca="false">IF($C5080="","",$D5080*IFERROR(INDEX('تحليل التكلفة والسعر'!$C$2:$C$700,MATCH($C5080,'تحليل التكلفة والسعر'!$B$2:$B$700,0)),0))</f>
        <v/>
      </c>
    </row>
    <row r="5081" customFormat="false" ht="15" hidden="false" customHeight="false" outlineLevel="0" collapsed="false">
      <c r="A5081" s="103"/>
      <c r="B5081" s="104"/>
      <c r="C5081" s="104"/>
      <c r="E5081" s="107" t="str">
        <f aca="false">IF($C5081="","",IFERROR(INDEX(المنيو!$C$2:$C$500,MATCH($C5081,المنيو!$B$2:$B$500,0)),0))</f>
        <v/>
      </c>
      <c r="F5081" s="107" t="str">
        <f aca="false">IF($C5081="","",$D5081*$E5081)</f>
        <v/>
      </c>
      <c r="G5081" s="107" t="str">
        <f aca="false">IF($C5081="","",$D5081*IFERROR(INDEX('تحليل التكلفة والسعر'!$C$2:$C$700,MATCH($C5081,'تحليل التكلفة والسعر'!$B$2:$B$700,0)),0))</f>
        <v/>
      </c>
    </row>
    <row r="5082" customFormat="false" ht="15" hidden="false" customHeight="false" outlineLevel="0" collapsed="false">
      <c r="A5082" s="103"/>
      <c r="B5082" s="104"/>
      <c r="C5082" s="104"/>
      <c r="E5082" s="107" t="str">
        <f aca="false">IF($C5082="","",IFERROR(INDEX(المنيو!$C$2:$C$500,MATCH($C5082,المنيو!$B$2:$B$500,0)),0))</f>
        <v/>
      </c>
      <c r="F5082" s="107" t="str">
        <f aca="false">IF($C5082="","",$D5082*$E5082)</f>
        <v/>
      </c>
      <c r="G5082" s="107" t="str">
        <f aca="false">IF($C5082="","",$D5082*IFERROR(INDEX('تحليل التكلفة والسعر'!$C$2:$C$700,MATCH($C5082,'تحليل التكلفة والسعر'!$B$2:$B$700,0)),0))</f>
        <v/>
      </c>
    </row>
    <row r="5083" customFormat="false" ht="15" hidden="false" customHeight="false" outlineLevel="0" collapsed="false">
      <c r="A5083" s="103"/>
      <c r="B5083" s="104"/>
      <c r="C5083" s="104"/>
      <c r="E5083" s="107" t="str">
        <f aca="false">IF($C5083="","",IFERROR(INDEX(المنيو!$C$2:$C$500,MATCH($C5083,المنيو!$B$2:$B$500,0)),0))</f>
        <v/>
      </c>
      <c r="F5083" s="107" t="str">
        <f aca="false">IF($C5083="","",$D5083*$E5083)</f>
        <v/>
      </c>
      <c r="G5083" s="107" t="str">
        <f aca="false">IF($C5083="","",$D5083*IFERROR(INDEX('تحليل التكلفة والسعر'!$C$2:$C$700,MATCH($C5083,'تحليل التكلفة والسعر'!$B$2:$B$700,0)),0))</f>
        <v/>
      </c>
    </row>
    <row r="5084" customFormat="false" ht="15" hidden="false" customHeight="false" outlineLevel="0" collapsed="false">
      <c r="A5084" s="103"/>
      <c r="B5084" s="104"/>
      <c r="C5084" s="104"/>
      <c r="E5084" s="107" t="str">
        <f aca="false">IF($C5084="","",IFERROR(INDEX(المنيو!$C$2:$C$500,MATCH($C5084,المنيو!$B$2:$B$500,0)),0))</f>
        <v/>
      </c>
      <c r="F5084" s="107" t="str">
        <f aca="false">IF($C5084="","",$D5084*$E5084)</f>
        <v/>
      </c>
      <c r="G5084" s="107" t="str">
        <f aca="false">IF($C5084="","",$D5084*IFERROR(INDEX('تحليل التكلفة والسعر'!$C$2:$C$700,MATCH($C5084,'تحليل التكلفة والسعر'!$B$2:$B$700,0)),0))</f>
        <v/>
      </c>
    </row>
    <row r="5085" customFormat="false" ht="15" hidden="false" customHeight="false" outlineLevel="0" collapsed="false">
      <c r="A5085" s="103"/>
      <c r="B5085" s="104"/>
      <c r="C5085" s="104"/>
      <c r="E5085" s="107" t="str">
        <f aca="false">IF($C5085="","",IFERROR(INDEX(المنيو!$C$2:$C$500,MATCH($C5085,المنيو!$B$2:$B$500,0)),0))</f>
        <v/>
      </c>
      <c r="F5085" s="107" t="str">
        <f aca="false">IF($C5085="","",$D5085*$E5085)</f>
        <v/>
      </c>
      <c r="G5085" s="107" t="str">
        <f aca="false">IF($C5085="","",$D5085*IFERROR(INDEX('تحليل التكلفة والسعر'!$C$2:$C$700,MATCH($C5085,'تحليل التكلفة والسعر'!$B$2:$B$700,0)),0))</f>
        <v/>
      </c>
    </row>
    <row r="5086" customFormat="false" ht="15" hidden="false" customHeight="false" outlineLevel="0" collapsed="false">
      <c r="A5086" s="103"/>
      <c r="B5086" s="104"/>
      <c r="C5086" s="104"/>
      <c r="E5086" s="107" t="str">
        <f aca="false">IF($C5086="","",IFERROR(INDEX(المنيو!$C$2:$C$500,MATCH($C5086,المنيو!$B$2:$B$500,0)),0))</f>
        <v/>
      </c>
      <c r="F5086" s="107" t="str">
        <f aca="false">IF($C5086="","",$D5086*$E5086)</f>
        <v/>
      </c>
      <c r="G5086" s="107" t="str">
        <f aca="false">IF($C5086="","",$D5086*IFERROR(INDEX('تحليل التكلفة والسعر'!$C$2:$C$700,MATCH($C5086,'تحليل التكلفة والسعر'!$B$2:$B$700,0)),0))</f>
        <v/>
      </c>
    </row>
    <row r="5087" customFormat="false" ht="15" hidden="false" customHeight="false" outlineLevel="0" collapsed="false">
      <c r="A5087" s="103"/>
      <c r="B5087" s="104"/>
      <c r="C5087" s="104"/>
      <c r="E5087" s="107" t="str">
        <f aca="false">IF($C5087="","",IFERROR(INDEX(المنيو!$C$2:$C$500,MATCH($C5087,المنيو!$B$2:$B$500,0)),0))</f>
        <v/>
      </c>
      <c r="F5087" s="107" t="str">
        <f aca="false">IF($C5087="","",$D5087*$E5087)</f>
        <v/>
      </c>
      <c r="G5087" s="107" t="str">
        <f aca="false">IF($C5087="","",$D5087*IFERROR(INDEX('تحليل التكلفة والسعر'!$C$2:$C$700,MATCH($C5087,'تحليل التكلفة والسعر'!$B$2:$B$700,0)),0))</f>
        <v/>
      </c>
    </row>
    <row r="5088" customFormat="false" ht="15" hidden="false" customHeight="false" outlineLevel="0" collapsed="false">
      <c r="A5088" s="103"/>
      <c r="B5088" s="104"/>
      <c r="C5088" s="104"/>
      <c r="E5088" s="107" t="str">
        <f aca="false">IF($C5088="","",IFERROR(INDEX(المنيو!$C$2:$C$500,MATCH($C5088,المنيو!$B$2:$B$500,0)),0))</f>
        <v/>
      </c>
      <c r="F5088" s="107" t="str">
        <f aca="false">IF($C5088="","",$D5088*$E5088)</f>
        <v/>
      </c>
      <c r="G5088" s="107" t="str">
        <f aca="false">IF($C5088="","",$D5088*IFERROR(INDEX('تحليل التكلفة والسعر'!$C$2:$C$700,MATCH($C5088,'تحليل التكلفة والسعر'!$B$2:$B$700,0)),0))</f>
        <v/>
      </c>
    </row>
    <row r="5089" customFormat="false" ht="15" hidden="false" customHeight="false" outlineLevel="0" collapsed="false">
      <c r="A5089" s="103"/>
      <c r="B5089" s="104"/>
      <c r="C5089" s="104"/>
      <c r="E5089" s="107" t="str">
        <f aca="false">IF($C5089="","",IFERROR(INDEX(المنيو!$C$2:$C$500,MATCH($C5089,المنيو!$B$2:$B$500,0)),0))</f>
        <v/>
      </c>
      <c r="F5089" s="107" t="str">
        <f aca="false">IF($C5089="","",$D5089*$E5089)</f>
        <v/>
      </c>
      <c r="G5089" s="107" t="str">
        <f aca="false">IF($C5089="","",$D5089*IFERROR(INDEX('تحليل التكلفة والسعر'!$C$2:$C$700,MATCH($C5089,'تحليل التكلفة والسعر'!$B$2:$B$700,0)),0))</f>
        <v/>
      </c>
    </row>
    <row r="5090" customFormat="false" ht="15" hidden="false" customHeight="false" outlineLevel="0" collapsed="false">
      <c r="A5090" s="103"/>
      <c r="B5090" s="104"/>
      <c r="C5090" s="104"/>
      <c r="E5090" s="107" t="str">
        <f aca="false">IF($C5090="","",IFERROR(INDEX(المنيو!$C$2:$C$500,MATCH($C5090,المنيو!$B$2:$B$500,0)),0))</f>
        <v/>
      </c>
      <c r="F5090" s="107" t="str">
        <f aca="false">IF($C5090="","",$D5090*$E5090)</f>
        <v/>
      </c>
      <c r="G5090" s="107" t="str">
        <f aca="false">IF($C5090="","",$D5090*IFERROR(INDEX('تحليل التكلفة والسعر'!$C$2:$C$700,MATCH($C5090,'تحليل التكلفة والسعر'!$B$2:$B$700,0)),0))</f>
        <v/>
      </c>
    </row>
    <row r="5091" customFormat="false" ht="15" hidden="false" customHeight="false" outlineLevel="0" collapsed="false">
      <c r="A5091" s="103"/>
      <c r="B5091" s="104"/>
      <c r="C5091" s="104"/>
      <c r="E5091" s="107" t="str">
        <f aca="false">IF($C5091="","",IFERROR(INDEX(المنيو!$C$2:$C$500,MATCH($C5091,المنيو!$B$2:$B$500,0)),0))</f>
        <v/>
      </c>
      <c r="F5091" s="107" t="str">
        <f aca="false">IF($C5091="","",$D5091*$E5091)</f>
        <v/>
      </c>
      <c r="G5091" s="107" t="str">
        <f aca="false">IF($C5091="","",$D5091*IFERROR(INDEX('تحليل التكلفة والسعر'!$C$2:$C$700,MATCH($C5091,'تحليل التكلفة والسعر'!$B$2:$B$700,0)),0))</f>
        <v/>
      </c>
    </row>
    <row r="5092" customFormat="false" ht="15" hidden="false" customHeight="false" outlineLevel="0" collapsed="false">
      <c r="A5092" s="103"/>
      <c r="B5092" s="104"/>
      <c r="C5092" s="104"/>
      <c r="E5092" s="107" t="str">
        <f aca="false">IF($C5092="","",IFERROR(INDEX(المنيو!$C$2:$C$500,MATCH($C5092,المنيو!$B$2:$B$500,0)),0))</f>
        <v/>
      </c>
      <c r="F5092" s="107" t="str">
        <f aca="false">IF($C5092="","",$D5092*$E5092)</f>
        <v/>
      </c>
      <c r="G5092" s="107" t="str">
        <f aca="false">IF($C5092="","",$D5092*IFERROR(INDEX('تحليل التكلفة والسعر'!$C$2:$C$700,MATCH($C5092,'تحليل التكلفة والسعر'!$B$2:$B$700,0)),0))</f>
        <v/>
      </c>
    </row>
    <row r="5093" customFormat="false" ht="15" hidden="false" customHeight="false" outlineLevel="0" collapsed="false">
      <c r="A5093" s="103"/>
      <c r="B5093" s="104"/>
      <c r="C5093" s="104"/>
      <c r="E5093" s="107" t="str">
        <f aca="false">IF($C5093="","",IFERROR(INDEX(المنيو!$C$2:$C$500,MATCH($C5093,المنيو!$B$2:$B$500,0)),0))</f>
        <v/>
      </c>
      <c r="F5093" s="107" t="str">
        <f aca="false">IF($C5093="","",$D5093*$E5093)</f>
        <v/>
      </c>
      <c r="G5093" s="107" t="str">
        <f aca="false">IF($C5093="","",$D5093*IFERROR(INDEX('تحليل التكلفة والسعر'!$C$2:$C$700,MATCH($C5093,'تحليل التكلفة والسعر'!$B$2:$B$700,0)),0))</f>
        <v/>
      </c>
    </row>
    <row r="5094" customFormat="false" ht="15" hidden="false" customHeight="false" outlineLevel="0" collapsed="false">
      <c r="A5094" s="103"/>
      <c r="B5094" s="104"/>
      <c r="C5094" s="104"/>
      <c r="E5094" s="107" t="str">
        <f aca="false">IF($C5094="","",IFERROR(INDEX(المنيو!$C$2:$C$500,MATCH($C5094,المنيو!$B$2:$B$500,0)),0))</f>
        <v/>
      </c>
      <c r="F5094" s="107" t="str">
        <f aca="false">IF($C5094="","",$D5094*$E5094)</f>
        <v/>
      </c>
      <c r="G5094" s="107" t="str">
        <f aca="false">IF($C5094="","",$D5094*IFERROR(INDEX('تحليل التكلفة والسعر'!$C$2:$C$700,MATCH($C5094,'تحليل التكلفة والسعر'!$B$2:$B$700,0)),0))</f>
        <v/>
      </c>
    </row>
    <row r="5095" customFormat="false" ht="15" hidden="false" customHeight="false" outlineLevel="0" collapsed="false">
      <c r="A5095" s="103"/>
      <c r="B5095" s="104"/>
      <c r="C5095" s="104"/>
      <c r="E5095" s="107" t="str">
        <f aca="false">IF($C5095="","",IFERROR(INDEX(المنيو!$C$2:$C$500,MATCH($C5095,المنيو!$B$2:$B$500,0)),0))</f>
        <v/>
      </c>
      <c r="F5095" s="107" t="str">
        <f aca="false">IF($C5095="","",$D5095*$E5095)</f>
        <v/>
      </c>
      <c r="G5095" s="107" t="str">
        <f aca="false">IF($C5095="","",$D5095*IFERROR(INDEX('تحليل التكلفة والسعر'!$C$2:$C$700,MATCH($C5095,'تحليل التكلفة والسعر'!$B$2:$B$700,0)),0))</f>
        <v/>
      </c>
    </row>
    <row r="5096" customFormat="false" ht="15" hidden="false" customHeight="false" outlineLevel="0" collapsed="false">
      <c r="A5096" s="103"/>
      <c r="B5096" s="104"/>
      <c r="C5096" s="104"/>
      <c r="E5096" s="107" t="str">
        <f aca="false">IF($C5096="","",IFERROR(INDEX(المنيو!$C$2:$C$500,MATCH($C5096,المنيو!$B$2:$B$500,0)),0))</f>
        <v/>
      </c>
      <c r="F5096" s="107" t="str">
        <f aca="false">IF($C5096="","",$D5096*$E5096)</f>
        <v/>
      </c>
      <c r="G5096" s="107" t="str">
        <f aca="false">IF($C5096="","",$D5096*IFERROR(INDEX('تحليل التكلفة والسعر'!$C$2:$C$700,MATCH($C5096,'تحليل التكلفة والسعر'!$B$2:$B$700,0)),0))</f>
        <v/>
      </c>
    </row>
    <row r="5097" customFormat="false" ht="15" hidden="false" customHeight="false" outlineLevel="0" collapsed="false">
      <c r="A5097" s="103"/>
      <c r="B5097" s="104"/>
      <c r="C5097" s="104"/>
      <c r="E5097" s="107" t="str">
        <f aca="false">IF($C5097="","",IFERROR(INDEX(المنيو!$C$2:$C$500,MATCH($C5097,المنيو!$B$2:$B$500,0)),0))</f>
        <v/>
      </c>
      <c r="F5097" s="107" t="str">
        <f aca="false">IF($C5097="","",$D5097*$E5097)</f>
        <v/>
      </c>
      <c r="G5097" s="107" t="str">
        <f aca="false">IF($C5097="","",$D5097*IFERROR(INDEX('تحليل التكلفة والسعر'!$C$2:$C$700,MATCH($C5097,'تحليل التكلفة والسعر'!$B$2:$B$700,0)),0))</f>
        <v/>
      </c>
    </row>
    <row r="5098" customFormat="false" ht="15" hidden="false" customHeight="false" outlineLevel="0" collapsed="false">
      <c r="A5098" s="103"/>
      <c r="B5098" s="104"/>
      <c r="C5098" s="104"/>
      <c r="E5098" s="107" t="str">
        <f aca="false">IF($C5098="","",IFERROR(INDEX(المنيو!$C$2:$C$500,MATCH($C5098,المنيو!$B$2:$B$500,0)),0))</f>
        <v/>
      </c>
      <c r="F5098" s="107" t="str">
        <f aca="false">IF($C5098="","",$D5098*$E5098)</f>
        <v/>
      </c>
      <c r="G5098" s="107" t="str">
        <f aca="false">IF($C5098="","",$D5098*IFERROR(INDEX('تحليل التكلفة والسعر'!$C$2:$C$700,MATCH($C5098,'تحليل التكلفة والسعر'!$B$2:$B$700,0)),0))</f>
        <v/>
      </c>
    </row>
    <row r="5099" customFormat="false" ht="15" hidden="false" customHeight="false" outlineLevel="0" collapsed="false">
      <c r="A5099" s="103"/>
      <c r="B5099" s="104"/>
      <c r="C5099" s="104"/>
      <c r="E5099" s="107" t="str">
        <f aca="false">IF($C5099="","",IFERROR(INDEX(المنيو!$C$2:$C$500,MATCH($C5099,المنيو!$B$2:$B$500,0)),0))</f>
        <v/>
      </c>
      <c r="F5099" s="107" t="str">
        <f aca="false">IF($C5099="","",$D5099*$E5099)</f>
        <v/>
      </c>
      <c r="G5099" s="107" t="str">
        <f aca="false">IF($C5099="","",$D5099*IFERROR(INDEX('تحليل التكلفة والسعر'!$C$2:$C$700,MATCH($C5099,'تحليل التكلفة والسعر'!$B$2:$B$700,0)),0))</f>
        <v/>
      </c>
    </row>
    <row r="5100" customFormat="false" ht="15" hidden="false" customHeight="false" outlineLevel="0" collapsed="false">
      <c r="A5100" s="103"/>
      <c r="B5100" s="104"/>
      <c r="C5100" s="104"/>
      <c r="E5100" s="107" t="str">
        <f aca="false">IF($C5100="","",IFERROR(INDEX(المنيو!$C$2:$C$500,MATCH($C5100,المنيو!$B$2:$B$500,0)),0))</f>
        <v/>
      </c>
      <c r="F5100" s="107" t="str">
        <f aca="false">IF($C5100="","",$D5100*$E5100)</f>
        <v/>
      </c>
      <c r="G5100" s="107" t="str">
        <f aca="false">IF($C5100="","",$D5100*IFERROR(INDEX('تحليل التكلفة والسعر'!$C$2:$C$700,MATCH($C5100,'تحليل التكلفة والسعر'!$B$2:$B$700,0)),0))</f>
        <v/>
      </c>
    </row>
    <row r="5101" customFormat="false" ht="15" hidden="false" customHeight="false" outlineLevel="0" collapsed="false">
      <c r="A5101" s="103"/>
      <c r="B5101" s="104"/>
      <c r="C5101" s="104"/>
      <c r="E5101" s="107" t="str">
        <f aca="false">IF($C5101="","",IFERROR(INDEX(المنيو!$C$2:$C$500,MATCH($C5101,المنيو!$B$2:$B$500,0)),0))</f>
        <v/>
      </c>
      <c r="F5101" s="107" t="str">
        <f aca="false">IF($C5101="","",$D5101*$E5101)</f>
        <v/>
      </c>
      <c r="G5101" s="107" t="str">
        <f aca="false">IF($C5101="","",$D5101*IFERROR(INDEX('تحليل التكلفة والسعر'!$C$2:$C$700,MATCH($C5101,'تحليل التكلفة والسعر'!$B$2:$B$700,0)),0))</f>
        <v/>
      </c>
    </row>
    <row r="5102" customFormat="false" ht="15" hidden="false" customHeight="false" outlineLevel="0" collapsed="false">
      <c r="A5102" s="103"/>
      <c r="B5102" s="104"/>
      <c r="C5102" s="104"/>
      <c r="E5102" s="107" t="str">
        <f aca="false">IF($C5102="","",IFERROR(INDEX(المنيو!$C$2:$C$500,MATCH($C5102,المنيو!$B$2:$B$500,0)),0))</f>
        <v/>
      </c>
      <c r="F5102" s="107" t="str">
        <f aca="false">IF($C5102="","",$D5102*$E5102)</f>
        <v/>
      </c>
      <c r="G5102" s="107" t="str">
        <f aca="false">IF($C5102="","",$D5102*IFERROR(INDEX('تحليل التكلفة والسعر'!$C$2:$C$700,MATCH($C5102,'تحليل التكلفة والسعر'!$B$2:$B$700,0)),0))</f>
        <v/>
      </c>
    </row>
    <row r="5103" customFormat="false" ht="15" hidden="false" customHeight="false" outlineLevel="0" collapsed="false">
      <c r="A5103" s="103"/>
      <c r="B5103" s="104"/>
      <c r="C5103" s="104"/>
      <c r="E5103" s="107" t="str">
        <f aca="false">IF($C5103="","",IFERROR(INDEX(المنيو!$C$2:$C$500,MATCH($C5103,المنيو!$B$2:$B$500,0)),0))</f>
        <v/>
      </c>
      <c r="F5103" s="107" t="str">
        <f aca="false">IF($C5103="","",$D5103*$E5103)</f>
        <v/>
      </c>
      <c r="G5103" s="107" t="str">
        <f aca="false">IF($C5103="","",$D5103*IFERROR(INDEX('تحليل التكلفة والسعر'!$C$2:$C$700,MATCH($C5103,'تحليل التكلفة والسعر'!$B$2:$B$700,0)),0))</f>
        <v/>
      </c>
    </row>
    <row r="5104" customFormat="false" ht="15" hidden="false" customHeight="false" outlineLevel="0" collapsed="false">
      <c r="A5104" s="103"/>
      <c r="B5104" s="104"/>
      <c r="C5104" s="104"/>
      <c r="E5104" s="107" t="str">
        <f aca="false">IF($C5104="","",IFERROR(INDEX(المنيو!$C$2:$C$500,MATCH($C5104,المنيو!$B$2:$B$500,0)),0))</f>
        <v/>
      </c>
      <c r="F5104" s="107" t="str">
        <f aca="false">IF($C5104="","",$D5104*$E5104)</f>
        <v/>
      </c>
      <c r="G5104" s="107" t="str">
        <f aca="false">IF($C5104="","",$D5104*IFERROR(INDEX('تحليل التكلفة والسعر'!$C$2:$C$700,MATCH($C5104,'تحليل التكلفة والسعر'!$B$2:$B$700,0)),0))</f>
        <v/>
      </c>
    </row>
    <row r="5105" customFormat="false" ht="15" hidden="false" customHeight="false" outlineLevel="0" collapsed="false">
      <c r="A5105" s="103"/>
      <c r="B5105" s="104"/>
      <c r="C5105" s="104"/>
      <c r="E5105" s="107" t="str">
        <f aca="false">IF($C5105="","",IFERROR(INDEX(المنيو!$C$2:$C$500,MATCH($C5105,المنيو!$B$2:$B$500,0)),0))</f>
        <v/>
      </c>
      <c r="F5105" s="107" t="str">
        <f aca="false">IF($C5105="","",$D5105*$E5105)</f>
        <v/>
      </c>
      <c r="G5105" s="107" t="str">
        <f aca="false">IF($C5105="","",$D5105*IFERROR(INDEX('تحليل التكلفة والسعر'!$C$2:$C$700,MATCH($C5105,'تحليل التكلفة والسعر'!$B$2:$B$700,0)),0))</f>
        <v/>
      </c>
    </row>
    <row r="5106" customFormat="false" ht="15" hidden="false" customHeight="false" outlineLevel="0" collapsed="false">
      <c r="A5106" s="103"/>
      <c r="B5106" s="104"/>
      <c r="C5106" s="104"/>
      <c r="E5106" s="107" t="str">
        <f aca="false">IF($C5106="","",IFERROR(INDEX(المنيو!$C$2:$C$500,MATCH($C5106,المنيو!$B$2:$B$500,0)),0))</f>
        <v/>
      </c>
      <c r="F5106" s="107" t="str">
        <f aca="false">IF($C5106="","",$D5106*$E5106)</f>
        <v/>
      </c>
      <c r="G5106" s="107" t="str">
        <f aca="false">IF($C5106="","",$D5106*IFERROR(INDEX('تحليل التكلفة والسعر'!$C$2:$C$700,MATCH($C5106,'تحليل التكلفة والسعر'!$B$2:$B$700,0)),0))</f>
        <v/>
      </c>
    </row>
    <row r="5107" customFormat="false" ht="15" hidden="false" customHeight="false" outlineLevel="0" collapsed="false">
      <c r="A5107" s="103"/>
      <c r="B5107" s="104"/>
      <c r="C5107" s="104"/>
      <c r="E5107" s="107" t="str">
        <f aca="false">IF($C5107="","",IFERROR(INDEX(المنيو!$C$2:$C$500,MATCH($C5107,المنيو!$B$2:$B$500,0)),0))</f>
        <v/>
      </c>
      <c r="F5107" s="107" t="str">
        <f aca="false">IF($C5107="","",$D5107*$E5107)</f>
        <v/>
      </c>
      <c r="G5107" s="107" t="str">
        <f aca="false">IF($C5107="","",$D5107*IFERROR(INDEX('تحليل التكلفة والسعر'!$C$2:$C$700,MATCH($C5107,'تحليل التكلفة والسعر'!$B$2:$B$700,0)),0))</f>
        <v/>
      </c>
    </row>
    <row r="5108" customFormat="false" ht="15" hidden="false" customHeight="false" outlineLevel="0" collapsed="false">
      <c r="A5108" s="103"/>
      <c r="B5108" s="104"/>
      <c r="C5108" s="104"/>
      <c r="E5108" s="107" t="str">
        <f aca="false">IF($C5108="","",IFERROR(INDEX(المنيو!$C$2:$C$500,MATCH($C5108,المنيو!$B$2:$B$500,0)),0))</f>
        <v/>
      </c>
      <c r="F5108" s="107" t="str">
        <f aca="false">IF($C5108="","",$D5108*$E5108)</f>
        <v/>
      </c>
      <c r="G5108" s="107" t="str">
        <f aca="false">IF($C5108="","",$D5108*IFERROR(INDEX('تحليل التكلفة والسعر'!$C$2:$C$700,MATCH($C5108,'تحليل التكلفة والسعر'!$B$2:$B$700,0)),0))</f>
        <v/>
      </c>
    </row>
    <row r="5109" customFormat="false" ht="15" hidden="false" customHeight="false" outlineLevel="0" collapsed="false">
      <c r="A5109" s="103"/>
      <c r="B5109" s="104"/>
      <c r="C5109" s="104"/>
      <c r="E5109" s="107" t="str">
        <f aca="false">IF($C5109="","",IFERROR(INDEX(المنيو!$C$2:$C$500,MATCH($C5109,المنيو!$B$2:$B$500,0)),0))</f>
        <v/>
      </c>
      <c r="F5109" s="107" t="str">
        <f aca="false">IF($C5109="","",$D5109*$E5109)</f>
        <v/>
      </c>
      <c r="G5109" s="107" t="str">
        <f aca="false">IF($C5109="","",$D5109*IFERROR(INDEX('تحليل التكلفة والسعر'!$C$2:$C$700,MATCH($C5109,'تحليل التكلفة والسعر'!$B$2:$B$700,0)),0))</f>
        <v/>
      </c>
    </row>
    <row r="5110" customFormat="false" ht="15" hidden="false" customHeight="false" outlineLevel="0" collapsed="false">
      <c r="A5110" s="103"/>
      <c r="B5110" s="104"/>
      <c r="C5110" s="104"/>
      <c r="E5110" s="107" t="str">
        <f aca="false">IF($C5110="","",IFERROR(INDEX(المنيو!$C$2:$C$500,MATCH($C5110,المنيو!$B$2:$B$500,0)),0))</f>
        <v/>
      </c>
      <c r="F5110" s="107" t="str">
        <f aca="false">IF($C5110="","",$D5110*$E5110)</f>
        <v/>
      </c>
      <c r="G5110" s="107" t="str">
        <f aca="false">IF($C5110="","",$D5110*IFERROR(INDEX('تحليل التكلفة والسعر'!$C$2:$C$700,MATCH($C5110,'تحليل التكلفة والسعر'!$B$2:$B$700,0)),0))</f>
        <v/>
      </c>
    </row>
    <row r="5111" customFormat="false" ht="15" hidden="false" customHeight="false" outlineLevel="0" collapsed="false">
      <c r="A5111" s="103"/>
      <c r="B5111" s="104"/>
      <c r="C5111" s="104"/>
      <c r="E5111" s="107" t="str">
        <f aca="false">IF($C5111="","",IFERROR(INDEX(المنيو!$C$2:$C$500,MATCH($C5111,المنيو!$B$2:$B$500,0)),0))</f>
        <v/>
      </c>
      <c r="F5111" s="107" t="str">
        <f aca="false">IF($C5111="","",$D5111*$E5111)</f>
        <v/>
      </c>
      <c r="G5111" s="107" t="str">
        <f aca="false">IF($C5111="","",$D5111*IFERROR(INDEX('تحليل التكلفة والسعر'!$C$2:$C$700,MATCH($C5111,'تحليل التكلفة والسعر'!$B$2:$B$700,0)),0))</f>
        <v/>
      </c>
    </row>
    <row r="5112" customFormat="false" ht="15" hidden="false" customHeight="false" outlineLevel="0" collapsed="false">
      <c r="A5112" s="103"/>
      <c r="B5112" s="104"/>
      <c r="C5112" s="104"/>
      <c r="E5112" s="107" t="str">
        <f aca="false">IF($C5112="","",IFERROR(INDEX(المنيو!$C$2:$C$500,MATCH($C5112,المنيو!$B$2:$B$500,0)),0))</f>
        <v/>
      </c>
      <c r="F5112" s="107" t="str">
        <f aca="false">IF($C5112="","",$D5112*$E5112)</f>
        <v/>
      </c>
      <c r="G5112" s="107" t="str">
        <f aca="false">IF($C5112="","",$D5112*IFERROR(INDEX('تحليل التكلفة والسعر'!$C$2:$C$700,MATCH($C5112,'تحليل التكلفة والسعر'!$B$2:$B$700,0)),0))</f>
        <v/>
      </c>
    </row>
    <row r="5113" customFormat="false" ht="15" hidden="false" customHeight="false" outlineLevel="0" collapsed="false">
      <c r="A5113" s="103"/>
      <c r="B5113" s="104"/>
      <c r="C5113" s="104"/>
      <c r="E5113" s="107" t="str">
        <f aca="false">IF($C5113="","",IFERROR(INDEX(المنيو!$C$2:$C$500,MATCH($C5113,المنيو!$B$2:$B$500,0)),0))</f>
        <v/>
      </c>
      <c r="F5113" s="107" t="str">
        <f aca="false">IF($C5113="","",$D5113*$E5113)</f>
        <v/>
      </c>
      <c r="G5113" s="107" t="str">
        <f aca="false">IF($C5113="","",$D5113*IFERROR(INDEX('تحليل التكلفة والسعر'!$C$2:$C$700,MATCH($C5113,'تحليل التكلفة والسعر'!$B$2:$B$700,0)),0))</f>
        <v/>
      </c>
    </row>
    <row r="5114" customFormat="false" ht="15" hidden="false" customHeight="false" outlineLevel="0" collapsed="false">
      <c r="A5114" s="103"/>
      <c r="B5114" s="104"/>
      <c r="C5114" s="104"/>
      <c r="E5114" s="107" t="str">
        <f aca="false">IF($C5114="","",IFERROR(INDEX(المنيو!$C$2:$C$500,MATCH($C5114,المنيو!$B$2:$B$500,0)),0))</f>
        <v/>
      </c>
      <c r="F5114" s="107" t="str">
        <f aca="false">IF($C5114="","",$D5114*$E5114)</f>
        <v/>
      </c>
      <c r="G5114" s="107" t="str">
        <f aca="false">IF($C5114="","",$D5114*IFERROR(INDEX('تحليل التكلفة والسعر'!$C$2:$C$700,MATCH($C5114,'تحليل التكلفة والسعر'!$B$2:$B$700,0)),0))</f>
        <v/>
      </c>
    </row>
    <row r="5115" customFormat="false" ht="15" hidden="false" customHeight="false" outlineLevel="0" collapsed="false">
      <c r="A5115" s="103"/>
      <c r="B5115" s="104"/>
      <c r="C5115" s="104"/>
      <c r="E5115" s="107" t="str">
        <f aca="false">IF($C5115="","",IFERROR(INDEX(المنيو!$C$2:$C$500,MATCH($C5115,المنيو!$B$2:$B$500,0)),0))</f>
        <v/>
      </c>
      <c r="F5115" s="107" t="str">
        <f aca="false">IF($C5115="","",$D5115*$E5115)</f>
        <v/>
      </c>
      <c r="G5115" s="107" t="str">
        <f aca="false">IF($C5115="","",$D5115*IFERROR(INDEX('تحليل التكلفة والسعر'!$C$2:$C$700,MATCH($C5115,'تحليل التكلفة والسعر'!$B$2:$B$700,0)),0))</f>
        <v/>
      </c>
    </row>
    <row r="5116" customFormat="false" ht="15" hidden="false" customHeight="false" outlineLevel="0" collapsed="false">
      <c r="A5116" s="103"/>
      <c r="B5116" s="104"/>
      <c r="C5116" s="104"/>
      <c r="E5116" s="107" t="str">
        <f aca="false">IF($C5116="","",IFERROR(INDEX(المنيو!$C$2:$C$500,MATCH($C5116,المنيو!$B$2:$B$500,0)),0))</f>
        <v/>
      </c>
      <c r="F5116" s="107" t="str">
        <f aca="false">IF($C5116="","",$D5116*$E5116)</f>
        <v/>
      </c>
      <c r="G5116" s="107" t="str">
        <f aca="false">IF($C5116="","",$D5116*IFERROR(INDEX('تحليل التكلفة والسعر'!$C$2:$C$700,MATCH($C5116,'تحليل التكلفة والسعر'!$B$2:$B$700,0)),0))</f>
        <v/>
      </c>
    </row>
    <row r="5117" customFormat="false" ht="15" hidden="false" customHeight="false" outlineLevel="0" collapsed="false">
      <c r="A5117" s="103"/>
      <c r="B5117" s="104"/>
      <c r="C5117" s="104"/>
      <c r="E5117" s="107" t="str">
        <f aca="false">IF($C5117="","",IFERROR(INDEX(المنيو!$C$2:$C$500,MATCH($C5117,المنيو!$B$2:$B$500,0)),0))</f>
        <v/>
      </c>
      <c r="F5117" s="107" t="str">
        <f aca="false">IF($C5117="","",$D5117*$E5117)</f>
        <v/>
      </c>
      <c r="G5117" s="107" t="str">
        <f aca="false">IF($C5117="","",$D5117*IFERROR(INDEX('تحليل التكلفة والسعر'!$C$2:$C$700,MATCH($C5117,'تحليل التكلفة والسعر'!$B$2:$B$700,0)),0))</f>
        <v/>
      </c>
    </row>
    <row r="5118" customFormat="false" ht="15" hidden="false" customHeight="false" outlineLevel="0" collapsed="false">
      <c r="A5118" s="103"/>
      <c r="B5118" s="104"/>
      <c r="C5118" s="104"/>
      <c r="E5118" s="107" t="str">
        <f aca="false">IF($C5118="","",IFERROR(INDEX(المنيو!$C$2:$C$500,MATCH($C5118,المنيو!$B$2:$B$500,0)),0))</f>
        <v/>
      </c>
      <c r="F5118" s="107" t="str">
        <f aca="false">IF($C5118="","",$D5118*$E5118)</f>
        <v/>
      </c>
      <c r="G5118" s="107" t="str">
        <f aca="false">IF($C5118="","",$D5118*IFERROR(INDEX('تحليل التكلفة والسعر'!$C$2:$C$700,MATCH($C5118,'تحليل التكلفة والسعر'!$B$2:$B$700,0)),0))</f>
        <v/>
      </c>
    </row>
    <row r="5119" customFormat="false" ht="15" hidden="false" customHeight="false" outlineLevel="0" collapsed="false">
      <c r="A5119" s="103"/>
      <c r="B5119" s="104"/>
      <c r="C5119" s="104"/>
      <c r="E5119" s="107" t="str">
        <f aca="false">IF($C5119="","",IFERROR(INDEX(المنيو!$C$2:$C$500,MATCH($C5119,المنيو!$B$2:$B$500,0)),0))</f>
        <v/>
      </c>
      <c r="F5119" s="107" t="str">
        <f aca="false">IF($C5119="","",$D5119*$E5119)</f>
        <v/>
      </c>
      <c r="G5119" s="107" t="str">
        <f aca="false">IF($C5119="","",$D5119*IFERROR(INDEX('تحليل التكلفة والسعر'!$C$2:$C$700,MATCH($C5119,'تحليل التكلفة والسعر'!$B$2:$B$700,0)),0))</f>
        <v/>
      </c>
    </row>
    <row r="5120" customFormat="false" ht="15" hidden="false" customHeight="false" outlineLevel="0" collapsed="false">
      <c r="A5120" s="103"/>
      <c r="B5120" s="104"/>
      <c r="C5120" s="104"/>
      <c r="E5120" s="107" t="str">
        <f aca="false">IF($C5120="","",IFERROR(INDEX(المنيو!$C$2:$C$500,MATCH($C5120,المنيو!$B$2:$B$500,0)),0))</f>
        <v/>
      </c>
      <c r="F5120" s="107" t="str">
        <f aca="false">IF($C5120="","",$D5120*$E5120)</f>
        <v/>
      </c>
      <c r="G5120" s="107" t="str">
        <f aca="false">IF($C5120="","",$D5120*IFERROR(INDEX('تحليل التكلفة والسعر'!$C$2:$C$700,MATCH($C5120,'تحليل التكلفة والسعر'!$B$2:$B$700,0)),0))</f>
        <v/>
      </c>
    </row>
    <row r="5121" customFormat="false" ht="15" hidden="false" customHeight="false" outlineLevel="0" collapsed="false">
      <c r="A5121" s="103"/>
      <c r="B5121" s="104"/>
      <c r="C5121" s="104"/>
      <c r="E5121" s="107" t="str">
        <f aca="false">IF($C5121="","",IFERROR(INDEX(المنيو!$C$2:$C$500,MATCH($C5121,المنيو!$B$2:$B$500,0)),0))</f>
        <v/>
      </c>
      <c r="F5121" s="107" t="str">
        <f aca="false">IF($C5121="","",$D5121*$E5121)</f>
        <v/>
      </c>
      <c r="G5121" s="107" t="str">
        <f aca="false">IF($C5121="","",$D5121*IFERROR(INDEX('تحليل التكلفة والسعر'!$C$2:$C$700,MATCH($C5121,'تحليل التكلفة والسعر'!$B$2:$B$700,0)),0))</f>
        <v/>
      </c>
    </row>
    <row r="5122" customFormat="false" ht="15" hidden="false" customHeight="false" outlineLevel="0" collapsed="false">
      <c r="A5122" s="103"/>
      <c r="B5122" s="104"/>
      <c r="C5122" s="104"/>
      <c r="E5122" s="107" t="str">
        <f aca="false">IF($C5122="","",IFERROR(INDEX(المنيو!$C$2:$C$500,MATCH($C5122,المنيو!$B$2:$B$500,0)),0))</f>
        <v/>
      </c>
      <c r="F5122" s="107" t="str">
        <f aca="false">IF($C5122="","",$D5122*$E5122)</f>
        <v/>
      </c>
      <c r="G5122" s="107" t="str">
        <f aca="false">IF($C5122="","",$D5122*IFERROR(INDEX('تحليل التكلفة والسعر'!$C$2:$C$700,MATCH($C5122,'تحليل التكلفة والسعر'!$B$2:$B$700,0)),0))</f>
        <v/>
      </c>
    </row>
    <row r="5123" customFormat="false" ht="15" hidden="false" customHeight="false" outlineLevel="0" collapsed="false">
      <c r="A5123" s="103"/>
      <c r="B5123" s="104"/>
      <c r="C5123" s="104"/>
      <c r="E5123" s="107" t="str">
        <f aca="false">IF($C5123="","",IFERROR(INDEX(المنيو!$C$2:$C$500,MATCH($C5123,المنيو!$B$2:$B$500,0)),0))</f>
        <v/>
      </c>
      <c r="F5123" s="107" t="str">
        <f aca="false">IF($C5123="","",$D5123*$E5123)</f>
        <v/>
      </c>
      <c r="G5123" s="107" t="str">
        <f aca="false">IF($C5123="","",$D5123*IFERROR(INDEX('تحليل التكلفة والسعر'!$C$2:$C$700,MATCH($C5123,'تحليل التكلفة والسعر'!$B$2:$B$700,0)),0))</f>
        <v/>
      </c>
    </row>
    <row r="5124" customFormat="false" ht="15" hidden="false" customHeight="false" outlineLevel="0" collapsed="false">
      <c r="A5124" s="103"/>
      <c r="B5124" s="104"/>
      <c r="C5124" s="104"/>
      <c r="E5124" s="107" t="str">
        <f aca="false">IF($C5124="","",IFERROR(INDEX(المنيو!$C$2:$C$500,MATCH($C5124,المنيو!$B$2:$B$500,0)),0))</f>
        <v/>
      </c>
      <c r="F5124" s="107" t="str">
        <f aca="false">IF($C5124="","",$D5124*$E5124)</f>
        <v/>
      </c>
      <c r="G5124" s="107" t="str">
        <f aca="false">IF($C5124="","",$D5124*IFERROR(INDEX('تحليل التكلفة والسعر'!$C$2:$C$700,MATCH($C5124,'تحليل التكلفة والسعر'!$B$2:$B$700,0)),0))</f>
        <v/>
      </c>
    </row>
    <row r="5125" customFormat="false" ht="15" hidden="false" customHeight="false" outlineLevel="0" collapsed="false">
      <c r="A5125" s="103"/>
      <c r="B5125" s="104"/>
      <c r="C5125" s="104"/>
      <c r="E5125" s="107" t="str">
        <f aca="false">IF($C5125="","",IFERROR(INDEX(المنيو!$C$2:$C$500,MATCH($C5125,المنيو!$B$2:$B$500,0)),0))</f>
        <v/>
      </c>
      <c r="F5125" s="107" t="str">
        <f aca="false">IF($C5125="","",$D5125*$E5125)</f>
        <v/>
      </c>
      <c r="G5125" s="107" t="str">
        <f aca="false">IF($C5125="","",$D5125*IFERROR(INDEX('تحليل التكلفة والسعر'!$C$2:$C$700,MATCH($C5125,'تحليل التكلفة والسعر'!$B$2:$B$700,0)),0))</f>
        <v/>
      </c>
    </row>
    <row r="5126" customFormat="false" ht="15" hidden="false" customHeight="false" outlineLevel="0" collapsed="false">
      <c r="A5126" s="103"/>
      <c r="B5126" s="104"/>
      <c r="C5126" s="104"/>
      <c r="E5126" s="107" t="str">
        <f aca="false">IF($C5126="","",IFERROR(INDEX(المنيو!$C$2:$C$500,MATCH($C5126,المنيو!$B$2:$B$500,0)),0))</f>
        <v/>
      </c>
      <c r="F5126" s="107" t="str">
        <f aca="false">IF($C5126="","",$D5126*$E5126)</f>
        <v/>
      </c>
      <c r="G5126" s="107" t="str">
        <f aca="false">IF($C5126="","",$D5126*IFERROR(INDEX('تحليل التكلفة والسعر'!$C$2:$C$700,MATCH($C5126,'تحليل التكلفة والسعر'!$B$2:$B$700,0)),0))</f>
        <v/>
      </c>
    </row>
    <row r="5127" customFormat="false" ht="15" hidden="false" customHeight="false" outlineLevel="0" collapsed="false">
      <c r="A5127" s="103"/>
      <c r="B5127" s="104"/>
      <c r="C5127" s="104"/>
      <c r="E5127" s="107" t="str">
        <f aca="false">IF($C5127="","",IFERROR(INDEX(المنيو!$C$2:$C$500,MATCH($C5127,المنيو!$B$2:$B$500,0)),0))</f>
        <v/>
      </c>
      <c r="F5127" s="107" t="str">
        <f aca="false">IF($C5127="","",$D5127*$E5127)</f>
        <v/>
      </c>
      <c r="G5127" s="107" t="str">
        <f aca="false">IF($C5127="","",$D5127*IFERROR(INDEX('تحليل التكلفة والسعر'!$C$2:$C$700,MATCH($C5127,'تحليل التكلفة والسعر'!$B$2:$B$700,0)),0))</f>
        <v/>
      </c>
    </row>
    <row r="5128" customFormat="false" ht="15" hidden="false" customHeight="false" outlineLevel="0" collapsed="false">
      <c r="A5128" s="103"/>
      <c r="B5128" s="104"/>
      <c r="C5128" s="104"/>
      <c r="E5128" s="107" t="str">
        <f aca="false">IF($C5128="","",IFERROR(INDEX(المنيو!$C$2:$C$500,MATCH($C5128,المنيو!$B$2:$B$500,0)),0))</f>
        <v/>
      </c>
      <c r="F5128" s="107" t="str">
        <f aca="false">IF($C5128="","",$D5128*$E5128)</f>
        <v/>
      </c>
      <c r="G5128" s="107" t="str">
        <f aca="false">IF($C5128="","",$D5128*IFERROR(INDEX('تحليل التكلفة والسعر'!$C$2:$C$700,MATCH($C5128,'تحليل التكلفة والسعر'!$B$2:$B$700,0)),0))</f>
        <v/>
      </c>
    </row>
    <row r="5129" customFormat="false" ht="15" hidden="false" customHeight="false" outlineLevel="0" collapsed="false">
      <c r="A5129" s="103"/>
      <c r="B5129" s="104"/>
      <c r="C5129" s="104"/>
      <c r="E5129" s="107" t="str">
        <f aca="false">IF($C5129="","",IFERROR(INDEX(المنيو!$C$2:$C$500,MATCH($C5129,المنيو!$B$2:$B$500,0)),0))</f>
        <v/>
      </c>
      <c r="F5129" s="107" t="str">
        <f aca="false">IF($C5129="","",$D5129*$E5129)</f>
        <v/>
      </c>
      <c r="G5129" s="107" t="str">
        <f aca="false">IF($C5129="","",$D5129*IFERROR(INDEX('تحليل التكلفة والسعر'!$C$2:$C$700,MATCH($C5129,'تحليل التكلفة والسعر'!$B$2:$B$700,0)),0))</f>
        <v/>
      </c>
    </row>
    <row r="5130" customFormat="false" ht="15" hidden="false" customHeight="false" outlineLevel="0" collapsed="false">
      <c r="A5130" s="103"/>
      <c r="B5130" s="104"/>
      <c r="C5130" s="104"/>
      <c r="E5130" s="107" t="str">
        <f aca="false">IF($C5130="","",IFERROR(INDEX(المنيو!$C$2:$C$500,MATCH($C5130,المنيو!$B$2:$B$500,0)),0))</f>
        <v/>
      </c>
      <c r="F5130" s="107" t="str">
        <f aca="false">IF($C5130="","",$D5130*$E5130)</f>
        <v/>
      </c>
      <c r="G5130" s="107" t="str">
        <f aca="false">IF($C5130="","",$D5130*IFERROR(INDEX('تحليل التكلفة والسعر'!$C$2:$C$700,MATCH($C5130,'تحليل التكلفة والسعر'!$B$2:$B$700,0)),0))</f>
        <v/>
      </c>
    </row>
    <row r="5131" customFormat="false" ht="15" hidden="false" customHeight="false" outlineLevel="0" collapsed="false">
      <c r="A5131" s="103"/>
      <c r="B5131" s="104"/>
      <c r="C5131" s="104"/>
      <c r="E5131" s="107" t="str">
        <f aca="false">IF($C5131="","",IFERROR(INDEX(المنيو!$C$2:$C$500,MATCH($C5131,المنيو!$B$2:$B$500,0)),0))</f>
        <v/>
      </c>
      <c r="F5131" s="107" t="str">
        <f aca="false">IF($C5131="","",$D5131*$E5131)</f>
        <v/>
      </c>
      <c r="G5131" s="107" t="str">
        <f aca="false">IF($C5131="","",$D5131*IFERROR(INDEX('تحليل التكلفة والسعر'!$C$2:$C$700,MATCH($C5131,'تحليل التكلفة والسعر'!$B$2:$B$700,0)),0))</f>
        <v/>
      </c>
    </row>
    <row r="5132" customFormat="false" ht="15" hidden="false" customHeight="false" outlineLevel="0" collapsed="false">
      <c r="A5132" s="103"/>
      <c r="B5132" s="104"/>
      <c r="C5132" s="104"/>
      <c r="E5132" s="107" t="str">
        <f aca="false">IF($C5132="","",IFERROR(INDEX(المنيو!$C$2:$C$500,MATCH($C5132,المنيو!$B$2:$B$500,0)),0))</f>
        <v/>
      </c>
      <c r="F5132" s="107" t="str">
        <f aca="false">IF($C5132="","",$D5132*$E5132)</f>
        <v/>
      </c>
      <c r="G5132" s="107" t="str">
        <f aca="false">IF($C5132="","",$D5132*IFERROR(INDEX('تحليل التكلفة والسعر'!$C$2:$C$700,MATCH($C5132,'تحليل التكلفة والسعر'!$B$2:$B$700,0)),0))</f>
        <v/>
      </c>
    </row>
    <row r="5133" customFormat="false" ht="15" hidden="false" customHeight="false" outlineLevel="0" collapsed="false">
      <c r="A5133" s="103"/>
      <c r="B5133" s="104"/>
      <c r="C5133" s="104"/>
      <c r="E5133" s="107" t="str">
        <f aca="false">IF($C5133="","",IFERROR(INDEX(المنيو!$C$2:$C$500,MATCH($C5133,المنيو!$B$2:$B$500,0)),0))</f>
        <v/>
      </c>
      <c r="F5133" s="107" t="str">
        <f aca="false">IF($C5133="","",$D5133*$E5133)</f>
        <v/>
      </c>
      <c r="G5133" s="107" t="str">
        <f aca="false">IF($C5133="","",$D5133*IFERROR(INDEX('تحليل التكلفة والسعر'!$C$2:$C$700,MATCH($C5133,'تحليل التكلفة والسعر'!$B$2:$B$700,0)),0))</f>
        <v/>
      </c>
    </row>
    <row r="5134" customFormat="false" ht="15" hidden="false" customHeight="false" outlineLevel="0" collapsed="false">
      <c r="A5134" s="103"/>
      <c r="B5134" s="104"/>
      <c r="C5134" s="104"/>
      <c r="E5134" s="107" t="str">
        <f aca="false">IF($C5134="","",IFERROR(INDEX(المنيو!$C$2:$C$500,MATCH($C5134,المنيو!$B$2:$B$500,0)),0))</f>
        <v/>
      </c>
      <c r="F5134" s="107" t="str">
        <f aca="false">IF($C5134="","",$D5134*$E5134)</f>
        <v/>
      </c>
      <c r="G5134" s="107" t="str">
        <f aca="false">IF($C5134="","",$D5134*IFERROR(INDEX('تحليل التكلفة والسعر'!$C$2:$C$700,MATCH($C5134,'تحليل التكلفة والسعر'!$B$2:$B$700,0)),0))</f>
        <v/>
      </c>
    </row>
    <row r="5135" customFormat="false" ht="15" hidden="false" customHeight="false" outlineLevel="0" collapsed="false">
      <c r="A5135" s="103"/>
      <c r="B5135" s="104"/>
      <c r="C5135" s="104"/>
      <c r="E5135" s="107" t="str">
        <f aca="false">IF($C5135="","",IFERROR(INDEX(المنيو!$C$2:$C$500,MATCH($C5135,المنيو!$B$2:$B$500,0)),0))</f>
        <v/>
      </c>
      <c r="F5135" s="107" t="str">
        <f aca="false">IF($C5135="","",$D5135*$E5135)</f>
        <v/>
      </c>
      <c r="G5135" s="107" t="str">
        <f aca="false">IF($C5135="","",$D5135*IFERROR(INDEX('تحليل التكلفة والسعر'!$C$2:$C$700,MATCH($C5135,'تحليل التكلفة والسعر'!$B$2:$B$700,0)),0))</f>
        <v/>
      </c>
    </row>
    <row r="5136" customFormat="false" ht="15" hidden="false" customHeight="false" outlineLevel="0" collapsed="false">
      <c r="A5136" s="103"/>
      <c r="B5136" s="104"/>
      <c r="C5136" s="104"/>
      <c r="E5136" s="107" t="str">
        <f aca="false">IF($C5136="","",IFERROR(INDEX(المنيو!$C$2:$C$500,MATCH($C5136,المنيو!$B$2:$B$500,0)),0))</f>
        <v/>
      </c>
      <c r="F5136" s="107" t="str">
        <f aca="false">IF($C5136="","",$D5136*$E5136)</f>
        <v/>
      </c>
      <c r="G5136" s="107" t="str">
        <f aca="false">IF($C5136="","",$D5136*IFERROR(INDEX('تحليل التكلفة والسعر'!$C$2:$C$700,MATCH($C5136,'تحليل التكلفة والسعر'!$B$2:$B$700,0)),0))</f>
        <v/>
      </c>
    </row>
    <row r="5137" customFormat="false" ht="15" hidden="false" customHeight="false" outlineLevel="0" collapsed="false">
      <c r="A5137" s="103"/>
      <c r="B5137" s="104"/>
      <c r="C5137" s="104"/>
      <c r="E5137" s="107" t="str">
        <f aca="false">IF($C5137="","",IFERROR(INDEX(المنيو!$C$2:$C$500,MATCH($C5137,المنيو!$B$2:$B$500,0)),0))</f>
        <v/>
      </c>
      <c r="F5137" s="107" t="str">
        <f aca="false">IF($C5137="","",$D5137*$E5137)</f>
        <v/>
      </c>
      <c r="G5137" s="107" t="str">
        <f aca="false">IF($C5137="","",$D5137*IFERROR(INDEX('تحليل التكلفة والسعر'!$C$2:$C$700,MATCH($C5137,'تحليل التكلفة والسعر'!$B$2:$B$700,0)),0))</f>
        <v/>
      </c>
    </row>
    <row r="5138" customFormat="false" ht="15" hidden="false" customHeight="false" outlineLevel="0" collapsed="false">
      <c r="A5138" s="103"/>
      <c r="B5138" s="104"/>
      <c r="C5138" s="104"/>
      <c r="E5138" s="107" t="str">
        <f aca="false">IF($C5138="","",IFERROR(INDEX(المنيو!$C$2:$C$500,MATCH($C5138,المنيو!$B$2:$B$500,0)),0))</f>
        <v/>
      </c>
      <c r="F5138" s="107" t="str">
        <f aca="false">IF($C5138="","",$D5138*$E5138)</f>
        <v/>
      </c>
      <c r="G5138" s="107" t="str">
        <f aca="false">IF($C5138="","",$D5138*IFERROR(INDEX('تحليل التكلفة والسعر'!$C$2:$C$700,MATCH($C5138,'تحليل التكلفة والسعر'!$B$2:$B$700,0)),0))</f>
        <v/>
      </c>
    </row>
    <row r="5139" customFormat="false" ht="15" hidden="false" customHeight="false" outlineLevel="0" collapsed="false">
      <c r="A5139" s="103"/>
      <c r="B5139" s="104"/>
      <c r="C5139" s="104"/>
      <c r="E5139" s="107" t="str">
        <f aca="false">IF($C5139="","",IFERROR(INDEX(المنيو!$C$2:$C$500,MATCH($C5139,المنيو!$B$2:$B$500,0)),0))</f>
        <v/>
      </c>
      <c r="F5139" s="107" t="str">
        <f aca="false">IF($C5139="","",$D5139*$E5139)</f>
        <v/>
      </c>
      <c r="G5139" s="107" t="str">
        <f aca="false">IF($C5139="","",$D5139*IFERROR(INDEX('تحليل التكلفة والسعر'!$C$2:$C$700,MATCH($C5139,'تحليل التكلفة والسعر'!$B$2:$B$700,0)),0))</f>
        <v/>
      </c>
    </row>
    <row r="5140" customFormat="false" ht="15" hidden="false" customHeight="false" outlineLevel="0" collapsed="false">
      <c r="A5140" s="103"/>
      <c r="B5140" s="104"/>
      <c r="C5140" s="104"/>
      <c r="E5140" s="107" t="str">
        <f aca="false">IF($C5140="","",IFERROR(INDEX(المنيو!$C$2:$C$500,MATCH($C5140,المنيو!$B$2:$B$500,0)),0))</f>
        <v/>
      </c>
      <c r="F5140" s="107" t="str">
        <f aca="false">IF($C5140="","",$D5140*$E5140)</f>
        <v/>
      </c>
      <c r="G5140" s="107" t="str">
        <f aca="false">IF($C5140="","",$D5140*IFERROR(INDEX('تحليل التكلفة والسعر'!$C$2:$C$700,MATCH($C5140,'تحليل التكلفة والسعر'!$B$2:$B$700,0)),0))</f>
        <v/>
      </c>
    </row>
    <row r="5141" customFormat="false" ht="15" hidden="false" customHeight="false" outlineLevel="0" collapsed="false">
      <c r="A5141" s="103"/>
      <c r="B5141" s="104"/>
      <c r="C5141" s="104"/>
      <c r="E5141" s="107" t="str">
        <f aca="false">IF($C5141="","",IFERROR(INDEX(المنيو!$C$2:$C$500,MATCH($C5141,المنيو!$B$2:$B$500,0)),0))</f>
        <v/>
      </c>
      <c r="F5141" s="107" t="str">
        <f aca="false">IF($C5141="","",$D5141*$E5141)</f>
        <v/>
      </c>
      <c r="G5141" s="107" t="str">
        <f aca="false">IF($C5141="","",$D5141*IFERROR(INDEX('تحليل التكلفة والسعر'!$C$2:$C$700,MATCH($C5141,'تحليل التكلفة والسعر'!$B$2:$B$700,0)),0))</f>
        <v/>
      </c>
    </row>
    <row r="5142" customFormat="false" ht="15" hidden="false" customHeight="false" outlineLevel="0" collapsed="false">
      <c r="A5142" s="103"/>
      <c r="B5142" s="104"/>
      <c r="C5142" s="104"/>
      <c r="E5142" s="107" t="str">
        <f aca="false">IF($C5142="","",IFERROR(INDEX(المنيو!$C$2:$C$500,MATCH($C5142,المنيو!$B$2:$B$500,0)),0))</f>
        <v/>
      </c>
      <c r="F5142" s="107" t="str">
        <f aca="false">IF($C5142="","",$D5142*$E5142)</f>
        <v/>
      </c>
      <c r="G5142" s="107" t="str">
        <f aca="false">IF($C5142="","",$D5142*IFERROR(INDEX('تحليل التكلفة والسعر'!$C$2:$C$700,MATCH($C5142,'تحليل التكلفة والسعر'!$B$2:$B$700,0)),0))</f>
        <v/>
      </c>
    </row>
    <row r="5143" customFormat="false" ht="15" hidden="false" customHeight="false" outlineLevel="0" collapsed="false">
      <c r="A5143" s="103"/>
      <c r="B5143" s="104"/>
      <c r="C5143" s="104"/>
      <c r="E5143" s="107" t="str">
        <f aca="false">IF($C5143="","",IFERROR(INDEX(المنيو!$C$2:$C$500,MATCH($C5143,المنيو!$B$2:$B$500,0)),0))</f>
        <v/>
      </c>
      <c r="F5143" s="107" t="str">
        <f aca="false">IF($C5143="","",$D5143*$E5143)</f>
        <v/>
      </c>
      <c r="G5143" s="107" t="str">
        <f aca="false">IF($C5143="","",$D5143*IFERROR(INDEX('تحليل التكلفة والسعر'!$C$2:$C$700,MATCH($C5143,'تحليل التكلفة والسعر'!$B$2:$B$700,0)),0))</f>
        <v/>
      </c>
    </row>
    <row r="5144" customFormat="false" ht="15" hidden="false" customHeight="false" outlineLevel="0" collapsed="false">
      <c r="A5144" s="103"/>
      <c r="B5144" s="104"/>
      <c r="C5144" s="104"/>
      <c r="E5144" s="107" t="str">
        <f aca="false">IF($C5144="","",IFERROR(INDEX(المنيو!$C$2:$C$500,MATCH($C5144,المنيو!$B$2:$B$500,0)),0))</f>
        <v/>
      </c>
      <c r="F5144" s="107" t="str">
        <f aca="false">IF($C5144="","",$D5144*$E5144)</f>
        <v/>
      </c>
      <c r="G5144" s="107" t="str">
        <f aca="false">IF($C5144="","",$D5144*IFERROR(INDEX('تحليل التكلفة والسعر'!$C$2:$C$700,MATCH($C5144,'تحليل التكلفة والسعر'!$B$2:$B$700,0)),0))</f>
        <v/>
      </c>
    </row>
    <row r="5145" customFormat="false" ht="15" hidden="false" customHeight="false" outlineLevel="0" collapsed="false">
      <c r="A5145" s="103"/>
      <c r="B5145" s="104"/>
      <c r="C5145" s="104"/>
      <c r="E5145" s="107" t="str">
        <f aca="false">IF($C5145="","",IFERROR(INDEX(المنيو!$C$2:$C$500,MATCH($C5145,المنيو!$B$2:$B$500,0)),0))</f>
        <v/>
      </c>
      <c r="F5145" s="107" t="str">
        <f aca="false">IF($C5145="","",$D5145*$E5145)</f>
        <v/>
      </c>
      <c r="G5145" s="107" t="str">
        <f aca="false">IF($C5145="","",$D5145*IFERROR(INDEX('تحليل التكلفة والسعر'!$C$2:$C$700,MATCH($C5145,'تحليل التكلفة والسعر'!$B$2:$B$700,0)),0))</f>
        <v/>
      </c>
    </row>
    <row r="5146" customFormat="false" ht="15" hidden="false" customHeight="false" outlineLevel="0" collapsed="false">
      <c r="A5146" s="103"/>
      <c r="B5146" s="104"/>
      <c r="C5146" s="104"/>
      <c r="E5146" s="107" t="str">
        <f aca="false">IF($C5146="","",IFERROR(INDEX(المنيو!$C$2:$C$500,MATCH($C5146,المنيو!$B$2:$B$500,0)),0))</f>
        <v/>
      </c>
      <c r="F5146" s="107" t="str">
        <f aca="false">IF($C5146="","",$D5146*$E5146)</f>
        <v/>
      </c>
      <c r="G5146" s="107" t="str">
        <f aca="false">IF($C5146="","",$D5146*IFERROR(INDEX('تحليل التكلفة والسعر'!$C$2:$C$700,MATCH($C5146,'تحليل التكلفة والسعر'!$B$2:$B$700,0)),0))</f>
        <v/>
      </c>
    </row>
    <row r="5147" customFormat="false" ht="15" hidden="false" customHeight="false" outlineLevel="0" collapsed="false">
      <c r="A5147" s="103"/>
      <c r="B5147" s="104"/>
      <c r="C5147" s="104"/>
      <c r="E5147" s="107" t="str">
        <f aca="false">IF($C5147="","",IFERROR(INDEX(المنيو!$C$2:$C$500,MATCH($C5147,المنيو!$B$2:$B$500,0)),0))</f>
        <v/>
      </c>
      <c r="F5147" s="107" t="str">
        <f aca="false">IF($C5147="","",$D5147*$E5147)</f>
        <v/>
      </c>
      <c r="G5147" s="107" t="str">
        <f aca="false">IF($C5147="","",$D5147*IFERROR(INDEX('تحليل التكلفة والسعر'!$C$2:$C$700,MATCH($C5147,'تحليل التكلفة والسعر'!$B$2:$B$700,0)),0))</f>
        <v/>
      </c>
    </row>
    <row r="5148" customFormat="false" ht="15" hidden="false" customHeight="false" outlineLevel="0" collapsed="false">
      <c r="A5148" s="103"/>
      <c r="B5148" s="104"/>
      <c r="C5148" s="104"/>
      <c r="E5148" s="107" t="str">
        <f aca="false">IF($C5148="","",IFERROR(INDEX(المنيو!$C$2:$C$500,MATCH($C5148,المنيو!$B$2:$B$500,0)),0))</f>
        <v/>
      </c>
      <c r="F5148" s="107" t="str">
        <f aca="false">IF($C5148="","",$D5148*$E5148)</f>
        <v/>
      </c>
      <c r="G5148" s="107" t="str">
        <f aca="false">IF($C5148="","",$D5148*IFERROR(INDEX('تحليل التكلفة والسعر'!$C$2:$C$700,MATCH($C5148,'تحليل التكلفة والسعر'!$B$2:$B$700,0)),0))</f>
        <v/>
      </c>
    </row>
    <row r="5149" customFormat="false" ht="15" hidden="false" customHeight="false" outlineLevel="0" collapsed="false">
      <c r="A5149" s="103"/>
      <c r="B5149" s="104"/>
      <c r="C5149" s="104"/>
      <c r="E5149" s="107" t="str">
        <f aca="false">IF($C5149="","",IFERROR(INDEX(المنيو!$C$2:$C$500,MATCH($C5149,المنيو!$B$2:$B$500,0)),0))</f>
        <v/>
      </c>
      <c r="F5149" s="107" t="str">
        <f aca="false">IF($C5149="","",$D5149*$E5149)</f>
        <v/>
      </c>
      <c r="G5149" s="107" t="str">
        <f aca="false">IF($C5149="","",$D5149*IFERROR(INDEX('تحليل التكلفة والسعر'!$C$2:$C$700,MATCH($C5149,'تحليل التكلفة والسعر'!$B$2:$B$700,0)),0))</f>
        <v/>
      </c>
    </row>
    <row r="5150" customFormat="false" ht="15" hidden="false" customHeight="false" outlineLevel="0" collapsed="false">
      <c r="A5150" s="103"/>
      <c r="B5150" s="104"/>
      <c r="C5150" s="104"/>
      <c r="E5150" s="107" t="str">
        <f aca="false">IF($C5150="","",IFERROR(INDEX(المنيو!$C$2:$C$500,MATCH($C5150,المنيو!$B$2:$B$500,0)),0))</f>
        <v/>
      </c>
      <c r="F5150" s="107" t="str">
        <f aca="false">IF($C5150="","",$D5150*$E5150)</f>
        <v/>
      </c>
      <c r="G5150" s="107" t="str">
        <f aca="false">IF($C5150="","",$D5150*IFERROR(INDEX('تحليل التكلفة والسعر'!$C$2:$C$700,MATCH($C5150,'تحليل التكلفة والسعر'!$B$2:$B$700,0)),0))</f>
        <v/>
      </c>
    </row>
    <row r="5151" customFormat="false" ht="15" hidden="false" customHeight="false" outlineLevel="0" collapsed="false">
      <c r="A5151" s="103"/>
      <c r="B5151" s="104"/>
      <c r="C5151" s="104"/>
      <c r="E5151" s="107" t="str">
        <f aca="false">IF($C5151="","",IFERROR(INDEX(المنيو!$C$2:$C$500,MATCH($C5151,المنيو!$B$2:$B$500,0)),0))</f>
        <v/>
      </c>
      <c r="F5151" s="107" t="str">
        <f aca="false">IF($C5151="","",$D5151*$E5151)</f>
        <v/>
      </c>
      <c r="G5151" s="107" t="str">
        <f aca="false">IF($C5151="","",$D5151*IFERROR(INDEX('تحليل التكلفة والسعر'!$C$2:$C$700,MATCH($C5151,'تحليل التكلفة والسعر'!$B$2:$B$700,0)),0))</f>
        <v/>
      </c>
    </row>
    <row r="5152" customFormat="false" ht="15" hidden="false" customHeight="false" outlineLevel="0" collapsed="false">
      <c r="A5152" s="103"/>
      <c r="B5152" s="104"/>
      <c r="C5152" s="104"/>
      <c r="E5152" s="107" t="str">
        <f aca="false">IF($C5152="","",IFERROR(INDEX(المنيو!$C$2:$C$500,MATCH($C5152,المنيو!$B$2:$B$500,0)),0))</f>
        <v/>
      </c>
      <c r="F5152" s="107" t="str">
        <f aca="false">IF($C5152="","",$D5152*$E5152)</f>
        <v/>
      </c>
      <c r="G5152" s="107" t="str">
        <f aca="false">IF($C5152="","",$D5152*IFERROR(INDEX('تحليل التكلفة والسعر'!$C$2:$C$700,MATCH($C5152,'تحليل التكلفة والسعر'!$B$2:$B$700,0)),0))</f>
        <v/>
      </c>
    </row>
    <row r="5153" customFormat="false" ht="15" hidden="false" customHeight="false" outlineLevel="0" collapsed="false">
      <c r="A5153" s="103"/>
      <c r="B5153" s="104"/>
      <c r="C5153" s="104"/>
      <c r="E5153" s="107" t="str">
        <f aca="false">IF($C5153="","",IFERROR(INDEX(المنيو!$C$2:$C$500,MATCH($C5153,المنيو!$B$2:$B$500,0)),0))</f>
        <v/>
      </c>
      <c r="F5153" s="107" t="str">
        <f aca="false">IF($C5153="","",$D5153*$E5153)</f>
        <v/>
      </c>
      <c r="G5153" s="107" t="str">
        <f aca="false">IF($C5153="","",$D5153*IFERROR(INDEX('تحليل التكلفة والسعر'!$C$2:$C$700,MATCH($C5153,'تحليل التكلفة والسعر'!$B$2:$B$700,0)),0))</f>
        <v/>
      </c>
    </row>
    <row r="5154" customFormat="false" ht="15" hidden="false" customHeight="false" outlineLevel="0" collapsed="false">
      <c r="A5154" s="103"/>
      <c r="B5154" s="104"/>
      <c r="C5154" s="104"/>
      <c r="E5154" s="107" t="str">
        <f aca="false">IF($C5154="","",IFERROR(INDEX(المنيو!$C$2:$C$500,MATCH($C5154,المنيو!$B$2:$B$500,0)),0))</f>
        <v/>
      </c>
      <c r="F5154" s="107" t="str">
        <f aca="false">IF($C5154="","",$D5154*$E5154)</f>
        <v/>
      </c>
      <c r="G5154" s="107" t="str">
        <f aca="false">IF($C5154="","",$D5154*IFERROR(INDEX('تحليل التكلفة والسعر'!$C$2:$C$700,MATCH($C5154,'تحليل التكلفة والسعر'!$B$2:$B$700,0)),0))</f>
        <v/>
      </c>
    </row>
    <row r="5155" customFormat="false" ht="15" hidden="false" customHeight="false" outlineLevel="0" collapsed="false">
      <c r="A5155" s="103"/>
      <c r="B5155" s="104"/>
      <c r="C5155" s="104"/>
      <c r="E5155" s="107" t="str">
        <f aca="false">IF($C5155="","",IFERROR(INDEX(المنيو!$C$2:$C$500,MATCH($C5155,المنيو!$B$2:$B$500,0)),0))</f>
        <v/>
      </c>
      <c r="F5155" s="107" t="str">
        <f aca="false">IF($C5155="","",$D5155*$E5155)</f>
        <v/>
      </c>
      <c r="G5155" s="107" t="str">
        <f aca="false">IF($C5155="","",$D5155*IFERROR(INDEX('تحليل التكلفة والسعر'!$C$2:$C$700,MATCH($C5155,'تحليل التكلفة والسعر'!$B$2:$B$700,0)),0))</f>
        <v/>
      </c>
    </row>
    <row r="5156" customFormat="false" ht="15" hidden="false" customHeight="false" outlineLevel="0" collapsed="false">
      <c r="A5156" s="103"/>
      <c r="B5156" s="104"/>
      <c r="C5156" s="104"/>
      <c r="E5156" s="107" t="str">
        <f aca="false">IF($C5156="","",IFERROR(INDEX(المنيو!$C$2:$C$500,MATCH($C5156,المنيو!$B$2:$B$500,0)),0))</f>
        <v/>
      </c>
      <c r="F5156" s="107" t="str">
        <f aca="false">IF($C5156="","",$D5156*$E5156)</f>
        <v/>
      </c>
      <c r="G5156" s="107" t="str">
        <f aca="false">IF($C5156="","",$D5156*IFERROR(INDEX('تحليل التكلفة والسعر'!$C$2:$C$700,MATCH($C5156,'تحليل التكلفة والسعر'!$B$2:$B$700,0)),0))</f>
        <v/>
      </c>
    </row>
    <row r="5157" customFormat="false" ht="15" hidden="false" customHeight="false" outlineLevel="0" collapsed="false">
      <c r="A5157" s="103"/>
      <c r="B5157" s="104"/>
      <c r="C5157" s="104"/>
      <c r="E5157" s="107" t="str">
        <f aca="false">IF($C5157="","",IFERROR(INDEX(المنيو!$C$2:$C$500,MATCH($C5157,المنيو!$B$2:$B$500,0)),0))</f>
        <v/>
      </c>
      <c r="F5157" s="107" t="str">
        <f aca="false">IF($C5157="","",$D5157*$E5157)</f>
        <v/>
      </c>
      <c r="G5157" s="107" t="str">
        <f aca="false">IF($C5157="","",$D5157*IFERROR(INDEX('تحليل التكلفة والسعر'!$C$2:$C$700,MATCH($C5157,'تحليل التكلفة والسعر'!$B$2:$B$700,0)),0))</f>
        <v/>
      </c>
    </row>
    <row r="5158" customFormat="false" ht="15" hidden="false" customHeight="false" outlineLevel="0" collapsed="false">
      <c r="A5158" s="103"/>
      <c r="B5158" s="104"/>
      <c r="C5158" s="104"/>
      <c r="E5158" s="107" t="str">
        <f aca="false">IF($C5158="","",IFERROR(INDEX(المنيو!$C$2:$C$500,MATCH($C5158,المنيو!$B$2:$B$500,0)),0))</f>
        <v/>
      </c>
      <c r="F5158" s="107" t="str">
        <f aca="false">IF($C5158="","",$D5158*$E5158)</f>
        <v/>
      </c>
      <c r="G5158" s="107" t="str">
        <f aca="false">IF($C5158="","",$D5158*IFERROR(INDEX('تحليل التكلفة والسعر'!$C$2:$C$700,MATCH($C5158,'تحليل التكلفة والسعر'!$B$2:$B$700,0)),0))</f>
        <v/>
      </c>
    </row>
    <row r="5159" customFormat="false" ht="15" hidden="false" customHeight="false" outlineLevel="0" collapsed="false">
      <c r="A5159" s="103"/>
      <c r="B5159" s="104"/>
      <c r="C5159" s="104"/>
      <c r="E5159" s="107" t="str">
        <f aca="false">IF($C5159="","",IFERROR(INDEX(المنيو!$C$2:$C$500,MATCH($C5159,المنيو!$B$2:$B$500,0)),0))</f>
        <v/>
      </c>
      <c r="F5159" s="107" t="str">
        <f aca="false">IF($C5159="","",$D5159*$E5159)</f>
        <v/>
      </c>
      <c r="G5159" s="107" t="str">
        <f aca="false">IF($C5159="","",$D5159*IFERROR(INDEX('تحليل التكلفة والسعر'!$C$2:$C$700,MATCH($C5159,'تحليل التكلفة والسعر'!$B$2:$B$700,0)),0))</f>
        <v/>
      </c>
    </row>
    <row r="5160" customFormat="false" ht="15" hidden="false" customHeight="false" outlineLevel="0" collapsed="false">
      <c r="A5160" s="103"/>
      <c r="B5160" s="104"/>
      <c r="C5160" s="104"/>
      <c r="E5160" s="107" t="str">
        <f aca="false">IF($C5160="","",IFERROR(INDEX(المنيو!$C$2:$C$500,MATCH($C5160,المنيو!$B$2:$B$500,0)),0))</f>
        <v/>
      </c>
      <c r="F5160" s="107" t="str">
        <f aca="false">IF($C5160="","",$D5160*$E5160)</f>
        <v/>
      </c>
      <c r="G5160" s="107" t="str">
        <f aca="false">IF($C5160="","",$D5160*IFERROR(INDEX('تحليل التكلفة والسعر'!$C$2:$C$700,MATCH($C5160,'تحليل التكلفة والسعر'!$B$2:$B$700,0)),0))</f>
        <v/>
      </c>
    </row>
    <row r="5161" customFormat="false" ht="15" hidden="false" customHeight="false" outlineLevel="0" collapsed="false">
      <c r="A5161" s="103"/>
      <c r="B5161" s="104"/>
      <c r="C5161" s="104"/>
      <c r="E5161" s="107" t="str">
        <f aca="false">IF($C5161="","",IFERROR(INDEX(المنيو!$C$2:$C$500,MATCH($C5161,المنيو!$B$2:$B$500,0)),0))</f>
        <v/>
      </c>
      <c r="F5161" s="107" t="str">
        <f aca="false">IF($C5161="","",$D5161*$E5161)</f>
        <v/>
      </c>
      <c r="G5161" s="107" t="str">
        <f aca="false">IF($C5161="","",$D5161*IFERROR(INDEX('تحليل التكلفة والسعر'!$C$2:$C$700,MATCH($C5161,'تحليل التكلفة والسعر'!$B$2:$B$700,0)),0))</f>
        <v/>
      </c>
    </row>
    <row r="5162" customFormat="false" ht="15" hidden="false" customHeight="false" outlineLevel="0" collapsed="false">
      <c r="A5162" s="103"/>
      <c r="B5162" s="104"/>
      <c r="C5162" s="104"/>
      <c r="E5162" s="107" t="str">
        <f aca="false">IF($C5162="","",IFERROR(INDEX(المنيو!$C$2:$C$500,MATCH($C5162,المنيو!$B$2:$B$500,0)),0))</f>
        <v/>
      </c>
      <c r="F5162" s="107" t="str">
        <f aca="false">IF($C5162="","",$D5162*$E5162)</f>
        <v/>
      </c>
      <c r="G5162" s="107" t="str">
        <f aca="false">IF($C5162="","",$D5162*IFERROR(INDEX('تحليل التكلفة والسعر'!$C$2:$C$700,MATCH($C5162,'تحليل التكلفة والسعر'!$B$2:$B$700,0)),0))</f>
        <v/>
      </c>
    </row>
    <row r="5163" customFormat="false" ht="15" hidden="false" customHeight="false" outlineLevel="0" collapsed="false">
      <c r="A5163" s="103"/>
      <c r="B5163" s="104"/>
      <c r="C5163" s="104"/>
      <c r="E5163" s="107" t="str">
        <f aca="false">IF($C5163="","",IFERROR(INDEX(المنيو!$C$2:$C$500,MATCH($C5163,المنيو!$B$2:$B$500,0)),0))</f>
        <v/>
      </c>
      <c r="F5163" s="107" t="str">
        <f aca="false">IF($C5163="","",$D5163*$E5163)</f>
        <v/>
      </c>
      <c r="G5163" s="107" t="str">
        <f aca="false">IF($C5163="","",$D5163*IFERROR(INDEX('تحليل التكلفة والسعر'!$C$2:$C$700,MATCH($C5163,'تحليل التكلفة والسعر'!$B$2:$B$700,0)),0))</f>
        <v/>
      </c>
    </row>
    <row r="5164" customFormat="false" ht="15" hidden="false" customHeight="false" outlineLevel="0" collapsed="false">
      <c r="A5164" s="103"/>
      <c r="B5164" s="104"/>
      <c r="C5164" s="104"/>
      <c r="E5164" s="107" t="str">
        <f aca="false">IF($C5164="","",IFERROR(INDEX(المنيو!$C$2:$C$500,MATCH($C5164,المنيو!$B$2:$B$500,0)),0))</f>
        <v/>
      </c>
      <c r="F5164" s="107" t="str">
        <f aca="false">IF($C5164="","",$D5164*$E5164)</f>
        <v/>
      </c>
      <c r="G5164" s="107" t="str">
        <f aca="false">IF($C5164="","",$D5164*IFERROR(INDEX('تحليل التكلفة والسعر'!$C$2:$C$700,MATCH($C5164,'تحليل التكلفة والسعر'!$B$2:$B$700,0)),0))</f>
        <v/>
      </c>
    </row>
    <row r="5165" customFormat="false" ht="15" hidden="false" customHeight="false" outlineLevel="0" collapsed="false">
      <c r="A5165" s="103"/>
      <c r="B5165" s="104"/>
      <c r="C5165" s="104"/>
      <c r="E5165" s="107" t="str">
        <f aca="false">IF($C5165="","",IFERROR(INDEX(المنيو!$C$2:$C$500,MATCH($C5165,المنيو!$B$2:$B$500,0)),0))</f>
        <v/>
      </c>
      <c r="F5165" s="107" t="str">
        <f aca="false">IF($C5165="","",$D5165*$E5165)</f>
        <v/>
      </c>
      <c r="G5165" s="107" t="str">
        <f aca="false">IF($C5165="","",$D5165*IFERROR(INDEX('تحليل التكلفة والسعر'!$C$2:$C$700,MATCH($C5165,'تحليل التكلفة والسعر'!$B$2:$B$700,0)),0))</f>
        <v/>
      </c>
    </row>
    <row r="5166" customFormat="false" ht="15" hidden="false" customHeight="false" outlineLevel="0" collapsed="false">
      <c r="A5166" s="103"/>
      <c r="B5166" s="104"/>
      <c r="C5166" s="104"/>
      <c r="E5166" s="107" t="str">
        <f aca="false">IF($C5166="","",IFERROR(INDEX(المنيو!$C$2:$C$500,MATCH($C5166,المنيو!$B$2:$B$500,0)),0))</f>
        <v/>
      </c>
      <c r="F5166" s="107" t="str">
        <f aca="false">IF($C5166="","",$D5166*$E5166)</f>
        <v/>
      </c>
      <c r="G5166" s="107" t="str">
        <f aca="false">IF($C5166="","",$D5166*IFERROR(INDEX('تحليل التكلفة والسعر'!$C$2:$C$700,MATCH($C5166,'تحليل التكلفة والسعر'!$B$2:$B$700,0)),0))</f>
        <v/>
      </c>
    </row>
    <row r="5167" customFormat="false" ht="15" hidden="false" customHeight="false" outlineLevel="0" collapsed="false">
      <c r="A5167" s="103"/>
      <c r="B5167" s="104"/>
      <c r="C5167" s="104"/>
      <c r="E5167" s="107" t="str">
        <f aca="false">IF($C5167="","",IFERROR(INDEX(المنيو!$C$2:$C$500,MATCH($C5167,المنيو!$B$2:$B$500,0)),0))</f>
        <v/>
      </c>
      <c r="F5167" s="107" t="str">
        <f aca="false">IF($C5167="","",$D5167*$E5167)</f>
        <v/>
      </c>
      <c r="G5167" s="107" t="str">
        <f aca="false">IF($C5167="","",$D5167*IFERROR(INDEX('تحليل التكلفة والسعر'!$C$2:$C$700,MATCH($C5167,'تحليل التكلفة والسعر'!$B$2:$B$700,0)),0))</f>
        <v/>
      </c>
    </row>
    <row r="5168" customFormat="false" ht="15" hidden="false" customHeight="false" outlineLevel="0" collapsed="false">
      <c r="A5168" s="103"/>
      <c r="B5168" s="104"/>
      <c r="C5168" s="104"/>
      <c r="E5168" s="107" t="str">
        <f aca="false">IF($C5168="","",IFERROR(INDEX(المنيو!$C$2:$C$500,MATCH($C5168,المنيو!$B$2:$B$500,0)),0))</f>
        <v/>
      </c>
      <c r="F5168" s="107" t="str">
        <f aca="false">IF($C5168="","",$D5168*$E5168)</f>
        <v/>
      </c>
      <c r="G5168" s="107" t="str">
        <f aca="false">IF($C5168="","",$D5168*IFERROR(INDEX('تحليل التكلفة والسعر'!$C$2:$C$700,MATCH($C5168,'تحليل التكلفة والسعر'!$B$2:$B$700,0)),0))</f>
        <v/>
      </c>
    </row>
    <row r="5169" customFormat="false" ht="15" hidden="false" customHeight="false" outlineLevel="0" collapsed="false">
      <c r="A5169" s="103"/>
      <c r="B5169" s="104"/>
      <c r="C5169" s="104"/>
      <c r="E5169" s="107" t="str">
        <f aca="false">IF($C5169="","",IFERROR(INDEX(المنيو!$C$2:$C$500,MATCH($C5169,المنيو!$B$2:$B$500,0)),0))</f>
        <v/>
      </c>
      <c r="F5169" s="107" t="str">
        <f aca="false">IF($C5169="","",$D5169*$E5169)</f>
        <v/>
      </c>
      <c r="G5169" s="107" t="str">
        <f aca="false">IF($C5169="","",$D5169*IFERROR(INDEX('تحليل التكلفة والسعر'!$C$2:$C$700,MATCH($C5169,'تحليل التكلفة والسعر'!$B$2:$B$700,0)),0))</f>
        <v/>
      </c>
    </row>
    <row r="5170" customFormat="false" ht="15" hidden="false" customHeight="false" outlineLevel="0" collapsed="false">
      <c r="A5170" s="103"/>
      <c r="B5170" s="104"/>
      <c r="C5170" s="104"/>
      <c r="E5170" s="107" t="str">
        <f aca="false">IF($C5170="","",IFERROR(INDEX(المنيو!$C$2:$C$500,MATCH($C5170,المنيو!$B$2:$B$500,0)),0))</f>
        <v/>
      </c>
      <c r="F5170" s="107" t="str">
        <f aca="false">IF($C5170="","",$D5170*$E5170)</f>
        <v/>
      </c>
      <c r="G5170" s="107" t="str">
        <f aca="false">IF($C5170="","",$D5170*IFERROR(INDEX('تحليل التكلفة والسعر'!$C$2:$C$700,MATCH($C5170,'تحليل التكلفة والسعر'!$B$2:$B$700,0)),0))</f>
        <v/>
      </c>
    </row>
    <row r="5171" customFormat="false" ht="15" hidden="false" customHeight="false" outlineLevel="0" collapsed="false">
      <c r="A5171" s="103"/>
      <c r="B5171" s="104"/>
      <c r="C5171" s="104"/>
      <c r="E5171" s="107" t="str">
        <f aca="false">IF($C5171="","",IFERROR(INDEX(المنيو!$C$2:$C$500,MATCH($C5171,المنيو!$B$2:$B$500,0)),0))</f>
        <v/>
      </c>
      <c r="F5171" s="107" t="str">
        <f aca="false">IF($C5171="","",$D5171*$E5171)</f>
        <v/>
      </c>
      <c r="G5171" s="107" t="str">
        <f aca="false">IF($C5171="","",$D5171*IFERROR(INDEX('تحليل التكلفة والسعر'!$C$2:$C$700,MATCH($C5171,'تحليل التكلفة والسعر'!$B$2:$B$700,0)),0))</f>
        <v/>
      </c>
    </row>
    <row r="5172" customFormat="false" ht="15" hidden="false" customHeight="false" outlineLevel="0" collapsed="false">
      <c r="A5172" s="103"/>
      <c r="B5172" s="104"/>
      <c r="C5172" s="104"/>
      <c r="E5172" s="107" t="str">
        <f aca="false">IF($C5172="","",IFERROR(INDEX(المنيو!$C$2:$C$500,MATCH($C5172,المنيو!$B$2:$B$500,0)),0))</f>
        <v/>
      </c>
      <c r="F5172" s="107" t="str">
        <f aca="false">IF($C5172="","",$D5172*$E5172)</f>
        <v/>
      </c>
      <c r="G5172" s="107" t="str">
        <f aca="false">IF($C5172="","",$D5172*IFERROR(INDEX('تحليل التكلفة والسعر'!$C$2:$C$700,MATCH($C5172,'تحليل التكلفة والسعر'!$B$2:$B$700,0)),0))</f>
        <v/>
      </c>
    </row>
    <row r="5173" customFormat="false" ht="15" hidden="false" customHeight="false" outlineLevel="0" collapsed="false">
      <c r="A5173" s="103"/>
      <c r="B5173" s="104"/>
      <c r="C5173" s="104"/>
      <c r="E5173" s="107" t="str">
        <f aca="false">IF($C5173="","",IFERROR(INDEX(المنيو!$C$2:$C$500,MATCH($C5173,المنيو!$B$2:$B$500,0)),0))</f>
        <v/>
      </c>
      <c r="F5173" s="107" t="str">
        <f aca="false">IF($C5173="","",$D5173*$E5173)</f>
        <v/>
      </c>
      <c r="G5173" s="107" t="str">
        <f aca="false">IF($C5173="","",$D5173*IFERROR(INDEX('تحليل التكلفة والسعر'!$C$2:$C$700,MATCH($C5173,'تحليل التكلفة والسعر'!$B$2:$B$700,0)),0))</f>
        <v/>
      </c>
    </row>
    <row r="5174" customFormat="false" ht="15" hidden="false" customHeight="false" outlineLevel="0" collapsed="false">
      <c r="A5174" s="103"/>
      <c r="B5174" s="104"/>
      <c r="C5174" s="104"/>
      <c r="E5174" s="107" t="str">
        <f aca="false">IF($C5174="","",IFERROR(INDEX(المنيو!$C$2:$C$500,MATCH($C5174,المنيو!$B$2:$B$500,0)),0))</f>
        <v/>
      </c>
      <c r="F5174" s="107" t="str">
        <f aca="false">IF($C5174="","",$D5174*$E5174)</f>
        <v/>
      </c>
      <c r="G5174" s="107" t="str">
        <f aca="false">IF($C5174="","",$D5174*IFERROR(INDEX('تحليل التكلفة والسعر'!$C$2:$C$700,MATCH($C5174,'تحليل التكلفة والسعر'!$B$2:$B$700,0)),0))</f>
        <v/>
      </c>
    </row>
    <row r="5175" customFormat="false" ht="15" hidden="false" customHeight="false" outlineLevel="0" collapsed="false">
      <c r="A5175" s="103"/>
      <c r="B5175" s="104"/>
      <c r="C5175" s="104"/>
      <c r="E5175" s="107" t="str">
        <f aca="false">IF($C5175="","",IFERROR(INDEX(المنيو!$C$2:$C$500,MATCH($C5175,المنيو!$B$2:$B$500,0)),0))</f>
        <v/>
      </c>
      <c r="F5175" s="107" t="str">
        <f aca="false">IF($C5175="","",$D5175*$E5175)</f>
        <v/>
      </c>
      <c r="G5175" s="107" t="str">
        <f aca="false">IF($C5175="","",$D5175*IFERROR(INDEX('تحليل التكلفة والسعر'!$C$2:$C$700,MATCH($C5175,'تحليل التكلفة والسعر'!$B$2:$B$700,0)),0))</f>
        <v/>
      </c>
    </row>
    <row r="5176" customFormat="false" ht="15" hidden="false" customHeight="false" outlineLevel="0" collapsed="false">
      <c r="A5176" s="103"/>
      <c r="B5176" s="104"/>
      <c r="C5176" s="104"/>
      <c r="E5176" s="107" t="str">
        <f aca="false">IF($C5176="","",IFERROR(INDEX(المنيو!$C$2:$C$500,MATCH($C5176,المنيو!$B$2:$B$500,0)),0))</f>
        <v/>
      </c>
      <c r="F5176" s="107" t="str">
        <f aca="false">IF($C5176="","",$D5176*$E5176)</f>
        <v/>
      </c>
      <c r="G5176" s="107" t="str">
        <f aca="false">IF($C5176="","",$D5176*IFERROR(INDEX('تحليل التكلفة والسعر'!$C$2:$C$700,MATCH($C5176,'تحليل التكلفة والسعر'!$B$2:$B$700,0)),0))</f>
        <v/>
      </c>
    </row>
    <row r="5177" customFormat="false" ht="15" hidden="false" customHeight="false" outlineLevel="0" collapsed="false">
      <c r="A5177" s="103"/>
      <c r="B5177" s="104"/>
      <c r="C5177" s="104"/>
      <c r="E5177" s="107" t="str">
        <f aca="false">IF($C5177="","",IFERROR(INDEX(المنيو!$C$2:$C$500,MATCH($C5177,المنيو!$B$2:$B$500,0)),0))</f>
        <v/>
      </c>
      <c r="F5177" s="107" t="str">
        <f aca="false">IF($C5177="","",$D5177*$E5177)</f>
        <v/>
      </c>
      <c r="G5177" s="107" t="str">
        <f aca="false">IF($C5177="","",$D5177*IFERROR(INDEX('تحليل التكلفة والسعر'!$C$2:$C$700,MATCH($C5177,'تحليل التكلفة والسعر'!$B$2:$B$700,0)),0))</f>
        <v/>
      </c>
    </row>
    <row r="5178" customFormat="false" ht="15" hidden="false" customHeight="false" outlineLevel="0" collapsed="false">
      <c r="A5178" s="103"/>
      <c r="B5178" s="104"/>
      <c r="C5178" s="104"/>
      <c r="E5178" s="107" t="str">
        <f aca="false">IF($C5178="","",IFERROR(INDEX(المنيو!$C$2:$C$500,MATCH($C5178,المنيو!$B$2:$B$500,0)),0))</f>
        <v/>
      </c>
      <c r="F5178" s="107" t="str">
        <f aca="false">IF($C5178="","",$D5178*$E5178)</f>
        <v/>
      </c>
      <c r="G5178" s="107" t="str">
        <f aca="false">IF($C5178="","",$D5178*IFERROR(INDEX('تحليل التكلفة والسعر'!$C$2:$C$700,MATCH($C5178,'تحليل التكلفة والسعر'!$B$2:$B$700,0)),0))</f>
        <v/>
      </c>
    </row>
    <row r="5179" customFormat="false" ht="15" hidden="false" customHeight="false" outlineLevel="0" collapsed="false">
      <c r="A5179" s="103"/>
      <c r="B5179" s="104"/>
      <c r="C5179" s="104"/>
      <c r="E5179" s="107" t="str">
        <f aca="false">IF($C5179="","",IFERROR(INDEX(المنيو!$C$2:$C$500,MATCH($C5179,المنيو!$B$2:$B$500,0)),0))</f>
        <v/>
      </c>
      <c r="F5179" s="107" t="str">
        <f aca="false">IF($C5179="","",$D5179*$E5179)</f>
        <v/>
      </c>
      <c r="G5179" s="107" t="str">
        <f aca="false">IF($C5179="","",$D5179*IFERROR(INDEX('تحليل التكلفة والسعر'!$C$2:$C$700,MATCH($C5179,'تحليل التكلفة والسعر'!$B$2:$B$700,0)),0))</f>
        <v/>
      </c>
    </row>
    <row r="5180" customFormat="false" ht="15" hidden="false" customHeight="false" outlineLevel="0" collapsed="false">
      <c r="A5180" s="103"/>
      <c r="B5180" s="104"/>
      <c r="C5180" s="104"/>
      <c r="E5180" s="107" t="str">
        <f aca="false">IF($C5180="","",IFERROR(INDEX(المنيو!$C$2:$C$500,MATCH($C5180,المنيو!$B$2:$B$500,0)),0))</f>
        <v/>
      </c>
      <c r="F5180" s="107" t="str">
        <f aca="false">IF($C5180="","",$D5180*$E5180)</f>
        <v/>
      </c>
      <c r="G5180" s="107" t="str">
        <f aca="false">IF($C5180="","",$D5180*IFERROR(INDEX('تحليل التكلفة والسعر'!$C$2:$C$700,MATCH($C5180,'تحليل التكلفة والسعر'!$B$2:$B$700,0)),0))</f>
        <v/>
      </c>
    </row>
    <row r="5181" customFormat="false" ht="15" hidden="false" customHeight="false" outlineLevel="0" collapsed="false">
      <c r="A5181" s="103"/>
      <c r="B5181" s="104"/>
      <c r="C5181" s="104"/>
      <c r="E5181" s="107" t="str">
        <f aca="false">IF($C5181="","",IFERROR(INDEX(المنيو!$C$2:$C$500,MATCH($C5181,المنيو!$B$2:$B$500,0)),0))</f>
        <v/>
      </c>
      <c r="F5181" s="107" t="str">
        <f aca="false">IF($C5181="","",$D5181*$E5181)</f>
        <v/>
      </c>
      <c r="G5181" s="107" t="str">
        <f aca="false">IF($C5181="","",$D5181*IFERROR(INDEX('تحليل التكلفة والسعر'!$C$2:$C$700,MATCH($C5181,'تحليل التكلفة والسعر'!$B$2:$B$700,0)),0))</f>
        <v/>
      </c>
    </row>
    <row r="5182" customFormat="false" ht="15" hidden="false" customHeight="false" outlineLevel="0" collapsed="false">
      <c r="A5182" s="103"/>
      <c r="B5182" s="104"/>
      <c r="C5182" s="104"/>
      <c r="E5182" s="107" t="str">
        <f aca="false">IF($C5182="","",IFERROR(INDEX(المنيو!$C$2:$C$500,MATCH($C5182,المنيو!$B$2:$B$500,0)),0))</f>
        <v/>
      </c>
      <c r="F5182" s="107" t="str">
        <f aca="false">IF($C5182="","",$D5182*$E5182)</f>
        <v/>
      </c>
      <c r="G5182" s="107" t="str">
        <f aca="false">IF($C5182="","",$D5182*IFERROR(INDEX('تحليل التكلفة والسعر'!$C$2:$C$700,MATCH($C5182,'تحليل التكلفة والسعر'!$B$2:$B$700,0)),0))</f>
        <v/>
      </c>
    </row>
    <row r="5183" customFormat="false" ht="15" hidden="false" customHeight="false" outlineLevel="0" collapsed="false">
      <c r="A5183" s="103"/>
      <c r="B5183" s="104"/>
      <c r="C5183" s="104"/>
      <c r="E5183" s="107" t="str">
        <f aca="false">IF($C5183="","",IFERROR(INDEX(المنيو!$C$2:$C$500,MATCH($C5183,المنيو!$B$2:$B$500,0)),0))</f>
        <v/>
      </c>
      <c r="F5183" s="107" t="str">
        <f aca="false">IF($C5183="","",$D5183*$E5183)</f>
        <v/>
      </c>
      <c r="G5183" s="107" t="str">
        <f aca="false">IF($C5183="","",$D5183*IFERROR(INDEX('تحليل التكلفة والسعر'!$C$2:$C$700,MATCH($C5183,'تحليل التكلفة والسعر'!$B$2:$B$700,0)),0))</f>
        <v/>
      </c>
    </row>
    <row r="5184" customFormat="false" ht="15" hidden="false" customHeight="false" outlineLevel="0" collapsed="false">
      <c r="A5184" s="103"/>
      <c r="B5184" s="104"/>
      <c r="C5184" s="104"/>
      <c r="E5184" s="107" t="str">
        <f aca="false">IF($C5184="","",IFERROR(INDEX(المنيو!$C$2:$C$500,MATCH($C5184,المنيو!$B$2:$B$500,0)),0))</f>
        <v/>
      </c>
      <c r="F5184" s="107" t="str">
        <f aca="false">IF($C5184="","",$D5184*$E5184)</f>
        <v/>
      </c>
      <c r="G5184" s="107" t="str">
        <f aca="false">IF($C5184="","",$D5184*IFERROR(INDEX('تحليل التكلفة والسعر'!$C$2:$C$700,MATCH($C5184,'تحليل التكلفة والسعر'!$B$2:$B$700,0)),0))</f>
        <v/>
      </c>
    </row>
    <row r="5185" customFormat="false" ht="15" hidden="false" customHeight="false" outlineLevel="0" collapsed="false">
      <c r="A5185" s="103"/>
      <c r="B5185" s="104"/>
      <c r="C5185" s="104"/>
      <c r="E5185" s="107" t="str">
        <f aca="false">IF($C5185="","",IFERROR(INDEX(المنيو!$C$2:$C$500,MATCH($C5185,المنيو!$B$2:$B$500,0)),0))</f>
        <v/>
      </c>
      <c r="F5185" s="107" t="str">
        <f aca="false">IF($C5185="","",$D5185*$E5185)</f>
        <v/>
      </c>
      <c r="G5185" s="107" t="str">
        <f aca="false">IF($C5185="","",$D5185*IFERROR(INDEX('تحليل التكلفة والسعر'!$C$2:$C$700,MATCH($C5185,'تحليل التكلفة والسعر'!$B$2:$B$700,0)),0))</f>
        <v/>
      </c>
    </row>
    <row r="5186" customFormat="false" ht="15" hidden="false" customHeight="false" outlineLevel="0" collapsed="false">
      <c r="A5186" s="103"/>
      <c r="B5186" s="104"/>
      <c r="C5186" s="104"/>
      <c r="E5186" s="107" t="str">
        <f aca="false">IF($C5186="","",IFERROR(INDEX(المنيو!$C$2:$C$500,MATCH($C5186,المنيو!$B$2:$B$500,0)),0))</f>
        <v/>
      </c>
      <c r="F5186" s="107" t="str">
        <f aca="false">IF($C5186="","",$D5186*$E5186)</f>
        <v/>
      </c>
      <c r="G5186" s="107" t="str">
        <f aca="false">IF($C5186="","",$D5186*IFERROR(INDEX('تحليل التكلفة والسعر'!$C$2:$C$700,MATCH($C5186,'تحليل التكلفة والسعر'!$B$2:$B$700,0)),0))</f>
        <v/>
      </c>
    </row>
    <row r="5187" customFormat="false" ht="15" hidden="false" customHeight="false" outlineLevel="0" collapsed="false">
      <c r="A5187" s="103"/>
      <c r="B5187" s="104"/>
      <c r="C5187" s="104"/>
      <c r="E5187" s="107" t="str">
        <f aca="false">IF($C5187="","",IFERROR(INDEX(المنيو!$C$2:$C$500,MATCH($C5187,المنيو!$B$2:$B$500,0)),0))</f>
        <v/>
      </c>
      <c r="F5187" s="107" t="str">
        <f aca="false">IF($C5187="","",$D5187*$E5187)</f>
        <v/>
      </c>
      <c r="G5187" s="107" t="str">
        <f aca="false">IF($C5187="","",$D5187*IFERROR(INDEX('تحليل التكلفة والسعر'!$C$2:$C$700,MATCH($C5187,'تحليل التكلفة والسعر'!$B$2:$B$700,0)),0))</f>
        <v/>
      </c>
    </row>
    <row r="5188" customFormat="false" ht="15" hidden="false" customHeight="false" outlineLevel="0" collapsed="false">
      <c r="A5188" s="103"/>
      <c r="B5188" s="104"/>
      <c r="C5188" s="104"/>
      <c r="E5188" s="107" t="str">
        <f aca="false">IF($C5188="","",IFERROR(INDEX(المنيو!$C$2:$C$500,MATCH($C5188,المنيو!$B$2:$B$500,0)),0))</f>
        <v/>
      </c>
      <c r="F5188" s="107" t="str">
        <f aca="false">IF($C5188="","",$D5188*$E5188)</f>
        <v/>
      </c>
      <c r="G5188" s="107" t="str">
        <f aca="false">IF($C5188="","",$D5188*IFERROR(INDEX('تحليل التكلفة والسعر'!$C$2:$C$700,MATCH($C5188,'تحليل التكلفة والسعر'!$B$2:$B$700,0)),0))</f>
        <v/>
      </c>
    </row>
    <row r="5189" customFormat="false" ht="15" hidden="false" customHeight="false" outlineLevel="0" collapsed="false">
      <c r="A5189" s="103"/>
      <c r="B5189" s="104"/>
      <c r="C5189" s="104"/>
      <c r="E5189" s="107" t="str">
        <f aca="false">IF($C5189="","",IFERROR(INDEX(المنيو!$C$2:$C$500,MATCH($C5189,المنيو!$B$2:$B$500,0)),0))</f>
        <v/>
      </c>
      <c r="F5189" s="107" t="str">
        <f aca="false">IF($C5189="","",$D5189*$E5189)</f>
        <v/>
      </c>
      <c r="G5189" s="107" t="str">
        <f aca="false">IF($C5189="","",$D5189*IFERROR(INDEX('تحليل التكلفة والسعر'!$C$2:$C$700,MATCH($C5189,'تحليل التكلفة والسعر'!$B$2:$B$700,0)),0))</f>
        <v/>
      </c>
    </row>
    <row r="5190" customFormat="false" ht="15" hidden="false" customHeight="false" outlineLevel="0" collapsed="false">
      <c r="A5190" s="103"/>
      <c r="B5190" s="104"/>
      <c r="C5190" s="104"/>
      <c r="E5190" s="107" t="str">
        <f aca="false">IF($C5190="","",IFERROR(INDEX(المنيو!$C$2:$C$500,MATCH($C5190,المنيو!$B$2:$B$500,0)),0))</f>
        <v/>
      </c>
      <c r="F5190" s="107" t="str">
        <f aca="false">IF($C5190="","",$D5190*$E5190)</f>
        <v/>
      </c>
      <c r="G5190" s="107" t="str">
        <f aca="false">IF($C5190="","",$D5190*IFERROR(INDEX('تحليل التكلفة والسعر'!$C$2:$C$700,MATCH($C5190,'تحليل التكلفة والسعر'!$B$2:$B$700,0)),0))</f>
        <v/>
      </c>
    </row>
    <row r="5191" customFormat="false" ht="15" hidden="false" customHeight="false" outlineLevel="0" collapsed="false">
      <c r="A5191" s="103"/>
      <c r="B5191" s="104"/>
      <c r="C5191" s="104"/>
      <c r="E5191" s="107" t="str">
        <f aca="false">IF($C5191="","",IFERROR(INDEX(المنيو!$C$2:$C$500,MATCH($C5191,المنيو!$B$2:$B$500,0)),0))</f>
        <v/>
      </c>
      <c r="F5191" s="107" t="str">
        <f aca="false">IF($C5191="","",$D5191*$E5191)</f>
        <v/>
      </c>
      <c r="G5191" s="107" t="str">
        <f aca="false">IF($C5191="","",$D5191*IFERROR(INDEX('تحليل التكلفة والسعر'!$C$2:$C$700,MATCH($C5191,'تحليل التكلفة والسعر'!$B$2:$B$700,0)),0))</f>
        <v/>
      </c>
    </row>
    <row r="5192" customFormat="false" ht="15" hidden="false" customHeight="false" outlineLevel="0" collapsed="false">
      <c r="A5192" s="103"/>
      <c r="B5192" s="104"/>
      <c r="C5192" s="104"/>
      <c r="E5192" s="107" t="str">
        <f aca="false">IF($C5192="","",IFERROR(INDEX(المنيو!$C$2:$C$500,MATCH($C5192,المنيو!$B$2:$B$500,0)),0))</f>
        <v/>
      </c>
      <c r="F5192" s="107" t="str">
        <f aca="false">IF($C5192="","",$D5192*$E5192)</f>
        <v/>
      </c>
      <c r="G5192" s="107" t="str">
        <f aca="false">IF($C5192="","",$D5192*IFERROR(INDEX('تحليل التكلفة والسعر'!$C$2:$C$700,MATCH($C5192,'تحليل التكلفة والسعر'!$B$2:$B$700,0)),0))</f>
        <v/>
      </c>
    </row>
    <row r="5193" customFormat="false" ht="15" hidden="false" customHeight="false" outlineLevel="0" collapsed="false">
      <c r="A5193" s="103"/>
      <c r="B5193" s="104"/>
      <c r="C5193" s="104"/>
      <c r="E5193" s="107" t="str">
        <f aca="false">IF($C5193="","",IFERROR(INDEX(المنيو!$C$2:$C$500,MATCH($C5193,المنيو!$B$2:$B$500,0)),0))</f>
        <v/>
      </c>
      <c r="F5193" s="107" t="str">
        <f aca="false">IF($C5193="","",$D5193*$E5193)</f>
        <v/>
      </c>
      <c r="G5193" s="107" t="str">
        <f aca="false">IF($C5193="","",$D5193*IFERROR(INDEX('تحليل التكلفة والسعر'!$C$2:$C$700,MATCH($C5193,'تحليل التكلفة والسعر'!$B$2:$B$700,0)),0))</f>
        <v/>
      </c>
    </row>
    <row r="5194" customFormat="false" ht="15" hidden="false" customHeight="false" outlineLevel="0" collapsed="false">
      <c r="A5194" s="103"/>
      <c r="B5194" s="104"/>
      <c r="C5194" s="104"/>
      <c r="E5194" s="107" t="str">
        <f aca="false">IF($C5194="","",IFERROR(INDEX(المنيو!$C$2:$C$500,MATCH($C5194,المنيو!$B$2:$B$500,0)),0))</f>
        <v/>
      </c>
      <c r="F5194" s="107" t="str">
        <f aca="false">IF($C5194="","",$D5194*$E5194)</f>
        <v/>
      </c>
      <c r="G5194" s="107" t="str">
        <f aca="false">IF($C5194="","",$D5194*IFERROR(INDEX('تحليل التكلفة والسعر'!$C$2:$C$700,MATCH($C5194,'تحليل التكلفة والسعر'!$B$2:$B$700,0)),0))</f>
        <v/>
      </c>
    </row>
    <row r="5195" customFormat="false" ht="15" hidden="false" customHeight="false" outlineLevel="0" collapsed="false">
      <c r="A5195" s="103"/>
      <c r="B5195" s="104"/>
      <c r="C5195" s="104"/>
      <c r="E5195" s="107" t="str">
        <f aca="false">IF($C5195="","",IFERROR(INDEX(المنيو!$C$2:$C$500,MATCH($C5195,المنيو!$B$2:$B$500,0)),0))</f>
        <v/>
      </c>
      <c r="F5195" s="107" t="str">
        <f aca="false">IF($C5195="","",$D5195*$E5195)</f>
        <v/>
      </c>
      <c r="G5195" s="107" t="str">
        <f aca="false">IF($C5195="","",$D5195*IFERROR(INDEX('تحليل التكلفة والسعر'!$C$2:$C$700,MATCH($C5195,'تحليل التكلفة والسعر'!$B$2:$B$700,0)),0))</f>
        <v/>
      </c>
    </row>
    <row r="5196" customFormat="false" ht="15" hidden="false" customHeight="false" outlineLevel="0" collapsed="false">
      <c r="A5196" s="103"/>
      <c r="B5196" s="104"/>
      <c r="C5196" s="104"/>
      <c r="E5196" s="107" t="str">
        <f aca="false">IF($C5196="","",IFERROR(INDEX(المنيو!$C$2:$C$500,MATCH($C5196,المنيو!$B$2:$B$500,0)),0))</f>
        <v/>
      </c>
      <c r="F5196" s="107" t="str">
        <f aca="false">IF($C5196="","",$D5196*$E5196)</f>
        <v/>
      </c>
      <c r="G5196" s="107" t="str">
        <f aca="false">IF($C5196="","",$D5196*IFERROR(INDEX('تحليل التكلفة والسعر'!$C$2:$C$700,MATCH($C5196,'تحليل التكلفة والسعر'!$B$2:$B$700,0)),0))</f>
        <v/>
      </c>
    </row>
    <row r="5197" customFormat="false" ht="15" hidden="false" customHeight="false" outlineLevel="0" collapsed="false">
      <c r="A5197" s="103"/>
      <c r="B5197" s="104"/>
      <c r="C5197" s="104"/>
      <c r="E5197" s="107" t="str">
        <f aca="false">IF($C5197="","",IFERROR(INDEX(المنيو!$C$2:$C$500,MATCH($C5197,المنيو!$B$2:$B$500,0)),0))</f>
        <v/>
      </c>
      <c r="F5197" s="107" t="str">
        <f aca="false">IF($C5197="","",$D5197*$E5197)</f>
        <v/>
      </c>
      <c r="G5197" s="107" t="str">
        <f aca="false">IF($C5197="","",$D5197*IFERROR(INDEX('تحليل التكلفة والسعر'!$C$2:$C$700,MATCH($C5197,'تحليل التكلفة والسعر'!$B$2:$B$700,0)),0))</f>
        <v/>
      </c>
    </row>
    <row r="5198" customFormat="false" ht="15" hidden="false" customHeight="false" outlineLevel="0" collapsed="false">
      <c r="A5198" s="103"/>
      <c r="B5198" s="104"/>
      <c r="C5198" s="104"/>
      <c r="E5198" s="107" t="str">
        <f aca="false">IF($C5198="","",IFERROR(INDEX(المنيو!$C$2:$C$500,MATCH($C5198,المنيو!$B$2:$B$500,0)),0))</f>
        <v/>
      </c>
      <c r="F5198" s="107" t="str">
        <f aca="false">IF($C5198="","",$D5198*$E5198)</f>
        <v/>
      </c>
      <c r="G5198" s="107" t="str">
        <f aca="false">IF($C5198="","",$D5198*IFERROR(INDEX('تحليل التكلفة والسعر'!$C$2:$C$700,MATCH($C5198,'تحليل التكلفة والسعر'!$B$2:$B$700,0)),0))</f>
        <v/>
      </c>
    </row>
    <row r="5199" customFormat="false" ht="15" hidden="false" customHeight="false" outlineLevel="0" collapsed="false">
      <c r="A5199" s="103"/>
      <c r="B5199" s="104"/>
      <c r="C5199" s="104"/>
      <c r="E5199" s="107" t="str">
        <f aca="false">IF($C5199="","",IFERROR(INDEX(المنيو!$C$2:$C$500,MATCH($C5199,المنيو!$B$2:$B$500,0)),0))</f>
        <v/>
      </c>
      <c r="F5199" s="107" t="str">
        <f aca="false">IF($C5199="","",$D5199*$E5199)</f>
        <v/>
      </c>
      <c r="G5199" s="107" t="str">
        <f aca="false">IF($C5199="","",$D5199*IFERROR(INDEX('تحليل التكلفة والسعر'!$C$2:$C$700,MATCH($C5199,'تحليل التكلفة والسعر'!$B$2:$B$700,0)),0))</f>
        <v/>
      </c>
    </row>
    <row r="5200" customFormat="false" ht="15" hidden="false" customHeight="false" outlineLevel="0" collapsed="false">
      <c r="A5200" s="103"/>
      <c r="B5200" s="104"/>
      <c r="C5200" s="104"/>
      <c r="E5200" s="107" t="str">
        <f aca="false">IF($C5200="","",IFERROR(INDEX(المنيو!$C$2:$C$500,MATCH($C5200,المنيو!$B$2:$B$500,0)),0))</f>
        <v/>
      </c>
      <c r="F5200" s="107" t="str">
        <f aca="false">IF($C5200="","",$D5200*$E5200)</f>
        <v/>
      </c>
      <c r="G5200" s="107" t="str">
        <f aca="false">IF($C5200="","",$D5200*IFERROR(INDEX('تحليل التكلفة والسعر'!$C$2:$C$700,MATCH($C5200,'تحليل التكلفة والسعر'!$B$2:$B$700,0)),0))</f>
        <v/>
      </c>
    </row>
    <row r="5201" customFormat="false" ht="15" hidden="false" customHeight="false" outlineLevel="0" collapsed="false">
      <c r="A5201" s="103"/>
      <c r="B5201" s="104"/>
      <c r="C5201" s="104"/>
      <c r="E5201" s="107" t="str">
        <f aca="false">IF($C5201="","",IFERROR(INDEX(المنيو!$C$2:$C$500,MATCH($C5201,المنيو!$B$2:$B$500,0)),0))</f>
        <v/>
      </c>
      <c r="F5201" s="107" t="str">
        <f aca="false">IF($C5201="","",$D5201*$E5201)</f>
        <v/>
      </c>
      <c r="G5201" s="107" t="str">
        <f aca="false">IF($C5201="","",$D5201*IFERROR(INDEX('تحليل التكلفة والسعر'!$C$2:$C$700,MATCH($C5201,'تحليل التكلفة والسعر'!$B$2:$B$700,0)),0))</f>
        <v/>
      </c>
    </row>
    <row r="5202" customFormat="false" ht="15" hidden="false" customHeight="false" outlineLevel="0" collapsed="false">
      <c r="A5202" s="103"/>
      <c r="B5202" s="104"/>
      <c r="C5202" s="104"/>
      <c r="E5202" s="107" t="str">
        <f aca="false">IF($C5202="","",IFERROR(INDEX(المنيو!$C$2:$C$500,MATCH($C5202,المنيو!$B$2:$B$500,0)),0))</f>
        <v/>
      </c>
      <c r="F5202" s="107" t="str">
        <f aca="false">IF($C5202="","",$D5202*$E5202)</f>
        <v/>
      </c>
      <c r="G5202" s="107" t="str">
        <f aca="false">IF($C5202="","",$D5202*IFERROR(INDEX('تحليل التكلفة والسعر'!$C$2:$C$700,MATCH($C5202,'تحليل التكلفة والسعر'!$B$2:$B$700,0)),0))</f>
        <v/>
      </c>
    </row>
    <row r="5203" customFormat="false" ht="15" hidden="false" customHeight="false" outlineLevel="0" collapsed="false">
      <c r="A5203" s="103"/>
      <c r="B5203" s="104"/>
      <c r="C5203" s="104"/>
      <c r="E5203" s="107" t="str">
        <f aca="false">IF($C5203="","",IFERROR(INDEX(المنيو!$C$2:$C$500,MATCH($C5203,المنيو!$B$2:$B$500,0)),0))</f>
        <v/>
      </c>
      <c r="F5203" s="107" t="str">
        <f aca="false">IF($C5203="","",$D5203*$E5203)</f>
        <v/>
      </c>
      <c r="G5203" s="107" t="str">
        <f aca="false">IF($C5203="","",$D5203*IFERROR(INDEX('تحليل التكلفة والسعر'!$C$2:$C$700,MATCH($C5203,'تحليل التكلفة والسعر'!$B$2:$B$700,0)),0))</f>
        <v/>
      </c>
    </row>
    <row r="5204" customFormat="false" ht="15" hidden="false" customHeight="false" outlineLevel="0" collapsed="false">
      <c r="A5204" s="103"/>
      <c r="B5204" s="104"/>
      <c r="C5204" s="104"/>
      <c r="E5204" s="107" t="str">
        <f aca="false">IF($C5204="","",IFERROR(INDEX(المنيو!$C$2:$C$500,MATCH($C5204,المنيو!$B$2:$B$500,0)),0))</f>
        <v/>
      </c>
      <c r="F5204" s="107" t="str">
        <f aca="false">IF($C5204="","",$D5204*$E5204)</f>
        <v/>
      </c>
      <c r="G5204" s="107" t="str">
        <f aca="false">IF($C5204="","",$D5204*IFERROR(INDEX('تحليل التكلفة والسعر'!$C$2:$C$700,MATCH($C5204,'تحليل التكلفة والسعر'!$B$2:$B$700,0)),0))</f>
        <v/>
      </c>
    </row>
    <row r="5205" customFormat="false" ht="15" hidden="false" customHeight="false" outlineLevel="0" collapsed="false">
      <c r="A5205" s="103"/>
      <c r="B5205" s="104"/>
      <c r="C5205" s="104"/>
      <c r="E5205" s="107" t="str">
        <f aca="false">IF($C5205="","",IFERROR(INDEX(المنيو!$C$2:$C$500,MATCH($C5205,المنيو!$B$2:$B$500,0)),0))</f>
        <v/>
      </c>
      <c r="F5205" s="107" t="str">
        <f aca="false">IF($C5205="","",$D5205*$E5205)</f>
        <v/>
      </c>
      <c r="G5205" s="107" t="str">
        <f aca="false">IF($C5205="","",$D5205*IFERROR(INDEX('تحليل التكلفة والسعر'!$C$2:$C$700,MATCH($C5205,'تحليل التكلفة والسعر'!$B$2:$B$700,0)),0))</f>
        <v/>
      </c>
    </row>
    <row r="5206" customFormat="false" ht="15" hidden="false" customHeight="false" outlineLevel="0" collapsed="false">
      <c r="A5206" s="103"/>
      <c r="B5206" s="104"/>
      <c r="C5206" s="104"/>
      <c r="E5206" s="107" t="str">
        <f aca="false">IF($C5206="","",IFERROR(INDEX(المنيو!$C$2:$C$500,MATCH($C5206,المنيو!$B$2:$B$500,0)),0))</f>
        <v/>
      </c>
      <c r="F5206" s="107" t="str">
        <f aca="false">IF($C5206="","",$D5206*$E5206)</f>
        <v/>
      </c>
      <c r="G5206" s="107" t="str">
        <f aca="false">IF($C5206="","",$D5206*IFERROR(INDEX('تحليل التكلفة والسعر'!$C$2:$C$700,MATCH($C5206,'تحليل التكلفة والسعر'!$B$2:$B$700,0)),0))</f>
        <v/>
      </c>
    </row>
    <row r="5207" customFormat="false" ht="15" hidden="false" customHeight="false" outlineLevel="0" collapsed="false">
      <c r="A5207" s="103"/>
      <c r="B5207" s="104"/>
      <c r="C5207" s="104"/>
      <c r="E5207" s="107" t="str">
        <f aca="false">IF($C5207="","",IFERROR(INDEX(المنيو!$C$2:$C$500,MATCH($C5207,المنيو!$B$2:$B$500,0)),0))</f>
        <v/>
      </c>
      <c r="F5207" s="107" t="str">
        <f aca="false">IF($C5207="","",$D5207*$E5207)</f>
        <v/>
      </c>
      <c r="G5207" s="107" t="str">
        <f aca="false">IF($C5207="","",$D5207*IFERROR(INDEX('تحليل التكلفة والسعر'!$C$2:$C$700,MATCH($C5207,'تحليل التكلفة والسعر'!$B$2:$B$700,0)),0))</f>
        <v/>
      </c>
    </row>
    <row r="5208" customFormat="false" ht="15" hidden="false" customHeight="false" outlineLevel="0" collapsed="false">
      <c r="A5208" s="103"/>
      <c r="B5208" s="104"/>
      <c r="C5208" s="104"/>
      <c r="E5208" s="107" t="str">
        <f aca="false">IF($C5208="","",IFERROR(INDEX(المنيو!$C$2:$C$500,MATCH($C5208,المنيو!$B$2:$B$500,0)),0))</f>
        <v/>
      </c>
      <c r="F5208" s="107" t="str">
        <f aca="false">IF($C5208="","",$D5208*$E5208)</f>
        <v/>
      </c>
      <c r="G5208" s="107" t="str">
        <f aca="false">IF($C5208="","",$D5208*IFERROR(INDEX('تحليل التكلفة والسعر'!$C$2:$C$700,MATCH($C5208,'تحليل التكلفة والسعر'!$B$2:$B$700,0)),0))</f>
        <v/>
      </c>
    </row>
    <row r="5209" customFormat="false" ht="15" hidden="false" customHeight="false" outlineLevel="0" collapsed="false">
      <c r="A5209" s="103"/>
      <c r="B5209" s="104"/>
      <c r="C5209" s="104"/>
      <c r="E5209" s="107" t="str">
        <f aca="false">IF($C5209="","",IFERROR(INDEX(المنيو!$C$2:$C$500,MATCH($C5209,المنيو!$B$2:$B$500,0)),0))</f>
        <v/>
      </c>
      <c r="F5209" s="107" t="str">
        <f aca="false">IF($C5209="","",$D5209*$E5209)</f>
        <v/>
      </c>
      <c r="G5209" s="107" t="str">
        <f aca="false">IF($C5209="","",$D5209*IFERROR(INDEX('تحليل التكلفة والسعر'!$C$2:$C$700,MATCH($C5209,'تحليل التكلفة والسعر'!$B$2:$B$700,0)),0))</f>
        <v/>
      </c>
    </row>
    <row r="5210" customFormat="false" ht="15" hidden="false" customHeight="false" outlineLevel="0" collapsed="false">
      <c r="A5210" s="103"/>
      <c r="B5210" s="104"/>
      <c r="C5210" s="104"/>
      <c r="E5210" s="107" t="str">
        <f aca="false">IF($C5210="","",IFERROR(INDEX(المنيو!$C$2:$C$500,MATCH($C5210,المنيو!$B$2:$B$500,0)),0))</f>
        <v/>
      </c>
      <c r="F5210" s="107" t="str">
        <f aca="false">IF($C5210="","",$D5210*$E5210)</f>
        <v/>
      </c>
      <c r="G5210" s="107" t="str">
        <f aca="false">IF($C5210="","",$D5210*IFERROR(INDEX('تحليل التكلفة والسعر'!$C$2:$C$700,MATCH($C5210,'تحليل التكلفة والسعر'!$B$2:$B$700,0)),0))</f>
        <v/>
      </c>
    </row>
    <row r="5211" customFormat="false" ht="15" hidden="false" customHeight="false" outlineLevel="0" collapsed="false">
      <c r="A5211" s="103"/>
      <c r="B5211" s="104"/>
      <c r="C5211" s="104"/>
      <c r="E5211" s="107" t="str">
        <f aca="false">IF($C5211="","",IFERROR(INDEX(المنيو!$C$2:$C$500,MATCH($C5211,المنيو!$B$2:$B$500,0)),0))</f>
        <v/>
      </c>
      <c r="F5211" s="107" t="str">
        <f aca="false">IF($C5211="","",$D5211*$E5211)</f>
        <v/>
      </c>
      <c r="G5211" s="107" t="str">
        <f aca="false">IF($C5211="","",$D5211*IFERROR(INDEX('تحليل التكلفة والسعر'!$C$2:$C$700,MATCH($C5211,'تحليل التكلفة والسعر'!$B$2:$B$700,0)),0))</f>
        <v/>
      </c>
    </row>
    <row r="5212" customFormat="false" ht="15" hidden="false" customHeight="false" outlineLevel="0" collapsed="false">
      <c r="A5212" s="103"/>
      <c r="B5212" s="104"/>
      <c r="C5212" s="104"/>
      <c r="E5212" s="107" t="str">
        <f aca="false">IF($C5212="","",IFERROR(INDEX(المنيو!$C$2:$C$500,MATCH($C5212,المنيو!$B$2:$B$500,0)),0))</f>
        <v/>
      </c>
      <c r="F5212" s="107" t="str">
        <f aca="false">IF($C5212="","",$D5212*$E5212)</f>
        <v/>
      </c>
      <c r="G5212" s="107" t="str">
        <f aca="false">IF($C5212="","",$D5212*IFERROR(INDEX('تحليل التكلفة والسعر'!$C$2:$C$700,MATCH($C5212,'تحليل التكلفة والسعر'!$B$2:$B$700,0)),0))</f>
        <v/>
      </c>
    </row>
    <row r="5213" customFormat="false" ht="15" hidden="false" customHeight="false" outlineLevel="0" collapsed="false">
      <c r="A5213" s="103"/>
      <c r="B5213" s="104"/>
      <c r="C5213" s="104"/>
      <c r="E5213" s="107" t="str">
        <f aca="false">IF($C5213="","",IFERROR(INDEX(المنيو!$C$2:$C$500,MATCH($C5213,المنيو!$B$2:$B$500,0)),0))</f>
        <v/>
      </c>
      <c r="F5213" s="107" t="str">
        <f aca="false">IF($C5213="","",$D5213*$E5213)</f>
        <v/>
      </c>
      <c r="G5213" s="107" t="str">
        <f aca="false">IF($C5213="","",$D5213*IFERROR(INDEX('تحليل التكلفة والسعر'!$C$2:$C$700,MATCH($C5213,'تحليل التكلفة والسعر'!$B$2:$B$700,0)),0))</f>
        <v/>
      </c>
    </row>
    <row r="5214" customFormat="false" ht="15" hidden="false" customHeight="false" outlineLevel="0" collapsed="false">
      <c r="A5214" s="103"/>
      <c r="B5214" s="104"/>
      <c r="C5214" s="104"/>
      <c r="E5214" s="107" t="str">
        <f aca="false">IF($C5214="","",IFERROR(INDEX(المنيو!$C$2:$C$500,MATCH($C5214,المنيو!$B$2:$B$500,0)),0))</f>
        <v/>
      </c>
      <c r="F5214" s="107" t="str">
        <f aca="false">IF($C5214="","",$D5214*$E5214)</f>
        <v/>
      </c>
      <c r="G5214" s="107" t="str">
        <f aca="false">IF($C5214="","",$D5214*IFERROR(INDEX('تحليل التكلفة والسعر'!$C$2:$C$700,MATCH($C5214,'تحليل التكلفة والسعر'!$B$2:$B$700,0)),0))</f>
        <v/>
      </c>
    </row>
    <row r="5215" customFormat="false" ht="15" hidden="false" customHeight="false" outlineLevel="0" collapsed="false">
      <c r="A5215" s="103"/>
      <c r="B5215" s="104"/>
      <c r="C5215" s="104"/>
      <c r="E5215" s="107" t="str">
        <f aca="false">IF($C5215="","",IFERROR(INDEX(المنيو!$C$2:$C$500,MATCH($C5215,المنيو!$B$2:$B$500,0)),0))</f>
        <v/>
      </c>
      <c r="F5215" s="107" t="str">
        <f aca="false">IF($C5215="","",$D5215*$E5215)</f>
        <v/>
      </c>
      <c r="G5215" s="107" t="str">
        <f aca="false">IF($C5215="","",$D5215*IFERROR(INDEX('تحليل التكلفة والسعر'!$C$2:$C$700,MATCH($C5215,'تحليل التكلفة والسعر'!$B$2:$B$700,0)),0))</f>
        <v/>
      </c>
    </row>
    <row r="5216" customFormat="false" ht="15" hidden="false" customHeight="false" outlineLevel="0" collapsed="false">
      <c r="A5216" s="103"/>
      <c r="B5216" s="104"/>
      <c r="C5216" s="104"/>
      <c r="E5216" s="107" t="str">
        <f aca="false">IF($C5216="","",IFERROR(INDEX(المنيو!$C$2:$C$500,MATCH($C5216,المنيو!$B$2:$B$500,0)),0))</f>
        <v/>
      </c>
      <c r="F5216" s="107" t="str">
        <f aca="false">IF($C5216="","",$D5216*$E5216)</f>
        <v/>
      </c>
      <c r="G5216" s="107" t="str">
        <f aca="false">IF($C5216="","",$D5216*IFERROR(INDEX('تحليل التكلفة والسعر'!$C$2:$C$700,MATCH($C5216,'تحليل التكلفة والسعر'!$B$2:$B$700,0)),0))</f>
        <v/>
      </c>
    </row>
    <row r="5217" customFormat="false" ht="15" hidden="false" customHeight="false" outlineLevel="0" collapsed="false">
      <c r="A5217" s="103"/>
      <c r="B5217" s="104"/>
      <c r="C5217" s="104"/>
      <c r="E5217" s="107" t="str">
        <f aca="false">IF($C5217="","",IFERROR(INDEX(المنيو!$C$2:$C$500,MATCH($C5217,المنيو!$B$2:$B$500,0)),0))</f>
        <v/>
      </c>
      <c r="F5217" s="107" t="str">
        <f aca="false">IF($C5217="","",$D5217*$E5217)</f>
        <v/>
      </c>
      <c r="G5217" s="107" t="str">
        <f aca="false">IF($C5217="","",$D5217*IFERROR(INDEX('تحليل التكلفة والسعر'!$C$2:$C$700,MATCH($C5217,'تحليل التكلفة والسعر'!$B$2:$B$700,0)),0))</f>
        <v/>
      </c>
    </row>
    <row r="5218" customFormat="false" ht="15" hidden="false" customHeight="false" outlineLevel="0" collapsed="false">
      <c r="A5218" s="103"/>
      <c r="B5218" s="104"/>
      <c r="C5218" s="104"/>
      <c r="E5218" s="107" t="str">
        <f aca="false">IF($C5218="","",IFERROR(INDEX(المنيو!$C$2:$C$500,MATCH($C5218,المنيو!$B$2:$B$500,0)),0))</f>
        <v/>
      </c>
      <c r="F5218" s="107" t="str">
        <f aca="false">IF($C5218="","",$D5218*$E5218)</f>
        <v/>
      </c>
      <c r="G5218" s="107" t="str">
        <f aca="false">IF($C5218="","",$D5218*IFERROR(INDEX('تحليل التكلفة والسعر'!$C$2:$C$700,MATCH($C5218,'تحليل التكلفة والسعر'!$B$2:$B$700,0)),0))</f>
        <v/>
      </c>
    </row>
    <row r="5219" customFormat="false" ht="15" hidden="false" customHeight="false" outlineLevel="0" collapsed="false">
      <c r="A5219" s="103"/>
      <c r="B5219" s="104"/>
      <c r="C5219" s="104"/>
      <c r="E5219" s="107" t="str">
        <f aca="false">IF($C5219="","",IFERROR(INDEX(المنيو!$C$2:$C$500,MATCH($C5219,المنيو!$B$2:$B$500,0)),0))</f>
        <v/>
      </c>
      <c r="F5219" s="107" t="str">
        <f aca="false">IF($C5219="","",$D5219*$E5219)</f>
        <v/>
      </c>
      <c r="G5219" s="107" t="str">
        <f aca="false">IF($C5219="","",$D5219*IFERROR(INDEX('تحليل التكلفة والسعر'!$C$2:$C$700,MATCH($C5219,'تحليل التكلفة والسعر'!$B$2:$B$700,0)),0))</f>
        <v/>
      </c>
    </row>
    <row r="5220" customFormat="false" ht="15" hidden="false" customHeight="false" outlineLevel="0" collapsed="false">
      <c r="A5220" s="103"/>
      <c r="B5220" s="104"/>
      <c r="C5220" s="104"/>
      <c r="E5220" s="107" t="str">
        <f aca="false">IF($C5220="","",IFERROR(INDEX(المنيو!$C$2:$C$500,MATCH($C5220,المنيو!$B$2:$B$500,0)),0))</f>
        <v/>
      </c>
      <c r="F5220" s="107" t="str">
        <f aca="false">IF($C5220="","",$D5220*$E5220)</f>
        <v/>
      </c>
      <c r="G5220" s="107" t="str">
        <f aca="false">IF($C5220="","",$D5220*IFERROR(INDEX('تحليل التكلفة والسعر'!$C$2:$C$700,MATCH($C5220,'تحليل التكلفة والسعر'!$B$2:$B$700,0)),0))</f>
        <v/>
      </c>
    </row>
    <row r="5221" customFormat="false" ht="15" hidden="false" customHeight="false" outlineLevel="0" collapsed="false">
      <c r="A5221" s="103"/>
      <c r="B5221" s="104"/>
      <c r="C5221" s="104"/>
      <c r="E5221" s="107" t="str">
        <f aca="false">IF($C5221="","",IFERROR(INDEX(المنيو!$C$2:$C$500,MATCH($C5221,المنيو!$B$2:$B$500,0)),0))</f>
        <v/>
      </c>
      <c r="F5221" s="107" t="str">
        <f aca="false">IF($C5221="","",$D5221*$E5221)</f>
        <v/>
      </c>
      <c r="G5221" s="107" t="str">
        <f aca="false">IF($C5221="","",$D5221*IFERROR(INDEX('تحليل التكلفة والسعر'!$C$2:$C$700,MATCH($C5221,'تحليل التكلفة والسعر'!$B$2:$B$700,0)),0))</f>
        <v/>
      </c>
    </row>
    <row r="5222" customFormat="false" ht="15" hidden="false" customHeight="false" outlineLevel="0" collapsed="false">
      <c r="A5222" s="103"/>
      <c r="B5222" s="104"/>
      <c r="C5222" s="104"/>
      <c r="E5222" s="107" t="str">
        <f aca="false">IF($C5222="","",IFERROR(INDEX(المنيو!$C$2:$C$500,MATCH($C5222,المنيو!$B$2:$B$500,0)),0))</f>
        <v/>
      </c>
      <c r="F5222" s="107" t="str">
        <f aca="false">IF($C5222="","",$D5222*$E5222)</f>
        <v/>
      </c>
      <c r="G5222" s="107" t="str">
        <f aca="false">IF($C5222="","",$D5222*IFERROR(INDEX('تحليل التكلفة والسعر'!$C$2:$C$700,MATCH($C5222,'تحليل التكلفة والسعر'!$B$2:$B$700,0)),0))</f>
        <v/>
      </c>
    </row>
    <row r="5223" customFormat="false" ht="15" hidden="false" customHeight="false" outlineLevel="0" collapsed="false">
      <c r="A5223" s="103"/>
      <c r="B5223" s="104"/>
      <c r="C5223" s="104"/>
      <c r="E5223" s="107" t="str">
        <f aca="false">IF($C5223="","",IFERROR(INDEX(المنيو!$C$2:$C$500,MATCH($C5223,المنيو!$B$2:$B$500,0)),0))</f>
        <v/>
      </c>
      <c r="F5223" s="107" t="str">
        <f aca="false">IF($C5223="","",$D5223*$E5223)</f>
        <v/>
      </c>
      <c r="G5223" s="107" t="str">
        <f aca="false">IF($C5223="","",$D5223*IFERROR(INDEX('تحليل التكلفة والسعر'!$C$2:$C$700,MATCH($C5223,'تحليل التكلفة والسعر'!$B$2:$B$700,0)),0))</f>
        <v/>
      </c>
    </row>
    <row r="5224" customFormat="false" ht="15" hidden="false" customHeight="false" outlineLevel="0" collapsed="false">
      <c r="A5224" s="103"/>
      <c r="B5224" s="104"/>
      <c r="C5224" s="104"/>
      <c r="E5224" s="107" t="str">
        <f aca="false">IF($C5224="","",IFERROR(INDEX(المنيو!$C$2:$C$500,MATCH($C5224,المنيو!$B$2:$B$500,0)),0))</f>
        <v/>
      </c>
      <c r="F5224" s="107" t="str">
        <f aca="false">IF($C5224="","",$D5224*$E5224)</f>
        <v/>
      </c>
      <c r="G5224" s="107" t="str">
        <f aca="false">IF($C5224="","",$D5224*IFERROR(INDEX('تحليل التكلفة والسعر'!$C$2:$C$700,MATCH($C5224,'تحليل التكلفة والسعر'!$B$2:$B$700,0)),0))</f>
        <v/>
      </c>
    </row>
    <row r="5225" customFormat="false" ht="15" hidden="false" customHeight="false" outlineLevel="0" collapsed="false">
      <c r="A5225" s="103"/>
      <c r="B5225" s="104"/>
      <c r="C5225" s="104"/>
      <c r="E5225" s="107" t="str">
        <f aca="false">IF($C5225="","",IFERROR(INDEX(المنيو!$C$2:$C$500,MATCH($C5225,المنيو!$B$2:$B$500,0)),0))</f>
        <v/>
      </c>
      <c r="F5225" s="107" t="str">
        <f aca="false">IF($C5225="","",$D5225*$E5225)</f>
        <v/>
      </c>
      <c r="G5225" s="107" t="str">
        <f aca="false">IF($C5225="","",$D5225*IFERROR(INDEX('تحليل التكلفة والسعر'!$C$2:$C$700,MATCH($C5225,'تحليل التكلفة والسعر'!$B$2:$B$700,0)),0))</f>
        <v/>
      </c>
    </row>
    <row r="5226" customFormat="false" ht="15" hidden="false" customHeight="false" outlineLevel="0" collapsed="false">
      <c r="A5226" s="103"/>
      <c r="B5226" s="104"/>
      <c r="C5226" s="104"/>
      <c r="E5226" s="107" t="str">
        <f aca="false">IF($C5226="","",IFERROR(INDEX(المنيو!$C$2:$C$500,MATCH($C5226,المنيو!$B$2:$B$500,0)),0))</f>
        <v/>
      </c>
      <c r="F5226" s="107" t="str">
        <f aca="false">IF($C5226="","",$D5226*$E5226)</f>
        <v/>
      </c>
      <c r="G5226" s="107" t="str">
        <f aca="false">IF($C5226="","",$D5226*IFERROR(INDEX('تحليل التكلفة والسعر'!$C$2:$C$700,MATCH($C5226,'تحليل التكلفة والسعر'!$B$2:$B$700,0)),0))</f>
        <v/>
      </c>
    </row>
    <row r="5227" customFormat="false" ht="15" hidden="false" customHeight="false" outlineLevel="0" collapsed="false">
      <c r="A5227" s="103"/>
      <c r="B5227" s="104"/>
      <c r="C5227" s="104"/>
      <c r="E5227" s="107" t="str">
        <f aca="false">IF($C5227="","",IFERROR(INDEX(المنيو!$C$2:$C$500,MATCH($C5227,المنيو!$B$2:$B$500,0)),0))</f>
        <v/>
      </c>
      <c r="F5227" s="107" t="str">
        <f aca="false">IF($C5227="","",$D5227*$E5227)</f>
        <v/>
      </c>
      <c r="G5227" s="107" t="str">
        <f aca="false">IF($C5227="","",$D5227*IFERROR(INDEX('تحليل التكلفة والسعر'!$C$2:$C$700,MATCH($C5227,'تحليل التكلفة والسعر'!$B$2:$B$700,0)),0))</f>
        <v/>
      </c>
    </row>
    <row r="5228" customFormat="false" ht="15" hidden="false" customHeight="false" outlineLevel="0" collapsed="false">
      <c r="A5228" s="103"/>
      <c r="B5228" s="104"/>
      <c r="C5228" s="104"/>
      <c r="E5228" s="107" t="str">
        <f aca="false">IF($C5228="","",IFERROR(INDEX(المنيو!$C$2:$C$500,MATCH($C5228,المنيو!$B$2:$B$500,0)),0))</f>
        <v/>
      </c>
      <c r="F5228" s="107" t="str">
        <f aca="false">IF($C5228="","",$D5228*$E5228)</f>
        <v/>
      </c>
      <c r="G5228" s="107" t="str">
        <f aca="false">IF($C5228="","",$D5228*IFERROR(INDEX('تحليل التكلفة والسعر'!$C$2:$C$700,MATCH($C5228,'تحليل التكلفة والسعر'!$B$2:$B$700,0)),0))</f>
        <v/>
      </c>
    </row>
    <row r="5229" customFormat="false" ht="15" hidden="false" customHeight="false" outlineLevel="0" collapsed="false">
      <c r="A5229" s="103"/>
      <c r="B5229" s="104"/>
      <c r="C5229" s="104"/>
      <c r="E5229" s="107" t="str">
        <f aca="false">IF($C5229="","",IFERROR(INDEX(المنيو!$C$2:$C$500,MATCH($C5229,المنيو!$B$2:$B$500,0)),0))</f>
        <v/>
      </c>
      <c r="F5229" s="107" t="str">
        <f aca="false">IF($C5229="","",$D5229*$E5229)</f>
        <v/>
      </c>
      <c r="G5229" s="107" t="str">
        <f aca="false">IF($C5229="","",$D5229*IFERROR(INDEX('تحليل التكلفة والسعر'!$C$2:$C$700,MATCH($C5229,'تحليل التكلفة والسعر'!$B$2:$B$700,0)),0))</f>
        <v/>
      </c>
    </row>
    <row r="5230" customFormat="false" ht="15" hidden="false" customHeight="false" outlineLevel="0" collapsed="false">
      <c r="A5230" s="103"/>
      <c r="B5230" s="104"/>
      <c r="C5230" s="104"/>
      <c r="E5230" s="107" t="str">
        <f aca="false">IF($C5230="","",IFERROR(INDEX(المنيو!$C$2:$C$500,MATCH($C5230,المنيو!$B$2:$B$500,0)),0))</f>
        <v/>
      </c>
      <c r="F5230" s="107" t="str">
        <f aca="false">IF($C5230="","",$D5230*$E5230)</f>
        <v/>
      </c>
      <c r="G5230" s="107" t="str">
        <f aca="false">IF($C5230="","",$D5230*IFERROR(INDEX('تحليل التكلفة والسعر'!$C$2:$C$700,MATCH($C5230,'تحليل التكلفة والسعر'!$B$2:$B$700,0)),0))</f>
        <v/>
      </c>
    </row>
    <row r="5231" customFormat="false" ht="15" hidden="false" customHeight="false" outlineLevel="0" collapsed="false">
      <c r="A5231" s="103"/>
      <c r="B5231" s="104"/>
      <c r="C5231" s="104"/>
      <c r="E5231" s="107" t="str">
        <f aca="false">IF($C5231="","",IFERROR(INDEX(المنيو!$C$2:$C$500,MATCH($C5231,المنيو!$B$2:$B$500,0)),0))</f>
        <v/>
      </c>
      <c r="F5231" s="107" t="str">
        <f aca="false">IF($C5231="","",$D5231*$E5231)</f>
        <v/>
      </c>
      <c r="G5231" s="107" t="str">
        <f aca="false">IF($C5231="","",$D5231*IFERROR(INDEX('تحليل التكلفة والسعر'!$C$2:$C$700,MATCH($C5231,'تحليل التكلفة والسعر'!$B$2:$B$700,0)),0))</f>
        <v/>
      </c>
    </row>
    <row r="5232" customFormat="false" ht="15" hidden="false" customHeight="false" outlineLevel="0" collapsed="false">
      <c r="A5232" s="103"/>
      <c r="B5232" s="104"/>
      <c r="C5232" s="104"/>
      <c r="E5232" s="107" t="str">
        <f aca="false">IF($C5232="","",IFERROR(INDEX(المنيو!$C$2:$C$500,MATCH($C5232,المنيو!$B$2:$B$500,0)),0))</f>
        <v/>
      </c>
      <c r="F5232" s="107" t="str">
        <f aca="false">IF($C5232="","",$D5232*$E5232)</f>
        <v/>
      </c>
      <c r="G5232" s="107" t="str">
        <f aca="false">IF($C5232="","",$D5232*IFERROR(INDEX('تحليل التكلفة والسعر'!$C$2:$C$700,MATCH($C5232,'تحليل التكلفة والسعر'!$B$2:$B$700,0)),0))</f>
        <v/>
      </c>
    </row>
    <row r="5233" customFormat="false" ht="15" hidden="false" customHeight="false" outlineLevel="0" collapsed="false">
      <c r="A5233" s="103"/>
      <c r="B5233" s="104"/>
      <c r="C5233" s="104"/>
      <c r="E5233" s="107" t="str">
        <f aca="false">IF($C5233="","",IFERROR(INDEX(المنيو!$C$2:$C$500,MATCH($C5233,المنيو!$B$2:$B$500,0)),0))</f>
        <v/>
      </c>
      <c r="F5233" s="107" t="str">
        <f aca="false">IF($C5233="","",$D5233*$E5233)</f>
        <v/>
      </c>
      <c r="G5233" s="107" t="str">
        <f aca="false">IF($C5233="","",$D5233*IFERROR(INDEX('تحليل التكلفة والسعر'!$C$2:$C$700,MATCH($C5233,'تحليل التكلفة والسعر'!$B$2:$B$700,0)),0))</f>
        <v/>
      </c>
    </row>
    <row r="5234" customFormat="false" ht="15" hidden="false" customHeight="false" outlineLevel="0" collapsed="false">
      <c r="A5234" s="103"/>
      <c r="B5234" s="104"/>
      <c r="C5234" s="104"/>
      <c r="E5234" s="107" t="str">
        <f aca="false">IF($C5234="","",IFERROR(INDEX(المنيو!$C$2:$C$500,MATCH($C5234,المنيو!$B$2:$B$500,0)),0))</f>
        <v/>
      </c>
      <c r="F5234" s="107" t="str">
        <f aca="false">IF($C5234="","",$D5234*$E5234)</f>
        <v/>
      </c>
      <c r="G5234" s="107" t="str">
        <f aca="false">IF($C5234="","",$D5234*IFERROR(INDEX('تحليل التكلفة والسعر'!$C$2:$C$700,MATCH($C5234,'تحليل التكلفة والسعر'!$B$2:$B$700,0)),0))</f>
        <v/>
      </c>
    </row>
    <row r="5235" customFormat="false" ht="15" hidden="false" customHeight="false" outlineLevel="0" collapsed="false">
      <c r="A5235" s="103"/>
      <c r="B5235" s="104"/>
      <c r="C5235" s="104"/>
      <c r="E5235" s="107" t="str">
        <f aca="false">IF($C5235="","",IFERROR(INDEX(المنيو!$C$2:$C$500,MATCH($C5235,المنيو!$B$2:$B$500,0)),0))</f>
        <v/>
      </c>
      <c r="F5235" s="107" t="str">
        <f aca="false">IF($C5235="","",$D5235*$E5235)</f>
        <v/>
      </c>
      <c r="G5235" s="107" t="str">
        <f aca="false">IF($C5235="","",$D5235*IFERROR(INDEX('تحليل التكلفة والسعر'!$C$2:$C$700,MATCH($C5235,'تحليل التكلفة والسعر'!$B$2:$B$700,0)),0))</f>
        <v/>
      </c>
    </row>
    <row r="5236" customFormat="false" ht="15" hidden="false" customHeight="false" outlineLevel="0" collapsed="false">
      <c r="A5236" s="103"/>
      <c r="B5236" s="104"/>
      <c r="C5236" s="104"/>
      <c r="E5236" s="107" t="str">
        <f aca="false">IF($C5236="","",IFERROR(INDEX(المنيو!$C$2:$C$500,MATCH($C5236,المنيو!$B$2:$B$500,0)),0))</f>
        <v/>
      </c>
      <c r="F5236" s="107" t="str">
        <f aca="false">IF($C5236="","",$D5236*$E5236)</f>
        <v/>
      </c>
      <c r="G5236" s="107" t="str">
        <f aca="false">IF($C5236="","",$D5236*IFERROR(INDEX('تحليل التكلفة والسعر'!$C$2:$C$700,MATCH($C5236,'تحليل التكلفة والسعر'!$B$2:$B$700,0)),0))</f>
        <v/>
      </c>
    </row>
    <row r="5237" customFormat="false" ht="15" hidden="false" customHeight="false" outlineLevel="0" collapsed="false">
      <c r="A5237" s="103"/>
      <c r="B5237" s="104"/>
      <c r="C5237" s="104"/>
      <c r="E5237" s="107" t="str">
        <f aca="false">IF($C5237="","",IFERROR(INDEX(المنيو!$C$2:$C$500,MATCH($C5237,المنيو!$B$2:$B$500,0)),0))</f>
        <v/>
      </c>
      <c r="F5237" s="107" t="str">
        <f aca="false">IF($C5237="","",$D5237*$E5237)</f>
        <v/>
      </c>
      <c r="G5237" s="107" t="str">
        <f aca="false">IF($C5237="","",$D5237*IFERROR(INDEX('تحليل التكلفة والسعر'!$C$2:$C$700,MATCH($C5237,'تحليل التكلفة والسعر'!$B$2:$B$700,0)),0))</f>
        <v/>
      </c>
    </row>
    <row r="5238" customFormat="false" ht="15" hidden="false" customHeight="false" outlineLevel="0" collapsed="false">
      <c r="A5238" s="103"/>
      <c r="B5238" s="104"/>
      <c r="C5238" s="104"/>
      <c r="E5238" s="107" t="str">
        <f aca="false">IF($C5238="","",IFERROR(INDEX(المنيو!$C$2:$C$500,MATCH($C5238,المنيو!$B$2:$B$500,0)),0))</f>
        <v/>
      </c>
      <c r="F5238" s="107" t="str">
        <f aca="false">IF($C5238="","",$D5238*$E5238)</f>
        <v/>
      </c>
      <c r="G5238" s="107" t="str">
        <f aca="false">IF($C5238="","",$D5238*IFERROR(INDEX('تحليل التكلفة والسعر'!$C$2:$C$700,MATCH($C5238,'تحليل التكلفة والسعر'!$B$2:$B$700,0)),0))</f>
        <v/>
      </c>
    </row>
    <row r="5239" customFormat="false" ht="15" hidden="false" customHeight="false" outlineLevel="0" collapsed="false">
      <c r="A5239" s="103"/>
      <c r="B5239" s="104"/>
      <c r="C5239" s="104"/>
      <c r="E5239" s="107" t="str">
        <f aca="false">IF($C5239="","",IFERROR(INDEX(المنيو!$C$2:$C$500,MATCH($C5239,المنيو!$B$2:$B$500,0)),0))</f>
        <v/>
      </c>
      <c r="F5239" s="107" t="str">
        <f aca="false">IF($C5239="","",$D5239*$E5239)</f>
        <v/>
      </c>
      <c r="G5239" s="107" t="str">
        <f aca="false">IF($C5239="","",$D5239*IFERROR(INDEX('تحليل التكلفة والسعر'!$C$2:$C$700,MATCH($C5239,'تحليل التكلفة والسعر'!$B$2:$B$700,0)),0))</f>
        <v/>
      </c>
    </row>
    <row r="5240" customFormat="false" ht="15" hidden="false" customHeight="false" outlineLevel="0" collapsed="false">
      <c r="A5240" s="103"/>
      <c r="B5240" s="104"/>
      <c r="C5240" s="104"/>
      <c r="E5240" s="107" t="str">
        <f aca="false">IF($C5240="","",IFERROR(INDEX(المنيو!$C$2:$C$500,MATCH($C5240,المنيو!$B$2:$B$500,0)),0))</f>
        <v/>
      </c>
      <c r="F5240" s="107" t="str">
        <f aca="false">IF($C5240="","",$D5240*$E5240)</f>
        <v/>
      </c>
      <c r="G5240" s="107" t="str">
        <f aca="false">IF($C5240="","",$D5240*IFERROR(INDEX('تحليل التكلفة والسعر'!$C$2:$C$700,MATCH($C5240,'تحليل التكلفة والسعر'!$B$2:$B$700,0)),0))</f>
        <v/>
      </c>
    </row>
    <row r="5241" customFormat="false" ht="15" hidden="false" customHeight="false" outlineLevel="0" collapsed="false">
      <c r="A5241" s="103"/>
      <c r="B5241" s="104"/>
      <c r="C5241" s="104"/>
      <c r="E5241" s="107" t="str">
        <f aca="false">IF($C5241="","",IFERROR(INDEX(المنيو!$C$2:$C$500,MATCH($C5241,المنيو!$B$2:$B$500,0)),0))</f>
        <v/>
      </c>
      <c r="F5241" s="107" t="str">
        <f aca="false">IF($C5241="","",$D5241*$E5241)</f>
        <v/>
      </c>
      <c r="G5241" s="107" t="str">
        <f aca="false">IF($C5241="","",$D5241*IFERROR(INDEX('تحليل التكلفة والسعر'!$C$2:$C$700,MATCH($C5241,'تحليل التكلفة والسعر'!$B$2:$B$700,0)),0))</f>
        <v/>
      </c>
    </row>
    <row r="5242" customFormat="false" ht="15" hidden="false" customHeight="false" outlineLevel="0" collapsed="false">
      <c r="A5242" s="103"/>
      <c r="B5242" s="104"/>
      <c r="C5242" s="104"/>
      <c r="E5242" s="107" t="str">
        <f aca="false">IF($C5242="","",IFERROR(INDEX(المنيو!$C$2:$C$500,MATCH($C5242,المنيو!$B$2:$B$500,0)),0))</f>
        <v/>
      </c>
      <c r="F5242" s="107" t="str">
        <f aca="false">IF($C5242="","",$D5242*$E5242)</f>
        <v/>
      </c>
      <c r="G5242" s="107" t="str">
        <f aca="false">IF($C5242="","",$D5242*IFERROR(INDEX('تحليل التكلفة والسعر'!$C$2:$C$700,MATCH($C5242,'تحليل التكلفة والسعر'!$B$2:$B$700,0)),0))</f>
        <v/>
      </c>
    </row>
    <row r="5243" customFormat="false" ht="15" hidden="false" customHeight="false" outlineLevel="0" collapsed="false">
      <c r="A5243" s="103"/>
      <c r="B5243" s="104"/>
      <c r="C5243" s="104"/>
      <c r="E5243" s="107" t="str">
        <f aca="false">IF($C5243="","",IFERROR(INDEX(المنيو!$C$2:$C$500,MATCH($C5243,المنيو!$B$2:$B$500,0)),0))</f>
        <v/>
      </c>
      <c r="F5243" s="107" t="str">
        <f aca="false">IF($C5243="","",$D5243*$E5243)</f>
        <v/>
      </c>
      <c r="G5243" s="107" t="str">
        <f aca="false">IF($C5243="","",$D5243*IFERROR(INDEX('تحليل التكلفة والسعر'!$C$2:$C$700,MATCH($C5243,'تحليل التكلفة والسعر'!$B$2:$B$700,0)),0))</f>
        <v/>
      </c>
    </row>
    <row r="5244" customFormat="false" ht="15" hidden="false" customHeight="false" outlineLevel="0" collapsed="false">
      <c r="A5244" s="103"/>
      <c r="B5244" s="104"/>
      <c r="C5244" s="104"/>
      <c r="E5244" s="107" t="str">
        <f aca="false">IF($C5244="","",IFERROR(INDEX(المنيو!$C$2:$C$500,MATCH($C5244,المنيو!$B$2:$B$500,0)),0))</f>
        <v/>
      </c>
      <c r="F5244" s="107" t="str">
        <f aca="false">IF($C5244="","",$D5244*$E5244)</f>
        <v/>
      </c>
      <c r="G5244" s="107" t="str">
        <f aca="false">IF($C5244="","",$D5244*IFERROR(INDEX('تحليل التكلفة والسعر'!$C$2:$C$700,MATCH($C5244,'تحليل التكلفة والسعر'!$B$2:$B$700,0)),0))</f>
        <v/>
      </c>
    </row>
    <row r="5245" customFormat="false" ht="15" hidden="false" customHeight="false" outlineLevel="0" collapsed="false">
      <c r="A5245" s="103"/>
      <c r="B5245" s="104"/>
      <c r="C5245" s="104"/>
      <c r="E5245" s="107" t="str">
        <f aca="false">IF($C5245="","",IFERROR(INDEX(المنيو!$C$2:$C$500,MATCH($C5245,المنيو!$B$2:$B$500,0)),0))</f>
        <v/>
      </c>
      <c r="F5245" s="107" t="str">
        <f aca="false">IF($C5245="","",$D5245*$E5245)</f>
        <v/>
      </c>
      <c r="G5245" s="107" t="str">
        <f aca="false">IF($C5245="","",$D5245*IFERROR(INDEX('تحليل التكلفة والسعر'!$C$2:$C$700,MATCH($C5245,'تحليل التكلفة والسعر'!$B$2:$B$700,0)),0))</f>
        <v/>
      </c>
    </row>
    <row r="5246" customFormat="false" ht="15" hidden="false" customHeight="false" outlineLevel="0" collapsed="false">
      <c r="A5246" s="103"/>
      <c r="B5246" s="104"/>
      <c r="C5246" s="104"/>
      <c r="E5246" s="107" t="str">
        <f aca="false">IF($C5246="","",IFERROR(INDEX(المنيو!$C$2:$C$500,MATCH($C5246,المنيو!$B$2:$B$500,0)),0))</f>
        <v/>
      </c>
      <c r="F5246" s="107" t="str">
        <f aca="false">IF($C5246="","",$D5246*$E5246)</f>
        <v/>
      </c>
      <c r="G5246" s="107" t="str">
        <f aca="false">IF($C5246="","",$D5246*IFERROR(INDEX('تحليل التكلفة والسعر'!$C$2:$C$700,MATCH($C5246,'تحليل التكلفة والسعر'!$B$2:$B$700,0)),0))</f>
        <v/>
      </c>
    </row>
    <row r="5247" customFormat="false" ht="15" hidden="false" customHeight="false" outlineLevel="0" collapsed="false">
      <c r="A5247" s="103"/>
      <c r="B5247" s="104"/>
      <c r="C5247" s="104"/>
      <c r="E5247" s="107" t="str">
        <f aca="false">IF($C5247="","",IFERROR(INDEX(المنيو!$C$2:$C$500,MATCH($C5247,المنيو!$B$2:$B$500,0)),0))</f>
        <v/>
      </c>
      <c r="F5247" s="107" t="str">
        <f aca="false">IF($C5247="","",$D5247*$E5247)</f>
        <v/>
      </c>
      <c r="G5247" s="107" t="str">
        <f aca="false">IF($C5247="","",$D5247*IFERROR(INDEX('تحليل التكلفة والسعر'!$C$2:$C$700,MATCH($C5247,'تحليل التكلفة والسعر'!$B$2:$B$700,0)),0))</f>
        <v/>
      </c>
    </row>
    <row r="5248" customFormat="false" ht="15" hidden="false" customHeight="false" outlineLevel="0" collapsed="false">
      <c r="A5248" s="103"/>
      <c r="B5248" s="104"/>
      <c r="C5248" s="104"/>
      <c r="E5248" s="107" t="str">
        <f aca="false">IF($C5248="","",IFERROR(INDEX(المنيو!$C$2:$C$500,MATCH($C5248,المنيو!$B$2:$B$500,0)),0))</f>
        <v/>
      </c>
      <c r="F5248" s="107" t="str">
        <f aca="false">IF($C5248="","",$D5248*$E5248)</f>
        <v/>
      </c>
      <c r="G5248" s="107" t="str">
        <f aca="false">IF($C5248="","",$D5248*IFERROR(INDEX('تحليل التكلفة والسعر'!$C$2:$C$700,MATCH($C5248,'تحليل التكلفة والسعر'!$B$2:$B$700,0)),0))</f>
        <v/>
      </c>
    </row>
    <row r="5249" customFormat="false" ht="15" hidden="false" customHeight="false" outlineLevel="0" collapsed="false">
      <c r="A5249" s="103"/>
      <c r="B5249" s="104"/>
      <c r="C5249" s="104"/>
      <c r="E5249" s="107" t="str">
        <f aca="false">IF($C5249="","",IFERROR(INDEX(المنيو!$C$2:$C$500,MATCH($C5249,المنيو!$B$2:$B$500,0)),0))</f>
        <v/>
      </c>
      <c r="F5249" s="107" t="str">
        <f aca="false">IF($C5249="","",$D5249*$E5249)</f>
        <v/>
      </c>
      <c r="G5249" s="107" t="str">
        <f aca="false">IF($C5249="","",$D5249*IFERROR(INDEX('تحليل التكلفة والسعر'!$C$2:$C$700,MATCH($C5249,'تحليل التكلفة والسعر'!$B$2:$B$700,0)),0))</f>
        <v/>
      </c>
    </row>
    <row r="5250" customFormat="false" ht="15" hidden="false" customHeight="false" outlineLevel="0" collapsed="false">
      <c r="A5250" s="103"/>
      <c r="B5250" s="104"/>
      <c r="C5250" s="104"/>
      <c r="E5250" s="107" t="str">
        <f aca="false">IF($C5250="","",IFERROR(INDEX(المنيو!$C$2:$C$500,MATCH($C5250,المنيو!$B$2:$B$500,0)),0))</f>
        <v/>
      </c>
      <c r="F5250" s="107" t="str">
        <f aca="false">IF($C5250="","",$D5250*$E5250)</f>
        <v/>
      </c>
      <c r="G5250" s="107" t="str">
        <f aca="false">IF($C5250="","",$D5250*IFERROR(INDEX('تحليل التكلفة والسعر'!$C$2:$C$700,MATCH($C5250,'تحليل التكلفة والسعر'!$B$2:$B$700,0)),0))</f>
        <v/>
      </c>
    </row>
    <row r="5251" customFormat="false" ht="15" hidden="false" customHeight="false" outlineLevel="0" collapsed="false">
      <c r="A5251" s="103"/>
      <c r="B5251" s="104"/>
      <c r="C5251" s="104"/>
      <c r="E5251" s="107" t="str">
        <f aca="false">IF($C5251="","",IFERROR(INDEX(المنيو!$C$2:$C$500,MATCH($C5251,المنيو!$B$2:$B$500,0)),0))</f>
        <v/>
      </c>
      <c r="F5251" s="107" t="str">
        <f aca="false">IF($C5251="","",$D5251*$E5251)</f>
        <v/>
      </c>
      <c r="G5251" s="107" t="str">
        <f aca="false">IF($C5251="","",$D5251*IFERROR(INDEX('تحليل التكلفة والسعر'!$C$2:$C$700,MATCH($C5251,'تحليل التكلفة والسعر'!$B$2:$B$700,0)),0))</f>
        <v/>
      </c>
    </row>
    <row r="5252" customFormat="false" ht="15" hidden="false" customHeight="false" outlineLevel="0" collapsed="false">
      <c r="A5252" s="103"/>
      <c r="B5252" s="104"/>
      <c r="C5252" s="104"/>
      <c r="E5252" s="107" t="str">
        <f aca="false">IF($C5252="","",IFERROR(INDEX(المنيو!$C$2:$C$500,MATCH($C5252,المنيو!$B$2:$B$500,0)),0))</f>
        <v/>
      </c>
      <c r="F5252" s="107" t="str">
        <f aca="false">IF($C5252="","",$D5252*$E5252)</f>
        <v/>
      </c>
      <c r="G5252" s="107" t="str">
        <f aca="false">IF($C5252="","",$D5252*IFERROR(INDEX('تحليل التكلفة والسعر'!$C$2:$C$700,MATCH($C5252,'تحليل التكلفة والسعر'!$B$2:$B$700,0)),0))</f>
        <v/>
      </c>
    </row>
    <row r="5253" customFormat="false" ht="15" hidden="false" customHeight="false" outlineLevel="0" collapsed="false">
      <c r="A5253" s="103"/>
      <c r="B5253" s="104"/>
      <c r="C5253" s="104"/>
      <c r="E5253" s="107" t="str">
        <f aca="false">IF($C5253="","",IFERROR(INDEX(المنيو!$C$2:$C$500,MATCH($C5253,المنيو!$B$2:$B$500,0)),0))</f>
        <v/>
      </c>
      <c r="F5253" s="107" t="str">
        <f aca="false">IF($C5253="","",$D5253*$E5253)</f>
        <v/>
      </c>
      <c r="G5253" s="107" t="str">
        <f aca="false">IF($C5253="","",$D5253*IFERROR(INDEX('تحليل التكلفة والسعر'!$C$2:$C$700,MATCH($C5253,'تحليل التكلفة والسعر'!$B$2:$B$700,0)),0))</f>
        <v/>
      </c>
    </row>
    <row r="5254" customFormat="false" ht="15" hidden="false" customHeight="false" outlineLevel="0" collapsed="false">
      <c r="A5254" s="103"/>
      <c r="B5254" s="104"/>
      <c r="C5254" s="104"/>
      <c r="E5254" s="107" t="str">
        <f aca="false">IF($C5254="","",IFERROR(INDEX(المنيو!$C$2:$C$500,MATCH($C5254,المنيو!$B$2:$B$500,0)),0))</f>
        <v/>
      </c>
      <c r="F5254" s="107" t="str">
        <f aca="false">IF($C5254="","",$D5254*$E5254)</f>
        <v/>
      </c>
      <c r="G5254" s="107" t="str">
        <f aca="false">IF($C5254="","",$D5254*IFERROR(INDEX('تحليل التكلفة والسعر'!$C$2:$C$700,MATCH($C5254,'تحليل التكلفة والسعر'!$B$2:$B$700,0)),0))</f>
        <v/>
      </c>
    </row>
    <row r="5255" customFormat="false" ht="15" hidden="false" customHeight="false" outlineLevel="0" collapsed="false">
      <c r="A5255" s="103"/>
      <c r="B5255" s="104"/>
      <c r="C5255" s="104"/>
      <c r="E5255" s="107" t="str">
        <f aca="false">IF($C5255="","",IFERROR(INDEX(المنيو!$C$2:$C$500,MATCH($C5255,المنيو!$B$2:$B$500,0)),0))</f>
        <v/>
      </c>
      <c r="F5255" s="107" t="str">
        <f aca="false">IF($C5255="","",$D5255*$E5255)</f>
        <v/>
      </c>
      <c r="G5255" s="107" t="str">
        <f aca="false">IF($C5255="","",$D5255*IFERROR(INDEX('تحليل التكلفة والسعر'!$C$2:$C$700,MATCH($C5255,'تحليل التكلفة والسعر'!$B$2:$B$700,0)),0))</f>
        <v/>
      </c>
    </row>
    <row r="5256" customFormat="false" ht="15" hidden="false" customHeight="false" outlineLevel="0" collapsed="false">
      <c r="A5256" s="103"/>
      <c r="B5256" s="104"/>
      <c r="C5256" s="104"/>
      <c r="E5256" s="107" t="str">
        <f aca="false">IF($C5256="","",IFERROR(INDEX(المنيو!$C$2:$C$500,MATCH($C5256,المنيو!$B$2:$B$500,0)),0))</f>
        <v/>
      </c>
      <c r="F5256" s="107" t="str">
        <f aca="false">IF($C5256="","",$D5256*$E5256)</f>
        <v/>
      </c>
      <c r="G5256" s="107" t="str">
        <f aca="false">IF($C5256="","",$D5256*IFERROR(INDEX('تحليل التكلفة والسعر'!$C$2:$C$700,MATCH($C5256,'تحليل التكلفة والسعر'!$B$2:$B$700,0)),0))</f>
        <v/>
      </c>
    </row>
    <row r="5257" customFormat="false" ht="15" hidden="false" customHeight="false" outlineLevel="0" collapsed="false">
      <c r="A5257" s="103"/>
      <c r="B5257" s="104"/>
      <c r="C5257" s="104"/>
      <c r="E5257" s="107" t="str">
        <f aca="false">IF($C5257="","",IFERROR(INDEX(المنيو!$C$2:$C$500,MATCH($C5257,المنيو!$B$2:$B$500,0)),0))</f>
        <v/>
      </c>
      <c r="F5257" s="107" t="str">
        <f aca="false">IF($C5257="","",$D5257*$E5257)</f>
        <v/>
      </c>
      <c r="G5257" s="107" t="str">
        <f aca="false">IF($C5257="","",$D5257*IFERROR(INDEX('تحليل التكلفة والسعر'!$C$2:$C$700,MATCH($C5257,'تحليل التكلفة والسعر'!$B$2:$B$700,0)),0))</f>
        <v/>
      </c>
    </row>
    <row r="5258" customFormat="false" ht="15" hidden="false" customHeight="false" outlineLevel="0" collapsed="false">
      <c r="A5258" s="103"/>
      <c r="B5258" s="104"/>
      <c r="C5258" s="104"/>
      <c r="E5258" s="107" t="str">
        <f aca="false">IF($C5258="","",IFERROR(INDEX(المنيو!$C$2:$C$500,MATCH($C5258,المنيو!$B$2:$B$500,0)),0))</f>
        <v/>
      </c>
      <c r="F5258" s="107" t="str">
        <f aca="false">IF($C5258="","",$D5258*$E5258)</f>
        <v/>
      </c>
      <c r="G5258" s="107" t="str">
        <f aca="false">IF($C5258="","",$D5258*IFERROR(INDEX('تحليل التكلفة والسعر'!$C$2:$C$700,MATCH($C5258,'تحليل التكلفة والسعر'!$B$2:$B$700,0)),0))</f>
        <v/>
      </c>
    </row>
    <row r="5259" customFormat="false" ht="15" hidden="false" customHeight="false" outlineLevel="0" collapsed="false">
      <c r="A5259" s="103"/>
      <c r="B5259" s="104"/>
      <c r="C5259" s="104"/>
      <c r="E5259" s="107" t="str">
        <f aca="false">IF($C5259="","",IFERROR(INDEX(المنيو!$C$2:$C$500,MATCH($C5259,المنيو!$B$2:$B$500,0)),0))</f>
        <v/>
      </c>
      <c r="F5259" s="107" t="str">
        <f aca="false">IF($C5259="","",$D5259*$E5259)</f>
        <v/>
      </c>
      <c r="G5259" s="107" t="str">
        <f aca="false">IF($C5259="","",$D5259*IFERROR(INDEX('تحليل التكلفة والسعر'!$C$2:$C$700,MATCH($C5259,'تحليل التكلفة والسعر'!$B$2:$B$700,0)),0))</f>
        <v/>
      </c>
    </row>
    <row r="5260" customFormat="false" ht="15" hidden="false" customHeight="false" outlineLevel="0" collapsed="false">
      <c r="A5260" s="103"/>
      <c r="B5260" s="104"/>
      <c r="C5260" s="104"/>
      <c r="E5260" s="107" t="str">
        <f aca="false">IF($C5260="","",IFERROR(INDEX(المنيو!$C$2:$C$500,MATCH($C5260,المنيو!$B$2:$B$500,0)),0))</f>
        <v/>
      </c>
      <c r="F5260" s="107" t="str">
        <f aca="false">IF($C5260="","",$D5260*$E5260)</f>
        <v/>
      </c>
      <c r="G5260" s="107" t="str">
        <f aca="false">IF($C5260="","",$D5260*IFERROR(INDEX('تحليل التكلفة والسعر'!$C$2:$C$700,MATCH($C5260,'تحليل التكلفة والسعر'!$B$2:$B$700,0)),0))</f>
        <v/>
      </c>
    </row>
    <row r="5261" customFormat="false" ht="15" hidden="false" customHeight="false" outlineLevel="0" collapsed="false">
      <c r="A5261" s="103"/>
      <c r="B5261" s="104"/>
      <c r="C5261" s="104"/>
      <c r="E5261" s="107" t="str">
        <f aca="false">IF($C5261="","",IFERROR(INDEX(المنيو!$C$2:$C$500,MATCH($C5261,المنيو!$B$2:$B$500,0)),0))</f>
        <v/>
      </c>
      <c r="F5261" s="107" t="str">
        <f aca="false">IF($C5261="","",$D5261*$E5261)</f>
        <v/>
      </c>
      <c r="G5261" s="107" t="str">
        <f aca="false">IF($C5261="","",$D5261*IFERROR(INDEX('تحليل التكلفة والسعر'!$C$2:$C$700,MATCH($C5261,'تحليل التكلفة والسعر'!$B$2:$B$700,0)),0))</f>
        <v/>
      </c>
    </row>
    <row r="5262" customFormat="false" ht="15" hidden="false" customHeight="false" outlineLevel="0" collapsed="false">
      <c r="A5262" s="103"/>
      <c r="B5262" s="104"/>
      <c r="C5262" s="104"/>
      <c r="E5262" s="107" t="str">
        <f aca="false">IF($C5262="","",IFERROR(INDEX(المنيو!$C$2:$C$500,MATCH($C5262,المنيو!$B$2:$B$500,0)),0))</f>
        <v/>
      </c>
      <c r="F5262" s="107" t="str">
        <f aca="false">IF($C5262="","",$D5262*$E5262)</f>
        <v/>
      </c>
      <c r="G5262" s="107" t="str">
        <f aca="false">IF($C5262="","",$D5262*IFERROR(INDEX('تحليل التكلفة والسعر'!$C$2:$C$700,MATCH($C5262,'تحليل التكلفة والسعر'!$B$2:$B$700,0)),0))</f>
        <v/>
      </c>
    </row>
    <row r="5263" customFormat="false" ht="15" hidden="false" customHeight="false" outlineLevel="0" collapsed="false">
      <c r="A5263" s="103"/>
      <c r="B5263" s="104"/>
      <c r="C5263" s="104"/>
      <c r="E5263" s="107" t="str">
        <f aca="false">IF($C5263="","",IFERROR(INDEX(المنيو!$C$2:$C$500,MATCH($C5263,المنيو!$B$2:$B$500,0)),0))</f>
        <v/>
      </c>
      <c r="F5263" s="107" t="str">
        <f aca="false">IF($C5263="","",$D5263*$E5263)</f>
        <v/>
      </c>
      <c r="G5263" s="107" t="str">
        <f aca="false">IF($C5263="","",$D5263*IFERROR(INDEX('تحليل التكلفة والسعر'!$C$2:$C$700,MATCH($C5263,'تحليل التكلفة والسعر'!$B$2:$B$700,0)),0))</f>
        <v/>
      </c>
    </row>
    <row r="5264" customFormat="false" ht="15" hidden="false" customHeight="false" outlineLevel="0" collapsed="false">
      <c r="A5264" s="103"/>
      <c r="B5264" s="104"/>
      <c r="C5264" s="104"/>
      <c r="E5264" s="107" t="str">
        <f aca="false">IF($C5264="","",IFERROR(INDEX(المنيو!$C$2:$C$500,MATCH($C5264,المنيو!$B$2:$B$500,0)),0))</f>
        <v/>
      </c>
      <c r="F5264" s="107" t="str">
        <f aca="false">IF($C5264="","",$D5264*$E5264)</f>
        <v/>
      </c>
      <c r="G5264" s="107" t="str">
        <f aca="false">IF($C5264="","",$D5264*IFERROR(INDEX('تحليل التكلفة والسعر'!$C$2:$C$700,MATCH($C5264,'تحليل التكلفة والسعر'!$B$2:$B$700,0)),0))</f>
        <v/>
      </c>
    </row>
    <row r="5265" customFormat="false" ht="15" hidden="false" customHeight="false" outlineLevel="0" collapsed="false">
      <c r="A5265" s="103"/>
      <c r="B5265" s="104"/>
      <c r="C5265" s="104"/>
      <c r="E5265" s="107" t="str">
        <f aca="false">IF($C5265="","",IFERROR(INDEX(المنيو!$C$2:$C$500,MATCH($C5265,المنيو!$B$2:$B$500,0)),0))</f>
        <v/>
      </c>
      <c r="F5265" s="107" t="str">
        <f aca="false">IF($C5265="","",$D5265*$E5265)</f>
        <v/>
      </c>
      <c r="G5265" s="107" t="str">
        <f aca="false">IF($C5265="","",$D5265*IFERROR(INDEX('تحليل التكلفة والسعر'!$C$2:$C$700,MATCH($C5265,'تحليل التكلفة والسعر'!$B$2:$B$700,0)),0))</f>
        <v/>
      </c>
    </row>
    <row r="5266" customFormat="false" ht="15" hidden="false" customHeight="false" outlineLevel="0" collapsed="false">
      <c r="A5266" s="103"/>
      <c r="B5266" s="104"/>
      <c r="C5266" s="104"/>
      <c r="E5266" s="107" t="str">
        <f aca="false">IF($C5266="","",IFERROR(INDEX(المنيو!$C$2:$C$500,MATCH($C5266,المنيو!$B$2:$B$500,0)),0))</f>
        <v/>
      </c>
      <c r="F5266" s="107" t="str">
        <f aca="false">IF($C5266="","",$D5266*$E5266)</f>
        <v/>
      </c>
      <c r="G5266" s="107" t="str">
        <f aca="false">IF($C5266="","",$D5266*IFERROR(INDEX('تحليل التكلفة والسعر'!$C$2:$C$700,MATCH($C5266,'تحليل التكلفة والسعر'!$B$2:$B$700,0)),0))</f>
        <v/>
      </c>
    </row>
    <row r="5267" customFormat="false" ht="15" hidden="false" customHeight="false" outlineLevel="0" collapsed="false">
      <c r="A5267" s="103"/>
      <c r="B5267" s="104"/>
      <c r="C5267" s="104"/>
      <c r="E5267" s="107" t="str">
        <f aca="false">IF($C5267="","",IFERROR(INDEX(المنيو!$C$2:$C$500,MATCH($C5267,المنيو!$B$2:$B$500,0)),0))</f>
        <v/>
      </c>
      <c r="F5267" s="107" t="str">
        <f aca="false">IF($C5267="","",$D5267*$E5267)</f>
        <v/>
      </c>
      <c r="G5267" s="107" t="str">
        <f aca="false">IF($C5267="","",$D5267*IFERROR(INDEX('تحليل التكلفة والسعر'!$C$2:$C$700,MATCH($C5267,'تحليل التكلفة والسعر'!$B$2:$B$700,0)),0))</f>
        <v/>
      </c>
    </row>
    <row r="5268" customFormat="false" ht="15" hidden="false" customHeight="false" outlineLevel="0" collapsed="false">
      <c r="A5268" s="103"/>
      <c r="B5268" s="104"/>
      <c r="C5268" s="104"/>
      <c r="E5268" s="107" t="str">
        <f aca="false">IF($C5268="","",IFERROR(INDEX(المنيو!$C$2:$C$500,MATCH($C5268,المنيو!$B$2:$B$500,0)),0))</f>
        <v/>
      </c>
      <c r="F5268" s="107" t="str">
        <f aca="false">IF($C5268="","",$D5268*$E5268)</f>
        <v/>
      </c>
      <c r="G5268" s="107" t="str">
        <f aca="false">IF($C5268="","",$D5268*IFERROR(INDEX('تحليل التكلفة والسعر'!$C$2:$C$700,MATCH($C5268,'تحليل التكلفة والسعر'!$B$2:$B$700,0)),0))</f>
        <v/>
      </c>
    </row>
    <row r="5269" customFormat="false" ht="15" hidden="false" customHeight="false" outlineLevel="0" collapsed="false">
      <c r="A5269" s="103"/>
      <c r="B5269" s="104"/>
      <c r="C5269" s="104"/>
      <c r="E5269" s="107" t="str">
        <f aca="false">IF($C5269="","",IFERROR(INDEX(المنيو!$C$2:$C$500,MATCH($C5269,المنيو!$B$2:$B$500,0)),0))</f>
        <v/>
      </c>
      <c r="F5269" s="107" t="str">
        <f aca="false">IF($C5269="","",$D5269*$E5269)</f>
        <v/>
      </c>
      <c r="G5269" s="107" t="str">
        <f aca="false">IF($C5269="","",$D5269*IFERROR(INDEX('تحليل التكلفة والسعر'!$C$2:$C$700,MATCH($C5269,'تحليل التكلفة والسعر'!$B$2:$B$700,0)),0))</f>
        <v/>
      </c>
    </row>
    <row r="5270" customFormat="false" ht="15" hidden="false" customHeight="false" outlineLevel="0" collapsed="false">
      <c r="A5270" s="103"/>
      <c r="B5270" s="104"/>
      <c r="C5270" s="104"/>
      <c r="E5270" s="107" t="str">
        <f aca="false">IF($C5270="","",IFERROR(INDEX(المنيو!$C$2:$C$500,MATCH($C5270,المنيو!$B$2:$B$500,0)),0))</f>
        <v/>
      </c>
      <c r="F5270" s="107" t="str">
        <f aca="false">IF($C5270="","",$D5270*$E5270)</f>
        <v/>
      </c>
      <c r="G5270" s="107" t="str">
        <f aca="false">IF($C5270="","",$D5270*IFERROR(INDEX('تحليل التكلفة والسعر'!$C$2:$C$700,MATCH($C5270,'تحليل التكلفة والسعر'!$B$2:$B$700,0)),0))</f>
        <v/>
      </c>
    </row>
    <row r="5271" customFormat="false" ht="15" hidden="false" customHeight="false" outlineLevel="0" collapsed="false">
      <c r="A5271" s="103"/>
      <c r="B5271" s="104"/>
      <c r="C5271" s="104"/>
      <c r="E5271" s="107" t="str">
        <f aca="false">IF($C5271="","",IFERROR(INDEX(المنيو!$C$2:$C$500,MATCH($C5271,المنيو!$B$2:$B$500,0)),0))</f>
        <v/>
      </c>
      <c r="F5271" s="107" t="str">
        <f aca="false">IF($C5271="","",$D5271*$E5271)</f>
        <v/>
      </c>
      <c r="G5271" s="107" t="str">
        <f aca="false">IF($C5271="","",$D5271*IFERROR(INDEX('تحليل التكلفة والسعر'!$C$2:$C$700,MATCH($C5271,'تحليل التكلفة والسعر'!$B$2:$B$700,0)),0))</f>
        <v/>
      </c>
    </row>
    <row r="5272" customFormat="false" ht="15" hidden="false" customHeight="false" outlineLevel="0" collapsed="false">
      <c r="A5272" s="103"/>
      <c r="B5272" s="104"/>
      <c r="C5272" s="104"/>
      <c r="E5272" s="107" t="str">
        <f aca="false">IF($C5272="","",IFERROR(INDEX(المنيو!$C$2:$C$500,MATCH($C5272,المنيو!$B$2:$B$500,0)),0))</f>
        <v/>
      </c>
      <c r="F5272" s="107" t="str">
        <f aca="false">IF($C5272="","",$D5272*$E5272)</f>
        <v/>
      </c>
      <c r="G5272" s="107" t="str">
        <f aca="false">IF($C5272="","",$D5272*IFERROR(INDEX('تحليل التكلفة والسعر'!$C$2:$C$700,MATCH($C5272,'تحليل التكلفة والسعر'!$B$2:$B$700,0)),0))</f>
        <v/>
      </c>
    </row>
    <row r="5273" customFormat="false" ht="15" hidden="false" customHeight="false" outlineLevel="0" collapsed="false">
      <c r="A5273" s="103"/>
      <c r="B5273" s="104"/>
      <c r="C5273" s="104"/>
      <c r="E5273" s="107" t="str">
        <f aca="false">IF($C5273="","",IFERROR(INDEX(المنيو!$C$2:$C$500,MATCH($C5273,المنيو!$B$2:$B$500,0)),0))</f>
        <v/>
      </c>
      <c r="F5273" s="107" t="str">
        <f aca="false">IF($C5273="","",$D5273*$E5273)</f>
        <v/>
      </c>
      <c r="G5273" s="107" t="str">
        <f aca="false">IF($C5273="","",$D5273*IFERROR(INDEX('تحليل التكلفة والسعر'!$C$2:$C$700,MATCH($C5273,'تحليل التكلفة والسعر'!$B$2:$B$700,0)),0))</f>
        <v/>
      </c>
    </row>
    <row r="5274" customFormat="false" ht="15" hidden="false" customHeight="false" outlineLevel="0" collapsed="false">
      <c r="A5274" s="103"/>
      <c r="B5274" s="104"/>
      <c r="C5274" s="104"/>
      <c r="E5274" s="107" t="str">
        <f aca="false">IF($C5274="","",IFERROR(INDEX(المنيو!$C$2:$C$500,MATCH($C5274,المنيو!$B$2:$B$500,0)),0))</f>
        <v/>
      </c>
      <c r="F5274" s="107" t="str">
        <f aca="false">IF($C5274="","",$D5274*$E5274)</f>
        <v/>
      </c>
      <c r="G5274" s="107" t="str">
        <f aca="false">IF($C5274="","",$D5274*IFERROR(INDEX('تحليل التكلفة والسعر'!$C$2:$C$700,MATCH($C5274,'تحليل التكلفة والسعر'!$B$2:$B$700,0)),0))</f>
        <v/>
      </c>
    </row>
    <row r="5275" customFormat="false" ht="15" hidden="false" customHeight="false" outlineLevel="0" collapsed="false">
      <c r="A5275" s="103"/>
      <c r="B5275" s="104"/>
      <c r="C5275" s="104"/>
      <c r="E5275" s="107" t="str">
        <f aca="false">IF($C5275="","",IFERROR(INDEX(المنيو!$C$2:$C$500,MATCH($C5275,المنيو!$B$2:$B$500,0)),0))</f>
        <v/>
      </c>
      <c r="F5275" s="107" t="str">
        <f aca="false">IF($C5275="","",$D5275*$E5275)</f>
        <v/>
      </c>
      <c r="G5275" s="107" t="str">
        <f aca="false">IF($C5275="","",$D5275*IFERROR(INDEX('تحليل التكلفة والسعر'!$C$2:$C$700,MATCH($C5275,'تحليل التكلفة والسعر'!$B$2:$B$700,0)),0))</f>
        <v/>
      </c>
    </row>
    <row r="5276" customFormat="false" ht="15" hidden="false" customHeight="false" outlineLevel="0" collapsed="false">
      <c r="A5276" s="103"/>
      <c r="B5276" s="104"/>
      <c r="C5276" s="104"/>
      <c r="E5276" s="107" t="str">
        <f aca="false">IF($C5276="","",IFERROR(INDEX(المنيو!$C$2:$C$500,MATCH($C5276,المنيو!$B$2:$B$500,0)),0))</f>
        <v/>
      </c>
      <c r="F5276" s="107" t="str">
        <f aca="false">IF($C5276="","",$D5276*$E5276)</f>
        <v/>
      </c>
      <c r="G5276" s="107" t="str">
        <f aca="false">IF($C5276="","",$D5276*IFERROR(INDEX('تحليل التكلفة والسعر'!$C$2:$C$700,MATCH($C5276,'تحليل التكلفة والسعر'!$B$2:$B$700,0)),0))</f>
        <v/>
      </c>
    </row>
    <row r="5277" customFormat="false" ht="15" hidden="false" customHeight="false" outlineLevel="0" collapsed="false">
      <c r="A5277" s="103"/>
      <c r="B5277" s="104"/>
      <c r="C5277" s="104"/>
      <c r="E5277" s="107" t="str">
        <f aca="false">IF($C5277="","",IFERROR(INDEX(المنيو!$C$2:$C$500,MATCH($C5277,المنيو!$B$2:$B$500,0)),0))</f>
        <v/>
      </c>
      <c r="F5277" s="107" t="str">
        <f aca="false">IF($C5277="","",$D5277*$E5277)</f>
        <v/>
      </c>
      <c r="G5277" s="107" t="str">
        <f aca="false">IF($C5277="","",$D5277*IFERROR(INDEX('تحليل التكلفة والسعر'!$C$2:$C$700,MATCH($C5277,'تحليل التكلفة والسعر'!$B$2:$B$700,0)),0))</f>
        <v/>
      </c>
    </row>
    <row r="5278" customFormat="false" ht="15" hidden="false" customHeight="false" outlineLevel="0" collapsed="false">
      <c r="A5278" s="103"/>
      <c r="B5278" s="104"/>
      <c r="C5278" s="104"/>
      <c r="E5278" s="107" t="str">
        <f aca="false">IF($C5278="","",IFERROR(INDEX(المنيو!$C$2:$C$500,MATCH($C5278,المنيو!$B$2:$B$500,0)),0))</f>
        <v/>
      </c>
      <c r="F5278" s="107" t="str">
        <f aca="false">IF($C5278="","",$D5278*$E5278)</f>
        <v/>
      </c>
      <c r="G5278" s="107" t="str">
        <f aca="false">IF($C5278="","",$D5278*IFERROR(INDEX('تحليل التكلفة والسعر'!$C$2:$C$700,MATCH($C5278,'تحليل التكلفة والسعر'!$B$2:$B$700,0)),0))</f>
        <v/>
      </c>
    </row>
    <row r="5279" customFormat="false" ht="15" hidden="false" customHeight="false" outlineLevel="0" collapsed="false">
      <c r="A5279" s="103"/>
      <c r="B5279" s="104"/>
      <c r="C5279" s="104"/>
      <c r="E5279" s="107" t="str">
        <f aca="false">IF($C5279="","",IFERROR(INDEX(المنيو!$C$2:$C$500,MATCH($C5279,المنيو!$B$2:$B$500,0)),0))</f>
        <v/>
      </c>
      <c r="F5279" s="107" t="str">
        <f aca="false">IF($C5279="","",$D5279*$E5279)</f>
        <v/>
      </c>
      <c r="G5279" s="107" t="str">
        <f aca="false">IF($C5279="","",$D5279*IFERROR(INDEX('تحليل التكلفة والسعر'!$C$2:$C$700,MATCH($C5279,'تحليل التكلفة والسعر'!$B$2:$B$700,0)),0))</f>
        <v/>
      </c>
    </row>
    <row r="5280" customFormat="false" ht="15" hidden="false" customHeight="false" outlineLevel="0" collapsed="false">
      <c r="A5280" s="103"/>
      <c r="B5280" s="104"/>
      <c r="C5280" s="104"/>
      <c r="E5280" s="107" t="str">
        <f aca="false">IF($C5280="","",IFERROR(INDEX(المنيو!$C$2:$C$500,MATCH($C5280,المنيو!$B$2:$B$500,0)),0))</f>
        <v/>
      </c>
      <c r="F5280" s="107" t="str">
        <f aca="false">IF($C5280="","",$D5280*$E5280)</f>
        <v/>
      </c>
      <c r="G5280" s="107" t="str">
        <f aca="false">IF($C5280="","",$D5280*IFERROR(INDEX('تحليل التكلفة والسعر'!$C$2:$C$700,MATCH($C5280,'تحليل التكلفة والسعر'!$B$2:$B$700,0)),0))</f>
        <v/>
      </c>
    </row>
    <row r="5281" customFormat="false" ht="15" hidden="false" customHeight="false" outlineLevel="0" collapsed="false">
      <c r="A5281" s="103"/>
      <c r="B5281" s="104"/>
      <c r="C5281" s="104"/>
      <c r="E5281" s="107" t="str">
        <f aca="false">IF($C5281="","",IFERROR(INDEX(المنيو!$C$2:$C$500,MATCH($C5281,المنيو!$B$2:$B$500,0)),0))</f>
        <v/>
      </c>
      <c r="F5281" s="107" t="str">
        <f aca="false">IF($C5281="","",$D5281*$E5281)</f>
        <v/>
      </c>
      <c r="G5281" s="107" t="str">
        <f aca="false">IF($C5281="","",$D5281*IFERROR(INDEX('تحليل التكلفة والسعر'!$C$2:$C$700,MATCH($C5281,'تحليل التكلفة والسعر'!$B$2:$B$700,0)),0))</f>
        <v/>
      </c>
    </row>
    <row r="5282" customFormat="false" ht="15" hidden="false" customHeight="false" outlineLevel="0" collapsed="false">
      <c r="A5282" s="103"/>
      <c r="B5282" s="104"/>
      <c r="C5282" s="104"/>
      <c r="E5282" s="107" t="str">
        <f aca="false">IF($C5282="","",IFERROR(INDEX(المنيو!$C$2:$C$500,MATCH($C5282,المنيو!$B$2:$B$500,0)),0))</f>
        <v/>
      </c>
      <c r="F5282" s="107" t="str">
        <f aca="false">IF($C5282="","",$D5282*$E5282)</f>
        <v/>
      </c>
      <c r="G5282" s="107" t="str">
        <f aca="false">IF($C5282="","",$D5282*IFERROR(INDEX('تحليل التكلفة والسعر'!$C$2:$C$700,MATCH($C5282,'تحليل التكلفة والسعر'!$B$2:$B$700,0)),0))</f>
        <v/>
      </c>
    </row>
    <row r="5283" customFormat="false" ht="15" hidden="false" customHeight="false" outlineLevel="0" collapsed="false">
      <c r="A5283" s="103"/>
      <c r="B5283" s="104"/>
      <c r="C5283" s="104"/>
      <c r="E5283" s="107" t="str">
        <f aca="false">IF($C5283="","",IFERROR(INDEX(المنيو!$C$2:$C$500,MATCH($C5283,المنيو!$B$2:$B$500,0)),0))</f>
        <v/>
      </c>
      <c r="F5283" s="107" t="str">
        <f aca="false">IF($C5283="","",$D5283*$E5283)</f>
        <v/>
      </c>
      <c r="G5283" s="107" t="str">
        <f aca="false">IF($C5283="","",$D5283*IFERROR(INDEX('تحليل التكلفة والسعر'!$C$2:$C$700,MATCH($C5283,'تحليل التكلفة والسعر'!$B$2:$B$700,0)),0))</f>
        <v/>
      </c>
    </row>
    <row r="5284" customFormat="false" ht="15" hidden="false" customHeight="false" outlineLevel="0" collapsed="false">
      <c r="A5284" s="103"/>
      <c r="B5284" s="104"/>
      <c r="C5284" s="104"/>
      <c r="E5284" s="107" t="str">
        <f aca="false">IF($C5284="","",IFERROR(INDEX(المنيو!$C$2:$C$500,MATCH($C5284,المنيو!$B$2:$B$500,0)),0))</f>
        <v/>
      </c>
      <c r="F5284" s="107" t="str">
        <f aca="false">IF($C5284="","",$D5284*$E5284)</f>
        <v/>
      </c>
      <c r="G5284" s="107" t="str">
        <f aca="false">IF($C5284="","",$D5284*IFERROR(INDEX('تحليل التكلفة والسعر'!$C$2:$C$700,MATCH($C5284,'تحليل التكلفة والسعر'!$B$2:$B$700,0)),0))</f>
        <v/>
      </c>
    </row>
    <row r="5285" customFormat="false" ht="15" hidden="false" customHeight="false" outlineLevel="0" collapsed="false">
      <c r="A5285" s="103"/>
      <c r="B5285" s="104"/>
      <c r="C5285" s="104"/>
      <c r="E5285" s="107" t="str">
        <f aca="false">IF($C5285="","",IFERROR(INDEX(المنيو!$C$2:$C$500,MATCH($C5285,المنيو!$B$2:$B$500,0)),0))</f>
        <v/>
      </c>
      <c r="F5285" s="107" t="str">
        <f aca="false">IF($C5285="","",$D5285*$E5285)</f>
        <v/>
      </c>
      <c r="G5285" s="107" t="str">
        <f aca="false">IF($C5285="","",$D5285*IFERROR(INDEX('تحليل التكلفة والسعر'!$C$2:$C$700,MATCH($C5285,'تحليل التكلفة والسعر'!$B$2:$B$700,0)),0))</f>
        <v/>
      </c>
    </row>
    <row r="5286" customFormat="false" ht="15" hidden="false" customHeight="false" outlineLevel="0" collapsed="false">
      <c r="A5286" s="103"/>
      <c r="B5286" s="104"/>
      <c r="C5286" s="104"/>
      <c r="E5286" s="107" t="str">
        <f aca="false">IF($C5286="","",IFERROR(INDEX(المنيو!$C$2:$C$500,MATCH($C5286,المنيو!$B$2:$B$500,0)),0))</f>
        <v/>
      </c>
      <c r="F5286" s="107" t="str">
        <f aca="false">IF($C5286="","",$D5286*$E5286)</f>
        <v/>
      </c>
      <c r="G5286" s="107" t="str">
        <f aca="false">IF($C5286="","",$D5286*IFERROR(INDEX('تحليل التكلفة والسعر'!$C$2:$C$700,MATCH($C5286,'تحليل التكلفة والسعر'!$B$2:$B$700,0)),0))</f>
        <v/>
      </c>
    </row>
    <row r="5287" customFormat="false" ht="15" hidden="false" customHeight="false" outlineLevel="0" collapsed="false">
      <c r="A5287" s="103"/>
      <c r="B5287" s="104"/>
      <c r="C5287" s="104"/>
      <c r="E5287" s="107" t="str">
        <f aca="false">IF($C5287="","",IFERROR(INDEX(المنيو!$C$2:$C$500,MATCH($C5287,المنيو!$B$2:$B$500,0)),0))</f>
        <v/>
      </c>
      <c r="F5287" s="107" t="str">
        <f aca="false">IF($C5287="","",$D5287*$E5287)</f>
        <v/>
      </c>
      <c r="G5287" s="107" t="str">
        <f aca="false">IF($C5287="","",$D5287*IFERROR(INDEX('تحليل التكلفة والسعر'!$C$2:$C$700,MATCH($C5287,'تحليل التكلفة والسعر'!$B$2:$B$700,0)),0))</f>
        <v/>
      </c>
    </row>
    <row r="5288" customFormat="false" ht="15" hidden="false" customHeight="false" outlineLevel="0" collapsed="false">
      <c r="A5288" s="103"/>
      <c r="B5288" s="104"/>
      <c r="C5288" s="104"/>
      <c r="E5288" s="107" t="str">
        <f aca="false">IF($C5288="","",IFERROR(INDEX(المنيو!$C$2:$C$500,MATCH($C5288,المنيو!$B$2:$B$500,0)),0))</f>
        <v/>
      </c>
      <c r="F5288" s="107" t="str">
        <f aca="false">IF($C5288="","",$D5288*$E5288)</f>
        <v/>
      </c>
      <c r="G5288" s="107" t="str">
        <f aca="false">IF($C5288="","",$D5288*IFERROR(INDEX('تحليل التكلفة والسعر'!$C$2:$C$700,MATCH($C5288,'تحليل التكلفة والسعر'!$B$2:$B$700,0)),0))</f>
        <v/>
      </c>
    </row>
    <row r="5289" customFormat="false" ht="15" hidden="false" customHeight="false" outlineLevel="0" collapsed="false">
      <c r="A5289" s="103"/>
      <c r="B5289" s="104"/>
      <c r="C5289" s="104"/>
      <c r="E5289" s="107" t="str">
        <f aca="false">IF($C5289="","",IFERROR(INDEX(المنيو!$C$2:$C$500,MATCH($C5289,المنيو!$B$2:$B$500,0)),0))</f>
        <v/>
      </c>
      <c r="F5289" s="107" t="str">
        <f aca="false">IF($C5289="","",$D5289*$E5289)</f>
        <v/>
      </c>
      <c r="G5289" s="107" t="str">
        <f aca="false">IF($C5289="","",$D5289*IFERROR(INDEX('تحليل التكلفة والسعر'!$C$2:$C$700,MATCH($C5289,'تحليل التكلفة والسعر'!$B$2:$B$700,0)),0))</f>
        <v/>
      </c>
    </row>
    <row r="5290" customFormat="false" ht="15" hidden="false" customHeight="false" outlineLevel="0" collapsed="false">
      <c r="A5290" s="103"/>
      <c r="B5290" s="104"/>
      <c r="C5290" s="104"/>
      <c r="E5290" s="107" t="str">
        <f aca="false">IF($C5290="","",IFERROR(INDEX(المنيو!$C$2:$C$500,MATCH($C5290,المنيو!$B$2:$B$500,0)),0))</f>
        <v/>
      </c>
      <c r="F5290" s="107" t="str">
        <f aca="false">IF($C5290="","",$D5290*$E5290)</f>
        <v/>
      </c>
      <c r="G5290" s="107" t="str">
        <f aca="false">IF($C5290="","",$D5290*IFERROR(INDEX('تحليل التكلفة والسعر'!$C$2:$C$700,MATCH($C5290,'تحليل التكلفة والسعر'!$B$2:$B$700,0)),0))</f>
        <v/>
      </c>
    </row>
    <row r="5291" customFormat="false" ht="15" hidden="false" customHeight="false" outlineLevel="0" collapsed="false">
      <c r="A5291" s="103"/>
      <c r="B5291" s="104"/>
      <c r="C5291" s="104"/>
      <c r="E5291" s="107" t="str">
        <f aca="false">IF($C5291="","",IFERROR(INDEX(المنيو!$C$2:$C$500,MATCH($C5291,المنيو!$B$2:$B$500,0)),0))</f>
        <v/>
      </c>
      <c r="F5291" s="107" t="str">
        <f aca="false">IF($C5291="","",$D5291*$E5291)</f>
        <v/>
      </c>
      <c r="G5291" s="107" t="str">
        <f aca="false">IF($C5291="","",$D5291*IFERROR(INDEX('تحليل التكلفة والسعر'!$C$2:$C$700,MATCH($C5291,'تحليل التكلفة والسعر'!$B$2:$B$700,0)),0))</f>
        <v/>
      </c>
    </row>
    <row r="5292" customFormat="false" ht="15" hidden="false" customHeight="false" outlineLevel="0" collapsed="false">
      <c r="A5292" s="103"/>
      <c r="B5292" s="104"/>
      <c r="C5292" s="104"/>
      <c r="E5292" s="107" t="str">
        <f aca="false">IF($C5292="","",IFERROR(INDEX(المنيو!$C$2:$C$500,MATCH($C5292,المنيو!$B$2:$B$500,0)),0))</f>
        <v/>
      </c>
      <c r="F5292" s="107" t="str">
        <f aca="false">IF($C5292="","",$D5292*$E5292)</f>
        <v/>
      </c>
      <c r="G5292" s="107" t="str">
        <f aca="false">IF($C5292="","",$D5292*IFERROR(INDEX('تحليل التكلفة والسعر'!$C$2:$C$700,MATCH($C5292,'تحليل التكلفة والسعر'!$B$2:$B$700,0)),0))</f>
        <v/>
      </c>
    </row>
    <row r="5293" customFormat="false" ht="15" hidden="false" customHeight="false" outlineLevel="0" collapsed="false">
      <c r="A5293" s="103"/>
      <c r="B5293" s="104"/>
      <c r="C5293" s="104"/>
      <c r="E5293" s="107" t="str">
        <f aca="false">IF($C5293="","",IFERROR(INDEX(المنيو!$C$2:$C$500,MATCH($C5293,المنيو!$B$2:$B$500,0)),0))</f>
        <v/>
      </c>
      <c r="F5293" s="107" t="str">
        <f aca="false">IF($C5293="","",$D5293*$E5293)</f>
        <v/>
      </c>
      <c r="G5293" s="107" t="str">
        <f aca="false">IF($C5293="","",$D5293*IFERROR(INDEX('تحليل التكلفة والسعر'!$C$2:$C$700,MATCH($C5293,'تحليل التكلفة والسعر'!$B$2:$B$700,0)),0))</f>
        <v/>
      </c>
    </row>
    <row r="5294" customFormat="false" ht="15" hidden="false" customHeight="false" outlineLevel="0" collapsed="false">
      <c r="A5294" s="103"/>
      <c r="B5294" s="104"/>
      <c r="C5294" s="104"/>
      <c r="E5294" s="107" t="str">
        <f aca="false">IF($C5294="","",IFERROR(INDEX(المنيو!$C$2:$C$500,MATCH($C5294,المنيو!$B$2:$B$500,0)),0))</f>
        <v/>
      </c>
      <c r="F5294" s="107" t="str">
        <f aca="false">IF($C5294="","",$D5294*$E5294)</f>
        <v/>
      </c>
      <c r="G5294" s="107" t="str">
        <f aca="false">IF($C5294="","",$D5294*IFERROR(INDEX('تحليل التكلفة والسعر'!$C$2:$C$700,MATCH($C5294,'تحليل التكلفة والسعر'!$B$2:$B$700,0)),0))</f>
        <v/>
      </c>
    </row>
    <row r="5295" customFormat="false" ht="15" hidden="false" customHeight="false" outlineLevel="0" collapsed="false">
      <c r="A5295" s="103"/>
      <c r="B5295" s="104"/>
      <c r="C5295" s="104"/>
      <c r="E5295" s="107" t="str">
        <f aca="false">IF($C5295="","",IFERROR(INDEX(المنيو!$C$2:$C$500,MATCH($C5295,المنيو!$B$2:$B$500,0)),0))</f>
        <v/>
      </c>
      <c r="F5295" s="107" t="str">
        <f aca="false">IF($C5295="","",$D5295*$E5295)</f>
        <v/>
      </c>
      <c r="G5295" s="107" t="str">
        <f aca="false">IF($C5295="","",$D5295*IFERROR(INDEX('تحليل التكلفة والسعر'!$C$2:$C$700,MATCH($C5295,'تحليل التكلفة والسعر'!$B$2:$B$700,0)),0))</f>
        <v/>
      </c>
    </row>
    <row r="5296" customFormat="false" ht="15" hidden="false" customHeight="false" outlineLevel="0" collapsed="false">
      <c r="A5296" s="103"/>
      <c r="B5296" s="104"/>
      <c r="C5296" s="104"/>
      <c r="E5296" s="107" t="str">
        <f aca="false">IF($C5296="","",IFERROR(INDEX(المنيو!$C$2:$C$500,MATCH($C5296,المنيو!$B$2:$B$500,0)),0))</f>
        <v/>
      </c>
      <c r="F5296" s="107" t="str">
        <f aca="false">IF($C5296="","",$D5296*$E5296)</f>
        <v/>
      </c>
      <c r="G5296" s="107" t="str">
        <f aca="false">IF($C5296="","",$D5296*IFERROR(INDEX('تحليل التكلفة والسعر'!$C$2:$C$700,MATCH($C5296,'تحليل التكلفة والسعر'!$B$2:$B$700,0)),0))</f>
        <v/>
      </c>
    </row>
    <row r="5297" customFormat="false" ht="15" hidden="false" customHeight="false" outlineLevel="0" collapsed="false">
      <c r="A5297" s="103"/>
      <c r="B5297" s="104"/>
      <c r="C5297" s="104"/>
      <c r="E5297" s="107" t="str">
        <f aca="false">IF($C5297="","",IFERROR(INDEX(المنيو!$C$2:$C$500,MATCH($C5297,المنيو!$B$2:$B$500,0)),0))</f>
        <v/>
      </c>
      <c r="F5297" s="107" t="str">
        <f aca="false">IF($C5297="","",$D5297*$E5297)</f>
        <v/>
      </c>
      <c r="G5297" s="107" t="str">
        <f aca="false">IF($C5297="","",$D5297*IFERROR(INDEX('تحليل التكلفة والسعر'!$C$2:$C$700,MATCH($C5297,'تحليل التكلفة والسعر'!$B$2:$B$700,0)),0))</f>
        <v/>
      </c>
    </row>
    <row r="5298" customFormat="false" ht="15" hidden="false" customHeight="false" outlineLevel="0" collapsed="false">
      <c r="A5298" s="103"/>
      <c r="B5298" s="104"/>
      <c r="C5298" s="104"/>
      <c r="E5298" s="107" t="str">
        <f aca="false">IF($C5298="","",IFERROR(INDEX(المنيو!$C$2:$C$500,MATCH($C5298,المنيو!$B$2:$B$500,0)),0))</f>
        <v/>
      </c>
      <c r="F5298" s="107" t="str">
        <f aca="false">IF($C5298="","",$D5298*$E5298)</f>
        <v/>
      </c>
      <c r="G5298" s="107" t="str">
        <f aca="false">IF($C5298="","",$D5298*IFERROR(INDEX('تحليل التكلفة والسعر'!$C$2:$C$700,MATCH($C5298,'تحليل التكلفة والسعر'!$B$2:$B$700,0)),0))</f>
        <v/>
      </c>
    </row>
    <row r="5299" customFormat="false" ht="15" hidden="false" customHeight="false" outlineLevel="0" collapsed="false">
      <c r="A5299" s="103"/>
      <c r="B5299" s="104"/>
      <c r="C5299" s="104"/>
      <c r="E5299" s="107" t="str">
        <f aca="false">IF($C5299="","",IFERROR(INDEX(المنيو!$C$2:$C$500,MATCH($C5299,المنيو!$B$2:$B$500,0)),0))</f>
        <v/>
      </c>
      <c r="F5299" s="107" t="str">
        <f aca="false">IF($C5299="","",$D5299*$E5299)</f>
        <v/>
      </c>
      <c r="G5299" s="107" t="str">
        <f aca="false">IF($C5299="","",$D5299*IFERROR(INDEX('تحليل التكلفة والسعر'!$C$2:$C$700,MATCH($C5299,'تحليل التكلفة والسعر'!$B$2:$B$700,0)),0))</f>
        <v/>
      </c>
    </row>
    <row r="5300" customFormat="false" ht="15" hidden="false" customHeight="false" outlineLevel="0" collapsed="false">
      <c r="A5300" s="103"/>
      <c r="B5300" s="104"/>
      <c r="C5300" s="104"/>
      <c r="E5300" s="107" t="str">
        <f aca="false">IF($C5300="","",IFERROR(INDEX(المنيو!$C$2:$C$500,MATCH($C5300,المنيو!$B$2:$B$500,0)),0))</f>
        <v/>
      </c>
      <c r="F5300" s="107" t="str">
        <f aca="false">IF($C5300="","",$D5300*$E5300)</f>
        <v/>
      </c>
      <c r="G5300" s="107" t="str">
        <f aca="false">IF($C5300="","",$D5300*IFERROR(INDEX('تحليل التكلفة والسعر'!$C$2:$C$700,MATCH($C5300,'تحليل التكلفة والسعر'!$B$2:$B$700,0)),0))</f>
        <v/>
      </c>
    </row>
    <row r="5301" customFormat="false" ht="15" hidden="false" customHeight="false" outlineLevel="0" collapsed="false">
      <c r="A5301" s="103"/>
      <c r="B5301" s="104"/>
      <c r="C5301" s="104"/>
      <c r="E5301" s="107" t="str">
        <f aca="false">IF($C5301="","",IFERROR(INDEX(المنيو!$C$2:$C$500,MATCH($C5301,المنيو!$B$2:$B$500,0)),0))</f>
        <v/>
      </c>
      <c r="F5301" s="107" t="str">
        <f aca="false">IF($C5301="","",$D5301*$E5301)</f>
        <v/>
      </c>
      <c r="G5301" s="107" t="str">
        <f aca="false">IF($C5301="","",$D5301*IFERROR(INDEX('تحليل التكلفة والسعر'!$C$2:$C$700,MATCH($C5301,'تحليل التكلفة والسعر'!$B$2:$B$700,0)),0))</f>
        <v/>
      </c>
    </row>
    <row r="5302" customFormat="false" ht="15" hidden="false" customHeight="false" outlineLevel="0" collapsed="false">
      <c r="A5302" s="103"/>
      <c r="B5302" s="104"/>
      <c r="C5302" s="104"/>
      <c r="E5302" s="107" t="str">
        <f aca="false">IF($C5302="","",IFERROR(INDEX(المنيو!$C$2:$C$500,MATCH($C5302,المنيو!$B$2:$B$500,0)),0))</f>
        <v/>
      </c>
      <c r="F5302" s="107" t="str">
        <f aca="false">IF($C5302="","",$D5302*$E5302)</f>
        <v/>
      </c>
      <c r="G5302" s="107" t="str">
        <f aca="false">IF($C5302="","",$D5302*IFERROR(INDEX('تحليل التكلفة والسعر'!$C$2:$C$700,MATCH($C5302,'تحليل التكلفة والسعر'!$B$2:$B$700,0)),0))</f>
        <v/>
      </c>
    </row>
    <row r="5303" customFormat="false" ht="15" hidden="false" customHeight="false" outlineLevel="0" collapsed="false">
      <c r="A5303" s="103"/>
      <c r="B5303" s="104"/>
      <c r="C5303" s="104"/>
      <c r="E5303" s="107" t="str">
        <f aca="false">IF($C5303="","",IFERROR(INDEX(المنيو!$C$2:$C$500,MATCH($C5303,المنيو!$B$2:$B$500,0)),0))</f>
        <v/>
      </c>
      <c r="F5303" s="107" t="str">
        <f aca="false">IF($C5303="","",$D5303*$E5303)</f>
        <v/>
      </c>
      <c r="G5303" s="107" t="str">
        <f aca="false">IF($C5303="","",$D5303*IFERROR(INDEX('تحليل التكلفة والسعر'!$C$2:$C$700,MATCH($C5303,'تحليل التكلفة والسعر'!$B$2:$B$700,0)),0))</f>
        <v/>
      </c>
    </row>
    <row r="5304" customFormat="false" ht="15" hidden="false" customHeight="false" outlineLevel="0" collapsed="false">
      <c r="A5304" s="103"/>
      <c r="B5304" s="104"/>
      <c r="C5304" s="104"/>
      <c r="E5304" s="107" t="str">
        <f aca="false">IF($C5304="","",IFERROR(INDEX(المنيو!$C$2:$C$500,MATCH($C5304,المنيو!$B$2:$B$500,0)),0))</f>
        <v/>
      </c>
      <c r="F5304" s="107" t="str">
        <f aca="false">IF($C5304="","",$D5304*$E5304)</f>
        <v/>
      </c>
      <c r="G5304" s="107" t="str">
        <f aca="false">IF($C5304="","",$D5304*IFERROR(INDEX('تحليل التكلفة والسعر'!$C$2:$C$700,MATCH($C5304,'تحليل التكلفة والسعر'!$B$2:$B$700,0)),0))</f>
        <v/>
      </c>
    </row>
    <row r="5305" customFormat="false" ht="15" hidden="false" customHeight="false" outlineLevel="0" collapsed="false">
      <c r="A5305" s="103"/>
      <c r="B5305" s="104"/>
      <c r="C5305" s="104"/>
      <c r="E5305" s="107" t="str">
        <f aca="false">IF($C5305="","",IFERROR(INDEX(المنيو!$C$2:$C$500,MATCH($C5305,المنيو!$B$2:$B$500,0)),0))</f>
        <v/>
      </c>
      <c r="F5305" s="107" t="str">
        <f aca="false">IF($C5305="","",$D5305*$E5305)</f>
        <v/>
      </c>
      <c r="G5305" s="107" t="str">
        <f aca="false">IF($C5305="","",$D5305*IFERROR(INDEX('تحليل التكلفة والسعر'!$C$2:$C$700,MATCH($C5305,'تحليل التكلفة والسعر'!$B$2:$B$700,0)),0))</f>
        <v/>
      </c>
    </row>
    <row r="5306" customFormat="false" ht="15" hidden="false" customHeight="false" outlineLevel="0" collapsed="false">
      <c r="A5306" s="103"/>
      <c r="B5306" s="104"/>
      <c r="C5306" s="104"/>
      <c r="E5306" s="107" t="str">
        <f aca="false">IF($C5306="","",IFERROR(INDEX(المنيو!$C$2:$C$500,MATCH($C5306,المنيو!$B$2:$B$500,0)),0))</f>
        <v/>
      </c>
      <c r="F5306" s="107" t="str">
        <f aca="false">IF($C5306="","",$D5306*$E5306)</f>
        <v/>
      </c>
      <c r="G5306" s="107" t="str">
        <f aca="false">IF($C5306="","",$D5306*IFERROR(INDEX('تحليل التكلفة والسعر'!$C$2:$C$700,MATCH($C5306,'تحليل التكلفة والسعر'!$B$2:$B$700,0)),0))</f>
        <v/>
      </c>
    </row>
    <row r="5307" customFormat="false" ht="15" hidden="false" customHeight="false" outlineLevel="0" collapsed="false">
      <c r="A5307" s="103"/>
      <c r="B5307" s="104"/>
      <c r="C5307" s="104"/>
      <c r="E5307" s="107" t="str">
        <f aca="false">IF($C5307="","",IFERROR(INDEX(المنيو!$C$2:$C$500,MATCH($C5307,المنيو!$B$2:$B$500,0)),0))</f>
        <v/>
      </c>
      <c r="F5307" s="107" t="str">
        <f aca="false">IF($C5307="","",$D5307*$E5307)</f>
        <v/>
      </c>
      <c r="G5307" s="107" t="str">
        <f aca="false">IF($C5307="","",$D5307*IFERROR(INDEX('تحليل التكلفة والسعر'!$C$2:$C$700,MATCH($C5307,'تحليل التكلفة والسعر'!$B$2:$B$700,0)),0))</f>
        <v/>
      </c>
    </row>
    <row r="5308" customFormat="false" ht="15" hidden="false" customHeight="false" outlineLevel="0" collapsed="false">
      <c r="A5308" s="103"/>
      <c r="B5308" s="104"/>
      <c r="C5308" s="104"/>
      <c r="E5308" s="107" t="str">
        <f aca="false">IF($C5308="","",IFERROR(INDEX(المنيو!$C$2:$C$500,MATCH($C5308,المنيو!$B$2:$B$500,0)),0))</f>
        <v/>
      </c>
      <c r="F5308" s="107" t="str">
        <f aca="false">IF($C5308="","",$D5308*$E5308)</f>
        <v/>
      </c>
      <c r="G5308" s="107" t="str">
        <f aca="false">IF($C5308="","",$D5308*IFERROR(INDEX('تحليل التكلفة والسعر'!$C$2:$C$700,MATCH($C5308,'تحليل التكلفة والسعر'!$B$2:$B$700,0)),0))</f>
        <v/>
      </c>
    </row>
    <row r="5309" customFormat="false" ht="15" hidden="false" customHeight="false" outlineLevel="0" collapsed="false">
      <c r="A5309" s="103"/>
      <c r="B5309" s="104"/>
      <c r="C5309" s="104"/>
      <c r="E5309" s="107" t="str">
        <f aca="false">IF($C5309="","",IFERROR(INDEX(المنيو!$C$2:$C$500,MATCH($C5309,المنيو!$B$2:$B$500,0)),0))</f>
        <v/>
      </c>
      <c r="F5309" s="107" t="str">
        <f aca="false">IF($C5309="","",$D5309*$E5309)</f>
        <v/>
      </c>
      <c r="G5309" s="107" t="str">
        <f aca="false">IF($C5309="","",$D5309*IFERROR(INDEX('تحليل التكلفة والسعر'!$C$2:$C$700,MATCH($C5309,'تحليل التكلفة والسعر'!$B$2:$B$700,0)),0))</f>
        <v/>
      </c>
    </row>
    <row r="5310" customFormat="false" ht="15" hidden="false" customHeight="false" outlineLevel="0" collapsed="false">
      <c r="A5310" s="103"/>
      <c r="B5310" s="104"/>
      <c r="C5310" s="104"/>
      <c r="E5310" s="107" t="str">
        <f aca="false">IF($C5310="","",IFERROR(INDEX(المنيو!$C$2:$C$500,MATCH($C5310,المنيو!$B$2:$B$500,0)),0))</f>
        <v/>
      </c>
      <c r="F5310" s="107" t="str">
        <f aca="false">IF($C5310="","",$D5310*$E5310)</f>
        <v/>
      </c>
      <c r="G5310" s="107" t="str">
        <f aca="false">IF($C5310="","",$D5310*IFERROR(INDEX('تحليل التكلفة والسعر'!$C$2:$C$700,MATCH($C5310,'تحليل التكلفة والسعر'!$B$2:$B$700,0)),0))</f>
        <v/>
      </c>
    </row>
    <row r="5311" customFormat="false" ht="15" hidden="false" customHeight="false" outlineLevel="0" collapsed="false">
      <c r="A5311" s="103"/>
      <c r="B5311" s="104"/>
      <c r="C5311" s="104"/>
      <c r="E5311" s="107" t="str">
        <f aca="false">IF($C5311="","",IFERROR(INDEX(المنيو!$C$2:$C$500,MATCH($C5311,المنيو!$B$2:$B$500,0)),0))</f>
        <v/>
      </c>
      <c r="F5311" s="107" t="str">
        <f aca="false">IF($C5311="","",$D5311*$E5311)</f>
        <v/>
      </c>
      <c r="G5311" s="107" t="str">
        <f aca="false">IF($C5311="","",$D5311*IFERROR(INDEX('تحليل التكلفة والسعر'!$C$2:$C$700,MATCH($C5311,'تحليل التكلفة والسعر'!$B$2:$B$700,0)),0))</f>
        <v/>
      </c>
    </row>
    <row r="5312" customFormat="false" ht="15" hidden="false" customHeight="false" outlineLevel="0" collapsed="false">
      <c r="A5312" s="103"/>
      <c r="B5312" s="104"/>
      <c r="C5312" s="104"/>
      <c r="E5312" s="107" t="str">
        <f aca="false">IF($C5312="","",IFERROR(INDEX(المنيو!$C$2:$C$500,MATCH($C5312,المنيو!$B$2:$B$500,0)),0))</f>
        <v/>
      </c>
      <c r="F5312" s="107" t="str">
        <f aca="false">IF($C5312="","",$D5312*$E5312)</f>
        <v/>
      </c>
      <c r="G5312" s="107" t="str">
        <f aca="false">IF($C5312="","",$D5312*IFERROR(INDEX('تحليل التكلفة والسعر'!$C$2:$C$700,MATCH($C5312,'تحليل التكلفة والسعر'!$B$2:$B$700,0)),0))</f>
        <v/>
      </c>
    </row>
    <row r="5313" customFormat="false" ht="15" hidden="false" customHeight="false" outlineLevel="0" collapsed="false">
      <c r="A5313" s="103"/>
      <c r="B5313" s="104"/>
      <c r="C5313" s="104"/>
      <c r="E5313" s="107" t="str">
        <f aca="false">IF($C5313="","",IFERROR(INDEX(المنيو!$C$2:$C$500,MATCH($C5313,المنيو!$B$2:$B$500,0)),0))</f>
        <v/>
      </c>
      <c r="F5313" s="107" t="str">
        <f aca="false">IF($C5313="","",$D5313*$E5313)</f>
        <v/>
      </c>
      <c r="G5313" s="107" t="str">
        <f aca="false">IF($C5313="","",$D5313*IFERROR(INDEX('تحليل التكلفة والسعر'!$C$2:$C$700,MATCH($C5313,'تحليل التكلفة والسعر'!$B$2:$B$700,0)),0))</f>
        <v/>
      </c>
    </row>
    <row r="5314" customFormat="false" ht="15" hidden="false" customHeight="false" outlineLevel="0" collapsed="false">
      <c r="A5314" s="103"/>
      <c r="B5314" s="104"/>
      <c r="C5314" s="104"/>
      <c r="E5314" s="107" t="str">
        <f aca="false">IF($C5314="","",IFERROR(INDEX(المنيو!$C$2:$C$500,MATCH($C5314,المنيو!$B$2:$B$500,0)),0))</f>
        <v/>
      </c>
      <c r="F5314" s="107" t="str">
        <f aca="false">IF($C5314="","",$D5314*$E5314)</f>
        <v/>
      </c>
      <c r="G5314" s="107" t="str">
        <f aca="false">IF($C5314="","",$D5314*IFERROR(INDEX('تحليل التكلفة والسعر'!$C$2:$C$700,MATCH($C5314,'تحليل التكلفة والسعر'!$B$2:$B$700,0)),0))</f>
        <v/>
      </c>
    </row>
    <row r="5315" customFormat="false" ht="15" hidden="false" customHeight="false" outlineLevel="0" collapsed="false">
      <c r="A5315" s="103"/>
      <c r="B5315" s="104"/>
      <c r="C5315" s="104"/>
      <c r="E5315" s="107" t="str">
        <f aca="false">IF($C5315="","",IFERROR(INDEX(المنيو!$C$2:$C$500,MATCH($C5315,المنيو!$B$2:$B$500,0)),0))</f>
        <v/>
      </c>
      <c r="F5315" s="107" t="str">
        <f aca="false">IF($C5315="","",$D5315*$E5315)</f>
        <v/>
      </c>
      <c r="G5315" s="107" t="str">
        <f aca="false">IF($C5315="","",$D5315*IFERROR(INDEX('تحليل التكلفة والسعر'!$C$2:$C$700,MATCH($C5315,'تحليل التكلفة والسعر'!$B$2:$B$700,0)),0))</f>
        <v/>
      </c>
    </row>
    <row r="5316" customFormat="false" ht="15" hidden="false" customHeight="false" outlineLevel="0" collapsed="false">
      <c r="A5316" s="103"/>
      <c r="B5316" s="104"/>
      <c r="C5316" s="104"/>
      <c r="E5316" s="107" t="str">
        <f aca="false">IF($C5316="","",IFERROR(INDEX(المنيو!$C$2:$C$500,MATCH($C5316,المنيو!$B$2:$B$500,0)),0))</f>
        <v/>
      </c>
      <c r="F5316" s="107" t="str">
        <f aca="false">IF($C5316="","",$D5316*$E5316)</f>
        <v/>
      </c>
      <c r="G5316" s="107" t="str">
        <f aca="false">IF($C5316="","",$D5316*IFERROR(INDEX('تحليل التكلفة والسعر'!$C$2:$C$700,MATCH($C5316,'تحليل التكلفة والسعر'!$B$2:$B$700,0)),0))</f>
        <v/>
      </c>
    </row>
    <row r="5317" customFormat="false" ht="15" hidden="false" customHeight="false" outlineLevel="0" collapsed="false">
      <c r="A5317" s="103"/>
      <c r="B5317" s="104"/>
      <c r="C5317" s="104"/>
      <c r="E5317" s="107" t="str">
        <f aca="false">IF($C5317="","",IFERROR(INDEX(المنيو!$C$2:$C$500,MATCH($C5317,المنيو!$B$2:$B$500,0)),0))</f>
        <v/>
      </c>
      <c r="F5317" s="107" t="str">
        <f aca="false">IF($C5317="","",$D5317*$E5317)</f>
        <v/>
      </c>
      <c r="G5317" s="107" t="str">
        <f aca="false">IF($C5317="","",$D5317*IFERROR(INDEX('تحليل التكلفة والسعر'!$C$2:$C$700,MATCH($C5317,'تحليل التكلفة والسعر'!$B$2:$B$700,0)),0))</f>
        <v/>
      </c>
    </row>
    <row r="5318" customFormat="false" ht="15" hidden="false" customHeight="false" outlineLevel="0" collapsed="false">
      <c r="A5318" s="103"/>
      <c r="B5318" s="104"/>
      <c r="C5318" s="104"/>
      <c r="E5318" s="107" t="str">
        <f aca="false">IF($C5318="","",IFERROR(INDEX(المنيو!$C$2:$C$500,MATCH($C5318,المنيو!$B$2:$B$500,0)),0))</f>
        <v/>
      </c>
      <c r="F5318" s="107" t="str">
        <f aca="false">IF($C5318="","",$D5318*$E5318)</f>
        <v/>
      </c>
      <c r="G5318" s="107" t="str">
        <f aca="false">IF($C5318="","",$D5318*IFERROR(INDEX('تحليل التكلفة والسعر'!$C$2:$C$700,MATCH($C5318,'تحليل التكلفة والسعر'!$B$2:$B$700,0)),0))</f>
        <v/>
      </c>
    </row>
    <row r="5319" customFormat="false" ht="15" hidden="false" customHeight="false" outlineLevel="0" collapsed="false">
      <c r="A5319" s="103"/>
      <c r="B5319" s="104"/>
      <c r="C5319" s="104"/>
      <c r="E5319" s="107" t="str">
        <f aca="false">IF($C5319="","",IFERROR(INDEX(المنيو!$C$2:$C$500,MATCH($C5319,المنيو!$B$2:$B$500,0)),0))</f>
        <v/>
      </c>
      <c r="F5319" s="107" t="str">
        <f aca="false">IF($C5319="","",$D5319*$E5319)</f>
        <v/>
      </c>
      <c r="G5319" s="107" t="str">
        <f aca="false">IF($C5319="","",$D5319*IFERROR(INDEX('تحليل التكلفة والسعر'!$C$2:$C$700,MATCH($C5319,'تحليل التكلفة والسعر'!$B$2:$B$700,0)),0))</f>
        <v/>
      </c>
    </row>
    <row r="5320" customFormat="false" ht="15" hidden="false" customHeight="false" outlineLevel="0" collapsed="false">
      <c r="A5320" s="103"/>
      <c r="B5320" s="104"/>
      <c r="C5320" s="104"/>
      <c r="E5320" s="107" t="str">
        <f aca="false">IF($C5320="","",IFERROR(INDEX(المنيو!$C$2:$C$500,MATCH($C5320,المنيو!$B$2:$B$500,0)),0))</f>
        <v/>
      </c>
      <c r="F5320" s="107" t="str">
        <f aca="false">IF($C5320="","",$D5320*$E5320)</f>
        <v/>
      </c>
      <c r="G5320" s="107" t="str">
        <f aca="false">IF($C5320="","",$D5320*IFERROR(INDEX('تحليل التكلفة والسعر'!$C$2:$C$700,MATCH($C5320,'تحليل التكلفة والسعر'!$B$2:$B$700,0)),0))</f>
        <v/>
      </c>
    </row>
    <row r="5321" customFormat="false" ht="15" hidden="false" customHeight="false" outlineLevel="0" collapsed="false">
      <c r="A5321" s="103"/>
      <c r="B5321" s="104"/>
      <c r="C5321" s="104"/>
      <c r="E5321" s="107" t="str">
        <f aca="false">IF($C5321="","",IFERROR(INDEX(المنيو!$C$2:$C$500,MATCH($C5321,المنيو!$B$2:$B$500,0)),0))</f>
        <v/>
      </c>
      <c r="F5321" s="107" t="str">
        <f aca="false">IF($C5321="","",$D5321*$E5321)</f>
        <v/>
      </c>
      <c r="G5321" s="107" t="str">
        <f aca="false">IF($C5321="","",$D5321*IFERROR(INDEX('تحليل التكلفة والسعر'!$C$2:$C$700,MATCH($C5321,'تحليل التكلفة والسعر'!$B$2:$B$700,0)),0))</f>
        <v/>
      </c>
    </row>
    <row r="5322" customFormat="false" ht="15" hidden="false" customHeight="false" outlineLevel="0" collapsed="false">
      <c r="A5322" s="103"/>
      <c r="B5322" s="104"/>
      <c r="C5322" s="104"/>
      <c r="E5322" s="107" t="str">
        <f aca="false">IF($C5322="","",IFERROR(INDEX(المنيو!$C$2:$C$500,MATCH($C5322,المنيو!$B$2:$B$500,0)),0))</f>
        <v/>
      </c>
      <c r="F5322" s="107" t="str">
        <f aca="false">IF($C5322="","",$D5322*$E5322)</f>
        <v/>
      </c>
      <c r="G5322" s="107" t="str">
        <f aca="false">IF($C5322="","",$D5322*IFERROR(INDEX('تحليل التكلفة والسعر'!$C$2:$C$700,MATCH($C5322,'تحليل التكلفة والسعر'!$B$2:$B$700,0)),0))</f>
        <v/>
      </c>
    </row>
    <row r="5323" customFormat="false" ht="15" hidden="false" customHeight="false" outlineLevel="0" collapsed="false">
      <c r="A5323" s="103"/>
      <c r="B5323" s="104"/>
      <c r="C5323" s="104"/>
      <c r="E5323" s="107" t="str">
        <f aca="false">IF($C5323="","",IFERROR(INDEX(المنيو!$C$2:$C$500,MATCH($C5323,المنيو!$B$2:$B$500,0)),0))</f>
        <v/>
      </c>
      <c r="F5323" s="107" t="str">
        <f aca="false">IF($C5323="","",$D5323*$E5323)</f>
        <v/>
      </c>
      <c r="G5323" s="107" t="str">
        <f aca="false">IF($C5323="","",$D5323*IFERROR(INDEX('تحليل التكلفة والسعر'!$C$2:$C$700,MATCH($C5323,'تحليل التكلفة والسعر'!$B$2:$B$700,0)),0))</f>
        <v/>
      </c>
    </row>
    <row r="5324" customFormat="false" ht="15" hidden="false" customHeight="false" outlineLevel="0" collapsed="false">
      <c r="A5324" s="103"/>
      <c r="B5324" s="104"/>
      <c r="C5324" s="104"/>
      <c r="E5324" s="107" t="str">
        <f aca="false">IF($C5324="","",IFERROR(INDEX(المنيو!$C$2:$C$500,MATCH($C5324,المنيو!$B$2:$B$500,0)),0))</f>
        <v/>
      </c>
      <c r="F5324" s="107" t="str">
        <f aca="false">IF($C5324="","",$D5324*$E5324)</f>
        <v/>
      </c>
      <c r="G5324" s="107" t="str">
        <f aca="false">IF($C5324="","",$D5324*IFERROR(INDEX('تحليل التكلفة والسعر'!$C$2:$C$700,MATCH($C5324,'تحليل التكلفة والسعر'!$B$2:$B$700,0)),0))</f>
        <v/>
      </c>
    </row>
    <row r="5325" customFormat="false" ht="15" hidden="false" customHeight="false" outlineLevel="0" collapsed="false">
      <c r="A5325" s="103"/>
      <c r="B5325" s="104"/>
      <c r="C5325" s="104"/>
      <c r="E5325" s="107" t="str">
        <f aca="false">IF($C5325="","",IFERROR(INDEX(المنيو!$C$2:$C$500,MATCH($C5325,المنيو!$B$2:$B$500,0)),0))</f>
        <v/>
      </c>
      <c r="F5325" s="107" t="str">
        <f aca="false">IF($C5325="","",$D5325*$E5325)</f>
        <v/>
      </c>
      <c r="G5325" s="107" t="str">
        <f aca="false">IF($C5325="","",$D5325*IFERROR(INDEX('تحليل التكلفة والسعر'!$C$2:$C$700,MATCH($C5325,'تحليل التكلفة والسعر'!$B$2:$B$700,0)),0))</f>
        <v/>
      </c>
    </row>
    <row r="5326" customFormat="false" ht="15" hidden="false" customHeight="false" outlineLevel="0" collapsed="false">
      <c r="A5326" s="103"/>
      <c r="B5326" s="104"/>
      <c r="C5326" s="104"/>
      <c r="E5326" s="107" t="str">
        <f aca="false">IF($C5326="","",IFERROR(INDEX(المنيو!$C$2:$C$500,MATCH($C5326,المنيو!$B$2:$B$500,0)),0))</f>
        <v/>
      </c>
      <c r="F5326" s="107" t="str">
        <f aca="false">IF($C5326="","",$D5326*$E5326)</f>
        <v/>
      </c>
      <c r="G5326" s="107" t="str">
        <f aca="false">IF($C5326="","",$D5326*IFERROR(INDEX('تحليل التكلفة والسعر'!$C$2:$C$700,MATCH($C5326,'تحليل التكلفة والسعر'!$B$2:$B$700,0)),0))</f>
        <v/>
      </c>
    </row>
    <row r="5327" customFormat="false" ht="15" hidden="false" customHeight="false" outlineLevel="0" collapsed="false">
      <c r="A5327" s="103"/>
      <c r="B5327" s="104"/>
      <c r="C5327" s="104"/>
      <c r="E5327" s="107" t="str">
        <f aca="false">IF($C5327="","",IFERROR(INDEX(المنيو!$C$2:$C$500,MATCH($C5327,المنيو!$B$2:$B$500,0)),0))</f>
        <v/>
      </c>
      <c r="F5327" s="107" t="str">
        <f aca="false">IF($C5327="","",$D5327*$E5327)</f>
        <v/>
      </c>
      <c r="G5327" s="107" t="str">
        <f aca="false">IF($C5327="","",$D5327*IFERROR(INDEX('تحليل التكلفة والسعر'!$C$2:$C$700,MATCH($C5327,'تحليل التكلفة والسعر'!$B$2:$B$700,0)),0))</f>
        <v/>
      </c>
    </row>
    <row r="5328" customFormat="false" ht="15" hidden="false" customHeight="false" outlineLevel="0" collapsed="false">
      <c r="A5328" s="103"/>
      <c r="B5328" s="104"/>
      <c r="C5328" s="104"/>
      <c r="E5328" s="107" t="str">
        <f aca="false">IF($C5328="","",IFERROR(INDEX(المنيو!$C$2:$C$500,MATCH($C5328,المنيو!$B$2:$B$500,0)),0))</f>
        <v/>
      </c>
      <c r="F5328" s="107" t="str">
        <f aca="false">IF($C5328="","",$D5328*$E5328)</f>
        <v/>
      </c>
      <c r="G5328" s="107" t="str">
        <f aca="false">IF($C5328="","",$D5328*IFERROR(INDEX('تحليل التكلفة والسعر'!$C$2:$C$700,MATCH($C5328,'تحليل التكلفة والسعر'!$B$2:$B$700,0)),0))</f>
        <v/>
      </c>
    </row>
    <row r="5329" customFormat="false" ht="15" hidden="false" customHeight="false" outlineLevel="0" collapsed="false">
      <c r="A5329" s="103"/>
      <c r="B5329" s="104"/>
      <c r="C5329" s="104"/>
      <c r="E5329" s="107" t="str">
        <f aca="false">IF($C5329="","",IFERROR(INDEX(المنيو!$C$2:$C$500,MATCH($C5329,المنيو!$B$2:$B$500,0)),0))</f>
        <v/>
      </c>
      <c r="F5329" s="107" t="str">
        <f aca="false">IF($C5329="","",$D5329*$E5329)</f>
        <v/>
      </c>
      <c r="G5329" s="107" t="str">
        <f aca="false">IF($C5329="","",$D5329*IFERROR(INDEX('تحليل التكلفة والسعر'!$C$2:$C$700,MATCH($C5329,'تحليل التكلفة والسعر'!$B$2:$B$700,0)),0))</f>
        <v/>
      </c>
    </row>
    <row r="5330" customFormat="false" ht="15" hidden="false" customHeight="false" outlineLevel="0" collapsed="false">
      <c r="A5330" s="103"/>
      <c r="B5330" s="104"/>
      <c r="C5330" s="104"/>
      <c r="E5330" s="107" t="str">
        <f aca="false">IF($C5330="","",IFERROR(INDEX(المنيو!$C$2:$C$500,MATCH($C5330,المنيو!$B$2:$B$500,0)),0))</f>
        <v/>
      </c>
      <c r="F5330" s="107" t="str">
        <f aca="false">IF($C5330="","",$D5330*$E5330)</f>
        <v/>
      </c>
      <c r="G5330" s="107" t="str">
        <f aca="false">IF($C5330="","",$D5330*IFERROR(INDEX('تحليل التكلفة والسعر'!$C$2:$C$700,MATCH($C5330,'تحليل التكلفة والسعر'!$B$2:$B$700,0)),0))</f>
        <v/>
      </c>
    </row>
    <row r="5331" customFormat="false" ht="15" hidden="false" customHeight="false" outlineLevel="0" collapsed="false">
      <c r="A5331" s="103"/>
      <c r="B5331" s="104"/>
      <c r="C5331" s="104"/>
      <c r="E5331" s="107" t="str">
        <f aca="false">IF($C5331="","",IFERROR(INDEX(المنيو!$C$2:$C$500,MATCH($C5331,المنيو!$B$2:$B$500,0)),0))</f>
        <v/>
      </c>
      <c r="F5331" s="107" t="str">
        <f aca="false">IF($C5331="","",$D5331*$E5331)</f>
        <v/>
      </c>
      <c r="G5331" s="107" t="str">
        <f aca="false">IF($C5331="","",$D5331*IFERROR(INDEX('تحليل التكلفة والسعر'!$C$2:$C$700,MATCH($C5331,'تحليل التكلفة والسعر'!$B$2:$B$700,0)),0))</f>
        <v/>
      </c>
    </row>
    <row r="5332" customFormat="false" ht="15" hidden="false" customHeight="false" outlineLevel="0" collapsed="false">
      <c r="A5332" s="103"/>
      <c r="B5332" s="104"/>
      <c r="C5332" s="104"/>
      <c r="E5332" s="107" t="str">
        <f aca="false">IF($C5332="","",IFERROR(INDEX(المنيو!$C$2:$C$500,MATCH($C5332,المنيو!$B$2:$B$500,0)),0))</f>
        <v/>
      </c>
      <c r="F5332" s="107" t="str">
        <f aca="false">IF($C5332="","",$D5332*$E5332)</f>
        <v/>
      </c>
      <c r="G5332" s="107" t="str">
        <f aca="false">IF($C5332="","",$D5332*IFERROR(INDEX('تحليل التكلفة والسعر'!$C$2:$C$700,MATCH($C5332,'تحليل التكلفة والسعر'!$B$2:$B$700,0)),0))</f>
        <v/>
      </c>
    </row>
    <row r="5333" customFormat="false" ht="15" hidden="false" customHeight="false" outlineLevel="0" collapsed="false">
      <c r="A5333" s="103"/>
      <c r="B5333" s="104"/>
      <c r="C5333" s="104"/>
      <c r="E5333" s="107" t="str">
        <f aca="false">IF($C5333="","",IFERROR(INDEX(المنيو!$C$2:$C$500,MATCH($C5333,المنيو!$B$2:$B$500,0)),0))</f>
        <v/>
      </c>
      <c r="F5333" s="107" t="str">
        <f aca="false">IF($C5333="","",$D5333*$E5333)</f>
        <v/>
      </c>
      <c r="G5333" s="107" t="str">
        <f aca="false">IF($C5333="","",$D5333*IFERROR(INDEX('تحليل التكلفة والسعر'!$C$2:$C$700,MATCH($C5333,'تحليل التكلفة والسعر'!$B$2:$B$700,0)),0))</f>
        <v/>
      </c>
    </row>
    <row r="5334" customFormat="false" ht="15" hidden="false" customHeight="false" outlineLevel="0" collapsed="false">
      <c r="A5334" s="103"/>
      <c r="B5334" s="104"/>
      <c r="C5334" s="104"/>
      <c r="E5334" s="107" t="str">
        <f aca="false">IF($C5334="","",IFERROR(INDEX(المنيو!$C$2:$C$500,MATCH($C5334,المنيو!$B$2:$B$500,0)),0))</f>
        <v/>
      </c>
      <c r="F5334" s="107" t="str">
        <f aca="false">IF($C5334="","",$D5334*$E5334)</f>
        <v/>
      </c>
      <c r="G5334" s="107" t="str">
        <f aca="false">IF($C5334="","",$D5334*IFERROR(INDEX('تحليل التكلفة والسعر'!$C$2:$C$700,MATCH($C5334,'تحليل التكلفة والسعر'!$B$2:$B$700,0)),0))</f>
        <v/>
      </c>
    </row>
    <row r="5335" customFormat="false" ht="15" hidden="false" customHeight="false" outlineLevel="0" collapsed="false">
      <c r="A5335" s="103"/>
      <c r="B5335" s="104"/>
      <c r="C5335" s="104"/>
      <c r="E5335" s="107" t="str">
        <f aca="false">IF($C5335="","",IFERROR(INDEX(المنيو!$C$2:$C$500,MATCH($C5335,المنيو!$B$2:$B$500,0)),0))</f>
        <v/>
      </c>
      <c r="F5335" s="107" t="str">
        <f aca="false">IF($C5335="","",$D5335*$E5335)</f>
        <v/>
      </c>
      <c r="G5335" s="107" t="str">
        <f aca="false">IF($C5335="","",$D5335*IFERROR(INDEX('تحليل التكلفة والسعر'!$C$2:$C$700,MATCH($C5335,'تحليل التكلفة والسعر'!$B$2:$B$700,0)),0))</f>
        <v/>
      </c>
    </row>
    <row r="5336" customFormat="false" ht="15" hidden="false" customHeight="false" outlineLevel="0" collapsed="false">
      <c r="A5336" s="103"/>
      <c r="B5336" s="104"/>
      <c r="C5336" s="104"/>
      <c r="E5336" s="107" t="str">
        <f aca="false">IF($C5336="","",IFERROR(INDEX(المنيو!$C$2:$C$500,MATCH($C5336,المنيو!$B$2:$B$500,0)),0))</f>
        <v/>
      </c>
      <c r="F5336" s="107" t="str">
        <f aca="false">IF($C5336="","",$D5336*$E5336)</f>
        <v/>
      </c>
      <c r="G5336" s="107" t="str">
        <f aca="false">IF($C5336="","",$D5336*IFERROR(INDEX('تحليل التكلفة والسعر'!$C$2:$C$700,MATCH($C5336,'تحليل التكلفة والسعر'!$B$2:$B$700,0)),0))</f>
        <v/>
      </c>
    </row>
    <row r="5337" customFormat="false" ht="15" hidden="false" customHeight="false" outlineLevel="0" collapsed="false">
      <c r="A5337" s="103"/>
      <c r="B5337" s="104"/>
      <c r="C5337" s="104"/>
      <c r="E5337" s="107" t="str">
        <f aca="false">IF($C5337="","",IFERROR(INDEX(المنيو!$C$2:$C$500,MATCH($C5337,المنيو!$B$2:$B$500,0)),0))</f>
        <v/>
      </c>
      <c r="F5337" s="107" t="str">
        <f aca="false">IF($C5337="","",$D5337*$E5337)</f>
        <v/>
      </c>
      <c r="G5337" s="107" t="str">
        <f aca="false">IF($C5337="","",$D5337*IFERROR(INDEX('تحليل التكلفة والسعر'!$C$2:$C$700,MATCH($C5337,'تحليل التكلفة والسعر'!$B$2:$B$700,0)),0))</f>
        <v/>
      </c>
    </row>
    <row r="5338" customFormat="false" ht="15" hidden="false" customHeight="false" outlineLevel="0" collapsed="false">
      <c r="A5338" s="103"/>
      <c r="B5338" s="104"/>
      <c r="C5338" s="104"/>
      <c r="E5338" s="107" t="str">
        <f aca="false">IF($C5338="","",IFERROR(INDEX(المنيو!$C$2:$C$500,MATCH($C5338,المنيو!$B$2:$B$500,0)),0))</f>
        <v/>
      </c>
      <c r="F5338" s="107" t="str">
        <f aca="false">IF($C5338="","",$D5338*$E5338)</f>
        <v/>
      </c>
      <c r="G5338" s="107" t="str">
        <f aca="false">IF($C5338="","",$D5338*IFERROR(INDEX('تحليل التكلفة والسعر'!$C$2:$C$700,MATCH($C5338,'تحليل التكلفة والسعر'!$B$2:$B$700,0)),0))</f>
        <v/>
      </c>
    </row>
    <row r="5339" customFormat="false" ht="15" hidden="false" customHeight="false" outlineLevel="0" collapsed="false">
      <c r="A5339" s="103"/>
      <c r="B5339" s="104"/>
      <c r="C5339" s="104"/>
      <c r="E5339" s="107" t="str">
        <f aca="false">IF($C5339="","",IFERROR(INDEX(المنيو!$C$2:$C$500,MATCH($C5339,المنيو!$B$2:$B$500,0)),0))</f>
        <v/>
      </c>
      <c r="F5339" s="107" t="str">
        <f aca="false">IF($C5339="","",$D5339*$E5339)</f>
        <v/>
      </c>
      <c r="G5339" s="107" t="str">
        <f aca="false">IF($C5339="","",$D5339*IFERROR(INDEX('تحليل التكلفة والسعر'!$C$2:$C$700,MATCH($C5339,'تحليل التكلفة والسعر'!$B$2:$B$700,0)),0))</f>
        <v/>
      </c>
    </row>
    <row r="5340" customFormat="false" ht="15" hidden="false" customHeight="false" outlineLevel="0" collapsed="false">
      <c r="A5340" s="103"/>
      <c r="B5340" s="104"/>
      <c r="C5340" s="104"/>
      <c r="E5340" s="107" t="str">
        <f aca="false">IF($C5340="","",IFERROR(INDEX(المنيو!$C$2:$C$500,MATCH($C5340,المنيو!$B$2:$B$500,0)),0))</f>
        <v/>
      </c>
      <c r="F5340" s="107" t="str">
        <f aca="false">IF($C5340="","",$D5340*$E5340)</f>
        <v/>
      </c>
      <c r="G5340" s="107" t="str">
        <f aca="false">IF($C5340="","",$D5340*IFERROR(INDEX('تحليل التكلفة والسعر'!$C$2:$C$700,MATCH($C5340,'تحليل التكلفة والسعر'!$B$2:$B$700,0)),0))</f>
        <v/>
      </c>
    </row>
    <row r="5341" customFormat="false" ht="15" hidden="false" customHeight="false" outlineLevel="0" collapsed="false">
      <c r="A5341" s="103"/>
      <c r="B5341" s="104"/>
      <c r="C5341" s="104"/>
      <c r="E5341" s="107" t="str">
        <f aca="false">IF($C5341="","",IFERROR(INDEX(المنيو!$C$2:$C$500,MATCH($C5341,المنيو!$B$2:$B$500,0)),0))</f>
        <v/>
      </c>
      <c r="F5341" s="107" t="str">
        <f aca="false">IF($C5341="","",$D5341*$E5341)</f>
        <v/>
      </c>
      <c r="G5341" s="107" t="str">
        <f aca="false">IF($C5341="","",$D5341*IFERROR(INDEX('تحليل التكلفة والسعر'!$C$2:$C$700,MATCH($C5341,'تحليل التكلفة والسعر'!$B$2:$B$700,0)),0))</f>
        <v/>
      </c>
    </row>
    <row r="5342" customFormat="false" ht="15" hidden="false" customHeight="false" outlineLevel="0" collapsed="false">
      <c r="A5342" s="103"/>
      <c r="B5342" s="104"/>
      <c r="C5342" s="104"/>
      <c r="E5342" s="107" t="str">
        <f aca="false">IF($C5342="","",IFERROR(INDEX(المنيو!$C$2:$C$500,MATCH($C5342,المنيو!$B$2:$B$500,0)),0))</f>
        <v/>
      </c>
      <c r="F5342" s="107" t="str">
        <f aca="false">IF($C5342="","",$D5342*$E5342)</f>
        <v/>
      </c>
      <c r="G5342" s="107" t="str">
        <f aca="false">IF($C5342="","",$D5342*IFERROR(INDEX('تحليل التكلفة والسعر'!$C$2:$C$700,MATCH($C5342,'تحليل التكلفة والسعر'!$B$2:$B$700,0)),0))</f>
        <v/>
      </c>
    </row>
    <row r="5343" customFormat="false" ht="15" hidden="false" customHeight="false" outlineLevel="0" collapsed="false">
      <c r="A5343" s="103"/>
      <c r="B5343" s="104"/>
      <c r="C5343" s="104"/>
      <c r="E5343" s="107" t="str">
        <f aca="false">IF($C5343="","",IFERROR(INDEX(المنيو!$C$2:$C$500,MATCH($C5343,المنيو!$B$2:$B$500,0)),0))</f>
        <v/>
      </c>
      <c r="F5343" s="107" t="str">
        <f aca="false">IF($C5343="","",$D5343*$E5343)</f>
        <v/>
      </c>
      <c r="G5343" s="107" t="str">
        <f aca="false">IF($C5343="","",$D5343*IFERROR(INDEX('تحليل التكلفة والسعر'!$C$2:$C$700,MATCH($C5343,'تحليل التكلفة والسعر'!$B$2:$B$700,0)),0))</f>
        <v/>
      </c>
    </row>
    <row r="5344" customFormat="false" ht="15" hidden="false" customHeight="false" outlineLevel="0" collapsed="false">
      <c r="A5344" s="103"/>
      <c r="B5344" s="104"/>
      <c r="C5344" s="104"/>
      <c r="E5344" s="107" t="str">
        <f aca="false">IF($C5344="","",IFERROR(INDEX(المنيو!$C$2:$C$500,MATCH($C5344,المنيو!$B$2:$B$500,0)),0))</f>
        <v/>
      </c>
      <c r="F5344" s="107" t="str">
        <f aca="false">IF($C5344="","",$D5344*$E5344)</f>
        <v/>
      </c>
      <c r="G5344" s="107" t="str">
        <f aca="false">IF($C5344="","",$D5344*IFERROR(INDEX('تحليل التكلفة والسعر'!$C$2:$C$700,MATCH($C5344,'تحليل التكلفة والسعر'!$B$2:$B$700,0)),0))</f>
        <v/>
      </c>
    </row>
    <row r="5345" customFormat="false" ht="15" hidden="false" customHeight="false" outlineLevel="0" collapsed="false">
      <c r="A5345" s="103"/>
      <c r="B5345" s="104"/>
      <c r="C5345" s="104"/>
      <c r="E5345" s="107" t="str">
        <f aca="false">IF($C5345="","",IFERROR(INDEX(المنيو!$C$2:$C$500,MATCH($C5345,المنيو!$B$2:$B$500,0)),0))</f>
        <v/>
      </c>
      <c r="F5345" s="107" t="str">
        <f aca="false">IF($C5345="","",$D5345*$E5345)</f>
        <v/>
      </c>
      <c r="G5345" s="107" t="str">
        <f aca="false">IF($C5345="","",$D5345*IFERROR(INDEX('تحليل التكلفة والسعر'!$C$2:$C$700,MATCH($C5345,'تحليل التكلفة والسعر'!$B$2:$B$700,0)),0))</f>
        <v/>
      </c>
    </row>
    <row r="5346" customFormat="false" ht="15" hidden="false" customHeight="false" outlineLevel="0" collapsed="false">
      <c r="A5346" s="103"/>
      <c r="B5346" s="104"/>
      <c r="C5346" s="104"/>
      <c r="E5346" s="107" t="str">
        <f aca="false">IF($C5346="","",IFERROR(INDEX(المنيو!$C$2:$C$500,MATCH($C5346,المنيو!$B$2:$B$500,0)),0))</f>
        <v/>
      </c>
      <c r="F5346" s="107" t="str">
        <f aca="false">IF($C5346="","",$D5346*$E5346)</f>
        <v/>
      </c>
      <c r="G5346" s="107" t="str">
        <f aca="false">IF($C5346="","",$D5346*IFERROR(INDEX('تحليل التكلفة والسعر'!$C$2:$C$700,MATCH($C5346,'تحليل التكلفة والسعر'!$B$2:$B$700,0)),0))</f>
        <v/>
      </c>
    </row>
    <row r="5347" customFormat="false" ht="15" hidden="false" customHeight="false" outlineLevel="0" collapsed="false">
      <c r="A5347" s="103"/>
      <c r="B5347" s="104"/>
      <c r="C5347" s="104"/>
      <c r="E5347" s="107" t="str">
        <f aca="false">IF($C5347="","",IFERROR(INDEX(المنيو!$C$2:$C$500,MATCH($C5347,المنيو!$B$2:$B$500,0)),0))</f>
        <v/>
      </c>
      <c r="F5347" s="107" t="str">
        <f aca="false">IF($C5347="","",$D5347*$E5347)</f>
        <v/>
      </c>
      <c r="G5347" s="107" t="str">
        <f aca="false">IF($C5347="","",$D5347*IFERROR(INDEX('تحليل التكلفة والسعر'!$C$2:$C$700,MATCH($C5347,'تحليل التكلفة والسعر'!$B$2:$B$700,0)),0))</f>
        <v/>
      </c>
    </row>
    <row r="5348" customFormat="false" ht="15" hidden="false" customHeight="false" outlineLevel="0" collapsed="false">
      <c r="A5348" s="103"/>
      <c r="B5348" s="104"/>
      <c r="C5348" s="104"/>
      <c r="E5348" s="107" t="str">
        <f aca="false">IF($C5348="","",IFERROR(INDEX(المنيو!$C$2:$C$500,MATCH($C5348,المنيو!$B$2:$B$500,0)),0))</f>
        <v/>
      </c>
      <c r="F5348" s="107" t="str">
        <f aca="false">IF($C5348="","",$D5348*$E5348)</f>
        <v/>
      </c>
      <c r="G5348" s="107" t="str">
        <f aca="false">IF($C5348="","",$D5348*IFERROR(INDEX('تحليل التكلفة والسعر'!$C$2:$C$700,MATCH($C5348,'تحليل التكلفة والسعر'!$B$2:$B$700,0)),0))</f>
        <v/>
      </c>
    </row>
    <row r="5349" customFormat="false" ht="15" hidden="false" customHeight="false" outlineLevel="0" collapsed="false">
      <c r="A5349" s="103"/>
      <c r="B5349" s="104"/>
      <c r="C5349" s="104"/>
      <c r="E5349" s="107" t="str">
        <f aca="false">IF($C5349="","",IFERROR(INDEX(المنيو!$C$2:$C$500,MATCH($C5349,المنيو!$B$2:$B$500,0)),0))</f>
        <v/>
      </c>
      <c r="F5349" s="107" t="str">
        <f aca="false">IF($C5349="","",$D5349*$E5349)</f>
        <v/>
      </c>
      <c r="G5349" s="107" t="str">
        <f aca="false">IF($C5349="","",$D5349*IFERROR(INDEX('تحليل التكلفة والسعر'!$C$2:$C$700,MATCH($C5349,'تحليل التكلفة والسعر'!$B$2:$B$700,0)),0))</f>
        <v/>
      </c>
    </row>
    <row r="5350" customFormat="false" ht="15" hidden="false" customHeight="false" outlineLevel="0" collapsed="false">
      <c r="A5350" s="103"/>
      <c r="B5350" s="104"/>
      <c r="C5350" s="104"/>
      <c r="E5350" s="107" t="str">
        <f aca="false">IF($C5350="","",IFERROR(INDEX(المنيو!$C$2:$C$500,MATCH($C5350,المنيو!$B$2:$B$500,0)),0))</f>
        <v/>
      </c>
      <c r="F5350" s="107" t="str">
        <f aca="false">IF($C5350="","",$D5350*$E5350)</f>
        <v/>
      </c>
      <c r="G5350" s="107" t="str">
        <f aca="false">IF($C5350="","",$D5350*IFERROR(INDEX('تحليل التكلفة والسعر'!$C$2:$C$700,MATCH($C5350,'تحليل التكلفة والسعر'!$B$2:$B$700,0)),0))</f>
        <v/>
      </c>
    </row>
    <row r="5351" customFormat="false" ht="15" hidden="false" customHeight="false" outlineLevel="0" collapsed="false">
      <c r="A5351" s="103"/>
      <c r="B5351" s="104"/>
      <c r="C5351" s="104"/>
      <c r="E5351" s="107" t="str">
        <f aca="false">IF($C5351="","",IFERROR(INDEX(المنيو!$C$2:$C$500,MATCH($C5351,المنيو!$B$2:$B$500,0)),0))</f>
        <v/>
      </c>
      <c r="F5351" s="107" t="str">
        <f aca="false">IF($C5351="","",$D5351*$E5351)</f>
        <v/>
      </c>
      <c r="G5351" s="107" t="str">
        <f aca="false">IF($C5351="","",$D5351*IFERROR(INDEX('تحليل التكلفة والسعر'!$C$2:$C$700,MATCH($C5351,'تحليل التكلفة والسعر'!$B$2:$B$700,0)),0))</f>
        <v/>
      </c>
    </row>
    <row r="5352" customFormat="false" ht="15" hidden="false" customHeight="false" outlineLevel="0" collapsed="false">
      <c r="A5352" s="103"/>
      <c r="B5352" s="104"/>
      <c r="C5352" s="104"/>
      <c r="E5352" s="107" t="str">
        <f aca="false">IF($C5352="","",IFERROR(INDEX(المنيو!$C$2:$C$500,MATCH($C5352,المنيو!$B$2:$B$500,0)),0))</f>
        <v/>
      </c>
      <c r="F5352" s="107" t="str">
        <f aca="false">IF($C5352="","",$D5352*$E5352)</f>
        <v/>
      </c>
      <c r="G5352" s="107" t="str">
        <f aca="false">IF($C5352="","",$D5352*IFERROR(INDEX('تحليل التكلفة والسعر'!$C$2:$C$700,MATCH($C5352,'تحليل التكلفة والسعر'!$B$2:$B$700,0)),0))</f>
        <v/>
      </c>
    </row>
    <row r="5353" customFormat="false" ht="15" hidden="false" customHeight="false" outlineLevel="0" collapsed="false">
      <c r="A5353" s="103"/>
      <c r="B5353" s="104"/>
      <c r="C5353" s="104"/>
      <c r="E5353" s="107" t="str">
        <f aca="false">IF($C5353="","",IFERROR(INDEX(المنيو!$C$2:$C$500,MATCH($C5353,المنيو!$B$2:$B$500,0)),0))</f>
        <v/>
      </c>
      <c r="F5353" s="107" t="str">
        <f aca="false">IF($C5353="","",$D5353*$E5353)</f>
        <v/>
      </c>
      <c r="G5353" s="107" t="str">
        <f aca="false">IF($C5353="","",$D5353*IFERROR(INDEX('تحليل التكلفة والسعر'!$C$2:$C$700,MATCH($C5353,'تحليل التكلفة والسعر'!$B$2:$B$700,0)),0))</f>
        <v/>
      </c>
    </row>
    <row r="5354" customFormat="false" ht="15" hidden="false" customHeight="false" outlineLevel="0" collapsed="false">
      <c r="A5354" s="103"/>
      <c r="B5354" s="104"/>
      <c r="C5354" s="104"/>
      <c r="E5354" s="107" t="str">
        <f aca="false">IF($C5354="","",IFERROR(INDEX(المنيو!$C$2:$C$500,MATCH($C5354,المنيو!$B$2:$B$500,0)),0))</f>
        <v/>
      </c>
      <c r="F5354" s="107" t="str">
        <f aca="false">IF($C5354="","",$D5354*$E5354)</f>
        <v/>
      </c>
      <c r="G5354" s="107" t="str">
        <f aca="false">IF($C5354="","",$D5354*IFERROR(INDEX('تحليل التكلفة والسعر'!$C$2:$C$700,MATCH($C5354,'تحليل التكلفة والسعر'!$B$2:$B$700,0)),0))</f>
        <v/>
      </c>
    </row>
    <row r="5355" customFormat="false" ht="15" hidden="false" customHeight="false" outlineLevel="0" collapsed="false">
      <c r="A5355" s="103"/>
      <c r="B5355" s="104"/>
      <c r="C5355" s="104"/>
      <c r="E5355" s="107" t="str">
        <f aca="false">IF($C5355="","",IFERROR(INDEX(المنيو!$C$2:$C$500,MATCH($C5355,المنيو!$B$2:$B$500,0)),0))</f>
        <v/>
      </c>
      <c r="F5355" s="107" t="str">
        <f aca="false">IF($C5355="","",$D5355*$E5355)</f>
        <v/>
      </c>
      <c r="G5355" s="107" t="str">
        <f aca="false">IF($C5355="","",$D5355*IFERROR(INDEX('تحليل التكلفة والسعر'!$C$2:$C$700,MATCH($C5355,'تحليل التكلفة والسعر'!$B$2:$B$700,0)),0))</f>
        <v/>
      </c>
    </row>
    <row r="5356" customFormat="false" ht="15" hidden="false" customHeight="false" outlineLevel="0" collapsed="false">
      <c r="A5356" s="103"/>
      <c r="B5356" s="104"/>
      <c r="C5356" s="104"/>
      <c r="E5356" s="107" t="str">
        <f aca="false">IF($C5356="","",IFERROR(INDEX(المنيو!$C$2:$C$500,MATCH($C5356,المنيو!$B$2:$B$500,0)),0))</f>
        <v/>
      </c>
      <c r="F5356" s="107" t="str">
        <f aca="false">IF($C5356="","",$D5356*$E5356)</f>
        <v/>
      </c>
      <c r="G5356" s="107" t="str">
        <f aca="false">IF($C5356="","",$D5356*IFERROR(INDEX('تحليل التكلفة والسعر'!$C$2:$C$700,MATCH($C5356,'تحليل التكلفة والسعر'!$B$2:$B$700,0)),0))</f>
        <v/>
      </c>
    </row>
    <row r="5357" customFormat="false" ht="15" hidden="false" customHeight="false" outlineLevel="0" collapsed="false">
      <c r="A5357" s="103"/>
      <c r="B5357" s="104"/>
      <c r="C5357" s="104"/>
      <c r="E5357" s="107" t="str">
        <f aca="false">IF($C5357="","",IFERROR(INDEX(المنيو!$C$2:$C$500,MATCH($C5357,المنيو!$B$2:$B$500,0)),0))</f>
        <v/>
      </c>
      <c r="F5357" s="107" t="str">
        <f aca="false">IF($C5357="","",$D5357*$E5357)</f>
        <v/>
      </c>
      <c r="G5357" s="107" t="str">
        <f aca="false">IF($C5357="","",$D5357*IFERROR(INDEX('تحليل التكلفة والسعر'!$C$2:$C$700,MATCH($C5357,'تحليل التكلفة والسعر'!$B$2:$B$700,0)),0))</f>
        <v/>
      </c>
    </row>
    <row r="5358" customFormat="false" ht="15" hidden="false" customHeight="false" outlineLevel="0" collapsed="false">
      <c r="A5358" s="103"/>
      <c r="B5358" s="104"/>
      <c r="C5358" s="104"/>
      <c r="E5358" s="107" t="str">
        <f aca="false">IF($C5358="","",IFERROR(INDEX(المنيو!$C$2:$C$500,MATCH($C5358,المنيو!$B$2:$B$500,0)),0))</f>
        <v/>
      </c>
      <c r="F5358" s="107" t="str">
        <f aca="false">IF($C5358="","",$D5358*$E5358)</f>
        <v/>
      </c>
      <c r="G5358" s="107" t="str">
        <f aca="false">IF($C5358="","",$D5358*IFERROR(INDEX('تحليل التكلفة والسعر'!$C$2:$C$700,MATCH($C5358,'تحليل التكلفة والسعر'!$B$2:$B$700,0)),0))</f>
        <v/>
      </c>
    </row>
    <row r="5359" customFormat="false" ht="15" hidden="false" customHeight="false" outlineLevel="0" collapsed="false">
      <c r="A5359" s="103"/>
      <c r="B5359" s="104"/>
      <c r="C5359" s="104"/>
      <c r="E5359" s="107" t="str">
        <f aca="false">IF($C5359="","",IFERROR(INDEX(المنيو!$C$2:$C$500,MATCH($C5359,المنيو!$B$2:$B$500,0)),0))</f>
        <v/>
      </c>
      <c r="F5359" s="107" t="str">
        <f aca="false">IF($C5359="","",$D5359*$E5359)</f>
        <v/>
      </c>
      <c r="G5359" s="107" t="str">
        <f aca="false">IF($C5359="","",$D5359*IFERROR(INDEX('تحليل التكلفة والسعر'!$C$2:$C$700,MATCH($C5359,'تحليل التكلفة والسعر'!$B$2:$B$700,0)),0))</f>
        <v/>
      </c>
    </row>
    <row r="5360" customFormat="false" ht="15" hidden="false" customHeight="false" outlineLevel="0" collapsed="false">
      <c r="A5360" s="103"/>
      <c r="B5360" s="104"/>
      <c r="C5360" s="104"/>
      <c r="E5360" s="107" t="str">
        <f aca="false">IF($C5360="","",IFERROR(INDEX(المنيو!$C$2:$C$500,MATCH($C5360,المنيو!$B$2:$B$500,0)),0))</f>
        <v/>
      </c>
      <c r="F5360" s="107" t="str">
        <f aca="false">IF($C5360="","",$D5360*$E5360)</f>
        <v/>
      </c>
      <c r="G5360" s="107" t="str">
        <f aca="false">IF($C5360="","",$D5360*IFERROR(INDEX('تحليل التكلفة والسعر'!$C$2:$C$700,MATCH($C5360,'تحليل التكلفة والسعر'!$B$2:$B$700,0)),0))</f>
        <v/>
      </c>
    </row>
    <row r="5361" customFormat="false" ht="15" hidden="false" customHeight="false" outlineLevel="0" collapsed="false">
      <c r="A5361" s="103"/>
      <c r="B5361" s="104"/>
      <c r="C5361" s="104"/>
      <c r="E5361" s="107" t="str">
        <f aca="false">IF($C5361="","",IFERROR(INDEX(المنيو!$C$2:$C$500,MATCH($C5361,المنيو!$B$2:$B$500,0)),0))</f>
        <v/>
      </c>
      <c r="F5361" s="107" t="str">
        <f aca="false">IF($C5361="","",$D5361*$E5361)</f>
        <v/>
      </c>
      <c r="G5361" s="107" t="str">
        <f aca="false">IF($C5361="","",$D5361*IFERROR(INDEX('تحليل التكلفة والسعر'!$C$2:$C$700,MATCH($C5361,'تحليل التكلفة والسعر'!$B$2:$B$700,0)),0))</f>
        <v/>
      </c>
    </row>
    <row r="5362" customFormat="false" ht="15" hidden="false" customHeight="false" outlineLevel="0" collapsed="false">
      <c r="A5362" s="103"/>
      <c r="B5362" s="104"/>
      <c r="C5362" s="104"/>
      <c r="E5362" s="107" t="str">
        <f aca="false">IF($C5362="","",IFERROR(INDEX(المنيو!$C$2:$C$500,MATCH($C5362,المنيو!$B$2:$B$500,0)),0))</f>
        <v/>
      </c>
      <c r="F5362" s="107" t="str">
        <f aca="false">IF($C5362="","",$D5362*$E5362)</f>
        <v/>
      </c>
      <c r="G5362" s="107" t="str">
        <f aca="false">IF($C5362="","",$D5362*IFERROR(INDEX('تحليل التكلفة والسعر'!$C$2:$C$700,MATCH($C5362,'تحليل التكلفة والسعر'!$B$2:$B$700,0)),0))</f>
        <v/>
      </c>
    </row>
    <row r="5363" customFormat="false" ht="15" hidden="false" customHeight="false" outlineLevel="0" collapsed="false">
      <c r="A5363" s="103"/>
      <c r="B5363" s="104"/>
      <c r="C5363" s="104"/>
      <c r="E5363" s="107" t="str">
        <f aca="false">IF($C5363="","",IFERROR(INDEX(المنيو!$C$2:$C$500,MATCH($C5363,المنيو!$B$2:$B$500,0)),0))</f>
        <v/>
      </c>
      <c r="F5363" s="107" t="str">
        <f aca="false">IF($C5363="","",$D5363*$E5363)</f>
        <v/>
      </c>
      <c r="G5363" s="107" t="str">
        <f aca="false">IF($C5363="","",$D5363*IFERROR(INDEX('تحليل التكلفة والسعر'!$C$2:$C$700,MATCH($C5363,'تحليل التكلفة والسعر'!$B$2:$B$700,0)),0))</f>
        <v/>
      </c>
    </row>
    <row r="5364" customFormat="false" ht="15" hidden="false" customHeight="false" outlineLevel="0" collapsed="false">
      <c r="A5364" s="103"/>
      <c r="B5364" s="104"/>
      <c r="C5364" s="104"/>
      <c r="E5364" s="107" t="str">
        <f aca="false">IF($C5364="","",IFERROR(INDEX(المنيو!$C$2:$C$500,MATCH($C5364,المنيو!$B$2:$B$500,0)),0))</f>
        <v/>
      </c>
      <c r="F5364" s="107" t="str">
        <f aca="false">IF($C5364="","",$D5364*$E5364)</f>
        <v/>
      </c>
      <c r="G5364" s="107" t="str">
        <f aca="false">IF($C5364="","",$D5364*IFERROR(INDEX('تحليل التكلفة والسعر'!$C$2:$C$700,MATCH($C5364,'تحليل التكلفة والسعر'!$B$2:$B$700,0)),0))</f>
        <v/>
      </c>
    </row>
    <row r="5365" customFormat="false" ht="15" hidden="false" customHeight="false" outlineLevel="0" collapsed="false">
      <c r="A5365" s="103"/>
      <c r="B5365" s="104"/>
      <c r="C5365" s="104"/>
      <c r="E5365" s="107" t="str">
        <f aca="false">IF($C5365="","",IFERROR(INDEX(المنيو!$C$2:$C$500,MATCH($C5365,المنيو!$B$2:$B$500,0)),0))</f>
        <v/>
      </c>
      <c r="F5365" s="107" t="str">
        <f aca="false">IF($C5365="","",$D5365*$E5365)</f>
        <v/>
      </c>
      <c r="G5365" s="107" t="str">
        <f aca="false">IF($C5365="","",$D5365*IFERROR(INDEX('تحليل التكلفة والسعر'!$C$2:$C$700,MATCH($C5365,'تحليل التكلفة والسعر'!$B$2:$B$700,0)),0))</f>
        <v/>
      </c>
    </row>
    <row r="5366" customFormat="false" ht="15" hidden="false" customHeight="false" outlineLevel="0" collapsed="false">
      <c r="A5366" s="103"/>
      <c r="B5366" s="104"/>
      <c r="C5366" s="104"/>
      <c r="E5366" s="107" t="str">
        <f aca="false">IF($C5366="","",IFERROR(INDEX(المنيو!$C$2:$C$500,MATCH($C5366,المنيو!$B$2:$B$500,0)),0))</f>
        <v/>
      </c>
      <c r="F5366" s="107" t="str">
        <f aca="false">IF($C5366="","",$D5366*$E5366)</f>
        <v/>
      </c>
      <c r="G5366" s="107" t="str">
        <f aca="false">IF($C5366="","",$D5366*IFERROR(INDEX('تحليل التكلفة والسعر'!$C$2:$C$700,MATCH($C5366,'تحليل التكلفة والسعر'!$B$2:$B$700,0)),0))</f>
        <v/>
      </c>
    </row>
    <row r="5367" customFormat="false" ht="15" hidden="false" customHeight="false" outlineLevel="0" collapsed="false">
      <c r="A5367" s="103"/>
      <c r="B5367" s="104"/>
      <c r="C5367" s="104"/>
      <c r="E5367" s="107" t="str">
        <f aca="false">IF($C5367="","",IFERROR(INDEX(المنيو!$C$2:$C$500,MATCH($C5367,المنيو!$B$2:$B$500,0)),0))</f>
        <v/>
      </c>
      <c r="F5367" s="107" t="str">
        <f aca="false">IF($C5367="","",$D5367*$E5367)</f>
        <v/>
      </c>
      <c r="G5367" s="107" t="str">
        <f aca="false">IF($C5367="","",$D5367*IFERROR(INDEX('تحليل التكلفة والسعر'!$C$2:$C$700,MATCH($C5367,'تحليل التكلفة والسعر'!$B$2:$B$700,0)),0))</f>
        <v/>
      </c>
    </row>
    <row r="5368" customFormat="false" ht="15" hidden="false" customHeight="false" outlineLevel="0" collapsed="false">
      <c r="A5368" s="103"/>
      <c r="B5368" s="104"/>
      <c r="C5368" s="104"/>
      <c r="E5368" s="107" t="str">
        <f aca="false">IF($C5368="","",IFERROR(INDEX(المنيو!$C$2:$C$500,MATCH($C5368,المنيو!$B$2:$B$500,0)),0))</f>
        <v/>
      </c>
      <c r="F5368" s="107" t="str">
        <f aca="false">IF($C5368="","",$D5368*$E5368)</f>
        <v/>
      </c>
      <c r="G5368" s="107" t="str">
        <f aca="false">IF($C5368="","",$D5368*IFERROR(INDEX('تحليل التكلفة والسعر'!$C$2:$C$700,MATCH($C5368,'تحليل التكلفة والسعر'!$B$2:$B$700,0)),0))</f>
        <v/>
      </c>
    </row>
    <row r="5369" customFormat="false" ht="15" hidden="false" customHeight="false" outlineLevel="0" collapsed="false">
      <c r="A5369" s="103"/>
      <c r="B5369" s="104"/>
      <c r="C5369" s="104"/>
      <c r="E5369" s="107" t="str">
        <f aca="false">IF($C5369="","",IFERROR(INDEX(المنيو!$C$2:$C$500,MATCH($C5369,المنيو!$B$2:$B$500,0)),0))</f>
        <v/>
      </c>
      <c r="F5369" s="107" t="str">
        <f aca="false">IF($C5369="","",$D5369*$E5369)</f>
        <v/>
      </c>
      <c r="G5369" s="107" t="str">
        <f aca="false">IF($C5369="","",$D5369*IFERROR(INDEX('تحليل التكلفة والسعر'!$C$2:$C$700,MATCH($C5369,'تحليل التكلفة والسعر'!$B$2:$B$700,0)),0))</f>
        <v/>
      </c>
    </row>
    <row r="5370" customFormat="false" ht="15" hidden="false" customHeight="false" outlineLevel="0" collapsed="false">
      <c r="A5370" s="103"/>
      <c r="B5370" s="104"/>
      <c r="C5370" s="104"/>
      <c r="E5370" s="107" t="str">
        <f aca="false">IF($C5370="","",IFERROR(INDEX(المنيو!$C$2:$C$500,MATCH($C5370,المنيو!$B$2:$B$500,0)),0))</f>
        <v/>
      </c>
      <c r="F5370" s="107" t="str">
        <f aca="false">IF($C5370="","",$D5370*$E5370)</f>
        <v/>
      </c>
      <c r="G5370" s="107" t="str">
        <f aca="false">IF($C5370="","",$D5370*IFERROR(INDEX('تحليل التكلفة والسعر'!$C$2:$C$700,MATCH($C5370,'تحليل التكلفة والسعر'!$B$2:$B$700,0)),0))</f>
        <v/>
      </c>
    </row>
    <row r="5371" customFormat="false" ht="15" hidden="false" customHeight="false" outlineLevel="0" collapsed="false">
      <c r="A5371" s="103"/>
      <c r="B5371" s="104"/>
      <c r="C5371" s="104"/>
      <c r="E5371" s="107" t="str">
        <f aca="false">IF($C5371="","",IFERROR(INDEX(المنيو!$C$2:$C$500,MATCH($C5371,المنيو!$B$2:$B$500,0)),0))</f>
        <v/>
      </c>
      <c r="F5371" s="107" t="str">
        <f aca="false">IF($C5371="","",$D5371*$E5371)</f>
        <v/>
      </c>
      <c r="G5371" s="107" t="str">
        <f aca="false">IF($C5371="","",$D5371*IFERROR(INDEX('تحليل التكلفة والسعر'!$C$2:$C$700,MATCH($C5371,'تحليل التكلفة والسعر'!$B$2:$B$700,0)),0))</f>
        <v/>
      </c>
    </row>
    <row r="5372" customFormat="false" ht="15" hidden="false" customHeight="false" outlineLevel="0" collapsed="false">
      <c r="A5372" s="103"/>
      <c r="B5372" s="104"/>
      <c r="C5372" s="104"/>
      <c r="E5372" s="107" t="str">
        <f aca="false">IF($C5372="","",IFERROR(INDEX(المنيو!$C$2:$C$500,MATCH($C5372,المنيو!$B$2:$B$500,0)),0))</f>
        <v/>
      </c>
      <c r="F5372" s="107" t="str">
        <f aca="false">IF($C5372="","",$D5372*$E5372)</f>
        <v/>
      </c>
      <c r="G5372" s="107" t="str">
        <f aca="false">IF($C5372="","",$D5372*IFERROR(INDEX('تحليل التكلفة والسعر'!$C$2:$C$700,MATCH($C5372,'تحليل التكلفة والسعر'!$B$2:$B$700,0)),0))</f>
        <v/>
      </c>
    </row>
    <row r="5373" customFormat="false" ht="15" hidden="false" customHeight="false" outlineLevel="0" collapsed="false">
      <c r="A5373" s="103"/>
      <c r="B5373" s="104"/>
      <c r="C5373" s="104"/>
      <c r="E5373" s="107" t="str">
        <f aca="false">IF($C5373="","",IFERROR(INDEX(المنيو!$C$2:$C$500,MATCH($C5373,المنيو!$B$2:$B$500,0)),0))</f>
        <v/>
      </c>
      <c r="F5373" s="107" t="str">
        <f aca="false">IF($C5373="","",$D5373*$E5373)</f>
        <v/>
      </c>
      <c r="G5373" s="107" t="str">
        <f aca="false">IF($C5373="","",$D5373*IFERROR(INDEX('تحليل التكلفة والسعر'!$C$2:$C$700,MATCH($C5373,'تحليل التكلفة والسعر'!$B$2:$B$700,0)),0))</f>
        <v/>
      </c>
    </row>
    <row r="5374" customFormat="false" ht="15" hidden="false" customHeight="false" outlineLevel="0" collapsed="false">
      <c r="A5374" s="103"/>
      <c r="B5374" s="104"/>
      <c r="C5374" s="104"/>
      <c r="E5374" s="107" t="str">
        <f aca="false">IF($C5374="","",IFERROR(INDEX(المنيو!$C$2:$C$500,MATCH($C5374,المنيو!$B$2:$B$500,0)),0))</f>
        <v/>
      </c>
      <c r="F5374" s="107" t="str">
        <f aca="false">IF($C5374="","",$D5374*$E5374)</f>
        <v/>
      </c>
      <c r="G5374" s="107" t="str">
        <f aca="false">IF($C5374="","",$D5374*IFERROR(INDEX('تحليل التكلفة والسعر'!$C$2:$C$700,MATCH($C5374,'تحليل التكلفة والسعر'!$B$2:$B$700,0)),0))</f>
        <v/>
      </c>
    </row>
    <row r="5375" customFormat="false" ht="15" hidden="false" customHeight="false" outlineLevel="0" collapsed="false">
      <c r="A5375" s="103"/>
      <c r="B5375" s="104"/>
      <c r="C5375" s="104"/>
      <c r="E5375" s="107" t="str">
        <f aca="false">IF($C5375="","",IFERROR(INDEX(المنيو!$C$2:$C$500,MATCH($C5375,المنيو!$B$2:$B$500,0)),0))</f>
        <v/>
      </c>
      <c r="F5375" s="107" t="str">
        <f aca="false">IF($C5375="","",$D5375*$E5375)</f>
        <v/>
      </c>
      <c r="G5375" s="107" t="str">
        <f aca="false">IF($C5375="","",$D5375*IFERROR(INDEX('تحليل التكلفة والسعر'!$C$2:$C$700,MATCH($C5375,'تحليل التكلفة والسعر'!$B$2:$B$700,0)),0))</f>
        <v/>
      </c>
    </row>
    <row r="5376" customFormat="false" ht="15" hidden="false" customHeight="false" outlineLevel="0" collapsed="false">
      <c r="A5376" s="103"/>
      <c r="B5376" s="104"/>
      <c r="C5376" s="104"/>
      <c r="E5376" s="107" t="str">
        <f aca="false">IF($C5376="","",IFERROR(INDEX(المنيو!$C$2:$C$500,MATCH($C5376,المنيو!$B$2:$B$500,0)),0))</f>
        <v/>
      </c>
      <c r="F5376" s="107" t="str">
        <f aca="false">IF($C5376="","",$D5376*$E5376)</f>
        <v/>
      </c>
      <c r="G5376" s="107" t="str">
        <f aca="false">IF($C5376="","",$D5376*IFERROR(INDEX('تحليل التكلفة والسعر'!$C$2:$C$700,MATCH($C5376,'تحليل التكلفة والسعر'!$B$2:$B$700,0)),0))</f>
        <v/>
      </c>
    </row>
    <row r="5377" customFormat="false" ht="15" hidden="false" customHeight="false" outlineLevel="0" collapsed="false">
      <c r="A5377" s="103"/>
      <c r="B5377" s="104"/>
      <c r="C5377" s="104"/>
      <c r="E5377" s="107" t="str">
        <f aca="false">IF($C5377="","",IFERROR(INDEX(المنيو!$C$2:$C$500,MATCH($C5377,المنيو!$B$2:$B$500,0)),0))</f>
        <v/>
      </c>
      <c r="F5377" s="107" t="str">
        <f aca="false">IF($C5377="","",$D5377*$E5377)</f>
        <v/>
      </c>
      <c r="G5377" s="107" t="str">
        <f aca="false">IF($C5377="","",$D5377*IFERROR(INDEX('تحليل التكلفة والسعر'!$C$2:$C$700,MATCH($C5377,'تحليل التكلفة والسعر'!$B$2:$B$700,0)),0))</f>
        <v/>
      </c>
    </row>
    <row r="5378" customFormat="false" ht="15" hidden="false" customHeight="false" outlineLevel="0" collapsed="false">
      <c r="A5378" s="103"/>
      <c r="B5378" s="104"/>
      <c r="C5378" s="104"/>
      <c r="E5378" s="107" t="str">
        <f aca="false">IF($C5378="","",IFERROR(INDEX(المنيو!$C$2:$C$500,MATCH($C5378,المنيو!$B$2:$B$500,0)),0))</f>
        <v/>
      </c>
      <c r="F5378" s="107" t="str">
        <f aca="false">IF($C5378="","",$D5378*$E5378)</f>
        <v/>
      </c>
      <c r="G5378" s="107" t="str">
        <f aca="false">IF($C5378="","",$D5378*IFERROR(INDEX('تحليل التكلفة والسعر'!$C$2:$C$700,MATCH($C5378,'تحليل التكلفة والسعر'!$B$2:$B$700,0)),0))</f>
        <v/>
      </c>
    </row>
    <row r="5379" customFormat="false" ht="15" hidden="false" customHeight="false" outlineLevel="0" collapsed="false">
      <c r="A5379" s="103"/>
      <c r="B5379" s="104"/>
      <c r="C5379" s="104"/>
      <c r="E5379" s="107" t="str">
        <f aca="false">IF($C5379="","",IFERROR(INDEX(المنيو!$C$2:$C$500,MATCH($C5379,المنيو!$B$2:$B$500,0)),0))</f>
        <v/>
      </c>
      <c r="F5379" s="107" t="str">
        <f aca="false">IF($C5379="","",$D5379*$E5379)</f>
        <v/>
      </c>
      <c r="G5379" s="107" t="str">
        <f aca="false">IF($C5379="","",$D5379*IFERROR(INDEX('تحليل التكلفة والسعر'!$C$2:$C$700,MATCH($C5379,'تحليل التكلفة والسعر'!$B$2:$B$700,0)),0))</f>
        <v/>
      </c>
    </row>
    <row r="5380" customFormat="false" ht="15" hidden="false" customHeight="false" outlineLevel="0" collapsed="false">
      <c r="A5380" s="103"/>
      <c r="B5380" s="104"/>
      <c r="C5380" s="104"/>
      <c r="E5380" s="107" t="str">
        <f aca="false">IF($C5380="","",IFERROR(INDEX(المنيو!$C$2:$C$500,MATCH($C5380,المنيو!$B$2:$B$500,0)),0))</f>
        <v/>
      </c>
      <c r="F5380" s="107" t="str">
        <f aca="false">IF($C5380="","",$D5380*$E5380)</f>
        <v/>
      </c>
      <c r="G5380" s="107" t="str">
        <f aca="false">IF($C5380="","",$D5380*IFERROR(INDEX('تحليل التكلفة والسعر'!$C$2:$C$700,MATCH($C5380,'تحليل التكلفة والسعر'!$B$2:$B$700,0)),0))</f>
        <v/>
      </c>
    </row>
    <row r="5381" customFormat="false" ht="15" hidden="false" customHeight="false" outlineLevel="0" collapsed="false">
      <c r="A5381" s="103"/>
      <c r="B5381" s="104"/>
      <c r="C5381" s="104"/>
      <c r="E5381" s="107" t="str">
        <f aca="false">IF($C5381="","",IFERROR(INDEX(المنيو!$C$2:$C$500,MATCH($C5381,المنيو!$B$2:$B$500,0)),0))</f>
        <v/>
      </c>
      <c r="F5381" s="107" t="str">
        <f aca="false">IF($C5381="","",$D5381*$E5381)</f>
        <v/>
      </c>
      <c r="G5381" s="107" t="str">
        <f aca="false">IF($C5381="","",$D5381*IFERROR(INDEX('تحليل التكلفة والسعر'!$C$2:$C$700,MATCH($C5381,'تحليل التكلفة والسعر'!$B$2:$B$700,0)),0))</f>
        <v/>
      </c>
    </row>
    <row r="5382" customFormat="false" ht="15" hidden="false" customHeight="false" outlineLevel="0" collapsed="false">
      <c r="A5382" s="103"/>
      <c r="B5382" s="104"/>
      <c r="C5382" s="104"/>
      <c r="E5382" s="107" t="str">
        <f aca="false">IF($C5382="","",IFERROR(INDEX(المنيو!$C$2:$C$500,MATCH($C5382,المنيو!$B$2:$B$500,0)),0))</f>
        <v/>
      </c>
      <c r="F5382" s="107" t="str">
        <f aca="false">IF($C5382="","",$D5382*$E5382)</f>
        <v/>
      </c>
      <c r="G5382" s="107" t="str">
        <f aca="false">IF($C5382="","",$D5382*IFERROR(INDEX('تحليل التكلفة والسعر'!$C$2:$C$700,MATCH($C5382,'تحليل التكلفة والسعر'!$B$2:$B$700,0)),0))</f>
        <v/>
      </c>
    </row>
    <row r="5383" customFormat="false" ht="15" hidden="false" customHeight="false" outlineLevel="0" collapsed="false">
      <c r="A5383" s="103"/>
      <c r="B5383" s="104"/>
      <c r="C5383" s="104"/>
      <c r="E5383" s="107" t="str">
        <f aca="false">IF($C5383="","",IFERROR(INDEX(المنيو!$C$2:$C$500,MATCH($C5383,المنيو!$B$2:$B$500,0)),0))</f>
        <v/>
      </c>
      <c r="F5383" s="107" t="str">
        <f aca="false">IF($C5383="","",$D5383*$E5383)</f>
        <v/>
      </c>
      <c r="G5383" s="107" t="str">
        <f aca="false">IF($C5383="","",$D5383*IFERROR(INDEX('تحليل التكلفة والسعر'!$C$2:$C$700,MATCH($C5383,'تحليل التكلفة والسعر'!$B$2:$B$700,0)),0))</f>
        <v/>
      </c>
    </row>
    <row r="5384" customFormat="false" ht="15" hidden="false" customHeight="false" outlineLevel="0" collapsed="false">
      <c r="A5384" s="103"/>
      <c r="B5384" s="104"/>
      <c r="C5384" s="104"/>
      <c r="E5384" s="107" t="str">
        <f aca="false">IF($C5384="","",IFERROR(INDEX(المنيو!$C$2:$C$500,MATCH($C5384,المنيو!$B$2:$B$500,0)),0))</f>
        <v/>
      </c>
      <c r="F5384" s="107" t="str">
        <f aca="false">IF($C5384="","",$D5384*$E5384)</f>
        <v/>
      </c>
      <c r="G5384" s="107" t="str">
        <f aca="false">IF($C5384="","",$D5384*IFERROR(INDEX('تحليل التكلفة والسعر'!$C$2:$C$700,MATCH($C5384,'تحليل التكلفة والسعر'!$B$2:$B$700,0)),0))</f>
        <v/>
      </c>
    </row>
    <row r="5385" customFormat="false" ht="15" hidden="false" customHeight="false" outlineLevel="0" collapsed="false">
      <c r="A5385" s="103"/>
      <c r="B5385" s="104"/>
      <c r="C5385" s="104"/>
      <c r="E5385" s="107" t="str">
        <f aca="false">IF($C5385="","",IFERROR(INDEX(المنيو!$C$2:$C$500,MATCH($C5385,المنيو!$B$2:$B$500,0)),0))</f>
        <v/>
      </c>
      <c r="F5385" s="107" t="str">
        <f aca="false">IF($C5385="","",$D5385*$E5385)</f>
        <v/>
      </c>
      <c r="G5385" s="107" t="str">
        <f aca="false">IF($C5385="","",$D5385*IFERROR(INDEX('تحليل التكلفة والسعر'!$C$2:$C$700,MATCH($C5385,'تحليل التكلفة والسعر'!$B$2:$B$700,0)),0))</f>
        <v/>
      </c>
    </row>
    <row r="5386" customFormat="false" ht="15" hidden="false" customHeight="false" outlineLevel="0" collapsed="false">
      <c r="A5386" s="103"/>
      <c r="B5386" s="104"/>
      <c r="C5386" s="104"/>
      <c r="E5386" s="107" t="str">
        <f aca="false">IF($C5386="","",IFERROR(INDEX(المنيو!$C$2:$C$500,MATCH($C5386,المنيو!$B$2:$B$500,0)),0))</f>
        <v/>
      </c>
      <c r="F5386" s="107" t="str">
        <f aca="false">IF($C5386="","",$D5386*$E5386)</f>
        <v/>
      </c>
      <c r="G5386" s="107" t="str">
        <f aca="false">IF($C5386="","",$D5386*IFERROR(INDEX('تحليل التكلفة والسعر'!$C$2:$C$700,MATCH($C5386,'تحليل التكلفة والسعر'!$B$2:$B$700,0)),0))</f>
        <v/>
      </c>
    </row>
    <row r="5387" customFormat="false" ht="15" hidden="false" customHeight="false" outlineLevel="0" collapsed="false">
      <c r="A5387" s="103"/>
      <c r="B5387" s="104"/>
      <c r="C5387" s="104"/>
      <c r="E5387" s="107" t="str">
        <f aca="false">IF($C5387="","",IFERROR(INDEX(المنيو!$C$2:$C$500,MATCH($C5387,المنيو!$B$2:$B$500,0)),0))</f>
        <v/>
      </c>
      <c r="F5387" s="107" t="str">
        <f aca="false">IF($C5387="","",$D5387*$E5387)</f>
        <v/>
      </c>
      <c r="G5387" s="107" t="str">
        <f aca="false">IF($C5387="","",$D5387*IFERROR(INDEX('تحليل التكلفة والسعر'!$C$2:$C$700,MATCH($C5387,'تحليل التكلفة والسعر'!$B$2:$B$700,0)),0))</f>
        <v/>
      </c>
    </row>
    <row r="5388" customFormat="false" ht="15" hidden="false" customHeight="false" outlineLevel="0" collapsed="false">
      <c r="A5388" s="103"/>
      <c r="B5388" s="104"/>
      <c r="C5388" s="104"/>
      <c r="E5388" s="107" t="str">
        <f aca="false">IF($C5388="","",IFERROR(INDEX(المنيو!$C$2:$C$500,MATCH($C5388,المنيو!$B$2:$B$500,0)),0))</f>
        <v/>
      </c>
      <c r="F5388" s="107" t="str">
        <f aca="false">IF($C5388="","",$D5388*$E5388)</f>
        <v/>
      </c>
      <c r="G5388" s="107" t="str">
        <f aca="false">IF($C5388="","",$D5388*IFERROR(INDEX('تحليل التكلفة والسعر'!$C$2:$C$700,MATCH($C5388,'تحليل التكلفة والسعر'!$B$2:$B$700,0)),0))</f>
        <v/>
      </c>
    </row>
    <row r="5389" customFormat="false" ht="15" hidden="false" customHeight="false" outlineLevel="0" collapsed="false">
      <c r="A5389" s="103"/>
      <c r="B5389" s="104"/>
      <c r="C5389" s="104"/>
      <c r="E5389" s="107" t="str">
        <f aca="false">IF($C5389="","",IFERROR(INDEX(المنيو!$C$2:$C$500,MATCH($C5389,المنيو!$B$2:$B$500,0)),0))</f>
        <v/>
      </c>
      <c r="F5389" s="107" t="str">
        <f aca="false">IF($C5389="","",$D5389*$E5389)</f>
        <v/>
      </c>
      <c r="G5389" s="107" t="str">
        <f aca="false">IF($C5389="","",$D5389*IFERROR(INDEX('تحليل التكلفة والسعر'!$C$2:$C$700,MATCH($C5389,'تحليل التكلفة والسعر'!$B$2:$B$700,0)),0))</f>
        <v/>
      </c>
    </row>
    <row r="5390" customFormat="false" ht="15" hidden="false" customHeight="false" outlineLevel="0" collapsed="false">
      <c r="A5390" s="103"/>
      <c r="B5390" s="104"/>
      <c r="C5390" s="104"/>
      <c r="E5390" s="107" t="str">
        <f aca="false">IF($C5390="","",IFERROR(INDEX(المنيو!$C$2:$C$500,MATCH($C5390,المنيو!$B$2:$B$500,0)),0))</f>
        <v/>
      </c>
      <c r="F5390" s="107" t="str">
        <f aca="false">IF($C5390="","",$D5390*$E5390)</f>
        <v/>
      </c>
      <c r="G5390" s="107" t="str">
        <f aca="false">IF($C5390="","",$D5390*IFERROR(INDEX('تحليل التكلفة والسعر'!$C$2:$C$700,MATCH($C5390,'تحليل التكلفة والسعر'!$B$2:$B$700,0)),0))</f>
        <v/>
      </c>
    </row>
    <row r="5391" customFormat="false" ht="15" hidden="false" customHeight="false" outlineLevel="0" collapsed="false">
      <c r="A5391" s="103"/>
      <c r="B5391" s="104"/>
      <c r="C5391" s="104"/>
      <c r="E5391" s="107" t="str">
        <f aca="false">IF($C5391="","",IFERROR(INDEX(المنيو!$C$2:$C$500,MATCH($C5391,المنيو!$B$2:$B$500,0)),0))</f>
        <v/>
      </c>
      <c r="F5391" s="107" t="str">
        <f aca="false">IF($C5391="","",$D5391*$E5391)</f>
        <v/>
      </c>
      <c r="G5391" s="107" t="str">
        <f aca="false">IF($C5391="","",$D5391*IFERROR(INDEX('تحليل التكلفة والسعر'!$C$2:$C$700,MATCH($C5391,'تحليل التكلفة والسعر'!$B$2:$B$700,0)),0))</f>
        <v/>
      </c>
    </row>
    <row r="5392" customFormat="false" ht="15" hidden="false" customHeight="false" outlineLevel="0" collapsed="false">
      <c r="A5392" s="103"/>
      <c r="B5392" s="104"/>
      <c r="C5392" s="104"/>
      <c r="E5392" s="107" t="str">
        <f aca="false">IF($C5392="","",IFERROR(INDEX(المنيو!$C$2:$C$500,MATCH($C5392,المنيو!$B$2:$B$500,0)),0))</f>
        <v/>
      </c>
      <c r="F5392" s="107" t="str">
        <f aca="false">IF($C5392="","",$D5392*$E5392)</f>
        <v/>
      </c>
      <c r="G5392" s="107" t="str">
        <f aca="false">IF($C5392="","",$D5392*IFERROR(INDEX('تحليل التكلفة والسعر'!$C$2:$C$700,MATCH($C5392,'تحليل التكلفة والسعر'!$B$2:$B$700,0)),0))</f>
        <v/>
      </c>
    </row>
    <row r="5393" customFormat="false" ht="15" hidden="false" customHeight="false" outlineLevel="0" collapsed="false">
      <c r="A5393" s="103"/>
      <c r="B5393" s="104"/>
      <c r="C5393" s="104"/>
      <c r="E5393" s="107" t="str">
        <f aca="false">IF($C5393="","",IFERROR(INDEX(المنيو!$C$2:$C$500,MATCH($C5393,المنيو!$B$2:$B$500,0)),0))</f>
        <v/>
      </c>
      <c r="F5393" s="107" t="str">
        <f aca="false">IF($C5393="","",$D5393*$E5393)</f>
        <v/>
      </c>
      <c r="G5393" s="107" t="str">
        <f aca="false">IF($C5393="","",$D5393*IFERROR(INDEX('تحليل التكلفة والسعر'!$C$2:$C$700,MATCH($C5393,'تحليل التكلفة والسعر'!$B$2:$B$700,0)),0))</f>
        <v/>
      </c>
    </row>
    <row r="5394" customFormat="false" ht="15" hidden="false" customHeight="false" outlineLevel="0" collapsed="false">
      <c r="A5394" s="103"/>
      <c r="B5394" s="104"/>
      <c r="C5394" s="104"/>
      <c r="E5394" s="107" t="str">
        <f aca="false">IF($C5394="","",IFERROR(INDEX(المنيو!$C$2:$C$500,MATCH($C5394,المنيو!$B$2:$B$500,0)),0))</f>
        <v/>
      </c>
      <c r="F5394" s="107" t="str">
        <f aca="false">IF($C5394="","",$D5394*$E5394)</f>
        <v/>
      </c>
      <c r="G5394" s="107" t="str">
        <f aca="false">IF($C5394="","",$D5394*IFERROR(INDEX('تحليل التكلفة والسعر'!$C$2:$C$700,MATCH($C5394,'تحليل التكلفة والسعر'!$B$2:$B$700,0)),0))</f>
        <v/>
      </c>
    </row>
    <row r="5395" customFormat="false" ht="15" hidden="false" customHeight="false" outlineLevel="0" collapsed="false">
      <c r="A5395" s="103"/>
      <c r="B5395" s="104"/>
      <c r="C5395" s="104"/>
      <c r="E5395" s="107" t="str">
        <f aca="false">IF($C5395="","",IFERROR(INDEX(المنيو!$C$2:$C$500,MATCH($C5395,المنيو!$B$2:$B$500,0)),0))</f>
        <v/>
      </c>
      <c r="F5395" s="107" t="str">
        <f aca="false">IF($C5395="","",$D5395*$E5395)</f>
        <v/>
      </c>
      <c r="G5395" s="107" t="str">
        <f aca="false">IF($C5395="","",$D5395*IFERROR(INDEX('تحليل التكلفة والسعر'!$C$2:$C$700,MATCH($C5395,'تحليل التكلفة والسعر'!$B$2:$B$700,0)),0))</f>
        <v/>
      </c>
    </row>
    <row r="5396" customFormat="false" ht="15" hidden="false" customHeight="false" outlineLevel="0" collapsed="false">
      <c r="A5396" s="103"/>
      <c r="B5396" s="104"/>
      <c r="C5396" s="104"/>
      <c r="E5396" s="107" t="str">
        <f aca="false">IF($C5396="","",IFERROR(INDEX(المنيو!$C$2:$C$500,MATCH($C5396,المنيو!$B$2:$B$500,0)),0))</f>
        <v/>
      </c>
      <c r="F5396" s="107" t="str">
        <f aca="false">IF($C5396="","",$D5396*$E5396)</f>
        <v/>
      </c>
      <c r="G5396" s="107" t="str">
        <f aca="false">IF($C5396="","",$D5396*IFERROR(INDEX('تحليل التكلفة والسعر'!$C$2:$C$700,MATCH($C5396,'تحليل التكلفة والسعر'!$B$2:$B$700,0)),0))</f>
        <v/>
      </c>
    </row>
    <row r="5397" customFormat="false" ht="15" hidden="false" customHeight="false" outlineLevel="0" collapsed="false">
      <c r="A5397" s="103"/>
      <c r="B5397" s="104"/>
      <c r="C5397" s="104"/>
      <c r="E5397" s="107" t="str">
        <f aca="false">IF($C5397="","",IFERROR(INDEX(المنيو!$C$2:$C$500,MATCH($C5397,المنيو!$B$2:$B$500,0)),0))</f>
        <v/>
      </c>
      <c r="F5397" s="107" t="str">
        <f aca="false">IF($C5397="","",$D5397*$E5397)</f>
        <v/>
      </c>
      <c r="G5397" s="107" t="str">
        <f aca="false">IF($C5397="","",$D5397*IFERROR(INDEX('تحليل التكلفة والسعر'!$C$2:$C$700,MATCH($C5397,'تحليل التكلفة والسعر'!$B$2:$B$700,0)),0))</f>
        <v/>
      </c>
    </row>
    <row r="5398" customFormat="false" ht="15" hidden="false" customHeight="false" outlineLevel="0" collapsed="false">
      <c r="A5398" s="103"/>
      <c r="B5398" s="104"/>
      <c r="C5398" s="104"/>
      <c r="E5398" s="107" t="str">
        <f aca="false">IF($C5398="","",IFERROR(INDEX(المنيو!$C$2:$C$500,MATCH($C5398,المنيو!$B$2:$B$500,0)),0))</f>
        <v/>
      </c>
      <c r="F5398" s="107" t="str">
        <f aca="false">IF($C5398="","",$D5398*$E5398)</f>
        <v/>
      </c>
      <c r="G5398" s="107" t="str">
        <f aca="false">IF($C5398="","",$D5398*IFERROR(INDEX('تحليل التكلفة والسعر'!$C$2:$C$700,MATCH($C5398,'تحليل التكلفة والسعر'!$B$2:$B$700,0)),0))</f>
        <v/>
      </c>
    </row>
    <row r="5399" customFormat="false" ht="15" hidden="false" customHeight="false" outlineLevel="0" collapsed="false">
      <c r="A5399" s="103"/>
      <c r="B5399" s="104"/>
      <c r="C5399" s="104"/>
      <c r="E5399" s="107" t="str">
        <f aca="false">IF($C5399="","",IFERROR(INDEX(المنيو!$C$2:$C$500,MATCH($C5399,المنيو!$B$2:$B$500,0)),0))</f>
        <v/>
      </c>
      <c r="F5399" s="107" t="str">
        <f aca="false">IF($C5399="","",$D5399*$E5399)</f>
        <v/>
      </c>
      <c r="G5399" s="107" t="str">
        <f aca="false">IF($C5399="","",$D5399*IFERROR(INDEX('تحليل التكلفة والسعر'!$C$2:$C$700,MATCH($C5399,'تحليل التكلفة والسعر'!$B$2:$B$700,0)),0))</f>
        <v/>
      </c>
    </row>
    <row r="5400" customFormat="false" ht="15" hidden="false" customHeight="false" outlineLevel="0" collapsed="false">
      <c r="A5400" s="103"/>
      <c r="B5400" s="104"/>
      <c r="C5400" s="104"/>
      <c r="E5400" s="107" t="str">
        <f aca="false">IF($C5400="","",IFERROR(INDEX(المنيو!$C$2:$C$500,MATCH($C5400,المنيو!$B$2:$B$500,0)),0))</f>
        <v/>
      </c>
      <c r="F5400" s="107" t="str">
        <f aca="false">IF($C5400="","",$D5400*$E5400)</f>
        <v/>
      </c>
      <c r="G5400" s="107" t="str">
        <f aca="false">IF($C5400="","",$D5400*IFERROR(INDEX('تحليل التكلفة والسعر'!$C$2:$C$700,MATCH($C5400,'تحليل التكلفة والسعر'!$B$2:$B$700,0)),0))</f>
        <v/>
      </c>
    </row>
    <row r="5401" customFormat="false" ht="15" hidden="false" customHeight="false" outlineLevel="0" collapsed="false">
      <c r="A5401" s="103"/>
      <c r="B5401" s="104"/>
      <c r="C5401" s="104"/>
      <c r="E5401" s="107" t="str">
        <f aca="false">IF($C5401="","",IFERROR(INDEX(المنيو!$C$2:$C$500,MATCH($C5401,المنيو!$B$2:$B$500,0)),0))</f>
        <v/>
      </c>
      <c r="F5401" s="107" t="str">
        <f aca="false">IF($C5401="","",$D5401*$E5401)</f>
        <v/>
      </c>
      <c r="G5401" s="107" t="str">
        <f aca="false">IF($C5401="","",$D5401*IFERROR(INDEX('تحليل التكلفة والسعر'!$C$2:$C$700,MATCH($C5401,'تحليل التكلفة والسعر'!$B$2:$B$700,0)),0))</f>
        <v/>
      </c>
    </row>
    <row r="5402" customFormat="false" ht="15" hidden="false" customHeight="false" outlineLevel="0" collapsed="false">
      <c r="A5402" s="103"/>
      <c r="B5402" s="104"/>
      <c r="C5402" s="104"/>
      <c r="E5402" s="107" t="str">
        <f aca="false">IF($C5402="","",IFERROR(INDEX(المنيو!$C$2:$C$500,MATCH($C5402,المنيو!$B$2:$B$500,0)),0))</f>
        <v/>
      </c>
      <c r="F5402" s="107" t="str">
        <f aca="false">IF($C5402="","",$D5402*$E5402)</f>
        <v/>
      </c>
      <c r="G5402" s="107" t="str">
        <f aca="false">IF($C5402="","",$D5402*IFERROR(INDEX('تحليل التكلفة والسعر'!$C$2:$C$700,MATCH($C5402,'تحليل التكلفة والسعر'!$B$2:$B$700,0)),0))</f>
        <v/>
      </c>
    </row>
    <row r="5403" customFormat="false" ht="15" hidden="false" customHeight="false" outlineLevel="0" collapsed="false">
      <c r="A5403" s="103"/>
      <c r="B5403" s="104"/>
      <c r="C5403" s="104"/>
      <c r="E5403" s="107" t="str">
        <f aca="false">IF($C5403="","",IFERROR(INDEX(المنيو!$C$2:$C$500,MATCH($C5403,المنيو!$B$2:$B$500,0)),0))</f>
        <v/>
      </c>
      <c r="F5403" s="107" t="str">
        <f aca="false">IF($C5403="","",$D5403*$E5403)</f>
        <v/>
      </c>
      <c r="G5403" s="107" t="str">
        <f aca="false">IF($C5403="","",$D5403*IFERROR(INDEX('تحليل التكلفة والسعر'!$C$2:$C$700,MATCH($C5403,'تحليل التكلفة والسعر'!$B$2:$B$700,0)),0))</f>
        <v/>
      </c>
    </row>
    <row r="5404" customFormat="false" ht="15" hidden="false" customHeight="false" outlineLevel="0" collapsed="false">
      <c r="A5404" s="103"/>
      <c r="B5404" s="104"/>
      <c r="C5404" s="104"/>
      <c r="E5404" s="107" t="str">
        <f aca="false">IF($C5404="","",IFERROR(INDEX(المنيو!$C$2:$C$500,MATCH($C5404,المنيو!$B$2:$B$500,0)),0))</f>
        <v/>
      </c>
      <c r="F5404" s="107" t="str">
        <f aca="false">IF($C5404="","",$D5404*$E5404)</f>
        <v/>
      </c>
      <c r="G5404" s="107" t="str">
        <f aca="false">IF($C5404="","",$D5404*IFERROR(INDEX('تحليل التكلفة والسعر'!$C$2:$C$700,MATCH($C5404,'تحليل التكلفة والسعر'!$B$2:$B$700,0)),0))</f>
        <v/>
      </c>
    </row>
    <row r="5405" customFormat="false" ht="15" hidden="false" customHeight="false" outlineLevel="0" collapsed="false">
      <c r="A5405" s="103"/>
      <c r="B5405" s="104"/>
      <c r="C5405" s="104"/>
      <c r="E5405" s="107" t="str">
        <f aca="false">IF($C5405="","",IFERROR(INDEX(المنيو!$C$2:$C$500,MATCH($C5405,المنيو!$B$2:$B$500,0)),0))</f>
        <v/>
      </c>
      <c r="F5405" s="107" t="str">
        <f aca="false">IF($C5405="","",$D5405*$E5405)</f>
        <v/>
      </c>
      <c r="G5405" s="107" t="str">
        <f aca="false">IF($C5405="","",$D5405*IFERROR(INDEX('تحليل التكلفة والسعر'!$C$2:$C$700,MATCH($C5405,'تحليل التكلفة والسعر'!$B$2:$B$700,0)),0))</f>
        <v/>
      </c>
    </row>
    <row r="5406" customFormat="false" ht="15" hidden="false" customHeight="false" outlineLevel="0" collapsed="false">
      <c r="A5406" s="103"/>
      <c r="B5406" s="104"/>
      <c r="C5406" s="104"/>
      <c r="E5406" s="107" t="str">
        <f aca="false">IF($C5406="","",IFERROR(INDEX(المنيو!$C$2:$C$500,MATCH($C5406,المنيو!$B$2:$B$500,0)),0))</f>
        <v/>
      </c>
      <c r="F5406" s="107" t="str">
        <f aca="false">IF($C5406="","",$D5406*$E5406)</f>
        <v/>
      </c>
      <c r="G5406" s="107" t="str">
        <f aca="false">IF($C5406="","",$D5406*IFERROR(INDEX('تحليل التكلفة والسعر'!$C$2:$C$700,MATCH($C5406,'تحليل التكلفة والسعر'!$B$2:$B$700,0)),0))</f>
        <v/>
      </c>
    </row>
    <row r="5407" customFormat="false" ht="15" hidden="false" customHeight="false" outlineLevel="0" collapsed="false">
      <c r="A5407" s="103"/>
      <c r="B5407" s="104"/>
      <c r="C5407" s="104"/>
      <c r="E5407" s="107" t="str">
        <f aca="false">IF($C5407="","",IFERROR(INDEX(المنيو!$C$2:$C$500,MATCH($C5407,المنيو!$B$2:$B$500,0)),0))</f>
        <v/>
      </c>
      <c r="F5407" s="107" t="str">
        <f aca="false">IF($C5407="","",$D5407*$E5407)</f>
        <v/>
      </c>
      <c r="G5407" s="107" t="str">
        <f aca="false">IF($C5407="","",$D5407*IFERROR(INDEX('تحليل التكلفة والسعر'!$C$2:$C$700,MATCH($C5407,'تحليل التكلفة والسعر'!$B$2:$B$700,0)),0))</f>
        <v/>
      </c>
    </row>
    <row r="5408" customFormat="false" ht="15" hidden="false" customHeight="false" outlineLevel="0" collapsed="false">
      <c r="A5408" s="103"/>
      <c r="B5408" s="104"/>
      <c r="C5408" s="104"/>
      <c r="E5408" s="107" t="str">
        <f aca="false">IF($C5408="","",IFERROR(INDEX(المنيو!$C$2:$C$500,MATCH($C5408,المنيو!$B$2:$B$500,0)),0))</f>
        <v/>
      </c>
      <c r="F5408" s="107" t="str">
        <f aca="false">IF($C5408="","",$D5408*$E5408)</f>
        <v/>
      </c>
      <c r="G5408" s="107" t="str">
        <f aca="false">IF($C5408="","",$D5408*IFERROR(INDEX('تحليل التكلفة والسعر'!$C$2:$C$700,MATCH($C5408,'تحليل التكلفة والسعر'!$B$2:$B$700,0)),0))</f>
        <v/>
      </c>
    </row>
    <row r="5409" customFormat="false" ht="15" hidden="false" customHeight="false" outlineLevel="0" collapsed="false">
      <c r="A5409" s="103"/>
      <c r="B5409" s="104"/>
      <c r="C5409" s="104"/>
      <c r="E5409" s="107" t="str">
        <f aca="false">IF($C5409="","",IFERROR(INDEX(المنيو!$C$2:$C$500,MATCH($C5409,المنيو!$B$2:$B$500,0)),0))</f>
        <v/>
      </c>
      <c r="F5409" s="107" t="str">
        <f aca="false">IF($C5409="","",$D5409*$E5409)</f>
        <v/>
      </c>
      <c r="G5409" s="107" t="str">
        <f aca="false">IF($C5409="","",$D5409*IFERROR(INDEX('تحليل التكلفة والسعر'!$C$2:$C$700,MATCH($C5409,'تحليل التكلفة والسعر'!$B$2:$B$700,0)),0))</f>
        <v/>
      </c>
    </row>
    <row r="5410" customFormat="false" ht="15" hidden="false" customHeight="false" outlineLevel="0" collapsed="false">
      <c r="A5410" s="103"/>
      <c r="B5410" s="104"/>
      <c r="C5410" s="104"/>
      <c r="E5410" s="107" t="str">
        <f aca="false">IF($C5410="","",IFERROR(INDEX(المنيو!$C$2:$C$500,MATCH($C5410,المنيو!$B$2:$B$500,0)),0))</f>
        <v/>
      </c>
      <c r="F5410" s="107" t="str">
        <f aca="false">IF($C5410="","",$D5410*$E5410)</f>
        <v/>
      </c>
      <c r="G5410" s="107" t="str">
        <f aca="false">IF($C5410="","",$D5410*IFERROR(INDEX('تحليل التكلفة والسعر'!$C$2:$C$700,MATCH($C5410,'تحليل التكلفة والسعر'!$B$2:$B$700,0)),0))</f>
        <v/>
      </c>
    </row>
    <row r="5411" customFormat="false" ht="15" hidden="false" customHeight="false" outlineLevel="0" collapsed="false">
      <c r="A5411" s="103"/>
      <c r="B5411" s="104"/>
      <c r="C5411" s="104"/>
      <c r="E5411" s="107" t="str">
        <f aca="false">IF($C5411="","",IFERROR(INDEX(المنيو!$C$2:$C$500,MATCH($C5411,المنيو!$B$2:$B$500,0)),0))</f>
        <v/>
      </c>
      <c r="F5411" s="107" t="str">
        <f aca="false">IF($C5411="","",$D5411*$E5411)</f>
        <v/>
      </c>
      <c r="G5411" s="107" t="str">
        <f aca="false">IF($C5411="","",$D5411*IFERROR(INDEX('تحليل التكلفة والسعر'!$C$2:$C$700,MATCH($C5411,'تحليل التكلفة والسعر'!$B$2:$B$700,0)),0))</f>
        <v/>
      </c>
    </row>
    <row r="5412" customFormat="false" ht="15" hidden="false" customHeight="false" outlineLevel="0" collapsed="false">
      <c r="A5412" s="103"/>
      <c r="B5412" s="104"/>
      <c r="C5412" s="104"/>
      <c r="E5412" s="107" t="str">
        <f aca="false">IF($C5412="","",IFERROR(INDEX(المنيو!$C$2:$C$500,MATCH($C5412,المنيو!$B$2:$B$500,0)),0))</f>
        <v/>
      </c>
      <c r="F5412" s="107" t="str">
        <f aca="false">IF($C5412="","",$D5412*$E5412)</f>
        <v/>
      </c>
      <c r="G5412" s="107" t="str">
        <f aca="false">IF($C5412="","",$D5412*IFERROR(INDEX('تحليل التكلفة والسعر'!$C$2:$C$700,MATCH($C5412,'تحليل التكلفة والسعر'!$B$2:$B$700,0)),0))</f>
        <v/>
      </c>
    </row>
    <row r="5413" customFormat="false" ht="15" hidden="false" customHeight="false" outlineLevel="0" collapsed="false">
      <c r="A5413" s="103"/>
      <c r="B5413" s="104"/>
      <c r="C5413" s="104"/>
      <c r="E5413" s="107" t="str">
        <f aca="false">IF($C5413="","",IFERROR(INDEX(المنيو!$C$2:$C$500,MATCH($C5413,المنيو!$B$2:$B$500,0)),0))</f>
        <v/>
      </c>
      <c r="F5413" s="107" t="str">
        <f aca="false">IF($C5413="","",$D5413*$E5413)</f>
        <v/>
      </c>
      <c r="G5413" s="107" t="str">
        <f aca="false">IF($C5413="","",$D5413*IFERROR(INDEX('تحليل التكلفة والسعر'!$C$2:$C$700,MATCH($C5413,'تحليل التكلفة والسعر'!$B$2:$B$700,0)),0))</f>
        <v/>
      </c>
    </row>
    <row r="5414" customFormat="false" ht="15" hidden="false" customHeight="false" outlineLevel="0" collapsed="false">
      <c r="A5414" s="103"/>
      <c r="B5414" s="104"/>
      <c r="C5414" s="104"/>
      <c r="E5414" s="107" t="str">
        <f aca="false">IF($C5414="","",IFERROR(INDEX(المنيو!$C$2:$C$500,MATCH($C5414,المنيو!$B$2:$B$500,0)),0))</f>
        <v/>
      </c>
      <c r="F5414" s="107" t="str">
        <f aca="false">IF($C5414="","",$D5414*$E5414)</f>
        <v/>
      </c>
      <c r="G5414" s="107" t="str">
        <f aca="false">IF($C5414="","",$D5414*IFERROR(INDEX('تحليل التكلفة والسعر'!$C$2:$C$700,MATCH($C5414,'تحليل التكلفة والسعر'!$B$2:$B$700,0)),0))</f>
        <v/>
      </c>
    </row>
    <row r="5415" customFormat="false" ht="15" hidden="false" customHeight="false" outlineLevel="0" collapsed="false">
      <c r="A5415" s="103"/>
      <c r="B5415" s="104"/>
      <c r="C5415" s="104"/>
      <c r="E5415" s="107" t="str">
        <f aca="false">IF($C5415="","",IFERROR(INDEX(المنيو!$C$2:$C$500,MATCH($C5415,المنيو!$B$2:$B$500,0)),0))</f>
        <v/>
      </c>
      <c r="F5415" s="107" t="str">
        <f aca="false">IF($C5415="","",$D5415*$E5415)</f>
        <v/>
      </c>
      <c r="G5415" s="107" t="str">
        <f aca="false">IF($C5415="","",$D5415*IFERROR(INDEX('تحليل التكلفة والسعر'!$C$2:$C$700,MATCH($C5415,'تحليل التكلفة والسعر'!$B$2:$B$700,0)),0))</f>
        <v/>
      </c>
    </row>
    <row r="5416" customFormat="false" ht="15" hidden="false" customHeight="false" outlineLevel="0" collapsed="false">
      <c r="A5416" s="103"/>
      <c r="B5416" s="104"/>
      <c r="C5416" s="104"/>
      <c r="E5416" s="107" t="str">
        <f aca="false">IF($C5416="","",IFERROR(INDEX(المنيو!$C$2:$C$500,MATCH($C5416,المنيو!$B$2:$B$500,0)),0))</f>
        <v/>
      </c>
      <c r="F5416" s="107" t="str">
        <f aca="false">IF($C5416="","",$D5416*$E5416)</f>
        <v/>
      </c>
      <c r="G5416" s="107" t="str">
        <f aca="false">IF($C5416="","",$D5416*IFERROR(INDEX('تحليل التكلفة والسعر'!$C$2:$C$700,MATCH($C5416,'تحليل التكلفة والسعر'!$B$2:$B$700,0)),0))</f>
        <v/>
      </c>
    </row>
    <row r="5417" customFormat="false" ht="15" hidden="false" customHeight="false" outlineLevel="0" collapsed="false">
      <c r="A5417" s="103"/>
      <c r="B5417" s="104"/>
      <c r="C5417" s="104"/>
      <c r="E5417" s="107" t="str">
        <f aca="false">IF($C5417="","",IFERROR(INDEX(المنيو!$C$2:$C$500,MATCH($C5417,المنيو!$B$2:$B$500,0)),0))</f>
        <v/>
      </c>
      <c r="F5417" s="107" t="str">
        <f aca="false">IF($C5417="","",$D5417*$E5417)</f>
        <v/>
      </c>
      <c r="G5417" s="107" t="str">
        <f aca="false">IF($C5417="","",$D5417*IFERROR(INDEX('تحليل التكلفة والسعر'!$C$2:$C$700,MATCH($C5417,'تحليل التكلفة والسعر'!$B$2:$B$700,0)),0))</f>
        <v/>
      </c>
    </row>
    <row r="5418" customFormat="false" ht="15" hidden="false" customHeight="false" outlineLevel="0" collapsed="false">
      <c r="A5418" s="103"/>
      <c r="B5418" s="104"/>
      <c r="C5418" s="104"/>
      <c r="E5418" s="107" t="str">
        <f aca="false">IF($C5418="","",IFERROR(INDEX(المنيو!$C$2:$C$500,MATCH($C5418,المنيو!$B$2:$B$500,0)),0))</f>
        <v/>
      </c>
      <c r="F5418" s="107" t="str">
        <f aca="false">IF($C5418="","",$D5418*$E5418)</f>
        <v/>
      </c>
      <c r="G5418" s="107" t="str">
        <f aca="false">IF($C5418="","",$D5418*IFERROR(INDEX('تحليل التكلفة والسعر'!$C$2:$C$700,MATCH($C5418,'تحليل التكلفة والسعر'!$B$2:$B$700,0)),0))</f>
        <v/>
      </c>
    </row>
    <row r="5419" customFormat="false" ht="15" hidden="false" customHeight="false" outlineLevel="0" collapsed="false">
      <c r="A5419" s="103"/>
      <c r="B5419" s="104"/>
      <c r="C5419" s="104"/>
      <c r="E5419" s="107" t="str">
        <f aca="false">IF($C5419="","",IFERROR(INDEX(المنيو!$C$2:$C$500,MATCH($C5419,المنيو!$B$2:$B$500,0)),0))</f>
        <v/>
      </c>
      <c r="F5419" s="107" t="str">
        <f aca="false">IF($C5419="","",$D5419*$E5419)</f>
        <v/>
      </c>
      <c r="G5419" s="107" t="str">
        <f aca="false">IF($C5419="","",$D5419*IFERROR(INDEX('تحليل التكلفة والسعر'!$C$2:$C$700,MATCH($C5419,'تحليل التكلفة والسعر'!$B$2:$B$700,0)),0))</f>
        <v/>
      </c>
    </row>
    <row r="5420" customFormat="false" ht="15" hidden="false" customHeight="false" outlineLevel="0" collapsed="false">
      <c r="A5420" s="103"/>
      <c r="B5420" s="104"/>
      <c r="C5420" s="104"/>
      <c r="E5420" s="107" t="str">
        <f aca="false">IF($C5420="","",IFERROR(INDEX(المنيو!$C$2:$C$500,MATCH($C5420,المنيو!$B$2:$B$500,0)),0))</f>
        <v/>
      </c>
      <c r="F5420" s="107" t="str">
        <f aca="false">IF($C5420="","",$D5420*$E5420)</f>
        <v/>
      </c>
      <c r="G5420" s="107" t="str">
        <f aca="false">IF($C5420="","",$D5420*IFERROR(INDEX('تحليل التكلفة والسعر'!$C$2:$C$700,MATCH($C5420,'تحليل التكلفة والسعر'!$B$2:$B$700,0)),0))</f>
        <v/>
      </c>
    </row>
    <row r="5421" customFormat="false" ht="15" hidden="false" customHeight="false" outlineLevel="0" collapsed="false">
      <c r="A5421" s="103"/>
      <c r="B5421" s="104"/>
      <c r="C5421" s="104"/>
      <c r="E5421" s="107" t="str">
        <f aca="false">IF($C5421="","",IFERROR(INDEX(المنيو!$C$2:$C$500,MATCH($C5421,المنيو!$B$2:$B$500,0)),0))</f>
        <v/>
      </c>
      <c r="F5421" s="107" t="str">
        <f aca="false">IF($C5421="","",$D5421*$E5421)</f>
        <v/>
      </c>
      <c r="G5421" s="107" t="str">
        <f aca="false">IF($C5421="","",$D5421*IFERROR(INDEX('تحليل التكلفة والسعر'!$C$2:$C$700,MATCH($C5421,'تحليل التكلفة والسعر'!$B$2:$B$700,0)),0))</f>
        <v/>
      </c>
    </row>
    <row r="5422" customFormat="false" ht="15" hidden="false" customHeight="false" outlineLevel="0" collapsed="false">
      <c r="A5422" s="103"/>
      <c r="B5422" s="104"/>
      <c r="C5422" s="104"/>
      <c r="E5422" s="107" t="str">
        <f aca="false">IF($C5422="","",IFERROR(INDEX(المنيو!$C$2:$C$500,MATCH($C5422,المنيو!$B$2:$B$500,0)),0))</f>
        <v/>
      </c>
      <c r="F5422" s="107" t="str">
        <f aca="false">IF($C5422="","",$D5422*$E5422)</f>
        <v/>
      </c>
      <c r="G5422" s="107" t="str">
        <f aca="false">IF($C5422="","",$D5422*IFERROR(INDEX('تحليل التكلفة والسعر'!$C$2:$C$700,MATCH($C5422,'تحليل التكلفة والسعر'!$B$2:$B$700,0)),0))</f>
        <v/>
      </c>
    </row>
    <row r="5423" customFormat="false" ht="15" hidden="false" customHeight="false" outlineLevel="0" collapsed="false">
      <c r="A5423" s="103"/>
      <c r="B5423" s="104"/>
      <c r="C5423" s="104"/>
      <c r="E5423" s="107" t="str">
        <f aca="false">IF($C5423="","",IFERROR(INDEX(المنيو!$C$2:$C$500,MATCH($C5423,المنيو!$B$2:$B$500,0)),0))</f>
        <v/>
      </c>
      <c r="F5423" s="107" t="str">
        <f aca="false">IF($C5423="","",$D5423*$E5423)</f>
        <v/>
      </c>
      <c r="G5423" s="107" t="str">
        <f aca="false">IF($C5423="","",$D5423*IFERROR(INDEX('تحليل التكلفة والسعر'!$C$2:$C$700,MATCH($C5423,'تحليل التكلفة والسعر'!$B$2:$B$700,0)),0))</f>
        <v/>
      </c>
    </row>
    <row r="5424" customFormat="false" ht="15" hidden="false" customHeight="false" outlineLevel="0" collapsed="false">
      <c r="A5424" s="103"/>
      <c r="B5424" s="104"/>
      <c r="C5424" s="104"/>
      <c r="E5424" s="107" t="str">
        <f aca="false">IF($C5424="","",IFERROR(INDEX(المنيو!$C$2:$C$500,MATCH($C5424,المنيو!$B$2:$B$500,0)),0))</f>
        <v/>
      </c>
      <c r="F5424" s="107" t="str">
        <f aca="false">IF($C5424="","",$D5424*$E5424)</f>
        <v/>
      </c>
      <c r="G5424" s="107" t="str">
        <f aca="false">IF($C5424="","",$D5424*IFERROR(INDEX('تحليل التكلفة والسعر'!$C$2:$C$700,MATCH($C5424,'تحليل التكلفة والسعر'!$B$2:$B$700,0)),0))</f>
        <v/>
      </c>
    </row>
    <row r="5425" customFormat="false" ht="15" hidden="false" customHeight="false" outlineLevel="0" collapsed="false">
      <c r="A5425" s="103"/>
      <c r="B5425" s="104"/>
      <c r="C5425" s="104"/>
      <c r="E5425" s="107" t="str">
        <f aca="false">IF($C5425="","",IFERROR(INDEX(المنيو!$C$2:$C$500,MATCH($C5425,المنيو!$B$2:$B$500,0)),0))</f>
        <v/>
      </c>
      <c r="F5425" s="107" t="str">
        <f aca="false">IF($C5425="","",$D5425*$E5425)</f>
        <v/>
      </c>
      <c r="G5425" s="107" t="str">
        <f aca="false">IF($C5425="","",$D5425*IFERROR(INDEX('تحليل التكلفة والسعر'!$C$2:$C$700,MATCH($C5425,'تحليل التكلفة والسعر'!$B$2:$B$700,0)),0))</f>
        <v/>
      </c>
    </row>
    <row r="5426" customFormat="false" ht="15" hidden="false" customHeight="false" outlineLevel="0" collapsed="false">
      <c r="A5426" s="103"/>
      <c r="B5426" s="104"/>
      <c r="C5426" s="104"/>
      <c r="E5426" s="107" t="str">
        <f aca="false">IF($C5426="","",IFERROR(INDEX(المنيو!$C$2:$C$500,MATCH($C5426,المنيو!$B$2:$B$500,0)),0))</f>
        <v/>
      </c>
      <c r="F5426" s="107" t="str">
        <f aca="false">IF($C5426="","",$D5426*$E5426)</f>
        <v/>
      </c>
      <c r="G5426" s="107" t="str">
        <f aca="false">IF($C5426="","",$D5426*IFERROR(INDEX('تحليل التكلفة والسعر'!$C$2:$C$700,MATCH($C5426,'تحليل التكلفة والسعر'!$B$2:$B$700,0)),0))</f>
        <v/>
      </c>
    </row>
    <row r="5427" customFormat="false" ht="15" hidden="false" customHeight="false" outlineLevel="0" collapsed="false">
      <c r="A5427" s="103"/>
      <c r="B5427" s="104"/>
      <c r="C5427" s="104"/>
      <c r="E5427" s="107" t="str">
        <f aca="false">IF($C5427="","",IFERROR(INDEX(المنيو!$C$2:$C$500,MATCH($C5427,المنيو!$B$2:$B$500,0)),0))</f>
        <v/>
      </c>
      <c r="F5427" s="107" t="str">
        <f aca="false">IF($C5427="","",$D5427*$E5427)</f>
        <v/>
      </c>
      <c r="G5427" s="107" t="str">
        <f aca="false">IF($C5427="","",$D5427*IFERROR(INDEX('تحليل التكلفة والسعر'!$C$2:$C$700,MATCH($C5427,'تحليل التكلفة والسعر'!$B$2:$B$700,0)),0))</f>
        <v/>
      </c>
    </row>
    <row r="5428" customFormat="false" ht="15" hidden="false" customHeight="false" outlineLevel="0" collapsed="false">
      <c r="A5428" s="103"/>
      <c r="B5428" s="104"/>
      <c r="C5428" s="104"/>
      <c r="E5428" s="107" t="str">
        <f aca="false">IF($C5428="","",IFERROR(INDEX(المنيو!$C$2:$C$500,MATCH($C5428,المنيو!$B$2:$B$500,0)),0))</f>
        <v/>
      </c>
      <c r="F5428" s="107" t="str">
        <f aca="false">IF($C5428="","",$D5428*$E5428)</f>
        <v/>
      </c>
      <c r="G5428" s="107" t="str">
        <f aca="false">IF($C5428="","",$D5428*IFERROR(INDEX('تحليل التكلفة والسعر'!$C$2:$C$700,MATCH($C5428,'تحليل التكلفة والسعر'!$B$2:$B$700,0)),0))</f>
        <v/>
      </c>
    </row>
    <row r="5429" customFormat="false" ht="15" hidden="false" customHeight="false" outlineLevel="0" collapsed="false">
      <c r="A5429" s="103"/>
      <c r="B5429" s="104"/>
      <c r="C5429" s="104"/>
      <c r="E5429" s="107" t="str">
        <f aca="false">IF($C5429="","",IFERROR(INDEX(المنيو!$C$2:$C$500,MATCH($C5429,المنيو!$B$2:$B$500,0)),0))</f>
        <v/>
      </c>
      <c r="F5429" s="107" t="str">
        <f aca="false">IF($C5429="","",$D5429*$E5429)</f>
        <v/>
      </c>
      <c r="G5429" s="107" t="str">
        <f aca="false">IF($C5429="","",$D5429*IFERROR(INDEX('تحليل التكلفة والسعر'!$C$2:$C$700,MATCH($C5429,'تحليل التكلفة والسعر'!$B$2:$B$700,0)),0))</f>
        <v/>
      </c>
    </row>
    <row r="5430" customFormat="false" ht="15" hidden="false" customHeight="false" outlineLevel="0" collapsed="false">
      <c r="A5430" s="103"/>
      <c r="B5430" s="104"/>
      <c r="C5430" s="104"/>
      <c r="E5430" s="107" t="str">
        <f aca="false">IF($C5430="","",IFERROR(INDEX(المنيو!$C$2:$C$500,MATCH($C5430,المنيو!$B$2:$B$500,0)),0))</f>
        <v/>
      </c>
      <c r="F5430" s="107" t="str">
        <f aca="false">IF($C5430="","",$D5430*$E5430)</f>
        <v/>
      </c>
      <c r="G5430" s="107" t="str">
        <f aca="false">IF($C5430="","",$D5430*IFERROR(INDEX('تحليل التكلفة والسعر'!$C$2:$C$700,MATCH($C5430,'تحليل التكلفة والسعر'!$B$2:$B$700,0)),0))</f>
        <v/>
      </c>
    </row>
    <row r="5431" customFormat="false" ht="15" hidden="false" customHeight="false" outlineLevel="0" collapsed="false">
      <c r="A5431" s="103"/>
      <c r="B5431" s="104"/>
      <c r="C5431" s="104"/>
      <c r="E5431" s="107" t="str">
        <f aca="false">IF($C5431="","",IFERROR(INDEX(المنيو!$C$2:$C$500,MATCH($C5431,المنيو!$B$2:$B$500,0)),0))</f>
        <v/>
      </c>
      <c r="F5431" s="107" t="str">
        <f aca="false">IF($C5431="","",$D5431*$E5431)</f>
        <v/>
      </c>
      <c r="G5431" s="107" t="str">
        <f aca="false">IF($C5431="","",$D5431*IFERROR(INDEX('تحليل التكلفة والسعر'!$C$2:$C$700,MATCH($C5431,'تحليل التكلفة والسعر'!$B$2:$B$700,0)),0))</f>
        <v/>
      </c>
    </row>
    <row r="5432" customFormat="false" ht="15" hidden="false" customHeight="false" outlineLevel="0" collapsed="false">
      <c r="A5432" s="103"/>
      <c r="B5432" s="104"/>
      <c r="C5432" s="104"/>
      <c r="E5432" s="107" t="str">
        <f aca="false">IF($C5432="","",IFERROR(INDEX(المنيو!$C$2:$C$500,MATCH($C5432,المنيو!$B$2:$B$500,0)),0))</f>
        <v/>
      </c>
      <c r="F5432" s="107" t="str">
        <f aca="false">IF($C5432="","",$D5432*$E5432)</f>
        <v/>
      </c>
      <c r="G5432" s="107" t="str">
        <f aca="false">IF($C5432="","",$D5432*IFERROR(INDEX('تحليل التكلفة والسعر'!$C$2:$C$700,MATCH($C5432,'تحليل التكلفة والسعر'!$B$2:$B$700,0)),0))</f>
        <v/>
      </c>
    </row>
    <row r="5433" customFormat="false" ht="15" hidden="false" customHeight="false" outlineLevel="0" collapsed="false">
      <c r="A5433" s="103"/>
      <c r="B5433" s="104"/>
      <c r="C5433" s="104"/>
      <c r="E5433" s="107" t="str">
        <f aca="false">IF($C5433="","",IFERROR(INDEX(المنيو!$C$2:$C$500,MATCH($C5433,المنيو!$B$2:$B$500,0)),0))</f>
        <v/>
      </c>
      <c r="F5433" s="107" t="str">
        <f aca="false">IF($C5433="","",$D5433*$E5433)</f>
        <v/>
      </c>
      <c r="G5433" s="107" t="str">
        <f aca="false">IF($C5433="","",$D5433*IFERROR(INDEX('تحليل التكلفة والسعر'!$C$2:$C$700,MATCH($C5433,'تحليل التكلفة والسعر'!$B$2:$B$700,0)),0))</f>
        <v/>
      </c>
    </row>
    <row r="5434" customFormat="false" ht="15" hidden="false" customHeight="false" outlineLevel="0" collapsed="false">
      <c r="A5434" s="103"/>
      <c r="B5434" s="104"/>
      <c r="C5434" s="104"/>
      <c r="E5434" s="107" t="str">
        <f aca="false">IF($C5434="","",IFERROR(INDEX(المنيو!$C$2:$C$500,MATCH($C5434,المنيو!$B$2:$B$500,0)),0))</f>
        <v/>
      </c>
      <c r="F5434" s="107" t="str">
        <f aca="false">IF($C5434="","",$D5434*$E5434)</f>
        <v/>
      </c>
      <c r="G5434" s="107" t="str">
        <f aca="false">IF($C5434="","",$D5434*IFERROR(INDEX('تحليل التكلفة والسعر'!$C$2:$C$700,MATCH($C5434,'تحليل التكلفة والسعر'!$B$2:$B$700,0)),0))</f>
        <v/>
      </c>
    </row>
    <row r="5435" customFormat="false" ht="15" hidden="false" customHeight="false" outlineLevel="0" collapsed="false">
      <c r="A5435" s="103"/>
      <c r="B5435" s="104"/>
      <c r="C5435" s="104"/>
      <c r="E5435" s="107" t="str">
        <f aca="false">IF($C5435="","",IFERROR(INDEX(المنيو!$C$2:$C$500,MATCH($C5435,المنيو!$B$2:$B$500,0)),0))</f>
        <v/>
      </c>
      <c r="F5435" s="107" t="str">
        <f aca="false">IF($C5435="","",$D5435*$E5435)</f>
        <v/>
      </c>
      <c r="G5435" s="107" t="str">
        <f aca="false">IF($C5435="","",$D5435*IFERROR(INDEX('تحليل التكلفة والسعر'!$C$2:$C$700,MATCH($C5435,'تحليل التكلفة والسعر'!$B$2:$B$700,0)),0))</f>
        <v/>
      </c>
    </row>
    <row r="5436" customFormat="false" ht="15" hidden="false" customHeight="false" outlineLevel="0" collapsed="false">
      <c r="A5436" s="103"/>
      <c r="B5436" s="104"/>
      <c r="C5436" s="104"/>
      <c r="E5436" s="107" t="str">
        <f aca="false">IF($C5436="","",IFERROR(INDEX(المنيو!$C$2:$C$500,MATCH($C5436,المنيو!$B$2:$B$500,0)),0))</f>
        <v/>
      </c>
      <c r="F5436" s="107" t="str">
        <f aca="false">IF($C5436="","",$D5436*$E5436)</f>
        <v/>
      </c>
      <c r="G5436" s="107" t="str">
        <f aca="false">IF($C5436="","",$D5436*IFERROR(INDEX('تحليل التكلفة والسعر'!$C$2:$C$700,MATCH($C5436,'تحليل التكلفة والسعر'!$B$2:$B$700,0)),0))</f>
        <v/>
      </c>
    </row>
    <row r="5437" customFormat="false" ht="15" hidden="false" customHeight="false" outlineLevel="0" collapsed="false">
      <c r="A5437" s="103"/>
      <c r="B5437" s="104"/>
      <c r="C5437" s="104"/>
      <c r="E5437" s="107" t="str">
        <f aca="false">IF($C5437="","",IFERROR(INDEX(المنيو!$C$2:$C$500,MATCH($C5437,المنيو!$B$2:$B$500,0)),0))</f>
        <v/>
      </c>
      <c r="F5437" s="107" t="str">
        <f aca="false">IF($C5437="","",$D5437*$E5437)</f>
        <v/>
      </c>
      <c r="G5437" s="107" t="str">
        <f aca="false">IF($C5437="","",$D5437*IFERROR(INDEX('تحليل التكلفة والسعر'!$C$2:$C$700,MATCH($C5437,'تحليل التكلفة والسعر'!$B$2:$B$700,0)),0))</f>
        <v/>
      </c>
    </row>
    <row r="5438" customFormat="false" ht="15" hidden="false" customHeight="false" outlineLevel="0" collapsed="false">
      <c r="A5438" s="103"/>
      <c r="B5438" s="104"/>
      <c r="C5438" s="104"/>
      <c r="E5438" s="107" t="str">
        <f aca="false">IF($C5438="","",IFERROR(INDEX(المنيو!$C$2:$C$500,MATCH($C5438,المنيو!$B$2:$B$500,0)),0))</f>
        <v/>
      </c>
      <c r="F5438" s="107" t="str">
        <f aca="false">IF($C5438="","",$D5438*$E5438)</f>
        <v/>
      </c>
      <c r="G5438" s="107" t="str">
        <f aca="false">IF($C5438="","",$D5438*IFERROR(INDEX('تحليل التكلفة والسعر'!$C$2:$C$700,MATCH($C5438,'تحليل التكلفة والسعر'!$B$2:$B$700,0)),0))</f>
        <v/>
      </c>
    </row>
    <row r="5439" customFormat="false" ht="15" hidden="false" customHeight="false" outlineLevel="0" collapsed="false">
      <c r="A5439" s="103"/>
      <c r="B5439" s="104"/>
      <c r="C5439" s="104"/>
      <c r="E5439" s="107" t="str">
        <f aca="false">IF($C5439="","",IFERROR(INDEX(المنيو!$C$2:$C$500,MATCH($C5439,المنيو!$B$2:$B$500,0)),0))</f>
        <v/>
      </c>
      <c r="F5439" s="107" t="str">
        <f aca="false">IF($C5439="","",$D5439*$E5439)</f>
        <v/>
      </c>
      <c r="G5439" s="107" t="str">
        <f aca="false">IF($C5439="","",$D5439*IFERROR(INDEX('تحليل التكلفة والسعر'!$C$2:$C$700,MATCH($C5439,'تحليل التكلفة والسعر'!$B$2:$B$700,0)),0))</f>
        <v/>
      </c>
    </row>
    <row r="5440" customFormat="false" ht="15" hidden="false" customHeight="false" outlineLevel="0" collapsed="false">
      <c r="A5440" s="103"/>
      <c r="B5440" s="104"/>
      <c r="C5440" s="104"/>
      <c r="E5440" s="107" t="str">
        <f aca="false">IF($C5440="","",IFERROR(INDEX(المنيو!$C$2:$C$500,MATCH($C5440,المنيو!$B$2:$B$500,0)),0))</f>
        <v/>
      </c>
      <c r="F5440" s="107" t="str">
        <f aca="false">IF($C5440="","",$D5440*$E5440)</f>
        <v/>
      </c>
      <c r="G5440" s="107" t="str">
        <f aca="false">IF($C5440="","",$D5440*IFERROR(INDEX('تحليل التكلفة والسعر'!$C$2:$C$700,MATCH($C5440,'تحليل التكلفة والسعر'!$B$2:$B$700,0)),0))</f>
        <v/>
      </c>
    </row>
    <row r="5441" customFormat="false" ht="15" hidden="false" customHeight="false" outlineLevel="0" collapsed="false">
      <c r="A5441" s="103"/>
      <c r="B5441" s="104"/>
      <c r="C5441" s="104"/>
      <c r="E5441" s="107" t="str">
        <f aca="false">IF($C5441="","",IFERROR(INDEX(المنيو!$C$2:$C$500,MATCH($C5441,المنيو!$B$2:$B$500,0)),0))</f>
        <v/>
      </c>
      <c r="F5441" s="107" t="str">
        <f aca="false">IF($C5441="","",$D5441*$E5441)</f>
        <v/>
      </c>
      <c r="G5441" s="107" t="str">
        <f aca="false">IF($C5441="","",$D5441*IFERROR(INDEX('تحليل التكلفة والسعر'!$C$2:$C$700,MATCH($C5441,'تحليل التكلفة والسعر'!$B$2:$B$700,0)),0))</f>
        <v/>
      </c>
    </row>
    <row r="5442" customFormat="false" ht="15" hidden="false" customHeight="false" outlineLevel="0" collapsed="false">
      <c r="A5442" s="103"/>
      <c r="B5442" s="104"/>
      <c r="C5442" s="104"/>
      <c r="E5442" s="107" t="str">
        <f aca="false">IF($C5442="","",IFERROR(INDEX(المنيو!$C$2:$C$500,MATCH($C5442,المنيو!$B$2:$B$500,0)),0))</f>
        <v/>
      </c>
      <c r="F5442" s="107" t="str">
        <f aca="false">IF($C5442="","",$D5442*$E5442)</f>
        <v/>
      </c>
      <c r="G5442" s="107" t="str">
        <f aca="false">IF($C5442="","",$D5442*IFERROR(INDEX('تحليل التكلفة والسعر'!$C$2:$C$700,MATCH($C5442,'تحليل التكلفة والسعر'!$B$2:$B$700,0)),0))</f>
        <v/>
      </c>
    </row>
    <row r="5443" customFormat="false" ht="15" hidden="false" customHeight="false" outlineLevel="0" collapsed="false">
      <c r="A5443" s="103"/>
      <c r="B5443" s="104"/>
      <c r="C5443" s="104"/>
      <c r="E5443" s="107" t="str">
        <f aca="false">IF($C5443="","",IFERROR(INDEX(المنيو!$C$2:$C$500,MATCH($C5443,المنيو!$B$2:$B$500,0)),0))</f>
        <v/>
      </c>
      <c r="F5443" s="107" t="str">
        <f aca="false">IF($C5443="","",$D5443*$E5443)</f>
        <v/>
      </c>
      <c r="G5443" s="107" t="str">
        <f aca="false">IF($C5443="","",$D5443*IFERROR(INDEX('تحليل التكلفة والسعر'!$C$2:$C$700,MATCH($C5443,'تحليل التكلفة والسعر'!$B$2:$B$700,0)),0))</f>
        <v/>
      </c>
    </row>
    <row r="5444" customFormat="false" ht="15" hidden="false" customHeight="false" outlineLevel="0" collapsed="false">
      <c r="A5444" s="103"/>
      <c r="B5444" s="104"/>
      <c r="C5444" s="104"/>
      <c r="E5444" s="107" t="str">
        <f aca="false">IF($C5444="","",IFERROR(INDEX(المنيو!$C$2:$C$500,MATCH($C5444,المنيو!$B$2:$B$500,0)),0))</f>
        <v/>
      </c>
      <c r="F5444" s="107" t="str">
        <f aca="false">IF($C5444="","",$D5444*$E5444)</f>
        <v/>
      </c>
      <c r="G5444" s="107" t="str">
        <f aca="false">IF($C5444="","",$D5444*IFERROR(INDEX('تحليل التكلفة والسعر'!$C$2:$C$700,MATCH($C5444,'تحليل التكلفة والسعر'!$B$2:$B$700,0)),0))</f>
        <v/>
      </c>
    </row>
    <row r="5445" customFormat="false" ht="15" hidden="false" customHeight="false" outlineLevel="0" collapsed="false">
      <c r="A5445" s="103"/>
      <c r="B5445" s="104"/>
      <c r="C5445" s="104"/>
      <c r="E5445" s="107" t="str">
        <f aca="false">IF($C5445="","",IFERROR(INDEX(المنيو!$C$2:$C$500,MATCH($C5445,المنيو!$B$2:$B$500,0)),0))</f>
        <v/>
      </c>
      <c r="F5445" s="107" t="str">
        <f aca="false">IF($C5445="","",$D5445*$E5445)</f>
        <v/>
      </c>
      <c r="G5445" s="107" t="str">
        <f aca="false">IF($C5445="","",$D5445*IFERROR(INDEX('تحليل التكلفة والسعر'!$C$2:$C$700,MATCH($C5445,'تحليل التكلفة والسعر'!$B$2:$B$700,0)),0))</f>
        <v/>
      </c>
    </row>
    <row r="5446" customFormat="false" ht="15" hidden="false" customHeight="false" outlineLevel="0" collapsed="false">
      <c r="A5446" s="103"/>
      <c r="B5446" s="104"/>
      <c r="C5446" s="104"/>
      <c r="E5446" s="107" t="str">
        <f aca="false">IF($C5446="","",IFERROR(INDEX(المنيو!$C$2:$C$500,MATCH($C5446,المنيو!$B$2:$B$500,0)),0))</f>
        <v/>
      </c>
      <c r="F5446" s="107" t="str">
        <f aca="false">IF($C5446="","",$D5446*$E5446)</f>
        <v/>
      </c>
      <c r="G5446" s="107" t="str">
        <f aca="false">IF($C5446="","",$D5446*IFERROR(INDEX('تحليل التكلفة والسعر'!$C$2:$C$700,MATCH($C5446,'تحليل التكلفة والسعر'!$B$2:$B$700,0)),0))</f>
        <v/>
      </c>
    </row>
    <row r="5447" customFormat="false" ht="15" hidden="false" customHeight="false" outlineLevel="0" collapsed="false">
      <c r="A5447" s="103"/>
      <c r="B5447" s="104"/>
      <c r="C5447" s="104"/>
      <c r="E5447" s="107" t="str">
        <f aca="false">IF($C5447="","",IFERROR(INDEX(المنيو!$C$2:$C$500,MATCH($C5447,المنيو!$B$2:$B$500,0)),0))</f>
        <v/>
      </c>
      <c r="F5447" s="107" t="str">
        <f aca="false">IF($C5447="","",$D5447*$E5447)</f>
        <v/>
      </c>
      <c r="G5447" s="107" t="str">
        <f aca="false">IF($C5447="","",$D5447*IFERROR(INDEX('تحليل التكلفة والسعر'!$C$2:$C$700,MATCH($C5447,'تحليل التكلفة والسعر'!$B$2:$B$700,0)),0))</f>
        <v/>
      </c>
    </row>
    <row r="5448" customFormat="false" ht="15" hidden="false" customHeight="false" outlineLevel="0" collapsed="false">
      <c r="A5448" s="103"/>
      <c r="B5448" s="104"/>
      <c r="C5448" s="104"/>
      <c r="E5448" s="107" t="str">
        <f aca="false">IF($C5448="","",IFERROR(INDEX(المنيو!$C$2:$C$500,MATCH($C5448,المنيو!$B$2:$B$500,0)),0))</f>
        <v/>
      </c>
      <c r="F5448" s="107" t="str">
        <f aca="false">IF($C5448="","",$D5448*$E5448)</f>
        <v/>
      </c>
      <c r="G5448" s="107" t="str">
        <f aca="false">IF($C5448="","",$D5448*IFERROR(INDEX('تحليل التكلفة والسعر'!$C$2:$C$700,MATCH($C5448,'تحليل التكلفة والسعر'!$B$2:$B$700,0)),0))</f>
        <v/>
      </c>
    </row>
    <row r="5449" customFormat="false" ht="15" hidden="false" customHeight="false" outlineLevel="0" collapsed="false">
      <c r="A5449" s="103"/>
      <c r="B5449" s="104"/>
      <c r="C5449" s="104"/>
      <c r="E5449" s="107" t="str">
        <f aca="false">IF($C5449="","",IFERROR(INDEX(المنيو!$C$2:$C$500,MATCH($C5449,المنيو!$B$2:$B$500,0)),0))</f>
        <v/>
      </c>
      <c r="F5449" s="107" t="str">
        <f aca="false">IF($C5449="","",$D5449*$E5449)</f>
        <v/>
      </c>
      <c r="G5449" s="107" t="str">
        <f aca="false">IF($C5449="","",$D5449*IFERROR(INDEX('تحليل التكلفة والسعر'!$C$2:$C$700,MATCH($C5449,'تحليل التكلفة والسعر'!$B$2:$B$700,0)),0))</f>
        <v/>
      </c>
    </row>
    <row r="5450" customFormat="false" ht="15" hidden="false" customHeight="false" outlineLevel="0" collapsed="false">
      <c r="A5450" s="103"/>
      <c r="B5450" s="104"/>
      <c r="C5450" s="104"/>
      <c r="E5450" s="107" t="str">
        <f aca="false">IF($C5450="","",IFERROR(INDEX(المنيو!$C$2:$C$500,MATCH($C5450,المنيو!$B$2:$B$500,0)),0))</f>
        <v/>
      </c>
      <c r="F5450" s="107" t="str">
        <f aca="false">IF($C5450="","",$D5450*$E5450)</f>
        <v/>
      </c>
      <c r="G5450" s="107" t="str">
        <f aca="false">IF($C5450="","",$D5450*IFERROR(INDEX('تحليل التكلفة والسعر'!$C$2:$C$700,MATCH($C5450,'تحليل التكلفة والسعر'!$B$2:$B$700,0)),0))</f>
        <v/>
      </c>
    </row>
    <row r="5451" customFormat="false" ht="15" hidden="false" customHeight="false" outlineLevel="0" collapsed="false">
      <c r="A5451" s="103"/>
      <c r="B5451" s="104"/>
      <c r="C5451" s="104"/>
      <c r="E5451" s="107" t="str">
        <f aca="false">IF($C5451="","",IFERROR(INDEX(المنيو!$C$2:$C$500,MATCH($C5451,المنيو!$B$2:$B$500,0)),0))</f>
        <v/>
      </c>
      <c r="F5451" s="107" t="str">
        <f aca="false">IF($C5451="","",$D5451*$E5451)</f>
        <v/>
      </c>
      <c r="G5451" s="107" t="str">
        <f aca="false">IF($C5451="","",$D5451*IFERROR(INDEX('تحليل التكلفة والسعر'!$C$2:$C$700,MATCH($C5451,'تحليل التكلفة والسعر'!$B$2:$B$700,0)),0))</f>
        <v/>
      </c>
    </row>
    <row r="5452" customFormat="false" ht="15" hidden="false" customHeight="false" outlineLevel="0" collapsed="false">
      <c r="A5452" s="103"/>
      <c r="B5452" s="104"/>
      <c r="C5452" s="104"/>
      <c r="E5452" s="107" t="str">
        <f aca="false">IF($C5452="","",IFERROR(INDEX(المنيو!$C$2:$C$500,MATCH($C5452,المنيو!$B$2:$B$500,0)),0))</f>
        <v/>
      </c>
      <c r="F5452" s="107" t="str">
        <f aca="false">IF($C5452="","",$D5452*$E5452)</f>
        <v/>
      </c>
      <c r="G5452" s="107" t="str">
        <f aca="false">IF($C5452="","",$D5452*IFERROR(INDEX('تحليل التكلفة والسعر'!$C$2:$C$700,MATCH($C5452,'تحليل التكلفة والسعر'!$B$2:$B$700,0)),0))</f>
        <v/>
      </c>
    </row>
    <row r="5453" customFormat="false" ht="15" hidden="false" customHeight="false" outlineLevel="0" collapsed="false">
      <c r="A5453" s="103"/>
      <c r="B5453" s="104"/>
      <c r="C5453" s="104"/>
      <c r="E5453" s="107" t="str">
        <f aca="false">IF($C5453="","",IFERROR(INDEX(المنيو!$C$2:$C$500,MATCH($C5453,المنيو!$B$2:$B$500,0)),0))</f>
        <v/>
      </c>
      <c r="F5453" s="107" t="str">
        <f aca="false">IF($C5453="","",$D5453*$E5453)</f>
        <v/>
      </c>
      <c r="G5453" s="107" t="str">
        <f aca="false">IF($C5453="","",$D5453*IFERROR(INDEX('تحليل التكلفة والسعر'!$C$2:$C$700,MATCH($C5453,'تحليل التكلفة والسعر'!$B$2:$B$700,0)),0))</f>
        <v/>
      </c>
    </row>
    <row r="5454" customFormat="false" ht="15" hidden="false" customHeight="false" outlineLevel="0" collapsed="false">
      <c r="A5454" s="103"/>
      <c r="B5454" s="104"/>
      <c r="C5454" s="104"/>
      <c r="E5454" s="107" t="str">
        <f aca="false">IF($C5454="","",IFERROR(INDEX(المنيو!$C$2:$C$500,MATCH($C5454,المنيو!$B$2:$B$500,0)),0))</f>
        <v/>
      </c>
      <c r="F5454" s="107" t="str">
        <f aca="false">IF($C5454="","",$D5454*$E5454)</f>
        <v/>
      </c>
      <c r="G5454" s="107" t="str">
        <f aca="false">IF($C5454="","",$D5454*IFERROR(INDEX('تحليل التكلفة والسعر'!$C$2:$C$700,MATCH($C5454,'تحليل التكلفة والسعر'!$B$2:$B$700,0)),0))</f>
        <v/>
      </c>
    </row>
    <row r="5455" customFormat="false" ht="15" hidden="false" customHeight="false" outlineLevel="0" collapsed="false">
      <c r="A5455" s="103"/>
      <c r="B5455" s="104"/>
      <c r="C5455" s="104"/>
      <c r="E5455" s="107" t="str">
        <f aca="false">IF($C5455="","",IFERROR(INDEX(المنيو!$C$2:$C$500,MATCH($C5455,المنيو!$B$2:$B$500,0)),0))</f>
        <v/>
      </c>
      <c r="F5455" s="107" t="str">
        <f aca="false">IF($C5455="","",$D5455*$E5455)</f>
        <v/>
      </c>
      <c r="G5455" s="107" t="str">
        <f aca="false">IF($C5455="","",$D5455*IFERROR(INDEX('تحليل التكلفة والسعر'!$C$2:$C$700,MATCH($C5455,'تحليل التكلفة والسعر'!$B$2:$B$700,0)),0))</f>
        <v/>
      </c>
    </row>
    <row r="5456" customFormat="false" ht="15" hidden="false" customHeight="false" outlineLevel="0" collapsed="false">
      <c r="A5456" s="103"/>
      <c r="B5456" s="104"/>
      <c r="C5456" s="104"/>
      <c r="E5456" s="107" t="str">
        <f aca="false">IF($C5456="","",IFERROR(INDEX(المنيو!$C$2:$C$500,MATCH($C5456,المنيو!$B$2:$B$500,0)),0))</f>
        <v/>
      </c>
      <c r="F5456" s="107" t="str">
        <f aca="false">IF($C5456="","",$D5456*$E5456)</f>
        <v/>
      </c>
      <c r="G5456" s="107" t="str">
        <f aca="false">IF($C5456="","",$D5456*IFERROR(INDEX('تحليل التكلفة والسعر'!$C$2:$C$700,MATCH($C5456,'تحليل التكلفة والسعر'!$B$2:$B$700,0)),0))</f>
        <v/>
      </c>
    </row>
    <row r="5457" customFormat="false" ht="15" hidden="false" customHeight="false" outlineLevel="0" collapsed="false">
      <c r="A5457" s="103"/>
      <c r="B5457" s="104"/>
      <c r="C5457" s="104"/>
      <c r="E5457" s="107" t="str">
        <f aca="false">IF($C5457="","",IFERROR(INDEX(المنيو!$C$2:$C$500,MATCH($C5457,المنيو!$B$2:$B$500,0)),0))</f>
        <v/>
      </c>
      <c r="F5457" s="107" t="str">
        <f aca="false">IF($C5457="","",$D5457*$E5457)</f>
        <v/>
      </c>
      <c r="G5457" s="107" t="str">
        <f aca="false">IF($C5457="","",$D5457*IFERROR(INDEX('تحليل التكلفة والسعر'!$C$2:$C$700,MATCH($C5457,'تحليل التكلفة والسعر'!$B$2:$B$700,0)),0))</f>
        <v/>
      </c>
    </row>
    <row r="5458" customFormat="false" ht="15" hidden="false" customHeight="false" outlineLevel="0" collapsed="false">
      <c r="A5458" s="103"/>
      <c r="B5458" s="104"/>
      <c r="C5458" s="104"/>
      <c r="E5458" s="107" t="str">
        <f aca="false">IF($C5458="","",IFERROR(INDEX(المنيو!$C$2:$C$500,MATCH($C5458,المنيو!$B$2:$B$500,0)),0))</f>
        <v/>
      </c>
      <c r="F5458" s="107" t="str">
        <f aca="false">IF($C5458="","",$D5458*$E5458)</f>
        <v/>
      </c>
      <c r="G5458" s="107" t="str">
        <f aca="false">IF($C5458="","",$D5458*IFERROR(INDEX('تحليل التكلفة والسعر'!$C$2:$C$700,MATCH($C5458,'تحليل التكلفة والسعر'!$B$2:$B$700,0)),0))</f>
        <v/>
      </c>
    </row>
    <row r="5459" customFormat="false" ht="15" hidden="false" customHeight="false" outlineLevel="0" collapsed="false">
      <c r="A5459" s="103"/>
      <c r="B5459" s="104"/>
      <c r="C5459" s="104"/>
      <c r="E5459" s="107" t="str">
        <f aca="false">IF($C5459="","",IFERROR(INDEX(المنيو!$C$2:$C$500,MATCH($C5459,المنيو!$B$2:$B$500,0)),0))</f>
        <v/>
      </c>
      <c r="F5459" s="107" t="str">
        <f aca="false">IF($C5459="","",$D5459*$E5459)</f>
        <v/>
      </c>
      <c r="G5459" s="107" t="str">
        <f aca="false">IF($C5459="","",$D5459*IFERROR(INDEX('تحليل التكلفة والسعر'!$C$2:$C$700,MATCH($C5459,'تحليل التكلفة والسعر'!$B$2:$B$700,0)),0))</f>
        <v/>
      </c>
    </row>
    <row r="5460" customFormat="false" ht="15" hidden="false" customHeight="false" outlineLevel="0" collapsed="false">
      <c r="A5460" s="103"/>
      <c r="B5460" s="104"/>
      <c r="C5460" s="104"/>
      <c r="E5460" s="107" t="str">
        <f aca="false">IF($C5460="","",IFERROR(INDEX(المنيو!$C$2:$C$500,MATCH($C5460,المنيو!$B$2:$B$500,0)),0))</f>
        <v/>
      </c>
      <c r="F5460" s="107" t="str">
        <f aca="false">IF($C5460="","",$D5460*$E5460)</f>
        <v/>
      </c>
      <c r="G5460" s="107" t="str">
        <f aca="false">IF($C5460="","",$D5460*IFERROR(INDEX('تحليل التكلفة والسعر'!$C$2:$C$700,MATCH($C5460,'تحليل التكلفة والسعر'!$B$2:$B$700,0)),0))</f>
        <v/>
      </c>
    </row>
    <row r="5461" customFormat="false" ht="15" hidden="false" customHeight="false" outlineLevel="0" collapsed="false">
      <c r="A5461" s="103"/>
      <c r="B5461" s="104"/>
      <c r="C5461" s="104"/>
      <c r="E5461" s="107" t="str">
        <f aca="false">IF($C5461="","",IFERROR(INDEX(المنيو!$C$2:$C$500,MATCH($C5461,المنيو!$B$2:$B$500,0)),0))</f>
        <v/>
      </c>
      <c r="F5461" s="107" t="str">
        <f aca="false">IF($C5461="","",$D5461*$E5461)</f>
        <v/>
      </c>
      <c r="G5461" s="107" t="str">
        <f aca="false">IF($C5461="","",$D5461*IFERROR(INDEX('تحليل التكلفة والسعر'!$C$2:$C$700,MATCH($C5461,'تحليل التكلفة والسعر'!$B$2:$B$700,0)),0))</f>
        <v/>
      </c>
    </row>
    <row r="5462" customFormat="false" ht="15" hidden="false" customHeight="false" outlineLevel="0" collapsed="false">
      <c r="A5462" s="103"/>
      <c r="B5462" s="104"/>
      <c r="C5462" s="104"/>
      <c r="E5462" s="107" t="str">
        <f aca="false">IF($C5462="","",IFERROR(INDEX(المنيو!$C$2:$C$500,MATCH($C5462,المنيو!$B$2:$B$500,0)),0))</f>
        <v/>
      </c>
      <c r="F5462" s="107" t="str">
        <f aca="false">IF($C5462="","",$D5462*$E5462)</f>
        <v/>
      </c>
      <c r="G5462" s="107" t="str">
        <f aca="false">IF($C5462="","",$D5462*IFERROR(INDEX('تحليل التكلفة والسعر'!$C$2:$C$700,MATCH($C5462,'تحليل التكلفة والسعر'!$B$2:$B$700,0)),0))</f>
        <v/>
      </c>
    </row>
    <row r="5463" customFormat="false" ht="15" hidden="false" customHeight="false" outlineLevel="0" collapsed="false">
      <c r="A5463" s="103"/>
      <c r="B5463" s="104"/>
      <c r="C5463" s="104"/>
      <c r="E5463" s="107" t="str">
        <f aca="false">IF($C5463="","",IFERROR(INDEX(المنيو!$C$2:$C$500,MATCH($C5463,المنيو!$B$2:$B$500,0)),0))</f>
        <v/>
      </c>
      <c r="F5463" s="107" t="str">
        <f aca="false">IF($C5463="","",$D5463*$E5463)</f>
        <v/>
      </c>
      <c r="G5463" s="107" t="str">
        <f aca="false">IF($C5463="","",$D5463*IFERROR(INDEX('تحليل التكلفة والسعر'!$C$2:$C$700,MATCH($C5463,'تحليل التكلفة والسعر'!$B$2:$B$700,0)),0))</f>
        <v/>
      </c>
    </row>
    <row r="5464" customFormat="false" ht="15" hidden="false" customHeight="false" outlineLevel="0" collapsed="false">
      <c r="A5464" s="103"/>
      <c r="B5464" s="104"/>
      <c r="C5464" s="104"/>
      <c r="E5464" s="107" t="str">
        <f aca="false">IF($C5464="","",IFERROR(INDEX(المنيو!$C$2:$C$500,MATCH($C5464,المنيو!$B$2:$B$500,0)),0))</f>
        <v/>
      </c>
      <c r="F5464" s="107" t="str">
        <f aca="false">IF($C5464="","",$D5464*$E5464)</f>
        <v/>
      </c>
      <c r="G5464" s="107" t="str">
        <f aca="false">IF($C5464="","",$D5464*IFERROR(INDEX('تحليل التكلفة والسعر'!$C$2:$C$700,MATCH($C5464,'تحليل التكلفة والسعر'!$B$2:$B$700,0)),0))</f>
        <v/>
      </c>
    </row>
    <row r="5465" customFormat="false" ht="15" hidden="false" customHeight="false" outlineLevel="0" collapsed="false">
      <c r="A5465" s="103"/>
      <c r="B5465" s="104"/>
      <c r="C5465" s="104"/>
      <c r="E5465" s="107" t="str">
        <f aca="false">IF($C5465="","",IFERROR(INDEX(المنيو!$C$2:$C$500,MATCH($C5465,المنيو!$B$2:$B$500,0)),0))</f>
        <v/>
      </c>
      <c r="F5465" s="107" t="str">
        <f aca="false">IF($C5465="","",$D5465*$E5465)</f>
        <v/>
      </c>
      <c r="G5465" s="107" t="str">
        <f aca="false">IF($C5465="","",$D5465*IFERROR(INDEX('تحليل التكلفة والسعر'!$C$2:$C$700,MATCH($C5465,'تحليل التكلفة والسعر'!$B$2:$B$700,0)),0))</f>
        <v/>
      </c>
    </row>
    <row r="5466" customFormat="false" ht="15" hidden="false" customHeight="false" outlineLevel="0" collapsed="false">
      <c r="A5466" s="103"/>
      <c r="B5466" s="104"/>
      <c r="C5466" s="104"/>
      <c r="E5466" s="107" t="str">
        <f aca="false">IF($C5466="","",IFERROR(INDEX(المنيو!$C$2:$C$500,MATCH($C5466,المنيو!$B$2:$B$500,0)),0))</f>
        <v/>
      </c>
      <c r="F5466" s="107" t="str">
        <f aca="false">IF($C5466="","",$D5466*$E5466)</f>
        <v/>
      </c>
      <c r="G5466" s="107" t="str">
        <f aca="false">IF($C5466="","",$D5466*IFERROR(INDEX('تحليل التكلفة والسعر'!$C$2:$C$700,MATCH($C5466,'تحليل التكلفة والسعر'!$B$2:$B$700,0)),0))</f>
        <v/>
      </c>
    </row>
    <row r="5467" customFormat="false" ht="15" hidden="false" customHeight="false" outlineLevel="0" collapsed="false">
      <c r="A5467" s="103"/>
      <c r="B5467" s="104"/>
      <c r="C5467" s="104"/>
      <c r="E5467" s="107" t="str">
        <f aca="false">IF($C5467="","",IFERROR(INDEX(المنيو!$C$2:$C$500,MATCH($C5467,المنيو!$B$2:$B$500,0)),0))</f>
        <v/>
      </c>
      <c r="F5467" s="107" t="str">
        <f aca="false">IF($C5467="","",$D5467*$E5467)</f>
        <v/>
      </c>
      <c r="G5467" s="107" t="str">
        <f aca="false">IF($C5467="","",$D5467*IFERROR(INDEX('تحليل التكلفة والسعر'!$C$2:$C$700,MATCH($C5467,'تحليل التكلفة والسعر'!$B$2:$B$700,0)),0))</f>
        <v/>
      </c>
    </row>
    <row r="5468" customFormat="false" ht="15" hidden="false" customHeight="false" outlineLevel="0" collapsed="false">
      <c r="A5468" s="103"/>
      <c r="B5468" s="104"/>
      <c r="C5468" s="104"/>
      <c r="E5468" s="107" t="str">
        <f aca="false">IF($C5468="","",IFERROR(INDEX(المنيو!$C$2:$C$500,MATCH($C5468,المنيو!$B$2:$B$500,0)),0))</f>
        <v/>
      </c>
      <c r="F5468" s="107" t="str">
        <f aca="false">IF($C5468="","",$D5468*$E5468)</f>
        <v/>
      </c>
      <c r="G5468" s="107" t="str">
        <f aca="false">IF($C5468="","",$D5468*IFERROR(INDEX('تحليل التكلفة والسعر'!$C$2:$C$700,MATCH($C5468,'تحليل التكلفة والسعر'!$B$2:$B$700,0)),0))</f>
        <v/>
      </c>
    </row>
    <row r="5469" customFormat="false" ht="15" hidden="false" customHeight="false" outlineLevel="0" collapsed="false">
      <c r="A5469" s="103"/>
      <c r="B5469" s="104"/>
      <c r="C5469" s="104"/>
      <c r="E5469" s="107" t="str">
        <f aca="false">IF($C5469="","",IFERROR(INDEX(المنيو!$C$2:$C$500,MATCH($C5469,المنيو!$B$2:$B$500,0)),0))</f>
        <v/>
      </c>
      <c r="F5469" s="107" t="str">
        <f aca="false">IF($C5469="","",$D5469*$E5469)</f>
        <v/>
      </c>
      <c r="G5469" s="107" t="str">
        <f aca="false">IF($C5469="","",$D5469*IFERROR(INDEX('تحليل التكلفة والسعر'!$C$2:$C$700,MATCH($C5469,'تحليل التكلفة والسعر'!$B$2:$B$700,0)),0))</f>
        <v/>
      </c>
    </row>
    <row r="5470" customFormat="false" ht="15" hidden="false" customHeight="false" outlineLevel="0" collapsed="false">
      <c r="A5470" s="103"/>
      <c r="B5470" s="104"/>
      <c r="C5470" s="104"/>
      <c r="E5470" s="107" t="str">
        <f aca="false">IF($C5470="","",IFERROR(INDEX(المنيو!$C$2:$C$500,MATCH($C5470,المنيو!$B$2:$B$500,0)),0))</f>
        <v/>
      </c>
      <c r="F5470" s="107" t="str">
        <f aca="false">IF($C5470="","",$D5470*$E5470)</f>
        <v/>
      </c>
      <c r="G5470" s="107" t="str">
        <f aca="false">IF($C5470="","",$D5470*IFERROR(INDEX('تحليل التكلفة والسعر'!$C$2:$C$700,MATCH($C5470,'تحليل التكلفة والسعر'!$B$2:$B$700,0)),0))</f>
        <v/>
      </c>
    </row>
    <row r="5471" customFormat="false" ht="15" hidden="false" customHeight="false" outlineLevel="0" collapsed="false">
      <c r="A5471" s="103"/>
      <c r="B5471" s="104"/>
      <c r="C5471" s="104"/>
      <c r="E5471" s="107" t="str">
        <f aca="false">IF($C5471="","",IFERROR(INDEX(المنيو!$C$2:$C$500,MATCH($C5471,المنيو!$B$2:$B$500,0)),0))</f>
        <v/>
      </c>
      <c r="F5471" s="107" t="str">
        <f aca="false">IF($C5471="","",$D5471*$E5471)</f>
        <v/>
      </c>
      <c r="G5471" s="107" t="str">
        <f aca="false">IF($C5471="","",$D5471*IFERROR(INDEX('تحليل التكلفة والسعر'!$C$2:$C$700,MATCH($C5471,'تحليل التكلفة والسعر'!$B$2:$B$700,0)),0))</f>
        <v/>
      </c>
    </row>
    <row r="5472" customFormat="false" ht="15" hidden="false" customHeight="false" outlineLevel="0" collapsed="false">
      <c r="A5472" s="103"/>
      <c r="B5472" s="104"/>
      <c r="C5472" s="104"/>
      <c r="E5472" s="107" t="str">
        <f aca="false">IF($C5472="","",IFERROR(INDEX(المنيو!$C$2:$C$500,MATCH($C5472,المنيو!$B$2:$B$500,0)),0))</f>
        <v/>
      </c>
      <c r="F5472" s="107" t="str">
        <f aca="false">IF($C5472="","",$D5472*$E5472)</f>
        <v/>
      </c>
      <c r="G5472" s="107" t="str">
        <f aca="false">IF($C5472="","",$D5472*IFERROR(INDEX('تحليل التكلفة والسعر'!$C$2:$C$700,MATCH($C5472,'تحليل التكلفة والسعر'!$B$2:$B$700,0)),0))</f>
        <v/>
      </c>
    </row>
    <row r="5473" customFormat="false" ht="15" hidden="false" customHeight="false" outlineLevel="0" collapsed="false">
      <c r="A5473" s="103"/>
      <c r="B5473" s="104"/>
      <c r="C5473" s="104"/>
      <c r="E5473" s="107" t="str">
        <f aca="false">IF($C5473="","",IFERROR(INDEX(المنيو!$C$2:$C$500,MATCH($C5473,المنيو!$B$2:$B$500,0)),0))</f>
        <v/>
      </c>
      <c r="F5473" s="107" t="str">
        <f aca="false">IF($C5473="","",$D5473*$E5473)</f>
        <v/>
      </c>
      <c r="G5473" s="107" t="str">
        <f aca="false">IF($C5473="","",$D5473*IFERROR(INDEX('تحليل التكلفة والسعر'!$C$2:$C$700,MATCH($C5473,'تحليل التكلفة والسعر'!$B$2:$B$700,0)),0))</f>
        <v/>
      </c>
    </row>
    <row r="5474" customFormat="false" ht="15" hidden="false" customHeight="false" outlineLevel="0" collapsed="false">
      <c r="A5474" s="103"/>
      <c r="B5474" s="104"/>
      <c r="C5474" s="104"/>
      <c r="E5474" s="107" t="str">
        <f aca="false">IF($C5474="","",IFERROR(INDEX(المنيو!$C$2:$C$500,MATCH($C5474,المنيو!$B$2:$B$500,0)),0))</f>
        <v/>
      </c>
      <c r="F5474" s="107" t="str">
        <f aca="false">IF($C5474="","",$D5474*$E5474)</f>
        <v/>
      </c>
      <c r="G5474" s="107" t="str">
        <f aca="false">IF($C5474="","",$D5474*IFERROR(INDEX('تحليل التكلفة والسعر'!$C$2:$C$700,MATCH($C5474,'تحليل التكلفة والسعر'!$B$2:$B$700,0)),0))</f>
        <v/>
      </c>
    </row>
    <row r="5475" customFormat="false" ht="15" hidden="false" customHeight="false" outlineLevel="0" collapsed="false">
      <c r="A5475" s="103"/>
      <c r="B5475" s="104"/>
      <c r="C5475" s="104"/>
      <c r="E5475" s="107" t="str">
        <f aca="false">IF($C5475="","",IFERROR(INDEX(المنيو!$C$2:$C$500,MATCH($C5475,المنيو!$B$2:$B$500,0)),0))</f>
        <v/>
      </c>
      <c r="F5475" s="107" t="str">
        <f aca="false">IF($C5475="","",$D5475*$E5475)</f>
        <v/>
      </c>
      <c r="G5475" s="107" t="str">
        <f aca="false">IF($C5475="","",$D5475*IFERROR(INDEX('تحليل التكلفة والسعر'!$C$2:$C$700,MATCH($C5475,'تحليل التكلفة والسعر'!$B$2:$B$700,0)),0))</f>
        <v/>
      </c>
    </row>
    <row r="5476" customFormat="false" ht="15" hidden="false" customHeight="false" outlineLevel="0" collapsed="false">
      <c r="A5476" s="103"/>
      <c r="B5476" s="104"/>
      <c r="C5476" s="104"/>
      <c r="E5476" s="107" t="str">
        <f aca="false">IF($C5476="","",IFERROR(INDEX(المنيو!$C$2:$C$500,MATCH($C5476,المنيو!$B$2:$B$500,0)),0))</f>
        <v/>
      </c>
      <c r="F5476" s="107" t="str">
        <f aca="false">IF($C5476="","",$D5476*$E5476)</f>
        <v/>
      </c>
      <c r="G5476" s="107" t="str">
        <f aca="false">IF($C5476="","",$D5476*IFERROR(INDEX('تحليل التكلفة والسعر'!$C$2:$C$700,MATCH($C5476,'تحليل التكلفة والسعر'!$B$2:$B$700,0)),0))</f>
        <v/>
      </c>
    </row>
    <row r="5477" customFormat="false" ht="15" hidden="false" customHeight="false" outlineLevel="0" collapsed="false">
      <c r="A5477" s="103"/>
      <c r="B5477" s="104"/>
      <c r="C5477" s="104"/>
      <c r="E5477" s="107" t="str">
        <f aca="false">IF($C5477="","",IFERROR(INDEX(المنيو!$C$2:$C$500,MATCH($C5477,المنيو!$B$2:$B$500,0)),0))</f>
        <v/>
      </c>
      <c r="F5477" s="107" t="str">
        <f aca="false">IF($C5477="","",$D5477*$E5477)</f>
        <v/>
      </c>
      <c r="G5477" s="107" t="str">
        <f aca="false">IF($C5477="","",$D5477*IFERROR(INDEX('تحليل التكلفة والسعر'!$C$2:$C$700,MATCH($C5477,'تحليل التكلفة والسعر'!$B$2:$B$700,0)),0))</f>
        <v/>
      </c>
    </row>
    <row r="5478" customFormat="false" ht="15" hidden="false" customHeight="false" outlineLevel="0" collapsed="false">
      <c r="A5478" s="103"/>
      <c r="B5478" s="104"/>
      <c r="C5478" s="104"/>
      <c r="E5478" s="107" t="str">
        <f aca="false">IF($C5478="","",IFERROR(INDEX(المنيو!$C$2:$C$500,MATCH($C5478,المنيو!$B$2:$B$500,0)),0))</f>
        <v/>
      </c>
      <c r="F5478" s="107" t="str">
        <f aca="false">IF($C5478="","",$D5478*$E5478)</f>
        <v/>
      </c>
      <c r="G5478" s="107" t="str">
        <f aca="false">IF($C5478="","",$D5478*IFERROR(INDEX('تحليل التكلفة والسعر'!$C$2:$C$700,MATCH($C5478,'تحليل التكلفة والسعر'!$B$2:$B$700,0)),0))</f>
        <v/>
      </c>
    </row>
    <row r="5479" customFormat="false" ht="15" hidden="false" customHeight="false" outlineLevel="0" collapsed="false">
      <c r="A5479" s="103"/>
      <c r="B5479" s="104"/>
      <c r="C5479" s="104"/>
      <c r="E5479" s="107" t="str">
        <f aca="false">IF($C5479="","",IFERROR(INDEX(المنيو!$C$2:$C$500,MATCH($C5479,المنيو!$B$2:$B$500,0)),0))</f>
        <v/>
      </c>
      <c r="F5479" s="107" t="str">
        <f aca="false">IF($C5479="","",$D5479*$E5479)</f>
        <v/>
      </c>
      <c r="G5479" s="107" t="str">
        <f aca="false">IF($C5479="","",$D5479*IFERROR(INDEX('تحليل التكلفة والسعر'!$C$2:$C$700,MATCH($C5479,'تحليل التكلفة والسعر'!$B$2:$B$700,0)),0))</f>
        <v/>
      </c>
    </row>
    <row r="5480" customFormat="false" ht="15" hidden="false" customHeight="false" outlineLevel="0" collapsed="false">
      <c r="A5480" s="103"/>
      <c r="B5480" s="104"/>
      <c r="C5480" s="104"/>
      <c r="E5480" s="107" t="str">
        <f aca="false">IF($C5480="","",IFERROR(INDEX(المنيو!$C$2:$C$500,MATCH($C5480,المنيو!$B$2:$B$500,0)),0))</f>
        <v/>
      </c>
      <c r="F5480" s="107" t="str">
        <f aca="false">IF($C5480="","",$D5480*$E5480)</f>
        <v/>
      </c>
      <c r="G5480" s="107" t="str">
        <f aca="false">IF($C5480="","",$D5480*IFERROR(INDEX('تحليل التكلفة والسعر'!$C$2:$C$700,MATCH($C5480,'تحليل التكلفة والسعر'!$B$2:$B$700,0)),0))</f>
        <v/>
      </c>
    </row>
    <row r="5481" customFormat="false" ht="15" hidden="false" customHeight="false" outlineLevel="0" collapsed="false">
      <c r="A5481" s="103"/>
      <c r="B5481" s="104"/>
      <c r="C5481" s="104"/>
      <c r="E5481" s="107" t="str">
        <f aca="false">IF($C5481="","",IFERROR(INDEX(المنيو!$C$2:$C$500,MATCH($C5481,المنيو!$B$2:$B$500,0)),0))</f>
        <v/>
      </c>
      <c r="F5481" s="107" t="str">
        <f aca="false">IF($C5481="","",$D5481*$E5481)</f>
        <v/>
      </c>
      <c r="G5481" s="107" t="str">
        <f aca="false">IF($C5481="","",$D5481*IFERROR(INDEX('تحليل التكلفة والسعر'!$C$2:$C$700,MATCH($C5481,'تحليل التكلفة والسعر'!$B$2:$B$700,0)),0))</f>
        <v/>
      </c>
    </row>
    <row r="5482" customFormat="false" ht="15" hidden="false" customHeight="false" outlineLevel="0" collapsed="false">
      <c r="A5482" s="103"/>
      <c r="B5482" s="104"/>
      <c r="C5482" s="104"/>
      <c r="E5482" s="107" t="str">
        <f aca="false">IF($C5482="","",IFERROR(INDEX(المنيو!$C$2:$C$500,MATCH($C5482,المنيو!$B$2:$B$500,0)),0))</f>
        <v/>
      </c>
      <c r="F5482" s="107" t="str">
        <f aca="false">IF($C5482="","",$D5482*$E5482)</f>
        <v/>
      </c>
      <c r="G5482" s="107" t="str">
        <f aca="false">IF($C5482="","",$D5482*IFERROR(INDEX('تحليل التكلفة والسعر'!$C$2:$C$700,MATCH($C5482,'تحليل التكلفة والسعر'!$B$2:$B$700,0)),0))</f>
        <v/>
      </c>
    </row>
    <row r="5483" customFormat="false" ht="15" hidden="false" customHeight="false" outlineLevel="0" collapsed="false">
      <c r="A5483" s="103"/>
      <c r="B5483" s="104"/>
      <c r="C5483" s="104"/>
      <c r="E5483" s="107" t="str">
        <f aca="false">IF($C5483="","",IFERROR(INDEX(المنيو!$C$2:$C$500,MATCH($C5483,المنيو!$B$2:$B$500,0)),0))</f>
        <v/>
      </c>
      <c r="F5483" s="107" t="str">
        <f aca="false">IF($C5483="","",$D5483*$E5483)</f>
        <v/>
      </c>
      <c r="G5483" s="107" t="str">
        <f aca="false">IF($C5483="","",$D5483*IFERROR(INDEX('تحليل التكلفة والسعر'!$C$2:$C$700,MATCH($C5483,'تحليل التكلفة والسعر'!$B$2:$B$700,0)),0))</f>
        <v/>
      </c>
    </row>
    <row r="5484" customFormat="false" ht="15" hidden="false" customHeight="false" outlineLevel="0" collapsed="false">
      <c r="A5484" s="103"/>
      <c r="B5484" s="104"/>
      <c r="C5484" s="104"/>
      <c r="E5484" s="107" t="str">
        <f aca="false">IF($C5484="","",IFERROR(INDEX(المنيو!$C$2:$C$500,MATCH($C5484,المنيو!$B$2:$B$500,0)),0))</f>
        <v/>
      </c>
      <c r="F5484" s="107" t="str">
        <f aca="false">IF($C5484="","",$D5484*$E5484)</f>
        <v/>
      </c>
      <c r="G5484" s="107" t="str">
        <f aca="false">IF($C5484="","",$D5484*IFERROR(INDEX('تحليل التكلفة والسعر'!$C$2:$C$700,MATCH($C5484,'تحليل التكلفة والسعر'!$B$2:$B$700,0)),0))</f>
        <v/>
      </c>
    </row>
    <row r="5485" customFormat="false" ht="15" hidden="false" customHeight="false" outlineLevel="0" collapsed="false">
      <c r="A5485" s="103"/>
      <c r="B5485" s="104"/>
      <c r="C5485" s="104"/>
      <c r="E5485" s="107" t="str">
        <f aca="false">IF($C5485="","",IFERROR(INDEX(المنيو!$C$2:$C$500,MATCH($C5485,المنيو!$B$2:$B$500,0)),0))</f>
        <v/>
      </c>
      <c r="F5485" s="107" t="str">
        <f aca="false">IF($C5485="","",$D5485*$E5485)</f>
        <v/>
      </c>
      <c r="G5485" s="107" t="str">
        <f aca="false">IF($C5485="","",$D5485*IFERROR(INDEX('تحليل التكلفة والسعر'!$C$2:$C$700,MATCH($C5485,'تحليل التكلفة والسعر'!$B$2:$B$700,0)),0))</f>
        <v/>
      </c>
    </row>
    <row r="5486" customFormat="false" ht="15" hidden="false" customHeight="false" outlineLevel="0" collapsed="false">
      <c r="A5486" s="103"/>
      <c r="B5486" s="104"/>
      <c r="C5486" s="104"/>
      <c r="E5486" s="107" t="str">
        <f aca="false">IF($C5486="","",IFERROR(INDEX(المنيو!$C$2:$C$500,MATCH($C5486,المنيو!$B$2:$B$500,0)),0))</f>
        <v/>
      </c>
      <c r="F5486" s="107" t="str">
        <f aca="false">IF($C5486="","",$D5486*$E5486)</f>
        <v/>
      </c>
      <c r="G5486" s="107" t="str">
        <f aca="false">IF($C5486="","",$D5486*IFERROR(INDEX('تحليل التكلفة والسعر'!$C$2:$C$700,MATCH($C5486,'تحليل التكلفة والسعر'!$B$2:$B$700,0)),0))</f>
        <v/>
      </c>
    </row>
    <row r="5487" customFormat="false" ht="15" hidden="false" customHeight="false" outlineLevel="0" collapsed="false">
      <c r="A5487" s="103"/>
      <c r="B5487" s="104"/>
      <c r="C5487" s="104"/>
      <c r="E5487" s="107" t="str">
        <f aca="false">IF($C5487="","",IFERROR(INDEX(المنيو!$C$2:$C$500,MATCH($C5487,المنيو!$B$2:$B$500,0)),0))</f>
        <v/>
      </c>
      <c r="F5487" s="107" t="str">
        <f aca="false">IF($C5487="","",$D5487*$E5487)</f>
        <v/>
      </c>
      <c r="G5487" s="107" t="str">
        <f aca="false">IF($C5487="","",$D5487*IFERROR(INDEX('تحليل التكلفة والسعر'!$C$2:$C$700,MATCH($C5487,'تحليل التكلفة والسعر'!$B$2:$B$700,0)),0))</f>
        <v/>
      </c>
    </row>
    <row r="5488" customFormat="false" ht="15" hidden="false" customHeight="false" outlineLevel="0" collapsed="false">
      <c r="A5488" s="103"/>
      <c r="B5488" s="104"/>
      <c r="C5488" s="104"/>
      <c r="E5488" s="107" t="str">
        <f aca="false">IF($C5488="","",IFERROR(INDEX(المنيو!$C$2:$C$500,MATCH($C5488,المنيو!$B$2:$B$500,0)),0))</f>
        <v/>
      </c>
      <c r="F5488" s="107" t="str">
        <f aca="false">IF($C5488="","",$D5488*$E5488)</f>
        <v/>
      </c>
      <c r="G5488" s="107" t="str">
        <f aca="false">IF($C5488="","",$D5488*IFERROR(INDEX('تحليل التكلفة والسعر'!$C$2:$C$700,MATCH($C5488,'تحليل التكلفة والسعر'!$B$2:$B$700,0)),0))</f>
        <v/>
      </c>
    </row>
    <row r="5489" customFormat="false" ht="15" hidden="false" customHeight="false" outlineLevel="0" collapsed="false">
      <c r="A5489" s="103"/>
      <c r="B5489" s="104"/>
      <c r="C5489" s="104"/>
      <c r="E5489" s="107" t="str">
        <f aca="false">IF($C5489="","",IFERROR(INDEX(المنيو!$C$2:$C$500,MATCH($C5489,المنيو!$B$2:$B$500,0)),0))</f>
        <v/>
      </c>
      <c r="F5489" s="107" t="str">
        <f aca="false">IF($C5489="","",$D5489*$E5489)</f>
        <v/>
      </c>
      <c r="G5489" s="107" t="str">
        <f aca="false">IF($C5489="","",$D5489*IFERROR(INDEX('تحليل التكلفة والسعر'!$C$2:$C$700,MATCH($C5489,'تحليل التكلفة والسعر'!$B$2:$B$700,0)),0))</f>
        <v/>
      </c>
    </row>
    <row r="5490" customFormat="false" ht="15" hidden="false" customHeight="false" outlineLevel="0" collapsed="false">
      <c r="A5490" s="103"/>
      <c r="B5490" s="104"/>
      <c r="C5490" s="104"/>
      <c r="E5490" s="107" t="str">
        <f aca="false">IF($C5490="","",IFERROR(INDEX(المنيو!$C$2:$C$500,MATCH($C5490,المنيو!$B$2:$B$500,0)),0))</f>
        <v/>
      </c>
      <c r="F5490" s="107" t="str">
        <f aca="false">IF($C5490="","",$D5490*$E5490)</f>
        <v/>
      </c>
      <c r="G5490" s="107" t="str">
        <f aca="false">IF($C5490="","",$D5490*IFERROR(INDEX('تحليل التكلفة والسعر'!$C$2:$C$700,MATCH($C5490,'تحليل التكلفة والسعر'!$B$2:$B$700,0)),0))</f>
        <v/>
      </c>
    </row>
    <row r="5491" customFormat="false" ht="15" hidden="false" customHeight="false" outlineLevel="0" collapsed="false">
      <c r="A5491" s="103"/>
      <c r="B5491" s="104"/>
      <c r="C5491" s="104"/>
      <c r="E5491" s="107" t="str">
        <f aca="false">IF($C5491="","",IFERROR(INDEX(المنيو!$C$2:$C$500,MATCH($C5491,المنيو!$B$2:$B$500,0)),0))</f>
        <v/>
      </c>
      <c r="F5491" s="107" t="str">
        <f aca="false">IF($C5491="","",$D5491*$E5491)</f>
        <v/>
      </c>
      <c r="G5491" s="107" t="str">
        <f aca="false">IF($C5491="","",$D5491*IFERROR(INDEX('تحليل التكلفة والسعر'!$C$2:$C$700,MATCH($C5491,'تحليل التكلفة والسعر'!$B$2:$B$700,0)),0))</f>
        <v/>
      </c>
    </row>
    <row r="5492" customFormat="false" ht="15" hidden="false" customHeight="false" outlineLevel="0" collapsed="false">
      <c r="A5492" s="103"/>
      <c r="B5492" s="104"/>
      <c r="C5492" s="104"/>
      <c r="E5492" s="107" t="str">
        <f aca="false">IF($C5492="","",IFERROR(INDEX(المنيو!$C$2:$C$500,MATCH($C5492,المنيو!$B$2:$B$500,0)),0))</f>
        <v/>
      </c>
      <c r="F5492" s="107" t="str">
        <f aca="false">IF($C5492="","",$D5492*$E5492)</f>
        <v/>
      </c>
      <c r="G5492" s="107" t="str">
        <f aca="false">IF($C5492="","",$D5492*IFERROR(INDEX('تحليل التكلفة والسعر'!$C$2:$C$700,MATCH($C5492,'تحليل التكلفة والسعر'!$B$2:$B$700,0)),0))</f>
        <v/>
      </c>
    </row>
    <row r="5493" customFormat="false" ht="15" hidden="false" customHeight="false" outlineLevel="0" collapsed="false">
      <c r="A5493" s="103"/>
      <c r="B5493" s="104"/>
      <c r="C5493" s="104"/>
      <c r="E5493" s="107" t="str">
        <f aca="false">IF($C5493="","",IFERROR(INDEX(المنيو!$C$2:$C$500,MATCH($C5493,المنيو!$B$2:$B$500,0)),0))</f>
        <v/>
      </c>
      <c r="F5493" s="107" t="str">
        <f aca="false">IF($C5493="","",$D5493*$E5493)</f>
        <v/>
      </c>
      <c r="G5493" s="107" t="str">
        <f aca="false">IF($C5493="","",$D5493*IFERROR(INDEX('تحليل التكلفة والسعر'!$C$2:$C$700,MATCH($C5493,'تحليل التكلفة والسعر'!$B$2:$B$700,0)),0))</f>
        <v/>
      </c>
    </row>
    <row r="5494" customFormat="false" ht="15" hidden="false" customHeight="false" outlineLevel="0" collapsed="false">
      <c r="A5494" s="103"/>
      <c r="B5494" s="104"/>
      <c r="C5494" s="104"/>
      <c r="E5494" s="107" t="str">
        <f aca="false">IF($C5494="","",IFERROR(INDEX(المنيو!$C$2:$C$500,MATCH($C5494,المنيو!$B$2:$B$500,0)),0))</f>
        <v/>
      </c>
      <c r="F5494" s="107" t="str">
        <f aca="false">IF($C5494="","",$D5494*$E5494)</f>
        <v/>
      </c>
      <c r="G5494" s="107" t="str">
        <f aca="false">IF($C5494="","",$D5494*IFERROR(INDEX('تحليل التكلفة والسعر'!$C$2:$C$700,MATCH($C5494,'تحليل التكلفة والسعر'!$B$2:$B$700,0)),0))</f>
        <v/>
      </c>
    </row>
    <row r="5495" customFormat="false" ht="15" hidden="false" customHeight="false" outlineLevel="0" collapsed="false">
      <c r="A5495" s="103"/>
      <c r="B5495" s="104"/>
      <c r="C5495" s="104"/>
      <c r="E5495" s="107" t="str">
        <f aca="false">IF($C5495="","",IFERROR(INDEX(المنيو!$C$2:$C$500,MATCH($C5495,المنيو!$B$2:$B$500,0)),0))</f>
        <v/>
      </c>
      <c r="F5495" s="107" t="str">
        <f aca="false">IF($C5495="","",$D5495*$E5495)</f>
        <v/>
      </c>
      <c r="G5495" s="107" t="str">
        <f aca="false">IF($C5495="","",$D5495*IFERROR(INDEX('تحليل التكلفة والسعر'!$C$2:$C$700,MATCH($C5495,'تحليل التكلفة والسعر'!$B$2:$B$700,0)),0))</f>
        <v/>
      </c>
    </row>
    <row r="5496" customFormat="false" ht="15" hidden="false" customHeight="false" outlineLevel="0" collapsed="false">
      <c r="A5496" s="103"/>
      <c r="B5496" s="104"/>
      <c r="C5496" s="104"/>
      <c r="E5496" s="107" t="str">
        <f aca="false">IF($C5496="","",IFERROR(INDEX(المنيو!$C$2:$C$500,MATCH($C5496,المنيو!$B$2:$B$500,0)),0))</f>
        <v/>
      </c>
      <c r="F5496" s="107" t="str">
        <f aca="false">IF($C5496="","",$D5496*$E5496)</f>
        <v/>
      </c>
      <c r="G5496" s="107" t="str">
        <f aca="false">IF($C5496="","",$D5496*IFERROR(INDEX('تحليل التكلفة والسعر'!$C$2:$C$700,MATCH($C5496,'تحليل التكلفة والسعر'!$B$2:$B$700,0)),0))</f>
        <v/>
      </c>
    </row>
    <row r="5497" customFormat="false" ht="15" hidden="false" customHeight="false" outlineLevel="0" collapsed="false">
      <c r="A5497" s="103"/>
      <c r="B5497" s="104"/>
      <c r="C5497" s="104"/>
      <c r="E5497" s="107" t="str">
        <f aca="false">IF($C5497="","",IFERROR(INDEX(المنيو!$C$2:$C$500,MATCH($C5497,المنيو!$B$2:$B$500,0)),0))</f>
        <v/>
      </c>
      <c r="F5497" s="107" t="str">
        <f aca="false">IF($C5497="","",$D5497*$E5497)</f>
        <v/>
      </c>
      <c r="G5497" s="107" t="str">
        <f aca="false">IF($C5497="","",$D5497*IFERROR(INDEX('تحليل التكلفة والسعر'!$C$2:$C$700,MATCH($C5497,'تحليل التكلفة والسعر'!$B$2:$B$700,0)),0))</f>
        <v/>
      </c>
    </row>
    <row r="5498" customFormat="false" ht="15" hidden="false" customHeight="false" outlineLevel="0" collapsed="false">
      <c r="A5498" s="103"/>
      <c r="B5498" s="104"/>
      <c r="C5498" s="104"/>
      <c r="E5498" s="107" t="str">
        <f aca="false">IF($C5498="","",IFERROR(INDEX(المنيو!$C$2:$C$500,MATCH($C5498,المنيو!$B$2:$B$500,0)),0))</f>
        <v/>
      </c>
      <c r="F5498" s="107" t="str">
        <f aca="false">IF($C5498="","",$D5498*$E5498)</f>
        <v/>
      </c>
      <c r="G5498" s="107" t="str">
        <f aca="false">IF($C5498="","",$D5498*IFERROR(INDEX('تحليل التكلفة والسعر'!$C$2:$C$700,MATCH($C5498,'تحليل التكلفة والسعر'!$B$2:$B$700,0)),0))</f>
        <v/>
      </c>
    </row>
    <row r="5499" customFormat="false" ht="15" hidden="false" customHeight="false" outlineLevel="0" collapsed="false">
      <c r="A5499" s="103"/>
      <c r="B5499" s="104"/>
      <c r="C5499" s="104"/>
      <c r="E5499" s="107" t="str">
        <f aca="false">IF($C5499="","",IFERROR(INDEX(المنيو!$C$2:$C$500,MATCH($C5499,المنيو!$B$2:$B$500,0)),0))</f>
        <v/>
      </c>
      <c r="F5499" s="107" t="str">
        <f aca="false">IF($C5499="","",$D5499*$E5499)</f>
        <v/>
      </c>
      <c r="G5499" s="107" t="str">
        <f aca="false">IF($C5499="","",$D5499*IFERROR(INDEX('تحليل التكلفة والسعر'!$C$2:$C$700,MATCH($C5499,'تحليل التكلفة والسعر'!$B$2:$B$700,0)),0))</f>
        <v/>
      </c>
    </row>
    <row r="5500" customFormat="false" ht="15" hidden="false" customHeight="false" outlineLevel="0" collapsed="false">
      <c r="A5500" s="103"/>
      <c r="B5500" s="104"/>
      <c r="C5500" s="104"/>
      <c r="E5500" s="107" t="str">
        <f aca="false">IF($C5500="","",IFERROR(INDEX(المنيو!$C$2:$C$500,MATCH($C5500,المنيو!$B$2:$B$500,0)),0))</f>
        <v/>
      </c>
      <c r="F5500" s="107" t="str">
        <f aca="false">IF($C5500="","",$D5500*$E5500)</f>
        <v/>
      </c>
      <c r="G5500" s="107" t="str">
        <f aca="false">IF($C5500="","",$D5500*IFERROR(INDEX('تحليل التكلفة والسعر'!$C$2:$C$700,MATCH($C5500,'تحليل التكلفة والسعر'!$B$2:$B$700,0)),0))</f>
        <v/>
      </c>
    </row>
    <row r="5501" customFormat="false" ht="15" hidden="false" customHeight="false" outlineLevel="0" collapsed="false">
      <c r="A5501" s="103"/>
      <c r="B5501" s="104"/>
      <c r="C5501" s="104"/>
      <c r="E5501" s="107" t="str">
        <f aca="false">IF($C5501="","",IFERROR(INDEX(المنيو!$C$2:$C$500,MATCH($C5501,المنيو!$B$2:$B$500,0)),0))</f>
        <v/>
      </c>
      <c r="F5501" s="107" t="str">
        <f aca="false">IF($C5501="","",$D5501*$E5501)</f>
        <v/>
      </c>
      <c r="G5501" s="107" t="str">
        <f aca="false">IF($C5501="","",$D5501*IFERROR(INDEX('تحليل التكلفة والسعر'!$C$2:$C$700,MATCH($C5501,'تحليل التكلفة والسعر'!$B$2:$B$700,0)),0))</f>
        <v/>
      </c>
    </row>
    <row r="5502" customFormat="false" ht="15" hidden="false" customHeight="false" outlineLevel="0" collapsed="false">
      <c r="A5502" s="103"/>
      <c r="B5502" s="104"/>
      <c r="C5502" s="104"/>
      <c r="E5502" s="107" t="str">
        <f aca="false">IF($C5502="","",IFERROR(INDEX(المنيو!$C$2:$C$500,MATCH($C5502,المنيو!$B$2:$B$500,0)),0))</f>
        <v/>
      </c>
      <c r="F5502" s="107" t="str">
        <f aca="false">IF($C5502="","",$D5502*$E5502)</f>
        <v/>
      </c>
      <c r="G5502" s="107" t="str">
        <f aca="false">IF($C5502="","",$D5502*IFERROR(INDEX('تحليل التكلفة والسعر'!$C$2:$C$700,MATCH($C5502,'تحليل التكلفة والسعر'!$B$2:$B$700,0)),0))</f>
        <v/>
      </c>
    </row>
    <row r="5503" customFormat="false" ht="15" hidden="false" customHeight="false" outlineLevel="0" collapsed="false">
      <c r="A5503" s="103"/>
      <c r="B5503" s="104"/>
      <c r="C5503" s="104"/>
      <c r="E5503" s="107" t="str">
        <f aca="false">IF($C5503="","",IFERROR(INDEX(المنيو!$C$2:$C$500,MATCH($C5503,المنيو!$B$2:$B$500,0)),0))</f>
        <v/>
      </c>
      <c r="F5503" s="107" t="str">
        <f aca="false">IF($C5503="","",$D5503*$E5503)</f>
        <v/>
      </c>
      <c r="G5503" s="107" t="str">
        <f aca="false">IF($C5503="","",$D5503*IFERROR(INDEX('تحليل التكلفة والسعر'!$C$2:$C$700,MATCH($C5503,'تحليل التكلفة والسعر'!$B$2:$B$700,0)),0))</f>
        <v/>
      </c>
    </row>
    <row r="5504" customFormat="false" ht="15" hidden="false" customHeight="false" outlineLevel="0" collapsed="false">
      <c r="A5504" s="103"/>
      <c r="B5504" s="104"/>
      <c r="C5504" s="104"/>
      <c r="E5504" s="107" t="str">
        <f aca="false">IF($C5504="","",IFERROR(INDEX(المنيو!$C$2:$C$500,MATCH($C5504,المنيو!$B$2:$B$500,0)),0))</f>
        <v/>
      </c>
      <c r="F5504" s="107" t="str">
        <f aca="false">IF($C5504="","",$D5504*$E5504)</f>
        <v/>
      </c>
      <c r="G5504" s="107" t="str">
        <f aca="false">IF($C5504="","",$D5504*IFERROR(INDEX('تحليل التكلفة والسعر'!$C$2:$C$700,MATCH($C5504,'تحليل التكلفة والسعر'!$B$2:$B$700,0)),0))</f>
        <v/>
      </c>
    </row>
    <row r="5505" customFormat="false" ht="15" hidden="false" customHeight="false" outlineLevel="0" collapsed="false">
      <c r="A5505" s="103"/>
      <c r="B5505" s="104"/>
      <c r="C5505" s="104"/>
      <c r="E5505" s="107" t="str">
        <f aca="false">IF($C5505="","",IFERROR(INDEX(المنيو!$C$2:$C$500,MATCH($C5505,المنيو!$B$2:$B$500,0)),0))</f>
        <v/>
      </c>
      <c r="F5505" s="107" t="str">
        <f aca="false">IF($C5505="","",$D5505*$E5505)</f>
        <v/>
      </c>
      <c r="G5505" s="107" t="str">
        <f aca="false">IF($C5505="","",$D5505*IFERROR(INDEX('تحليل التكلفة والسعر'!$C$2:$C$700,MATCH($C5505,'تحليل التكلفة والسعر'!$B$2:$B$700,0)),0))</f>
        <v/>
      </c>
    </row>
    <row r="5506" customFormat="false" ht="15" hidden="false" customHeight="false" outlineLevel="0" collapsed="false">
      <c r="A5506" s="103"/>
      <c r="B5506" s="104"/>
      <c r="C5506" s="104"/>
      <c r="E5506" s="107" t="str">
        <f aca="false">IF($C5506="","",IFERROR(INDEX(المنيو!$C$2:$C$500,MATCH($C5506,المنيو!$B$2:$B$500,0)),0))</f>
        <v/>
      </c>
      <c r="F5506" s="107" t="str">
        <f aca="false">IF($C5506="","",$D5506*$E5506)</f>
        <v/>
      </c>
      <c r="G5506" s="107" t="str">
        <f aca="false">IF($C5506="","",$D5506*IFERROR(INDEX('تحليل التكلفة والسعر'!$C$2:$C$700,MATCH($C5506,'تحليل التكلفة والسعر'!$B$2:$B$700,0)),0))</f>
        <v/>
      </c>
    </row>
    <row r="5507" customFormat="false" ht="15" hidden="false" customHeight="false" outlineLevel="0" collapsed="false">
      <c r="A5507" s="103"/>
      <c r="B5507" s="104"/>
      <c r="C5507" s="104"/>
      <c r="E5507" s="107" t="str">
        <f aca="false">IF($C5507="","",IFERROR(INDEX(المنيو!$C$2:$C$500,MATCH($C5507,المنيو!$B$2:$B$500,0)),0))</f>
        <v/>
      </c>
      <c r="F5507" s="107" t="str">
        <f aca="false">IF($C5507="","",$D5507*$E5507)</f>
        <v/>
      </c>
      <c r="G5507" s="107" t="str">
        <f aca="false">IF($C5507="","",$D5507*IFERROR(INDEX('تحليل التكلفة والسعر'!$C$2:$C$700,MATCH($C5507,'تحليل التكلفة والسعر'!$B$2:$B$700,0)),0))</f>
        <v/>
      </c>
    </row>
    <row r="5508" customFormat="false" ht="15" hidden="false" customHeight="false" outlineLevel="0" collapsed="false">
      <c r="A5508" s="103"/>
      <c r="B5508" s="104"/>
      <c r="C5508" s="104"/>
      <c r="E5508" s="107" t="str">
        <f aca="false">IF($C5508="","",IFERROR(INDEX(المنيو!$C$2:$C$500,MATCH($C5508,المنيو!$B$2:$B$500,0)),0))</f>
        <v/>
      </c>
      <c r="F5508" s="107" t="str">
        <f aca="false">IF($C5508="","",$D5508*$E5508)</f>
        <v/>
      </c>
      <c r="G5508" s="107" t="str">
        <f aca="false">IF($C5508="","",$D5508*IFERROR(INDEX('تحليل التكلفة والسعر'!$C$2:$C$700,MATCH($C5508,'تحليل التكلفة والسعر'!$B$2:$B$700,0)),0))</f>
        <v/>
      </c>
    </row>
    <row r="5509" customFormat="false" ht="15" hidden="false" customHeight="false" outlineLevel="0" collapsed="false">
      <c r="A5509" s="103"/>
      <c r="B5509" s="104"/>
      <c r="C5509" s="104"/>
      <c r="E5509" s="107" t="str">
        <f aca="false">IF($C5509="","",IFERROR(INDEX(المنيو!$C$2:$C$500,MATCH($C5509,المنيو!$B$2:$B$500,0)),0))</f>
        <v/>
      </c>
      <c r="F5509" s="107" t="str">
        <f aca="false">IF($C5509="","",$D5509*$E5509)</f>
        <v/>
      </c>
      <c r="G5509" s="107" t="str">
        <f aca="false">IF($C5509="","",$D5509*IFERROR(INDEX('تحليل التكلفة والسعر'!$C$2:$C$700,MATCH($C5509,'تحليل التكلفة والسعر'!$B$2:$B$700,0)),0))</f>
        <v/>
      </c>
    </row>
    <row r="5510" customFormat="false" ht="15" hidden="false" customHeight="false" outlineLevel="0" collapsed="false">
      <c r="A5510" s="103"/>
      <c r="B5510" s="104"/>
      <c r="C5510" s="104"/>
      <c r="E5510" s="107" t="str">
        <f aca="false">IF($C5510="","",IFERROR(INDEX(المنيو!$C$2:$C$500,MATCH($C5510,المنيو!$B$2:$B$500,0)),0))</f>
        <v/>
      </c>
      <c r="F5510" s="107" t="str">
        <f aca="false">IF($C5510="","",$D5510*$E5510)</f>
        <v/>
      </c>
      <c r="G5510" s="107" t="str">
        <f aca="false">IF($C5510="","",$D5510*IFERROR(INDEX('تحليل التكلفة والسعر'!$C$2:$C$700,MATCH($C5510,'تحليل التكلفة والسعر'!$B$2:$B$700,0)),0))</f>
        <v/>
      </c>
    </row>
    <row r="5511" customFormat="false" ht="15" hidden="false" customHeight="false" outlineLevel="0" collapsed="false">
      <c r="A5511" s="103"/>
      <c r="B5511" s="104"/>
      <c r="C5511" s="104"/>
      <c r="E5511" s="107" t="str">
        <f aca="false">IF($C5511="","",IFERROR(INDEX(المنيو!$C$2:$C$500,MATCH($C5511,المنيو!$B$2:$B$500,0)),0))</f>
        <v/>
      </c>
      <c r="F5511" s="107" t="str">
        <f aca="false">IF($C5511="","",$D5511*$E5511)</f>
        <v/>
      </c>
      <c r="G5511" s="107" t="str">
        <f aca="false">IF($C5511="","",$D5511*IFERROR(INDEX('تحليل التكلفة والسعر'!$C$2:$C$700,MATCH($C5511,'تحليل التكلفة والسعر'!$B$2:$B$700,0)),0))</f>
        <v/>
      </c>
    </row>
    <row r="5512" customFormat="false" ht="15" hidden="false" customHeight="false" outlineLevel="0" collapsed="false">
      <c r="A5512" s="103"/>
      <c r="B5512" s="104"/>
      <c r="C5512" s="104"/>
      <c r="E5512" s="107" t="str">
        <f aca="false">IF($C5512="","",IFERROR(INDEX(المنيو!$C$2:$C$500,MATCH($C5512,المنيو!$B$2:$B$500,0)),0))</f>
        <v/>
      </c>
      <c r="F5512" s="107" t="str">
        <f aca="false">IF($C5512="","",$D5512*$E5512)</f>
        <v/>
      </c>
      <c r="G5512" s="107" t="str">
        <f aca="false">IF($C5512="","",$D5512*IFERROR(INDEX('تحليل التكلفة والسعر'!$C$2:$C$700,MATCH($C5512,'تحليل التكلفة والسعر'!$B$2:$B$700,0)),0))</f>
        <v/>
      </c>
    </row>
    <row r="5513" customFormat="false" ht="15" hidden="false" customHeight="false" outlineLevel="0" collapsed="false">
      <c r="A5513" s="103"/>
      <c r="B5513" s="104"/>
      <c r="C5513" s="104"/>
      <c r="E5513" s="107" t="str">
        <f aca="false">IF($C5513="","",IFERROR(INDEX(المنيو!$C$2:$C$500,MATCH($C5513,المنيو!$B$2:$B$500,0)),0))</f>
        <v/>
      </c>
      <c r="F5513" s="107" t="str">
        <f aca="false">IF($C5513="","",$D5513*$E5513)</f>
        <v/>
      </c>
      <c r="G5513" s="107" t="str">
        <f aca="false">IF($C5513="","",$D5513*IFERROR(INDEX('تحليل التكلفة والسعر'!$C$2:$C$700,MATCH($C5513,'تحليل التكلفة والسعر'!$B$2:$B$700,0)),0))</f>
        <v/>
      </c>
    </row>
    <row r="5514" customFormat="false" ht="15" hidden="false" customHeight="false" outlineLevel="0" collapsed="false">
      <c r="A5514" s="103"/>
      <c r="B5514" s="104"/>
      <c r="C5514" s="104"/>
      <c r="E5514" s="107" t="str">
        <f aca="false">IF($C5514="","",IFERROR(INDEX(المنيو!$C$2:$C$500,MATCH($C5514,المنيو!$B$2:$B$500,0)),0))</f>
        <v/>
      </c>
      <c r="F5514" s="107" t="str">
        <f aca="false">IF($C5514="","",$D5514*$E5514)</f>
        <v/>
      </c>
      <c r="G5514" s="107" t="str">
        <f aca="false">IF($C5514="","",$D5514*IFERROR(INDEX('تحليل التكلفة والسعر'!$C$2:$C$700,MATCH($C5514,'تحليل التكلفة والسعر'!$B$2:$B$700,0)),0))</f>
        <v/>
      </c>
    </row>
    <row r="5515" customFormat="false" ht="15" hidden="false" customHeight="false" outlineLevel="0" collapsed="false">
      <c r="A5515" s="103"/>
      <c r="B5515" s="104"/>
      <c r="C5515" s="104"/>
      <c r="E5515" s="107" t="str">
        <f aca="false">IF($C5515="","",IFERROR(INDEX(المنيو!$C$2:$C$500,MATCH($C5515,المنيو!$B$2:$B$500,0)),0))</f>
        <v/>
      </c>
      <c r="F5515" s="107" t="str">
        <f aca="false">IF($C5515="","",$D5515*$E5515)</f>
        <v/>
      </c>
      <c r="G5515" s="107" t="str">
        <f aca="false">IF($C5515="","",$D5515*IFERROR(INDEX('تحليل التكلفة والسعر'!$C$2:$C$700,MATCH($C5515,'تحليل التكلفة والسعر'!$B$2:$B$700,0)),0))</f>
        <v/>
      </c>
    </row>
    <row r="5516" customFormat="false" ht="15" hidden="false" customHeight="false" outlineLevel="0" collapsed="false">
      <c r="A5516" s="103"/>
      <c r="B5516" s="104"/>
      <c r="C5516" s="104"/>
      <c r="E5516" s="107" t="str">
        <f aca="false">IF($C5516="","",IFERROR(INDEX(المنيو!$C$2:$C$500,MATCH($C5516,المنيو!$B$2:$B$500,0)),0))</f>
        <v/>
      </c>
      <c r="F5516" s="107" t="str">
        <f aca="false">IF($C5516="","",$D5516*$E5516)</f>
        <v/>
      </c>
      <c r="G5516" s="107" t="str">
        <f aca="false">IF($C5516="","",$D5516*IFERROR(INDEX('تحليل التكلفة والسعر'!$C$2:$C$700,MATCH($C5516,'تحليل التكلفة والسعر'!$B$2:$B$700,0)),0))</f>
        <v/>
      </c>
    </row>
    <row r="5517" customFormat="false" ht="15" hidden="false" customHeight="false" outlineLevel="0" collapsed="false">
      <c r="A5517" s="103"/>
      <c r="B5517" s="104"/>
      <c r="C5517" s="104"/>
      <c r="E5517" s="107" t="str">
        <f aca="false">IF($C5517="","",IFERROR(INDEX(المنيو!$C$2:$C$500,MATCH($C5517,المنيو!$B$2:$B$500,0)),0))</f>
        <v/>
      </c>
      <c r="F5517" s="107" t="str">
        <f aca="false">IF($C5517="","",$D5517*$E5517)</f>
        <v/>
      </c>
      <c r="G5517" s="107" t="str">
        <f aca="false">IF($C5517="","",$D5517*IFERROR(INDEX('تحليل التكلفة والسعر'!$C$2:$C$700,MATCH($C5517,'تحليل التكلفة والسعر'!$B$2:$B$700,0)),0))</f>
        <v/>
      </c>
    </row>
    <row r="5518" customFormat="false" ht="15" hidden="false" customHeight="false" outlineLevel="0" collapsed="false">
      <c r="A5518" s="103"/>
      <c r="B5518" s="104"/>
      <c r="C5518" s="104"/>
      <c r="E5518" s="107" t="str">
        <f aca="false">IF($C5518="","",IFERROR(INDEX(المنيو!$C$2:$C$500,MATCH($C5518,المنيو!$B$2:$B$500,0)),0))</f>
        <v/>
      </c>
      <c r="F5518" s="107" t="str">
        <f aca="false">IF($C5518="","",$D5518*$E5518)</f>
        <v/>
      </c>
      <c r="G5518" s="107" t="str">
        <f aca="false">IF($C5518="","",$D5518*IFERROR(INDEX('تحليل التكلفة والسعر'!$C$2:$C$700,MATCH($C5518,'تحليل التكلفة والسعر'!$B$2:$B$700,0)),0))</f>
        <v/>
      </c>
    </row>
    <row r="5519" customFormat="false" ht="15" hidden="false" customHeight="false" outlineLevel="0" collapsed="false">
      <c r="A5519" s="103"/>
      <c r="B5519" s="104"/>
      <c r="C5519" s="104"/>
      <c r="E5519" s="107" t="str">
        <f aca="false">IF($C5519="","",IFERROR(INDEX(المنيو!$C$2:$C$500,MATCH($C5519,المنيو!$B$2:$B$500,0)),0))</f>
        <v/>
      </c>
      <c r="F5519" s="107" t="str">
        <f aca="false">IF($C5519="","",$D5519*$E5519)</f>
        <v/>
      </c>
      <c r="G5519" s="107" t="str">
        <f aca="false">IF($C5519="","",$D5519*IFERROR(INDEX('تحليل التكلفة والسعر'!$C$2:$C$700,MATCH($C5519,'تحليل التكلفة والسعر'!$B$2:$B$700,0)),0))</f>
        <v/>
      </c>
    </row>
    <row r="5520" customFormat="false" ht="15" hidden="false" customHeight="false" outlineLevel="0" collapsed="false">
      <c r="A5520" s="103"/>
      <c r="B5520" s="104"/>
      <c r="C5520" s="104"/>
      <c r="E5520" s="107" t="str">
        <f aca="false">IF($C5520="","",IFERROR(INDEX(المنيو!$C$2:$C$500,MATCH($C5520,المنيو!$B$2:$B$500,0)),0))</f>
        <v/>
      </c>
      <c r="F5520" s="107" t="str">
        <f aca="false">IF($C5520="","",$D5520*$E5520)</f>
        <v/>
      </c>
      <c r="G5520" s="107" t="str">
        <f aca="false">IF($C5520="","",$D5520*IFERROR(INDEX('تحليل التكلفة والسعر'!$C$2:$C$700,MATCH($C5520,'تحليل التكلفة والسعر'!$B$2:$B$700,0)),0))</f>
        <v/>
      </c>
    </row>
    <row r="5521" customFormat="false" ht="15" hidden="false" customHeight="false" outlineLevel="0" collapsed="false">
      <c r="A5521" s="103"/>
      <c r="B5521" s="104"/>
      <c r="C5521" s="104"/>
      <c r="E5521" s="107" t="str">
        <f aca="false">IF($C5521="","",IFERROR(INDEX(المنيو!$C$2:$C$500,MATCH($C5521,المنيو!$B$2:$B$500,0)),0))</f>
        <v/>
      </c>
      <c r="F5521" s="107" t="str">
        <f aca="false">IF($C5521="","",$D5521*$E5521)</f>
        <v/>
      </c>
      <c r="G5521" s="107" t="str">
        <f aca="false">IF($C5521="","",$D5521*IFERROR(INDEX('تحليل التكلفة والسعر'!$C$2:$C$700,MATCH($C5521,'تحليل التكلفة والسعر'!$B$2:$B$700,0)),0))</f>
        <v/>
      </c>
    </row>
    <row r="5522" customFormat="false" ht="15" hidden="false" customHeight="false" outlineLevel="0" collapsed="false">
      <c r="A5522" s="103"/>
      <c r="B5522" s="104"/>
      <c r="C5522" s="104"/>
      <c r="E5522" s="107" t="str">
        <f aca="false">IF($C5522="","",IFERROR(INDEX(المنيو!$C$2:$C$500,MATCH($C5522,المنيو!$B$2:$B$500,0)),0))</f>
        <v/>
      </c>
      <c r="F5522" s="107" t="str">
        <f aca="false">IF($C5522="","",$D5522*$E5522)</f>
        <v/>
      </c>
      <c r="G5522" s="107" t="str">
        <f aca="false">IF($C5522="","",$D5522*IFERROR(INDEX('تحليل التكلفة والسعر'!$C$2:$C$700,MATCH($C5522,'تحليل التكلفة والسعر'!$B$2:$B$700,0)),0))</f>
        <v/>
      </c>
    </row>
    <row r="5523" customFormat="false" ht="15" hidden="false" customHeight="false" outlineLevel="0" collapsed="false">
      <c r="A5523" s="103"/>
      <c r="B5523" s="104"/>
      <c r="C5523" s="104"/>
      <c r="E5523" s="107" t="str">
        <f aca="false">IF($C5523="","",IFERROR(INDEX(المنيو!$C$2:$C$500,MATCH($C5523,المنيو!$B$2:$B$500,0)),0))</f>
        <v/>
      </c>
      <c r="F5523" s="107" t="str">
        <f aca="false">IF($C5523="","",$D5523*$E5523)</f>
        <v/>
      </c>
      <c r="G5523" s="107" t="str">
        <f aca="false">IF($C5523="","",$D5523*IFERROR(INDEX('تحليل التكلفة والسعر'!$C$2:$C$700,MATCH($C5523,'تحليل التكلفة والسعر'!$B$2:$B$700,0)),0))</f>
        <v/>
      </c>
    </row>
    <row r="5524" customFormat="false" ht="15" hidden="false" customHeight="false" outlineLevel="0" collapsed="false">
      <c r="A5524" s="103"/>
      <c r="B5524" s="104"/>
      <c r="C5524" s="104"/>
      <c r="E5524" s="107" t="str">
        <f aca="false">IF($C5524="","",IFERROR(INDEX(المنيو!$C$2:$C$500,MATCH($C5524,المنيو!$B$2:$B$500,0)),0))</f>
        <v/>
      </c>
      <c r="F5524" s="107" t="str">
        <f aca="false">IF($C5524="","",$D5524*$E5524)</f>
        <v/>
      </c>
      <c r="G5524" s="107" t="str">
        <f aca="false">IF($C5524="","",$D5524*IFERROR(INDEX('تحليل التكلفة والسعر'!$C$2:$C$700,MATCH($C5524,'تحليل التكلفة والسعر'!$B$2:$B$700,0)),0))</f>
        <v/>
      </c>
    </row>
    <row r="5525" customFormat="false" ht="15" hidden="false" customHeight="false" outlineLevel="0" collapsed="false">
      <c r="A5525" s="103"/>
      <c r="B5525" s="104"/>
      <c r="C5525" s="104"/>
      <c r="E5525" s="107" t="str">
        <f aca="false">IF($C5525="","",IFERROR(INDEX(المنيو!$C$2:$C$500,MATCH($C5525,المنيو!$B$2:$B$500,0)),0))</f>
        <v/>
      </c>
      <c r="F5525" s="107" t="str">
        <f aca="false">IF($C5525="","",$D5525*$E5525)</f>
        <v/>
      </c>
      <c r="G5525" s="107" t="str">
        <f aca="false">IF($C5525="","",$D5525*IFERROR(INDEX('تحليل التكلفة والسعر'!$C$2:$C$700,MATCH($C5525,'تحليل التكلفة والسعر'!$B$2:$B$700,0)),0))</f>
        <v/>
      </c>
    </row>
    <row r="5526" customFormat="false" ht="15" hidden="false" customHeight="false" outlineLevel="0" collapsed="false">
      <c r="A5526" s="103"/>
      <c r="B5526" s="104"/>
      <c r="C5526" s="104"/>
      <c r="E5526" s="107" t="str">
        <f aca="false">IF($C5526="","",IFERROR(INDEX(المنيو!$C$2:$C$500,MATCH($C5526,المنيو!$B$2:$B$500,0)),0))</f>
        <v/>
      </c>
      <c r="F5526" s="107" t="str">
        <f aca="false">IF($C5526="","",$D5526*$E5526)</f>
        <v/>
      </c>
      <c r="G5526" s="107" t="str">
        <f aca="false">IF($C5526="","",$D5526*IFERROR(INDEX('تحليل التكلفة والسعر'!$C$2:$C$700,MATCH($C5526,'تحليل التكلفة والسعر'!$B$2:$B$700,0)),0))</f>
        <v/>
      </c>
    </row>
    <row r="5527" customFormat="false" ht="15" hidden="false" customHeight="false" outlineLevel="0" collapsed="false">
      <c r="A5527" s="103"/>
      <c r="B5527" s="104"/>
      <c r="C5527" s="104"/>
      <c r="E5527" s="107" t="str">
        <f aca="false">IF($C5527="","",IFERROR(INDEX(المنيو!$C$2:$C$500,MATCH($C5527,المنيو!$B$2:$B$500,0)),0))</f>
        <v/>
      </c>
      <c r="F5527" s="107" t="str">
        <f aca="false">IF($C5527="","",$D5527*$E5527)</f>
        <v/>
      </c>
      <c r="G5527" s="107" t="str">
        <f aca="false">IF($C5527="","",$D5527*IFERROR(INDEX('تحليل التكلفة والسعر'!$C$2:$C$700,MATCH($C5527,'تحليل التكلفة والسعر'!$B$2:$B$700,0)),0))</f>
        <v/>
      </c>
    </row>
    <row r="5528" customFormat="false" ht="15" hidden="false" customHeight="false" outlineLevel="0" collapsed="false">
      <c r="A5528" s="103"/>
      <c r="B5528" s="104"/>
      <c r="C5528" s="104"/>
      <c r="E5528" s="107" t="str">
        <f aca="false">IF($C5528="","",IFERROR(INDEX(المنيو!$C$2:$C$500,MATCH($C5528,المنيو!$B$2:$B$500,0)),0))</f>
        <v/>
      </c>
      <c r="F5528" s="107" t="str">
        <f aca="false">IF($C5528="","",$D5528*$E5528)</f>
        <v/>
      </c>
      <c r="G5528" s="107" t="str">
        <f aca="false">IF($C5528="","",$D5528*IFERROR(INDEX('تحليل التكلفة والسعر'!$C$2:$C$700,MATCH($C5528,'تحليل التكلفة والسعر'!$B$2:$B$700,0)),0))</f>
        <v/>
      </c>
    </row>
    <row r="5529" customFormat="false" ht="15" hidden="false" customHeight="false" outlineLevel="0" collapsed="false">
      <c r="A5529" s="103"/>
      <c r="B5529" s="104"/>
      <c r="C5529" s="104"/>
      <c r="E5529" s="107" t="str">
        <f aca="false">IF($C5529="","",IFERROR(INDEX(المنيو!$C$2:$C$500,MATCH($C5529,المنيو!$B$2:$B$500,0)),0))</f>
        <v/>
      </c>
      <c r="F5529" s="107" t="str">
        <f aca="false">IF($C5529="","",$D5529*$E5529)</f>
        <v/>
      </c>
      <c r="G5529" s="107" t="str">
        <f aca="false">IF($C5529="","",$D5529*IFERROR(INDEX('تحليل التكلفة والسعر'!$C$2:$C$700,MATCH($C5529,'تحليل التكلفة والسعر'!$B$2:$B$700,0)),0))</f>
        <v/>
      </c>
    </row>
    <row r="5530" customFormat="false" ht="15" hidden="false" customHeight="false" outlineLevel="0" collapsed="false">
      <c r="A5530" s="103"/>
      <c r="B5530" s="104"/>
      <c r="C5530" s="104"/>
      <c r="E5530" s="107" t="str">
        <f aca="false">IF($C5530="","",IFERROR(INDEX(المنيو!$C$2:$C$500,MATCH($C5530,المنيو!$B$2:$B$500,0)),0))</f>
        <v/>
      </c>
      <c r="F5530" s="107" t="str">
        <f aca="false">IF($C5530="","",$D5530*$E5530)</f>
        <v/>
      </c>
      <c r="G5530" s="107" t="str">
        <f aca="false">IF($C5530="","",$D5530*IFERROR(INDEX('تحليل التكلفة والسعر'!$C$2:$C$700,MATCH($C5530,'تحليل التكلفة والسعر'!$B$2:$B$700,0)),0))</f>
        <v/>
      </c>
    </row>
    <row r="5531" customFormat="false" ht="15" hidden="false" customHeight="false" outlineLevel="0" collapsed="false">
      <c r="A5531" s="103"/>
      <c r="B5531" s="104"/>
      <c r="C5531" s="104"/>
      <c r="E5531" s="107" t="str">
        <f aca="false">IF($C5531="","",IFERROR(INDEX(المنيو!$C$2:$C$500,MATCH($C5531,المنيو!$B$2:$B$500,0)),0))</f>
        <v/>
      </c>
      <c r="F5531" s="107" t="str">
        <f aca="false">IF($C5531="","",$D5531*$E5531)</f>
        <v/>
      </c>
      <c r="G5531" s="107" t="str">
        <f aca="false">IF($C5531="","",$D5531*IFERROR(INDEX('تحليل التكلفة والسعر'!$C$2:$C$700,MATCH($C5531,'تحليل التكلفة والسعر'!$B$2:$B$700,0)),0))</f>
        <v/>
      </c>
    </row>
    <row r="5532" customFormat="false" ht="15" hidden="false" customHeight="false" outlineLevel="0" collapsed="false">
      <c r="A5532" s="103"/>
      <c r="B5532" s="104"/>
      <c r="C5532" s="104"/>
      <c r="E5532" s="107" t="str">
        <f aca="false">IF($C5532="","",IFERROR(INDEX(المنيو!$C$2:$C$500,MATCH($C5532,المنيو!$B$2:$B$500,0)),0))</f>
        <v/>
      </c>
      <c r="F5532" s="107" t="str">
        <f aca="false">IF($C5532="","",$D5532*$E5532)</f>
        <v/>
      </c>
      <c r="G5532" s="107" t="str">
        <f aca="false">IF($C5532="","",$D5532*IFERROR(INDEX('تحليل التكلفة والسعر'!$C$2:$C$700,MATCH($C5532,'تحليل التكلفة والسعر'!$B$2:$B$700,0)),0))</f>
        <v/>
      </c>
    </row>
    <row r="5533" customFormat="false" ht="15" hidden="false" customHeight="false" outlineLevel="0" collapsed="false">
      <c r="A5533" s="103"/>
      <c r="B5533" s="104"/>
      <c r="C5533" s="104"/>
      <c r="E5533" s="107" t="str">
        <f aca="false">IF($C5533="","",IFERROR(INDEX(المنيو!$C$2:$C$500,MATCH($C5533,المنيو!$B$2:$B$500,0)),0))</f>
        <v/>
      </c>
      <c r="F5533" s="107" t="str">
        <f aca="false">IF($C5533="","",$D5533*$E5533)</f>
        <v/>
      </c>
      <c r="G5533" s="107" t="str">
        <f aca="false">IF($C5533="","",$D5533*IFERROR(INDEX('تحليل التكلفة والسعر'!$C$2:$C$700,MATCH($C5533,'تحليل التكلفة والسعر'!$B$2:$B$700,0)),0))</f>
        <v/>
      </c>
    </row>
    <row r="5534" customFormat="false" ht="15" hidden="false" customHeight="false" outlineLevel="0" collapsed="false">
      <c r="A5534" s="103"/>
      <c r="B5534" s="104"/>
      <c r="C5534" s="104"/>
      <c r="E5534" s="107" t="str">
        <f aca="false">IF($C5534="","",IFERROR(INDEX(المنيو!$C$2:$C$500,MATCH($C5534,المنيو!$B$2:$B$500,0)),0))</f>
        <v/>
      </c>
      <c r="F5534" s="107" t="str">
        <f aca="false">IF($C5534="","",$D5534*$E5534)</f>
        <v/>
      </c>
      <c r="G5534" s="107" t="str">
        <f aca="false">IF($C5534="","",$D5534*IFERROR(INDEX('تحليل التكلفة والسعر'!$C$2:$C$700,MATCH($C5534,'تحليل التكلفة والسعر'!$B$2:$B$700,0)),0))</f>
        <v/>
      </c>
    </row>
    <row r="5535" customFormat="false" ht="15" hidden="false" customHeight="false" outlineLevel="0" collapsed="false">
      <c r="A5535" s="103"/>
      <c r="B5535" s="104"/>
      <c r="C5535" s="104"/>
      <c r="E5535" s="107" t="str">
        <f aca="false">IF($C5535="","",IFERROR(INDEX(المنيو!$C$2:$C$500,MATCH($C5535,المنيو!$B$2:$B$500,0)),0))</f>
        <v/>
      </c>
      <c r="F5535" s="107" t="str">
        <f aca="false">IF($C5535="","",$D5535*$E5535)</f>
        <v/>
      </c>
      <c r="G5535" s="107" t="str">
        <f aca="false">IF($C5535="","",$D5535*IFERROR(INDEX('تحليل التكلفة والسعر'!$C$2:$C$700,MATCH($C5535,'تحليل التكلفة والسعر'!$B$2:$B$700,0)),0))</f>
        <v/>
      </c>
    </row>
    <row r="5536" customFormat="false" ht="15" hidden="false" customHeight="false" outlineLevel="0" collapsed="false">
      <c r="A5536" s="103"/>
      <c r="B5536" s="104"/>
      <c r="C5536" s="104"/>
      <c r="E5536" s="107" t="str">
        <f aca="false">IF($C5536="","",IFERROR(INDEX(المنيو!$C$2:$C$500,MATCH($C5536,المنيو!$B$2:$B$500,0)),0))</f>
        <v/>
      </c>
      <c r="F5536" s="107" t="str">
        <f aca="false">IF($C5536="","",$D5536*$E5536)</f>
        <v/>
      </c>
      <c r="G5536" s="107" t="str">
        <f aca="false">IF($C5536="","",$D5536*IFERROR(INDEX('تحليل التكلفة والسعر'!$C$2:$C$700,MATCH($C5536,'تحليل التكلفة والسعر'!$B$2:$B$700,0)),0))</f>
        <v/>
      </c>
    </row>
    <row r="5537" customFormat="false" ht="15" hidden="false" customHeight="false" outlineLevel="0" collapsed="false">
      <c r="A5537" s="103"/>
      <c r="B5537" s="104"/>
      <c r="C5537" s="104"/>
      <c r="E5537" s="107" t="str">
        <f aca="false">IF($C5537="","",IFERROR(INDEX(المنيو!$C$2:$C$500,MATCH($C5537,المنيو!$B$2:$B$500,0)),0))</f>
        <v/>
      </c>
      <c r="F5537" s="107" t="str">
        <f aca="false">IF($C5537="","",$D5537*$E5537)</f>
        <v/>
      </c>
      <c r="G5537" s="107" t="str">
        <f aca="false">IF($C5537="","",$D5537*IFERROR(INDEX('تحليل التكلفة والسعر'!$C$2:$C$700,MATCH($C5537,'تحليل التكلفة والسعر'!$B$2:$B$700,0)),0))</f>
        <v/>
      </c>
    </row>
    <row r="5538" customFormat="false" ht="15" hidden="false" customHeight="false" outlineLevel="0" collapsed="false">
      <c r="A5538" s="103"/>
      <c r="B5538" s="104"/>
      <c r="C5538" s="104"/>
      <c r="E5538" s="107" t="str">
        <f aca="false">IF($C5538="","",IFERROR(INDEX(المنيو!$C$2:$C$500,MATCH($C5538,المنيو!$B$2:$B$500,0)),0))</f>
        <v/>
      </c>
      <c r="F5538" s="107" t="str">
        <f aca="false">IF($C5538="","",$D5538*$E5538)</f>
        <v/>
      </c>
      <c r="G5538" s="107" t="str">
        <f aca="false">IF($C5538="","",$D5538*IFERROR(INDEX('تحليل التكلفة والسعر'!$C$2:$C$700,MATCH($C5538,'تحليل التكلفة والسعر'!$B$2:$B$700,0)),0))</f>
        <v/>
      </c>
    </row>
    <row r="5539" customFormat="false" ht="15" hidden="false" customHeight="false" outlineLevel="0" collapsed="false">
      <c r="A5539" s="103"/>
      <c r="B5539" s="104"/>
      <c r="C5539" s="104"/>
      <c r="E5539" s="107" t="str">
        <f aca="false">IF($C5539="","",IFERROR(INDEX(المنيو!$C$2:$C$500,MATCH($C5539,المنيو!$B$2:$B$500,0)),0))</f>
        <v/>
      </c>
      <c r="F5539" s="107" t="str">
        <f aca="false">IF($C5539="","",$D5539*$E5539)</f>
        <v/>
      </c>
      <c r="G5539" s="107" t="str">
        <f aca="false">IF($C5539="","",$D5539*IFERROR(INDEX('تحليل التكلفة والسعر'!$C$2:$C$700,MATCH($C5539,'تحليل التكلفة والسعر'!$B$2:$B$700,0)),0))</f>
        <v/>
      </c>
    </row>
    <row r="5540" customFormat="false" ht="15" hidden="false" customHeight="false" outlineLevel="0" collapsed="false">
      <c r="A5540" s="103"/>
      <c r="B5540" s="104"/>
      <c r="C5540" s="104"/>
      <c r="E5540" s="107" t="str">
        <f aca="false">IF($C5540="","",IFERROR(INDEX(المنيو!$C$2:$C$500,MATCH($C5540,المنيو!$B$2:$B$500,0)),0))</f>
        <v/>
      </c>
      <c r="F5540" s="107" t="str">
        <f aca="false">IF($C5540="","",$D5540*$E5540)</f>
        <v/>
      </c>
      <c r="G5540" s="107" t="str">
        <f aca="false">IF($C5540="","",$D5540*IFERROR(INDEX('تحليل التكلفة والسعر'!$C$2:$C$700,MATCH($C5540,'تحليل التكلفة والسعر'!$B$2:$B$700,0)),0))</f>
        <v/>
      </c>
    </row>
    <row r="5541" customFormat="false" ht="15" hidden="false" customHeight="false" outlineLevel="0" collapsed="false">
      <c r="A5541" s="103"/>
      <c r="B5541" s="104"/>
      <c r="C5541" s="104"/>
      <c r="E5541" s="107" t="str">
        <f aca="false">IF($C5541="","",IFERROR(INDEX(المنيو!$C$2:$C$500,MATCH($C5541,المنيو!$B$2:$B$500,0)),0))</f>
        <v/>
      </c>
      <c r="F5541" s="107" t="str">
        <f aca="false">IF($C5541="","",$D5541*$E5541)</f>
        <v/>
      </c>
      <c r="G5541" s="107" t="str">
        <f aca="false">IF($C5541="","",$D5541*IFERROR(INDEX('تحليل التكلفة والسعر'!$C$2:$C$700,MATCH($C5541,'تحليل التكلفة والسعر'!$B$2:$B$700,0)),0))</f>
        <v/>
      </c>
    </row>
    <row r="5542" customFormat="false" ht="15" hidden="false" customHeight="false" outlineLevel="0" collapsed="false">
      <c r="A5542" s="103"/>
      <c r="B5542" s="104"/>
      <c r="C5542" s="104"/>
      <c r="E5542" s="107" t="str">
        <f aca="false">IF($C5542="","",IFERROR(INDEX(المنيو!$C$2:$C$500,MATCH($C5542,المنيو!$B$2:$B$500,0)),0))</f>
        <v/>
      </c>
      <c r="F5542" s="107" t="str">
        <f aca="false">IF($C5542="","",$D5542*$E5542)</f>
        <v/>
      </c>
      <c r="G5542" s="107" t="str">
        <f aca="false">IF($C5542="","",$D5542*IFERROR(INDEX('تحليل التكلفة والسعر'!$C$2:$C$700,MATCH($C5542,'تحليل التكلفة والسعر'!$B$2:$B$700,0)),0))</f>
        <v/>
      </c>
    </row>
    <row r="5543" customFormat="false" ht="15" hidden="false" customHeight="false" outlineLevel="0" collapsed="false">
      <c r="A5543" s="103"/>
      <c r="B5543" s="104"/>
      <c r="C5543" s="104"/>
      <c r="E5543" s="107" t="str">
        <f aca="false">IF($C5543="","",IFERROR(INDEX(المنيو!$C$2:$C$500,MATCH($C5543,المنيو!$B$2:$B$500,0)),0))</f>
        <v/>
      </c>
      <c r="F5543" s="107" t="str">
        <f aca="false">IF($C5543="","",$D5543*$E5543)</f>
        <v/>
      </c>
      <c r="G5543" s="107" t="str">
        <f aca="false">IF($C5543="","",$D5543*IFERROR(INDEX('تحليل التكلفة والسعر'!$C$2:$C$700,MATCH($C5543,'تحليل التكلفة والسعر'!$B$2:$B$700,0)),0))</f>
        <v/>
      </c>
    </row>
    <row r="5544" customFormat="false" ht="15" hidden="false" customHeight="false" outlineLevel="0" collapsed="false">
      <c r="A5544" s="103"/>
      <c r="B5544" s="104"/>
      <c r="C5544" s="104"/>
      <c r="E5544" s="107" t="str">
        <f aca="false">IF($C5544="","",IFERROR(INDEX(المنيو!$C$2:$C$500,MATCH($C5544,المنيو!$B$2:$B$500,0)),0))</f>
        <v/>
      </c>
      <c r="F5544" s="107" t="str">
        <f aca="false">IF($C5544="","",$D5544*$E5544)</f>
        <v/>
      </c>
      <c r="G5544" s="107" t="str">
        <f aca="false">IF($C5544="","",$D5544*IFERROR(INDEX('تحليل التكلفة والسعر'!$C$2:$C$700,MATCH($C5544,'تحليل التكلفة والسعر'!$B$2:$B$700,0)),0))</f>
        <v/>
      </c>
    </row>
    <row r="5545" customFormat="false" ht="15" hidden="false" customHeight="false" outlineLevel="0" collapsed="false">
      <c r="A5545" s="103"/>
      <c r="B5545" s="104"/>
      <c r="C5545" s="104"/>
      <c r="E5545" s="107" t="str">
        <f aca="false">IF($C5545="","",IFERROR(INDEX(المنيو!$C$2:$C$500,MATCH($C5545,المنيو!$B$2:$B$500,0)),0))</f>
        <v/>
      </c>
      <c r="F5545" s="107" t="str">
        <f aca="false">IF($C5545="","",$D5545*$E5545)</f>
        <v/>
      </c>
      <c r="G5545" s="107" t="str">
        <f aca="false">IF($C5545="","",$D5545*IFERROR(INDEX('تحليل التكلفة والسعر'!$C$2:$C$700,MATCH($C5545,'تحليل التكلفة والسعر'!$B$2:$B$700,0)),0))</f>
        <v/>
      </c>
    </row>
    <row r="5546" customFormat="false" ht="15" hidden="false" customHeight="false" outlineLevel="0" collapsed="false">
      <c r="A5546" s="103"/>
      <c r="B5546" s="104"/>
      <c r="C5546" s="104"/>
      <c r="E5546" s="107" t="str">
        <f aca="false">IF($C5546="","",IFERROR(INDEX(المنيو!$C$2:$C$500,MATCH($C5546,المنيو!$B$2:$B$500,0)),0))</f>
        <v/>
      </c>
      <c r="F5546" s="107" t="str">
        <f aca="false">IF($C5546="","",$D5546*$E5546)</f>
        <v/>
      </c>
      <c r="G5546" s="107" t="str">
        <f aca="false">IF($C5546="","",$D5546*IFERROR(INDEX('تحليل التكلفة والسعر'!$C$2:$C$700,MATCH($C5546,'تحليل التكلفة والسعر'!$B$2:$B$700,0)),0))</f>
        <v/>
      </c>
    </row>
    <row r="5547" customFormat="false" ht="15" hidden="false" customHeight="false" outlineLevel="0" collapsed="false">
      <c r="A5547" s="103"/>
      <c r="B5547" s="104"/>
      <c r="C5547" s="104"/>
      <c r="E5547" s="107" t="str">
        <f aca="false">IF($C5547="","",IFERROR(INDEX(المنيو!$C$2:$C$500,MATCH($C5547,المنيو!$B$2:$B$500,0)),0))</f>
        <v/>
      </c>
      <c r="F5547" s="107" t="str">
        <f aca="false">IF($C5547="","",$D5547*$E5547)</f>
        <v/>
      </c>
      <c r="G5547" s="107" t="str">
        <f aca="false">IF($C5547="","",$D5547*IFERROR(INDEX('تحليل التكلفة والسعر'!$C$2:$C$700,MATCH($C5547,'تحليل التكلفة والسعر'!$B$2:$B$700,0)),0))</f>
        <v/>
      </c>
    </row>
    <row r="5548" customFormat="false" ht="15" hidden="false" customHeight="false" outlineLevel="0" collapsed="false">
      <c r="A5548" s="103"/>
      <c r="B5548" s="104"/>
      <c r="C5548" s="104"/>
      <c r="E5548" s="107" t="str">
        <f aca="false">IF($C5548="","",IFERROR(INDEX(المنيو!$C$2:$C$500,MATCH($C5548,المنيو!$B$2:$B$500,0)),0))</f>
        <v/>
      </c>
      <c r="F5548" s="107" t="str">
        <f aca="false">IF($C5548="","",$D5548*$E5548)</f>
        <v/>
      </c>
      <c r="G5548" s="107" t="str">
        <f aca="false">IF($C5548="","",$D5548*IFERROR(INDEX('تحليل التكلفة والسعر'!$C$2:$C$700,MATCH($C5548,'تحليل التكلفة والسعر'!$B$2:$B$700,0)),0))</f>
        <v/>
      </c>
    </row>
    <row r="5549" customFormat="false" ht="15" hidden="false" customHeight="false" outlineLevel="0" collapsed="false">
      <c r="A5549" s="103"/>
      <c r="B5549" s="104"/>
      <c r="C5549" s="104"/>
      <c r="E5549" s="107" t="str">
        <f aca="false">IF($C5549="","",IFERROR(INDEX(المنيو!$C$2:$C$500,MATCH($C5549,المنيو!$B$2:$B$500,0)),0))</f>
        <v/>
      </c>
      <c r="F5549" s="107" t="str">
        <f aca="false">IF($C5549="","",$D5549*$E5549)</f>
        <v/>
      </c>
      <c r="G5549" s="107" t="str">
        <f aca="false">IF($C5549="","",$D5549*IFERROR(INDEX('تحليل التكلفة والسعر'!$C$2:$C$700,MATCH($C5549,'تحليل التكلفة والسعر'!$B$2:$B$700,0)),0))</f>
        <v/>
      </c>
    </row>
    <row r="5550" customFormat="false" ht="15" hidden="false" customHeight="false" outlineLevel="0" collapsed="false">
      <c r="A5550" s="103"/>
      <c r="B5550" s="104"/>
      <c r="C5550" s="104"/>
      <c r="E5550" s="107" t="str">
        <f aca="false">IF($C5550="","",IFERROR(INDEX(المنيو!$C$2:$C$500,MATCH($C5550,المنيو!$B$2:$B$500,0)),0))</f>
        <v/>
      </c>
      <c r="F5550" s="107" t="str">
        <f aca="false">IF($C5550="","",$D5550*$E5550)</f>
        <v/>
      </c>
      <c r="G5550" s="107" t="str">
        <f aca="false">IF($C5550="","",$D5550*IFERROR(INDEX('تحليل التكلفة والسعر'!$C$2:$C$700,MATCH($C5550,'تحليل التكلفة والسعر'!$B$2:$B$700,0)),0))</f>
        <v/>
      </c>
    </row>
    <row r="5551" customFormat="false" ht="15" hidden="false" customHeight="false" outlineLevel="0" collapsed="false">
      <c r="A5551" s="103"/>
      <c r="B5551" s="104"/>
      <c r="C5551" s="104"/>
      <c r="E5551" s="107" t="str">
        <f aca="false">IF($C5551="","",IFERROR(INDEX(المنيو!$C$2:$C$500,MATCH($C5551,المنيو!$B$2:$B$500,0)),0))</f>
        <v/>
      </c>
      <c r="F5551" s="107" t="str">
        <f aca="false">IF($C5551="","",$D5551*$E5551)</f>
        <v/>
      </c>
      <c r="G5551" s="107" t="str">
        <f aca="false">IF($C5551="","",$D5551*IFERROR(INDEX('تحليل التكلفة والسعر'!$C$2:$C$700,MATCH($C5551,'تحليل التكلفة والسعر'!$B$2:$B$700,0)),0))</f>
        <v/>
      </c>
    </row>
    <row r="5552" customFormat="false" ht="15" hidden="false" customHeight="false" outlineLevel="0" collapsed="false">
      <c r="A5552" s="103"/>
      <c r="B5552" s="104"/>
      <c r="C5552" s="104"/>
      <c r="E5552" s="107" t="str">
        <f aca="false">IF($C5552="","",IFERROR(INDEX(المنيو!$C$2:$C$500,MATCH($C5552,المنيو!$B$2:$B$500,0)),0))</f>
        <v/>
      </c>
      <c r="F5552" s="107" t="str">
        <f aca="false">IF($C5552="","",$D5552*$E5552)</f>
        <v/>
      </c>
      <c r="G5552" s="107" t="str">
        <f aca="false">IF($C5552="","",$D5552*IFERROR(INDEX('تحليل التكلفة والسعر'!$C$2:$C$700,MATCH($C5552,'تحليل التكلفة والسعر'!$B$2:$B$700,0)),0))</f>
        <v/>
      </c>
    </row>
    <row r="5553" customFormat="false" ht="15" hidden="false" customHeight="false" outlineLevel="0" collapsed="false">
      <c r="A5553" s="103"/>
      <c r="B5553" s="104"/>
      <c r="C5553" s="104"/>
      <c r="E5553" s="107" t="str">
        <f aca="false">IF($C5553="","",IFERROR(INDEX(المنيو!$C$2:$C$500,MATCH($C5553,المنيو!$B$2:$B$500,0)),0))</f>
        <v/>
      </c>
      <c r="F5553" s="107" t="str">
        <f aca="false">IF($C5553="","",$D5553*$E5553)</f>
        <v/>
      </c>
      <c r="G5553" s="107" t="str">
        <f aca="false">IF($C5553="","",$D5553*IFERROR(INDEX('تحليل التكلفة والسعر'!$C$2:$C$700,MATCH($C5553,'تحليل التكلفة والسعر'!$B$2:$B$700,0)),0))</f>
        <v/>
      </c>
    </row>
    <row r="5554" customFormat="false" ht="15" hidden="false" customHeight="false" outlineLevel="0" collapsed="false">
      <c r="A5554" s="103"/>
      <c r="B5554" s="104"/>
      <c r="C5554" s="104"/>
      <c r="E5554" s="107" t="str">
        <f aca="false">IF($C5554="","",IFERROR(INDEX(المنيو!$C$2:$C$500,MATCH($C5554,المنيو!$B$2:$B$500,0)),0))</f>
        <v/>
      </c>
      <c r="F5554" s="107" t="str">
        <f aca="false">IF($C5554="","",$D5554*$E5554)</f>
        <v/>
      </c>
      <c r="G5554" s="107" t="str">
        <f aca="false">IF($C5554="","",$D5554*IFERROR(INDEX('تحليل التكلفة والسعر'!$C$2:$C$700,MATCH($C5554,'تحليل التكلفة والسعر'!$B$2:$B$700,0)),0))</f>
        <v/>
      </c>
    </row>
    <row r="5555" customFormat="false" ht="15" hidden="false" customHeight="false" outlineLevel="0" collapsed="false">
      <c r="A5555" s="103"/>
      <c r="B5555" s="104"/>
      <c r="C5555" s="104"/>
      <c r="E5555" s="107" t="str">
        <f aca="false">IF($C5555="","",IFERROR(INDEX(المنيو!$C$2:$C$500,MATCH($C5555,المنيو!$B$2:$B$500,0)),0))</f>
        <v/>
      </c>
      <c r="F5555" s="107" t="str">
        <f aca="false">IF($C5555="","",$D5555*$E5555)</f>
        <v/>
      </c>
      <c r="G5555" s="107" t="str">
        <f aca="false">IF($C5555="","",$D5555*IFERROR(INDEX('تحليل التكلفة والسعر'!$C$2:$C$700,MATCH($C5555,'تحليل التكلفة والسعر'!$B$2:$B$700,0)),0))</f>
        <v/>
      </c>
    </row>
    <row r="5556" customFormat="false" ht="15" hidden="false" customHeight="false" outlineLevel="0" collapsed="false">
      <c r="A5556" s="103"/>
      <c r="B5556" s="104"/>
      <c r="C5556" s="104"/>
      <c r="E5556" s="107" t="str">
        <f aca="false">IF($C5556="","",IFERROR(INDEX(المنيو!$C$2:$C$500,MATCH($C5556,المنيو!$B$2:$B$500,0)),0))</f>
        <v/>
      </c>
      <c r="F5556" s="107" t="str">
        <f aca="false">IF($C5556="","",$D5556*$E5556)</f>
        <v/>
      </c>
      <c r="G5556" s="107" t="str">
        <f aca="false">IF($C5556="","",$D5556*IFERROR(INDEX('تحليل التكلفة والسعر'!$C$2:$C$700,MATCH($C5556,'تحليل التكلفة والسعر'!$B$2:$B$700,0)),0))</f>
        <v/>
      </c>
    </row>
    <row r="5557" customFormat="false" ht="15" hidden="false" customHeight="false" outlineLevel="0" collapsed="false">
      <c r="A5557" s="103"/>
      <c r="B5557" s="104"/>
      <c r="C5557" s="104"/>
      <c r="E5557" s="107" t="str">
        <f aca="false">IF($C5557="","",IFERROR(INDEX(المنيو!$C$2:$C$500,MATCH($C5557,المنيو!$B$2:$B$500,0)),0))</f>
        <v/>
      </c>
      <c r="F5557" s="107" t="str">
        <f aca="false">IF($C5557="","",$D5557*$E5557)</f>
        <v/>
      </c>
      <c r="G5557" s="107" t="str">
        <f aca="false">IF($C5557="","",$D5557*IFERROR(INDEX('تحليل التكلفة والسعر'!$C$2:$C$700,MATCH($C5557,'تحليل التكلفة والسعر'!$B$2:$B$700,0)),0))</f>
        <v/>
      </c>
    </row>
    <row r="5558" customFormat="false" ht="15" hidden="false" customHeight="false" outlineLevel="0" collapsed="false">
      <c r="A5558" s="103"/>
      <c r="B5558" s="104"/>
      <c r="C5558" s="104"/>
      <c r="E5558" s="107" t="str">
        <f aca="false">IF($C5558="","",IFERROR(INDEX(المنيو!$C$2:$C$500,MATCH($C5558,المنيو!$B$2:$B$500,0)),0))</f>
        <v/>
      </c>
      <c r="F5558" s="107" t="str">
        <f aca="false">IF($C5558="","",$D5558*$E5558)</f>
        <v/>
      </c>
      <c r="G5558" s="107" t="str">
        <f aca="false">IF($C5558="","",$D5558*IFERROR(INDEX('تحليل التكلفة والسعر'!$C$2:$C$700,MATCH($C5558,'تحليل التكلفة والسعر'!$B$2:$B$700,0)),0))</f>
        <v/>
      </c>
    </row>
    <row r="5559" customFormat="false" ht="15" hidden="false" customHeight="false" outlineLevel="0" collapsed="false">
      <c r="A5559" s="103"/>
      <c r="B5559" s="104"/>
      <c r="C5559" s="104"/>
      <c r="E5559" s="107" t="str">
        <f aca="false">IF($C5559="","",IFERROR(INDEX(المنيو!$C$2:$C$500,MATCH($C5559,المنيو!$B$2:$B$500,0)),0))</f>
        <v/>
      </c>
      <c r="F5559" s="107" t="str">
        <f aca="false">IF($C5559="","",$D5559*$E5559)</f>
        <v/>
      </c>
      <c r="G5559" s="107" t="str">
        <f aca="false">IF($C5559="","",$D5559*IFERROR(INDEX('تحليل التكلفة والسعر'!$C$2:$C$700,MATCH($C5559,'تحليل التكلفة والسعر'!$B$2:$B$700,0)),0))</f>
        <v/>
      </c>
    </row>
    <row r="5560" customFormat="false" ht="15" hidden="false" customHeight="false" outlineLevel="0" collapsed="false">
      <c r="A5560" s="103"/>
      <c r="B5560" s="104"/>
      <c r="C5560" s="104"/>
      <c r="E5560" s="107" t="str">
        <f aca="false">IF($C5560="","",IFERROR(INDEX(المنيو!$C$2:$C$500,MATCH($C5560,المنيو!$B$2:$B$500,0)),0))</f>
        <v/>
      </c>
      <c r="F5560" s="107" t="str">
        <f aca="false">IF($C5560="","",$D5560*$E5560)</f>
        <v/>
      </c>
      <c r="G5560" s="107" t="str">
        <f aca="false">IF($C5560="","",$D5560*IFERROR(INDEX('تحليل التكلفة والسعر'!$C$2:$C$700,MATCH($C5560,'تحليل التكلفة والسعر'!$B$2:$B$700,0)),0))</f>
        <v/>
      </c>
    </row>
    <row r="5561" customFormat="false" ht="15" hidden="false" customHeight="false" outlineLevel="0" collapsed="false">
      <c r="A5561" s="103"/>
      <c r="B5561" s="104"/>
      <c r="C5561" s="104"/>
      <c r="E5561" s="107" t="str">
        <f aca="false">IF($C5561="","",IFERROR(INDEX(المنيو!$C$2:$C$500,MATCH($C5561,المنيو!$B$2:$B$500,0)),0))</f>
        <v/>
      </c>
      <c r="F5561" s="107" t="str">
        <f aca="false">IF($C5561="","",$D5561*$E5561)</f>
        <v/>
      </c>
      <c r="G5561" s="107" t="str">
        <f aca="false">IF($C5561="","",$D5561*IFERROR(INDEX('تحليل التكلفة والسعر'!$C$2:$C$700,MATCH($C5561,'تحليل التكلفة والسعر'!$B$2:$B$700,0)),0))</f>
        <v/>
      </c>
    </row>
    <row r="5562" customFormat="false" ht="15" hidden="false" customHeight="false" outlineLevel="0" collapsed="false">
      <c r="A5562" s="103"/>
      <c r="B5562" s="104"/>
      <c r="C5562" s="104"/>
      <c r="E5562" s="107" t="str">
        <f aca="false">IF($C5562="","",IFERROR(INDEX(المنيو!$C$2:$C$500,MATCH($C5562,المنيو!$B$2:$B$500,0)),0))</f>
        <v/>
      </c>
      <c r="F5562" s="107" t="str">
        <f aca="false">IF($C5562="","",$D5562*$E5562)</f>
        <v/>
      </c>
      <c r="G5562" s="107" t="str">
        <f aca="false">IF($C5562="","",$D5562*IFERROR(INDEX('تحليل التكلفة والسعر'!$C$2:$C$700,MATCH($C5562,'تحليل التكلفة والسعر'!$B$2:$B$700,0)),0))</f>
        <v/>
      </c>
    </row>
    <row r="5563" customFormat="false" ht="15" hidden="false" customHeight="false" outlineLevel="0" collapsed="false">
      <c r="A5563" s="103"/>
      <c r="B5563" s="104"/>
      <c r="C5563" s="104"/>
      <c r="E5563" s="107" t="str">
        <f aca="false">IF($C5563="","",IFERROR(INDEX(المنيو!$C$2:$C$500,MATCH($C5563,المنيو!$B$2:$B$500,0)),0))</f>
        <v/>
      </c>
      <c r="F5563" s="107" t="str">
        <f aca="false">IF($C5563="","",$D5563*$E5563)</f>
        <v/>
      </c>
      <c r="G5563" s="107" t="str">
        <f aca="false">IF($C5563="","",$D5563*IFERROR(INDEX('تحليل التكلفة والسعر'!$C$2:$C$700,MATCH($C5563,'تحليل التكلفة والسعر'!$B$2:$B$700,0)),0))</f>
        <v/>
      </c>
    </row>
    <row r="5564" customFormat="false" ht="15" hidden="false" customHeight="false" outlineLevel="0" collapsed="false">
      <c r="A5564" s="103"/>
      <c r="B5564" s="104"/>
      <c r="C5564" s="104"/>
      <c r="E5564" s="107" t="str">
        <f aca="false">IF($C5564="","",IFERROR(INDEX(المنيو!$C$2:$C$500,MATCH($C5564,المنيو!$B$2:$B$500,0)),0))</f>
        <v/>
      </c>
      <c r="F5564" s="107" t="str">
        <f aca="false">IF($C5564="","",$D5564*$E5564)</f>
        <v/>
      </c>
      <c r="G5564" s="107" t="str">
        <f aca="false">IF($C5564="","",$D5564*IFERROR(INDEX('تحليل التكلفة والسعر'!$C$2:$C$700,MATCH($C5564,'تحليل التكلفة والسعر'!$B$2:$B$700,0)),0))</f>
        <v/>
      </c>
    </row>
    <row r="5565" customFormat="false" ht="15" hidden="false" customHeight="false" outlineLevel="0" collapsed="false">
      <c r="A5565" s="103"/>
      <c r="B5565" s="104"/>
      <c r="C5565" s="104"/>
      <c r="E5565" s="107" t="str">
        <f aca="false">IF($C5565="","",IFERROR(INDEX(المنيو!$C$2:$C$500,MATCH($C5565,المنيو!$B$2:$B$500,0)),0))</f>
        <v/>
      </c>
      <c r="F5565" s="107" t="str">
        <f aca="false">IF($C5565="","",$D5565*$E5565)</f>
        <v/>
      </c>
      <c r="G5565" s="107" t="str">
        <f aca="false">IF($C5565="","",$D5565*IFERROR(INDEX('تحليل التكلفة والسعر'!$C$2:$C$700,MATCH($C5565,'تحليل التكلفة والسعر'!$B$2:$B$700,0)),0))</f>
        <v/>
      </c>
    </row>
    <row r="5566" customFormat="false" ht="15" hidden="false" customHeight="false" outlineLevel="0" collapsed="false">
      <c r="A5566" s="103"/>
      <c r="B5566" s="104"/>
      <c r="C5566" s="104"/>
      <c r="E5566" s="107" t="str">
        <f aca="false">IF($C5566="","",IFERROR(INDEX(المنيو!$C$2:$C$500,MATCH($C5566,المنيو!$B$2:$B$500,0)),0))</f>
        <v/>
      </c>
      <c r="F5566" s="107" t="str">
        <f aca="false">IF($C5566="","",$D5566*$E5566)</f>
        <v/>
      </c>
      <c r="G5566" s="107" t="str">
        <f aca="false">IF($C5566="","",$D5566*IFERROR(INDEX('تحليل التكلفة والسعر'!$C$2:$C$700,MATCH($C5566,'تحليل التكلفة والسعر'!$B$2:$B$700,0)),0))</f>
        <v/>
      </c>
    </row>
    <row r="5567" customFormat="false" ht="15" hidden="false" customHeight="false" outlineLevel="0" collapsed="false">
      <c r="A5567" s="103"/>
      <c r="B5567" s="104"/>
      <c r="C5567" s="104"/>
      <c r="E5567" s="107" t="str">
        <f aca="false">IF($C5567="","",IFERROR(INDEX(المنيو!$C$2:$C$500,MATCH($C5567,المنيو!$B$2:$B$500,0)),0))</f>
        <v/>
      </c>
      <c r="F5567" s="107" t="str">
        <f aca="false">IF($C5567="","",$D5567*$E5567)</f>
        <v/>
      </c>
      <c r="G5567" s="107" t="str">
        <f aca="false">IF($C5567="","",$D5567*IFERROR(INDEX('تحليل التكلفة والسعر'!$C$2:$C$700,MATCH($C5567,'تحليل التكلفة والسعر'!$B$2:$B$700,0)),0))</f>
        <v/>
      </c>
    </row>
    <row r="5568" customFormat="false" ht="15" hidden="false" customHeight="false" outlineLevel="0" collapsed="false">
      <c r="A5568" s="103"/>
      <c r="B5568" s="104"/>
      <c r="C5568" s="104"/>
      <c r="E5568" s="107" t="str">
        <f aca="false">IF($C5568="","",IFERROR(INDEX(المنيو!$C$2:$C$500,MATCH($C5568,المنيو!$B$2:$B$500,0)),0))</f>
        <v/>
      </c>
      <c r="F5568" s="107" t="str">
        <f aca="false">IF($C5568="","",$D5568*$E5568)</f>
        <v/>
      </c>
      <c r="G5568" s="107" t="str">
        <f aca="false">IF($C5568="","",$D5568*IFERROR(INDEX('تحليل التكلفة والسعر'!$C$2:$C$700,MATCH($C5568,'تحليل التكلفة والسعر'!$B$2:$B$700,0)),0))</f>
        <v/>
      </c>
    </row>
    <row r="5569" customFormat="false" ht="15" hidden="false" customHeight="false" outlineLevel="0" collapsed="false">
      <c r="A5569" s="103"/>
      <c r="B5569" s="104"/>
      <c r="C5569" s="104"/>
      <c r="E5569" s="107" t="str">
        <f aca="false">IF($C5569="","",IFERROR(INDEX(المنيو!$C$2:$C$500,MATCH($C5569,المنيو!$B$2:$B$500,0)),0))</f>
        <v/>
      </c>
      <c r="F5569" s="107" t="str">
        <f aca="false">IF($C5569="","",$D5569*$E5569)</f>
        <v/>
      </c>
      <c r="G5569" s="107" t="str">
        <f aca="false">IF($C5569="","",$D5569*IFERROR(INDEX('تحليل التكلفة والسعر'!$C$2:$C$700,MATCH($C5569,'تحليل التكلفة والسعر'!$B$2:$B$700,0)),0))</f>
        <v/>
      </c>
    </row>
    <row r="5570" customFormat="false" ht="15" hidden="false" customHeight="false" outlineLevel="0" collapsed="false">
      <c r="A5570" s="103"/>
      <c r="B5570" s="104"/>
      <c r="C5570" s="104"/>
      <c r="E5570" s="107" t="str">
        <f aca="false">IF($C5570="","",IFERROR(INDEX(المنيو!$C$2:$C$500,MATCH($C5570,المنيو!$B$2:$B$500,0)),0))</f>
        <v/>
      </c>
      <c r="F5570" s="107" t="str">
        <f aca="false">IF($C5570="","",$D5570*$E5570)</f>
        <v/>
      </c>
      <c r="G5570" s="107" t="str">
        <f aca="false">IF($C5570="","",$D5570*IFERROR(INDEX('تحليل التكلفة والسعر'!$C$2:$C$700,MATCH($C5570,'تحليل التكلفة والسعر'!$B$2:$B$700,0)),0))</f>
        <v/>
      </c>
    </row>
    <row r="5571" customFormat="false" ht="15" hidden="false" customHeight="false" outlineLevel="0" collapsed="false">
      <c r="A5571" s="103"/>
      <c r="B5571" s="104"/>
      <c r="C5571" s="104"/>
      <c r="E5571" s="107" t="str">
        <f aca="false">IF($C5571="","",IFERROR(INDEX(المنيو!$C$2:$C$500,MATCH($C5571,المنيو!$B$2:$B$500,0)),0))</f>
        <v/>
      </c>
      <c r="F5571" s="107" t="str">
        <f aca="false">IF($C5571="","",$D5571*$E5571)</f>
        <v/>
      </c>
      <c r="G5571" s="107" t="str">
        <f aca="false">IF($C5571="","",$D5571*IFERROR(INDEX('تحليل التكلفة والسعر'!$C$2:$C$700,MATCH($C5571,'تحليل التكلفة والسعر'!$B$2:$B$700,0)),0))</f>
        <v/>
      </c>
    </row>
    <row r="5572" customFormat="false" ht="15" hidden="false" customHeight="false" outlineLevel="0" collapsed="false">
      <c r="A5572" s="103"/>
      <c r="B5572" s="104"/>
      <c r="C5572" s="104"/>
      <c r="E5572" s="107" t="str">
        <f aca="false">IF($C5572="","",IFERROR(INDEX(المنيو!$C$2:$C$500,MATCH($C5572,المنيو!$B$2:$B$500,0)),0))</f>
        <v/>
      </c>
      <c r="F5572" s="107" t="str">
        <f aca="false">IF($C5572="","",$D5572*$E5572)</f>
        <v/>
      </c>
      <c r="G5572" s="107" t="str">
        <f aca="false">IF($C5572="","",$D5572*IFERROR(INDEX('تحليل التكلفة والسعر'!$C$2:$C$700,MATCH($C5572,'تحليل التكلفة والسعر'!$B$2:$B$700,0)),0))</f>
        <v/>
      </c>
    </row>
    <row r="5573" customFormat="false" ht="15" hidden="false" customHeight="false" outlineLevel="0" collapsed="false">
      <c r="A5573" s="103"/>
      <c r="B5573" s="104"/>
      <c r="C5573" s="104"/>
      <c r="E5573" s="107" t="str">
        <f aca="false">IF($C5573="","",IFERROR(INDEX(المنيو!$C$2:$C$500,MATCH($C5573,المنيو!$B$2:$B$500,0)),0))</f>
        <v/>
      </c>
      <c r="F5573" s="107" t="str">
        <f aca="false">IF($C5573="","",$D5573*$E5573)</f>
        <v/>
      </c>
      <c r="G5573" s="107" t="str">
        <f aca="false">IF($C5573="","",$D5573*IFERROR(INDEX('تحليل التكلفة والسعر'!$C$2:$C$700,MATCH($C5573,'تحليل التكلفة والسعر'!$B$2:$B$700,0)),0))</f>
        <v/>
      </c>
    </row>
    <row r="5574" customFormat="false" ht="15" hidden="false" customHeight="false" outlineLevel="0" collapsed="false">
      <c r="A5574" s="103"/>
      <c r="B5574" s="104"/>
      <c r="C5574" s="104"/>
      <c r="E5574" s="107" t="str">
        <f aca="false">IF($C5574="","",IFERROR(INDEX(المنيو!$C$2:$C$500,MATCH($C5574,المنيو!$B$2:$B$500,0)),0))</f>
        <v/>
      </c>
      <c r="F5574" s="107" t="str">
        <f aca="false">IF($C5574="","",$D5574*$E5574)</f>
        <v/>
      </c>
      <c r="G5574" s="107" t="str">
        <f aca="false">IF($C5574="","",$D5574*IFERROR(INDEX('تحليل التكلفة والسعر'!$C$2:$C$700,MATCH($C5574,'تحليل التكلفة والسعر'!$B$2:$B$700,0)),0))</f>
        <v/>
      </c>
    </row>
    <row r="5575" customFormat="false" ht="15" hidden="false" customHeight="false" outlineLevel="0" collapsed="false">
      <c r="A5575" s="103"/>
      <c r="B5575" s="104"/>
      <c r="C5575" s="104"/>
      <c r="E5575" s="107" t="str">
        <f aca="false">IF($C5575="","",IFERROR(INDEX(المنيو!$C$2:$C$500,MATCH($C5575,المنيو!$B$2:$B$500,0)),0))</f>
        <v/>
      </c>
      <c r="F5575" s="107" t="str">
        <f aca="false">IF($C5575="","",$D5575*$E5575)</f>
        <v/>
      </c>
      <c r="G5575" s="107" t="str">
        <f aca="false">IF($C5575="","",$D5575*IFERROR(INDEX('تحليل التكلفة والسعر'!$C$2:$C$700,MATCH($C5575,'تحليل التكلفة والسعر'!$B$2:$B$700,0)),0))</f>
        <v/>
      </c>
    </row>
    <row r="5576" customFormat="false" ht="15" hidden="false" customHeight="false" outlineLevel="0" collapsed="false">
      <c r="A5576" s="103"/>
      <c r="B5576" s="104"/>
      <c r="C5576" s="104"/>
      <c r="E5576" s="107" t="str">
        <f aca="false">IF($C5576="","",IFERROR(INDEX(المنيو!$C$2:$C$500,MATCH($C5576,المنيو!$B$2:$B$500,0)),0))</f>
        <v/>
      </c>
      <c r="F5576" s="107" t="str">
        <f aca="false">IF($C5576="","",$D5576*$E5576)</f>
        <v/>
      </c>
      <c r="G5576" s="107" t="str">
        <f aca="false">IF($C5576="","",$D5576*IFERROR(INDEX('تحليل التكلفة والسعر'!$C$2:$C$700,MATCH($C5576,'تحليل التكلفة والسعر'!$B$2:$B$700,0)),0))</f>
        <v/>
      </c>
    </row>
    <row r="5577" customFormat="false" ht="15" hidden="false" customHeight="false" outlineLevel="0" collapsed="false">
      <c r="A5577" s="103"/>
      <c r="B5577" s="104"/>
      <c r="C5577" s="104"/>
      <c r="E5577" s="107" t="str">
        <f aca="false">IF($C5577="","",IFERROR(INDEX(المنيو!$C$2:$C$500,MATCH($C5577,المنيو!$B$2:$B$500,0)),0))</f>
        <v/>
      </c>
      <c r="F5577" s="107" t="str">
        <f aca="false">IF($C5577="","",$D5577*$E5577)</f>
        <v/>
      </c>
      <c r="G5577" s="107" t="str">
        <f aca="false">IF($C5577="","",$D5577*IFERROR(INDEX('تحليل التكلفة والسعر'!$C$2:$C$700,MATCH($C5577,'تحليل التكلفة والسعر'!$B$2:$B$700,0)),0))</f>
        <v/>
      </c>
    </row>
    <row r="5578" customFormat="false" ht="15" hidden="false" customHeight="false" outlineLevel="0" collapsed="false">
      <c r="A5578" s="103"/>
      <c r="B5578" s="104"/>
      <c r="C5578" s="104"/>
      <c r="E5578" s="107" t="str">
        <f aca="false">IF($C5578="","",IFERROR(INDEX(المنيو!$C$2:$C$500,MATCH($C5578,المنيو!$B$2:$B$500,0)),0))</f>
        <v/>
      </c>
      <c r="F5578" s="107" t="str">
        <f aca="false">IF($C5578="","",$D5578*$E5578)</f>
        <v/>
      </c>
      <c r="G5578" s="107" t="str">
        <f aca="false">IF($C5578="","",$D5578*IFERROR(INDEX('تحليل التكلفة والسعر'!$C$2:$C$700,MATCH($C5578,'تحليل التكلفة والسعر'!$B$2:$B$700,0)),0))</f>
        <v/>
      </c>
    </row>
    <row r="5579" customFormat="false" ht="15" hidden="false" customHeight="false" outlineLevel="0" collapsed="false">
      <c r="A5579" s="103"/>
      <c r="B5579" s="104"/>
      <c r="C5579" s="104"/>
      <c r="E5579" s="107" t="str">
        <f aca="false">IF($C5579="","",IFERROR(INDEX(المنيو!$C$2:$C$500,MATCH($C5579,المنيو!$B$2:$B$500,0)),0))</f>
        <v/>
      </c>
      <c r="F5579" s="107" t="str">
        <f aca="false">IF($C5579="","",$D5579*$E5579)</f>
        <v/>
      </c>
      <c r="G5579" s="107" t="str">
        <f aca="false">IF($C5579="","",$D5579*IFERROR(INDEX('تحليل التكلفة والسعر'!$C$2:$C$700,MATCH($C5579,'تحليل التكلفة والسعر'!$B$2:$B$700,0)),0))</f>
        <v/>
      </c>
    </row>
    <row r="5580" customFormat="false" ht="15" hidden="false" customHeight="false" outlineLevel="0" collapsed="false">
      <c r="A5580" s="103"/>
      <c r="B5580" s="104"/>
      <c r="C5580" s="104"/>
      <c r="E5580" s="107" t="str">
        <f aca="false">IF($C5580="","",IFERROR(INDEX(المنيو!$C$2:$C$500,MATCH($C5580,المنيو!$B$2:$B$500,0)),0))</f>
        <v/>
      </c>
      <c r="F5580" s="107" t="str">
        <f aca="false">IF($C5580="","",$D5580*$E5580)</f>
        <v/>
      </c>
      <c r="G5580" s="107" t="str">
        <f aca="false">IF($C5580="","",$D5580*IFERROR(INDEX('تحليل التكلفة والسعر'!$C$2:$C$700,MATCH($C5580,'تحليل التكلفة والسعر'!$B$2:$B$700,0)),0))</f>
        <v/>
      </c>
    </row>
    <row r="5581" customFormat="false" ht="15" hidden="false" customHeight="false" outlineLevel="0" collapsed="false">
      <c r="A5581" s="103"/>
      <c r="B5581" s="104"/>
      <c r="C5581" s="104"/>
      <c r="E5581" s="107" t="str">
        <f aca="false">IF($C5581="","",IFERROR(INDEX(المنيو!$C$2:$C$500,MATCH($C5581,المنيو!$B$2:$B$500,0)),0))</f>
        <v/>
      </c>
      <c r="F5581" s="107" t="str">
        <f aca="false">IF($C5581="","",$D5581*$E5581)</f>
        <v/>
      </c>
      <c r="G5581" s="107" t="str">
        <f aca="false">IF($C5581="","",$D5581*IFERROR(INDEX('تحليل التكلفة والسعر'!$C$2:$C$700,MATCH($C5581,'تحليل التكلفة والسعر'!$B$2:$B$700,0)),0))</f>
        <v/>
      </c>
    </row>
    <row r="5582" customFormat="false" ht="15" hidden="false" customHeight="false" outlineLevel="0" collapsed="false">
      <c r="A5582" s="103"/>
      <c r="B5582" s="104"/>
      <c r="C5582" s="104"/>
      <c r="E5582" s="107" t="str">
        <f aca="false">IF($C5582="","",IFERROR(INDEX(المنيو!$C$2:$C$500,MATCH($C5582,المنيو!$B$2:$B$500,0)),0))</f>
        <v/>
      </c>
      <c r="F5582" s="107" t="str">
        <f aca="false">IF($C5582="","",$D5582*$E5582)</f>
        <v/>
      </c>
      <c r="G5582" s="107" t="str">
        <f aca="false">IF($C5582="","",$D5582*IFERROR(INDEX('تحليل التكلفة والسعر'!$C$2:$C$700,MATCH($C5582,'تحليل التكلفة والسعر'!$B$2:$B$700,0)),0))</f>
        <v/>
      </c>
    </row>
    <row r="5583" customFormat="false" ht="15" hidden="false" customHeight="false" outlineLevel="0" collapsed="false">
      <c r="A5583" s="103"/>
      <c r="B5583" s="104"/>
      <c r="C5583" s="104"/>
      <c r="E5583" s="107" t="str">
        <f aca="false">IF($C5583="","",IFERROR(INDEX(المنيو!$C$2:$C$500,MATCH($C5583,المنيو!$B$2:$B$500,0)),0))</f>
        <v/>
      </c>
      <c r="F5583" s="107" t="str">
        <f aca="false">IF($C5583="","",$D5583*$E5583)</f>
        <v/>
      </c>
      <c r="G5583" s="107" t="str">
        <f aca="false">IF($C5583="","",$D5583*IFERROR(INDEX('تحليل التكلفة والسعر'!$C$2:$C$700,MATCH($C5583,'تحليل التكلفة والسعر'!$B$2:$B$700,0)),0))</f>
        <v/>
      </c>
    </row>
    <row r="5584" customFormat="false" ht="15" hidden="false" customHeight="false" outlineLevel="0" collapsed="false">
      <c r="A5584" s="103"/>
      <c r="B5584" s="104"/>
      <c r="C5584" s="104"/>
      <c r="E5584" s="107" t="str">
        <f aca="false">IF($C5584="","",IFERROR(INDEX(المنيو!$C$2:$C$500,MATCH($C5584,المنيو!$B$2:$B$500,0)),0))</f>
        <v/>
      </c>
      <c r="F5584" s="107" t="str">
        <f aca="false">IF($C5584="","",$D5584*$E5584)</f>
        <v/>
      </c>
      <c r="G5584" s="107" t="str">
        <f aca="false">IF($C5584="","",$D5584*IFERROR(INDEX('تحليل التكلفة والسعر'!$C$2:$C$700,MATCH($C5584,'تحليل التكلفة والسعر'!$B$2:$B$700,0)),0))</f>
        <v/>
      </c>
    </row>
    <row r="5585" customFormat="false" ht="15" hidden="false" customHeight="false" outlineLevel="0" collapsed="false">
      <c r="A5585" s="103"/>
      <c r="B5585" s="104"/>
      <c r="C5585" s="104"/>
      <c r="E5585" s="107" t="str">
        <f aca="false">IF($C5585="","",IFERROR(INDEX(المنيو!$C$2:$C$500,MATCH($C5585,المنيو!$B$2:$B$500,0)),0))</f>
        <v/>
      </c>
      <c r="F5585" s="107" t="str">
        <f aca="false">IF($C5585="","",$D5585*$E5585)</f>
        <v/>
      </c>
      <c r="G5585" s="107" t="str">
        <f aca="false">IF($C5585="","",$D5585*IFERROR(INDEX('تحليل التكلفة والسعر'!$C$2:$C$700,MATCH($C5585,'تحليل التكلفة والسعر'!$B$2:$B$700,0)),0))</f>
        <v/>
      </c>
    </row>
    <row r="5586" customFormat="false" ht="15" hidden="false" customHeight="false" outlineLevel="0" collapsed="false">
      <c r="A5586" s="103"/>
      <c r="B5586" s="104"/>
      <c r="C5586" s="104"/>
      <c r="E5586" s="107" t="str">
        <f aca="false">IF($C5586="","",IFERROR(INDEX(المنيو!$C$2:$C$500,MATCH($C5586,المنيو!$B$2:$B$500,0)),0))</f>
        <v/>
      </c>
      <c r="F5586" s="107" t="str">
        <f aca="false">IF($C5586="","",$D5586*$E5586)</f>
        <v/>
      </c>
      <c r="G5586" s="107" t="str">
        <f aca="false">IF($C5586="","",$D5586*IFERROR(INDEX('تحليل التكلفة والسعر'!$C$2:$C$700,MATCH($C5586,'تحليل التكلفة والسعر'!$B$2:$B$700,0)),0))</f>
        <v/>
      </c>
    </row>
    <row r="5587" customFormat="false" ht="15" hidden="false" customHeight="false" outlineLevel="0" collapsed="false">
      <c r="A5587" s="103"/>
      <c r="B5587" s="104"/>
      <c r="C5587" s="104"/>
      <c r="E5587" s="107" t="str">
        <f aca="false">IF($C5587="","",IFERROR(INDEX(المنيو!$C$2:$C$500,MATCH($C5587,المنيو!$B$2:$B$500,0)),0))</f>
        <v/>
      </c>
      <c r="F5587" s="107" t="str">
        <f aca="false">IF($C5587="","",$D5587*$E5587)</f>
        <v/>
      </c>
      <c r="G5587" s="107" t="str">
        <f aca="false">IF($C5587="","",$D5587*IFERROR(INDEX('تحليل التكلفة والسعر'!$C$2:$C$700,MATCH($C5587,'تحليل التكلفة والسعر'!$B$2:$B$700,0)),0))</f>
        <v/>
      </c>
    </row>
    <row r="5588" customFormat="false" ht="15" hidden="false" customHeight="false" outlineLevel="0" collapsed="false">
      <c r="A5588" s="103"/>
      <c r="B5588" s="104"/>
      <c r="C5588" s="104"/>
      <c r="E5588" s="107" t="str">
        <f aca="false">IF($C5588="","",IFERROR(INDEX(المنيو!$C$2:$C$500,MATCH($C5588,المنيو!$B$2:$B$500,0)),0))</f>
        <v/>
      </c>
      <c r="F5588" s="107" t="str">
        <f aca="false">IF($C5588="","",$D5588*$E5588)</f>
        <v/>
      </c>
      <c r="G5588" s="107" t="str">
        <f aca="false">IF($C5588="","",$D5588*IFERROR(INDEX('تحليل التكلفة والسعر'!$C$2:$C$700,MATCH($C5588,'تحليل التكلفة والسعر'!$B$2:$B$700,0)),0))</f>
        <v/>
      </c>
    </row>
    <row r="5589" customFormat="false" ht="15" hidden="false" customHeight="false" outlineLevel="0" collapsed="false">
      <c r="A5589" s="103"/>
      <c r="B5589" s="104"/>
      <c r="C5589" s="104"/>
      <c r="E5589" s="107" t="str">
        <f aca="false">IF($C5589="","",IFERROR(INDEX(المنيو!$C$2:$C$500,MATCH($C5589,المنيو!$B$2:$B$500,0)),0))</f>
        <v/>
      </c>
      <c r="F5589" s="107" t="str">
        <f aca="false">IF($C5589="","",$D5589*$E5589)</f>
        <v/>
      </c>
      <c r="G5589" s="107" t="str">
        <f aca="false">IF($C5589="","",$D5589*IFERROR(INDEX('تحليل التكلفة والسعر'!$C$2:$C$700,MATCH($C5589,'تحليل التكلفة والسعر'!$B$2:$B$700,0)),0))</f>
        <v/>
      </c>
    </row>
    <row r="5590" customFormat="false" ht="15" hidden="false" customHeight="false" outlineLevel="0" collapsed="false">
      <c r="A5590" s="103"/>
      <c r="B5590" s="104"/>
      <c r="C5590" s="104"/>
      <c r="E5590" s="107" t="str">
        <f aca="false">IF($C5590="","",IFERROR(INDEX(المنيو!$C$2:$C$500,MATCH($C5590,المنيو!$B$2:$B$500,0)),0))</f>
        <v/>
      </c>
      <c r="F5590" s="107" t="str">
        <f aca="false">IF($C5590="","",$D5590*$E5590)</f>
        <v/>
      </c>
      <c r="G5590" s="107" t="str">
        <f aca="false">IF($C5590="","",$D5590*IFERROR(INDEX('تحليل التكلفة والسعر'!$C$2:$C$700,MATCH($C5590,'تحليل التكلفة والسعر'!$B$2:$B$700,0)),0))</f>
        <v/>
      </c>
    </row>
    <row r="5591" customFormat="false" ht="15" hidden="false" customHeight="false" outlineLevel="0" collapsed="false">
      <c r="A5591" s="103"/>
      <c r="B5591" s="104"/>
      <c r="C5591" s="104"/>
      <c r="E5591" s="107" t="str">
        <f aca="false">IF($C5591="","",IFERROR(INDEX(المنيو!$C$2:$C$500,MATCH($C5591,المنيو!$B$2:$B$500,0)),0))</f>
        <v/>
      </c>
      <c r="F5591" s="107" t="str">
        <f aca="false">IF($C5591="","",$D5591*$E5591)</f>
        <v/>
      </c>
      <c r="G5591" s="107" t="str">
        <f aca="false">IF($C5591="","",$D5591*IFERROR(INDEX('تحليل التكلفة والسعر'!$C$2:$C$700,MATCH($C5591,'تحليل التكلفة والسعر'!$B$2:$B$700,0)),0))</f>
        <v/>
      </c>
    </row>
    <row r="5592" customFormat="false" ht="15" hidden="false" customHeight="false" outlineLevel="0" collapsed="false">
      <c r="A5592" s="103"/>
      <c r="B5592" s="104"/>
      <c r="C5592" s="104"/>
      <c r="E5592" s="107" t="str">
        <f aca="false">IF($C5592="","",IFERROR(INDEX(المنيو!$C$2:$C$500,MATCH($C5592,المنيو!$B$2:$B$500,0)),0))</f>
        <v/>
      </c>
      <c r="F5592" s="107" t="str">
        <f aca="false">IF($C5592="","",$D5592*$E5592)</f>
        <v/>
      </c>
      <c r="G5592" s="107" t="str">
        <f aca="false">IF($C5592="","",$D5592*IFERROR(INDEX('تحليل التكلفة والسعر'!$C$2:$C$700,MATCH($C5592,'تحليل التكلفة والسعر'!$B$2:$B$700,0)),0))</f>
        <v/>
      </c>
    </row>
    <row r="5593" customFormat="false" ht="15" hidden="false" customHeight="false" outlineLevel="0" collapsed="false">
      <c r="A5593" s="103"/>
      <c r="B5593" s="104"/>
      <c r="C5593" s="104"/>
      <c r="E5593" s="107" t="str">
        <f aca="false">IF($C5593="","",IFERROR(INDEX(المنيو!$C$2:$C$500,MATCH($C5593,المنيو!$B$2:$B$500,0)),0))</f>
        <v/>
      </c>
      <c r="F5593" s="107" t="str">
        <f aca="false">IF($C5593="","",$D5593*$E5593)</f>
        <v/>
      </c>
      <c r="G5593" s="107" t="str">
        <f aca="false">IF($C5593="","",$D5593*IFERROR(INDEX('تحليل التكلفة والسعر'!$C$2:$C$700,MATCH($C5593,'تحليل التكلفة والسعر'!$B$2:$B$700,0)),0))</f>
        <v/>
      </c>
    </row>
    <row r="5594" customFormat="false" ht="15" hidden="false" customHeight="false" outlineLevel="0" collapsed="false">
      <c r="A5594" s="103"/>
      <c r="B5594" s="104"/>
      <c r="C5594" s="104"/>
      <c r="E5594" s="107" t="str">
        <f aca="false">IF($C5594="","",IFERROR(INDEX(المنيو!$C$2:$C$500,MATCH($C5594,المنيو!$B$2:$B$500,0)),0))</f>
        <v/>
      </c>
      <c r="F5594" s="107" t="str">
        <f aca="false">IF($C5594="","",$D5594*$E5594)</f>
        <v/>
      </c>
      <c r="G5594" s="107" t="str">
        <f aca="false">IF($C5594="","",$D5594*IFERROR(INDEX('تحليل التكلفة والسعر'!$C$2:$C$700,MATCH($C5594,'تحليل التكلفة والسعر'!$B$2:$B$700,0)),0))</f>
        <v/>
      </c>
    </row>
    <row r="5595" customFormat="false" ht="15" hidden="false" customHeight="false" outlineLevel="0" collapsed="false">
      <c r="A5595" s="103"/>
      <c r="B5595" s="104"/>
      <c r="C5595" s="104"/>
      <c r="E5595" s="107" t="str">
        <f aca="false">IF($C5595="","",IFERROR(INDEX(المنيو!$C$2:$C$500,MATCH($C5595,المنيو!$B$2:$B$500,0)),0))</f>
        <v/>
      </c>
      <c r="F5595" s="107" t="str">
        <f aca="false">IF($C5595="","",$D5595*$E5595)</f>
        <v/>
      </c>
      <c r="G5595" s="107" t="str">
        <f aca="false">IF($C5595="","",$D5595*IFERROR(INDEX('تحليل التكلفة والسعر'!$C$2:$C$700,MATCH($C5595,'تحليل التكلفة والسعر'!$B$2:$B$700,0)),0))</f>
        <v/>
      </c>
    </row>
    <row r="5596" customFormat="false" ht="15" hidden="false" customHeight="false" outlineLevel="0" collapsed="false">
      <c r="A5596" s="103"/>
      <c r="B5596" s="104"/>
      <c r="C5596" s="104"/>
      <c r="E5596" s="107" t="str">
        <f aca="false">IF($C5596="","",IFERROR(INDEX(المنيو!$C$2:$C$500,MATCH($C5596,المنيو!$B$2:$B$500,0)),0))</f>
        <v/>
      </c>
      <c r="F5596" s="107" t="str">
        <f aca="false">IF($C5596="","",$D5596*$E5596)</f>
        <v/>
      </c>
      <c r="G5596" s="107" t="str">
        <f aca="false">IF($C5596="","",$D5596*IFERROR(INDEX('تحليل التكلفة والسعر'!$C$2:$C$700,MATCH($C5596,'تحليل التكلفة والسعر'!$B$2:$B$700,0)),0))</f>
        <v/>
      </c>
    </row>
    <row r="5597" customFormat="false" ht="15" hidden="false" customHeight="false" outlineLevel="0" collapsed="false">
      <c r="A5597" s="103"/>
      <c r="B5597" s="104"/>
      <c r="C5597" s="104"/>
      <c r="E5597" s="107" t="str">
        <f aca="false">IF($C5597="","",IFERROR(INDEX(المنيو!$C$2:$C$500,MATCH($C5597,المنيو!$B$2:$B$500,0)),0))</f>
        <v/>
      </c>
      <c r="F5597" s="107" t="str">
        <f aca="false">IF($C5597="","",$D5597*$E5597)</f>
        <v/>
      </c>
      <c r="G5597" s="107" t="str">
        <f aca="false">IF($C5597="","",$D5597*IFERROR(INDEX('تحليل التكلفة والسعر'!$C$2:$C$700,MATCH($C5597,'تحليل التكلفة والسعر'!$B$2:$B$700,0)),0))</f>
        <v/>
      </c>
    </row>
    <row r="5598" customFormat="false" ht="15" hidden="false" customHeight="false" outlineLevel="0" collapsed="false">
      <c r="A5598" s="103"/>
      <c r="B5598" s="104"/>
      <c r="C5598" s="104"/>
      <c r="E5598" s="107" t="str">
        <f aca="false">IF($C5598="","",IFERROR(INDEX(المنيو!$C$2:$C$500,MATCH($C5598,المنيو!$B$2:$B$500,0)),0))</f>
        <v/>
      </c>
      <c r="F5598" s="107" t="str">
        <f aca="false">IF($C5598="","",$D5598*$E5598)</f>
        <v/>
      </c>
      <c r="G5598" s="107" t="str">
        <f aca="false">IF($C5598="","",$D5598*IFERROR(INDEX('تحليل التكلفة والسعر'!$C$2:$C$700,MATCH($C5598,'تحليل التكلفة والسعر'!$B$2:$B$700,0)),0))</f>
        <v/>
      </c>
    </row>
    <row r="5599" customFormat="false" ht="15" hidden="false" customHeight="false" outlineLevel="0" collapsed="false">
      <c r="A5599" s="103"/>
      <c r="B5599" s="104"/>
      <c r="C5599" s="104"/>
      <c r="E5599" s="107" t="str">
        <f aca="false">IF($C5599="","",IFERROR(INDEX(المنيو!$C$2:$C$500,MATCH($C5599,المنيو!$B$2:$B$500,0)),0))</f>
        <v/>
      </c>
      <c r="F5599" s="107" t="str">
        <f aca="false">IF($C5599="","",$D5599*$E5599)</f>
        <v/>
      </c>
      <c r="G5599" s="107" t="str">
        <f aca="false">IF($C5599="","",$D5599*IFERROR(INDEX('تحليل التكلفة والسعر'!$C$2:$C$700,MATCH($C5599,'تحليل التكلفة والسعر'!$B$2:$B$700,0)),0))</f>
        <v/>
      </c>
    </row>
    <row r="5600" customFormat="false" ht="15" hidden="false" customHeight="false" outlineLevel="0" collapsed="false">
      <c r="A5600" s="103"/>
      <c r="B5600" s="104"/>
      <c r="C5600" s="104"/>
      <c r="E5600" s="107" t="str">
        <f aca="false">IF($C5600="","",IFERROR(INDEX(المنيو!$C$2:$C$500,MATCH($C5600,المنيو!$B$2:$B$500,0)),0))</f>
        <v/>
      </c>
      <c r="F5600" s="107" t="str">
        <f aca="false">IF($C5600="","",$D5600*$E5600)</f>
        <v/>
      </c>
      <c r="G5600" s="107" t="str">
        <f aca="false">IF($C5600="","",$D5600*IFERROR(INDEX('تحليل التكلفة والسعر'!$C$2:$C$700,MATCH($C5600,'تحليل التكلفة والسعر'!$B$2:$B$700,0)),0))</f>
        <v/>
      </c>
    </row>
    <row r="5601" customFormat="false" ht="15" hidden="false" customHeight="false" outlineLevel="0" collapsed="false">
      <c r="A5601" s="103"/>
      <c r="B5601" s="104"/>
      <c r="C5601" s="104"/>
      <c r="E5601" s="107" t="str">
        <f aca="false">IF($C5601="","",IFERROR(INDEX(المنيو!$C$2:$C$500,MATCH($C5601,المنيو!$B$2:$B$500,0)),0))</f>
        <v/>
      </c>
      <c r="F5601" s="107" t="str">
        <f aca="false">IF($C5601="","",$D5601*$E5601)</f>
        <v/>
      </c>
      <c r="G5601" s="107" t="str">
        <f aca="false">IF($C5601="","",$D5601*IFERROR(INDEX('تحليل التكلفة والسعر'!$C$2:$C$700,MATCH($C5601,'تحليل التكلفة والسعر'!$B$2:$B$700,0)),0))</f>
        <v/>
      </c>
    </row>
    <row r="5602" customFormat="false" ht="15" hidden="false" customHeight="false" outlineLevel="0" collapsed="false">
      <c r="A5602" s="103"/>
      <c r="B5602" s="104"/>
      <c r="C5602" s="104"/>
      <c r="E5602" s="107" t="str">
        <f aca="false">IF($C5602="","",IFERROR(INDEX(المنيو!$C$2:$C$500,MATCH($C5602,المنيو!$B$2:$B$500,0)),0))</f>
        <v/>
      </c>
      <c r="F5602" s="107" t="str">
        <f aca="false">IF($C5602="","",$D5602*$E5602)</f>
        <v/>
      </c>
      <c r="G5602" s="107" t="str">
        <f aca="false">IF($C5602="","",$D5602*IFERROR(INDEX('تحليل التكلفة والسعر'!$C$2:$C$700,MATCH($C5602,'تحليل التكلفة والسعر'!$B$2:$B$700,0)),0))</f>
        <v/>
      </c>
    </row>
    <row r="5603" customFormat="false" ht="15" hidden="false" customHeight="false" outlineLevel="0" collapsed="false">
      <c r="A5603" s="103"/>
      <c r="B5603" s="104"/>
      <c r="C5603" s="104"/>
      <c r="E5603" s="107" t="str">
        <f aca="false">IF($C5603="","",IFERROR(INDEX(المنيو!$C$2:$C$500,MATCH($C5603,المنيو!$B$2:$B$500,0)),0))</f>
        <v/>
      </c>
      <c r="F5603" s="107" t="str">
        <f aca="false">IF($C5603="","",$D5603*$E5603)</f>
        <v/>
      </c>
      <c r="G5603" s="107" t="str">
        <f aca="false">IF($C5603="","",$D5603*IFERROR(INDEX('تحليل التكلفة والسعر'!$C$2:$C$700,MATCH($C5603,'تحليل التكلفة والسعر'!$B$2:$B$700,0)),0))</f>
        <v/>
      </c>
    </row>
    <row r="5604" customFormat="false" ht="15" hidden="false" customHeight="false" outlineLevel="0" collapsed="false">
      <c r="A5604" s="103"/>
      <c r="B5604" s="104"/>
      <c r="C5604" s="104"/>
      <c r="E5604" s="107" t="str">
        <f aca="false">IF($C5604="","",IFERROR(INDEX(المنيو!$C$2:$C$500,MATCH($C5604,المنيو!$B$2:$B$500,0)),0))</f>
        <v/>
      </c>
      <c r="F5604" s="107" t="str">
        <f aca="false">IF($C5604="","",$D5604*$E5604)</f>
        <v/>
      </c>
      <c r="G5604" s="107" t="str">
        <f aca="false">IF($C5604="","",$D5604*IFERROR(INDEX('تحليل التكلفة والسعر'!$C$2:$C$700,MATCH($C5604,'تحليل التكلفة والسعر'!$B$2:$B$700,0)),0))</f>
        <v/>
      </c>
    </row>
    <row r="5605" customFormat="false" ht="15" hidden="false" customHeight="false" outlineLevel="0" collapsed="false">
      <c r="A5605" s="103"/>
      <c r="B5605" s="104"/>
      <c r="C5605" s="104"/>
      <c r="E5605" s="107" t="str">
        <f aca="false">IF($C5605="","",IFERROR(INDEX(المنيو!$C$2:$C$500,MATCH($C5605,المنيو!$B$2:$B$500,0)),0))</f>
        <v/>
      </c>
      <c r="F5605" s="107" t="str">
        <f aca="false">IF($C5605="","",$D5605*$E5605)</f>
        <v/>
      </c>
      <c r="G5605" s="107" t="str">
        <f aca="false">IF($C5605="","",$D5605*IFERROR(INDEX('تحليل التكلفة والسعر'!$C$2:$C$700,MATCH($C5605,'تحليل التكلفة والسعر'!$B$2:$B$700,0)),0))</f>
        <v/>
      </c>
    </row>
    <row r="5606" customFormat="false" ht="15" hidden="false" customHeight="false" outlineLevel="0" collapsed="false">
      <c r="A5606" s="103"/>
      <c r="B5606" s="104"/>
      <c r="C5606" s="104"/>
      <c r="E5606" s="107" t="str">
        <f aca="false">IF($C5606="","",IFERROR(INDEX(المنيو!$C$2:$C$500,MATCH($C5606,المنيو!$B$2:$B$500,0)),0))</f>
        <v/>
      </c>
      <c r="F5606" s="107" t="str">
        <f aca="false">IF($C5606="","",$D5606*$E5606)</f>
        <v/>
      </c>
      <c r="G5606" s="107" t="str">
        <f aca="false">IF($C5606="","",$D5606*IFERROR(INDEX('تحليل التكلفة والسعر'!$C$2:$C$700,MATCH($C5606,'تحليل التكلفة والسعر'!$B$2:$B$700,0)),0))</f>
        <v/>
      </c>
    </row>
    <row r="5607" customFormat="false" ht="15" hidden="false" customHeight="false" outlineLevel="0" collapsed="false">
      <c r="A5607" s="103"/>
      <c r="B5607" s="104"/>
      <c r="C5607" s="104"/>
      <c r="E5607" s="107" t="str">
        <f aca="false">IF($C5607="","",IFERROR(INDEX(المنيو!$C$2:$C$500,MATCH($C5607,المنيو!$B$2:$B$500,0)),0))</f>
        <v/>
      </c>
      <c r="F5607" s="107" t="str">
        <f aca="false">IF($C5607="","",$D5607*$E5607)</f>
        <v/>
      </c>
      <c r="G5607" s="107" t="str">
        <f aca="false">IF($C5607="","",$D5607*IFERROR(INDEX('تحليل التكلفة والسعر'!$C$2:$C$700,MATCH($C5607,'تحليل التكلفة والسعر'!$B$2:$B$700,0)),0))</f>
        <v/>
      </c>
    </row>
    <row r="5608" customFormat="false" ht="15" hidden="false" customHeight="false" outlineLevel="0" collapsed="false">
      <c r="A5608" s="103"/>
      <c r="B5608" s="104"/>
      <c r="C5608" s="104"/>
      <c r="E5608" s="107" t="str">
        <f aca="false">IF($C5608="","",IFERROR(INDEX(المنيو!$C$2:$C$500,MATCH($C5608,المنيو!$B$2:$B$500,0)),0))</f>
        <v/>
      </c>
      <c r="F5608" s="107" t="str">
        <f aca="false">IF($C5608="","",$D5608*$E5608)</f>
        <v/>
      </c>
      <c r="G5608" s="107" t="str">
        <f aca="false">IF($C5608="","",$D5608*IFERROR(INDEX('تحليل التكلفة والسعر'!$C$2:$C$700,MATCH($C5608,'تحليل التكلفة والسعر'!$B$2:$B$700,0)),0))</f>
        <v/>
      </c>
    </row>
    <row r="5609" customFormat="false" ht="15" hidden="false" customHeight="false" outlineLevel="0" collapsed="false">
      <c r="A5609" s="103"/>
      <c r="B5609" s="104"/>
      <c r="C5609" s="104"/>
      <c r="E5609" s="107" t="str">
        <f aca="false">IF($C5609="","",IFERROR(INDEX(المنيو!$C$2:$C$500,MATCH($C5609,المنيو!$B$2:$B$500,0)),0))</f>
        <v/>
      </c>
      <c r="F5609" s="107" t="str">
        <f aca="false">IF($C5609="","",$D5609*$E5609)</f>
        <v/>
      </c>
      <c r="G5609" s="107" t="str">
        <f aca="false">IF($C5609="","",$D5609*IFERROR(INDEX('تحليل التكلفة والسعر'!$C$2:$C$700,MATCH($C5609,'تحليل التكلفة والسعر'!$B$2:$B$700,0)),0))</f>
        <v/>
      </c>
    </row>
    <row r="5610" customFormat="false" ht="15" hidden="false" customHeight="false" outlineLevel="0" collapsed="false">
      <c r="A5610" s="103"/>
      <c r="B5610" s="104"/>
      <c r="C5610" s="104"/>
      <c r="E5610" s="107" t="str">
        <f aca="false">IF($C5610="","",IFERROR(INDEX(المنيو!$C$2:$C$500,MATCH($C5610,المنيو!$B$2:$B$500,0)),0))</f>
        <v/>
      </c>
      <c r="F5610" s="107" t="str">
        <f aca="false">IF($C5610="","",$D5610*$E5610)</f>
        <v/>
      </c>
      <c r="G5610" s="107" t="str">
        <f aca="false">IF($C5610="","",$D5610*IFERROR(INDEX('تحليل التكلفة والسعر'!$C$2:$C$700,MATCH($C5610,'تحليل التكلفة والسعر'!$B$2:$B$700,0)),0))</f>
        <v/>
      </c>
    </row>
    <row r="5611" customFormat="false" ht="15" hidden="false" customHeight="false" outlineLevel="0" collapsed="false">
      <c r="A5611" s="103"/>
      <c r="B5611" s="104"/>
      <c r="C5611" s="104"/>
      <c r="E5611" s="107" t="str">
        <f aca="false">IF($C5611="","",IFERROR(INDEX(المنيو!$C$2:$C$500,MATCH($C5611,المنيو!$B$2:$B$500,0)),0))</f>
        <v/>
      </c>
      <c r="F5611" s="107" t="str">
        <f aca="false">IF($C5611="","",$D5611*$E5611)</f>
        <v/>
      </c>
      <c r="G5611" s="107" t="str">
        <f aca="false">IF($C5611="","",$D5611*IFERROR(INDEX('تحليل التكلفة والسعر'!$C$2:$C$700,MATCH($C5611,'تحليل التكلفة والسعر'!$B$2:$B$700,0)),0))</f>
        <v/>
      </c>
    </row>
    <row r="5612" customFormat="false" ht="15" hidden="false" customHeight="false" outlineLevel="0" collapsed="false">
      <c r="A5612" s="103"/>
      <c r="B5612" s="104"/>
      <c r="C5612" s="104"/>
      <c r="E5612" s="107" t="str">
        <f aca="false">IF($C5612="","",IFERROR(INDEX(المنيو!$C$2:$C$500,MATCH($C5612,المنيو!$B$2:$B$500,0)),0))</f>
        <v/>
      </c>
      <c r="F5612" s="107" t="str">
        <f aca="false">IF($C5612="","",$D5612*$E5612)</f>
        <v/>
      </c>
      <c r="G5612" s="107" t="str">
        <f aca="false">IF($C5612="","",$D5612*IFERROR(INDEX('تحليل التكلفة والسعر'!$C$2:$C$700,MATCH($C5612,'تحليل التكلفة والسعر'!$B$2:$B$700,0)),0))</f>
        <v/>
      </c>
    </row>
    <row r="5613" customFormat="false" ht="15" hidden="false" customHeight="false" outlineLevel="0" collapsed="false">
      <c r="A5613" s="103"/>
      <c r="B5613" s="104"/>
      <c r="C5613" s="104"/>
      <c r="E5613" s="107" t="str">
        <f aca="false">IF($C5613="","",IFERROR(INDEX(المنيو!$C$2:$C$500,MATCH($C5613,المنيو!$B$2:$B$500,0)),0))</f>
        <v/>
      </c>
      <c r="F5613" s="107" t="str">
        <f aca="false">IF($C5613="","",$D5613*$E5613)</f>
        <v/>
      </c>
      <c r="G5613" s="107" t="str">
        <f aca="false">IF($C5613="","",$D5613*IFERROR(INDEX('تحليل التكلفة والسعر'!$C$2:$C$700,MATCH($C5613,'تحليل التكلفة والسعر'!$B$2:$B$700,0)),0))</f>
        <v/>
      </c>
    </row>
    <row r="5614" customFormat="false" ht="15" hidden="false" customHeight="false" outlineLevel="0" collapsed="false">
      <c r="A5614" s="103"/>
      <c r="B5614" s="104"/>
      <c r="C5614" s="104"/>
      <c r="E5614" s="107" t="str">
        <f aca="false">IF($C5614="","",IFERROR(INDEX(المنيو!$C$2:$C$500,MATCH($C5614,المنيو!$B$2:$B$500,0)),0))</f>
        <v/>
      </c>
      <c r="F5614" s="107" t="str">
        <f aca="false">IF($C5614="","",$D5614*$E5614)</f>
        <v/>
      </c>
      <c r="G5614" s="107" t="str">
        <f aca="false">IF($C5614="","",$D5614*IFERROR(INDEX('تحليل التكلفة والسعر'!$C$2:$C$700,MATCH($C5614,'تحليل التكلفة والسعر'!$B$2:$B$700,0)),0))</f>
        <v/>
      </c>
    </row>
    <row r="5615" customFormat="false" ht="15" hidden="false" customHeight="false" outlineLevel="0" collapsed="false">
      <c r="A5615" s="103"/>
      <c r="B5615" s="104"/>
      <c r="C5615" s="104"/>
      <c r="E5615" s="107" t="str">
        <f aca="false">IF($C5615="","",IFERROR(INDEX(المنيو!$C$2:$C$500,MATCH($C5615,المنيو!$B$2:$B$500,0)),0))</f>
        <v/>
      </c>
      <c r="F5615" s="107" t="str">
        <f aca="false">IF($C5615="","",$D5615*$E5615)</f>
        <v/>
      </c>
      <c r="G5615" s="107" t="str">
        <f aca="false">IF($C5615="","",$D5615*IFERROR(INDEX('تحليل التكلفة والسعر'!$C$2:$C$700,MATCH($C5615,'تحليل التكلفة والسعر'!$B$2:$B$700,0)),0))</f>
        <v/>
      </c>
    </row>
    <row r="5616" customFormat="false" ht="15" hidden="false" customHeight="false" outlineLevel="0" collapsed="false">
      <c r="A5616" s="103"/>
      <c r="B5616" s="104"/>
      <c r="C5616" s="104"/>
      <c r="E5616" s="107" t="str">
        <f aca="false">IF($C5616="","",IFERROR(INDEX(المنيو!$C$2:$C$500,MATCH($C5616,المنيو!$B$2:$B$500,0)),0))</f>
        <v/>
      </c>
      <c r="F5616" s="107" t="str">
        <f aca="false">IF($C5616="","",$D5616*$E5616)</f>
        <v/>
      </c>
      <c r="G5616" s="107" t="str">
        <f aca="false">IF($C5616="","",$D5616*IFERROR(INDEX('تحليل التكلفة والسعر'!$C$2:$C$700,MATCH($C5616,'تحليل التكلفة والسعر'!$B$2:$B$700,0)),0))</f>
        <v/>
      </c>
    </row>
    <row r="5617" customFormat="false" ht="15" hidden="false" customHeight="false" outlineLevel="0" collapsed="false">
      <c r="A5617" s="103"/>
      <c r="B5617" s="104"/>
      <c r="C5617" s="104"/>
      <c r="E5617" s="107" t="str">
        <f aca="false">IF($C5617="","",IFERROR(INDEX(المنيو!$C$2:$C$500,MATCH($C5617,المنيو!$B$2:$B$500,0)),0))</f>
        <v/>
      </c>
      <c r="F5617" s="107" t="str">
        <f aca="false">IF($C5617="","",$D5617*$E5617)</f>
        <v/>
      </c>
      <c r="G5617" s="107" t="str">
        <f aca="false">IF($C5617="","",$D5617*IFERROR(INDEX('تحليل التكلفة والسعر'!$C$2:$C$700,MATCH($C5617,'تحليل التكلفة والسعر'!$B$2:$B$700,0)),0))</f>
        <v/>
      </c>
    </row>
    <row r="5618" customFormat="false" ht="15" hidden="false" customHeight="false" outlineLevel="0" collapsed="false">
      <c r="A5618" s="103"/>
      <c r="B5618" s="104"/>
      <c r="C5618" s="104"/>
      <c r="E5618" s="107" t="str">
        <f aca="false">IF($C5618="","",IFERROR(INDEX(المنيو!$C$2:$C$500,MATCH($C5618,المنيو!$B$2:$B$500,0)),0))</f>
        <v/>
      </c>
      <c r="F5618" s="107" t="str">
        <f aca="false">IF($C5618="","",$D5618*$E5618)</f>
        <v/>
      </c>
      <c r="G5618" s="107" t="str">
        <f aca="false">IF($C5618="","",$D5618*IFERROR(INDEX('تحليل التكلفة والسعر'!$C$2:$C$700,MATCH($C5618,'تحليل التكلفة والسعر'!$B$2:$B$700,0)),0))</f>
        <v/>
      </c>
    </row>
    <row r="5619" customFormat="false" ht="15" hidden="false" customHeight="false" outlineLevel="0" collapsed="false">
      <c r="A5619" s="103"/>
      <c r="B5619" s="104"/>
      <c r="C5619" s="104"/>
      <c r="E5619" s="107" t="str">
        <f aca="false">IF($C5619="","",IFERROR(INDEX(المنيو!$C$2:$C$500,MATCH($C5619,المنيو!$B$2:$B$500,0)),0))</f>
        <v/>
      </c>
      <c r="F5619" s="107" t="str">
        <f aca="false">IF($C5619="","",$D5619*$E5619)</f>
        <v/>
      </c>
      <c r="G5619" s="107" t="str">
        <f aca="false">IF($C5619="","",$D5619*IFERROR(INDEX('تحليل التكلفة والسعر'!$C$2:$C$700,MATCH($C5619,'تحليل التكلفة والسعر'!$B$2:$B$700,0)),0))</f>
        <v/>
      </c>
    </row>
    <row r="5620" customFormat="false" ht="15" hidden="false" customHeight="false" outlineLevel="0" collapsed="false">
      <c r="A5620" s="103"/>
      <c r="B5620" s="104"/>
      <c r="C5620" s="104"/>
      <c r="E5620" s="107" t="str">
        <f aca="false">IF($C5620="","",IFERROR(INDEX(المنيو!$C$2:$C$500,MATCH($C5620,المنيو!$B$2:$B$500,0)),0))</f>
        <v/>
      </c>
      <c r="F5620" s="107" t="str">
        <f aca="false">IF($C5620="","",$D5620*$E5620)</f>
        <v/>
      </c>
      <c r="G5620" s="107" t="str">
        <f aca="false">IF($C5620="","",$D5620*IFERROR(INDEX('تحليل التكلفة والسعر'!$C$2:$C$700,MATCH($C5620,'تحليل التكلفة والسعر'!$B$2:$B$700,0)),0))</f>
        <v/>
      </c>
    </row>
    <row r="5621" customFormat="false" ht="15" hidden="false" customHeight="false" outlineLevel="0" collapsed="false">
      <c r="A5621" s="103"/>
      <c r="B5621" s="104"/>
      <c r="C5621" s="104"/>
      <c r="E5621" s="107" t="str">
        <f aca="false">IF($C5621="","",IFERROR(INDEX(المنيو!$C$2:$C$500,MATCH($C5621,المنيو!$B$2:$B$500,0)),0))</f>
        <v/>
      </c>
      <c r="F5621" s="107" t="str">
        <f aca="false">IF($C5621="","",$D5621*$E5621)</f>
        <v/>
      </c>
      <c r="G5621" s="107" t="str">
        <f aca="false">IF($C5621="","",$D5621*IFERROR(INDEX('تحليل التكلفة والسعر'!$C$2:$C$700,MATCH($C5621,'تحليل التكلفة والسعر'!$B$2:$B$700,0)),0))</f>
        <v/>
      </c>
    </row>
    <row r="5622" customFormat="false" ht="15" hidden="false" customHeight="false" outlineLevel="0" collapsed="false">
      <c r="A5622" s="103"/>
      <c r="B5622" s="104"/>
      <c r="C5622" s="104"/>
      <c r="E5622" s="107" t="str">
        <f aca="false">IF($C5622="","",IFERROR(INDEX(المنيو!$C$2:$C$500,MATCH($C5622,المنيو!$B$2:$B$500,0)),0))</f>
        <v/>
      </c>
      <c r="F5622" s="107" t="str">
        <f aca="false">IF($C5622="","",$D5622*$E5622)</f>
        <v/>
      </c>
      <c r="G5622" s="107" t="str">
        <f aca="false">IF($C5622="","",$D5622*IFERROR(INDEX('تحليل التكلفة والسعر'!$C$2:$C$700,MATCH($C5622,'تحليل التكلفة والسعر'!$B$2:$B$700,0)),0))</f>
        <v/>
      </c>
    </row>
    <row r="5623" customFormat="false" ht="15" hidden="false" customHeight="false" outlineLevel="0" collapsed="false">
      <c r="A5623" s="103"/>
      <c r="B5623" s="104"/>
      <c r="C5623" s="104"/>
      <c r="E5623" s="107" t="str">
        <f aca="false">IF($C5623="","",IFERROR(INDEX(المنيو!$C$2:$C$500,MATCH($C5623,المنيو!$B$2:$B$500,0)),0))</f>
        <v/>
      </c>
      <c r="F5623" s="107" t="str">
        <f aca="false">IF($C5623="","",$D5623*$E5623)</f>
        <v/>
      </c>
      <c r="G5623" s="107" t="str">
        <f aca="false">IF($C5623="","",$D5623*IFERROR(INDEX('تحليل التكلفة والسعر'!$C$2:$C$700,MATCH($C5623,'تحليل التكلفة والسعر'!$B$2:$B$700,0)),0))</f>
        <v/>
      </c>
    </row>
    <row r="5624" customFormat="false" ht="15" hidden="false" customHeight="false" outlineLevel="0" collapsed="false">
      <c r="A5624" s="103"/>
      <c r="B5624" s="104"/>
      <c r="C5624" s="104"/>
      <c r="E5624" s="107" t="str">
        <f aca="false">IF($C5624="","",IFERROR(INDEX(المنيو!$C$2:$C$500,MATCH($C5624,المنيو!$B$2:$B$500,0)),0))</f>
        <v/>
      </c>
      <c r="F5624" s="107" t="str">
        <f aca="false">IF($C5624="","",$D5624*$E5624)</f>
        <v/>
      </c>
      <c r="G5624" s="107" t="str">
        <f aca="false">IF($C5624="","",$D5624*IFERROR(INDEX('تحليل التكلفة والسعر'!$C$2:$C$700,MATCH($C5624,'تحليل التكلفة والسعر'!$B$2:$B$700,0)),0))</f>
        <v/>
      </c>
    </row>
    <row r="5625" customFormat="false" ht="15" hidden="false" customHeight="false" outlineLevel="0" collapsed="false">
      <c r="A5625" s="103"/>
      <c r="B5625" s="104"/>
      <c r="C5625" s="104"/>
      <c r="E5625" s="107" t="str">
        <f aca="false">IF($C5625="","",IFERROR(INDEX(المنيو!$C$2:$C$500,MATCH($C5625,المنيو!$B$2:$B$500,0)),0))</f>
        <v/>
      </c>
      <c r="F5625" s="107" t="str">
        <f aca="false">IF($C5625="","",$D5625*$E5625)</f>
        <v/>
      </c>
      <c r="G5625" s="107" t="str">
        <f aca="false">IF($C5625="","",$D5625*IFERROR(INDEX('تحليل التكلفة والسعر'!$C$2:$C$700,MATCH($C5625,'تحليل التكلفة والسعر'!$B$2:$B$700,0)),0))</f>
        <v/>
      </c>
    </row>
    <row r="5626" customFormat="false" ht="15" hidden="false" customHeight="false" outlineLevel="0" collapsed="false">
      <c r="A5626" s="103"/>
      <c r="B5626" s="104"/>
      <c r="C5626" s="104"/>
      <c r="E5626" s="107" t="str">
        <f aca="false">IF($C5626="","",IFERROR(INDEX(المنيو!$C$2:$C$500,MATCH($C5626,المنيو!$B$2:$B$500,0)),0))</f>
        <v/>
      </c>
      <c r="F5626" s="107" t="str">
        <f aca="false">IF($C5626="","",$D5626*$E5626)</f>
        <v/>
      </c>
      <c r="G5626" s="107" t="str">
        <f aca="false">IF($C5626="","",$D5626*IFERROR(INDEX('تحليل التكلفة والسعر'!$C$2:$C$700,MATCH($C5626,'تحليل التكلفة والسعر'!$B$2:$B$700,0)),0))</f>
        <v/>
      </c>
    </row>
    <row r="5627" customFormat="false" ht="15" hidden="false" customHeight="false" outlineLevel="0" collapsed="false">
      <c r="A5627" s="103"/>
      <c r="B5627" s="104"/>
      <c r="C5627" s="104"/>
      <c r="E5627" s="107" t="str">
        <f aca="false">IF($C5627="","",IFERROR(INDEX(المنيو!$C$2:$C$500,MATCH($C5627,المنيو!$B$2:$B$500,0)),0))</f>
        <v/>
      </c>
      <c r="F5627" s="107" t="str">
        <f aca="false">IF($C5627="","",$D5627*$E5627)</f>
        <v/>
      </c>
      <c r="G5627" s="107" t="str">
        <f aca="false">IF($C5627="","",$D5627*IFERROR(INDEX('تحليل التكلفة والسعر'!$C$2:$C$700,MATCH($C5627,'تحليل التكلفة والسعر'!$B$2:$B$700,0)),0))</f>
        <v/>
      </c>
    </row>
    <row r="5628" customFormat="false" ht="15" hidden="false" customHeight="false" outlineLevel="0" collapsed="false">
      <c r="A5628" s="103"/>
      <c r="B5628" s="104"/>
      <c r="C5628" s="104"/>
      <c r="E5628" s="107" t="str">
        <f aca="false">IF($C5628="","",IFERROR(INDEX(المنيو!$C$2:$C$500,MATCH($C5628,المنيو!$B$2:$B$500,0)),0))</f>
        <v/>
      </c>
      <c r="F5628" s="107" t="str">
        <f aca="false">IF($C5628="","",$D5628*$E5628)</f>
        <v/>
      </c>
      <c r="G5628" s="107" t="str">
        <f aca="false">IF($C5628="","",$D5628*IFERROR(INDEX('تحليل التكلفة والسعر'!$C$2:$C$700,MATCH($C5628,'تحليل التكلفة والسعر'!$B$2:$B$700,0)),0))</f>
        <v/>
      </c>
    </row>
    <row r="5629" customFormat="false" ht="15" hidden="false" customHeight="false" outlineLevel="0" collapsed="false">
      <c r="A5629" s="103"/>
      <c r="B5629" s="104"/>
      <c r="C5629" s="104"/>
      <c r="E5629" s="107" t="str">
        <f aca="false">IF($C5629="","",IFERROR(INDEX(المنيو!$C$2:$C$500,MATCH($C5629,المنيو!$B$2:$B$500,0)),0))</f>
        <v/>
      </c>
      <c r="F5629" s="107" t="str">
        <f aca="false">IF($C5629="","",$D5629*$E5629)</f>
        <v/>
      </c>
      <c r="G5629" s="107" t="str">
        <f aca="false">IF($C5629="","",$D5629*IFERROR(INDEX('تحليل التكلفة والسعر'!$C$2:$C$700,MATCH($C5629,'تحليل التكلفة والسعر'!$B$2:$B$700,0)),0))</f>
        <v/>
      </c>
    </row>
    <row r="5630" customFormat="false" ht="15" hidden="false" customHeight="false" outlineLevel="0" collapsed="false">
      <c r="A5630" s="103"/>
      <c r="B5630" s="104"/>
      <c r="C5630" s="104"/>
      <c r="E5630" s="107" t="str">
        <f aca="false">IF($C5630="","",IFERROR(INDEX(المنيو!$C$2:$C$500,MATCH($C5630,المنيو!$B$2:$B$500,0)),0))</f>
        <v/>
      </c>
      <c r="F5630" s="107" t="str">
        <f aca="false">IF($C5630="","",$D5630*$E5630)</f>
        <v/>
      </c>
      <c r="G5630" s="107" t="str">
        <f aca="false">IF($C5630="","",$D5630*IFERROR(INDEX('تحليل التكلفة والسعر'!$C$2:$C$700,MATCH($C5630,'تحليل التكلفة والسعر'!$B$2:$B$700,0)),0))</f>
        <v/>
      </c>
    </row>
    <row r="5631" customFormat="false" ht="15" hidden="false" customHeight="false" outlineLevel="0" collapsed="false">
      <c r="A5631" s="103"/>
      <c r="B5631" s="104"/>
      <c r="C5631" s="104"/>
      <c r="E5631" s="107" t="str">
        <f aca="false">IF($C5631="","",IFERROR(INDEX(المنيو!$C$2:$C$500,MATCH($C5631,المنيو!$B$2:$B$500,0)),0))</f>
        <v/>
      </c>
      <c r="F5631" s="107" t="str">
        <f aca="false">IF($C5631="","",$D5631*$E5631)</f>
        <v/>
      </c>
      <c r="G5631" s="107" t="str">
        <f aca="false">IF($C5631="","",$D5631*IFERROR(INDEX('تحليل التكلفة والسعر'!$C$2:$C$700,MATCH($C5631,'تحليل التكلفة والسعر'!$B$2:$B$700,0)),0))</f>
        <v/>
      </c>
    </row>
    <row r="5632" customFormat="false" ht="15" hidden="false" customHeight="false" outlineLevel="0" collapsed="false">
      <c r="A5632" s="103"/>
      <c r="B5632" s="104"/>
      <c r="C5632" s="104"/>
      <c r="E5632" s="107" t="str">
        <f aca="false">IF($C5632="","",IFERROR(INDEX(المنيو!$C$2:$C$500,MATCH($C5632,المنيو!$B$2:$B$500,0)),0))</f>
        <v/>
      </c>
      <c r="F5632" s="107" t="str">
        <f aca="false">IF($C5632="","",$D5632*$E5632)</f>
        <v/>
      </c>
      <c r="G5632" s="107" t="str">
        <f aca="false">IF($C5632="","",$D5632*IFERROR(INDEX('تحليل التكلفة والسعر'!$C$2:$C$700,MATCH($C5632,'تحليل التكلفة والسعر'!$B$2:$B$700,0)),0))</f>
        <v/>
      </c>
    </row>
    <row r="5633" customFormat="false" ht="15" hidden="false" customHeight="false" outlineLevel="0" collapsed="false">
      <c r="A5633" s="103"/>
      <c r="B5633" s="104"/>
      <c r="C5633" s="104"/>
      <c r="E5633" s="107" t="str">
        <f aca="false">IF($C5633="","",IFERROR(INDEX(المنيو!$C$2:$C$500,MATCH($C5633,المنيو!$B$2:$B$500,0)),0))</f>
        <v/>
      </c>
      <c r="F5633" s="107" t="str">
        <f aca="false">IF($C5633="","",$D5633*$E5633)</f>
        <v/>
      </c>
      <c r="G5633" s="107" t="str">
        <f aca="false">IF($C5633="","",$D5633*IFERROR(INDEX('تحليل التكلفة والسعر'!$C$2:$C$700,MATCH($C5633,'تحليل التكلفة والسعر'!$B$2:$B$700,0)),0))</f>
        <v/>
      </c>
    </row>
    <row r="5634" customFormat="false" ht="15" hidden="false" customHeight="false" outlineLevel="0" collapsed="false">
      <c r="A5634" s="103"/>
      <c r="B5634" s="104"/>
      <c r="C5634" s="104"/>
      <c r="E5634" s="107" t="str">
        <f aca="false">IF($C5634="","",IFERROR(INDEX(المنيو!$C$2:$C$500,MATCH($C5634,المنيو!$B$2:$B$500,0)),0))</f>
        <v/>
      </c>
      <c r="F5634" s="107" t="str">
        <f aca="false">IF($C5634="","",$D5634*$E5634)</f>
        <v/>
      </c>
      <c r="G5634" s="107" t="str">
        <f aca="false">IF($C5634="","",$D5634*IFERROR(INDEX('تحليل التكلفة والسعر'!$C$2:$C$700,MATCH($C5634,'تحليل التكلفة والسعر'!$B$2:$B$700,0)),0))</f>
        <v/>
      </c>
    </row>
    <row r="5635" customFormat="false" ht="15" hidden="false" customHeight="false" outlineLevel="0" collapsed="false">
      <c r="A5635" s="103"/>
      <c r="B5635" s="104"/>
      <c r="C5635" s="104"/>
      <c r="E5635" s="107" t="str">
        <f aca="false">IF($C5635="","",IFERROR(INDEX(المنيو!$C$2:$C$500,MATCH($C5635,المنيو!$B$2:$B$500,0)),0))</f>
        <v/>
      </c>
      <c r="F5635" s="107" t="str">
        <f aca="false">IF($C5635="","",$D5635*$E5635)</f>
        <v/>
      </c>
      <c r="G5635" s="107" t="str">
        <f aca="false">IF($C5635="","",$D5635*IFERROR(INDEX('تحليل التكلفة والسعر'!$C$2:$C$700,MATCH($C5635,'تحليل التكلفة والسعر'!$B$2:$B$700,0)),0))</f>
        <v/>
      </c>
    </row>
    <row r="5636" customFormat="false" ht="15" hidden="false" customHeight="false" outlineLevel="0" collapsed="false">
      <c r="A5636" s="103"/>
      <c r="B5636" s="104"/>
      <c r="C5636" s="104"/>
      <c r="E5636" s="107" t="str">
        <f aca="false">IF($C5636="","",IFERROR(INDEX(المنيو!$C$2:$C$500,MATCH($C5636,المنيو!$B$2:$B$500,0)),0))</f>
        <v/>
      </c>
      <c r="F5636" s="107" t="str">
        <f aca="false">IF($C5636="","",$D5636*$E5636)</f>
        <v/>
      </c>
      <c r="G5636" s="107" t="str">
        <f aca="false">IF($C5636="","",$D5636*IFERROR(INDEX('تحليل التكلفة والسعر'!$C$2:$C$700,MATCH($C5636,'تحليل التكلفة والسعر'!$B$2:$B$700,0)),0))</f>
        <v/>
      </c>
    </row>
    <row r="5637" customFormat="false" ht="15" hidden="false" customHeight="false" outlineLevel="0" collapsed="false">
      <c r="A5637" s="103"/>
      <c r="B5637" s="104"/>
      <c r="C5637" s="104"/>
      <c r="E5637" s="107" t="str">
        <f aca="false">IF($C5637="","",IFERROR(INDEX(المنيو!$C$2:$C$500,MATCH($C5637,المنيو!$B$2:$B$500,0)),0))</f>
        <v/>
      </c>
      <c r="F5637" s="107" t="str">
        <f aca="false">IF($C5637="","",$D5637*$E5637)</f>
        <v/>
      </c>
      <c r="G5637" s="107" t="str">
        <f aca="false">IF($C5637="","",$D5637*IFERROR(INDEX('تحليل التكلفة والسعر'!$C$2:$C$700,MATCH($C5637,'تحليل التكلفة والسعر'!$B$2:$B$700,0)),0))</f>
        <v/>
      </c>
    </row>
    <row r="5638" customFormat="false" ht="15" hidden="false" customHeight="false" outlineLevel="0" collapsed="false">
      <c r="A5638" s="103"/>
      <c r="B5638" s="104"/>
      <c r="C5638" s="104"/>
      <c r="E5638" s="107" t="str">
        <f aca="false">IF($C5638="","",IFERROR(INDEX(المنيو!$C$2:$C$500,MATCH($C5638,المنيو!$B$2:$B$500,0)),0))</f>
        <v/>
      </c>
      <c r="F5638" s="107" t="str">
        <f aca="false">IF($C5638="","",$D5638*$E5638)</f>
        <v/>
      </c>
      <c r="G5638" s="107" t="str">
        <f aca="false">IF($C5638="","",$D5638*IFERROR(INDEX('تحليل التكلفة والسعر'!$C$2:$C$700,MATCH($C5638,'تحليل التكلفة والسعر'!$B$2:$B$700,0)),0))</f>
        <v/>
      </c>
    </row>
    <row r="5639" customFormat="false" ht="15" hidden="false" customHeight="false" outlineLevel="0" collapsed="false">
      <c r="A5639" s="103"/>
      <c r="B5639" s="104"/>
      <c r="C5639" s="104"/>
      <c r="E5639" s="107" t="str">
        <f aca="false">IF($C5639="","",IFERROR(INDEX(المنيو!$C$2:$C$500,MATCH($C5639,المنيو!$B$2:$B$500,0)),0))</f>
        <v/>
      </c>
      <c r="F5639" s="107" t="str">
        <f aca="false">IF($C5639="","",$D5639*$E5639)</f>
        <v/>
      </c>
      <c r="G5639" s="107" t="str">
        <f aca="false">IF($C5639="","",$D5639*IFERROR(INDEX('تحليل التكلفة والسعر'!$C$2:$C$700,MATCH($C5639,'تحليل التكلفة والسعر'!$B$2:$B$700,0)),0))</f>
        <v/>
      </c>
    </row>
    <row r="5640" customFormat="false" ht="15" hidden="false" customHeight="false" outlineLevel="0" collapsed="false">
      <c r="A5640" s="103"/>
      <c r="B5640" s="104"/>
      <c r="C5640" s="104"/>
      <c r="E5640" s="107" t="str">
        <f aca="false">IF($C5640="","",IFERROR(INDEX(المنيو!$C$2:$C$500,MATCH($C5640,المنيو!$B$2:$B$500,0)),0))</f>
        <v/>
      </c>
      <c r="F5640" s="107" t="str">
        <f aca="false">IF($C5640="","",$D5640*$E5640)</f>
        <v/>
      </c>
      <c r="G5640" s="107" t="str">
        <f aca="false">IF($C5640="","",$D5640*IFERROR(INDEX('تحليل التكلفة والسعر'!$C$2:$C$700,MATCH($C5640,'تحليل التكلفة والسعر'!$B$2:$B$700,0)),0))</f>
        <v/>
      </c>
    </row>
    <row r="5641" customFormat="false" ht="15" hidden="false" customHeight="false" outlineLevel="0" collapsed="false">
      <c r="A5641" s="103"/>
      <c r="B5641" s="104"/>
      <c r="C5641" s="104"/>
      <c r="E5641" s="107" t="str">
        <f aca="false">IF($C5641="","",IFERROR(INDEX(المنيو!$C$2:$C$500,MATCH($C5641,المنيو!$B$2:$B$500,0)),0))</f>
        <v/>
      </c>
      <c r="F5641" s="107" t="str">
        <f aca="false">IF($C5641="","",$D5641*$E5641)</f>
        <v/>
      </c>
      <c r="G5641" s="107" t="str">
        <f aca="false">IF($C5641="","",$D5641*IFERROR(INDEX('تحليل التكلفة والسعر'!$C$2:$C$700,MATCH($C5641,'تحليل التكلفة والسعر'!$B$2:$B$700,0)),0))</f>
        <v/>
      </c>
    </row>
    <row r="5642" customFormat="false" ht="15" hidden="false" customHeight="false" outlineLevel="0" collapsed="false">
      <c r="A5642" s="103"/>
      <c r="B5642" s="104"/>
      <c r="C5642" s="104"/>
      <c r="E5642" s="107" t="str">
        <f aca="false">IF($C5642="","",IFERROR(INDEX(المنيو!$C$2:$C$500,MATCH($C5642,المنيو!$B$2:$B$500,0)),0))</f>
        <v/>
      </c>
      <c r="F5642" s="107" t="str">
        <f aca="false">IF($C5642="","",$D5642*$E5642)</f>
        <v/>
      </c>
      <c r="G5642" s="107" t="str">
        <f aca="false">IF($C5642="","",$D5642*IFERROR(INDEX('تحليل التكلفة والسعر'!$C$2:$C$700,MATCH($C5642,'تحليل التكلفة والسعر'!$B$2:$B$700,0)),0))</f>
        <v/>
      </c>
    </row>
    <row r="5643" customFormat="false" ht="15" hidden="false" customHeight="false" outlineLevel="0" collapsed="false">
      <c r="A5643" s="103"/>
      <c r="B5643" s="104"/>
      <c r="C5643" s="104"/>
      <c r="E5643" s="107" t="str">
        <f aca="false">IF($C5643="","",IFERROR(INDEX(المنيو!$C$2:$C$500,MATCH($C5643,المنيو!$B$2:$B$500,0)),0))</f>
        <v/>
      </c>
      <c r="F5643" s="107" t="str">
        <f aca="false">IF($C5643="","",$D5643*$E5643)</f>
        <v/>
      </c>
      <c r="G5643" s="107" t="str">
        <f aca="false">IF($C5643="","",$D5643*IFERROR(INDEX('تحليل التكلفة والسعر'!$C$2:$C$700,MATCH($C5643,'تحليل التكلفة والسعر'!$B$2:$B$700,0)),0))</f>
        <v/>
      </c>
    </row>
    <row r="5644" customFormat="false" ht="15" hidden="false" customHeight="false" outlineLevel="0" collapsed="false">
      <c r="A5644" s="103"/>
      <c r="B5644" s="104"/>
      <c r="C5644" s="104"/>
      <c r="E5644" s="107" t="str">
        <f aca="false">IF($C5644="","",IFERROR(INDEX(المنيو!$C$2:$C$500,MATCH($C5644,المنيو!$B$2:$B$500,0)),0))</f>
        <v/>
      </c>
      <c r="F5644" s="107" t="str">
        <f aca="false">IF($C5644="","",$D5644*$E5644)</f>
        <v/>
      </c>
      <c r="G5644" s="107" t="str">
        <f aca="false">IF($C5644="","",$D5644*IFERROR(INDEX('تحليل التكلفة والسعر'!$C$2:$C$700,MATCH($C5644,'تحليل التكلفة والسعر'!$B$2:$B$700,0)),0))</f>
        <v/>
      </c>
    </row>
    <row r="5645" customFormat="false" ht="15" hidden="false" customHeight="false" outlineLevel="0" collapsed="false">
      <c r="A5645" s="103"/>
      <c r="B5645" s="104"/>
      <c r="C5645" s="104"/>
      <c r="E5645" s="107" t="str">
        <f aca="false">IF($C5645="","",IFERROR(INDEX(المنيو!$C$2:$C$500,MATCH($C5645,المنيو!$B$2:$B$500,0)),0))</f>
        <v/>
      </c>
      <c r="F5645" s="107" t="str">
        <f aca="false">IF($C5645="","",$D5645*$E5645)</f>
        <v/>
      </c>
      <c r="G5645" s="107" t="str">
        <f aca="false">IF($C5645="","",$D5645*IFERROR(INDEX('تحليل التكلفة والسعر'!$C$2:$C$700,MATCH($C5645,'تحليل التكلفة والسعر'!$B$2:$B$700,0)),0))</f>
        <v/>
      </c>
    </row>
    <row r="5646" customFormat="false" ht="15" hidden="false" customHeight="false" outlineLevel="0" collapsed="false">
      <c r="A5646" s="103"/>
      <c r="B5646" s="104"/>
      <c r="C5646" s="104"/>
      <c r="E5646" s="107" t="str">
        <f aca="false">IF($C5646="","",IFERROR(INDEX(المنيو!$C$2:$C$500,MATCH($C5646,المنيو!$B$2:$B$500,0)),0))</f>
        <v/>
      </c>
      <c r="F5646" s="107" t="str">
        <f aca="false">IF($C5646="","",$D5646*$E5646)</f>
        <v/>
      </c>
      <c r="G5646" s="107" t="str">
        <f aca="false">IF($C5646="","",$D5646*IFERROR(INDEX('تحليل التكلفة والسعر'!$C$2:$C$700,MATCH($C5646,'تحليل التكلفة والسعر'!$B$2:$B$700,0)),0))</f>
        <v/>
      </c>
    </row>
    <row r="5647" customFormat="false" ht="15" hidden="false" customHeight="false" outlineLevel="0" collapsed="false">
      <c r="A5647" s="103"/>
      <c r="B5647" s="104"/>
      <c r="C5647" s="104"/>
      <c r="E5647" s="107" t="str">
        <f aca="false">IF($C5647="","",IFERROR(INDEX(المنيو!$C$2:$C$500,MATCH($C5647,المنيو!$B$2:$B$500,0)),0))</f>
        <v/>
      </c>
      <c r="F5647" s="107" t="str">
        <f aca="false">IF($C5647="","",$D5647*$E5647)</f>
        <v/>
      </c>
      <c r="G5647" s="107" t="str">
        <f aca="false">IF($C5647="","",$D5647*IFERROR(INDEX('تحليل التكلفة والسعر'!$C$2:$C$700,MATCH($C5647,'تحليل التكلفة والسعر'!$B$2:$B$700,0)),0))</f>
        <v/>
      </c>
    </row>
    <row r="5648" customFormat="false" ht="15" hidden="false" customHeight="false" outlineLevel="0" collapsed="false">
      <c r="A5648" s="103"/>
      <c r="B5648" s="104"/>
      <c r="C5648" s="104"/>
      <c r="E5648" s="107" t="str">
        <f aca="false">IF($C5648="","",IFERROR(INDEX(المنيو!$C$2:$C$500,MATCH($C5648,المنيو!$B$2:$B$500,0)),0))</f>
        <v/>
      </c>
      <c r="F5648" s="107" t="str">
        <f aca="false">IF($C5648="","",$D5648*$E5648)</f>
        <v/>
      </c>
      <c r="G5648" s="107" t="str">
        <f aca="false">IF($C5648="","",$D5648*IFERROR(INDEX('تحليل التكلفة والسعر'!$C$2:$C$700,MATCH($C5648,'تحليل التكلفة والسعر'!$B$2:$B$700,0)),0))</f>
        <v/>
      </c>
    </row>
    <row r="5649" customFormat="false" ht="15" hidden="false" customHeight="false" outlineLevel="0" collapsed="false">
      <c r="A5649" s="103"/>
      <c r="B5649" s="104"/>
      <c r="C5649" s="104"/>
      <c r="E5649" s="107" t="str">
        <f aca="false">IF($C5649="","",IFERROR(INDEX(المنيو!$C$2:$C$500,MATCH($C5649,المنيو!$B$2:$B$500,0)),0))</f>
        <v/>
      </c>
      <c r="F5649" s="107" t="str">
        <f aca="false">IF($C5649="","",$D5649*$E5649)</f>
        <v/>
      </c>
      <c r="G5649" s="107" t="str">
        <f aca="false">IF($C5649="","",$D5649*IFERROR(INDEX('تحليل التكلفة والسعر'!$C$2:$C$700,MATCH($C5649,'تحليل التكلفة والسعر'!$B$2:$B$700,0)),0))</f>
        <v/>
      </c>
    </row>
    <row r="5650" customFormat="false" ht="15" hidden="false" customHeight="false" outlineLevel="0" collapsed="false">
      <c r="A5650" s="103"/>
      <c r="B5650" s="104"/>
      <c r="C5650" s="104"/>
      <c r="E5650" s="107" t="str">
        <f aca="false">IF($C5650="","",IFERROR(INDEX(المنيو!$C$2:$C$500,MATCH($C5650,المنيو!$B$2:$B$500,0)),0))</f>
        <v/>
      </c>
      <c r="F5650" s="107" t="str">
        <f aca="false">IF($C5650="","",$D5650*$E5650)</f>
        <v/>
      </c>
      <c r="G5650" s="107" t="str">
        <f aca="false">IF($C5650="","",$D5650*IFERROR(INDEX('تحليل التكلفة والسعر'!$C$2:$C$700,MATCH($C5650,'تحليل التكلفة والسعر'!$B$2:$B$700,0)),0))</f>
        <v/>
      </c>
    </row>
    <row r="5651" customFormat="false" ht="15" hidden="false" customHeight="false" outlineLevel="0" collapsed="false">
      <c r="A5651" s="103"/>
      <c r="B5651" s="104"/>
      <c r="C5651" s="104"/>
      <c r="E5651" s="107" t="str">
        <f aca="false">IF($C5651="","",IFERROR(INDEX(المنيو!$C$2:$C$500,MATCH($C5651,المنيو!$B$2:$B$500,0)),0))</f>
        <v/>
      </c>
      <c r="F5651" s="107" t="str">
        <f aca="false">IF($C5651="","",$D5651*$E5651)</f>
        <v/>
      </c>
      <c r="G5651" s="107" t="str">
        <f aca="false">IF($C5651="","",$D5651*IFERROR(INDEX('تحليل التكلفة والسعر'!$C$2:$C$700,MATCH($C5651,'تحليل التكلفة والسعر'!$B$2:$B$700,0)),0))</f>
        <v/>
      </c>
    </row>
    <row r="5652" customFormat="false" ht="15" hidden="false" customHeight="false" outlineLevel="0" collapsed="false">
      <c r="A5652" s="103"/>
      <c r="B5652" s="104"/>
      <c r="C5652" s="104"/>
      <c r="E5652" s="107" t="str">
        <f aca="false">IF($C5652="","",IFERROR(INDEX(المنيو!$C$2:$C$500,MATCH($C5652,المنيو!$B$2:$B$500,0)),0))</f>
        <v/>
      </c>
      <c r="F5652" s="107" t="str">
        <f aca="false">IF($C5652="","",$D5652*$E5652)</f>
        <v/>
      </c>
      <c r="G5652" s="107" t="str">
        <f aca="false">IF($C5652="","",$D5652*IFERROR(INDEX('تحليل التكلفة والسعر'!$C$2:$C$700,MATCH($C5652,'تحليل التكلفة والسعر'!$B$2:$B$700,0)),0))</f>
        <v/>
      </c>
    </row>
    <row r="5653" customFormat="false" ht="15" hidden="false" customHeight="false" outlineLevel="0" collapsed="false">
      <c r="A5653" s="103"/>
      <c r="B5653" s="104"/>
      <c r="C5653" s="104"/>
      <c r="E5653" s="107" t="str">
        <f aca="false">IF($C5653="","",IFERROR(INDEX(المنيو!$C$2:$C$500,MATCH($C5653,المنيو!$B$2:$B$500,0)),0))</f>
        <v/>
      </c>
      <c r="F5653" s="107" t="str">
        <f aca="false">IF($C5653="","",$D5653*$E5653)</f>
        <v/>
      </c>
      <c r="G5653" s="107" t="str">
        <f aca="false">IF($C5653="","",$D5653*IFERROR(INDEX('تحليل التكلفة والسعر'!$C$2:$C$700,MATCH($C5653,'تحليل التكلفة والسعر'!$B$2:$B$700,0)),0))</f>
        <v/>
      </c>
    </row>
    <row r="5654" customFormat="false" ht="15" hidden="false" customHeight="false" outlineLevel="0" collapsed="false">
      <c r="A5654" s="103"/>
      <c r="B5654" s="104"/>
      <c r="C5654" s="104"/>
      <c r="E5654" s="107" t="str">
        <f aca="false">IF($C5654="","",IFERROR(INDEX(المنيو!$C$2:$C$500,MATCH($C5654,المنيو!$B$2:$B$500,0)),0))</f>
        <v/>
      </c>
      <c r="F5654" s="107" t="str">
        <f aca="false">IF($C5654="","",$D5654*$E5654)</f>
        <v/>
      </c>
      <c r="G5654" s="107" t="str">
        <f aca="false">IF($C5654="","",$D5654*IFERROR(INDEX('تحليل التكلفة والسعر'!$C$2:$C$700,MATCH($C5654,'تحليل التكلفة والسعر'!$B$2:$B$700,0)),0))</f>
        <v/>
      </c>
    </row>
    <row r="5655" customFormat="false" ht="15" hidden="false" customHeight="false" outlineLevel="0" collapsed="false">
      <c r="A5655" s="103"/>
      <c r="B5655" s="104"/>
      <c r="C5655" s="104"/>
      <c r="E5655" s="107" t="str">
        <f aca="false">IF($C5655="","",IFERROR(INDEX(المنيو!$C$2:$C$500,MATCH($C5655,المنيو!$B$2:$B$500,0)),0))</f>
        <v/>
      </c>
      <c r="F5655" s="107" t="str">
        <f aca="false">IF($C5655="","",$D5655*$E5655)</f>
        <v/>
      </c>
      <c r="G5655" s="107" t="str">
        <f aca="false">IF($C5655="","",$D5655*IFERROR(INDEX('تحليل التكلفة والسعر'!$C$2:$C$700,MATCH($C5655,'تحليل التكلفة والسعر'!$B$2:$B$700,0)),0))</f>
        <v/>
      </c>
    </row>
    <row r="5656" customFormat="false" ht="15" hidden="false" customHeight="false" outlineLevel="0" collapsed="false">
      <c r="A5656" s="103"/>
      <c r="B5656" s="104"/>
      <c r="C5656" s="104"/>
      <c r="E5656" s="107" t="str">
        <f aca="false">IF($C5656="","",IFERROR(INDEX(المنيو!$C$2:$C$500,MATCH($C5656,المنيو!$B$2:$B$500,0)),0))</f>
        <v/>
      </c>
      <c r="F5656" s="107" t="str">
        <f aca="false">IF($C5656="","",$D5656*$E5656)</f>
        <v/>
      </c>
      <c r="G5656" s="107" t="str">
        <f aca="false">IF($C5656="","",$D5656*IFERROR(INDEX('تحليل التكلفة والسعر'!$C$2:$C$700,MATCH($C5656,'تحليل التكلفة والسعر'!$B$2:$B$700,0)),0))</f>
        <v/>
      </c>
    </row>
    <row r="5657" customFormat="false" ht="15" hidden="false" customHeight="false" outlineLevel="0" collapsed="false">
      <c r="A5657" s="103"/>
      <c r="B5657" s="104"/>
      <c r="C5657" s="104"/>
      <c r="E5657" s="107" t="str">
        <f aca="false">IF($C5657="","",IFERROR(INDEX(المنيو!$C$2:$C$500,MATCH($C5657,المنيو!$B$2:$B$500,0)),0))</f>
        <v/>
      </c>
      <c r="F5657" s="107" t="str">
        <f aca="false">IF($C5657="","",$D5657*$E5657)</f>
        <v/>
      </c>
      <c r="G5657" s="107" t="str">
        <f aca="false">IF($C5657="","",$D5657*IFERROR(INDEX('تحليل التكلفة والسعر'!$C$2:$C$700,MATCH($C5657,'تحليل التكلفة والسعر'!$B$2:$B$700,0)),0))</f>
        <v/>
      </c>
    </row>
    <row r="5658" customFormat="false" ht="15" hidden="false" customHeight="false" outlineLevel="0" collapsed="false">
      <c r="A5658" s="103"/>
      <c r="B5658" s="104"/>
      <c r="C5658" s="104"/>
      <c r="E5658" s="107" t="str">
        <f aca="false">IF($C5658="","",IFERROR(INDEX(المنيو!$C$2:$C$500,MATCH($C5658,المنيو!$B$2:$B$500,0)),0))</f>
        <v/>
      </c>
      <c r="F5658" s="107" t="str">
        <f aca="false">IF($C5658="","",$D5658*$E5658)</f>
        <v/>
      </c>
      <c r="G5658" s="107" t="str">
        <f aca="false">IF($C5658="","",$D5658*IFERROR(INDEX('تحليل التكلفة والسعر'!$C$2:$C$700,MATCH($C5658,'تحليل التكلفة والسعر'!$B$2:$B$700,0)),0))</f>
        <v/>
      </c>
    </row>
    <row r="5659" customFormat="false" ht="15" hidden="false" customHeight="false" outlineLevel="0" collapsed="false">
      <c r="A5659" s="103"/>
      <c r="B5659" s="104"/>
      <c r="C5659" s="104"/>
      <c r="E5659" s="107" t="str">
        <f aca="false">IF($C5659="","",IFERROR(INDEX(المنيو!$C$2:$C$500,MATCH($C5659,المنيو!$B$2:$B$500,0)),0))</f>
        <v/>
      </c>
      <c r="F5659" s="107" t="str">
        <f aca="false">IF($C5659="","",$D5659*$E5659)</f>
        <v/>
      </c>
      <c r="G5659" s="107" t="str">
        <f aca="false">IF($C5659="","",$D5659*IFERROR(INDEX('تحليل التكلفة والسعر'!$C$2:$C$700,MATCH($C5659,'تحليل التكلفة والسعر'!$B$2:$B$700,0)),0))</f>
        <v/>
      </c>
    </row>
    <row r="5660" customFormat="false" ht="15" hidden="false" customHeight="false" outlineLevel="0" collapsed="false">
      <c r="A5660" s="103"/>
      <c r="B5660" s="104"/>
      <c r="C5660" s="104"/>
      <c r="E5660" s="107" t="str">
        <f aca="false">IF($C5660="","",IFERROR(INDEX(المنيو!$C$2:$C$500,MATCH($C5660,المنيو!$B$2:$B$500,0)),0))</f>
        <v/>
      </c>
      <c r="F5660" s="107" t="str">
        <f aca="false">IF($C5660="","",$D5660*$E5660)</f>
        <v/>
      </c>
      <c r="G5660" s="107" t="str">
        <f aca="false">IF($C5660="","",$D5660*IFERROR(INDEX('تحليل التكلفة والسعر'!$C$2:$C$700,MATCH($C5660,'تحليل التكلفة والسعر'!$B$2:$B$700,0)),0))</f>
        <v/>
      </c>
    </row>
    <row r="5661" customFormat="false" ht="15" hidden="false" customHeight="false" outlineLevel="0" collapsed="false">
      <c r="A5661" s="103"/>
      <c r="B5661" s="104"/>
      <c r="C5661" s="104"/>
      <c r="E5661" s="107" t="str">
        <f aca="false">IF($C5661="","",IFERROR(INDEX(المنيو!$C$2:$C$500,MATCH($C5661,المنيو!$B$2:$B$500,0)),0))</f>
        <v/>
      </c>
      <c r="F5661" s="107" t="str">
        <f aca="false">IF($C5661="","",$D5661*$E5661)</f>
        <v/>
      </c>
      <c r="G5661" s="107" t="str">
        <f aca="false">IF($C5661="","",$D5661*IFERROR(INDEX('تحليل التكلفة والسعر'!$C$2:$C$700,MATCH($C5661,'تحليل التكلفة والسعر'!$B$2:$B$700,0)),0))</f>
        <v/>
      </c>
    </row>
    <row r="5662" customFormat="false" ht="15" hidden="false" customHeight="false" outlineLevel="0" collapsed="false">
      <c r="A5662" s="103"/>
      <c r="B5662" s="104"/>
      <c r="C5662" s="104"/>
      <c r="E5662" s="107" t="str">
        <f aca="false">IF($C5662="","",IFERROR(INDEX(المنيو!$C$2:$C$500,MATCH($C5662,المنيو!$B$2:$B$500,0)),0))</f>
        <v/>
      </c>
      <c r="F5662" s="107" t="str">
        <f aca="false">IF($C5662="","",$D5662*$E5662)</f>
        <v/>
      </c>
      <c r="G5662" s="107" t="str">
        <f aca="false">IF($C5662="","",$D5662*IFERROR(INDEX('تحليل التكلفة والسعر'!$C$2:$C$700,MATCH($C5662,'تحليل التكلفة والسعر'!$B$2:$B$700,0)),0))</f>
        <v/>
      </c>
    </row>
    <row r="5663" customFormat="false" ht="15" hidden="false" customHeight="false" outlineLevel="0" collapsed="false">
      <c r="A5663" s="103"/>
      <c r="B5663" s="104"/>
      <c r="C5663" s="104"/>
      <c r="E5663" s="107" t="str">
        <f aca="false">IF($C5663="","",IFERROR(INDEX(المنيو!$C$2:$C$500,MATCH($C5663,المنيو!$B$2:$B$500,0)),0))</f>
        <v/>
      </c>
      <c r="F5663" s="107" t="str">
        <f aca="false">IF($C5663="","",$D5663*$E5663)</f>
        <v/>
      </c>
      <c r="G5663" s="107" t="str">
        <f aca="false">IF($C5663="","",$D5663*IFERROR(INDEX('تحليل التكلفة والسعر'!$C$2:$C$700,MATCH($C5663,'تحليل التكلفة والسعر'!$B$2:$B$700,0)),0))</f>
        <v/>
      </c>
    </row>
    <row r="5664" customFormat="false" ht="15" hidden="false" customHeight="false" outlineLevel="0" collapsed="false">
      <c r="A5664" s="103"/>
      <c r="B5664" s="104"/>
      <c r="C5664" s="104"/>
      <c r="E5664" s="107" t="str">
        <f aca="false">IF($C5664="","",IFERROR(INDEX(المنيو!$C$2:$C$500,MATCH($C5664,المنيو!$B$2:$B$500,0)),0))</f>
        <v/>
      </c>
      <c r="F5664" s="107" t="str">
        <f aca="false">IF($C5664="","",$D5664*$E5664)</f>
        <v/>
      </c>
      <c r="G5664" s="107" t="str">
        <f aca="false">IF($C5664="","",$D5664*IFERROR(INDEX('تحليل التكلفة والسعر'!$C$2:$C$700,MATCH($C5664,'تحليل التكلفة والسعر'!$B$2:$B$700,0)),0))</f>
        <v/>
      </c>
    </row>
    <row r="5665" customFormat="false" ht="15" hidden="false" customHeight="false" outlineLevel="0" collapsed="false">
      <c r="A5665" s="103"/>
      <c r="B5665" s="104"/>
      <c r="C5665" s="104"/>
      <c r="E5665" s="107" t="str">
        <f aca="false">IF($C5665="","",IFERROR(INDEX(المنيو!$C$2:$C$500,MATCH($C5665,المنيو!$B$2:$B$500,0)),0))</f>
        <v/>
      </c>
      <c r="F5665" s="107" t="str">
        <f aca="false">IF($C5665="","",$D5665*$E5665)</f>
        <v/>
      </c>
      <c r="G5665" s="107" t="str">
        <f aca="false">IF($C5665="","",$D5665*IFERROR(INDEX('تحليل التكلفة والسعر'!$C$2:$C$700,MATCH($C5665,'تحليل التكلفة والسعر'!$B$2:$B$700,0)),0))</f>
        <v/>
      </c>
    </row>
    <row r="5666" customFormat="false" ht="15" hidden="false" customHeight="false" outlineLevel="0" collapsed="false">
      <c r="A5666" s="103"/>
      <c r="B5666" s="104"/>
      <c r="C5666" s="104"/>
      <c r="E5666" s="107" t="str">
        <f aca="false">IF($C5666="","",IFERROR(INDEX(المنيو!$C$2:$C$500,MATCH($C5666,المنيو!$B$2:$B$500,0)),0))</f>
        <v/>
      </c>
      <c r="F5666" s="107" t="str">
        <f aca="false">IF($C5666="","",$D5666*$E5666)</f>
        <v/>
      </c>
      <c r="G5666" s="107" t="str">
        <f aca="false">IF($C5666="","",$D5666*IFERROR(INDEX('تحليل التكلفة والسعر'!$C$2:$C$700,MATCH($C5666,'تحليل التكلفة والسعر'!$B$2:$B$700,0)),0))</f>
        <v/>
      </c>
    </row>
    <row r="5667" customFormat="false" ht="15" hidden="false" customHeight="false" outlineLevel="0" collapsed="false">
      <c r="A5667" s="103"/>
      <c r="B5667" s="104"/>
      <c r="C5667" s="104"/>
      <c r="E5667" s="107" t="str">
        <f aca="false">IF($C5667="","",IFERROR(INDEX(المنيو!$C$2:$C$500,MATCH($C5667,المنيو!$B$2:$B$500,0)),0))</f>
        <v/>
      </c>
      <c r="F5667" s="107" t="str">
        <f aca="false">IF($C5667="","",$D5667*$E5667)</f>
        <v/>
      </c>
      <c r="G5667" s="107" t="str">
        <f aca="false">IF($C5667="","",$D5667*IFERROR(INDEX('تحليل التكلفة والسعر'!$C$2:$C$700,MATCH($C5667,'تحليل التكلفة والسعر'!$B$2:$B$700,0)),0))</f>
        <v/>
      </c>
    </row>
    <row r="5668" customFormat="false" ht="15" hidden="false" customHeight="false" outlineLevel="0" collapsed="false">
      <c r="A5668" s="103"/>
      <c r="B5668" s="104"/>
      <c r="C5668" s="104"/>
      <c r="E5668" s="107" t="str">
        <f aca="false">IF($C5668="","",IFERROR(INDEX(المنيو!$C$2:$C$500,MATCH($C5668,المنيو!$B$2:$B$500,0)),0))</f>
        <v/>
      </c>
      <c r="F5668" s="107" t="str">
        <f aca="false">IF($C5668="","",$D5668*$E5668)</f>
        <v/>
      </c>
      <c r="G5668" s="107" t="str">
        <f aca="false">IF($C5668="","",$D5668*IFERROR(INDEX('تحليل التكلفة والسعر'!$C$2:$C$700,MATCH($C5668,'تحليل التكلفة والسعر'!$B$2:$B$700,0)),0))</f>
        <v/>
      </c>
    </row>
    <row r="5669" customFormat="false" ht="15" hidden="false" customHeight="false" outlineLevel="0" collapsed="false">
      <c r="A5669" s="103"/>
      <c r="B5669" s="104"/>
      <c r="C5669" s="104"/>
      <c r="E5669" s="107" t="str">
        <f aca="false">IF($C5669="","",IFERROR(INDEX(المنيو!$C$2:$C$500,MATCH($C5669,المنيو!$B$2:$B$500,0)),0))</f>
        <v/>
      </c>
      <c r="F5669" s="107" t="str">
        <f aca="false">IF($C5669="","",$D5669*$E5669)</f>
        <v/>
      </c>
      <c r="G5669" s="107" t="str">
        <f aca="false">IF($C5669="","",$D5669*IFERROR(INDEX('تحليل التكلفة والسعر'!$C$2:$C$700,MATCH($C5669,'تحليل التكلفة والسعر'!$B$2:$B$700,0)),0))</f>
        <v/>
      </c>
    </row>
    <row r="5670" customFormat="false" ht="15" hidden="false" customHeight="false" outlineLevel="0" collapsed="false">
      <c r="A5670" s="103"/>
      <c r="B5670" s="104"/>
      <c r="C5670" s="104"/>
      <c r="E5670" s="107" t="str">
        <f aca="false">IF($C5670="","",IFERROR(INDEX(المنيو!$C$2:$C$500,MATCH($C5670,المنيو!$B$2:$B$500,0)),0))</f>
        <v/>
      </c>
      <c r="F5670" s="107" t="str">
        <f aca="false">IF($C5670="","",$D5670*$E5670)</f>
        <v/>
      </c>
      <c r="G5670" s="107" t="str">
        <f aca="false">IF($C5670="","",$D5670*IFERROR(INDEX('تحليل التكلفة والسعر'!$C$2:$C$700,MATCH($C5670,'تحليل التكلفة والسعر'!$B$2:$B$700,0)),0))</f>
        <v/>
      </c>
    </row>
    <row r="5671" customFormat="false" ht="15" hidden="false" customHeight="false" outlineLevel="0" collapsed="false">
      <c r="A5671" s="103"/>
      <c r="B5671" s="104"/>
      <c r="C5671" s="104"/>
      <c r="E5671" s="107" t="str">
        <f aca="false">IF($C5671="","",IFERROR(INDEX(المنيو!$C$2:$C$500,MATCH($C5671,المنيو!$B$2:$B$500,0)),0))</f>
        <v/>
      </c>
      <c r="F5671" s="107" t="str">
        <f aca="false">IF($C5671="","",$D5671*$E5671)</f>
        <v/>
      </c>
      <c r="G5671" s="107" t="str">
        <f aca="false">IF($C5671="","",$D5671*IFERROR(INDEX('تحليل التكلفة والسعر'!$C$2:$C$700,MATCH($C5671,'تحليل التكلفة والسعر'!$B$2:$B$700,0)),0))</f>
        <v/>
      </c>
    </row>
    <row r="5672" customFormat="false" ht="15" hidden="false" customHeight="false" outlineLevel="0" collapsed="false">
      <c r="A5672" s="103"/>
      <c r="B5672" s="104"/>
      <c r="C5672" s="104"/>
      <c r="E5672" s="107" t="str">
        <f aca="false">IF($C5672="","",IFERROR(INDEX(المنيو!$C$2:$C$500,MATCH($C5672,المنيو!$B$2:$B$500,0)),0))</f>
        <v/>
      </c>
      <c r="F5672" s="107" t="str">
        <f aca="false">IF($C5672="","",$D5672*$E5672)</f>
        <v/>
      </c>
      <c r="G5672" s="107" t="str">
        <f aca="false">IF($C5672="","",$D5672*IFERROR(INDEX('تحليل التكلفة والسعر'!$C$2:$C$700,MATCH($C5672,'تحليل التكلفة والسعر'!$B$2:$B$700,0)),0))</f>
        <v/>
      </c>
    </row>
    <row r="5673" customFormat="false" ht="15" hidden="false" customHeight="false" outlineLevel="0" collapsed="false">
      <c r="A5673" s="103"/>
      <c r="B5673" s="104"/>
      <c r="C5673" s="104"/>
      <c r="E5673" s="107" t="str">
        <f aca="false">IF($C5673="","",IFERROR(INDEX(المنيو!$C$2:$C$500,MATCH($C5673,المنيو!$B$2:$B$500,0)),0))</f>
        <v/>
      </c>
      <c r="F5673" s="107" t="str">
        <f aca="false">IF($C5673="","",$D5673*$E5673)</f>
        <v/>
      </c>
      <c r="G5673" s="107" t="str">
        <f aca="false">IF($C5673="","",$D5673*IFERROR(INDEX('تحليل التكلفة والسعر'!$C$2:$C$700,MATCH($C5673,'تحليل التكلفة والسعر'!$B$2:$B$700,0)),0))</f>
        <v/>
      </c>
    </row>
    <row r="5674" customFormat="false" ht="15" hidden="false" customHeight="false" outlineLevel="0" collapsed="false">
      <c r="A5674" s="103"/>
      <c r="B5674" s="104"/>
      <c r="C5674" s="104"/>
      <c r="E5674" s="107" t="str">
        <f aca="false">IF($C5674="","",IFERROR(INDEX(المنيو!$C$2:$C$500,MATCH($C5674,المنيو!$B$2:$B$500,0)),0))</f>
        <v/>
      </c>
      <c r="F5674" s="107" t="str">
        <f aca="false">IF($C5674="","",$D5674*$E5674)</f>
        <v/>
      </c>
      <c r="G5674" s="107" t="str">
        <f aca="false">IF($C5674="","",$D5674*IFERROR(INDEX('تحليل التكلفة والسعر'!$C$2:$C$700,MATCH($C5674,'تحليل التكلفة والسعر'!$B$2:$B$700,0)),0))</f>
        <v/>
      </c>
    </row>
    <row r="5675" customFormat="false" ht="15" hidden="false" customHeight="false" outlineLevel="0" collapsed="false">
      <c r="A5675" s="103"/>
      <c r="B5675" s="104"/>
      <c r="C5675" s="104"/>
      <c r="E5675" s="107" t="str">
        <f aca="false">IF($C5675="","",IFERROR(INDEX(المنيو!$C$2:$C$500,MATCH($C5675,المنيو!$B$2:$B$500,0)),0))</f>
        <v/>
      </c>
      <c r="F5675" s="107" t="str">
        <f aca="false">IF($C5675="","",$D5675*$E5675)</f>
        <v/>
      </c>
      <c r="G5675" s="107" t="str">
        <f aca="false">IF($C5675="","",$D5675*IFERROR(INDEX('تحليل التكلفة والسعر'!$C$2:$C$700,MATCH($C5675,'تحليل التكلفة والسعر'!$B$2:$B$700,0)),0))</f>
        <v/>
      </c>
    </row>
    <row r="5676" customFormat="false" ht="15" hidden="false" customHeight="false" outlineLevel="0" collapsed="false">
      <c r="A5676" s="103"/>
      <c r="B5676" s="104"/>
      <c r="C5676" s="104"/>
      <c r="E5676" s="107" t="str">
        <f aca="false">IF($C5676="","",IFERROR(INDEX(المنيو!$C$2:$C$500,MATCH($C5676,المنيو!$B$2:$B$500,0)),0))</f>
        <v/>
      </c>
      <c r="F5676" s="107" t="str">
        <f aca="false">IF($C5676="","",$D5676*$E5676)</f>
        <v/>
      </c>
      <c r="G5676" s="107" t="str">
        <f aca="false">IF($C5676="","",$D5676*IFERROR(INDEX('تحليل التكلفة والسعر'!$C$2:$C$700,MATCH($C5676,'تحليل التكلفة والسعر'!$B$2:$B$700,0)),0))</f>
        <v/>
      </c>
    </row>
    <row r="5677" customFormat="false" ht="15" hidden="false" customHeight="false" outlineLevel="0" collapsed="false">
      <c r="A5677" s="103"/>
      <c r="B5677" s="104"/>
      <c r="C5677" s="104"/>
      <c r="E5677" s="107" t="str">
        <f aca="false">IF($C5677="","",IFERROR(INDEX(المنيو!$C$2:$C$500,MATCH($C5677,المنيو!$B$2:$B$500,0)),0))</f>
        <v/>
      </c>
      <c r="F5677" s="107" t="str">
        <f aca="false">IF($C5677="","",$D5677*$E5677)</f>
        <v/>
      </c>
      <c r="G5677" s="107" t="str">
        <f aca="false">IF($C5677="","",$D5677*IFERROR(INDEX('تحليل التكلفة والسعر'!$C$2:$C$700,MATCH($C5677,'تحليل التكلفة والسعر'!$B$2:$B$700,0)),0))</f>
        <v/>
      </c>
    </row>
    <row r="5678" customFormat="false" ht="15" hidden="false" customHeight="false" outlineLevel="0" collapsed="false">
      <c r="A5678" s="103"/>
      <c r="B5678" s="104"/>
      <c r="C5678" s="104"/>
      <c r="E5678" s="107" t="str">
        <f aca="false">IF($C5678="","",IFERROR(INDEX(المنيو!$C$2:$C$500,MATCH($C5678,المنيو!$B$2:$B$500,0)),0))</f>
        <v/>
      </c>
      <c r="F5678" s="107" t="str">
        <f aca="false">IF($C5678="","",$D5678*$E5678)</f>
        <v/>
      </c>
      <c r="G5678" s="107" t="str">
        <f aca="false">IF($C5678="","",$D5678*IFERROR(INDEX('تحليل التكلفة والسعر'!$C$2:$C$700,MATCH($C5678,'تحليل التكلفة والسعر'!$B$2:$B$700,0)),0))</f>
        <v/>
      </c>
    </row>
    <row r="5679" customFormat="false" ht="15" hidden="false" customHeight="false" outlineLevel="0" collapsed="false">
      <c r="A5679" s="103"/>
      <c r="B5679" s="104"/>
      <c r="C5679" s="104"/>
      <c r="E5679" s="107" t="str">
        <f aca="false">IF($C5679="","",IFERROR(INDEX(المنيو!$C$2:$C$500,MATCH($C5679,المنيو!$B$2:$B$500,0)),0))</f>
        <v/>
      </c>
      <c r="F5679" s="107" t="str">
        <f aca="false">IF($C5679="","",$D5679*$E5679)</f>
        <v/>
      </c>
      <c r="G5679" s="107" t="str">
        <f aca="false">IF($C5679="","",$D5679*IFERROR(INDEX('تحليل التكلفة والسعر'!$C$2:$C$700,MATCH($C5679,'تحليل التكلفة والسعر'!$B$2:$B$700,0)),0))</f>
        <v/>
      </c>
    </row>
    <row r="5680" customFormat="false" ht="15" hidden="false" customHeight="false" outlineLevel="0" collapsed="false">
      <c r="A5680" s="103"/>
      <c r="B5680" s="104"/>
      <c r="C5680" s="104"/>
      <c r="E5680" s="107" t="str">
        <f aca="false">IF($C5680="","",IFERROR(INDEX(المنيو!$C$2:$C$500,MATCH($C5680,المنيو!$B$2:$B$500,0)),0))</f>
        <v/>
      </c>
      <c r="F5680" s="107" t="str">
        <f aca="false">IF($C5680="","",$D5680*$E5680)</f>
        <v/>
      </c>
      <c r="G5680" s="107" t="str">
        <f aca="false">IF($C5680="","",$D5680*IFERROR(INDEX('تحليل التكلفة والسعر'!$C$2:$C$700,MATCH($C5680,'تحليل التكلفة والسعر'!$B$2:$B$700,0)),0))</f>
        <v/>
      </c>
    </row>
    <row r="5681" customFormat="false" ht="15" hidden="false" customHeight="false" outlineLevel="0" collapsed="false">
      <c r="A5681" s="103"/>
      <c r="B5681" s="104"/>
      <c r="C5681" s="104"/>
      <c r="E5681" s="107" t="str">
        <f aca="false">IF($C5681="","",IFERROR(INDEX(المنيو!$C$2:$C$500,MATCH($C5681,المنيو!$B$2:$B$500,0)),0))</f>
        <v/>
      </c>
      <c r="F5681" s="107" t="str">
        <f aca="false">IF($C5681="","",$D5681*$E5681)</f>
        <v/>
      </c>
      <c r="G5681" s="107" t="str">
        <f aca="false">IF($C5681="","",$D5681*IFERROR(INDEX('تحليل التكلفة والسعر'!$C$2:$C$700,MATCH($C5681,'تحليل التكلفة والسعر'!$B$2:$B$700,0)),0))</f>
        <v/>
      </c>
    </row>
    <row r="5682" customFormat="false" ht="15" hidden="false" customHeight="false" outlineLevel="0" collapsed="false">
      <c r="A5682" s="103"/>
      <c r="B5682" s="104"/>
      <c r="C5682" s="104"/>
      <c r="E5682" s="107" t="str">
        <f aca="false">IF($C5682="","",IFERROR(INDEX(المنيو!$C$2:$C$500,MATCH($C5682,المنيو!$B$2:$B$500,0)),0))</f>
        <v/>
      </c>
      <c r="F5682" s="107" t="str">
        <f aca="false">IF($C5682="","",$D5682*$E5682)</f>
        <v/>
      </c>
      <c r="G5682" s="107" t="str">
        <f aca="false">IF($C5682="","",$D5682*IFERROR(INDEX('تحليل التكلفة والسعر'!$C$2:$C$700,MATCH($C5682,'تحليل التكلفة والسعر'!$B$2:$B$700,0)),0))</f>
        <v/>
      </c>
    </row>
    <row r="5683" customFormat="false" ht="15" hidden="false" customHeight="false" outlineLevel="0" collapsed="false">
      <c r="A5683" s="103"/>
      <c r="B5683" s="104"/>
      <c r="C5683" s="104"/>
      <c r="E5683" s="107" t="str">
        <f aca="false">IF($C5683="","",IFERROR(INDEX(المنيو!$C$2:$C$500,MATCH($C5683,المنيو!$B$2:$B$500,0)),0))</f>
        <v/>
      </c>
      <c r="F5683" s="107" t="str">
        <f aca="false">IF($C5683="","",$D5683*$E5683)</f>
        <v/>
      </c>
      <c r="G5683" s="107" t="str">
        <f aca="false">IF($C5683="","",$D5683*IFERROR(INDEX('تحليل التكلفة والسعر'!$C$2:$C$700,MATCH($C5683,'تحليل التكلفة والسعر'!$B$2:$B$700,0)),0))</f>
        <v/>
      </c>
    </row>
    <row r="5684" customFormat="false" ht="15" hidden="false" customHeight="false" outlineLevel="0" collapsed="false">
      <c r="A5684" s="103"/>
      <c r="B5684" s="104"/>
      <c r="C5684" s="104"/>
      <c r="E5684" s="107" t="str">
        <f aca="false">IF($C5684="","",IFERROR(INDEX(المنيو!$C$2:$C$500,MATCH($C5684,المنيو!$B$2:$B$500,0)),0))</f>
        <v/>
      </c>
      <c r="F5684" s="107" t="str">
        <f aca="false">IF($C5684="","",$D5684*$E5684)</f>
        <v/>
      </c>
      <c r="G5684" s="107" t="str">
        <f aca="false">IF($C5684="","",$D5684*IFERROR(INDEX('تحليل التكلفة والسعر'!$C$2:$C$700,MATCH($C5684,'تحليل التكلفة والسعر'!$B$2:$B$700,0)),0))</f>
        <v/>
      </c>
    </row>
    <row r="5685" customFormat="false" ht="15" hidden="false" customHeight="false" outlineLevel="0" collapsed="false">
      <c r="A5685" s="103"/>
      <c r="B5685" s="104"/>
      <c r="C5685" s="104"/>
      <c r="E5685" s="107" t="str">
        <f aca="false">IF($C5685="","",IFERROR(INDEX(المنيو!$C$2:$C$500,MATCH($C5685,المنيو!$B$2:$B$500,0)),0))</f>
        <v/>
      </c>
      <c r="F5685" s="107" t="str">
        <f aca="false">IF($C5685="","",$D5685*$E5685)</f>
        <v/>
      </c>
      <c r="G5685" s="107" t="str">
        <f aca="false">IF($C5685="","",$D5685*IFERROR(INDEX('تحليل التكلفة والسعر'!$C$2:$C$700,MATCH($C5685,'تحليل التكلفة والسعر'!$B$2:$B$700,0)),0))</f>
        <v/>
      </c>
    </row>
    <row r="5686" customFormat="false" ht="15" hidden="false" customHeight="false" outlineLevel="0" collapsed="false">
      <c r="A5686" s="103"/>
      <c r="B5686" s="104"/>
      <c r="C5686" s="104"/>
      <c r="E5686" s="107" t="str">
        <f aca="false">IF($C5686="","",IFERROR(INDEX(المنيو!$C$2:$C$500,MATCH($C5686,المنيو!$B$2:$B$500,0)),0))</f>
        <v/>
      </c>
      <c r="F5686" s="107" t="str">
        <f aca="false">IF($C5686="","",$D5686*$E5686)</f>
        <v/>
      </c>
      <c r="G5686" s="107" t="str">
        <f aca="false">IF($C5686="","",$D5686*IFERROR(INDEX('تحليل التكلفة والسعر'!$C$2:$C$700,MATCH($C5686,'تحليل التكلفة والسعر'!$B$2:$B$700,0)),0))</f>
        <v/>
      </c>
    </row>
    <row r="5687" customFormat="false" ht="15" hidden="false" customHeight="false" outlineLevel="0" collapsed="false">
      <c r="A5687" s="103"/>
      <c r="B5687" s="104"/>
      <c r="C5687" s="104"/>
      <c r="E5687" s="107" t="str">
        <f aca="false">IF($C5687="","",IFERROR(INDEX(المنيو!$C$2:$C$500,MATCH($C5687,المنيو!$B$2:$B$500,0)),0))</f>
        <v/>
      </c>
      <c r="F5687" s="107" t="str">
        <f aca="false">IF($C5687="","",$D5687*$E5687)</f>
        <v/>
      </c>
      <c r="G5687" s="107" t="str">
        <f aca="false">IF($C5687="","",$D5687*IFERROR(INDEX('تحليل التكلفة والسعر'!$C$2:$C$700,MATCH($C5687,'تحليل التكلفة والسعر'!$B$2:$B$700,0)),0))</f>
        <v/>
      </c>
    </row>
    <row r="5688" customFormat="false" ht="15" hidden="false" customHeight="false" outlineLevel="0" collapsed="false">
      <c r="A5688" s="103"/>
      <c r="B5688" s="104"/>
      <c r="C5688" s="104"/>
      <c r="E5688" s="107" t="str">
        <f aca="false">IF($C5688="","",IFERROR(INDEX(المنيو!$C$2:$C$500,MATCH($C5688,المنيو!$B$2:$B$500,0)),0))</f>
        <v/>
      </c>
      <c r="F5688" s="107" t="str">
        <f aca="false">IF($C5688="","",$D5688*$E5688)</f>
        <v/>
      </c>
      <c r="G5688" s="107" t="str">
        <f aca="false">IF($C5688="","",$D5688*IFERROR(INDEX('تحليل التكلفة والسعر'!$C$2:$C$700,MATCH($C5688,'تحليل التكلفة والسعر'!$B$2:$B$700,0)),0))</f>
        <v/>
      </c>
    </row>
    <row r="5689" customFormat="false" ht="15" hidden="false" customHeight="false" outlineLevel="0" collapsed="false">
      <c r="A5689" s="103"/>
      <c r="B5689" s="104"/>
      <c r="C5689" s="104"/>
      <c r="E5689" s="107" t="str">
        <f aca="false">IF($C5689="","",IFERROR(INDEX(المنيو!$C$2:$C$500,MATCH($C5689,المنيو!$B$2:$B$500,0)),0))</f>
        <v/>
      </c>
      <c r="F5689" s="107" t="str">
        <f aca="false">IF($C5689="","",$D5689*$E5689)</f>
        <v/>
      </c>
      <c r="G5689" s="107" t="str">
        <f aca="false">IF($C5689="","",$D5689*IFERROR(INDEX('تحليل التكلفة والسعر'!$C$2:$C$700,MATCH($C5689,'تحليل التكلفة والسعر'!$B$2:$B$700,0)),0))</f>
        <v/>
      </c>
    </row>
    <row r="5690" customFormat="false" ht="15" hidden="false" customHeight="false" outlineLevel="0" collapsed="false">
      <c r="A5690" s="103"/>
      <c r="B5690" s="104"/>
      <c r="C5690" s="104"/>
      <c r="E5690" s="107" t="str">
        <f aca="false">IF($C5690="","",IFERROR(INDEX(المنيو!$C$2:$C$500,MATCH($C5690,المنيو!$B$2:$B$500,0)),0))</f>
        <v/>
      </c>
      <c r="F5690" s="107" t="str">
        <f aca="false">IF($C5690="","",$D5690*$E5690)</f>
        <v/>
      </c>
      <c r="G5690" s="107" t="str">
        <f aca="false">IF($C5690="","",$D5690*IFERROR(INDEX('تحليل التكلفة والسعر'!$C$2:$C$700,MATCH($C5690,'تحليل التكلفة والسعر'!$B$2:$B$700,0)),0))</f>
        <v/>
      </c>
    </row>
    <row r="5691" customFormat="false" ht="15" hidden="false" customHeight="false" outlineLevel="0" collapsed="false">
      <c r="A5691" s="103"/>
      <c r="B5691" s="104"/>
      <c r="C5691" s="104"/>
      <c r="E5691" s="107" t="str">
        <f aca="false">IF($C5691="","",IFERROR(INDEX(المنيو!$C$2:$C$500,MATCH($C5691,المنيو!$B$2:$B$500,0)),0))</f>
        <v/>
      </c>
      <c r="F5691" s="107" t="str">
        <f aca="false">IF($C5691="","",$D5691*$E5691)</f>
        <v/>
      </c>
      <c r="G5691" s="107" t="str">
        <f aca="false">IF($C5691="","",$D5691*IFERROR(INDEX('تحليل التكلفة والسعر'!$C$2:$C$700,MATCH($C5691,'تحليل التكلفة والسعر'!$B$2:$B$700,0)),0))</f>
        <v/>
      </c>
    </row>
    <row r="5692" customFormat="false" ht="15" hidden="false" customHeight="false" outlineLevel="0" collapsed="false">
      <c r="A5692" s="103"/>
      <c r="B5692" s="104"/>
      <c r="C5692" s="104"/>
      <c r="E5692" s="107" t="str">
        <f aca="false">IF($C5692="","",IFERROR(INDEX(المنيو!$C$2:$C$500,MATCH($C5692,المنيو!$B$2:$B$500,0)),0))</f>
        <v/>
      </c>
      <c r="F5692" s="107" t="str">
        <f aca="false">IF($C5692="","",$D5692*$E5692)</f>
        <v/>
      </c>
      <c r="G5692" s="107" t="str">
        <f aca="false">IF($C5692="","",$D5692*IFERROR(INDEX('تحليل التكلفة والسعر'!$C$2:$C$700,MATCH($C5692,'تحليل التكلفة والسعر'!$B$2:$B$700,0)),0))</f>
        <v/>
      </c>
    </row>
    <row r="5693" customFormat="false" ht="15" hidden="false" customHeight="false" outlineLevel="0" collapsed="false">
      <c r="A5693" s="103"/>
      <c r="B5693" s="104"/>
      <c r="C5693" s="104"/>
      <c r="E5693" s="107" t="str">
        <f aca="false">IF($C5693="","",IFERROR(INDEX(المنيو!$C$2:$C$500,MATCH($C5693,المنيو!$B$2:$B$500,0)),0))</f>
        <v/>
      </c>
      <c r="F5693" s="107" t="str">
        <f aca="false">IF($C5693="","",$D5693*$E5693)</f>
        <v/>
      </c>
      <c r="G5693" s="107" t="str">
        <f aca="false">IF($C5693="","",$D5693*IFERROR(INDEX('تحليل التكلفة والسعر'!$C$2:$C$700,MATCH($C5693,'تحليل التكلفة والسعر'!$B$2:$B$700,0)),0))</f>
        <v/>
      </c>
    </row>
    <row r="5694" customFormat="false" ht="15" hidden="false" customHeight="false" outlineLevel="0" collapsed="false">
      <c r="A5694" s="103"/>
      <c r="B5694" s="104"/>
      <c r="C5694" s="104"/>
      <c r="E5694" s="107" t="str">
        <f aca="false">IF($C5694="","",IFERROR(INDEX(المنيو!$C$2:$C$500,MATCH($C5694,المنيو!$B$2:$B$500,0)),0))</f>
        <v/>
      </c>
      <c r="F5694" s="107" t="str">
        <f aca="false">IF($C5694="","",$D5694*$E5694)</f>
        <v/>
      </c>
      <c r="G5694" s="107" t="str">
        <f aca="false">IF($C5694="","",$D5694*IFERROR(INDEX('تحليل التكلفة والسعر'!$C$2:$C$700,MATCH($C5694,'تحليل التكلفة والسعر'!$B$2:$B$700,0)),0))</f>
        <v/>
      </c>
    </row>
    <row r="5695" customFormat="false" ht="15" hidden="false" customHeight="false" outlineLevel="0" collapsed="false">
      <c r="A5695" s="103"/>
      <c r="B5695" s="104"/>
      <c r="C5695" s="104"/>
      <c r="E5695" s="107" t="str">
        <f aca="false">IF($C5695="","",IFERROR(INDEX(المنيو!$C$2:$C$500,MATCH($C5695,المنيو!$B$2:$B$500,0)),0))</f>
        <v/>
      </c>
      <c r="F5695" s="107" t="str">
        <f aca="false">IF($C5695="","",$D5695*$E5695)</f>
        <v/>
      </c>
      <c r="G5695" s="107" t="str">
        <f aca="false">IF($C5695="","",$D5695*IFERROR(INDEX('تحليل التكلفة والسعر'!$C$2:$C$700,MATCH($C5695,'تحليل التكلفة والسعر'!$B$2:$B$700,0)),0))</f>
        <v/>
      </c>
    </row>
    <row r="5696" customFormat="false" ht="15" hidden="false" customHeight="false" outlineLevel="0" collapsed="false">
      <c r="A5696" s="103"/>
      <c r="B5696" s="104"/>
      <c r="C5696" s="104"/>
      <c r="E5696" s="107" t="str">
        <f aca="false">IF($C5696="","",IFERROR(INDEX(المنيو!$C$2:$C$500,MATCH($C5696,المنيو!$B$2:$B$500,0)),0))</f>
        <v/>
      </c>
      <c r="F5696" s="107" t="str">
        <f aca="false">IF($C5696="","",$D5696*$E5696)</f>
        <v/>
      </c>
      <c r="G5696" s="107" t="str">
        <f aca="false">IF($C5696="","",$D5696*IFERROR(INDEX('تحليل التكلفة والسعر'!$C$2:$C$700,MATCH($C5696,'تحليل التكلفة والسعر'!$B$2:$B$700,0)),0))</f>
        <v/>
      </c>
    </row>
    <row r="5697" customFormat="false" ht="15" hidden="false" customHeight="false" outlineLevel="0" collapsed="false">
      <c r="A5697" s="103"/>
      <c r="B5697" s="104"/>
      <c r="C5697" s="104"/>
      <c r="E5697" s="107" t="str">
        <f aca="false">IF($C5697="","",IFERROR(INDEX(المنيو!$C$2:$C$500,MATCH($C5697,المنيو!$B$2:$B$500,0)),0))</f>
        <v/>
      </c>
      <c r="F5697" s="107" t="str">
        <f aca="false">IF($C5697="","",$D5697*$E5697)</f>
        <v/>
      </c>
      <c r="G5697" s="107" t="str">
        <f aca="false">IF($C5697="","",$D5697*IFERROR(INDEX('تحليل التكلفة والسعر'!$C$2:$C$700,MATCH($C5697,'تحليل التكلفة والسعر'!$B$2:$B$700,0)),0))</f>
        <v/>
      </c>
    </row>
    <row r="5698" customFormat="false" ht="15" hidden="false" customHeight="false" outlineLevel="0" collapsed="false">
      <c r="A5698" s="103"/>
      <c r="B5698" s="104"/>
      <c r="C5698" s="104"/>
      <c r="E5698" s="107" t="str">
        <f aca="false">IF($C5698="","",IFERROR(INDEX(المنيو!$C$2:$C$500,MATCH($C5698,المنيو!$B$2:$B$500,0)),0))</f>
        <v/>
      </c>
      <c r="F5698" s="107" t="str">
        <f aca="false">IF($C5698="","",$D5698*$E5698)</f>
        <v/>
      </c>
      <c r="G5698" s="107" t="str">
        <f aca="false">IF($C5698="","",$D5698*IFERROR(INDEX('تحليل التكلفة والسعر'!$C$2:$C$700,MATCH($C5698,'تحليل التكلفة والسعر'!$B$2:$B$700,0)),0))</f>
        <v/>
      </c>
    </row>
    <row r="5699" customFormat="false" ht="15" hidden="false" customHeight="false" outlineLevel="0" collapsed="false">
      <c r="A5699" s="103"/>
      <c r="B5699" s="104"/>
      <c r="C5699" s="104"/>
      <c r="E5699" s="107" t="str">
        <f aca="false">IF($C5699="","",IFERROR(INDEX(المنيو!$C$2:$C$500,MATCH($C5699,المنيو!$B$2:$B$500,0)),0))</f>
        <v/>
      </c>
      <c r="F5699" s="107" t="str">
        <f aca="false">IF($C5699="","",$D5699*$E5699)</f>
        <v/>
      </c>
      <c r="G5699" s="107" t="str">
        <f aca="false">IF($C5699="","",$D5699*IFERROR(INDEX('تحليل التكلفة والسعر'!$C$2:$C$700,MATCH($C5699,'تحليل التكلفة والسعر'!$B$2:$B$700,0)),0))</f>
        <v/>
      </c>
    </row>
    <row r="5700" customFormat="false" ht="15" hidden="false" customHeight="false" outlineLevel="0" collapsed="false">
      <c r="A5700" s="103"/>
      <c r="B5700" s="104"/>
      <c r="C5700" s="104"/>
      <c r="E5700" s="107" t="str">
        <f aca="false">IF($C5700="","",IFERROR(INDEX(المنيو!$C$2:$C$500,MATCH($C5700,المنيو!$B$2:$B$500,0)),0))</f>
        <v/>
      </c>
      <c r="F5700" s="107" t="str">
        <f aca="false">IF($C5700="","",$D5700*$E5700)</f>
        <v/>
      </c>
      <c r="G5700" s="107" t="str">
        <f aca="false">IF($C5700="","",$D5700*IFERROR(INDEX('تحليل التكلفة والسعر'!$C$2:$C$700,MATCH($C5700,'تحليل التكلفة والسعر'!$B$2:$B$700,0)),0))</f>
        <v/>
      </c>
    </row>
    <row r="5701" customFormat="false" ht="15" hidden="false" customHeight="false" outlineLevel="0" collapsed="false">
      <c r="A5701" s="103"/>
      <c r="B5701" s="104"/>
      <c r="C5701" s="104"/>
      <c r="E5701" s="107" t="str">
        <f aca="false">IF($C5701="","",IFERROR(INDEX(المنيو!$C$2:$C$500,MATCH($C5701,المنيو!$B$2:$B$500,0)),0))</f>
        <v/>
      </c>
      <c r="F5701" s="107" t="str">
        <f aca="false">IF($C5701="","",$D5701*$E5701)</f>
        <v/>
      </c>
      <c r="G5701" s="107" t="str">
        <f aca="false">IF($C5701="","",$D5701*IFERROR(INDEX('تحليل التكلفة والسعر'!$C$2:$C$700,MATCH($C5701,'تحليل التكلفة والسعر'!$B$2:$B$700,0)),0))</f>
        <v/>
      </c>
    </row>
    <row r="5702" customFormat="false" ht="15" hidden="false" customHeight="false" outlineLevel="0" collapsed="false">
      <c r="A5702" s="103"/>
      <c r="B5702" s="104"/>
      <c r="C5702" s="104"/>
      <c r="E5702" s="107" t="str">
        <f aca="false">IF($C5702="","",IFERROR(INDEX(المنيو!$C$2:$C$500,MATCH($C5702,المنيو!$B$2:$B$500,0)),0))</f>
        <v/>
      </c>
      <c r="F5702" s="107" t="str">
        <f aca="false">IF($C5702="","",$D5702*$E5702)</f>
        <v/>
      </c>
      <c r="G5702" s="107" t="str">
        <f aca="false">IF($C5702="","",$D5702*IFERROR(INDEX('تحليل التكلفة والسعر'!$C$2:$C$700,MATCH($C5702,'تحليل التكلفة والسعر'!$B$2:$B$700,0)),0))</f>
        <v/>
      </c>
    </row>
    <row r="5703" customFormat="false" ht="15" hidden="false" customHeight="false" outlineLevel="0" collapsed="false">
      <c r="A5703" s="103"/>
      <c r="B5703" s="104"/>
      <c r="C5703" s="104"/>
      <c r="E5703" s="107" t="str">
        <f aca="false">IF($C5703="","",IFERROR(INDEX(المنيو!$C$2:$C$500,MATCH($C5703,المنيو!$B$2:$B$500,0)),0))</f>
        <v/>
      </c>
      <c r="F5703" s="107" t="str">
        <f aca="false">IF($C5703="","",$D5703*$E5703)</f>
        <v/>
      </c>
      <c r="G5703" s="107" t="str">
        <f aca="false">IF($C5703="","",$D5703*IFERROR(INDEX('تحليل التكلفة والسعر'!$C$2:$C$700,MATCH($C5703,'تحليل التكلفة والسعر'!$B$2:$B$700,0)),0))</f>
        <v/>
      </c>
    </row>
    <row r="5704" customFormat="false" ht="15" hidden="false" customHeight="false" outlineLevel="0" collapsed="false">
      <c r="A5704" s="103"/>
      <c r="B5704" s="104"/>
      <c r="C5704" s="104"/>
      <c r="E5704" s="107" t="str">
        <f aca="false">IF($C5704="","",IFERROR(INDEX(المنيو!$C$2:$C$500,MATCH($C5704,المنيو!$B$2:$B$500,0)),0))</f>
        <v/>
      </c>
      <c r="F5704" s="107" t="str">
        <f aca="false">IF($C5704="","",$D5704*$E5704)</f>
        <v/>
      </c>
      <c r="G5704" s="107" t="str">
        <f aca="false">IF($C5704="","",$D5704*IFERROR(INDEX('تحليل التكلفة والسعر'!$C$2:$C$700,MATCH($C5704,'تحليل التكلفة والسعر'!$B$2:$B$700,0)),0))</f>
        <v/>
      </c>
    </row>
    <row r="5705" customFormat="false" ht="15" hidden="false" customHeight="false" outlineLevel="0" collapsed="false">
      <c r="A5705" s="103"/>
      <c r="B5705" s="104"/>
      <c r="C5705" s="104"/>
      <c r="E5705" s="107" t="str">
        <f aca="false">IF($C5705="","",IFERROR(INDEX(المنيو!$C$2:$C$500,MATCH($C5705,المنيو!$B$2:$B$500,0)),0))</f>
        <v/>
      </c>
      <c r="F5705" s="107" t="str">
        <f aca="false">IF($C5705="","",$D5705*$E5705)</f>
        <v/>
      </c>
      <c r="G5705" s="107" t="str">
        <f aca="false">IF($C5705="","",$D5705*IFERROR(INDEX('تحليل التكلفة والسعر'!$C$2:$C$700,MATCH($C5705,'تحليل التكلفة والسعر'!$B$2:$B$700,0)),0))</f>
        <v/>
      </c>
    </row>
    <row r="5706" customFormat="false" ht="15" hidden="false" customHeight="false" outlineLevel="0" collapsed="false">
      <c r="A5706" s="103"/>
      <c r="B5706" s="104"/>
      <c r="C5706" s="104"/>
      <c r="E5706" s="107" t="str">
        <f aca="false">IF($C5706="","",IFERROR(INDEX(المنيو!$C$2:$C$500,MATCH($C5706,المنيو!$B$2:$B$500,0)),0))</f>
        <v/>
      </c>
      <c r="F5706" s="107" t="str">
        <f aca="false">IF($C5706="","",$D5706*$E5706)</f>
        <v/>
      </c>
      <c r="G5706" s="107" t="str">
        <f aca="false">IF($C5706="","",$D5706*IFERROR(INDEX('تحليل التكلفة والسعر'!$C$2:$C$700,MATCH($C5706,'تحليل التكلفة والسعر'!$B$2:$B$700,0)),0))</f>
        <v/>
      </c>
    </row>
    <row r="5707" customFormat="false" ht="15" hidden="false" customHeight="false" outlineLevel="0" collapsed="false">
      <c r="A5707" s="103"/>
      <c r="B5707" s="104"/>
      <c r="C5707" s="104"/>
      <c r="E5707" s="107" t="str">
        <f aca="false">IF($C5707="","",IFERROR(INDEX(المنيو!$C$2:$C$500,MATCH($C5707,المنيو!$B$2:$B$500,0)),0))</f>
        <v/>
      </c>
      <c r="F5707" s="107" t="str">
        <f aca="false">IF($C5707="","",$D5707*$E5707)</f>
        <v/>
      </c>
      <c r="G5707" s="107" t="str">
        <f aca="false">IF($C5707="","",$D5707*IFERROR(INDEX('تحليل التكلفة والسعر'!$C$2:$C$700,MATCH($C5707,'تحليل التكلفة والسعر'!$B$2:$B$700,0)),0))</f>
        <v/>
      </c>
    </row>
    <row r="5708" customFormat="false" ht="15" hidden="false" customHeight="false" outlineLevel="0" collapsed="false">
      <c r="A5708" s="103"/>
      <c r="B5708" s="104"/>
      <c r="C5708" s="104"/>
      <c r="E5708" s="107" t="str">
        <f aca="false">IF($C5708="","",IFERROR(INDEX(المنيو!$C$2:$C$500,MATCH($C5708,المنيو!$B$2:$B$500,0)),0))</f>
        <v/>
      </c>
      <c r="F5708" s="107" t="str">
        <f aca="false">IF($C5708="","",$D5708*$E5708)</f>
        <v/>
      </c>
      <c r="G5708" s="107" t="str">
        <f aca="false">IF($C5708="","",$D5708*IFERROR(INDEX('تحليل التكلفة والسعر'!$C$2:$C$700,MATCH($C5708,'تحليل التكلفة والسعر'!$B$2:$B$700,0)),0))</f>
        <v/>
      </c>
    </row>
    <row r="5709" customFormat="false" ht="15" hidden="false" customHeight="false" outlineLevel="0" collapsed="false">
      <c r="A5709" s="103"/>
      <c r="B5709" s="104"/>
      <c r="C5709" s="104"/>
      <c r="E5709" s="107" t="str">
        <f aca="false">IF($C5709="","",IFERROR(INDEX(المنيو!$C$2:$C$500,MATCH($C5709,المنيو!$B$2:$B$500,0)),0))</f>
        <v/>
      </c>
      <c r="F5709" s="107" t="str">
        <f aca="false">IF($C5709="","",$D5709*$E5709)</f>
        <v/>
      </c>
      <c r="G5709" s="107" t="str">
        <f aca="false">IF($C5709="","",$D5709*IFERROR(INDEX('تحليل التكلفة والسعر'!$C$2:$C$700,MATCH($C5709,'تحليل التكلفة والسعر'!$B$2:$B$700,0)),0))</f>
        <v/>
      </c>
    </row>
    <row r="5710" customFormat="false" ht="15" hidden="false" customHeight="false" outlineLevel="0" collapsed="false">
      <c r="A5710" s="103"/>
      <c r="B5710" s="104"/>
      <c r="C5710" s="104"/>
      <c r="E5710" s="107" t="str">
        <f aca="false">IF($C5710="","",IFERROR(INDEX(المنيو!$C$2:$C$500,MATCH($C5710,المنيو!$B$2:$B$500,0)),0))</f>
        <v/>
      </c>
      <c r="F5710" s="107" t="str">
        <f aca="false">IF($C5710="","",$D5710*$E5710)</f>
        <v/>
      </c>
      <c r="G5710" s="107" t="str">
        <f aca="false">IF($C5710="","",$D5710*IFERROR(INDEX('تحليل التكلفة والسعر'!$C$2:$C$700,MATCH($C5710,'تحليل التكلفة والسعر'!$B$2:$B$700,0)),0))</f>
        <v/>
      </c>
    </row>
    <row r="5711" customFormat="false" ht="15" hidden="false" customHeight="false" outlineLevel="0" collapsed="false">
      <c r="A5711" s="103"/>
      <c r="B5711" s="104"/>
      <c r="C5711" s="104"/>
      <c r="E5711" s="107" t="str">
        <f aca="false">IF($C5711="","",IFERROR(INDEX(المنيو!$C$2:$C$500,MATCH($C5711,المنيو!$B$2:$B$500,0)),0))</f>
        <v/>
      </c>
      <c r="F5711" s="107" t="str">
        <f aca="false">IF($C5711="","",$D5711*$E5711)</f>
        <v/>
      </c>
      <c r="G5711" s="107" t="str">
        <f aca="false">IF($C5711="","",$D5711*IFERROR(INDEX('تحليل التكلفة والسعر'!$C$2:$C$700,MATCH($C5711,'تحليل التكلفة والسعر'!$B$2:$B$700,0)),0))</f>
        <v/>
      </c>
    </row>
    <row r="5712" customFormat="false" ht="15" hidden="false" customHeight="false" outlineLevel="0" collapsed="false">
      <c r="A5712" s="103"/>
      <c r="B5712" s="104"/>
      <c r="C5712" s="104"/>
      <c r="E5712" s="107" t="str">
        <f aca="false">IF($C5712="","",IFERROR(INDEX(المنيو!$C$2:$C$500,MATCH($C5712,المنيو!$B$2:$B$500,0)),0))</f>
        <v/>
      </c>
      <c r="F5712" s="107" t="str">
        <f aca="false">IF($C5712="","",$D5712*$E5712)</f>
        <v/>
      </c>
      <c r="G5712" s="107" t="str">
        <f aca="false">IF($C5712="","",$D5712*IFERROR(INDEX('تحليل التكلفة والسعر'!$C$2:$C$700,MATCH($C5712,'تحليل التكلفة والسعر'!$B$2:$B$700,0)),0))</f>
        <v/>
      </c>
    </row>
    <row r="5713" customFormat="false" ht="15" hidden="false" customHeight="false" outlineLevel="0" collapsed="false">
      <c r="A5713" s="103"/>
      <c r="B5713" s="104"/>
      <c r="C5713" s="104"/>
      <c r="E5713" s="107" t="str">
        <f aca="false">IF($C5713="","",IFERROR(INDEX(المنيو!$C$2:$C$500,MATCH($C5713,المنيو!$B$2:$B$500,0)),0))</f>
        <v/>
      </c>
      <c r="F5713" s="107" t="str">
        <f aca="false">IF($C5713="","",$D5713*$E5713)</f>
        <v/>
      </c>
      <c r="G5713" s="107" t="str">
        <f aca="false">IF($C5713="","",$D5713*IFERROR(INDEX('تحليل التكلفة والسعر'!$C$2:$C$700,MATCH($C5713,'تحليل التكلفة والسعر'!$B$2:$B$700,0)),0))</f>
        <v/>
      </c>
    </row>
    <row r="5714" customFormat="false" ht="15" hidden="false" customHeight="false" outlineLevel="0" collapsed="false">
      <c r="A5714" s="103"/>
      <c r="B5714" s="104"/>
      <c r="C5714" s="104"/>
      <c r="E5714" s="107" t="str">
        <f aca="false">IF($C5714="","",IFERROR(INDEX(المنيو!$C$2:$C$500,MATCH($C5714,المنيو!$B$2:$B$500,0)),0))</f>
        <v/>
      </c>
      <c r="F5714" s="107" t="str">
        <f aca="false">IF($C5714="","",$D5714*$E5714)</f>
        <v/>
      </c>
      <c r="G5714" s="107" t="str">
        <f aca="false">IF($C5714="","",$D5714*IFERROR(INDEX('تحليل التكلفة والسعر'!$C$2:$C$700,MATCH($C5714,'تحليل التكلفة والسعر'!$B$2:$B$700,0)),0))</f>
        <v/>
      </c>
    </row>
    <row r="5715" customFormat="false" ht="15" hidden="false" customHeight="false" outlineLevel="0" collapsed="false">
      <c r="A5715" s="103"/>
      <c r="B5715" s="104"/>
      <c r="C5715" s="104"/>
      <c r="E5715" s="107" t="str">
        <f aca="false">IF($C5715="","",IFERROR(INDEX(المنيو!$C$2:$C$500,MATCH($C5715,المنيو!$B$2:$B$500,0)),0))</f>
        <v/>
      </c>
      <c r="F5715" s="107" t="str">
        <f aca="false">IF($C5715="","",$D5715*$E5715)</f>
        <v/>
      </c>
      <c r="G5715" s="107" t="str">
        <f aca="false">IF($C5715="","",$D5715*IFERROR(INDEX('تحليل التكلفة والسعر'!$C$2:$C$700,MATCH($C5715,'تحليل التكلفة والسعر'!$B$2:$B$700,0)),0))</f>
        <v/>
      </c>
    </row>
    <row r="5716" customFormat="false" ht="15" hidden="false" customHeight="false" outlineLevel="0" collapsed="false">
      <c r="A5716" s="103"/>
      <c r="B5716" s="104"/>
      <c r="C5716" s="104"/>
      <c r="E5716" s="107" t="str">
        <f aca="false">IF($C5716="","",IFERROR(INDEX(المنيو!$C$2:$C$500,MATCH($C5716,المنيو!$B$2:$B$500,0)),0))</f>
        <v/>
      </c>
      <c r="F5716" s="107" t="str">
        <f aca="false">IF($C5716="","",$D5716*$E5716)</f>
        <v/>
      </c>
      <c r="G5716" s="107" t="str">
        <f aca="false">IF($C5716="","",$D5716*IFERROR(INDEX('تحليل التكلفة والسعر'!$C$2:$C$700,MATCH($C5716,'تحليل التكلفة والسعر'!$B$2:$B$700,0)),0))</f>
        <v/>
      </c>
    </row>
    <row r="5717" customFormat="false" ht="15" hidden="false" customHeight="false" outlineLevel="0" collapsed="false">
      <c r="A5717" s="103"/>
      <c r="B5717" s="104"/>
      <c r="C5717" s="104"/>
      <c r="E5717" s="107" t="str">
        <f aca="false">IF($C5717="","",IFERROR(INDEX(المنيو!$C$2:$C$500,MATCH($C5717,المنيو!$B$2:$B$500,0)),0))</f>
        <v/>
      </c>
      <c r="F5717" s="107" t="str">
        <f aca="false">IF($C5717="","",$D5717*$E5717)</f>
        <v/>
      </c>
      <c r="G5717" s="107" t="str">
        <f aca="false">IF($C5717="","",$D5717*IFERROR(INDEX('تحليل التكلفة والسعر'!$C$2:$C$700,MATCH($C5717,'تحليل التكلفة والسعر'!$B$2:$B$700,0)),0))</f>
        <v/>
      </c>
    </row>
    <row r="5718" customFormat="false" ht="15" hidden="false" customHeight="false" outlineLevel="0" collapsed="false">
      <c r="A5718" s="103"/>
      <c r="B5718" s="104"/>
      <c r="C5718" s="104"/>
      <c r="E5718" s="107" t="str">
        <f aca="false">IF($C5718="","",IFERROR(INDEX(المنيو!$C$2:$C$500,MATCH($C5718,المنيو!$B$2:$B$500,0)),0))</f>
        <v/>
      </c>
      <c r="F5718" s="107" t="str">
        <f aca="false">IF($C5718="","",$D5718*$E5718)</f>
        <v/>
      </c>
      <c r="G5718" s="107" t="str">
        <f aca="false">IF($C5718="","",$D5718*IFERROR(INDEX('تحليل التكلفة والسعر'!$C$2:$C$700,MATCH($C5718,'تحليل التكلفة والسعر'!$B$2:$B$700,0)),0))</f>
        <v/>
      </c>
    </row>
    <row r="5719" customFormat="false" ht="15" hidden="false" customHeight="false" outlineLevel="0" collapsed="false">
      <c r="A5719" s="103"/>
      <c r="B5719" s="104"/>
      <c r="C5719" s="104"/>
      <c r="E5719" s="107" t="str">
        <f aca="false">IF($C5719="","",IFERROR(INDEX(المنيو!$C$2:$C$500,MATCH($C5719,المنيو!$B$2:$B$500,0)),0))</f>
        <v/>
      </c>
      <c r="F5719" s="107" t="str">
        <f aca="false">IF($C5719="","",$D5719*$E5719)</f>
        <v/>
      </c>
      <c r="G5719" s="107" t="str">
        <f aca="false">IF($C5719="","",$D5719*IFERROR(INDEX('تحليل التكلفة والسعر'!$C$2:$C$700,MATCH($C5719,'تحليل التكلفة والسعر'!$B$2:$B$700,0)),0))</f>
        <v/>
      </c>
    </row>
    <row r="5720" customFormat="false" ht="15" hidden="false" customHeight="false" outlineLevel="0" collapsed="false">
      <c r="A5720" s="103"/>
      <c r="B5720" s="104"/>
      <c r="C5720" s="104"/>
      <c r="E5720" s="107" t="str">
        <f aca="false">IF($C5720="","",IFERROR(INDEX(المنيو!$C$2:$C$500,MATCH($C5720,المنيو!$B$2:$B$500,0)),0))</f>
        <v/>
      </c>
      <c r="F5720" s="107" t="str">
        <f aca="false">IF($C5720="","",$D5720*$E5720)</f>
        <v/>
      </c>
      <c r="G5720" s="107" t="str">
        <f aca="false">IF($C5720="","",$D5720*IFERROR(INDEX('تحليل التكلفة والسعر'!$C$2:$C$700,MATCH($C5720,'تحليل التكلفة والسعر'!$B$2:$B$700,0)),0))</f>
        <v/>
      </c>
    </row>
    <row r="5721" customFormat="false" ht="15" hidden="false" customHeight="false" outlineLevel="0" collapsed="false">
      <c r="A5721" s="103"/>
      <c r="B5721" s="104"/>
      <c r="C5721" s="104"/>
      <c r="E5721" s="107" t="str">
        <f aca="false">IF($C5721="","",IFERROR(INDEX(المنيو!$C$2:$C$500,MATCH($C5721,المنيو!$B$2:$B$500,0)),0))</f>
        <v/>
      </c>
      <c r="F5721" s="107" t="str">
        <f aca="false">IF($C5721="","",$D5721*$E5721)</f>
        <v/>
      </c>
      <c r="G5721" s="107" t="str">
        <f aca="false">IF($C5721="","",$D5721*IFERROR(INDEX('تحليل التكلفة والسعر'!$C$2:$C$700,MATCH($C5721,'تحليل التكلفة والسعر'!$B$2:$B$700,0)),0))</f>
        <v/>
      </c>
    </row>
    <row r="5722" customFormat="false" ht="15" hidden="false" customHeight="false" outlineLevel="0" collapsed="false">
      <c r="A5722" s="103"/>
      <c r="B5722" s="104"/>
      <c r="C5722" s="104"/>
      <c r="E5722" s="107" t="str">
        <f aca="false">IF($C5722="","",IFERROR(INDEX(المنيو!$C$2:$C$500,MATCH($C5722,المنيو!$B$2:$B$500,0)),0))</f>
        <v/>
      </c>
      <c r="F5722" s="107" t="str">
        <f aca="false">IF($C5722="","",$D5722*$E5722)</f>
        <v/>
      </c>
      <c r="G5722" s="107" t="str">
        <f aca="false">IF($C5722="","",$D5722*IFERROR(INDEX('تحليل التكلفة والسعر'!$C$2:$C$700,MATCH($C5722,'تحليل التكلفة والسعر'!$B$2:$B$700,0)),0))</f>
        <v/>
      </c>
    </row>
    <row r="5723" customFormat="false" ht="15" hidden="false" customHeight="false" outlineLevel="0" collapsed="false">
      <c r="A5723" s="103"/>
      <c r="B5723" s="104"/>
      <c r="C5723" s="104"/>
      <c r="E5723" s="107" t="str">
        <f aca="false">IF($C5723="","",IFERROR(INDEX(المنيو!$C$2:$C$500,MATCH($C5723,المنيو!$B$2:$B$500,0)),0))</f>
        <v/>
      </c>
      <c r="F5723" s="107" t="str">
        <f aca="false">IF($C5723="","",$D5723*$E5723)</f>
        <v/>
      </c>
      <c r="G5723" s="107" t="str">
        <f aca="false">IF($C5723="","",$D5723*IFERROR(INDEX('تحليل التكلفة والسعر'!$C$2:$C$700,MATCH($C5723,'تحليل التكلفة والسعر'!$B$2:$B$700,0)),0))</f>
        <v/>
      </c>
    </row>
    <row r="5724" customFormat="false" ht="15" hidden="false" customHeight="false" outlineLevel="0" collapsed="false">
      <c r="A5724" s="103"/>
      <c r="B5724" s="104"/>
      <c r="C5724" s="104"/>
      <c r="E5724" s="107" t="str">
        <f aca="false">IF($C5724="","",IFERROR(INDEX(المنيو!$C$2:$C$500,MATCH($C5724,المنيو!$B$2:$B$500,0)),0))</f>
        <v/>
      </c>
      <c r="F5724" s="107" t="str">
        <f aca="false">IF($C5724="","",$D5724*$E5724)</f>
        <v/>
      </c>
      <c r="G5724" s="107" t="str">
        <f aca="false">IF($C5724="","",$D5724*IFERROR(INDEX('تحليل التكلفة والسعر'!$C$2:$C$700,MATCH($C5724,'تحليل التكلفة والسعر'!$B$2:$B$700,0)),0))</f>
        <v/>
      </c>
    </row>
    <row r="5725" customFormat="false" ht="15" hidden="false" customHeight="false" outlineLevel="0" collapsed="false">
      <c r="A5725" s="103"/>
      <c r="B5725" s="104"/>
      <c r="C5725" s="104"/>
      <c r="E5725" s="107" t="str">
        <f aca="false">IF($C5725="","",IFERROR(INDEX(المنيو!$C$2:$C$500,MATCH($C5725,المنيو!$B$2:$B$500,0)),0))</f>
        <v/>
      </c>
      <c r="F5725" s="107" t="str">
        <f aca="false">IF($C5725="","",$D5725*$E5725)</f>
        <v/>
      </c>
      <c r="G5725" s="107" t="str">
        <f aca="false">IF($C5725="","",$D5725*IFERROR(INDEX('تحليل التكلفة والسعر'!$C$2:$C$700,MATCH($C5725,'تحليل التكلفة والسعر'!$B$2:$B$700,0)),0))</f>
        <v/>
      </c>
    </row>
    <row r="5726" customFormat="false" ht="15" hidden="false" customHeight="false" outlineLevel="0" collapsed="false">
      <c r="A5726" s="103"/>
      <c r="B5726" s="104"/>
      <c r="C5726" s="104"/>
      <c r="E5726" s="107" t="str">
        <f aca="false">IF($C5726="","",IFERROR(INDEX(المنيو!$C$2:$C$500,MATCH($C5726,المنيو!$B$2:$B$500,0)),0))</f>
        <v/>
      </c>
      <c r="F5726" s="107" t="str">
        <f aca="false">IF($C5726="","",$D5726*$E5726)</f>
        <v/>
      </c>
      <c r="G5726" s="107" t="str">
        <f aca="false">IF($C5726="","",$D5726*IFERROR(INDEX('تحليل التكلفة والسعر'!$C$2:$C$700,MATCH($C5726,'تحليل التكلفة والسعر'!$B$2:$B$700,0)),0))</f>
        <v/>
      </c>
    </row>
    <row r="5727" customFormat="false" ht="15" hidden="false" customHeight="false" outlineLevel="0" collapsed="false">
      <c r="A5727" s="103"/>
      <c r="B5727" s="104"/>
      <c r="C5727" s="104"/>
      <c r="E5727" s="107" t="str">
        <f aca="false">IF($C5727="","",IFERROR(INDEX(المنيو!$C$2:$C$500,MATCH($C5727,المنيو!$B$2:$B$500,0)),0))</f>
        <v/>
      </c>
      <c r="F5727" s="107" t="str">
        <f aca="false">IF($C5727="","",$D5727*$E5727)</f>
        <v/>
      </c>
      <c r="G5727" s="107" t="str">
        <f aca="false">IF($C5727="","",$D5727*IFERROR(INDEX('تحليل التكلفة والسعر'!$C$2:$C$700,MATCH($C5727,'تحليل التكلفة والسعر'!$B$2:$B$700,0)),0))</f>
        <v/>
      </c>
    </row>
    <row r="5728" customFormat="false" ht="15" hidden="false" customHeight="false" outlineLevel="0" collapsed="false">
      <c r="A5728" s="103"/>
      <c r="B5728" s="104"/>
      <c r="C5728" s="104"/>
      <c r="E5728" s="107" t="str">
        <f aca="false">IF($C5728="","",IFERROR(INDEX(المنيو!$C$2:$C$500,MATCH($C5728,المنيو!$B$2:$B$500,0)),0))</f>
        <v/>
      </c>
      <c r="F5728" s="107" t="str">
        <f aca="false">IF($C5728="","",$D5728*$E5728)</f>
        <v/>
      </c>
      <c r="G5728" s="107" t="str">
        <f aca="false">IF($C5728="","",$D5728*IFERROR(INDEX('تحليل التكلفة والسعر'!$C$2:$C$700,MATCH($C5728,'تحليل التكلفة والسعر'!$B$2:$B$700,0)),0))</f>
        <v/>
      </c>
    </row>
    <row r="5729" customFormat="false" ht="15" hidden="false" customHeight="false" outlineLevel="0" collapsed="false">
      <c r="A5729" s="103"/>
      <c r="B5729" s="104"/>
      <c r="C5729" s="104"/>
      <c r="E5729" s="107" t="str">
        <f aca="false">IF($C5729="","",IFERROR(INDEX(المنيو!$C$2:$C$500,MATCH($C5729,المنيو!$B$2:$B$500,0)),0))</f>
        <v/>
      </c>
      <c r="F5729" s="107" t="str">
        <f aca="false">IF($C5729="","",$D5729*$E5729)</f>
        <v/>
      </c>
      <c r="G5729" s="107" t="str">
        <f aca="false">IF($C5729="","",$D5729*IFERROR(INDEX('تحليل التكلفة والسعر'!$C$2:$C$700,MATCH($C5729,'تحليل التكلفة والسعر'!$B$2:$B$700,0)),0))</f>
        <v/>
      </c>
    </row>
    <row r="5730" customFormat="false" ht="15" hidden="false" customHeight="false" outlineLevel="0" collapsed="false">
      <c r="A5730" s="103"/>
      <c r="B5730" s="104"/>
      <c r="C5730" s="104"/>
      <c r="E5730" s="107" t="str">
        <f aca="false">IF($C5730="","",IFERROR(INDEX(المنيو!$C$2:$C$500,MATCH($C5730,المنيو!$B$2:$B$500,0)),0))</f>
        <v/>
      </c>
      <c r="F5730" s="107" t="str">
        <f aca="false">IF($C5730="","",$D5730*$E5730)</f>
        <v/>
      </c>
      <c r="G5730" s="107" t="str">
        <f aca="false">IF($C5730="","",$D5730*IFERROR(INDEX('تحليل التكلفة والسعر'!$C$2:$C$700,MATCH($C5730,'تحليل التكلفة والسعر'!$B$2:$B$700,0)),0))</f>
        <v/>
      </c>
    </row>
    <row r="5731" customFormat="false" ht="15" hidden="false" customHeight="false" outlineLevel="0" collapsed="false">
      <c r="A5731" s="103"/>
      <c r="B5731" s="104"/>
      <c r="C5731" s="104"/>
      <c r="E5731" s="107" t="str">
        <f aca="false">IF($C5731="","",IFERROR(INDEX(المنيو!$C$2:$C$500,MATCH($C5731,المنيو!$B$2:$B$500,0)),0))</f>
        <v/>
      </c>
      <c r="F5731" s="107" t="str">
        <f aca="false">IF($C5731="","",$D5731*$E5731)</f>
        <v/>
      </c>
      <c r="G5731" s="107" t="str">
        <f aca="false">IF($C5731="","",$D5731*IFERROR(INDEX('تحليل التكلفة والسعر'!$C$2:$C$700,MATCH($C5731,'تحليل التكلفة والسعر'!$B$2:$B$700,0)),0))</f>
        <v/>
      </c>
    </row>
    <row r="5732" customFormat="false" ht="15" hidden="false" customHeight="false" outlineLevel="0" collapsed="false">
      <c r="A5732" s="103"/>
      <c r="B5732" s="104"/>
      <c r="C5732" s="104"/>
      <c r="E5732" s="107" t="str">
        <f aca="false">IF($C5732="","",IFERROR(INDEX(المنيو!$C$2:$C$500,MATCH($C5732,المنيو!$B$2:$B$500,0)),0))</f>
        <v/>
      </c>
      <c r="F5732" s="107" t="str">
        <f aca="false">IF($C5732="","",$D5732*$E5732)</f>
        <v/>
      </c>
      <c r="G5732" s="107" t="str">
        <f aca="false">IF($C5732="","",$D5732*IFERROR(INDEX('تحليل التكلفة والسعر'!$C$2:$C$700,MATCH($C5732,'تحليل التكلفة والسعر'!$B$2:$B$700,0)),0))</f>
        <v/>
      </c>
    </row>
    <row r="5733" customFormat="false" ht="15" hidden="false" customHeight="false" outlineLevel="0" collapsed="false">
      <c r="A5733" s="103"/>
      <c r="B5733" s="104"/>
      <c r="C5733" s="104"/>
      <c r="E5733" s="107" t="str">
        <f aca="false">IF($C5733="","",IFERROR(INDEX(المنيو!$C$2:$C$500,MATCH($C5733,المنيو!$B$2:$B$500,0)),0))</f>
        <v/>
      </c>
      <c r="F5733" s="107" t="str">
        <f aca="false">IF($C5733="","",$D5733*$E5733)</f>
        <v/>
      </c>
      <c r="G5733" s="107" t="str">
        <f aca="false">IF($C5733="","",$D5733*IFERROR(INDEX('تحليل التكلفة والسعر'!$C$2:$C$700,MATCH($C5733,'تحليل التكلفة والسعر'!$B$2:$B$700,0)),0))</f>
        <v/>
      </c>
    </row>
    <row r="5734" customFormat="false" ht="15" hidden="false" customHeight="false" outlineLevel="0" collapsed="false">
      <c r="A5734" s="103"/>
      <c r="B5734" s="104"/>
      <c r="C5734" s="104"/>
      <c r="E5734" s="107" t="str">
        <f aca="false">IF($C5734="","",IFERROR(INDEX(المنيو!$C$2:$C$500,MATCH($C5734,المنيو!$B$2:$B$500,0)),0))</f>
        <v/>
      </c>
      <c r="F5734" s="107" t="str">
        <f aca="false">IF($C5734="","",$D5734*$E5734)</f>
        <v/>
      </c>
      <c r="G5734" s="107" t="str">
        <f aca="false">IF($C5734="","",$D5734*IFERROR(INDEX('تحليل التكلفة والسعر'!$C$2:$C$700,MATCH($C5734,'تحليل التكلفة والسعر'!$B$2:$B$700,0)),0))</f>
        <v/>
      </c>
    </row>
    <row r="5735" customFormat="false" ht="15" hidden="false" customHeight="false" outlineLevel="0" collapsed="false">
      <c r="A5735" s="103"/>
      <c r="B5735" s="104"/>
      <c r="C5735" s="104"/>
      <c r="E5735" s="107" t="str">
        <f aca="false">IF($C5735="","",IFERROR(INDEX(المنيو!$C$2:$C$500,MATCH($C5735,المنيو!$B$2:$B$500,0)),0))</f>
        <v/>
      </c>
      <c r="F5735" s="107" t="str">
        <f aca="false">IF($C5735="","",$D5735*$E5735)</f>
        <v/>
      </c>
      <c r="G5735" s="107" t="str">
        <f aca="false">IF($C5735="","",$D5735*IFERROR(INDEX('تحليل التكلفة والسعر'!$C$2:$C$700,MATCH($C5735,'تحليل التكلفة والسعر'!$B$2:$B$700,0)),0))</f>
        <v/>
      </c>
    </row>
    <row r="5736" customFormat="false" ht="15" hidden="false" customHeight="false" outlineLevel="0" collapsed="false">
      <c r="A5736" s="103"/>
      <c r="B5736" s="104"/>
      <c r="C5736" s="104"/>
      <c r="E5736" s="107" t="str">
        <f aca="false">IF($C5736="","",IFERROR(INDEX(المنيو!$C$2:$C$500,MATCH($C5736,المنيو!$B$2:$B$500,0)),0))</f>
        <v/>
      </c>
      <c r="F5736" s="107" t="str">
        <f aca="false">IF($C5736="","",$D5736*$E5736)</f>
        <v/>
      </c>
      <c r="G5736" s="107" t="str">
        <f aca="false">IF($C5736="","",$D5736*IFERROR(INDEX('تحليل التكلفة والسعر'!$C$2:$C$700,MATCH($C5736,'تحليل التكلفة والسعر'!$B$2:$B$700,0)),0))</f>
        <v/>
      </c>
    </row>
    <row r="5737" customFormat="false" ht="15" hidden="false" customHeight="false" outlineLevel="0" collapsed="false">
      <c r="A5737" s="103"/>
      <c r="B5737" s="104"/>
      <c r="C5737" s="104"/>
      <c r="E5737" s="107" t="str">
        <f aca="false">IF($C5737="","",IFERROR(INDEX(المنيو!$C$2:$C$500,MATCH($C5737,المنيو!$B$2:$B$500,0)),0))</f>
        <v/>
      </c>
      <c r="F5737" s="107" t="str">
        <f aca="false">IF($C5737="","",$D5737*$E5737)</f>
        <v/>
      </c>
      <c r="G5737" s="107" t="str">
        <f aca="false">IF($C5737="","",$D5737*IFERROR(INDEX('تحليل التكلفة والسعر'!$C$2:$C$700,MATCH($C5737,'تحليل التكلفة والسعر'!$B$2:$B$700,0)),0))</f>
        <v/>
      </c>
    </row>
    <row r="5738" customFormat="false" ht="15" hidden="false" customHeight="false" outlineLevel="0" collapsed="false">
      <c r="A5738" s="103"/>
      <c r="B5738" s="104"/>
      <c r="C5738" s="104"/>
      <c r="E5738" s="107" t="str">
        <f aca="false">IF($C5738="","",IFERROR(INDEX(المنيو!$C$2:$C$500,MATCH($C5738,المنيو!$B$2:$B$500,0)),0))</f>
        <v/>
      </c>
      <c r="F5738" s="107" t="str">
        <f aca="false">IF($C5738="","",$D5738*$E5738)</f>
        <v/>
      </c>
      <c r="G5738" s="107" t="str">
        <f aca="false">IF($C5738="","",$D5738*IFERROR(INDEX('تحليل التكلفة والسعر'!$C$2:$C$700,MATCH($C5738,'تحليل التكلفة والسعر'!$B$2:$B$700,0)),0))</f>
        <v/>
      </c>
    </row>
    <row r="5739" customFormat="false" ht="15" hidden="false" customHeight="false" outlineLevel="0" collapsed="false">
      <c r="A5739" s="103"/>
      <c r="B5739" s="104"/>
      <c r="C5739" s="104"/>
      <c r="E5739" s="107" t="str">
        <f aca="false">IF($C5739="","",IFERROR(INDEX(المنيو!$C$2:$C$500,MATCH($C5739,المنيو!$B$2:$B$500,0)),0))</f>
        <v/>
      </c>
      <c r="F5739" s="107" t="str">
        <f aca="false">IF($C5739="","",$D5739*$E5739)</f>
        <v/>
      </c>
      <c r="G5739" s="107" t="str">
        <f aca="false">IF($C5739="","",$D5739*IFERROR(INDEX('تحليل التكلفة والسعر'!$C$2:$C$700,MATCH($C5739,'تحليل التكلفة والسعر'!$B$2:$B$700,0)),0))</f>
        <v/>
      </c>
    </row>
    <row r="5740" customFormat="false" ht="15" hidden="false" customHeight="false" outlineLevel="0" collapsed="false">
      <c r="A5740" s="103"/>
      <c r="B5740" s="104"/>
      <c r="C5740" s="104"/>
      <c r="E5740" s="107" t="str">
        <f aca="false">IF($C5740="","",IFERROR(INDEX(المنيو!$C$2:$C$500,MATCH($C5740,المنيو!$B$2:$B$500,0)),0))</f>
        <v/>
      </c>
      <c r="F5740" s="107" t="str">
        <f aca="false">IF($C5740="","",$D5740*$E5740)</f>
        <v/>
      </c>
      <c r="G5740" s="107" t="str">
        <f aca="false">IF($C5740="","",$D5740*IFERROR(INDEX('تحليل التكلفة والسعر'!$C$2:$C$700,MATCH($C5740,'تحليل التكلفة والسعر'!$B$2:$B$700,0)),0))</f>
        <v/>
      </c>
    </row>
    <row r="5741" customFormat="false" ht="15" hidden="false" customHeight="false" outlineLevel="0" collapsed="false">
      <c r="A5741" s="103"/>
      <c r="B5741" s="104"/>
      <c r="C5741" s="104"/>
      <c r="E5741" s="107" t="str">
        <f aca="false">IF($C5741="","",IFERROR(INDEX(المنيو!$C$2:$C$500,MATCH($C5741,المنيو!$B$2:$B$500,0)),0))</f>
        <v/>
      </c>
      <c r="F5741" s="107" t="str">
        <f aca="false">IF($C5741="","",$D5741*$E5741)</f>
        <v/>
      </c>
      <c r="G5741" s="107" t="str">
        <f aca="false">IF($C5741="","",$D5741*IFERROR(INDEX('تحليل التكلفة والسعر'!$C$2:$C$700,MATCH($C5741,'تحليل التكلفة والسعر'!$B$2:$B$700,0)),0))</f>
        <v/>
      </c>
    </row>
    <row r="5742" customFormat="false" ht="15" hidden="false" customHeight="false" outlineLevel="0" collapsed="false">
      <c r="A5742" s="103"/>
      <c r="B5742" s="104"/>
      <c r="C5742" s="104"/>
      <c r="E5742" s="107" t="str">
        <f aca="false">IF($C5742="","",IFERROR(INDEX(المنيو!$C$2:$C$500,MATCH($C5742,المنيو!$B$2:$B$500,0)),0))</f>
        <v/>
      </c>
      <c r="F5742" s="107" t="str">
        <f aca="false">IF($C5742="","",$D5742*$E5742)</f>
        <v/>
      </c>
      <c r="G5742" s="107" t="str">
        <f aca="false">IF($C5742="","",$D5742*IFERROR(INDEX('تحليل التكلفة والسعر'!$C$2:$C$700,MATCH($C5742,'تحليل التكلفة والسعر'!$B$2:$B$700,0)),0))</f>
        <v/>
      </c>
    </row>
    <row r="5743" customFormat="false" ht="15" hidden="false" customHeight="false" outlineLevel="0" collapsed="false">
      <c r="A5743" s="103"/>
      <c r="B5743" s="104"/>
      <c r="C5743" s="104"/>
      <c r="E5743" s="107" t="str">
        <f aca="false">IF($C5743="","",IFERROR(INDEX(المنيو!$C$2:$C$500,MATCH($C5743,المنيو!$B$2:$B$500,0)),0))</f>
        <v/>
      </c>
      <c r="F5743" s="107" t="str">
        <f aca="false">IF($C5743="","",$D5743*$E5743)</f>
        <v/>
      </c>
      <c r="G5743" s="107" t="str">
        <f aca="false">IF($C5743="","",$D5743*IFERROR(INDEX('تحليل التكلفة والسعر'!$C$2:$C$700,MATCH($C5743,'تحليل التكلفة والسعر'!$B$2:$B$700,0)),0))</f>
        <v/>
      </c>
    </row>
    <row r="5744" customFormat="false" ht="15" hidden="false" customHeight="false" outlineLevel="0" collapsed="false">
      <c r="A5744" s="103"/>
      <c r="B5744" s="104"/>
      <c r="C5744" s="104"/>
      <c r="E5744" s="107" t="str">
        <f aca="false">IF($C5744="","",IFERROR(INDEX(المنيو!$C$2:$C$500,MATCH($C5744,المنيو!$B$2:$B$500,0)),0))</f>
        <v/>
      </c>
      <c r="F5744" s="107" t="str">
        <f aca="false">IF($C5744="","",$D5744*$E5744)</f>
        <v/>
      </c>
      <c r="G5744" s="107" t="str">
        <f aca="false">IF($C5744="","",$D5744*IFERROR(INDEX('تحليل التكلفة والسعر'!$C$2:$C$700,MATCH($C5744,'تحليل التكلفة والسعر'!$B$2:$B$700,0)),0))</f>
        <v/>
      </c>
    </row>
    <row r="5745" customFormat="false" ht="15" hidden="false" customHeight="false" outlineLevel="0" collapsed="false">
      <c r="A5745" s="103"/>
      <c r="B5745" s="104"/>
      <c r="C5745" s="104"/>
      <c r="E5745" s="107" t="str">
        <f aca="false">IF($C5745="","",IFERROR(INDEX(المنيو!$C$2:$C$500,MATCH($C5745,المنيو!$B$2:$B$500,0)),0))</f>
        <v/>
      </c>
      <c r="F5745" s="107" t="str">
        <f aca="false">IF($C5745="","",$D5745*$E5745)</f>
        <v/>
      </c>
      <c r="G5745" s="107" t="str">
        <f aca="false">IF($C5745="","",$D5745*IFERROR(INDEX('تحليل التكلفة والسعر'!$C$2:$C$700,MATCH($C5745,'تحليل التكلفة والسعر'!$B$2:$B$700,0)),0))</f>
        <v/>
      </c>
    </row>
    <row r="5746" customFormat="false" ht="15" hidden="false" customHeight="false" outlineLevel="0" collapsed="false">
      <c r="A5746" s="103"/>
      <c r="B5746" s="104"/>
      <c r="C5746" s="104"/>
      <c r="E5746" s="107" t="str">
        <f aca="false">IF($C5746="","",IFERROR(INDEX(المنيو!$C$2:$C$500,MATCH($C5746,المنيو!$B$2:$B$500,0)),0))</f>
        <v/>
      </c>
      <c r="F5746" s="107" t="str">
        <f aca="false">IF($C5746="","",$D5746*$E5746)</f>
        <v/>
      </c>
      <c r="G5746" s="107" t="str">
        <f aca="false">IF($C5746="","",$D5746*IFERROR(INDEX('تحليل التكلفة والسعر'!$C$2:$C$700,MATCH($C5746,'تحليل التكلفة والسعر'!$B$2:$B$700,0)),0))</f>
        <v/>
      </c>
    </row>
    <row r="5747" customFormat="false" ht="15" hidden="false" customHeight="false" outlineLevel="0" collapsed="false">
      <c r="A5747" s="103"/>
      <c r="B5747" s="104"/>
      <c r="C5747" s="104"/>
      <c r="E5747" s="107" t="str">
        <f aca="false">IF($C5747="","",IFERROR(INDEX(المنيو!$C$2:$C$500,MATCH($C5747,المنيو!$B$2:$B$500,0)),0))</f>
        <v/>
      </c>
      <c r="F5747" s="107" t="str">
        <f aca="false">IF($C5747="","",$D5747*$E5747)</f>
        <v/>
      </c>
      <c r="G5747" s="107" t="str">
        <f aca="false">IF($C5747="","",$D5747*IFERROR(INDEX('تحليل التكلفة والسعر'!$C$2:$C$700,MATCH($C5747,'تحليل التكلفة والسعر'!$B$2:$B$700,0)),0))</f>
        <v/>
      </c>
    </row>
    <row r="5748" customFormat="false" ht="15" hidden="false" customHeight="false" outlineLevel="0" collapsed="false">
      <c r="A5748" s="103"/>
      <c r="B5748" s="104"/>
      <c r="C5748" s="104"/>
      <c r="E5748" s="107" t="str">
        <f aca="false">IF($C5748="","",IFERROR(INDEX(المنيو!$C$2:$C$500,MATCH($C5748,المنيو!$B$2:$B$500,0)),0))</f>
        <v/>
      </c>
      <c r="F5748" s="107" t="str">
        <f aca="false">IF($C5748="","",$D5748*$E5748)</f>
        <v/>
      </c>
      <c r="G5748" s="107" t="str">
        <f aca="false">IF($C5748="","",$D5748*IFERROR(INDEX('تحليل التكلفة والسعر'!$C$2:$C$700,MATCH($C5748,'تحليل التكلفة والسعر'!$B$2:$B$700,0)),0))</f>
        <v/>
      </c>
    </row>
    <row r="5749" customFormat="false" ht="15" hidden="false" customHeight="false" outlineLevel="0" collapsed="false">
      <c r="A5749" s="103"/>
      <c r="B5749" s="104"/>
      <c r="C5749" s="104"/>
      <c r="E5749" s="107" t="str">
        <f aca="false">IF($C5749="","",IFERROR(INDEX(المنيو!$C$2:$C$500,MATCH($C5749,المنيو!$B$2:$B$500,0)),0))</f>
        <v/>
      </c>
      <c r="F5749" s="107" t="str">
        <f aca="false">IF($C5749="","",$D5749*$E5749)</f>
        <v/>
      </c>
      <c r="G5749" s="107" t="str">
        <f aca="false">IF($C5749="","",$D5749*IFERROR(INDEX('تحليل التكلفة والسعر'!$C$2:$C$700,MATCH($C5749,'تحليل التكلفة والسعر'!$B$2:$B$700,0)),0))</f>
        <v/>
      </c>
    </row>
    <row r="5750" customFormat="false" ht="15" hidden="false" customHeight="false" outlineLevel="0" collapsed="false">
      <c r="A5750" s="103"/>
      <c r="B5750" s="104"/>
      <c r="C5750" s="104"/>
      <c r="E5750" s="107" t="str">
        <f aca="false">IF($C5750="","",IFERROR(INDEX(المنيو!$C$2:$C$500,MATCH($C5750,المنيو!$B$2:$B$500,0)),0))</f>
        <v/>
      </c>
      <c r="F5750" s="107" t="str">
        <f aca="false">IF($C5750="","",$D5750*$E5750)</f>
        <v/>
      </c>
      <c r="G5750" s="107" t="str">
        <f aca="false">IF($C5750="","",$D5750*IFERROR(INDEX('تحليل التكلفة والسعر'!$C$2:$C$700,MATCH($C5750,'تحليل التكلفة والسعر'!$B$2:$B$700,0)),0))</f>
        <v/>
      </c>
    </row>
    <row r="5751" customFormat="false" ht="15" hidden="false" customHeight="false" outlineLevel="0" collapsed="false">
      <c r="A5751" s="103"/>
      <c r="B5751" s="104"/>
      <c r="C5751" s="104"/>
      <c r="E5751" s="107" t="str">
        <f aca="false">IF($C5751="","",IFERROR(INDEX(المنيو!$C$2:$C$500,MATCH($C5751,المنيو!$B$2:$B$500,0)),0))</f>
        <v/>
      </c>
      <c r="F5751" s="107" t="str">
        <f aca="false">IF($C5751="","",$D5751*$E5751)</f>
        <v/>
      </c>
      <c r="G5751" s="107" t="str">
        <f aca="false">IF($C5751="","",$D5751*IFERROR(INDEX('تحليل التكلفة والسعر'!$C$2:$C$700,MATCH($C5751,'تحليل التكلفة والسعر'!$B$2:$B$700,0)),0))</f>
        <v/>
      </c>
    </row>
    <row r="5752" customFormat="false" ht="15" hidden="false" customHeight="false" outlineLevel="0" collapsed="false">
      <c r="A5752" s="103"/>
      <c r="B5752" s="104"/>
      <c r="C5752" s="104"/>
      <c r="E5752" s="107" t="str">
        <f aca="false">IF($C5752="","",IFERROR(INDEX(المنيو!$C$2:$C$500,MATCH($C5752,المنيو!$B$2:$B$500,0)),0))</f>
        <v/>
      </c>
      <c r="F5752" s="107" t="str">
        <f aca="false">IF($C5752="","",$D5752*$E5752)</f>
        <v/>
      </c>
      <c r="G5752" s="107" t="str">
        <f aca="false">IF($C5752="","",$D5752*IFERROR(INDEX('تحليل التكلفة والسعر'!$C$2:$C$700,MATCH($C5752,'تحليل التكلفة والسعر'!$B$2:$B$700,0)),0))</f>
        <v/>
      </c>
    </row>
    <row r="5753" customFormat="false" ht="15" hidden="false" customHeight="false" outlineLevel="0" collapsed="false">
      <c r="A5753" s="103"/>
      <c r="B5753" s="104"/>
      <c r="C5753" s="104"/>
      <c r="E5753" s="107" t="str">
        <f aca="false">IF($C5753="","",IFERROR(INDEX(المنيو!$C$2:$C$500,MATCH($C5753,المنيو!$B$2:$B$500,0)),0))</f>
        <v/>
      </c>
      <c r="F5753" s="107" t="str">
        <f aca="false">IF($C5753="","",$D5753*$E5753)</f>
        <v/>
      </c>
      <c r="G5753" s="107" t="str">
        <f aca="false">IF($C5753="","",$D5753*IFERROR(INDEX('تحليل التكلفة والسعر'!$C$2:$C$700,MATCH($C5753,'تحليل التكلفة والسعر'!$B$2:$B$700,0)),0))</f>
        <v/>
      </c>
    </row>
    <row r="5754" customFormat="false" ht="15" hidden="false" customHeight="false" outlineLevel="0" collapsed="false">
      <c r="A5754" s="103"/>
      <c r="B5754" s="104"/>
      <c r="C5754" s="104"/>
      <c r="E5754" s="107" t="str">
        <f aca="false">IF($C5754="","",IFERROR(INDEX(المنيو!$C$2:$C$500,MATCH($C5754,المنيو!$B$2:$B$500,0)),0))</f>
        <v/>
      </c>
      <c r="F5754" s="107" t="str">
        <f aca="false">IF($C5754="","",$D5754*$E5754)</f>
        <v/>
      </c>
      <c r="G5754" s="107" t="str">
        <f aca="false">IF($C5754="","",$D5754*IFERROR(INDEX('تحليل التكلفة والسعر'!$C$2:$C$700,MATCH($C5754,'تحليل التكلفة والسعر'!$B$2:$B$700,0)),0))</f>
        <v/>
      </c>
    </row>
    <row r="5755" customFormat="false" ht="15" hidden="false" customHeight="false" outlineLevel="0" collapsed="false">
      <c r="A5755" s="103"/>
      <c r="B5755" s="104"/>
      <c r="C5755" s="104"/>
      <c r="E5755" s="107" t="str">
        <f aca="false">IF($C5755="","",IFERROR(INDEX(المنيو!$C$2:$C$500,MATCH($C5755,المنيو!$B$2:$B$500,0)),0))</f>
        <v/>
      </c>
      <c r="F5755" s="107" t="str">
        <f aca="false">IF($C5755="","",$D5755*$E5755)</f>
        <v/>
      </c>
      <c r="G5755" s="107" t="str">
        <f aca="false">IF($C5755="","",$D5755*IFERROR(INDEX('تحليل التكلفة والسعر'!$C$2:$C$700,MATCH($C5755,'تحليل التكلفة والسعر'!$B$2:$B$700,0)),0))</f>
        <v/>
      </c>
    </row>
    <row r="5756" customFormat="false" ht="15" hidden="false" customHeight="false" outlineLevel="0" collapsed="false">
      <c r="A5756" s="103"/>
      <c r="B5756" s="104"/>
      <c r="C5756" s="104"/>
      <c r="E5756" s="107" t="str">
        <f aca="false">IF($C5756="","",IFERROR(INDEX(المنيو!$C$2:$C$500,MATCH($C5756,المنيو!$B$2:$B$500,0)),0))</f>
        <v/>
      </c>
      <c r="F5756" s="107" t="str">
        <f aca="false">IF($C5756="","",$D5756*$E5756)</f>
        <v/>
      </c>
      <c r="G5756" s="107" t="str">
        <f aca="false">IF($C5756="","",$D5756*IFERROR(INDEX('تحليل التكلفة والسعر'!$C$2:$C$700,MATCH($C5756,'تحليل التكلفة والسعر'!$B$2:$B$700,0)),0))</f>
        <v/>
      </c>
    </row>
    <row r="5757" customFormat="false" ht="15" hidden="false" customHeight="false" outlineLevel="0" collapsed="false">
      <c r="A5757" s="103"/>
      <c r="B5757" s="104"/>
      <c r="C5757" s="104"/>
      <c r="E5757" s="107" t="str">
        <f aca="false">IF($C5757="","",IFERROR(INDEX(المنيو!$C$2:$C$500,MATCH($C5757,المنيو!$B$2:$B$500,0)),0))</f>
        <v/>
      </c>
      <c r="F5757" s="107" t="str">
        <f aca="false">IF($C5757="","",$D5757*$E5757)</f>
        <v/>
      </c>
      <c r="G5757" s="107" t="str">
        <f aca="false">IF($C5757="","",$D5757*IFERROR(INDEX('تحليل التكلفة والسعر'!$C$2:$C$700,MATCH($C5757,'تحليل التكلفة والسعر'!$B$2:$B$700,0)),0))</f>
        <v/>
      </c>
    </row>
    <row r="5758" customFormat="false" ht="15" hidden="false" customHeight="false" outlineLevel="0" collapsed="false">
      <c r="A5758" s="103"/>
      <c r="B5758" s="104"/>
      <c r="C5758" s="104"/>
      <c r="E5758" s="107" t="str">
        <f aca="false">IF($C5758="","",IFERROR(INDEX(المنيو!$C$2:$C$500,MATCH($C5758,المنيو!$B$2:$B$500,0)),0))</f>
        <v/>
      </c>
      <c r="F5758" s="107" t="str">
        <f aca="false">IF($C5758="","",$D5758*$E5758)</f>
        <v/>
      </c>
      <c r="G5758" s="107" t="str">
        <f aca="false">IF($C5758="","",$D5758*IFERROR(INDEX('تحليل التكلفة والسعر'!$C$2:$C$700,MATCH($C5758,'تحليل التكلفة والسعر'!$B$2:$B$700,0)),0))</f>
        <v/>
      </c>
    </row>
    <row r="5759" customFormat="false" ht="15" hidden="false" customHeight="false" outlineLevel="0" collapsed="false">
      <c r="A5759" s="103"/>
      <c r="B5759" s="104"/>
      <c r="C5759" s="104"/>
      <c r="E5759" s="107" t="str">
        <f aca="false">IF($C5759="","",IFERROR(INDEX(المنيو!$C$2:$C$500,MATCH($C5759,المنيو!$B$2:$B$500,0)),0))</f>
        <v/>
      </c>
      <c r="F5759" s="107" t="str">
        <f aca="false">IF($C5759="","",$D5759*$E5759)</f>
        <v/>
      </c>
      <c r="G5759" s="107" t="str">
        <f aca="false">IF($C5759="","",$D5759*IFERROR(INDEX('تحليل التكلفة والسعر'!$C$2:$C$700,MATCH($C5759,'تحليل التكلفة والسعر'!$B$2:$B$700,0)),0))</f>
        <v/>
      </c>
    </row>
    <row r="5760" customFormat="false" ht="15" hidden="false" customHeight="false" outlineLevel="0" collapsed="false">
      <c r="A5760" s="103"/>
      <c r="B5760" s="104"/>
      <c r="C5760" s="104"/>
      <c r="E5760" s="107" t="str">
        <f aca="false">IF($C5760="","",IFERROR(INDEX(المنيو!$C$2:$C$500,MATCH($C5760,المنيو!$B$2:$B$500,0)),0))</f>
        <v/>
      </c>
      <c r="F5760" s="107" t="str">
        <f aca="false">IF($C5760="","",$D5760*$E5760)</f>
        <v/>
      </c>
      <c r="G5760" s="107" t="str">
        <f aca="false">IF($C5760="","",$D5760*IFERROR(INDEX('تحليل التكلفة والسعر'!$C$2:$C$700,MATCH($C5760,'تحليل التكلفة والسعر'!$B$2:$B$700,0)),0))</f>
        <v/>
      </c>
    </row>
    <row r="5761" customFormat="false" ht="15" hidden="false" customHeight="false" outlineLevel="0" collapsed="false">
      <c r="A5761" s="103"/>
      <c r="B5761" s="104"/>
      <c r="C5761" s="104"/>
      <c r="E5761" s="107" t="str">
        <f aca="false">IF($C5761="","",IFERROR(INDEX(المنيو!$C$2:$C$500,MATCH($C5761,المنيو!$B$2:$B$500,0)),0))</f>
        <v/>
      </c>
      <c r="F5761" s="107" t="str">
        <f aca="false">IF($C5761="","",$D5761*$E5761)</f>
        <v/>
      </c>
      <c r="G5761" s="107" t="str">
        <f aca="false">IF($C5761="","",$D5761*IFERROR(INDEX('تحليل التكلفة والسعر'!$C$2:$C$700,MATCH($C5761,'تحليل التكلفة والسعر'!$B$2:$B$700,0)),0))</f>
        <v/>
      </c>
    </row>
    <row r="5762" customFormat="false" ht="15" hidden="false" customHeight="false" outlineLevel="0" collapsed="false">
      <c r="A5762" s="103"/>
      <c r="B5762" s="104"/>
      <c r="C5762" s="104"/>
      <c r="E5762" s="107" t="str">
        <f aca="false">IF($C5762="","",IFERROR(INDEX(المنيو!$C$2:$C$500,MATCH($C5762,المنيو!$B$2:$B$500,0)),0))</f>
        <v/>
      </c>
      <c r="F5762" s="107" t="str">
        <f aca="false">IF($C5762="","",$D5762*$E5762)</f>
        <v/>
      </c>
      <c r="G5762" s="107" t="str">
        <f aca="false">IF($C5762="","",$D5762*IFERROR(INDEX('تحليل التكلفة والسعر'!$C$2:$C$700,MATCH($C5762,'تحليل التكلفة والسعر'!$B$2:$B$700,0)),0))</f>
        <v/>
      </c>
    </row>
    <row r="5763" customFormat="false" ht="15" hidden="false" customHeight="false" outlineLevel="0" collapsed="false">
      <c r="A5763" s="103"/>
      <c r="B5763" s="104"/>
      <c r="C5763" s="104"/>
      <c r="E5763" s="107" t="str">
        <f aca="false">IF($C5763="","",IFERROR(INDEX(المنيو!$C$2:$C$500,MATCH($C5763,المنيو!$B$2:$B$500,0)),0))</f>
        <v/>
      </c>
      <c r="F5763" s="107" t="str">
        <f aca="false">IF($C5763="","",$D5763*$E5763)</f>
        <v/>
      </c>
      <c r="G5763" s="107" t="str">
        <f aca="false">IF($C5763="","",$D5763*IFERROR(INDEX('تحليل التكلفة والسعر'!$C$2:$C$700,MATCH($C5763,'تحليل التكلفة والسعر'!$B$2:$B$700,0)),0))</f>
        <v/>
      </c>
    </row>
    <row r="5764" customFormat="false" ht="15" hidden="false" customHeight="false" outlineLevel="0" collapsed="false">
      <c r="A5764" s="103"/>
      <c r="B5764" s="104"/>
      <c r="C5764" s="104"/>
      <c r="E5764" s="107" t="str">
        <f aca="false">IF($C5764="","",IFERROR(INDEX(المنيو!$C$2:$C$500,MATCH($C5764,المنيو!$B$2:$B$500,0)),0))</f>
        <v/>
      </c>
      <c r="F5764" s="107" t="str">
        <f aca="false">IF($C5764="","",$D5764*$E5764)</f>
        <v/>
      </c>
      <c r="G5764" s="107" t="str">
        <f aca="false">IF($C5764="","",$D5764*IFERROR(INDEX('تحليل التكلفة والسعر'!$C$2:$C$700,MATCH($C5764,'تحليل التكلفة والسعر'!$B$2:$B$700,0)),0))</f>
        <v/>
      </c>
    </row>
    <row r="5765" customFormat="false" ht="15" hidden="false" customHeight="false" outlineLevel="0" collapsed="false">
      <c r="A5765" s="103"/>
      <c r="B5765" s="104"/>
      <c r="C5765" s="104"/>
      <c r="E5765" s="107" t="str">
        <f aca="false">IF($C5765="","",IFERROR(INDEX(المنيو!$C$2:$C$500,MATCH($C5765,المنيو!$B$2:$B$500,0)),0))</f>
        <v/>
      </c>
      <c r="F5765" s="107" t="str">
        <f aca="false">IF($C5765="","",$D5765*$E5765)</f>
        <v/>
      </c>
      <c r="G5765" s="107" t="str">
        <f aca="false">IF($C5765="","",$D5765*IFERROR(INDEX('تحليل التكلفة والسعر'!$C$2:$C$700,MATCH($C5765,'تحليل التكلفة والسعر'!$B$2:$B$700,0)),0))</f>
        <v/>
      </c>
    </row>
    <row r="5766" customFormat="false" ht="15" hidden="false" customHeight="false" outlineLevel="0" collapsed="false">
      <c r="A5766" s="103"/>
      <c r="B5766" s="104"/>
      <c r="C5766" s="104"/>
      <c r="E5766" s="107" t="str">
        <f aca="false">IF($C5766="","",IFERROR(INDEX(المنيو!$C$2:$C$500,MATCH($C5766,المنيو!$B$2:$B$500,0)),0))</f>
        <v/>
      </c>
      <c r="F5766" s="107" t="str">
        <f aca="false">IF($C5766="","",$D5766*$E5766)</f>
        <v/>
      </c>
      <c r="G5766" s="107" t="str">
        <f aca="false">IF($C5766="","",$D5766*IFERROR(INDEX('تحليل التكلفة والسعر'!$C$2:$C$700,MATCH($C5766,'تحليل التكلفة والسعر'!$B$2:$B$700,0)),0))</f>
        <v/>
      </c>
    </row>
    <row r="5767" customFormat="false" ht="15" hidden="false" customHeight="false" outlineLevel="0" collapsed="false">
      <c r="A5767" s="103"/>
      <c r="B5767" s="104"/>
      <c r="C5767" s="104"/>
      <c r="E5767" s="107" t="str">
        <f aca="false">IF($C5767="","",IFERROR(INDEX(المنيو!$C$2:$C$500,MATCH($C5767,المنيو!$B$2:$B$500,0)),0))</f>
        <v/>
      </c>
      <c r="F5767" s="107" t="str">
        <f aca="false">IF($C5767="","",$D5767*$E5767)</f>
        <v/>
      </c>
      <c r="G5767" s="107" t="str">
        <f aca="false">IF($C5767="","",$D5767*IFERROR(INDEX('تحليل التكلفة والسعر'!$C$2:$C$700,MATCH($C5767,'تحليل التكلفة والسعر'!$B$2:$B$700,0)),0))</f>
        <v/>
      </c>
    </row>
    <row r="5768" customFormat="false" ht="15" hidden="false" customHeight="false" outlineLevel="0" collapsed="false">
      <c r="A5768" s="103"/>
      <c r="B5768" s="104"/>
      <c r="C5768" s="104"/>
      <c r="E5768" s="107" t="str">
        <f aca="false">IF($C5768="","",IFERROR(INDEX(المنيو!$C$2:$C$500,MATCH($C5768,المنيو!$B$2:$B$500,0)),0))</f>
        <v/>
      </c>
      <c r="F5768" s="107" t="str">
        <f aca="false">IF($C5768="","",$D5768*$E5768)</f>
        <v/>
      </c>
      <c r="G5768" s="107" t="str">
        <f aca="false">IF($C5768="","",$D5768*IFERROR(INDEX('تحليل التكلفة والسعر'!$C$2:$C$700,MATCH($C5768,'تحليل التكلفة والسعر'!$B$2:$B$700,0)),0))</f>
        <v/>
      </c>
    </row>
    <row r="5769" customFormat="false" ht="15" hidden="false" customHeight="false" outlineLevel="0" collapsed="false">
      <c r="A5769" s="103"/>
      <c r="B5769" s="104"/>
      <c r="C5769" s="104"/>
      <c r="E5769" s="107" t="str">
        <f aca="false">IF($C5769="","",IFERROR(INDEX(المنيو!$C$2:$C$500,MATCH($C5769,المنيو!$B$2:$B$500,0)),0))</f>
        <v/>
      </c>
      <c r="F5769" s="107" t="str">
        <f aca="false">IF($C5769="","",$D5769*$E5769)</f>
        <v/>
      </c>
      <c r="G5769" s="107" t="str">
        <f aca="false">IF($C5769="","",$D5769*IFERROR(INDEX('تحليل التكلفة والسعر'!$C$2:$C$700,MATCH($C5769,'تحليل التكلفة والسعر'!$B$2:$B$700,0)),0))</f>
        <v/>
      </c>
    </row>
    <row r="5770" customFormat="false" ht="15" hidden="false" customHeight="false" outlineLevel="0" collapsed="false">
      <c r="A5770" s="103"/>
      <c r="B5770" s="104"/>
      <c r="C5770" s="104"/>
      <c r="E5770" s="107" t="str">
        <f aca="false">IF($C5770="","",IFERROR(INDEX(المنيو!$C$2:$C$500,MATCH($C5770,المنيو!$B$2:$B$500,0)),0))</f>
        <v/>
      </c>
      <c r="F5770" s="107" t="str">
        <f aca="false">IF($C5770="","",$D5770*$E5770)</f>
        <v/>
      </c>
      <c r="G5770" s="107" t="str">
        <f aca="false">IF($C5770="","",$D5770*IFERROR(INDEX('تحليل التكلفة والسعر'!$C$2:$C$700,MATCH($C5770,'تحليل التكلفة والسعر'!$B$2:$B$700,0)),0))</f>
        <v/>
      </c>
    </row>
    <row r="5771" customFormat="false" ht="15" hidden="false" customHeight="false" outlineLevel="0" collapsed="false">
      <c r="A5771" s="103"/>
      <c r="B5771" s="104"/>
      <c r="C5771" s="104"/>
      <c r="E5771" s="107" t="str">
        <f aca="false">IF($C5771="","",IFERROR(INDEX(المنيو!$C$2:$C$500,MATCH($C5771,المنيو!$B$2:$B$500,0)),0))</f>
        <v/>
      </c>
      <c r="F5771" s="107" t="str">
        <f aca="false">IF($C5771="","",$D5771*$E5771)</f>
        <v/>
      </c>
      <c r="G5771" s="107" t="str">
        <f aca="false">IF($C5771="","",$D5771*IFERROR(INDEX('تحليل التكلفة والسعر'!$C$2:$C$700,MATCH($C5771,'تحليل التكلفة والسعر'!$B$2:$B$700,0)),0))</f>
        <v/>
      </c>
    </row>
    <row r="5772" customFormat="false" ht="15" hidden="false" customHeight="false" outlineLevel="0" collapsed="false">
      <c r="A5772" s="103"/>
      <c r="B5772" s="104"/>
      <c r="C5772" s="104"/>
      <c r="E5772" s="107" t="str">
        <f aca="false">IF($C5772="","",IFERROR(INDEX(المنيو!$C$2:$C$500,MATCH($C5772,المنيو!$B$2:$B$500,0)),0))</f>
        <v/>
      </c>
      <c r="F5772" s="107" t="str">
        <f aca="false">IF($C5772="","",$D5772*$E5772)</f>
        <v/>
      </c>
      <c r="G5772" s="107" t="str">
        <f aca="false">IF($C5772="","",$D5772*IFERROR(INDEX('تحليل التكلفة والسعر'!$C$2:$C$700,MATCH($C5772,'تحليل التكلفة والسعر'!$B$2:$B$700,0)),0))</f>
        <v/>
      </c>
    </row>
    <row r="5773" customFormat="false" ht="15" hidden="false" customHeight="false" outlineLevel="0" collapsed="false">
      <c r="A5773" s="103"/>
      <c r="B5773" s="104"/>
      <c r="C5773" s="104"/>
      <c r="E5773" s="107" t="str">
        <f aca="false">IF($C5773="","",IFERROR(INDEX(المنيو!$C$2:$C$500,MATCH($C5773,المنيو!$B$2:$B$500,0)),0))</f>
        <v/>
      </c>
      <c r="F5773" s="107" t="str">
        <f aca="false">IF($C5773="","",$D5773*$E5773)</f>
        <v/>
      </c>
      <c r="G5773" s="107" t="str">
        <f aca="false">IF($C5773="","",$D5773*IFERROR(INDEX('تحليل التكلفة والسعر'!$C$2:$C$700,MATCH($C5773,'تحليل التكلفة والسعر'!$B$2:$B$700,0)),0))</f>
        <v/>
      </c>
    </row>
    <row r="5774" customFormat="false" ht="15" hidden="false" customHeight="false" outlineLevel="0" collapsed="false">
      <c r="A5774" s="103"/>
      <c r="B5774" s="104"/>
      <c r="C5774" s="104"/>
      <c r="E5774" s="107" t="str">
        <f aca="false">IF($C5774="","",IFERROR(INDEX(المنيو!$C$2:$C$500,MATCH($C5774,المنيو!$B$2:$B$500,0)),0))</f>
        <v/>
      </c>
      <c r="F5774" s="107" t="str">
        <f aca="false">IF($C5774="","",$D5774*$E5774)</f>
        <v/>
      </c>
      <c r="G5774" s="107" t="str">
        <f aca="false">IF($C5774="","",$D5774*IFERROR(INDEX('تحليل التكلفة والسعر'!$C$2:$C$700,MATCH($C5774,'تحليل التكلفة والسعر'!$B$2:$B$700,0)),0))</f>
        <v/>
      </c>
    </row>
    <row r="5775" customFormat="false" ht="15" hidden="false" customHeight="false" outlineLevel="0" collapsed="false">
      <c r="A5775" s="103"/>
      <c r="B5775" s="104"/>
      <c r="C5775" s="104"/>
      <c r="E5775" s="107" t="str">
        <f aca="false">IF($C5775="","",IFERROR(INDEX(المنيو!$C$2:$C$500,MATCH($C5775,المنيو!$B$2:$B$500,0)),0))</f>
        <v/>
      </c>
      <c r="F5775" s="107" t="str">
        <f aca="false">IF($C5775="","",$D5775*$E5775)</f>
        <v/>
      </c>
      <c r="G5775" s="107" t="str">
        <f aca="false">IF($C5775="","",$D5775*IFERROR(INDEX('تحليل التكلفة والسعر'!$C$2:$C$700,MATCH($C5775,'تحليل التكلفة والسعر'!$B$2:$B$700,0)),0))</f>
        <v/>
      </c>
    </row>
    <row r="5776" customFormat="false" ht="15" hidden="false" customHeight="false" outlineLevel="0" collapsed="false">
      <c r="A5776" s="103"/>
      <c r="B5776" s="104"/>
      <c r="C5776" s="104"/>
      <c r="E5776" s="107" t="str">
        <f aca="false">IF($C5776="","",IFERROR(INDEX(المنيو!$C$2:$C$500,MATCH($C5776,المنيو!$B$2:$B$500,0)),0))</f>
        <v/>
      </c>
      <c r="F5776" s="107" t="str">
        <f aca="false">IF($C5776="","",$D5776*$E5776)</f>
        <v/>
      </c>
      <c r="G5776" s="107" t="str">
        <f aca="false">IF($C5776="","",$D5776*IFERROR(INDEX('تحليل التكلفة والسعر'!$C$2:$C$700,MATCH($C5776,'تحليل التكلفة والسعر'!$B$2:$B$700,0)),0))</f>
        <v/>
      </c>
    </row>
    <row r="5777" customFormat="false" ht="15" hidden="false" customHeight="false" outlineLevel="0" collapsed="false">
      <c r="A5777" s="103"/>
      <c r="B5777" s="104"/>
      <c r="C5777" s="104"/>
      <c r="E5777" s="107" t="str">
        <f aca="false">IF($C5777="","",IFERROR(INDEX(المنيو!$C$2:$C$500,MATCH($C5777,المنيو!$B$2:$B$500,0)),0))</f>
        <v/>
      </c>
      <c r="F5777" s="107" t="str">
        <f aca="false">IF($C5777="","",$D5777*$E5777)</f>
        <v/>
      </c>
      <c r="G5777" s="107" t="str">
        <f aca="false">IF($C5777="","",$D5777*IFERROR(INDEX('تحليل التكلفة والسعر'!$C$2:$C$700,MATCH($C5777,'تحليل التكلفة والسعر'!$B$2:$B$700,0)),0))</f>
        <v/>
      </c>
    </row>
    <row r="5778" customFormat="false" ht="15" hidden="false" customHeight="false" outlineLevel="0" collapsed="false">
      <c r="A5778" s="103"/>
      <c r="B5778" s="104"/>
      <c r="C5778" s="104"/>
      <c r="E5778" s="107" t="str">
        <f aca="false">IF($C5778="","",IFERROR(INDEX(المنيو!$C$2:$C$500,MATCH($C5778,المنيو!$B$2:$B$500,0)),0))</f>
        <v/>
      </c>
      <c r="F5778" s="107" t="str">
        <f aca="false">IF($C5778="","",$D5778*$E5778)</f>
        <v/>
      </c>
      <c r="G5778" s="107" t="str">
        <f aca="false">IF($C5778="","",$D5778*IFERROR(INDEX('تحليل التكلفة والسعر'!$C$2:$C$700,MATCH($C5778,'تحليل التكلفة والسعر'!$B$2:$B$700,0)),0))</f>
        <v/>
      </c>
    </row>
    <row r="5779" customFormat="false" ht="15" hidden="false" customHeight="false" outlineLevel="0" collapsed="false">
      <c r="A5779" s="103"/>
      <c r="B5779" s="104"/>
      <c r="C5779" s="104"/>
      <c r="E5779" s="107" t="str">
        <f aca="false">IF($C5779="","",IFERROR(INDEX(المنيو!$C$2:$C$500,MATCH($C5779,المنيو!$B$2:$B$500,0)),0))</f>
        <v/>
      </c>
      <c r="F5779" s="107" t="str">
        <f aca="false">IF($C5779="","",$D5779*$E5779)</f>
        <v/>
      </c>
      <c r="G5779" s="107" t="str">
        <f aca="false">IF($C5779="","",$D5779*IFERROR(INDEX('تحليل التكلفة والسعر'!$C$2:$C$700,MATCH($C5779,'تحليل التكلفة والسعر'!$B$2:$B$700,0)),0))</f>
        <v/>
      </c>
    </row>
    <row r="5780" customFormat="false" ht="15" hidden="false" customHeight="false" outlineLevel="0" collapsed="false">
      <c r="A5780" s="103"/>
      <c r="B5780" s="104"/>
      <c r="C5780" s="104"/>
      <c r="E5780" s="107" t="str">
        <f aca="false">IF($C5780="","",IFERROR(INDEX(المنيو!$C$2:$C$500,MATCH($C5780,المنيو!$B$2:$B$500,0)),0))</f>
        <v/>
      </c>
      <c r="F5780" s="107" t="str">
        <f aca="false">IF($C5780="","",$D5780*$E5780)</f>
        <v/>
      </c>
      <c r="G5780" s="107" t="str">
        <f aca="false">IF($C5780="","",$D5780*IFERROR(INDEX('تحليل التكلفة والسعر'!$C$2:$C$700,MATCH($C5780,'تحليل التكلفة والسعر'!$B$2:$B$700,0)),0))</f>
        <v/>
      </c>
    </row>
    <row r="5781" customFormat="false" ht="15" hidden="false" customHeight="false" outlineLevel="0" collapsed="false">
      <c r="A5781" s="103"/>
      <c r="B5781" s="104"/>
      <c r="C5781" s="104"/>
      <c r="E5781" s="107" t="str">
        <f aca="false">IF($C5781="","",IFERROR(INDEX(المنيو!$C$2:$C$500,MATCH($C5781,المنيو!$B$2:$B$500,0)),0))</f>
        <v/>
      </c>
      <c r="F5781" s="107" t="str">
        <f aca="false">IF($C5781="","",$D5781*$E5781)</f>
        <v/>
      </c>
      <c r="G5781" s="107" t="str">
        <f aca="false">IF($C5781="","",$D5781*IFERROR(INDEX('تحليل التكلفة والسعر'!$C$2:$C$700,MATCH($C5781,'تحليل التكلفة والسعر'!$B$2:$B$700,0)),0))</f>
        <v/>
      </c>
    </row>
    <row r="5782" customFormat="false" ht="15" hidden="false" customHeight="false" outlineLevel="0" collapsed="false">
      <c r="A5782" s="103"/>
      <c r="B5782" s="104"/>
      <c r="C5782" s="104"/>
      <c r="E5782" s="107" t="str">
        <f aca="false">IF($C5782="","",IFERROR(INDEX(المنيو!$C$2:$C$500,MATCH($C5782,المنيو!$B$2:$B$500,0)),0))</f>
        <v/>
      </c>
      <c r="F5782" s="107" t="str">
        <f aca="false">IF($C5782="","",$D5782*$E5782)</f>
        <v/>
      </c>
      <c r="G5782" s="107" t="str">
        <f aca="false">IF($C5782="","",$D5782*IFERROR(INDEX('تحليل التكلفة والسعر'!$C$2:$C$700,MATCH($C5782,'تحليل التكلفة والسعر'!$B$2:$B$700,0)),0))</f>
        <v/>
      </c>
    </row>
    <row r="5783" customFormat="false" ht="15" hidden="false" customHeight="false" outlineLevel="0" collapsed="false">
      <c r="A5783" s="103"/>
      <c r="B5783" s="104"/>
      <c r="C5783" s="104"/>
      <c r="E5783" s="107" t="str">
        <f aca="false">IF($C5783="","",IFERROR(INDEX(المنيو!$C$2:$C$500,MATCH($C5783,المنيو!$B$2:$B$500,0)),0))</f>
        <v/>
      </c>
      <c r="F5783" s="107" t="str">
        <f aca="false">IF($C5783="","",$D5783*$E5783)</f>
        <v/>
      </c>
      <c r="G5783" s="107" t="str">
        <f aca="false">IF($C5783="","",$D5783*IFERROR(INDEX('تحليل التكلفة والسعر'!$C$2:$C$700,MATCH($C5783,'تحليل التكلفة والسعر'!$B$2:$B$700,0)),0))</f>
        <v/>
      </c>
    </row>
    <row r="5784" customFormat="false" ht="15" hidden="false" customHeight="false" outlineLevel="0" collapsed="false">
      <c r="A5784" s="103"/>
      <c r="B5784" s="104"/>
      <c r="C5784" s="104"/>
      <c r="E5784" s="107" t="str">
        <f aca="false">IF($C5784="","",IFERROR(INDEX(المنيو!$C$2:$C$500,MATCH($C5784,المنيو!$B$2:$B$500,0)),0))</f>
        <v/>
      </c>
      <c r="F5784" s="107" t="str">
        <f aca="false">IF($C5784="","",$D5784*$E5784)</f>
        <v/>
      </c>
      <c r="G5784" s="107" t="str">
        <f aca="false">IF($C5784="","",$D5784*IFERROR(INDEX('تحليل التكلفة والسعر'!$C$2:$C$700,MATCH($C5784,'تحليل التكلفة والسعر'!$B$2:$B$700,0)),0))</f>
        <v/>
      </c>
    </row>
    <row r="5785" customFormat="false" ht="15" hidden="false" customHeight="false" outlineLevel="0" collapsed="false">
      <c r="A5785" s="103"/>
      <c r="B5785" s="104"/>
      <c r="C5785" s="104"/>
      <c r="E5785" s="107" t="str">
        <f aca="false">IF($C5785="","",IFERROR(INDEX(المنيو!$C$2:$C$500,MATCH($C5785,المنيو!$B$2:$B$500,0)),0))</f>
        <v/>
      </c>
      <c r="F5785" s="107" t="str">
        <f aca="false">IF($C5785="","",$D5785*$E5785)</f>
        <v/>
      </c>
      <c r="G5785" s="107" t="str">
        <f aca="false">IF($C5785="","",$D5785*IFERROR(INDEX('تحليل التكلفة والسعر'!$C$2:$C$700,MATCH($C5785,'تحليل التكلفة والسعر'!$B$2:$B$700,0)),0))</f>
        <v/>
      </c>
    </row>
    <row r="5786" customFormat="false" ht="15" hidden="false" customHeight="false" outlineLevel="0" collapsed="false">
      <c r="A5786" s="103"/>
      <c r="B5786" s="104"/>
      <c r="C5786" s="104"/>
      <c r="E5786" s="107" t="str">
        <f aca="false">IF($C5786="","",IFERROR(INDEX(المنيو!$C$2:$C$500,MATCH($C5786,المنيو!$B$2:$B$500,0)),0))</f>
        <v/>
      </c>
      <c r="F5786" s="107" t="str">
        <f aca="false">IF($C5786="","",$D5786*$E5786)</f>
        <v/>
      </c>
      <c r="G5786" s="107" t="str">
        <f aca="false">IF($C5786="","",$D5786*IFERROR(INDEX('تحليل التكلفة والسعر'!$C$2:$C$700,MATCH($C5786,'تحليل التكلفة والسعر'!$B$2:$B$700,0)),0))</f>
        <v/>
      </c>
    </row>
    <row r="5787" customFormat="false" ht="15" hidden="false" customHeight="false" outlineLevel="0" collapsed="false">
      <c r="A5787" s="103"/>
      <c r="B5787" s="104"/>
      <c r="C5787" s="104"/>
      <c r="E5787" s="107" t="str">
        <f aca="false">IF($C5787="","",IFERROR(INDEX(المنيو!$C$2:$C$500,MATCH($C5787,المنيو!$B$2:$B$500,0)),0))</f>
        <v/>
      </c>
      <c r="F5787" s="107" t="str">
        <f aca="false">IF($C5787="","",$D5787*$E5787)</f>
        <v/>
      </c>
      <c r="G5787" s="107" t="str">
        <f aca="false">IF($C5787="","",$D5787*IFERROR(INDEX('تحليل التكلفة والسعر'!$C$2:$C$700,MATCH($C5787,'تحليل التكلفة والسعر'!$B$2:$B$700,0)),0))</f>
        <v/>
      </c>
    </row>
    <row r="5788" customFormat="false" ht="15" hidden="false" customHeight="false" outlineLevel="0" collapsed="false">
      <c r="A5788" s="103"/>
      <c r="B5788" s="104"/>
      <c r="C5788" s="104"/>
      <c r="E5788" s="107" t="str">
        <f aca="false">IF($C5788="","",IFERROR(INDEX(المنيو!$C$2:$C$500,MATCH($C5788,المنيو!$B$2:$B$500,0)),0))</f>
        <v/>
      </c>
      <c r="F5788" s="107" t="str">
        <f aca="false">IF($C5788="","",$D5788*$E5788)</f>
        <v/>
      </c>
      <c r="G5788" s="107" t="str">
        <f aca="false">IF($C5788="","",$D5788*IFERROR(INDEX('تحليل التكلفة والسعر'!$C$2:$C$700,MATCH($C5788,'تحليل التكلفة والسعر'!$B$2:$B$700,0)),0))</f>
        <v/>
      </c>
    </row>
    <row r="5789" customFormat="false" ht="15" hidden="false" customHeight="false" outlineLevel="0" collapsed="false">
      <c r="A5789" s="103"/>
      <c r="B5789" s="104"/>
      <c r="C5789" s="104"/>
      <c r="E5789" s="107" t="str">
        <f aca="false">IF($C5789="","",IFERROR(INDEX(المنيو!$C$2:$C$500,MATCH($C5789,المنيو!$B$2:$B$500,0)),0))</f>
        <v/>
      </c>
      <c r="F5789" s="107" t="str">
        <f aca="false">IF($C5789="","",$D5789*$E5789)</f>
        <v/>
      </c>
      <c r="G5789" s="107" t="str">
        <f aca="false">IF($C5789="","",$D5789*IFERROR(INDEX('تحليل التكلفة والسعر'!$C$2:$C$700,MATCH($C5789,'تحليل التكلفة والسعر'!$B$2:$B$700,0)),0))</f>
        <v/>
      </c>
    </row>
    <row r="5790" customFormat="false" ht="15" hidden="false" customHeight="false" outlineLevel="0" collapsed="false">
      <c r="A5790" s="103"/>
      <c r="B5790" s="104"/>
      <c r="C5790" s="104"/>
      <c r="E5790" s="107" t="str">
        <f aca="false">IF($C5790="","",IFERROR(INDEX(المنيو!$C$2:$C$500,MATCH($C5790,المنيو!$B$2:$B$500,0)),0))</f>
        <v/>
      </c>
      <c r="F5790" s="107" t="str">
        <f aca="false">IF($C5790="","",$D5790*$E5790)</f>
        <v/>
      </c>
      <c r="G5790" s="107" t="str">
        <f aca="false">IF($C5790="","",$D5790*IFERROR(INDEX('تحليل التكلفة والسعر'!$C$2:$C$700,MATCH($C5790,'تحليل التكلفة والسعر'!$B$2:$B$700,0)),0))</f>
        <v/>
      </c>
    </row>
    <row r="5791" customFormat="false" ht="15" hidden="false" customHeight="false" outlineLevel="0" collapsed="false">
      <c r="A5791" s="103"/>
      <c r="B5791" s="104"/>
      <c r="C5791" s="104"/>
      <c r="E5791" s="107" t="str">
        <f aca="false">IF($C5791="","",IFERROR(INDEX(المنيو!$C$2:$C$500,MATCH($C5791,المنيو!$B$2:$B$500,0)),0))</f>
        <v/>
      </c>
      <c r="F5791" s="107" t="str">
        <f aca="false">IF($C5791="","",$D5791*$E5791)</f>
        <v/>
      </c>
      <c r="G5791" s="107" t="str">
        <f aca="false">IF($C5791="","",$D5791*IFERROR(INDEX('تحليل التكلفة والسعر'!$C$2:$C$700,MATCH($C5791,'تحليل التكلفة والسعر'!$B$2:$B$700,0)),0))</f>
        <v/>
      </c>
    </row>
    <row r="5792" customFormat="false" ht="15" hidden="false" customHeight="false" outlineLevel="0" collapsed="false">
      <c r="A5792" s="103"/>
      <c r="B5792" s="104"/>
      <c r="C5792" s="104"/>
      <c r="E5792" s="107" t="str">
        <f aca="false">IF($C5792="","",IFERROR(INDEX(المنيو!$C$2:$C$500,MATCH($C5792,المنيو!$B$2:$B$500,0)),0))</f>
        <v/>
      </c>
      <c r="F5792" s="107" t="str">
        <f aca="false">IF($C5792="","",$D5792*$E5792)</f>
        <v/>
      </c>
      <c r="G5792" s="107" t="str">
        <f aca="false">IF($C5792="","",$D5792*IFERROR(INDEX('تحليل التكلفة والسعر'!$C$2:$C$700,MATCH($C5792,'تحليل التكلفة والسعر'!$B$2:$B$700,0)),0))</f>
        <v/>
      </c>
    </row>
    <row r="5793" customFormat="false" ht="15" hidden="false" customHeight="false" outlineLevel="0" collapsed="false">
      <c r="A5793" s="103"/>
      <c r="B5793" s="104"/>
      <c r="C5793" s="104"/>
      <c r="E5793" s="107" t="str">
        <f aca="false">IF($C5793="","",IFERROR(INDEX(المنيو!$C$2:$C$500,MATCH($C5793,المنيو!$B$2:$B$500,0)),0))</f>
        <v/>
      </c>
      <c r="F5793" s="107" t="str">
        <f aca="false">IF($C5793="","",$D5793*$E5793)</f>
        <v/>
      </c>
      <c r="G5793" s="107" t="str">
        <f aca="false">IF($C5793="","",$D5793*IFERROR(INDEX('تحليل التكلفة والسعر'!$C$2:$C$700,MATCH($C5793,'تحليل التكلفة والسعر'!$B$2:$B$700,0)),0))</f>
        <v/>
      </c>
    </row>
    <row r="5794" customFormat="false" ht="15" hidden="false" customHeight="false" outlineLevel="0" collapsed="false">
      <c r="A5794" s="103"/>
      <c r="B5794" s="104"/>
      <c r="C5794" s="104"/>
      <c r="E5794" s="107" t="str">
        <f aca="false">IF($C5794="","",IFERROR(INDEX(المنيو!$C$2:$C$500,MATCH($C5794,المنيو!$B$2:$B$500,0)),0))</f>
        <v/>
      </c>
      <c r="F5794" s="107" t="str">
        <f aca="false">IF($C5794="","",$D5794*$E5794)</f>
        <v/>
      </c>
      <c r="G5794" s="107" t="str">
        <f aca="false">IF($C5794="","",$D5794*IFERROR(INDEX('تحليل التكلفة والسعر'!$C$2:$C$700,MATCH($C5794,'تحليل التكلفة والسعر'!$B$2:$B$700,0)),0))</f>
        <v/>
      </c>
    </row>
    <row r="5795" customFormat="false" ht="15" hidden="false" customHeight="false" outlineLevel="0" collapsed="false">
      <c r="A5795" s="103"/>
      <c r="B5795" s="104"/>
      <c r="C5795" s="104"/>
      <c r="E5795" s="107" t="str">
        <f aca="false">IF($C5795="","",IFERROR(INDEX(المنيو!$C$2:$C$500,MATCH($C5795,المنيو!$B$2:$B$500,0)),0))</f>
        <v/>
      </c>
      <c r="F5795" s="107" t="str">
        <f aca="false">IF($C5795="","",$D5795*$E5795)</f>
        <v/>
      </c>
      <c r="G5795" s="107" t="str">
        <f aca="false">IF($C5795="","",$D5795*IFERROR(INDEX('تحليل التكلفة والسعر'!$C$2:$C$700,MATCH($C5795,'تحليل التكلفة والسعر'!$B$2:$B$700,0)),0))</f>
        <v/>
      </c>
    </row>
    <row r="5796" customFormat="false" ht="15" hidden="false" customHeight="false" outlineLevel="0" collapsed="false">
      <c r="A5796" s="103"/>
      <c r="B5796" s="104"/>
      <c r="C5796" s="104"/>
      <c r="E5796" s="107" t="str">
        <f aca="false">IF($C5796="","",IFERROR(INDEX(المنيو!$C$2:$C$500,MATCH($C5796,المنيو!$B$2:$B$500,0)),0))</f>
        <v/>
      </c>
      <c r="F5796" s="107" t="str">
        <f aca="false">IF($C5796="","",$D5796*$E5796)</f>
        <v/>
      </c>
      <c r="G5796" s="107" t="str">
        <f aca="false">IF($C5796="","",$D5796*IFERROR(INDEX('تحليل التكلفة والسعر'!$C$2:$C$700,MATCH($C5796,'تحليل التكلفة والسعر'!$B$2:$B$700,0)),0))</f>
        <v/>
      </c>
    </row>
    <row r="5797" customFormat="false" ht="15" hidden="false" customHeight="false" outlineLevel="0" collapsed="false">
      <c r="A5797" s="103"/>
      <c r="B5797" s="104"/>
      <c r="C5797" s="104"/>
      <c r="E5797" s="107" t="str">
        <f aca="false">IF($C5797="","",IFERROR(INDEX(المنيو!$C$2:$C$500,MATCH($C5797,المنيو!$B$2:$B$500,0)),0))</f>
        <v/>
      </c>
      <c r="F5797" s="107" t="str">
        <f aca="false">IF($C5797="","",$D5797*$E5797)</f>
        <v/>
      </c>
      <c r="G5797" s="107" t="str">
        <f aca="false">IF($C5797="","",$D5797*IFERROR(INDEX('تحليل التكلفة والسعر'!$C$2:$C$700,MATCH($C5797,'تحليل التكلفة والسعر'!$B$2:$B$700,0)),0))</f>
        <v/>
      </c>
    </row>
    <row r="5798" customFormat="false" ht="15" hidden="false" customHeight="false" outlineLevel="0" collapsed="false">
      <c r="A5798" s="103"/>
      <c r="B5798" s="104"/>
      <c r="C5798" s="104"/>
      <c r="E5798" s="107" t="str">
        <f aca="false">IF($C5798="","",IFERROR(INDEX(المنيو!$C$2:$C$500,MATCH($C5798,المنيو!$B$2:$B$500,0)),0))</f>
        <v/>
      </c>
      <c r="F5798" s="107" t="str">
        <f aca="false">IF($C5798="","",$D5798*$E5798)</f>
        <v/>
      </c>
      <c r="G5798" s="107" t="str">
        <f aca="false">IF($C5798="","",$D5798*IFERROR(INDEX('تحليل التكلفة والسعر'!$C$2:$C$700,MATCH($C5798,'تحليل التكلفة والسعر'!$B$2:$B$700,0)),0))</f>
        <v/>
      </c>
    </row>
    <row r="5799" customFormat="false" ht="15" hidden="false" customHeight="false" outlineLevel="0" collapsed="false">
      <c r="A5799" s="103"/>
      <c r="B5799" s="104"/>
      <c r="C5799" s="104"/>
      <c r="E5799" s="107" t="str">
        <f aca="false">IF($C5799="","",IFERROR(INDEX(المنيو!$C$2:$C$500,MATCH($C5799,المنيو!$B$2:$B$500,0)),0))</f>
        <v/>
      </c>
      <c r="F5799" s="107" t="str">
        <f aca="false">IF($C5799="","",$D5799*$E5799)</f>
        <v/>
      </c>
      <c r="G5799" s="107" t="str">
        <f aca="false">IF($C5799="","",$D5799*IFERROR(INDEX('تحليل التكلفة والسعر'!$C$2:$C$700,MATCH($C5799,'تحليل التكلفة والسعر'!$B$2:$B$700,0)),0))</f>
        <v/>
      </c>
    </row>
    <row r="5800" customFormat="false" ht="15" hidden="false" customHeight="false" outlineLevel="0" collapsed="false">
      <c r="A5800" s="103"/>
      <c r="B5800" s="104"/>
      <c r="C5800" s="104"/>
      <c r="E5800" s="107" t="str">
        <f aca="false">IF($C5800="","",IFERROR(INDEX(المنيو!$C$2:$C$500,MATCH($C5800,المنيو!$B$2:$B$500,0)),0))</f>
        <v/>
      </c>
      <c r="F5800" s="107" t="str">
        <f aca="false">IF($C5800="","",$D5800*$E5800)</f>
        <v/>
      </c>
      <c r="G5800" s="107" t="str">
        <f aca="false">IF($C5800="","",$D5800*IFERROR(INDEX('تحليل التكلفة والسعر'!$C$2:$C$700,MATCH($C5800,'تحليل التكلفة والسعر'!$B$2:$B$700,0)),0))</f>
        <v/>
      </c>
    </row>
    <row r="5801" customFormat="false" ht="15" hidden="false" customHeight="false" outlineLevel="0" collapsed="false">
      <c r="A5801" s="103"/>
      <c r="B5801" s="104"/>
      <c r="C5801" s="104"/>
      <c r="E5801" s="107" t="str">
        <f aca="false">IF($C5801="","",IFERROR(INDEX(المنيو!$C$2:$C$500,MATCH($C5801,المنيو!$B$2:$B$500,0)),0))</f>
        <v/>
      </c>
      <c r="F5801" s="107" t="str">
        <f aca="false">IF($C5801="","",$D5801*$E5801)</f>
        <v/>
      </c>
      <c r="G5801" s="107" t="str">
        <f aca="false">IF($C5801="","",$D5801*IFERROR(INDEX('تحليل التكلفة والسعر'!$C$2:$C$700,MATCH($C5801,'تحليل التكلفة والسعر'!$B$2:$B$700,0)),0))</f>
        <v/>
      </c>
    </row>
    <row r="5802" customFormat="false" ht="15" hidden="false" customHeight="false" outlineLevel="0" collapsed="false">
      <c r="A5802" s="103"/>
      <c r="B5802" s="104"/>
      <c r="C5802" s="104"/>
      <c r="E5802" s="107" t="str">
        <f aca="false">IF($C5802="","",IFERROR(INDEX(المنيو!$C$2:$C$500,MATCH($C5802,المنيو!$B$2:$B$500,0)),0))</f>
        <v/>
      </c>
      <c r="F5802" s="107" t="str">
        <f aca="false">IF($C5802="","",$D5802*$E5802)</f>
        <v/>
      </c>
      <c r="G5802" s="107" t="str">
        <f aca="false">IF($C5802="","",$D5802*IFERROR(INDEX('تحليل التكلفة والسعر'!$C$2:$C$700,MATCH($C5802,'تحليل التكلفة والسعر'!$B$2:$B$700,0)),0))</f>
        <v/>
      </c>
    </row>
    <row r="5803" customFormat="false" ht="15" hidden="false" customHeight="false" outlineLevel="0" collapsed="false">
      <c r="A5803" s="103"/>
      <c r="B5803" s="104"/>
      <c r="C5803" s="104"/>
      <c r="E5803" s="107" t="str">
        <f aca="false">IF($C5803="","",IFERROR(INDEX(المنيو!$C$2:$C$500,MATCH($C5803,المنيو!$B$2:$B$500,0)),0))</f>
        <v/>
      </c>
      <c r="F5803" s="107" t="str">
        <f aca="false">IF($C5803="","",$D5803*$E5803)</f>
        <v/>
      </c>
      <c r="G5803" s="107" t="str">
        <f aca="false">IF($C5803="","",$D5803*IFERROR(INDEX('تحليل التكلفة والسعر'!$C$2:$C$700,MATCH($C5803,'تحليل التكلفة والسعر'!$B$2:$B$700,0)),0))</f>
        <v/>
      </c>
    </row>
    <row r="5804" customFormat="false" ht="15" hidden="false" customHeight="false" outlineLevel="0" collapsed="false">
      <c r="A5804" s="103"/>
      <c r="B5804" s="104"/>
      <c r="C5804" s="104"/>
      <c r="E5804" s="107" t="str">
        <f aca="false">IF($C5804="","",IFERROR(INDEX(المنيو!$C$2:$C$500,MATCH($C5804,المنيو!$B$2:$B$500,0)),0))</f>
        <v/>
      </c>
      <c r="F5804" s="107" t="str">
        <f aca="false">IF($C5804="","",$D5804*$E5804)</f>
        <v/>
      </c>
      <c r="G5804" s="107" t="str">
        <f aca="false">IF($C5804="","",$D5804*IFERROR(INDEX('تحليل التكلفة والسعر'!$C$2:$C$700,MATCH($C5804,'تحليل التكلفة والسعر'!$B$2:$B$700,0)),0))</f>
        <v/>
      </c>
    </row>
    <row r="5805" customFormat="false" ht="15" hidden="false" customHeight="false" outlineLevel="0" collapsed="false">
      <c r="A5805" s="103"/>
      <c r="B5805" s="104"/>
      <c r="C5805" s="104"/>
      <c r="E5805" s="107" t="str">
        <f aca="false">IF($C5805="","",IFERROR(INDEX(المنيو!$C$2:$C$500,MATCH($C5805,المنيو!$B$2:$B$500,0)),0))</f>
        <v/>
      </c>
      <c r="F5805" s="107" t="str">
        <f aca="false">IF($C5805="","",$D5805*$E5805)</f>
        <v/>
      </c>
      <c r="G5805" s="107" t="str">
        <f aca="false">IF($C5805="","",$D5805*IFERROR(INDEX('تحليل التكلفة والسعر'!$C$2:$C$700,MATCH($C5805,'تحليل التكلفة والسعر'!$B$2:$B$700,0)),0))</f>
        <v/>
      </c>
    </row>
    <row r="5806" customFormat="false" ht="15" hidden="false" customHeight="false" outlineLevel="0" collapsed="false">
      <c r="A5806" s="103"/>
      <c r="B5806" s="104"/>
      <c r="C5806" s="104"/>
      <c r="E5806" s="107" t="str">
        <f aca="false">IF($C5806="","",IFERROR(INDEX(المنيو!$C$2:$C$500,MATCH($C5806,المنيو!$B$2:$B$500,0)),0))</f>
        <v/>
      </c>
      <c r="F5806" s="107" t="str">
        <f aca="false">IF($C5806="","",$D5806*$E5806)</f>
        <v/>
      </c>
      <c r="G5806" s="107" t="str">
        <f aca="false">IF($C5806="","",$D5806*IFERROR(INDEX('تحليل التكلفة والسعر'!$C$2:$C$700,MATCH($C5806,'تحليل التكلفة والسعر'!$B$2:$B$700,0)),0))</f>
        <v/>
      </c>
    </row>
    <row r="5807" customFormat="false" ht="15" hidden="false" customHeight="false" outlineLevel="0" collapsed="false">
      <c r="A5807" s="103"/>
      <c r="B5807" s="104"/>
      <c r="C5807" s="104"/>
      <c r="E5807" s="107" t="str">
        <f aca="false">IF($C5807="","",IFERROR(INDEX(المنيو!$C$2:$C$500,MATCH($C5807,المنيو!$B$2:$B$500,0)),0))</f>
        <v/>
      </c>
      <c r="F5807" s="107" t="str">
        <f aca="false">IF($C5807="","",$D5807*$E5807)</f>
        <v/>
      </c>
      <c r="G5807" s="107" t="str">
        <f aca="false">IF($C5807="","",$D5807*IFERROR(INDEX('تحليل التكلفة والسعر'!$C$2:$C$700,MATCH($C5807,'تحليل التكلفة والسعر'!$B$2:$B$700,0)),0))</f>
        <v/>
      </c>
    </row>
    <row r="5808" customFormat="false" ht="15" hidden="false" customHeight="false" outlineLevel="0" collapsed="false">
      <c r="A5808" s="103"/>
      <c r="B5808" s="104"/>
      <c r="C5808" s="104"/>
      <c r="E5808" s="107" t="str">
        <f aca="false">IF($C5808="","",IFERROR(INDEX(المنيو!$C$2:$C$500,MATCH($C5808,المنيو!$B$2:$B$500,0)),0))</f>
        <v/>
      </c>
      <c r="F5808" s="107" t="str">
        <f aca="false">IF($C5808="","",$D5808*$E5808)</f>
        <v/>
      </c>
      <c r="G5808" s="107" t="str">
        <f aca="false">IF($C5808="","",$D5808*IFERROR(INDEX('تحليل التكلفة والسعر'!$C$2:$C$700,MATCH($C5808,'تحليل التكلفة والسعر'!$B$2:$B$700,0)),0))</f>
        <v/>
      </c>
    </row>
    <row r="5809" customFormat="false" ht="15" hidden="false" customHeight="false" outlineLevel="0" collapsed="false">
      <c r="A5809" s="103"/>
      <c r="B5809" s="104"/>
      <c r="C5809" s="104"/>
      <c r="E5809" s="107" t="str">
        <f aca="false">IF($C5809="","",IFERROR(INDEX(المنيو!$C$2:$C$500,MATCH($C5809,المنيو!$B$2:$B$500,0)),0))</f>
        <v/>
      </c>
      <c r="F5809" s="107" t="str">
        <f aca="false">IF($C5809="","",$D5809*$E5809)</f>
        <v/>
      </c>
      <c r="G5809" s="107" t="str">
        <f aca="false">IF($C5809="","",$D5809*IFERROR(INDEX('تحليل التكلفة والسعر'!$C$2:$C$700,MATCH($C5809,'تحليل التكلفة والسعر'!$B$2:$B$700,0)),0))</f>
        <v/>
      </c>
    </row>
    <row r="5810" customFormat="false" ht="15" hidden="false" customHeight="false" outlineLevel="0" collapsed="false">
      <c r="A5810" s="103"/>
      <c r="B5810" s="104"/>
      <c r="C5810" s="104"/>
      <c r="E5810" s="107" t="str">
        <f aca="false">IF($C5810="","",IFERROR(INDEX(المنيو!$C$2:$C$500,MATCH($C5810,المنيو!$B$2:$B$500,0)),0))</f>
        <v/>
      </c>
      <c r="F5810" s="107" t="str">
        <f aca="false">IF($C5810="","",$D5810*$E5810)</f>
        <v/>
      </c>
      <c r="G5810" s="107" t="str">
        <f aca="false">IF($C5810="","",$D5810*IFERROR(INDEX('تحليل التكلفة والسعر'!$C$2:$C$700,MATCH($C5810,'تحليل التكلفة والسعر'!$B$2:$B$700,0)),0))</f>
        <v/>
      </c>
    </row>
    <row r="5811" customFormat="false" ht="15" hidden="false" customHeight="false" outlineLevel="0" collapsed="false">
      <c r="A5811" s="103"/>
      <c r="B5811" s="104"/>
      <c r="C5811" s="104"/>
      <c r="E5811" s="107" t="str">
        <f aca="false">IF($C5811="","",IFERROR(INDEX(المنيو!$C$2:$C$500,MATCH($C5811,المنيو!$B$2:$B$500,0)),0))</f>
        <v/>
      </c>
      <c r="F5811" s="107" t="str">
        <f aca="false">IF($C5811="","",$D5811*$E5811)</f>
        <v/>
      </c>
      <c r="G5811" s="107" t="str">
        <f aca="false">IF($C5811="","",$D5811*IFERROR(INDEX('تحليل التكلفة والسعر'!$C$2:$C$700,MATCH($C5811,'تحليل التكلفة والسعر'!$B$2:$B$700,0)),0))</f>
        <v/>
      </c>
    </row>
    <row r="5812" customFormat="false" ht="15" hidden="false" customHeight="false" outlineLevel="0" collapsed="false">
      <c r="A5812" s="103"/>
      <c r="B5812" s="104"/>
      <c r="C5812" s="104"/>
      <c r="E5812" s="107" t="str">
        <f aca="false">IF($C5812="","",IFERROR(INDEX(المنيو!$C$2:$C$500,MATCH($C5812,المنيو!$B$2:$B$500,0)),0))</f>
        <v/>
      </c>
      <c r="F5812" s="107" t="str">
        <f aca="false">IF($C5812="","",$D5812*$E5812)</f>
        <v/>
      </c>
      <c r="G5812" s="107" t="str">
        <f aca="false">IF($C5812="","",$D5812*IFERROR(INDEX('تحليل التكلفة والسعر'!$C$2:$C$700,MATCH($C5812,'تحليل التكلفة والسعر'!$B$2:$B$700,0)),0))</f>
        <v/>
      </c>
    </row>
    <row r="5813" customFormat="false" ht="15" hidden="false" customHeight="false" outlineLevel="0" collapsed="false">
      <c r="A5813" s="103"/>
      <c r="B5813" s="104"/>
      <c r="C5813" s="104"/>
      <c r="E5813" s="107" t="str">
        <f aca="false">IF($C5813="","",IFERROR(INDEX(المنيو!$C$2:$C$500,MATCH($C5813,المنيو!$B$2:$B$500,0)),0))</f>
        <v/>
      </c>
      <c r="F5813" s="107" t="str">
        <f aca="false">IF($C5813="","",$D5813*$E5813)</f>
        <v/>
      </c>
      <c r="G5813" s="107" t="str">
        <f aca="false">IF($C5813="","",$D5813*IFERROR(INDEX('تحليل التكلفة والسعر'!$C$2:$C$700,MATCH($C5813,'تحليل التكلفة والسعر'!$B$2:$B$700,0)),0))</f>
        <v/>
      </c>
    </row>
    <row r="5814" customFormat="false" ht="15" hidden="false" customHeight="false" outlineLevel="0" collapsed="false">
      <c r="A5814" s="103"/>
      <c r="B5814" s="104"/>
      <c r="C5814" s="104"/>
      <c r="E5814" s="107" t="str">
        <f aca="false">IF($C5814="","",IFERROR(INDEX(المنيو!$C$2:$C$500,MATCH($C5814,المنيو!$B$2:$B$500,0)),0))</f>
        <v/>
      </c>
      <c r="F5814" s="107" t="str">
        <f aca="false">IF($C5814="","",$D5814*$E5814)</f>
        <v/>
      </c>
      <c r="G5814" s="107" t="str">
        <f aca="false">IF($C5814="","",$D5814*IFERROR(INDEX('تحليل التكلفة والسعر'!$C$2:$C$700,MATCH($C5814,'تحليل التكلفة والسعر'!$B$2:$B$700,0)),0))</f>
        <v/>
      </c>
    </row>
    <row r="5815" customFormat="false" ht="15" hidden="false" customHeight="false" outlineLevel="0" collapsed="false">
      <c r="A5815" s="103"/>
      <c r="B5815" s="104"/>
      <c r="C5815" s="104"/>
      <c r="E5815" s="107" t="str">
        <f aca="false">IF($C5815="","",IFERROR(INDEX(المنيو!$C$2:$C$500,MATCH($C5815,المنيو!$B$2:$B$500,0)),0))</f>
        <v/>
      </c>
      <c r="F5815" s="107" t="str">
        <f aca="false">IF($C5815="","",$D5815*$E5815)</f>
        <v/>
      </c>
      <c r="G5815" s="107" t="str">
        <f aca="false">IF($C5815="","",$D5815*IFERROR(INDEX('تحليل التكلفة والسعر'!$C$2:$C$700,MATCH($C5815,'تحليل التكلفة والسعر'!$B$2:$B$700,0)),0))</f>
        <v/>
      </c>
    </row>
    <row r="5816" customFormat="false" ht="15" hidden="false" customHeight="false" outlineLevel="0" collapsed="false">
      <c r="A5816" s="103"/>
      <c r="B5816" s="104"/>
      <c r="C5816" s="104"/>
      <c r="E5816" s="107" t="str">
        <f aca="false">IF($C5816="","",IFERROR(INDEX(المنيو!$C$2:$C$500,MATCH($C5816,المنيو!$B$2:$B$500,0)),0))</f>
        <v/>
      </c>
      <c r="F5816" s="107" t="str">
        <f aca="false">IF($C5816="","",$D5816*$E5816)</f>
        <v/>
      </c>
      <c r="G5816" s="107" t="str">
        <f aca="false">IF($C5816="","",$D5816*IFERROR(INDEX('تحليل التكلفة والسعر'!$C$2:$C$700,MATCH($C5816,'تحليل التكلفة والسعر'!$B$2:$B$700,0)),0))</f>
        <v/>
      </c>
    </row>
    <row r="5817" customFormat="false" ht="15" hidden="false" customHeight="false" outlineLevel="0" collapsed="false">
      <c r="A5817" s="103"/>
      <c r="B5817" s="104"/>
      <c r="C5817" s="104"/>
      <c r="E5817" s="107" t="str">
        <f aca="false">IF($C5817="","",IFERROR(INDEX(المنيو!$C$2:$C$500,MATCH($C5817,المنيو!$B$2:$B$500,0)),0))</f>
        <v/>
      </c>
      <c r="F5817" s="107" t="str">
        <f aca="false">IF($C5817="","",$D5817*$E5817)</f>
        <v/>
      </c>
      <c r="G5817" s="107" t="str">
        <f aca="false">IF($C5817="","",$D5817*IFERROR(INDEX('تحليل التكلفة والسعر'!$C$2:$C$700,MATCH($C5817,'تحليل التكلفة والسعر'!$B$2:$B$700,0)),0))</f>
        <v/>
      </c>
    </row>
    <row r="5818" customFormat="false" ht="15" hidden="false" customHeight="false" outlineLevel="0" collapsed="false">
      <c r="A5818" s="103"/>
      <c r="B5818" s="104"/>
      <c r="C5818" s="104"/>
      <c r="E5818" s="107" t="str">
        <f aca="false">IF($C5818="","",IFERROR(INDEX(المنيو!$C$2:$C$500,MATCH($C5818,المنيو!$B$2:$B$500,0)),0))</f>
        <v/>
      </c>
      <c r="F5818" s="107" t="str">
        <f aca="false">IF($C5818="","",$D5818*$E5818)</f>
        <v/>
      </c>
      <c r="G5818" s="107" t="str">
        <f aca="false">IF($C5818="","",$D5818*IFERROR(INDEX('تحليل التكلفة والسعر'!$C$2:$C$700,MATCH($C5818,'تحليل التكلفة والسعر'!$B$2:$B$700,0)),0))</f>
        <v/>
      </c>
    </row>
    <row r="5819" customFormat="false" ht="15" hidden="false" customHeight="false" outlineLevel="0" collapsed="false">
      <c r="A5819" s="103"/>
      <c r="B5819" s="104"/>
      <c r="C5819" s="104"/>
      <c r="E5819" s="107" t="str">
        <f aca="false">IF($C5819="","",IFERROR(INDEX(المنيو!$C$2:$C$500,MATCH($C5819,المنيو!$B$2:$B$500,0)),0))</f>
        <v/>
      </c>
      <c r="F5819" s="107" t="str">
        <f aca="false">IF($C5819="","",$D5819*$E5819)</f>
        <v/>
      </c>
      <c r="G5819" s="107" t="str">
        <f aca="false">IF($C5819="","",$D5819*IFERROR(INDEX('تحليل التكلفة والسعر'!$C$2:$C$700,MATCH($C5819,'تحليل التكلفة والسعر'!$B$2:$B$700,0)),0))</f>
        <v/>
      </c>
    </row>
    <row r="5820" customFormat="false" ht="15" hidden="false" customHeight="false" outlineLevel="0" collapsed="false">
      <c r="A5820" s="103"/>
      <c r="B5820" s="104"/>
      <c r="C5820" s="104"/>
      <c r="E5820" s="107" t="str">
        <f aca="false">IF($C5820="","",IFERROR(INDEX(المنيو!$C$2:$C$500,MATCH($C5820,المنيو!$B$2:$B$500,0)),0))</f>
        <v/>
      </c>
      <c r="F5820" s="107" t="str">
        <f aca="false">IF($C5820="","",$D5820*$E5820)</f>
        <v/>
      </c>
      <c r="G5820" s="107" t="str">
        <f aca="false">IF($C5820="","",$D5820*IFERROR(INDEX('تحليل التكلفة والسعر'!$C$2:$C$700,MATCH($C5820,'تحليل التكلفة والسعر'!$B$2:$B$700,0)),0))</f>
        <v/>
      </c>
    </row>
    <row r="5821" customFormat="false" ht="15" hidden="false" customHeight="false" outlineLevel="0" collapsed="false">
      <c r="A5821" s="103"/>
      <c r="B5821" s="104"/>
      <c r="C5821" s="104"/>
      <c r="E5821" s="107" t="str">
        <f aca="false">IF($C5821="","",IFERROR(INDEX(المنيو!$C$2:$C$500,MATCH($C5821,المنيو!$B$2:$B$500,0)),0))</f>
        <v/>
      </c>
      <c r="F5821" s="107" t="str">
        <f aca="false">IF($C5821="","",$D5821*$E5821)</f>
        <v/>
      </c>
      <c r="G5821" s="107" t="str">
        <f aca="false">IF($C5821="","",$D5821*IFERROR(INDEX('تحليل التكلفة والسعر'!$C$2:$C$700,MATCH($C5821,'تحليل التكلفة والسعر'!$B$2:$B$700,0)),0))</f>
        <v/>
      </c>
    </row>
    <row r="5822" customFormat="false" ht="15" hidden="false" customHeight="false" outlineLevel="0" collapsed="false">
      <c r="A5822" s="103"/>
      <c r="B5822" s="104"/>
      <c r="C5822" s="104"/>
      <c r="E5822" s="107" t="str">
        <f aca="false">IF($C5822="","",IFERROR(INDEX(المنيو!$C$2:$C$500,MATCH($C5822,المنيو!$B$2:$B$500,0)),0))</f>
        <v/>
      </c>
      <c r="F5822" s="107" t="str">
        <f aca="false">IF($C5822="","",$D5822*$E5822)</f>
        <v/>
      </c>
      <c r="G5822" s="107" t="str">
        <f aca="false">IF($C5822="","",$D5822*IFERROR(INDEX('تحليل التكلفة والسعر'!$C$2:$C$700,MATCH($C5822,'تحليل التكلفة والسعر'!$B$2:$B$700,0)),0))</f>
        <v/>
      </c>
    </row>
    <row r="5823" customFormat="false" ht="15" hidden="false" customHeight="false" outlineLevel="0" collapsed="false">
      <c r="A5823" s="103"/>
      <c r="B5823" s="104"/>
      <c r="C5823" s="104"/>
      <c r="E5823" s="107" t="str">
        <f aca="false">IF($C5823="","",IFERROR(INDEX(المنيو!$C$2:$C$500,MATCH($C5823,المنيو!$B$2:$B$500,0)),0))</f>
        <v/>
      </c>
      <c r="F5823" s="107" t="str">
        <f aca="false">IF($C5823="","",$D5823*$E5823)</f>
        <v/>
      </c>
      <c r="G5823" s="107" t="str">
        <f aca="false">IF($C5823="","",$D5823*IFERROR(INDEX('تحليل التكلفة والسعر'!$C$2:$C$700,MATCH($C5823,'تحليل التكلفة والسعر'!$B$2:$B$700,0)),0))</f>
        <v/>
      </c>
    </row>
    <row r="5824" customFormat="false" ht="15" hidden="false" customHeight="false" outlineLevel="0" collapsed="false">
      <c r="A5824" s="103"/>
      <c r="B5824" s="104"/>
      <c r="C5824" s="104"/>
      <c r="E5824" s="107" t="str">
        <f aca="false">IF($C5824="","",IFERROR(INDEX(المنيو!$C$2:$C$500,MATCH($C5824,المنيو!$B$2:$B$500,0)),0))</f>
        <v/>
      </c>
      <c r="F5824" s="107" t="str">
        <f aca="false">IF($C5824="","",$D5824*$E5824)</f>
        <v/>
      </c>
      <c r="G5824" s="107" t="str">
        <f aca="false">IF($C5824="","",$D5824*IFERROR(INDEX('تحليل التكلفة والسعر'!$C$2:$C$700,MATCH($C5824,'تحليل التكلفة والسعر'!$B$2:$B$700,0)),0))</f>
        <v/>
      </c>
    </row>
    <row r="5825" customFormat="false" ht="15" hidden="false" customHeight="false" outlineLevel="0" collapsed="false">
      <c r="A5825" s="103"/>
      <c r="B5825" s="104"/>
      <c r="C5825" s="104"/>
      <c r="E5825" s="107" t="str">
        <f aca="false">IF($C5825="","",IFERROR(INDEX(المنيو!$C$2:$C$500,MATCH($C5825,المنيو!$B$2:$B$500,0)),0))</f>
        <v/>
      </c>
      <c r="F5825" s="107" t="str">
        <f aca="false">IF($C5825="","",$D5825*$E5825)</f>
        <v/>
      </c>
      <c r="G5825" s="107" t="str">
        <f aca="false">IF($C5825="","",$D5825*IFERROR(INDEX('تحليل التكلفة والسعر'!$C$2:$C$700,MATCH($C5825,'تحليل التكلفة والسعر'!$B$2:$B$700,0)),0))</f>
        <v/>
      </c>
    </row>
    <row r="5826" customFormat="false" ht="15" hidden="false" customHeight="false" outlineLevel="0" collapsed="false">
      <c r="A5826" s="103"/>
      <c r="B5826" s="104"/>
      <c r="C5826" s="104"/>
      <c r="E5826" s="107" t="str">
        <f aca="false">IF($C5826="","",IFERROR(INDEX(المنيو!$C$2:$C$500,MATCH($C5826,المنيو!$B$2:$B$500,0)),0))</f>
        <v/>
      </c>
      <c r="F5826" s="107" t="str">
        <f aca="false">IF($C5826="","",$D5826*$E5826)</f>
        <v/>
      </c>
      <c r="G5826" s="107" t="str">
        <f aca="false">IF($C5826="","",$D5826*IFERROR(INDEX('تحليل التكلفة والسعر'!$C$2:$C$700,MATCH($C5826,'تحليل التكلفة والسعر'!$B$2:$B$700,0)),0))</f>
        <v/>
      </c>
    </row>
    <row r="5827" customFormat="false" ht="15" hidden="false" customHeight="false" outlineLevel="0" collapsed="false">
      <c r="A5827" s="103"/>
      <c r="B5827" s="104"/>
      <c r="C5827" s="104"/>
      <c r="E5827" s="107" t="str">
        <f aca="false">IF($C5827="","",IFERROR(INDEX(المنيو!$C$2:$C$500,MATCH($C5827,المنيو!$B$2:$B$500,0)),0))</f>
        <v/>
      </c>
      <c r="F5827" s="107" t="str">
        <f aca="false">IF($C5827="","",$D5827*$E5827)</f>
        <v/>
      </c>
      <c r="G5827" s="107" t="str">
        <f aca="false">IF($C5827="","",$D5827*IFERROR(INDEX('تحليل التكلفة والسعر'!$C$2:$C$700,MATCH($C5827,'تحليل التكلفة والسعر'!$B$2:$B$700,0)),0))</f>
        <v/>
      </c>
    </row>
    <row r="5828" customFormat="false" ht="15" hidden="false" customHeight="false" outlineLevel="0" collapsed="false">
      <c r="A5828" s="103"/>
      <c r="B5828" s="104"/>
      <c r="C5828" s="104"/>
      <c r="E5828" s="107" t="str">
        <f aca="false">IF($C5828="","",IFERROR(INDEX(المنيو!$C$2:$C$500,MATCH($C5828,المنيو!$B$2:$B$500,0)),0))</f>
        <v/>
      </c>
      <c r="F5828" s="107" t="str">
        <f aca="false">IF($C5828="","",$D5828*$E5828)</f>
        <v/>
      </c>
      <c r="G5828" s="107" t="str">
        <f aca="false">IF($C5828="","",$D5828*IFERROR(INDEX('تحليل التكلفة والسعر'!$C$2:$C$700,MATCH($C5828,'تحليل التكلفة والسعر'!$B$2:$B$700,0)),0))</f>
        <v/>
      </c>
    </row>
    <row r="5829" customFormat="false" ht="15" hidden="false" customHeight="false" outlineLevel="0" collapsed="false">
      <c r="A5829" s="103"/>
      <c r="B5829" s="104"/>
      <c r="C5829" s="104"/>
      <c r="E5829" s="107" t="str">
        <f aca="false">IF($C5829="","",IFERROR(INDEX(المنيو!$C$2:$C$500,MATCH($C5829,المنيو!$B$2:$B$500,0)),0))</f>
        <v/>
      </c>
      <c r="F5829" s="107" t="str">
        <f aca="false">IF($C5829="","",$D5829*$E5829)</f>
        <v/>
      </c>
      <c r="G5829" s="107" t="str">
        <f aca="false">IF($C5829="","",$D5829*IFERROR(INDEX('تحليل التكلفة والسعر'!$C$2:$C$700,MATCH($C5829,'تحليل التكلفة والسعر'!$B$2:$B$700,0)),0))</f>
        <v/>
      </c>
    </row>
    <row r="5830" customFormat="false" ht="15" hidden="false" customHeight="false" outlineLevel="0" collapsed="false">
      <c r="A5830" s="103"/>
      <c r="B5830" s="104"/>
      <c r="C5830" s="104"/>
      <c r="E5830" s="107" t="str">
        <f aca="false">IF($C5830="","",IFERROR(INDEX(المنيو!$C$2:$C$500,MATCH($C5830,المنيو!$B$2:$B$500,0)),0))</f>
        <v/>
      </c>
      <c r="F5830" s="107" t="str">
        <f aca="false">IF($C5830="","",$D5830*$E5830)</f>
        <v/>
      </c>
      <c r="G5830" s="107" t="str">
        <f aca="false">IF($C5830="","",$D5830*IFERROR(INDEX('تحليل التكلفة والسعر'!$C$2:$C$700,MATCH($C5830,'تحليل التكلفة والسعر'!$B$2:$B$700,0)),0))</f>
        <v/>
      </c>
    </row>
    <row r="5831" customFormat="false" ht="15" hidden="false" customHeight="false" outlineLevel="0" collapsed="false">
      <c r="A5831" s="103"/>
      <c r="B5831" s="104"/>
      <c r="C5831" s="104"/>
      <c r="E5831" s="107" t="str">
        <f aca="false">IF($C5831="","",IFERROR(INDEX(المنيو!$C$2:$C$500,MATCH($C5831,المنيو!$B$2:$B$500,0)),0))</f>
        <v/>
      </c>
      <c r="F5831" s="107" t="str">
        <f aca="false">IF($C5831="","",$D5831*$E5831)</f>
        <v/>
      </c>
      <c r="G5831" s="107" t="str">
        <f aca="false">IF($C5831="","",$D5831*IFERROR(INDEX('تحليل التكلفة والسعر'!$C$2:$C$700,MATCH($C5831,'تحليل التكلفة والسعر'!$B$2:$B$700,0)),0))</f>
        <v/>
      </c>
    </row>
    <row r="5832" customFormat="false" ht="15" hidden="false" customHeight="false" outlineLevel="0" collapsed="false">
      <c r="A5832" s="103"/>
      <c r="B5832" s="104"/>
      <c r="C5832" s="104"/>
      <c r="E5832" s="107" t="str">
        <f aca="false">IF($C5832="","",IFERROR(INDEX(المنيو!$C$2:$C$500,MATCH($C5832,المنيو!$B$2:$B$500,0)),0))</f>
        <v/>
      </c>
      <c r="F5832" s="107" t="str">
        <f aca="false">IF($C5832="","",$D5832*$E5832)</f>
        <v/>
      </c>
      <c r="G5832" s="107" t="str">
        <f aca="false">IF($C5832="","",$D5832*IFERROR(INDEX('تحليل التكلفة والسعر'!$C$2:$C$700,MATCH($C5832,'تحليل التكلفة والسعر'!$B$2:$B$700,0)),0))</f>
        <v/>
      </c>
    </row>
    <row r="5833" customFormat="false" ht="15" hidden="false" customHeight="false" outlineLevel="0" collapsed="false">
      <c r="A5833" s="103"/>
      <c r="B5833" s="104"/>
      <c r="C5833" s="104"/>
      <c r="E5833" s="107" t="str">
        <f aca="false">IF($C5833="","",IFERROR(INDEX(المنيو!$C$2:$C$500,MATCH($C5833,المنيو!$B$2:$B$500,0)),0))</f>
        <v/>
      </c>
      <c r="F5833" s="107" t="str">
        <f aca="false">IF($C5833="","",$D5833*$E5833)</f>
        <v/>
      </c>
      <c r="G5833" s="107" t="str">
        <f aca="false">IF($C5833="","",$D5833*IFERROR(INDEX('تحليل التكلفة والسعر'!$C$2:$C$700,MATCH($C5833,'تحليل التكلفة والسعر'!$B$2:$B$700,0)),0))</f>
        <v/>
      </c>
    </row>
    <row r="5834" customFormat="false" ht="15" hidden="false" customHeight="false" outlineLevel="0" collapsed="false">
      <c r="A5834" s="103"/>
      <c r="B5834" s="104"/>
      <c r="C5834" s="104"/>
      <c r="E5834" s="107" t="str">
        <f aca="false">IF($C5834="","",IFERROR(INDEX(المنيو!$C$2:$C$500,MATCH($C5834,المنيو!$B$2:$B$500,0)),0))</f>
        <v/>
      </c>
      <c r="F5834" s="107" t="str">
        <f aca="false">IF($C5834="","",$D5834*$E5834)</f>
        <v/>
      </c>
      <c r="G5834" s="107" t="str">
        <f aca="false">IF($C5834="","",$D5834*IFERROR(INDEX('تحليل التكلفة والسعر'!$C$2:$C$700,MATCH($C5834,'تحليل التكلفة والسعر'!$B$2:$B$700,0)),0))</f>
        <v/>
      </c>
    </row>
    <row r="5835" customFormat="false" ht="15" hidden="false" customHeight="false" outlineLevel="0" collapsed="false">
      <c r="A5835" s="103"/>
      <c r="B5835" s="104"/>
      <c r="C5835" s="104"/>
      <c r="E5835" s="107" t="str">
        <f aca="false">IF($C5835="","",IFERROR(INDEX(المنيو!$C$2:$C$500,MATCH($C5835,المنيو!$B$2:$B$500,0)),0))</f>
        <v/>
      </c>
      <c r="F5835" s="107" t="str">
        <f aca="false">IF($C5835="","",$D5835*$E5835)</f>
        <v/>
      </c>
      <c r="G5835" s="107" t="str">
        <f aca="false">IF($C5835="","",$D5835*IFERROR(INDEX('تحليل التكلفة والسعر'!$C$2:$C$700,MATCH($C5835,'تحليل التكلفة والسعر'!$B$2:$B$700,0)),0))</f>
        <v/>
      </c>
    </row>
    <row r="5836" customFormat="false" ht="15" hidden="false" customHeight="false" outlineLevel="0" collapsed="false">
      <c r="A5836" s="103"/>
      <c r="B5836" s="104"/>
      <c r="C5836" s="104"/>
      <c r="E5836" s="107" t="str">
        <f aca="false">IF($C5836="","",IFERROR(INDEX(المنيو!$C$2:$C$500,MATCH($C5836,المنيو!$B$2:$B$500,0)),0))</f>
        <v/>
      </c>
      <c r="F5836" s="107" t="str">
        <f aca="false">IF($C5836="","",$D5836*$E5836)</f>
        <v/>
      </c>
      <c r="G5836" s="107" t="str">
        <f aca="false">IF($C5836="","",$D5836*IFERROR(INDEX('تحليل التكلفة والسعر'!$C$2:$C$700,MATCH($C5836,'تحليل التكلفة والسعر'!$B$2:$B$700,0)),0))</f>
        <v/>
      </c>
    </row>
    <row r="5837" customFormat="false" ht="15" hidden="false" customHeight="false" outlineLevel="0" collapsed="false">
      <c r="A5837" s="103"/>
      <c r="B5837" s="104"/>
      <c r="C5837" s="104"/>
      <c r="E5837" s="107" t="str">
        <f aca="false">IF($C5837="","",IFERROR(INDEX(المنيو!$C$2:$C$500,MATCH($C5837,المنيو!$B$2:$B$500,0)),0))</f>
        <v/>
      </c>
      <c r="F5837" s="107" t="str">
        <f aca="false">IF($C5837="","",$D5837*$E5837)</f>
        <v/>
      </c>
      <c r="G5837" s="107" t="str">
        <f aca="false">IF($C5837="","",$D5837*IFERROR(INDEX('تحليل التكلفة والسعر'!$C$2:$C$700,MATCH($C5837,'تحليل التكلفة والسعر'!$B$2:$B$700,0)),0))</f>
        <v/>
      </c>
    </row>
    <row r="5838" customFormat="false" ht="15" hidden="false" customHeight="false" outlineLevel="0" collapsed="false">
      <c r="A5838" s="103"/>
      <c r="B5838" s="104"/>
      <c r="C5838" s="104"/>
      <c r="E5838" s="107" t="str">
        <f aca="false">IF($C5838="","",IFERROR(INDEX(المنيو!$C$2:$C$500,MATCH($C5838,المنيو!$B$2:$B$500,0)),0))</f>
        <v/>
      </c>
      <c r="F5838" s="107" t="str">
        <f aca="false">IF($C5838="","",$D5838*$E5838)</f>
        <v/>
      </c>
      <c r="G5838" s="107" t="str">
        <f aca="false">IF($C5838="","",$D5838*IFERROR(INDEX('تحليل التكلفة والسعر'!$C$2:$C$700,MATCH($C5838,'تحليل التكلفة والسعر'!$B$2:$B$700,0)),0))</f>
        <v/>
      </c>
    </row>
    <row r="5839" customFormat="false" ht="15" hidden="false" customHeight="false" outlineLevel="0" collapsed="false">
      <c r="A5839" s="103"/>
      <c r="B5839" s="104"/>
      <c r="C5839" s="104"/>
      <c r="E5839" s="107" t="str">
        <f aca="false">IF($C5839="","",IFERROR(INDEX(المنيو!$C$2:$C$500,MATCH($C5839,المنيو!$B$2:$B$500,0)),0))</f>
        <v/>
      </c>
      <c r="F5839" s="107" t="str">
        <f aca="false">IF($C5839="","",$D5839*$E5839)</f>
        <v/>
      </c>
      <c r="G5839" s="107" t="str">
        <f aca="false">IF($C5839="","",$D5839*IFERROR(INDEX('تحليل التكلفة والسعر'!$C$2:$C$700,MATCH($C5839,'تحليل التكلفة والسعر'!$B$2:$B$700,0)),0))</f>
        <v/>
      </c>
    </row>
    <row r="5840" customFormat="false" ht="15" hidden="false" customHeight="false" outlineLevel="0" collapsed="false">
      <c r="A5840" s="103"/>
      <c r="B5840" s="104"/>
      <c r="C5840" s="104"/>
      <c r="E5840" s="107" t="str">
        <f aca="false">IF($C5840="","",IFERROR(INDEX(المنيو!$C$2:$C$500,MATCH($C5840,المنيو!$B$2:$B$500,0)),0))</f>
        <v/>
      </c>
      <c r="F5840" s="107" t="str">
        <f aca="false">IF($C5840="","",$D5840*$E5840)</f>
        <v/>
      </c>
      <c r="G5840" s="107" t="str">
        <f aca="false">IF($C5840="","",$D5840*IFERROR(INDEX('تحليل التكلفة والسعر'!$C$2:$C$700,MATCH($C5840,'تحليل التكلفة والسعر'!$B$2:$B$700,0)),0))</f>
        <v/>
      </c>
    </row>
    <row r="5841" customFormat="false" ht="15" hidden="false" customHeight="false" outlineLevel="0" collapsed="false">
      <c r="A5841" s="103"/>
      <c r="B5841" s="104"/>
      <c r="C5841" s="104"/>
      <c r="E5841" s="107" t="str">
        <f aca="false">IF($C5841="","",IFERROR(INDEX(المنيو!$C$2:$C$500,MATCH($C5841,المنيو!$B$2:$B$500,0)),0))</f>
        <v/>
      </c>
      <c r="F5841" s="107" t="str">
        <f aca="false">IF($C5841="","",$D5841*$E5841)</f>
        <v/>
      </c>
      <c r="G5841" s="107" t="str">
        <f aca="false">IF($C5841="","",$D5841*IFERROR(INDEX('تحليل التكلفة والسعر'!$C$2:$C$700,MATCH($C5841,'تحليل التكلفة والسعر'!$B$2:$B$700,0)),0))</f>
        <v/>
      </c>
    </row>
    <row r="5842" customFormat="false" ht="15" hidden="false" customHeight="false" outlineLevel="0" collapsed="false">
      <c r="A5842" s="103"/>
      <c r="B5842" s="104"/>
      <c r="C5842" s="104"/>
      <c r="E5842" s="107" t="str">
        <f aca="false">IF($C5842="","",IFERROR(INDEX(المنيو!$C$2:$C$500,MATCH($C5842,المنيو!$B$2:$B$500,0)),0))</f>
        <v/>
      </c>
      <c r="F5842" s="107" t="str">
        <f aca="false">IF($C5842="","",$D5842*$E5842)</f>
        <v/>
      </c>
      <c r="G5842" s="107" t="str">
        <f aca="false">IF($C5842="","",$D5842*IFERROR(INDEX('تحليل التكلفة والسعر'!$C$2:$C$700,MATCH($C5842,'تحليل التكلفة والسعر'!$B$2:$B$700,0)),0))</f>
        <v/>
      </c>
    </row>
    <row r="5843" customFormat="false" ht="15" hidden="false" customHeight="false" outlineLevel="0" collapsed="false">
      <c r="A5843" s="103"/>
      <c r="B5843" s="104"/>
      <c r="C5843" s="104"/>
      <c r="E5843" s="107" t="str">
        <f aca="false">IF($C5843="","",IFERROR(INDEX(المنيو!$C$2:$C$500,MATCH($C5843,المنيو!$B$2:$B$500,0)),0))</f>
        <v/>
      </c>
      <c r="F5843" s="107" t="str">
        <f aca="false">IF($C5843="","",$D5843*$E5843)</f>
        <v/>
      </c>
      <c r="G5843" s="107" t="str">
        <f aca="false">IF($C5843="","",$D5843*IFERROR(INDEX('تحليل التكلفة والسعر'!$C$2:$C$700,MATCH($C5843,'تحليل التكلفة والسعر'!$B$2:$B$700,0)),0))</f>
        <v/>
      </c>
    </row>
    <row r="5844" customFormat="false" ht="15" hidden="false" customHeight="false" outlineLevel="0" collapsed="false">
      <c r="A5844" s="103"/>
      <c r="B5844" s="104"/>
      <c r="C5844" s="104"/>
      <c r="E5844" s="107" t="str">
        <f aca="false">IF($C5844="","",IFERROR(INDEX(المنيو!$C$2:$C$500,MATCH($C5844,المنيو!$B$2:$B$500,0)),0))</f>
        <v/>
      </c>
      <c r="F5844" s="107" t="str">
        <f aca="false">IF($C5844="","",$D5844*$E5844)</f>
        <v/>
      </c>
      <c r="G5844" s="107" t="str">
        <f aca="false">IF($C5844="","",$D5844*IFERROR(INDEX('تحليل التكلفة والسعر'!$C$2:$C$700,MATCH($C5844,'تحليل التكلفة والسعر'!$B$2:$B$700,0)),0))</f>
        <v/>
      </c>
    </row>
    <row r="5845" customFormat="false" ht="15" hidden="false" customHeight="false" outlineLevel="0" collapsed="false">
      <c r="A5845" s="103"/>
      <c r="B5845" s="104"/>
      <c r="C5845" s="104"/>
      <c r="E5845" s="107" t="str">
        <f aca="false">IF($C5845="","",IFERROR(INDEX(المنيو!$C$2:$C$500,MATCH($C5845,المنيو!$B$2:$B$500,0)),0))</f>
        <v/>
      </c>
      <c r="F5845" s="107" t="str">
        <f aca="false">IF($C5845="","",$D5845*$E5845)</f>
        <v/>
      </c>
      <c r="G5845" s="107" t="str">
        <f aca="false">IF($C5845="","",$D5845*IFERROR(INDEX('تحليل التكلفة والسعر'!$C$2:$C$700,MATCH($C5845,'تحليل التكلفة والسعر'!$B$2:$B$700,0)),0))</f>
        <v/>
      </c>
    </row>
    <row r="5846" customFormat="false" ht="15" hidden="false" customHeight="false" outlineLevel="0" collapsed="false">
      <c r="A5846" s="103"/>
      <c r="B5846" s="104"/>
      <c r="C5846" s="104"/>
      <c r="E5846" s="107" t="str">
        <f aca="false">IF($C5846="","",IFERROR(INDEX(المنيو!$C$2:$C$500,MATCH($C5846,المنيو!$B$2:$B$500,0)),0))</f>
        <v/>
      </c>
      <c r="F5846" s="107" t="str">
        <f aca="false">IF($C5846="","",$D5846*$E5846)</f>
        <v/>
      </c>
      <c r="G5846" s="107" t="str">
        <f aca="false">IF($C5846="","",$D5846*IFERROR(INDEX('تحليل التكلفة والسعر'!$C$2:$C$700,MATCH($C5846,'تحليل التكلفة والسعر'!$B$2:$B$700,0)),0))</f>
        <v/>
      </c>
    </row>
    <row r="5847" customFormat="false" ht="15" hidden="false" customHeight="false" outlineLevel="0" collapsed="false">
      <c r="A5847" s="103"/>
      <c r="B5847" s="104"/>
      <c r="C5847" s="104"/>
      <c r="E5847" s="107" t="str">
        <f aca="false">IF($C5847="","",IFERROR(INDEX(المنيو!$C$2:$C$500,MATCH($C5847,المنيو!$B$2:$B$500,0)),0))</f>
        <v/>
      </c>
      <c r="F5847" s="107" t="str">
        <f aca="false">IF($C5847="","",$D5847*$E5847)</f>
        <v/>
      </c>
      <c r="G5847" s="107" t="str">
        <f aca="false">IF($C5847="","",$D5847*IFERROR(INDEX('تحليل التكلفة والسعر'!$C$2:$C$700,MATCH($C5847,'تحليل التكلفة والسعر'!$B$2:$B$700,0)),0))</f>
        <v/>
      </c>
    </row>
    <row r="5848" customFormat="false" ht="15" hidden="false" customHeight="false" outlineLevel="0" collapsed="false">
      <c r="A5848" s="103"/>
      <c r="B5848" s="104"/>
      <c r="C5848" s="104"/>
      <c r="E5848" s="107" t="str">
        <f aca="false">IF($C5848="","",IFERROR(INDEX(المنيو!$C$2:$C$500,MATCH($C5848,المنيو!$B$2:$B$500,0)),0))</f>
        <v/>
      </c>
      <c r="F5848" s="107" t="str">
        <f aca="false">IF($C5848="","",$D5848*$E5848)</f>
        <v/>
      </c>
      <c r="G5848" s="107" t="str">
        <f aca="false">IF($C5848="","",$D5848*IFERROR(INDEX('تحليل التكلفة والسعر'!$C$2:$C$700,MATCH($C5848,'تحليل التكلفة والسعر'!$B$2:$B$700,0)),0))</f>
        <v/>
      </c>
    </row>
    <row r="5849" customFormat="false" ht="15" hidden="false" customHeight="false" outlineLevel="0" collapsed="false">
      <c r="A5849" s="103"/>
      <c r="B5849" s="104"/>
      <c r="C5849" s="104"/>
      <c r="E5849" s="107" t="str">
        <f aca="false">IF($C5849="","",IFERROR(INDEX(المنيو!$C$2:$C$500,MATCH($C5849,المنيو!$B$2:$B$500,0)),0))</f>
        <v/>
      </c>
      <c r="F5849" s="107" t="str">
        <f aca="false">IF($C5849="","",$D5849*$E5849)</f>
        <v/>
      </c>
      <c r="G5849" s="107" t="str">
        <f aca="false">IF($C5849="","",$D5849*IFERROR(INDEX('تحليل التكلفة والسعر'!$C$2:$C$700,MATCH($C5849,'تحليل التكلفة والسعر'!$B$2:$B$700,0)),0))</f>
        <v/>
      </c>
    </row>
    <row r="5850" customFormat="false" ht="15" hidden="false" customHeight="false" outlineLevel="0" collapsed="false">
      <c r="A5850" s="103"/>
      <c r="B5850" s="104"/>
      <c r="C5850" s="104"/>
      <c r="E5850" s="107" t="str">
        <f aca="false">IF($C5850="","",IFERROR(INDEX(المنيو!$C$2:$C$500,MATCH($C5850,المنيو!$B$2:$B$500,0)),0))</f>
        <v/>
      </c>
      <c r="F5850" s="107" t="str">
        <f aca="false">IF($C5850="","",$D5850*$E5850)</f>
        <v/>
      </c>
      <c r="G5850" s="107" t="str">
        <f aca="false">IF($C5850="","",$D5850*IFERROR(INDEX('تحليل التكلفة والسعر'!$C$2:$C$700,MATCH($C5850,'تحليل التكلفة والسعر'!$B$2:$B$700,0)),0))</f>
        <v/>
      </c>
    </row>
    <row r="5851" customFormat="false" ht="15" hidden="false" customHeight="false" outlineLevel="0" collapsed="false">
      <c r="A5851" s="103"/>
      <c r="B5851" s="104"/>
      <c r="C5851" s="104"/>
      <c r="E5851" s="107" t="str">
        <f aca="false">IF($C5851="","",IFERROR(INDEX(المنيو!$C$2:$C$500,MATCH($C5851,المنيو!$B$2:$B$500,0)),0))</f>
        <v/>
      </c>
      <c r="F5851" s="107" t="str">
        <f aca="false">IF($C5851="","",$D5851*$E5851)</f>
        <v/>
      </c>
      <c r="G5851" s="107" t="str">
        <f aca="false">IF($C5851="","",$D5851*IFERROR(INDEX('تحليل التكلفة والسعر'!$C$2:$C$700,MATCH($C5851,'تحليل التكلفة والسعر'!$B$2:$B$700,0)),0))</f>
        <v/>
      </c>
    </row>
    <row r="5852" customFormat="false" ht="15" hidden="false" customHeight="false" outlineLevel="0" collapsed="false">
      <c r="A5852" s="103"/>
      <c r="B5852" s="104"/>
      <c r="C5852" s="104"/>
      <c r="E5852" s="107" t="str">
        <f aca="false">IF($C5852="","",IFERROR(INDEX(المنيو!$C$2:$C$500,MATCH($C5852,المنيو!$B$2:$B$500,0)),0))</f>
        <v/>
      </c>
      <c r="F5852" s="107" t="str">
        <f aca="false">IF($C5852="","",$D5852*$E5852)</f>
        <v/>
      </c>
      <c r="G5852" s="107" t="str">
        <f aca="false">IF($C5852="","",$D5852*IFERROR(INDEX('تحليل التكلفة والسعر'!$C$2:$C$700,MATCH($C5852,'تحليل التكلفة والسعر'!$B$2:$B$700,0)),0))</f>
        <v/>
      </c>
    </row>
    <row r="5853" customFormat="false" ht="15" hidden="false" customHeight="false" outlineLevel="0" collapsed="false">
      <c r="A5853" s="103"/>
      <c r="B5853" s="104"/>
      <c r="C5853" s="104"/>
      <c r="E5853" s="107" t="str">
        <f aca="false">IF($C5853="","",IFERROR(INDEX(المنيو!$C$2:$C$500,MATCH($C5853,المنيو!$B$2:$B$500,0)),0))</f>
        <v/>
      </c>
      <c r="F5853" s="107" t="str">
        <f aca="false">IF($C5853="","",$D5853*$E5853)</f>
        <v/>
      </c>
      <c r="G5853" s="107" t="str">
        <f aca="false">IF($C5853="","",$D5853*IFERROR(INDEX('تحليل التكلفة والسعر'!$C$2:$C$700,MATCH($C5853,'تحليل التكلفة والسعر'!$B$2:$B$700,0)),0))</f>
        <v/>
      </c>
    </row>
    <row r="5854" customFormat="false" ht="15" hidden="false" customHeight="false" outlineLevel="0" collapsed="false">
      <c r="A5854" s="103"/>
      <c r="B5854" s="104"/>
      <c r="C5854" s="104"/>
      <c r="E5854" s="107" t="str">
        <f aca="false">IF($C5854="","",IFERROR(INDEX(المنيو!$C$2:$C$500,MATCH($C5854,المنيو!$B$2:$B$500,0)),0))</f>
        <v/>
      </c>
      <c r="F5854" s="107" t="str">
        <f aca="false">IF($C5854="","",$D5854*$E5854)</f>
        <v/>
      </c>
      <c r="G5854" s="107" t="str">
        <f aca="false">IF($C5854="","",$D5854*IFERROR(INDEX('تحليل التكلفة والسعر'!$C$2:$C$700,MATCH($C5854,'تحليل التكلفة والسعر'!$B$2:$B$700,0)),0))</f>
        <v/>
      </c>
    </row>
    <row r="5855" customFormat="false" ht="15" hidden="false" customHeight="false" outlineLevel="0" collapsed="false">
      <c r="A5855" s="103"/>
      <c r="B5855" s="104"/>
      <c r="C5855" s="104"/>
      <c r="E5855" s="107" t="str">
        <f aca="false">IF($C5855="","",IFERROR(INDEX(المنيو!$C$2:$C$500,MATCH($C5855,المنيو!$B$2:$B$500,0)),0))</f>
        <v/>
      </c>
      <c r="F5855" s="107" t="str">
        <f aca="false">IF($C5855="","",$D5855*$E5855)</f>
        <v/>
      </c>
      <c r="G5855" s="107" t="str">
        <f aca="false">IF($C5855="","",$D5855*IFERROR(INDEX('تحليل التكلفة والسعر'!$C$2:$C$700,MATCH($C5855,'تحليل التكلفة والسعر'!$B$2:$B$700,0)),0))</f>
        <v/>
      </c>
    </row>
    <row r="5856" customFormat="false" ht="15" hidden="false" customHeight="false" outlineLevel="0" collapsed="false">
      <c r="A5856" s="103"/>
      <c r="B5856" s="104"/>
      <c r="C5856" s="104"/>
      <c r="E5856" s="107" t="str">
        <f aca="false">IF($C5856="","",IFERROR(INDEX(المنيو!$C$2:$C$500,MATCH($C5856,المنيو!$B$2:$B$500,0)),0))</f>
        <v/>
      </c>
      <c r="F5856" s="107" t="str">
        <f aca="false">IF($C5856="","",$D5856*$E5856)</f>
        <v/>
      </c>
      <c r="G5856" s="107" t="str">
        <f aca="false">IF($C5856="","",$D5856*IFERROR(INDEX('تحليل التكلفة والسعر'!$C$2:$C$700,MATCH($C5856,'تحليل التكلفة والسعر'!$B$2:$B$700,0)),0))</f>
        <v/>
      </c>
    </row>
    <row r="5857" customFormat="false" ht="15" hidden="false" customHeight="false" outlineLevel="0" collapsed="false">
      <c r="A5857" s="103"/>
      <c r="B5857" s="104"/>
      <c r="C5857" s="104"/>
      <c r="E5857" s="107" t="str">
        <f aca="false">IF($C5857="","",IFERROR(INDEX(المنيو!$C$2:$C$500,MATCH($C5857,المنيو!$B$2:$B$500,0)),0))</f>
        <v/>
      </c>
      <c r="F5857" s="107" t="str">
        <f aca="false">IF($C5857="","",$D5857*$E5857)</f>
        <v/>
      </c>
      <c r="G5857" s="107" t="str">
        <f aca="false">IF($C5857="","",$D5857*IFERROR(INDEX('تحليل التكلفة والسعر'!$C$2:$C$700,MATCH($C5857,'تحليل التكلفة والسعر'!$B$2:$B$700,0)),0))</f>
        <v/>
      </c>
    </row>
    <row r="5858" customFormat="false" ht="15" hidden="false" customHeight="false" outlineLevel="0" collapsed="false">
      <c r="A5858" s="103"/>
      <c r="B5858" s="104"/>
      <c r="C5858" s="104"/>
      <c r="E5858" s="107" t="str">
        <f aca="false">IF($C5858="","",IFERROR(INDEX(المنيو!$C$2:$C$500,MATCH($C5858,المنيو!$B$2:$B$500,0)),0))</f>
        <v/>
      </c>
      <c r="F5858" s="107" t="str">
        <f aca="false">IF($C5858="","",$D5858*$E5858)</f>
        <v/>
      </c>
      <c r="G5858" s="107" t="str">
        <f aca="false">IF($C5858="","",$D5858*IFERROR(INDEX('تحليل التكلفة والسعر'!$C$2:$C$700,MATCH($C5858,'تحليل التكلفة والسعر'!$B$2:$B$700,0)),0))</f>
        <v/>
      </c>
    </row>
    <row r="5859" customFormat="false" ht="15" hidden="false" customHeight="false" outlineLevel="0" collapsed="false">
      <c r="A5859" s="103"/>
      <c r="B5859" s="104"/>
      <c r="C5859" s="104"/>
      <c r="E5859" s="107" t="str">
        <f aca="false">IF($C5859="","",IFERROR(INDEX(المنيو!$C$2:$C$500,MATCH($C5859,المنيو!$B$2:$B$500,0)),0))</f>
        <v/>
      </c>
      <c r="F5859" s="107" t="str">
        <f aca="false">IF($C5859="","",$D5859*$E5859)</f>
        <v/>
      </c>
      <c r="G5859" s="107" t="str">
        <f aca="false">IF($C5859="","",$D5859*IFERROR(INDEX('تحليل التكلفة والسعر'!$C$2:$C$700,MATCH($C5859,'تحليل التكلفة والسعر'!$B$2:$B$700,0)),0))</f>
        <v/>
      </c>
    </row>
    <row r="5860" customFormat="false" ht="15" hidden="false" customHeight="false" outlineLevel="0" collapsed="false">
      <c r="A5860" s="103"/>
      <c r="B5860" s="104"/>
      <c r="C5860" s="104"/>
      <c r="E5860" s="107" t="str">
        <f aca="false">IF($C5860="","",IFERROR(INDEX(المنيو!$C$2:$C$500,MATCH($C5860,المنيو!$B$2:$B$500,0)),0))</f>
        <v/>
      </c>
      <c r="F5860" s="107" t="str">
        <f aca="false">IF($C5860="","",$D5860*$E5860)</f>
        <v/>
      </c>
      <c r="G5860" s="107" t="str">
        <f aca="false">IF($C5860="","",$D5860*IFERROR(INDEX('تحليل التكلفة والسعر'!$C$2:$C$700,MATCH($C5860,'تحليل التكلفة والسعر'!$B$2:$B$700,0)),0))</f>
        <v/>
      </c>
    </row>
    <row r="5861" customFormat="false" ht="15" hidden="false" customHeight="false" outlineLevel="0" collapsed="false">
      <c r="A5861" s="103"/>
      <c r="B5861" s="104"/>
      <c r="C5861" s="104"/>
      <c r="E5861" s="107" t="str">
        <f aca="false">IF($C5861="","",IFERROR(INDEX(المنيو!$C$2:$C$500,MATCH($C5861,المنيو!$B$2:$B$500,0)),0))</f>
        <v/>
      </c>
      <c r="F5861" s="107" t="str">
        <f aca="false">IF($C5861="","",$D5861*$E5861)</f>
        <v/>
      </c>
      <c r="G5861" s="107" t="str">
        <f aca="false">IF($C5861="","",$D5861*IFERROR(INDEX('تحليل التكلفة والسعر'!$C$2:$C$700,MATCH($C5861,'تحليل التكلفة والسعر'!$B$2:$B$700,0)),0))</f>
        <v/>
      </c>
    </row>
    <row r="5862" customFormat="false" ht="15" hidden="false" customHeight="false" outlineLevel="0" collapsed="false">
      <c r="A5862" s="103"/>
      <c r="B5862" s="104"/>
      <c r="C5862" s="104"/>
      <c r="E5862" s="107" t="str">
        <f aca="false">IF($C5862="","",IFERROR(INDEX(المنيو!$C$2:$C$500,MATCH($C5862,المنيو!$B$2:$B$500,0)),0))</f>
        <v/>
      </c>
      <c r="F5862" s="107" t="str">
        <f aca="false">IF($C5862="","",$D5862*$E5862)</f>
        <v/>
      </c>
      <c r="G5862" s="107" t="str">
        <f aca="false">IF($C5862="","",$D5862*IFERROR(INDEX('تحليل التكلفة والسعر'!$C$2:$C$700,MATCH($C5862,'تحليل التكلفة والسعر'!$B$2:$B$700,0)),0))</f>
        <v/>
      </c>
    </row>
    <row r="5863" customFormat="false" ht="15" hidden="false" customHeight="false" outlineLevel="0" collapsed="false">
      <c r="A5863" s="103"/>
      <c r="B5863" s="104"/>
      <c r="C5863" s="104"/>
      <c r="E5863" s="107" t="str">
        <f aca="false">IF($C5863="","",IFERROR(INDEX(المنيو!$C$2:$C$500,MATCH($C5863,المنيو!$B$2:$B$500,0)),0))</f>
        <v/>
      </c>
      <c r="F5863" s="107" t="str">
        <f aca="false">IF($C5863="","",$D5863*$E5863)</f>
        <v/>
      </c>
      <c r="G5863" s="107" t="str">
        <f aca="false">IF($C5863="","",$D5863*IFERROR(INDEX('تحليل التكلفة والسعر'!$C$2:$C$700,MATCH($C5863,'تحليل التكلفة والسعر'!$B$2:$B$700,0)),0))</f>
        <v/>
      </c>
    </row>
    <row r="5864" customFormat="false" ht="15" hidden="false" customHeight="false" outlineLevel="0" collapsed="false">
      <c r="A5864" s="103"/>
      <c r="B5864" s="104"/>
      <c r="C5864" s="104"/>
      <c r="E5864" s="107" t="str">
        <f aca="false">IF($C5864="","",IFERROR(INDEX(المنيو!$C$2:$C$500,MATCH($C5864,المنيو!$B$2:$B$500,0)),0))</f>
        <v/>
      </c>
      <c r="F5864" s="107" t="str">
        <f aca="false">IF($C5864="","",$D5864*$E5864)</f>
        <v/>
      </c>
      <c r="G5864" s="107" t="str">
        <f aca="false">IF($C5864="","",$D5864*IFERROR(INDEX('تحليل التكلفة والسعر'!$C$2:$C$700,MATCH($C5864,'تحليل التكلفة والسعر'!$B$2:$B$700,0)),0))</f>
        <v/>
      </c>
    </row>
    <row r="5865" customFormat="false" ht="15" hidden="false" customHeight="false" outlineLevel="0" collapsed="false">
      <c r="A5865" s="103"/>
      <c r="B5865" s="104"/>
      <c r="C5865" s="104"/>
      <c r="E5865" s="107" t="str">
        <f aca="false">IF($C5865="","",IFERROR(INDEX(المنيو!$C$2:$C$500,MATCH($C5865,المنيو!$B$2:$B$500,0)),0))</f>
        <v/>
      </c>
      <c r="F5865" s="107" t="str">
        <f aca="false">IF($C5865="","",$D5865*$E5865)</f>
        <v/>
      </c>
      <c r="G5865" s="107" t="str">
        <f aca="false">IF($C5865="","",$D5865*IFERROR(INDEX('تحليل التكلفة والسعر'!$C$2:$C$700,MATCH($C5865,'تحليل التكلفة والسعر'!$B$2:$B$700,0)),0))</f>
        <v/>
      </c>
    </row>
    <row r="5866" customFormat="false" ht="15" hidden="false" customHeight="false" outlineLevel="0" collapsed="false">
      <c r="A5866" s="103"/>
      <c r="B5866" s="104"/>
      <c r="C5866" s="104"/>
      <c r="E5866" s="107" t="str">
        <f aca="false">IF($C5866="","",IFERROR(INDEX(المنيو!$C$2:$C$500,MATCH($C5866,المنيو!$B$2:$B$500,0)),0))</f>
        <v/>
      </c>
      <c r="F5866" s="107" t="str">
        <f aca="false">IF($C5866="","",$D5866*$E5866)</f>
        <v/>
      </c>
      <c r="G5866" s="107" t="str">
        <f aca="false">IF($C5866="","",$D5866*IFERROR(INDEX('تحليل التكلفة والسعر'!$C$2:$C$700,MATCH($C5866,'تحليل التكلفة والسعر'!$B$2:$B$700,0)),0))</f>
        <v/>
      </c>
    </row>
    <row r="5867" customFormat="false" ht="15" hidden="false" customHeight="false" outlineLevel="0" collapsed="false">
      <c r="A5867" s="103"/>
      <c r="B5867" s="104"/>
      <c r="C5867" s="104"/>
      <c r="E5867" s="107" t="str">
        <f aca="false">IF($C5867="","",IFERROR(INDEX(المنيو!$C$2:$C$500,MATCH($C5867,المنيو!$B$2:$B$500,0)),0))</f>
        <v/>
      </c>
      <c r="F5867" s="107" t="str">
        <f aca="false">IF($C5867="","",$D5867*$E5867)</f>
        <v/>
      </c>
      <c r="G5867" s="107" t="str">
        <f aca="false">IF($C5867="","",$D5867*IFERROR(INDEX('تحليل التكلفة والسعر'!$C$2:$C$700,MATCH($C5867,'تحليل التكلفة والسعر'!$B$2:$B$700,0)),0))</f>
        <v/>
      </c>
    </row>
    <row r="5868" customFormat="false" ht="15" hidden="false" customHeight="false" outlineLevel="0" collapsed="false">
      <c r="A5868" s="103"/>
      <c r="B5868" s="104"/>
      <c r="C5868" s="104"/>
      <c r="E5868" s="107" t="str">
        <f aca="false">IF($C5868="","",IFERROR(INDEX(المنيو!$C$2:$C$500,MATCH($C5868,المنيو!$B$2:$B$500,0)),0))</f>
        <v/>
      </c>
      <c r="F5868" s="107" t="str">
        <f aca="false">IF($C5868="","",$D5868*$E5868)</f>
        <v/>
      </c>
      <c r="G5868" s="107" t="str">
        <f aca="false">IF($C5868="","",$D5868*IFERROR(INDEX('تحليل التكلفة والسعر'!$C$2:$C$700,MATCH($C5868,'تحليل التكلفة والسعر'!$B$2:$B$700,0)),0))</f>
        <v/>
      </c>
    </row>
    <row r="5869" customFormat="false" ht="15" hidden="false" customHeight="false" outlineLevel="0" collapsed="false">
      <c r="A5869" s="103"/>
      <c r="B5869" s="104"/>
      <c r="C5869" s="104"/>
      <c r="E5869" s="107" t="str">
        <f aca="false">IF($C5869="","",IFERROR(INDEX(المنيو!$C$2:$C$500,MATCH($C5869,المنيو!$B$2:$B$500,0)),0))</f>
        <v/>
      </c>
      <c r="F5869" s="107" t="str">
        <f aca="false">IF($C5869="","",$D5869*$E5869)</f>
        <v/>
      </c>
      <c r="G5869" s="107" t="str">
        <f aca="false">IF($C5869="","",$D5869*IFERROR(INDEX('تحليل التكلفة والسعر'!$C$2:$C$700,MATCH($C5869,'تحليل التكلفة والسعر'!$B$2:$B$700,0)),0))</f>
        <v/>
      </c>
    </row>
    <row r="5870" customFormat="false" ht="15" hidden="false" customHeight="false" outlineLevel="0" collapsed="false">
      <c r="A5870" s="103"/>
      <c r="B5870" s="104"/>
      <c r="C5870" s="104"/>
      <c r="E5870" s="107" t="str">
        <f aca="false">IF($C5870="","",IFERROR(INDEX(المنيو!$C$2:$C$500,MATCH($C5870,المنيو!$B$2:$B$500,0)),0))</f>
        <v/>
      </c>
      <c r="F5870" s="107" t="str">
        <f aca="false">IF($C5870="","",$D5870*$E5870)</f>
        <v/>
      </c>
      <c r="G5870" s="107" t="str">
        <f aca="false">IF($C5870="","",$D5870*IFERROR(INDEX('تحليل التكلفة والسعر'!$C$2:$C$700,MATCH($C5870,'تحليل التكلفة والسعر'!$B$2:$B$700,0)),0))</f>
        <v/>
      </c>
    </row>
    <row r="5871" customFormat="false" ht="15" hidden="false" customHeight="false" outlineLevel="0" collapsed="false">
      <c r="A5871" s="103"/>
      <c r="B5871" s="104"/>
      <c r="C5871" s="104"/>
      <c r="E5871" s="107" t="str">
        <f aca="false">IF($C5871="","",IFERROR(INDEX(المنيو!$C$2:$C$500,MATCH($C5871,المنيو!$B$2:$B$500,0)),0))</f>
        <v/>
      </c>
      <c r="F5871" s="107" t="str">
        <f aca="false">IF($C5871="","",$D5871*$E5871)</f>
        <v/>
      </c>
      <c r="G5871" s="107" t="str">
        <f aca="false">IF($C5871="","",$D5871*IFERROR(INDEX('تحليل التكلفة والسعر'!$C$2:$C$700,MATCH($C5871,'تحليل التكلفة والسعر'!$B$2:$B$700,0)),0))</f>
        <v/>
      </c>
    </row>
    <row r="5872" customFormat="false" ht="15" hidden="false" customHeight="false" outlineLevel="0" collapsed="false">
      <c r="A5872" s="103"/>
      <c r="B5872" s="104"/>
      <c r="C5872" s="104"/>
      <c r="E5872" s="107" t="str">
        <f aca="false">IF($C5872="","",IFERROR(INDEX(المنيو!$C$2:$C$500,MATCH($C5872,المنيو!$B$2:$B$500,0)),0))</f>
        <v/>
      </c>
      <c r="F5872" s="107" t="str">
        <f aca="false">IF($C5872="","",$D5872*$E5872)</f>
        <v/>
      </c>
      <c r="G5872" s="107" t="str">
        <f aca="false">IF($C5872="","",$D5872*IFERROR(INDEX('تحليل التكلفة والسعر'!$C$2:$C$700,MATCH($C5872,'تحليل التكلفة والسعر'!$B$2:$B$700,0)),0))</f>
        <v/>
      </c>
    </row>
    <row r="5873" customFormat="false" ht="15" hidden="false" customHeight="false" outlineLevel="0" collapsed="false">
      <c r="A5873" s="103"/>
      <c r="B5873" s="104"/>
      <c r="C5873" s="104"/>
      <c r="E5873" s="107" t="str">
        <f aca="false">IF($C5873="","",IFERROR(INDEX(المنيو!$C$2:$C$500,MATCH($C5873,المنيو!$B$2:$B$500,0)),0))</f>
        <v/>
      </c>
      <c r="F5873" s="107" t="str">
        <f aca="false">IF($C5873="","",$D5873*$E5873)</f>
        <v/>
      </c>
      <c r="G5873" s="107" t="str">
        <f aca="false">IF($C5873="","",$D5873*IFERROR(INDEX('تحليل التكلفة والسعر'!$C$2:$C$700,MATCH($C5873,'تحليل التكلفة والسعر'!$B$2:$B$700,0)),0))</f>
        <v/>
      </c>
    </row>
    <row r="5874" customFormat="false" ht="15" hidden="false" customHeight="false" outlineLevel="0" collapsed="false">
      <c r="A5874" s="103"/>
      <c r="B5874" s="104"/>
      <c r="C5874" s="104"/>
      <c r="E5874" s="107" t="str">
        <f aca="false">IF($C5874="","",IFERROR(INDEX(المنيو!$C$2:$C$500,MATCH($C5874,المنيو!$B$2:$B$500,0)),0))</f>
        <v/>
      </c>
      <c r="F5874" s="107" t="str">
        <f aca="false">IF($C5874="","",$D5874*$E5874)</f>
        <v/>
      </c>
      <c r="G5874" s="107" t="str">
        <f aca="false">IF($C5874="","",$D5874*IFERROR(INDEX('تحليل التكلفة والسعر'!$C$2:$C$700,MATCH($C5874,'تحليل التكلفة والسعر'!$B$2:$B$700,0)),0))</f>
        <v/>
      </c>
    </row>
    <row r="5875" customFormat="false" ht="15" hidden="false" customHeight="false" outlineLevel="0" collapsed="false">
      <c r="A5875" s="103"/>
      <c r="B5875" s="104"/>
      <c r="C5875" s="104"/>
      <c r="E5875" s="107" t="str">
        <f aca="false">IF($C5875="","",IFERROR(INDEX(المنيو!$C$2:$C$500,MATCH($C5875,المنيو!$B$2:$B$500,0)),0))</f>
        <v/>
      </c>
      <c r="F5875" s="107" t="str">
        <f aca="false">IF($C5875="","",$D5875*$E5875)</f>
        <v/>
      </c>
      <c r="G5875" s="107" t="str">
        <f aca="false">IF($C5875="","",$D5875*IFERROR(INDEX('تحليل التكلفة والسعر'!$C$2:$C$700,MATCH($C5875,'تحليل التكلفة والسعر'!$B$2:$B$700,0)),0))</f>
        <v/>
      </c>
    </row>
    <row r="5876" customFormat="false" ht="15" hidden="false" customHeight="false" outlineLevel="0" collapsed="false">
      <c r="A5876" s="103"/>
      <c r="B5876" s="104"/>
      <c r="C5876" s="104"/>
      <c r="E5876" s="107" t="str">
        <f aca="false">IF($C5876="","",IFERROR(INDEX(المنيو!$C$2:$C$500,MATCH($C5876,المنيو!$B$2:$B$500,0)),0))</f>
        <v/>
      </c>
      <c r="F5876" s="107" t="str">
        <f aca="false">IF($C5876="","",$D5876*$E5876)</f>
        <v/>
      </c>
      <c r="G5876" s="107" t="str">
        <f aca="false">IF($C5876="","",$D5876*IFERROR(INDEX('تحليل التكلفة والسعر'!$C$2:$C$700,MATCH($C5876,'تحليل التكلفة والسعر'!$B$2:$B$700,0)),0))</f>
        <v/>
      </c>
    </row>
    <row r="5877" customFormat="false" ht="15" hidden="false" customHeight="false" outlineLevel="0" collapsed="false">
      <c r="A5877" s="103"/>
      <c r="B5877" s="104"/>
      <c r="C5877" s="104"/>
      <c r="E5877" s="107" t="str">
        <f aca="false">IF($C5877="","",IFERROR(INDEX(المنيو!$C$2:$C$500,MATCH($C5877,المنيو!$B$2:$B$500,0)),0))</f>
        <v/>
      </c>
      <c r="F5877" s="107" t="str">
        <f aca="false">IF($C5877="","",$D5877*$E5877)</f>
        <v/>
      </c>
      <c r="G5877" s="107" t="str">
        <f aca="false">IF($C5877="","",$D5877*IFERROR(INDEX('تحليل التكلفة والسعر'!$C$2:$C$700,MATCH($C5877,'تحليل التكلفة والسعر'!$B$2:$B$700,0)),0))</f>
        <v/>
      </c>
    </row>
    <row r="5878" customFormat="false" ht="15" hidden="false" customHeight="false" outlineLevel="0" collapsed="false">
      <c r="A5878" s="103"/>
      <c r="B5878" s="104"/>
      <c r="C5878" s="104"/>
      <c r="E5878" s="107" t="str">
        <f aca="false">IF($C5878="","",IFERROR(INDEX(المنيو!$C$2:$C$500,MATCH($C5878,المنيو!$B$2:$B$500,0)),0))</f>
        <v/>
      </c>
      <c r="F5878" s="107" t="str">
        <f aca="false">IF($C5878="","",$D5878*$E5878)</f>
        <v/>
      </c>
      <c r="G5878" s="107" t="str">
        <f aca="false">IF($C5878="","",$D5878*IFERROR(INDEX('تحليل التكلفة والسعر'!$C$2:$C$700,MATCH($C5878,'تحليل التكلفة والسعر'!$B$2:$B$700,0)),0))</f>
        <v/>
      </c>
    </row>
    <row r="5879" customFormat="false" ht="15" hidden="false" customHeight="false" outlineLevel="0" collapsed="false">
      <c r="A5879" s="103"/>
      <c r="B5879" s="104"/>
      <c r="C5879" s="104"/>
      <c r="E5879" s="107" t="str">
        <f aca="false">IF($C5879="","",IFERROR(INDEX(المنيو!$C$2:$C$500,MATCH($C5879,المنيو!$B$2:$B$500,0)),0))</f>
        <v/>
      </c>
      <c r="F5879" s="107" t="str">
        <f aca="false">IF($C5879="","",$D5879*$E5879)</f>
        <v/>
      </c>
      <c r="G5879" s="107" t="str">
        <f aca="false">IF($C5879="","",$D5879*IFERROR(INDEX('تحليل التكلفة والسعر'!$C$2:$C$700,MATCH($C5879,'تحليل التكلفة والسعر'!$B$2:$B$700,0)),0))</f>
        <v/>
      </c>
    </row>
    <row r="5880" customFormat="false" ht="15" hidden="false" customHeight="false" outlineLevel="0" collapsed="false">
      <c r="A5880" s="103"/>
      <c r="B5880" s="104"/>
      <c r="C5880" s="104"/>
      <c r="E5880" s="107" t="str">
        <f aca="false">IF($C5880="","",IFERROR(INDEX(المنيو!$C$2:$C$500,MATCH($C5880,المنيو!$B$2:$B$500,0)),0))</f>
        <v/>
      </c>
      <c r="F5880" s="107" t="str">
        <f aca="false">IF($C5880="","",$D5880*$E5880)</f>
        <v/>
      </c>
      <c r="G5880" s="107" t="str">
        <f aca="false">IF($C5880="","",$D5880*IFERROR(INDEX('تحليل التكلفة والسعر'!$C$2:$C$700,MATCH($C5880,'تحليل التكلفة والسعر'!$B$2:$B$700,0)),0))</f>
        <v/>
      </c>
    </row>
    <row r="5881" customFormat="false" ht="15" hidden="false" customHeight="false" outlineLevel="0" collapsed="false">
      <c r="A5881" s="103"/>
      <c r="B5881" s="104"/>
      <c r="C5881" s="104"/>
      <c r="E5881" s="107" t="str">
        <f aca="false">IF($C5881="","",IFERROR(INDEX(المنيو!$C$2:$C$500,MATCH($C5881,المنيو!$B$2:$B$500,0)),0))</f>
        <v/>
      </c>
      <c r="F5881" s="107" t="str">
        <f aca="false">IF($C5881="","",$D5881*$E5881)</f>
        <v/>
      </c>
      <c r="G5881" s="107" t="str">
        <f aca="false">IF($C5881="","",$D5881*IFERROR(INDEX('تحليل التكلفة والسعر'!$C$2:$C$700,MATCH($C5881,'تحليل التكلفة والسعر'!$B$2:$B$700,0)),0))</f>
        <v/>
      </c>
    </row>
    <row r="5882" customFormat="false" ht="15" hidden="false" customHeight="false" outlineLevel="0" collapsed="false">
      <c r="A5882" s="103"/>
      <c r="B5882" s="104"/>
      <c r="C5882" s="104"/>
      <c r="E5882" s="107" t="str">
        <f aca="false">IF($C5882="","",IFERROR(INDEX(المنيو!$C$2:$C$500,MATCH($C5882,المنيو!$B$2:$B$500,0)),0))</f>
        <v/>
      </c>
      <c r="F5882" s="107" t="str">
        <f aca="false">IF($C5882="","",$D5882*$E5882)</f>
        <v/>
      </c>
      <c r="G5882" s="107" t="str">
        <f aca="false">IF($C5882="","",$D5882*IFERROR(INDEX('تحليل التكلفة والسعر'!$C$2:$C$700,MATCH($C5882,'تحليل التكلفة والسعر'!$B$2:$B$700,0)),0))</f>
        <v/>
      </c>
    </row>
    <row r="5883" customFormat="false" ht="15" hidden="false" customHeight="false" outlineLevel="0" collapsed="false">
      <c r="A5883" s="103"/>
      <c r="B5883" s="104"/>
      <c r="C5883" s="104"/>
      <c r="E5883" s="107" t="str">
        <f aca="false">IF($C5883="","",IFERROR(INDEX(المنيو!$C$2:$C$500,MATCH($C5883,المنيو!$B$2:$B$500,0)),0))</f>
        <v/>
      </c>
      <c r="F5883" s="107" t="str">
        <f aca="false">IF($C5883="","",$D5883*$E5883)</f>
        <v/>
      </c>
      <c r="G5883" s="107" t="str">
        <f aca="false">IF($C5883="","",$D5883*IFERROR(INDEX('تحليل التكلفة والسعر'!$C$2:$C$700,MATCH($C5883,'تحليل التكلفة والسعر'!$B$2:$B$700,0)),0))</f>
        <v/>
      </c>
    </row>
    <row r="5884" customFormat="false" ht="15" hidden="false" customHeight="false" outlineLevel="0" collapsed="false">
      <c r="A5884" s="103"/>
      <c r="B5884" s="104"/>
      <c r="C5884" s="104"/>
      <c r="E5884" s="107" t="str">
        <f aca="false">IF($C5884="","",IFERROR(INDEX(المنيو!$C$2:$C$500,MATCH($C5884,المنيو!$B$2:$B$500,0)),0))</f>
        <v/>
      </c>
      <c r="F5884" s="107" t="str">
        <f aca="false">IF($C5884="","",$D5884*$E5884)</f>
        <v/>
      </c>
      <c r="G5884" s="107" t="str">
        <f aca="false">IF($C5884="","",$D5884*IFERROR(INDEX('تحليل التكلفة والسعر'!$C$2:$C$700,MATCH($C5884,'تحليل التكلفة والسعر'!$B$2:$B$700,0)),0))</f>
        <v/>
      </c>
    </row>
    <row r="5885" customFormat="false" ht="15" hidden="false" customHeight="false" outlineLevel="0" collapsed="false">
      <c r="A5885" s="103"/>
      <c r="B5885" s="104"/>
      <c r="C5885" s="104"/>
      <c r="E5885" s="107" t="str">
        <f aca="false">IF($C5885="","",IFERROR(INDEX(المنيو!$C$2:$C$500,MATCH($C5885,المنيو!$B$2:$B$500,0)),0))</f>
        <v/>
      </c>
      <c r="F5885" s="107" t="str">
        <f aca="false">IF($C5885="","",$D5885*$E5885)</f>
        <v/>
      </c>
      <c r="G5885" s="107" t="str">
        <f aca="false">IF($C5885="","",$D5885*IFERROR(INDEX('تحليل التكلفة والسعر'!$C$2:$C$700,MATCH($C5885,'تحليل التكلفة والسعر'!$B$2:$B$700,0)),0))</f>
        <v/>
      </c>
    </row>
    <row r="5886" customFormat="false" ht="15" hidden="false" customHeight="false" outlineLevel="0" collapsed="false">
      <c r="A5886" s="103"/>
      <c r="B5886" s="104"/>
      <c r="C5886" s="104"/>
      <c r="E5886" s="107" t="str">
        <f aca="false">IF($C5886="","",IFERROR(INDEX(المنيو!$C$2:$C$500,MATCH($C5886,المنيو!$B$2:$B$500,0)),0))</f>
        <v/>
      </c>
      <c r="F5886" s="107" t="str">
        <f aca="false">IF($C5886="","",$D5886*$E5886)</f>
        <v/>
      </c>
      <c r="G5886" s="107" t="str">
        <f aca="false">IF($C5886="","",$D5886*IFERROR(INDEX('تحليل التكلفة والسعر'!$C$2:$C$700,MATCH($C5886,'تحليل التكلفة والسعر'!$B$2:$B$700,0)),0))</f>
        <v/>
      </c>
    </row>
    <row r="5887" customFormat="false" ht="15" hidden="false" customHeight="false" outlineLevel="0" collapsed="false">
      <c r="A5887" s="103"/>
      <c r="B5887" s="104"/>
      <c r="C5887" s="104"/>
      <c r="E5887" s="107" t="str">
        <f aca="false">IF($C5887="","",IFERROR(INDEX(المنيو!$C$2:$C$500,MATCH($C5887,المنيو!$B$2:$B$500,0)),0))</f>
        <v/>
      </c>
      <c r="F5887" s="107" t="str">
        <f aca="false">IF($C5887="","",$D5887*$E5887)</f>
        <v/>
      </c>
      <c r="G5887" s="107" t="str">
        <f aca="false">IF($C5887="","",$D5887*IFERROR(INDEX('تحليل التكلفة والسعر'!$C$2:$C$700,MATCH($C5887,'تحليل التكلفة والسعر'!$B$2:$B$700,0)),0))</f>
        <v/>
      </c>
    </row>
    <row r="5888" customFormat="false" ht="15" hidden="false" customHeight="false" outlineLevel="0" collapsed="false">
      <c r="A5888" s="103"/>
      <c r="B5888" s="104"/>
      <c r="C5888" s="104"/>
      <c r="E5888" s="107" t="str">
        <f aca="false">IF($C5888="","",IFERROR(INDEX(المنيو!$C$2:$C$500,MATCH($C5888,المنيو!$B$2:$B$500,0)),0))</f>
        <v/>
      </c>
      <c r="F5888" s="107" t="str">
        <f aca="false">IF($C5888="","",$D5888*$E5888)</f>
        <v/>
      </c>
      <c r="G5888" s="107" t="str">
        <f aca="false">IF($C5888="","",$D5888*IFERROR(INDEX('تحليل التكلفة والسعر'!$C$2:$C$700,MATCH($C5888,'تحليل التكلفة والسعر'!$B$2:$B$700,0)),0))</f>
        <v/>
      </c>
    </row>
    <row r="5889" customFormat="false" ht="15" hidden="false" customHeight="false" outlineLevel="0" collapsed="false">
      <c r="A5889" s="103"/>
      <c r="B5889" s="104"/>
      <c r="C5889" s="104"/>
      <c r="E5889" s="107" t="str">
        <f aca="false">IF($C5889="","",IFERROR(INDEX(المنيو!$C$2:$C$500,MATCH($C5889,المنيو!$B$2:$B$500,0)),0))</f>
        <v/>
      </c>
      <c r="F5889" s="107" t="str">
        <f aca="false">IF($C5889="","",$D5889*$E5889)</f>
        <v/>
      </c>
      <c r="G5889" s="107" t="str">
        <f aca="false">IF($C5889="","",$D5889*IFERROR(INDEX('تحليل التكلفة والسعر'!$C$2:$C$700,MATCH($C5889,'تحليل التكلفة والسعر'!$B$2:$B$700,0)),0))</f>
        <v/>
      </c>
    </row>
    <row r="5890" customFormat="false" ht="15" hidden="false" customHeight="false" outlineLevel="0" collapsed="false">
      <c r="A5890" s="103"/>
      <c r="B5890" s="104"/>
      <c r="C5890" s="104"/>
      <c r="E5890" s="107" t="str">
        <f aca="false">IF($C5890="","",IFERROR(INDEX(المنيو!$C$2:$C$500,MATCH($C5890,المنيو!$B$2:$B$500,0)),0))</f>
        <v/>
      </c>
      <c r="F5890" s="107" t="str">
        <f aca="false">IF($C5890="","",$D5890*$E5890)</f>
        <v/>
      </c>
      <c r="G5890" s="107" t="str">
        <f aca="false">IF($C5890="","",$D5890*IFERROR(INDEX('تحليل التكلفة والسعر'!$C$2:$C$700,MATCH($C5890,'تحليل التكلفة والسعر'!$B$2:$B$700,0)),0))</f>
        <v/>
      </c>
    </row>
    <row r="5891" customFormat="false" ht="15" hidden="false" customHeight="false" outlineLevel="0" collapsed="false">
      <c r="A5891" s="103"/>
      <c r="B5891" s="104"/>
      <c r="C5891" s="104"/>
      <c r="E5891" s="107" t="str">
        <f aca="false">IF($C5891="","",IFERROR(INDEX(المنيو!$C$2:$C$500,MATCH($C5891,المنيو!$B$2:$B$500,0)),0))</f>
        <v/>
      </c>
      <c r="F5891" s="107" t="str">
        <f aca="false">IF($C5891="","",$D5891*$E5891)</f>
        <v/>
      </c>
      <c r="G5891" s="107" t="str">
        <f aca="false">IF($C5891="","",$D5891*IFERROR(INDEX('تحليل التكلفة والسعر'!$C$2:$C$700,MATCH($C5891,'تحليل التكلفة والسعر'!$B$2:$B$700,0)),0))</f>
        <v/>
      </c>
    </row>
    <row r="5892" customFormat="false" ht="15" hidden="false" customHeight="false" outlineLevel="0" collapsed="false">
      <c r="A5892" s="103"/>
      <c r="B5892" s="104"/>
      <c r="C5892" s="104"/>
      <c r="E5892" s="107" t="str">
        <f aca="false">IF($C5892="","",IFERROR(INDEX(المنيو!$C$2:$C$500,MATCH($C5892,المنيو!$B$2:$B$500,0)),0))</f>
        <v/>
      </c>
      <c r="F5892" s="107" t="str">
        <f aca="false">IF($C5892="","",$D5892*$E5892)</f>
        <v/>
      </c>
      <c r="G5892" s="107" t="str">
        <f aca="false">IF($C5892="","",$D5892*IFERROR(INDEX('تحليل التكلفة والسعر'!$C$2:$C$700,MATCH($C5892,'تحليل التكلفة والسعر'!$B$2:$B$700,0)),0))</f>
        <v/>
      </c>
    </row>
    <row r="5893" customFormat="false" ht="15" hidden="false" customHeight="false" outlineLevel="0" collapsed="false">
      <c r="A5893" s="103"/>
      <c r="B5893" s="104"/>
      <c r="C5893" s="104"/>
      <c r="E5893" s="107" t="str">
        <f aca="false">IF($C5893="","",IFERROR(INDEX(المنيو!$C$2:$C$500,MATCH($C5893,المنيو!$B$2:$B$500,0)),0))</f>
        <v/>
      </c>
      <c r="F5893" s="107" t="str">
        <f aca="false">IF($C5893="","",$D5893*$E5893)</f>
        <v/>
      </c>
      <c r="G5893" s="107" t="str">
        <f aca="false">IF($C5893="","",$D5893*IFERROR(INDEX('تحليل التكلفة والسعر'!$C$2:$C$700,MATCH($C5893,'تحليل التكلفة والسعر'!$B$2:$B$700,0)),0))</f>
        <v/>
      </c>
    </row>
    <row r="5894" customFormat="false" ht="15" hidden="false" customHeight="false" outlineLevel="0" collapsed="false">
      <c r="A5894" s="103"/>
      <c r="B5894" s="104"/>
      <c r="C5894" s="104"/>
      <c r="E5894" s="107" t="str">
        <f aca="false">IF($C5894="","",IFERROR(INDEX(المنيو!$C$2:$C$500,MATCH($C5894,المنيو!$B$2:$B$500,0)),0))</f>
        <v/>
      </c>
      <c r="F5894" s="107" t="str">
        <f aca="false">IF($C5894="","",$D5894*$E5894)</f>
        <v/>
      </c>
      <c r="G5894" s="107" t="str">
        <f aca="false">IF($C5894="","",$D5894*IFERROR(INDEX('تحليل التكلفة والسعر'!$C$2:$C$700,MATCH($C5894,'تحليل التكلفة والسعر'!$B$2:$B$700,0)),0))</f>
        <v/>
      </c>
    </row>
    <row r="5895" customFormat="false" ht="15" hidden="false" customHeight="false" outlineLevel="0" collapsed="false">
      <c r="A5895" s="103"/>
      <c r="B5895" s="104"/>
      <c r="C5895" s="104"/>
      <c r="E5895" s="107" t="str">
        <f aca="false">IF($C5895="","",IFERROR(INDEX(المنيو!$C$2:$C$500,MATCH($C5895,المنيو!$B$2:$B$500,0)),0))</f>
        <v/>
      </c>
      <c r="F5895" s="107" t="str">
        <f aca="false">IF($C5895="","",$D5895*$E5895)</f>
        <v/>
      </c>
      <c r="G5895" s="107" t="str">
        <f aca="false">IF($C5895="","",$D5895*IFERROR(INDEX('تحليل التكلفة والسعر'!$C$2:$C$700,MATCH($C5895,'تحليل التكلفة والسعر'!$B$2:$B$700,0)),0))</f>
        <v/>
      </c>
    </row>
    <row r="5896" customFormat="false" ht="15" hidden="false" customHeight="false" outlineLevel="0" collapsed="false">
      <c r="A5896" s="103"/>
      <c r="B5896" s="104"/>
      <c r="C5896" s="104"/>
      <c r="E5896" s="107" t="str">
        <f aca="false">IF($C5896="","",IFERROR(INDEX(المنيو!$C$2:$C$500,MATCH($C5896,المنيو!$B$2:$B$500,0)),0))</f>
        <v/>
      </c>
      <c r="F5896" s="107" t="str">
        <f aca="false">IF($C5896="","",$D5896*$E5896)</f>
        <v/>
      </c>
      <c r="G5896" s="107" t="str">
        <f aca="false">IF($C5896="","",$D5896*IFERROR(INDEX('تحليل التكلفة والسعر'!$C$2:$C$700,MATCH($C5896,'تحليل التكلفة والسعر'!$B$2:$B$700,0)),0))</f>
        <v/>
      </c>
    </row>
    <row r="5897" customFormat="false" ht="15" hidden="false" customHeight="false" outlineLevel="0" collapsed="false">
      <c r="A5897" s="103"/>
      <c r="B5897" s="104"/>
      <c r="C5897" s="104"/>
      <c r="E5897" s="107" t="str">
        <f aca="false">IF($C5897="","",IFERROR(INDEX(المنيو!$C$2:$C$500,MATCH($C5897,المنيو!$B$2:$B$500,0)),0))</f>
        <v/>
      </c>
      <c r="F5897" s="107" t="str">
        <f aca="false">IF($C5897="","",$D5897*$E5897)</f>
        <v/>
      </c>
      <c r="G5897" s="107" t="str">
        <f aca="false">IF($C5897="","",$D5897*IFERROR(INDEX('تحليل التكلفة والسعر'!$C$2:$C$700,MATCH($C5897,'تحليل التكلفة والسعر'!$B$2:$B$700,0)),0))</f>
        <v/>
      </c>
    </row>
    <row r="5898" customFormat="false" ht="15" hidden="false" customHeight="false" outlineLevel="0" collapsed="false">
      <c r="A5898" s="103"/>
      <c r="B5898" s="104"/>
      <c r="C5898" s="104"/>
      <c r="E5898" s="107" t="str">
        <f aca="false">IF($C5898="","",IFERROR(INDEX(المنيو!$C$2:$C$500,MATCH($C5898,المنيو!$B$2:$B$500,0)),0))</f>
        <v/>
      </c>
      <c r="F5898" s="107" t="str">
        <f aca="false">IF($C5898="","",$D5898*$E5898)</f>
        <v/>
      </c>
      <c r="G5898" s="107" t="str">
        <f aca="false">IF($C5898="","",$D5898*IFERROR(INDEX('تحليل التكلفة والسعر'!$C$2:$C$700,MATCH($C5898,'تحليل التكلفة والسعر'!$B$2:$B$700,0)),0))</f>
        <v/>
      </c>
    </row>
    <row r="5899" customFormat="false" ht="15" hidden="false" customHeight="false" outlineLevel="0" collapsed="false">
      <c r="A5899" s="103"/>
      <c r="B5899" s="104"/>
      <c r="C5899" s="104"/>
      <c r="E5899" s="107" t="str">
        <f aca="false">IF($C5899="","",IFERROR(INDEX(المنيو!$C$2:$C$500,MATCH($C5899,المنيو!$B$2:$B$500,0)),0))</f>
        <v/>
      </c>
      <c r="F5899" s="107" t="str">
        <f aca="false">IF($C5899="","",$D5899*$E5899)</f>
        <v/>
      </c>
      <c r="G5899" s="107" t="str">
        <f aca="false">IF($C5899="","",$D5899*IFERROR(INDEX('تحليل التكلفة والسعر'!$C$2:$C$700,MATCH($C5899,'تحليل التكلفة والسعر'!$B$2:$B$700,0)),0))</f>
        <v/>
      </c>
    </row>
    <row r="5900" customFormat="false" ht="15" hidden="false" customHeight="false" outlineLevel="0" collapsed="false">
      <c r="A5900" s="103"/>
      <c r="B5900" s="104"/>
      <c r="C5900" s="104"/>
      <c r="E5900" s="107" t="str">
        <f aca="false">IF($C5900="","",IFERROR(INDEX(المنيو!$C$2:$C$500,MATCH($C5900,المنيو!$B$2:$B$500,0)),0))</f>
        <v/>
      </c>
      <c r="F5900" s="107" t="str">
        <f aca="false">IF($C5900="","",$D5900*$E5900)</f>
        <v/>
      </c>
      <c r="G5900" s="107" t="str">
        <f aca="false">IF($C5900="","",$D5900*IFERROR(INDEX('تحليل التكلفة والسعر'!$C$2:$C$700,MATCH($C5900,'تحليل التكلفة والسعر'!$B$2:$B$700,0)),0))</f>
        <v/>
      </c>
    </row>
    <row r="5901" customFormat="false" ht="15" hidden="false" customHeight="false" outlineLevel="0" collapsed="false">
      <c r="A5901" s="103"/>
      <c r="B5901" s="104"/>
      <c r="C5901" s="104"/>
      <c r="E5901" s="107" t="str">
        <f aca="false">IF($C5901="","",IFERROR(INDEX(المنيو!$C$2:$C$500,MATCH($C5901,المنيو!$B$2:$B$500,0)),0))</f>
        <v/>
      </c>
      <c r="F5901" s="107" t="str">
        <f aca="false">IF($C5901="","",$D5901*$E5901)</f>
        <v/>
      </c>
      <c r="G5901" s="107" t="str">
        <f aca="false">IF($C5901="","",$D5901*IFERROR(INDEX('تحليل التكلفة والسعر'!$C$2:$C$700,MATCH($C5901,'تحليل التكلفة والسعر'!$B$2:$B$700,0)),0))</f>
        <v/>
      </c>
    </row>
    <row r="5902" customFormat="false" ht="15" hidden="false" customHeight="false" outlineLevel="0" collapsed="false">
      <c r="A5902" s="103"/>
      <c r="B5902" s="104"/>
      <c r="C5902" s="104"/>
      <c r="E5902" s="107" t="str">
        <f aca="false">IF($C5902="","",IFERROR(INDEX(المنيو!$C$2:$C$500,MATCH($C5902,المنيو!$B$2:$B$500,0)),0))</f>
        <v/>
      </c>
      <c r="F5902" s="107" t="str">
        <f aca="false">IF($C5902="","",$D5902*$E5902)</f>
        <v/>
      </c>
      <c r="G5902" s="107" t="str">
        <f aca="false">IF($C5902="","",$D5902*IFERROR(INDEX('تحليل التكلفة والسعر'!$C$2:$C$700,MATCH($C5902,'تحليل التكلفة والسعر'!$B$2:$B$700,0)),0))</f>
        <v/>
      </c>
    </row>
    <row r="5903" customFormat="false" ht="15" hidden="false" customHeight="false" outlineLevel="0" collapsed="false">
      <c r="A5903" s="103"/>
      <c r="B5903" s="104"/>
      <c r="C5903" s="104"/>
      <c r="E5903" s="107" t="str">
        <f aca="false">IF($C5903="","",IFERROR(INDEX(المنيو!$C$2:$C$500,MATCH($C5903,المنيو!$B$2:$B$500,0)),0))</f>
        <v/>
      </c>
      <c r="F5903" s="107" t="str">
        <f aca="false">IF($C5903="","",$D5903*$E5903)</f>
        <v/>
      </c>
      <c r="G5903" s="107" t="str">
        <f aca="false">IF($C5903="","",$D5903*IFERROR(INDEX('تحليل التكلفة والسعر'!$C$2:$C$700,MATCH($C5903,'تحليل التكلفة والسعر'!$B$2:$B$700,0)),0))</f>
        <v/>
      </c>
    </row>
    <row r="5904" customFormat="false" ht="15" hidden="false" customHeight="false" outlineLevel="0" collapsed="false">
      <c r="A5904" s="103"/>
      <c r="B5904" s="104"/>
      <c r="C5904" s="104"/>
      <c r="E5904" s="107" t="str">
        <f aca="false">IF($C5904="","",IFERROR(INDEX(المنيو!$C$2:$C$500,MATCH($C5904,المنيو!$B$2:$B$500,0)),0))</f>
        <v/>
      </c>
      <c r="F5904" s="107" t="str">
        <f aca="false">IF($C5904="","",$D5904*$E5904)</f>
        <v/>
      </c>
      <c r="G5904" s="107" t="str">
        <f aca="false">IF($C5904="","",$D5904*IFERROR(INDEX('تحليل التكلفة والسعر'!$C$2:$C$700,MATCH($C5904,'تحليل التكلفة والسعر'!$B$2:$B$700,0)),0))</f>
        <v/>
      </c>
    </row>
    <row r="5905" customFormat="false" ht="15" hidden="false" customHeight="false" outlineLevel="0" collapsed="false">
      <c r="A5905" s="103"/>
      <c r="B5905" s="104"/>
      <c r="C5905" s="104"/>
      <c r="E5905" s="107" t="str">
        <f aca="false">IF($C5905="","",IFERROR(INDEX(المنيو!$C$2:$C$500,MATCH($C5905,المنيو!$B$2:$B$500,0)),0))</f>
        <v/>
      </c>
      <c r="F5905" s="107" t="str">
        <f aca="false">IF($C5905="","",$D5905*$E5905)</f>
        <v/>
      </c>
      <c r="G5905" s="107" t="str">
        <f aca="false">IF($C5905="","",$D5905*IFERROR(INDEX('تحليل التكلفة والسعر'!$C$2:$C$700,MATCH($C5905,'تحليل التكلفة والسعر'!$B$2:$B$700,0)),0))</f>
        <v/>
      </c>
    </row>
    <row r="5906" customFormat="false" ht="15" hidden="false" customHeight="false" outlineLevel="0" collapsed="false">
      <c r="A5906" s="103"/>
      <c r="B5906" s="104"/>
      <c r="C5906" s="104"/>
      <c r="E5906" s="107" t="str">
        <f aca="false">IF($C5906="","",IFERROR(INDEX(المنيو!$C$2:$C$500,MATCH($C5906,المنيو!$B$2:$B$500,0)),0))</f>
        <v/>
      </c>
      <c r="F5906" s="107" t="str">
        <f aca="false">IF($C5906="","",$D5906*$E5906)</f>
        <v/>
      </c>
      <c r="G5906" s="107" t="str">
        <f aca="false">IF($C5906="","",$D5906*IFERROR(INDEX('تحليل التكلفة والسعر'!$C$2:$C$700,MATCH($C5906,'تحليل التكلفة والسعر'!$B$2:$B$700,0)),0))</f>
        <v/>
      </c>
    </row>
    <row r="5907" customFormat="false" ht="15" hidden="false" customHeight="false" outlineLevel="0" collapsed="false">
      <c r="A5907" s="103"/>
      <c r="B5907" s="104"/>
      <c r="C5907" s="104"/>
      <c r="E5907" s="107" t="str">
        <f aca="false">IF($C5907="","",IFERROR(INDEX(المنيو!$C$2:$C$500,MATCH($C5907,المنيو!$B$2:$B$500,0)),0))</f>
        <v/>
      </c>
      <c r="F5907" s="107" t="str">
        <f aca="false">IF($C5907="","",$D5907*$E5907)</f>
        <v/>
      </c>
      <c r="G5907" s="107" t="str">
        <f aca="false">IF($C5907="","",$D5907*IFERROR(INDEX('تحليل التكلفة والسعر'!$C$2:$C$700,MATCH($C5907,'تحليل التكلفة والسعر'!$B$2:$B$700,0)),0))</f>
        <v/>
      </c>
    </row>
    <row r="5908" customFormat="false" ht="15" hidden="false" customHeight="false" outlineLevel="0" collapsed="false">
      <c r="A5908" s="103"/>
      <c r="B5908" s="104"/>
      <c r="C5908" s="104"/>
      <c r="E5908" s="107" t="str">
        <f aca="false">IF($C5908="","",IFERROR(INDEX(المنيو!$C$2:$C$500,MATCH($C5908,المنيو!$B$2:$B$500,0)),0))</f>
        <v/>
      </c>
      <c r="F5908" s="107" t="str">
        <f aca="false">IF($C5908="","",$D5908*$E5908)</f>
        <v/>
      </c>
      <c r="G5908" s="107" t="str">
        <f aca="false">IF($C5908="","",$D5908*IFERROR(INDEX('تحليل التكلفة والسعر'!$C$2:$C$700,MATCH($C5908,'تحليل التكلفة والسعر'!$B$2:$B$700,0)),0))</f>
        <v/>
      </c>
    </row>
    <row r="5909" customFormat="false" ht="15" hidden="false" customHeight="false" outlineLevel="0" collapsed="false">
      <c r="A5909" s="103"/>
      <c r="B5909" s="104"/>
      <c r="C5909" s="104"/>
      <c r="E5909" s="107" t="str">
        <f aca="false">IF($C5909="","",IFERROR(INDEX(المنيو!$C$2:$C$500,MATCH($C5909,المنيو!$B$2:$B$500,0)),0))</f>
        <v/>
      </c>
      <c r="F5909" s="107" t="str">
        <f aca="false">IF($C5909="","",$D5909*$E5909)</f>
        <v/>
      </c>
      <c r="G5909" s="107" t="str">
        <f aca="false">IF($C5909="","",$D5909*IFERROR(INDEX('تحليل التكلفة والسعر'!$C$2:$C$700,MATCH($C5909,'تحليل التكلفة والسعر'!$B$2:$B$700,0)),0))</f>
        <v/>
      </c>
    </row>
    <row r="5910" customFormat="false" ht="15" hidden="false" customHeight="false" outlineLevel="0" collapsed="false">
      <c r="A5910" s="103"/>
      <c r="B5910" s="104"/>
      <c r="C5910" s="104"/>
      <c r="E5910" s="107" t="str">
        <f aca="false">IF($C5910="","",IFERROR(INDEX(المنيو!$C$2:$C$500,MATCH($C5910,المنيو!$B$2:$B$500,0)),0))</f>
        <v/>
      </c>
      <c r="F5910" s="107" t="str">
        <f aca="false">IF($C5910="","",$D5910*$E5910)</f>
        <v/>
      </c>
      <c r="G5910" s="107" t="str">
        <f aca="false">IF($C5910="","",$D5910*IFERROR(INDEX('تحليل التكلفة والسعر'!$C$2:$C$700,MATCH($C5910,'تحليل التكلفة والسعر'!$B$2:$B$700,0)),0))</f>
        <v/>
      </c>
    </row>
    <row r="5911" customFormat="false" ht="15" hidden="false" customHeight="false" outlineLevel="0" collapsed="false">
      <c r="A5911" s="103"/>
      <c r="B5911" s="104"/>
      <c r="C5911" s="104"/>
      <c r="E5911" s="107" t="str">
        <f aca="false">IF($C5911="","",IFERROR(INDEX(المنيو!$C$2:$C$500,MATCH($C5911,المنيو!$B$2:$B$500,0)),0))</f>
        <v/>
      </c>
      <c r="F5911" s="107" t="str">
        <f aca="false">IF($C5911="","",$D5911*$E5911)</f>
        <v/>
      </c>
      <c r="G5911" s="107" t="str">
        <f aca="false">IF($C5911="","",$D5911*IFERROR(INDEX('تحليل التكلفة والسعر'!$C$2:$C$700,MATCH($C5911,'تحليل التكلفة والسعر'!$B$2:$B$700,0)),0))</f>
        <v/>
      </c>
    </row>
    <row r="5912" customFormat="false" ht="15" hidden="false" customHeight="false" outlineLevel="0" collapsed="false">
      <c r="A5912" s="103"/>
      <c r="B5912" s="104"/>
      <c r="C5912" s="104"/>
      <c r="E5912" s="107" t="str">
        <f aca="false">IF($C5912="","",IFERROR(INDEX(المنيو!$C$2:$C$500,MATCH($C5912,المنيو!$B$2:$B$500,0)),0))</f>
        <v/>
      </c>
      <c r="F5912" s="107" t="str">
        <f aca="false">IF($C5912="","",$D5912*$E5912)</f>
        <v/>
      </c>
      <c r="G5912" s="107" t="str">
        <f aca="false">IF($C5912="","",$D5912*IFERROR(INDEX('تحليل التكلفة والسعر'!$C$2:$C$700,MATCH($C5912,'تحليل التكلفة والسعر'!$B$2:$B$700,0)),0))</f>
        <v/>
      </c>
    </row>
    <row r="5913" customFormat="false" ht="15" hidden="false" customHeight="false" outlineLevel="0" collapsed="false">
      <c r="A5913" s="103"/>
      <c r="B5913" s="104"/>
      <c r="C5913" s="104"/>
      <c r="E5913" s="107" t="str">
        <f aca="false">IF($C5913="","",IFERROR(INDEX(المنيو!$C$2:$C$500,MATCH($C5913,المنيو!$B$2:$B$500,0)),0))</f>
        <v/>
      </c>
      <c r="F5913" s="107" t="str">
        <f aca="false">IF($C5913="","",$D5913*$E5913)</f>
        <v/>
      </c>
      <c r="G5913" s="107" t="str">
        <f aca="false">IF($C5913="","",$D5913*IFERROR(INDEX('تحليل التكلفة والسعر'!$C$2:$C$700,MATCH($C5913,'تحليل التكلفة والسعر'!$B$2:$B$700,0)),0))</f>
        <v/>
      </c>
    </row>
    <row r="5914" customFormat="false" ht="15" hidden="false" customHeight="false" outlineLevel="0" collapsed="false">
      <c r="A5914" s="103"/>
      <c r="B5914" s="104"/>
      <c r="C5914" s="104"/>
      <c r="E5914" s="107" t="str">
        <f aca="false">IF($C5914="","",IFERROR(INDEX(المنيو!$C$2:$C$500,MATCH($C5914,المنيو!$B$2:$B$500,0)),0))</f>
        <v/>
      </c>
      <c r="F5914" s="107" t="str">
        <f aca="false">IF($C5914="","",$D5914*$E5914)</f>
        <v/>
      </c>
      <c r="G5914" s="107" t="str">
        <f aca="false">IF($C5914="","",$D5914*IFERROR(INDEX('تحليل التكلفة والسعر'!$C$2:$C$700,MATCH($C5914,'تحليل التكلفة والسعر'!$B$2:$B$700,0)),0))</f>
        <v/>
      </c>
    </row>
    <row r="5915" customFormat="false" ht="15" hidden="false" customHeight="false" outlineLevel="0" collapsed="false">
      <c r="A5915" s="103"/>
      <c r="B5915" s="104"/>
      <c r="C5915" s="104"/>
      <c r="E5915" s="107" t="str">
        <f aca="false">IF($C5915="","",IFERROR(INDEX(المنيو!$C$2:$C$500,MATCH($C5915,المنيو!$B$2:$B$500,0)),0))</f>
        <v/>
      </c>
      <c r="F5915" s="107" t="str">
        <f aca="false">IF($C5915="","",$D5915*$E5915)</f>
        <v/>
      </c>
      <c r="G5915" s="107" t="str">
        <f aca="false">IF($C5915="","",$D5915*IFERROR(INDEX('تحليل التكلفة والسعر'!$C$2:$C$700,MATCH($C5915,'تحليل التكلفة والسعر'!$B$2:$B$700,0)),0))</f>
        <v/>
      </c>
    </row>
    <row r="5916" customFormat="false" ht="15" hidden="false" customHeight="false" outlineLevel="0" collapsed="false">
      <c r="A5916" s="103"/>
      <c r="B5916" s="104"/>
      <c r="C5916" s="104"/>
      <c r="E5916" s="107" t="str">
        <f aca="false">IF($C5916="","",IFERROR(INDEX(المنيو!$C$2:$C$500,MATCH($C5916,المنيو!$B$2:$B$500,0)),0))</f>
        <v/>
      </c>
      <c r="F5916" s="107" t="str">
        <f aca="false">IF($C5916="","",$D5916*$E5916)</f>
        <v/>
      </c>
      <c r="G5916" s="107" t="str">
        <f aca="false">IF($C5916="","",$D5916*IFERROR(INDEX('تحليل التكلفة والسعر'!$C$2:$C$700,MATCH($C5916,'تحليل التكلفة والسعر'!$B$2:$B$700,0)),0))</f>
        <v/>
      </c>
    </row>
    <row r="5917" customFormat="false" ht="15" hidden="false" customHeight="false" outlineLevel="0" collapsed="false">
      <c r="A5917" s="103"/>
      <c r="B5917" s="104"/>
      <c r="C5917" s="104"/>
      <c r="E5917" s="107" t="str">
        <f aca="false">IF($C5917="","",IFERROR(INDEX(المنيو!$C$2:$C$500,MATCH($C5917,المنيو!$B$2:$B$500,0)),0))</f>
        <v/>
      </c>
      <c r="F5917" s="107" t="str">
        <f aca="false">IF($C5917="","",$D5917*$E5917)</f>
        <v/>
      </c>
      <c r="G5917" s="107" t="str">
        <f aca="false">IF($C5917="","",$D5917*IFERROR(INDEX('تحليل التكلفة والسعر'!$C$2:$C$700,MATCH($C5917,'تحليل التكلفة والسعر'!$B$2:$B$700,0)),0))</f>
        <v/>
      </c>
    </row>
    <row r="5918" customFormat="false" ht="15" hidden="false" customHeight="false" outlineLevel="0" collapsed="false">
      <c r="A5918" s="103"/>
      <c r="B5918" s="104"/>
      <c r="C5918" s="104"/>
      <c r="E5918" s="107" t="str">
        <f aca="false">IF($C5918="","",IFERROR(INDEX(المنيو!$C$2:$C$500,MATCH($C5918,المنيو!$B$2:$B$500,0)),0))</f>
        <v/>
      </c>
      <c r="F5918" s="107" t="str">
        <f aca="false">IF($C5918="","",$D5918*$E5918)</f>
        <v/>
      </c>
      <c r="G5918" s="107" t="str">
        <f aca="false">IF($C5918="","",$D5918*IFERROR(INDEX('تحليل التكلفة والسعر'!$C$2:$C$700,MATCH($C5918,'تحليل التكلفة والسعر'!$B$2:$B$700,0)),0))</f>
        <v/>
      </c>
    </row>
    <row r="5919" customFormat="false" ht="15" hidden="false" customHeight="false" outlineLevel="0" collapsed="false">
      <c r="A5919" s="103"/>
      <c r="B5919" s="104"/>
      <c r="C5919" s="104"/>
      <c r="E5919" s="107" t="str">
        <f aca="false">IF($C5919="","",IFERROR(INDEX(المنيو!$C$2:$C$500,MATCH($C5919,المنيو!$B$2:$B$500,0)),0))</f>
        <v/>
      </c>
      <c r="F5919" s="107" t="str">
        <f aca="false">IF($C5919="","",$D5919*$E5919)</f>
        <v/>
      </c>
      <c r="G5919" s="107" t="str">
        <f aca="false">IF($C5919="","",$D5919*IFERROR(INDEX('تحليل التكلفة والسعر'!$C$2:$C$700,MATCH($C5919,'تحليل التكلفة والسعر'!$B$2:$B$700,0)),0))</f>
        <v/>
      </c>
    </row>
    <row r="5920" customFormat="false" ht="15" hidden="false" customHeight="false" outlineLevel="0" collapsed="false">
      <c r="A5920" s="103"/>
      <c r="B5920" s="104"/>
      <c r="C5920" s="104"/>
      <c r="E5920" s="107" t="str">
        <f aca="false">IF($C5920="","",IFERROR(INDEX(المنيو!$C$2:$C$500,MATCH($C5920,المنيو!$B$2:$B$500,0)),0))</f>
        <v/>
      </c>
      <c r="F5920" s="107" t="str">
        <f aca="false">IF($C5920="","",$D5920*$E5920)</f>
        <v/>
      </c>
      <c r="G5920" s="107" t="str">
        <f aca="false">IF($C5920="","",$D5920*IFERROR(INDEX('تحليل التكلفة والسعر'!$C$2:$C$700,MATCH($C5920,'تحليل التكلفة والسعر'!$B$2:$B$700,0)),0))</f>
        <v/>
      </c>
    </row>
    <row r="5921" customFormat="false" ht="15" hidden="false" customHeight="false" outlineLevel="0" collapsed="false">
      <c r="A5921" s="103"/>
      <c r="B5921" s="104"/>
      <c r="C5921" s="104"/>
      <c r="E5921" s="107" t="str">
        <f aca="false">IF($C5921="","",IFERROR(INDEX(المنيو!$C$2:$C$500,MATCH($C5921,المنيو!$B$2:$B$500,0)),0))</f>
        <v/>
      </c>
      <c r="F5921" s="107" t="str">
        <f aca="false">IF($C5921="","",$D5921*$E5921)</f>
        <v/>
      </c>
      <c r="G5921" s="107" t="str">
        <f aca="false">IF($C5921="","",$D5921*IFERROR(INDEX('تحليل التكلفة والسعر'!$C$2:$C$700,MATCH($C5921,'تحليل التكلفة والسعر'!$B$2:$B$700,0)),0))</f>
        <v/>
      </c>
    </row>
    <row r="5922" customFormat="false" ht="15" hidden="false" customHeight="false" outlineLevel="0" collapsed="false">
      <c r="A5922" s="103"/>
      <c r="B5922" s="104"/>
      <c r="C5922" s="104"/>
      <c r="E5922" s="107" t="str">
        <f aca="false">IF($C5922="","",IFERROR(INDEX(المنيو!$C$2:$C$500,MATCH($C5922,المنيو!$B$2:$B$500,0)),0))</f>
        <v/>
      </c>
      <c r="F5922" s="107" t="str">
        <f aca="false">IF($C5922="","",$D5922*$E5922)</f>
        <v/>
      </c>
      <c r="G5922" s="107" t="str">
        <f aca="false">IF($C5922="","",$D5922*IFERROR(INDEX('تحليل التكلفة والسعر'!$C$2:$C$700,MATCH($C5922,'تحليل التكلفة والسعر'!$B$2:$B$700,0)),0))</f>
        <v/>
      </c>
    </row>
    <row r="5923" customFormat="false" ht="15" hidden="false" customHeight="false" outlineLevel="0" collapsed="false">
      <c r="A5923" s="103"/>
      <c r="B5923" s="104"/>
      <c r="C5923" s="104"/>
      <c r="E5923" s="107" t="str">
        <f aca="false">IF($C5923="","",IFERROR(INDEX(المنيو!$C$2:$C$500,MATCH($C5923,المنيو!$B$2:$B$500,0)),0))</f>
        <v/>
      </c>
      <c r="F5923" s="107" t="str">
        <f aca="false">IF($C5923="","",$D5923*$E5923)</f>
        <v/>
      </c>
      <c r="G5923" s="107" t="str">
        <f aca="false">IF($C5923="","",$D5923*IFERROR(INDEX('تحليل التكلفة والسعر'!$C$2:$C$700,MATCH($C5923,'تحليل التكلفة والسعر'!$B$2:$B$700,0)),0))</f>
        <v/>
      </c>
    </row>
    <row r="5924" customFormat="false" ht="15" hidden="false" customHeight="false" outlineLevel="0" collapsed="false">
      <c r="A5924" s="103"/>
      <c r="B5924" s="104"/>
      <c r="C5924" s="104"/>
      <c r="E5924" s="107" t="str">
        <f aca="false">IF($C5924="","",IFERROR(INDEX(المنيو!$C$2:$C$500,MATCH($C5924,المنيو!$B$2:$B$500,0)),0))</f>
        <v/>
      </c>
      <c r="F5924" s="107" t="str">
        <f aca="false">IF($C5924="","",$D5924*$E5924)</f>
        <v/>
      </c>
      <c r="G5924" s="107" t="str">
        <f aca="false">IF($C5924="","",$D5924*IFERROR(INDEX('تحليل التكلفة والسعر'!$C$2:$C$700,MATCH($C5924,'تحليل التكلفة والسعر'!$B$2:$B$700,0)),0))</f>
        <v/>
      </c>
    </row>
    <row r="5925" customFormat="false" ht="15" hidden="false" customHeight="false" outlineLevel="0" collapsed="false">
      <c r="A5925" s="103"/>
      <c r="B5925" s="104"/>
      <c r="C5925" s="104"/>
      <c r="E5925" s="107" t="str">
        <f aca="false">IF($C5925="","",IFERROR(INDEX(المنيو!$C$2:$C$500,MATCH($C5925,المنيو!$B$2:$B$500,0)),0))</f>
        <v/>
      </c>
      <c r="F5925" s="107" t="str">
        <f aca="false">IF($C5925="","",$D5925*$E5925)</f>
        <v/>
      </c>
      <c r="G5925" s="107" t="str">
        <f aca="false">IF($C5925="","",$D5925*IFERROR(INDEX('تحليل التكلفة والسعر'!$C$2:$C$700,MATCH($C5925,'تحليل التكلفة والسعر'!$B$2:$B$700,0)),0))</f>
        <v/>
      </c>
    </row>
    <row r="5926" customFormat="false" ht="15" hidden="false" customHeight="false" outlineLevel="0" collapsed="false">
      <c r="A5926" s="103"/>
      <c r="B5926" s="104"/>
      <c r="C5926" s="104"/>
      <c r="E5926" s="107" t="str">
        <f aca="false">IF($C5926="","",IFERROR(INDEX(المنيو!$C$2:$C$500,MATCH($C5926,المنيو!$B$2:$B$500,0)),0))</f>
        <v/>
      </c>
      <c r="F5926" s="107" t="str">
        <f aca="false">IF($C5926="","",$D5926*$E5926)</f>
        <v/>
      </c>
      <c r="G5926" s="107" t="str">
        <f aca="false">IF($C5926="","",$D5926*IFERROR(INDEX('تحليل التكلفة والسعر'!$C$2:$C$700,MATCH($C5926,'تحليل التكلفة والسعر'!$B$2:$B$700,0)),0))</f>
        <v/>
      </c>
    </row>
    <row r="5927" customFormat="false" ht="15" hidden="false" customHeight="false" outlineLevel="0" collapsed="false">
      <c r="A5927" s="103"/>
      <c r="B5927" s="104"/>
      <c r="C5927" s="104"/>
      <c r="E5927" s="107" t="str">
        <f aca="false">IF($C5927="","",IFERROR(INDEX(المنيو!$C$2:$C$500,MATCH($C5927,المنيو!$B$2:$B$500,0)),0))</f>
        <v/>
      </c>
      <c r="F5927" s="107" t="str">
        <f aca="false">IF($C5927="","",$D5927*$E5927)</f>
        <v/>
      </c>
      <c r="G5927" s="107" t="str">
        <f aca="false">IF($C5927="","",$D5927*IFERROR(INDEX('تحليل التكلفة والسعر'!$C$2:$C$700,MATCH($C5927,'تحليل التكلفة والسعر'!$B$2:$B$700,0)),0))</f>
        <v/>
      </c>
    </row>
    <row r="5928" customFormat="false" ht="15" hidden="false" customHeight="false" outlineLevel="0" collapsed="false">
      <c r="A5928" s="103"/>
      <c r="B5928" s="104"/>
      <c r="C5928" s="104"/>
      <c r="E5928" s="107" t="str">
        <f aca="false">IF($C5928="","",IFERROR(INDEX(المنيو!$C$2:$C$500,MATCH($C5928,المنيو!$B$2:$B$500,0)),0))</f>
        <v/>
      </c>
      <c r="F5928" s="107" t="str">
        <f aca="false">IF($C5928="","",$D5928*$E5928)</f>
        <v/>
      </c>
      <c r="G5928" s="107" t="str">
        <f aca="false">IF($C5928="","",$D5928*IFERROR(INDEX('تحليل التكلفة والسعر'!$C$2:$C$700,MATCH($C5928,'تحليل التكلفة والسعر'!$B$2:$B$700,0)),0))</f>
        <v/>
      </c>
    </row>
    <row r="5929" customFormat="false" ht="15" hidden="false" customHeight="false" outlineLevel="0" collapsed="false">
      <c r="A5929" s="103"/>
      <c r="B5929" s="104"/>
      <c r="C5929" s="104"/>
      <c r="E5929" s="107" t="str">
        <f aca="false">IF($C5929="","",IFERROR(INDEX(المنيو!$C$2:$C$500,MATCH($C5929,المنيو!$B$2:$B$500,0)),0))</f>
        <v/>
      </c>
      <c r="F5929" s="107" t="str">
        <f aca="false">IF($C5929="","",$D5929*$E5929)</f>
        <v/>
      </c>
      <c r="G5929" s="107" t="str">
        <f aca="false">IF($C5929="","",$D5929*IFERROR(INDEX('تحليل التكلفة والسعر'!$C$2:$C$700,MATCH($C5929,'تحليل التكلفة والسعر'!$B$2:$B$700,0)),0))</f>
        <v/>
      </c>
    </row>
    <row r="5930" customFormat="false" ht="15" hidden="false" customHeight="false" outlineLevel="0" collapsed="false">
      <c r="A5930" s="103"/>
      <c r="B5930" s="104"/>
      <c r="C5930" s="104"/>
      <c r="E5930" s="107" t="str">
        <f aca="false">IF($C5930="","",IFERROR(INDEX(المنيو!$C$2:$C$500,MATCH($C5930,المنيو!$B$2:$B$500,0)),0))</f>
        <v/>
      </c>
      <c r="F5930" s="107" t="str">
        <f aca="false">IF($C5930="","",$D5930*$E5930)</f>
        <v/>
      </c>
      <c r="G5930" s="107" t="str">
        <f aca="false">IF($C5930="","",$D5930*IFERROR(INDEX('تحليل التكلفة والسعر'!$C$2:$C$700,MATCH($C5930,'تحليل التكلفة والسعر'!$B$2:$B$700,0)),0))</f>
        <v/>
      </c>
    </row>
    <row r="5931" customFormat="false" ht="15" hidden="false" customHeight="false" outlineLevel="0" collapsed="false">
      <c r="A5931" s="103"/>
      <c r="B5931" s="104"/>
      <c r="C5931" s="104"/>
      <c r="E5931" s="107" t="str">
        <f aca="false">IF($C5931="","",IFERROR(INDEX(المنيو!$C$2:$C$500,MATCH($C5931,المنيو!$B$2:$B$500,0)),0))</f>
        <v/>
      </c>
      <c r="F5931" s="107" t="str">
        <f aca="false">IF($C5931="","",$D5931*$E5931)</f>
        <v/>
      </c>
      <c r="G5931" s="107" t="str">
        <f aca="false">IF($C5931="","",$D5931*IFERROR(INDEX('تحليل التكلفة والسعر'!$C$2:$C$700,MATCH($C5931,'تحليل التكلفة والسعر'!$B$2:$B$700,0)),0))</f>
        <v/>
      </c>
    </row>
    <row r="5932" customFormat="false" ht="15" hidden="false" customHeight="false" outlineLevel="0" collapsed="false">
      <c r="A5932" s="103"/>
      <c r="B5932" s="104"/>
      <c r="C5932" s="104"/>
      <c r="E5932" s="107" t="str">
        <f aca="false">IF($C5932="","",IFERROR(INDEX(المنيو!$C$2:$C$500,MATCH($C5932,المنيو!$B$2:$B$500,0)),0))</f>
        <v/>
      </c>
      <c r="F5932" s="107" t="str">
        <f aca="false">IF($C5932="","",$D5932*$E5932)</f>
        <v/>
      </c>
      <c r="G5932" s="107" t="str">
        <f aca="false">IF($C5932="","",$D5932*IFERROR(INDEX('تحليل التكلفة والسعر'!$C$2:$C$700,MATCH($C5932,'تحليل التكلفة والسعر'!$B$2:$B$700,0)),0))</f>
        <v/>
      </c>
    </row>
    <row r="5933" customFormat="false" ht="15" hidden="false" customHeight="false" outlineLevel="0" collapsed="false">
      <c r="A5933" s="103"/>
      <c r="B5933" s="104"/>
      <c r="C5933" s="104"/>
      <c r="E5933" s="107" t="str">
        <f aca="false">IF($C5933="","",IFERROR(INDEX(المنيو!$C$2:$C$500,MATCH($C5933,المنيو!$B$2:$B$500,0)),0))</f>
        <v/>
      </c>
      <c r="F5933" s="107" t="str">
        <f aca="false">IF($C5933="","",$D5933*$E5933)</f>
        <v/>
      </c>
      <c r="G5933" s="107" t="str">
        <f aca="false">IF($C5933="","",$D5933*IFERROR(INDEX('تحليل التكلفة والسعر'!$C$2:$C$700,MATCH($C5933,'تحليل التكلفة والسعر'!$B$2:$B$700,0)),0))</f>
        <v/>
      </c>
    </row>
    <row r="5934" customFormat="false" ht="15" hidden="false" customHeight="false" outlineLevel="0" collapsed="false">
      <c r="A5934" s="103"/>
      <c r="B5934" s="104"/>
      <c r="C5934" s="104"/>
      <c r="E5934" s="107" t="str">
        <f aca="false">IF($C5934="","",IFERROR(INDEX(المنيو!$C$2:$C$500,MATCH($C5934,المنيو!$B$2:$B$500,0)),0))</f>
        <v/>
      </c>
      <c r="F5934" s="107" t="str">
        <f aca="false">IF($C5934="","",$D5934*$E5934)</f>
        <v/>
      </c>
      <c r="G5934" s="107" t="str">
        <f aca="false">IF($C5934="","",$D5934*IFERROR(INDEX('تحليل التكلفة والسعر'!$C$2:$C$700,MATCH($C5934,'تحليل التكلفة والسعر'!$B$2:$B$700,0)),0))</f>
        <v/>
      </c>
    </row>
    <row r="5935" customFormat="false" ht="15" hidden="false" customHeight="false" outlineLevel="0" collapsed="false">
      <c r="A5935" s="103"/>
      <c r="B5935" s="104"/>
      <c r="C5935" s="104"/>
      <c r="E5935" s="107" t="str">
        <f aca="false">IF($C5935="","",IFERROR(INDEX(المنيو!$C$2:$C$500,MATCH($C5935,المنيو!$B$2:$B$500,0)),0))</f>
        <v/>
      </c>
      <c r="F5935" s="107" t="str">
        <f aca="false">IF($C5935="","",$D5935*$E5935)</f>
        <v/>
      </c>
      <c r="G5935" s="107" t="str">
        <f aca="false">IF($C5935="","",$D5935*IFERROR(INDEX('تحليل التكلفة والسعر'!$C$2:$C$700,MATCH($C5935,'تحليل التكلفة والسعر'!$B$2:$B$700,0)),0))</f>
        <v/>
      </c>
    </row>
    <row r="5936" customFormat="false" ht="15" hidden="false" customHeight="false" outlineLevel="0" collapsed="false">
      <c r="A5936" s="103"/>
      <c r="B5936" s="104"/>
      <c r="C5936" s="104"/>
      <c r="E5936" s="107" t="str">
        <f aca="false">IF($C5936="","",IFERROR(INDEX(المنيو!$C$2:$C$500,MATCH($C5936,المنيو!$B$2:$B$500,0)),0))</f>
        <v/>
      </c>
      <c r="F5936" s="107" t="str">
        <f aca="false">IF($C5936="","",$D5936*$E5936)</f>
        <v/>
      </c>
      <c r="G5936" s="107" t="str">
        <f aca="false">IF($C5936="","",$D5936*IFERROR(INDEX('تحليل التكلفة والسعر'!$C$2:$C$700,MATCH($C5936,'تحليل التكلفة والسعر'!$B$2:$B$700,0)),0))</f>
        <v/>
      </c>
    </row>
    <row r="5937" customFormat="false" ht="15" hidden="false" customHeight="false" outlineLevel="0" collapsed="false">
      <c r="A5937" s="103"/>
      <c r="B5937" s="104"/>
      <c r="C5937" s="104"/>
      <c r="E5937" s="107" t="str">
        <f aca="false">IF($C5937="","",IFERROR(INDEX(المنيو!$C$2:$C$500,MATCH($C5937,المنيو!$B$2:$B$500,0)),0))</f>
        <v/>
      </c>
      <c r="F5937" s="107" t="str">
        <f aca="false">IF($C5937="","",$D5937*$E5937)</f>
        <v/>
      </c>
      <c r="G5937" s="107" t="str">
        <f aca="false">IF($C5937="","",$D5937*IFERROR(INDEX('تحليل التكلفة والسعر'!$C$2:$C$700,MATCH($C5937,'تحليل التكلفة والسعر'!$B$2:$B$700,0)),0))</f>
        <v/>
      </c>
    </row>
    <row r="5938" customFormat="false" ht="15" hidden="false" customHeight="false" outlineLevel="0" collapsed="false">
      <c r="A5938" s="103"/>
      <c r="B5938" s="104"/>
      <c r="C5938" s="104"/>
      <c r="E5938" s="107" t="str">
        <f aca="false">IF($C5938="","",IFERROR(INDEX(المنيو!$C$2:$C$500,MATCH($C5938,المنيو!$B$2:$B$500,0)),0))</f>
        <v/>
      </c>
      <c r="F5938" s="107" t="str">
        <f aca="false">IF($C5938="","",$D5938*$E5938)</f>
        <v/>
      </c>
      <c r="G5938" s="107" t="str">
        <f aca="false">IF($C5938="","",$D5938*IFERROR(INDEX('تحليل التكلفة والسعر'!$C$2:$C$700,MATCH($C5938,'تحليل التكلفة والسعر'!$B$2:$B$700,0)),0))</f>
        <v/>
      </c>
    </row>
    <row r="5939" customFormat="false" ht="15" hidden="false" customHeight="false" outlineLevel="0" collapsed="false">
      <c r="A5939" s="103"/>
      <c r="B5939" s="104"/>
      <c r="C5939" s="104"/>
      <c r="E5939" s="107" t="str">
        <f aca="false">IF($C5939="","",IFERROR(INDEX(المنيو!$C$2:$C$500,MATCH($C5939,المنيو!$B$2:$B$500,0)),0))</f>
        <v/>
      </c>
      <c r="F5939" s="107" t="str">
        <f aca="false">IF($C5939="","",$D5939*$E5939)</f>
        <v/>
      </c>
      <c r="G5939" s="107" t="str">
        <f aca="false">IF($C5939="","",$D5939*IFERROR(INDEX('تحليل التكلفة والسعر'!$C$2:$C$700,MATCH($C5939,'تحليل التكلفة والسعر'!$B$2:$B$700,0)),0))</f>
        <v/>
      </c>
    </row>
    <row r="5940" customFormat="false" ht="15" hidden="false" customHeight="false" outlineLevel="0" collapsed="false">
      <c r="A5940" s="103"/>
      <c r="B5940" s="104"/>
      <c r="C5940" s="104"/>
      <c r="E5940" s="107" t="str">
        <f aca="false">IF($C5940="","",IFERROR(INDEX(المنيو!$C$2:$C$500,MATCH($C5940,المنيو!$B$2:$B$500,0)),0))</f>
        <v/>
      </c>
      <c r="F5940" s="107" t="str">
        <f aca="false">IF($C5940="","",$D5940*$E5940)</f>
        <v/>
      </c>
      <c r="G5940" s="107" t="str">
        <f aca="false">IF($C5940="","",$D5940*IFERROR(INDEX('تحليل التكلفة والسعر'!$C$2:$C$700,MATCH($C5940,'تحليل التكلفة والسعر'!$B$2:$B$700,0)),0))</f>
        <v/>
      </c>
    </row>
    <row r="5941" customFormat="false" ht="15" hidden="false" customHeight="false" outlineLevel="0" collapsed="false">
      <c r="A5941" s="103"/>
      <c r="B5941" s="104"/>
      <c r="C5941" s="104"/>
      <c r="E5941" s="107" t="str">
        <f aca="false">IF($C5941="","",IFERROR(INDEX(المنيو!$C$2:$C$500,MATCH($C5941,المنيو!$B$2:$B$500,0)),0))</f>
        <v/>
      </c>
      <c r="F5941" s="107" t="str">
        <f aca="false">IF($C5941="","",$D5941*$E5941)</f>
        <v/>
      </c>
      <c r="G5941" s="107" t="str">
        <f aca="false">IF($C5941="","",$D5941*IFERROR(INDEX('تحليل التكلفة والسعر'!$C$2:$C$700,MATCH($C5941,'تحليل التكلفة والسعر'!$B$2:$B$700,0)),0))</f>
        <v/>
      </c>
    </row>
    <row r="5942" customFormat="false" ht="15" hidden="false" customHeight="false" outlineLevel="0" collapsed="false">
      <c r="A5942" s="103"/>
      <c r="B5942" s="104"/>
      <c r="C5942" s="104"/>
      <c r="E5942" s="107" t="str">
        <f aca="false">IF($C5942="","",IFERROR(INDEX(المنيو!$C$2:$C$500,MATCH($C5942,المنيو!$B$2:$B$500,0)),0))</f>
        <v/>
      </c>
      <c r="F5942" s="107" t="str">
        <f aca="false">IF($C5942="","",$D5942*$E5942)</f>
        <v/>
      </c>
      <c r="G5942" s="107" t="str">
        <f aca="false">IF($C5942="","",$D5942*IFERROR(INDEX('تحليل التكلفة والسعر'!$C$2:$C$700,MATCH($C5942,'تحليل التكلفة والسعر'!$B$2:$B$700,0)),0))</f>
        <v/>
      </c>
    </row>
    <row r="5943" customFormat="false" ht="15" hidden="false" customHeight="false" outlineLevel="0" collapsed="false">
      <c r="A5943" s="103"/>
      <c r="B5943" s="104"/>
      <c r="C5943" s="104"/>
      <c r="E5943" s="107" t="str">
        <f aca="false">IF($C5943="","",IFERROR(INDEX(المنيو!$C$2:$C$500,MATCH($C5943,المنيو!$B$2:$B$500,0)),0))</f>
        <v/>
      </c>
      <c r="F5943" s="107" t="str">
        <f aca="false">IF($C5943="","",$D5943*$E5943)</f>
        <v/>
      </c>
      <c r="G5943" s="107" t="str">
        <f aca="false">IF($C5943="","",$D5943*IFERROR(INDEX('تحليل التكلفة والسعر'!$C$2:$C$700,MATCH($C5943,'تحليل التكلفة والسعر'!$B$2:$B$700,0)),0))</f>
        <v/>
      </c>
    </row>
    <row r="5944" customFormat="false" ht="15" hidden="false" customHeight="false" outlineLevel="0" collapsed="false">
      <c r="A5944" s="103"/>
      <c r="B5944" s="104"/>
      <c r="C5944" s="104"/>
      <c r="E5944" s="107" t="str">
        <f aca="false">IF($C5944="","",IFERROR(INDEX(المنيو!$C$2:$C$500,MATCH($C5944,المنيو!$B$2:$B$500,0)),0))</f>
        <v/>
      </c>
      <c r="F5944" s="107" t="str">
        <f aca="false">IF($C5944="","",$D5944*$E5944)</f>
        <v/>
      </c>
      <c r="G5944" s="107" t="str">
        <f aca="false">IF($C5944="","",$D5944*IFERROR(INDEX('تحليل التكلفة والسعر'!$C$2:$C$700,MATCH($C5944,'تحليل التكلفة والسعر'!$B$2:$B$700,0)),0))</f>
        <v/>
      </c>
    </row>
    <row r="5945" customFormat="false" ht="15" hidden="false" customHeight="false" outlineLevel="0" collapsed="false">
      <c r="A5945" s="103"/>
      <c r="B5945" s="104"/>
      <c r="C5945" s="104"/>
      <c r="E5945" s="107" t="str">
        <f aca="false">IF($C5945="","",IFERROR(INDEX(المنيو!$C$2:$C$500,MATCH($C5945,المنيو!$B$2:$B$500,0)),0))</f>
        <v/>
      </c>
      <c r="F5945" s="107" t="str">
        <f aca="false">IF($C5945="","",$D5945*$E5945)</f>
        <v/>
      </c>
      <c r="G5945" s="107" t="str">
        <f aca="false">IF($C5945="","",$D5945*IFERROR(INDEX('تحليل التكلفة والسعر'!$C$2:$C$700,MATCH($C5945,'تحليل التكلفة والسعر'!$B$2:$B$700,0)),0))</f>
        <v/>
      </c>
    </row>
    <row r="5946" customFormat="false" ht="15" hidden="false" customHeight="false" outlineLevel="0" collapsed="false">
      <c r="A5946" s="103"/>
      <c r="B5946" s="104"/>
      <c r="C5946" s="104"/>
      <c r="E5946" s="107" t="str">
        <f aca="false">IF($C5946="","",IFERROR(INDEX(المنيو!$C$2:$C$500,MATCH($C5946,المنيو!$B$2:$B$500,0)),0))</f>
        <v/>
      </c>
      <c r="F5946" s="107" t="str">
        <f aca="false">IF($C5946="","",$D5946*$E5946)</f>
        <v/>
      </c>
      <c r="G5946" s="107" t="str">
        <f aca="false">IF($C5946="","",$D5946*IFERROR(INDEX('تحليل التكلفة والسعر'!$C$2:$C$700,MATCH($C5946,'تحليل التكلفة والسعر'!$B$2:$B$700,0)),0))</f>
        <v/>
      </c>
    </row>
    <row r="5947" customFormat="false" ht="15" hidden="false" customHeight="false" outlineLevel="0" collapsed="false">
      <c r="A5947" s="103"/>
      <c r="B5947" s="104"/>
      <c r="C5947" s="104"/>
      <c r="E5947" s="107" t="str">
        <f aca="false">IF($C5947="","",IFERROR(INDEX(المنيو!$C$2:$C$500,MATCH($C5947,المنيو!$B$2:$B$500,0)),0))</f>
        <v/>
      </c>
      <c r="F5947" s="107" t="str">
        <f aca="false">IF($C5947="","",$D5947*$E5947)</f>
        <v/>
      </c>
      <c r="G5947" s="107" t="str">
        <f aca="false">IF($C5947="","",$D5947*IFERROR(INDEX('تحليل التكلفة والسعر'!$C$2:$C$700,MATCH($C5947,'تحليل التكلفة والسعر'!$B$2:$B$700,0)),0))</f>
        <v/>
      </c>
    </row>
    <row r="5948" customFormat="false" ht="15" hidden="false" customHeight="false" outlineLevel="0" collapsed="false">
      <c r="A5948" s="103"/>
      <c r="B5948" s="104"/>
      <c r="C5948" s="104"/>
      <c r="E5948" s="107" t="str">
        <f aca="false">IF($C5948="","",IFERROR(INDEX(المنيو!$C$2:$C$500,MATCH($C5948,المنيو!$B$2:$B$500,0)),0))</f>
        <v/>
      </c>
      <c r="F5948" s="107" t="str">
        <f aca="false">IF($C5948="","",$D5948*$E5948)</f>
        <v/>
      </c>
      <c r="G5948" s="107" t="str">
        <f aca="false">IF($C5948="","",$D5948*IFERROR(INDEX('تحليل التكلفة والسعر'!$C$2:$C$700,MATCH($C5948,'تحليل التكلفة والسعر'!$B$2:$B$700,0)),0))</f>
        <v/>
      </c>
    </row>
    <row r="5949" customFormat="false" ht="15" hidden="false" customHeight="false" outlineLevel="0" collapsed="false">
      <c r="A5949" s="103"/>
      <c r="B5949" s="104"/>
      <c r="C5949" s="104"/>
      <c r="E5949" s="107" t="str">
        <f aca="false">IF($C5949="","",IFERROR(INDEX(المنيو!$C$2:$C$500,MATCH($C5949,المنيو!$B$2:$B$500,0)),0))</f>
        <v/>
      </c>
      <c r="F5949" s="107" t="str">
        <f aca="false">IF($C5949="","",$D5949*$E5949)</f>
        <v/>
      </c>
      <c r="G5949" s="107" t="str">
        <f aca="false">IF($C5949="","",$D5949*IFERROR(INDEX('تحليل التكلفة والسعر'!$C$2:$C$700,MATCH($C5949,'تحليل التكلفة والسعر'!$B$2:$B$700,0)),0))</f>
        <v/>
      </c>
    </row>
    <row r="5950" customFormat="false" ht="15" hidden="false" customHeight="false" outlineLevel="0" collapsed="false">
      <c r="A5950" s="103"/>
      <c r="B5950" s="104"/>
      <c r="C5950" s="104"/>
      <c r="E5950" s="107" t="str">
        <f aca="false">IF($C5950="","",IFERROR(INDEX(المنيو!$C$2:$C$500,MATCH($C5950,المنيو!$B$2:$B$500,0)),0))</f>
        <v/>
      </c>
      <c r="F5950" s="107" t="str">
        <f aca="false">IF($C5950="","",$D5950*$E5950)</f>
        <v/>
      </c>
      <c r="G5950" s="107" t="str">
        <f aca="false">IF($C5950="","",$D5950*IFERROR(INDEX('تحليل التكلفة والسعر'!$C$2:$C$700,MATCH($C5950,'تحليل التكلفة والسعر'!$B$2:$B$700,0)),0))</f>
        <v/>
      </c>
    </row>
    <row r="5951" customFormat="false" ht="15" hidden="false" customHeight="false" outlineLevel="0" collapsed="false">
      <c r="A5951" s="103"/>
      <c r="B5951" s="104"/>
      <c r="C5951" s="104"/>
      <c r="E5951" s="107" t="str">
        <f aca="false">IF($C5951="","",IFERROR(INDEX(المنيو!$C$2:$C$500,MATCH($C5951,المنيو!$B$2:$B$500,0)),0))</f>
        <v/>
      </c>
      <c r="F5951" s="107" t="str">
        <f aca="false">IF($C5951="","",$D5951*$E5951)</f>
        <v/>
      </c>
      <c r="G5951" s="107" t="str">
        <f aca="false">IF($C5951="","",$D5951*IFERROR(INDEX('تحليل التكلفة والسعر'!$C$2:$C$700,MATCH($C5951,'تحليل التكلفة والسعر'!$B$2:$B$700,0)),0))</f>
        <v/>
      </c>
    </row>
    <row r="5952" customFormat="false" ht="15" hidden="false" customHeight="false" outlineLevel="0" collapsed="false">
      <c r="A5952" s="103"/>
      <c r="B5952" s="104"/>
      <c r="C5952" s="104"/>
      <c r="E5952" s="107" t="str">
        <f aca="false">IF($C5952="","",IFERROR(INDEX(المنيو!$C$2:$C$500,MATCH($C5952,المنيو!$B$2:$B$500,0)),0))</f>
        <v/>
      </c>
      <c r="F5952" s="107" t="str">
        <f aca="false">IF($C5952="","",$D5952*$E5952)</f>
        <v/>
      </c>
      <c r="G5952" s="107" t="str">
        <f aca="false">IF($C5952="","",$D5952*IFERROR(INDEX('تحليل التكلفة والسعر'!$C$2:$C$700,MATCH($C5952,'تحليل التكلفة والسعر'!$B$2:$B$700,0)),0))</f>
        <v/>
      </c>
    </row>
    <row r="5953" customFormat="false" ht="15" hidden="false" customHeight="false" outlineLevel="0" collapsed="false">
      <c r="A5953" s="103"/>
      <c r="B5953" s="104"/>
      <c r="C5953" s="104"/>
      <c r="E5953" s="107" t="str">
        <f aca="false">IF($C5953="","",IFERROR(INDEX(المنيو!$C$2:$C$500,MATCH($C5953,المنيو!$B$2:$B$500,0)),0))</f>
        <v/>
      </c>
      <c r="F5953" s="107" t="str">
        <f aca="false">IF($C5953="","",$D5953*$E5953)</f>
        <v/>
      </c>
      <c r="G5953" s="107" t="str">
        <f aca="false">IF($C5953="","",$D5953*IFERROR(INDEX('تحليل التكلفة والسعر'!$C$2:$C$700,MATCH($C5953,'تحليل التكلفة والسعر'!$B$2:$B$700,0)),0))</f>
        <v/>
      </c>
    </row>
    <row r="5954" customFormat="false" ht="15" hidden="false" customHeight="false" outlineLevel="0" collapsed="false">
      <c r="A5954" s="103"/>
      <c r="B5954" s="104"/>
      <c r="C5954" s="104"/>
      <c r="E5954" s="107" t="str">
        <f aca="false">IF($C5954="","",IFERROR(INDEX(المنيو!$C$2:$C$500,MATCH($C5954,المنيو!$B$2:$B$500,0)),0))</f>
        <v/>
      </c>
      <c r="F5954" s="107" t="str">
        <f aca="false">IF($C5954="","",$D5954*$E5954)</f>
        <v/>
      </c>
      <c r="G5954" s="107" t="str">
        <f aca="false">IF($C5954="","",$D5954*IFERROR(INDEX('تحليل التكلفة والسعر'!$C$2:$C$700,MATCH($C5954,'تحليل التكلفة والسعر'!$B$2:$B$700,0)),0))</f>
        <v/>
      </c>
    </row>
    <row r="5955" customFormat="false" ht="15" hidden="false" customHeight="false" outlineLevel="0" collapsed="false">
      <c r="A5955" s="103"/>
      <c r="B5955" s="104"/>
      <c r="C5955" s="104"/>
      <c r="E5955" s="107" t="str">
        <f aca="false">IF($C5955="","",IFERROR(INDEX(المنيو!$C$2:$C$500,MATCH($C5955,المنيو!$B$2:$B$500,0)),0))</f>
        <v/>
      </c>
      <c r="F5955" s="107" t="str">
        <f aca="false">IF($C5955="","",$D5955*$E5955)</f>
        <v/>
      </c>
      <c r="G5955" s="107" t="str">
        <f aca="false">IF($C5955="","",$D5955*IFERROR(INDEX('تحليل التكلفة والسعر'!$C$2:$C$700,MATCH($C5955,'تحليل التكلفة والسعر'!$B$2:$B$700,0)),0))</f>
        <v/>
      </c>
    </row>
    <row r="5956" customFormat="false" ht="15" hidden="false" customHeight="false" outlineLevel="0" collapsed="false">
      <c r="A5956" s="103"/>
      <c r="B5956" s="104"/>
      <c r="C5956" s="104"/>
      <c r="E5956" s="107" t="str">
        <f aca="false">IF($C5956="","",IFERROR(INDEX(المنيو!$C$2:$C$500,MATCH($C5956,المنيو!$B$2:$B$500,0)),0))</f>
        <v/>
      </c>
      <c r="F5956" s="107" t="str">
        <f aca="false">IF($C5956="","",$D5956*$E5956)</f>
        <v/>
      </c>
      <c r="G5956" s="107" t="str">
        <f aca="false">IF($C5956="","",$D5956*IFERROR(INDEX('تحليل التكلفة والسعر'!$C$2:$C$700,MATCH($C5956,'تحليل التكلفة والسعر'!$B$2:$B$700,0)),0))</f>
        <v/>
      </c>
    </row>
    <row r="5957" customFormat="false" ht="15" hidden="false" customHeight="false" outlineLevel="0" collapsed="false">
      <c r="A5957" s="103"/>
      <c r="B5957" s="104"/>
      <c r="C5957" s="104"/>
      <c r="E5957" s="107" t="str">
        <f aca="false">IF($C5957="","",IFERROR(INDEX(المنيو!$C$2:$C$500,MATCH($C5957,المنيو!$B$2:$B$500,0)),0))</f>
        <v/>
      </c>
      <c r="F5957" s="107" t="str">
        <f aca="false">IF($C5957="","",$D5957*$E5957)</f>
        <v/>
      </c>
      <c r="G5957" s="107" t="str">
        <f aca="false">IF($C5957="","",$D5957*IFERROR(INDEX('تحليل التكلفة والسعر'!$C$2:$C$700,MATCH($C5957,'تحليل التكلفة والسعر'!$B$2:$B$700,0)),0))</f>
        <v/>
      </c>
    </row>
    <row r="5958" customFormat="false" ht="15" hidden="false" customHeight="false" outlineLevel="0" collapsed="false">
      <c r="A5958" s="103"/>
      <c r="B5958" s="104"/>
      <c r="C5958" s="104"/>
      <c r="E5958" s="107" t="str">
        <f aca="false">IF($C5958="","",IFERROR(INDEX(المنيو!$C$2:$C$500,MATCH($C5958,المنيو!$B$2:$B$500,0)),0))</f>
        <v/>
      </c>
      <c r="F5958" s="107" t="str">
        <f aca="false">IF($C5958="","",$D5958*$E5958)</f>
        <v/>
      </c>
      <c r="G5958" s="107" t="str">
        <f aca="false">IF($C5958="","",$D5958*IFERROR(INDEX('تحليل التكلفة والسعر'!$C$2:$C$700,MATCH($C5958,'تحليل التكلفة والسعر'!$B$2:$B$700,0)),0))</f>
        <v/>
      </c>
    </row>
    <row r="5959" customFormat="false" ht="15" hidden="false" customHeight="false" outlineLevel="0" collapsed="false">
      <c r="A5959" s="103"/>
      <c r="B5959" s="104"/>
      <c r="C5959" s="104"/>
      <c r="E5959" s="107" t="str">
        <f aca="false">IF($C5959="","",IFERROR(INDEX(المنيو!$C$2:$C$500,MATCH($C5959,المنيو!$B$2:$B$500,0)),0))</f>
        <v/>
      </c>
      <c r="F5959" s="107" t="str">
        <f aca="false">IF($C5959="","",$D5959*$E5959)</f>
        <v/>
      </c>
      <c r="G5959" s="107" t="str">
        <f aca="false">IF($C5959="","",$D5959*IFERROR(INDEX('تحليل التكلفة والسعر'!$C$2:$C$700,MATCH($C5959,'تحليل التكلفة والسعر'!$B$2:$B$700,0)),0))</f>
        <v/>
      </c>
    </row>
    <row r="5960" customFormat="false" ht="15" hidden="false" customHeight="false" outlineLevel="0" collapsed="false">
      <c r="A5960" s="103"/>
      <c r="B5960" s="104"/>
      <c r="C5960" s="104"/>
      <c r="E5960" s="107" t="str">
        <f aca="false">IF($C5960="","",IFERROR(INDEX(المنيو!$C$2:$C$500,MATCH($C5960,المنيو!$B$2:$B$500,0)),0))</f>
        <v/>
      </c>
      <c r="F5960" s="107" t="str">
        <f aca="false">IF($C5960="","",$D5960*$E5960)</f>
        <v/>
      </c>
      <c r="G5960" s="107" t="str">
        <f aca="false">IF($C5960="","",$D5960*IFERROR(INDEX('تحليل التكلفة والسعر'!$C$2:$C$700,MATCH($C5960,'تحليل التكلفة والسعر'!$B$2:$B$700,0)),0))</f>
        <v/>
      </c>
    </row>
    <row r="5961" customFormat="false" ht="15" hidden="false" customHeight="false" outlineLevel="0" collapsed="false">
      <c r="A5961" s="103"/>
      <c r="B5961" s="104"/>
      <c r="C5961" s="104"/>
      <c r="E5961" s="107" t="str">
        <f aca="false">IF($C5961="","",IFERROR(INDEX(المنيو!$C$2:$C$500,MATCH($C5961,المنيو!$B$2:$B$500,0)),0))</f>
        <v/>
      </c>
      <c r="F5961" s="107" t="str">
        <f aca="false">IF($C5961="","",$D5961*$E5961)</f>
        <v/>
      </c>
      <c r="G5961" s="107" t="str">
        <f aca="false">IF($C5961="","",$D5961*IFERROR(INDEX('تحليل التكلفة والسعر'!$C$2:$C$700,MATCH($C5961,'تحليل التكلفة والسعر'!$B$2:$B$700,0)),0))</f>
        <v/>
      </c>
    </row>
    <row r="5962" customFormat="false" ht="15" hidden="false" customHeight="false" outlineLevel="0" collapsed="false">
      <c r="A5962" s="103"/>
      <c r="B5962" s="104"/>
      <c r="C5962" s="104"/>
      <c r="E5962" s="107" t="str">
        <f aca="false">IF($C5962="","",IFERROR(INDEX(المنيو!$C$2:$C$500,MATCH($C5962,المنيو!$B$2:$B$500,0)),0))</f>
        <v/>
      </c>
      <c r="F5962" s="107" t="str">
        <f aca="false">IF($C5962="","",$D5962*$E5962)</f>
        <v/>
      </c>
      <c r="G5962" s="107" t="str">
        <f aca="false">IF($C5962="","",$D5962*IFERROR(INDEX('تحليل التكلفة والسعر'!$C$2:$C$700,MATCH($C5962,'تحليل التكلفة والسعر'!$B$2:$B$700,0)),0))</f>
        <v/>
      </c>
    </row>
    <row r="5963" customFormat="false" ht="15" hidden="false" customHeight="false" outlineLevel="0" collapsed="false">
      <c r="A5963" s="103"/>
      <c r="B5963" s="104"/>
      <c r="C5963" s="104"/>
      <c r="E5963" s="107" t="str">
        <f aca="false">IF($C5963="","",IFERROR(INDEX(المنيو!$C$2:$C$500,MATCH($C5963,المنيو!$B$2:$B$500,0)),0))</f>
        <v/>
      </c>
      <c r="F5963" s="107" t="str">
        <f aca="false">IF($C5963="","",$D5963*$E5963)</f>
        <v/>
      </c>
      <c r="G5963" s="107" t="str">
        <f aca="false">IF($C5963="","",$D5963*IFERROR(INDEX('تحليل التكلفة والسعر'!$C$2:$C$700,MATCH($C5963,'تحليل التكلفة والسعر'!$B$2:$B$700,0)),0))</f>
        <v/>
      </c>
    </row>
    <row r="5964" customFormat="false" ht="15" hidden="false" customHeight="false" outlineLevel="0" collapsed="false">
      <c r="A5964" s="103"/>
      <c r="B5964" s="104"/>
      <c r="C5964" s="104"/>
      <c r="E5964" s="107" t="str">
        <f aca="false">IF($C5964="","",IFERROR(INDEX(المنيو!$C$2:$C$500,MATCH($C5964,المنيو!$B$2:$B$500,0)),0))</f>
        <v/>
      </c>
      <c r="F5964" s="107" t="str">
        <f aca="false">IF($C5964="","",$D5964*$E5964)</f>
        <v/>
      </c>
      <c r="G5964" s="107" t="str">
        <f aca="false">IF($C5964="","",$D5964*IFERROR(INDEX('تحليل التكلفة والسعر'!$C$2:$C$700,MATCH($C5964,'تحليل التكلفة والسعر'!$B$2:$B$700,0)),0))</f>
        <v/>
      </c>
    </row>
    <row r="5965" customFormat="false" ht="15" hidden="false" customHeight="false" outlineLevel="0" collapsed="false">
      <c r="A5965" s="103"/>
      <c r="B5965" s="104"/>
      <c r="C5965" s="104"/>
      <c r="E5965" s="107" t="str">
        <f aca="false">IF($C5965="","",IFERROR(INDEX(المنيو!$C$2:$C$500,MATCH($C5965,المنيو!$B$2:$B$500,0)),0))</f>
        <v/>
      </c>
      <c r="F5965" s="107" t="str">
        <f aca="false">IF($C5965="","",$D5965*$E5965)</f>
        <v/>
      </c>
      <c r="G5965" s="107" t="str">
        <f aca="false">IF($C5965="","",$D5965*IFERROR(INDEX('تحليل التكلفة والسعر'!$C$2:$C$700,MATCH($C5965,'تحليل التكلفة والسعر'!$B$2:$B$700,0)),0))</f>
        <v/>
      </c>
    </row>
    <row r="5966" customFormat="false" ht="15" hidden="false" customHeight="false" outlineLevel="0" collapsed="false">
      <c r="A5966" s="103"/>
      <c r="B5966" s="104"/>
      <c r="C5966" s="104"/>
      <c r="E5966" s="107" t="str">
        <f aca="false">IF($C5966="","",IFERROR(INDEX(المنيو!$C$2:$C$500,MATCH($C5966,المنيو!$B$2:$B$500,0)),0))</f>
        <v/>
      </c>
      <c r="F5966" s="107" t="str">
        <f aca="false">IF($C5966="","",$D5966*$E5966)</f>
        <v/>
      </c>
      <c r="G5966" s="107" t="str">
        <f aca="false">IF($C5966="","",$D5966*IFERROR(INDEX('تحليل التكلفة والسعر'!$C$2:$C$700,MATCH($C5966,'تحليل التكلفة والسعر'!$B$2:$B$700,0)),0))</f>
        <v/>
      </c>
    </row>
    <row r="5967" customFormat="false" ht="15" hidden="false" customHeight="false" outlineLevel="0" collapsed="false">
      <c r="A5967" s="103"/>
      <c r="B5967" s="104"/>
      <c r="C5967" s="104"/>
      <c r="E5967" s="107" t="str">
        <f aca="false">IF($C5967="","",IFERROR(INDEX(المنيو!$C$2:$C$500,MATCH($C5967,المنيو!$B$2:$B$500,0)),0))</f>
        <v/>
      </c>
      <c r="F5967" s="107" t="str">
        <f aca="false">IF($C5967="","",$D5967*$E5967)</f>
        <v/>
      </c>
      <c r="G5967" s="107" t="str">
        <f aca="false">IF($C5967="","",$D5967*IFERROR(INDEX('تحليل التكلفة والسعر'!$C$2:$C$700,MATCH($C5967,'تحليل التكلفة والسعر'!$B$2:$B$700,0)),0))</f>
        <v/>
      </c>
    </row>
    <row r="5968" customFormat="false" ht="15" hidden="false" customHeight="false" outlineLevel="0" collapsed="false">
      <c r="A5968" s="103"/>
      <c r="B5968" s="104"/>
      <c r="C5968" s="104"/>
      <c r="E5968" s="107" t="str">
        <f aca="false">IF($C5968="","",IFERROR(INDEX(المنيو!$C$2:$C$500,MATCH($C5968,المنيو!$B$2:$B$500,0)),0))</f>
        <v/>
      </c>
      <c r="F5968" s="107" t="str">
        <f aca="false">IF($C5968="","",$D5968*$E5968)</f>
        <v/>
      </c>
      <c r="G5968" s="107" t="str">
        <f aca="false">IF($C5968="","",$D5968*IFERROR(INDEX('تحليل التكلفة والسعر'!$C$2:$C$700,MATCH($C5968,'تحليل التكلفة والسعر'!$B$2:$B$700,0)),0))</f>
        <v/>
      </c>
    </row>
    <row r="5969" customFormat="false" ht="15" hidden="false" customHeight="false" outlineLevel="0" collapsed="false">
      <c r="A5969" s="103"/>
      <c r="B5969" s="104"/>
      <c r="C5969" s="104"/>
      <c r="E5969" s="107" t="str">
        <f aca="false">IF($C5969="","",IFERROR(INDEX(المنيو!$C$2:$C$500,MATCH($C5969,المنيو!$B$2:$B$500,0)),0))</f>
        <v/>
      </c>
      <c r="F5969" s="107" t="str">
        <f aca="false">IF($C5969="","",$D5969*$E5969)</f>
        <v/>
      </c>
      <c r="G5969" s="107" t="str">
        <f aca="false">IF($C5969="","",$D5969*IFERROR(INDEX('تحليل التكلفة والسعر'!$C$2:$C$700,MATCH($C5969,'تحليل التكلفة والسعر'!$B$2:$B$700,0)),0))</f>
        <v/>
      </c>
    </row>
    <row r="5970" customFormat="false" ht="15" hidden="false" customHeight="false" outlineLevel="0" collapsed="false">
      <c r="A5970" s="103"/>
      <c r="B5970" s="104"/>
      <c r="C5970" s="104"/>
      <c r="E5970" s="107" t="str">
        <f aca="false">IF($C5970="","",IFERROR(INDEX(المنيو!$C$2:$C$500,MATCH($C5970,المنيو!$B$2:$B$500,0)),0))</f>
        <v/>
      </c>
      <c r="F5970" s="107" t="str">
        <f aca="false">IF($C5970="","",$D5970*$E5970)</f>
        <v/>
      </c>
      <c r="G5970" s="107" t="str">
        <f aca="false">IF($C5970="","",$D5970*IFERROR(INDEX('تحليل التكلفة والسعر'!$C$2:$C$700,MATCH($C5970,'تحليل التكلفة والسعر'!$B$2:$B$700,0)),0))</f>
        <v/>
      </c>
    </row>
    <row r="5971" customFormat="false" ht="15" hidden="false" customHeight="false" outlineLevel="0" collapsed="false">
      <c r="A5971" s="103"/>
      <c r="B5971" s="104"/>
      <c r="C5971" s="104"/>
      <c r="E5971" s="107" t="str">
        <f aca="false">IF($C5971="","",IFERROR(INDEX(المنيو!$C$2:$C$500,MATCH($C5971,المنيو!$B$2:$B$500,0)),0))</f>
        <v/>
      </c>
      <c r="F5971" s="107" t="str">
        <f aca="false">IF($C5971="","",$D5971*$E5971)</f>
        <v/>
      </c>
      <c r="G5971" s="107" t="str">
        <f aca="false">IF($C5971="","",$D5971*IFERROR(INDEX('تحليل التكلفة والسعر'!$C$2:$C$700,MATCH($C5971,'تحليل التكلفة والسعر'!$B$2:$B$700,0)),0))</f>
        <v/>
      </c>
    </row>
    <row r="5972" customFormat="false" ht="15" hidden="false" customHeight="false" outlineLevel="0" collapsed="false">
      <c r="A5972" s="103"/>
      <c r="B5972" s="104"/>
      <c r="C5972" s="104"/>
      <c r="E5972" s="107" t="str">
        <f aca="false">IF($C5972="","",IFERROR(INDEX(المنيو!$C$2:$C$500,MATCH($C5972,المنيو!$B$2:$B$500,0)),0))</f>
        <v/>
      </c>
      <c r="F5972" s="107" t="str">
        <f aca="false">IF($C5972="","",$D5972*$E5972)</f>
        <v/>
      </c>
      <c r="G5972" s="107" t="str">
        <f aca="false">IF($C5972="","",$D5972*IFERROR(INDEX('تحليل التكلفة والسعر'!$C$2:$C$700,MATCH($C5972,'تحليل التكلفة والسعر'!$B$2:$B$700,0)),0))</f>
        <v/>
      </c>
    </row>
    <row r="5973" customFormat="false" ht="15" hidden="false" customHeight="false" outlineLevel="0" collapsed="false">
      <c r="A5973" s="103"/>
      <c r="B5973" s="104"/>
      <c r="C5973" s="104"/>
      <c r="E5973" s="107" t="str">
        <f aca="false">IF($C5973="","",IFERROR(INDEX(المنيو!$C$2:$C$500,MATCH($C5973,المنيو!$B$2:$B$500,0)),0))</f>
        <v/>
      </c>
      <c r="F5973" s="107" t="str">
        <f aca="false">IF($C5973="","",$D5973*$E5973)</f>
        <v/>
      </c>
      <c r="G5973" s="107" t="str">
        <f aca="false">IF($C5973="","",$D5973*IFERROR(INDEX('تحليل التكلفة والسعر'!$C$2:$C$700,MATCH($C5973,'تحليل التكلفة والسعر'!$B$2:$B$700,0)),0))</f>
        <v/>
      </c>
    </row>
    <row r="5974" customFormat="false" ht="15" hidden="false" customHeight="false" outlineLevel="0" collapsed="false">
      <c r="A5974" s="103"/>
      <c r="B5974" s="104"/>
      <c r="C5974" s="104"/>
      <c r="E5974" s="107" t="str">
        <f aca="false">IF($C5974="","",IFERROR(INDEX(المنيو!$C$2:$C$500,MATCH($C5974,المنيو!$B$2:$B$500,0)),0))</f>
        <v/>
      </c>
      <c r="F5974" s="107" t="str">
        <f aca="false">IF($C5974="","",$D5974*$E5974)</f>
        <v/>
      </c>
      <c r="G5974" s="107" t="str">
        <f aca="false">IF($C5974="","",$D5974*IFERROR(INDEX('تحليل التكلفة والسعر'!$C$2:$C$700,MATCH($C5974,'تحليل التكلفة والسعر'!$B$2:$B$700,0)),0))</f>
        <v/>
      </c>
    </row>
    <row r="5975" customFormat="false" ht="15" hidden="false" customHeight="false" outlineLevel="0" collapsed="false">
      <c r="A5975" s="103"/>
      <c r="B5975" s="104"/>
      <c r="C5975" s="104"/>
      <c r="E5975" s="107" t="str">
        <f aca="false">IF($C5975="","",IFERROR(INDEX(المنيو!$C$2:$C$500,MATCH($C5975,المنيو!$B$2:$B$500,0)),0))</f>
        <v/>
      </c>
      <c r="F5975" s="107" t="str">
        <f aca="false">IF($C5975="","",$D5975*$E5975)</f>
        <v/>
      </c>
      <c r="G5975" s="107" t="str">
        <f aca="false">IF($C5975="","",$D5975*IFERROR(INDEX('تحليل التكلفة والسعر'!$C$2:$C$700,MATCH($C5975,'تحليل التكلفة والسعر'!$B$2:$B$700,0)),0))</f>
        <v/>
      </c>
    </row>
    <row r="5976" customFormat="false" ht="15" hidden="false" customHeight="false" outlineLevel="0" collapsed="false">
      <c r="A5976" s="103"/>
      <c r="B5976" s="104"/>
      <c r="C5976" s="104"/>
      <c r="E5976" s="107" t="str">
        <f aca="false">IF($C5976="","",IFERROR(INDEX(المنيو!$C$2:$C$500,MATCH($C5976,المنيو!$B$2:$B$500,0)),0))</f>
        <v/>
      </c>
      <c r="F5976" s="107" t="str">
        <f aca="false">IF($C5976="","",$D5976*$E5976)</f>
        <v/>
      </c>
      <c r="G5976" s="107" t="str">
        <f aca="false">IF($C5976="","",$D5976*IFERROR(INDEX('تحليل التكلفة والسعر'!$C$2:$C$700,MATCH($C5976,'تحليل التكلفة والسعر'!$B$2:$B$700,0)),0))</f>
        <v/>
      </c>
    </row>
    <row r="5977" customFormat="false" ht="15" hidden="false" customHeight="false" outlineLevel="0" collapsed="false">
      <c r="A5977" s="103"/>
      <c r="B5977" s="104"/>
      <c r="C5977" s="104"/>
      <c r="E5977" s="107" t="str">
        <f aca="false">IF($C5977="","",IFERROR(INDEX(المنيو!$C$2:$C$500,MATCH($C5977,المنيو!$B$2:$B$500,0)),0))</f>
        <v/>
      </c>
      <c r="F5977" s="107" t="str">
        <f aca="false">IF($C5977="","",$D5977*$E5977)</f>
        <v/>
      </c>
      <c r="G5977" s="107" t="str">
        <f aca="false">IF($C5977="","",$D5977*IFERROR(INDEX('تحليل التكلفة والسعر'!$C$2:$C$700,MATCH($C5977,'تحليل التكلفة والسعر'!$B$2:$B$700,0)),0))</f>
        <v/>
      </c>
    </row>
    <row r="5978" customFormat="false" ht="15" hidden="false" customHeight="false" outlineLevel="0" collapsed="false">
      <c r="A5978" s="103"/>
      <c r="B5978" s="104"/>
      <c r="C5978" s="104"/>
      <c r="E5978" s="107" t="str">
        <f aca="false">IF($C5978="","",IFERROR(INDEX(المنيو!$C$2:$C$500,MATCH($C5978,المنيو!$B$2:$B$500,0)),0))</f>
        <v/>
      </c>
      <c r="F5978" s="107" t="str">
        <f aca="false">IF($C5978="","",$D5978*$E5978)</f>
        <v/>
      </c>
      <c r="G5978" s="107" t="str">
        <f aca="false">IF($C5978="","",$D5978*IFERROR(INDEX('تحليل التكلفة والسعر'!$C$2:$C$700,MATCH($C5978,'تحليل التكلفة والسعر'!$B$2:$B$700,0)),0))</f>
        <v/>
      </c>
    </row>
    <row r="5979" customFormat="false" ht="15" hidden="false" customHeight="false" outlineLevel="0" collapsed="false">
      <c r="A5979" s="103"/>
      <c r="B5979" s="104"/>
      <c r="C5979" s="104"/>
      <c r="E5979" s="107" t="str">
        <f aca="false">IF($C5979="","",IFERROR(INDEX(المنيو!$C$2:$C$500,MATCH($C5979,المنيو!$B$2:$B$500,0)),0))</f>
        <v/>
      </c>
      <c r="F5979" s="107" t="str">
        <f aca="false">IF($C5979="","",$D5979*$E5979)</f>
        <v/>
      </c>
      <c r="G5979" s="107" t="str">
        <f aca="false">IF($C5979="","",$D5979*IFERROR(INDEX('تحليل التكلفة والسعر'!$C$2:$C$700,MATCH($C5979,'تحليل التكلفة والسعر'!$B$2:$B$700,0)),0))</f>
        <v/>
      </c>
    </row>
    <row r="5980" customFormat="false" ht="15" hidden="false" customHeight="false" outlineLevel="0" collapsed="false">
      <c r="A5980" s="103"/>
      <c r="B5980" s="104"/>
      <c r="C5980" s="104"/>
      <c r="E5980" s="107" t="str">
        <f aca="false">IF($C5980="","",IFERROR(INDEX(المنيو!$C$2:$C$500,MATCH($C5980,المنيو!$B$2:$B$500,0)),0))</f>
        <v/>
      </c>
      <c r="F5980" s="107" t="str">
        <f aca="false">IF($C5980="","",$D5980*$E5980)</f>
        <v/>
      </c>
      <c r="G5980" s="107" t="str">
        <f aca="false">IF($C5980="","",$D5980*IFERROR(INDEX('تحليل التكلفة والسعر'!$C$2:$C$700,MATCH($C5980,'تحليل التكلفة والسعر'!$B$2:$B$700,0)),0))</f>
        <v/>
      </c>
    </row>
    <row r="5981" customFormat="false" ht="15" hidden="false" customHeight="false" outlineLevel="0" collapsed="false">
      <c r="A5981" s="103"/>
      <c r="B5981" s="104"/>
      <c r="C5981" s="104"/>
      <c r="E5981" s="107" t="str">
        <f aca="false">IF($C5981="","",IFERROR(INDEX(المنيو!$C$2:$C$500,MATCH($C5981,المنيو!$B$2:$B$500,0)),0))</f>
        <v/>
      </c>
      <c r="F5981" s="107" t="str">
        <f aca="false">IF($C5981="","",$D5981*$E5981)</f>
        <v/>
      </c>
      <c r="G5981" s="107" t="str">
        <f aca="false">IF($C5981="","",$D5981*IFERROR(INDEX('تحليل التكلفة والسعر'!$C$2:$C$700,MATCH($C5981,'تحليل التكلفة والسعر'!$B$2:$B$700,0)),0))</f>
        <v/>
      </c>
    </row>
    <row r="5982" customFormat="false" ht="15" hidden="false" customHeight="false" outlineLevel="0" collapsed="false">
      <c r="A5982" s="103"/>
      <c r="B5982" s="104"/>
      <c r="C5982" s="104"/>
      <c r="E5982" s="107" t="str">
        <f aca="false">IF($C5982="","",IFERROR(INDEX(المنيو!$C$2:$C$500,MATCH($C5982,المنيو!$B$2:$B$500,0)),0))</f>
        <v/>
      </c>
      <c r="F5982" s="107" t="str">
        <f aca="false">IF($C5982="","",$D5982*$E5982)</f>
        <v/>
      </c>
      <c r="G5982" s="107" t="str">
        <f aca="false">IF($C5982="","",$D5982*IFERROR(INDEX('تحليل التكلفة والسعر'!$C$2:$C$700,MATCH($C5982,'تحليل التكلفة والسعر'!$B$2:$B$700,0)),0))</f>
        <v/>
      </c>
    </row>
    <row r="5983" customFormat="false" ht="15" hidden="false" customHeight="false" outlineLevel="0" collapsed="false">
      <c r="A5983" s="103"/>
      <c r="B5983" s="104"/>
      <c r="C5983" s="104"/>
      <c r="E5983" s="107" t="str">
        <f aca="false">IF($C5983="","",IFERROR(INDEX(المنيو!$C$2:$C$500,MATCH($C5983,المنيو!$B$2:$B$500,0)),0))</f>
        <v/>
      </c>
      <c r="F5983" s="107" t="str">
        <f aca="false">IF($C5983="","",$D5983*$E5983)</f>
        <v/>
      </c>
      <c r="G5983" s="107" t="str">
        <f aca="false">IF($C5983="","",$D5983*IFERROR(INDEX('تحليل التكلفة والسعر'!$C$2:$C$700,MATCH($C5983,'تحليل التكلفة والسعر'!$B$2:$B$700,0)),0))</f>
        <v/>
      </c>
    </row>
    <row r="5984" customFormat="false" ht="15" hidden="false" customHeight="false" outlineLevel="0" collapsed="false">
      <c r="A5984" s="103"/>
      <c r="B5984" s="104"/>
      <c r="C5984" s="104"/>
      <c r="E5984" s="107" t="str">
        <f aca="false">IF($C5984="","",IFERROR(INDEX(المنيو!$C$2:$C$500,MATCH($C5984,المنيو!$B$2:$B$500,0)),0))</f>
        <v/>
      </c>
      <c r="F5984" s="107" t="str">
        <f aca="false">IF($C5984="","",$D5984*$E5984)</f>
        <v/>
      </c>
      <c r="G5984" s="107" t="str">
        <f aca="false">IF($C5984="","",$D5984*IFERROR(INDEX('تحليل التكلفة والسعر'!$C$2:$C$700,MATCH($C5984,'تحليل التكلفة والسعر'!$B$2:$B$700,0)),0))</f>
        <v/>
      </c>
    </row>
    <row r="5985" customFormat="false" ht="15" hidden="false" customHeight="false" outlineLevel="0" collapsed="false">
      <c r="A5985" s="103"/>
      <c r="B5985" s="104"/>
      <c r="C5985" s="104"/>
      <c r="E5985" s="107" t="str">
        <f aca="false">IF($C5985="","",IFERROR(INDEX(المنيو!$C$2:$C$500,MATCH($C5985,المنيو!$B$2:$B$500,0)),0))</f>
        <v/>
      </c>
      <c r="F5985" s="107" t="str">
        <f aca="false">IF($C5985="","",$D5985*$E5985)</f>
        <v/>
      </c>
      <c r="G5985" s="107" t="str">
        <f aca="false">IF($C5985="","",$D5985*IFERROR(INDEX('تحليل التكلفة والسعر'!$C$2:$C$700,MATCH($C5985,'تحليل التكلفة والسعر'!$B$2:$B$700,0)),0))</f>
        <v/>
      </c>
    </row>
    <row r="5986" customFormat="false" ht="15" hidden="false" customHeight="false" outlineLevel="0" collapsed="false">
      <c r="A5986" s="103"/>
      <c r="B5986" s="104"/>
      <c r="C5986" s="104"/>
      <c r="E5986" s="107" t="str">
        <f aca="false">IF($C5986="","",IFERROR(INDEX(المنيو!$C$2:$C$500,MATCH($C5986,المنيو!$B$2:$B$500,0)),0))</f>
        <v/>
      </c>
      <c r="F5986" s="107" t="str">
        <f aca="false">IF($C5986="","",$D5986*$E5986)</f>
        <v/>
      </c>
      <c r="G5986" s="107" t="str">
        <f aca="false">IF($C5986="","",$D5986*IFERROR(INDEX('تحليل التكلفة والسعر'!$C$2:$C$700,MATCH($C5986,'تحليل التكلفة والسعر'!$B$2:$B$700,0)),0))</f>
        <v/>
      </c>
    </row>
    <row r="5987" customFormat="false" ht="15" hidden="false" customHeight="false" outlineLevel="0" collapsed="false">
      <c r="A5987" s="103"/>
      <c r="B5987" s="104"/>
      <c r="C5987" s="104"/>
      <c r="E5987" s="107" t="str">
        <f aca="false">IF($C5987="","",IFERROR(INDEX(المنيو!$C$2:$C$500,MATCH($C5987,المنيو!$B$2:$B$500,0)),0))</f>
        <v/>
      </c>
      <c r="F5987" s="107" t="str">
        <f aca="false">IF($C5987="","",$D5987*$E5987)</f>
        <v/>
      </c>
      <c r="G5987" s="107" t="str">
        <f aca="false">IF($C5987="","",$D5987*IFERROR(INDEX('تحليل التكلفة والسعر'!$C$2:$C$700,MATCH($C5987,'تحليل التكلفة والسعر'!$B$2:$B$700,0)),0))</f>
        <v/>
      </c>
    </row>
    <row r="5988" customFormat="false" ht="15" hidden="false" customHeight="false" outlineLevel="0" collapsed="false">
      <c r="A5988" s="103"/>
      <c r="B5988" s="104"/>
      <c r="C5988" s="104"/>
      <c r="E5988" s="107" t="str">
        <f aca="false">IF($C5988="","",IFERROR(INDEX(المنيو!$C$2:$C$500,MATCH($C5988,المنيو!$B$2:$B$500,0)),0))</f>
        <v/>
      </c>
      <c r="F5988" s="107" t="str">
        <f aca="false">IF($C5988="","",$D5988*$E5988)</f>
        <v/>
      </c>
      <c r="G5988" s="107" t="str">
        <f aca="false">IF($C5988="","",$D5988*IFERROR(INDEX('تحليل التكلفة والسعر'!$C$2:$C$700,MATCH($C5988,'تحليل التكلفة والسعر'!$B$2:$B$700,0)),0))</f>
        <v/>
      </c>
    </row>
    <row r="5989" customFormat="false" ht="15" hidden="false" customHeight="false" outlineLevel="0" collapsed="false">
      <c r="A5989" s="103"/>
      <c r="B5989" s="104"/>
      <c r="C5989" s="104"/>
      <c r="E5989" s="107" t="str">
        <f aca="false">IF($C5989="","",IFERROR(INDEX(المنيو!$C$2:$C$500,MATCH($C5989,المنيو!$B$2:$B$500,0)),0))</f>
        <v/>
      </c>
      <c r="F5989" s="107" t="str">
        <f aca="false">IF($C5989="","",$D5989*$E5989)</f>
        <v/>
      </c>
      <c r="G5989" s="107" t="str">
        <f aca="false">IF($C5989="","",$D5989*IFERROR(INDEX('تحليل التكلفة والسعر'!$C$2:$C$700,MATCH($C5989,'تحليل التكلفة والسعر'!$B$2:$B$700,0)),0))</f>
        <v/>
      </c>
    </row>
    <row r="5990" customFormat="false" ht="15" hidden="false" customHeight="false" outlineLevel="0" collapsed="false">
      <c r="A5990" s="103"/>
      <c r="B5990" s="104"/>
      <c r="C5990" s="104"/>
      <c r="E5990" s="107" t="str">
        <f aca="false">IF($C5990="","",IFERROR(INDEX(المنيو!$C$2:$C$500,MATCH($C5990,المنيو!$B$2:$B$500,0)),0))</f>
        <v/>
      </c>
      <c r="F5990" s="107" t="str">
        <f aca="false">IF($C5990="","",$D5990*$E5990)</f>
        <v/>
      </c>
      <c r="G5990" s="107" t="str">
        <f aca="false">IF($C5990="","",$D5990*IFERROR(INDEX('تحليل التكلفة والسعر'!$C$2:$C$700,MATCH($C5990,'تحليل التكلفة والسعر'!$B$2:$B$700,0)),0))</f>
        <v/>
      </c>
    </row>
    <row r="5991" customFormat="false" ht="15" hidden="false" customHeight="false" outlineLevel="0" collapsed="false">
      <c r="A5991" s="103"/>
      <c r="B5991" s="104"/>
      <c r="C5991" s="104"/>
      <c r="E5991" s="107" t="str">
        <f aca="false">IF($C5991="","",IFERROR(INDEX(المنيو!$C$2:$C$500,MATCH($C5991,المنيو!$B$2:$B$500,0)),0))</f>
        <v/>
      </c>
      <c r="F5991" s="107" t="str">
        <f aca="false">IF($C5991="","",$D5991*$E5991)</f>
        <v/>
      </c>
      <c r="G5991" s="107" t="str">
        <f aca="false">IF($C5991="","",$D5991*IFERROR(INDEX('تحليل التكلفة والسعر'!$C$2:$C$700,MATCH($C5991,'تحليل التكلفة والسعر'!$B$2:$B$700,0)),0))</f>
        <v/>
      </c>
    </row>
    <row r="5992" customFormat="false" ht="15" hidden="false" customHeight="false" outlineLevel="0" collapsed="false">
      <c r="A5992" s="103"/>
      <c r="B5992" s="104"/>
      <c r="C5992" s="104"/>
      <c r="E5992" s="107" t="str">
        <f aca="false">IF($C5992="","",IFERROR(INDEX(المنيو!$C$2:$C$500,MATCH($C5992,المنيو!$B$2:$B$500,0)),0))</f>
        <v/>
      </c>
      <c r="F5992" s="107" t="str">
        <f aca="false">IF($C5992="","",$D5992*$E5992)</f>
        <v/>
      </c>
      <c r="G5992" s="107" t="str">
        <f aca="false">IF($C5992="","",$D5992*IFERROR(INDEX('تحليل التكلفة والسعر'!$C$2:$C$700,MATCH($C5992,'تحليل التكلفة والسعر'!$B$2:$B$700,0)),0))</f>
        <v/>
      </c>
    </row>
    <row r="5993" customFormat="false" ht="15" hidden="false" customHeight="false" outlineLevel="0" collapsed="false">
      <c r="A5993" s="103"/>
      <c r="B5993" s="104"/>
      <c r="C5993" s="104"/>
      <c r="E5993" s="107" t="str">
        <f aca="false">IF($C5993="","",IFERROR(INDEX(المنيو!$C$2:$C$500,MATCH($C5993,المنيو!$B$2:$B$500,0)),0))</f>
        <v/>
      </c>
      <c r="F5993" s="107" t="str">
        <f aca="false">IF($C5993="","",$D5993*$E5993)</f>
        <v/>
      </c>
      <c r="G5993" s="107" t="str">
        <f aca="false">IF($C5993="","",$D5993*IFERROR(INDEX('تحليل التكلفة والسعر'!$C$2:$C$700,MATCH($C5993,'تحليل التكلفة والسعر'!$B$2:$B$700,0)),0))</f>
        <v/>
      </c>
    </row>
    <row r="5994" customFormat="false" ht="15" hidden="false" customHeight="false" outlineLevel="0" collapsed="false">
      <c r="A5994" s="103"/>
      <c r="B5994" s="104"/>
      <c r="C5994" s="104"/>
      <c r="E5994" s="107" t="str">
        <f aca="false">IF($C5994="","",IFERROR(INDEX(المنيو!$C$2:$C$500,MATCH($C5994,المنيو!$B$2:$B$500,0)),0))</f>
        <v/>
      </c>
      <c r="F5994" s="107" t="str">
        <f aca="false">IF($C5994="","",$D5994*$E5994)</f>
        <v/>
      </c>
      <c r="G5994" s="107" t="str">
        <f aca="false">IF($C5994="","",$D5994*IFERROR(INDEX('تحليل التكلفة والسعر'!$C$2:$C$700,MATCH($C5994,'تحليل التكلفة والسعر'!$B$2:$B$700,0)),0))</f>
        <v/>
      </c>
    </row>
    <row r="5995" customFormat="false" ht="15" hidden="false" customHeight="false" outlineLevel="0" collapsed="false">
      <c r="A5995" s="103"/>
      <c r="B5995" s="104"/>
      <c r="C5995" s="104"/>
      <c r="E5995" s="107" t="str">
        <f aca="false">IF($C5995="","",IFERROR(INDEX(المنيو!$C$2:$C$500,MATCH($C5995,المنيو!$B$2:$B$500,0)),0))</f>
        <v/>
      </c>
      <c r="F5995" s="107" t="str">
        <f aca="false">IF($C5995="","",$D5995*$E5995)</f>
        <v/>
      </c>
      <c r="G5995" s="107" t="str">
        <f aca="false">IF($C5995="","",$D5995*IFERROR(INDEX('تحليل التكلفة والسعر'!$C$2:$C$700,MATCH($C5995,'تحليل التكلفة والسعر'!$B$2:$B$700,0)),0))</f>
        <v/>
      </c>
    </row>
    <row r="5996" customFormat="false" ht="15" hidden="false" customHeight="false" outlineLevel="0" collapsed="false">
      <c r="A5996" s="103"/>
      <c r="B5996" s="104"/>
      <c r="C5996" s="104"/>
      <c r="E5996" s="107" t="str">
        <f aca="false">IF($C5996="","",IFERROR(INDEX(المنيو!$C$2:$C$500,MATCH($C5996,المنيو!$B$2:$B$500,0)),0))</f>
        <v/>
      </c>
      <c r="F5996" s="107" t="str">
        <f aca="false">IF($C5996="","",$D5996*$E5996)</f>
        <v/>
      </c>
      <c r="G5996" s="107" t="str">
        <f aca="false">IF($C5996="","",$D5996*IFERROR(INDEX('تحليل التكلفة والسعر'!$C$2:$C$700,MATCH($C5996,'تحليل التكلفة والسعر'!$B$2:$B$700,0)),0))</f>
        <v/>
      </c>
    </row>
    <row r="5997" customFormat="false" ht="15" hidden="false" customHeight="false" outlineLevel="0" collapsed="false">
      <c r="A5997" s="103"/>
      <c r="B5997" s="104"/>
      <c r="C5997" s="104"/>
      <c r="E5997" s="107" t="str">
        <f aca="false">IF($C5997="","",IFERROR(INDEX(المنيو!$C$2:$C$500,MATCH($C5997,المنيو!$B$2:$B$500,0)),0))</f>
        <v/>
      </c>
      <c r="F5997" s="107" t="str">
        <f aca="false">IF($C5997="","",$D5997*$E5997)</f>
        <v/>
      </c>
      <c r="G5997" s="107" t="str">
        <f aca="false">IF($C5997="","",$D5997*IFERROR(INDEX('تحليل التكلفة والسعر'!$C$2:$C$700,MATCH($C5997,'تحليل التكلفة والسعر'!$B$2:$B$700,0)),0))</f>
        <v/>
      </c>
    </row>
    <row r="5998" customFormat="false" ht="15" hidden="false" customHeight="false" outlineLevel="0" collapsed="false">
      <c r="A5998" s="103"/>
      <c r="B5998" s="104"/>
      <c r="C5998" s="104"/>
      <c r="E5998" s="107" t="str">
        <f aca="false">IF($C5998="","",IFERROR(INDEX(المنيو!$C$2:$C$500,MATCH($C5998,المنيو!$B$2:$B$500,0)),0))</f>
        <v/>
      </c>
      <c r="F5998" s="107" t="str">
        <f aca="false">IF($C5998="","",$D5998*$E5998)</f>
        <v/>
      </c>
      <c r="G5998" s="107" t="str">
        <f aca="false">IF($C5998="","",$D5998*IFERROR(INDEX('تحليل التكلفة والسعر'!$C$2:$C$700,MATCH($C5998,'تحليل التكلفة والسعر'!$B$2:$B$700,0)),0))</f>
        <v/>
      </c>
    </row>
    <row r="5999" customFormat="false" ht="15" hidden="false" customHeight="false" outlineLevel="0" collapsed="false">
      <c r="A5999" s="103"/>
      <c r="B5999" s="104"/>
      <c r="C5999" s="104"/>
      <c r="E5999" s="107" t="str">
        <f aca="false">IF($C5999="","",IFERROR(INDEX(المنيو!$C$2:$C$500,MATCH($C5999,المنيو!$B$2:$B$500,0)),0))</f>
        <v/>
      </c>
      <c r="F5999" s="107" t="str">
        <f aca="false">IF($C5999="","",$D5999*$E5999)</f>
        <v/>
      </c>
      <c r="G5999" s="107" t="str">
        <f aca="false">IF($C5999="","",$D5999*IFERROR(INDEX('تحليل التكلفة والسعر'!$C$2:$C$700,MATCH($C5999,'تحليل التكلفة والسعر'!$B$2:$B$700,0)),0))</f>
        <v/>
      </c>
    </row>
    <row r="6000" customFormat="false" ht="15" hidden="false" customHeight="false" outlineLevel="0" collapsed="false">
      <c r="A6000" s="103"/>
      <c r="B6000" s="104"/>
      <c r="C6000" s="104"/>
      <c r="E6000" s="107" t="str">
        <f aca="false">IF($C6000="","",IFERROR(INDEX(المنيو!$C$2:$C$500,MATCH($C6000,المنيو!$B$2:$B$500,0)),0))</f>
        <v/>
      </c>
      <c r="F6000" s="107" t="str">
        <f aca="false">IF($C6000="","",$D6000*$E6000)</f>
        <v/>
      </c>
      <c r="G6000" s="107" t="str">
        <f aca="false">IF($C6000="","",$D6000*IFERROR(INDEX('تحليل التكلفة والسعر'!$C$2:$C$700,MATCH($C6000,'تحليل التكلفة والسعر'!$B$2:$B$700,0)),0))</f>
        <v/>
      </c>
    </row>
    <row r="6001" customFormat="false" ht="15" hidden="false" customHeight="false" outlineLevel="0" collapsed="false">
      <c r="A6001" s="103"/>
      <c r="B6001" s="104"/>
      <c r="C6001" s="104"/>
      <c r="E6001" s="107" t="str">
        <f aca="false">IF($C6001="","",IFERROR(INDEX(المنيو!$C$2:$C$500,MATCH($C6001,المنيو!$B$2:$B$500,0)),0))</f>
        <v/>
      </c>
      <c r="F6001" s="107" t="str">
        <f aca="false">IF($C6001="","",$D6001*$E6001)</f>
        <v/>
      </c>
      <c r="G6001" s="107" t="str">
        <f aca="false">IF($C6001="","",$D6001*IFERROR(INDEX('تحليل التكلفة والسعر'!$C$2:$C$700,MATCH($C6001,'تحليل التكلفة والسعر'!$B$2:$B$700,0)),0))</f>
        <v/>
      </c>
    </row>
    <row r="6002" customFormat="false" ht="15" hidden="false" customHeight="false" outlineLevel="0" collapsed="false">
      <c r="A6002" s="103"/>
      <c r="B6002" s="104"/>
      <c r="C6002" s="104"/>
      <c r="E6002" s="107" t="str">
        <f aca="false">IF($C6002="","",IFERROR(INDEX(المنيو!$C$2:$C$500,MATCH($C6002,المنيو!$B$2:$B$500,0)),0))</f>
        <v/>
      </c>
      <c r="F6002" s="107" t="str">
        <f aca="false">IF($C6002="","",$D6002*$E6002)</f>
        <v/>
      </c>
      <c r="G6002" s="107" t="str">
        <f aca="false">IF($C6002="","",$D6002*IFERROR(INDEX('تحليل التكلفة والسعر'!$C$2:$C$700,MATCH($C6002,'تحليل التكلفة والسعر'!$B$2:$B$700,0)),0))</f>
        <v/>
      </c>
    </row>
    <row r="6003" customFormat="false" ht="15" hidden="false" customHeight="false" outlineLevel="0" collapsed="false">
      <c r="A6003" s="103"/>
      <c r="B6003" s="104"/>
      <c r="C6003" s="104"/>
      <c r="E6003" s="107" t="str">
        <f aca="false">IF($C6003="","",IFERROR(INDEX(المنيو!$C$2:$C$500,MATCH($C6003,المنيو!$B$2:$B$500,0)),0))</f>
        <v/>
      </c>
      <c r="F6003" s="107" t="str">
        <f aca="false">IF($C6003="","",$D6003*$E6003)</f>
        <v/>
      </c>
      <c r="G6003" s="107" t="str">
        <f aca="false">IF($C6003="","",$D6003*IFERROR(INDEX('تحليل التكلفة والسعر'!$C$2:$C$700,MATCH($C6003,'تحليل التكلفة والسعر'!$B$2:$B$700,0)),0))</f>
        <v/>
      </c>
    </row>
    <row r="6004" customFormat="false" ht="15" hidden="false" customHeight="false" outlineLevel="0" collapsed="false">
      <c r="A6004" s="103"/>
      <c r="B6004" s="104"/>
      <c r="C6004" s="104"/>
      <c r="E6004" s="107" t="str">
        <f aca="false">IF($C6004="","",IFERROR(INDEX(المنيو!$C$2:$C$500,MATCH($C6004,المنيو!$B$2:$B$500,0)),0))</f>
        <v/>
      </c>
      <c r="F6004" s="107" t="str">
        <f aca="false">IF($C6004="","",$D6004*$E6004)</f>
        <v/>
      </c>
      <c r="G6004" s="107" t="str">
        <f aca="false">IF($C6004="","",$D6004*IFERROR(INDEX('تحليل التكلفة والسعر'!$C$2:$C$700,MATCH($C6004,'تحليل التكلفة والسعر'!$B$2:$B$700,0)),0))</f>
        <v/>
      </c>
    </row>
    <row r="6005" customFormat="false" ht="15" hidden="false" customHeight="false" outlineLevel="0" collapsed="false">
      <c r="A6005" s="103"/>
      <c r="B6005" s="104"/>
      <c r="C6005" s="104"/>
      <c r="E6005" s="107" t="str">
        <f aca="false">IF($C6005="","",IFERROR(INDEX(المنيو!$C$2:$C$500,MATCH($C6005,المنيو!$B$2:$B$500,0)),0))</f>
        <v/>
      </c>
      <c r="F6005" s="107" t="str">
        <f aca="false">IF($C6005="","",$D6005*$E6005)</f>
        <v/>
      </c>
      <c r="G6005" s="107" t="str">
        <f aca="false">IF($C6005="","",$D6005*IFERROR(INDEX('تحليل التكلفة والسعر'!$C$2:$C$700,MATCH($C6005,'تحليل التكلفة والسعر'!$B$2:$B$700,0)),0))</f>
        <v/>
      </c>
    </row>
    <row r="6006" customFormat="false" ht="15" hidden="false" customHeight="false" outlineLevel="0" collapsed="false">
      <c r="A6006" s="103"/>
      <c r="B6006" s="104"/>
      <c r="C6006" s="104"/>
      <c r="E6006" s="107" t="str">
        <f aca="false">IF($C6006="","",IFERROR(INDEX(المنيو!$C$2:$C$500,MATCH($C6006,المنيو!$B$2:$B$500,0)),0))</f>
        <v/>
      </c>
      <c r="F6006" s="107" t="str">
        <f aca="false">IF($C6006="","",$D6006*$E6006)</f>
        <v/>
      </c>
      <c r="G6006" s="107" t="str">
        <f aca="false">IF($C6006="","",$D6006*IFERROR(INDEX('تحليل التكلفة والسعر'!$C$2:$C$700,MATCH($C6006,'تحليل التكلفة والسعر'!$B$2:$B$700,0)),0))</f>
        <v/>
      </c>
    </row>
    <row r="6007" customFormat="false" ht="15" hidden="false" customHeight="false" outlineLevel="0" collapsed="false">
      <c r="A6007" s="103"/>
      <c r="B6007" s="104"/>
      <c r="C6007" s="104"/>
      <c r="E6007" s="107" t="str">
        <f aca="false">IF($C6007="","",IFERROR(INDEX(المنيو!$C$2:$C$500,MATCH($C6007,المنيو!$B$2:$B$500,0)),0))</f>
        <v/>
      </c>
      <c r="F6007" s="107" t="str">
        <f aca="false">IF($C6007="","",$D6007*$E6007)</f>
        <v/>
      </c>
      <c r="G6007" s="107" t="str">
        <f aca="false">IF($C6007="","",$D6007*IFERROR(INDEX('تحليل التكلفة والسعر'!$C$2:$C$700,MATCH($C6007,'تحليل التكلفة والسعر'!$B$2:$B$700,0)),0))</f>
        <v/>
      </c>
    </row>
    <row r="6008" customFormat="false" ht="15" hidden="false" customHeight="false" outlineLevel="0" collapsed="false">
      <c r="A6008" s="103"/>
      <c r="B6008" s="104"/>
      <c r="C6008" s="104"/>
      <c r="E6008" s="107" t="str">
        <f aca="false">IF($C6008="","",IFERROR(INDEX(المنيو!$C$2:$C$500,MATCH($C6008,المنيو!$B$2:$B$500,0)),0))</f>
        <v/>
      </c>
      <c r="F6008" s="107" t="str">
        <f aca="false">IF($C6008="","",$D6008*$E6008)</f>
        <v/>
      </c>
      <c r="G6008" s="107" t="str">
        <f aca="false">IF($C6008="","",$D6008*IFERROR(INDEX('تحليل التكلفة والسعر'!$C$2:$C$700,MATCH($C6008,'تحليل التكلفة والسعر'!$B$2:$B$700,0)),0))</f>
        <v/>
      </c>
    </row>
    <row r="6009" customFormat="false" ht="15" hidden="false" customHeight="false" outlineLevel="0" collapsed="false">
      <c r="A6009" s="103"/>
      <c r="B6009" s="104"/>
      <c r="C6009" s="104"/>
      <c r="E6009" s="107" t="str">
        <f aca="false">IF($C6009="","",IFERROR(INDEX(المنيو!$C$2:$C$500,MATCH($C6009,المنيو!$B$2:$B$500,0)),0))</f>
        <v/>
      </c>
      <c r="F6009" s="107" t="str">
        <f aca="false">IF($C6009="","",$D6009*$E6009)</f>
        <v/>
      </c>
      <c r="G6009" s="107" t="str">
        <f aca="false">IF($C6009="","",$D6009*IFERROR(INDEX('تحليل التكلفة والسعر'!$C$2:$C$700,MATCH($C6009,'تحليل التكلفة والسعر'!$B$2:$B$700,0)),0))</f>
        <v/>
      </c>
    </row>
    <row r="6010" customFormat="false" ht="15" hidden="false" customHeight="false" outlineLevel="0" collapsed="false">
      <c r="A6010" s="103"/>
      <c r="B6010" s="104"/>
      <c r="C6010" s="104"/>
      <c r="E6010" s="107" t="str">
        <f aca="false">IF($C6010="","",IFERROR(INDEX(المنيو!$C$2:$C$500,MATCH($C6010,المنيو!$B$2:$B$500,0)),0))</f>
        <v/>
      </c>
      <c r="F6010" s="107" t="str">
        <f aca="false">IF($C6010="","",$D6010*$E6010)</f>
        <v/>
      </c>
      <c r="G6010" s="107" t="str">
        <f aca="false">IF($C6010="","",$D6010*IFERROR(INDEX('تحليل التكلفة والسعر'!$C$2:$C$700,MATCH($C6010,'تحليل التكلفة والسعر'!$B$2:$B$700,0)),0))</f>
        <v/>
      </c>
    </row>
    <row r="6011" customFormat="false" ht="15" hidden="false" customHeight="false" outlineLevel="0" collapsed="false">
      <c r="A6011" s="103"/>
      <c r="B6011" s="104"/>
      <c r="C6011" s="104"/>
      <c r="E6011" s="107" t="str">
        <f aca="false">IF($C6011="","",IFERROR(INDEX(المنيو!$C$2:$C$500,MATCH($C6011,المنيو!$B$2:$B$500,0)),0))</f>
        <v/>
      </c>
      <c r="F6011" s="107" t="str">
        <f aca="false">IF($C6011="","",$D6011*$E6011)</f>
        <v/>
      </c>
      <c r="G6011" s="107" t="str">
        <f aca="false">IF($C6011="","",$D6011*IFERROR(INDEX('تحليل التكلفة والسعر'!$C$2:$C$700,MATCH($C6011,'تحليل التكلفة والسعر'!$B$2:$B$700,0)),0))</f>
        <v/>
      </c>
    </row>
    <row r="6012" customFormat="false" ht="15" hidden="false" customHeight="false" outlineLevel="0" collapsed="false">
      <c r="A6012" s="103"/>
      <c r="B6012" s="104"/>
      <c r="C6012" s="104"/>
      <c r="E6012" s="107" t="str">
        <f aca="false">IF($C6012="","",IFERROR(INDEX(المنيو!$C$2:$C$500,MATCH($C6012,المنيو!$B$2:$B$500,0)),0))</f>
        <v/>
      </c>
      <c r="F6012" s="107" t="str">
        <f aca="false">IF($C6012="","",$D6012*$E6012)</f>
        <v/>
      </c>
      <c r="G6012" s="107" t="str">
        <f aca="false">IF($C6012="","",$D6012*IFERROR(INDEX('تحليل التكلفة والسعر'!$C$2:$C$700,MATCH($C6012,'تحليل التكلفة والسعر'!$B$2:$B$700,0)),0))</f>
        <v/>
      </c>
    </row>
    <row r="6013" customFormat="false" ht="15" hidden="false" customHeight="false" outlineLevel="0" collapsed="false">
      <c r="A6013" s="103"/>
      <c r="B6013" s="104"/>
      <c r="C6013" s="104"/>
      <c r="E6013" s="107" t="str">
        <f aca="false">IF($C6013="","",IFERROR(INDEX(المنيو!$C$2:$C$500,MATCH($C6013,المنيو!$B$2:$B$500,0)),0))</f>
        <v/>
      </c>
      <c r="F6013" s="107" t="str">
        <f aca="false">IF($C6013="","",$D6013*$E6013)</f>
        <v/>
      </c>
      <c r="G6013" s="107" t="str">
        <f aca="false">IF($C6013="","",$D6013*IFERROR(INDEX('تحليل التكلفة والسعر'!$C$2:$C$700,MATCH($C6013,'تحليل التكلفة والسعر'!$B$2:$B$700,0)),0))</f>
        <v/>
      </c>
    </row>
    <row r="6014" customFormat="false" ht="15" hidden="false" customHeight="false" outlineLevel="0" collapsed="false">
      <c r="A6014" s="103"/>
      <c r="B6014" s="104"/>
      <c r="C6014" s="104"/>
      <c r="E6014" s="107" t="str">
        <f aca="false">IF($C6014="","",IFERROR(INDEX(المنيو!$C$2:$C$500,MATCH($C6014,المنيو!$B$2:$B$500,0)),0))</f>
        <v/>
      </c>
      <c r="F6014" s="107" t="str">
        <f aca="false">IF($C6014="","",$D6014*$E6014)</f>
        <v/>
      </c>
      <c r="G6014" s="107" t="str">
        <f aca="false">IF($C6014="","",$D6014*IFERROR(INDEX('تحليل التكلفة والسعر'!$C$2:$C$700,MATCH($C6014,'تحليل التكلفة والسعر'!$B$2:$B$700,0)),0))</f>
        <v/>
      </c>
    </row>
    <row r="6015" customFormat="false" ht="15" hidden="false" customHeight="false" outlineLevel="0" collapsed="false">
      <c r="A6015" s="103"/>
      <c r="B6015" s="104"/>
      <c r="C6015" s="104"/>
      <c r="E6015" s="107" t="str">
        <f aca="false">IF($C6015="","",IFERROR(INDEX(المنيو!$C$2:$C$500,MATCH($C6015,المنيو!$B$2:$B$500,0)),0))</f>
        <v/>
      </c>
      <c r="F6015" s="107" t="str">
        <f aca="false">IF($C6015="","",$D6015*$E6015)</f>
        <v/>
      </c>
      <c r="G6015" s="107" t="str">
        <f aca="false">IF($C6015="","",$D6015*IFERROR(INDEX('تحليل التكلفة والسعر'!$C$2:$C$700,MATCH($C6015,'تحليل التكلفة والسعر'!$B$2:$B$700,0)),0))</f>
        <v/>
      </c>
    </row>
    <row r="6016" customFormat="false" ht="15" hidden="false" customHeight="false" outlineLevel="0" collapsed="false">
      <c r="A6016" s="103"/>
      <c r="B6016" s="104"/>
      <c r="C6016" s="104"/>
      <c r="E6016" s="107" t="str">
        <f aca="false">IF($C6016="","",IFERROR(INDEX(المنيو!$C$2:$C$500,MATCH($C6016,المنيو!$B$2:$B$500,0)),0))</f>
        <v/>
      </c>
      <c r="F6016" s="107" t="str">
        <f aca="false">IF($C6016="","",$D6016*$E6016)</f>
        <v/>
      </c>
      <c r="G6016" s="107" t="str">
        <f aca="false">IF($C6016="","",$D6016*IFERROR(INDEX('تحليل التكلفة والسعر'!$C$2:$C$700,MATCH($C6016,'تحليل التكلفة والسعر'!$B$2:$B$700,0)),0))</f>
        <v/>
      </c>
    </row>
    <row r="6017" customFormat="false" ht="15" hidden="false" customHeight="false" outlineLevel="0" collapsed="false">
      <c r="A6017" s="103"/>
      <c r="B6017" s="104"/>
      <c r="C6017" s="104"/>
      <c r="E6017" s="107" t="str">
        <f aca="false">IF($C6017="","",IFERROR(INDEX(المنيو!$C$2:$C$500,MATCH($C6017,المنيو!$B$2:$B$500,0)),0))</f>
        <v/>
      </c>
      <c r="F6017" s="107" t="str">
        <f aca="false">IF($C6017="","",$D6017*$E6017)</f>
        <v/>
      </c>
      <c r="G6017" s="107" t="str">
        <f aca="false">IF($C6017="","",$D6017*IFERROR(INDEX('تحليل التكلفة والسعر'!$C$2:$C$700,MATCH($C6017,'تحليل التكلفة والسعر'!$B$2:$B$700,0)),0))</f>
        <v/>
      </c>
    </row>
    <row r="6018" customFormat="false" ht="15" hidden="false" customHeight="false" outlineLevel="0" collapsed="false">
      <c r="A6018" s="103"/>
      <c r="B6018" s="104"/>
      <c r="C6018" s="104"/>
      <c r="E6018" s="107" t="str">
        <f aca="false">IF($C6018="","",IFERROR(INDEX(المنيو!$C$2:$C$500,MATCH($C6018,المنيو!$B$2:$B$500,0)),0))</f>
        <v/>
      </c>
      <c r="F6018" s="107" t="str">
        <f aca="false">IF($C6018="","",$D6018*$E6018)</f>
        <v/>
      </c>
      <c r="G6018" s="107" t="str">
        <f aca="false">IF($C6018="","",$D6018*IFERROR(INDEX('تحليل التكلفة والسعر'!$C$2:$C$700,MATCH($C6018,'تحليل التكلفة والسعر'!$B$2:$B$700,0)),0))</f>
        <v/>
      </c>
    </row>
    <row r="6019" customFormat="false" ht="15" hidden="false" customHeight="false" outlineLevel="0" collapsed="false">
      <c r="A6019" s="103"/>
      <c r="B6019" s="104"/>
      <c r="C6019" s="104"/>
      <c r="E6019" s="107" t="str">
        <f aca="false">IF($C6019="","",IFERROR(INDEX(المنيو!$C$2:$C$500,MATCH($C6019,المنيو!$B$2:$B$500,0)),0))</f>
        <v/>
      </c>
      <c r="F6019" s="107" t="str">
        <f aca="false">IF($C6019="","",$D6019*$E6019)</f>
        <v/>
      </c>
      <c r="G6019" s="107" t="str">
        <f aca="false">IF($C6019="","",$D6019*IFERROR(INDEX('تحليل التكلفة والسعر'!$C$2:$C$700,MATCH($C6019,'تحليل التكلفة والسعر'!$B$2:$B$700,0)),0))</f>
        <v/>
      </c>
    </row>
    <row r="6020" customFormat="false" ht="15" hidden="false" customHeight="false" outlineLevel="0" collapsed="false">
      <c r="A6020" s="103"/>
      <c r="B6020" s="104"/>
      <c r="C6020" s="104"/>
      <c r="E6020" s="107" t="str">
        <f aca="false">IF($C6020="","",IFERROR(INDEX(المنيو!$C$2:$C$500,MATCH($C6020,المنيو!$B$2:$B$500,0)),0))</f>
        <v/>
      </c>
      <c r="F6020" s="107" t="str">
        <f aca="false">IF($C6020="","",$D6020*$E6020)</f>
        <v/>
      </c>
      <c r="G6020" s="107" t="str">
        <f aca="false">IF($C6020="","",$D6020*IFERROR(INDEX('تحليل التكلفة والسعر'!$C$2:$C$700,MATCH($C6020,'تحليل التكلفة والسعر'!$B$2:$B$700,0)),0))</f>
        <v/>
      </c>
    </row>
    <row r="6021" customFormat="false" ht="15" hidden="false" customHeight="false" outlineLevel="0" collapsed="false">
      <c r="A6021" s="103"/>
      <c r="B6021" s="104"/>
      <c r="C6021" s="104"/>
      <c r="E6021" s="107" t="str">
        <f aca="false">IF($C6021="","",IFERROR(INDEX(المنيو!$C$2:$C$500,MATCH($C6021,المنيو!$B$2:$B$500,0)),0))</f>
        <v/>
      </c>
      <c r="F6021" s="107" t="str">
        <f aca="false">IF($C6021="","",$D6021*$E6021)</f>
        <v/>
      </c>
      <c r="G6021" s="107" t="str">
        <f aca="false">IF($C6021="","",$D6021*IFERROR(INDEX('تحليل التكلفة والسعر'!$C$2:$C$700,MATCH($C6021,'تحليل التكلفة والسعر'!$B$2:$B$700,0)),0))</f>
        <v/>
      </c>
    </row>
    <row r="6022" customFormat="false" ht="15" hidden="false" customHeight="false" outlineLevel="0" collapsed="false">
      <c r="A6022" s="103"/>
      <c r="B6022" s="104"/>
      <c r="C6022" s="104"/>
      <c r="E6022" s="107" t="str">
        <f aca="false">IF($C6022="","",IFERROR(INDEX(المنيو!$C$2:$C$500,MATCH($C6022,المنيو!$B$2:$B$500,0)),0))</f>
        <v/>
      </c>
      <c r="F6022" s="107" t="str">
        <f aca="false">IF($C6022="","",$D6022*$E6022)</f>
        <v/>
      </c>
      <c r="G6022" s="107" t="str">
        <f aca="false">IF($C6022="","",$D6022*IFERROR(INDEX('تحليل التكلفة والسعر'!$C$2:$C$700,MATCH($C6022,'تحليل التكلفة والسعر'!$B$2:$B$700,0)),0))</f>
        <v/>
      </c>
    </row>
    <row r="6023" customFormat="false" ht="15" hidden="false" customHeight="false" outlineLevel="0" collapsed="false">
      <c r="A6023" s="103"/>
      <c r="B6023" s="104"/>
      <c r="C6023" s="104"/>
      <c r="E6023" s="107" t="str">
        <f aca="false">IF($C6023="","",IFERROR(INDEX(المنيو!$C$2:$C$500,MATCH($C6023,المنيو!$B$2:$B$500,0)),0))</f>
        <v/>
      </c>
      <c r="F6023" s="107" t="str">
        <f aca="false">IF($C6023="","",$D6023*$E6023)</f>
        <v/>
      </c>
      <c r="G6023" s="107" t="str">
        <f aca="false">IF($C6023="","",$D6023*IFERROR(INDEX('تحليل التكلفة والسعر'!$C$2:$C$700,MATCH($C6023,'تحليل التكلفة والسعر'!$B$2:$B$700,0)),0))</f>
        <v/>
      </c>
    </row>
    <row r="6024" customFormat="false" ht="15" hidden="false" customHeight="false" outlineLevel="0" collapsed="false">
      <c r="A6024" s="103"/>
      <c r="B6024" s="104"/>
      <c r="C6024" s="104"/>
      <c r="E6024" s="107" t="str">
        <f aca="false">IF($C6024="","",IFERROR(INDEX(المنيو!$C$2:$C$500,MATCH($C6024,المنيو!$B$2:$B$500,0)),0))</f>
        <v/>
      </c>
      <c r="F6024" s="107" t="str">
        <f aca="false">IF($C6024="","",$D6024*$E6024)</f>
        <v/>
      </c>
      <c r="G6024" s="107" t="str">
        <f aca="false">IF($C6024="","",$D6024*IFERROR(INDEX('تحليل التكلفة والسعر'!$C$2:$C$700,MATCH($C6024,'تحليل التكلفة والسعر'!$B$2:$B$700,0)),0))</f>
        <v/>
      </c>
    </row>
    <row r="6025" customFormat="false" ht="15" hidden="false" customHeight="false" outlineLevel="0" collapsed="false">
      <c r="A6025" s="103"/>
      <c r="B6025" s="104"/>
      <c r="C6025" s="104"/>
      <c r="E6025" s="107" t="str">
        <f aca="false">IF($C6025="","",IFERROR(INDEX(المنيو!$C$2:$C$500,MATCH($C6025,المنيو!$B$2:$B$500,0)),0))</f>
        <v/>
      </c>
      <c r="F6025" s="107" t="str">
        <f aca="false">IF($C6025="","",$D6025*$E6025)</f>
        <v/>
      </c>
      <c r="G6025" s="107" t="str">
        <f aca="false">IF($C6025="","",$D6025*IFERROR(INDEX('تحليل التكلفة والسعر'!$C$2:$C$700,MATCH($C6025,'تحليل التكلفة والسعر'!$B$2:$B$700,0)),0))</f>
        <v/>
      </c>
    </row>
    <row r="6026" customFormat="false" ht="15" hidden="false" customHeight="false" outlineLevel="0" collapsed="false">
      <c r="A6026" s="103"/>
      <c r="B6026" s="104"/>
      <c r="C6026" s="104"/>
      <c r="E6026" s="107" t="str">
        <f aca="false">IF($C6026="","",IFERROR(INDEX(المنيو!$C$2:$C$500,MATCH($C6026,المنيو!$B$2:$B$500,0)),0))</f>
        <v/>
      </c>
      <c r="F6026" s="107" t="str">
        <f aca="false">IF($C6026="","",$D6026*$E6026)</f>
        <v/>
      </c>
      <c r="G6026" s="107" t="str">
        <f aca="false">IF($C6026="","",$D6026*IFERROR(INDEX('تحليل التكلفة والسعر'!$C$2:$C$700,MATCH($C6026,'تحليل التكلفة والسعر'!$B$2:$B$700,0)),0))</f>
        <v/>
      </c>
    </row>
    <row r="6027" customFormat="false" ht="15" hidden="false" customHeight="false" outlineLevel="0" collapsed="false">
      <c r="A6027" s="103"/>
      <c r="B6027" s="104"/>
      <c r="C6027" s="104"/>
      <c r="E6027" s="107" t="str">
        <f aca="false">IF($C6027="","",IFERROR(INDEX(المنيو!$C$2:$C$500,MATCH($C6027,المنيو!$B$2:$B$500,0)),0))</f>
        <v/>
      </c>
      <c r="F6027" s="107" t="str">
        <f aca="false">IF($C6027="","",$D6027*$E6027)</f>
        <v/>
      </c>
      <c r="G6027" s="107" t="str">
        <f aca="false">IF($C6027="","",$D6027*IFERROR(INDEX('تحليل التكلفة والسعر'!$C$2:$C$700,MATCH($C6027,'تحليل التكلفة والسعر'!$B$2:$B$700,0)),0))</f>
        <v/>
      </c>
    </row>
    <row r="6028" customFormat="false" ht="15" hidden="false" customHeight="false" outlineLevel="0" collapsed="false">
      <c r="A6028" s="103"/>
      <c r="B6028" s="104"/>
      <c r="C6028" s="104"/>
      <c r="E6028" s="107" t="str">
        <f aca="false">IF($C6028="","",IFERROR(INDEX(المنيو!$C$2:$C$500,MATCH($C6028,المنيو!$B$2:$B$500,0)),0))</f>
        <v/>
      </c>
      <c r="F6028" s="107" t="str">
        <f aca="false">IF($C6028="","",$D6028*$E6028)</f>
        <v/>
      </c>
      <c r="G6028" s="107" t="str">
        <f aca="false">IF($C6028="","",$D6028*IFERROR(INDEX('تحليل التكلفة والسعر'!$C$2:$C$700,MATCH($C6028,'تحليل التكلفة والسعر'!$B$2:$B$700,0)),0))</f>
        <v/>
      </c>
    </row>
    <row r="6029" customFormat="false" ht="15" hidden="false" customHeight="false" outlineLevel="0" collapsed="false">
      <c r="A6029" s="103"/>
      <c r="B6029" s="104"/>
      <c r="C6029" s="104"/>
      <c r="E6029" s="107" t="str">
        <f aca="false">IF($C6029="","",IFERROR(INDEX(المنيو!$C$2:$C$500,MATCH($C6029,المنيو!$B$2:$B$500,0)),0))</f>
        <v/>
      </c>
      <c r="F6029" s="107" t="str">
        <f aca="false">IF($C6029="","",$D6029*$E6029)</f>
        <v/>
      </c>
      <c r="G6029" s="107" t="str">
        <f aca="false">IF($C6029="","",$D6029*IFERROR(INDEX('تحليل التكلفة والسعر'!$C$2:$C$700,MATCH($C6029,'تحليل التكلفة والسعر'!$B$2:$B$700,0)),0))</f>
        <v/>
      </c>
    </row>
    <row r="6030" customFormat="false" ht="15" hidden="false" customHeight="false" outlineLevel="0" collapsed="false">
      <c r="A6030" s="103"/>
      <c r="B6030" s="104"/>
      <c r="C6030" s="104"/>
      <c r="E6030" s="107" t="str">
        <f aca="false">IF($C6030="","",IFERROR(INDEX(المنيو!$C$2:$C$500,MATCH($C6030,المنيو!$B$2:$B$500,0)),0))</f>
        <v/>
      </c>
      <c r="F6030" s="107" t="str">
        <f aca="false">IF($C6030="","",$D6030*$E6030)</f>
        <v/>
      </c>
      <c r="G6030" s="107" t="str">
        <f aca="false">IF($C6030="","",$D6030*IFERROR(INDEX('تحليل التكلفة والسعر'!$C$2:$C$700,MATCH($C6030,'تحليل التكلفة والسعر'!$B$2:$B$700,0)),0))</f>
        <v/>
      </c>
    </row>
    <row r="6031" customFormat="false" ht="15" hidden="false" customHeight="false" outlineLevel="0" collapsed="false">
      <c r="A6031" s="103"/>
      <c r="B6031" s="104"/>
      <c r="C6031" s="104"/>
      <c r="E6031" s="107" t="str">
        <f aca="false">IF($C6031="","",IFERROR(INDEX(المنيو!$C$2:$C$500,MATCH($C6031,المنيو!$B$2:$B$500,0)),0))</f>
        <v/>
      </c>
      <c r="F6031" s="107" t="str">
        <f aca="false">IF($C6031="","",$D6031*$E6031)</f>
        <v/>
      </c>
      <c r="G6031" s="107" t="str">
        <f aca="false">IF($C6031="","",$D6031*IFERROR(INDEX('تحليل التكلفة والسعر'!$C$2:$C$700,MATCH($C6031,'تحليل التكلفة والسعر'!$B$2:$B$700,0)),0))</f>
        <v/>
      </c>
    </row>
    <row r="6032" customFormat="false" ht="15" hidden="false" customHeight="false" outlineLevel="0" collapsed="false">
      <c r="A6032" s="103"/>
      <c r="B6032" s="104"/>
      <c r="C6032" s="104"/>
      <c r="E6032" s="107" t="str">
        <f aca="false">IF($C6032="","",IFERROR(INDEX(المنيو!$C$2:$C$500,MATCH($C6032,المنيو!$B$2:$B$500,0)),0))</f>
        <v/>
      </c>
      <c r="F6032" s="107" t="str">
        <f aca="false">IF($C6032="","",$D6032*$E6032)</f>
        <v/>
      </c>
      <c r="G6032" s="107" t="str">
        <f aca="false">IF($C6032="","",$D6032*IFERROR(INDEX('تحليل التكلفة والسعر'!$C$2:$C$700,MATCH($C6032,'تحليل التكلفة والسعر'!$B$2:$B$700,0)),0))</f>
        <v/>
      </c>
    </row>
    <row r="6033" customFormat="false" ht="15" hidden="false" customHeight="false" outlineLevel="0" collapsed="false">
      <c r="A6033" s="103"/>
      <c r="B6033" s="104"/>
      <c r="C6033" s="104"/>
      <c r="E6033" s="107" t="str">
        <f aca="false">IF($C6033="","",IFERROR(INDEX(المنيو!$C$2:$C$500,MATCH($C6033,المنيو!$B$2:$B$500,0)),0))</f>
        <v/>
      </c>
      <c r="F6033" s="107" t="str">
        <f aca="false">IF($C6033="","",$D6033*$E6033)</f>
        <v/>
      </c>
      <c r="G6033" s="107" t="str">
        <f aca="false">IF($C6033="","",$D6033*IFERROR(INDEX('تحليل التكلفة والسعر'!$C$2:$C$700,MATCH($C6033,'تحليل التكلفة والسعر'!$B$2:$B$700,0)),0))</f>
        <v/>
      </c>
    </row>
    <row r="6034" customFormat="false" ht="15" hidden="false" customHeight="false" outlineLevel="0" collapsed="false">
      <c r="A6034" s="103"/>
      <c r="B6034" s="104"/>
      <c r="C6034" s="104"/>
      <c r="E6034" s="107" t="str">
        <f aca="false">IF($C6034="","",IFERROR(INDEX(المنيو!$C$2:$C$500,MATCH($C6034,المنيو!$B$2:$B$500,0)),0))</f>
        <v/>
      </c>
      <c r="F6034" s="107" t="str">
        <f aca="false">IF($C6034="","",$D6034*$E6034)</f>
        <v/>
      </c>
      <c r="G6034" s="107" t="str">
        <f aca="false">IF($C6034="","",$D6034*IFERROR(INDEX('تحليل التكلفة والسعر'!$C$2:$C$700,MATCH($C6034,'تحليل التكلفة والسعر'!$B$2:$B$700,0)),0))</f>
        <v/>
      </c>
    </row>
    <row r="6035" customFormat="false" ht="15" hidden="false" customHeight="false" outlineLevel="0" collapsed="false">
      <c r="A6035" s="103"/>
      <c r="B6035" s="104"/>
      <c r="C6035" s="104"/>
      <c r="E6035" s="107" t="str">
        <f aca="false">IF($C6035="","",IFERROR(INDEX(المنيو!$C$2:$C$500,MATCH($C6035,المنيو!$B$2:$B$500,0)),0))</f>
        <v/>
      </c>
      <c r="F6035" s="107" t="str">
        <f aca="false">IF($C6035="","",$D6035*$E6035)</f>
        <v/>
      </c>
      <c r="G6035" s="107" t="str">
        <f aca="false">IF($C6035="","",$D6035*IFERROR(INDEX('تحليل التكلفة والسعر'!$C$2:$C$700,MATCH($C6035,'تحليل التكلفة والسعر'!$B$2:$B$700,0)),0))</f>
        <v/>
      </c>
    </row>
    <row r="6036" customFormat="false" ht="15" hidden="false" customHeight="false" outlineLevel="0" collapsed="false">
      <c r="A6036" s="103"/>
      <c r="B6036" s="104"/>
      <c r="C6036" s="104"/>
      <c r="E6036" s="107" t="str">
        <f aca="false">IF($C6036="","",IFERROR(INDEX(المنيو!$C$2:$C$500,MATCH($C6036,المنيو!$B$2:$B$500,0)),0))</f>
        <v/>
      </c>
      <c r="F6036" s="107" t="str">
        <f aca="false">IF($C6036="","",$D6036*$E6036)</f>
        <v/>
      </c>
      <c r="G6036" s="107" t="str">
        <f aca="false">IF($C6036="","",$D6036*IFERROR(INDEX('تحليل التكلفة والسعر'!$C$2:$C$700,MATCH($C6036,'تحليل التكلفة والسعر'!$B$2:$B$700,0)),0))</f>
        <v/>
      </c>
    </row>
    <row r="6037" customFormat="false" ht="15" hidden="false" customHeight="false" outlineLevel="0" collapsed="false">
      <c r="A6037" s="103"/>
      <c r="B6037" s="104"/>
      <c r="C6037" s="104"/>
      <c r="E6037" s="107" t="str">
        <f aca="false">IF($C6037="","",IFERROR(INDEX(المنيو!$C$2:$C$500,MATCH($C6037,المنيو!$B$2:$B$500,0)),0))</f>
        <v/>
      </c>
      <c r="F6037" s="107" t="str">
        <f aca="false">IF($C6037="","",$D6037*$E6037)</f>
        <v/>
      </c>
      <c r="G6037" s="107" t="str">
        <f aca="false">IF($C6037="","",$D6037*IFERROR(INDEX('تحليل التكلفة والسعر'!$C$2:$C$700,MATCH($C6037,'تحليل التكلفة والسعر'!$B$2:$B$700,0)),0))</f>
        <v/>
      </c>
    </row>
    <row r="6038" customFormat="false" ht="15" hidden="false" customHeight="false" outlineLevel="0" collapsed="false">
      <c r="A6038" s="103"/>
      <c r="B6038" s="104"/>
      <c r="C6038" s="104"/>
      <c r="E6038" s="107" t="str">
        <f aca="false">IF($C6038="","",IFERROR(INDEX(المنيو!$C$2:$C$500,MATCH($C6038,المنيو!$B$2:$B$500,0)),0))</f>
        <v/>
      </c>
      <c r="F6038" s="107" t="str">
        <f aca="false">IF($C6038="","",$D6038*$E6038)</f>
        <v/>
      </c>
      <c r="G6038" s="107" t="str">
        <f aca="false">IF($C6038="","",$D6038*IFERROR(INDEX('تحليل التكلفة والسعر'!$C$2:$C$700,MATCH($C6038,'تحليل التكلفة والسعر'!$B$2:$B$700,0)),0))</f>
        <v/>
      </c>
    </row>
    <row r="6039" customFormat="false" ht="15" hidden="false" customHeight="false" outlineLevel="0" collapsed="false">
      <c r="A6039" s="103"/>
      <c r="B6039" s="104"/>
      <c r="C6039" s="104"/>
      <c r="E6039" s="107" t="str">
        <f aca="false">IF($C6039="","",IFERROR(INDEX(المنيو!$C$2:$C$500,MATCH($C6039,المنيو!$B$2:$B$500,0)),0))</f>
        <v/>
      </c>
      <c r="F6039" s="107" t="str">
        <f aca="false">IF($C6039="","",$D6039*$E6039)</f>
        <v/>
      </c>
      <c r="G6039" s="107" t="str">
        <f aca="false">IF($C6039="","",$D6039*IFERROR(INDEX('تحليل التكلفة والسعر'!$C$2:$C$700,MATCH($C6039,'تحليل التكلفة والسعر'!$B$2:$B$700,0)),0))</f>
        <v/>
      </c>
    </row>
    <row r="6040" customFormat="false" ht="15" hidden="false" customHeight="false" outlineLevel="0" collapsed="false">
      <c r="A6040" s="103"/>
      <c r="B6040" s="104"/>
      <c r="C6040" s="104"/>
      <c r="E6040" s="107" t="str">
        <f aca="false">IF($C6040="","",IFERROR(INDEX(المنيو!$C$2:$C$500,MATCH($C6040,المنيو!$B$2:$B$500,0)),0))</f>
        <v/>
      </c>
      <c r="F6040" s="107" t="str">
        <f aca="false">IF($C6040="","",$D6040*$E6040)</f>
        <v/>
      </c>
      <c r="G6040" s="107" t="str">
        <f aca="false">IF($C6040="","",$D6040*IFERROR(INDEX('تحليل التكلفة والسعر'!$C$2:$C$700,MATCH($C6040,'تحليل التكلفة والسعر'!$B$2:$B$700,0)),0))</f>
        <v/>
      </c>
    </row>
    <row r="6041" customFormat="false" ht="15" hidden="false" customHeight="false" outlineLevel="0" collapsed="false">
      <c r="A6041" s="103"/>
      <c r="B6041" s="104"/>
      <c r="C6041" s="104"/>
      <c r="E6041" s="107" t="str">
        <f aca="false">IF($C6041="","",IFERROR(INDEX(المنيو!$C$2:$C$500,MATCH($C6041,المنيو!$B$2:$B$500,0)),0))</f>
        <v/>
      </c>
      <c r="F6041" s="107" t="str">
        <f aca="false">IF($C6041="","",$D6041*$E6041)</f>
        <v/>
      </c>
      <c r="G6041" s="107" t="str">
        <f aca="false">IF($C6041="","",$D6041*IFERROR(INDEX('تحليل التكلفة والسعر'!$C$2:$C$700,MATCH($C6041,'تحليل التكلفة والسعر'!$B$2:$B$700,0)),0))</f>
        <v/>
      </c>
    </row>
    <row r="6042" customFormat="false" ht="15" hidden="false" customHeight="false" outlineLevel="0" collapsed="false">
      <c r="A6042" s="103"/>
      <c r="B6042" s="104"/>
      <c r="C6042" s="104"/>
      <c r="E6042" s="107" t="str">
        <f aca="false">IF($C6042="","",IFERROR(INDEX(المنيو!$C$2:$C$500,MATCH($C6042,المنيو!$B$2:$B$500,0)),0))</f>
        <v/>
      </c>
      <c r="F6042" s="107" t="str">
        <f aca="false">IF($C6042="","",$D6042*$E6042)</f>
        <v/>
      </c>
      <c r="G6042" s="107" t="str">
        <f aca="false">IF($C6042="","",$D6042*IFERROR(INDEX('تحليل التكلفة والسعر'!$C$2:$C$700,MATCH($C6042,'تحليل التكلفة والسعر'!$B$2:$B$700,0)),0))</f>
        <v/>
      </c>
    </row>
    <row r="6043" customFormat="false" ht="15" hidden="false" customHeight="false" outlineLevel="0" collapsed="false">
      <c r="A6043" s="103"/>
      <c r="B6043" s="104"/>
      <c r="C6043" s="104"/>
      <c r="E6043" s="107" t="str">
        <f aca="false">IF($C6043="","",IFERROR(INDEX(المنيو!$C$2:$C$500,MATCH($C6043,المنيو!$B$2:$B$500,0)),0))</f>
        <v/>
      </c>
      <c r="F6043" s="107" t="str">
        <f aca="false">IF($C6043="","",$D6043*$E6043)</f>
        <v/>
      </c>
      <c r="G6043" s="107" t="str">
        <f aca="false">IF($C6043="","",$D6043*IFERROR(INDEX('تحليل التكلفة والسعر'!$C$2:$C$700,MATCH($C6043,'تحليل التكلفة والسعر'!$B$2:$B$700,0)),0))</f>
        <v/>
      </c>
    </row>
    <row r="6044" customFormat="false" ht="15" hidden="false" customHeight="false" outlineLevel="0" collapsed="false">
      <c r="A6044" s="103"/>
      <c r="B6044" s="104"/>
      <c r="C6044" s="104"/>
      <c r="E6044" s="107" t="str">
        <f aca="false">IF($C6044="","",IFERROR(INDEX(المنيو!$C$2:$C$500,MATCH($C6044,المنيو!$B$2:$B$500,0)),0))</f>
        <v/>
      </c>
      <c r="F6044" s="107" t="str">
        <f aca="false">IF($C6044="","",$D6044*$E6044)</f>
        <v/>
      </c>
      <c r="G6044" s="107" t="str">
        <f aca="false">IF($C6044="","",$D6044*IFERROR(INDEX('تحليل التكلفة والسعر'!$C$2:$C$700,MATCH($C6044,'تحليل التكلفة والسعر'!$B$2:$B$700,0)),0))</f>
        <v/>
      </c>
    </row>
    <row r="6045" customFormat="false" ht="15" hidden="false" customHeight="false" outlineLevel="0" collapsed="false">
      <c r="A6045" s="103"/>
      <c r="B6045" s="104"/>
      <c r="C6045" s="104"/>
      <c r="E6045" s="107" t="str">
        <f aca="false">IF($C6045="","",IFERROR(INDEX(المنيو!$C$2:$C$500,MATCH($C6045,المنيو!$B$2:$B$500,0)),0))</f>
        <v/>
      </c>
      <c r="F6045" s="107" t="str">
        <f aca="false">IF($C6045="","",$D6045*$E6045)</f>
        <v/>
      </c>
      <c r="G6045" s="107" t="str">
        <f aca="false">IF($C6045="","",$D6045*IFERROR(INDEX('تحليل التكلفة والسعر'!$C$2:$C$700,MATCH($C6045,'تحليل التكلفة والسعر'!$B$2:$B$700,0)),0))</f>
        <v/>
      </c>
    </row>
    <row r="6046" customFormat="false" ht="15" hidden="false" customHeight="false" outlineLevel="0" collapsed="false">
      <c r="A6046" s="103"/>
      <c r="B6046" s="104"/>
      <c r="C6046" s="104"/>
      <c r="E6046" s="107" t="str">
        <f aca="false">IF($C6046="","",IFERROR(INDEX(المنيو!$C$2:$C$500,MATCH($C6046,المنيو!$B$2:$B$500,0)),0))</f>
        <v/>
      </c>
      <c r="F6046" s="107" t="str">
        <f aca="false">IF($C6046="","",$D6046*$E6046)</f>
        <v/>
      </c>
      <c r="G6046" s="107" t="str">
        <f aca="false">IF($C6046="","",$D6046*IFERROR(INDEX('تحليل التكلفة والسعر'!$C$2:$C$700,MATCH($C6046,'تحليل التكلفة والسعر'!$B$2:$B$700,0)),0))</f>
        <v/>
      </c>
    </row>
    <row r="6047" customFormat="false" ht="15" hidden="false" customHeight="false" outlineLevel="0" collapsed="false">
      <c r="A6047" s="103"/>
      <c r="B6047" s="104"/>
      <c r="C6047" s="104"/>
      <c r="E6047" s="107" t="str">
        <f aca="false">IF($C6047="","",IFERROR(INDEX(المنيو!$C$2:$C$500,MATCH($C6047,المنيو!$B$2:$B$500,0)),0))</f>
        <v/>
      </c>
      <c r="F6047" s="107" t="str">
        <f aca="false">IF($C6047="","",$D6047*$E6047)</f>
        <v/>
      </c>
      <c r="G6047" s="107" t="str">
        <f aca="false">IF($C6047="","",$D6047*IFERROR(INDEX('تحليل التكلفة والسعر'!$C$2:$C$700,MATCH($C6047,'تحليل التكلفة والسعر'!$B$2:$B$700,0)),0))</f>
        <v/>
      </c>
    </row>
    <row r="6048" customFormat="false" ht="15" hidden="false" customHeight="false" outlineLevel="0" collapsed="false">
      <c r="A6048" s="103"/>
      <c r="B6048" s="104"/>
      <c r="C6048" s="104"/>
      <c r="E6048" s="107" t="str">
        <f aca="false">IF($C6048="","",IFERROR(INDEX(المنيو!$C$2:$C$500,MATCH($C6048,المنيو!$B$2:$B$500,0)),0))</f>
        <v/>
      </c>
      <c r="F6048" s="107" t="str">
        <f aca="false">IF($C6048="","",$D6048*$E6048)</f>
        <v/>
      </c>
      <c r="G6048" s="107" t="str">
        <f aca="false">IF($C6048="","",$D6048*IFERROR(INDEX('تحليل التكلفة والسعر'!$C$2:$C$700,MATCH($C6048,'تحليل التكلفة والسعر'!$B$2:$B$700,0)),0))</f>
        <v/>
      </c>
    </row>
    <row r="6049" customFormat="false" ht="15" hidden="false" customHeight="false" outlineLevel="0" collapsed="false">
      <c r="A6049" s="103"/>
      <c r="B6049" s="104"/>
      <c r="C6049" s="104"/>
      <c r="E6049" s="107" t="str">
        <f aca="false">IF($C6049="","",IFERROR(INDEX(المنيو!$C$2:$C$500,MATCH($C6049,المنيو!$B$2:$B$500,0)),0))</f>
        <v/>
      </c>
      <c r="F6049" s="107" t="str">
        <f aca="false">IF($C6049="","",$D6049*$E6049)</f>
        <v/>
      </c>
      <c r="G6049" s="107" t="str">
        <f aca="false">IF($C6049="","",$D6049*IFERROR(INDEX('تحليل التكلفة والسعر'!$C$2:$C$700,MATCH($C6049,'تحليل التكلفة والسعر'!$B$2:$B$700,0)),0))</f>
        <v/>
      </c>
    </row>
    <row r="6050" customFormat="false" ht="15" hidden="false" customHeight="false" outlineLevel="0" collapsed="false">
      <c r="A6050" s="103"/>
      <c r="B6050" s="104"/>
      <c r="C6050" s="104"/>
      <c r="E6050" s="107" t="str">
        <f aca="false">IF($C6050="","",IFERROR(INDEX(المنيو!$C$2:$C$500,MATCH($C6050,المنيو!$B$2:$B$500,0)),0))</f>
        <v/>
      </c>
      <c r="F6050" s="107" t="str">
        <f aca="false">IF($C6050="","",$D6050*$E6050)</f>
        <v/>
      </c>
      <c r="G6050" s="107" t="str">
        <f aca="false">IF($C6050="","",$D6050*IFERROR(INDEX('تحليل التكلفة والسعر'!$C$2:$C$700,MATCH($C6050,'تحليل التكلفة والسعر'!$B$2:$B$700,0)),0))</f>
        <v/>
      </c>
    </row>
    <row r="6051" customFormat="false" ht="15" hidden="false" customHeight="false" outlineLevel="0" collapsed="false">
      <c r="A6051" s="103"/>
      <c r="B6051" s="104"/>
      <c r="C6051" s="104"/>
      <c r="E6051" s="107" t="str">
        <f aca="false">IF($C6051="","",IFERROR(INDEX(المنيو!$C$2:$C$500,MATCH($C6051,المنيو!$B$2:$B$500,0)),0))</f>
        <v/>
      </c>
      <c r="F6051" s="107" t="str">
        <f aca="false">IF($C6051="","",$D6051*$E6051)</f>
        <v/>
      </c>
      <c r="G6051" s="107" t="str">
        <f aca="false">IF($C6051="","",$D6051*IFERROR(INDEX('تحليل التكلفة والسعر'!$C$2:$C$700,MATCH($C6051,'تحليل التكلفة والسعر'!$B$2:$B$700,0)),0))</f>
        <v/>
      </c>
    </row>
    <row r="6052" customFormat="false" ht="15" hidden="false" customHeight="false" outlineLevel="0" collapsed="false">
      <c r="A6052" s="103"/>
      <c r="B6052" s="104"/>
      <c r="C6052" s="104"/>
      <c r="E6052" s="107" t="str">
        <f aca="false">IF($C6052="","",IFERROR(INDEX(المنيو!$C$2:$C$500,MATCH($C6052,المنيو!$B$2:$B$500,0)),0))</f>
        <v/>
      </c>
      <c r="F6052" s="107" t="str">
        <f aca="false">IF($C6052="","",$D6052*$E6052)</f>
        <v/>
      </c>
      <c r="G6052" s="107" t="str">
        <f aca="false">IF($C6052="","",$D6052*IFERROR(INDEX('تحليل التكلفة والسعر'!$C$2:$C$700,MATCH($C6052,'تحليل التكلفة والسعر'!$B$2:$B$700,0)),0))</f>
        <v/>
      </c>
    </row>
    <row r="6053" customFormat="false" ht="15" hidden="false" customHeight="false" outlineLevel="0" collapsed="false">
      <c r="A6053" s="103"/>
      <c r="B6053" s="104"/>
      <c r="C6053" s="104"/>
      <c r="E6053" s="107" t="str">
        <f aca="false">IF($C6053="","",IFERROR(INDEX(المنيو!$C$2:$C$500,MATCH($C6053,المنيو!$B$2:$B$500,0)),0))</f>
        <v/>
      </c>
      <c r="F6053" s="107" t="str">
        <f aca="false">IF($C6053="","",$D6053*$E6053)</f>
        <v/>
      </c>
      <c r="G6053" s="107" t="str">
        <f aca="false">IF($C6053="","",$D6053*IFERROR(INDEX('تحليل التكلفة والسعر'!$C$2:$C$700,MATCH($C6053,'تحليل التكلفة والسعر'!$B$2:$B$700,0)),0))</f>
        <v/>
      </c>
    </row>
    <row r="6054" customFormat="false" ht="15" hidden="false" customHeight="false" outlineLevel="0" collapsed="false">
      <c r="A6054" s="103"/>
      <c r="B6054" s="104"/>
      <c r="C6054" s="104"/>
      <c r="E6054" s="107" t="str">
        <f aca="false">IF($C6054="","",IFERROR(INDEX(المنيو!$C$2:$C$500,MATCH($C6054,المنيو!$B$2:$B$500,0)),0))</f>
        <v/>
      </c>
      <c r="F6054" s="107" t="str">
        <f aca="false">IF($C6054="","",$D6054*$E6054)</f>
        <v/>
      </c>
      <c r="G6054" s="107" t="str">
        <f aca="false">IF($C6054="","",$D6054*IFERROR(INDEX('تحليل التكلفة والسعر'!$C$2:$C$700,MATCH($C6054,'تحليل التكلفة والسعر'!$B$2:$B$700,0)),0))</f>
        <v/>
      </c>
    </row>
    <row r="6055" customFormat="false" ht="15" hidden="false" customHeight="false" outlineLevel="0" collapsed="false">
      <c r="A6055" s="103"/>
      <c r="B6055" s="104"/>
      <c r="C6055" s="104"/>
      <c r="E6055" s="107" t="str">
        <f aca="false">IF($C6055="","",IFERROR(INDEX(المنيو!$C$2:$C$500,MATCH($C6055,المنيو!$B$2:$B$500,0)),0))</f>
        <v/>
      </c>
      <c r="F6055" s="107" t="str">
        <f aca="false">IF($C6055="","",$D6055*$E6055)</f>
        <v/>
      </c>
      <c r="G6055" s="107" t="str">
        <f aca="false">IF($C6055="","",$D6055*IFERROR(INDEX('تحليل التكلفة والسعر'!$C$2:$C$700,MATCH($C6055,'تحليل التكلفة والسعر'!$B$2:$B$700,0)),0))</f>
        <v/>
      </c>
    </row>
    <row r="6056" customFormat="false" ht="15" hidden="false" customHeight="false" outlineLevel="0" collapsed="false">
      <c r="A6056" s="103"/>
      <c r="B6056" s="104"/>
      <c r="C6056" s="104"/>
      <c r="E6056" s="107" t="str">
        <f aca="false">IF($C6056="","",IFERROR(INDEX(المنيو!$C$2:$C$500,MATCH($C6056,المنيو!$B$2:$B$500,0)),0))</f>
        <v/>
      </c>
      <c r="F6056" s="107" t="str">
        <f aca="false">IF($C6056="","",$D6056*$E6056)</f>
        <v/>
      </c>
      <c r="G6056" s="107" t="str">
        <f aca="false">IF($C6056="","",$D6056*IFERROR(INDEX('تحليل التكلفة والسعر'!$C$2:$C$700,MATCH($C6056,'تحليل التكلفة والسعر'!$B$2:$B$700,0)),0))</f>
        <v/>
      </c>
    </row>
    <row r="6057" customFormat="false" ht="15" hidden="false" customHeight="false" outlineLevel="0" collapsed="false">
      <c r="A6057" s="103"/>
      <c r="B6057" s="104"/>
      <c r="C6057" s="104"/>
      <c r="E6057" s="107" t="str">
        <f aca="false">IF($C6057="","",IFERROR(INDEX(المنيو!$C$2:$C$500,MATCH($C6057,المنيو!$B$2:$B$500,0)),0))</f>
        <v/>
      </c>
      <c r="F6057" s="107" t="str">
        <f aca="false">IF($C6057="","",$D6057*$E6057)</f>
        <v/>
      </c>
      <c r="G6057" s="107" t="str">
        <f aca="false">IF($C6057="","",$D6057*IFERROR(INDEX('تحليل التكلفة والسعر'!$C$2:$C$700,MATCH($C6057,'تحليل التكلفة والسعر'!$B$2:$B$700,0)),0))</f>
        <v/>
      </c>
    </row>
    <row r="6058" customFormat="false" ht="15" hidden="false" customHeight="false" outlineLevel="0" collapsed="false">
      <c r="A6058" s="103"/>
      <c r="B6058" s="104"/>
      <c r="C6058" s="104"/>
      <c r="E6058" s="107" t="str">
        <f aca="false">IF($C6058="","",IFERROR(INDEX(المنيو!$C$2:$C$500,MATCH($C6058,المنيو!$B$2:$B$500,0)),0))</f>
        <v/>
      </c>
      <c r="F6058" s="107" t="str">
        <f aca="false">IF($C6058="","",$D6058*$E6058)</f>
        <v/>
      </c>
      <c r="G6058" s="107" t="str">
        <f aca="false">IF($C6058="","",$D6058*IFERROR(INDEX('تحليل التكلفة والسعر'!$C$2:$C$700,MATCH($C6058,'تحليل التكلفة والسعر'!$B$2:$B$700,0)),0))</f>
        <v/>
      </c>
    </row>
    <row r="6059" customFormat="false" ht="15" hidden="false" customHeight="false" outlineLevel="0" collapsed="false">
      <c r="A6059" s="103"/>
      <c r="B6059" s="104"/>
      <c r="C6059" s="104"/>
      <c r="E6059" s="107" t="str">
        <f aca="false">IF($C6059="","",IFERROR(INDEX(المنيو!$C$2:$C$500,MATCH($C6059,المنيو!$B$2:$B$500,0)),0))</f>
        <v/>
      </c>
      <c r="F6059" s="107" t="str">
        <f aca="false">IF($C6059="","",$D6059*$E6059)</f>
        <v/>
      </c>
      <c r="G6059" s="107" t="str">
        <f aca="false">IF($C6059="","",$D6059*IFERROR(INDEX('تحليل التكلفة والسعر'!$C$2:$C$700,MATCH($C6059,'تحليل التكلفة والسعر'!$B$2:$B$700,0)),0))</f>
        <v/>
      </c>
    </row>
    <row r="6060" customFormat="false" ht="15" hidden="false" customHeight="false" outlineLevel="0" collapsed="false">
      <c r="A6060" s="103"/>
      <c r="B6060" s="104"/>
      <c r="C6060" s="104"/>
      <c r="E6060" s="107" t="str">
        <f aca="false">IF($C6060="","",IFERROR(INDEX(المنيو!$C$2:$C$500,MATCH($C6060,المنيو!$B$2:$B$500,0)),0))</f>
        <v/>
      </c>
      <c r="F6060" s="107" t="str">
        <f aca="false">IF($C6060="","",$D6060*$E6060)</f>
        <v/>
      </c>
      <c r="G6060" s="107" t="str">
        <f aca="false">IF($C6060="","",$D6060*IFERROR(INDEX('تحليل التكلفة والسعر'!$C$2:$C$700,MATCH($C6060,'تحليل التكلفة والسعر'!$B$2:$B$700,0)),0))</f>
        <v/>
      </c>
    </row>
    <row r="6061" customFormat="false" ht="15" hidden="false" customHeight="false" outlineLevel="0" collapsed="false">
      <c r="A6061" s="103"/>
      <c r="B6061" s="104"/>
      <c r="C6061" s="104"/>
      <c r="E6061" s="107" t="str">
        <f aca="false">IF($C6061="","",IFERROR(INDEX(المنيو!$C$2:$C$500,MATCH($C6061,المنيو!$B$2:$B$500,0)),0))</f>
        <v/>
      </c>
      <c r="F6061" s="107" t="str">
        <f aca="false">IF($C6061="","",$D6061*$E6061)</f>
        <v/>
      </c>
      <c r="G6061" s="107" t="str">
        <f aca="false">IF($C6061="","",$D6061*IFERROR(INDEX('تحليل التكلفة والسعر'!$C$2:$C$700,MATCH($C6061,'تحليل التكلفة والسعر'!$B$2:$B$700,0)),0))</f>
        <v/>
      </c>
    </row>
    <row r="6062" customFormat="false" ht="15" hidden="false" customHeight="false" outlineLevel="0" collapsed="false">
      <c r="A6062" s="103"/>
      <c r="B6062" s="104"/>
      <c r="C6062" s="104"/>
      <c r="E6062" s="107" t="str">
        <f aca="false">IF($C6062="","",IFERROR(INDEX(المنيو!$C$2:$C$500,MATCH($C6062,المنيو!$B$2:$B$500,0)),0))</f>
        <v/>
      </c>
      <c r="F6062" s="107" t="str">
        <f aca="false">IF($C6062="","",$D6062*$E6062)</f>
        <v/>
      </c>
      <c r="G6062" s="107" t="str">
        <f aca="false">IF($C6062="","",$D6062*IFERROR(INDEX('تحليل التكلفة والسعر'!$C$2:$C$700,MATCH($C6062,'تحليل التكلفة والسعر'!$B$2:$B$700,0)),0))</f>
        <v/>
      </c>
    </row>
    <row r="6063" customFormat="false" ht="15" hidden="false" customHeight="false" outlineLevel="0" collapsed="false">
      <c r="A6063" s="103"/>
      <c r="B6063" s="104"/>
      <c r="C6063" s="104"/>
      <c r="E6063" s="107" t="str">
        <f aca="false">IF($C6063="","",IFERROR(INDEX(المنيو!$C$2:$C$500,MATCH($C6063,المنيو!$B$2:$B$500,0)),0))</f>
        <v/>
      </c>
      <c r="F6063" s="107" t="str">
        <f aca="false">IF($C6063="","",$D6063*$E6063)</f>
        <v/>
      </c>
      <c r="G6063" s="107" t="str">
        <f aca="false">IF($C6063="","",$D6063*IFERROR(INDEX('تحليل التكلفة والسعر'!$C$2:$C$700,MATCH($C6063,'تحليل التكلفة والسعر'!$B$2:$B$700,0)),0))</f>
        <v/>
      </c>
    </row>
    <row r="6064" customFormat="false" ht="15" hidden="false" customHeight="false" outlineLevel="0" collapsed="false">
      <c r="A6064" s="103"/>
      <c r="B6064" s="104"/>
      <c r="C6064" s="104"/>
      <c r="E6064" s="107" t="str">
        <f aca="false">IF($C6064="","",IFERROR(INDEX(المنيو!$C$2:$C$500,MATCH($C6064,المنيو!$B$2:$B$500,0)),0))</f>
        <v/>
      </c>
      <c r="F6064" s="107" t="str">
        <f aca="false">IF($C6064="","",$D6064*$E6064)</f>
        <v/>
      </c>
      <c r="G6064" s="107" t="str">
        <f aca="false">IF($C6064="","",$D6064*IFERROR(INDEX('تحليل التكلفة والسعر'!$C$2:$C$700,MATCH($C6064,'تحليل التكلفة والسعر'!$B$2:$B$700,0)),0))</f>
        <v/>
      </c>
    </row>
    <row r="6065" customFormat="false" ht="15" hidden="false" customHeight="false" outlineLevel="0" collapsed="false">
      <c r="A6065" s="103"/>
      <c r="B6065" s="104"/>
      <c r="C6065" s="104"/>
      <c r="E6065" s="107" t="str">
        <f aca="false">IF($C6065="","",IFERROR(INDEX(المنيو!$C$2:$C$500,MATCH($C6065,المنيو!$B$2:$B$500,0)),0))</f>
        <v/>
      </c>
      <c r="F6065" s="107" t="str">
        <f aca="false">IF($C6065="","",$D6065*$E6065)</f>
        <v/>
      </c>
      <c r="G6065" s="107" t="str">
        <f aca="false">IF($C6065="","",$D6065*IFERROR(INDEX('تحليل التكلفة والسعر'!$C$2:$C$700,MATCH($C6065,'تحليل التكلفة والسعر'!$B$2:$B$700,0)),0))</f>
        <v/>
      </c>
    </row>
    <row r="6066" customFormat="false" ht="15" hidden="false" customHeight="false" outlineLevel="0" collapsed="false">
      <c r="A6066" s="103"/>
      <c r="B6066" s="104"/>
      <c r="C6066" s="104"/>
      <c r="E6066" s="107" t="str">
        <f aca="false">IF($C6066="","",IFERROR(INDEX(المنيو!$C$2:$C$500,MATCH($C6066,المنيو!$B$2:$B$500,0)),0))</f>
        <v/>
      </c>
      <c r="F6066" s="107" t="str">
        <f aca="false">IF($C6066="","",$D6066*$E6066)</f>
        <v/>
      </c>
      <c r="G6066" s="107" t="str">
        <f aca="false">IF($C6066="","",$D6066*IFERROR(INDEX('تحليل التكلفة والسعر'!$C$2:$C$700,MATCH($C6066,'تحليل التكلفة والسعر'!$B$2:$B$700,0)),0))</f>
        <v/>
      </c>
    </row>
    <row r="6067" customFormat="false" ht="15" hidden="false" customHeight="false" outlineLevel="0" collapsed="false">
      <c r="A6067" s="103"/>
      <c r="B6067" s="104"/>
      <c r="C6067" s="104"/>
      <c r="E6067" s="107" t="str">
        <f aca="false">IF($C6067="","",IFERROR(INDEX(المنيو!$C$2:$C$500,MATCH($C6067,المنيو!$B$2:$B$500,0)),0))</f>
        <v/>
      </c>
      <c r="F6067" s="107" t="str">
        <f aca="false">IF($C6067="","",$D6067*$E6067)</f>
        <v/>
      </c>
      <c r="G6067" s="107" t="str">
        <f aca="false">IF($C6067="","",$D6067*IFERROR(INDEX('تحليل التكلفة والسعر'!$C$2:$C$700,MATCH($C6067,'تحليل التكلفة والسعر'!$B$2:$B$700,0)),0))</f>
        <v/>
      </c>
    </row>
    <row r="6068" customFormat="false" ht="15" hidden="false" customHeight="false" outlineLevel="0" collapsed="false">
      <c r="A6068" s="103"/>
      <c r="B6068" s="104"/>
      <c r="C6068" s="104"/>
      <c r="E6068" s="107" t="str">
        <f aca="false">IF($C6068="","",IFERROR(INDEX(المنيو!$C$2:$C$500,MATCH($C6068,المنيو!$B$2:$B$500,0)),0))</f>
        <v/>
      </c>
      <c r="F6068" s="107" t="str">
        <f aca="false">IF($C6068="","",$D6068*$E6068)</f>
        <v/>
      </c>
      <c r="G6068" s="107" t="str">
        <f aca="false">IF($C6068="","",$D6068*IFERROR(INDEX('تحليل التكلفة والسعر'!$C$2:$C$700,MATCH($C6068,'تحليل التكلفة والسعر'!$B$2:$B$700,0)),0))</f>
        <v/>
      </c>
    </row>
    <row r="6069" customFormat="false" ht="15" hidden="false" customHeight="false" outlineLevel="0" collapsed="false">
      <c r="A6069" s="103"/>
      <c r="B6069" s="104"/>
      <c r="C6069" s="104"/>
      <c r="E6069" s="107" t="str">
        <f aca="false">IF($C6069="","",IFERROR(INDEX(المنيو!$C$2:$C$500,MATCH($C6069,المنيو!$B$2:$B$500,0)),0))</f>
        <v/>
      </c>
      <c r="F6069" s="107" t="str">
        <f aca="false">IF($C6069="","",$D6069*$E6069)</f>
        <v/>
      </c>
      <c r="G6069" s="107" t="str">
        <f aca="false">IF($C6069="","",$D6069*IFERROR(INDEX('تحليل التكلفة والسعر'!$C$2:$C$700,MATCH($C6069,'تحليل التكلفة والسعر'!$B$2:$B$700,0)),0))</f>
        <v/>
      </c>
    </row>
    <row r="6070" customFormat="false" ht="15" hidden="false" customHeight="false" outlineLevel="0" collapsed="false">
      <c r="A6070" s="103"/>
      <c r="B6070" s="104"/>
      <c r="C6070" s="104"/>
      <c r="E6070" s="107" t="str">
        <f aca="false">IF($C6070="","",IFERROR(INDEX(المنيو!$C$2:$C$500,MATCH($C6070,المنيو!$B$2:$B$500,0)),0))</f>
        <v/>
      </c>
      <c r="F6070" s="107" t="str">
        <f aca="false">IF($C6070="","",$D6070*$E6070)</f>
        <v/>
      </c>
      <c r="G6070" s="107" t="str">
        <f aca="false">IF($C6070="","",$D6070*IFERROR(INDEX('تحليل التكلفة والسعر'!$C$2:$C$700,MATCH($C6070,'تحليل التكلفة والسعر'!$B$2:$B$700,0)),0))</f>
        <v/>
      </c>
    </row>
    <row r="6071" customFormat="false" ht="15" hidden="false" customHeight="false" outlineLevel="0" collapsed="false">
      <c r="A6071" s="103"/>
      <c r="B6071" s="104"/>
      <c r="C6071" s="104"/>
      <c r="E6071" s="107" t="str">
        <f aca="false">IF($C6071="","",IFERROR(INDEX(المنيو!$C$2:$C$500,MATCH($C6071,المنيو!$B$2:$B$500,0)),0))</f>
        <v/>
      </c>
      <c r="F6071" s="107" t="str">
        <f aca="false">IF($C6071="","",$D6071*$E6071)</f>
        <v/>
      </c>
      <c r="G6071" s="107" t="str">
        <f aca="false">IF($C6071="","",$D6071*IFERROR(INDEX('تحليل التكلفة والسعر'!$C$2:$C$700,MATCH($C6071,'تحليل التكلفة والسعر'!$B$2:$B$700,0)),0))</f>
        <v/>
      </c>
    </row>
    <row r="6072" customFormat="false" ht="15" hidden="false" customHeight="false" outlineLevel="0" collapsed="false">
      <c r="A6072" s="103"/>
      <c r="B6072" s="104"/>
      <c r="C6072" s="104"/>
      <c r="E6072" s="107" t="str">
        <f aca="false">IF($C6072="","",IFERROR(INDEX(المنيو!$C$2:$C$500,MATCH($C6072,المنيو!$B$2:$B$500,0)),0))</f>
        <v/>
      </c>
      <c r="F6072" s="107" t="str">
        <f aca="false">IF($C6072="","",$D6072*$E6072)</f>
        <v/>
      </c>
      <c r="G6072" s="107" t="str">
        <f aca="false">IF($C6072="","",$D6072*IFERROR(INDEX('تحليل التكلفة والسعر'!$C$2:$C$700,MATCH($C6072,'تحليل التكلفة والسعر'!$B$2:$B$700,0)),0))</f>
        <v/>
      </c>
    </row>
    <row r="6073" customFormat="false" ht="15" hidden="false" customHeight="false" outlineLevel="0" collapsed="false">
      <c r="A6073" s="103"/>
      <c r="B6073" s="104"/>
      <c r="C6073" s="104"/>
      <c r="E6073" s="107" t="str">
        <f aca="false">IF($C6073="","",IFERROR(INDEX(المنيو!$C$2:$C$500,MATCH($C6073,المنيو!$B$2:$B$500,0)),0))</f>
        <v/>
      </c>
      <c r="F6073" s="107" t="str">
        <f aca="false">IF($C6073="","",$D6073*$E6073)</f>
        <v/>
      </c>
      <c r="G6073" s="107" t="str">
        <f aca="false">IF($C6073="","",$D6073*IFERROR(INDEX('تحليل التكلفة والسعر'!$C$2:$C$700,MATCH($C6073,'تحليل التكلفة والسعر'!$B$2:$B$700,0)),0))</f>
        <v/>
      </c>
    </row>
    <row r="6074" customFormat="false" ht="15" hidden="false" customHeight="false" outlineLevel="0" collapsed="false">
      <c r="A6074" s="103"/>
      <c r="B6074" s="104"/>
      <c r="C6074" s="104"/>
      <c r="E6074" s="107" t="str">
        <f aca="false">IF($C6074="","",IFERROR(INDEX(المنيو!$C$2:$C$500,MATCH($C6074,المنيو!$B$2:$B$500,0)),0))</f>
        <v/>
      </c>
      <c r="F6074" s="107" t="str">
        <f aca="false">IF($C6074="","",$D6074*$E6074)</f>
        <v/>
      </c>
      <c r="G6074" s="107" t="str">
        <f aca="false">IF($C6074="","",$D6074*IFERROR(INDEX('تحليل التكلفة والسعر'!$C$2:$C$700,MATCH($C6074,'تحليل التكلفة والسعر'!$B$2:$B$700,0)),0))</f>
        <v/>
      </c>
    </row>
    <row r="6075" customFormat="false" ht="15" hidden="false" customHeight="false" outlineLevel="0" collapsed="false">
      <c r="A6075" s="103"/>
      <c r="B6075" s="104"/>
      <c r="C6075" s="104"/>
      <c r="E6075" s="107" t="str">
        <f aca="false">IF($C6075="","",IFERROR(INDEX(المنيو!$C$2:$C$500,MATCH($C6075,المنيو!$B$2:$B$500,0)),0))</f>
        <v/>
      </c>
      <c r="F6075" s="107" t="str">
        <f aca="false">IF($C6075="","",$D6075*$E6075)</f>
        <v/>
      </c>
      <c r="G6075" s="107" t="str">
        <f aca="false">IF($C6075="","",$D6075*IFERROR(INDEX('تحليل التكلفة والسعر'!$C$2:$C$700,MATCH($C6075,'تحليل التكلفة والسعر'!$B$2:$B$700,0)),0))</f>
        <v/>
      </c>
    </row>
    <row r="6076" customFormat="false" ht="15" hidden="false" customHeight="false" outlineLevel="0" collapsed="false">
      <c r="A6076" s="103"/>
      <c r="B6076" s="104"/>
      <c r="C6076" s="104"/>
      <c r="E6076" s="107" t="str">
        <f aca="false">IF($C6076="","",IFERROR(INDEX(المنيو!$C$2:$C$500,MATCH($C6076,المنيو!$B$2:$B$500,0)),0))</f>
        <v/>
      </c>
      <c r="F6076" s="107" t="str">
        <f aca="false">IF($C6076="","",$D6076*$E6076)</f>
        <v/>
      </c>
      <c r="G6076" s="107" t="str">
        <f aca="false">IF($C6076="","",$D6076*IFERROR(INDEX('تحليل التكلفة والسعر'!$C$2:$C$700,MATCH($C6076,'تحليل التكلفة والسعر'!$B$2:$B$700,0)),0))</f>
        <v/>
      </c>
    </row>
    <row r="6077" customFormat="false" ht="15" hidden="false" customHeight="false" outlineLevel="0" collapsed="false">
      <c r="A6077" s="103"/>
      <c r="B6077" s="104"/>
      <c r="C6077" s="104"/>
      <c r="E6077" s="107" t="str">
        <f aca="false">IF($C6077="","",IFERROR(INDEX(المنيو!$C$2:$C$500,MATCH($C6077,المنيو!$B$2:$B$500,0)),0))</f>
        <v/>
      </c>
      <c r="F6077" s="107" t="str">
        <f aca="false">IF($C6077="","",$D6077*$E6077)</f>
        <v/>
      </c>
      <c r="G6077" s="107" t="str">
        <f aca="false">IF($C6077="","",$D6077*IFERROR(INDEX('تحليل التكلفة والسعر'!$C$2:$C$700,MATCH($C6077,'تحليل التكلفة والسعر'!$B$2:$B$700,0)),0))</f>
        <v/>
      </c>
    </row>
    <row r="6078" customFormat="false" ht="15" hidden="false" customHeight="false" outlineLevel="0" collapsed="false">
      <c r="A6078" s="103"/>
      <c r="B6078" s="104"/>
      <c r="C6078" s="104"/>
      <c r="E6078" s="107" t="str">
        <f aca="false">IF($C6078="","",IFERROR(INDEX(المنيو!$C$2:$C$500,MATCH($C6078,المنيو!$B$2:$B$500,0)),0))</f>
        <v/>
      </c>
      <c r="F6078" s="107" t="str">
        <f aca="false">IF($C6078="","",$D6078*$E6078)</f>
        <v/>
      </c>
      <c r="G6078" s="107" t="str">
        <f aca="false">IF($C6078="","",$D6078*IFERROR(INDEX('تحليل التكلفة والسعر'!$C$2:$C$700,MATCH($C6078,'تحليل التكلفة والسعر'!$B$2:$B$700,0)),0))</f>
        <v/>
      </c>
    </row>
    <row r="6079" customFormat="false" ht="15" hidden="false" customHeight="false" outlineLevel="0" collapsed="false">
      <c r="A6079" s="103"/>
      <c r="B6079" s="104"/>
      <c r="C6079" s="104"/>
      <c r="E6079" s="107" t="str">
        <f aca="false">IF($C6079="","",IFERROR(INDEX(المنيو!$C$2:$C$500,MATCH($C6079,المنيو!$B$2:$B$500,0)),0))</f>
        <v/>
      </c>
      <c r="F6079" s="107" t="str">
        <f aca="false">IF($C6079="","",$D6079*$E6079)</f>
        <v/>
      </c>
      <c r="G6079" s="107" t="str">
        <f aca="false">IF($C6079="","",$D6079*IFERROR(INDEX('تحليل التكلفة والسعر'!$C$2:$C$700,MATCH($C6079,'تحليل التكلفة والسعر'!$B$2:$B$700,0)),0))</f>
        <v/>
      </c>
    </row>
    <row r="6080" customFormat="false" ht="15" hidden="false" customHeight="false" outlineLevel="0" collapsed="false">
      <c r="A6080" s="103"/>
      <c r="B6080" s="104"/>
      <c r="C6080" s="104"/>
      <c r="E6080" s="107" t="str">
        <f aca="false">IF($C6080="","",IFERROR(INDEX(المنيو!$C$2:$C$500,MATCH($C6080,المنيو!$B$2:$B$500,0)),0))</f>
        <v/>
      </c>
      <c r="F6080" s="107" t="str">
        <f aca="false">IF($C6080="","",$D6080*$E6080)</f>
        <v/>
      </c>
      <c r="G6080" s="107" t="str">
        <f aca="false">IF($C6080="","",$D6080*IFERROR(INDEX('تحليل التكلفة والسعر'!$C$2:$C$700,MATCH($C6080,'تحليل التكلفة والسعر'!$B$2:$B$700,0)),0))</f>
        <v/>
      </c>
    </row>
    <row r="6081" customFormat="false" ht="15" hidden="false" customHeight="false" outlineLevel="0" collapsed="false">
      <c r="A6081" s="103"/>
      <c r="B6081" s="104"/>
      <c r="C6081" s="104"/>
      <c r="E6081" s="107" t="str">
        <f aca="false">IF($C6081="","",IFERROR(INDEX(المنيو!$C$2:$C$500,MATCH($C6081,المنيو!$B$2:$B$500,0)),0))</f>
        <v/>
      </c>
      <c r="F6081" s="107" t="str">
        <f aca="false">IF($C6081="","",$D6081*$E6081)</f>
        <v/>
      </c>
      <c r="G6081" s="107" t="str">
        <f aca="false">IF($C6081="","",$D6081*IFERROR(INDEX('تحليل التكلفة والسعر'!$C$2:$C$700,MATCH($C6081,'تحليل التكلفة والسعر'!$B$2:$B$700,0)),0))</f>
        <v/>
      </c>
    </row>
    <row r="6082" customFormat="false" ht="15" hidden="false" customHeight="false" outlineLevel="0" collapsed="false">
      <c r="A6082" s="103"/>
      <c r="B6082" s="104"/>
      <c r="C6082" s="104"/>
      <c r="E6082" s="107" t="str">
        <f aca="false">IF($C6082="","",IFERROR(INDEX(المنيو!$C$2:$C$500,MATCH($C6082,المنيو!$B$2:$B$500,0)),0))</f>
        <v/>
      </c>
      <c r="F6082" s="107" t="str">
        <f aca="false">IF($C6082="","",$D6082*$E6082)</f>
        <v/>
      </c>
      <c r="G6082" s="107" t="str">
        <f aca="false">IF($C6082="","",$D6082*IFERROR(INDEX('تحليل التكلفة والسعر'!$C$2:$C$700,MATCH($C6082,'تحليل التكلفة والسعر'!$B$2:$B$700,0)),0))</f>
        <v/>
      </c>
    </row>
    <row r="6083" customFormat="false" ht="15" hidden="false" customHeight="false" outlineLevel="0" collapsed="false">
      <c r="A6083" s="103"/>
      <c r="B6083" s="104"/>
      <c r="C6083" s="104"/>
      <c r="E6083" s="107" t="str">
        <f aca="false">IF($C6083="","",IFERROR(INDEX(المنيو!$C$2:$C$500,MATCH($C6083,المنيو!$B$2:$B$500,0)),0))</f>
        <v/>
      </c>
      <c r="F6083" s="107" t="str">
        <f aca="false">IF($C6083="","",$D6083*$E6083)</f>
        <v/>
      </c>
      <c r="G6083" s="107" t="str">
        <f aca="false">IF($C6083="","",$D6083*IFERROR(INDEX('تحليل التكلفة والسعر'!$C$2:$C$700,MATCH($C6083,'تحليل التكلفة والسعر'!$B$2:$B$700,0)),0))</f>
        <v/>
      </c>
    </row>
    <row r="6084" customFormat="false" ht="15" hidden="false" customHeight="false" outlineLevel="0" collapsed="false">
      <c r="A6084" s="103"/>
      <c r="B6084" s="104"/>
      <c r="C6084" s="104"/>
      <c r="E6084" s="107" t="str">
        <f aca="false">IF($C6084="","",IFERROR(INDEX(المنيو!$C$2:$C$500,MATCH($C6084,المنيو!$B$2:$B$500,0)),0))</f>
        <v/>
      </c>
      <c r="F6084" s="107" t="str">
        <f aca="false">IF($C6084="","",$D6084*$E6084)</f>
        <v/>
      </c>
      <c r="G6084" s="107" t="str">
        <f aca="false">IF($C6084="","",$D6084*IFERROR(INDEX('تحليل التكلفة والسعر'!$C$2:$C$700,MATCH($C6084,'تحليل التكلفة والسعر'!$B$2:$B$700,0)),0))</f>
        <v/>
      </c>
    </row>
    <row r="6085" customFormat="false" ht="15" hidden="false" customHeight="false" outlineLevel="0" collapsed="false">
      <c r="A6085" s="103"/>
      <c r="B6085" s="104"/>
      <c r="C6085" s="104"/>
      <c r="E6085" s="107" t="str">
        <f aca="false">IF($C6085="","",IFERROR(INDEX(المنيو!$C$2:$C$500,MATCH($C6085,المنيو!$B$2:$B$500,0)),0))</f>
        <v/>
      </c>
      <c r="F6085" s="107" t="str">
        <f aca="false">IF($C6085="","",$D6085*$E6085)</f>
        <v/>
      </c>
      <c r="G6085" s="107" t="str">
        <f aca="false">IF($C6085="","",$D6085*IFERROR(INDEX('تحليل التكلفة والسعر'!$C$2:$C$700,MATCH($C6085,'تحليل التكلفة والسعر'!$B$2:$B$700,0)),0))</f>
        <v/>
      </c>
    </row>
    <row r="6086" customFormat="false" ht="15" hidden="false" customHeight="false" outlineLevel="0" collapsed="false">
      <c r="A6086" s="103"/>
      <c r="B6086" s="104"/>
      <c r="C6086" s="104"/>
      <c r="E6086" s="107" t="str">
        <f aca="false">IF($C6086="","",IFERROR(INDEX(المنيو!$C$2:$C$500,MATCH($C6086,المنيو!$B$2:$B$500,0)),0))</f>
        <v/>
      </c>
      <c r="F6086" s="107" t="str">
        <f aca="false">IF($C6086="","",$D6086*$E6086)</f>
        <v/>
      </c>
      <c r="G6086" s="107" t="str">
        <f aca="false">IF($C6086="","",$D6086*IFERROR(INDEX('تحليل التكلفة والسعر'!$C$2:$C$700,MATCH($C6086,'تحليل التكلفة والسعر'!$B$2:$B$700,0)),0))</f>
        <v/>
      </c>
    </row>
    <row r="6087" customFormat="false" ht="15" hidden="false" customHeight="false" outlineLevel="0" collapsed="false">
      <c r="A6087" s="103"/>
      <c r="B6087" s="104"/>
      <c r="C6087" s="104"/>
      <c r="E6087" s="107" t="str">
        <f aca="false">IF($C6087="","",IFERROR(INDEX(المنيو!$C$2:$C$500,MATCH($C6087,المنيو!$B$2:$B$500,0)),0))</f>
        <v/>
      </c>
      <c r="F6087" s="107" t="str">
        <f aca="false">IF($C6087="","",$D6087*$E6087)</f>
        <v/>
      </c>
      <c r="G6087" s="107" t="str">
        <f aca="false">IF($C6087="","",$D6087*IFERROR(INDEX('تحليل التكلفة والسعر'!$C$2:$C$700,MATCH($C6087,'تحليل التكلفة والسعر'!$B$2:$B$700,0)),0))</f>
        <v/>
      </c>
    </row>
    <row r="6088" customFormat="false" ht="15" hidden="false" customHeight="false" outlineLevel="0" collapsed="false">
      <c r="A6088" s="103"/>
      <c r="B6088" s="104"/>
      <c r="C6088" s="104"/>
      <c r="E6088" s="107" t="str">
        <f aca="false">IF($C6088="","",IFERROR(INDEX(المنيو!$C$2:$C$500,MATCH($C6088,المنيو!$B$2:$B$500,0)),0))</f>
        <v/>
      </c>
      <c r="F6088" s="107" t="str">
        <f aca="false">IF($C6088="","",$D6088*$E6088)</f>
        <v/>
      </c>
      <c r="G6088" s="107" t="str">
        <f aca="false">IF($C6088="","",$D6088*IFERROR(INDEX('تحليل التكلفة والسعر'!$C$2:$C$700,MATCH($C6088,'تحليل التكلفة والسعر'!$B$2:$B$700,0)),0))</f>
        <v/>
      </c>
    </row>
    <row r="6089" customFormat="false" ht="15" hidden="false" customHeight="false" outlineLevel="0" collapsed="false">
      <c r="A6089" s="103"/>
      <c r="B6089" s="104"/>
      <c r="C6089" s="104"/>
      <c r="E6089" s="107" t="str">
        <f aca="false">IF($C6089="","",IFERROR(INDEX(المنيو!$C$2:$C$500,MATCH($C6089,المنيو!$B$2:$B$500,0)),0))</f>
        <v/>
      </c>
      <c r="F6089" s="107" t="str">
        <f aca="false">IF($C6089="","",$D6089*$E6089)</f>
        <v/>
      </c>
      <c r="G6089" s="107" t="str">
        <f aca="false">IF($C6089="","",$D6089*IFERROR(INDEX('تحليل التكلفة والسعر'!$C$2:$C$700,MATCH($C6089,'تحليل التكلفة والسعر'!$B$2:$B$700,0)),0))</f>
        <v/>
      </c>
    </row>
    <row r="6090" customFormat="false" ht="15" hidden="false" customHeight="false" outlineLevel="0" collapsed="false">
      <c r="A6090" s="103"/>
      <c r="B6090" s="104"/>
      <c r="C6090" s="104"/>
      <c r="E6090" s="107" t="str">
        <f aca="false">IF($C6090="","",IFERROR(INDEX(المنيو!$C$2:$C$500,MATCH($C6090,المنيو!$B$2:$B$500,0)),0))</f>
        <v/>
      </c>
      <c r="F6090" s="107" t="str">
        <f aca="false">IF($C6090="","",$D6090*$E6090)</f>
        <v/>
      </c>
      <c r="G6090" s="107" t="str">
        <f aca="false">IF($C6090="","",$D6090*IFERROR(INDEX('تحليل التكلفة والسعر'!$C$2:$C$700,MATCH($C6090,'تحليل التكلفة والسعر'!$B$2:$B$700,0)),0))</f>
        <v/>
      </c>
    </row>
    <row r="6091" customFormat="false" ht="15" hidden="false" customHeight="false" outlineLevel="0" collapsed="false">
      <c r="A6091" s="103"/>
      <c r="B6091" s="104"/>
      <c r="C6091" s="104"/>
      <c r="E6091" s="107" t="str">
        <f aca="false">IF($C6091="","",IFERROR(INDEX(المنيو!$C$2:$C$500,MATCH($C6091,المنيو!$B$2:$B$500,0)),0))</f>
        <v/>
      </c>
      <c r="F6091" s="107" t="str">
        <f aca="false">IF($C6091="","",$D6091*$E6091)</f>
        <v/>
      </c>
      <c r="G6091" s="107" t="str">
        <f aca="false">IF($C6091="","",$D6091*IFERROR(INDEX('تحليل التكلفة والسعر'!$C$2:$C$700,MATCH($C6091,'تحليل التكلفة والسعر'!$B$2:$B$700,0)),0))</f>
        <v/>
      </c>
    </row>
    <row r="6092" customFormat="false" ht="15" hidden="false" customHeight="false" outlineLevel="0" collapsed="false">
      <c r="A6092" s="103"/>
      <c r="B6092" s="104"/>
      <c r="C6092" s="104"/>
      <c r="E6092" s="107" t="str">
        <f aca="false">IF($C6092="","",IFERROR(INDEX(المنيو!$C$2:$C$500,MATCH($C6092,المنيو!$B$2:$B$500,0)),0))</f>
        <v/>
      </c>
      <c r="F6092" s="107" t="str">
        <f aca="false">IF($C6092="","",$D6092*$E6092)</f>
        <v/>
      </c>
      <c r="G6092" s="107" t="str">
        <f aca="false">IF($C6092="","",$D6092*IFERROR(INDEX('تحليل التكلفة والسعر'!$C$2:$C$700,MATCH($C6092,'تحليل التكلفة والسعر'!$B$2:$B$700,0)),0))</f>
        <v/>
      </c>
    </row>
    <row r="6093" customFormat="false" ht="15" hidden="false" customHeight="false" outlineLevel="0" collapsed="false">
      <c r="A6093" s="103"/>
      <c r="B6093" s="104"/>
      <c r="C6093" s="104"/>
      <c r="E6093" s="107" t="str">
        <f aca="false">IF($C6093="","",IFERROR(INDEX(المنيو!$C$2:$C$500,MATCH($C6093,المنيو!$B$2:$B$500,0)),0))</f>
        <v/>
      </c>
      <c r="F6093" s="107" t="str">
        <f aca="false">IF($C6093="","",$D6093*$E6093)</f>
        <v/>
      </c>
      <c r="G6093" s="107" t="str">
        <f aca="false">IF($C6093="","",$D6093*IFERROR(INDEX('تحليل التكلفة والسعر'!$C$2:$C$700,MATCH($C6093,'تحليل التكلفة والسعر'!$B$2:$B$700,0)),0))</f>
        <v/>
      </c>
    </row>
    <row r="6094" customFormat="false" ht="15" hidden="false" customHeight="false" outlineLevel="0" collapsed="false">
      <c r="A6094" s="103"/>
      <c r="B6094" s="104"/>
      <c r="C6094" s="104"/>
      <c r="E6094" s="107" t="str">
        <f aca="false">IF($C6094="","",IFERROR(INDEX(المنيو!$C$2:$C$500,MATCH($C6094,المنيو!$B$2:$B$500,0)),0))</f>
        <v/>
      </c>
      <c r="F6094" s="107" t="str">
        <f aca="false">IF($C6094="","",$D6094*$E6094)</f>
        <v/>
      </c>
      <c r="G6094" s="107" t="str">
        <f aca="false">IF($C6094="","",$D6094*IFERROR(INDEX('تحليل التكلفة والسعر'!$C$2:$C$700,MATCH($C6094,'تحليل التكلفة والسعر'!$B$2:$B$700,0)),0))</f>
        <v/>
      </c>
    </row>
    <row r="6095" customFormat="false" ht="15" hidden="false" customHeight="false" outlineLevel="0" collapsed="false">
      <c r="A6095" s="103"/>
      <c r="B6095" s="104"/>
      <c r="C6095" s="104"/>
      <c r="E6095" s="107" t="str">
        <f aca="false">IF($C6095="","",IFERROR(INDEX(المنيو!$C$2:$C$500,MATCH($C6095,المنيو!$B$2:$B$500,0)),0))</f>
        <v/>
      </c>
      <c r="F6095" s="107" t="str">
        <f aca="false">IF($C6095="","",$D6095*$E6095)</f>
        <v/>
      </c>
      <c r="G6095" s="107" t="str">
        <f aca="false">IF($C6095="","",$D6095*IFERROR(INDEX('تحليل التكلفة والسعر'!$C$2:$C$700,MATCH($C6095,'تحليل التكلفة والسعر'!$B$2:$B$700,0)),0))</f>
        <v/>
      </c>
    </row>
    <row r="6096" customFormat="false" ht="15" hidden="false" customHeight="false" outlineLevel="0" collapsed="false">
      <c r="A6096" s="103"/>
      <c r="B6096" s="104"/>
      <c r="C6096" s="104"/>
      <c r="E6096" s="107" t="str">
        <f aca="false">IF($C6096="","",IFERROR(INDEX(المنيو!$C$2:$C$500,MATCH($C6096,المنيو!$B$2:$B$500,0)),0))</f>
        <v/>
      </c>
      <c r="F6096" s="107" t="str">
        <f aca="false">IF($C6096="","",$D6096*$E6096)</f>
        <v/>
      </c>
      <c r="G6096" s="107" t="str">
        <f aca="false">IF($C6096="","",$D6096*IFERROR(INDEX('تحليل التكلفة والسعر'!$C$2:$C$700,MATCH($C6096,'تحليل التكلفة والسعر'!$B$2:$B$700,0)),0))</f>
        <v/>
      </c>
    </row>
    <row r="6097" customFormat="false" ht="15" hidden="false" customHeight="false" outlineLevel="0" collapsed="false">
      <c r="A6097" s="103"/>
      <c r="B6097" s="104"/>
      <c r="C6097" s="104"/>
      <c r="E6097" s="107" t="str">
        <f aca="false">IF($C6097="","",IFERROR(INDEX(المنيو!$C$2:$C$500,MATCH($C6097,المنيو!$B$2:$B$500,0)),0))</f>
        <v/>
      </c>
      <c r="F6097" s="107" t="str">
        <f aca="false">IF($C6097="","",$D6097*$E6097)</f>
        <v/>
      </c>
      <c r="G6097" s="107" t="str">
        <f aca="false">IF($C6097="","",$D6097*IFERROR(INDEX('تحليل التكلفة والسعر'!$C$2:$C$700,MATCH($C6097,'تحليل التكلفة والسعر'!$B$2:$B$700,0)),0))</f>
        <v/>
      </c>
    </row>
    <row r="6098" customFormat="false" ht="15" hidden="false" customHeight="false" outlineLevel="0" collapsed="false">
      <c r="A6098" s="103"/>
      <c r="B6098" s="104"/>
      <c r="C6098" s="104"/>
      <c r="E6098" s="107" t="str">
        <f aca="false">IF($C6098="","",IFERROR(INDEX(المنيو!$C$2:$C$500,MATCH($C6098,المنيو!$B$2:$B$500,0)),0))</f>
        <v/>
      </c>
      <c r="F6098" s="107" t="str">
        <f aca="false">IF($C6098="","",$D6098*$E6098)</f>
        <v/>
      </c>
      <c r="G6098" s="107" t="str">
        <f aca="false">IF($C6098="","",$D6098*IFERROR(INDEX('تحليل التكلفة والسعر'!$C$2:$C$700,MATCH($C6098,'تحليل التكلفة والسعر'!$B$2:$B$700,0)),0))</f>
        <v/>
      </c>
    </row>
    <row r="6099" customFormat="false" ht="15" hidden="false" customHeight="false" outlineLevel="0" collapsed="false">
      <c r="A6099" s="103"/>
      <c r="B6099" s="104"/>
      <c r="C6099" s="104"/>
      <c r="E6099" s="107" t="str">
        <f aca="false">IF($C6099="","",IFERROR(INDEX(المنيو!$C$2:$C$500,MATCH($C6099,المنيو!$B$2:$B$500,0)),0))</f>
        <v/>
      </c>
      <c r="F6099" s="107" t="str">
        <f aca="false">IF($C6099="","",$D6099*$E6099)</f>
        <v/>
      </c>
      <c r="G6099" s="107" t="str">
        <f aca="false">IF($C6099="","",$D6099*IFERROR(INDEX('تحليل التكلفة والسعر'!$C$2:$C$700,MATCH($C6099,'تحليل التكلفة والسعر'!$B$2:$B$700,0)),0))</f>
        <v/>
      </c>
    </row>
    <row r="6100" customFormat="false" ht="15" hidden="false" customHeight="false" outlineLevel="0" collapsed="false">
      <c r="A6100" s="103"/>
      <c r="B6100" s="104"/>
      <c r="C6100" s="104"/>
      <c r="E6100" s="107" t="str">
        <f aca="false">IF($C6100="","",IFERROR(INDEX(المنيو!$C$2:$C$500,MATCH($C6100,المنيو!$B$2:$B$500,0)),0))</f>
        <v/>
      </c>
      <c r="F6100" s="107" t="str">
        <f aca="false">IF($C6100="","",$D6100*$E6100)</f>
        <v/>
      </c>
      <c r="G6100" s="107" t="str">
        <f aca="false">IF($C6100="","",$D6100*IFERROR(INDEX('تحليل التكلفة والسعر'!$C$2:$C$700,MATCH($C6100,'تحليل التكلفة والسعر'!$B$2:$B$700,0)),0))</f>
        <v/>
      </c>
    </row>
    <row r="6101" customFormat="false" ht="15" hidden="false" customHeight="false" outlineLevel="0" collapsed="false">
      <c r="A6101" s="103"/>
      <c r="B6101" s="104"/>
      <c r="C6101" s="104"/>
      <c r="E6101" s="107" t="str">
        <f aca="false">IF($C6101="","",IFERROR(INDEX(المنيو!$C$2:$C$500,MATCH($C6101,المنيو!$B$2:$B$500,0)),0))</f>
        <v/>
      </c>
      <c r="F6101" s="107" t="str">
        <f aca="false">IF($C6101="","",$D6101*$E6101)</f>
        <v/>
      </c>
      <c r="G6101" s="107" t="str">
        <f aca="false">IF($C6101="","",$D6101*IFERROR(INDEX('تحليل التكلفة والسعر'!$C$2:$C$700,MATCH($C6101,'تحليل التكلفة والسعر'!$B$2:$B$700,0)),0))</f>
        <v/>
      </c>
    </row>
    <row r="6102" customFormat="false" ht="15" hidden="false" customHeight="false" outlineLevel="0" collapsed="false">
      <c r="A6102" s="103"/>
      <c r="B6102" s="104"/>
      <c r="C6102" s="104"/>
      <c r="E6102" s="107" t="str">
        <f aca="false">IF($C6102="","",IFERROR(INDEX(المنيو!$C$2:$C$500,MATCH($C6102,المنيو!$B$2:$B$500,0)),0))</f>
        <v/>
      </c>
      <c r="F6102" s="107" t="str">
        <f aca="false">IF($C6102="","",$D6102*$E6102)</f>
        <v/>
      </c>
      <c r="G6102" s="107" t="str">
        <f aca="false">IF($C6102="","",$D6102*IFERROR(INDEX('تحليل التكلفة والسعر'!$C$2:$C$700,MATCH($C6102,'تحليل التكلفة والسعر'!$B$2:$B$700,0)),0))</f>
        <v/>
      </c>
    </row>
    <row r="6103" customFormat="false" ht="15" hidden="false" customHeight="false" outlineLevel="0" collapsed="false">
      <c r="A6103" s="103"/>
      <c r="B6103" s="104"/>
      <c r="C6103" s="104"/>
      <c r="E6103" s="107" t="str">
        <f aca="false">IF($C6103="","",IFERROR(INDEX(المنيو!$C$2:$C$500,MATCH($C6103,المنيو!$B$2:$B$500,0)),0))</f>
        <v/>
      </c>
      <c r="F6103" s="107" t="str">
        <f aca="false">IF($C6103="","",$D6103*$E6103)</f>
        <v/>
      </c>
      <c r="G6103" s="107" t="str">
        <f aca="false">IF($C6103="","",$D6103*IFERROR(INDEX('تحليل التكلفة والسعر'!$C$2:$C$700,MATCH($C6103,'تحليل التكلفة والسعر'!$B$2:$B$700,0)),0))</f>
        <v/>
      </c>
    </row>
    <row r="6104" customFormat="false" ht="15" hidden="false" customHeight="false" outlineLevel="0" collapsed="false">
      <c r="A6104" s="103"/>
      <c r="B6104" s="104"/>
      <c r="C6104" s="104"/>
      <c r="E6104" s="107" t="str">
        <f aca="false">IF($C6104="","",IFERROR(INDEX(المنيو!$C$2:$C$500,MATCH($C6104,المنيو!$B$2:$B$500,0)),0))</f>
        <v/>
      </c>
      <c r="F6104" s="107" t="str">
        <f aca="false">IF($C6104="","",$D6104*$E6104)</f>
        <v/>
      </c>
      <c r="G6104" s="107" t="str">
        <f aca="false">IF($C6104="","",$D6104*IFERROR(INDEX('تحليل التكلفة والسعر'!$C$2:$C$700,MATCH($C6104,'تحليل التكلفة والسعر'!$B$2:$B$700,0)),0))</f>
        <v/>
      </c>
    </row>
    <row r="6105" customFormat="false" ht="15" hidden="false" customHeight="false" outlineLevel="0" collapsed="false">
      <c r="A6105" s="103"/>
      <c r="B6105" s="104"/>
      <c r="C6105" s="104"/>
      <c r="E6105" s="107" t="str">
        <f aca="false">IF($C6105="","",IFERROR(INDEX(المنيو!$C$2:$C$500,MATCH($C6105,المنيو!$B$2:$B$500,0)),0))</f>
        <v/>
      </c>
      <c r="F6105" s="107" t="str">
        <f aca="false">IF($C6105="","",$D6105*$E6105)</f>
        <v/>
      </c>
      <c r="G6105" s="107" t="str">
        <f aca="false">IF($C6105="","",$D6105*IFERROR(INDEX('تحليل التكلفة والسعر'!$C$2:$C$700,MATCH($C6105,'تحليل التكلفة والسعر'!$B$2:$B$700,0)),0))</f>
        <v/>
      </c>
    </row>
    <row r="6106" customFormat="false" ht="15" hidden="false" customHeight="false" outlineLevel="0" collapsed="false">
      <c r="A6106" s="103"/>
      <c r="B6106" s="104"/>
      <c r="C6106" s="104"/>
      <c r="E6106" s="107" t="str">
        <f aca="false">IF($C6106="","",IFERROR(INDEX(المنيو!$C$2:$C$500,MATCH($C6106,المنيو!$B$2:$B$500,0)),0))</f>
        <v/>
      </c>
      <c r="F6106" s="107" t="str">
        <f aca="false">IF($C6106="","",$D6106*$E6106)</f>
        <v/>
      </c>
      <c r="G6106" s="107" t="str">
        <f aca="false">IF($C6106="","",$D6106*IFERROR(INDEX('تحليل التكلفة والسعر'!$C$2:$C$700,MATCH($C6106,'تحليل التكلفة والسعر'!$B$2:$B$700,0)),0))</f>
        <v/>
      </c>
    </row>
    <row r="6107" customFormat="false" ht="15" hidden="false" customHeight="false" outlineLevel="0" collapsed="false">
      <c r="A6107" s="103"/>
      <c r="B6107" s="104"/>
      <c r="C6107" s="104"/>
      <c r="E6107" s="107" t="str">
        <f aca="false">IF($C6107="","",IFERROR(INDEX(المنيو!$C$2:$C$500,MATCH($C6107,المنيو!$B$2:$B$500,0)),0))</f>
        <v/>
      </c>
      <c r="F6107" s="107" t="str">
        <f aca="false">IF($C6107="","",$D6107*$E6107)</f>
        <v/>
      </c>
      <c r="G6107" s="107" t="str">
        <f aca="false">IF($C6107="","",$D6107*IFERROR(INDEX('تحليل التكلفة والسعر'!$C$2:$C$700,MATCH($C6107,'تحليل التكلفة والسعر'!$B$2:$B$700,0)),0))</f>
        <v/>
      </c>
    </row>
    <row r="6108" customFormat="false" ht="15" hidden="false" customHeight="false" outlineLevel="0" collapsed="false">
      <c r="A6108" s="103"/>
      <c r="B6108" s="104"/>
      <c r="C6108" s="104"/>
      <c r="E6108" s="107" t="str">
        <f aca="false">IF($C6108="","",IFERROR(INDEX(المنيو!$C$2:$C$500,MATCH($C6108,المنيو!$B$2:$B$500,0)),0))</f>
        <v/>
      </c>
      <c r="F6108" s="107" t="str">
        <f aca="false">IF($C6108="","",$D6108*$E6108)</f>
        <v/>
      </c>
      <c r="G6108" s="107" t="str">
        <f aca="false">IF($C6108="","",$D6108*IFERROR(INDEX('تحليل التكلفة والسعر'!$C$2:$C$700,MATCH($C6108,'تحليل التكلفة والسعر'!$B$2:$B$700,0)),0))</f>
        <v/>
      </c>
    </row>
    <row r="6109" customFormat="false" ht="15" hidden="false" customHeight="false" outlineLevel="0" collapsed="false">
      <c r="A6109" s="103"/>
      <c r="B6109" s="104"/>
      <c r="C6109" s="104"/>
      <c r="E6109" s="107" t="str">
        <f aca="false">IF($C6109="","",IFERROR(INDEX(المنيو!$C$2:$C$500,MATCH($C6109,المنيو!$B$2:$B$500,0)),0))</f>
        <v/>
      </c>
      <c r="F6109" s="107" t="str">
        <f aca="false">IF($C6109="","",$D6109*$E6109)</f>
        <v/>
      </c>
      <c r="G6109" s="107" t="str">
        <f aca="false">IF($C6109="","",$D6109*IFERROR(INDEX('تحليل التكلفة والسعر'!$C$2:$C$700,MATCH($C6109,'تحليل التكلفة والسعر'!$B$2:$B$700,0)),0))</f>
        <v/>
      </c>
    </row>
    <row r="6110" customFormat="false" ht="15" hidden="false" customHeight="false" outlineLevel="0" collapsed="false">
      <c r="A6110" s="103"/>
      <c r="B6110" s="104"/>
      <c r="C6110" s="104"/>
      <c r="E6110" s="107" t="str">
        <f aca="false">IF($C6110="","",IFERROR(INDEX(المنيو!$C$2:$C$500,MATCH($C6110,المنيو!$B$2:$B$500,0)),0))</f>
        <v/>
      </c>
      <c r="F6110" s="107" t="str">
        <f aca="false">IF($C6110="","",$D6110*$E6110)</f>
        <v/>
      </c>
      <c r="G6110" s="107" t="str">
        <f aca="false">IF($C6110="","",$D6110*IFERROR(INDEX('تحليل التكلفة والسعر'!$C$2:$C$700,MATCH($C6110,'تحليل التكلفة والسعر'!$B$2:$B$700,0)),0))</f>
        <v/>
      </c>
    </row>
    <row r="6111" customFormat="false" ht="15" hidden="false" customHeight="false" outlineLevel="0" collapsed="false">
      <c r="A6111" s="103"/>
      <c r="B6111" s="104"/>
      <c r="C6111" s="104"/>
      <c r="E6111" s="107" t="str">
        <f aca="false">IF($C6111="","",IFERROR(INDEX(المنيو!$C$2:$C$500,MATCH($C6111,المنيو!$B$2:$B$500,0)),0))</f>
        <v/>
      </c>
      <c r="F6111" s="107" t="str">
        <f aca="false">IF($C6111="","",$D6111*$E6111)</f>
        <v/>
      </c>
      <c r="G6111" s="107" t="str">
        <f aca="false">IF($C6111="","",$D6111*IFERROR(INDEX('تحليل التكلفة والسعر'!$C$2:$C$700,MATCH($C6111,'تحليل التكلفة والسعر'!$B$2:$B$700,0)),0))</f>
        <v/>
      </c>
    </row>
    <row r="6112" customFormat="false" ht="15" hidden="false" customHeight="false" outlineLevel="0" collapsed="false">
      <c r="A6112" s="103"/>
      <c r="B6112" s="104"/>
      <c r="C6112" s="104"/>
      <c r="E6112" s="107" t="str">
        <f aca="false">IF($C6112="","",IFERROR(INDEX(المنيو!$C$2:$C$500,MATCH($C6112,المنيو!$B$2:$B$500,0)),0))</f>
        <v/>
      </c>
      <c r="F6112" s="107" t="str">
        <f aca="false">IF($C6112="","",$D6112*$E6112)</f>
        <v/>
      </c>
      <c r="G6112" s="107" t="str">
        <f aca="false">IF($C6112="","",$D6112*IFERROR(INDEX('تحليل التكلفة والسعر'!$C$2:$C$700,MATCH($C6112,'تحليل التكلفة والسعر'!$B$2:$B$700,0)),0))</f>
        <v/>
      </c>
    </row>
    <row r="6113" customFormat="false" ht="15" hidden="false" customHeight="false" outlineLevel="0" collapsed="false">
      <c r="A6113" s="103"/>
      <c r="B6113" s="104"/>
      <c r="C6113" s="104"/>
      <c r="E6113" s="107" t="str">
        <f aca="false">IF($C6113="","",IFERROR(INDEX(المنيو!$C$2:$C$500,MATCH($C6113,المنيو!$B$2:$B$500,0)),0))</f>
        <v/>
      </c>
      <c r="F6113" s="107" t="str">
        <f aca="false">IF($C6113="","",$D6113*$E6113)</f>
        <v/>
      </c>
      <c r="G6113" s="107" t="str">
        <f aca="false">IF($C6113="","",$D6113*IFERROR(INDEX('تحليل التكلفة والسعر'!$C$2:$C$700,MATCH($C6113,'تحليل التكلفة والسعر'!$B$2:$B$700,0)),0))</f>
        <v/>
      </c>
    </row>
    <row r="6114" customFormat="false" ht="15" hidden="false" customHeight="false" outlineLevel="0" collapsed="false">
      <c r="A6114" s="103"/>
      <c r="B6114" s="104"/>
      <c r="C6114" s="104"/>
      <c r="E6114" s="107" t="str">
        <f aca="false">IF($C6114="","",IFERROR(INDEX(المنيو!$C$2:$C$500,MATCH($C6114,المنيو!$B$2:$B$500,0)),0))</f>
        <v/>
      </c>
      <c r="F6114" s="107" t="str">
        <f aca="false">IF($C6114="","",$D6114*$E6114)</f>
        <v/>
      </c>
      <c r="G6114" s="107" t="str">
        <f aca="false">IF($C6114="","",$D6114*IFERROR(INDEX('تحليل التكلفة والسعر'!$C$2:$C$700,MATCH($C6114,'تحليل التكلفة والسعر'!$B$2:$B$700,0)),0))</f>
        <v/>
      </c>
    </row>
    <row r="6115" customFormat="false" ht="15" hidden="false" customHeight="false" outlineLevel="0" collapsed="false">
      <c r="A6115" s="103"/>
      <c r="B6115" s="104"/>
      <c r="C6115" s="104"/>
      <c r="E6115" s="107" t="str">
        <f aca="false">IF($C6115="","",IFERROR(INDEX(المنيو!$C$2:$C$500,MATCH($C6115,المنيو!$B$2:$B$500,0)),0))</f>
        <v/>
      </c>
      <c r="F6115" s="107" t="str">
        <f aca="false">IF($C6115="","",$D6115*$E6115)</f>
        <v/>
      </c>
      <c r="G6115" s="107" t="str">
        <f aca="false">IF($C6115="","",$D6115*IFERROR(INDEX('تحليل التكلفة والسعر'!$C$2:$C$700,MATCH($C6115,'تحليل التكلفة والسعر'!$B$2:$B$700,0)),0))</f>
        <v/>
      </c>
    </row>
    <row r="6116" customFormat="false" ht="15" hidden="false" customHeight="false" outlineLevel="0" collapsed="false">
      <c r="A6116" s="103"/>
      <c r="B6116" s="104"/>
      <c r="C6116" s="104"/>
      <c r="E6116" s="107" t="str">
        <f aca="false">IF($C6116="","",IFERROR(INDEX(المنيو!$C$2:$C$500,MATCH($C6116,المنيو!$B$2:$B$500,0)),0))</f>
        <v/>
      </c>
      <c r="F6116" s="107" t="str">
        <f aca="false">IF($C6116="","",$D6116*$E6116)</f>
        <v/>
      </c>
      <c r="G6116" s="107" t="str">
        <f aca="false">IF($C6116="","",$D6116*IFERROR(INDEX('تحليل التكلفة والسعر'!$C$2:$C$700,MATCH($C6116,'تحليل التكلفة والسعر'!$B$2:$B$700,0)),0))</f>
        <v/>
      </c>
    </row>
    <row r="6117" customFormat="false" ht="15" hidden="false" customHeight="false" outlineLevel="0" collapsed="false">
      <c r="A6117" s="103"/>
      <c r="B6117" s="104"/>
      <c r="C6117" s="104"/>
      <c r="E6117" s="107" t="str">
        <f aca="false">IF($C6117="","",IFERROR(INDEX(المنيو!$C$2:$C$500,MATCH($C6117,المنيو!$B$2:$B$500,0)),0))</f>
        <v/>
      </c>
      <c r="F6117" s="107" t="str">
        <f aca="false">IF($C6117="","",$D6117*$E6117)</f>
        <v/>
      </c>
      <c r="G6117" s="107" t="str">
        <f aca="false">IF($C6117="","",$D6117*IFERROR(INDEX('تحليل التكلفة والسعر'!$C$2:$C$700,MATCH($C6117,'تحليل التكلفة والسعر'!$B$2:$B$700,0)),0))</f>
        <v/>
      </c>
    </row>
    <row r="6118" customFormat="false" ht="15" hidden="false" customHeight="false" outlineLevel="0" collapsed="false">
      <c r="A6118" s="103"/>
      <c r="B6118" s="104"/>
      <c r="C6118" s="104"/>
      <c r="E6118" s="107" t="str">
        <f aca="false">IF($C6118="","",IFERROR(INDEX(المنيو!$C$2:$C$500,MATCH($C6118,المنيو!$B$2:$B$500,0)),0))</f>
        <v/>
      </c>
      <c r="F6118" s="107" t="str">
        <f aca="false">IF($C6118="","",$D6118*$E6118)</f>
        <v/>
      </c>
      <c r="G6118" s="107" t="str">
        <f aca="false">IF($C6118="","",$D6118*IFERROR(INDEX('تحليل التكلفة والسعر'!$C$2:$C$700,MATCH($C6118,'تحليل التكلفة والسعر'!$B$2:$B$700,0)),0))</f>
        <v/>
      </c>
    </row>
    <row r="6119" customFormat="false" ht="15" hidden="false" customHeight="false" outlineLevel="0" collapsed="false">
      <c r="A6119" s="103"/>
      <c r="B6119" s="104"/>
      <c r="C6119" s="104"/>
      <c r="E6119" s="107" t="str">
        <f aca="false">IF($C6119="","",IFERROR(INDEX(المنيو!$C$2:$C$500,MATCH($C6119,المنيو!$B$2:$B$500,0)),0))</f>
        <v/>
      </c>
      <c r="F6119" s="107" t="str">
        <f aca="false">IF($C6119="","",$D6119*$E6119)</f>
        <v/>
      </c>
      <c r="G6119" s="107" t="str">
        <f aca="false">IF($C6119="","",$D6119*IFERROR(INDEX('تحليل التكلفة والسعر'!$C$2:$C$700,MATCH($C6119,'تحليل التكلفة والسعر'!$B$2:$B$700,0)),0))</f>
        <v/>
      </c>
    </row>
    <row r="6120" customFormat="false" ht="15" hidden="false" customHeight="false" outlineLevel="0" collapsed="false">
      <c r="A6120" s="103"/>
      <c r="B6120" s="104"/>
      <c r="C6120" s="104"/>
      <c r="E6120" s="107" t="str">
        <f aca="false">IF($C6120="","",IFERROR(INDEX(المنيو!$C$2:$C$500,MATCH($C6120,المنيو!$B$2:$B$500,0)),0))</f>
        <v/>
      </c>
      <c r="F6120" s="107" t="str">
        <f aca="false">IF($C6120="","",$D6120*$E6120)</f>
        <v/>
      </c>
      <c r="G6120" s="107" t="str">
        <f aca="false">IF($C6120="","",$D6120*IFERROR(INDEX('تحليل التكلفة والسعر'!$C$2:$C$700,MATCH($C6120,'تحليل التكلفة والسعر'!$B$2:$B$700,0)),0))</f>
        <v/>
      </c>
    </row>
    <row r="6121" customFormat="false" ht="15" hidden="false" customHeight="false" outlineLevel="0" collapsed="false">
      <c r="A6121" s="103"/>
      <c r="B6121" s="104"/>
      <c r="C6121" s="104"/>
      <c r="E6121" s="107" t="str">
        <f aca="false">IF($C6121="","",IFERROR(INDEX(المنيو!$C$2:$C$500,MATCH($C6121,المنيو!$B$2:$B$500,0)),0))</f>
        <v/>
      </c>
      <c r="F6121" s="107" t="str">
        <f aca="false">IF($C6121="","",$D6121*$E6121)</f>
        <v/>
      </c>
      <c r="G6121" s="107" t="str">
        <f aca="false">IF($C6121="","",$D6121*IFERROR(INDEX('تحليل التكلفة والسعر'!$C$2:$C$700,MATCH($C6121,'تحليل التكلفة والسعر'!$B$2:$B$700,0)),0))</f>
        <v/>
      </c>
    </row>
    <row r="6122" customFormat="false" ht="15" hidden="false" customHeight="false" outlineLevel="0" collapsed="false">
      <c r="A6122" s="103"/>
      <c r="B6122" s="104"/>
      <c r="C6122" s="104"/>
      <c r="E6122" s="107" t="str">
        <f aca="false">IF($C6122="","",IFERROR(INDEX(المنيو!$C$2:$C$500,MATCH($C6122,المنيو!$B$2:$B$500,0)),0))</f>
        <v/>
      </c>
      <c r="F6122" s="107" t="str">
        <f aca="false">IF($C6122="","",$D6122*$E6122)</f>
        <v/>
      </c>
      <c r="G6122" s="107" t="str">
        <f aca="false">IF($C6122="","",$D6122*IFERROR(INDEX('تحليل التكلفة والسعر'!$C$2:$C$700,MATCH($C6122,'تحليل التكلفة والسعر'!$B$2:$B$700,0)),0))</f>
        <v/>
      </c>
    </row>
    <row r="6123" customFormat="false" ht="15" hidden="false" customHeight="false" outlineLevel="0" collapsed="false">
      <c r="A6123" s="103"/>
      <c r="B6123" s="104"/>
      <c r="C6123" s="104"/>
      <c r="E6123" s="107" t="str">
        <f aca="false">IF($C6123="","",IFERROR(INDEX(المنيو!$C$2:$C$500,MATCH($C6123,المنيو!$B$2:$B$500,0)),0))</f>
        <v/>
      </c>
      <c r="F6123" s="107" t="str">
        <f aca="false">IF($C6123="","",$D6123*$E6123)</f>
        <v/>
      </c>
      <c r="G6123" s="107" t="str">
        <f aca="false">IF($C6123="","",$D6123*IFERROR(INDEX('تحليل التكلفة والسعر'!$C$2:$C$700,MATCH($C6123,'تحليل التكلفة والسعر'!$B$2:$B$700,0)),0))</f>
        <v/>
      </c>
    </row>
    <row r="6124" customFormat="false" ht="15" hidden="false" customHeight="false" outlineLevel="0" collapsed="false">
      <c r="A6124" s="103"/>
      <c r="B6124" s="104"/>
      <c r="C6124" s="104"/>
      <c r="E6124" s="107" t="str">
        <f aca="false">IF($C6124="","",IFERROR(INDEX(المنيو!$C$2:$C$500,MATCH($C6124,المنيو!$B$2:$B$500,0)),0))</f>
        <v/>
      </c>
      <c r="F6124" s="107" t="str">
        <f aca="false">IF($C6124="","",$D6124*$E6124)</f>
        <v/>
      </c>
      <c r="G6124" s="107" t="str">
        <f aca="false">IF($C6124="","",$D6124*IFERROR(INDEX('تحليل التكلفة والسعر'!$C$2:$C$700,MATCH($C6124,'تحليل التكلفة والسعر'!$B$2:$B$700,0)),0))</f>
        <v/>
      </c>
    </row>
    <row r="6125" customFormat="false" ht="15" hidden="false" customHeight="false" outlineLevel="0" collapsed="false">
      <c r="A6125" s="103"/>
      <c r="B6125" s="104"/>
      <c r="C6125" s="104"/>
      <c r="E6125" s="107" t="str">
        <f aca="false">IF($C6125="","",IFERROR(INDEX(المنيو!$C$2:$C$500,MATCH($C6125,المنيو!$B$2:$B$500,0)),0))</f>
        <v/>
      </c>
      <c r="F6125" s="107" t="str">
        <f aca="false">IF($C6125="","",$D6125*$E6125)</f>
        <v/>
      </c>
      <c r="G6125" s="107" t="str">
        <f aca="false">IF($C6125="","",$D6125*IFERROR(INDEX('تحليل التكلفة والسعر'!$C$2:$C$700,MATCH($C6125,'تحليل التكلفة والسعر'!$B$2:$B$700,0)),0))</f>
        <v/>
      </c>
    </row>
    <row r="6126" customFormat="false" ht="15" hidden="false" customHeight="false" outlineLevel="0" collapsed="false">
      <c r="A6126" s="103"/>
      <c r="B6126" s="104"/>
      <c r="C6126" s="104"/>
      <c r="E6126" s="107" t="str">
        <f aca="false">IF($C6126="","",IFERROR(INDEX(المنيو!$C$2:$C$500,MATCH($C6126,المنيو!$B$2:$B$500,0)),0))</f>
        <v/>
      </c>
      <c r="F6126" s="107" t="str">
        <f aca="false">IF($C6126="","",$D6126*$E6126)</f>
        <v/>
      </c>
      <c r="G6126" s="107" t="str">
        <f aca="false">IF($C6126="","",$D6126*IFERROR(INDEX('تحليل التكلفة والسعر'!$C$2:$C$700,MATCH($C6126,'تحليل التكلفة والسعر'!$B$2:$B$700,0)),0))</f>
        <v/>
      </c>
    </row>
    <row r="6127" customFormat="false" ht="15" hidden="false" customHeight="false" outlineLevel="0" collapsed="false">
      <c r="A6127" s="103"/>
      <c r="B6127" s="104"/>
      <c r="C6127" s="104"/>
      <c r="E6127" s="107" t="str">
        <f aca="false">IF($C6127="","",IFERROR(INDEX(المنيو!$C$2:$C$500,MATCH($C6127,المنيو!$B$2:$B$500,0)),0))</f>
        <v/>
      </c>
      <c r="F6127" s="107" t="str">
        <f aca="false">IF($C6127="","",$D6127*$E6127)</f>
        <v/>
      </c>
      <c r="G6127" s="107" t="str">
        <f aca="false">IF($C6127="","",$D6127*IFERROR(INDEX('تحليل التكلفة والسعر'!$C$2:$C$700,MATCH($C6127,'تحليل التكلفة والسعر'!$B$2:$B$700,0)),0))</f>
        <v/>
      </c>
    </row>
    <row r="6128" customFormat="false" ht="15" hidden="false" customHeight="false" outlineLevel="0" collapsed="false">
      <c r="A6128" s="103"/>
      <c r="B6128" s="104"/>
      <c r="C6128" s="104"/>
      <c r="E6128" s="107" t="str">
        <f aca="false">IF($C6128="","",IFERROR(INDEX(المنيو!$C$2:$C$500,MATCH($C6128,المنيو!$B$2:$B$500,0)),0))</f>
        <v/>
      </c>
      <c r="F6128" s="107" t="str">
        <f aca="false">IF($C6128="","",$D6128*$E6128)</f>
        <v/>
      </c>
      <c r="G6128" s="107" t="str">
        <f aca="false">IF($C6128="","",$D6128*IFERROR(INDEX('تحليل التكلفة والسعر'!$C$2:$C$700,MATCH($C6128,'تحليل التكلفة والسعر'!$B$2:$B$700,0)),0))</f>
        <v/>
      </c>
    </row>
    <row r="6129" customFormat="false" ht="15" hidden="false" customHeight="false" outlineLevel="0" collapsed="false">
      <c r="A6129" s="103"/>
      <c r="B6129" s="104"/>
      <c r="C6129" s="104"/>
      <c r="E6129" s="107" t="str">
        <f aca="false">IF($C6129="","",IFERROR(INDEX(المنيو!$C$2:$C$500,MATCH($C6129,المنيو!$B$2:$B$500,0)),0))</f>
        <v/>
      </c>
      <c r="F6129" s="107" t="str">
        <f aca="false">IF($C6129="","",$D6129*$E6129)</f>
        <v/>
      </c>
      <c r="G6129" s="107" t="str">
        <f aca="false">IF($C6129="","",$D6129*IFERROR(INDEX('تحليل التكلفة والسعر'!$C$2:$C$700,MATCH($C6129,'تحليل التكلفة والسعر'!$B$2:$B$700,0)),0))</f>
        <v/>
      </c>
    </row>
    <row r="6130" customFormat="false" ht="15" hidden="false" customHeight="false" outlineLevel="0" collapsed="false">
      <c r="A6130" s="103"/>
      <c r="B6130" s="104"/>
      <c r="C6130" s="104"/>
      <c r="E6130" s="107" t="str">
        <f aca="false">IF($C6130="","",IFERROR(INDEX(المنيو!$C$2:$C$500,MATCH($C6130,المنيو!$B$2:$B$500,0)),0))</f>
        <v/>
      </c>
      <c r="F6130" s="107" t="str">
        <f aca="false">IF($C6130="","",$D6130*$E6130)</f>
        <v/>
      </c>
      <c r="G6130" s="107" t="str">
        <f aca="false">IF($C6130="","",$D6130*IFERROR(INDEX('تحليل التكلفة والسعر'!$C$2:$C$700,MATCH($C6130,'تحليل التكلفة والسعر'!$B$2:$B$700,0)),0))</f>
        <v/>
      </c>
    </row>
    <row r="6131" customFormat="false" ht="15" hidden="false" customHeight="false" outlineLevel="0" collapsed="false">
      <c r="A6131" s="103"/>
      <c r="B6131" s="104"/>
      <c r="C6131" s="104"/>
      <c r="E6131" s="107" t="str">
        <f aca="false">IF($C6131="","",IFERROR(INDEX(المنيو!$C$2:$C$500,MATCH($C6131,المنيو!$B$2:$B$500,0)),0))</f>
        <v/>
      </c>
      <c r="F6131" s="107" t="str">
        <f aca="false">IF($C6131="","",$D6131*$E6131)</f>
        <v/>
      </c>
      <c r="G6131" s="107" t="str">
        <f aca="false">IF($C6131="","",$D6131*IFERROR(INDEX('تحليل التكلفة والسعر'!$C$2:$C$700,MATCH($C6131,'تحليل التكلفة والسعر'!$B$2:$B$700,0)),0))</f>
        <v/>
      </c>
    </row>
    <row r="6132" customFormat="false" ht="15" hidden="false" customHeight="false" outlineLevel="0" collapsed="false">
      <c r="A6132" s="103"/>
      <c r="B6132" s="104"/>
      <c r="C6132" s="104"/>
      <c r="E6132" s="107" t="str">
        <f aca="false">IF($C6132="","",IFERROR(INDEX(المنيو!$C$2:$C$500,MATCH($C6132,المنيو!$B$2:$B$500,0)),0))</f>
        <v/>
      </c>
      <c r="F6132" s="107" t="str">
        <f aca="false">IF($C6132="","",$D6132*$E6132)</f>
        <v/>
      </c>
      <c r="G6132" s="107" t="str">
        <f aca="false">IF($C6132="","",$D6132*IFERROR(INDEX('تحليل التكلفة والسعر'!$C$2:$C$700,MATCH($C6132,'تحليل التكلفة والسعر'!$B$2:$B$700,0)),0))</f>
        <v/>
      </c>
    </row>
    <row r="6133" customFormat="false" ht="15" hidden="false" customHeight="false" outlineLevel="0" collapsed="false">
      <c r="A6133" s="103"/>
      <c r="B6133" s="104"/>
      <c r="C6133" s="104"/>
      <c r="E6133" s="107" t="str">
        <f aca="false">IF($C6133="","",IFERROR(INDEX(المنيو!$C$2:$C$500,MATCH($C6133,المنيو!$B$2:$B$500,0)),0))</f>
        <v/>
      </c>
      <c r="F6133" s="107" t="str">
        <f aca="false">IF($C6133="","",$D6133*$E6133)</f>
        <v/>
      </c>
      <c r="G6133" s="107" t="str">
        <f aca="false">IF($C6133="","",$D6133*IFERROR(INDEX('تحليل التكلفة والسعر'!$C$2:$C$700,MATCH($C6133,'تحليل التكلفة والسعر'!$B$2:$B$700,0)),0))</f>
        <v/>
      </c>
    </row>
    <row r="6134" customFormat="false" ht="15" hidden="false" customHeight="false" outlineLevel="0" collapsed="false">
      <c r="A6134" s="103"/>
      <c r="B6134" s="104"/>
      <c r="C6134" s="104"/>
      <c r="E6134" s="107" t="str">
        <f aca="false">IF($C6134="","",IFERROR(INDEX(المنيو!$C$2:$C$500,MATCH($C6134,المنيو!$B$2:$B$500,0)),0))</f>
        <v/>
      </c>
      <c r="F6134" s="107" t="str">
        <f aca="false">IF($C6134="","",$D6134*$E6134)</f>
        <v/>
      </c>
      <c r="G6134" s="107" t="str">
        <f aca="false">IF($C6134="","",$D6134*IFERROR(INDEX('تحليل التكلفة والسعر'!$C$2:$C$700,MATCH($C6134,'تحليل التكلفة والسعر'!$B$2:$B$700,0)),0))</f>
        <v/>
      </c>
    </row>
    <row r="6135" customFormat="false" ht="15" hidden="false" customHeight="false" outlineLevel="0" collapsed="false">
      <c r="A6135" s="103"/>
      <c r="B6135" s="104"/>
      <c r="C6135" s="104"/>
      <c r="E6135" s="107" t="str">
        <f aca="false">IF($C6135="","",IFERROR(INDEX(المنيو!$C$2:$C$500,MATCH($C6135,المنيو!$B$2:$B$500,0)),0))</f>
        <v/>
      </c>
      <c r="F6135" s="107" t="str">
        <f aca="false">IF($C6135="","",$D6135*$E6135)</f>
        <v/>
      </c>
      <c r="G6135" s="107" t="str">
        <f aca="false">IF($C6135="","",$D6135*IFERROR(INDEX('تحليل التكلفة والسعر'!$C$2:$C$700,MATCH($C6135,'تحليل التكلفة والسعر'!$B$2:$B$700,0)),0))</f>
        <v/>
      </c>
    </row>
    <row r="6136" customFormat="false" ht="15" hidden="false" customHeight="false" outlineLevel="0" collapsed="false">
      <c r="A6136" s="103"/>
      <c r="B6136" s="104"/>
      <c r="C6136" s="104"/>
      <c r="E6136" s="107" t="str">
        <f aca="false">IF($C6136="","",IFERROR(INDEX(المنيو!$C$2:$C$500,MATCH($C6136,المنيو!$B$2:$B$500,0)),0))</f>
        <v/>
      </c>
      <c r="F6136" s="107" t="str">
        <f aca="false">IF($C6136="","",$D6136*$E6136)</f>
        <v/>
      </c>
      <c r="G6136" s="107" t="str">
        <f aca="false">IF($C6136="","",$D6136*IFERROR(INDEX('تحليل التكلفة والسعر'!$C$2:$C$700,MATCH($C6136,'تحليل التكلفة والسعر'!$B$2:$B$700,0)),0))</f>
        <v/>
      </c>
    </row>
    <row r="6137" customFormat="false" ht="15" hidden="false" customHeight="false" outlineLevel="0" collapsed="false">
      <c r="A6137" s="103"/>
      <c r="B6137" s="104"/>
      <c r="C6137" s="104"/>
      <c r="E6137" s="107" t="str">
        <f aca="false">IF($C6137="","",IFERROR(INDEX(المنيو!$C$2:$C$500,MATCH($C6137,المنيو!$B$2:$B$500,0)),0))</f>
        <v/>
      </c>
      <c r="F6137" s="107" t="str">
        <f aca="false">IF($C6137="","",$D6137*$E6137)</f>
        <v/>
      </c>
      <c r="G6137" s="107" t="str">
        <f aca="false">IF($C6137="","",$D6137*IFERROR(INDEX('تحليل التكلفة والسعر'!$C$2:$C$700,MATCH($C6137,'تحليل التكلفة والسعر'!$B$2:$B$700,0)),0))</f>
        <v/>
      </c>
    </row>
    <row r="6138" customFormat="false" ht="15" hidden="false" customHeight="false" outlineLevel="0" collapsed="false">
      <c r="A6138" s="103"/>
      <c r="B6138" s="104"/>
      <c r="C6138" s="104"/>
      <c r="E6138" s="107" t="str">
        <f aca="false">IF($C6138="","",IFERROR(INDEX(المنيو!$C$2:$C$500,MATCH($C6138,المنيو!$B$2:$B$500,0)),0))</f>
        <v/>
      </c>
      <c r="F6138" s="107" t="str">
        <f aca="false">IF($C6138="","",$D6138*$E6138)</f>
        <v/>
      </c>
      <c r="G6138" s="107" t="str">
        <f aca="false">IF($C6138="","",$D6138*IFERROR(INDEX('تحليل التكلفة والسعر'!$C$2:$C$700,MATCH($C6138,'تحليل التكلفة والسعر'!$B$2:$B$700,0)),0))</f>
        <v/>
      </c>
    </row>
    <row r="6139" customFormat="false" ht="15" hidden="false" customHeight="false" outlineLevel="0" collapsed="false">
      <c r="A6139" s="103"/>
      <c r="B6139" s="104"/>
      <c r="C6139" s="104"/>
      <c r="E6139" s="107" t="str">
        <f aca="false">IF($C6139="","",IFERROR(INDEX(المنيو!$C$2:$C$500,MATCH($C6139,المنيو!$B$2:$B$500,0)),0))</f>
        <v/>
      </c>
      <c r="F6139" s="107" t="str">
        <f aca="false">IF($C6139="","",$D6139*$E6139)</f>
        <v/>
      </c>
      <c r="G6139" s="107" t="str">
        <f aca="false">IF($C6139="","",$D6139*IFERROR(INDEX('تحليل التكلفة والسعر'!$C$2:$C$700,MATCH($C6139,'تحليل التكلفة والسعر'!$B$2:$B$700,0)),0))</f>
        <v/>
      </c>
    </row>
    <row r="6140" customFormat="false" ht="15" hidden="false" customHeight="false" outlineLevel="0" collapsed="false">
      <c r="A6140" s="103"/>
      <c r="B6140" s="104"/>
      <c r="C6140" s="104"/>
      <c r="E6140" s="107" t="str">
        <f aca="false">IF($C6140="","",IFERROR(INDEX(المنيو!$C$2:$C$500,MATCH($C6140,المنيو!$B$2:$B$500,0)),0))</f>
        <v/>
      </c>
      <c r="F6140" s="107" t="str">
        <f aca="false">IF($C6140="","",$D6140*$E6140)</f>
        <v/>
      </c>
      <c r="G6140" s="107" t="str">
        <f aca="false">IF($C6140="","",$D6140*IFERROR(INDEX('تحليل التكلفة والسعر'!$C$2:$C$700,MATCH($C6140,'تحليل التكلفة والسعر'!$B$2:$B$700,0)),0))</f>
        <v/>
      </c>
    </row>
    <row r="6141" customFormat="false" ht="15" hidden="false" customHeight="false" outlineLevel="0" collapsed="false">
      <c r="A6141" s="103"/>
      <c r="B6141" s="104"/>
      <c r="C6141" s="104"/>
      <c r="E6141" s="107" t="str">
        <f aca="false">IF($C6141="","",IFERROR(INDEX(المنيو!$C$2:$C$500,MATCH($C6141,المنيو!$B$2:$B$500,0)),0))</f>
        <v/>
      </c>
      <c r="F6141" s="107" t="str">
        <f aca="false">IF($C6141="","",$D6141*$E6141)</f>
        <v/>
      </c>
      <c r="G6141" s="107" t="str">
        <f aca="false">IF($C6141="","",$D6141*IFERROR(INDEX('تحليل التكلفة والسعر'!$C$2:$C$700,MATCH($C6141,'تحليل التكلفة والسعر'!$B$2:$B$700,0)),0))</f>
        <v/>
      </c>
    </row>
    <row r="6142" customFormat="false" ht="15" hidden="false" customHeight="false" outlineLevel="0" collapsed="false">
      <c r="A6142" s="103"/>
      <c r="B6142" s="104"/>
      <c r="C6142" s="104"/>
      <c r="E6142" s="107" t="str">
        <f aca="false">IF($C6142="","",IFERROR(INDEX(المنيو!$C$2:$C$500,MATCH($C6142,المنيو!$B$2:$B$500,0)),0))</f>
        <v/>
      </c>
      <c r="F6142" s="107" t="str">
        <f aca="false">IF($C6142="","",$D6142*$E6142)</f>
        <v/>
      </c>
      <c r="G6142" s="107" t="str">
        <f aca="false">IF($C6142="","",$D6142*IFERROR(INDEX('تحليل التكلفة والسعر'!$C$2:$C$700,MATCH($C6142,'تحليل التكلفة والسعر'!$B$2:$B$700,0)),0))</f>
        <v/>
      </c>
    </row>
    <row r="6143" customFormat="false" ht="15" hidden="false" customHeight="false" outlineLevel="0" collapsed="false">
      <c r="A6143" s="103"/>
      <c r="B6143" s="104"/>
      <c r="C6143" s="104"/>
      <c r="E6143" s="107" t="str">
        <f aca="false">IF($C6143="","",IFERROR(INDEX(المنيو!$C$2:$C$500,MATCH($C6143,المنيو!$B$2:$B$500,0)),0))</f>
        <v/>
      </c>
      <c r="F6143" s="107" t="str">
        <f aca="false">IF($C6143="","",$D6143*$E6143)</f>
        <v/>
      </c>
      <c r="G6143" s="107" t="str">
        <f aca="false">IF($C6143="","",$D6143*IFERROR(INDEX('تحليل التكلفة والسعر'!$C$2:$C$700,MATCH($C6143,'تحليل التكلفة والسعر'!$B$2:$B$700,0)),0))</f>
        <v/>
      </c>
    </row>
    <row r="6144" customFormat="false" ht="15" hidden="false" customHeight="false" outlineLevel="0" collapsed="false">
      <c r="A6144" s="103"/>
      <c r="B6144" s="104"/>
      <c r="C6144" s="104"/>
      <c r="E6144" s="107" t="str">
        <f aca="false">IF($C6144="","",IFERROR(INDEX(المنيو!$C$2:$C$500,MATCH($C6144,المنيو!$B$2:$B$500,0)),0))</f>
        <v/>
      </c>
      <c r="F6144" s="107" t="str">
        <f aca="false">IF($C6144="","",$D6144*$E6144)</f>
        <v/>
      </c>
      <c r="G6144" s="107" t="str">
        <f aca="false">IF($C6144="","",$D6144*IFERROR(INDEX('تحليل التكلفة والسعر'!$C$2:$C$700,MATCH($C6144,'تحليل التكلفة والسعر'!$B$2:$B$700,0)),0))</f>
        <v/>
      </c>
    </row>
    <row r="6145" customFormat="false" ht="15" hidden="false" customHeight="false" outlineLevel="0" collapsed="false">
      <c r="A6145" s="103"/>
      <c r="B6145" s="104"/>
      <c r="C6145" s="104"/>
      <c r="E6145" s="107" t="str">
        <f aca="false">IF($C6145="","",IFERROR(INDEX(المنيو!$C$2:$C$500,MATCH($C6145,المنيو!$B$2:$B$500,0)),0))</f>
        <v/>
      </c>
      <c r="F6145" s="107" t="str">
        <f aca="false">IF($C6145="","",$D6145*$E6145)</f>
        <v/>
      </c>
      <c r="G6145" s="107" t="str">
        <f aca="false">IF($C6145="","",$D6145*IFERROR(INDEX('تحليل التكلفة والسعر'!$C$2:$C$700,MATCH($C6145,'تحليل التكلفة والسعر'!$B$2:$B$700,0)),0))</f>
        <v/>
      </c>
    </row>
    <row r="6146" customFormat="false" ht="15" hidden="false" customHeight="false" outlineLevel="0" collapsed="false">
      <c r="A6146" s="103"/>
      <c r="B6146" s="104"/>
      <c r="C6146" s="104"/>
      <c r="E6146" s="107" t="str">
        <f aca="false">IF($C6146="","",IFERROR(INDEX(المنيو!$C$2:$C$500,MATCH($C6146,المنيو!$B$2:$B$500,0)),0))</f>
        <v/>
      </c>
      <c r="F6146" s="107" t="str">
        <f aca="false">IF($C6146="","",$D6146*$E6146)</f>
        <v/>
      </c>
      <c r="G6146" s="107" t="str">
        <f aca="false">IF($C6146="","",$D6146*IFERROR(INDEX('تحليل التكلفة والسعر'!$C$2:$C$700,MATCH($C6146,'تحليل التكلفة والسعر'!$B$2:$B$700,0)),0))</f>
        <v/>
      </c>
    </row>
    <row r="6147" customFormat="false" ht="15" hidden="false" customHeight="false" outlineLevel="0" collapsed="false">
      <c r="A6147" s="103"/>
      <c r="B6147" s="104"/>
      <c r="C6147" s="104"/>
      <c r="E6147" s="107" t="str">
        <f aca="false">IF($C6147="","",IFERROR(INDEX(المنيو!$C$2:$C$500,MATCH($C6147,المنيو!$B$2:$B$500,0)),0))</f>
        <v/>
      </c>
      <c r="F6147" s="107" t="str">
        <f aca="false">IF($C6147="","",$D6147*$E6147)</f>
        <v/>
      </c>
      <c r="G6147" s="107" t="str">
        <f aca="false">IF($C6147="","",$D6147*IFERROR(INDEX('تحليل التكلفة والسعر'!$C$2:$C$700,MATCH($C6147,'تحليل التكلفة والسعر'!$B$2:$B$700,0)),0))</f>
        <v/>
      </c>
    </row>
    <row r="6148" customFormat="false" ht="15" hidden="false" customHeight="false" outlineLevel="0" collapsed="false">
      <c r="A6148" s="103"/>
      <c r="B6148" s="104"/>
      <c r="C6148" s="104"/>
      <c r="E6148" s="107" t="str">
        <f aca="false">IF($C6148="","",IFERROR(INDEX(المنيو!$C$2:$C$500,MATCH($C6148,المنيو!$B$2:$B$500,0)),0))</f>
        <v/>
      </c>
      <c r="F6148" s="107" t="str">
        <f aca="false">IF($C6148="","",$D6148*$E6148)</f>
        <v/>
      </c>
      <c r="G6148" s="107" t="str">
        <f aca="false">IF($C6148="","",$D6148*IFERROR(INDEX('تحليل التكلفة والسعر'!$C$2:$C$700,MATCH($C6148,'تحليل التكلفة والسعر'!$B$2:$B$700,0)),0))</f>
        <v/>
      </c>
    </row>
    <row r="6149" customFormat="false" ht="15" hidden="false" customHeight="false" outlineLevel="0" collapsed="false">
      <c r="A6149" s="103"/>
      <c r="B6149" s="104"/>
      <c r="C6149" s="104"/>
      <c r="E6149" s="107" t="str">
        <f aca="false">IF($C6149="","",IFERROR(INDEX(المنيو!$C$2:$C$500,MATCH($C6149,المنيو!$B$2:$B$500,0)),0))</f>
        <v/>
      </c>
      <c r="F6149" s="107" t="str">
        <f aca="false">IF($C6149="","",$D6149*$E6149)</f>
        <v/>
      </c>
      <c r="G6149" s="107" t="str">
        <f aca="false">IF($C6149="","",$D6149*IFERROR(INDEX('تحليل التكلفة والسعر'!$C$2:$C$700,MATCH($C6149,'تحليل التكلفة والسعر'!$B$2:$B$700,0)),0))</f>
        <v/>
      </c>
    </row>
    <row r="6150" customFormat="false" ht="15" hidden="false" customHeight="false" outlineLevel="0" collapsed="false">
      <c r="A6150" s="103"/>
      <c r="B6150" s="104"/>
      <c r="C6150" s="104"/>
      <c r="E6150" s="107" t="str">
        <f aca="false">IF($C6150="","",IFERROR(INDEX(المنيو!$C$2:$C$500,MATCH($C6150,المنيو!$B$2:$B$500,0)),0))</f>
        <v/>
      </c>
      <c r="F6150" s="107" t="str">
        <f aca="false">IF($C6150="","",$D6150*$E6150)</f>
        <v/>
      </c>
      <c r="G6150" s="107" t="str">
        <f aca="false">IF($C6150="","",$D6150*IFERROR(INDEX('تحليل التكلفة والسعر'!$C$2:$C$700,MATCH($C6150,'تحليل التكلفة والسعر'!$B$2:$B$700,0)),0))</f>
        <v/>
      </c>
    </row>
    <row r="6151" customFormat="false" ht="15" hidden="false" customHeight="false" outlineLevel="0" collapsed="false">
      <c r="A6151" s="103"/>
      <c r="B6151" s="104"/>
      <c r="C6151" s="104"/>
      <c r="E6151" s="107" t="str">
        <f aca="false">IF($C6151="","",IFERROR(INDEX(المنيو!$C$2:$C$500,MATCH($C6151,المنيو!$B$2:$B$500,0)),0))</f>
        <v/>
      </c>
      <c r="F6151" s="107" t="str">
        <f aca="false">IF($C6151="","",$D6151*$E6151)</f>
        <v/>
      </c>
      <c r="G6151" s="107" t="str">
        <f aca="false">IF($C6151="","",$D6151*IFERROR(INDEX('تحليل التكلفة والسعر'!$C$2:$C$700,MATCH($C6151,'تحليل التكلفة والسعر'!$B$2:$B$700,0)),0))</f>
        <v/>
      </c>
    </row>
    <row r="6152" customFormat="false" ht="15" hidden="false" customHeight="false" outlineLevel="0" collapsed="false">
      <c r="A6152" s="103"/>
      <c r="B6152" s="104"/>
      <c r="C6152" s="104"/>
      <c r="E6152" s="107" t="str">
        <f aca="false">IF($C6152="","",IFERROR(INDEX(المنيو!$C$2:$C$500,MATCH($C6152,المنيو!$B$2:$B$500,0)),0))</f>
        <v/>
      </c>
      <c r="F6152" s="107" t="str">
        <f aca="false">IF($C6152="","",$D6152*$E6152)</f>
        <v/>
      </c>
      <c r="G6152" s="107" t="str">
        <f aca="false">IF($C6152="","",$D6152*IFERROR(INDEX('تحليل التكلفة والسعر'!$C$2:$C$700,MATCH($C6152,'تحليل التكلفة والسعر'!$B$2:$B$700,0)),0))</f>
        <v/>
      </c>
    </row>
    <row r="6153" customFormat="false" ht="15" hidden="false" customHeight="false" outlineLevel="0" collapsed="false">
      <c r="A6153" s="103"/>
      <c r="B6153" s="104"/>
      <c r="C6153" s="104"/>
      <c r="E6153" s="107" t="str">
        <f aca="false">IF($C6153="","",IFERROR(INDEX(المنيو!$C$2:$C$500,MATCH($C6153,المنيو!$B$2:$B$500,0)),0))</f>
        <v/>
      </c>
      <c r="F6153" s="107" t="str">
        <f aca="false">IF($C6153="","",$D6153*$E6153)</f>
        <v/>
      </c>
      <c r="G6153" s="107" t="str">
        <f aca="false">IF($C6153="","",$D6153*IFERROR(INDEX('تحليل التكلفة والسعر'!$C$2:$C$700,MATCH($C6153,'تحليل التكلفة والسعر'!$B$2:$B$700,0)),0))</f>
        <v/>
      </c>
    </row>
    <row r="6154" customFormat="false" ht="15" hidden="false" customHeight="false" outlineLevel="0" collapsed="false">
      <c r="A6154" s="103"/>
      <c r="B6154" s="104"/>
      <c r="C6154" s="104"/>
      <c r="E6154" s="107" t="str">
        <f aca="false">IF($C6154="","",IFERROR(INDEX(المنيو!$C$2:$C$500,MATCH($C6154,المنيو!$B$2:$B$500,0)),0))</f>
        <v/>
      </c>
      <c r="F6154" s="107" t="str">
        <f aca="false">IF($C6154="","",$D6154*$E6154)</f>
        <v/>
      </c>
      <c r="G6154" s="107" t="str">
        <f aca="false">IF($C6154="","",$D6154*IFERROR(INDEX('تحليل التكلفة والسعر'!$C$2:$C$700,MATCH($C6154,'تحليل التكلفة والسعر'!$B$2:$B$700,0)),0))</f>
        <v/>
      </c>
    </row>
    <row r="6155" customFormat="false" ht="15" hidden="false" customHeight="false" outlineLevel="0" collapsed="false">
      <c r="A6155" s="103"/>
      <c r="B6155" s="104"/>
      <c r="C6155" s="104"/>
      <c r="E6155" s="107" t="str">
        <f aca="false">IF($C6155="","",IFERROR(INDEX(المنيو!$C$2:$C$500,MATCH($C6155,المنيو!$B$2:$B$500,0)),0))</f>
        <v/>
      </c>
      <c r="F6155" s="107" t="str">
        <f aca="false">IF($C6155="","",$D6155*$E6155)</f>
        <v/>
      </c>
      <c r="G6155" s="107" t="str">
        <f aca="false">IF($C6155="","",$D6155*IFERROR(INDEX('تحليل التكلفة والسعر'!$C$2:$C$700,MATCH($C6155,'تحليل التكلفة والسعر'!$B$2:$B$700,0)),0))</f>
        <v/>
      </c>
    </row>
    <row r="6156" customFormat="false" ht="15" hidden="false" customHeight="false" outlineLevel="0" collapsed="false">
      <c r="A6156" s="103"/>
      <c r="B6156" s="104"/>
      <c r="C6156" s="104"/>
      <c r="E6156" s="107" t="str">
        <f aca="false">IF($C6156="","",IFERROR(INDEX(المنيو!$C$2:$C$500,MATCH($C6156,المنيو!$B$2:$B$500,0)),0))</f>
        <v/>
      </c>
      <c r="F6156" s="107" t="str">
        <f aca="false">IF($C6156="","",$D6156*$E6156)</f>
        <v/>
      </c>
      <c r="G6156" s="107" t="str">
        <f aca="false">IF($C6156="","",$D6156*IFERROR(INDEX('تحليل التكلفة والسعر'!$C$2:$C$700,MATCH($C6156,'تحليل التكلفة والسعر'!$B$2:$B$700,0)),0))</f>
        <v/>
      </c>
    </row>
    <row r="6157" customFormat="false" ht="15" hidden="false" customHeight="false" outlineLevel="0" collapsed="false">
      <c r="A6157" s="103"/>
      <c r="B6157" s="104"/>
      <c r="C6157" s="104"/>
      <c r="E6157" s="107" t="str">
        <f aca="false">IF($C6157="","",IFERROR(INDEX(المنيو!$C$2:$C$500,MATCH($C6157,المنيو!$B$2:$B$500,0)),0))</f>
        <v/>
      </c>
      <c r="F6157" s="107" t="str">
        <f aca="false">IF($C6157="","",$D6157*$E6157)</f>
        <v/>
      </c>
      <c r="G6157" s="107" t="str">
        <f aca="false">IF($C6157="","",$D6157*IFERROR(INDEX('تحليل التكلفة والسعر'!$C$2:$C$700,MATCH($C6157,'تحليل التكلفة والسعر'!$B$2:$B$700,0)),0))</f>
        <v/>
      </c>
    </row>
    <row r="6158" customFormat="false" ht="15" hidden="false" customHeight="false" outlineLevel="0" collapsed="false">
      <c r="A6158" s="103"/>
      <c r="B6158" s="104"/>
      <c r="C6158" s="104"/>
      <c r="E6158" s="107" t="str">
        <f aca="false">IF($C6158="","",IFERROR(INDEX(المنيو!$C$2:$C$500,MATCH($C6158,المنيو!$B$2:$B$500,0)),0))</f>
        <v/>
      </c>
      <c r="F6158" s="107" t="str">
        <f aca="false">IF($C6158="","",$D6158*$E6158)</f>
        <v/>
      </c>
      <c r="G6158" s="107" t="str">
        <f aca="false">IF($C6158="","",$D6158*IFERROR(INDEX('تحليل التكلفة والسعر'!$C$2:$C$700,MATCH($C6158,'تحليل التكلفة والسعر'!$B$2:$B$700,0)),0))</f>
        <v/>
      </c>
    </row>
    <row r="6159" customFormat="false" ht="15" hidden="false" customHeight="false" outlineLevel="0" collapsed="false">
      <c r="A6159" s="103"/>
      <c r="B6159" s="104"/>
      <c r="C6159" s="104"/>
      <c r="E6159" s="107" t="str">
        <f aca="false">IF($C6159="","",IFERROR(INDEX(المنيو!$C$2:$C$500,MATCH($C6159,المنيو!$B$2:$B$500,0)),0))</f>
        <v/>
      </c>
      <c r="F6159" s="107" t="str">
        <f aca="false">IF($C6159="","",$D6159*$E6159)</f>
        <v/>
      </c>
      <c r="G6159" s="107" t="str">
        <f aca="false">IF($C6159="","",$D6159*IFERROR(INDEX('تحليل التكلفة والسعر'!$C$2:$C$700,MATCH($C6159,'تحليل التكلفة والسعر'!$B$2:$B$700,0)),0))</f>
        <v/>
      </c>
    </row>
    <row r="6160" customFormat="false" ht="15" hidden="false" customHeight="false" outlineLevel="0" collapsed="false">
      <c r="A6160" s="103"/>
      <c r="B6160" s="104"/>
      <c r="C6160" s="104"/>
      <c r="E6160" s="107" t="str">
        <f aca="false">IF($C6160="","",IFERROR(INDEX(المنيو!$C$2:$C$500,MATCH($C6160,المنيو!$B$2:$B$500,0)),0))</f>
        <v/>
      </c>
      <c r="F6160" s="107" t="str">
        <f aca="false">IF($C6160="","",$D6160*$E6160)</f>
        <v/>
      </c>
      <c r="G6160" s="107" t="str">
        <f aca="false">IF($C6160="","",$D6160*IFERROR(INDEX('تحليل التكلفة والسعر'!$C$2:$C$700,MATCH($C6160,'تحليل التكلفة والسعر'!$B$2:$B$700,0)),0))</f>
        <v/>
      </c>
    </row>
    <row r="6161" customFormat="false" ht="15" hidden="false" customHeight="false" outlineLevel="0" collapsed="false">
      <c r="A6161" s="103"/>
      <c r="B6161" s="104"/>
      <c r="C6161" s="104"/>
      <c r="E6161" s="107" t="str">
        <f aca="false">IF($C6161="","",IFERROR(INDEX(المنيو!$C$2:$C$500,MATCH($C6161,المنيو!$B$2:$B$500,0)),0))</f>
        <v/>
      </c>
      <c r="F6161" s="107" t="str">
        <f aca="false">IF($C6161="","",$D6161*$E6161)</f>
        <v/>
      </c>
      <c r="G6161" s="107" t="str">
        <f aca="false">IF($C6161="","",$D6161*IFERROR(INDEX('تحليل التكلفة والسعر'!$C$2:$C$700,MATCH($C6161,'تحليل التكلفة والسعر'!$B$2:$B$700,0)),0))</f>
        <v/>
      </c>
    </row>
    <row r="6162" customFormat="false" ht="15" hidden="false" customHeight="false" outlineLevel="0" collapsed="false">
      <c r="A6162" s="103"/>
      <c r="B6162" s="104"/>
      <c r="C6162" s="104"/>
      <c r="E6162" s="107" t="str">
        <f aca="false">IF($C6162="","",IFERROR(INDEX(المنيو!$C$2:$C$500,MATCH($C6162,المنيو!$B$2:$B$500,0)),0))</f>
        <v/>
      </c>
      <c r="F6162" s="107" t="str">
        <f aca="false">IF($C6162="","",$D6162*$E6162)</f>
        <v/>
      </c>
      <c r="G6162" s="107" t="str">
        <f aca="false">IF($C6162="","",$D6162*IFERROR(INDEX('تحليل التكلفة والسعر'!$C$2:$C$700,MATCH($C6162,'تحليل التكلفة والسعر'!$B$2:$B$700,0)),0))</f>
        <v/>
      </c>
    </row>
    <row r="6163" customFormat="false" ht="15" hidden="false" customHeight="false" outlineLevel="0" collapsed="false">
      <c r="A6163" s="103"/>
      <c r="B6163" s="104"/>
      <c r="C6163" s="104"/>
      <c r="E6163" s="107" t="str">
        <f aca="false">IF($C6163="","",IFERROR(INDEX(المنيو!$C$2:$C$500,MATCH($C6163,المنيو!$B$2:$B$500,0)),0))</f>
        <v/>
      </c>
      <c r="F6163" s="107" t="str">
        <f aca="false">IF($C6163="","",$D6163*$E6163)</f>
        <v/>
      </c>
      <c r="G6163" s="107" t="str">
        <f aca="false">IF($C6163="","",$D6163*IFERROR(INDEX('تحليل التكلفة والسعر'!$C$2:$C$700,MATCH($C6163,'تحليل التكلفة والسعر'!$B$2:$B$700,0)),0))</f>
        <v/>
      </c>
    </row>
    <row r="6164" customFormat="false" ht="15" hidden="false" customHeight="false" outlineLevel="0" collapsed="false">
      <c r="A6164" s="103"/>
      <c r="B6164" s="104"/>
      <c r="C6164" s="104"/>
      <c r="E6164" s="107" t="str">
        <f aca="false">IF($C6164="","",IFERROR(INDEX(المنيو!$C$2:$C$500,MATCH($C6164,المنيو!$B$2:$B$500,0)),0))</f>
        <v/>
      </c>
      <c r="F6164" s="107" t="str">
        <f aca="false">IF($C6164="","",$D6164*$E6164)</f>
        <v/>
      </c>
      <c r="G6164" s="107" t="str">
        <f aca="false">IF($C6164="","",$D6164*IFERROR(INDEX('تحليل التكلفة والسعر'!$C$2:$C$700,MATCH($C6164,'تحليل التكلفة والسعر'!$B$2:$B$700,0)),0))</f>
        <v/>
      </c>
    </row>
    <row r="6165" customFormat="false" ht="15" hidden="false" customHeight="false" outlineLevel="0" collapsed="false">
      <c r="A6165" s="103"/>
      <c r="B6165" s="104"/>
      <c r="C6165" s="104"/>
      <c r="E6165" s="107" t="str">
        <f aca="false">IF($C6165="","",IFERROR(INDEX(المنيو!$C$2:$C$500,MATCH($C6165,المنيو!$B$2:$B$500,0)),0))</f>
        <v/>
      </c>
      <c r="F6165" s="107" t="str">
        <f aca="false">IF($C6165="","",$D6165*$E6165)</f>
        <v/>
      </c>
      <c r="G6165" s="107" t="str">
        <f aca="false">IF($C6165="","",$D6165*IFERROR(INDEX('تحليل التكلفة والسعر'!$C$2:$C$700,MATCH($C6165,'تحليل التكلفة والسعر'!$B$2:$B$700,0)),0))</f>
        <v/>
      </c>
    </row>
    <row r="6166" customFormat="false" ht="15" hidden="false" customHeight="false" outlineLevel="0" collapsed="false">
      <c r="A6166" s="103"/>
      <c r="B6166" s="104"/>
      <c r="C6166" s="104"/>
      <c r="E6166" s="107" t="str">
        <f aca="false">IF($C6166="","",IFERROR(INDEX(المنيو!$C$2:$C$500,MATCH($C6166,المنيو!$B$2:$B$500,0)),0))</f>
        <v/>
      </c>
      <c r="F6166" s="107" t="str">
        <f aca="false">IF($C6166="","",$D6166*$E6166)</f>
        <v/>
      </c>
      <c r="G6166" s="107" t="str">
        <f aca="false">IF($C6166="","",$D6166*IFERROR(INDEX('تحليل التكلفة والسعر'!$C$2:$C$700,MATCH($C6166,'تحليل التكلفة والسعر'!$B$2:$B$700,0)),0))</f>
        <v/>
      </c>
    </row>
    <row r="6167" customFormat="false" ht="15" hidden="false" customHeight="false" outlineLevel="0" collapsed="false">
      <c r="A6167" s="103"/>
      <c r="B6167" s="104"/>
      <c r="C6167" s="104"/>
      <c r="E6167" s="107" t="str">
        <f aca="false">IF($C6167="","",IFERROR(INDEX(المنيو!$C$2:$C$500,MATCH($C6167,المنيو!$B$2:$B$500,0)),0))</f>
        <v/>
      </c>
      <c r="F6167" s="107" t="str">
        <f aca="false">IF($C6167="","",$D6167*$E6167)</f>
        <v/>
      </c>
      <c r="G6167" s="107" t="str">
        <f aca="false">IF($C6167="","",$D6167*IFERROR(INDEX('تحليل التكلفة والسعر'!$C$2:$C$700,MATCH($C6167,'تحليل التكلفة والسعر'!$B$2:$B$700,0)),0))</f>
        <v/>
      </c>
    </row>
    <row r="6168" customFormat="false" ht="15" hidden="false" customHeight="false" outlineLevel="0" collapsed="false">
      <c r="A6168" s="103"/>
      <c r="B6168" s="104"/>
      <c r="C6168" s="104"/>
      <c r="E6168" s="107" t="str">
        <f aca="false">IF($C6168="","",IFERROR(INDEX(المنيو!$C$2:$C$500,MATCH($C6168,المنيو!$B$2:$B$500,0)),0))</f>
        <v/>
      </c>
      <c r="F6168" s="107" t="str">
        <f aca="false">IF($C6168="","",$D6168*$E6168)</f>
        <v/>
      </c>
      <c r="G6168" s="107" t="str">
        <f aca="false">IF($C6168="","",$D6168*IFERROR(INDEX('تحليل التكلفة والسعر'!$C$2:$C$700,MATCH($C6168,'تحليل التكلفة والسعر'!$B$2:$B$700,0)),0))</f>
        <v/>
      </c>
    </row>
    <row r="6169" customFormat="false" ht="15" hidden="false" customHeight="false" outlineLevel="0" collapsed="false">
      <c r="A6169" s="103"/>
      <c r="B6169" s="104"/>
      <c r="C6169" s="104"/>
      <c r="E6169" s="107" t="str">
        <f aca="false">IF($C6169="","",IFERROR(INDEX(المنيو!$C$2:$C$500,MATCH($C6169,المنيو!$B$2:$B$500,0)),0))</f>
        <v/>
      </c>
      <c r="F6169" s="107" t="str">
        <f aca="false">IF($C6169="","",$D6169*$E6169)</f>
        <v/>
      </c>
      <c r="G6169" s="107" t="str">
        <f aca="false">IF($C6169="","",$D6169*IFERROR(INDEX('تحليل التكلفة والسعر'!$C$2:$C$700,MATCH($C6169,'تحليل التكلفة والسعر'!$B$2:$B$700,0)),0))</f>
        <v/>
      </c>
    </row>
    <row r="6170" customFormat="false" ht="15" hidden="false" customHeight="false" outlineLevel="0" collapsed="false">
      <c r="A6170" s="103"/>
      <c r="B6170" s="104"/>
      <c r="C6170" s="104"/>
      <c r="E6170" s="107" t="str">
        <f aca="false">IF($C6170="","",IFERROR(INDEX(المنيو!$C$2:$C$500,MATCH($C6170,المنيو!$B$2:$B$500,0)),0))</f>
        <v/>
      </c>
      <c r="F6170" s="107" t="str">
        <f aca="false">IF($C6170="","",$D6170*$E6170)</f>
        <v/>
      </c>
      <c r="G6170" s="107" t="str">
        <f aca="false">IF($C6170="","",$D6170*IFERROR(INDEX('تحليل التكلفة والسعر'!$C$2:$C$700,MATCH($C6170,'تحليل التكلفة والسعر'!$B$2:$B$700,0)),0))</f>
        <v/>
      </c>
    </row>
    <row r="6171" customFormat="false" ht="15" hidden="false" customHeight="false" outlineLevel="0" collapsed="false">
      <c r="A6171" s="103"/>
      <c r="B6171" s="104"/>
      <c r="C6171" s="104"/>
      <c r="E6171" s="107" t="str">
        <f aca="false">IF($C6171="","",IFERROR(INDEX(المنيو!$C$2:$C$500,MATCH($C6171,المنيو!$B$2:$B$500,0)),0))</f>
        <v/>
      </c>
      <c r="F6171" s="107" t="str">
        <f aca="false">IF($C6171="","",$D6171*$E6171)</f>
        <v/>
      </c>
      <c r="G6171" s="107" t="str">
        <f aca="false">IF($C6171="","",$D6171*IFERROR(INDEX('تحليل التكلفة والسعر'!$C$2:$C$700,MATCH($C6171,'تحليل التكلفة والسعر'!$B$2:$B$700,0)),0))</f>
        <v/>
      </c>
    </row>
    <row r="6172" customFormat="false" ht="15" hidden="false" customHeight="false" outlineLevel="0" collapsed="false">
      <c r="A6172" s="103"/>
      <c r="B6172" s="104"/>
      <c r="C6172" s="104"/>
      <c r="E6172" s="107" t="str">
        <f aca="false">IF($C6172="","",IFERROR(INDEX(المنيو!$C$2:$C$500,MATCH($C6172,المنيو!$B$2:$B$500,0)),0))</f>
        <v/>
      </c>
      <c r="F6172" s="107" t="str">
        <f aca="false">IF($C6172="","",$D6172*$E6172)</f>
        <v/>
      </c>
      <c r="G6172" s="107" t="str">
        <f aca="false">IF($C6172="","",$D6172*IFERROR(INDEX('تحليل التكلفة والسعر'!$C$2:$C$700,MATCH($C6172,'تحليل التكلفة والسعر'!$B$2:$B$700,0)),0))</f>
        <v/>
      </c>
    </row>
    <row r="6173" customFormat="false" ht="15" hidden="false" customHeight="false" outlineLevel="0" collapsed="false">
      <c r="A6173" s="103"/>
      <c r="B6173" s="104"/>
      <c r="C6173" s="104"/>
      <c r="E6173" s="107" t="str">
        <f aca="false">IF($C6173="","",IFERROR(INDEX(المنيو!$C$2:$C$500,MATCH($C6173,المنيو!$B$2:$B$500,0)),0))</f>
        <v/>
      </c>
      <c r="F6173" s="107" t="str">
        <f aca="false">IF($C6173="","",$D6173*$E6173)</f>
        <v/>
      </c>
      <c r="G6173" s="107" t="str">
        <f aca="false">IF($C6173="","",$D6173*IFERROR(INDEX('تحليل التكلفة والسعر'!$C$2:$C$700,MATCH($C6173,'تحليل التكلفة والسعر'!$B$2:$B$700,0)),0))</f>
        <v/>
      </c>
    </row>
    <row r="6174" customFormat="false" ht="15" hidden="false" customHeight="false" outlineLevel="0" collapsed="false">
      <c r="A6174" s="103"/>
      <c r="B6174" s="104"/>
      <c r="C6174" s="104"/>
      <c r="E6174" s="107" t="str">
        <f aca="false">IF($C6174="","",IFERROR(INDEX(المنيو!$C$2:$C$500,MATCH($C6174,المنيو!$B$2:$B$500,0)),0))</f>
        <v/>
      </c>
      <c r="F6174" s="107" t="str">
        <f aca="false">IF($C6174="","",$D6174*$E6174)</f>
        <v/>
      </c>
      <c r="G6174" s="107" t="str">
        <f aca="false">IF($C6174="","",$D6174*IFERROR(INDEX('تحليل التكلفة والسعر'!$C$2:$C$700,MATCH($C6174,'تحليل التكلفة والسعر'!$B$2:$B$700,0)),0))</f>
        <v/>
      </c>
    </row>
    <row r="6175" customFormat="false" ht="15" hidden="false" customHeight="false" outlineLevel="0" collapsed="false">
      <c r="A6175" s="103"/>
      <c r="B6175" s="104"/>
      <c r="C6175" s="104"/>
      <c r="E6175" s="107" t="str">
        <f aca="false">IF($C6175="","",IFERROR(INDEX(المنيو!$C$2:$C$500,MATCH($C6175,المنيو!$B$2:$B$500,0)),0))</f>
        <v/>
      </c>
      <c r="F6175" s="107" t="str">
        <f aca="false">IF($C6175="","",$D6175*$E6175)</f>
        <v/>
      </c>
      <c r="G6175" s="107" t="str">
        <f aca="false">IF($C6175="","",$D6175*IFERROR(INDEX('تحليل التكلفة والسعر'!$C$2:$C$700,MATCH($C6175,'تحليل التكلفة والسعر'!$B$2:$B$700,0)),0))</f>
        <v/>
      </c>
    </row>
    <row r="6176" customFormat="false" ht="15" hidden="false" customHeight="false" outlineLevel="0" collapsed="false">
      <c r="A6176" s="103"/>
      <c r="B6176" s="104"/>
      <c r="C6176" s="104"/>
      <c r="E6176" s="107" t="str">
        <f aca="false">IF($C6176="","",IFERROR(INDEX(المنيو!$C$2:$C$500,MATCH($C6176,المنيو!$B$2:$B$500,0)),0))</f>
        <v/>
      </c>
      <c r="F6176" s="107" t="str">
        <f aca="false">IF($C6176="","",$D6176*$E6176)</f>
        <v/>
      </c>
      <c r="G6176" s="107" t="str">
        <f aca="false">IF($C6176="","",$D6176*IFERROR(INDEX('تحليل التكلفة والسعر'!$C$2:$C$700,MATCH($C6176,'تحليل التكلفة والسعر'!$B$2:$B$700,0)),0))</f>
        <v/>
      </c>
    </row>
    <row r="6177" customFormat="false" ht="15" hidden="false" customHeight="false" outlineLevel="0" collapsed="false">
      <c r="A6177" s="103"/>
      <c r="B6177" s="104"/>
      <c r="C6177" s="104"/>
      <c r="E6177" s="107" t="str">
        <f aca="false">IF($C6177="","",IFERROR(INDEX(المنيو!$C$2:$C$500,MATCH($C6177,المنيو!$B$2:$B$500,0)),0))</f>
        <v/>
      </c>
      <c r="F6177" s="107" t="str">
        <f aca="false">IF($C6177="","",$D6177*$E6177)</f>
        <v/>
      </c>
      <c r="G6177" s="107" t="str">
        <f aca="false">IF($C6177="","",$D6177*IFERROR(INDEX('تحليل التكلفة والسعر'!$C$2:$C$700,MATCH($C6177,'تحليل التكلفة والسعر'!$B$2:$B$700,0)),0))</f>
        <v/>
      </c>
    </row>
    <row r="6178" customFormat="false" ht="15" hidden="false" customHeight="false" outlineLevel="0" collapsed="false">
      <c r="A6178" s="103"/>
      <c r="B6178" s="104"/>
      <c r="C6178" s="104"/>
      <c r="E6178" s="107" t="str">
        <f aca="false">IF($C6178="","",IFERROR(INDEX(المنيو!$C$2:$C$500,MATCH($C6178,المنيو!$B$2:$B$500,0)),0))</f>
        <v/>
      </c>
      <c r="F6178" s="107" t="str">
        <f aca="false">IF($C6178="","",$D6178*$E6178)</f>
        <v/>
      </c>
      <c r="G6178" s="107" t="str">
        <f aca="false">IF($C6178="","",$D6178*IFERROR(INDEX('تحليل التكلفة والسعر'!$C$2:$C$700,MATCH($C6178,'تحليل التكلفة والسعر'!$B$2:$B$700,0)),0))</f>
        <v/>
      </c>
    </row>
    <row r="6179" customFormat="false" ht="15" hidden="false" customHeight="false" outlineLevel="0" collapsed="false">
      <c r="A6179" s="103"/>
      <c r="B6179" s="104"/>
      <c r="C6179" s="104"/>
      <c r="E6179" s="107" t="str">
        <f aca="false">IF($C6179="","",IFERROR(INDEX(المنيو!$C$2:$C$500,MATCH($C6179,المنيو!$B$2:$B$500,0)),0))</f>
        <v/>
      </c>
      <c r="F6179" s="107" t="str">
        <f aca="false">IF($C6179="","",$D6179*$E6179)</f>
        <v/>
      </c>
      <c r="G6179" s="107" t="str">
        <f aca="false">IF($C6179="","",$D6179*IFERROR(INDEX('تحليل التكلفة والسعر'!$C$2:$C$700,MATCH($C6179,'تحليل التكلفة والسعر'!$B$2:$B$700,0)),0))</f>
        <v/>
      </c>
    </row>
    <row r="6180" customFormat="false" ht="15" hidden="false" customHeight="false" outlineLevel="0" collapsed="false">
      <c r="A6180" s="103"/>
      <c r="B6180" s="104"/>
      <c r="C6180" s="104"/>
      <c r="E6180" s="107" t="str">
        <f aca="false">IF($C6180="","",IFERROR(INDEX(المنيو!$C$2:$C$500,MATCH($C6180,المنيو!$B$2:$B$500,0)),0))</f>
        <v/>
      </c>
      <c r="F6180" s="107" t="str">
        <f aca="false">IF($C6180="","",$D6180*$E6180)</f>
        <v/>
      </c>
      <c r="G6180" s="107" t="str">
        <f aca="false">IF($C6180="","",$D6180*IFERROR(INDEX('تحليل التكلفة والسعر'!$C$2:$C$700,MATCH($C6180,'تحليل التكلفة والسعر'!$B$2:$B$700,0)),0))</f>
        <v/>
      </c>
    </row>
    <row r="6181" customFormat="false" ht="15" hidden="false" customHeight="false" outlineLevel="0" collapsed="false">
      <c r="A6181" s="103"/>
      <c r="B6181" s="104"/>
      <c r="C6181" s="104"/>
      <c r="E6181" s="107" t="str">
        <f aca="false">IF($C6181="","",IFERROR(INDEX(المنيو!$C$2:$C$500,MATCH($C6181,المنيو!$B$2:$B$500,0)),0))</f>
        <v/>
      </c>
      <c r="F6181" s="107" t="str">
        <f aca="false">IF($C6181="","",$D6181*$E6181)</f>
        <v/>
      </c>
      <c r="G6181" s="107" t="str">
        <f aca="false">IF($C6181="","",$D6181*IFERROR(INDEX('تحليل التكلفة والسعر'!$C$2:$C$700,MATCH($C6181,'تحليل التكلفة والسعر'!$B$2:$B$700,0)),0))</f>
        <v/>
      </c>
    </row>
    <row r="6182" customFormat="false" ht="15" hidden="false" customHeight="false" outlineLevel="0" collapsed="false">
      <c r="A6182" s="103"/>
      <c r="B6182" s="104"/>
      <c r="C6182" s="104"/>
      <c r="E6182" s="107" t="str">
        <f aca="false">IF($C6182="","",IFERROR(INDEX(المنيو!$C$2:$C$500,MATCH($C6182,المنيو!$B$2:$B$500,0)),0))</f>
        <v/>
      </c>
      <c r="F6182" s="107" t="str">
        <f aca="false">IF($C6182="","",$D6182*$E6182)</f>
        <v/>
      </c>
      <c r="G6182" s="107" t="str">
        <f aca="false">IF($C6182="","",$D6182*IFERROR(INDEX('تحليل التكلفة والسعر'!$C$2:$C$700,MATCH($C6182,'تحليل التكلفة والسعر'!$B$2:$B$700,0)),0))</f>
        <v/>
      </c>
    </row>
    <row r="6183" customFormat="false" ht="15" hidden="false" customHeight="false" outlineLevel="0" collapsed="false">
      <c r="A6183" s="103"/>
      <c r="B6183" s="104"/>
      <c r="C6183" s="104"/>
      <c r="E6183" s="107" t="str">
        <f aca="false">IF($C6183="","",IFERROR(INDEX(المنيو!$C$2:$C$500,MATCH($C6183,المنيو!$B$2:$B$500,0)),0))</f>
        <v/>
      </c>
      <c r="F6183" s="107" t="str">
        <f aca="false">IF($C6183="","",$D6183*$E6183)</f>
        <v/>
      </c>
      <c r="G6183" s="107" t="str">
        <f aca="false">IF($C6183="","",$D6183*IFERROR(INDEX('تحليل التكلفة والسعر'!$C$2:$C$700,MATCH($C6183,'تحليل التكلفة والسعر'!$B$2:$B$700,0)),0))</f>
        <v/>
      </c>
    </row>
    <row r="6184" customFormat="false" ht="15" hidden="false" customHeight="false" outlineLevel="0" collapsed="false">
      <c r="A6184" s="103"/>
      <c r="B6184" s="104"/>
      <c r="C6184" s="104"/>
      <c r="E6184" s="107" t="str">
        <f aca="false">IF($C6184="","",IFERROR(INDEX(المنيو!$C$2:$C$500,MATCH($C6184,المنيو!$B$2:$B$500,0)),0))</f>
        <v/>
      </c>
      <c r="F6184" s="107" t="str">
        <f aca="false">IF($C6184="","",$D6184*$E6184)</f>
        <v/>
      </c>
      <c r="G6184" s="107" t="str">
        <f aca="false">IF($C6184="","",$D6184*IFERROR(INDEX('تحليل التكلفة والسعر'!$C$2:$C$700,MATCH($C6184,'تحليل التكلفة والسعر'!$B$2:$B$700,0)),0))</f>
        <v/>
      </c>
    </row>
    <row r="6185" customFormat="false" ht="15" hidden="false" customHeight="false" outlineLevel="0" collapsed="false">
      <c r="A6185" s="103"/>
      <c r="B6185" s="104"/>
      <c r="C6185" s="104"/>
      <c r="E6185" s="107" t="str">
        <f aca="false">IF($C6185="","",IFERROR(INDEX(المنيو!$C$2:$C$500,MATCH($C6185,المنيو!$B$2:$B$500,0)),0))</f>
        <v/>
      </c>
      <c r="F6185" s="107" t="str">
        <f aca="false">IF($C6185="","",$D6185*$E6185)</f>
        <v/>
      </c>
      <c r="G6185" s="107" t="str">
        <f aca="false">IF($C6185="","",$D6185*IFERROR(INDEX('تحليل التكلفة والسعر'!$C$2:$C$700,MATCH($C6185,'تحليل التكلفة والسعر'!$B$2:$B$700,0)),0))</f>
        <v/>
      </c>
    </row>
    <row r="6186" customFormat="false" ht="15" hidden="false" customHeight="false" outlineLevel="0" collapsed="false">
      <c r="A6186" s="103"/>
      <c r="B6186" s="104"/>
      <c r="C6186" s="104"/>
      <c r="E6186" s="107" t="str">
        <f aca="false">IF($C6186="","",IFERROR(INDEX(المنيو!$C$2:$C$500,MATCH($C6186,المنيو!$B$2:$B$500,0)),0))</f>
        <v/>
      </c>
      <c r="F6186" s="107" t="str">
        <f aca="false">IF($C6186="","",$D6186*$E6186)</f>
        <v/>
      </c>
      <c r="G6186" s="107" t="str">
        <f aca="false">IF($C6186="","",$D6186*IFERROR(INDEX('تحليل التكلفة والسعر'!$C$2:$C$700,MATCH($C6186,'تحليل التكلفة والسعر'!$B$2:$B$700,0)),0))</f>
        <v/>
      </c>
    </row>
    <row r="6187" customFormat="false" ht="15" hidden="false" customHeight="false" outlineLevel="0" collapsed="false">
      <c r="A6187" s="103"/>
      <c r="B6187" s="104"/>
      <c r="C6187" s="104"/>
      <c r="E6187" s="107" t="str">
        <f aca="false">IF($C6187="","",IFERROR(INDEX(المنيو!$C$2:$C$500,MATCH($C6187,المنيو!$B$2:$B$500,0)),0))</f>
        <v/>
      </c>
      <c r="F6187" s="107" t="str">
        <f aca="false">IF($C6187="","",$D6187*$E6187)</f>
        <v/>
      </c>
      <c r="G6187" s="107" t="str">
        <f aca="false">IF($C6187="","",$D6187*IFERROR(INDEX('تحليل التكلفة والسعر'!$C$2:$C$700,MATCH($C6187,'تحليل التكلفة والسعر'!$B$2:$B$700,0)),0))</f>
        <v/>
      </c>
    </row>
    <row r="6188" customFormat="false" ht="15" hidden="false" customHeight="false" outlineLevel="0" collapsed="false">
      <c r="A6188" s="103"/>
      <c r="B6188" s="104"/>
      <c r="C6188" s="104"/>
      <c r="E6188" s="107" t="str">
        <f aca="false">IF($C6188="","",IFERROR(INDEX(المنيو!$C$2:$C$500,MATCH($C6188,المنيو!$B$2:$B$500,0)),0))</f>
        <v/>
      </c>
      <c r="F6188" s="107" t="str">
        <f aca="false">IF($C6188="","",$D6188*$E6188)</f>
        <v/>
      </c>
      <c r="G6188" s="107" t="str">
        <f aca="false">IF($C6188="","",$D6188*IFERROR(INDEX('تحليل التكلفة والسعر'!$C$2:$C$700,MATCH($C6188,'تحليل التكلفة والسعر'!$B$2:$B$700,0)),0))</f>
        <v/>
      </c>
    </row>
    <row r="6189" customFormat="false" ht="15" hidden="false" customHeight="false" outlineLevel="0" collapsed="false">
      <c r="A6189" s="103"/>
      <c r="B6189" s="104"/>
      <c r="C6189" s="104"/>
      <c r="E6189" s="107" t="str">
        <f aca="false">IF($C6189="","",IFERROR(INDEX(المنيو!$C$2:$C$500,MATCH($C6189,المنيو!$B$2:$B$500,0)),0))</f>
        <v/>
      </c>
      <c r="F6189" s="107" t="str">
        <f aca="false">IF($C6189="","",$D6189*$E6189)</f>
        <v/>
      </c>
      <c r="G6189" s="107" t="str">
        <f aca="false">IF($C6189="","",$D6189*IFERROR(INDEX('تحليل التكلفة والسعر'!$C$2:$C$700,MATCH($C6189,'تحليل التكلفة والسعر'!$B$2:$B$700,0)),0))</f>
        <v/>
      </c>
    </row>
    <row r="6190" customFormat="false" ht="15" hidden="false" customHeight="false" outlineLevel="0" collapsed="false">
      <c r="A6190" s="103"/>
      <c r="B6190" s="104"/>
      <c r="C6190" s="104"/>
      <c r="E6190" s="107" t="str">
        <f aca="false">IF($C6190="","",IFERROR(INDEX(المنيو!$C$2:$C$500,MATCH($C6190,المنيو!$B$2:$B$500,0)),0))</f>
        <v/>
      </c>
      <c r="F6190" s="107" t="str">
        <f aca="false">IF($C6190="","",$D6190*$E6190)</f>
        <v/>
      </c>
      <c r="G6190" s="107" t="str">
        <f aca="false">IF($C6190="","",$D6190*IFERROR(INDEX('تحليل التكلفة والسعر'!$C$2:$C$700,MATCH($C6190,'تحليل التكلفة والسعر'!$B$2:$B$700,0)),0))</f>
        <v/>
      </c>
    </row>
    <row r="6191" customFormat="false" ht="15" hidden="false" customHeight="false" outlineLevel="0" collapsed="false">
      <c r="A6191" s="103"/>
      <c r="B6191" s="104"/>
      <c r="C6191" s="104"/>
      <c r="E6191" s="107" t="str">
        <f aca="false">IF($C6191="","",IFERROR(INDEX(المنيو!$C$2:$C$500,MATCH($C6191,المنيو!$B$2:$B$500,0)),0))</f>
        <v/>
      </c>
      <c r="F6191" s="107" t="str">
        <f aca="false">IF($C6191="","",$D6191*$E6191)</f>
        <v/>
      </c>
      <c r="G6191" s="107" t="str">
        <f aca="false">IF($C6191="","",$D6191*IFERROR(INDEX('تحليل التكلفة والسعر'!$C$2:$C$700,MATCH($C6191,'تحليل التكلفة والسعر'!$B$2:$B$700,0)),0))</f>
        <v/>
      </c>
    </row>
    <row r="6192" customFormat="false" ht="15" hidden="false" customHeight="false" outlineLevel="0" collapsed="false">
      <c r="A6192" s="103"/>
      <c r="B6192" s="104"/>
      <c r="C6192" s="104"/>
      <c r="E6192" s="107" t="str">
        <f aca="false">IF($C6192="","",IFERROR(INDEX(المنيو!$C$2:$C$500,MATCH($C6192,المنيو!$B$2:$B$500,0)),0))</f>
        <v/>
      </c>
      <c r="F6192" s="107" t="str">
        <f aca="false">IF($C6192="","",$D6192*$E6192)</f>
        <v/>
      </c>
      <c r="G6192" s="107" t="str">
        <f aca="false">IF($C6192="","",$D6192*IFERROR(INDEX('تحليل التكلفة والسعر'!$C$2:$C$700,MATCH($C6192,'تحليل التكلفة والسعر'!$B$2:$B$700,0)),0))</f>
        <v/>
      </c>
    </row>
    <row r="6193" customFormat="false" ht="15" hidden="false" customHeight="false" outlineLevel="0" collapsed="false">
      <c r="A6193" s="103"/>
      <c r="B6193" s="104"/>
      <c r="C6193" s="104"/>
      <c r="E6193" s="107" t="str">
        <f aca="false">IF($C6193="","",IFERROR(INDEX(المنيو!$C$2:$C$500,MATCH($C6193,المنيو!$B$2:$B$500,0)),0))</f>
        <v/>
      </c>
      <c r="F6193" s="107" t="str">
        <f aca="false">IF($C6193="","",$D6193*$E6193)</f>
        <v/>
      </c>
      <c r="G6193" s="107" t="str">
        <f aca="false">IF($C6193="","",$D6193*IFERROR(INDEX('تحليل التكلفة والسعر'!$C$2:$C$700,MATCH($C6193,'تحليل التكلفة والسعر'!$B$2:$B$700,0)),0))</f>
        <v/>
      </c>
    </row>
    <row r="6194" customFormat="false" ht="15" hidden="false" customHeight="false" outlineLevel="0" collapsed="false">
      <c r="A6194" s="103"/>
      <c r="B6194" s="104"/>
      <c r="C6194" s="104"/>
      <c r="E6194" s="107" t="str">
        <f aca="false">IF($C6194="","",IFERROR(INDEX(المنيو!$C$2:$C$500,MATCH($C6194,المنيو!$B$2:$B$500,0)),0))</f>
        <v/>
      </c>
      <c r="F6194" s="107" t="str">
        <f aca="false">IF($C6194="","",$D6194*$E6194)</f>
        <v/>
      </c>
      <c r="G6194" s="107" t="str">
        <f aca="false">IF($C6194="","",$D6194*IFERROR(INDEX('تحليل التكلفة والسعر'!$C$2:$C$700,MATCH($C6194,'تحليل التكلفة والسعر'!$B$2:$B$700,0)),0))</f>
        <v/>
      </c>
    </row>
    <row r="6195" customFormat="false" ht="15" hidden="false" customHeight="false" outlineLevel="0" collapsed="false">
      <c r="A6195" s="103"/>
      <c r="B6195" s="104"/>
      <c r="C6195" s="104"/>
      <c r="E6195" s="107" t="str">
        <f aca="false">IF($C6195="","",IFERROR(INDEX(المنيو!$C$2:$C$500,MATCH($C6195,المنيو!$B$2:$B$500,0)),0))</f>
        <v/>
      </c>
      <c r="F6195" s="107" t="str">
        <f aca="false">IF($C6195="","",$D6195*$E6195)</f>
        <v/>
      </c>
      <c r="G6195" s="107" t="str">
        <f aca="false">IF($C6195="","",$D6195*IFERROR(INDEX('تحليل التكلفة والسعر'!$C$2:$C$700,MATCH($C6195,'تحليل التكلفة والسعر'!$B$2:$B$700,0)),0))</f>
        <v/>
      </c>
    </row>
    <row r="6196" customFormat="false" ht="15" hidden="false" customHeight="false" outlineLevel="0" collapsed="false">
      <c r="A6196" s="103"/>
      <c r="B6196" s="104"/>
      <c r="C6196" s="104"/>
      <c r="E6196" s="107" t="str">
        <f aca="false">IF($C6196="","",IFERROR(INDEX(المنيو!$C$2:$C$500,MATCH($C6196,المنيو!$B$2:$B$500,0)),0))</f>
        <v/>
      </c>
      <c r="F6196" s="107" t="str">
        <f aca="false">IF($C6196="","",$D6196*$E6196)</f>
        <v/>
      </c>
      <c r="G6196" s="107" t="str">
        <f aca="false">IF($C6196="","",$D6196*IFERROR(INDEX('تحليل التكلفة والسعر'!$C$2:$C$700,MATCH($C6196,'تحليل التكلفة والسعر'!$B$2:$B$700,0)),0))</f>
        <v/>
      </c>
    </row>
    <row r="6197" customFormat="false" ht="15" hidden="false" customHeight="false" outlineLevel="0" collapsed="false">
      <c r="A6197" s="103"/>
      <c r="B6197" s="104"/>
      <c r="C6197" s="104"/>
      <c r="E6197" s="107" t="str">
        <f aca="false">IF($C6197="","",IFERROR(INDEX(المنيو!$C$2:$C$500,MATCH($C6197,المنيو!$B$2:$B$500,0)),0))</f>
        <v/>
      </c>
      <c r="F6197" s="107" t="str">
        <f aca="false">IF($C6197="","",$D6197*$E6197)</f>
        <v/>
      </c>
      <c r="G6197" s="107" t="str">
        <f aca="false">IF($C6197="","",$D6197*IFERROR(INDEX('تحليل التكلفة والسعر'!$C$2:$C$700,MATCH($C6197,'تحليل التكلفة والسعر'!$B$2:$B$700,0)),0))</f>
        <v/>
      </c>
    </row>
    <row r="6198" customFormat="false" ht="15" hidden="false" customHeight="false" outlineLevel="0" collapsed="false">
      <c r="A6198" s="103"/>
      <c r="B6198" s="104"/>
      <c r="C6198" s="104"/>
      <c r="E6198" s="107" t="str">
        <f aca="false">IF($C6198="","",IFERROR(INDEX(المنيو!$C$2:$C$500,MATCH($C6198,المنيو!$B$2:$B$500,0)),0))</f>
        <v/>
      </c>
      <c r="F6198" s="107" t="str">
        <f aca="false">IF($C6198="","",$D6198*$E6198)</f>
        <v/>
      </c>
      <c r="G6198" s="107" t="str">
        <f aca="false">IF($C6198="","",$D6198*IFERROR(INDEX('تحليل التكلفة والسعر'!$C$2:$C$700,MATCH($C6198,'تحليل التكلفة والسعر'!$B$2:$B$700,0)),0))</f>
        <v/>
      </c>
    </row>
    <row r="6199" customFormat="false" ht="15" hidden="false" customHeight="false" outlineLevel="0" collapsed="false">
      <c r="A6199" s="103"/>
      <c r="B6199" s="104"/>
      <c r="C6199" s="104"/>
      <c r="E6199" s="107" t="str">
        <f aca="false">IF($C6199="","",IFERROR(INDEX(المنيو!$C$2:$C$500,MATCH($C6199,المنيو!$B$2:$B$500,0)),0))</f>
        <v/>
      </c>
      <c r="F6199" s="107" t="str">
        <f aca="false">IF($C6199="","",$D6199*$E6199)</f>
        <v/>
      </c>
      <c r="G6199" s="107" t="str">
        <f aca="false">IF($C6199="","",$D6199*IFERROR(INDEX('تحليل التكلفة والسعر'!$C$2:$C$700,MATCH($C6199,'تحليل التكلفة والسعر'!$B$2:$B$700,0)),0))</f>
        <v/>
      </c>
    </row>
    <row r="6200" customFormat="false" ht="15" hidden="false" customHeight="false" outlineLevel="0" collapsed="false">
      <c r="A6200" s="103"/>
      <c r="B6200" s="104"/>
      <c r="C6200" s="104"/>
      <c r="E6200" s="107" t="str">
        <f aca="false">IF($C6200="","",IFERROR(INDEX(المنيو!$C$2:$C$500,MATCH($C6200,المنيو!$B$2:$B$500,0)),0))</f>
        <v/>
      </c>
      <c r="F6200" s="107" t="str">
        <f aca="false">IF($C6200="","",$D6200*$E6200)</f>
        <v/>
      </c>
      <c r="G6200" s="107" t="str">
        <f aca="false">IF($C6200="","",$D6200*IFERROR(INDEX('تحليل التكلفة والسعر'!$C$2:$C$700,MATCH($C6200,'تحليل التكلفة والسعر'!$B$2:$B$700,0)),0))</f>
        <v/>
      </c>
    </row>
    <row r="6201" customFormat="false" ht="15" hidden="false" customHeight="false" outlineLevel="0" collapsed="false">
      <c r="A6201" s="103"/>
      <c r="B6201" s="104"/>
      <c r="C6201" s="104"/>
      <c r="E6201" s="107" t="str">
        <f aca="false">IF($C6201="","",IFERROR(INDEX(المنيو!$C$2:$C$500,MATCH($C6201,المنيو!$B$2:$B$500,0)),0))</f>
        <v/>
      </c>
      <c r="F6201" s="107" t="str">
        <f aca="false">IF($C6201="","",$D6201*$E6201)</f>
        <v/>
      </c>
      <c r="G6201" s="107" t="str">
        <f aca="false">IF($C6201="","",$D6201*IFERROR(INDEX('تحليل التكلفة والسعر'!$C$2:$C$700,MATCH($C6201,'تحليل التكلفة والسعر'!$B$2:$B$700,0)),0))</f>
        <v/>
      </c>
    </row>
    <row r="6202" customFormat="false" ht="15" hidden="false" customHeight="false" outlineLevel="0" collapsed="false">
      <c r="A6202" s="103"/>
      <c r="B6202" s="104"/>
      <c r="C6202" s="104"/>
      <c r="E6202" s="107" t="str">
        <f aca="false">IF($C6202="","",IFERROR(INDEX(المنيو!$C$2:$C$500,MATCH($C6202,المنيو!$B$2:$B$500,0)),0))</f>
        <v/>
      </c>
      <c r="F6202" s="107" t="str">
        <f aca="false">IF($C6202="","",$D6202*$E6202)</f>
        <v/>
      </c>
      <c r="G6202" s="107" t="str">
        <f aca="false">IF($C6202="","",$D6202*IFERROR(INDEX('تحليل التكلفة والسعر'!$C$2:$C$700,MATCH($C6202,'تحليل التكلفة والسعر'!$B$2:$B$700,0)),0))</f>
        <v/>
      </c>
    </row>
    <row r="6203" customFormat="false" ht="15" hidden="false" customHeight="false" outlineLevel="0" collapsed="false">
      <c r="A6203" s="103"/>
      <c r="B6203" s="104"/>
      <c r="C6203" s="104"/>
      <c r="E6203" s="107" t="str">
        <f aca="false">IF($C6203="","",IFERROR(INDEX(المنيو!$C$2:$C$500,MATCH($C6203,المنيو!$B$2:$B$500,0)),0))</f>
        <v/>
      </c>
      <c r="F6203" s="107" t="str">
        <f aca="false">IF($C6203="","",$D6203*$E6203)</f>
        <v/>
      </c>
      <c r="G6203" s="107" t="str">
        <f aca="false">IF($C6203="","",$D6203*IFERROR(INDEX('تحليل التكلفة والسعر'!$C$2:$C$700,MATCH($C6203,'تحليل التكلفة والسعر'!$B$2:$B$700,0)),0))</f>
        <v/>
      </c>
    </row>
    <row r="6204" customFormat="false" ht="15" hidden="false" customHeight="false" outlineLevel="0" collapsed="false">
      <c r="A6204" s="103"/>
      <c r="B6204" s="104"/>
      <c r="C6204" s="104"/>
      <c r="E6204" s="107" t="str">
        <f aca="false">IF($C6204="","",IFERROR(INDEX(المنيو!$C$2:$C$500,MATCH($C6204,المنيو!$B$2:$B$500,0)),0))</f>
        <v/>
      </c>
      <c r="F6204" s="107" t="str">
        <f aca="false">IF($C6204="","",$D6204*$E6204)</f>
        <v/>
      </c>
      <c r="G6204" s="107" t="str">
        <f aca="false">IF($C6204="","",$D6204*IFERROR(INDEX('تحليل التكلفة والسعر'!$C$2:$C$700,MATCH($C6204,'تحليل التكلفة والسعر'!$B$2:$B$700,0)),0))</f>
        <v/>
      </c>
    </row>
    <row r="6205" customFormat="false" ht="15" hidden="false" customHeight="false" outlineLevel="0" collapsed="false">
      <c r="A6205" s="103"/>
      <c r="B6205" s="104"/>
      <c r="C6205" s="104"/>
      <c r="E6205" s="107" t="str">
        <f aca="false">IF($C6205="","",IFERROR(INDEX(المنيو!$C$2:$C$500,MATCH($C6205,المنيو!$B$2:$B$500,0)),0))</f>
        <v/>
      </c>
      <c r="F6205" s="107" t="str">
        <f aca="false">IF($C6205="","",$D6205*$E6205)</f>
        <v/>
      </c>
      <c r="G6205" s="107" t="str">
        <f aca="false">IF($C6205="","",$D6205*IFERROR(INDEX('تحليل التكلفة والسعر'!$C$2:$C$700,MATCH($C6205,'تحليل التكلفة والسعر'!$B$2:$B$700,0)),0))</f>
        <v/>
      </c>
    </row>
    <row r="6206" customFormat="false" ht="15" hidden="false" customHeight="false" outlineLevel="0" collapsed="false">
      <c r="A6206" s="103"/>
      <c r="B6206" s="104"/>
      <c r="C6206" s="104"/>
      <c r="E6206" s="107" t="str">
        <f aca="false">IF($C6206="","",IFERROR(INDEX(المنيو!$C$2:$C$500,MATCH($C6206,المنيو!$B$2:$B$500,0)),0))</f>
        <v/>
      </c>
      <c r="F6206" s="107" t="str">
        <f aca="false">IF($C6206="","",$D6206*$E6206)</f>
        <v/>
      </c>
      <c r="G6206" s="107" t="str">
        <f aca="false">IF($C6206="","",$D6206*IFERROR(INDEX('تحليل التكلفة والسعر'!$C$2:$C$700,MATCH($C6206,'تحليل التكلفة والسعر'!$B$2:$B$700,0)),0))</f>
        <v/>
      </c>
    </row>
    <row r="6207" customFormat="false" ht="15" hidden="false" customHeight="false" outlineLevel="0" collapsed="false">
      <c r="A6207" s="103"/>
      <c r="B6207" s="104"/>
      <c r="C6207" s="104"/>
      <c r="E6207" s="107" t="str">
        <f aca="false">IF($C6207="","",IFERROR(INDEX(المنيو!$C$2:$C$500,MATCH($C6207,المنيو!$B$2:$B$500,0)),0))</f>
        <v/>
      </c>
      <c r="F6207" s="107" t="str">
        <f aca="false">IF($C6207="","",$D6207*$E6207)</f>
        <v/>
      </c>
      <c r="G6207" s="107" t="str">
        <f aca="false">IF($C6207="","",$D6207*IFERROR(INDEX('تحليل التكلفة والسعر'!$C$2:$C$700,MATCH($C6207,'تحليل التكلفة والسعر'!$B$2:$B$700,0)),0))</f>
        <v/>
      </c>
    </row>
    <row r="6208" customFormat="false" ht="15" hidden="false" customHeight="false" outlineLevel="0" collapsed="false">
      <c r="A6208" s="103"/>
      <c r="B6208" s="104"/>
      <c r="C6208" s="104"/>
      <c r="E6208" s="107" t="str">
        <f aca="false">IF($C6208="","",IFERROR(INDEX(المنيو!$C$2:$C$500,MATCH($C6208,المنيو!$B$2:$B$500,0)),0))</f>
        <v/>
      </c>
      <c r="F6208" s="107" t="str">
        <f aca="false">IF($C6208="","",$D6208*$E6208)</f>
        <v/>
      </c>
      <c r="G6208" s="107" t="str">
        <f aca="false">IF($C6208="","",$D6208*IFERROR(INDEX('تحليل التكلفة والسعر'!$C$2:$C$700,MATCH($C6208,'تحليل التكلفة والسعر'!$B$2:$B$700,0)),0))</f>
        <v/>
      </c>
    </row>
    <row r="6209" customFormat="false" ht="15" hidden="false" customHeight="false" outlineLevel="0" collapsed="false">
      <c r="A6209" s="103"/>
      <c r="B6209" s="104"/>
      <c r="C6209" s="104"/>
      <c r="E6209" s="107" t="str">
        <f aca="false">IF($C6209="","",IFERROR(INDEX(المنيو!$C$2:$C$500,MATCH($C6209,المنيو!$B$2:$B$500,0)),0))</f>
        <v/>
      </c>
      <c r="F6209" s="107" t="str">
        <f aca="false">IF($C6209="","",$D6209*$E6209)</f>
        <v/>
      </c>
      <c r="G6209" s="107" t="str">
        <f aca="false">IF($C6209="","",$D6209*IFERROR(INDEX('تحليل التكلفة والسعر'!$C$2:$C$700,MATCH($C6209,'تحليل التكلفة والسعر'!$B$2:$B$700,0)),0))</f>
        <v/>
      </c>
    </row>
    <row r="6210" customFormat="false" ht="15" hidden="false" customHeight="false" outlineLevel="0" collapsed="false">
      <c r="A6210" s="103"/>
      <c r="B6210" s="104"/>
      <c r="C6210" s="104"/>
      <c r="E6210" s="107" t="str">
        <f aca="false">IF($C6210="","",IFERROR(INDEX(المنيو!$C$2:$C$500,MATCH($C6210,المنيو!$B$2:$B$500,0)),0))</f>
        <v/>
      </c>
      <c r="F6210" s="107" t="str">
        <f aca="false">IF($C6210="","",$D6210*$E6210)</f>
        <v/>
      </c>
      <c r="G6210" s="107" t="str">
        <f aca="false">IF($C6210="","",$D6210*IFERROR(INDEX('تحليل التكلفة والسعر'!$C$2:$C$700,MATCH($C6210,'تحليل التكلفة والسعر'!$B$2:$B$700,0)),0))</f>
        <v/>
      </c>
    </row>
    <row r="6211" customFormat="false" ht="15" hidden="false" customHeight="false" outlineLevel="0" collapsed="false">
      <c r="A6211" s="103"/>
      <c r="B6211" s="104"/>
      <c r="C6211" s="104"/>
      <c r="E6211" s="107" t="str">
        <f aca="false">IF($C6211="","",IFERROR(INDEX(المنيو!$C$2:$C$500,MATCH($C6211,المنيو!$B$2:$B$500,0)),0))</f>
        <v/>
      </c>
      <c r="F6211" s="107" t="str">
        <f aca="false">IF($C6211="","",$D6211*$E6211)</f>
        <v/>
      </c>
      <c r="G6211" s="107" t="str">
        <f aca="false">IF($C6211="","",$D6211*IFERROR(INDEX('تحليل التكلفة والسعر'!$C$2:$C$700,MATCH($C6211,'تحليل التكلفة والسعر'!$B$2:$B$700,0)),0))</f>
        <v/>
      </c>
    </row>
    <row r="6212" customFormat="false" ht="15" hidden="false" customHeight="false" outlineLevel="0" collapsed="false">
      <c r="A6212" s="103"/>
      <c r="B6212" s="104"/>
      <c r="C6212" s="104"/>
      <c r="E6212" s="107" t="str">
        <f aca="false">IF($C6212="","",IFERROR(INDEX(المنيو!$C$2:$C$500,MATCH($C6212,المنيو!$B$2:$B$500,0)),0))</f>
        <v/>
      </c>
      <c r="F6212" s="107" t="str">
        <f aca="false">IF($C6212="","",$D6212*$E6212)</f>
        <v/>
      </c>
      <c r="G6212" s="107" t="str">
        <f aca="false">IF($C6212="","",$D6212*IFERROR(INDEX('تحليل التكلفة والسعر'!$C$2:$C$700,MATCH($C6212,'تحليل التكلفة والسعر'!$B$2:$B$700,0)),0))</f>
        <v/>
      </c>
    </row>
    <row r="6213" customFormat="false" ht="15" hidden="false" customHeight="false" outlineLevel="0" collapsed="false">
      <c r="A6213" s="103"/>
      <c r="B6213" s="104"/>
      <c r="C6213" s="104"/>
      <c r="E6213" s="107" t="str">
        <f aca="false">IF($C6213="","",IFERROR(INDEX(المنيو!$C$2:$C$500,MATCH($C6213,المنيو!$B$2:$B$500,0)),0))</f>
        <v/>
      </c>
      <c r="F6213" s="107" t="str">
        <f aca="false">IF($C6213="","",$D6213*$E6213)</f>
        <v/>
      </c>
      <c r="G6213" s="107" t="str">
        <f aca="false">IF($C6213="","",$D6213*IFERROR(INDEX('تحليل التكلفة والسعر'!$C$2:$C$700,MATCH($C6213,'تحليل التكلفة والسعر'!$B$2:$B$700,0)),0))</f>
        <v/>
      </c>
    </row>
    <row r="6214" customFormat="false" ht="15" hidden="false" customHeight="false" outlineLevel="0" collapsed="false">
      <c r="A6214" s="103"/>
      <c r="B6214" s="104"/>
      <c r="C6214" s="104"/>
      <c r="E6214" s="107" t="str">
        <f aca="false">IF($C6214="","",IFERROR(INDEX(المنيو!$C$2:$C$500,MATCH($C6214,المنيو!$B$2:$B$500,0)),0))</f>
        <v/>
      </c>
      <c r="F6214" s="107" t="str">
        <f aca="false">IF($C6214="","",$D6214*$E6214)</f>
        <v/>
      </c>
      <c r="G6214" s="107" t="str">
        <f aca="false">IF($C6214="","",$D6214*IFERROR(INDEX('تحليل التكلفة والسعر'!$C$2:$C$700,MATCH($C6214,'تحليل التكلفة والسعر'!$B$2:$B$700,0)),0))</f>
        <v/>
      </c>
    </row>
    <row r="6215" customFormat="false" ht="15" hidden="false" customHeight="false" outlineLevel="0" collapsed="false">
      <c r="A6215" s="103"/>
      <c r="B6215" s="104"/>
      <c r="C6215" s="104"/>
      <c r="E6215" s="107" t="str">
        <f aca="false">IF($C6215="","",IFERROR(INDEX(المنيو!$C$2:$C$500,MATCH($C6215,المنيو!$B$2:$B$500,0)),0))</f>
        <v/>
      </c>
      <c r="F6215" s="107" t="str">
        <f aca="false">IF($C6215="","",$D6215*$E6215)</f>
        <v/>
      </c>
      <c r="G6215" s="107" t="str">
        <f aca="false">IF($C6215="","",$D6215*IFERROR(INDEX('تحليل التكلفة والسعر'!$C$2:$C$700,MATCH($C6215,'تحليل التكلفة والسعر'!$B$2:$B$700,0)),0))</f>
        <v/>
      </c>
    </row>
    <row r="6216" customFormat="false" ht="15" hidden="false" customHeight="false" outlineLevel="0" collapsed="false">
      <c r="A6216" s="103"/>
      <c r="B6216" s="104"/>
      <c r="C6216" s="104"/>
      <c r="E6216" s="107" t="str">
        <f aca="false">IF($C6216="","",IFERROR(INDEX(المنيو!$C$2:$C$500,MATCH($C6216,المنيو!$B$2:$B$500,0)),0))</f>
        <v/>
      </c>
      <c r="F6216" s="107" t="str">
        <f aca="false">IF($C6216="","",$D6216*$E6216)</f>
        <v/>
      </c>
      <c r="G6216" s="107" t="str">
        <f aca="false">IF($C6216="","",$D6216*IFERROR(INDEX('تحليل التكلفة والسعر'!$C$2:$C$700,MATCH($C6216,'تحليل التكلفة والسعر'!$B$2:$B$700,0)),0))</f>
        <v/>
      </c>
    </row>
    <row r="6217" customFormat="false" ht="15" hidden="false" customHeight="false" outlineLevel="0" collapsed="false">
      <c r="A6217" s="103"/>
      <c r="B6217" s="104"/>
      <c r="C6217" s="104"/>
      <c r="E6217" s="107" t="str">
        <f aca="false">IF($C6217="","",IFERROR(INDEX(المنيو!$C$2:$C$500,MATCH($C6217,المنيو!$B$2:$B$500,0)),0))</f>
        <v/>
      </c>
      <c r="F6217" s="107" t="str">
        <f aca="false">IF($C6217="","",$D6217*$E6217)</f>
        <v/>
      </c>
      <c r="G6217" s="107" t="str">
        <f aca="false">IF($C6217="","",$D6217*IFERROR(INDEX('تحليل التكلفة والسعر'!$C$2:$C$700,MATCH($C6217,'تحليل التكلفة والسعر'!$B$2:$B$700,0)),0))</f>
        <v/>
      </c>
    </row>
    <row r="6218" customFormat="false" ht="15" hidden="false" customHeight="false" outlineLevel="0" collapsed="false">
      <c r="A6218" s="103"/>
      <c r="B6218" s="104"/>
      <c r="C6218" s="104"/>
      <c r="E6218" s="107" t="str">
        <f aca="false">IF($C6218="","",IFERROR(INDEX(المنيو!$C$2:$C$500,MATCH($C6218,المنيو!$B$2:$B$500,0)),0))</f>
        <v/>
      </c>
      <c r="F6218" s="107" t="str">
        <f aca="false">IF($C6218="","",$D6218*$E6218)</f>
        <v/>
      </c>
      <c r="G6218" s="107" t="str">
        <f aca="false">IF($C6218="","",$D6218*IFERROR(INDEX('تحليل التكلفة والسعر'!$C$2:$C$700,MATCH($C6218,'تحليل التكلفة والسعر'!$B$2:$B$700,0)),0))</f>
        <v/>
      </c>
    </row>
    <row r="6219" customFormat="false" ht="15" hidden="false" customHeight="false" outlineLevel="0" collapsed="false">
      <c r="A6219" s="103"/>
      <c r="B6219" s="104"/>
      <c r="C6219" s="104"/>
      <c r="E6219" s="107" t="str">
        <f aca="false">IF($C6219="","",IFERROR(INDEX(المنيو!$C$2:$C$500,MATCH($C6219,المنيو!$B$2:$B$500,0)),0))</f>
        <v/>
      </c>
      <c r="F6219" s="107" t="str">
        <f aca="false">IF($C6219="","",$D6219*$E6219)</f>
        <v/>
      </c>
      <c r="G6219" s="107" t="str">
        <f aca="false">IF($C6219="","",$D6219*IFERROR(INDEX('تحليل التكلفة والسعر'!$C$2:$C$700,MATCH($C6219,'تحليل التكلفة والسعر'!$B$2:$B$700,0)),0))</f>
        <v/>
      </c>
    </row>
    <row r="6220" customFormat="false" ht="15" hidden="false" customHeight="false" outlineLevel="0" collapsed="false">
      <c r="A6220" s="103"/>
      <c r="B6220" s="104"/>
      <c r="C6220" s="104"/>
      <c r="E6220" s="107" t="str">
        <f aca="false">IF($C6220="","",IFERROR(INDEX(المنيو!$C$2:$C$500,MATCH($C6220,المنيو!$B$2:$B$500,0)),0))</f>
        <v/>
      </c>
      <c r="F6220" s="107" t="str">
        <f aca="false">IF($C6220="","",$D6220*$E6220)</f>
        <v/>
      </c>
      <c r="G6220" s="107" t="str">
        <f aca="false">IF($C6220="","",$D6220*IFERROR(INDEX('تحليل التكلفة والسعر'!$C$2:$C$700,MATCH($C6220,'تحليل التكلفة والسعر'!$B$2:$B$700,0)),0))</f>
        <v/>
      </c>
    </row>
    <row r="6221" customFormat="false" ht="15" hidden="false" customHeight="false" outlineLevel="0" collapsed="false">
      <c r="A6221" s="103"/>
      <c r="B6221" s="104"/>
      <c r="C6221" s="104"/>
      <c r="E6221" s="107" t="str">
        <f aca="false">IF($C6221="","",IFERROR(INDEX(المنيو!$C$2:$C$500,MATCH($C6221,المنيو!$B$2:$B$500,0)),0))</f>
        <v/>
      </c>
      <c r="F6221" s="107" t="str">
        <f aca="false">IF($C6221="","",$D6221*$E6221)</f>
        <v/>
      </c>
      <c r="G6221" s="107" t="str">
        <f aca="false">IF($C6221="","",$D6221*IFERROR(INDEX('تحليل التكلفة والسعر'!$C$2:$C$700,MATCH($C6221,'تحليل التكلفة والسعر'!$B$2:$B$700,0)),0))</f>
        <v/>
      </c>
    </row>
    <row r="6222" customFormat="false" ht="15" hidden="false" customHeight="false" outlineLevel="0" collapsed="false">
      <c r="A6222" s="103"/>
      <c r="B6222" s="104"/>
      <c r="C6222" s="104"/>
      <c r="E6222" s="107" t="str">
        <f aca="false">IF($C6222="","",IFERROR(INDEX(المنيو!$C$2:$C$500,MATCH($C6222,المنيو!$B$2:$B$500,0)),0))</f>
        <v/>
      </c>
      <c r="F6222" s="107" t="str">
        <f aca="false">IF($C6222="","",$D6222*$E6222)</f>
        <v/>
      </c>
      <c r="G6222" s="107" t="str">
        <f aca="false">IF($C6222="","",$D6222*IFERROR(INDEX('تحليل التكلفة والسعر'!$C$2:$C$700,MATCH($C6222,'تحليل التكلفة والسعر'!$B$2:$B$700,0)),0))</f>
        <v/>
      </c>
    </row>
    <row r="6223" customFormat="false" ht="15" hidden="false" customHeight="false" outlineLevel="0" collapsed="false">
      <c r="A6223" s="103"/>
      <c r="B6223" s="104"/>
      <c r="C6223" s="104"/>
      <c r="E6223" s="107" t="str">
        <f aca="false">IF($C6223="","",IFERROR(INDEX(المنيو!$C$2:$C$500,MATCH($C6223,المنيو!$B$2:$B$500,0)),0))</f>
        <v/>
      </c>
      <c r="F6223" s="107" t="str">
        <f aca="false">IF($C6223="","",$D6223*$E6223)</f>
        <v/>
      </c>
      <c r="G6223" s="107" t="str">
        <f aca="false">IF($C6223="","",$D6223*IFERROR(INDEX('تحليل التكلفة والسعر'!$C$2:$C$700,MATCH($C6223,'تحليل التكلفة والسعر'!$B$2:$B$700,0)),0))</f>
        <v/>
      </c>
    </row>
    <row r="6224" customFormat="false" ht="15" hidden="false" customHeight="false" outlineLevel="0" collapsed="false">
      <c r="A6224" s="103"/>
      <c r="B6224" s="104"/>
      <c r="C6224" s="104"/>
      <c r="E6224" s="107" t="str">
        <f aca="false">IF($C6224="","",IFERROR(INDEX(المنيو!$C$2:$C$500,MATCH($C6224,المنيو!$B$2:$B$500,0)),0))</f>
        <v/>
      </c>
      <c r="F6224" s="107" t="str">
        <f aca="false">IF($C6224="","",$D6224*$E6224)</f>
        <v/>
      </c>
      <c r="G6224" s="107" t="str">
        <f aca="false">IF($C6224="","",$D6224*IFERROR(INDEX('تحليل التكلفة والسعر'!$C$2:$C$700,MATCH($C6224,'تحليل التكلفة والسعر'!$B$2:$B$700,0)),0))</f>
        <v/>
      </c>
    </row>
    <row r="6225" customFormat="false" ht="15" hidden="false" customHeight="false" outlineLevel="0" collapsed="false">
      <c r="A6225" s="103"/>
      <c r="B6225" s="104"/>
      <c r="C6225" s="104"/>
      <c r="E6225" s="107" t="str">
        <f aca="false">IF($C6225="","",IFERROR(INDEX(المنيو!$C$2:$C$500,MATCH($C6225,المنيو!$B$2:$B$500,0)),0))</f>
        <v/>
      </c>
      <c r="F6225" s="107" t="str">
        <f aca="false">IF($C6225="","",$D6225*$E6225)</f>
        <v/>
      </c>
      <c r="G6225" s="107" t="str">
        <f aca="false">IF($C6225="","",$D6225*IFERROR(INDEX('تحليل التكلفة والسعر'!$C$2:$C$700,MATCH($C6225,'تحليل التكلفة والسعر'!$B$2:$B$700,0)),0))</f>
        <v/>
      </c>
    </row>
    <row r="6226" customFormat="false" ht="15" hidden="false" customHeight="false" outlineLevel="0" collapsed="false">
      <c r="A6226" s="103"/>
      <c r="B6226" s="104"/>
      <c r="C6226" s="104"/>
      <c r="E6226" s="107" t="str">
        <f aca="false">IF($C6226="","",IFERROR(INDEX(المنيو!$C$2:$C$500,MATCH($C6226,المنيو!$B$2:$B$500,0)),0))</f>
        <v/>
      </c>
      <c r="F6226" s="107" t="str">
        <f aca="false">IF($C6226="","",$D6226*$E6226)</f>
        <v/>
      </c>
      <c r="G6226" s="107" t="str">
        <f aca="false">IF($C6226="","",$D6226*IFERROR(INDEX('تحليل التكلفة والسعر'!$C$2:$C$700,MATCH($C6226,'تحليل التكلفة والسعر'!$B$2:$B$700,0)),0))</f>
        <v/>
      </c>
    </row>
    <row r="6227" customFormat="false" ht="15" hidden="false" customHeight="false" outlineLevel="0" collapsed="false">
      <c r="A6227" s="103"/>
      <c r="B6227" s="104"/>
      <c r="C6227" s="104"/>
      <c r="E6227" s="107" t="str">
        <f aca="false">IF($C6227="","",IFERROR(INDEX(المنيو!$C$2:$C$500,MATCH($C6227,المنيو!$B$2:$B$500,0)),0))</f>
        <v/>
      </c>
      <c r="F6227" s="107" t="str">
        <f aca="false">IF($C6227="","",$D6227*$E6227)</f>
        <v/>
      </c>
      <c r="G6227" s="107" t="str">
        <f aca="false">IF($C6227="","",$D6227*IFERROR(INDEX('تحليل التكلفة والسعر'!$C$2:$C$700,MATCH($C6227,'تحليل التكلفة والسعر'!$B$2:$B$700,0)),0))</f>
        <v/>
      </c>
    </row>
    <row r="6228" customFormat="false" ht="15" hidden="false" customHeight="false" outlineLevel="0" collapsed="false">
      <c r="A6228" s="103"/>
      <c r="B6228" s="104"/>
      <c r="C6228" s="104"/>
      <c r="E6228" s="107" t="str">
        <f aca="false">IF($C6228="","",IFERROR(INDEX(المنيو!$C$2:$C$500,MATCH($C6228,المنيو!$B$2:$B$500,0)),0))</f>
        <v/>
      </c>
      <c r="F6228" s="107" t="str">
        <f aca="false">IF($C6228="","",$D6228*$E6228)</f>
        <v/>
      </c>
      <c r="G6228" s="107" t="str">
        <f aca="false">IF($C6228="","",$D6228*IFERROR(INDEX('تحليل التكلفة والسعر'!$C$2:$C$700,MATCH($C6228,'تحليل التكلفة والسعر'!$B$2:$B$700,0)),0))</f>
        <v/>
      </c>
    </row>
    <row r="6229" customFormat="false" ht="15" hidden="false" customHeight="false" outlineLevel="0" collapsed="false">
      <c r="A6229" s="103"/>
      <c r="B6229" s="104"/>
      <c r="C6229" s="104"/>
      <c r="E6229" s="107" t="str">
        <f aca="false">IF($C6229="","",IFERROR(INDEX(المنيو!$C$2:$C$500,MATCH($C6229,المنيو!$B$2:$B$500,0)),0))</f>
        <v/>
      </c>
      <c r="F6229" s="107" t="str">
        <f aca="false">IF($C6229="","",$D6229*$E6229)</f>
        <v/>
      </c>
      <c r="G6229" s="107" t="str">
        <f aca="false">IF($C6229="","",$D6229*IFERROR(INDEX('تحليل التكلفة والسعر'!$C$2:$C$700,MATCH($C6229,'تحليل التكلفة والسعر'!$B$2:$B$700,0)),0))</f>
        <v/>
      </c>
    </row>
    <row r="6230" customFormat="false" ht="15" hidden="false" customHeight="false" outlineLevel="0" collapsed="false">
      <c r="A6230" s="103"/>
      <c r="B6230" s="104"/>
      <c r="C6230" s="104"/>
      <c r="E6230" s="107" t="str">
        <f aca="false">IF($C6230="","",IFERROR(INDEX(المنيو!$C$2:$C$500,MATCH($C6230,المنيو!$B$2:$B$500,0)),0))</f>
        <v/>
      </c>
      <c r="F6230" s="107" t="str">
        <f aca="false">IF($C6230="","",$D6230*$E6230)</f>
        <v/>
      </c>
      <c r="G6230" s="107" t="str">
        <f aca="false">IF($C6230="","",$D6230*IFERROR(INDEX('تحليل التكلفة والسعر'!$C$2:$C$700,MATCH($C6230,'تحليل التكلفة والسعر'!$B$2:$B$700,0)),0))</f>
        <v/>
      </c>
    </row>
    <row r="6231" customFormat="false" ht="15" hidden="false" customHeight="false" outlineLevel="0" collapsed="false">
      <c r="A6231" s="103"/>
      <c r="B6231" s="104"/>
      <c r="C6231" s="104"/>
      <c r="E6231" s="107" t="str">
        <f aca="false">IF($C6231="","",IFERROR(INDEX(المنيو!$C$2:$C$500,MATCH($C6231,المنيو!$B$2:$B$500,0)),0))</f>
        <v/>
      </c>
      <c r="F6231" s="107" t="str">
        <f aca="false">IF($C6231="","",$D6231*$E6231)</f>
        <v/>
      </c>
      <c r="G6231" s="107" t="str">
        <f aca="false">IF($C6231="","",$D6231*IFERROR(INDEX('تحليل التكلفة والسعر'!$C$2:$C$700,MATCH($C6231,'تحليل التكلفة والسعر'!$B$2:$B$700,0)),0))</f>
        <v/>
      </c>
    </row>
    <row r="6232" customFormat="false" ht="15" hidden="false" customHeight="false" outlineLevel="0" collapsed="false">
      <c r="A6232" s="103"/>
      <c r="B6232" s="104"/>
      <c r="C6232" s="104"/>
      <c r="E6232" s="107" t="str">
        <f aca="false">IF($C6232="","",IFERROR(INDEX(المنيو!$C$2:$C$500,MATCH($C6232,المنيو!$B$2:$B$500,0)),0))</f>
        <v/>
      </c>
      <c r="F6232" s="107" t="str">
        <f aca="false">IF($C6232="","",$D6232*$E6232)</f>
        <v/>
      </c>
      <c r="G6232" s="107" t="str">
        <f aca="false">IF($C6232="","",$D6232*IFERROR(INDEX('تحليل التكلفة والسعر'!$C$2:$C$700,MATCH($C6232,'تحليل التكلفة والسعر'!$B$2:$B$700,0)),0))</f>
        <v/>
      </c>
    </row>
    <row r="6233" customFormat="false" ht="15" hidden="false" customHeight="false" outlineLevel="0" collapsed="false">
      <c r="A6233" s="103"/>
      <c r="B6233" s="104"/>
      <c r="C6233" s="104"/>
      <c r="E6233" s="107" t="str">
        <f aca="false">IF($C6233="","",IFERROR(INDEX(المنيو!$C$2:$C$500,MATCH($C6233,المنيو!$B$2:$B$500,0)),0))</f>
        <v/>
      </c>
      <c r="F6233" s="107" t="str">
        <f aca="false">IF($C6233="","",$D6233*$E6233)</f>
        <v/>
      </c>
      <c r="G6233" s="107" t="str">
        <f aca="false">IF($C6233="","",$D6233*IFERROR(INDEX('تحليل التكلفة والسعر'!$C$2:$C$700,MATCH($C6233,'تحليل التكلفة والسعر'!$B$2:$B$700,0)),0))</f>
        <v/>
      </c>
    </row>
    <row r="6234" customFormat="false" ht="15" hidden="false" customHeight="false" outlineLevel="0" collapsed="false">
      <c r="A6234" s="103"/>
      <c r="B6234" s="104"/>
      <c r="C6234" s="104"/>
      <c r="E6234" s="107" t="str">
        <f aca="false">IF($C6234="","",IFERROR(INDEX(المنيو!$C$2:$C$500,MATCH($C6234,المنيو!$B$2:$B$500,0)),0))</f>
        <v/>
      </c>
      <c r="F6234" s="107" t="str">
        <f aca="false">IF($C6234="","",$D6234*$E6234)</f>
        <v/>
      </c>
      <c r="G6234" s="107" t="str">
        <f aca="false">IF($C6234="","",$D6234*IFERROR(INDEX('تحليل التكلفة والسعر'!$C$2:$C$700,MATCH($C6234,'تحليل التكلفة والسعر'!$B$2:$B$700,0)),0))</f>
        <v/>
      </c>
    </row>
    <row r="6235" customFormat="false" ht="15" hidden="false" customHeight="false" outlineLevel="0" collapsed="false">
      <c r="A6235" s="103"/>
      <c r="B6235" s="104"/>
      <c r="C6235" s="104"/>
      <c r="E6235" s="107" t="str">
        <f aca="false">IF($C6235="","",IFERROR(INDEX(المنيو!$C$2:$C$500,MATCH($C6235,المنيو!$B$2:$B$500,0)),0))</f>
        <v/>
      </c>
      <c r="F6235" s="107" t="str">
        <f aca="false">IF($C6235="","",$D6235*$E6235)</f>
        <v/>
      </c>
      <c r="G6235" s="107" t="str">
        <f aca="false">IF($C6235="","",$D6235*IFERROR(INDEX('تحليل التكلفة والسعر'!$C$2:$C$700,MATCH($C6235,'تحليل التكلفة والسعر'!$B$2:$B$700,0)),0))</f>
        <v/>
      </c>
    </row>
    <row r="6236" customFormat="false" ht="15" hidden="false" customHeight="false" outlineLevel="0" collapsed="false">
      <c r="A6236" s="103"/>
      <c r="B6236" s="104"/>
      <c r="C6236" s="104"/>
      <c r="E6236" s="107" t="str">
        <f aca="false">IF($C6236="","",IFERROR(INDEX(المنيو!$C$2:$C$500,MATCH($C6236,المنيو!$B$2:$B$500,0)),0))</f>
        <v/>
      </c>
      <c r="F6236" s="107" t="str">
        <f aca="false">IF($C6236="","",$D6236*$E6236)</f>
        <v/>
      </c>
      <c r="G6236" s="107" t="str">
        <f aca="false">IF($C6236="","",$D6236*IFERROR(INDEX('تحليل التكلفة والسعر'!$C$2:$C$700,MATCH($C6236,'تحليل التكلفة والسعر'!$B$2:$B$700,0)),0))</f>
        <v/>
      </c>
    </row>
    <row r="6237" customFormat="false" ht="15" hidden="false" customHeight="false" outlineLevel="0" collapsed="false">
      <c r="A6237" s="103"/>
      <c r="B6237" s="104"/>
      <c r="C6237" s="104"/>
      <c r="E6237" s="107" t="str">
        <f aca="false">IF($C6237="","",IFERROR(INDEX(المنيو!$C$2:$C$500,MATCH($C6237,المنيو!$B$2:$B$500,0)),0))</f>
        <v/>
      </c>
      <c r="F6237" s="107" t="str">
        <f aca="false">IF($C6237="","",$D6237*$E6237)</f>
        <v/>
      </c>
      <c r="G6237" s="107" t="str">
        <f aca="false">IF($C6237="","",$D6237*IFERROR(INDEX('تحليل التكلفة والسعر'!$C$2:$C$700,MATCH($C6237,'تحليل التكلفة والسعر'!$B$2:$B$700,0)),0))</f>
        <v/>
      </c>
    </row>
    <row r="6238" customFormat="false" ht="15" hidden="false" customHeight="false" outlineLevel="0" collapsed="false">
      <c r="A6238" s="103"/>
      <c r="B6238" s="104"/>
      <c r="C6238" s="104"/>
      <c r="E6238" s="107" t="str">
        <f aca="false">IF($C6238="","",IFERROR(INDEX(المنيو!$C$2:$C$500,MATCH($C6238,المنيو!$B$2:$B$500,0)),0))</f>
        <v/>
      </c>
      <c r="F6238" s="107" t="str">
        <f aca="false">IF($C6238="","",$D6238*$E6238)</f>
        <v/>
      </c>
      <c r="G6238" s="107" t="str">
        <f aca="false">IF($C6238="","",$D6238*IFERROR(INDEX('تحليل التكلفة والسعر'!$C$2:$C$700,MATCH($C6238,'تحليل التكلفة والسعر'!$B$2:$B$700,0)),0))</f>
        <v/>
      </c>
    </row>
    <row r="6239" customFormat="false" ht="15" hidden="false" customHeight="false" outlineLevel="0" collapsed="false">
      <c r="A6239" s="103"/>
      <c r="B6239" s="104"/>
      <c r="C6239" s="104"/>
      <c r="E6239" s="107" t="str">
        <f aca="false">IF($C6239="","",IFERROR(INDEX(المنيو!$C$2:$C$500,MATCH($C6239,المنيو!$B$2:$B$500,0)),0))</f>
        <v/>
      </c>
      <c r="F6239" s="107" t="str">
        <f aca="false">IF($C6239="","",$D6239*$E6239)</f>
        <v/>
      </c>
      <c r="G6239" s="107" t="str">
        <f aca="false">IF($C6239="","",$D6239*IFERROR(INDEX('تحليل التكلفة والسعر'!$C$2:$C$700,MATCH($C6239,'تحليل التكلفة والسعر'!$B$2:$B$700,0)),0))</f>
        <v/>
      </c>
    </row>
    <row r="6240" customFormat="false" ht="15" hidden="false" customHeight="false" outlineLevel="0" collapsed="false">
      <c r="A6240" s="103"/>
      <c r="B6240" s="104"/>
      <c r="C6240" s="104"/>
      <c r="E6240" s="107" t="str">
        <f aca="false">IF($C6240="","",IFERROR(INDEX(المنيو!$C$2:$C$500,MATCH($C6240,المنيو!$B$2:$B$500,0)),0))</f>
        <v/>
      </c>
      <c r="F6240" s="107" t="str">
        <f aca="false">IF($C6240="","",$D6240*$E6240)</f>
        <v/>
      </c>
      <c r="G6240" s="107" t="str">
        <f aca="false">IF($C6240="","",$D6240*IFERROR(INDEX('تحليل التكلفة والسعر'!$C$2:$C$700,MATCH($C6240,'تحليل التكلفة والسعر'!$B$2:$B$700,0)),0))</f>
        <v/>
      </c>
    </row>
    <row r="6241" customFormat="false" ht="15" hidden="false" customHeight="false" outlineLevel="0" collapsed="false">
      <c r="A6241" s="103"/>
      <c r="B6241" s="104"/>
      <c r="C6241" s="104"/>
      <c r="E6241" s="107" t="str">
        <f aca="false">IF($C6241="","",IFERROR(INDEX(المنيو!$C$2:$C$500,MATCH($C6241,المنيو!$B$2:$B$500,0)),0))</f>
        <v/>
      </c>
      <c r="F6241" s="107" t="str">
        <f aca="false">IF($C6241="","",$D6241*$E6241)</f>
        <v/>
      </c>
      <c r="G6241" s="107" t="str">
        <f aca="false">IF($C6241="","",$D6241*IFERROR(INDEX('تحليل التكلفة والسعر'!$C$2:$C$700,MATCH($C6241,'تحليل التكلفة والسعر'!$B$2:$B$700,0)),0))</f>
        <v/>
      </c>
    </row>
    <row r="6242" customFormat="false" ht="15" hidden="false" customHeight="false" outlineLevel="0" collapsed="false">
      <c r="A6242" s="103"/>
      <c r="B6242" s="104"/>
      <c r="C6242" s="104"/>
      <c r="E6242" s="107" t="str">
        <f aca="false">IF($C6242="","",IFERROR(INDEX(المنيو!$C$2:$C$500,MATCH($C6242,المنيو!$B$2:$B$500,0)),0))</f>
        <v/>
      </c>
      <c r="F6242" s="107" t="str">
        <f aca="false">IF($C6242="","",$D6242*$E6242)</f>
        <v/>
      </c>
      <c r="G6242" s="107" t="str">
        <f aca="false">IF($C6242="","",$D6242*IFERROR(INDEX('تحليل التكلفة والسعر'!$C$2:$C$700,MATCH($C6242,'تحليل التكلفة والسعر'!$B$2:$B$700,0)),0))</f>
        <v/>
      </c>
    </row>
    <row r="6243" customFormat="false" ht="15" hidden="false" customHeight="false" outlineLevel="0" collapsed="false">
      <c r="A6243" s="103"/>
      <c r="B6243" s="104"/>
      <c r="C6243" s="104"/>
      <c r="E6243" s="107" t="str">
        <f aca="false">IF($C6243="","",IFERROR(INDEX(المنيو!$C$2:$C$500,MATCH($C6243,المنيو!$B$2:$B$500,0)),0))</f>
        <v/>
      </c>
      <c r="F6243" s="107" t="str">
        <f aca="false">IF($C6243="","",$D6243*$E6243)</f>
        <v/>
      </c>
      <c r="G6243" s="107" t="str">
        <f aca="false">IF($C6243="","",$D6243*IFERROR(INDEX('تحليل التكلفة والسعر'!$C$2:$C$700,MATCH($C6243,'تحليل التكلفة والسعر'!$B$2:$B$700,0)),0))</f>
        <v/>
      </c>
    </row>
    <row r="6244" customFormat="false" ht="15" hidden="false" customHeight="false" outlineLevel="0" collapsed="false">
      <c r="A6244" s="103"/>
      <c r="B6244" s="104"/>
      <c r="C6244" s="104"/>
      <c r="E6244" s="107" t="str">
        <f aca="false">IF($C6244="","",IFERROR(INDEX(المنيو!$C$2:$C$500,MATCH($C6244,المنيو!$B$2:$B$500,0)),0))</f>
        <v/>
      </c>
      <c r="F6244" s="107" t="str">
        <f aca="false">IF($C6244="","",$D6244*$E6244)</f>
        <v/>
      </c>
      <c r="G6244" s="107" t="str">
        <f aca="false">IF($C6244="","",$D6244*IFERROR(INDEX('تحليل التكلفة والسعر'!$C$2:$C$700,MATCH($C6244,'تحليل التكلفة والسعر'!$B$2:$B$700,0)),0))</f>
        <v/>
      </c>
    </row>
    <row r="6245" customFormat="false" ht="15" hidden="false" customHeight="false" outlineLevel="0" collapsed="false">
      <c r="A6245" s="103"/>
      <c r="B6245" s="104"/>
      <c r="C6245" s="104"/>
      <c r="E6245" s="107" t="str">
        <f aca="false">IF($C6245="","",IFERROR(INDEX(المنيو!$C$2:$C$500,MATCH($C6245,المنيو!$B$2:$B$500,0)),0))</f>
        <v/>
      </c>
      <c r="F6245" s="107" t="str">
        <f aca="false">IF($C6245="","",$D6245*$E6245)</f>
        <v/>
      </c>
      <c r="G6245" s="107" t="str">
        <f aca="false">IF($C6245="","",$D6245*IFERROR(INDEX('تحليل التكلفة والسعر'!$C$2:$C$700,MATCH($C6245,'تحليل التكلفة والسعر'!$B$2:$B$700,0)),0))</f>
        <v/>
      </c>
    </row>
    <row r="6246" customFormat="false" ht="15" hidden="false" customHeight="false" outlineLevel="0" collapsed="false">
      <c r="A6246" s="103"/>
      <c r="B6246" s="104"/>
      <c r="C6246" s="104"/>
      <c r="E6246" s="107" t="str">
        <f aca="false">IF($C6246="","",IFERROR(INDEX(المنيو!$C$2:$C$500,MATCH($C6246,المنيو!$B$2:$B$500,0)),0))</f>
        <v/>
      </c>
      <c r="F6246" s="107" t="str">
        <f aca="false">IF($C6246="","",$D6246*$E6246)</f>
        <v/>
      </c>
      <c r="G6246" s="107" t="str">
        <f aca="false">IF($C6246="","",$D6246*IFERROR(INDEX('تحليل التكلفة والسعر'!$C$2:$C$700,MATCH($C6246,'تحليل التكلفة والسعر'!$B$2:$B$700,0)),0))</f>
        <v/>
      </c>
    </row>
    <row r="6247" customFormat="false" ht="15" hidden="false" customHeight="false" outlineLevel="0" collapsed="false">
      <c r="A6247" s="103"/>
      <c r="B6247" s="104"/>
      <c r="C6247" s="104"/>
      <c r="E6247" s="107" t="str">
        <f aca="false">IF($C6247="","",IFERROR(INDEX(المنيو!$C$2:$C$500,MATCH($C6247,المنيو!$B$2:$B$500,0)),0))</f>
        <v/>
      </c>
      <c r="F6247" s="107" t="str">
        <f aca="false">IF($C6247="","",$D6247*$E6247)</f>
        <v/>
      </c>
      <c r="G6247" s="107" t="str">
        <f aca="false">IF($C6247="","",$D6247*IFERROR(INDEX('تحليل التكلفة والسعر'!$C$2:$C$700,MATCH($C6247,'تحليل التكلفة والسعر'!$B$2:$B$700,0)),0))</f>
        <v/>
      </c>
    </row>
    <row r="6248" customFormat="false" ht="15" hidden="false" customHeight="false" outlineLevel="0" collapsed="false">
      <c r="A6248" s="103"/>
      <c r="B6248" s="104"/>
      <c r="C6248" s="104"/>
      <c r="E6248" s="107" t="str">
        <f aca="false">IF($C6248="","",IFERROR(INDEX(المنيو!$C$2:$C$500,MATCH($C6248,المنيو!$B$2:$B$500,0)),0))</f>
        <v/>
      </c>
      <c r="F6248" s="107" t="str">
        <f aca="false">IF($C6248="","",$D6248*$E6248)</f>
        <v/>
      </c>
      <c r="G6248" s="107" t="str">
        <f aca="false">IF($C6248="","",$D6248*IFERROR(INDEX('تحليل التكلفة والسعر'!$C$2:$C$700,MATCH($C6248,'تحليل التكلفة والسعر'!$B$2:$B$700,0)),0))</f>
        <v/>
      </c>
    </row>
    <row r="6249" customFormat="false" ht="15" hidden="false" customHeight="false" outlineLevel="0" collapsed="false">
      <c r="A6249" s="103"/>
      <c r="B6249" s="104"/>
      <c r="C6249" s="104"/>
      <c r="E6249" s="107" t="str">
        <f aca="false">IF($C6249="","",IFERROR(INDEX(المنيو!$C$2:$C$500,MATCH($C6249,المنيو!$B$2:$B$500,0)),0))</f>
        <v/>
      </c>
      <c r="F6249" s="107" t="str">
        <f aca="false">IF($C6249="","",$D6249*$E6249)</f>
        <v/>
      </c>
      <c r="G6249" s="107" t="str">
        <f aca="false">IF($C6249="","",$D6249*IFERROR(INDEX('تحليل التكلفة والسعر'!$C$2:$C$700,MATCH($C6249,'تحليل التكلفة والسعر'!$B$2:$B$700,0)),0))</f>
        <v/>
      </c>
    </row>
    <row r="6250" customFormat="false" ht="15" hidden="false" customHeight="false" outlineLevel="0" collapsed="false">
      <c r="A6250" s="103"/>
      <c r="B6250" s="104"/>
      <c r="C6250" s="104"/>
      <c r="E6250" s="107" t="str">
        <f aca="false">IF($C6250="","",IFERROR(INDEX(المنيو!$C$2:$C$500,MATCH($C6250,المنيو!$B$2:$B$500,0)),0))</f>
        <v/>
      </c>
      <c r="F6250" s="107" t="str">
        <f aca="false">IF($C6250="","",$D6250*$E6250)</f>
        <v/>
      </c>
      <c r="G6250" s="107" t="str">
        <f aca="false">IF($C6250="","",$D6250*IFERROR(INDEX('تحليل التكلفة والسعر'!$C$2:$C$700,MATCH($C6250,'تحليل التكلفة والسعر'!$B$2:$B$700,0)),0))</f>
        <v/>
      </c>
    </row>
    <row r="6251" customFormat="false" ht="15" hidden="false" customHeight="false" outlineLevel="0" collapsed="false">
      <c r="A6251" s="103"/>
      <c r="B6251" s="104"/>
      <c r="C6251" s="104"/>
      <c r="E6251" s="107" t="str">
        <f aca="false">IF($C6251="","",IFERROR(INDEX(المنيو!$C$2:$C$500,MATCH($C6251,المنيو!$B$2:$B$500,0)),0))</f>
        <v/>
      </c>
      <c r="F6251" s="107" t="str">
        <f aca="false">IF($C6251="","",$D6251*$E6251)</f>
        <v/>
      </c>
      <c r="G6251" s="107" t="str">
        <f aca="false">IF($C6251="","",$D6251*IFERROR(INDEX('تحليل التكلفة والسعر'!$C$2:$C$700,MATCH($C6251,'تحليل التكلفة والسعر'!$B$2:$B$700,0)),0))</f>
        <v/>
      </c>
    </row>
    <row r="6252" customFormat="false" ht="15" hidden="false" customHeight="false" outlineLevel="0" collapsed="false">
      <c r="A6252" s="103"/>
      <c r="B6252" s="104"/>
      <c r="C6252" s="104"/>
      <c r="E6252" s="107" t="str">
        <f aca="false">IF($C6252="","",IFERROR(INDEX(المنيو!$C$2:$C$500,MATCH($C6252,المنيو!$B$2:$B$500,0)),0))</f>
        <v/>
      </c>
      <c r="F6252" s="107" t="str">
        <f aca="false">IF($C6252="","",$D6252*$E6252)</f>
        <v/>
      </c>
      <c r="G6252" s="107" t="str">
        <f aca="false">IF($C6252="","",$D6252*IFERROR(INDEX('تحليل التكلفة والسعر'!$C$2:$C$700,MATCH($C6252,'تحليل التكلفة والسعر'!$B$2:$B$700,0)),0))</f>
        <v/>
      </c>
    </row>
    <row r="6253" customFormat="false" ht="15" hidden="false" customHeight="false" outlineLevel="0" collapsed="false">
      <c r="A6253" s="103"/>
      <c r="B6253" s="104"/>
      <c r="C6253" s="104"/>
      <c r="E6253" s="107" t="str">
        <f aca="false">IF($C6253="","",IFERROR(INDEX(المنيو!$C$2:$C$500,MATCH($C6253,المنيو!$B$2:$B$500,0)),0))</f>
        <v/>
      </c>
      <c r="F6253" s="107" t="str">
        <f aca="false">IF($C6253="","",$D6253*$E6253)</f>
        <v/>
      </c>
      <c r="G6253" s="107" t="str">
        <f aca="false">IF($C6253="","",$D6253*IFERROR(INDEX('تحليل التكلفة والسعر'!$C$2:$C$700,MATCH($C6253,'تحليل التكلفة والسعر'!$B$2:$B$700,0)),0))</f>
        <v/>
      </c>
    </row>
    <row r="6254" customFormat="false" ht="15" hidden="false" customHeight="false" outlineLevel="0" collapsed="false">
      <c r="A6254" s="103"/>
      <c r="B6254" s="104"/>
      <c r="C6254" s="104"/>
      <c r="E6254" s="107" t="str">
        <f aca="false">IF($C6254="","",IFERROR(INDEX(المنيو!$C$2:$C$500,MATCH($C6254,المنيو!$B$2:$B$500,0)),0))</f>
        <v/>
      </c>
      <c r="F6254" s="107" t="str">
        <f aca="false">IF($C6254="","",$D6254*$E6254)</f>
        <v/>
      </c>
      <c r="G6254" s="107" t="str">
        <f aca="false">IF($C6254="","",$D6254*IFERROR(INDEX('تحليل التكلفة والسعر'!$C$2:$C$700,MATCH($C6254,'تحليل التكلفة والسعر'!$B$2:$B$700,0)),0))</f>
        <v/>
      </c>
    </row>
    <row r="6255" customFormat="false" ht="15" hidden="false" customHeight="false" outlineLevel="0" collapsed="false">
      <c r="A6255" s="103"/>
      <c r="B6255" s="104"/>
      <c r="C6255" s="104"/>
      <c r="E6255" s="107" t="str">
        <f aca="false">IF($C6255="","",IFERROR(INDEX(المنيو!$C$2:$C$500,MATCH($C6255,المنيو!$B$2:$B$500,0)),0))</f>
        <v/>
      </c>
      <c r="F6255" s="107" t="str">
        <f aca="false">IF($C6255="","",$D6255*$E6255)</f>
        <v/>
      </c>
      <c r="G6255" s="107" t="str">
        <f aca="false">IF($C6255="","",$D6255*IFERROR(INDEX('تحليل التكلفة والسعر'!$C$2:$C$700,MATCH($C6255,'تحليل التكلفة والسعر'!$B$2:$B$700,0)),0))</f>
        <v/>
      </c>
    </row>
    <row r="6256" customFormat="false" ht="15" hidden="false" customHeight="false" outlineLevel="0" collapsed="false">
      <c r="A6256" s="103"/>
      <c r="B6256" s="104"/>
      <c r="C6256" s="104"/>
      <c r="E6256" s="107" t="str">
        <f aca="false">IF($C6256="","",IFERROR(INDEX(المنيو!$C$2:$C$500,MATCH($C6256,المنيو!$B$2:$B$500,0)),0))</f>
        <v/>
      </c>
      <c r="F6256" s="107" t="str">
        <f aca="false">IF($C6256="","",$D6256*$E6256)</f>
        <v/>
      </c>
      <c r="G6256" s="107" t="str">
        <f aca="false">IF($C6256="","",$D6256*IFERROR(INDEX('تحليل التكلفة والسعر'!$C$2:$C$700,MATCH($C6256,'تحليل التكلفة والسعر'!$B$2:$B$700,0)),0))</f>
        <v/>
      </c>
    </row>
    <row r="6257" customFormat="false" ht="15" hidden="false" customHeight="false" outlineLevel="0" collapsed="false">
      <c r="A6257" s="103"/>
      <c r="B6257" s="104"/>
      <c r="C6257" s="104"/>
      <c r="E6257" s="107" t="str">
        <f aca="false">IF($C6257="","",IFERROR(INDEX(المنيو!$C$2:$C$500,MATCH($C6257,المنيو!$B$2:$B$500,0)),0))</f>
        <v/>
      </c>
      <c r="F6257" s="107" t="str">
        <f aca="false">IF($C6257="","",$D6257*$E6257)</f>
        <v/>
      </c>
      <c r="G6257" s="107" t="str">
        <f aca="false">IF($C6257="","",$D6257*IFERROR(INDEX('تحليل التكلفة والسعر'!$C$2:$C$700,MATCH($C6257,'تحليل التكلفة والسعر'!$B$2:$B$700,0)),0))</f>
        <v/>
      </c>
    </row>
    <row r="6258" customFormat="false" ht="15" hidden="false" customHeight="false" outlineLevel="0" collapsed="false">
      <c r="A6258" s="103"/>
      <c r="B6258" s="104"/>
      <c r="C6258" s="104"/>
      <c r="E6258" s="107" t="str">
        <f aca="false">IF($C6258="","",IFERROR(INDEX(المنيو!$C$2:$C$500,MATCH($C6258,المنيو!$B$2:$B$500,0)),0))</f>
        <v/>
      </c>
      <c r="F6258" s="107" t="str">
        <f aca="false">IF($C6258="","",$D6258*$E6258)</f>
        <v/>
      </c>
      <c r="G6258" s="107" t="str">
        <f aca="false">IF($C6258="","",$D6258*IFERROR(INDEX('تحليل التكلفة والسعر'!$C$2:$C$700,MATCH($C6258,'تحليل التكلفة والسعر'!$B$2:$B$700,0)),0))</f>
        <v/>
      </c>
    </row>
    <row r="6259" customFormat="false" ht="15" hidden="false" customHeight="false" outlineLevel="0" collapsed="false">
      <c r="A6259" s="103"/>
      <c r="B6259" s="104"/>
      <c r="C6259" s="104"/>
      <c r="E6259" s="107" t="str">
        <f aca="false">IF($C6259="","",IFERROR(INDEX(المنيو!$C$2:$C$500,MATCH($C6259,المنيو!$B$2:$B$500,0)),0))</f>
        <v/>
      </c>
      <c r="F6259" s="107" t="str">
        <f aca="false">IF($C6259="","",$D6259*$E6259)</f>
        <v/>
      </c>
      <c r="G6259" s="107" t="str">
        <f aca="false">IF($C6259="","",$D6259*IFERROR(INDEX('تحليل التكلفة والسعر'!$C$2:$C$700,MATCH($C6259,'تحليل التكلفة والسعر'!$B$2:$B$700,0)),0))</f>
        <v/>
      </c>
    </row>
    <row r="6260" customFormat="false" ht="15" hidden="false" customHeight="false" outlineLevel="0" collapsed="false">
      <c r="A6260" s="103"/>
      <c r="B6260" s="104"/>
      <c r="C6260" s="104"/>
      <c r="E6260" s="107" t="str">
        <f aca="false">IF($C6260="","",IFERROR(INDEX(المنيو!$C$2:$C$500,MATCH($C6260,المنيو!$B$2:$B$500,0)),0))</f>
        <v/>
      </c>
      <c r="F6260" s="107" t="str">
        <f aca="false">IF($C6260="","",$D6260*$E6260)</f>
        <v/>
      </c>
      <c r="G6260" s="107" t="str">
        <f aca="false">IF($C6260="","",$D6260*IFERROR(INDEX('تحليل التكلفة والسعر'!$C$2:$C$700,MATCH($C6260,'تحليل التكلفة والسعر'!$B$2:$B$700,0)),0))</f>
        <v/>
      </c>
    </row>
    <row r="6261" customFormat="false" ht="15" hidden="false" customHeight="false" outlineLevel="0" collapsed="false">
      <c r="A6261" s="103"/>
      <c r="B6261" s="104"/>
      <c r="C6261" s="104"/>
      <c r="E6261" s="107" t="str">
        <f aca="false">IF($C6261="","",IFERROR(INDEX(المنيو!$C$2:$C$500,MATCH($C6261,المنيو!$B$2:$B$500,0)),0))</f>
        <v/>
      </c>
      <c r="F6261" s="107" t="str">
        <f aca="false">IF($C6261="","",$D6261*$E6261)</f>
        <v/>
      </c>
      <c r="G6261" s="107" t="str">
        <f aca="false">IF($C6261="","",$D6261*IFERROR(INDEX('تحليل التكلفة والسعر'!$C$2:$C$700,MATCH($C6261,'تحليل التكلفة والسعر'!$B$2:$B$700,0)),0))</f>
        <v/>
      </c>
    </row>
    <row r="6262" customFormat="false" ht="15" hidden="false" customHeight="false" outlineLevel="0" collapsed="false">
      <c r="A6262" s="103"/>
      <c r="B6262" s="104"/>
      <c r="C6262" s="104"/>
      <c r="E6262" s="107" t="str">
        <f aca="false">IF($C6262="","",IFERROR(INDEX(المنيو!$C$2:$C$500,MATCH($C6262,المنيو!$B$2:$B$500,0)),0))</f>
        <v/>
      </c>
      <c r="F6262" s="107" t="str">
        <f aca="false">IF($C6262="","",$D6262*$E6262)</f>
        <v/>
      </c>
      <c r="G6262" s="107" t="str">
        <f aca="false">IF($C6262="","",$D6262*IFERROR(INDEX('تحليل التكلفة والسعر'!$C$2:$C$700,MATCH($C6262,'تحليل التكلفة والسعر'!$B$2:$B$700,0)),0))</f>
        <v/>
      </c>
    </row>
    <row r="6263" customFormat="false" ht="15" hidden="false" customHeight="false" outlineLevel="0" collapsed="false">
      <c r="A6263" s="103"/>
      <c r="B6263" s="104"/>
      <c r="C6263" s="104"/>
      <c r="E6263" s="107" t="str">
        <f aca="false">IF($C6263="","",IFERROR(INDEX(المنيو!$C$2:$C$500,MATCH($C6263,المنيو!$B$2:$B$500,0)),0))</f>
        <v/>
      </c>
      <c r="F6263" s="107" t="str">
        <f aca="false">IF($C6263="","",$D6263*$E6263)</f>
        <v/>
      </c>
      <c r="G6263" s="107" t="str">
        <f aca="false">IF($C6263="","",$D6263*IFERROR(INDEX('تحليل التكلفة والسعر'!$C$2:$C$700,MATCH($C6263,'تحليل التكلفة والسعر'!$B$2:$B$700,0)),0))</f>
        <v/>
      </c>
    </row>
    <row r="6264" customFormat="false" ht="15" hidden="false" customHeight="false" outlineLevel="0" collapsed="false">
      <c r="A6264" s="103"/>
      <c r="B6264" s="104"/>
      <c r="C6264" s="104"/>
      <c r="E6264" s="107" t="str">
        <f aca="false">IF($C6264="","",IFERROR(INDEX(المنيو!$C$2:$C$500,MATCH($C6264,المنيو!$B$2:$B$500,0)),0))</f>
        <v/>
      </c>
      <c r="F6264" s="107" t="str">
        <f aca="false">IF($C6264="","",$D6264*$E6264)</f>
        <v/>
      </c>
      <c r="G6264" s="107" t="str">
        <f aca="false">IF($C6264="","",$D6264*IFERROR(INDEX('تحليل التكلفة والسعر'!$C$2:$C$700,MATCH($C6264,'تحليل التكلفة والسعر'!$B$2:$B$700,0)),0))</f>
        <v/>
      </c>
    </row>
    <row r="6265" customFormat="false" ht="15" hidden="false" customHeight="false" outlineLevel="0" collapsed="false">
      <c r="A6265" s="103"/>
      <c r="B6265" s="104"/>
      <c r="C6265" s="104"/>
      <c r="E6265" s="107" t="str">
        <f aca="false">IF($C6265="","",IFERROR(INDEX(المنيو!$C$2:$C$500,MATCH($C6265,المنيو!$B$2:$B$500,0)),0))</f>
        <v/>
      </c>
      <c r="F6265" s="107" t="str">
        <f aca="false">IF($C6265="","",$D6265*$E6265)</f>
        <v/>
      </c>
      <c r="G6265" s="107" t="str">
        <f aca="false">IF($C6265="","",$D6265*IFERROR(INDEX('تحليل التكلفة والسعر'!$C$2:$C$700,MATCH($C6265,'تحليل التكلفة والسعر'!$B$2:$B$700,0)),0))</f>
        <v/>
      </c>
    </row>
    <row r="6266" customFormat="false" ht="15" hidden="false" customHeight="false" outlineLevel="0" collapsed="false">
      <c r="A6266" s="103"/>
      <c r="B6266" s="104"/>
      <c r="C6266" s="104"/>
      <c r="E6266" s="107" t="str">
        <f aca="false">IF($C6266="","",IFERROR(INDEX(المنيو!$C$2:$C$500,MATCH($C6266,المنيو!$B$2:$B$500,0)),0))</f>
        <v/>
      </c>
      <c r="F6266" s="107" t="str">
        <f aca="false">IF($C6266="","",$D6266*$E6266)</f>
        <v/>
      </c>
      <c r="G6266" s="107" t="str">
        <f aca="false">IF($C6266="","",$D6266*IFERROR(INDEX('تحليل التكلفة والسعر'!$C$2:$C$700,MATCH($C6266,'تحليل التكلفة والسعر'!$B$2:$B$700,0)),0))</f>
        <v/>
      </c>
    </row>
    <row r="6267" customFormat="false" ht="15" hidden="false" customHeight="false" outlineLevel="0" collapsed="false">
      <c r="A6267" s="103"/>
      <c r="B6267" s="104"/>
      <c r="C6267" s="104"/>
      <c r="E6267" s="107" t="str">
        <f aca="false">IF($C6267="","",IFERROR(INDEX(المنيو!$C$2:$C$500,MATCH($C6267,المنيو!$B$2:$B$500,0)),0))</f>
        <v/>
      </c>
      <c r="F6267" s="107" t="str">
        <f aca="false">IF($C6267="","",$D6267*$E6267)</f>
        <v/>
      </c>
      <c r="G6267" s="107" t="str">
        <f aca="false">IF($C6267="","",$D6267*IFERROR(INDEX('تحليل التكلفة والسعر'!$C$2:$C$700,MATCH($C6267,'تحليل التكلفة والسعر'!$B$2:$B$700,0)),0))</f>
        <v/>
      </c>
    </row>
    <row r="6268" customFormat="false" ht="15" hidden="false" customHeight="false" outlineLevel="0" collapsed="false">
      <c r="A6268" s="103"/>
      <c r="B6268" s="104"/>
      <c r="C6268" s="104"/>
      <c r="E6268" s="107" t="str">
        <f aca="false">IF($C6268="","",IFERROR(INDEX(المنيو!$C$2:$C$500,MATCH($C6268,المنيو!$B$2:$B$500,0)),0))</f>
        <v/>
      </c>
      <c r="F6268" s="107" t="str">
        <f aca="false">IF($C6268="","",$D6268*$E6268)</f>
        <v/>
      </c>
      <c r="G6268" s="107" t="str">
        <f aca="false">IF($C6268="","",$D6268*IFERROR(INDEX('تحليل التكلفة والسعر'!$C$2:$C$700,MATCH($C6268,'تحليل التكلفة والسعر'!$B$2:$B$700,0)),0))</f>
        <v/>
      </c>
    </row>
    <row r="6269" customFormat="false" ht="15" hidden="false" customHeight="false" outlineLevel="0" collapsed="false">
      <c r="A6269" s="103"/>
      <c r="B6269" s="104"/>
      <c r="C6269" s="104"/>
      <c r="E6269" s="107" t="str">
        <f aca="false">IF($C6269="","",IFERROR(INDEX(المنيو!$C$2:$C$500,MATCH($C6269,المنيو!$B$2:$B$500,0)),0))</f>
        <v/>
      </c>
      <c r="F6269" s="107" t="str">
        <f aca="false">IF($C6269="","",$D6269*$E6269)</f>
        <v/>
      </c>
      <c r="G6269" s="107" t="str">
        <f aca="false">IF($C6269="","",$D6269*IFERROR(INDEX('تحليل التكلفة والسعر'!$C$2:$C$700,MATCH($C6269,'تحليل التكلفة والسعر'!$B$2:$B$700,0)),0))</f>
        <v/>
      </c>
    </row>
    <row r="6270" customFormat="false" ht="15" hidden="false" customHeight="false" outlineLevel="0" collapsed="false">
      <c r="A6270" s="103"/>
      <c r="B6270" s="104"/>
      <c r="C6270" s="104"/>
      <c r="E6270" s="107" t="str">
        <f aca="false">IF($C6270="","",IFERROR(INDEX(المنيو!$C$2:$C$500,MATCH($C6270,المنيو!$B$2:$B$500,0)),0))</f>
        <v/>
      </c>
      <c r="F6270" s="107" t="str">
        <f aca="false">IF($C6270="","",$D6270*$E6270)</f>
        <v/>
      </c>
      <c r="G6270" s="107" t="str">
        <f aca="false">IF($C6270="","",$D6270*IFERROR(INDEX('تحليل التكلفة والسعر'!$C$2:$C$700,MATCH($C6270,'تحليل التكلفة والسعر'!$B$2:$B$700,0)),0))</f>
        <v/>
      </c>
    </row>
    <row r="6271" customFormat="false" ht="15" hidden="false" customHeight="false" outlineLevel="0" collapsed="false">
      <c r="A6271" s="103"/>
      <c r="B6271" s="104"/>
      <c r="C6271" s="104"/>
      <c r="E6271" s="107" t="str">
        <f aca="false">IF($C6271="","",IFERROR(INDEX(المنيو!$C$2:$C$500,MATCH($C6271,المنيو!$B$2:$B$500,0)),0))</f>
        <v/>
      </c>
      <c r="F6271" s="107" t="str">
        <f aca="false">IF($C6271="","",$D6271*$E6271)</f>
        <v/>
      </c>
      <c r="G6271" s="107" t="str">
        <f aca="false">IF($C6271="","",$D6271*IFERROR(INDEX('تحليل التكلفة والسعر'!$C$2:$C$700,MATCH($C6271,'تحليل التكلفة والسعر'!$B$2:$B$700,0)),0))</f>
        <v/>
      </c>
    </row>
    <row r="6272" customFormat="false" ht="15" hidden="false" customHeight="false" outlineLevel="0" collapsed="false">
      <c r="A6272" s="103"/>
      <c r="B6272" s="104"/>
      <c r="C6272" s="104"/>
      <c r="E6272" s="107" t="str">
        <f aca="false">IF($C6272="","",IFERROR(INDEX(المنيو!$C$2:$C$500,MATCH($C6272,المنيو!$B$2:$B$500,0)),0))</f>
        <v/>
      </c>
      <c r="F6272" s="107" t="str">
        <f aca="false">IF($C6272="","",$D6272*$E6272)</f>
        <v/>
      </c>
      <c r="G6272" s="107" t="str">
        <f aca="false">IF($C6272="","",$D6272*IFERROR(INDEX('تحليل التكلفة والسعر'!$C$2:$C$700,MATCH($C6272,'تحليل التكلفة والسعر'!$B$2:$B$700,0)),0))</f>
        <v/>
      </c>
    </row>
    <row r="6273" customFormat="false" ht="15" hidden="false" customHeight="false" outlineLevel="0" collapsed="false">
      <c r="A6273" s="103"/>
      <c r="B6273" s="104"/>
      <c r="C6273" s="104"/>
      <c r="E6273" s="107" t="str">
        <f aca="false">IF($C6273="","",IFERROR(INDEX(المنيو!$C$2:$C$500,MATCH($C6273,المنيو!$B$2:$B$500,0)),0))</f>
        <v/>
      </c>
      <c r="F6273" s="107" t="str">
        <f aca="false">IF($C6273="","",$D6273*$E6273)</f>
        <v/>
      </c>
      <c r="G6273" s="107" t="str">
        <f aca="false">IF($C6273="","",$D6273*IFERROR(INDEX('تحليل التكلفة والسعر'!$C$2:$C$700,MATCH($C6273,'تحليل التكلفة والسعر'!$B$2:$B$700,0)),0))</f>
        <v/>
      </c>
    </row>
    <row r="6274" customFormat="false" ht="15" hidden="false" customHeight="false" outlineLevel="0" collapsed="false">
      <c r="A6274" s="103"/>
      <c r="B6274" s="104"/>
      <c r="C6274" s="104"/>
      <c r="E6274" s="107" t="str">
        <f aca="false">IF($C6274="","",IFERROR(INDEX(المنيو!$C$2:$C$500,MATCH($C6274,المنيو!$B$2:$B$500,0)),0))</f>
        <v/>
      </c>
      <c r="F6274" s="107" t="str">
        <f aca="false">IF($C6274="","",$D6274*$E6274)</f>
        <v/>
      </c>
      <c r="G6274" s="107" t="str">
        <f aca="false">IF($C6274="","",$D6274*IFERROR(INDEX('تحليل التكلفة والسعر'!$C$2:$C$700,MATCH($C6274,'تحليل التكلفة والسعر'!$B$2:$B$700,0)),0))</f>
        <v/>
      </c>
    </row>
    <row r="6275" customFormat="false" ht="15" hidden="false" customHeight="false" outlineLevel="0" collapsed="false">
      <c r="A6275" s="103"/>
      <c r="B6275" s="104"/>
      <c r="C6275" s="104"/>
      <c r="E6275" s="107" t="str">
        <f aca="false">IF($C6275="","",IFERROR(INDEX(المنيو!$C$2:$C$500,MATCH($C6275,المنيو!$B$2:$B$500,0)),0))</f>
        <v/>
      </c>
      <c r="F6275" s="107" t="str">
        <f aca="false">IF($C6275="","",$D6275*$E6275)</f>
        <v/>
      </c>
      <c r="G6275" s="107" t="str">
        <f aca="false">IF($C6275="","",$D6275*IFERROR(INDEX('تحليل التكلفة والسعر'!$C$2:$C$700,MATCH($C6275,'تحليل التكلفة والسعر'!$B$2:$B$700,0)),0))</f>
        <v/>
      </c>
    </row>
    <row r="6276" customFormat="false" ht="15" hidden="false" customHeight="false" outlineLevel="0" collapsed="false">
      <c r="A6276" s="103"/>
      <c r="B6276" s="104"/>
      <c r="C6276" s="104"/>
      <c r="E6276" s="107" t="str">
        <f aca="false">IF($C6276="","",IFERROR(INDEX(المنيو!$C$2:$C$500,MATCH($C6276,المنيو!$B$2:$B$500,0)),0))</f>
        <v/>
      </c>
      <c r="F6276" s="107" t="str">
        <f aca="false">IF($C6276="","",$D6276*$E6276)</f>
        <v/>
      </c>
      <c r="G6276" s="107" t="str">
        <f aca="false">IF($C6276="","",$D6276*IFERROR(INDEX('تحليل التكلفة والسعر'!$C$2:$C$700,MATCH($C6276,'تحليل التكلفة والسعر'!$B$2:$B$700,0)),0))</f>
        <v/>
      </c>
    </row>
    <row r="6277" customFormat="false" ht="15" hidden="false" customHeight="false" outlineLevel="0" collapsed="false">
      <c r="A6277" s="103"/>
      <c r="B6277" s="104"/>
      <c r="C6277" s="104"/>
      <c r="E6277" s="107" t="str">
        <f aca="false">IF($C6277="","",IFERROR(INDEX(المنيو!$C$2:$C$500,MATCH($C6277,المنيو!$B$2:$B$500,0)),0))</f>
        <v/>
      </c>
      <c r="F6277" s="107" t="str">
        <f aca="false">IF($C6277="","",$D6277*$E6277)</f>
        <v/>
      </c>
      <c r="G6277" s="107" t="str">
        <f aca="false">IF($C6277="","",$D6277*IFERROR(INDEX('تحليل التكلفة والسعر'!$C$2:$C$700,MATCH($C6277,'تحليل التكلفة والسعر'!$B$2:$B$700,0)),0))</f>
        <v/>
      </c>
    </row>
    <row r="6278" customFormat="false" ht="15" hidden="false" customHeight="false" outlineLevel="0" collapsed="false">
      <c r="A6278" s="103"/>
      <c r="B6278" s="104"/>
      <c r="C6278" s="104"/>
      <c r="E6278" s="107" t="str">
        <f aca="false">IF($C6278="","",IFERROR(INDEX(المنيو!$C$2:$C$500,MATCH($C6278,المنيو!$B$2:$B$500,0)),0))</f>
        <v/>
      </c>
      <c r="F6278" s="107" t="str">
        <f aca="false">IF($C6278="","",$D6278*$E6278)</f>
        <v/>
      </c>
      <c r="G6278" s="107" t="str">
        <f aca="false">IF($C6278="","",$D6278*IFERROR(INDEX('تحليل التكلفة والسعر'!$C$2:$C$700,MATCH($C6278,'تحليل التكلفة والسعر'!$B$2:$B$700,0)),0))</f>
        <v/>
      </c>
    </row>
    <row r="6279" customFormat="false" ht="15" hidden="false" customHeight="false" outlineLevel="0" collapsed="false">
      <c r="A6279" s="103"/>
      <c r="B6279" s="104"/>
      <c r="C6279" s="104"/>
      <c r="E6279" s="107" t="str">
        <f aca="false">IF($C6279="","",IFERROR(INDEX(المنيو!$C$2:$C$500,MATCH($C6279,المنيو!$B$2:$B$500,0)),0))</f>
        <v/>
      </c>
      <c r="F6279" s="107" t="str">
        <f aca="false">IF($C6279="","",$D6279*$E6279)</f>
        <v/>
      </c>
      <c r="G6279" s="107" t="str">
        <f aca="false">IF($C6279="","",$D6279*IFERROR(INDEX('تحليل التكلفة والسعر'!$C$2:$C$700,MATCH($C6279,'تحليل التكلفة والسعر'!$B$2:$B$700,0)),0))</f>
        <v/>
      </c>
    </row>
    <row r="6280" customFormat="false" ht="15" hidden="false" customHeight="false" outlineLevel="0" collapsed="false">
      <c r="A6280" s="103"/>
      <c r="B6280" s="104"/>
      <c r="C6280" s="104"/>
      <c r="E6280" s="107" t="str">
        <f aca="false">IF($C6280="","",IFERROR(INDEX(المنيو!$C$2:$C$500,MATCH($C6280,المنيو!$B$2:$B$500,0)),0))</f>
        <v/>
      </c>
      <c r="F6280" s="107" t="str">
        <f aca="false">IF($C6280="","",$D6280*$E6280)</f>
        <v/>
      </c>
      <c r="G6280" s="107" t="str">
        <f aca="false">IF($C6280="","",$D6280*IFERROR(INDEX('تحليل التكلفة والسعر'!$C$2:$C$700,MATCH($C6280,'تحليل التكلفة والسعر'!$B$2:$B$700,0)),0))</f>
        <v/>
      </c>
    </row>
    <row r="6281" customFormat="false" ht="15" hidden="false" customHeight="false" outlineLevel="0" collapsed="false">
      <c r="A6281" s="103"/>
      <c r="B6281" s="104"/>
      <c r="C6281" s="104"/>
      <c r="E6281" s="107" t="str">
        <f aca="false">IF($C6281="","",IFERROR(INDEX(المنيو!$C$2:$C$500,MATCH($C6281,المنيو!$B$2:$B$500,0)),0))</f>
        <v/>
      </c>
      <c r="F6281" s="107" t="str">
        <f aca="false">IF($C6281="","",$D6281*$E6281)</f>
        <v/>
      </c>
      <c r="G6281" s="107" t="str">
        <f aca="false">IF($C6281="","",$D6281*IFERROR(INDEX('تحليل التكلفة والسعر'!$C$2:$C$700,MATCH($C6281,'تحليل التكلفة والسعر'!$B$2:$B$700,0)),0))</f>
        <v/>
      </c>
    </row>
    <row r="6282" customFormat="false" ht="15" hidden="false" customHeight="false" outlineLevel="0" collapsed="false">
      <c r="A6282" s="103"/>
      <c r="B6282" s="104"/>
      <c r="C6282" s="104"/>
      <c r="E6282" s="107" t="str">
        <f aca="false">IF($C6282="","",IFERROR(INDEX(المنيو!$C$2:$C$500,MATCH($C6282,المنيو!$B$2:$B$500,0)),0))</f>
        <v/>
      </c>
      <c r="F6282" s="107" t="str">
        <f aca="false">IF($C6282="","",$D6282*$E6282)</f>
        <v/>
      </c>
      <c r="G6282" s="107" t="str">
        <f aca="false">IF($C6282="","",$D6282*IFERROR(INDEX('تحليل التكلفة والسعر'!$C$2:$C$700,MATCH($C6282,'تحليل التكلفة والسعر'!$B$2:$B$700,0)),0))</f>
        <v/>
      </c>
    </row>
    <row r="6283" customFormat="false" ht="15" hidden="false" customHeight="false" outlineLevel="0" collapsed="false">
      <c r="A6283" s="103"/>
      <c r="B6283" s="104"/>
      <c r="C6283" s="104"/>
      <c r="E6283" s="107" t="str">
        <f aca="false">IF($C6283="","",IFERROR(INDEX(المنيو!$C$2:$C$500,MATCH($C6283,المنيو!$B$2:$B$500,0)),0))</f>
        <v/>
      </c>
      <c r="F6283" s="107" t="str">
        <f aca="false">IF($C6283="","",$D6283*$E6283)</f>
        <v/>
      </c>
      <c r="G6283" s="107" t="str">
        <f aca="false">IF($C6283="","",$D6283*IFERROR(INDEX('تحليل التكلفة والسعر'!$C$2:$C$700,MATCH($C6283,'تحليل التكلفة والسعر'!$B$2:$B$700,0)),0))</f>
        <v/>
      </c>
    </row>
    <row r="6284" customFormat="false" ht="15" hidden="false" customHeight="false" outlineLevel="0" collapsed="false">
      <c r="A6284" s="103"/>
      <c r="B6284" s="104"/>
      <c r="C6284" s="104"/>
      <c r="E6284" s="107" t="str">
        <f aca="false">IF($C6284="","",IFERROR(INDEX(المنيو!$C$2:$C$500,MATCH($C6284,المنيو!$B$2:$B$500,0)),0))</f>
        <v/>
      </c>
      <c r="F6284" s="107" t="str">
        <f aca="false">IF($C6284="","",$D6284*$E6284)</f>
        <v/>
      </c>
      <c r="G6284" s="107" t="str">
        <f aca="false">IF($C6284="","",$D6284*IFERROR(INDEX('تحليل التكلفة والسعر'!$C$2:$C$700,MATCH($C6284,'تحليل التكلفة والسعر'!$B$2:$B$700,0)),0))</f>
        <v/>
      </c>
    </row>
    <row r="6285" customFormat="false" ht="15" hidden="false" customHeight="false" outlineLevel="0" collapsed="false">
      <c r="A6285" s="103"/>
      <c r="B6285" s="104"/>
      <c r="C6285" s="104"/>
      <c r="E6285" s="107" t="str">
        <f aca="false">IF($C6285="","",IFERROR(INDEX(المنيو!$C$2:$C$500,MATCH($C6285,المنيو!$B$2:$B$500,0)),0))</f>
        <v/>
      </c>
      <c r="F6285" s="107" t="str">
        <f aca="false">IF($C6285="","",$D6285*$E6285)</f>
        <v/>
      </c>
      <c r="G6285" s="107" t="str">
        <f aca="false">IF($C6285="","",$D6285*IFERROR(INDEX('تحليل التكلفة والسعر'!$C$2:$C$700,MATCH($C6285,'تحليل التكلفة والسعر'!$B$2:$B$700,0)),0))</f>
        <v/>
      </c>
    </row>
    <row r="6286" customFormat="false" ht="15" hidden="false" customHeight="false" outlineLevel="0" collapsed="false">
      <c r="A6286" s="103"/>
      <c r="B6286" s="104"/>
      <c r="C6286" s="104"/>
      <c r="E6286" s="107" t="str">
        <f aca="false">IF($C6286="","",IFERROR(INDEX(المنيو!$C$2:$C$500,MATCH($C6286,المنيو!$B$2:$B$500,0)),0))</f>
        <v/>
      </c>
      <c r="F6286" s="107" t="str">
        <f aca="false">IF($C6286="","",$D6286*$E6286)</f>
        <v/>
      </c>
      <c r="G6286" s="107" t="str">
        <f aca="false">IF($C6286="","",$D6286*IFERROR(INDEX('تحليل التكلفة والسعر'!$C$2:$C$700,MATCH($C6286,'تحليل التكلفة والسعر'!$B$2:$B$700,0)),0))</f>
        <v/>
      </c>
    </row>
    <row r="6287" customFormat="false" ht="15" hidden="false" customHeight="false" outlineLevel="0" collapsed="false">
      <c r="A6287" s="103"/>
      <c r="B6287" s="104"/>
      <c r="C6287" s="104"/>
      <c r="E6287" s="107" t="str">
        <f aca="false">IF($C6287="","",IFERROR(INDEX(المنيو!$C$2:$C$500,MATCH($C6287,المنيو!$B$2:$B$500,0)),0))</f>
        <v/>
      </c>
      <c r="F6287" s="107" t="str">
        <f aca="false">IF($C6287="","",$D6287*$E6287)</f>
        <v/>
      </c>
      <c r="G6287" s="107" t="str">
        <f aca="false">IF($C6287="","",$D6287*IFERROR(INDEX('تحليل التكلفة والسعر'!$C$2:$C$700,MATCH($C6287,'تحليل التكلفة والسعر'!$B$2:$B$700,0)),0))</f>
        <v/>
      </c>
    </row>
    <row r="6288" customFormat="false" ht="15" hidden="false" customHeight="false" outlineLevel="0" collapsed="false">
      <c r="A6288" s="103"/>
      <c r="B6288" s="104"/>
      <c r="C6288" s="104"/>
      <c r="E6288" s="107" t="str">
        <f aca="false">IF($C6288="","",IFERROR(INDEX(المنيو!$C$2:$C$500,MATCH($C6288,المنيو!$B$2:$B$500,0)),0))</f>
        <v/>
      </c>
      <c r="F6288" s="107" t="str">
        <f aca="false">IF($C6288="","",$D6288*$E6288)</f>
        <v/>
      </c>
      <c r="G6288" s="107" t="str">
        <f aca="false">IF($C6288="","",$D6288*IFERROR(INDEX('تحليل التكلفة والسعر'!$C$2:$C$700,MATCH($C6288,'تحليل التكلفة والسعر'!$B$2:$B$700,0)),0))</f>
        <v/>
      </c>
    </row>
    <row r="6289" customFormat="false" ht="15" hidden="false" customHeight="false" outlineLevel="0" collapsed="false">
      <c r="A6289" s="103"/>
      <c r="B6289" s="104"/>
      <c r="C6289" s="104"/>
      <c r="E6289" s="107" t="str">
        <f aca="false">IF($C6289="","",IFERROR(INDEX(المنيو!$C$2:$C$500,MATCH($C6289,المنيو!$B$2:$B$500,0)),0))</f>
        <v/>
      </c>
      <c r="F6289" s="107" t="str">
        <f aca="false">IF($C6289="","",$D6289*$E6289)</f>
        <v/>
      </c>
      <c r="G6289" s="107" t="str">
        <f aca="false">IF($C6289="","",$D6289*IFERROR(INDEX('تحليل التكلفة والسعر'!$C$2:$C$700,MATCH($C6289,'تحليل التكلفة والسعر'!$B$2:$B$700,0)),0))</f>
        <v/>
      </c>
    </row>
    <row r="6290" customFormat="false" ht="15" hidden="false" customHeight="false" outlineLevel="0" collapsed="false">
      <c r="A6290" s="103"/>
      <c r="B6290" s="104"/>
      <c r="C6290" s="104"/>
      <c r="E6290" s="107" t="str">
        <f aca="false">IF($C6290="","",IFERROR(INDEX(المنيو!$C$2:$C$500,MATCH($C6290,المنيو!$B$2:$B$500,0)),0))</f>
        <v/>
      </c>
      <c r="F6290" s="107" t="str">
        <f aca="false">IF($C6290="","",$D6290*$E6290)</f>
        <v/>
      </c>
      <c r="G6290" s="107" t="str">
        <f aca="false">IF($C6290="","",$D6290*IFERROR(INDEX('تحليل التكلفة والسعر'!$C$2:$C$700,MATCH($C6290,'تحليل التكلفة والسعر'!$B$2:$B$700,0)),0))</f>
        <v/>
      </c>
    </row>
    <row r="6291" customFormat="false" ht="15" hidden="false" customHeight="false" outlineLevel="0" collapsed="false">
      <c r="A6291" s="103"/>
      <c r="B6291" s="104"/>
      <c r="C6291" s="104"/>
      <c r="E6291" s="107" t="str">
        <f aca="false">IF($C6291="","",IFERROR(INDEX(المنيو!$C$2:$C$500,MATCH($C6291,المنيو!$B$2:$B$500,0)),0))</f>
        <v/>
      </c>
      <c r="F6291" s="107" t="str">
        <f aca="false">IF($C6291="","",$D6291*$E6291)</f>
        <v/>
      </c>
      <c r="G6291" s="107" t="str">
        <f aca="false">IF($C6291="","",$D6291*IFERROR(INDEX('تحليل التكلفة والسعر'!$C$2:$C$700,MATCH($C6291,'تحليل التكلفة والسعر'!$B$2:$B$700,0)),0))</f>
        <v/>
      </c>
    </row>
    <row r="6292" customFormat="false" ht="15" hidden="false" customHeight="false" outlineLevel="0" collapsed="false">
      <c r="A6292" s="103"/>
      <c r="B6292" s="104"/>
      <c r="C6292" s="104"/>
      <c r="E6292" s="107" t="str">
        <f aca="false">IF($C6292="","",IFERROR(INDEX(المنيو!$C$2:$C$500,MATCH($C6292,المنيو!$B$2:$B$500,0)),0))</f>
        <v/>
      </c>
      <c r="F6292" s="107" t="str">
        <f aca="false">IF($C6292="","",$D6292*$E6292)</f>
        <v/>
      </c>
      <c r="G6292" s="107" t="str">
        <f aca="false">IF($C6292="","",$D6292*IFERROR(INDEX('تحليل التكلفة والسعر'!$C$2:$C$700,MATCH($C6292,'تحليل التكلفة والسعر'!$B$2:$B$700,0)),0))</f>
        <v/>
      </c>
    </row>
    <row r="6293" customFormat="false" ht="15" hidden="false" customHeight="false" outlineLevel="0" collapsed="false">
      <c r="A6293" s="103"/>
      <c r="B6293" s="104"/>
      <c r="C6293" s="104"/>
      <c r="E6293" s="107" t="str">
        <f aca="false">IF($C6293="","",IFERROR(INDEX(المنيو!$C$2:$C$500,MATCH($C6293,المنيو!$B$2:$B$500,0)),0))</f>
        <v/>
      </c>
      <c r="F6293" s="107" t="str">
        <f aca="false">IF($C6293="","",$D6293*$E6293)</f>
        <v/>
      </c>
      <c r="G6293" s="107" t="str">
        <f aca="false">IF($C6293="","",$D6293*IFERROR(INDEX('تحليل التكلفة والسعر'!$C$2:$C$700,MATCH($C6293,'تحليل التكلفة والسعر'!$B$2:$B$700,0)),0))</f>
        <v/>
      </c>
    </row>
    <row r="6294" customFormat="false" ht="15" hidden="false" customHeight="false" outlineLevel="0" collapsed="false">
      <c r="A6294" s="103"/>
      <c r="B6294" s="104"/>
      <c r="C6294" s="104"/>
      <c r="E6294" s="107" t="str">
        <f aca="false">IF($C6294="","",IFERROR(INDEX(المنيو!$C$2:$C$500,MATCH($C6294,المنيو!$B$2:$B$500,0)),0))</f>
        <v/>
      </c>
      <c r="F6294" s="107" t="str">
        <f aca="false">IF($C6294="","",$D6294*$E6294)</f>
        <v/>
      </c>
      <c r="G6294" s="107" t="str">
        <f aca="false">IF($C6294="","",$D6294*IFERROR(INDEX('تحليل التكلفة والسعر'!$C$2:$C$700,MATCH($C6294,'تحليل التكلفة والسعر'!$B$2:$B$700,0)),0))</f>
        <v/>
      </c>
    </row>
    <row r="6295" customFormat="false" ht="15" hidden="false" customHeight="false" outlineLevel="0" collapsed="false">
      <c r="A6295" s="103"/>
      <c r="B6295" s="104"/>
      <c r="C6295" s="104"/>
      <c r="E6295" s="107" t="str">
        <f aca="false">IF($C6295="","",IFERROR(INDEX(المنيو!$C$2:$C$500,MATCH($C6295,المنيو!$B$2:$B$500,0)),0))</f>
        <v/>
      </c>
      <c r="F6295" s="107" t="str">
        <f aca="false">IF($C6295="","",$D6295*$E6295)</f>
        <v/>
      </c>
      <c r="G6295" s="107" t="str">
        <f aca="false">IF($C6295="","",$D6295*IFERROR(INDEX('تحليل التكلفة والسعر'!$C$2:$C$700,MATCH($C6295,'تحليل التكلفة والسعر'!$B$2:$B$700,0)),0))</f>
        <v/>
      </c>
    </row>
    <row r="6296" customFormat="false" ht="15" hidden="false" customHeight="false" outlineLevel="0" collapsed="false">
      <c r="A6296" s="103"/>
      <c r="B6296" s="104"/>
      <c r="C6296" s="104"/>
      <c r="E6296" s="107" t="str">
        <f aca="false">IF($C6296="","",IFERROR(INDEX(المنيو!$C$2:$C$500,MATCH($C6296,المنيو!$B$2:$B$500,0)),0))</f>
        <v/>
      </c>
      <c r="F6296" s="107" t="str">
        <f aca="false">IF($C6296="","",$D6296*$E6296)</f>
        <v/>
      </c>
      <c r="G6296" s="107" t="str">
        <f aca="false">IF($C6296="","",$D6296*IFERROR(INDEX('تحليل التكلفة والسعر'!$C$2:$C$700,MATCH($C6296,'تحليل التكلفة والسعر'!$B$2:$B$700,0)),0))</f>
        <v/>
      </c>
    </row>
    <row r="6297" customFormat="false" ht="15" hidden="false" customHeight="false" outlineLevel="0" collapsed="false">
      <c r="A6297" s="103"/>
      <c r="B6297" s="104"/>
      <c r="C6297" s="104"/>
      <c r="E6297" s="107" t="str">
        <f aca="false">IF($C6297="","",IFERROR(INDEX(المنيو!$C$2:$C$500,MATCH($C6297,المنيو!$B$2:$B$500,0)),0))</f>
        <v/>
      </c>
      <c r="F6297" s="107" t="str">
        <f aca="false">IF($C6297="","",$D6297*$E6297)</f>
        <v/>
      </c>
      <c r="G6297" s="107" t="str">
        <f aca="false">IF($C6297="","",$D6297*IFERROR(INDEX('تحليل التكلفة والسعر'!$C$2:$C$700,MATCH($C6297,'تحليل التكلفة والسعر'!$B$2:$B$700,0)),0))</f>
        <v/>
      </c>
    </row>
    <row r="6298" customFormat="false" ht="15" hidden="false" customHeight="false" outlineLevel="0" collapsed="false">
      <c r="A6298" s="103"/>
      <c r="B6298" s="104"/>
      <c r="C6298" s="104"/>
      <c r="E6298" s="107" t="str">
        <f aca="false">IF($C6298="","",IFERROR(INDEX(المنيو!$C$2:$C$500,MATCH($C6298,المنيو!$B$2:$B$500,0)),0))</f>
        <v/>
      </c>
      <c r="F6298" s="107" t="str">
        <f aca="false">IF($C6298="","",$D6298*$E6298)</f>
        <v/>
      </c>
      <c r="G6298" s="107" t="str">
        <f aca="false">IF($C6298="","",$D6298*IFERROR(INDEX('تحليل التكلفة والسعر'!$C$2:$C$700,MATCH($C6298,'تحليل التكلفة والسعر'!$B$2:$B$700,0)),0))</f>
        <v/>
      </c>
    </row>
    <row r="6299" customFormat="false" ht="15" hidden="false" customHeight="false" outlineLevel="0" collapsed="false">
      <c r="A6299" s="103"/>
      <c r="B6299" s="104"/>
      <c r="C6299" s="104"/>
      <c r="E6299" s="107" t="str">
        <f aca="false">IF($C6299="","",IFERROR(INDEX(المنيو!$C$2:$C$500,MATCH($C6299,المنيو!$B$2:$B$500,0)),0))</f>
        <v/>
      </c>
      <c r="F6299" s="107" t="str">
        <f aca="false">IF($C6299="","",$D6299*$E6299)</f>
        <v/>
      </c>
      <c r="G6299" s="107" t="str">
        <f aca="false">IF($C6299="","",$D6299*IFERROR(INDEX('تحليل التكلفة والسعر'!$C$2:$C$700,MATCH($C6299,'تحليل التكلفة والسعر'!$B$2:$B$700,0)),0))</f>
        <v/>
      </c>
    </row>
    <row r="6300" customFormat="false" ht="15" hidden="false" customHeight="false" outlineLevel="0" collapsed="false">
      <c r="A6300" s="103"/>
      <c r="B6300" s="104"/>
      <c r="C6300" s="104"/>
      <c r="E6300" s="107" t="str">
        <f aca="false">IF($C6300="","",IFERROR(INDEX(المنيو!$C$2:$C$500,MATCH($C6300,المنيو!$B$2:$B$500,0)),0))</f>
        <v/>
      </c>
      <c r="F6300" s="107" t="str">
        <f aca="false">IF($C6300="","",$D6300*$E6300)</f>
        <v/>
      </c>
      <c r="G6300" s="107" t="str">
        <f aca="false">IF($C6300="","",$D6300*IFERROR(INDEX('تحليل التكلفة والسعر'!$C$2:$C$700,MATCH($C6300,'تحليل التكلفة والسعر'!$B$2:$B$700,0)),0))</f>
        <v/>
      </c>
    </row>
    <row r="6301" customFormat="false" ht="15" hidden="false" customHeight="false" outlineLevel="0" collapsed="false">
      <c r="A6301" s="103"/>
      <c r="B6301" s="104"/>
      <c r="C6301" s="104"/>
      <c r="E6301" s="107" t="str">
        <f aca="false">IF($C6301="","",IFERROR(INDEX(المنيو!$C$2:$C$500,MATCH($C6301,المنيو!$B$2:$B$500,0)),0))</f>
        <v/>
      </c>
      <c r="F6301" s="107" t="str">
        <f aca="false">IF($C6301="","",$D6301*$E6301)</f>
        <v/>
      </c>
      <c r="G6301" s="107" t="str">
        <f aca="false">IF($C6301="","",$D6301*IFERROR(INDEX('تحليل التكلفة والسعر'!$C$2:$C$700,MATCH($C6301,'تحليل التكلفة والسعر'!$B$2:$B$700,0)),0))</f>
        <v/>
      </c>
    </row>
    <row r="6302" customFormat="false" ht="15" hidden="false" customHeight="false" outlineLevel="0" collapsed="false">
      <c r="A6302" s="103"/>
      <c r="B6302" s="104"/>
      <c r="C6302" s="104"/>
      <c r="E6302" s="107" t="str">
        <f aca="false">IF($C6302="","",IFERROR(INDEX(المنيو!$C$2:$C$500,MATCH($C6302,المنيو!$B$2:$B$500,0)),0))</f>
        <v/>
      </c>
      <c r="F6302" s="107" t="str">
        <f aca="false">IF($C6302="","",$D6302*$E6302)</f>
        <v/>
      </c>
      <c r="G6302" s="107" t="str">
        <f aca="false">IF($C6302="","",$D6302*IFERROR(INDEX('تحليل التكلفة والسعر'!$C$2:$C$700,MATCH($C6302,'تحليل التكلفة والسعر'!$B$2:$B$700,0)),0))</f>
        <v/>
      </c>
    </row>
    <row r="6303" customFormat="false" ht="15" hidden="false" customHeight="false" outlineLevel="0" collapsed="false">
      <c r="A6303" s="103"/>
      <c r="B6303" s="104"/>
      <c r="C6303" s="104"/>
      <c r="E6303" s="107" t="str">
        <f aca="false">IF($C6303="","",IFERROR(INDEX(المنيو!$C$2:$C$500,MATCH($C6303,المنيو!$B$2:$B$500,0)),0))</f>
        <v/>
      </c>
      <c r="F6303" s="107" t="str">
        <f aca="false">IF($C6303="","",$D6303*$E6303)</f>
        <v/>
      </c>
      <c r="G6303" s="107" t="str">
        <f aca="false">IF($C6303="","",$D6303*IFERROR(INDEX('تحليل التكلفة والسعر'!$C$2:$C$700,MATCH($C6303,'تحليل التكلفة والسعر'!$B$2:$B$700,0)),0))</f>
        <v/>
      </c>
    </row>
    <row r="6304" customFormat="false" ht="15" hidden="false" customHeight="false" outlineLevel="0" collapsed="false">
      <c r="A6304" s="103"/>
      <c r="B6304" s="104"/>
      <c r="C6304" s="104"/>
      <c r="E6304" s="107" t="str">
        <f aca="false">IF($C6304="","",IFERROR(INDEX(المنيو!$C$2:$C$500,MATCH($C6304,المنيو!$B$2:$B$500,0)),0))</f>
        <v/>
      </c>
      <c r="F6304" s="107" t="str">
        <f aca="false">IF($C6304="","",$D6304*$E6304)</f>
        <v/>
      </c>
      <c r="G6304" s="107" t="str">
        <f aca="false">IF($C6304="","",$D6304*IFERROR(INDEX('تحليل التكلفة والسعر'!$C$2:$C$700,MATCH($C6304,'تحليل التكلفة والسعر'!$B$2:$B$700,0)),0))</f>
        <v/>
      </c>
    </row>
    <row r="6305" customFormat="false" ht="15" hidden="false" customHeight="false" outlineLevel="0" collapsed="false">
      <c r="A6305" s="103"/>
      <c r="B6305" s="104"/>
      <c r="C6305" s="104"/>
      <c r="E6305" s="107" t="str">
        <f aca="false">IF($C6305="","",IFERROR(INDEX(المنيو!$C$2:$C$500,MATCH($C6305,المنيو!$B$2:$B$500,0)),0))</f>
        <v/>
      </c>
      <c r="F6305" s="107" t="str">
        <f aca="false">IF($C6305="","",$D6305*$E6305)</f>
        <v/>
      </c>
      <c r="G6305" s="107" t="str">
        <f aca="false">IF($C6305="","",$D6305*IFERROR(INDEX('تحليل التكلفة والسعر'!$C$2:$C$700,MATCH($C6305,'تحليل التكلفة والسعر'!$B$2:$B$700,0)),0))</f>
        <v/>
      </c>
    </row>
    <row r="6306" customFormat="false" ht="15" hidden="false" customHeight="false" outlineLevel="0" collapsed="false">
      <c r="A6306" s="103"/>
      <c r="B6306" s="104"/>
      <c r="C6306" s="104"/>
      <c r="E6306" s="107" t="str">
        <f aca="false">IF($C6306="","",IFERROR(INDEX(المنيو!$C$2:$C$500,MATCH($C6306,المنيو!$B$2:$B$500,0)),0))</f>
        <v/>
      </c>
      <c r="F6306" s="107" t="str">
        <f aca="false">IF($C6306="","",$D6306*$E6306)</f>
        <v/>
      </c>
      <c r="G6306" s="107" t="str">
        <f aca="false">IF($C6306="","",$D6306*IFERROR(INDEX('تحليل التكلفة والسعر'!$C$2:$C$700,MATCH($C6306,'تحليل التكلفة والسعر'!$B$2:$B$700,0)),0))</f>
        <v/>
      </c>
    </row>
    <row r="6307" customFormat="false" ht="15" hidden="false" customHeight="false" outlineLevel="0" collapsed="false">
      <c r="A6307" s="103"/>
      <c r="B6307" s="104"/>
      <c r="C6307" s="104"/>
      <c r="E6307" s="107" t="str">
        <f aca="false">IF($C6307="","",IFERROR(INDEX(المنيو!$C$2:$C$500,MATCH($C6307,المنيو!$B$2:$B$500,0)),0))</f>
        <v/>
      </c>
      <c r="F6307" s="107" t="str">
        <f aca="false">IF($C6307="","",$D6307*$E6307)</f>
        <v/>
      </c>
      <c r="G6307" s="107" t="str">
        <f aca="false">IF($C6307="","",$D6307*IFERROR(INDEX('تحليل التكلفة والسعر'!$C$2:$C$700,MATCH($C6307,'تحليل التكلفة والسعر'!$B$2:$B$700,0)),0))</f>
        <v/>
      </c>
    </row>
    <row r="6308" customFormat="false" ht="15" hidden="false" customHeight="false" outlineLevel="0" collapsed="false">
      <c r="A6308" s="103"/>
      <c r="B6308" s="104"/>
      <c r="C6308" s="104"/>
      <c r="E6308" s="107" t="str">
        <f aca="false">IF($C6308="","",IFERROR(INDEX(المنيو!$C$2:$C$500,MATCH($C6308,المنيو!$B$2:$B$500,0)),0))</f>
        <v/>
      </c>
      <c r="F6308" s="107" t="str">
        <f aca="false">IF($C6308="","",$D6308*$E6308)</f>
        <v/>
      </c>
      <c r="G6308" s="107" t="str">
        <f aca="false">IF($C6308="","",$D6308*IFERROR(INDEX('تحليل التكلفة والسعر'!$C$2:$C$700,MATCH($C6308,'تحليل التكلفة والسعر'!$B$2:$B$700,0)),0))</f>
        <v/>
      </c>
    </row>
    <row r="6309" customFormat="false" ht="15" hidden="false" customHeight="false" outlineLevel="0" collapsed="false">
      <c r="A6309" s="103"/>
      <c r="B6309" s="104"/>
      <c r="C6309" s="104"/>
      <c r="E6309" s="107" t="str">
        <f aca="false">IF($C6309="","",IFERROR(INDEX(المنيو!$C$2:$C$500,MATCH($C6309,المنيو!$B$2:$B$500,0)),0))</f>
        <v/>
      </c>
      <c r="F6309" s="107" t="str">
        <f aca="false">IF($C6309="","",$D6309*$E6309)</f>
        <v/>
      </c>
      <c r="G6309" s="107" t="str">
        <f aca="false">IF($C6309="","",$D6309*IFERROR(INDEX('تحليل التكلفة والسعر'!$C$2:$C$700,MATCH($C6309,'تحليل التكلفة والسعر'!$B$2:$B$700,0)),0))</f>
        <v/>
      </c>
    </row>
    <row r="6310" customFormat="false" ht="15" hidden="false" customHeight="false" outlineLevel="0" collapsed="false">
      <c r="A6310" s="103"/>
      <c r="B6310" s="104"/>
      <c r="C6310" s="104"/>
      <c r="E6310" s="107" t="str">
        <f aca="false">IF($C6310="","",IFERROR(INDEX(المنيو!$C$2:$C$500,MATCH($C6310,المنيو!$B$2:$B$500,0)),0))</f>
        <v/>
      </c>
      <c r="F6310" s="107" t="str">
        <f aca="false">IF($C6310="","",$D6310*$E6310)</f>
        <v/>
      </c>
      <c r="G6310" s="107" t="str">
        <f aca="false">IF($C6310="","",$D6310*IFERROR(INDEX('تحليل التكلفة والسعر'!$C$2:$C$700,MATCH($C6310,'تحليل التكلفة والسعر'!$B$2:$B$700,0)),0))</f>
        <v/>
      </c>
    </row>
    <row r="6311" customFormat="false" ht="15" hidden="false" customHeight="false" outlineLevel="0" collapsed="false">
      <c r="A6311" s="103"/>
      <c r="B6311" s="104"/>
      <c r="C6311" s="104"/>
      <c r="E6311" s="107" t="str">
        <f aca="false">IF($C6311="","",IFERROR(INDEX(المنيو!$C$2:$C$500,MATCH($C6311,المنيو!$B$2:$B$500,0)),0))</f>
        <v/>
      </c>
      <c r="F6311" s="107" t="str">
        <f aca="false">IF($C6311="","",$D6311*$E6311)</f>
        <v/>
      </c>
      <c r="G6311" s="107" t="str">
        <f aca="false">IF($C6311="","",$D6311*IFERROR(INDEX('تحليل التكلفة والسعر'!$C$2:$C$700,MATCH($C6311,'تحليل التكلفة والسعر'!$B$2:$B$700,0)),0))</f>
        <v/>
      </c>
    </row>
    <row r="6312" customFormat="false" ht="15" hidden="false" customHeight="false" outlineLevel="0" collapsed="false">
      <c r="A6312" s="103"/>
      <c r="B6312" s="104"/>
      <c r="C6312" s="104"/>
      <c r="E6312" s="107" t="str">
        <f aca="false">IF($C6312="","",IFERROR(INDEX(المنيو!$C$2:$C$500,MATCH($C6312,المنيو!$B$2:$B$500,0)),0))</f>
        <v/>
      </c>
      <c r="F6312" s="107" t="str">
        <f aca="false">IF($C6312="","",$D6312*$E6312)</f>
        <v/>
      </c>
      <c r="G6312" s="107" t="str">
        <f aca="false">IF($C6312="","",$D6312*IFERROR(INDEX('تحليل التكلفة والسعر'!$C$2:$C$700,MATCH($C6312,'تحليل التكلفة والسعر'!$B$2:$B$700,0)),0))</f>
        <v/>
      </c>
    </row>
    <row r="6313" customFormat="false" ht="15" hidden="false" customHeight="false" outlineLevel="0" collapsed="false">
      <c r="A6313" s="103"/>
      <c r="B6313" s="104"/>
      <c r="C6313" s="104"/>
      <c r="E6313" s="107" t="str">
        <f aca="false">IF($C6313="","",IFERROR(INDEX(المنيو!$C$2:$C$500,MATCH($C6313,المنيو!$B$2:$B$500,0)),0))</f>
        <v/>
      </c>
      <c r="F6313" s="107" t="str">
        <f aca="false">IF($C6313="","",$D6313*$E6313)</f>
        <v/>
      </c>
      <c r="G6313" s="107" t="str">
        <f aca="false">IF($C6313="","",$D6313*IFERROR(INDEX('تحليل التكلفة والسعر'!$C$2:$C$700,MATCH($C6313,'تحليل التكلفة والسعر'!$B$2:$B$700,0)),0))</f>
        <v/>
      </c>
    </row>
    <row r="6314" customFormat="false" ht="15" hidden="false" customHeight="false" outlineLevel="0" collapsed="false">
      <c r="A6314" s="103"/>
      <c r="B6314" s="104"/>
      <c r="C6314" s="104"/>
      <c r="E6314" s="107" t="str">
        <f aca="false">IF($C6314="","",IFERROR(INDEX(المنيو!$C$2:$C$500,MATCH($C6314,المنيو!$B$2:$B$500,0)),0))</f>
        <v/>
      </c>
      <c r="F6314" s="107" t="str">
        <f aca="false">IF($C6314="","",$D6314*$E6314)</f>
        <v/>
      </c>
      <c r="G6314" s="107" t="str">
        <f aca="false">IF($C6314="","",$D6314*IFERROR(INDEX('تحليل التكلفة والسعر'!$C$2:$C$700,MATCH($C6314,'تحليل التكلفة والسعر'!$B$2:$B$700,0)),0))</f>
        <v/>
      </c>
    </row>
    <row r="6315" customFormat="false" ht="15" hidden="false" customHeight="false" outlineLevel="0" collapsed="false">
      <c r="A6315" s="103"/>
      <c r="B6315" s="104"/>
      <c r="C6315" s="104"/>
      <c r="E6315" s="107" t="str">
        <f aca="false">IF($C6315="","",IFERROR(INDEX(المنيو!$C$2:$C$500,MATCH($C6315,المنيو!$B$2:$B$500,0)),0))</f>
        <v/>
      </c>
      <c r="F6315" s="107" t="str">
        <f aca="false">IF($C6315="","",$D6315*$E6315)</f>
        <v/>
      </c>
      <c r="G6315" s="107" t="str">
        <f aca="false">IF($C6315="","",$D6315*IFERROR(INDEX('تحليل التكلفة والسعر'!$C$2:$C$700,MATCH($C6315,'تحليل التكلفة والسعر'!$B$2:$B$700,0)),0))</f>
        <v/>
      </c>
    </row>
    <row r="6316" customFormat="false" ht="15" hidden="false" customHeight="false" outlineLevel="0" collapsed="false">
      <c r="A6316" s="103"/>
      <c r="B6316" s="104"/>
      <c r="C6316" s="104"/>
      <c r="E6316" s="107" t="str">
        <f aca="false">IF($C6316="","",IFERROR(INDEX(المنيو!$C$2:$C$500,MATCH($C6316,المنيو!$B$2:$B$500,0)),0))</f>
        <v/>
      </c>
      <c r="F6316" s="107" t="str">
        <f aca="false">IF($C6316="","",$D6316*$E6316)</f>
        <v/>
      </c>
      <c r="G6316" s="107" t="str">
        <f aca="false">IF($C6316="","",$D6316*IFERROR(INDEX('تحليل التكلفة والسعر'!$C$2:$C$700,MATCH($C6316,'تحليل التكلفة والسعر'!$B$2:$B$700,0)),0))</f>
        <v/>
      </c>
    </row>
    <row r="6317" customFormat="false" ht="15" hidden="false" customHeight="false" outlineLevel="0" collapsed="false">
      <c r="A6317" s="103"/>
      <c r="B6317" s="104"/>
      <c r="C6317" s="104"/>
      <c r="E6317" s="107" t="str">
        <f aca="false">IF($C6317="","",IFERROR(INDEX(المنيو!$C$2:$C$500,MATCH($C6317,المنيو!$B$2:$B$500,0)),0))</f>
        <v/>
      </c>
      <c r="F6317" s="107" t="str">
        <f aca="false">IF($C6317="","",$D6317*$E6317)</f>
        <v/>
      </c>
      <c r="G6317" s="107" t="str">
        <f aca="false">IF($C6317="","",$D6317*IFERROR(INDEX('تحليل التكلفة والسعر'!$C$2:$C$700,MATCH($C6317,'تحليل التكلفة والسعر'!$B$2:$B$700,0)),0))</f>
        <v/>
      </c>
    </row>
    <row r="6318" customFormat="false" ht="15" hidden="false" customHeight="false" outlineLevel="0" collapsed="false">
      <c r="A6318" s="103"/>
      <c r="B6318" s="104"/>
      <c r="C6318" s="104"/>
      <c r="E6318" s="107" t="str">
        <f aca="false">IF($C6318="","",IFERROR(INDEX(المنيو!$C$2:$C$500,MATCH($C6318,المنيو!$B$2:$B$500,0)),0))</f>
        <v/>
      </c>
      <c r="F6318" s="107" t="str">
        <f aca="false">IF($C6318="","",$D6318*$E6318)</f>
        <v/>
      </c>
      <c r="G6318" s="107" t="str">
        <f aca="false">IF($C6318="","",$D6318*IFERROR(INDEX('تحليل التكلفة والسعر'!$C$2:$C$700,MATCH($C6318,'تحليل التكلفة والسعر'!$B$2:$B$700,0)),0))</f>
        <v/>
      </c>
    </row>
    <row r="6319" customFormat="false" ht="15" hidden="false" customHeight="false" outlineLevel="0" collapsed="false">
      <c r="A6319" s="103"/>
      <c r="B6319" s="104"/>
      <c r="C6319" s="104"/>
      <c r="E6319" s="107" t="str">
        <f aca="false">IF($C6319="","",IFERROR(INDEX(المنيو!$C$2:$C$500,MATCH($C6319,المنيو!$B$2:$B$500,0)),0))</f>
        <v/>
      </c>
      <c r="F6319" s="107" t="str">
        <f aca="false">IF($C6319="","",$D6319*$E6319)</f>
        <v/>
      </c>
      <c r="G6319" s="107" t="str">
        <f aca="false">IF($C6319="","",$D6319*IFERROR(INDEX('تحليل التكلفة والسعر'!$C$2:$C$700,MATCH($C6319,'تحليل التكلفة والسعر'!$B$2:$B$700,0)),0))</f>
        <v/>
      </c>
    </row>
    <row r="6320" customFormat="false" ht="15" hidden="false" customHeight="false" outlineLevel="0" collapsed="false">
      <c r="A6320" s="103"/>
      <c r="B6320" s="104"/>
      <c r="C6320" s="104"/>
      <c r="E6320" s="107" t="str">
        <f aca="false">IF($C6320="","",IFERROR(INDEX(المنيو!$C$2:$C$500,MATCH($C6320,المنيو!$B$2:$B$500,0)),0))</f>
        <v/>
      </c>
      <c r="F6320" s="107" t="str">
        <f aca="false">IF($C6320="","",$D6320*$E6320)</f>
        <v/>
      </c>
      <c r="G6320" s="107" t="str">
        <f aca="false">IF($C6320="","",$D6320*IFERROR(INDEX('تحليل التكلفة والسعر'!$C$2:$C$700,MATCH($C6320,'تحليل التكلفة والسعر'!$B$2:$B$700,0)),0))</f>
        <v/>
      </c>
    </row>
    <row r="6321" customFormat="false" ht="15" hidden="false" customHeight="false" outlineLevel="0" collapsed="false">
      <c r="A6321" s="103"/>
      <c r="B6321" s="104"/>
      <c r="C6321" s="104"/>
      <c r="E6321" s="107" t="str">
        <f aca="false">IF($C6321="","",IFERROR(INDEX(المنيو!$C$2:$C$500,MATCH($C6321,المنيو!$B$2:$B$500,0)),0))</f>
        <v/>
      </c>
      <c r="F6321" s="107" t="str">
        <f aca="false">IF($C6321="","",$D6321*$E6321)</f>
        <v/>
      </c>
      <c r="G6321" s="107" t="str">
        <f aca="false">IF($C6321="","",$D6321*IFERROR(INDEX('تحليل التكلفة والسعر'!$C$2:$C$700,MATCH($C6321,'تحليل التكلفة والسعر'!$B$2:$B$700,0)),0))</f>
        <v/>
      </c>
    </row>
    <row r="6322" customFormat="false" ht="15" hidden="false" customHeight="false" outlineLevel="0" collapsed="false">
      <c r="A6322" s="103"/>
      <c r="B6322" s="104"/>
      <c r="C6322" s="104"/>
      <c r="E6322" s="107" t="str">
        <f aca="false">IF($C6322="","",IFERROR(INDEX(المنيو!$C$2:$C$500,MATCH($C6322,المنيو!$B$2:$B$500,0)),0))</f>
        <v/>
      </c>
      <c r="F6322" s="107" t="str">
        <f aca="false">IF($C6322="","",$D6322*$E6322)</f>
        <v/>
      </c>
      <c r="G6322" s="107" t="str">
        <f aca="false">IF($C6322="","",$D6322*IFERROR(INDEX('تحليل التكلفة والسعر'!$C$2:$C$700,MATCH($C6322,'تحليل التكلفة والسعر'!$B$2:$B$700,0)),0))</f>
        <v/>
      </c>
    </row>
    <row r="6323" customFormat="false" ht="15" hidden="false" customHeight="false" outlineLevel="0" collapsed="false">
      <c r="A6323" s="103"/>
      <c r="B6323" s="104"/>
      <c r="C6323" s="104"/>
      <c r="E6323" s="107" t="str">
        <f aca="false">IF($C6323="","",IFERROR(INDEX(المنيو!$C$2:$C$500,MATCH($C6323,المنيو!$B$2:$B$500,0)),0))</f>
        <v/>
      </c>
      <c r="F6323" s="107" t="str">
        <f aca="false">IF($C6323="","",$D6323*$E6323)</f>
        <v/>
      </c>
      <c r="G6323" s="107" t="str">
        <f aca="false">IF($C6323="","",$D6323*IFERROR(INDEX('تحليل التكلفة والسعر'!$C$2:$C$700,MATCH($C6323,'تحليل التكلفة والسعر'!$B$2:$B$700,0)),0))</f>
        <v/>
      </c>
    </row>
    <row r="6324" customFormat="false" ht="15" hidden="false" customHeight="false" outlineLevel="0" collapsed="false">
      <c r="A6324" s="103"/>
      <c r="B6324" s="104"/>
      <c r="C6324" s="104"/>
      <c r="E6324" s="107" t="str">
        <f aca="false">IF($C6324="","",IFERROR(INDEX(المنيو!$C$2:$C$500,MATCH($C6324,المنيو!$B$2:$B$500,0)),0))</f>
        <v/>
      </c>
      <c r="F6324" s="107" t="str">
        <f aca="false">IF($C6324="","",$D6324*$E6324)</f>
        <v/>
      </c>
      <c r="G6324" s="107" t="str">
        <f aca="false">IF($C6324="","",$D6324*IFERROR(INDEX('تحليل التكلفة والسعر'!$C$2:$C$700,MATCH($C6324,'تحليل التكلفة والسعر'!$B$2:$B$700,0)),0))</f>
        <v/>
      </c>
    </row>
    <row r="6325" customFormat="false" ht="15" hidden="false" customHeight="false" outlineLevel="0" collapsed="false">
      <c r="A6325" s="103"/>
      <c r="B6325" s="104"/>
      <c r="C6325" s="104"/>
      <c r="E6325" s="107" t="str">
        <f aca="false">IF($C6325="","",IFERROR(INDEX(المنيو!$C$2:$C$500,MATCH($C6325,المنيو!$B$2:$B$500,0)),0))</f>
        <v/>
      </c>
      <c r="F6325" s="107" t="str">
        <f aca="false">IF($C6325="","",$D6325*$E6325)</f>
        <v/>
      </c>
      <c r="G6325" s="107" t="str">
        <f aca="false">IF($C6325="","",$D6325*IFERROR(INDEX('تحليل التكلفة والسعر'!$C$2:$C$700,MATCH($C6325,'تحليل التكلفة والسعر'!$B$2:$B$700,0)),0))</f>
        <v/>
      </c>
    </row>
    <row r="6326" customFormat="false" ht="15" hidden="false" customHeight="false" outlineLevel="0" collapsed="false">
      <c r="A6326" s="103"/>
      <c r="B6326" s="104"/>
      <c r="C6326" s="104"/>
      <c r="E6326" s="107" t="str">
        <f aca="false">IF($C6326="","",IFERROR(INDEX(المنيو!$C$2:$C$500,MATCH($C6326,المنيو!$B$2:$B$500,0)),0))</f>
        <v/>
      </c>
      <c r="F6326" s="107" t="str">
        <f aca="false">IF($C6326="","",$D6326*$E6326)</f>
        <v/>
      </c>
      <c r="G6326" s="107" t="str">
        <f aca="false">IF($C6326="","",$D6326*IFERROR(INDEX('تحليل التكلفة والسعر'!$C$2:$C$700,MATCH($C6326,'تحليل التكلفة والسعر'!$B$2:$B$700,0)),0))</f>
        <v/>
      </c>
    </row>
    <row r="6327" customFormat="false" ht="15" hidden="false" customHeight="false" outlineLevel="0" collapsed="false">
      <c r="A6327" s="103"/>
      <c r="B6327" s="104"/>
      <c r="C6327" s="104"/>
      <c r="E6327" s="107" t="str">
        <f aca="false">IF($C6327="","",IFERROR(INDEX(المنيو!$C$2:$C$500,MATCH($C6327,المنيو!$B$2:$B$500,0)),0))</f>
        <v/>
      </c>
      <c r="F6327" s="107" t="str">
        <f aca="false">IF($C6327="","",$D6327*$E6327)</f>
        <v/>
      </c>
      <c r="G6327" s="107" t="str">
        <f aca="false">IF($C6327="","",$D6327*IFERROR(INDEX('تحليل التكلفة والسعر'!$C$2:$C$700,MATCH($C6327,'تحليل التكلفة والسعر'!$B$2:$B$700,0)),0))</f>
        <v/>
      </c>
    </row>
    <row r="6328" customFormat="false" ht="15" hidden="false" customHeight="false" outlineLevel="0" collapsed="false">
      <c r="A6328" s="103"/>
      <c r="B6328" s="104"/>
      <c r="C6328" s="104"/>
      <c r="E6328" s="107" t="str">
        <f aca="false">IF($C6328="","",IFERROR(INDEX(المنيو!$C$2:$C$500,MATCH($C6328,المنيو!$B$2:$B$500,0)),0))</f>
        <v/>
      </c>
      <c r="F6328" s="107" t="str">
        <f aca="false">IF($C6328="","",$D6328*$E6328)</f>
        <v/>
      </c>
      <c r="G6328" s="107" t="str">
        <f aca="false">IF($C6328="","",$D6328*IFERROR(INDEX('تحليل التكلفة والسعر'!$C$2:$C$700,MATCH($C6328,'تحليل التكلفة والسعر'!$B$2:$B$700,0)),0))</f>
        <v/>
      </c>
    </row>
    <row r="6329" customFormat="false" ht="15" hidden="false" customHeight="false" outlineLevel="0" collapsed="false">
      <c r="A6329" s="103"/>
      <c r="B6329" s="104"/>
      <c r="C6329" s="104"/>
      <c r="E6329" s="107" t="str">
        <f aca="false">IF($C6329="","",IFERROR(INDEX(المنيو!$C$2:$C$500,MATCH($C6329,المنيو!$B$2:$B$500,0)),0))</f>
        <v/>
      </c>
      <c r="F6329" s="107" t="str">
        <f aca="false">IF($C6329="","",$D6329*$E6329)</f>
        <v/>
      </c>
      <c r="G6329" s="107" t="str">
        <f aca="false">IF($C6329="","",$D6329*IFERROR(INDEX('تحليل التكلفة والسعر'!$C$2:$C$700,MATCH($C6329,'تحليل التكلفة والسعر'!$B$2:$B$700,0)),0))</f>
        <v/>
      </c>
    </row>
    <row r="6330" customFormat="false" ht="15" hidden="false" customHeight="false" outlineLevel="0" collapsed="false">
      <c r="A6330" s="103"/>
      <c r="B6330" s="104"/>
      <c r="C6330" s="104"/>
      <c r="E6330" s="107" t="str">
        <f aca="false">IF($C6330="","",IFERROR(INDEX(المنيو!$C$2:$C$500,MATCH($C6330,المنيو!$B$2:$B$500,0)),0))</f>
        <v/>
      </c>
      <c r="F6330" s="107" t="str">
        <f aca="false">IF($C6330="","",$D6330*$E6330)</f>
        <v/>
      </c>
      <c r="G6330" s="107" t="str">
        <f aca="false">IF($C6330="","",$D6330*IFERROR(INDEX('تحليل التكلفة والسعر'!$C$2:$C$700,MATCH($C6330,'تحليل التكلفة والسعر'!$B$2:$B$700,0)),0))</f>
        <v/>
      </c>
    </row>
    <row r="6331" customFormat="false" ht="15" hidden="false" customHeight="false" outlineLevel="0" collapsed="false">
      <c r="A6331" s="103"/>
      <c r="B6331" s="104"/>
      <c r="C6331" s="104"/>
      <c r="E6331" s="107" t="str">
        <f aca="false">IF($C6331="","",IFERROR(INDEX(المنيو!$C$2:$C$500,MATCH($C6331,المنيو!$B$2:$B$500,0)),0))</f>
        <v/>
      </c>
      <c r="F6331" s="107" t="str">
        <f aca="false">IF($C6331="","",$D6331*$E6331)</f>
        <v/>
      </c>
      <c r="G6331" s="107" t="str">
        <f aca="false">IF($C6331="","",$D6331*IFERROR(INDEX('تحليل التكلفة والسعر'!$C$2:$C$700,MATCH($C6331,'تحليل التكلفة والسعر'!$B$2:$B$700,0)),0))</f>
        <v/>
      </c>
    </row>
    <row r="6332" customFormat="false" ht="15" hidden="false" customHeight="false" outlineLevel="0" collapsed="false">
      <c r="A6332" s="103"/>
      <c r="B6332" s="104"/>
      <c r="C6332" s="104"/>
      <c r="E6332" s="107" t="str">
        <f aca="false">IF($C6332="","",IFERROR(INDEX(المنيو!$C$2:$C$500,MATCH($C6332,المنيو!$B$2:$B$500,0)),0))</f>
        <v/>
      </c>
      <c r="F6332" s="107" t="str">
        <f aca="false">IF($C6332="","",$D6332*$E6332)</f>
        <v/>
      </c>
      <c r="G6332" s="107" t="str">
        <f aca="false">IF($C6332="","",$D6332*IFERROR(INDEX('تحليل التكلفة والسعر'!$C$2:$C$700,MATCH($C6332,'تحليل التكلفة والسعر'!$B$2:$B$700,0)),0))</f>
        <v/>
      </c>
    </row>
    <row r="6333" customFormat="false" ht="15" hidden="false" customHeight="false" outlineLevel="0" collapsed="false">
      <c r="A6333" s="103"/>
      <c r="B6333" s="104"/>
      <c r="C6333" s="104"/>
      <c r="E6333" s="107" t="str">
        <f aca="false">IF($C6333="","",IFERROR(INDEX(المنيو!$C$2:$C$500,MATCH($C6333,المنيو!$B$2:$B$500,0)),0))</f>
        <v/>
      </c>
      <c r="F6333" s="107" t="str">
        <f aca="false">IF($C6333="","",$D6333*$E6333)</f>
        <v/>
      </c>
      <c r="G6333" s="107" t="str">
        <f aca="false">IF($C6333="","",$D6333*IFERROR(INDEX('تحليل التكلفة والسعر'!$C$2:$C$700,MATCH($C6333,'تحليل التكلفة والسعر'!$B$2:$B$700,0)),0))</f>
        <v/>
      </c>
    </row>
    <row r="6334" customFormat="false" ht="15" hidden="false" customHeight="false" outlineLevel="0" collapsed="false">
      <c r="A6334" s="103"/>
      <c r="B6334" s="104"/>
      <c r="C6334" s="104"/>
      <c r="E6334" s="107" t="str">
        <f aca="false">IF($C6334="","",IFERROR(INDEX(المنيو!$C$2:$C$500,MATCH($C6334,المنيو!$B$2:$B$500,0)),0))</f>
        <v/>
      </c>
      <c r="F6334" s="107" t="str">
        <f aca="false">IF($C6334="","",$D6334*$E6334)</f>
        <v/>
      </c>
      <c r="G6334" s="107" t="str">
        <f aca="false">IF($C6334="","",$D6334*IFERROR(INDEX('تحليل التكلفة والسعر'!$C$2:$C$700,MATCH($C6334,'تحليل التكلفة والسعر'!$B$2:$B$700,0)),0))</f>
        <v/>
      </c>
    </row>
    <row r="6335" customFormat="false" ht="15" hidden="false" customHeight="false" outlineLevel="0" collapsed="false">
      <c r="A6335" s="103"/>
      <c r="B6335" s="104"/>
      <c r="C6335" s="104"/>
      <c r="E6335" s="107" t="str">
        <f aca="false">IF($C6335="","",IFERROR(INDEX(المنيو!$C$2:$C$500,MATCH($C6335,المنيو!$B$2:$B$500,0)),0))</f>
        <v/>
      </c>
      <c r="F6335" s="107" t="str">
        <f aca="false">IF($C6335="","",$D6335*$E6335)</f>
        <v/>
      </c>
      <c r="G6335" s="107" t="str">
        <f aca="false">IF($C6335="","",$D6335*IFERROR(INDEX('تحليل التكلفة والسعر'!$C$2:$C$700,MATCH($C6335,'تحليل التكلفة والسعر'!$B$2:$B$700,0)),0))</f>
        <v/>
      </c>
    </row>
    <row r="6336" customFormat="false" ht="15" hidden="false" customHeight="false" outlineLevel="0" collapsed="false">
      <c r="A6336" s="103"/>
      <c r="B6336" s="104"/>
      <c r="C6336" s="104"/>
      <c r="E6336" s="107" t="str">
        <f aca="false">IF($C6336="","",IFERROR(INDEX(المنيو!$C$2:$C$500,MATCH($C6336,المنيو!$B$2:$B$500,0)),0))</f>
        <v/>
      </c>
      <c r="F6336" s="107" t="str">
        <f aca="false">IF($C6336="","",$D6336*$E6336)</f>
        <v/>
      </c>
      <c r="G6336" s="107" t="str">
        <f aca="false">IF($C6336="","",$D6336*IFERROR(INDEX('تحليل التكلفة والسعر'!$C$2:$C$700,MATCH($C6336,'تحليل التكلفة والسعر'!$B$2:$B$700,0)),0))</f>
        <v/>
      </c>
    </row>
    <row r="6337" customFormat="false" ht="15" hidden="false" customHeight="false" outlineLevel="0" collapsed="false">
      <c r="A6337" s="103"/>
      <c r="B6337" s="104"/>
      <c r="C6337" s="104"/>
      <c r="E6337" s="107" t="str">
        <f aca="false">IF($C6337="","",IFERROR(INDEX(المنيو!$C$2:$C$500,MATCH($C6337,المنيو!$B$2:$B$500,0)),0))</f>
        <v/>
      </c>
      <c r="F6337" s="107" t="str">
        <f aca="false">IF($C6337="","",$D6337*$E6337)</f>
        <v/>
      </c>
      <c r="G6337" s="107" t="str">
        <f aca="false">IF($C6337="","",$D6337*IFERROR(INDEX('تحليل التكلفة والسعر'!$C$2:$C$700,MATCH($C6337,'تحليل التكلفة والسعر'!$B$2:$B$700,0)),0))</f>
        <v/>
      </c>
    </row>
    <row r="6338" customFormat="false" ht="15" hidden="false" customHeight="false" outlineLevel="0" collapsed="false">
      <c r="A6338" s="103"/>
      <c r="B6338" s="104"/>
      <c r="C6338" s="104"/>
      <c r="E6338" s="107" t="str">
        <f aca="false">IF($C6338="","",IFERROR(INDEX(المنيو!$C$2:$C$500,MATCH($C6338,المنيو!$B$2:$B$500,0)),0))</f>
        <v/>
      </c>
      <c r="F6338" s="107" t="str">
        <f aca="false">IF($C6338="","",$D6338*$E6338)</f>
        <v/>
      </c>
      <c r="G6338" s="107" t="str">
        <f aca="false">IF($C6338="","",$D6338*IFERROR(INDEX('تحليل التكلفة والسعر'!$C$2:$C$700,MATCH($C6338,'تحليل التكلفة والسعر'!$B$2:$B$700,0)),0))</f>
        <v/>
      </c>
    </row>
    <row r="6339" customFormat="false" ht="15" hidden="false" customHeight="false" outlineLevel="0" collapsed="false">
      <c r="A6339" s="103"/>
      <c r="B6339" s="104"/>
      <c r="C6339" s="104"/>
      <c r="E6339" s="107" t="str">
        <f aca="false">IF($C6339="","",IFERROR(INDEX(المنيو!$C$2:$C$500,MATCH($C6339,المنيو!$B$2:$B$500,0)),0))</f>
        <v/>
      </c>
      <c r="F6339" s="107" t="str">
        <f aca="false">IF($C6339="","",$D6339*$E6339)</f>
        <v/>
      </c>
      <c r="G6339" s="107" t="str">
        <f aca="false">IF($C6339="","",$D6339*IFERROR(INDEX('تحليل التكلفة والسعر'!$C$2:$C$700,MATCH($C6339,'تحليل التكلفة والسعر'!$B$2:$B$700,0)),0))</f>
        <v/>
      </c>
    </row>
    <row r="6340" customFormat="false" ht="15" hidden="false" customHeight="false" outlineLevel="0" collapsed="false">
      <c r="A6340" s="103"/>
      <c r="B6340" s="104"/>
      <c r="C6340" s="104"/>
      <c r="E6340" s="107" t="str">
        <f aca="false">IF($C6340="","",IFERROR(INDEX(المنيو!$C$2:$C$500,MATCH($C6340,المنيو!$B$2:$B$500,0)),0))</f>
        <v/>
      </c>
      <c r="F6340" s="107" t="str">
        <f aca="false">IF($C6340="","",$D6340*$E6340)</f>
        <v/>
      </c>
      <c r="G6340" s="107" t="str">
        <f aca="false">IF($C6340="","",$D6340*IFERROR(INDEX('تحليل التكلفة والسعر'!$C$2:$C$700,MATCH($C6340,'تحليل التكلفة والسعر'!$B$2:$B$700,0)),0))</f>
        <v/>
      </c>
    </row>
    <row r="6341" customFormat="false" ht="15" hidden="false" customHeight="false" outlineLevel="0" collapsed="false">
      <c r="A6341" s="103"/>
      <c r="B6341" s="104"/>
      <c r="C6341" s="104"/>
      <c r="E6341" s="107" t="str">
        <f aca="false">IF($C6341="","",IFERROR(INDEX(المنيو!$C$2:$C$500,MATCH($C6341,المنيو!$B$2:$B$500,0)),0))</f>
        <v/>
      </c>
      <c r="F6341" s="107" t="str">
        <f aca="false">IF($C6341="","",$D6341*$E6341)</f>
        <v/>
      </c>
      <c r="G6341" s="107" t="str">
        <f aca="false">IF($C6341="","",$D6341*IFERROR(INDEX('تحليل التكلفة والسعر'!$C$2:$C$700,MATCH($C6341,'تحليل التكلفة والسعر'!$B$2:$B$700,0)),0))</f>
        <v/>
      </c>
    </row>
    <row r="6342" customFormat="false" ht="15" hidden="false" customHeight="false" outlineLevel="0" collapsed="false">
      <c r="A6342" s="103"/>
      <c r="B6342" s="104"/>
      <c r="C6342" s="104"/>
      <c r="E6342" s="107" t="str">
        <f aca="false">IF($C6342="","",IFERROR(INDEX(المنيو!$C$2:$C$500,MATCH($C6342,المنيو!$B$2:$B$500,0)),0))</f>
        <v/>
      </c>
      <c r="F6342" s="107" t="str">
        <f aca="false">IF($C6342="","",$D6342*$E6342)</f>
        <v/>
      </c>
      <c r="G6342" s="107" t="str">
        <f aca="false">IF($C6342="","",$D6342*IFERROR(INDEX('تحليل التكلفة والسعر'!$C$2:$C$700,MATCH($C6342,'تحليل التكلفة والسعر'!$B$2:$B$700,0)),0))</f>
        <v/>
      </c>
    </row>
    <row r="6343" customFormat="false" ht="15" hidden="false" customHeight="false" outlineLevel="0" collapsed="false">
      <c r="A6343" s="103"/>
      <c r="B6343" s="104"/>
      <c r="C6343" s="104"/>
      <c r="E6343" s="107" t="str">
        <f aca="false">IF($C6343="","",IFERROR(INDEX(المنيو!$C$2:$C$500,MATCH($C6343,المنيو!$B$2:$B$500,0)),0))</f>
        <v/>
      </c>
      <c r="F6343" s="107" t="str">
        <f aca="false">IF($C6343="","",$D6343*$E6343)</f>
        <v/>
      </c>
      <c r="G6343" s="107" t="str">
        <f aca="false">IF($C6343="","",$D6343*IFERROR(INDEX('تحليل التكلفة والسعر'!$C$2:$C$700,MATCH($C6343,'تحليل التكلفة والسعر'!$B$2:$B$700,0)),0))</f>
        <v/>
      </c>
    </row>
    <row r="6344" customFormat="false" ht="15" hidden="false" customHeight="false" outlineLevel="0" collapsed="false">
      <c r="A6344" s="103"/>
      <c r="B6344" s="104"/>
      <c r="C6344" s="104"/>
      <c r="E6344" s="107" t="str">
        <f aca="false">IF($C6344="","",IFERROR(INDEX(المنيو!$C$2:$C$500,MATCH($C6344,المنيو!$B$2:$B$500,0)),0))</f>
        <v/>
      </c>
      <c r="F6344" s="107" t="str">
        <f aca="false">IF($C6344="","",$D6344*$E6344)</f>
        <v/>
      </c>
      <c r="G6344" s="107" t="str">
        <f aca="false">IF($C6344="","",$D6344*IFERROR(INDEX('تحليل التكلفة والسعر'!$C$2:$C$700,MATCH($C6344,'تحليل التكلفة والسعر'!$B$2:$B$700,0)),0))</f>
        <v/>
      </c>
    </row>
    <row r="6345" customFormat="false" ht="15" hidden="false" customHeight="false" outlineLevel="0" collapsed="false">
      <c r="A6345" s="103"/>
      <c r="B6345" s="104"/>
      <c r="C6345" s="104"/>
      <c r="E6345" s="107" t="str">
        <f aca="false">IF($C6345="","",IFERROR(INDEX(المنيو!$C$2:$C$500,MATCH($C6345,المنيو!$B$2:$B$500,0)),0))</f>
        <v/>
      </c>
      <c r="F6345" s="107" t="str">
        <f aca="false">IF($C6345="","",$D6345*$E6345)</f>
        <v/>
      </c>
      <c r="G6345" s="107" t="str">
        <f aca="false">IF($C6345="","",$D6345*IFERROR(INDEX('تحليل التكلفة والسعر'!$C$2:$C$700,MATCH($C6345,'تحليل التكلفة والسعر'!$B$2:$B$700,0)),0))</f>
        <v/>
      </c>
    </row>
    <row r="6346" customFormat="false" ht="15" hidden="false" customHeight="false" outlineLevel="0" collapsed="false">
      <c r="A6346" s="103"/>
      <c r="B6346" s="104"/>
      <c r="C6346" s="104"/>
      <c r="E6346" s="107" t="str">
        <f aca="false">IF($C6346="","",IFERROR(INDEX(المنيو!$C$2:$C$500,MATCH($C6346,المنيو!$B$2:$B$500,0)),0))</f>
        <v/>
      </c>
      <c r="F6346" s="107" t="str">
        <f aca="false">IF($C6346="","",$D6346*$E6346)</f>
        <v/>
      </c>
      <c r="G6346" s="107" t="str">
        <f aca="false">IF($C6346="","",$D6346*IFERROR(INDEX('تحليل التكلفة والسعر'!$C$2:$C$700,MATCH($C6346,'تحليل التكلفة والسعر'!$B$2:$B$700,0)),0))</f>
        <v/>
      </c>
    </row>
    <row r="6347" customFormat="false" ht="15" hidden="false" customHeight="false" outlineLevel="0" collapsed="false">
      <c r="A6347" s="103"/>
      <c r="B6347" s="104"/>
      <c r="C6347" s="104"/>
      <c r="E6347" s="107" t="str">
        <f aca="false">IF($C6347="","",IFERROR(INDEX(المنيو!$C$2:$C$500,MATCH($C6347,المنيو!$B$2:$B$500,0)),0))</f>
        <v/>
      </c>
      <c r="F6347" s="107" t="str">
        <f aca="false">IF($C6347="","",$D6347*$E6347)</f>
        <v/>
      </c>
      <c r="G6347" s="107" t="str">
        <f aca="false">IF($C6347="","",$D6347*IFERROR(INDEX('تحليل التكلفة والسعر'!$C$2:$C$700,MATCH($C6347,'تحليل التكلفة والسعر'!$B$2:$B$700,0)),0))</f>
        <v/>
      </c>
    </row>
    <row r="6348" customFormat="false" ht="15" hidden="false" customHeight="false" outlineLevel="0" collapsed="false">
      <c r="A6348" s="103"/>
      <c r="B6348" s="104"/>
      <c r="C6348" s="104"/>
      <c r="E6348" s="107" t="str">
        <f aca="false">IF($C6348="","",IFERROR(INDEX(المنيو!$C$2:$C$500,MATCH($C6348,المنيو!$B$2:$B$500,0)),0))</f>
        <v/>
      </c>
      <c r="F6348" s="107" t="str">
        <f aca="false">IF($C6348="","",$D6348*$E6348)</f>
        <v/>
      </c>
      <c r="G6348" s="107" t="str">
        <f aca="false">IF($C6348="","",$D6348*IFERROR(INDEX('تحليل التكلفة والسعر'!$C$2:$C$700,MATCH($C6348,'تحليل التكلفة والسعر'!$B$2:$B$700,0)),0))</f>
        <v/>
      </c>
    </row>
    <row r="6349" customFormat="false" ht="15" hidden="false" customHeight="false" outlineLevel="0" collapsed="false">
      <c r="A6349" s="103"/>
      <c r="B6349" s="104"/>
      <c r="C6349" s="104"/>
      <c r="E6349" s="107" t="str">
        <f aca="false">IF($C6349="","",IFERROR(INDEX(المنيو!$C$2:$C$500,MATCH($C6349,المنيو!$B$2:$B$500,0)),0))</f>
        <v/>
      </c>
      <c r="F6349" s="107" t="str">
        <f aca="false">IF($C6349="","",$D6349*$E6349)</f>
        <v/>
      </c>
      <c r="G6349" s="107" t="str">
        <f aca="false">IF($C6349="","",$D6349*IFERROR(INDEX('تحليل التكلفة والسعر'!$C$2:$C$700,MATCH($C6349,'تحليل التكلفة والسعر'!$B$2:$B$700,0)),0))</f>
        <v/>
      </c>
    </row>
    <row r="6350" customFormat="false" ht="15" hidden="false" customHeight="false" outlineLevel="0" collapsed="false">
      <c r="A6350" s="103"/>
      <c r="B6350" s="104"/>
      <c r="C6350" s="104"/>
      <c r="E6350" s="107" t="str">
        <f aca="false">IF($C6350="","",IFERROR(INDEX(المنيو!$C$2:$C$500,MATCH($C6350,المنيو!$B$2:$B$500,0)),0))</f>
        <v/>
      </c>
      <c r="F6350" s="107" t="str">
        <f aca="false">IF($C6350="","",$D6350*$E6350)</f>
        <v/>
      </c>
      <c r="G6350" s="107" t="str">
        <f aca="false">IF($C6350="","",$D6350*IFERROR(INDEX('تحليل التكلفة والسعر'!$C$2:$C$700,MATCH($C6350,'تحليل التكلفة والسعر'!$B$2:$B$700,0)),0))</f>
        <v/>
      </c>
    </row>
    <row r="6351" customFormat="false" ht="15" hidden="false" customHeight="false" outlineLevel="0" collapsed="false">
      <c r="A6351" s="103"/>
      <c r="B6351" s="104"/>
      <c r="C6351" s="104"/>
      <c r="E6351" s="107" t="str">
        <f aca="false">IF($C6351="","",IFERROR(INDEX(المنيو!$C$2:$C$500,MATCH($C6351,المنيو!$B$2:$B$500,0)),0))</f>
        <v/>
      </c>
      <c r="F6351" s="107" t="str">
        <f aca="false">IF($C6351="","",$D6351*$E6351)</f>
        <v/>
      </c>
      <c r="G6351" s="107" t="str">
        <f aca="false">IF($C6351="","",$D6351*IFERROR(INDEX('تحليل التكلفة والسعر'!$C$2:$C$700,MATCH($C6351,'تحليل التكلفة والسعر'!$B$2:$B$700,0)),0))</f>
        <v/>
      </c>
    </row>
    <row r="6352" customFormat="false" ht="15" hidden="false" customHeight="false" outlineLevel="0" collapsed="false">
      <c r="A6352" s="103"/>
      <c r="B6352" s="104"/>
      <c r="C6352" s="104"/>
      <c r="E6352" s="107" t="str">
        <f aca="false">IF($C6352="","",IFERROR(INDEX(المنيو!$C$2:$C$500,MATCH($C6352,المنيو!$B$2:$B$500,0)),0))</f>
        <v/>
      </c>
      <c r="F6352" s="107" t="str">
        <f aca="false">IF($C6352="","",$D6352*$E6352)</f>
        <v/>
      </c>
      <c r="G6352" s="107" t="str">
        <f aca="false">IF($C6352="","",$D6352*IFERROR(INDEX('تحليل التكلفة والسعر'!$C$2:$C$700,MATCH($C6352,'تحليل التكلفة والسعر'!$B$2:$B$700,0)),0))</f>
        <v/>
      </c>
    </row>
    <row r="6353" customFormat="false" ht="15" hidden="false" customHeight="false" outlineLevel="0" collapsed="false">
      <c r="A6353" s="103"/>
      <c r="B6353" s="104"/>
      <c r="C6353" s="104"/>
      <c r="E6353" s="107" t="str">
        <f aca="false">IF($C6353="","",IFERROR(INDEX(المنيو!$C$2:$C$500,MATCH($C6353,المنيو!$B$2:$B$500,0)),0))</f>
        <v/>
      </c>
      <c r="F6353" s="107" t="str">
        <f aca="false">IF($C6353="","",$D6353*$E6353)</f>
        <v/>
      </c>
      <c r="G6353" s="107" t="str">
        <f aca="false">IF($C6353="","",$D6353*IFERROR(INDEX('تحليل التكلفة والسعر'!$C$2:$C$700,MATCH($C6353,'تحليل التكلفة والسعر'!$B$2:$B$700,0)),0))</f>
        <v/>
      </c>
    </row>
    <row r="6354" customFormat="false" ht="15" hidden="false" customHeight="false" outlineLevel="0" collapsed="false">
      <c r="A6354" s="103"/>
      <c r="B6354" s="104"/>
      <c r="C6354" s="104"/>
      <c r="E6354" s="107" t="str">
        <f aca="false">IF($C6354="","",IFERROR(INDEX(المنيو!$C$2:$C$500,MATCH($C6354,المنيو!$B$2:$B$500,0)),0))</f>
        <v/>
      </c>
      <c r="F6354" s="107" t="str">
        <f aca="false">IF($C6354="","",$D6354*$E6354)</f>
        <v/>
      </c>
      <c r="G6354" s="107" t="str">
        <f aca="false">IF($C6354="","",$D6354*IFERROR(INDEX('تحليل التكلفة والسعر'!$C$2:$C$700,MATCH($C6354,'تحليل التكلفة والسعر'!$B$2:$B$700,0)),0))</f>
        <v/>
      </c>
    </row>
    <row r="6355" customFormat="false" ht="15" hidden="false" customHeight="false" outlineLevel="0" collapsed="false">
      <c r="A6355" s="103"/>
      <c r="B6355" s="104"/>
      <c r="C6355" s="104"/>
      <c r="E6355" s="107" t="str">
        <f aca="false">IF($C6355="","",IFERROR(INDEX(المنيو!$C$2:$C$500,MATCH($C6355,المنيو!$B$2:$B$500,0)),0))</f>
        <v/>
      </c>
      <c r="F6355" s="107" t="str">
        <f aca="false">IF($C6355="","",$D6355*$E6355)</f>
        <v/>
      </c>
      <c r="G6355" s="107" t="str">
        <f aca="false">IF($C6355="","",$D6355*IFERROR(INDEX('تحليل التكلفة والسعر'!$C$2:$C$700,MATCH($C6355,'تحليل التكلفة والسعر'!$B$2:$B$700,0)),0))</f>
        <v/>
      </c>
    </row>
    <row r="6356" customFormat="false" ht="15" hidden="false" customHeight="false" outlineLevel="0" collapsed="false">
      <c r="A6356" s="103"/>
      <c r="B6356" s="104"/>
      <c r="C6356" s="104"/>
      <c r="E6356" s="107" t="str">
        <f aca="false">IF($C6356="","",IFERROR(INDEX(المنيو!$C$2:$C$500,MATCH($C6356,المنيو!$B$2:$B$500,0)),0))</f>
        <v/>
      </c>
      <c r="F6356" s="107" t="str">
        <f aca="false">IF($C6356="","",$D6356*$E6356)</f>
        <v/>
      </c>
      <c r="G6356" s="107" t="str">
        <f aca="false">IF($C6356="","",$D6356*IFERROR(INDEX('تحليل التكلفة والسعر'!$C$2:$C$700,MATCH($C6356,'تحليل التكلفة والسعر'!$B$2:$B$700,0)),0))</f>
        <v/>
      </c>
    </row>
    <row r="6357" customFormat="false" ht="15" hidden="false" customHeight="false" outlineLevel="0" collapsed="false">
      <c r="A6357" s="103"/>
      <c r="B6357" s="104"/>
      <c r="C6357" s="104"/>
      <c r="E6357" s="107" t="str">
        <f aca="false">IF($C6357="","",IFERROR(INDEX(المنيو!$C$2:$C$500,MATCH($C6357,المنيو!$B$2:$B$500,0)),0))</f>
        <v/>
      </c>
      <c r="F6357" s="107" t="str">
        <f aca="false">IF($C6357="","",$D6357*$E6357)</f>
        <v/>
      </c>
      <c r="G6357" s="107" t="str">
        <f aca="false">IF($C6357="","",$D6357*IFERROR(INDEX('تحليل التكلفة والسعر'!$C$2:$C$700,MATCH($C6357,'تحليل التكلفة والسعر'!$B$2:$B$700,0)),0))</f>
        <v/>
      </c>
    </row>
    <row r="6358" customFormat="false" ht="15" hidden="false" customHeight="false" outlineLevel="0" collapsed="false">
      <c r="A6358" s="103"/>
      <c r="B6358" s="104"/>
      <c r="C6358" s="104"/>
      <c r="E6358" s="107" t="str">
        <f aca="false">IF($C6358="","",IFERROR(INDEX(المنيو!$C$2:$C$500,MATCH($C6358,المنيو!$B$2:$B$500,0)),0))</f>
        <v/>
      </c>
      <c r="F6358" s="107" t="str">
        <f aca="false">IF($C6358="","",$D6358*$E6358)</f>
        <v/>
      </c>
      <c r="G6358" s="107" t="str">
        <f aca="false">IF($C6358="","",$D6358*IFERROR(INDEX('تحليل التكلفة والسعر'!$C$2:$C$700,MATCH($C6358,'تحليل التكلفة والسعر'!$B$2:$B$700,0)),0))</f>
        <v/>
      </c>
    </row>
    <row r="6359" customFormat="false" ht="15" hidden="false" customHeight="false" outlineLevel="0" collapsed="false">
      <c r="A6359" s="103"/>
      <c r="B6359" s="104"/>
      <c r="C6359" s="104"/>
      <c r="E6359" s="107" t="str">
        <f aca="false">IF($C6359="","",IFERROR(INDEX(المنيو!$C$2:$C$500,MATCH($C6359,المنيو!$B$2:$B$500,0)),0))</f>
        <v/>
      </c>
      <c r="F6359" s="107" t="str">
        <f aca="false">IF($C6359="","",$D6359*$E6359)</f>
        <v/>
      </c>
      <c r="G6359" s="107" t="str">
        <f aca="false">IF($C6359="","",$D6359*IFERROR(INDEX('تحليل التكلفة والسعر'!$C$2:$C$700,MATCH($C6359,'تحليل التكلفة والسعر'!$B$2:$B$700,0)),0))</f>
        <v/>
      </c>
    </row>
    <row r="6360" customFormat="false" ht="15" hidden="false" customHeight="false" outlineLevel="0" collapsed="false">
      <c r="A6360" s="103"/>
      <c r="B6360" s="104"/>
      <c r="C6360" s="104"/>
      <c r="E6360" s="107" t="str">
        <f aca="false">IF($C6360="","",IFERROR(INDEX(المنيو!$C$2:$C$500,MATCH($C6360,المنيو!$B$2:$B$500,0)),0))</f>
        <v/>
      </c>
      <c r="F6360" s="107" t="str">
        <f aca="false">IF($C6360="","",$D6360*$E6360)</f>
        <v/>
      </c>
      <c r="G6360" s="107" t="str">
        <f aca="false">IF($C6360="","",$D6360*IFERROR(INDEX('تحليل التكلفة والسعر'!$C$2:$C$700,MATCH($C6360,'تحليل التكلفة والسعر'!$B$2:$B$700,0)),0))</f>
        <v/>
      </c>
    </row>
    <row r="6361" customFormat="false" ht="15" hidden="false" customHeight="false" outlineLevel="0" collapsed="false">
      <c r="A6361" s="103"/>
      <c r="B6361" s="104"/>
      <c r="C6361" s="104"/>
      <c r="E6361" s="107" t="str">
        <f aca="false">IF($C6361="","",IFERROR(INDEX(المنيو!$C$2:$C$500,MATCH($C6361,المنيو!$B$2:$B$500,0)),0))</f>
        <v/>
      </c>
      <c r="F6361" s="107" t="str">
        <f aca="false">IF($C6361="","",$D6361*$E6361)</f>
        <v/>
      </c>
      <c r="G6361" s="107" t="str">
        <f aca="false">IF($C6361="","",$D6361*IFERROR(INDEX('تحليل التكلفة والسعر'!$C$2:$C$700,MATCH($C6361,'تحليل التكلفة والسعر'!$B$2:$B$700,0)),0))</f>
        <v/>
      </c>
    </row>
    <row r="6362" customFormat="false" ht="15" hidden="false" customHeight="false" outlineLevel="0" collapsed="false">
      <c r="A6362" s="103"/>
      <c r="B6362" s="104"/>
      <c r="C6362" s="104"/>
      <c r="E6362" s="107" t="str">
        <f aca="false">IF($C6362="","",IFERROR(INDEX(المنيو!$C$2:$C$500,MATCH($C6362,المنيو!$B$2:$B$500,0)),0))</f>
        <v/>
      </c>
      <c r="F6362" s="107" t="str">
        <f aca="false">IF($C6362="","",$D6362*$E6362)</f>
        <v/>
      </c>
      <c r="G6362" s="107" t="str">
        <f aca="false">IF($C6362="","",$D6362*IFERROR(INDEX('تحليل التكلفة والسعر'!$C$2:$C$700,MATCH($C6362,'تحليل التكلفة والسعر'!$B$2:$B$700,0)),0))</f>
        <v/>
      </c>
    </row>
    <row r="6363" customFormat="false" ht="15" hidden="false" customHeight="false" outlineLevel="0" collapsed="false">
      <c r="A6363" s="103"/>
      <c r="B6363" s="104"/>
      <c r="C6363" s="104"/>
      <c r="E6363" s="107" t="str">
        <f aca="false">IF($C6363="","",IFERROR(INDEX(المنيو!$C$2:$C$500,MATCH($C6363,المنيو!$B$2:$B$500,0)),0))</f>
        <v/>
      </c>
      <c r="F6363" s="107" t="str">
        <f aca="false">IF($C6363="","",$D6363*$E6363)</f>
        <v/>
      </c>
      <c r="G6363" s="107" t="str">
        <f aca="false">IF($C6363="","",$D6363*IFERROR(INDEX('تحليل التكلفة والسعر'!$C$2:$C$700,MATCH($C6363,'تحليل التكلفة والسعر'!$B$2:$B$700,0)),0))</f>
        <v/>
      </c>
    </row>
    <row r="6364" customFormat="false" ht="15" hidden="false" customHeight="false" outlineLevel="0" collapsed="false">
      <c r="A6364" s="103"/>
      <c r="B6364" s="104"/>
      <c r="C6364" s="104"/>
      <c r="E6364" s="107" t="str">
        <f aca="false">IF($C6364="","",IFERROR(INDEX(المنيو!$C$2:$C$500,MATCH($C6364,المنيو!$B$2:$B$500,0)),0))</f>
        <v/>
      </c>
      <c r="F6364" s="107" t="str">
        <f aca="false">IF($C6364="","",$D6364*$E6364)</f>
        <v/>
      </c>
      <c r="G6364" s="107" t="str">
        <f aca="false">IF($C6364="","",$D6364*IFERROR(INDEX('تحليل التكلفة والسعر'!$C$2:$C$700,MATCH($C6364,'تحليل التكلفة والسعر'!$B$2:$B$700,0)),0))</f>
        <v/>
      </c>
    </row>
    <row r="6365" customFormat="false" ht="15" hidden="false" customHeight="false" outlineLevel="0" collapsed="false">
      <c r="A6365" s="103"/>
      <c r="B6365" s="104"/>
      <c r="C6365" s="104"/>
      <c r="E6365" s="107" t="str">
        <f aca="false">IF($C6365="","",IFERROR(INDEX(المنيو!$C$2:$C$500,MATCH($C6365,المنيو!$B$2:$B$500,0)),0))</f>
        <v/>
      </c>
      <c r="F6365" s="107" t="str">
        <f aca="false">IF($C6365="","",$D6365*$E6365)</f>
        <v/>
      </c>
      <c r="G6365" s="107" t="str">
        <f aca="false">IF($C6365="","",$D6365*IFERROR(INDEX('تحليل التكلفة والسعر'!$C$2:$C$700,MATCH($C6365,'تحليل التكلفة والسعر'!$B$2:$B$700,0)),0))</f>
        <v/>
      </c>
    </row>
    <row r="6366" customFormat="false" ht="15" hidden="false" customHeight="false" outlineLevel="0" collapsed="false">
      <c r="A6366" s="103"/>
      <c r="B6366" s="104"/>
      <c r="C6366" s="104"/>
      <c r="E6366" s="107" t="str">
        <f aca="false">IF($C6366="","",IFERROR(INDEX(المنيو!$C$2:$C$500,MATCH($C6366,المنيو!$B$2:$B$500,0)),0))</f>
        <v/>
      </c>
      <c r="F6366" s="107" t="str">
        <f aca="false">IF($C6366="","",$D6366*$E6366)</f>
        <v/>
      </c>
      <c r="G6366" s="107" t="str">
        <f aca="false">IF($C6366="","",$D6366*IFERROR(INDEX('تحليل التكلفة والسعر'!$C$2:$C$700,MATCH($C6366,'تحليل التكلفة والسعر'!$B$2:$B$700,0)),0))</f>
        <v/>
      </c>
    </row>
    <row r="6367" customFormat="false" ht="15" hidden="false" customHeight="false" outlineLevel="0" collapsed="false">
      <c r="A6367" s="103"/>
      <c r="B6367" s="104"/>
      <c r="C6367" s="104"/>
      <c r="E6367" s="107" t="str">
        <f aca="false">IF($C6367="","",IFERROR(INDEX(المنيو!$C$2:$C$500,MATCH($C6367,المنيو!$B$2:$B$500,0)),0))</f>
        <v/>
      </c>
      <c r="F6367" s="107" t="str">
        <f aca="false">IF($C6367="","",$D6367*$E6367)</f>
        <v/>
      </c>
      <c r="G6367" s="107" t="str">
        <f aca="false">IF($C6367="","",$D6367*IFERROR(INDEX('تحليل التكلفة والسعر'!$C$2:$C$700,MATCH($C6367,'تحليل التكلفة والسعر'!$B$2:$B$700,0)),0))</f>
        <v/>
      </c>
    </row>
    <row r="6368" customFormat="false" ht="15" hidden="false" customHeight="false" outlineLevel="0" collapsed="false">
      <c r="A6368" s="103"/>
      <c r="B6368" s="104"/>
      <c r="C6368" s="104"/>
      <c r="E6368" s="107" t="str">
        <f aca="false">IF($C6368="","",IFERROR(INDEX(المنيو!$C$2:$C$500,MATCH($C6368,المنيو!$B$2:$B$500,0)),0))</f>
        <v/>
      </c>
      <c r="F6368" s="107" t="str">
        <f aca="false">IF($C6368="","",$D6368*$E6368)</f>
        <v/>
      </c>
      <c r="G6368" s="107" t="str">
        <f aca="false">IF($C6368="","",$D6368*IFERROR(INDEX('تحليل التكلفة والسعر'!$C$2:$C$700,MATCH($C6368,'تحليل التكلفة والسعر'!$B$2:$B$700,0)),0))</f>
        <v/>
      </c>
    </row>
    <row r="6369" customFormat="false" ht="15" hidden="false" customHeight="false" outlineLevel="0" collapsed="false">
      <c r="A6369" s="103"/>
      <c r="B6369" s="104"/>
      <c r="C6369" s="104"/>
      <c r="E6369" s="107" t="str">
        <f aca="false">IF($C6369="","",IFERROR(INDEX(المنيو!$C$2:$C$500,MATCH($C6369,المنيو!$B$2:$B$500,0)),0))</f>
        <v/>
      </c>
      <c r="F6369" s="107" t="str">
        <f aca="false">IF($C6369="","",$D6369*$E6369)</f>
        <v/>
      </c>
      <c r="G6369" s="107" t="str">
        <f aca="false">IF($C6369="","",$D6369*IFERROR(INDEX('تحليل التكلفة والسعر'!$C$2:$C$700,MATCH($C6369,'تحليل التكلفة والسعر'!$B$2:$B$700,0)),0))</f>
        <v/>
      </c>
    </row>
    <row r="6370" customFormat="false" ht="15" hidden="false" customHeight="false" outlineLevel="0" collapsed="false">
      <c r="A6370" s="103"/>
      <c r="B6370" s="104"/>
      <c r="C6370" s="104"/>
      <c r="E6370" s="107" t="str">
        <f aca="false">IF($C6370="","",IFERROR(INDEX(المنيو!$C$2:$C$500,MATCH($C6370,المنيو!$B$2:$B$500,0)),0))</f>
        <v/>
      </c>
      <c r="F6370" s="107" t="str">
        <f aca="false">IF($C6370="","",$D6370*$E6370)</f>
        <v/>
      </c>
      <c r="G6370" s="107" t="str">
        <f aca="false">IF($C6370="","",$D6370*IFERROR(INDEX('تحليل التكلفة والسعر'!$C$2:$C$700,MATCH($C6370,'تحليل التكلفة والسعر'!$B$2:$B$700,0)),0))</f>
        <v/>
      </c>
    </row>
    <row r="6371" customFormat="false" ht="15" hidden="false" customHeight="false" outlineLevel="0" collapsed="false">
      <c r="A6371" s="103"/>
      <c r="B6371" s="104"/>
      <c r="C6371" s="104"/>
      <c r="E6371" s="107" t="str">
        <f aca="false">IF($C6371="","",IFERROR(INDEX(المنيو!$C$2:$C$500,MATCH($C6371,المنيو!$B$2:$B$500,0)),0))</f>
        <v/>
      </c>
      <c r="F6371" s="107" t="str">
        <f aca="false">IF($C6371="","",$D6371*$E6371)</f>
        <v/>
      </c>
      <c r="G6371" s="107" t="str">
        <f aca="false">IF($C6371="","",$D6371*IFERROR(INDEX('تحليل التكلفة والسعر'!$C$2:$C$700,MATCH($C6371,'تحليل التكلفة والسعر'!$B$2:$B$700,0)),0))</f>
        <v/>
      </c>
    </row>
    <row r="6372" customFormat="false" ht="15" hidden="false" customHeight="false" outlineLevel="0" collapsed="false">
      <c r="A6372" s="103"/>
      <c r="B6372" s="104"/>
      <c r="C6372" s="104"/>
      <c r="E6372" s="107" t="str">
        <f aca="false">IF($C6372="","",IFERROR(INDEX(المنيو!$C$2:$C$500,MATCH($C6372,المنيو!$B$2:$B$500,0)),0))</f>
        <v/>
      </c>
      <c r="F6372" s="107" t="str">
        <f aca="false">IF($C6372="","",$D6372*$E6372)</f>
        <v/>
      </c>
      <c r="G6372" s="107" t="str">
        <f aca="false">IF($C6372="","",$D6372*IFERROR(INDEX('تحليل التكلفة والسعر'!$C$2:$C$700,MATCH($C6372,'تحليل التكلفة والسعر'!$B$2:$B$700,0)),0))</f>
        <v/>
      </c>
    </row>
    <row r="6373" customFormat="false" ht="15" hidden="false" customHeight="false" outlineLevel="0" collapsed="false">
      <c r="A6373" s="103"/>
      <c r="B6373" s="104"/>
      <c r="C6373" s="104"/>
      <c r="E6373" s="107" t="str">
        <f aca="false">IF($C6373="","",IFERROR(INDEX(المنيو!$C$2:$C$500,MATCH($C6373,المنيو!$B$2:$B$500,0)),0))</f>
        <v/>
      </c>
      <c r="F6373" s="107" t="str">
        <f aca="false">IF($C6373="","",$D6373*$E6373)</f>
        <v/>
      </c>
      <c r="G6373" s="107" t="str">
        <f aca="false">IF($C6373="","",$D6373*IFERROR(INDEX('تحليل التكلفة والسعر'!$C$2:$C$700,MATCH($C6373,'تحليل التكلفة والسعر'!$B$2:$B$700,0)),0))</f>
        <v/>
      </c>
    </row>
    <row r="6374" customFormat="false" ht="15" hidden="false" customHeight="false" outlineLevel="0" collapsed="false">
      <c r="A6374" s="103"/>
      <c r="B6374" s="104"/>
      <c r="C6374" s="104"/>
      <c r="E6374" s="107" t="str">
        <f aca="false">IF($C6374="","",IFERROR(INDEX(المنيو!$C$2:$C$500,MATCH($C6374,المنيو!$B$2:$B$500,0)),0))</f>
        <v/>
      </c>
      <c r="F6374" s="107" t="str">
        <f aca="false">IF($C6374="","",$D6374*$E6374)</f>
        <v/>
      </c>
      <c r="G6374" s="107" t="str">
        <f aca="false">IF($C6374="","",$D6374*IFERROR(INDEX('تحليل التكلفة والسعر'!$C$2:$C$700,MATCH($C6374,'تحليل التكلفة والسعر'!$B$2:$B$700,0)),0))</f>
        <v/>
      </c>
    </row>
    <row r="6375" customFormat="false" ht="15" hidden="false" customHeight="false" outlineLevel="0" collapsed="false">
      <c r="A6375" s="103"/>
      <c r="B6375" s="104"/>
      <c r="C6375" s="104"/>
      <c r="E6375" s="107" t="str">
        <f aca="false">IF($C6375="","",IFERROR(INDEX(المنيو!$C$2:$C$500,MATCH($C6375,المنيو!$B$2:$B$500,0)),0))</f>
        <v/>
      </c>
      <c r="F6375" s="107" t="str">
        <f aca="false">IF($C6375="","",$D6375*$E6375)</f>
        <v/>
      </c>
      <c r="G6375" s="107" t="str">
        <f aca="false">IF($C6375="","",$D6375*IFERROR(INDEX('تحليل التكلفة والسعر'!$C$2:$C$700,MATCH($C6375,'تحليل التكلفة والسعر'!$B$2:$B$700,0)),0))</f>
        <v/>
      </c>
    </row>
    <row r="6376" customFormat="false" ht="15" hidden="false" customHeight="false" outlineLevel="0" collapsed="false">
      <c r="A6376" s="103"/>
      <c r="B6376" s="104"/>
      <c r="C6376" s="104"/>
      <c r="E6376" s="107" t="str">
        <f aca="false">IF($C6376="","",IFERROR(INDEX(المنيو!$C$2:$C$500,MATCH($C6376,المنيو!$B$2:$B$500,0)),0))</f>
        <v/>
      </c>
      <c r="F6376" s="107" t="str">
        <f aca="false">IF($C6376="","",$D6376*$E6376)</f>
        <v/>
      </c>
      <c r="G6376" s="107" t="str">
        <f aca="false">IF($C6376="","",$D6376*IFERROR(INDEX('تحليل التكلفة والسعر'!$C$2:$C$700,MATCH($C6376,'تحليل التكلفة والسعر'!$B$2:$B$700,0)),0))</f>
        <v/>
      </c>
    </row>
    <row r="6377" customFormat="false" ht="15" hidden="false" customHeight="false" outlineLevel="0" collapsed="false">
      <c r="A6377" s="103"/>
      <c r="B6377" s="104"/>
      <c r="C6377" s="104"/>
      <c r="E6377" s="107" t="str">
        <f aca="false">IF($C6377="","",IFERROR(INDEX(المنيو!$C$2:$C$500,MATCH($C6377,المنيو!$B$2:$B$500,0)),0))</f>
        <v/>
      </c>
      <c r="F6377" s="107" t="str">
        <f aca="false">IF($C6377="","",$D6377*$E6377)</f>
        <v/>
      </c>
      <c r="G6377" s="107" t="str">
        <f aca="false">IF($C6377="","",$D6377*IFERROR(INDEX('تحليل التكلفة والسعر'!$C$2:$C$700,MATCH($C6377,'تحليل التكلفة والسعر'!$B$2:$B$700,0)),0))</f>
        <v/>
      </c>
    </row>
    <row r="6378" customFormat="false" ht="15" hidden="false" customHeight="false" outlineLevel="0" collapsed="false">
      <c r="A6378" s="103"/>
      <c r="B6378" s="104"/>
      <c r="C6378" s="104"/>
      <c r="E6378" s="107" t="str">
        <f aca="false">IF($C6378="","",IFERROR(INDEX(المنيو!$C$2:$C$500,MATCH($C6378,المنيو!$B$2:$B$500,0)),0))</f>
        <v/>
      </c>
      <c r="F6378" s="107" t="str">
        <f aca="false">IF($C6378="","",$D6378*$E6378)</f>
        <v/>
      </c>
      <c r="G6378" s="107" t="str">
        <f aca="false">IF($C6378="","",$D6378*IFERROR(INDEX('تحليل التكلفة والسعر'!$C$2:$C$700,MATCH($C6378,'تحليل التكلفة والسعر'!$B$2:$B$700,0)),0))</f>
        <v/>
      </c>
    </row>
    <row r="6379" customFormat="false" ht="15" hidden="false" customHeight="false" outlineLevel="0" collapsed="false">
      <c r="A6379" s="103"/>
      <c r="B6379" s="104"/>
      <c r="C6379" s="104"/>
      <c r="E6379" s="107" t="str">
        <f aca="false">IF($C6379="","",IFERROR(INDEX(المنيو!$C$2:$C$500,MATCH($C6379,المنيو!$B$2:$B$500,0)),0))</f>
        <v/>
      </c>
      <c r="F6379" s="107" t="str">
        <f aca="false">IF($C6379="","",$D6379*$E6379)</f>
        <v/>
      </c>
      <c r="G6379" s="107" t="str">
        <f aca="false">IF($C6379="","",$D6379*IFERROR(INDEX('تحليل التكلفة والسعر'!$C$2:$C$700,MATCH($C6379,'تحليل التكلفة والسعر'!$B$2:$B$700,0)),0))</f>
        <v/>
      </c>
    </row>
    <row r="6380" customFormat="false" ht="15" hidden="false" customHeight="false" outlineLevel="0" collapsed="false">
      <c r="A6380" s="103"/>
      <c r="B6380" s="104"/>
      <c r="C6380" s="104"/>
      <c r="E6380" s="107" t="str">
        <f aca="false">IF($C6380="","",IFERROR(INDEX(المنيو!$C$2:$C$500,MATCH($C6380,المنيو!$B$2:$B$500,0)),0))</f>
        <v/>
      </c>
      <c r="F6380" s="107" t="str">
        <f aca="false">IF($C6380="","",$D6380*$E6380)</f>
        <v/>
      </c>
      <c r="G6380" s="107" t="str">
        <f aca="false">IF($C6380="","",$D6380*IFERROR(INDEX('تحليل التكلفة والسعر'!$C$2:$C$700,MATCH($C6380,'تحليل التكلفة والسعر'!$B$2:$B$700,0)),0))</f>
        <v/>
      </c>
    </row>
    <row r="6381" customFormat="false" ht="15" hidden="false" customHeight="false" outlineLevel="0" collapsed="false">
      <c r="A6381" s="103"/>
      <c r="B6381" s="104"/>
      <c r="C6381" s="104"/>
      <c r="E6381" s="107" t="str">
        <f aca="false">IF($C6381="","",IFERROR(INDEX(المنيو!$C$2:$C$500,MATCH($C6381,المنيو!$B$2:$B$500,0)),0))</f>
        <v/>
      </c>
      <c r="F6381" s="107" t="str">
        <f aca="false">IF($C6381="","",$D6381*$E6381)</f>
        <v/>
      </c>
      <c r="G6381" s="107" t="str">
        <f aca="false">IF($C6381="","",$D6381*IFERROR(INDEX('تحليل التكلفة والسعر'!$C$2:$C$700,MATCH($C6381,'تحليل التكلفة والسعر'!$B$2:$B$700,0)),0))</f>
        <v/>
      </c>
    </row>
    <row r="6382" customFormat="false" ht="15" hidden="false" customHeight="false" outlineLevel="0" collapsed="false">
      <c r="A6382" s="103"/>
      <c r="B6382" s="104"/>
      <c r="C6382" s="104"/>
      <c r="E6382" s="107" t="str">
        <f aca="false">IF($C6382="","",IFERROR(INDEX(المنيو!$C$2:$C$500,MATCH($C6382,المنيو!$B$2:$B$500,0)),0))</f>
        <v/>
      </c>
      <c r="F6382" s="107" t="str">
        <f aca="false">IF($C6382="","",$D6382*$E6382)</f>
        <v/>
      </c>
      <c r="G6382" s="107" t="str">
        <f aca="false">IF($C6382="","",$D6382*IFERROR(INDEX('تحليل التكلفة والسعر'!$C$2:$C$700,MATCH($C6382,'تحليل التكلفة والسعر'!$B$2:$B$700,0)),0))</f>
        <v/>
      </c>
    </row>
    <row r="6383" customFormat="false" ht="15" hidden="false" customHeight="false" outlineLevel="0" collapsed="false">
      <c r="A6383" s="103"/>
      <c r="B6383" s="104"/>
      <c r="C6383" s="104"/>
      <c r="E6383" s="107" t="str">
        <f aca="false">IF($C6383="","",IFERROR(INDEX(المنيو!$C$2:$C$500,MATCH($C6383,المنيو!$B$2:$B$500,0)),0))</f>
        <v/>
      </c>
      <c r="F6383" s="107" t="str">
        <f aca="false">IF($C6383="","",$D6383*$E6383)</f>
        <v/>
      </c>
      <c r="G6383" s="107" t="str">
        <f aca="false">IF($C6383="","",$D6383*IFERROR(INDEX('تحليل التكلفة والسعر'!$C$2:$C$700,MATCH($C6383,'تحليل التكلفة والسعر'!$B$2:$B$700,0)),0))</f>
        <v/>
      </c>
    </row>
    <row r="6384" customFormat="false" ht="15" hidden="false" customHeight="false" outlineLevel="0" collapsed="false">
      <c r="A6384" s="103"/>
      <c r="B6384" s="104"/>
      <c r="C6384" s="104"/>
      <c r="E6384" s="107" t="str">
        <f aca="false">IF($C6384="","",IFERROR(INDEX(المنيو!$C$2:$C$500,MATCH($C6384,المنيو!$B$2:$B$500,0)),0))</f>
        <v/>
      </c>
      <c r="F6384" s="107" t="str">
        <f aca="false">IF($C6384="","",$D6384*$E6384)</f>
        <v/>
      </c>
      <c r="G6384" s="107" t="str">
        <f aca="false">IF($C6384="","",$D6384*IFERROR(INDEX('تحليل التكلفة والسعر'!$C$2:$C$700,MATCH($C6384,'تحليل التكلفة والسعر'!$B$2:$B$700,0)),0))</f>
        <v/>
      </c>
    </row>
    <row r="6385" customFormat="false" ht="15" hidden="false" customHeight="false" outlineLevel="0" collapsed="false">
      <c r="A6385" s="103"/>
      <c r="B6385" s="104"/>
      <c r="C6385" s="104"/>
      <c r="E6385" s="107" t="str">
        <f aca="false">IF($C6385="","",IFERROR(INDEX(المنيو!$C$2:$C$500,MATCH($C6385,المنيو!$B$2:$B$500,0)),0))</f>
        <v/>
      </c>
      <c r="F6385" s="107" t="str">
        <f aca="false">IF($C6385="","",$D6385*$E6385)</f>
        <v/>
      </c>
      <c r="G6385" s="107" t="str">
        <f aca="false">IF($C6385="","",$D6385*IFERROR(INDEX('تحليل التكلفة والسعر'!$C$2:$C$700,MATCH($C6385,'تحليل التكلفة والسعر'!$B$2:$B$700,0)),0))</f>
        <v/>
      </c>
    </row>
    <row r="6386" customFormat="false" ht="15" hidden="false" customHeight="false" outlineLevel="0" collapsed="false">
      <c r="A6386" s="103"/>
      <c r="B6386" s="104"/>
      <c r="C6386" s="104"/>
      <c r="E6386" s="107" t="str">
        <f aca="false">IF($C6386="","",IFERROR(INDEX(المنيو!$C$2:$C$500,MATCH($C6386,المنيو!$B$2:$B$500,0)),0))</f>
        <v/>
      </c>
      <c r="F6386" s="107" t="str">
        <f aca="false">IF($C6386="","",$D6386*$E6386)</f>
        <v/>
      </c>
      <c r="G6386" s="107" t="str">
        <f aca="false">IF($C6386="","",$D6386*IFERROR(INDEX('تحليل التكلفة والسعر'!$C$2:$C$700,MATCH($C6386,'تحليل التكلفة والسعر'!$B$2:$B$700,0)),0))</f>
        <v/>
      </c>
    </row>
    <row r="6387" customFormat="false" ht="15" hidden="false" customHeight="false" outlineLevel="0" collapsed="false">
      <c r="A6387" s="103"/>
      <c r="B6387" s="104"/>
      <c r="C6387" s="104"/>
      <c r="E6387" s="107" t="str">
        <f aca="false">IF($C6387="","",IFERROR(INDEX(المنيو!$C$2:$C$500,MATCH($C6387,المنيو!$B$2:$B$500,0)),0))</f>
        <v/>
      </c>
      <c r="F6387" s="107" t="str">
        <f aca="false">IF($C6387="","",$D6387*$E6387)</f>
        <v/>
      </c>
      <c r="G6387" s="107" t="str">
        <f aca="false">IF($C6387="","",$D6387*IFERROR(INDEX('تحليل التكلفة والسعر'!$C$2:$C$700,MATCH($C6387,'تحليل التكلفة والسعر'!$B$2:$B$700,0)),0))</f>
        <v/>
      </c>
    </row>
    <row r="6388" customFormat="false" ht="15" hidden="false" customHeight="false" outlineLevel="0" collapsed="false">
      <c r="A6388" s="103"/>
      <c r="B6388" s="104"/>
      <c r="C6388" s="104"/>
      <c r="E6388" s="107" t="str">
        <f aca="false">IF($C6388="","",IFERROR(INDEX(المنيو!$C$2:$C$500,MATCH($C6388,المنيو!$B$2:$B$500,0)),0))</f>
        <v/>
      </c>
      <c r="F6388" s="107" t="str">
        <f aca="false">IF($C6388="","",$D6388*$E6388)</f>
        <v/>
      </c>
      <c r="G6388" s="107" t="str">
        <f aca="false">IF($C6388="","",$D6388*IFERROR(INDEX('تحليل التكلفة والسعر'!$C$2:$C$700,MATCH($C6388,'تحليل التكلفة والسعر'!$B$2:$B$700,0)),0))</f>
        <v/>
      </c>
    </row>
    <row r="6389" customFormat="false" ht="15" hidden="false" customHeight="false" outlineLevel="0" collapsed="false">
      <c r="A6389" s="103"/>
      <c r="B6389" s="104"/>
      <c r="C6389" s="104"/>
      <c r="E6389" s="107" t="str">
        <f aca="false">IF($C6389="","",IFERROR(INDEX(المنيو!$C$2:$C$500,MATCH($C6389,المنيو!$B$2:$B$500,0)),0))</f>
        <v/>
      </c>
      <c r="F6389" s="107" t="str">
        <f aca="false">IF($C6389="","",$D6389*$E6389)</f>
        <v/>
      </c>
      <c r="G6389" s="107" t="str">
        <f aca="false">IF($C6389="","",$D6389*IFERROR(INDEX('تحليل التكلفة والسعر'!$C$2:$C$700,MATCH($C6389,'تحليل التكلفة والسعر'!$B$2:$B$700,0)),0))</f>
        <v/>
      </c>
    </row>
    <row r="6390" customFormat="false" ht="15" hidden="false" customHeight="false" outlineLevel="0" collapsed="false">
      <c r="A6390" s="103"/>
      <c r="B6390" s="104"/>
      <c r="C6390" s="104"/>
      <c r="E6390" s="107" t="str">
        <f aca="false">IF($C6390="","",IFERROR(INDEX(المنيو!$C$2:$C$500,MATCH($C6390,المنيو!$B$2:$B$500,0)),0))</f>
        <v/>
      </c>
      <c r="F6390" s="107" t="str">
        <f aca="false">IF($C6390="","",$D6390*$E6390)</f>
        <v/>
      </c>
      <c r="G6390" s="107" t="str">
        <f aca="false">IF($C6390="","",$D6390*IFERROR(INDEX('تحليل التكلفة والسعر'!$C$2:$C$700,MATCH($C6390,'تحليل التكلفة والسعر'!$B$2:$B$700,0)),0))</f>
        <v/>
      </c>
    </row>
    <row r="6391" customFormat="false" ht="15" hidden="false" customHeight="false" outlineLevel="0" collapsed="false">
      <c r="A6391" s="103"/>
      <c r="B6391" s="104"/>
      <c r="C6391" s="104"/>
      <c r="E6391" s="107" t="str">
        <f aca="false">IF($C6391="","",IFERROR(INDEX(المنيو!$C$2:$C$500,MATCH($C6391,المنيو!$B$2:$B$500,0)),0))</f>
        <v/>
      </c>
      <c r="F6391" s="107" t="str">
        <f aca="false">IF($C6391="","",$D6391*$E6391)</f>
        <v/>
      </c>
      <c r="G6391" s="107" t="str">
        <f aca="false">IF($C6391="","",$D6391*IFERROR(INDEX('تحليل التكلفة والسعر'!$C$2:$C$700,MATCH($C6391,'تحليل التكلفة والسعر'!$B$2:$B$700,0)),0))</f>
        <v/>
      </c>
    </row>
    <row r="6392" customFormat="false" ht="15" hidden="false" customHeight="false" outlineLevel="0" collapsed="false">
      <c r="A6392" s="103"/>
      <c r="B6392" s="104"/>
      <c r="C6392" s="104"/>
      <c r="E6392" s="107" t="str">
        <f aca="false">IF($C6392="","",IFERROR(INDEX(المنيو!$C$2:$C$500,MATCH($C6392,المنيو!$B$2:$B$500,0)),0))</f>
        <v/>
      </c>
      <c r="F6392" s="107" t="str">
        <f aca="false">IF($C6392="","",$D6392*$E6392)</f>
        <v/>
      </c>
      <c r="G6392" s="107" t="str">
        <f aca="false">IF($C6392="","",$D6392*IFERROR(INDEX('تحليل التكلفة والسعر'!$C$2:$C$700,MATCH($C6392,'تحليل التكلفة والسعر'!$B$2:$B$700,0)),0))</f>
        <v/>
      </c>
    </row>
    <row r="6393" customFormat="false" ht="15" hidden="false" customHeight="false" outlineLevel="0" collapsed="false">
      <c r="A6393" s="103"/>
      <c r="B6393" s="104"/>
      <c r="C6393" s="104"/>
      <c r="E6393" s="107" t="str">
        <f aca="false">IF($C6393="","",IFERROR(INDEX(المنيو!$C$2:$C$500,MATCH($C6393,المنيو!$B$2:$B$500,0)),0))</f>
        <v/>
      </c>
      <c r="F6393" s="107" t="str">
        <f aca="false">IF($C6393="","",$D6393*$E6393)</f>
        <v/>
      </c>
      <c r="G6393" s="107" t="str">
        <f aca="false">IF($C6393="","",$D6393*IFERROR(INDEX('تحليل التكلفة والسعر'!$C$2:$C$700,MATCH($C6393,'تحليل التكلفة والسعر'!$B$2:$B$700,0)),0))</f>
        <v/>
      </c>
    </row>
    <row r="6394" customFormat="false" ht="15" hidden="false" customHeight="false" outlineLevel="0" collapsed="false">
      <c r="A6394" s="103"/>
      <c r="B6394" s="104"/>
      <c r="C6394" s="104"/>
      <c r="E6394" s="107" t="str">
        <f aca="false">IF($C6394="","",IFERROR(INDEX(المنيو!$C$2:$C$500,MATCH($C6394,المنيو!$B$2:$B$500,0)),0))</f>
        <v/>
      </c>
      <c r="F6394" s="107" t="str">
        <f aca="false">IF($C6394="","",$D6394*$E6394)</f>
        <v/>
      </c>
      <c r="G6394" s="107" t="str">
        <f aca="false">IF($C6394="","",$D6394*IFERROR(INDEX('تحليل التكلفة والسعر'!$C$2:$C$700,MATCH($C6394,'تحليل التكلفة والسعر'!$B$2:$B$700,0)),0))</f>
        <v/>
      </c>
    </row>
    <row r="6395" customFormat="false" ht="15" hidden="false" customHeight="false" outlineLevel="0" collapsed="false">
      <c r="A6395" s="103"/>
      <c r="B6395" s="104"/>
      <c r="C6395" s="104"/>
      <c r="E6395" s="107" t="str">
        <f aca="false">IF($C6395="","",IFERROR(INDEX(المنيو!$C$2:$C$500,MATCH($C6395,المنيو!$B$2:$B$500,0)),0))</f>
        <v/>
      </c>
      <c r="F6395" s="107" t="str">
        <f aca="false">IF($C6395="","",$D6395*$E6395)</f>
        <v/>
      </c>
      <c r="G6395" s="107" t="str">
        <f aca="false">IF($C6395="","",$D6395*IFERROR(INDEX('تحليل التكلفة والسعر'!$C$2:$C$700,MATCH($C6395,'تحليل التكلفة والسعر'!$B$2:$B$700,0)),0))</f>
        <v/>
      </c>
    </row>
    <row r="6396" customFormat="false" ht="15" hidden="false" customHeight="false" outlineLevel="0" collapsed="false">
      <c r="A6396" s="103"/>
      <c r="B6396" s="104"/>
      <c r="C6396" s="104"/>
      <c r="E6396" s="107" t="str">
        <f aca="false">IF($C6396="","",IFERROR(INDEX(المنيو!$C$2:$C$500,MATCH($C6396,المنيو!$B$2:$B$500,0)),0))</f>
        <v/>
      </c>
      <c r="F6396" s="107" t="str">
        <f aca="false">IF($C6396="","",$D6396*$E6396)</f>
        <v/>
      </c>
      <c r="G6396" s="107" t="str">
        <f aca="false">IF($C6396="","",$D6396*IFERROR(INDEX('تحليل التكلفة والسعر'!$C$2:$C$700,MATCH($C6396,'تحليل التكلفة والسعر'!$B$2:$B$700,0)),0))</f>
        <v/>
      </c>
    </row>
    <row r="6397" customFormat="false" ht="15" hidden="false" customHeight="false" outlineLevel="0" collapsed="false">
      <c r="A6397" s="103"/>
      <c r="B6397" s="104"/>
      <c r="C6397" s="104"/>
      <c r="E6397" s="107" t="str">
        <f aca="false">IF($C6397="","",IFERROR(INDEX(المنيو!$C$2:$C$500,MATCH($C6397,المنيو!$B$2:$B$500,0)),0))</f>
        <v/>
      </c>
      <c r="F6397" s="107" t="str">
        <f aca="false">IF($C6397="","",$D6397*$E6397)</f>
        <v/>
      </c>
      <c r="G6397" s="107" t="str">
        <f aca="false">IF($C6397="","",$D6397*IFERROR(INDEX('تحليل التكلفة والسعر'!$C$2:$C$700,MATCH($C6397,'تحليل التكلفة والسعر'!$B$2:$B$700,0)),0))</f>
        <v/>
      </c>
    </row>
    <row r="6398" customFormat="false" ht="15" hidden="false" customHeight="false" outlineLevel="0" collapsed="false">
      <c r="A6398" s="103"/>
      <c r="B6398" s="104"/>
      <c r="C6398" s="104"/>
      <c r="E6398" s="107" t="str">
        <f aca="false">IF($C6398="","",IFERROR(INDEX(المنيو!$C$2:$C$500,MATCH($C6398,المنيو!$B$2:$B$500,0)),0))</f>
        <v/>
      </c>
      <c r="F6398" s="107" t="str">
        <f aca="false">IF($C6398="","",$D6398*$E6398)</f>
        <v/>
      </c>
      <c r="G6398" s="107" t="str">
        <f aca="false">IF($C6398="","",$D6398*IFERROR(INDEX('تحليل التكلفة والسعر'!$C$2:$C$700,MATCH($C6398,'تحليل التكلفة والسعر'!$B$2:$B$700,0)),0))</f>
        <v/>
      </c>
    </row>
    <row r="6399" customFormat="false" ht="15" hidden="false" customHeight="false" outlineLevel="0" collapsed="false">
      <c r="A6399" s="103"/>
      <c r="B6399" s="104"/>
      <c r="C6399" s="104"/>
      <c r="E6399" s="107" t="str">
        <f aca="false">IF($C6399="","",IFERROR(INDEX(المنيو!$C$2:$C$500,MATCH($C6399,المنيو!$B$2:$B$500,0)),0))</f>
        <v/>
      </c>
      <c r="F6399" s="107" t="str">
        <f aca="false">IF($C6399="","",$D6399*$E6399)</f>
        <v/>
      </c>
      <c r="G6399" s="107" t="str">
        <f aca="false">IF($C6399="","",$D6399*IFERROR(INDEX('تحليل التكلفة والسعر'!$C$2:$C$700,MATCH($C6399,'تحليل التكلفة والسعر'!$B$2:$B$700,0)),0))</f>
        <v/>
      </c>
    </row>
    <row r="6400" customFormat="false" ht="15" hidden="false" customHeight="false" outlineLevel="0" collapsed="false">
      <c r="A6400" s="103"/>
      <c r="B6400" s="104"/>
      <c r="C6400" s="104"/>
      <c r="E6400" s="107" t="str">
        <f aca="false">IF($C6400="","",IFERROR(INDEX(المنيو!$C$2:$C$500,MATCH($C6400,المنيو!$B$2:$B$500,0)),0))</f>
        <v/>
      </c>
      <c r="F6400" s="107" t="str">
        <f aca="false">IF($C6400="","",$D6400*$E6400)</f>
        <v/>
      </c>
      <c r="G6400" s="107" t="str">
        <f aca="false">IF($C6400="","",$D6400*IFERROR(INDEX('تحليل التكلفة والسعر'!$C$2:$C$700,MATCH($C6400,'تحليل التكلفة والسعر'!$B$2:$B$700,0)),0))</f>
        <v/>
      </c>
    </row>
    <row r="6401" customFormat="false" ht="15" hidden="false" customHeight="false" outlineLevel="0" collapsed="false">
      <c r="A6401" s="103"/>
      <c r="B6401" s="104"/>
      <c r="C6401" s="104"/>
      <c r="E6401" s="107" t="str">
        <f aca="false">IF($C6401="","",IFERROR(INDEX(المنيو!$C$2:$C$500,MATCH($C6401,المنيو!$B$2:$B$500,0)),0))</f>
        <v/>
      </c>
      <c r="F6401" s="107" t="str">
        <f aca="false">IF($C6401="","",$D6401*$E6401)</f>
        <v/>
      </c>
      <c r="G6401" s="107" t="str">
        <f aca="false">IF($C6401="","",$D6401*IFERROR(INDEX('تحليل التكلفة والسعر'!$C$2:$C$700,MATCH($C6401,'تحليل التكلفة والسعر'!$B$2:$B$700,0)),0))</f>
        <v/>
      </c>
    </row>
    <row r="6402" customFormat="false" ht="15" hidden="false" customHeight="false" outlineLevel="0" collapsed="false">
      <c r="A6402" s="103"/>
      <c r="B6402" s="104"/>
      <c r="C6402" s="104"/>
      <c r="E6402" s="107" t="str">
        <f aca="false">IF($C6402="","",IFERROR(INDEX(المنيو!$C$2:$C$500,MATCH($C6402,المنيو!$B$2:$B$500,0)),0))</f>
        <v/>
      </c>
      <c r="F6402" s="107" t="str">
        <f aca="false">IF($C6402="","",$D6402*$E6402)</f>
        <v/>
      </c>
      <c r="G6402" s="107" t="str">
        <f aca="false">IF($C6402="","",$D6402*IFERROR(INDEX('تحليل التكلفة والسعر'!$C$2:$C$700,MATCH($C6402,'تحليل التكلفة والسعر'!$B$2:$B$700,0)),0))</f>
        <v/>
      </c>
    </row>
    <row r="6403" customFormat="false" ht="15" hidden="false" customHeight="false" outlineLevel="0" collapsed="false">
      <c r="A6403" s="103"/>
      <c r="B6403" s="104"/>
      <c r="C6403" s="104"/>
      <c r="E6403" s="107" t="str">
        <f aca="false">IF($C6403="","",IFERROR(INDEX(المنيو!$C$2:$C$500,MATCH($C6403,المنيو!$B$2:$B$500,0)),0))</f>
        <v/>
      </c>
      <c r="F6403" s="107" t="str">
        <f aca="false">IF($C6403="","",$D6403*$E6403)</f>
        <v/>
      </c>
      <c r="G6403" s="107" t="str">
        <f aca="false">IF($C6403="","",$D6403*IFERROR(INDEX('تحليل التكلفة والسعر'!$C$2:$C$700,MATCH($C6403,'تحليل التكلفة والسعر'!$B$2:$B$700,0)),0))</f>
        <v/>
      </c>
    </row>
    <row r="6404" customFormat="false" ht="15" hidden="false" customHeight="false" outlineLevel="0" collapsed="false">
      <c r="A6404" s="103"/>
      <c r="B6404" s="104"/>
      <c r="C6404" s="104"/>
      <c r="E6404" s="107" t="str">
        <f aca="false">IF($C6404="","",IFERROR(INDEX(المنيو!$C$2:$C$500,MATCH($C6404,المنيو!$B$2:$B$500,0)),0))</f>
        <v/>
      </c>
      <c r="F6404" s="107" t="str">
        <f aca="false">IF($C6404="","",$D6404*$E6404)</f>
        <v/>
      </c>
      <c r="G6404" s="107" t="str">
        <f aca="false">IF($C6404="","",$D6404*IFERROR(INDEX('تحليل التكلفة والسعر'!$C$2:$C$700,MATCH($C6404,'تحليل التكلفة والسعر'!$B$2:$B$700,0)),0))</f>
        <v/>
      </c>
    </row>
    <row r="6405" customFormat="false" ht="15" hidden="false" customHeight="false" outlineLevel="0" collapsed="false">
      <c r="A6405" s="103"/>
      <c r="B6405" s="104"/>
      <c r="C6405" s="104"/>
      <c r="E6405" s="107" t="str">
        <f aca="false">IF($C6405="","",IFERROR(INDEX(المنيو!$C$2:$C$500,MATCH($C6405,المنيو!$B$2:$B$500,0)),0))</f>
        <v/>
      </c>
      <c r="F6405" s="107" t="str">
        <f aca="false">IF($C6405="","",$D6405*$E6405)</f>
        <v/>
      </c>
      <c r="G6405" s="107" t="str">
        <f aca="false">IF($C6405="","",$D6405*IFERROR(INDEX('تحليل التكلفة والسعر'!$C$2:$C$700,MATCH($C6405,'تحليل التكلفة والسعر'!$B$2:$B$700,0)),0))</f>
        <v/>
      </c>
    </row>
    <row r="6406" customFormat="false" ht="15" hidden="false" customHeight="false" outlineLevel="0" collapsed="false">
      <c r="A6406" s="103"/>
      <c r="B6406" s="104"/>
      <c r="C6406" s="104"/>
      <c r="E6406" s="107" t="str">
        <f aca="false">IF($C6406="","",IFERROR(INDEX(المنيو!$C$2:$C$500,MATCH($C6406,المنيو!$B$2:$B$500,0)),0))</f>
        <v/>
      </c>
      <c r="F6406" s="107" t="str">
        <f aca="false">IF($C6406="","",$D6406*$E6406)</f>
        <v/>
      </c>
      <c r="G6406" s="107" t="str">
        <f aca="false">IF($C6406="","",$D6406*IFERROR(INDEX('تحليل التكلفة والسعر'!$C$2:$C$700,MATCH($C6406,'تحليل التكلفة والسعر'!$B$2:$B$700,0)),0))</f>
        <v/>
      </c>
    </row>
    <row r="6407" customFormat="false" ht="15" hidden="false" customHeight="false" outlineLevel="0" collapsed="false">
      <c r="A6407" s="103"/>
      <c r="B6407" s="104"/>
      <c r="C6407" s="104"/>
      <c r="E6407" s="107" t="str">
        <f aca="false">IF($C6407="","",IFERROR(INDEX(المنيو!$C$2:$C$500,MATCH($C6407,المنيو!$B$2:$B$500,0)),0))</f>
        <v/>
      </c>
      <c r="F6407" s="107" t="str">
        <f aca="false">IF($C6407="","",$D6407*$E6407)</f>
        <v/>
      </c>
      <c r="G6407" s="107" t="str">
        <f aca="false">IF($C6407="","",$D6407*IFERROR(INDEX('تحليل التكلفة والسعر'!$C$2:$C$700,MATCH($C6407,'تحليل التكلفة والسعر'!$B$2:$B$700,0)),0))</f>
        <v/>
      </c>
    </row>
    <row r="6408" customFormat="false" ht="15" hidden="false" customHeight="false" outlineLevel="0" collapsed="false">
      <c r="A6408" s="103"/>
      <c r="B6408" s="104"/>
      <c r="C6408" s="104"/>
      <c r="E6408" s="107" t="str">
        <f aca="false">IF($C6408="","",IFERROR(INDEX(المنيو!$C$2:$C$500,MATCH($C6408,المنيو!$B$2:$B$500,0)),0))</f>
        <v/>
      </c>
      <c r="F6408" s="107" t="str">
        <f aca="false">IF($C6408="","",$D6408*$E6408)</f>
        <v/>
      </c>
      <c r="G6408" s="107" t="str">
        <f aca="false">IF($C6408="","",$D6408*IFERROR(INDEX('تحليل التكلفة والسعر'!$C$2:$C$700,MATCH($C6408,'تحليل التكلفة والسعر'!$B$2:$B$700,0)),0))</f>
        <v/>
      </c>
    </row>
    <row r="6409" customFormat="false" ht="15" hidden="false" customHeight="false" outlineLevel="0" collapsed="false">
      <c r="A6409" s="103"/>
      <c r="B6409" s="104"/>
      <c r="C6409" s="104"/>
      <c r="E6409" s="107" t="str">
        <f aca="false">IF($C6409="","",IFERROR(INDEX(المنيو!$C$2:$C$500,MATCH($C6409,المنيو!$B$2:$B$500,0)),0))</f>
        <v/>
      </c>
      <c r="F6409" s="107" t="str">
        <f aca="false">IF($C6409="","",$D6409*$E6409)</f>
        <v/>
      </c>
      <c r="G6409" s="107" t="str">
        <f aca="false">IF($C6409="","",$D6409*IFERROR(INDEX('تحليل التكلفة والسعر'!$C$2:$C$700,MATCH($C6409,'تحليل التكلفة والسعر'!$B$2:$B$700,0)),0))</f>
        <v/>
      </c>
    </row>
    <row r="6410" customFormat="false" ht="15" hidden="false" customHeight="false" outlineLevel="0" collapsed="false">
      <c r="A6410" s="103"/>
      <c r="B6410" s="104"/>
      <c r="C6410" s="104"/>
      <c r="E6410" s="107" t="str">
        <f aca="false">IF($C6410="","",IFERROR(INDEX(المنيو!$C$2:$C$500,MATCH($C6410,المنيو!$B$2:$B$500,0)),0))</f>
        <v/>
      </c>
      <c r="F6410" s="107" t="str">
        <f aca="false">IF($C6410="","",$D6410*$E6410)</f>
        <v/>
      </c>
      <c r="G6410" s="107" t="str">
        <f aca="false">IF($C6410="","",$D6410*IFERROR(INDEX('تحليل التكلفة والسعر'!$C$2:$C$700,MATCH($C6410,'تحليل التكلفة والسعر'!$B$2:$B$700,0)),0))</f>
        <v/>
      </c>
    </row>
    <row r="6411" customFormat="false" ht="15" hidden="false" customHeight="false" outlineLevel="0" collapsed="false">
      <c r="A6411" s="103"/>
      <c r="B6411" s="104"/>
      <c r="C6411" s="104"/>
      <c r="E6411" s="107" t="str">
        <f aca="false">IF($C6411="","",IFERROR(INDEX(المنيو!$C$2:$C$500,MATCH($C6411,المنيو!$B$2:$B$500,0)),0))</f>
        <v/>
      </c>
      <c r="F6411" s="107" t="str">
        <f aca="false">IF($C6411="","",$D6411*$E6411)</f>
        <v/>
      </c>
      <c r="G6411" s="107" t="str">
        <f aca="false">IF($C6411="","",$D6411*IFERROR(INDEX('تحليل التكلفة والسعر'!$C$2:$C$700,MATCH($C6411,'تحليل التكلفة والسعر'!$B$2:$B$700,0)),0))</f>
        <v/>
      </c>
    </row>
    <row r="6412" customFormat="false" ht="15" hidden="false" customHeight="false" outlineLevel="0" collapsed="false">
      <c r="A6412" s="103"/>
      <c r="B6412" s="104"/>
      <c r="C6412" s="104"/>
      <c r="E6412" s="107" t="str">
        <f aca="false">IF($C6412="","",IFERROR(INDEX(المنيو!$C$2:$C$500,MATCH($C6412,المنيو!$B$2:$B$500,0)),0))</f>
        <v/>
      </c>
      <c r="F6412" s="107" t="str">
        <f aca="false">IF($C6412="","",$D6412*$E6412)</f>
        <v/>
      </c>
      <c r="G6412" s="107" t="str">
        <f aca="false">IF($C6412="","",$D6412*IFERROR(INDEX('تحليل التكلفة والسعر'!$C$2:$C$700,MATCH($C6412,'تحليل التكلفة والسعر'!$B$2:$B$700,0)),0))</f>
        <v/>
      </c>
    </row>
    <row r="6413" customFormat="false" ht="15" hidden="false" customHeight="false" outlineLevel="0" collapsed="false">
      <c r="A6413" s="103"/>
      <c r="B6413" s="104"/>
      <c r="C6413" s="104"/>
      <c r="E6413" s="107" t="str">
        <f aca="false">IF($C6413="","",IFERROR(INDEX(المنيو!$C$2:$C$500,MATCH($C6413,المنيو!$B$2:$B$500,0)),0))</f>
        <v/>
      </c>
      <c r="F6413" s="107" t="str">
        <f aca="false">IF($C6413="","",$D6413*$E6413)</f>
        <v/>
      </c>
      <c r="G6413" s="107" t="str">
        <f aca="false">IF($C6413="","",$D6413*IFERROR(INDEX('تحليل التكلفة والسعر'!$C$2:$C$700,MATCH($C6413,'تحليل التكلفة والسعر'!$B$2:$B$700,0)),0))</f>
        <v/>
      </c>
    </row>
    <row r="6414" customFormat="false" ht="15" hidden="false" customHeight="false" outlineLevel="0" collapsed="false">
      <c r="A6414" s="103"/>
      <c r="B6414" s="104"/>
      <c r="C6414" s="104"/>
      <c r="E6414" s="107" t="str">
        <f aca="false">IF($C6414="","",IFERROR(INDEX(المنيو!$C$2:$C$500,MATCH($C6414,المنيو!$B$2:$B$500,0)),0))</f>
        <v/>
      </c>
      <c r="F6414" s="107" t="str">
        <f aca="false">IF($C6414="","",$D6414*$E6414)</f>
        <v/>
      </c>
      <c r="G6414" s="107" t="str">
        <f aca="false">IF($C6414="","",$D6414*IFERROR(INDEX('تحليل التكلفة والسعر'!$C$2:$C$700,MATCH($C6414,'تحليل التكلفة والسعر'!$B$2:$B$700,0)),0))</f>
        <v/>
      </c>
    </row>
    <row r="6415" customFormat="false" ht="15" hidden="false" customHeight="false" outlineLevel="0" collapsed="false">
      <c r="A6415" s="103"/>
      <c r="B6415" s="104"/>
      <c r="C6415" s="104"/>
      <c r="E6415" s="107" t="str">
        <f aca="false">IF($C6415="","",IFERROR(INDEX(المنيو!$C$2:$C$500,MATCH($C6415,المنيو!$B$2:$B$500,0)),0))</f>
        <v/>
      </c>
      <c r="F6415" s="107" t="str">
        <f aca="false">IF($C6415="","",$D6415*$E6415)</f>
        <v/>
      </c>
      <c r="G6415" s="107" t="str">
        <f aca="false">IF($C6415="","",$D6415*IFERROR(INDEX('تحليل التكلفة والسعر'!$C$2:$C$700,MATCH($C6415,'تحليل التكلفة والسعر'!$B$2:$B$700,0)),0))</f>
        <v/>
      </c>
    </row>
    <row r="6416" customFormat="false" ht="15" hidden="false" customHeight="false" outlineLevel="0" collapsed="false">
      <c r="A6416" s="103"/>
      <c r="B6416" s="104"/>
      <c r="C6416" s="104"/>
      <c r="E6416" s="107" t="str">
        <f aca="false">IF($C6416="","",IFERROR(INDEX(المنيو!$C$2:$C$500,MATCH($C6416,المنيو!$B$2:$B$500,0)),0))</f>
        <v/>
      </c>
      <c r="F6416" s="107" t="str">
        <f aca="false">IF($C6416="","",$D6416*$E6416)</f>
        <v/>
      </c>
      <c r="G6416" s="107" t="str">
        <f aca="false">IF($C6416="","",$D6416*IFERROR(INDEX('تحليل التكلفة والسعر'!$C$2:$C$700,MATCH($C6416,'تحليل التكلفة والسعر'!$B$2:$B$700,0)),0))</f>
        <v/>
      </c>
    </row>
    <row r="6417" customFormat="false" ht="15" hidden="false" customHeight="false" outlineLevel="0" collapsed="false">
      <c r="A6417" s="103"/>
      <c r="B6417" s="104"/>
      <c r="C6417" s="104"/>
      <c r="E6417" s="107" t="str">
        <f aca="false">IF($C6417="","",IFERROR(INDEX(المنيو!$C$2:$C$500,MATCH($C6417,المنيو!$B$2:$B$500,0)),0))</f>
        <v/>
      </c>
      <c r="F6417" s="107" t="str">
        <f aca="false">IF($C6417="","",$D6417*$E6417)</f>
        <v/>
      </c>
      <c r="G6417" s="107" t="str">
        <f aca="false">IF($C6417="","",$D6417*IFERROR(INDEX('تحليل التكلفة والسعر'!$C$2:$C$700,MATCH($C6417,'تحليل التكلفة والسعر'!$B$2:$B$700,0)),0))</f>
        <v/>
      </c>
    </row>
    <row r="6418" customFormat="false" ht="15" hidden="false" customHeight="false" outlineLevel="0" collapsed="false">
      <c r="A6418" s="103"/>
      <c r="B6418" s="104"/>
      <c r="C6418" s="104"/>
      <c r="E6418" s="107" t="str">
        <f aca="false">IF($C6418="","",IFERROR(INDEX(المنيو!$C$2:$C$500,MATCH($C6418,المنيو!$B$2:$B$500,0)),0))</f>
        <v/>
      </c>
      <c r="F6418" s="107" t="str">
        <f aca="false">IF($C6418="","",$D6418*$E6418)</f>
        <v/>
      </c>
      <c r="G6418" s="107" t="str">
        <f aca="false">IF($C6418="","",$D6418*IFERROR(INDEX('تحليل التكلفة والسعر'!$C$2:$C$700,MATCH($C6418,'تحليل التكلفة والسعر'!$B$2:$B$700,0)),0))</f>
        <v/>
      </c>
    </row>
    <row r="6419" customFormat="false" ht="15" hidden="false" customHeight="false" outlineLevel="0" collapsed="false">
      <c r="A6419" s="103"/>
      <c r="B6419" s="104"/>
      <c r="C6419" s="104"/>
      <c r="E6419" s="107" t="str">
        <f aca="false">IF($C6419="","",IFERROR(INDEX(المنيو!$C$2:$C$500,MATCH($C6419,المنيو!$B$2:$B$500,0)),0))</f>
        <v/>
      </c>
      <c r="F6419" s="107" t="str">
        <f aca="false">IF($C6419="","",$D6419*$E6419)</f>
        <v/>
      </c>
      <c r="G6419" s="107" t="str">
        <f aca="false">IF($C6419="","",$D6419*IFERROR(INDEX('تحليل التكلفة والسعر'!$C$2:$C$700,MATCH($C6419,'تحليل التكلفة والسعر'!$B$2:$B$700,0)),0))</f>
        <v/>
      </c>
    </row>
    <row r="6420" customFormat="false" ht="15" hidden="false" customHeight="false" outlineLevel="0" collapsed="false">
      <c r="A6420" s="103"/>
      <c r="B6420" s="104"/>
      <c r="C6420" s="104"/>
      <c r="E6420" s="107" t="str">
        <f aca="false">IF($C6420="","",IFERROR(INDEX(المنيو!$C$2:$C$500,MATCH($C6420,المنيو!$B$2:$B$500,0)),0))</f>
        <v/>
      </c>
      <c r="F6420" s="107" t="str">
        <f aca="false">IF($C6420="","",$D6420*$E6420)</f>
        <v/>
      </c>
      <c r="G6420" s="107" t="str">
        <f aca="false">IF($C6420="","",$D6420*IFERROR(INDEX('تحليل التكلفة والسعر'!$C$2:$C$700,MATCH($C6420,'تحليل التكلفة والسعر'!$B$2:$B$700,0)),0))</f>
        <v/>
      </c>
    </row>
    <row r="6421" customFormat="false" ht="15" hidden="false" customHeight="false" outlineLevel="0" collapsed="false">
      <c r="A6421" s="103"/>
      <c r="B6421" s="104"/>
      <c r="C6421" s="104"/>
      <c r="E6421" s="107" t="str">
        <f aca="false">IF($C6421="","",IFERROR(INDEX(المنيو!$C$2:$C$500,MATCH($C6421,المنيو!$B$2:$B$500,0)),0))</f>
        <v/>
      </c>
      <c r="F6421" s="107" t="str">
        <f aca="false">IF($C6421="","",$D6421*$E6421)</f>
        <v/>
      </c>
      <c r="G6421" s="107" t="str">
        <f aca="false">IF($C6421="","",$D6421*IFERROR(INDEX('تحليل التكلفة والسعر'!$C$2:$C$700,MATCH($C6421,'تحليل التكلفة والسعر'!$B$2:$B$700,0)),0))</f>
        <v/>
      </c>
    </row>
    <row r="6422" customFormat="false" ht="15" hidden="false" customHeight="false" outlineLevel="0" collapsed="false">
      <c r="A6422" s="103"/>
      <c r="B6422" s="104"/>
      <c r="C6422" s="104"/>
      <c r="E6422" s="107" t="str">
        <f aca="false">IF($C6422="","",IFERROR(INDEX(المنيو!$C$2:$C$500,MATCH($C6422,المنيو!$B$2:$B$500,0)),0))</f>
        <v/>
      </c>
      <c r="F6422" s="107" t="str">
        <f aca="false">IF($C6422="","",$D6422*$E6422)</f>
        <v/>
      </c>
      <c r="G6422" s="107" t="str">
        <f aca="false">IF($C6422="","",$D6422*IFERROR(INDEX('تحليل التكلفة والسعر'!$C$2:$C$700,MATCH($C6422,'تحليل التكلفة والسعر'!$B$2:$B$700,0)),0))</f>
        <v/>
      </c>
    </row>
    <row r="6423" customFormat="false" ht="15" hidden="false" customHeight="false" outlineLevel="0" collapsed="false">
      <c r="A6423" s="103"/>
      <c r="B6423" s="104"/>
      <c r="C6423" s="104"/>
      <c r="E6423" s="107" t="str">
        <f aca="false">IF($C6423="","",IFERROR(INDEX(المنيو!$C$2:$C$500,MATCH($C6423,المنيو!$B$2:$B$500,0)),0))</f>
        <v/>
      </c>
      <c r="F6423" s="107" t="str">
        <f aca="false">IF($C6423="","",$D6423*$E6423)</f>
        <v/>
      </c>
      <c r="G6423" s="107" t="str">
        <f aca="false">IF($C6423="","",$D6423*IFERROR(INDEX('تحليل التكلفة والسعر'!$C$2:$C$700,MATCH($C6423,'تحليل التكلفة والسعر'!$B$2:$B$700,0)),0))</f>
        <v/>
      </c>
    </row>
    <row r="6424" customFormat="false" ht="15" hidden="false" customHeight="false" outlineLevel="0" collapsed="false">
      <c r="A6424" s="103"/>
      <c r="B6424" s="104"/>
      <c r="C6424" s="104"/>
      <c r="E6424" s="107" t="str">
        <f aca="false">IF($C6424="","",IFERROR(INDEX(المنيو!$C$2:$C$500,MATCH($C6424,المنيو!$B$2:$B$500,0)),0))</f>
        <v/>
      </c>
      <c r="F6424" s="107" t="str">
        <f aca="false">IF($C6424="","",$D6424*$E6424)</f>
        <v/>
      </c>
      <c r="G6424" s="107" t="str">
        <f aca="false">IF($C6424="","",$D6424*IFERROR(INDEX('تحليل التكلفة والسعر'!$C$2:$C$700,MATCH($C6424,'تحليل التكلفة والسعر'!$B$2:$B$700,0)),0))</f>
        <v/>
      </c>
    </row>
    <row r="6425" customFormat="false" ht="15" hidden="false" customHeight="false" outlineLevel="0" collapsed="false">
      <c r="A6425" s="103"/>
      <c r="B6425" s="104"/>
      <c r="C6425" s="104"/>
      <c r="E6425" s="107" t="str">
        <f aca="false">IF($C6425="","",IFERROR(INDEX(المنيو!$C$2:$C$500,MATCH($C6425,المنيو!$B$2:$B$500,0)),0))</f>
        <v/>
      </c>
      <c r="F6425" s="107" t="str">
        <f aca="false">IF($C6425="","",$D6425*$E6425)</f>
        <v/>
      </c>
      <c r="G6425" s="107" t="str">
        <f aca="false">IF($C6425="","",$D6425*IFERROR(INDEX('تحليل التكلفة والسعر'!$C$2:$C$700,MATCH($C6425,'تحليل التكلفة والسعر'!$B$2:$B$700,0)),0))</f>
        <v/>
      </c>
    </row>
    <row r="6426" customFormat="false" ht="15" hidden="false" customHeight="false" outlineLevel="0" collapsed="false">
      <c r="A6426" s="103"/>
      <c r="B6426" s="104"/>
      <c r="C6426" s="104"/>
      <c r="E6426" s="107" t="str">
        <f aca="false">IF($C6426="","",IFERROR(INDEX(المنيو!$C$2:$C$500,MATCH($C6426,المنيو!$B$2:$B$500,0)),0))</f>
        <v/>
      </c>
      <c r="F6426" s="107" t="str">
        <f aca="false">IF($C6426="","",$D6426*$E6426)</f>
        <v/>
      </c>
      <c r="G6426" s="107" t="str">
        <f aca="false">IF($C6426="","",$D6426*IFERROR(INDEX('تحليل التكلفة والسعر'!$C$2:$C$700,MATCH($C6426,'تحليل التكلفة والسعر'!$B$2:$B$700,0)),0))</f>
        <v/>
      </c>
    </row>
    <row r="6427" customFormat="false" ht="15" hidden="false" customHeight="false" outlineLevel="0" collapsed="false">
      <c r="A6427" s="103"/>
      <c r="B6427" s="104"/>
      <c r="C6427" s="104"/>
      <c r="E6427" s="107" t="str">
        <f aca="false">IF($C6427="","",IFERROR(INDEX(المنيو!$C$2:$C$500,MATCH($C6427,المنيو!$B$2:$B$500,0)),0))</f>
        <v/>
      </c>
      <c r="F6427" s="107" t="str">
        <f aca="false">IF($C6427="","",$D6427*$E6427)</f>
        <v/>
      </c>
      <c r="G6427" s="107" t="str">
        <f aca="false">IF($C6427="","",$D6427*IFERROR(INDEX('تحليل التكلفة والسعر'!$C$2:$C$700,MATCH($C6427,'تحليل التكلفة والسعر'!$B$2:$B$700,0)),0))</f>
        <v/>
      </c>
    </row>
    <row r="6428" customFormat="false" ht="15" hidden="false" customHeight="false" outlineLevel="0" collapsed="false">
      <c r="A6428" s="103"/>
      <c r="B6428" s="104"/>
      <c r="C6428" s="104"/>
      <c r="E6428" s="107" t="str">
        <f aca="false">IF($C6428="","",IFERROR(INDEX(المنيو!$C$2:$C$500,MATCH($C6428,المنيو!$B$2:$B$500,0)),0))</f>
        <v/>
      </c>
      <c r="F6428" s="107" t="str">
        <f aca="false">IF($C6428="","",$D6428*$E6428)</f>
        <v/>
      </c>
      <c r="G6428" s="107" t="str">
        <f aca="false">IF($C6428="","",$D6428*IFERROR(INDEX('تحليل التكلفة والسعر'!$C$2:$C$700,MATCH($C6428,'تحليل التكلفة والسعر'!$B$2:$B$700,0)),0))</f>
        <v/>
      </c>
    </row>
    <row r="6429" customFormat="false" ht="15" hidden="false" customHeight="false" outlineLevel="0" collapsed="false">
      <c r="A6429" s="103"/>
      <c r="B6429" s="104"/>
      <c r="C6429" s="104"/>
      <c r="E6429" s="107" t="str">
        <f aca="false">IF($C6429="","",IFERROR(INDEX(المنيو!$C$2:$C$500,MATCH($C6429,المنيو!$B$2:$B$500,0)),0))</f>
        <v/>
      </c>
      <c r="F6429" s="107" t="str">
        <f aca="false">IF($C6429="","",$D6429*$E6429)</f>
        <v/>
      </c>
      <c r="G6429" s="107" t="str">
        <f aca="false">IF($C6429="","",$D6429*IFERROR(INDEX('تحليل التكلفة والسعر'!$C$2:$C$700,MATCH($C6429,'تحليل التكلفة والسعر'!$B$2:$B$700,0)),0))</f>
        <v/>
      </c>
    </row>
    <row r="6430" customFormat="false" ht="15" hidden="false" customHeight="false" outlineLevel="0" collapsed="false">
      <c r="A6430" s="103"/>
      <c r="B6430" s="104"/>
      <c r="C6430" s="104"/>
      <c r="E6430" s="107" t="str">
        <f aca="false">IF($C6430="","",IFERROR(INDEX(المنيو!$C$2:$C$500,MATCH($C6430,المنيو!$B$2:$B$500,0)),0))</f>
        <v/>
      </c>
      <c r="F6430" s="107" t="str">
        <f aca="false">IF($C6430="","",$D6430*$E6430)</f>
        <v/>
      </c>
      <c r="G6430" s="107" t="str">
        <f aca="false">IF($C6430="","",$D6430*IFERROR(INDEX('تحليل التكلفة والسعر'!$C$2:$C$700,MATCH($C6430,'تحليل التكلفة والسعر'!$B$2:$B$700,0)),0))</f>
        <v/>
      </c>
    </row>
    <row r="6431" customFormat="false" ht="15" hidden="false" customHeight="false" outlineLevel="0" collapsed="false">
      <c r="A6431" s="103"/>
      <c r="B6431" s="104"/>
      <c r="C6431" s="104"/>
      <c r="E6431" s="107" t="str">
        <f aca="false">IF($C6431="","",IFERROR(INDEX(المنيو!$C$2:$C$500,MATCH($C6431,المنيو!$B$2:$B$500,0)),0))</f>
        <v/>
      </c>
      <c r="F6431" s="107" t="str">
        <f aca="false">IF($C6431="","",$D6431*$E6431)</f>
        <v/>
      </c>
      <c r="G6431" s="107" t="str">
        <f aca="false">IF($C6431="","",$D6431*IFERROR(INDEX('تحليل التكلفة والسعر'!$C$2:$C$700,MATCH($C6431,'تحليل التكلفة والسعر'!$B$2:$B$700,0)),0))</f>
        <v/>
      </c>
    </row>
    <row r="6432" customFormat="false" ht="15" hidden="false" customHeight="false" outlineLevel="0" collapsed="false">
      <c r="A6432" s="103"/>
      <c r="B6432" s="104"/>
      <c r="C6432" s="104"/>
      <c r="E6432" s="107" t="str">
        <f aca="false">IF($C6432="","",IFERROR(INDEX(المنيو!$C$2:$C$500,MATCH($C6432,المنيو!$B$2:$B$500,0)),0))</f>
        <v/>
      </c>
      <c r="F6432" s="107" t="str">
        <f aca="false">IF($C6432="","",$D6432*$E6432)</f>
        <v/>
      </c>
      <c r="G6432" s="107" t="str">
        <f aca="false">IF($C6432="","",$D6432*IFERROR(INDEX('تحليل التكلفة والسعر'!$C$2:$C$700,MATCH($C6432,'تحليل التكلفة والسعر'!$B$2:$B$700,0)),0))</f>
        <v/>
      </c>
    </row>
    <row r="6433" customFormat="false" ht="15" hidden="false" customHeight="false" outlineLevel="0" collapsed="false">
      <c r="A6433" s="103"/>
      <c r="B6433" s="104"/>
      <c r="C6433" s="104"/>
      <c r="E6433" s="107" t="str">
        <f aca="false">IF($C6433="","",IFERROR(INDEX(المنيو!$C$2:$C$500,MATCH($C6433,المنيو!$B$2:$B$500,0)),0))</f>
        <v/>
      </c>
      <c r="F6433" s="107" t="str">
        <f aca="false">IF($C6433="","",$D6433*$E6433)</f>
        <v/>
      </c>
      <c r="G6433" s="107" t="str">
        <f aca="false">IF($C6433="","",$D6433*IFERROR(INDEX('تحليل التكلفة والسعر'!$C$2:$C$700,MATCH($C6433,'تحليل التكلفة والسعر'!$B$2:$B$700,0)),0))</f>
        <v/>
      </c>
    </row>
    <row r="6434" customFormat="false" ht="15" hidden="false" customHeight="false" outlineLevel="0" collapsed="false">
      <c r="A6434" s="103"/>
      <c r="B6434" s="104"/>
      <c r="C6434" s="104"/>
      <c r="E6434" s="107" t="str">
        <f aca="false">IF($C6434="","",IFERROR(INDEX(المنيو!$C$2:$C$500,MATCH($C6434,المنيو!$B$2:$B$500,0)),0))</f>
        <v/>
      </c>
      <c r="F6434" s="107" t="str">
        <f aca="false">IF($C6434="","",$D6434*$E6434)</f>
        <v/>
      </c>
      <c r="G6434" s="107" t="str">
        <f aca="false">IF($C6434="","",$D6434*IFERROR(INDEX('تحليل التكلفة والسعر'!$C$2:$C$700,MATCH($C6434,'تحليل التكلفة والسعر'!$B$2:$B$700,0)),0))</f>
        <v/>
      </c>
    </row>
    <row r="6435" customFormat="false" ht="15" hidden="false" customHeight="false" outlineLevel="0" collapsed="false">
      <c r="A6435" s="103"/>
      <c r="B6435" s="104"/>
      <c r="C6435" s="104"/>
      <c r="E6435" s="107" t="str">
        <f aca="false">IF($C6435="","",IFERROR(INDEX(المنيو!$C$2:$C$500,MATCH($C6435,المنيو!$B$2:$B$500,0)),0))</f>
        <v/>
      </c>
      <c r="F6435" s="107" t="str">
        <f aca="false">IF($C6435="","",$D6435*$E6435)</f>
        <v/>
      </c>
      <c r="G6435" s="107" t="str">
        <f aca="false">IF($C6435="","",$D6435*IFERROR(INDEX('تحليل التكلفة والسعر'!$C$2:$C$700,MATCH($C6435,'تحليل التكلفة والسعر'!$B$2:$B$700,0)),0))</f>
        <v/>
      </c>
    </row>
    <row r="6436" customFormat="false" ht="15" hidden="false" customHeight="false" outlineLevel="0" collapsed="false">
      <c r="A6436" s="103"/>
      <c r="B6436" s="104"/>
      <c r="C6436" s="104"/>
      <c r="E6436" s="107" t="str">
        <f aca="false">IF($C6436="","",IFERROR(INDEX(المنيو!$C$2:$C$500,MATCH($C6436,المنيو!$B$2:$B$500,0)),0))</f>
        <v/>
      </c>
      <c r="F6436" s="107" t="str">
        <f aca="false">IF($C6436="","",$D6436*$E6436)</f>
        <v/>
      </c>
      <c r="G6436" s="107" t="str">
        <f aca="false">IF($C6436="","",$D6436*IFERROR(INDEX('تحليل التكلفة والسعر'!$C$2:$C$700,MATCH($C6436,'تحليل التكلفة والسعر'!$B$2:$B$700,0)),0))</f>
        <v/>
      </c>
    </row>
    <row r="6437" customFormat="false" ht="15" hidden="false" customHeight="false" outlineLevel="0" collapsed="false">
      <c r="A6437" s="103"/>
      <c r="B6437" s="104"/>
      <c r="C6437" s="104"/>
      <c r="E6437" s="107" t="str">
        <f aca="false">IF($C6437="","",IFERROR(INDEX(المنيو!$C$2:$C$500,MATCH($C6437,المنيو!$B$2:$B$500,0)),0))</f>
        <v/>
      </c>
      <c r="F6437" s="107" t="str">
        <f aca="false">IF($C6437="","",$D6437*$E6437)</f>
        <v/>
      </c>
      <c r="G6437" s="107" t="str">
        <f aca="false">IF($C6437="","",$D6437*IFERROR(INDEX('تحليل التكلفة والسعر'!$C$2:$C$700,MATCH($C6437,'تحليل التكلفة والسعر'!$B$2:$B$700,0)),0))</f>
        <v/>
      </c>
    </row>
    <row r="6438" customFormat="false" ht="15" hidden="false" customHeight="false" outlineLevel="0" collapsed="false">
      <c r="A6438" s="103"/>
      <c r="B6438" s="104"/>
      <c r="C6438" s="104"/>
      <c r="E6438" s="107" t="str">
        <f aca="false">IF($C6438="","",IFERROR(INDEX(المنيو!$C$2:$C$500,MATCH($C6438,المنيو!$B$2:$B$500,0)),0))</f>
        <v/>
      </c>
      <c r="F6438" s="107" t="str">
        <f aca="false">IF($C6438="","",$D6438*$E6438)</f>
        <v/>
      </c>
      <c r="G6438" s="107" t="str">
        <f aca="false">IF($C6438="","",$D6438*IFERROR(INDEX('تحليل التكلفة والسعر'!$C$2:$C$700,MATCH($C6438,'تحليل التكلفة والسعر'!$B$2:$B$700,0)),0))</f>
        <v/>
      </c>
    </row>
    <row r="6439" customFormat="false" ht="15" hidden="false" customHeight="false" outlineLevel="0" collapsed="false">
      <c r="A6439" s="103"/>
      <c r="B6439" s="104"/>
      <c r="C6439" s="104"/>
      <c r="E6439" s="107" t="str">
        <f aca="false">IF($C6439="","",IFERROR(INDEX(المنيو!$C$2:$C$500,MATCH($C6439,المنيو!$B$2:$B$500,0)),0))</f>
        <v/>
      </c>
      <c r="F6439" s="107" t="str">
        <f aca="false">IF($C6439="","",$D6439*$E6439)</f>
        <v/>
      </c>
      <c r="G6439" s="107" t="str">
        <f aca="false">IF($C6439="","",$D6439*IFERROR(INDEX('تحليل التكلفة والسعر'!$C$2:$C$700,MATCH($C6439,'تحليل التكلفة والسعر'!$B$2:$B$700,0)),0))</f>
        <v/>
      </c>
    </row>
    <row r="6440" customFormat="false" ht="15" hidden="false" customHeight="false" outlineLevel="0" collapsed="false">
      <c r="A6440" s="103"/>
      <c r="B6440" s="104"/>
      <c r="C6440" s="104"/>
      <c r="E6440" s="107" t="str">
        <f aca="false">IF($C6440="","",IFERROR(INDEX(المنيو!$C$2:$C$500,MATCH($C6440,المنيو!$B$2:$B$500,0)),0))</f>
        <v/>
      </c>
      <c r="F6440" s="107" t="str">
        <f aca="false">IF($C6440="","",$D6440*$E6440)</f>
        <v/>
      </c>
      <c r="G6440" s="107" t="str">
        <f aca="false">IF($C6440="","",$D6440*IFERROR(INDEX('تحليل التكلفة والسعر'!$C$2:$C$700,MATCH($C6440,'تحليل التكلفة والسعر'!$B$2:$B$700,0)),0))</f>
        <v/>
      </c>
    </row>
    <row r="6441" customFormat="false" ht="15" hidden="false" customHeight="false" outlineLevel="0" collapsed="false">
      <c r="A6441" s="103"/>
      <c r="B6441" s="104"/>
      <c r="C6441" s="104"/>
      <c r="E6441" s="107" t="str">
        <f aca="false">IF($C6441="","",IFERROR(INDEX(المنيو!$C$2:$C$500,MATCH($C6441,المنيو!$B$2:$B$500,0)),0))</f>
        <v/>
      </c>
      <c r="F6441" s="107" t="str">
        <f aca="false">IF($C6441="","",$D6441*$E6441)</f>
        <v/>
      </c>
      <c r="G6441" s="107" t="str">
        <f aca="false">IF($C6441="","",$D6441*IFERROR(INDEX('تحليل التكلفة والسعر'!$C$2:$C$700,MATCH($C6441,'تحليل التكلفة والسعر'!$B$2:$B$700,0)),0))</f>
        <v/>
      </c>
    </row>
    <row r="6442" customFormat="false" ht="15" hidden="false" customHeight="false" outlineLevel="0" collapsed="false">
      <c r="A6442" s="103"/>
      <c r="B6442" s="104"/>
      <c r="C6442" s="104"/>
      <c r="E6442" s="107" t="str">
        <f aca="false">IF($C6442="","",IFERROR(INDEX(المنيو!$C$2:$C$500,MATCH($C6442,المنيو!$B$2:$B$500,0)),0))</f>
        <v/>
      </c>
      <c r="F6442" s="107" t="str">
        <f aca="false">IF($C6442="","",$D6442*$E6442)</f>
        <v/>
      </c>
      <c r="G6442" s="107" t="str">
        <f aca="false">IF($C6442="","",$D6442*IFERROR(INDEX('تحليل التكلفة والسعر'!$C$2:$C$700,MATCH($C6442,'تحليل التكلفة والسعر'!$B$2:$B$700,0)),0))</f>
        <v/>
      </c>
    </row>
    <row r="6443" customFormat="false" ht="15" hidden="false" customHeight="false" outlineLevel="0" collapsed="false">
      <c r="A6443" s="103"/>
      <c r="B6443" s="104"/>
      <c r="C6443" s="104"/>
      <c r="E6443" s="107" t="str">
        <f aca="false">IF($C6443="","",IFERROR(INDEX(المنيو!$C$2:$C$500,MATCH($C6443,المنيو!$B$2:$B$500,0)),0))</f>
        <v/>
      </c>
      <c r="F6443" s="107" t="str">
        <f aca="false">IF($C6443="","",$D6443*$E6443)</f>
        <v/>
      </c>
      <c r="G6443" s="107" t="str">
        <f aca="false">IF($C6443="","",$D6443*IFERROR(INDEX('تحليل التكلفة والسعر'!$C$2:$C$700,MATCH($C6443,'تحليل التكلفة والسعر'!$B$2:$B$700,0)),0))</f>
        <v/>
      </c>
    </row>
    <row r="6444" customFormat="false" ht="15" hidden="false" customHeight="false" outlineLevel="0" collapsed="false">
      <c r="A6444" s="103"/>
      <c r="B6444" s="104"/>
      <c r="C6444" s="104"/>
      <c r="E6444" s="107" t="str">
        <f aca="false">IF($C6444="","",IFERROR(INDEX(المنيو!$C$2:$C$500,MATCH($C6444,المنيو!$B$2:$B$500,0)),0))</f>
        <v/>
      </c>
      <c r="F6444" s="107" t="str">
        <f aca="false">IF($C6444="","",$D6444*$E6444)</f>
        <v/>
      </c>
      <c r="G6444" s="107" t="str">
        <f aca="false">IF($C6444="","",$D6444*IFERROR(INDEX('تحليل التكلفة والسعر'!$C$2:$C$700,MATCH($C6444,'تحليل التكلفة والسعر'!$B$2:$B$700,0)),0))</f>
        <v/>
      </c>
    </row>
    <row r="6445" customFormat="false" ht="15" hidden="false" customHeight="false" outlineLevel="0" collapsed="false">
      <c r="A6445" s="103"/>
      <c r="B6445" s="104"/>
      <c r="C6445" s="104"/>
      <c r="E6445" s="107" t="str">
        <f aca="false">IF($C6445="","",IFERROR(INDEX(المنيو!$C$2:$C$500,MATCH($C6445,المنيو!$B$2:$B$500,0)),0))</f>
        <v/>
      </c>
      <c r="F6445" s="107" t="str">
        <f aca="false">IF($C6445="","",$D6445*$E6445)</f>
        <v/>
      </c>
      <c r="G6445" s="107" t="str">
        <f aca="false">IF($C6445="","",$D6445*IFERROR(INDEX('تحليل التكلفة والسعر'!$C$2:$C$700,MATCH($C6445,'تحليل التكلفة والسعر'!$B$2:$B$700,0)),0))</f>
        <v/>
      </c>
    </row>
    <row r="6446" customFormat="false" ht="15" hidden="false" customHeight="false" outlineLevel="0" collapsed="false">
      <c r="A6446" s="103"/>
      <c r="B6446" s="104"/>
      <c r="C6446" s="104"/>
      <c r="E6446" s="107" t="str">
        <f aca="false">IF($C6446="","",IFERROR(INDEX(المنيو!$C$2:$C$500,MATCH($C6446,المنيو!$B$2:$B$500,0)),0))</f>
        <v/>
      </c>
      <c r="F6446" s="107" t="str">
        <f aca="false">IF($C6446="","",$D6446*$E6446)</f>
        <v/>
      </c>
      <c r="G6446" s="107" t="str">
        <f aca="false">IF($C6446="","",$D6446*IFERROR(INDEX('تحليل التكلفة والسعر'!$C$2:$C$700,MATCH($C6446,'تحليل التكلفة والسعر'!$B$2:$B$700,0)),0))</f>
        <v/>
      </c>
    </row>
    <row r="6447" customFormat="false" ht="15" hidden="false" customHeight="false" outlineLevel="0" collapsed="false">
      <c r="A6447" s="103"/>
      <c r="B6447" s="104"/>
      <c r="C6447" s="104"/>
      <c r="E6447" s="107" t="str">
        <f aca="false">IF($C6447="","",IFERROR(INDEX(المنيو!$C$2:$C$500,MATCH($C6447,المنيو!$B$2:$B$500,0)),0))</f>
        <v/>
      </c>
      <c r="F6447" s="107" t="str">
        <f aca="false">IF($C6447="","",$D6447*$E6447)</f>
        <v/>
      </c>
      <c r="G6447" s="107" t="str">
        <f aca="false">IF($C6447="","",$D6447*IFERROR(INDEX('تحليل التكلفة والسعر'!$C$2:$C$700,MATCH($C6447,'تحليل التكلفة والسعر'!$B$2:$B$700,0)),0))</f>
        <v/>
      </c>
    </row>
    <row r="6448" customFormat="false" ht="15" hidden="false" customHeight="false" outlineLevel="0" collapsed="false">
      <c r="A6448" s="103"/>
      <c r="B6448" s="104"/>
      <c r="C6448" s="104"/>
      <c r="E6448" s="107" t="str">
        <f aca="false">IF($C6448="","",IFERROR(INDEX(المنيو!$C$2:$C$500,MATCH($C6448,المنيو!$B$2:$B$500,0)),0))</f>
        <v/>
      </c>
      <c r="F6448" s="107" t="str">
        <f aca="false">IF($C6448="","",$D6448*$E6448)</f>
        <v/>
      </c>
      <c r="G6448" s="107" t="str">
        <f aca="false">IF($C6448="","",$D6448*IFERROR(INDEX('تحليل التكلفة والسعر'!$C$2:$C$700,MATCH($C6448,'تحليل التكلفة والسعر'!$B$2:$B$700,0)),0))</f>
        <v/>
      </c>
    </row>
    <row r="6449" customFormat="false" ht="15" hidden="false" customHeight="false" outlineLevel="0" collapsed="false">
      <c r="A6449" s="103"/>
      <c r="B6449" s="104"/>
      <c r="C6449" s="104"/>
      <c r="E6449" s="107" t="str">
        <f aca="false">IF($C6449="","",IFERROR(INDEX(المنيو!$C$2:$C$500,MATCH($C6449,المنيو!$B$2:$B$500,0)),0))</f>
        <v/>
      </c>
      <c r="F6449" s="107" t="str">
        <f aca="false">IF($C6449="","",$D6449*$E6449)</f>
        <v/>
      </c>
      <c r="G6449" s="107" t="str">
        <f aca="false">IF($C6449="","",$D6449*IFERROR(INDEX('تحليل التكلفة والسعر'!$C$2:$C$700,MATCH($C6449,'تحليل التكلفة والسعر'!$B$2:$B$700,0)),0))</f>
        <v/>
      </c>
    </row>
    <row r="6450" customFormat="false" ht="15" hidden="false" customHeight="false" outlineLevel="0" collapsed="false">
      <c r="A6450" s="103"/>
      <c r="B6450" s="104"/>
      <c r="C6450" s="104"/>
      <c r="E6450" s="107" t="str">
        <f aca="false">IF($C6450="","",IFERROR(INDEX(المنيو!$C$2:$C$500,MATCH($C6450,المنيو!$B$2:$B$500,0)),0))</f>
        <v/>
      </c>
      <c r="F6450" s="107" t="str">
        <f aca="false">IF($C6450="","",$D6450*$E6450)</f>
        <v/>
      </c>
      <c r="G6450" s="107" t="str">
        <f aca="false">IF($C6450="","",$D6450*IFERROR(INDEX('تحليل التكلفة والسعر'!$C$2:$C$700,MATCH($C6450,'تحليل التكلفة والسعر'!$B$2:$B$700,0)),0))</f>
        <v/>
      </c>
    </row>
    <row r="6451" customFormat="false" ht="15" hidden="false" customHeight="false" outlineLevel="0" collapsed="false">
      <c r="A6451" s="103"/>
      <c r="B6451" s="104"/>
      <c r="C6451" s="104"/>
      <c r="E6451" s="107" t="str">
        <f aca="false">IF($C6451="","",IFERROR(INDEX(المنيو!$C$2:$C$500,MATCH($C6451,المنيو!$B$2:$B$500,0)),0))</f>
        <v/>
      </c>
      <c r="F6451" s="107" t="str">
        <f aca="false">IF($C6451="","",$D6451*$E6451)</f>
        <v/>
      </c>
      <c r="G6451" s="107" t="str">
        <f aca="false">IF($C6451="","",$D6451*IFERROR(INDEX('تحليل التكلفة والسعر'!$C$2:$C$700,MATCH($C6451,'تحليل التكلفة والسعر'!$B$2:$B$700,0)),0))</f>
        <v/>
      </c>
    </row>
    <row r="6452" customFormat="false" ht="15" hidden="false" customHeight="false" outlineLevel="0" collapsed="false">
      <c r="A6452" s="103"/>
      <c r="B6452" s="104"/>
      <c r="C6452" s="104"/>
      <c r="E6452" s="107" t="str">
        <f aca="false">IF($C6452="","",IFERROR(INDEX(المنيو!$C$2:$C$500,MATCH($C6452,المنيو!$B$2:$B$500,0)),0))</f>
        <v/>
      </c>
      <c r="F6452" s="107" t="str">
        <f aca="false">IF($C6452="","",$D6452*$E6452)</f>
        <v/>
      </c>
      <c r="G6452" s="107" t="str">
        <f aca="false">IF($C6452="","",$D6452*IFERROR(INDEX('تحليل التكلفة والسعر'!$C$2:$C$700,MATCH($C6452,'تحليل التكلفة والسعر'!$B$2:$B$700,0)),0))</f>
        <v/>
      </c>
    </row>
    <row r="6453" customFormat="false" ht="15" hidden="false" customHeight="false" outlineLevel="0" collapsed="false">
      <c r="A6453" s="103"/>
      <c r="B6453" s="104"/>
      <c r="C6453" s="104"/>
      <c r="E6453" s="107" t="str">
        <f aca="false">IF($C6453="","",IFERROR(INDEX(المنيو!$C$2:$C$500,MATCH($C6453,المنيو!$B$2:$B$500,0)),0))</f>
        <v/>
      </c>
      <c r="F6453" s="107" t="str">
        <f aca="false">IF($C6453="","",$D6453*$E6453)</f>
        <v/>
      </c>
      <c r="G6453" s="107" t="str">
        <f aca="false">IF($C6453="","",$D6453*IFERROR(INDEX('تحليل التكلفة والسعر'!$C$2:$C$700,MATCH($C6453,'تحليل التكلفة والسعر'!$B$2:$B$700,0)),0))</f>
        <v/>
      </c>
    </row>
    <row r="6454" customFormat="false" ht="15" hidden="false" customHeight="false" outlineLevel="0" collapsed="false">
      <c r="A6454" s="103"/>
      <c r="B6454" s="104"/>
      <c r="C6454" s="104"/>
      <c r="E6454" s="107" t="str">
        <f aca="false">IF($C6454="","",IFERROR(INDEX(المنيو!$C$2:$C$500,MATCH($C6454,المنيو!$B$2:$B$500,0)),0))</f>
        <v/>
      </c>
      <c r="F6454" s="107" t="str">
        <f aca="false">IF($C6454="","",$D6454*$E6454)</f>
        <v/>
      </c>
      <c r="G6454" s="107" t="str">
        <f aca="false">IF($C6454="","",$D6454*IFERROR(INDEX('تحليل التكلفة والسعر'!$C$2:$C$700,MATCH($C6454,'تحليل التكلفة والسعر'!$B$2:$B$700,0)),0))</f>
        <v/>
      </c>
    </row>
    <row r="6455" customFormat="false" ht="15" hidden="false" customHeight="false" outlineLevel="0" collapsed="false">
      <c r="A6455" s="103"/>
      <c r="B6455" s="104"/>
      <c r="C6455" s="104"/>
      <c r="E6455" s="107" t="str">
        <f aca="false">IF($C6455="","",IFERROR(INDEX(المنيو!$C$2:$C$500,MATCH($C6455,المنيو!$B$2:$B$500,0)),0))</f>
        <v/>
      </c>
      <c r="F6455" s="107" t="str">
        <f aca="false">IF($C6455="","",$D6455*$E6455)</f>
        <v/>
      </c>
      <c r="G6455" s="107" t="str">
        <f aca="false">IF($C6455="","",$D6455*IFERROR(INDEX('تحليل التكلفة والسعر'!$C$2:$C$700,MATCH($C6455,'تحليل التكلفة والسعر'!$B$2:$B$700,0)),0))</f>
        <v/>
      </c>
    </row>
    <row r="6456" customFormat="false" ht="15" hidden="false" customHeight="false" outlineLevel="0" collapsed="false">
      <c r="A6456" s="103"/>
      <c r="B6456" s="104"/>
      <c r="C6456" s="104"/>
      <c r="E6456" s="107" t="str">
        <f aca="false">IF($C6456="","",IFERROR(INDEX(المنيو!$C$2:$C$500,MATCH($C6456,المنيو!$B$2:$B$500,0)),0))</f>
        <v/>
      </c>
      <c r="F6456" s="107" t="str">
        <f aca="false">IF($C6456="","",$D6456*$E6456)</f>
        <v/>
      </c>
      <c r="G6456" s="107" t="str">
        <f aca="false">IF($C6456="","",$D6456*IFERROR(INDEX('تحليل التكلفة والسعر'!$C$2:$C$700,MATCH($C6456,'تحليل التكلفة والسعر'!$B$2:$B$700,0)),0))</f>
        <v/>
      </c>
    </row>
    <row r="6457" customFormat="false" ht="15" hidden="false" customHeight="false" outlineLevel="0" collapsed="false">
      <c r="A6457" s="103"/>
      <c r="B6457" s="104"/>
      <c r="C6457" s="104"/>
      <c r="E6457" s="107" t="str">
        <f aca="false">IF($C6457="","",IFERROR(INDEX(المنيو!$C$2:$C$500,MATCH($C6457,المنيو!$B$2:$B$500,0)),0))</f>
        <v/>
      </c>
      <c r="F6457" s="107" t="str">
        <f aca="false">IF($C6457="","",$D6457*$E6457)</f>
        <v/>
      </c>
      <c r="G6457" s="107" t="str">
        <f aca="false">IF($C6457="","",$D6457*IFERROR(INDEX('تحليل التكلفة والسعر'!$C$2:$C$700,MATCH($C6457,'تحليل التكلفة والسعر'!$B$2:$B$700,0)),0))</f>
        <v/>
      </c>
    </row>
    <row r="6458" customFormat="false" ht="15" hidden="false" customHeight="false" outlineLevel="0" collapsed="false">
      <c r="A6458" s="103"/>
      <c r="B6458" s="104"/>
      <c r="C6458" s="104"/>
      <c r="E6458" s="107" t="str">
        <f aca="false">IF($C6458="","",IFERROR(INDEX(المنيو!$C$2:$C$500,MATCH($C6458,المنيو!$B$2:$B$500,0)),0))</f>
        <v/>
      </c>
      <c r="F6458" s="107" t="str">
        <f aca="false">IF($C6458="","",$D6458*$E6458)</f>
        <v/>
      </c>
      <c r="G6458" s="107" t="str">
        <f aca="false">IF($C6458="","",$D6458*IFERROR(INDEX('تحليل التكلفة والسعر'!$C$2:$C$700,MATCH($C6458,'تحليل التكلفة والسعر'!$B$2:$B$700,0)),0))</f>
        <v/>
      </c>
    </row>
    <row r="6459" customFormat="false" ht="15" hidden="false" customHeight="false" outlineLevel="0" collapsed="false">
      <c r="A6459" s="103"/>
      <c r="B6459" s="104"/>
      <c r="C6459" s="104"/>
      <c r="E6459" s="107" t="str">
        <f aca="false">IF($C6459="","",IFERROR(INDEX(المنيو!$C$2:$C$500,MATCH($C6459,المنيو!$B$2:$B$500,0)),0))</f>
        <v/>
      </c>
      <c r="F6459" s="107" t="str">
        <f aca="false">IF($C6459="","",$D6459*$E6459)</f>
        <v/>
      </c>
      <c r="G6459" s="107" t="str">
        <f aca="false">IF($C6459="","",$D6459*IFERROR(INDEX('تحليل التكلفة والسعر'!$C$2:$C$700,MATCH($C6459,'تحليل التكلفة والسعر'!$B$2:$B$700,0)),0))</f>
        <v/>
      </c>
    </row>
    <row r="6460" customFormat="false" ht="15" hidden="false" customHeight="false" outlineLevel="0" collapsed="false">
      <c r="A6460" s="103"/>
      <c r="B6460" s="104"/>
      <c r="C6460" s="104"/>
      <c r="E6460" s="107" t="str">
        <f aca="false">IF($C6460="","",IFERROR(INDEX(المنيو!$C$2:$C$500,MATCH($C6460,المنيو!$B$2:$B$500,0)),0))</f>
        <v/>
      </c>
      <c r="F6460" s="107" t="str">
        <f aca="false">IF($C6460="","",$D6460*$E6460)</f>
        <v/>
      </c>
      <c r="G6460" s="107" t="str">
        <f aca="false">IF($C6460="","",$D6460*IFERROR(INDEX('تحليل التكلفة والسعر'!$C$2:$C$700,MATCH($C6460,'تحليل التكلفة والسعر'!$B$2:$B$700,0)),0))</f>
        <v/>
      </c>
    </row>
    <row r="6461" customFormat="false" ht="15" hidden="false" customHeight="false" outlineLevel="0" collapsed="false">
      <c r="A6461" s="103"/>
      <c r="B6461" s="104"/>
      <c r="C6461" s="104"/>
      <c r="E6461" s="107" t="str">
        <f aca="false">IF($C6461="","",IFERROR(INDEX(المنيو!$C$2:$C$500,MATCH($C6461,المنيو!$B$2:$B$500,0)),0))</f>
        <v/>
      </c>
      <c r="F6461" s="107" t="str">
        <f aca="false">IF($C6461="","",$D6461*$E6461)</f>
        <v/>
      </c>
      <c r="G6461" s="107" t="str">
        <f aca="false">IF($C6461="","",$D6461*IFERROR(INDEX('تحليل التكلفة والسعر'!$C$2:$C$700,MATCH($C6461,'تحليل التكلفة والسعر'!$B$2:$B$700,0)),0))</f>
        <v/>
      </c>
    </row>
    <row r="6462" customFormat="false" ht="15" hidden="false" customHeight="false" outlineLevel="0" collapsed="false">
      <c r="A6462" s="103"/>
      <c r="B6462" s="104"/>
      <c r="C6462" s="104"/>
      <c r="E6462" s="107" t="str">
        <f aca="false">IF($C6462="","",IFERROR(INDEX(المنيو!$C$2:$C$500,MATCH($C6462,المنيو!$B$2:$B$500,0)),0))</f>
        <v/>
      </c>
      <c r="F6462" s="107" t="str">
        <f aca="false">IF($C6462="","",$D6462*$E6462)</f>
        <v/>
      </c>
      <c r="G6462" s="107" t="str">
        <f aca="false">IF($C6462="","",$D6462*IFERROR(INDEX('تحليل التكلفة والسعر'!$C$2:$C$700,MATCH($C6462,'تحليل التكلفة والسعر'!$B$2:$B$700,0)),0))</f>
        <v/>
      </c>
    </row>
    <row r="6463" customFormat="false" ht="15" hidden="false" customHeight="false" outlineLevel="0" collapsed="false">
      <c r="A6463" s="103"/>
      <c r="B6463" s="104"/>
      <c r="C6463" s="104"/>
      <c r="E6463" s="107" t="str">
        <f aca="false">IF($C6463="","",IFERROR(INDEX(المنيو!$C$2:$C$500,MATCH($C6463,المنيو!$B$2:$B$500,0)),0))</f>
        <v/>
      </c>
      <c r="F6463" s="107" t="str">
        <f aca="false">IF($C6463="","",$D6463*$E6463)</f>
        <v/>
      </c>
      <c r="G6463" s="107" t="str">
        <f aca="false">IF($C6463="","",$D6463*IFERROR(INDEX('تحليل التكلفة والسعر'!$C$2:$C$700,MATCH($C6463,'تحليل التكلفة والسعر'!$B$2:$B$700,0)),0))</f>
        <v/>
      </c>
    </row>
    <row r="6464" customFormat="false" ht="15" hidden="false" customHeight="false" outlineLevel="0" collapsed="false">
      <c r="A6464" s="103"/>
      <c r="B6464" s="104"/>
      <c r="C6464" s="104"/>
      <c r="E6464" s="107" t="str">
        <f aca="false">IF($C6464="","",IFERROR(INDEX(المنيو!$C$2:$C$500,MATCH($C6464,المنيو!$B$2:$B$500,0)),0))</f>
        <v/>
      </c>
      <c r="F6464" s="107" t="str">
        <f aca="false">IF($C6464="","",$D6464*$E6464)</f>
        <v/>
      </c>
      <c r="G6464" s="107" t="str">
        <f aca="false">IF($C6464="","",$D6464*IFERROR(INDEX('تحليل التكلفة والسعر'!$C$2:$C$700,MATCH($C6464,'تحليل التكلفة والسعر'!$B$2:$B$700,0)),0))</f>
        <v/>
      </c>
    </row>
    <row r="6465" customFormat="false" ht="15" hidden="false" customHeight="false" outlineLevel="0" collapsed="false">
      <c r="A6465" s="103"/>
      <c r="B6465" s="104"/>
      <c r="C6465" s="104"/>
      <c r="E6465" s="107" t="str">
        <f aca="false">IF($C6465="","",IFERROR(INDEX(المنيو!$C$2:$C$500,MATCH($C6465,المنيو!$B$2:$B$500,0)),0))</f>
        <v/>
      </c>
      <c r="F6465" s="107" t="str">
        <f aca="false">IF($C6465="","",$D6465*$E6465)</f>
        <v/>
      </c>
      <c r="G6465" s="107" t="str">
        <f aca="false">IF($C6465="","",$D6465*IFERROR(INDEX('تحليل التكلفة والسعر'!$C$2:$C$700,MATCH($C6465,'تحليل التكلفة والسعر'!$B$2:$B$700,0)),0))</f>
        <v/>
      </c>
    </row>
    <row r="6466" customFormat="false" ht="15" hidden="false" customHeight="false" outlineLevel="0" collapsed="false">
      <c r="A6466" s="103"/>
      <c r="B6466" s="104"/>
      <c r="C6466" s="104"/>
      <c r="E6466" s="107" t="str">
        <f aca="false">IF($C6466="","",IFERROR(INDEX(المنيو!$C$2:$C$500,MATCH($C6466,المنيو!$B$2:$B$500,0)),0))</f>
        <v/>
      </c>
      <c r="F6466" s="107" t="str">
        <f aca="false">IF($C6466="","",$D6466*$E6466)</f>
        <v/>
      </c>
      <c r="G6466" s="107" t="str">
        <f aca="false">IF($C6466="","",$D6466*IFERROR(INDEX('تحليل التكلفة والسعر'!$C$2:$C$700,MATCH($C6466,'تحليل التكلفة والسعر'!$B$2:$B$700,0)),0))</f>
        <v/>
      </c>
    </row>
    <row r="6467" customFormat="false" ht="15" hidden="false" customHeight="false" outlineLevel="0" collapsed="false">
      <c r="A6467" s="103"/>
      <c r="B6467" s="104"/>
      <c r="C6467" s="104"/>
      <c r="E6467" s="107" t="str">
        <f aca="false">IF($C6467="","",IFERROR(INDEX(المنيو!$C$2:$C$500,MATCH($C6467,المنيو!$B$2:$B$500,0)),0))</f>
        <v/>
      </c>
      <c r="F6467" s="107" t="str">
        <f aca="false">IF($C6467="","",$D6467*$E6467)</f>
        <v/>
      </c>
      <c r="G6467" s="107" t="str">
        <f aca="false">IF($C6467="","",$D6467*IFERROR(INDEX('تحليل التكلفة والسعر'!$C$2:$C$700,MATCH($C6467,'تحليل التكلفة والسعر'!$B$2:$B$700,0)),0))</f>
        <v/>
      </c>
    </row>
    <row r="6468" customFormat="false" ht="15" hidden="false" customHeight="false" outlineLevel="0" collapsed="false">
      <c r="A6468" s="103"/>
      <c r="B6468" s="104"/>
      <c r="C6468" s="104"/>
      <c r="E6468" s="107" t="str">
        <f aca="false">IF($C6468="","",IFERROR(INDEX(المنيو!$C$2:$C$500,MATCH($C6468,المنيو!$B$2:$B$500,0)),0))</f>
        <v/>
      </c>
      <c r="F6468" s="107" t="str">
        <f aca="false">IF($C6468="","",$D6468*$E6468)</f>
        <v/>
      </c>
      <c r="G6468" s="107" t="str">
        <f aca="false">IF($C6468="","",$D6468*IFERROR(INDEX('تحليل التكلفة والسعر'!$C$2:$C$700,MATCH($C6468,'تحليل التكلفة والسعر'!$B$2:$B$700,0)),0))</f>
        <v/>
      </c>
    </row>
    <row r="6469" customFormat="false" ht="15" hidden="false" customHeight="false" outlineLevel="0" collapsed="false">
      <c r="A6469" s="103"/>
      <c r="B6469" s="104"/>
      <c r="C6469" s="104"/>
      <c r="E6469" s="107" t="str">
        <f aca="false">IF($C6469="","",IFERROR(INDEX(المنيو!$C$2:$C$500,MATCH($C6469,المنيو!$B$2:$B$500,0)),0))</f>
        <v/>
      </c>
      <c r="F6469" s="107" t="str">
        <f aca="false">IF($C6469="","",$D6469*$E6469)</f>
        <v/>
      </c>
      <c r="G6469" s="107" t="str">
        <f aca="false">IF($C6469="","",$D6469*IFERROR(INDEX('تحليل التكلفة والسعر'!$C$2:$C$700,MATCH($C6469,'تحليل التكلفة والسعر'!$B$2:$B$700,0)),0))</f>
        <v/>
      </c>
    </row>
    <row r="6470" customFormat="false" ht="15" hidden="false" customHeight="false" outlineLevel="0" collapsed="false">
      <c r="A6470" s="103"/>
      <c r="B6470" s="104"/>
      <c r="C6470" s="104"/>
      <c r="E6470" s="107" t="str">
        <f aca="false">IF($C6470="","",IFERROR(INDEX(المنيو!$C$2:$C$500,MATCH($C6470,المنيو!$B$2:$B$500,0)),0))</f>
        <v/>
      </c>
      <c r="F6470" s="107" t="str">
        <f aca="false">IF($C6470="","",$D6470*$E6470)</f>
        <v/>
      </c>
      <c r="G6470" s="107" t="str">
        <f aca="false">IF($C6470="","",$D6470*IFERROR(INDEX('تحليل التكلفة والسعر'!$C$2:$C$700,MATCH($C6470,'تحليل التكلفة والسعر'!$B$2:$B$700,0)),0))</f>
        <v/>
      </c>
    </row>
    <row r="6471" customFormat="false" ht="15" hidden="false" customHeight="false" outlineLevel="0" collapsed="false">
      <c r="A6471" s="103"/>
      <c r="B6471" s="104"/>
      <c r="C6471" s="104"/>
      <c r="E6471" s="107" t="str">
        <f aca="false">IF($C6471="","",IFERROR(INDEX(المنيو!$C$2:$C$500,MATCH($C6471,المنيو!$B$2:$B$500,0)),0))</f>
        <v/>
      </c>
      <c r="F6471" s="107" t="str">
        <f aca="false">IF($C6471="","",$D6471*$E6471)</f>
        <v/>
      </c>
      <c r="G6471" s="107" t="str">
        <f aca="false">IF($C6471="","",$D6471*IFERROR(INDEX('تحليل التكلفة والسعر'!$C$2:$C$700,MATCH($C6471,'تحليل التكلفة والسعر'!$B$2:$B$700,0)),0))</f>
        <v/>
      </c>
    </row>
    <row r="6472" customFormat="false" ht="15" hidden="false" customHeight="false" outlineLevel="0" collapsed="false">
      <c r="A6472" s="103"/>
      <c r="B6472" s="104"/>
      <c r="C6472" s="104"/>
      <c r="E6472" s="107" t="str">
        <f aca="false">IF($C6472="","",IFERROR(INDEX(المنيو!$C$2:$C$500,MATCH($C6472,المنيو!$B$2:$B$500,0)),0))</f>
        <v/>
      </c>
      <c r="F6472" s="107" t="str">
        <f aca="false">IF($C6472="","",$D6472*$E6472)</f>
        <v/>
      </c>
      <c r="G6472" s="107" t="str">
        <f aca="false">IF($C6472="","",$D6472*IFERROR(INDEX('تحليل التكلفة والسعر'!$C$2:$C$700,MATCH($C6472,'تحليل التكلفة والسعر'!$B$2:$B$700,0)),0))</f>
        <v/>
      </c>
    </row>
    <row r="6473" customFormat="false" ht="15" hidden="false" customHeight="false" outlineLevel="0" collapsed="false">
      <c r="A6473" s="103"/>
      <c r="B6473" s="104"/>
      <c r="C6473" s="104"/>
      <c r="E6473" s="107" t="str">
        <f aca="false">IF($C6473="","",IFERROR(INDEX(المنيو!$C$2:$C$500,MATCH($C6473,المنيو!$B$2:$B$500,0)),0))</f>
        <v/>
      </c>
      <c r="F6473" s="107" t="str">
        <f aca="false">IF($C6473="","",$D6473*$E6473)</f>
        <v/>
      </c>
      <c r="G6473" s="107" t="str">
        <f aca="false">IF($C6473="","",$D6473*IFERROR(INDEX('تحليل التكلفة والسعر'!$C$2:$C$700,MATCH($C6473,'تحليل التكلفة والسعر'!$B$2:$B$700,0)),0))</f>
        <v/>
      </c>
    </row>
    <row r="6474" customFormat="false" ht="15" hidden="false" customHeight="false" outlineLevel="0" collapsed="false">
      <c r="A6474" s="103"/>
      <c r="B6474" s="104"/>
      <c r="C6474" s="104"/>
      <c r="E6474" s="107" t="str">
        <f aca="false">IF($C6474="","",IFERROR(INDEX(المنيو!$C$2:$C$500,MATCH($C6474,المنيو!$B$2:$B$500,0)),0))</f>
        <v/>
      </c>
      <c r="F6474" s="107" t="str">
        <f aca="false">IF($C6474="","",$D6474*$E6474)</f>
        <v/>
      </c>
      <c r="G6474" s="107" t="str">
        <f aca="false">IF($C6474="","",$D6474*IFERROR(INDEX('تحليل التكلفة والسعر'!$C$2:$C$700,MATCH($C6474,'تحليل التكلفة والسعر'!$B$2:$B$700,0)),0))</f>
        <v/>
      </c>
    </row>
    <row r="6475" customFormat="false" ht="15" hidden="false" customHeight="false" outlineLevel="0" collapsed="false">
      <c r="A6475" s="103"/>
      <c r="B6475" s="104"/>
      <c r="C6475" s="104"/>
      <c r="E6475" s="107" t="str">
        <f aca="false">IF($C6475="","",IFERROR(INDEX(المنيو!$C$2:$C$500,MATCH($C6475,المنيو!$B$2:$B$500,0)),0))</f>
        <v/>
      </c>
      <c r="F6475" s="107" t="str">
        <f aca="false">IF($C6475="","",$D6475*$E6475)</f>
        <v/>
      </c>
      <c r="G6475" s="107" t="str">
        <f aca="false">IF($C6475="","",$D6475*IFERROR(INDEX('تحليل التكلفة والسعر'!$C$2:$C$700,MATCH($C6475,'تحليل التكلفة والسعر'!$B$2:$B$700,0)),0))</f>
        <v/>
      </c>
    </row>
    <row r="6476" customFormat="false" ht="15" hidden="false" customHeight="false" outlineLevel="0" collapsed="false">
      <c r="A6476" s="103"/>
      <c r="B6476" s="104"/>
      <c r="C6476" s="104"/>
      <c r="E6476" s="107" t="str">
        <f aca="false">IF($C6476="","",IFERROR(INDEX(المنيو!$C$2:$C$500,MATCH($C6476,المنيو!$B$2:$B$500,0)),0))</f>
        <v/>
      </c>
      <c r="F6476" s="107" t="str">
        <f aca="false">IF($C6476="","",$D6476*$E6476)</f>
        <v/>
      </c>
      <c r="G6476" s="107" t="str">
        <f aca="false">IF($C6476="","",$D6476*IFERROR(INDEX('تحليل التكلفة والسعر'!$C$2:$C$700,MATCH($C6476,'تحليل التكلفة والسعر'!$B$2:$B$700,0)),0))</f>
        <v/>
      </c>
    </row>
    <row r="6477" customFormat="false" ht="15" hidden="false" customHeight="false" outlineLevel="0" collapsed="false">
      <c r="A6477" s="103"/>
      <c r="B6477" s="104"/>
      <c r="C6477" s="104"/>
      <c r="E6477" s="107" t="str">
        <f aca="false">IF($C6477="","",IFERROR(INDEX(المنيو!$C$2:$C$500,MATCH($C6477,المنيو!$B$2:$B$500,0)),0))</f>
        <v/>
      </c>
      <c r="F6477" s="107" t="str">
        <f aca="false">IF($C6477="","",$D6477*$E6477)</f>
        <v/>
      </c>
      <c r="G6477" s="107" t="str">
        <f aca="false">IF($C6477="","",$D6477*IFERROR(INDEX('تحليل التكلفة والسعر'!$C$2:$C$700,MATCH($C6477,'تحليل التكلفة والسعر'!$B$2:$B$700,0)),0))</f>
        <v/>
      </c>
    </row>
    <row r="6478" customFormat="false" ht="15" hidden="false" customHeight="false" outlineLevel="0" collapsed="false">
      <c r="A6478" s="103"/>
      <c r="B6478" s="104"/>
      <c r="C6478" s="104"/>
      <c r="E6478" s="107" t="str">
        <f aca="false">IF($C6478="","",IFERROR(INDEX(المنيو!$C$2:$C$500,MATCH($C6478,المنيو!$B$2:$B$500,0)),0))</f>
        <v/>
      </c>
      <c r="F6478" s="107" t="str">
        <f aca="false">IF($C6478="","",$D6478*$E6478)</f>
        <v/>
      </c>
      <c r="G6478" s="107" t="str">
        <f aca="false">IF($C6478="","",$D6478*IFERROR(INDEX('تحليل التكلفة والسعر'!$C$2:$C$700,MATCH($C6478,'تحليل التكلفة والسعر'!$B$2:$B$700,0)),0))</f>
        <v/>
      </c>
    </row>
    <row r="6479" customFormat="false" ht="15" hidden="false" customHeight="false" outlineLevel="0" collapsed="false">
      <c r="A6479" s="103"/>
      <c r="B6479" s="104"/>
      <c r="C6479" s="104"/>
      <c r="E6479" s="107" t="str">
        <f aca="false">IF($C6479="","",IFERROR(INDEX(المنيو!$C$2:$C$500,MATCH($C6479,المنيو!$B$2:$B$500,0)),0))</f>
        <v/>
      </c>
      <c r="F6479" s="107" t="str">
        <f aca="false">IF($C6479="","",$D6479*$E6479)</f>
        <v/>
      </c>
      <c r="G6479" s="107" t="str">
        <f aca="false">IF($C6479="","",$D6479*IFERROR(INDEX('تحليل التكلفة والسعر'!$C$2:$C$700,MATCH($C6479,'تحليل التكلفة والسعر'!$B$2:$B$700,0)),0))</f>
        <v/>
      </c>
    </row>
    <row r="6480" customFormat="false" ht="15" hidden="false" customHeight="false" outlineLevel="0" collapsed="false">
      <c r="A6480" s="103"/>
      <c r="B6480" s="104"/>
      <c r="C6480" s="104"/>
      <c r="E6480" s="107" t="str">
        <f aca="false">IF($C6480="","",IFERROR(INDEX(المنيو!$C$2:$C$500,MATCH($C6480,المنيو!$B$2:$B$500,0)),0))</f>
        <v/>
      </c>
      <c r="F6480" s="107" t="str">
        <f aca="false">IF($C6480="","",$D6480*$E6480)</f>
        <v/>
      </c>
      <c r="G6480" s="107" t="str">
        <f aca="false">IF($C6480="","",$D6480*IFERROR(INDEX('تحليل التكلفة والسعر'!$C$2:$C$700,MATCH($C6480,'تحليل التكلفة والسعر'!$B$2:$B$700,0)),0))</f>
        <v/>
      </c>
    </row>
    <row r="6481" customFormat="false" ht="15" hidden="false" customHeight="false" outlineLevel="0" collapsed="false">
      <c r="A6481" s="103"/>
      <c r="B6481" s="104"/>
      <c r="C6481" s="104"/>
      <c r="E6481" s="107" t="str">
        <f aca="false">IF($C6481="","",IFERROR(INDEX(المنيو!$C$2:$C$500,MATCH($C6481,المنيو!$B$2:$B$500,0)),0))</f>
        <v/>
      </c>
      <c r="F6481" s="107" t="str">
        <f aca="false">IF($C6481="","",$D6481*$E6481)</f>
        <v/>
      </c>
      <c r="G6481" s="107" t="str">
        <f aca="false">IF($C6481="","",$D6481*IFERROR(INDEX('تحليل التكلفة والسعر'!$C$2:$C$700,MATCH($C6481,'تحليل التكلفة والسعر'!$B$2:$B$700,0)),0))</f>
        <v/>
      </c>
    </row>
    <row r="6482" customFormat="false" ht="15" hidden="false" customHeight="false" outlineLevel="0" collapsed="false">
      <c r="A6482" s="103"/>
      <c r="B6482" s="104"/>
      <c r="C6482" s="104"/>
      <c r="E6482" s="107" t="str">
        <f aca="false">IF($C6482="","",IFERROR(INDEX(المنيو!$C$2:$C$500,MATCH($C6482,المنيو!$B$2:$B$500,0)),0))</f>
        <v/>
      </c>
      <c r="F6482" s="107" t="str">
        <f aca="false">IF($C6482="","",$D6482*$E6482)</f>
        <v/>
      </c>
      <c r="G6482" s="107" t="str">
        <f aca="false">IF($C6482="","",$D6482*IFERROR(INDEX('تحليل التكلفة والسعر'!$C$2:$C$700,MATCH($C6482,'تحليل التكلفة والسعر'!$B$2:$B$700,0)),0))</f>
        <v/>
      </c>
    </row>
    <row r="6483" customFormat="false" ht="15" hidden="false" customHeight="false" outlineLevel="0" collapsed="false">
      <c r="A6483" s="103"/>
      <c r="B6483" s="104"/>
      <c r="C6483" s="104"/>
      <c r="E6483" s="107" t="str">
        <f aca="false">IF($C6483="","",IFERROR(INDEX(المنيو!$C$2:$C$500,MATCH($C6483,المنيو!$B$2:$B$500,0)),0))</f>
        <v/>
      </c>
      <c r="F6483" s="107" t="str">
        <f aca="false">IF($C6483="","",$D6483*$E6483)</f>
        <v/>
      </c>
      <c r="G6483" s="107" t="str">
        <f aca="false">IF($C6483="","",$D6483*IFERROR(INDEX('تحليل التكلفة والسعر'!$C$2:$C$700,MATCH($C6483,'تحليل التكلفة والسعر'!$B$2:$B$700,0)),0))</f>
        <v/>
      </c>
    </row>
    <row r="6484" customFormat="false" ht="15" hidden="false" customHeight="false" outlineLevel="0" collapsed="false">
      <c r="A6484" s="103"/>
      <c r="B6484" s="104"/>
      <c r="C6484" s="104"/>
      <c r="E6484" s="107" t="str">
        <f aca="false">IF($C6484="","",IFERROR(INDEX(المنيو!$C$2:$C$500,MATCH($C6484,المنيو!$B$2:$B$500,0)),0))</f>
        <v/>
      </c>
      <c r="F6484" s="107" t="str">
        <f aca="false">IF($C6484="","",$D6484*$E6484)</f>
        <v/>
      </c>
      <c r="G6484" s="107" t="str">
        <f aca="false">IF($C6484="","",$D6484*IFERROR(INDEX('تحليل التكلفة والسعر'!$C$2:$C$700,MATCH($C6484,'تحليل التكلفة والسعر'!$B$2:$B$700,0)),0))</f>
        <v/>
      </c>
    </row>
    <row r="6485" customFormat="false" ht="15" hidden="false" customHeight="false" outlineLevel="0" collapsed="false">
      <c r="A6485" s="103"/>
      <c r="B6485" s="104"/>
      <c r="C6485" s="104"/>
      <c r="E6485" s="107" t="str">
        <f aca="false">IF($C6485="","",IFERROR(INDEX(المنيو!$C$2:$C$500,MATCH($C6485,المنيو!$B$2:$B$500,0)),0))</f>
        <v/>
      </c>
      <c r="F6485" s="107" t="str">
        <f aca="false">IF($C6485="","",$D6485*$E6485)</f>
        <v/>
      </c>
      <c r="G6485" s="107" t="str">
        <f aca="false">IF($C6485="","",$D6485*IFERROR(INDEX('تحليل التكلفة والسعر'!$C$2:$C$700,MATCH($C6485,'تحليل التكلفة والسعر'!$B$2:$B$700,0)),0))</f>
        <v/>
      </c>
    </row>
    <row r="6486" customFormat="false" ht="15" hidden="false" customHeight="false" outlineLevel="0" collapsed="false">
      <c r="A6486" s="103"/>
      <c r="B6486" s="104"/>
      <c r="C6486" s="104"/>
      <c r="E6486" s="107" t="str">
        <f aca="false">IF($C6486="","",IFERROR(INDEX(المنيو!$C$2:$C$500,MATCH($C6486,المنيو!$B$2:$B$500,0)),0))</f>
        <v/>
      </c>
      <c r="F6486" s="107" t="str">
        <f aca="false">IF($C6486="","",$D6486*$E6486)</f>
        <v/>
      </c>
      <c r="G6486" s="107" t="str">
        <f aca="false">IF($C6486="","",$D6486*IFERROR(INDEX('تحليل التكلفة والسعر'!$C$2:$C$700,MATCH($C6486,'تحليل التكلفة والسعر'!$B$2:$B$700,0)),0))</f>
        <v/>
      </c>
    </row>
    <row r="6487" customFormat="false" ht="15" hidden="false" customHeight="false" outlineLevel="0" collapsed="false">
      <c r="A6487" s="103"/>
      <c r="B6487" s="104"/>
      <c r="C6487" s="104"/>
      <c r="E6487" s="107" t="str">
        <f aca="false">IF($C6487="","",IFERROR(INDEX(المنيو!$C$2:$C$500,MATCH($C6487,المنيو!$B$2:$B$500,0)),0))</f>
        <v/>
      </c>
      <c r="F6487" s="107" t="str">
        <f aca="false">IF($C6487="","",$D6487*$E6487)</f>
        <v/>
      </c>
      <c r="G6487" s="107" t="str">
        <f aca="false">IF($C6487="","",$D6487*IFERROR(INDEX('تحليل التكلفة والسعر'!$C$2:$C$700,MATCH($C6487,'تحليل التكلفة والسعر'!$B$2:$B$700,0)),0))</f>
        <v/>
      </c>
    </row>
    <row r="6488" customFormat="false" ht="15" hidden="false" customHeight="false" outlineLevel="0" collapsed="false">
      <c r="A6488" s="103"/>
      <c r="B6488" s="104"/>
      <c r="C6488" s="104"/>
      <c r="E6488" s="107" t="str">
        <f aca="false">IF($C6488="","",IFERROR(INDEX(المنيو!$C$2:$C$500,MATCH($C6488,المنيو!$B$2:$B$500,0)),0))</f>
        <v/>
      </c>
      <c r="F6488" s="107" t="str">
        <f aca="false">IF($C6488="","",$D6488*$E6488)</f>
        <v/>
      </c>
      <c r="G6488" s="107" t="str">
        <f aca="false">IF($C6488="","",$D6488*IFERROR(INDEX('تحليل التكلفة والسعر'!$C$2:$C$700,MATCH($C6488,'تحليل التكلفة والسعر'!$B$2:$B$700,0)),0))</f>
        <v/>
      </c>
    </row>
    <row r="6489" customFormat="false" ht="15" hidden="false" customHeight="false" outlineLevel="0" collapsed="false">
      <c r="A6489" s="103"/>
      <c r="B6489" s="104"/>
      <c r="C6489" s="104"/>
      <c r="E6489" s="107" t="str">
        <f aca="false">IF($C6489="","",IFERROR(INDEX(المنيو!$C$2:$C$500,MATCH($C6489,المنيو!$B$2:$B$500,0)),0))</f>
        <v/>
      </c>
      <c r="F6489" s="107" t="str">
        <f aca="false">IF($C6489="","",$D6489*$E6489)</f>
        <v/>
      </c>
      <c r="G6489" s="107" t="str">
        <f aca="false">IF($C6489="","",$D6489*IFERROR(INDEX('تحليل التكلفة والسعر'!$C$2:$C$700,MATCH($C6489,'تحليل التكلفة والسعر'!$B$2:$B$700,0)),0))</f>
        <v/>
      </c>
    </row>
    <row r="6490" customFormat="false" ht="15" hidden="false" customHeight="false" outlineLevel="0" collapsed="false">
      <c r="A6490" s="103"/>
      <c r="B6490" s="104"/>
      <c r="C6490" s="104"/>
      <c r="E6490" s="107" t="str">
        <f aca="false">IF($C6490="","",IFERROR(INDEX(المنيو!$C$2:$C$500,MATCH($C6490,المنيو!$B$2:$B$500,0)),0))</f>
        <v/>
      </c>
      <c r="F6490" s="107" t="str">
        <f aca="false">IF($C6490="","",$D6490*$E6490)</f>
        <v/>
      </c>
      <c r="G6490" s="107" t="str">
        <f aca="false">IF($C6490="","",$D6490*IFERROR(INDEX('تحليل التكلفة والسعر'!$C$2:$C$700,MATCH($C6490,'تحليل التكلفة والسعر'!$B$2:$B$700,0)),0))</f>
        <v/>
      </c>
    </row>
    <row r="6491" customFormat="false" ht="15" hidden="false" customHeight="false" outlineLevel="0" collapsed="false">
      <c r="A6491" s="103"/>
      <c r="B6491" s="104"/>
      <c r="C6491" s="104"/>
      <c r="E6491" s="107" t="str">
        <f aca="false">IF($C6491="","",IFERROR(INDEX(المنيو!$C$2:$C$500,MATCH($C6491,المنيو!$B$2:$B$500,0)),0))</f>
        <v/>
      </c>
      <c r="F6491" s="107" t="str">
        <f aca="false">IF($C6491="","",$D6491*$E6491)</f>
        <v/>
      </c>
      <c r="G6491" s="107" t="str">
        <f aca="false">IF($C6491="","",$D6491*IFERROR(INDEX('تحليل التكلفة والسعر'!$C$2:$C$700,MATCH($C6491,'تحليل التكلفة والسعر'!$B$2:$B$700,0)),0))</f>
        <v/>
      </c>
    </row>
    <row r="6492" customFormat="false" ht="15" hidden="false" customHeight="false" outlineLevel="0" collapsed="false">
      <c r="A6492" s="103"/>
      <c r="B6492" s="104"/>
      <c r="C6492" s="104"/>
      <c r="E6492" s="107" t="str">
        <f aca="false">IF($C6492="","",IFERROR(INDEX(المنيو!$C$2:$C$500,MATCH($C6492,المنيو!$B$2:$B$500,0)),0))</f>
        <v/>
      </c>
      <c r="F6492" s="107" t="str">
        <f aca="false">IF($C6492="","",$D6492*$E6492)</f>
        <v/>
      </c>
      <c r="G6492" s="107" t="str">
        <f aca="false">IF($C6492="","",$D6492*IFERROR(INDEX('تحليل التكلفة والسعر'!$C$2:$C$700,MATCH($C6492,'تحليل التكلفة والسعر'!$B$2:$B$700,0)),0))</f>
        <v/>
      </c>
    </row>
    <row r="6493" customFormat="false" ht="15" hidden="false" customHeight="false" outlineLevel="0" collapsed="false">
      <c r="A6493" s="103"/>
      <c r="B6493" s="104"/>
      <c r="C6493" s="104"/>
      <c r="E6493" s="107" t="str">
        <f aca="false">IF($C6493="","",IFERROR(INDEX(المنيو!$C$2:$C$500,MATCH($C6493,المنيو!$B$2:$B$500,0)),0))</f>
        <v/>
      </c>
      <c r="F6493" s="107" t="str">
        <f aca="false">IF($C6493="","",$D6493*$E6493)</f>
        <v/>
      </c>
      <c r="G6493" s="107" t="str">
        <f aca="false">IF($C6493="","",$D6493*IFERROR(INDEX('تحليل التكلفة والسعر'!$C$2:$C$700,MATCH($C6493,'تحليل التكلفة والسعر'!$B$2:$B$700,0)),0))</f>
        <v/>
      </c>
    </row>
    <row r="6494" customFormat="false" ht="15" hidden="false" customHeight="false" outlineLevel="0" collapsed="false">
      <c r="A6494" s="103"/>
      <c r="B6494" s="104"/>
      <c r="C6494" s="104"/>
      <c r="E6494" s="107" t="str">
        <f aca="false">IF($C6494="","",IFERROR(INDEX(المنيو!$C$2:$C$500,MATCH($C6494,المنيو!$B$2:$B$500,0)),0))</f>
        <v/>
      </c>
      <c r="F6494" s="107" t="str">
        <f aca="false">IF($C6494="","",$D6494*$E6494)</f>
        <v/>
      </c>
      <c r="G6494" s="107" t="str">
        <f aca="false">IF($C6494="","",$D6494*IFERROR(INDEX('تحليل التكلفة والسعر'!$C$2:$C$700,MATCH($C6494,'تحليل التكلفة والسعر'!$B$2:$B$700,0)),0))</f>
        <v/>
      </c>
    </row>
    <row r="6495" customFormat="false" ht="15" hidden="false" customHeight="false" outlineLevel="0" collapsed="false">
      <c r="A6495" s="103"/>
      <c r="B6495" s="104"/>
      <c r="C6495" s="104"/>
      <c r="E6495" s="107" t="str">
        <f aca="false">IF($C6495="","",IFERROR(INDEX(المنيو!$C$2:$C$500,MATCH($C6495,المنيو!$B$2:$B$500,0)),0))</f>
        <v/>
      </c>
      <c r="F6495" s="107" t="str">
        <f aca="false">IF($C6495="","",$D6495*$E6495)</f>
        <v/>
      </c>
      <c r="G6495" s="107" t="str">
        <f aca="false">IF($C6495="","",$D6495*IFERROR(INDEX('تحليل التكلفة والسعر'!$C$2:$C$700,MATCH($C6495,'تحليل التكلفة والسعر'!$B$2:$B$700,0)),0))</f>
        <v/>
      </c>
    </row>
    <row r="6496" customFormat="false" ht="15" hidden="false" customHeight="false" outlineLevel="0" collapsed="false">
      <c r="A6496" s="103"/>
      <c r="B6496" s="104"/>
      <c r="C6496" s="104"/>
      <c r="E6496" s="107" t="str">
        <f aca="false">IF($C6496="","",IFERROR(INDEX(المنيو!$C$2:$C$500,MATCH($C6496,المنيو!$B$2:$B$500,0)),0))</f>
        <v/>
      </c>
      <c r="F6496" s="107" t="str">
        <f aca="false">IF($C6496="","",$D6496*$E6496)</f>
        <v/>
      </c>
      <c r="G6496" s="107" t="str">
        <f aca="false">IF($C6496="","",$D6496*IFERROR(INDEX('تحليل التكلفة والسعر'!$C$2:$C$700,MATCH($C6496,'تحليل التكلفة والسعر'!$B$2:$B$700,0)),0))</f>
        <v/>
      </c>
    </row>
    <row r="6497" customFormat="false" ht="15" hidden="false" customHeight="false" outlineLevel="0" collapsed="false">
      <c r="A6497" s="103"/>
      <c r="B6497" s="104"/>
      <c r="C6497" s="104"/>
      <c r="E6497" s="107" t="str">
        <f aca="false">IF($C6497="","",IFERROR(INDEX(المنيو!$C$2:$C$500,MATCH($C6497,المنيو!$B$2:$B$500,0)),0))</f>
        <v/>
      </c>
      <c r="F6497" s="107" t="str">
        <f aca="false">IF($C6497="","",$D6497*$E6497)</f>
        <v/>
      </c>
      <c r="G6497" s="107" t="str">
        <f aca="false">IF($C6497="","",$D6497*IFERROR(INDEX('تحليل التكلفة والسعر'!$C$2:$C$700,MATCH($C6497,'تحليل التكلفة والسعر'!$B$2:$B$700,0)),0))</f>
        <v/>
      </c>
    </row>
    <row r="6498" customFormat="false" ht="15" hidden="false" customHeight="false" outlineLevel="0" collapsed="false">
      <c r="A6498" s="103"/>
      <c r="B6498" s="104"/>
      <c r="C6498" s="104"/>
      <c r="E6498" s="107" t="str">
        <f aca="false">IF($C6498="","",IFERROR(INDEX(المنيو!$C$2:$C$500,MATCH($C6498,المنيو!$B$2:$B$500,0)),0))</f>
        <v/>
      </c>
      <c r="F6498" s="107" t="str">
        <f aca="false">IF($C6498="","",$D6498*$E6498)</f>
        <v/>
      </c>
      <c r="G6498" s="107" t="str">
        <f aca="false">IF($C6498="","",$D6498*IFERROR(INDEX('تحليل التكلفة والسعر'!$C$2:$C$700,MATCH($C6498,'تحليل التكلفة والسعر'!$B$2:$B$700,0)),0))</f>
        <v/>
      </c>
    </row>
    <row r="6499" customFormat="false" ht="15" hidden="false" customHeight="false" outlineLevel="0" collapsed="false">
      <c r="A6499" s="103"/>
      <c r="B6499" s="104"/>
      <c r="C6499" s="104"/>
      <c r="E6499" s="107" t="str">
        <f aca="false">IF($C6499="","",IFERROR(INDEX(المنيو!$C$2:$C$500,MATCH($C6499,المنيو!$B$2:$B$500,0)),0))</f>
        <v/>
      </c>
      <c r="F6499" s="107" t="str">
        <f aca="false">IF($C6499="","",$D6499*$E6499)</f>
        <v/>
      </c>
      <c r="G6499" s="107" t="str">
        <f aca="false">IF($C6499="","",$D6499*IFERROR(INDEX('تحليل التكلفة والسعر'!$C$2:$C$700,MATCH($C6499,'تحليل التكلفة والسعر'!$B$2:$B$700,0)),0))</f>
        <v/>
      </c>
    </row>
    <row r="6500" customFormat="false" ht="15" hidden="false" customHeight="false" outlineLevel="0" collapsed="false">
      <c r="A6500" s="103"/>
      <c r="B6500" s="104"/>
      <c r="C6500" s="104"/>
      <c r="E6500" s="107" t="str">
        <f aca="false">IF($C6500="","",IFERROR(INDEX(المنيو!$C$2:$C$500,MATCH($C6500,المنيو!$B$2:$B$500,0)),0))</f>
        <v/>
      </c>
      <c r="F6500" s="107" t="str">
        <f aca="false">IF($C6500="","",$D6500*$E6500)</f>
        <v/>
      </c>
      <c r="G6500" s="107" t="str">
        <f aca="false">IF($C6500="","",$D6500*IFERROR(INDEX('تحليل التكلفة والسعر'!$C$2:$C$700,MATCH($C6500,'تحليل التكلفة والسعر'!$B$2:$B$700,0)),0))</f>
        <v/>
      </c>
    </row>
    <row r="6501" customFormat="false" ht="15" hidden="false" customHeight="false" outlineLevel="0" collapsed="false">
      <c r="A6501" s="103"/>
      <c r="B6501" s="104"/>
      <c r="C6501" s="104"/>
      <c r="E6501" s="107" t="str">
        <f aca="false">IF($C6501="","",IFERROR(INDEX(المنيو!$C$2:$C$500,MATCH($C6501,المنيو!$B$2:$B$500,0)),0))</f>
        <v/>
      </c>
      <c r="F6501" s="107" t="str">
        <f aca="false">IF($C6501="","",$D6501*$E6501)</f>
        <v/>
      </c>
      <c r="G6501" s="107" t="str">
        <f aca="false">IF($C6501="","",$D6501*IFERROR(INDEX('تحليل التكلفة والسعر'!$C$2:$C$700,MATCH($C6501,'تحليل التكلفة والسعر'!$B$2:$B$700,0)),0))</f>
        <v/>
      </c>
    </row>
    <row r="6502" customFormat="false" ht="15" hidden="false" customHeight="false" outlineLevel="0" collapsed="false">
      <c r="A6502" s="103"/>
      <c r="B6502" s="104"/>
      <c r="C6502" s="104"/>
      <c r="E6502" s="107" t="str">
        <f aca="false">IF($C6502="","",IFERROR(INDEX(المنيو!$C$2:$C$500,MATCH($C6502,المنيو!$B$2:$B$500,0)),0))</f>
        <v/>
      </c>
      <c r="F6502" s="107" t="str">
        <f aca="false">IF($C6502="","",$D6502*$E6502)</f>
        <v/>
      </c>
      <c r="G6502" s="107" t="str">
        <f aca="false">IF($C6502="","",$D6502*IFERROR(INDEX('تحليل التكلفة والسعر'!$C$2:$C$700,MATCH($C6502,'تحليل التكلفة والسعر'!$B$2:$B$700,0)),0))</f>
        <v/>
      </c>
    </row>
    <row r="6503" customFormat="false" ht="15" hidden="false" customHeight="false" outlineLevel="0" collapsed="false">
      <c r="A6503" s="103"/>
      <c r="B6503" s="104"/>
      <c r="C6503" s="104"/>
      <c r="E6503" s="107" t="str">
        <f aca="false">IF($C6503="","",IFERROR(INDEX(المنيو!$C$2:$C$500,MATCH($C6503,المنيو!$B$2:$B$500,0)),0))</f>
        <v/>
      </c>
      <c r="F6503" s="107" t="str">
        <f aca="false">IF($C6503="","",$D6503*$E6503)</f>
        <v/>
      </c>
      <c r="G6503" s="107" t="str">
        <f aca="false">IF($C6503="","",$D6503*IFERROR(INDEX('تحليل التكلفة والسعر'!$C$2:$C$700,MATCH($C6503,'تحليل التكلفة والسعر'!$B$2:$B$700,0)),0))</f>
        <v/>
      </c>
    </row>
    <row r="6504" customFormat="false" ht="15" hidden="false" customHeight="false" outlineLevel="0" collapsed="false">
      <c r="A6504" s="103"/>
      <c r="B6504" s="104"/>
      <c r="C6504" s="104"/>
      <c r="E6504" s="107" t="str">
        <f aca="false">IF($C6504="","",IFERROR(INDEX(المنيو!$C$2:$C$500,MATCH($C6504,المنيو!$B$2:$B$500,0)),0))</f>
        <v/>
      </c>
      <c r="F6504" s="107" t="str">
        <f aca="false">IF($C6504="","",$D6504*$E6504)</f>
        <v/>
      </c>
      <c r="G6504" s="107" t="str">
        <f aca="false">IF($C6504="","",$D6504*IFERROR(INDEX('تحليل التكلفة والسعر'!$C$2:$C$700,MATCH($C6504,'تحليل التكلفة والسعر'!$B$2:$B$700,0)),0))</f>
        <v/>
      </c>
    </row>
    <row r="6505" customFormat="false" ht="15" hidden="false" customHeight="false" outlineLevel="0" collapsed="false">
      <c r="A6505" s="103"/>
      <c r="B6505" s="104"/>
      <c r="C6505" s="104"/>
      <c r="E6505" s="107" t="str">
        <f aca="false">IF($C6505="","",IFERROR(INDEX(المنيو!$C$2:$C$500,MATCH($C6505,المنيو!$B$2:$B$500,0)),0))</f>
        <v/>
      </c>
      <c r="F6505" s="107" t="str">
        <f aca="false">IF($C6505="","",$D6505*$E6505)</f>
        <v/>
      </c>
      <c r="G6505" s="107" t="str">
        <f aca="false">IF($C6505="","",$D6505*IFERROR(INDEX('تحليل التكلفة والسعر'!$C$2:$C$700,MATCH($C6505,'تحليل التكلفة والسعر'!$B$2:$B$700,0)),0))</f>
        <v/>
      </c>
    </row>
    <row r="6506" customFormat="false" ht="15" hidden="false" customHeight="false" outlineLevel="0" collapsed="false">
      <c r="A6506" s="103"/>
      <c r="B6506" s="104"/>
      <c r="C6506" s="104"/>
      <c r="E6506" s="107" t="str">
        <f aca="false">IF($C6506="","",IFERROR(INDEX(المنيو!$C$2:$C$500,MATCH($C6506,المنيو!$B$2:$B$500,0)),0))</f>
        <v/>
      </c>
      <c r="F6506" s="107" t="str">
        <f aca="false">IF($C6506="","",$D6506*$E6506)</f>
        <v/>
      </c>
      <c r="G6506" s="107" t="str">
        <f aca="false">IF($C6506="","",$D6506*IFERROR(INDEX('تحليل التكلفة والسعر'!$C$2:$C$700,MATCH($C6506,'تحليل التكلفة والسعر'!$B$2:$B$700,0)),0))</f>
        <v/>
      </c>
    </row>
    <row r="6507" customFormat="false" ht="15" hidden="false" customHeight="false" outlineLevel="0" collapsed="false">
      <c r="A6507" s="103"/>
      <c r="B6507" s="104"/>
      <c r="C6507" s="104"/>
      <c r="E6507" s="107" t="str">
        <f aca="false">IF($C6507="","",IFERROR(INDEX(المنيو!$C$2:$C$500,MATCH($C6507,المنيو!$B$2:$B$500,0)),0))</f>
        <v/>
      </c>
      <c r="F6507" s="107" t="str">
        <f aca="false">IF($C6507="","",$D6507*$E6507)</f>
        <v/>
      </c>
      <c r="G6507" s="107" t="str">
        <f aca="false">IF($C6507="","",$D6507*IFERROR(INDEX('تحليل التكلفة والسعر'!$C$2:$C$700,MATCH($C6507,'تحليل التكلفة والسعر'!$B$2:$B$700,0)),0))</f>
        <v/>
      </c>
    </row>
    <row r="6508" customFormat="false" ht="15" hidden="false" customHeight="false" outlineLevel="0" collapsed="false">
      <c r="A6508" s="103"/>
      <c r="B6508" s="104"/>
      <c r="C6508" s="104"/>
      <c r="E6508" s="107" t="str">
        <f aca="false">IF($C6508="","",IFERROR(INDEX(المنيو!$C$2:$C$500,MATCH($C6508,المنيو!$B$2:$B$500,0)),0))</f>
        <v/>
      </c>
      <c r="F6508" s="107" t="str">
        <f aca="false">IF($C6508="","",$D6508*$E6508)</f>
        <v/>
      </c>
      <c r="G6508" s="107" t="str">
        <f aca="false">IF($C6508="","",$D6508*IFERROR(INDEX('تحليل التكلفة والسعر'!$C$2:$C$700,MATCH($C6508,'تحليل التكلفة والسعر'!$B$2:$B$700,0)),0))</f>
        <v/>
      </c>
    </row>
    <row r="6509" customFormat="false" ht="15" hidden="false" customHeight="false" outlineLevel="0" collapsed="false">
      <c r="A6509" s="103"/>
      <c r="B6509" s="104"/>
      <c r="C6509" s="104"/>
      <c r="E6509" s="107" t="str">
        <f aca="false">IF($C6509="","",IFERROR(INDEX(المنيو!$C$2:$C$500,MATCH($C6509,المنيو!$B$2:$B$500,0)),0))</f>
        <v/>
      </c>
      <c r="F6509" s="107" t="str">
        <f aca="false">IF($C6509="","",$D6509*$E6509)</f>
        <v/>
      </c>
      <c r="G6509" s="107" t="str">
        <f aca="false">IF($C6509="","",$D6509*IFERROR(INDEX('تحليل التكلفة والسعر'!$C$2:$C$700,MATCH($C6509,'تحليل التكلفة والسعر'!$B$2:$B$700,0)),0))</f>
        <v/>
      </c>
    </row>
    <row r="6510" customFormat="false" ht="15" hidden="false" customHeight="false" outlineLevel="0" collapsed="false">
      <c r="A6510" s="103"/>
      <c r="B6510" s="104"/>
      <c r="C6510" s="104"/>
      <c r="E6510" s="107" t="str">
        <f aca="false">IF($C6510="","",IFERROR(INDEX(المنيو!$C$2:$C$500,MATCH($C6510,المنيو!$B$2:$B$500,0)),0))</f>
        <v/>
      </c>
      <c r="F6510" s="107" t="str">
        <f aca="false">IF($C6510="","",$D6510*$E6510)</f>
        <v/>
      </c>
      <c r="G6510" s="107" t="str">
        <f aca="false">IF($C6510="","",$D6510*IFERROR(INDEX('تحليل التكلفة والسعر'!$C$2:$C$700,MATCH($C6510,'تحليل التكلفة والسعر'!$B$2:$B$700,0)),0))</f>
        <v/>
      </c>
    </row>
    <row r="6511" customFormat="false" ht="15" hidden="false" customHeight="false" outlineLevel="0" collapsed="false">
      <c r="A6511" s="103"/>
      <c r="B6511" s="104"/>
      <c r="C6511" s="104"/>
      <c r="E6511" s="107" t="str">
        <f aca="false">IF($C6511="","",IFERROR(INDEX(المنيو!$C$2:$C$500,MATCH($C6511,المنيو!$B$2:$B$500,0)),0))</f>
        <v/>
      </c>
      <c r="F6511" s="107" t="str">
        <f aca="false">IF($C6511="","",$D6511*$E6511)</f>
        <v/>
      </c>
      <c r="G6511" s="107" t="str">
        <f aca="false">IF($C6511="","",$D6511*IFERROR(INDEX('تحليل التكلفة والسعر'!$C$2:$C$700,MATCH($C6511,'تحليل التكلفة والسعر'!$B$2:$B$700,0)),0))</f>
        <v/>
      </c>
    </row>
    <row r="6512" customFormat="false" ht="15" hidden="false" customHeight="false" outlineLevel="0" collapsed="false">
      <c r="A6512" s="103"/>
      <c r="B6512" s="104"/>
      <c r="C6512" s="104"/>
      <c r="E6512" s="107" t="str">
        <f aca="false">IF($C6512="","",IFERROR(INDEX(المنيو!$C$2:$C$500,MATCH($C6512,المنيو!$B$2:$B$500,0)),0))</f>
        <v/>
      </c>
      <c r="F6512" s="107" t="str">
        <f aca="false">IF($C6512="","",$D6512*$E6512)</f>
        <v/>
      </c>
      <c r="G6512" s="107" t="str">
        <f aca="false">IF($C6512="","",$D6512*IFERROR(INDEX('تحليل التكلفة والسعر'!$C$2:$C$700,MATCH($C6512,'تحليل التكلفة والسعر'!$B$2:$B$700,0)),0))</f>
        <v/>
      </c>
    </row>
    <row r="6513" customFormat="false" ht="15" hidden="false" customHeight="false" outlineLevel="0" collapsed="false">
      <c r="A6513" s="103"/>
      <c r="B6513" s="104"/>
      <c r="C6513" s="104"/>
      <c r="E6513" s="107" t="str">
        <f aca="false">IF($C6513="","",IFERROR(INDEX(المنيو!$C$2:$C$500,MATCH($C6513,المنيو!$B$2:$B$500,0)),0))</f>
        <v/>
      </c>
      <c r="F6513" s="107" t="str">
        <f aca="false">IF($C6513="","",$D6513*$E6513)</f>
        <v/>
      </c>
      <c r="G6513" s="107" t="str">
        <f aca="false">IF($C6513="","",$D6513*IFERROR(INDEX('تحليل التكلفة والسعر'!$C$2:$C$700,MATCH($C6513,'تحليل التكلفة والسعر'!$B$2:$B$700,0)),0))</f>
        <v/>
      </c>
    </row>
    <row r="6514" customFormat="false" ht="15" hidden="false" customHeight="false" outlineLevel="0" collapsed="false">
      <c r="A6514" s="103"/>
      <c r="B6514" s="104"/>
      <c r="C6514" s="104"/>
      <c r="E6514" s="107" t="str">
        <f aca="false">IF($C6514="","",IFERROR(INDEX(المنيو!$C$2:$C$500,MATCH($C6514,المنيو!$B$2:$B$500,0)),0))</f>
        <v/>
      </c>
      <c r="F6514" s="107" t="str">
        <f aca="false">IF($C6514="","",$D6514*$E6514)</f>
        <v/>
      </c>
      <c r="G6514" s="107" t="str">
        <f aca="false">IF($C6514="","",$D6514*IFERROR(INDEX('تحليل التكلفة والسعر'!$C$2:$C$700,MATCH($C6514,'تحليل التكلفة والسعر'!$B$2:$B$700,0)),0))</f>
        <v/>
      </c>
    </row>
    <row r="6515" customFormat="false" ht="15" hidden="false" customHeight="false" outlineLevel="0" collapsed="false">
      <c r="A6515" s="103"/>
      <c r="B6515" s="104"/>
      <c r="C6515" s="104"/>
      <c r="E6515" s="107" t="str">
        <f aca="false">IF($C6515="","",IFERROR(INDEX(المنيو!$C$2:$C$500,MATCH($C6515,المنيو!$B$2:$B$500,0)),0))</f>
        <v/>
      </c>
      <c r="F6515" s="107" t="str">
        <f aca="false">IF($C6515="","",$D6515*$E6515)</f>
        <v/>
      </c>
      <c r="G6515" s="107" t="str">
        <f aca="false">IF($C6515="","",$D6515*IFERROR(INDEX('تحليل التكلفة والسعر'!$C$2:$C$700,MATCH($C6515,'تحليل التكلفة والسعر'!$B$2:$B$700,0)),0))</f>
        <v/>
      </c>
    </row>
    <row r="6516" customFormat="false" ht="15" hidden="false" customHeight="false" outlineLevel="0" collapsed="false">
      <c r="A6516" s="103"/>
      <c r="B6516" s="104"/>
      <c r="C6516" s="104"/>
      <c r="E6516" s="107" t="str">
        <f aca="false">IF($C6516="","",IFERROR(INDEX(المنيو!$C$2:$C$500,MATCH($C6516,المنيو!$B$2:$B$500,0)),0))</f>
        <v/>
      </c>
      <c r="F6516" s="107" t="str">
        <f aca="false">IF($C6516="","",$D6516*$E6516)</f>
        <v/>
      </c>
      <c r="G6516" s="107" t="str">
        <f aca="false">IF($C6516="","",$D6516*IFERROR(INDEX('تحليل التكلفة والسعر'!$C$2:$C$700,MATCH($C6516,'تحليل التكلفة والسعر'!$B$2:$B$700,0)),0))</f>
        <v/>
      </c>
    </row>
    <row r="6517" customFormat="false" ht="15" hidden="false" customHeight="false" outlineLevel="0" collapsed="false">
      <c r="A6517" s="103"/>
      <c r="B6517" s="104"/>
      <c r="C6517" s="104"/>
      <c r="E6517" s="107" t="str">
        <f aca="false">IF($C6517="","",IFERROR(INDEX(المنيو!$C$2:$C$500,MATCH($C6517,المنيو!$B$2:$B$500,0)),0))</f>
        <v/>
      </c>
      <c r="F6517" s="107" t="str">
        <f aca="false">IF($C6517="","",$D6517*$E6517)</f>
        <v/>
      </c>
      <c r="G6517" s="107" t="str">
        <f aca="false">IF($C6517="","",$D6517*IFERROR(INDEX('تحليل التكلفة والسعر'!$C$2:$C$700,MATCH($C6517,'تحليل التكلفة والسعر'!$B$2:$B$700,0)),0))</f>
        <v/>
      </c>
    </row>
    <row r="6518" customFormat="false" ht="15" hidden="false" customHeight="false" outlineLevel="0" collapsed="false">
      <c r="A6518" s="103"/>
      <c r="B6518" s="104"/>
      <c r="C6518" s="104"/>
      <c r="E6518" s="107" t="str">
        <f aca="false">IF($C6518="","",IFERROR(INDEX(المنيو!$C$2:$C$500,MATCH($C6518,المنيو!$B$2:$B$500,0)),0))</f>
        <v/>
      </c>
      <c r="F6518" s="107" t="str">
        <f aca="false">IF($C6518="","",$D6518*$E6518)</f>
        <v/>
      </c>
      <c r="G6518" s="107" t="str">
        <f aca="false">IF($C6518="","",$D6518*IFERROR(INDEX('تحليل التكلفة والسعر'!$C$2:$C$700,MATCH($C6518,'تحليل التكلفة والسعر'!$B$2:$B$700,0)),0))</f>
        <v/>
      </c>
    </row>
    <row r="6519" customFormat="false" ht="15" hidden="false" customHeight="false" outlineLevel="0" collapsed="false">
      <c r="A6519" s="103"/>
      <c r="B6519" s="104"/>
      <c r="C6519" s="104"/>
      <c r="E6519" s="107" t="str">
        <f aca="false">IF($C6519="","",IFERROR(INDEX(المنيو!$C$2:$C$500,MATCH($C6519,المنيو!$B$2:$B$500,0)),0))</f>
        <v/>
      </c>
      <c r="F6519" s="107" t="str">
        <f aca="false">IF($C6519="","",$D6519*$E6519)</f>
        <v/>
      </c>
      <c r="G6519" s="107" t="str">
        <f aca="false">IF($C6519="","",$D6519*IFERROR(INDEX('تحليل التكلفة والسعر'!$C$2:$C$700,MATCH($C6519,'تحليل التكلفة والسعر'!$B$2:$B$700,0)),0))</f>
        <v/>
      </c>
    </row>
    <row r="6520" customFormat="false" ht="15" hidden="false" customHeight="false" outlineLevel="0" collapsed="false">
      <c r="A6520" s="103"/>
      <c r="B6520" s="104"/>
      <c r="C6520" s="104"/>
      <c r="E6520" s="107" t="str">
        <f aca="false">IF($C6520="","",IFERROR(INDEX(المنيو!$C$2:$C$500,MATCH($C6520,المنيو!$B$2:$B$500,0)),0))</f>
        <v/>
      </c>
      <c r="F6520" s="107" t="str">
        <f aca="false">IF($C6520="","",$D6520*$E6520)</f>
        <v/>
      </c>
      <c r="G6520" s="107" t="str">
        <f aca="false">IF($C6520="","",$D6520*IFERROR(INDEX('تحليل التكلفة والسعر'!$C$2:$C$700,MATCH($C6520,'تحليل التكلفة والسعر'!$B$2:$B$700,0)),0))</f>
        <v/>
      </c>
    </row>
    <row r="6521" customFormat="false" ht="15" hidden="false" customHeight="false" outlineLevel="0" collapsed="false">
      <c r="A6521" s="103"/>
      <c r="B6521" s="104"/>
      <c r="C6521" s="104"/>
      <c r="E6521" s="107" t="str">
        <f aca="false">IF($C6521="","",IFERROR(INDEX(المنيو!$C$2:$C$500,MATCH($C6521,المنيو!$B$2:$B$500,0)),0))</f>
        <v/>
      </c>
      <c r="F6521" s="107" t="str">
        <f aca="false">IF($C6521="","",$D6521*$E6521)</f>
        <v/>
      </c>
      <c r="G6521" s="107" t="str">
        <f aca="false">IF($C6521="","",$D6521*IFERROR(INDEX('تحليل التكلفة والسعر'!$C$2:$C$700,MATCH($C6521,'تحليل التكلفة والسعر'!$B$2:$B$700,0)),0))</f>
        <v/>
      </c>
    </row>
    <row r="6522" customFormat="false" ht="15" hidden="false" customHeight="false" outlineLevel="0" collapsed="false">
      <c r="A6522" s="103"/>
      <c r="B6522" s="104"/>
      <c r="C6522" s="104"/>
      <c r="E6522" s="107" t="str">
        <f aca="false">IF($C6522="","",IFERROR(INDEX(المنيو!$C$2:$C$500,MATCH($C6522,المنيو!$B$2:$B$500,0)),0))</f>
        <v/>
      </c>
      <c r="F6522" s="107" t="str">
        <f aca="false">IF($C6522="","",$D6522*$E6522)</f>
        <v/>
      </c>
      <c r="G6522" s="107" t="str">
        <f aca="false">IF($C6522="","",$D6522*IFERROR(INDEX('تحليل التكلفة والسعر'!$C$2:$C$700,MATCH($C6522,'تحليل التكلفة والسعر'!$B$2:$B$700,0)),0))</f>
        <v/>
      </c>
    </row>
    <row r="6523" customFormat="false" ht="15" hidden="false" customHeight="false" outlineLevel="0" collapsed="false">
      <c r="A6523" s="103"/>
      <c r="B6523" s="104"/>
      <c r="C6523" s="104"/>
      <c r="E6523" s="107" t="str">
        <f aca="false">IF($C6523="","",IFERROR(INDEX(المنيو!$C$2:$C$500,MATCH($C6523,المنيو!$B$2:$B$500,0)),0))</f>
        <v/>
      </c>
      <c r="F6523" s="107" t="str">
        <f aca="false">IF($C6523="","",$D6523*$E6523)</f>
        <v/>
      </c>
      <c r="G6523" s="107" t="str">
        <f aca="false">IF($C6523="","",$D6523*IFERROR(INDEX('تحليل التكلفة والسعر'!$C$2:$C$700,MATCH($C6523,'تحليل التكلفة والسعر'!$B$2:$B$700,0)),0))</f>
        <v/>
      </c>
    </row>
    <row r="6524" customFormat="false" ht="15" hidden="false" customHeight="false" outlineLevel="0" collapsed="false">
      <c r="A6524" s="103"/>
      <c r="B6524" s="104"/>
      <c r="C6524" s="104"/>
      <c r="E6524" s="107" t="str">
        <f aca="false">IF($C6524="","",IFERROR(INDEX(المنيو!$C$2:$C$500,MATCH($C6524,المنيو!$B$2:$B$500,0)),0))</f>
        <v/>
      </c>
      <c r="F6524" s="107" t="str">
        <f aca="false">IF($C6524="","",$D6524*$E6524)</f>
        <v/>
      </c>
      <c r="G6524" s="107" t="str">
        <f aca="false">IF($C6524="","",$D6524*IFERROR(INDEX('تحليل التكلفة والسعر'!$C$2:$C$700,MATCH($C6524,'تحليل التكلفة والسعر'!$B$2:$B$700,0)),0))</f>
        <v/>
      </c>
    </row>
    <row r="6525" customFormat="false" ht="15" hidden="false" customHeight="false" outlineLevel="0" collapsed="false">
      <c r="A6525" s="103"/>
      <c r="B6525" s="104"/>
      <c r="C6525" s="104"/>
      <c r="E6525" s="107" t="str">
        <f aca="false">IF($C6525="","",IFERROR(INDEX(المنيو!$C$2:$C$500,MATCH($C6525,المنيو!$B$2:$B$500,0)),0))</f>
        <v/>
      </c>
      <c r="F6525" s="107" t="str">
        <f aca="false">IF($C6525="","",$D6525*$E6525)</f>
        <v/>
      </c>
      <c r="G6525" s="107" t="str">
        <f aca="false">IF($C6525="","",$D6525*IFERROR(INDEX('تحليل التكلفة والسعر'!$C$2:$C$700,MATCH($C6525,'تحليل التكلفة والسعر'!$B$2:$B$700,0)),0))</f>
        <v/>
      </c>
    </row>
    <row r="6526" customFormat="false" ht="15" hidden="false" customHeight="false" outlineLevel="0" collapsed="false">
      <c r="A6526" s="103"/>
      <c r="B6526" s="104"/>
      <c r="C6526" s="104"/>
      <c r="E6526" s="107" t="str">
        <f aca="false">IF($C6526="","",IFERROR(INDEX(المنيو!$C$2:$C$500,MATCH($C6526,المنيو!$B$2:$B$500,0)),0))</f>
        <v/>
      </c>
      <c r="F6526" s="107" t="str">
        <f aca="false">IF($C6526="","",$D6526*$E6526)</f>
        <v/>
      </c>
      <c r="G6526" s="107" t="str">
        <f aca="false">IF($C6526="","",$D6526*IFERROR(INDEX('تحليل التكلفة والسعر'!$C$2:$C$700,MATCH($C6526,'تحليل التكلفة والسعر'!$B$2:$B$700,0)),0))</f>
        <v/>
      </c>
    </row>
    <row r="6527" customFormat="false" ht="15" hidden="false" customHeight="false" outlineLevel="0" collapsed="false">
      <c r="A6527" s="103"/>
      <c r="B6527" s="104"/>
      <c r="C6527" s="104"/>
      <c r="E6527" s="107" t="str">
        <f aca="false">IF($C6527="","",IFERROR(INDEX(المنيو!$C$2:$C$500,MATCH($C6527,المنيو!$B$2:$B$500,0)),0))</f>
        <v/>
      </c>
      <c r="F6527" s="107" t="str">
        <f aca="false">IF($C6527="","",$D6527*$E6527)</f>
        <v/>
      </c>
      <c r="G6527" s="107" t="str">
        <f aca="false">IF($C6527="","",$D6527*IFERROR(INDEX('تحليل التكلفة والسعر'!$C$2:$C$700,MATCH($C6527,'تحليل التكلفة والسعر'!$B$2:$B$700,0)),0))</f>
        <v/>
      </c>
    </row>
    <row r="6528" customFormat="false" ht="15" hidden="false" customHeight="false" outlineLevel="0" collapsed="false">
      <c r="A6528" s="103"/>
      <c r="B6528" s="104"/>
      <c r="C6528" s="104"/>
      <c r="E6528" s="107" t="str">
        <f aca="false">IF($C6528="","",IFERROR(INDEX(المنيو!$C$2:$C$500,MATCH($C6528,المنيو!$B$2:$B$500,0)),0))</f>
        <v/>
      </c>
      <c r="F6528" s="107" t="str">
        <f aca="false">IF($C6528="","",$D6528*$E6528)</f>
        <v/>
      </c>
      <c r="G6528" s="107" t="str">
        <f aca="false">IF($C6528="","",$D6528*IFERROR(INDEX('تحليل التكلفة والسعر'!$C$2:$C$700,MATCH($C6528,'تحليل التكلفة والسعر'!$B$2:$B$700,0)),0))</f>
        <v/>
      </c>
    </row>
    <row r="6529" customFormat="false" ht="15" hidden="false" customHeight="false" outlineLevel="0" collapsed="false">
      <c r="A6529" s="103"/>
      <c r="B6529" s="104"/>
      <c r="C6529" s="104"/>
      <c r="E6529" s="107" t="str">
        <f aca="false">IF($C6529="","",IFERROR(INDEX(المنيو!$C$2:$C$500,MATCH($C6529,المنيو!$B$2:$B$500,0)),0))</f>
        <v/>
      </c>
      <c r="F6529" s="107" t="str">
        <f aca="false">IF($C6529="","",$D6529*$E6529)</f>
        <v/>
      </c>
      <c r="G6529" s="107" t="str">
        <f aca="false">IF($C6529="","",$D6529*IFERROR(INDEX('تحليل التكلفة والسعر'!$C$2:$C$700,MATCH($C6529,'تحليل التكلفة والسعر'!$B$2:$B$700,0)),0))</f>
        <v/>
      </c>
    </row>
    <row r="6530" customFormat="false" ht="15" hidden="false" customHeight="false" outlineLevel="0" collapsed="false">
      <c r="A6530" s="103"/>
      <c r="B6530" s="104"/>
      <c r="C6530" s="104"/>
      <c r="E6530" s="107" t="str">
        <f aca="false">IF($C6530="","",IFERROR(INDEX(المنيو!$C$2:$C$500,MATCH($C6530,المنيو!$B$2:$B$500,0)),0))</f>
        <v/>
      </c>
      <c r="F6530" s="107" t="str">
        <f aca="false">IF($C6530="","",$D6530*$E6530)</f>
        <v/>
      </c>
      <c r="G6530" s="107" t="str">
        <f aca="false">IF($C6530="","",$D6530*IFERROR(INDEX('تحليل التكلفة والسعر'!$C$2:$C$700,MATCH($C6530,'تحليل التكلفة والسعر'!$B$2:$B$700,0)),0))</f>
        <v/>
      </c>
    </row>
    <row r="6531" customFormat="false" ht="15" hidden="false" customHeight="false" outlineLevel="0" collapsed="false">
      <c r="A6531" s="103"/>
      <c r="B6531" s="104"/>
      <c r="C6531" s="104"/>
      <c r="E6531" s="107" t="str">
        <f aca="false">IF($C6531="","",IFERROR(INDEX(المنيو!$C$2:$C$500,MATCH($C6531,المنيو!$B$2:$B$500,0)),0))</f>
        <v/>
      </c>
      <c r="F6531" s="107" t="str">
        <f aca="false">IF($C6531="","",$D6531*$E6531)</f>
        <v/>
      </c>
      <c r="G6531" s="107" t="str">
        <f aca="false">IF($C6531="","",$D6531*IFERROR(INDEX('تحليل التكلفة والسعر'!$C$2:$C$700,MATCH($C6531,'تحليل التكلفة والسعر'!$B$2:$B$700,0)),0))</f>
        <v/>
      </c>
    </row>
    <row r="6532" customFormat="false" ht="15" hidden="false" customHeight="false" outlineLevel="0" collapsed="false">
      <c r="A6532" s="103"/>
      <c r="B6532" s="104"/>
      <c r="C6532" s="104"/>
      <c r="E6532" s="107" t="str">
        <f aca="false">IF($C6532="","",IFERROR(INDEX(المنيو!$C$2:$C$500,MATCH($C6532,المنيو!$B$2:$B$500,0)),0))</f>
        <v/>
      </c>
      <c r="F6532" s="107" t="str">
        <f aca="false">IF($C6532="","",$D6532*$E6532)</f>
        <v/>
      </c>
      <c r="G6532" s="107" t="str">
        <f aca="false">IF($C6532="","",$D6532*IFERROR(INDEX('تحليل التكلفة والسعر'!$C$2:$C$700,MATCH($C6532,'تحليل التكلفة والسعر'!$B$2:$B$700,0)),0))</f>
        <v/>
      </c>
    </row>
    <row r="6533" customFormat="false" ht="15" hidden="false" customHeight="false" outlineLevel="0" collapsed="false">
      <c r="A6533" s="103"/>
      <c r="B6533" s="104"/>
      <c r="C6533" s="104"/>
      <c r="E6533" s="107" t="str">
        <f aca="false">IF($C6533="","",IFERROR(INDEX(المنيو!$C$2:$C$500,MATCH($C6533,المنيو!$B$2:$B$500,0)),0))</f>
        <v/>
      </c>
      <c r="F6533" s="107" t="str">
        <f aca="false">IF($C6533="","",$D6533*$E6533)</f>
        <v/>
      </c>
      <c r="G6533" s="107" t="str">
        <f aca="false">IF($C6533="","",$D6533*IFERROR(INDEX('تحليل التكلفة والسعر'!$C$2:$C$700,MATCH($C6533,'تحليل التكلفة والسعر'!$B$2:$B$700,0)),0))</f>
        <v/>
      </c>
    </row>
    <row r="6534" customFormat="false" ht="15" hidden="false" customHeight="false" outlineLevel="0" collapsed="false">
      <c r="A6534" s="103"/>
      <c r="B6534" s="104"/>
      <c r="C6534" s="104"/>
      <c r="E6534" s="107" t="str">
        <f aca="false">IF($C6534="","",IFERROR(INDEX(المنيو!$C$2:$C$500,MATCH($C6534,المنيو!$B$2:$B$500,0)),0))</f>
        <v/>
      </c>
      <c r="F6534" s="107" t="str">
        <f aca="false">IF($C6534="","",$D6534*$E6534)</f>
        <v/>
      </c>
      <c r="G6534" s="107" t="str">
        <f aca="false">IF($C6534="","",$D6534*IFERROR(INDEX('تحليل التكلفة والسعر'!$C$2:$C$700,MATCH($C6534,'تحليل التكلفة والسعر'!$B$2:$B$700,0)),0))</f>
        <v/>
      </c>
    </row>
    <row r="6535" customFormat="false" ht="15" hidden="false" customHeight="false" outlineLevel="0" collapsed="false">
      <c r="A6535" s="103"/>
      <c r="B6535" s="104"/>
      <c r="C6535" s="104"/>
      <c r="E6535" s="107" t="str">
        <f aca="false">IF($C6535="","",IFERROR(INDEX(المنيو!$C$2:$C$500,MATCH($C6535,المنيو!$B$2:$B$500,0)),0))</f>
        <v/>
      </c>
      <c r="F6535" s="107" t="str">
        <f aca="false">IF($C6535="","",$D6535*$E6535)</f>
        <v/>
      </c>
      <c r="G6535" s="107" t="str">
        <f aca="false">IF($C6535="","",$D6535*IFERROR(INDEX('تحليل التكلفة والسعر'!$C$2:$C$700,MATCH($C6535,'تحليل التكلفة والسعر'!$B$2:$B$700,0)),0))</f>
        <v/>
      </c>
    </row>
    <row r="6536" customFormat="false" ht="15" hidden="false" customHeight="false" outlineLevel="0" collapsed="false">
      <c r="A6536" s="103"/>
      <c r="B6536" s="104"/>
      <c r="C6536" s="104"/>
      <c r="E6536" s="107" t="str">
        <f aca="false">IF($C6536="","",IFERROR(INDEX(المنيو!$C$2:$C$500,MATCH($C6536,المنيو!$B$2:$B$500,0)),0))</f>
        <v/>
      </c>
      <c r="F6536" s="107" t="str">
        <f aca="false">IF($C6536="","",$D6536*$E6536)</f>
        <v/>
      </c>
      <c r="G6536" s="107" t="str">
        <f aca="false">IF($C6536="","",$D6536*IFERROR(INDEX('تحليل التكلفة والسعر'!$C$2:$C$700,MATCH($C6536,'تحليل التكلفة والسعر'!$B$2:$B$700,0)),0))</f>
        <v/>
      </c>
    </row>
    <row r="6537" customFormat="false" ht="15" hidden="false" customHeight="false" outlineLevel="0" collapsed="false">
      <c r="A6537" s="103"/>
      <c r="B6537" s="104"/>
      <c r="C6537" s="104"/>
      <c r="E6537" s="107" t="str">
        <f aca="false">IF($C6537="","",IFERROR(INDEX(المنيو!$C$2:$C$500,MATCH($C6537,المنيو!$B$2:$B$500,0)),0))</f>
        <v/>
      </c>
      <c r="F6537" s="107" t="str">
        <f aca="false">IF($C6537="","",$D6537*$E6537)</f>
        <v/>
      </c>
      <c r="G6537" s="107" t="str">
        <f aca="false">IF($C6537="","",$D6537*IFERROR(INDEX('تحليل التكلفة والسعر'!$C$2:$C$700,MATCH($C6537,'تحليل التكلفة والسعر'!$B$2:$B$700,0)),0))</f>
        <v/>
      </c>
    </row>
    <row r="6538" customFormat="false" ht="15" hidden="false" customHeight="false" outlineLevel="0" collapsed="false">
      <c r="A6538" s="103"/>
      <c r="B6538" s="104"/>
      <c r="C6538" s="104"/>
      <c r="E6538" s="107" t="str">
        <f aca="false">IF($C6538="","",IFERROR(INDEX(المنيو!$C$2:$C$500,MATCH($C6538,المنيو!$B$2:$B$500,0)),0))</f>
        <v/>
      </c>
      <c r="F6538" s="107" t="str">
        <f aca="false">IF($C6538="","",$D6538*$E6538)</f>
        <v/>
      </c>
      <c r="G6538" s="107" t="str">
        <f aca="false">IF($C6538="","",$D6538*IFERROR(INDEX('تحليل التكلفة والسعر'!$C$2:$C$700,MATCH($C6538,'تحليل التكلفة والسعر'!$B$2:$B$700,0)),0))</f>
        <v/>
      </c>
    </row>
    <row r="6539" customFormat="false" ht="15" hidden="false" customHeight="false" outlineLevel="0" collapsed="false">
      <c r="A6539" s="103"/>
      <c r="B6539" s="104"/>
      <c r="C6539" s="104"/>
      <c r="E6539" s="107" t="str">
        <f aca="false">IF($C6539="","",IFERROR(INDEX(المنيو!$C$2:$C$500,MATCH($C6539,المنيو!$B$2:$B$500,0)),0))</f>
        <v/>
      </c>
      <c r="F6539" s="107" t="str">
        <f aca="false">IF($C6539="","",$D6539*$E6539)</f>
        <v/>
      </c>
      <c r="G6539" s="107" t="str">
        <f aca="false">IF($C6539="","",$D6539*IFERROR(INDEX('تحليل التكلفة والسعر'!$C$2:$C$700,MATCH($C6539,'تحليل التكلفة والسعر'!$B$2:$B$700,0)),0))</f>
        <v/>
      </c>
    </row>
    <row r="6540" customFormat="false" ht="15" hidden="false" customHeight="false" outlineLevel="0" collapsed="false">
      <c r="A6540" s="103"/>
      <c r="B6540" s="104"/>
      <c r="C6540" s="104"/>
      <c r="E6540" s="107" t="str">
        <f aca="false">IF($C6540="","",IFERROR(INDEX(المنيو!$C$2:$C$500,MATCH($C6540,المنيو!$B$2:$B$500,0)),0))</f>
        <v/>
      </c>
      <c r="F6540" s="107" t="str">
        <f aca="false">IF($C6540="","",$D6540*$E6540)</f>
        <v/>
      </c>
      <c r="G6540" s="107" t="str">
        <f aca="false">IF($C6540="","",$D6540*IFERROR(INDEX('تحليل التكلفة والسعر'!$C$2:$C$700,MATCH($C6540,'تحليل التكلفة والسعر'!$B$2:$B$700,0)),0))</f>
        <v/>
      </c>
    </row>
    <row r="6541" customFormat="false" ht="15" hidden="false" customHeight="false" outlineLevel="0" collapsed="false">
      <c r="A6541" s="103"/>
      <c r="B6541" s="104"/>
      <c r="C6541" s="104"/>
      <c r="E6541" s="107" t="str">
        <f aca="false">IF($C6541="","",IFERROR(INDEX(المنيو!$C$2:$C$500,MATCH($C6541,المنيو!$B$2:$B$500,0)),0))</f>
        <v/>
      </c>
      <c r="F6541" s="107" t="str">
        <f aca="false">IF($C6541="","",$D6541*$E6541)</f>
        <v/>
      </c>
      <c r="G6541" s="107" t="str">
        <f aca="false">IF($C6541="","",$D6541*IFERROR(INDEX('تحليل التكلفة والسعر'!$C$2:$C$700,MATCH($C6541,'تحليل التكلفة والسعر'!$B$2:$B$700,0)),0))</f>
        <v/>
      </c>
    </row>
    <row r="6542" customFormat="false" ht="15" hidden="false" customHeight="false" outlineLevel="0" collapsed="false">
      <c r="A6542" s="103"/>
      <c r="B6542" s="104"/>
      <c r="C6542" s="104"/>
      <c r="E6542" s="107" t="str">
        <f aca="false">IF($C6542="","",IFERROR(INDEX(المنيو!$C$2:$C$500,MATCH($C6542,المنيو!$B$2:$B$500,0)),0))</f>
        <v/>
      </c>
      <c r="F6542" s="107" t="str">
        <f aca="false">IF($C6542="","",$D6542*$E6542)</f>
        <v/>
      </c>
      <c r="G6542" s="107" t="str">
        <f aca="false">IF($C6542="","",$D6542*IFERROR(INDEX('تحليل التكلفة والسعر'!$C$2:$C$700,MATCH($C6542,'تحليل التكلفة والسعر'!$B$2:$B$700,0)),0))</f>
        <v/>
      </c>
    </row>
    <row r="6543" customFormat="false" ht="15" hidden="false" customHeight="false" outlineLevel="0" collapsed="false">
      <c r="A6543" s="103"/>
      <c r="B6543" s="104"/>
      <c r="C6543" s="104"/>
      <c r="E6543" s="107" t="str">
        <f aca="false">IF($C6543="","",IFERROR(INDEX(المنيو!$C$2:$C$500,MATCH($C6543,المنيو!$B$2:$B$500,0)),0))</f>
        <v/>
      </c>
      <c r="F6543" s="107" t="str">
        <f aca="false">IF($C6543="","",$D6543*$E6543)</f>
        <v/>
      </c>
      <c r="G6543" s="107" t="str">
        <f aca="false">IF($C6543="","",$D6543*IFERROR(INDEX('تحليل التكلفة والسعر'!$C$2:$C$700,MATCH($C6543,'تحليل التكلفة والسعر'!$B$2:$B$700,0)),0))</f>
        <v/>
      </c>
    </row>
    <row r="6544" customFormat="false" ht="15" hidden="false" customHeight="false" outlineLevel="0" collapsed="false">
      <c r="A6544" s="103"/>
      <c r="B6544" s="104"/>
      <c r="C6544" s="104"/>
      <c r="E6544" s="107" t="str">
        <f aca="false">IF($C6544="","",IFERROR(INDEX(المنيو!$C$2:$C$500,MATCH($C6544,المنيو!$B$2:$B$500,0)),0))</f>
        <v/>
      </c>
      <c r="F6544" s="107" t="str">
        <f aca="false">IF($C6544="","",$D6544*$E6544)</f>
        <v/>
      </c>
      <c r="G6544" s="107" t="str">
        <f aca="false">IF($C6544="","",$D6544*IFERROR(INDEX('تحليل التكلفة والسعر'!$C$2:$C$700,MATCH($C6544,'تحليل التكلفة والسعر'!$B$2:$B$700,0)),0))</f>
        <v/>
      </c>
    </row>
    <row r="6545" customFormat="false" ht="15" hidden="false" customHeight="false" outlineLevel="0" collapsed="false">
      <c r="A6545" s="103"/>
      <c r="B6545" s="104"/>
      <c r="C6545" s="104"/>
      <c r="E6545" s="107" t="str">
        <f aca="false">IF($C6545="","",IFERROR(INDEX(المنيو!$C$2:$C$500,MATCH($C6545,المنيو!$B$2:$B$500,0)),0))</f>
        <v/>
      </c>
      <c r="F6545" s="107" t="str">
        <f aca="false">IF($C6545="","",$D6545*$E6545)</f>
        <v/>
      </c>
      <c r="G6545" s="107" t="str">
        <f aca="false">IF($C6545="","",$D6545*IFERROR(INDEX('تحليل التكلفة والسعر'!$C$2:$C$700,MATCH($C6545,'تحليل التكلفة والسعر'!$B$2:$B$700,0)),0))</f>
        <v/>
      </c>
    </row>
    <row r="6546" customFormat="false" ht="15" hidden="false" customHeight="false" outlineLevel="0" collapsed="false">
      <c r="A6546" s="103"/>
      <c r="B6546" s="104"/>
      <c r="C6546" s="104"/>
      <c r="E6546" s="107" t="str">
        <f aca="false">IF($C6546="","",IFERROR(INDEX(المنيو!$C$2:$C$500,MATCH($C6546,المنيو!$B$2:$B$500,0)),0))</f>
        <v/>
      </c>
      <c r="F6546" s="107" t="str">
        <f aca="false">IF($C6546="","",$D6546*$E6546)</f>
        <v/>
      </c>
      <c r="G6546" s="107" t="str">
        <f aca="false">IF($C6546="","",$D6546*IFERROR(INDEX('تحليل التكلفة والسعر'!$C$2:$C$700,MATCH($C6546,'تحليل التكلفة والسعر'!$B$2:$B$700,0)),0))</f>
        <v/>
      </c>
    </row>
    <row r="6547" customFormat="false" ht="15" hidden="false" customHeight="false" outlineLevel="0" collapsed="false">
      <c r="A6547" s="103"/>
      <c r="B6547" s="104"/>
      <c r="C6547" s="104"/>
      <c r="E6547" s="107" t="str">
        <f aca="false">IF($C6547="","",IFERROR(INDEX(المنيو!$C$2:$C$500,MATCH($C6547,المنيو!$B$2:$B$500,0)),0))</f>
        <v/>
      </c>
      <c r="F6547" s="107" t="str">
        <f aca="false">IF($C6547="","",$D6547*$E6547)</f>
        <v/>
      </c>
      <c r="G6547" s="107" t="str">
        <f aca="false">IF($C6547="","",$D6547*IFERROR(INDEX('تحليل التكلفة والسعر'!$C$2:$C$700,MATCH($C6547,'تحليل التكلفة والسعر'!$B$2:$B$700,0)),0))</f>
        <v/>
      </c>
    </row>
    <row r="6548" customFormat="false" ht="15" hidden="false" customHeight="false" outlineLevel="0" collapsed="false">
      <c r="A6548" s="103"/>
      <c r="B6548" s="104"/>
      <c r="C6548" s="104"/>
      <c r="E6548" s="107" t="str">
        <f aca="false">IF($C6548="","",IFERROR(INDEX(المنيو!$C$2:$C$500,MATCH($C6548,المنيو!$B$2:$B$500,0)),0))</f>
        <v/>
      </c>
      <c r="F6548" s="107" t="str">
        <f aca="false">IF($C6548="","",$D6548*$E6548)</f>
        <v/>
      </c>
      <c r="G6548" s="107" t="str">
        <f aca="false">IF($C6548="","",$D6548*IFERROR(INDEX('تحليل التكلفة والسعر'!$C$2:$C$700,MATCH($C6548,'تحليل التكلفة والسعر'!$B$2:$B$700,0)),0))</f>
        <v/>
      </c>
    </row>
    <row r="6549" customFormat="false" ht="15" hidden="false" customHeight="false" outlineLevel="0" collapsed="false">
      <c r="A6549" s="103"/>
      <c r="B6549" s="104"/>
      <c r="C6549" s="104"/>
      <c r="E6549" s="107" t="str">
        <f aca="false">IF($C6549="","",IFERROR(INDEX(المنيو!$C$2:$C$500,MATCH($C6549,المنيو!$B$2:$B$500,0)),0))</f>
        <v/>
      </c>
      <c r="F6549" s="107" t="str">
        <f aca="false">IF($C6549="","",$D6549*$E6549)</f>
        <v/>
      </c>
      <c r="G6549" s="107" t="str">
        <f aca="false">IF($C6549="","",$D6549*IFERROR(INDEX('تحليل التكلفة والسعر'!$C$2:$C$700,MATCH($C6549,'تحليل التكلفة والسعر'!$B$2:$B$700,0)),0))</f>
        <v/>
      </c>
    </row>
    <row r="6550" customFormat="false" ht="15" hidden="false" customHeight="false" outlineLevel="0" collapsed="false">
      <c r="A6550" s="103"/>
      <c r="B6550" s="104"/>
      <c r="C6550" s="104"/>
      <c r="E6550" s="107" t="str">
        <f aca="false">IF($C6550="","",IFERROR(INDEX(المنيو!$C$2:$C$500,MATCH($C6550,المنيو!$B$2:$B$500,0)),0))</f>
        <v/>
      </c>
      <c r="F6550" s="107" t="str">
        <f aca="false">IF($C6550="","",$D6550*$E6550)</f>
        <v/>
      </c>
      <c r="G6550" s="107" t="str">
        <f aca="false">IF($C6550="","",$D6550*IFERROR(INDEX('تحليل التكلفة والسعر'!$C$2:$C$700,MATCH($C6550,'تحليل التكلفة والسعر'!$B$2:$B$700,0)),0))</f>
        <v/>
      </c>
    </row>
    <row r="6551" customFormat="false" ht="15" hidden="false" customHeight="false" outlineLevel="0" collapsed="false">
      <c r="A6551" s="103"/>
      <c r="B6551" s="104"/>
      <c r="C6551" s="104"/>
      <c r="E6551" s="107" t="str">
        <f aca="false">IF($C6551="","",IFERROR(INDEX(المنيو!$C$2:$C$500,MATCH($C6551,المنيو!$B$2:$B$500,0)),0))</f>
        <v/>
      </c>
      <c r="F6551" s="107" t="str">
        <f aca="false">IF($C6551="","",$D6551*$E6551)</f>
        <v/>
      </c>
      <c r="G6551" s="107" t="str">
        <f aca="false">IF($C6551="","",$D6551*IFERROR(INDEX('تحليل التكلفة والسعر'!$C$2:$C$700,MATCH($C6551,'تحليل التكلفة والسعر'!$B$2:$B$700,0)),0))</f>
        <v/>
      </c>
    </row>
    <row r="6552" customFormat="false" ht="15" hidden="false" customHeight="false" outlineLevel="0" collapsed="false">
      <c r="A6552" s="103"/>
      <c r="B6552" s="104"/>
      <c r="C6552" s="104"/>
      <c r="E6552" s="107" t="str">
        <f aca="false">IF($C6552="","",IFERROR(INDEX(المنيو!$C$2:$C$500,MATCH($C6552,المنيو!$B$2:$B$500,0)),0))</f>
        <v/>
      </c>
      <c r="F6552" s="107" t="str">
        <f aca="false">IF($C6552="","",$D6552*$E6552)</f>
        <v/>
      </c>
      <c r="G6552" s="107" t="str">
        <f aca="false">IF($C6552="","",$D6552*IFERROR(INDEX('تحليل التكلفة والسعر'!$C$2:$C$700,MATCH($C6552,'تحليل التكلفة والسعر'!$B$2:$B$700,0)),0))</f>
        <v/>
      </c>
    </row>
    <row r="6553" customFormat="false" ht="15" hidden="false" customHeight="false" outlineLevel="0" collapsed="false">
      <c r="A6553" s="103"/>
      <c r="B6553" s="104"/>
      <c r="C6553" s="104"/>
      <c r="E6553" s="107" t="str">
        <f aca="false">IF($C6553="","",IFERROR(INDEX(المنيو!$C$2:$C$500,MATCH($C6553,المنيو!$B$2:$B$500,0)),0))</f>
        <v/>
      </c>
      <c r="F6553" s="107" t="str">
        <f aca="false">IF($C6553="","",$D6553*$E6553)</f>
        <v/>
      </c>
      <c r="G6553" s="107" t="str">
        <f aca="false">IF($C6553="","",$D6553*IFERROR(INDEX('تحليل التكلفة والسعر'!$C$2:$C$700,MATCH($C6553,'تحليل التكلفة والسعر'!$B$2:$B$700,0)),0))</f>
        <v/>
      </c>
    </row>
    <row r="6554" customFormat="false" ht="15" hidden="false" customHeight="false" outlineLevel="0" collapsed="false">
      <c r="A6554" s="103"/>
      <c r="B6554" s="104"/>
      <c r="C6554" s="104"/>
      <c r="E6554" s="107" t="str">
        <f aca="false">IF($C6554="","",IFERROR(INDEX(المنيو!$C$2:$C$500,MATCH($C6554,المنيو!$B$2:$B$500,0)),0))</f>
        <v/>
      </c>
      <c r="F6554" s="107" t="str">
        <f aca="false">IF($C6554="","",$D6554*$E6554)</f>
        <v/>
      </c>
      <c r="G6554" s="107" t="str">
        <f aca="false">IF($C6554="","",$D6554*IFERROR(INDEX('تحليل التكلفة والسعر'!$C$2:$C$700,MATCH($C6554,'تحليل التكلفة والسعر'!$B$2:$B$700,0)),0))</f>
        <v/>
      </c>
    </row>
    <row r="6555" customFormat="false" ht="15" hidden="false" customHeight="false" outlineLevel="0" collapsed="false">
      <c r="A6555" s="103"/>
      <c r="B6555" s="104"/>
      <c r="C6555" s="104"/>
      <c r="E6555" s="107" t="str">
        <f aca="false">IF($C6555="","",IFERROR(INDEX(المنيو!$C$2:$C$500,MATCH($C6555,المنيو!$B$2:$B$500,0)),0))</f>
        <v/>
      </c>
      <c r="F6555" s="107" t="str">
        <f aca="false">IF($C6555="","",$D6555*$E6555)</f>
        <v/>
      </c>
      <c r="G6555" s="107" t="str">
        <f aca="false">IF($C6555="","",$D6555*IFERROR(INDEX('تحليل التكلفة والسعر'!$C$2:$C$700,MATCH($C6555,'تحليل التكلفة والسعر'!$B$2:$B$700,0)),0))</f>
        <v/>
      </c>
    </row>
    <row r="6556" customFormat="false" ht="15" hidden="false" customHeight="false" outlineLevel="0" collapsed="false">
      <c r="A6556" s="103"/>
      <c r="B6556" s="104"/>
      <c r="C6556" s="104"/>
      <c r="E6556" s="107" t="str">
        <f aca="false">IF($C6556="","",IFERROR(INDEX(المنيو!$C$2:$C$500,MATCH($C6556,المنيو!$B$2:$B$500,0)),0))</f>
        <v/>
      </c>
      <c r="F6556" s="107" t="str">
        <f aca="false">IF($C6556="","",$D6556*$E6556)</f>
        <v/>
      </c>
      <c r="G6556" s="107" t="str">
        <f aca="false">IF($C6556="","",$D6556*IFERROR(INDEX('تحليل التكلفة والسعر'!$C$2:$C$700,MATCH($C6556,'تحليل التكلفة والسعر'!$B$2:$B$700,0)),0))</f>
        <v/>
      </c>
    </row>
    <row r="6557" customFormat="false" ht="15" hidden="false" customHeight="false" outlineLevel="0" collapsed="false">
      <c r="A6557" s="103"/>
      <c r="B6557" s="104"/>
      <c r="C6557" s="104"/>
      <c r="E6557" s="107" t="str">
        <f aca="false">IF($C6557="","",IFERROR(INDEX(المنيو!$C$2:$C$500,MATCH($C6557,المنيو!$B$2:$B$500,0)),0))</f>
        <v/>
      </c>
      <c r="F6557" s="107" t="str">
        <f aca="false">IF($C6557="","",$D6557*$E6557)</f>
        <v/>
      </c>
      <c r="G6557" s="107" t="str">
        <f aca="false">IF($C6557="","",$D6557*IFERROR(INDEX('تحليل التكلفة والسعر'!$C$2:$C$700,MATCH($C6557,'تحليل التكلفة والسعر'!$B$2:$B$700,0)),0))</f>
        <v/>
      </c>
    </row>
    <row r="6558" customFormat="false" ht="15" hidden="false" customHeight="false" outlineLevel="0" collapsed="false">
      <c r="A6558" s="103"/>
      <c r="B6558" s="104"/>
      <c r="C6558" s="104"/>
      <c r="E6558" s="107" t="str">
        <f aca="false">IF($C6558="","",IFERROR(INDEX(المنيو!$C$2:$C$500,MATCH($C6558,المنيو!$B$2:$B$500,0)),0))</f>
        <v/>
      </c>
      <c r="F6558" s="107" t="str">
        <f aca="false">IF($C6558="","",$D6558*$E6558)</f>
        <v/>
      </c>
      <c r="G6558" s="107" t="str">
        <f aca="false">IF($C6558="","",$D6558*IFERROR(INDEX('تحليل التكلفة والسعر'!$C$2:$C$700,MATCH($C6558,'تحليل التكلفة والسعر'!$B$2:$B$700,0)),0))</f>
        <v/>
      </c>
    </row>
    <row r="6559" customFormat="false" ht="15" hidden="false" customHeight="false" outlineLevel="0" collapsed="false">
      <c r="A6559" s="103"/>
      <c r="B6559" s="104"/>
      <c r="C6559" s="104"/>
      <c r="E6559" s="107" t="str">
        <f aca="false">IF($C6559="","",IFERROR(INDEX(المنيو!$C$2:$C$500,MATCH($C6559,المنيو!$B$2:$B$500,0)),0))</f>
        <v/>
      </c>
      <c r="F6559" s="107" t="str">
        <f aca="false">IF($C6559="","",$D6559*$E6559)</f>
        <v/>
      </c>
      <c r="G6559" s="107" t="str">
        <f aca="false">IF($C6559="","",$D6559*IFERROR(INDEX('تحليل التكلفة والسعر'!$C$2:$C$700,MATCH($C6559,'تحليل التكلفة والسعر'!$B$2:$B$700,0)),0))</f>
        <v/>
      </c>
    </row>
    <row r="6560" customFormat="false" ht="15" hidden="false" customHeight="false" outlineLevel="0" collapsed="false">
      <c r="A6560" s="103"/>
      <c r="B6560" s="104"/>
      <c r="C6560" s="104"/>
      <c r="E6560" s="107" t="str">
        <f aca="false">IF($C6560="","",IFERROR(INDEX(المنيو!$C$2:$C$500,MATCH($C6560,المنيو!$B$2:$B$500,0)),0))</f>
        <v/>
      </c>
      <c r="F6560" s="107" t="str">
        <f aca="false">IF($C6560="","",$D6560*$E6560)</f>
        <v/>
      </c>
      <c r="G6560" s="107" t="str">
        <f aca="false">IF($C6560="","",$D6560*IFERROR(INDEX('تحليل التكلفة والسعر'!$C$2:$C$700,MATCH($C6560,'تحليل التكلفة والسعر'!$B$2:$B$700,0)),0))</f>
        <v/>
      </c>
    </row>
    <row r="6561" customFormat="false" ht="15" hidden="false" customHeight="false" outlineLevel="0" collapsed="false">
      <c r="A6561" s="103"/>
      <c r="B6561" s="104"/>
      <c r="C6561" s="104"/>
      <c r="E6561" s="107" t="str">
        <f aca="false">IF($C6561="","",IFERROR(INDEX(المنيو!$C$2:$C$500,MATCH($C6561,المنيو!$B$2:$B$500,0)),0))</f>
        <v/>
      </c>
      <c r="F6561" s="107" t="str">
        <f aca="false">IF($C6561="","",$D6561*$E6561)</f>
        <v/>
      </c>
      <c r="G6561" s="107" t="str">
        <f aca="false">IF($C6561="","",$D6561*IFERROR(INDEX('تحليل التكلفة والسعر'!$C$2:$C$700,MATCH($C6561,'تحليل التكلفة والسعر'!$B$2:$B$700,0)),0))</f>
        <v/>
      </c>
    </row>
    <row r="6562" customFormat="false" ht="15" hidden="false" customHeight="false" outlineLevel="0" collapsed="false">
      <c r="A6562" s="103"/>
      <c r="B6562" s="104"/>
      <c r="C6562" s="104"/>
      <c r="E6562" s="107" t="str">
        <f aca="false">IF($C6562="","",IFERROR(INDEX(المنيو!$C$2:$C$500,MATCH($C6562,المنيو!$B$2:$B$500,0)),0))</f>
        <v/>
      </c>
      <c r="F6562" s="107" t="str">
        <f aca="false">IF($C6562="","",$D6562*$E6562)</f>
        <v/>
      </c>
      <c r="G6562" s="107" t="str">
        <f aca="false">IF($C6562="","",$D6562*IFERROR(INDEX('تحليل التكلفة والسعر'!$C$2:$C$700,MATCH($C6562,'تحليل التكلفة والسعر'!$B$2:$B$700,0)),0))</f>
        <v/>
      </c>
    </row>
    <row r="6563" customFormat="false" ht="15" hidden="false" customHeight="false" outlineLevel="0" collapsed="false">
      <c r="A6563" s="103"/>
      <c r="B6563" s="104"/>
      <c r="C6563" s="104"/>
      <c r="E6563" s="107" t="str">
        <f aca="false">IF($C6563="","",IFERROR(INDEX(المنيو!$C$2:$C$500,MATCH($C6563,المنيو!$B$2:$B$500,0)),0))</f>
        <v/>
      </c>
      <c r="F6563" s="107" t="str">
        <f aca="false">IF($C6563="","",$D6563*$E6563)</f>
        <v/>
      </c>
      <c r="G6563" s="107" t="str">
        <f aca="false">IF($C6563="","",$D6563*IFERROR(INDEX('تحليل التكلفة والسعر'!$C$2:$C$700,MATCH($C6563,'تحليل التكلفة والسعر'!$B$2:$B$700,0)),0))</f>
        <v/>
      </c>
    </row>
    <row r="6564" customFormat="false" ht="15" hidden="false" customHeight="false" outlineLevel="0" collapsed="false">
      <c r="A6564" s="103"/>
      <c r="B6564" s="104"/>
      <c r="C6564" s="104"/>
      <c r="E6564" s="107" t="str">
        <f aca="false">IF($C6564="","",IFERROR(INDEX(المنيو!$C$2:$C$500,MATCH($C6564,المنيو!$B$2:$B$500,0)),0))</f>
        <v/>
      </c>
      <c r="F6564" s="107" t="str">
        <f aca="false">IF($C6564="","",$D6564*$E6564)</f>
        <v/>
      </c>
      <c r="G6564" s="107" t="str">
        <f aca="false">IF($C6564="","",$D6564*IFERROR(INDEX('تحليل التكلفة والسعر'!$C$2:$C$700,MATCH($C6564,'تحليل التكلفة والسعر'!$B$2:$B$700,0)),0))</f>
        <v/>
      </c>
    </row>
    <row r="6565" customFormat="false" ht="15" hidden="false" customHeight="false" outlineLevel="0" collapsed="false">
      <c r="A6565" s="103"/>
      <c r="B6565" s="104"/>
      <c r="C6565" s="104"/>
      <c r="E6565" s="107" t="str">
        <f aca="false">IF($C6565="","",IFERROR(INDEX(المنيو!$C$2:$C$500,MATCH($C6565,المنيو!$B$2:$B$500,0)),0))</f>
        <v/>
      </c>
      <c r="F6565" s="107" t="str">
        <f aca="false">IF($C6565="","",$D6565*$E6565)</f>
        <v/>
      </c>
      <c r="G6565" s="107" t="str">
        <f aca="false">IF($C6565="","",$D6565*IFERROR(INDEX('تحليل التكلفة والسعر'!$C$2:$C$700,MATCH($C6565,'تحليل التكلفة والسعر'!$B$2:$B$700,0)),0))</f>
        <v/>
      </c>
    </row>
    <row r="6566" customFormat="false" ht="15" hidden="false" customHeight="false" outlineLevel="0" collapsed="false">
      <c r="A6566" s="103"/>
      <c r="B6566" s="104"/>
      <c r="C6566" s="104"/>
      <c r="E6566" s="107" t="str">
        <f aca="false">IF($C6566="","",IFERROR(INDEX(المنيو!$C$2:$C$500,MATCH($C6566,المنيو!$B$2:$B$500,0)),0))</f>
        <v/>
      </c>
      <c r="F6566" s="107" t="str">
        <f aca="false">IF($C6566="","",$D6566*$E6566)</f>
        <v/>
      </c>
      <c r="G6566" s="107" t="str">
        <f aca="false">IF($C6566="","",$D6566*IFERROR(INDEX('تحليل التكلفة والسعر'!$C$2:$C$700,MATCH($C6566,'تحليل التكلفة والسعر'!$B$2:$B$700,0)),0))</f>
        <v/>
      </c>
    </row>
    <row r="6567" customFormat="false" ht="15" hidden="false" customHeight="false" outlineLevel="0" collapsed="false">
      <c r="A6567" s="103"/>
      <c r="B6567" s="104"/>
      <c r="C6567" s="104"/>
      <c r="E6567" s="107" t="str">
        <f aca="false">IF($C6567="","",IFERROR(INDEX(المنيو!$C$2:$C$500,MATCH($C6567,المنيو!$B$2:$B$500,0)),0))</f>
        <v/>
      </c>
      <c r="F6567" s="107" t="str">
        <f aca="false">IF($C6567="","",$D6567*$E6567)</f>
        <v/>
      </c>
      <c r="G6567" s="107" t="str">
        <f aca="false">IF($C6567="","",$D6567*IFERROR(INDEX('تحليل التكلفة والسعر'!$C$2:$C$700,MATCH($C6567,'تحليل التكلفة والسعر'!$B$2:$B$700,0)),0))</f>
        <v/>
      </c>
    </row>
    <row r="6568" customFormat="false" ht="15" hidden="false" customHeight="false" outlineLevel="0" collapsed="false">
      <c r="A6568" s="103"/>
      <c r="B6568" s="104"/>
      <c r="C6568" s="104"/>
      <c r="E6568" s="107" t="str">
        <f aca="false">IF($C6568="","",IFERROR(INDEX(المنيو!$C$2:$C$500,MATCH($C6568,المنيو!$B$2:$B$500,0)),0))</f>
        <v/>
      </c>
      <c r="F6568" s="107" t="str">
        <f aca="false">IF($C6568="","",$D6568*$E6568)</f>
        <v/>
      </c>
      <c r="G6568" s="107" t="str">
        <f aca="false">IF($C6568="","",$D6568*IFERROR(INDEX('تحليل التكلفة والسعر'!$C$2:$C$700,MATCH($C6568,'تحليل التكلفة والسعر'!$B$2:$B$700,0)),0))</f>
        <v/>
      </c>
    </row>
    <row r="6569" customFormat="false" ht="15" hidden="false" customHeight="false" outlineLevel="0" collapsed="false">
      <c r="A6569" s="103"/>
      <c r="B6569" s="104"/>
      <c r="C6569" s="104"/>
      <c r="E6569" s="107" t="str">
        <f aca="false">IF($C6569="","",IFERROR(INDEX(المنيو!$C$2:$C$500,MATCH($C6569,المنيو!$B$2:$B$500,0)),0))</f>
        <v/>
      </c>
      <c r="F6569" s="107" t="str">
        <f aca="false">IF($C6569="","",$D6569*$E6569)</f>
        <v/>
      </c>
      <c r="G6569" s="107" t="str">
        <f aca="false">IF($C6569="","",$D6569*IFERROR(INDEX('تحليل التكلفة والسعر'!$C$2:$C$700,MATCH($C6569,'تحليل التكلفة والسعر'!$B$2:$B$700,0)),0))</f>
        <v/>
      </c>
    </row>
    <row r="6570" customFormat="false" ht="15" hidden="false" customHeight="false" outlineLevel="0" collapsed="false">
      <c r="A6570" s="103"/>
      <c r="B6570" s="104"/>
      <c r="C6570" s="104"/>
      <c r="E6570" s="107" t="str">
        <f aca="false">IF($C6570="","",IFERROR(INDEX(المنيو!$C$2:$C$500,MATCH($C6570,المنيو!$B$2:$B$500,0)),0))</f>
        <v/>
      </c>
      <c r="F6570" s="107" t="str">
        <f aca="false">IF($C6570="","",$D6570*$E6570)</f>
        <v/>
      </c>
      <c r="G6570" s="107" t="str">
        <f aca="false">IF($C6570="","",$D6570*IFERROR(INDEX('تحليل التكلفة والسعر'!$C$2:$C$700,MATCH($C6570,'تحليل التكلفة والسعر'!$B$2:$B$700,0)),0))</f>
        <v/>
      </c>
    </row>
    <row r="6571" customFormat="false" ht="15" hidden="false" customHeight="false" outlineLevel="0" collapsed="false">
      <c r="A6571" s="103"/>
      <c r="B6571" s="104"/>
      <c r="C6571" s="104"/>
      <c r="E6571" s="107" t="str">
        <f aca="false">IF($C6571="","",IFERROR(INDEX(المنيو!$C$2:$C$500,MATCH($C6571,المنيو!$B$2:$B$500,0)),0))</f>
        <v/>
      </c>
      <c r="F6571" s="107" t="str">
        <f aca="false">IF($C6571="","",$D6571*$E6571)</f>
        <v/>
      </c>
      <c r="G6571" s="107" t="str">
        <f aca="false">IF($C6571="","",$D6571*IFERROR(INDEX('تحليل التكلفة والسعر'!$C$2:$C$700,MATCH($C6571,'تحليل التكلفة والسعر'!$B$2:$B$700,0)),0))</f>
        <v/>
      </c>
    </row>
    <row r="6572" customFormat="false" ht="15" hidden="false" customHeight="false" outlineLevel="0" collapsed="false">
      <c r="A6572" s="103"/>
      <c r="B6572" s="104"/>
      <c r="C6572" s="104"/>
      <c r="E6572" s="107" t="str">
        <f aca="false">IF($C6572="","",IFERROR(INDEX(المنيو!$C$2:$C$500,MATCH($C6572,المنيو!$B$2:$B$500,0)),0))</f>
        <v/>
      </c>
      <c r="F6572" s="107" t="str">
        <f aca="false">IF($C6572="","",$D6572*$E6572)</f>
        <v/>
      </c>
      <c r="G6572" s="107" t="str">
        <f aca="false">IF($C6572="","",$D6572*IFERROR(INDEX('تحليل التكلفة والسعر'!$C$2:$C$700,MATCH($C6572,'تحليل التكلفة والسعر'!$B$2:$B$700,0)),0))</f>
        <v/>
      </c>
    </row>
    <row r="6573" customFormat="false" ht="15" hidden="false" customHeight="false" outlineLevel="0" collapsed="false">
      <c r="A6573" s="103"/>
      <c r="B6573" s="104"/>
      <c r="C6573" s="104"/>
      <c r="E6573" s="107" t="str">
        <f aca="false">IF($C6573="","",IFERROR(INDEX(المنيو!$C$2:$C$500,MATCH($C6573,المنيو!$B$2:$B$500,0)),0))</f>
        <v/>
      </c>
      <c r="F6573" s="107" t="str">
        <f aca="false">IF($C6573="","",$D6573*$E6573)</f>
        <v/>
      </c>
      <c r="G6573" s="107" t="str">
        <f aca="false">IF($C6573="","",$D6573*IFERROR(INDEX('تحليل التكلفة والسعر'!$C$2:$C$700,MATCH($C6573,'تحليل التكلفة والسعر'!$B$2:$B$700,0)),0))</f>
        <v/>
      </c>
    </row>
    <row r="6574" customFormat="false" ht="15" hidden="false" customHeight="false" outlineLevel="0" collapsed="false">
      <c r="A6574" s="103"/>
      <c r="B6574" s="104"/>
      <c r="C6574" s="104"/>
      <c r="E6574" s="107" t="str">
        <f aca="false">IF($C6574="","",IFERROR(INDEX(المنيو!$C$2:$C$500,MATCH($C6574,المنيو!$B$2:$B$500,0)),0))</f>
        <v/>
      </c>
      <c r="F6574" s="107" t="str">
        <f aca="false">IF($C6574="","",$D6574*$E6574)</f>
        <v/>
      </c>
      <c r="G6574" s="107" t="str">
        <f aca="false">IF($C6574="","",$D6574*IFERROR(INDEX('تحليل التكلفة والسعر'!$C$2:$C$700,MATCH($C6574,'تحليل التكلفة والسعر'!$B$2:$B$700,0)),0))</f>
        <v/>
      </c>
    </row>
    <row r="6575" customFormat="false" ht="15" hidden="false" customHeight="false" outlineLevel="0" collapsed="false">
      <c r="A6575" s="103"/>
      <c r="B6575" s="104"/>
      <c r="C6575" s="104"/>
      <c r="E6575" s="107" t="str">
        <f aca="false">IF($C6575="","",IFERROR(INDEX(المنيو!$C$2:$C$500,MATCH($C6575,المنيو!$B$2:$B$500,0)),0))</f>
        <v/>
      </c>
      <c r="F6575" s="107" t="str">
        <f aca="false">IF($C6575="","",$D6575*$E6575)</f>
        <v/>
      </c>
      <c r="G6575" s="107" t="str">
        <f aca="false">IF($C6575="","",$D6575*IFERROR(INDEX('تحليل التكلفة والسعر'!$C$2:$C$700,MATCH($C6575,'تحليل التكلفة والسعر'!$B$2:$B$700,0)),0))</f>
        <v/>
      </c>
    </row>
    <row r="6576" customFormat="false" ht="15" hidden="false" customHeight="false" outlineLevel="0" collapsed="false">
      <c r="A6576" s="103"/>
      <c r="B6576" s="104"/>
      <c r="C6576" s="104"/>
      <c r="E6576" s="107" t="str">
        <f aca="false">IF($C6576="","",IFERROR(INDEX(المنيو!$C$2:$C$500,MATCH($C6576,المنيو!$B$2:$B$500,0)),0))</f>
        <v/>
      </c>
      <c r="F6576" s="107" t="str">
        <f aca="false">IF($C6576="","",$D6576*$E6576)</f>
        <v/>
      </c>
      <c r="G6576" s="107" t="str">
        <f aca="false">IF($C6576="","",$D6576*IFERROR(INDEX('تحليل التكلفة والسعر'!$C$2:$C$700,MATCH($C6576,'تحليل التكلفة والسعر'!$B$2:$B$700,0)),0))</f>
        <v/>
      </c>
    </row>
    <row r="6577" customFormat="false" ht="15" hidden="false" customHeight="false" outlineLevel="0" collapsed="false">
      <c r="A6577" s="103"/>
      <c r="B6577" s="104"/>
      <c r="C6577" s="104"/>
      <c r="E6577" s="107" t="str">
        <f aca="false">IF($C6577="","",IFERROR(INDEX(المنيو!$C$2:$C$500,MATCH($C6577,المنيو!$B$2:$B$500,0)),0))</f>
        <v/>
      </c>
      <c r="F6577" s="107" t="str">
        <f aca="false">IF($C6577="","",$D6577*$E6577)</f>
        <v/>
      </c>
      <c r="G6577" s="107" t="str">
        <f aca="false">IF($C6577="","",$D6577*IFERROR(INDEX('تحليل التكلفة والسعر'!$C$2:$C$700,MATCH($C6577,'تحليل التكلفة والسعر'!$B$2:$B$700,0)),0))</f>
        <v/>
      </c>
    </row>
    <row r="6578" customFormat="false" ht="15" hidden="false" customHeight="false" outlineLevel="0" collapsed="false">
      <c r="A6578" s="103"/>
      <c r="B6578" s="104"/>
      <c r="C6578" s="104"/>
      <c r="E6578" s="107" t="str">
        <f aca="false">IF($C6578="","",IFERROR(INDEX(المنيو!$C$2:$C$500,MATCH($C6578,المنيو!$B$2:$B$500,0)),0))</f>
        <v/>
      </c>
      <c r="F6578" s="107" t="str">
        <f aca="false">IF($C6578="","",$D6578*$E6578)</f>
        <v/>
      </c>
      <c r="G6578" s="107" t="str">
        <f aca="false">IF($C6578="","",$D6578*IFERROR(INDEX('تحليل التكلفة والسعر'!$C$2:$C$700,MATCH($C6578,'تحليل التكلفة والسعر'!$B$2:$B$700,0)),0))</f>
        <v/>
      </c>
    </row>
    <row r="6579" customFormat="false" ht="15" hidden="false" customHeight="false" outlineLevel="0" collapsed="false">
      <c r="A6579" s="103"/>
      <c r="B6579" s="104"/>
      <c r="C6579" s="104"/>
      <c r="E6579" s="107" t="str">
        <f aca="false">IF($C6579="","",IFERROR(INDEX(المنيو!$C$2:$C$500,MATCH($C6579,المنيو!$B$2:$B$500,0)),0))</f>
        <v/>
      </c>
      <c r="F6579" s="107" t="str">
        <f aca="false">IF($C6579="","",$D6579*$E6579)</f>
        <v/>
      </c>
      <c r="G6579" s="107" t="str">
        <f aca="false">IF($C6579="","",$D6579*IFERROR(INDEX('تحليل التكلفة والسعر'!$C$2:$C$700,MATCH($C6579,'تحليل التكلفة والسعر'!$B$2:$B$700,0)),0))</f>
        <v/>
      </c>
    </row>
    <row r="6580" customFormat="false" ht="15" hidden="false" customHeight="false" outlineLevel="0" collapsed="false">
      <c r="A6580" s="103"/>
      <c r="B6580" s="104"/>
      <c r="C6580" s="104"/>
      <c r="E6580" s="107" t="str">
        <f aca="false">IF($C6580="","",IFERROR(INDEX(المنيو!$C$2:$C$500,MATCH($C6580,المنيو!$B$2:$B$500,0)),0))</f>
        <v/>
      </c>
      <c r="F6580" s="107" t="str">
        <f aca="false">IF($C6580="","",$D6580*$E6580)</f>
        <v/>
      </c>
      <c r="G6580" s="107" t="str">
        <f aca="false">IF($C6580="","",$D6580*IFERROR(INDEX('تحليل التكلفة والسعر'!$C$2:$C$700,MATCH($C6580,'تحليل التكلفة والسعر'!$B$2:$B$700,0)),0))</f>
        <v/>
      </c>
    </row>
    <row r="6581" customFormat="false" ht="15" hidden="false" customHeight="false" outlineLevel="0" collapsed="false">
      <c r="A6581" s="103"/>
      <c r="B6581" s="104"/>
      <c r="C6581" s="104"/>
      <c r="E6581" s="107" t="str">
        <f aca="false">IF($C6581="","",IFERROR(INDEX(المنيو!$C$2:$C$500,MATCH($C6581,المنيو!$B$2:$B$500,0)),0))</f>
        <v/>
      </c>
      <c r="F6581" s="107" t="str">
        <f aca="false">IF($C6581="","",$D6581*$E6581)</f>
        <v/>
      </c>
      <c r="G6581" s="107" t="str">
        <f aca="false">IF($C6581="","",$D6581*IFERROR(INDEX('تحليل التكلفة والسعر'!$C$2:$C$700,MATCH($C6581,'تحليل التكلفة والسعر'!$B$2:$B$700,0)),0))</f>
        <v/>
      </c>
    </row>
    <row r="6582" customFormat="false" ht="15" hidden="false" customHeight="false" outlineLevel="0" collapsed="false">
      <c r="A6582" s="103"/>
      <c r="B6582" s="104"/>
      <c r="C6582" s="104"/>
      <c r="E6582" s="107" t="str">
        <f aca="false">IF($C6582="","",IFERROR(INDEX(المنيو!$C$2:$C$500,MATCH($C6582,المنيو!$B$2:$B$500,0)),0))</f>
        <v/>
      </c>
      <c r="F6582" s="107" t="str">
        <f aca="false">IF($C6582="","",$D6582*$E6582)</f>
        <v/>
      </c>
      <c r="G6582" s="107" t="str">
        <f aca="false">IF($C6582="","",$D6582*IFERROR(INDEX('تحليل التكلفة والسعر'!$C$2:$C$700,MATCH($C6582,'تحليل التكلفة والسعر'!$B$2:$B$700,0)),0))</f>
        <v/>
      </c>
    </row>
    <row r="6583" customFormat="false" ht="15" hidden="false" customHeight="false" outlineLevel="0" collapsed="false">
      <c r="A6583" s="103"/>
      <c r="B6583" s="104"/>
      <c r="C6583" s="104"/>
      <c r="E6583" s="107" t="str">
        <f aca="false">IF($C6583="","",IFERROR(INDEX(المنيو!$C$2:$C$500,MATCH($C6583,المنيو!$B$2:$B$500,0)),0))</f>
        <v/>
      </c>
      <c r="F6583" s="107" t="str">
        <f aca="false">IF($C6583="","",$D6583*$E6583)</f>
        <v/>
      </c>
      <c r="G6583" s="107" t="str">
        <f aca="false">IF($C6583="","",$D6583*IFERROR(INDEX('تحليل التكلفة والسعر'!$C$2:$C$700,MATCH($C6583,'تحليل التكلفة والسعر'!$B$2:$B$700,0)),0))</f>
        <v/>
      </c>
    </row>
    <row r="6584" customFormat="false" ht="15" hidden="false" customHeight="false" outlineLevel="0" collapsed="false">
      <c r="A6584" s="103"/>
      <c r="B6584" s="104"/>
      <c r="C6584" s="104"/>
      <c r="E6584" s="107" t="str">
        <f aca="false">IF($C6584="","",IFERROR(INDEX(المنيو!$C$2:$C$500,MATCH($C6584,المنيو!$B$2:$B$500,0)),0))</f>
        <v/>
      </c>
      <c r="F6584" s="107" t="str">
        <f aca="false">IF($C6584="","",$D6584*$E6584)</f>
        <v/>
      </c>
      <c r="G6584" s="107" t="str">
        <f aca="false">IF($C6584="","",$D6584*IFERROR(INDEX('تحليل التكلفة والسعر'!$C$2:$C$700,MATCH($C6584,'تحليل التكلفة والسعر'!$B$2:$B$700,0)),0))</f>
        <v/>
      </c>
    </row>
    <row r="6585" customFormat="false" ht="15" hidden="false" customHeight="false" outlineLevel="0" collapsed="false">
      <c r="A6585" s="103"/>
      <c r="B6585" s="104"/>
      <c r="C6585" s="104"/>
      <c r="E6585" s="107" t="str">
        <f aca="false">IF($C6585="","",IFERROR(INDEX(المنيو!$C$2:$C$500,MATCH($C6585,المنيو!$B$2:$B$500,0)),0))</f>
        <v/>
      </c>
      <c r="F6585" s="107" t="str">
        <f aca="false">IF($C6585="","",$D6585*$E6585)</f>
        <v/>
      </c>
      <c r="G6585" s="107" t="str">
        <f aca="false">IF($C6585="","",$D6585*IFERROR(INDEX('تحليل التكلفة والسعر'!$C$2:$C$700,MATCH($C6585,'تحليل التكلفة والسعر'!$B$2:$B$700,0)),0))</f>
        <v/>
      </c>
    </row>
    <row r="6586" customFormat="false" ht="15" hidden="false" customHeight="false" outlineLevel="0" collapsed="false">
      <c r="A6586" s="103"/>
      <c r="B6586" s="104"/>
      <c r="C6586" s="104"/>
      <c r="E6586" s="107" t="str">
        <f aca="false">IF($C6586="","",IFERROR(INDEX(المنيو!$C$2:$C$500,MATCH($C6586,المنيو!$B$2:$B$500,0)),0))</f>
        <v/>
      </c>
      <c r="F6586" s="107" t="str">
        <f aca="false">IF($C6586="","",$D6586*$E6586)</f>
        <v/>
      </c>
      <c r="G6586" s="107" t="str">
        <f aca="false">IF($C6586="","",$D6586*IFERROR(INDEX('تحليل التكلفة والسعر'!$C$2:$C$700,MATCH($C6586,'تحليل التكلفة والسعر'!$B$2:$B$700,0)),0))</f>
        <v/>
      </c>
    </row>
    <row r="6587" customFormat="false" ht="15" hidden="false" customHeight="false" outlineLevel="0" collapsed="false">
      <c r="A6587" s="103"/>
      <c r="B6587" s="104"/>
      <c r="C6587" s="104"/>
      <c r="E6587" s="107" t="str">
        <f aca="false">IF($C6587="","",IFERROR(INDEX(المنيو!$C$2:$C$500,MATCH($C6587,المنيو!$B$2:$B$500,0)),0))</f>
        <v/>
      </c>
      <c r="F6587" s="107" t="str">
        <f aca="false">IF($C6587="","",$D6587*$E6587)</f>
        <v/>
      </c>
      <c r="G6587" s="107" t="str">
        <f aca="false">IF($C6587="","",$D6587*IFERROR(INDEX('تحليل التكلفة والسعر'!$C$2:$C$700,MATCH($C6587,'تحليل التكلفة والسعر'!$B$2:$B$700,0)),0))</f>
        <v/>
      </c>
    </row>
    <row r="6588" customFormat="false" ht="15" hidden="false" customHeight="false" outlineLevel="0" collapsed="false">
      <c r="A6588" s="103"/>
      <c r="B6588" s="104"/>
      <c r="C6588" s="104"/>
      <c r="E6588" s="107" t="str">
        <f aca="false">IF($C6588="","",IFERROR(INDEX(المنيو!$C$2:$C$500,MATCH($C6588,المنيو!$B$2:$B$500,0)),0))</f>
        <v/>
      </c>
      <c r="F6588" s="107" t="str">
        <f aca="false">IF($C6588="","",$D6588*$E6588)</f>
        <v/>
      </c>
      <c r="G6588" s="107" t="str">
        <f aca="false">IF($C6588="","",$D6588*IFERROR(INDEX('تحليل التكلفة والسعر'!$C$2:$C$700,MATCH($C6588,'تحليل التكلفة والسعر'!$B$2:$B$700,0)),0))</f>
        <v/>
      </c>
    </row>
    <row r="6589" customFormat="false" ht="15" hidden="false" customHeight="false" outlineLevel="0" collapsed="false">
      <c r="A6589" s="103"/>
      <c r="B6589" s="104"/>
      <c r="C6589" s="104"/>
      <c r="E6589" s="107" t="str">
        <f aca="false">IF($C6589="","",IFERROR(INDEX(المنيو!$C$2:$C$500,MATCH($C6589,المنيو!$B$2:$B$500,0)),0))</f>
        <v/>
      </c>
      <c r="F6589" s="107" t="str">
        <f aca="false">IF($C6589="","",$D6589*$E6589)</f>
        <v/>
      </c>
      <c r="G6589" s="107" t="str">
        <f aca="false">IF($C6589="","",$D6589*IFERROR(INDEX('تحليل التكلفة والسعر'!$C$2:$C$700,MATCH($C6589,'تحليل التكلفة والسعر'!$B$2:$B$700,0)),0))</f>
        <v/>
      </c>
    </row>
    <row r="6590" customFormat="false" ht="15" hidden="false" customHeight="false" outlineLevel="0" collapsed="false">
      <c r="A6590" s="103"/>
      <c r="B6590" s="104"/>
      <c r="C6590" s="104"/>
      <c r="E6590" s="107" t="str">
        <f aca="false">IF($C6590="","",IFERROR(INDEX(المنيو!$C$2:$C$500,MATCH($C6590,المنيو!$B$2:$B$500,0)),0))</f>
        <v/>
      </c>
      <c r="F6590" s="107" t="str">
        <f aca="false">IF($C6590="","",$D6590*$E6590)</f>
        <v/>
      </c>
      <c r="G6590" s="107" t="str">
        <f aca="false">IF($C6590="","",$D6590*IFERROR(INDEX('تحليل التكلفة والسعر'!$C$2:$C$700,MATCH($C6590,'تحليل التكلفة والسعر'!$B$2:$B$700,0)),0))</f>
        <v/>
      </c>
    </row>
    <row r="6591" customFormat="false" ht="15" hidden="false" customHeight="false" outlineLevel="0" collapsed="false">
      <c r="A6591" s="103"/>
      <c r="B6591" s="104"/>
      <c r="C6591" s="104"/>
      <c r="E6591" s="107" t="str">
        <f aca="false">IF($C6591="","",IFERROR(INDEX(المنيو!$C$2:$C$500,MATCH($C6591,المنيو!$B$2:$B$500,0)),0))</f>
        <v/>
      </c>
      <c r="F6591" s="107" t="str">
        <f aca="false">IF($C6591="","",$D6591*$E6591)</f>
        <v/>
      </c>
      <c r="G6591" s="107" t="str">
        <f aca="false">IF($C6591="","",$D6591*IFERROR(INDEX('تحليل التكلفة والسعر'!$C$2:$C$700,MATCH($C6591,'تحليل التكلفة والسعر'!$B$2:$B$700,0)),0))</f>
        <v/>
      </c>
    </row>
    <row r="6592" customFormat="false" ht="15" hidden="false" customHeight="false" outlineLevel="0" collapsed="false">
      <c r="A6592" s="103"/>
      <c r="B6592" s="104"/>
      <c r="C6592" s="104"/>
      <c r="E6592" s="107" t="str">
        <f aca="false">IF($C6592="","",IFERROR(INDEX(المنيو!$C$2:$C$500,MATCH($C6592,المنيو!$B$2:$B$500,0)),0))</f>
        <v/>
      </c>
      <c r="F6592" s="107" t="str">
        <f aca="false">IF($C6592="","",$D6592*$E6592)</f>
        <v/>
      </c>
      <c r="G6592" s="107" t="str">
        <f aca="false">IF($C6592="","",$D6592*IFERROR(INDEX('تحليل التكلفة والسعر'!$C$2:$C$700,MATCH($C6592,'تحليل التكلفة والسعر'!$B$2:$B$700,0)),0))</f>
        <v/>
      </c>
    </row>
    <row r="6593" customFormat="false" ht="15" hidden="false" customHeight="false" outlineLevel="0" collapsed="false">
      <c r="A6593" s="103"/>
      <c r="B6593" s="104"/>
      <c r="C6593" s="104"/>
      <c r="E6593" s="107" t="str">
        <f aca="false">IF($C6593="","",IFERROR(INDEX(المنيو!$C$2:$C$500,MATCH($C6593,المنيو!$B$2:$B$500,0)),0))</f>
        <v/>
      </c>
      <c r="F6593" s="107" t="str">
        <f aca="false">IF($C6593="","",$D6593*$E6593)</f>
        <v/>
      </c>
      <c r="G6593" s="107" t="str">
        <f aca="false">IF($C6593="","",$D6593*IFERROR(INDEX('تحليل التكلفة والسعر'!$C$2:$C$700,MATCH($C6593,'تحليل التكلفة والسعر'!$B$2:$B$700,0)),0))</f>
        <v/>
      </c>
    </row>
    <row r="6594" customFormat="false" ht="15" hidden="false" customHeight="false" outlineLevel="0" collapsed="false">
      <c r="A6594" s="103"/>
      <c r="B6594" s="104"/>
      <c r="C6594" s="104"/>
      <c r="E6594" s="107" t="str">
        <f aca="false">IF($C6594="","",IFERROR(INDEX(المنيو!$C$2:$C$500,MATCH($C6594,المنيو!$B$2:$B$500,0)),0))</f>
        <v/>
      </c>
      <c r="F6594" s="107" t="str">
        <f aca="false">IF($C6594="","",$D6594*$E6594)</f>
        <v/>
      </c>
      <c r="G6594" s="107" t="str">
        <f aca="false">IF($C6594="","",$D6594*IFERROR(INDEX('تحليل التكلفة والسعر'!$C$2:$C$700,MATCH($C6594,'تحليل التكلفة والسعر'!$B$2:$B$700,0)),0))</f>
        <v/>
      </c>
    </row>
    <row r="6595" customFormat="false" ht="15" hidden="false" customHeight="false" outlineLevel="0" collapsed="false">
      <c r="A6595" s="103"/>
      <c r="B6595" s="104"/>
      <c r="C6595" s="104"/>
      <c r="E6595" s="107" t="str">
        <f aca="false">IF($C6595="","",IFERROR(INDEX(المنيو!$C$2:$C$500,MATCH($C6595,المنيو!$B$2:$B$500,0)),0))</f>
        <v/>
      </c>
      <c r="F6595" s="107" t="str">
        <f aca="false">IF($C6595="","",$D6595*$E6595)</f>
        <v/>
      </c>
      <c r="G6595" s="107" t="str">
        <f aca="false">IF($C6595="","",$D6595*IFERROR(INDEX('تحليل التكلفة والسعر'!$C$2:$C$700,MATCH($C6595,'تحليل التكلفة والسعر'!$B$2:$B$700,0)),0))</f>
        <v/>
      </c>
    </row>
    <row r="6596" customFormat="false" ht="15" hidden="false" customHeight="false" outlineLevel="0" collapsed="false">
      <c r="A6596" s="103"/>
      <c r="B6596" s="104"/>
      <c r="C6596" s="104"/>
      <c r="E6596" s="107" t="str">
        <f aca="false">IF($C6596="","",IFERROR(INDEX(المنيو!$C$2:$C$500,MATCH($C6596,المنيو!$B$2:$B$500,0)),0))</f>
        <v/>
      </c>
      <c r="F6596" s="107" t="str">
        <f aca="false">IF($C6596="","",$D6596*$E6596)</f>
        <v/>
      </c>
      <c r="G6596" s="107" t="str">
        <f aca="false">IF($C6596="","",$D6596*IFERROR(INDEX('تحليل التكلفة والسعر'!$C$2:$C$700,MATCH($C6596,'تحليل التكلفة والسعر'!$B$2:$B$700,0)),0))</f>
        <v/>
      </c>
    </row>
    <row r="6597" customFormat="false" ht="15" hidden="false" customHeight="false" outlineLevel="0" collapsed="false">
      <c r="A6597" s="103"/>
      <c r="B6597" s="104"/>
      <c r="C6597" s="104"/>
      <c r="E6597" s="107" t="str">
        <f aca="false">IF($C6597="","",IFERROR(INDEX(المنيو!$C$2:$C$500,MATCH($C6597,المنيو!$B$2:$B$500,0)),0))</f>
        <v/>
      </c>
      <c r="F6597" s="107" t="str">
        <f aca="false">IF($C6597="","",$D6597*$E6597)</f>
        <v/>
      </c>
      <c r="G6597" s="107" t="str">
        <f aca="false">IF($C6597="","",$D6597*IFERROR(INDEX('تحليل التكلفة والسعر'!$C$2:$C$700,MATCH($C6597,'تحليل التكلفة والسعر'!$B$2:$B$700,0)),0))</f>
        <v/>
      </c>
    </row>
    <row r="6598" customFormat="false" ht="15" hidden="false" customHeight="false" outlineLevel="0" collapsed="false">
      <c r="A6598" s="103"/>
      <c r="B6598" s="104"/>
      <c r="C6598" s="104"/>
      <c r="E6598" s="107" t="str">
        <f aca="false">IF($C6598="","",IFERROR(INDEX(المنيو!$C$2:$C$500,MATCH($C6598,المنيو!$B$2:$B$500,0)),0))</f>
        <v/>
      </c>
      <c r="F6598" s="107" t="str">
        <f aca="false">IF($C6598="","",$D6598*$E6598)</f>
        <v/>
      </c>
      <c r="G6598" s="107" t="str">
        <f aca="false">IF($C6598="","",$D6598*IFERROR(INDEX('تحليل التكلفة والسعر'!$C$2:$C$700,MATCH($C6598,'تحليل التكلفة والسعر'!$B$2:$B$700,0)),0))</f>
        <v/>
      </c>
    </row>
    <row r="6599" customFormat="false" ht="15" hidden="false" customHeight="false" outlineLevel="0" collapsed="false">
      <c r="A6599" s="103"/>
      <c r="B6599" s="104"/>
      <c r="C6599" s="104"/>
      <c r="E6599" s="107" t="str">
        <f aca="false">IF($C6599="","",IFERROR(INDEX(المنيو!$C$2:$C$500,MATCH($C6599,المنيو!$B$2:$B$500,0)),0))</f>
        <v/>
      </c>
      <c r="F6599" s="107" t="str">
        <f aca="false">IF($C6599="","",$D6599*$E6599)</f>
        <v/>
      </c>
      <c r="G6599" s="107" t="str">
        <f aca="false">IF($C6599="","",$D6599*IFERROR(INDEX('تحليل التكلفة والسعر'!$C$2:$C$700,MATCH($C6599,'تحليل التكلفة والسعر'!$B$2:$B$700,0)),0))</f>
        <v/>
      </c>
    </row>
    <row r="6600" customFormat="false" ht="15" hidden="false" customHeight="false" outlineLevel="0" collapsed="false">
      <c r="A6600" s="103"/>
      <c r="B6600" s="104"/>
      <c r="C6600" s="104"/>
      <c r="E6600" s="107" t="str">
        <f aca="false">IF($C6600="","",IFERROR(INDEX(المنيو!$C$2:$C$500,MATCH($C6600,المنيو!$B$2:$B$500,0)),0))</f>
        <v/>
      </c>
      <c r="F6600" s="107" t="str">
        <f aca="false">IF($C6600="","",$D6600*$E6600)</f>
        <v/>
      </c>
      <c r="G6600" s="107" t="str">
        <f aca="false">IF($C6600="","",$D6600*IFERROR(INDEX('تحليل التكلفة والسعر'!$C$2:$C$700,MATCH($C6600,'تحليل التكلفة والسعر'!$B$2:$B$700,0)),0))</f>
        <v/>
      </c>
    </row>
    <row r="6601" customFormat="false" ht="15" hidden="false" customHeight="false" outlineLevel="0" collapsed="false">
      <c r="A6601" s="103"/>
      <c r="B6601" s="104"/>
      <c r="C6601" s="104"/>
      <c r="E6601" s="107" t="str">
        <f aca="false">IF($C6601="","",IFERROR(INDEX(المنيو!$C$2:$C$500,MATCH($C6601,المنيو!$B$2:$B$500,0)),0))</f>
        <v/>
      </c>
      <c r="F6601" s="107" t="str">
        <f aca="false">IF($C6601="","",$D6601*$E6601)</f>
        <v/>
      </c>
      <c r="G6601" s="107" t="str">
        <f aca="false">IF($C6601="","",$D6601*IFERROR(INDEX('تحليل التكلفة والسعر'!$C$2:$C$700,MATCH($C6601,'تحليل التكلفة والسعر'!$B$2:$B$700,0)),0))</f>
        <v/>
      </c>
    </row>
    <row r="6602" customFormat="false" ht="15" hidden="false" customHeight="false" outlineLevel="0" collapsed="false">
      <c r="A6602" s="103"/>
      <c r="B6602" s="104"/>
      <c r="C6602" s="104"/>
      <c r="E6602" s="107" t="str">
        <f aca="false">IF($C6602="","",IFERROR(INDEX(المنيو!$C$2:$C$500,MATCH($C6602,المنيو!$B$2:$B$500,0)),0))</f>
        <v/>
      </c>
      <c r="F6602" s="107" t="str">
        <f aca="false">IF($C6602="","",$D6602*$E6602)</f>
        <v/>
      </c>
      <c r="G6602" s="107" t="str">
        <f aca="false">IF($C6602="","",$D6602*IFERROR(INDEX('تحليل التكلفة والسعر'!$C$2:$C$700,MATCH($C6602,'تحليل التكلفة والسعر'!$B$2:$B$700,0)),0))</f>
        <v/>
      </c>
    </row>
    <row r="6603" customFormat="false" ht="15" hidden="false" customHeight="false" outlineLevel="0" collapsed="false">
      <c r="A6603" s="103"/>
      <c r="B6603" s="104"/>
      <c r="C6603" s="104"/>
      <c r="E6603" s="107" t="str">
        <f aca="false">IF($C6603="","",IFERROR(INDEX(المنيو!$C$2:$C$500,MATCH($C6603,المنيو!$B$2:$B$500,0)),0))</f>
        <v/>
      </c>
      <c r="F6603" s="107" t="str">
        <f aca="false">IF($C6603="","",$D6603*$E6603)</f>
        <v/>
      </c>
      <c r="G6603" s="107" t="str">
        <f aca="false">IF($C6603="","",$D6603*IFERROR(INDEX('تحليل التكلفة والسعر'!$C$2:$C$700,MATCH($C6603,'تحليل التكلفة والسعر'!$B$2:$B$700,0)),0))</f>
        <v/>
      </c>
    </row>
    <row r="6604" customFormat="false" ht="15" hidden="false" customHeight="false" outlineLevel="0" collapsed="false">
      <c r="A6604" s="103"/>
      <c r="B6604" s="104"/>
      <c r="C6604" s="104"/>
      <c r="E6604" s="107" t="str">
        <f aca="false">IF($C6604="","",IFERROR(INDEX(المنيو!$C$2:$C$500,MATCH($C6604,المنيو!$B$2:$B$500,0)),0))</f>
        <v/>
      </c>
      <c r="F6604" s="107" t="str">
        <f aca="false">IF($C6604="","",$D6604*$E6604)</f>
        <v/>
      </c>
      <c r="G6604" s="107" t="str">
        <f aca="false">IF($C6604="","",$D6604*IFERROR(INDEX('تحليل التكلفة والسعر'!$C$2:$C$700,MATCH($C6604,'تحليل التكلفة والسعر'!$B$2:$B$700,0)),0))</f>
        <v/>
      </c>
    </row>
    <row r="6605" customFormat="false" ht="15" hidden="false" customHeight="false" outlineLevel="0" collapsed="false">
      <c r="A6605" s="103"/>
      <c r="B6605" s="104"/>
      <c r="C6605" s="104"/>
      <c r="E6605" s="107" t="str">
        <f aca="false">IF($C6605="","",IFERROR(INDEX(المنيو!$C$2:$C$500,MATCH($C6605,المنيو!$B$2:$B$500,0)),0))</f>
        <v/>
      </c>
      <c r="F6605" s="107" t="str">
        <f aca="false">IF($C6605="","",$D6605*$E6605)</f>
        <v/>
      </c>
      <c r="G6605" s="107" t="str">
        <f aca="false">IF($C6605="","",$D6605*IFERROR(INDEX('تحليل التكلفة والسعر'!$C$2:$C$700,MATCH($C6605,'تحليل التكلفة والسعر'!$B$2:$B$700,0)),0))</f>
        <v/>
      </c>
    </row>
    <row r="6606" customFormat="false" ht="15" hidden="false" customHeight="false" outlineLevel="0" collapsed="false">
      <c r="A6606" s="103"/>
      <c r="B6606" s="104"/>
      <c r="C6606" s="104"/>
      <c r="E6606" s="107" t="str">
        <f aca="false">IF($C6606="","",IFERROR(INDEX(المنيو!$C$2:$C$500,MATCH($C6606,المنيو!$B$2:$B$500,0)),0))</f>
        <v/>
      </c>
      <c r="F6606" s="107" t="str">
        <f aca="false">IF($C6606="","",$D6606*$E6606)</f>
        <v/>
      </c>
      <c r="G6606" s="107" t="str">
        <f aca="false">IF($C6606="","",$D6606*IFERROR(INDEX('تحليل التكلفة والسعر'!$C$2:$C$700,MATCH($C6606,'تحليل التكلفة والسعر'!$B$2:$B$700,0)),0))</f>
        <v/>
      </c>
    </row>
    <row r="6607" customFormat="false" ht="15" hidden="false" customHeight="false" outlineLevel="0" collapsed="false">
      <c r="A6607" s="103"/>
      <c r="B6607" s="104"/>
      <c r="C6607" s="104"/>
      <c r="E6607" s="107" t="str">
        <f aca="false">IF($C6607="","",IFERROR(INDEX(المنيو!$C$2:$C$500,MATCH($C6607,المنيو!$B$2:$B$500,0)),0))</f>
        <v/>
      </c>
      <c r="F6607" s="107" t="str">
        <f aca="false">IF($C6607="","",$D6607*$E6607)</f>
        <v/>
      </c>
      <c r="G6607" s="107" t="str">
        <f aca="false">IF($C6607="","",$D6607*IFERROR(INDEX('تحليل التكلفة والسعر'!$C$2:$C$700,MATCH($C6607,'تحليل التكلفة والسعر'!$B$2:$B$700,0)),0))</f>
        <v/>
      </c>
    </row>
    <row r="6608" customFormat="false" ht="15" hidden="false" customHeight="false" outlineLevel="0" collapsed="false">
      <c r="A6608" s="103"/>
      <c r="B6608" s="104"/>
      <c r="C6608" s="104"/>
      <c r="E6608" s="107" t="str">
        <f aca="false">IF($C6608="","",IFERROR(INDEX(المنيو!$C$2:$C$500,MATCH($C6608,المنيو!$B$2:$B$500,0)),0))</f>
        <v/>
      </c>
      <c r="F6608" s="107" t="str">
        <f aca="false">IF($C6608="","",$D6608*$E6608)</f>
        <v/>
      </c>
      <c r="G6608" s="107" t="str">
        <f aca="false">IF($C6608="","",$D6608*IFERROR(INDEX('تحليل التكلفة والسعر'!$C$2:$C$700,MATCH($C6608,'تحليل التكلفة والسعر'!$B$2:$B$700,0)),0))</f>
        <v/>
      </c>
    </row>
    <row r="6609" customFormat="false" ht="15" hidden="false" customHeight="false" outlineLevel="0" collapsed="false">
      <c r="A6609" s="103"/>
      <c r="B6609" s="104"/>
      <c r="C6609" s="104"/>
      <c r="E6609" s="107" t="str">
        <f aca="false">IF($C6609="","",IFERROR(INDEX(المنيو!$C$2:$C$500,MATCH($C6609,المنيو!$B$2:$B$500,0)),0))</f>
        <v/>
      </c>
      <c r="F6609" s="107" t="str">
        <f aca="false">IF($C6609="","",$D6609*$E6609)</f>
        <v/>
      </c>
      <c r="G6609" s="107" t="str">
        <f aca="false">IF($C6609="","",$D6609*IFERROR(INDEX('تحليل التكلفة والسعر'!$C$2:$C$700,MATCH($C6609,'تحليل التكلفة والسعر'!$B$2:$B$700,0)),0))</f>
        <v/>
      </c>
    </row>
    <row r="6610" customFormat="false" ht="15" hidden="false" customHeight="false" outlineLevel="0" collapsed="false">
      <c r="A6610" s="103"/>
      <c r="B6610" s="104"/>
      <c r="C6610" s="104"/>
      <c r="E6610" s="107" t="str">
        <f aca="false">IF($C6610="","",IFERROR(INDEX(المنيو!$C$2:$C$500,MATCH($C6610,المنيو!$B$2:$B$500,0)),0))</f>
        <v/>
      </c>
      <c r="F6610" s="107" t="str">
        <f aca="false">IF($C6610="","",$D6610*$E6610)</f>
        <v/>
      </c>
      <c r="G6610" s="107" t="str">
        <f aca="false">IF($C6610="","",$D6610*IFERROR(INDEX('تحليل التكلفة والسعر'!$C$2:$C$700,MATCH($C6610,'تحليل التكلفة والسعر'!$B$2:$B$700,0)),0))</f>
        <v/>
      </c>
    </row>
    <row r="6611" customFormat="false" ht="15" hidden="false" customHeight="false" outlineLevel="0" collapsed="false">
      <c r="A6611" s="103"/>
      <c r="B6611" s="104"/>
      <c r="C6611" s="104"/>
      <c r="E6611" s="107" t="str">
        <f aca="false">IF($C6611="","",IFERROR(INDEX(المنيو!$C$2:$C$500,MATCH($C6611,المنيو!$B$2:$B$500,0)),0))</f>
        <v/>
      </c>
      <c r="F6611" s="107" t="str">
        <f aca="false">IF($C6611="","",$D6611*$E6611)</f>
        <v/>
      </c>
      <c r="G6611" s="107" t="str">
        <f aca="false">IF($C6611="","",$D6611*IFERROR(INDEX('تحليل التكلفة والسعر'!$C$2:$C$700,MATCH($C6611,'تحليل التكلفة والسعر'!$B$2:$B$700,0)),0))</f>
        <v/>
      </c>
    </row>
    <row r="6612" customFormat="false" ht="15" hidden="false" customHeight="false" outlineLevel="0" collapsed="false">
      <c r="A6612" s="103"/>
      <c r="B6612" s="104"/>
      <c r="C6612" s="104"/>
      <c r="E6612" s="107" t="str">
        <f aca="false">IF($C6612="","",IFERROR(INDEX(المنيو!$C$2:$C$500,MATCH($C6612,المنيو!$B$2:$B$500,0)),0))</f>
        <v/>
      </c>
      <c r="F6612" s="107" t="str">
        <f aca="false">IF($C6612="","",$D6612*$E6612)</f>
        <v/>
      </c>
      <c r="G6612" s="107" t="str">
        <f aca="false">IF($C6612="","",$D6612*IFERROR(INDEX('تحليل التكلفة والسعر'!$C$2:$C$700,MATCH($C6612,'تحليل التكلفة والسعر'!$B$2:$B$700,0)),0))</f>
        <v/>
      </c>
    </row>
    <row r="6613" customFormat="false" ht="15" hidden="false" customHeight="false" outlineLevel="0" collapsed="false">
      <c r="A6613" s="103"/>
      <c r="B6613" s="104"/>
      <c r="C6613" s="104"/>
      <c r="E6613" s="107" t="str">
        <f aca="false">IF($C6613="","",IFERROR(INDEX(المنيو!$C$2:$C$500,MATCH($C6613,المنيو!$B$2:$B$500,0)),0))</f>
        <v/>
      </c>
      <c r="F6613" s="107" t="str">
        <f aca="false">IF($C6613="","",$D6613*$E6613)</f>
        <v/>
      </c>
      <c r="G6613" s="107" t="str">
        <f aca="false">IF($C6613="","",$D6613*IFERROR(INDEX('تحليل التكلفة والسعر'!$C$2:$C$700,MATCH($C6613,'تحليل التكلفة والسعر'!$B$2:$B$700,0)),0))</f>
        <v/>
      </c>
    </row>
    <row r="6614" customFormat="false" ht="15" hidden="false" customHeight="false" outlineLevel="0" collapsed="false">
      <c r="A6614" s="103"/>
      <c r="B6614" s="104"/>
      <c r="C6614" s="104"/>
      <c r="E6614" s="107" t="str">
        <f aca="false">IF($C6614="","",IFERROR(INDEX(المنيو!$C$2:$C$500,MATCH($C6614,المنيو!$B$2:$B$500,0)),0))</f>
        <v/>
      </c>
      <c r="F6614" s="107" t="str">
        <f aca="false">IF($C6614="","",$D6614*$E6614)</f>
        <v/>
      </c>
      <c r="G6614" s="107" t="str">
        <f aca="false">IF($C6614="","",$D6614*IFERROR(INDEX('تحليل التكلفة والسعر'!$C$2:$C$700,MATCH($C6614,'تحليل التكلفة والسعر'!$B$2:$B$700,0)),0))</f>
        <v/>
      </c>
    </row>
    <row r="6615" customFormat="false" ht="15" hidden="false" customHeight="false" outlineLevel="0" collapsed="false">
      <c r="A6615" s="103"/>
      <c r="B6615" s="104"/>
      <c r="C6615" s="104"/>
      <c r="E6615" s="107" t="str">
        <f aca="false">IF($C6615="","",IFERROR(INDEX(المنيو!$C$2:$C$500,MATCH($C6615,المنيو!$B$2:$B$500,0)),0))</f>
        <v/>
      </c>
      <c r="F6615" s="107" t="str">
        <f aca="false">IF($C6615="","",$D6615*$E6615)</f>
        <v/>
      </c>
      <c r="G6615" s="107" t="str">
        <f aca="false">IF($C6615="","",$D6615*IFERROR(INDEX('تحليل التكلفة والسعر'!$C$2:$C$700,MATCH($C6615,'تحليل التكلفة والسعر'!$B$2:$B$700,0)),0))</f>
        <v/>
      </c>
    </row>
    <row r="6616" customFormat="false" ht="15" hidden="false" customHeight="false" outlineLevel="0" collapsed="false">
      <c r="A6616" s="103"/>
      <c r="B6616" s="104"/>
      <c r="C6616" s="104"/>
      <c r="E6616" s="107" t="str">
        <f aca="false">IF($C6616="","",IFERROR(INDEX(المنيو!$C$2:$C$500,MATCH($C6616,المنيو!$B$2:$B$500,0)),0))</f>
        <v/>
      </c>
      <c r="F6616" s="107" t="str">
        <f aca="false">IF($C6616="","",$D6616*$E6616)</f>
        <v/>
      </c>
      <c r="G6616" s="107" t="str">
        <f aca="false">IF($C6616="","",$D6616*IFERROR(INDEX('تحليل التكلفة والسعر'!$C$2:$C$700,MATCH($C6616,'تحليل التكلفة والسعر'!$B$2:$B$700,0)),0))</f>
        <v/>
      </c>
    </row>
    <row r="6617" customFormat="false" ht="15" hidden="false" customHeight="false" outlineLevel="0" collapsed="false">
      <c r="A6617" s="103"/>
      <c r="B6617" s="104"/>
      <c r="C6617" s="104"/>
      <c r="E6617" s="107" t="str">
        <f aca="false">IF($C6617="","",IFERROR(INDEX(المنيو!$C$2:$C$500,MATCH($C6617,المنيو!$B$2:$B$500,0)),0))</f>
        <v/>
      </c>
      <c r="F6617" s="107" t="str">
        <f aca="false">IF($C6617="","",$D6617*$E6617)</f>
        <v/>
      </c>
      <c r="G6617" s="107" t="str">
        <f aca="false">IF($C6617="","",$D6617*IFERROR(INDEX('تحليل التكلفة والسعر'!$C$2:$C$700,MATCH($C6617,'تحليل التكلفة والسعر'!$B$2:$B$700,0)),0))</f>
        <v/>
      </c>
    </row>
    <row r="6618" customFormat="false" ht="15" hidden="false" customHeight="false" outlineLevel="0" collapsed="false">
      <c r="A6618" s="103"/>
      <c r="B6618" s="104"/>
      <c r="C6618" s="104"/>
      <c r="E6618" s="107" t="str">
        <f aca="false">IF($C6618="","",IFERROR(INDEX(المنيو!$C$2:$C$500,MATCH($C6618,المنيو!$B$2:$B$500,0)),0))</f>
        <v/>
      </c>
      <c r="F6618" s="107" t="str">
        <f aca="false">IF($C6618="","",$D6618*$E6618)</f>
        <v/>
      </c>
      <c r="G6618" s="107" t="str">
        <f aca="false">IF($C6618="","",$D6618*IFERROR(INDEX('تحليل التكلفة والسعر'!$C$2:$C$700,MATCH($C6618,'تحليل التكلفة والسعر'!$B$2:$B$700,0)),0))</f>
        <v/>
      </c>
    </row>
    <row r="6619" customFormat="false" ht="15" hidden="false" customHeight="false" outlineLevel="0" collapsed="false">
      <c r="A6619" s="103"/>
      <c r="B6619" s="104"/>
      <c r="C6619" s="104"/>
      <c r="E6619" s="107" t="str">
        <f aca="false">IF($C6619="","",IFERROR(INDEX(المنيو!$C$2:$C$500,MATCH($C6619,المنيو!$B$2:$B$500,0)),0))</f>
        <v/>
      </c>
      <c r="F6619" s="107" t="str">
        <f aca="false">IF($C6619="","",$D6619*$E6619)</f>
        <v/>
      </c>
      <c r="G6619" s="107" t="str">
        <f aca="false">IF($C6619="","",$D6619*IFERROR(INDEX('تحليل التكلفة والسعر'!$C$2:$C$700,MATCH($C6619,'تحليل التكلفة والسعر'!$B$2:$B$700,0)),0))</f>
        <v/>
      </c>
    </row>
    <row r="6620" customFormat="false" ht="15" hidden="false" customHeight="false" outlineLevel="0" collapsed="false">
      <c r="A6620" s="103"/>
      <c r="B6620" s="104"/>
      <c r="C6620" s="104"/>
      <c r="E6620" s="107" t="str">
        <f aca="false">IF($C6620="","",IFERROR(INDEX(المنيو!$C$2:$C$500,MATCH($C6620,المنيو!$B$2:$B$500,0)),0))</f>
        <v/>
      </c>
      <c r="F6620" s="107" t="str">
        <f aca="false">IF($C6620="","",$D6620*$E6620)</f>
        <v/>
      </c>
      <c r="G6620" s="107" t="str">
        <f aca="false">IF($C6620="","",$D6620*IFERROR(INDEX('تحليل التكلفة والسعر'!$C$2:$C$700,MATCH($C6620,'تحليل التكلفة والسعر'!$B$2:$B$700,0)),0))</f>
        <v/>
      </c>
    </row>
    <row r="6621" customFormat="false" ht="15" hidden="false" customHeight="false" outlineLevel="0" collapsed="false">
      <c r="A6621" s="103"/>
      <c r="B6621" s="104"/>
      <c r="C6621" s="104"/>
      <c r="E6621" s="107" t="str">
        <f aca="false">IF($C6621="","",IFERROR(INDEX(المنيو!$C$2:$C$500,MATCH($C6621,المنيو!$B$2:$B$500,0)),0))</f>
        <v/>
      </c>
      <c r="F6621" s="107" t="str">
        <f aca="false">IF($C6621="","",$D6621*$E6621)</f>
        <v/>
      </c>
      <c r="G6621" s="107" t="str">
        <f aca="false">IF($C6621="","",$D6621*IFERROR(INDEX('تحليل التكلفة والسعر'!$C$2:$C$700,MATCH($C6621,'تحليل التكلفة والسعر'!$B$2:$B$700,0)),0))</f>
        <v/>
      </c>
    </row>
    <row r="6622" customFormat="false" ht="15" hidden="false" customHeight="false" outlineLevel="0" collapsed="false">
      <c r="A6622" s="103"/>
      <c r="B6622" s="104"/>
      <c r="C6622" s="104"/>
      <c r="E6622" s="107" t="str">
        <f aca="false">IF($C6622="","",IFERROR(INDEX(المنيو!$C$2:$C$500,MATCH($C6622,المنيو!$B$2:$B$500,0)),0))</f>
        <v/>
      </c>
      <c r="F6622" s="107" t="str">
        <f aca="false">IF($C6622="","",$D6622*$E6622)</f>
        <v/>
      </c>
      <c r="G6622" s="107" t="str">
        <f aca="false">IF($C6622="","",$D6622*IFERROR(INDEX('تحليل التكلفة والسعر'!$C$2:$C$700,MATCH($C6622,'تحليل التكلفة والسعر'!$B$2:$B$700,0)),0))</f>
        <v/>
      </c>
    </row>
    <row r="6623" customFormat="false" ht="15" hidden="false" customHeight="false" outlineLevel="0" collapsed="false">
      <c r="A6623" s="103"/>
      <c r="B6623" s="104"/>
      <c r="C6623" s="104"/>
      <c r="E6623" s="107" t="str">
        <f aca="false">IF($C6623="","",IFERROR(INDEX(المنيو!$C$2:$C$500,MATCH($C6623,المنيو!$B$2:$B$500,0)),0))</f>
        <v/>
      </c>
      <c r="F6623" s="107" t="str">
        <f aca="false">IF($C6623="","",$D6623*$E6623)</f>
        <v/>
      </c>
      <c r="G6623" s="107" t="str">
        <f aca="false">IF($C6623="","",$D6623*IFERROR(INDEX('تحليل التكلفة والسعر'!$C$2:$C$700,MATCH($C6623,'تحليل التكلفة والسعر'!$B$2:$B$700,0)),0))</f>
        <v/>
      </c>
    </row>
    <row r="6624" customFormat="false" ht="15" hidden="false" customHeight="false" outlineLevel="0" collapsed="false">
      <c r="A6624" s="103"/>
      <c r="B6624" s="104"/>
      <c r="C6624" s="104"/>
      <c r="E6624" s="107" t="str">
        <f aca="false">IF($C6624="","",IFERROR(INDEX(المنيو!$C$2:$C$500,MATCH($C6624,المنيو!$B$2:$B$500,0)),0))</f>
        <v/>
      </c>
      <c r="F6624" s="107" t="str">
        <f aca="false">IF($C6624="","",$D6624*$E6624)</f>
        <v/>
      </c>
      <c r="G6624" s="107" t="str">
        <f aca="false">IF($C6624="","",$D6624*IFERROR(INDEX('تحليل التكلفة والسعر'!$C$2:$C$700,MATCH($C6624,'تحليل التكلفة والسعر'!$B$2:$B$700,0)),0))</f>
        <v/>
      </c>
    </row>
    <row r="6625" customFormat="false" ht="15" hidden="false" customHeight="false" outlineLevel="0" collapsed="false">
      <c r="A6625" s="103"/>
      <c r="B6625" s="104"/>
      <c r="C6625" s="104"/>
      <c r="E6625" s="107" t="str">
        <f aca="false">IF($C6625="","",IFERROR(INDEX(المنيو!$C$2:$C$500,MATCH($C6625,المنيو!$B$2:$B$500,0)),0))</f>
        <v/>
      </c>
      <c r="F6625" s="107" t="str">
        <f aca="false">IF($C6625="","",$D6625*$E6625)</f>
        <v/>
      </c>
      <c r="G6625" s="107" t="str">
        <f aca="false">IF($C6625="","",$D6625*IFERROR(INDEX('تحليل التكلفة والسعر'!$C$2:$C$700,MATCH($C6625,'تحليل التكلفة والسعر'!$B$2:$B$700,0)),0))</f>
        <v/>
      </c>
    </row>
    <row r="6626" customFormat="false" ht="15" hidden="false" customHeight="false" outlineLevel="0" collapsed="false">
      <c r="A6626" s="103"/>
      <c r="B6626" s="104"/>
      <c r="C6626" s="104"/>
      <c r="E6626" s="107" t="str">
        <f aca="false">IF($C6626="","",IFERROR(INDEX(المنيو!$C$2:$C$500,MATCH($C6626,المنيو!$B$2:$B$500,0)),0))</f>
        <v/>
      </c>
      <c r="F6626" s="107" t="str">
        <f aca="false">IF($C6626="","",$D6626*$E6626)</f>
        <v/>
      </c>
      <c r="G6626" s="107" t="str">
        <f aca="false">IF($C6626="","",$D6626*IFERROR(INDEX('تحليل التكلفة والسعر'!$C$2:$C$700,MATCH($C6626,'تحليل التكلفة والسعر'!$B$2:$B$700,0)),0))</f>
        <v/>
      </c>
    </row>
    <row r="6627" customFormat="false" ht="15" hidden="false" customHeight="false" outlineLevel="0" collapsed="false">
      <c r="A6627" s="103"/>
      <c r="B6627" s="104"/>
      <c r="C6627" s="104"/>
      <c r="E6627" s="107" t="str">
        <f aca="false">IF($C6627="","",IFERROR(INDEX(المنيو!$C$2:$C$500,MATCH($C6627,المنيو!$B$2:$B$500,0)),0))</f>
        <v/>
      </c>
      <c r="F6627" s="107" t="str">
        <f aca="false">IF($C6627="","",$D6627*$E6627)</f>
        <v/>
      </c>
      <c r="G6627" s="107" t="str">
        <f aca="false">IF($C6627="","",$D6627*IFERROR(INDEX('تحليل التكلفة والسعر'!$C$2:$C$700,MATCH($C6627,'تحليل التكلفة والسعر'!$B$2:$B$700,0)),0))</f>
        <v/>
      </c>
    </row>
    <row r="6628" customFormat="false" ht="15" hidden="false" customHeight="false" outlineLevel="0" collapsed="false">
      <c r="A6628" s="103"/>
      <c r="B6628" s="104"/>
      <c r="C6628" s="104"/>
      <c r="E6628" s="107" t="str">
        <f aca="false">IF($C6628="","",IFERROR(INDEX(المنيو!$C$2:$C$500,MATCH($C6628,المنيو!$B$2:$B$500,0)),0))</f>
        <v/>
      </c>
      <c r="F6628" s="107" t="str">
        <f aca="false">IF($C6628="","",$D6628*$E6628)</f>
        <v/>
      </c>
      <c r="G6628" s="107" t="str">
        <f aca="false">IF($C6628="","",$D6628*IFERROR(INDEX('تحليل التكلفة والسعر'!$C$2:$C$700,MATCH($C6628,'تحليل التكلفة والسعر'!$B$2:$B$700,0)),0))</f>
        <v/>
      </c>
    </row>
    <row r="6629" customFormat="false" ht="15" hidden="false" customHeight="false" outlineLevel="0" collapsed="false">
      <c r="A6629" s="103"/>
      <c r="B6629" s="104"/>
      <c r="C6629" s="104"/>
      <c r="E6629" s="107" t="str">
        <f aca="false">IF($C6629="","",IFERROR(INDEX(المنيو!$C$2:$C$500,MATCH($C6629,المنيو!$B$2:$B$500,0)),0))</f>
        <v/>
      </c>
      <c r="F6629" s="107" t="str">
        <f aca="false">IF($C6629="","",$D6629*$E6629)</f>
        <v/>
      </c>
      <c r="G6629" s="107" t="str">
        <f aca="false">IF($C6629="","",$D6629*IFERROR(INDEX('تحليل التكلفة والسعر'!$C$2:$C$700,MATCH($C6629,'تحليل التكلفة والسعر'!$B$2:$B$700,0)),0))</f>
        <v/>
      </c>
    </row>
    <row r="6630" customFormat="false" ht="15" hidden="false" customHeight="false" outlineLevel="0" collapsed="false">
      <c r="A6630" s="103"/>
      <c r="B6630" s="104"/>
      <c r="C6630" s="104"/>
      <c r="E6630" s="107" t="str">
        <f aca="false">IF($C6630="","",IFERROR(INDEX(المنيو!$C$2:$C$500,MATCH($C6630,المنيو!$B$2:$B$500,0)),0))</f>
        <v/>
      </c>
      <c r="F6630" s="107" t="str">
        <f aca="false">IF($C6630="","",$D6630*$E6630)</f>
        <v/>
      </c>
      <c r="G6630" s="107" t="str">
        <f aca="false">IF($C6630="","",$D6630*IFERROR(INDEX('تحليل التكلفة والسعر'!$C$2:$C$700,MATCH($C6630,'تحليل التكلفة والسعر'!$B$2:$B$700,0)),0))</f>
        <v/>
      </c>
    </row>
    <row r="6631" customFormat="false" ht="15" hidden="false" customHeight="false" outlineLevel="0" collapsed="false">
      <c r="A6631" s="103"/>
      <c r="B6631" s="104"/>
      <c r="C6631" s="104"/>
      <c r="E6631" s="107" t="str">
        <f aca="false">IF($C6631="","",IFERROR(INDEX(المنيو!$C$2:$C$500,MATCH($C6631,المنيو!$B$2:$B$500,0)),0))</f>
        <v/>
      </c>
      <c r="F6631" s="107" t="str">
        <f aca="false">IF($C6631="","",$D6631*$E6631)</f>
        <v/>
      </c>
      <c r="G6631" s="107" t="str">
        <f aca="false">IF($C6631="","",$D6631*IFERROR(INDEX('تحليل التكلفة والسعر'!$C$2:$C$700,MATCH($C6631,'تحليل التكلفة والسعر'!$B$2:$B$700,0)),0))</f>
        <v/>
      </c>
    </row>
    <row r="6632" customFormat="false" ht="15" hidden="false" customHeight="false" outlineLevel="0" collapsed="false">
      <c r="A6632" s="103"/>
      <c r="B6632" s="104"/>
      <c r="C6632" s="104"/>
      <c r="E6632" s="107" t="str">
        <f aca="false">IF($C6632="","",IFERROR(INDEX(المنيو!$C$2:$C$500,MATCH($C6632,المنيو!$B$2:$B$500,0)),0))</f>
        <v/>
      </c>
      <c r="F6632" s="107" t="str">
        <f aca="false">IF($C6632="","",$D6632*$E6632)</f>
        <v/>
      </c>
      <c r="G6632" s="107" t="str">
        <f aca="false">IF($C6632="","",$D6632*IFERROR(INDEX('تحليل التكلفة والسعر'!$C$2:$C$700,MATCH($C6632,'تحليل التكلفة والسعر'!$B$2:$B$700,0)),0))</f>
        <v/>
      </c>
    </row>
    <row r="6633" customFormat="false" ht="15" hidden="false" customHeight="false" outlineLevel="0" collapsed="false">
      <c r="A6633" s="103"/>
      <c r="B6633" s="104"/>
      <c r="C6633" s="104"/>
      <c r="E6633" s="107" t="str">
        <f aca="false">IF($C6633="","",IFERROR(INDEX(المنيو!$C$2:$C$500,MATCH($C6633,المنيو!$B$2:$B$500,0)),0))</f>
        <v/>
      </c>
      <c r="F6633" s="107" t="str">
        <f aca="false">IF($C6633="","",$D6633*$E6633)</f>
        <v/>
      </c>
      <c r="G6633" s="107" t="str">
        <f aca="false">IF($C6633="","",$D6633*IFERROR(INDEX('تحليل التكلفة والسعر'!$C$2:$C$700,MATCH($C6633,'تحليل التكلفة والسعر'!$B$2:$B$700,0)),0))</f>
        <v/>
      </c>
    </row>
    <row r="6634" customFormat="false" ht="15" hidden="false" customHeight="false" outlineLevel="0" collapsed="false">
      <c r="A6634" s="103"/>
      <c r="B6634" s="104"/>
      <c r="C6634" s="104"/>
      <c r="E6634" s="107" t="str">
        <f aca="false">IF($C6634="","",IFERROR(INDEX(المنيو!$C$2:$C$500,MATCH($C6634,المنيو!$B$2:$B$500,0)),0))</f>
        <v/>
      </c>
      <c r="F6634" s="107" t="str">
        <f aca="false">IF($C6634="","",$D6634*$E6634)</f>
        <v/>
      </c>
      <c r="G6634" s="107" t="str">
        <f aca="false">IF($C6634="","",$D6634*IFERROR(INDEX('تحليل التكلفة والسعر'!$C$2:$C$700,MATCH($C6634,'تحليل التكلفة والسعر'!$B$2:$B$700,0)),0))</f>
        <v/>
      </c>
    </row>
    <row r="6635" customFormat="false" ht="15" hidden="false" customHeight="false" outlineLevel="0" collapsed="false">
      <c r="A6635" s="103"/>
      <c r="B6635" s="104"/>
      <c r="C6635" s="104"/>
      <c r="E6635" s="107" t="str">
        <f aca="false">IF($C6635="","",IFERROR(INDEX(المنيو!$C$2:$C$500,MATCH($C6635,المنيو!$B$2:$B$500,0)),0))</f>
        <v/>
      </c>
      <c r="F6635" s="107" t="str">
        <f aca="false">IF($C6635="","",$D6635*$E6635)</f>
        <v/>
      </c>
      <c r="G6635" s="107" t="str">
        <f aca="false">IF($C6635="","",$D6635*IFERROR(INDEX('تحليل التكلفة والسعر'!$C$2:$C$700,MATCH($C6635,'تحليل التكلفة والسعر'!$B$2:$B$700,0)),0))</f>
        <v/>
      </c>
    </row>
    <row r="6636" customFormat="false" ht="15" hidden="false" customHeight="false" outlineLevel="0" collapsed="false">
      <c r="A6636" s="103"/>
      <c r="B6636" s="104"/>
      <c r="C6636" s="104"/>
      <c r="E6636" s="107" t="str">
        <f aca="false">IF($C6636="","",IFERROR(INDEX(المنيو!$C$2:$C$500,MATCH($C6636,المنيو!$B$2:$B$500,0)),0))</f>
        <v/>
      </c>
      <c r="F6636" s="107" t="str">
        <f aca="false">IF($C6636="","",$D6636*$E6636)</f>
        <v/>
      </c>
      <c r="G6636" s="107" t="str">
        <f aca="false">IF($C6636="","",$D6636*IFERROR(INDEX('تحليل التكلفة والسعر'!$C$2:$C$700,MATCH($C6636,'تحليل التكلفة والسعر'!$B$2:$B$700,0)),0))</f>
        <v/>
      </c>
    </row>
    <row r="6637" customFormat="false" ht="15" hidden="false" customHeight="false" outlineLevel="0" collapsed="false">
      <c r="A6637" s="103"/>
      <c r="B6637" s="104"/>
      <c r="C6637" s="104"/>
      <c r="E6637" s="107" t="str">
        <f aca="false">IF($C6637="","",IFERROR(INDEX(المنيو!$C$2:$C$500,MATCH($C6637,المنيو!$B$2:$B$500,0)),0))</f>
        <v/>
      </c>
      <c r="F6637" s="107" t="str">
        <f aca="false">IF($C6637="","",$D6637*$E6637)</f>
        <v/>
      </c>
      <c r="G6637" s="107" t="str">
        <f aca="false">IF($C6637="","",$D6637*IFERROR(INDEX('تحليل التكلفة والسعر'!$C$2:$C$700,MATCH($C6637,'تحليل التكلفة والسعر'!$B$2:$B$700,0)),0))</f>
        <v/>
      </c>
    </row>
    <row r="6638" customFormat="false" ht="15" hidden="false" customHeight="false" outlineLevel="0" collapsed="false">
      <c r="A6638" s="103"/>
      <c r="B6638" s="104"/>
      <c r="C6638" s="104"/>
      <c r="E6638" s="107" t="str">
        <f aca="false">IF($C6638="","",IFERROR(INDEX(المنيو!$C$2:$C$500,MATCH($C6638,المنيو!$B$2:$B$500,0)),0))</f>
        <v/>
      </c>
      <c r="F6638" s="107" t="str">
        <f aca="false">IF($C6638="","",$D6638*$E6638)</f>
        <v/>
      </c>
      <c r="G6638" s="107" t="str">
        <f aca="false">IF($C6638="","",$D6638*IFERROR(INDEX('تحليل التكلفة والسعر'!$C$2:$C$700,MATCH($C6638,'تحليل التكلفة والسعر'!$B$2:$B$700,0)),0))</f>
        <v/>
      </c>
    </row>
    <row r="6639" customFormat="false" ht="15" hidden="false" customHeight="false" outlineLevel="0" collapsed="false">
      <c r="A6639" s="103"/>
      <c r="B6639" s="104"/>
      <c r="C6639" s="104"/>
      <c r="E6639" s="107" t="str">
        <f aca="false">IF($C6639="","",IFERROR(INDEX(المنيو!$C$2:$C$500,MATCH($C6639,المنيو!$B$2:$B$500,0)),0))</f>
        <v/>
      </c>
      <c r="F6639" s="107" t="str">
        <f aca="false">IF($C6639="","",$D6639*$E6639)</f>
        <v/>
      </c>
      <c r="G6639" s="107" t="str">
        <f aca="false">IF($C6639="","",$D6639*IFERROR(INDEX('تحليل التكلفة والسعر'!$C$2:$C$700,MATCH($C6639,'تحليل التكلفة والسعر'!$B$2:$B$700,0)),0))</f>
        <v/>
      </c>
    </row>
    <row r="6640" customFormat="false" ht="15" hidden="false" customHeight="false" outlineLevel="0" collapsed="false">
      <c r="A6640" s="103"/>
      <c r="B6640" s="104"/>
      <c r="C6640" s="104"/>
      <c r="E6640" s="107" t="str">
        <f aca="false">IF($C6640="","",IFERROR(INDEX(المنيو!$C$2:$C$500,MATCH($C6640,المنيو!$B$2:$B$500,0)),0))</f>
        <v/>
      </c>
      <c r="F6640" s="107" t="str">
        <f aca="false">IF($C6640="","",$D6640*$E6640)</f>
        <v/>
      </c>
      <c r="G6640" s="107" t="str">
        <f aca="false">IF($C6640="","",$D6640*IFERROR(INDEX('تحليل التكلفة والسعر'!$C$2:$C$700,MATCH($C6640,'تحليل التكلفة والسعر'!$B$2:$B$700,0)),0))</f>
        <v/>
      </c>
    </row>
    <row r="6641" customFormat="false" ht="15" hidden="false" customHeight="false" outlineLevel="0" collapsed="false">
      <c r="A6641" s="103"/>
      <c r="B6641" s="104"/>
      <c r="C6641" s="104"/>
      <c r="E6641" s="107" t="str">
        <f aca="false">IF($C6641="","",IFERROR(INDEX(المنيو!$C$2:$C$500,MATCH($C6641,المنيو!$B$2:$B$500,0)),0))</f>
        <v/>
      </c>
      <c r="F6641" s="107" t="str">
        <f aca="false">IF($C6641="","",$D6641*$E6641)</f>
        <v/>
      </c>
      <c r="G6641" s="107" t="str">
        <f aca="false">IF($C6641="","",$D6641*IFERROR(INDEX('تحليل التكلفة والسعر'!$C$2:$C$700,MATCH($C6641,'تحليل التكلفة والسعر'!$B$2:$B$700,0)),0))</f>
        <v/>
      </c>
    </row>
    <row r="6642" customFormat="false" ht="15" hidden="false" customHeight="false" outlineLevel="0" collapsed="false">
      <c r="A6642" s="103"/>
      <c r="B6642" s="104"/>
      <c r="C6642" s="104"/>
      <c r="E6642" s="107" t="str">
        <f aca="false">IF($C6642="","",IFERROR(INDEX(المنيو!$C$2:$C$500,MATCH($C6642,المنيو!$B$2:$B$500,0)),0))</f>
        <v/>
      </c>
      <c r="F6642" s="107" t="str">
        <f aca="false">IF($C6642="","",$D6642*$E6642)</f>
        <v/>
      </c>
      <c r="G6642" s="107" t="str">
        <f aca="false">IF($C6642="","",$D6642*IFERROR(INDEX('تحليل التكلفة والسعر'!$C$2:$C$700,MATCH($C6642,'تحليل التكلفة والسعر'!$B$2:$B$700,0)),0))</f>
        <v/>
      </c>
    </row>
    <row r="6643" customFormat="false" ht="15" hidden="false" customHeight="false" outlineLevel="0" collapsed="false">
      <c r="A6643" s="103"/>
      <c r="B6643" s="104"/>
      <c r="C6643" s="104"/>
      <c r="E6643" s="107" t="str">
        <f aca="false">IF($C6643="","",IFERROR(INDEX(المنيو!$C$2:$C$500,MATCH($C6643,المنيو!$B$2:$B$500,0)),0))</f>
        <v/>
      </c>
      <c r="F6643" s="107" t="str">
        <f aca="false">IF($C6643="","",$D6643*$E6643)</f>
        <v/>
      </c>
      <c r="G6643" s="107" t="str">
        <f aca="false">IF($C6643="","",$D6643*IFERROR(INDEX('تحليل التكلفة والسعر'!$C$2:$C$700,MATCH($C6643,'تحليل التكلفة والسعر'!$B$2:$B$700,0)),0))</f>
        <v/>
      </c>
    </row>
    <row r="6644" customFormat="false" ht="15" hidden="false" customHeight="false" outlineLevel="0" collapsed="false">
      <c r="A6644" s="103"/>
      <c r="B6644" s="104"/>
      <c r="C6644" s="104"/>
      <c r="E6644" s="107" t="str">
        <f aca="false">IF($C6644="","",IFERROR(INDEX(المنيو!$C$2:$C$500,MATCH($C6644,المنيو!$B$2:$B$500,0)),0))</f>
        <v/>
      </c>
      <c r="F6644" s="107" t="str">
        <f aca="false">IF($C6644="","",$D6644*$E6644)</f>
        <v/>
      </c>
      <c r="G6644" s="107" t="str">
        <f aca="false">IF($C6644="","",$D6644*IFERROR(INDEX('تحليل التكلفة والسعر'!$C$2:$C$700,MATCH($C6644,'تحليل التكلفة والسعر'!$B$2:$B$700,0)),0))</f>
        <v/>
      </c>
    </row>
    <row r="6645" customFormat="false" ht="15" hidden="false" customHeight="false" outlineLevel="0" collapsed="false">
      <c r="A6645" s="103"/>
      <c r="B6645" s="104"/>
      <c r="C6645" s="104"/>
      <c r="E6645" s="107" t="str">
        <f aca="false">IF($C6645="","",IFERROR(INDEX(المنيو!$C$2:$C$500,MATCH($C6645,المنيو!$B$2:$B$500,0)),0))</f>
        <v/>
      </c>
      <c r="F6645" s="107" t="str">
        <f aca="false">IF($C6645="","",$D6645*$E6645)</f>
        <v/>
      </c>
      <c r="G6645" s="107" t="str">
        <f aca="false">IF($C6645="","",$D6645*IFERROR(INDEX('تحليل التكلفة والسعر'!$C$2:$C$700,MATCH($C6645,'تحليل التكلفة والسعر'!$B$2:$B$700,0)),0))</f>
        <v/>
      </c>
    </row>
    <row r="6646" customFormat="false" ht="15" hidden="false" customHeight="false" outlineLevel="0" collapsed="false">
      <c r="A6646" s="103"/>
      <c r="B6646" s="104"/>
      <c r="C6646" s="104"/>
      <c r="E6646" s="107" t="str">
        <f aca="false">IF($C6646="","",IFERROR(INDEX(المنيو!$C$2:$C$500,MATCH($C6646,المنيو!$B$2:$B$500,0)),0))</f>
        <v/>
      </c>
      <c r="F6646" s="107" t="str">
        <f aca="false">IF($C6646="","",$D6646*$E6646)</f>
        <v/>
      </c>
      <c r="G6646" s="107" t="str">
        <f aca="false">IF($C6646="","",$D6646*IFERROR(INDEX('تحليل التكلفة والسعر'!$C$2:$C$700,MATCH($C6646,'تحليل التكلفة والسعر'!$B$2:$B$700,0)),0))</f>
        <v/>
      </c>
    </row>
    <row r="6647" customFormat="false" ht="15" hidden="false" customHeight="false" outlineLevel="0" collapsed="false">
      <c r="A6647" s="103"/>
      <c r="B6647" s="104"/>
      <c r="C6647" s="104"/>
      <c r="E6647" s="107" t="str">
        <f aca="false">IF($C6647="","",IFERROR(INDEX(المنيو!$C$2:$C$500,MATCH($C6647,المنيو!$B$2:$B$500,0)),0))</f>
        <v/>
      </c>
      <c r="F6647" s="107" t="str">
        <f aca="false">IF($C6647="","",$D6647*$E6647)</f>
        <v/>
      </c>
      <c r="G6647" s="107" t="str">
        <f aca="false">IF($C6647="","",$D6647*IFERROR(INDEX('تحليل التكلفة والسعر'!$C$2:$C$700,MATCH($C6647,'تحليل التكلفة والسعر'!$B$2:$B$700,0)),0))</f>
        <v/>
      </c>
    </row>
    <row r="6648" customFormat="false" ht="15" hidden="false" customHeight="false" outlineLevel="0" collapsed="false">
      <c r="A6648" s="103"/>
      <c r="B6648" s="104"/>
      <c r="C6648" s="104"/>
      <c r="E6648" s="107" t="str">
        <f aca="false">IF($C6648="","",IFERROR(INDEX(المنيو!$C$2:$C$500,MATCH($C6648,المنيو!$B$2:$B$500,0)),0))</f>
        <v/>
      </c>
      <c r="F6648" s="107" t="str">
        <f aca="false">IF($C6648="","",$D6648*$E6648)</f>
        <v/>
      </c>
      <c r="G6648" s="107" t="str">
        <f aca="false">IF($C6648="","",$D6648*IFERROR(INDEX('تحليل التكلفة والسعر'!$C$2:$C$700,MATCH($C6648,'تحليل التكلفة والسعر'!$B$2:$B$700,0)),0))</f>
        <v/>
      </c>
    </row>
    <row r="6649" customFormat="false" ht="15" hidden="false" customHeight="false" outlineLevel="0" collapsed="false">
      <c r="A6649" s="103"/>
      <c r="B6649" s="104"/>
      <c r="C6649" s="104"/>
      <c r="E6649" s="107" t="str">
        <f aca="false">IF($C6649="","",IFERROR(INDEX(المنيو!$C$2:$C$500,MATCH($C6649,المنيو!$B$2:$B$500,0)),0))</f>
        <v/>
      </c>
      <c r="F6649" s="107" t="str">
        <f aca="false">IF($C6649="","",$D6649*$E6649)</f>
        <v/>
      </c>
      <c r="G6649" s="107" t="str">
        <f aca="false">IF($C6649="","",$D6649*IFERROR(INDEX('تحليل التكلفة والسعر'!$C$2:$C$700,MATCH($C6649,'تحليل التكلفة والسعر'!$B$2:$B$700,0)),0))</f>
        <v/>
      </c>
    </row>
    <row r="6650" customFormat="false" ht="15" hidden="false" customHeight="false" outlineLevel="0" collapsed="false">
      <c r="A6650" s="103"/>
      <c r="B6650" s="104"/>
      <c r="C6650" s="104"/>
      <c r="E6650" s="107" t="str">
        <f aca="false">IF($C6650="","",IFERROR(INDEX(المنيو!$C$2:$C$500,MATCH($C6650,المنيو!$B$2:$B$500,0)),0))</f>
        <v/>
      </c>
      <c r="F6650" s="107" t="str">
        <f aca="false">IF($C6650="","",$D6650*$E6650)</f>
        <v/>
      </c>
      <c r="G6650" s="107" t="str">
        <f aca="false">IF($C6650="","",$D6650*IFERROR(INDEX('تحليل التكلفة والسعر'!$C$2:$C$700,MATCH($C6650,'تحليل التكلفة والسعر'!$B$2:$B$700,0)),0))</f>
        <v/>
      </c>
    </row>
    <row r="6651" customFormat="false" ht="15" hidden="false" customHeight="false" outlineLevel="0" collapsed="false">
      <c r="A6651" s="103"/>
      <c r="B6651" s="104"/>
      <c r="C6651" s="104"/>
      <c r="E6651" s="107" t="str">
        <f aca="false">IF($C6651="","",IFERROR(INDEX(المنيو!$C$2:$C$500,MATCH($C6651,المنيو!$B$2:$B$500,0)),0))</f>
        <v/>
      </c>
      <c r="F6651" s="107" t="str">
        <f aca="false">IF($C6651="","",$D6651*$E6651)</f>
        <v/>
      </c>
      <c r="G6651" s="107" t="str">
        <f aca="false">IF($C6651="","",$D6651*IFERROR(INDEX('تحليل التكلفة والسعر'!$C$2:$C$700,MATCH($C6651,'تحليل التكلفة والسعر'!$B$2:$B$700,0)),0))</f>
        <v/>
      </c>
    </row>
    <row r="6652" customFormat="false" ht="15" hidden="false" customHeight="false" outlineLevel="0" collapsed="false">
      <c r="A6652" s="103"/>
      <c r="B6652" s="104"/>
      <c r="C6652" s="104"/>
      <c r="E6652" s="107" t="str">
        <f aca="false">IF($C6652="","",IFERROR(INDEX(المنيو!$C$2:$C$500,MATCH($C6652,المنيو!$B$2:$B$500,0)),0))</f>
        <v/>
      </c>
      <c r="F6652" s="107" t="str">
        <f aca="false">IF($C6652="","",$D6652*$E6652)</f>
        <v/>
      </c>
      <c r="G6652" s="107" t="str">
        <f aca="false">IF($C6652="","",$D6652*IFERROR(INDEX('تحليل التكلفة والسعر'!$C$2:$C$700,MATCH($C6652,'تحليل التكلفة والسعر'!$B$2:$B$700,0)),0))</f>
        <v/>
      </c>
    </row>
    <row r="6653" customFormat="false" ht="15" hidden="false" customHeight="false" outlineLevel="0" collapsed="false">
      <c r="A6653" s="103"/>
      <c r="B6653" s="104"/>
      <c r="C6653" s="104"/>
      <c r="E6653" s="107" t="str">
        <f aca="false">IF($C6653="","",IFERROR(INDEX(المنيو!$C$2:$C$500,MATCH($C6653,المنيو!$B$2:$B$500,0)),0))</f>
        <v/>
      </c>
      <c r="F6653" s="107" t="str">
        <f aca="false">IF($C6653="","",$D6653*$E6653)</f>
        <v/>
      </c>
      <c r="G6653" s="107" t="str">
        <f aca="false">IF($C6653="","",$D6653*IFERROR(INDEX('تحليل التكلفة والسعر'!$C$2:$C$700,MATCH($C6653,'تحليل التكلفة والسعر'!$B$2:$B$700,0)),0))</f>
        <v/>
      </c>
    </row>
    <row r="6654" customFormat="false" ht="15" hidden="false" customHeight="false" outlineLevel="0" collapsed="false">
      <c r="A6654" s="103"/>
      <c r="B6654" s="104"/>
      <c r="C6654" s="104"/>
      <c r="E6654" s="107" t="str">
        <f aca="false">IF($C6654="","",IFERROR(INDEX(المنيو!$C$2:$C$500,MATCH($C6654,المنيو!$B$2:$B$500,0)),0))</f>
        <v/>
      </c>
      <c r="F6654" s="107" t="str">
        <f aca="false">IF($C6654="","",$D6654*$E6654)</f>
        <v/>
      </c>
      <c r="G6654" s="107" t="str">
        <f aca="false">IF($C6654="","",$D6654*IFERROR(INDEX('تحليل التكلفة والسعر'!$C$2:$C$700,MATCH($C6654,'تحليل التكلفة والسعر'!$B$2:$B$700,0)),0))</f>
        <v/>
      </c>
    </row>
    <row r="6655" customFormat="false" ht="15" hidden="false" customHeight="false" outlineLevel="0" collapsed="false">
      <c r="A6655" s="103"/>
      <c r="B6655" s="104"/>
      <c r="C6655" s="104"/>
      <c r="E6655" s="107" t="str">
        <f aca="false">IF($C6655="","",IFERROR(INDEX(المنيو!$C$2:$C$500,MATCH($C6655,المنيو!$B$2:$B$500,0)),0))</f>
        <v/>
      </c>
      <c r="F6655" s="107" t="str">
        <f aca="false">IF($C6655="","",$D6655*$E6655)</f>
        <v/>
      </c>
      <c r="G6655" s="107" t="str">
        <f aca="false">IF($C6655="","",$D6655*IFERROR(INDEX('تحليل التكلفة والسعر'!$C$2:$C$700,MATCH($C6655,'تحليل التكلفة والسعر'!$B$2:$B$700,0)),0))</f>
        <v/>
      </c>
    </row>
    <row r="6656" customFormat="false" ht="15" hidden="false" customHeight="false" outlineLevel="0" collapsed="false">
      <c r="A6656" s="103"/>
      <c r="B6656" s="104"/>
      <c r="C6656" s="104"/>
      <c r="E6656" s="107" t="str">
        <f aca="false">IF($C6656="","",IFERROR(INDEX(المنيو!$C$2:$C$500,MATCH($C6656,المنيو!$B$2:$B$500,0)),0))</f>
        <v/>
      </c>
      <c r="F6656" s="107" t="str">
        <f aca="false">IF($C6656="","",$D6656*$E6656)</f>
        <v/>
      </c>
      <c r="G6656" s="107" t="str">
        <f aca="false">IF($C6656="","",$D6656*IFERROR(INDEX('تحليل التكلفة والسعر'!$C$2:$C$700,MATCH($C6656,'تحليل التكلفة والسعر'!$B$2:$B$700,0)),0))</f>
        <v/>
      </c>
    </row>
    <row r="6657" customFormat="false" ht="15" hidden="false" customHeight="false" outlineLevel="0" collapsed="false">
      <c r="A6657" s="103"/>
      <c r="B6657" s="104"/>
      <c r="C6657" s="104"/>
      <c r="E6657" s="107" t="str">
        <f aca="false">IF($C6657="","",IFERROR(INDEX(المنيو!$C$2:$C$500,MATCH($C6657,المنيو!$B$2:$B$500,0)),0))</f>
        <v/>
      </c>
      <c r="F6657" s="107" t="str">
        <f aca="false">IF($C6657="","",$D6657*$E6657)</f>
        <v/>
      </c>
      <c r="G6657" s="107" t="str">
        <f aca="false">IF($C6657="","",$D6657*IFERROR(INDEX('تحليل التكلفة والسعر'!$C$2:$C$700,MATCH($C6657,'تحليل التكلفة والسعر'!$B$2:$B$700,0)),0))</f>
        <v/>
      </c>
    </row>
    <row r="6658" customFormat="false" ht="15" hidden="false" customHeight="false" outlineLevel="0" collapsed="false">
      <c r="A6658" s="103"/>
      <c r="B6658" s="104"/>
      <c r="C6658" s="104"/>
      <c r="E6658" s="107" t="str">
        <f aca="false">IF($C6658="","",IFERROR(INDEX(المنيو!$C$2:$C$500,MATCH($C6658,المنيو!$B$2:$B$500,0)),0))</f>
        <v/>
      </c>
      <c r="F6658" s="107" t="str">
        <f aca="false">IF($C6658="","",$D6658*$E6658)</f>
        <v/>
      </c>
      <c r="G6658" s="107" t="str">
        <f aca="false">IF($C6658="","",$D6658*IFERROR(INDEX('تحليل التكلفة والسعر'!$C$2:$C$700,MATCH($C6658,'تحليل التكلفة والسعر'!$B$2:$B$700,0)),0))</f>
        <v/>
      </c>
    </row>
    <row r="6659" customFormat="false" ht="15" hidden="false" customHeight="false" outlineLevel="0" collapsed="false">
      <c r="A6659" s="103"/>
      <c r="B6659" s="104"/>
      <c r="C6659" s="104"/>
      <c r="E6659" s="107" t="str">
        <f aca="false">IF($C6659="","",IFERROR(INDEX(المنيو!$C$2:$C$500,MATCH($C6659,المنيو!$B$2:$B$500,0)),0))</f>
        <v/>
      </c>
      <c r="F6659" s="107" t="str">
        <f aca="false">IF($C6659="","",$D6659*$E6659)</f>
        <v/>
      </c>
      <c r="G6659" s="107" t="str">
        <f aca="false">IF($C6659="","",$D6659*IFERROR(INDEX('تحليل التكلفة والسعر'!$C$2:$C$700,MATCH($C6659,'تحليل التكلفة والسعر'!$B$2:$B$700,0)),0))</f>
        <v/>
      </c>
    </row>
    <row r="6660" customFormat="false" ht="15" hidden="false" customHeight="false" outlineLevel="0" collapsed="false">
      <c r="A6660" s="103"/>
      <c r="B6660" s="104"/>
      <c r="C6660" s="104"/>
      <c r="E6660" s="107" t="str">
        <f aca="false">IF($C6660="","",IFERROR(INDEX(المنيو!$C$2:$C$500,MATCH($C6660,المنيو!$B$2:$B$500,0)),0))</f>
        <v/>
      </c>
      <c r="F6660" s="107" t="str">
        <f aca="false">IF($C6660="","",$D6660*$E6660)</f>
        <v/>
      </c>
      <c r="G6660" s="107" t="str">
        <f aca="false">IF($C6660="","",$D6660*IFERROR(INDEX('تحليل التكلفة والسعر'!$C$2:$C$700,MATCH($C6660,'تحليل التكلفة والسعر'!$B$2:$B$700,0)),0))</f>
        <v/>
      </c>
    </row>
    <row r="6661" customFormat="false" ht="15" hidden="false" customHeight="false" outlineLevel="0" collapsed="false">
      <c r="A6661" s="103"/>
      <c r="B6661" s="104"/>
      <c r="C6661" s="104"/>
      <c r="E6661" s="107" t="str">
        <f aca="false">IF($C6661="","",IFERROR(INDEX(المنيو!$C$2:$C$500,MATCH($C6661,المنيو!$B$2:$B$500,0)),0))</f>
        <v/>
      </c>
      <c r="F6661" s="107" t="str">
        <f aca="false">IF($C6661="","",$D6661*$E6661)</f>
        <v/>
      </c>
      <c r="G6661" s="107" t="str">
        <f aca="false">IF($C6661="","",$D6661*IFERROR(INDEX('تحليل التكلفة والسعر'!$C$2:$C$700,MATCH($C6661,'تحليل التكلفة والسعر'!$B$2:$B$700,0)),0))</f>
        <v/>
      </c>
    </row>
    <row r="6662" customFormat="false" ht="15" hidden="false" customHeight="false" outlineLevel="0" collapsed="false">
      <c r="A6662" s="103"/>
      <c r="B6662" s="104"/>
      <c r="C6662" s="104"/>
      <c r="E6662" s="107" t="str">
        <f aca="false">IF($C6662="","",IFERROR(INDEX(المنيو!$C$2:$C$500,MATCH($C6662,المنيو!$B$2:$B$500,0)),0))</f>
        <v/>
      </c>
      <c r="F6662" s="107" t="str">
        <f aca="false">IF($C6662="","",$D6662*$E6662)</f>
        <v/>
      </c>
      <c r="G6662" s="107" t="str">
        <f aca="false">IF($C6662="","",$D6662*IFERROR(INDEX('تحليل التكلفة والسعر'!$C$2:$C$700,MATCH($C6662,'تحليل التكلفة والسعر'!$B$2:$B$700,0)),0))</f>
        <v/>
      </c>
    </row>
    <row r="6663" customFormat="false" ht="15" hidden="false" customHeight="false" outlineLevel="0" collapsed="false">
      <c r="A6663" s="103"/>
      <c r="B6663" s="104"/>
      <c r="C6663" s="104"/>
      <c r="E6663" s="107" t="str">
        <f aca="false">IF($C6663="","",IFERROR(INDEX(المنيو!$C$2:$C$500,MATCH($C6663,المنيو!$B$2:$B$500,0)),0))</f>
        <v/>
      </c>
      <c r="F6663" s="107" t="str">
        <f aca="false">IF($C6663="","",$D6663*$E6663)</f>
        <v/>
      </c>
      <c r="G6663" s="107" t="str">
        <f aca="false">IF($C6663="","",$D6663*IFERROR(INDEX('تحليل التكلفة والسعر'!$C$2:$C$700,MATCH($C6663,'تحليل التكلفة والسعر'!$B$2:$B$700,0)),0))</f>
        <v/>
      </c>
    </row>
    <row r="6664" customFormat="false" ht="15" hidden="false" customHeight="false" outlineLevel="0" collapsed="false">
      <c r="A6664" s="103"/>
      <c r="B6664" s="104"/>
      <c r="C6664" s="104"/>
      <c r="E6664" s="107" t="str">
        <f aca="false">IF($C6664="","",IFERROR(INDEX(المنيو!$C$2:$C$500,MATCH($C6664,المنيو!$B$2:$B$500,0)),0))</f>
        <v/>
      </c>
      <c r="F6664" s="107" t="str">
        <f aca="false">IF($C6664="","",$D6664*$E6664)</f>
        <v/>
      </c>
      <c r="G6664" s="107" t="str">
        <f aca="false">IF($C6664="","",$D6664*IFERROR(INDEX('تحليل التكلفة والسعر'!$C$2:$C$700,MATCH($C6664,'تحليل التكلفة والسعر'!$B$2:$B$700,0)),0))</f>
        <v/>
      </c>
    </row>
    <row r="6665" customFormat="false" ht="15" hidden="false" customHeight="false" outlineLevel="0" collapsed="false">
      <c r="A6665" s="103"/>
      <c r="B6665" s="104"/>
      <c r="C6665" s="104"/>
      <c r="E6665" s="107" t="str">
        <f aca="false">IF($C6665="","",IFERROR(INDEX(المنيو!$C$2:$C$500,MATCH($C6665,المنيو!$B$2:$B$500,0)),0))</f>
        <v/>
      </c>
      <c r="F6665" s="107" t="str">
        <f aca="false">IF($C6665="","",$D6665*$E6665)</f>
        <v/>
      </c>
      <c r="G6665" s="107" t="str">
        <f aca="false">IF($C6665="","",$D6665*IFERROR(INDEX('تحليل التكلفة والسعر'!$C$2:$C$700,MATCH($C6665,'تحليل التكلفة والسعر'!$B$2:$B$700,0)),0))</f>
        <v/>
      </c>
    </row>
    <row r="6666" customFormat="false" ht="15" hidden="false" customHeight="false" outlineLevel="0" collapsed="false">
      <c r="A6666" s="103"/>
      <c r="B6666" s="104"/>
      <c r="C6666" s="104"/>
      <c r="E6666" s="107" t="str">
        <f aca="false">IF($C6666="","",IFERROR(INDEX(المنيو!$C$2:$C$500,MATCH($C6666,المنيو!$B$2:$B$500,0)),0))</f>
        <v/>
      </c>
      <c r="F6666" s="107" t="str">
        <f aca="false">IF($C6666="","",$D6666*$E6666)</f>
        <v/>
      </c>
      <c r="G6666" s="107" t="str">
        <f aca="false">IF($C6666="","",$D6666*IFERROR(INDEX('تحليل التكلفة والسعر'!$C$2:$C$700,MATCH($C6666,'تحليل التكلفة والسعر'!$B$2:$B$700,0)),0))</f>
        <v/>
      </c>
    </row>
    <row r="6667" customFormat="false" ht="15" hidden="false" customHeight="false" outlineLevel="0" collapsed="false">
      <c r="A6667" s="103"/>
      <c r="B6667" s="104"/>
      <c r="C6667" s="104"/>
      <c r="E6667" s="107" t="str">
        <f aca="false">IF($C6667="","",IFERROR(INDEX(المنيو!$C$2:$C$500,MATCH($C6667,المنيو!$B$2:$B$500,0)),0))</f>
        <v/>
      </c>
      <c r="F6667" s="107" t="str">
        <f aca="false">IF($C6667="","",$D6667*$E6667)</f>
        <v/>
      </c>
      <c r="G6667" s="107" t="str">
        <f aca="false">IF($C6667="","",$D6667*IFERROR(INDEX('تحليل التكلفة والسعر'!$C$2:$C$700,MATCH($C6667,'تحليل التكلفة والسعر'!$B$2:$B$700,0)),0))</f>
        <v/>
      </c>
    </row>
    <row r="6668" customFormat="false" ht="15" hidden="false" customHeight="false" outlineLevel="0" collapsed="false">
      <c r="A6668" s="103"/>
      <c r="B6668" s="104"/>
      <c r="C6668" s="104"/>
      <c r="E6668" s="107" t="str">
        <f aca="false">IF($C6668="","",IFERROR(INDEX(المنيو!$C$2:$C$500,MATCH($C6668,المنيو!$B$2:$B$500,0)),0))</f>
        <v/>
      </c>
      <c r="F6668" s="107" t="str">
        <f aca="false">IF($C6668="","",$D6668*$E6668)</f>
        <v/>
      </c>
      <c r="G6668" s="107" t="str">
        <f aca="false">IF($C6668="","",$D6668*IFERROR(INDEX('تحليل التكلفة والسعر'!$C$2:$C$700,MATCH($C6668,'تحليل التكلفة والسعر'!$B$2:$B$700,0)),0))</f>
        <v/>
      </c>
    </row>
    <row r="6669" customFormat="false" ht="15" hidden="false" customHeight="false" outlineLevel="0" collapsed="false">
      <c r="A6669" s="103"/>
      <c r="B6669" s="104"/>
      <c r="C6669" s="104"/>
      <c r="E6669" s="107" t="str">
        <f aca="false">IF($C6669="","",IFERROR(INDEX(المنيو!$C$2:$C$500,MATCH($C6669,المنيو!$B$2:$B$500,0)),0))</f>
        <v/>
      </c>
      <c r="F6669" s="107" t="str">
        <f aca="false">IF($C6669="","",$D6669*$E6669)</f>
        <v/>
      </c>
      <c r="G6669" s="107" t="str">
        <f aca="false">IF($C6669="","",$D6669*IFERROR(INDEX('تحليل التكلفة والسعر'!$C$2:$C$700,MATCH($C6669,'تحليل التكلفة والسعر'!$B$2:$B$700,0)),0))</f>
        <v/>
      </c>
    </row>
    <row r="6670" customFormat="false" ht="15" hidden="false" customHeight="false" outlineLevel="0" collapsed="false">
      <c r="A6670" s="103"/>
      <c r="B6670" s="104"/>
      <c r="C6670" s="104"/>
      <c r="E6670" s="107" t="str">
        <f aca="false">IF($C6670="","",IFERROR(INDEX(المنيو!$C$2:$C$500,MATCH($C6670,المنيو!$B$2:$B$500,0)),0))</f>
        <v/>
      </c>
      <c r="F6670" s="107" t="str">
        <f aca="false">IF($C6670="","",$D6670*$E6670)</f>
        <v/>
      </c>
      <c r="G6670" s="107" t="str">
        <f aca="false">IF($C6670="","",$D6670*IFERROR(INDEX('تحليل التكلفة والسعر'!$C$2:$C$700,MATCH($C6670,'تحليل التكلفة والسعر'!$B$2:$B$700,0)),0))</f>
        <v/>
      </c>
    </row>
    <row r="6671" customFormat="false" ht="15" hidden="false" customHeight="false" outlineLevel="0" collapsed="false">
      <c r="A6671" s="103"/>
      <c r="B6671" s="104"/>
      <c r="C6671" s="104"/>
      <c r="E6671" s="107" t="str">
        <f aca="false">IF($C6671="","",IFERROR(INDEX(المنيو!$C$2:$C$500,MATCH($C6671,المنيو!$B$2:$B$500,0)),0))</f>
        <v/>
      </c>
      <c r="F6671" s="107" t="str">
        <f aca="false">IF($C6671="","",$D6671*$E6671)</f>
        <v/>
      </c>
      <c r="G6671" s="107" t="str">
        <f aca="false">IF($C6671="","",$D6671*IFERROR(INDEX('تحليل التكلفة والسعر'!$C$2:$C$700,MATCH($C6671,'تحليل التكلفة والسعر'!$B$2:$B$700,0)),0))</f>
        <v/>
      </c>
    </row>
    <row r="6672" customFormat="false" ht="15" hidden="false" customHeight="false" outlineLevel="0" collapsed="false">
      <c r="A6672" s="103"/>
      <c r="B6672" s="104"/>
      <c r="C6672" s="104"/>
      <c r="E6672" s="107" t="str">
        <f aca="false">IF($C6672="","",IFERROR(INDEX(المنيو!$C$2:$C$500,MATCH($C6672,المنيو!$B$2:$B$500,0)),0))</f>
        <v/>
      </c>
      <c r="F6672" s="107" t="str">
        <f aca="false">IF($C6672="","",$D6672*$E6672)</f>
        <v/>
      </c>
      <c r="G6672" s="107" t="str">
        <f aca="false">IF($C6672="","",$D6672*IFERROR(INDEX('تحليل التكلفة والسعر'!$C$2:$C$700,MATCH($C6672,'تحليل التكلفة والسعر'!$B$2:$B$700,0)),0))</f>
        <v/>
      </c>
    </row>
    <row r="6673" customFormat="false" ht="15" hidden="false" customHeight="false" outlineLevel="0" collapsed="false">
      <c r="A6673" s="103"/>
      <c r="B6673" s="104"/>
      <c r="C6673" s="104"/>
      <c r="E6673" s="107" t="str">
        <f aca="false">IF($C6673="","",IFERROR(INDEX(المنيو!$C$2:$C$500,MATCH($C6673,المنيو!$B$2:$B$500,0)),0))</f>
        <v/>
      </c>
      <c r="F6673" s="107" t="str">
        <f aca="false">IF($C6673="","",$D6673*$E6673)</f>
        <v/>
      </c>
      <c r="G6673" s="107" t="str">
        <f aca="false">IF($C6673="","",$D6673*IFERROR(INDEX('تحليل التكلفة والسعر'!$C$2:$C$700,MATCH($C6673,'تحليل التكلفة والسعر'!$B$2:$B$700,0)),0))</f>
        <v/>
      </c>
    </row>
    <row r="6674" customFormat="false" ht="15" hidden="false" customHeight="false" outlineLevel="0" collapsed="false">
      <c r="A6674" s="103"/>
      <c r="B6674" s="104"/>
      <c r="C6674" s="104"/>
      <c r="E6674" s="107" t="str">
        <f aca="false">IF($C6674="","",IFERROR(INDEX(المنيو!$C$2:$C$500,MATCH($C6674,المنيو!$B$2:$B$500,0)),0))</f>
        <v/>
      </c>
      <c r="F6674" s="107" t="str">
        <f aca="false">IF($C6674="","",$D6674*$E6674)</f>
        <v/>
      </c>
      <c r="G6674" s="107" t="str">
        <f aca="false">IF($C6674="","",$D6674*IFERROR(INDEX('تحليل التكلفة والسعر'!$C$2:$C$700,MATCH($C6674,'تحليل التكلفة والسعر'!$B$2:$B$700,0)),0))</f>
        <v/>
      </c>
    </row>
    <row r="6675" customFormat="false" ht="15" hidden="false" customHeight="false" outlineLevel="0" collapsed="false">
      <c r="A6675" s="103"/>
      <c r="B6675" s="104"/>
      <c r="C6675" s="104"/>
      <c r="E6675" s="107" t="str">
        <f aca="false">IF($C6675="","",IFERROR(INDEX(المنيو!$C$2:$C$500,MATCH($C6675,المنيو!$B$2:$B$500,0)),0))</f>
        <v/>
      </c>
      <c r="F6675" s="107" t="str">
        <f aca="false">IF($C6675="","",$D6675*$E6675)</f>
        <v/>
      </c>
      <c r="G6675" s="107" t="str">
        <f aca="false">IF($C6675="","",$D6675*IFERROR(INDEX('تحليل التكلفة والسعر'!$C$2:$C$700,MATCH($C6675,'تحليل التكلفة والسعر'!$B$2:$B$700,0)),0))</f>
        <v/>
      </c>
    </row>
    <row r="6676" customFormat="false" ht="15" hidden="false" customHeight="false" outlineLevel="0" collapsed="false">
      <c r="A6676" s="103"/>
      <c r="B6676" s="104"/>
      <c r="C6676" s="104"/>
      <c r="E6676" s="107" t="str">
        <f aca="false">IF($C6676="","",IFERROR(INDEX(المنيو!$C$2:$C$500,MATCH($C6676,المنيو!$B$2:$B$500,0)),0))</f>
        <v/>
      </c>
      <c r="F6676" s="107" t="str">
        <f aca="false">IF($C6676="","",$D6676*$E6676)</f>
        <v/>
      </c>
      <c r="G6676" s="107" t="str">
        <f aca="false">IF($C6676="","",$D6676*IFERROR(INDEX('تحليل التكلفة والسعر'!$C$2:$C$700,MATCH($C6676,'تحليل التكلفة والسعر'!$B$2:$B$700,0)),0))</f>
        <v/>
      </c>
    </row>
    <row r="6677" customFormat="false" ht="15" hidden="false" customHeight="false" outlineLevel="0" collapsed="false">
      <c r="A6677" s="103"/>
      <c r="B6677" s="104"/>
      <c r="C6677" s="104"/>
      <c r="E6677" s="107" t="str">
        <f aca="false">IF($C6677="","",IFERROR(INDEX(المنيو!$C$2:$C$500,MATCH($C6677,المنيو!$B$2:$B$500,0)),0))</f>
        <v/>
      </c>
      <c r="F6677" s="107" t="str">
        <f aca="false">IF($C6677="","",$D6677*$E6677)</f>
        <v/>
      </c>
      <c r="G6677" s="107" t="str">
        <f aca="false">IF($C6677="","",$D6677*IFERROR(INDEX('تحليل التكلفة والسعر'!$C$2:$C$700,MATCH($C6677,'تحليل التكلفة والسعر'!$B$2:$B$700,0)),0))</f>
        <v/>
      </c>
    </row>
    <row r="6678" customFormat="false" ht="15" hidden="false" customHeight="false" outlineLevel="0" collapsed="false">
      <c r="A6678" s="103"/>
      <c r="B6678" s="104"/>
      <c r="C6678" s="104"/>
      <c r="E6678" s="107" t="str">
        <f aca="false">IF($C6678="","",IFERROR(INDEX(المنيو!$C$2:$C$500,MATCH($C6678,المنيو!$B$2:$B$500,0)),0))</f>
        <v/>
      </c>
      <c r="F6678" s="107" t="str">
        <f aca="false">IF($C6678="","",$D6678*$E6678)</f>
        <v/>
      </c>
      <c r="G6678" s="107" t="str">
        <f aca="false">IF($C6678="","",$D6678*IFERROR(INDEX('تحليل التكلفة والسعر'!$C$2:$C$700,MATCH($C6678,'تحليل التكلفة والسعر'!$B$2:$B$700,0)),0))</f>
        <v/>
      </c>
    </row>
    <row r="6679" customFormat="false" ht="15" hidden="false" customHeight="false" outlineLevel="0" collapsed="false">
      <c r="A6679" s="103"/>
      <c r="B6679" s="104"/>
      <c r="C6679" s="104"/>
      <c r="E6679" s="107" t="str">
        <f aca="false">IF($C6679="","",IFERROR(INDEX(المنيو!$C$2:$C$500,MATCH($C6679,المنيو!$B$2:$B$500,0)),0))</f>
        <v/>
      </c>
      <c r="F6679" s="107" t="str">
        <f aca="false">IF($C6679="","",$D6679*$E6679)</f>
        <v/>
      </c>
      <c r="G6679" s="107" t="str">
        <f aca="false">IF($C6679="","",$D6679*IFERROR(INDEX('تحليل التكلفة والسعر'!$C$2:$C$700,MATCH($C6679,'تحليل التكلفة والسعر'!$B$2:$B$700,0)),0))</f>
        <v/>
      </c>
    </row>
    <row r="6680" customFormat="false" ht="15" hidden="false" customHeight="false" outlineLevel="0" collapsed="false">
      <c r="A6680" s="103"/>
      <c r="B6680" s="104"/>
      <c r="C6680" s="104"/>
      <c r="E6680" s="107" t="str">
        <f aca="false">IF($C6680="","",IFERROR(INDEX(المنيو!$C$2:$C$500,MATCH($C6680,المنيو!$B$2:$B$500,0)),0))</f>
        <v/>
      </c>
      <c r="F6680" s="107" t="str">
        <f aca="false">IF($C6680="","",$D6680*$E6680)</f>
        <v/>
      </c>
      <c r="G6680" s="107" t="str">
        <f aca="false">IF($C6680="","",$D6680*IFERROR(INDEX('تحليل التكلفة والسعر'!$C$2:$C$700,MATCH($C6680,'تحليل التكلفة والسعر'!$B$2:$B$700,0)),0))</f>
        <v/>
      </c>
    </row>
    <row r="6681" customFormat="false" ht="15" hidden="false" customHeight="false" outlineLevel="0" collapsed="false">
      <c r="A6681" s="103"/>
      <c r="B6681" s="104"/>
      <c r="C6681" s="104"/>
      <c r="E6681" s="107" t="str">
        <f aca="false">IF($C6681="","",IFERROR(INDEX(المنيو!$C$2:$C$500,MATCH($C6681,المنيو!$B$2:$B$500,0)),0))</f>
        <v/>
      </c>
      <c r="F6681" s="107" t="str">
        <f aca="false">IF($C6681="","",$D6681*$E6681)</f>
        <v/>
      </c>
      <c r="G6681" s="107" t="str">
        <f aca="false">IF($C6681="","",$D6681*IFERROR(INDEX('تحليل التكلفة والسعر'!$C$2:$C$700,MATCH($C6681,'تحليل التكلفة والسعر'!$B$2:$B$700,0)),0))</f>
        <v/>
      </c>
    </row>
    <row r="6682" customFormat="false" ht="15" hidden="false" customHeight="false" outlineLevel="0" collapsed="false">
      <c r="A6682" s="103"/>
      <c r="B6682" s="104"/>
      <c r="C6682" s="104"/>
      <c r="E6682" s="107" t="str">
        <f aca="false">IF($C6682="","",IFERROR(INDEX(المنيو!$C$2:$C$500,MATCH($C6682,المنيو!$B$2:$B$500,0)),0))</f>
        <v/>
      </c>
      <c r="F6682" s="107" t="str">
        <f aca="false">IF($C6682="","",$D6682*$E6682)</f>
        <v/>
      </c>
      <c r="G6682" s="107" t="str">
        <f aca="false">IF($C6682="","",$D6682*IFERROR(INDEX('تحليل التكلفة والسعر'!$C$2:$C$700,MATCH($C6682,'تحليل التكلفة والسعر'!$B$2:$B$700,0)),0))</f>
        <v/>
      </c>
    </row>
    <row r="6683" customFormat="false" ht="15" hidden="false" customHeight="false" outlineLevel="0" collapsed="false">
      <c r="A6683" s="103"/>
      <c r="B6683" s="104"/>
      <c r="C6683" s="104"/>
      <c r="E6683" s="107" t="str">
        <f aca="false">IF($C6683="","",IFERROR(INDEX(المنيو!$C$2:$C$500,MATCH($C6683,المنيو!$B$2:$B$500,0)),0))</f>
        <v/>
      </c>
      <c r="F6683" s="107" t="str">
        <f aca="false">IF($C6683="","",$D6683*$E6683)</f>
        <v/>
      </c>
      <c r="G6683" s="107" t="str">
        <f aca="false">IF($C6683="","",$D6683*IFERROR(INDEX('تحليل التكلفة والسعر'!$C$2:$C$700,MATCH($C6683,'تحليل التكلفة والسعر'!$B$2:$B$700,0)),0))</f>
        <v/>
      </c>
    </row>
    <row r="6684" customFormat="false" ht="15" hidden="false" customHeight="false" outlineLevel="0" collapsed="false">
      <c r="A6684" s="103"/>
      <c r="B6684" s="104"/>
      <c r="C6684" s="104"/>
      <c r="E6684" s="107" t="str">
        <f aca="false">IF($C6684="","",IFERROR(INDEX(المنيو!$C$2:$C$500,MATCH($C6684,المنيو!$B$2:$B$500,0)),0))</f>
        <v/>
      </c>
      <c r="F6684" s="107" t="str">
        <f aca="false">IF($C6684="","",$D6684*$E6684)</f>
        <v/>
      </c>
      <c r="G6684" s="107" t="str">
        <f aca="false">IF($C6684="","",$D6684*IFERROR(INDEX('تحليل التكلفة والسعر'!$C$2:$C$700,MATCH($C6684,'تحليل التكلفة والسعر'!$B$2:$B$700,0)),0))</f>
        <v/>
      </c>
    </row>
    <row r="6685" customFormat="false" ht="15" hidden="false" customHeight="false" outlineLevel="0" collapsed="false">
      <c r="A6685" s="103"/>
      <c r="B6685" s="104"/>
      <c r="C6685" s="104"/>
      <c r="E6685" s="107" t="str">
        <f aca="false">IF($C6685="","",IFERROR(INDEX(المنيو!$C$2:$C$500,MATCH($C6685,المنيو!$B$2:$B$500,0)),0))</f>
        <v/>
      </c>
      <c r="F6685" s="107" t="str">
        <f aca="false">IF($C6685="","",$D6685*$E6685)</f>
        <v/>
      </c>
      <c r="G6685" s="107" t="str">
        <f aca="false">IF($C6685="","",$D6685*IFERROR(INDEX('تحليل التكلفة والسعر'!$C$2:$C$700,MATCH($C6685,'تحليل التكلفة والسعر'!$B$2:$B$700,0)),0))</f>
        <v/>
      </c>
    </row>
    <row r="6686" customFormat="false" ht="15" hidden="false" customHeight="false" outlineLevel="0" collapsed="false">
      <c r="A6686" s="103"/>
      <c r="B6686" s="104"/>
      <c r="C6686" s="104"/>
      <c r="E6686" s="107" t="str">
        <f aca="false">IF($C6686="","",IFERROR(INDEX(المنيو!$C$2:$C$500,MATCH($C6686,المنيو!$B$2:$B$500,0)),0))</f>
        <v/>
      </c>
      <c r="F6686" s="107" t="str">
        <f aca="false">IF($C6686="","",$D6686*$E6686)</f>
        <v/>
      </c>
      <c r="G6686" s="107" t="str">
        <f aca="false">IF($C6686="","",$D6686*IFERROR(INDEX('تحليل التكلفة والسعر'!$C$2:$C$700,MATCH($C6686,'تحليل التكلفة والسعر'!$B$2:$B$700,0)),0))</f>
        <v/>
      </c>
    </row>
    <row r="6687" customFormat="false" ht="15" hidden="false" customHeight="false" outlineLevel="0" collapsed="false">
      <c r="A6687" s="103"/>
      <c r="B6687" s="104"/>
      <c r="C6687" s="104"/>
      <c r="E6687" s="107" t="str">
        <f aca="false">IF($C6687="","",IFERROR(INDEX(المنيو!$C$2:$C$500,MATCH($C6687,المنيو!$B$2:$B$500,0)),0))</f>
        <v/>
      </c>
      <c r="F6687" s="107" t="str">
        <f aca="false">IF($C6687="","",$D6687*$E6687)</f>
        <v/>
      </c>
      <c r="G6687" s="107" t="str">
        <f aca="false">IF($C6687="","",$D6687*IFERROR(INDEX('تحليل التكلفة والسعر'!$C$2:$C$700,MATCH($C6687,'تحليل التكلفة والسعر'!$B$2:$B$700,0)),0))</f>
        <v/>
      </c>
    </row>
    <row r="6688" customFormat="false" ht="15" hidden="false" customHeight="false" outlineLevel="0" collapsed="false">
      <c r="A6688" s="103"/>
      <c r="B6688" s="104"/>
      <c r="C6688" s="104"/>
      <c r="E6688" s="107" t="str">
        <f aca="false">IF($C6688="","",IFERROR(INDEX(المنيو!$C$2:$C$500,MATCH($C6688,المنيو!$B$2:$B$500,0)),0))</f>
        <v/>
      </c>
      <c r="F6688" s="107" t="str">
        <f aca="false">IF($C6688="","",$D6688*$E6688)</f>
        <v/>
      </c>
      <c r="G6688" s="107" t="str">
        <f aca="false">IF($C6688="","",$D6688*IFERROR(INDEX('تحليل التكلفة والسعر'!$C$2:$C$700,MATCH($C6688,'تحليل التكلفة والسعر'!$B$2:$B$700,0)),0))</f>
        <v/>
      </c>
    </row>
    <row r="6689" customFormat="false" ht="15" hidden="false" customHeight="false" outlineLevel="0" collapsed="false">
      <c r="A6689" s="103"/>
      <c r="B6689" s="104"/>
      <c r="C6689" s="104"/>
      <c r="E6689" s="107" t="str">
        <f aca="false">IF($C6689="","",IFERROR(INDEX(المنيو!$C$2:$C$500,MATCH($C6689,المنيو!$B$2:$B$500,0)),0))</f>
        <v/>
      </c>
      <c r="F6689" s="107" t="str">
        <f aca="false">IF($C6689="","",$D6689*$E6689)</f>
        <v/>
      </c>
      <c r="G6689" s="107" t="str">
        <f aca="false">IF($C6689="","",$D6689*IFERROR(INDEX('تحليل التكلفة والسعر'!$C$2:$C$700,MATCH($C6689,'تحليل التكلفة والسعر'!$B$2:$B$700,0)),0))</f>
        <v/>
      </c>
    </row>
    <row r="6690" customFormat="false" ht="15" hidden="false" customHeight="false" outlineLevel="0" collapsed="false">
      <c r="A6690" s="103"/>
      <c r="B6690" s="104"/>
      <c r="C6690" s="104"/>
      <c r="E6690" s="107" t="str">
        <f aca="false">IF($C6690="","",IFERROR(INDEX(المنيو!$C$2:$C$500,MATCH($C6690,المنيو!$B$2:$B$500,0)),0))</f>
        <v/>
      </c>
      <c r="F6690" s="107" t="str">
        <f aca="false">IF($C6690="","",$D6690*$E6690)</f>
        <v/>
      </c>
      <c r="G6690" s="107" t="str">
        <f aca="false">IF($C6690="","",$D6690*IFERROR(INDEX('تحليل التكلفة والسعر'!$C$2:$C$700,MATCH($C6690,'تحليل التكلفة والسعر'!$B$2:$B$700,0)),0))</f>
        <v/>
      </c>
    </row>
    <row r="6691" customFormat="false" ht="15" hidden="false" customHeight="false" outlineLevel="0" collapsed="false">
      <c r="A6691" s="103"/>
      <c r="B6691" s="104"/>
      <c r="C6691" s="104"/>
      <c r="E6691" s="107" t="str">
        <f aca="false">IF($C6691="","",IFERROR(INDEX(المنيو!$C$2:$C$500,MATCH($C6691,المنيو!$B$2:$B$500,0)),0))</f>
        <v/>
      </c>
      <c r="F6691" s="107" t="str">
        <f aca="false">IF($C6691="","",$D6691*$E6691)</f>
        <v/>
      </c>
      <c r="G6691" s="107" t="str">
        <f aca="false">IF($C6691="","",$D6691*IFERROR(INDEX('تحليل التكلفة والسعر'!$C$2:$C$700,MATCH($C6691,'تحليل التكلفة والسعر'!$B$2:$B$700,0)),0))</f>
        <v/>
      </c>
    </row>
    <row r="6692" customFormat="false" ht="15" hidden="false" customHeight="false" outlineLevel="0" collapsed="false">
      <c r="A6692" s="103"/>
      <c r="B6692" s="104"/>
      <c r="C6692" s="104"/>
      <c r="E6692" s="107" t="str">
        <f aca="false">IF($C6692="","",IFERROR(INDEX(المنيو!$C$2:$C$500,MATCH($C6692,المنيو!$B$2:$B$500,0)),0))</f>
        <v/>
      </c>
      <c r="F6692" s="107" t="str">
        <f aca="false">IF($C6692="","",$D6692*$E6692)</f>
        <v/>
      </c>
      <c r="G6692" s="107" t="str">
        <f aca="false">IF($C6692="","",$D6692*IFERROR(INDEX('تحليل التكلفة والسعر'!$C$2:$C$700,MATCH($C6692,'تحليل التكلفة والسعر'!$B$2:$B$700,0)),0))</f>
        <v/>
      </c>
    </row>
    <row r="6693" customFormat="false" ht="15" hidden="false" customHeight="false" outlineLevel="0" collapsed="false">
      <c r="A6693" s="103"/>
      <c r="B6693" s="104"/>
      <c r="C6693" s="104"/>
      <c r="E6693" s="107" t="str">
        <f aca="false">IF($C6693="","",IFERROR(INDEX(المنيو!$C$2:$C$500,MATCH($C6693,المنيو!$B$2:$B$500,0)),0))</f>
        <v/>
      </c>
      <c r="F6693" s="107" t="str">
        <f aca="false">IF($C6693="","",$D6693*$E6693)</f>
        <v/>
      </c>
      <c r="G6693" s="107" t="str">
        <f aca="false">IF($C6693="","",$D6693*IFERROR(INDEX('تحليل التكلفة والسعر'!$C$2:$C$700,MATCH($C6693,'تحليل التكلفة والسعر'!$B$2:$B$700,0)),0))</f>
        <v/>
      </c>
    </row>
    <row r="6694" customFormat="false" ht="15" hidden="false" customHeight="false" outlineLevel="0" collapsed="false">
      <c r="A6694" s="103"/>
      <c r="B6694" s="104"/>
      <c r="C6694" s="104"/>
      <c r="E6694" s="107" t="str">
        <f aca="false">IF($C6694="","",IFERROR(INDEX(المنيو!$C$2:$C$500,MATCH($C6694,المنيو!$B$2:$B$500,0)),0))</f>
        <v/>
      </c>
      <c r="F6694" s="107" t="str">
        <f aca="false">IF($C6694="","",$D6694*$E6694)</f>
        <v/>
      </c>
      <c r="G6694" s="107" t="str">
        <f aca="false">IF($C6694="","",$D6694*IFERROR(INDEX('تحليل التكلفة والسعر'!$C$2:$C$700,MATCH($C6694,'تحليل التكلفة والسعر'!$B$2:$B$700,0)),0))</f>
        <v/>
      </c>
    </row>
    <row r="6695" customFormat="false" ht="15" hidden="false" customHeight="false" outlineLevel="0" collapsed="false">
      <c r="A6695" s="103"/>
      <c r="B6695" s="104"/>
      <c r="C6695" s="104"/>
      <c r="E6695" s="107" t="str">
        <f aca="false">IF($C6695="","",IFERROR(INDEX(المنيو!$C$2:$C$500,MATCH($C6695,المنيو!$B$2:$B$500,0)),0))</f>
        <v/>
      </c>
      <c r="F6695" s="107" t="str">
        <f aca="false">IF($C6695="","",$D6695*$E6695)</f>
        <v/>
      </c>
      <c r="G6695" s="107" t="str">
        <f aca="false">IF($C6695="","",$D6695*IFERROR(INDEX('تحليل التكلفة والسعر'!$C$2:$C$700,MATCH($C6695,'تحليل التكلفة والسعر'!$B$2:$B$700,0)),0))</f>
        <v/>
      </c>
    </row>
    <row r="6696" customFormat="false" ht="15" hidden="false" customHeight="false" outlineLevel="0" collapsed="false">
      <c r="A6696" s="103"/>
      <c r="B6696" s="104"/>
      <c r="C6696" s="104"/>
      <c r="E6696" s="107" t="str">
        <f aca="false">IF($C6696="","",IFERROR(INDEX(المنيو!$C$2:$C$500,MATCH($C6696,المنيو!$B$2:$B$500,0)),0))</f>
        <v/>
      </c>
      <c r="F6696" s="107" t="str">
        <f aca="false">IF($C6696="","",$D6696*$E6696)</f>
        <v/>
      </c>
      <c r="G6696" s="107" t="str">
        <f aca="false">IF($C6696="","",$D6696*IFERROR(INDEX('تحليل التكلفة والسعر'!$C$2:$C$700,MATCH($C6696,'تحليل التكلفة والسعر'!$B$2:$B$700,0)),0))</f>
        <v/>
      </c>
    </row>
    <row r="6697" customFormat="false" ht="15" hidden="false" customHeight="false" outlineLevel="0" collapsed="false">
      <c r="A6697" s="103"/>
      <c r="B6697" s="104"/>
      <c r="C6697" s="104"/>
      <c r="E6697" s="107" t="str">
        <f aca="false">IF($C6697="","",IFERROR(INDEX(المنيو!$C$2:$C$500,MATCH($C6697,المنيو!$B$2:$B$500,0)),0))</f>
        <v/>
      </c>
      <c r="F6697" s="107" t="str">
        <f aca="false">IF($C6697="","",$D6697*$E6697)</f>
        <v/>
      </c>
      <c r="G6697" s="107" t="str">
        <f aca="false">IF($C6697="","",$D6697*IFERROR(INDEX('تحليل التكلفة والسعر'!$C$2:$C$700,MATCH($C6697,'تحليل التكلفة والسعر'!$B$2:$B$700,0)),0))</f>
        <v/>
      </c>
    </row>
    <row r="6698" customFormat="false" ht="15" hidden="false" customHeight="false" outlineLevel="0" collapsed="false">
      <c r="A6698" s="103"/>
      <c r="B6698" s="104"/>
      <c r="C6698" s="104"/>
      <c r="E6698" s="107" t="str">
        <f aca="false">IF($C6698="","",IFERROR(INDEX(المنيو!$C$2:$C$500,MATCH($C6698,المنيو!$B$2:$B$500,0)),0))</f>
        <v/>
      </c>
      <c r="F6698" s="107" t="str">
        <f aca="false">IF($C6698="","",$D6698*$E6698)</f>
        <v/>
      </c>
      <c r="G6698" s="107" t="str">
        <f aca="false">IF($C6698="","",$D6698*IFERROR(INDEX('تحليل التكلفة والسعر'!$C$2:$C$700,MATCH($C6698,'تحليل التكلفة والسعر'!$B$2:$B$700,0)),0))</f>
        <v/>
      </c>
    </row>
    <row r="6699" customFormat="false" ht="15" hidden="false" customHeight="false" outlineLevel="0" collapsed="false">
      <c r="A6699" s="103"/>
      <c r="B6699" s="104"/>
      <c r="C6699" s="104"/>
      <c r="E6699" s="107" t="str">
        <f aca="false">IF($C6699="","",IFERROR(INDEX(المنيو!$C$2:$C$500,MATCH($C6699,المنيو!$B$2:$B$500,0)),0))</f>
        <v/>
      </c>
      <c r="F6699" s="107" t="str">
        <f aca="false">IF($C6699="","",$D6699*$E6699)</f>
        <v/>
      </c>
      <c r="G6699" s="107" t="str">
        <f aca="false">IF($C6699="","",$D6699*IFERROR(INDEX('تحليل التكلفة والسعر'!$C$2:$C$700,MATCH($C6699,'تحليل التكلفة والسعر'!$B$2:$B$700,0)),0))</f>
        <v/>
      </c>
    </row>
    <row r="6700" customFormat="false" ht="15" hidden="false" customHeight="false" outlineLevel="0" collapsed="false">
      <c r="A6700" s="103"/>
      <c r="B6700" s="104"/>
      <c r="C6700" s="104"/>
      <c r="E6700" s="107" t="str">
        <f aca="false">IF($C6700="","",IFERROR(INDEX(المنيو!$C$2:$C$500,MATCH($C6700,المنيو!$B$2:$B$500,0)),0))</f>
        <v/>
      </c>
      <c r="F6700" s="107" t="str">
        <f aca="false">IF($C6700="","",$D6700*$E6700)</f>
        <v/>
      </c>
      <c r="G6700" s="107" t="str">
        <f aca="false">IF($C6700="","",$D6700*IFERROR(INDEX('تحليل التكلفة والسعر'!$C$2:$C$700,MATCH($C6700,'تحليل التكلفة والسعر'!$B$2:$B$700,0)),0))</f>
        <v/>
      </c>
    </row>
    <row r="6701" customFormat="false" ht="15" hidden="false" customHeight="false" outlineLevel="0" collapsed="false">
      <c r="A6701" s="103"/>
      <c r="B6701" s="104"/>
      <c r="C6701" s="104"/>
      <c r="E6701" s="107" t="str">
        <f aca="false">IF($C6701="","",IFERROR(INDEX(المنيو!$C$2:$C$500,MATCH($C6701,المنيو!$B$2:$B$500,0)),0))</f>
        <v/>
      </c>
      <c r="F6701" s="107" t="str">
        <f aca="false">IF($C6701="","",$D6701*$E6701)</f>
        <v/>
      </c>
      <c r="G6701" s="107" t="str">
        <f aca="false">IF($C6701="","",$D6701*IFERROR(INDEX('تحليل التكلفة والسعر'!$C$2:$C$700,MATCH($C6701,'تحليل التكلفة والسعر'!$B$2:$B$700,0)),0))</f>
        <v/>
      </c>
    </row>
    <row r="6702" customFormat="false" ht="15" hidden="false" customHeight="false" outlineLevel="0" collapsed="false">
      <c r="A6702" s="103"/>
      <c r="B6702" s="104"/>
      <c r="C6702" s="104"/>
      <c r="E6702" s="107" t="str">
        <f aca="false">IF($C6702="","",IFERROR(INDEX(المنيو!$C$2:$C$500,MATCH($C6702,المنيو!$B$2:$B$500,0)),0))</f>
        <v/>
      </c>
      <c r="F6702" s="107" t="str">
        <f aca="false">IF($C6702="","",$D6702*$E6702)</f>
        <v/>
      </c>
      <c r="G6702" s="107" t="str">
        <f aca="false">IF($C6702="","",$D6702*IFERROR(INDEX('تحليل التكلفة والسعر'!$C$2:$C$700,MATCH($C6702,'تحليل التكلفة والسعر'!$B$2:$B$700,0)),0))</f>
        <v/>
      </c>
    </row>
    <row r="6703" customFormat="false" ht="15" hidden="false" customHeight="false" outlineLevel="0" collapsed="false">
      <c r="A6703" s="103"/>
      <c r="B6703" s="104"/>
      <c r="C6703" s="104"/>
      <c r="E6703" s="107" t="str">
        <f aca="false">IF($C6703="","",IFERROR(INDEX(المنيو!$C$2:$C$500,MATCH($C6703,المنيو!$B$2:$B$500,0)),0))</f>
        <v/>
      </c>
      <c r="F6703" s="107" t="str">
        <f aca="false">IF($C6703="","",$D6703*$E6703)</f>
        <v/>
      </c>
      <c r="G6703" s="107" t="str">
        <f aca="false">IF($C6703="","",$D6703*IFERROR(INDEX('تحليل التكلفة والسعر'!$C$2:$C$700,MATCH($C6703,'تحليل التكلفة والسعر'!$B$2:$B$700,0)),0))</f>
        <v/>
      </c>
    </row>
    <row r="6704" customFormat="false" ht="15" hidden="false" customHeight="false" outlineLevel="0" collapsed="false">
      <c r="A6704" s="103"/>
      <c r="B6704" s="104"/>
      <c r="C6704" s="104"/>
      <c r="E6704" s="107" t="str">
        <f aca="false">IF($C6704="","",IFERROR(INDEX(المنيو!$C$2:$C$500,MATCH($C6704,المنيو!$B$2:$B$500,0)),0))</f>
        <v/>
      </c>
      <c r="F6704" s="107" t="str">
        <f aca="false">IF($C6704="","",$D6704*$E6704)</f>
        <v/>
      </c>
      <c r="G6704" s="107" t="str">
        <f aca="false">IF($C6704="","",$D6704*IFERROR(INDEX('تحليل التكلفة والسعر'!$C$2:$C$700,MATCH($C6704,'تحليل التكلفة والسعر'!$B$2:$B$700,0)),0))</f>
        <v/>
      </c>
    </row>
    <row r="6705" customFormat="false" ht="15" hidden="false" customHeight="false" outlineLevel="0" collapsed="false">
      <c r="A6705" s="103"/>
      <c r="B6705" s="104"/>
      <c r="C6705" s="104"/>
      <c r="E6705" s="107" t="str">
        <f aca="false">IF($C6705="","",IFERROR(INDEX(المنيو!$C$2:$C$500,MATCH($C6705,المنيو!$B$2:$B$500,0)),0))</f>
        <v/>
      </c>
      <c r="F6705" s="107" t="str">
        <f aca="false">IF($C6705="","",$D6705*$E6705)</f>
        <v/>
      </c>
      <c r="G6705" s="107" t="str">
        <f aca="false">IF($C6705="","",$D6705*IFERROR(INDEX('تحليل التكلفة والسعر'!$C$2:$C$700,MATCH($C6705,'تحليل التكلفة والسعر'!$B$2:$B$700,0)),0))</f>
        <v/>
      </c>
    </row>
    <row r="6706" customFormat="false" ht="15" hidden="false" customHeight="false" outlineLevel="0" collapsed="false">
      <c r="A6706" s="103"/>
      <c r="B6706" s="104"/>
      <c r="C6706" s="104"/>
      <c r="E6706" s="107" t="str">
        <f aca="false">IF($C6706="","",IFERROR(INDEX(المنيو!$C$2:$C$500,MATCH($C6706,المنيو!$B$2:$B$500,0)),0))</f>
        <v/>
      </c>
      <c r="F6706" s="107" t="str">
        <f aca="false">IF($C6706="","",$D6706*$E6706)</f>
        <v/>
      </c>
      <c r="G6706" s="107" t="str">
        <f aca="false">IF($C6706="","",$D6706*IFERROR(INDEX('تحليل التكلفة والسعر'!$C$2:$C$700,MATCH($C6706,'تحليل التكلفة والسعر'!$B$2:$B$700,0)),0))</f>
        <v/>
      </c>
    </row>
    <row r="6707" customFormat="false" ht="15" hidden="false" customHeight="false" outlineLevel="0" collapsed="false">
      <c r="A6707" s="103"/>
      <c r="B6707" s="104"/>
      <c r="C6707" s="104"/>
      <c r="E6707" s="107" t="str">
        <f aca="false">IF($C6707="","",IFERROR(INDEX(المنيو!$C$2:$C$500,MATCH($C6707,المنيو!$B$2:$B$500,0)),0))</f>
        <v/>
      </c>
      <c r="F6707" s="107" t="str">
        <f aca="false">IF($C6707="","",$D6707*$E6707)</f>
        <v/>
      </c>
      <c r="G6707" s="107" t="str">
        <f aca="false">IF($C6707="","",$D6707*IFERROR(INDEX('تحليل التكلفة والسعر'!$C$2:$C$700,MATCH($C6707,'تحليل التكلفة والسعر'!$B$2:$B$700,0)),0))</f>
        <v/>
      </c>
    </row>
    <row r="6708" customFormat="false" ht="15" hidden="false" customHeight="false" outlineLevel="0" collapsed="false">
      <c r="A6708" s="103"/>
      <c r="B6708" s="104"/>
      <c r="C6708" s="104"/>
      <c r="E6708" s="107" t="str">
        <f aca="false">IF($C6708="","",IFERROR(INDEX(المنيو!$C$2:$C$500,MATCH($C6708,المنيو!$B$2:$B$500,0)),0))</f>
        <v/>
      </c>
      <c r="F6708" s="107" t="str">
        <f aca="false">IF($C6708="","",$D6708*$E6708)</f>
        <v/>
      </c>
      <c r="G6708" s="107" t="str">
        <f aca="false">IF($C6708="","",$D6708*IFERROR(INDEX('تحليل التكلفة والسعر'!$C$2:$C$700,MATCH($C6708,'تحليل التكلفة والسعر'!$B$2:$B$700,0)),0))</f>
        <v/>
      </c>
    </row>
    <row r="6709" customFormat="false" ht="15" hidden="false" customHeight="false" outlineLevel="0" collapsed="false">
      <c r="A6709" s="103"/>
      <c r="B6709" s="104"/>
      <c r="C6709" s="104"/>
      <c r="E6709" s="107" t="str">
        <f aca="false">IF($C6709="","",IFERROR(INDEX(المنيو!$C$2:$C$500,MATCH($C6709,المنيو!$B$2:$B$500,0)),0))</f>
        <v/>
      </c>
      <c r="F6709" s="107" t="str">
        <f aca="false">IF($C6709="","",$D6709*$E6709)</f>
        <v/>
      </c>
      <c r="G6709" s="107" t="str">
        <f aca="false">IF($C6709="","",$D6709*IFERROR(INDEX('تحليل التكلفة والسعر'!$C$2:$C$700,MATCH($C6709,'تحليل التكلفة والسعر'!$B$2:$B$700,0)),0))</f>
        <v/>
      </c>
    </row>
    <row r="6710" customFormat="false" ht="15" hidden="false" customHeight="false" outlineLevel="0" collapsed="false">
      <c r="A6710" s="103"/>
      <c r="B6710" s="104"/>
      <c r="C6710" s="104"/>
      <c r="E6710" s="107" t="str">
        <f aca="false">IF($C6710="","",IFERROR(INDEX(المنيو!$C$2:$C$500,MATCH($C6710,المنيو!$B$2:$B$500,0)),0))</f>
        <v/>
      </c>
      <c r="F6710" s="107" t="str">
        <f aca="false">IF($C6710="","",$D6710*$E6710)</f>
        <v/>
      </c>
      <c r="G6710" s="107" t="str">
        <f aca="false">IF($C6710="","",$D6710*IFERROR(INDEX('تحليل التكلفة والسعر'!$C$2:$C$700,MATCH($C6710,'تحليل التكلفة والسعر'!$B$2:$B$700,0)),0))</f>
        <v/>
      </c>
    </row>
    <row r="6711" customFormat="false" ht="15" hidden="false" customHeight="false" outlineLevel="0" collapsed="false">
      <c r="A6711" s="103"/>
      <c r="B6711" s="104"/>
      <c r="C6711" s="104"/>
      <c r="E6711" s="107" t="str">
        <f aca="false">IF($C6711="","",IFERROR(INDEX(المنيو!$C$2:$C$500,MATCH($C6711,المنيو!$B$2:$B$500,0)),0))</f>
        <v/>
      </c>
      <c r="F6711" s="107" t="str">
        <f aca="false">IF($C6711="","",$D6711*$E6711)</f>
        <v/>
      </c>
      <c r="G6711" s="107" t="str">
        <f aca="false">IF($C6711="","",$D6711*IFERROR(INDEX('تحليل التكلفة والسعر'!$C$2:$C$700,MATCH($C6711,'تحليل التكلفة والسعر'!$B$2:$B$700,0)),0))</f>
        <v/>
      </c>
    </row>
    <row r="6712" customFormat="false" ht="15" hidden="false" customHeight="false" outlineLevel="0" collapsed="false">
      <c r="A6712" s="103"/>
      <c r="B6712" s="104"/>
      <c r="C6712" s="104"/>
      <c r="E6712" s="107" t="str">
        <f aca="false">IF($C6712="","",IFERROR(INDEX(المنيو!$C$2:$C$500,MATCH($C6712,المنيو!$B$2:$B$500,0)),0))</f>
        <v/>
      </c>
      <c r="F6712" s="107" t="str">
        <f aca="false">IF($C6712="","",$D6712*$E6712)</f>
        <v/>
      </c>
      <c r="G6712" s="107" t="str">
        <f aca="false">IF($C6712="","",$D6712*IFERROR(INDEX('تحليل التكلفة والسعر'!$C$2:$C$700,MATCH($C6712,'تحليل التكلفة والسعر'!$B$2:$B$700,0)),0))</f>
        <v/>
      </c>
    </row>
    <row r="6713" customFormat="false" ht="15" hidden="false" customHeight="false" outlineLevel="0" collapsed="false">
      <c r="A6713" s="103"/>
      <c r="B6713" s="104"/>
      <c r="C6713" s="104"/>
      <c r="E6713" s="107" t="str">
        <f aca="false">IF($C6713="","",IFERROR(INDEX(المنيو!$C$2:$C$500,MATCH($C6713,المنيو!$B$2:$B$500,0)),0))</f>
        <v/>
      </c>
      <c r="F6713" s="107" t="str">
        <f aca="false">IF($C6713="","",$D6713*$E6713)</f>
        <v/>
      </c>
      <c r="G6713" s="107" t="str">
        <f aca="false">IF($C6713="","",$D6713*IFERROR(INDEX('تحليل التكلفة والسعر'!$C$2:$C$700,MATCH($C6713,'تحليل التكلفة والسعر'!$B$2:$B$700,0)),0))</f>
        <v/>
      </c>
    </row>
    <row r="6714" customFormat="false" ht="15" hidden="false" customHeight="false" outlineLevel="0" collapsed="false">
      <c r="A6714" s="103"/>
      <c r="B6714" s="104"/>
      <c r="C6714" s="104"/>
      <c r="E6714" s="107" t="str">
        <f aca="false">IF($C6714="","",IFERROR(INDEX(المنيو!$C$2:$C$500,MATCH($C6714,المنيو!$B$2:$B$500,0)),0))</f>
        <v/>
      </c>
      <c r="F6714" s="107" t="str">
        <f aca="false">IF($C6714="","",$D6714*$E6714)</f>
        <v/>
      </c>
      <c r="G6714" s="107" t="str">
        <f aca="false">IF($C6714="","",$D6714*IFERROR(INDEX('تحليل التكلفة والسعر'!$C$2:$C$700,MATCH($C6714,'تحليل التكلفة والسعر'!$B$2:$B$700,0)),0))</f>
        <v/>
      </c>
    </row>
    <row r="6715" customFormat="false" ht="15" hidden="false" customHeight="false" outlineLevel="0" collapsed="false">
      <c r="A6715" s="103"/>
      <c r="B6715" s="104"/>
      <c r="C6715" s="104"/>
      <c r="E6715" s="107" t="str">
        <f aca="false">IF($C6715="","",IFERROR(INDEX(المنيو!$C$2:$C$500,MATCH($C6715,المنيو!$B$2:$B$500,0)),0))</f>
        <v/>
      </c>
      <c r="F6715" s="107" t="str">
        <f aca="false">IF($C6715="","",$D6715*$E6715)</f>
        <v/>
      </c>
      <c r="G6715" s="107" t="str">
        <f aca="false">IF($C6715="","",$D6715*IFERROR(INDEX('تحليل التكلفة والسعر'!$C$2:$C$700,MATCH($C6715,'تحليل التكلفة والسعر'!$B$2:$B$700,0)),0))</f>
        <v/>
      </c>
    </row>
    <row r="6716" customFormat="false" ht="15" hidden="false" customHeight="false" outlineLevel="0" collapsed="false">
      <c r="A6716" s="103"/>
      <c r="B6716" s="104"/>
      <c r="C6716" s="104"/>
      <c r="E6716" s="107" t="str">
        <f aca="false">IF($C6716="","",IFERROR(INDEX(المنيو!$C$2:$C$500,MATCH($C6716,المنيو!$B$2:$B$500,0)),0))</f>
        <v/>
      </c>
      <c r="F6716" s="107" t="str">
        <f aca="false">IF($C6716="","",$D6716*$E6716)</f>
        <v/>
      </c>
      <c r="G6716" s="107" t="str">
        <f aca="false">IF($C6716="","",$D6716*IFERROR(INDEX('تحليل التكلفة والسعر'!$C$2:$C$700,MATCH($C6716,'تحليل التكلفة والسعر'!$B$2:$B$700,0)),0))</f>
        <v/>
      </c>
    </row>
    <row r="6717" customFormat="false" ht="15" hidden="false" customHeight="false" outlineLevel="0" collapsed="false">
      <c r="A6717" s="103"/>
      <c r="B6717" s="104"/>
      <c r="C6717" s="104"/>
      <c r="E6717" s="107" t="str">
        <f aca="false">IF($C6717="","",IFERROR(INDEX(المنيو!$C$2:$C$500,MATCH($C6717,المنيو!$B$2:$B$500,0)),0))</f>
        <v/>
      </c>
      <c r="F6717" s="107" t="str">
        <f aca="false">IF($C6717="","",$D6717*$E6717)</f>
        <v/>
      </c>
      <c r="G6717" s="107" t="str">
        <f aca="false">IF($C6717="","",$D6717*IFERROR(INDEX('تحليل التكلفة والسعر'!$C$2:$C$700,MATCH($C6717,'تحليل التكلفة والسعر'!$B$2:$B$700,0)),0))</f>
        <v/>
      </c>
    </row>
    <row r="6718" customFormat="false" ht="15" hidden="false" customHeight="false" outlineLevel="0" collapsed="false">
      <c r="A6718" s="103"/>
      <c r="B6718" s="104"/>
      <c r="C6718" s="104"/>
      <c r="E6718" s="107" t="str">
        <f aca="false">IF($C6718="","",IFERROR(INDEX(المنيو!$C$2:$C$500,MATCH($C6718,المنيو!$B$2:$B$500,0)),0))</f>
        <v/>
      </c>
      <c r="F6718" s="107" t="str">
        <f aca="false">IF($C6718="","",$D6718*$E6718)</f>
        <v/>
      </c>
      <c r="G6718" s="107" t="str">
        <f aca="false">IF($C6718="","",$D6718*IFERROR(INDEX('تحليل التكلفة والسعر'!$C$2:$C$700,MATCH($C6718,'تحليل التكلفة والسعر'!$B$2:$B$700,0)),0))</f>
        <v/>
      </c>
    </row>
    <row r="6719" customFormat="false" ht="15" hidden="false" customHeight="false" outlineLevel="0" collapsed="false">
      <c r="A6719" s="103"/>
      <c r="B6719" s="104"/>
      <c r="C6719" s="104"/>
      <c r="E6719" s="107" t="str">
        <f aca="false">IF($C6719="","",IFERROR(INDEX(المنيو!$C$2:$C$500,MATCH($C6719,المنيو!$B$2:$B$500,0)),0))</f>
        <v/>
      </c>
      <c r="F6719" s="107" t="str">
        <f aca="false">IF($C6719="","",$D6719*$E6719)</f>
        <v/>
      </c>
      <c r="G6719" s="107" t="str">
        <f aca="false">IF($C6719="","",$D6719*IFERROR(INDEX('تحليل التكلفة والسعر'!$C$2:$C$700,MATCH($C6719,'تحليل التكلفة والسعر'!$B$2:$B$700,0)),0))</f>
        <v/>
      </c>
    </row>
    <row r="6720" customFormat="false" ht="15" hidden="false" customHeight="false" outlineLevel="0" collapsed="false">
      <c r="A6720" s="103"/>
      <c r="B6720" s="104"/>
      <c r="C6720" s="104"/>
      <c r="E6720" s="107" t="str">
        <f aca="false">IF($C6720="","",IFERROR(INDEX(المنيو!$C$2:$C$500,MATCH($C6720,المنيو!$B$2:$B$500,0)),0))</f>
        <v/>
      </c>
      <c r="F6720" s="107" t="str">
        <f aca="false">IF($C6720="","",$D6720*$E6720)</f>
        <v/>
      </c>
      <c r="G6720" s="107" t="str">
        <f aca="false">IF($C6720="","",$D6720*IFERROR(INDEX('تحليل التكلفة والسعر'!$C$2:$C$700,MATCH($C6720,'تحليل التكلفة والسعر'!$B$2:$B$700,0)),0))</f>
        <v/>
      </c>
    </row>
    <row r="6721" customFormat="false" ht="15" hidden="false" customHeight="false" outlineLevel="0" collapsed="false">
      <c r="A6721" s="103"/>
      <c r="B6721" s="104"/>
      <c r="C6721" s="104"/>
      <c r="E6721" s="107" t="str">
        <f aca="false">IF($C6721="","",IFERROR(INDEX(المنيو!$C$2:$C$500,MATCH($C6721,المنيو!$B$2:$B$500,0)),0))</f>
        <v/>
      </c>
      <c r="F6721" s="107" t="str">
        <f aca="false">IF($C6721="","",$D6721*$E6721)</f>
        <v/>
      </c>
      <c r="G6721" s="107" t="str">
        <f aca="false">IF($C6721="","",$D6721*IFERROR(INDEX('تحليل التكلفة والسعر'!$C$2:$C$700,MATCH($C6721,'تحليل التكلفة والسعر'!$B$2:$B$700,0)),0))</f>
        <v/>
      </c>
    </row>
    <row r="6722" customFormat="false" ht="15" hidden="false" customHeight="false" outlineLevel="0" collapsed="false">
      <c r="A6722" s="103"/>
      <c r="B6722" s="104"/>
      <c r="C6722" s="104"/>
      <c r="E6722" s="107" t="str">
        <f aca="false">IF($C6722="","",IFERROR(INDEX(المنيو!$C$2:$C$500,MATCH($C6722,المنيو!$B$2:$B$500,0)),0))</f>
        <v/>
      </c>
      <c r="F6722" s="107" t="str">
        <f aca="false">IF($C6722="","",$D6722*$E6722)</f>
        <v/>
      </c>
      <c r="G6722" s="107" t="str">
        <f aca="false">IF($C6722="","",$D6722*IFERROR(INDEX('تحليل التكلفة والسعر'!$C$2:$C$700,MATCH($C6722,'تحليل التكلفة والسعر'!$B$2:$B$700,0)),0))</f>
        <v/>
      </c>
    </row>
    <row r="6723" customFormat="false" ht="15" hidden="false" customHeight="false" outlineLevel="0" collapsed="false">
      <c r="A6723" s="103"/>
      <c r="B6723" s="104"/>
      <c r="C6723" s="104"/>
      <c r="E6723" s="107" t="str">
        <f aca="false">IF($C6723="","",IFERROR(INDEX(المنيو!$C$2:$C$500,MATCH($C6723,المنيو!$B$2:$B$500,0)),0))</f>
        <v/>
      </c>
      <c r="F6723" s="107" t="str">
        <f aca="false">IF($C6723="","",$D6723*$E6723)</f>
        <v/>
      </c>
      <c r="G6723" s="107" t="str">
        <f aca="false">IF($C6723="","",$D6723*IFERROR(INDEX('تحليل التكلفة والسعر'!$C$2:$C$700,MATCH($C6723,'تحليل التكلفة والسعر'!$B$2:$B$700,0)),0))</f>
        <v/>
      </c>
    </row>
    <row r="6724" customFormat="false" ht="15" hidden="false" customHeight="false" outlineLevel="0" collapsed="false">
      <c r="A6724" s="103"/>
      <c r="B6724" s="104"/>
      <c r="C6724" s="104"/>
      <c r="E6724" s="107" t="str">
        <f aca="false">IF($C6724="","",IFERROR(INDEX(المنيو!$C$2:$C$500,MATCH($C6724,المنيو!$B$2:$B$500,0)),0))</f>
        <v/>
      </c>
      <c r="F6724" s="107" t="str">
        <f aca="false">IF($C6724="","",$D6724*$E6724)</f>
        <v/>
      </c>
      <c r="G6724" s="107" t="str">
        <f aca="false">IF($C6724="","",$D6724*IFERROR(INDEX('تحليل التكلفة والسعر'!$C$2:$C$700,MATCH($C6724,'تحليل التكلفة والسعر'!$B$2:$B$700,0)),0))</f>
        <v/>
      </c>
    </row>
    <row r="6725" customFormat="false" ht="15" hidden="false" customHeight="false" outlineLevel="0" collapsed="false">
      <c r="A6725" s="103"/>
      <c r="B6725" s="104"/>
      <c r="C6725" s="104"/>
      <c r="E6725" s="107" t="str">
        <f aca="false">IF($C6725="","",IFERROR(INDEX(المنيو!$C$2:$C$500,MATCH($C6725,المنيو!$B$2:$B$500,0)),0))</f>
        <v/>
      </c>
      <c r="F6725" s="107" t="str">
        <f aca="false">IF($C6725="","",$D6725*$E6725)</f>
        <v/>
      </c>
      <c r="G6725" s="107" t="str">
        <f aca="false">IF($C6725="","",$D6725*IFERROR(INDEX('تحليل التكلفة والسعر'!$C$2:$C$700,MATCH($C6725,'تحليل التكلفة والسعر'!$B$2:$B$700,0)),0))</f>
        <v/>
      </c>
    </row>
    <row r="6726" customFormat="false" ht="15" hidden="false" customHeight="false" outlineLevel="0" collapsed="false">
      <c r="A6726" s="103"/>
      <c r="B6726" s="104"/>
      <c r="C6726" s="104"/>
      <c r="E6726" s="107" t="str">
        <f aca="false">IF($C6726="","",IFERROR(INDEX(المنيو!$C$2:$C$500,MATCH($C6726,المنيو!$B$2:$B$500,0)),0))</f>
        <v/>
      </c>
      <c r="F6726" s="107" t="str">
        <f aca="false">IF($C6726="","",$D6726*$E6726)</f>
        <v/>
      </c>
      <c r="G6726" s="107" t="str">
        <f aca="false">IF($C6726="","",$D6726*IFERROR(INDEX('تحليل التكلفة والسعر'!$C$2:$C$700,MATCH($C6726,'تحليل التكلفة والسعر'!$B$2:$B$700,0)),0))</f>
        <v/>
      </c>
    </row>
    <row r="6727" customFormat="false" ht="15" hidden="false" customHeight="false" outlineLevel="0" collapsed="false">
      <c r="A6727" s="103"/>
      <c r="B6727" s="104"/>
      <c r="C6727" s="104"/>
      <c r="E6727" s="107" t="str">
        <f aca="false">IF($C6727="","",IFERROR(INDEX(المنيو!$C$2:$C$500,MATCH($C6727,المنيو!$B$2:$B$500,0)),0))</f>
        <v/>
      </c>
      <c r="F6727" s="107" t="str">
        <f aca="false">IF($C6727="","",$D6727*$E6727)</f>
        <v/>
      </c>
      <c r="G6727" s="107" t="str">
        <f aca="false">IF($C6727="","",$D6727*IFERROR(INDEX('تحليل التكلفة والسعر'!$C$2:$C$700,MATCH($C6727,'تحليل التكلفة والسعر'!$B$2:$B$700,0)),0))</f>
        <v/>
      </c>
    </row>
    <row r="6728" customFormat="false" ht="15" hidden="false" customHeight="false" outlineLevel="0" collapsed="false">
      <c r="A6728" s="103"/>
      <c r="B6728" s="104"/>
      <c r="C6728" s="104"/>
      <c r="E6728" s="107" t="str">
        <f aca="false">IF($C6728="","",IFERROR(INDEX(المنيو!$C$2:$C$500,MATCH($C6728,المنيو!$B$2:$B$500,0)),0))</f>
        <v/>
      </c>
      <c r="F6728" s="107" t="str">
        <f aca="false">IF($C6728="","",$D6728*$E6728)</f>
        <v/>
      </c>
      <c r="G6728" s="107" t="str">
        <f aca="false">IF($C6728="","",$D6728*IFERROR(INDEX('تحليل التكلفة والسعر'!$C$2:$C$700,MATCH($C6728,'تحليل التكلفة والسعر'!$B$2:$B$700,0)),0))</f>
        <v/>
      </c>
    </row>
    <row r="6729" customFormat="false" ht="15" hidden="false" customHeight="false" outlineLevel="0" collapsed="false">
      <c r="A6729" s="103"/>
      <c r="B6729" s="104"/>
      <c r="C6729" s="104"/>
      <c r="E6729" s="107" t="str">
        <f aca="false">IF($C6729="","",IFERROR(INDEX(المنيو!$C$2:$C$500,MATCH($C6729,المنيو!$B$2:$B$500,0)),0))</f>
        <v/>
      </c>
      <c r="F6729" s="107" t="str">
        <f aca="false">IF($C6729="","",$D6729*$E6729)</f>
        <v/>
      </c>
      <c r="G6729" s="107" t="str">
        <f aca="false">IF($C6729="","",$D6729*IFERROR(INDEX('تحليل التكلفة والسعر'!$C$2:$C$700,MATCH($C6729,'تحليل التكلفة والسعر'!$B$2:$B$700,0)),0))</f>
        <v/>
      </c>
    </row>
    <row r="6730" customFormat="false" ht="15" hidden="false" customHeight="false" outlineLevel="0" collapsed="false">
      <c r="A6730" s="103"/>
      <c r="B6730" s="104"/>
      <c r="C6730" s="104"/>
      <c r="E6730" s="107" t="str">
        <f aca="false">IF($C6730="","",IFERROR(INDEX(المنيو!$C$2:$C$500,MATCH($C6730,المنيو!$B$2:$B$500,0)),0))</f>
        <v/>
      </c>
      <c r="F6730" s="107" t="str">
        <f aca="false">IF($C6730="","",$D6730*$E6730)</f>
        <v/>
      </c>
      <c r="G6730" s="107" t="str">
        <f aca="false">IF($C6730="","",$D6730*IFERROR(INDEX('تحليل التكلفة والسعر'!$C$2:$C$700,MATCH($C6730,'تحليل التكلفة والسعر'!$B$2:$B$700,0)),0))</f>
        <v/>
      </c>
    </row>
    <row r="6731" customFormat="false" ht="15" hidden="false" customHeight="false" outlineLevel="0" collapsed="false">
      <c r="A6731" s="103"/>
      <c r="B6731" s="104"/>
      <c r="C6731" s="104"/>
      <c r="E6731" s="107" t="str">
        <f aca="false">IF($C6731="","",IFERROR(INDEX(المنيو!$C$2:$C$500,MATCH($C6731,المنيو!$B$2:$B$500,0)),0))</f>
        <v/>
      </c>
      <c r="F6731" s="107" t="str">
        <f aca="false">IF($C6731="","",$D6731*$E6731)</f>
        <v/>
      </c>
      <c r="G6731" s="107" t="str">
        <f aca="false">IF($C6731="","",$D6731*IFERROR(INDEX('تحليل التكلفة والسعر'!$C$2:$C$700,MATCH($C6731,'تحليل التكلفة والسعر'!$B$2:$B$700,0)),0))</f>
        <v/>
      </c>
    </row>
    <row r="6732" customFormat="false" ht="15" hidden="false" customHeight="false" outlineLevel="0" collapsed="false">
      <c r="A6732" s="103"/>
      <c r="B6732" s="104"/>
      <c r="C6732" s="104"/>
      <c r="E6732" s="107" t="str">
        <f aca="false">IF($C6732="","",IFERROR(INDEX(المنيو!$C$2:$C$500,MATCH($C6732,المنيو!$B$2:$B$500,0)),0))</f>
        <v/>
      </c>
      <c r="F6732" s="107" t="str">
        <f aca="false">IF($C6732="","",$D6732*$E6732)</f>
        <v/>
      </c>
      <c r="G6732" s="107" t="str">
        <f aca="false">IF($C6732="","",$D6732*IFERROR(INDEX('تحليل التكلفة والسعر'!$C$2:$C$700,MATCH($C6732,'تحليل التكلفة والسعر'!$B$2:$B$700,0)),0))</f>
        <v/>
      </c>
    </row>
    <row r="6733" customFormat="false" ht="15" hidden="false" customHeight="false" outlineLevel="0" collapsed="false">
      <c r="A6733" s="103"/>
      <c r="B6733" s="104"/>
      <c r="C6733" s="104"/>
      <c r="E6733" s="107" t="str">
        <f aca="false">IF($C6733="","",IFERROR(INDEX(المنيو!$C$2:$C$500,MATCH($C6733,المنيو!$B$2:$B$500,0)),0))</f>
        <v/>
      </c>
      <c r="F6733" s="107" t="str">
        <f aca="false">IF($C6733="","",$D6733*$E6733)</f>
        <v/>
      </c>
      <c r="G6733" s="107" t="str">
        <f aca="false">IF($C6733="","",$D6733*IFERROR(INDEX('تحليل التكلفة والسعر'!$C$2:$C$700,MATCH($C6733,'تحليل التكلفة والسعر'!$B$2:$B$700,0)),0))</f>
        <v/>
      </c>
    </row>
    <row r="6734" customFormat="false" ht="15" hidden="false" customHeight="false" outlineLevel="0" collapsed="false">
      <c r="A6734" s="103"/>
      <c r="B6734" s="104"/>
      <c r="C6734" s="104"/>
      <c r="E6734" s="107" t="str">
        <f aca="false">IF($C6734="","",IFERROR(INDEX(المنيو!$C$2:$C$500,MATCH($C6734,المنيو!$B$2:$B$500,0)),0))</f>
        <v/>
      </c>
      <c r="F6734" s="107" t="str">
        <f aca="false">IF($C6734="","",$D6734*$E6734)</f>
        <v/>
      </c>
      <c r="G6734" s="107" t="str">
        <f aca="false">IF($C6734="","",$D6734*IFERROR(INDEX('تحليل التكلفة والسعر'!$C$2:$C$700,MATCH($C6734,'تحليل التكلفة والسعر'!$B$2:$B$700,0)),0))</f>
        <v/>
      </c>
    </row>
    <row r="6735" customFormat="false" ht="15" hidden="false" customHeight="false" outlineLevel="0" collapsed="false">
      <c r="A6735" s="103"/>
      <c r="B6735" s="104"/>
      <c r="C6735" s="104"/>
      <c r="E6735" s="107" t="str">
        <f aca="false">IF($C6735="","",IFERROR(INDEX(المنيو!$C$2:$C$500,MATCH($C6735,المنيو!$B$2:$B$500,0)),0))</f>
        <v/>
      </c>
      <c r="F6735" s="107" t="str">
        <f aca="false">IF($C6735="","",$D6735*$E6735)</f>
        <v/>
      </c>
      <c r="G6735" s="107" t="str">
        <f aca="false">IF($C6735="","",$D6735*IFERROR(INDEX('تحليل التكلفة والسعر'!$C$2:$C$700,MATCH($C6735,'تحليل التكلفة والسعر'!$B$2:$B$700,0)),0))</f>
        <v/>
      </c>
    </row>
    <row r="6736" customFormat="false" ht="15" hidden="false" customHeight="false" outlineLevel="0" collapsed="false">
      <c r="A6736" s="103"/>
      <c r="B6736" s="104"/>
      <c r="C6736" s="104"/>
      <c r="E6736" s="107" t="str">
        <f aca="false">IF($C6736="","",IFERROR(INDEX(المنيو!$C$2:$C$500,MATCH($C6736,المنيو!$B$2:$B$500,0)),0))</f>
        <v/>
      </c>
      <c r="F6736" s="107" t="str">
        <f aca="false">IF($C6736="","",$D6736*$E6736)</f>
        <v/>
      </c>
      <c r="G6736" s="107" t="str">
        <f aca="false">IF($C6736="","",$D6736*IFERROR(INDEX('تحليل التكلفة والسعر'!$C$2:$C$700,MATCH($C6736,'تحليل التكلفة والسعر'!$B$2:$B$700,0)),0))</f>
        <v/>
      </c>
    </row>
    <row r="6737" customFormat="false" ht="15" hidden="false" customHeight="false" outlineLevel="0" collapsed="false">
      <c r="A6737" s="103"/>
      <c r="B6737" s="104"/>
      <c r="C6737" s="104"/>
      <c r="E6737" s="107" t="str">
        <f aca="false">IF($C6737="","",IFERROR(INDEX(المنيو!$C$2:$C$500,MATCH($C6737,المنيو!$B$2:$B$500,0)),0))</f>
        <v/>
      </c>
      <c r="F6737" s="107" t="str">
        <f aca="false">IF($C6737="","",$D6737*$E6737)</f>
        <v/>
      </c>
      <c r="G6737" s="107" t="str">
        <f aca="false">IF($C6737="","",$D6737*IFERROR(INDEX('تحليل التكلفة والسعر'!$C$2:$C$700,MATCH($C6737,'تحليل التكلفة والسعر'!$B$2:$B$700,0)),0))</f>
        <v/>
      </c>
    </row>
    <row r="6738" customFormat="false" ht="15" hidden="false" customHeight="false" outlineLevel="0" collapsed="false">
      <c r="A6738" s="103"/>
      <c r="B6738" s="104"/>
      <c r="C6738" s="104"/>
      <c r="E6738" s="107" t="str">
        <f aca="false">IF($C6738="","",IFERROR(INDEX(المنيو!$C$2:$C$500,MATCH($C6738,المنيو!$B$2:$B$500,0)),0))</f>
        <v/>
      </c>
      <c r="F6738" s="107" t="str">
        <f aca="false">IF($C6738="","",$D6738*$E6738)</f>
        <v/>
      </c>
      <c r="G6738" s="107" t="str">
        <f aca="false">IF($C6738="","",$D6738*IFERROR(INDEX('تحليل التكلفة والسعر'!$C$2:$C$700,MATCH($C6738,'تحليل التكلفة والسعر'!$B$2:$B$700,0)),0))</f>
        <v/>
      </c>
    </row>
    <row r="6739" customFormat="false" ht="15" hidden="false" customHeight="false" outlineLevel="0" collapsed="false">
      <c r="A6739" s="103"/>
      <c r="B6739" s="104"/>
      <c r="C6739" s="104"/>
      <c r="E6739" s="107" t="str">
        <f aca="false">IF($C6739="","",IFERROR(INDEX(المنيو!$C$2:$C$500,MATCH($C6739,المنيو!$B$2:$B$500,0)),0))</f>
        <v/>
      </c>
      <c r="F6739" s="107" t="str">
        <f aca="false">IF($C6739="","",$D6739*$E6739)</f>
        <v/>
      </c>
      <c r="G6739" s="107" t="str">
        <f aca="false">IF($C6739="","",$D6739*IFERROR(INDEX('تحليل التكلفة والسعر'!$C$2:$C$700,MATCH($C6739,'تحليل التكلفة والسعر'!$B$2:$B$700,0)),0))</f>
        <v/>
      </c>
    </row>
    <row r="6740" customFormat="false" ht="15" hidden="false" customHeight="false" outlineLevel="0" collapsed="false">
      <c r="A6740" s="103"/>
      <c r="B6740" s="104"/>
      <c r="C6740" s="104"/>
      <c r="E6740" s="107" t="str">
        <f aca="false">IF($C6740="","",IFERROR(INDEX(المنيو!$C$2:$C$500,MATCH($C6740,المنيو!$B$2:$B$500,0)),0))</f>
        <v/>
      </c>
      <c r="F6740" s="107" t="str">
        <f aca="false">IF($C6740="","",$D6740*$E6740)</f>
        <v/>
      </c>
      <c r="G6740" s="107" t="str">
        <f aca="false">IF($C6740="","",$D6740*IFERROR(INDEX('تحليل التكلفة والسعر'!$C$2:$C$700,MATCH($C6740,'تحليل التكلفة والسعر'!$B$2:$B$700,0)),0))</f>
        <v/>
      </c>
    </row>
    <row r="6741" customFormat="false" ht="15" hidden="false" customHeight="false" outlineLevel="0" collapsed="false">
      <c r="A6741" s="103"/>
      <c r="B6741" s="104"/>
      <c r="C6741" s="104"/>
      <c r="E6741" s="107" t="str">
        <f aca="false">IF($C6741="","",IFERROR(INDEX(المنيو!$C$2:$C$500,MATCH($C6741,المنيو!$B$2:$B$500,0)),0))</f>
        <v/>
      </c>
      <c r="F6741" s="107" t="str">
        <f aca="false">IF($C6741="","",$D6741*$E6741)</f>
        <v/>
      </c>
      <c r="G6741" s="107" t="str">
        <f aca="false">IF($C6741="","",$D6741*IFERROR(INDEX('تحليل التكلفة والسعر'!$C$2:$C$700,MATCH($C6741,'تحليل التكلفة والسعر'!$B$2:$B$700,0)),0))</f>
        <v/>
      </c>
    </row>
    <row r="6742" customFormat="false" ht="15" hidden="false" customHeight="false" outlineLevel="0" collapsed="false">
      <c r="A6742" s="103"/>
      <c r="B6742" s="104"/>
      <c r="C6742" s="104"/>
      <c r="E6742" s="107" t="str">
        <f aca="false">IF($C6742="","",IFERROR(INDEX(المنيو!$C$2:$C$500,MATCH($C6742,المنيو!$B$2:$B$500,0)),0))</f>
        <v/>
      </c>
      <c r="F6742" s="107" t="str">
        <f aca="false">IF($C6742="","",$D6742*$E6742)</f>
        <v/>
      </c>
      <c r="G6742" s="107" t="str">
        <f aca="false">IF($C6742="","",$D6742*IFERROR(INDEX('تحليل التكلفة والسعر'!$C$2:$C$700,MATCH($C6742,'تحليل التكلفة والسعر'!$B$2:$B$700,0)),0))</f>
        <v/>
      </c>
    </row>
    <row r="6743" customFormat="false" ht="15" hidden="false" customHeight="false" outlineLevel="0" collapsed="false">
      <c r="A6743" s="103"/>
      <c r="B6743" s="104"/>
      <c r="C6743" s="104"/>
      <c r="E6743" s="107" t="str">
        <f aca="false">IF($C6743="","",IFERROR(INDEX(المنيو!$C$2:$C$500,MATCH($C6743,المنيو!$B$2:$B$500,0)),0))</f>
        <v/>
      </c>
      <c r="F6743" s="107" t="str">
        <f aca="false">IF($C6743="","",$D6743*$E6743)</f>
        <v/>
      </c>
      <c r="G6743" s="107" t="str">
        <f aca="false">IF($C6743="","",$D6743*IFERROR(INDEX('تحليل التكلفة والسعر'!$C$2:$C$700,MATCH($C6743,'تحليل التكلفة والسعر'!$B$2:$B$700,0)),0))</f>
        <v/>
      </c>
    </row>
    <row r="6744" customFormat="false" ht="15" hidden="false" customHeight="false" outlineLevel="0" collapsed="false">
      <c r="A6744" s="103"/>
      <c r="B6744" s="104"/>
      <c r="C6744" s="104"/>
      <c r="E6744" s="107" t="str">
        <f aca="false">IF($C6744="","",IFERROR(INDEX(المنيو!$C$2:$C$500,MATCH($C6744,المنيو!$B$2:$B$500,0)),0))</f>
        <v/>
      </c>
      <c r="F6744" s="107" t="str">
        <f aca="false">IF($C6744="","",$D6744*$E6744)</f>
        <v/>
      </c>
      <c r="G6744" s="107" t="str">
        <f aca="false">IF($C6744="","",$D6744*IFERROR(INDEX('تحليل التكلفة والسعر'!$C$2:$C$700,MATCH($C6744,'تحليل التكلفة والسعر'!$B$2:$B$700,0)),0))</f>
        <v/>
      </c>
    </row>
    <row r="6745" customFormat="false" ht="15" hidden="false" customHeight="false" outlineLevel="0" collapsed="false">
      <c r="A6745" s="103"/>
      <c r="B6745" s="104"/>
      <c r="C6745" s="104"/>
      <c r="E6745" s="107" t="str">
        <f aca="false">IF($C6745="","",IFERROR(INDEX(المنيو!$C$2:$C$500,MATCH($C6745,المنيو!$B$2:$B$500,0)),0))</f>
        <v/>
      </c>
      <c r="F6745" s="107" t="str">
        <f aca="false">IF($C6745="","",$D6745*$E6745)</f>
        <v/>
      </c>
      <c r="G6745" s="107" t="str">
        <f aca="false">IF($C6745="","",$D6745*IFERROR(INDEX('تحليل التكلفة والسعر'!$C$2:$C$700,MATCH($C6745,'تحليل التكلفة والسعر'!$B$2:$B$700,0)),0))</f>
        <v/>
      </c>
    </row>
    <row r="6746" customFormat="false" ht="15" hidden="false" customHeight="false" outlineLevel="0" collapsed="false">
      <c r="A6746" s="103"/>
      <c r="B6746" s="104"/>
      <c r="C6746" s="104"/>
      <c r="E6746" s="107" t="str">
        <f aca="false">IF($C6746="","",IFERROR(INDEX(المنيو!$C$2:$C$500,MATCH($C6746,المنيو!$B$2:$B$500,0)),0))</f>
        <v/>
      </c>
      <c r="F6746" s="107" t="str">
        <f aca="false">IF($C6746="","",$D6746*$E6746)</f>
        <v/>
      </c>
      <c r="G6746" s="107" t="str">
        <f aca="false">IF($C6746="","",$D6746*IFERROR(INDEX('تحليل التكلفة والسعر'!$C$2:$C$700,MATCH($C6746,'تحليل التكلفة والسعر'!$B$2:$B$700,0)),0))</f>
        <v/>
      </c>
    </row>
    <row r="6747" customFormat="false" ht="15" hidden="false" customHeight="false" outlineLevel="0" collapsed="false">
      <c r="A6747" s="103"/>
      <c r="B6747" s="104"/>
      <c r="C6747" s="104"/>
      <c r="E6747" s="107" t="str">
        <f aca="false">IF($C6747="","",IFERROR(INDEX(المنيو!$C$2:$C$500,MATCH($C6747,المنيو!$B$2:$B$500,0)),0))</f>
        <v/>
      </c>
      <c r="F6747" s="107" t="str">
        <f aca="false">IF($C6747="","",$D6747*$E6747)</f>
        <v/>
      </c>
      <c r="G6747" s="107" t="str">
        <f aca="false">IF($C6747="","",$D6747*IFERROR(INDEX('تحليل التكلفة والسعر'!$C$2:$C$700,MATCH($C6747,'تحليل التكلفة والسعر'!$B$2:$B$700,0)),0))</f>
        <v/>
      </c>
    </row>
    <row r="6748" customFormat="false" ht="15" hidden="false" customHeight="false" outlineLevel="0" collapsed="false">
      <c r="A6748" s="103"/>
      <c r="B6748" s="104"/>
      <c r="C6748" s="104"/>
      <c r="E6748" s="107" t="str">
        <f aca="false">IF($C6748="","",IFERROR(INDEX(المنيو!$C$2:$C$500,MATCH($C6748,المنيو!$B$2:$B$500,0)),0))</f>
        <v/>
      </c>
      <c r="F6748" s="107" t="str">
        <f aca="false">IF($C6748="","",$D6748*$E6748)</f>
        <v/>
      </c>
      <c r="G6748" s="107" t="str">
        <f aca="false">IF($C6748="","",$D6748*IFERROR(INDEX('تحليل التكلفة والسعر'!$C$2:$C$700,MATCH($C6748,'تحليل التكلفة والسعر'!$B$2:$B$700,0)),0))</f>
        <v/>
      </c>
    </row>
    <row r="6749" customFormat="false" ht="15" hidden="false" customHeight="false" outlineLevel="0" collapsed="false">
      <c r="A6749" s="103"/>
      <c r="B6749" s="104"/>
      <c r="C6749" s="104"/>
      <c r="E6749" s="107" t="str">
        <f aca="false">IF($C6749="","",IFERROR(INDEX(المنيو!$C$2:$C$500,MATCH($C6749,المنيو!$B$2:$B$500,0)),0))</f>
        <v/>
      </c>
      <c r="F6749" s="107" t="str">
        <f aca="false">IF($C6749="","",$D6749*$E6749)</f>
        <v/>
      </c>
      <c r="G6749" s="107" t="str">
        <f aca="false">IF($C6749="","",$D6749*IFERROR(INDEX('تحليل التكلفة والسعر'!$C$2:$C$700,MATCH($C6749,'تحليل التكلفة والسعر'!$B$2:$B$700,0)),0))</f>
        <v/>
      </c>
    </row>
    <row r="6750" customFormat="false" ht="15" hidden="false" customHeight="false" outlineLevel="0" collapsed="false">
      <c r="A6750" s="103"/>
      <c r="B6750" s="104"/>
      <c r="C6750" s="104"/>
      <c r="E6750" s="107" t="str">
        <f aca="false">IF($C6750="","",IFERROR(INDEX(المنيو!$C$2:$C$500,MATCH($C6750,المنيو!$B$2:$B$500,0)),0))</f>
        <v/>
      </c>
      <c r="F6750" s="107" t="str">
        <f aca="false">IF($C6750="","",$D6750*$E6750)</f>
        <v/>
      </c>
      <c r="G6750" s="107" t="str">
        <f aca="false">IF($C6750="","",$D6750*IFERROR(INDEX('تحليل التكلفة والسعر'!$C$2:$C$700,MATCH($C6750,'تحليل التكلفة والسعر'!$B$2:$B$700,0)),0))</f>
        <v/>
      </c>
    </row>
    <row r="6751" customFormat="false" ht="15" hidden="false" customHeight="false" outlineLevel="0" collapsed="false">
      <c r="A6751" s="103"/>
      <c r="B6751" s="104"/>
      <c r="C6751" s="104"/>
      <c r="E6751" s="107" t="str">
        <f aca="false">IF($C6751="","",IFERROR(INDEX(المنيو!$C$2:$C$500,MATCH($C6751,المنيو!$B$2:$B$500,0)),0))</f>
        <v/>
      </c>
      <c r="F6751" s="107" t="str">
        <f aca="false">IF($C6751="","",$D6751*$E6751)</f>
        <v/>
      </c>
      <c r="G6751" s="107" t="str">
        <f aca="false">IF($C6751="","",$D6751*IFERROR(INDEX('تحليل التكلفة والسعر'!$C$2:$C$700,MATCH($C6751,'تحليل التكلفة والسعر'!$B$2:$B$700,0)),0))</f>
        <v/>
      </c>
    </row>
    <row r="6752" customFormat="false" ht="15" hidden="false" customHeight="false" outlineLevel="0" collapsed="false">
      <c r="A6752" s="103"/>
      <c r="B6752" s="104"/>
      <c r="C6752" s="104"/>
      <c r="E6752" s="107" t="str">
        <f aca="false">IF($C6752="","",IFERROR(INDEX(المنيو!$C$2:$C$500,MATCH($C6752,المنيو!$B$2:$B$500,0)),0))</f>
        <v/>
      </c>
      <c r="F6752" s="107" t="str">
        <f aca="false">IF($C6752="","",$D6752*$E6752)</f>
        <v/>
      </c>
      <c r="G6752" s="107" t="str">
        <f aca="false">IF($C6752="","",$D6752*IFERROR(INDEX('تحليل التكلفة والسعر'!$C$2:$C$700,MATCH($C6752,'تحليل التكلفة والسعر'!$B$2:$B$700,0)),0))</f>
        <v/>
      </c>
    </row>
    <row r="6753" customFormat="false" ht="15" hidden="false" customHeight="false" outlineLevel="0" collapsed="false">
      <c r="A6753" s="103"/>
      <c r="B6753" s="104"/>
      <c r="C6753" s="104"/>
      <c r="E6753" s="107" t="str">
        <f aca="false">IF($C6753="","",IFERROR(INDEX(المنيو!$C$2:$C$500,MATCH($C6753,المنيو!$B$2:$B$500,0)),0))</f>
        <v/>
      </c>
      <c r="F6753" s="107" t="str">
        <f aca="false">IF($C6753="","",$D6753*$E6753)</f>
        <v/>
      </c>
      <c r="G6753" s="107" t="str">
        <f aca="false">IF($C6753="","",$D6753*IFERROR(INDEX('تحليل التكلفة والسعر'!$C$2:$C$700,MATCH($C6753,'تحليل التكلفة والسعر'!$B$2:$B$700,0)),0))</f>
        <v/>
      </c>
    </row>
    <row r="6754" customFormat="false" ht="15" hidden="false" customHeight="false" outlineLevel="0" collapsed="false">
      <c r="A6754" s="103"/>
      <c r="B6754" s="104"/>
      <c r="C6754" s="104"/>
      <c r="E6754" s="107" t="str">
        <f aca="false">IF($C6754="","",IFERROR(INDEX(المنيو!$C$2:$C$500,MATCH($C6754,المنيو!$B$2:$B$500,0)),0))</f>
        <v/>
      </c>
      <c r="F6754" s="107" t="str">
        <f aca="false">IF($C6754="","",$D6754*$E6754)</f>
        <v/>
      </c>
      <c r="G6754" s="107" t="str">
        <f aca="false">IF($C6754="","",$D6754*IFERROR(INDEX('تحليل التكلفة والسعر'!$C$2:$C$700,MATCH($C6754,'تحليل التكلفة والسعر'!$B$2:$B$700,0)),0))</f>
        <v/>
      </c>
    </row>
    <row r="6755" customFormat="false" ht="15" hidden="false" customHeight="false" outlineLevel="0" collapsed="false">
      <c r="A6755" s="103"/>
      <c r="B6755" s="104"/>
      <c r="C6755" s="104"/>
      <c r="E6755" s="107" t="str">
        <f aca="false">IF($C6755="","",IFERROR(INDEX(المنيو!$C$2:$C$500,MATCH($C6755,المنيو!$B$2:$B$500,0)),0))</f>
        <v/>
      </c>
      <c r="F6755" s="107" t="str">
        <f aca="false">IF($C6755="","",$D6755*$E6755)</f>
        <v/>
      </c>
      <c r="G6755" s="107" t="str">
        <f aca="false">IF($C6755="","",$D6755*IFERROR(INDEX('تحليل التكلفة والسعر'!$C$2:$C$700,MATCH($C6755,'تحليل التكلفة والسعر'!$B$2:$B$700,0)),0))</f>
        <v/>
      </c>
    </row>
    <row r="6756" customFormat="false" ht="15" hidden="false" customHeight="false" outlineLevel="0" collapsed="false">
      <c r="A6756" s="103"/>
      <c r="B6756" s="104"/>
      <c r="C6756" s="104"/>
      <c r="E6756" s="107" t="str">
        <f aca="false">IF($C6756="","",IFERROR(INDEX(المنيو!$C$2:$C$500,MATCH($C6756,المنيو!$B$2:$B$500,0)),0))</f>
        <v/>
      </c>
      <c r="F6756" s="107" t="str">
        <f aca="false">IF($C6756="","",$D6756*$E6756)</f>
        <v/>
      </c>
      <c r="G6756" s="107" t="str">
        <f aca="false">IF($C6756="","",$D6756*IFERROR(INDEX('تحليل التكلفة والسعر'!$C$2:$C$700,MATCH($C6756,'تحليل التكلفة والسعر'!$B$2:$B$700,0)),0))</f>
        <v/>
      </c>
    </row>
    <row r="6757" customFormat="false" ht="15" hidden="false" customHeight="false" outlineLevel="0" collapsed="false">
      <c r="A6757" s="103"/>
      <c r="B6757" s="104"/>
      <c r="C6757" s="104"/>
      <c r="E6757" s="107" t="str">
        <f aca="false">IF($C6757="","",IFERROR(INDEX(المنيو!$C$2:$C$500,MATCH($C6757,المنيو!$B$2:$B$500,0)),0))</f>
        <v/>
      </c>
      <c r="F6757" s="107" t="str">
        <f aca="false">IF($C6757="","",$D6757*$E6757)</f>
        <v/>
      </c>
      <c r="G6757" s="107" t="str">
        <f aca="false">IF($C6757="","",$D6757*IFERROR(INDEX('تحليل التكلفة والسعر'!$C$2:$C$700,MATCH($C6757,'تحليل التكلفة والسعر'!$B$2:$B$700,0)),0))</f>
        <v/>
      </c>
    </row>
    <row r="6758" customFormat="false" ht="15" hidden="false" customHeight="false" outlineLevel="0" collapsed="false">
      <c r="A6758" s="103"/>
      <c r="B6758" s="104"/>
      <c r="C6758" s="104"/>
      <c r="E6758" s="107" t="str">
        <f aca="false">IF($C6758="","",IFERROR(INDEX(المنيو!$C$2:$C$500,MATCH($C6758,المنيو!$B$2:$B$500,0)),0))</f>
        <v/>
      </c>
      <c r="F6758" s="107" t="str">
        <f aca="false">IF($C6758="","",$D6758*$E6758)</f>
        <v/>
      </c>
      <c r="G6758" s="107" t="str">
        <f aca="false">IF($C6758="","",$D6758*IFERROR(INDEX('تحليل التكلفة والسعر'!$C$2:$C$700,MATCH($C6758,'تحليل التكلفة والسعر'!$B$2:$B$700,0)),0))</f>
        <v/>
      </c>
    </row>
    <row r="6759" customFormat="false" ht="15" hidden="false" customHeight="false" outlineLevel="0" collapsed="false">
      <c r="A6759" s="103"/>
      <c r="B6759" s="104"/>
      <c r="C6759" s="104"/>
      <c r="E6759" s="107" t="str">
        <f aca="false">IF($C6759="","",IFERROR(INDEX(المنيو!$C$2:$C$500,MATCH($C6759,المنيو!$B$2:$B$500,0)),0))</f>
        <v/>
      </c>
      <c r="F6759" s="107" t="str">
        <f aca="false">IF($C6759="","",$D6759*$E6759)</f>
        <v/>
      </c>
      <c r="G6759" s="107" t="str">
        <f aca="false">IF($C6759="","",$D6759*IFERROR(INDEX('تحليل التكلفة والسعر'!$C$2:$C$700,MATCH($C6759,'تحليل التكلفة والسعر'!$B$2:$B$700,0)),0))</f>
        <v/>
      </c>
    </row>
    <row r="6760" customFormat="false" ht="15" hidden="false" customHeight="false" outlineLevel="0" collapsed="false">
      <c r="A6760" s="103"/>
      <c r="B6760" s="104"/>
      <c r="C6760" s="104"/>
      <c r="E6760" s="107" t="str">
        <f aca="false">IF($C6760="","",IFERROR(INDEX(المنيو!$C$2:$C$500,MATCH($C6760,المنيو!$B$2:$B$500,0)),0))</f>
        <v/>
      </c>
      <c r="F6760" s="107" t="str">
        <f aca="false">IF($C6760="","",$D6760*$E6760)</f>
        <v/>
      </c>
      <c r="G6760" s="107" t="str">
        <f aca="false">IF($C6760="","",$D6760*IFERROR(INDEX('تحليل التكلفة والسعر'!$C$2:$C$700,MATCH($C6760,'تحليل التكلفة والسعر'!$B$2:$B$700,0)),0))</f>
        <v/>
      </c>
    </row>
    <row r="6761" customFormat="false" ht="15" hidden="false" customHeight="false" outlineLevel="0" collapsed="false">
      <c r="A6761" s="103"/>
      <c r="B6761" s="104"/>
      <c r="C6761" s="104"/>
      <c r="E6761" s="107" t="str">
        <f aca="false">IF($C6761="","",IFERROR(INDEX(المنيو!$C$2:$C$500,MATCH($C6761,المنيو!$B$2:$B$500,0)),0))</f>
        <v/>
      </c>
      <c r="F6761" s="107" t="str">
        <f aca="false">IF($C6761="","",$D6761*$E6761)</f>
        <v/>
      </c>
      <c r="G6761" s="107" t="str">
        <f aca="false">IF($C6761="","",$D6761*IFERROR(INDEX('تحليل التكلفة والسعر'!$C$2:$C$700,MATCH($C6761,'تحليل التكلفة والسعر'!$B$2:$B$700,0)),0))</f>
        <v/>
      </c>
    </row>
    <row r="6762" customFormat="false" ht="15" hidden="false" customHeight="false" outlineLevel="0" collapsed="false">
      <c r="A6762" s="103"/>
      <c r="B6762" s="104"/>
      <c r="C6762" s="104"/>
      <c r="E6762" s="107" t="str">
        <f aca="false">IF($C6762="","",IFERROR(INDEX(المنيو!$C$2:$C$500,MATCH($C6762,المنيو!$B$2:$B$500,0)),0))</f>
        <v/>
      </c>
      <c r="F6762" s="107" t="str">
        <f aca="false">IF($C6762="","",$D6762*$E6762)</f>
        <v/>
      </c>
      <c r="G6762" s="107" t="str">
        <f aca="false">IF($C6762="","",$D6762*IFERROR(INDEX('تحليل التكلفة والسعر'!$C$2:$C$700,MATCH($C6762,'تحليل التكلفة والسعر'!$B$2:$B$700,0)),0))</f>
        <v/>
      </c>
    </row>
    <row r="6763" customFormat="false" ht="15" hidden="false" customHeight="false" outlineLevel="0" collapsed="false">
      <c r="A6763" s="103"/>
      <c r="B6763" s="104"/>
      <c r="C6763" s="104"/>
      <c r="E6763" s="107" t="str">
        <f aca="false">IF($C6763="","",IFERROR(INDEX(المنيو!$C$2:$C$500,MATCH($C6763,المنيو!$B$2:$B$500,0)),0))</f>
        <v/>
      </c>
      <c r="F6763" s="107" t="str">
        <f aca="false">IF($C6763="","",$D6763*$E6763)</f>
        <v/>
      </c>
      <c r="G6763" s="107" t="str">
        <f aca="false">IF($C6763="","",$D6763*IFERROR(INDEX('تحليل التكلفة والسعر'!$C$2:$C$700,MATCH($C6763,'تحليل التكلفة والسعر'!$B$2:$B$700,0)),0))</f>
        <v/>
      </c>
    </row>
    <row r="6764" customFormat="false" ht="15" hidden="false" customHeight="false" outlineLevel="0" collapsed="false">
      <c r="A6764" s="103"/>
      <c r="B6764" s="104"/>
      <c r="C6764" s="104"/>
      <c r="E6764" s="107" t="str">
        <f aca="false">IF($C6764="","",IFERROR(INDEX(المنيو!$C$2:$C$500,MATCH($C6764,المنيو!$B$2:$B$500,0)),0))</f>
        <v/>
      </c>
      <c r="F6764" s="107" t="str">
        <f aca="false">IF($C6764="","",$D6764*$E6764)</f>
        <v/>
      </c>
      <c r="G6764" s="107" t="str">
        <f aca="false">IF($C6764="","",$D6764*IFERROR(INDEX('تحليل التكلفة والسعر'!$C$2:$C$700,MATCH($C6764,'تحليل التكلفة والسعر'!$B$2:$B$700,0)),0))</f>
        <v/>
      </c>
    </row>
    <row r="6765" customFormat="false" ht="15" hidden="false" customHeight="false" outlineLevel="0" collapsed="false">
      <c r="A6765" s="103"/>
      <c r="B6765" s="104"/>
      <c r="C6765" s="104"/>
      <c r="E6765" s="107" t="str">
        <f aca="false">IF($C6765="","",IFERROR(INDEX(المنيو!$C$2:$C$500,MATCH($C6765,المنيو!$B$2:$B$500,0)),0))</f>
        <v/>
      </c>
      <c r="F6765" s="107" t="str">
        <f aca="false">IF($C6765="","",$D6765*$E6765)</f>
        <v/>
      </c>
      <c r="G6765" s="107" t="str">
        <f aca="false">IF($C6765="","",$D6765*IFERROR(INDEX('تحليل التكلفة والسعر'!$C$2:$C$700,MATCH($C6765,'تحليل التكلفة والسعر'!$B$2:$B$700,0)),0))</f>
        <v/>
      </c>
    </row>
    <row r="6766" customFormat="false" ht="15" hidden="false" customHeight="false" outlineLevel="0" collapsed="false">
      <c r="A6766" s="103"/>
      <c r="B6766" s="104"/>
      <c r="C6766" s="104"/>
      <c r="E6766" s="107" t="str">
        <f aca="false">IF($C6766="","",IFERROR(INDEX(المنيو!$C$2:$C$500,MATCH($C6766,المنيو!$B$2:$B$500,0)),0))</f>
        <v/>
      </c>
      <c r="F6766" s="107" t="str">
        <f aca="false">IF($C6766="","",$D6766*$E6766)</f>
        <v/>
      </c>
      <c r="G6766" s="107" t="str">
        <f aca="false">IF($C6766="","",$D6766*IFERROR(INDEX('تحليل التكلفة والسعر'!$C$2:$C$700,MATCH($C6766,'تحليل التكلفة والسعر'!$B$2:$B$700,0)),0))</f>
        <v/>
      </c>
    </row>
    <row r="6767" customFormat="false" ht="15" hidden="false" customHeight="false" outlineLevel="0" collapsed="false">
      <c r="A6767" s="103"/>
      <c r="B6767" s="104"/>
      <c r="C6767" s="104"/>
      <c r="E6767" s="107" t="str">
        <f aca="false">IF($C6767="","",IFERROR(INDEX(المنيو!$C$2:$C$500,MATCH($C6767,المنيو!$B$2:$B$500,0)),0))</f>
        <v/>
      </c>
      <c r="F6767" s="107" t="str">
        <f aca="false">IF($C6767="","",$D6767*$E6767)</f>
        <v/>
      </c>
      <c r="G6767" s="107" t="str">
        <f aca="false">IF($C6767="","",$D6767*IFERROR(INDEX('تحليل التكلفة والسعر'!$C$2:$C$700,MATCH($C6767,'تحليل التكلفة والسعر'!$B$2:$B$700,0)),0))</f>
        <v/>
      </c>
    </row>
    <row r="6768" customFormat="false" ht="15" hidden="false" customHeight="false" outlineLevel="0" collapsed="false">
      <c r="A6768" s="103"/>
      <c r="B6768" s="104"/>
      <c r="C6768" s="104"/>
      <c r="E6768" s="107" t="str">
        <f aca="false">IF($C6768="","",IFERROR(INDEX(المنيو!$C$2:$C$500,MATCH($C6768,المنيو!$B$2:$B$500,0)),0))</f>
        <v/>
      </c>
      <c r="F6768" s="107" t="str">
        <f aca="false">IF($C6768="","",$D6768*$E6768)</f>
        <v/>
      </c>
      <c r="G6768" s="107" t="str">
        <f aca="false">IF($C6768="","",$D6768*IFERROR(INDEX('تحليل التكلفة والسعر'!$C$2:$C$700,MATCH($C6768,'تحليل التكلفة والسعر'!$B$2:$B$700,0)),0))</f>
        <v/>
      </c>
    </row>
    <row r="6769" customFormat="false" ht="15" hidden="false" customHeight="false" outlineLevel="0" collapsed="false">
      <c r="A6769" s="103"/>
      <c r="B6769" s="104"/>
      <c r="C6769" s="104"/>
      <c r="E6769" s="107" t="str">
        <f aca="false">IF($C6769="","",IFERROR(INDEX(المنيو!$C$2:$C$500,MATCH($C6769,المنيو!$B$2:$B$500,0)),0))</f>
        <v/>
      </c>
      <c r="F6769" s="107" t="str">
        <f aca="false">IF($C6769="","",$D6769*$E6769)</f>
        <v/>
      </c>
      <c r="G6769" s="107" t="str">
        <f aca="false">IF($C6769="","",$D6769*IFERROR(INDEX('تحليل التكلفة والسعر'!$C$2:$C$700,MATCH($C6769,'تحليل التكلفة والسعر'!$B$2:$B$700,0)),0))</f>
        <v/>
      </c>
    </row>
    <row r="6770" customFormat="false" ht="15" hidden="false" customHeight="false" outlineLevel="0" collapsed="false">
      <c r="A6770" s="103"/>
      <c r="B6770" s="104"/>
      <c r="C6770" s="104"/>
      <c r="E6770" s="107" t="str">
        <f aca="false">IF($C6770="","",IFERROR(INDEX(المنيو!$C$2:$C$500,MATCH($C6770,المنيو!$B$2:$B$500,0)),0))</f>
        <v/>
      </c>
      <c r="F6770" s="107" t="str">
        <f aca="false">IF($C6770="","",$D6770*$E6770)</f>
        <v/>
      </c>
      <c r="G6770" s="107" t="str">
        <f aca="false">IF($C6770="","",$D6770*IFERROR(INDEX('تحليل التكلفة والسعر'!$C$2:$C$700,MATCH($C6770,'تحليل التكلفة والسعر'!$B$2:$B$700,0)),0))</f>
        <v/>
      </c>
    </row>
    <row r="6771" customFormat="false" ht="15" hidden="false" customHeight="false" outlineLevel="0" collapsed="false">
      <c r="A6771" s="103"/>
      <c r="B6771" s="104"/>
      <c r="C6771" s="104"/>
      <c r="E6771" s="107" t="str">
        <f aca="false">IF($C6771="","",IFERROR(INDEX(المنيو!$C$2:$C$500,MATCH($C6771,المنيو!$B$2:$B$500,0)),0))</f>
        <v/>
      </c>
      <c r="F6771" s="107" t="str">
        <f aca="false">IF($C6771="","",$D6771*$E6771)</f>
        <v/>
      </c>
      <c r="G6771" s="107" t="str">
        <f aca="false">IF($C6771="","",$D6771*IFERROR(INDEX('تحليل التكلفة والسعر'!$C$2:$C$700,MATCH($C6771,'تحليل التكلفة والسعر'!$B$2:$B$700,0)),0))</f>
        <v/>
      </c>
    </row>
    <row r="6772" customFormat="false" ht="15" hidden="false" customHeight="false" outlineLevel="0" collapsed="false">
      <c r="A6772" s="103"/>
      <c r="B6772" s="104"/>
      <c r="C6772" s="104"/>
      <c r="E6772" s="107" t="str">
        <f aca="false">IF($C6772="","",IFERROR(INDEX(المنيو!$C$2:$C$500,MATCH($C6772,المنيو!$B$2:$B$500,0)),0))</f>
        <v/>
      </c>
      <c r="F6772" s="107" t="str">
        <f aca="false">IF($C6772="","",$D6772*$E6772)</f>
        <v/>
      </c>
      <c r="G6772" s="107" t="str">
        <f aca="false">IF($C6772="","",$D6772*IFERROR(INDEX('تحليل التكلفة والسعر'!$C$2:$C$700,MATCH($C6772,'تحليل التكلفة والسعر'!$B$2:$B$700,0)),0))</f>
        <v/>
      </c>
    </row>
    <row r="6773" customFormat="false" ht="15" hidden="false" customHeight="false" outlineLevel="0" collapsed="false">
      <c r="A6773" s="103"/>
      <c r="B6773" s="104"/>
      <c r="C6773" s="104"/>
      <c r="E6773" s="107" t="str">
        <f aca="false">IF($C6773="","",IFERROR(INDEX(المنيو!$C$2:$C$500,MATCH($C6773,المنيو!$B$2:$B$500,0)),0))</f>
        <v/>
      </c>
      <c r="F6773" s="107" t="str">
        <f aca="false">IF($C6773="","",$D6773*$E6773)</f>
        <v/>
      </c>
      <c r="G6773" s="107" t="str">
        <f aca="false">IF($C6773="","",$D6773*IFERROR(INDEX('تحليل التكلفة والسعر'!$C$2:$C$700,MATCH($C6773,'تحليل التكلفة والسعر'!$B$2:$B$700,0)),0))</f>
        <v/>
      </c>
    </row>
    <row r="6774" customFormat="false" ht="15" hidden="false" customHeight="false" outlineLevel="0" collapsed="false">
      <c r="A6774" s="103"/>
      <c r="B6774" s="104"/>
      <c r="C6774" s="104"/>
      <c r="E6774" s="107" t="str">
        <f aca="false">IF($C6774="","",IFERROR(INDEX(المنيو!$C$2:$C$500,MATCH($C6774,المنيو!$B$2:$B$500,0)),0))</f>
        <v/>
      </c>
      <c r="F6774" s="107" t="str">
        <f aca="false">IF($C6774="","",$D6774*$E6774)</f>
        <v/>
      </c>
      <c r="G6774" s="107" t="str">
        <f aca="false">IF($C6774="","",$D6774*IFERROR(INDEX('تحليل التكلفة والسعر'!$C$2:$C$700,MATCH($C6774,'تحليل التكلفة والسعر'!$B$2:$B$700,0)),0))</f>
        <v/>
      </c>
    </row>
    <row r="6775" customFormat="false" ht="15" hidden="false" customHeight="false" outlineLevel="0" collapsed="false">
      <c r="A6775" s="103"/>
      <c r="B6775" s="104"/>
      <c r="C6775" s="104"/>
      <c r="E6775" s="107" t="str">
        <f aca="false">IF($C6775="","",IFERROR(INDEX(المنيو!$C$2:$C$500,MATCH($C6775,المنيو!$B$2:$B$500,0)),0))</f>
        <v/>
      </c>
      <c r="F6775" s="107" t="str">
        <f aca="false">IF($C6775="","",$D6775*$E6775)</f>
        <v/>
      </c>
      <c r="G6775" s="107" t="str">
        <f aca="false">IF($C6775="","",$D6775*IFERROR(INDEX('تحليل التكلفة والسعر'!$C$2:$C$700,MATCH($C6775,'تحليل التكلفة والسعر'!$B$2:$B$700,0)),0))</f>
        <v/>
      </c>
    </row>
    <row r="6776" customFormat="false" ht="15" hidden="false" customHeight="false" outlineLevel="0" collapsed="false">
      <c r="A6776" s="103"/>
      <c r="B6776" s="104"/>
      <c r="C6776" s="104"/>
      <c r="E6776" s="107" t="str">
        <f aca="false">IF($C6776="","",IFERROR(INDEX(المنيو!$C$2:$C$500,MATCH($C6776,المنيو!$B$2:$B$500,0)),0))</f>
        <v/>
      </c>
      <c r="F6776" s="107" t="str">
        <f aca="false">IF($C6776="","",$D6776*$E6776)</f>
        <v/>
      </c>
      <c r="G6776" s="107" t="str">
        <f aca="false">IF($C6776="","",$D6776*IFERROR(INDEX('تحليل التكلفة والسعر'!$C$2:$C$700,MATCH($C6776,'تحليل التكلفة والسعر'!$B$2:$B$700,0)),0))</f>
        <v/>
      </c>
    </row>
    <row r="6777" customFormat="false" ht="15" hidden="false" customHeight="false" outlineLevel="0" collapsed="false">
      <c r="A6777" s="103"/>
      <c r="B6777" s="104"/>
      <c r="C6777" s="104"/>
      <c r="E6777" s="107" t="str">
        <f aca="false">IF($C6777="","",IFERROR(INDEX(المنيو!$C$2:$C$500,MATCH($C6777,المنيو!$B$2:$B$500,0)),0))</f>
        <v/>
      </c>
      <c r="F6777" s="107" t="str">
        <f aca="false">IF($C6777="","",$D6777*$E6777)</f>
        <v/>
      </c>
      <c r="G6777" s="107" t="str">
        <f aca="false">IF($C6777="","",$D6777*IFERROR(INDEX('تحليل التكلفة والسعر'!$C$2:$C$700,MATCH($C6777,'تحليل التكلفة والسعر'!$B$2:$B$700,0)),0))</f>
        <v/>
      </c>
    </row>
    <row r="6778" customFormat="false" ht="15" hidden="false" customHeight="false" outlineLevel="0" collapsed="false">
      <c r="A6778" s="103"/>
      <c r="B6778" s="104"/>
      <c r="C6778" s="104"/>
      <c r="E6778" s="107" t="str">
        <f aca="false">IF($C6778="","",IFERROR(INDEX(المنيو!$C$2:$C$500,MATCH($C6778,المنيو!$B$2:$B$500,0)),0))</f>
        <v/>
      </c>
      <c r="F6778" s="107" t="str">
        <f aca="false">IF($C6778="","",$D6778*$E6778)</f>
        <v/>
      </c>
      <c r="G6778" s="107" t="str">
        <f aca="false">IF($C6778="","",$D6778*IFERROR(INDEX('تحليل التكلفة والسعر'!$C$2:$C$700,MATCH($C6778,'تحليل التكلفة والسعر'!$B$2:$B$700,0)),0))</f>
        <v/>
      </c>
    </row>
    <row r="6779" customFormat="false" ht="15" hidden="false" customHeight="false" outlineLevel="0" collapsed="false">
      <c r="A6779" s="103"/>
      <c r="B6779" s="104"/>
      <c r="C6779" s="104"/>
      <c r="E6779" s="107" t="str">
        <f aca="false">IF($C6779="","",IFERROR(INDEX(المنيو!$C$2:$C$500,MATCH($C6779,المنيو!$B$2:$B$500,0)),0))</f>
        <v/>
      </c>
      <c r="F6779" s="107" t="str">
        <f aca="false">IF($C6779="","",$D6779*$E6779)</f>
        <v/>
      </c>
      <c r="G6779" s="107" t="str">
        <f aca="false">IF($C6779="","",$D6779*IFERROR(INDEX('تحليل التكلفة والسعر'!$C$2:$C$700,MATCH($C6779,'تحليل التكلفة والسعر'!$B$2:$B$700,0)),0))</f>
        <v/>
      </c>
    </row>
    <row r="6780" customFormat="false" ht="15" hidden="false" customHeight="false" outlineLevel="0" collapsed="false">
      <c r="A6780" s="103"/>
      <c r="B6780" s="104"/>
      <c r="C6780" s="104"/>
      <c r="E6780" s="107" t="str">
        <f aca="false">IF($C6780="","",IFERROR(INDEX(المنيو!$C$2:$C$500,MATCH($C6780,المنيو!$B$2:$B$500,0)),0))</f>
        <v/>
      </c>
      <c r="F6780" s="107" t="str">
        <f aca="false">IF($C6780="","",$D6780*$E6780)</f>
        <v/>
      </c>
      <c r="G6780" s="107" t="str">
        <f aca="false">IF($C6780="","",$D6780*IFERROR(INDEX('تحليل التكلفة والسعر'!$C$2:$C$700,MATCH($C6780,'تحليل التكلفة والسعر'!$B$2:$B$700,0)),0))</f>
        <v/>
      </c>
    </row>
    <row r="6781" customFormat="false" ht="15" hidden="false" customHeight="false" outlineLevel="0" collapsed="false">
      <c r="A6781" s="103"/>
      <c r="B6781" s="104"/>
      <c r="C6781" s="104"/>
      <c r="E6781" s="107" t="str">
        <f aca="false">IF($C6781="","",IFERROR(INDEX(المنيو!$C$2:$C$500,MATCH($C6781,المنيو!$B$2:$B$500,0)),0))</f>
        <v/>
      </c>
      <c r="F6781" s="107" t="str">
        <f aca="false">IF($C6781="","",$D6781*$E6781)</f>
        <v/>
      </c>
      <c r="G6781" s="107" t="str">
        <f aca="false">IF($C6781="","",$D6781*IFERROR(INDEX('تحليل التكلفة والسعر'!$C$2:$C$700,MATCH($C6781,'تحليل التكلفة والسعر'!$B$2:$B$700,0)),0))</f>
        <v/>
      </c>
    </row>
    <row r="6782" customFormat="false" ht="15" hidden="false" customHeight="false" outlineLevel="0" collapsed="false">
      <c r="A6782" s="103"/>
      <c r="B6782" s="104"/>
      <c r="C6782" s="104"/>
      <c r="E6782" s="107" t="str">
        <f aca="false">IF($C6782="","",IFERROR(INDEX(المنيو!$C$2:$C$500,MATCH($C6782,المنيو!$B$2:$B$500,0)),0))</f>
        <v/>
      </c>
      <c r="F6782" s="107" t="str">
        <f aca="false">IF($C6782="","",$D6782*$E6782)</f>
        <v/>
      </c>
      <c r="G6782" s="107" t="str">
        <f aca="false">IF($C6782="","",$D6782*IFERROR(INDEX('تحليل التكلفة والسعر'!$C$2:$C$700,MATCH($C6782,'تحليل التكلفة والسعر'!$B$2:$B$700,0)),0))</f>
        <v/>
      </c>
    </row>
    <row r="6783" customFormat="false" ht="15" hidden="false" customHeight="false" outlineLevel="0" collapsed="false">
      <c r="A6783" s="103"/>
      <c r="B6783" s="104"/>
      <c r="C6783" s="104"/>
      <c r="E6783" s="107" t="str">
        <f aca="false">IF($C6783="","",IFERROR(INDEX(المنيو!$C$2:$C$500,MATCH($C6783,المنيو!$B$2:$B$500,0)),0))</f>
        <v/>
      </c>
      <c r="F6783" s="107" t="str">
        <f aca="false">IF($C6783="","",$D6783*$E6783)</f>
        <v/>
      </c>
      <c r="G6783" s="107" t="str">
        <f aca="false">IF($C6783="","",$D6783*IFERROR(INDEX('تحليل التكلفة والسعر'!$C$2:$C$700,MATCH($C6783,'تحليل التكلفة والسعر'!$B$2:$B$700,0)),0))</f>
        <v/>
      </c>
    </row>
    <row r="6784" customFormat="false" ht="15" hidden="false" customHeight="false" outlineLevel="0" collapsed="false">
      <c r="A6784" s="103"/>
      <c r="B6784" s="104"/>
      <c r="C6784" s="104"/>
      <c r="E6784" s="107" t="str">
        <f aca="false">IF($C6784="","",IFERROR(INDEX(المنيو!$C$2:$C$500,MATCH($C6784,المنيو!$B$2:$B$500,0)),0))</f>
        <v/>
      </c>
      <c r="F6784" s="107" t="str">
        <f aca="false">IF($C6784="","",$D6784*$E6784)</f>
        <v/>
      </c>
      <c r="G6784" s="107" t="str">
        <f aca="false">IF($C6784="","",$D6784*IFERROR(INDEX('تحليل التكلفة والسعر'!$C$2:$C$700,MATCH($C6784,'تحليل التكلفة والسعر'!$B$2:$B$700,0)),0))</f>
        <v/>
      </c>
    </row>
    <row r="6785" customFormat="false" ht="15" hidden="false" customHeight="false" outlineLevel="0" collapsed="false">
      <c r="A6785" s="103"/>
      <c r="B6785" s="104"/>
      <c r="C6785" s="104"/>
      <c r="E6785" s="107" t="str">
        <f aca="false">IF($C6785="","",IFERROR(INDEX(المنيو!$C$2:$C$500,MATCH($C6785,المنيو!$B$2:$B$500,0)),0))</f>
        <v/>
      </c>
      <c r="F6785" s="107" t="str">
        <f aca="false">IF($C6785="","",$D6785*$E6785)</f>
        <v/>
      </c>
      <c r="G6785" s="107" t="str">
        <f aca="false">IF($C6785="","",$D6785*IFERROR(INDEX('تحليل التكلفة والسعر'!$C$2:$C$700,MATCH($C6785,'تحليل التكلفة والسعر'!$B$2:$B$700,0)),0))</f>
        <v/>
      </c>
    </row>
    <row r="6786" customFormat="false" ht="15" hidden="false" customHeight="false" outlineLevel="0" collapsed="false">
      <c r="A6786" s="103"/>
      <c r="B6786" s="104"/>
      <c r="C6786" s="104"/>
      <c r="E6786" s="107" t="str">
        <f aca="false">IF($C6786="","",IFERROR(INDEX(المنيو!$C$2:$C$500,MATCH($C6786,المنيو!$B$2:$B$500,0)),0))</f>
        <v/>
      </c>
      <c r="F6786" s="107" t="str">
        <f aca="false">IF($C6786="","",$D6786*$E6786)</f>
        <v/>
      </c>
      <c r="G6786" s="107" t="str">
        <f aca="false">IF($C6786="","",$D6786*IFERROR(INDEX('تحليل التكلفة والسعر'!$C$2:$C$700,MATCH($C6786,'تحليل التكلفة والسعر'!$B$2:$B$700,0)),0))</f>
        <v/>
      </c>
    </row>
    <row r="6787" customFormat="false" ht="15" hidden="false" customHeight="false" outlineLevel="0" collapsed="false">
      <c r="A6787" s="103"/>
      <c r="B6787" s="104"/>
      <c r="C6787" s="104"/>
      <c r="E6787" s="107" t="str">
        <f aca="false">IF($C6787="","",IFERROR(INDEX(المنيو!$C$2:$C$500,MATCH($C6787,المنيو!$B$2:$B$500,0)),0))</f>
        <v/>
      </c>
      <c r="F6787" s="107" t="str">
        <f aca="false">IF($C6787="","",$D6787*$E6787)</f>
        <v/>
      </c>
      <c r="G6787" s="107" t="str">
        <f aca="false">IF($C6787="","",$D6787*IFERROR(INDEX('تحليل التكلفة والسعر'!$C$2:$C$700,MATCH($C6787,'تحليل التكلفة والسعر'!$B$2:$B$700,0)),0))</f>
        <v/>
      </c>
    </row>
    <row r="6788" customFormat="false" ht="15" hidden="false" customHeight="false" outlineLevel="0" collapsed="false">
      <c r="A6788" s="103"/>
      <c r="B6788" s="104"/>
      <c r="C6788" s="104"/>
      <c r="E6788" s="107" t="str">
        <f aca="false">IF($C6788="","",IFERROR(INDEX(المنيو!$C$2:$C$500,MATCH($C6788,المنيو!$B$2:$B$500,0)),0))</f>
        <v/>
      </c>
      <c r="F6788" s="107" t="str">
        <f aca="false">IF($C6788="","",$D6788*$E6788)</f>
        <v/>
      </c>
      <c r="G6788" s="107" t="str">
        <f aca="false">IF($C6788="","",$D6788*IFERROR(INDEX('تحليل التكلفة والسعر'!$C$2:$C$700,MATCH($C6788,'تحليل التكلفة والسعر'!$B$2:$B$700,0)),0))</f>
        <v/>
      </c>
    </row>
    <row r="6789" customFormat="false" ht="15" hidden="false" customHeight="false" outlineLevel="0" collapsed="false">
      <c r="A6789" s="103"/>
      <c r="B6789" s="104"/>
      <c r="C6789" s="104"/>
      <c r="E6789" s="107" t="str">
        <f aca="false">IF($C6789="","",IFERROR(INDEX(المنيو!$C$2:$C$500,MATCH($C6789,المنيو!$B$2:$B$500,0)),0))</f>
        <v/>
      </c>
      <c r="F6789" s="107" t="str">
        <f aca="false">IF($C6789="","",$D6789*$E6789)</f>
        <v/>
      </c>
      <c r="G6789" s="107" t="str">
        <f aca="false">IF($C6789="","",$D6789*IFERROR(INDEX('تحليل التكلفة والسعر'!$C$2:$C$700,MATCH($C6789,'تحليل التكلفة والسعر'!$B$2:$B$700,0)),0))</f>
        <v/>
      </c>
    </row>
    <row r="6790" customFormat="false" ht="15" hidden="false" customHeight="false" outlineLevel="0" collapsed="false">
      <c r="A6790" s="103"/>
      <c r="B6790" s="104"/>
      <c r="C6790" s="104"/>
      <c r="E6790" s="107" t="str">
        <f aca="false">IF($C6790="","",IFERROR(INDEX(المنيو!$C$2:$C$500,MATCH($C6790,المنيو!$B$2:$B$500,0)),0))</f>
        <v/>
      </c>
      <c r="F6790" s="107" t="str">
        <f aca="false">IF($C6790="","",$D6790*$E6790)</f>
        <v/>
      </c>
      <c r="G6790" s="107" t="str">
        <f aca="false">IF($C6790="","",$D6790*IFERROR(INDEX('تحليل التكلفة والسعر'!$C$2:$C$700,MATCH($C6790,'تحليل التكلفة والسعر'!$B$2:$B$700,0)),0))</f>
        <v/>
      </c>
    </row>
    <row r="6791" customFormat="false" ht="15" hidden="false" customHeight="false" outlineLevel="0" collapsed="false">
      <c r="A6791" s="103"/>
      <c r="B6791" s="104"/>
      <c r="C6791" s="104"/>
      <c r="E6791" s="107" t="str">
        <f aca="false">IF($C6791="","",IFERROR(INDEX(المنيو!$C$2:$C$500,MATCH($C6791,المنيو!$B$2:$B$500,0)),0))</f>
        <v/>
      </c>
      <c r="F6791" s="107" t="str">
        <f aca="false">IF($C6791="","",$D6791*$E6791)</f>
        <v/>
      </c>
      <c r="G6791" s="107" t="str">
        <f aca="false">IF($C6791="","",$D6791*IFERROR(INDEX('تحليل التكلفة والسعر'!$C$2:$C$700,MATCH($C6791,'تحليل التكلفة والسعر'!$B$2:$B$700,0)),0))</f>
        <v/>
      </c>
    </row>
    <row r="6792" customFormat="false" ht="15" hidden="false" customHeight="false" outlineLevel="0" collapsed="false">
      <c r="A6792" s="103"/>
      <c r="B6792" s="104"/>
      <c r="C6792" s="104"/>
      <c r="E6792" s="107" t="str">
        <f aca="false">IF($C6792="","",IFERROR(INDEX(المنيو!$C$2:$C$500,MATCH($C6792,المنيو!$B$2:$B$500,0)),0))</f>
        <v/>
      </c>
      <c r="F6792" s="107" t="str">
        <f aca="false">IF($C6792="","",$D6792*$E6792)</f>
        <v/>
      </c>
      <c r="G6792" s="107" t="str">
        <f aca="false">IF($C6792="","",$D6792*IFERROR(INDEX('تحليل التكلفة والسعر'!$C$2:$C$700,MATCH($C6792,'تحليل التكلفة والسعر'!$B$2:$B$700,0)),0))</f>
        <v/>
      </c>
    </row>
    <row r="6793" customFormat="false" ht="15" hidden="false" customHeight="false" outlineLevel="0" collapsed="false">
      <c r="A6793" s="103"/>
      <c r="B6793" s="104"/>
      <c r="C6793" s="104"/>
      <c r="E6793" s="107" t="str">
        <f aca="false">IF($C6793="","",IFERROR(INDEX(المنيو!$C$2:$C$500,MATCH($C6793,المنيو!$B$2:$B$500,0)),0))</f>
        <v/>
      </c>
      <c r="F6793" s="107" t="str">
        <f aca="false">IF($C6793="","",$D6793*$E6793)</f>
        <v/>
      </c>
      <c r="G6793" s="107" t="str">
        <f aca="false">IF($C6793="","",$D6793*IFERROR(INDEX('تحليل التكلفة والسعر'!$C$2:$C$700,MATCH($C6793,'تحليل التكلفة والسعر'!$B$2:$B$700,0)),0))</f>
        <v/>
      </c>
    </row>
    <row r="6794" customFormat="false" ht="15" hidden="false" customHeight="false" outlineLevel="0" collapsed="false">
      <c r="A6794" s="103"/>
      <c r="B6794" s="104"/>
      <c r="C6794" s="104"/>
      <c r="E6794" s="107" t="str">
        <f aca="false">IF($C6794="","",IFERROR(INDEX(المنيو!$C$2:$C$500,MATCH($C6794,المنيو!$B$2:$B$500,0)),0))</f>
        <v/>
      </c>
      <c r="F6794" s="107" t="str">
        <f aca="false">IF($C6794="","",$D6794*$E6794)</f>
        <v/>
      </c>
      <c r="G6794" s="107" t="str">
        <f aca="false">IF($C6794="","",$D6794*IFERROR(INDEX('تحليل التكلفة والسعر'!$C$2:$C$700,MATCH($C6794,'تحليل التكلفة والسعر'!$B$2:$B$700,0)),0))</f>
        <v/>
      </c>
    </row>
    <row r="6795" customFormat="false" ht="15" hidden="false" customHeight="false" outlineLevel="0" collapsed="false">
      <c r="A6795" s="103"/>
      <c r="B6795" s="104"/>
      <c r="C6795" s="104"/>
      <c r="E6795" s="107" t="str">
        <f aca="false">IF($C6795="","",IFERROR(INDEX(المنيو!$C$2:$C$500,MATCH($C6795,المنيو!$B$2:$B$500,0)),0))</f>
        <v/>
      </c>
      <c r="F6795" s="107" t="str">
        <f aca="false">IF($C6795="","",$D6795*$E6795)</f>
        <v/>
      </c>
      <c r="G6795" s="107" t="str">
        <f aca="false">IF($C6795="","",$D6795*IFERROR(INDEX('تحليل التكلفة والسعر'!$C$2:$C$700,MATCH($C6795,'تحليل التكلفة والسعر'!$B$2:$B$700,0)),0))</f>
        <v/>
      </c>
    </row>
    <row r="6796" customFormat="false" ht="15" hidden="false" customHeight="false" outlineLevel="0" collapsed="false">
      <c r="A6796" s="103"/>
      <c r="B6796" s="104"/>
      <c r="C6796" s="104"/>
      <c r="E6796" s="107" t="str">
        <f aca="false">IF($C6796="","",IFERROR(INDEX(المنيو!$C$2:$C$500,MATCH($C6796,المنيو!$B$2:$B$500,0)),0))</f>
        <v/>
      </c>
      <c r="F6796" s="107" t="str">
        <f aca="false">IF($C6796="","",$D6796*$E6796)</f>
        <v/>
      </c>
      <c r="G6796" s="107" t="str">
        <f aca="false">IF($C6796="","",$D6796*IFERROR(INDEX('تحليل التكلفة والسعر'!$C$2:$C$700,MATCH($C6796,'تحليل التكلفة والسعر'!$B$2:$B$700,0)),0))</f>
        <v/>
      </c>
    </row>
    <row r="6797" customFormat="false" ht="15" hidden="false" customHeight="false" outlineLevel="0" collapsed="false">
      <c r="A6797" s="103"/>
      <c r="B6797" s="104"/>
      <c r="C6797" s="104"/>
      <c r="E6797" s="107" t="str">
        <f aca="false">IF($C6797="","",IFERROR(INDEX(المنيو!$C$2:$C$500,MATCH($C6797,المنيو!$B$2:$B$500,0)),0))</f>
        <v/>
      </c>
      <c r="F6797" s="107" t="str">
        <f aca="false">IF($C6797="","",$D6797*$E6797)</f>
        <v/>
      </c>
      <c r="G6797" s="107" t="str">
        <f aca="false">IF($C6797="","",$D6797*IFERROR(INDEX('تحليل التكلفة والسعر'!$C$2:$C$700,MATCH($C6797,'تحليل التكلفة والسعر'!$B$2:$B$700,0)),0))</f>
        <v/>
      </c>
    </row>
    <row r="6798" customFormat="false" ht="15" hidden="false" customHeight="false" outlineLevel="0" collapsed="false">
      <c r="A6798" s="103"/>
      <c r="B6798" s="104"/>
      <c r="C6798" s="104"/>
      <c r="E6798" s="107" t="str">
        <f aca="false">IF($C6798="","",IFERROR(INDEX(المنيو!$C$2:$C$500,MATCH($C6798,المنيو!$B$2:$B$500,0)),0))</f>
        <v/>
      </c>
      <c r="F6798" s="107" t="str">
        <f aca="false">IF($C6798="","",$D6798*$E6798)</f>
        <v/>
      </c>
      <c r="G6798" s="107" t="str">
        <f aca="false">IF($C6798="","",$D6798*IFERROR(INDEX('تحليل التكلفة والسعر'!$C$2:$C$700,MATCH($C6798,'تحليل التكلفة والسعر'!$B$2:$B$700,0)),0))</f>
        <v/>
      </c>
    </row>
    <row r="6799" customFormat="false" ht="15" hidden="false" customHeight="false" outlineLevel="0" collapsed="false">
      <c r="A6799" s="103"/>
      <c r="B6799" s="104"/>
      <c r="C6799" s="104"/>
      <c r="E6799" s="107" t="str">
        <f aca="false">IF($C6799="","",IFERROR(INDEX(المنيو!$C$2:$C$500,MATCH($C6799,المنيو!$B$2:$B$500,0)),0))</f>
        <v/>
      </c>
      <c r="F6799" s="107" t="str">
        <f aca="false">IF($C6799="","",$D6799*$E6799)</f>
        <v/>
      </c>
      <c r="G6799" s="107" t="str">
        <f aca="false">IF($C6799="","",$D6799*IFERROR(INDEX('تحليل التكلفة والسعر'!$C$2:$C$700,MATCH($C6799,'تحليل التكلفة والسعر'!$B$2:$B$700,0)),0))</f>
        <v/>
      </c>
    </row>
    <row r="6800" customFormat="false" ht="15" hidden="false" customHeight="false" outlineLevel="0" collapsed="false">
      <c r="A6800" s="103"/>
      <c r="B6800" s="104"/>
      <c r="C6800" s="104"/>
      <c r="E6800" s="107" t="str">
        <f aca="false">IF($C6800="","",IFERROR(INDEX(المنيو!$C$2:$C$500,MATCH($C6800,المنيو!$B$2:$B$500,0)),0))</f>
        <v/>
      </c>
      <c r="F6800" s="107" t="str">
        <f aca="false">IF($C6800="","",$D6800*$E6800)</f>
        <v/>
      </c>
      <c r="G6800" s="107" t="str">
        <f aca="false">IF($C6800="","",$D6800*IFERROR(INDEX('تحليل التكلفة والسعر'!$C$2:$C$700,MATCH($C6800,'تحليل التكلفة والسعر'!$B$2:$B$700,0)),0))</f>
        <v/>
      </c>
    </row>
    <row r="6801" customFormat="false" ht="15" hidden="false" customHeight="false" outlineLevel="0" collapsed="false">
      <c r="A6801" s="103"/>
      <c r="B6801" s="104"/>
      <c r="C6801" s="104"/>
      <c r="E6801" s="107" t="str">
        <f aca="false">IF($C6801="","",IFERROR(INDEX(المنيو!$C$2:$C$500,MATCH($C6801,المنيو!$B$2:$B$500,0)),0))</f>
        <v/>
      </c>
      <c r="F6801" s="107" t="str">
        <f aca="false">IF($C6801="","",$D6801*$E6801)</f>
        <v/>
      </c>
      <c r="G6801" s="107" t="str">
        <f aca="false">IF($C6801="","",$D6801*IFERROR(INDEX('تحليل التكلفة والسعر'!$C$2:$C$700,MATCH($C6801,'تحليل التكلفة والسعر'!$B$2:$B$700,0)),0))</f>
        <v/>
      </c>
    </row>
    <row r="6802" customFormat="false" ht="15" hidden="false" customHeight="false" outlineLevel="0" collapsed="false">
      <c r="A6802" s="103"/>
      <c r="B6802" s="104"/>
      <c r="C6802" s="104"/>
      <c r="E6802" s="107" t="str">
        <f aca="false">IF($C6802="","",IFERROR(INDEX(المنيو!$C$2:$C$500,MATCH($C6802,المنيو!$B$2:$B$500,0)),0))</f>
        <v/>
      </c>
      <c r="F6802" s="107" t="str">
        <f aca="false">IF($C6802="","",$D6802*$E6802)</f>
        <v/>
      </c>
      <c r="G6802" s="107" t="str">
        <f aca="false">IF($C6802="","",$D6802*IFERROR(INDEX('تحليل التكلفة والسعر'!$C$2:$C$700,MATCH($C6802,'تحليل التكلفة والسعر'!$B$2:$B$700,0)),0))</f>
        <v/>
      </c>
    </row>
    <row r="6803" customFormat="false" ht="15" hidden="false" customHeight="false" outlineLevel="0" collapsed="false">
      <c r="A6803" s="103"/>
      <c r="B6803" s="104"/>
      <c r="C6803" s="104"/>
      <c r="E6803" s="107" t="str">
        <f aca="false">IF($C6803="","",IFERROR(INDEX(المنيو!$C$2:$C$500,MATCH($C6803,المنيو!$B$2:$B$500,0)),0))</f>
        <v/>
      </c>
      <c r="F6803" s="107" t="str">
        <f aca="false">IF($C6803="","",$D6803*$E6803)</f>
        <v/>
      </c>
      <c r="G6803" s="107" t="str">
        <f aca="false">IF($C6803="","",$D6803*IFERROR(INDEX('تحليل التكلفة والسعر'!$C$2:$C$700,MATCH($C6803,'تحليل التكلفة والسعر'!$B$2:$B$700,0)),0))</f>
        <v/>
      </c>
    </row>
    <row r="6804" customFormat="false" ht="15" hidden="false" customHeight="false" outlineLevel="0" collapsed="false">
      <c r="A6804" s="103"/>
      <c r="B6804" s="104"/>
      <c r="C6804" s="104"/>
      <c r="E6804" s="107" t="str">
        <f aca="false">IF($C6804="","",IFERROR(INDEX(المنيو!$C$2:$C$500,MATCH($C6804,المنيو!$B$2:$B$500,0)),0))</f>
        <v/>
      </c>
      <c r="F6804" s="107" t="str">
        <f aca="false">IF($C6804="","",$D6804*$E6804)</f>
        <v/>
      </c>
      <c r="G6804" s="107" t="str">
        <f aca="false">IF($C6804="","",$D6804*IFERROR(INDEX('تحليل التكلفة والسعر'!$C$2:$C$700,MATCH($C6804,'تحليل التكلفة والسعر'!$B$2:$B$700,0)),0))</f>
        <v/>
      </c>
    </row>
    <row r="6805" customFormat="false" ht="15" hidden="false" customHeight="false" outlineLevel="0" collapsed="false">
      <c r="A6805" s="103"/>
      <c r="B6805" s="104"/>
      <c r="C6805" s="104"/>
      <c r="E6805" s="107" t="str">
        <f aca="false">IF($C6805="","",IFERROR(INDEX(المنيو!$C$2:$C$500,MATCH($C6805,المنيو!$B$2:$B$500,0)),0))</f>
        <v/>
      </c>
      <c r="F6805" s="107" t="str">
        <f aca="false">IF($C6805="","",$D6805*$E6805)</f>
        <v/>
      </c>
      <c r="G6805" s="107" t="str">
        <f aca="false">IF($C6805="","",$D6805*IFERROR(INDEX('تحليل التكلفة والسعر'!$C$2:$C$700,MATCH($C6805,'تحليل التكلفة والسعر'!$B$2:$B$700,0)),0))</f>
        <v/>
      </c>
    </row>
    <row r="6806" customFormat="false" ht="15" hidden="false" customHeight="false" outlineLevel="0" collapsed="false">
      <c r="A6806" s="103"/>
      <c r="B6806" s="104"/>
      <c r="C6806" s="104"/>
      <c r="E6806" s="107" t="str">
        <f aca="false">IF($C6806="","",IFERROR(INDEX(المنيو!$C$2:$C$500,MATCH($C6806,المنيو!$B$2:$B$500,0)),0))</f>
        <v/>
      </c>
      <c r="F6806" s="107" t="str">
        <f aca="false">IF($C6806="","",$D6806*$E6806)</f>
        <v/>
      </c>
      <c r="G6806" s="107" t="str">
        <f aca="false">IF($C6806="","",$D6806*IFERROR(INDEX('تحليل التكلفة والسعر'!$C$2:$C$700,MATCH($C6806,'تحليل التكلفة والسعر'!$B$2:$B$700,0)),0))</f>
        <v/>
      </c>
    </row>
    <row r="6807" customFormat="false" ht="15" hidden="false" customHeight="false" outlineLevel="0" collapsed="false">
      <c r="A6807" s="103"/>
      <c r="B6807" s="104"/>
      <c r="C6807" s="104"/>
      <c r="E6807" s="107" t="str">
        <f aca="false">IF($C6807="","",IFERROR(INDEX(المنيو!$C$2:$C$500,MATCH($C6807,المنيو!$B$2:$B$500,0)),0))</f>
        <v/>
      </c>
      <c r="F6807" s="107" t="str">
        <f aca="false">IF($C6807="","",$D6807*$E6807)</f>
        <v/>
      </c>
      <c r="G6807" s="107" t="str">
        <f aca="false">IF($C6807="","",$D6807*IFERROR(INDEX('تحليل التكلفة والسعر'!$C$2:$C$700,MATCH($C6807,'تحليل التكلفة والسعر'!$B$2:$B$700,0)),0))</f>
        <v/>
      </c>
    </row>
    <row r="6808" customFormat="false" ht="15" hidden="false" customHeight="false" outlineLevel="0" collapsed="false">
      <c r="A6808" s="103"/>
      <c r="B6808" s="104"/>
      <c r="C6808" s="104"/>
      <c r="E6808" s="107" t="str">
        <f aca="false">IF($C6808="","",IFERROR(INDEX(المنيو!$C$2:$C$500,MATCH($C6808,المنيو!$B$2:$B$500,0)),0))</f>
        <v/>
      </c>
      <c r="F6808" s="107" t="str">
        <f aca="false">IF($C6808="","",$D6808*$E6808)</f>
        <v/>
      </c>
      <c r="G6808" s="107" t="str">
        <f aca="false">IF($C6808="","",$D6808*IFERROR(INDEX('تحليل التكلفة والسعر'!$C$2:$C$700,MATCH($C6808,'تحليل التكلفة والسعر'!$B$2:$B$700,0)),0))</f>
        <v/>
      </c>
    </row>
    <row r="6809" customFormat="false" ht="15" hidden="false" customHeight="false" outlineLevel="0" collapsed="false">
      <c r="A6809" s="103"/>
      <c r="B6809" s="104"/>
      <c r="C6809" s="104"/>
      <c r="E6809" s="107" t="str">
        <f aca="false">IF($C6809="","",IFERROR(INDEX(المنيو!$C$2:$C$500,MATCH($C6809,المنيو!$B$2:$B$500,0)),0))</f>
        <v/>
      </c>
      <c r="F6809" s="107" t="str">
        <f aca="false">IF($C6809="","",$D6809*$E6809)</f>
        <v/>
      </c>
      <c r="G6809" s="107" t="str">
        <f aca="false">IF($C6809="","",$D6809*IFERROR(INDEX('تحليل التكلفة والسعر'!$C$2:$C$700,MATCH($C6809,'تحليل التكلفة والسعر'!$B$2:$B$700,0)),0))</f>
        <v/>
      </c>
    </row>
    <row r="6810" customFormat="false" ht="15" hidden="false" customHeight="false" outlineLevel="0" collapsed="false">
      <c r="A6810" s="103"/>
      <c r="B6810" s="104"/>
      <c r="C6810" s="104"/>
      <c r="E6810" s="107" t="str">
        <f aca="false">IF($C6810="","",IFERROR(INDEX(المنيو!$C$2:$C$500,MATCH($C6810,المنيو!$B$2:$B$500,0)),0))</f>
        <v/>
      </c>
      <c r="F6810" s="107" t="str">
        <f aca="false">IF($C6810="","",$D6810*$E6810)</f>
        <v/>
      </c>
      <c r="G6810" s="107" t="str">
        <f aca="false">IF($C6810="","",$D6810*IFERROR(INDEX('تحليل التكلفة والسعر'!$C$2:$C$700,MATCH($C6810,'تحليل التكلفة والسعر'!$B$2:$B$700,0)),0))</f>
        <v/>
      </c>
    </row>
    <row r="6811" customFormat="false" ht="15" hidden="false" customHeight="false" outlineLevel="0" collapsed="false">
      <c r="A6811" s="103"/>
      <c r="B6811" s="104"/>
      <c r="C6811" s="104"/>
      <c r="E6811" s="107" t="str">
        <f aca="false">IF($C6811="","",IFERROR(INDEX(المنيو!$C$2:$C$500,MATCH($C6811,المنيو!$B$2:$B$500,0)),0))</f>
        <v/>
      </c>
      <c r="F6811" s="107" t="str">
        <f aca="false">IF($C6811="","",$D6811*$E6811)</f>
        <v/>
      </c>
      <c r="G6811" s="107" t="str">
        <f aca="false">IF($C6811="","",$D6811*IFERROR(INDEX('تحليل التكلفة والسعر'!$C$2:$C$700,MATCH($C6811,'تحليل التكلفة والسعر'!$B$2:$B$700,0)),0))</f>
        <v/>
      </c>
    </row>
    <row r="6812" customFormat="false" ht="15" hidden="false" customHeight="false" outlineLevel="0" collapsed="false">
      <c r="A6812" s="103"/>
      <c r="B6812" s="104"/>
      <c r="C6812" s="104"/>
      <c r="E6812" s="107" t="str">
        <f aca="false">IF($C6812="","",IFERROR(INDEX(المنيو!$C$2:$C$500,MATCH($C6812,المنيو!$B$2:$B$500,0)),0))</f>
        <v/>
      </c>
      <c r="F6812" s="107" t="str">
        <f aca="false">IF($C6812="","",$D6812*$E6812)</f>
        <v/>
      </c>
      <c r="G6812" s="107" t="str">
        <f aca="false">IF($C6812="","",$D6812*IFERROR(INDEX('تحليل التكلفة والسعر'!$C$2:$C$700,MATCH($C6812,'تحليل التكلفة والسعر'!$B$2:$B$700,0)),0))</f>
        <v/>
      </c>
    </row>
    <row r="6813" customFormat="false" ht="15" hidden="false" customHeight="false" outlineLevel="0" collapsed="false">
      <c r="A6813" s="103"/>
      <c r="B6813" s="104"/>
      <c r="C6813" s="104"/>
      <c r="E6813" s="107" t="str">
        <f aca="false">IF($C6813="","",IFERROR(INDEX(المنيو!$C$2:$C$500,MATCH($C6813,المنيو!$B$2:$B$500,0)),0))</f>
        <v/>
      </c>
      <c r="F6813" s="107" t="str">
        <f aca="false">IF($C6813="","",$D6813*$E6813)</f>
        <v/>
      </c>
      <c r="G6813" s="107" t="str">
        <f aca="false">IF($C6813="","",$D6813*IFERROR(INDEX('تحليل التكلفة والسعر'!$C$2:$C$700,MATCH($C6813,'تحليل التكلفة والسعر'!$B$2:$B$700,0)),0))</f>
        <v/>
      </c>
    </row>
    <row r="6814" customFormat="false" ht="15" hidden="false" customHeight="false" outlineLevel="0" collapsed="false">
      <c r="A6814" s="103"/>
      <c r="B6814" s="104"/>
      <c r="C6814" s="104"/>
      <c r="E6814" s="107" t="str">
        <f aca="false">IF($C6814="","",IFERROR(INDEX(المنيو!$C$2:$C$500,MATCH($C6814,المنيو!$B$2:$B$500,0)),0))</f>
        <v/>
      </c>
      <c r="F6814" s="107" t="str">
        <f aca="false">IF($C6814="","",$D6814*$E6814)</f>
        <v/>
      </c>
      <c r="G6814" s="107" t="str">
        <f aca="false">IF($C6814="","",$D6814*IFERROR(INDEX('تحليل التكلفة والسعر'!$C$2:$C$700,MATCH($C6814,'تحليل التكلفة والسعر'!$B$2:$B$700,0)),0))</f>
        <v/>
      </c>
    </row>
    <row r="6815" customFormat="false" ht="15" hidden="false" customHeight="false" outlineLevel="0" collapsed="false">
      <c r="A6815" s="103"/>
      <c r="B6815" s="104"/>
      <c r="C6815" s="104"/>
      <c r="E6815" s="107" t="str">
        <f aca="false">IF($C6815="","",IFERROR(INDEX(المنيو!$C$2:$C$500,MATCH($C6815,المنيو!$B$2:$B$500,0)),0))</f>
        <v/>
      </c>
      <c r="F6815" s="107" t="str">
        <f aca="false">IF($C6815="","",$D6815*$E6815)</f>
        <v/>
      </c>
      <c r="G6815" s="107" t="str">
        <f aca="false">IF($C6815="","",$D6815*IFERROR(INDEX('تحليل التكلفة والسعر'!$C$2:$C$700,MATCH($C6815,'تحليل التكلفة والسعر'!$B$2:$B$700,0)),0))</f>
        <v/>
      </c>
    </row>
    <row r="6816" customFormat="false" ht="15" hidden="false" customHeight="false" outlineLevel="0" collapsed="false">
      <c r="A6816" s="103"/>
      <c r="B6816" s="104"/>
      <c r="C6816" s="104"/>
      <c r="E6816" s="107" t="str">
        <f aca="false">IF($C6816="","",IFERROR(INDEX(المنيو!$C$2:$C$500,MATCH($C6816,المنيو!$B$2:$B$500,0)),0))</f>
        <v/>
      </c>
      <c r="F6816" s="107" t="str">
        <f aca="false">IF($C6816="","",$D6816*$E6816)</f>
        <v/>
      </c>
      <c r="G6816" s="107" t="str">
        <f aca="false">IF($C6816="","",$D6816*IFERROR(INDEX('تحليل التكلفة والسعر'!$C$2:$C$700,MATCH($C6816,'تحليل التكلفة والسعر'!$B$2:$B$700,0)),0))</f>
        <v/>
      </c>
    </row>
    <row r="6817" customFormat="false" ht="15" hidden="false" customHeight="false" outlineLevel="0" collapsed="false">
      <c r="A6817" s="103"/>
      <c r="B6817" s="104"/>
      <c r="C6817" s="104"/>
      <c r="E6817" s="107" t="str">
        <f aca="false">IF($C6817="","",IFERROR(INDEX(المنيو!$C$2:$C$500,MATCH($C6817,المنيو!$B$2:$B$500,0)),0))</f>
        <v/>
      </c>
      <c r="F6817" s="107" t="str">
        <f aca="false">IF($C6817="","",$D6817*$E6817)</f>
        <v/>
      </c>
      <c r="G6817" s="107" t="str">
        <f aca="false">IF($C6817="","",$D6817*IFERROR(INDEX('تحليل التكلفة والسعر'!$C$2:$C$700,MATCH($C6817,'تحليل التكلفة والسعر'!$B$2:$B$700,0)),0))</f>
        <v/>
      </c>
    </row>
    <row r="6818" customFormat="false" ht="15" hidden="false" customHeight="false" outlineLevel="0" collapsed="false">
      <c r="A6818" s="103"/>
      <c r="B6818" s="104"/>
      <c r="C6818" s="104"/>
      <c r="E6818" s="107" t="str">
        <f aca="false">IF($C6818="","",IFERROR(INDEX(المنيو!$C$2:$C$500,MATCH($C6818,المنيو!$B$2:$B$500,0)),0))</f>
        <v/>
      </c>
      <c r="F6818" s="107" t="str">
        <f aca="false">IF($C6818="","",$D6818*$E6818)</f>
        <v/>
      </c>
      <c r="G6818" s="107" t="str">
        <f aca="false">IF($C6818="","",$D6818*IFERROR(INDEX('تحليل التكلفة والسعر'!$C$2:$C$700,MATCH($C6818,'تحليل التكلفة والسعر'!$B$2:$B$700,0)),0))</f>
        <v/>
      </c>
    </row>
    <row r="6819" customFormat="false" ht="15" hidden="false" customHeight="false" outlineLevel="0" collapsed="false">
      <c r="A6819" s="103"/>
      <c r="B6819" s="104"/>
      <c r="C6819" s="104"/>
      <c r="E6819" s="107" t="str">
        <f aca="false">IF($C6819="","",IFERROR(INDEX(المنيو!$C$2:$C$500,MATCH($C6819,المنيو!$B$2:$B$500,0)),0))</f>
        <v/>
      </c>
      <c r="F6819" s="107" t="str">
        <f aca="false">IF($C6819="","",$D6819*$E6819)</f>
        <v/>
      </c>
      <c r="G6819" s="107" t="str">
        <f aca="false">IF($C6819="","",$D6819*IFERROR(INDEX('تحليل التكلفة والسعر'!$C$2:$C$700,MATCH($C6819,'تحليل التكلفة والسعر'!$B$2:$B$700,0)),0))</f>
        <v/>
      </c>
    </row>
    <row r="6820" customFormat="false" ht="15" hidden="false" customHeight="false" outlineLevel="0" collapsed="false">
      <c r="A6820" s="103"/>
      <c r="B6820" s="104"/>
      <c r="C6820" s="104"/>
      <c r="E6820" s="107" t="str">
        <f aca="false">IF($C6820="","",IFERROR(INDEX(المنيو!$C$2:$C$500,MATCH($C6820,المنيو!$B$2:$B$500,0)),0))</f>
        <v/>
      </c>
      <c r="F6820" s="107" t="str">
        <f aca="false">IF($C6820="","",$D6820*$E6820)</f>
        <v/>
      </c>
      <c r="G6820" s="107" t="str">
        <f aca="false">IF($C6820="","",$D6820*IFERROR(INDEX('تحليل التكلفة والسعر'!$C$2:$C$700,MATCH($C6820,'تحليل التكلفة والسعر'!$B$2:$B$700,0)),0))</f>
        <v/>
      </c>
    </row>
    <row r="6821" customFormat="false" ht="15" hidden="false" customHeight="false" outlineLevel="0" collapsed="false">
      <c r="A6821" s="103"/>
      <c r="B6821" s="104"/>
      <c r="C6821" s="104"/>
      <c r="E6821" s="107" t="str">
        <f aca="false">IF($C6821="","",IFERROR(INDEX(المنيو!$C$2:$C$500,MATCH($C6821,المنيو!$B$2:$B$500,0)),0))</f>
        <v/>
      </c>
      <c r="F6821" s="107" t="str">
        <f aca="false">IF($C6821="","",$D6821*$E6821)</f>
        <v/>
      </c>
      <c r="G6821" s="107" t="str">
        <f aca="false">IF($C6821="","",$D6821*IFERROR(INDEX('تحليل التكلفة والسعر'!$C$2:$C$700,MATCH($C6821,'تحليل التكلفة والسعر'!$B$2:$B$700,0)),0))</f>
        <v/>
      </c>
    </row>
    <row r="6822" customFormat="false" ht="15" hidden="false" customHeight="false" outlineLevel="0" collapsed="false">
      <c r="A6822" s="103"/>
      <c r="B6822" s="104"/>
      <c r="C6822" s="104"/>
      <c r="E6822" s="107" t="str">
        <f aca="false">IF($C6822="","",IFERROR(INDEX(المنيو!$C$2:$C$500,MATCH($C6822,المنيو!$B$2:$B$500,0)),0))</f>
        <v/>
      </c>
      <c r="F6822" s="107" t="str">
        <f aca="false">IF($C6822="","",$D6822*$E6822)</f>
        <v/>
      </c>
      <c r="G6822" s="107" t="str">
        <f aca="false">IF($C6822="","",$D6822*IFERROR(INDEX('تحليل التكلفة والسعر'!$C$2:$C$700,MATCH($C6822,'تحليل التكلفة والسعر'!$B$2:$B$700,0)),0))</f>
        <v/>
      </c>
    </row>
    <row r="6823" customFormat="false" ht="15" hidden="false" customHeight="false" outlineLevel="0" collapsed="false">
      <c r="A6823" s="103"/>
      <c r="B6823" s="104"/>
      <c r="C6823" s="104"/>
      <c r="E6823" s="107" t="str">
        <f aca="false">IF($C6823="","",IFERROR(INDEX(المنيو!$C$2:$C$500,MATCH($C6823,المنيو!$B$2:$B$500,0)),0))</f>
        <v/>
      </c>
      <c r="F6823" s="107" t="str">
        <f aca="false">IF($C6823="","",$D6823*$E6823)</f>
        <v/>
      </c>
      <c r="G6823" s="107" t="str">
        <f aca="false">IF($C6823="","",$D6823*IFERROR(INDEX('تحليل التكلفة والسعر'!$C$2:$C$700,MATCH($C6823,'تحليل التكلفة والسعر'!$B$2:$B$700,0)),0))</f>
        <v/>
      </c>
    </row>
    <row r="6824" customFormat="false" ht="15" hidden="false" customHeight="false" outlineLevel="0" collapsed="false">
      <c r="A6824" s="103"/>
      <c r="B6824" s="104"/>
      <c r="C6824" s="104"/>
      <c r="E6824" s="107" t="str">
        <f aca="false">IF($C6824="","",IFERROR(INDEX(المنيو!$C$2:$C$500,MATCH($C6824,المنيو!$B$2:$B$500,0)),0))</f>
        <v/>
      </c>
      <c r="F6824" s="107" t="str">
        <f aca="false">IF($C6824="","",$D6824*$E6824)</f>
        <v/>
      </c>
      <c r="G6824" s="107" t="str">
        <f aca="false">IF($C6824="","",$D6824*IFERROR(INDEX('تحليل التكلفة والسعر'!$C$2:$C$700,MATCH($C6824,'تحليل التكلفة والسعر'!$B$2:$B$700,0)),0))</f>
        <v/>
      </c>
    </row>
    <row r="6825" customFormat="false" ht="15" hidden="false" customHeight="false" outlineLevel="0" collapsed="false">
      <c r="A6825" s="103"/>
      <c r="B6825" s="104"/>
      <c r="C6825" s="104"/>
      <c r="E6825" s="107" t="str">
        <f aca="false">IF($C6825="","",IFERROR(INDEX(المنيو!$C$2:$C$500,MATCH($C6825,المنيو!$B$2:$B$500,0)),0))</f>
        <v/>
      </c>
      <c r="F6825" s="107" t="str">
        <f aca="false">IF($C6825="","",$D6825*$E6825)</f>
        <v/>
      </c>
      <c r="G6825" s="107" t="str">
        <f aca="false">IF($C6825="","",$D6825*IFERROR(INDEX('تحليل التكلفة والسعر'!$C$2:$C$700,MATCH($C6825,'تحليل التكلفة والسعر'!$B$2:$B$700,0)),0))</f>
        <v/>
      </c>
    </row>
    <row r="6826" customFormat="false" ht="15" hidden="false" customHeight="false" outlineLevel="0" collapsed="false">
      <c r="A6826" s="103"/>
      <c r="B6826" s="104"/>
      <c r="C6826" s="104"/>
      <c r="E6826" s="107" t="str">
        <f aca="false">IF($C6826="","",IFERROR(INDEX(المنيو!$C$2:$C$500,MATCH($C6826,المنيو!$B$2:$B$500,0)),0))</f>
        <v/>
      </c>
      <c r="F6826" s="107" t="str">
        <f aca="false">IF($C6826="","",$D6826*$E6826)</f>
        <v/>
      </c>
      <c r="G6826" s="107" t="str">
        <f aca="false">IF($C6826="","",$D6826*IFERROR(INDEX('تحليل التكلفة والسعر'!$C$2:$C$700,MATCH($C6826,'تحليل التكلفة والسعر'!$B$2:$B$700,0)),0))</f>
        <v/>
      </c>
    </row>
    <row r="6827" customFormat="false" ht="15" hidden="false" customHeight="false" outlineLevel="0" collapsed="false">
      <c r="A6827" s="103"/>
      <c r="B6827" s="104"/>
      <c r="C6827" s="104"/>
      <c r="E6827" s="107" t="str">
        <f aca="false">IF($C6827="","",IFERROR(INDEX(المنيو!$C$2:$C$500,MATCH($C6827,المنيو!$B$2:$B$500,0)),0))</f>
        <v/>
      </c>
      <c r="F6827" s="107" t="str">
        <f aca="false">IF($C6827="","",$D6827*$E6827)</f>
        <v/>
      </c>
      <c r="G6827" s="107" t="str">
        <f aca="false">IF($C6827="","",$D6827*IFERROR(INDEX('تحليل التكلفة والسعر'!$C$2:$C$700,MATCH($C6827,'تحليل التكلفة والسعر'!$B$2:$B$700,0)),0))</f>
        <v/>
      </c>
    </row>
    <row r="6828" customFormat="false" ht="15" hidden="false" customHeight="false" outlineLevel="0" collapsed="false">
      <c r="A6828" s="103"/>
      <c r="B6828" s="104"/>
      <c r="C6828" s="104"/>
      <c r="E6828" s="107" t="str">
        <f aca="false">IF($C6828="","",IFERROR(INDEX(المنيو!$C$2:$C$500,MATCH($C6828,المنيو!$B$2:$B$500,0)),0))</f>
        <v/>
      </c>
      <c r="F6828" s="107" t="str">
        <f aca="false">IF($C6828="","",$D6828*$E6828)</f>
        <v/>
      </c>
      <c r="G6828" s="107" t="str">
        <f aca="false">IF($C6828="","",$D6828*IFERROR(INDEX('تحليل التكلفة والسعر'!$C$2:$C$700,MATCH($C6828,'تحليل التكلفة والسعر'!$B$2:$B$700,0)),0))</f>
        <v/>
      </c>
    </row>
    <row r="6829" customFormat="false" ht="15" hidden="false" customHeight="false" outlineLevel="0" collapsed="false">
      <c r="A6829" s="103"/>
      <c r="B6829" s="104"/>
      <c r="C6829" s="104"/>
      <c r="E6829" s="107" t="str">
        <f aca="false">IF($C6829="","",IFERROR(INDEX(المنيو!$C$2:$C$500,MATCH($C6829,المنيو!$B$2:$B$500,0)),0))</f>
        <v/>
      </c>
      <c r="F6829" s="107" t="str">
        <f aca="false">IF($C6829="","",$D6829*$E6829)</f>
        <v/>
      </c>
      <c r="G6829" s="107" t="str">
        <f aca="false">IF($C6829="","",$D6829*IFERROR(INDEX('تحليل التكلفة والسعر'!$C$2:$C$700,MATCH($C6829,'تحليل التكلفة والسعر'!$B$2:$B$700,0)),0))</f>
        <v/>
      </c>
    </row>
    <row r="6830" customFormat="false" ht="15" hidden="false" customHeight="false" outlineLevel="0" collapsed="false">
      <c r="A6830" s="103"/>
      <c r="B6830" s="104"/>
      <c r="C6830" s="104"/>
      <c r="E6830" s="107" t="str">
        <f aca="false">IF($C6830="","",IFERROR(INDEX(المنيو!$C$2:$C$500,MATCH($C6830,المنيو!$B$2:$B$500,0)),0))</f>
        <v/>
      </c>
      <c r="F6830" s="107" t="str">
        <f aca="false">IF($C6830="","",$D6830*$E6830)</f>
        <v/>
      </c>
      <c r="G6830" s="107" t="str">
        <f aca="false">IF($C6830="","",$D6830*IFERROR(INDEX('تحليل التكلفة والسعر'!$C$2:$C$700,MATCH($C6830,'تحليل التكلفة والسعر'!$B$2:$B$700,0)),0))</f>
        <v/>
      </c>
    </row>
    <row r="6831" customFormat="false" ht="15" hidden="false" customHeight="false" outlineLevel="0" collapsed="false">
      <c r="A6831" s="103"/>
      <c r="B6831" s="104"/>
      <c r="C6831" s="104"/>
      <c r="E6831" s="107" t="str">
        <f aca="false">IF($C6831="","",IFERROR(INDEX(المنيو!$C$2:$C$500,MATCH($C6831,المنيو!$B$2:$B$500,0)),0))</f>
        <v/>
      </c>
      <c r="F6831" s="107" t="str">
        <f aca="false">IF($C6831="","",$D6831*$E6831)</f>
        <v/>
      </c>
      <c r="G6831" s="107" t="str">
        <f aca="false">IF($C6831="","",$D6831*IFERROR(INDEX('تحليل التكلفة والسعر'!$C$2:$C$700,MATCH($C6831,'تحليل التكلفة والسعر'!$B$2:$B$700,0)),0))</f>
        <v/>
      </c>
    </row>
    <row r="6832" customFormat="false" ht="15" hidden="false" customHeight="false" outlineLevel="0" collapsed="false">
      <c r="A6832" s="103"/>
      <c r="B6832" s="104"/>
      <c r="C6832" s="104"/>
      <c r="E6832" s="107" t="str">
        <f aca="false">IF($C6832="","",IFERROR(INDEX(المنيو!$C$2:$C$500,MATCH($C6832,المنيو!$B$2:$B$500,0)),0))</f>
        <v/>
      </c>
      <c r="F6832" s="107" t="str">
        <f aca="false">IF($C6832="","",$D6832*$E6832)</f>
        <v/>
      </c>
      <c r="G6832" s="107" t="str">
        <f aca="false">IF($C6832="","",$D6832*IFERROR(INDEX('تحليل التكلفة والسعر'!$C$2:$C$700,MATCH($C6832,'تحليل التكلفة والسعر'!$B$2:$B$700,0)),0))</f>
        <v/>
      </c>
    </row>
    <row r="6833" customFormat="false" ht="15" hidden="false" customHeight="false" outlineLevel="0" collapsed="false">
      <c r="A6833" s="103"/>
      <c r="B6833" s="104"/>
      <c r="C6833" s="104"/>
      <c r="E6833" s="107" t="str">
        <f aca="false">IF($C6833="","",IFERROR(INDEX(المنيو!$C$2:$C$500,MATCH($C6833,المنيو!$B$2:$B$500,0)),0))</f>
        <v/>
      </c>
      <c r="F6833" s="107" t="str">
        <f aca="false">IF($C6833="","",$D6833*$E6833)</f>
        <v/>
      </c>
      <c r="G6833" s="107" t="str">
        <f aca="false">IF($C6833="","",$D6833*IFERROR(INDEX('تحليل التكلفة والسعر'!$C$2:$C$700,MATCH($C6833,'تحليل التكلفة والسعر'!$B$2:$B$700,0)),0))</f>
        <v/>
      </c>
    </row>
    <row r="6834" customFormat="false" ht="15" hidden="false" customHeight="false" outlineLevel="0" collapsed="false">
      <c r="A6834" s="103"/>
      <c r="B6834" s="104"/>
      <c r="C6834" s="104"/>
      <c r="E6834" s="107" t="str">
        <f aca="false">IF($C6834="","",IFERROR(INDEX(المنيو!$C$2:$C$500,MATCH($C6834,المنيو!$B$2:$B$500,0)),0))</f>
        <v/>
      </c>
      <c r="F6834" s="107" t="str">
        <f aca="false">IF($C6834="","",$D6834*$E6834)</f>
        <v/>
      </c>
      <c r="G6834" s="107" t="str">
        <f aca="false">IF($C6834="","",$D6834*IFERROR(INDEX('تحليل التكلفة والسعر'!$C$2:$C$700,MATCH($C6834,'تحليل التكلفة والسعر'!$B$2:$B$700,0)),0))</f>
        <v/>
      </c>
    </row>
    <row r="6835" customFormat="false" ht="15" hidden="false" customHeight="false" outlineLevel="0" collapsed="false">
      <c r="A6835" s="103"/>
      <c r="B6835" s="104"/>
      <c r="C6835" s="104"/>
      <c r="E6835" s="107" t="str">
        <f aca="false">IF($C6835="","",IFERROR(INDEX(المنيو!$C$2:$C$500,MATCH($C6835,المنيو!$B$2:$B$500,0)),0))</f>
        <v/>
      </c>
      <c r="F6835" s="107" t="str">
        <f aca="false">IF($C6835="","",$D6835*$E6835)</f>
        <v/>
      </c>
      <c r="G6835" s="107" t="str">
        <f aca="false">IF($C6835="","",$D6835*IFERROR(INDEX('تحليل التكلفة والسعر'!$C$2:$C$700,MATCH($C6835,'تحليل التكلفة والسعر'!$B$2:$B$700,0)),0))</f>
        <v/>
      </c>
    </row>
    <row r="6836" customFormat="false" ht="15" hidden="false" customHeight="false" outlineLevel="0" collapsed="false">
      <c r="A6836" s="103"/>
      <c r="B6836" s="104"/>
      <c r="C6836" s="104"/>
      <c r="E6836" s="107" t="str">
        <f aca="false">IF($C6836="","",IFERROR(INDEX(المنيو!$C$2:$C$500,MATCH($C6836,المنيو!$B$2:$B$500,0)),0))</f>
        <v/>
      </c>
      <c r="F6836" s="107" t="str">
        <f aca="false">IF($C6836="","",$D6836*$E6836)</f>
        <v/>
      </c>
      <c r="G6836" s="107" t="str">
        <f aca="false">IF($C6836="","",$D6836*IFERROR(INDEX('تحليل التكلفة والسعر'!$C$2:$C$700,MATCH($C6836,'تحليل التكلفة والسعر'!$B$2:$B$700,0)),0))</f>
        <v/>
      </c>
    </row>
    <row r="6837" customFormat="false" ht="15" hidden="false" customHeight="false" outlineLevel="0" collapsed="false">
      <c r="A6837" s="103"/>
      <c r="B6837" s="104"/>
      <c r="C6837" s="104"/>
      <c r="E6837" s="107" t="str">
        <f aca="false">IF($C6837="","",IFERROR(INDEX(المنيو!$C$2:$C$500,MATCH($C6837,المنيو!$B$2:$B$500,0)),0))</f>
        <v/>
      </c>
      <c r="F6837" s="107" t="str">
        <f aca="false">IF($C6837="","",$D6837*$E6837)</f>
        <v/>
      </c>
      <c r="G6837" s="107" t="str">
        <f aca="false">IF($C6837="","",$D6837*IFERROR(INDEX('تحليل التكلفة والسعر'!$C$2:$C$700,MATCH($C6837,'تحليل التكلفة والسعر'!$B$2:$B$700,0)),0))</f>
        <v/>
      </c>
    </row>
    <row r="6838" customFormat="false" ht="15" hidden="false" customHeight="false" outlineLevel="0" collapsed="false">
      <c r="A6838" s="103"/>
      <c r="B6838" s="104"/>
      <c r="C6838" s="104"/>
      <c r="E6838" s="107" t="str">
        <f aca="false">IF($C6838="","",IFERROR(INDEX(المنيو!$C$2:$C$500,MATCH($C6838,المنيو!$B$2:$B$500,0)),0))</f>
        <v/>
      </c>
      <c r="F6838" s="107" t="str">
        <f aca="false">IF($C6838="","",$D6838*$E6838)</f>
        <v/>
      </c>
      <c r="G6838" s="107" t="str">
        <f aca="false">IF($C6838="","",$D6838*IFERROR(INDEX('تحليل التكلفة والسعر'!$C$2:$C$700,MATCH($C6838,'تحليل التكلفة والسعر'!$B$2:$B$700,0)),0))</f>
        <v/>
      </c>
    </row>
    <row r="6839" customFormat="false" ht="15" hidden="false" customHeight="false" outlineLevel="0" collapsed="false">
      <c r="A6839" s="103"/>
      <c r="B6839" s="104"/>
      <c r="C6839" s="104"/>
      <c r="E6839" s="107" t="str">
        <f aca="false">IF($C6839="","",IFERROR(INDEX(المنيو!$C$2:$C$500,MATCH($C6839,المنيو!$B$2:$B$500,0)),0))</f>
        <v/>
      </c>
      <c r="F6839" s="107" t="str">
        <f aca="false">IF($C6839="","",$D6839*$E6839)</f>
        <v/>
      </c>
      <c r="G6839" s="107" t="str">
        <f aca="false">IF($C6839="","",$D6839*IFERROR(INDEX('تحليل التكلفة والسعر'!$C$2:$C$700,MATCH($C6839,'تحليل التكلفة والسعر'!$B$2:$B$700,0)),0))</f>
        <v/>
      </c>
    </row>
    <row r="6840" customFormat="false" ht="15" hidden="false" customHeight="false" outlineLevel="0" collapsed="false">
      <c r="A6840" s="103"/>
      <c r="B6840" s="104"/>
      <c r="C6840" s="104"/>
      <c r="E6840" s="107" t="str">
        <f aca="false">IF($C6840="","",IFERROR(INDEX(المنيو!$C$2:$C$500,MATCH($C6840,المنيو!$B$2:$B$500,0)),0))</f>
        <v/>
      </c>
      <c r="F6840" s="107" t="str">
        <f aca="false">IF($C6840="","",$D6840*$E6840)</f>
        <v/>
      </c>
      <c r="G6840" s="107" t="str">
        <f aca="false">IF($C6840="","",$D6840*IFERROR(INDEX('تحليل التكلفة والسعر'!$C$2:$C$700,MATCH($C6840,'تحليل التكلفة والسعر'!$B$2:$B$700,0)),0))</f>
        <v/>
      </c>
    </row>
    <row r="6841" customFormat="false" ht="15" hidden="false" customHeight="false" outlineLevel="0" collapsed="false">
      <c r="A6841" s="103"/>
      <c r="B6841" s="104"/>
      <c r="C6841" s="104"/>
      <c r="E6841" s="107" t="str">
        <f aca="false">IF($C6841="","",IFERROR(INDEX(المنيو!$C$2:$C$500,MATCH($C6841,المنيو!$B$2:$B$500,0)),0))</f>
        <v/>
      </c>
      <c r="F6841" s="107" t="str">
        <f aca="false">IF($C6841="","",$D6841*$E6841)</f>
        <v/>
      </c>
      <c r="G6841" s="107" t="str">
        <f aca="false">IF($C6841="","",$D6841*IFERROR(INDEX('تحليل التكلفة والسعر'!$C$2:$C$700,MATCH($C6841,'تحليل التكلفة والسعر'!$B$2:$B$700,0)),0))</f>
        <v/>
      </c>
    </row>
    <row r="6842" customFormat="false" ht="15" hidden="false" customHeight="false" outlineLevel="0" collapsed="false">
      <c r="A6842" s="103"/>
      <c r="B6842" s="104"/>
      <c r="C6842" s="104"/>
      <c r="E6842" s="107" t="str">
        <f aca="false">IF($C6842="","",IFERROR(INDEX(المنيو!$C$2:$C$500,MATCH($C6842,المنيو!$B$2:$B$500,0)),0))</f>
        <v/>
      </c>
      <c r="F6842" s="107" t="str">
        <f aca="false">IF($C6842="","",$D6842*$E6842)</f>
        <v/>
      </c>
      <c r="G6842" s="107" t="str">
        <f aca="false">IF($C6842="","",$D6842*IFERROR(INDEX('تحليل التكلفة والسعر'!$C$2:$C$700,MATCH($C6842,'تحليل التكلفة والسعر'!$B$2:$B$700,0)),0))</f>
        <v/>
      </c>
    </row>
    <row r="6843" customFormat="false" ht="15" hidden="false" customHeight="false" outlineLevel="0" collapsed="false">
      <c r="A6843" s="103"/>
      <c r="B6843" s="104"/>
      <c r="C6843" s="104"/>
      <c r="E6843" s="107" t="str">
        <f aca="false">IF($C6843="","",IFERROR(INDEX(المنيو!$C$2:$C$500,MATCH($C6843,المنيو!$B$2:$B$500,0)),0))</f>
        <v/>
      </c>
      <c r="F6843" s="107" t="str">
        <f aca="false">IF($C6843="","",$D6843*$E6843)</f>
        <v/>
      </c>
      <c r="G6843" s="107" t="str">
        <f aca="false">IF($C6843="","",$D6843*IFERROR(INDEX('تحليل التكلفة والسعر'!$C$2:$C$700,MATCH($C6843,'تحليل التكلفة والسعر'!$B$2:$B$700,0)),0))</f>
        <v/>
      </c>
    </row>
    <row r="6844" customFormat="false" ht="15" hidden="false" customHeight="false" outlineLevel="0" collapsed="false">
      <c r="A6844" s="103"/>
      <c r="B6844" s="104"/>
      <c r="C6844" s="104"/>
      <c r="E6844" s="107" t="str">
        <f aca="false">IF($C6844="","",IFERROR(INDEX(المنيو!$C$2:$C$500,MATCH($C6844,المنيو!$B$2:$B$500,0)),0))</f>
        <v/>
      </c>
      <c r="F6844" s="107" t="str">
        <f aca="false">IF($C6844="","",$D6844*$E6844)</f>
        <v/>
      </c>
      <c r="G6844" s="107" t="str">
        <f aca="false">IF($C6844="","",$D6844*IFERROR(INDEX('تحليل التكلفة والسعر'!$C$2:$C$700,MATCH($C6844,'تحليل التكلفة والسعر'!$B$2:$B$700,0)),0))</f>
        <v/>
      </c>
    </row>
    <row r="6845" customFormat="false" ht="15" hidden="false" customHeight="false" outlineLevel="0" collapsed="false">
      <c r="A6845" s="103"/>
      <c r="B6845" s="104"/>
      <c r="C6845" s="104"/>
      <c r="E6845" s="107" t="str">
        <f aca="false">IF($C6845="","",IFERROR(INDEX(المنيو!$C$2:$C$500,MATCH($C6845,المنيو!$B$2:$B$500,0)),0))</f>
        <v/>
      </c>
      <c r="F6845" s="107" t="str">
        <f aca="false">IF($C6845="","",$D6845*$E6845)</f>
        <v/>
      </c>
      <c r="G6845" s="107" t="str">
        <f aca="false">IF($C6845="","",$D6845*IFERROR(INDEX('تحليل التكلفة والسعر'!$C$2:$C$700,MATCH($C6845,'تحليل التكلفة والسعر'!$B$2:$B$700,0)),0))</f>
        <v/>
      </c>
    </row>
    <row r="6846" customFormat="false" ht="15" hidden="false" customHeight="false" outlineLevel="0" collapsed="false">
      <c r="A6846" s="103"/>
      <c r="B6846" s="104"/>
      <c r="C6846" s="104"/>
      <c r="E6846" s="107" t="str">
        <f aca="false">IF($C6846="","",IFERROR(INDEX(المنيو!$C$2:$C$500,MATCH($C6846,المنيو!$B$2:$B$500,0)),0))</f>
        <v/>
      </c>
      <c r="F6846" s="107" t="str">
        <f aca="false">IF($C6846="","",$D6846*$E6846)</f>
        <v/>
      </c>
      <c r="G6846" s="107" t="str">
        <f aca="false">IF($C6846="","",$D6846*IFERROR(INDEX('تحليل التكلفة والسعر'!$C$2:$C$700,MATCH($C6846,'تحليل التكلفة والسعر'!$B$2:$B$700,0)),0))</f>
        <v/>
      </c>
    </row>
    <row r="6847" customFormat="false" ht="15" hidden="false" customHeight="false" outlineLevel="0" collapsed="false">
      <c r="A6847" s="103"/>
      <c r="B6847" s="104"/>
      <c r="C6847" s="104"/>
      <c r="E6847" s="107" t="str">
        <f aca="false">IF($C6847="","",IFERROR(INDEX(المنيو!$C$2:$C$500,MATCH($C6847,المنيو!$B$2:$B$500,0)),0))</f>
        <v/>
      </c>
      <c r="F6847" s="107" t="str">
        <f aca="false">IF($C6847="","",$D6847*$E6847)</f>
        <v/>
      </c>
      <c r="G6847" s="107" t="str">
        <f aca="false">IF($C6847="","",$D6847*IFERROR(INDEX('تحليل التكلفة والسعر'!$C$2:$C$700,MATCH($C6847,'تحليل التكلفة والسعر'!$B$2:$B$700,0)),0))</f>
        <v/>
      </c>
    </row>
    <row r="6848" customFormat="false" ht="15" hidden="false" customHeight="false" outlineLevel="0" collapsed="false">
      <c r="A6848" s="103"/>
      <c r="B6848" s="104"/>
      <c r="C6848" s="104"/>
      <c r="E6848" s="107" t="str">
        <f aca="false">IF($C6848="","",IFERROR(INDEX(المنيو!$C$2:$C$500,MATCH($C6848,المنيو!$B$2:$B$500,0)),0))</f>
        <v/>
      </c>
      <c r="F6848" s="107" t="str">
        <f aca="false">IF($C6848="","",$D6848*$E6848)</f>
        <v/>
      </c>
      <c r="G6848" s="107" t="str">
        <f aca="false">IF($C6848="","",$D6848*IFERROR(INDEX('تحليل التكلفة والسعر'!$C$2:$C$700,MATCH($C6848,'تحليل التكلفة والسعر'!$B$2:$B$700,0)),0))</f>
        <v/>
      </c>
    </row>
    <row r="6849" customFormat="false" ht="15" hidden="false" customHeight="false" outlineLevel="0" collapsed="false">
      <c r="A6849" s="103"/>
      <c r="B6849" s="104"/>
      <c r="C6849" s="104"/>
      <c r="E6849" s="107" t="str">
        <f aca="false">IF($C6849="","",IFERROR(INDEX(المنيو!$C$2:$C$500,MATCH($C6849,المنيو!$B$2:$B$500,0)),0))</f>
        <v/>
      </c>
      <c r="F6849" s="107" t="str">
        <f aca="false">IF($C6849="","",$D6849*$E6849)</f>
        <v/>
      </c>
      <c r="G6849" s="107" t="str">
        <f aca="false">IF($C6849="","",$D6849*IFERROR(INDEX('تحليل التكلفة والسعر'!$C$2:$C$700,MATCH($C6849,'تحليل التكلفة والسعر'!$B$2:$B$700,0)),0))</f>
        <v/>
      </c>
    </row>
    <row r="6850" customFormat="false" ht="15" hidden="false" customHeight="false" outlineLevel="0" collapsed="false">
      <c r="A6850" s="103"/>
      <c r="B6850" s="104"/>
      <c r="C6850" s="104"/>
      <c r="E6850" s="107" t="str">
        <f aca="false">IF($C6850="","",IFERROR(INDEX(المنيو!$C$2:$C$500,MATCH($C6850,المنيو!$B$2:$B$500,0)),0))</f>
        <v/>
      </c>
      <c r="F6850" s="107" t="str">
        <f aca="false">IF($C6850="","",$D6850*$E6850)</f>
        <v/>
      </c>
      <c r="G6850" s="107" t="str">
        <f aca="false">IF($C6850="","",$D6850*IFERROR(INDEX('تحليل التكلفة والسعر'!$C$2:$C$700,MATCH($C6850,'تحليل التكلفة والسعر'!$B$2:$B$700,0)),0))</f>
        <v/>
      </c>
    </row>
    <row r="6851" customFormat="false" ht="15" hidden="false" customHeight="false" outlineLevel="0" collapsed="false">
      <c r="A6851" s="103"/>
      <c r="B6851" s="104"/>
      <c r="C6851" s="104"/>
      <c r="E6851" s="107" t="str">
        <f aca="false">IF($C6851="","",IFERROR(INDEX(المنيو!$C$2:$C$500,MATCH($C6851,المنيو!$B$2:$B$500,0)),0))</f>
        <v/>
      </c>
      <c r="F6851" s="107" t="str">
        <f aca="false">IF($C6851="","",$D6851*$E6851)</f>
        <v/>
      </c>
      <c r="G6851" s="107" t="str">
        <f aca="false">IF($C6851="","",$D6851*IFERROR(INDEX('تحليل التكلفة والسعر'!$C$2:$C$700,MATCH($C6851,'تحليل التكلفة والسعر'!$B$2:$B$700,0)),0))</f>
        <v/>
      </c>
    </row>
    <row r="6852" customFormat="false" ht="15" hidden="false" customHeight="false" outlineLevel="0" collapsed="false">
      <c r="A6852" s="103"/>
      <c r="B6852" s="104"/>
      <c r="C6852" s="104"/>
      <c r="E6852" s="107" t="str">
        <f aca="false">IF($C6852="","",IFERROR(INDEX(المنيو!$C$2:$C$500,MATCH($C6852,المنيو!$B$2:$B$500,0)),0))</f>
        <v/>
      </c>
      <c r="F6852" s="107" t="str">
        <f aca="false">IF($C6852="","",$D6852*$E6852)</f>
        <v/>
      </c>
      <c r="G6852" s="107" t="str">
        <f aca="false">IF($C6852="","",$D6852*IFERROR(INDEX('تحليل التكلفة والسعر'!$C$2:$C$700,MATCH($C6852,'تحليل التكلفة والسعر'!$B$2:$B$700,0)),0))</f>
        <v/>
      </c>
    </row>
    <row r="6853" customFormat="false" ht="15" hidden="false" customHeight="false" outlineLevel="0" collapsed="false">
      <c r="A6853" s="103"/>
      <c r="B6853" s="104"/>
      <c r="C6853" s="104"/>
      <c r="E6853" s="107" t="str">
        <f aca="false">IF($C6853="","",IFERROR(INDEX(المنيو!$C$2:$C$500,MATCH($C6853,المنيو!$B$2:$B$500,0)),0))</f>
        <v/>
      </c>
      <c r="F6853" s="107" t="str">
        <f aca="false">IF($C6853="","",$D6853*$E6853)</f>
        <v/>
      </c>
      <c r="G6853" s="107" t="str">
        <f aca="false">IF($C6853="","",$D6853*IFERROR(INDEX('تحليل التكلفة والسعر'!$C$2:$C$700,MATCH($C6853,'تحليل التكلفة والسعر'!$B$2:$B$700,0)),0))</f>
        <v/>
      </c>
    </row>
    <row r="6854" customFormat="false" ht="15" hidden="false" customHeight="false" outlineLevel="0" collapsed="false">
      <c r="A6854" s="103"/>
      <c r="B6854" s="104"/>
      <c r="C6854" s="104"/>
      <c r="E6854" s="107" t="str">
        <f aca="false">IF($C6854="","",IFERROR(INDEX(المنيو!$C$2:$C$500,MATCH($C6854,المنيو!$B$2:$B$500,0)),0))</f>
        <v/>
      </c>
      <c r="F6854" s="107" t="str">
        <f aca="false">IF($C6854="","",$D6854*$E6854)</f>
        <v/>
      </c>
      <c r="G6854" s="107" t="str">
        <f aca="false">IF($C6854="","",$D6854*IFERROR(INDEX('تحليل التكلفة والسعر'!$C$2:$C$700,MATCH($C6854,'تحليل التكلفة والسعر'!$B$2:$B$700,0)),0))</f>
        <v/>
      </c>
    </row>
    <row r="6855" customFormat="false" ht="15" hidden="false" customHeight="false" outlineLevel="0" collapsed="false">
      <c r="A6855" s="103"/>
      <c r="B6855" s="104"/>
      <c r="C6855" s="104"/>
      <c r="E6855" s="107" t="str">
        <f aca="false">IF($C6855="","",IFERROR(INDEX(المنيو!$C$2:$C$500,MATCH($C6855,المنيو!$B$2:$B$500,0)),0))</f>
        <v/>
      </c>
      <c r="F6855" s="107" t="str">
        <f aca="false">IF($C6855="","",$D6855*$E6855)</f>
        <v/>
      </c>
      <c r="G6855" s="107" t="str">
        <f aca="false">IF($C6855="","",$D6855*IFERROR(INDEX('تحليل التكلفة والسعر'!$C$2:$C$700,MATCH($C6855,'تحليل التكلفة والسعر'!$B$2:$B$700,0)),0))</f>
        <v/>
      </c>
    </row>
    <row r="6856" customFormat="false" ht="15" hidden="false" customHeight="false" outlineLevel="0" collapsed="false">
      <c r="A6856" s="103"/>
      <c r="B6856" s="104"/>
      <c r="C6856" s="104"/>
      <c r="E6856" s="107" t="str">
        <f aca="false">IF($C6856="","",IFERROR(INDEX(المنيو!$C$2:$C$500,MATCH($C6856,المنيو!$B$2:$B$500,0)),0))</f>
        <v/>
      </c>
      <c r="F6856" s="107" t="str">
        <f aca="false">IF($C6856="","",$D6856*$E6856)</f>
        <v/>
      </c>
      <c r="G6856" s="107" t="str">
        <f aca="false">IF($C6856="","",$D6856*IFERROR(INDEX('تحليل التكلفة والسعر'!$C$2:$C$700,MATCH($C6856,'تحليل التكلفة والسعر'!$B$2:$B$700,0)),0))</f>
        <v/>
      </c>
    </row>
    <row r="6857" customFormat="false" ht="15" hidden="false" customHeight="false" outlineLevel="0" collapsed="false">
      <c r="A6857" s="103"/>
      <c r="B6857" s="104"/>
      <c r="C6857" s="104"/>
      <c r="E6857" s="107" t="str">
        <f aca="false">IF($C6857="","",IFERROR(INDEX(المنيو!$C$2:$C$500,MATCH($C6857,المنيو!$B$2:$B$500,0)),0))</f>
        <v/>
      </c>
      <c r="F6857" s="107" t="str">
        <f aca="false">IF($C6857="","",$D6857*$E6857)</f>
        <v/>
      </c>
      <c r="G6857" s="107" t="str">
        <f aca="false">IF($C6857="","",$D6857*IFERROR(INDEX('تحليل التكلفة والسعر'!$C$2:$C$700,MATCH($C6857,'تحليل التكلفة والسعر'!$B$2:$B$700,0)),0))</f>
        <v/>
      </c>
    </row>
    <row r="6858" customFormat="false" ht="15" hidden="false" customHeight="false" outlineLevel="0" collapsed="false">
      <c r="A6858" s="103"/>
      <c r="B6858" s="104"/>
      <c r="C6858" s="104"/>
      <c r="E6858" s="107" t="str">
        <f aca="false">IF($C6858="","",IFERROR(INDEX(المنيو!$C$2:$C$500,MATCH($C6858,المنيو!$B$2:$B$500,0)),0))</f>
        <v/>
      </c>
      <c r="F6858" s="107" t="str">
        <f aca="false">IF($C6858="","",$D6858*$E6858)</f>
        <v/>
      </c>
      <c r="G6858" s="107" t="str">
        <f aca="false">IF($C6858="","",$D6858*IFERROR(INDEX('تحليل التكلفة والسعر'!$C$2:$C$700,MATCH($C6858,'تحليل التكلفة والسعر'!$B$2:$B$700,0)),0))</f>
        <v/>
      </c>
    </row>
    <row r="6859" customFormat="false" ht="15" hidden="false" customHeight="false" outlineLevel="0" collapsed="false">
      <c r="A6859" s="103"/>
      <c r="B6859" s="104"/>
      <c r="C6859" s="104"/>
      <c r="E6859" s="107" t="str">
        <f aca="false">IF($C6859="","",IFERROR(INDEX(المنيو!$C$2:$C$500,MATCH($C6859,المنيو!$B$2:$B$500,0)),0))</f>
        <v/>
      </c>
      <c r="F6859" s="107" t="str">
        <f aca="false">IF($C6859="","",$D6859*$E6859)</f>
        <v/>
      </c>
      <c r="G6859" s="107" t="str">
        <f aca="false">IF($C6859="","",$D6859*IFERROR(INDEX('تحليل التكلفة والسعر'!$C$2:$C$700,MATCH($C6859,'تحليل التكلفة والسعر'!$B$2:$B$700,0)),0))</f>
        <v/>
      </c>
    </row>
    <row r="6860" customFormat="false" ht="15" hidden="false" customHeight="false" outlineLevel="0" collapsed="false">
      <c r="A6860" s="103"/>
      <c r="B6860" s="104"/>
      <c r="C6860" s="104"/>
      <c r="E6860" s="107" t="str">
        <f aca="false">IF($C6860="","",IFERROR(INDEX(المنيو!$C$2:$C$500,MATCH($C6860,المنيو!$B$2:$B$500,0)),0))</f>
        <v/>
      </c>
      <c r="F6860" s="107" t="str">
        <f aca="false">IF($C6860="","",$D6860*$E6860)</f>
        <v/>
      </c>
      <c r="G6860" s="107" t="str">
        <f aca="false">IF($C6860="","",$D6860*IFERROR(INDEX('تحليل التكلفة والسعر'!$C$2:$C$700,MATCH($C6860,'تحليل التكلفة والسعر'!$B$2:$B$700,0)),0))</f>
        <v/>
      </c>
    </row>
    <row r="6861" customFormat="false" ht="15" hidden="false" customHeight="false" outlineLevel="0" collapsed="false">
      <c r="A6861" s="103"/>
      <c r="B6861" s="104"/>
      <c r="C6861" s="104"/>
      <c r="E6861" s="107" t="str">
        <f aca="false">IF($C6861="","",IFERROR(INDEX(المنيو!$C$2:$C$500,MATCH($C6861,المنيو!$B$2:$B$500,0)),0))</f>
        <v/>
      </c>
      <c r="F6861" s="107" t="str">
        <f aca="false">IF($C6861="","",$D6861*$E6861)</f>
        <v/>
      </c>
      <c r="G6861" s="107" t="str">
        <f aca="false">IF($C6861="","",$D6861*IFERROR(INDEX('تحليل التكلفة والسعر'!$C$2:$C$700,MATCH($C6861,'تحليل التكلفة والسعر'!$B$2:$B$700,0)),0))</f>
        <v/>
      </c>
    </row>
    <row r="6862" customFormat="false" ht="15" hidden="false" customHeight="false" outlineLevel="0" collapsed="false">
      <c r="A6862" s="103"/>
      <c r="B6862" s="104"/>
      <c r="C6862" s="104"/>
      <c r="E6862" s="107" t="str">
        <f aca="false">IF($C6862="","",IFERROR(INDEX(المنيو!$C$2:$C$500,MATCH($C6862,المنيو!$B$2:$B$500,0)),0))</f>
        <v/>
      </c>
      <c r="F6862" s="107" t="str">
        <f aca="false">IF($C6862="","",$D6862*$E6862)</f>
        <v/>
      </c>
      <c r="G6862" s="107" t="str">
        <f aca="false">IF($C6862="","",$D6862*IFERROR(INDEX('تحليل التكلفة والسعر'!$C$2:$C$700,MATCH($C6862,'تحليل التكلفة والسعر'!$B$2:$B$700,0)),0))</f>
        <v/>
      </c>
    </row>
    <row r="6863" customFormat="false" ht="15" hidden="false" customHeight="false" outlineLevel="0" collapsed="false">
      <c r="A6863" s="103"/>
      <c r="B6863" s="104"/>
      <c r="C6863" s="104"/>
      <c r="E6863" s="107" t="str">
        <f aca="false">IF($C6863="","",IFERROR(INDEX(المنيو!$C$2:$C$500,MATCH($C6863,المنيو!$B$2:$B$500,0)),0))</f>
        <v/>
      </c>
      <c r="F6863" s="107" t="str">
        <f aca="false">IF($C6863="","",$D6863*$E6863)</f>
        <v/>
      </c>
      <c r="G6863" s="107" t="str">
        <f aca="false">IF($C6863="","",$D6863*IFERROR(INDEX('تحليل التكلفة والسعر'!$C$2:$C$700,MATCH($C6863,'تحليل التكلفة والسعر'!$B$2:$B$700,0)),0))</f>
        <v/>
      </c>
    </row>
    <row r="6864" customFormat="false" ht="15" hidden="false" customHeight="false" outlineLevel="0" collapsed="false">
      <c r="A6864" s="103"/>
      <c r="B6864" s="104"/>
      <c r="C6864" s="104"/>
      <c r="E6864" s="107" t="str">
        <f aca="false">IF($C6864="","",IFERROR(INDEX(المنيو!$C$2:$C$500,MATCH($C6864,المنيو!$B$2:$B$500,0)),0))</f>
        <v/>
      </c>
      <c r="F6864" s="107" t="str">
        <f aca="false">IF($C6864="","",$D6864*$E6864)</f>
        <v/>
      </c>
      <c r="G6864" s="107" t="str">
        <f aca="false">IF($C6864="","",$D6864*IFERROR(INDEX('تحليل التكلفة والسعر'!$C$2:$C$700,MATCH($C6864,'تحليل التكلفة والسعر'!$B$2:$B$700,0)),0))</f>
        <v/>
      </c>
    </row>
    <row r="6865" customFormat="false" ht="15" hidden="false" customHeight="false" outlineLevel="0" collapsed="false">
      <c r="A6865" s="103"/>
      <c r="B6865" s="104"/>
      <c r="C6865" s="104"/>
      <c r="E6865" s="107" t="str">
        <f aca="false">IF($C6865="","",IFERROR(INDEX(المنيو!$C$2:$C$500,MATCH($C6865,المنيو!$B$2:$B$500,0)),0))</f>
        <v/>
      </c>
      <c r="F6865" s="107" t="str">
        <f aca="false">IF($C6865="","",$D6865*$E6865)</f>
        <v/>
      </c>
      <c r="G6865" s="107" t="str">
        <f aca="false">IF($C6865="","",$D6865*IFERROR(INDEX('تحليل التكلفة والسعر'!$C$2:$C$700,MATCH($C6865,'تحليل التكلفة والسعر'!$B$2:$B$700,0)),0))</f>
        <v/>
      </c>
    </row>
    <row r="6866" customFormat="false" ht="15" hidden="false" customHeight="false" outlineLevel="0" collapsed="false">
      <c r="A6866" s="103"/>
      <c r="B6866" s="104"/>
      <c r="C6866" s="104"/>
      <c r="E6866" s="107" t="str">
        <f aca="false">IF($C6866="","",IFERROR(INDEX(المنيو!$C$2:$C$500,MATCH($C6866,المنيو!$B$2:$B$500,0)),0))</f>
        <v/>
      </c>
      <c r="F6866" s="107" t="str">
        <f aca="false">IF($C6866="","",$D6866*$E6866)</f>
        <v/>
      </c>
      <c r="G6866" s="107" t="str">
        <f aca="false">IF($C6866="","",$D6866*IFERROR(INDEX('تحليل التكلفة والسعر'!$C$2:$C$700,MATCH($C6866,'تحليل التكلفة والسعر'!$B$2:$B$700,0)),0))</f>
        <v/>
      </c>
    </row>
    <row r="6867" customFormat="false" ht="15" hidden="false" customHeight="false" outlineLevel="0" collapsed="false">
      <c r="A6867" s="103"/>
      <c r="B6867" s="104"/>
      <c r="C6867" s="104"/>
      <c r="E6867" s="107" t="str">
        <f aca="false">IF($C6867="","",IFERROR(INDEX(المنيو!$C$2:$C$500,MATCH($C6867,المنيو!$B$2:$B$500,0)),0))</f>
        <v/>
      </c>
      <c r="F6867" s="107" t="str">
        <f aca="false">IF($C6867="","",$D6867*$E6867)</f>
        <v/>
      </c>
      <c r="G6867" s="107" t="str">
        <f aca="false">IF($C6867="","",$D6867*IFERROR(INDEX('تحليل التكلفة والسعر'!$C$2:$C$700,MATCH($C6867,'تحليل التكلفة والسعر'!$B$2:$B$700,0)),0))</f>
        <v/>
      </c>
    </row>
    <row r="6868" customFormat="false" ht="15" hidden="false" customHeight="false" outlineLevel="0" collapsed="false">
      <c r="A6868" s="103"/>
      <c r="B6868" s="104"/>
      <c r="C6868" s="104"/>
      <c r="E6868" s="107" t="str">
        <f aca="false">IF($C6868="","",IFERROR(INDEX(المنيو!$C$2:$C$500,MATCH($C6868,المنيو!$B$2:$B$500,0)),0))</f>
        <v/>
      </c>
      <c r="F6868" s="107" t="str">
        <f aca="false">IF($C6868="","",$D6868*$E6868)</f>
        <v/>
      </c>
      <c r="G6868" s="107" t="str">
        <f aca="false">IF($C6868="","",$D6868*IFERROR(INDEX('تحليل التكلفة والسعر'!$C$2:$C$700,MATCH($C6868,'تحليل التكلفة والسعر'!$B$2:$B$700,0)),0))</f>
        <v/>
      </c>
    </row>
    <row r="6869" customFormat="false" ht="15" hidden="false" customHeight="false" outlineLevel="0" collapsed="false">
      <c r="A6869" s="103"/>
      <c r="B6869" s="104"/>
      <c r="C6869" s="104"/>
      <c r="E6869" s="107" t="str">
        <f aca="false">IF($C6869="","",IFERROR(INDEX(المنيو!$C$2:$C$500,MATCH($C6869,المنيو!$B$2:$B$500,0)),0))</f>
        <v/>
      </c>
      <c r="F6869" s="107" t="str">
        <f aca="false">IF($C6869="","",$D6869*$E6869)</f>
        <v/>
      </c>
      <c r="G6869" s="107" t="str">
        <f aca="false">IF($C6869="","",$D6869*IFERROR(INDEX('تحليل التكلفة والسعر'!$C$2:$C$700,MATCH($C6869,'تحليل التكلفة والسعر'!$B$2:$B$700,0)),0))</f>
        <v/>
      </c>
    </row>
    <row r="6870" customFormat="false" ht="15" hidden="false" customHeight="false" outlineLevel="0" collapsed="false">
      <c r="A6870" s="103"/>
      <c r="B6870" s="104"/>
      <c r="C6870" s="104"/>
      <c r="E6870" s="107" t="str">
        <f aca="false">IF($C6870="","",IFERROR(INDEX(المنيو!$C$2:$C$500,MATCH($C6870,المنيو!$B$2:$B$500,0)),0))</f>
        <v/>
      </c>
      <c r="F6870" s="107" t="str">
        <f aca="false">IF($C6870="","",$D6870*$E6870)</f>
        <v/>
      </c>
      <c r="G6870" s="107" t="str">
        <f aca="false">IF($C6870="","",$D6870*IFERROR(INDEX('تحليل التكلفة والسعر'!$C$2:$C$700,MATCH($C6870,'تحليل التكلفة والسعر'!$B$2:$B$700,0)),0))</f>
        <v/>
      </c>
    </row>
    <row r="6871" customFormat="false" ht="15" hidden="false" customHeight="false" outlineLevel="0" collapsed="false">
      <c r="A6871" s="103"/>
      <c r="B6871" s="104"/>
      <c r="C6871" s="104"/>
      <c r="E6871" s="107" t="str">
        <f aca="false">IF($C6871="","",IFERROR(INDEX(المنيو!$C$2:$C$500,MATCH($C6871,المنيو!$B$2:$B$500,0)),0))</f>
        <v/>
      </c>
      <c r="F6871" s="107" t="str">
        <f aca="false">IF($C6871="","",$D6871*$E6871)</f>
        <v/>
      </c>
      <c r="G6871" s="107" t="str">
        <f aca="false">IF($C6871="","",$D6871*IFERROR(INDEX('تحليل التكلفة والسعر'!$C$2:$C$700,MATCH($C6871,'تحليل التكلفة والسعر'!$B$2:$B$700,0)),0))</f>
        <v/>
      </c>
    </row>
    <row r="6872" customFormat="false" ht="15" hidden="false" customHeight="false" outlineLevel="0" collapsed="false">
      <c r="A6872" s="103"/>
      <c r="B6872" s="104"/>
      <c r="C6872" s="104"/>
      <c r="E6872" s="107" t="str">
        <f aca="false">IF($C6872="","",IFERROR(INDEX(المنيو!$C$2:$C$500,MATCH($C6872,المنيو!$B$2:$B$500,0)),0))</f>
        <v/>
      </c>
      <c r="F6872" s="107" t="str">
        <f aca="false">IF($C6872="","",$D6872*$E6872)</f>
        <v/>
      </c>
      <c r="G6872" s="107" t="str">
        <f aca="false">IF($C6872="","",$D6872*IFERROR(INDEX('تحليل التكلفة والسعر'!$C$2:$C$700,MATCH($C6872,'تحليل التكلفة والسعر'!$B$2:$B$700,0)),0))</f>
        <v/>
      </c>
    </row>
    <row r="6873" customFormat="false" ht="15" hidden="false" customHeight="false" outlineLevel="0" collapsed="false">
      <c r="A6873" s="103"/>
      <c r="B6873" s="104"/>
      <c r="C6873" s="104"/>
      <c r="E6873" s="107" t="str">
        <f aca="false">IF($C6873="","",IFERROR(INDEX(المنيو!$C$2:$C$500,MATCH($C6873,المنيو!$B$2:$B$500,0)),0))</f>
        <v/>
      </c>
      <c r="F6873" s="107" t="str">
        <f aca="false">IF($C6873="","",$D6873*$E6873)</f>
        <v/>
      </c>
      <c r="G6873" s="107" t="str">
        <f aca="false">IF($C6873="","",$D6873*IFERROR(INDEX('تحليل التكلفة والسعر'!$C$2:$C$700,MATCH($C6873,'تحليل التكلفة والسعر'!$B$2:$B$700,0)),0))</f>
        <v/>
      </c>
    </row>
    <row r="6874" customFormat="false" ht="15" hidden="false" customHeight="false" outlineLevel="0" collapsed="false">
      <c r="A6874" s="103"/>
      <c r="B6874" s="104"/>
      <c r="C6874" s="104"/>
      <c r="E6874" s="107" t="str">
        <f aca="false">IF($C6874="","",IFERROR(INDEX(المنيو!$C$2:$C$500,MATCH($C6874,المنيو!$B$2:$B$500,0)),0))</f>
        <v/>
      </c>
      <c r="F6874" s="107" t="str">
        <f aca="false">IF($C6874="","",$D6874*$E6874)</f>
        <v/>
      </c>
      <c r="G6874" s="107" t="str">
        <f aca="false">IF($C6874="","",$D6874*IFERROR(INDEX('تحليل التكلفة والسعر'!$C$2:$C$700,MATCH($C6874,'تحليل التكلفة والسعر'!$B$2:$B$700,0)),0))</f>
        <v/>
      </c>
    </row>
    <row r="6875" customFormat="false" ht="15" hidden="false" customHeight="false" outlineLevel="0" collapsed="false">
      <c r="A6875" s="103"/>
      <c r="B6875" s="104"/>
      <c r="C6875" s="104"/>
      <c r="E6875" s="107" t="str">
        <f aca="false">IF($C6875="","",IFERROR(INDEX(المنيو!$C$2:$C$500,MATCH($C6875,المنيو!$B$2:$B$500,0)),0))</f>
        <v/>
      </c>
      <c r="F6875" s="107" t="str">
        <f aca="false">IF($C6875="","",$D6875*$E6875)</f>
        <v/>
      </c>
      <c r="G6875" s="107" t="str">
        <f aca="false">IF($C6875="","",$D6875*IFERROR(INDEX('تحليل التكلفة والسعر'!$C$2:$C$700,MATCH($C6875,'تحليل التكلفة والسعر'!$B$2:$B$700,0)),0))</f>
        <v/>
      </c>
    </row>
    <row r="6876" customFormat="false" ht="15" hidden="false" customHeight="false" outlineLevel="0" collapsed="false">
      <c r="A6876" s="103"/>
      <c r="B6876" s="104"/>
      <c r="C6876" s="104"/>
      <c r="E6876" s="107" t="str">
        <f aca="false">IF($C6876="","",IFERROR(INDEX(المنيو!$C$2:$C$500,MATCH($C6876,المنيو!$B$2:$B$500,0)),0))</f>
        <v/>
      </c>
      <c r="F6876" s="107" t="str">
        <f aca="false">IF($C6876="","",$D6876*$E6876)</f>
        <v/>
      </c>
      <c r="G6876" s="107" t="str">
        <f aca="false">IF($C6876="","",$D6876*IFERROR(INDEX('تحليل التكلفة والسعر'!$C$2:$C$700,MATCH($C6876,'تحليل التكلفة والسعر'!$B$2:$B$700,0)),0))</f>
        <v/>
      </c>
    </row>
    <row r="6877" customFormat="false" ht="15" hidden="false" customHeight="false" outlineLevel="0" collapsed="false">
      <c r="A6877" s="103"/>
      <c r="B6877" s="104"/>
      <c r="C6877" s="104"/>
      <c r="E6877" s="107" t="str">
        <f aca="false">IF($C6877="","",IFERROR(INDEX(المنيو!$C$2:$C$500,MATCH($C6877,المنيو!$B$2:$B$500,0)),0))</f>
        <v/>
      </c>
      <c r="F6877" s="107" t="str">
        <f aca="false">IF($C6877="","",$D6877*$E6877)</f>
        <v/>
      </c>
      <c r="G6877" s="107" t="str">
        <f aca="false">IF($C6877="","",$D6877*IFERROR(INDEX('تحليل التكلفة والسعر'!$C$2:$C$700,MATCH($C6877,'تحليل التكلفة والسعر'!$B$2:$B$700,0)),0))</f>
        <v/>
      </c>
    </row>
    <row r="6878" customFormat="false" ht="15" hidden="false" customHeight="false" outlineLevel="0" collapsed="false">
      <c r="A6878" s="103"/>
      <c r="B6878" s="104"/>
      <c r="C6878" s="104"/>
      <c r="E6878" s="107" t="str">
        <f aca="false">IF($C6878="","",IFERROR(INDEX(المنيو!$C$2:$C$500,MATCH($C6878,المنيو!$B$2:$B$500,0)),0))</f>
        <v/>
      </c>
      <c r="F6878" s="107" t="str">
        <f aca="false">IF($C6878="","",$D6878*$E6878)</f>
        <v/>
      </c>
      <c r="G6878" s="107" t="str">
        <f aca="false">IF($C6878="","",$D6878*IFERROR(INDEX('تحليل التكلفة والسعر'!$C$2:$C$700,MATCH($C6878,'تحليل التكلفة والسعر'!$B$2:$B$700,0)),0))</f>
        <v/>
      </c>
    </row>
    <row r="6879" customFormat="false" ht="15" hidden="false" customHeight="false" outlineLevel="0" collapsed="false">
      <c r="A6879" s="103"/>
      <c r="B6879" s="104"/>
      <c r="C6879" s="104"/>
      <c r="E6879" s="107" t="str">
        <f aca="false">IF($C6879="","",IFERROR(INDEX(المنيو!$C$2:$C$500,MATCH($C6879,المنيو!$B$2:$B$500,0)),0))</f>
        <v/>
      </c>
      <c r="F6879" s="107" t="str">
        <f aca="false">IF($C6879="","",$D6879*$E6879)</f>
        <v/>
      </c>
      <c r="G6879" s="107" t="str">
        <f aca="false">IF($C6879="","",$D6879*IFERROR(INDEX('تحليل التكلفة والسعر'!$C$2:$C$700,MATCH($C6879,'تحليل التكلفة والسعر'!$B$2:$B$700,0)),0))</f>
        <v/>
      </c>
    </row>
    <row r="6880" customFormat="false" ht="15" hidden="false" customHeight="false" outlineLevel="0" collapsed="false">
      <c r="A6880" s="103"/>
      <c r="B6880" s="104"/>
      <c r="C6880" s="104"/>
      <c r="E6880" s="107" t="str">
        <f aca="false">IF($C6880="","",IFERROR(INDEX(المنيو!$C$2:$C$500,MATCH($C6880,المنيو!$B$2:$B$500,0)),0))</f>
        <v/>
      </c>
      <c r="F6880" s="107" t="str">
        <f aca="false">IF($C6880="","",$D6880*$E6880)</f>
        <v/>
      </c>
      <c r="G6880" s="107" t="str">
        <f aca="false">IF($C6880="","",$D6880*IFERROR(INDEX('تحليل التكلفة والسعر'!$C$2:$C$700,MATCH($C6880,'تحليل التكلفة والسعر'!$B$2:$B$700,0)),0))</f>
        <v/>
      </c>
    </row>
    <row r="6881" customFormat="false" ht="15" hidden="false" customHeight="false" outlineLevel="0" collapsed="false">
      <c r="A6881" s="103"/>
      <c r="B6881" s="104"/>
      <c r="C6881" s="104"/>
      <c r="E6881" s="107" t="str">
        <f aca="false">IF($C6881="","",IFERROR(INDEX(المنيو!$C$2:$C$500,MATCH($C6881,المنيو!$B$2:$B$500,0)),0))</f>
        <v/>
      </c>
      <c r="F6881" s="107" t="str">
        <f aca="false">IF($C6881="","",$D6881*$E6881)</f>
        <v/>
      </c>
      <c r="G6881" s="107" t="str">
        <f aca="false">IF($C6881="","",$D6881*IFERROR(INDEX('تحليل التكلفة والسعر'!$C$2:$C$700,MATCH($C6881,'تحليل التكلفة والسعر'!$B$2:$B$700,0)),0))</f>
        <v/>
      </c>
    </row>
    <row r="6882" customFormat="false" ht="15" hidden="false" customHeight="false" outlineLevel="0" collapsed="false">
      <c r="A6882" s="103"/>
      <c r="B6882" s="104"/>
      <c r="C6882" s="104"/>
      <c r="E6882" s="107" t="str">
        <f aca="false">IF($C6882="","",IFERROR(INDEX(المنيو!$C$2:$C$500,MATCH($C6882,المنيو!$B$2:$B$500,0)),0))</f>
        <v/>
      </c>
      <c r="F6882" s="107" t="str">
        <f aca="false">IF($C6882="","",$D6882*$E6882)</f>
        <v/>
      </c>
      <c r="G6882" s="107" t="str">
        <f aca="false">IF($C6882="","",$D6882*IFERROR(INDEX('تحليل التكلفة والسعر'!$C$2:$C$700,MATCH($C6882,'تحليل التكلفة والسعر'!$B$2:$B$700,0)),0))</f>
        <v/>
      </c>
    </row>
    <row r="6883" customFormat="false" ht="15" hidden="false" customHeight="false" outlineLevel="0" collapsed="false">
      <c r="A6883" s="103"/>
      <c r="B6883" s="104"/>
      <c r="C6883" s="104"/>
      <c r="E6883" s="107" t="str">
        <f aca="false">IF($C6883="","",IFERROR(INDEX(المنيو!$C$2:$C$500,MATCH($C6883,المنيو!$B$2:$B$500,0)),0))</f>
        <v/>
      </c>
      <c r="F6883" s="107" t="str">
        <f aca="false">IF($C6883="","",$D6883*$E6883)</f>
        <v/>
      </c>
      <c r="G6883" s="107" t="str">
        <f aca="false">IF($C6883="","",$D6883*IFERROR(INDEX('تحليل التكلفة والسعر'!$C$2:$C$700,MATCH($C6883,'تحليل التكلفة والسعر'!$B$2:$B$700,0)),0))</f>
        <v/>
      </c>
    </row>
    <row r="6884" customFormat="false" ht="15" hidden="false" customHeight="false" outlineLevel="0" collapsed="false">
      <c r="A6884" s="103"/>
      <c r="B6884" s="104"/>
      <c r="C6884" s="104"/>
      <c r="E6884" s="107" t="str">
        <f aca="false">IF($C6884="","",IFERROR(INDEX(المنيو!$C$2:$C$500,MATCH($C6884,المنيو!$B$2:$B$500,0)),0))</f>
        <v/>
      </c>
      <c r="F6884" s="107" t="str">
        <f aca="false">IF($C6884="","",$D6884*$E6884)</f>
        <v/>
      </c>
      <c r="G6884" s="107" t="str">
        <f aca="false">IF($C6884="","",$D6884*IFERROR(INDEX('تحليل التكلفة والسعر'!$C$2:$C$700,MATCH($C6884,'تحليل التكلفة والسعر'!$B$2:$B$700,0)),0))</f>
        <v/>
      </c>
    </row>
    <row r="6885" customFormat="false" ht="15" hidden="false" customHeight="false" outlineLevel="0" collapsed="false">
      <c r="A6885" s="103"/>
      <c r="B6885" s="104"/>
      <c r="C6885" s="104"/>
      <c r="E6885" s="107" t="str">
        <f aca="false">IF($C6885="","",IFERROR(INDEX(المنيو!$C$2:$C$500,MATCH($C6885,المنيو!$B$2:$B$500,0)),0))</f>
        <v/>
      </c>
      <c r="F6885" s="107" t="str">
        <f aca="false">IF($C6885="","",$D6885*$E6885)</f>
        <v/>
      </c>
      <c r="G6885" s="107" t="str">
        <f aca="false">IF($C6885="","",$D6885*IFERROR(INDEX('تحليل التكلفة والسعر'!$C$2:$C$700,MATCH($C6885,'تحليل التكلفة والسعر'!$B$2:$B$700,0)),0))</f>
        <v/>
      </c>
    </row>
    <row r="6886" customFormat="false" ht="15" hidden="false" customHeight="false" outlineLevel="0" collapsed="false">
      <c r="A6886" s="103"/>
      <c r="B6886" s="104"/>
      <c r="C6886" s="104"/>
      <c r="E6886" s="107" t="str">
        <f aca="false">IF($C6886="","",IFERROR(INDEX(المنيو!$C$2:$C$500,MATCH($C6886,المنيو!$B$2:$B$500,0)),0))</f>
        <v/>
      </c>
      <c r="F6886" s="107" t="str">
        <f aca="false">IF($C6886="","",$D6886*$E6886)</f>
        <v/>
      </c>
      <c r="G6886" s="107" t="str">
        <f aca="false">IF($C6886="","",$D6886*IFERROR(INDEX('تحليل التكلفة والسعر'!$C$2:$C$700,MATCH($C6886,'تحليل التكلفة والسعر'!$B$2:$B$700,0)),0))</f>
        <v/>
      </c>
    </row>
    <row r="6887" customFormat="false" ht="15" hidden="false" customHeight="false" outlineLevel="0" collapsed="false">
      <c r="A6887" s="103"/>
      <c r="B6887" s="104"/>
      <c r="C6887" s="104"/>
      <c r="E6887" s="107" t="str">
        <f aca="false">IF($C6887="","",IFERROR(INDEX(المنيو!$C$2:$C$500,MATCH($C6887,المنيو!$B$2:$B$500,0)),0))</f>
        <v/>
      </c>
      <c r="F6887" s="107" t="str">
        <f aca="false">IF($C6887="","",$D6887*$E6887)</f>
        <v/>
      </c>
      <c r="G6887" s="107" t="str">
        <f aca="false">IF($C6887="","",$D6887*IFERROR(INDEX('تحليل التكلفة والسعر'!$C$2:$C$700,MATCH($C6887,'تحليل التكلفة والسعر'!$B$2:$B$700,0)),0))</f>
        <v/>
      </c>
    </row>
    <row r="6888" customFormat="false" ht="15" hidden="false" customHeight="false" outlineLevel="0" collapsed="false">
      <c r="A6888" s="103"/>
      <c r="B6888" s="104"/>
      <c r="C6888" s="104"/>
      <c r="E6888" s="107" t="str">
        <f aca="false">IF($C6888="","",IFERROR(INDEX(المنيو!$C$2:$C$500,MATCH($C6888,المنيو!$B$2:$B$500,0)),0))</f>
        <v/>
      </c>
      <c r="F6888" s="107" t="str">
        <f aca="false">IF($C6888="","",$D6888*$E6888)</f>
        <v/>
      </c>
      <c r="G6888" s="107" t="str">
        <f aca="false">IF($C6888="","",$D6888*IFERROR(INDEX('تحليل التكلفة والسعر'!$C$2:$C$700,MATCH($C6888,'تحليل التكلفة والسعر'!$B$2:$B$700,0)),0))</f>
        <v/>
      </c>
    </row>
    <row r="6889" customFormat="false" ht="15" hidden="false" customHeight="false" outlineLevel="0" collapsed="false">
      <c r="A6889" s="103"/>
      <c r="B6889" s="104"/>
      <c r="C6889" s="104"/>
      <c r="E6889" s="107" t="str">
        <f aca="false">IF($C6889="","",IFERROR(INDEX(المنيو!$C$2:$C$500,MATCH($C6889,المنيو!$B$2:$B$500,0)),0))</f>
        <v/>
      </c>
      <c r="F6889" s="107" t="str">
        <f aca="false">IF($C6889="","",$D6889*$E6889)</f>
        <v/>
      </c>
      <c r="G6889" s="107" t="str">
        <f aca="false">IF($C6889="","",$D6889*IFERROR(INDEX('تحليل التكلفة والسعر'!$C$2:$C$700,MATCH($C6889,'تحليل التكلفة والسعر'!$B$2:$B$700,0)),0))</f>
        <v/>
      </c>
    </row>
    <row r="6890" customFormat="false" ht="15" hidden="false" customHeight="false" outlineLevel="0" collapsed="false">
      <c r="A6890" s="103"/>
      <c r="B6890" s="104"/>
      <c r="C6890" s="104"/>
      <c r="E6890" s="107" t="str">
        <f aca="false">IF($C6890="","",IFERROR(INDEX(المنيو!$C$2:$C$500,MATCH($C6890,المنيو!$B$2:$B$500,0)),0))</f>
        <v/>
      </c>
      <c r="F6890" s="107" t="str">
        <f aca="false">IF($C6890="","",$D6890*$E6890)</f>
        <v/>
      </c>
      <c r="G6890" s="107" t="str">
        <f aca="false">IF($C6890="","",$D6890*IFERROR(INDEX('تحليل التكلفة والسعر'!$C$2:$C$700,MATCH($C6890,'تحليل التكلفة والسعر'!$B$2:$B$700,0)),0))</f>
        <v/>
      </c>
    </row>
    <row r="6891" customFormat="false" ht="15" hidden="false" customHeight="false" outlineLevel="0" collapsed="false">
      <c r="A6891" s="103"/>
      <c r="B6891" s="104"/>
      <c r="C6891" s="104"/>
      <c r="E6891" s="107" t="str">
        <f aca="false">IF($C6891="","",IFERROR(INDEX(المنيو!$C$2:$C$500,MATCH($C6891,المنيو!$B$2:$B$500,0)),0))</f>
        <v/>
      </c>
      <c r="F6891" s="107" t="str">
        <f aca="false">IF($C6891="","",$D6891*$E6891)</f>
        <v/>
      </c>
      <c r="G6891" s="107" t="str">
        <f aca="false">IF($C6891="","",$D6891*IFERROR(INDEX('تحليل التكلفة والسعر'!$C$2:$C$700,MATCH($C6891,'تحليل التكلفة والسعر'!$B$2:$B$700,0)),0))</f>
        <v/>
      </c>
    </row>
    <row r="6892" customFormat="false" ht="15" hidden="false" customHeight="false" outlineLevel="0" collapsed="false">
      <c r="A6892" s="103"/>
      <c r="B6892" s="104"/>
      <c r="C6892" s="104"/>
      <c r="E6892" s="107" t="str">
        <f aca="false">IF($C6892="","",IFERROR(INDEX(المنيو!$C$2:$C$500,MATCH($C6892,المنيو!$B$2:$B$500,0)),0))</f>
        <v/>
      </c>
      <c r="F6892" s="107" t="str">
        <f aca="false">IF($C6892="","",$D6892*$E6892)</f>
        <v/>
      </c>
      <c r="G6892" s="107" t="str">
        <f aca="false">IF($C6892="","",$D6892*IFERROR(INDEX('تحليل التكلفة والسعر'!$C$2:$C$700,MATCH($C6892,'تحليل التكلفة والسعر'!$B$2:$B$700,0)),0))</f>
        <v/>
      </c>
    </row>
    <row r="6893" customFormat="false" ht="15" hidden="false" customHeight="false" outlineLevel="0" collapsed="false">
      <c r="A6893" s="103"/>
      <c r="B6893" s="104"/>
      <c r="C6893" s="104"/>
      <c r="E6893" s="107" t="str">
        <f aca="false">IF($C6893="","",IFERROR(INDEX(المنيو!$C$2:$C$500,MATCH($C6893,المنيو!$B$2:$B$500,0)),0))</f>
        <v/>
      </c>
      <c r="F6893" s="107" t="str">
        <f aca="false">IF($C6893="","",$D6893*$E6893)</f>
        <v/>
      </c>
      <c r="G6893" s="107" t="str">
        <f aca="false">IF($C6893="","",$D6893*IFERROR(INDEX('تحليل التكلفة والسعر'!$C$2:$C$700,MATCH($C6893,'تحليل التكلفة والسعر'!$B$2:$B$700,0)),0))</f>
        <v/>
      </c>
    </row>
    <row r="6894" customFormat="false" ht="15" hidden="false" customHeight="false" outlineLevel="0" collapsed="false">
      <c r="A6894" s="103"/>
      <c r="B6894" s="104"/>
      <c r="C6894" s="104"/>
      <c r="E6894" s="107" t="str">
        <f aca="false">IF($C6894="","",IFERROR(INDEX(المنيو!$C$2:$C$500,MATCH($C6894,المنيو!$B$2:$B$500,0)),0))</f>
        <v/>
      </c>
      <c r="F6894" s="107" t="str">
        <f aca="false">IF($C6894="","",$D6894*$E6894)</f>
        <v/>
      </c>
      <c r="G6894" s="107" t="str">
        <f aca="false">IF($C6894="","",$D6894*IFERROR(INDEX('تحليل التكلفة والسعر'!$C$2:$C$700,MATCH($C6894,'تحليل التكلفة والسعر'!$B$2:$B$700,0)),0))</f>
        <v/>
      </c>
    </row>
    <row r="6895" customFormat="false" ht="15" hidden="false" customHeight="false" outlineLevel="0" collapsed="false">
      <c r="A6895" s="103"/>
      <c r="B6895" s="104"/>
      <c r="C6895" s="104"/>
      <c r="E6895" s="107" t="str">
        <f aca="false">IF($C6895="","",IFERROR(INDEX(المنيو!$C$2:$C$500,MATCH($C6895,المنيو!$B$2:$B$500,0)),0))</f>
        <v/>
      </c>
      <c r="F6895" s="107" t="str">
        <f aca="false">IF($C6895="","",$D6895*$E6895)</f>
        <v/>
      </c>
      <c r="G6895" s="107" t="str">
        <f aca="false">IF($C6895="","",$D6895*IFERROR(INDEX('تحليل التكلفة والسعر'!$C$2:$C$700,MATCH($C6895,'تحليل التكلفة والسعر'!$B$2:$B$700,0)),0))</f>
        <v/>
      </c>
    </row>
    <row r="6896" customFormat="false" ht="15" hidden="false" customHeight="false" outlineLevel="0" collapsed="false">
      <c r="A6896" s="103"/>
      <c r="B6896" s="104"/>
      <c r="C6896" s="104"/>
      <c r="E6896" s="107" t="str">
        <f aca="false">IF($C6896="","",IFERROR(INDEX(المنيو!$C$2:$C$500,MATCH($C6896,المنيو!$B$2:$B$500,0)),0))</f>
        <v/>
      </c>
      <c r="F6896" s="107" t="str">
        <f aca="false">IF($C6896="","",$D6896*$E6896)</f>
        <v/>
      </c>
      <c r="G6896" s="107" t="str">
        <f aca="false">IF($C6896="","",$D6896*IFERROR(INDEX('تحليل التكلفة والسعر'!$C$2:$C$700,MATCH($C6896,'تحليل التكلفة والسعر'!$B$2:$B$700,0)),0))</f>
        <v/>
      </c>
    </row>
    <row r="6897" customFormat="false" ht="15" hidden="false" customHeight="false" outlineLevel="0" collapsed="false">
      <c r="A6897" s="103"/>
      <c r="B6897" s="104"/>
      <c r="C6897" s="104"/>
      <c r="E6897" s="107" t="str">
        <f aca="false">IF($C6897="","",IFERROR(INDEX(المنيو!$C$2:$C$500,MATCH($C6897,المنيو!$B$2:$B$500,0)),0))</f>
        <v/>
      </c>
      <c r="F6897" s="107" t="str">
        <f aca="false">IF($C6897="","",$D6897*$E6897)</f>
        <v/>
      </c>
      <c r="G6897" s="107" t="str">
        <f aca="false">IF($C6897="","",$D6897*IFERROR(INDEX('تحليل التكلفة والسعر'!$C$2:$C$700,MATCH($C6897,'تحليل التكلفة والسعر'!$B$2:$B$700,0)),0))</f>
        <v/>
      </c>
    </row>
    <row r="6898" customFormat="false" ht="15" hidden="false" customHeight="false" outlineLevel="0" collapsed="false">
      <c r="A6898" s="103"/>
      <c r="B6898" s="104"/>
      <c r="C6898" s="104"/>
      <c r="E6898" s="107" t="str">
        <f aca="false">IF($C6898="","",IFERROR(INDEX(المنيو!$C$2:$C$500,MATCH($C6898,المنيو!$B$2:$B$500,0)),0))</f>
        <v/>
      </c>
      <c r="F6898" s="107" t="str">
        <f aca="false">IF($C6898="","",$D6898*$E6898)</f>
        <v/>
      </c>
      <c r="G6898" s="107" t="str">
        <f aca="false">IF($C6898="","",$D6898*IFERROR(INDEX('تحليل التكلفة والسعر'!$C$2:$C$700,MATCH($C6898,'تحليل التكلفة والسعر'!$B$2:$B$700,0)),0))</f>
        <v/>
      </c>
    </row>
    <row r="6899" customFormat="false" ht="15" hidden="false" customHeight="false" outlineLevel="0" collapsed="false">
      <c r="A6899" s="103"/>
      <c r="B6899" s="104"/>
      <c r="C6899" s="104"/>
      <c r="E6899" s="107" t="str">
        <f aca="false">IF($C6899="","",IFERROR(INDEX(المنيو!$C$2:$C$500,MATCH($C6899,المنيو!$B$2:$B$500,0)),0))</f>
        <v/>
      </c>
      <c r="F6899" s="107" t="str">
        <f aca="false">IF($C6899="","",$D6899*$E6899)</f>
        <v/>
      </c>
      <c r="G6899" s="107" t="str">
        <f aca="false">IF($C6899="","",$D6899*IFERROR(INDEX('تحليل التكلفة والسعر'!$C$2:$C$700,MATCH($C6899,'تحليل التكلفة والسعر'!$B$2:$B$700,0)),0))</f>
        <v/>
      </c>
    </row>
    <row r="6900" customFormat="false" ht="15" hidden="false" customHeight="false" outlineLevel="0" collapsed="false">
      <c r="A6900" s="103"/>
      <c r="B6900" s="104"/>
      <c r="C6900" s="104"/>
      <c r="E6900" s="107" t="str">
        <f aca="false">IF($C6900="","",IFERROR(INDEX(المنيو!$C$2:$C$500,MATCH($C6900,المنيو!$B$2:$B$500,0)),0))</f>
        <v/>
      </c>
      <c r="F6900" s="107" t="str">
        <f aca="false">IF($C6900="","",$D6900*$E6900)</f>
        <v/>
      </c>
      <c r="G6900" s="107" t="str">
        <f aca="false">IF($C6900="","",$D6900*IFERROR(INDEX('تحليل التكلفة والسعر'!$C$2:$C$700,MATCH($C6900,'تحليل التكلفة والسعر'!$B$2:$B$700,0)),0))</f>
        <v/>
      </c>
    </row>
    <row r="6901" customFormat="false" ht="15" hidden="false" customHeight="false" outlineLevel="0" collapsed="false">
      <c r="A6901" s="103"/>
      <c r="B6901" s="104"/>
      <c r="C6901" s="104"/>
      <c r="E6901" s="107" t="str">
        <f aca="false">IF($C6901="","",IFERROR(INDEX(المنيو!$C$2:$C$500,MATCH($C6901,المنيو!$B$2:$B$500,0)),0))</f>
        <v/>
      </c>
      <c r="F6901" s="107" t="str">
        <f aca="false">IF($C6901="","",$D6901*$E6901)</f>
        <v/>
      </c>
      <c r="G6901" s="107" t="str">
        <f aca="false">IF($C6901="","",$D6901*IFERROR(INDEX('تحليل التكلفة والسعر'!$C$2:$C$700,MATCH($C6901,'تحليل التكلفة والسعر'!$B$2:$B$700,0)),0))</f>
        <v/>
      </c>
    </row>
    <row r="6902" customFormat="false" ht="15" hidden="false" customHeight="false" outlineLevel="0" collapsed="false">
      <c r="A6902" s="103"/>
      <c r="B6902" s="104"/>
      <c r="C6902" s="104"/>
      <c r="E6902" s="107" t="str">
        <f aca="false">IF($C6902="","",IFERROR(INDEX(المنيو!$C$2:$C$500,MATCH($C6902,المنيو!$B$2:$B$500,0)),0))</f>
        <v/>
      </c>
      <c r="F6902" s="107" t="str">
        <f aca="false">IF($C6902="","",$D6902*$E6902)</f>
        <v/>
      </c>
      <c r="G6902" s="107" t="str">
        <f aca="false">IF($C6902="","",$D6902*IFERROR(INDEX('تحليل التكلفة والسعر'!$C$2:$C$700,MATCH($C6902,'تحليل التكلفة والسعر'!$B$2:$B$700,0)),0))</f>
        <v/>
      </c>
    </row>
    <row r="6903" customFormat="false" ht="15" hidden="false" customHeight="false" outlineLevel="0" collapsed="false">
      <c r="A6903" s="103"/>
      <c r="B6903" s="104"/>
      <c r="C6903" s="104"/>
      <c r="E6903" s="107" t="str">
        <f aca="false">IF($C6903="","",IFERROR(INDEX(المنيو!$C$2:$C$500,MATCH($C6903,المنيو!$B$2:$B$500,0)),0))</f>
        <v/>
      </c>
      <c r="F6903" s="107" t="str">
        <f aca="false">IF($C6903="","",$D6903*$E6903)</f>
        <v/>
      </c>
      <c r="G6903" s="107" t="str">
        <f aca="false">IF($C6903="","",$D6903*IFERROR(INDEX('تحليل التكلفة والسعر'!$C$2:$C$700,MATCH($C6903,'تحليل التكلفة والسعر'!$B$2:$B$700,0)),0))</f>
        <v/>
      </c>
    </row>
    <row r="6904" customFormat="false" ht="15" hidden="false" customHeight="false" outlineLevel="0" collapsed="false">
      <c r="A6904" s="103"/>
      <c r="B6904" s="104"/>
      <c r="C6904" s="104"/>
      <c r="E6904" s="107" t="str">
        <f aca="false">IF($C6904="","",IFERROR(INDEX(المنيو!$C$2:$C$500,MATCH($C6904,المنيو!$B$2:$B$500,0)),0))</f>
        <v/>
      </c>
      <c r="F6904" s="107" t="str">
        <f aca="false">IF($C6904="","",$D6904*$E6904)</f>
        <v/>
      </c>
      <c r="G6904" s="107" t="str">
        <f aca="false">IF($C6904="","",$D6904*IFERROR(INDEX('تحليل التكلفة والسعر'!$C$2:$C$700,MATCH($C6904,'تحليل التكلفة والسعر'!$B$2:$B$700,0)),0))</f>
        <v/>
      </c>
    </row>
    <row r="6905" customFormat="false" ht="15" hidden="false" customHeight="false" outlineLevel="0" collapsed="false">
      <c r="A6905" s="103"/>
      <c r="B6905" s="104"/>
      <c r="C6905" s="104"/>
      <c r="E6905" s="107" t="str">
        <f aca="false">IF($C6905="","",IFERROR(INDEX(المنيو!$C$2:$C$500,MATCH($C6905,المنيو!$B$2:$B$500,0)),0))</f>
        <v/>
      </c>
      <c r="F6905" s="107" t="str">
        <f aca="false">IF($C6905="","",$D6905*$E6905)</f>
        <v/>
      </c>
      <c r="G6905" s="107" t="str">
        <f aca="false">IF($C6905="","",$D6905*IFERROR(INDEX('تحليل التكلفة والسعر'!$C$2:$C$700,MATCH($C6905,'تحليل التكلفة والسعر'!$B$2:$B$700,0)),0))</f>
        <v/>
      </c>
    </row>
    <row r="6906" customFormat="false" ht="15" hidden="false" customHeight="false" outlineLevel="0" collapsed="false">
      <c r="A6906" s="103"/>
      <c r="B6906" s="104"/>
      <c r="C6906" s="104"/>
      <c r="E6906" s="107" t="str">
        <f aca="false">IF($C6906="","",IFERROR(INDEX(المنيو!$C$2:$C$500,MATCH($C6906,المنيو!$B$2:$B$500,0)),0))</f>
        <v/>
      </c>
      <c r="F6906" s="107" t="str">
        <f aca="false">IF($C6906="","",$D6906*$E6906)</f>
        <v/>
      </c>
      <c r="G6906" s="107" t="str">
        <f aca="false">IF($C6906="","",$D6906*IFERROR(INDEX('تحليل التكلفة والسعر'!$C$2:$C$700,MATCH($C6906,'تحليل التكلفة والسعر'!$B$2:$B$700,0)),0))</f>
        <v/>
      </c>
    </row>
    <row r="6907" customFormat="false" ht="15" hidden="false" customHeight="false" outlineLevel="0" collapsed="false">
      <c r="A6907" s="103"/>
      <c r="B6907" s="104"/>
      <c r="C6907" s="104"/>
      <c r="E6907" s="107" t="str">
        <f aca="false">IF($C6907="","",IFERROR(INDEX(المنيو!$C$2:$C$500,MATCH($C6907,المنيو!$B$2:$B$500,0)),0))</f>
        <v/>
      </c>
      <c r="F6907" s="107" t="str">
        <f aca="false">IF($C6907="","",$D6907*$E6907)</f>
        <v/>
      </c>
      <c r="G6907" s="107" t="str">
        <f aca="false">IF($C6907="","",$D6907*IFERROR(INDEX('تحليل التكلفة والسعر'!$C$2:$C$700,MATCH($C6907,'تحليل التكلفة والسعر'!$B$2:$B$700,0)),0))</f>
        <v/>
      </c>
    </row>
    <row r="6908" customFormat="false" ht="15" hidden="false" customHeight="false" outlineLevel="0" collapsed="false">
      <c r="A6908" s="103"/>
      <c r="B6908" s="104"/>
      <c r="C6908" s="104"/>
      <c r="E6908" s="107" t="str">
        <f aca="false">IF($C6908="","",IFERROR(INDEX(المنيو!$C$2:$C$500,MATCH($C6908,المنيو!$B$2:$B$500,0)),0))</f>
        <v/>
      </c>
      <c r="F6908" s="107" t="str">
        <f aca="false">IF($C6908="","",$D6908*$E6908)</f>
        <v/>
      </c>
      <c r="G6908" s="107" t="str">
        <f aca="false">IF($C6908="","",$D6908*IFERROR(INDEX('تحليل التكلفة والسعر'!$C$2:$C$700,MATCH($C6908,'تحليل التكلفة والسعر'!$B$2:$B$700,0)),0))</f>
        <v/>
      </c>
    </row>
    <row r="6909" customFormat="false" ht="15" hidden="false" customHeight="false" outlineLevel="0" collapsed="false">
      <c r="A6909" s="103"/>
      <c r="B6909" s="104"/>
      <c r="C6909" s="104"/>
      <c r="E6909" s="107" t="str">
        <f aca="false">IF($C6909="","",IFERROR(INDEX(المنيو!$C$2:$C$500,MATCH($C6909,المنيو!$B$2:$B$500,0)),0))</f>
        <v/>
      </c>
      <c r="F6909" s="107" t="str">
        <f aca="false">IF($C6909="","",$D6909*$E6909)</f>
        <v/>
      </c>
      <c r="G6909" s="107" t="str">
        <f aca="false">IF($C6909="","",$D6909*IFERROR(INDEX('تحليل التكلفة والسعر'!$C$2:$C$700,MATCH($C6909,'تحليل التكلفة والسعر'!$B$2:$B$700,0)),0))</f>
        <v/>
      </c>
    </row>
    <row r="6910" customFormat="false" ht="15" hidden="false" customHeight="false" outlineLevel="0" collapsed="false">
      <c r="A6910" s="103"/>
      <c r="B6910" s="104"/>
      <c r="C6910" s="104"/>
      <c r="E6910" s="107" t="str">
        <f aca="false">IF($C6910="","",IFERROR(INDEX(المنيو!$C$2:$C$500,MATCH($C6910,المنيو!$B$2:$B$500,0)),0))</f>
        <v/>
      </c>
      <c r="F6910" s="107" t="str">
        <f aca="false">IF($C6910="","",$D6910*$E6910)</f>
        <v/>
      </c>
      <c r="G6910" s="107" t="str">
        <f aca="false">IF($C6910="","",$D6910*IFERROR(INDEX('تحليل التكلفة والسعر'!$C$2:$C$700,MATCH($C6910,'تحليل التكلفة والسعر'!$B$2:$B$700,0)),0))</f>
        <v/>
      </c>
    </row>
    <row r="6911" customFormat="false" ht="15" hidden="false" customHeight="false" outlineLevel="0" collapsed="false">
      <c r="A6911" s="103"/>
      <c r="B6911" s="104"/>
      <c r="C6911" s="104"/>
      <c r="E6911" s="107" t="str">
        <f aca="false">IF($C6911="","",IFERROR(INDEX(المنيو!$C$2:$C$500,MATCH($C6911,المنيو!$B$2:$B$500,0)),0))</f>
        <v/>
      </c>
      <c r="F6911" s="107" t="str">
        <f aca="false">IF($C6911="","",$D6911*$E6911)</f>
        <v/>
      </c>
      <c r="G6911" s="107" t="str">
        <f aca="false">IF($C6911="","",$D6911*IFERROR(INDEX('تحليل التكلفة والسعر'!$C$2:$C$700,MATCH($C6911,'تحليل التكلفة والسعر'!$B$2:$B$700,0)),0))</f>
        <v/>
      </c>
    </row>
    <row r="6912" customFormat="false" ht="15" hidden="false" customHeight="false" outlineLevel="0" collapsed="false">
      <c r="A6912" s="103"/>
      <c r="B6912" s="104"/>
      <c r="C6912" s="104"/>
      <c r="E6912" s="107" t="str">
        <f aca="false">IF($C6912="","",IFERROR(INDEX(المنيو!$C$2:$C$500,MATCH($C6912,المنيو!$B$2:$B$500,0)),0))</f>
        <v/>
      </c>
      <c r="F6912" s="107" t="str">
        <f aca="false">IF($C6912="","",$D6912*$E6912)</f>
        <v/>
      </c>
      <c r="G6912" s="107" t="str">
        <f aca="false">IF($C6912="","",$D6912*IFERROR(INDEX('تحليل التكلفة والسعر'!$C$2:$C$700,MATCH($C6912,'تحليل التكلفة والسعر'!$B$2:$B$700,0)),0))</f>
        <v/>
      </c>
    </row>
    <row r="6913" customFormat="false" ht="15" hidden="false" customHeight="false" outlineLevel="0" collapsed="false">
      <c r="A6913" s="103"/>
      <c r="B6913" s="104"/>
      <c r="C6913" s="104"/>
      <c r="E6913" s="107" t="str">
        <f aca="false">IF($C6913="","",IFERROR(INDEX(المنيو!$C$2:$C$500,MATCH($C6913,المنيو!$B$2:$B$500,0)),0))</f>
        <v/>
      </c>
      <c r="F6913" s="107" t="str">
        <f aca="false">IF($C6913="","",$D6913*$E6913)</f>
        <v/>
      </c>
      <c r="G6913" s="107" t="str">
        <f aca="false">IF($C6913="","",$D6913*IFERROR(INDEX('تحليل التكلفة والسعر'!$C$2:$C$700,MATCH($C6913,'تحليل التكلفة والسعر'!$B$2:$B$700,0)),0))</f>
        <v/>
      </c>
    </row>
    <row r="6914" customFormat="false" ht="15" hidden="false" customHeight="false" outlineLevel="0" collapsed="false">
      <c r="A6914" s="103"/>
      <c r="B6914" s="104"/>
      <c r="C6914" s="104"/>
      <c r="E6914" s="107" t="str">
        <f aca="false">IF($C6914="","",IFERROR(INDEX(المنيو!$C$2:$C$500,MATCH($C6914,المنيو!$B$2:$B$500,0)),0))</f>
        <v/>
      </c>
      <c r="F6914" s="107" t="str">
        <f aca="false">IF($C6914="","",$D6914*$E6914)</f>
        <v/>
      </c>
      <c r="G6914" s="107" t="str">
        <f aca="false">IF($C6914="","",$D6914*IFERROR(INDEX('تحليل التكلفة والسعر'!$C$2:$C$700,MATCH($C6914,'تحليل التكلفة والسعر'!$B$2:$B$700,0)),0))</f>
        <v/>
      </c>
    </row>
    <row r="6915" customFormat="false" ht="15" hidden="false" customHeight="false" outlineLevel="0" collapsed="false">
      <c r="A6915" s="103"/>
      <c r="B6915" s="104"/>
      <c r="C6915" s="104"/>
      <c r="E6915" s="107" t="str">
        <f aca="false">IF($C6915="","",IFERROR(INDEX(المنيو!$C$2:$C$500,MATCH($C6915,المنيو!$B$2:$B$500,0)),0))</f>
        <v/>
      </c>
      <c r="F6915" s="107" t="str">
        <f aca="false">IF($C6915="","",$D6915*$E6915)</f>
        <v/>
      </c>
      <c r="G6915" s="107" t="str">
        <f aca="false">IF($C6915="","",$D6915*IFERROR(INDEX('تحليل التكلفة والسعر'!$C$2:$C$700,MATCH($C6915,'تحليل التكلفة والسعر'!$B$2:$B$700,0)),0))</f>
        <v/>
      </c>
    </row>
    <row r="6916" customFormat="false" ht="15" hidden="false" customHeight="false" outlineLevel="0" collapsed="false">
      <c r="A6916" s="103"/>
      <c r="B6916" s="104"/>
      <c r="C6916" s="104"/>
      <c r="E6916" s="107" t="str">
        <f aca="false">IF($C6916="","",IFERROR(INDEX(المنيو!$C$2:$C$500,MATCH($C6916,المنيو!$B$2:$B$500,0)),0))</f>
        <v/>
      </c>
      <c r="F6916" s="107" t="str">
        <f aca="false">IF($C6916="","",$D6916*$E6916)</f>
        <v/>
      </c>
      <c r="G6916" s="107" t="str">
        <f aca="false">IF($C6916="","",$D6916*IFERROR(INDEX('تحليل التكلفة والسعر'!$C$2:$C$700,MATCH($C6916,'تحليل التكلفة والسعر'!$B$2:$B$700,0)),0))</f>
        <v/>
      </c>
    </row>
    <row r="6917" customFormat="false" ht="15" hidden="false" customHeight="false" outlineLevel="0" collapsed="false">
      <c r="A6917" s="103"/>
      <c r="B6917" s="104"/>
      <c r="C6917" s="104"/>
      <c r="E6917" s="107" t="str">
        <f aca="false">IF($C6917="","",IFERROR(INDEX(المنيو!$C$2:$C$500,MATCH($C6917,المنيو!$B$2:$B$500,0)),0))</f>
        <v/>
      </c>
      <c r="F6917" s="107" t="str">
        <f aca="false">IF($C6917="","",$D6917*$E6917)</f>
        <v/>
      </c>
      <c r="G6917" s="107" t="str">
        <f aca="false">IF($C6917="","",$D6917*IFERROR(INDEX('تحليل التكلفة والسعر'!$C$2:$C$700,MATCH($C6917,'تحليل التكلفة والسعر'!$B$2:$B$700,0)),0))</f>
        <v/>
      </c>
    </row>
    <row r="6918" customFormat="false" ht="15" hidden="false" customHeight="false" outlineLevel="0" collapsed="false">
      <c r="A6918" s="103"/>
      <c r="B6918" s="104"/>
      <c r="C6918" s="104"/>
      <c r="E6918" s="107" t="str">
        <f aca="false">IF($C6918="","",IFERROR(INDEX(المنيو!$C$2:$C$500,MATCH($C6918,المنيو!$B$2:$B$500,0)),0))</f>
        <v/>
      </c>
      <c r="F6918" s="107" t="str">
        <f aca="false">IF($C6918="","",$D6918*$E6918)</f>
        <v/>
      </c>
      <c r="G6918" s="107" t="str">
        <f aca="false">IF($C6918="","",$D6918*IFERROR(INDEX('تحليل التكلفة والسعر'!$C$2:$C$700,MATCH($C6918,'تحليل التكلفة والسعر'!$B$2:$B$700,0)),0))</f>
        <v/>
      </c>
    </row>
    <row r="6919" customFormat="false" ht="15" hidden="false" customHeight="false" outlineLevel="0" collapsed="false">
      <c r="A6919" s="103"/>
      <c r="B6919" s="104"/>
      <c r="C6919" s="104"/>
      <c r="E6919" s="107" t="str">
        <f aca="false">IF($C6919="","",IFERROR(INDEX(المنيو!$C$2:$C$500,MATCH($C6919,المنيو!$B$2:$B$500,0)),0))</f>
        <v/>
      </c>
      <c r="F6919" s="107" t="str">
        <f aca="false">IF($C6919="","",$D6919*$E6919)</f>
        <v/>
      </c>
      <c r="G6919" s="107" t="str">
        <f aca="false">IF($C6919="","",$D6919*IFERROR(INDEX('تحليل التكلفة والسعر'!$C$2:$C$700,MATCH($C6919,'تحليل التكلفة والسعر'!$B$2:$B$700,0)),0))</f>
        <v/>
      </c>
    </row>
    <row r="6920" customFormat="false" ht="15" hidden="false" customHeight="false" outlineLevel="0" collapsed="false">
      <c r="A6920" s="103"/>
      <c r="B6920" s="104"/>
      <c r="C6920" s="104"/>
      <c r="E6920" s="107" t="str">
        <f aca="false">IF($C6920="","",IFERROR(INDEX(المنيو!$C$2:$C$500,MATCH($C6920,المنيو!$B$2:$B$500,0)),0))</f>
        <v/>
      </c>
      <c r="F6920" s="107" t="str">
        <f aca="false">IF($C6920="","",$D6920*$E6920)</f>
        <v/>
      </c>
      <c r="G6920" s="107" t="str">
        <f aca="false">IF($C6920="","",$D6920*IFERROR(INDEX('تحليل التكلفة والسعر'!$C$2:$C$700,MATCH($C6920,'تحليل التكلفة والسعر'!$B$2:$B$700,0)),0))</f>
        <v/>
      </c>
    </row>
    <row r="6921" customFormat="false" ht="15" hidden="false" customHeight="false" outlineLevel="0" collapsed="false">
      <c r="A6921" s="103"/>
      <c r="B6921" s="104"/>
      <c r="C6921" s="104"/>
      <c r="E6921" s="107" t="str">
        <f aca="false">IF($C6921="","",IFERROR(INDEX(المنيو!$C$2:$C$500,MATCH($C6921,المنيو!$B$2:$B$500,0)),0))</f>
        <v/>
      </c>
      <c r="F6921" s="107" t="str">
        <f aca="false">IF($C6921="","",$D6921*$E6921)</f>
        <v/>
      </c>
      <c r="G6921" s="107" t="str">
        <f aca="false">IF($C6921="","",$D6921*IFERROR(INDEX('تحليل التكلفة والسعر'!$C$2:$C$700,MATCH($C6921,'تحليل التكلفة والسعر'!$B$2:$B$700,0)),0))</f>
        <v/>
      </c>
    </row>
    <row r="6922" customFormat="false" ht="15" hidden="false" customHeight="false" outlineLevel="0" collapsed="false">
      <c r="A6922" s="103"/>
      <c r="B6922" s="104"/>
      <c r="C6922" s="104"/>
      <c r="E6922" s="107" t="str">
        <f aca="false">IF($C6922="","",IFERROR(INDEX(المنيو!$C$2:$C$500,MATCH($C6922,المنيو!$B$2:$B$500,0)),0))</f>
        <v/>
      </c>
      <c r="F6922" s="107" t="str">
        <f aca="false">IF($C6922="","",$D6922*$E6922)</f>
        <v/>
      </c>
      <c r="G6922" s="107" t="str">
        <f aca="false">IF($C6922="","",$D6922*IFERROR(INDEX('تحليل التكلفة والسعر'!$C$2:$C$700,MATCH($C6922,'تحليل التكلفة والسعر'!$B$2:$B$700,0)),0))</f>
        <v/>
      </c>
    </row>
    <row r="6923" customFormat="false" ht="15" hidden="false" customHeight="false" outlineLevel="0" collapsed="false">
      <c r="A6923" s="103"/>
      <c r="B6923" s="104"/>
      <c r="C6923" s="104"/>
      <c r="E6923" s="107" t="str">
        <f aca="false">IF($C6923="","",IFERROR(INDEX(المنيو!$C$2:$C$500,MATCH($C6923,المنيو!$B$2:$B$500,0)),0))</f>
        <v/>
      </c>
      <c r="F6923" s="107" t="str">
        <f aca="false">IF($C6923="","",$D6923*$E6923)</f>
        <v/>
      </c>
      <c r="G6923" s="107" t="str">
        <f aca="false">IF($C6923="","",$D6923*IFERROR(INDEX('تحليل التكلفة والسعر'!$C$2:$C$700,MATCH($C6923,'تحليل التكلفة والسعر'!$B$2:$B$700,0)),0))</f>
        <v/>
      </c>
    </row>
    <row r="6924" customFormat="false" ht="15" hidden="false" customHeight="false" outlineLevel="0" collapsed="false">
      <c r="A6924" s="103"/>
      <c r="B6924" s="104"/>
      <c r="C6924" s="104"/>
      <c r="E6924" s="107" t="str">
        <f aca="false">IF($C6924="","",IFERROR(INDEX(المنيو!$C$2:$C$500,MATCH($C6924,المنيو!$B$2:$B$500,0)),0))</f>
        <v/>
      </c>
      <c r="F6924" s="107" t="str">
        <f aca="false">IF($C6924="","",$D6924*$E6924)</f>
        <v/>
      </c>
      <c r="G6924" s="107" t="str">
        <f aca="false">IF($C6924="","",$D6924*IFERROR(INDEX('تحليل التكلفة والسعر'!$C$2:$C$700,MATCH($C6924,'تحليل التكلفة والسعر'!$B$2:$B$700,0)),0))</f>
        <v/>
      </c>
    </row>
    <row r="6925" customFormat="false" ht="15" hidden="false" customHeight="false" outlineLevel="0" collapsed="false">
      <c r="A6925" s="103"/>
      <c r="B6925" s="104"/>
      <c r="C6925" s="104"/>
      <c r="E6925" s="107" t="str">
        <f aca="false">IF($C6925="","",IFERROR(INDEX(المنيو!$C$2:$C$500,MATCH($C6925,المنيو!$B$2:$B$500,0)),0))</f>
        <v/>
      </c>
      <c r="F6925" s="107" t="str">
        <f aca="false">IF($C6925="","",$D6925*$E6925)</f>
        <v/>
      </c>
      <c r="G6925" s="107" t="str">
        <f aca="false">IF($C6925="","",$D6925*IFERROR(INDEX('تحليل التكلفة والسعر'!$C$2:$C$700,MATCH($C6925,'تحليل التكلفة والسعر'!$B$2:$B$700,0)),0))</f>
        <v/>
      </c>
    </row>
    <row r="6926" customFormat="false" ht="15" hidden="false" customHeight="false" outlineLevel="0" collapsed="false">
      <c r="A6926" s="103"/>
      <c r="B6926" s="104"/>
      <c r="C6926" s="104"/>
      <c r="E6926" s="107" t="str">
        <f aca="false">IF($C6926="","",IFERROR(INDEX(المنيو!$C$2:$C$500,MATCH($C6926,المنيو!$B$2:$B$500,0)),0))</f>
        <v/>
      </c>
      <c r="F6926" s="107" t="str">
        <f aca="false">IF($C6926="","",$D6926*$E6926)</f>
        <v/>
      </c>
      <c r="G6926" s="107" t="str">
        <f aca="false">IF($C6926="","",$D6926*IFERROR(INDEX('تحليل التكلفة والسعر'!$C$2:$C$700,MATCH($C6926,'تحليل التكلفة والسعر'!$B$2:$B$700,0)),0))</f>
        <v/>
      </c>
    </row>
    <row r="6927" customFormat="false" ht="15" hidden="false" customHeight="false" outlineLevel="0" collapsed="false">
      <c r="A6927" s="103"/>
      <c r="B6927" s="104"/>
      <c r="C6927" s="104"/>
      <c r="E6927" s="107" t="str">
        <f aca="false">IF($C6927="","",IFERROR(INDEX(المنيو!$C$2:$C$500,MATCH($C6927,المنيو!$B$2:$B$500,0)),0))</f>
        <v/>
      </c>
      <c r="F6927" s="107" t="str">
        <f aca="false">IF($C6927="","",$D6927*$E6927)</f>
        <v/>
      </c>
      <c r="G6927" s="107" t="str">
        <f aca="false">IF($C6927="","",$D6927*IFERROR(INDEX('تحليل التكلفة والسعر'!$C$2:$C$700,MATCH($C6927,'تحليل التكلفة والسعر'!$B$2:$B$700,0)),0))</f>
        <v/>
      </c>
    </row>
    <row r="6928" customFormat="false" ht="15" hidden="false" customHeight="false" outlineLevel="0" collapsed="false">
      <c r="A6928" s="103"/>
      <c r="B6928" s="104"/>
      <c r="C6928" s="104"/>
      <c r="E6928" s="107" t="str">
        <f aca="false">IF($C6928="","",IFERROR(INDEX(المنيو!$C$2:$C$500,MATCH($C6928,المنيو!$B$2:$B$500,0)),0))</f>
        <v/>
      </c>
      <c r="F6928" s="107" t="str">
        <f aca="false">IF($C6928="","",$D6928*$E6928)</f>
        <v/>
      </c>
      <c r="G6928" s="107" t="str">
        <f aca="false">IF($C6928="","",$D6928*IFERROR(INDEX('تحليل التكلفة والسعر'!$C$2:$C$700,MATCH($C6928,'تحليل التكلفة والسعر'!$B$2:$B$700,0)),0))</f>
        <v/>
      </c>
    </row>
    <row r="6929" customFormat="false" ht="15" hidden="false" customHeight="false" outlineLevel="0" collapsed="false">
      <c r="A6929" s="103"/>
      <c r="B6929" s="104"/>
      <c r="C6929" s="104"/>
      <c r="E6929" s="107" t="str">
        <f aca="false">IF($C6929="","",IFERROR(INDEX(المنيو!$C$2:$C$500,MATCH($C6929,المنيو!$B$2:$B$500,0)),0))</f>
        <v/>
      </c>
      <c r="F6929" s="107" t="str">
        <f aca="false">IF($C6929="","",$D6929*$E6929)</f>
        <v/>
      </c>
      <c r="G6929" s="107" t="str">
        <f aca="false">IF($C6929="","",$D6929*IFERROR(INDEX('تحليل التكلفة والسعر'!$C$2:$C$700,MATCH($C6929,'تحليل التكلفة والسعر'!$B$2:$B$700,0)),0))</f>
        <v/>
      </c>
    </row>
    <row r="6930" customFormat="false" ht="15" hidden="false" customHeight="false" outlineLevel="0" collapsed="false">
      <c r="A6930" s="103"/>
      <c r="B6930" s="104"/>
      <c r="C6930" s="104"/>
      <c r="E6930" s="107" t="str">
        <f aca="false">IF($C6930="","",IFERROR(INDEX(المنيو!$C$2:$C$500,MATCH($C6930,المنيو!$B$2:$B$500,0)),0))</f>
        <v/>
      </c>
      <c r="F6930" s="107" t="str">
        <f aca="false">IF($C6930="","",$D6930*$E6930)</f>
        <v/>
      </c>
      <c r="G6930" s="107" t="str">
        <f aca="false">IF($C6930="","",$D6930*IFERROR(INDEX('تحليل التكلفة والسعر'!$C$2:$C$700,MATCH($C6930,'تحليل التكلفة والسعر'!$B$2:$B$700,0)),0))</f>
        <v/>
      </c>
    </row>
    <row r="6931" customFormat="false" ht="15" hidden="false" customHeight="false" outlineLevel="0" collapsed="false">
      <c r="A6931" s="103"/>
      <c r="B6931" s="104"/>
      <c r="C6931" s="104"/>
      <c r="E6931" s="107" t="str">
        <f aca="false">IF($C6931="","",IFERROR(INDEX(المنيو!$C$2:$C$500,MATCH($C6931,المنيو!$B$2:$B$500,0)),0))</f>
        <v/>
      </c>
      <c r="F6931" s="107" t="str">
        <f aca="false">IF($C6931="","",$D6931*$E6931)</f>
        <v/>
      </c>
      <c r="G6931" s="107" t="str">
        <f aca="false">IF($C6931="","",$D6931*IFERROR(INDEX('تحليل التكلفة والسعر'!$C$2:$C$700,MATCH($C6931,'تحليل التكلفة والسعر'!$B$2:$B$700,0)),0))</f>
        <v/>
      </c>
    </row>
    <row r="6932" customFormat="false" ht="15" hidden="false" customHeight="false" outlineLevel="0" collapsed="false">
      <c r="A6932" s="103"/>
      <c r="B6932" s="104"/>
      <c r="C6932" s="104"/>
      <c r="E6932" s="107" t="str">
        <f aca="false">IF($C6932="","",IFERROR(INDEX(المنيو!$C$2:$C$500,MATCH($C6932,المنيو!$B$2:$B$500,0)),0))</f>
        <v/>
      </c>
      <c r="F6932" s="107" t="str">
        <f aca="false">IF($C6932="","",$D6932*$E6932)</f>
        <v/>
      </c>
      <c r="G6932" s="107" t="str">
        <f aca="false">IF($C6932="","",$D6932*IFERROR(INDEX('تحليل التكلفة والسعر'!$C$2:$C$700,MATCH($C6932,'تحليل التكلفة والسعر'!$B$2:$B$700,0)),0))</f>
        <v/>
      </c>
    </row>
    <row r="6933" customFormat="false" ht="15" hidden="false" customHeight="false" outlineLevel="0" collapsed="false">
      <c r="A6933" s="103"/>
      <c r="B6933" s="104"/>
      <c r="C6933" s="104"/>
      <c r="E6933" s="107" t="str">
        <f aca="false">IF($C6933="","",IFERROR(INDEX(المنيو!$C$2:$C$500,MATCH($C6933,المنيو!$B$2:$B$500,0)),0))</f>
        <v/>
      </c>
      <c r="F6933" s="107" t="str">
        <f aca="false">IF($C6933="","",$D6933*$E6933)</f>
        <v/>
      </c>
      <c r="G6933" s="107" t="str">
        <f aca="false">IF($C6933="","",$D6933*IFERROR(INDEX('تحليل التكلفة والسعر'!$C$2:$C$700,MATCH($C6933,'تحليل التكلفة والسعر'!$B$2:$B$700,0)),0))</f>
        <v/>
      </c>
    </row>
    <row r="6934" customFormat="false" ht="15" hidden="false" customHeight="false" outlineLevel="0" collapsed="false">
      <c r="A6934" s="103"/>
      <c r="B6934" s="104"/>
      <c r="C6934" s="104"/>
      <c r="E6934" s="107" t="str">
        <f aca="false">IF($C6934="","",IFERROR(INDEX(المنيو!$C$2:$C$500,MATCH($C6934,المنيو!$B$2:$B$500,0)),0))</f>
        <v/>
      </c>
      <c r="F6934" s="107" t="str">
        <f aca="false">IF($C6934="","",$D6934*$E6934)</f>
        <v/>
      </c>
      <c r="G6934" s="107" t="str">
        <f aca="false">IF($C6934="","",$D6934*IFERROR(INDEX('تحليل التكلفة والسعر'!$C$2:$C$700,MATCH($C6934,'تحليل التكلفة والسعر'!$B$2:$B$700,0)),0))</f>
        <v/>
      </c>
    </row>
    <row r="6935" customFormat="false" ht="15" hidden="false" customHeight="false" outlineLevel="0" collapsed="false">
      <c r="A6935" s="103"/>
      <c r="B6935" s="104"/>
      <c r="C6935" s="104"/>
      <c r="E6935" s="107" t="str">
        <f aca="false">IF($C6935="","",IFERROR(INDEX(المنيو!$C$2:$C$500,MATCH($C6935,المنيو!$B$2:$B$500,0)),0))</f>
        <v/>
      </c>
      <c r="F6935" s="107" t="str">
        <f aca="false">IF($C6935="","",$D6935*$E6935)</f>
        <v/>
      </c>
      <c r="G6935" s="107" t="str">
        <f aca="false">IF($C6935="","",$D6935*IFERROR(INDEX('تحليل التكلفة والسعر'!$C$2:$C$700,MATCH($C6935,'تحليل التكلفة والسعر'!$B$2:$B$700,0)),0))</f>
        <v/>
      </c>
    </row>
    <row r="6936" customFormat="false" ht="15" hidden="false" customHeight="false" outlineLevel="0" collapsed="false">
      <c r="A6936" s="103"/>
      <c r="B6936" s="104"/>
      <c r="C6936" s="104"/>
      <c r="E6936" s="107" t="str">
        <f aca="false">IF($C6936="","",IFERROR(INDEX(المنيو!$C$2:$C$500,MATCH($C6936,المنيو!$B$2:$B$500,0)),0))</f>
        <v/>
      </c>
      <c r="F6936" s="107" t="str">
        <f aca="false">IF($C6936="","",$D6936*$E6936)</f>
        <v/>
      </c>
      <c r="G6936" s="107" t="str">
        <f aca="false">IF($C6936="","",$D6936*IFERROR(INDEX('تحليل التكلفة والسعر'!$C$2:$C$700,MATCH($C6936,'تحليل التكلفة والسعر'!$B$2:$B$700,0)),0))</f>
        <v/>
      </c>
    </row>
    <row r="6937" customFormat="false" ht="15" hidden="false" customHeight="false" outlineLevel="0" collapsed="false">
      <c r="A6937" s="103"/>
      <c r="B6937" s="104"/>
      <c r="C6937" s="104"/>
      <c r="E6937" s="107" t="str">
        <f aca="false">IF($C6937="","",IFERROR(INDEX(المنيو!$C$2:$C$500,MATCH($C6937,المنيو!$B$2:$B$500,0)),0))</f>
        <v/>
      </c>
      <c r="F6937" s="107" t="str">
        <f aca="false">IF($C6937="","",$D6937*$E6937)</f>
        <v/>
      </c>
      <c r="G6937" s="107" t="str">
        <f aca="false">IF($C6937="","",$D6937*IFERROR(INDEX('تحليل التكلفة والسعر'!$C$2:$C$700,MATCH($C6937,'تحليل التكلفة والسعر'!$B$2:$B$700,0)),0))</f>
        <v/>
      </c>
    </row>
    <row r="6938" customFormat="false" ht="15" hidden="false" customHeight="false" outlineLevel="0" collapsed="false">
      <c r="A6938" s="103"/>
      <c r="B6938" s="104"/>
      <c r="C6938" s="104"/>
      <c r="E6938" s="107" t="str">
        <f aca="false">IF($C6938="","",IFERROR(INDEX(المنيو!$C$2:$C$500,MATCH($C6938,المنيو!$B$2:$B$500,0)),0))</f>
        <v/>
      </c>
      <c r="F6938" s="107" t="str">
        <f aca="false">IF($C6938="","",$D6938*$E6938)</f>
        <v/>
      </c>
      <c r="G6938" s="107" t="str">
        <f aca="false">IF($C6938="","",$D6938*IFERROR(INDEX('تحليل التكلفة والسعر'!$C$2:$C$700,MATCH($C6938,'تحليل التكلفة والسعر'!$B$2:$B$700,0)),0))</f>
        <v/>
      </c>
    </row>
    <row r="6939" customFormat="false" ht="15" hidden="false" customHeight="false" outlineLevel="0" collapsed="false">
      <c r="A6939" s="103"/>
      <c r="B6939" s="104"/>
      <c r="C6939" s="104"/>
      <c r="E6939" s="107" t="str">
        <f aca="false">IF($C6939="","",IFERROR(INDEX(المنيو!$C$2:$C$500,MATCH($C6939,المنيو!$B$2:$B$500,0)),0))</f>
        <v/>
      </c>
      <c r="F6939" s="107" t="str">
        <f aca="false">IF($C6939="","",$D6939*$E6939)</f>
        <v/>
      </c>
      <c r="G6939" s="107" t="str">
        <f aca="false">IF($C6939="","",$D6939*IFERROR(INDEX('تحليل التكلفة والسعر'!$C$2:$C$700,MATCH($C6939,'تحليل التكلفة والسعر'!$B$2:$B$700,0)),0))</f>
        <v/>
      </c>
    </row>
    <row r="6940" customFormat="false" ht="15" hidden="false" customHeight="false" outlineLevel="0" collapsed="false">
      <c r="A6940" s="103"/>
      <c r="B6940" s="104"/>
      <c r="C6940" s="104"/>
      <c r="E6940" s="107" t="str">
        <f aca="false">IF($C6940="","",IFERROR(INDEX(المنيو!$C$2:$C$500,MATCH($C6940,المنيو!$B$2:$B$500,0)),0))</f>
        <v/>
      </c>
      <c r="F6940" s="107" t="str">
        <f aca="false">IF($C6940="","",$D6940*$E6940)</f>
        <v/>
      </c>
      <c r="G6940" s="107" t="str">
        <f aca="false">IF($C6940="","",$D6940*IFERROR(INDEX('تحليل التكلفة والسعر'!$C$2:$C$700,MATCH($C6940,'تحليل التكلفة والسعر'!$B$2:$B$700,0)),0))</f>
        <v/>
      </c>
    </row>
    <row r="6941" customFormat="false" ht="15" hidden="false" customHeight="false" outlineLevel="0" collapsed="false">
      <c r="A6941" s="103"/>
      <c r="B6941" s="104"/>
      <c r="C6941" s="104"/>
      <c r="E6941" s="107" t="str">
        <f aca="false">IF($C6941="","",IFERROR(INDEX(المنيو!$C$2:$C$500,MATCH($C6941,المنيو!$B$2:$B$500,0)),0))</f>
        <v/>
      </c>
      <c r="F6941" s="107" t="str">
        <f aca="false">IF($C6941="","",$D6941*$E6941)</f>
        <v/>
      </c>
      <c r="G6941" s="107" t="str">
        <f aca="false">IF($C6941="","",$D6941*IFERROR(INDEX('تحليل التكلفة والسعر'!$C$2:$C$700,MATCH($C6941,'تحليل التكلفة والسعر'!$B$2:$B$700,0)),0))</f>
        <v/>
      </c>
    </row>
    <row r="6942" customFormat="false" ht="15" hidden="false" customHeight="false" outlineLevel="0" collapsed="false">
      <c r="A6942" s="103"/>
      <c r="B6942" s="104"/>
      <c r="C6942" s="104"/>
      <c r="E6942" s="107" t="str">
        <f aca="false">IF($C6942="","",IFERROR(INDEX(المنيو!$C$2:$C$500,MATCH($C6942,المنيو!$B$2:$B$500,0)),0))</f>
        <v/>
      </c>
      <c r="F6942" s="107" t="str">
        <f aca="false">IF($C6942="","",$D6942*$E6942)</f>
        <v/>
      </c>
      <c r="G6942" s="107" t="str">
        <f aca="false">IF($C6942="","",$D6942*IFERROR(INDEX('تحليل التكلفة والسعر'!$C$2:$C$700,MATCH($C6942,'تحليل التكلفة والسعر'!$B$2:$B$700,0)),0))</f>
        <v/>
      </c>
    </row>
    <row r="6943" customFormat="false" ht="15" hidden="false" customHeight="false" outlineLevel="0" collapsed="false">
      <c r="A6943" s="103"/>
      <c r="B6943" s="104"/>
      <c r="C6943" s="104"/>
      <c r="E6943" s="107" t="str">
        <f aca="false">IF($C6943="","",IFERROR(INDEX(المنيو!$C$2:$C$500,MATCH($C6943,المنيو!$B$2:$B$500,0)),0))</f>
        <v/>
      </c>
      <c r="F6943" s="107" t="str">
        <f aca="false">IF($C6943="","",$D6943*$E6943)</f>
        <v/>
      </c>
      <c r="G6943" s="107" t="str">
        <f aca="false">IF($C6943="","",$D6943*IFERROR(INDEX('تحليل التكلفة والسعر'!$C$2:$C$700,MATCH($C6943,'تحليل التكلفة والسعر'!$B$2:$B$700,0)),0))</f>
        <v/>
      </c>
    </row>
    <row r="6944" customFormat="false" ht="15" hidden="false" customHeight="false" outlineLevel="0" collapsed="false">
      <c r="A6944" s="103"/>
      <c r="B6944" s="104"/>
      <c r="C6944" s="104"/>
      <c r="E6944" s="107" t="str">
        <f aca="false">IF($C6944="","",IFERROR(INDEX(المنيو!$C$2:$C$500,MATCH($C6944,المنيو!$B$2:$B$500,0)),0))</f>
        <v/>
      </c>
      <c r="F6944" s="107" t="str">
        <f aca="false">IF($C6944="","",$D6944*$E6944)</f>
        <v/>
      </c>
      <c r="G6944" s="107" t="str">
        <f aca="false">IF($C6944="","",$D6944*IFERROR(INDEX('تحليل التكلفة والسعر'!$C$2:$C$700,MATCH($C6944,'تحليل التكلفة والسعر'!$B$2:$B$700,0)),0))</f>
        <v/>
      </c>
    </row>
    <row r="6945" customFormat="false" ht="15" hidden="false" customHeight="false" outlineLevel="0" collapsed="false">
      <c r="A6945" s="103"/>
      <c r="B6945" s="104"/>
      <c r="C6945" s="104"/>
      <c r="E6945" s="107" t="str">
        <f aca="false">IF($C6945="","",IFERROR(INDEX(المنيو!$C$2:$C$500,MATCH($C6945,المنيو!$B$2:$B$500,0)),0))</f>
        <v/>
      </c>
      <c r="F6945" s="107" t="str">
        <f aca="false">IF($C6945="","",$D6945*$E6945)</f>
        <v/>
      </c>
      <c r="G6945" s="107" t="str">
        <f aca="false">IF($C6945="","",$D6945*IFERROR(INDEX('تحليل التكلفة والسعر'!$C$2:$C$700,MATCH($C6945,'تحليل التكلفة والسعر'!$B$2:$B$700,0)),0))</f>
        <v/>
      </c>
    </row>
    <row r="6946" customFormat="false" ht="15" hidden="false" customHeight="false" outlineLevel="0" collapsed="false">
      <c r="A6946" s="103"/>
      <c r="B6946" s="104"/>
      <c r="C6946" s="104"/>
      <c r="E6946" s="107" t="str">
        <f aca="false">IF($C6946="","",IFERROR(INDEX(المنيو!$C$2:$C$500,MATCH($C6946,المنيو!$B$2:$B$500,0)),0))</f>
        <v/>
      </c>
      <c r="F6946" s="107" t="str">
        <f aca="false">IF($C6946="","",$D6946*$E6946)</f>
        <v/>
      </c>
      <c r="G6946" s="107" t="str">
        <f aca="false">IF($C6946="","",$D6946*IFERROR(INDEX('تحليل التكلفة والسعر'!$C$2:$C$700,MATCH($C6946,'تحليل التكلفة والسعر'!$B$2:$B$700,0)),0))</f>
        <v/>
      </c>
    </row>
    <row r="6947" customFormat="false" ht="15" hidden="false" customHeight="false" outlineLevel="0" collapsed="false">
      <c r="A6947" s="103"/>
      <c r="B6947" s="104"/>
      <c r="C6947" s="104"/>
      <c r="E6947" s="107" t="str">
        <f aca="false">IF($C6947="","",IFERROR(INDEX(المنيو!$C$2:$C$500,MATCH($C6947,المنيو!$B$2:$B$500,0)),0))</f>
        <v/>
      </c>
      <c r="F6947" s="107" t="str">
        <f aca="false">IF($C6947="","",$D6947*$E6947)</f>
        <v/>
      </c>
      <c r="G6947" s="107" t="str">
        <f aca="false">IF($C6947="","",$D6947*IFERROR(INDEX('تحليل التكلفة والسعر'!$C$2:$C$700,MATCH($C6947,'تحليل التكلفة والسعر'!$B$2:$B$700,0)),0))</f>
        <v/>
      </c>
    </row>
    <row r="6948" customFormat="false" ht="15" hidden="false" customHeight="false" outlineLevel="0" collapsed="false">
      <c r="A6948" s="103"/>
      <c r="B6948" s="104"/>
      <c r="C6948" s="104"/>
      <c r="E6948" s="107" t="str">
        <f aca="false">IF($C6948="","",IFERROR(INDEX(المنيو!$C$2:$C$500,MATCH($C6948,المنيو!$B$2:$B$500,0)),0))</f>
        <v/>
      </c>
      <c r="F6948" s="107" t="str">
        <f aca="false">IF($C6948="","",$D6948*$E6948)</f>
        <v/>
      </c>
      <c r="G6948" s="107" t="str">
        <f aca="false">IF($C6948="","",$D6948*IFERROR(INDEX('تحليل التكلفة والسعر'!$C$2:$C$700,MATCH($C6948,'تحليل التكلفة والسعر'!$B$2:$B$700,0)),0))</f>
        <v/>
      </c>
    </row>
    <row r="6949" customFormat="false" ht="15" hidden="false" customHeight="false" outlineLevel="0" collapsed="false">
      <c r="A6949" s="103"/>
      <c r="B6949" s="104"/>
      <c r="C6949" s="104"/>
      <c r="E6949" s="107" t="str">
        <f aca="false">IF($C6949="","",IFERROR(INDEX(المنيو!$C$2:$C$500,MATCH($C6949,المنيو!$B$2:$B$500,0)),0))</f>
        <v/>
      </c>
      <c r="F6949" s="107" t="str">
        <f aca="false">IF($C6949="","",$D6949*$E6949)</f>
        <v/>
      </c>
      <c r="G6949" s="107" t="str">
        <f aca="false">IF($C6949="","",$D6949*IFERROR(INDEX('تحليل التكلفة والسعر'!$C$2:$C$700,MATCH($C6949,'تحليل التكلفة والسعر'!$B$2:$B$700,0)),0))</f>
        <v/>
      </c>
    </row>
    <row r="6950" customFormat="false" ht="15" hidden="false" customHeight="false" outlineLevel="0" collapsed="false">
      <c r="A6950" s="103"/>
      <c r="B6950" s="104"/>
      <c r="C6950" s="104"/>
      <c r="E6950" s="107" t="str">
        <f aca="false">IF($C6950="","",IFERROR(INDEX(المنيو!$C$2:$C$500,MATCH($C6950,المنيو!$B$2:$B$500,0)),0))</f>
        <v/>
      </c>
      <c r="F6950" s="107" t="str">
        <f aca="false">IF($C6950="","",$D6950*$E6950)</f>
        <v/>
      </c>
      <c r="G6950" s="107" t="str">
        <f aca="false">IF($C6950="","",$D6950*IFERROR(INDEX('تحليل التكلفة والسعر'!$C$2:$C$700,MATCH($C6950,'تحليل التكلفة والسعر'!$B$2:$B$700,0)),0))</f>
        <v/>
      </c>
    </row>
    <row r="6951" customFormat="false" ht="15" hidden="false" customHeight="false" outlineLevel="0" collapsed="false">
      <c r="A6951" s="103"/>
      <c r="B6951" s="104"/>
      <c r="C6951" s="104"/>
      <c r="E6951" s="107" t="str">
        <f aca="false">IF($C6951="","",IFERROR(INDEX(المنيو!$C$2:$C$500,MATCH($C6951,المنيو!$B$2:$B$500,0)),0))</f>
        <v/>
      </c>
      <c r="F6951" s="107" t="str">
        <f aca="false">IF($C6951="","",$D6951*$E6951)</f>
        <v/>
      </c>
      <c r="G6951" s="107" t="str">
        <f aca="false">IF($C6951="","",$D6951*IFERROR(INDEX('تحليل التكلفة والسعر'!$C$2:$C$700,MATCH($C6951,'تحليل التكلفة والسعر'!$B$2:$B$700,0)),0))</f>
        <v/>
      </c>
    </row>
    <row r="6952" customFormat="false" ht="15" hidden="false" customHeight="false" outlineLevel="0" collapsed="false">
      <c r="A6952" s="103"/>
      <c r="B6952" s="104"/>
      <c r="C6952" s="104"/>
      <c r="E6952" s="107" t="str">
        <f aca="false">IF($C6952="","",IFERROR(INDEX(المنيو!$C$2:$C$500,MATCH($C6952,المنيو!$B$2:$B$500,0)),0))</f>
        <v/>
      </c>
      <c r="F6952" s="107" t="str">
        <f aca="false">IF($C6952="","",$D6952*$E6952)</f>
        <v/>
      </c>
      <c r="G6952" s="107" t="str">
        <f aca="false">IF($C6952="","",$D6952*IFERROR(INDEX('تحليل التكلفة والسعر'!$C$2:$C$700,MATCH($C6952,'تحليل التكلفة والسعر'!$B$2:$B$700,0)),0))</f>
        <v/>
      </c>
    </row>
    <row r="6953" customFormat="false" ht="15" hidden="false" customHeight="false" outlineLevel="0" collapsed="false">
      <c r="A6953" s="103"/>
      <c r="B6953" s="104"/>
      <c r="C6953" s="104"/>
      <c r="E6953" s="107" t="str">
        <f aca="false">IF($C6953="","",IFERROR(INDEX(المنيو!$C$2:$C$500,MATCH($C6953,المنيو!$B$2:$B$500,0)),0))</f>
        <v/>
      </c>
      <c r="F6953" s="107" t="str">
        <f aca="false">IF($C6953="","",$D6953*$E6953)</f>
        <v/>
      </c>
      <c r="G6953" s="107" t="str">
        <f aca="false">IF($C6953="","",$D6953*IFERROR(INDEX('تحليل التكلفة والسعر'!$C$2:$C$700,MATCH($C6953,'تحليل التكلفة والسعر'!$B$2:$B$700,0)),0))</f>
        <v/>
      </c>
    </row>
    <row r="6954" customFormat="false" ht="15" hidden="false" customHeight="false" outlineLevel="0" collapsed="false">
      <c r="A6954" s="103"/>
      <c r="B6954" s="104"/>
      <c r="C6954" s="104"/>
      <c r="E6954" s="107" t="str">
        <f aca="false">IF($C6954="","",IFERROR(INDEX(المنيو!$C$2:$C$500,MATCH($C6954,المنيو!$B$2:$B$500,0)),0))</f>
        <v/>
      </c>
      <c r="F6954" s="107" t="str">
        <f aca="false">IF($C6954="","",$D6954*$E6954)</f>
        <v/>
      </c>
      <c r="G6954" s="107" t="str">
        <f aca="false">IF($C6954="","",$D6954*IFERROR(INDEX('تحليل التكلفة والسعر'!$C$2:$C$700,MATCH($C6954,'تحليل التكلفة والسعر'!$B$2:$B$700,0)),0))</f>
        <v/>
      </c>
    </row>
    <row r="6955" customFormat="false" ht="15" hidden="false" customHeight="false" outlineLevel="0" collapsed="false">
      <c r="A6955" s="103"/>
      <c r="B6955" s="104"/>
      <c r="C6955" s="104"/>
      <c r="E6955" s="107" t="str">
        <f aca="false">IF($C6955="","",IFERROR(INDEX(المنيو!$C$2:$C$500,MATCH($C6955,المنيو!$B$2:$B$500,0)),0))</f>
        <v/>
      </c>
      <c r="F6955" s="107" t="str">
        <f aca="false">IF($C6955="","",$D6955*$E6955)</f>
        <v/>
      </c>
      <c r="G6955" s="107" t="str">
        <f aca="false">IF($C6955="","",$D6955*IFERROR(INDEX('تحليل التكلفة والسعر'!$C$2:$C$700,MATCH($C6955,'تحليل التكلفة والسعر'!$B$2:$B$700,0)),0))</f>
        <v/>
      </c>
    </row>
    <row r="6956" customFormat="false" ht="15" hidden="false" customHeight="false" outlineLevel="0" collapsed="false">
      <c r="A6956" s="103"/>
      <c r="B6956" s="104"/>
      <c r="C6956" s="104"/>
      <c r="E6956" s="107" t="str">
        <f aca="false">IF($C6956="","",IFERROR(INDEX(المنيو!$C$2:$C$500,MATCH($C6956,المنيو!$B$2:$B$500,0)),0))</f>
        <v/>
      </c>
      <c r="F6956" s="107" t="str">
        <f aca="false">IF($C6956="","",$D6956*$E6956)</f>
        <v/>
      </c>
      <c r="G6956" s="107" t="str">
        <f aca="false">IF($C6956="","",$D6956*IFERROR(INDEX('تحليل التكلفة والسعر'!$C$2:$C$700,MATCH($C6956,'تحليل التكلفة والسعر'!$B$2:$B$700,0)),0))</f>
        <v/>
      </c>
    </row>
    <row r="6957" customFormat="false" ht="15" hidden="false" customHeight="false" outlineLevel="0" collapsed="false">
      <c r="A6957" s="103"/>
      <c r="B6957" s="104"/>
      <c r="C6957" s="104"/>
      <c r="E6957" s="107" t="str">
        <f aca="false">IF($C6957="","",IFERROR(INDEX(المنيو!$C$2:$C$500,MATCH($C6957,المنيو!$B$2:$B$500,0)),0))</f>
        <v/>
      </c>
      <c r="F6957" s="107" t="str">
        <f aca="false">IF($C6957="","",$D6957*$E6957)</f>
        <v/>
      </c>
      <c r="G6957" s="107" t="str">
        <f aca="false">IF($C6957="","",$D6957*IFERROR(INDEX('تحليل التكلفة والسعر'!$C$2:$C$700,MATCH($C6957,'تحليل التكلفة والسعر'!$B$2:$B$700,0)),0))</f>
        <v/>
      </c>
    </row>
    <row r="6958" customFormat="false" ht="15" hidden="false" customHeight="false" outlineLevel="0" collapsed="false">
      <c r="A6958" s="103"/>
      <c r="B6958" s="104"/>
      <c r="C6958" s="104"/>
      <c r="E6958" s="107" t="str">
        <f aca="false">IF($C6958="","",IFERROR(INDEX(المنيو!$C$2:$C$500,MATCH($C6958,المنيو!$B$2:$B$500,0)),0))</f>
        <v/>
      </c>
      <c r="F6958" s="107" t="str">
        <f aca="false">IF($C6958="","",$D6958*$E6958)</f>
        <v/>
      </c>
      <c r="G6958" s="107" t="str">
        <f aca="false">IF($C6958="","",$D6958*IFERROR(INDEX('تحليل التكلفة والسعر'!$C$2:$C$700,MATCH($C6958,'تحليل التكلفة والسعر'!$B$2:$B$700,0)),0))</f>
        <v/>
      </c>
    </row>
    <row r="6959" customFormat="false" ht="15" hidden="false" customHeight="false" outlineLevel="0" collapsed="false">
      <c r="A6959" s="103"/>
      <c r="B6959" s="104"/>
      <c r="C6959" s="104"/>
      <c r="E6959" s="107" t="str">
        <f aca="false">IF($C6959="","",IFERROR(INDEX(المنيو!$C$2:$C$500,MATCH($C6959,المنيو!$B$2:$B$500,0)),0))</f>
        <v/>
      </c>
      <c r="F6959" s="107" t="str">
        <f aca="false">IF($C6959="","",$D6959*$E6959)</f>
        <v/>
      </c>
      <c r="G6959" s="107" t="str">
        <f aca="false">IF($C6959="","",$D6959*IFERROR(INDEX('تحليل التكلفة والسعر'!$C$2:$C$700,MATCH($C6959,'تحليل التكلفة والسعر'!$B$2:$B$700,0)),0))</f>
        <v/>
      </c>
    </row>
    <row r="6960" customFormat="false" ht="15" hidden="false" customHeight="false" outlineLevel="0" collapsed="false">
      <c r="A6960" s="103"/>
      <c r="B6960" s="104"/>
      <c r="C6960" s="104"/>
      <c r="E6960" s="107" t="str">
        <f aca="false">IF($C6960="","",IFERROR(INDEX(المنيو!$C$2:$C$500,MATCH($C6960,المنيو!$B$2:$B$500,0)),0))</f>
        <v/>
      </c>
      <c r="F6960" s="107" t="str">
        <f aca="false">IF($C6960="","",$D6960*$E6960)</f>
        <v/>
      </c>
      <c r="G6960" s="107" t="str">
        <f aca="false">IF($C6960="","",$D6960*IFERROR(INDEX('تحليل التكلفة والسعر'!$C$2:$C$700,MATCH($C6960,'تحليل التكلفة والسعر'!$B$2:$B$700,0)),0))</f>
        <v/>
      </c>
    </row>
    <row r="6961" customFormat="false" ht="15" hidden="false" customHeight="false" outlineLevel="0" collapsed="false">
      <c r="A6961" s="103"/>
      <c r="B6961" s="104"/>
      <c r="C6961" s="104"/>
      <c r="E6961" s="107" t="str">
        <f aca="false">IF($C6961="","",IFERROR(INDEX(المنيو!$C$2:$C$500,MATCH($C6961,المنيو!$B$2:$B$500,0)),0))</f>
        <v/>
      </c>
      <c r="F6961" s="107" t="str">
        <f aca="false">IF($C6961="","",$D6961*$E6961)</f>
        <v/>
      </c>
      <c r="G6961" s="107" t="str">
        <f aca="false">IF($C6961="","",$D6961*IFERROR(INDEX('تحليل التكلفة والسعر'!$C$2:$C$700,MATCH($C6961,'تحليل التكلفة والسعر'!$B$2:$B$700,0)),0))</f>
        <v/>
      </c>
    </row>
    <row r="6962" customFormat="false" ht="15" hidden="false" customHeight="false" outlineLevel="0" collapsed="false">
      <c r="A6962" s="103"/>
      <c r="B6962" s="104"/>
      <c r="C6962" s="104"/>
      <c r="E6962" s="107" t="str">
        <f aca="false">IF($C6962="","",IFERROR(INDEX(المنيو!$C$2:$C$500,MATCH($C6962,المنيو!$B$2:$B$500,0)),0))</f>
        <v/>
      </c>
      <c r="F6962" s="107" t="str">
        <f aca="false">IF($C6962="","",$D6962*$E6962)</f>
        <v/>
      </c>
      <c r="G6962" s="107" t="str">
        <f aca="false">IF($C6962="","",$D6962*IFERROR(INDEX('تحليل التكلفة والسعر'!$C$2:$C$700,MATCH($C6962,'تحليل التكلفة والسعر'!$B$2:$B$700,0)),0))</f>
        <v/>
      </c>
    </row>
    <row r="6963" customFormat="false" ht="15" hidden="false" customHeight="false" outlineLevel="0" collapsed="false">
      <c r="A6963" s="103"/>
      <c r="B6963" s="104"/>
      <c r="C6963" s="104"/>
      <c r="E6963" s="107" t="str">
        <f aca="false">IF($C6963="","",IFERROR(INDEX(المنيو!$C$2:$C$500,MATCH($C6963,المنيو!$B$2:$B$500,0)),0))</f>
        <v/>
      </c>
      <c r="F6963" s="107" t="str">
        <f aca="false">IF($C6963="","",$D6963*$E6963)</f>
        <v/>
      </c>
      <c r="G6963" s="107" t="str">
        <f aca="false">IF($C6963="","",$D6963*IFERROR(INDEX('تحليل التكلفة والسعر'!$C$2:$C$700,MATCH($C6963,'تحليل التكلفة والسعر'!$B$2:$B$700,0)),0))</f>
        <v/>
      </c>
    </row>
    <row r="6964" customFormat="false" ht="15" hidden="false" customHeight="false" outlineLevel="0" collapsed="false">
      <c r="A6964" s="103"/>
      <c r="B6964" s="104"/>
      <c r="C6964" s="104"/>
      <c r="E6964" s="107" t="str">
        <f aca="false">IF($C6964="","",IFERROR(INDEX(المنيو!$C$2:$C$500,MATCH($C6964,المنيو!$B$2:$B$500,0)),0))</f>
        <v/>
      </c>
      <c r="F6964" s="107" t="str">
        <f aca="false">IF($C6964="","",$D6964*$E6964)</f>
        <v/>
      </c>
      <c r="G6964" s="107" t="str">
        <f aca="false">IF($C6964="","",$D6964*IFERROR(INDEX('تحليل التكلفة والسعر'!$C$2:$C$700,MATCH($C6964,'تحليل التكلفة والسعر'!$B$2:$B$700,0)),0))</f>
        <v/>
      </c>
    </row>
    <row r="6965" customFormat="false" ht="15" hidden="false" customHeight="false" outlineLevel="0" collapsed="false">
      <c r="A6965" s="103"/>
      <c r="B6965" s="104"/>
      <c r="C6965" s="104"/>
      <c r="E6965" s="107" t="str">
        <f aca="false">IF($C6965="","",IFERROR(INDEX(المنيو!$C$2:$C$500,MATCH($C6965,المنيو!$B$2:$B$500,0)),0))</f>
        <v/>
      </c>
      <c r="F6965" s="107" t="str">
        <f aca="false">IF($C6965="","",$D6965*$E6965)</f>
        <v/>
      </c>
      <c r="G6965" s="107" t="str">
        <f aca="false">IF($C6965="","",$D6965*IFERROR(INDEX('تحليل التكلفة والسعر'!$C$2:$C$700,MATCH($C6965,'تحليل التكلفة والسعر'!$B$2:$B$700,0)),0))</f>
        <v/>
      </c>
    </row>
    <row r="6966" customFormat="false" ht="15" hidden="false" customHeight="false" outlineLevel="0" collapsed="false">
      <c r="A6966" s="103"/>
      <c r="B6966" s="104"/>
      <c r="C6966" s="104"/>
      <c r="E6966" s="107" t="str">
        <f aca="false">IF($C6966="","",IFERROR(INDEX(المنيو!$C$2:$C$500,MATCH($C6966,المنيو!$B$2:$B$500,0)),0))</f>
        <v/>
      </c>
      <c r="F6966" s="107" t="str">
        <f aca="false">IF($C6966="","",$D6966*$E6966)</f>
        <v/>
      </c>
      <c r="G6966" s="107" t="str">
        <f aca="false">IF($C6966="","",$D6966*IFERROR(INDEX('تحليل التكلفة والسعر'!$C$2:$C$700,MATCH($C6966,'تحليل التكلفة والسعر'!$B$2:$B$700,0)),0))</f>
        <v/>
      </c>
    </row>
    <row r="6967" customFormat="false" ht="15" hidden="false" customHeight="false" outlineLevel="0" collapsed="false">
      <c r="A6967" s="103"/>
      <c r="B6967" s="104"/>
      <c r="C6967" s="104"/>
      <c r="E6967" s="107" t="str">
        <f aca="false">IF($C6967="","",IFERROR(INDEX(المنيو!$C$2:$C$500,MATCH($C6967,المنيو!$B$2:$B$500,0)),0))</f>
        <v/>
      </c>
      <c r="F6967" s="107" t="str">
        <f aca="false">IF($C6967="","",$D6967*$E6967)</f>
        <v/>
      </c>
      <c r="G6967" s="107" t="str">
        <f aca="false">IF($C6967="","",$D6967*IFERROR(INDEX('تحليل التكلفة والسعر'!$C$2:$C$700,MATCH($C6967,'تحليل التكلفة والسعر'!$B$2:$B$700,0)),0))</f>
        <v/>
      </c>
    </row>
    <row r="6968" customFormat="false" ht="15" hidden="false" customHeight="false" outlineLevel="0" collapsed="false">
      <c r="A6968" s="103"/>
      <c r="B6968" s="104"/>
      <c r="C6968" s="104"/>
      <c r="E6968" s="107" t="str">
        <f aca="false">IF($C6968="","",IFERROR(INDEX(المنيو!$C$2:$C$500,MATCH($C6968,المنيو!$B$2:$B$500,0)),0))</f>
        <v/>
      </c>
      <c r="F6968" s="107" t="str">
        <f aca="false">IF($C6968="","",$D6968*$E6968)</f>
        <v/>
      </c>
      <c r="G6968" s="107" t="str">
        <f aca="false">IF($C6968="","",$D6968*IFERROR(INDEX('تحليل التكلفة والسعر'!$C$2:$C$700,MATCH($C6968,'تحليل التكلفة والسعر'!$B$2:$B$700,0)),0))</f>
        <v/>
      </c>
    </row>
    <row r="6969" customFormat="false" ht="15" hidden="false" customHeight="false" outlineLevel="0" collapsed="false">
      <c r="A6969" s="103"/>
      <c r="B6969" s="104"/>
      <c r="C6969" s="104"/>
      <c r="E6969" s="107" t="str">
        <f aca="false">IF($C6969="","",IFERROR(INDEX(المنيو!$C$2:$C$500,MATCH($C6969,المنيو!$B$2:$B$500,0)),0))</f>
        <v/>
      </c>
      <c r="F6969" s="107" t="str">
        <f aca="false">IF($C6969="","",$D6969*$E6969)</f>
        <v/>
      </c>
      <c r="G6969" s="107" t="str">
        <f aca="false">IF($C6969="","",$D6969*IFERROR(INDEX('تحليل التكلفة والسعر'!$C$2:$C$700,MATCH($C6969,'تحليل التكلفة والسعر'!$B$2:$B$700,0)),0))</f>
        <v/>
      </c>
    </row>
    <row r="6970" customFormat="false" ht="15" hidden="false" customHeight="false" outlineLevel="0" collapsed="false">
      <c r="A6970" s="103"/>
      <c r="B6970" s="104"/>
      <c r="C6970" s="104"/>
      <c r="E6970" s="107" t="str">
        <f aca="false">IF($C6970="","",IFERROR(INDEX(المنيو!$C$2:$C$500,MATCH($C6970,المنيو!$B$2:$B$500,0)),0))</f>
        <v/>
      </c>
      <c r="F6970" s="107" t="str">
        <f aca="false">IF($C6970="","",$D6970*$E6970)</f>
        <v/>
      </c>
      <c r="G6970" s="107" t="str">
        <f aca="false">IF($C6970="","",$D6970*IFERROR(INDEX('تحليل التكلفة والسعر'!$C$2:$C$700,MATCH($C6970,'تحليل التكلفة والسعر'!$B$2:$B$700,0)),0))</f>
        <v/>
      </c>
    </row>
    <row r="6971" customFormat="false" ht="15" hidden="false" customHeight="false" outlineLevel="0" collapsed="false">
      <c r="A6971" s="103"/>
      <c r="B6971" s="104"/>
      <c r="C6971" s="104"/>
      <c r="E6971" s="107" t="str">
        <f aca="false">IF($C6971="","",IFERROR(INDEX(المنيو!$C$2:$C$500,MATCH($C6971,المنيو!$B$2:$B$500,0)),0))</f>
        <v/>
      </c>
      <c r="F6971" s="107" t="str">
        <f aca="false">IF($C6971="","",$D6971*$E6971)</f>
        <v/>
      </c>
      <c r="G6971" s="107" t="str">
        <f aca="false">IF($C6971="","",$D6971*IFERROR(INDEX('تحليل التكلفة والسعر'!$C$2:$C$700,MATCH($C6971,'تحليل التكلفة والسعر'!$B$2:$B$700,0)),0))</f>
        <v/>
      </c>
    </row>
    <row r="6972" customFormat="false" ht="15" hidden="false" customHeight="false" outlineLevel="0" collapsed="false">
      <c r="A6972" s="103"/>
      <c r="B6972" s="104"/>
      <c r="C6972" s="104"/>
      <c r="E6972" s="107" t="str">
        <f aca="false">IF($C6972="","",IFERROR(INDEX(المنيو!$C$2:$C$500,MATCH($C6972,المنيو!$B$2:$B$500,0)),0))</f>
        <v/>
      </c>
      <c r="F6972" s="107" t="str">
        <f aca="false">IF($C6972="","",$D6972*$E6972)</f>
        <v/>
      </c>
      <c r="G6972" s="107" t="str">
        <f aca="false">IF($C6972="","",$D6972*IFERROR(INDEX('تحليل التكلفة والسعر'!$C$2:$C$700,MATCH($C6972,'تحليل التكلفة والسعر'!$B$2:$B$700,0)),0))</f>
        <v/>
      </c>
    </row>
    <row r="6973" customFormat="false" ht="15" hidden="false" customHeight="false" outlineLevel="0" collapsed="false">
      <c r="A6973" s="103"/>
      <c r="B6973" s="104"/>
      <c r="C6973" s="104"/>
      <c r="E6973" s="107" t="str">
        <f aca="false">IF($C6973="","",IFERROR(INDEX(المنيو!$C$2:$C$500,MATCH($C6973,المنيو!$B$2:$B$500,0)),0))</f>
        <v/>
      </c>
      <c r="F6973" s="107" t="str">
        <f aca="false">IF($C6973="","",$D6973*$E6973)</f>
        <v/>
      </c>
      <c r="G6973" s="107" t="str">
        <f aca="false">IF($C6973="","",$D6973*IFERROR(INDEX('تحليل التكلفة والسعر'!$C$2:$C$700,MATCH($C6973,'تحليل التكلفة والسعر'!$B$2:$B$700,0)),0))</f>
        <v/>
      </c>
    </row>
    <row r="6974" customFormat="false" ht="15" hidden="false" customHeight="false" outlineLevel="0" collapsed="false">
      <c r="A6974" s="103"/>
      <c r="B6974" s="104"/>
      <c r="C6974" s="104"/>
      <c r="E6974" s="107" t="str">
        <f aca="false">IF($C6974="","",IFERROR(INDEX(المنيو!$C$2:$C$500,MATCH($C6974,المنيو!$B$2:$B$500,0)),0))</f>
        <v/>
      </c>
      <c r="F6974" s="107" t="str">
        <f aca="false">IF($C6974="","",$D6974*$E6974)</f>
        <v/>
      </c>
      <c r="G6974" s="107" t="str">
        <f aca="false">IF($C6974="","",$D6974*IFERROR(INDEX('تحليل التكلفة والسعر'!$C$2:$C$700,MATCH($C6974,'تحليل التكلفة والسعر'!$B$2:$B$700,0)),0))</f>
        <v/>
      </c>
    </row>
    <row r="6975" customFormat="false" ht="15" hidden="false" customHeight="false" outlineLevel="0" collapsed="false">
      <c r="A6975" s="103"/>
      <c r="B6975" s="104"/>
      <c r="C6975" s="104"/>
      <c r="E6975" s="107" t="str">
        <f aca="false">IF($C6975="","",IFERROR(INDEX(المنيو!$C$2:$C$500,MATCH($C6975,المنيو!$B$2:$B$500,0)),0))</f>
        <v/>
      </c>
      <c r="F6975" s="107" t="str">
        <f aca="false">IF($C6975="","",$D6975*$E6975)</f>
        <v/>
      </c>
      <c r="G6975" s="107" t="str">
        <f aca="false">IF($C6975="","",$D6975*IFERROR(INDEX('تحليل التكلفة والسعر'!$C$2:$C$700,MATCH($C6975,'تحليل التكلفة والسعر'!$B$2:$B$700,0)),0))</f>
        <v/>
      </c>
    </row>
    <row r="6976" customFormat="false" ht="15" hidden="false" customHeight="false" outlineLevel="0" collapsed="false">
      <c r="A6976" s="103"/>
      <c r="B6976" s="104"/>
      <c r="C6976" s="104"/>
      <c r="E6976" s="107" t="str">
        <f aca="false">IF($C6976="","",IFERROR(INDEX(المنيو!$C$2:$C$500,MATCH($C6976,المنيو!$B$2:$B$500,0)),0))</f>
        <v/>
      </c>
      <c r="F6976" s="107" t="str">
        <f aca="false">IF($C6976="","",$D6976*$E6976)</f>
        <v/>
      </c>
      <c r="G6976" s="107" t="str">
        <f aca="false">IF($C6976="","",$D6976*IFERROR(INDEX('تحليل التكلفة والسعر'!$C$2:$C$700,MATCH($C6976,'تحليل التكلفة والسعر'!$B$2:$B$700,0)),0))</f>
        <v/>
      </c>
    </row>
    <row r="6977" customFormat="false" ht="15" hidden="false" customHeight="false" outlineLevel="0" collapsed="false">
      <c r="A6977" s="103"/>
      <c r="B6977" s="104"/>
      <c r="C6977" s="104"/>
      <c r="E6977" s="107" t="str">
        <f aca="false">IF($C6977="","",IFERROR(INDEX(المنيو!$C$2:$C$500,MATCH($C6977,المنيو!$B$2:$B$500,0)),0))</f>
        <v/>
      </c>
      <c r="F6977" s="107" t="str">
        <f aca="false">IF($C6977="","",$D6977*$E6977)</f>
        <v/>
      </c>
      <c r="G6977" s="107" t="str">
        <f aca="false">IF($C6977="","",$D6977*IFERROR(INDEX('تحليل التكلفة والسعر'!$C$2:$C$700,MATCH($C6977,'تحليل التكلفة والسعر'!$B$2:$B$700,0)),0))</f>
        <v/>
      </c>
    </row>
    <row r="6978" customFormat="false" ht="15" hidden="false" customHeight="false" outlineLevel="0" collapsed="false">
      <c r="A6978" s="103"/>
      <c r="B6978" s="104"/>
      <c r="C6978" s="104"/>
      <c r="E6978" s="107" t="str">
        <f aca="false">IF($C6978="","",IFERROR(INDEX(المنيو!$C$2:$C$500,MATCH($C6978,المنيو!$B$2:$B$500,0)),0))</f>
        <v/>
      </c>
      <c r="F6978" s="107" t="str">
        <f aca="false">IF($C6978="","",$D6978*$E6978)</f>
        <v/>
      </c>
      <c r="G6978" s="107" t="str">
        <f aca="false">IF($C6978="","",$D6978*IFERROR(INDEX('تحليل التكلفة والسعر'!$C$2:$C$700,MATCH($C6978,'تحليل التكلفة والسعر'!$B$2:$B$700,0)),0))</f>
        <v/>
      </c>
    </row>
    <row r="6979" customFormat="false" ht="15" hidden="false" customHeight="false" outlineLevel="0" collapsed="false">
      <c r="A6979" s="103"/>
      <c r="B6979" s="104"/>
      <c r="C6979" s="104"/>
      <c r="E6979" s="107" t="str">
        <f aca="false">IF($C6979="","",IFERROR(INDEX(المنيو!$C$2:$C$500,MATCH($C6979,المنيو!$B$2:$B$500,0)),0))</f>
        <v/>
      </c>
      <c r="F6979" s="107" t="str">
        <f aca="false">IF($C6979="","",$D6979*$E6979)</f>
        <v/>
      </c>
      <c r="G6979" s="107" t="str">
        <f aca="false">IF($C6979="","",$D6979*IFERROR(INDEX('تحليل التكلفة والسعر'!$C$2:$C$700,MATCH($C6979,'تحليل التكلفة والسعر'!$B$2:$B$700,0)),0))</f>
        <v/>
      </c>
    </row>
    <row r="6980" customFormat="false" ht="15" hidden="false" customHeight="false" outlineLevel="0" collapsed="false">
      <c r="A6980" s="103"/>
      <c r="B6980" s="104"/>
      <c r="C6980" s="104"/>
      <c r="E6980" s="107" t="str">
        <f aca="false">IF($C6980="","",IFERROR(INDEX(المنيو!$C$2:$C$500,MATCH($C6980,المنيو!$B$2:$B$500,0)),0))</f>
        <v/>
      </c>
      <c r="F6980" s="107" t="str">
        <f aca="false">IF($C6980="","",$D6980*$E6980)</f>
        <v/>
      </c>
      <c r="G6980" s="107" t="str">
        <f aca="false">IF($C6980="","",$D6980*IFERROR(INDEX('تحليل التكلفة والسعر'!$C$2:$C$700,MATCH($C6980,'تحليل التكلفة والسعر'!$B$2:$B$700,0)),0))</f>
        <v/>
      </c>
    </row>
    <row r="6981" customFormat="false" ht="15" hidden="false" customHeight="false" outlineLevel="0" collapsed="false">
      <c r="A6981" s="103"/>
      <c r="B6981" s="104"/>
      <c r="C6981" s="104"/>
      <c r="E6981" s="107" t="str">
        <f aca="false">IF($C6981="","",IFERROR(INDEX(المنيو!$C$2:$C$500,MATCH($C6981,المنيو!$B$2:$B$500,0)),0))</f>
        <v/>
      </c>
      <c r="F6981" s="107" t="str">
        <f aca="false">IF($C6981="","",$D6981*$E6981)</f>
        <v/>
      </c>
      <c r="G6981" s="107" t="str">
        <f aca="false">IF($C6981="","",$D6981*IFERROR(INDEX('تحليل التكلفة والسعر'!$C$2:$C$700,MATCH($C6981,'تحليل التكلفة والسعر'!$B$2:$B$700,0)),0))</f>
        <v/>
      </c>
    </row>
    <row r="6982" customFormat="false" ht="15" hidden="false" customHeight="false" outlineLevel="0" collapsed="false">
      <c r="A6982" s="103"/>
      <c r="B6982" s="104"/>
      <c r="C6982" s="104"/>
      <c r="E6982" s="107" t="str">
        <f aca="false">IF($C6982="","",IFERROR(INDEX(المنيو!$C$2:$C$500,MATCH($C6982,المنيو!$B$2:$B$500,0)),0))</f>
        <v/>
      </c>
      <c r="F6982" s="107" t="str">
        <f aca="false">IF($C6982="","",$D6982*$E6982)</f>
        <v/>
      </c>
      <c r="G6982" s="107" t="str">
        <f aca="false">IF($C6982="","",$D6982*IFERROR(INDEX('تحليل التكلفة والسعر'!$C$2:$C$700,MATCH($C6982,'تحليل التكلفة والسعر'!$B$2:$B$700,0)),0))</f>
        <v/>
      </c>
    </row>
    <row r="6983" customFormat="false" ht="15" hidden="false" customHeight="false" outlineLevel="0" collapsed="false">
      <c r="A6983" s="103"/>
      <c r="B6983" s="104"/>
      <c r="C6983" s="104"/>
      <c r="E6983" s="107" t="str">
        <f aca="false">IF($C6983="","",IFERROR(INDEX(المنيو!$C$2:$C$500,MATCH($C6983,المنيو!$B$2:$B$500,0)),0))</f>
        <v/>
      </c>
      <c r="F6983" s="107" t="str">
        <f aca="false">IF($C6983="","",$D6983*$E6983)</f>
        <v/>
      </c>
      <c r="G6983" s="107" t="str">
        <f aca="false">IF($C6983="","",$D6983*IFERROR(INDEX('تحليل التكلفة والسعر'!$C$2:$C$700,MATCH($C6983,'تحليل التكلفة والسعر'!$B$2:$B$700,0)),0))</f>
        <v/>
      </c>
    </row>
    <row r="6984" customFormat="false" ht="15" hidden="false" customHeight="false" outlineLevel="0" collapsed="false">
      <c r="A6984" s="103"/>
      <c r="B6984" s="104"/>
      <c r="C6984" s="104"/>
      <c r="E6984" s="107" t="str">
        <f aca="false">IF($C6984="","",IFERROR(INDEX(المنيو!$C$2:$C$500,MATCH($C6984,المنيو!$B$2:$B$500,0)),0))</f>
        <v/>
      </c>
      <c r="F6984" s="107" t="str">
        <f aca="false">IF($C6984="","",$D6984*$E6984)</f>
        <v/>
      </c>
      <c r="G6984" s="107" t="str">
        <f aca="false">IF($C6984="","",$D6984*IFERROR(INDEX('تحليل التكلفة والسعر'!$C$2:$C$700,MATCH($C6984,'تحليل التكلفة والسعر'!$B$2:$B$700,0)),0))</f>
        <v/>
      </c>
    </row>
    <row r="6985" customFormat="false" ht="15" hidden="false" customHeight="false" outlineLevel="0" collapsed="false">
      <c r="A6985" s="103"/>
      <c r="B6985" s="104"/>
      <c r="C6985" s="104"/>
      <c r="E6985" s="107" t="str">
        <f aca="false">IF($C6985="","",IFERROR(INDEX(المنيو!$C$2:$C$500,MATCH($C6985,المنيو!$B$2:$B$500,0)),0))</f>
        <v/>
      </c>
      <c r="F6985" s="107" t="str">
        <f aca="false">IF($C6985="","",$D6985*$E6985)</f>
        <v/>
      </c>
      <c r="G6985" s="107" t="str">
        <f aca="false">IF($C6985="","",$D6985*IFERROR(INDEX('تحليل التكلفة والسعر'!$C$2:$C$700,MATCH($C6985,'تحليل التكلفة والسعر'!$B$2:$B$700,0)),0))</f>
        <v/>
      </c>
    </row>
    <row r="6986" customFormat="false" ht="15" hidden="false" customHeight="false" outlineLevel="0" collapsed="false">
      <c r="A6986" s="103"/>
      <c r="B6986" s="104"/>
      <c r="C6986" s="104"/>
      <c r="E6986" s="107" t="str">
        <f aca="false">IF($C6986="","",IFERROR(INDEX(المنيو!$C$2:$C$500,MATCH($C6986,المنيو!$B$2:$B$500,0)),0))</f>
        <v/>
      </c>
      <c r="F6986" s="107" t="str">
        <f aca="false">IF($C6986="","",$D6986*$E6986)</f>
        <v/>
      </c>
      <c r="G6986" s="107" t="str">
        <f aca="false">IF($C6986="","",$D6986*IFERROR(INDEX('تحليل التكلفة والسعر'!$C$2:$C$700,MATCH($C6986,'تحليل التكلفة والسعر'!$B$2:$B$700,0)),0))</f>
        <v/>
      </c>
    </row>
    <row r="6987" customFormat="false" ht="15" hidden="false" customHeight="false" outlineLevel="0" collapsed="false">
      <c r="A6987" s="103"/>
      <c r="B6987" s="104"/>
      <c r="C6987" s="104"/>
      <c r="E6987" s="107" t="str">
        <f aca="false">IF($C6987="","",IFERROR(INDEX(المنيو!$C$2:$C$500,MATCH($C6987,المنيو!$B$2:$B$500,0)),0))</f>
        <v/>
      </c>
      <c r="F6987" s="107" t="str">
        <f aca="false">IF($C6987="","",$D6987*$E6987)</f>
        <v/>
      </c>
      <c r="G6987" s="107" t="str">
        <f aca="false">IF($C6987="","",$D6987*IFERROR(INDEX('تحليل التكلفة والسعر'!$C$2:$C$700,MATCH($C6987,'تحليل التكلفة والسعر'!$B$2:$B$700,0)),0))</f>
        <v/>
      </c>
    </row>
    <row r="6988" customFormat="false" ht="15" hidden="false" customHeight="false" outlineLevel="0" collapsed="false">
      <c r="A6988" s="103"/>
      <c r="B6988" s="104"/>
      <c r="C6988" s="104"/>
      <c r="E6988" s="107" t="str">
        <f aca="false">IF($C6988="","",IFERROR(INDEX(المنيو!$C$2:$C$500,MATCH($C6988,المنيو!$B$2:$B$500,0)),0))</f>
        <v/>
      </c>
      <c r="F6988" s="107" t="str">
        <f aca="false">IF($C6988="","",$D6988*$E6988)</f>
        <v/>
      </c>
      <c r="G6988" s="107" t="str">
        <f aca="false">IF($C6988="","",$D6988*IFERROR(INDEX('تحليل التكلفة والسعر'!$C$2:$C$700,MATCH($C6988,'تحليل التكلفة والسعر'!$B$2:$B$700,0)),0))</f>
        <v/>
      </c>
    </row>
    <row r="6989" customFormat="false" ht="15" hidden="false" customHeight="false" outlineLevel="0" collapsed="false">
      <c r="A6989" s="103"/>
      <c r="B6989" s="104"/>
      <c r="C6989" s="104"/>
      <c r="E6989" s="107" t="str">
        <f aca="false">IF($C6989="","",IFERROR(INDEX(المنيو!$C$2:$C$500,MATCH($C6989,المنيو!$B$2:$B$500,0)),0))</f>
        <v/>
      </c>
      <c r="F6989" s="107" t="str">
        <f aca="false">IF($C6989="","",$D6989*$E6989)</f>
        <v/>
      </c>
      <c r="G6989" s="107" t="str">
        <f aca="false">IF($C6989="","",$D6989*IFERROR(INDEX('تحليل التكلفة والسعر'!$C$2:$C$700,MATCH($C6989,'تحليل التكلفة والسعر'!$B$2:$B$700,0)),0))</f>
        <v/>
      </c>
    </row>
    <row r="6990" customFormat="false" ht="15" hidden="false" customHeight="false" outlineLevel="0" collapsed="false">
      <c r="A6990" s="103"/>
      <c r="B6990" s="104"/>
      <c r="C6990" s="104"/>
      <c r="E6990" s="107" t="str">
        <f aca="false">IF($C6990="","",IFERROR(INDEX(المنيو!$C$2:$C$500,MATCH($C6990,المنيو!$B$2:$B$500,0)),0))</f>
        <v/>
      </c>
      <c r="F6990" s="107" t="str">
        <f aca="false">IF($C6990="","",$D6990*$E6990)</f>
        <v/>
      </c>
      <c r="G6990" s="107" t="str">
        <f aca="false">IF($C6990="","",$D6990*IFERROR(INDEX('تحليل التكلفة والسعر'!$C$2:$C$700,MATCH($C6990,'تحليل التكلفة والسعر'!$B$2:$B$700,0)),0))</f>
        <v/>
      </c>
    </row>
    <row r="6991" customFormat="false" ht="15" hidden="false" customHeight="false" outlineLevel="0" collapsed="false">
      <c r="A6991" s="103"/>
      <c r="B6991" s="104"/>
      <c r="C6991" s="104"/>
      <c r="E6991" s="107" t="str">
        <f aca="false">IF($C6991="","",IFERROR(INDEX(المنيو!$C$2:$C$500,MATCH($C6991,المنيو!$B$2:$B$500,0)),0))</f>
        <v/>
      </c>
      <c r="F6991" s="107" t="str">
        <f aca="false">IF($C6991="","",$D6991*$E6991)</f>
        <v/>
      </c>
      <c r="G6991" s="107" t="str">
        <f aca="false">IF($C6991="","",$D6991*IFERROR(INDEX('تحليل التكلفة والسعر'!$C$2:$C$700,MATCH($C6991,'تحليل التكلفة والسعر'!$B$2:$B$700,0)),0))</f>
        <v/>
      </c>
    </row>
    <row r="6992" customFormat="false" ht="15" hidden="false" customHeight="false" outlineLevel="0" collapsed="false">
      <c r="A6992" s="103"/>
      <c r="B6992" s="104"/>
      <c r="C6992" s="104"/>
      <c r="E6992" s="107" t="str">
        <f aca="false">IF($C6992="","",IFERROR(INDEX(المنيو!$C$2:$C$500,MATCH($C6992,المنيو!$B$2:$B$500,0)),0))</f>
        <v/>
      </c>
      <c r="F6992" s="107" t="str">
        <f aca="false">IF($C6992="","",$D6992*$E6992)</f>
        <v/>
      </c>
      <c r="G6992" s="107" t="str">
        <f aca="false">IF($C6992="","",$D6992*IFERROR(INDEX('تحليل التكلفة والسعر'!$C$2:$C$700,MATCH($C6992,'تحليل التكلفة والسعر'!$B$2:$B$700,0)),0))</f>
        <v/>
      </c>
    </row>
    <row r="6993" customFormat="false" ht="15" hidden="false" customHeight="false" outlineLevel="0" collapsed="false">
      <c r="A6993" s="103"/>
      <c r="B6993" s="104"/>
      <c r="C6993" s="104"/>
      <c r="E6993" s="107" t="str">
        <f aca="false">IF($C6993="","",IFERROR(INDEX(المنيو!$C$2:$C$500,MATCH($C6993,المنيو!$B$2:$B$500,0)),0))</f>
        <v/>
      </c>
      <c r="F6993" s="107" t="str">
        <f aca="false">IF($C6993="","",$D6993*$E6993)</f>
        <v/>
      </c>
      <c r="G6993" s="107" t="str">
        <f aca="false">IF($C6993="","",$D6993*IFERROR(INDEX('تحليل التكلفة والسعر'!$C$2:$C$700,MATCH($C6993,'تحليل التكلفة والسعر'!$B$2:$B$700,0)),0))</f>
        <v/>
      </c>
    </row>
    <row r="6994" customFormat="false" ht="15" hidden="false" customHeight="false" outlineLevel="0" collapsed="false">
      <c r="A6994" s="103"/>
      <c r="B6994" s="104"/>
      <c r="C6994" s="104"/>
      <c r="E6994" s="107" t="str">
        <f aca="false">IF($C6994="","",IFERROR(INDEX(المنيو!$C$2:$C$500,MATCH($C6994,المنيو!$B$2:$B$500,0)),0))</f>
        <v/>
      </c>
      <c r="F6994" s="107" t="str">
        <f aca="false">IF($C6994="","",$D6994*$E6994)</f>
        <v/>
      </c>
      <c r="G6994" s="107" t="str">
        <f aca="false">IF($C6994="","",$D6994*IFERROR(INDEX('تحليل التكلفة والسعر'!$C$2:$C$700,MATCH($C6994,'تحليل التكلفة والسعر'!$B$2:$B$700,0)),0))</f>
        <v/>
      </c>
    </row>
    <row r="6995" customFormat="false" ht="15" hidden="false" customHeight="false" outlineLevel="0" collapsed="false">
      <c r="A6995" s="103"/>
      <c r="B6995" s="104"/>
      <c r="C6995" s="104"/>
      <c r="E6995" s="107" t="str">
        <f aca="false">IF($C6995="","",IFERROR(INDEX(المنيو!$C$2:$C$500,MATCH($C6995,المنيو!$B$2:$B$500,0)),0))</f>
        <v/>
      </c>
      <c r="F6995" s="107" t="str">
        <f aca="false">IF($C6995="","",$D6995*$E6995)</f>
        <v/>
      </c>
      <c r="G6995" s="107" t="str">
        <f aca="false">IF($C6995="","",$D6995*IFERROR(INDEX('تحليل التكلفة والسعر'!$C$2:$C$700,MATCH($C6995,'تحليل التكلفة والسعر'!$B$2:$B$700,0)),0))</f>
        <v/>
      </c>
    </row>
    <row r="6996" customFormat="false" ht="15" hidden="false" customHeight="false" outlineLevel="0" collapsed="false">
      <c r="A6996" s="103"/>
      <c r="B6996" s="104"/>
      <c r="C6996" s="104"/>
      <c r="E6996" s="107" t="str">
        <f aca="false">IF($C6996="","",IFERROR(INDEX(المنيو!$C$2:$C$500,MATCH($C6996,المنيو!$B$2:$B$500,0)),0))</f>
        <v/>
      </c>
      <c r="F6996" s="107" t="str">
        <f aca="false">IF($C6996="","",$D6996*$E6996)</f>
        <v/>
      </c>
      <c r="G6996" s="107" t="str">
        <f aca="false">IF($C6996="","",$D6996*IFERROR(INDEX('تحليل التكلفة والسعر'!$C$2:$C$700,MATCH($C6996,'تحليل التكلفة والسعر'!$B$2:$B$700,0)),0))</f>
        <v/>
      </c>
    </row>
    <row r="6997" customFormat="false" ht="15" hidden="false" customHeight="false" outlineLevel="0" collapsed="false">
      <c r="A6997" s="103"/>
      <c r="B6997" s="104"/>
      <c r="C6997" s="104"/>
      <c r="E6997" s="107" t="str">
        <f aca="false">IF($C6997="","",IFERROR(INDEX(المنيو!$C$2:$C$500,MATCH($C6997,المنيو!$B$2:$B$500,0)),0))</f>
        <v/>
      </c>
      <c r="F6997" s="107" t="str">
        <f aca="false">IF($C6997="","",$D6997*$E6997)</f>
        <v/>
      </c>
      <c r="G6997" s="107" t="str">
        <f aca="false">IF($C6997="","",$D6997*IFERROR(INDEX('تحليل التكلفة والسعر'!$C$2:$C$700,MATCH($C6997,'تحليل التكلفة والسعر'!$B$2:$B$700,0)),0))</f>
        <v/>
      </c>
    </row>
    <row r="6998" customFormat="false" ht="15" hidden="false" customHeight="false" outlineLevel="0" collapsed="false">
      <c r="A6998" s="103"/>
      <c r="B6998" s="104"/>
      <c r="C6998" s="104"/>
      <c r="E6998" s="107" t="str">
        <f aca="false">IF($C6998="","",IFERROR(INDEX(المنيو!$C$2:$C$500,MATCH($C6998,المنيو!$B$2:$B$500,0)),0))</f>
        <v/>
      </c>
      <c r="F6998" s="107" t="str">
        <f aca="false">IF($C6998="","",$D6998*$E6998)</f>
        <v/>
      </c>
      <c r="G6998" s="107" t="str">
        <f aca="false">IF($C6998="","",$D6998*IFERROR(INDEX('تحليل التكلفة والسعر'!$C$2:$C$700,MATCH($C6998,'تحليل التكلفة والسعر'!$B$2:$B$700,0)),0))</f>
        <v/>
      </c>
    </row>
    <row r="6999" customFormat="false" ht="15" hidden="false" customHeight="false" outlineLevel="0" collapsed="false">
      <c r="A6999" s="103"/>
      <c r="B6999" s="104"/>
      <c r="C6999" s="104"/>
      <c r="E6999" s="107" t="str">
        <f aca="false">IF($C6999="","",IFERROR(INDEX(المنيو!$C$2:$C$500,MATCH($C6999,المنيو!$B$2:$B$500,0)),0))</f>
        <v/>
      </c>
      <c r="F6999" s="107" t="str">
        <f aca="false">IF($C6999="","",$D6999*$E6999)</f>
        <v/>
      </c>
      <c r="G6999" s="107" t="str">
        <f aca="false">IF($C6999="","",$D6999*IFERROR(INDEX('تحليل التكلفة والسعر'!$C$2:$C$700,MATCH($C6999,'تحليل التكلفة والسعر'!$B$2:$B$700,0)),0))</f>
        <v/>
      </c>
    </row>
    <row r="7000" customFormat="false" ht="15" hidden="false" customHeight="false" outlineLevel="0" collapsed="false">
      <c r="A7000" s="103"/>
      <c r="B7000" s="104"/>
      <c r="C7000" s="104"/>
      <c r="E7000" s="107" t="str">
        <f aca="false">IF($C7000="","",IFERROR(INDEX(المنيو!$C$2:$C$500,MATCH($C7000,المنيو!$B$2:$B$500,0)),0))</f>
        <v/>
      </c>
      <c r="F7000" s="107" t="str">
        <f aca="false">IF($C7000="","",$D7000*$E7000)</f>
        <v/>
      </c>
      <c r="G7000" s="107" t="str">
        <f aca="false">IF($C7000="","",$D7000*IFERROR(INDEX('تحليل التكلفة والسعر'!$C$2:$C$700,MATCH($C7000,'تحليل التكلفة والسعر'!$B$2:$B$700,0)),0))</f>
        <v/>
      </c>
    </row>
    <row r="7001" customFormat="false" ht="15" hidden="false" customHeight="false" outlineLevel="0" collapsed="false">
      <c r="A7001" s="103"/>
      <c r="B7001" s="104"/>
      <c r="C7001" s="104"/>
      <c r="E7001" s="107" t="str">
        <f aca="false">IF($C7001="","",IFERROR(INDEX(المنيو!$C$2:$C$500,MATCH($C7001,المنيو!$B$2:$B$500,0)),0))</f>
        <v/>
      </c>
      <c r="F7001" s="107" t="str">
        <f aca="false">IF($C7001="","",$D7001*$E7001)</f>
        <v/>
      </c>
      <c r="G7001" s="107" t="str">
        <f aca="false">IF($C7001="","",$D7001*IFERROR(INDEX('تحليل التكلفة والسعر'!$C$2:$C$700,MATCH($C7001,'تحليل التكلفة والسعر'!$B$2:$B$700,0)),0))</f>
        <v/>
      </c>
    </row>
    <row r="7002" customFormat="false" ht="15" hidden="false" customHeight="false" outlineLevel="0" collapsed="false">
      <c r="A7002" s="103"/>
      <c r="B7002" s="104"/>
      <c r="C7002" s="104"/>
      <c r="E7002" s="107" t="str">
        <f aca="false">IF($C7002="","",IFERROR(INDEX(المنيو!$C$2:$C$500,MATCH($C7002,المنيو!$B$2:$B$500,0)),0))</f>
        <v/>
      </c>
      <c r="F7002" s="107" t="str">
        <f aca="false">IF($C7002="","",$D7002*$E7002)</f>
        <v/>
      </c>
      <c r="G7002" s="107" t="str">
        <f aca="false">IF($C7002="","",$D7002*IFERROR(INDEX('تحليل التكلفة والسعر'!$C$2:$C$700,MATCH($C7002,'تحليل التكلفة والسعر'!$B$2:$B$700,0)),0))</f>
        <v/>
      </c>
    </row>
    <row r="7003" customFormat="false" ht="15" hidden="false" customHeight="false" outlineLevel="0" collapsed="false">
      <c r="A7003" s="103"/>
      <c r="B7003" s="104"/>
      <c r="C7003" s="104"/>
      <c r="E7003" s="107" t="str">
        <f aca="false">IF($C7003="","",IFERROR(INDEX(المنيو!$C$2:$C$500,MATCH($C7003,المنيو!$B$2:$B$500,0)),0))</f>
        <v/>
      </c>
      <c r="F7003" s="107" t="str">
        <f aca="false">IF($C7003="","",$D7003*$E7003)</f>
        <v/>
      </c>
      <c r="G7003" s="107" t="str">
        <f aca="false">IF($C7003="","",$D7003*IFERROR(INDEX('تحليل التكلفة والسعر'!$C$2:$C$700,MATCH($C7003,'تحليل التكلفة والسعر'!$B$2:$B$700,0)),0))</f>
        <v/>
      </c>
    </row>
    <row r="7004" customFormat="false" ht="15" hidden="false" customHeight="false" outlineLevel="0" collapsed="false">
      <c r="A7004" s="103"/>
      <c r="B7004" s="104"/>
      <c r="C7004" s="104"/>
      <c r="E7004" s="107" t="str">
        <f aca="false">IF($C7004="","",IFERROR(INDEX(المنيو!$C$2:$C$500,MATCH($C7004,المنيو!$B$2:$B$500,0)),0))</f>
        <v/>
      </c>
      <c r="F7004" s="107" t="str">
        <f aca="false">IF($C7004="","",$D7004*$E7004)</f>
        <v/>
      </c>
      <c r="G7004" s="107" t="str">
        <f aca="false">IF($C7004="","",$D7004*IFERROR(INDEX('تحليل التكلفة والسعر'!$C$2:$C$700,MATCH($C7004,'تحليل التكلفة والسعر'!$B$2:$B$700,0)),0))</f>
        <v/>
      </c>
    </row>
    <row r="7005" customFormat="false" ht="15" hidden="false" customHeight="false" outlineLevel="0" collapsed="false">
      <c r="A7005" s="103"/>
      <c r="B7005" s="104"/>
      <c r="C7005" s="104"/>
      <c r="E7005" s="107" t="str">
        <f aca="false">IF($C7005="","",IFERROR(INDEX(المنيو!$C$2:$C$500,MATCH($C7005,المنيو!$B$2:$B$500,0)),0))</f>
        <v/>
      </c>
      <c r="F7005" s="107" t="str">
        <f aca="false">IF($C7005="","",$D7005*$E7005)</f>
        <v/>
      </c>
      <c r="G7005" s="107" t="str">
        <f aca="false">IF($C7005="","",$D7005*IFERROR(INDEX('تحليل التكلفة والسعر'!$C$2:$C$700,MATCH($C7005,'تحليل التكلفة والسعر'!$B$2:$B$700,0)),0))</f>
        <v/>
      </c>
    </row>
    <row r="7006" customFormat="false" ht="15" hidden="false" customHeight="false" outlineLevel="0" collapsed="false">
      <c r="A7006" s="103"/>
      <c r="B7006" s="104"/>
      <c r="C7006" s="104"/>
      <c r="E7006" s="107" t="str">
        <f aca="false">IF($C7006="","",IFERROR(INDEX(المنيو!$C$2:$C$500,MATCH($C7006,المنيو!$B$2:$B$500,0)),0))</f>
        <v/>
      </c>
      <c r="F7006" s="107" t="str">
        <f aca="false">IF($C7006="","",$D7006*$E7006)</f>
        <v/>
      </c>
      <c r="G7006" s="107" t="str">
        <f aca="false">IF($C7006="","",$D7006*IFERROR(INDEX('تحليل التكلفة والسعر'!$C$2:$C$700,MATCH($C7006,'تحليل التكلفة والسعر'!$B$2:$B$700,0)),0))</f>
        <v/>
      </c>
    </row>
    <row r="7007" customFormat="false" ht="15" hidden="false" customHeight="false" outlineLevel="0" collapsed="false">
      <c r="A7007" s="103"/>
      <c r="B7007" s="104"/>
      <c r="C7007" s="104"/>
      <c r="E7007" s="107" t="str">
        <f aca="false">IF($C7007="","",IFERROR(INDEX(المنيو!$C$2:$C$500,MATCH($C7007,المنيو!$B$2:$B$500,0)),0))</f>
        <v/>
      </c>
      <c r="F7007" s="107" t="str">
        <f aca="false">IF($C7007="","",$D7007*$E7007)</f>
        <v/>
      </c>
      <c r="G7007" s="107" t="str">
        <f aca="false">IF($C7007="","",$D7007*IFERROR(INDEX('تحليل التكلفة والسعر'!$C$2:$C$700,MATCH($C7007,'تحليل التكلفة والسعر'!$B$2:$B$700,0)),0))</f>
        <v/>
      </c>
    </row>
    <row r="7008" customFormat="false" ht="15" hidden="false" customHeight="false" outlineLevel="0" collapsed="false">
      <c r="A7008" s="103"/>
      <c r="B7008" s="104"/>
      <c r="C7008" s="104"/>
      <c r="E7008" s="107" t="str">
        <f aca="false">IF($C7008="","",IFERROR(INDEX(المنيو!$C$2:$C$500,MATCH($C7008,المنيو!$B$2:$B$500,0)),0))</f>
        <v/>
      </c>
      <c r="F7008" s="107" t="str">
        <f aca="false">IF($C7008="","",$D7008*$E7008)</f>
        <v/>
      </c>
      <c r="G7008" s="107" t="str">
        <f aca="false">IF($C7008="","",$D7008*IFERROR(INDEX('تحليل التكلفة والسعر'!$C$2:$C$700,MATCH($C7008,'تحليل التكلفة والسعر'!$B$2:$B$700,0)),0))</f>
        <v/>
      </c>
    </row>
    <row r="7009" customFormat="false" ht="15" hidden="false" customHeight="false" outlineLevel="0" collapsed="false">
      <c r="A7009" s="103"/>
      <c r="B7009" s="104"/>
      <c r="C7009" s="104"/>
      <c r="E7009" s="107" t="str">
        <f aca="false">IF($C7009="","",IFERROR(INDEX(المنيو!$C$2:$C$500,MATCH($C7009,المنيو!$B$2:$B$500,0)),0))</f>
        <v/>
      </c>
      <c r="F7009" s="107" t="str">
        <f aca="false">IF($C7009="","",$D7009*$E7009)</f>
        <v/>
      </c>
      <c r="G7009" s="107" t="str">
        <f aca="false">IF($C7009="","",$D7009*IFERROR(INDEX('تحليل التكلفة والسعر'!$C$2:$C$700,MATCH($C7009,'تحليل التكلفة والسعر'!$B$2:$B$700,0)),0))</f>
        <v/>
      </c>
    </row>
    <row r="7010" customFormat="false" ht="15" hidden="false" customHeight="false" outlineLevel="0" collapsed="false">
      <c r="A7010" s="103"/>
      <c r="B7010" s="104"/>
      <c r="C7010" s="104"/>
      <c r="E7010" s="107" t="str">
        <f aca="false">IF($C7010="","",IFERROR(INDEX(المنيو!$C$2:$C$500,MATCH($C7010,المنيو!$B$2:$B$500,0)),0))</f>
        <v/>
      </c>
      <c r="F7010" s="107" t="str">
        <f aca="false">IF($C7010="","",$D7010*$E7010)</f>
        <v/>
      </c>
      <c r="G7010" s="107" t="str">
        <f aca="false">IF($C7010="","",$D7010*IFERROR(INDEX('تحليل التكلفة والسعر'!$C$2:$C$700,MATCH($C7010,'تحليل التكلفة والسعر'!$B$2:$B$700,0)),0))</f>
        <v/>
      </c>
    </row>
    <row r="7011" customFormat="false" ht="15" hidden="false" customHeight="false" outlineLevel="0" collapsed="false">
      <c r="A7011" s="103"/>
      <c r="B7011" s="104"/>
      <c r="C7011" s="104"/>
      <c r="E7011" s="107" t="str">
        <f aca="false">IF($C7011="","",IFERROR(INDEX(المنيو!$C$2:$C$500,MATCH($C7011,المنيو!$B$2:$B$500,0)),0))</f>
        <v/>
      </c>
      <c r="F7011" s="107" t="str">
        <f aca="false">IF($C7011="","",$D7011*$E7011)</f>
        <v/>
      </c>
      <c r="G7011" s="107" t="str">
        <f aca="false">IF($C7011="","",$D7011*IFERROR(INDEX('تحليل التكلفة والسعر'!$C$2:$C$700,MATCH($C7011,'تحليل التكلفة والسعر'!$B$2:$B$700,0)),0))</f>
        <v/>
      </c>
    </row>
    <row r="7012" customFormat="false" ht="15" hidden="false" customHeight="false" outlineLevel="0" collapsed="false">
      <c r="A7012" s="103"/>
      <c r="B7012" s="104"/>
      <c r="C7012" s="104"/>
      <c r="E7012" s="107" t="str">
        <f aca="false">IF($C7012="","",IFERROR(INDEX(المنيو!$C$2:$C$500,MATCH($C7012,المنيو!$B$2:$B$500,0)),0))</f>
        <v/>
      </c>
      <c r="F7012" s="107" t="str">
        <f aca="false">IF($C7012="","",$D7012*$E7012)</f>
        <v/>
      </c>
      <c r="G7012" s="107" t="str">
        <f aca="false">IF($C7012="","",$D7012*IFERROR(INDEX('تحليل التكلفة والسعر'!$C$2:$C$700,MATCH($C7012,'تحليل التكلفة والسعر'!$B$2:$B$700,0)),0))</f>
        <v/>
      </c>
    </row>
    <row r="7013" customFormat="false" ht="15" hidden="false" customHeight="false" outlineLevel="0" collapsed="false">
      <c r="A7013" s="103"/>
      <c r="B7013" s="104"/>
      <c r="C7013" s="104"/>
      <c r="E7013" s="107" t="str">
        <f aca="false">IF($C7013="","",IFERROR(INDEX(المنيو!$C$2:$C$500,MATCH($C7013,المنيو!$B$2:$B$500,0)),0))</f>
        <v/>
      </c>
      <c r="F7013" s="107" t="str">
        <f aca="false">IF($C7013="","",$D7013*$E7013)</f>
        <v/>
      </c>
      <c r="G7013" s="107" t="str">
        <f aca="false">IF($C7013="","",$D7013*IFERROR(INDEX('تحليل التكلفة والسعر'!$C$2:$C$700,MATCH($C7013,'تحليل التكلفة والسعر'!$B$2:$B$700,0)),0))</f>
        <v/>
      </c>
    </row>
    <row r="7014" customFormat="false" ht="15" hidden="false" customHeight="false" outlineLevel="0" collapsed="false">
      <c r="A7014" s="103"/>
      <c r="B7014" s="104"/>
      <c r="C7014" s="104"/>
      <c r="E7014" s="107" t="str">
        <f aca="false">IF($C7014="","",IFERROR(INDEX(المنيو!$C$2:$C$500,MATCH($C7014,المنيو!$B$2:$B$500,0)),0))</f>
        <v/>
      </c>
      <c r="F7014" s="107" t="str">
        <f aca="false">IF($C7014="","",$D7014*$E7014)</f>
        <v/>
      </c>
      <c r="G7014" s="107" t="str">
        <f aca="false">IF($C7014="","",$D7014*IFERROR(INDEX('تحليل التكلفة والسعر'!$C$2:$C$700,MATCH($C7014,'تحليل التكلفة والسعر'!$B$2:$B$700,0)),0))</f>
        <v/>
      </c>
    </row>
    <row r="7015" customFormat="false" ht="15" hidden="false" customHeight="false" outlineLevel="0" collapsed="false">
      <c r="A7015" s="103"/>
      <c r="B7015" s="104"/>
      <c r="C7015" s="104"/>
      <c r="E7015" s="107" t="str">
        <f aca="false">IF($C7015="","",IFERROR(INDEX(المنيو!$C$2:$C$500,MATCH($C7015,المنيو!$B$2:$B$500,0)),0))</f>
        <v/>
      </c>
      <c r="F7015" s="107" t="str">
        <f aca="false">IF($C7015="","",$D7015*$E7015)</f>
        <v/>
      </c>
      <c r="G7015" s="107" t="str">
        <f aca="false">IF($C7015="","",$D7015*IFERROR(INDEX('تحليل التكلفة والسعر'!$C$2:$C$700,MATCH($C7015,'تحليل التكلفة والسعر'!$B$2:$B$700,0)),0))</f>
        <v/>
      </c>
    </row>
    <row r="7016" customFormat="false" ht="15" hidden="false" customHeight="false" outlineLevel="0" collapsed="false">
      <c r="A7016" s="103"/>
      <c r="B7016" s="104"/>
      <c r="C7016" s="104"/>
      <c r="E7016" s="107" t="str">
        <f aca="false">IF($C7016="","",IFERROR(INDEX(المنيو!$C$2:$C$500,MATCH($C7016,المنيو!$B$2:$B$500,0)),0))</f>
        <v/>
      </c>
      <c r="F7016" s="107" t="str">
        <f aca="false">IF($C7016="","",$D7016*$E7016)</f>
        <v/>
      </c>
      <c r="G7016" s="107" t="str">
        <f aca="false">IF($C7016="","",$D7016*IFERROR(INDEX('تحليل التكلفة والسعر'!$C$2:$C$700,MATCH($C7016,'تحليل التكلفة والسعر'!$B$2:$B$700,0)),0))</f>
        <v/>
      </c>
    </row>
    <row r="7017" customFormat="false" ht="15" hidden="false" customHeight="false" outlineLevel="0" collapsed="false">
      <c r="A7017" s="103"/>
      <c r="B7017" s="104"/>
      <c r="C7017" s="104"/>
      <c r="E7017" s="107" t="str">
        <f aca="false">IF($C7017="","",IFERROR(INDEX(المنيو!$C$2:$C$500,MATCH($C7017,المنيو!$B$2:$B$500,0)),0))</f>
        <v/>
      </c>
      <c r="F7017" s="107" t="str">
        <f aca="false">IF($C7017="","",$D7017*$E7017)</f>
        <v/>
      </c>
      <c r="G7017" s="107" t="str">
        <f aca="false">IF($C7017="","",$D7017*IFERROR(INDEX('تحليل التكلفة والسعر'!$C$2:$C$700,MATCH($C7017,'تحليل التكلفة والسعر'!$B$2:$B$700,0)),0))</f>
        <v/>
      </c>
    </row>
    <row r="7018" customFormat="false" ht="15" hidden="false" customHeight="false" outlineLevel="0" collapsed="false">
      <c r="A7018" s="103"/>
      <c r="B7018" s="104"/>
      <c r="C7018" s="104"/>
      <c r="E7018" s="107" t="str">
        <f aca="false">IF($C7018="","",IFERROR(INDEX(المنيو!$C$2:$C$500,MATCH($C7018,المنيو!$B$2:$B$500,0)),0))</f>
        <v/>
      </c>
      <c r="F7018" s="107" t="str">
        <f aca="false">IF($C7018="","",$D7018*$E7018)</f>
        <v/>
      </c>
      <c r="G7018" s="107" t="str">
        <f aca="false">IF($C7018="","",$D7018*IFERROR(INDEX('تحليل التكلفة والسعر'!$C$2:$C$700,MATCH($C7018,'تحليل التكلفة والسعر'!$B$2:$B$700,0)),0))</f>
        <v/>
      </c>
    </row>
    <row r="7019" customFormat="false" ht="15" hidden="false" customHeight="false" outlineLevel="0" collapsed="false">
      <c r="A7019" s="103"/>
      <c r="B7019" s="104"/>
      <c r="C7019" s="104"/>
      <c r="E7019" s="107" t="str">
        <f aca="false">IF($C7019="","",IFERROR(INDEX(المنيو!$C$2:$C$500,MATCH($C7019,المنيو!$B$2:$B$500,0)),0))</f>
        <v/>
      </c>
      <c r="F7019" s="107" t="str">
        <f aca="false">IF($C7019="","",$D7019*$E7019)</f>
        <v/>
      </c>
      <c r="G7019" s="107" t="str">
        <f aca="false">IF($C7019="","",$D7019*IFERROR(INDEX('تحليل التكلفة والسعر'!$C$2:$C$700,MATCH($C7019,'تحليل التكلفة والسعر'!$B$2:$B$700,0)),0))</f>
        <v/>
      </c>
    </row>
    <row r="7020" customFormat="false" ht="15" hidden="false" customHeight="false" outlineLevel="0" collapsed="false">
      <c r="A7020" s="103"/>
      <c r="B7020" s="104"/>
      <c r="C7020" s="104"/>
      <c r="E7020" s="107" t="str">
        <f aca="false">IF($C7020="","",IFERROR(INDEX(المنيو!$C$2:$C$500,MATCH($C7020,المنيو!$B$2:$B$500,0)),0))</f>
        <v/>
      </c>
      <c r="F7020" s="107" t="str">
        <f aca="false">IF($C7020="","",$D7020*$E7020)</f>
        <v/>
      </c>
      <c r="G7020" s="107" t="str">
        <f aca="false">IF($C7020="","",$D7020*IFERROR(INDEX('تحليل التكلفة والسعر'!$C$2:$C$700,MATCH($C7020,'تحليل التكلفة والسعر'!$B$2:$B$700,0)),0))</f>
        <v/>
      </c>
    </row>
    <row r="7021" customFormat="false" ht="15" hidden="false" customHeight="false" outlineLevel="0" collapsed="false">
      <c r="A7021" s="103"/>
      <c r="B7021" s="104"/>
      <c r="C7021" s="104"/>
      <c r="E7021" s="107" t="str">
        <f aca="false">IF($C7021="","",IFERROR(INDEX(المنيو!$C$2:$C$500,MATCH($C7021,المنيو!$B$2:$B$500,0)),0))</f>
        <v/>
      </c>
      <c r="F7021" s="107" t="str">
        <f aca="false">IF($C7021="","",$D7021*$E7021)</f>
        <v/>
      </c>
      <c r="G7021" s="107" t="str">
        <f aca="false">IF($C7021="","",$D7021*IFERROR(INDEX('تحليل التكلفة والسعر'!$C$2:$C$700,MATCH($C7021,'تحليل التكلفة والسعر'!$B$2:$B$700,0)),0))</f>
        <v/>
      </c>
    </row>
    <row r="7022" customFormat="false" ht="15" hidden="false" customHeight="false" outlineLevel="0" collapsed="false">
      <c r="A7022" s="103"/>
      <c r="B7022" s="104"/>
      <c r="C7022" s="104"/>
      <c r="E7022" s="107" t="str">
        <f aca="false">IF($C7022="","",IFERROR(INDEX(المنيو!$C$2:$C$500,MATCH($C7022,المنيو!$B$2:$B$500,0)),0))</f>
        <v/>
      </c>
      <c r="F7022" s="107" t="str">
        <f aca="false">IF($C7022="","",$D7022*$E7022)</f>
        <v/>
      </c>
      <c r="G7022" s="107" t="str">
        <f aca="false">IF($C7022="","",$D7022*IFERROR(INDEX('تحليل التكلفة والسعر'!$C$2:$C$700,MATCH($C7022,'تحليل التكلفة والسعر'!$B$2:$B$700,0)),0))</f>
        <v/>
      </c>
    </row>
    <row r="7023" customFormat="false" ht="15" hidden="false" customHeight="false" outlineLevel="0" collapsed="false">
      <c r="A7023" s="103"/>
      <c r="B7023" s="104"/>
      <c r="C7023" s="104"/>
      <c r="E7023" s="107" t="str">
        <f aca="false">IF($C7023="","",IFERROR(INDEX(المنيو!$C$2:$C$500,MATCH($C7023,المنيو!$B$2:$B$500,0)),0))</f>
        <v/>
      </c>
      <c r="F7023" s="107" t="str">
        <f aca="false">IF($C7023="","",$D7023*$E7023)</f>
        <v/>
      </c>
      <c r="G7023" s="107" t="str">
        <f aca="false">IF($C7023="","",$D7023*IFERROR(INDEX('تحليل التكلفة والسعر'!$C$2:$C$700,MATCH($C7023,'تحليل التكلفة والسعر'!$B$2:$B$700,0)),0))</f>
        <v/>
      </c>
    </row>
    <row r="7024" customFormat="false" ht="15" hidden="false" customHeight="false" outlineLevel="0" collapsed="false">
      <c r="A7024" s="103"/>
      <c r="B7024" s="104"/>
      <c r="C7024" s="104"/>
      <c r="E7024" s="107" t="str">
        <f aca="false">IF($C7024="","",IFERROR(INDEX(المنيو!$C$2:$C$500,MATCH($C7024,المنيو!$B$2:$B$500,0)),0))</f>
        <v/>
      </c>
      <c r="F7024" s="107" t="str">
        <f aca="false">IF($C7024="","",$D7024*$E7024)</f>
        <v/>
      </c>
      <c r="G7024" s="107" t="str">
        <f aca="false">IF($C7024="","",$D7024*IFERROR(INDEX('تحليل التكلفة والسعر'!$C$2:$C$700,MATCH($C7024,'تحليل التكلفة والسعر'!$B$2:$B$700,0)),0))</f>
        <v/>
      </c>
    </row>
    <row r="7025" customFormat="false" ht="15" hidden="false" customHeight="false" outlineLevel="0" collapsed="false">
      <c r="A7025" s="103"/>
      <c r="B7025" s="104"/>
      <c r="C7025" s="104"/>
      <c r="E7025" s="107" t="str">
        <f aca="false">IF($C7025="","",IFERROR(INDEX(المنيو!$C$2:$C$500,MATCH($C7025,المنيو!$B$2:$B$500,0)),0))</f>
        <v/>
      </c>
      <c r="F7025" s="107" t="str">
        <f aca="false">IF($C7025="","",$D7025*$E7025)</f>
        <v/>
      </c>
      <c r="G7025" s="107" t="str">
        <f aca="false">IF($C7025="","",$D7025*IFERROR(INDEX('تحليل التكلفة والسعر'!$C$2:$C$700,MATCH($C7025,'تحليل التكلفة والسعر'!$B$2:$B$700,0)),0))</f>
        <v/>
      </c>
    </row>
    <row r="7026" customFormat="false" ht="15" hidden="false" customHeight="false" outlineLevel="0" collapsed="false">
      <c r="A7026" s="103"/>
      <c r="B7026" s="104"/>
      <c r="C7026" s="104"/>
      <c r="E7026" s="107" t="str">
        <f aca="false">IF($C7026="","",IFERROR(INDEX(المنيو!$C$2:$C$500,MATCH($C7026,المنيو!$B$2:$B$500,0)),0))</f>
        <v/>
      </c>
      <c r="F7026" s="107" t="str">
        <f aca="false">IF($C7026="","",$D7026*$E7026)</f>
        <v/>
      </c>
      <c r="G7026" s="107" t="str">
        <f aca="false">IF($C7026="","",$D7026*IFERROR(INDEX('تحليل التكلفة والسعر'!$C$2:$C$700,MATCH($C7026,'تحليل التكلفة والسعر'!$B$2:$B$700,0)),0))</f>
        <v/>
      </c>
    </row>
    <row r="7027" customFormat="false" ht="15" hidden="false" customHeight="false" outlineLevel="0" collapsed="false">
      <c r="A7027" s="103"/>
      <c r="B7027" s="104"/>
      <c r="C7027" s="104"/>
      <c r="E7027" s="107" t="str">
        <f aca="false">IF($C7027="","",IFERROR(INDEX(المنيو!$C$2:$C$500,MATCH($C7027,المنيو!$B$2:$B$500,0)),0))</f>
        <v/>
      </c>
      <c r="F7027" s="107" t="str">
        <f aca="false">IF($C7027="","",$D7027*$E7027)</f>
        <v/>
      </c>
      <c r="G7027" s="107" t="str">
        <f aca="false">IF($C7027="","",$D7027*IFERROR(INDEX('تحليل التكلفة والسعر'!$C$2:$C$700,MATCH($C7027,'تحليل التكلفة والسعر'!$B$2:$B$700,0)),0))</f>
        <v/>
      </c>
    </row>
    <row r="7028" customFormat="false" ht="15" hidden="false" customHeight="false" outlineLevel="0" collapsed="false">
      <c r="A7028" s="103"/>
      <c r="B7028" s="104"/>
      <c r="C7028" s="104"/>
      <c r="E7028" s="107" t="str">
        <f aca="false">IF($C7028="","",IFERROR(INDEX(المنيو!$C$2:$C$500,MATCH($C7028,المنيو!$B$2:$B$500,0)),0))</f>
        <v/>
      </c>
      <c r="F7028" s="107" t="str">
        <f aca="false">IF($C7028="","",$D7028*$E7028)</f>
        <v/>
      </c>
      <c r="G7028" s="107" t="str">
        <f aca="false">IF($C7028="","",$D7028*IFERROR(INDEX('تحليل التكلفة والسعر'!$C$2:$C$700,MATCH($C7028,'تحليل التكلفة والسعر'!$B$2:$B$700,0)),0))</f>
        <v/>
      </c>
    </row>
    <row r="7029" customFormat="false" ht="15" hidden="false" customHeight="false" outlineLevel="0" collapsed="false">
      <c r="A7029" s="103"/>
      <c r="B7029" s="104"/>
      <c r="C7029" s="104"/>
      <c r="E7029" s="107" t="str">
        <f aca="false">IF($C7029="","",IFERROR(INDEX(المنيو!$C$2:$C$500,MATCH($C7029,المنيو!$B$2:$B$500,0)),0))</f>
        <v/>
      </c>
      <c r="F7029" s="107" t="str">
        <f aca="false">IF($C7029="","",$D7029*$E7029)</f>
        <v/>
      </c>
      <c r="G7029" s="107" t="str">
        <f aca="false">IF($C7029="","",$D7029*IFERROR(INDEX('تحليل التكلفة والسعر'!$C$2:$C$700,MATCH($C7029,'تحليل التكلفة والسعر'!$B$2:$B$700,0)),0))</f>
        <v/>
      </c>
    </row>
    <row r="7030" customFormat="false" ht="15" hidden="false" customHeight="false" outlineLevel="0" collapsed="false">
      <c r="A7030" s="103"/>
      <c r="B7030" s="104"/>
      <c r="C7030" s="104"/>
      <c r="E7030" s="107" t="str">
        <f aca="false">IF($C7030="","",IFERROR(INDEX(المنيو!$C$2:$C$500,MATCH($C7030,المنيو!$B$2:$B$500,0)),0))</f>
        <v/>
      </c>
      <c r="F7030" s="107" t="str">
        <f aca="false">IF($C7030="","",$D7030*$E7030)</f>
        <v/>
      </c>
      <c r="G7030" s="107" t="str">
        <f aca="false">IF($C7030="","",$D7030*IFERROR(INDEX('تحليل التكلفة والسعر'!$C$2:$C$700,MATCH($C7030,'تحليل التكلفة والسعر'!$B$2:$B$700,0)),0))</f>
        <v/>
      </c>
    </row>
    <row r="7031" customFormat="false" ht="15" hidden="false" customHeight="false" outlineLevel="0" collapsed="false">
      <c r="A7031" s="103"/>
      <c r="B7031" s="104"/>
      <c r="C7031" s="104"/>
      <c r="E7031" s="107" t="str">
        <f aca="false">IF($C7031="","",IFERROR(INDEX(المنيو!$C$2:$C$500,MATCH($C7031,المنيو!$B$2:$B$500,0)),0))</f>
        <v/>
      </c>
      <c r="F7031" s="107" t="str">
        <f aca="false">IF($C7031="","",$D7031*$E7031)</f>
        <v/>
      </c>
      <c r="G7031" s="107" t="str">
        <f aca="false">IF($C7031="","",$D7031*IFERROR(INDEX('تحليل التكلفة والسعر'!$C$2:$C$700,MATCH($C7031,'تحليل التكلفة والسعر'!$B$2:$B$700,0)),0))</f>
        <v/>
      </c>
    </row>
    <row r="7032" customFormat="false" ht="15" hidden="false" customHeight="false" outlineLevel="0" collapsed="false">
      <c r="A7032" s="103"/>
      <c r="B7032" s="104"/>
      <c r="C7032" s="104"/>
      <c r="E7032" s="107" t="str">
        <f aca="false">IF($C7032="","",IFERROR(INDEX(المنيو!$C$2:$C$500,MATCH($C7032,المنيو!$B$2:$B$500,0)),0))</f>
        <v/>
      </c>
      <c r="F7032" s="107" t="str">
        <f aca="false">IF($C7032="","",$D7032*$E7032)</f>
        <v/>
      </c>
      <c r="G7032" s="107" t="str">
        <f aca="false">IF($C7032="","",$D7032*IFERROR(INDEX('تحليل التكلفة والسعر'!$C$2:$C$700,MATCH($C7032,'تحليل التكلفة والسعر'!$B$2:$B$700,0)),0))</f>
        <v/>
      </c>
    </row>
    <row r="7033" customFormat="false" ht="15" hidden="false" customHeight="false" outlineLevel="0" collapsed="false">
      <c r="A7033" s="103"/>
      <c r="B7033" s="104"/>
      <c r="C7033" s="104"/>
      <c r="E7033" s="107" t="str">
        <f aca="false">IF($C7033="","",IFERROR(INDEX(المنيو!$C$2:$C$500,MATCH($C7033,المنيو!$B$2:$B$500,0)),0))</f>
        <v/>
      </c>
      <c r="F7033" s="107" t="str">
        <f aca="false">IF($C7033="","",$D7033*$E7033)</f>
        <v/>
      </c>
      <c r="G7033" s="107" t="str">
        <f aca="false">IF($C7033="","",$D7033*IFERROR(INDEX('تحليل التكلفة والسعر'!$C$2:$C$700,MATCH($C7033,'تحليل التكلفة والسعر'!$B$2:$B$700,0)),0))</f>
        <v/>
      </c>
    </row>
    <row r="7034" customFormat="false" ht="15" hidden="false" customHeight="false" outlineLevel="0" collapsed="false">
      <c r="A7034" s="103"/>
      <c r="B7034" s="104"/>
      <c r="C7034" s="104"/>
      <c r="E7034" s="107" t="str">
        <f aca="false">IF($C7034="","",IFERROR(INDEX(المنيو!$C$2:$C$500,MATCH($C7034,المنيو!$B$2:$B$500,0)),0))</f>
        <v/>
      </c>
      <c r="F7034" s="107" t="str">
        <f aca="false">IF($C7034="","",$D7034*$E7034)</f>
        <v/>
      </c>
      <c r="G7034" s="107" t="str">
        <f aca="false">IF($C7034="","",$D7034*IFERROR(INDEX('تحليل التكلفة والسعر'!$C$2:$C$700,MATCH($C7034,'تحليل التكلفة والسعر'!$B$2:$B$700,0)),0))</f>
        <v/>
      </c>
    </row>
    <row r="7035" customFormat="false" ht="15" hidden="false" customHeight="false" outlineLevel="0" collapsed="false">
      <c r="A7035" s="103"/>
      <c r="B7035" s="104"/>
      <c r="C7035" s="104"/>
      <c r="E7035" s="107" t="str">
        <f aca="false">IF($C7035="","",IFERROR(INDEX(المنيو!$C$2:$C$500,MATCH($C7035,المنيو!$B$2:$B$500,0)),0))</f>
        <v/>
      </c>
      <c r="F7035" s="107" t="str">
        <f aca="false">IF($C7035="","",$D7035*$E7035)</f>
        <v/>
      </c>
      <c r="G7035" s="107" t="str">
        <f aca="false">IF($C7035="","",$D7035*IFERROR(INDEX('تحليل التكلفة والسعر'!$C$2:$C$700,MATCH($C7035,'تحليل التكلفة والسعر'!$B$2:$B$700,0)),0))</f>
        <v/>
      </c>
    </row>
    <row r="7036" customFormat="false" ht="15" hidden="false" customHeight="false" outlineLevel="0" collapsed="false">
      <c r="A7036" s="103"/>
      <c r="B7036" s="104"/>
      <c r="C7036" s="104"/>
      <c r="E7036" s="107" t="str">
        <f aca="false">IF($C7036="","",IFERROR(INDEX(المنيو!$C$2:$C$500,MATCH($C7036,المنيو!$B$2:$B$500,0)),0))</f>
        <v/>
      </c>
      <c r="F7036" s="107" t="str">
        <f aca="false">IF($C7036="","",$D7036*$E7036)</f>
        <v/>
      </c>
      <c r="G7036" s="107" t="str">
        <f aca="false">IF($C7036="","",$D7036*IFERROR(INDEX('تحليل التكلفة والسعر'!$C$2:$C$700,MATCH($C7036,'تحليل التكلفة والسعر'!$B$2:$B$700,0)),0))</f>
        <v/>
      </c>
    </row>
    <row r="7037" customFormat="false" ht="15" hidden="false" customHeight="false" outlineLevel="0" collapsed="false">
      <c r="A7037" s="103"/>
      <c r="B7037" s="104"/>
      <c r="C7037" s="104"/>
      <c r="E7037" s="107" t="str">
        <f aca="false">IF($C7037="","",IFERROR(INDEX(المنيو!$C$2:$C$500,MATCH($C7037,المنيو!$B$2:$B$500,0)),0))</f>
        <v/>
      </c>
      <c r="F7037" s="107" t="str">
        <f aca="false">IF($C7037="","",$D7037*$E7037)</f>
        <v/>
      </c>
      <c r="G7037" s="107" t="str">
        <f aca="false">IF($C7037="","",$D7037*IFERROR(INDEX('تحليل التكلفة والسعر'!$C$2:$C$700,MATCH($C7037,'تحليل التكلفة والسعر'!$B$2:$B$700,0)),0))</f>
        <v/>
      </c>
    </row>
    <row r="7038" customFormat="false" ht="15" hidden="false" customHeight="false" outlineLevel="0" collapsed="false">
      <c r="A7038" s="103"/>
      <c r="B7038" s="104"/>
      <c r="C7038" s="104"/>
      <c r="E7038" s="107" t="str">
        <f aca="false">IF($C7038="","",IFERROR(INDEX(المنيو!$C$2:$C$500,MATCH($C7038,المنيو!$B$2:$B$500,0)),0))</f>
        <v/>
      </c>
      <c r="F7038" s="107" t="str">
        <f aca="false">IF($C7038="","",$D7038*$E7038)</f>
        <v/>
      </c>
      <c r="G7038" s="107" t="str">
        <f aca="false">IF($C7038="","",$D7038*IFERROR(INDEX('تحليل التكلفة والسعر'!$C$2:$C$700,MATCH($C7038,'تحليل التكلفة والسعر'!$B$2:$B$700,0)),0))</f>
        <v/>
      </c>
    </row>
    <row r="7039" customFormat="false" ht="15" hidden="false" customHeight="false" outlineLevel="0" collapsed="false">
      <c r="A7039" s="103"/>
      <c r="B7039" s="104"/>
      <c r="C7039" s="104"/>
      <c r="E7039" s="107" t="str">
        <f aca="false">IF($C7039="","",IFERROR(INDEX(المنيو!$C$2:$C$500,MATCH($C7039,المنيو!$B$2:$B$500,0)),0))</f>
        <v/>
      </c>
      <c r="F7039" s="107" t="str">
        <f aca="false">IF($C7039="","",$D7039*$E7039)</f>
        <v/>
      </c>
      <c r="G7039" s="107" t="str">
        <f aca="false">IF($C7039="","",$D7039*IFERROR(INDEX('تحليل التكلفة والسعر'!$C$2:$C$700,MATCH($C7039,'تحليل التكلفة والسعر'!$B$2:$B$700,0)),0))</f>
        <v/>
      </c>
    </row>
    <row r="7040" customFormat="false" ht="15" hidden="false" customHeight="false" outlineLevel="0" collapsed="false">
      <c r="A7040" s="103"/>
      <c r="B7040" s="104"/>
      <c r="C7040" s="104"/>
      <c r="E7040" s="107" t="str">
        <f aca="false">IF($C7040="","",IFERROR(INDEX(المنيو!$C$2:$C$500,MATCH($C7040,المنيو!$B$2:$B$500,0)),0))</f>
        <v/>
      </c>
      <c r="F7040" s="107" t="str">
        <f aca="false">IF($C7040="","",$D7040*$E7040)</f>
        <v/>
      </c>
      <c r="G7040" s="107" t="str">
        <f aca="false">IF($C7040="","",$D7040*IFERROR(INDEX('تحليل التكلفة والسعر'!$C$2:$C$700,MATCH($C7040,'تحليل التكلفة والسعر'!$B$2:$B$700,0)),0))</f>
        <v/>
      </c>
    </row>
    <row r="7041" customFormat="false" ht="15" hidden="false" customHeight="false" outlineLevel="0" collapsed="false">
      <c r="A7041" s="103"/>
      <c r="B7041" s="104"/>
      <c r="C7041" s="104"/>
      <c r="E7041" s="107" t="str">
        <f aca="false">IF($C7041="","",IFERROR(INDEX(المنيو!$C$2:$C$500,MATCH($C7041,المنيو!$B$2:$B$500,0)),0))</f>
        <v/>
      </c>
      <c r="F7041" s="107" t="str">
        <f aca="false">IF($C7041="","",$D7041*$E7041)</f>
        <v/>
      </c>
      <c r="G7041" s="107" t="str">
        <f aca="false">IF($C7041="","",$D7041*IFERROR(INDEX('تحليل التكلفة والسعر'!$C$2:$C$700,MATCH($C7041,'تحليل التكلفة والسعر'!$B$2:$B$700,0)),0))</f>
        <v/>
      </c>
    </row>
    <row r="7042" customFormat="false" ht="15" hidden="false" customHeight="false" outlineLevel="0" collapsed="false">
      <c r="A7042" s="103"/>
      <c r="B7042" s="104"/>
      <c r="C7042" s="104"/>
      <c r="E7042" s="107" t="str">
        <f aca="false">IF($C7042="","",IFERROR(INDEX(المنيو!$C$2:$C$500,MATCH($C7042,المنيو!$B$2:$B$500,0)),0))</f>
        <v/>
      </c>
      <c r="F7042" s="107" t="str">
        <f aca="false">IF($C7042="","",$D7042*$E7042)</f>
        <v/>
      </c>
      <c r="G7042" s="107" t="str">
        <f aca="false">IF($C7042="","",$D7042*IFERROR(INDEX('تحليل التكلفة والسعر'!$C$2:$C$700,MATCH($C7042,'تحليل التكلفة والسعر'!$B$2:$B$700,0)),0))</f>
        <v/>
      </c>
    </row>
    <row r="7043" customFormat="false" ht="15" hidden="false" customHeight="false" outlineLevel="0" collapsed="false">
      <c r="A7043" s="103"/>
      <c r="B7043" s="104"/>
      <c r="C7043" s="104"/>
      <c r="E7043" s="107" t="str">
        <f aca="false">IF($C7043="","",IFERROR(INDEX(المنيو!$C$2:$C$500,MATCH($C7043,المنيو!$B$2:$B$500,0)),0))</f>
        <v/>
      </c>
      <c r="F7043" s="107" t="str">
        <f aca="false">IF($C7043="","",$D7043*$E7043)</f>
        <v/>
      </c>
      <c r="G7043" s="107" t="str">
        <f aca="false">IF($C7043="","",$D7043*IFERROR(INDEX('تحليل التكلفة والسعر'!$C$2:$C$700,MATCH($C7043,'تحليل التكلفة والسعر'!$B$2:$B$700,0)),0))</f>
        <v/>
      </c>
    </row>
    <row r="7044" customFormat="false" ht="15" hidden="false" customHeight="false" outlineLevel="0" collapsed="false">
      <c r="A7044" s="103"/>
      <c r="B7044" s="104"/>
      <c r="C7044" s="104"/>
      <c r="E7044" s="107" t="str">
        <f aca="false">IF($C7044="","",IFERROR(INDEX(المنيو!$C$2:$C$500,MATCH($C7044,المنيو!$B$2:$B$500,0)),0))</f>
        <v/>
      </c>
      <c r="F7044" s="107" t="str">
        <f aca="false">IF($C7044="","",$D7044*$E7044)</f>
        <v/>
      </c>
      <c r="G7044" s="107" t="str">
        <f aca="false">IF($C7044="","",$D7044*IFERROR(INDEX('تحليل التكلفة والسعر'!$C$2:$C$700,MATCH($C7044,'تحليل التكلفة والسعر'!$B$2:$B$700,0)),0))</f>
        <v/>
      </c>
    </row>
    <row r="7045" customFormat="false" ht="15" hidden="false" customHeight="false" outlineLevel="0" collapsed="false">
      <c r="A7045" s="103"/>
      <c r="B7045" s="104"/>
      <c r="C7045" s="104"/>
      <c r="E7045" s="107" t="str">
        <f aca="false">IF($C7045="","",IFERROR(INDEX(المنيو!$C$2:$C$500,MATCH($C7045,المنيو!$B$2:$B$500,0)),0))</f>
        <v/>
      </c>
      <c r="F7045" s="107" t="str">
        <f aca="false">IF($C7045="","",$D7045*$E7045)</f>
        <v/>
      </c>
      <c r="G7045" s="107" t="str">
        <f aca="false">IF($C7045="","",$D7045*IFERROR(INDEX('تحليل التكلفة والسعر'!$C$2:$C$700,MATCH($C7045,'تحليل التكلفة والسعر'!$B$2:$B$700,0)),0))</f>
        <v/>
      </c>
    </row>
    <row r="7046" customFormat="false" ht="15" hidden="false" customHeight="false" outlineLevel="0" collapsed="false">
      <c r="A7046" s="103"/>
      <c r="B7046" s="104"/>
      <c r="C7046" s="104"/>
      <c r="E7046" s="107" t="str">
        <f aca="false">IF($C7046="","",IFERROR(INDEX(المنيو!$C$2:$C$500,MATCH($C7046,المنيو!$B$2:$B$500,0)),0))</f>
        <v/>
      </c>
      <c r="F7046" s="107" t="str">
        <f aca="false">IF($C7046="","",$D7046*$E7046)</f>
        <v/>
      </c>
      <c r="G7046" s="107" t="str">
        <f aca="false">IF($C7046="","",$D7046*IFERROR(INDEX('تحليل التكلفة والسعر'!$C$2:$C$700,MATCH($C7046,'تحليل التكلفة والسعر'!$B$2:$B$700,0)),0))</f>
        <v/>
      </c>
    </row>
    <row r="7047" customFormat="false" ht="15" hidden="false" customHeight="false" outlineLevel="0" collapsed="false">
      <c r="A7047" s="103"/>
      <c r="B7047" s="104"/>
      <c r="C7047" s="104"/>
      <c r="E7047" s="107" t="str">
        <f aca="false">IF($C7047="","",IFERROR(INDEX(المنيو!$C$2:$C$500,MATCH($C7047,المنيو!$B$2:$B$500,0)),0))</f>
        <v/>
      </c>
      <c r="F7047" s="107" t="str">
        <f aca="false">IF($C7047="","",$D7047*$E7047)</f>
        <v/>
      </c>
      <c r="G7047" s="107" t="str">
        <f aca="false">IF($C7047="","",$D7047*IFERROR(INDEX('تحليل التكلفة والسعر'!$C$2:$C$700,MATCH($C7047,'تحليل التكلفة والسعر'!$B$2:$B$700,0)),0))</f>
        <v/>
      </c>
    </row>
    <row r="7048" customFormat="false" ht="15" hidden="false" customHeight="false" outlineLevel="0" collapsed="false">
      <c r="A7048" s="103"/>
      <c r="B7048" s="104"/>
      <c r="C7048" s="104"/>
      <c r="E7048" s="107" t="str">
        <f aca="false">IF($C7048="","",IFERROR(INDEX(المنيو!$C$2:$C$500,MATCH($C7048,المنيو!$B$2:$B$500,0)),0))</f>
        <v/>
      </c>
      <c r="F7048" s="107" t="str">
        <f aca="false">IF($C7048="","",$D7048*$E7048)</f>
        <v/>
      </c>
      <c r="G7048" s="107" t="str">
        <f aca="false">IF($C7048="","",$D7048*IFERROR(INDEX('تحليل التكلفة والسعر'!$C$2:$C$700,MATCH($C7048,'تحليل التكلفة والسعر'!$B$2:$B$700,0)),0))</f>
        <v/>
      </c>
    </row>
    <row r="7049" customFormat="false" ht="15" hidden="false" customHeight="false" outlineLevel="0" collapsed="false">
      <c r="A7049" s="103"/>
      <c r="B7049" s="104"/>
      <c r="C7049" s="104"/>
      <c r="E7049" s="107" t="str">
        <f aca="false">IF($C7049="","",IFERROR(INDEX(المنيو!$C$2:$C$500,MATCH($C7049,المنيو!$B$2:$B$500,0)),0))</f>
        <v/>
      </c>
      <c r="F7049" s="107" t="str">
        <f aca="false">IF($C7049="","",$D7049*$E7049)</f>
        <v/>
      </c>
      <c r="G7049" s="107" t="str">
        <f aca="false">IF($C7049="","",$D7049*IFERROR(INDEX('تحليل التكلفة والسعر'!$C$2:$C$700,MATCH($C7049,'تحليل التكلفة والسعر'!$B$2:$B$700,0)),0))</f>
        <v/>
      </c>
    </row>
    <row r="7050" customFormat="false" ht="15" hidden="false" customHeight="false" outlineLevel="0" collapsed="false">
      <c r="A7050" s="103"/>
      <c r="B7050" s="104"/>
      <c r="C7050" s="104"/>
      <c r="E7050" s="107" t="str">
        <f aca="false">IF($C7050="","",IFERROR(INDEX(المنيو!$C$2:$C$500,MATCH($C7050,المنيو!$B$2:$B$500,0)),0))</f>
        <v/>
      </c>
      <c r="F7050" s="107" t="str">
        <f aca="false">IF($C7050="","",$D7050*$E7050)</f>
        <v/>
      </c>
      <c r="G7050" s="107" t="str">
        <f aca="false">IF($C7050="","",$D7050*IFERROR(INDEX('تحليل التكلفة والسعر'!$C$2:$C$700,MATCH($C7050,'تحليل التكلفة والسعر'!$B$2:$B$700,0)),0))</f>
        <v/>
      </c>
    </row>
    <row r="7051" customFormat="false" ht="15" hidden="false" customHeight="false" outlineLevel="0" collapsed="false">
      <c r="A7051" s="103"/>
      <c r="B7051" s="104"/>
      <c r="C7051" s="104"/>
      <c r="E7051" s="107" t="str">
        <f aca="false">IF($C7051="","",IFERROR(INDEX(المنيو!$C$2:$C$500,MATCH($C7051,المنيو!$B$2:$B$500,0)),0))</f>
        <v/>
      </c>
      <c r="F7051" s="107" t="str">
        <f aca="false">IF($C7051="","",$D7051*$E7051)</f>
        <v/>
      </c>
      <c r="G7051" s="107" t="str">
        <f aca="false">IF($C7051="","",$D7051*IFERROR(INDEX('تحليل التكلفة والسعر'!$C$2:$C$700,MATCH($C7051,'تحليل التكلفة والسعر'!$B$2:$B$700,0)),0))</f>
        <v/>
      </c>
    </row>
    <row r="7052" customFormat="false" ht="15" hidden="false" customHeight="false" outlineLevel="0" collapsed="false">
      <c r="A7052" s="103"/>
      <c r="B7052" s="104"/>
      <c r="C7052" s="104"/>
      <c r="E7052" s="107" t="str">
        <f aca="false">IF($C7052="","",IFERROR(INDEX(المنيو!$C$2:$C$500,MATCH($C7052,المنيو!$B$2:$B$500,0)),0))</f>
        <v/>
      </c>
      <c r="F7052" s="107" t="str">
        <f aca="false">IF($C7052="","",$D7052*$E7052)</f>
        <v/>
      </c>
      <c r="G7052" s="107" t="str">
        <f aca="false">IF($C7052="","",$D7052*IFERROR(INDEX('تحليل التكلفة والسعر'!$C$2:$C$700,MATCH($C7052,'تحليل التكلفة والسعر'!$B$2:$B$700,0)),0))</f>
        <v/>
      </c>
    </row>
    <row r="7053" customFormat="false" ht="15" hidden="false" customHeight="false" outlineLevel="0" collapsed="false">
      <c r="A7053" s="103"/>
      <c r="B7053" s="104"/>
      <c r="C7053" s="104"/>
      <c r="E7053" s="107" t="str">
        <f aca="false">IF($C7053="","",IFERROR(INDEX(المنيو!$C$2:$C$500,MATCH($C7053,المنيو!$B$2:$B$500,0)),0))</f>
        <v/>
      </c>
      <c r="F7053" s="107" t="str">
        <f aca="false">IF($C7053="","",$D7053*$E7053)</f>
        <v/>
      </c>
      <c r="G7053" s="107" t="str">
        <f aca="false">IF($C7053="","",$D7053*IFERROR(INDEX('تحليل التكلفة والسعر'!$C$2:$C$700,MATCH($C7053,'تحليل التكلفة والسعر'!$B$2:$B$700,0)),0))</f>
        <v/>
      </c>
    </row>
    <row r="7054" customFormat="false" ht="15" hidden="false" customHeight="false" outlineLevel="0" collapsed="false">
      <c r="A7054" s="103"/>
      <c r="B7054" s="104"/>
      <c r="C7054" s="104"/>
      <c r="E7054" s="107" t="str">
        <f aca="false">IF($C7054="","",IFERROR(INDEX(المنيو!$C$2:$C$500,MATCH($C7054,المنيو!$B$2:$B$500,0)),0))</f>
        <v/>
      </c>
      <c r="F7054" s="107" t="str">
        <f aca="false">IF($C7054="","",$D7054*$E7054)</f>
        <v/>
      </c>
      <c r="G7054" s="107" t="str">
        <f aca="false">IF($C7054="","",$D7054*IFERROR(INDEX('تحليل التكلفة والسعر'!$C$2:$C$700,MATCH($C7054,'تحليل التكلفة والسعر'!$B$2:$B$700,0)),0))</f>
        <v/>
      </c>
    </row>
    <row r="7055" customFormat="false" ht="15" hidden="false" customHeight="false" outlineLevel="0" collapsed="false">
      <c r="A7055" s="103"/>
      <c r="B7055" s="104"/>
      <c r="C7055" s="104"/>
      <c r="E7055" s="107" t="str">
        <f aca="false">IF($C7055="","",IFERROR(INDEX(المنيو!$C$2:$C$500,MATCH($C7055,المنيو!$B$2:$B$500,0)),0))</f>
        <v/>
      </c>
      <c r="F7055" s="107" t="str">
        <f aca="false">IF($C7055="","",$D7055*$E7055)</f>
        <v/>
      </c>
      <c r="G7055" s="107" t="str">
        <f aca="false">IF($C7055="","",$D7055*IFERROR(INDEX('تحليل التكلفة والسعر'!$C$2:$C$700,MATCH($C7055,'تحليل التكلفة والسعر'!$B$2:$B$700,0)),0))</f>
        <v/>
      </c>
    </row>
    <row r="7056" customFormat="false" ht="15" hidden="false" customHeight="false" outlineLevel="0" collapsed="false">
      <c r="A7056" s="103"/>
      <c r="B7056" s="104"/>
      <c r="C7056" s="104"/>
      <c r="E7056" s="107" t="str">
        <f aca="false">IF($C7056="","",IFERROR(INDEX(المنيو!$C$2:$C$500,MATCH($C7056,المنيو!$B$2:$B$500,0)),0))</f>
        <v/>
      </c>
      <c r="F7056" s="107" t="str">
        <f aca="false">IF($C7056="","",$D7056*$E7056)</f>
        <v/>
      </c>
      <c r="G7056" s="107" t="str">
        <f aca="false">IF($C7056="","",$D7056*IFERROR(INDEX('تحليل التكلفة والسعر'!$C$2:$C$700,MATCH($C7056,'تحليل التكلفة والسعر'!$B$2:$B$700,0)),0))</f>
        <v/>
      </c>
    </row>
    <row r="7057" customFormat="false" ht="15" hidden="false" customHeight="false" outlineLevel="0" collapsed="false">
      <c r="A7057" s="103"/>
      <c r="B7057" s="104"/>
      <c r="C7057" s="104"/>
      <c r="E7057" s="107" t="str">
        <f aca="false">IF($C7057="","",IFERROR(INDEX(المنيو!$C$2:$C$500,MATCH($C7057,المنيو!$B$2:$B$500,0)),0))</f>
        <v/>
      </c>
      <c r="F7057" s="107" t="str">
        <f aca="false">IF($C7057="","",$D7057*$E7057)</f>
        <v/>
      </c>
      <c r="G7057" s="107" t="str">
        <f aca="false">IF($C7057="","",$D7057*IFERROR(INDEX('تحليل التكلفة والسعر'!$C$2:$C$700,MATCH($C7057,'تحليل التكلفة والسعر'!$B$2:$B$700,0)),0))</f>
        <v/>
      </c>
    </row>
    <row r="7058" customFormat="false" ht="15" hidden="false" customHeight="false" outlineLevel="0" collapsed="false">
      <c r="A7058" s="103"/>
      <c r="B7058" s="104"/>
      <c r="C7058" s="104"/>
      <c r="E7058" s="107" t="str">
        <f aca="false">IF($C7058="","",IFERROR(INDEX(المنيو!$C$2:$C$500,MATCH($C7058,المنيو!$B$2:$B$500,0)),0))</f>
        <v/>
      </c>
      <c r="F7058" s="107" t="str">
        <f aca="false">IF($C7058="","",$D7058*$E7058)</f>
        <v/>
      </c>
      <c r="G7058" s="107" t="str">
        <f aca="false">IF($C7058="","",$D7058*IFERROR(INDEX('تحليل التكلفة والسعر'!$C$2:$C$700,MATCH($C7058,'تحليل التكلفة والسعر'!$B$2:$B$700,0)),0))</f>
        <v/>
      </c>
    </row>
    <row r="7059" customFormat="false" ht="15" hidden="false" customHeight="false" outlineLevel="0" collapsed="false">
      <c r="A7059" s="103"/>
      <c r="B7059" s="104"/>
      <c r="C7059" s="104"/>
      <c r="E7059" s="107" t="str">
        <f aca="false">IF($C7059="","",IFERROR(INDEX(المنيو!$C$2:$C$500,MATCH($C7059,المنيو!$B$2:$B$500,0)),0))</f>
        <v/>
      </c>
      <c r="F7059" s="107" t="str">
        <f aca="false">IF($C7059="","",$D7059*$E7059)</f>
        <v/>
      </c>
      <c r="G7059" s="107" t="str">
        <f aca="false">IF($C7059="","",$D7059*IFERROR(INDEX('تحليل التكلفة والسعر'!$C$2:$C$700,MATCH($C7059,'تحليل التكلفة والسعر'!$B$2:$B$700,0)),0))</f>
        <v/>
      </c>
    </row>
    <row r="7060" customFormat="false" ht="15" hidden="false" customHeight="false" outlineLevel="0" collapsed="false">
      <c r="A7060" s="103"/>
      <c r="B7060" s="104"/>
      <c r="C7060" s="104"/>
      <c r="E7060" s="107" t="str">
        <f aca="false">IF($C7060="","",IFERROR(INDEX(المنيو!$C$2:$C$500,MATCH($C7060,المنيو!$B$2:$B$500,0)),0))</f>
        <v/>
      </c>
      <c r="F7060" s="107" t="str">
        <f aca="false">IF($C7060="","",$D7060*$E7060)</f>
        <v/>
      </c>
      <c r="G7060" s="107" t="str">
        <f aca="false">IF($C7060="","",$D7060*IFERROR(INDEX('تحليل التكلفة والسعر'!$C$2:$C$700,MATCH($C7060,'تحليل التكلفة والسعر'!$B$2:$B$700,0)),0))</f>
        <v/>
      </c>
    </row>
    <row r="7061" customFormat="false" ht="15" hidden="false" customHeight="false" outlineLevel="0" collapsed="false">
      <c r="A7061" s="103"/>
      <c r="B7061" s="104"/>
      <c r="C7061" s="104"/>
      <c r="E7061" s="107" t="str">
        <f aca="false">IF($C7061="","",IFERROR(INDEX(المنيو!$C$2:$C$500,MATCH($C7061,المنيو!$B$2:$B$500,0)),0))</f>
        <v/>
      </c>
      <c r="F7061" s="107" t="str">
        <f aca="false">IF($C7061="","",$D7061*$E7061)</f>
        <v/>
      </c>
      <c r="G7061" s="107" t="str">
        <f aca="false">IF($C7061="","",$D7061*IFERROR(INDEX('تحليل التكلفة والسعر'!$C$2:$C$700,MATCH($C7061,'تحليل التكلفة والسعر'!$B$2:$B$700,0)),0))</f>
        <v/>
      </c>
    </row>
    <row r="7062" customFormat="false" ht="15" hidden="false" customHeight="false" outlineLevel="0" collapsed="false">
      <c r="A7062" s="103"/>
      <c r="B7062" s="104"/>
      <c r="C7062" s="104"/>
      <c r="E7062" s="107" t="str">
        <f aca="false">IF($C7062="","",IFERROR(INDEX(المنيو!$C$2:$C$500,MATCH($C7062,المنيو!$B$2:$B$500,0)),0))</f>
        <v/>
      </c>
      <c r="F7062" s="107" t="str">
        <f aca="false">IF($C7062="","",$D7062*$E7062)</f>
        <v/>
      </c>
      <c r="G7062" s="107" t="str">
        <f aca="false">IF($C7062="","",$D7062*IFERROR(INDEX('تحليل التكلفة والسعر'!$C$2:$C$700,MATCH($C7062,'تحليل التكلفة والسعر'!$B$2:$B$700,0)),0))</f>
        <v/>
      </c>
    </row>
    <row r="7063" customFormat="false" ht="15" hidden="false" customHeight="false" outlineLevel="0" collapsed="false">
      <c r="A7063" s="103"/>
      <c r="B7063" s="104"/>
      <c r="C7063" s="104"/>
      <c r="E7063" s="107" t="str">
        <f aca="false">IF($C7063="","",IFERROR(INDEX(المنيو!$C$2:$C$500,MATCH($C7063,المنيو!$B$2:$B$500,0)),0))</f>
        <v/>
      </c>
      <c r="F7063" s="107" t="str">
        <f aca="false">IF($C7063="","",$D7063*$E7063)</f>
        <v/>
      </c>
      <c r="G7063" s="107" t="str">
        <f aca="false">IF($C7063="","",$D7063*IFERROR(INDEX('تحليل التكلفة والسعر'!$C$2:$C$700,MATCH($C7063,'تحليل التكلفة والسعر'!$B$2:$B$700,0)),0))</f>
        <v/>
      </c>
    </row>
    <row r="7064" customFormat="false" ht="15" hidden="false" customHeight="false" outlineLevel="0" collapsed="false">
      <c r="A7064" s="103"/>
      <c r="B7064" s="104"/>
      <c r="C7064" s="104"/>
      <c r="E7064" s="107" t="str">
        <f aca="false">IF($C7064="","",IFERROR(INDEX(المنيو!$C$2:$C$500,MATCH($C7064,المنيو!$B$2:$B$500,0)),0))</f>
        <v/>
      </c>
      <c r="F7064" s="107" t="str">
        <f aca="false">IF($C7064="","",$D7064*$E7064)</f>
        <v/>
      </c>
      <c r="G7064" s="107" t="str">
        <f aca="false">IF($C7064="","",$D7064*IFERROR(INDEX('تحليل التكلفة والسعر'!$C$2:$C$700,MATCH($C7064,'تحليل التكلفة والسعر'!$B$2:$B$700,0)),0))</f>
        <v/>
      </c>
    </row>
    <row r="7065" customFormat="false" ht="15" hidden="false" customHeight="false" outlineLevel="0" collapsed="false">
      <c r="A7065" s="103"/>
      <c r="B7065" s="104"/>
      <c r="C7065" s="104"/>
      <c r="E7065" s="107" t="str">
        <f aca="false">IF($C7065="","",IFERROR(INDEX(المنيو!$C$2:$C$500,MATCH($C7065,المنيو!$B$2:$B$500,0)),0))</f>
        <v/>
      </c>
      <c r="F7065" s="107" t="str">
        <f aca="false">IF($C7065="","",$D7065*$E7065)</f>
        <v/>
      </c>
      <c r="G7065" s="107" t="str">
        <f aca="false">IF($C7065="","",$D7065*IFERROR(INDEX('تحليل التكلفة والسعر'!$C$2:$C$700,MATCH($C7065,'تحليل التكلفة والسعر'!$B$2:$B$700,0)),0))</f>
        <v/>
      </c>
    </row>
    <row r="7066" customFormat="false" ht="15" hidden="false" customHeight="false" outlineLevel="0" collapsed="false">
      <c r="A7066" s="103"/>
      <c r="B7066" s="104"/>
      <c r="C7066" s="104"/>
      <c r="E7066" s="107" t="str">
        <f aca="false">IF($C7066="","",IFERROR(INDEX(المنيو!$C$2:$C$500,MATCH($C7066,المنيو!$B$2:$B$500,0)),0))</f>
        <v/>
      </c>
      <c r="F7066" s="107" t="str">
        <f aca="false">IF($C7066="","",$D7066*$E7066)</f>
        <v/>
      </c>
      <c r="G7066" s="107" t="str">
        <f aca="false">IF($C7066="","",$D7066*IFERROR(INDEX('تحليل التكلفة والسعر'!$C$2:$C$700,MATCH($C7066,'تحليل التكلفة والسعر'!$B$2:$B$700,0)),0))</f>
        <v/>
      </c>
    </row>
    <row r="7067" customFormat="false" ht="15" hidden="false" customHeight="false" outlineLevel="0" collapsed="false">
      <c r="A7067" s="103"/>
      <c r="B7067" s="104"/>
      <c r="C7067" s="104"/>
      <c r="E7067" s="107" t="str">
        <f aca="false">IF($C7067="","",IFERROR(INDEX(المنيو!$C$2:$C$500,MATCH($C7067,المنيو!$B$2:$B$500,0)),0))</f>
        <v/>
      </c>
      <c r="F7067" s="107" t="str">
        <f aca="false">IF($C7067="","",$D7067*$E7067)</f>
        <v/>
      </c>
      <c r="G7067" s="107" t="str">
        <f aca="false">IF($C7067="","",$D7067*IFERROR(INDEX('تحليل التكلفة والسعر'!$C$2:$C$700,MATCH($C7067,'تحليل التكلفة والسعر'!$B$2:$B$700,0)),0))</f>
        <v/>
      </c>
    </row>
    <row r="7068" customFormat="false" ht="15" hidden="false" customHeight="false" outlineLevel="0" collapsed="false">
      <c r="A7068" s="103"/>
      <c r="B7068" s="104"/>
      <c r="C7068" s="104"/>
      <c r="E7068" s="107" t="str">
        <f aca="false">IF($C7068="","",IFERROR(INDEX(المنيو!$C$2:$C$500,MATCH($C7068,المنيو!$B$2:$B$500,0)),0))</f>
        <v/>
      </c>
      <c r="F7068" s="107" t="str">
        <f aca="false">IF($C7068="","",$D7068*$E7068)</f>
        <v/>
      </c>
      <c r="G7068" s="107" t="str">
        <f aca="false">IF($C7068="","",$D7068*IFERROR(INDEX('تحليل التكلفة والسعر'!$C$2:$C$700,MATCH($C7068,'تحليل التكلفة والسعر'!$B$2:$B$700,0)),0))</f>
        <v/>
      </c>
    </row>
    <row r="7069" customFormat="false" ht="15" hidden="false" customHeight="false" outlineLevel="0" collapsed="false">
      <c r="A7069" s="103"/>
      <c r="B7069" s="104"/>
      <c r="C7069" s="104"/>
      <c r="E7069" s="107" t="str">
        <f aca="false">IF($C7069="","",IFERROR(INDEX(المنيو!$C$2:$C$500,MATCH($C7069,المنيو!$B$2:$B$500,0)),0))</f>
        <v/>
      </c>
      <c r="F7069" s="107" t="str">
        <f aca="false">IF($C7069="","",$D7069*$E7069)</f>
        <v/>
      </c>
      <c r="G7069" s="107" t="str">
        <f aca="false">IF($C7069="","",$D7069*IFERROR(INDEX('تحليل التكلفة والسعر'!$C$2:$C$700,MATCH($C7069,'تحليل التكلفة والسعر'!$B$2:$B$700,0)),0))</f>
        <v/>
      </c>
    </row>
    <row r="7070" customFormat="false" ht="15" hidden="false" customHeight="false" outlineLevel="0" collapsed="false">
      <c r="A7070" s="103"/>
      <c r="B7070" s="104"/>
      <c r="C7070" s="104"/>
      <c r="E7070" s="107" t="str">
        <f aca="false">IF($C7070="","",IFERROR(INDEX(المنيو!$C$2:$C$500,MATCH($C7070,المنيو!$B$2:$B$500,0)),0))</f>
        <v/>
      </c>
      <c r="F7070" s="107" t="str">
        <f aca="false">IF($C7070="","",$D7070*$E7070)</f>
        <v/>
      </c>
      <c r="G7070" s="107" t="str">
        <f aca="false">IF($C7070="","",$D7070*IFERROR(INDEX('تحليل التكلفة والسعر'!$C$2:$C$700,MATCH($C7070,'تحليل التكلفة والسعر'!$B$2:$B$700,0)),0))</f>
        <v/>
      </c>
    </row>
    <row r="7071" customFormat="false" ht="15" hidden="false" customHeight="false" outlineLevel="0" collapsed="false">
      <c r="A7071" s="103"/>
      <c r="B7071" s="104"/>
      <c r="C7071" s="104"/>
      <c r="E7071" s="107" t="str">
        <f aca="false">IF($C7071="","",IFERROR(INDEX(المنيو!$C$2:$C$500,MATCH($C7071,المنيو!$B$2:$B$500,0)),0))</f>
        <v/>
      </c>
      <c r="F7071" s="107" t="str">
        <f aca="false">IF($C7071="","",$D7071*$E7071)</f>
        <v/>
      </c>
      <c r="G7071" s="107" t="str">
        <f aca="false">IF($C7071="","",$D7071*IFERROR(INDEX('تحليل التكلفة والسعر'!$C$2:$C$700,MATCH($C7071,'تحليل التكلفة والسعر'!$B$2:$B$700,0)),0))</f>
        <v/>
      </c>
    </row>
    <row r="7072" customFormat="false" ht="15" hidden="false" customHeight="false" outlineLevel="0" collapsed="false">
      <c r="A7072" s="103"/>
      <c r="B7072" s="104"/>
      <c r="C7072" s="104"/>
      <c r="E7072" s="107" t="str">
        <f aca="false">IF($C7072="","",IFERROR(INDEX(المنيو!$C$2:$C$500,MATCH($C7072,المنيو!$B$2:$B$500,0)),0))</f>
        <v/>
      </c>
      <c r="F7072" s="107" t="str">
        <f aca="false">IF($C7072="","",$D7072*$E7072)</f>
        <v/>
      </c>
      <c r="G7072" s="107" t="str">
        <f aca="false">IF($C7072="","",$D7072*IFERROR(INDEX('تحليل التكلفة والسعر'!$C$2:$C$700,MATCH($C7072,'تحليل التكلفة والسعر'!$B$2:$B$700,0)),0))</f>
        <v/>
      </c>
    </row>
    <row r="7073" customFormat="false" ht="15" hidden="false" customHeight="false" outlineLevel="0" collapsed="false">
      <c r="A7073" s="103"/>
      <c r="B7073" s="104"/>
      <c r="C7073" s="104"/>
      <c r="E7073" s="107" t="str">
        <f aca="false">IF($C7073="","",IFERROR(INDEX(المنيو!$C$2:$C$500,MATCH($C7073,المنيو!$B$2:$B$500,0)),0))</f>
        <v/>
      </c>
      <c r="F7073" s="107" t="str">
        <f aca="false">IF($C7073="","",$D7073*$E7073)</f>
        <v/>
      </c>
      <c r="G7073" s="107" t="str">
        <f aca="false">IF($C7073="","",$D7073*IFERROR(INDEX('تحليل التكلفة والسعر'!$C$2:$C$700,MATCH($C7073,'تحليل التكلفة والسعر'!$B$2:$B$700,0)),0))</f>
        <v/>
      </c>
    </row>
    <row r="7074" customFormat="false" ht="15" hidden="false" customHeight="false" outlineLevel="0" collapsed="false">
      <c r="A7074" s="103"/>
      <c r="B7074" s="104"/>
      <c r="C7074" s="104"/>
      <c r="E7074" s="107" t="str">
        <f aca="false">IF($C7074="","",IFERROR(INDEX(المنيو!$C$2:$C$500,MATCH($C7074,المنيو!$B$2:$B$500,0)),0))</f>
        <v/>
      </c>
      <c r="F7074" s="107" t="str">
        <f aca="false">IF($C7074="","",$D7074*$E7074)</f>
        <v/>
      </c>
      <c r="G7074" s="107" t="str">
        <f aca="false">IF($C7074="","",$D7074*IFERROR(INDEX('تحليل التكلفة والسعر'!$C$2:$C$700,MATCH($C7074,'تحليل التكلفة والسعر'!$B$2:$B$700,0)),0))</f>
        <v/>
      </c>
    </row>
    <row r="7075" customFormat="false" ht="15" hidden="false" customHeight="false" outlineLevel="0" collapsed="false">
      <c r="A7075" s="103"/>
      <c r="B7075" s="104"/>
      <c r="C7075" s="104"/>
      <c r="E7075" s="107" t="str">
        <f aca="false">IF($C7075="","",IFERROR(INDEX(المنيو!$C$2:$C$500,MATCH($C7075,المنيو!$B$2:$B$500,0)),0))</f>
        <v/>
      </c>
      <c r="F7075" s="107" t="str">
        <f aca="false">IF($C7075="","",$D7075*$E7075)</f>
        <v/>
      </c>
      <c r="G7075" s="107" t="str">
        <f aca="false">IF($C7075="","",$D7075*IFERROR(INDEX('تحليل التكلفة والسعر'!$C$2:$C$700,MATCH($C7075,'تحليل التكلفة والسعر'!$B$2:$B$700,0)),0))</f>
        <v/>
      </c>
    </row>
    <row r="7076" customFormat="false" ht="15" hidden="false" customHeight="false" outlineLevel="0" collapsed="false">
      <c r="A7076" s="103"/>
      <c r="B7076" s="104"/>
      <c r="C7076" s="104"/>
      <c r="E7076" s="107" t="str">
        <f aca="false">IF($C7076="","",IFERROR(INDEX(المنيو!$C$2:$C$500,MATCH($C7076,المنيو!$B$2:$B$500,0)),0))</f>
        <v/>
      </c>
      <c r="F7076" s="107" t="str">
        <f aca="false">IF($C7076="","",$D7076*$E7076)</f>
        <v/>
      </c>
      <c r="G7076" s="107" t="str">
        <f aca="false">IF($C7076="","",$D7076*IFERROR(INDEX('تحليل التكلفة والسعر'!$C$2:$C$700,MATCH($C7076,'تحليل التكلفة والسعر'!$B$2:$B$700,0)),0))</f>
        <v/>
      </c>
    </row>
    <row r="7077" customFormat="false" ht="15" hidden="false" customHeight="false" outlineLevel="0" collapsed="false">
      <c r="A7077" s="103"/>
      <c r="B7077" s="104"/>
      <c r="C7077" s="104"/>
      <c r="E7077" s="107" t="str">
        <f aca="false">IF($C7077="","",IFERROR(INDEX(المنيو!$C$2:$C$500,MATCH($C7077,المنيو!$B$2:$B$500,0)),0))</f>
        <v/>
      </c>
      <c r="F7077" s="107" t="str">
        <f aca="false">IF($C7077="","",$D7077*$E7077)</f>
        <v/>
      </c>
      <c r="G7077" s="107" t="str">
        <f aca="false">IF($C7077="","",$D7077*IFERROR(INDEX('تحليل التكلفة والسعر'!$C$2:$C$700,MATCH($C7077,'تحليل التكلفة والسعر'!$B$2:$B$700,0)),0))</f>
        <v/>
      </c>
    </row>
    <row r="7078" customFormat="false" ht="15" hidden="false" customHeight="false" outlineLevel="0" collapsed="false">
      <c r="A7078" s="103"/>
      <c r="B7078" s="104"/>
      <c r="C7078" s="104"/>
      <c r="E7078" s="107" t="str">
        <f aca="false">IF($C7078="","",IFERROR(INDEX(المنيو!$C$2:$C$500,MATCH($C7078,المنيو!$B$2:$B$500,0)),0))</f>
        <v/>
      </c>
      <c r="F7078" s="107" t="str">
        <f aca="false">IF($C7078="","",$D7078*$E7078)</f>
        <v/>
      </c>
      <c r="G7078" s="107" t="str">
        <f aca="false">IF($C7078="","",$D7078*IFERROR(INDEX('تحليل التكلفة والسعر'!$C$2:$C$700,MATCH($C7078,'تحليل التكلفة والسعر'!$B$2:$B$700,0)),0))</f>
        <v/>
      </c>
    </row>
    <row r="7079" customFormat="false" ht="15" hidden="false" customHeight="false" outlineLevel="0" collapsed="false">
      <c r="A7079" s="103"/>
      <c r="B7079" s="104"/>
      <c r="C7079" s="104"/>
      <c r="E7079" s="107" t="str">
        <f aca="false">IF($C7079="","",IFERROR(INDEX(المنيو!$C$2:$C$500,MATCH($C7079,المنيو!$B$2:$B$500,0)),0))</f>
        <v/>
      </c>
      <c r="F7079" s="107" t="str">
        <f aca="false">IF($C7079="","",$D7079*$E7079)</f>
        <v/>
      </c>
      <c r="G7079" s="107" t="str">
        <f aca="false">IF($C7079="","",$D7079*IFERROR(INDEX('تحليل التكلفة والسعر'!$C$2:$C$700,MATCH($C7079,'تحليل التكلفة والسعر'!$B$2:$B$700,0)),0))</f>
        <v/>
      </c>
    </row>
    <row r="7080" customFormat="false" ht="15" hidden="false" customHeight="false" outlineLevel="0" collapsed="false">
      <c r="A7080" s="103"/>
      <c r="B7080" s="104"/>
      <c r="C7080" s="104"/>
      <c r="E7080" s="107" t="str">
        <f aca="false">IF($C7080="","",IFERROR(INDEX(المنيو!$C$2:$C$500,MATCH($C7080,المنيو!$B$2:$B$500,0)),0))</f>
        <v/>
      </c>
      <c r="F7080" s="107" t="str">
        <f aca="false">IF($C7080="","",$D7080*$E7080)</f>
        <v/>
      </c>
      <c r="G7080" s="107" t="str">
        <f aca="false">IF($C7080="","",$D7080*IFERROR(INDEX('تحليل التكلفة والسعر'!$C$2:$C$700,MATCH($C7080,'تحليل التكلفة والسعر'!$B$2:$B$700,0)),0))</f>
        <v/>
      </c>
    </row>
    <row r="7081" customFormat="false" ht="15" hidden="false" customHeight="false" outlineLevel="0" collapsed="false">
      <c r="A7081" s="103"/>
      <c r="B7081" s="104"/>
      <c r="C7081" s="104"/>
      <c r="E7081" s="107" t="str">
        <f aca="false">IF($C7081="","",IFERROR(INDEX(المنيو!$C$2:$C$500,MATCH($C7081,المنيو!$B$2:$B$500,0)),0))</f>
        <v/>
      </c>
      <c r="F7081" s="107" t="str">
        <f aca="false">IF($C7081="","",$D7081*$E7081)</f>
        <v/>
      </c>
      <c r="G7081" s="107" t="str">
        <f aca="false">IF($C7081="","",$D7081*IFERROR(INDEX('تحليل التكلفة والسعر'!$C$2:$C$700,MATCH($C7081,'تحليل التكلفة والسعر'!$B$2:$B$700,0)),0))</f>
        <v/>
      </c>
    </row>
    <row r="7082" customFormat="false" ht="15" hidden="false" customHeight="false" outlineLevel="0" collapsed="false">
      <c r="A7082" s="103"/>
      <c r="B7082" s="104"/>
      <c r="C7082" s="104"/>
      <c r="E7082" s="107" t="str">
        <f aca="false">IF($C7082="","",IFERROR(INDEX(المنيو!$C$2:$C$500,MATCH($C7082,المنيو!$B$2:$B$500,0)),0))</f>
        <v/>
      </c>
      <c r="F7082" s="107" t="str">
        <f aca="false">IF($C7082="","",$D7082*$E7082)</f>
        <v/>
      </c>
      <c r="G7082" s="107" t="str">
        <f aca="false">IF($C7082="","",$D7082*IFERROR(INDEX('تحليل التكلفة والسعر'!$C$2:$C$700,MATCH($C7082,'تحليل التكلفة والسعر'!$B$2:$B$700,0)),0))</f>
        <v/>
      </c>
    </row>
    <row r="7083" customFormat="false" ht="15" hidden="false" customHeight="false" outlineLevel="0" collapsed="false">
      <c r="A7083" s="103"/>
      <c r="B7083" s="104"/>
      <c r="C7083" s="104"/>
      <c r="E7083" s="107" t="str">
        <f aca="false">IF($C7083="","",IFERROR(INDEX(المنيو!$C$2:$C$500,MATCH($C7083,المنيو!$B$2:$B$500,0)),0))</f>
        <v/>
      </c>
      <c r="F7083" s="107" t="str">
        <f aca="false">IF($C7083="","",$D7083*$E7083)</f>
        <v/>
      </c>
      <c r="G7083" s="107" t="str">
        <f aca="false">IF($C7083="","",$D7083*IFERROR(INDEX('تحليل التكلفة والسعر'!$C$2:$C$700,MATCH($C7083,'تحليل التكلفة والسعر'!$B$2:$B$700,0)),0))</f>
        <v/>
      </c>
    </row>
    <row r="7084" customFormat="false" ht="15" hidden="false" customHeight="false" outlineLevel="0" collapsed="false">
      <c r="A7084" s="103"/>
      <c r="B7084" s="104"/>
      <c r="C7084" s="104"/>
      <c r="E7084" s="107" t="str">
        <f aca="false">IF($C7084="","",IFERROR(INDEX(المنيو!$C$2:$C$500,MATCH($C7084,المنيو!$B$2:$B$500,0)),0))</f>
        <v/>
      </c>
      <c r="F7084" s="107" t="str">
        <f aca="false">IF($C7084="","",$D7084*$E7084)</f>
        <v/>
      </c>
      <c r="G7084" s="107" t="str">
        <f aca="false">IF($C7084="","",$D7084*IFERROR(INDEX('تحليل التكلفة والسعر'!$C$2:$C$700,MATCH($C7084,'تحليل التكلفة والسعر'!$B$2:$B$700,0)),0))</f>
        <v/>
      </c>
    </row>
    <row r="7085" customFormat="false" ht="15" hidden="false" customHeight="false" outlineLevel="0" collapsed="false">
      <c r="A7085" s="103"/>
      <c r="B7085" s="104"/>
      <c r="C7085" s="104"/>
      <c r="E7085" s="107" t="str">
        <f aca="false">IF($C7085="","",IFERROR(INDEX(المنيو!$C$2:$C$500,MATCH($C7085,المنيو!$B$2:$B$500,0)),0))</f>
        <v/>
      </c>
      <c r="F7085" s="107" t="str">
        <f aca="false">IF($C7085="","",$D7085*$E7085)</f>
        <v/>
      </c>
      <c r="G7085" s="107" t="str">
        <f aca="false">IF($C7085="","",$D7085*IFERROR(INDEX('تحليل التكلفة والسعر'!$C$2:$C$700,MATCH($C7085,'تحليل التكلفة والسعر'!$B$2:$B$700,0)),0))</f>
        <v/>
      </c>
    </row>
    <row r="7086" customFormat="false" ht="15" hidden="false" customHeight="false" outlineLevel="0" collapsed="false">
      <c r="A7086" s="103"/>
      <c r="B7086" s="104"/>
      <c r="C7086" s="104"/>
      <c r="E7086" s="107" t="str">
        <f aca="false">IF($C7086="","",IFERROR(INDEX(المنيو!$C$2:$C$500,MATCH($C7086,المنيو!$B$2:$B$500,0)),0))</f>
        <v/>
      </c>
      <c r="F7086" s="107" t="str">
        <f aca="false">IF($C7086="","",$D7086*$E7086)</f>
        <v/>
      </c>
      <c r="G7086" s="107" t="str">
        <f aca="false">IF($C7086="","",$D7086*IFERROR(INDEX('تحليل التكلفة والسعر'!$C$2:$C$700,MATCH($C7086,'تحليل التكلفة والسعر'!$B$2:$B$700,0)),0))</f>
        <v/>
      </c>
    </row>
    <row r="7087" customFormat="false" ht="15" hidden="false" customHeight="false" outlineLevel="0" collapsed="false">
      <c r="A7087" s="103"/>
      <c r="B7087" s="104"/>
      <c r="C7087" s="104"/>
      <c r="E7087" s="107" t="str">
        <f aca="false">IF($C7087="","",IFERROR(INDEX(المنيو!$C$2:$C$500,MATCH($C7087,المنيو!$B$2:$B$500,0)),0))</f>
        <v/>
      </c>
      <c r="F7087" s="107" t="str">
        <f aca="false">IF($C7087="","",$D7087*$E7087)</f>
        <v/>
      </c>
      <c r="G7087" s="107" t="str">
        <f aca="false">IF($C7087="","",$D7087*IFERROR(INDEX('تحليل التكلفة والسعر'!$C$2:$C$700,MATCH($C7087,'تحليل التكلفة والسعر'!$B$2:$B$700,0)),0))</f>
        <v/>
      </c>
    </row>
    <row r="7088" customFormat="false" ht="15" hidden="false" customHeight="false" outlineLevel="0" collapsed="false">
      <c r="A7088" s="103"/>
      <c r="B7088" s="104"/>
      <c r="C7088" s="104"/>
      <c r="E7088" s="107" t="str">
        <f aca="false">IF($C7088="","",IFERROR(INDEX(المنيو!$C$2:$C$500,MATCH($C7088,المنيو!$B$2:$B$500,0)),0))</f>
        <v/>
      </c>
      <c r="F7088" s="107" t="str">
        <f aca="false">IF($C7088="","",$D7088*$E7088)</f>
        <v/>
      </c>
      <c r="G7088" s="107" t="str">
        <f aca="false">IF($C7088="","",$D7088*IFERROR(INDEX('تحليل التكلفة والسعر'!$C$2:$C$700,MATCH($C7088,'تحليل التكلفة والسعر'!$B$2:$B$700,0)),0))</f>
        <v/>
      </c>
    </row>
    <row r="7089" customFormat="false" ht="15" hidden="false" customHeight="false" outlineLevel="0" collapsed="false">
      <c r="A7089" s="103"/>
      <c r="B7089" s="104"/>
      <c r="C7089" s="104"/>
      <c r="E7089" s="107" t="str">
        <f aca="false">IF($C7089="","",IFERROR(INDEX(المنيو!$C$2:$C$500,MATCH($C7089,المنيو!$B$2:$B$500,0)),0))</f>
        <v/>
      </c>
      <c r="F7089" s="107" t="str">
        <f aca="false">IF($C7089="","",$D7089*$E7089)</f>
        <v/>
      </c>
      <c r="G7089" s="107" t="str">
        <f aca="false">IF($C7089="","",$D7089*IFERROR(INDEX('تحليل التكلفة والسعر'!$C$2:$C$700,MATCH($C7089,'تحليل التكلفة والسعر'!$B$2:$B$700,0)),0))</f>
        <v/>
      </c>
    </row>
    <row r="7090" customFormat="false" ht="15" hidden="false" customHeight="false" outlineLevel="0" collapsed="false">
      <c r="A7090" s="103"/>
      <c r="B7090" s="104"/>
      <c r="C7090" s="104"/>
      <c r="E7090" s="107" t="str">
        <f aca="false">IF($C7090="","",IFERROR(INDEX(المنيو!$C$2:$C$500,MATCH($C7090,المنيو!$B$2:$B$500,0)),0))</f>
        <v/>
      </c>
      <c r="F7090" s="107" t="str">
        <f aca="false">IF($C7090="","",$D7090*$E7090)</f>
        <v/>
      </c>
      <c r="G7090" s="107" t="str">
        <f aca="false">IF($C7090="","",$D7090*IFERROR(INDEX('تحليل التكلفة والسعر'!$C$2:$C$700,MATCH($C7090,'تحليل التكلفة والسعر'!$B$2:$B$700,0)),0))</f>
        <v/>
      </c>
    </row>
    <row r="7091" customFormat="false" ht="15" hidden="false" customHeight="false" outlineLevel="0" collapsed="false">
      <c r="A7091" s="103"/>
      <c r="B7091" s="104"/>
      <c r="C7091" s="104"/>
      <c r="E7091" s="107" t="str">
        <f aca="false">IF($C7091="","",IFERROR(INDEX(المنيو!$C$2:$C$500,MATCH($C7091,المنيو!$B$2:$B$500,0)),0))</f>
        <v/>
      </c>
      <c r="F7091" s="107" t="str">
        <f aca="false">IF($C7091="","",$D7091*$E7091)</f>
        <v/>
      </c>
      <c r="G7091" s="107" t="str">
        <f aca="false">IF($C7091="","",$D7091*IFERROR(INDEX('تحليل التكلفة والسعر'!$C$2:$C$700,MATCH($C7091,'تحليل التكلفة والسعر'!$B$2:$B$700,0)),0))</f>
        <v/>
      </c>
    </row>
    <row r="7092" customFormat="false" ht="15" hidden="false" customHeight="false" outlineLevel="0" collapsed="false">
      <c r="A7092" s="103"/>
      <c r="B7092" s="104"/>
      <c r="C7092" s="104"/>
      <c r="E7092" s="107" t="str">
        <f aca="false">IF($C7092="","",IFERROR(INDEX(المنيو!$C$2:$C$500,MATCH($C7092,المنيو!$B$2:$B$500,0)),0))</f>
        <v/>
      </c>
      <c r="F7092" s="107" t="str">
        <f aca="false">IF($C7092="","",$D7092*$E7092)</f>
        <v/>
      </c>
      <c r="G7092" s="107" t="str">
        <f aca="false">IF($C7092="","",$D7092*IFERROR(INDEX('تحليل التكلفة والسعر'!$C$2:$C$700,MATCH($C7092,'تحليل التكلفة والسعر'!$B$2:$B$700,0)),0))</f>
        <v/>
      </c>
    </row>
    <row r="7093" customFormat="false" ht="15" hidden="false" customHeight="false" outlineLevel="0" collapsed="false">
      <c r="A7093" s="103"/>
      <c r="B7093" s="104"/>
      <c r="C7093" s="104"/>
      <c r="E7093" s="107" t="str">
        <f aca="false">IF($C7093="","",IFERROR(INDEX(المنيو!$C$2:$C$500,MATCH($C7093,المنيو!$B$2:$B$500,0)),0))</f>
        <v/>
      </c>
      <c r="F7093" s="107" t="str">
        <f aca="false">IF($C7093="","",$D7093*$E7093)</f>
        <v/>
      </c>
      <c r="G7093" s="107" t="str">
        <f aca="false">IF($C7093="","",$D7093*IFERROR(INDEX('تحليل التكلفة والسعر'!$C$2:$C$700,MATCH($C7093,'تحليل التكلفة والسعر'!$B$2:$B$700,0)),0))</f>
        <v/>
      </c>
    </row>
    <row r="7094" customFormat="false" ht="15" hidden="false" customHeight="false" outlineLevel="0" collapsed="false">
      <c r="A7094" s="103"/>
      <c r="B7094" s="104"/>
      <c r="C7094" s="104"/>
      <c r="E7094" s="107" t="str">
        <f aca="false">IF($C7094="","",IFERROR(INDEX(المنيو!$C$2:$C$500,MATCH($C7094,المنيو!$B$2:$B$500,0)),0))</f>
        <v/>
      </c>
      <c r="F7094" s="107" t="str">
        <f aca="false">IF($C7094="","",$D7094*$E7094)</f>
        <v/>
      </c>
      <c r="G7094" s="107" t="str">
        <f aca="false">IF($C7094="","",$D7094*IFERROR(INDEX('تحليل التكلفة والسعر'!$C$2:$C$700,MATCH($C7094,'تحليل التكلفة والسعر'!$B$2:$B$700,0)),0))</f>
        <v/>
      </c>
    </row>
    <row r="7095" customFormat="false" ht="15" hidden="false" customHeight="false" outlineLevel="0" collapsed="false">
      <c r="A7095" s="103"/>
      <c r="B7095" s="104"/>
      <c r="C7095" s="104"/>
      <c r="E7095" s="107" t="str">
        <f aca="false">IF($C7095="","",IFERROR(INDEX(المنيو!$C$2:$C$500,MATCH($C7095,المنيو!$B$2:$B$500,0)),0))</f>
        <v/>
      </c>
      <c r="F7095" s="107" t="str">
        <f aca="false">IF($C7095="","",$D7095*$E7095)</f>
        <v/>
      </c>
      <c r="G7095" s="107" t="str">
        <f aca="false">IF($C7095="","",$D7095*IFERROR(INDEX('تحليل التكلفة والسعر'!$C$2:$C$700,MATCH($C7095,'تحليل التكلفة والسعر'!$B$2:$B$700,0)),0))</f>
        <v/>
      </c>
    </row>
    <row r="7096" customFormat="false" ht="15" hidden="false" customHeight="false" outlineLevel="0" collapsed="false">
      <c r="A7096" s="103"/>
      <c r="B7096" s="104"/>
      <c r="C7096" s="104"/>
      <c r="E7096" s="107" t="str">
        <f aca="false">IF($C7096="","",IFERROR(INDEX(المنيو!$C$2:$C$500,MATCH($C7096,المنيو!$B$2:$B$500,0)),0))</f>
        <v/>
      </c>
      <c r="F7096" s="107" t="str">
        <f aca="false">IF($C7096="","",$D7096*$E7096)</f>
        <v/>
      </c>
      <c r="G7096" s="107" t="str">
        <f aca="false">IF($C7096="","",$D7096*IFERROR(INDEX('تحليل التكلفة والسعر'!$C$2:$C$700,MATCH($C7096,'تحليل التكلفة والسعر'!$B$2:$B$700,0)),0))</f>
        <v/>
      </c>
    </row>
    <row r="7097" customFormat="false" ht="15" hidden="false" customHeight="false" outlineLevel="0" collapsed="false">
      <c r="A7097" s="103"/>
      <c r="B7097" s="104"/>
      <c r="C7097" s="104"/>
      <c r="E7097" s="107" t="str">
        <f aca="false">IF($C7097="","",IFERROR(INDEX(المنيو!$C$2:$C$500,MATCH($C7097,المنيو!$B$2:$B$500,0)),0))</f>
        <v/>
      </c>
      <c r="F7097" s="107" t="str">
        <f aca="false">IF($C7097="","",$D7097*$E7097)</f>
        <v/>
      </c>
      <c r="G7097" s="107" t="str">
        <f aca="false">IF($C7097="","",$D7097*IFERROR(INDEX('تحليل التكلفة والسعر'!$C$2:$C$700,MATCH($C7097,'تحليل التكلفة والسعر'!$B$2:$B$700,0)),0))</f>
        <v/>
      </c>
    </row>
    <row r="7098" customFormat="false" ht="15" hidden="false" customHeight="false" outlineLevel="0" collapsed="false">
      <c r="A7098" s="103"/>
      <c r="B7098" s="104"/>
      <c r="C7098" s="104"/>
      <c r="E7098" s="107" t="str">
        <f aca="false">IF($C7098="","",IFERROR(INDEX(المنيو!$C$2:$C$500,MATCH($C7098,المنيو!$B$2:$B$500,0)),0))</f>
        <v/>
      </c>
      <c r="F7098" s="107" t="str">
        <f aca="false">IF($C7098="","",$D7098*$E7098)</f>
        <v/>
      </c>
      <c r="G7098" s="107" t="str">
        <f aca="false">IF($C7098="","",$D7098*IFERROR(INDEX('تحليل التكلفة والسعر'!$C$2:$C$700,MATCH($C7098,'تحليل التكلفة والسعر'!$B$2:$B$700,0)),0))</f>
        <v/>
      </c>
    </row>
    <row r="7099" customFormat="false" ht="15" hidden="false" customHeight="false" outlineLevel="0" collapsed="false">
      <c r="A7099" s="103"/>
      <c r="B7099" s="104"/>
      <c r="C7099" s="104"/>
      <c r="E7099" s="107" t="str">
        <f aca="false">IF($C7099="","",IFERROR(INDEX(المنيو!$C$2:$C$500,MATCH($C7099,المنيو!$B$2:$B$500,0)),0))</f>
        <v/>
      </c>
      <c r="F7099" s="107" t="str">
        <f aca="false">IF($C7099="","",$D7099*$E7099)</f>
        <v/>
      </c>
      <c r="G7099" s="107" t="str">
        <f aca="false">IF($C7099="","",$D7099*IFERROR(INDEX('تحليل التكلفة والسعر'!$C$2:$C$700,MATCH($C7099,'تحليل التكلفة والسعر'!$B$2:$B$700,0)),0))</f>
        <v/>
      </c>
    </row>
    <row r="7100" customFormat="false" ht="15" hidden="false" customHeight="false" outlineLevel="0" collapsed="false">
      <c r="A7100" s="103"/>
      <c r="B7100" s="104"/>
      <c r="C7100" s="104"/>
      <c r="E7100" s="107" t="str">
        <f aca="false">IF($C7100="","",IFERROR(INDEX(المنيو!$C$2:$C$500,MATCH($C7100,المنيو!$B$2:$B$500,0)),0))</f>
        <v/>
      </c>
      <c r="F7100" s="107" t="str">
        <f aca="false">IF($C7100="","",$D7100*$E7100)</f>
        <v/>
      </c>
      <c r="G7100" s="107" t="str">
        <f aca="false">IF($C7100="","",$D7100*IFERROR(INDEX('تحليل التكلفة والسعر'!$C$2:$C$700,MATCH($C7100,'تحليل التكلفة والسعر'!$B$2:$B$700,0)),0))</f>
        <v/>
      </c>
    </row>
    <row r="7101" customFormat="false" ht="15" hidden="false" customHeight="false" outlineLevel="0" collapsed="false">
      <c r="A7101" s="103"/>
      <c r="B7101" s="104"/>
      <c r="C7101" s="104"/>
      <c r="E7101" s="107" t="str">
        <f aca="false">IF($C7101="","",IFERROR(INDEX(المنيو!$C$2:$C$500,MATCH($C7101,المنيو!$B$2:$B$500,0)),0))</f>
        <v/>
      </c>
      <c r="F7101" s="107" t="str">
        <f aca="false">IF($C7101="","",$D7101*$E7101)</f>
        <v/>
      </c>
      <c r="G7101" s="107" t="str">
        <f aca="false">IF($C7101="","",$D7101*IFERROR(INDEX('تحليل التكلفة والسعر'!$C$2:$C$700,MATCH($C7101,'تحليل التكلفة والسعر'!$B$2:$B$700,0)),0))</f>
        <v/>
      </c>
    </row>
    <row r="7102" customFormat="false" ht="15" hidden="false" customHeight="false" outlineLevel="0" collapsed="false">
      <c r="A7102" s="103"/>
      <c r="B7102" s="104"/>
      <c r="C7102" s="104"/>
      <c r="E7102" s="107" t="str">
        <f aca="false">IF($C7102="","",IFERROR(INDEX(المنيو!$C$2:$C$500,MATCH($C7102,المنيو!$B$2:$B$500,0)),0))</f>
        <v/>
      </c>
      <c r="F7102" s="107" t="str">
        <f aca="false">IF($C7102="","",$D7102*$E7102)</f>
        <v/>
      </c>
      <c r="G7102" s="107" t="str">
        <f aca="false">IF($C7102="","",$D7102*IFERROR(INDEX('تحليل التكلفة والسعر'!$C$2:$C$700,MATCH($C7102,'تحليل التكلفة والسعر'!$B$2:$B$700,0)),0))</f>
        <v/>
      </c>
    </row>
    <row r="7103" customFormat="false" ht="15" hidden="false" customHeight="false" outlineLevel="0" collapsed="false">
      <c r="A7103" s="103"/>
      <c r="B7103" s="104"/>
      <c r="C7103" s="104"/>
      <c r="E7103" s="107" t="str">
        <f aca="false">IF($C7103="","",IFERROR(INDEX(المنيو!$C$2:$C$500,MATCH($C7103,المنيو!$B$2:$B$500,0)),0))</f>
        <v/>
      </c>
      <c r="F7103" s="107" t="str">
        <f aca="false">IF($C7103="","",$D7103*$E7103)</f>
        <v/>
      </c>
      <c r="G7103" s="107" t="str">
        <f aca="false">IF($C7103="","",$D7103*IFERROR(INDEX('تحليل التكلفة والسعر'!$C$2:$C$700,MATCH($C7103,'تحليل التكلفة والسعر'!$B$2:$B$700,0)),0))</f>
        <v/>
      </c>
    </row>
    <row r="7104" customFormat="false" ht="15" hidden="false" customHeight="false" outlineLevel="0" collapsed="false">
      <c r="A7104" s="103"/>
      <c r="B7104" s="104"/>
      <c r="C7104" s="104"/>
      <c r="E7104" s="107" t="str">
        <f aca="false">IF($C7104="","",IFERROR(INDEX(المنيو!$C$2:$C$500,MATCH($C7104,المنيو!$B$2:$B$500,0)),0))</f>
        <v/>
      </c>
      <c r="F7104" s="107" t="str">
        <f aca="false">IF($C7104="","",$D7104*$E7104)</f>
        <v/>
      </c>
      <c r="G7104" s="107" t="str">
        <f aca="false">IF($C7104="","",$D7104*IFERROR(INDEX('تحليل التكلفة والسعر'!$C$2:$C$700,MATCH($C7104,'تحليل التكلفة والسعر'!$B$2:$B$700,0)),0))</f>
        <v/>
      </c>
    </row>
    <row r="7105" customFormat="false" ht="15" hidden="false" customHeight="false" outlineLevel="0" collapsed="false">
      <c r="A7105" s="103"/>
      <c r="B7105" s="104"/>
      <c r="C7105" s="104"/>
      <c r="E7105" s="107" t="str">
        <f aca="false">IF($C7105="","",IFERROR(INDEX(المنيو!$C$2:$C$500,MATCH($C7105,المنيو!$B$2:$B$500,0)),0))</f>
        <v/>
      </c>
      <c r="F7105" s="107" t="str">
        <f aca="false">IF($C7105="","",$D7105*$E7105)</f>
        <v/>
      </c>
      <c r="G7105" s="107" t="str">
        <f aca="false">IF($C7105="","",$D7105*IFERROR(INDEX('تحليل التكلفة والسعر'!$C$2:$C$700,MATCH($C7105,'تحليل التكلفة والسعر'!$B$2:$B$700,0)),0))</f>
        <v/>
      </c>
    </row>
    <row r="7106" customFormat="false" ht="15" hidden="false" customHeight="false" outlineLevel="0" collapsed="false">
      <c r="A7106" s="103"/>
      <c r="B7106" s="104"/>
      <c r="C7106" s="104"/>
      <c r="E7106" s="107" t="str">
        <f aca="false">IF($C7106="","",IFERROR(INDEX(المنيو!$C$2:$C$500,MATCH($C7106,المنيو!$B$2:$B$500,0)),0))</f>
        <v/>
      </c>
      <c r="F7106" s="107" t="str">
        <f aca="false">IF($C7106="","",$D7106*$E7106)</f>
        <v/>
      </c>
      <c r="G7106" s="107" t="str">
        <f aca="false">IF($C7106="","",$D7106*IFERROR(INDEX('تحليل التكلفة والسعر'!$C$2:$C$700,MATCH($C7106,'تحليل التكلفة والسعر'!$B$2:$B$700,0)),0))</f>
        <v/>
      </c>
    </row>
    <row r="7107" customFormat="false" ht="15" hidden="false" customHeight="false" outlineLevel="0" collapsed="false">
      <c r="A7107" s="103"/>
      <c r="B7107" s="104"/>
      <c r="C7107" s="104"/>
      <c r="E7107" s="107" t="str">
        <f aca="false">IF($C7107="","",IFERROR(INDEX(المنيو!$C$2:$C$500,MATCH($C7107,المنيو!$B$2:$B$500,0)),0))</f>
        <v/>
      </c>
      <c r="F7107" s="107" t="str">
        <f aca="false">IF($C7107="","",$D7107*$E7107)</f>
        <v/>
      </c>
      <c r="G7107" s="107" t="str">
        <f aca="false">IF($C7107="","",$D7107*IFERROR(INDEX('تحليل التكلفة والسعر'!$C$2:$C$700,MATCH($C7107,'تحليل التكلفة والسعر'!$B$2:$B$700,0)),0))</f>
        <v/>
      </c>
    </row>
    <row r="7108" customFormat="false" ht="15" hidden="false" customHeight="false" outlineLevel="0" collapsed="false">
      <c r="A7108" s="103"/>
      <c r="B7108" s="104"/>
      <c r="C7108" s="104"/>
      <c r="E7108" s="107" t="str">
        <f aca="false">IF($C7108="","",IFERROR(INDEX(المنيو!$C$2:$C$500,MATCH($C7108,المنيو!$B$2:$B$500,0)),0))</f>
        <v/>
      </c>
      <c r="F7108" s="107" t="str">
        <f aca="false">IF($C7108="","",$D7108*$E7108)</f>
        <v/>
      </c>
      <c r="G7108" s="107" t="str">
        <f aca="false">IF($C7108="","",$D7108*IFERROR(INDEX('تحليل التكلفة والسعر'!$C$2:$C$700,MATCH($C7108,'تحليل التكلفة والسعر'!$B$2:$B$700,0)),0))</f>
        <v/>
      </c>
    </row>
    <row r="7109" customFormat="false" ht="15" hidden="false" customHeight="false" outlineLevel="0" collapsed="false">
      <c r="A7109" s="103"/>
      <c r="B7109" s="104"/>
      <c r="C7109" s="104"/>
      <c r="E7109" s="107" t="str">
        <f aca="false">IF($C7109="","",IFERROR(INDEX(المنيو!$C$2:$C$500,MATCH($C7109,المنيو!$B$2:$B$500,0)),0))</f>
        <v/>
      </c>
      <c r="F7109" s="107" t="str">
        <f aca="false">IF($C7109="","",$D7109*$E7109)</f>
        <v/>
      </c>
      <c r="G7109" s="107" t="str">
        <f aca="false">IF($C7109="","",$D7109*IFERROR(INDEX('تحليل التكلفة والسعر'!$C$2:$C$700,MATCH($C7109,'تحليل التكلفة والسعر'!$B$2:$B$700,0)),0))</f>
        <v/>
      </c>
    </row>
    <row r="7110" customFormat="false" ht="15" hidden="false" customHeight="false" outlineLevel="0" collapsed="false">
      <c r="A7110" s="103"/>
      <c r="B7110" s="104"/>
      <c r="C7110" s="104"/>
      <c r="E7110" s="107" t="str">
        <f aca="false">IF($C7110="","",IFERROR(INDEX(المنيو!$C$2:$C$500,MATCH($C7110,المنيو!$B$2:$B$500,0)),0))</f>
        <v/>
      </c>
      <c r="F7110" s="107" t="str">
        <f aca="false">IF($C7110="","",$D7110*$E7110)</f>
        <v/>
      </c>
      <c r="G7110" s="107" t="str">
        <f aca="false">IF($C7110="","",$D7110*IFERROR(INDEX('تحليل التكلفة والسعر'!$C$2:$C$700,MATCH($C7110,'تحليل التكلفة والسعر'!$B$2:$B$700,0)),0))</f>
        <v/>
      </c>
    </row>
    <row r="7111" customFormat="false" ht="15" hidden="false" customHeight="false" outlineLevel="0" collapsed="false">
      <c r="A7111" s="103"/>
      <c r="B7111" s="104"/>
      <c r="C7111" s="104"/>
      <c r="E7111" s="107" t="str">
        <f aca="false">IF($C7111="","",IFERROR(INDEX(المنيو!$C$2:$C$500,MATCH($C7111,المنيو!$B$2:$B$500,0)),0))</f>
        <v/>
      </c>
      <c r="F7111" s="107" t="str">
        <f aca="false">IF($C7111="","",$D7111*$E7111)</f>
        <v/>
      </c>
      <c r="G7111" s="107" t="str">
        <f aca="false">IF($C7111="","",$D7111*IFERROR(INDEX('تحليل التكلفة والسعر'!$C$2:$C$700,MATCH($C7111,'تحليل التكلفة والسعر'!$B$2:$B$700,0)),0))</f>
        <v/>
      </c>
    </row>
    <row r="7112" customFormat="false" ht="15" hidden="false" customHeight="false" outlineLevel="0" collapsed="false">
      <c r="A7112" s="103"/>
      <c r="B7112" s="104"/>
      <c r="C7112" s="104"/>
      <c r="E7112" s="107" t="str">
        <f aca="false">IF($C7112="","",IFERROR(INDEX(المنيو!$C$2:$C$500,MATCH($C7112,المنيو!$B$2:$B$500,0)),0))</f>
        <v/>
      </c>
      <c r="F7112" s="107" t="str">
        <f aca="false">IF($C7112="","",$D7112*$E7112)</f>
        <v/>
      </c>
      <c r="G7112" s="107" t="str">
        <f aca="false">IF($C7112="","",$D7112*IFERROR(INDEX('تحليل التكلفة والسعر'!$C$2:$C$700,MATCH($C7112,'تحليل التكلفة والسعر'!$B$2:$B$700,0)),0))</f>
        <v/>
      </c>
    </row>
    <row r="7113" customFormat="false" ht="15" hidden="false" customHeight="false" outlineLevel="0" collapsed="false">
      <c r="A7113" s="103"/>
      <c r="B7113" s="104"/>
      <c r="C7113" s="104"/>
      <c r="E7113" s="107" t="str">
        <f aca="false">IF($C7113="","",IFERROR(INDEX(المنيو!$C$2:$C$500,MATCH($C7113,المنيو!$B$2:$B$500,0)),0))</f>
        <v/>
      </c>
      <c r="F7113" s="107" t="str">
        <f aca="false">IF($C7113="","",$D7113*$E7113)</f>
        <v/>
      </c>
      <c r="G7113" s="107" t="str">
        <f aca="false">IF($C7113="","",$D7113*IFERROR(INDEX('تحليل التكلفة والسعر'!$C$2:$C$700,MATCH($C7113,'تحليل التكلفة والسعر'!$B$2:$B$700,0)),0))</f>
        <v/>
      </c>
    </row>
    <row r="7114" customFormat="false" ht="15" hidden="false" customHeight="false" outlineLevel="0" collapsed="false">
      <c r="A7114" s="103"/>
      <c r="B7114" s="104"/>
      <c r="C7114" s="104"/>
      <c r="E7114" s="107" t="str">
        <f aca="false">IF($C7114="","",IFERROR(INDEX(المنيو!$C$2:$C$500,MATCH($C7114,المنيو!$B$2:$B$500,0)),0))</f>
        <v/>
      </c>
      <c r="F7114" s="107" t="str">
        <f aca="false">IF($C7114="","",$D7114*$E7114)</f>
        <v/>
      </c>
      <c r="G7114" s="107" t="str">
        <f aca="false">IF($C7114="","",$D7114*IFERROR(INDEX('تحليل التكلفة والسعر'!$C$2:$C$700,MATCH($C7114,'تحليل التكلفة والسعر'!$B$2:$B$700,0)),0))</f>
        <v/>
      </c>
    </row>
    <row r="7115" customFormat="false" ht="15" hidden="false" customHeight="false" outlineLevel="0" collapsed="false">
      <c r="A7115" s="103"/>
      <c r="B7115" s="104"/>
      <c r="C7115" s="104"/>
      <c r="E7115" s="107" t="str">
        <f aca="false">IF($C7115="","",IFERROR(INDEX(المنيو!$C$2:$C$500,MATCH($C7115,المنيو!$B$2:$B$500,0)),0))</f>
        <v/>
      </c>
      <c r="F7115" s="107" t="str">
        <f aca="false">IF($C7115="","",$D7115*$E7115)</f>
        <v/>
      </c>
      <c r="G7115" s="107" t="str">
        <f aca="false">IF($C7115="","",$D7115*IFERROR(INDEX('تحليل التكلفة والسعر'!$C$2:$C$700,MATCH($C7115,'تحليل التكلفة والسعر'!$B$2:$B$700,0)),0))</f>
        <v/>
      </c>
    </row>
    <row r="7116" customFormat="false" ht="15" hidden="false" customHeight="false" outlineLevel="0" collapsed="false">
      <c r="A7116" s="103"/>
      <c r="B7116" s="104"/>
      <c r="C7116" s="104"/>
      <c r="E7116" s="107" t="str">
        <f aca="false">IF($C7116="","",IFERROR(INDEX(المنيو!$C$2:$C$500,MATCH($C7116,المنيو!$B$2:$B$500,0)),0))</f>
        <v/>
      </c>
      <c r="F7116" s="107" t="str">
        <f aca="false">IF($C7116="","",$D7116*$E7116)</f>
        <v/>
      </c>
      <c r="G7116" s="107" t="str">
        <f aca="false">IF($C7116="","",$D7116*IFERROR(INDEX('تحليل التكلفة والسعر'!$C$2:$C$700,MATCH($C7116,'تحليل التكلفة والسعر'!$B$2:$B$700,0)),0))</f>
        <v/>
      </c>
    </row>
    <row r="7117" customFormat="false" ht="15" hidden="false" customHeight="false" outlineLevel="0" collapsed="false">
      <c r="A7117" s="103"/>
      <c r="B7117" s="104"/>
      <c r="C7117" s="104"/>
      <c r="E7117" s="107" t="str">
        <f aca="false">IF($C7117="","",IFERROR(INDEX(المنيو!$C$2:$C$500,MATCH($C7117,المنيو!$B$2:$B$500,0)),0))</f>
        <v/>
      </c>
      <c r="F7117" s="107" t="str">
        <f aca="false">IF($C7117="","",$D7117*$E7117)</f>
        <v/>
      </c>
      <c r="G7117" s="107" t="str">
        <f aca="false">IF($C7117="","",$D7117*IFERROR(INDEX('تحليل التكلفة والسعر'!$C$2:$C$700,MATCH($C7117,'تحليل التكلفة والسعر'!$B$2:$B$700,0)),0))</f>
        <v/>
      </c>
    </row>
    <row r="7118" customFormat="false" ht="15" hidden="false" customHeight="false" outlineLevel="0" collapsed="false">
      <c r="A7118" s="103"/>
      <c r="B7118" s="104"/>
      <c r="C7118" s="104"/>
      <c r="E7118" s="107" t="str">
        <f aca="false">IF($C7118="","",IFERROR(INDEX(المنيو!$C$2:$C$500,MATCH($C7118,المنيو!$B$2:$B$500,0)),0))</f>
        <v/>
      </c>
      <c r="F7118" s="107" t="str">
        <f aca="false">IF($C7118="","",$D7118*$E7118)</f>
        <v/>
      </c>
      <c r="G7118" s="107" t="str">
        <f aca="false">IF($C7118="","",$D7118*IFERROR(INDEX('تحليل التكلفة والسعر'!$C$2:$C$700,MATCH($C7118,'تحليل التكلفة والسعر'!$B$2:$B$700,0)),0))</f>
        <v/>
      </c>
    </row>
    <row r="7119" customFormat="false" ht="15" hidden="false" customHeight="false" outlineLevel="0" collapsed="false">
      <c r="A7119" s="103"/>
      <c r="B7119" s="104"/>
      <c r="C7119" s="104"/>
      <c r="E7119" s="107" t="str">
        <f aca="false">IF($C7119="","",IFERROR(INDEX(المنيو!$C$2:$C$500,MATCH($C7119,المنيو!$B$2:$B$500,0)),0))</f>
        <v/>
      </c>
      <c r="F7119" s="107" t="str">
        <f aca="false">IF($C7119="","",$D7119*$E7119)</f>
        <v/>
      </c>
      <c r="G7119" s="107" t="str">
        <f aca="false">IF($C7119="","",$D7119*IFERROR(INDEX('تحليل التكلفة والسعر'!$C$2:$C$700,MATCH($C7119,'تحليل التكلفة والسعر'!$B$2:$B$700,0)),0))</f>
        <v/>
      </c>
    </row>
    <row r="7120" customFormat="false" ht="15" hidden="false" customHeight="false" outlineLevel="0" collapsed="false">
      <c r="A7120" s="103"/>
      <c r="B7120" s="104"/>
      <c r="C7120" s="104"/>
      <c r="E7120" s="107" t="str">
        <f aca="false">IF($C7120="","",IFERROR(INDEX(المنيو!$C$2:$C$500,MATCH($C7120,المنيو!$B$2:$B$500,0)),0))</f>
        <v/>
      </c>
      <c r="F7120" s="107" t="str">
        <f aca="false">IF($C7120="","",$D7120*$E7120)</f>
        <v/>
      </c>
      <c r="G7120" s="107" t="str">
        <f aca="false">IF($C7120="","",$D7120*IFERROR(INDEX('تحليل التكلفة والسعر'!$C$2:$C$700,MATCH($C7120,'تحليل التكلفة والسعر'!$B$2:$B$700,0)),0))</f>
        <v/>
      </c>
    </row>
    <row r="7121" customFormat="false" ht="15" hidden="false" customHeight="false" outlineLevel="0" collapsed="false">
      <c r="A7121" s="103"/>
      <c r="B7121" s="104"/>
      <c r="C7121" s="104"/>
      <c r="E7121" s="107" t="str">
        <f aca="false">IF($C7121="","",IFERROR(INDEX(المنيو!$C$2:$C$500,MATCH($C7121,المنيو!$B$2:$B$500,0)),0))</f>
        <v/>
      </c>
      <c r="F7121" s="107" t="str">
        <f aca="false">IF($C7121="","",$D7121*$E7121)</f>
        <v/>
      </c>
      <c r="G7121" s="107" t="str">
        <f aca="false">IF($C7121="","",$D7121*IFERROR(INDEX('تحليل التكلفة والسعر'!$C$2:$C$700,MATCH($C7121,'تحليل التكلفة والسعر'!$B$2:$B$700,0)),0))</f>
        <v/>
      </c>
    </row>
    <row r="7122" customFormat="false" ht="15" hidden="false" customHeight="false" outlineLevel="0" collapsed="false">
      <c r="A7122" s="103"/>
      <c r="B7122" s="104"/>
      <c r="C7122" s="104"/>
      <c r="E7122" s="107" t="str">
        <f aca="false">IF($C7122="","",IFERROR(INDEX(المنيو!$C$2:$C$500,MATCH($C7122,المنيو!$B$2:$B$500,0)),0))</f>
        <v/>
      </c>
      <c r="F7122" s="107" t="str">
        <f aca="false">IF($C7122="","",$D7122*$E7122)</f>
        <v/>
      </c>
      <c r="G7122" s="107" t="str">
        <f aca="false">IF($C7122="","",$D7122*IFERROR(INDEX('تحليل التكلفة والسعر'!$C$2:$C$700,MATCH($C7122,'تحليل التكلفة والسعر'!$B$2:$B$700,0)),0))</f>
        <v/>
      </c>
    </row>
    <row r="7123" customFormat="false" ht="15" hidden="false" customHeight="false" outlineLevel="0" collapsed="false">
      <c r="A7123" s="103"/>
      <c r="B7123" s="104"/>
      <c r="C7123" s="104"/>
      <c r="E7123" s="107" t="str">
        <f aca="false">IF($C7123="","",IFERROR(INDEX(المنيو!$C$2:$C$500,MATCH($C7123,المنيو!$B$2:$B$500,0)),0))</f>
        <v/>
      </c>
      <c r="F7123" s="107" t="str">
        <f aca="false">IF($C7123="","",$D7123*$E7123)</f>
        <v/>
      </c>
      <c r="G7123" s="107" t="str">
        <f aca="false">IF($C7123="","",$D7123*IFERROR(INDEX('تحليل التكلفة والسعر'!$C$2:$C$700,MATCH($C7123,'تحليل التكلفة والسعر'!$B$2:$B$700,0)),0))</f>
        <v/>
      </c>
    </row>
    <row r="7124" customFormat="false" ht="15" hidden="false" customHeight="false" outlineLevel="0" collapsed="false">
      <c r="A7124" s="103"/>
      <c r="B7124" s="104"/>
      <c r="C7124" s="104"/>
      <c r="E7124" s="107" t="str">
        <f aca="false">IF($C7124="","",IFERROR(INDEX(المنيو!$C$2:$C$500,MATCH($C7124,المنيو!$B$2:$B$500,0)),0))</f>
        <v/>
      </c>
      <c r="F7124" s="107" t="str">
        <f aca="false">IF($C7124="","",$D7124*$E7124)</f>
        <v/>
      </c>
      <c r="G7124" s="107" t="str">
        <f aca="false">IF($C7124="","",$D7124*IFERROR(INDEX('تحليل التكلفة والسعر'!$C$2:$C$700,MATCH($C7124,'تحليل التكلفة والسعر'!$B$2:$B$700,0)),0))</f>
        <v/>
      </c>
    </row>
    <row r="7125" customFormat="false" ht="15" hidden="false" customHeight="false" outlineLevel="0" collapsed="false">
      <c r="A7125" s="103"/>
      <c r="B7125" s="104"/>
      <c r="C7125" s="104"/>
      <c r="E7125" s="107" t="str">
        <f aca="false">IF($C7125="","",IFERROR(INDEX(المنيو!$C$2:$C$500,MATCH($C7125,المنيو!$B$2:$B$500,0)),0))</f>
        <v/>
      </c>
      <c r="F7125" s="107" t="str">
        <f aca="false">IF($C7125="","",$D7125*$E7125)</f>
        <v/>
      </c>
      <c r="G7125" s="107" t="str">
        <f aca="false">IF($C7125="","",$D7125*IFERROR(INDEX('تحليل التكلفة والسعر'!$C$2:$C$700,MATCH($C7125,'تحليل التكلفة والسعر'!$B$2:$B$700,0)),0))</f>
        <v/>
      </c>
    </row>
    <row r="7126" customFormat="false" ht="15" hidden="false" customHeight="false" outlineLevel="0" collapsed="false">
      <c r="A7126" s="103"/>
      <c r="B7126" s="104"/>
      <c r="C7126" s="104"/>
      <c r="E7126" s="107" t="str">
        <f aca="false">IF($C7126="","",IFERROR(INDEX(المنيو!$C$2:$C$500,MATCH($C7126,المنيو!$B$2:$B$500,0)),0))</f>
        <v/>
      </c>
      <c r="F7126" s="107" t="str">
        <f aca="false">IF($C7126="","",$D7126*$E7126)</f>
        <v/>
      </c>
      <c r="G7126" s="107" t="str">
        <f aca="false">IF($C7126="","",$D7126*IFERROR(INDEX('تحليل التكلفة والسعر'!$C$2:$C$700,MATCH($C7126,'تحليل التكلفة والسعر'!$B$2:$B$700,0)),0))</f>
        <v/>
      </c>
    </row>
    <row r="7127" customFormat="false" ht="15" hidden="false" customHeight="false" outlineLevel="0" collapsed="false">
      <c r="A7127" s="103"/>
      <c r="B7127" s="104"/>
      <c r="C7127" s="104"/>
      <c r="E7127" s="107" t="str">
        <f aca="false">IF($C7127="","",IFERROR(INDEX(المنيو!$C$2:$C$500,MATCH($C7127,المنيو!$B$2:$B$500,0)),0))</f>
        <v/>
      </c>
      <c r="F7127" s="107" t="str">
        <f aca="false">IF($C7127="","",$D7127*$E7127)</f>
        <v/>
      </c>
      <c r="G7127" s="107" t="str">
        <f aca="false">IF($C7127="","",$D7127*IFERROR(INDEX('تحليل التكلفة والسعر'!$C$2:$C$700,MATCH($C7127,'تحليل التكلفة والسعر'!$B$2:$B$700,0)),0))</f>
        <v/>
      </c>
    </row>
    <row r="7128" customFormat="false" ht="15" hidden="false" customHeight="false" outlineLevel="0" collapsed="false">
      <c r="A7128" s="103"/>
      <c r="B7128" s="104"/>
      <c r="C7128" s="104"/>
      <c r="E7128" s="107" t="str">
        <f aca="false">IF($C7128="","",IFERROR(INDEX(المنيو!$C$2:$C$500,MATCH($C7128,المنيو!$B$2:$B$500,0)),0))</f>
        <v/>
      </c>
      <c r="F7128" s="107" t="str">
        <f aca="false">IF($C7128="","",$D7128*$E7128)</f>
        <v/>
      </c>
      <c r="G7128" s="107" t="str">
        <f aca="false">IF($C7128="","",$D7128*IFERROR(INDEX('تحليل التكلفة والسعر'!$C$2:$C$700,MATCH($C7128,'تحليل التكلفة والسعر'!$B$2:$B$700,0)),0))</f>
        <v/>
      </c>
    </row>
    <row r="7129" customFormat="false" ht="15" hidden="false" customHeight="false" outlineLevel="0" collapsed="false">
      <c r="A7129" s="103"/>
      <c r="B7129" s="104"/>
      <c r="C7129" s="104"/>
      <c r="E7129" s="107" t="str">
        <f aca="false">IF($C7129="","",IFERROR(INDEX(المنيو!$C$2:$C$500,MATCH($C7129,المنيو!$B$2:$B$500,0)),0))</f>
        <v/>
      </c>
      <c r="F7129" s="107" t="str">
        <f aca="false">IF($C7129="","",$D7129*$E7129)</f>
        <v/>
      </c>
      <c r="G7129" s="107" t="str">
        <f aca="false">IF($C7129="","",$D7129*IFERROR(INDEX('تحليل التكلفة والسعر'!$C$2:$C$700,MATCH($C7129,'تحليل التكلفة والسعر'!$B$2:$B$700,0)),0))</f>
        <v/>
      </c>
    </row>
    <row r="7130" customFormat="false" ht="15" hidden="false" customHeight="false" outlineLevel="0" collapsed="false">
      <c r="A7130" s="103"/>
      <c r="B7130" s="104"/>
      <c r="C7130" s="104"/>
      <c r="E7130" s="107" t="str">
        <f aca="false">IF($C7130="","",IFERROR(INDEX(المنيو!$C$2:$C$500,MATCH($C7130,المنيو!$B$2:$B$500,0)),0))</f>
        <v/>
      </c>
      <c r="F7130" s="107" t="str">
        <f aca="false">IF($C7130="","",$D7130*$E7130)</f>
        <v/>
      </c>
      <c r="G7130" s="107" t="str">
        <f aca="false">IF($C7130="","",$D7130*IFERROR(INDEX('تحليل التكلفة والسعر'!$C$2:$C$700,MATCH($C7130,'تحليل التكلفة والسعر'!$B$2:$B$700,0)),0))</f>
        <v/>
      </c>
    </row>
    <row r="7131" customFormat="false" ht="15" hidden="false" customHeight="false" outlineLevel="0" collapsed="false">
      <c r="A7131" s="103"/>
      <c r="B7131" s="104"/>
      <c r="C7131" s="104"/>
      <c r="E7131" s="107" t="str">
        <f aca="false">IF($C7131="","",IFERROR(INDEX(المنيو!$C$2:$C$500,MATCH($C7131,المنيو!$B$2:$B$500,0)),0))</f>
        <v/>
      </c>
      <c r="F7131" s="107" t="str">
        <f aca="false">IF($C7131="","",$D7131*$E7131)</f>
        <v/>
      </c>
      <c r="G7131" s="107" t="str">
        <f aca="false">IF($C7131="","",$D7131*IFERROR(INDEX('تحليل التكلفة والسعر'!$C$2:$C$700,MATCH($C7131,'تحليل التكلفة والسعر'!$B$2:$B$700,0)),0))</f>
        <v/>
      </c>
    </row>
    <row r="7132" customFormat="false" ht="15" hidden="false" customHeight="false" outlineLevel="0" collapsed="false">
      <c r="A7132" s="103"/>
      <c r="B7132" s="104"/>
      <c r="C7132" s="104"/>
      <c r="E7132" s="107" t="str">
        <f aca="false">IF($C7132="","",IFERROR(INDEX(المنيو!$C$2:$C$500,MATCH($C7132,المنيو!$B$2:$B$500,0)),0))</f>
        <v/>
      </c>
      <c r="F7132" s="107" t="str">
        <f aca="false">IF($C7132="","",$D7132*$E7132)</f>
        <v/>
      </c>
      <c r="G7132" s="107" t="str">
        <f aca="false">IF($C7132="","",$D7132*IFERROR(INDEX('تحليل التكلفة والسعر'!$C$2:$C$700,MATCH($C7132,'تحليل التكلفة والسعر'!$B$2:$B$700,0)),0))</f>
        <v/>
      </c>
    </row>
    <row r="7133" customFormat="false" ht="15" hidden="false" customHeight="false" outlineLevel="0" collapsed="false">
      <c r="A7133" s="103"/>
      <c r="B7133" s="104"/>
      <c r="C7133" s="104"/>
      <c r="E7133" s="107" t="str">
        <f aca="false">IF($C7133="","",IFERROR(INDEX(المنيو!$C$2:$C$500,MATCH($C7133,المنيو!$B$2:$B$500,0)),0))</f>
        <v/>
      </c>
      <c r="F7133" s="107" t="str">
        <f aca="false">IF($C7133="","",$D7133*$E7133)</f>
        <v/>
      </c>
      <c r="G7133" s="107" t="str">
        <f aca="false">IF($C7133="","",$D7133*IFERROR(INDEX('تحليل التكلفة والسعر'!$C$2:$C$700,MATCH($C7133,'تحليل التكلفة والسعر'!$B$2:$B$700,0)),0))</f>
        <v/>
      </c>
    </row>
    <row r="7134" customFormat="false" ht="15" hidden="false" customHeight="false" outlineLevel="0" collapsed="false">
      <c r="A7134" s="103"/>
      <c r="B7134" s="104"/>
      <c r="C7134" s="104"/>
      <c r="E7134" s="107" t="str">
        <f aca="false">IF($C7134="","",IFERROR(INDEX(المنيو!$C$2:$C$500,MATCH($C7134,المنيو!$B$2:$B$500,0)),0))</f>
        <v/>
      </c>
      <c r="F7134" s="107" t="str">
        <f aca="false">IF($C7134="","",$D7134*$E7134)</f>
        <v/>
      </c>
      <c r="G7134" s="107" t="str">
        <f aca="false">IF($C7134="","",$D7134*IFERROR(INDEX('تحليل التكلفة والسعر'!$C$2:$C$700,MATCH($C7134,'تحليل التكلفة والسعر'!$B$2:$B$700,0)),0))</f>
        <v/>
      </c>
    </row>
    <row r="7135" customFormat="false" ht="15" hidden="false" customHeight="false" outlineLevel="0" collapsed="false">
      <c r="A7135" s="103"/>
      <c r="B7135" s="104"/>
      <c r="C7135" s="104"/>
      <c r="E7135" s="107" t="str">
        <f aca="false">IF($C7135="","",IFERROR(INDEX(المنيو!$C$2:$C$500,MATCH($C7135,المنيو!$B$2:$B$500,0)),0))</f>
        <v/>
      </c>
      <c r="F7135" s="107" t="str">
        <f aca="false">IF($C7135="","",$D7135*$E7135)</f>
        <v/>
      </c>
      <c r="G7135" s="107" t="str">
        <f aca="false">IF($C7135="","",$D7135*IFERROR(INDEX('تحليل التكلفة والسعر'!$C$2:$C$700,MATCH($C7135,'تحليل التكلفة والسعر'!$B$2:$B$700,0)),0))</f>
        <v/>
      </c>
    </row>
    <row r="7136" customFormat="false" ht="15" hidden="false" customHeight="false" outlineLevel="0" collapsed="false">
      <c r="A7136" s="103"/>
      <c r="B7136" s="104"/>
      <c r="C7136" s="104"/>
      <c r="E7136" s="107" t="str">
        <f aca="false">IF($C7136="","",IFERROR(INDEX(المنيو!$C$2:$C$500,MATCH($C7136,المنيو!$B$2:$B$500,0)),0))</f>
        <v/>
      </c>
      <c r="F7136" s="107" t="str">
        <f aca="false">IF($C7136="","",$D7136*$E7136)</f>
        <v/>
      </c>
      <c r="G7136" s="107" t="str">
        <f aca="false">IF($C7136="","",$D7136*IFERROR(INDEX('تحليل التكلفة والسعر'!$C$2:$C$700,MATCH($C7136,'تحليل التكلفة والسعر'!$B$2:$B$700,0)),0))</f>
        <v/>
      </c>
    </row>
    <row r="7137" customFormat="false" ht="15" hidden="false" customHeight="false" outlineLevel="0" collapsed="false">
      <c r="A7137" s="103"/>
      <c r="B7137" s="104"/>
      <c r="C7137" s="104"/>
      <c r="E7137" s="107" t="str">
        <f aca="false">IF($C7137="","",IFERROR(INDEX(المنيو!$C$2:$C$500,MATCH($C7137,المنيو!$B$2:$B$500,0)),0))</f>
        <v/>
      </c>
      <c r="F7137" s="107" t="str">
        <f aca="false">IF($C7137="","",$D7137*$E7137)</f>
        <v/>
      </c>
      <c r="G7137" s="107" t="str">
        <f aca="false">IF($C7137="","",$D7137*IFERROR(INDEX('تحليل التكلفة والسعر'!$C$2:$C$700,MATCH($C7137,'تحليل التكلفة والسعر'!$B$2:$B$700,0)),0))</f>
        <v/>
      </c>
    </row>
    <row r="7138" customFormat="false" ht="15" hidden="false" customHeight="false" outlineLevel="0" collapsed="false">
      <c r="A7138" s="103"/>
      <c r="B7138" s="104"/>
      <c r="C7138" s="104"/>
      <c r="E7138" s="107" t="str">
        <f aca="false">IF($C7138="","",IFERROR(INDEX(المنيو!$C$2:$C$500,MATCH($C7138,المنيو!$B$2:$B$500,0)),0))</f>
        <v/>
      </c>
      <c r="F7138" s="107" t="str">
        <f aca="false">IF($C7138="","",$D7138*$E7138)</f>
        <v/>
      </c>
      <c r="G7138" s="107" t="str">
        <f aca="false">IF($C7138="","",$D7138*IFERROR(INDEX('تحليل التكلفة والسعر'!$C$2:$C$700,MATCH($C7138,'تحليل التكلفة والسعر'!$B$2:$B$700,0)),0))</f>
        <v/>
      </c>
    </row>
    <row r="7139" customFormat="false" ht="15" hidden="false" customHeight="false" outlineLevel="0" collapsed="false">
      <c r="A7139" s="103"/>
      <c r="B7139" s="104"/>
      <c r="C7139" s="104"/>
      <c r="E7139" s="107" t="str">
        <f aca="false">IF($C7139="","",IFERROR(INDEX(المنيو!$C$2:$C$500,MATCH($C7139,المنيو!$B$2:$B$500,0)),0))</f>
        <v/>
      </c>
      <c r="F7139" s="107" t="str">
        <f aca="false">IF($C7139="","",$D7139*$E7139)</f>
        <v/>
      </c>
      <c r="G7139" s="107" t="str">
        <f aca="false">IF($C7139="","",$D7139*IFERROR(INDEX('تحليل التكلفة والسعر'!$C$2:$C$700,MATCH($C7139,'تحليل التكلفة والسعر'!$B$2:$B$700,0)),0))</f>
        <v/>
      </c>
    </row>
    <row r="7140" customFormat="false" ht="15" hidden="false" customHeight="false" outlineLevel="0" collapsed="false">
      <c r="A7140" s="103"/>
      <c r="B7140" s="104"/>
      <c r="C7140" s="104"/>
      <c r="E7140" s="107" t="str">
        <f aca="false">IF($C7140="","",IFERROR(INDEX(المنيو!$C$2:$C$500,MATCH($C7140,المنيو!$B$2:$B$500,0)),0))</f>
        <v/>
      </c>
      <c r="F7140" s="107" t="str">
        <f aca="false">IF($C7140="","",$D7140*$E7140)</f>
        <v/>
      </c>
      <c r="G7140" s="107" t="str">
        <f aca="false">IF($C7140="","",$D7140*IFERROR(INDEX('تحليل التكلفة والسعر'!$C$2:$C$700,MATCH($C7140,'تحليل التكلفة والسعر'!$B$2:$B$700,0)),0))</f>
        <v/>
      </c>
    </row>
    <row r="7141" customFormat="false" ht="15" hidden="false" customHeight="false" outlineLevel="0" collapsed="false">
      <c r="A7141" s="103"/>
      <c r="B7141" s="104"/>
      <c r="C7141" s="104"/>
      <c r="E7141" s="107" t="str">
        <f aca="false">IF($C7141="","",IFERROR(INDEX(المنيو!$C$2:$C$500,MATCH($C7141,المنيو!$B$2:$B$500,0)),0))</f>
        <v/>
      </c>
      <c r="F7141" s="107" t="str">
        <f aca="false">IF($C7141="","",$D7141*$E7141)</f>
        <v/>
      </c>
      <c r="G7141" s="107" t="str">
        <f aca="false">IF($C7141="","",$D7141*IFERROR(INDEX('تحليل التكلفة والسعر'!$C$2:$C$700,MATCH($C7141,'تحليل التكلفة والسعر'!$B$2:$B$700,0)),0))</f>
        <v/>
      </c>
    </row>
    <row r="7142" customFormat="false" ht="15" hidden="false" customHeight="false" outlineLevel="0" collapsed="false">
      <c r="A7142" s="103"/>
      <c r="B7142" s="104"/>
      <c r="C7142" s="104"/>
      <c r="E7142" s="107" t="str">
        <f aca="false">IF($C7142="","",IFERROR(INDEX(المنيو!$C$2:$C$500,MATCH($C7142,المنيو!$B$2:$B$500,0)),0))</f>
        <v/>
      </c>
      <c r="F7142" s="107" t="str">
        <f aca="false">IF($C7142="","",$D7142*$E7142)</f>
        <v/>
      </c>
      <c r="G7142" s="107" t="str">
        <f aca="false">IF($C7142="","",$D7142*IFERROR(INDEX('تحليل التكلفة والسعر'!$C$2:$C$700,MATCH($C7142,'تحليل التكلفة والسعر'!$B$2:$B$700,0)),0))</f>
        <v/>
      </c>
    </row>
    <row r="7143" customFormat="false" ht="15" hidden="false" customHeight="false" outlineLevel="0" collapsed="false">
      <c r="A7143" s="103"/>
      <c r="B7143" s="104"/>
      <c r="C7143" s="104"/>
      <c r="E7143" s="107" t="str">
        <f aca="false">IF($C7143="","",IFERROR(INDEX(المنيو!$C$2:$C$500,MATCH($C7143,المنيو!$B$2:$B$500,0)),0))</f>
        <v/>
      </c>
      <c r="F7143" s="107" t="str">
        <f aca="false">IF($C7143="","",$D7143*$E7143)</f>
        <v/>
      </c>
      <c r="G7143" s="107" t="str">
        <f aca="false">IF($C7143="","",$D7143*IFERROR(INDEX('تحليل التكلفة والسعر'!$C$2:$C$700,MATCH($C7143,'تحليل التكلفة والسعر'!$B$2:$B$700,0)),0))</f>
        <v/>
      </c>
    </row>
    <row r="7144" customFormat="false" ht="15" hidden="false" customHeight="false" outlineLevel="0" collapsed="false">
      <c r="A7144" s="103"/>
      <c r="B7144" s="104"/>
      <c r="C7144" s="104"/>
      <c r="E7144" s="107" t="str">
        <f aca="false">IF($C7144="","",IFERROR(INDEX(المنيو!$C$2:$C$500,MATCH($C7144,المنيو!$B$2:$B$500,0)),0))</f>
        <v/>
      </c>
      <c r="F7144" s="107" t="str">
        <f aca="false">IF($C7144="","",$D7144*$E7144)</f>
        <v/>
      </c>
      <c r="G7144" s="107" t="str">
        <f aca="false">IF($C7144="","",$D7144*IFERROR(INDEX('تحليل التكلفة والسعر'!$C$2:$C$700,MATCH($C7144,'تحليل التكلفة والسعر'!$B$2:$B$700,0)),0))</f>
        <v/>
      </c>
    </row>
    <row r="7145" customFormat="false" ht="15" hidden="false" customHeight="false" outlineLevel="0" collapsed="false">
      <c r="A7145" s="103"/>
      <c r="B7145" s="104"/>
      <c r="C7145" s="104"/>
      <c r="E7145" s="107" t="str">
        <f aca="false">IF($C7145="","",IFERROR(INDEX(المنيو!$C$2:$C$500,MATCH($C7145,المنيو!$B$2:$B$500,0)),0))</f>
        <v/>
      </c>
      <c r="F7145" s="107" t="str">
        <f aca="false">IF($C7145="","",$D7145*$E7145)</f>
        <v/>
      </c>
      <c r="G7145" s="107" t="str">
        <f aca="false">IF($C7145="","",$D7145*IFERROR(INDEX('تحليل التكلفة والسعر'!$C$2:$C$700,MATCH($C7145,'تحليل التكلفة والسعر'!$B$2:$B$700,0)),0))</f>
        <v/>
      </c>
    </row>
    <row r="7146" customFormat="false" ht="15" hidden="false" customHeight="false" outlineLevel="0" collapsed="false">
      <c r="A7146" s="103"/>
      <c r="B7146" s="104"/>
      <c r="C7146" s="104"/>
      <c r="E7146" s="107" t="str">
        <f aca="false">IF($C7146="","",IFERROR(INDEX(المنيو!$C$2:$C$500,MATCH($C7146,المنيو!$B$2:$B$500,0)),0))</f>
        <v/>
      </c>
      <c r="F7146" s="107" t="str">
        <f aca="false">IF($C7146="","",$D7146*$E7146)</f>
        <v/>
      </c>
      <c r="G7146" s="107" t="str">
        <f aca="false">IF($C7146="","",$D7146*IFERROR(INDEX('تحليل التكلفة والسعر'!$C$2:$C$700,MATCH($C7146,'تحليل التكلفة والسعر'!$B$2:$B$700,0)),0))</f>
        <v/>
      </c>
    </row>
    <row r="7147" customFormat="false" ht="15" hidden="false" customHeight="false" outlineLevel="0" collapsed="false">
      <c r="A7147" s="103"/>
      <c r="B7147" s="104"/>
      <c r="C7147" s="104"/>
      <c r="E7147" s="107" t="str">
        <f aca="false">IF($C7147="","",IFERROR(INDEX(المنيو!$C$2:$C$500,MATCH($C7147,المنيو!$B$2:$B$500,0)),0))</f>
        <v/>
      </c>
      <c r="F7147" s="107" t="str">
        <f aca="false">IF($C7147="","",$D7147*$E7147)</f>
        <v/>
      </c>
      <c r="G7147" s="107" t="str">
        <f aca="false">IF($C7147="","",$D7147*IFERROR(INDEX('تحليل التكلفة والسعر'!$C$2:$C$700,MATCH($C7147,'تحليل التكلفة والسعر'!$B$2:$B$700,0)),0))</f>
        <v/>
      </c>
    </row>
    <row r="7148" customFormat="false" ht="15" hidden="false" customHeight="false" outlineLevel="0" collapsed="false">
      <c r="A7148" s="103"/>
      <c r="B7148" s="104"/>
      <c r="C7148" s="104"/>
      <c r="E7148" s="107" t="str">
        <f aca="false">IF($C7148="","",IFERROR(INDEX(المنيو!$C$2:$C$500,MATCH($C7148,المنيو!$B$2:$B$500,0)),0))</f>
        <v/>
      </c>
      <c r="F7148" s="107" t="str">
        <f aca="false">IF($C7148="","",$D7148*$E7148)</f>
        <v/>
      </c>
      <c r="G7148" s="107" t="str">
        <f aca="false">IF($C7148="","",$D7148*IFERROR(INDEX('تحليل التكلفة والسعر'!$C$2:$C$700,MATCH($C7148,'تحليل التكلفة والسعر'!$B$2:$B$700,0)),0))</f>
        <v/>
      </c>
    </row>
    <row r="7149" customFormat="false" ht="15" hidden="false" customHeight="false" outlineLevel="0" collapsed="false">
      <c r="A7149" s="103"/>
      <c r="B7149" s="104"/>
      <c r="C7149" s="104"/>
      <c r="E7149" s="107" t="str">
        <f aca="false">IF($C7149="","",IFERROR(INDEX(المنيو!$C$2:$C$500,MATCH($C7149,المنيو!$B$2:$B$500,0)),0))</f>
        <v/>
      </c>
      <c r="F7149" s="107" t="str">
        <f aca="false">IF($C7149="","",$D7149*$E7149)</f>
        <v/>
      </c>
      <c r="G7149" s="107" t="str">
        <f aca="false">IF($C7149="","",$D7149*IFERROR(INDEX('تحليل التكلفة والسعر'!$C$2:$C$700,MATCH($C7149,'تحليل التكلفة والسعر'!$B$2:$B$700,0)),0))</f>
        <v/>
      </c>
    </row>
    <row r="7150" customFormat="false" ht="15" hidden="false" customHeight="false" outlineLevel="0" collapsed="false">
      <c r="A7150" s="103"/>
      <c r="B7150" s="104"/>
      <c r="C7150" s="104"/>
      <c r="E7150" s="107" t="str">
        <f aca="false">IF($C7150="","",IFERROR(INDEX(المنيو!$C$2:$C$500,MATCH($C7150,المنيو!$B$2:$B$500,0)),0))</f>
        <v/>
      </c>
      <c r="F7150" s="107" t="str">
        <f aca="false">IF($C7150="","",$D7150*$E7150)</f>
        <v/>
      </c>
      <c r="G7150" s="107" t="str">
        <f aca="false">IF($C7150="","",$D7150*IFERROR(INDEX('تحليل التكلفة والسعر'!$C$2:$C$700,MATCH($C7150,'تحليل التكلفة والسعر'!$B$2:$B$700,0)),0))</f>
        <v/>
      </c>
    </row>
    <row r="7151" customFormat="false" ht="15" hidden="false" customHeight="false" outlineLevel="0" collapsed="false">
      <c r="A7151" s="103"/>
      <c r="B7151" s="104"/>
      <c r="C7151" s="104"/>
      <c r="E7151" s="107" t="str">
        <f aca="false">IF($C7151="","",IFERROR(INDEX(المنيو!$C$2:$C$500,MATCH($C7151,المنيو!$B$2:$B$500,0)),0))</f>
        <v/>
      </c>
      <c r="F7151" s="107" t="str">
        <f aca="false">IF($C7151="","",$D7151*$E7151)</f>
        <v/>
      </c>
      <c r="G7151" s="107" t="str">
        <f aca="false">IF($C7151="","",$D7151*IFERROR(INDEX('تحليل التكلفة والسعر'!$C$2:$C$700,MATCH($C7151,'تحليل التكلفة والسعر'!$B$2:$B$700,0)),0))</f>
        <v/>
      </c>
    </row>
    <row r="7152" customFormat="false" ht="15" hidden="false" customHeight="false" outlineLevel="0" collapsed="false">
      <c r="A7152" s="103"/>
      <c r="B7152" s="104"/>
      <c r="C7152" s="104"/>
      <c r="E7152" s="107" t="str">
        <f aca="false">IF($C7152="","",IFERROR(INDEX(المنيو!$C$2:$C$500,MATCH($C7152,المنيو!$B$2:$B$500,0)),0))</f>
        <v/>
      </c>
      <c r="F7152" s="107" t="str">
        <f aca="false">IF($C7152="","",$D7152*$E7152)</f>
        <v/>
      </c>
      <c r="G7152" s="107" t="str">
        <f aca="false">IF($C7152="","",$D7152*IFERROR(INDEX('تحليل التكلفة والسعر'!$C$2:$C$700,MATCH($C7152,'تحليل التكلفة والسعر'!$B$2:$B$700,0)),0))</f>
        <v/>
      </c>
    </row>
    <row r="7153" customFormat="false" ht="15" hidden="false" customHeight="false" outlineLevel="0" collapsed="false">
      <c r="A7153" s="103"/>
      <c r="B7153" s="104"/>
      <c r="C7153" s="104"/>
      <c r="E7153" s="107" t="str">
        <f aca="false">IF($C7153="","",IFERROR(INDEX(المنيو!$C$2:$C$500,MATCH($C7153,المنيو!$B$2:$B$500,0)),0))</f>
        <v/>
      </c>
      <c r="F7153" s="107" t="str">
        <f aca="false">IF($C7153="","",$D7153*$E7153)</f>
        <v/>
      </c>
      <c r="G7153" s="107" t="str">
        <f aca="false">IF($C7153="","",$D7153*IFERROR(INDEX('تحليل التكلفة والسعر'!$C$2:$C$700,MATCH($C7153,'تحليل التكلفة والسعر'!$B$2:$B$700,0)),0))</f>
        <v/>
      </c>
    </row>
    <row r="7154" customFormat="false" ht="15" hidden="false" customHeight="false" outlineLevel="0" collapsed="false">
      <c r="A7154" s="103"/>
      <c r="B7154" s="104"/>
      <c r="C7154" s="104"/>
      <c r="E7154" s="107" t="str">
        <f aca="false">IF($C7154="","",IFERROR(INDEX(المنيو!$C$2:$C$500,MATCH($C7154,المنيو!$B$2:$B$500,0)),0))</f>
        <v/>
      </c>
      <c r="F7154" s="107" t="str">
        <f aca="false">IF($C7154="","",$D7154*$E7154)</f>
        <v/>
      </c>
      <c r="G7154" s="107" t="str">
        <f aca="false">IF($C7154="","",$D7154*IFERROR(INDEX('تحليل التكلفة والسعر'!$C$2:$C$700,MATCH($C7154,'تحليل التكلفة والسعر'!$B$2:$B$700,0)),0))</f>
        <v/>
      </c>
    </row>
    <row r="7155" customFormat="false" ht="15" hidden="false" customHeight="false" outlineLevel="0" collapsed="false">
      <c r="A7155" s="103"/>
      <c r="B7155" s="104"/>
      <c r="C7155" s="104"/>
      <c r="E7155" s="107" t="str">
        <f aca="false">IF($C7155="","",IFERROR(INDEX(المنيو!$C$2:$C$500,MATCH($C7155,المنيو!$B$2:$B$500,0)),0))</f>
        <v/>
      </c>
      <c r="F7155" s="107" t="str">
        <f aca="false">IF($C7155="","",$D7155*$E7155)</f>
        <v/>
      </c>
      <c r="G7155" s="107" t="str">
        <f aca="false">IF($C7155="","",$D7155*IFERROR(INDEX('تحليل التكلفة والسعر'!$C$2:$C$700,MATCH($C7155,'تحليل التكلفة والسعر'!$B$2:$B$700,0)),0))</f>
        <v/>
      </c>
    </row>
    <row r="7156" customFormat="false" ht="15" hidden="false" customHeight="false" outlineLevel="0" collapsed="false">
      <c r="A7156" s="103"/>
      <c r="B7156" s="104"/>
      <c r="C7156" s="104"/>
      <c r="E7156" s="107" t="str">
        <f aca="false">IF($C7156="","",IFERROR(INDEX(المنيو!$C$2:$C$500,MATCH($C7156,المنيو!$B$2:$B$500,0)),0))</f>
        <v/>
      </c>
      <c r="F7156" s="107" t="str">
        <f aca="false">IF($C7156="","",$D7156*$E7156)</f>
        <v/>
      </c>
      <c r="G7156" s="107" t="str">
        <f aca="false">IF($C7156="","",$D7156*IFERROR(INDEX('تحليل التكلفة والسعر'!$C$2:$C$700,MATCH($C7156,'تحليل التكلفة والسعر'!$B$2:$B$700,0)),0))</f>
        <v/>
      </c>
    </row>
    <row r="7157" customFormat="false" ht="15" hidden="false" customHeight="false" outlineLevel="0" collapsed="false">
      <c r="A7157" s="103"/>
      <c r="B7157" s="104"/>
      <c r="C7157" s="104"/>
      <c r="E7157" s="107" t="str">
        <f aca="false">IF($C7157="","",IFERROR(INDEX(المنيو!$C$2:$C$500,MATCH($C7157,المنيو!$B$2:$B$500,0)),0))</f>
        <v/>
      </c>
      <c r="F7157" s="107" t="str">
        <f aca="false">IF($C7157="","",$D7157*$E7157)</f>
        <v/>
      </c>
      <c r="G7157" s="107" t="str">
        <f aca="false">IF($C7157="","",$D7157*IFERROR(INDEX('تحليل التكلفة والسعر'!$C$2:$C$700,MATCH($C7157,'تحليل التكلفة والسعر'!$B$2:$B$700,0)),0))</f>
        <v/>
      </c>
    </row>
    <row r="7158" customFormat="false" ht="15" hidden="false" customHeight="false" outlineLevel="0" collapsed="false">
      <c r="A7158" s="103"/>
      <c r="B7158" s="104"/>
      <c r="C7158" s="104"/>
      <c r="E7158" s="107" t="str">
        <f aca="false">IF($C7158="","",IFERROR(INDEX(المنيو!$C$2:$C$500,MATCH($C7158,المنيو!$B$2:$B$500,0)),0))</f>
        <v/>
      </c>
      <c r="F7158" s="107" t="str">
        <f aca="false">IF($C7158="","",$D7158*$E7158)</f>
        <v/>
      </c>
      <c r="G7158" s="107" t="str">
        <f aca="false">IF($C7158="","",$D7158*IFERROR(INDEX('تحليل التكلفة والسعر'!$C$2:$C$700,MATCH($C7158,'تحليل التكلفة والسعر'!$B$2:$B$700,0)),0))</f>
        <v/>
      </c>
    </row>
    <row r="7159" customFormat="false" ht="15" hidden="false" customHeight="false" outlineLevel="0" collapsed="false">
      <c r="A7159" s="103"/>
      <c r="B7159" s="104"/>
      <c r="C7159" s="104"/>
      <c r="E7159" s="107" t="str">
        <f aca="false">IF($C7159="","",IFERROR(INDEX(المنيو!$C$2:$C$500,MATCH($C7159,المنيو!$B$2:$B$500,0)),0))</f>
        <v/>
      </c>
      <c r="F7159" s="107" t="str">
        <f aca="false">IF($C7159="","",$D7159*$E7159)</f>
        <v/>
      </c>
      <c r="G7159" s="107" t="str">
        <f aca="false">IF($C7159="","",$D7159*IFERROR(INDEX('تحليل التكلفة والسعر'!$C$2:$C$700,MATCH($C7159,'تحليل التكلفة والسعر'!$B$2:$B$700,0)),0))</f>
        <v/>
      </c>
    </row>
    <row r="7160" customFormat="false" ht="15" hidden="false" customHeight="false" outlineLevel="0" collapsed="false">
      <c r="A7160" s="103"/>
      <c r="B7160" s="104"/>
      <c r="C7160" s="104"/>
      <c r="E7160" s="107" t="str">
        <f aca="false">IF($C7160="","",IFERROR(INDEX(المنيو!$C$2:$C$500,MATCH($C7160,المنيو!$B$2:$B$500,0)),0))</f>
        <v/>
      </c>
      <c r="F7160" s="107" t="str">
        <f aca="false">IF($C7160="","",$D7160*$E7160)</f>
        <v/>
      </c>
      <c r="G7160" s="107" t="str">
        <f aca="false">IF($C7160="","",$D7160*IFERROR(INDEX('تحليل التكلفة والسعر'!$C$2:$C$700,MATCH($C7160,'تحليل التكلفة والسعر'!$B$2:$B$700,0)),0))</f>
        <v/>
      </c>
    </row>
    <row r="7161" customFormat="false" ht="15" hidden="false" customHeight="false" outlineLevel="0" collapsed="false">
      <c r="A7161" s="103"/>
      <c r="B7161" s="104"/>
      <c r="C7161" s="104"/>
      <c r="E7161" s="107" t="str">
        <f aca="false">IF($C7161="","",IFERROR(INDEX(المنيو!$C$2:$C$500,MATCH($C7161,المنيو!$B$2:$B$500,0)),0))</f>
        <v/>
      </c>
      <c r="F7161" s="107" t="str">
        <f aca="false">IF($C7161="","",$D7161*$E7161)</f>
        <v/>
      </c>
      <c r="G7161" s="107" t="str">
        <f aca="false">IF($C7161="","",$D7161*IFERROR(INDEX('تحليل التكلفة والسعر'!$C$2:$C$700,MATCH($C7161,'تحليل التكلفة والسعر'!$B$2:$B$700,0)),0))</f>
        <v/>
      </c>
    </row>
    <row r="7162" customFormat="false" ht="15" hidden="false" customHeight="false" outlineLevel="0" collapsed="false">
      <c r="A7162" s="103"/>
      <c r="B7162" s="104"/>
      <c r="C7162" s="104"/>
      <c r="E7162" s="107" t="str">
        <f aca="false">IF($C7162="","",IFERROR(INDEX(المنيو!$C$2:$C$500,MATCH($C7162,المنيو!$B$2:$B$500,0)),0))</f>
        <v/>
      </c>
      <c r="F7162" s="107" t="str">
        <f aca="false">IF($C7162="","",$D7162*$E7162)</f>
        <v/>
      </c>
      <c r="G7162" s="107" t="str">
        <f aca="false">IF($C7162="","",$D7162*IFERROR(INDEX('تحليل التكلفة والسعر'!$C$2:$C$700,MATCH($C7162,'تحليل التكلفة والسعر'!$B$2:$B$700,0)),0))</f>
        <v/>
      </c>
    </row>
    <row r="7163" customFormat="false" ht="15" hidden="false" customHeight="false" outlineLevel="0" collapsed="false">
      <c r="A7163" s="103"/>
      <c r="B7163" s="104"/>
      <c r="C7163" s="104"/>
      <c r="E7163" s="107" t="str">
        <f aca="false">IF($C7163="","",IFERROR(INDEX(المنيو!$C$2:$C$500,MATCH($C7163,المنيو!$B$2:$B$500,0)),0))</f>
        <v/>
      </c>
      <c r="F7163" s="107" t="str">
        <f aca="false">IF($C7163="","",$D7163*$E7163)</f>
        <v/>
      </c>
      <c r="G7163" s="107" t="str">
        <f aca="false">IF($C7163="","",$D7163*IFERROR(INDEX('تحليل التكلفة والسعر'!$C$2:$C$700,MATCH($C7163,'تحليل التكلفة والسعر'!$B$2:$B$700,0)),0))</f>
        <v/>
      </c>
    </row>
    <row r="7164" customFormat="false" ht="15" hidden="false" customHeight="false" outlineLevel="0" collapsed="false">
      <c r="A7164" s="103"/>
      <c r="B7164" s="104"/>
      <c r="C7164" s="104"/>
      <c r="E7164" s="107" t="str">
        <f aca="false">IF($C7164="","",IFERROR(INDEX(المنيو!$C$2:$C$500,MATCH($C7164,المنيو!$B$2:$B$500,0)),0))</f>
        <v/>
      </c>
      <c r="F7164" s="107" t="str">
        <f aca="false">IF($C7164="","",$D7164*$E7164)</f>
        <v/>
      </c>
      <c r="G7164" s="107" t="str">
        <f aca="false">IF($C7164="","",$D7164*IFERROR(INDEX('تحليل التكلفة والسعر'!$C$2:$C$700,MATCH($C7164,'تحليل التكلفة والسعر'!$B$2:$B$700,0)),0))</f>
        <v/>
      </c>
    </row>
    <row r="7165" customFormat="false" ht="15" hidden="false" customHeight="false" outlineLevel="0" collapsed="false">
      <c r="A7165" s="103"/>
      <c r="B7165" s="104"/>
      <c r="C7165" s="104"/>
      <c r="E7165" s="107" t="str">
        <f aca="false">IF($C7165="","",IFERROR(INDEX(المنيو!$C$2:$C$500,MATCH($C7165,المنيو!$B$2:$B$500,0)),0))</f>
        <v/>
      </c>
      <c r="F7165" s="107" t="str">
        <f aca="false">IF($C7165="","",$D7165*$E7165)</f>
        <v/>
      </c>
      <c r="G7165" s="107" t="str">
        <f aca="false">IF($C7165="","",$D7165*IFERROR(INDEX('تحليل التكلفة والسعر'!$C$2:$C$700,MATCH($C7165,'تحليل التكلفة والسعر'!$B$2:$B$700,0)),0))</f>
        <v/>
      </c>
    </row>
    <row r="7166" customFormat="false" ht="15" hidden="false" customHeight="false" outlineLevel="0" collapsed="false">
      <c r="A7166" s="103"/>
      <c r="B7166" s="104"/>
      <c r="C7166" s="104"/>
      <c r="E7166" s="107" t="str">
        <f aca="false">IF($C7166="","",IFERROR(INDEX(المنيو!$C$2:$C$500,MATCH($C7166,المنيو!$B$2:$B$500,0)),0))</f>
        <v/>
      </c>
      <c r="F7166" s="107" t="str">
        <f aca="false">IF($C7166="","",$D7166*$E7166)</f>
        <v/>
      </c>
      <c r="G7166" s="107" t="str">
        <f aca="false">IF($C7166="","",$D7166*IFERROR(INDEX('تحليل التكلفة والسعر'!$C$2:$C$700,MATCH($C7166,'تحليل التكلفة والسعر'!$B$2:$B$700,0)),0))</f>
        <v/>
      </c>
    </row>
    <row r="7167" customFormat="false" ht="15" hidden="false" customHeight="false" outlineLevel="0" collapsed="false">
      <c r="A7167" s="103"/>
      <c r="B7167" s="104"/>
      <c r="C7167" s="104"/>
      <c r="E7167" s="107" t="str">
        <f aca="false">IF($C7167="","",IFERROR(INDEX(المنيو!$C$2:$C$500,MATCH($C7167,المنيو!$B$2:$B$500,0)),0))</f>
        <v/>
      </c>
      <c r="F7167" s="107" t="str">
        <f aca="false">IF($C7167="","",$D7167*$E7167)</f>
        <v/>
      </c>
      <c r="G7167" s="107" t="str">
        <f aca="false">IF($C7167="","",$D7167*IFERROR(INDEX('تحليل التكلفة والسعر'!$C$2:$C$700,MATCH($C7167,'تحليل التكلفة والسعر'!$B$2:$B$700,0)),0))</f>
        <v/>
      </c>
    </row>
    <row r="7168" customFormat="false" ht="15" hidden="false" customHeight="false" outlineLevel="0" collapsed="false">
      <c r="A7168" s="103"/>
      <c r="B7168" s="104"/>
      <c r="C7168" s="104"/>
      <c r="E7168" s="107" t="str">
        <f aca="false">IF($C7168="","",IFERROR(INDEX(المنيو!$C$2:$C$500,MATCH($C7168,المنيو!$B$2:$B$500,0)),0))</f>
        <v/>
      </c>
      <c r="F7168" s="107" t="str">
        <f aca="false">IF($C7168="","",$D7168*$E7168)</f>
        <v/>
      </c>
      <c r="G7168" s="107" t="str">
        <f aca="false">IF($C7168="","",$D7168*IFERROR(INDEX('تحليل التكلفة والسعر'!$C$2:$C$700,MATCH($C7168,'تحليل التكلفة والسعر'!$B$2:$B$700,0)),0))</f>
        <v/>
      </c>
    </row>
    <row r="7169" customFormat="false" ht="15" hidden="false" customHeight="false" outlineLevel="0" collapsed="false">
      <c r="A7169" s="103"/>
      <c r="B7169" s="104"/>
      <c r="C7169" s="104"/>
      <c r="E7169" s="107" t="str">
        <f aca="false">IF($C7169="","",IFERROR(INDEX(المنيو!$C$2:$C$500,MATCH($C7169,المنيو!$B$2:$B$500,0)),0))</f>
        <v/>
      </c>
      <c r="F7169" s="107" t="str">
        <f aca="false">IF($C7169="","",$D7169*$E7169)</f>
        <v/>
      </c>
      <c r="G7169" s="107" t="str">
        <f aca="false">IF($C7169="","",$D7169*IFERROR(INDEX('تحليل التكلفة والسعر'!$C$2:$C$700,MATCH($C7169,'تحليل التكلفة والسعر'!$B$2:$B$700,0)),0))</f>
        <v/>
      </c>
    </row>
    <row r="7170" customFormat="false" ht="15" hidden="false" customHeight="false" outlineLevel="0" collapsed="false">
      <c r="A7170" s="103"/>
      <c r="B7170" s="104"/>
      <c r="C7170" s="104"/>
      <c r="E7170" s="107" t="str">
        <f aca="false">IF($C7170="","",IFERROR(INDEX(المنيو!$C$2:$C$500,MATCH($C7170,المنيو!$B$2:$B$500,0)),0))</f>
        <v/>
      </c>
      <c r="F7170" s="107" t="str">
        <f aca="false">IF($C7170="","",$D7170*$E7170)</f>
        <v/>
      </c>
      <c r="G7170" s="107" t="str">
        <f aca="false">IF($C7170="","",$D7170*IFERROR(INDEX('تحليل التكلفة والسعر'!$C$2:$C$700,MATCH($C7170,'تحليل التكلفة والسعر'!$B$2:$B$700,0)),0))</f>
        <v/>
      </c>
    </row>
    <row r="7171" customFormat="false" ht="15" hidden="false" customHeight="false" outlineLevel="0" collapsed="false">
      <c r="A7171" s="103"/>
      <c r="B7171" s="104"/>
      <c r="C7171" s="104"/>
      <c r="E7171" s="107" t="str">
        <f aca="false">IF($C7171="","",IFERROR(INDEX(المنيو!$C$2:$C$500,MATCH($C7171,المنيو!$B$2:$B$500,0)),0))</f>
        <v/>
      </c>
      <c r="F7171" s="107" t="str">
        <f aca="false">IF($C7171="","",$D7171*$E7171)</f>
        <v/>
      </c>
      <c r="G7171" s="107" t="str">
        <f aca="false">IF($C7171="","",$D7171*IFERROR(INDEX('تحليل التكلفة والسعر'!$C$2:$C$700,MATCH($C7171,'تحليل التكلفة والسعر'!$B$2:$B$700,0)),0))</f>
        <v/>
      </c>
    </row>
    <row r="7172" customFormat="false" ht="15" hidden="false" customHeight="false" outlineLevel="0" collapsed="false">
      <c r="A7172" s="103"/>
      <c r="B7172" s="104"/>
      <c r="C7172" s="104"/>
      <c r="E7172" s="107" t="str">
        <f aca="false">IF($C7172="","",IFERROR(INDEX(المنيو!$C$2:$C$500,MATCH($C7172,المنيو!$B$2:$B$500,0)),0))</f>
        <v/>
      </c>
      <c r="F7172" s="107" t="str">
        <f aca="false">IF($C7172="","",$D7172*$E7172)</f>
        <v/>
      </c>
      <c r="G7172" s="107" t="str">
        <f aca="false">IF($C7172="","",$D7172*IFERROR(INDEX('تحليل التكلفة والسعر'!$C$2:$C$700,MATCH($C7172,'تحليل التكلفة والسعر'!$B$2:$B$700,0)),0))</f>
        <v/>
      </c>
    </row>
    <row r="7173" customFormat="false" ht="15" hidden="false" customHeight="false" outlineLevel="0" collapsed="false">
      <c r="A7173" s="103"/>
      <c r="B7173" s="104"/>
      <c r="C7173" s="104"/>
      <c r="E7173" s="107" t="str">
        <f aca="false">IF($C7173="","",IFERROR(INDEX(المنيو!$C$2:$C$500,MATCH($C7173,المنيو!$B$2:$B$500,0)),0))</f>
        <v/>
      </c>
      <c r="F7173" s="107" t="str">
        <f aca="false">IF($C7173="","",$D7173*$E7173)</f>
        <v/>
      </c>
      <c r="G7173" s="107" t="str">
        <f aca="false">IF($C7173="","",$D7173*IFERROR(INDEX('تحليل التكلفة والسعر'!$C$2:$C$700,MATCH($C7173,'تحليل التكلفة والسعر'!$B$2:$B$700,0)),0))</f>
        <v/>
      </c>
    </row>
    <row r="7174" customFormat="false" ht="15" hidden="false" customHeight="false" outlineLevel="0" collapsed="false">
      <c r="A7174" s="103"/>
      <c r="B7174" s="104"/>
      <c r="C7174" s="104"/>
      <c r="E7174" s="107" t="str">
        <f aca="false">IF($C7174="","",IFERROR(INDEX(المنيو!$C$2:$C$500,MATCH($C7174,المنيو!$B$2:$B$500,0)),0))</f>
        <v/>
      </c>
      <c r="F7174" s="107" t="str">
        <f aca="false">IF($C7174="","",$D7174*$E7174)</f>
        <v/>
      </c>
      <c r="G7174" s="107" t="str">
        <f aca="false">IF($C7174="","",$D7174*IFERROR(INDEX('تحليل التكلفة والسعر'!$C$2:$C$700,MATCH($C7174,'تحليل التكلفة والسعر'!$B$2:$B$700,0)),0))</f>
        <v/>
      </c>
    </row>
    <row r="7175" customFormat="false" ht="15" hidden="false" customHeight="false" outlineLevel="0" collapsed="false">
      <c r="A7175" s="103"/>
      <c r="B7175" s="104"/>
      <c r="C7175" s="104"/>
      <c r="E7175" s="107" t="str">
        <f aca="false">IF($C7175="","",IFERROR(INDEX(المنيو!$C$2:$C$500,MATCH($C7175,المنيو!$B$2:$B$500,0)),0))</f>
        <v/>
      </c>
      <c r="F7175" s="107" t="str">
        <f aca="false">IF($C7175="","",$D7175*$E7175)</f>
        <v/>
      </c>
      <c r="G7175" s="107" t="str">
        <f aca="false">IF($C7175="","",$D7175*IFERROR(INDEX('تحليل التكلفة والسعر'!$C$2:$C$700,MATCH($C7175,'تحليل التكلفة والسعر'!$B$2:$B$700,0)),0))</f>
        <v/>
      </c>
    </row>
    <row r="7176" customFormat="false" ht="15" hidden="false" customHeight="false" outlineLevel="0" collapsed="false">
      <c r="A7176" s="103"/>
      <c r="B7176" s="104"/>
      <c r="C7176" s="104"/>
      <c r="E7176" s="107" t="str">
        <f aca="false">IF($C7176="","",IFERROR(INDEX(المنيو!$C$2:$C$500,MATCH($C7176,المنيو!$B$2:$B$500,0)),0))</f>
        <v/>
      </c>
      <c r="F7176" s="107" t="str">
        <f aca="false">IF($C7176="","",$D7176*$E7176)</f>
        <v/>
      </c>
      <c r="G7176" s="107" t="str">
        <f aca="false">IF($C7176="","",$D7176*IFERROR(INDEX('تحليل التكلفة والسعر'!$C$2:$C$700,MATCH($C7176,'تحليل التكلفة والسعر'!$B$2:$B$700,0)),0))</f>
        <v/>
      </c>
    </row>
    <row r="7177" customFormat="false" ht="15" hidden="false" customHeight="false" outlineLevel="0" collapsed="false">
      <c r="A7177" s="103"/>
      <c r="B7177" s="104"/>
      <c r="C7177" s="104"/>
      <c r="E7177" s="107" t="str">
        <f aca="false">IF($C7177="","",IFERROR(INDEX(المنيو!$C$2:$C$500,MATCH($C7177,المنيو!$B$2:$B$500,0)),0))</f>
        <v/>
      </c>
      <c r="F7177" s="107" t="str">
        <f aca="false">IF($C7177="","",$D7177*$E7177)</f>
        <v/>
      </c>
      <c r="G7177" s="107" t="str">
        <f aca="false">IF($C7177="","",$D7177*IFERROR(INDEX('تحليل التكلفة والسعر'!$C$2:$C$700,MATCH($C7177,'تحليل التكلفة والسعر'!$B$2:$B$700,0)),0))</f>
        <v/>
      </c>
    </row>
    <row r="7178" customFormat="false" ht="15" hidden="false" customHeight="false" outlineLevel="0" collapsed="false">
      <c r="A7178" s="103"/>
      <c r="B7178" s="104"/>
      <c r="C7178" s="104"/>
      <c r="E7178" s="107" t="str">
        <f aca="false">IF($C7178="","",IFERROR(INDEX(المنيو!$C$2:$C$500,MATCH($C7178,المنيو!$B$2:$B$500,0)),0))</f>
        <v/>
      </c>
      <c r="F7178" s="107" t="str">
        <f aca="false">IF($C7178="","",$D7178*$E7178)</f>
        <v/>
      </c>
      <c r="G7178" s="107" t="str">
        <f aca="false">IF($C7178="","",$D7178*IFERROR(INDEX('تحليل التكلفة والسعر'!$C$2:$C$700,MATCH($C7178,'تحليل التكلفة والسعر'!$B$2:$B$700,0)),0))</f>
        <v/>
      </c>
    </row>
    <row r="7179" customFormat="false" ht="15" hidden="false" customHeight="false" outlineLevel="0" collapsed="false">
      <c r="A7179" s="103"/>
      <c r="B7179" s="104"/>
      <c r="C7179" s="104"/>
      <c r="E7179" s="107" t="str">
        <f aca="false">IF($C7179="","",IFERROR(INDEX(المنيو!$C$2:$C$500,MATCH($C7179,المنيو!$B$2:$B$500,0)),0))</f>
        <v/>
      </c>
      <c r="F7179" s="107" t="str">
        <f aca="false">IF($C7179="","",$D7179*$E7179)</f>
        <v/>
      </c>
      <c r="G7179" s="107" t="str">
        <f aca="false">IF($C7179="","",$D7179*IFERROR(INDEX('تحليل التكلفة والسعر'!$C$2:$C$700,MATCH($C7179,'تحليل التكلفة والسعر'!$B$2:$B$700,0)),0))</f>
        <v/>
      </c>
    </row>
    <row r="7180" customFormat="false" ht="15" hidden="false" customHeight="false" outlineLevel="0" collapsed="false">
      <c r="A7180" s="103"/>
      <c r="B7180" s="104"/>
      <c r="C7180" s="104"/>
      <c r="E7180" s="107" t="str">
        <f aca="false">IF($C7180="","",IFERROR(INDEX(المنيو!$C$2:$C$500,MATCH($C7180,المنيو!$B$2:$B$500,0)),0))</f>
        <v/>
      </c>
      <c r="F7180" s="107" t="str">
        <f aca="false">IF($C7180="","",$D7180*$E7180)</f>
        <v/>
      </c>
      <c r="G7180" s="107" t="str">
        <f aca="false">IF($C7180="","",$D7180*IFERROR(INDEX('تحليل التكلفة والسعر'!$C$2:$C$700,MATCH($C7180,'تحليل التكلفة والسعر'!$B$2:$B$700,0)),0))</f>
        <v/>
      </c>
    </row>
    <row r="7181" customFormat="false" ht="15" hidden="false" customHeight="false" outlineLevel="0" collapsed="false">
      <c r="A7181" s="103"/>
      <c r="B7181" s="104"/>
      <c r="C7181" s="104"/>
      <c r="E7181" s="107" t="str">
        <f aca="false">IF($C7181="","",IFERROR(INDEX(المنيو!$C$2:$C$500,MATCH($C7181,المنيو!$B$2:$B$500,0)),0))</f>
        <v/>
      </c>
      <c r="F7181" s="107" t="str">
        <f aca="false">IF($C7181="","",$D7181*$E7181)</f>
        <v/>
      </c>
      <c r="G7181" s="107" t="str">
        <f aca="false">IF($C7181="","",$D7181*IFERROR(INDEX('تحليل التكلفة والسعر'!$C$2:$C$700,MATCH($C7181,'تحليل التكلفة والسعر'!$B$2:$B$700,0)),0))</f>
        <v/>
      </c>
    </row>
    <row r="7182" customFormat="false" ht="15" hidden="false" customHeight="false" outlineLevel="0" collapsed="false">
      <c r="A7182" s="103"/>
      <c r="B7182" s="104"/>
      <c r="C7182" s="104"/>
      <c r="E7182" s="107" t="str">
        <f aca="false">IF($C7182="","",IFERROR(INDEX(المنيو!$C$2:$C$500,MATCH($C7182,المنيو!$B$2:$B$500,0)),0))</f>
        <v/>
      </c>
      <c r="F7182" s="107" t="str">
        <f aca="false">IF($C7182="","",$D7182*$E7182)</f>
        <v/>
      </c>
      <c r="G7182" s="107" t="str">
        <f aca="false">IF($C7182="","",$D7182*IFERROR(INDEX('تحليل التكلفة والسعر'!$C$2:$C$700,MATCH($C7182,'تحليل التكلفة والسعر'!$B$2:$B$700,0)),0))</f>
        <v/>
      </c>
    </row>
    <row r="7183" customFormat="false" ht="15" hidden="false" customHeight="false" outlineLevel="0" collapsed="false">
      <c r="A7183" s="103"/>
      <c r="B7183" s="104"/>
      <c r="C7183" s="104"/>
      <c r="E7183" s="107" t="str">
        <f aca="false">IF($C7183="","",IFERROR(INDEX(المنيو!$C$2:$C$500,MATCH($C7183,المنيو!$B$2:$B$500,0)),0))</f>
        <v/>
      </c>
      <c r="F7183" s="107" t="str">
        <f aca="false">IF($C7183="","",$D7183*$E7183)</f>
        <v/>
      </c>
      <c r="G7183" s="107" t="str">
        <f aca="false">IF($C7183="","",$D7183*IFERROR(INDEX('تحليل التكلفة والسعر'!$C$2:$C$700,MATCH($C7183,'تحليل التكلفة والسعر'!$B$2:$B$700,0)),0))</f>
        <v/>
      </c>
    </row>
    <row r="7184" customFormat="false" ht="15" hidden="false" customHeight="false" outlineLevel="0" collapsed="false">
      <c r="A7184" s="103"/>
      <c r="B7184" s="104"/>
      <c r="C7184" s="104"/>
      <c r="E7184" s="107" t="str">
        <f aca="false">IF($C7184="","",IFERROR(INDEX(المنيو!$C$2:$C$500,MATCH($C7184,المنيو!$B$2:$B$500,0)),0))</f>
        <v/>
      </c>
      <c r="F7184" s="107" t="str">
        <f aca="false">IF($C7184="","",$D7184*$E7184)</f>
        <v/>
      </c>
      <c r="G7184" s="107" t="str">
        <f aca="false">IF($C7184="","",$D7184*IFERROR(INDEX('تحليل التكلفة والسعر'!$C$2:$C$700,MATCH($C7184,'تحليل التكلفة والسعر'!$B$2:$B$700,0)),0))</f>
        <v/>
      </c>
    </row>
    <row r="7185" customFormat="false" ht="15" hidden="false" customHeight="false" outlineLevel="0" collapsed="false">
      <c r="A7185" s="103"/>
      <c r="B7185" s="104"/>
      <c r="C7185" s="104"/>
      <c r="E7185" s="107" t="str">
        <f aca="false">IF($C7185="","",IFERROR(INDEX(المنيو!$C$2:$C$500,MATCH($C7185,المنيو!$B$2:$B$500,0)),0))</f>
        <v/>
      </c>
      <c r="F7185" s="107" t="str">
        <f aca="false">IF($C7185="","",$D7185*$E7185)</f>
        <v/>
      </c>
      <c r="G7185" s="107" t="str">
        <f aca="false">IF($C7185="","",$D7185*IFERROR(INDEX('تحليل التكلفة والسعر'!$C$2:$C$700,MATCH($C7185,'تحليل التكلفة والسعر'!$B$2:$B$700,0)),0))</f>
        <v/>
      </c>
    </row>
    <row r="7186" customFormat="false" ht="15" hidden="false" customHeight="false" outlineLevel="0" collapsed="false">
      <c r="A7186" s="103"/>
      <c r="B7186" s="104"/>
      <c r="C7186" s="104"/>
      <c r="E7186" s="107" t="str">
        <f aca="false">IF($C7186="","",IFERROR(INDEX(المنيو!$C$2:$C$500,MATCH($C7186,المنيو!$B$2:$B$500,0)),0))</f>
        <v/>
      </c>
      <c r="F7186" s="107" t="str">
        <f aca="false">IF($C7186="","",$D7186*$E7186)</f>
        <v/>
      </c>
      <c r="G7186" s="107" t="str">
        <f aca="false">IF($C7186="","",$D7186*IFERROR(INDEX('تحليل التكلفة والسعر'!$C$2:$C$700,MATCH($C7186,'تحليل التكلفة والسعر'!$B$2:$B$700,0)),0))</f>
        <v/>
      </c>
    </row>
    <row r="7187" customFormat="false" ht="15" hidden="false" customHeight="false" outlineLevel="0" collapsed="false">
      <c r="A7187" s="103"/>
      <c r="B7187" s="104"/>
      <c r="C7187" s="104"/>
      <c r="E7187" s="107" t="str">
        <f aca="false">IF($C7187="","",IFERROR(INDEX(المنيو!$C$2:$C$500,MATCH($C7187,المنيو!$B$2:$B$500,0)),0))</f>
        <v/>
      </c>
      <c r="F7187" s="107" t="str">
        <f aca="false">IF($C7187="","",$D7187*$E7187)</f>
        <v/>
      </c>
      <c r="G7187" s="107" t="str">
        <f aca="false">IF($C7187="","",$D7187*IFERROR(INDEX('تحليل التكلفة والسعر'!$C$2:$C$700,MATCH($C7187,'تحليل التكلفة والسعر'!$B$2:$B$700,0)),0))</f>
        <v/>
      </c>
    </row>
    <row r="7188" customFormat="false" ht="15" hidden="false" customHeight="false" outlineLevel="0" collapsed="false">
      <c r="A7188" s="103"/>
      <c r="B7188" s="104"/>
      <c r="C7188" s="104"/>
      <c r="E7188" s="107" t="str">
        <f aca="false">IF($C7188="","",IFERROR(INDEX(المنيو!$C$2:$C$500,MATCH($C7188,المنيو!$B$2:$B$500,0)),0))</f>
        <v/>
      </c>
      <c r="F7188" s="107" t="str">
        <f aca="false">IF($C7188="","",$D7188*$E7188)</f>
        <v/>
      </c>
      <c r="G7188" s="107" t="str">
        <f aca="false">IF($C7188="","",$D7188*IFERROR(INDEX('تحليل التكلفة والسعر'!$C$2:$C$700,MATCH($C7188,'تحليل التكلفة والسعر'!$B$2:$B$700,0)),0))</f>
        <v/>
      </c>
    </row>
    <row r="7189" customFormat="false" ht="15" hidden="false" customHeight="false" outlineLevel="0" collapsed="false">
      <c r="A7189" s="103"/>
      <c r="B7189" s="104"/>
      <c r="C7189" s="104"/>
      <c r="E7189" s="107" t="str">
        <f aca="false">IF($C7189="","",IFERROR(INDEX(المنيو!$C$2:$C$500,MATCH($C7189,المنيو!$B$2:$B$500,0)),0))</f>
        <v/>
      </c>
      <c r="F7189" s="107" t="str">
        <f aca="false">IF($C7189="","",$D7189*$E7189)</f>
        <v/>
      </c>
      <c r="G7189" s="107" t="str">
        <f aca="false">IF($C7189="","",$D7189*IFERROR(INDEX('تحليل التكلفة والسعر'!$C$2:$C$700,MATCH($C7189,'تحليل التكلفة والسعر'!$B$2:$B$700,0)),0))</f>
        <v/>
      </c>
    </row>
    <row r="7190" customFormat="false" ht="15" hidden="false" customHeight="false" outlineLevel="0" collapsed="false">
      <c r="A7190" s="103"/>
      <c r="B7190" s="104"/>
      <c r="C7190" s="104"/>
      <c r="E7190" s="107" t="str">
        <f aca="false">IF($C7190="","",IFERROR(INDEX(المنيو!$C$2:$C$500,MATCH($C7190,المنيو!$B$2:$B$500,0)),0))</f>
        <v/>
      </c>
      <c r="F7190" s="107" t="str">
        <f aca="false">IF($C7190="","",$D7190*$E7190)</f>
        <v/>
      </c>
      <c r="G7190" s="107" t="str">
        <f aca="false">IF($C7190="","",$D7190*IFERROR(INDEX('تحليل التكلفة والسعر'!$C$2:$C$700,MATCH($C7190,'تحليل التكلفة والسعر'!$B$2:$B$700,0)),0))</f>
        <v/>
      </c>
    </row>
    <row r="7191" customFormat="false" ht="15" hidden="false" customHeight="false" outlineLevel="0" collapsed="false">
      <c r="A7191" s="103"/>
      <c r="B7191" s="104"/>
      <c r="C7191" s="104"/>
      <c r="E7191" s="107" t="str">
        <f aca="false">IF($C7191="","",IFERROR(INDEX(المنيو!$C$2:$C$500,MATCH($C7191,المنيو!$B$2:$B$500,0)),0))</f>
        <v/>
      </c>
      <c r="F7191" s="107" t="str">
        <f aca="false">IF($C7191="","",$D7191*$E7191)</f>
        <v/>
      </c>
      <c r="G7191" s="107" t="str">
        <f aca="false">IF($C7191="","",$D7191*IFERROR(INDEX('تحليل التكلفة والسعر'!$C$2:$C$700,MATCH($C7191,'تحليل التكلفة والسعر'!$B$2:$B$700,0)),0))</f>
        <v/>
      </c>
    </row>
    <row r="7192" customFormat="false" ht="15" hidden="false" customHeight="false" outlineLevel="0" collapsed="false">
      <c r="A7192" s="103"/>
      <c r="B7192" s="104"/>
      <c r="C7192" s="104"/>
      <c r="E7192" s="107" t="str">
        <f aca="false">IF($C7192="","",IFERROR(INDEX(المنيو!$C$2:$C$500,MATCH($C7192,المنيو!$B$2:$B$500,0)),0))</f>
        <v/>
      </c>
      <c r="F7192" s="107" t="str">
        <f aca="false">IF($C7192="","",$D7192*$E7192)</f>
        <v/>
      </c>
      <c r="G7192" s="107" t="str">
        <f aca="false">IF($C7192="","",$D7192*IFERROR(INDEX('تحليل التكلفة والسعر'!$C$2:$C$700,MATCH($C7192,'تحليل التكلفة والسعر'!$B$2:$B$700,0)),0))</f>
        <v/>
      </c>
    </row>
    <row r="7193" customFormat="false" ht="15" hidden="false" customHeight="false" outlineLevel="0" collapsed="false">
      <c r="A7193" s="103"/>
      <c r="B7193" s="104"/>
      <c r="C7193" s="104"/>
      <c r="E7193" s="107" t="str">
        <f aca="false">IF($C7193="","",IFERROR(INDEX(المنيو!$C$2:$C$500,MATCH($C7193,المنيو!$B$2:$B$500,0)),0))</f>
        <v/>
      </c>
      <c r="F7193" s="107" t="str">
        <f aca="false">IF($C7193="","",$D7193*$E7193)</f>
        <v/>
      </c>
      <c r="G7193" s="107" t="str">
        <f aca="false">IF($C7193="","",$D7193*IFERROR(INDEX('تحليل التكلفة والسعر'!$C$2:$C$700,MATCH($C7193,'تحليل التكلفة والسعر'!$B$2:$B$700,0)),0))</f>
        <v/>
      </c>
    </row>
    <row r="7194" customFormat="false" ht="15" hidden="false" customHeight="false" outlineLevel="0" collapsed="false">
      <c r="A7194" s="103"/>
      <c r="B7194" s="104"/>
      <c r="C7194" s="104"/>
      <c r="E7194" s="107" t="str">
        <f aca="false">IF($C7194="","",IFERROR(INDEX(المنيو!$C$2:$C$500,MATCH($C7194,المنيو!$B$2:$B$500,0)),0))</f>
        <v/>
      </c>
      <c r="F7194" s="107" t="str">
        <f aca="false">IF($C7194="","",$D7194*$E7194)</f>
        <v/>
      </c>
      <c r="G7194" s="107" t="str">
        <f aca="false">IF($C7194="","",$D7194*IFERROR(INDEX('تحليل التكلفة والسعر'!$C$2:$C$700,MATCH($C7194,'تحليل التكلفة والسعر'!$B$2:$B$700,0)),0))</f>
        <v/>
      </c>
    </row>
    <row r="7195" customFormat="false" ht="15" hidden="false" customHeight="false" outlineLevel="0" collapsed="false">
      <c r="A7195" s="103"/>
      <c r="B7195" s="104"/>
      <c r="C7195" s="104"/>
      <c r="E7195" s="107" t="str">
        <f aca="false">IF($C7195="","",IFERROR(INDEX(المنيو!$C$2:$C$500,MATCH($C7195,المنيو!$B$2:$B$500,0)),0))</f>
        <v/>
      </c>
      <c r="F7195" s="107" t="str">
        <f aca="false">IF($C7195="","",$D7195*$E7195)</f>
        <v/>
      </c>
      <c r="G7195" s="107" t="str">
        <f aca="false">IF($C7195="","",$D7195*IFERROR(INDEX('تحليل التكلفة والسعر'!$C$2:$C$700,MATCH($C7195,'تحليل التكلفة والسعر'!$B$2:$B$700,0)),0))</f>
        <v/>
      </c>
    </row>
    <row r="7196" customFormat="false" ht="15" hidden="false" customHeight="false" outlineLevel="0" collapsed="false">
      <c r="A7196" s="103"/>
      <c r="B7196" s="104"/>
      <c r="C7196" s="104"/>
      <c r="E7196" s="107" t="str">
        <f aca="false">IF($C7196="","",IFERROR(INDEX(المنيو!$C$2:$C$500,MATCH($C7196,المنيو!$B$2:$B$500,0)),0))</f>
        <v/>
      </c>
      <c r="F7196" s="107" t="str">
        <f aca="false">IF($C7196="","",$D7196*$E7196)</f>
        <v/>
      </c>
      <c r="G7196" s="107" t="str">
        <f aca="false">IF($C7196="","",$D7196*IFERROR(INDEX('تحليل التكلفة والسعر'!$C$2:$C$700,MATCH($C7196,'تحليل التكلفة والسعر'!$B$2:$B$700,0)),0))</f>
        <v/>
      </c>
    </row>
    <row r="7197" customFormat="false" ht="15" hidden="false" customHeight="false" outlineLevel="0" collapsed="false">
      <c r="A7197" s="103"/>
      <c r="B7197" s="104"/>
      <c r="C7197" s="104"/>
      <c r="E7197" s="107" t="str">
        <f aca="false">IF($C7197="","",IFERROR(INDEX(المنيو!$C$2:$C$500,MATCH($C7197,المنيو!$B$2:$B$500,0)),0))</f>
        <v/>
      </c>
      <c r="F7197" s="107" t="str">
        <f aca="false">IF($C7197="","",$D7197*$E7197)</f>
        <v/>
      </c>
      <c r="G7197" s="107" t="str">
        <f aca="false">IF($C7197="","",$D7197*IFERROR(INDEX('تحليل التكلفة والسعر'!$C$2:$C$700,MATCH($C7197,'تحليل التكلفة والسعر'!$B$2:$B$700,0)),0))</f>
        <v/>
      </c>
    </row>
    <row r="7198" customFormat="false" ht="15" hidden="false" customHeight="false" outlineLevel="0" collapsed="false">
      <c r="A7198" s="103"/>
      <c r="B7198" s="104"/>
      <c r="C7198" s="104"/>
      <c r="E7198" s="107" t="str">
        <f aca="false">IF($C7198="","",IFERROR(INDEX(المنيو!$C$2:$C$500,MATCH($C7198,المنيو!$B$2:$B$500,0)),0))</f>
        <v/>
      </c>
      <c r="F7198" s="107" t="str">
        <f aca="false">IF($C7198="","",$D7198*$E7198)</f>
        <v/>
      </c>
      <c r="G7198" s="107" t="str">
        <f aca="false">IF($C7198="","",$D7198*IFERROR(INDEX('تحليل التكلفة والسعر'!$C$2:$C$700,MATCH($C7198,'تحليل التكلفة والسعر'!$B$2:$B$700,0)),0))</f>
        <v/>
      </c>
    </row>
    <row r="7199" customFormat="false" ht="15" hidden="false" customHeight="false" outlineLevel="0" collapsed="false">
      <c r="A7199" s="103"/>
      <c r="B7199" s="104"/>
      <c r="C7199" s="104"/>
      <c r="E7199" s="107" t="str">
        <f aca="false">IF($C7199="","",IFERROR(INDEX(المنيو!$C$2:$C$500,MATCH($C7199,المنيو!$B$2:$B$500,0)),0))</f>
        <v/>
      </c>
      <c r="F7199" s="107" t="str">
        <f aca="false">IF($C7199="","",$D7199*$E7199)</f>
        <v/>
      </c>
      <c r="G7199" s="107" t="str">
        <f aca="false">IF($C7199="","",$D7199*IFERROR(INDEX('تحليل التكلفة والسعر'!$C$2:$C$700,MATCH($C7199,'تحليل التكلفة والسعر'!$B$2:$B$700,0)),0))</f>
        <v/>
      </c>
    </row>
    <row r="7200" customFormat="false" ht="15" hidden="false" customHeight="false" outlineLevel="0" collapsed="false">
      <c r="A7200" s="103"/>
      <c r="B7200" s="104"/>
      <c r="C7200" s="104"/>
      <c r="E7200" s="107" t="str">
        <f aca="false">IF($C7200="","",IFERROR(INDEX(المنيو!$C$2:$C$500,MATCH($C7200,المنيو!$B$2:$B$500,0)),0))</f>
        <v/>
      </c>
      <c r="F7200" s="107" t="str">
        <f aca="false">IF($C7200="","",$D7200*$E7200)</f>
        <v/>
      </c>
      <c r="G7200" s="107" t="str">
        <f aca="false">IF($C7200="","",$D7200*IFERROR(INDEX('تحليل التكلفة والسعر'!$C$2:$C$700,MATCH($C7200,'تحليل التكلفة والسعر'!$B$2:$B$700,0)),0))</f>
        <v/>
      </c>
    </row>
    <row r="7201" customFormat="false" ht="15" hidden="false" customHeight="false" outlineLevel="0" collapsed="false">
      <c r="A7201" s="103"/>
      <c r="B7201" s="104"/>
      <c r="C7201" s="104"/>
      <c r="E7201" s="107" t="str">
        <f aca="false">IF($C7201="","",IFERROR(INDEX(المنيو!$C$2:$C$500,MATCH($C7201,المنيو!$B$2:$B$500,0)),0))</f>
        <v/>
      </c>
      <c r="F7201" s="107" t="str">
        <f aca="false">IF($C7201="","",$D7201*$E7201)</f>
        <v/>
      </c>
      <c r="G7201" s="107" t="str">
        <f aca="false">IF($C7201="","",$D7201*IFERROR(INDEX('تحليل التكلفة والسعر'!$C$2:$C$700,MATCH($C7201,'تحليل التكلفة والسعر'!$B$2:$B$700,0)),0))</f>
        <v/>
      </c>
    </row>
    <row r="7202" customFormat="false" ht="15" hidden="false" customHeight="false" outlineLevel="0" collapsed="false">
      <c r="A7202" s="103"/>
      <c r="B7202" s="104"/>
      <c r="C7202" s="104"/>
      <c r="E7202" s="107" t="str">
        <f aca="false">IF($C7202="","",IFERROR(INDEX(المنيو!$C$2:$C$500,MATCH($C7202,المنيو!$B$2:$B$500,0)),0))</f>
        <v/>
      </c>
      <c r="F7202" s="107" t="str">
        <f aca="false">IF($C7202="","",$D7202*$E7202)</f>
        <v/>
      </c>
      <c r="G7202" s="107" t="str">
        <f aca="false">IF($C7202="","",$D7202*IFERROR(INDEX('تحليل التكلفة والسعر'!$C$2:$C$700,MATCH($C7202,'تحليل التكلفة والسعر'!$B$2:$B$700,0)),0))</f>
        <v/>
      </c>
    </row>
    <row r="7203" customFormat="false" ht="15" hidden="false" customHeight="false" outlineLevel="0" collapsed="false">
      <c r="A7203" s="103"/>
      <c r="B7203" s="104"/>
      <c r="C7203" s="104"/>
      <c r="E7203" s="107" t="str">
        <f aca="false">IF($C7203="","",IFERROR(INDEX(المنيو!$C$2:$C$500,MATCH($C7203,المنيو!$B$2:$B$500,0)),0))</f>
        <v/>
      </c>
      <c r="F7203" s="107" t="str">
        <f aca="false">IF($C7203="","",$D7203*$E7203)</f>
        <v/>
      </c>
      <c r="G7203" s="107" t="str">
        <f aca="false">IF($C7203="","",$D7203*IFERROR(INDEX('تحليل التكلفة والسعر'!$C$2:$C$700,MATCH($C7203,'تحليل التكلفة والسعر'!$B$2:$B$700,0)),0))</f>
        <v/>
      </c>
    </row>
    <row r="7204" customFormat="false" ht="15" hidden="false" customHeight="false" outlineLevel="0" collapsed="false">
      <c r="A7204" s="103"/>
      <c r="B7204" s="104"/>
      <c r="C7204" s="104"/>
      <c r="E7204" s="107" t="str">
        <f aca="false">IF($C7204="","",IFERROR(INDEX(المنيو!$C$2:$C$500,MATCH($C7204,المنيو!$B$2:$B$500,0)),0))</f>
        <v/>
      </c>
      <c r="F7204" s="107" t="str">
        <f aca="false">IF($C7204="","",$D7204*$E7204)</f>
        <v/>
      </c>
      <c r="G7204" s="107" t="str">
        <f aca="false">IF($C7204="","",$D7204*IFERROR(INDEX('تحليل التكلفة والسعر'!$C$2:$C$700,MATCH($C7204,'تحليل التكلفة والسعر'!$B$2:$B$700,0)),0))</f>
        <v/>
      </c>
    </row>
    <row r="7205" customFormat="false" ht="15" hidden="false" customHeight="false" outlineLevel="0" collapsed="false">
      <c r="A7205" s="103"/>
      <c r="B7205" s="104"/>
      <c r="C7205" s="104"/>
      <c r="E7205" s="107" t="str">
        <f aca="false">IF($C7205="","",IFERROR(INDEX(المنيو!$C$2:$C$500,MATCH($C7205,المنيو!$B$2:$B$500,0)),0))</f>
        <v/>
      </c>
      <c r="F7205" s="107" t="str">
        <f aca="false">IF($C7205="","",$D7205*$E7205)</f>
        <v/>
      </c>
      <c r="G7205" s="107" t="str">
        <f aca="false">IF($C7205="","",$D7205*IFERROR(INDEX('تحليل التكلفة والسعر'!$C$2:$C$700,MATCH($C7205,'تحليل التكلفة والسعر'!$B$2:$B$700,0)),0))</f>
        <v/>
      </c>
    </row>
    <row r="7206" customFormat="false" ht="15" hidden="false" customHeight="false" outlineLevel="0" collapsed="false">
      <c r="A7206" s="103"/>
      <c r="B7206" s="104"/>
      <c r="C7206" s="104"/>
      <c r="E7206" s="107" t="str">
        <f aca="false">IF($C7206="","",IFERROR(INDEX(المنيو!$C$2:$C$500,MATCH($C7206,المنيو!$B$2:$B$500,0)),0))</f>
        <v/>
      </c>
      <c r="F7206" s="107" t="str">
        <f aca="false">IF($C7206="","",$D7206*$E7206)</f>
        <v/>
      </c>
      <c r="G7206" s="107" t="str">
        <f aca="false">IF($C7206="","",$D7206*IFERROR(INDEX('تحليل التكلفة والسعر'!$C$2:$C$700,MATCH($C7206,'تحليل التكلفة والسعر'!$B$2:$B$700,0)),0))</f>
        <v/>
      </c>
    </row>
    <row r="7207" customFormat="false" ht="15" hidden="false" customHeight="false" outlineLevel="0" collapsed="false">
      <c r="A7207" s="103"/>
      <c r="B7207" s="104"/>
      <c r="C7207" s="104"/>
      <c r="E7207" s="107" t="str">
        <f aca="false">IF($C7207="","",IFERROR(INDEX(المنيو!$C$2:$C$500,MATCH($C7207,المنيو!$B$2:$B$500,0)),0))</f>
        <v/>
      </c>
      <c r="F7207" s="107" t="str">
        <f aca="false">IF($C7207="","",$D7207*$E7207)</f>
        <v/>
      </c>
      <c r="G7207" s="107" t="str">
        <f aca="false">IF($C7207="","",$D7207*IFERROR(INDEX('تحليل التكلفة والسعر'!$C$2:$C$700,MATCH($C7207,'تحليل التكلفة والسعر'!$B$2:$B$700,0)),0))</f>
        <v/>
      </c>
    </row>
    <row r="7208" customFormat="false" ht="15" hidden="false" customHeight="false" outlineLevel="0" collapsed="false">
      <c r="A7208" s="103"/>
      <c r="B7208" s="104"/>
      <c r="C7208" s="104"/>
      <c r="E7208" s="107" t="str">
        <f aca="false">IF($C7208="","",IFERROR(INDEX(المنيو!$C$2:$C$500,MATCH($C7208,المنيو!$B$2:$B$500,0)),0))</f>
        <v/>
      </c>
      <c r="F7208" s="107" t="str">
        <f aca="false">IF($C7208="","",$D7208*$E7208)</f>
        <v/>
      </c>
      <c r="G7208" s="107" t="str">
        <f aca="false">IF($C7208="","",$D7208*IFERROR(INDEX('تحليل التكلفة والسعر'!$C$2:$C$700,MATCH($C7208,'تحليل التكلفة والسعر'!$B$2:$B$700,0)),0))</f>
        <v/>
      </c>
    </row>
    <row r="7209" customFormat="false" ht="15" hidden="false" customHeight="false" outlineLevel="0" collapsed="false">
      <c r="A7209" s="103"/>
      <c r="B7209" s="104"/>
      <c r="C7209" s="104"/>
      <c r="E7209" s="107" t="str">
        <f aca="false">IF($C7209="","",IFERROR(INDEX(المنيو!$C$2:$C$500,MATCH($C7209,المنيو!$B$2:$B$500,0)),0))</f>
        <v/>
      </c>
      <c r="F7209" s="107" t="str">
        <f aca="false">IF($C7209="","",$D7209*$E7209)</f>
        <v/>
      </c>
      <c r="G7209" s="107" t="str">
        <f aca="false">IF($C7209="","",$D7209*IFERROR(INDEX('تحليل التكلفة والسعر'!$C$2:$C$700,MATCH($C7209,'تحليل التكلفة والسعر'!$B$2:$B$700,0)),0))</f>
        <v/>
      </c>
    </row>
    <row r="7210" customFormat="false" ht="15" hidden="false" customHeight="false" outlineLevel="0" collapsed="false">
      <c r="A7210" s="103"/>
      <c r="B7210" s="104"/>
      <c r="C7210" s="104"/>
      <c r="E7210" s="107" t="str">
        <f aca="false">IF($C7210="","",IFERROR(INDEX(المنيو!$C$2:$C$500,MATCH($C7210,المنيو!$B$2:$B$500,0)),0))</f>
        <v/>
      </c>
      <c r="F7210" s="107" t="str">
        <f aca="false">IF($C7210="","",$D7210*$E7210)</f>
        <v/>
      </c>
      <c r="G7210" s="107" t="str">
        <f aca="false">IF($C7210="","",$D7210*IFERROR(INDEX('تحليل التكلفة والسعر'!$C$2:$C$700,MATCH($C7210,'تحليل التكلفة والسعر'!$B$2:$B$700,0)),0))</f>
        <v/>
      </c>
    </row>
    <row r="7211" customFormat="false" ht="15" hidden="false" customHeight="false" outlineLevel="0" collapsed="false">
      <c r="A7211" s="103"/>
      <c r="B7211" s="104"/>
      <c r="C7211" s="104"/>
      <c r="E7211" s="107" t="str">
        <f aca="false">IF($C7211="","",IFERROR(INDEX(المنيو!$C$2:$C$500,MATCH($C7211,المنيو!$B$2:$B$500,0)),0))</f>
        <v/>
      </c>
      <c r="F7211" s="107" t="str">
        <f aca="false">IF($C7211="","",$D7211*$E7211)</f>
        <v/>
      </c>
      <c r="G7211" s="107" t="str">
        <f aca="false">IF($C7211="","",$D7211*IFERROR(INDEX('تحليل التكلفة والسعر'!$C$2:$C$700,MATCH($C7211,'تحليل التكلفة والسعر'!$B$2:$B$700,0)),0))</f>
        <v/>
      </c>
    </row>
    <row r="7212" customFormat="false" ht="15" hidden="false" customHeight="false" outlineLevel="0" collapsed="false">
      <c r="A7212" s="103"/>
      <c r="B7212" s="104"/>
      <c r="C7212" s="104"/>
      <c r="E7212" s="107" t="str">
        <f aca="false">IF($C7212="","",IFERROR(INDEX(المنيو!$C$2:$C$500,MATCH($C7212,المنيو!$B$2:$B$500,0)),0))</f>
        <v/>
      </c>
      <c r="F7212" s="107" t="str">
        <f aca="false">IF($C7212="","",$D7212*$E7212)</f>
        <v/>
      </c>
      <c r="G7212" s="107" t="str">
        <f aca="false">IF($C7212="","",$D7212*IFERROR(INDEX('تحليل التكلفة والسعر'!$C$2:$C$700,MATCH($C7212,'تحليل التكلفة والسعر'!$B$2:$B$700,0)),0))</f>
        <v/>
      </c>
    </row>
    <row r="7213" customFormat="false" ht="15" hidden="false" customHeight="false" outlineLevel="0" collapsed="false">
      <c r="A7213" s="103"/>
      <c r="B7213" s="104"/>
      <c r="C7213" s="104"/>
      <c r="E7213" s="107" t="str">
        <f aca="false">IF($C7213="","",IFERROR(INDEX(المنيو!$C$2:$C$500,MATCH($C7213,المنيو!$B$2:$B$500,0)),0))</f>
        <v/>
      </c>
      <c r="F7213" s="107" t="str">
        <f aca="false">IF($C7213="","",$D7213*$E7213)</f>
        <v/>
      </c>
      <c r="G7213" s="107" t="str">
        <f aca="false">IF($C7213="","",$D7213*IFERROR(INDEX('تحليل التكلفة والسعر'!$C$2:$C$700,MATCH($C7213,'تحليل التكلفة والسعر'!$B$2:$B$700,0)),0))</f>
        <v/>
      </c>
    </row>
    <row r="7214" customFormat="false" ht="15" hidden="false" customHeight="false" outlineLevel="0" collapsed="false">
      <c r="A7214" s="103"/>
      <c r="B7214" s="104"/>
      <c r="C7214" s="104"/>
      <c r="E7214" s="107" t="str">
        <f aca="false">IF($C7214="","",IFERROR(INDEX(المنيو!$C$2:$C$500,MATCH($C7214,المنيو!$B$2:$B$500,0)),0))</f>
        <v/>
      </c>
      <c r="F7214" s="107" t="str">
        <f aca="false">IF($C7214="","",$D7214*$E7214)</f>
        <v/>
      </c>
      <c r="G7214" s="107" t="str">
        <f aca="false">IF($C7214="","",$D7214*IFERROR(INDEX('تحليل التكلفة والسعر'!$C$2:$C$700,MATCH($C7214,'تحليل التكلفة والسعر'!$B$2:$B$700,0)),0))</f>
        <v/>
      </c>
    </row>
    <row r="7215" customFormat="false" ht="15" hidden="false" customHeight="false" outlineLevel="0" collapsed="false">
      <c r="A7215" s="103"/>
      <c r="B7215" s="104"/>
      <c r="C7215" s="104"/>
      <c r="E7215" s="107" t="str">
        <f aca="false">IF($C7215="","",IFERROR(INDEX(المنيو!$C$2:$C$500,MATCH($C7215,المنيو!$B$2:$B$500,0)),0))</f>
        <v/>
      </c>
      <c r="F7215" s="107" t="str">
        <f aca="false">IF($C7215="","",$D7215*$E7215)</f>
        <v/>
      </c>
      <c r="G7215" s="107" t="str">
        <f aca="false">IF($C7215="","",$D7215*IFERROR(INDEX('تحليل التكلفة والسعر'!$C$2:$C$700,MATCH($C7215,'تحليل التكلفة والسعر'!$B$2:$B$700,0)),0))</f>
        <v/>
      </c>
    </row>
    <row r="7216" customFormat="false" ht="15" hidden="false" customHeight="false" outlineLevel="0" collapsed="false">
      <c r="A7216" s="103"/>
      <c r="B7216" s="104"/>
      <c r="C7216" s="104"/>
      <c r="E7216" s="107" t="str">
        <f aca="false">IF($C7216="","",IFERROR(INDEX(المنيو!$C$2:$C$500,MATCH($C7216,المنيو!$B$2:$B$500,0)),0))</f>
        <v/>
      </c>
      <c r="F7216" s="107" t="str">
        <f aca="false">IF($C7216="","",$D7216*$E7216)</f>
        <v/>
      </c>
      <c r="G7216" s="107" t="str">
        <f aca="false">IF($C7216="","",$D7216*IFERROR(INDEX('تحليل التكلفة والسعر'!$C$2:$C$700,MATCH($C7216,'تحليل التكلفة والسعر'!$B$2:$B$700,0)),0))</f>
        <v/>
      </c>
    </row>
    <row r="7217" customFormat="false" ht="15" hidden="false" customHeight="false" outlineLevel="0" collapsed="false">
      <c r="A7217" s="103"/>
      <c r="B7217" s="104"/>
      <c r="C7217" s="104"/>
      <c r="E7217" s="107" t="str">
        <f aca="false">IF($C7217="","",IFERROR(INDEX(المنيو!$C$2:$C$500,MATCH($C7217,المنيو!$B$2:$B$500,0)),0))</f>
        <v/>
      </c>
      <c r="F7217" s="107" t="str">
        <f aca="false">IF($C7217="","",$D7217*$E7217)</f>
        <v/>
      </c>
      <c r="G7217" s="107" t="str">
        <f aca="false">IF($C7217="","",$D7217*IFERROR(INDEX('تحليل التكلفة والسعر'!$C$2:$C$700,MATCH($C7217,'تحليل التكلفة والسعر'!$B$2:$B$700,0)),0))</f>
        <v/>
      </c>
    </row>
    <row r="7218" customFormat="false" ht="15" hidden="false" customHeight="false" outlineLevel="0" collapsed="false">
      <c r="A7218" s="103"/>
      <c r="B7218" s="104"/>
      <c r="C7218" s="104"/>
      <c r="E7218" s="107" t="str">
        <f aca="false">IF($C7218="","",IFERROR(INDEX(المنيو!$C$2:$C$500,MATCH($C7218,المنيو!$B$2:$B$500,0)),0))</f>
        <v/>
      </c>
      <c r="F7218" s="107" t="str">
        <f aca="false">IF($C7218="","",$D7218*$E7218)</f>
        <v/>
      </c>
      <c r="G7218" s="107" t="str">
        <f aca="false">IF($C7218="","",$D7218*IFERROR(INDEX('تحليل التكلفة والسعر'!$C$2:$C$700,MATCH($C7218,'تحليل التكلفة والسعر'!$B$2:$B$700,0)),0))</f>
        <v/>
      </c>
    </row>
    <row r="7219" customFormat="false" ht="15" hidden="false" customHeight="false" outlineLevel="0" collapsed="false">
      <c r="A7219" s="103"/>
      <c r="B7219" s="104"/>
      <c r="C7219" s="104"/>
      <c r="E7219" s="107" t="str">
        <f aca="false">IF($C7219="","",IFERROR(INDEX(المنيو!$C$2:$C$500,MATCH($C7219,المنيو!$B$2:$B$500,0)),0))</f>
        <v/>
      </c>
      <c r="F7219" s="107" t="str">
        <f aca="false">IF($C7219="","",$D7219*$E7219)</f>
        <v/>
      </c>
      <c r="G7219" s="107" t="str">
        <f aca="false">IF($C7219="","",$D7219*IFERROR(INDEX('تحليل التكلفة والسعر'!$C$2:$C$700,MATCH($C7219,'تحليل التكلفة والسعر'!$B$2:$B$700,0)),0))</f>
        <v/>
      </c>
    </row>
    <row r="7220" customFormat="false" ht="15" hidden="false" customHeight="false" outlineLevel="0" collapsed="false">
      <c r="A7220" s="103"/>
      <c r="B7220" s="104"/>
      <c r="C7220" s="104"/>
      <c r="E7220" s="107" t="str">
        <f aca="false">IF($C7220="","",IFERROR(INDEX(المنيو!$C$2:$C$500,MATCH($C7220,المنيو!$B$2:$B$500,0)),0))</f>
        <v/>
      </c>
      <c r="F7220" s="107" t="str">
        <f aca="false">IF($C7220="","",$D7220*$E7220)</f>
        <v/>
      </c>
      <c r="G7220" s="107" t="str">
        <f aca="false">IF($C7220="","",$D7220*IFERROR(INDEX('تحليل التكلفة والسعر'!$C$2:$C$700,MATCH($C7220,'تحليل التكلفة والسعر'!$B$2:$B$700,0)),0))</f>
        <v/>
      </c>
    </row>
    <row r="7221" customFormat="false" ht="15" hidden="false" customHeight="false" outlineLevel="0" collapsed="false">
      <c r="A7221" s="103"/>
      <c r="B7221" s="104"/>
      <c r="C7221" s="104"/>
      <c r="E7221" s="107" t="str">
        <f aca="false">IF($C7221="","",IFERROR(INDEX(المنيو!$C$2:$C$500,MATCH($C7221,المنيو!$B$2:$B$500,0)),0))</f>
        <v/>
      </c>
      <c r="F7221" s="107" t="str">
        <f aca="false">IF($C7221="","",$D7221*$E7221)</f>
        <v/>
      </c>
      <c r="G7221" s="107" t="str">
        <f aca="false">IF($C7221="","",$D7221*IFERROR(INDEX('تحليل التكلفة والسعر'!$C$2:$C$700,MATCH($C7221,'تحليل التكلفة والسعر'!$B$2:$B$700,0)),0))</f>
        <v/>
      </c>
    </row>
    <row r="7222" customFormat="false" ht="15" hidden="false" customHeight="false" outlineLevel="0" collapsed="false">
      <c r="A7222" s="103"/>
      <c r="B7222" s="104"/>
      <c r="C7222" s="104"/>
      <c r="E7222" s="107" t="str">
        <f aca="false">IF($C7222="","",IFERROR(INDEX(المنيو!$C$2:$C$500,MATCH($C7222,المنيو!$B$2:$B$500,0)),0))</f>
        <v/>
      </c>
      <c r="F7222" s="107" t="str">
        <f aca="false">IF($C7222="","",$D7222*$E7222)</f>
        <v/>
      </c>
      <c r="G7222" s="107" t="str">
        <f aca="false">IF($C7222="","",$D7222*IFERROR(INDEX('تحليل التكلفة والسعر'!$C$2:$C$700,MATCH($C7222,'تحليل التكلفة والسعر'!$B$2:$B$700,0)),0))</f>
        <v/>
      </c>
    </row>
    <row r="7223" customFormat="false" ht="15" hidden="false" customHeight="false" outlineLevel="0" collapsed="false">
      <c r="A7223" s="103"/>
      <c r="B7223" s="104"/>
      <c r="C7223" s="104"/>
      <c r="E7223" s="107" t="str">
        <f aca="false">IF($C7223="","",IFERROR(INDEX(المنيو!$C$2:$C$500,MATCH($C7223,المنيو!$B$2:$B$500,0)),0))</f>
        <v/>
      </c>
      <c r="F7223" s="107" t="str">
        <f aca="false">IF($C7223="","",$D7223*$E7223)</f>
        <v/>
      </c>
      <c r="G7223" s="107" t="str">
        <f aca="false">IF($C7223="","",$D7223*IFERROR(INDEX('تحليل التكلفة والسعر'!$C$2:$C$700,MATCH($C7223,'تحليل التكلفة والسعر'!$B$2:$B$700,0)),0))</f>
        <v/>
      </c>
    </row>
    <row r="7224" customFormat="false" ht="15" hidden="false" customHeight="false" outlineLevel="0" collapsed="false">
      <c r="A7224" s="103"/>
      <c r="B7224" s="104"/>
      <c r="C7224" s="104"/>
      <c r="E7224" s="107" t="str">
        <f aca="false">IF($C7224="","",IFERROR(INDEX(المنيو!$C$2:$C$500,MATCH($C7224,المنيو!$B$2:$B$500,0)),0))</f>
        <v/>
      </c>
      <c r="F7224" s="107" t="str">
        <f aca="false">IF($C7224="","",$D7224*$E7224)</f>
        <v/>
      </c>
      <c r="G7224" s="107" t="str">
        <f aca="false">IF($C7224="","",$D7224*IFERROR(INDEX('تحليل التكلفة والسعر'!$C$2:$C$700,MATCH($C7224,'تحليل التكلفة والسعر'!$B$2:$B$700,0)),0))</f>
        <v/>
      </c>
    </row>
    <row r="7225" customFormat="false" ht="15" hidden="false" customHeight="false" outlineLevel="0" collapsed="false">
      <c r="A7225" s="103"/>
      <c r="B7225" s="104"/>
      <c r="C7225" s="104"/>
      <c r="E7225" s="107" t="str">
        <f aca="false">IF($C7225="","",IFERROR(INDEX(المنيو!$C$2:$C$500,MATCH($C7225,المنيو!$B$2:$B$500,0)),0))</f>
        <v/>
      </c>
      <c r="F7225" s="107" t="str">
        <f aca="false">IF($C7225="","",$D7225*$E7225)</f>
        <v/>
      </c>
      <c r="G7225" s="107" t="str">
        <f aca="false">IF($C7225="","",$D7225*IFERROR(INDEX('تحليل التكلفة والسعر'!$C$2:$C$700,MATCH($C7225,'تحليل التكلفة والسعر'!$B$2:$B$700,0)),0))</f>
        <v/>
      </c>
    </row>
    <row r="7226" customFormat="false" ht="15" hidden="false" customHeight="false" outlineLevel="0" collapsed="false">
      <c r="A7226" s="103"/>
      <c r="B7226" s="104"/>
      <c r="C7226" s="104"/>
      <c r="E7226" s="107" t="str">
        <f aca="false">IF($C7226="","",IFERROR(INDEX(المنيو!$C$2:$C$500,MATCH($C7226,المنيو!$B$2:$B$500,0)),0))</f>
        <v/>
      </c>
      <c r="F7226" s="107" t="str">
        <f aca="false">IF($C7226="","",$D7226*$E7226)</f>
        <v/>
      </c>
      <c r="G7226" s="107" t="str">
        <f aca="false">IF($C7226="","",$D7226*IFERROR(INDEX('تحليل التكلفة والسعر'!$C$2:$C$700,MATCH($C7226,'تحليل التكلفة والسعر'!$B$2:$B$700,0)),0))</f>
        <v/>
      </c>
    </row>
    <row r="7227" customFormat="false" ht="15" hidden="false" customHeight="false" outlineLevel="0" collapsed="false">
      <c r="A7227" s="103"/>
      <c r="B7227" s="104"/>
      <c r="C7227" s="104"/>
      <c r="E7227" s="107" t="str">
        <f aca="false">IF($C7227="","",IFERROR(INDEX(المنيو!$C$2:$C$500,MATCH($C7227,المنيو!$B$2:$B$500,0)),0))</f>
        <v/>
      </c>
      <c r="F7227" s="107" t="str">
        <f aca="false">IF($C7227="","",$D7227*$E7227)</f>
        <v/>
      </c>
      <c r="G7227" s="107" t="str">
        <f aca="false">IF($C7227="","",$D7227*IFERROR(INDEX('تحليل التكلفة والسعر'!$C$2:$C$700,MATCH($C7227,'تحليل التكلفة والسعر'!$B$2:$B$700,0)),0))</f>
        <v/>
      </c>
    </row>
    <row r="7228" customFormat="false" ht="15" hidden="false" customHeight="false" outlineLevel="0" collapsed="false">
      <c r="A7228" s="103"/>
      <c r="B7228" s="104"/>
      <c r="C7228" s="104"/>
      <c r="E7228" s="107" t="str">
        <f aca="false">IF($C7228="","",IFERROR(INDEX(المنيو!$C$2:$C$500,MATCH($C7228,المنيو!$B$2:$B$500,0)),0))</f>
        <v/>
      </c>
      <c r="F7228" s="107" t="str">
        <f aca="false">IF($C7228="","",$D7228*$E7228)</f>
        <v/>
      </c>
      <c r="G7228" s="107" t="str">
        <f aca="false">IF($C7228="","",$D7228*IFERROR(INDEX('تحليل التكلفة والسعر'!$C$2:$C$700,MATCH($C7228,'تحليل التكلفة والسعر'!$B$2:$B$700,0)),0))</f>
        <v/>
      </c>
    </row>
    <row r="7229" customFormat="false" ht="15" hidden="false" customHeight="false" outlineLevel="0" collapsed="false">
      <c r="A7229" s="103"/>
      <c r="B7229" s="104"/>
      <c r="C7229" s="104"/>
      <c r="E7229" s="107" t="str">
        <f aca="false">IF($C7229="","",IFERROR(INDEX(المنيو!$C$2:$C$500,MATCH($C7229,المنيو!$B$2:$B$500,0)),0))</f>
        <v/>
      </c>
      <c r="F7229" s="107" t="str">
        <f aca="false">IF($C7229="","",$D7229*$E7229)</f>
        <v/>
      </c>
      <c r="G7229" s="107" t="str">
        <f aca="false">IF($C7229="","",$D7229*IFERROR(INDEX('تحليل التكلفة والسعر'!$C$2:$C$700,MATCH($C7229,'تحليل التكلفة والسعر'!$B$2:$B$700,0)),0))</f>
        <v/>
      </c>
    </row>
    <row r="7230" customFormat="false" ht="15" hidden="false" customHeight="false" outlineLevel="0" collapsed="false">
      <c r="A7230" s="103"/>
      <c r="B7230" s="104"/>
      <c r="C7230" s="104"/>
      <c r="E7230" s="107" t="str">
        <f aca="false">IF($C7230="","",IFERROR(INDEX(المنيو!$C$2:$C$500,MATCH($C7230,المنيو!$B$2:$B$500,0)),0))</f>
        <v/>
      </c>
      <c r="F7230" s="107" t="str">
        <f aca="false">IF($C7230="","",$D7230*$E7230)</f>
        <v/>
      </c>
      <c r="G7230" s="107" t="str">
        <f aca="false">IF($C7230="","",$D7230*IFERROR(INDEX('تحليل التكلفة والسعر'!$C$2:$C$700,MATCH($C7230,'تحليل التكلفة والسعر'!$B$2:$B$700,0)),0))</f>
        <v/>
      </c>
    </row>
    <row r="7231" customFormat="false" ht="15" hidden="false" customHeight="false" outlineLevel="0" collapsed="false">
      <c r="A7231" s="103"/>
      <c r="B7231" s="104"/>
      <c r="C7231" s="104"/>
      <c r="E7231" s="107" t="str">
        <f aca="false">IF($C7231="","",IFERROR(INDEX(المنيو!$C$2:$C$500,MATCH($C7231,المنيو!$B$2:$B$500,0)),0))</f>
        <v/>
      </c>
      <c r="F7231" s="107" t="str">
        <f aca="false">IF($C7231="","",$D7231*$E7231)</f>
        <v/>
      </c>
      <c r="G7231" s="107" t="str">
        <f aca="false">IF($C7231="","",$D7231*IFERROR(INDEX('تحليل التكلفة والسعر'!$C$2:$C$700,MATCH($C7231,'تحليل التكلفة والسعر'!$B$2:$B$700,0)),0))</f>
        <v/>
      </c>
    </row>
    <row r="7232" customFormat="false" ht="15" hidden="false" customHeight="false" outlineLevel="0" collapsed="false">
      <c r="A7232" s="103"/>
      <c r="B7232" s="104"/>
      <c r="C7232" s="104"/>
      <c r="E7232" s="107" t="str">
        <f aca="false">IF($C7232="","",IFERROR(INDEX(المنيو!$C$2:$C$500,MATCH($C7232,المنيو!$B$2:$B$500,0)),0))</f>
        <v/>
      </c>
      <c r="F7232" s="107" t="str">
        <f aca="false">IF($C7232="","",$D7232*$E7232)</f>
        <v/>
      </c>
      <c r="G7232" s="107" t="str">
        <f aca="false">IF($C7232="","",$D7232*IFERROR(INDEX('تحليل التكلفة والسعر'!$C$2:$C$700,MATCH($C7232,'تحليل التكلفة والسعر'!$B$2:$B$700,0)),0))</f>
        <v/>
      </c>
    </row>
    <row r="7233" customFormat="false" ht="15" hidden="false" customHeight="false" outlineLevel="0" collapsed="false">
      <c r="A7233" s="103"/>
      <c r="B7233" s="104"/>
      <c r="C7233" s="104"/>
      <c r="E7233" s="107" t="str">
        <f aca="false">IF($C7233="","",IFERROR(INDEX(المنيو!$C$2:$C$500,MATCH($C7233,المنيو!$B$2:$B$500,0)),0))</f>
        <v/>
      </c>
      <c r="F7233" s="107" t="str">
        <f aca="false">IF($C7233="","",$D7233*$E7233)</f>
        <v/>
      </c>
      <c r="G7233" s="107" t="str">
        <f aca="false">IF($C7233="","",$D7233*IFERROR(INDEX('تحليل التكلفة والسعر'!$C$2:$C$700,MATCH($C7233,'تحليل التكلفة والسعر'!$B$2:$B$700,0)),0))</f>
        <v/>
      </c>
    </row>
    <row r="7234" customFormat="false" ht="15" hidden="false" customHeight="false" outlineLevel="0" collapsed="false">
      <c r="A7234" s="103"/>
      <c r="B7234" s="104"/>
      <c r="C7234" s="104"/>
      <c r="E7234" s="107" t="str">
        <f aca="false">IF($C7234="","",IFERROR(INDEX(المنيو!$C$2:$C$500,MATCH($C7234,المنيو!$B$2:$B$500,0)),0))</f>
        <v/>
      </c>
      <c r="F7234" s="107" t="str">
        <f aca="false">IF($C7234="","",$D7234*$E7234)</f>
        <v/>
      </c>
      <c r="G7234" s="107" t="str">
        <f aca="false">IF($C7234="","",$D7234*IFERROR(INDEX('تحليل التكلفة والسعر'!$C$2:$C$700,MATCH($C7234,'تحليل التكلفة والسعر'!$B$2:$B$700,0)),0))</f>
        <v/>
      </c>
    </row>
    <row r="7235" customFormat="false" ht="15" hidden="false" customHeight="false" outlineLevel="0" collapsed="false">
      <c r="A7235" s="103"/>
      <c r="B7235" s="104"/>
      <c r="C7235" s="104"/>
      <c r="E7235" s="107" t="str">
        <f aca="false">IF($C7235="","",IFERROR(INDEX(المنيو!$C$2:$C$500,MATCH($C7235,المنيو!$B$2:$B$500,0)),0))</f>
        <v/>
      </c>
      <c r="F7235" s="107" t="str">
        <f aca="false">IF($C7235="","",$D7235*$E7235)</f>
        <v/>
      </c>
      <c r="G7235" s="107" t="str">
        <f aca="false">IF($C7235="","",$D7235*IFERROR(INDEX('تحليل التكلفة والسعر'!$C$2:$C$700,MATCH($C7235,'تحليل التكلفة والسعر'!$B$2:$B$700,0)),0))</f>
        <v/>
      </c>
    </row>
    <row r="7236" customFormat="false" ht="15" hidden="false" customHeight="false" outlineLevel="0" collapsed="false">
      <c r="A7236" s="103"/>
      <c r="B7236" s="104"/>
      <c r="C7236" s="104"/>
      <c r="E7236" s="107" t="str">
        <f aca="false">IF($C7236="","",IFERROR(INDEX(المنيو!$C$2:$C$500,MATCH($C7236,المنيو!$B$2:$B$500,0)),0))</f>
        <v/>
      </c>
      <c r="F7236" s="107" t="str">
        <f aca="false">IF($C7236="","",$D7236*$E7236)</f>
        <v/>
      </c>
      <c r="G7236" s="107" t="str">
        <f aca="false">IF($C7236="","",$D7236*IFERROR(INDEX('تحليل التكلفة والسعر'!$C$2:$C$700,MATCH($C7236,'تحليل التكلفة والسعر'!$B$2:$B$700,0)),0))</f>
        <v/>
      </c>
    </row>
    <row r="7237" customFormat="false" ht="15" hidden="false" customHeight="false" outlineLevel="0" collapsed="false">
      <c r="A7237" s="103"/>
      <c r="B7237" s="104"/>
      <c r="C7237" s="104"/>
      <c r="E7237" s="107" t="str">
        <f aca="false">IF($C7237="","",IFERROR(INDEX(المنيو!$C$2:$C$500,MATCH($C7237,المنيو!$B$2:$B$500,0)),0))</f>
        <v/>
      </c>
      <c r="F7237" s="107" t="str">
        <f aca="false">IF($C7237="","",$D7237*$E7237)</f>
        <v/>
      </c>
      <c r="G7237" s="107" t="str">
        <f aca="false">IF($C7237="","",$D7237*IFERROR(INDEX('تحليل التكلفة والسعر'!$C$2:$C$700,MATCH($C7237,'تحليل التكلفة والسعر'!$B$2:$B$700,0)),0))</f>
        <v/>
      </c>
    </row>
    <row r="7238" customFormat="false" ht="15" hidden="false" customHeight="false" outlineLevel="0" collapsed="false">
      <c r="A7238" s="103"/>
      <c r="B7238" s="104"/>
      <c r="C7238" s="104"/>
      <c r="E7238" s="107" t="str">
        <f aca="false">IF($C7238="","",IFERROR(INDEX(المنيو!$C$2:$C$500,MATCH($C7238,المنيو!$B$2:$B$500,0)),0))</f>
        <v/>
      </c>
      <c r="F7238" s="107" t="str">
        <f aca="false">IF($C7238="","",$D7238*$E7238)</f>
        <v/>
      </c>
      <c r="G7238" s="107" t="str">
        <f aca="false">IF($C7238="","",$D7238*IFERROR(INDEX('تحليل التكلفة والسعر'!$C$2:$C$700,MATCH($C7238,'تحليل التكلفة والسعر'!$B$2:$B$700,0)),0))</f>
        <v/>
      </c>
    </row>
    <row r="7239" customFormat="false" ht="15" hidden="false" customHeight="false" outlineLevel="0" collapsed="false">
      <c r="A7239" s="103"/>
      <c r="B7239" s="104"/>
      <c r="C7239" s="104"/>
      <c r="E7239" s="107" t="str">
        <f aca="false">IF($C7239="","",IFERROR(INDEX(المنيو!$C$2:$C$500,MATCH($C7239,المنيو!$B$2:$B$500,0)),0))</f>
        <v/>
      </c>
      <c r="F7239" s="107" t="str">
        <f aca="false">IF($C7239="","",$D7239*$E7239)</f>
        <v/>
      </c>
      <c r="G7239" s="107" t="str">
        <f aca="false">IF($C7239="","",$D7239*IFERROR(INDEX('تحليل التكلفة والسعر'!$C$2:$C$700,MATCH($C7239,'تحليل التكلفة والسعر'!$B$2:$B$700,0)),0))</f>
        <v/>
      </c>
    </row>
    <row r="7240" customFormat="false" ht="15" hidden="false" customHeight="false" outlineLevel="0" collapsed="false">
      <c r="A7240" s="103"/>
      <c r="B7240" s="104"/>
      <c r="C7240" s="104"/>
      <c r="E7240" s="107" t="str">
        <f aca="false">IF($C7240="","",IFERROR(INDEX(المنيو!$C$2:$C$500,MATCH($C7240,المنيو!$B$2:$B$500,0)),0))</f>
        <v/>
      </c>
      <c r="F7240" s="107" t="str">
        <f aca="false">IF($C7240="","",$D7240*$E7240)</f>
        <v/>
      </c>
      <c r="G7240" s="107" t="str">
        <f aca="false">IF($C7240="","",$D7240*IFERROR(INDEX('تحليل التكلفة والسعر'!$C$2:$C$700,MATCH($C7240,'تحليل التكلفة والسعر'!$B$2:$B$700,0)),0))</f>
        <v/>
      </c>
    </row>
    <row r="7241" customFormat="false" ht="15" hidden="false" customHeight="false" outlineLevel="0" collapsed="false">
      <c r="A7241" s="103"/>
      <c r="B7241" s="104"/>
      <c r="C7241" s="104"/>
      <c r="E7241" s="107" t="str">
        <f aca="false">IF($C7241="","",IFERROR(INDEX(المنيو!$C$2:$C$500,MATCH($C7241,المنيو!$B$2:$B$500,0)),0))</f>
        <v/>
      </c>
      <c r="F7241" s="107" t="str">
        <f aca="false">IF($C7241="","",$D7241*$E7241)</f>
        <v/>
      </c>
      <c r="G7241" s="107" t="str">
        <f aca="false">IF($C7241="","",$D7241*IFERROR(INDEX('تحليل التكلفة والسعر'!$C$2:$C$700,MATCH($C7241,'تحليل التكلفة والسعر'!$B$2:$B$700,0)),0))</f>
        <v/>
      </c>
    </row>
    <row r="7242" customFormat="false" ht="15" hidden="false" customHeight="false" outlineLevel="0" collapsed="false">
      <c r="A7242" s="103"/>
      <c r="B7242" s="104"/>
      <c r="C7242" s="104"/>
      <c r="E7242" s="107" t="str">
        <f aca="false">IF($C7242="","",IFERROR(INDEX(المنيو!$C$2:$C$500,MATCH($C7242,المنيو!$B$2:$B$500,0)),0))</f>
        <v/>
      </c>
      <c r="F7242" s="107" t="str">
        <f aca="false">IF($C7242="","",$D7242*$E7242)</f>
        <v/>
      </c>
      <c r="G7242" s="107" t="str">
        <f aca="false">IF($C7242="","",$D7242*IFERROR(INDEX('تحليل التكلفة والسعر'!$C$2:$C$700,MATCH($C7242,'تحليل التكلفة والسعر'!$B$2:$B$700,0)),0))</f>
        <v/>
      </c>
    </row>
    <row r="7243" customFormat="false" ht="15" hidden="false" customHeight="false" outlineLevel="0" collapsed="false">
      <c r="A7243" s="103"/>
      <c r="B7243" s="104"/>
      <c r="C7243" s="104"/>
      <c r="E7243" s="107" t="str">
        <f aca="false">IF($C7243="","",IFERROR(INDEX(المنيو!$C$2:$C$500,MATCH($C7243,المنيو!$B$2:$B$500,0)),0))</f>
        <v/>
      </c>
      <c r="F7243" s="107" t="str">
        <f aca="false">IF($C7243="","",$D7243*$E7243)</f>
        <v/>
      </c>
      <c r="G7243" s="107" t="str">
        <f aca="false">IF($C7243="","",$D7243*IFERROR(INDEX('تحليل التكلفة والسعر'!$C$2:$C$700,MATCH($C7243,'تحليل التكلفة والسعر'!$B$2:$B$700,0)),0))</f>
        <v/>
      </c>
    </row>
    <row r="7244" customFormat="false" ht="15" hidden="false" customHeight="false" outlineLevel="0" collapsed="false">
      <c r="A7244" s="103"/>
      <c r="B7244" s="104"/>
      <c r="C7244" s="104"/>
      <c r="E7244" s="107" t="str">
        <f aca="false">IF($C7244="","",IFERROR(INDEX(المنيو!$C$2:$C$500,MATCH($C7244,المنيو!$B$2:$B$500,0)),0))</f>
        <v/>
      </c>
      <c r="F7244" s="107" t="str">
        <f aca="false">IF($C7244="","",$D7244*$E7244)</f>
        <v/>
      </c>
      <c r="G7244" s="107" t="str">
        <f aca="false">IF($C7244="","",$D7244*IFERROR(INDEX('تحليل التكلفة والسعر'!$C$2:$C$700,MATCH($C7244,'تحليل التكلفة والسعر'!$B$2:$B$700,0)),0))</f>
        <v/>
      </c>
    </row>
    <row r="7245" customFormat="false" ht="15" hidden="false" customHeight="false" outlineLevel="0" collapsed="false">
      <c r="A7245" s="103"/>
      <c r="B7245" s="104"/>
      <c r="C7245" s="104"/>
      <c r="E7245" s="107" t="str">
        <f aca="false">IF($C7245="","",IFERROR(INDEX(المنيو!$C$2:$C$500,MATCH($C7245,المنيو!$B$2:$B$500,0)),0))</f>
        <v/>
      </c>
      <c r="F7245" s="107" t="str">
        <f aca="false">IF($C7245="","",$D7245*$E7245)</f>
        <v/>
      </c>
      <c r="G7245" s="107" t="str">
        <f aca="false">IF($C7245="","",$D7245*IFERROR(INDEX('تحليل التكلفة والسعر'!$C$2:$C$700,MATCH($C7245,'تحليل التكلفة والسعر'!$B$2:$B$700,0)),0))</f>
        <v/>
      </c>
    </row>
    <row r="7246" customFormat="false" ht="15" hidden="false" customHeight="false" outlineLevel="0" collapsed="false">
      <c r="A7246" s="103"/>
      <c r="B7246" s="104"/>
      <c r="C7246" s="104"/>
      <c r="E7246" s="107" t="str">
        <f aca="false">IF($C7246="","",IFERROR(INDEX(المنيو!$C$2:$C$500,MATCH($C7246,المنيو!$B$2:$B$500,0)),0))</f>
        <v/>
      </c>
      <c r="F7246" s="107" t="str">
        <f aca="false">IF($C7246="","",$D7246*$E7246)</f>
        <v/>
      </c>
      <c r="G7246" s="107" t="str">
        <f aca="false">IF($C7246="","",$D7246*IFERROR(INDEX('تحليل التكلفة والسعر'!$C$2:$C$700,MATCH($C7246,'تحليل التكلفة والسعر'!$B$2:$B$700,0)),0))</f>
        <v/>
      </c>
    </row>
    <row r="7247" customFormat="false" ht="15" hidden="false" customHeight="false" outlineLevel="0" collapsed="false">
      <c r="A7247" s="103"/>
      <c r="B7247" s="104"/>
      <c r="C7247" s="104"/>
      <c r="E7247" s="107" t="str">
        <f aca="false">IF($C7247="","",IFERROR(INDEX(المنيو!$C$2:$C$500,MATCH($C7247,المنيو!$B$2:$B$500,0)),0))</f>
        <v/>
      </c>
      <c r="F7247" s="107" t="str">
        <f aca="false">IF($C7247="","",$D7247*$E7247)</f>
        <v/>
      </c>
      <c r="G7247" s="107" t="str">
        <f aca="false">IF($C7247="","",$D7247*IFERROR(INDEX('تحليل التكلفة والسعر'!$C$2:$C$700,MATCH($C7247,'تحليل التكلفة والسعر'!$B$2:$B$700,0)),0))</f>
        <v/>
      </c>
    </row>
    <row r="7248" customFormat="false" ht="15" hidden="false" customHeight="false" outlineLevel="0" collapsed="false">
      <c r="A7248" s="103"/>
      <c r="B7248" s="104"/>
      <c r="C7248" s="104"/>
      <c r="E7248" s="107" t="str">
        <f aca="false">IF($C7248="","",IFERROR(INDEX(المنيو!$C$2:$C$500,MATCH($C7248,المنيو!$B$2:$B$500,0)),0))</f>
        <v/>
      </c>
      <c r="F7248" s="107" t="str">
        <f aca="false">IF($C7248="","",$D7248*$E7248)</f>
        <v/>
      </c>
      <c r="G7248" s="107" t="str">
        <f aca="false">IF($C7248="","",$D7248*IFERROR(INDEX('تحليل التكلفة والسعر'!$C$2:$C$700,MATCH($C7248,'تحليل التكلفة والسعر'!$B$2:$B$700,0)),0))</f>
        <v/>
      </c>
    </row>
    <row r="7249" customFormat="false" ht="15" hidden="false" customHeight="false" outlineLevel="0" collapsed="false">
      <c r="A7249" s="103"/>
      <c r="B7249" s="104"/>
      <c r="C7249" s="104"/>
      <c r="E7249" s="107" t="str">
        <f aca="false">IF($C7249="","",IFERROR(INDEX(المنيو!$C$2:$C$500,MATCH($C7249,المنيو!$B$2:$B$500,0)),0))</f>
        <v/>
      </c>
      <c r="F7249" s="107" t="str">
        <f aca="false">IF($C7249="","",$D7249*$E7249)</f>
        <v/>
      </c>
      <c r="G7249" s="107" t="str">
        <f aca="false">IF($C7249="","",$D7249*IFERROR(INDEX('تحليل التكلفة والسعر'!$C$2:$C$700,MATCH($C7249,'تحليل التكلفة والسعر'!$B$2:$B$700,0)),0))</f>
        <v/>
      </c>
    </row>
    <row r="7250" customFormat="false" ht="15" hidden="false" customHeight="false" outlineLevel="0" collapsed="false">
      <c r="A7250" s="103"/>
      <c r="B7250" s="104"/>
      <c r="C7250" s="104"/>
      <c r="E7250" s="107" t="str">
        <f aca="false">IF($C7250="","",IFERROR(INDEX(المنيو!$C$2:$C$500,MATCH($C7250,المنيو!$B$2:$B$500,0)),0))</f>
        <v/>
      </c>
      <c r="F7250" s="107" t="str">
        <f aca="false">IF($C7250="","",$D7250*$E7250)</f>
        <v/>
      </c>
      <c r="G7250" s="107" t="str">
        <f aca="false">IF($C7250="","",$D7250*IFERROR(INDEX('تحليل التكلفة والسعر'!$C$2:$C$700,MATCH($C7250,'تحليل التكلفة والسعر'!$B$2:$B$700,0)),0))</f>
        <v/>
      </c>
    </row>
    <row r="7251" customFormat="false" ht="15" hidden="false" customHeight="false" outlineLevel="0" collapsed="false">
      <c r="A7251" s="103"/>
      <c r="B7251" s="104"/>
      <c r="C7251" s="104"/>
      <c r="E7251" s="107" t="str">
        <f aca="false">IF($C7251="","",IFERROR(INDEX(المنيو!$C$2:$C$500,MATCH($C7251,المنيو!$B$2:$B$500,0)),0))</f>
        <v/>
      </c>
      <c r="F7251" s="107" t="str">
        <f aca="false">IF($C7251="","",$D7251*$E7251)</f>
        <v/>
      </c>
      <c r="G7251" s="107" t="str">
        <f aca="false">IF($C7251="","",$D7251*IFERROR(INDEX('تحليل التكلفة والسعر'!$C$2:$C$700,MATCH($C7251,'تحليل التكلفة والسعر'!$B$2:$B$700,0)),0))</f>
        <v/>
      </c>
    </row>
    <row r="7252" customFormat="false" ht="15" hidden="false" customHeight="false" outlineLevel="0" collapsed="false">
      <c r="A7252" s="103"/>
      <c r="B7252" s="104"/>
      <c r="C7252" s="104"/>
      <c r="E7252" s="107" t="str">
        <f aca="false">IF($C7252="","",IFERROR(INDEX(المنيو!$C$2:$C$500,MATCH($C7252,المنيو!$B$2:$B$500,0)),0))</f>
        <v/>
      </c>
      <c r="F7252" s="107" t="str">
        <f aca="false">IF($C7252="","",$D7252*$E7252)</f>
        <v/>
      </c>
      <c r="G7252" s="107" t="str">
        <f aca="false">IF($C7252="","",$D7252*IFERROR(INDEX('تحليل التكلفة والسعر'!$C$2:$C$700,MATCH($C7252,'تحليل التكلفة والسعر'!$B$2:$B$700,0)),0))</f>
        <v/>
      </c>
    </row>
    <row r="7253" customFormat="false" ht="15" hidden="false" customHeight="false" outlineLevel="0" collapsed="false">
      <c r="A7253" s="103"/>
      <c r="B7253" s="104"/>
      <c r="C7253" s="104"/>
      <c r="E7253" s="107" t="str">
        <f aca="false">IF($C7253="","",IFERROR(INDEX(المنيو!$C$2:$C$500,MATCH($C7253,المنيو!$B$2:$B$500,0)),0))</f>
        <v/>
      </c>
      <c r="F7253" s="107" t="str">
        <f aca="false">IF($C7253="","",$D7253*$E7253)</f>
        <v/>
      </c>
      <c r="G7253" s="107" t="str">
        <f aca="false">IF($C7253="","",$D7253*IFERROR(INDEX('تحليل التكلفة والسعر'!$C$2:$C$700,MATCH($C7253,'تحليل التكلفة والسعر'!$B$2:$B$700,0)),0))</f>
        <v/>
      </c>
    </row>
    <row r="7254" customFormat="false" ht="15" hidden="false" customHeight="false" outlineLevel="0" collapsed="false">
      <c r="A7254" s="103"/>
      <c r="B7254" s="104"/>
      <c r="C7254" s="104"/>
      <c r="E7254" s="107" t="str">
        <f aca="false">IF($C7254="","",IFERROR(INDEX(المنيو!$C$2:$C$500,MATCH($C7254,المنيو!$B$2:$B$500,0)),0))</f>
        <v/>
      </c>
      <c r="F7254" s="107" t="str">
        <f aca="false">IF($C7254="","",$D7254*$E7254)</f>
        <v/>
      </c>
      <c r="G7254" s="107" t="str">
        <f aca="false">IF($C7254="","",$D7254*IFERROR(INDEX('تحليل التكلفة والسعر'!$C$2:$C$700,MATCH($C7254,'تحليل التكلفة والسعر'!$B$2:$B$700,0)),0))</f>
        <v/>
      </c>
    </row>
    <row r="7255" customFormat="false" ht="15" hidden="false" customHeight="false" outlineLevel="0" collapsed="false">
      <c r="A7255" s="103"/>
      <c r="B7255" s="104"/>
      <c r="C7255" s="104"/>
      <c r="E7255" s="107" t="str">
        <f aca="false">IF($C7255="","",IFERROR(INDEX(المنيو!$C$2:$C$500,MATCH($C7255,المنيو!$B$2:$B$500,0)),0))</f>
        <v/>
      </c>
      <c r="F7255" s="107" t="str">
        <f aca="false">IF($C7255="","",$D7255*$E7255)</f>
        <v/>
      </c>
      <c r="G7255" s="107" t="str">
        <f aca="false">IF($C7255="","",$D7255*IFERROR(INDEX('تحليل التكلفة والسعر'!$C$2:$C$700,MATCH($C7255,'تحليل التكلفة والسعر'!$B$2:$B$700,0)),0))</f>
        <v/>
      </c>
    </row>
    <row r="7256" customFormat="false" ht="15" hidden="false" customHeight="false" outlineLevel="0" collapsed="false">
      <c r="A7256" s="103"/>
      <c r="B7256" s="104"/>
      <c r="C7256" s="104"/>
      <c r="E7256" s="107" t="str">
        <f aca="false">IF($C7256="","",IFERROR(INDEX(المنيو!$C$2:$C$500,MATCH($C7256,المنيو!$B$2:$B$500,0)),0))</f>
        <v/>
      </c>
      <c r="F7256" s="107" t="str">
        <f aca="false">IF($C7256="","",$D7256*$E7256)</f>
        <v/>
      </c>
      <c r="G7256" s="107" t="str">
        <f aca="false">IF($C7256="","",$D7256*IFERROR(INDEX('تحليل التكلفة والسعر'!$C$2:$C$700,MATCH($C7256,'تحليل التكلفة والسعر'!$B$2:$B$700,0)),0))</f>
        <v/>
      </c>
    </row>
    <row r="7257" customFormat="false" ht="15" hidden="false" customHeight="false" outlineLevel="0" collapsed="false">
      <c r="A7257" s="103"/>
      <c r="B7257" s="104"/>
      <c r="C7257" s="104"/>
      <c r="E7257" s="107" t="str">
        <f aca="false">IF($C7257="","",IFERROR(INDEX(المنيو!$C$2:$C$500,MATCH($C7257,المنيو!$B$2:$B$500,0)),0))</f>
        <v/>
      </c>
      <c r="F7257" s="107" t="str">
        <f aca="false">IF($C7257="","",$D7257*$E7257)</f>
        <v/>
      </c>
      <c r="G7257" s="107" t="str">
        <f aca="false">IF($C7257="","",$D7257*IFERROR(INDEX('تحليل التكلفة والسعر'!$C$2:$C$700,MATCH($C7257,'تحليل التكلفة والسعر'!$B$2:$B$700,0)),0))</f>
        <v/>
      </c>
    </row>
    <row r="7258" customFormat="false" ht="15" hidden="false" customHeight="false" outlineLevel="0" collapsed="false">
      <c r="A7258" s="103"/>
      <c r="B7258" s="104"/>
      <c r="C7258" s="104"/>
      <c r="E7258" s="107" t="str">
        <f aca="false">IF($C7258="","",IFERROR(INDEX(المنيو!$C$2:$C$500,MATCH($C7258,المنيو!$B$2:$B$500,0)),0))</f>
        <v/>
      </c>
      <c r="F7258" s="107" t="str">
        <f aca="false">IF($C7258="","",$D7258*$E7258)</f>
        <v/>
      </c>
      <c r="G7258" s="107" t="str">
        <f aca="false">IF($C7258="","",$D7258*IFERROR(INDEX('تحليل التكلفة والسعر'!$C$2:$C$700,MATCH($C7258,'تحليل التكلفة والسعر'!$B$2:$B$700,0)),0))</f>
        <v/>
      </c>
    </row>
    <row r="7259" customFormat="false" ht="15" hidden="false" customHeight="false" outlineLevel="0" collapsed="false">
      <c r="A7259" s="103"/>
      <c r="B7259" s="104"/>
      <c r="C7259" s="104"/>
      <c r="E7259" s="107" t="str">
        <f aca="false">IF($C7259="","",IFERROR(INDEX(المنيو!$C$2:$C$500,MATCH($C7259,المنيو!$B$2:$B$500,0)),0))</f>
        <v/>
      </c>
      <c r="F7259" s="107" t="str">
        <f aca="false">IF($C7259="","",$D7259*$E7259)</f>
        <v/>
      </c>
      <c r="G7259" s="107" t="str">
        <f aca="false">IF($C7259="","",$D7259*IFERROR(INDEX('تحليل التكلفة والسعر'!$C$2:$C$700,MATCH($C7259,'تحليل التكلفة والسعر'!$B$2:$B$700,0)),0))</f>
        <v/>
      </c>
    </row>
    <row r="7260" customFormat="false" ht="15" hidden="false" customHeight="false" outlineLevel="0" collapsed="false">
      <c r="A7260" s="103"/>
      <c r="B7260" s="104"/>
      <c r="C7260" s="104"/>
      <c r="E7260" s="107" t="str">
        <f aca="false">IF($C7260="","",IFERROR(INDEX(المنيو!$C$2:$C$500,MATCH($C7260,المنيو!$B$2:$B$500,0)),0))</f>
        <v/>
      </c>
      <c r="F7260" s="107" t="str">
        <f aca="false">IF($C7260="","",$D7260*$E7260)</f>
        <v/>
      </c>
      <c r="G7260" s="107" t="str">
        <f aca="false">IF($C7260="","",$D7260*IFERROR(INDEX('تحليل التكلفة والسعر'!$C$2:$C$700,MATCH($C7260,'تحليل التكلفة والسعر'!$B$2:$B$700,0)),0))</f>
        <v/>
      </c>
    </row>
    <row r="7261" customFormat="false" ht="15" hidden="false" customHeight="false" outlineLevel="0" collapsed="false">
      <c r="A7261" s="103"/>
      <c r="B7261" s="104"/>
      <c r="C7261" s="104"/>
      <c r="E7261" s="107" t="str">
        <f aca="false">IF($C7261="","",IFERROR(INDEX(المنيو!$C$2:$C$500,MATCH($C7261,المنيو!$B$2:$B$500,0)),0))</f>
        <v/>
      </c>
      <c r="F7261" s="107" t="str">
        <f aca="false">IF($C7261="","",$D7261*$E7261)</f>
        <v/>
      </c>
      <c r="G7261" s="107" t="str">
        <f aca="false">IF($C7261="","",$D7261*IFERROR(INDEX('تحليل التكلفة والسعر'!$C$2:$C$700,MATCH($C7261,'تحليل التكلفة والسعر'!$B$2:$B$700,0)),0))</f>
        <v/>
      </c>
    </row>
    <row r="7262" customFormat="false" ht="15" hidden="false" customHeight="false" outlineLevel="0" collapsed="false">
      <c r="A7262" s="103"/>
      <c r="B7262" s="104"/>
      <c r="C7262" s="104"/>
      <c r="E7262" s="107" t="str">
        <f aca="false">IF($C7262="","",IFERROR(INDEX(المنيو!$C$2:$C$500,MATCH($C7262,المنيو!$B$2:$B$500,0)),0))</f>
        <v/>
      </c>
      <c r="F7262" s="107" t="str">
        <f aca="false">IF($C7262="","",$D7262*$E7262)</f>
        <v/>
      </c>
      <c r="G7262" s="107" t="str">
        <f aca="false">IF($C7262="","",$D7262*IFERROR(INDEX('تحليل التكلفة والسعر'!$C$2:$C$700,MATCH($C7262,'تحليل التكلفة والسعر'!$B$2:$B$700,0)),0))</f>
        <v/>
      </c>
    </row>
    <row r="7263" customFormat="false" ht="15" hidden="false" customHeight="false" outlineLevel="0" collapsed="false">
      <c r="A7263" s="103"/>
      <c r="B7263" s="104"/>
      <c r="C7263" s="104"/>
      <c r="E7263" s="107" t="str">
        <f aca="false">IF($C7263="","",IFERROR(INDEX(المنيو!$C$2:$C$500,MATCH($C7263,المنيو!$B$2:$B$500,0)),0))</f>
        <v/>
      </c>
      <c r="F7263" s="107" t="str">
        <f aca="false">IF($C7263="","",$D7263*$E7263)</f>
        <v/>
      </c>
      <c r="G7263" s="107" t="str">
        <f aca="false">IF($C7263="","",$D7263*IFERROR(INDEX('تحليل التكلفة والسعر'!$C$2:$C$700,MATCH($C7263,'تحليل التكلفة والسعر'!$B$2:$B$700,0)),0))</f>
        <v/>
      </c>
    </row>
    <row r="7264" customFormat="false" ht="15" hidden="false" customHeight="false" outlineLevel="0" collapsed="false">
      <c r="A7264" s="103"/>
      <c r="B7264" s="104"/>
      <c r="C7264" s="104"/>
      <c r="E7264" s="107" t="str">
        <f aca="false">IF($C7264="","",IFERROR(INDEX(المنيو!$C$2:$C$500,MATCH($C7264,المنيو!$B$2:$B$500,0)),0))</f>
        <v/>
      </c>
      <c r="F7264" s="107" t="str">
        <f aca="false">IF($C7264="","",$D7264*$E7264)</f>
        <v/>
      </c>
      <c r="G7264" s="107" t="str">
        <f aca="false">IF($C7264="","",$D7264*IFERROR(INDEX('تحليل التكلفة والسعر'!$C$2:$C$700,MATCH($C7264,'تحليل التكلفة والسعر'!$B$2:$B$700,0)),0))</f>
        <v/>
      </c>
    </row>
    <row r="7265" customFormat="false" ht="15" hidden="false" customHeight="false" outlineLevel="0" collapsed="false">
      <c r="A7265" s="103"/>
      <c r="B7265" s="104"/>
      <c r="C7265" s="104"/>
      <c r="E7265" s="107" t="str">
        <f aca="false">IF($C7265="","",IFERROR(INDEX(المنيو!$C$2:$C$500,MATCH($C7265,المنيو!$B$2:$B$500,0)),0))</f>
        <v/>
      </c>
      <c r="F7265" s="107" t="str">
        <f aca="false">IF($C7265="","",$D7265*$E7265)</f>
        <v/>
      </c>
      <c r="G7265" s="107" t="str">
        <f aca="false">IF($C7265="","",$D7265*IFERROR(INDEX('تحليل التكلفة والسعر'!$C$2:$C$700,MATCH($C7265,'تحليل التكلفة والسعر'!$B$2:$B$700,0)),0))</f>
        <v/>
      </c>
    </row>
    <row r="7266" customFormat="false" ht="15" hidden="false" customHeight="false" outlineLevel="0" collapsed="false">
      <c r="A7266" s="103"/>
      <c r="B7266" s="104"/>
      <c r="C7266" s="104"/>
      <c r="E7266" s="107" t="str">
        <f aca="false">IF($C7266="","",IFERROR(INDEX(المنيو!$C$2:$C$500,MATCH($C7266,المنيو!$B$2:$B$500,0)),0))</f>
        <v/>
      </c>
      <c r="F7266" s="107" t="str">
        <f aca="false">IF($C7266="","",$D7266*$E7266)</f>
        <v/>
      </c>
      <c r="G7266" s="107" t="str">
        <f aca="false">IF($C7266="","",$D7266*IFERROR(INDEX('تحليل التكلفة والسعر'!$C$2:$C$700,MATCH($C7266,'تحليل التكلفة والسعر'!$B$2:$B$700,0)),0))</f>
        <v/>
      </c>
    </row>
    <row r="7267" customFormat="false" ht="15" hidden="false" customHeight="false" outlineLevel="0" collapsed="false">
      <c r="A7267" s="103"/>
      <c r="B7267" s="104"/>
      <c r="C7267" s="104"/>
      <c r="E7267" s="107" t="str">
        <f aca="false">IF($C7267="","",IFERROR(INDEX(المنيو!$C$2:$C$500,MATCH($C7267,المنيو!$B$2:$B$500,0)),0))</f>
        <v/>
      </c>
      <c r="F7267" s="107" t="str">
        <f aca="false">IF($C7267="","",$D7267*$E7267)</f>
        <v/>
      </c>
      <c r="G7267" s="107" t="str">
        <f aca="false">IF($C7267="","",$D7267*IFERROR(INDEX('تحليل التكلفة والسعر'!$C$2:$C$700,MATCH($C7267,'تحليل التكلفة والسعر'!$B$2:$B$700,0)),0))</f>
        <v/>
      </c>
    </row>
    <row r="7268" customFormat="false" ht="15" hidden="false" customHeight="false" outlineLevel="0" collapsed="false">
      <c r="A7268" s="103"/>
      <c r="B7268" s="104"/>
      <c r="C7268" s="104"/>
      <c r="E7268" s="107" t="str">
        <f aca="false">IF($C7268="","",IFERROR(INDEX(المنيو!$C$2:$C$500,MATCH($C7268,المنيو!$B$2:$B$500,0)),0))</f>
        <v/>
      </c>
      <c r="F7268" s="107" t="str">
        <f aca="false">IF($C7268="","",$D7268*$E7268)</f>
        <v/>
      </c>
      <c r="G7268" s="107" t="str">
        <f aca="false">IF($C7268="","",$D7268*IFERROR(INDEX('تحليل التكلفة والسعر'!$C$2:$C$700,MATCH($C7268,'تحليل التكلفة والسعر'!$B$2:$B$700,0)),0))</f>
        <v/>
      </c>
    </row>
    <row r="7269" customFormat="false" ht="15" hidden="false" customHeight="false" outlineLevel="0" collapsed="false">
      <c r="A7269" s="103"/>
      <c r="B7269" s="104"/>
      <c r="C7269" s="104"/>
      <c r="E7269" s="107" t="str">
        <f aca="false">IF($C7269="","",IFERROR(INDEX(المنيو!$C$2:$C$500,MATCH($C7269,المنيو!$B$2:$B$500,0)),0))</f>
        <v/>
      </c>
      <c r="F7269" s="107" t="str">
        <f aca="false">IF($C7269="","",$D7269*$E7269)</f>
        <v/>
      </c>
      <c r="G7269" s="107" t="str">
        <f aca="false">IF($C7269="","",$D7269*IFERROR(INDEX('تحليل التكلفة والسعر'!$C$2:$C$700,MATCH($C7269,'تحليل التكلفة والسعر'!$B$2:$B$700,0)),0))</f>
        <v/>
      </c>
    </row>
    <row r="7270" customFormat="false" ht="15" hidden="false" customHeight="false" outlineLevel="0" collapsed="false">
      <c r="A7270" s="103"/>
      <c r="B7270" s="104"/>
      <c r="C7270" s="104"/>
      <c r="E7270" s="107" t="str">
        <f aca="false">IF($C7270="","",IFERROR(INDEX(المنيو!$C$2:$C$500,MATCH($C7270,المنيو!$B$2:$B$500,0)),0))</f>
        <v/>
      </c>
      <c r="F7270" s="107" t="str">
        <f aca="false">IF($C7270="","",$D7270*$E7270)</f>
        <v/>
      </c>
      <c r="G7270" s="107" t="str">
        <f aca="false">IF($C7270="","",$D7270*IFERROR(INDEX('تحليل التكلفة والسعر'!$C$2:$C$700,MATCH($C7270,'تحليل التكلفة والسعر'!$B$2:$B$700,0)),0))</f>
        <v/>
      </c>
    </row>
    <row r="7271" customFormat="false" ht="15" hidden="false" customHeight="false" outlineLevel="0" collapsed="false">
      <c r="A7271" s="103"/>
      <c r="B7271" s="104"/>
      <c r="C7271" s="104"/>
      <c r="E7271" s="107" t="str">
        <f aca="false">IF($C7271="","",IFERROR(INDEX(المنيو!$C$2:$C$500,MATCH($C7271,المنيو!$B$2:$B$500,0)),0))</f>
        <v/>
      </c>
      <c r="F7271" s="107" t="str">
        <f aca="false">IF($C7271="","",$D7271*$E7271)</f>
        <v/>
      </c>
      <c r="G7271" s="107" t="str">
        <f aca="false">IF($C7271="","",$D7271*IFERROR(INDEX('تحليل التكلفة والسعر'!$C$2:$C$700,MATCH($C7271,'تحليل التكلفة والسعر'!$B$2:$B$700,0)),0))</f>
        <v/>
      </c>
    </row>
    <row r="7272" customFormat="false" ht="15" hidden="false" customHeight="false" outlineLevel="0" collapsed="false">
      <c r="A7272" s="103"/>
      <c r="B7272" s="104"/>
      <c r="C7272" s="104"/>
      <c r="E7272" s="107" t="str">
        <f aca="false">IF($C7272="","",IFERROR(INDEX(المنيو!$C$2:$C$500,MATCH($C7272,المنيو!$B$2:$B$500,0)),0))</f>
        <v/>
      </c>
      <c r="F7272" s="107" t="str">
        <f aca="false">IF($C7272="","",$D7272*$E7272)</f>
        <v/>
      </c>
      <c r="G7272" s="107" t="str">
        <f aca="false">IF($C7272="","",$D7272*IFERROR(INDEX('تحليل التكلفة والسعر'!$C$2:$C$700,MATCH($C7272,'تحليل التكلفة والسعر'!$B$2:$B$700,0)),0))</f>
        <v/>
      </c>
    </row>
    <row r="7273" customFormat="false" ht="15" hidden="false" customHeight="false" outlineLevel="0" collapsed="false">
      <c r="A7273" s="103"/>
      <c r="B7273" s="104"/>
      <c r="C7273" s="104"/>
      <c r="E7273" s="107" t="str">
        <f aca="false">IF($C7273="","",IFERROR(INDEX(المنيو!$C$2:$C$500,MATCH($C7273,المنيو!$B$2:$B$500,0)),0))</f>
        <v/>
      </c>
      <c r="F7273" s="107" t="str">
        <f aca="false">IF($C7273="","",$D7273*$E7273)</f>
        <v/>
      </c>
      <c r="G7273" s="107" t="str">
        <f aca="false">IF($C7273="","",$D7273*IFERROR(INDEX('تحليل التكلفة والسعر'!$C$2:$C$700,MATCH($C7273,'تحليل التكلفة والسعر'!$B$2:$B$700,0)),0))</f>
        <v/>
      </c>
    </row>
    <row r="7274" customFormat="false" ht="15" hidden="false" customHeight="false" outlineLevel="0" collapsed="false">
      <c r="A7274" s="103"/>
      <c r="B7274" s="104"/>
      <c r="C7274" s="104"/>
      <c r="E7274" s="107" t="str">
        <f aca="false">IF($C7274="","",IFERROR(INDEX(المنيو!$C$2:$C$500,MATCH($C7274,المنيو!$B$2:$B$500,0)),0))</f>
        <v/>
      </c>
      <c r="F7274" s="107" t="str">
        <f aca="false">IF($C7274="","",$D7274*$E7274)</f>
        <v/>
      </c>
      <c r="G7274" s="107" t="str">
        <f aca="false">IF($C7274="","",$D7274*IFERROR(INDEX('تحليل التكلفة والسعر'!$C$2:$C$700,MATCH($C7274,'تحليل التكلفة والسعر'!$B$2:$B$700,0)),0))</f>
        <v/>
      </c>
    </row>
    <row r="7275" customFormat="false" ht="15" hidden="false" customHeight="false" outlineLevel="0" collapsed="false">
      <c r="A7275" s="103"/>
      <c r="B7275" s="104"/>
      <c r="C7275" s="104"/>
      <c r="E7275" s="107" t="str">
        <f aca="false">IF($C7275="","",IFERROR(INDEX(المنيو!$C$2:$C$500,MATCH($C7275,المنيو!$B$2:$B$500,0)),0))</f>
        <v/>
      </c>
      <c r="F7275" s="107" t="str">
        <f aca="false">IF($C7275="","",$D7275*$E7275)</f>
        <v/>
      </c>
      <c r="G7275" s="107" t="str">
        <f aca="false">IF($C7275="","",$D7275*IFERROR(INDEX('تحليل التكلفة والسعر'!$C$2:$C$700,MATCH($C7275,'تحليل التكلفة والسعر'!$B$2:$B$700,0)),0))</f>
        <v/>
      </c>
    </row>
    <row r="7276" customFormat="false" ht="15" hidden="false" customHeight="false" outlineLevel="0" collapsed="false">
      <c r="A7276" s="103"/>
      <c r="B7276" s="104"/>
      <c r="C7276" s="104"/>
      <c r="E7276" s="107" t="str">
        <f aca="false">IF($C7276="","",IFERROR(INDEX(المنيو!$C$2:$C$500,MATCH($C7276,المنيو!$B$2:$B$500,0)),0))</f>
        <v/>
      </c>
      <c r="F7276" s="107" t="str">
        <f aca="false">IF($C7276="","",$D7276*$E7276)</f>
        <v/>
      </c>
      <c r="G7276" s="107" t="str">
        <f aca="false">IF($C7276="","",$D7276*IFERROR(INDEX('تحليل التكلفة والسعر'!$C$2:$C$700,MATCH($C7276,'تحليل التكلفة والسعر'!$B$2:$B$700,0)),0))</f>
        <v/>
      </c>
    </row>
    <row r="7277" customFormat="false" ht="15" hidden="false" customHeight="false" outlineLevel="0" collapsed="false">
      <c r="A7277" s="103"/>
      <c r="B7277" s="104"/>
      <c r="C7277" s="104"/>
      <c r="E7277" s="107" t="str">
        <f aca="false">IF($C7277="","",IFERROR(INDEX(المنيو!$C$2:$C$500,MATCH($C7277,المنيو!$B$2:$B$500,0)),0))</f>
        <v/>
      </c>
      <c r="F7277" s="107" t="str">
        <f aca="false">IF($C7277="","",$D7277*$E7277)</f>
        <v/>
      </c>
      <c r="G7277" s="107" t="str">
        <f aca="false">IF($C7277="","",$D7277*IFERROR(INDEX('تحليل التكلفة والسعر'!$C$2:$C$700,MATCH($C7277,'تحليل التكلفة والسعر'!$B$2:$B$700,0)),0))</f>
        <v/>
      </c>
    </row>
    <row r="7278" customFormat="false" ht="15" hidden="false" customHeight="false" outlineLevel="0" collapsed="false">
      <c r="A7278" s="103"/>
      <c r="B7278" s="104"/>
      <c r="C7278" s="104"/>
      <c r="E7278" s="107" t="str">
        <f aca="false">IF($C7278="","",IFERROR(INDEX(المنيو!$C$2:$C$500,MATCH($C7278,المنيو!$B$2:$B$500,0)),0))</f>
        <v/>
      </c>
      <c r="F7278" s="107" t="str">
        <f aca="false">IF($C7278="","",$D7278*$E7278)</f>
        <v/>
      </c>
      <c r="G7278" s="107" t="str">
        <f aca="false">IF($C7278="","",$D7278*IFERROR(INDEX('تحليل التكلفة والسعر'!$C$2:$C$700,MATCH($C7278,'تحليل التكلفة والسعر'!$B$2:$B$700,0)),0))</f>
        <v/>
      </c>
    </row>
    <row r="7279" customFormat="false" ht="15" hidden="false" customHeight="false" outlineLevel="0" collapsed="false">
      <c r="A7279" s="103"/>
      <c r="B7279" s="104"/>
      <c r="C7279" s="104"/>
      <c r="E7279" s="107" t="str">
        <f aca="false">IF($C7279="","",IFERROR(INDEX(المنيو!$C$2:$C$500,MATCH($C7279,المنيو!$B$2:$B$500,0)),0))</f>
        <v/>
      </c>
      <c r="F7279" s="107" t="str">
        <f aca="false">IF($C7279="","",$D7279*$E7279)</f>
        <v/>
      </c>
      <c r="G7279" s="107" t="str">
        <f aca="false">IF($C7279="","",$D7279*IFERROR(INDEX('تحليل التكلفة والسعر'!$C$2:$C$700,MATCH($C7279,'تحليل التكلفة والسعر'!$B$2:$B$700,0)),0))</f>
        <v/>
      </c>
    </row>
    <row r="7280" customFormat="false" ht="15" hidden="false" customHeight="false" outlineLevel="0" collapsed="false">
      <c r="A7280" s="103"/>
      <c r="B7280" s="104"/>
      <c r="C7280" s="104"/>
      <c r="E7280" s="107" t="str">
        <f aca="false">IF($C7280="","",IFERROR(INDEX(المنيو!$C$2:$C$500,MATCH($C7280,المنيو!$B$2:$B$500,0)),0))</f>
        <v/>
      </c>
      <c r="F7280" s="107" t="str">
        <f aca="false">IF($C7280="","",$D7280*$E7280)</f>
        <v/>
      </c>
      <c r="G7280" s="107" t="str">
        <f aca="false">IF($C7280="","",$D7280*IFERROR(INDEX('تحليل التكلفة والسعر'!$C$2:$C$700,MATCH($C7280,'تحليل التكلفة والسعر'!$B$2:$B$700,0)),0))</f>
        <v/>
      </c>
    </row>
    <row r="7281" customFormat="false" ht="15" hidden="false" customHeight="false" outlineLevel="0" collapsed="false">
      <c r="A7281" s="103"/>
      <c r="B7281" s="104"/>
      <c r="C7281" s="104"/>
      <c r="E7281" s="107" t="str">
        <f aca="false">IF($C7281="","",IFERROR(INDEX(المنيو!$C$2:$C$500,MATCH($C7281,المنيو!$B$2:$B$500,0)),0))</f>
        <v/>
      </c>
      <c r="F7281" s="107" t="str">
        <f aca="false">IF($C7281="","",$D7281*$E7281)</f>
        <v/>
      </c>
      <c r="G7281" s="107" t="str">
        <f aca="false">IF($C7281="","",$D7281*IFERROR(INDEX('تحليل التكلفة والسعر'!$C$2:$C$700,MATCH($C7281,'تحليل التكلفة والسعر'!$B$2:$B$700,0)),0))</f>
        <v/>
      </c>
    </row>
    <row r="7282" customFormat="false" ht="15" hidden="false" customHeight="false" outlineLevel="0" collapsed="false">
      <c r="A7282" s="103"/>
      <c r="B7282" s="104"/>
      <c r="C7282" s="104"/>
      <c r="E7282" s="107" t="str">
        <f aca="false">IF($C7282="","",IFERROR(INDEX(المنيو!$C$2:$C$500,MATCH($C7282,المنيو!$B$2:$B$500,0)),0))</f>
        <v/>
      </c>
      <c r="F7282" s="107" t="str">
        <f aca="false">IF($C7282="","",$D7282*$E7282)</f>
        <v/>
      </c>
      <c r="G7282" s="107" t="str">
        <f aca="false">IF($C7282="","",$D7282*IFERROR(INDEX('تحليل التكلفة والسعر'!$C$2:$C$700,MATCH($C7282,'تحليل التكلفة والسعر'!$B$2:$B$700,0)),0))</f>
        <v/>
      </c>
    </row>
    <row r="7283" customFormat="false" ht="15" hidden="false" customHeight="false" outlineLevel="0" collapsed="false">
      <c r="A7283" s="103"/>
      <c r="B7283" s="104"/>
      <c r="C7283" s="104"/>
      <c r="E7283" s="107" t="str">
        <f aca="false">IF($C7283="","",IFERROR(INDEX(المنيو!$C$2:$C$500,MATCH($C7283,المنيو!$B$2:$B$500,0)),0))</f>
        <v/>
      </c>
      <c r="F7283" s="107" t="str">
        <f aca="false">IF($C7283="","",$D7283*$E7283)</f>
        <v/>
      </c>
      <c r="G7283" s="107" t="str">
        <f aca="false">IF($C7283="","",$D7283*IFERROR(INDEX('تحليل التكلفة والسعر'!$C$2:$C$700,MATCH($C7283,'تحليل التكلفة والسعر'!$B$2:$B$700,0)),0))</f>
        <v/>
      </c>
    </row>
    <row r="7284" customFormat="false" ht="15" hidden="false" customHeight="false" outlineLevel="0" collapsed="false">
      <c r="A7284" s="103"/>
      <c r="B7284" s="104"/>
      <c r="C7284" s="104"/>
      <c r="E7284" s="107" t="str">
        <f aca="false">IF($C7284="","",IFERROR(INDEX(المنيو!$C$2:$C$500,MATCH($C7284,المنيو!$B$2:$B$500,0)),0))</f>
        <v/>
      </c>
      <c r="F7284" s="107" t="str">
        <f aca="false">IF($C7284="","",$D7284*$E7284)</f>
        <v/>
      </c>
      <c r="G7284" s="107" t="str">
        <f aca="false">IF($C7284="","",$D7284*IFERROR(INDEX('تحليل التكلفة والسعر'!$C$2:$C$700,MATCH($C7284,'تحليل التكلفة والسعر'!$B$2:$B$700,0)),0))</f>
        <v/>
      </c>
    </row>
    <row r="7285" customFormat="false" ht="15" hidden="false" customHeight="false" outlineLevel="0" collapsed="false">
      <c r="A7285" s="103"/>
      <c r="B7285" s="104"/>
      <c r="C7285" s="104"/>
      <c r="E7285" s="107" t="str">
        <f aca="false">IF($C7285="","",IFERROR(INDEX(المنيو!$C$2:$C$500,MATCH($C7285,المنيو!$B$2:$B$500,0)),0))</f>
        <v/>
      </c>
      <c r="F7285" s="107" t="str">
        <f aca="false">IF($C7285="","",$D7285*$E7285)</f>
        <v/>
      </c>
      <c r="G7285" s="107" t="str">
        <f aca="false">IF($C7285="","",$D7285*IFERROR(INDEX('تحليل التكلفة والسعر'!$C$2:$C$700,MATCH($C7285,'تحليل التكلفة والسعر'!$B$2:$B$700,0)),0))</f>
        <v/>
      </c>
    </row>
    <row r="7286" customFormat="false" ht="15" hidden="false" customHeight="false" outlineLevel="0" collapsed="false">
      <c r="A7286" s="103"/>
      <c r="B7286" s="104"/>
      <c r="C7286" s="104"/>
      <c r="E7286" s="107" t="str">
        <f aca="false">IF($C7286="","",IFERROR(INDEX(المنيو!$C$2:$C$500,MATCH($C7286,المنيو!$B$2:$B$500,0)),0))</f>
        <v/>
      </c>
      <c r="F7286" s="107" t="str">
        <f aca="false">IF($C7286="","",$D7286*$E7286)</f>
        <v/>
      </c>
      <c r="G7286" s="107" t="str">
        <f aca="false">IF($C7286="","",$D7286*IFERROR(INDEX('تحليل التكلفة والسعر'!$C$2:$C$700,MATCH($C7286,'تحليل التكلفة والسعر'!$B$2:$B$700,0)),0))</f>
        <v/>
      </c>
    </row>
    <row r="7287" customFormat="false" ht="15" hidden="false" customHeight="false" outlineLevel="0" collapsed="false">
      <c r="A7287" s="103"/>
      <c r="B7287" s="104"/>
      <c r="C7287" s="104"/>
      <c r="E7287" s="107" t="str">
        <f aca="false">IF($C7287="","",IFERROR(INDEX(المنيو!$C$2:$C$500,MATCH($C7287,المنيو!$B$2:$B$500,0)),0))</f>
        <v/>
      </c>
      <c r="F7287" s="107" t="str">
        <f aca="false">IF($C7287="","",$D7287*$E7287)</f>
        <v/>
      </c>
      <c r="G7287" s="107" t="str">
        <f aca="false">IF($C7287="","",$D7287*IFERROR(INDEX('تحليل التكلفة والسعر'!$C$2:$C$700,MATCH($C7287,'تحليل التكلفة والسعر'!$B$2:$B$700,0)),0))</f>
        <v/>
      </c>
    </row>
    <row r="7288" customFormat="false" ht="15" hidden="false" customHeight="false" outlineLevel="0" collapsed="false">
      <c r="A7288" s="103"/>
      <c r="B7288" s="104"/>
      <c r="C7288" s="104"/>
      <c r="E7288" s="107" t="str">
        <f aca="false">IF($C7288="","",IFERROR(INDEX(المنيو!$C$2:$C$500,MATCH($C7288,المنيو!$B$2:$B$500,0)),0))</f>
        <v/>
      </c>
      <c r="F7288" s="107" t="str">
        <f aca="false">IF($C7288="","",$D7288*$E7288)</f>
        <v/>
      </c>
      <c r="G7288" s="107" t="str">
        <f aca="false">IF($C7288="","",$D7288*IFERROR(INDEX('تحليل التكلفة والسعر'!$C$2:$C$700,MATCH($C7288,'تحليل التكلفة والسعر'!$B$2:$B$700,0)),0))</f>
        <v/>
      </c>
    </row>
    <row r="7289" customFormat="false" ht="15" hidden="false" customHeight="false" outlineLevel="0" collapsed="false">
      <c r="A7289" s="103"/>
      <c r="B7289" s="104"/>
      <c r="C7289" s="104"/>
      <c r="E7289" s="107" t="str">
        <f aca="false">IF($C7289="","",IFERROR(INDEX(المنيو!$C$2:$C$500,MATCH($C7289,المنيو!$B$2:$B$500,0)),0))</f>
        <v/>
      </c>
      <c r="F7289" s="107" t="str">
        <f aca="false">IF($C7289="","",$D7289*$E7289)</f>
        <v/>
      </c>
      <c r="G7289" s="107" t="str">
        <f aca="false">IF($C7289="","",$D7289*IFERROR(INDEX('تحليل التكلفة والسعر'!$C$2:$C$700,MATCH($C7289,'تحليل التكلفة والسعر'!$B$2:$B$700,0)),0))</f>
        <v/>
      </c>
    </row>
    <row r="7290" customFormat="false" ht="15" hidden="false" customHeight="false" outlineLevel="0" collapsed="false">
      <c r="A7290" s="103"/>
      <c r="B7290" s="104"/>
      <c r="C7290" s="104"/>
      <c r="E7290" s="107" t="str">
        <f aca="false">IF($C7290="","",IFERROR(INDEX(المنيو!$C$2:$C$500,MATCH($C7290,المنيو!$B$2:$B$500,0)),0))</f>
        <v/>
      </c>
      <c r="F7290" s="107" t="str">
        <f aca="false">IF($C7290="","",$D7290*$E7290)</f>
        <v/>
      </c>
      <c r="G7290" s="107" t="str">
        <f aca="false">IF($C7290="","",$D7290*IFERROR(INDEX('تحليل التكلفة والسعر'!$C$2:$C$700,MATCH($C7290,'تحليل التكلفة والسعر'!$B$2:$B$700,0)),0))</f>
        <v/>
      </c>
    </row>
    <row r="7291" customFormat="false" ht="15" hidden="false" customHeight="false" outlineLevel="0" collapsed="false">
      <c r="A7291" s="103"/>
      <c r="B7291" s="104"/>
      <c r="C7291" s="104"/>
      <c r="E7291" s="107" t="str">
        <f aca="false">IF($C7291="","",IFERROR(INDEX(المنيو!$C$2:$C$500,MATCH($C7291,المنيو!$B$2:$B$500,0)),0))</f>
        <v/>
      </c>
      <c r="F7291" s="107" t="str">
        <f aca="false">IF($C7291="","",$D7291*$E7291)</f>
        <v/>
      </c>
      <c r="G7291" s="107" t="str">
        <f aca="false">IF($C7291="","",$D7291*IFERROR(INDEX('تحليل التكلفة والسعر'!$C$2:$C$700,MATCH($C7291,'تحليل التكلفة والسعر'!$B$2:$B$700,0)),0))</f>
        <v/>
      </c>
    </row>
    <row r="7292" customFormat="false" ht="15" hidden="false" customHeight="false" outlineLevel="0" collapsed="false">
      <c r="A7292" s="103"/>
      <c r="B7292" s="104"/>
      <c r="C7292" s="104"/>
      <c r="E7292" s="107" t="str">
        <f aca="false">IF($C7292="","",IFERROR(INDEX(المنيو!$C$2:$C$500,MATCH($C7292,المنيو!$B$2:$B$500,0)),0))</f>
        <v/>
      </c>
      <c r="F7292" s="107" t="str">
        <f aca="false">IF($C7292="","",$D7292*$E7292)</f>
        <v/>
      </c>
      <c r="G7292" s="107" t="str">
        <f aca="false">IF($C7292="","",$D7292*IFERROR(INDEX('تحليل التكلفة والسعر'!$C$2:$C$700,MATCH($C7292,'تحليل التكلفة والسعر'!$B$2:$B$700,0)),0))</f>
        <v/>
      </c>
    </row>
    <row r="7293" customFormat="false" ht="15" hidden="false" customHeight="false" outlineLevel="0" collapsed="false">
      <c r="A7293" s="103"/>
      <c r="B7293" s="104"/>
      <c r="C7293" s="104"/>
      <c r="E7293" s="107" t="str">
        <f aca="false">IF($C7293="","",IFERROR(INDEX(المنيو!$C$2:$C$500,MATCH($C7293,المنيو!$B$2:$B$500,0)),0))</f>
        <v/>
      </c>
      <c r="F7293" s="107" t="str">
        <f aca="false">IF($C7293="","",$D7293*$E7293)</f>
        <v/>
      </c>
      <c r="G7293" s="107" t="str">
        <f aca="false">IF($C7293="","",$D7293*IFERROR(INDEX('تحليل التكلفة والسعر'!$C$2:$C$700,MATCH($C7293,'تحليل التكلفة والسعر'!$B$2:$B$700,0)),0))</f>
        <v/>
      </c>
    </row>
    <row r="7294" customFormat="false" ht="15" hidden="false" customHeight="false" outlineLevel="0" collapsed="false">
      <c r="A7294" s="103"/>
      <c r="B7294" s="104"/>
      <c r="C7294" s="104"/>
      <c r="E7294" s="107" t="str">
        <f aca="false">IF($C7294="","",IFERROR(INDEX(المنيو!$C$2:$C$500,MATCH($C7294,المنيو!$B$2:$B$500,0)),0))</f>
        <v/>
      </c>
      <c r="F7294" s="107" t="str">
        <f aca="false">IF($C7294="","",$D7294*$E7294)</f>
        <v/>
      </c>
      <c r="G7294" s="107" t="str">
        <f aca="false">IF($C7294="","",$D7294*IFERROR(INDEX('تحليل التكلفة والسعر'!$C$2:$C$700,MATCH($C7294,'تحليل التكلفة والسعر'!$B$2:$B$700,0)),0))</f>
        <v/>
      </c>
    </row>
    <row r="7295" customFormat="false" ht="15" hidden="false" customHeight="false" outlineLevel="0" collapsed="false">
      <c r="A7295" s="103"/>
      <c r="B7295" s="104"/>
      <c r="C7295" s="104"/>
      <c r="E7295" s="107" t="str">
        <f aca="false">IF($C7295="","",IFERROR(INDEX(المنيو!$C$2:$C$500,MATCH($C7295,المنيو!$B$2:$B$500,0)),0))</f>
        <v/>
      </c>
      <c r="F7295" s="107" t="str">
        <f aca="false">IF($C7295="","",$D7295*$E7295)</f>
        <v/>
      </c>
      <c r="G7295" s="107" t="str">
        <f aca="false">IF($C7295="","",$D7295*IFERROR(INDEX('تحليل التكلفة والسعر'!$C$2:$C$700,MATCH($C7295,'تحليل التكلفة والسعر'!$B$2:$B$700,0)),0))</f>
        <v/>
      </c>
    </row>
    <row r="7296" customFormat="false" ht="15" hidden="false" customHeight="false" outlineLevel="0" collapsed="false">
      <c r="A7296" s="103"/>
      <c r="B7296" s="104"/>
      <c r="C7296" s="104"/>
      <c r="E7296" s="107" t="str">
        <f aca="false">IF($C7296="","",IFERROR(INDEX(المنيو!$C$2:$C$500,MATCH($C7296,المنيو!$B$2:$B$500,0)),0))</f>
        <v/>
      </c>
      <c r="F7296" s="107" t="str">
        <f aca="false">IF($C7296="","",$D7296*$E7296)</f>
        <v/>
      </c>
      <c r="G7296" s="107" t="str">
        <f aca="false">IF($C7296="","",$D7296*IFERROR(INDEX('تحليل التكلفة والسعر'!$C$2:$C$700,MATCH($C7296,'تحليل التكلفة والسعر'!$B$2:$B$700,0)),0))</f>
        <v/>
      </c>
    </row>
    <row r="7297" customFormat="false" ht="15" hidden="false" customHeight="false" outlineLevel="0" collapsed="false">
      <c r="A7297" s="103"/>
      <c r="B7297" s="104"/>
      <c r="C7297" s="104"/>
      <c r="E7297" s="107" t="str">
        <f aca="false">IF($C7297="","",IFERROR(INDEX(المنيو!$C$2:$C$500,MATCH($C7297,المنيو!$B$2:$B$500,0)),0))</f>
        <v/>
      </c>
      <c r="F7297" s="107" t="str">
        <f aca="false">IF($C7297="","",$D7297*$E7297)</f>
        <v/>
      </c>
      <c r="G7297" s="107" t="str">
        <f aca="false">IF($C7297="","",$D7297*IFERROR(INDEX('تحليل التكلفة والسعر'!$C$2:$C$700,MATCH($C7297,'تحليل التكلفة والسعر'!$B$2:$B$700,0)),0))</f>
        <v/>
      </c>
    </row>
    <row r="7298" customFormat="false" ht="15" hidden="false" customHeight="false" outlineLevel="0" collapsed="false">
      <c r="A7298" s="103"/>
      <c r="B7298" s="104"/>
      <c r="C7298" s="104"/>
      <c r="E7298" s="107" t="str">
        <f aca="false">IF($C7298="","",IFERROR(INDEX(المنيو!$C$2:$C$500,MATCH($C7298,المنيو!$B$2:$B$500,0)),0))</f>
        <v/>
      </c>
      <c r="F7298" s="107" t="str">
        <f aca="false">IF($C7298="","",$D7298*$E7298)</f>
        <v/>
      </c>
      <c r="G7298" s="107" t="str">
        <f aca="false">IF($C7298="","",$D7298*IFERROR(INDEX('تحليل التكلفة والسعر'!$C$2:$C$700,MATCH($C7298,'تحليل التكلفة والسعر'!$B$2:$B$700,0)),0))</f>
        <v/>
      </c>
    </row>
    <row r="7299" customFormat="false" ht="15" hidden="false" customHeight="false" outlineLevel="0" collapsed="false">
      <c r="A7299" s="103"/>
      <c r="B7299" s="104"/>
      <c r="C7299" s="104"/>
      <c r="E7299" s="107" t="str">
        <f aca="false">IF($C7299="","",IFERROR(INDEX(المنيو!$C$2:$C$500,MATCH($C7299,المنيو!$B$2:$B$500,0)),0))</f>
        <v/>
      </c>
      <c r="F7299" s="107" t="str">
        <f aca="false">IF($C7299="","",$D7299*$E7299)</f>
        <v/>
      </c>
      <c r="G7299" s="107" t="str">
        <f aca="false">IF($C7299="","",$D7299*IFERROR(INDEX('تحليل التكلفة والسعر'!$C$2:$C$700,MATCH($C7299,'تحليل التكلفة والسعر'!$B$2:$B$700,0)),0))</f>
        <v/>
      </c>
    </row>
    <row r="7300" customFormat="false" ht="15" hidden="false" customHeight="false" outlineLevel="0" collapsed="false">
      <c r="A7300" s="103"/>
      <c r="B7300" s="104"/>
      <c r="C7300" s="104"/>
      <c r="E7300" s="107" t="str">
        <f aca="false">IF($C7300="","",IFERROR(INDEX(المنيو!$C$2:$C$500,MATCH($C7300,المنيو!$B$2:$B$500,0)),0))</f>
        <v/>
      </c>
      <c r="F7300" s="107" t="str">
        <f aca="false">IF($C7300="","",$D7300*$E7300)</f>
        <v/>
      </c>
      <c r="G7300" s="107" t="str">
        <f aca="false">IF($C7300="","",$D7300*IFERROR(INDEX('تحليل التكلفة والسعر'!$C$2:$C$700,MATCH($C7300,'تحليل التكلفة والسعر'!$B$2:$B$700,0)),0))</f>
        <v/>
      </c>
    </row>
    <row r="7301" customFormat="false" ht="15" hidden="false" customHeight="false" outlineLevel="0" collapsed="false">
      <c r="A7301" s="103"/>
      <c r="B7301" s="104"/>
      <c r="C7301" s="104"/>
      <c r="E7301" s="107" t="str">
        <f aca="false">IF($C7301="","",IFERROR(INDEX(المنيو!$C$2:$C$500,MATCH($C7301,المنيو!$B$2:$B$500,0)),0))</f>
        <v/>
      </c>
      <c r="F7301" s="107" t="str">
        <f aca="false">IF($C7301="","",$D7301*$E7301)</f>
        <v/>
      </c>
      <c r="G7301" s="107" t="str">
        <f aca="false">IF($C7301="","",$D7301*IFERROR(INDEX('تحليل التكلفة والسعر'!$C$2:$C$700,MATCH($C7301,'تحليل التكلفة والسعر'!$B$2:$B$700,0)),0))</f>
        <v/>
      </c>
    </row>
    <row r="7302" customFormat="false" ht="15" hidden="false" customHeight="false" outlineLevel="0" collapsed="false">
      <c r="A7302" s="103"/>
      <c r="B7302" s="104"/>
      <c r="C7302" s="104"/>
      <c r="E7302" s="107" t="str">
        <f aca="false">IF($C7302="","",IFERROR(INDEX(المنيو!$C$2:$C$500,MATCH($C7302,المنيو!$B$2:$B$500,0)),0))</f>
        <v/>
      </c>
      <c r="F7302" s="107" t="str">
        <f aca="false">IF($C7302="","",$D7302*$E7302)</f>
        <v/>
      </c>
      <c r="G7302" s="107" t="str">
        <f aca="false">IF($C7302="","",$D7302*IFERROR(INDEX('تحليل التكلفة والسعر'!$C$2:$C$700,MATCH($C7302,'تحليل التكلفة والسعر'!$B$2:$B$700,0)),0))</f>
        <v/>
      </c>
    </row>
    <row r="7303" customFormat="false" ht="15" hidden="false" customHeight="false" outlineLevel="0" collapsed="false">
      <c r="A7303" s="103"/>
      <c r="B7303" s="104"/>
      <c r="C7303" s="104"/>
      <c r="E7303" s="107" t="str">
        <f aca="false">IF($C7303="","",IFERROR(INDEX(المنيو!$C$2:$C$500,MATCH($C7303,المنيو!$B$2:$B$500,0)),0))</f>
        <v/>
      </c>
      <c r="F7303" s="107" t="str">
        <f aca="false">IF($C7303="","",$D7303*$E7303)</f>
        <v/>
      </c>
      <c r="G7303" s="107" t="str">
        <f aca="false">IF($C7303="","",$D7303*IFERROR(INDEX('تحليل التكلفة والسعر'!$C$2:$C$700,MATCH($C7303,'تحليل التكلفة والسعر'!$B$2:$B$700,0)),0))</f>
        <v/>
      </c>
    </row>
    <row r="7304" customFormat="false" ht="15" hidden="false" customHeight="false" outlineLevel="0" collapsed="false">
      <c r="A7304" s="103"/>
      <c r="B7304" s="104"/>
      <c r="C7304" s="104"/>
      <c r="E7304" s="107" t="str">
        <f aca="false">IF($C7304="","",IFERROR(INDEX(المنيو!$C$2:$C$500,MATCH($C7304,المنيو!$B$2:$B$500,0)),0))</f>
        <v/>
      </c>
      <c r="F7304" s="107" t="str">
        <f aca="false">IF($C7304="","",$D7304*$E7304)</f>
        <v/>
      </c>
      <c r="G7304" s="107" t="str">
        <f aca="false">IF($C7304="","",$D7304*IFERROR(INDEX('تحليل التكلفة والسعر'!$C$2:$C$700,MATCH($C7304,'تحليل التكلفة والسعر'!$B$2:$B$700,0)),0))</f>
        <v/>
      </c>
    </row>
    <row r="7305" customFormat="false" ht="15" hidden="false" customHeight="false" outlineLevel="0" collapsed="false">
      <c r="A7305" s="103"/>
      <c r="B7305" s="104"/>
      <c r="C7305" s="104"/>
      <c r="E7305" s="107" t="str">
        <f aca="false">IF($C7305="","",IFERROR(INDEX(المنيو!$C$2:$C$500,MATCH($C7305,المنيو!$B$2:$B$500,0)),0))</f>
        <v/>
      </c>
      <c r="F7305" s="107" t="str">
        <f aca="false">IF($C7305="","",$D7305*$E7305)</f>
        <v/>
      </c>
      <c r="G7305" s="107" t="str">
        <f aca="false">IF($C7305="","",$D7305*IFERROR(INDEX('تحليل التكلفة والسعر'!$C$2:$C$700,MATCH($C7305,'تحليل التكلفة والسعر'!$B$2:$B$700,0)),0))</f>
        <v/>
      </c>
    </row>
    <row r="7306" customFormat="false" ht="15" hidden="false" customHeight="false" outlineLevel="0" collapsed="false">
      <c r="A7306" s="103"/>
      <c r="B7306" s="104"/>
      <c r="C7306" s="104"/>
      <c r="E7306" s="107" t="str">
        <f aca="false">IF($C7306="","",IFERROR(INDEX(المنيو!$C$2:$C$500,MATCH($C7306,المنيو!$B$2:$B$500,0)),0))</f>
        <v/>
      </c>
      <c r="F7306" s="107" t="str">
        <f aca="false">IF($C7306="","",$D7306*$E7306)</f>
        <v/>
      </c>
      <c r="G7306" s="107" t="str">
        <f aca="false">IF($C7306="","",$D7306*IFERROR(INDEX('تحليل التكلفة والسعر'!$C$2:$C$700,MATCH($C7306,'تحليل التكلفة والسعر'!$B$2:$B$700,0)),0))</f>
        <v/>
      </c>
    </row>
    <row r="7307" customFormat="false" ht="15" hidden="false" customHeight="false" outlineLevel="0" collapsed="false">
      <c r="A7307" s="103"/>
      <c r="B7307" s="104"/>
      <c r="C7307" s="104"/>
      <c r="E7307" s="107" t="str">
        <f aca="false">IF($C7307="","",IFERROR(INDEX(المنيو!$C$2:$C$500,MATCH($C7307,المنيو!$B$2:$B$500,0)),0))</f>
        <v/>
      </c>
      <c r="F7307" s="107" t="str">
        <f aca="false">IF($C7307="","",$D7307*$E7307)</f>
        <v/>
      </c>
      <c r="G7307" s="107" t="str">
        <f aca="false">IF($C7307="","",$D7307*IFERROR(INDEX('تحليل التكلفة والسعر'!$C$2:$C$700,MATCH($C7307,'تحليل التكلفة والسعر'!$B$2:$B$700,0)),0))</f>
        <v/>
      </c>
    </row>
    <row r="7308" customFormat="false" ht="15" hidden="false" customHeight="false" outlineLevel="0" collapsed="false">
      <c r="A7308" s="103"/>
      <c r="B7308" s="104"/>
      <c r="C7308" s="104"/>
      <c r="E7308" s="107" t="str">
        <f aca="false">IF($C7308="","",IFERROR(INDEX(المنيو!$C$2:$C$500,MATCH($C7308,المنيو!$B$2:$B$500,0)),0))</f>
        <v/>
      </c>
      <c r="F7308" s="107" t="str">
        <f aca="false">IF($C7308="","",$D7308*$E7308)</f>
        <v/>
      </c>
      <c r="G7308" s="107" t="str">
        <f aca="false">IF($C7308="","",$D7308*IFERROR(INDEX('تحليل التكلفة والسعر'!$C$2:$C$700,MATCH($C7308,'تحليل التكلفة والسعر'!$B$2:$B$700,0)),0))</f>
        <v/>
      </c>
    </row>
    <row r="7309" customFormat="false" ht="15" hidden="false" customHeight="false" outlineLevel="0" collapsed="false">
      <c r="A7309" s="103"/>
      <c r="B7309" s="104"/>
      <c r="C7309" s="104"/>
      <c r="E7309" s="107" t="str">
        <f aca="false">IF($C7309="","",IFERROR(INDEX(المنيو!$C$2:$C$500,MATCH($C7309,المنيو!$B$2:$B$500,0)),0))</f>
        <v/>
      </c>
      <c r="F7309" s="107" t="str">
        <f aca="false">IF($C7309="","",$D7309*$E7309)</f>
        <v/>
      </c>
      <c r="G7309" s="107" t="str">
        <f aca="false">IF($C7309="","",$D7309*IFERROR(INDEX('تحليل التكلفة والسعر'!$C$2:$C$700,MATCH($C7309,'تحليل التكلفة والسعر'!$B$2:$B$700,0)),0))</f>
        <v/>
      </c>
    </row>
    <row r="7310" customFormat="false" ht="15" hidden="false" customHeight="false" outlineLevel="0" collapsed="false">
      <c r="A7310" s="103"/>
      <c r="B7310" s="104"/>
      <c r="C7310" s="104"/>
      <c r="E7310" s="107" t="str">
        <f aca="false">IF($C7310="","",IFERROR(INDEX(المنيو!$C$2:$C$500,MATCH($C7310,المنيو!$B$2:$B$500,0)),0))</f>
        <v/>
      </c>
      <c r="F7310" s="107" t="str">
        <f aca="false">IF($C7310="","",$D7310*$E7310)</f>
        <v/>
      </c>
      <c r="G7310" s="107" t="str">
        <f aca="false">IF($C7310="","",$D7310*IFERROR(INDEX('تحليل التكلفة والسعر'!$C$2:$C$700,MATCH($C7310,'تحليل التكلفة والسعر'!$B$2:$B$700,0)),0))</f>
        <v/>
      </c>
    </row>
    <row r="7311" customFormat="false" ht="15" hidden="false" customHeight="false" outlineLevel="0" collapsed="false">
      <c r="A7311" s="103"/>
      <c r="B7311" s="104"/>
      <c r="C7311" s="104"/>
      <c r="E7311" s="107" t="str">
        <f aca="false">IF($C7311="","",IFERROR(INDEX(المنيو!$C$2:$C$500,MATCH($C7311,المنيو!$B$2:$B$500,0)),0))</f>
        <v/>
      </c>
      <c r="F7311" s="107" t="str">
        <f aca="false">IF($C7311="","",$D7311*$E7311)</f>
        <v/>
      </c>
      <c r="G7311" s="107" t="str">
        <f aca="false">IF($C7311="","",$D7311*IFERROR(INDEX('تحليل التكلفة والسعر'!$C$2:$C$700,MATCH($C7311,'تحليل التكلفة والسعر'!$B$2:$B$700,0)),0))</f>
        <v/>
      </c>
    </row>
    <row r="7312" customFormat="false" ht="15" hidden="false" customHeight="false" outlineLevel="0" collapsed="false">
      <c r="A7312" s="103"/>
      <c r="B7312" s="104"/>
      <c r="C7312" s="104"/>
      <c r="E7312" s="107" t="str">
        <f aca="false">IF($C7312="","",IFERROR(INDEX(المنيو!$C$2:$C$500,MATCH($C7312,المنيو!$B$2:$B$500,0)),0))</f>
        <v/>
      </c>
      <c r="F7312" s="107" t="str">
        <f aca="false">IF($C7312="","",$D7312*$E7312)</f>
        <v/>
      </c>
      <c r="G7312" s="107" t="str">
        <f aca="false">IF($C7312="","",$D7312*IFERROR(INDEX('تحليل التكلفة والسعر'!$C$2:$C$700,MATCH($C7312,'تحليل التكلفة والسعر'!$B$2:$B$700,0)),0))</f>
        <v/>
      </c>
    </row>
    <row r="7313" customFormat="false" ht="15" hidden="false" customHeight="false" outlineLevel="0" collapsed="false">
      <c r="A7313" s="103"/>
      <c r="B7313" s="104"/>
      <c r="C7313" s="104"/>
      <c r="E7313" s="107" t="str">
        <f aca="false">IF($C7313="","",IFERROR(INDEX(المنيو!$C$2:$C$500,MATCH($C7313,المنيو!$B$2:$B$500,0)),0))</f>
        <v/>
      </c>
      <c r="F7313" s="107" t="str">
        <f aca="false">IF($C7313="","",$D7313*$E7313)</f>
        <v/>
      </c>
      <c r="G7313" s="107" t="str">
        <f aca="false">IF($C7313="","",$D7313*IFERROR(INDEX('تحليل التكلفة والسعر'!$C$2:$C$700,MATCH($C7313,'تحليل التكلفة والسعر'!$B$2:$B$700,0)),0))</f>
        <v/>
      </c>
    </row>
    <row r="7314" customFormat="false" ht="15" hidden="false" customHeight="false" outlineLevel="0" collapsed="false">
      <c r="A7314" s="103"/>
      <c r="B7314" s="104"/>
      <c r="C7314" s="104"/>
      <c r="E7314" s="107" t="str">
        <f aca="false">IF($C7314="","",IFERROR(INDEX(المنيو!$C$2:$C$500,MATCH($C7314,المنيو!$B$2:$B$500,0)),0))</f>
        <v/>
      </c>
      <c r="F7314" s="107" t="str">
        <f aca="false">IF($C7314="","",$D7314*$E7314)</f>
        <v/>
      </c>
      <c r="G7314" s="107" t="str">
        <f aca="false">IF($C7314="","",$D7314*IFERROR(INDEX('تحليل التكلفة والسعر'!$C$2:$C$700,MATCH($C7314,'تحليل التكلفة والسعر'!$B$2:$B$700,0)),0))</f>
        <v/>
      </c>
    </row>
    <row r="7315" customFormat="false" ht="15" hidden="false" customHeight="false" outlineLevel="0" collapsed="false">
      <c r="A7315" s="103"/>
      <c r="B7315" s="104"/>
      <c r="C7315" s="104"/>
      <c r="E7315" s="107" t="str">
        <f aca="false">IF($C7315="","",IFERROR(INDEX(المنيو!$C$2:$C$500,MATCH($C7315,المنيو!$B$2:$B$500,0)),0))</f>
        <v/>
      </c>
      <c r="F7315" s="107" t="str">
        <f aca="false">IF($C7315="","",$D7315*$E7315)</f>
        <v/>
      </c>
      <c r="G7315" s="107" t="str">
        <f aca="false">IF($C7315="","",$D7315*IFERROR(INDEX('تحليل التكلفة والسعر'!$C$2:$C$700,MATCH($C7315,'تحليل التكلفة والسعر'!$B$2:$B$700,0)),0))</f>
        <v/>
      </c>
    </row>
    <row r="7316" customFormat="false" ht="15" hidden="false" customHeight="false" outlineLevel="0" collapsed="false">
      <c r="A7316" s="103"/>
      <c r="B7316" s="104"/>
      <c r="C7316" s="104"/>
      <c r="E7316" s="107" t="str">
        <f aca="false">IF($C7316="","",IFERROR(INDEX(المنيو!$C$2:$C$500,MATCH($C7316,المنيو!$B$2:$B$500,0)),0))</f>
        <v/>
      </c>
      <c r="F7316" s="107" t="str">
        <f aca="false">IF($C7316="","",$D7316*$E7316)</f>
        <v/>
      </c>
      <c r="G7316" s="107" t="str">
        <f aca="false">IF($C7316="","",$D7316*IFERROR(INDEX('تحليل التكلفة والسعر'!$C$2:$C$700,MATCH($C7316,'تحليل التكلفة والسعر'!$B$2:$B$700,0)),0))</f>
        <v/>
      </c>
    </row>
    <row r="7317" customFormat="false" ht="15" hidden="false" customHeight="false" outlineLevel="0" collapsed="false">
      <c r="A7317" s="103"/>
      <c r="B7317" s="104"/>
      <c r="C7317" s="104"/>
      <c r="E7317" s="107" t="str">
        <f aca="false">IF($C7317="","",IFERROR(INDEX(المنيو!$C$2:$C$500,MATCH($C7317,المنيو!$B$2:$B$500,0)),0))</f>
        <v/>
      </c>
      <c r="F7317" s="107" t="str">
        <f aca="false">IF($C7317="","",$D7317*$E7317)</f>
        <v/>
      </c>
      <c r="G7317" s="107" t="str">
        <f aca="false">IF($C7317="","",$D7317*IFERROR(INDEX('تحليل التكلفة والسعر'!$C$2:$C$700,MATCH($C7317,'تحليل التكلفة والسعر'!$B$2:$B$700,0)),0))</f>
        <v/>
      </c>
    </row>
    <row r="7318" customFormat="false" ht="15" hidden="false" customHeight="false" outlineLevel="0" collapsed="false">
      <c r="A7318" s="103"/>
      <c r="B7318" s="104"/>
      <c r="C7318" s="104"/>
      <c r="E7318" s="107" t="str">
        <f aca="false">IF($C7318="","",IFERROR(INDEX(المنيو!$C$2:$C$500,MATCH($C7318,المنيو!$B$2:$B$500,0)),0))</f>
        <v/>
      </c>
      <c r="F7318" s="107" t="str">
        <f aca="false">IF($C7318="","",$D7318*$E7318)</f>
        <v/>
      </c>
      <c r="G7318" s="107" t="str">
        <f aca="false">IF($C7318="","",$D7318*IFERROR(INDEX('تحليل التكلفة والسعر'!$C$2:$C$700,MATCH($C7318,'تحليل التكلفة والسعر'!$B$2:$B$700,0)),0))</f>
        <v/>
      </c>
    </row>
    <row r="7319" customFormat="false" ht="15" hidden="false" customHeight="false" outlineLevel="0" collapsed="false">
      <c r="A7319" s="103"/>
      <c r="B7319" s="104"/>
      <c r="C7319" s="104"/>
      <c r="E7319" s="107" t="str">
        <f aca="false">IF($C7319="","",IFERROR(INDEX(المنيو!$C$2:$C$500,MATCH($C7319,المنيو!$B$2:$B$500,0)),0))</f>
        <v/>
      </c>
      <c r="F7319" s="107" t="str">
        <f aca="false">IF($C7319="","",$D7319*$E7319)</f>
        <v/>
      </c>
      <c r="G7319" s="107" t="str">
        <f aca="false">IF($C7319="","",$D7319*IFERROR(INDEX('تحليل التكلفة والسعر'!$C$2:$C$700,MATCH($C7319,'تحليل التكلفة والسعر'!$B$2:$B$700,0)),0))</f>
        <v/>
      </c>
    </row>
    <row r="7320" customFormat="false" ht="15" hidden="false" customHeight="false" outlineLevel="0" collapsed="false">
      <c r="A7320" s="103"/>
      <c r="B7320" s="104"/>
      <c r="C7320" s="104"/>
      <c r="E7320" s="107" t="str">
        <f aca="false">IF($C7320="","",IFERROR(INDEX(المنيو!$C$2:$C$500,MATCH($C7320,المنيو!$B$2:$B$500,0)),0))</f>
        <v/>
      </c>
      <c r="F7320" s="107" t="str">
        <f aca="false">IF($C7320="","",$D7320*$E7320)</f>
        <v/>
      </c>
      <c r="G7320" s="107" t="str">
        <f aca="false">IF($C7320="","",$D7320*IFERROR(INDEX('تحليل التكلفة والسعر'!$C$2:$C$700,MATCH($C7320,'تحليل التكلفة والسعر'!$B$2:$B$700,0)),0))</f>
        <v/>
      </c>
    </row>
    <row r="7321" customFormat="false" ht="15" hidden="false" customHeight="false" outlineLevel="0" collapsed="false">
      <c r="A7321" s="103"/>
      <c r="B7321" s="104"/>
      <c r="C7321" s="104"/>
      <c r="E7321" s="107" t="str">
        <f aca="false">IF($C7321="","",IFERROR(INDEX(المنيو!$C$2:$C$500,MATCH($C7321,المنيو!$B$2:$B$500,0)),0))</f>
        <v/>
      </c>
      <c r="F7321" s="107" t="str">
        <f aca="false">IF($C7321="","",$D7321*$E7321)</f>
        <v/>
      </c>
      <c r="G7321" s="107" t="str">
        <f aca="false">IF($C7321="","",$D7321*IFERROR(INDEX('تحليل التكلفة والسعر'!$C$2:$C$700,MATCH($C7321,'تحليل التكلفة والسعر'!$B$2:$B$700,0)),0))</f>
        <v/>
      </c>
    </row>
    <row r="7322" customFormat="false" ht="15" hidden="false" customHeight="false" outlineLevel="0" collapsed="false">
      <c r="A7322" s="103"/>
      <c r="B7322" s="104"/>
      <c r="C7322" s="104"/>
      <c r="E7322" s="107" t="str">
        <f aca="false">IF($C7322="","",IFERROR(INDEX(المنيو!$C$2:$C$500,MATCH($C7322,المنيو!$B$2:$B$500,0)),0))</f>
        <v/>
      </c>
      <c r="F7322" s="107" t="str">
        <f aca="false">IF($C7322="","",$D7322*$E7322)</f>
        <v/>
      </c>
      <c r="G7322" s="107" t="str">
        <f aca="false">IF($C7322="","",$D7322*IFERROR(INDEX('تحليل التكلفة والسعر'!$C$2:$C$700,MATCH($C7322,'تحليل التكلفة والسعر'!$B$2:$B$700,0)),0))</f>
        <v/>
      </c>
    </row>
    <row r="7323" customFormat="false" ht="15" hidden="false" customHeight="false" outlineLevel="0" collapsed="false">
      <c r="A7323" s="103"/>
      <c r="B7323" s="104"/>
      <c r="C7323" s="104"/>
      <c r="E7323" s="107" t="str">
        <f aca="false">IF($C7323="","",IFERROR(INDEX(المنيو!$C$2:$C$500,MATCH($C7323,المنيو!$B$2:$B$500,0)),0))</f>
        <v/>
      </c>
      <c r="F7323" s="107" t="str">
        <f aca="false">IF($C7323="","",$D7323*$E7323)</f>
        <v/>
      </c>
      <c r="G7323" s="107" t="str">
        <f aca="false">IF($C7323="","",$D7323*IFERROR(INDEX('تحليل التكلفة والسعر'!$C$2:$C$700,MATCH($C7323,'تحليل التكلفة والسعر'!$B$2:$B$700,0)),0))</f>
        <v/>
      </c>
    </row>
    <row r="7324" customFormat="false" ht="15" hidden="false" customHeight="false" outlineLevel="0" collapsed="false">
      <c r="A7324" s="103"/>
      <c r="B7324" s="104"/>
      <c r="C7324" s="104"/>
      <c r="E7324" s="107" t="str">
        <f aca="false">IF($C7324="","",IFERROR(INDEX(المنيو!$C$2:$C$500,MATCH($C7324,المنيو!$B$2:$B$500,0)),0))</f>
        <v/>
      </c>
      <c r="F7324" s="107" t="str">
        <f aca="false">IF($C7324="","",$D7324*$E7324)</f>
        <v/>
      </c>
      <c r="G7324" s="107" t="str">
        <f aca="false">IF($C7324="","",$D7324*IFERROR(INDEX('تحليل التكلفة والسعر'!$C$2:$C$700,MATCH($C7324,'تحليل التكلفة والسعر'!$B$2:$B$700,0)),0))</f>
        <v/>
      </c>
    </row>
    <row r="7325" customFormat="false" ht="15" hidden="false" customHeight="false" outlineLevel="0" collapsed="false">
      <c r="A7325" s="103"/>
      <c r="B7325" s="104"/>
      <c r="C7325" s="104"/>
      <c r="E7325" s="107" t="str">
        <f aca="false">IF($C7325="","",IFERROR(INDEX(المنيو!$C$2:$C$500,MATCH($C7325,المنيو!$B$2:$B$500,0)),0))</f>
        <v/>
      </c>
      <c r="F7325" s="107" t="str">
        <f aca="false">IF($C7325="","",$D7325*$E7325)</f>
        <v/>
      </c>
      <c r="G7325" s="107" t="str">
        <f aca="false">IF($C7325="","",$D7325*IFERROR(INDEX('تحليل التكلفة والسعر'!$C$2:$C$700,MATCH($C7325,'تحليل التكلفة والسعر'!$B$2:$B$700,0)),0))</f>
        <v/>
      </c>
    </row>
    <row r="7326" customFormat="false" ht="15" hidden="false" customHeight="false" outlineLevel="0" collapsed="false">
      <c r="A7326" s="103"/>
      <c r="B7326" s="104"/>
      <c r="C7326" s="104"/>
      <c r="E7326" s="107" t="str">
        <f aca="false">IF($C7326="","",IFERROR(INDEX(المنيو!$C$2:$C$500,MATCH($C7326,المنيو!$B$2:$B$500,0)),0))</f>
        <v/>
      </c>
      <c r="F7326" s="107" t="str">
        <f aca="false">IF($C7326="","",$D7326*$E7326)</f>
        <v/>
      </c>
      <c r="G7326" s="107" t="str">
        <f aca="false">IF($C7326="","",$D7326*IFERROR(INDEX('تحليل التكلفة والسعر'!$C$2:$C$700,MATCH($C7326,'تحليل التكلفة والسعر'!$B$2:$B$700,0)),0))</f>
        <v/>
      </c>
    </row>
    <row r="7327" customFormat="false" ht="15" hidden="false" customHeight="false" outlineLevel="0" collapsed="false">
      <c r="A7327" s="103"/>
      <c r="B7327" s="104"/>
      <c r="C7327" s="104"/>
      <c r="E7327" s="107" t="str">
        <f aca="false">IF($C7327="","",IFERROR(INDEX(المنيو!$C$2:$C$500,MATCH($C7327,المنيو!$B$2:$B$500,0)),0))</f>
        <v/>
      </c>
      <c r="F7327" s="107" t="str">
        <f aca="false">IF($C7327="","",$D7327*$E7327)</f>
        <v/>
      </c>
      <c r="G7327" s="107" t="str">
        <f aca="false">IF($C7327="","",$D7327*IFERROR(INDEX('تحليل التكلفة والسعر'!$C$2:$C$700,MATCH($C7327,'تحليل التكلفة والسعر'!$B$2:$B$700,0)),0))</f>
        <v/>
      </c>
    </row>
    <row r="7328" customFormat="false" ht="15" hidden="false" customHeight="false" outlineLevel="0" collapsed="false">
      <c r="A7328" s="103"/>
      <c r="B7328" s="104"/>
      <c r="C7328" s="104"/>
      <c r="E7328" s="107" t="str">
        <f aca="false">IF($C7328="","",IFERROR(INDEX(المنيو!$C$2:$C$500,MATCH($C7328,المنيو!$B$2:$B$500,0)),0))</f>
        <v/>
      </c>
      <c r="F7328" s="107" t="str">
        <f aca="false">IF($C7328="","",$D7328*$E7328)</f>
        <v/>
      </c>
      <c r="G7328" s="107" t="str">
        <f aca="false">IF($C7328="","",$D7328*IFERROR(INDEX('تحليل التكلفة والسعر'!$C$2:$C$700,MATCH($C7328,'تحليل التكلفة والسعر'!$B$2:$B$700,0)),0))</f>
        <v/>
      </c>
    </row>
    <row r="7329" customFormat="false" ht="15" hidden="false" customHeight="false" outlineLevel="0" collapsed="false">
      <c r="A7329" s="103"/>
      <c r="B7329" s="104"/>
      <c r="C7329" s="104"/>
      <c r="E7329" s="107" t="str">
        <f aca="false">IF($C7329="","",IFERROR(INDEX(المنيو!$C$2:$C$500,MATCH($C7329,المنيو!$B$2:$B$500,0)),0))</f>
        <v/>
      </c>
      <c r="F7329" s="107" t="str">
        <f aca="false">IF($C7329="","",$D7329*$E7329)</f>
        <v/>
      </c>
      <c r="G7329" s="107" t="str">
        <f aca="false">IF($C7329="","",$D7329*IFERROR(INDEX('تحليل التكلفة والسعر'!$C$2:$C$700,MATCH($C7329,'تحليل التكلفة والسعر'!$B$2:$B$700,0)),0))</f>
        <v/>
      </c>
    </row>
    <row r="7330" customFormat="false" ht="15" hidden="false" customHeight="false" outlineLevel="0" collapsed="false">
      <c r="A7330" s="103"/>
      <c r="B7330" s="104"/>
      <c r="C7330" s="104"/>
      <c r="E7330" s="107" t="str">
        <f aca="false">IF($C7330="","",IFERROR(INDEX(المنيو!$C$2:$C$500,MATCH($C7330,المنيو!$B$2:$B$500,0)),0))</f>
        <v/>
      </c>
      <c r="F7330" s="107" t="str">
        <f aca="false">IF($C7330="","",$D7330*$E7330)</f>
        <v/>
      </c>
      <c r="G7330" s="107" t="str">
        <f aca="false">IF($C7330="","",$D7330*IFERROR(INDEX('تحليل التكلفة والسعر'!$C$2:$C$700,MATCH($C7330,'تحليل التكلفة والسعر'!$B$2:$B$700,0)),0))</f>
        <v/>
      </c>
    </row>
    <row r="7331" customFormat="false" ht="15" hidden="false" customHeight="false" outlineLevel="0" collapsed="false">
      <c r="A7331" s="103"/>
      <c r="B7331" s="104"/>
      <c r="C7331" s="104"/>
      <c r="E7331" s="107" t="str">
        <f aca="false">IF($C7331="","",IFERROR(INDEX(المنيو!$C$2:$C$500,MATCH($C7331,المنيو!$B$2:$B$500,0)),0))</f>
        <v/>
      </c>
      <c r="F7331" s="107" t="str">
        <f aca="false">IF($C7331="","",$D7331*$E7331)</f>
        <v/>
      </c>
      <c r="G7331" s="107" t="str">
        <f aca="false">IF($C7331="","",$D7331*IFERROR(INDEX('تحليل التكلفة والسعر'!$C$2:$C$700,MATCH($C7331,'تحليل التكلفة والسعر'!$B$2:$B$700,0)),0))</f>
        <v/>
      </c>
    </row>
    <row r="7332" customFormat="false" ht="15" hidden="false" customHeight="false" outlineLevel="0" collapsed="false">
      <c r="A7332" s="103"/>
      <c r="B7332" s="104"/>
      <c r="C7332" s="104"/>
      <c r="E7332" s="107" t="str">
        <f aca="false">IF($C7332="","",IFERROR(INDEX(المنيو!$C$2:$C$500,MATCH($C7332,المنيو!$B$2:$B$500,0)),0))</f>
        <v/>
      </c>
      <c r="F7332" s="107" t="str">
        <f aca="false">IF($C7332="","",$D7332*$E7332)</f>
        <v/>
      </c>
      <c r="G7332" s="107" t="str">
        <f aca="false">IF($C7332="","",$D7332*IFERROR(INDEX('تحليل التكلفة والسعر'!$C$2:$C$700,MATCH($C7332,'تحليل التكلفة والسعر'!$B$2:$B$700,0)),0))</f>
        <v/>
      </c>
    </row>
    <row r="7333" customFormat="false" ht="15" hidden="false" customHeight="false" outlineLevel="0" collapsed="false">
      <c r="A7333" s="103"/>
      <c r="B7333" s="104"/>
      <c r="C7333" s="104"/>
      <c r="E7333" s="107" t="str">
        <f aca="false">IF($C7333="","",IFERROR(INDEX(المنيو!$C$2:$C$500,MATCH($C7333,المنيو!$B$2:$B$500,0)),0))</f>
        <v/>
      </c>
      <c r="F7333" s="107" t="str">
        <f aca="false">IF($C7333="","",$D7333*$E7333)</f>
        <v/>
      </c>
      <c r="G7333" s="107" t="str">
        <f aca="false">IF($C7333="","",$D7333*IFERROR(INDEX('تحليل التكلفة والسعر'!$C$2:$C$700,MATCH($C7333,'تحليل التكلفة والسعر'!$B$2:$B$700,0)),0))</f>
        <v/>
      </c>
    </row>
    <row r="7334" customFormat="false" ht="15" hidden="false" customHeight="false" outlineLevel="0" collapsed="false">
      <c r="A7334" s="103"/>
      <c r="B7334" s="104"/>
      <c r="C7334" s="104"/>
      <c r="E7334" s="107" t="str">
        <f aca="false">IF($C7334="","",IFERROR(INDEX(المنيو!$C$2:$C$500,MATCH($C7334,المنيو!$B$2:$B$500,0)),0))</f>
        <v/>
      </c>
      <c r="F7334" s="107" t="str">
        <f aca="false">IF($C7334="","",$D7334*$E7334)</f>
        <v/>
      </c>
      <c r="G7334" s="107" t="str">
        <f aca="false">IF($C7334="","",$D7334*IFERROR(INDEX('تحليل التكلفة والسعر'!$C$2:$C$700,MATCH($C7334,'تحليل التكلفة والسعر'!$B$2:$B$700,0)),0))</f>
        <v/>
      </c>
    </row>
    <row r="7335" customFormat="false" ht="15" hidden="false" customHeight="false" outlineLevel="0" collapsed="false">
      <c r="A7335" s="103"/>
      <c r="B7335" s="104"/>
      <c r="C7335" s="104"/>
      <c r="E7335" s="107" t="str">
        <f aca="false">IF($C7335="","",IFERROR(INDEX(المنيو!$C$2:$C$500,MATCH($C7335,المنيو!$B$2:$B$500,0)),0))</f>
        <v/>
      </c>
      <c r="F7335" s="107" t="str">
        <f aca="false">IF($C7335="","",$D7335*$E7335)</f>
        <v/>
      </c>
      <c r="G7335" s="107" t="str">
        <f aca="false">IF($C7335="","",$D7335*IFERROR(INDEX('تحليل التكلفة والسعر'!$C$2:$C$700,MATCH($C7335,'تحليل التكلفة والسعر'!$B$2:$B$700,0)),0))</f>
        <v/>
      </c>
    </row>
    <row r="7336" customFormat="false" ht="15" hidden="false" customHeight="false" outlineLevel="0" collapsed="false">
      <c r="A7336" s="103"/>
      <c r="B7336" s="104"/>
      <c r="C7336" s="104"/>
      <c r="E7336" s="107" t="str">
        <f aca="false">IF($C7336="","",IFERROR(INDEX(المنيو!$C$2:$C$500,MATCH($C7336,المنيو!$B$2:$B$500,0)),0))</f>
        <v/>
      </c>
      <c r="F7336" s="107" t="str">
        <f aca="false">IF($C7336="","",$D7336*$E7336)</f>
        <v/>
      </c>
      <c r="G7336" s="107" t="str">
        <f aca="false">IF($C7336="","",$D7336*IFERROR(INDEX('تحليل التكلفة والسعر'!$C$2:$C$700,MATCH($C7336,'تحليل التكلفة والسعر'!$B$2:$B$700,0)),0))</f>
        <v/>
      </c>
    </row>
    <row r="7337" customFormat="false" ht="15" hidden="false" customHeight="false" outlineLevel="0" collapsed="false">
      <c r="A7337" s="103"/>
      <c r="B7337" s="104"/>
      <c r="C7337" s="104"/>
      <c r="E7337" s="107" t="str">
        <f aca="false">IF($C7337="","",IFERROR(INDEX(المنيو!$C$2:$C$500,MATCH($C7337,المنيو!$B$2:$B$500,0)),0))</f>
        <v/>
      </c>
      <c r="F7337" s="107" t="str">
        <f aca="false">IF($C7337="","",$D7337*$E7337)</f>
        <v/>
      </c>
      <c r="G7337" s="107" t="str">
        <f aca="false">IF($C7337="","",$D7337*IFERROR(INDEX('تحليل التكلفة والسعر'!$C$2:$C$700,MATCH($C7337,'تحليل التكلفة والسعر'!$B$2:$B$700,0)),0))</f>
        <v/>
      </c>
    </row>
    <row r="7338" customFormat="false" ht="15" hidden="false" customHeight="false" outlineLevel="0" collapsed="false">
      <c r="A7338" s="103"/>
      <c r="B7338" s="104"/>
      <c r="C7338" s="104"/>
      <c r="E7338" s="107" t="str">
        <f aca="false">IF($C7338="","",IFERROR(INDEX(المنيو!$C$2:$C$500,MATCH($C7338,المنيو!$B$2:$B$500,0)),0))</f>
        <v/>
      </c>
      <c r="F7338" s="107" t="str">
        <f aca="false">IF($C7338="","",$D7338*$E7338)</f>
        <v/>
      </c>
      <c r="G7338" s="107" t="str">
        <f aca="false">IF($C7338="","",$D7338*IFERROR(INDEX('تحليل التكلفة والسعر'!$C$2:$C$700,MATCH($C7338,'تحليل التكلفة والسعر'!$B$2:$B$700,0)),0))</f>
        <v/>
      </c>
    </row>
    <row r="7339" customFormat="false" ht="15" hidden="false" customHeight="false" outlineLevel="0" collapsed="false">
      <c r="A7339" s="103"/>
      <c r="B7339" s="104"/>
      <c r="C7339" s="104"/>
      <c r="E7339" s="107" t="str">
        <f aca="false">IF($C7339="","",IFERROR(INDEX(المنيو!$C$2:$C$500,MATCH($C7339,المنيو!$B$2:$B$500,0)),0))</f>
        <v/>
      </c>
      <c r="F7339" s="107" t="str">
        <f aca="false">IF($C7339="","",$D7339*$E7339)</f>
        <v/>
      </c>
      <c r="G7339" s="107" t="str">
        <f aca="false">IF($C7339="","",$D7339*IFERROR(INDEX('تحليل التكلفة والسعر'!$C$2:$C$700,MATCH($C7339,'تحليل التكلفة والسعر'!$B$2:$B$700,0)),0))</f>
        <v/>
      </c>
    </row>
    <row r="7340" customFormat="false" ht="15" hidden="false" customHeight="false" outlineLevel="0" collapsed="false">
      <c r="A7340" s="103"/>
      <c r="B7340" s="104"/>
      <c r="C7340" s="104"/>
      <c r="E7340" s="107" t="str">
        <f aca="false">IF($C7340="","",IFERROR(INDEX(المنيو!$C$2:$C$500,MATCH($C7340,المنيو!$B$2:$B$500,0)),0))</f>
        <v/>
      </c>
      <c r="F7340" s="107" t="str">
        <f aca="false">IF($C7340="","",$D7340*$E7340)</f>
        <v/>
      </c>
      <c r="G7340" s="107" t="str">
        <f aca="false">IF($C7340="","",$D7340*IFERROR(INDEX('تحليل التكلفة والسعر'!$C$2:$C$700,MATCH($C7340,'تحليل التكلفة والسعر'!$B$2:$B$700,0)),0))</f>
        <v/>
      </c>
    </row>
    <row r="7341" customFormat="false" ht="15" hidden="false" customHeight="false" outlineLevel="0" collapsed="false">
      <c r="A7341" s="103"/>
      <c r="B7341" s="104"/>
      <c r="C7341" s="104"/>
      <c r="E7341" s="107" t="str">
        <f aca="false">IF($C7341="","",IFERROR(INDEX(المنيو!$C$2:$C$500,MATCH($C7341,المنيو!$B$2:$B$500,0)),0))</f>
        <v/>
      </c>
      <c r="F7341" s="107" t="str">
        <f aca="false">IF($C7341="","",$D7341*$E7341)</f>
        <v/>
      </c>
      <c r="G7341" s="107" t="str">
        <f aca="false">IF($C7341="","",$D7341*IFERROR(INDEX('تحليل التكلفة والسعر'!$C$2:$C$700,MATCH($C7341,'تحليل التكلفة والسعر'!$B$2:$B$700,0)),0))</f>
        <v/>
      </c>
    </row>
    <row r="7342" customFormat="false" ht="15" hidden="false" customHeight="false" outlineLevel="0" collapsed="false">
      <c r="A7342" s="103"/>
      <c r="B7342" s="104"/>
      <c r="C7342" s="104"/>
      <c r="E7342" s="107" t="str">
        <f aca="false">IF($C7342="","",IFERROR(INDEX(المنيو!$C$2:$C$500,MATCH($C7342,المنيو!$B$2:$B$500,0)),0))</f>
        <v/>
      </c>
      <c r="F7342" s="107" t="str">
        <f aca="false">IF($C7342="","",$D7342*$E7342)</f>
        <v/>
      </c>
      <c r="G7342" s="107" t="str">
        <f aca="false">IF($C7342="","",$D7342*IFERROR(INDEX('تحليل التكلفة والسعر'!$C$2:$C$700,MATCH($C7342,'تحليل التكلفة والسعر'!$B$2:$B$700,0)),0))</f>
        <v/>
      </c>
    </row>
    <row r="7343" customFormat="false" ht="15" hidden="false" customHeight="false" outlineLevel="0" collapsed="false">
      <c r="A7343" s="103"/>
      <c r="B7343" s="104"/>
      <c r="C7343" s="104"/>
      <c r="E7343" s="107" t="str">
        <f aca="false">IF($C7343="","",IFERROR(INDEX(المنيو!$C$2:$C$500,MATCH($C7343,المنيو!$B$2:$B$500,0)),0))</f>
        <v/>
      </c>
      <c r="F7343" s="107" t="str">
        <f aca="false">IF($C7343="","",$D7343*$E7343)</f>
        <v/>
      </c>
      <c r="G7343" s="107" t="str">
        <f aca="false">IF($C7343="","",$D7343*IFERROR(INDEX('تحليل التكلفة والسعر'!$C$2:$C$700,MATCH($C7343,'تحليل التكلفة والسعر'!$B$2:$B$700,0)),0))</f>
        <v/>
      </c>
    </row>
    <row r="7344" customFormat="false" ht="15" hidden="false" customHeight="false" outlineLevel="0" collapsed="false">
      <c r="A7344" s="103"/>
      <c r="B7344" s="104"/>
      <c r="C7344" s="104"/>
      <c r="E7344" s="107" t="str">
        <f aca="false">IF($C7344="","",IFERROR(INDEX(المنيو!$C$2:$C$500,MATCH($C7344,المنيو!$B$2:$B$500,0)),0))</f>
        <v/>
      </c>
      <c r="F7344" s="107" t="str">
        <f aca="false">IF($C7344="","",$D7344*$E7344)</f>
        <v/>
      </c>
      <c r="G7344" s="107" t="str">
        <f aca="false">IF($C7344="","",$D7344*IFERROR(INDEX('تحليل التكلفة والسعر'!$C$2:$C$700,MATCH($C7344,'تحليل التكلفة والسعر'!$B$2:$B$700,0)),0))</f>
        <v/>
      </c>
    </row>
    <row r="7345" customFormat="false" ht="15" hidden="false" customHeight="false" outlineLevel="0" collapsed="false">
      <c r="A7345" s="103"/>
      <c r="B7345" s="104"/>
      <c r="C7345" s="104"/>
      <c r="E7345" s="107" t="str">
        <f aca="false">IF($C7345="","",IFERROR(INDEX(المنيو!$C$2:$C$500,MATCH($C7345,المنيو!$B$2:$B$500,0)),0))</f>
        <v/>
      </c>
      <c r="F7345" s="107" t="str">
        <f aca="false">IF($C7345="","",$D7345*$E7345)</f>
        <v/>
      </c>
      <c r="G7345" s="107" t="str">
        <f aca="false">IF($C7345="","",$D7345*IFERROR(INDEX('تحليل التكلفة والسعر'!$C$2:$C$700,MATCH($C7345,'تحليل التكلفة والسعر'!$B$2:$B$700,0)),0))</f>
        <v/>
      </c>
    </row>
    <row r="7346" customFormat="false" ht="15" hidden="false" customHeight="false" outlineLevel="0" collapsed="false">
      <c r="A7346" s="103"/>
      <c r="B7346" s="104"/>
      <c r="C7346" s="104"/>
      <c r="E7346" s="107" t="str">
        <f aca="false">IF($C7346="","",IFERROR(INDEX(المنيو!$C$2:$C$500,MATCH($C7346,المنيو!$B$2:$B$500,0)),0))</f>
        <v/>
      </c>
      <c r="F7346" s="107" t="str">
        <f aca="false">IF($C7346="","",$D7346*$E7346)</f>
        <v/>
      </c>
      <c r="G7346" s="107" t="str">
        <f aca="false">IF($C7346="","",$D7346*IFERROR(INDEX('تحليل التكلفة والسعر'!$C$2:$C$700,MATCH($C7346,'تحليل التكلفة والسعر'!$B$2:$B$700,0)),0))</f>
        <v/>
      </c>
    </row>
    <row r="7347" customFormat="false" ht="15" hidden="false" customHeight="false" outlineLevel="0" collapsed="false">
      <c r="A7347" s="103"/>
      <c r="B7347" s="104"/>
      <c r="C7347" s="104"/>
      <c r="E7347" s="107" t="str">
        <f aca="false">IF($C7347="","",IFERROR(INDEX(المنيو!$C$2:$C$500,MATCH($C7347,المنيو!$B$2:$B$500,0)),0))</f>
        <v/>
      </c>
      <c r="F7347" s="107" t="str">
        <f aca="false">IF($C7347="","",$D7347*$E7347)</f>
        <v/>
      </c>
      <c r="G7347" s="107" t="str">
        <f aca="false">IF($C7347="","",$D7347*IFERROR(INDEX('تحليل التكلفة والسعر'!$C$2:$C$700,MATCH($C7347,'تحليل التكلفة والسعر'!$B$2:$B$700,0)),0))</f>
        <v/>
      </c>
    </row>
    <row r="7348" customFormat="false" ht="15" hidden="false" customHeight="false" outlineLevel="0" collapsed="false">
      <c r="A7348" s="103"/>
      <c r="B7348" s="104"/>
      <c r="C7348" s="104"/>
      <c r="E7348" s="107" t="str">
        <f aca="false">IF($C7348="","",IFERROR(INDEX(المنيو!$C$2:$C$500,MATCH($C7348,المنيو!$B$2:$B$500,0)),0))</f>
        <v/>
      </c>
      <c r="F7348" s="107" t="str">
        <f aca="false">IF($C7348="","",$D7348*$E7348)</f>
        <v/>
      </c>
      <c r="G7348" s="107" t="str">
        <f aca="false">IF($C7348="","",$D7348*IFERROR(INDEX('تحليل التكلفة والسعر'!$C$2:$C$700,MATCH($C7348,'تحليل التكلفة والسعر'!$B$2:$B$700,0)),0))</f>
        <v/>
      </c>
    </row>
    <row r="7349" customFormat="false" ht="15" hidden="false" customHeight="false" outlineLevel="0" collapsed="false">
      <c r="A7349" s="103"/>
      <c r="B7349" s="104"/>
      <c r="C7349" s="104"/>
      <c r="E7349" s="107" t="str">
        <f aca="false">IF($C7349="","",IFERROR(INDEX(المنيو!$C$2:$C$500,MATCH($C7349,المنيو!$B$2:$B$500,0)),0))</f>
        <v/>
      </c>
      <c r="F7349" s="107" t="str">
        <f aca="false">IF($C7349="","",$D7349*$E7349)</f>
        <v/>
      </c>
      <c r="G7349" s="107" t="str">
        <f aca="false">IF($C7349="","",$D7349*IFERROR(INDEX('تحليل التكلفة والسعر'!$C$2:$C$700,MATCH($C7349,'تحليل التكلفة والسعر'!$B$2:$B$700,0)),0))</f>
        <v/>
      </c>
    </row>
    <row r="7350" customFormat="false" ht="15" hidden="false" customHeight="false" outlineLevel="0" collapsed="false">
      <c r="A7350" s="103"/>
      <c r="B7350" s="104"/>
      <c r="C7350" s="104"/>
      <c r="E7350" s="107" t="str">
        <f aca="false">IF($C7350="","",IFERROR(INDEX(المنيو!$C$2:$C$500,MATCH($C7350,المنيو!$B$2:$B$500,0)),0))</f>
        <v/>
      </c>
      <c r="F7350" s="107" t="str">
        <f aca="false">IF($C7350="","",$D7350*$E7350)</f>
        <v/>
      </c>
      <c r="G7350" s="107" t="str">
        <f aca="false">IF($C7350="","",$D7350*IFERROR(INDEX('تحليل التكلفة والسعر'!$C$2:$C$700,MATCH($C7350,'تحليل التكلفة والسعر'!$B$2:$B$700,0)),0))</f>
        <v/>
      </c>
    </row>
    <row r="7351" customFormat="false" ht="15" hidden="false" customHeight="false" outlineLevel="0" collapsed="false">
      <c r="A7351" s="103"/>
      <c r="B7351" s="104"/>
      <c r="C7351" s="104"/>
      <c r="E7351" s="107" t="str">
        <f aca="false">IF($C7351="","",IFERROR(INDEX(المنيو!$C$2:$C$500,MATCH($C7351,المنيو!$B$2:$B$500,0)),0))</f>
        <v/>
      </c>
      <c r="F7351" s="107" t="str">
        <f aca="false">IF($C7351="","",$D7351*$E7351)</f>
        <v/>
      </c>
      <c r="G7351" s="107" t="str">
        <f aca="false">IF($C7351="","",$D7351*IFERROR(INDEX('تحليل التكلفة والسعر'!$C$2:$C$700,MATCH($C7351,'تحليل التكلفة والسعر'!$B$2:$B$700,0)),0))</f>
        <v/>
      </c>
    </row>
    <row r="7352" customFormat="false" ht="15" hidden="false" customHeight="false" outlineLevel="0" collapsed="false">
      <c r="A7352" s="103"/>
      <c r="B7352" s="104"/>
      <c r="C7352" s="104"/>
      <c r="E7352" s="107" t="str">
        <f aca="false">IF($C7352="","",IFERROR(INDEX(المنيو!$C$2:$C$500,MATCH($C7352,المنيو!$B$2:$B$500,0)),0))</f>
        <v/>
      </c>
      <c r="F7352" s="107" t="str">
        <f aca="false">IF($C7352="","",$D7352*$E7352)</f>
        <v/>
      </c>
      <c r="G7352" s="107" t="str">
        <f aca="false">IF($C7352="","",$D7352*IFERROR(INDEX('تحليل التكلفة والسعر'!$C$2:$C$700,MATCH($C7352,'تحليل التكلفة والسعر'!$B$2:$B$700,0)),0))</f>
        <v/>
      </c>
    </row>
    <row r="7353" customFormat="false" ht="15" hidden="false" customHeight="false" outlineLevel="0" collapsed="false">
      <c r="A7353" s="103"/>
      <c r="B7353" s="104"/>
      <c r="C7353" s="104"/>
      <c r="E7353" s="107" t="str">
        <f aca="false">IF($C7353="","",IFERROR(INDEX(المنيو!$C$2:$C$500,MATCH($C7353,المنيو!$B$2:$B$500,0)),0))</f>
        <v/>
      </c>
      <c r="F7353" s="107" t="str">
        <f aca="false">IF($C7353="","",$D7353*$E7353)</f>
        <v/>
      </c>
      <c r="G7353" s="107" t="str">
        <f aca="false">IF($C7353="","",$D7353*IFERROR(INDEX('تحليل التكلفة والسعر'!$C$2:$C$700,MATCH($C7353,'تحليل التكلفة والسعر'!$B$2:$B$700,0)),0))</f>
        <v/>
      </c>
    </row>
    <row r="7354" customFormat="false" ht="15" hidden="false" customHeight="false" outlineLevel="0" collapsed="false">
      <c r="A7354" s="103"/>
      <c r="B7354" s="104"/>
      <c r="C7354" s="104"/>
      <c r="E7354" s="107" t="str">
        <f aca="false">IF($C7354="","",IFERROR(INDEX(المنيو!$C$2:$C$500,MATCH($C7354,المنيو!$B$2:$B$500,0)),0))</f>
        <v/>
      </c>
      <c r="F7354" s="107" t="str">
        <f aca="false">IF($C7354="","",$D7354*$E7354)</f>
        <v/>
      </c>
      <c r="G7354" s="107" t="str">
        <f aca="false">IF($C7354="","",$D7354*IFERROR(INDEX('تحليل التكلفة والسعر'!$C$2:$C$700,MATCH($C7354,'تحليل التكلفة والسعر'!$B$2:$B$700,0)),0))</f>
        <v/>
      </c>
    </row>
    <row r="7355" customFormat="false" ht="15" hidden="false" customHeight="false" outlineLevel="0" collapsed="false">
      <c r="A7355" s="103"/>
      <c r="B7355" s="104"/>
      <c r="C7355" s="104"/>
      <c r="E7355" s="107" t="str">
        <f aca="false">IF($C7355="","",IFERROR(INDEX(المنيو!$C$2:$C$500,MATCH($C7355,المنيو!$B$2:$B$500,0)),0))</f>
        <v/>
      </c>
      <c r="F7355" s="107" t="str">
        <f aca="false">IF($C7355="","",$D7355*$E7355)</f>
        <v/>
      </c>
      <c r="G7355" s="107" t="str">
        <f aca="false">IF($C7355="","",$D7355*IFERROR(INDEX('تحليل التكلفة والسعر'!$C$2:$C$700,MATCH($C7355,'تحليل التكلفة والسعر'!$B$2:$B$700,0)),0))</f>
        <v/>
      </c>
    </row>
    <row r="7356" customFormat="false" ht="15" hidden="false" customHeight="false" outlineLevel="0" collapsed="false">
      <c r="A7356" s="103"/>
      <c r="B7356" s="104"/>
      <c r="C7356" s="104"/>
      <c r="E7356" s="107" t="str">
        <f aca="false">IF($C7356="","",IFERROR(INDEX(المنيو!$C$2:$C$500,MATCH($C7356,المنيو!$B$2:$B$500,0)),0))</f>
        <v/>
      </c>
      <c r="F7356" s="107" t="str">
        <f aca="false">IF($C7356="","",$D7356*$E7356)</f>
        <v/>
      </c>
      <c r="G7356" s="107" t="str">
        <f aca="false">IF($C7356="","",$D7356*IFERROR(INDEX('تحليل التكلفة والسعر'!$C$2:$C$700,MATCH($C7356,'تحليل التكلفة والسعر'!$B$2:$B$700,0)),0))</f>
        <v/>
      </c>
    </row>
    <row r="7357" customFormat="false" ht="15" hidden="false" customHeight="false" outlineLevel="0" collapsed="false">
      <c r="A7357" s="103"/>
      <c r="B7357" s="104"/>
      <c r="C7357" s="104"/>
      <c r="E7357" s="107" t="str">
        <f aca="false">IF($C7357="","",IFERROR(INDEX(المنيو!$C$2:$C$500,MATCH($C7357,المنيو!$B$2:$B$500,0)),0))</f>
        <v/>
      </c>
      <c r="F7357" s="107" t="str">
        <f aca="false">IF($C7357="","",$D7357*$E7357)</f>
        <v/>
      </c>
      <c r="G7357" s="107" t="str">
        <f aca="false">IF($C7357="","",$D7357*IFERROR(INDEX('تحليل التكلفة والسعر'!$C$2:$C$700,MATCH($C7357,'تحليل التكلفة والسعر'!$B$2:$B$700,0)),0))</f>
        <v/>
      </c>
    </row>
    <row r="7358" customFormat="false" ht="15" hidden="false" customHeight="false" outlineLevel="0" collapsed="false">
      <c r="A7358" s="103"/>
      <c r="B7358" s="104"/>
      <c r="C7358" s="104"/>
      <c r="E7358" s="107" t="str">
        <f aca="false">IF($C7358="","",IFERROR(INDEX(المنيو!$C$2:$C$500,MATCH($C7358,المنيو!$B$2:$B$500,0)),0))</f>
        <v/>
      </c>
      <c r="F7358" s="107" t="str">
        <f aca="false">IF($C7358="","",$D7358*$E7358)</f>
        <v/>
      </c>
      <c r="G7358" s="107" t="str">
        <f aca="false">IF($C7358="","",$D7358*IFERROR(INDEX('تحليل التكلفة والسعر'!$C$2:$C$700,MATCH($C7358,'تحليل التكلفة والسعر'!$B$2:$B$700,0)),0))</f>
        <v/>
      </c>
    </row>
    <row r="7359" customFormat="false" ht="15" hidden="false" customHeight="false" outlineLevel="0" collapsed="false">
      <c r="A7359" s="103"/>
      <c r="B7359" s="104"/>
      <c r="C7359" s="104"/>
      <c r="E7359" s="107" t="str">
        <f aca="false">IF($C7359="","",IFERROR(INDEX(المنيو!$C$2:$C$500,MATCH($C7359,المنيو!$B$2:$B$500,0)),0))</f>
        <v/>
      </c>
      <c r="F7359" s="107" t="str">
        <f aca="false">IF($C7359="","",$D7359*$E7359)</f>
        <v/>
      </c>
      <c r="G7359" s="107" t="str">
        <f aca="false">IF($C7359="","",$D7359*IFERROR(INDEX('تحليل التكلفة والسعر'!$C$2:$C$700,MATCH($C7359,'تحليل التكلفة والسعر'!$B$2:$B$700,0)),0))</f>
        <v/>
      </c>
    </row>
    <row r="7360" customFormat="false" ht="15" hidden="false" customHeight="false" outlineLevel="0" collapsed="false">
      <c r="A7360" s="103"/>
      <c r="B7360" s="104"/>
      <c r="C7360" s="104"/>
      <c r="E7360" s="107" t="str">
        <f aca="false">IF($C7360="","",IFERROR(INDEX(المنيو!$C$2:$C$500,MATCH($C7360,المنيو!$B$2:$B$500,0)),0))</f>
        <v/>
      </c>
      <c r="F7360" s="107" t="str">
        <f aca="false">IF($C7360="","",$D7360*$E7360)</f>
        <v/>
      </c>
      <c r="G7360" s="107" t="str">
        <f aca="false">IF($C7360="","",$D7360*IFERROR(INDEX('تحليل التكلفة والسعر'!$C$2:$C$700,MATCH($C7360,'تحليل التكلفة والسعر'!$B$2:$B$700,0)),0))</f>
        <v/>
      </c>
    </row>
    <row r="7361" customFormat="false" ht="15" hidden="false" customHeight="false" outlineLevel="0" collapsed="false">
      <c r="A7361" s="103"/>
      <c r="B7361" s="104"/>
      <c r="C7361" s="104"/>
      <c r="E7361" s="107" t="str">
        <f aca="false">IF($C7361="","",IFERROR(INDEX(المنيو!$C$2:$C$500,MATCH($C7361,المنيو!$B$2:$B$500,0)),0))</f>
        <v/>
      </c>
      <c r="F7361" s="107" t="str">
        <f aca="false">IF($C7361="","",$D7361*$E7361)</f>
        <v/>
      </c>
      <c r="G7361" s="107" t="str">
        <f aca="false">IF($C7361="","",$D7361*IFERROR(INDEX('تحليل التكلفة والسعر'!$C$2:$C$700,MATCH($C7361,'تحليل التكلفة والسعر'!$B$2:$B$700,0)),0))</f>
        <v/>
      </c>
    </row>
    <row r="7362" customFormat="false" ht="15" hidden="false" customHeight="false" outlineLevel="0" collapsed="false">
      <c r="A7362" s="103"/>
      <c r="B7362" s="104"/>
      <c r="C7362" s="104"/>
      <c r="E7362" s="107" t="str">
        <f aca="false">IF($C7362="","",IFERROR(INDEX(المنيو!$C$2:$C$500,MATCH($C7362,المنيو!$B$2:$B$500,0)),0))</f>
        <v/>
      </c>
      <c r="F7362" s="107" t="str">
        <f aca="false">IF($C7362="","",$D7362*$E7362)</f>
        <v/>
      </c>
      <c r="G7362" s="107" t="str">
        <f aca="false">IF($C7362="","",$D7362*IFERROR(INDEX('تحليل التكلفة والسعر'!$C$2:$C$700,MATCH($C7362,'تحليل التكلفة والسعر'!$B$2:$B$700,0)),0))</f>
        <v/>
      </c>
    </row>
    <row r="7363" customFormat="false" ht="15" hidden="false" customHeight="false" outlineLevel="0" collapsed="false">
      <c r="A7363" s="103"/>
      <c r="B7363" s="104"/>
      <c r="C7363" s="104"/>
      <c r="E7363" s="107" t="str">
        <f aca="false">IF($C7363="","",IFERROR(INDEX(المنيو!$C$2:$C$500,MATCH($C7363,المنيو!$B$2:$B$500,0)),0))</f>
        <v/>
      </c>
      <c r="F7363" s="107" t="str">
        <f aca="false">IF($C7363="","",$D7363*$E7363)</f>
        <v/>
      </c>
      <c r="G7363" s="107" t="str">
        <f aca="false">IF($C7363="","",$D7363*IFERROR(INDEX('تحليل التكلفة والسعر'!$C$2:$C$700,MATCH($C7363,'تحليل التكلفة والسعر'!$B$2:$B$700,0)),0))</f>
        <v/>
      </c>
    </row>
    <row r="7364" customFormat="false" ht="15" hidden="false" customHeight="false" outlineLevel="0" collapsed="false">
      <c r="A7364" s="103"/>
      <c r="B7364" s="104"/>
      <c r="C7364" s="104"/>
      <c r="E7364" s="107" t="str">
        <f aca="false">IF($C7364="","",IFERROR(INDEX(المنيو!$C$2:$C$500,MATCH($C7364,المنيو!$B$2:$B$500,0)),0))</f>
        <v/>
      </c>
      <c r="F7364" s="107" t="str">
        <f aca="false">IF($C7364="","",$D7364*$E7364)</f>
        <v/>
      </c>
      <c r="G7364" s="107" t="str">
        <f aca="false">IF($C7364="","",$D7364*IFERROR(INDEX('تحليل التكلفة والسعر'!$C$2:$C$700,MATCH($C7364,'تحليل التكلفة والسعر'!$B$2:$B$700,0)),0))</f>
        <v/>
      </c>
    </row>
    <row r="7365" customFormat="false" ht="15" hidden="false" customHeight="false" outlineLevel="0" collapsed="false">
      <c r="A7365" s="103"/>
      <c r="B7365" s="104"/>
      <c r="C7365" s="104"/>
      <c r="E7365" s="107" t="str">
        <f aca="false">IF($C7365="","",IFERROR(INDEX(المنيو!$C$2:$C$500,MATCH($C7365,المنيو!$B$2:$B$500,0)),0))</f>
        <v/>
      </c>
      <c r="F7365" s="107" t="str">
        <f aca="false">IF($C7365="","",$D7365*$E7365)</f>
        <v/>
      </c>
      <c r="G7365" s="107" t="str">
        <f aca="false">IF($C7365="","",$D7365*IFERROR(INDEX('تحليل التكلفة والسعر'!$C$2:$C$700,MATCH($C7365,'تحليل التكلفة والسعر'!$B$2:$B$700,0)),0))</f>
        <v/>
      </c>
    </row>
    <row r="7366" customFormat="false" ht="15" hidden="false" customHeight="false" outlineLevel="0" collapsed="false">
      <c r="A7366" s="103"/>
      <c r="B7366" s="104"/>
      <c r="C7366" s="104"/>
      <c r="E7366" s="107" t="str">
        <f aca="false">IF($C7366="","",IFERROR(INDEX(المنيو!$C$2:$C$500,MATCH($C7366,المنيو!$B$2:$B$500,0)),0))</f>
        <v/>
      </c>
      <c r="F7366" s="107" t="str">
        <f aca="false">IF($C7366="","",$D7366*$E7366)</f>
        <v/>
      </c>
      <c r="G7366" s="107" t="str">
        <f aca="false">IF($C7366="","",$D7366*IFERROR(INDEX('تحليل التكلفة والسعر'!$C$2:$C$700,MATCH($C7366,'تحليل التكلفة والسعر'!$B$2:$B$700,0)),0))</f>
        <v/>
      </c>
    </row>
    <row r="7367" customFormat="false" ht="15" hidden="false" customHeight="false" outlineLevel="0" collapsed="false">
      <c r="A7367" s="103"/>
      <c r="B7367" s="104"/>
      <c r="C7367" s="104"/>
      <c r="E7367" s="107" t="str">
        <f aca="false">IF($C7367="","",IFERROR(INDEX(المنيو!$C$2:$C$500,MATCH($C7367,المنيو!$B$2:$B$500,0)),0))</f>
        <v/>
      </c>
      <c r="F7367" s="107" t="str">
        <f aca="false">IF($C7367="","",$D7367*$E7367)</f>
        <v/>
      </c>
      <c r="G7367" s="107" t="str">
        <f aca="false">IF($C7367="","",$D7367*IFERROR(INDEX('تحليل التكلفة والسعر'!$C$2:$C$700,MATCH($C7367,'تحليل التكلفة والسعر'!$B$2:$B$700,0)),0))</f>
        <v/>
      </c>
    </row>
    <row r="7368" customFormat="false" ht="15" hidden="false" customHeight="false" outlineLevel="0" collapsed="false">
      <c r="A7368" s="103"/>
      <c r="B7368" s="104"/>
      <c r="C7368" s="104"/>
      <c r="E7368" s="107" t="str">
        <f aca="false">IF($C7368="","",IFERROR(INDEX(المنيو!$C$2:$C$500,MATCH($C7368,المنيو!$B$2:$B$500,0)),0))</f>
        <v/>
      </c>
      <c r="F7368" s="107" t="str">
        <f aca="false">IF($C7368="","",$D7368*$E7368)</f>
        <v/>
      </c>
      <c r="G7368" s="107" t="str">
        <f aca="false">IF($C7368="","",$D7368*IFERROR(INDEX('تحليل التكلفة والسعر'!$C$2:$C$700,MATCH($C7368,'تحليل التكلفة والسعر'!$B$2:$B$700,0)),0))</f>
        <v/>
      </c>
    </row>
    <row r="7369" customFormat="false" ht="15" hidden="false" customHeight="false" outlineLevel="0" collapsed="false">
      <c r="A7369" s="103"/>
      <c r="B7369" s="104"/>
      <c r="C7369" s="104"/>
      <c r="E7369" s="107" t="str">
        <f aca="false">IF($C7369="","",IFERROR(INDEX(المنيو!$C$2:$C$500,MATCH($C7369,المنيو!$B$2:$B$500,0)),0))</f>
        <v/>
      </c>
      <c r="F7369" s="107" t="str">
        <f aca="false">IF($C7369="","",$D7369*$E7369)</f>
        <v/>
      </c>
      <c r="G7369" s="107" t="str">
        <f aca="false">IF($C7369="","",$D7369*IFERROR(INDEX('تحليل التكلفة والسعر'!$C$2:$C$700,MATCH($C7369,'تحليل التكلفة والسعر'!$B$2:$B$700,0)),0))</f>
        <v/>
      </c>
    </row>
    <row r="7370" customFormat="false" ht="15" hidden="false" customHeight="false" outlineLevel="0" collapsed="false">
      <c r="A7370" s="103"/>
      <c r="B7370" s="104"/>
      <c r="C7370" s="104"/>
      <c r="E7370" s="107" t="str">
        <f aca="false">IF($C7370="","",IFERROR(INDEX(المنيو!$C$2:$C$500,MATCH($C7370,المنيو!$B$2:$B$500,0)),0))</f>
        <v/>
      </c>
      <c r="F7370" s="107" t="str">
        <f aca="false">IF($C7370="","",$D7370*$E7370)</f>
        <v/>
      </c>
      <c r="G7370" s="107" t="str">
        <f aca="false">IF($C7370="","",$D7370*IFERROR(INDEX('تحليل التكلفة والسعر'!$C$2:$C$700,MATCH($C7370,'تحليل التكلفة والسعر'!$B$2:$B$700,0)),0))</f>
        <v/>
      </c>
    </row>
    <row r="7371" customFormat="false" ht="15" hidden="false" customHeight="false" outlineLevel="0" collapsed="false">
      <c r="A7371" s="103"/>
      <c r="B7371" s="104"/>
      <c r="C7371" s="104"/>
      <c r="E7371" s="107" t="str">
        <f aca="false">IF($C7371="","",IFERROR(INDEX(المنيو!$C$2:$C$500,MATCH($C7371,المنيو!$B$2:$B$500,0)),0))</f>
        <v/>
      </c>
      <c r="F7371" s="107" t="str">
        <f aca="false">IF($C7371="","",$D7371*$E7371)</f>
        <v/>
      </c>
      <c r="G7371" s="107" t="str">
        <f aca="false">IF($C7371="","",$D7371*IFERROR(INDEX('تحليل التكلفة والسعر'!$C$2:$C$700,MATCH($C7371,'تحليل التكلفة والسعر'!$B$2:$B$700,0)),0))</f>
        <v/>
      </c>
    </row>
    <row r="7372" customFormat="false" ht="15" hidden="false" customHeight="false" outlineLevel="0" collapsed="false">
      <c r="A7372" s="103"/>
      <c r="B7372" s="104"/>
      <c r="C7372" s="104"/>
      <c r="E7372" s="107" t="str">
        <f aca="false">IF($C7372="","",IFERROR(INDEX(المنيو!$C$2:$C$500,MATCH($C7372,المنيو!$B$2:$B$500,0)),0))</f>
        <v/>
      </c>
      <c r="F7372" s="107" t="str">
        <f aca="false">IF($C7372="","",$D7372*$E7372)</f>
        <v/>
      </c>
      <c r="G7372" s="107" t="str">
        <f aca="false">IF($C7372="","",$D7372*IFERROR(INDEX('تحليل التكلفة والسعر'!$C$2:$C$700,MATCH($C7372,'تحليل التكلفة والسعر'!$B$2:$B$700,0)),0))</f>
        <v/>
      </c>
    </row>
    <row r="7373" customFormat="false" ht="15" hidden="false" customHeight="false" outlineLevel="0" collapsed="false">
      <c r="A7373" s="103"/>
      <c r="B7373" s="104"/>
      <c r="C7373" s="104"/>
      <c r="E7373" s="107" t="str">
        <f aca="false">IF($C7373="","",IFERROR(INDEX(المنيو!$C$2:$C$500,MATCH($C7373,المنيو!$B$2:$B$500,0)),0))</f>
        <v/>
      </c>
      <c r="F7373" s="107" t="str">
        <f aca="false">IF($C7373="","",$D7373*$E7373)</f>
        <v/>
      </c>
      <c r="G7373" s="107" t="str">
        <f aca="false">IF($C7373="","",$D7373*IFERROR(INDEX('تحليل التكلفة والسعر'!$C$2:$C$700,MATCH($C7373,'تحليل التكلفة والسعر'!$B$2:$B$700,0)),0))</f>
        <v/>
      </c>
    </row>
    <row r="7374" customFormat="false" ht="15" hidden="false" customHeight="false" outlineLevel="0" collapsed="false">
      <c r="A7374" s="103"/>
      <c r="B7374" s="104"/>
      <c r="C7374" s="104"/>
      <c r="E7374" s="107" t="str">
        <f aca="false">IF($C7374="","",IFERROR(INDEX(المنيو!$C$2:$C$500,MATCH($C7374,المنيو!$B$2:$B$500,0)),0))</f>
        <v/>
      </c>
      <c r="F7374" s="107" t="str">
        <f aca="false">IF($C7374="","",$D7374*$E7374)</f>
        <v/>
      </c>
      <c r="G7374" s="107" t="str">
        <f aca="false">IF($C7374="","",$D7374*IFERROR(INDEX('تحليل التكلفة والسعر'!$C$2:$C$700,MATCH($C7374,'تحليل التكلفة والسعر'!$B$2:$B$700,0)),0))</f>
        <v/>
      </c>
    </row>
    <row r="7375" customFormat="false" ht="15" hidden="false" customHeight="false" outlineLevel="0" collapsed="false">
      <c r="A7375" s="103"/>
      <c r="B7375" s="104"/>
      <c r="C7375" s="104"/>
      <c r="E7375" s="107" t="str">
        <f aca="false">IF($C7375="","",IFERROR(INDEX(المنيو!$C$2:$C$500,MATCH($C7375,المنيو!$B$2:$B$500,0)),0))</f>
        <v/>
      </c>
      <c r="F7375" s="107" t="str">
        <f aca="false">IF($C7375="","",$D7375*$E7375)</f>
        <v/>
      </c>
      <c r="G7375" s="107" t="str">
        <f aca="false">IF($C7375="","",$D7375*IFERROR(INDEX('تحليل التكلفة والسعر'!$C$2:$C$700,MATCH($C7375,'تحليل التكلفة والسعر'!$B$2:$B$700,0)),0))</f>
        <v/>
      </c>
    </row>
    <row r="7376" customFormat="false" ht="15" hidden="false" customHeight="false" outlineLevel="0" collapsed="false">
      <c r="A7376" s="103"/>
      <c r="B7376" s="104"/>
      <c r="C7376" s="104"/>
      <c r="E7376" s="107" t="str">
        <f aca="false">IF($C7376="","",IFERROR(INDEX(المنيو!$C$2:$C$500,MATCH($C7376,المنيو!$B$2:$B$500,0)),0))</f>
        <v/>
      </c>
      <c r="F7376" s="107" t="str">
        <f aca="false">IF($C7376="","",$D7376*$E7376)</f>
        <v/>
      </c>
      <c r="G7376" s="107" t="str">
        <f aca="false">IF($C7376="","",$D7376*IFERROR(INDEX('تحليل التكلفة والسعر'!$C$2:$C$700,MATCH($C7376,'تحليل التكلفة والسعر'!$B$2:$B$700,0)),0))</f>
        <v/>
      </c>
    </row>
    <row r="7377" customFormat="false" ht="15" hidden="false" customHeight="false" outlineLevel="0" collapsed="false">
      <c r="A7377" s="103"/>
      <c r="B7377" s="104"/>
      <c r="C7377" s="104"/>
      <c r="E7377" s="107" t="str">
        <f aca="false">IF($C7377="","",IFERROR(INDEX(المنيو!$C$2:$C$500,MATCH($C7377,المنيو!$B$2:$B$500,0)),0))</f>
        <v/>
      </c>
      <c r="F7377" s="107" t="str">
        <f aca="false">IF($C7377="","",$D7377*$E7377)</f>
        <v/>
      </c>
      <c r="G7377" s="107" t="str">
        <f aca="false">IF($C7377="","",$D7377*IFERROR(INDEX('تحليل التكلفة والسعر'!$C$2:$C$700,MATCH($C7377,'تحليل التكلفة والسعر'!$B$2:$B$700,0)),0))</f>
        <v/>
      </c>
    </row>
    <row r="7378" customFormat="false" ht="15" hidden="false" customHeight="false" outlineLevel="0" collapsed="false">
      <c r="A7378" s="103"/>
      <c r="B7378" s="104"/>
      <c r="C7378" s="104"/>
      <c r="E7378" s="107" t="str">
        <f aca="false">IF($C7378="","",IFERROR(INDEX(المنيو!$C$2:$C$500,MATCH($C7378,المنيو!$B$2:$B$500,0)),0))</f>
        <v/>
      </c>
      <c r="F7378" s="107" t="str">
        <f aca="false">IF($C7378="","",$D7378*$E7378)</f>
        <v/>
      </c>
      <c r="G7378" s="107" t="str">
        <f aca="false">IF($C7378="","",$D7378*IFERROR(INDEX('تحليل التكلفة والسعر'!$C$2:$C$700,MATCH($C7378,'تحليل التكلفة والسعر'!$B$2:$B$700,0)),0))</f>
        <v/>
      </c>
    </row>
    <row r="7379" customFormat="false" ht="15" hidden="false" customHeight="false" outlineLevel="0" collapsed="false">
      <c r="A7379" s="103"/>
      <c r="B7379" s="104"/>
      <c r="C7379" s="104"/>
      <c r="E7379" s="107" t="str">
        <f aca="false">IF($C7379="","",IFERROR(INDEX(المنيو!$C$2:$C$500,MATCH($C7379,المنيو!$B$2:$B$500,0)),0))</f>
        <v/>
      </c>
      <c r="F7379" s="107" t="str">
        <f aca="false">IF($C7379="","",$D7379*$E7379)</f>
        <v/>
      </c>
      <c r="G7379" s="107" t="str">
        <f aca="false">IF($C7379="","",$D7379*IFERROR(INDEX('تحليل التكلفة والسعر'!$C$2:$C$700,MATCH($C7379,'تحليل التكلفة والسعر'!$B$2:$B$700,0)),0))</f>
        <v/>
      </c>
    </row>
    <row r="7380" customFormat="false" ht="15" hidden="false" customHeight="false" outlineLevel="0" collapsed="false">
      <c r="A7380" s="103"/>
      <c r="B7380" s="104"/>
      <c r="C7380" s="104"/>
      <c r="E7380" s="107" t="str">
        <f aca="false">IF($C7380="","",IFERROR(INDEX(المنيو!$C$2:$C$500,MATCH($C7380,المنيو!$B$2:$B$500,0)),0))</f>
        <v/>
      </c>
      <c r="F7380" s="107" t="str">
        <f aca="false">IF($C7380="","",$D7380*$E7380)</f>
        <v/>
      </c>
      <c r="G7380" s="107" t="str">
        <f aca="false">IF($C7380="","",$D7380*IFERROR(INDEX('تحليل التكلفة والسعر'!$C$2:$C$700,MATCH($C7380,'تحليل التكلفة والسعر'!$B$2:$B$700,0)),0))</f>
        <v/>
      </c>
    </row>
    <row r="7381" customFormat="false" ht="15" hidden="false" customHeight="false" outlineLevel="0" collapsed="false">
      <c r="A7381" s="103"/>
      <c r="B7381" s="104"/>
      <c r="C7381" s="104"/>
      <c r="E7381" s="107" t="str">
        <f aca="false">IF($C7381="","",IFERROR(INDEX(المنيو!$C$2:$C$500,MATCH($C7381,المنيو!$B$2:$B$500,0)),0))</f>
        <v/>
      </c>
      <c r="F7381" s="107" t="str">
        <f aca="false">IF($C7381="","",$D7381*$E7381)</f>
        <v/>
      </c>
      <c r="G7381" s="107" t="str">
        <f aca="false">IF($C7381="","",$D7381*IFERROR(INDEX('تحليل التكلفة والسعر'!$C$2:$C$700,MATCH($C7381,'تحليل التكلفة والسعر'!$B$2:$B$700,0)),0))</f>
        <v/>
      </c>
    </row>
    <row r="7382" customFormat="false" ht="15" hidden="false" customHeight="false" outlineLevel="0" collapsed="false">
      <c r="A7382" s="103"/>
      <c r="B7382" s="104"/>
      <c r="C7382" s="104"/>
      <c r="E7382" s="107" t="str">
        <f aca="false">IF($C7382="","",IFERROR(INDEX(المنيو!$C$2:$C$500,MATCH($C7382,المنيو!$B$2:$B$500,0)),0))</f>
        <v/>
      </c>
      <c r="F7382" s="107" t="str">
        <f aca="false">IF($C7382="","",$D7382*$E7382)</f>
        <v/>
      </c>
      <c r="G7382" s="107" t="str">
        <f aca="false">IF($C7382="","",$D7382*IFERROR(INDEX('تحليل التكلفة والسعر'!$C$2:$C$700,MATCH($C7382,'تحليل التكلفة والسعر'!$B$2:$B$700,0)),0))</f>
        <v/>
      </c>
    </row>
    <row r="7383" customFormat="false" ht="15" hidden="false" customHeight="false" outlineLevel="0" collapsed="false">
      <c r="A7383" s="103"/>
      <c r="B7383" s="104"/>
      <c r="C7383" s="104"/>
      <c r="E7383" s="107" t="str">
        <f aca="false">IF($C7383="","",IFERROR(INDEX(المنيو!$C$2:$C$500,MATCH($C7383,المنيو!$B$2:$B$500,0)),0))</f>
        <v/>
      </c>
      <c r="F7383" s="107" t="str">
        <f aca="false">IF($C7383="","",$D7383*$E7383)</f>
        <v/>
      </c>
      <c r="G7383" s="107" t="str">
        <f aca="false">IF($C7383="","",$D7383*IFERROR(INDEX('تحليل التكلفة والسعر'!$C$2:$C$700,MATCH($C7383,'تحليل التكلفة والسعر'!$B$2:$B$700,0)),0))</f>
        <v/>
      </c>
    </row>
    <row r="7384" customFormat="false" ht="15" hidden="false" customHeight="false" outlineLevel="0" collapsed="false">
      <c r="A7384" s="103"/>
      <c r="B7384" s="104"/>
      <c r="C7384" s="104"/>
      <c r="E7384" s="107" t="str">
        <f aca="false">IF($C7384="","",IFERROR(INDEX(المنيو!$C$2:$C$500,MATCH($C7384,المنيو!$B$2:$B$500,0)),0))</f>
        <v/>
      </c>
      <c r="F7384" s="107" t="str">
        <f aca="false">IF($C7384="","",$D7384*$E7384)</f>
        <v/>
      </c>
      <c r="G7384" s="107" t="str">
        <f aca="false">IF($C7384="","",$D7384*IFERROR(INDEX('تحليل التكلفة والسعر'!$C$2:$C$700,MATCH($C7384,'تحليل التكلفة والسعر'!$B$2:$B$700,0)),0))</f>
        <v/>
      </c>
    </row>
    <row r="7385" customFormat="false" ht="15" hidden="false" customHeight="false" outlineLevel="0" collapsed="false">
      <c r="A7385" s="103"/>
      <c r="B7385" s="104"/>
      <c r="C7385" s="104"/>
      <c r="E7385" s="107" t="str">
        <f aca="false">IF($C7385="","",IFERROR(INDEX(المنيو!$C$2:$C$500,MATCH($C7385,المنيو!$B$2:$B$500,0)),0))</f>
        <v/>
      </c>
      <c r="F7385" s="107" t="str">
        <f aca="false">IF($C7385="","",$D7385*$E7385)</f>
        <v/>
      </c>
      <c r="G7385" s="107" t="str">
        <f aca="false">IF($C7385="","",$D7385*IFERROR(INDEX('تحليل التكلفة والسعر'!$C$2:$C$700,MATCH($C7385,'تحليل التكلفة والسعر'!$B$2:$B$700,0)),0))</f>
        <v/>
      </c>
    </row>
    <row r="7386" customFormat="false" ht="15" hidden="false" customHeight="false" outlineLevel="0" collapsed="false">
      <c r="A7386" s="103"/>
      <c r="B7386" s="104"/>
      <c r="C7386" s="104"/>
      <c r="E7386" s="107" t="str">
        <f aca="false">IF($C7386="","",IFERROR(INDEX(المنيو!$C$2:$C$500,MATCH($C7386,المنيو!$B$2:$B$500,0)),0))</f>
        <v/>
      </c>
      <c r="F7386" s="107" t="str">
        <f aca="false">IF($C7386="","",$D7386*$E7386)</f>
        <v/>
      </c>
      <c r="G7386" s="107" t="str">
        <f aca="false">IF($C7386="","",$D7386*IFERROR(INDEX('تحليل التكلفة والسعر'!$C$2:$C$700,MATCH($C7386,'تحليل التكلفة والسعر'!$B$2:$B$700,0)),0))</f>
        <v/>
      </c>
    </row>
    <row r="7387" customFormat="false" ht="15" hidden="false" customHeight="false" outlineLevel="0" collapsed="false">
      <c r="A7387" s="103"/>
      <c r="B7387" s="104"/>
      <c r="C7387" s="104"/>
      <c r="E7387" s="107" t="str">
        <f aca="false">IF($C7387="","",IFERROR(INDEX(المنيو!$C$2:$C$500,MATCH($C7387,المنيو!$B$2:$B$500,0)),0))</f>
        <v/>
      </c>
      <c r="F7387" s="107" t="str">
        <f aca="false">IF($C7387="","",$D7387*$E7387)</f>
        <v/>
      </c>
      <c r="G7387" s="107" t="str">
        <f aca="false">IF($C7387="","",$D7387*IFERROR(INDEX('تحليل التكلفة والسعر'!$C$2:$C$700,MATCH($C7387,'تحليل التكلفة والسعر'!$B$2:$B$700,0)),0))</f>
        <v/>
      </c>
    </row>
    <row r="7388" customFormat="false" ht="15" hidden="false" customHeight="false" outlineLevel="0" collapsed="false">
      <c r="A7388" s="103"/>
      <c r="B7388" s="104"/>
      <c r="C7388" s="104"/>
      <c r="E7388" s="107" t="str">
        <f aca="false">IF($C7388="","",IFERROR(INDEX(المنيو!$C$2:$C$500,MATCH($C7388,المنيو!$B$2:$B$500,0)),0))</f>
        <v/>
      </c>
      <c r="F7388" s="107" t="str">
        <f aca="false">IF($C7388="","",$D7388*$E7388)</f>
        <v/>
      </c>
      <c r="G7388" s="107" t="str">
        <f aca="false">IF($C7388="","",$D7388*IFERROR(INDEX('تحليل التكلفة والسعر'!$C$2:$C$700,MATCH($C7388,'تحليل التكلفة والسعر'!$B$2:$B$700,0)),0))</f>
        <v/>
      </c>
    </row>
    <row r="7389" customFormat="false" ht="15" hidden="false" customHeight="false" outlineLevel="0" collapsed="false">
      <c r="A7389" s="103"/>
      <c r="B7389" s="104"/>
      <c r="C7389" s="104"/>
      <c r="E7389" s="107" t="str">
        <f aca="false">IF($C7389="","",IFERROR(INDEX(المنيو!$C$2:$C$500,MATCH($C7389,المنيو!$B$2:$B$500,0)),0))</f>
        <v/>
      </c>
      <c r="F7389" s="107" t="str">
        <f aca="false">IF($C7389="","",$D7389*$E7389)</f>
        <v/>
      </c>
      <c r="G7389" s="107" t="str">
        <f aca="false">IF($C7389="","",$D7389*IFERROR(INDEX('تحليل التكلفة والسعر'!$C$2:$C$700,MATCH($C7389,'تحليل التكلفة والسعر'!$B$2:$B$700,0)),0))</f>
        <v/>
      </c>
    </row>
    <row r="7390" customFormat="false" ht="15" hidden="false" customHeight="false" outlineLevel="0" collapsed="false">
      <c r="A7390" s="103"/>
      <c r="B7390" s="104"/>
      <c r="C7390" s="104"/>
      <c r="E7390" s="107" t="str">
        <f aca="false">IF($C7390="","",IFERROR(INDEX(المنيو!$C$2:$C$500,MATCH($C7390,المنيو!$B$2:$B$500,0)),0))</f>
        <v/>
      </c>
      <c r="F7390" s="107" t="str">
        <f aca="false">IF($C7390="","",$D7390*$E7390)</f>
        <v/>
      </c>
      <c r="G7390" s="107" t="str">
        <f aca="false">IF($C7390="","",$D7390*IFERROR(INDEX('تحليل التكلفة والسعر'!$C$2:$C$700,MATCH($C7390,'تحليل التكلفة والسعر'!$B$2:$B$700,0)),0))</f>
        <v/>
      </c>
    </row>
    <row r="7391" customFormat="false" ht="15" hidden="false" customHeight="false" outlineLevel="0" collapsed="false">
      <c r="A7391" s="103"/>
      <c r="B7391" s="104"/>
      <c r="C7391" s="104"/>
      <c r="E7391" s="107" t="str">
        <f aca="false">IF($C7391="","",IFERROR(INDEX(المنيو!$C$2:$C$500,MATCH($C7391,المنيو!$B$2:$B$500,0)),0))</f>
        <v/>
      </c>
      <c r="F7391" s="107" t="str">
        <f aca="false">IF($C7391="","",$D7391*$E7391)</f>
        <v/>
      </c>
      <c r="G7391" s="107" t="str">
        <f aca="false">IF($C7391="","",$D7391*IFERROR(INDEX('تحليل التكلفة والسعر'!$C$2:$C$700,MATCH($C7391,'تحليل التكلفة والسعر'!$B$2:$B$700,0)),0))</f>
        <v/>
      </c>
    </row>
    <row r="7392" customFormat="false" ht="15" hidden="false" customHeight="false" outlineLevel="0" collapsed="false">
      <c r="A7392" s="103"/>
      <c r="B7392" s="104"/>
      <c r="C7392" s="104"/>
      <c r="E7392" s="107" t="str">
        <f aca="false">IF($C7392="","",IFERROR(INDEX(المنيو!$C$2:$C$500,MATCH($C7392,المنيو!$B$2:$B$500,0)),0))</f>
        <v/>
      </c>
      <c r="F7392" s="107" t="str">
        <f aca="false">IF($C7392="","",$D7392*$E7392)</f>
        <v/>
      </c>
      <c r="G7392" s="107" t="str">
        <f aca="false">IF($C7392="","",$D7392*IFERROR(INDEX('تحليل التكلفة والسعر'!$C$2:$C$700,MATCH($C7392,'تحليل التكلفة والسعر'!$B$2:$B$700,0)),0))</f>
        <v/>
      </c>
    </row>
    <row r="7393" customFormat="false" ht="15" hidden="false" customHeight="false" outlineLevel="0" collapsed="false">
      <c r="A7393" s="103"/>
      <c r="B7393" s="104"/>
      <c r="C7393" s="104"/>
      <c r="E7393" s="107" t="str">
        <f aca="false">IF($C7393="","",IFERROR(INDEX(المنيو!$C$2:$C$500,MATCH($C7393,المنيو!$B$2:$B$500,0)),0))</f>
        <v/>
      </c>
      <c r="F7393" s="107" t="str">
        <f aca="false">IF($C7393="","",$D7393*$E7393)</f>
        <v/>
      </c>
      <c r="G7393" s="107" t="str">
        <f aca="false">IF($C7393="","",$D7393*IFERROR(INDEX('تحليل التكلفة والسعر'!$C$2:$C$700,MATCH($C7393,'تحليل التكلفة والسعر'!$B$2:$B$700,0)),0))</f>
        <v/>
      </c>
    </row>
    <row r="7394" customFormat="false" ht="15" hidden="false" customHeight="false" outlineLevel="0" collapsed="false">
      <c r="A7394" s="103"/>
      <c r="B7394" s="104"/>
      <c r="C7394" s="104"/>
      <c r="E7394" s="107" t="str">
        <f aca="false">IF($C7394="","",IFERROR(INDEX(المنيو!$C$2:$C$500,MATCH($C7394,المنيو!$B$2:$B$500,0)),0))</f>
        <v/>
      </c>
      <c r="F7394" s="107" t="str">
        <f aca="false">IF($C7394="","",$D7394*$E7394)</f>
        <v/>
      </c>
      <c r="G7394" s="107" t="str">
        <f aca="false">IF($C7394="","",$D7394*IFERROR(INDEX('تحليل التكلفة والسعر'!$C$2:$C$700,MATCH($C7394,'تحليل التكلفة والسعر'!$B$2:$B$700,0)),0))</f>
        <v/>
      </c>
    </row>
    <row r="7395" customFormat="false" ht="15" hidden="false" customHeight="false" outlineLevel="0" collapsed="false">
      <c r="A7395" s="103"/>
      <c r="B7395" s="104"/>
      <c r="C7395" s="104"/>
      <c r="E7395" s="107" t="str">
        <f aca="false">IF($C7395="","",IFERROR(INDEX(المنيو!$C$2:$C$500,MATCH($C7395,المنيو!$B$2:$B$500,0)),0))</f>
        <v/>
      </c>
      <c r="F7395" s="107" t="str">
        <f aca="false">IF($C7395="","",$D7395*$E7395)</f>
        <v/>
      </c>
      <c r="G7395" s="107" t="str">
        <f aca="false">IF($C7395="","",$D7395*IFERROR(INDEX('تحليل التكلفة والسعر'!$C$2:$C$700,MATCH($C7395,'تحليل التكلفة والسعر'!$B$2:$B$700,0)),0))</f>
        <v/>
      </c>
    </row>
    <row r="7396" customFormat="false" ht="15" hidden="false" customHeight="false" outlineLevel="0" collapsed="false">
      <c r="A7396" s="103"/>
      <c r="B7396" s="104"/>
      <c r="C7396" s="104"/>
      <c r="E7396" s="107" t="str">
        <f aca="false">IF($C7396="","",IFERROR(INDEX(المنيو!$C$2:$C$500,MATCH($C7396,المنيو!$B$2:$B$500,0)),0))</f>
        <v/>
      </c>
      <c r="F7396" s="107" t="str">
        <f aca="false">IF($C7396="","",$D7396*$E7396)</f>
        <v/>
      </c>
      <c r="G7396" s="107" t="str">
        <f aca="false">IF($C7396="","",$D7396*IFERROR(INDEX('تحليل التكلفة والسعر'!$C$2:$C$700,MATCH($C7396,'تحليل التكلفة والسعر'!$B$2:$B$700,0)),0))</f>
        <v/>
      </c>
    </row>
    <row r="7397" customFormat="false" ht="15" hidden="false" customHeight="false" outlineLevel="0" collapsed="false">
      <c r="A7397" s="103"/>
      <c r="B7397" s="104"/>
      <c r="C7397" s="104"/>
      <c r="E7397" s="107" t="str">
        <f aca="false">IF($C7397="","",IFERROR(INDEX(المنيو!$C$2:$C$500,MATCH($C7397,المنيو!$B$2:$B$500,0)),0))</f>
        <v/>
      </c>
      <c r="F7397" s="107" t="str">
        <f aca="false">IF($C7397="","",$D7397*$E7397)</f>
        <v/>
      </c>
      <c r="G7397" s="107" t="str">
        <f aca="false">IF($C7397="","",$D7397*IFERROR(INDEX('تحليل التكلفة والسعر'!$C$2:$C$700,MATCH($C7397,'تحليل التكلفة والسعر'!$B$2:$B$700,0)),0))</f>
        <v/>
      </c>
    </row>
    <row r="7398" customFormat="false" ht="15" hidden="false" customHeight="false" outlineLevel="0" collapsed="false">
      <c r="A7398" s="103"/>
      <c r="B7398" s="104"/>
      <c r="C7398" s="104"/>
      <c r="E7398" s="107" t="str">
        <f aca="false">IF($C7398="","",IFERROR(INDEX(المنيو!$C$2:$C$500,MATCH($C7398,المنيو!$B$2:$B$500,0)),0))</f>
        <v/>
      </c>
      <c r="F7398" s="107" t="str">
        <f aca="false">IF($C7398="","",$D7398*$E7398)</f>
        <v/>
      </c>
      <c r="G7398" s="107" t="str">
        <f aca="false">IF($C7398="","",$D7398*IFERROR(INDEX('تحليل التكلفة والسعر'!$C$2:$C$700,MATCH($C7398,'تحليل التكلفة والسعر'!$B$2:$B$700,0)),0))</f>
        <v/>
      </c>
    </row>
    <row r="7399" customFormat="false" ht="15" hidden="false" customHeight="false" outlineLevel="0" collapsed="false">
      <c r="A7399" s="103"/>
      <c r="B7399" s="104"/>
      <c r="C7399" s="104"/>
      <c r="E7399" s="107" t="str">
        <f aca="false">IF($C7399="","",IFERROR(INDEX(المنيو!$C$2:$C$500,MATCH($C7399,المنيو!$B$2:$B$500,0)),0))</f>
        <v/>
      </c>
      <c r="F7399" s="107" t="str">
        <f aca="false">IF($C7399="","",$D7399*$E7399)</f>
        <v/>
      </c>
      <c r="G7399" s="107" t="str">
        <f aca="false">IF($C7399="","",$D7399*IFERROR(INDEX('تحليل التكلفة والسعر'!$C$2:$C$700,MATCH($C7399,'تحليل التكلفة والسعر'!$B$2:$B$700,0)),0))</f>
        <v/>
      </c>
    </row>
    <row r="7400" customFormat="false" ht="15" hidden="false" customHeight="false" outlineLevel="0" collapsed="false">
      <c r="A7400" s="103"/>
      <c r="B7400" s="104"/>
      <c r="C7400" s="104"/>
      <c r="E7400" s="107" t="str">
        <f aca="false">IF($C7400="","",IFERROR(INDEX(المنيو!$C$2:$C$500,MATCH($C7400,المنيو!$B$2:$B$500,0)),0))</f>
        <v/>
      </c>
      <c r="F7400" s="107" t="str">
        <f aca="false">IF($C7400="","",$D7400*$E7400)</f>
        <v/>
      </c>
      <c r="G7400" s="107" t="str">
        <f aca="false">IF($C7400="","",$D7400*IFERROR(INDEX('تحليل التكلفة والسعر'!$C$2:$C$700,MATCH($C7400,'تحليل التكلفة والسعر'!$B$2:$B$700,0)),0))</f>
        <v/>
      </c>
    </row>
    <row r="7401" customFormat="false" ht="15" hidden="false" customHeight="false" outlineLevel="0" collapsed="false">
      <c r="A7401" s="103"/>
      <c r="B7401" s="104"/>
      <c r="C7401" s="104"/>
      <c r="E7401" s="107" t="str">
        <f aca="false">IF($C7401="","",IFERROR(INDEX(المنيو!$C$2:$C$500,MATCH($C7401,المنيو!$B$2:$B$500,0)),0))</f>
        <v/>
      </c>
      <c r="F7401" s="107" t="str">
        <f aca="false">IF($C7401="","",$D7401*$E7401)</f>
        <v/>
      </c>
      <c r="G7401" s="107" t="str">
        <f aca="false">IF($C7401="","",$D7401*IFERROR(INDEX('تحليل التكلفة والسعر'!$C$2:$C$700,MATCH($C7401,'تحليل التكلفة والسعر'!$B$2:$B$700,0)),0))</f>
        <v/>
      </c>
    </row>
    <row r="7402" customFormat="false" ht="15" hidden="false" customHeight="false" outlineLevel="0" collapsed="false">
      <c r="A7402" s="103"/>
      <c r="B7402" s="104"/>
      <c r="C7402" s="104"/>
      <c r="E7402" s="107" t="str">
        <f aca="false">IF($C7402="","",IFERROR(INDEX(المنيو!$C$2:$C$500,MATCH($C7402,المنيو!$B$2:$B$500,0)),0))</f>
        <v/>
      </c>
      <c r="F7402" s="107" t="str">
        <f aca="false">IF($C7402="","",$D7402*$E7402)</f>
        <v/>
      </c>
      <c r="G7402" s="107" t="str">
        <f aca="false">IF($C7402="","",$D7402*IFERROR(INDEX('تحليل التكلفة والسعر'!$C$2:$C$700,MATCH($C7402,'تحليل التكلفة والسعر'!$B$2:$B$700,0)),0))</f>
        <v/>
      </c>
    </row>
    <row r="7403" customFormat="false" ht="15" hidden="false" customHeight="false" outlineLevel="0" collapsed="false">
      <c r="A7403" s="103"/>
      <c r="B7403" s="104"/>
      <c r="C7403" s="104"/>
      <c r="E7403" s="107" t="str">
        <f aca="false">IF($C7403="","",IFERROR(INDEX(المنيو!$C$2:$C$500,MATCH($C7403,المنيو!$B$2:$B$500,0)),0))</f>
        <v/>
      </c>
      <c r="F7403" s="107" t="str">
        <f aca="false">IF($C7403="","",$D7403*$E7403)</f>
        <v/>
      </c>
      <c r="G7403" s="107" t="str">
        <f aca="false">IF($C7403="","",$D7403*IFERROR(INDEX('تحليل التكلفة والسعر'!$C$2:$C$700,MATCH($C7403,'تحليل التكلفة والسعر'!$B$2:$B$700,0)),0))</f>
        <v/>
      </c>
    </row>
    <row r="7404" customFormat="false" ht="15" hidden="false" customHeight="false" outlineLevel="0" collapsed="false">
      <c r="A7404" s="103"/>
      <c r="B7404" s="104"/>
      <c r="C7404" s="104"/>
      <c r="E7404" s="107" t="str">
        <f aca="false">IF($C7404="","",IFERROR(INDEX(المنيو!$C$2:$C$500,MATCH($C7404,المنيو!$B$2:$B$500,0)),0))</f>
        <v/>
      </c>
      <c r="F7404" s="107" t="str">
        <f aca="false">IF($C7404="","",$D7404*$E7404)</f>
        <v/>
      </c>
      <c r="G7404" s="107" t="str">
        <f aca="false">IF($C7404="","",$D7404*IFERROR(INDEX('تحليل التكلفة والسعر'!$C$2:$C$700,MATCH($C7404,'تحليل التكلفة والسعر'!$B$2:$B$700,0)),0))</f>
        <v/>
      </c>
    </row>
    <row r="7405" customFormat="false" ht="15" hidden="false" customHeight="false" outlineLevel="0" collapsed="false">
      <c r="A7405" s="103"/>
      <c r="B7405" s="104"/>
      <c r="C7405" s="104"/>
      <c r="E7405" s="107" t="str">
        <f aca="false">IF($C7405="","",IFERROR(INDEX(المنيو!$C$2:$C$500,MATCH($C7405,المنيو!$B$2:$B$500,0)),0))</f>
        <v/>
      </c>
      <c r="F7405" s="107" t="str">
        <f aca="false">IF($C7405="","",$D7405*$E7405)</f>
        <v/>
      </c>
      <c r="G7405" s="107" t="str">
        <f aca="false">IF($C7405="","",$D7405*IFERROR(INDEX('تحليل التكلفة والسعر'!$C$2:$C$700,MATCH($C7405,'تحليل التكلفة والسعر'!$B$2:$B$700,0)),0))</f>
        <v/>
      </c>
    </row>
    <row r="7406" customFormat="false" ht="15" hidden="false" customHeight="false" outlineLevel="0" collapsed="false">
      <c r="A7406" s="103"/>
      <c r="B7406" s="104"/>
      <c r="C7406" s="104"/>
      <c r="E7406" s="107" t="str">
        <f aca="false">IF($C7406="","",IFERROR(INDEX(المنيو!$C$2:$C$500,MATCH($C7406,المنيو!$B$2:$B$500,0)),0))</f>
        <v/>
      </c>
      <c r="F7406" s="107" t="str">
        <f aca="false">IF($C7406="","",$D7406*$E7406)</f>
        <v/>
      </c>
      <c r="G7406" s="107" t="str">
        <f aca="false">IF($C7406="","",$D7406*IFERROR(INDEX('تحليل التكلفة والسعر'!$C$2:$C$700,MATCH($C7406,'تحليل التكلفة والسعر'!$B$2:$B$700,0)),0))</f>
        <v/>
      </c>
    </row>
    <row r="7407" customFormat="false" ht="15" hidden="false" customHeight="false" outlineLevel="0" collapsed="false">
      <c r="A7407" s="103"/>
      <c r="B7407" s="104"/>
      <c r="C7407" s="104"/>
      <c r="E7407" s="107" t="str">
        <f aca="false">IF($C7407="","",IFERROR(INDEX(المنيو!$C$2:$C$500,MATCH($C7407,المنيو!$B$2:$B$500,0)),0))</f>
        <v/>
      </c>
      <c r="F7407" s="107" t="str">
        <f aca="false">IF($C7407="","",$D7407*$E7407)</f>
        <v/>
      </c>
      <c r="G7407" s="107" t="str">
        <f aca="false">IF($C7407="","",$D7407*IFERROR(INDEX('تحليل التكلفة والسعر'!$C$2:$C$700,MATCH($C7407,'تحليل التكلفة والسعر'!$B$2:$B$700,0)),0))</f>
        <v/>
      </c>
    </row>
    <row r="7408" customFormat="false" ht="15" hidden="false" customHeight="false" outlineLevel="0" collapsed="false">
      <c r="A7408" s="103"/>
      <c r="B7408" s="104"/>
      <c r="C7408" s="104"/>
      <c r="E7408" s="107" t="str">
        <f aca="false">IF($C7408="","",IFERROR(INDEX(المنيو!$C$2:$C$500,MATCH($C7408,المنيو!$B$2:$B$500,0)),0))</f>
        <v/>
      </c>
      <c r="F7408" s="107" t="str">
        <f aca="false">IF($C7408="","",$D7408*$E7408)</f>
        <v/>
      </c>
      <c r="G7408" s="107" t="str">
        <f aca="false">IF($C7408="","",$D7408*IFERROR(INDEX('تحليل التكلفة والسعر'!$C$2:$C$700,MATCH($C7408,'تحليل التكلفة والسعر'!$B$2:$B$700,0)),0))</f>
        <v/>
      </c>
    </row>
    <row r="7409" customFormat="false" ht="15" hidden="false" customHeight="false" outlineLevel="0" collapsed="false">
      <c r="A7409" s="103"/>
      <c r="B7409" s="104"/>
      <c r="C7409" s="104"/>
      <c r="E7409" s="107" t="str">
        <f aca="false">IF($C7409="","",IFERROR(INDEX(المنيو!$C$2:$C$500,MATCH($C7409,المنيو!$B$2:$B$500,0)),0))</f>
        <v/>
      </c>
      <c r="F7409" s="107" t="str">
        <f aca="false">IF($C7409="","",$D7409*$E7409)</f>
        <v/>
      </c>
      <c r="G7409" s="107" t="str">
        <f aca="false">IF($C7409="","",$D7409*IFERROR(INDEX('تحليل التكلفة والسعر'!$C$2:$C$700,MATCH($C7409,'تحليل التكلفة والسعر'!$B$2:$B$700,0)),0))</f>
        <v/>
      </c>
    </row>
    <row r="7410" customFormat="false" ht="15" hidden="false" customHeight="false" outlineLevel="0" collapsed="false">
      <c r="A7410" s="103"/>
      <c r="B7410" s="104"/>
      <c r="C7410" s="104"/>
      <c r="E7410" s="107" t="str">
        <f aca="false">IF($C7410="","",IFERROR(INDEX(المنيو!$C$2:$C$500,MATCH($C7410,المنيو!$B$2:$B$500,0)),0))</f>
        <v/>
      </c>
      <c r="F7410" s="107" t="str">
        <f aca="false">IF($C7410="","",$D7410*$E7410)</f>
        <v/>
      </c>
      <c r="G7410" s="107" t="str">
        <f aca="false">IF($C7410="","",$D7410*IFERROR(INDEX('تحليل التكلفة والسعر'!$C$2:$C$700,MATCH($C7410,'تحليل التكلفة والسعر'!$B$2:$B$700,0)),0))</f>
        <v/>
      </c>
    </row>
    <row r="7411" customFormat="false" ht="15" hidden="false" customHeight="false" outlineLevel="0" collapsed="false">
      <c r="A7411" s="103"/>
      <c r="B7411" s="104"/>
      <c r="C7411" s="104"/>
      <c r="E7411" s="107" t="str">
        <f aca="false">IF($C7411="","",IFERROR(INDEX(المنيو!$C$2:$C$500,MATCH($C7411,المنيو!$B$2:$B$500,0)),0))</f>
        <v/>
      </c>
      <c r="F7411" s="107" t="str">
        <f aca="false">IF($C7411="","",$D7411*$E7411)</f>
        <v/>
      </c>
      <c r="G7411" s="107" t="str">
        <f aca="false">IF($C7411="","",$D7411*IFERROR(INDEX('تحليل التكلفة والسعر'!$C$2:$C$700,MATCH($C7411,'تحليل التكلفة والسعر'!$B$2:$B$700,0)),0))</f>
        <v/>
      </c>
    </row>
    <row r="7412" customFormat="false" ht="15" hidden="false" customHeight="false" outlineLevel="0" collapsed="false">
      <c r="A7412" s="103"/>
      <c r="B7412" s="104"/>
      <c r="C7412" s="104"/>
      <c r="E7412" s="107" t="str">
        <f aca="false">IF($C7412="","",IFERROR(INDEX(المنيو!$C$2:$C$500,MATCH($C7412,المنيو!$B$2:$B$500,0)),0))</f>
        <v/>
      </c>
      <c r="F7412" s="107" t="str">
        <f aca="false">IF($C7412="","",$D7412*$E7412)</f>
        <v/>
      </c>
      <c r="G7412" s="107" t="str">
        <f aca="false">IF($C7412="","",$D7412*IFERROR(INDEX('تحليل التكلفة والسعر'!$C$2:$C$700,MATCH($C7412,'تحليل التكلفة والسعر'!$B$2:$B$700,0)),0))</f>
        <v/>
      </c>
    </row>
    <row r="7413" customFormat="false" ht="15" hidden="false" customHeight="false" outlineLevel="0" collapsed="false">
      <c r="A7413" s="103"/>
      <c r="B7413" s="104"/>
      <c r="C7413" s="104"/>
      <c r="E7413" s="107" t="str">
        <f aca="false">IF($C7413="","",IFERROR(INDEX(المنيو!$C$2:$C$500,MATCH($C7413,المنيو!$B$2:$B$500,0)),0))</f>
        <v/>
      </c>
      <c r="F7413" s="107" t="str">
        <f aca="false">IF($C7413="","",$D7413*$E7413)</f>
        <v/>
      </c>
      <c r="G7413" s="107" t="str">
        <f aca="false">IF($C7413="","",$D7413*IFERROR(INDEX('تحليل التكلفة والسعر'!$C$2:$C$700,MATCH($C7413,'تحليل التكلفة والسعر'!$B$2:$B$700,0)),0))</f>
        <v/>
      </c>
    </row>
    <row r="7414" customFormat="false" ht="15" hidden="false" customHeight="false" outlineLevel="0" collapsed="false">
      <c r="A7414" s="103"/>
      <c r="B7414" s="104"/>
      <c r="C7414" s="104"/>
      <c r="E7414" s="107" t="str">
        <f aca="false">IF($C7414="","",IFERROR(INDEX(المنيو!$C$2:$C$500,MATCH($C7414,المنيو!$B$2:$B$500,0)),0))</f>
        <v/>
      </c>
      <c r="F7414" s="107" t="str">
        <f aca="false">IF($C7414="","",$D7414*$E7414)</f>
        <v/>
      </c>
      <c r="G7414" s="107" t="str">
        <f aca="false">IF($C7414="","",$D7414*IFERROR(INDEX('تحليل التكلفة والسعر'!$C$2:$C$700,MATCH($C7414,'تحليل التكلفة والسعر'!$B$2:$B$700,0)),0))</f>
        <v/>
      </c>
    </row>
    <row r="7415" customFormat="false" ht="15" hidden="false" customHeight="false" outlineLevel="0" collapsed="false">
      <c r="A7415" s="103"/>
      <c r="B7415" s="104"/>
      <c r="C7415" s="104"/>
      <c r="E7415" s="107" t="str">
        <f aca="false">IF($C7415="","",IFERROR(INDEX(المنيو!$C$2:$C$500,MATCH($C7415,المنيو!$B$2:$B$500,0)),0))</f>
        <v/>
      </c>
      <c r="F7415" s="107" t="str">
        <f aca="false">IF($C7415="","",$D7415*$E7415)</f>
        <v/>
      </c>
      <c r="G7415" s="107" t="str">
        <f aca="false">IF($C7415="","",$D7415*IFERROR(INDEX('تحليل التكلفة والسعر'!$C$2:$C$700,MATCH($C7415,'تحليل التكلفة والسعر'!$B$2:$B$700,0)),0))</f>
        <v/>
      </c>
    </row>
    <row r="7416" customFormat="false" ht="15" hidden="false" customHeight="false" outlineLevel="0" collapsed="false">
      <c r="A7416" s="103"/>
      <c r="B7416" s="104"/>
      <c r="C7416" s="104"/>
      <c r="E7416" s="107" t="str">
        <f aca="false">IF($C7416="","",IFERROR(INDEX(المنيو!$C$2:$C$500,MATCH($C7416,المنيو!$B$2:$B$500,0)),0))</f>
        <v/>
      </c>
      <c r="F7416" s="107" t="str">
        <f aca="false">IF($C7416="","",$D7416*$E7416)</f>
        <v/>
      </c>
      <c r="G7416" s="107" t="str">
        <f aca="false">IF($C7416="","",$D7416*IFERROR(INDEX('تحليل التكلفة والسعر'!$C$2:$C$700,MATCH($C7416,'تحليل التكلفة والسعر'!$B$2:$B$700,0)),0))</f>
        <v/>
      </c>
    </row>
    <row r="7417" customFormat="false" ht="15" hidden="false" customHeight="false" outlineLevel="0" collapsed="false">
      <c r="A7417" s="103"/>
      <c r="B7417" s="104"/>
      <c r="C7417" s="104"/>
      <c r="E7417" s="107" t="str">
        <f aca="false">IF($C7417="","",IFERROR(INDEX(المنيو!$C$2:$C$500,MATCH($C7417,المنيو!$B$2:$B$500,0)),0))</f>
        <v/>
      </c>
      <c r="F7417" s="107" t="str">
        <f aca="false">IF($C7417="","",$D7417*$E7417)</f>
        <v/>
      </c>
      <c r="G7417" s="107" t="str">
        <f aca="false">IF($C7417="","",$D7417*IFERROR(INDEX('تحليل التكلفة والسعر'!$C$2:$C$700,MATCH($C7417,'تحليل التكلفة والسعر'!$B$2:$B$700,0)),0))</f>
        <v/>
      </c>
    </row>
    <row r="7418" customFormat="false" ht="15" hidden="false" customHeight="false" outlineLevel="0" collapsed="false">
      <c r="A7418" s="103"/>
      <c r="B7418" s="104"/>
      <c r="C7418" s="104"/>
      <c r="E7418" s="107" t="str">
        <f aca="false">IF($C7418="","",IFERROR(INDEX(المنيو!$C$2:$C$500,MATCH($C7418,المنيو!$B$2:$B$500,0)),0))</f>
        <v/>
      </c>
      <c r="F7418" s="107" t="str">
        <f aca="false">IF($C7418="","",$D7418*$E7418)</f>
        <v/>
      </c>
      <c r="G7418" s="107" t="str">
        <f aca="false">IF($C7418="","",$D7418*IFERROR(INDEX('تحليل التكلفة والسعر'!$C$2:$C$700,MATCH($C7418,'تحليل التكلفة والسعر'!$B$2:$B$700,0)),0))</f>
        <v/>
      </c>
    </row>
    <row r="7419" customFormat="false" ht="15" hidden="false" customHeight="false" outlineLevel="0" collapsed="false">
      <c r="A7419" s="103"/>
      <c r="B7419" s="104"/>
      <c r="C7419" s="104"/>
      <c r="E7419" s="107" t="str">
        <f aca="false">IF($C7419="","",IFERROR(INDEX(المنيو!$C$2:$C$500,MATCH($C7419,المنيو!$B$2:$B$500,0)),0))</f>
        <v/>
      </c>
      <c r="F7419" s="107" t="str">
        <f aca="false">IF($C7419="","",$D7419*$E7419)</f>
        <v/>
      </c>
      <c r="G7419" s="107" t="str">
        <f aca="false">IF($C7419="","",$D7419*IFERROR(INDEX('تحليل التكلفة والسعر'!$C$2:$C$700,MATCH($C7419,'تحليل التكلفة والسعر'!$B$2:$B$700,0)),0))</f>
        <v/>
      </c>
    </row>
    <row r="7420" customFormat="false" ht="15" hidden="false" customHeight="false" outlineLevel="0" collapsed="false">
      <c r="A7420" s="103"/>
      <c r="B7420" s="104"/>
      <c r="C7420" s="104"/>
      <c r="E7420" s="107" t="str">
        <f aca="false">IF($C7420="","",IFERROR(INDEX(المنيو!$C$2:$C$500,MATCH($C7420,المنيو!$B$2:$B$500,0)),0))</f>
        <v/>
      </c>
      <c r="F7420" s="107" t="str">
        <f aca="false">IF($C7420="","",$D7420*$E7420)</f>
        <v/>
      </c>
      <c r="G7420" s="107" t="str">
        <f aca="false">IF($C7420="","",$D7420*IFERROR(INDEX('تحليل التكلفة والسعر'!$C$2:$C$700,MATCH($C7420,'تحليل التكلفة والسعر'!$B$2:$B$700,0)),0))</f>
        <v/>
      </c>
    </row>
    <row r="7421" customFormat="false" ht="15" hidden="false" customHeight="false" outlineLevel="0" collapsed="false">
      <c r="A7421" s="103"/>
      <c r="B7421" s="104"/>
      <c r="C7421" s="104"/>
      <c r="E7421" s="107" t="str">
        <f aca="false">IF($C7421="","",IFERROR(INDEX(المنيو!$C$2:$C$500,MATCH($C7421,المنيو!$B$2:$B$500,0)),0))</f>
        <v/>
      </c>
      <c r="F7421" s="107" t="str">
        <f aca="false">IF($C7421="","",$D7421*$E7421)</f>
        <v/>
      </c>
      <c r="G7421" s="107" t="str">
        <f aca="false">IF($C7421="","",$D7421*IFERROR(INDEX('تحليل التكلفة والسعر'!$C$2:$C$700,MATCH($C7421,'تحليل التكلفة والسعر'!$B$2:$B$700,0)),0))</f>
        <v/>
      </c>
    </row>
    <row r="7422" customFormat="false" ht="15" hidden="false" customHeight="false" outlineLevel="0" collapsed="false">
      <c r="A7422" s="103"/>
      <c r="B7422" s="104"/>
      <c r="C7422" s="104"/>
      <c r="E7422" s="107" t="str">
        <f aca="false">IF($C7422="","",IFERROR(INDEX(المنيو!$C$2:$C$500,MATCH($C7422,المنيو!$B$2:$B$500,0)),0))</f>
        <v/>
      </c>
      <c r="F7422" s="107" t="str">
        <f aca="false">IF($C7422="","",$D7422*$E7422)</f>
        <v/>
      </c>
      <c r="G7422" s="107" t="str">
        <f aca="false">IF($C7422="","",$D7422*IFERROR(INDEX('تحليل التكلفة والسعر'!$C$2:$C$700,MATCH($C7422,'تحليل التكلفة والسعر'!$B$2:$B$700,0)),0))</f>
        <v/>
      </c>
    </row>
    <row r="7423" customFormat="false" ht="15" hidden="false" customHeight="false" outlineLevel="0" collapsed="false">
      <c r="A7423" s="103"/>
      <c r="B7423" s="104"/>
      <c r="C7423" s="104"/>
      <c r="E7423" s="107" t="str">
        <f aca="false">IF($C7423="","",IFERROR(INDEX(المنيو!$C$2:$C$500,MATCH($C7423,المنيو!$B$2:$B$500,0)),0))</f>
        <v/>
      </c>
      <c r="F7423" s="107" t="str">
        <f aca="false">IF($C7423="","",$D7423*$E7423)</f>
        <v/>
      </c>
      <c r="G7423" s="107" t="str">
        <f aca="false">IF($C7423="","",$D7423*IFERROR(INDEX('تحليل التكلفة والسعر'!$C$2:$C$700,MATCH($C7423,'تحليل التكلفة والسعر'!$B$2:$B$700,0)),0))</f>
        <v/>
      </c>
    </row>
    <row r="7424" customFormat="false" ht="15" hidden="false" customHeight="false" outlineLevel="0" collapsed="false">
      <c r="A7424" s="103"/>
      <c r="B7424" s="104"/>
      <c r="C7424" s="104"/>
      <c r="E7424" s="107" t="str">
        <f aca="false">IF($C7424="","",IFERROR(INDEX(المنيو!$C$2:$C$500,MATCH($C7424,المنيو!$B$2:$B$500,0)),0))</f>
        <v/>
      </c>
      <c r="F7424" s="107" t="str">
        <f aca="false">IF($C7424="","",$D7424*$E7424)</f>
        <v/>
      </c>
      <c r="G7424" s="107" t="str">
        <f aca="false">IF($C7424="","",$D7424*IFERROR(INDEX('تحليل التكلفة والسعر'!$C$2:$C$700,MATCH($C7424,'تحليل التكلفة والسعر'!$B$2:$B$700,0)),0))</f>
        <v/>
      </c>
    </row>
    <row r="7425" customFormat="false" ht="15" hidden="false" customHeight="false" outlineLevel="0" collapsed="false">
      <c r="A7425" s="103"/>
      <c r="B7425" s="104"/>
      <c r="C7425" s="104"/>
      <c r="E7425" s="107" t="str">
        <f aca="false">IF($C7425="","",IFERROR(INDEX(المنيو!$C$2:$C$500,MATCH($C7425,المنيو!$B$2:$B$500,0)),0))</f>
        <v/>
      </c>
      <c r="F7425" s="107" t="str">
        <f aca="false">IF($C7425="","",$D7425*$E7425)</f>
        <v/>
      </c>
      <c r="G7425" s="107" t="str">
        <f aca="false">IF($C7425="","",$D7425*IFERROR(INDEX('تحليل التكلفة والسعر'!$C$2:$C$700,MATCH($C7425,'تحليل التكلفة والسعر'!$B$2:$B$700,0)),0))</f>
        <v/>
      </c>
    </row>
    <row r="7426" customFormat="false" ht="15" hidden="false" customHeight="false" outlineLevel="0" collapsed="false">
      <c r="A7426" s="103"/>
      <c r="B7426" s="104"/>
      <c r="C7426" s="104"/>
      <c r="E7426" s="107" t="str">
        <f aca="false">IF($C7426="","",IFERROR(INDEX(المنيو!$C$2:$C$500,MATCH($C7426,المنيو!$B$2:$B$500,0)),0))</f>
        <v/>
      </c>
      <c r="F7426" s="107" t="str">
        <f aca="false">IF($C7426="","",$D7426*$E7426)</f>
        <v/>
      </c>
      <c r="G7426" s="107" t="str">
        <f aca="false">IF($C7426="","",$D7426*IFERROR(INDEX('تحليل التكلفة والسعر'!$C$2:$C$700,MATCH($C7426,'تحليل التكلفة والسعر'!$B$2:$B$700,0)),0))</f>
        <v/>
      </c>
    </row>
    <row r="7427" customFormat="false" ht="15" hidden="false" customHeight="false" outlineLevel="0" collapsed="false">
      <c r="A7427" s="103"/>
      <c r="B7427" s="104"/>
      <c r="C7427" s="104"/>
      <c r="E7427" s="107" t="str">
        <f aca="false">IF($C7427="","",IFERROR(INDEX(المنيو!$C$2:$C$500,MATCH($C7427,المنيو!$B$2:$B$500,0)),0))</f>
        <v/>
      </c>
      <c r="F7427" s="107" t="str">
        <f aca="false">IF($C7427="","",$D7427*$E7427)</f>
        <v/>
      </c>
      <c r="G7427" s="107" t="str">
        <f aca="false">IF($C7427="","",$D7427*IFERROR(INDEX('تحليل التكلفة والسعر'!$C$2:$C$700,MATCH($C7427,'تحليل التكلفة والسعر'!$B$2:$B$700,0)),0))</f>
        <v/>
      </c>
    </row>
    <row r="7428" customFormat="false" ht="15" hidden="false" customHeight="false" outlineLevel="0" collapsed="false">
      <c r="A7428" s="103"/>
      <c r="B7428" s="104"/>
      <c r="C7428" s="104"/>
      <c r="E7428" s="107" t="str">
        <f aca="false">IF($C7428="","",IFERROR(INDEX(المنيو!$C$2:$C$500,MATCH($C7428,المنيو!$B$2:$B$500,0)),0))</f>
        <v/>
      </c>
      <c r="F7428" s="107" t="str">
        <f aca="false">IF($C7428="","",$D7428*$E7428)</f>
        <v/>
      </c>
      <c r="G7428" s="107" t="str">
        <f aca="false">IF($C7428="","",$D7428*IFERROR(INDEX('تحليل التكلفة والسعر'!$C$2:$C$700,MATCH($C7428,'تحليل التكلفة والسعر'!$B$2:$B$700,0)),0))</f>
        <v/>
      </c>
    </row>
    <row r="7429" customFormat="false" ht="15" hidden="false" customHeight="false" outlineLevel="0" collapsed="false">
      <c r="A7429" s="103"/>
      <c r="B7429" s="104"/>
      <c r="C7429" s="104"/>
      <c r="E7429" s="107" t="str">
        <f aca="false">IF($C7429="","",IFERROR(INDEX(المنيو!$C$2:$C$500,MATCH($C7429,المنيو!$B$2:$B$500,0)),0))</f>
        <v/>
      </c>
      <c r="F7429" s="107" t="str">
        <f aca="false">IF($C7429="","",$D7429*$E7429)</f>
        <v/>
      </c>
      <c r="G7429" s="107" t="str">
        <f aca="false">IF($C7429="","",$D7429*IFERROR(INDEX('تحليل التكلفة والسعر'!$C$2:$C$700,MATCH($C7429,'تحليل التكلفة والسعر'!$B$2:$B$700,0)),0))</f>
        <v/>
      </c>
    </row>
    <row r="7430" customFormat="false" ht="15" hidden="false" customHeight="false" outlineLevel="0" collapsed="false">
      <c r="A7430" s="103"/>
      <c r="B7430" s="104"/>
      <c r="C7430" s="104"/>
      <c r="E7430" s="107" t="str">
        <f aca="false">IF($C7430="","",IFERROR(INDEX(المنيو!$C$2:$C$500,MATCH($C7430,المنيو!$B$2:$B$500,0)),0))</f>
        <v/>
      </c>
      <c r="F7430" s="107" t="str">
        <f aca="false">IF($C7430="","",$D7430*$E7430)</f>
        <v/>
      </c>
      <c r="G7430" s="107" t="str">
        <f aca="false">IF($C7430="","",$D7430*IFERROR(INDEX('تحليل التكلفة والسعر'!$C$2:$C$700,MATCH($C7430,'تحليل التكلفة والسعر'!$B$2:$B$700,0)),0))</f>
        <v/>
      </c>
    </row>
    <row r="7431" customFormat="false" ht="15" hidden="false" customHeight="false" outlineLevel="0" collapsed="false">
      <c r="A7431" s="103"/>
      <c r="B7431" s="104"/>
      <c r="C7431" s="104"/>
      <c r="E7431" s="107" t="str">
        <f aca="false">IF($C7431="","",IFERROR(INDEX(المنيو!$C$2:$C$500,MATCH($C7431,المنيو!$B$2:$B$500,0)),0))</f>
        <v/>
      </c>
      <c r="F7431" s="107" t="str">
        <f aca="false">IF($C7431="","",$D7431*$E7431)</f>
        <v/>
      </c>
      <c r="G7431" s="107" t="str">
        <f aca="false">IF($C7431="","",$D7431*IFERROR(INDEX('تحليل التكلفة والسعر'!$C$2:$C$700,MATCH($C7431,'تحليل التكلفة والسعر'!$B$2:$B$700,0)),0))</f>
        <v/>
      </c>
    </row>
    <row r="7432" customFormat="false" ht="15" hidden="false" customHeight="false" outlineLevel="0" collapsed="false">
      <c r="A7432" s="103"/>
      <c r="B7432" s="104"/>
      <c r="C7432" s="104"/>
      <c r="E7432" s="107" t="str">
        <f aca="false">IF($C7432="","",IFERROR(INDEX(المنيو!$C$2:$C$500,MATCH($C7432,المنيو!$B$2:$B$500,0)),0))</f>
        <v/>
      </c>
      <c r="F7432" s="107" t="str">
        <f aca="false">IF($C7432="","",$D7432*$E7432)</f>
        <v/>
      </c>
      <c r="G7432" s="107" t="str">
        <f aca="false">IF($C7432="","",$D7432*IFERROR(INDEX('تحليل التكلفة والسعر'!$C$2:$C$700,MATCH($C7432,'تحليل التكلفة والسعر'!$B$2:$B$700,0)),0))</f>
        <v/>
      </c>
    </row>
    <row r="7433" customFormat="false" ht="15" hidden="false" customHeight="false" outlineLevel="0" collapsed="false">
      <c r="A7433" s="103"/>
      <c r="B7433" s="104"/>
      <c r="C7433" s="104"/>
      <c r="E7433" s="107" t="str">
        <f aca="false">IF($C7433="","",IFERROR(INDEX(المنيو!$C$2:$C$500,MATCH($C7433,المنيو!$B$2:$B$500,0)),0))</f>
        <v/>
      </c>
      <c r="F7433" s="107" t="str">
        <f aca="false">IF($C7433="","",$D7433*$E7433)</f>
        <v/>
      </c>
      <c r="G7433" s="107" t="str">
        <f aca="false">IF($C7433="","",$D7433*IFERROR(INDEX('تحليل التكلفة والسعر'!$C$2:$C$700,MATCH($C7433,'تحليل التكلفة والسعر'!$B$2:$B$700,0)),0))</f>
        <v/>
      </c>
    </row>
    <row r="7434" customFormat="false" ht="15" hidden="false" customHeight="false" outlineLevel="0" collapsed="false">
      <c r="A7434" s="103"/>
      <c r="B7434" s="104"/>
      <c r="C7434" s="104"/>
      <c r="E7434" s="107" t="str">
        <f aca="false">IF($C7434="","",IFERROR(INDEX(المنيو!$C$2:$C$500,MATCH($C7434,المنيو!$B$2:$B$500,0)),0))</f>
        <v/>
      </c>
      <c r="F7434" s="107" t="str">
        <f aca="false">IF($C7434="","",$D7434*$E7434)</f>
        <v/>
      </c>
      <c r="G7434" s="107" t="str">
        <f aca="false">IF($C7434="","",$D7434*IFERROR(INDEX('تحليل التكلفة والسعر'!$C$2:$C$700,MATCH($C7434,'تحليل التكلفة والسعر'!$B$2:$B$700,0)),0))</f>
        <v/>
      </c>
    </row>
    <row r="7435" customFormat="false" ht="15" hidden="false" customHeight="false" outlineLevel="0" collapsed="false">
      <c r="A7435" s="103"/>
      <c r="B7435" s="104"/>
      <c r="C7435" s="104"/>
      <c r="E7435" s="107" t="str">
        <f aca="false">IF($C7435="","",IFERROR(INDEX(المنيو!$C$2:$C$500,MATCH($C7435,المنيو!$B$2:$B$500,0)),0))</f>
        <v/>
      </c>
      <c r="F7435" s="107" t="str">
        <f aca="false">IF($C7435="","",$D7435*$E7435)</f>
        <v/>
      </c>
      <c r="G7435" s="107" t="str">
        <f aca="false">IF($C7435="","",$D7435*IFERROR(INDEX('تحليل التكلفة والسعر'!$C$2:$C$700,MATCH($C7435,'تحليل التكلفة والسعر'!$B$2:$B$700,0)),0))</f>
        <v/>
      </c>
    </row>
    <row r="7436" customFormat="false" ht="15" hidden="false" customHeight="false" outlineLevel="0" collapsed="false">
      <c r="A7436" s="103"/>
      <c r="B7436" s="104"/>
      <c r="C7436" s="104"/>
      <c r="E7436" s="107" t="str">
        <f aca="false">IF($C7436="","",IFERROR(INDEX(المنيو!$C$2:$C$500,MATCH($C7436,المنيو!$B$2:$B$500,0)),0))</f>
        <v/>
      </c>
      <c r="F7436" s="107" t="str">
        <f aca="false">IF($C7436="","",$D7436*$E7436)</f>
        <v/>
      </c>
      <c r="G7436" s="107" t="str">
        <f aca="false">IF($C7436="","",$D7436*IFERROR(INDEX('تحليل التكلفة والسعر'!$C$2:$C$700,MATCH($C7436,'تحليل التكلفة والسعر'!$B$2:$B$700,0)),0))</f>
        <v/>
      </c>
    </row>
    <row r="7437" customFormat="false" ht="15" hidden="false" customHeight="false" outlineLevel="0" collapsed="false">
      <c r="A7437" s="103"/>
      <c r="B7437" s="104"/>
      <c r="C7437" s="104"/>
      <c r="E7437" s="107" t="str">
        <f aca="false">IF($C7437="","",IFERROR(INDEX(المنيو!$C$2:$C$500,MATCH($C7437,المنيو!$B$2:$B$500,0)),0))</f>
        <v/>
      </c>
      <c r="F7437" s="107" t="str">
        <f aca="false">IF($C7437="","",$D7437*$E7437)</f>
        <v/>
      </c>
      <c r="G7437" s="107" t="str">
        <f aca="false">IF($C7437="","",$D7437*IFERROR(INDEX('تحليل التكلفة والسعر'!$C$2:$C$700,MATCH($C7437,'تحليل التكلفة والسعر'!$B$2:$B$700,0)),0))</f>
        <v/>
      </c>
    </row>
    <row r="7438" customFormat="false" ht="15" hidden="false" customHeight="false" outlineLevel="0" collapsed="false">
      <c r="A7438" s="103"/>
      <c r="B7438" s="104"/>
      <c r="C7438" s="104"/>
      <c r="E7438" s="107" t="str">
        <f aca="false">IF($C7438="","",IFERROR(INDEX(المنيو!$C$2:$C$500,MATCH($C7438,المنيو!$B$2:$B$500,0)),0))</f>
        <v/>
      </c>
      <c r="F7438" s="107" t="str">
        <f aca="false">IF($C7438="","",$D7438*$E7438)</f>
        <v/>
      </c>
      <c r="G7438" s="107" t="str">
        <f aca="false">IF($C7438="","",$D7438*IFERROR(INDEX('تحليل التكلفة والسعر'!$C$2:$C$700,MATCH($C7438,'تحليل التكلفة والسعر'!$B$2:$B$700,0)),0))</f>
        <v/>
      </c>
    </row>
    <row r="7439" customFormat="false" ht="15" hidden="false" customHeight="false" outlineLevel="0" collapsed="false">
      <c r="A7439" s="103"/>
      <c r="B7439" s="104"/>
      <c r="C7439" s="104"/>
      <c r="E7439" s="107" t="str">
        <f aca="false">IF($C7439="","",IFERROR(INDEX(المنيو!$C$2:$C$500,MATCH($C7439,المنيو!$B$2:$B$500,0)),0))</f>
        <v/>
      </c>
      <c r="F7439" s="107" t="str">
        <f aca="false">IF($C7439="","",$D7439*$E7439)</f>
        <v/>
      </c>
      <c r="G7439" s="107" t="str">
        <f aca="false">IF($C7439="","",$D7439*IFERROR(INDEX('تحليل التكلفة والسعر'!$C$2:$C$700,MATCH($C7439,'تحليل التكلفة والسعر'!$B$2:$B$700,0)),0))</f>
        <v/>
      </c>
    </row>
    <row r="7440" customFormat="false" ht="15" hidden="false" customHeight="false" outlineLevel="0" collapsed="false">
      <c r="A7440" s="103"/>
      <c r="B7440" s="104"/>
      <c r="C7440" s="104"/>
      <c r="E7440" s="107" t="str">
        <f aca="false">IF($C7440="","",IFERROR(INDEX(المنيو!$C$2:$C$500,MATCH($C7440,المنيو!$B$2:$B$500,0)),0))</f>
        <v/>
      </c>
      <c r="F7440" s="107" t="str">
        <f aca="false">IF($C7440="","",$D7440*$E7440)</f>
        <v/>
      </c>
      <c r="G7440" s="107" t="str">
        <f aca="false">IF($C7440="","",$D7440*IFERROR(INDEX('تحليل التكلفة والسعر'!$C$2:$C$700,MATCH($C7440,'تحليل التكلفة والسعر'!$B$2:$B$700,0)),0))</f>
        <v/>
      </c>
    </row>
    <row r="7441" customFormat="false" ht="15" hidden="false" customHeight="false" outlineLevel="0" collapsed="false">
      <c r="A7441" s="103"/>
      <c r="B7441" s="104"/>
      <c r="C7441" s="104"/>
      <c r="E7441" s="107" t="str">
        <f aca="false">IF($C7441="","",IFERROR(INDEX(المنيو!$C$2:$C$500,MATCH($C7441,المنيو!$B$2:$B$500,0)),0))</f>
        <v/>
      </c>
      <c r="F7441" s="107" t="str">
        <f aca="false">IF($C7441="","",$D7441*$E7441)</f>
        <v/>
      </c>
      <c r="G7441" s="107" t="str">
        <f aca="false">IF($C7441="","",$D7441*IFERROR(INDEX('تحليل التكلفة والسعر'!$C$2:$C$700,MATCH($C7441,'تحليل التكلفة والسعر'!$B$2:$B$700,0)),0))</f>
        <v/>
      </c>
    </row>
    <row r="7442" customFormat="false" ht="15" hidden="false" customHeight="false" outlineLevel="0" collapsed="false">
      <c r="A7442" s="103"/>
      <c r="B7442" s="104"/>
      <c r="C7442" s="104"/>
      <c r="E7442" s="107" t="str">
        <f aca="false">IF($C7442="","",IFERROR(INDEX(المنيو!$C$2:$C$500,MATCH($C7442,المنيو!$B$2:$B$500,0)),0))</f>
        <v/>
      </c>
      <c r="F7442" s="107" t="str">
        <f aca="false">IF($C7442="","",$D7442*$E7442)</f>
        <v/>
      </c>
      <c r="G7442" s="107" t="str">
        <f aca="false">IF($C7442="","",$D7442*IFERROR(INDEX('تحليل التكلفة والسعر'!$C$2:$C$700,MATCH($C7442,'تحليل التكلفة والسعر'!$B$2:$B$700,0)),0))</f>
        <v/>
      </c>
    </row>
    <row r="7443" customFormat="false" ht="15" hidden="false" customHeight="false" outlineLevel="0" collapsed="false">
      <c r="A7443" s="103"/>
      <c r="B7443" s="104"/>
      <c r="C7443" s="104"/>
      <c r="E7443" s="107" t="str">
        <f aca="false">IF($C7443="","",IFERROR(INDEX(المنيو!$C$2:$C$500,MATCH($C7443,المنيو!$B$2:$B$500,0)),0))</f>
        <v/>
      </c>
      <c r="F7443" s="107" t="str">
        <f aca="false">IF($C7443="","",$D7443*$E7443)</f>
        <v/>
      </c>
      <c r="G7443" s="107" t="str">
        <f aca="false">IF($C7443="","",$D7443*IFERROR(INDEX('تحليل التكلفة والسعر'!$C$2:$C$700,MATCH($C7443,'تحليل التكلفة والسعر'!$B$2:$B$700,0)),0))</f>
        <v/>
      </c>
    </row>
    <row r="7444" customFormat="false" ht="15" hidden="false" customHeight="false" outlineLevel="0" collapsed="false">
      <c r="A7444" s="103"/>
      <c r="B7444" s="104"/>
      <c r="C7444" s="104"/>
      <c r="E7444" s="107" t="str">
        <f aca="false">IF($C7444="","",IFERROR(INDEX(المنيو!$C$2:$C$500,MATCH($C7444,المنيو!$B$2:$B$500,0)),0))</f>
        <v/>
      </c>
      <c r="F7444" s="107" t="str">
        <f aca="false">IF($C7444="","",$D7444*$E7444)</f>
        <v/>
      </c>
      <c r="G7444" s="107" t="str">
        <f aca="false">IF($C7444="","",$D7444*IFERROR(INDEX('تحليل التكلفة والسعر'!$C$2:$C$700,MATCH($C7444,'تحليل التكلفة والسعر'!$B$2:$B$700,0)),0))</f>
        <v/>
      </c>
    </row>
    <row r="7445" customFormat="false" ht="15" hidden="false" customHeight="false" outlineLevel="0" collapsed="false">
      <c r="A7445" s="103"/>
      <c r="B7445" s="104"/>
      <c r="C7445" s="104"/>
      <c r="E7445" s="107" t="str">
        <f aca="false">IF($C7445="","",IFERROR(INDEX(المنيو!$C$2:$C$500,MATCH($C7445,المنيو!$B$2:$B$500,0)),0))</f>
        <v/>
      </c>
      <c r="F7445" s="107" t="str">
        <f aca="false">IF($C7445="","",$D7445*$E7445)</f>
        <v/>
      </c>
      <c r="G7445" s="107" t="str">
        <f aca="false">IF($C7445="","",$D7445*IFERROR(INDEX('تحليل التكلفة والسعر'!$C$2:$C$700,MATCH($C7445,'تحليل التكلفة والسعر'!$B$2:$B$700,0)),0))</f>
        <v/>
      </c>
    </row>
    <row r="7446" customFormat="false" ht="15" hidden="false" customHeight="false" outlineLevel="0" collapsed="false">
      <c r="A7446" s="103"/>
      <c r="B7446" s="104"/>
      <c r="C7446" s="104"/>
      <c r="E7446" s="107" t="str">
        <f aca="false">IF($C7446="","",IFERROR(INDEX(المنيو!$C$2:$C$500,MATCH($C7446,المنيو!$B$2:$B$500,0)),0))</f>
        <v/>
      </c>
      <c r="F7446" s="107" t="str">
        <f aca="false">IF($C7446="","",$D7446*$E7446)</f>
        <v/>
      </c>
      <c r="G7446" s="107" t="str">
        <f aca="false">IF($C7446="","",$D7446*IFERROR(INDEX('تحليل التكلفة والسعر'!$C$2:$C$700,MATCH($C7446,'تحليل التكلفة والسعر'!$B$2:$B$700,0)),0))</f>
        <v/>
      </c>
    </row>
    <row r="7447" customFormat="false" ht="15" hidden="false" customHeight="false" outlineLevel="0" collapsed="false">
      <c r="A7447" s="103"/>
      <c r="B7447" s="104"/>
      <c r="C7447" s="104"/>
      <c r="E7447" s="107" t="str">
        <f aca="false">IF($C7447="","",IFERROR(INDEX(المنيو!$C$2:$C$500,MATCH($C7447,المنيو!$B$2:$B$500,0)),0))</f>
        <v/>
      </c>
      <c r="F7447" s="107" t="str">
        <f aca="false">IF($C7447="","",$D7447*$E7447)</f>
        <v/>
      </c>
      <c r="G7447" s="107" t="str">
        <f aca="false">IF($C7447="","",$D7447*IFERROR(INDEX('تحليل التكلفة والسعر'!$C$2:$C$700,MATCH($C7447,'تحليل التكلفة والسعر'!$B$2:$B$700,0)),0))</f>
        <v/>
      </c>
    </row>
    <row r="7448" customFormat="false" ht="15" hidden="false" customHeight="false" outlineLevel="0" collapsed="false">
      <c r="A7448" s="103"/>
      <c r="B7448" s="104"/>
      <c r="C7448" s="104"/>
      <c r="E7448" s="107" t="str">
        <f aca="false">IF($C7448="","",IFERROR(INDEX(المنيو!$C$2:$C$500,MATCH($C7448,المنيو!$B$2:$B$500,0)),0))</f>
        <v/>
      </c>
      <c r="F7448" s="107" t="str">
        <f aca="false">IF($C7448="","",$D7448*$E7448)</f>
        <v/>
      </c>
      <c r="G7448" s="107" t="str">
        <f aca="false">IF($C7448="","",$D7448*IFERROR(INDEX('تحليل التكلفة والسعر'!$C$2:$C$700,MATCH($C7448,'تحليل التكلفة والسعر'!$B$2:$B$700,0)),0))</f>
        <v/>
      </c>
    </row>
    <row r="7449" customFormat="false" ht="15" hidden="false" customHeight="false" outlineLevel="0" collapsed="false">
      <c r="A7449" s="103"/>
      <c r="B7449" s="104"/>
      <c r="C7449" s="104"/>
      <c r="E7449" s="107" t="str">
        <f aca="false">IF($C7449="","",IFERROR(INDEX(المنيو!$C$2:$C$500,MATCH($C7449,المنيو!$B$2:$B$500,0)),0))</f>
        <v/>
      </c>
      <c r="F7449" s="107" t="str">
        <f aca="false">IF($C7449="","",$D7449*$E7449)</f>
        <v/>
      </c>
      <c r="G7449" s="107" t="str">
        <f aca="false">IF($C7449="","",$D7449*IFERROR(INDEX('تحليل التكلفة والسعر'!$C$2:$C$700,MATCH($C7449,'تحليل التكلفة والسعر'!$B$2:$B$700,0)),0))</f>
        <v/>
      </c>
    </row>
    <row r="7450" customFormat="false" ht="15" hidden="false" customHeight="false" outlineLevel="0" collapsed="false">
      <c r="A7450" s="103"/>
      <c r="B7450" s="104"/>
      <c r="C7450" s="104"/>
      <c r="E7450" s="107" t="str">
        <f aca="false">IF($C7450="","",IFERROR(INDEX(المنيو!$C$2:$C$500,MATCH($C7450,المنيو!$B$2:$B$500,0)),0))</f>
        <v/>
      </c>
      <c r="F7450" s="107" t="str">
        <f aca="false">IF($C7450="","",$D7450*$E7450)</f>
        <v/>
      </c>
      <c r="G7450" s="107" t="str">
        <f aca="false">IF($C7450="","",$D7450*IFERROR(INDEX('تحليل التكلفة والسعر'!$C$2:$C$700,MATCH($C7450,'تحليل التكلفة والسعر'!$B$2:$B$700,0)),0))</f>
        <v/>
      </c>
    </row>
    <row r="7451" customFormat="false" ht="15" hidden="false" customHeight="false" outlineLevel="0" collapsed="false">
      <c r="A7451" s="103"/>
      <c r="B7451" s="104"/>
      <c r="C7451" s="104"/>
      <c r="E7451" s="107" t="str">
        <f aca="false">IF($C7451="","",IFERROR(INDEX(المنيو!$C$2:$C$500,MATCH($C7451,المنيو!$B$2:$B$500,0)),0))</f>
        <v/>
      </c>
      <c r="F7451" s="107" t="str">
        <f aca="false">IF($C7451="","",$D7451*$E7451)</f>
        <v/>
      </c>
      <c r="G7451" s="107" t="str">
        <f aca="false">IF($C7451="","",$D7451*IFERROR(INDEX('تحليل التكلفة والسعر'!$C$2:$C$700,MATCH($C7451,'تحليل التكلفة والسعر'!$B$2:$B$700,0)),0))</f>
        <v/>
      </c>
    </row>
    <row r="7452" customFormat="false" ht="15" hidden="false" customHeight="false" outlineLevel="0" collapsed="false">
      <c r="A7452" s="103"/>
      <c r="B7452" s="104"/>
      <c r="C7452" s="104"/>
      <c r="E7452" s="107" t="str">
        <f aca="false">IF($C7452="","",IFERROR(INDEX(المنيو!$C$2:$C$500,MATCH($C7452,المنيو!$B$2:$B$500,0)),0))</f>
        <v/>
      </c>
      <c r="F7452" s="107" t="str">
        <f aca="false">IF($C7452="","",$D7452*$E7452)</f>
        <v/>
      </c>
      <c r="G7452" s="107" t="str">
        <f aca="false">IF($C7452="","",$D7452*IFERROR(INDEX('تحليل التكلفة والسعر'!$C$2:$C$700,MATCH($C7452,'تحليل التكلفة والسعر'!$B$2:$B$700,0)),0))</f>
        <v/>
      </c>
    </row>
    <row r="7453" customFormat="false" ht="15" hidden="false" customHeight="false" outlineLevel="0" collapsed="false">
      <c r="A7453" s="103"/>
      <c r="B7453" s="104"/>
      <c r="C7453" s="104"/>
      <c r="E7453" s="107" t="str">
        <f aca="false">IF($C7453="","",IFERROR(INDEX(المنيو!$C$2:$C$500,MATCH($C7453,المنيو!$B$2:$B$500,0)),0))</f>
        <v/>
      </c>
      <c r="F7453" s="107" t="str">
        <f aca="false">IF($C7453="","",$D7453*$E7453)</f>
        <v/>
      </c>
      <c r="G7453" s="107" t="str">
        <f aca="false">IF($C7453="","",$D7453*IFERROR(INDEX('تحليل التكلفة والسعر'!$C$2:$C$700,MATCH($C7453,'تحليل التكلفة والسعر'!$B$2:$B$700,0)),0))</f>
        <v/>
      </c>
    </row>
    <row r="7454" customFormat="false" ht="15" hidden="false" customHeight="false" outlineLevel="0" collapsed="false">
      <c r="A7454" s="103"/>
      <c r="B7454" s="104"/>
      <c r="C7454" s="104"/>
      <c r="E7454" s="107" t="str">
        <f aca="false">IF($C7454="","",IFERROR(INDEX(المنيو!$C$2:$C$500,MATCH($C7454,المنيو!$B$2:$B$500,0)),0))</f>
        <v/>
      </c>
      <c r="F7454" s="107" t="str">
        <f aca="false">IF($C7454="","",$D7454*$E7454)</f>
        <v/>
      </c>
      <c r="G7454" s="107" t="str">
        <f aca="false">IF($C7454="","",$D7454*IFERROR(INDEX('تحليل التكلفة والسعر'!$C$2:$C$700,MATCH($C7454,'تحليل التكلفة والسعر'!$B$2:$B$700,0)),0))</f>
        <v/>
      </c>
    </row>
    <row r="7455" customFormat="false" ht="15" hidden="false" customHeight="false" outlineLevel="0" collapsed="false">
      <c r="A7455" s="103"/>
      <c r="B7455" s="104"/>
      <c r="C7455" s="104"/>
      <c r="E7455" s="107" t="str">
        <f aca="false">IF($C7455="","",IFERROR(INDEX(المنيو!$C$2:$C$500,MATCH($C7455,المنيو!$B$2:$B$500,0)),0))</f>
        <v/>
      </c>
      <c r="F7455" s="107" t="str">
        <f aca="false">IF($C7455="","",$D7455*$E7455)</f>
        <v/>
      </c>
      <c r="G7455" s="107" t="str">
        <f aca="false">IF($C7455="","",$D7455*IFERROR(INDEX('تحليل التكلفة والسعر'!$C$2:$C$700,MATCH($C7455,'تحليل التكلفة والسعر'!$B$2:$B$700,0)),0))</f>
        <v/>
      </c>
    </row>
    <row r="7456" customFormat="false" ht="15" hidden="false" customHeight="false" outlineLevel="0" collapsed="false">
      <c r="A7456" s="103"/>
      <c r="B7456" s="104"/>
      <c r="C7456" s="104"/>
      <c r="E7456" s="107" t="str">
        <f aca="false">IF($C7456="","",IFERROR(INDEX(المنيو!$C$2:$C$500,MATCH($C7456,المنيو!$B$2:$B$500,0)),0))</f>
        <v/>
      </c>
      <c r="F7456" s="107" t="str">
        <f aca="false">IF($C7456="","",$D7456*$E7456)</f>
        <v/>
      </c>
      <c r="G7456" s="107" t="str">
        <f aca="false">IF($C7456="","",$D7456*IFERROR(INDEX('تحليل التكلفة والسعر'!$C$2:$C$700,MATCH($C7456,'تحليل التكلفة والسعر'!$B$2:$B$700,0)),0))</f>
        <v/>
      </c>
    </row>
    <row r="7457" customFormat="false" ht="15" hidden="false" customHeight="false" outlineLevel="0" collapsed="false">
      <c r="A7457" s="103"/>
      <c r="B7457" s="104"/>
      <c r="C7457" s="104"/>
      <c r="E7457" s="107" t="str">
        <f aca="false">IF($C7457="","",IFERROR(INDEX(المنيو!$C$2:$C$500,MATCH($C7457,المنيو!$B$2:$B$500,0)),0))</f>
        <v/>
      </c>
      <c r="F7457" s="107" t="str">
        <f aca="false">IF($C7457="","",$D7457*$E7457)</f>
        <v/>
      </c>
      <c r="G7457" s="107" t="str">
        <f aca="false">IF($C7457="","",$D7457*IFERROR(INDEX('تحليل التكلفة والسعر'!$C$2:$C$700,MATCH($C7457,'تحليل التكلفة والسعر'!$B$2:$B$700,0)),0))</f>
        <v/>
      </c>
    </row>
    <row r="7458" customFormat="false" ht="15" hidden="false" customHeight="false" outlineLevel="0" collapsed="false">
      <c r="A7458" s="103"/>
      <c r="B7458" s="104"/>
      <c r="C7458" s="104"/>
      <c r="E7458" s="107" t="str">
        <f aca="false">IF($C7458="","",IFERROR(INDEX(المنيو!$C$2:$C$500,MATCH($C7458,المنيو!$B$2:$B$500,0)),0))</f>
        <v/>
      </c>
      <c r="F7458" s="107" t="str">
        <f aca="false">IF($C7458="","",$D7458*$E7458)</f>
        <v/>
      </c>
      <c r="G7458" s="107" t="str">
        <f aca="false">IF($C7458="","",$D7458*IFERROR(INDEX('تحليل التكلفة والسعر'!$C$2:$C$700,MATCH($C7458,'تحليل التكلفة والسعر'!$B$2:$B$700,0)),0))</f>
        <v/>
      </c>
    </row>
    <row r="7459" customFormat="false" ht="15" hidden="false" customHeight="false" outlineLevel="0" collapsed="false">
      <c r="A7459" s="103"/>
      <c r="B7459" s="104"/>
      <c r="C7459" s="104"/>
      <c r="E7459" s="107" t="str">
        <f aca="false">IF($C7459="","",IFERROR(INDEX(المنيو!$C$2:$C$500,MATCH($C7459,المنيو!$B$2:$B$500,0)),0))</f>
        <v/>
      </c>
      <c r="F7459" s="107" t="str">
        <f aca="false">IF($C7459="","",$D7459*$E7459)</f>
        <v/>
      </c>
      <c r="G7459" s="107" t="str">
        <f aca="false">IF($C7459="","",$D7459*IFERROR(INDEX('تحليل التكلفة والسعر'!$C$2:$C$700,MATCH($C7459,'تحليل التكلفة والسعر'!$B$2:$B$700,0)),0))</f>
        <v/>
      </c>
    </row>
    <row r="7460" customFormat="false" ht="15" hidden="false" customHeight="false" outlineLevel="0" collapsed="false">
      <c r="A7460" s="103"/>
      <c r="B7460" s="104"/>
      <c r="C7460" s="104"/>
      <c r="E7460" s="107" t="str">
        <f aca="false">IF($C7460="","",IFERROR(INDEX(المنيو!$C$2:$C$500,MATCH($C7460,المنيو!$B$2:$B$500,0)),0))</f>
        <v/>
      </c>
      <c r="F7460" s="107" t="str">
        <f aca="false">IF($C7460="","",$D7460*$E7460)</f>
        <v/>
      </c>
      <c r="G7460" s="107" t="str">
        <f aca="false">IF($C7460="","",$D7460*IFERROR(INDEX('تحليل التكلفة والسعر'!$C$2:$C$700,MATCH($C7460,'تحليل التكلفة والسعر'!$B$2:$B$700,0)),0))</f>
        <v/>
      </c>
    </row>
    <row r="7461" customFormat="false" ht="15" hidden="false" customHeight="false" outlineLevel="0" collapsed="false">
      <c r="A7461" s="103"/>
      <c r="B7461" s="104"/>
      <c r="C7461" s="104"/>
      <c r="E7461" s="107" t="str">
        <f aca="false">IF($C7461="","",IFERROR(INDEX(المنيو!$C$2:$C$500,MATCH($C7461,المنيو!$B$2:$B$500,0)),0))</f>
        <v/>
      </c>
      <c r="F7461" s="107" t="str">
        <f aca="false">IF($C7461="","",$D7461*$E7461)</f>
        <v/>
      </c>
      <c r="G7461" s="107" t="str">
        <f aca="false">IF($C7461="","",$D7461*IFERROR(INDEX('تحليل التكلفة والسعر'!$C$2:$C$700,MATCH($C7461,'تحليل التكلفة والسعر'!$B$2:$B$700,0)),0))</f>
        <v/>
      </c>
    </row>
    <row r="7462" customFormat="false" ht="15" hidden="false" customHeight="false" outlineLevel="0" collapsed="false">
      <c r="A7462" s="103"/>
      <c r="B7462" s="104"/>
      <c r="C7462" s="104"/>
      <c r="E7462" s="107" t="str">
        <f aca="false">IF($C7462="","",IFERROR(INDEX(المنيو!$C$2:$C$500,MATCH($C7462,المنيو!$B$2:$B$500,0)),0))</f>
        <v/>
      </c>
      <c r="F7462" s="107" t="str">
        <f aca="false">IF($C7462="","",$D7462*$E7462)</f>
        <v/>
      </c>
      <c r="G7462" s="107" t="str">
        <f aca="false">IF($C7462="","",$D7462*IFERROR(INDEX('تحليل التكلفة والسعر'!$C$2:$C$700,MATCH($C7462,'تحليل التكلفة والسعر'!$B$2:$B$700,0)),0))</f>
        <v/>
      </c>
    </row>
    <row r="7463" customFormat="false" ht="15" hidden="false" customHeight="false" outlineLevel="0" collapsed="false">
      <c r="A7463" s="103"/>
      <c r="B7463" s="104"/>
      <c r="C7463" s="104"/>
      <c r="E7463" s="107" t="str">
        <f aca="false">IF($C7463="","",IFERROR(INDEX(المنيو!$C$2:$C$500,MATCH($C7463,المنيو!$B$2:$B$500,0)),0))</f>
        <v/>
      </c>
      <c r="F7463" s="107" t="str">
        <f aca="false">IF($C7463="","",$D7463*$E7463)</f>
        <v/>
      </c>
      <c r="G7463" s="107" t="str">
        <f aca="false">IF($C7463="","",$D7463*IFERROR(INDEX('تحليل التكلفة والسعر'!$C$2:$C$700,MATCH($C7463,'تحليل التكلفة والسعر'!$B$2:$B$700,0)),0))</f>
        <v/>
      </c>
    </row>
    <row r="7464" customFormat="false" ht="15" hidden="false" customHeight="false" outlineLevel="0" collapsed="false">
      <c r="A7464" s="103"/>
      <c r="B7464" s="104"/>
      <c r="C7464" s="104"/>
      <c r="E7464" s="107" t="str">
        <f aca="false">IF($C7464="","",IFERROR(INDEX(المنيو!$C$2:$C$500,MATCH($C7464,المنيو!$B$2:$B$500,0)),0))</f>
        <v/>
      </c>
      <c r="F7464" s="107" t="str">
        <f aca="false">IF($C7464="","",$D7464*$E7464)</f>
        <v/>
      </c>
      <c r="G7464" s="107" t="str">
        <f aca="false">IF($C7464="","",$D7464*IFERROR(INDEX('تحليل التكلفة والسعر'!$C$2:$C$700,MATCH($C7464,'تحليل التكلفة والسعر'!$B$2:$B$700,0)),0))</f>
        <v/>
      </c>
    </row>
    <row r="7465" customFormat="false" ht="15" hidden="false" customHeight="false" outlineLevel="0" collapsed="false">
      <c r="A7465" s="103"/>
      <c r="B7465" s="104"/>
      <c r="C7465" s="104"/>
      <c r="E7465" s="107" t="str">
        <f aca="false">IF($C7465="","",IFERROR(INDEX(المنيو!$C$2:$C$500,MATCH($C7465,المنيو!$B$2:$B$500,0)),0))</f>
        <v/>
      </c>
      <c r="F7465" s="107" t="str">
        <f aca="false">IF($C7465="","",$D7465*$E7465)</f>
        <v/>
      </c>
      <c r="G7465" s="107" t="str">
        <f aca="false">IF($C7465="","",$D7465*IFERROR(INDEX('تحليل التكلفة والسعر'!$C$2:$C$700,MATCH($C7465,'تحليل التكلفة والسعر'!$B$2:$B$700,0)),0))</f>
        <v/>
      </c>
    </row>
    <row r="7466" customFormat="false" ht="15" hidden="false" customHeight="false" outlineLevel="0" collapsed="false">
      <c r="A7466" s="103"/>
      <c r="B7466" s="104"/>
      <c r="C7466" s="104"/>
      <c r="E7466" s="107" t="str">
        <f aca="false">IF($C7466="","",IFERROR(INDEX(المنيو!$C$2:$C$500,MATCH($C7466,المنيو!$B$2:$B$500,0)),0))</f>
        <v/>
      </c>
      <c r="F7466" s="107" t="str">
        <f aca="false">IF($C7466="","",$D7466*$E7466)</f>
        <v/>
      </c>
      <c r="G7466" s="107" t="str">
        <f aca="false">IF($C7466="","",$D7466*IFERROR(INDEX('تحليل التكلفة والسعر'!$C$2:$C$700,MATCH($C7466,'تحليل التكلفة والسعر'!$B$2:$B$700,0)),0))</f>
        <v/>
      </c>
    </row>
    <row r="7467" customFormat="false" ht="15" hidden="false" customHeight="false" outlineLevel="0" collapsed="false">
      <c r="A7467" s="103"/>
      <c r="B7467" s="104"/>
      <c r="C7467" s="104"/>
      <c r="E7467" s="107" t="str">
        <f aca="false">IF($C7467="","",IFERROR(INDEX(المنيو!$C$2:$C$500,MATCH($C7467,المنيو!$B$2:$B$500,0)),0))</f>
        <v/>
      </c>
      <c r="F7467" s="107" t="str">
        <f aca="false">IF($C7467="","",$D7467*$E7467)</f>
        <v/>
      </c>
      <c r="G7467" s="107" t="str">
        <f aca="false">IF($C7467="","",$D7467*IFERROR(INDEX('تحليل التكلفة والسعر'!$C$2:$C$700,MATCH($C7467,'تحليل التكلفة والسعر'!$B$2:$B$700,0)),0))</f>
        <v/>
      </c>
    </row>
    <row r="7468" customFormat="false" ht="15" hidden="false" customHeight="false" outlineLevel="0" collapsed="false">
      <c r="A7468" s="103"/>
      <c r="B7468" s="104"/>
      <c r="C7468" s="104"/>
      <c r="E7468" s="107" t="str">
        <f aca="false">IF($C7468="","",IFERROR(INDEX(المنيو!$C$2:$C$500,MATCH($C7468,المنيو!$B$2:$B$500,0)),0))</f>
        <v/>
      </c>
      <c r="F7468" s="107" t="str">
        <f aca="false">IF($C7468="","",$D7468*$E7468)</f>
        <v/>
      </c>
      <c r="G7468" s="107" t="str">
        <f aca="false">IF($C7468="","",$D7468*IFERROR(INDEX('تحليل التكلفة والسعر'!$C$2:$C$700,MATCH($C7468,'تحليل التكلفة والسعر'!$B$2:$B$700,0)),0))</f>
        <v/>
      </c>
    </row>
    <row r="7469" customFormat="false" ht="15" hidden="false" customHeight="false" outlineLevel="0" collapsed="false">
      <c r="A7469" s="103"/>
      <c r="B7469" s="104"/>
      <c r="C7469" s="104"/>
      <c r="E7469" s="107" t="str">
        <f aca="false">IF($C7469="","",IFERROR(INDEX(المنيو!$C$2:$C$500,MATCH($C7469,المنيو!$B$2:$B$500,0)),0))</f>
        <v/>
      </c>
      <c r="F7469" s="107" t="str">
        <f aca="false">IF($C7469="","",$D7469*$E7469)</f>
        <v/>
      </c>
      <c r="G7469" s="107" t="str">
        <f aca="false">IF($C7469="","",$D7469*IFERROR(INDEX('تحليل التكلفة والسعر'!$C$2:$C$700,MATCH($C7469,'تحليل التكلفة والسعر'!$B$2:$B$700,0)),0))</f>
        <v/>
      </c>
    </row>
    <row r="7470" customFormat="false" ht="15" hidden="false" customHeight="false" outlineLevel="0" collapsed="false">
      <c r="A7470" s="103"/>
      <c r="B7470" s="104"/>
      <c r="C7470" s="104"/>
      <c r="E7470" s="107" t="str">
        <f aca="false">IF($C7470="","",IFERROR(INDEX(المنيو!$C$2:$C$500,MATCH($C7470,المنيو!$B$2:$B$500,0)),0))</f>
        <v/>
      </c>
      <c r="F7470" s="107" t="str">
        <f aca="false">IF($C7470="","",$D7470*$E7470)</f>
        <v/>
      </c>
      <c r="G7470" s="107" t="str">
        <f aca="false">IF($C7470="","",$D7470*IFERROR(INDEX('تحليل التكلفة والسعر'!$C$2:$C$700,MATCH($C7470,'تحليل التكلفة والسعر'!$B$2:$B$700,0)),0))</f>
        <v/>
      </c>
    </row>
    <row r="7471" customFormat="false" ht="15" hidden="false" customHeight="false" outlineLevel="0" collapsed="false">
      <c r="A7471" s="103"/>
      <c r="B7471" s="104"/>
      <c r="C7471" s="104"/>
      <c r="E7471" s="107" t="str">
        <f aca="false">IF($C7471="","",IFERROR(INDEX(المنيو!$C$2:$C$500,MATCH($C7471,المنيو!$B$2:$B$500,0)),0))</f>
        <v/>
      </c>
      <c r="F7471" s="107" t="str">
        <f aca="false">IF($C7471="","",$D7471*$E7471)</f>
        <v/>
      </c>
      <c r="G7471" s="107" t="str">
        <f aca="false">IF($C7471="","",$D7471*IFERROR(INDEX('تحليل التكلفة والسعر'!$C$2:$C$700,MATCH($C7471,'تحليل التكلفة والسعر'!$B$2:$B$700,0)),0))</f>
        <v/>
      </c>
    </row>
    <row r="7472" customFormat="false" ht="15" hidden="false" customHeight="false" outlineLevel="0" collapsed="false">
      <c r="A7472" s="103"/>
      <c r="B7472" s="104"/>
      <c r="C7472" s="104"/>
      <c r="E7472" s="107" t="str">
        <f aca="false">IF($C7472="","",IFERROR(INDEX(المنيو!$C$2:$C$500,MATCH($C7472,المنيو!$B$2:$B$500,0)),0))</f>
        <v/>
      </c>
      <c r="F7472" s="107" t="str">
        <f aca="false">IF($C7472="","",$D7472*$E7472)</f>
        <v/>
      </c>
      <c r="G7472" s="107" t="str">
        <f aca="false">IF($C7472="","",$D7472*IFERROR(INDEX('تحليل التكلفة والسعر'!$C$2:$C$700,MATCH($C7472,'تحليل التكلفة والسعر'!$B$2:$B$700,0)),0))</f>
        <v/>
      </c>
    </row>
    <row r="7473" customFormat="false" ht="15" hidden="false" customHeight="false" outlineLevel="0" collapsed="false">
      <c r="A7473" s="103"/>
      <c r="B7473" s="104"/>
      <c r="C7473" s="104"/>
      <c r="E7473" s="107" t="str">
        <f aca="false">IF($C7473="","",IFERROR(INDEX(المنيو!$C$2:$C$500,MATCH($C7473,المنيو!$B$2:$B$500,0)),0))</f>
        <v/>
      </c>
      <c r="F7473" s="107" t="str">
        <f aca="false">IF($C7473="","",$D7473*$E7473)</f>
        <v/>
      </c>
      <c r="G7473" s="107" t="str">
        <f aca="false">IF($C7473="","",$D7473*IFERROR(INDEX('تحليل التكلفة والسعر'!$C$2:$C$700,MATCH($C7473,'تحليل التكلفة والسعر'!$B$2:$B$700,0)),0))</f>
        <v/>
      </c>
    </row>
    <row r="7474" customFormat="false" ht="15" hidden="false" customHeight="false" outlineLevel="0" collapsed="false">
      <c r="A7474" s="103"/>
      <c r="B7474" s="104"/>
      <c r="C7474" s="104"/>
      <c r="E7474" s="107" t="str">
        <f aca="false">IF($C7474="","",IFERROR(INDEX(المنيو!$C$2:$C$500,MATCH($C7474,المنيو!$B$2:$B$500,0)),0))</f>
        <v/>
      </c>
      <c r="F7474" s="107" t="str">
        <f aca="false">IF($C7474="","",$D7474*$E7474)</f>
        <v/>
      </c>
      <c r="G7474" s="107" t="str">
        <f aca="false">IF($C7474="","",$D7474*IFERROR(INDEX('تحليل التكلفة والسعر'!$C$2:$C$700,MATCH($C7474,'تحليل التكلفة والسعر'!$B$2:$B$700,0)),0))</f>
        <v/>
      </c>
    </row>
    <row r="7475" customFormat="false" ht="15" hidden="false" customHeight="false" outlineLevel="0" collapsed="false">
      <c r="A7475" s="103"/>
      <c r="B7475" s="104"/>
      <c r="C7475" s="104"/>
      <c r="E7475" s="107" t="str">
        <f aca="false">IF($C7475="","",IFERROR(INDEX(المنيو!$C$2:$C$500,MATCH($C7475,المنيو!$B$2:$B$500,0)),0))</f>
        <v/>
      </c>
      <c r="F7475" s="107" t="str">
        <f aca="false">IF($C7475="","",$D7475*$E7475)</f>
        <v/>
      </c>
      <c r="G7475" s="107" t="str">
        <f aca="false">IF($C7475="","",$D7475*IFERROR(INDEX('تحليل التكلفة والسعر'!$C$2:$C$700,MATCH($C7475,'تحليل التكلفة والسعر'!$B$2:$B$700,0)),0))</f>
        <v/>
      </c>
    </row>
    <row r="7476" customFormat="false" ht="15" hidden="false" customHeight="false" outlineLevel="0" collapsed="false">
      <c r="A7476" s="103"/>
      <c r="B7476" s="104"/>
      <c r="C7476" s="104"/>
      <c r="E7476" s="107" t="str">
        <f aca="false">IF($C7476="","",IFERROR(INDEX(المنيو!$C$2:$C$500,MATCH($C7476,المنيو!$B$2:$B$500,0)),0))</f>
        <v/>
      </c>
      <c r="F7476" s="107" t="str">
        <f aca="false">IF($C7476="","",$D7476*$E7476)</f>
        <v/>
      </c>
      <c r="G7476" s="107" t="str">
        <f aca="false">IF($C7476="","",$D7476*IFERROR(INDEX('تحليل التكلفة والسعر'!$C$2:$C$700,MATCH($C7476,'تحليل التكلفة والسعر'!$B$2:$B$700,0)),0))</f>
        <v/>
      </c>
    </row>
    <row r="7477" customFormat="false" ht="15" hidden="false" customHeight="false" outlineLevel="0" collapsed="false">
      <c r="A7477" s="103"/>
      <c r="B7477" s="104"/>
      <c r="C7477" s="104"/>
      <c r="E7477" s="107" t="str">
        <f aca="false">IF($C7477="","",IFERROR(INDEX(المنيو!$C$2:$C$500,MATCH($C7477,المنيو!$B$2:$B$500,0)),0))</f>
        <v/>
      </c>
      <c r="F7477" s="107" t="str">
        <f aca="false">IF($C7477="","",$D7477*$E7477)</f>
        <v/>
      </c>
      <c r="G7477" s="107" t="str">
        <f aca="false">IF($C7477="","",$D7477*IFERROR(INDEX('تحليل التكلفة والسعر'!$C$2:$C$700,MATCH($C7477,'تحليل التكلفة والسعر'!$B$2:$B$700,0)),0))</f>
        <v/>
      </c>
    </row>
    <row r="7478" customFormat="false" ht="15" hidden="false" customHeight="false" outlineLevel="0" collapsed="false">
      <c r="A7478" s="103"/>
      <c r="B7478" s="104"/>
      <c r="C7478" s="104"/>
      <c r="E7478" s="107" t="str">
        <f aca="false">IF($C7478="","",IFERROR(INDEX(المنيو!$C$2:$C$500,MATCH($C7478,المنيو!$B$2:$B$500,0)),0))</f>
        <v/>
      </c>
      <c r="F7478" s="107" t="str">
        <f aca="false">IF($C7478="","",$D7478*$E7478)</f>
        <v/>
      </c>
      <c r="G7478" s="107" t="str">
        <f aca="false">IF($C7478="","",$D7478*IFERROR(INDEX('تحليل التكلفة والسعر'!$C$2:$C$700,MATCH($C7478,'تحليل التكلفة والسعر'!$B$2:$B$700,0)),0))</f>
        <v/>
      </c>
    </row>
    <row r="7479" customFormat="false" ht="15" hidden="false" customHeight="false" outlineLevel="0" collapsed="false">
      <c r="A7479" s="103"/>
      <c r="B7479" s="104"/>
      <c r="C7479" s="104"/>
      <c r="E7479" s="107" t="str">
        <f aca="false">IF($C7479="","",IFERROR(INDEX(المنيو!$C$2:$C$500,MATCH($C7479,المنيو!$B$2:$B$500,0)),0))</f>
        <v/>
      </c>
      <c r="F7479" s="107" t="str">
        <f aca="false">IF($C7479="","",$D7479*$E7479)</f>
        <v/>
      </c>
      <c r="G7479" s="107" t="str">
        <f aca="false">IF($C7479="","",$D7479*IFERROR(INDEX('تحليل التكلفة والسعر'!$C$2:$C$700,MATCH($C7479,'تحليل التكلفة والسعر'!$B$2:$B$700,0)),0))</f>
        <v/>
      </c>
    </row>
    <row r="7480" customFormat="false" ht="15" hidden="false" customHeight="false" outlineLevel="0" collapsed="false">
      <c r="A7480" s="103"/>
      <c r="B7480" s="104"/>
      <c r="C7480" s="104"/>
      <c r="E7480" s="107" t="str">
        <f aca="false">IF($C7480="","",IFERROR(INDEX(المنيو!$C$2:$C$500,MATCH($C7480,المنيو!$B$2:$B$500,0)),0))</f>
        <v/>
      </c>
      <c r="F7480" s="107" t="str">
        <f aca="false">IF($C7480="","",$D7480*$E7480)</f>
        <v/>
      </c>
      <c r="G7480" s="107" t="str">
        <f aca="false">IF($C7480="","",$D7480*IFERROR(INDEX('تحليل التكلفة والسعر'!$C$2:$C$700,MATCH($C7480,'تحليل التكلفة والسعر'!$B$2:$B$700,0)),0))</f>
        <v/>
      </c>
    </row>
    <row r="7481" customFormat="false" ht="15" hidden="false" customHeight="false" outlineLevel="0" collapsed="false">
      <c r="A7481" s="103"/>
      <c r="B7481" s="104"/>
      <c r="C7481" s="104"/>
      <c r="E7481" s="107" t="str">
        <f aca="false">IF($C7481="","",IFERROR(INDEX(المنيو!$C$2:$C$500,MATCH($C7481,المنيو!$B$2:$B$500,0)),0))</f>
        <v/>
      </c>
      <c r="F7481" s="107" t="str">
        <f aca="false">IF($C7481="","",$D7481*$E7481)</f>
        <v/>
      </c>
      <c r="G7481" s="107" t="str">
        <f aca="false">IF($C7481="","",$D7481*IFERROR(INDEX('تحليل التكلفة والسعر'!$C$2:$C$700,MATCH($C7481,'تحليل التكلفة والسعر'!$B$2:$B$700,0)),0))</f>
        <v/>
      </c>
    </row>
    <row r="7482" customFormat="false" ht="15" hidden="false" customHeight="false" outlineLevel="0" collapsed="false">
      <c r="A7482" s="103"/>
      <c r="B7482" s="104"/>
      <c r="C7482" s="104"/>
      <c r="E7482" s="107" t="str">
        <f aca="false">IF($C7482="","",IFERROR(INDEX(المنيو!$C$2:$C$500,MATCH($C7482,المنيو!$B$2:$B$500,0)),0))</f>
        <v/>
      </c>
      <c r="F7482" s="107" t="str">
        <f aca="false">IF($C7482="","",$D7482*$E7482)</f>
        <v/>
      </c>
      <c r="G7482" s="107" t="str">
        <f aca="false">IF($C7482="","",$D7482*IFERROR(INDEX('تحليل التكلفة والسعر'!$C$2:$C$700,MATCH($C7482,'تحليل التكلفة والسعر'!$B$2:$B$700,0)),0))</f>
        <v/>
      </c>
    </row>
    <row r="7483" customFormat="false" ht="15" hidden="false" customHeight="false" outlineLevel="0" collapsed="false">
      <c r="A7483" s="103"/>
      <c r="B7483" s="104"/>
      <c r="C7483" s="104"/>
      <c r="E7483" s="107" t="str">
        <f aca="false">IF($C7483="","",IFERROR(INDEX(المنيو!$C$2:$C$500,MATCH($C7483,المنيو!$B$2:$B$500,0)),0))</f>
        <v/>
      </c>
      <c r="F7483" s="107" t="str">
        <f aca="false">IF($C7483="","",$D7483*$E7483)</f>
        <v/>
      </c>
      <c r="G7483" s="107" t="str">
        <f aca="false">IF($C7483="","",$D7483*IFERROR(INDEX('تحليل التكلفة والسعر'!$C$2:$C$700,MATCH($C7483,'تحليل التكلفة والسعر'!$B$2:$B$700,0)),0))</f>
        <v/>
      </c>
    </row>
    <row r="7484" customFormat="false" ht="15" hidden="false" customHeight="false" outlineLevel="0" collapsed="false">
      <c r="A7484" s="103"/>
      <c r="B7484" s="104"/>
      <c r="C7484" s="104"/>
      <c r="E7484" s="107" t="str">
        <f aca="false">IF($C7484="","",IFERROR(INDEX(المنيو!$C$2:$C$500,MATCH($C7484,المنيو!$B$2:$B$500,0)),0))</f>
        <v/>
      </c>
      <c r="F7484" s="107" t="str">
        <f aca="false">IF($C7484="","",$D7484*$E7484)</f>
        <v/>
      </c>
      <c r="G7484" s="107" t="str">
        <f aca="false">IF($C7484="","",$D7484*IFERROR(INDEX('تحليل التكلفة والسعر'!$C$2:$C$700,MATCH($C7484,'تحليل التكلفة والسعر'!$B$2:$B$700,0)),0))</f>
        <v/>
      </c>
    </row>
    <row r="7485" customFormat="false" ht="15" hidden="false" customHeight="false" outlineLevel="0" collapsed="false">
      <c r="A7485" s="103"/>
      <c r="B7485" s="104"/>
      <c r="C7485" s="104"/>
      <c r="E7485" s="107" t="str">
        <f aca="false">IF($C7485="","",IFERROR(INDEX(المنيو!$C$2:$C$500,MATCH($C7485,المنيو!$B$2:$B$500,0)),0))</f>
        <v/>
      </c>
      <c r="F7485" s="107" t="str">
        <f aca="false">IF($C7485="","",$D7485*$E7485)</f>
        <v/>
      </c>
      <c r="G7485" s="107" t="str">
        <f aca="false">IF($C7485="","",$D7485*IFERROR(INDEX('تحليل التكلفة والسعر'!$C$2:$C$700,MATCH($C7485,'تحليل التكلفة والسعر'!$B$2:$B$700,0)),0))</f>
        <v/>
      </c>
    </row>
    <row r="7486" customFormat="false" ht="15" hidden="false" customHeight="false" outlineLevel="0" collapsed="false">
      <c r="A7486" s="103"/>
      <c r="B7486" s="104"/>
      <c r="C7486" s="104"/>
      <c r="E7486" s="107" t="str">
        <f aca="false">IF($C7486="","",IFERROR(INDEX(المنيو!$C$2:$C$500,MATCH($C7486,المنيو!$B$2:$B$500,0)),0))</f>
        <v/>
      </c>
      <c r="F7486" s="107" t="str">
        <f aca="false">IF($C7486="","",$D7486*$E7486)</f>
        <v/>
      </c>
      <c r="G7486" s="107" t="str">
        <f aca="false">IF($C7486="","",$D7486*IFERROR(INDEX('تحليل التكلفة والسعر'!$C$2:$C$700,MATCH($C7486,'تحليل التكلفة والسعر'!$B$2:$B$700,0)),0))</f>
        <v/>
      </c>
    </row>
    <row r="7487" customFormat="false" ht="15" hidden="false" customHeight="false" outlineLevel="0" collapsed="false">
      <c r="A7487" s="103"/>
      <c r="B7487" s="104"/>
      <c r="C7487" s="104"/>
      <c r="E7487" s="107" t="str">
        <f aca="false">IF($C7487="","",IFERROR(INDEX(المنيو!$C$2:$C$500,MATCH($C7487,المنيو!$B$2:$B$500,0)),0))</f>
        <v/>
      </c>
      <c r="F7487" s="107" t="str">
        <f aca="false">IF($C7487="","",$D7487*$E7487)</f>
        <v/>
      </c>
      <c r="G7487" s="107" t="str">
        <f aca="false">IF($C7487="","",$D7487*IFERROR(INDEX('تحليل التكلفة والسعر'!$C$2:$C$700,MATCH($C7487,'تحليل التكلفة والسعر'!$B$2:$B$700,0)),0))</f>
        <v/>
      </c>
    </row>
    <row r="7488" customFormat="false" ht="15" hidden="false" customHeight="false" outlineLevel="0" collapsed="false">
      <c r="A7488" s="103"/>
      <c r="B7488" s="104"/>
      <c r="C7488" s="104"/>
      <c r="E7488" s="107" t="str">
        <f aca="false">IF($C7488="","",IFERROR(INDEX(المنيو!$C$2:$C$500,MATCH($C7488,المنيو!$B$2:$B$500,0)),0))</f>
        <v/>
      </c>
      <c r="F7488" s="107" t="str">
        <f aca="false">IF($C7488="","",$D7488*$E7488)</f>
        <v/>
      </c>
      <c r="G7488" s="107" t="str">
        <f aca="false">IF($C7488="","",$D7488*IFERROR(INDEX('تحليل التكلفة والسعر'!$C$2:$C$700,MATCH($C7488,'تحليل التكلفة والسعر'!$B$2:$B$700,0)),0))</f>
        <v/>
      </c>
    </row>
    <row r="7489" customFormat="false" ht="15" hidden="false" customHeight="false" outlineLevel="0" collapsed="false">
      <c r="A7489" s="103"/>
      <c r="B7489" s="104"/>
      <c r="C7489" s="104"/>
      <c r="E7489" s="107" t="str">
        <f aca="false">IF($C7489="","",IFERROR(INDEX(المنيو!$C$2:$C$500,MATCH($C7489,المنيو!$B$2:$B$500,0)),0))</f>
        <v/>
      </c>
      <c r="F7489" s="107" t="str">
        <f aca="false">IF($C7489="","",$D7489*$E7489)</f>
        <v/>
      </c>
      <c r="G7489" s="107" t="str">
        <f aca="false">IF($C7489="","",$D7489*IFERROR(INDEX('تحليل التكلفة والسعر'!$C$2:$C$700,MATCH($C7489,'تحليل التكلفة والسعر'!$B$2:$B$700,0)),0))</f>
        <v/>
      </c>
    </row>
    <row r="7490" customFormat="false" ht="15" hidden="false" customHeight="false" outlineLevel="0" collapsed="false">
      <c r="A7490" s="103"/>
      <c r="B7490" s="104"/>
      <c r="C7490" s="104"/>
      <c r="E7490" s="107" t="str">
        <f aca="false">IF($C7490="","",IFERROR(INDEX(المنيو!$C$2:$C$500,MATCH($C7490,المنيو!$B$2:$B$500,0)),0))</f>
        <v/>
      </c>
      <c r="F7490" s="107" t="str">
        <f aca="false">IF($C7490="","",$D7490*$E7490)</f>
        <v/>
      </c>
      <c r="G7490" s="107" t="str">
        <f aca="false">IF($C7490="","",$D7490*IFERROR(INDEX('تحليل التكلفة والسعر'!$C$2:$C$700,MATCH($C7490,'تحليل التكلفة والسعر'!$B$2:$B$700,0)),0))</f>
        <v/>
      </c>
    </row>
    <row r="7491" customFormat="false" ht="15" hidden="false" customHeight="false" outlineLevel="0" collapsed="false">
      <c r="A7491" s="103"/>
      <c r="B7491" s="104"/>
      <c r="C7491" s="104"/>
      <c r="E7491" s="107" t="str">
        <f aca="false">IF($C7491="","",IFERROR(INDEX(المنيو!$C$2:$C$500,MATCH($C7491,المنيو!$B$2:$B$500,0)),0))</f>
        <v/>
      </c>
      <c r="F7491" s="107" t="str">
        <f aca="false">IF($C7491="","",$D7491*$E7491)</f>
        <v/>
      </c>
      <c r="G7491" s="107" t="str">
        <f aca="false">IF($C7491="","",$D7491*IFERROR(INDEX('تحليل التكلفة والسعر'!$C$2:$C$700,MATCH($C7491,'تحليل التكلفة والسعر'!$B$2:$B$700,0)),0))</f>
        <v/>
      </c>
    </row>
    <row r="7492" customFormat="false" ht="15" hidden="false" customHeight="false" outlineLevel="0" collapsed="false">
      <c r="A7492" s="103"/>
      <c r="B7492" s="104"/>
      <c r="C7492" s="104"/>
      <c r="E7492" s="107" t="str">
        <f aca="false">IF($C7492="","",IFERROR(INDEX(المنيو!$C$2:$C$500,MATCH($C7492,المنيو!$B$2:$B$500,0)),0))</f>
        <v/>
      </c>
      <c r="F7492" s="107" t="str">
        <f aca="false">IF($C7492="","",$D7492*$E7492)</f>
        <v/>
      </c>
      <c r="G7492" s="107" t="str">
        <f aca="false">IF($C7492="","",$D7492*IFERROR(INDEX('تحليل التكلفة والسعر'!$C$2:$C$700,MATCH($C7492,'تحليل التكلفة والسعر'!$B$2:$B$700,0)),0))</f>
        <v/>
      </c>
    </row>
    <row r="7493" customFormat="false" ht="15" hidden="false" customHeight="false" outlineLevel="0" collapsed="false">
      <c r="A7493" s="103"/>
      <c r="B7493" s="104"/>
      <c r="C7493" s="104"/>
      <c r="E7493" s="107" t="str">
        <f aca="false">IF($C7493="","",IFERROR(INDEX(المنيو!$C$2:$C$500,MATCH($C7493,المنيو!$B$2:$B$500,0)),0))</f>
        <v/>
      </c>
      <c r="F7493" s="107" t="str">
        <f aca="false">IF($C7493="","",$D7493*$E7493)</f>
        <v/>
      </c>
      <c r="G7493" s="107" t="str">
        <f aca="false">IF($C7493="","",$D7493*IFERROR(INDEX('تحليل التكلفة والسعر'!$C$2:$C$700,MATCH($C7493,'تحليل التكلفة والسعر'!$B$2:$B$700,0)),0))</f>
        <v/>
      </c>
    </row>
    <row r="7494" customFormat="false" ht="15" hidden="false" customHeight="false" outlineLevel="0" collapsed="false">
      <c r="A7494" s="103"/>
      <c r="B7494" s="104"/>
      <c r="C7494" s="104"/>
      <c r="E7494" s="107" t="str">
        <f aca="false">IF($C7494="","",IFERROR(INDEX(المنيو!$C$2:$C$500,MATCH($C7494,المنيو!$B$2:$B$500,0)),0))</f>
        <v/>
      </c>
      <c r="F7494" s="107" t="str">
        <f aca="false">IF($C7494="","",$D7494*$E7494)</f>
        <v/>
      </c>
      <c r="G7494" s="107" t="str">
        <f aca="false">IF($C7494="","",$D7494*IFERROR(INDEX('تحليل التكلفة والسعر'!$C$2:$C$700,MATCH($C7494,'تحليل التكلفة والسعر'!$B$2:$B$700,0)),0))</f>
        <v/>
      </c>
    </row>
    <row r="7495" customFormat="false" ht="15" hidden="false" customHeight="false" outlineLevel="0" collapsed="false">
      <c r="A7495" s="103"/>
      <c r="B7495" s="104"/>
      <c r="C7495" s="104"/>
      <c r="E7495" s="107" t="str">
        <f aca="false">IF($C7495="","",IFERROR(INDEX(المنيو!$C$2:$C$500,MATCH($C7495,المنيو!$B$2:$B$500,0)),0))</f>
        <v/>
      </c>
      <c r="F7495" s="107" t="str">
        <f aca="false">IF($C7495="","",$D7495*$E7495)</f>
        <v/>
      </c>
      <c r="G7495" s="107" t="str">
        <f aca="false">IF($C7495="","",$D7495*IFERROR(INDEX('تحليل التكلفة والسعر'!$C$2:$C$700,MATCH($C7495,'تحليل التكلفة والسعر'!$B$2:$B$700,0)),0))</f>
        <v/>
      </c>
    </row>
    <row r="7496" customFormat="false" ht="15" hidden="false" customHeight="false" outlineLevel="0" collapsed="false">
      <c r="A7496" s="103"/>
      <c r="B7496" s="104"/>
      <c r="C7496" s="104"/>
      <c r="E7496" s="107" t="str">
        <f aca="false">IF($C7496="","",IFERROR(INDEX(المنيو!$C$2:$C$500,MATCH($C7496,المنيو!$B$2:$B$500,0)),0))</f>
        <v/>
      </c>
      <c r="F7496" s="107" t="str">
        <f aca="false">IF($C7496="","",$D7496*$E7496)</f>
        <v/>
      </c>
      <c r="G7496" s="107" t="str">
        <f aca="false">IF($C7496="","",$D7496*IFERROR(INDEX('تحليل التكلفة والسعر'!$C$2:$C$700,MATCH($C7496,'تحليل التكلفة والسعر'!$B$2:$B$700,0)),0))</f>
        <v/>
      </c>
    </row>
    <row r="7497" customFormat="false" ht="15" hidden="false" customHeight="false" outlineLevel="0" collapsed="false">
      <c r="A7497" s="103"/>
      <c r="B7497" s="104"/>
      <c r="C7497" s="104"/>
      <c r="E7497" s="107" t="str">
        <f aca="false">IF($C7497="","",IFERROR(INDEX(المنيو!$C$2:$C$500,MATCH($C7497,المنيو!$B$2:$B$500,0)),0))</f>
        <v/>
      </c>
      <c r="F7497" s="107" t="str">
        <f aca="false">IF($C7497="","",$D7497*$E7497)</f>
        <v/>
      </c>
      <c r="G7497" s="107" t="str">
        <f aca="false">IF($C7497="","",$D7497*IFERROR(INDEX('تحليل التكلفة والسعر'!$C$2:$C$700,MATCH($C7497,'تحليل التكلفة والسعر'!$B$2:$B$700,0)),0))</f>
        <v/>
      </c>
    </row>
    <row r="7498" customFormat="false" ht="15" hidden="false" customHeight="false" outlineLevel="0" collapsed="false">
      <c r="A7498" s="103"/>
      <c r="B7498" s="104"/>
      <c r="C7498" s="104"/>
      <c r="E7498" s="107" t="str">
        <f aca="false">IF($C7498="","",IFERROR(INDEX(المنيو!$C$2:$C$500,MATCH($C7498,المنيو!$B$2:$B$500,0)),0))</f>
        <v/>
      </c>
      <c r="F7498" s="107" t="str">
        <f aca="false">IF($C7498="","",$D7498*$E7498)</f>
        <v/>
      </c>
      <c r="G7498" s="107" t="str">
        <f aca="false">IF($C7498="","",$D7498*IFERROR(INDEX('تحليل التكلفة والسعر'!$C$2:$C$700,MATCH($C7498,'تحليل التكلفة والسعر'!$B$2:$B$700,0)),0))</f>
        <v/>
      </c>
    </row>
    <row r="7499" customFormat="false" ht="15" hidden="false" customHeight="false" outlineLevel="0" collapsed="false">
      <c r="A7499" s="103"/>
      <c r="B7499" s="104"/>
      <c r="C7499" s="104"/>
      <c r="E7499" s="107" t="str">
        <f aca="false">IF($C7499="","",IFERROR(INDEX(المنيو!$C$2:$C$500,MATCH($C7499,المنيو!$B$2:$B$500,0)),0))</f>
        <v/>
      </c>
      <c r="F7499" s="107" t="str">
        <f aca="false">IF($C7499="","",$D7499*$E7499)</f>
        <v/>
      </c>
      <c r="G7499" s="107" t="str">
        <f aca="false">IF($C7499="","",$D7499*IFERROR(INDEX('تحليل التكلفة والسعر'!$C$2:$C$700,MATCH($C7499,'تحليل التكلفة والسعر'!$B$2:$B$700,0)),0))</f>
        <v/>
      </c>
    </row>
    <row r="7500" customFormat="false" ht="15" hidden="false" customHeight="false" outlineLevel="0" collapsed="false">
      <c r="A7500" s="103"/>
      <c r="B7500" s="104"/>
      <c r="C7500" s="104"/>
      <c r="E7500" s="107" t="str">
        <f aca="false">IF($C7500="","",IFERROR(INDEX(المنيو!$C$2:$C$500,MATCH($C7500,المنيو!$B$2:$B$500,0)),0))</f>
        <v/>
      </c>
      <c r="F7500" s="107" t="str">
        <f aca="false">IF($C7500="","",$D7500*$E7500)</f>
        <v/>
      </c>
      <c r="G7500" s="107" t="str">
        <f aca="false">IF($C7500="","",$D7500*IFERROR(INDEX('تحليل التكلفة والسعر'!$C$2:$C$700,MATCH($C7500,'تحليل التكلفة والسعر'!$B$2:$B$700,0)),0))</f>
        <v/>
      </c>
    </row>
    <row r="7501" customFormat="false" ht="15" hidden="false" customHeight="false" outlineLevel="0" collapsed="false">
      <c r="A7501" s="103"/>
      <c r="B7501" s="104"/>
      <c r="C7501" s="104"/>
      <c r="E7501" s="107" t="str">
        <f aca="false">IF($C7501="","",IFERROR(INDEX(المنيو!$C$2:$C$500,MATCH($C7501,المنيو!$B$2:$B$500,0)),0))</f>
        <v/>
      </c>
      <c r="F7501" s="107" t="str">
        <f aca="false">IF($C7501="","",$D7501*$E7501)</f>
        <v/>
      </c>
      <c r="G7501" s="107" t="str">
        <f aca="false">IF($C7501="","",$D7501*IFERROR(INDEX('تحليل التكلفة والسعر'!$C$2:$C$700,MATCH($C7501,'تحليل التكلفة والسعر'!$B$2:$B$700,0)),0))</f>
        <v/>
      </c>
    </row>
    <row r="7502" customFormat="false" ht="15" hidden="false" customHeight="false" outlineLevel="0" collapsed="false">
      <c r="A7502" s="103"/>
      <c r="B7502" s="104"/>
      <c r="C7502" s="104"/>
      <c r="E7502" s="107" t="str">
        <f aca="false">IF($C7502="","",IFERROR(INDEX(المنيو!$C$2:$C$500,MATCH($C7502,المنيو!$B$2:$B$500,0)),0))</f>
        <v/>
      </c>
      <c r="F7502" s="107" t="str">
        <f aca="false">IF($C7502="","",$D7502*$E7502)</f>
        <v/>
      </c>
      <c r="G7502" s="107" t="str">
        <f aca="false">IF($C7502="","",$D7502*IFERROR(INDEX('تحليل التكلفة والسعر'!$C$2:$C$700,MATCH($C7502,'تحليل التكلفة والسعر'!$B$2:$B$700,0)),0))</f>
        <v/>
      </c>
    </row>
    <row r="7503" customFormat="false" ht="15" hidden="false" customHeight="false" outlineLevel="0" collapsed="false">
      <c r="A7503" s="103"/>
      <c r="B7503" s="104"/>
      <c r="C7503" s="104"/>
      <c r="E7503" s="107" t="str">
        <f aca="false">IF($C7503="","",IFERROR(INDEX(المنيو!$C$2:$C$500,MATCH($C7503,المنيو!$B$2:$B$500,0)),0))</f>
        <v/>
      </c>
      <c r="F7503" s="107" t="str">
        <f aca="false">IF($C7503="","",$D7503*$E7503)</f>
        <v/>
      </c>
      <c r="G7503" s="107" t="str">
        <f aca="false">IF($C7503="","",$D7503*IFERROR(INDEX('تحليل التكلفة والسعر'!$C$2:$C$700,MATCH($C7503,'تحليل التكلفة والسعر'!$B$2:$B$700,0)),0))</f>
        <v/>
      </c>
    </row>
    <row r="7504" customFormat="false" ht="15" hidden="false" customHeight="false" outlineLevel="0" collapsed="false">
      <c r="A7504" s="103"/>
      <c r="B7504" s="104"/>
      <c r="C7504" s="104"/>
      <c r="E7504" s="107" t="str">
        <f aca="false">IF($C7504="","",IFERROR(INDEX(المنيو!$C$2:$C$500,MATCH($C7504,المنيو!$B$2:$B$500,0)),0))</f>
        <v/>
      </c>
      <c r="F7504" s="107" t="str">
        <f aca="false">IF($C7504="","",$D7504*$E7504)</f>
        <v/>
      </c>
      <c r="G7504" s="107" t="str">
        <f aca="false">IF($C7504="","",$D7504*IFERROR(INDEX('تحليل التكلفة والسعر'!$C$2:$C$700,MATCH($C7504,'تحليل التكلفة والسعر'!$B$2:$B$700,0)),0))</f>
        <v/>
      </c>
    </row>
    <row r="7505" customFormat="false" ht="15" hidden="false" customHeight="false" outlineLevel="0" collapsed="false">
      <c r="A7505" s="103"/>
      <c r="B7505" s="104"/>
      <c r="C7505" s="104"/>
      <c r="E7505" s="107" t="str">
        <f aca="false">IF($C7505="","",IFERROR(INDEX(المنيو!$C$2:$C$500,MATCH($C7505,المنيو!$B$2:$B$500,0)),0))</f>
        <v/>
      </c>
      <c r="F7505" s="107" t="str">
        <f aca="false">IF($C7505="","",$D7505*$E7505)</f>
        <v/>
      </c>
      <c r="G7505" s="107" t="str">
        <f aca="false">IF($C7505="","",$D7505*IFERROR(INDEX('تحليل التكلفة والسعر'!$C$2:$C$700,MATCH($C7505,'تحليل التكلفة والسعر'!$B$2:$B$700,0)),0))</f>
        <v/>
      </c>
    </row>
    <row r="7506" customFormat="false" ht="15" hidden="false" customHeight="false" outlineLevel="0" collapsed="false">
      <c r="A7506" s="103"/>
      <c r="B7506" s="104"/>
      <c r="C7506" s="104"/>
      <c r="E7506" s="107" t="str">
        <f aca="false">IF($C7506="","",IFERROR(INDEX(المنيو!$C$2:$C$500,MATCH($C7506,المنيو!$B$2:$B$500,0)),0))</f>
        <v/>
      </c>
      <c r="F7506" s="107" t="str">
        <f aca="false">IF($C7506="","",$D7506*$E7506)</f>
        <v/>
      </c>
      <c r="G7506" s="107" t="str">
        <f aca="false">IF($C7506="","",$D7506*IFERROR(INDEX('تحليل التكلفة والسعر'!$C$2:$C$700,MATCH($C7506,'تحليل التكلفة والسعر'!$B$2:$B$700,0)),0))</f>
        <v/>
      </c>
    </row>
    <row r="7507" customFormat="false" ht="15" hidden="false" customHeight="false" outlineLevel="0" collapsed="false">
      <c r="A7507" s="103"/>
      <c r="B7507" s="104"/>
      <c r="C7507" s="104"/>
      <c r="E7507" s="107" t="str">
        <f aca="false">IF($C7507="","",IFERROR(INDEX(المنيو!$C$2:$C$500,MATCH($C7507,المنيو!$B$2:$B$500,0)),0))</f>
        <v/>
      </c>
      <c r="F7507" s="107" t="str">
        <f aca="false">IF($C7507="","",$D7507*$E7507)</f>
        <v/>
      </c>
      <c r="G7507" s="107" t="str">
        <f aca="false">IF($C7507="","",$D7507*IFERROR(INDEX('تحليل التكلفة والسعر'!$C$2:$C$700,MATCH($C7507,'تحليل التكلفة والسعر'!$B$2:$B$700,0)),0))</f>
        <v/>
      </c>
    </row>
    <row r="7508" customFormat="false" ht="15" hidden="false" customHeight="false" outlineLevel="0" collapsed="false">
      <c r="A7508" s="103"/>
      <c r="B7508" s="104"/>
      <c r="C7508" s="104"/>
      <c r="E7508" s="107" t="str">
        <f aca="false">IF($C7508="","",IFERROR(INDEX(المنيو!$C$2:$C$500,MATCH($C7508,المنيو!$B$2:$B$500,0)),0))</f>
        <v/>
      </c>
      <c r="F7508" s="107" t="str">
        <f aca="false">IF($C7508="","",$D7508*$E7508)</f>
        <v/>
      </c>
      <c r="G7508" s="107" t="str">
        <f aca="false">IF($C7508="","",$D7508*IFERROR(INDEX('تحليل التكلفة والسعر'!$C$2:$C$700,MATCH($C7508,'تحليل التكلفة والسعر'!$B$2:$B$700,0)),0))</f>
        <v/>
      </c>
    </row>
    <row r="7509" customFormat="false" ht="15" hidden="false" customHeight="false" outlineLevel="0" collapsed="false">
      <c r="A7509" s="103"/>
      <c r="B7509" s="104"/>
      <c r="C7509" s="104"/>
      <c r="E7509" s="107" t="str">
        <f aca="false">IF($C7509="","",IFERROR(INDEX(المنيو!$C$2:$C$500,MATCH($C7509,المنيو!$B$2:$B$500,0)),0))</f>
        <v/>
      </c>
      <c r="F7509" s="107" t="str">
        <f aca="false">IF($C7509="","",$D7509*$E7509)</f>
        <v/>
      </c>
      <c r="G7509" s="107" t="str">
        <f aca="false">IF($C7509="","",$D7509*IFERROR(INDEX('تحليل التكلفة والسعر'!$C$2:$C$700,MATCH($C7509,'تحليل التكلفة والسعر'!$B$2:$B$700,0)),0))</f>
        <v/>
      </c>
    </row>
    <row r="7510" customFormat="false" ht="15" hidden="false" customHeight="false" outlineLevel="0" collapsed="false">
      <c r="A7510" s="103"/>
      <c r="B7510" s="104"/>
      <c r="C7510" s="104"/>
      <c r="E7510" s="107" t="str">
        <f aca="false">IF($C7510="","",IFERROR(INDEX(المنيو!$C$2:$C$500,MATCH($C7510,المنيو!$B$2:$B$500,0)),0))</f>
        <v/>
      </c>
      <c r="F7510" s="107" t="str">
        <f aca="false">IF($C7510="","",$D7510*$E7510)</f>
        <v/>
      </c>
      <c r="G7510" s="107" t="str">
        <f aca="false">IF($C7510="","",$D7510*IFERROR(INDEX('تحليل التكلفة والسعر'!$C$2:$C$700,MATCH($C7510,'تحليل التكلفة والسعر'!$B$2:$B$700,0)),0))</f>
        <v/>
      </c>
    </row>
    <row r="7511" customFormat="false" ht="15" hidden="false" customHeight="false" outlineLevel="0" collapsed="false">
      <c r="A7511" s="103"/>
      <c r="B7511" s="104"/>
      <c r="C7511" s="104"/>
      <c r="E7511" s="107" t="str">
        <f aca="false">IF($C7511="","",IFERROR(INDEX(المنيو!$C$2:$C$500,MATCH($C7511,المنيو!$B$2:$B$500,0)),0))</f>
        <v/>
      </c>
      <c r="F7511" s="107" t="str">
        <f aca="false">IF($C7511="","",$D7511*$E7511)</f>
        <v/>
      </c>
      <c r="G7511" s="107" t="str">
        <f aca="false">IF($C7511="","",$D7511*IFERROR(INDEX('تحليل التكلفة والسعر'!$C$2:$C$700,MATCH($C7511,'تحليل التكلفة والسعر'!$B$2:$B$700,0)),0))</f>
        <v/>
      </c>
    </row>
    <row r="7512" customFormat="false" ht="15" hidden="false" customHeight="false" outlineLevel="0" collapsed="false">
      <c r="A7512" s="103"/>
      <c r="B7512" s="104"/>
      <c r="C7512" s="104"/>
      <c r="E7512" s="107" t="str">
        <f aca="false">IF($C7512="","",IFERROR(INDEX(المنيو!$C$2:$C$500,MATCH($C7512,المنيو!$B$2:$B$500,0)),0))</f>
        <v/>
      </c>
      <c r="F7512" s="107" t="str">
        <f aca="false">IF($C7512="","",$D7512*$E7512)</f>
        <v/>
      </c>
      <c r="G7512" s="107" t="str">
        <f aca="false">IF($C7512="","",$D7512*IFERROR(INDEX('تحليل التكلفة والسعر'!$C$2:$C$700,MATCH($C7512,'تحليل التكلفة والسعر'!$B$2:$B$700,0)),0))</f>
        <v/>
      </c>
    </row>
    <row r="7513" customFormat="false" ht="15" hidden="false" customHeight="false" outlineLevel="0" collapsed="false">
      <c r="A7513" s="103"/>
      <c r="B7513" s="104"/>
      <c r="C7513" s="104"/>
      <c r="E7513" s="107" t="str">
        <f aca="false">IF($C7513="","",IFERROR(INDEX(المنيو!$C$2:$C$500,MATCH($C7513,المنيو!$B$2:$B$500,0)),0))</f>
        <v/>
      </c>
      <c r="F7513" s="107" t="str">
        <f aca="false">IF($C7513="","",$D7513*$E7513)</f>
        <v/>
      </c>
      <c r="G7513" s="107" t="str">
        <f aca="false">IF($C7513="","",$D7513*IFERROR(INDEX('تحليل التكلفة والسعر'!$C$2:$C$700,MATCH($C7513,'تحليل التكلفة والسعر'!$B$2:$B$700,0)),0))</f>
        <v/>
      </c>
    </row>
    <row r="7514" customFormat="false" ht="15" hidden="false" customHeight="false" outlineLevel="0" collapsed="false">
      <c r="A7514" s="103"/>
      <c r="B7514" s="104"/>
      <c r="C7514" s="104"/>
      <c r="E7514" s="107" t="str">
        <f aca="false">IF($C7514="","",IFERROR(INDEX(المنيو!$C$2:$C$500,MATCH($C7514,المنيو!$B$2:$B$500,0)),0))</f>
        <v/>
      </c>
      <c r="F7514" s="107" t="str">
        <f aca="false">IF($C7514="","",$D7514*$E7514)</f>
        <v/>
      </c>
      <c r="G7514" s="107" t="str">
        <f aca="false">IF($C7514="","",$D7514*IFERROR(INDEX('تحليل التكلفة والسعر'!$C$2:$C$700,MATCH($C7514,'تحليل التكلفة والسعر'!$B$2:$B$700,0)),0))</f>
        <v/>
      </c>
    </row>
    <row r="7515" customFormat="false" ht="15" hidden="false" customHeight="false" outlineLevel="0" collapsed="false">
      <c r="A7515" s="103"/>
      <c r="B7515" s="104"/>
      <c r="C7515" s="104"/>
      <c r="E7515" s="107" t="str">
        <f aca="false">IF($C7515="","",IFERROR(INDEX(المنيو!$C$2:$C$500,MATCH($C7515,المنيو!$B$2:$B$500,0)),0))</f>
        <v/>
      </c>
      <c r="F7515" s="107" t="str">
        <f aca="false">IF($C7515="","",$D7515*$E7515)</f>
        <v/>
      </c>
      <c r="G7515" s="107" t="str">
        <f aca="false">IF($C7515="","",$D7515*IFERROR(INDEX('تحليل التكلفة والسعر'!$C$2:$C$700,MATCH($C7515,'تحليل التكلفة والسعر'!$B$2:$B$700,0)),0))</f>
        <v/>
      </c>
    </row>
    <row r="7516" customFormat="false" ht="15" hidden="false" customHeight="false" outlineLevel="0" collapsed="false">
      <c r="A7516" s="103"/>
      <c r="B7516" s="104"/>
      <c r="C7516" s="104"/>
      <c r="E7516" s="107" t="str">
        <f aca="false">IF($C7516="","",IFERROR(INDEX(المنيو!$C$2:$C$500,MATCH($C7516,المنيو!$B$2:$B$500,0)),0))</f>
        <v/>
      </c>
      <c r="F7516" s="107" t="str">
        <f aca="false">IF($C7516="","",$D7516*$E7516)</f>
        <v/>
      </c>
      <c r="G7516" s="107" t="str">
        <f aca="false">IF($C7516="","",$D7516*IFERROR(INDEX('تحليل التكلفة والسعر'!$C$2:$C$700,MATCH($C7516,'تحليل التكلفة والسعر'!$B$2:$B$700,0)),0))</f>
        <v/>
      </c>
    </row>
    <row r="7517" customFormat="false" ht="15" hidden="false" customHeight="false" outlineLevel="0" collapsed="false">
      <c r="A7517" s="103"/>
      <c r="B7517" s="104"/>
      <c r="C7517" s="104"/>
      <c r="E7517" s="107" t="str">
        <f aca="false">IF($C7517="","",IFERROR(INDEX(المنيو!$C$2:$C$500,MATCH($C7517,المنيو!$B$2:$B$500,0)),0))</f>
        <v/>
      </c>
      <c r="F7517" s="107" t="str">
        <f aca="false">IF($C7517="","",$D7517*$E7517)</f>
        <v/>
      </c>
      <c r="G7517" s="107" t="str">
        <f aca="false">IF($C7517="","",$D7517*IFERROR(INDEX('تحليل التكلفة والسعر'!$C$2:$C$700,MATCH($C7517,'تحليل التكلفة والسعر'!$B$2:$B$700,0)),0))</f>
        <v/>
      </c>
    </row>
    <row r="7518" customFormat="false" ht="15" hidden="false" customHeight="false" outlineLevel="0" collapsed="false">
      <c r="A7518" s="103"/>
      <c r="B7518" s="104"/>
      <c r="C7518" s="104"/>
      <c r="E7518" s="107" t="str">
        <f aca="false">IF($C7518="","",IFERROR(INDEX(المنيو!$C$2:$C$500,MATCH($C7518,المنيو!$B$2:$B$500,0)),0))</f>
        <v/>
      </c>
      <c r="F7518" s="107" t="str">
        <f aca="false">IF($C7518="","",$D7518*$E7518)</f>
        <v/>
      </c>
      <c r="G7518" s="107" t="str">
        <f aca="false">IF($C7518="","",$D7518*IFERROR(INDEX('تحليل التكلفة والسعر'!$C$2:$C$700,MATCH($C7518,'تحليل التكلفة والسعر'!$B$2:$B$700,0)),0))</f>
        <v/>
      </c>
    </row>
    <row r="7519" customFormat="false" ht="15" hidden="false" customHeight="false" outlineLevel="0" collapsed="false">
      <c r="A7519" s="103"/>
      <c r="B7519" s="104"/>
      <c r="C7519" s="104"/>
      <c r="E7519" s="107" t="str">
        <f aca="false">IF($C7519="","",IFERROR(INDEX(المنيو!$C$2:$C$500,MATCH($C7519,المنيو!$B$2:$B$500,0)),0))</f>
        <v/>
      </c>
      <c r="F7519" s="107" t="str">
        <f aca="false">IF($C7519="","",$D7519*$E7519)</f>
        <v/>
      </c>
      <c r="G7519" s="107" t="str">
        <f aca="false">IF($C7519="","",$D7519*IFERROR(INDEX('تحليل التكلفة والسعر'!$C$2:$C$700,MATCH($C7519,'تحليل التكلفة والسعر'!$B$2:$B$700,0)),0))</f>
        <v/>
      </c>
    </row>
    <row r="7520" customFormat="false" ht="15" hidden="false" customHeight="false" outlineLevel="0" collapsed="false">
      <c r="A7520" s="103"/>
      <c r="B7520" s="104"/>
      <c r="C7520" s="104"/>
      <c r="E7520" s="107" t="str">
        <f aca="false">IF($C7520="","",IFERROR(INDEX(المنيو!$C$2:$C$500,MATCH($C7520,المنيو!$B$2:$B$500,0)),0))</f>
        <v/>
      </c>
      <c r="F7520" s="107" t="str">
        <f aca="false">IF($C7520="","",$D7520*$E7520)</f>
        <v/>
      </c>
      <c r="G7520" s="107" t="str">
        <f aca="false">IF($C7520="","",$D7520*IFERROR(INDEX('تحليل التكلفة والسعر'!$C$2:$C$700,MATCH($C7520,'تحليل التكلفة والسعر'!$B$2:$B$700,0)),0))</f>
        <v/>
      </c>
    </row>
    <row r="7521" customFormat="false" ht="15" hidden="false" customHeight="false" outlineLevel="0" collapsed="false">
      <c r="A7521" s="103"/>
      <c r="B7521" s="104"/>
      <c r="C7521" s="104"/>
      <c r="E7521" s="107" t="str">
        <f aca="false">IF($C7521="","",IFERROR(INDEX(المنيو!$C$2:$C$500,MATCH($C7521,المنيو!$B$2:$B$500,0)),0))</f>
        <v/>
      </c>
      <c r="F7521" s="107" t="str">
        <f aca="false">IF($C7521="","",$D7521*$E7521)</f>
        <v/>
      </c>
      <c r="G7521" s="107" t="str">
        <f aca="false">IF($C7521="","",$D7521*IFERROR(INDEX('تحليل التكلفة والسعر'!$C$2:$C$700,MATCH($C7521,'تحليل التكلفة والسعر'!$B$2:$B$700,0)),0))</f>
        <v/>
      </c>
    </row>
    <row r="7522" customFormat="false" ht="15" hidden="false" customHeight="false" outlineLevel="0" collapsed="false">
      <c r="A7522" s="103"/>
      <c r="B7522" s="104"/>
      <c r="C7522" s="104"/>
      <c r="E7522" s="107" t="str">
        <f aca="false">IF($C7522="","",IFERROR(INDEX(المنيو!$C$2:$C$500,MATCH($C7522,المنيو!$B$2:$B$500,0)),0))</f>
        <v/>
      </c>
      <c r="F7522" s="107" t="str">
        <f aca="false">IF($C7522="","",$D7522*$E7522)</f>
        <v/>
      </c>
      <c r="G7522" s="107" t="str">
        <f aca="false">IF($C7522="","",$D7522*IFERROR(INDEX('تحليل التكلفة والسعر'!$C$2:$C$700,MATCH($C7522,'تحليل التكلفة والسعر'!$B$2:$B$700,0)),0))</f>
        <v/>
      </c>
    </row>
    <row r="7523" customFormat="false" ht="15" hidden="false" customHeight="false" outlineLevel="0" collapsed="false">
      <c r="A7523" s="103"/>
      <c r="B7523" s="104"/>
      <c r="C7523" s="104"/>
      <c r="E7523" s="107" t="str">
        <f aca="false">IF($C7523="","",IFERROR(INDEX(المنيو!$C$2:$C$500,MATCH($C7523,المنيو!$B$2:$B$500,0)),0))</f>
        <v/>
      </c>
      <c r="F7523" s="107" t="str">
        <f aca="false">IF($C7523="","",$D7523*$E7523)</f>
        <v/>
      </c>
      <c r="G7523" s="107" t="str">
        <f aca="false">IF($C7523="","",$D7523*IFERROR(INDEX('تحليل التكلفة والسعر'!$C$2:$C$700,MATCH($C7523,'تحليل التكلفة والسعر'!$B$2:$B$700,0)),0))</f>
        <v/>
      </c>
    </row>
    <row r="7524" customFormat="false" ht="15" hidden="false" customHeight="false" outlineLevel="0" collapsed="false">
      <c r="A7524" s="103"/>
      <c r="B7524" s="104"/>
      <c r="C7524" s="104"/>
      <c r="E7524" s="107" t="str">
        <f aca="false">IF($C7524="","",IFERROR(INDEX(المنيو!$C$2:$C$500,MATCH($C7524,المنيو!$B$2:$B$500,0)),0))</f>
        <v/>
      </c>
      <c r="F7524" s="107" t="str">
        <f aca="false">IF($C7524="","",$D7524*$E7524)</f>
        <v/>
      </c>
      <c r="G7524" s="107" t="str">
        <f aca="false">IF($C7524="","",$D7524*IFERROR(INDEX('تحليل التكلفة والسعر'!$C$2:$C$700,MATCH($C7524,'تحليل التكلفة والسعر'!$B$2:$B$700,0)),0))</f>
        <v/>
      </c>
    </row>
    <row r="7525" customFormat="false" ht="15" hidden="false" customHeight="false" outlineLevel="0" collapsed="false">
      <c r="A7525" s="103"/>
      <c r="B7525" s="104"/>
      <c r="C7525" s="104"/>
      <c r="E7525" s="107" t="str">
        <f aca="false">IF($C7525="","",IFERROR(INDEX(المنيو!$C$2:$C$500,MATCH($C7525,المنيو!$B$2:$B$500,0)),0))</f>
        <v/>
      </c>
      <c r="F7525" s="107" t="str">
        <f aca="false">IF($C7525="","",$D7525*$E7525)</f>
        <v/>
      </c>
      <c r="G7525" s="107" t="str">
        <f aca="false">IF($C7525="","",$D7525*IFERROR(INDEX('تحليل التكلفة والسعر'!$C$2:$C$700,MATCH($C7525,'تحليل التكلفة والسعر'!$B$2:$B$700,0)),0))</f>
        <v/>
      </c>
    </row>
    <row r="7526" customFormat="false" ht="15" hidden="false" customHeight="false" outlineLevel="0" collapsed="false">
      <c r="A7526" s="103"/>
      <c r="B7526" s="104"/>
      <c r="C7526" s="104"/>
      <c r="E7526" s="107" t="str">
        <f aca="false">IF($C7526="","",IFERROR(INDEX(المنيو!$C$2:$C$500,MATCH($C7526,المنيو!$B$2:$B$500,0)),0))</f>
        <v/>
      </c>
      <c r="F7526" s="107" t="str">
        <f aca="false">IF($C7526="","",$D7526*$E7526)</f>
        <v/>
      </c>
      <c r="G7526" s="107" t="str">
        <f aca="false">IF($C7526="","",$D7526*IFERROR(INDEX('تحليل التكلفة والسعر'!$C$2:$C$700,MATCH($C7526,'تحليل التكلفة والسعر'!$B$2:$B$700,0)),0))</f>
        <v/>
      </c>
    </row>
    <row r="7527" customFormat="false" ht="15" hidden="false" customHeight="false" outlineLevel="0" collapsed="false">
      <c r="A7527" s="103"/>
      <c r="B7527" s="104"/>
      <c r="C7527" s="104"/>
      <c r="E7527" s="107" t="str">
        <f aca="false">IF($C7527="","",IFERROR(INDEX(المنيو!$C$2:$C$500,MATCH($C7527,المنيو!$B$2:$B$500,0)),0))</f>
        <v/>
      </c>
      <c r="F7527" s="107" t="str">
        <f aca="false">IF($C7527="","",$D7527*$E7527)</f>
        <v/>
      </c>
      <c r="G7527" s="107" t="str">
        <f aca="false">IF($C7527="","",$D7527*IFERROR(INDEX('تحليل التكلفة والسعر'!$C$2:$C$700,MATCH($C7527,'تحليل التكلفة والسعر'!$B$2:$B$700,0)),0))</f>
        <v/>
      </c>
    </row>
    <row r="7528" customFormat="false" ht="15" hidden="false" customHeight="false" outlineLevel="0" collapsed="false">
      <c r="A7528" s="103"/>
      <c r="B7528" s="104"/>
      <c r="C7528" s="104"/>
      <c r="E7528" s="107" t="str">
        <f aca="false">IF($C7528="","",IFERROR(INDEX(المنيو!$C$2:$C$500,MATCH($C7528,المنيو!$B$2:$B$500,0)),0))</f>
        <v/>
      </c>
      <c r="F7528" s="107" t="str">
        <f aca="false">IF($C7528="","",$D7528*$E7528)</f>
        <v/>
      </c>
      <c r="G7528" s="107" t="str">
        <f aca="false">IF($C7528="","",$D7528*IFERROR(INDEX('تحليل التكلفة والسعر'!$C$2:$C$700,MATCH($C7528,'تحليل التكلفة والسعر'!$B$2:$B$700,0)),0))</f>
        <v/>
      </c>
    </row>
    <row r="7529" customFormat="false" ht="15" hidden="false" customHeight="false" outlineLevel="0" collapsed="false">
      <c r="A7529" s="103"/>
      <c r="B7529" s="104"/>
      <c r="C7529" s="104"/>
      <c r="E7529" s="107" t="str">
        <f aca="false">IF($C7529="","",IFERROR(INDEX(المنيو!$C$2:$C$500,MATCH($C7529,المنيو!$B$2:$B$500,0)),0))</f>
        <v/>
      </c>
      <c r="F7529" s="107" t="str">
        <f aca="false">IF($C7529="","",$D7529*$E7529)</f>
        <v/>
      </c>
      <c r="G7529" s="107" t="str">
        <f aca="false">IF($C7529="","",$D7529*IFERROR(INDEX('تحليل التكلفة والسعر'!$C$2:$C$700,MATCH($C7529,'تحليل التكلفة والسعر'!$B$2:$B$700,0)),0))</f>
        <v/>
      </c>
    </row>
    <row r="7530" customFormat="false" ht="15" hidden="false" customHeight="false" outlineLevel="0" collapsed="false">
      <c r="A7530" s="103"/>
      <c r="B7530" s="104"/>
      <c r="C7530" s="104"/>
      <c r="E7530" s="107" t="str">
        <f aca="false">IF($C7530="","",IFERROR(INDEX(المنيو!$C$2:$C$500,MATCH($C7530,المنيو!$B$2:$B$500,0)),0))</f>
        <v/>
      </c>
      <c r="F7530" s="107" t="str">
        <f aca="false">IF($C7530="","",$D7530*$E7530)</f>
        <v/>
      </c>
      <c r="G7530" s="107" t="str">
        <f aca="false">IF($C7530="","",$D7530*IFERROR(INDEX('تحليل التكلفة والسعر'!$C$2:$C$700,MATCH($C7530,'تحليل التكلفة والسعر'!$B$2:$B$700,0)),0))</f>
        <v/>
      </c>
    </row>
    <row r="7531" customFormat="false" ht="15" hidden="false" customHeight="false" outlineLevel="0" collapsed="false">
      <c r="A7531" s="103"/>
      <c r="B7531" s="104"/>
      <c r="C7531" s="104"/>
      <c r="E7531" s="107" t="str">
        <f aca="false">IF($C7531="","",IFERROR(INDEX(المنيو!$C$2:$C$500,MATCH($C7531,المنيو!$B$2:$B$500,0)),0))</f>
        <v/>
      </c>
      <c r="F7531" s="107" t="str">
        <f aca="false">IF($C7531="","",$D7531*$E7531)</f>
        <v/>
      </c>
      <c r="G7531" s="107" t="str">
        <f aca="false">IF($C7531="","",$D7531*IFERROR(INDEX('تحليل التكلفة والسعر'!$C$2:$C$700,MATCH($C7531,'تحليل التكلفة والسعر'!$B$2:$B$700,0)),0))</f>
        <v/>
      </c>
    </row>
    <row r="7532" customFormat="false" ht="15" hidden="false" customHeight="false" outlineLevel="0" collapsed="false">
      <c r="A7532" s="103"/>
      <c r="B7532" s="104"/>
      <c r="C7532" s="104"/>
      <c r="E7532" s="107" t="str">
        <f aca="false">IF($C7532="","",IFERROR(INDEX(المنيو!$C$2:$C$500,MATCH($C7532,المنيو!$B$2:$B$500,0)),0))</f>
        <v/>
      </c>
      <c r="F7532" s="107" t="str">
        <f aca="false">IF($C7532="","",$D7532*$E7532)</f>
        <v/>
      </c>
      <c r="G7532" s="107" t="str">
        <f aca="false">IF($C7532="","",$D7532*IFERROR(INDEX('تحليل التكلفة والسعر'!$C$2:$C$700,MATCH($C7532,'تحليل التكلفة والسعر'!$B$2:$B$700,0)),0))</f>
        <v/>
      </c>
    </row>
    <row r="7533" customFormat="false" ht="15" hidden="false" customHeight="false" outlineLevel="0" collapsed="false">
      <c r="A7533" s="103"/>
      <c r="B7533" s="104"/>
      <c r="C7533" s="104"/>
      <c r="E7533" s="107" t="str">
        <f aca="false">IF($C7533="","",IFERROR(INDEX(المنيو!$C$2:$C$500,MATCH($C7533,المنيو!$B$2:$B$500,0)),0))</f>
        <v/>
      </c>
      <c r="F7533" s="107" t="str">
        <f aca="false">IF($C7533="","",$D7533*$E7533)</f>
        <v/>
      </c>
      <c r="G7533" s="107" t="str">
        <f aca="false">IF($C7533="","",$D7533*IFERROR(INDEX('تحليل التكلفة والسعر'!$C$2:$C$700,MATCH($C7533,'تحليل التكلفة والسعر'!$B$2:$B$700,0)),0))</f>
        <v/>
      </c>
    </row>
    <row r="7534" customFormat="false" ht="15" hidden="false" customHeight="false" outlineLevel="0" collapsed="false">
      <c r="A7534" s="103"/>
      <c r="B7534" s="104"/>
      <c r="C7534" s="104"/>
      <c r="E7534" s="107" t="str">
        <f aca="false">IF($C7534="","",IFERROR(INDEX(المنيو!$C$2:$C$500,MATCH($C7534,المنيو!$B$2:$B$500,0)),0))</f>
        <v/>
      </c>
      <c r="F7534" s="107" t="str">
        <f aca="false">IF($C7534="","",$D7534*$E7534)</f>
        <v/>
      </c>
      <c r="G7534" s="107" t="str">
        <f aca="false">IF($C7534="","",$D7534*IFERROR(INDEX('تحليل التكلفة والسعر'!$C$2:$C$700,MATCH($C7534,'تحليل التكلفة والسعر'!$B$2:$B$700,0)),0))</f>
        <v/>
      </c>
    </row>
    <row r="7535" customFormat="false" ht="15" hidden="false" customHeight="false" outlineLevel="0" collapsed="false">
      <c r="A7535" s="103"/>
      <c r="B7535" s="104"/>
      <c r="C7535" s="104"/>
      <c r="E7535" s="107" t="str">
        <f aca="false">IF($C7535="","",IFERROR(INDEX(المنيو!$C$2:$C$500,MATCH($C7535,المنيو!$B$2:$B$500,0)),0))</f>
        <v/>
      </c>
      <c r="F7535" s="107" t="str">
        <f aca="false">IF($C7535="","",$D7535*$E7535)</f>
        <v/>
      </c>
      <c r="G7535" s="107" t="str">
        <f aca="false">IF($C7535="","",$D7535*IFERROR(INDEX('تحليل التكلفة والسعر'!$C$2:$C$700,MATCH($C7535,'تحليل التكلفة والسعر'!$B$2:$B$700,0)),0))</f>
        <v/>
      </c>
    </row>
    <row r="7536" customFormat="false" ht="15" hidden="false" customHeight="false" outlineLevel="0" collapsed="false">
      <c r="A7536" s="103"/>
      <c r="B7536" s="104"/>
      <c r="C7536" s="104"/>
      <c r="E7536" s="107" t="str">
        <f aca="false">IF($C7536="","",IFERROR(INDEX(المنيو!$C$2:$C$500,MATCH($C7536,المنيو!$B$2:$B$500,0)),0))</f>
        <v/>
      </c>
      <c r="F7536" s="107" t="str">
        <f aca="false">IF($C7536="","",$D7536*$E7536)</f>
        <v/>
      </c>
      <c r="G7536" s="107" t="str">
        <f aca="false">IF($C7536="","",$D7536*IFERROR(INDEX('تحليل التكلفة والسعر'!$C$2:$C$700,MATCH($C7536,'تحليل التكلفة والسعر'!$B$2:$B$700,0)),0))</f>
        <v/>
      </c>
    </row>
    <row r="7537" customFormat="false" ht="15" hidden="false" customHeight="false" outlineLevel="0" collapsed="false">
      <c r="A7537" s="103"/>
      <c r="B7537" s="104"/>
      <c r="C7537" s="104"/>
      <c r="E7537" s="107" t="str">
        <f aca="false">IF($C7537="","",IFERROR(INDEX(المنيو!$C$2:$C$500,MATCH($C7537,المنيو!$B$2:$B$500,0)),0))</f>
        <v/>
      </c>
      <c r="F7537" s="107" t="str">
        <f aca="false">IF($C7537="","",$D7537*$E7537)</f>
        <v/>
      </c>
      <c r="G7537" s="107" t="str">
        <f aca="false">IF($C7537="","",$D7537*IFERROR(INDEX('تحليل التكلفة والسعر'!$C$2:$C$700,MATCH($C7537,'تحليل التكلفة والسعر'!$B$2:$B$700,0)),0))</f>
        <v/>
      </c>
    </row>
    <row r="7538" customFormat="false" ht="15" hidden="false" customHeight="false" outlineLevel="0" collapsed="false">
      <c r="A7538" s="103"/>
      <c r="B7538" s="104"/>
      <c r="C7538" s="104"/>
      <c r="E7538" s="107" t="str">
        <f aca="false">IF($C7538="","",IFERROR(INDEX(المنيو!$C$2:$C$500,MATCH($C7538,المنيو!$B$2:$B$500,0)),0))</f>
        <v/>
      </c>
      <c r="F7538" s="107" t="str">
        <f aca="false">IF($C7538="","",$D7538*$E7538)</f>
        <v/>
      </c>
      <c r="G7538" s="107" t="str">
        <f aca="false">IF($C7538="","",$D7538*IFERROR(INDEX('تحليل التكلفة والسعر'!$C$2:$C$700,MATCH($C7538,'تحليل التكلفة والسعر'!$B$2:$B$700,0)),0))</f>
        <v/>
      </c>
    </row>
    <row r="7539" customFormat="false" ht="15" hidden="false" customHeight="false" outlineLevel="0" collapsed="false">
      <c r="A7539" s="103"/>
      <c r="B7539" s="104"/>
      <c r="C7539" s="104"/>
      <c r="E7539" s="107" t="str">
        <f aca="false">IF($C7539="","",IFERROR(INDEX(المنيو!$C$2:$C$500,MATCH($C7539,المنيو!$B$2:$B$500,0)),0))</f>
        <v/>
      </c>
      <c r="F7539" s="107" t="str">
        <f aca="false">IF($C7539="","",$D7539*$E7539)</f>
        <v/>
      </c>
      <c r="G7539" s="107" t="str">
        <f aca="false">IF($C7539="","",$D7539*IFERROR(INDEX('تحليل التكلفة والسعر'!$C$2:$C$700,MATCH($C7539,'تحليل التكلفة والسعر'!$B$2:$B$700,0)),0))</f>
        <v/>
      </c>
    </row>
    <row r="7540" customFormat="false" ht="15" hidden="false" customHeight="false" outlineLevel="0" collapsed="false">
      <c r="A7540" s="103"/>
      <c r="B7540" s="104"/>
      <c r="C7540" s="104"/>
      <c r="E7540" s="107" t="str">
        <f aca="false">IF($C7540="","",IFERROR(INDEX(المنيو!$C$2:$C$500,MATCH($C7540,المنيو!$B$2:$B$500,0)),0))</f>
        <v/>
      </c>
      <c r="F7540" s="107" t="str">
        <f aca="false">IF($C7540="","",$D7540*$E7540)</f>
        <v/>
      </c>
      <c r="G7540" s="107" t="str">
        <f aca="false">IF($C7540="","",$D7540*IFERROR(INDEX('تحليل التكلفة والسعر'!$C$2:$C$700,MATCH($C7540,'تحليل التكلفة والسعر'!$B$2:$B$700,0)),0))</f>
        <v/>
      </c>
    </row>
    <row r="7541" customFormat="false" ht="15" hidden="false" customHeight="false" outlineLevel="0" collapsed="false">
      <c r="A7541" s="103"/>
      <c r="B7541" s="104"/>
      <c r="C7541" s="104"/>
      <c r="E7541" s="107" t="str">
        <f aca="false">IF($C7541="","",IFERROR(INDEX(المنيو!$C$2:$C$500,MATCH($C7541,المنيو!$B$2:$B$500,0)),0))</f>
        <v/>
      </c>
      <c r="F7541" s="107" t="str">
        <f aca="false">IF($C7541="","",$D7541*$E7541)</f>
        <v/>
      </c>
      <c r="G7541" s="107" t="str">
        <f aca="false">IF($C7541="","",$D7541*IFERROR(INDEX('تحليل التكلفة والسعر'!$C$2:$C$700,MATCH($C7541,'تحليل التكلفة والسعر'!$B$2:$B$700,0)),0))</f>
        <v/>
      </c>
    </row>
    <row r="7542" customFormat="false" ht="15" hidden="false" customHeight="false" outlineLevel="0" collapsed="false">
      <c r="A7542" s="103"/>
      <c r="B7542" s="104"/>
      <c r="C7542" s="104"/>
      <c r="E7542" s="107" t="str">
        <f aca="false">IF($C7542="","",IFERROR(INDEX(المنيو!$C$2:$C$500,MATCH($C7542,المنيو!$B$2:$B$500,0)),0))</f>
        <v/>
      </c>
      <c r="F7542" s="107" t="str">
        <f aca="false">IF($C7542="","",$D7542*$E7542)</f>
        <v/>
      </c>
      <c r="G7542" s="107" t="str">
        <f aca="false">IF($C7542="","",$D7542*IFERROR(INDEX('تحليل التكلفة والسعر'!$C$2:$C$700,MATCH($C7542,'تحليل التكلفة والسعر'!$B$2:$B$700,0)),0))</f>
        <v/>
      </c>
    </row>
    <row r="7543" customFormat="false" ht="15" hidden="false" customHeight="false" outlineLevel="0" collapsed="false">
      <c r="A7543" s="103"/>
      <c r="B7543" s="104"/>
      <c r="C7543" s="104"/>
      <c r="E7543" s="107" t="str">
        <f aca="false">IF($C7543="","",IFERROR(INDEX(المنيو!$C$2:$C$500,MATCH($C7543,المنيو!$B$2:$B$500,0)),0))</f>
        <v/>
      </c>
      <c r="F7543" s="107" t="str">
        <f aca="false">IF($C7543="","",$D7543*$E7543)</f>
        <v/>
      </c>
      <c r="G7543" s="107" t="str">
        <f aca="false">IF($C7543="","",$D7543*IFERROR(INDEX('تحليل التكلفة والسعر'!$C$2:$C$700,MATCH($C7543,'تحليل التكلفة والسعر'!$B$2:$B$700,0)),0))</f>
        <v/>
      </c>
    </row>
    <row r="7544" customFormat="false" ht="15" hidden="false" customHeight="false" outlineLevel="0" collapsed="false">
      <c r="A7544" s="103"/>
      <c r="B7544" s="104"/>
      <c r="C7544" s="104"/>
      <c r="E7544" s="107" t="str">
        <f aca="false">IF($C7544="","",IFERROR(INDEX(المنيو!$C$2:$C$500,MATCH($C7544,المنيو!$B$2:$B$500,0)),0))</f>
        <v/>
      </c>
      <c r="F7544" s="107" t="str">
        <f aca="false">IF($C7544="","",$D7544*$E7544)</f>
        <v/>
      </c>
      <c r="G7544" s="107" t="str">
        <f aca="false">IF($C7544="","",$D7544*IFERROR(INDEX('تحليل التكلفة والسعر'!$C$2:$C$700,MATCH($C7544,'تحليل التكلفة والسعر'!$B$2:$B$700,0)),0))</f>
        <v/>
      </c>
    </row>
    <row r="7545" customFormat="false" ht="15" hidden="false" customHeight="false" outlineLevel="0" collapsed="false">
      <c r="A7545" s="103"/>
      <c r="B7545" s="104"/>
      <c r="C7545" s="104"/>
      <c r="E7545" s="107" t="str">
        <f aca="false">IF($C7545="","",IFERROR(INDEX(المنيو!$C$2:$C$500,MATCH($C7545,المنيو!$B$2:$B$500,0)),0))</f>
        <v/>
      </c>
      <c r="F7545" s="107" t="str">
        <f aca="false">IF($C7545="","",$D7545*$E7545)</f>
        <v/>
      </c>
      <c r="G7545" s="107" t="str">
        <f aca="false">IF($C7545="","",$D7545*IFERROR(INDEX('تحليل التكلفة والسعر'!$C$2:$C$700,MATCH($C7545,'تحليل التكلفة والسعر'!$B$2:$B$700,0)),0))</f>
        <v/>
      </c>
    </row>
    <row r="7546" customFormat="false" ht="15" hidden="false" customHeight="false" outlineLevel="0" collapsed="false">
      <c r="A7546" s="103"/>
      <c r="B7546" s="104"/>
      <c r="C7546" s="104"/>
      <c r="E7546" s="107" t="str">
        <f aca="false">IF($C7546="","",IFERROR(INDEX(المنيو!$C$2:$C$500,MATCH($C7546,المنيو!$B$2:$B$500,0)),0))</f>
        <v/>
      </c>
      <c r="F7546" s="107" t="str">
        <f aca="false">IF($C7546="","",$D7546*$E7546)</f>
        <v/>
      </c>
      <c r="G7546" s="107" t="str">
        <f aca="false">IF($C7546="","",$D7546*IFERROR(INDEX('تحليل التكلفة والسعر'!$C$2:$C$700,MATCH($C7546,'تحليل التكلفة والسعر'!$B$2:$B$700,0)),0))</f>
        <v/>
      </c>
    </row>
    <row r="7547" customFormat="false" ht="15" hidden="false" customHeight="false" outlineLevel="0" collapsed="false">
      <c r="A7547" s="103"/>
      <c r="B7547" s="104"/>
      <c r="C7547" s="104"/>
      <c r="E7547" s="107" t="str">
        <f aca="false">IF($C7547="","",IFERROR(INDEX(المنيو!$C$2:$C$500,MATCH($C7547,المنيو!$B$2:$B$500,0)),0))</f>
        <v/>
      </c>
      <c r="F7547" s="107" t="str">
        <f aca="false">IF($C7547="","",$D7547*$E7547)</f>
        <v/>
      </c>
      <c r="G7547" s="107" t="str">
        <f aca="false">IF($C7547="","",$D7547*IFERROR(INDEX('تحليل التكلفة والسعر'!$C$2:$C$700,MATCH($C7547,'تحليل التكلفة والسعر'!$B$2:$B$700,0)),0))</f>
        <v/>
      </c>
    </row>
    <row r="7548" customFormat="false" ht="15" hidden="false" customHeight="false" outlineLevel="0" collapsed="false">
      <c r="A7548" s="103"/>
      <c r="B7548" s="104"/>
      <c r="C7548" s="104"/>
      <c r="E7548" s="107" t="str">
        <f aca="false">IF($C7548="","",IFERROR(INDEX(المنيو!$C$2:$C$500,MATCH($C7548,المنيو!$B$2:$B$500,0)),0))</f>
        <v/>
      </c>
      <c r="F7548" s="107" t="str">
        <f aca="false">IF($C7548="","",$D7548*$E7548)</f>
        <v/>
      </c>
      <c r="G7548" s="107" t="str">
        <f aca="false">IF($C7548="","",$D7548*IFERROR(INDEX('تحليل التكلفة والسعر'!$C$2:$C$700,MATCH($C7548,'تحليل التكلفة والسعر'!$B$2:$B$700,0)),0))</f>
        <v/>
      </c>
    </row>
    <row r="7549" customFormat="false" ht="15" hidden="false" customHeight="false" outlineLevel="0" collapsed="false">
      <c r="A7549" s="103"/>
      <c r="B7549" s="104"/>
      <c r="C7549" s="104"/>
      <c r="E7549" s="107" t="str">
        <f aca="false">IF($C7549="","",IFERROR(INDEX(المنيو!$C$2:$C$500,MATCH($C7549,المنيو!$B$2:$B$500,0)),0))</f>
        <v/>
      </c>
      <c r="F7549" s="107" t="str">
        <f aca="false">IF($C7549="","",$D7549*$E7549)</f>
        <v/>
      </c>
      <c r="G7549" s="107" t="str">
        <f aca="false">IF($C7549="","",$D7549*IFERROR(INDEX('تحليل التكلفة والسعر'!$C$2:$C$700,MATCH($C7549,'تحليل التكلفة والسعر'!$B$2:$B$700,0)),0))</f>
        <v/>
      </c>
    </row>
    <row r="7550" customFormat="false" ht="15" hidden="false" customHeight="false" outlineLevel="0" collapsed="false">
      <c r="A7550" s="103"/>
      <c r="B7550" s="104"/>
      <c r="C7550" s="104"/>
      <c r="E7550" s="107" t="str">
        <f aca="false">IF($C7550="","",IFERROR(INDEX(المنيو!$C$2:$C$500,MATCH($C7550,المنيو!$B$2:$B$500,0)),0))</f>
        <v/>
      </c>
      <c r="F7550" s="107" t="str">
        <f aca="false">IF($C7550="","",$D7550*$E7550)</f>
        <v/>
      </c>
      <c r="G7550" s="107" t="str">
        <f aca="false">IF($C7550="","",$D7550*IFERROR(INDEX('تحليل التكلفة والسعر'!$C$2:$C$700,MATCH($C7550,'تحليل التكلفة والسعر'!$B$2:$B$700,0)),0))</f>
        <v/>
      </c>
    </row>
    <row r="7551" customFormat="false" ht="15" hidden="false" customHeight="false" outlineLevel="0" collapsed="false">
      <c r="A7551" s="103"/>
      <c r="B7551" s="104"/>
      <c r="C7551" s="104"/>
      <c r="E7551" s="107" t="str">
        <f aca="false">IF($C7551="","",IFERROR(INDEX(المنيو!$C$2:$C$500,MATCH($C7551,المنيو!$B$2:$B$500,0)),0))</f>
        <v/>
      </c>
      <c r="F7551" s="107" t="str">
        <f aca="false">IF($C7551="","",$D7551*$E7551)</f>
        <v/>
      </c>
      <c r="G7551" s="107" t="str">
        <f aca="false">IF($C7551="","",$D7551*IFERROR(INDEX('تحليل التكلفة والسعر'!$C$2:$C$700,MATCH($C7551,'تحليل التكلفة والسعر'!$B$2:$B$700,0)),0))</f>
        <v/>
      </c>
    </row>
    <row r="7552" customFormat="false" ht="15" hidden="false" customHeight="false" outlineLevel="0" collapsed="false">
      <c r="A7552" s="103"/>
      <c r="B7552" s="104"/>
      <c r="C7552" s="104"/>
      <c r="E7552" s="107" t="str">
        <f aca="false">IF($C7552="","",IFERROR(INDEX(المنيو!$C$2:$C$500,MATCH($C7552,المنيو!$B$2:$B$500,0)),0))</f>
        <v/>
      </c>
      <c r="F7552" s="107" t="str">
        <f aca="false">IF($C7552="","",$D7552*$E7552)</f>
        <v/>
      </c>
      <c r="G7552" s="107" t="str">
        <f aca="false">IF($C7552="","",$D7552*IFERROR(INDEX('تحليل التكلفة والسعر'!$C$2:$C$700,MATCH($C7552,'تحليل التكلفة والسعر'!$B$2:$B$700,0)),0))</f>
        <v/>
      </c>
    </row>
    <row r="7553" customFormat="false" ht="15" hidden="false" customHeight="false" outlineLevel="0" collapsed="false">
      <c r="A7553" s="103"/>
      <c r="B7553" s="104"/>
      <c r="C7553" s="104"/>
      <c r="E7553" s="107" t="str">
        <f aca="false">IF($C7553="","",IFERROR(INDEX(المنيو!$C$2:$C$500,MATCH($C7553,المنيو!$B$2:$B$500,0)),0))</f>
        <v/>
      </c>
      <c r="F7553" s="107" t="str">
        <f aca="false">IF($C7553="","",$D7553*$E7553)</f>
        <v/>
      </c>
      <c r="G7553" s="107" t="str">
        <f aca="false">IF($C7553="","",$D7553*IFERROR(INDEX('تحليل التكلفة والسعر'!$C$2:$C$700,MATCH($C7553,'تحليل التكلفة والسعر'!$B$2:$B$700,0)),0))</f>
        <v/>
      </c>
    </row>
    <row r="7554" customFormat="false" ht="15" hidden="false" customHeight="false" outlineLevel="0" collapsed="false">
      <c r="A7554" s="103"/>
      <c r="B7554" s="104"/>
      <c r="C7554" s="104"/>
      <c r="E7554" s="107" t="str">
        <f aca="false">IF($C7554="","",IFERROR(INDEX(المنيو!$C$2:$C$500,MATCH($C7554,المنيو!$B$2:$B$500,0)),0))</f>
        <v/>
      </c>
      <c r="F7554" s="107" t="str">
        <f aca="false">IF($C7554="","",$D7554*$E7554)</f>
        <v/>
      </c>
      <c r="G7554" s="107" t="str">
        <f aca="false">IF($C7554="","",$D7554*IFERROR(INDEX('تحليل التكلفة والسعر'!$C$2:$C$700,MATCH($C7554,'تحليل التكلفة والسعر'!$B$2:$B$700,0)),0))</f>
        <v/>
      </c>
    </row>
    <row r="7555" customFormat="false" ht="15" hidden="false" customHeight="false" outlineLevel="0" collapsed="false">
      <c r="A7555" s="103"/>
      <c r="B7555" s="104"/>
      <c r="C7555" s="104"/>
      <c r="E7555" s="107" t="str">
        <f aca="false">IF($C7555="","",IFERROR(INDEX(المنيو!$C$2:$C$500,MATCH($C7555,المنيو!$B$2:$B$500,0)),0))</f>
        <v/>
      </c>
      <c r="F7555" s="107" t="str">
        <f aca="false">IF($C7555="","",$D7555*$E7555)</f>
        <v/>
      </c>
      <c r="G7555" s="107" t="str">
        <f aca="false">IF($C7555="","",$D7555*IFERROR(INDEX('تحليل التكلفة والسعر'!$C$2:$C$700,MATCH($C7555,'تحليل التكلفة والسعر'!$B$2:$B$700,0)),0))</f>
        <v/>
      </c>
    </row>
    <row r="7556" customFormat="false" ht="15" hidden="false" customHeight="false" outlineLevel="0" collapsed="false">
      <c r="A7556" s="103"/>
      <c r="B7556" s="104"/>
      <c r="C7556" s="104"/>
      <c r="E7556" s="107" t="str">
        <f aca="false">IF($C7556="","",IFERROR(INDEX(المنيو!$C$2:$C$500,MATCH($C7556,المنيو!$B$2:$B$500,0)),0))</f>
        <v/>
      </c>
      <c r="F7556" s="107" t="str">
        <f aca="false">IF($C7556="","",$D7556*$E7556)</f>
        <v/>
      </c>
      <c r="G7556" s="107" t="str">
        <f aca="false">IF($C7556="","",$D7556*IFERROR(INDEX('تحليل التكلفة والسعر'!$C$2:$C$700,MATCH($C7556,'تحليل التكلفة والسعر'!$B$2:$B$700,0)),0))</f>
        <v/>
      </c>
    </row>
    <row r="7557" customFormat="false" ht="15" hidden="false" customHeight="false" outlineLevel="0" collapsed="false">
      <c r="A7557" s="103"/>
      <c r="B7557" s="104"/>
      <c r="C7557" s="104"/>
      <c r="E7557" s="107" t="str">
        <f aca="false">IF($C7557="","",IFERROR(INDEX(المنيو!$C$2:$C$500,MATCH($C7557,المنيو!$B$2:$B$500,0)),0))</f>
        <v/>
      </c>
      <c r="F7557" s="107" t="str">
        <f aca="false">IF($C7557="","",$D7557*$E7557)</f>
        <v/>
      </c>
      <c r="G7557" s="107" t="str">
        <f aca="false">IF($C7557="","",$D7557*IFERROR(INDEX('تحليل التكلفة والسعر'!$C$2:$C$700,MATCH($C7557,'تحليل التكلفة والسعر'!$B$2:$B$700,0)),0))</f>
        <v/>
      </c>
    </row>
    <row r="7558" customFormat="false" ht="15" hidden="false" customHeight="false" outlineLevel="0" collapsed="false">
      <c r="A7558" s="103"/>
      <c r="B7558" s="104"/>
      <c r="C7558" s="104"/>
      <c r="E7558" s="107" t="str">
        <f aca="false">IF($C7558="","",IFERROR(INDEX(المنيو!$C$2:$C$500,MATCH($C7558,المنيو!$B$2:$B$500,0)),0))</f>
        <v/>
      </c>
      <c r="F7558" s="107" t="str">
        <f aca="false">IF($C7558="","",$D7558*$E7558)</f>
        <v/>
      </c>
      <c r="G7558" s="107" t="str">
        <f aca="false">IF($C7558="","",$D7558*IFERROR(INDEX('تحليل التكلفة والسعر'!$C$2:$C$700,MATCH($C7558,'تحليل التكلفة والسعر'!$B$2:$B$700,0)),0))</f>
        <v/>
      </c>
    </row>
    <row r="7559" customFormat="false" ht="15" hidden="false" customHeight="false" outlineLevel="0" collapsed="false">
      <c r="A7559" s="103"/>
      <c r="B7559" s="104"/>
      <c r="C7559" s="104"/>
      <c r="E7559" s="107" t="str">
        <f aca="false">IF($C7559="","",IFERROR(INDEX(المنيو!$C$2:$C$500,MATCH($C7559,المنيو!$B$2:$B$500,0)),0))</f>
        <v/>
      </c>
      <c r="F7559" s="107" t="str">
        <f aca="false">IF($C7559="","",$D7559*$E7559)</f>
        <v/>
      </c>
      <c r="G7559" s="107" t="str">
        <f aca="false">IF($C7559="","",$D7559*IFERROR(INDEX('تحليل التكلفة والسعر'!$C$2:$C$700,MATCH($C7559,'تحليل التكلفة والسعر'!$B$2:$B$700,0)),0))</f>
        <v/>
      </c>
    </row>
    <row r="7560" customFormat="false" ht="15" hidden="false" customHeight="false" outlineLevel="0" collapsed="false">
      <c r="A7560" s="103"/>
      <c r="B7560" s="104"/>
      <c r="C7560" s="104"/>
      <c r="E7560" s="107" t="str">
        <f aca="false">IF($C7560="","",IFERROR(INDEX(المنيو!$C$2:$C$500,MATCH($C7560,المنيو!$B$2:$B$500,0)),0))</f>
        <v/>
      </c>
      <c r="F7560" s="107" t="str">
        <f aca="false">IF($C7560="","",$D7560*$E7560)</f>
        <v/>
      </c>
      <c r="G7560" s="107" t="str">
        <f aca="false">IF($C7560="","",$D7560*IFERROR(INDEX('تحليل التكلفة والسعر'!$C$2:$C$700,MATCH($C7560,'تحليل التكلفة والسعر'!$B$2:$B$700,0)),0))</f>
        <v/>
      </c>
    </row>
    <row r="7561" customFormat="false" ht="15" hidden="false" customHeight="false" outlineLevel="0" collapsed="false">
      <c r="A7561" s="103"/>
      <c r="B7561" s="104"/>
      <c r="C7561" s="104"/>
      <c r="E7561" s="107" t="str">
        <f aca="false">IF($C7561="","",IFERROR(INDEX(المنيو!$C$2:$C$500,MATCH($C7561,المنيو!$B$2:$B$500,0)),0))</f>
        <v/>
      </c>
      <c r="F7561" s="107" t="str">
        <f aca="false">IF($C7561="","",$D7561*$E7561)</f>
        <v/>
      </c>
      <c r="G7561" s="107" t="str">
        <f aca="false">IF($C7561="","",$D7561*IFERROR(INDEX('تحليل التكلفة والسعر'!$C$2:$C$700,MATCH($C7561,'تحليل التكلفة والسعر'!$B$2:$B$700,0)),0))</f>
        <v/>
      </c>
    </row>
    <row r="7562" customFormat="false" ht="15" hidden="false" customHeight="false" outlineLevel="0" collapsed="false">
      <c r="A7562" s="103"/>
      <c r="B7562" s="104"/>
      <c r="C7562" s="104"/>
      <c r="E7562" s="107" t="str">
        <f aca="false">IF($C7562="","",IFERROR(INDEX(المنيو!$C$2:$C$500,MATCH($C7562,المنيو!$B$2:$B$500,0)),0))</f>
        <v/>
      </c>
      <c r="F7562" s="107" t="str">
        <f aca="false">IF($C7562="","",$D7562*$E7562)</f>
        <v/>
      </c>
      <c r="G7562" s="107" t="str">
        <f aca="false">IF($C7562="","",$D7562*IFERROR(INDEX('تحليل التكلفة والسعر'!$C$2:$C$700,MATCH($C7562,'تحليل التكلفة والسعر'!$B$2:$B$700,0)),0))</f>
        <v/>
      </c>
    </row>
    <row r="7563" customFormat="false" ht="15" hidden="false" customHeight="false" outlineLevel="0" collapsed="false">
      <c r="A7563" s="103"/>
      <c r="B7563" s="104"/>
      <c r="C7563" s="104"/>
      <c r="E7563" s="107" t="str">
        <f aca="false">IF($C7563="","",IFERROR(INDEX(المنيو!$C$2:$C$500,MATCH($C7563,المنيو!$B$2:$B$500,0)),0))</f>
        <v/>
      </c>
      <c r="F7563" s="107" t="str">
        <f aca="false">IF($C7563="","",$D7563*$E7563)</f>
        <v/>
      </c>
      <c r="G7563" s="107" t="str">
        <f aca="false">IF($C7563="","",$D7563*IFERROR(INDEX('تحليل التكلفة والسعر'!$C$2:$C$700,MATCH($C7563,'تحليل التكلفة والسعر'!$B$2:$B$700,0)),0))</f>
        <v/>
      </c>
    </row>
    <row r="7564" customFormat="false" ht="15" hidden="false" customHeight="false" outlineLevel="0" collapsed="false">
      <c r="A7564" s="103"/>
      <c r="B7564" s="104"/>
      <c r="C7564" s="104"/>
      <c r="E7564" s="107" t="str">
        <f aca="false">IF($C7564="","",IFERROR(INDEX(المنيو!$C$2:$C$500,MATCH($C7564,المنيو!$B$2:$B$500,0)),0))</f>
        <v/>
      </c>
      <c r="F7564" s="107" t="str">
        <f aca="false">IF($C7564="","",$D7564*$E7564)</f>
        <v/>
      </c>
      <c r="G7564" s="107" t="str">
        <f aca="false">IF($C7564="","",$D7564*IFERROR(INDEX('تحليل التكلفة والسعر'!$C$2:$C$700,MATCH($C7564,'تحليل التكلفة والسعر'!$B$2:$B$700,0)),0))</f>
        <v/>
      </c>
    </row>
    <row r="7565" customFormat="false" ht="15" hidden="false" customHeight="false" outlineLevel="0" collapsed="false">
      <c r="A7565" s="103"/>
      <c r="B7565" s="104"/>
      <c r="C7565" s="104"/>
      <c r="E7565" s="107" t="str">
        <f aca="false">IF($C7565="","",IFERROR(INDEX(المنيو!$C$2:$C$500,MATCH($C7565,المنيو!$B$2:$B$500,0)),0))</f>
        <v/>
      </c>
      <c r="F7565" s="107" t="str">
        <f aca="false">IF($C7565="","",$D7565*$E7565)</f>
        <v/>
      </c>
      <c r="G7565" s="107" t="str">
        <f aca="false">IF($C7565="","",$D7565*IFERROR(INDEX('تحليل التكلفة والسعر'!$C$2:$C$700,MATCH($C7565,'تحليل التكلفة والسعر'!$B$2:$B$700,0)),0))</f>
        <v/>
      </c>
    </row>
    <row r="7566" customFormat="false" ht="15" hidden="false" customHeight="false" outlineLevel="0" collapsed="false">
      <c r="A7566" s="103"/>
      <c r="B7566" s="104"/>
      <c r="C7566" s="104"/>
      <c r="E7566" s="107" t="str">
        <f aca="false">IF($C7566="","",IFERROR(INDEX(المنيو!$C$2:$C$500,MATCH($C7566,المنيو!$B$2:$B$500,0)),0))</f>
        <v/>
      </c>
      <c r="F7566" s="107" t="str">
        <f aca="false">IF($C7566="","",$D7566*$E7566)</f>
        <v/>
      </c>
      <c r="G7566" s="107" t="str">
        <f aca="false">IF($C7566="","",$D7566*IFERROR(INDEX('تحليل التكلفة والسعر'!$C$2:$C$700,MATCH($C7566,'تحليل التكلفة والسعر'!$B$2:$B$700,0)),0))</f>
        <v/>
      </c>
    </row>
    <row r="7567" customFormat="false" ht="15" hidden="false" customHeight="false" outlineLevel="0" collapsed="false">
      <c r="A7567" s="103"/>
      <c r="B7567" s="104"/>
      <c r="C7567" s="104"/>
      <c r="E7567" s="107" t="str">
        <f aca="false">IF($C7567="","",IFERROR(INDEX(المنيو!$C$2:$C$500,MATCH($C7567,المنيو!$B$2:$B$500,0)),0))</f>
        <v/>
      </c>
      <c r="F7567" s="107" t="str">
        <f aca="false">IF($C7567="","",$D7567*$E7567)</f>
        <v/>
      </c>
      <c r="G7567" s="107" t="str">
        <f aca="false">IF($C7567="","",$D7567*IFERROR(INDEX('تحليل التكلفة والسعر'!$C$2:$C$700,MATCH($C7567,'تحليل التكلفة والسعر'!$B$2:$B$700,0)),0))</f>
        <v/>
      </c>
    </row>
    <row r="7568" customFormat="false" ht="15" hidden="false" customHeight="false" outlineLevel="0" collapsed="false">
      <c r="A7568" s="103"/>
      <c r="B7568" s="104"/>
      <c r="C7568" s="104"/>
      <c r="E7568" s="107" t="str">
        <f aca="false">IF($C7568="","",IFERROR(INDEX(المنيو!$C$2:$C$500,MATCH($C7568,المنيو!$B$2:$B$500,0)),0))</f>
        <v/>
      </c>
      <c r="F7568" s="107" t="str">
        <f aca="false">IF($C7568="","",$D7568*$E7568)</f>
        <v/>
      </c>
      <c r="G7568" s="107" t="str">
        <f aca="false">IF($C7568="","",$D7568*IFERROR(INDEX('تحليل التكلفة والسعر'!$C$2:$C$700,MATCH($C7568,'تحليل التكلفة والسعر'!$B$2:$B$700,0)),0))</f>
        <v/>
      </c>
    </row>
    <row r="7569" customFormat="false" ht="15" hidden="false" customHeight="false" outlineLevel="0" collapsed="false">
      <c r="A7569" s="103"/>
      <c r="B7569" s="104"/>
      <c r="C7569" s="104"/>
      <c r="E7569" s="107" t="str">
        <f aca="false">IF($C7569="","",IFERROR(INDEX(المنيو!$C$2:$C$500,MATCH($C7569,المنيو!$B$2:$B$500,0)),0))</f>
        <v/>
      </c>
      <c r="F7569" s="107" t="str">
        <f aca="false">IF($C7569="","",$D7569*$E7569)</f>
        <v/>
      </c>
      <c r="G7569" s="107" t="str">
        <f aca="false">IF($C7569="","",$D7569*IFERROR(INDEX('تحليل التكلفة والسعر'!$C$2:$C$700,MATCH($C7569,'تحليل التكلفة والسعر'!$B$2:$B$700,0)),0))</f>
        <v/>
      </c>
    </row>
    <row r="7570" customFormat="false" ht="15" hidden="false" customHeight="false" outlineLevel="0" collapsed="false">
      <c r="A7570" s="103"/>
      <c r="B7570" s="104"/>
      <c r="C7570" s="104"/>
      <c r="E7570" s="107" t="str">
        <f aca="false">IF($C7570="","",IFERROR(INDEX(المنيو!$C$2:$C$500,MATCH($C7570,المنيو!$B$2:$B$500,0)),0))</f>
        <v/>
      </c>
      <c r="F7570" s="107" t="str">
        <f aca="false">IF($C7570="","",$D7570*$E7570)</f>
        <v/>
      </c>
      <c r="G7570" s="107" t="str">
        <f aca="false">IF($C7570="","",$D7570*IFERROR(INDEX('تحليل التكلفة والسعر'!$C$2:$C$700,MATCH($C7570,'تحليل التكلفة والسعر'!$B$2:$B$700,0)),0))</f>
        <v/>
      </c>
    </row>
    <row r="7571" customFormat="false" ht="15" hidden="false" customHeight="false" outlineLevel="0" collapsed="false">
      <c r="A7571" s="103"/>
      <c r="B7571" s="104"/>
      <c r="C7571" s="104"/>
      <c r="E7571" s="107" t="str">
        <f aca="false">IF($C7571="","",IFERROR(INDEX(المنيو!$C$2:$C$500,MATCH($C7571,المنيو!$B$2:$B$500,0)),0))</f>
        <v/>
      </c>
      <c r="F7571" s="107" t="str">
        <f aca="false">IF($C7571="","",$D7571*$E7571)</f>
        <v/>
      </c>
      <c r="G7571" s="107" t="str">
        <f aca="false">IF($C7571="","",$D7571*IFERROR(INDEX('تحليل التكلفة والسعر'!$C$2:$C$700,MATCH($C7571,'تحليل التكلفة والسعر'!$B$2:$B$700,0)),0))</f>
        <v/>
      </c>
    </row>
    <row r="7572" customFormat="false" ht="15" hidden="false" customHeight="false" outlineLevel="0" collapsed="false">
      <c r="A7572" s="103"/>
      <c r="B7572" s="104"/>
      <c r="C7572" s="104"/>
      <c r="E7572" s="107" t="str">
        <f aca="false">IF($C7572="","",IFERROR(INDEX(المنيو!$C$2:$C$500,MATCH($C7572,المنيو!$B$2:$B$500,0)),0))</f>
        <v/>
      </c>
      <c r="F7572" s="107" t="str">
        <f aca="false">IF($C7572="","",$D7572*$E7572)</f>
        <v/>
      </c>
      <c r="G7572" s="107" t="str">
        <f aca="false">IF($C7572="","",$D7572*IFERROR(INDEX('تحليل التكلفة والسعر'!$C$2:$C$700,MATCH($C7572,'تحليل التكلفة والسعر'!$B$2:$B$700,0)),0))</f>
        <v/>
      </c>
    </row>
    <row r="7573" customFormat="false" ht="15" hidden="false" customHeight="false" outlineLevel="0" collapsed="false">
      <c r="A7573" s="103"/>
      <c r="B7573" s="104"/>
      <c r="C7573" s="104"/>
      <c r="E7573" s="107" t="str">
        <f aca="false">IF($C7573="","",IFERROR(INDEX(المنيو!$C$2:$C$500,MATCH($C7573,المنيو!$B$2:$B$500,0)),0))</f>
        <v/>
      </c>
      <c r="F7573" s="107" t="str">
        <f aca="false">IF($C7573="","",$D7573*$E7573)</f>
        <v/>
      </c>
      <c r="G7573" s="107" t="str">
        <f aca="false">IF($C7573="","",$D7573*IFERROR(INDEX('تحليل التكلفة والسعر'!$C$2:$C$700,MATCH($C7573,'تحليل التكلفة والسعر'!$B$2:$B$700,0)),0))</f>
        <v/>
      </c>
    </row>
    <row r="7574" customFormat="false" ht="15" hidden="false" customHeight="false" outlineLevel="0" collapsed="false">
      <c r="A7574" s="103"/>
      <c r="B7574" s="104"/>
      <c r="C7574" s="104"/>
      <c r="E7574" s="107" t="str">
        <f aca="false">IF($C7574="","",IFERROR(INDEX(المنيو!$C$2:$C$500,MATCH($C7574,المنيو!$B$2:$B$500,0)),0))</f>
        <v/>
      </c>
      <c r="F7574" s="107" t="str">
        <f aca="false">IF($C7574="","",$D7574*$E7574)</f>
        <v/>
      </c>
      <c r="G7574" s="107" t="str">
        <f aca="false">IF($C7574="","",$D7574*IFERROR(INDEX('تحليل التكلفة والسعر'!$C$2:$C$700,MATCH($C7574,'تحليل التكلفة والسعر'!$B$2:$B$700,0)),0))</f>
        <v/>
      </c>
    </row>
    <row r="7575" customFormat="false" ht="15" hidden="false" customHeight="false" outlineLevel="0" collapsed="false">
      <c r="A7575" s="103"/>
      <c r="B7575" s="104"/>
      <c r="C7575" s="104"/>
      <c r="E7575" s="107" t="str">
        <f aca="false">IF($C7575="","",IFERROR(INDEX(المنيو!$C$2:$C$500,MATCH($C7575,المنيو!$B$2:$B$500,0)),0))</f>
        <v/>
      </c>
      <c r="F7575" s="107" t="str">
        <f aca="false">IF($C7575="","",$D7575*$E7575)</f>
        <v/>
      </c>
      <c r="G7575" s="107" t="str">
        <f aca="false">IF($C7575="","",$D7575*IFERROR(INDEX('تحليل التكلفة والسعر'!$C$2:$C$700,MATCH($C7575,'تحليل التكلفة والسعر'!$B$2:$B$700,0)),0))</f>
        <v/>
      </c>
    </row>
    <row r="7576" customFormat="false" ht="15" hidden="false" customHeight="false" outlineLevel="0" collapsed="false">
      <c r="A7576" s="103"/>
      <c r="B7576" s="104"/>
      <c r="C7576" s="104"/>
      <c r="E7576" s="107" t="str">
        <f aca="false">IF($C7576="","",IFERROR(INDEX(المنيو!$C$2:$C$500,MATCH($C7576,المنيو!$B$2:$B$500,0)),0))</f>
        <v/>
      </c>
      <c r="F7576" s="107" t="str">
        <f aca="false">IF($C7576="","",$D7576*$E7576)</f>
        <v/>
      </c>
      <c r="G7576" s="107" t="str">
        <f aca="false">IF($C7576="","",$D7576*IFERROR(INDEX('تحليل التكلفة والسعر'!$C$2:$C$700,MATCH($C7576,'تحليل التكلفة والسعر'!$B$2:$B$700,0)),0))</f>
        <v/>
      </c>
    </row>
    <row r="7577" customFormat="false" ht="15" hidden="false" customHeight="false" outlineLevel="0" collapsed="false">
      <c r="A7577" s="103"/>
      <c r="B7577" s="104"/>
      <c r="C7577" s="104"/>
      <c r="E7577" s="107" t="str">
        <f aca="false">IF($C7577="","",IFERROR(INDEX(المنيو!$C$2:$C$500,MATCH($C7577,المنيو!$B$2:$B$500,0)),0))</f>
        <v/>
      </c>
      <c r="F7577" s="107" t="str">
        <f aca="false">IF($C7577="","",$D7577*$E7577)</f>
        <v/>
      </c>
      <c r="G7577" s="107" t="str">
        <f aca="false">IF($C7577="","",$D7577*IFERROR(INDEX('تحليل التكلفة والسعر'!$C$2:$C$700,MATCH($C7577,'تحليل التكلفة والسعر'!$B$2:$B$700,0)),0))</f>
        <v/>
      </c>
    </row>
    <row r="7578" customFormat="false" ht="15" hidden="false" customHeight="false" outlineLevel="0" collapsed="false">
      <c r="A7578" s="103"/>
      <c r="B7578" s="104"/>
      <c r="C7578" s="104"/>
      <c r="E7578" s="107" t="str">
        <f aca="false">IF($C7578="","",IFERROR(INDEX(المنيو!$C$2:$C$500,MATCH($C7578,المنيو!$B$2:$B$500,0)),0))</f>
        <v/>
      </c>
      <c r="F7578" s="107" t="str">
        <f aca="false">IF($C7578="","",$D7578*$E7578)</f>
        <v/>
      </c>
      <c r="G7578" s="107" t="str">
        <f aca="false">IF($C7578="","",$D7578*IFERROR(INDEX('تحليل التكلفة والسعر'!$C$2:$C$700,MATCH($C7578,'تحليل التكلفة والسعر'!$B$2:$B$700,0)),0))</f>
        <v/>
      </c>
    </row>
    <row r="7579" customFormat="false" ht="15" hidden="false" customHeight="false" outlineLevel="0" collapsed="false">
      <c r="A7579" s="103"/>
      <c r="B7579" s="104"/>
      <c r="C7579" s="104"/>
      <c r="E7579" s="107" t="str">
        <f aca="false">IF($C7579="","",IFERROR(INDEX(المنيو!$C$2:$C$500,MATCH($C7579,المنيو!$B$2:$B$500,0)),0))</f>
        <v/>
      </c>
      <c r="F7579" s="107" t="str">
        <f aca="false">IF($C7579="","",$D7579*$E7579)</f>
        <v/>
      </c>
      <c r="G7579" s="107" t="str">
        <f aca="false">IF($C7579="","",$D7579*IFERROR(INDEX('تحليل التكلفة والسعر'!$C$2:$C$700,MATCH($C7579,'تحليل التكلفة والسعر'!$B$2:$B$700,0)),0))</f>
        <v/>
      </c>
    </row>
    <row r="7580" customFormat="false" ht="15" hidden="false" customHeight="false" outlineLevel="0" collapsed="false">
      <c r="A7580" s="103"/>
      <c r="B7580" s="104"/>
      <c r="C7580" s="104"/>
      <c r="E7580" s="107" t="str">
        <f aca="false">IF($C7580="","",IFERROR(INDEX(المنيو!$C$2:$C$500,MATCH($C7580,المنيو!$B$2:$B$500,0)),0))</f>
        <v/>
      </c>
      <c r="F7580" s="107" t="str">
        <f aca="false">IF($C7580="","",$D7580*$E7580)</f>
        <v/>
      </c>
      <c r="G7580" s="107" t="str">
        <f aca="false">IF($C7580="","",$D7580*IFERROR(INDEX('تحليل التكلفة والسعر'!$C$2:$C$700,MATCH($C7580,'تحليل التكلفة والسعر'!$B$2:$B$700,0)),0))</f>
        <v/>
      </c>
    </row>
    <row r="7581" customFormat="false" ht="15" hidden="false" customHeight="false" outlineLevel="0" collapsed="false">
      <c r="A7581" s="103"/>
      <c r="B7581" s="104"/>
      <c r="C7581" s="104"/>
      <c r="E7581" s="107" t="str">
        <f aca="false">IF($C7581="","",IFERROR(INDEX(المنيو!$C$2:$C$500,MATCH($C7581,المنيو!$B$2:$B$500,0)),0))</f>
        <v/>
      </c>
      <c r="F7581" s="107" t="str">
        <f aca="false">IF($C7581="","",$D7581*$E7581)</f>
        <v/>
      </c>
      <c r="G7581" s="107" t="str">
        <f aca="false">IF($C7581="","",$D7581*IFERROR(INDEX('تحليل التكلفة والسعر'!$C$2:$C$700,MATCH($C7581,'تحليل التكلفة والسعر'!$B$2:$B$700,0)),0))</f>
        <v/>
      </c>
    </row>
    <row r="7582" customFormat="false" ht="15" hidden="false" customHeight="false" outlineLevel="0" collapsed="false">
      <c r="A7582" s="103"/>
      <c r="B7582" s="104"/>
      <c r="C7582" s="104"/>
      <c r="E7582" s="107" t="str">
        <f aca="false">IF($C7582="","",IFERROR(INDEX(المنيو!$C$2:$C$500,MATCH($C7582,المنيو!$B$2:$B$500,0)),0))</f>
        <v/>
      </c>
      <c r="F7582" s="107" t="str">
        <f aca="false">IF($C7582="","",$D7582*$E7582)</f>
        <v/>
      </c>
      <c r="G7582" s="107" t="str">
        <f aca="false">IF($C7582="","",$D7582*IFERROR(INDEX('تحليل التكلفة والسعر'!$C$2:$C$700,MATCH($C7582,'تحليل التكلفة والسعر'!$B$2:$B$700,0)),0))</f>
        <v/>
      </c>
    </row>
    <row r="7583" customFormat="false" ht="15" hidden="false" customHeight="false" outlineLevel="0" collapsed="false">
      <c r="A7583" s="103"/>
      <c r="B7583" s="104"/>
      <c r="C7583" s="104"/>
      <c r="E7583" s="107" t="str">
        <f aca="false">IF($C7583="","",IFERROR(INDEX(المنيو!$C$2:$C$500,MATCH($C7583,المنيو!$B$2:$B$500,0)),0))</f>
        <v/>
      </c>
      <c r="F7583" s="107" t="str">
        <f aca="false">IF($C7583="","",$D7583*$E7583)</f>
        <v/>
      </c>
      <c r="G7583" s="107" t="str">
        <f aca="false">IF($C7583="","",$D7583*IFERROR(INDEX('تحليل التكلفة والسعر'!$C$2:$C$700,MATCH($C7583,'تحليل التكلفة والسعر'!$B$2:$B$700,0)),0))</f>
        <v/>
      </c>
    </row>
    <row r="7584" customFormat="false" ht="15" hidden="false" customHeight="false" outlineLevel="0" collapsed="false">
      <c r="A7584" s="103"/>
      <c r="B7584" s="104"/>
      <c r="C7584" s="104"/>
      <c r="E7584" s="107" t="str">
        <f aca="false">IF($C7584="","",IFERROR(INDEX(المنيو!$C$2:$C$500,MATCH($C7584,المنيو!$B$2:$B$500,0)),0))</f>
        <v/>
      </c>
      <c r="F7584" s="107" t="str">
        <f aca="false">IF($C7584="","",$D7584*$E7584)</f>
        <v/>
      </c>
      <c r="G7584" s="107" t="str">
        <f aca="false">IF($C7584="","",$D7584*IFERROR(INDEX('تحليل التكلفة والسعر'!$C$2:$C$700,MATCH($C7584,'تحليل التكلفة والسعر'!$B$2:$B$700,0)),0))</f>
        <v/>
      </c>
    </row>
    <row r="7585" customFormat="false" ht="15" hidden="false" customHeight="false" outlineLevel="0" collapsed="false">
      <c r="A7585" s="103"/>
      <c r="B7585" s="104"/>
      <c r="C7585" s="104"/>
      <c r="E7585" s="107" t="str">
        <f aca="false">IF($C7585="","",IFERROR(INDEX(المنيو!$C$2:$C$500,MATCH($C7585,المنيو!$B$2:$B$500,0)),0))</f>
        <v/>
      </c>
      <c r="F7585" s="107" t="str">
        <f aca="false">IF($C7585="","",$D7585*$E7585)</f>
        <v/>
      </c>
      <c r="G7585" s="107" t="str">
        <f aca="false">IF($C7585="","",$D7585*IFERROR(INDEX('تحليل التكلفة والسعر'!$C$2:$C$700,MATCH($C7585,'تحليل التكلفة والسعر'!$B$2:$B$700,0)),0))</f>
        <v/>
      </c>
    </row>
    <row r="7586" customFormat="false" ht="15" hidden="false" customHeight="false" outlineLevel="0" collapsed="false">
      <c r="A7586" s="103"/>
      <c r="B7586" s="104"/>
      <c r="C7586" s="104"/>
      <c r="E7586" s="107" t="str">
        <f aca="false">IF($C7586="","",IFERROR(INDEX(المنيو!$C$2:$C$500,MATCH($C7586,المنيو!$B$2:$B$500,0)),0))</f>
        <v/>
      </c>
      <c r="F7586" s="107" t="str">
        <f aca="false">IF($C7586="","",$D7586*$E7586)</f>
        <v/>
      </c>
      <c r="G7586" s="107" t="str">
        <f aca="false">IF($C7586="","",$D7586*IFERROR(INDEX('تحليل التكلفة والسعر'!$C$2:$C$700,MATCH($C7586,'تحليل التكلفة والسعر'!$B$2:$B$700,0)),0))</f>
        <v/>
      </c>
    </row>
    <row r="7587" customFormat="false" ht="15" hidden="false" customHeight="false" outlineLevel="0" collapsed="false">
      <c r="A7587" s="103"/>
      <c r="B7587" s="104"/>
      <c r="C7587" s="104"/>
      <c r="E7587" s="107" t="str">
        <f aca="false">IF($C7587="","",IFERROR(INDEX(المنيو!$C$2:$C$500,MATCH($C7587,المنيو!$B$2:$B$500,0)),0))</f>
        <v/>
      </c>
      <c r="F7587" s="107" t="str">
        <f aca="false">IF($C7587="","",$D7587*$E7587)</f>
        <v/>
      </c>
      <c r="G7587" s="107" t="str">
        <f aca="false">IF($C7587="","",$D7587*IFERROR(INDEX('تحليل التكلفة والسعر'!$C$2:$C$700,MATCH($C7587,'تحليل التكلفة والسعر'!$B$2:$B$700,0)),0))</f>
        <v/>
      </c>
    </row>
    <row r="7588" customFormat="false" ht="15" hidden="false" customHeight="false" outlineLevel="0" collapsed="false">
      <c r="A7588" s="103"/>
      <c r="B7588" s="104"/>
      <c r="C7588" s="104"/>
      <c r="E7588" s="107" t="str">
        <f aca="false">IF($C7588="","",IFERROR(INDEX(المنيو!$C$2:$C$500,MATCH($C7588,المنيو!$B$2:$B$500,0)),0))</f>
        <v/>
      </c>
      <c r="F7588" s="107" t="str">
        <f aca="false">IF($C7588="","",$D7588*$E7588)</f>
        <v/>
      </c>
      <c r="G7588" s="107" t="str">
        <f aca="false">IF($C7588="","",$D7588*IFERROR(INDEX('تحليل التكلفة والسعر'!$C$2:$C$700,MATCH($C7588,'تحليل التكلفة والسعر'!$B$2:$B$700,0)),0))</f>
        <v/>
      </c>
    </row>
    <row r="7589" customFormat="false" ht="15" hidden="false" customHeight="false" outlineLevel="0" collapsed="false">
      <c r="A7589" s="103"/>
      <c r="B7589" s="104"/>
      <c r="C7589" s="104"/>
      <c r="E7589" s="107" t="str">
        <f aca="false">IF($C7589="","",IFERROR(INDEX(المنيو!$C$2:$C$500,MATCH($C7589,المنيو!$B$2:$B$500,0)),0))</f>
        <v/>
      </c>
      <c r="F7589" s="107" t="str">
        <f aca="false">IF($C7589="","",$D7589*$E7589)</f>
        <v/>
      </c>
      <c r="G7589" s="107" t="str">
        <f aca="false">IF($C7589="","",$D7589*IFERROR(INDEX('تحليل التكلفة والسعر'!$C$2:$C$700,MATCH($C7589,'تحليل التكلفة والسعر'!$B$2:$B$700,0)),0))</f>
        <v/>
      </c>
    </row>
    <row r="7590" customFormat="false" ht="15" hidden="false" customHeight="false" outlineLevel="0" collapsed="false">
      <c r="A7590" s="103"/>
      <c r="B7590" s="104"/>
      <c r="C7590" s="104"/>
      <c r="E7590" s="107" t="str">
        <f aca="false">IF($C7590="","",IFERROR(INDEX(المنيو!$C$2:$C$500,MATCH($C7590,المنيو!$B$2:$B$500,0)),0))</f>
        <v/>
      </c>
      <c r="F7590" s="107" t="str">
        <f aca="false">IF($C7590="","",$D7590*$E7590)</f>
        <v/>
      </c>
      <c r="G7590" s="107" t="str">
        <f aca="false">IF($C7590="","",$D7590*IFERROR(INDEX('تحليل التكلفة والسعر'!$C$2:$C$700,MATCH($C7590,'تحليل التكلفة والسعر'!$B$2:$B$700,0)),0))</f>
        <v/>
      </c>
    </row>
    <row r="7591" customFormat="false" ht="15" hidden="false" customHeight="false" outlineLevel="0" collapsed="false">
      <c r="A7591" s="103"/>
      <c r="B7591" s="104"/>
      <c r="C7591" s="104"/>
      <c r="E7591" s="107" t="str">
        <f aca="false">IF($C7591="","",IFERROR(INDEX(المنيو!$C$2:$C$500,MATCH($C7591,المنيو!$B$2:$B$500,0)),0))</f>
        <v/>
      </c>
      <c r="F7591" s="107" t="str">
        <f aca="false">IF($C7591="","",$D7591*$E7591)</f>
        <v/>
      </c>
      <c r="G7591" s="107" t="str">
        <f aca="false">IF($C7591="","",$D7591*IFERROR(INDEX('تحليل التكلفة والسعر'!$C$2:$C$700,MATCH($C7591,'تحليل التكلفة والسعر'!$B$2:$B$700,0)),0))</f>
        <v/>
      </c>
    </row>
    <row r="7592" customFormat="false" ht="15" hidden="false" customHeight="false" outlineLevel="0" collapsed="false">
      <c r="A7592" s="103"/>
      <c r="B7592" s="104"/>
      <c r="C7592" s="104"/>
      <c r="E7592" s="107" t="str">
        <f aca="false">IF($C7592="","",IFERROR(INDEX(المنيو!$C$2:$C$500,MATCH($C7592,المنيو!$B$2:$B$500,0)),0))</f>
        <v/>
      </c>
      <c r="F7592" s="107" t="str">
        <f aca="false">IF($C7592="","",$D7592*$E7592)</f>
        <v/>
      </c>
      <c r="G7592" s="107" t="str">
        <f aca="false">IF($C7592="","",$D7592*IFERROR(INDEX('تحليل التكلفة والسعر'!$C$2:$C$700,MATCH($C7592,'تحليل التكلفة والسعر'!$B$2:$B$700,0)),0))</f>
        <v/>
      </c>
    </row>
    <row r="7593" customFormat="false" ht="15" hidden="false" customHeight="false" outlineLevel="0" collapsed="false">
      <c r="A7593" s="103"/>
      <c r="B7593" s="104"/>
      <c r="C7593" s="104"/>
      <c r="E7593" s="107" t="str">
        <f aca="false">IF($C7593="","",IFERROR(INDEX(المنيو!$C$2:$C$500,MATCH($C7593,المنيو!$B$2:$B$500,0)),0))</f>
        <v/>
      </c>
      <c r="F7593" s="107" t="str">
        <f aca="false">IF($C7593="","",$D7593*$E7593)</f>
        <v/>
      </c>
      <c r="G7593" s="107" t="str">
        <f aca="false">IF($C7593="","",$D7593*IFERROR(INDEX('تحليل التكلفة والسعر'!$C$2:$C$700,MATCH($C7593,'تحليل التكلفة والسعر'!$B$2:$B$700,0)),0))</f>
        <v/>
      </c>
    </row>
    <row r="7594" customFormat="false" ht="15" hidden="false" customHeight="false" outlineLevel="0" collapsed="false">
      <c r="A7594" s="103"/>
      <c r="B7594" s="104"/>
      <c r="C7594" s="104"/>
      <c r="E7594" s="107" t="str">
        <f aca="false">IF($C7594="","",IFERROR(INDEX(المنيو!$C$2:$C$500,MATCH($C7594,المنيو!$B$2:$B$500,0)),0))</f>
        <v/>
      </c>
      <c r="F7594" s="107" t="str">
        <f aca="false">IF($C7594="","",$D7594*$E7594)</f>
        <v/>
      </c>
      <c r="G7594" s="107" t="str">
        <f aca="false">IF($C7594="","",$D7594*IFERROR(INDEX('تحليل التكلفة والسعر'!$C$2:$C$700,MATCH($C7594,'تحليل التكلفة والسعر'!$B$2:$B$700,0)),0))</f>
        <v/>
      </c>
    </row>
    <row r="7595" customFormat="false" ht="15" hidden="false" customHeight="false" outlineLevel="0" collapsed="false">
      <c r="A7595" s="103"/>
      <c r="B7595" s="104"/>
      <c r="C7595" s="104"/>
      <c r="E7595" s="107" t="str">
        <f aca="false">IF($C7595="","",IFERROR(INDEX(المنيو!$C$2:$C$500,MATCH($C7595,المنيو!$B$2:$B$500,0)),0))</f>
        <v/>
      </c>
      <c r="F7595" s="107" t="str">
        <f aca="false">IF($C7595="","",$D7595*$E7595)</f>
        <v/>
      </c>
      <c r="G7595" s="107" t="str">
        <f aca="false">IF($C7595="","",$D7595*IFERROR(INDEX('تحليل التكلفة والسعر'!$C$2:$C$700,MATCH($C7595,'تحليل التكلفة والسعر'!$B$2:$B$700,0)),0))</f>
        <v/>
      </c>
    </row>
    <row r="7596" customFormat="false" ht="15" hidden="false" customHeight="false" outlineLevel="0" collapsed="false">
      <c r="A7596" s="103"/>
      <c r="B7596" s="104"/>
      <c r="C7596" s="104"/>
      <c r="E7596" s="107" t="str">
        <f aca="false">IF($C7596="","",IFERROR(INDEX(المنيو!$C$2:$C$500,MATCH($C7596,المنيو!$B$2:$B$500,0)),0))</f>
        <v/>
      </c>
      <c r="F7596" s="107" t="str">
        <f aca="false">IF($C7596="","",$D7596*$E7596)</f>
        <v/>
      </c>
      <c r="G7596" s="107" t="str">
        <f aca="false">IF($C7596="","",$D7596*IFERROR(INDEX('تحليل التكلفة والسعر'!$C$2:$C$700,MATCH($C7596,'تحليل التكلفة والسعر'!$B$2:$B$700,0)),0))</f>
        <v/>
      </c>
    </row>
    <row r="7597" customFormat="false" ht="15" hidden="false" customHeight="false" outlineLevel="0" collapsed="false">
      <c r="A7597" s="103"/>
      <c r="B7597" s="104"/>
      <c r="C7597" s="104"/>
      <c r="E7597" s="107" t="str">
        <f aca="false">IF($C7597="","",IFERROR(INDEX(المنيو!$C$2:$C$500,MATCH($C7597,المنيو!$B$2:$B$500,0)),0))</f>
        <v/>
      </c>
      <c r="F7597" s="107" t="str">
        <f aca="false">IF($C7597="","",$D7597*$E7597)</f>
        <v/>
      </c>
      <c r="G7597" s="107" t="str">
        <f aca="false">IF($C7597="","",$D7597*IFERROR(INDEX('تحليل التكلفة والسعر'!$C$2:$C$700,MATCH($C7597,'تحليل التكلفة والسعر'!$B$2:$B$700,0)),0))</f>
        <v/>
      </c>
    </row>
    <row r="7598" customFormat="false" ht="15" hidden="false" customHeight="false" outlineLevel="0" collapsed="false">
      <c r="A7598" s="103"/>
      <c r="B7598" s="104"/>
      <c r="C7598" s="104"/>
      <c r="E7598" s="107" t="str">
        <f aca="false">IF($C7598="","",IFERROR(INDEX(المنيو!$C$2:$C$500,MATCH($C7598,المنيو!$B$2:$B$500,0)),0))</f>
        <v/>
      </c>
      <c r="F7598" s="107" t="str">
        <f aca="false">IF($C7598="","",$D7598*$E7598)</f>
        <v/>
      </c>
      <c r="G7598" s="107" t="str">
        <f aca="false">IF($C7598="","",$D7598*IFERROR(INDEX('تحليل التكلفة والسعر'!$C$2:$C$700,MATCH($C7598,'تحليل التكلفة والسعر'!$B$2:$B$700,0)),0))</f>
        <v/>
      </c>
    </row>
    <row r="7599" customFormat="false" ht="15" hidden="false" customHeight="false" outlineLevel="0" collapsed="false">
      <c r="A7599" s="103"/>
      <c r="B7599" s="104"/>
      <c r="C7599" s="104"/>
      <c r="E7599" s="107" t="str">
        <f aca="false">IF($C7599="","",IFERROR(INDEX(المنيو!$C$2:$C$500,MATCH($C7599,المنيو!$B$2:$B$500,0)),0))</f>
        <v/>
      </c>
      <c r="F7599" s="107" t="str">
        <f aca="false">IF($C7599="","",$D7599*$E7599)</f>
        <v/>
      </c>
      <c r="G7599" s="107" t="str">
        <f aca="false">IF($C7599="","",$D7599*IFERROR(INDEX('تحليل التكلفة والسعر'!$C$2:$C$700,MATCH($C7599,'تحليل التكلفة والسعر'!$B$2:$B$700,0)),0))</f>
        <v/>
      </c>
    </row>
    <row r="7600" customFormat="false" ht="15" hidden="false" customHeight="false" outlineLevel="0" collapsed="false">
      <c r="A7600" s="103"/>
      <c r="B7600" s="104"/>
      <c r="C7600" s="104"/>
      <c r="E7600" s="107" t="str">
        <f aca="false">IF($C7600="","",IFERROR(INDEX(المنيو!$C$2:$C$500,MATCH($C7600,المنيو!$B$2:$B$500,0)),0))</f>
        <v/>
      </c>
      <c r="F7600" s="107" t="str">
        <f aca="false">IF($C7600="","",$D7600*$E7600)</f>
        <v/>
      </c>
      <c r="G7600" s="107" t="str">
        <f aca="false">IF($C7600="","",$D7600*IFERROR(INDEX('تحليل التكلفة والسعر'!$C$2:$C$700,MATCH($C7600,'تحليل التكلفة والسعر'!$B$2:$B$700,0)),0))</f>
        <v/>
      </c>
    </row>
    <row r="7601" customFormat="false" ht="15" hidden="false" customHeight="false" outlineLevel="0" collapsed="false">
      <c r="A7601" s="103"/>
      <c r="B7601" s="104"/>
      <c r="C7601" s="104"/>
      <c r="E7601" s="107" t="str">
        <f aca="false">IF($C7601="","",IFERROR(INDEX(المنيو!$C$2:$C$500,MATCH($C7601,المنيو!$B$2:$B$500,0)),0))</f>
        <v/>
      </c>
      <c r="F7601" s="107" t="str">
        <f aca="false">IF($C7601="","",$D7601*$E7601)</f>
        <v/>
      </c>
      <c r="G7601" s="107" t="str">
        <f aca="false">IF($C7601="","",$D7601*IFERROR(INDEX('تحليل التكلفة والسعر'!$C$2:$C$700,MATCH($C7601,'تحليل التكلفة والسعر'!$B$2:$B$700,0)),0))</f>
        <v/>
      </c>
    </row>
    <row r="7602" customFormat="false" ht="15" hidden="false" customHeight="false" outlineLevel="0" collapsed="false">
      <c r="A7602" s="103"/>
      <c r="B7602" s="104"/>
      <c r="C7602" s="104"/>
      <c r="E7602" s="107" t="str">
        <f aca="false">IF($C7602="","",IFERROR(INDEX(المنيو!$C$2:$C$500,MATCH($C7602,المنيو!$B$2:$B$500,0)),0))</f>
        <v/>
      </c>
      <c r="F7602" s="107" t="str">
        <f aca="false">IF($C7602="","",$D7602*$E7602)</f>
        <v/>
      </c>
      <c r="G7602" s="107" t="str">
        <f aca="false">IF($C7602="","",$D7602*IFERROR(INDEX('تحليل التكلفة والسعر'!$C$2:$C$700,MATCH($C7602,'تحليل التكلفة والسعر'!$B$2:$B$700,0)),0))</f>
        <v/>
      </c>
    </row>
    <row r="7603" customFormat="false" ht="15" hidden="false" customHeight="false" outlineLevel="0" collapsed="false">
      <c r="A7603" s="103"/>
      <c r="B7603" s="104"/>
      <c r="C7603" s="104"/>
      <c r="E7603" s="107" t="str">
        <f aca="false">IF($C7603="","",IFERROR(INDEX(المنيو!$C$2:$C$500,MATCH($C7603,المنيو!$B$2:$B$500,0)),0))</f>
        <v/>
      </c>
      <c r="F7603" s="107" t="str">
        <f aca="false">IF($C7603="","",$D7603*$E7603)</f>
        <v/>
      </c>
      <c r="G7603" s="107" t="str">
        <f aca="false">IF($C7603="","",$D7603*IFERROR(INDEX('تحليل التكلفة والسعر'!$C$2:$C$700,MATCH($C7603,'تحليل التكلفة والسعر'!$B$2:$B$700,0)),0))</f>
        <v/>
      </c>
    </row>
    <row r="7604" customFormat="false" ht="15" hidden="false" customHeight="false" outlineLevel="0" collapsed="false">
      <c r="A7604" s="103"/>
      <c r="B7604" s="104"/>
      <c r="C7604" s="104"/>
      <c r="E7604" s="107" t="str">
        <f aca="false">IF($C7604="","",IFERROR(INDEX(المنيو!$C$2:$C$500,MATCH($C7604,المنيو!$B$2:$B$500,0)),0))</f>
        <v/>
      </c>
      <c r="F7604" s="107" t="str">
        <f aca="false">IF($C7604="","",$D7604*$E7604)</f>
        <v/>
      </c>
      <c r="G7604" s="107" t="str">
        <f aca="false">IF($C7604="","",$D7604*IFERROR(INDEX('تحليل التكلفة والسعر'!$C$2:$C$700,MATCH($C7604,'تحليل التكلفة والسعر'!$B$2:$B$700,0)),0))</f>
        <v/>
      </c>
    </row>
    <row r="7605" customFormat="false" ht="15" hidden="false" customHeight="false" outlineLevel="0" collapsed="false">
      <c r="A7605" s="103"/>
      <c r="B7605" s="104"/>
      <c r="C7605" s="104"/>
      <c r="E7605" s="107" t="str">
        <f aca="false">IF($C7605="","",IFERROR(INDEX(المنيو!$C$2:$C$500,MATCH($C7605,المنيو!$B$2:$B$500,0)),0))</f>
        <v/>
      </c>
      <c r="F7605" s="107" t="str">
        <f aca="false">IF($C7605="","",$D7605*$E7605)</f>
        <v/>
      </c>
      <c r="G7605" s="107" t="str">
        <f aca="false">IF($C7605="","",$D7605*IFERROR(INDEX('تحليل التكلفة والسعر'!$C$2:$C$700,MATCH($C7605,'تحليل التكلفة والسعر'!$B$2:$B$700,0)),0))</f>
        <v/>
      </c>
    </row>
    <row r="7606" customFormat="false" ht="15" hidden="false" customHeight="false" outlineLevel="0" collapsed="false">
      <c r="A7606" s="103"/>
      <c r="B7606" s="104"/>
      <c r="C7606" s="104"/>
      <c r="E7606" s="107" t="str">
        <f aca="false">IF($C7606="","",IFERROR(INDEX(المنيو!$C$2:$C$500,MATCH($C7606,المنيو!$B$2:$B$500,0)),0))</f>
        <v/>
      </c>
      <c r="F7606" s="107" t="str">
        <f aca="false">IF($C7606="","",$D7606*$E7606)</f>
        <v/>
      </c>
      <c r="G7606" s="107" t="str">
        <f aca="false">IF($C7606="","",$D7606*IFERROR(INDEX('تحليل التكلفة والسعر'!$C$2:$C$700,MATCH($C7606,'تحليل التكلفة والسعر'!$B$2:$B$700,0)),0))</f>
        <v/>
      </c>
    </row>
    <row r="7607" customFormat="false" ht="15" hidden="false" customHeight="false" outlineLevel="0" collapsed="false">
      <c r="A7607" s="103"/>
      <c r="B7607" s="104"/>
      <c r="C7607" s="104"/>
      <c r="E7607" s="107" t="str">
        <f aca="false">IF($C7607="","",IFERROR(INDEX(المنيو!$C$2:$C$500,MATCH($C7607,المنيو!$B$2:$B$500,0)),0))</f>
        <v/>
      </c>
      <c r="F7607" s="107" t="str">
        <f aca="false">IF($C7607="","",$D7607*$E7607)</f>
        <v/>
      </c>
      <c r="G7607" s="107" t="str">
        <f aca="false">IF($C7607="","",$D7607*IFERROR(INDEX('تحليل التكلفة والسعر'!$C$2:$C$700,MATCH($C7607,'تحليل التكلفة والسعر'!$B$2:$B$700,0)),0))</f>
        <v/>
      </c>
    </row>
    <row r="7608" customFormat="false" ht="15" hidden="false" customHeight="false" outlineLevel="0" collapsed="false">
      <c r="A7608" s="103"/>
      <c r="B7608" s="104"/>
      <c r="C7608" s="104"/>
      <c r="E7608" s="107" t="str">
        <f aca="false">IF($C7608="","",IFERROR(INDEX(المنيو!$C$2:$C$500,MATCH($C7608,المنيو!$B$2:$B$500,0)),0))</f>
        <v/>
      </c>
      <c r="F7608" s="107" t="str">
        <f aca="false">IF($C7608="","",$D7608*$E7608)</f>
        <v/>
      </c>
      <c r="G7608" s="107" t="str">
        <f aca="false">IF($C7608="","",$D7608*IFERROR(INDEX('تحليل التكلفة والسعر'!$C$2:$C$700,MATCH($C7608,'تحليل التكلفة والسعر'!$B$2:$B$700,0)),0))</f>
        <v/>
      </c>
    </row>
    <row r="7609" customFormat="false" ht="15" hidden="false" customHeight="false" outlineLevel="0" collapsed="false">
      <c r="A7609" s="103"/>
      <c r="B7609" s="104"/>
      <c r="C7609" s="104"/>
      <c r="E7609" s="107" t="str">
        <f aca="false">IF($C7609="","",IFERROR(INDEX(المنيو!$C$2:$C$500,MATCH($C7609,المنيو!$B$2:$B$500,0)),0))</f>
        <v/>
      </c>
      <c r="F7609" s="107" t="str">
        <f aca="false">IF($C7609="","",$D7609*$E7609)</f>
        <v/>
      </c>
      <c r="G7609" s="107" t="str">
        <f aca="false">IF($C7609="","",$D7609*IFERROR(INDEX('تحليل التكلفة والسعر'!$C$2:$C$700,MATCH($C7609,'تحليل التكلفة والسعر'!$B$2:$B$700,0)),0))</f>
        <v/>
      </c>
    </row>
    <row r="7610" customFormat="false" ht="15" hidden="false" customHeight="false" outlineLevel="0" collapsed="false">
      <c r="A7610" s="103"/>
      <c r="B7610" s="104"/>
      <c r="C7610" s="104"/>
      <c r="E7610" s="107" t="str">
        <f aca="false">IF($C7610="","",IFERROR(INDEX(المنيو!$C$2:$C$500,MATCH($C7610,المنيو!$B$2:$B$500,0)),0))</f>
        <v/>
      </c>
      <c r="F7610" s="107" t="str">
        <f aca="false">IF($C7610="","",$D7610*$E7610)</f>
        <v/>
      </c>
      <c r="G7610" s="107" t="str">
        <f aca="false">IF($C7610="","",$D7610*IFERROR(INDEX('تحليل التكلفة والسعر'!$C$2:$C$700,MATCH($C7610,'تحليل التكلفة والسعر'!$B$2:$B$700,0)),0))</f>
        <v/>
      </c>
    </row>
    <row r="7611" customFormat="false" ht="15" hidden="false" customHeight="false" outlineLevel="0" collapsed="false">
      <c r="A7611" s="103"/>
      <c r="B7611" s="104"/>
      <c r="C7611" s="104"/>
      <c r="E7611" s="107" t="str">
        <f aca="false">IF($C7611="","",IFERROR(INDEX(المنيو!$C$2:$C$500,MATCH($C7611,المنيو!$B$2:$B$500,0)),0))</f>
        <v/>
      </c>
      <c r="F7611" s="107" t="str">
        <f aca="false">IF($C7611="","",$D7611*$E7611)</f>
        <v/>
      </c>
      <c r="G7611" s="107" t="str">
        <f aca="false">IF($C7611="","",$D7611*IFERROR(INDEX('تحليل التكلفة والسعر'!$C$2:$C$700,MATCH($C7611,'تحليل التكلفة والسعر'!$B$2:$B$700,0)),0))</f>
        <v/>
      </c>
    </row>
    <row r="7612" customFormat="false" ht="15" hidden="false" customHeight="false" outlineLevel="0" collapsed="false">
      <c r="A7612" s="103"/>
      <c r="B7612" s="104"/>
      <c r="C7612" s="104"/>
      <c r="E7612" s="107" t="str">
        <f aca="false">IF($C7612="","",IFERROR(INDEX(المنيو!$C$2:$C$500,MATCH($C7612,المنيو!$B$2:$B$500,0)),0))</f>
        <v/>
      </c>
      <c r="F7612" s="107" t="str">
        <f aca="false">IF($C7612="","",$D7612*$E7612)</f>
        <v/>
      </c>
      <c r="G7612" s="107" t="str">
        <f aca="false">IF($C7612="","",$D7612*IFERROR(INDEX('تحليل التكلفة والسعر'!$C$2:$C$700,MATCH($C7612,'تحليل التكلفة والسعر'!$B$2:$B$700,0)),0))</f>
        <v/>
      </c>
    </row>
    <row r="7613" customFormat="false" ht="15" hidden="false" customHeight="false" outlineLevel="0" collapsed="false">
      <c r="A7613" s="103"/>
      <c r="B7613" s="104"/>
      <c r="C7613" s="104"/>
      <c r="E7613" s="107" t="str">
        <f aca="false">IF($C7613="","",IFERROR(INDEX(المنيو!$C$2:$C$500,MATCH($C7613,المنيو!$B$2:$B$500,0)),0))</f>
        <v/>
      </c>
      <c r="F7613" s="107" t="str">
        <f aca="false">IF($C7613="","",$D7613*$E7613)</f>
        <v/>
      </c>
      <c r="G7613" s="107" t="str">
        <f aca="false">IF($C7613="","",$D7613*IFERROR(INDEX('تحليل التكلفة والسعر'!$C$2:$C$700,MATCH($C7613,'تحليل التكلفة والسعر'!$B$2:$B$700,0)),0))</f>
        <v/>
      </c>
    </row>
    <row r="7614" customFormat="false" ht="15" hidden="false" customHeight="false" outlineLevel="0" collapsed="false">
      <c r="A7614" s="103"/>
      <c r="B7614" s="104"/>
      <c r="C7614" s="104"/>
      <c r="E7614" s="107" t="str">
        <f aca="false">IF($C7614="","",IFERROR(INDEX(المنيو!$C$2:$C$500,MATCH($C7614,المنيو!$B$2:$B$500,0)),0))</f>
        <v/>
      </c>
      <c r="F7614" s="107" t="str">
        <f aca="false">IF($C7614="","",$D7614*$E7614)</f>
        <v/>
      </c>
      <c r="G7614" s="107" t="str">
        <f aca="false">IF($C7614="","",$D7614*IFERROR(INDEX('تحليل التكلفة والسعر'!$C$2:$C$700,MATCH($C7614,'تحليل التكلفة والسعر'!$B$2:$B$700,0)),0))</f>
        <v/>
      </c>
    </row>
    <row r="7615" customFormat="false" ht="15" hidden="false" customHeight="false" outlineLevel="0" collapsed="false">
      <c r="A7615" s="103"/>
      <c r="B7615" s="104"/>
      <c r="C7615" s="104"/>
      <c r="E7615" s="107" t="str">
        <f aca="false">IF($C7615="","",IFERROR(INDEX(المنيو!$C$2:$C$500,MATCH($C7615,المنيو!$B$2:$B$500,0)),0))</f>
        <v/>
      </c>
      <c r="F7615" s="107" t="str">
        <f aca="false">IF($C7615="","",$D7615*$E7615)</f>
        <v/>
      </c>
      <c r="G7615" s="107" t="str">
        <f aca="false">IF($C7615="","",$D7615*IFERROR(INDEX('تحليل التكلفة والسعر'!$C$2:$C$700,MATCH($C7615,'تحليل التكلفة والسعر'!$B$2:$B$700,0)),0))</f>
        <v/>
      </c>
    </row>
    <row r="7616" customFormat="false" ht="15" hidden="false" customHeight="false" outlineLevel="0" collapsed="false">
      <c r="A7616" s="103"/>
      <c r="B7616" s="104"/>
      <c r="C7616" s="104"/>
      <c r="E7616" s="107" t="str">
        <f aca="false">IF($C7616="","",IFERROR(INDEX(المنيو!$C$2:$C$500,MATCH($C7616,المنيو!$B$2:$B$500,0)),0))</f>
        <v/>
      </c>
      <c r="F7616" s="107" t="str">
        <f aca="false">IF($C7616="","",$D7616*$E7616)</f>
        <v/>
      </c>
      <c r="G7616" s="107" t="str">
        <f aca="false">IF($C7616="","",$D7616*IFERROR(INDEX('تحليل التكلفة والسعر'!$C$2:$C$700,MATCH($C7616,'تحليل التكلفة والسعر'!$B$2:$B$700,0)),0))</f>
        <v/>
      </c>
    </row>
    <row r="7617" customFormat="false" ht="15" hidden="false" customHeight="false" outlineLevel="0" collapsed="false">
      <c r="A7617" s="103"/>
      <c r="B7617" s="104"/>
      <c r="C7617" s="104"/>
      <c r="E7617" s="107" t="str">
        <f aca="false">IF($C7617="","",IFERROR(INDEX(المنيو!$C$2:$C$500,MATCH($C7617,المنيو!$B$2:$B$500,0)),0))</f>
        <v/>
      </c>
      <c r="F7617" s="107" t="str">
        <f aca="false">IF($C7617="","",$D7617*$E7617)</f>
        <v/>
      </c>
      <c r="G7617" s="107" t="str">
        <f aca="false">IF($C7617="","",$D7617*IFERROR(INDEX('تحليل التكلفة والسعر'!$C$2:$C$700,MATCH($C7617,'تحليل التكلفة والسعر'!$B$2:$B$700,0)),0))</f>
        <v/>
      </c>
    </row>
    <row r="7618" customFormat="false" ht="15" hidden="false" customHeight="false" outlineLevel="0" collapsed="false">
      <c r="A7618" s="103"/>
      <c r="B7618" s="104"/>
      <c r="C7618" s="104"/>
      <c r="E7618" s="107" t="str">
        <f aca="false">IF($C7618="","",IFERROR(INDEX(المنيو!$C$2:$C$500,MATCH($C7618,المنيو!$B$2:$B$500,0)),0))</f>
        <v/>
      </c>
      <c r="F7618" s="107" t="str">
        <f aca="false">IF($C7618="","",$D7618*$E7618)</f>
        <v/>
      </c>
      <c r="G7618" s="107" t="str">
        <f aca="false">IF($C7618="","",$D7618*IFERROR(INDEX('تحليل التكلفة والسعر'!$C$2:$C$700,MATCH($C7618,'تحليل التكلفة والسعر'!$B$2:$B$700,0)),0))</f>
        <v/>
      </c>
    </row>
    <row r="7619" customFormat="false" ht="15" hidden="false" customHeight="false" outlineLevel="0" collapsed="false">
      <c r="A7619" s="103"/>
      <c r="B7619" s="104"/>
      <c r="C7619" s="104"/>
      <c r="E7619" s="107" t="str">
        <f aca="false">IF($C7619="","",IFERROR(INDEX(المنيو!$C$2:$C$500,MATCH($C7619,المنيو!$B$2:$B$500,0)),0))</f>
        <v/>
      </c>
      <c r="F7619" s="107" t="str">
        <f aca="false">IF($C7619="","",$D7619*$E7619)</f>
        <v/>
      </c>
      <c r="G7619" s="107" t="str">
        <f aca="false">IF($C7619="","",$D7619*IFERROR(INDEX('تحليل التكلفة والسعر'!$C$2:$C$700,MATCH($C7619,'تحليل التكلفة والسعر'!$B$2:$B$700,0)),0))</f>
        <v/>
      </c>
    </row>
    <row r="7620" customFormat="false" ht="15" hidden="false" customHeight="false" outlineLevel="0" collapsed="false">
      <c r="A7620" s="103"/>
      <c r="B7620" s="104"/>
      <c r="C7620" s="104"/>
      <c r="E7620" s="107" t="str">
        <f aca="false">IF($C7620="","",IFERROR(INDEX(المنيو!$C$2:$C$500,MATCH($C7620,المنيو!$B$2:$B$500,0)),0))</f>
        <v/>
      </c>
      <c r="F7620" s="107" t="str">
        <f aca="false">IF($C7620="","",$D7620*$E7620)</f>
        <v/>
      </c>
      <c r="G7620" s="107" t="str">
        <f aca="false">IF($C7620="","",$D7620*IFERROR(INDEX('تحليل التكلفة والسعر'!$C$2:$C$700,MATCH($C7620,'تحليل التكلفة والسعر'!$B$2:$B$700,0)),0))</f>
        <v/>
      </c>
    </row>
    <row r="7621" customFormat="false" ht="15" hidden="false" customHeight="false" outlineLevel="0" collapsed="false">
      <c r="A7621" s="103"/>
      <c r="B7621" s="104"/>
      <c r="C7621" s="104"/>
      <c r="E7621" s="107" t="str">
        <f aca="false">IF($C7621="","",IFERROR(INDEX(المنيو!$C$2:$C$500,MATCH($C7621,المنيو!$B$2:$B$500,0)),0))</f>
        <v/>
      </c>
      <c r="F7621" s="107" t="str">
        <f aca="false">IF($C7621="","",$D7621*$E7621)</f>
        <v/>
      </c>
      <c r="G7621" s="107" t="str">
        <f aca="false">IF($C7621="","",$D7621*IFERROR(INDEX('تحليل التكلفة والسعر'!$C$2:$C$700,MATCH($C7621,'تحليل التكلفة والسعر'!$B$2:$B$700,0)),0))</f>
        <v/>
      </c>
    </row>
    <row r="7622" customFormat="false" ht="15" hidden="false" customHeight="false" outlineLevel="0" collapsed="false">
      <c r="A7622" s="103"/>
      <c r="B7622" s="104"/>
      <c r="C7622" s="104"/>
      <c r="E7622" s="107" t="str">
        <f aca="false">IF($C7622="","",IFERROR(INDEX(المنيو!$C$2:$C$500,MATCH($C7622,المنيو!$B$2:$B$500,0)),0))</f>
        <v/>
      </c>
      <c r="F7622" s="107" t="str">
        <f aca="false">IF($C7622="","",$D7622*$E7622)</f>
        <v/>
      </c>
      <c r="G7622" s="107" t="str">
        <f aca="false">IF($C7622="","",$D7622*IFERROR(INDEX('تحليل التكلفة والسعر'!$C$2:$C$700,MATCH($C7622,'تحليل التكلفة والسعر'!$B$2:$B$700,0)),0))</f>
        <v/>
      </c>
    </row>
    <row r="7623" customFormat="false" ht="15" hidden="false" customHeight="false" outlineLevel="0" collapsed="false">
      <c r="A7623" s="103"/>
      <c r="B7623" s="104"/>
      <c r="C7623" s="104"/>
      <c r="E7623" s="107" t="str">
        <f aca="false">IF($C7623="","",IFERROR(INDEX(المنيو!$C$2:$C$500,MATCH($C7623,المنيو!$B$2:$B$500,0)),0))</f>
        <v/>
      </c>
      <c r="F7623" s="107" t="str">
        <f aca="false">IF($C7623="","",$D7623*$E7623)</f>
        <v/>
      </c>
      <c r="G7623" s="107" t="str">
        <f aca="false">IF($C7623="","",$D7623*IFERROR(INDEX('تحليل التكلفة والسعر'!$C$2:$C$700,MATCH($C7623,'تحليل التكلفة والسعر'!$B$2:$B$700,0)),0))</f>
        <v/>
      </c>
    </row>
    <row r="7624" customFormat="false" ht="15" hidden="false" customHeight="false" outlineLevel="0" collapsed="false">
      <c r="A7624" s="103"/>
      <c r="B7624" s="104"/>
      <c r="C7624" s="104"/>
      <c r="E7624" s="107" t="str">
        <f aca="false">IF($C7624="","",IFERROR(INDEX(المنيو!$C$2:$C$500,MATCH($C7624,المنيو!$B$2:$B$500,0)),0))</f>
        <v/>
      </c>
      <c r="F7624" s="107" t="str">
        <f aca="false">IF($C7624="","",$D7624*$E7624)</f>
        <v/>
      </c>
      <c r="G7624" s="107" t="str">
        <f aca="false">IF($C7624="","",$D7624*IFERROR(INDEX('تحليل التكلفة والسعر'!$C$2:$C$700,MATCH($C7624,'تحليل التكلفة والسعر'!$B$2:$B$700,0)),0))</f>
        <v/>
      </c>
    </row>
    <row r="7625" customFormat="false" ht="15" hidden="false" customHeight="false" outlineLevel="0" collapsed="false">
      <c r="A7625" s="103"/>
      <c r="B7625" s="104"/>
      <c r="C7625" s="104"/>
      <c r="E7625" s="107" t="str">
        <f aca="false">IF($C7625="","",IFERROR(INDEX(المنيو!$C$2:$C$500,MATCH($C7625,المنيو!$B$2:$B$500,0)),0))</f>
        <v/>
      </c>
      <c r="F7625" s="107" t="str">
        <f aca="false">IF($C7625="","",$D7625*$E7625)</f>
        <v/>
      </c>
      <c r="G7625" s="107" t="str">
        <f aca="false">IF($C7625="","",$D7625*IFERROR(INDEX('تحليل التكلفة والسعر'!$C$2:$C$700,MATCH($C7625,'تحليل التكلفة والسعر'!$B$2:$B$700,0)),0))</f>
        <v/>
      </c>
    </row>
    <row r="7626" customFormat="false" ht="15" hidden="false" customHeight="false" outlineLevel="0" collapsed="false">
      <c r="A7626" s="103"/>
      <c r="B7626" s="104"/>
      <c r="C7626" s="104"/>
      <c r="E7626" s="107" t="str">
        <f aca="false">IF($C7626="","",IFERROR(INDEX(المنيو!$C$2:$C$500,MATCH($C7626,المنيو!$B$2:$B$500,0)),0))</f>
        <v/>
      </c>
      <c r="F7626" s="107" t="str">
        <f aca="false">IF($C7626="","",$D7626*$E7626)</f>
        <v/>
      </c>
      <c r="G7626" s="107" t="str">
        <f aca="false">IF($C7626="","",$D7626*IFERROR(INDEX('تحليل التكلفة والسعر'!$C$2:$C$700,MATCH($C7626,'تحليل التكلفة والسعر'!$B$2:$B$700,0)),0))</f>
        <v/>
      </c>
    </row>
    <row r="7627" customFormat="false" ht="15" hidden="false" customHeight="false" outlineLevel="0" collapsed="false">
      <c r="A7627" s="103"/>
      <c r="B7627" s="104"/>
      <c r="C7627" s="104"/>
      <c r="E7627" s="107" t="str">
        <f aca="false">IF($C7627="","",IFERROR(INDEX(المنيو!$C$2:$C$500,MATCH($C7627,المنيو!$B$2:$B$500,0)),0))</f>
        <v/>
      </c>
      <c r="F7627" s="107" t="str">
        <f aca="false">IF($C7627="","",$D7627*$E7627)</f>
        <v/>
      </c>
      <c r="G7627" s="107" t="str">
        <f aca="false">IF($C7627="","",$D7627*IFERROR(INDEX('تحليل التكلفة والسعر'!$C$2:$C$700,MATCH($C7627,'تحليل التكلفة والسعر'!$B$2:$B$700,0)),0))</f>
        <v/>
      </c>
    </row>
    <row r="7628" customFormat="false" ht="15" hidden="false" customHeight="false" outlineLevel="0" collapsed="false">
      <c r="A7628" s="103"/>
      <c r="B7628" s="104"/>
      <c r="C7628" s="104"/>
      <c r="E7628" s="107" t="str">
        <f aca="false">IF($C7628="","",IFERROR(INDEX(المنيو!$C$2:$C$500,MATCH($C7628,المنيو!$B$2:$B$500,0)),0))</f>
        <v/>
      </c>
      <c r="F7628" s="107" t="str">
        <f aca="false">IF($C7628="","",$D7628*$E7628)</f>
        <v/>
      </c>
      <c r="G7628" s="107" t="str">
        <f aca="false">IF($C7628="","",$D7628*IFERROR(INDEX('تحليل التكلفة والسعر'!$C$2:$C$700,MATCH($C7628,'تحليل التكلفة والسعر'!$B$2:$B$700,0)),0))</f>
        <v/>
      </c>
    </row>
    <row r="7629" customFormat="false" ht="15" hidden="false" customHeight="false" outlineLevel="0" collapsed="false">
      <c r="A7629" s="103"/>
      <c r="B7629" s="104"/>
      <c r="C7629" s="104"/>
      <c r="E7629" s="107" t="str">
        <f aca="false">IF($C7629="","",IFERROR(INDEX(المنيو!$C$2:$C$500,MATCH($C7629,المنيو!$B$2:$B$500,0)),0))</f>
        <v/>
      </c>
      <c r="F7629" s="107" t="str">
        <f aca="false">IF($C7629="","",$D7629*$E7629)</f>
        <v/>
      </c>
      <c r="G7629" s="107" t="str">
        <f aca="false">IF($C7629="","",$D7629*IFERROR(INDEX('تحليل التكلفة والسعر'!$C$2:$C$700,MATCH($C7629,'تحليل التكلفة والسعر'!$B$2:$B$700,0)),0))</f>
        <v/>
      </c>
    </row>
    <row r="7630" customFormat="false" ht="15" hidden="false" customHeight="false" outlineLevel="0" collapsed="false">
      <c r="A7630" s="103"/>
      <c r="B7630" s="104"/>
      <c r="C7630" s="104"/>
      <c r="E7630" s="107" t="str">
        <f aca="false">IF($C7630="","",IFERROR(INDEX(المنيو!$C$2:$C$500,MATCH($C7630,المنيو!$B$2:$B$500,0)),0))</f>
        <v/>
      </c>
      <c r="F7630" s="107" t="str">
        <f aca="false">IF($C7630="","",$D7630*$E7630)</f>
        <v/>
      </c>
      <c r="G7630" s="107" t="str">
        <f aca="false">IF($C7630="","",$D7630*IFERROR(INDEX('تحليل التكلفة والسعر'!$C$2:$C$700,MATCH($C7630,'تحليل التكلفة والسعر'!$B$2:$B$700,0)),0))</f>
        <v/>
      </c>
    </row>
    <row r="7631" customFormat="false" ht="15" hidden="false" customHeight="false" outlineLevel="0" collapsed="false">
      <c r="A7631" s="103"/>
      <c r="B7631" s="104"/>
      <c r="C7631" s="104"/>
      <c r="E7631" s="107" t="str">
        <f aca="false">IF($C7631="","",IFERROR(INDEX(المنيو!$C$2:$C$500,MATCH($C7631,المنيو!$B$2:$B$500,0)),0))</f>
        <v/>
      </c>
      <c r="F7631" s="107" t="str">
        <f aca="false">IF($C7631="","",$D7631*$E7631)</f>
        <v/>
      </c>
      <c r="G7631" s="107" t="str">
        <f aca="false">IF($C7631="","",$D7631*IFERROR(INDEX('تحليل التكلفة والسعر'!$C$2:$C$700,MATCH($C7631,'تحليل التكلفة والسعر'!$B$2:$B$700,0)),0))</f>
        <v/>
      </c>
    </row>
    <row r="7632" customFormat="false" ht="15" hidden="false" customHeight="false" outlineLevel="0" collapsed="false">
      <c r="A7632" s="103"/>
      <c r="B7632" s="104"/>
      <c r="C7632" s="104"/>
      <c r="E7632" s="107" t="str">
        <f aca="false">IF($C7632="","",IFERROR(INDEX(المنيو!$C$2:$C$500,MATCH($C7632,المنيو!$B$2:$B$500,0)),0))</f>
        <v/>
      </c>
      <c r="F7632" s="107" t="str">
        <f aca="false">IF($C7632="","",$D7632*$E7632)</f>
        <v/>
      </c>
      <c r="G7632" s="107" t="str">
        <f aca="false">IF($C7632="","",$D7632*IFERROR(INDEX('تحليل التكلفة والسعر'!$C$2:$C$700,MATCH($C7632,'تحليل التكلفة والسعر'!$B$2:$B$700,0)),0))</f>
        <v/>
      </c>
    </row>
    <row r="7633" customFormat="false" ht="15" hidden="false" customHeight="false" outlineLevel="0" collapsed="false">
      <c r="A7633" s="103"/>
      <c r="B7633" s="104"/>
      <c r="C7633" s="104"/>
      <c r="E7633" s="107" t="str">
        <f aca="false">IF($C7633="","",IFERROR(INDEX(المنيو!$C$2:$C$500,MATCH($C7633,المنيو!$B$2:$B$500,0)),0))</f>
        <v/>
      </c>
      <c r="F7633" s="107" t="str">
        <f aca="false">IF($C7633="","",$D7633*$E7633)</f>
        <v/>
      </c>
      <c r="G7633" s="107" t="str">
        <f aca="false">IF($C7633="","",$D7633*IFERROR(INDEX('تحليل التكلفة والسعر'!$C$2:$C$700,MATCH($C7633,'تحليل التكلفة والسعر'!$B$2:$B$700,0)),0))</f>
        <v/>
      </c>
    </row>
    <row r="7634" customFormat="false" ht="15" hidden="false" customHeight="false" outlineLevel="0" collapsed="false">
      <c r="A7634" s="103"/>
      <c r="B7634" s="104"/>
      <c r="C7634" s="104"/>
      <c r="E7634" s="107" t="str">
        <f aca="false">IF($C7634="","",IFERROR(INDEX(المنيو!$C$2:$C$500,MATCH($C7634,المنيو!$B$2:$B$500,0)),0))</f>
        <v/>
      </c>
      <c r="F7634" s="107" t="str">
        <f aca="false">IF($C7634="","",$D7634*$E7634)</f>
        <v/>
      </c>
      <c r="G7634" s="107" t="str">
        <f aca="false">IF($C7634="","",$D7634*IFERROR(INDEX('تحليل التكلفة والسعر'!$C$2:$C$700,MATCH($C7634,'تحليل التكلفة والسعر'!$B$2:$B$700,0)),0))</f>
        <v/>
      </c>
    </row>
    <row r="7635" customFormat="false" ht="15" hidden="false" customHeight="false" outlineLevel="0" collapsed="false">
      <c r="A7635" s="103"/>
      <c r="B7635" s="104"/>
      <c r="C7635" s="104"/>
      <c r="E7635" s="107" t="str">
        <f aca="false">IF($C7635="","",IFERROR(INDEX(المنيو!$C$2:$C$500,MATCH($C7635,المنيو!$B$2:$B$500,0)),0))</f>
        <v/>
      </c>
      <c r="F7635" s="107" t="str">
        <f aca="false">IF($C7635="","",$D7635*$E7635)</f>
        <v/>
      </c>
      <c r="G7635" s="107" t="str">
        <f aca="false">IF($C7635="","",$D7635*IFERROR(INDEX('تحليل التكلفة والسعر'!$C$2:$C$700,MATCH($C7635,'تحليل التكلفة والسعر'!$B$2:$B$700,0)),0))</f>
        <v/>
      </c>
    </row>
    <row r="7636" customFormat="false" ht="15" hidden="false" customHeight="false" outlineLevel="0" collapsed="false">
      <c r="A7636" s="103"/>
      <c r="B7636" s="104"/>
      <c r="C7636" s="104"/>
      <c r="E7636" s="107" t="str">
        <f aca="false">IF($C7636="","",IFERROR(INDEX(المنيو!$C$2:$C$500,MATCH($C7636,المنيو!$B$2:$B$500,0)),0))</f>
        <v/>
      </c>
      <c r="F7636" s="107" t="str">
        <f aca="false">IF($C7636="","",$D7636*$E7636)</f>
        <v/>
      </c>
      <c r="G7636" s="107" t="str">
        <f aca="false">IF($C7636="","",$D7636*IFERROR(INDEX('تحليل التكلفة والسعر'!$C$2:$C$700,MATCH($C7636,'تحليل التكلفة والسعر'!$B$2:$B$700,0)),0))</f>
        <v/>
      </c>
    </row>
    <row r="7637" customFormat="false" ht="15" hidden="false" customHeight="false" outlineLevel="0" collapsed="false">
      <c r="A7637" s="103"/>
      <c r="B7637" s="104"/>
      <c r="C7637" s="104"/>
      <c r="E7637" s="107" t="str">
        <f aca="false">IF($C7637="","",IFERROR(INDEX(المنيو!$C$2:$C$500,MATCH($C7637,المنيو!$B$2:$B$500,0)),0))</f>
        <v/>
      </c>
      <c r="F7637" s="107" t="str">
        <f aca="false">IF($C7637="","",$D7637*$E7637)</f>
        <v/>
      </c>
      <c r="G7637" s="107" t="str">
        <f aca="false">IF($C7637="","",$D7637*IFERROR(INDEX('تحليل التكلفة والسعر'!$C$2:$C$700,MATCH($C7637,'تحليل التكلفة والسعر'!$B$2:$B$700,0)),0))</f>
        <v/>
      </c>
    </row>
    <row r="7638" customFormat="false" ht="15" hidden="false" customHeight="false" outlineLevel="0" collapsed="false">
      <c r="A7638" s="103"/>
      <c r="B7638" s="104"/>
      <c r="C7638" s="104"/>
      <c r="E7638" s="107" t="str">
        <f aca="false">IF($C7638="","",IFERROR(INDEX(المنيو!$C$2:$C$500,MATCH($C7638,المنيو!$B$2:$B$500,0)),0))</f>
        <v/>
      </c>
      <c r="F7638" s="107" t="str">
        <f aca="false">IF($C7638="","",$D7638*$E7638)</f>
        <v/>
      </c>
      <c r="G7638" s="107" t="str">
        <f aca="false">IF($C7638="","",$D7638*IFERROR(INDEX('تحليل التكلفة والسعر'!$C$2:$C$700,MATCH($C7638,'تحليل التكلفة والسعر'!$B$2:$B$700,0)),0))</f>
        <v/>
      </c>
    </row>
    <row r="7639" customFormat="false" ht="15" hidden="false" customHeight="false" outlineLevel="0" collapsed="false">
      <c r="A7639" s="103"/>
      <c r="B7639" s="104"/>
      <c r="C7639" s="104"/>
      <c r="E7639" s="107" t="str">
        <f aca="false">IF($C7639="","",IFERROR(INDEX(المنيو!$C$2:$C$500,MATCH($C7639,المنيو!$B$2:$B$500,0)),0))</f>
        <v/>
      </c>
      <c r="F7639" s="107" t="str">
        <f aca="false">IF($C7639="","",$D7639*$E7639)</f>
        <v/>
      </c>
      <c r="G7639" s="107" t="str">
        <f aca="false">IF($C7639="","",$D7639*IFERROR(INDEX('تحليل التكلفة والسعر'!$C$2:$C$700,MATCH($C7639,'تحليل التكلفة والسعر'!$B$2:$B$700,0)),0))</f>
        <v/>
      </c>
    </row>
    <row r="7640" customFormat="false" ht="15" hidden="false" customHeight="false" outlineLevel="0" collapsed="false">
      <c r="A7640" s="103"/>
      <c r="B7640" s="104"/>
      <c r="C7640" s="104"/>
      <c r="E7640" s="107" t="str">
        <f aca="false">IF($C7640="","",IFERROR(INDEX(المنيو!$C$2:$C$500,MATCH($C7640,المنيو!$B$2:$B$500,0)),0))</f>
        <v/>
      </c>
      <c r="F7640" s="107" t="str">
        <f aca="false">IF($C7640="","",$D7640*$E7640)</f>
        <v/>
      </c>
      <c r="G7640" s="107" t="str">
        <f aca="false">IF($C7640="","",$D7640*IFERROR(INDEX('تحليل التكلفة والسعر'!$C$2:$C$700,MATCH($C7640,'تحليل التكلفة والسعر'!$B$2:$B$700,0)),0))</f>
        <v/>
      </c>
    </row>
    <row r="7641" customFormat="false" ht="15" hidden="false" customHeight="false" outlineLevel="0" collapsed="false">
      <c r="A7641" s="103"/>
      <c r="B7641" s="104"/>
      <c r="C7641" s="104"/>
      <c r="E7641" s="107" t="str">
        <f aca="false">IF($C7641="","",IFERROR(INDEX(المنيو!$C$2:$C$500,MATCH($C7641,المنيو!$B$2:$B$500,0)),0))</f>
        <v/>
      </c>
      <c r="F7641" s="107" t="str">
        <f aca="false">IF($C7641="","",$D7641*$E7641)</f>
        <v/>
      </c>
      <c r="G7641" s="107" t="str">
        <f aca="false">IF($C7641="","",$D7641*IFERROR(INDEX('تحليل التكلفة والسعر'!$C$2:$C$700,MATCH($C7641,'تحليل التكلفة والسعر'!$B$2:$B$700,0)),0))</f>
        <v/>
      </c>
    </row>
    <row r="7642" customFormat="false" ht="15" hidden="false" customHeight="false" outlineLevel="0" collapsed="false">
      <c r="A7642" s="103"/>
      <c r="B7642" s="104"/>
      <c r="C7642" s="104"/>
      <c r="E7642" s="107" t="str">
        <f aca="false">IF($C7642="","",IFERROR(INDEX(المنيو!$C$2:$C$500,MATCH($C7642,المنيو!$B$2:$B$500,0)),0))</f>
        <v/>
      </c>
      <c r="F7642" s="107" t="str">
        <f aca="false">IF($C7642="","",$D7642*$E7642)</f>
        <v/>
      </c>
      <c r="G7642" s="107" t="str">
        <f aca="false">IF($C7642="","",$D7642*IFERROR(INDEX('تحليل التكلفة والسعر'!$C$2:$C$700,MATCH($C7642,'تحليل التكلفة والسعر'!$B$2:$B$700,0)),0))</f>
        <v/>
      </c>
    </row>
    <row r="7643" customFormat="false" ht="15" hidden="false" customHeight="false" outlineLevel="0" collapsed="false">
      <c r="A7643" s="103"/>
      <c r="B7643" s="104"/>
      <c r="C7643" s="104"/>
      <c r="E7643" s="107" t="str">
        <f aca="false">IF($C7643="","",IFERROR(INDEX(المنيو!$C$2:$C$500,MATCH($C7643,المنيو!$B$2:$B$500,0)),0))</f>
        <v/>
      </c>
      <c r="F7643" s="107" t="str">
        <f aca="false">IF($C7643="","",$D7643*$E7643)</f>
        <v/>
      </c>
      <c r="G7643" s="107" t="str">
        <f aca="false">IF($C7643="","",$D7643*IFERROR(INDEX('تحليل التكلفة والسعر'!$C$2:$C$700,MATCH($C7643,'تحليل التكلفة والسعر'!$B$2:$B$700,0)),0))</f>
        <v/>
      </c>
    </row>
    <row r="7644" customFormat="false" ht="15" hidden="false" customHeight="false" outlineLevel="0" collapsed="false">
      <c r="A7644" s="103"/>
      <c r="B7644" s="104"/>
      <c r="C7644" s="104"/>
      <c r="E7644" s="107" t="str">
        <f aca="false">IF($C7644="","",IFERROR(INDEX(المنيو!$C$2:$C$500,MATCH($C7644,المنيو!$B$2:$B$500,0)),0))</f>
        <v/>
      </c>
      <c r="F7644" s="107" t="str">
        <f aca="false">IF($C7644="","",$D7644*$E7644)</f>
        <v/>
      </c>
      <c r="G7644" s="107" t="str">
        <f aca="false">IF($C7644="","",$D7644*IFERROR(INDEX('تحليل التكلفة والسعر'!$C$2:$C$700,MATCH($C7644,'تحليل التكلفة والسعر'!$B$2:$B$700,0)),0))</f>
        <v/>
      </c>
    </row>
    <row r="7645" customFormat="false" ht="15" hidden="false" customHeight="false" outlineLevel="0" collapsed="false">
      <c r="A7645" s="103"/>
      <c r="B7645" s="104"/>
      <c r="C7645" s="104"/>
      <c r="E7645" s="107" t="str">
        <f aca="false">IF($C7645="","",IFERROR(INDEX(المنيو!$C$2:$C$500,MATCH($C7645,المنيو!$B$2:$B$500,0)),0))</f>
        <v/>
      </c>
      <c r="F7645" s="107" t="str">
        <f aca="false">IF($C7645="","",$D7645*$E7645)</f>
        <v/>
      </c>
      <c r="G7645" s="107" t="str">
        <f aca="false">IF($C7645="","",$D7645*IFERROR(INDEX('تحليل التكلفة والسعر'!$C$2:$C$700,MATCH($C7645,'تحليل التكلفة والسعر'!$B$2:$B$700,0)),0))</f>
        <v/>
      </c>
    </row>
    <row r="7646" customFormat="false" ht="15" hidden="false" customHeight="false" outlineLevel="0" collapsed="false">
      <c r="A7646" s="103"/>
      <c r="B7646" s="104"/>
      <c r="C7646" s="104"/>
      <c r="E7646" s="107" t="str">
        <f aca="false">IF($C7646="","",IFERROR(INDEX(المنيو!$C$2:$C$500,MATCH($C7646,المنيو!$B$2:$B$500,0)),0))</f>
        <v/>
      </c>
      <c r="F7646" s="107" t="str">
        <f aca="false">IF($C7646="","",$D7646*$E7646)</f>
        <v/>
      </c>
      <c r="G7646" s="107" t="str">
        <f aca="false">IF($C7646="","",$D7646*IFERROR(INDEX('تحليل التكلفة والسعر'!$C$2:$C$700,MATCH($C7646,'تحليل التكلفة والسعر'!$B$2:$B$700,0)),0))</f>
        <v/>
      </c>
    </row>
    <row r="7647" customFormat="false" ht="15" hidden="false" customHeight="false" outlineLevel="0" collapsed="false">
      <c r="A7647" s="103"/>
      <c r="B7647" s="104"/>
      <c r="C7647" s="104"/>
      <c r="E7647" s="107" t="str">
        <f aca="false">IF($C7647="","",IFERROR(INDEX(المنيو!$C$2:$C$500,MATCH($C7647,المنيو!$B$2:$B$500,0)),0))</f>
        <v/>
      </c>
      <c r="F7647" s="107" t="str">
        <f aca="false">IF($C7647="","",$D7647*$E7647)</f>
        <v/>
      </c>
      <c r="G7647" s="107" t="str">
        <f aca="false">IF($C7647="","",$D7647*IFERROR(INDEX('تحليل التكلفة والسعر'!$C$2:$C$700,MATCH($C7647,'تحليل التكلفة والسعر'!$B$2:$B$700,0)),0))</f>
        <v/>
      </c>
    </row>
    <row r="7648" customFormat="false" ht="15" hidden="false" customHeight="false" outlineLevel="0" collapsed="false">
      <c r="A7648" s="103"/>
      <c r="B7648" s="104"/>
      <c r="C7648" s="104"/>
      <c r="E7648" s="107" t="str">
        <f aca="false">IF($C7648="","",IFERROR(INDEX(المنيو!$C$2:$C$500,MATCH($C7648,المنيو!$B$2:$B$500,0)),0))</f>
        <v/>
      </c>
      <c r="F7648" s="107" t="str">
        <f aca="false">IF($C7648="","",$D7648*$E7648)</f>
        <v/>
      </c>
      <c r="G7648" s="107" t="str">
        <f aca="false">IF($C7648="","",$D7648*IFERROR(INDEX('تحليل التكلفة والسعر'!$C$2:$C$700,MATCH($C7648,'تحليل التكلفة والسعر'!$B$2:$B$700,0)),0))</f>
        <v/>
      </c>
    </row>
    <row r="7649" customFormat="false" ht="15" hidden="false" customHeight="false" outlineLevel="0" collapsed="false">
      <c r="A7649" s="103"/>
      <c r="B7649" s="104"/>
      <c r="C7649" s="104"/>
      <c r="E7649" s="107" t="str">
        <f aca="false">IF($C7649="","",IFERROR(INDEX(المنيو!$C$2:$C$500,MATCH($C7649,المنيو!$B$2:$B$500,0)),0))</f>
        <v/>
      </c>
      <c r="F7649" s="107" t="str">
        <f aca="false">IF($C7649="","",$D7649*$E7649)</f>
        <v/>
      </c>
      <c r="G7649" s="107" t="str">
        <f aca="false">IF($C7649="","",$D7649*IFERROR(INDEX('تحليل التكلفة والسعر'!$C$2:$C$700,MATCH($C7649,'تحليل التكلفة والسعر'!$B$2:$B$700,0)),0))</f>
        <v/>
      </c>
    </row>
    <row r="7650" customFormat="false" ht="15" hidden="false" customHeight="false" outlineLevel="0" collapsed="false">
      <c r="A7650" s="103"/>
      <c r="B7650" s="104"/>
      <c r="C7650" s="104"/>
      <c r="E7650" s="107" t="str">
        <f aca="false">IF($C7650="","",IFERROR(INDEX(المنيو!$C$2:$C$500,MATCH($C7650,المنيو!$B$2:$B$500,0)),0))</f>
        <v/>
      </c>
      <c r="F7650" s="107" t="str">
        <f aca="false">IF($C7650="","",$D7650*$E7650)</f>
        <v/>
      </c>
      <c r="G7650" s="107" t="str">
        <f aca="false">IF($C7650="","",$D7650*IFERROR(INDEX('تحليل التكلفة والسعر'!$C$2:$C$700,MATCH($C7650,'تحليل التكلفة والسعر'!$B$2:$B$700,0)),0))</f>
        <v/>
      </c>
    </row>
    <row r="7651" customFormat="false" ht="15" hidden="false" customHeight="false" outlineLevel="0" collapsed="false">
      <c r="A7651" s="103"/>
      <c r="B7651" s="104"/>
      <c r="C7651" s="104"/>
      <c r="E7651" s="107" t="str">
        <f aca="false">IF($C7651="","",IFERROR(INDEX(المنيو!$C$2:$C$500,MATCH($C7651,المنيو!$B$2:$B$500,0)),0))</f>
        <v/>
      </c>
      <c r="F7651" s="107" t="str">
        <f aca="false">IF($C7651="","",$D7651*$E7651)</f>
        <v/>
      </c>
      <c r="G7651" s="107" t="str">
        <f aca="false">IF($C7651="","",$D7651*IFERROR(INDEX('تحليل التكلفة والسعر'!$C$2:$C$700,MATCH($C7651,'تحليل التكلفة والسعر'!$B$2:$B$700,0)),0))</f>
        <v/>
      </c>
    </row>
    <row r="7652" customFormat="false" ht="15" hidden="false" customHeight="false" outlineLevel="0" collapsed="false">
      <c r="A7652" s="103"/>
      <c r="B7652" s="104"/>
      <c r="C7652" s="104"/>
      <c r="E7652" s="107" t="str">
        <f aca="false">IF($C7652="","",IFERROR(INDEX(المنيو!$C$2:$C$500,MATCH($C7652,المنيو!$B$2:$B$500,0)),0))</f>
        <v/>
      </c>
      <c r="F7652" s="107" t="str">
        <f aca="false">IF($C7652="","",$D7652*$E7652)</f>
        <v/>
      </c>
      <c r="G7652" s="107" t="str">
        <f aca="false">IF($C7652="","",$D7652*IFERROR(INDEX('تحليل التكلفة والسعر'!$C$2:$C$700,MATCH($C7652,'تحليل التكلفة والسعر'!$B$2:$B$700,0)),0))</f>
        <v/>
      </c>
    </row>
    <row r="7653" customFormat="false" ht="15" hidden="false" customHeight="false" outlineLevel="0" collapsed="false">
      <c r="A7653" s="103"/>
      <c r="B7653" s="104"/>
      <c r="C7653" s="104"/>
      <c r="E7653" s="107" t="str">
        <f aca="false">IF($C7653="","",IFERROR(INDEX(المنيو!$C$2:$C$500,MATCH($C7653,المنيو!$B$2:$B$500,0)),0))</f>
        <v/>
      </c>
      <c r="F7653" s="107" t="str">
        <f aca="false">IF($C7653="","",$D7653*$E7653)</f>
        <v/>
      </c>
      <c r="G7653" s="107" t="str">
        <f aca="false">IF($C7653="","",$D7653*IFERROR(INDEX('تحليل التكلفة والسعر'!$C$2:$C$700,MATCH($C7653,'تحليل التكلفة والسعر'!$B$2:$B$700,0)),0))</f>
        <v/>
      </c>
    </row>
    <row r="7654" customFormat="false" ht="15" hidden="false" customHeight="false" outlineLevel="0" collapsed="false">
      <c r="A7654" s="103"/>
      <c r="B7654" s="104"/>
      <c r="C7654" s="104"/>
      <c r="E7654" s="107" t="str">
        <f aca="false">IF($C7654="","",IFERROR(INDEX(المنيو!$C$2:$C$500,MATCH($C7654,المنيو!$B$2:$B$500,0)),0))</f>
        <v/>
      </c>
      <c r="F7654" s="107" t="str">
        <f aca="false">IF($C7654="","",$D7654*$E7654)</f>
        <v/>
      </c>
      <c r="G7654" s="107" t="str">
        <f aca="false">IF($C7654="","",$D7654*IFERROR(INDEX('تحليل التكلفة والسعر'!$C$2:$C$700,MATCH($C7654,'تحليل التكلفة والسعر'!$B$2:$B$700,0)),0))</f>
        <v/>
      </c>
    </row>
    <row r="7655" customFormat="false" ht="15" hidden="false" customHeight="false" outlineLevel="0" collapsed="false">
      <c r="A7655" s="103"/>
      <c r="B7655" s="104"/>
      <c r="C7655" s="104"/>
      <c r="E7655" s="107" t="str">
        <f aca="false">IF($C7655="","",IFERROR(INDEX(المنيو!$C$2:$C$500,MATCH($C7655,المنيو!$B$2:$B$500,0)),0))</f>
        <v/>
      </c>
      <c r="F7655" s="107" t="str">
        <f aca="false">IF($C7655="","",$D7655*$E7655)</f>
        <v/>
      </c>
      <c r="G7655" s="107" t="str">
        <f aca="false">IF($C7655="","",$D7655*IFERROR(INDEX('تحليل التكلفة والسعر'!$C$2:$C$700,MATCH($C7655,'تحليل التكلفة والسعر'!$B$2:$B$700,0)),0))</f>
        <v/>
      </c>
    </row>
    <row r="7656" customFormat="false" ht="15" hidden="false" customHeight="false" outlineLevel="0" collapsed="false">
      <c r="A7656" s="103"/>
      <c r="B7656" s="104"/>
      <c r="C7656" s="104"/>
      <c r="E7656" s="107" t="str">
        <f aca="false">IF($C7656="","",IFERROR(INDEX(المنيو!$C$2:$C$500,MATCH($C7656,المنيو!$B$2:$B$500,0)),0))</f>
        <v/>
      </c>
      <c r="F7656" s="107" t="str">
        <f aca="false">IF($C7656="","",$D7656*$E7656)</f>
        <v/>
      </c>
      <c r="G7656" s="107" t="str">
        <f aca="false">IF($C7656="","",$D7656*IFERROR(INDEX('تحليل التكلفة والسعر'!$C$2:$C$700,MATCH($C7656,'تحليل التكلفة والسعر'!$B$2:$B$700,0)),0))</f>
        <v/>
      </c>
    </row>
    <row r="7657" customFormat="false" ht="15" hidden="false" customHeight="false" outlineLevel="0" collapsed="false">
      <c r="A7657" s="103"/>
      <c r="B7657" s="104"/>
      <c r="C7657" s="104"/>
      <c r="E7657" s="107" t="str">
        <f aca="false">IF($C7657="","",IFERROR(INDEX(المنيو!$C$2:$C$500,MATCH($C7657,المنيو!$B$2:$B$500,0)),0))</f>
        <v/>
      </c>
      <c r="F7657" s="107" t="str">
        <f aca="false">IF($C7657="","",$D7657*$E7657)</f>
        <v/>
      </c>
      <c r="G7657" s="107" t="str">
        <f aca="false">IF($C7657="","",$D7657*IFERROR(INDEX('تحليل التكلفة والسعر'!$C$2:$C$700,MATCH($C7657,'تحليل التكلفة والسعر'!$B$2:$B$700,0)),0))</f>
        <v/>
      </c>
    </row>
    <row r="7658" customFormat="false" ht="15" hidden="false" customHeight="false" outlineLevel="0" collapsed="false">
      <c r="A7658" s="103"/>
      <c r="B7658" s="104"/>
      <c r="C7658" s="104"/>
      <c r="E7658" s="107" t="str">
        <f aca="false">IF($C7658="","",IFERROR(INDEX(المنيو!$C$2:$C$500,MATCH($C7658,المنيو!$B$2:$B$500,0)),0))</f>
        <v/>
      </c>
      <c r="F7658" s="107" t="str">
        <f aca="false">IF($C7658="","",$D7658*$E7658)</f>
        <v/>
      </c>
      <c r="G7658" s="107" t="str">
        <f aca="false">IF($C7658="","",$D7658*IFERROR(INDEX('تحليل التكلفة والسعر'!$C$2:$C$700,MATCH($C7658,'تحليل التكلفة والسعر'!$B$2:$B$700,0)),0))</f>
        <v/>
      </c>
    </row>
    <row r="7659" customFormat="false" ht="15" hidden="false" customHeight="false" outlineLevel="0" collapsed="false">
      <c r="A7659" s="103"/>
      <c r="B7659" s="104"/>
      <c r="C7659" s="104"/>
      <c r="E7659" s="107" t="str">
        <f aca="false">IF($C7659="","",IFERROR(INDEX(المنيو!$C$2:$C$500,MATCH($C7659,المنيو!$B$2:$B$500,0)),0))</f>
        <v/>
      </c>
      <c r="F7659" s="107" t="str">
        <f aca="false">IF($C7659="","",$D7659*$E7659)</f>
        <v/>
      </c>
      <c r="G7659" s="107" t="str">
        <f aca="false">IF($C7659="","",$D7659*IFERROR(INDEX('تحليل التكلفة والسعر'!$C$2:$C$700,MATCH($C7659,'تحليل التكلفة والسعر'!$B$2:$B$700,0)),0))</f>
        <v/>
      </c>
    </row>
    <row r="7660" customFormat="false" ht="15" hidden="false" customHeight="false" outlineLevel="0" collapsed="false">
      <c r="A7660" s="103"/>
      <c r="B7660" s="104"/>
      <c r="C7660" s="104"/>
      <c r="E7660" s="107" t="str">
        <f aca="false">IF($C7660="","",IFERROR(INDEX(المنيو!$C$2:$C$500,MATCH($C7660,المنيو!$B$2:$B$500,0)),0))</f>
        <v/>
      </c>
      <c r="F7660" s="107" t="str">
        <f aca="false">IF($C7660="","",$D7660*$E7660)</f>
        <v/>
      </c>
      <c r="G7660" s="107" t="str">
        <f aca="false">IF($C7660="","",$D7660*IFERROR(INDEX('تحليل التكلفة والسعر'!$C$2:$C$700,MATCH($C7660,'تحليل التكلفة والسعر'!$B$2:$B$700,0)),0))</f>
        <v/>
      </c>
    </row>
    <row r="7661" customFormat="false" ht="15" hidden="false" customHeight="false" outlineLevel="0" collapsed="false">
      <c r="A7661" s="103"/>
      <c r="B7661" s="104"/>
      <c r="C7661" s="104"/>
      <c r="E7661" s="107" t="str">
        <f aca="false">IF($C7661="","",IFERROR(INDEX(المنيو!$C$2:$C$500,MATCH($C7661,المنيو!$B$2:$B$500,0)),0))</f>
        <v/>
      </c>
      <c r="F7661" s="107" t="str">
        <f aca="false">IF($C7661="","",$D7661*$E7661)</f>
        <v/>
      </c>
      <c r="G7661" s="107" t="str">
        <f aca="false">IF($C7661="","",$D7661*IFERROR(INDEX('تحليل التكلفة والسعر'!$C$2:$C$700,MATCH($C7661,'تحليل التكلفة والسعر'!$B$2:$B$700,0)),0))</f>
        <v/>
      </c>
    </row>
    <row r="7662" customFormat="false" ht="15" hidden="false" customHeight="false" outlineLevel="0" collapsed="false">
      <c r="A7662" s="103"/>
      <c r="B7662" s="104"/>
      <c r="C7662" s="104"/>
      <c r="E7662" s="107" t="str">
        <f aca="false">IF($C7662="","",IFERROR(INDEX(المنيو!$C$2:$C$500,MATCH($C7662,المنيو!$B$2:$B$500,0)),0))</f>
        <v/>
      </c>
      <c r="F7662" s="107" t="str">
        <f aca="false">IF($C7662="","",$D7662*$E7662)</f>
        <v/>
      </c>
      <c r="G7662" s="107" t="str">
        <f aca="false">IF($C7662="","",$D7662*IFERROR(INDEX('تحليل التكلفة والسعر'!$C$2:$C$700,MATCH($C7662,'تحليل التكلفة والسعر'!$B$2:$B$700,0)),0))</f>
        <v/>
      </c>
    </row>
    <row r="7663" customFormat="false" ht="15" hidden="false" customHeight="false" outlineLevel="0" collapsed="false">
      <c r="A7663" s="103"/>
      <c r="B7663" s="104"/>
      <c r="C7663" s="104"/>
      <c r="E7663" s="107" t="str">
        <f aca="false">IF($C7663="","",IFERROR(INDEX(المنيو!$C$2:$C$500,MATCH($C7663,المنيو!$B$2:$B$500,0)),0))</f>
        <v/>
      </c>
      <c r="F7663" s="107" t="str">
        <f aca="false">IF($C7663="","",$D7663*$E7663)</f>
        <v/>
      </c>
      <c r="G7663" s="107" t="str">
        <f aca="false">IF($C7663="","",$D7663*IFERROR(INDEX('تحليل التكلفة والسعر'!$C$2:$C$700,MATCH($C7663,'تحليل التكلفة والسعر'!$B$2:$B$700,0)),0))</f>
        <v/>
      </c>
    </row>
    <row r="7664" customFormat="false" ht="15" hidden="false" customHeight="false" outlineLevel="0" collapsed="false">
      <c r="A7664" s="103"/>
      <c r="B7664" s="104"/>
      <c r="C7664" s="104"/>
      <c r="E7664" s="107" t="str">
        <f aca="false">IF($C7664="","",IFERROR(INDEX(المنيو!$C$2:$C$500,MATCH($C7664,المنيو!$B$2:$B$500,0)),0))</f>
        <v/>
      </c>
      <c r="F7664" s="107" t="str">
        <f aca="false">IF($C7664="","",$D7664*$E7664)</f>
        <v/>
      </c>
      <c r="G7664" s="107" t="str">
        <f aca="false">IF($C7664="","",$D7664*IFERROR(INDEX('تحليل التكلفة والسعر'!$C$2:$C$700,MATCH($C7664,'تحليل التكلفة والسعر'!$B$2:$B$700,0)),0))</f>
        <v/>
      </c>
    </row>
    <row r="7665" customFormat="false" ht="15" hidden="false" customHeight="false" outlineLevel="0" collapsed="false">
      <c r="A7665" s="103"/>
      <c r="B7665" s="104"/>
      <c r="C7665" s="104"/>
      <c r="E7665" s="107" t="str">
        <f aca="false">IF($C7665="","",IFERROR(INDEX(المنيو!$C$2:$C$500,MATCH($C7665,المنيو!$B$2:$B$500,0)),0))</f>
        <v/>
      </c>
      <c r="F7665" s="107" t="str">
        <f aca="false">IF($C7665="","",$D7665*$E7665)</f>
        <v/>
      </c>
      <c r="G7665" s="107" t="str">
        <f aca="false">IF($C7665="","",$D7665*IFERROR(INDEX('تحليل التكلفة والسعر'!$C$2:$C$700,MATCH($C7665,'تحليل التكلفة والسعر'!$B$2:$B$700,0)),0))</f>
        <v/>
      </c>
    </row>
    <row r="7666" customFormat="false" ht="15" hidden="false" customHeight="false" outlineLevel="0" collapsed="false">
      <c r="A7666" s="103"/>
      <c r="B7666" s="104"/>
      <c r="C7666" s="104"/>
      <c r="E7666" s="107" t="str">
        <f aca="false">IF($C7666="","",IFERROR(INDEX(المنيو!$C$2:$C$500,MATCH($C7666,المنيو!$B$2:$B$500,0)),0))</f>
        <v/>
      </c>
      <c r="F7666" s="107" t="str">
        <f aca="false">IF($C7666="","",$D7666*$E7666)</f>
        <v/>
      </c>
      <c r="G7666" s="107" t="str">
        <f aca="false">IF($C7666="","",$D7666*IFERROR(INDEX('تحليل التكلفة والسعر'!$C$2:$C$700,MATCH($C7666,'تحليل التكلفة والسعر'!$B$2:$B$700,0)),0))</f>
        <v/>
      </c>
    </row>
    <row r="7667" customFormat="false" ht="15" hidden="false" customHeight="false" outlineLevel="0" collapsed="false">
      <c r="A7667" s="103"/>
      <c r="B7667" s="104"/>
      <c r="C7667" s="104"/>
      <c r="E7667" s="107" t="str">
        <f aca="false">IF($C7667="","",IFERROR(INDEX(المنيو!$C$2:$C$500,MATCH($C7667,المنيو!$B$2:$B$500,0)),0))</f>
        <v/>
      </c>
      <c r="F7667" s="107" t="str">
        <f aca="false">IF($C7667="","",$D7667*$E7667)</f>
        <v/>
      </c>
      <c r="G7667" s="107" t="str">
        <f aca="false">IF($C7667="","",$D7667*IFERROR(INDEX('تحليل التكلفة والسعر'!$C$2:$C$700,MATCH($C7667,'تحليل التكلفة والسعر'!$B$2:$B$700,0)),0))</f>
        <v/>
      </c>
    </row>
    <row r="7668" customFormat="false" ht="15" hidden="false" customHeight="false" outlineLevel="0" collapsed="false">
      <c r="A7668" s="103"/>
      <c r="B7668" s="104"/>
      <c r="C7668" s="104"/>
      <c r="E7668" s="107" t="str">
        <f aca="false">IF($C7668="","",IFERROR(INDEX(المنيو!$C$2:$C$500,MATCH($C7668,المنيو!$B$2:$B$500,0)),0))</f>
        <v/>
      </c>
      <c r="F7668" s="107" t="str">
        <f aca="false">IF($C7668="","",$D7668*$E7668)</f>
        <v/>
      </c>
      <c r="G7668" s="107" t="str">
        <f aca="false">IF($C7668="","",$D7668*IFERROR(INDEX('تحليل التكلفة والسعر'!$C$2:$C$700,MATCH($C7668,'تحليل التكلفة والسعر'!$B$2:$B$700,0)),0))</f>
        <v/>
      </c>
    </row>
    <row r="7669" customFormat="false" ht="15" hidden="false" customHeight="false" outlineLevel="0" collapsed="false">
      <c r="A7669" s="103"/>
      <c r="B7669" s="104"/>
      <c r="C7669" s="104"/>
      <c r="E7669" s="107" t="str">
        <f aca="false">IF($C7669="","",IFERROR(INDEX(المنيو!$C$2:$C$500,MATCH($C7669,المنيو!$B$2:$B$500,0)),0))</f>
        <v/>
      </c>
      <c r="F7669" s="107" t="str">
        <f aca="false">IF($C7669="","",$D7669*$E7669)</f>
        <v/>
      </c>
      <c r="G7669" s="107" t="str">
        <f aca="false">IF($C7669="","",$D7669*IFERROR(INDEX('تحليل التكلفة والسعر'!$C$2:$C$700,MATCH($C7669,'تحليل التكلفة والسعر'!$B$2:$B$700,0)),0))</f>
        <v/>
      </c>
    </row>
    <row r="7670" customFormat="false" ht="15" hidden="false" customHeight="false" outlineLevel="0" collapsed="false">
      <c r="A7670" s="103"/>
      <c r="B7670" s="104"/>
      <c r="C7670" s="104"/>
      <c r="E7670" s="107" t="str">
        <f aca="false">IF($C7670="","",IFERROR(INDEX(المنيو!$C$2:$C$500,MATCH($C7670,المنيو!$B$2:$B$500,0)),0))</f>
        <v/>
      </c>
      <c r="F7670" s="107" t="str">
        <f aca="false">IF($C7670="","",$D7670*$E7670)</f>
        <v/>
      </c>
      <c r="G7670" s="107" t="str">
        <f aca="false">IF($C7670="","",$D7670*IFERROR(INDEX('تحليل التكلفة والسعر'!$C$2:$C$700,MATCH($C7670,'تحليل التكلفة والسعر'!$B$2:$B$700,0)),0))</f>
        <v/>
      </c>
    </row>
    <row r="7671" customFormat="false" ht="15" hidden="false" customHeight="false" outlineLevel="0" collapsed="false">
      <c r="A7671" s="103"/>
      <c r="B7671" s="104"/>
      <c r="C7671" s="104"/>
      <c r="E7671" s="107" t="str">
        <f aca="false">IF($C7671="","",IFERROR(INDEX(المنيو!$C$2:$C$500,MATCH($C7671,المنيو!$B$2:$B$500,0)),0))</f>
        <v/>
      </c>
      <c r="F7671" s="107" t="str">
        <f aca="false">IF($C7671="","",$D7671*$E7671)</f>
        <v/>
      </c>
      <c r="G7671" s="107" t="str">
        <f aca="false">IF($C7671="","",$D7671*IFERROR(INDEX('تحليل التكلفة والسعر'!$C$2:$C$700,MATCH($C7671,'تحليل التكلفة والسعر'!$B$2:$B$700,0)),0))</f>
        <v/>
      </c>
    </row>
    <row r="7672" customFormat="false" ht="15" hidden="false" customHeight="false" outlineLevel="0" collapsed="false">
      <c r="A7672" s="103"/>
      <c r="B7672" s="104"/>
      <c r="C7672" s="104"/>
      <c r="E7672" s="107" t="str">
        <f aca="false">IF($C7672="","",IFERROR(INDEX(المنيو!$C$2:$C$500,MATCH($C7672,المنيو!$B$2:$B$500,0)),0))</f>
        <v/>
      </c>
      <c r="F7672" s="107" t="str">
        <f aca="false">IF($C7672="","",$D7672*$E7672)</f>
        <v/>
      </c>
      <c r="G7672" s="107" t="str">
        <f aca="false">IF($C7672="","",$D7672*IFERROR(INDEX('تحليل التكلفة والسعر'!$C$2:$C$700,MATCH($C7672,'تحليل التكلفة والسعر'!$B$2:$B$700,0)),0))</f>
        <v/>
      </c>
    </row>
    <row r="7673" customFormat="false" ht="15" hidden="false" customHeight="false" outlineLevel="0" collapsed="false">
      <c r="A7673" s="103"/>
      <c r="B7673" s="104"/>
      <c r="C7673" s="104"/>
      <c r="E7673" s="107" t="str">
        <f aca="false">IF($C7673="","",IFERROR(INDEX(المنيو!$C$2:$C$500,MATCH($C7673,المنيو!$B$2:$B$500,0)),0))</f>
        <v/>
      </c>
      <c r="F7673" s="107" t="str">
        <f aca="false">IF($C7673="","",$D7673*$E7673)</f>
        <v/>
      </c>
      <c r="G7673" s="107" t="str">
        <f aca="false">IF($C7673="","",$D7673*IFERROR(INDEX('تحليل التكلفة والسعر'!$C$2:$C$700,MATCH($C7673,'تحليل التكلفة والسعر'!$B$2:$B$700,0)),0))</f>
        <v/>
      </c>
    </row>
    <row r="7674" customFormat="false" ht="15" hidden="false" customHeight="false" outlineLevel="0" collapsed="false">
      <c r="A7674" s="103"/>
      <c r="B7674" s="104"/>
      <c r="C7674" s="104"/>
      <c r="E7674" s="107" t="str">
        <f aca="false">IF($C7674="","",IFERROR(INDEX(المنيو!$C$2:$C$500,MATCH($C7674,المنيو!$B$2:$B$500,0)),0))</f>
        <v/>
      </c>
      <c r="F7674" s="107" t="str">
        <f aca="false">IF($C7674="","",$D7674*$E7674)</f>
        <v/>
      </c>
      <c r="G7674" s="107" t="str">
        <f aca="false">IF($C7674="","",$D7674*IFERROR(INDEX('تحليل التكلفة والسعر'!$C$2:$C$700,MATCH($C7674,'تحليل التكلفة والسعر'!$B$2:$B$700,0)),0))</f>
        <v/>
      </c>
    </row>
    <row r="7675" customFormat="false" ht="15" hidden="false" customHeight="false" outlineLevel="0" collapsed="false">
      <c r="A7675" s="103"/>
      <c r="B7675" s="104"/>
      <c r="C7675" s="104"/>
      <c r="E7675" s="107" t="str">
        <f aca="false">IF($C7675="","",IFERROR(INDEX(المنيو!$C$2:$C$500,MATCH($C7675,المنيو!$B$2:$B$500,0)),0))</f>
        <v/>
      </c>
      <c r="F7675" s="107" t="str">
        <f aca="false">IF($C7675="","",$D7675*$E7675)</f>
        <v/>
      </c>
      <c r="G7675" s="107" t="str">
        <f aca="false">IF($C7675="","",$D7675*IFERROR(INDEX('تحليل التكلفة والسعر'!$C$2:$C$700,MATCH($C7675,'تحليل التكلفة والسعر'!$B$2:$B$700,0)),0))</f>
        <v/>
      </c>
    </row>
    <row r="7676" customFormat="false" ht="15" hidden="false" customHeight="false" outlineLevel="0" collapsed="false">
      <c r="A7676" s="103"/>
      <c r="B7676" s="104"/>
      <c r="C7676" s="104"/>
      <c r="E7676" s="107" t="str">
        <f aca="false">IF($C7676="","",IFERROR(INDEX(المنيو!$C$2:$C$500,MATCH($C7676,المنيو!$B$2:$B$500,0)),0))</f>
        <v/>
      </c>
      <c r="F7676" s="107" t="str">
        <f aca="false">IF($C7676="","",$D7676*$E7676)</f>
        <v/>
      </c>
      <c r="G7676" s="107" t="str">
        <f aca="false">IF($C7676="","",$D7676*IFERROR(INDEX('تحليل التكلفة والسعر'!$C$2:$C$700,MATCH($C7676,'تحليل التكلفة والسعر'!$B$2:$B$700,0)),0))</f>
        <v/>
      </c>
    </row>
    <row r="7677" customFormat="false" ht="15" hidden="false" customHeight="false" outlineLevel="0" collapsed="false">
      <c r="A7677" s="103"/>
      <c r="B7677" s="104"/>
      <c r="C7677" s="104"/>
      <c r="E7677" s="107" t="str">
        <f aca="false">IF($C7677="","",IFERROR(INDEX(المنيو!$C$2:$C$500,MATCH($C7677,المنيو!$B$2:$B$500,0)),0))</f>
        <v/>
      </c>
      <c r="F7677" s="107" t="str">
        <f aca="false">IF($C7677="","",$D7677*$E7677)</f>
        <v/>
      </c>
      <c r="G7677" s="107" t="str">
        <f aca="false">IF($C7677="","",$D7677*IFERROR(INDEX('تحليل التكلفة والسعر'!$C$2:$C$700,MATCH($C7677,'تحليل التكلفة والسعر'!$B$2:$B$700,0)),0))</f>
        <v/>
      </c>
    </row>
    <row r="7678" customFormat="false" ht="15" hidden="false" customHeight="false" outlineLevel="0" collapsed="false">
      <c r="A7678" s="103"/>
      <c r="B7678" s="104"/>
      <c r="C7678" s="104"/>
      <c r="E7678" s="107" t="str">
        <f aca="false">IF($C7678="","",IFERROR(INDEX(المنيو!$C$2:$C$500,MATCH($C7678,المنيو!$B$2:$B$500,0)),0))</f>
        <v/>
      </c>
      <c r="F7678" s="107" t="str">
        <f aca="false">IF($C7678="","",$D7678*$E7678)</f>
        <v/>
      </c>
      <c r="G7678" s="107" t="str">
        <f aca="false">IF($C7678="","",$D7678*IFERROR(INDEX('تحليل التكلفة والسعر'!$C$2:$C$700,MATCH($C7678,'تحليل التكلفة والسعر'!$B$2:$B$700,0)),0))</f>
        <v/>
      </c>
    </row>
    <row r="7679" customFormat="false" ht="15" hidden="false" customHeight="false" outlineLevel="0" collapsed="false">
      <c r="A7679" s="103"/>
      <c r="B7679" s="104"/>
      <c r="C7679" s="104"/>
      <c r="E7679" s="107" t="str">
        <f aca="false">IF($C7679="","",IFERROR(INDEX(المنيو!$C$2:$C$500,MATCH($C7679,المنيو!$B$2:$B$500,0)),0))</f>
        <v/>
      </c>
      <c r="F7679" s="107" t="str">
        <f aca="false">IF($C7679="","",$D7679*$E7679)</f>
        <v/>
      </c>
      <c r="G7679" s="107" t="str">
        <f aca="false">IF($C7679="","",$D7679*IFERROR(INDEX('تحليل التكلفة والسعر'!$C$2:$C$700,MATCH($C7679,'تحليل التكلفة والسعر'!$B$2:$B$700,0)),0))</f>
        <v/>
      </c>
    </row>
    <row r="7680" customFormat="false" ht="15" hidden="false" customHeight="false" outlineLevel="0" collapsed="false">
      <c r="A7680" s="103"/>
      <c r="B7680" s="104"/>
      <c r="C7680" s="104"/>
      <c r="E7680" s="107" t="str">
        <f aca="false">IF($C7680="","",IFERROR(INDEX(المنيو!$C$2:$C$500,MATCH($C7680,المنيو!$B$2:$B$500,0)),0))</f>
        <v/>
      </c>
      <c r="F7680" s="107" t="str">
        <f aca="false">IF($C7680="","",$D7680*$E7680)</f>
        <v/>
      </c>
      <c r="G7680" s="107" t="str">
        <f aca="false">IF($C7680="","",$D7680*IFERROR(INDEX('تحليل التكلفة والسعر'!$C$2:$C$700,MATCH($C7680,'تحليل التكلفة والسعر'!$B$2:$B$700,0)),0))</f>
        <v/>
      </c>
    </row>
    <row r="7681" customFormat="false" ht="15" hidden="false" customHeight="false" outlineLevel="0" collapsed="false">
      <c r="A7681" s="103"/>
      <c r="B7681" s="104"/>
      <c r="C7681" s="104"/>
      <c r="E7681" s="107" t="str">
        <f aca="false">IF($C7681="","",IFERROR(INDEX(المنيو!$C$2:$C$500,MATCH($C7681,المنيو!$B$2:$B$500,0)),0))</f>
        <v/>
      </c>
      <c r="F7681" s="107" t="str">
        <f aca="false">IF($C7681="","",$D7681*$E7681)</f>
        <v/>
      </c>
      <c r="G7681" s="107" t="str">
        <f aca="false">IF($C7681="","",$D7681*IFERROR(INDEX('تحليل التكلفة والسعر'!$C$2:$C$700,MATCH($C7681,'تحليل التكلفة والسعر'!$B$2:$B$700,0)),0))</f>
        <v/>
      </c>
    </row>
    <row r="7682" customFormat="false" ht="15" hidden="false" customHeight="false" outlineLevel="0" collapsed="false">
      <c r="A7682" s="103"/>
      <c r="B7682" s="104"/>
      <c r="C7682" s="104"/>
      <c r="E7682" s="107" t="str">
        <f aca="false">IF($C7682="","",IFERROR(INDEX(المنيو!$C$2:$C$500,MATCH($C7682,المنيو!$B$2:$B$500,0)),0))</f>
        <v/>
      </c>
      <c r="F7682" s="107" t="str">
        <f aca="false">IF($C7682="","",$D7682*$E7682)</f>
        <v/>
      </c>
      <c r="G7682" s="107" t="str">
        <f aca="false">IF($C7682="","",$D7682*IFERROR(INDEX('تحليل التكلفة والسعر'!$C$2:$C$700,MATCH($C7682,'تحليل التكلفة والسعر'!$B$2:$B$700,0)),0))</f>
        <v/>
      </c>
    </row>
    <row r="7683" customFormat="false" ht="15" hidden="false" customHeight="false" outlineLevel="0" collapsed="false">
      <c r="A7683" s="103"/>
      <c r="B7683" s="104"/>
      <c r="C7683" s="104"/>
      <c r="E7683" s="107" t="str">
        <f aca="false">IF($C7683="","",IFERROR(INDEX(المنيو!$C$2:$C$500,MATCH($C7683,المنيو!$B$2:$B$500,0)),0))</f>
        <v/>
      </c>
      <c r="F7683" s="107" t="str">
        <f aca="false">IF($C7683="","",$D7683*$E7683)</f>
        <v/>
      </c>
      <c r="G7683" s="107" t="str">
        <f aca="false">IF($C7683="","",$D7683*IFERROR(INDEX('تحليل التكلفة والسعر'!$C$2:$C$700,MATCH($C7683,'تحليل التكلفة والسعر'!$B$2:$B$700,0)),0))</f>
        <v/>
      </c>
    </row>
    <row r="7684" customFormat="false" ht="15" hidden="false" customHeight="false" outlineLevel="0" collapsed="false">
      <c r="A7684" s="103"/>
      <c r="B7684" s="104"/>
      <c r="C7684" s="104"/>
      <c r="E7684" s="107" t="str">
        <f aca="false">IF($C7684="","",IFERROR(INDEX(المنيو!$C$2:$C$500,MATCH($C7684,المنيو!$B$2:$B$500,0)),0))</f>
        <v/>
      </c>
      <c r="F7684" s="107" t="str">
        <f aca="false">IF($C7684="","",$D7684*$E7684)</f>
        <v/>
      </c>
      <c r="G7684" s="107" t="str">
        <f aca="false">IF($C7684="","",$D7684*IFERROR(INDEX('تحليل التكلفة والسعر'!$C$2:$C$700,MATCH($C7684,'تحليل التكلفة والسعر'!$B$2:$B$700,0)),0))</f>
        <v/>
      </c>
    </row>
    <row r="7685" customFormat="false" ht="15" hidden="false" customHeight="false" outlineLevel="0" collapsed="false">
      <c r="A7685" s="103"/>
      <c r="B7685" s="104"/>
      <c r="C7685" s="104"/>
      <c r="E7685" s="107" t="str">
        <f aca="false">IF($C7685="","",IFERROR(INDEX(المنيو!$C$2:$C$500,MATCH($C7685,المنيو!$B$2:$B$500,0)),0))</f>
        <v/>
      </c>
      <c r="F7685" s="107" t="str">
        <f aca="false">IF($C7685="","",$D7685*$E7685)</f>
        <v/>
      </c>
      <c r="G7685" s="107" t="str">
        <f aca="false">IF($C7685="","",$D7685*IFERROR(INDEX('تحليل التكلفة والسعر'!$C$2:$C$700,MATCH($C7685,'تحليل التكلفة والسعر'!$B$2:$B$700,0)),0))</f>
        <v/>
      </c>
    </row>
    <row r="7686" customFormat="false" ht="15" hidden="false" customHeight="false" outlineLevel="0" collapsed="false">
      <c r="A7686" s="103"/>
      <c r="B7686" s="104"/>
      <c r="C7686" s="104"/>
      <c r="E7686" s="107" t="str">
        <f aca="false">IF($C7686="","",IFERROR(INDEX(المنيو!$C$2:$C$500,MATCH($C7686,المنيو!$B$2:$B$500,0)),0))</f>
        <v/>
      </c>
      <c r="F7686" s="107" t="str">
        <f aca="false">IF($C7686="","",$D7686*$E7686)</f>
        <v/>
      </c>
      <c r="G7686" s="107" t="str">
        <f aca="false">IF($C7686="","",$D7686*IFERROR(INDEX('تحليل التكلفة والسعر'!$C$2:$C$700,MATCH($C7686,'تحليل التكلفة والسعر'!$B$2:$B$700,0)),0))</f>
        <v/>
      </c>
    </row>
    <row r="7687" customFormat="false" ht="15" hidden="false" customHeight="false" outlineLevel="0" collapsed="false">
      <c r="A7687" s="103"/>
      <c r="B7687" s="104"/>
      <c r="C7687" s="104"/>
      <c r="E7687" s="107" t="str">
        <f aca="false">IF($C7687="","",IFERROR(INDEX(المنيو!$C$2:$C$500,MATCH($C7687,المنيو!$B$2:$B$500,0)),0))</f>
        <v/>
      </c>
      <c r="F7687" s="107" t="str">
        <f aca="false">IF($C7687="","",$D7687*$E7687)</f>
        <v/>
      </c>
      <c r="G7687" s="107" t="str">
        <f aca="false">IF($C7687="","",$D7687*IFERROR(INDEX('تحليل التكلفة والسعر'!$C$2:$C$700,MATCH($C7687,'تحليل التكلفة والسعر'!$B$2:$B$700,0)),0))</f>
        <v/>
      </c>
    </row>
    <row r="7688" customFormat="false" ht="15" hidden="false" customHeight="false" outlineLevel="0" collapsed="false">
      <c r="A7688" s="103"/>
      <c r="B7688" s="104"/>
      <c r="C7688" s="104"/>
      <c r="E7688" s="107" t="str">
        <f aca="false">IF($C7688="","",IFERROR(INDEX(المنيو!$C$2:$C$500,MATCH($C7688,المنيو!$B$2:$B$500,0)),0))</f>
        <v/>
      </c>
      <c r="F7688" s="107" t="str">
        <f aca="false">IF($C7688="","",$D7688*$E7688)</f>
        <v/>
      </c>
      <c r="G7688" s="107" t="str">
        <f aca="false">IF($C7688="","",$D7688*IFERROR(INDEX('تحليل التكلفة والسعر'!$C$2:$C$700,MATCH($C7688,'تحليل التكلفة والسعر'!$B$2:$B$700,0)),0))</f>
        <v/>
      </c>
    </row>
    <row r="7689" customFormat="false" ht="15" hidden="false" customHeight="false" outlineLevel="0" collapsed="false">
      <c r="A7689" s="103"/>
      <c r="B7689" s="104"/>
      <c r="C7689" s="104"/>
      <c r="E7689" s="107" t="str">
        <f aca="false">IF($C7689="","",IFERROR(INDEX(المنيو!$C$2:$C$500,MATCH($C7689,المنيو!$B$2:$B$500,0)),0))</f>
        <v/>
      </c>
      <c r="F7689" s="107" t="str">
        <f aca="false">IF($C7689="","",$D7689*$E7689)</f>
        <v/>
      </c>
      <c r="G7689" s="107" t="str">
        <f aca="false">IF($C7689="","",$D7689*IFERROR(INDEX('تحليل التكلفة والسعر'!$C$2:$C$700,MATCH($C7689,'تحليل التكلفة والسعر'!$B$2:$B$700,0)),0))</f>
        <v/>
      </c>
    </row>
    <row r="7690" customFormat="false" ht="15" hidden="false" customHeight="false" outlineLevel="0" collapsed="false">
      <c r="A7690" s="103"/>
      <c r="B7690" s="104"/>
      <c r="C7690" s="104"/>
      <c r="E7690" s="107" t="str">
        <f aca="false">IF($C7690="","",IFERROR(INDEX(المنيو!$C$2:$C$500,MATCH($C7690,المنيو!$B$2:$B$500,0)),0))</f>
        <v/>
      </c>
      <c r="F7690" s="107" t="str">
        <f aca="false">IF($C7690="","",$D7690*$E7690)</f>
        <v/>
      </c>
      <c r="G7690" s="107" t="str">
        <f aca="false">IF($C7690="","",$D7690*IFERROR(INDEX('تحليل التكلفة والسعر'!$C$2:$C$700,MATCH($C7690,'تحليل التكلفة والسعر'!$B$2:$B$700,0)),0))</f>
        <v/>
      </c>
    </row>
    <row r="7691" customFormat="false" ht="15" hidden="false" customHeight="false" outlineLevel="0" collapsed="false">
      <c r="A7691" s="103"/>
      <c r="B7691" s="104"/>
      <c r="C7691" s="104"/>
      <c r="E7691" s="107" t="str">
        <f aca="false">IF($C7691="","",IFERROR(INDEX(المنيو!$C$2:$C$500,MATCH($C7691,المنيو!$B$2:$B$500,0)),0))</f>
        <v/>
      </c>
      <c r="F7691" s="107" t="str">
        <f aca="false">IF($C7691="","",$D7691*$E7691)</f>
        <v/>
      </c>
      <c r="G7691" s="107" t="str">
        <f aca="false">IF($C7691="","",$D7691*IFERROR(INDEX('تحليل التكلفة والسعر'!$C$2:$C$700,MATCH($C7691,'تحليل التكلفة والسعر'!$B$2:$B$700,0)),0))</f>
        <v/>
      </c>
    </row>
    <row r="7692" customFormat="false" ht="15" hidden="false" customHeight="false" outlineLevel="0" collapsed="false">
      <c r="A7692" s="103"/>
      <c r="B7692" s="104"/>
      <c r="C7692" s="104"/>
      <c r="E7692" s="107" t="str">
        <f aca="false">IF($C7692="","",IFERROR(INDEX(المنيو!$C$2:$C$500,MATCH($C7692,المنيو!$B$2:$B$500,0)),0))</f>
        <v/>
      </c>
      <c r="F7692" s="107" t="str">
        <f aca="false">IF($C7692="","",$D7692*$E7692)</f>
        <v/>
      </c>
      <c r="G7692" s="107" t="str">
        <f aca="false">IF($C7692="","",$D7692*IFERROR(INDEX('تحليل التكلفة والسعر'!$C$2:$C$700,MATCH($C7692,'تحليل التكلفة والسعر'!$B$2:$B$700,0)),0))</f>
        <v/>
      </c>
    </row>
    <row r="7693" customFormat="false" ht="15" hidden="false" customHeight="false" outlineLevel="0" collapsed="false">
      <c r="A7693" s="103"/>
      <c r="B7693" s="104"/>
      <c r="C7693" s="104"/>
      <c r="E7693" s="107" t="str">
        <f aca="false">IF($C7693="","",IFERROR(INDEX(المنيو!$C$2:$C$500,MATCH($C7693,المنيو!$B$2:$B$500,0)),0))</f>
        <v/>
      </c>
      <c r="F7693" s="107" t="str">
        <f aca="false">IF($C7693="","",$D7693*$E7693)</f>
        <v/>
      </c>
      <c r="G7693" s="107" t="str">
        <f aca="false">IF($C7693="","",$D7693*IFERROR(INDEX('تحليل التكلفة والسعر'!$C$2:$C$700,MATCH($C7693,'تحليل التكلفة والسعر'!$B$2:$B$700,0)),0))</f>
        <v/>
      </c>
    </row>
    <row r="7694" customFormat="false" ht="15" hidden="false" customHeight="false" outlineLevel="0" collapsed="false">
      <c r="A7694" s="103"/>
      <c r="B7694" s="104"/>
      <c r="C7694" s="104"/>
      <c r="E7694" s="107" t="str">
        <f aca="false">IF($C7694="","",IFERROR(INDEX(المنيو!$C$2:$C$500,MATCH($C7694,المنيو!$B$2:$B$500,0)),0))</f>
        <v/>
      </c>
      <c r="F7694" s="107" t="str">
        <f aca="false">IF($C7694="","",$D7694*$E7694)</f>
        <v/>
      </c>
      <c r="G7694" s="107" t="str">
        <f aca="false">IF($C7694="","",$D7694*IFERROR(INDEX('تحليل التكلفة والسعر'!$C$2:$C$700,MATCH($C7694,'تحليل التكلفة والسعر'!$B$2:$B$700,0)),0))</f>
        <v/>
      </c>
    </row>
    <row r="7695" customFormat="false" ht="15" hidden="false" customHeight="false" outlineLevel="0" collapsed="false">
      <c r="A7695" s="103"/>
      <c r="B7695" s="104"/>
      <c r="C7695" s="104"/>
      <c r="E7695" s="107" t="str">
        <f aca="false">IF($C7695="","",IFERROR(INDEX(المنيو!$C$2:$C$500,MATCH($C7695,المنيو!$B$2:$B$500,0)),0))</f>
        <v/>
      </c>
      <c r="F7695" s="107" t="str">
        <f aca="false">IF($C7695="","",$D7695*$E7695)</f>
        <v/>
      </c>
      <c r="G7695" s="107" t="str">
        <f aca="false">IF($C7695="","",$D7695*IFERROR(INDEX('تحليل التكلفة والسعر'!$C$2:$C$700,MATCH($C7695,'تحليل التكلفة والسعر'!$B$2:$B$700,0)),0))</f>
        <v/>
      </c>
    </row>
    <row r="7696" customFormat="false" ht="15" hidden="false" customHeight="false" outlineLevel="0" collapsed="false">
      <c r="A7696" s="103"/>
      <c r="B7696" s="104"/>
      <c r="C7696" s="104"/>
      <c r="E7696" s="107" t="str">
        <f aca="false">IF($C7696="","",IFERROR(INDEX(المنيو!$C$2:$C$500,MATCH($C7696,المنيو!$B$2:$B$500,0)),0))</f>
        <v/>
      </c>
      <c r="F7696" s="107" t="str">
        <f aca="false">IF($C7696="","",$D7696*$E7696)</f>
        <v/>
      </c>
      <c r="G7696" s="107" t="str">
        <f aca="false">IF($C7696="","",$D7696*IFERROR(INDEX('تحليل التكلفة والسعر'!$C$2:$C$700,MATCH($C7696,'تحليل التكلفة والسعر'!$B$2:$B$700,0)),0))</f>
        <v/>
      </c>
    </row>
    <row r="7697" customFormat="false" ht="15" hidden="false" customHeight="false" outlineLevel="0" collapsed="false">
      <c r="A7697" s="103"/>
      <c r="B7697" s="104"/>
      <c r="C7697" s="104"/>
      <c r="E7697" s="107" t="str">
        <f aca="false">IF($C7697="","",IFERROR(INDEX(المنيو!$C$2:$C$500,MATCH($C7697,المنيو!$B$2:$B$500,0)),0))</f>
        <v/>
      </c>
      <c r="F7697" s="107" t="str">
        <f aca="false">IF($C7697="","",$D7697*$E7697)</f>
        <v/>
      </c>
      <c r="G7697" s="107" t="str">
        <f aca="false">IF($C7697="","",$D7697*IFERROR(INDEX('تحليل التكلفة والسعر'!$C$2:$C$700,MATCH($C7697,'تحليل التكلفة والسعر'!$B$2:$B$700,0)),0))</f>
        <v/>
      </c>
    </row>
    <row r="7698" customFormat="false" ht="15" hidden="false" customHeight="false" outlineLevel="0" collapsed="false">
      <c r="A7698" s="103"/>
      <c r="B7698" s="104"/>
      <c r="C7698" s="104"/>
      <c r="E7698" s="107" t="str">
        <f aca="false">IF($C7698="","",IFERROR(INDEX(المنيو!$C$2:$C$500,MATCH($C7698,المنيو!$B$2:$B$500,0)),0))</f>
        <v/>
      </c>
      <c r="F7698" s="107" t="str">
        <f aca="false">IF($C7698="","",$D7698*$E7698)</f>
        <v/>
      </c>
      <c r="G7698" s="107" t="str">
        <f aca="false">IF($C7698="","",$D7698*IFERROR(INDEX('تحليل التكلفة والسعر'!$C$2:$C$700,MATCH($C7698,'تحليل التكلفة والسعر'!$B$2:$B$700,0)),0))</f>
        <v/>
      </c>
    </row>
    <row r="7699" customFormat="false" ht="15" hidden="false" customHeight="false" outlineLevel="0" collapsed="false">
      <c r="A7699" s="103"/>
      <c r="B7699" s="104"/>
      <c r="C7699" s="104"/>
      <c r="E7699" s="107" t="str">
        <f aca="false">IF($C7699="","",IFERROR(INDEX(المنيو!$C$2:$C$500,MATCH($C7699,المنيو!$B$2:$B$500,0)),0))</f>
        <v/>
      </c>
      <c r="F7699" s="107" t="str">
        <f aca="false">IF($C7699="","",$D7699*$E7699)</f>
        <v/>
      </c>
      <c r="G7699" s="107" t="str">
        <f aca="false">IF($C7699="","",$D7699*IFERROR(INDEX('تحليل التكلفة والسعر'!$C$2:$C$700,MATCH($C7699,'تحليل التكلفة والسعر'!$B$2:$B$700,0)),0))</f>
        <v/>
      </c>
    </row>
    <row r="7700" customFormat="false" ht="15" hidden="false" customHeight="false" outlineLevel="0" collapsed="false">
      <c r="A7700" s="103"/>
      <c r="B7700" s="104"/>
      <c r="C7700" s="104"/>
      <c r="E7700" s="107" t="str">
        <f aca="false">IF($C7700="","",IFERROR(INDEX(المنيو!$C$2:$C$500,MATCH($C7700,المنيو!$B$2:$B$500,0)),0))</f>
        <v/>
      </c>
      <c r="F7700" s="107" t="str">
        <f aca="false">IF($C7700="","",$D7700*$E7700)</f>
        <v/>
      </c>
      <c r="G7700" s="107" t="str">
        <f aca="false">IF($C7700="","",$D7700*IFERROR(INDEX('تحليل التكلفة والسعر'!$C$2:$C$700,MATCH($C7700,'تحليل التكلفة والسعر'!$B$2:$B$700,0)),0))</f>
        <v/>
      </c>
    </row>
    <row r="7701" customFormat="false" ht="15" hidden="false" customHeight="false" outlineLevel="0" collapsed="false">
      <c r="A7701" s="103"/>
      <c r="B7701" s="104"/>
      <c r="C7701" s="104"/>
      <c r="E7701" s="107" t="str">
        <f aca="false">IF($C7701="","",IFERROR(INDEX(المنيو!$C$2:$C$500,MATCH($C7701,المنيو!$B$2:$B$500,0)),0))</f>
        <v/>
      </c>
      <c r="F7701" s="107" t="str">
        <f aca="false">IF($C7701="","",$D7701*$E7701)</f>
        <v/>
      </c>
      <c r="G7701" s="107" t="str">
        <f aca="false">IF($C7701="","",$D7701*IFERROR(INDEX('تحليل التكلفة والسعر'!$C$2:$C$700,MATCH($C7701,'تحليل التكلفة والسعر'!$B$2:$B$700,0)),0))</f>
        <v/>
      </c>
    </row>
    <row r="7702" customFormat="false" ht="15" hidden="false" customHeight="false" outlineLevel="0" collapsed="false">
      <c r="A7702" s="103"/>
      <c r="B7702" s="104"/>
      <c r="C7702" s="104"/>
      <c r="E7702" s="107" t="str">
        <f aca="false">IF($C7702="","",IFERROR(INDEX(المنيو!$C$2:$C$500,MATCH($C7702,المنيو!$B$2:$B$500,0)),0))</f>
        <v/>
      </c>
      <c r="F7702" s="107" t="str">
        <f aca="false">IF($C7702="","",$D7702*$E7702)</f>
        <v/>
      </c>
      <c r="G7702" s="107" t="str">
        <f aca="false">IF($C7702="","",$D7702*IFERROR(INDEX('تحليل التكلفة والسعر'!$C$2:$C$700,MATCH($C7702,'تحليل التكلفة والسعر'!$B$2:$B$700,0)),0))</f>
        <v/>
      </c>
    </row>
    <row r="7703" customFormat="false" ht="15" hidden="false" customHeight="false" outlineLevel="0" collapsed="false">
      <c r="A7703" s="103"/>
      <c r="B7703" s="104"/>
      <c r="C7703" s="104"/>
      <c r="E7703" s="107" t="str">
        <f aca="false">IF($C7703="","",IFERROR(INDEX(المنيو!$C$2:$C$500,MATCH($C7703,المنيو!$B$2:$B$500,0)),0))</f>
        <v/>
      </c>
      <c r="F7703" s="107" t="str">
        <f aca="false">IF($C7703="","",$D7703*$E7703)</f>
        <v/>
      </c>
      <c r="G7703" s="107" t="str">
        <f aca="false">IF($C7703="","",$D7703*IFERROR(INDEX('تحليل التكلفة والسعر'!$C$2:$C$700,MATCH($C7703,'تحليل التكلفة والسعر'!$B$2:$B$700,0)),0))</f>
        <v/>
      </c>
    </row>
    <row r="7704" customFormat="false" ht="15" hidden="false" customHeight="false" outlineLevel="0" collapsed="false">
      <c r="A7704" s="103"/>
      <c r="B7704" s="104"/>
      <c r="C7704" s="104"/>
      <c r="E7704" s="107" t="str">
        <f aca="false">IF($C7704="","",IFERROR(INDEX(المنيو!$C$2:$C$500,MATCH($C7704,المنيو!$B$2:$B$500,0)),0))</f>
        <v/>
      </c>
      <c r="F7704" s="107" t="str">
        <f aca="false">IF($C7704="","",$D7704*$E7704)</f>
        <v/>
      </c>
      <c r="G7704" s="107" t="str">
        <f aca="false">IF($C7704="","",$D7704*IFERROR(INDEX('تحليل التكلفة والسعر'!$C$2:$C$700,MATCH($C7704,'تحليل التكلفة والسعر'!$B$2:$B$700,0)),0))</f>
        <v/>
      </c>
    </row>
    <row r="7705" customFormat="false" ht="15" hidden="false" customHeight="false" outlineLevel="0" collapsed="false">
      <c r="A7705" s="103"/>
      <c r="B7705" s="104"/>
      <c r="C7705" s="104"/>
      <c r="E7705" s="107" t="str">
        <f aca="false">IF($C7705="","",IFERROR(INDEX(المنيو!$C$2:$C$500,MATCH($C7705,المنيو!$B$2:$B$500,0)),0))</f>
        <v/>
      </c>
      <c r="F7705" s="107" t="str">
        <f aca="false">IF($C7705="","",$D7705*$E7705)</f>
        <v/>
      </c>
      <c r="G7705" s="107" t="str">
        <f aca="false">IF($C7705="","",$D7705*IFERROR(INDEX('تحليل التكلفة والسعر'!$C$2:$C$700,MATCH($C7705,'تحليل التكلفة والسعر'!$B$2:$B$700,0)),0))</f>
        <v/>
      </c>
    </row>
    <row r="7706" customFormat="false" ht="15" hidden="false" customHeight="false" outlineLevel="0" collapsed="false">
      <c r="A7706" s="103"/>
      <c r="B7706" s="104"/>
      <c r="C7706" s="104"/>
      <c r="E7706" s="107" t="str">
        <f aca="false">IF($C7706="","",IFERROR(INDEX(المنيو!$C$2:$C$500,MATCH($C7706,المنيو!$B$2:$B$500,0)),0))</f>
        <v/>
      </c>
      <c r="F7706" s="107" t="str">
        <f aca="false">IF($C7706="","",$D7706*$E7706)</f>
        <v/>
      </c>
      <c r="G7706" s="107" t="str">
        <f aca="false">IF($C7706="","",$D7706*IFERROR(INDEX('تحليل التكلفة والسعر'!$C$2:$C$700,MATCH($C7706,'تحليل التكلفة والسعر'!$B$2:$B$700,0)),0))</f>
        <v/>
      </c>
    </row>
    <row r="7707" customFormat="false" ht="15" hidden="false" customHeight="false" outlineLevel="0" collapsed="false">
      <c r="A7707" s="103"/>
      <c r="B7707" s="104"/>
      <c r="C7707" s="104"/>
      <c r="E7707" s="107" t="str">
        <f aca="false">IF($C7707="","",IFERROR(INDEX(المنيو!$C$2:$C$500,MATCH($C7707,المنيو!$B$2:$B$500,0)),0))</f>
        <v/>
      </c>
      <c r="F7707" s="107" t="str">
        <f aca="false">IF($C7707="","",$D7707*$E7707)</f>
        <v/>
      </c>
      <c r="G7707" s="107" t="str">
        <f aca="false">IF($C7707="","",$D7707*IFERROR(INDEX('تحليل التكلفة والسعر'!$C$2:$C$700,MATCH($C7707,'تحليل التكلفة والسعر'!$B$2:$B$700,0)),0))</f>
        <v/>
      </c>
    </row>
    <row r="7708" customFormat="false" ht="15" hidden="false" customHeight="false" outlineLevel="0" collapsed="false">
      <c r="A7708" s="103"/>
      <c r="B7708" s="104"/>
      <c r="C7708" s="104"/>
      <c r="E7708" s="107" t="str">
        <f aca="false">IF($C7708="","",IFERROR(INDEX(المنيو!$C$2:$C$500,MATCH($C7708,المنيو!$B$2:$B$500,0)),0))</f>
        <v/>
      </c>
      <c r="F7708" s="107" t="str">
        <f aca="false">IF($C7708="","",$D7708*$E7708)</f>
        <v/>
      </c>
      <c r="G7708" s="107" t="str">
        <f aca="false">IF($C7708="","",$D7708*IFERROR(INDEX('تحليل التكلفة والسعر'!$C$2:$C$700,MATCH($C7708,'تحليل التكلفة والسعر'!$B$2:$B$700,0)),0))</f>
        <v/>
      </c>
    </row>
    <row r="7709" customFormat="false" ht="15" hidden="false" customHeight="false" outlineLevel="0" collapsed="false">
      <c r="A7709" s="103"/>
      <c r="B7709" s="104"/>
      <c r="C7709" s="104"/>
      <c r="E7709" s="107" t="str">
        <f aca="false">IF($C7709="","",IFERROR(INDEX(المنيو!$C$2:$C$500,MATCH($C7709,المنيو!$B$2:$B$500,0)),0))</f>
        <v/>
      </c>
      <c r="F7709" s="107" t="str">
        <f aca="false">IF($C7709="","",$D7709*$E7709)</f>
        <v/>
      </c>
      <c r="G7709" s="107" t="str">
        <f aca="false">IF($C7709="","",$D7709*IFERROR(INDEX('تحليل التكلفة والسعر'!$C$2:$C$700,MATCH($C7709,'تحليل التكلفة والسعر'!$B$2:$B$700,0)),0))</f>
        <v/>
      </c>
    </row>
    <row r="7710" customFormat="false" ht="15" hidden="false" customHeight="false" outlineLevel="0" collapsed="false">
      <c r="A7710" s="103"/>
      <c r="B7710" s="104"/>
      <c r="C7710" s="104"/>
      <c r="E7710" s="107" t="str">
        <f aca="false">IF($C7710="","",IFERROR(INDEX(المنيو!$C$2:$C$500,MATCH($C7710,المنيو!$B$2:$B$500,0)),0))</f>
        <v/>
      </c>
      <c r="F7710" s="107" t="str">
        <f aca="false">IF($C7710="","",$D7710*$E7710)</f>
        <v/>
      </c>
      <c r="G7710" s="107" t="str">
        <f aca="false">IF($C7710="","",$D7710*IFERROR(INDEX('تحليل التكلفة والسعر'!$C$2:$C$700,MATCH($C7710,'تحليل التكلفة والسعر'!$B$2:$B$700,0)),0))</f>
        <v/>
      </c>
    </row>
    <row r="7711" customFormat="false" ht="15" hidden="false" customHeight="false" outlineLevel="0" collapsed="false">
      <c r="A7711" s="103"/>
      <c r="B7711" s="104"/>
      <c r="C7711" s="104"/>
      <c r="E7711" s="107" t="str">
        <f aca="false">IF($C7711="","",IFERROR(INDEX(المنيو!$C$2:$C$500,MATCH($C7711,المنيو!$B$2:$B$500,0)),0))</f>
        <v/>
      </c>
      <c r="F7711" s="107" t="str">
        <f aca="false">IF($C7711="","",$D7711*$E7711)</f>
        <v/>
      </c>
      <c r="G7711" s="107" t="str">
        <f aca="false">IF($C7711="","",$D7711*IFERROR(INDEX('تحليل التكلفة والسعر'!$C$2:$C$700,MATCH($C7711,'تحليل التكلفة والسعر'!$B$2:$B$700,0)),0))</f>
        <v/>
      </c>
    </row>
    <row r="7712" customFormat="false" ht="15" hidden="false" customHeight="false" outlineLevel="0" collapsed="false">
      <c r="A7712" s="103"/>
      <c r="B7712" s="104"/>
      <c r="C7712" s="104"/>
      <c r="E7712" s="107" t="str">
        <f aca="false">IF($C7712="","",IFERROR(INDEX(المنيو!$C$2:$C$500,MATCH($C7712,المنيو!$B$2:$B$500,0)),0))</f>
        <v/>
      </c>
      <c r="F7712" s="107" t="str">
        <f aca="false">IF($C7712="","",$D7712*$E7712)</f>
        <v/>
      </c>
      <c r="G7712" s="107" t="str">
        <f aca="false">IF($C7712="","",$D7712*IFERROR(INDEX('تحليل التكلفة والسعر'!$C$2:$C$700,MATCH($C7712,'تحليل التكلفة والسعر'!$B$2:$B$700,0)),0))</f>
        <v/>
      </c>
    </row>
    <row r="7713" customFormat="false" ht="15" hidden="false" customHeight="false" outlineLevel="0" collapsed="false">
      <c r="A7713" s="103"/>
      <c r="B7713" s="104"/>
      <c r="C7713" s="104"/>
      <c r="E7713" s="107" t="str">
        <f aca="false">IF($C7713="","",IFERROR(INDEX(المنيو!$C$2:$C$500,MATCH($C7713,المنيو!$B$2:$B$500,0)),0))</f>
        <v/>
      </c>
      <c r="F7713" s="107" t="str">
        <f aca="false">IF($C7713="","",$D7713*$E7713)</f>
        <v/>
      </c>
      <c r="G7713" s="107" t="str">
        <f aca="false">IF($C7713="","",$D7713*IFERROR(INDEX('تحليل التكلفة والسعر'!$C$2:$C$700,MATCH($C7713,'تحليل التكلفة والسعر'!$B$2:$B$700,0)),0))</f>
        <v/>
      </c>
    </row>
    <row r="7714" customFormat="false" ht="15" hidden="false" customHeight="false" outlineLevel="0" collapsed="false">
      <c r="A7714" s="103"/>
      <c r="B7714" s="104"/>
      <c r="C7714" s="104"/>
      <c r="E7714" s="107" t="str">
        <f aca="false">IF($C7714="","",IFERROR(INDEX(المنيو!$C$2:$C$500,MATCH($C7714,المنيو!$B$2:$B$500,0)),0))</f>
        <v/>
      </c>
      <c r="F7714" s="107" t="str">
        <f aca="false">IF($C7714="","",$D7714*$E7714)</f>
        <v/>
      </c>
      <c r="G7714" s="107" t="str">
        <f aca="false">IF($C7714="","",$D7714*IFERROR(INDEX('تحليل التكلفة والسعر'!$C$2:$C$700,MATCH($C7714,'تحليل التكلفة والسعر'!$B$2:$B$700,0)),0))</f>
        <v/>
      </c>
    </row>
    <row r="7715" customFormat="false" ht="15" hidden="false" customHeight="false" outlineLevel="0" collapsed="false">
      <c r="A7715" s="103"/>
      <c r="B7715" s="104"/>
      <c r="C7715" s="104"/>
      <c r="E7715" s="107" t="str">
        <f aca="false">IF($C7715="","",IFERROR(INDEX(المنيو!$C$2:$C$500,MATCH($C7715,المنيو!$B$2:$B$500,0)),0))</f>
        <v/>
      </c>
      <c r="F7715" s="107" t="str">
        <f aca="false">IF($C7715="","",$D7715*$E7715)</f>
        <v/>
      </c>
      <c r="G7715" s="107" t="str">
        <f aca="false">IF($C7715="","",$D7715*IFERROR(INDEX('تحليل التكلفة والسعر'!$C$2:$C$700,MATCH($C7715,'تحليل التكلفة والسعر'!$B$2:$B$700,0)),0))</f>
        <v/>
      </c>
    </row>
    <row r="7716" customFormat="false" ht="15" hidden="false" customHeight="false" outlineLevel="0" collapsed="false">
      <c r="A7716" s="103"/>
      <c r="B7716" s="104"/>
      <c r="C7716" s="104"/>
      <c r="E7716" s="107" t="str">
        <f aca="false">IF($C7716="","",IFERROR(INDEX(المنيو!$C$2:$C$500,MATCH($C7716,المنيو!$B$2:$B$500,0)),0))</f>
        <v/>
      </c>
      <c r="F7716" s="107" t="str">
        <f aca="false">IF($C7716="","",$D7716*$E7716)</f>
        <v/>
      </c>
      <c r="G7716" s="107" t="str">
        <f aca="false">IF($C7716="","",$D7716*IFERROR(INDEX('تحليل التكلفة والسعر'!$C$2:$C$700,MATCH($C7716,'تحليل التكلفة والسعر'!$B$2:$B$700,0)),0))</f>
        <v/>
      </c>
    </row>
    <row r="7717" customFormat="false" ht="15" hidden="false" customHeight="false" outlineLevel="0" collapsed="false">
      <c r="A7717" s="103"/>
      <c r="B7717" s="104"/>
      <c r="C7717" s="104"/>
      <c r="E7717" s="107" t="str">
        <f aca="false">IF($C7717="","",IFERROR(INDEX(المنيو!$C$2:$C$500,MATCH($C7717,المنيو!$B$2:$B$500,0)),0))</f>
        <v/>
      </c>
      <c r="F7717" s="107" t="str">
        <f aca="false">IF($C7717="","",$D7717*$E7717)</f>
        <v/>
      </c>
      <c r="G7717" s="107" t="str">
        <f aca="false">IF($C7717="","",$D7717*IFERROR(INDEX('تحليل التكلفة والسعر'!$C$2:$C$700,MATCH($C7717,'تحليل التكلفة والسعر'!$B$2:$B$700,0)),0))</f>
        <v/>
      </c>
    </row>
    <row r="7718" customFormat="false" ht="15" hidden="false" customHeight="false" outlineLevel="0" collapsed="false">
      <c r="A7718" s="103"/>
      <c r="B7718" s="104"/>
      <c r="C7718" s="104"/>
      <c r="E7718" s="107" t="str">
        <f aca="false">IF($C7718="","",IFERROR(INDEX(المنيو!$C$2:$C$500,MATCH($C7718,المنيو!$B$2:$B$500,0)),0))</f>
        <v/>
      </c>
      <c r="F7718" s="107" t="str">
        <f aca="false">IF($C7718="","",$D7718*$E7718)</f>
        <v/>
      </c>
      <c r="G7718" s="107" t="str">
        <f aca="false">IF($C7718="","",$D7718*IFERROR(INDEX('تحليل التكلفة والسعر'!$C$2:$C$700,MATCH($C7718,'تحليل التكلفة والسعر'!$B$2:$B$700,0)),0))</f>
        <v/>
      </c>
    </row>
    <row r="7719" customFormat="false" ht="15" hidden="false" customHeight="false" outlineLevel="0" collapsed="false">
      <c r="A7719" s="103"/>
      <c r="B7719" s="104"/>
      <c r="C7719" s="104"/>
      <c r="E7719" s="107" t="str">
        <f aca="false">IF($C7719="","",IFERROR(INDEX(المنيو!$C$2:$C$500,MATCH($C7719,المنيو!$B$2:$B$500,0)),0))</f>
        <v/>
      </c>
      <c r="F7719" s="107" t="str">
        <f aca="false">IF($C7719="","",$D7719*$E7719)</f>
        <v/>
      </c>
      <c r="G7719" s="107" t="str">
        <f aca="false">IF($C7719="","",$D7719*IFERROR(INDEX('تحليل التكلفة والسعر'!$C$2:$C$700,MATCH($C7719,'تحليل التكلفة والسعر'!$B$2:$B$700,0)),0))</f>
        <v/>
      </c>
    </row>
    <row r="7720" customFormat="false" ht="15" hidden="false" customHeight="false" outlineLevel="0" collapsed="false">
      <c r="A7720" s="103"/>
      <c r="B7720" s="104"/>
      <c r="C7720" s="104"/>
      <c r="E7720" s="107" t="str">
        <f aca="false">IF($C7720="","",IFERROR(INDEX(المنيو!$C$2:$C$500,MATCH($C7720,المنيو!$B$2:$B$500,0)),0))</f>
        <v/>
      </c>
      <c r="F7720" s="107" t="str">
        <f aca="false">IF($C7720="","",$D7720*$E7720)</f>
        <v/>
      </c>
      <c r="G7720" s="107" t="str">
        <f aca="false">IF($C7720="","",$D7720*IFERROR(INDEX('تحليل التكلفة والسعر'!$C$2:$C$700,MATCH($C7720,'تحليل التكلفة والسعر'!$B$2:$B$700,0)),0))</f>
        <v/>
      </c>
    </row>
    <row r="7721" customFormat="false" ht="15" hidden="false" customHeight="false" outlineLevel="0" collapsed="false">
      <c r="A7721" s="103"/>
      <c r="B7721" s="104"/>
      <c r="C7721" s="104"/>
      <c r="E7721" s="107" t="str">
        <f aca="false">IF($C7721="","",IFERROR(INDEX(المنيو!$C$2:$C$500,MATCH($C7721,المنيو!$B$2:$B$500,0)),0))</f>
        <v/>
      </c>
      <c r="F7721" s="107" t="str">
        <f aca="false">IF($C7721="","",$D7721*$E7721)</f>
        <v/>
      </c>
      <c r="G7721" s="107" t="str">
        <f aca="false">IF($C7721="","",$D7721*IFERROR(INDEX('تحليل التكلفة والسعر'!$C$2:$C$700,MATCH($C7721,'تحليل التكلفة والسعر'!$B$2:$B$700,0)),0))</f>
        <v/>
      </c>
    </row>
    <row r="7722" customFormat="false" ht="15" hidden="false" customHeight="false" outlineLevel="0" collapsed="false">
      <c r="A7722" s="103"/>
      <c r="B7722" s="104"/>
      <c r="C7722" s="104"/>
      <c r="E7722" s="107" t="str">
        <f aca="false">IF($C7722="","",IFERROR(INDEX(المنيو!$C$2:$C$500,MATCH($C7722,المنيو!$B$2:$B$500,0)),0))</f>
        <v/>
      </c>
      <c r="F7722" s="107" t="str">
        <f aca="false">IF($C7722="","",$D7722*$E7722)</f>
        <v/>
      </c>
      <c r="G7722" s="107" t="str">
        <f aca="false">IF($C7722="","",$D7722*IFERROR(INDEX('تحليل التكلفة والسعر'!$C$2:$C$700,MATCH($C7722,'تحليل التكلفة والسعر'!$B$2:$B$700,0)),0))</f>
        <v/>
      </c>
    </row>
    <row r="7723" customFormat="false" ht="15" hidden="false" customHeight="false" outlineLevel="0" collapsed="false">
      <c r="A7723" s="103"/>
      <c r="B7723" s="104"/>
      <c r="C7723" s="104"/>
      <c r="E7723" s="107" t="str">
        <f aca="false">IF($C7723="","",IFERROR(INDEX(المنيو!$C$2:$C$500,MATCH($C7723,المنيو!$B$2:$B$500,0)),0))</f>
        <v/>
      </c>
      <c r="F7723" s="107" t="str">
        <f aca="false">IF($C7723="","",$D7723*$E7723)</f>
        <v/>
      </c>
      <c r="G7723" s="107" t="str">
        <f aca="false">IF($C7723="","",$D7723*IFERROR(INDEX('تحليل التكلفة والسعر'!$C$2:$C$700,MATCH($C7723,'تحليل التكلفة والسعر'!$B$2:$B$700,0)),0))</f>
        <v/>
      </c>
    </row>
    <row r="7724" customFormat="false" ht="15" hidden="false" customHeight="false" outlineLevel="0" collapsed="false">
      <c r="A7724" s="103"/>
      <c r="B7724" s="104"/>
      <c r="C7724" s="104"/>
      <c r="E7724" s="107" t="str">
        <f aca="false">IF($C7724="","",IFERROR(INDEX(المنيو!$C$2:$C$500,MATCH($C7724,المنيو!$B$2:$B$500,0)),0))</f>
        <v/>
      </c>
      <c r="F7724" s="107" t="str">
        <f aca="false">IF($C7724="","",$D7724*$E7724)</f>
        <v/>
      </c>
      <c r="G7724" s="107" t="str">
        <f aca="false">IF($C7724="","",$D7724*IFERROR(INDEX('تحليل التكلفة والسعر'!$C$2:$C$700,MATCH($C7724,'تحليل التكلفة والسعر'!$B$2:$B$700,0)),0))</f>
        <v/>
      </c>
    </row>
    <row r="7725" customFormat="false" ht="15" hidden="false" customHeight="false" outlineLevel="0" collapsed="false">
      <c r="A7725" s="103"/>
      <c r="B7725" s="104"/>
      <c r="C7725" s="104"/>
      <c r="E7725" s="107" t="str">
        <f aca="false">IF($C7725="","",IFERROR(INDEX(المنيو!$C$2:$C$500,MATCH($C7725,المنيو!$B$2:$B$500,0)),0))</f>
        <v/>
      </c>
      <c r="F7725" s="107" t="str">
        <f aca="false">IF($C7725="","",$D7725*$E7725)</f>
        <v/>
      </c>
      <c r="G7725" s="107" t="str">
        <f aca="false">IF($C7725="","",$D7725*IFERROR(INDEX('تحليل التكلفة والسعر'!$C$2:$C$700,MATCH($C7725,'تحليل التكلفة والسعر'!$B$2:$B$700,0)),0))</f>
        <v/>
      </c>
    </row>
    <row r="7726" customFormat="false" ht="15" hidden="false" customHeight="false" outlineLevel="0" collapsed="false">
      <c r="A7726" s="103"/>
      <c r="B7726" s="104"/>
      <c r="C7726" s="104"/>
      <c r="E7726" s="107" t="str">
        <f aca="false">IF($C7726="","",IFERROR(INDEX(المنيو!$C$2:$C$500,MATCH($C7726,المنيو!$B$2:$B$500,0)),0))</f>
        <v/>
      </c>
      <c r="F7726" s="107" t="str">
        <f aca="false">IF($C7726="","",$D7726*$E7726)</f>
        <v/>
      </c>
      <c r="G7726" s="107" t="str">
        <f aca="false">IF($C7726="","",$D7726*IFERROR(INDEX('تحليل التكلفة والسعر'!$C$2:$C$700,MATCH($C7726,'تحليل التكلفة والسعر'!$B$2:$B$700,0)),0))</f>
        <v/>
      </c>
    </row>
    <row r="7727" customFormat="false" ht="15" hidden="false" customHeight="false" outlineLevel="0" collapsed="false">
      <c r="A7727" s="103"/>
      <c r="B7727" s="104"/>
      <c r="C7727" s="104"/>
      <c r="E7727" s="107" t="str">
        <f aca="false">IF($C7727="","",IFERROR(INDEX(المنيو!$C$2:$C$500,MATCH($C7727,المنيو!$B$2:$B$500,0)),0))</f>
        <v/>
      </c>
      <c r="F7727" s="107" t="str">
        <f aca="false">IF($C7727="","",$D7727*$E7727)</f>
        <v/>
      </c>
      <c r="G7727" s="107" t="str">
        <f aca="false">IF($C7727="","",$D7727*IFERROR(INDEX('تحليل التكلفة والسعر'!$C$2:$C$700,MATCH($C7727,'تحليل التكلفة والسعر'!$B$2:$B$700,0)),0))</f>
        <v/>
      </c>
    </row>
    <row r="7728" customFormat="false" ht="15" hidden="false" customHeight="false" outlineLevel="0" collapsed="false">
      <c r="A7728" s="103"/>
      <c r="B7728" s="104"/>
      <c r="C7728" s="104"/>
      <c r="E7728" s="107" t="str">
        <f aca="false">IF($C7728="","",IFERROR(INDEX(المنيو!$C$2:$C$500,MATCH($C7728,المنيو!$B$2:$B$500,0)),0))</f>
        <v/>
      </c>
      <c r="F7728" s="107" t="str">
        <f aca="false">IF($C7728="","",$D7728*$E7728)</f>
        <v/>
      </c>
      <c r="G7728" s="107" t="str">
        <f aca="false">IF($C7728="","",$D7728*IFERROR(INDEX('تحليل التكلفة والسعر'!$C$2:$C$700,MATCH($C7728,'تحليل التكلفة والسعر'!$B$2:$B$700,0)),0))</f>
        <v/>
      </c>
    </row>
    <row r="7729" customFormat="false" ht="15" hidden="false" customHeight="false" outlineLevel="0" collapsed="false">
      <c r="A7729" s="103"/>
      <c r="B7729" s="104"/>
      <c r="C7729" s="104"/>
      <c r="E7729" s="107" t="str">
        <f aca="false">IF($C7729="","",IFERROR(INDEX(المنيو!$C$2:$C$500,MATCH($C7729,المنيو!$B$2:$B$500,0)),0))</f>
        <v/>
      </c>
      <c r="F7729" s="107" t="str">
        <f aca="false">IF($C7729="","",$D7729*$E7729)</f>
        <v/>
      </c>
      <c r="G7729" s="107" t="str">
        <f aca="false">IF($C7729="","",$D7729*IFERROR(INDEX('تحليل التكلفة والسعر'!$C$2:$C$700,MATCH($C7729,'تحليل التكلفة والسعر'!$B$2:$B$700,0)),0))</f>
        <v/>
      </c>
    </row>
    <row r="7730" customFormat="false" ht="15" hidden="false" customHeight="false" outlineLevel="0" collapsed="false">
      <c r="A7730" s="103"/>
      <c r="B7730" s="104"/>
      <c r="C7730" s="104"/>
      <c r="E7730" s="107" t="str">
        <f aca="false">IF($C7730="","",IFERROR(INDEX(المنيو!$C$2:$C$500,MATCH($C7730,المنيو!$B$2:$B$500,0)),0))</f>
        <v/>
      </c>
      <c r="F7730" s="107" t="str">
        <f aca="false">IF($C7730="","",$D7730*$E7730)</f>
        <v/>
      </c>
      <c r="G7730" s="107" t="str">
        <f aca="false">IF($C7730="","",$D7730*IFERROR(INDEX('تحليل التكلفة والسعر'!$C$2:$C$700,MATCH($C7730,'تحليل التكلفة والسعر'!$B$2:$B$700,0)),0))</f>
        <v/>
      </c>
    </row>
    <row r="7731" customFormat="false" ht="15" hidden="false" customHeight="false" outlineLevel="0" collapsed="false">
      <c r="A7731" s="103"/>
      <c r="B7731" s="104"/>
      <c r="C7731" s="104"/>
      <c r="E7731" s="107" t="str">
        <f aca="false">IF($C7731="","",IFERROR(INDEX(المنيو!$C$2:$C$500,MATCH($C7731,المنيو!$B$2:$B$500,0)),0))</f>
        <v/>
      </c>
      <c r="F7731" s="107" t="str">
        <f aca="false">IF($C7731="","",$D7731*$E7731)</f>
        <v/>
      </c>
      <c r="G7731" s="107" t="str">
        <f aca="false">IF($C7731="","",$D7731*IFERROR(INDEX('تحليل التكلفة والسعر'!$C$2:$C$700,MATCH($C7731,'تحليل التكلفة والسعر'!$B$2:$B$700,0)),0))</f>
        <v/>
      </c>
    </row>
    <row r="7732" customFormat="false" ht="15" hidden="false" customHeight="false" outlineLevel="0" collapsed="false">
      <c r="A7732" s="103"/>
      <c r="B7732" s="104"/>
      <c r="C7732" s="104"/>
      <c r="E7732" s="107" t="str">
        <f aca="false">IF($C7732="","",IFERROR(INDEX(المنيو!$C$2:$C$500,MATCH($C7732,المنيو!$B$2:$B$500,0)),0))</f>
        <v/>
      </c>
      <c r="F7732" s="107" t="str">
        <f aca="false">IF($C7732="","",$D7732*$E7732)</f>
        <v/>
      </c>
      <c r="G7732" s="107" t="str">
        <f aca="false">IF($C7732="","",$D7732*IFERROR(INDEX('تحليل التكلفة والسعر'!$C$2:$C$700,MATCH($C7732,'تحليل التكلفة والسعر'!$B$2:$B$700,0)),0))</f>
        <v/>
      </c>
    </row>
    <row r="7733" customFormat="false" ht="15" hidden="false" customHeight="false" outlineLevel="0" collapsed="false">
      <c r="A7733" s="103"/>
      <c r="B7733" s="104"/>
      <c r="C7733" s="104"/>
      <c r="E7733" s="107" t="str">
        <f aca="false">IF($C7733="","",IFERROR(INDEX(المنيو!$C$2:$C$500,MATCH($C7733,المنيو!$B$2:$B$500,0)),0))</f>
        <v/>
      </c>
      <c r="F7733" s="107" t="str">
        <f aca="false">IF($C7733="","",$D7733*$E7733)</f>
        <v/>
      </c>
      <c r="G7733" s="107" t="str">
        <f aca="false">IF($C7733="","",$D7733*IFERROR(INDEX('تحليل التكلفة والسعر'!$C$2:$C$700,MATCH($C7733,'تحليل التكلفة والسعر'!$B$2:$B$700,0)),0))</f>
        <v/>
      </c>
    </row>
    <row r="7734" customFormat="false" ht="15" hidden="false" customHeight="false" outlineLevel="0" collapsed="false">
      <c r="A7734" s="103"/>
      <c r="B7734" s="104"/>
      <c r="C7734" s="104"/>
      <c r="E7734" s="107" t="str">
        <f aca="false">IF($C7734="","",IFERROR(INDEX(المنيو!$C$2:$C$500,MATCH($C7734,المنيو!$B$2:$B$500,0)),0))</f>
        <v/>
      </c>
      <c r="F7734" s="107" t="str">
        <f aca="false">IF($C7734="","",$D7734*$E7734)</f>
        <v/>
      </c>
      <c r="G7734" s="107" t="str">
        <f aca="false">IF($C7734="","",$D7734*IFERROR(INDEX('تحليل التكلفة والسعر'!$C$2:$C$700,MATCH($C7734,'تحليل التكلفة والسعر'!$B$2:$B$700,0)),0))</f>
        <v/>
      </c>
    </row>
    <row r="7735" customFormat="false" ht="15" hidden="false" customHeight="false" outlineLevel="0" collapsed="false">
      <c r="A7735" s="103"/>
      <c r="B7735" s="104"/>
      <c r="C7735" s="104"/>
      <c r="E7735" s="107" t="str">
        <f aca="false">IF($C7735="","",IFERROR(INDEX(المنيو!$C$2:$C$500,MATCH($C7735,المنيو!$B$2:$B$500,0)),0))</f>
        <v/>
      </c>
      <c r="F7735" s="107" t="str">
        <f aca="false">IF($C7735="","",$D7735*$E7735)</f>
        <v/>
      </c>
      <c r="G7735" s="107" t="str">
        <f aca="false">IF($C7735="","",$D7735*IFERROR(INDEX('تحليل التكلفة والسعر'!$C$2:$C$700,MATCH($C7735,'تحليل التكلفة والسعر'!$B$2:$B$700,0)),0))</f>
        <v/>
      </c>
    </row>
    <row r="7736" customFormat="false" ht="15" hidden="false" customHeight="false" outlineLevel="0" collapsed="false">
      <c r="A7736" s="103"/>
      <c r="B7736" s="104"/>
      <c r="C7736" s="104"/>
      <c r="E7736" s="107" t="str">
        <f aca="false">IF($C7736="","",IFERROR(INDEX(المنيو!$C$2:$C$500,MATCH($C7736,المنيو!$B$2:$B$500,0)),0))</f>
        <v/>
      </c>
      <c r="F7736" s="107" t="str">
        <f aca="false">IF($C7736="","",$D7736*$E7736)</f>
        <v/>
      </c>
      <c r="G7736" s="107" t="str">
        <f aca="false">IF($C7736="","",$D7736*IFERROR(INDEX('تحليل التكلفة والسعر'!$C$2:$C$700,MATCH($C7736,'تحليل التكلفة والسعر'!$B$2:$B$700,0)),0))</f>
        <v/>
      </c>
    </row>
    <row r="7737" customFormat="false" ht="15" hidden="false" customHeight="false" outlineLevel="0" collapsed="false">
      <c r="A7737" s="103"/>
      <c r="B7737" s="104"/>
      <c r="C7737" s="104"/>
      <c r="E7737" s="107" t="str">
        <f aca="false">IF($C7737="","",IFERROR(INDEX(المنيو!$C$2:$C$500,MATCH($C7737,المنيو!$B$2:$B$500,0)),0))</f>
        <v/>
      </c>
      <c r="F7737" s="107" t="str">
        <f aca="false">IF($C7737="","",$D7737*$E7737)</f>
        <v/>
      </c>
      <c r="G7737" s="107" t="str">
        <f aca="false">IF($C7737="","",$D7737*IFERROR(INDEX('تحليل التكلفة والسعر'!$C$2:$C$700,MATCH($C7737,'تحليل التكلفة والسعر'!$B$2:$B$700,0)),0))</f>
        <v/>
      </c>
    </row>
    <row r="7738" customFormat="false" ht="15" hidden="false" customHeight="false" outlineLevel="0" collapsed="false">
      <c r="A7738" s="103"/>
      <c r="B7738" s="104"/>
      <c r="C7738" s="104"/>
      <c r="E7738" s="107" t="str">
        <f aca="false">IF($C7738="","",IFERROR(INDEX(المنيو!$C$2:$C$500,MATCH($C7738,المنيو!$B$2:$B$500,0)),0))</f>
        <v/>
      </c>
      <c r="F7738" s="107" t="str">
        <f aca="false">IF($C7738="","",$D7738*$E7738)</f>
        <v/>
      </c>
      <c r="G7738" s="107" t="str">
        <f aca="false">IF($C7738="","",$D7738*IFERROR(INDEX('تحليل التكلفة والسعر'!$C$2:$C$700,MATCH($C7738,'تحليل التكلفة والسعر'!$B$2:$B$700,0)),0))</f>
        <v/>
      </c>
    </row>
    <row r="7739" customFormat="false" ht="15" hidden="false" customHeight="false" outlineLevel="0" collapsed="false">
      <c r="A7739" s="103"/>
      <c r="B7739" s="104"/>
      <c r="C7739" s="104"/>
      <c r="E7739" s="107" t="str">
        <f aca="false">IF($C7739="","",IFERROR(INDEX(المنيو!$C$2:$C$500,MATCH($C7739,المنيو!$B$2:$B$500,0)),0))</f>
        <v/>
      </c>
      <c r="F7739" s="107" t="str">
        <f aca="false">IF($C7739="","",$D7739*$E7739)</f>
        <v/>
      </c>
      <c r="G7739" s="107" t="str">
        <f aca="false">IF($C7739="","",$D7739*IFERROR(INDEX('تحليل التكلفة والسعر'!$C$2:$C$700,MATCH($C7739,'تحليل التكلفة والسعر'!$B$2:$B$700,0)),0))</f>
        <v/>
      </c>
    </row>
    <row r="7740" customFormat="false" ht="15" hidden="false" customHeight="false" outlineLevel="0" collapsed="false">
      <c r="A7740" s="103"/>
      <c r="B7740" s="104"/>
      <c r="C7740" s="104"/>
      <c r="E7740" s="107" t="str">
        <f aca="false">IF($C7740="","",IFERROR(INDEX(المنيو!$C$2:$C$500,MATCH($C7740,المنيو!$B$2:$B$500,0)),0))</f>
        <v/>
      </c>
      <c r="F7740" s="107" t="str">
        <f aca="false">IF($C7740="","",$D7740*$E7740)</f>
        <v/>
      </c>
      <c r="G7740" s="107" t="str">
        <f aca="false">IF($C7740="","",$D7740*IFERROR(INDEX('تحليل التكلفة والسعر'!$C$2:$C$700,MATCH($C7740,'تحليل التكلفة والسعر'!$B$2:$B$700,0)),0))</f>
        <v/>
      </c>
    </row>
    <row r="7741" customFormat="false" ht="15" hidden="false" customHeight="false" outlineLevel="0" collapsed="false">
      <c r="A7741" s="103"/>
      <c r="B7741" s="104"/>
      <c r="C7741" s="104"/>
      <c r="E7741" s="107" t="str">
        <f aca="false">IF($C7741="","",IFERROR(INDEX(المنيو!$C$2:$C$500,MATCH($C7741,المنيو!$B$2:$B$500,0)),0))</f>
        <v/>
      </c>
      <c r="F7741" s="107" t="str">
        <f aca="false">IF($C7741="","",$D7741*$E7741)</f>
        <v/>
      </c>
      <c r="G7741" s="107" t="str">
        <f aca="false">IF($C7741="","",$D7741*IFERROR(INDEX('تحليل التكلفة والسعر'!$C$2:$C$700,MATCH($C7741,'تحليل التكلفة والسعر'!$B$2:$B$700,0)),0))</f>
        <v/>
      </c>
    </row>
    <row r="7742" customFormat="false" ht="15" hidden="false" customHeight="false" outlineLevel="0" collapsed="false">
      <c r="A7742" s="103"/>
      <c r="B7742" s="104"/>
      <c r="C7742" s="104"/>
      <c r="E7742" s="107" t="str">
        <f aca="false">IF($C7742="","",IFERROR(INDEX(المنيو!$C$2:$C$500,MATCH($C7742,المنيو!$B$2:$B$500,0)),0))</f>
        <v/>
      </c>
      <c r="F7742" s="107" t="str">
        <f aca="false">IF($C7742="","",$D7742*$E7742)</f>
        <v/>
      </c>
      <c r="G7742" s="107" t="str">
        <f aca="false">IF($C7742="","",$D7742*IFERROR(INDEX('تحليل التكلفة والسعر'!$C$2:$C$700,MATCH($C7742,'تحليل التكلفة والسعر'!$B$2:$B$700,0)),0))</f>
        <v/>
      </c>
    </row>
    <row r="7743" customFormat="false" ht="15" hidden="false" customHeight="false" outlineLevel="0" collapsed="false">
      <c r="A7743" s="103"/>
      <c r="B7743" s="104"/>
      <c r="C7743" s="104"/>
      <c r="E7743" s="107" t="str">
        <f aca="false">IF($C7743="","",IFERROR(INDEX(المنيو!$C$2:$C$500,MATCH($C7743,المنيو!$B$2:$B$500,0)),0))</f>
        <v/>
      </c>
      <c r="F7743" s="107" t="str">
        <f aca="false">IF($C7743="","",$D7743*$E7743)</f>
        <v/>
      </c>
      <c r="G7743" s="107" t="str">
        <f aca="false">IF($C7743="","",$D7743*IFERROR(INDEX('تحليل التكلفة والسعر'!$C$2:$C$700,MATCH($C7743,'تحليل التكلفة والسعر'!$B$2:$B$700,0)),0))</f>
        <v/>
      </c>
    </row>
    <row r="7744" customFormat="false" ht="15" hidden="false" customHeight="false" outlineLevel="0" collapsed="false">
      <c r="A7744" s="103"/>
      <c r="B7744" s="104"/>
      <c r="C7744" s="104"/>
      <c r="E7744" s="107" t="str">
        <f aca="false">IF($C7744="","",IFERROR(INDEX(المنيو!$C$2:$C$500,MATCH($C7744,المنيو!$B$2:$B$500,0)),0))</f>
        <v/>
      </c>
      <c r="F7744" s="107" t="str">
        <f aca="false">IF($C7744="","",$D7744*$E7744)</f>
        <v/>
      </c>
      <c r="G7744" s="107" t="str">
        <f aca="false">IF($C7744="","",$D7744*IFERROR(INDEX('تحليل التكلفة والسعر'!$C$2:$C$700,MATCH($C7744,'تحليل التكلفة والسعر'!$B$2:$B$700,0)),0))</f>
        <v/>
      </c>
    </row>
    <row r="7745" customFormat="false" ht="15" hidden="false" customHeight="false" outlineLevel="0" collapsed="false">
      <c r="A7745" s="103"/>
      <c r="B7745" s="104"/>
      <c r="C7745" s="104"/>
      <c r="E7745" s="107" t="str">
        <f aca="false">IF($C7745="","",IFERROR(INDEX(المنيو!$C$2:$C$500,MATCH($C7745,المنيو!$B$2:$B$500,0)),0))</f>
        <v/>
      </c>
      <c r="F7745" s="107" t="str">
        <f aca="false">IF($C7745="","",$D7745*$E7745)</f>
        <v/>
      </c>
      <c r="G7745" s="107" t="str">
        <f aca="false">IF($C7745="","",$D7745*IFERROR(INDEX('تحليل التكلفة والسعر'!$C$2:$C$700,MATCH($C7745,'تحليل التكلفة والسعر'!$B$2:$B$700,0)),0))</f>
        <v/>
      </c>
    </row>
    <row r="7746" customFormat="false" ht="15" hidden="false" customHeight="false" outlineLevel="0" collapsed="false">
      <c r="A7746" s="103"/>
      <c r="B7746" s="104"/>
      <c r="C7746" s="104"/>
      <c r="E7746" s="107" t="str">
        <f aca="false">IF($C7746="","",IFERROR(INDEX(المنيو!$C$2:$C$500,MATCH($C7746,المنيو!$B$2:$B$500,0)),0))</f>
        <v/>
      </c>
      <c r="F7746" s="107" t="str">
        <f aca="false">IF($C7746="","",$D7746*$E7746)</f>
        <v/>
      </c>
      <c r="G7746" s="107" t="str">
        <f aca="false">IF($C7746="","",$D7746*IFERROR(INDEX('تحليل التكلفة والسعر'!$C$2:$C$700,MATCH($C7746,'تحليل التكلفة والسعر'!$B$2:$B$700,0)),0))</f>
        <v/>
      </c>
    </row>
    <row r="7747" customFormat="false" ht="15" hidden="false" customHeight="false" outlineLevel="0" collapsed="false">
      <c r="A7747" s="103"/>
      <c r="B7747" s="104"/>
      <c r="C7747" s="104"/>
      <c r="E7747" s="107" t="str">
        <f aca="false">IF($C7747="","",IFERROR(INDEX(المنيو!$C$2:$C$500,MATCH($C7747,المنيو!$B$2:$B$500,0)),0))</f>
        <v/>
      </c>
      <c r="F7747" s="107" t="str">
        <f aca="false">IF($C7747="","",$D7747*$E7747)</f>
        <v/>
      </c>
      <c r="G7747" s="107" t="str">
        <f aca="false">IF($C7747="","",$D7747*IFERROR(INDEX('تحليل التكلفة والسعر'!$C$2:$C$700,MATCH($C7747,'تحليل التكلفة والسعر'!$B$2:$B$700,0)),0))</f>
        <v/>
      </c>
    </row>
    <row r="7748" customFormat="false" ht="15" hidden="false" customHeight="false" outlineLevel="0" collapsed="false">
      <c r="A7748" s="103"/>
      <c r="B7748" s="104"/>
      <c r="C7748" s="104"/>
      <c r="E7748" s="107" t="str">
        <f aca="false">IF($C7748="","",IFERROR(INDEX(المنيو!$C$2:$C$500,MATCH($C7748,المنيو!$B$2:$B$500,0)),0))</f>
        <v/>
      </c>
      <c r="F7748" s="107" t="str">
        <f aca="false">IF($C7748="","",$D7748*$E7748)</f>
        <v/>
      </c>
      <c r="G7748" s="107" t="str">
        <f aca="false">IF($C7748="","",$D7748*IFERROR(INDEX('تحليل التكلفة والسعر'!$C$2:$C$700,MATCH($C7748,'تحليل التكلفة والسعر'!$B$2:$B$700,0)),0))</f>
        <v/>
      </c>
    </row>
    <row r="7749" customFormat="false" ht="15" hidden="false" customHeight="false" outlineLevel="0" collapsed="false">
      <c r="A7749" s="103"/>
      <c r="B7749" s="104"/>
      <c r="C7749" s="104"/>
      <c r="E7749" s="107" t="str">
        <f aca="false">IF($C7749="","",IFERROR(INDEX(المنيو!$C$2:$C$500,MATCH($C7749,المنيو!$B$2:$B$500,0)),0))</f>
        <v/>
      </c>
      <c r="F7749" s="107" t="str">
        <f aca="false">IF($C7749="","",$D7749*$E7749)</f>
        <v/>
      </c>
      <c r="G7749" s="107" t="str">
        <f aca="false">IF($C7749="","",$D7749*IFERROR(INDEX('تحليل التكلفة والسعر'!$C$2:$C$700,MATCH($C7749,'تحليل التكلفة والسعر'!$B$2:$B$700,0)),0))</f>
        <v/>
      </c>
    </row>
    <row r="7750" customFormat="false" ht="15" hidden="false" customHeight="false" outlineLevel="0" collapsed="false">
      <c r="A7750" s="103"/>
      <c r="B7750" s="104"/>
      <c r="C7750" s="104"/>
      <c r="E7750" s="107" t="str">
        <f aca="false">IF($C7750="","",IFERROR(INDEX(المنيو!$C$2:$C$500,MATCH($C7750,المنيو!$B$2:$B$500,0)),0))</f>
        <v/>
      </c>
      <c r="F7750" s="107" t="str">
        <f aca="false">IF($C7750="","",$D7750*$E7750)</f>
        <v/>
      </c>
      <c r="G7750" s="107" t="str">
        <f aca="false">IF($C7750="","",$D7750*IFERROR(INDEX('تحليل التكلفة والسعر'!$C$2:$C$700,MATCH($C7750,'تحليل التكلفة والسعر'!$B$2:$B$700,0)),0))</f>
        <v/>
      </c>
    </row>
    <row r="7751" customFormat="false" ht="15" hidden="false" customHeight="false" outlineLevel="0" collapsed="false">
      <c r="A7751" s="103"/>
      <c r="B7751" s="104"/>
      <c r="C7751" s="104"/>
      <c r="E7751" s="107" t="str">
        <f aca="false">IF($C7751="","",IFERROR(INDEX(المنيو!$C$2:$C$500,MATCH($C7751,المنيو!$B$2:$B$500,0)),0))</f>
        <v/>
      </c>
      <c r="F7751" s="107" t="str">
        <f aca="false">IF($C7751="","",$D7751*$E7751)</f>
        <v/>
      </c>
      <c r="G7751" s="107" t="str">
        <f aca="false">IF($C7751="","",$D7751*IFERROR(INDEX('تحليل التكلفة والسعر'!$C$2:$C$700,MATCH($C7751,'تحليل التكلفة والسعر'!$B$2:$B$700,0)),0))</f>
        <v/>
      </c>
    </row>
    <row r="7752" customFormat="false" ht="15" hidden="false" customHeight="false" outlineLevel="0" collapsed="false">
      <c r="A7752" s="103"/>
      <c r="B7752" s="104"/>
      <c r="C7752" s="104"/>
      <c r="E7752" s="107" t="str">
        <f aca="false">IF($C7752="","",IFERROR(INDEX(المنيو!$C$2:$C$500,MATCH($C7752,المنيو!$B$2:$B$500,0)),0))</f>
        <v/>
      </c>
      <c r="F7752" s="107" t="str">
        <f aca="false">IF($C7752="","",$D7752*$E7752)</f>
        <v/>
      </c>
      <c r="G7752" s="107" t="str">
        <f aca="false">IF($C7752="","",$D7752*IFERROR(INDEX('تحليل التكلفة والسعر'!$C$2:$C$700,MATCH($C7752,'تحليل التكلفة والسعر'!$B$2:$B$700,0)),0))</f>
        <v/>
      </c>
    </row>
    <row r="7753" customFormat="false" ht="15" hidden="false" customHeight="false" outlineLevel="0" collapsed="false">
      <c r="A7753" s="103"/>
      <c r="B7753" s="104"/>
      <c r="C7753" s="104"/>
      <c r="E7753" s="107" t="str">
        <f aca="false">IF($C7753="","",IFERROR(INDEX(المنيو!$C$2:$C$500,MATCH($C7753,المنيو!$B$2:$B$500,0)),0))</f>
        <v/>
      </c>
      <c r="F7753" s="107" t="str">
        <f aca="false">IF($C7753="","",$D7753*$E7753)</f>
        <v/>
      </c>
      <c r="G7753" s="107" t="str">
        <f aca="false">IF($C7753="","",$D7753*IFERROR(INDEX('تحليل التكلفة والسعر'!$C$2:$C$700,MATCH($C7753,'تحليل التكلفة والسعر'!$B$2:$B$700,0)),0))</f>
        <v/>
      </c>
    </row>
    <row r="7754" customFormat="false" ht="15" hidden="false" customHeight="false" outlineLevel="0" collapsed="false">
      <c r="A7754" s="103"/>
      <c r="B7754" s="104"/>
      <c r="C7754" s="104"/>
      <c r="E7754" s="107" t="str">
        <f aca="false">IF($C7754="","",IFERROR(INDEX(المنيو!$C$2:$C$500,MATCH($C7754,المنيو!$B$2:$B$500,0)),0))</f>
        <v/>
      </c>
      <c r="F7754" s="107" t="str">
        <f aca="false">IF($C7754="","",$D7754*$E7754)</f>
        <v/>
      </c>
      <c r="G7754" s="107" t="str">
        <f aca="false">IF($C7754="","",$D7754*IFERROR(INDEX('تحليل التكلفة والسعر'!$C$2:$C$700,MATCH($C7754,'تحليل التكلفة والسعر'!$B$2:$B$700,0)),0))</f>
        <v/>
      </c>
    </row>
    <row r="7755" customFormat="false" ht="15" hidden="false" customHeight="false" outlineLevel="0" collapsed="false">
      <c r="A7755" s="103"/>
      <c r="B7755" s="104"/>
      <c r="C7755" s="104"/>
      <c r="E7755" s="107" t="str">
        <f aca="false">IF($C7755="","",IFERROR(INDEX(المنيو!$C$2:$C$500,MATCH($C7755,المنيو!$B$2:$B$500,0)),0))</f>
        <v/>
      </c>
      <c r="F7755" s="107" t="str">
        <f aca="false">IF($C7755="","",$D7755*$E7755)</f>
        <v/>
      </c>
      <c r="G7755" s="107" t="str">
        <f aca="false">IF($C7755="","",$D7755*IFERROR(INDEX('تحليل التكلفة والسعر'!$C$2:$C$700,MATCH($C7755,'تحليل التكلفة والسعر'!$B$2:$B$700,0)),0))</f>
        <v/>
      </c>
    </row>
    <row r="7756" customFormat="false" ht="15" hidden="false" customHeight="false" outlineLevel="0" collapsed="false">
      <c r="A7756" s="103"/>
      <c r="B7756" s="104"/>
      <c r="C7756" s="104"/>
      <c r="E7756" s="107" t="str">
        <f aca="false">IF($C7756="","",IFERROR(INDEX(المنيو!$C$2:$C$500,MATCH($C7756,المنيو!$B$2:$B$500,0)),0))</f>
        <v/>
      </c>
      <c r="F7756" s="107" t="str">
        <f aca="false">IF($C7756="","",$D7756*$E7756)</f>
        <v/>
      </c>
      <c r="G7756" s="107" t="str">
        <f aca="false">IF($C7756="","",$D7756*IFERROR(INDEX('تحليل التكلفة والسعر'!$C$2:$C$700,MATCH($C7756,'تحليل التكلفة والسعر'!$B$2:$B$700,0)),0))</f>
        <v/>
      </c>
    </row>
    <row r="7757" customFormat="false" ht="15" hidden="false" customHeight="false" outlineLevel="0" collapsed="false">
      <c r="A7757" s="103"/>
      <c r="B7757" s="104"/>
      <c r="C7757" s="104"/>
      <c r="E7757" s="107" t="str">
        <f aca="false">IF($C7757="","",IFERROR(INDEX(المنيو!$C$2:$C$500,MATCH($C7757,المنيو!$B$2:$B$500,0)),0))</f>
        <v/>
      </c>
      <c r="F7757" s="107" t="str">
        <f aca="false">IF($C7757="","",$D7757*$E7757)</f>
        <v/>
      </c>
      <c r="G7757" s="107" t="str">
        <f aca="false">IF($C7757="","",$D7757*IFERROR(INDEX('تحليل التكلفة والسعر'!$C$2:$C$700,MATCH($C7757,'تحليل التكلفة والسعر'!$B$2:$B$700,0)),0))</f>
        <v/>
      </c>
    </row>
    <row r="7758" customFormat="false" ht="15" hidden="false" customHeight="false" outlineLevel="0" collapsed="false">
      <c r="A7758" s="103"/>
      <c r="B7758" s="104"/>
      <c r="C7758" s="104"/>
      <c r="E7758" s="107" t="str">
        <f aca="false">IF($C7758="","",IFERROR(INDEX(المنيو!$C$2:$C$500,MATCH($C7758,المنيو!$B$2:$B$500,0)),0))</f>
        <v/>
      </c>
      <c r="F7758" s="107" t="str">
        <f aca="false">IF($C7758="","",$D7758*$E7758)</f>
        <v/>
      </c>
      <c r="G7758" s="107" t="str">
        <f aca="false">IF($C7758="","",$D7758*IFERROR(INDEX('تحليل التكلفة والسعر'!$C$2:$C$700,MATCH($C7758,'تحليل التكلفة والسعر'!$B$2:$B$700,0)),0))</f>
        <v/>
      </c>
    </row>
    <row r="7759" customFormat="false" ht="15" hidden="false" customHeight="false" outlineLevel="0" collapsed="false">
      <c r="A7759" s="103"/>
      <c r="B7759" s="104"/>
      <c r="C7759" s="104"/>
      <c r="E7759" s="107" t="str">
        <f aca="false">IF($C7759="","",IFERROR(INDEX(المنيو!$C$2:$C$500,MATCH($C7759,المنيو!$B$2:$B$500,0)),0))</f>
        <v/>
      </c>
      <c r="F7759" s="107" t="str">
        <f aca="false">IF($C7759="","",$D7759*$E7759)</f>
        <v/>
      </c>
      <c r="G7759" s="107" t="str">
        <f aca="false">IF($C7759="","",$D7759*IFERROR(INDEX('تحليل التكلفة والسعر'!$C$2:$C$700,MATCH($C7759,'تحليل التكلفة والسعر'!$B$2:$B$700,0)),0))</f>
        <v/>
      </c>
    </row>
    <row r="7760" customFormat="false" ht="15" hidden="false" customHeight="false" outlineLevel="0" collapsed="false">
      <c r="A7760" s="103"/>
      <c r="B7760" s="104"/>
      <c r="C7760" s="104"/>
      <c r="E7760" s="107" t="str">
        <f aca="false">IF($C7760="","",IFERROR(INDEX(المنيو!$C$2:$C$500,MATCH($C7760,المنيو!$B$2:$B$500,0)),0))</f>
        <v/>
      </c>
      <c r="F7760" s="107" t="str">
        <f aca="false">IF($C7760="","",$D7760*$E7760)</f>
        <v/>
      </c>
      <c r="G7760" s="107" t="str">
        <f aca="false">IF($C7760="","",$D7760*IFERROR(INDEX('تحليل التكلفة والسعر'!$C$2:$C$700,MATCH($C7760,'تحليل التكلفة والسعر'!$B$2:$B$700,0)),0))</f>
        <v/>
      </c>
    </row>
    <row r="7761" customFormat="false" ht="15" hidden="false" customHeight="false" outlineLevel="0" collapsed="false">
      <c r="A7761" s="103"/>
      <c r="B7761" s="104"/>
      <c r="C7761" s="104"/>
      <c r="E7761" s="107" t="str">
        <f aca="false">IF($C7761="","",IFERROR(INDEX(المنيو!$C$2:$C$500,MATCH($C7761,المنيو!$B$2:$B$500,0)),0))</f>
        <v/>
      </c>
      <c r="F7761" s="107" t="str">
        <f aca="false">IF($C7761="","",$D7761*$E7761)</f>
        <v/>
      </c>
      <c r="G7761" s="107" t="str">
        <f aca="false">IF($C7761="","",$D7761*IFERROR(INDEX('تحليل التكلفة والسعر'!$C$2:$C$700,MATCH($C7761,'تحليل التكلفة والسعر'!$B$2:$B$700,0)),0))</f>
        <v/>
      </c>
    </row>
    <row r="7762" customFormat="false" ht="15" hidden="false" customHeight="false" outlineLevel="0" collapsed="false">
      <c r="A7762" s="103"/>
      <c r="B7762" s="104"/>
      <c r="C7762" s="104"/>
      <c r="E7762" s="107" t="str">
        <f aca="false">IF($C7762="","",IFERROR(INDEX(المنيو!$C$2:$C$500,MATCH($C7762,المنيو!$B$2:$B$500,0)),0))</f>
        <v/>
      </c>
      <c r="F7762" s="107" t="str">
        <f aca="false">IF($C7762="","",$D7762*$E7762)</f>
        <v/>
      </c>
      <c r="G7762" s="107" t="str">
        <f aca="false">IF($C7762="","",$D7762*IFERROR(INDEX('تحليل التكلفة والسعر'!$C$2:$C$700,MATCH($C7762,'تحليل التكلفة والسعر'!$B$2:$B$700,0)),0))</f>
        <v/>
      </c>
    </row>
    <row r="7763" customFormat="false" ht="15" hidden="false" customHeight="false" outlineLevel="0" collapsed="false">
      <c r="A7763" s="103"/>
      <c r="B7763" s="104"/>
      <c r="C7763" s="104"/>
      <c r="E7763" s="107" t="str">
        <f aca="false">IF($C7763="","",IFERROR(INDEX(المنيو!$C$2:$C$500,MATCH($C7763,المنيو!$B$2:$B$500,0)),0))</f>
        <v/>
      </c>
      <c r="F7763" s="107" t="str">
        <f aca="false">IF($C7763="","",$D7763*$E7763)</f>
        <v/>
      </c>
      <c r="G7763" s="107" t="str">
        <f aca="false">IF($C7763="","",$D7763*IFERROR(INDEX('تحليل التكلفة والسعر'!$C$2:$C$700,MATCH($C7763,'تحليل التكلفة والسعر'!$B$2:$B$700,0)),0))</f>
        <v/>
      </c>
    </row>
    <row r="7764" customFormat="false" ht="15" hidden="false" customHeight="false" outlineLevel="0" collapsed="false">
      <c r="A7764" s="103"/>
      <c r="B7764" s="104"/>
      <c r="C7764" s="104"/>
      <c r="E7764" s="107" t="str">
        <f aca="false">IF($C7764="","",IFERROR(INDEX(المنيو!$C$2:$C$500,MATCH($C7764,المنيو!$B$2:$B$500,0)),0))</f>
        <v/>
      </c>
      <c r="F7764" s="107" t="str">
        <f aca="false">IF($C7764="","",$D7764*$E7764)</f>
        <v/>
      </c>
      <c r="G7764" s="107" t="str">
        <f aca="false">IF($C7764="","",$D7764*IFERROR(INDEX('تحليل التكلفة والسعر'!$C$2:$C$700,MATCH($C7764,'تحليل التكلفة والسعر'!$B$2:$B$700,0)),0))</f>
        <v/>
      </c>
    </row>
    <row r="7765" customFormat="false" ht="15" hidden="false" customHeight="false" outlineLevel="0" collapsed="false">
      <c r="A7765" s="103"/>
      <c r="B7765" s="104"/>
      <c r="C7765" s="104"/>
      <c r="E7765" s="107" t="str">
        <f aca="false">IF($C7765="","",IFERROR(INDEX(المنيو!$C$2:$C$500,MATCH($C7765,المنيو!$B$2:$B$500,0)),0))</f>
        <v/>
      </c>
      <c r="F7765" s="107" t="str">
        <f aca="false">IF($C7765="","",$D7765*$E7765)</f>
        <v/>
      </c>
      <c r="G7765" s="107" t="str">
        <f aca="false">IF($C7765="","",$D7765*IFERROR(INDEX('تحليل التكلفة والسعر'!$C$2:$C$700,MATCH($C7765,'تحليل التكلفة والسعر'!$B$2:$B$700,0)),0))</f>
        <v/>
      </c>
    </row>
    <row r="7766" customFormat="false" ht="15" hidden="false" customHeight="false" outlineLevel="0" collapsed="false">
      <c r="A7766" s="103"/>
      <c r="B7766" s="104"/>
      <c r="C7766" s="104"/>
      <c r="E7766" s="107" t="str">
        <f aca="false">IF($C7766="","",IFERROR(INDEX(المنيو!$C$2:$C$500,MATCH($C7766,المنيو!$B$2:$B$500,0)),0))</f>
        <v/>
      </c>
      <c r="F7766" s="107" t="str">
        <f aca="false">IF($C7766="","",$D7766*$E7766)</f>
        <v/>
      </c>
      <c r="G7766" s="107" t="str">
        <f aca="false">IF($C7766="","",$D7766*IFERROR(INDEX('تحليل التكلفة والسعر'!$C$2:$C$700,MATCH($C7766,'تحليل التكلفة والسعر'!$B$2:$B$700,0)),0))</f>
        <v/>
      </c>
    </row>
    <row r="7767" customFormat="false" ht="15" hidden="false" customHeight="false" outlineLevel="0" collapsed="false">
      <c r="A7767" s="103"/>
      <c r="B7767" s="104"/>
      <c r="C7767" s="104"/>
      <c r="E7767" s="107" t="str">
        <f aca="false">IF($C7767="","",IFERROR(INDEX(المنيو!$C$2:$C$500,MATCH($C7767,المنيو!$B$2:$B$500,0)),0))</f>
        <v/>
      </c>
      <c r="F7767" s="107" t="str">
        <f aca="false">IF($C7767="","",$D7767*$E7767)</f>
        <v/>
      </c>
      <c r="G7767" s="107" t="str">
        <f aca="false">IF($C7767="","",$D7767*IFERROR(INDEX('تحليل التكلفة والسعر'!$C$2:$C$700,MATCH($C7767,'تحليل التكلفة والسعر'!$B$2:$B$700,0)),0))</f>
        <v/>
      </c>
    </row>
    <row r="7768" customFormat="false" ht="15" hidden="false" customHeight="false" outlineLevel="0" collapsed="false">
      <c r="A7768" s="103"/>
      <c r="B7768" s="104"/>
      <c r="C7768" s="104"/>
      <c r="E7768" s="107" t="str">
        <f aca="false">IF($C7768="","",IFERROR(INDEX(المنيو!$C$2:$C$500,MATCH($C7768,المنيو!$B$2:$B$500,0)),0))</f>
        <v/>
      </c>
      <c r="F7768" s="107" t="str">
        <f aca="false">IF($C7768="","",$D7768*$E7768)</f>
        <v/>
      </c>
      <c r="G7768" s="107" t="str">
        <f aca="false">IF($C7768="","",$D7768*IFERROR(INDEX('تحليل التكلفة والسعر'!$C$2:$C$700,MATCH($C7768,'تحليل التكلفة والسعر'!$B$2:$B$700,0)),0))</f>
        <v/>
      </c>
    </row>
    <row r="7769" customFormat="false" ht="15" hidden="false" customHeight="false" outlineLevel="0" collapsed="false">
      <c r="A7769" s="103"/>
      <c r="B7769" s="104"/>
      <c r="C7769" s="104"/>
      <c r="E7769" s="107" t="str">
        <f aca="false">IF($C7769="","",IFERROR(INDEX(المنيو!$C$2:$C$500,MATCH($C7769,المنيو!$B$2:$B$500,0)),0))</f>
        <v/>
      </c>
      <c r="F7769" s="107" t="str">
        <f aca="false">IF($C7769="","",$D7769*$E7769)</f>
        <v/>
      </c>
      <c r="G7769" s="107" t="str">
        <f aca="false">IF($C7769="","",$D7769*IFERROR(INDEX('تحليل التكلفة والسعر'!$C$2:$C$700,MATCH($C7769,'تحليل التكلفة والسعر'!$B$2:$B$700,0)),0))</f>
        <v/>
      </c>
    </row>
    <row r="7770" customFormat="false" ht="15" hidden="false" customHeight="false" outlineLevel="0" collapsed="false">
      <c r="A7770" s="103"/>
      <c r="B7770" s="104"/>
      <c r="C7770" s="104"/>
      <c r="E7770" s="107" t="str">
        <f aca="false">IF($C7770="","",IFERROR(INDEX(المنيو!$C$2:$C$500,MATCH($C7770,المنيو!$B$2:$B$500,0)),0))</f>
        <v/>
      </c>
      <c r="F7770" s="107" t="str">
        <f aca="false">IF($C7770="","",$D7770*$E7770)</f>
        <v/>
      </c>
      <c r="G7770" s="107" t="str">
        <f aca="false">IF($C7770="","",$D7770*IFERROR(INDEX('تحليل التكلفة والسعر'!$C$2:$C$700,MATCH($C7770,'تحليل التكلفة والسعر'!$B$2:$B$700,0)),0))</f>
        <v/>
      </c>
    </row>
    <row r="7771" customFormat="false" ht="15" hidden="false" customHeight="false" outlineLevel="0" collapsed="false">
      <c r="A7771" s="103"/>
      <c r="B7771" s="104"/>
      <c r="C7771" s="104"/>
      <c r="E7771" s="107" t="str">
        <f aca="false">IF($C7771="","",IFERROR(INDEX(المنيو!$C$2:$C$500,MATCH($C7771,المنيو!$B$2:$B$500,0)),0))</f>
        <v/>
      </c>
      <c r="F7771" s="107" t="str">
        <f aca="false">IF($C7771="","",$D7771*$E7771)</f>
        <v/>
      </c>
      <c r="G7771" s="107" t="str">
        <f aca="false">IF($C7771="","",$D7771*IFERROR(INDEX('تحليل التكلفة والسعر'!$C$2:$C$700,MATCH($C7771,'تحليل التكلفة والسعر'!$B$2:$B$700,0)),0))</f>
        <v/>
      </c>
    </row>
    <row r="7772" customFormat="false" ht="15" hidden="false" customHeight="false" outlineLevel="0" collapsed="false">
      <c r="A7772" s="103"/>
      <c r="B7772" s="104"/>
      <c r="C7772" s="104"/>
      <c r="E7772" s="107" t="str">
        <f aca="false">IF($C7772="","",IFERROR(INDEX(المنيو!$C$2:$C$500,MATCH($C7772,المنيو!$B$2:$B$500,0)),0))</f>
        <v/>
      </c>
      <c r="F7772" s="107" t="str">
        <f aca="false">IF($C7772="","",$D7772*$E7772)</f>
        <v/>
      </c>
      <c r="G7772" s="107" t="str">
        <f aca="false">IF($C7772="","",$D7772*IFERROR(INDEX('تحليل التكلفة والسعر'!$C$2:$C$700,MATCH($C7772,'تحليل التكلفة والسعر'!$B$2:$B$700,0)),0))</f>
        <v/>
      </c>
    </row>
    <row r="7773" customFormat="false" ht="15" hidden="false" customHeight="false" outlineLevel="0" collapsed="false">
      <c r="A7773" s="103"/>
      <c r="B7773" s="104"/>
      <c r="C7773" s="104"/>
      <c r="E7773" s="107" t="str">
        <f aca="false">IF($C7773="","",IFERROR(INDEX(المنيو!$C$2:$C$500,MATCH($C7773,المنيو!$B$2:$B$500,0)),0))</f>
        <v/>
      </c>
      <c r="F7773" s="107" t="str">
        <f aca="false">IF($C7773="","",$D7773*$E7773)</f>
        <v/>
      </c>
      <c r="G7773" s="107" t="str">
        <f aca="false">IF($C7773="","",$D7773*IFERROR(INDEX('تحليل التكلفة والسعر'!$C$2:$C$700,MATCH($C7773,'تحليل التكلفة والسعر'!$B$2:$B$700,0)),0))</f>
        <v/>
      </c>
    </row>
    <row r="7774" customFormat="false" ht="15" hidden="false" customHeight="false" outlineLevel="0" collapsed="false">
      <c r="A7774" s="103"/>
      <c r="B7774" s="104"/>
      <c r="C7774" s="104"/>
      <c r="E7774" s="107" t="str">
        <f aca="false">IF($C7774="","",IFERROR(INDEX(المنيو!$C$2:$C$500,MATCH($C7774,المنيو!$B$2:$B$500,0)),0))</f>
        <v/>
      </c>
      <c r="F7774" s="107" t="str">
        <f aca="false">IF($C7774="","",$D7774*$E7774)</f>
        <v/>
      </c>
      <c r="G7774" s="107" t="str">
        <f aca="false">IF($C7774="","",$D7774*IFERROR(INDEX('تحليل التكلفة والسعر'!$C$2:$C$700,MATCH($C7774,'تحليل التكلفة والسعر'!$B$2:$B$700,0)),0))</f>
        <v/>
      </c>
    </row>
    <row r="7775" customFormat="false" ht="15" hidden="false" customHeight="false" outlineLevel="0" collapsed="false">
      <c r="A7775" s="103"/>
      <c r="B7775" s="104"/>
      <c r="C7775" s="104"/>
      <c r="E7775" s="107" t="str">
        <f aca="false">IF($C7775="","",IFERROR(INDEX(المنيو!$C$2:$C$500,MATCH($C7775,المنيو!$B$2:$B$500,0)),0))</f>
        <v/>
      </c>
      <c r="F7775" s="107" t="str">
        <f aca="false">IF($C7775="","",$D7775*$E7775)</f>
        <v/>
      </c>
      <c r="G7775" s="107" t="str">
        <f aca="false">IF($C7775="","",$D7775*IFERROR(INDEX('تحليل التكلفة والسعر'!$C$2:$C$700,MATCH($C7775,'تحليل التكلفة والسعر'!$B$2:$B$700,0)),0))</f>
        <v/>
      </c>
    </row>
    <row r="7776" customFormat="false" ht="15" hidden="false" customHeight="false" outlineLevel="0" collapsed="false">
      <c r="A7776" s="103"/>
      <c r="B7776" s="104"/>
      <c r="C7776" s="104"/>
      <c r="E7776" s="107" t="str">
        <f aca="false">IF($C7776="","",IFERROR(INDEX(المنيو!$C$2:$C$500,MATCH($C7776,المنيو!$B$2:$B$500,0)),0))</f>
        <v/>
      </c>
      <c r="F7776" s="107" t="str">
        <f aca="false">IF($C7776="","",$D7776*$E7776)</f>
        <v/>
      </c>
      <c r="G7776" s="107" t="str">
        <f aca="false">IF($C7776="","",$D7776*IFERROR(INDEX('تحليل التكلفة والسعر'!$C$2:$C$700,MATCH($C7776,'تحليل التكلفة والسعر'!$B$2:$B$700,0)),0))</f>
        <v/>
      </c>
    </row>
    <row r="7777" customFormat="false" ht="15" hidden="false" customHeight="false" outlineLevel="0" collapsed="false">
      <c r="A7777" s="103"/>
      <c r="B7777" s="104"/>
      <c r="C7777" s="104"/>
      <c r="E7777" s="107" t="str">
        <f aca="false">IF($C7777="","",IFERROR(INDEX(المنيو!$C$2:$C$500,MATCH($C7777,المنيو!$B$2:$B$500,0)),0))</f>
        <v/>
      </c>
      <c r="F7777" s="107" t="str">
        <f aca="false">IF($C7777="","",$D7777*$E7777)</f>
        <v/>
      </c>
      <c r="G7777" s="107" t="str">
        <f aca="false">IF($C7777="","",$D7777*IFERROR(INDEX('تحليل التكلفة والسعر'!$C$2:$C$700,MATCH($C7777,'تحليل التكلفة والسعر'!$B$2:$B$700,0)),0))</f>
        <v/>
      </c>
    </row>
    <row r="7778" customFormat="false" ht="15" hidden="false" customHeight="false" outlineLevel="0" collapsed="false">
      <c r="A7778" s="103"/>
      <c r="B7778" s="104"/>
      <c r="C7778" s="104"/>
      <c r="E7778" s="107" t="str">
        <f aca="false">IF($C7778="","",IFERROR(INDEX(المنيو!$C$2:$C$500,MATCH($C7778,المنيو!$B$2:$B$500,0)),0))</f>
        <v/>
      </c>
      <c r="F7778" s="107" t="str">
        <f aca="false">IF($C7778="","",$D7778*$E7778)</f>
        <v/>
      </c>
      <c r="G7778" s="107" t="str">
        <f aca="false">IF($C7778="","",$D7778*IFERROR(INDEX('تحليل التكلفة والسعر'!$C$2:$C$700,MATCH($C7778,'تحليل التكلفة والسعر'!$B$2:$B$700,0)),0))</f>
        <v/>
      </c>
    </row>
    <row r="7779" customFormat="false" ht="15" hidden="false" customHeight="false" outlineLevel="0" collapsed="false">
      <c r="A7779" s="103"/>
      <c r="B7779" s="104"/>
      <c r="C7779" s="104"/>
      <c r="E7779" s="107" t="str">
        <f aca="false">IF($C7779="","",IFERROR(INDEX(المنيو!$C$2:$C$500,MATCH($C7779,المنيو!$B$2:$B$500,0)),0))</f>
        <v/>
      </c>
      <c r="F7779" s="107" t="str">
        <f aca="false">IF($C7779="","",$D7779*$E7779)</f>
        <v/>
      </c>
      <c r="G7779" s="107" t="str">
        <f aca="false">IF($C7779="","",$D7779*IFERROR(INDEX('تحليل التكلفة والسعر'!$C$2:$C$700,MATCH($C7779,'تحليل التكلفة والسعر'!$B$2:$B$700,0)),0))</f>
        <v/>
      </c>
    </row>
    <row r="7780" customFormat="false" ht="15" hidden="false" customHeight="false" outlineLevel="0" collapsed="false">
      <c r="A7780" s="103"/>
      <c r="B7780" s="104"/>
      <c r="C7780" s="104"/>
      <c r="E7780" s="107" t="str">
        <f aca="false">IF($C7780="","",IFERROR(INDEX(المنيو!$C$2:$C$500,MATCH($C7780,المنيو!$B$2:$B$500,0)),0))</f>
        <v/>
      </c>
      <c r="F7780" s="107" t="str">
        <f aca="false">IF($C7780="","",$D7780*$E7780)</f>
        <v/>
      </c>
      <c r="G7780" s="107" t="str">
        <f aca="false">IF($C7780="","",$D7780*IFERROR(INDEX('تحليل التكلفة والسعر'!$C$2:$C$700,MATCH($C7780,'تحليل التكلفة والسعر'!$B$2:$B$700,0)),0))</f>
        <v/>
      </c>
    </row>
    <row r="7781" customFormat="false" ht="15" hidden="false" customHeight="false" outlineLevel="0" collapsed="false">
      <c r="A7781" s="103"/>
      <c r="B7781" s="104"/>
      <c r="C7781" s="104"/>
      <c r="E7781" s="107" t="str">
        <f aca="false">IF($C7781="","",IFERROR(INDEX(المنيو!$C$2:$C$500,MATCH($C7781,المنيو!$B$2:$B$500,0)),0))</f>
        <v/>
      </c>
      <c r="F7781" s="107" t="str">
        <f aca="false">IF($C7781="","",$D7781*$E7781)</f>
        <v/>
      </c>
      <c r="G7781" s="107" t="str">
        <f aca="false">IF($C7781="","",$D7781*IFERROR(INDEX('تحليل التكلفة والسعر'!$C$2:$C$700,MATCH($C7781,'تحليل التكلفة والسعر'!$B$2:$B$700,0)),0))</f>
        <v/>
      </c>
    </row>
    <row r="7782" customFormat="false" ht="15" hidden="false" customHeight="false" outlineLevel="0" collapsed="false">
      <c r="A7782" s="103"/>
      <c r="B7782" s="104"/>
      <c r="C7782" s="104"/>
      <c r="E7782" s="107" t="str">
        <f aca="false">IF($C7782="","",IFERROR(INDEX(المنيو!$C$2:$C$500,MATCH($C7782,المنيو!$B$2:$B$500,0)),0))</f>
        <v/>
      </c>
      <c r="F7782" s="107" t="str">
        <f aca="false">IF($C7782="","",$D7782*$E7782)</f>
        <v/>
      </c>
      <c r="G7782" s="107" t="str">
        <f aca="false">IF($C7782="","",$D7782*IFERROR(INDEX('تحليل التكلفة والسعر'!$C$2:$C$700,MATCH($C7782,'تحليل التكلفة والسعر'!$B$2:$B$700,0)),0))</f>
        <v/>
      </c>
    </row>
    <row r="7783" customFormat="false" ht="15" hidden="false" customHeight="false" outlineLevel="0" collapsed="false">
      <c r="A7783" s="103"/>
      <c r="B7783" s="104"/>
      <c r="C7783" s="104"/>
      <c r="E7783" s="107" t="str">
        <f aca="false">IF($C7783="","",IFERROR(INDEX(المنيو!$C$2:$C$500,MATCH($C7783,المنيو!$B$2:$B$500,0)),0))</f>
        <v/>
      </c>
      <c r="F7783" s="107" t="str">
        <f aca="false">IF($C7783="","",$D7783*$E7783)</f>
        <v/>
      </c>
      <c r="G7783" s="107" t="str">
        <f aca="false">IF($C7783="","",$D7783*IFERROR(INDEX('تحليل التكلفة والسعر'!$C$2:$C$700,MATCH($C7783,'تحليل التكلفة والسعر'!$B$2:$B$700,0)),0))</f>
        <v/>
      </c>
    </row>
    <row r="7784" customFormat="false" ht="15" hidden="false" customHeight="false" outlineLevel="0" collapsed="false">
      <c r="A7784" s="103"/>
      <c r="B7784" s="104"/>
      <c r="C7784" s="104"/>
      <c r="E7784" s="107" t="str">
        <f aca="false">IF($C7784="","",IFERROR(INDEX(المنيو!$C$2:$C$500,MATCH($C7784,المنيو!$B$2:$B$500,0)),0))</f>
        <v/>
      </c>
      <c r="F7784" s="107" t="str">
        <f aca="false">IF($C7784="","",$D7784*$E7784)</f>
        <v/>
      </c>
      <c r="G7784" s="107" t="str">
        <f aca="false">IF($C7784="","",$D7784*IFERROR(INDEX('تحليل التكلفة والسعر'!$C$2:$C$700,MATCH($C7784,'تحليل التكلفة والسعر'!$B$2:$B$700,0)),0))</f>
        <v/>
      </c>
    </row>
    <row r="7785" customFormat="false" ht="15" hidden="false" customHeight="false" outlineLevel="0" collapsed="false">
      <c r="A7785" s="103"/>
      <c r="B7785" s="104"/>
      <c r="C7785" s="104"/>
      <c r="E7785" s="107" t="str">
        <f aca="false">IF($C7785="","",IFERROR(INDEX(المنيو!$C$2:$C$500,MATCH($C7785,المنيو!$B$2:$B$500,0)),0))</f>
        <v/>
      </c>
      <c r="F7785" s="107" t="str">
        <f aca="false">IF($C7785="","",$D7785*$E7785)</f>
        <v/>
      </c>
      <c r="G7785" s="107" t="str">
        <f aca="false">IF($C7785="","",$D7785*IFERROR(INDEX('تحليل التكلفة والسعر'!$C$2:$C$700,MATCH($C7785,'تحليل التكلفة والسعر'!$B$2:$B$700,0)),0))</f>
        <v/>
      </c>
    </row>
    <row r="7786" customFormat="false" ht="15" hidden="false" customHeight="false" outlineLevel="0" collapsed="false">
      <c r="A7786" s="103"/>
      <c r="B7786" s="104"/>
      <c r="C7786" s="104"/>
      <c r="E7786" s="107" t="str">
        <f aca="false">IF($C7786="","",IFERROR(INDEX(المنيو!$C$2:$C$500,MATCH($C7786,المنيو!$B$2:$B$500,0)),0))</f>
        <v/>
      </c>
      <c r="F7786" s="107" t="str">
        <f aca="false">IF($C7786="","",$D7786*$E7786)</f>
        <v/>
      </c>
      <c r="G7786" s="107" t="str">
        <f aca="false">IF($C7786="","",$D7786*IFERROR(INDEX('تحليل التكلفة والسعر'!$C$2:$C$700,MATCH($C7786,'تحليل التكلفة والسعر'!$B$2:$B$700,0)),0))</f>
        <v/>
      </c>
    </row>
    <row r="7787" customFormat="false" ht="15" hidden="false" customHeight="false" outlineLevel="0" collapsed="false">
      <c r="A7787" s="103"/>
      <c r="B7787" s="104"/>
      <c r="C7787" s="104"/>
      <c r="E7787" s="107" t="str">
        <f aca="false">IF($C7787="","",IFERROR(INDEX(المنيو!$C$2:$C$500,MATCH($C7787,المنيو!$B$2:$B$500,0)),0))</f>
        <v/>
      </c>
      <c r="F7787" s="107" t="str">
        <f aca="false">IF($C7787="","",$D7787*$E7787)</f>
        <v/>
      </c>
      <c r="G7787" s="107" t="str">
        <f aca="false">IF($C7787="","",$D7787*IFERROR(INDEX('تحليل التكلفة والسعر'!$C$2:$C$700,MATCH($C7787,'تحليل التكلفة والسعر'!$B$2:$B$700,0)),0))</f>
        <v/>
      </c>
    </row>
    <row r="7788" customFormat="false" ht="15" hidden="false" customHeight="false" outlineLevel="0" collapsed="false">
      <c r="A7788" s="103"/>
      <c r="B7788" s="104"/>
      <c r="C7788" s="104"/>
      <c r="E7788" s="107" t="str">
        <f aca="false">IF($C7788="","",IFERROR(INDEX(المنيو!$C$2:$C$500,MATCH($C7788,المنيو!$B$2:$B$500,0)),0))</f>
        <v/>
      </c>
      <c r="F7788" s="107" t="str">
        <f aca="false">IF($C7788="","",$D7788*$E7788)</f>
        <v/>
      </c>
      <c r="G7788" s="107" t="str">
        <f aca="false">IF($C7788="","",$D7788*IFERROR(INDEX('تحليل التكلفة والسعر'!$C$2:$C$700,MATCH($C7788,'تحليل التكلفة والسعر'!$B$2:$B$700,0)),0))</f>
        <v/>
      </c>
    </row>
    <row r="7789" customFormat="false" ht="15" hidden="false" customHeight="false" outlineLevel="0" collapsed="false">
      <c r="A7789" s="103"/>
      <c r="B7789" s="104"/>
      <c r="C7789" s="104"/>
      <c r="E7789" s="107" t="str">
        <f aca="false">IF($C7789="","",IFERROR(INDEX(المنيو!$C$2:$C$500,MATCH($C7789,المنيو!$B$2:$B$500,0)),0))</f>
        <v/>
      </c>
      <c r="F7789" s="107" t="str">
        <f aca="false">IF($C7789="","",$D7789*$E7789)</f>
        <v/>
      </c>
      <c r="G7789" s="107" t="str">
        <f aca="false">IF($C7789="","",$D7789*IFERROR(INDEX('تحليل التكلفة والسعر'!$C$2:$C$700,MATCH($C7789,'تحليل التكلفة والسعر'!$B$2:$B$700,0)),0))</f>
        <v/>
      </c>
    </row>
    <row r="7790" customFormat="false" ht="15" hidden="false" customHeight="false" outlineLevel="0" collapsed="false">
      <c r="A7790" s="103"/>
      <c r="B7790" s="104"/>
      <c r="C7790" s="104"/>
      <c r="E7790" s="107" t="str">
        <f aca="false">IF($C7790="","",IFERROR(INDEX(المنيو!$C$2:$C$500,MATCH($C7790,المنيو!$B$2:$B$500,0)),0))</f>
        <v/>
      </c>
      <c r="F7790" s="107" t="str">
        <f aca="false">IF($C7790="","",$D7790*$E7790)</f>
        <v/>
      </c>
      <c r="G7790" s="107" t="str">
        <f aca="false">IF($C7790="","",$D7790*IFERROR(INDEX('تحليل التكلفة والسعر'!$C$2:$C$700,MATCH($C7790,'تحليل التكلفة والسعر'!$B$2:$B$700,0)),0))</f>
        <v/>
      </c>
    </row>
    <row r="7791" customFormat="false" ht="15" hidden="false" customHeight="false" outlineLevel="0" collapsed="false">
      <c r="A7791" s="103"/>
      <c r="B7791" s="104"/>
      <c r="C7791" s="104"/>
      <c r="E7791" s="107" t="str">
        <f aca="false">IF($C7791="","",IFERROR(INDEX(المنيو!$C$2:$C$500,MATCH($C7791,المنيو!$B$2:$B$500,0)),0))</f>
        <v/>
      </c>
      <c r="F7791" s="107" t="str">
        <f aca="false">IF($C7791="","",$D7791*$E7791)</f>
        <v/>
      </c>
      <c r="G7791" s="107" t="str">
        <f aca="false">IF($C7791="","",$D7791*IFERROR(INDEX('تحليل التكلفة والسعر'!$C$2:$C$700,MATCH($C7791,'تحليل التكلفة والسعر'!$B$2:$B$700,0)),0))</f>
        <v/>
      </c>
    </row>
    <row r="7792" customFormat="false" ht="15" hidden="false" customHeight="false" outlineLevel="0" collapsed="false">
      <c r="A7792" s="103"/>
      <c r="B7792" s="104"/>
      <c r="C7792" s="104"/>
      <c r="E7792" s="107" t="str">
        <f aca="false">IF($C7792="","",IFERROR(INDEX(المنيو!$C$2:$C$500,MATCH($C7792,المنيو!$B$2:$B$500,0)),0))</f>
        <v/>
      </c>
      <c r="F7792" s="107" t="str">
        <f aca="false">IF($C7792="","",$D7792*$E7792)</f>
        <v/>
      </c>
      <c r="G7792" s="107" t="str">
        <f aca="false">IF($C7792="","",$D7792*IFERROR(INDEX('تحليل التكلفة والسعر'!$C$2:$C$700,MATCH($C7792,'تحليل التكلفة والسعر'!$B$2:$B$700,0)),0))</f>
        <v/>
      </c>
    </row>
    <row r="7793" customFormat="false" ht="15" hidden="false" customHeight="false" outlineLevel="0" collapsed="false">
      <c r="A7793" s="103"/>
      <c r="B7793" s="104"/>
      <c r="C7793" s="104"/>
      <c r="E7793" s="107" t="str">
        <f aca="false">IF($C7793="","",IFERROR(INDEX(المنيو!$C$2:$C$500,MATCH($C7793,المنيو!$B$2:$B$500,0)),0))</f>
        <v/>
      </c>
      <c r="F7793" s="107" t="str">
        <f aca="false">IF($C7793="","",$D7793*$E7793)</f>
        <v/>
      </c>
      <c r="G7793" s="107" t="str">
        <f aca="false">IF($C7793="","",$D7793*IFERROR(INDEX('تحليل التكلفة والسعر'!$C$2:$C$700,MATCH($C7793,'تحليل التكلفة والسعر'!$B$2:$B$700,0)),0))</f>
        <v/>
      </c>
    </row>
    <row r="7794" customFormat="false" ht="15" hidden="false" customHeight="false" outlineLevel="0" collapsed="false">
      <c r="A7794" s="103"/>
      <c r="B7794" s="104"/>
      <c r="C7794" s="104"/>
      <c r="E7794" s="107" t="str">
        <f aca="false">IF($C7794="","",IFERROR(INDEX(المنيو!$C$2:$C$500,MATCH($C7794,المنيو!$B$2:$B$500,0)),0))</f>
        <v/>
      </c>
      <c r="F7794" s="107" t="str">
        <f aca="false">IF($C7794="","",$D7794*$E7794)</f>
        <v/>
      </c>
      <c r="G7794" s="107" t="str">
        <f aca="false">IF($C7794="","",$D7794*IFERROR(INDEX('تحليل التكلفة والسعر'!$C$2:$C$700,MATCH($C7794,'تحليل التكلفة والسعر'!$B$2:$B$700,0)),0))</f>
        <v/>
      </c>
    </row>
    <row r="7795" customFormat="false" ht="15" hidden="false" customHeight="false" outlineLevel="0" collapsed="false">
      <c r="A7795" s="103"/>
      <c r="B7795" s="104"/>
      <c r="C7795" s="104"/>
      <c r="E7795" s="107" t="str">
        <f aca="false">IF($C7795="","",IFERROR(INDEX(المنيو!$C$2:$C$500,MATCH($C7795,المنيو!$B$2:$B$500,0)),0))</f>
        <v/>
      </c>
      <c r="F7795" s="107" t="str">
        <f aca="false">IF($C7795="","",$D7795*$E7795)</f>
        <v/>
      </c>
      <c r="G7795" s="107" t="str">
        <f aca="false">IF($C7795="","",$D7795*IFERROR(INDEX('تحليل التكلفة والسعر'!$C$2:$C$700,MATCH($C7795,'تحليل التكلفة والسعر'!$B$2:$B$700,0)),0))</f>
        <v/>
      </c>
    </row>
    <row r="7796" customFormat="false" ht="15" hidden="false" customHeight="false" outlineLevel="0" collapsed="false">
      <c r="A7796" s="103"/>
      <c r="B7796" s="104"/>
      <c r="C7796" s="104"/>
      <c r="E7796" s="107" t="str">
        <f aca="false">IF($C7796="","",IFERROR(INDEX(المنيو!$C$2:$C$500,MATCH($C7796,المنيو!$B$2:$B$500,0)),0))</f>
        <v/>
      </c>
      <c r="F7796" s="107" t="str">
        <f aca="false">IF($C7796="","",$D7796*$E7796)</f>
        <v/>
      </c>
      <c r="G7796" s="107" t="str">
        <f aca="false">IF($C7796="","",$D7796*IFERROR(INDEX('تحليل التكلفة والسعر'!$C$2:$C$700,MATCH($C7796,'تحليل التكلفة والسعر'!$B$2:$B$700,0)),0))</f>
        <v/>
      </c>
    </row>
    <row r="7797" customFormat="false" ht="15" hidden="false" customHeight="false" outlineLevel="0" collapsed="false">
      <c r="A7797" s="103"/>
      <c r="B7797" s="104"/>
      <c r="C7797" s="104"/>
      <c r="E7797" s="107" t="str">
        <f aca="false">IF($C7797="","",IFERROR(INDEX(المنيو!$C$2:$C$500,MATCH($C7797,المنيو!$B$2:$B$500,0)),0))</f>
        <v/>
      </c>
      <c r="F7797" s="107" t="str">
        <f aca="false">IF($C7797="","",$D7797*$E7797)</f>
        <v/>
      </c>
      <c r="G7797" s="107" t="str">
        <f aca="false">IF($C7797="","",$D7797*IFERROR(INDEX('تحليل التكلفة والسعر'!$C$2:$C$700,MATCH($C7797,'تحليل التكلفة والسعر'!$B$2:$B$700,0)),0))</f>
        <v/>
      </c>
    </row>
    <row r="7798" customFormat="false" ht="15" hidden="false" customHeight="false" outlineLevel="0" collapsed="false">
      <c r="A7798" s="103"/>
      <c r="B7798" s="104"/>
      <c r="C7798" s="104"/>
      <c r="E7798" s="107" t="str">
        <f aca="false">IF($C7798="","",IFERROR(INDEX(المنيو!$C$2:$C$500,MATCH($C7798,المنيو!$B$2:$B$500,0)),0))</f>
        <v/>
      </c>
      <c r="F7798" s="107" t="str">
        <f aca="false">IF($C7798="","",$D7798*$E7798)</f>
        <v/>
      </c>
      <c r="G7798" s="107" t="str">
        <f aca="false">IF($C7798="","",$D7798*IFERROR(INDEX('تحليل التكلفة والسعر'!$C$2:$C$700,MATCH($C7798,'تحليل التكلفة والسعر'!$B$2:$B$700,0)),0))</f>
        <v/>
      </c>
    </row>
    <row r="7799" customFormat="false" ht="15" hidden="false" customHeight="false" outlineLevel="0" collapsed="false">
      <c r="A7799" s="103"/>
      <c r="B7799" s="104"/>
      <c r="C7799" s="104"/>
      <c r="E7799" s="107" t="str">
        <f aca="false">IF($C7799="","",IFERROR(INDEX(المنيو!$C$2:$C$500,MATCH($C7799,المنيو!$B$2:$B$500,0)),0))</f>
        <v/>
      </c>
      <c r="F7799" s="107" t="str">
        <f aca="false">IF($C7799="","",$D7799*$E7799)</f>
        <v/>
      </c>
      <c r="G7799" s="107" t="str">
        <f aca="false">IF($C7799="","",$D7799*IFERROR(INDEX('تحليل التكلفة والسعر'!$C$2:$C$700,MATCH($C7799,'تحليل التكلفة والسعر'!$B$2:$B$700,0)),0))</f>
        <v/>
      </c>
    </row>
    <row r="7800" customFormat="false" ht="15" hidden="false" customHeight="false" outlineLevel="0" collapsed="false">
      <c r="A7800" s="103"/>
      <c r="B7800" s="104"/>
      <c r="C7800" s="104"/>
      <c r="E7800" s="107" t="str">
        <f aca="false">IF($C7800="","",IFERROR(INDEX(المنيو!$C$2:$C$500,MATCH($C7800,المنيو!$B$2:$B$500,0)),0))</f>
        <v/>
      </c>
      <c r="F7800" s="107" t="str">
        <f aca="false">IF($C7800="","",$D7800*$E7800)</f>
        <v/>
      </c>
      <c r="G7800" s="107" t="str">
        <f aca="false">IF($C7800="","",$D7800*IFERROR(INDEX('تحليل التكلفة والسعر'!$C$2:$C$700,MATCH($C7800,'تحليل التكلفة والسعر'!$B$2:$B$700,0)),0))</f>
        <v/>
      </c>
    </row>
    <row r="7801" customFormat="false" ht="15" hidden="false" customHeight="false" outlineLevel="0" collapsed="false">
      <c r="A7801" s="103"/>
      <c r="B7801" s="104"/>
      <c r="C7801" s="104"/>
      <c r="E7801" s="107" t="str">
        <f aca="false">IF($C7801="","",IFERROR(INDEX(المنيو!$C$2:$C$500,MATCH($C7801,المنيو!$B$2:$B$500,0)),0))</f>
        <v/>
      </c>
      <c r="F7801" s="107" t="str">
        <f aca="false">IF($C7801="","",$D7801*$E7801)</f>
        <v/>
      </c>
      <c r="G7801" s="107" t="str">
        <f aca="false">IF($C7801="","",$D7801*IFERROR(INDEX('تحليل التكلفة والسعر'!$C$2:$C$700,MATCH($C7801,'تحليل التكلفة والسعر'!$B$2:$B$700,0)),0))</f>
        <v/>
      </c>
    </row>
    <row r="7802" customFormat="false" ht="15" hidden="false" customHeight="false" outlineLevel="0" collapsed="false">
      <c r="A7802" s="103"/>
      <c r="B7802" s="104"/>
      <c r="C7802" s="104"/>
      <c r="E7802" s="107" t="str">
        <f aca="false">IF($C7802="","",IFERROR(INDEX(المنيو!$C$2:$C$500,MATCH($C7802,المنيو!$B$2:$B$500,0)),0))</f>
        <v/>
      </c>
      <c r="F7802" s="107" t="str">
        <f aca="false">IF($C7802="","",$D7802*$E7802)</f>
        <v/>
      </c>
      <c r="G7802" s="107" t="str">
        <f aca="false">IF($C7802="","",$D7802*IFERROR(INDEX('تحليل التكلفة والسعر'!$C$2:$C$700,MATCH($C7802,'تحليل التكلفة والسعر'!$B$2:$B$700,0)),0))</f>
        <v/>
      </c>
    </row>
    <row r="7803" customFormat="false" ht="15" hidden="false" customHeight="false" outlineLevel="0" collapsed="false">
      <c r="A7803" s="103"/>
      <c r="B7803" s="104"/>
      <c r="C7803" s="104"/>
      <c r="E7803" s="107" t="str">
        <f aca="false">IF($C7803="","",IFERROR(INDEX(المنيو!$C$2:$C$500,MATCH($C7803,المنيو!$B$2:$B$500,0)),0))</f>
        <v/>
      </c>
      <c r="F7803" s="107" t="str">
        <f aca="false">IF($C7803="","",$D7803*$E7803)</f>
        <v/>
      </c>
      <c r="G7803" s="107" t="str">
        <f aca="false">IF($C7803="","",$D7803*IFERROR(INDEX('تحليل التكلفة والسعر'!$C$2:$C$700,MATCH($C7803,'تحليل التكلفة والسعر'!$B$2:$B$700,0)),0))</f>
        <v/>
      </c>
    </row>
    <row r="7804" customFormat="false" ht="15" hidden="false" customHeight="false" outlineLevel="0" collapsed="false">
      <c r="A7804" s="103"/>
      <c r="B7804" s="104"/>
      <c r="C7804" s="104"/>
      <c r="E7804" s="107" t="str">
        <f aca="false">IF($C7804="","",IFERROR(INDEX(المنيو!$C$2:$C$500,MATCH($C7804,المنيو!$B$2:$B$500,0)),0))</f>
        <v/>
      </c>
      <c r="F7804" s="107" t="str">
        <f aca="false">IF($C7804="","",$D7804*$E7804)</f>
        <v/>
      </c>
      <c r="G7804" s="107" t="str">
        <f aca="false">IF($C7804="","",$D7804*IFERROR(INDEX('تحليل التكلفة والسعر'!$C$2:$C$700,MATCH($C7804,'تحليل التكلفة والسعر'!$B$2:$B$700,0)),0))</f>
        <v/>
      </c>
    </row>
    <row r="7805" customFormat="false" ht="15" hidden="false" customHeight="false" outlineLevel="0" collapsed="false">
      <c r="A7805" s="103"/>
      <c r="B7805" s="104"/>
      <c r="C7805" s="104"/>
      <c r="E7805" s="107" t="str">
        <f aca="false">IF($C7805="","",IFERROR(INDEX(المنيو!$C$2:$C$500,MATCH($C7805,المنيو!$B$2:$B$500,0)),0))</f>
        <v/>
      </c>
      <c r="F7805" s="107" t="str">
        <f aca="false">IF($C7805="","",$D7805*$E7805)</f>
        <v/>
      </c>
      <c r="G7805" s="107" t="str">
        <f aca="false">IF($C7805="","",$D7805*IFERROR(INDEX('تحليل التكلفة والسعر'!$C$2:$C$700,MATCH($C7805,'تحليل التكلفة والسعر'!$B$2:$B$700,0)),0))</f>
        <v/>
      </c>
    </row>
    <row r="7806" customFormat="false" ht="15" hidden="false" customHeight="false" outlineLevel="0" collapsed="false">
      <c r="A7806" s="103"/>
      <c r="B7806" s="104"/>
      <c r="C7806" s="104"/>
      <c r="E7806" s="107" t="str">
        <f aca="false">IF($C7806="","",IFERROR(INDEX(المنيو!$C$2:$C$500,MATCH($C7806,المنيو!$B$2:$B$500,0)),0))</f>
        <v/>
      </c>
      <c r="F7806" s="107" t="str">
        <f aca="false">IF($C7806="","",$D7806*$E7806)</f>
        <v/>
      </c>
      <c r="G7806" s="107" t="str">
        <f aca="false">IF($C7806="","",$D7806*IFERROR(INDEX('تحليل التكلفة والسعر'!$C$2:$C$700,MATCH($C7806,'تحليل التكلفة والسعر'!$B$2:$B$700,0)),0))</f>
        <v/>
      </c>
    </row>
    <row r="7807" customFormat="false" ht="15" hidden="false" customHeight="false" outlineLevel="0" collapsed="false">
      <c r="A7807" s="103"/>
      <c r="B7807" s="104"/>
      <c r="C7807" s="104"/>
      <c r="E7807" s="107" t="str">
        <f aca="false">IF($C7807="","",IFERROR(INDEX(المنيو!$C$2:$C$500,MATCH($C7807,المنيو!$B$2:$B$500,0)),0))</f>
        <v/>
      </c>
      <c r="F7807" s="107" t="str">
        <f aca="false">IF($C7807="","",$D7807*$E7807)</f>
        <v/>
      </c>
      <c r="G7807" s="107" t="str">
        <f aca="false">IF($C7807="","",$D7807*IFERROR(INDEX('تحليل التكلفة والسعر'!$C$2:$C$700,MATCH($C7807,'تحليل التكلفة والسعر'!$B$2:$B$700,0)),0))</f>
        <v/>
      </c>
    </row>
    <row r="7808" customFormat="false" ht="15" hidden="false" customHeight="false" outlineLevel="0" collapsed="false">
      <c r="A7808" s="103"/>
      <c r="B7808" s="104"/>
      <c r="C7808" s="104"/>
      <c r="E7808" s="107" t="str">
        <f aca="false">IF($C7808="","",IFERROR(INDEX(المنيو!$C$2:$C$500,MATCH($C7808,المنيو!$B$2:$B$500,0)),0))</f>
        <v/>
      </c>
      <c r="F7808" s="107" t="str">
        <f aca="false">IF($C7808="","",$D7808*$E7808)</f>
        <v/>
      </c>
      <c r="G7808" s="107" t="str">
        <f aca="false">IF($C7808="","",$D7808*IFERROR(INDEX('تحليل التكلفة والسعر'!$C$2:$C$700,MATCH($C7808,'تحليل التكلفة والسعر'!$B$2:$B$700,0)),0))</f>
        <v/>
      </c>
    </row>
    <row r="7809" customFormat="false" ht="15" hidden="false" customHeight="false" outlineLevel="0" collapsed="false">
      <c r="A7809" s="103"/>
      <c r="B7809" s="104"/>
      <c r="C7809" s="104"/>
      <c r="E7809" s="107" t="str">
        <f aca="false">IF($C7809="","",IFERROR(INDEX(المنيو!$C$2:$C$500,MATCH($C7809,المنيو!$B$2:$B$500,0)),0))</f>
        <v/>
      </c>
      <c r="F7809" s="107" t="str">
        <f aca="false">IF($C7809="","",$D7809*$E7809)</f>
        <v/>
      </c>
      <c r="G7809" s="107" t="str">
        <f aca="false">IF($C7809="","",$D7809*IFERROR(INDEX('تحليل التكلفة والسعر'!$C$2:$C$700,MATCH($C7809,'تحليل التكلفة والسعر'!$B$2:$B$700,0)),0))</f>
        <v/>
      </c>
    </row>
    <row r="7810" customFormat="false" ht="15" hidden="false" customHeight="false" outlineLevel="0" collapsed="false">
      <c r="A7810" s="103"/>
      <c r="B7810" s="104"/>
      <c r="C7810" s="104"/>
      <c r="E7810" s="107" t="str">
        <f aca="false">IF($C7810="","",IFERROR(INDEX(المنيو!$C$2:$C$500,MATCH($C7810,المنيو!$B$2:$B$500,0)),0))</f>
        <v/>
      </c>
      <c r="F7810" s="107" t="str">
        <f aca="false">IF($C7810="","",$D7810*$E7810)</f>
        <v/>
      </c>
      <c r="G7810" s="107" t="str">
        <f aca="false">IF($C7810="","",$D7810*IFERROR(INDEX('تحليل التكلفة والسعر'!$C$2:$C$700,MATCH($C7810,'تحليل التكلفة والسعر'!$B$2:$B$700,0)),0))</f>
        <v/>
      </c>
    </row>
    <row r="7811" customFormat="false" ht="15" hidden="false" customHeight="false" outlineLevel="0" collapsed="false">
      <c r="A7811" s="103"/>
      <c r="B7811" s="104"/>
      <c r="C7811" s="104"/>
      <c r="E7811" s="107" t="str">
        <f aca="false">IF($C7811="","",IFERROR(INDEX(المنيو!$C$2:$C$500,MATCH($C7811,المنيو!$B$2:$B$500,0)),0))</f>
        <v/>
      </c>
      <c r="F7811" s="107" t="str">
        <f aca="false">IF($C7811="","",$D7811*$E7811)</f>
        <v/>
      </c>
      <c r="G7811" s="107" t="str">
        <f aca="false">IF($C7811="","",$D7811*IFERROR(INDEX('تحليل التكلفة والسعر'!$C$2:$C$700,MATCH($C7811,'تحليل التكلفة والسعر'!$B$2:$B$700,0)),0))</f>
        <v/>
      </c>
    </row>
    <row r="7812" customFormat="false" ht="15" hidden="false" customHeight="false" outlineLevel="0" collapsed="false">
      <c r="A7812" s="103"/>
      <c r="B7812" s="104"/>
      <c r="C7812" s="104"/>
      <c r="E7812" s="107" t="str">
        <f aca="false">IF($C7812="","",IFERROR(INDEX(المنيو!$C$2:$C$500,MATCH($C7812,المنيو!$B$2:$B$500,0)),0))</f>
        <v/>
      </c>
      <c r="F7812" s="107" t="str">
        <f aca="false">IF($C7812="","",$D7812*$E7812)</f>
        <v/>
      </c>
      <c r="G7812" s="107" t="str">
        <f aca="false">IF($C7812="","",$D7812*IFERROR(INDEX('تحليل التكلفة والسعر'!$C$2:$C$700,MATCH($C7812,'تحليل التكلفة والسعر'!$B$2:$B$700,0)),0))</f>
        <v/>
      </c>
    </row>
    <row r="7813" customFormat="false" ht="15" hidden="false" customHeight="false" outlineLevel="0" collapsed="false">
      <c r="A7813" s="103"/>
      <c r="B7813" s="104"/>
      <c r="C7813" s="104"/>
      <c r="E7813" s="107" t="str">
        <f aca="false">IF($C7813="","",IFERROR(INDEX(المنيو!$C$2:$C$500,MATCH($C7813,المنيو!$B$2:$B$500,0)),0))</f>
        <v/>
      </c>
      <c r="F7813" s="107" t="str">
        <f aca="false">IF($C7813="","",$D7813*$E7813)</f>
        <v/>
      </c>
      <c r="G7813" s="107" t="str">
        <f aca="false">IF($C7813="","",$D7813*IFERROR(INDEX('تحليل التكلفة والسعر'!$C$2:$C$700,MATCH($C7813,'تحليل التكلفة والسعر'!$B$2:$B$700,0)),0))</f>
        <v/>
      </c>
    </row>
    <row r="7814" customFormat="false" ht="15" hidden="false" customHeight="false" outlineLevel="0" collapsed="false">
      <c r="A7814" s="103"/>
      <c r="B7814" s="104"/>
      <c r="C7814" s="104"/>
      <c r="E7814" s="107" t="str">
        <f aca="false">IF($C7814="","",IFERROR(INDEX(المنيو!$C$2:$C$500,MATCH($C7814,المنيو!$B$2:$B$500,0)),0))</f>
        <v/>
      </c>
      <c r="F7814" s="107" t="str">
        <f aca="false">IF($C7814="","",$D7814*$E7814)</f>
        <v/>
      </c>
      <c r="G7814" s="107" t="str">
        <f aca="false">IF($C7814="","",$D7814*IFERROR(INDEX('تحليل التكلفة والسعر'!$C$2:$C$700,MATCH($C7814,'تحليل التكلفة والسعر'!$B$2:$B$700,0)),0))</f>
        <v/>
      </c>
    </row>
    <row r="7815" customFormat="false" ht="15" hidden="false" customHeight="false" outlineLevel="0" collapsed="false">
      <c r="A7815" s="103"/>
      <c r="B7815" s="104"/>
      <c r="C7815" s="104"/>
      <c r="E7815" s="107" t="str">
        <f aca="false">IF($C7815="","",IFERROR(INDEX(المنيو!$C$2:$C$500,MATCH($C7815,المنيو!$B$2:$B$500,0)),0))</f>
        <v/>
      </c>
      <c r="F7815" s="107" t="str">
        <f aca="false">IF($C7815="","",$D7815*$E7815)</f>
        <v/>
      </c>
      <c r="G7815" s="107" t="str">
        <f aca="false">IF($C7815="","",$D7815*IFERROR(INDEX('تحليل التكلفة والسعر'!$C$2:$C$700,MATCH($C7815,'تحليل التكلفة والسعر'!$B$2:$B$700,0)),0))</f>
        <v/>
      </c>
    </row>
    <row r="7816" customFormat="false" ht="15" hidden="false" customHeight="false" outlineLevel="0" collapsed="false">
      <c r="A7816" s="103"/>
      <c r="B7816" s="104"/>
      <c r="C7816" s="104"/>
      <c r="E7816" s="107" t="str">
        <f aca="false">IF($C7816="","",IFERROR(INDEX(المنيو!$C$2:$C$500,MATCH($C7816,المنيو!$B$2:$B$500,0)),0))</f>
        <v/>
      </c>
      <c r="F7816" s="107" t="str">
        <f aca="false">IF($C7816="","",$D7816*$E7816)</f>
        <v/>
      </c>
      <c r="G7816" s="107" t="str">
        <f aca="false">IF($C7816="","",$D7816*IFERROR(INDEX('تحليل التكلفة والسعر'!$C$2:$C$700,MATCH($C7816,'تحليل التكلفة والسعر'!$B$2:$B$700,0)),0))</f>
        <v/>
      </c>
    </row>
    <row r="7817" customFormat="false" ht="15" hidden="false" customHeight="false" outlineLevel="0" collapsed="false">
      <c r="A7817" s="103"/>
      <c r="B7817" s="104"/>
      <c r="C7817" s="104"/>
      <c r="E7817" s="107" t="str">
        <f aca="false">IF($C7817="","",IFERROR(INDEX(المنيو!$C$2:$C$500,MATCH($C7817,المنيو!$B$2:$B$500,0)),0))</f>
        <v/>
      </c>
      <c r="F7817" s="107" t="str">
        <f aca="false">IF($C7817="","",$D7817*$E7817)</f>
        <v/>
      </c>
      <c r="G7817" s="107" t="str">
        <f aca="false">IF($C7817="","",$D7817*IFERROR(INDEX('تحليل التكلفة والسعر'!$C$2:$C$700,MATCH($C7817,'تحليل التكلفة والسعر'!$B$2:$B$700,0)),0))</f>
        <v/>
      </c>
    </row>
    <row r="7818" customFormat="false" ht="15" hidden="false" customHeight="false" outlineLevel="0" collapsed="false">
      <c r="A7818" s="103"/>
      <c r="B7818" s="104"/>
      <c r="C7818" s="104"/>
      <c r="E7818" s="107" t="str">
        <f aca="false">IF($C7818="","",IFERROR(INDEX(المنيو!$C$2:$C$500,MATCH($C7818,المنيو!$B$2:$B$500,0)),0))</f>
        <v/>
      </c>
      <c r="F7818" s="107" t="str">
        <f aca="false">IF($C7818="","",$D7818*$E7818)</f>
        <v/>
      </c>
      <c r="G7818" s="107" t="str">
        <f aca="false">IF($C7818="","",$D7818*IFERROR(INDEX('تحليل التكلفة والسعر'!$C$2:$C$700,MATCH($C7818,'تحليل التكلفة والسعر'!$B$2:$B$700,0)),0))</f>
        <v/>
      </c>
    </row>
    <row r="7819" customFormat="false" ht="15" hidden="false" customHeight="false" outlineLevel="0" collapsed="false">
      <c r="A7819" s="103"/>
      <c r="B7819" s="104"/>
      <c r="C7819" s="104"/>
      <c r="E7819" s="107" t="str">
        <f aca="false">IF($C7819="","",IFERROR(INDEX(المنيو!$C$2:$C$500,MATCH($C7819,المنيو!$B$2:$B$500,0)),0))</f>
        <v/>
      </c>
      <c r="F7819" s="107" t="str">
        <f aca="false">IF($C7819="","",$D7819*$E7819)</f>
        <v/>
      </c>
      <c r="G7819" s="107" t="str">
        <f aca="false">IF($C7819="","",$D7819*IFERROR(INDEX('تحليل التكلفة والسعر'!$C$2:$C$700,MATCH($C7819,'تحليل التكلفة والسعر'!$B$2:$B$700,0)),0))</f>
        <v/>
      </c>
    </row>
    <row r="7820" customFormat="false" ht="15" hidden="false" customHeight="false" outlineLevel="0" collapsed="false">
      <c r="A7820" s="103"/>
      <c r="B7820" s="104"/>
      <c r="C7820" s="104"/>
      <c r="E7820" s="107" t="str">
        <f aca="false">IF($C7820="","",IFERROR(INDEX(المنيو!$C$2:$C$500,MATCH($C7820,المنيو!$B$2:$B$500,0)),0))</f>
        <v/>
      </c>
      <c r="F7820" s="107" t="str">
        <f aca="false">IF($C7820="","",$D7820*$E7820)</f>
        <v/>
      </c>
      <c r="G7820" s="107" t="str">
        <f aca="false">IF($C7820="","",$D7820*IFERROR(INDEX('تحليل التكلفة والسعر'!$C$2:$C$700,MATCH($C7820,'تحليل التكلفة والسعر'!$B$2:$B$700,0)),0))</f>
        <v/>
      </c>
    </row>
    <row r="7821" customFormat="false" ht="15" hidden="false" customHeight="false" outlineLevel="0" collapsed="false">
      <c r="A7821" s="103"/>
      <c r="B7821" s="104"/>
      <c r="C7821" s="104"/>
      <c r="E7821" s="107" t="str">
        <f aca="false">IF($C7821="","",IFERROR(INDEX(المنيو!$C$2:$C$500,MATCH($C7821,المنيو!$B$2:$B$500,0)),0))</f>
        <v/>
      </c>
      <c r="F7821" s="107" t="str">
        <f aca="false">IF($C7821="","",$D7821*$E7821)</f>
        <v/>
      </c>
      <c r="G7821" s="107" t="str">
        <f aca="false">IF($C7821="","",$D7821*IFERROR(INDEX('تحليل التكلفة والسعر'!$C$2:$C$700,MATCH($C7821,'تحليل التكلفة والسعر'!$B$2:$B$700,0)),0))</f>
        <v/>
      </c>
    </row>
    <row r="7822" customFormat="false" ht="15" hidden="false" customHeight="false" outlineLevel="0" collapsed="false">
      <c r="A7822" s="103"/>
      <c r="B7822" s="104"/>
      <c r="C7822" s="104"/>
      <c r="E7822" s="107" t="str">
        <f aca="false">IF($C7822="","",IFERROR(INDEX(المنيو!$C$2:$C$500,MATCH($C7822,المنيو!$B$2:$B$500,0)),0))</f>
        <v/>
      </c>
      <c r="F7822" s="107" t="str">
        <f aca="false">IF($C7822="","",$D7822*$E7822)</f>
        <v/>
      </c>
      <c r="G7822" s="107" t="str">
        <f aca="false">IF($C7822="","",$D7822*IFERROR(INDEX('تحليل التكلفة والسعر'!$C$2:$C$700,MATCH($C7822,'تحليل التكلفة والسعر'!$B$2:$B$700,0)),0))</f>
        <v/>
      </c>
    </row>
    <row r="7823" customFormat="false" ht="15" hidden="false" customHeight="false" outlineLevel="0" collapsed="false">
      <c r="A7823" s="103"/>
      <c r="B7823" s="104"/>
      <c r="C7823" s="104"/>
      <c r="E7823" s="107" t="str">
        <f aca="false">IF($C7823="","",IFERROR(INDEX(المنيو!$C$2:$C$500,MATCH($C7823,المنيو!$B$2:$B$500,0)),0))</f>
        <v/>
      </c>
      <c r="F7823" s="107" t="str">
        <f aca="false">IF($C7823="","",$D7823*$E7823)</f>
        <v/>
      </c>
      <c r="G7823" s="107" t="str">
        <f aca="false">IF($C7823="","",$D7823*IFERROR(INDEX('تحليل التكلفة والسعر'!$C$2:$C$700,MATCH($C7823,'تحليل التكلفة والسعر'!$B$2:$B$700,0)),0))</f>
        <v/>
      </c>
    </row>
    <row r="7824" customFormat="false" ht="15" hidden="false" customHeight="false" outlineLevel="0" collapsed="false">
      <c r="A7824" s="103"/>
      <c r="B7824" s="104"/>
      <c r="C7824" s="104"/>
      <c r="E7824" s="107" t="str">
        <f aca="false">IF($C7824="","",IFERROR(INDEX(المنيو!$C$2:$C$500,MATCH($C7824,المنيو!$B$2:$B$500,0)),0))</f>
        <v/>
      </c>
      <c r="F7824" s="107" t="str">
        <f aca="false">IF($C7824="","",$D7824*$E7824)</f>
        <v/>
      </c>
      <c r="G7824" s="107" t="str">
        <f aca="false">IF($C7824="","",$D7824*IFERROR(INDEX('تحليل التكلفة والسعر'!$C$2:$C$700,MATCH($C7824,'تحليل التكلفة والسعر'!$B$2:$B$700,0)),0))</f>
        <v/>
      </c>
    </row>
    <row r="7825" customFormat="false" ht="15" hidden="false" customHeight="false" outlineLevel="0" collapsed="false">
      <c r="A7825" s="103"/>
      <c r="B7825" s="104"/>
      <c r="C7825" s="104"/>
      <c r="E7825" s="107" t="str">
        <f aca="false">IF($C7825="","",IFERROR(INDEX(المنيو!$C$2:$C$500,MATCH($C7825,المنيو!$B$2:$B$500,0)),0))</f>
        <v/>
      </c>
      <c r="F7825" s="107" t="str">
        <f aca="false">IF($C7825="","",$D7825*$E7825)</f>
        <v/>
      </c>
      <c r="G7825" s="107" t="str">
        <f aca="false">IF($C7825="","",$D7825*IFERROR(INDEX('تحليل التكلفة والسعر'!$C$2:$C$700,MATCH($C7825,'تحليل التكلفة والسعر'!$B$2:$B$700,0)),0))</f>
        <v/>
      </c>
    </row>
    <row r="7826" customFormat="false" ht="15" hidden="false" customHeight="false" outlineLevel="0" collapsed="false">
      <c r="A7826" s="103"/>
      <c r="B7826" s="104"/>
      <c r="C7826" s="104"/>
      <c r="E7826" s="107" t="str">
        <f aca="false">IF($C7826="","",IFERROR(INDEX(المنيو!$C$2:$C$500,MATCH($C7826,المنيو!$B$2:$B$500,0)),0))</f>
        <v/>
      </c>
      <c r="F7826" s="107" t="str">
        <f aca="false">IF($C7826="","",$D7826*$E7826)</f>
        <v/>
      </c>
      <c r="G7826" s="107" t="str">
        <f aca="false">IF($C7826="","",$D7826*IFERROR(INDEX('تحليل التكلفة والسعر'!$C$2:$C$700,MATCH($C7826,'تحليل التكلفة والسعر'!$B$2:$B$700,0)),0))</f>
        <v/>
      </c>
    </row>
    <row r="7827" customFormat="false" ht="15" hidden="false" customHeight="false" outlineLevel="0" collapsed="false">
      <c r="A7827" s="103"/>
      <c r="B7827" s="104"/>
      <c r="C7827" s="104"/>
      <c r="E7827" s="107" t="str">
        <f aca="false">IF($C7827="","",IFERROR(INDEX(المنيو!$C$2:$C$500,MATCH($C7827,المنيو!$B$2:$B$500,0)),0))</f>
        <v/>
      </c>
      <c r="F7827" s="107" t="str">
        <f aca="false">IF($C7827="","",$D7827*$E7827)</f>
        <v/>
      </c>
      <c r="G7827" s="107" t="str">
        <f aca="false">IF($C7827="","",$D7827*IFERROR(INDEX('تحليل التكلفة والسعر'!$C$2:$C$700,MATCH($C7827,'تحليل التكلفة والسعر'!$B$2:$B$700,0)),0))</f>
        <v/>
      </c>
    </row>
    <row r="7828" customFormat="false" ht="15" hidden="false" customHeight="false" outlineLevel="0" collapsed="false">
      <c r="A7828" s="103"/>
      <c r="B7828" s="104"/>
      <c r="C7828" s="104"/>
      <c r="E7828" s="107" t="str">
        <f aca="false">IF($C7828="","",IFERROR(INDEX(المنيو!$C$2:$C$500,MATCH($C7828,المنيو!$B$2:$B$500,0)),0))</f>
        <v/>
      </c>
      <c r="F7828" s="107" t="str">
        <f aca="false">IF($C7828="","",$D7828*$E7828)</f>
        <v/>
      </c>
      <c r="G7828" s="107" t="str">
        <f aca="false">IF($C7828="","",$D7828*IFERROR(INDEX('تحليل التكلفة والسعر'!$C$2:$C$700,MATCH($C7828,'تحليل التكلفة والسعر'!$B$2:$B$700,0)),0))</f>
        <v/>
      </c>
    </row>
    <row r="7829" customFormat="false" ht="15" hidden="false" customHeight="false" outlineLevel="0" collapsed="false">
      <c r="A7829" s="103"/>
      <c r="B7829" s="104"/>
      <c r="C7829" s="104"/>
      <c r="E7829" s="107" t="str">
        <f aca="false">IF($C7829="","",IFERROR(INDEX(المنيو!$C$2:$C$500,MATCH($C7829,المنيو!$B$2:$B$500,0)),0))</f>
        <v/>
      </c>
      <c r="F7829" s="107" t="str">
        <f aca="false">IF($C7829="","",$D7829*$E7829)</f>
        <v/>
      </c>
      <c r="G7829" s="107" t="str">
        <f aca="false">IF($C7829="","",$D7829*IFERROR(INDEX('تحليل التكلفة والسعر'!$C$2:$C$700,MATCH($C7829,'تحليل التكلفة والسعر'!$B$2:$B$700,0)),0))</f>
        <v/>
      </c>
    </row>
    <row r="7830" customFormat="false" ht="15" hidden="false" customHeight="false" outlineLevel="0" collapsed="false">
      <c r="A7830" s="103"/>
      <c r="B7830" s="104"/>
      <c r="C7830" s="104"/>
      <c r="E7830" s="107" t="str">
        <f aca="false">IF($C7830="","",IFERROR(INDEX(المنيو!$C$2:$C$500,MATCH($C7830,المنيو!$B$2:$B$500,0)),0))</f>
        <v/>
      </c>
      <c r="F7830" s="107" t="str">
        <f aca="false">IF($C7830="","",$D7830*$E7830)</f>
        <v/>
      </c>
      <c r="G7830" s="107" t="str">
        <f aca="false">IF($C7830="","",$D7830*IFERROR(INDEX('تحليل التكلفة والسعر'!$C$2:$C$700,MATCH($C7830,'تحليل التكلفة والسعر'!$B$2:$B$700,0)),0))</f>
        <v/>
      </c>
    </row>
    <row r="7831" customFormat="false" ht="15" hidden="false" customHeight="false" outlineLevel="0" collapsed="false">
      <c r="A7831" s="103"/>
      <c r="B7831" s="104"/>
      <c r="C7831" s="104"/>
      <c r="E7831" s="107" t="str">
        <f aca="false">IF($C7831="","",IFERROR(INDEX(المنيو!$C$2:$C$500,MATCH($C7831,المنيو!$B$2:$B$500,0)),0))</f>
        <v/>
      </c>
      <c r="F7831" s="107" t="str">
        <f aca="false">IF($C7831="","",$D7831*$E7831)</f>
        <v/>
      </c>
      <c r="G7831" s="107" t="str">
        <f aca="false">IF($C7831="","",$D7831*IFERROR(INDEX('تحليل التكلفة والسعر'!$C$2:$C$700,MATCH($C7831,'تحليل التكلفة والسعر'!$B$2:$B$700,0)),0))</f>
        <v/>
      </c>
    </row>
    <row r="7832" customFormat="false" ht="15" hidden="false" customHeight="false" outlineLevel="0" collapsed="false">
      <c r="A7832" s="103"/>
      <c r="B7832" s="104"/>
      <c r="C7832" s="104"/>
      <c r="E7832" s="107" t="str">
        <f aca="false">IF($C7832="","",IFERROR(INDEX(المنيو!$C$2:$C$500,MATCH($C7832,المنيو!$B$2:$B$500,0)),0))</f>
        <v/>
      </c>
      <c r="F7832" s="107" t="str">
        <f aca="false">IF($C7832="","",$D7832*$E7832)</f>
        <v/>
      </c>
      <c r="G7832" s="107" t="str">
        <f aca="false">IF($C7832="","",$D7832*IFERROR(INDEX('تحليل التكلفة والسعر'!$C$2:$C$700,MATCH($C7832,'تحليل التكلفة والسعر'!$B$2:$B$700,0)),0))</f>
        <v/>
      </c>
    </row>
    <row r="7833" customFormat="false" ht="15" hidden="false" customHeight="false" outlineLevel="0" collapsed="false">
      <c r="A7833" s="103"/>
      <c r="B7833" s="104"/>
      <c r="C7833" s="104"/>
      <c r="E7833" s="107" t="str">
        <f aca="false">IF($C7833="","",IFERROR(INDEX(المنيو!$C$2:$C$500,MATCH($C7833,المنيو!$B$2:$B$500,0)),0))</f>
        <v/>
      </c>
      <c r="F7833" s="107" t="str">
        <f aca="false">IF($C7833="","",$D7833*$E7833)</f>
        <v/>
      </c>
      <c r="G7833" s="107" t="str">
        <f aca="false">IF($C7833="","",$D7833*IFERROR(INDEX('تحليل التكلفة والسعر'!$C$2:$C$700,MATCH($C7833,'تحليل التكلفة والسعر'!$B$2:$B$700,0)),0))</f>
        <v/>
      </c>
    </row>
    <row r="7834" customFormat="false" ht="15" hidden="false" customHeight="false" outlineLevel="0" collapsed="false">
      <c r="A7834" s="103"/>
      <c r="B7834" s="104"/>
      <c r="C7834" s="104"/>
      <c r="E7834" s="107" t="str">
        <f aca="false">IF($C7834="","",IFERROR(INDEX(المنيو!$C$2:$C$500,MATCH($C7834,المنيو!$B$2:$B$500,0)),0))</f>
        <v/>
      </c>
      <c r="F7834" s="107" t="str">
        <f aca="false">IF($C7834="","",$D7834*$E7834)</f>
        <v/>
      </c>
      <c r="G7834" s="107" t="str">
        <f aca="false">IF($C7834="","",$D7834*IFERROR(INDEX('تحليل التكلفة والسعر'!$C$2:$C$700,MATCH($C7834,'تحليل التكلفة والسعر'!$B$2:$B$700,0)),0))</f>
        <v/>
      </c>
    </row>
    <row r="7835" customFormat="false" ht="15" hidden="false" customHeight="false" outlineLevel="0" collapsed="false">
      <c r="A7835" s="103"/>
      <c r="B7835" s="104"/>
      <c r="C7835" s="104"/>
      <c r="E7835" s="107" t="str">
        <f aca="false">IF($C7835="","",IFERROR(INDEX(المنيو!$C$2:$C$500,MATCH($C7835,المنيو!$B$2:$B$500,0)),0))</f>
        <v/>
      </c>
      <c r="F7835" s="107" t="str">
        <f aca="false">IF($C7835="","",$D7835*$E7835)</f>
        <v/>
      </c>
      <c r="G7835" s="107" t="str">
        <f aca="false">IF($C7835="","",$D7835*IFERROR(INDEX('تحليل التكلفة والسعر'!$C$2:$C$700,MATCH($C7835,'تحليل التكلفة والسعر'!$B$2:$B$700,0)),0))</f>
        <v/>
      </c>
    </row>
    <row r="7836" customFormat="false" ht="15" hidden="false" customHeight="false" outlineLevel="0" collapsed="false">
      <c r="A7836" s="103"/>
      <c r="B7836" s="104"/>
      <c r="C7836" s="104"/>
      <c r="E7836" s="107" t="str">
        <f aca="false">IF($C7836="","",IFERROR(INDEX(المنيو!$C$2:$C$500,MATCH($C7836,المنيو!$B$2:$B$500,0)),0))</f>
        <v/>
      </c>
      <c r="F7836" s="107" t="str">
        <f aca="false">IF($C7836="","",$D7836*$E7836)</f>
        <v/>
      </c>
      <c r="G7836" s="107" t="str">
        <f aca="false">IF($C7836="","",$D7836*IFERROR(INDEX('تحليل التكلفة والسعر'!$C$2:$C$700,MATCH($C7836,'تحليل التكلفة والسعر'!$B$2:$B$700,0)),0))</f>
        <v/>
      </c>
    </row>
    <row r="7837" customFormat="false" ht="15" hidden="false" customHeight="false" outlineLevel="0" collapsed="false">
      <c r="A7837" s="103"/>
      <c r="B7837" s="104"/>
      <c r="C7837" s="104"/>
      <c r="E7837" s="107" t="str">
        <f aca="false">IF($C7837="","",IFERROR(INDEX(المنيو!$C$2:$C$500,MATCH($C7837,المنيو!$B$2:$B$500,0)),0))</f>
        <v/>
      </c>
      <c r="F7837" s="107" t="str">
        <f aca="false">IF($C7837="","",$D7837*$E7837)</f>
        <v/>
      </c>
      <c r="G7837" s="107" t="str">
        <f aca="false">IF($C7837="","",$D7837*IFERROR(INDEX('تحليل التكلفة والسعر'!$C$2:$C$700,MATCH($C7837,'تحليل التكلفة والسعر'!$B$2:$B$700,0)),0))</f>
        <v/>
      </c>
    </row>
    <row r="7838" customFormat="false" ht="15" hidden="false" customHeight="false" outlineLevel="0" collapsed="false">
      <c r="A7838" s="103"/>
      <c r="B7838" s="104"/>
      <c r="C7838" s="104"/>
      <c r="E7838" s="107" t="str">
        <f aca="false">IF($C7838="","",IFERROR(INDEX(المنيو!$C$2:$C$500,MATCH($C7838,المنيو!$B$2:$B$500,0)),0))</f>
        <v/>
      </c>
      <c r="F7838" s="107" t="str">
        <f aca="false">IF($C7838="","",$D7838*$E7838)</f>
        <v/>
      </c>
      <c r="G7838" s="107" t="str">
        <f aca="false">IF($C7838="","",$D7838*IFERROR(INDEX('تحليل التكلفة والسعر'!$C$2:$C$700,MATCH($C7838,'تحليل التكلفة والسعر'!$B$2:$B$700,0)),0))</f>
        <v/>
      </c>
    </row>
    <row r="7839" customFormat="false" ht="15" hidden="false" customHeight="false" outlineLevel="0" collapsed="false">
      <c r="A7839" s="103"/>
      <c r="B7839" s="104"/>
      <c r="C7839" s="104"/>
      <c r="E7839" s="107" t="str">
        <f aca="false">IF($C7839="","",IFERROR(INDEX(المنيو!$C$2:$C$500,MATCH($C7839,المنيو!$B$2:$B$500,0)),0))</f>
        <v/>
      </c>
      <c r="F7839" s="107" t="str">
        <f aca="false">IF($C7839="","",$D7839*$E7839)</f>
        <v/>
      </c>
      <c r="G7839" s="107" t="str">
        <f aca="false">IF($C7839="","",$D7839*IFERROR(INDEX('تحليل التكلفة والسعر'!$C$2:$C$700,MATCH($C7839,'تحليل التكلفة والسعر'!$B$2:$B$700,0)),0))</f>
        <v/>
      </c>
    </row>
    <row r="7840" customFormat="false" ht="15" hidden="false" customHeight="false" outlineLevel="0" collapsed="false">
      <c r="A7840" s="103"/>
      <c r="B7840" s="104"/>
      <c r="C7840" s="104"/>
      <c r="E7840" s="107" t="str">
        <f aca="false">IF($C7840="","",IFERROR(INDEX(المنيو!$C$2:$C$500,MATCH($C7840,المنيو!$B$2:$B$500,0)),0))</f>
        <v/>
      </c>
      <c r="F7840" s="107" t="str">
        <f aca="false">IF($C7840="","",$D7840*$E7840)</f>
        <v/>
      </c>
      <c r="G7840" s="107" t="str">
        <f aca="false">IF($C7840="","",$D7840*IFERROR(INDEX('تحليل التكلفة والسعر'!$C$2:$C$700,MATCH($C7840,'تحليل التكلفة والسعر'!$B$2:$B$700,0)),0))</f>
        <v/>
      </c>
    </row>
    <row r="7841" customFormat="false" ht="15" hidden="false" customHeight="false" outlineLevel="0" collapsed="false">
      <c r="A7841" s="103"/>
      <c r="B7841" s="104"/>
      <c r="C7841" s="104"/>
      <c r="E7841" s="107" t="str">
        <f aca="false">IF($C7841="","",IFERROR(INDEX(المنيو!$C$2:$C$500,MATCH($C7841,المنيو!$B$2:$B$500,0)),0))</f>
        <v/>
      </c>
      <c r="F7841" s="107" t="str">
        <f aca="false">IF($C7841="","",$D7841*$E7841)</f>
        <v/>
      </c>
      <c r="G7841" s="107" t="str">
        <f aca="false">IF($C7841="","",$D7841*IFERROR(INDEX('تحليل التكلفة والسعر'!$C$2:$C$700,MATCH($C7841,'تحليل التكلفة والسعر'!$B$2:$B$700,0)),0))</f>
        <v/>
      </c>
    </row>
    <row r="7842" customFormat="false" ht="15" hidden="false" customHeight="false" outlineLevel="0" collapsed="false">
      <c r="A7842" s="103"/>
      <c r="B7842" s="104"/>
      <c r="C7842" s="104"/>
      <c r="E7842" s="107" t="str">
        <f aca="false">IF($C7842="","",IFERROR(INDEX(المنيو!$C$2:$C$500,MATCH($C7842,المنيو!$B$2:$B$500,0)),0))</f>
        <v/>
      </c>
      <c r="F7842" s="107" t="str">
        <f aca="false">IF($C7842="","",$D7842*$E7842)</f>
        <v/>
      </c>
      <c r="G7842" s="107" t="str">
        <f aca="false">IF($C7842="","",$D7842*IFERROR(INDEX('تحليل التكلفة والسعر'!$C$2:$C$700,MATCH($C7842,'تحليل التكلفة والسعر'!$B$2:$B$700,0)),0))</f>
        <v/>
      </c>
    </row>
    <row r="7843" customFormat="false" ht="15" hidden="false" customHeight="false" outlineLevel="0" collapsed="false">
      <c r="A7843" s="103"/>
      <c r="B7843" s="104"/>
      <c r="C7843" s="104"/>
      <c r="E7843" s="107" t="str">
        <f aca="false">IF($C7843="","",IFERROR(INDEX(المنيو!$C$2:$C$500,MATCH($C7843,المنيو!$B$2:$B$500,0)),0))</f>
        <v/>
      </c>
      <c r="F7843" s="107" t="str">
        <f aca="false">IF($C7843="","",$D7843*$E7843)</f>
        <v/>
      </c>
      <c r="G7843" s="107" t="str">
        <f aca="false">IF($C7843="","",$D7843*IFERROR(INDEX('تحليل التكلفة والسعر'!$C$2:$C$700,MATCH($C7843,'تحليل التكلفة والسعر'!$B$2:$B$700,0)),0))</f>
        <v/>
      </c>
    </row>
    <row r="7844" customFormat="false" ht="15" hidden="false" customHeight="false" outlineLevel="0" collapsed="false">
      <c r="A7844" s="103"/>
      <c r="B7844" s="104"/>
      <c r="C7844" s="104"/>
      <c r="E7844" s="107" t="str">
        <f aca="false">IF($C7844="","",IFERROR(INDEX(المنيو!$C$2:$C$500,MATCH($C7844,المنيو!$B$2:$B$500,0)),0))</f>
        <v/>
      </c>
      <c r="F7844" s="107" t="str">
        <f aca="false">IF($C7844="","",$D7844*$E7844)</f>
        <v/>
      </c>
      <c r="G7844" s="107" t="str">
        <f aca="false">IF($C7844="","",$D7844*IFERROR(INDEX('تحليل التكلفة والسعر'!$C$2:$C$700,MATCH($C7844,'تحليل التكلفة والسعر'!$B$2:$B$700,0)),0))</f>
        <v/>
      </c>
    </row>
    <row r="7845" customFormat="false" ht="15" hidden="false" customHeight="false" outlineLevel="0" collapsed="false">
      <c r="A7845" s="103"/>
      <c r="B7845" s="104"/>
      <c r="C7845" s="104"/>
      <c r="E7845" s="107" t="str">
        <f aca="false">IF($C7845="","",IFERROR(INDEX(المنيو!$C$2:$C$500,MATCH($C7845,المنيو!$B$2:$B$500,0)),0))</f>
        <v/>
      </c>
      <c r="F7845" s="107" t="str">
        <f aca="false">IF($C7845="","",$D7845*$E7845)</f>
        <v/>
      </c>
      <c r="G7845" s="107" t="str">
        <f aca="false">IF($C7845="","",$D7845*IFERROR(INDEX('تحليل التكلفة والسعر'!$C$2:$C$700,MATCH($C7845,'تحليل التكلفة والسعر'!$B$2:$B$700,0)),0))</f>
        <v/>
      </c>
    </row>
    <row r="7846" customFormat="false" ht="15" hidden="false" customHeight="false" outlineLevel="0" collapsed="false">
      <c r="A7846" s="103"/>
      <c r="B7846" s="104"/>
      <c r="C7846" s="104"/>
      <c r="E7846" s="107" t="str">
        <f aca="false">IF($C7846="","",IFERROR(INDEX(المنيو!$C$2:$C$500,MATCH($C7846,المنيو!$B$2:$B$500,0)),0))</f>
        <v/>
      </c>
      <c r="F7846" s="107" t="str">
        <f aca="false">IF($C7846="","",$D7846*$E7846)</f>
        <v/>
      </c>
      <c r="G7846" s="107" t="str">
        <f aca="false">IF($C7846="","",$D7846*IFERROR(INDEX('تحليل التكلفة والسعر'!$C$2:$C$700,MATCH($C7846,'تحليل التكلفة والسعر'!$B$2:$B$700,0)),0))</f>
        <v/>
      </c>
    </row>
    <row r="7847" customFormat="false" ht="15" hidden="false" customHeight="false" outlineLevel="0" collapsed="false">
      <c r="A7847" s="103"/>
      <c r="B7847" s="104"/>
      <c r="C7847" s="104"/>
      <c r="E7847" s="107" t="str">
        <f aca="false">IF($C7847="","",IFERROR(INDEX(المنيو!$C$2:$C$500,MATCH($C7847,المنيو!$B$2:$B$500,0)),0))</f>
        <v/>
      </c>
      <c r="F7847" s="107" t="str">
        <f aca="false">IF($C7847="","",$D7847*$E7847)</f>
        <v/>
      </c>
      <c r="G7847" s="107" t="str">
        <f aca="false">IF($C7847="","",$D7847*IFERROR(INDEX('تحليل التكلفة والسعر'!$C$2:$C$700,MATCH($C7847,'تحليل التكلفة والسعر'!$B$2:$B$700,0)),0))</f>
        <v/>
      </c>
    </row>
    <row r="7848" customFormat="false" ht="15" hidden="false" customHeight="false" outlineLevel="0" collapsed="false">
      <c r="A7848" s="103"/>
      <c r="B7848" s="104"/>
      <c r="C7848" s="104"/>
      <c r="E7848" s="107" t="str">
        <f aca="false">IF($C7848="","",IFERROR(INDEX(المنيو!$C$2:$C$500,MATCH($C7848,المنيو!$B$2:$B$500,0)),0))</f>
        <v/>
      </c>
      <c r="F7848" s="107" t="str">
        <f aca="false">IF($C7848="","",$D7848*$E7848)</f>
        <v/>
      </c>
      <c r="G7848" s="107" t="str">
        <f aca="false">IF($C7848="","",$D7848*IFERROR(INDEX('تحليل التكلفة والسعر'!$C$2:$C$700,MATCH($C7848,'تحليل التكلفة والسعر'!$B$2:$B$700,0)),0))</f>
        <v/>
      </c>
    </row>
    <row r="7849" customFormat="false" ht="15" hidden="false" customHeight="false" outlineLevel="0" collapsed="false">
      <c r="A7849" s="103"/>
      <c r="B7849" s="104"/>
      <c r="C7849" s="104"/>
      <c r="E7849" s="107" t="str">
        <f aca="false">IF($C7849="","",IFERROR(INDEX(المنيو!$C$2:$C$500,MATCH($C7849,المنيو!$B$2:$B$500,0)),0))</f>
        <v/>
      </c>
      <c r="F7849" s="107" t="str">
        <f aca="false">IF($C7849="","",$D7849*$E7849)</f>
        <v/>
      </c>
      <c r="G7849" s="107" t="str">
        <f aca="false">IF($C7849="","",$D7849*IFERROR(INDEX('تحليل التكلفة والسعر'!$C$2:$C$700,MATCH($C7849,'تحليل التكلفة والسعر'!$B$2:$B$700,0)),0))</f>
        <v/>
      </c>
    </row>
    <row r="7850" customFormat="false" ht="15" hidden="false" customHeight="false" outlineLevel="0" collapsed="false">
      <c r="A7850" s="103"/>
      <c r="B7850" s="104"/>
      <c r="C7850" s="104"/>
      <c r="E7850" s="107" t="str">
        <f aca="false">IF($C7850="","",IFERROR(INDEX(المنيو!$C$2:$C$500,MATCH($C7850,المنيو!$B$2:$B$500,0)),0))</f>
        <v/>
      </c>
      <c r="F7850" s="107" t="str">
        <f aca="false">IF($C7850="","",$D7850*$E7850)</f>
        <v/>
      </c>
      <c r="G7850" s="107" t="str">
        <f aca="false">IF($C7850="","",$D7850*IFERROR(INDEX('تحليل التكلفة والسعر'!$C$2:$C$700,MATCH($C7850,'تحليل التكلفة والسعر'!$B$2:$B$700,0)),0))</f>
        <v/>
      </c>
    </row>
    <row r="7851" customFormat="false" ht="15" hidden="false" customHeight="false" outlineLevel="0" collapsed="false">
      <c r="A7851" s="103"/>
      <c r="B7851" s="104"/>
      <c r="C7851" s="104"/>
      <c r="E7851" s="107" t="str">
        <f aca="false">IF($C7851="","",IFERROR(INDEX(المنيو!$C$2:$C$500,MATCH($C7851,المنيو!$B$2:$B$500,0)),0))</f>
        <v/>
      </c>
      <c r="F7851" s="107" t="str">
        <f aca="false">IF($C7851="","",$D7851*$E7851)</f>
        <v/>
      </c>
      <c r="G7851" s="107" t="str">
        <f aca="false">IF($C7851="","",$D7851*IFERROR(INDEX('تحليل التكلفة والسعر'!$C$2:$C$700,MATCH($C7851,'تحليل التكلفة والسعر'!$B$2:$B$700,0)),0))</f>
        <v/>
      </c>
    </row>
    <row r="7852" customFormat="false" ht="15" hidden="false" customHeight="false" outlineLevel="0" collapsed="false">
      <c r="A7852" s="103"/>
      <c r="B7852" s="104"/>
      <c r="C7852" s="104"/>
      <c r="E7852" s="107" t="str">
        <f aca="false">IF($C7852="","",IFERROR(INDEX(المنيو!$C$2:$C$500,MATCH($C7852,المنيو!$B$2:$B$500,0)),0))</f>
        <v/>
      </c>
      <c r="F7852" s="107" t="str">
        <f aca="false">IF($C7852="","",$D7852*$E7852)</f>
        <v/>
      </c>
      <c r="G7852" s="107" t="str">
        <f aca="false">IF($C7852="","",$D7852*IFERROR(INDEX('تحليل التكلفة والسعر'!$C$2:$C$700,MATCH($C7852,'تحليل التكلفة والسعر'!$B$2:$B$700,0)),0))</f>
        <v/>
      </c>
    </row>
    <row r="7853" customFormat="false" ht="15" hidden="false" customHeight="false" outlineLevel="0" collapsed="false">
      <c r="A7853" s="103"/>
      <c r="B7853" s="104"/>
      <c r="C7853" s="104"/>
      <c r="E7853" s="107" t="str">
        <f aca="false">IF($C7853="","",IFERROR(INDEX(المنيو!$C$2:$C$500,MATCH($C7853,المنيو!$B$2:$B$500,0)),0))</f>
        <v/>
      </c>
      <c r="F7853" s="107" t="str">
        <f aca="false">IF($C7853="","",$D7853*$E7853)</f>
        <v/>
      </c>
      <c r="G7853" s="107" t="str">
        <f aca="false">IF($C7853="","",$D7853*IFERROR(INDEX('تحليل التكلفة والسعر'!$C$2:$C$700,MATCH($C7853,'تحليل التكلفة والسعر'!$B$2:$B$700,0)),0))</f>
        <v/>
      </c>
    </row>
    <row r="7854" customFormat="false" ht="15" hidden="false" customHeight="false" outlineLevel="0" collapsed="false">
      <c r="A7854" s="103"/>
      <c r="B7854" s="104"/>
      <c r="C7854" s="104"/>
      <c r="E7854" s="107" t="str">
        <f aca="false">IF($C7854="","",IFERROR(INDEX(المنيو!$C$2:$C$500,MATCH($C7854,المنيو!$B$2:$B$500,0)),0))</f>
        <v/>
      </c>
      <c r="F7854" s="107" t="str">
        <f aca="false">IF($C7854="","",$D7854*$E7854)</f>
        <v/>
      </c>
      <c r="G7854" s="107" t="str">
        <f aca="false">IF($C7854="","",$D7854*IFERROR(INDEX('تحليل التكلفة والسعر'!$C$2:$C$700,MATCH($C7854,'تحليل التكلفة والسعر'!$B$2:$B$700,0)),0))</f>
        <v/>
      </c>
    </row>
    <row r="7855" customFormat="false" ht="15" hidden="false" customHeight="false" outlineLevel="0" collapsed="false">
      <c r="A7855" s="103"/>
      <c r="B7855" s="104"/>
      <c r="C7855" s="104"/>
      <c r="E7855" s="107" t="str">
        <f aca="false">IF($C7855="","",IFERROR(INDEX(المنيو!$C$2:$C$500,MATCH($C7855,المنيو!$B$2:$B$500,0)),0))</f>
        <v/>
      </c>
      <c r="F7855" s="107" t="str">
        <f aca="false">IF($C7855="","",$D7855*$E7855)</f>
        <v/>
      </c>
      <c r="G7855" s="107" t="str">
        <f aca="false">IF($C7855="","",$D7855*IFERROR(INDEX('تحليل التكلفة والسعر'!$C$2:$C$700,MATCH($C7855,'تحليل التكلفة والسعر'!$B$2:$B$700,0)),0))</f>
        <v/>
      </c>
    </row>
    <row r="7856" customFormat="false" ht="15" hidden="false" customHeight="false" outlineLevel="0" collapsed="false">
      <c r="A7856" s="103"/>
      <c r="B7856" s="104"/>
      <c r="C7856" s="104"/>
      <c r="E7856" s="107" t="str">
        <f aca="false">IF($C7856="","",IFERROR(INDEX(المنيو!$C$2:$C$500,MATCH($C7856,المنيو!$B$2:$B$500,0)),0))</f>
        <v/>
      </c>
      <c r="F7856" s="107" t="str">
        <f aca="false">IF($C7856="","",$D7856*$E7856)</f>
        <v/>
      </c>
      <c r="G7856" s="107" t="str">
        <f aca="false">IF($C7856="","",$D7856*IFERROR(INDEX('تحليل التكلفة والسعر'!$C$2:$C$700,MATCH($C7856,'تحليل التكلفة والسعر'!$B$2:$B$700,0)),0))</f>
        <v/>
      </c>
    </row>
    <row r="7857" customFormat="false" ht="15" hidden="false" customHeight="false" outlineLevel="0" collapsed="false">
      <c r="A7857" s="103"/>
      <c r="B7857" s="104"/>
      <c r="C7857" s="104"/>
      <c r="E7857" s="107" t="str">
        <f aca="false">IF($C7857="","",IFERROR(INDEX(المنيو!$C$2:$C$500,MATCH($C7857,المنيو!$B$2:$B$500,0)),0))</f>
        <v/>
      </c>
      <c r="F7857" s="107" t="str">
        <f aca="false">IF($C7857="","",$D7857*$E7857)</f>
        <v/>
      </c>
      <c r="G7857" s="107" t="str">
        <f aca="false">IF($C7857="","",$D7857*IFERROR(INDEX('تحليل التكلفة والسعر'!$C$2:$C$700,MATCH($C7857,'تحليل التكلفة والسعر'!$B$2:$B$700,0)),0))</f>
        <v/>
      </c>
    </row>
    <row r="7858" customFormat="false" ht="15" hidden="false" customHeight="false" outlineLevel="0" collapsed="false">
      <c r="A7858" s="103"/>
      <c r="B7858" s="104"/>
      <c r="C7858" s="104"/>
      <c r="E7858" s="107" t="str">
        <f aca="false">IF($C7858="","",IFERROR(INDEX(المنيو!$C$2:$C$500,MATCH($C7858,المنيو!$B$2:$B$500,0)),0))</f>
        <v/>
      </c>
      <c r="F7858" s="107" t="str">
        <f aca="false">IF($C7858="","",$D7858*$E7858)</f>
        <v/>
      </c>
      <c r="G7858" s="107" t="str">
        <f aca="false">IF($C7858="","",$D7858*IFERROR(INDEX('تحليل التكلفة والسعر'!$C$2:$C$700,MATCH($C7858,'تحليل التكلفة والسعر'!$B$2:$B$700,0)),0))</f>
        <v/>
      </c>
    </row>
    <row r="7859" customFormat="false" ht="15" hidden="false" customHeight="false" outlineLevel="0" collapsed="false">
      <c r="A7859" s="103"/>
      <c r="B7859" s="104"/>
      <c r="C7859" s="104"/>
      <c r="E7859" s="107" t="str">
        <f aca="false">IF($C7859="","",IFERROR(INDEX(المنيو!$C$2:$C$500,MATCH($C7859,المنيو!$B$2:$B$500,0)),0))</f>
        <v/>
      </c>
      <c r="F7859" s="107" t="str">
        <f aca="false">IF($C7859="","",$D7859*$E7859)</f>
        <v/>
      </c>
      <c r="G7859" s="107" t="str">
        <f aca="false">IF($C7859="","",$D7859*IFERROR(INDEX('تحليل التكلفة والسعر'!$C$2:$C$700,MATCH($C7859,'تحليل التكلفة والسعر'!$B$2:$B$700,0)),0))</f>
        <v/>
      </c>
    </row>
    <row r="7860" customFormat="false" ht="15" hidden="false" customHeight="false" outlineLevel="0" collapsed="false">
      <c r="A7860" s="103"/>
      <c r="B7860" s="104"/>
      <c r="C7860" s="104"/>
      <c r="E7860" s="107" t="str">
        <f aca="false">IF($C7860="","",IFERROR(INDEX(المنيو!$C$2:$C$500,MATCH($C7860,المنيو!$B$2:$B$500,0)),0))</f>
        <v/>
      </c>
      <c r="F7860" s="107" t="str">
        <f aca="false">IF($C7860="","",$D7860*$E7860)</f>
        <v/>
      </c>
      <c r="G7860" s="107" t="str">
        <f aca="false">IF($C7860="","",$D7860*IFERROR(INDEX('تحليل التكلفة والسعر'!$C$2:$C$700,MATCH($C7860,'تحليل التكلفة والسعر'!$B$2:$B$700,0)),0))</f>
        <v/>
      </c>
    </row>
    <row r="7861" customFormat="false" ht="15" hidden="false" customHeight="false" outlineLevel="0" collapsed="false">
      <c r="A7861" s="103"/>
      <c r="B7861" s="104"/>
      <c r="C7861" s="104"/>
      <c r="E7861" s="107" t="str">
        <f aca="false">IF($C7861="","",IFERROR(INDEX(المنيو!$C$2:$C$500,MATCH($C7861,المنيو!$B$2:$B$500,0)),0))</f>
        <v/>
      </c>
      <c r="F7861" s="107" t="str">
        <f aca="false">IF($C7861="","",$D7861*$E7861)</f>
        <v/>
      </c>
      <c r="G7861" s="107" t="str">
        <f aca="false">IF($C7861="","",$D7861*IFERROR(INDEX('تحليل التكلفة والسعر'!$C$2:$C$700,MATCH($C7861,'تحليل التكلفة والسعر'!$B$2:$B$700,0)),0))</f>
        <v/>
      </c>
    </row>
    <row r="7862" customFormat="false" ht="15" hidden="false" customHeight="false" outlineLevel="0" collapsed="false">
      <c r="A7862" s="103"/>
      <c r="B7862" s="104"/>
      <c r="C7862" s="104"/>
      <c r="E7862" s="107" t="str">
        <f aca="false">IF($C7862="","",IFERROR(INDEX(المنيو!$C$2:$C$500,MATCH($C7862,المنيو!$B$2:$B$500,0)),0))</f>
        <v/>
      </c>
      <c r="F7862" s="107" t="str">
        <f aca="false">IF($C7862="","",$D7862*$E7862)</f>
        <v/>
      </c>
      <c r="G7862" s="107" t="str">
        <f aca="false">IF($C7862="","",$D7862*IFERROR(INDEX('تحليل التكلفة والسعر'!$C$2:$C$700,MATCH($C7862,'تحليل التكلفة والسعر'!$B$2:$B$700,0)),0))</f>
        <v/>
      </c>
    </row>
    <row r="7863" customFormat="false" ht="15" hidden="false" customHeight="false" outlineLevel="0" collapsed="false">
      <c r="A7863" s="103"/>
      <c r="B7863" s="104"/>
      <c r="C7863" s="104"/>
      <c r="E7863" s="107" t="str">
        <f aca="false">IF($C7863="","",IFERROR(INDEX(المنيو!$C$2:$C$500,MATCH($C7863,المنيو!$B$2:$B$500,0)),0))</f>
        <v/>
      </c>
      <c r="F7863" s="107" t="str">
        <f aca="false">IF($C7863="","",$D7863*$E7863)</f>
        <v/>
      </c>
      <c r="G7863" s="107" t="str">
        <f aca="false">IF($C7863="","",$D7863*IFERROR(INDEX('تحليل التكلفة والسعر'!$C$2:$C$700,MATCH($C7863,'تحليل التكلفة والسعر'!$B$2:$B$700,0)),0))</f>
        <v/>
      </c>
    </row>
    <row r="7864" customFormat="false" ht="15" hidden="false" customHeight="false" outlineLevel="0" collapsed="false">
      <c r="A7864" s="103"/>
      <c r="B7864" s="104"/>
      <c r="C7864" s="104"/>
      <c r="E7864" s="107" t="str">
        <f aca="false">IF($C7864="","",IFERROR(INDEX(المنيو!$C$2:$C$500,MATCH($C7864,المنيو!$B$2:$B$500,0)),0))</f>
        <v/>
      </c>
      <c r="F7864" s="107" t="str">
        <f aca="false">IF($C7864="","",$D7864*$E7864)</f>
        <v/>
      </c>
      <c r="G7864" s="107" t="str">
        <f aca="false">IF($C7864="","",$D7864*IFERROR(INDEX('تحليل التكلفة والسعر'!$C$2:$C$700,MATCH($C7864,'تحليل التكلفة والسعر'!$B$2:$B$700,0)),0))</f>
        <v/>
      </c>
    </row>
    <row r="7865" customFormat="false" ht="15" hidden="false" customHeight="false" outlineLevel="0" collapsed="false">
      <c r="A7865" s="103"/>
      <c r="B7865" s="104"/>
      <c r="C7865" s="104"/>
      <c r="E7865" s="107" t="str">
        <f aca="false">IF($C7865="","",IFERROR(INDEX(المنيو!$C$2:$C$500,MATCH($C7865,المنيو!$B$2:$B$500,0)),0))</f>
        <v/>
      </c>
      <c r="F7865" s="107" t="str">
        <f aca="false">IF($C7865="","",$D7865*$E7865)</f>
        <v/>
      </c>
      <c r="G7865" s="107" t="str">
        <f aca="false">IF($C7865="","",$D7865*IFERROR(INDEX('تحليل التكلفة والسعر'!$C$2:$C$700,MATCH($C7865,'تحليل التكلفة والسعر'!$B$2:$B$700,0)),0))</f>
        <v/>
      </c>
    </row>
    <row r="7866" customFormat="false" ht="15" hidden="false" customHeight="false" outlineLevel="0" collapsed="false">
      <c r="A7866" s="103"/>
      <c r="B7866" s="104"/>
      <c r="C7866" s="104"/>
      <c r="E7866" s="107" t="str">
        <f aca="false">IF($C7866="","",IFERROR(INDEX(المنيو!$C$2:$C$500,MATCH($C7866,المنيو!$B$2:$B$500,0)),0))</f>
        <v/>
      </c>
      <c r="F7866" s="107" t="str">
        <f aca="false">IF($C7866="","",$D7866*$E7866)</f>
        <v/>
      </c>
      <c r="G7866" s="107" t="str">
        <f aca="false">IF($C7866="","",$D7866*IFERROR(INDEX('تحليل التكلفة والسعر'!$C$2:$C$700,MATCH($C7866,'تحليل التكلفة والسعر'!$B$2:$B$700,0)),0))</f>
        <v/>
      </c>
    </row>
    <row r="7867" customFormat="false" ht="15" hidden="false" customHeight="false" outlineLevel="0" collapsed="false">
      <c r="A7867" s="103"/>
      <c r="B7867" s="104"/>
      <c r="C7867" s="104"/>
      <c r="E7867" s="107" t="str">
        <f aca="false">IF($C7867="","",IFERROR(INDEX(المنيو!$C$2:$C$500,MATCH($C7867,المنيو!$B$2:$B$500,0)),0))</f>
        <v/>
      </c>
      <c r="F7867" s="107" t="str">
        <f aca="false">IF($C7867="","",$D7867*$E7867)</f>
        <v/>
      </c>
      <c r="G7867" s="107" t="str">
        <f aca="false">IF($C7867="","",$D7867*IFERROR(INDEX('تحليل التكلفة والسعر'!$C$2:$C$700,MATCH($C7867,'تحليل التكلفة والسعر'!$B$2:$B$700,0)),0))</f>
        <v/>
      </c>
    </row>
    <row r="7868" customFormat="false" ht="15" hidden="false" customHeight="false" outlineLevel="0" collapsed="false">
      <c r="A7868" s="103"/>
      <c r="B7868" s="104"/>
      <c r="C7868" s="104"/>
      <c r="E7868" s="107" t="str">
        <f aca="false">IF($C7868="","",IFERROR(INDEX(المنيو!$C$2:$C$500,MATCH($C7868,المنيو!$B$2:$B$500,0)),0))</f>
        <v/>
      </c>
      <c r="F7868" s="107" t="str">
        <f aca="false">IF($C7868="","",$D7868*$E7868)</f>
        <v/>
      </c>
      <c r="G7868" s="107" t="str">
        <f aca="false">IF($C7868="","",$D7868*IFERROR(INDEX('تحليل التكلفة والسعر'!$C$2:$C$700,MATCH($C7868,'تحليل التكلفة والسعر'!$B$2:$B$700,0)),0))</f>
        <v/>
      </c>
    </row>
    <row r="7869" customFormat="false" ht="15" hidden="false" customHeight="false" outlineLevel="0" collapsed="false">
      <c r="A7869" s="103"/>
      <c r="B7869" s="104"/>
      <c r="C7869" s="104"/>
      <c r="E7869" s="107" t="str">
        <f aca="false">IF($C7869="","",IFERROR(INDEX(المنيو!$C$2:$C$500,MATCH($C7869,المنيو!$B$2:$B$500,0)),0))</f>
        <v/>
      </c>
      <c r="F7869" s="107" t="str">
        <f aca="false">IF($C7869="","",$D7869*$E7869)</f>
        <v/>
      </c>
      <c r="G7869" s="107" t="str">
        <f aca="false">IF($C7869="","",$D7869*IFERROR(INDEX('تحليل التكلفة والسعر'!$C$2:$C$700,MATCH($C7869,'تحليل التكلفة والسعر'!$B$2:$B$700,0)),0))</f>
        <v/>
      </c>
    </row>
    <row r="7870" customFormat="false" ht="15" hidden="false" customHeight="false" outlineLevel="0" collapsed="false">
      <c r="A7870" s="103"/>
      <c r="B7870" s="104"/>
      <c r="C7870" s="104"/>
      <c r="E7870" s="107" t="str">
        <f aca="false">IF($C7870="","",IFERROR(INDEX(المنيو!$C$2:$C$500,MATCH($C7870,المنيو!$B$2:$B$500,0)),0))</f>
        <v/>
      </c>
      <c r="F7870" s="107" t="str">
        <f aca="false">IF($C7870="","",$D7870*$E7870)</f>
        <v/>
      </c>
      <c r="G7870" s="107" t="str">
        <f aca="false">IF($C7870="","",$D7870*IFERROR(INDEX('تحليل التكلفة والسعر'!$C$2:$C$700,MATCH($C7870,'تحليل التكلفة والسعر'!$B$2:$B$700,0)),0))</f>
        <v/>
      </c>
    </row>
    <row r="7871" customFormat="false" ht="15" hidden="false" customHeight="false" outlineLevel="0" collapsed="false">
      <c r="A7871" s="103"/>
      <c r="B7871" s="104"/>
      <c r="C7871" s="104"/>
      <c r="E7871" s="107" t="str">
        <f aca="false">IF($C7871="","",IFERROR(INDEX(المنيو!$C$2:$C$500,MATCH($C7871,المنيو!$B$2:$B$500,0)),0))</f>
        <v/>
      </c>
      <c r="F7871" s="107" t="str">
        <f aca="false">IF($C7871="","",$D7871*$E7871)</f>
        <v/>
      </c>
      <c r="G7871" s="107" t="str">
        <f aca="false">IF($C7871="","",$D7871*IFERROR(INDEX('تحليل التكلفة والسعر'!$C$2:$C$700,MATCH($C7871,'تحليل التكلفة والسعر'!$B$2:$B$700,0)),0))</f>
        <v/>
      </c>
    </row>
    <row r="7872" customFormat="false" ht="15" hidden="false" customHeight="false" outlineLevel="0" collapsed="false">
      <c r="A7872" s="103"/>
      <c r="B7872" s="104"/>
      <c r="C7872" s="104"/>
      <c r="E7872" s="107" t="str">
        <f aca="false">IF($C7872="","",IFERROR(INDEX(المنيو!$C$2:$C$500,MATCH($C7872,المنيو!$B$2:$B$500,0)),0))</f>
        <v/>
      </c>
      <c r="F7872" s="107" t="str">
        <f aca="false">IF($C7872="","",$D7872*$E7872)</f>
        <v/>
      </c>
      <c r="G7872" s="107" t="str">
        <f aca="false">IF($C7872="","",$D7872*IFERROR(INDEX('تحليل التكلفة والسعر'!$C$2:$C$700,MATCH($C7872,'تحليل التكلفة والسعر'!$B$2:$B$700,0)),0))</f>
        <v/>
      </c>
    </row>
    <row r="7873" customFormat="false" ht="15" hidden="false" customHeight="false" outlineLevel="0" collapsed="false">
      <c r="A7873" s="103"/>
      <c r="B7873" s="104"/>
      <c r="C7873" s="104"/>
      <c r="E7873" s="107" t="str">
        <f aca="false">IF($C7873="","",IFERROR(INDEX(المنيو!$C$2:$C$500,MATCH($C7873,المنيو!$B$2:$B$500,0)),0))</f>
        <v/>
      </c>
      <c r="F7873" s="107" t="str">
        <f aca="false">IF($C7873="","",$D7873*$E7873)</f>
        <v/>
      </c>
      <c r="G7873" s="107" t="str">
        <f aca="false">IF($C7873="","",$D7873*IFERROR(INDEX('تحليل التكلفة والسعر'!$C$2:$C$700,MATCH($C7873,'تحليل التكلفة والسعر'!$B$2:$B$700,0)),0))</f>
        <v/>
      </c>
    </row>
    <row r="7874" customFormat="false" ht="15" hidden="false" customHeight="false" outlineLevel="0" collapsed="false">
      <c r="A7874" s="103"/>
      <c r="B7874" s="104"/>
      <c r="C7874" s="104"/>
      <c r="E7874" s="107" t="str">
        <f aca="false">IF($C7874="","",IFERROR(INDEX(المنيو!$C$2:$C$500,MATCH($C7874,المنيو!$B$2:$B$500,0)),0))</f>
        <v/>
      </c>
      <c r="F7874" s="107" t="str">
        <f aca="false">IF($C7874="","",$D7874*$E7874)</f>
        <v/>
      </c>
      <c r="G7874" s="107" t="str">
        <f aca="false">IF($C7874="","",$D7874*IFERROR(INDEX('تحليل التكلفة والسعر'!$C$2:$C$700,MATCH($C7874,'تحليل التكلفة والسعر'!$B$2:$B$700,0)),0))</f>
        <v/>
      </c>
    </row>
    <row r="7875" customFormat="false" ht="15" hidden="false" customHeight="false" outlineLevel="0" collapsed="false">
      <c r="A7875" s="103"/>
      <c r="B7875" s="104"/>
      <c r="C7875" s="104"/>
      <c r="E7875" s="107" t="str">
        <f aca="false">IF($C7875="","",IFERROR(INDEX(المنيو!$C$2:$C$500,MATCH($C7875,المنيو!$B$2:$B$500,0)),0))</f>
        <v/>
      </c>
      <c r="F7875" s="107" t="str">
        <f aca="false">IF($C7875="","",$D7875*$E7875)</f>
        <v/>
      </c>
      <c r="G7875" s="107" t="str">
        <f aca="false">IF($C7875="","",$D7875*IFERROR(INDEX('تحليل التكلفة والسعر'!$C$2:$C$700,MATCH($C7875,'تحليل التكلفة والسعر'!$B$2:$B$700,0)),0))</f>
        <v/>
      </c>
    </row>
    <row r="7876" customFormat="false" ht="15" hidden="false" customHeight="false" outlineLevel="0" collapsed="false">
      <c r="A7876" s="103"/>
      <c r="B7876" s="104"/>
      <c r="C7876" s="104"/>
      <c r="E7876" s="107" t="str">
        <f aca="false">IF($C7876="","",IFERROR(INDEX(المنيو!$C$2:$C$500,MATCH($C7876,المنيو!$B$2:$B$500,0)),0))</f>
        <v/>
      </c>
      <c r="F7876" s="107" t="str">
        <f aca="false">IF($C7876="","",$D7876*$E7876)</f>
        <v/>
      </c>
      <c r="G7876" s="107" t="str">
        <f aca="false">IF($C7876="","",$D7876*IFERROR(INDEX('تحليل التكلفة والسعر'!$C$2:$C$700,MATCH($C7876,'تحليل التكلفة والسعر'!$B$2:$B$700,0)),0))</f>
        <v/>
      </c>
    </row>
    <row r="7877" customFormat="false" ht="15" hidden="false" customHeight="false" outlineLevel="0" collapsed="false">
      <c r="A7877" s="103"/>
      <c r="B7877" s="104"/>
      <c r="C7877" s="104"/>
      <c r="E7877" s="107" t="str">
        <f aca="false">IF($C7877="","",IFERROR(INDEX(المنيو!$C$2:$C$500,MATCH($C7877,المنيو!$B$2:$B$500,0)),0))</f>
        <v/>
      </c>
      <c r="F7877" s="107" t="str">
        <f aca="false">IF($C7877="","",$D7877*$E7877)</f>
        <v/>
      </c>
      <c r="G7877" s="107" t="str">
        <f aca="false">IF($C7877="","",$D7877*IFERROR(INDEX('تحليل التكلفة والسعر'!$C$2:$C$700,MATCH($C7877,'تحليل التكلفة والسعر'!$B$2:$B$700,0)),0))</f>
        <v/>
      </c>
    </row>
    <row r="7878" customFormat="false" ht="15" hidden="false" customHeight="false" outlineLevel="0" collapsed="false">
      <c r="A7878" s="103"/>
      <c r="B7878" s="104"/>
      <c r="C7878" s="104"/>
      <c r="E7878" s="107" t="str">
        <f aca="false">IF($C7878="","",IFERROR(INDEX(المنيو!$C$2:$C$500,MATCH($C7878,المنيو!$B$2:$B$500,0)),0))</f>
        <v/>
      </c>
      <c r="F7878" s="107" t="str">
        <f aca="false">IF($C7878="","",$D7878*$E7878)</f>
        <v/>
      </c>
      <c r="G7878" s="107" t="str">
        <f aca="false">IF($C7878="","",$D7878*IFERROR(INDEX('تحليل التكلفة والسعر'!$C$2:$C$700,MATCH($C7878,'تحليل التكلفة والسعر'!$B$2:$B$700,0)),0))</f>
        <v/>
      </c>
    </row>
    <row r="7879" customFormat="false" ht="15" hidden="false" customHeight="false" outlineLevel="0" collapsed="false">
      <c r="A7879" s="103"/>
      <c r="B7879" s="104"/>
      <c r="C7879" s="104"/>
      <c r="E7879" s="107" t="str">
        <f aca="false">IF($C7879="","",IFERROR(INDEX(المنيو!$C$2:$C$500,MATCH($C7879,المنيو!$B$2:$B$500,0)),0))</f>
        <v/>
      </c>
      <c r="F7879" s="107" t="str">
        <f aca="false">IF($C7879="","",$D7879*$E7879)</f>
        <v/>
      </c>
      <c r="G7879" s="107" t="str">
        <f aca="false">IF($C7879="","",$D7879*IFERROR(INDEX('تحليل التكلفة والسعر'!$C$2:$C$700,MATCH($C7879,'تحليل التكلفة والسعر'!$B$2:$B$700,0)),0))</f>
        <v/>
      </c>
    </row>
    <row r="7880" customFormat="false" ht="15" hidden="false" customHeight="false" outlineLevel="0" collapsed="false">
      <c r="A7880" s="103"/>
      <c r="B7880" s="104"/>
      <c r="C7880" s="104"/>
      <c r="E7880" s="107" t="str">
        <f aca="false">IF($C7880="","",IFERROR(INDEX(المنيو!$C$2:$C$500,MATCH($C7880,المنيو!$B$2:$B$500,0)),0))</f>
        <v/>
      </c>
      <c r="F7880" s="107" t="str">
        <f aca="false">IF($C7880="","",$D7880*$E7880)</f>
        <v/>
      </c>
      <c r="G7880" s="107" t="str">
        <f aca="false">IF($C7880="","",$D7880*IFERROR(INDEX('تحليل التكلفة والسعر'!$C$2:$C$700,MATCH($C7880,'تحليل التكلفة والسعر'!$B$2:$B$700,0)),0))</f>
        <v/>
      </c>
    </row>
    <row r="7881" customFormat="false" ht="15" hidden="false" customHeight="false" outlineLevel="0" collapsed="false">
      <c r="A7881" s="103"/>
      <c r="B7881" s="104"/>
      <c r="C7881" s="104"/>
      <c r="E7881" s="107" t="str">
        <f aca="false">IF($C7881="","",IFERROR(INDEX(المنيو!$C$2:$C$500,MATCH($C7881,المنيو!$B$2:$B$500,0)),0))</f>
        <v/>
      </c>
      <c r="F7881" s="107" t="str">
        <f aca="false">IF($C7881="","",$D7881*$E7881)</f>
        <v/>
      </c>
      <c r="G7881" s="107" t="str">
        <f aca="false">IF($C7881="","",$D7881*IFERROR(INDEX('تحليل التكلفة والسعر'!$C$2:$C$700,MATCH($C7881,'تحليل التكلفة والسعر'!$B$2:$B$700,0)),0))</f>
        <v/>
      </c>
    </row>
    <row r="7882" customFormat="false" ht="15" hidden="false" customHeight="false" outlineLevel="0" collapsed="false">
      <c r="A7882" s="103"/>
      <c r="B7882" s="104"/>
      <c r="C7882" s="104"/>
      <c r="E7882" s="107" t="str">
        <f aca="false">IF($C7882="","",IFERROR(INDEX(المنيو!$C$2:$C$500,MATCH($C7882,المنيو!$B$2:$B$500,0)),0))</f>
        <v/>
      </c>
      <c r="F7882" s="107" t="str">
        <f aca="false">IF($C7882="","",$D7882*$E7882)</f>
        <v/>
      </c>
      <c r="G7882" s="107" t="str">
        <f aca="false">IF($C7882="","",$D7882*IFERROR(INDEX('تحليل التكلفة والسعر'!$C$2:$C$700,MATCH($C7882,'تحليل التكلفة والسعر'!$B$2:$B$700,0)),0))</f>
        <v/>
      </c>
    </row>
    <row r="7883" customFormat="false" ht="15" hidden="false" customHeight="false" outlineLevel="0" collapsed="false">
      <c r="A7883" s="103"/>
      <c r="B7883" s="104"/>
      <c r="C7883" s="104"/>
      <c r="E7883" s="107" t="str">
        <f aca="false">IF($C7883="","",IFERROR(INDEX(المنيو!$C$2:$C$500,MATCH($C7883,المنيو!$B$2:$B$500,0)),0))</f>
        <v/>
      </c>
      <c r="F7883" s="107" t="str">
        <f aca="false">IF($C7883="","",$D7883*$E7883)</f>
        <v/>
      </c>
      <c r="G7883" s="107" t="str">
        <f aca="false">IF($C7883="","",$D7883*IFERROR(INDEX('تحليل التكلفة والسعر'!$C$2:$C$700,MATCH($C7883,'تحليل التكلفة والسعر'!$B$2:$B$700,0)),0))</f>
        <v/>
      </c>
    </row>
    <row r="7884" customFormat="false" ht="15" hidden="false" customHeight="false" outlineLevel="0" collapsed="false">
      <c r="A7884" s="103"/>
      <c r="B7884" s="104"/>
      <c r="C7884" s="104"/>
      <c r="E7884" s="107" t="str">
        <f aca="false">IF($C7884="","",IFERROR(INDEX(المنيو!$C$2:$C$500,MATCH($C7884,المنيو!$B$2:$B$500,0)),0))</f>
        <v/>
      </c>
      <c r="F7884" s="107" t="str">
        <f aca="false">IF($C7884="","",$D7884*$E7884)</f>
        <v/>
      </c>
      <c r="G7884" s="107" t="str">
        <f aca="false">IF($C7884="","",$D7884*IFERROR(INDEX('تحليل التكلفة والسعر'!$C$2:$C$700,MATCH($C7884,'تحليل التكلفة والسعر'!$B$2:$B$700,0)),0))</f>
        <v/>
      </c>
    </row>
    <row r="7885" customFormat="false" ht="15" hidden="false" customHeight="false" outlineLevel="0" collapsed="false">
      <c r="A7885" s="103"/>
      <c r="B7885" s="104"/>
      <c r="C7885" s="104"/>
      <c r="E7885" s="107" t="str">
        <f aca="false">IF($C7885="","",IFERROR(INDEX(المنيو!$C$2:$C$500,MATCH($C7885,المنيو!$B$2:$B$500,0)),0))</f>
        <v/>
      </c>
      <c r="F7885" s="107" t="str">
        <f aca="false">IF($C7885="","",$D7885*$E7885)</f>
        <v/>
      </c>
      <c r="G7885" s="107" t="str">
        <f aca="false">IF($C7885="","",$D7885*IFERROR(INDEX('تحليل التكلفة والسعر'!$C$2:$C$700,MATCH($C7885,'تحليل التكلفة والسعر'!$B$2:$B$700,0)),0))</f>
        <v/>
      </c>
    </row>
    <row r="7886" customFormat="false" ht="15" hidden="false" customHeight="false" outlineLevel="0" collapsed="false">
      <c r="A7886" s="103"/>
      <c r="B7886" s="104"/>
      <c r="C7886" s="104"/>
      <c r="E7886" s="107" t="str">
        <f aca="false">IF($C7886="","",IFERROR(INDEX(المنيو!$C$2:$C$500,MATCH($C7886,المنيو!$B$2:$B$500,0)),0))</f>
        <v/>
      </c>
      <c r="F7886" s="107" t="str">
        <f aca="false">IF($C7886="","",$D7886*$E7886)</f>
        <v/>
      </c>
      <c r="G7886" s="107" t="str">
        <f aca="false">IF($C7886="","",$D7886*IFERROR(INDEX('تحليل التكلفة والسعر'!$C$2:$C$700,MATCH($C7886,'تحليل التكلفة والسعر'!$B$2:$B$700,0)),0))</f>
        <v/>
      </c>
    </row>
    <row r="7887" customFormat="false" ht="15" hidden="false" customHeight="false" outlineLevel="0" collapsed="false">
      <c r="A7887" s="103"/>
      <c r="B7887" s="104"/>
      <c r="C7887" s="104"/>
      <c r="E7887" s="107" t="str">
        <f aca="false">IF($C7887="","",IFERROR(INDEX(المنيو!$C$2:$C$500,MATCH($C7887,المنيو!$B$2:$B$500,0)),0))</f>
        <v/>
      </c>
      <c r="F7887" s="107" t="str">
        <f aca="false">IF($C7887="","",$D7887*$E7887)</f>
        <v/>
      </c>
      <c r="G7887" s="107" t="str">
        <f aca="false">IF($C7887="","",$D7887*IFERROR(INDEX('تحليل التكلفة والسعر'!$C$2:$C$700,MATCH($C7887,'تحليل التكلفة والسعر'!$B$2:$B$700,0)),0))</f>
        <v/>
      </c>
    </row>
    <row r="7888" customFormat="false" ht="15" hidden="false" customHeight="false" outlineLevel="0" collapsed="false">
      <c r="A7888" s="103"/>
      <c r="B7888" s="104"/>
      <c r="C7888" s="104"/>
      <c r="E7888" s="107" t="str">
        <f aca="false">IF($C7888="","",IFERROR(INDEX(المنيو!$C$2:$C$500,MATCH($C7888,المنيو!$B$2:$B$500,0)),0))</f>
        <v/>
      </c>
      <c r="F7888" s="107" t="str">
        <f aca="false">IF($C7888="","",$D7888*$E7888)</f>
        <v/>
      </c>
      <c r="G7888" s="107" t="str">
        <f aca="false">IF($C7888="","",$D7888*IFERROR(INDEX('تحليل التكلفة والسعر'!$C$2:$C$700,MATCH($C7888,'تحليل التكلفة والسعر'!$B$2:$B$700,0)),0))</f>
        <v/>
      </c>
    </row>
    <row r="7889" customFormat="false" ht="15" hidden="false" customHeight="false" outlineLevel="0" collapsed="false">
      <c r="A7889" s="103"/>
      <c r="B7889" s="104"/>
      <c r="C7889" s="104"/>
      <c r="E7889" s="107" t="str">
        <f aca="false">IF($C7889="","",IFERROR(INDEX(المنيو!$C$2:$C$500,MATCH($C7889,المنيو!$B$2:$B$500,0)),0))</f>
        <v/>
      </c>
      <c r="F7889" s="107" t="str">
        <f aca="false">IF($C7889="","",$D7889*$E7889)</f>
        <v/>
      </c>
      <c r="G7889" s="107" t="str">
        <f aca="false">IF($C7889="","",$D7889*IFERROR(INDEX('تحليل التكلفة والسعر'!$C$2:$C$700,MATCH($C7889,'تحليل التكلفة والسعر'!$B$2:$B$700,0)),0))</f>
        <v/>
      </c>
    </row>
    <row r="7890" customFormat="false" ht="15" hidden="false" customHeight="false" outlineLevel="0" collapsed="false">
      <c r="A7890" s="103"/>
      <c r="B7890" s="104"/>
      <c r="C7890" s="104"/>
      <c r="E7890" s="107" t="str">
        <f aca="false">IF($C7890="","",IFERROR(INDEX(المنيو!$C$2:$C$500,MATCH($C7890,المنيو!$B$2:$B$500,0)),0))</f>
        <v/>
      </c>
      <c r="F7890" s="107" t="str">
        <f aca="false">IF($C7890="","",$D7890*$E7890)</f>
        <v/>
      </c>
      <c r="G7890" s="107" t="str">
        <f aca="false">IF($C7890="","",$D7890*IFERROR(INDEX('تحليل التكلفة والسعر'!$C$2:$C$700,MATCH($C7890,'تحليل التكلفة والسعر'!$B$2:$B$700,0)),0))</f>
        <v/>
      </c>
    </row>
    <row r="7891" customFormat="false" ht="15" hidden="false" customHeight="false" outlineLevel="0" collapsed="false">
      <c r="A7891" s="103"/>
      <c r="B7891" s="104"/>
      <c r="C7891" s="104"/>
      <c r="E7891" s="107" t="str">
        <f aca="false">IF($C7891="","",IFERROR(INDEX(المنيو!$C$2:$C$500,MATCH($C7891,المنيو!$B$2:$B$500,0)),0))</f>
        <v/>
      </c>
      <c r="F7891" s="107" t="str">
        <f aca="false">IF($C7891="","",$D7891*$E7891)</f>
        <v/>
      </c>
      <c r="G7891" s="107" t="str">
        <f aca="false">IF($C7891="","",$D7891*IFERROR(INDEX('تحليل التكلفة والسعر'!$C$2:$C$700,MATCH($C7891,'تحليل التكلفة والسعر'!$B$2:$B$700,0)),0))</f>
        <v/>
      </c>
    </row>
    <row r="7892" customFormat="false" ht="15" hidden="false" customHeight="false" outlineLevel="0" collapsed="false">
      <c r="A7892" s="103"/>
      <c r="B7892" s="104"/>
      <c r="C7892" s="104"/>
      <c r="E7892" s="107" t="str">
        <f aca="false">IF($C7892="","",IFERROR(INDEX(المنيو!$C$2:$C$500,MATCH($C7892,المنيو!$B$2:$B$500,0)),0))</f>
        <v/>
      </c>
      <c r="F7892" s="107" t="str">
        <f aca="false">IF($C7892="","",$D7892*$E7892)</f>
        <v/>
      </c>
      <c r="G7892" s="107" t="str">
        <f aca="false">IF($C7892="","",$D7892*IFERROR(INDEX('تحليل التكلفة والسعر'!$C$2:$C$700,MATCH($C7892,'تحليل التكلفة والسعر'!$B$2:$B$700,0)),0))</f>
        <v/>
      </c>
    </row>
    <row r="7893" customFormat="false" ht="15" hidden="false" customHeight="false" outlineLevel="0" collapsed="false">
      <c r="A7893" s="103"/>
      <c r="B7893" s="104"/>
      <c r="C7893" s="104"/>
      <c r="E7893" s="107" t="str">
        <f aca="false">IF($C7893="","",IFERROR(INDEX(المنيو!$C$2:$C$500,MATCH($C7893,المنيو!$B$2:$B$500,0)),0))</f>
        <v/>
      </c>
      <c r="F7893" s="107" t="str">
        <f aca="false">IF($C7893="","",$D7893*$E7893)</f>
        <v/>
      </c>
      <c r="G7893" s="107" t="str">
        <f aca="false">IF($C7893="","",$D7893*IFERROR(INDEX('تحليل التكلفة والسعر'!$C$2:$C$700,MATCH($C7893,'تحليل التكلفة والسعر'!$B$2:$B$700,0)),0))</f>
        <v/>
      </c>
    </row>
    <row r="7894" customFormat="false" ht="15" hidden="false" customHeight="false" outlineLevel="0" collapsed="false">
      <c r="A7894" s="103"/>
      <c r="B7894" s="104"/>
      <c r="C7894" s="104"/>
      <c r="E7894" s="107" t="str">
        <f aca="false">IF($C7894="","",IFERROR(INDEX(المنيو!$C$2:$C$500,MATCH($C7894,المنيو!$B$2:$B$500,0)),0))</f>
        <v/>
      </c>
      <c r="F7894" s="107" t="str">
        <f aca="false">IF($C7894="","",$D7894*$E7894)</f>
        <v/>
      </c>
      <c r="G7894" s="107" t="str">
        <f aca="false">IF($C7894="","",$D7894*IFERROR(INDEX('تحليل التكلفة والسعر'!$C$2:$C$700,MATCH($C7894,'تحليل التكلفة والسعر'!$B$2:$B$700,0)),0))</f>
        <v/>
      </c>
    </row>
    <row r="7895" customFormat="false" ht="15" hidden="false" customHeight="false" outlineLevel="0" collapsed="false">
      <c r="A7895" s="103"/>
      <c r="B7895" s="104"/>
      <c r="C7895" s="104"/>
      <c r="E7895" s="107" t="str">
        <f aca="false">IF($C7895="","",IFERROR(INDEX(المنيو!$C$2:$C$500,MATCH($C7895,المنيو!$B$2:$B$500,0)),0))</f>
        <v/>
      </c>
      <c r="F7895" s="107" t="str">
        <f aca="false">IF($C7895="","",$D7895*$E7895)</f>
        <v/>
      </c>
      <c r="G7895" s="107" t="str">
        <f aca="false">IF($C7895="","",$D7895*IFERROR(INDEX('تحليل التكلفة والسعر'!$C$2:$C$700,MATCH($C7895,'تحليل التكلفة والسعر'!$B$2:$B$700,0)),0))</f>
        <v/>
      </c>
    </row>
    <row r="7896" customFormat="false" ht="15" hidden="false" customHeight="false" outlineLevel="0" collapsed="false">
      <c r="A7896" s="103"/>
      <c r="B7896" s="104"/>
      <c r="C7896" s="104"/>
      <c r="E7896" s="107" t="str">
        <f aca="false">IF($C7896="","",IFERROR(INDEX(المنيو!$C$2:$C$500,MATCH($C7896,المنيو!$B$2:$B$500,0)),0))</f>
        <v/>
      </c>
      <c r="F7896" s="107" t="str">
        <f aca="false">IF($C7896="","",$D7896*$E7896)</f>
        <v/>
      </c>
      <c r="G7896" s="107" t="str">
        <f aca="false">IF($C7896="","",$D7896*IFERROR(INDEX('تحليل التكلفة والسعر'!$C$2:$C$700,MATCH($C7896,'تحليل التكلفة والسعر'!$B$2:$B$700,0)),0))</f>
        <v/>
      </c>
    </row>
    <row r="7897" customFormat="false" ht="15" hidden="false" customHeight="false" outlineLevel="0" collapsed="false">
      <c r="A7897" s="103"/>
      <c r="B7897" s="104"/>
      <c r="C7897" s="104"/>
      <c r="E7897" s="107" t="str">
        <f aca="false">IF($C7897="","",IFERROR(INDEX(المنيو!$C$2:$C$500,MATCH($C7897,المنيو!$B$2:$B$500,0)),0))</f>
        <v/>
      </c>
      <c r="F7897" s="107" t="str">
        <f aca="false">IF($C7897="","",$D7897*$E7897)</f>
        <v/>
      </c>
      <c r="G7897" s="107" t="str">
        <f aca="false">IF($C7897="","",$D7897*IFERROR(INDEX('تحليل التكلفة والسعر'!$C$2:$C$700,MATCH($C7897,'تحليل التكلفة والسعر'!$B$2:$B$700,0)),0))</f>
        <v/>
      </c>
    </row>
    <row r="7898" customFormat="false" ht="15" hidden="false" customHeight="false" outlineLevel="0" collapsed="false">
      <c r="A7898" s="103"/>
      <c r="B7898" s="104"/>
      <c r="C7898" s="104"/>
      <c r="E7898" s="107" t="str">
        <f aca="false">IF($C7898="","",IFERROR(INDEX(المنيو!$C$2:$C$500,MATCH($C7898,المنيو!$B$2:$B$500,0)),0))</f>
        <v/>
      </c>
      <c r="F7898" s="107" t="str">
        <f aca="false">IF($C7898="","",$D7898*$E7898)</f>
        <v/>
      </c>
      <c r="G7898" s="107" t="str">
        <f aca="false">IF($C7898="","",$D7898*IFERROR(INDEX('تحليل التكلفة والسعر'!$C$2:$C$700,MATCH($C7898,'تحليل التكلفة والسعر'!$B$2:$B$700,0)),0))</f>
        <v/>
      </c>
    </row>
    <row r="7899" customFormat="false" ht="15" hidden="false" customHeight="false" outlineLevel="0" collapsed="false">
      <c r="A7899" s="103"/>
      <c r="B7899" s="104"/>
      <c r="C7899" s="104"/>
      <c r="E7899" s="107" t="str">
        <f aca="false">IF($C7899="","",IFERROR(INDEX(المنيو!$C$2:$C$500,MATCH($C7899,المنيو!$B$2:$B$500,0)),0))</f>
        <v/>
      </c>
      <c r="F7899" s="107" t="str">
        <f aca="false">IF($C7899="","",$D7899*$E7899)</f>
        <v/>
      </c>
      <c r="G7899" s="107" t="str">
        <f aca="false">IF($C7899="","",$D7899*IFERROR(INDEX('تحليل التكلفة والسعر'!$C$2:$C$700,MATCH($C7899,'تحليل التكلفة والسعر'!$B$2:$B$700,0)),0))</f>
        <v/>
      </c>
    </row>
    <row r="7900" customFormat="false" ht="15" hidden="false" customHeight="false" outlineLevel="0" collapsed="false">
      <c r="A7900" s="103"/>
      <c r="B7900" s="104"/>
      <c r="C7900" s="104"/>
      <c r="E7900" s="107" t="str">
        <f aca="false">IF($C7900="","",IFERROR(INDEX(المنيو!$C$2:$C$500,MATCH($C7900,المنيو!$B$2:$B$500,0)),0))</f>
        <v/>
      </c>
      <c r="F7900" s="107" t="str">
        <f aca="false">IF($C7900="","",$D7900*$E7900)</f>
        <v/>
      </c>
      <c r="G7900" s="107" t="str">
        <f aca="false">IF($C7900="","",$D7900*IFERROR(INDEX('تحليل التكلفة والسعر'!$C$2:$C$700,MATCH($C7900,'تحليل التكلفة والسعر'!$B$2:$B$700,0)),0))</f>
        <v/>
      </c>
    </row>
    <row r="7901" customFormat="false" ht="15" hidden="false" customHeight="false" outlineLevel="0" collapsed="false">
      <c r="A7901" s="103"/>
      <c r="B7901" s="104"/>
      <c r="C7901" s="104"/>
      <c r="E7901" s="107" t="str">
        <f aca="false">IF($C7901="","",IFERROR(INDEX(المنيو!$C$2:$C$500,MATCH($C7901,المنيو!$B$2:$B$500,0)),0))</f>
        <v/>
      </c>
      <c r="F7901" s="107" t="str">
        <f aca="false">IF($C7901="","",$D7901*$E7901)</f>
        <v/>
      </c>
      <c r="G7901" s="107" t="str">
        <f aca="false">IF($C7901="","",$D7901*IFERROR(INDEX('تحليل التكلفة والسعر'!$C$2:$C$700,MATCH($C7901,'تحليل التكلفة والسعر'!$B$2:$B$700,0)),0))</f>
        <v/>
      </c>
    </row>
    <row r="7902" customFormat="false" ht="15" hidden="false" customHeight="false" outlineLevel="0" collapsed="false">
      <c r="A7902" s="103"/>
      <c r="B7902" s="104"/>
      <c r="C7902" s="104"/>
      <c r="E7902" s="107" t="str">
        <f aca="false">IF($C7902="","",IFERROR(INDEX(المنيو!$C$2:$C$500,MATCH($C7902,المنيو!$B$2:$B$500,0)),0))</f>
        <v/>
      </c>
      <c r="F7902" s="107" t="str">
        <f aca="false">IF($C7902="","",$D7902*$E7902)</f>
        <v/>
      </c>
      <c r="G7902" s="107" t="str">
        <f aca="false">IF($C7902="","",$D7902*IFERROR(INDEX('تحليل التكلفة والسعر'!$C$2:$C$700,MATCH($C7902,'تحليل التكلفة والسعر'!$B$2:$B$700,0)),0))</f>
        <v/>
      </c>
    </row>
    <row r="7903" customFormat="false" ht="15" hidden="false" customHeight="false" outlineLevel="0" collapsed="false">
      <c r="A7903" s="103"/>
      <c r="B7903" s="104"/>
      <c r="C7903" s="104"/>
      <c r="E7903" s="107" t="str">
        <f aca="false">IF($C7903="","",IFERROR(INDEX(المنيو!$C$2:$C$500,MATCH($C7903,المنيو!$B$2:$B$500,0)),0))</f>
        <v/>
      </c>
      <c r="F7903" s="107" t="str">
        <f aca="false">IF($C7903="","",$D7903*$E7903)</f>
        <v/>
      </c>
      <c r="G7903" s="107" t="str">
        <f aca="false">IF($C7903="","",$D7903*IFERROR(INDEX('تحليل التكلفة والسعر'!$C$2:$C$700,MATCH($C7903,'تحليل التكلفة والسعر'!$B$2:$B$700,0)),0))</f>
        <v/>
      </c>
    </row>
    <row r="7904" customFormat="false" ht="15" hidden="false" customHeight="false" outlineLevel="0" collapsed="false">
      <c r="A7904" s="103"/>
      <c r="B7904" s="104"/>
      <c r="C7904" s="104"/>
      <c r="E7904" s="107" t="str">
        <f aca="false">IF($C7904="","",IFERROR(INDEX(المنيو!$C$2:$C$500,MATCH($C7904,المنيو!$B$2:$B$500,0)),0))</f>
        <v/>
      </c>
      <c r="F7904" s="107" t="str">
        <f aca="false">IF($C7904="","",$D7904*$E7904)</f>
        <v/>
      </c>
      <c r="G7904" s="107" t="str">
        <f aca="false">IF($C7904="","",$D7904*IFERROR(INDEX('تحليل التكلفة والسعر'!$C$2:$C$700,MATCH($C7904,'تحليل التكلفة والسعر'!$B$2:$B$700,0)),0))</f>
        <v/>
      </c>
    </row>
    <row r="7905" customFormat="false" ht="15" hidden="false" customHeight="false" outlineLevel="0" collapsed="false">
      <c r="A7905" s="103"/>
      <c r="B7905" s="104"/>
      <c r="C7905" s="104"/>
      <c r="E7905" s="107" t="str">
        <f aca="false">IF($C7905="","",IFERROR(INDEX(المنيو!$C$2:$C$500,MATCH($C7905,المنيو!$B$2:$B$500,0)),0))</f>
        <v/>
      </c>
      <c r="F7905" s="107" t="str">
        <f aca="false">IF($C7905="","",$D7905*$E7905)</f>
        <v/>
      </c>
      <c r="G7905" s="107" t="str">
        <f aca="false">IF($C7905="","",$D7905*IFERROR(INDEX('تحليل التكلفة والسعر'!$C$2:$C$700,MATCH($C7905,'تحليل التكلفة والسعر'!$B$2:$B$700,0)),0))</f>
        <v/>
      </c>
    </row>
    <row r="7906" customFormat="false" ht="15" hidden="false" customHeight="false" outlineLevel="0" collapsed="false">
      <c r="A7906" s="103"/>
      <c r="B7906" s="104"/>
      <c r="C7906" s="104"/>
      <c r="E7906" s="107" t="str">
        <f aca="false">IF($C7906="","",IFERROR(INDEX(المنيو!$C$2:$C$500,MATCH($C7906,المنيو!$B$2:$B$500,0)),0))</f>
        <v/>
      </c>
      <c r="F7906" s="107" t="str">
        <f aca="false">IF($C7906="","",$D7906*$E7906)</f>
        <v/>
      </c>
      <c r="G7906" s="107" t="str">
        <f aca="false">IF($C7906="","",$D7906*IFERROR(INDEX('تحليل التكلفة والسعر'!$C$2:$C$700,MATCH($C7906,'تحليل التكلفة والسعر'!$B$2:$B$700,0)),0))</f>
        <v/>
      </c>
    </row>
    <row r="7907" customFormat="false" ht="15" hidden="false" customHeight="false" outlineLevel="0" collapsed="false">
      <c r="A7907" s="103"/>
      <c r="B7907" s="104"/>
      <c r="C7907" s="104"/>
      <c r="E7907" s="107" t="str">
        <f aca="false">IF($C7907="","",IFERROR(INDEX(المنيو!$C$2:$C$500,MATCH($C7907,المنيو!$B$2:$B$500,0)),0))</f>
        <v/>
      </c>
      <c r="F7907" s="107" t="str">
        <f aca="false">IF($C7907="","",$D7907*$E7907)</f>
        <v/>
      </c>
      <c r="G7907" s="107" t="str">
        <f aca="false">IF($C7907="","",$D7907*IFERROR(INDEX('تحليل التكلفة والسعر'!$C$2:$C$700,MATCH($C7907,'تحليل التكلفة والسعر'!$B$2:$B$700,0)),0))</f>
        <v/>
      </c>
    </row>
    <row r="7908" customFormat="false" ht="15" hidden="false" customHeight="false" outlineLevel="0" collapsed="false">
      <c r="A7908" s="103"/>
      <c r="B7908" s="104"/>
      <c r="C7908" s="104"/>
      <c r="E7908" s="107" t="str">
        <f aca="false">IF($C7908="","",IFERROR(INDEX(المنيو!$C$2:$C$500,MATCH($C7908,المنيو!$B$2:$B$500,0)),0))</f>
        <v/>
      </c>
      <c r="F7908" s="107" t="str">
        <f aca="false">IF($C7908="","",$D7908*$E7908)</f>
        <v/>
      </c>
      <c r="G7908" s="107" t="str">
        <f aca="false">IF($C7908="","",$D7908*IFERROR(INDEX('تحليل التكلفة والسعر'!$C$2:$C$700,MATCH($C7908,'تحليل التكلفة والسعر'!$B$2:$B$700,0)),0))</f>
        <v/>
      </c>
    </row>
    <row r="7909" customFormat="false" ht="15" hidden="false" customHeight="false" outlineLevel="0" collapsed="false">
      <c r="A7909" s="103"/>
      <c r="B7909" s="104"/>
      <c r="C7909" s="104"/>
      <c r="E7909" s="107" t="str">
        <f aca="false">IF($C7909="","",IFERROR(INDEX(المنيو!$C$2:$C$500,MATCH($C7909,المنيو!$B$2:$B$500,0)),0))</f>
        <v/>
      </c>
      <c r="F7909" s="107" t="str">
        <f aca="false">IF($C7909="","",$D7909*$E7909)</f>
        <v/>
      </c>
      <c r="G7909" s="107" t="str">
        <f aca="false">IF($C7909="","",$D7909*IFERROR(INDEX('تحليل التكلفة والسعر'!$C$2:$C$700,MATCH($C7909,'تحليل التكلفة والسعر'!$B$2:$B$700,0)),0))</f>
        <v/>
      </c>
    </row>
    <row r="7910" customFormat="false" ht="15" hidden="false" customHeight="false" outlineLevel="0" collapsed="false">
      <c r="A7910" s="103"/>
      <c r="B7910" s="104"/>
      <c r="C7910" s="104"/>
      <c r="E7910" s="107" t="str">
        <f aca="false">IF($C7910="","",IFERROR(INDEX(المنيو!$C$2:$C$500,MATCH($C7910,المنيو!$B$2:$B$500,0)),0))</f>
        <v/>
      </c>
      <c r="F7910" s="107" t="str">
        <f aca="false">IF($C7910="","",$D7910*$E7910)</f>
        <v/>
      </c>
      <c r="G7910" s="107" t="str">
        <f aca="false">IF($C7910="","",$D7910*IFERROR(INDEX('تحليل التكلفة والسعر'!$C$2:$C$700,MATCH($C7910,'تحليل التكلفة والسعر'!$B$2:$B$700,0)),0))</f>
        <v/>
      </c>
    </row>
    <row r="7911" customFormat="false" ht="15" hidden="false" customHeight="false" outlineLevel="0" collapsed="false">
      <c r="A7911" s="103"/>
      <c r="B7911" s="104"/>
      <c r="C7911" s="104"/>
      <c r="E7911" s="107" t="str">
        <f aca="false">IF($C7911="","",IFERROR(INDEX(المنيو!$C$2:$C$500,MATCH($C7911,المنيو!$B$2:$B$500,0)),0))</f>
        <v/>
      </c>
      <c r="F7911" s="107" t="str">
        <f aca="false">IF($C7911="","",$D7911*$E7911)</f>
        <v/>
      </c>
      <c r="G7911" s="107" t="str">
        <f aca="false">IF($C7911="","",$D7911*IFERROR(INDEX('تحليل التكلفة والسعر'!$C$2:$C$700,MATCH($C7911,'تحليل التكلفة والسعر'!$B$2:$B$700,0)),0))</f>
        <v/>
      </c>
    </row>
    <row r="7912" customFormat="false" ht="15" hidden="false" customHeight="false" outlineLevel="0" collapsed="false">
      <c r="A7912" s="103"/>
      <c r="B7912" s="104"/>
      <c r="C7912" s="104"/>
      <c r="E7912" s="107" t="str">
        <f aca="false">IF($C7912="","",IFERROR(INDEX(المنيو!$C$2:$C$500,MATCH($C7912,المنيو!$B$2:$B$500,0)),0))</f>
        <v/>
      </c>
      <c r="F7912" s="107" t="str">
        <f aca="false">IF($C7912="","",$D7912*$E7912)</f>
        <v/>
      </c>
      <c r="G7912" s="107" t="str">
        <f aca="false">IF($C7912="","",$D7912*IFERROR(INDEX('تحليل التكلفة والسعر'!$C$2:$C$700,MATCH($C7912,'تحليل التكلفة والسعر'!$B$2:$B$700,0)),0))</f>
        <v/>
      </c>
    </row>
    <row r="7913" customFormat="false" ht="15" hidden="false" customHeight="false" outlineLevel="0" collapsed="false">
      <c r="A7913" s="103"/>
      <c r="B7913" s="104"/>
      <c r="C7913" s="104"/>
      <c r="E7913" s="107" t="str">
        <f aca="false">IF($C7913="","",IFERROR(INDEX(المنيو!$C$2:$C$500,MATCH($C7913,المنيو!$B$2:$B$500,0)),0))</f>
        <v/>
      </c>
      <c r="F7913" s="107" t="str">
        <f aca="false">IF($C7913="","",$D7913*$E7913)</f>
        <v/>
      </c>
      <c r="G7913" s="107" t="str">
        <f aca="false">IF($C7913="","",$D7913*IFERROR(INDEX('تحليل التكلفة والسعر'!$C$2:$C$700,MATCH($C7913,'تحليل التكلفة والسعر'!$B$2:$B$700,0)),0))</f>
        <v/>
      </c>
    </row>
    <row r="7914" customFormat="false" ht="15" hidden="false" customHeight="false" outlineLevel="0" collapsed="false">
      <c r="A7914" s="103"/>
      <c r="B7914" s="104"/>
      <c r="C7914" s="104"/>
      <c r="E7914" s="107" t="str">
        <f aca="false">IF($C7914="","",IFERROR(INDEX(المنيو!$C$2:$C$500,MATCH($C7914,المنيو!$B$2:$B$500,0)),0))</f>
        <v/>
      </c>
      <c r="F7914" s="107" t="str">
        <f aca="false">IF($C7914="","",$D7914*$E7914)</f>
        <v/>
      </c>
      <c r="G7914" s="107" t="str">
        <f aca="false">IF($C7914="","",$D7914*IFERROR(INDEX('تحليل التكلفة والسعر'!$C$2:$C$700,MATCH($C7914,'تحليل التكلفة والسعر'!$B$2:$B$700,0)),0))</f>
        <v/>
      </c>
    </row>
    <row r="7915" customFormat="false" ht="15" hidden="false" customHeight="false" outlineLevel="0" collapsed="false">
      <c r="A7915" s="103"/>
      <c r="B7915" s="104"/>
      <c r="C7915" s="104"/>
      <c r="E7915" s="107" t="str">
        <f aca="false">IF($C7915="","",IFERROR(INDEX(المنيو!$C$2:$C$500,MATCH($C7915,المنيو!$B$2:$B$500,0)),0))</f>
        <v/>
      </c>
      <c r="F7915" s="107" t="str">
        <f aca="false">IF($C7915="","",$D7915*$E7915)</f>
        <v/>
      </c>
      <c r="G7915" s="107" t="str">
        <f aca="false">IF($C7915="","",$D7915*IFERROR(INDEX('تحليل التكلفة والسعر'!$C$2:$C$700,MATCH($C7915,'تحليل التكلفة والسعر'!$B$2:$B$700,0)),0))</f>
        <v/>
      </c>
    </row>
    <row r="7916" customFormat="false" ht="15" hidden="false" customHeight="false" outlineLevel="0" collapsed="false">
      <c r="A7916" s="103"/>
      <c r="B7916" s="104"/>
      <c r="C7916" s="104"/>
      <c r="E7916" s="107" t="str">
        <f aca="false">IF($C7916="","",IFERROR(INDEX(المنيو!$C$2:$C$500,MATCH($C7916,المنيو!$B$2:$B$500,0)),0))</f>
        <v/>
      </c>
      <c r="F7916" s="107" t="str">
        <f aca="false">IF($C7916="","",$D7916*$E7916)</f>
        <v/>
      </c>
      <c r="G7916" s="107" t="str">
        <f aca="false">IF($C7916="","",$D7916*IFERROR(INDEX('تحليل التكلفة والسعر'!$C$2:$C$700,MATCH($C7916,'تحليل التكلفة والسعر'!$B$2:$B$700,0)),0))</f>
        <v/>
      </c>
    </row>
    <row r="7917" customFormat="false" ht="15" hidden="false" customHeight="false" outlineLevel="0" collapsed="false">
      <c r="A7917" s="103"/>
      <c r="B7917" s="104"/>
      <c r="C7917" s="104"/>
      <c r="E7917" s="107" t="str">
        <f aca="false">IF($C7917="","",IFERROR(INDEX(المنيو!$C$2:$C$500,MATCH($C7917,المنيو!$B$2:$B$500,0)),0))</f>
        <v/>
      </c>
      <c r="F7917" s="107" t="str">
        <f aca="false">IF($C7917="","",$D7917*$E7917)</f>
        <v/>
      </c>
      <c r="G7917" s="107" t="str">
        <f aca="false">IF($C7917="","",$D7917*IFERROR(INDEX('تحليل التكلفة والسعر'!$C$2:$C$700,MATCH($C7917,'تحليل التكلفة والسعر'!$B$2:$B$700,0)),0))</f>
        <v/>
      </c>
    </row>
    <row r="7918" customFormat="false" ht="15" hidden="false" customHeight="false" outlineLevel="0" collapsed="false">
      <c r="A7918" s="103"/>
      <c r="B7918" s="104"/>
      <c r="C7918" s="104"/>
      <c r="E7918" s="107" t="str">
        <f aca="false">IF($C7918="","",IFERROR(INDEX(المنيو!$C$2:$C$500,MATCH($C7918,المنيو!$B$2:$B$500,0)),0))</f>
        <v/>
      </c>
      <c r="F7918" s="107" t="str">
        <f aca="false">IF($C7918="","",$D7918*$E7918)</f>
        <v/>
      </c>
      <c r="G7918" s="107" t="str">
        <f aca="false">IF($C7918="","",$D7918*IFERROR(INDEX('تحليل التكلفة والسعر'!$C$2:$C$700,MATCH($C7918,'تحليل التكلفة والسعر'!$B$2:$B$700,0)),0))</f>
        <v/>
      </c>
    </row>
    <row r="7919" customFormat="false" ht="15" hidden="false" customHeight="false" outlineLevel="0" collapsed="false">
      <c r="A7919" s="103"/>
      <c r="B7919" s="104"/>
      <c r="C7919" s="104"/>
      <c r="E7919" s="107" t="str">
        <f aca="false">IF($C7919="","",IFERROR(INDEX(المنيو!$C$2:$C$500,MATCH($C7919,المنيو!$B$2:$B$500,0)),0))</f>
        <v/>
      </c>
      <c r="F7919" s="107" t="str">
        <f aca="false">IF($C7919="","",$D7919*$E7919)</f>
        <v/>
      </c>
      <c r="G7919" s="107" t="str">
        <f aca="false">IF($C7919="","",$D7919*IFERROR(INDEX('تحليل التكلفة والسعر'!$C$2:$C$700,MATCH($C7919,'تحليل التكلفة والسعر'!$B$2:$B$700,0)),0))</f>
        <v/>
      </c>
    </row>
    <row r="7920" customFormat="false" ht="15" hidden="false" customHeight="false" outlineLevel="0" collapsed="false">
      <c r="A7920" s="103"/>
      <c r="B7920" s="104"/>
      <c r="C7920" s="104"/>
      <c r="E7920" s="107" t="str">
        <f aca="false">IF($C7920="","",IFERROR(INDEX(المنيو!$C$2:$C$500,MATCH($C7920,المنيو!$B$2:$B$500,0)),0))</f>
        <v/>
      </c>
      <c r="F7920" s="107" t="str">
        <f aca="false">IF($C7920="","",$D7920*$E7920)</f>
        <v/>
      </c>
      <c r="G7920" s="107" t="str">
        <f aca="false">IF($C7920="","",$D7920*IFERROR(INDEX('تحليل التكلفة والسعر'!$C$2:$C$700,MATCH($C7920,'تحليل التكلفة والسعر'!$B$2:$B$700,0)),0))</f>
        <v/>
      </c>
    </row>
    <row r="7921" customFormat="false" ht="15" hidden="false" customHeight="false" outlineLevel="0" collapsed="false">
      <c r="A7921" s="103"/>
      <c r="B7921" s="104"/>
      <c r="C7921" s="104"/>
      <c r="E7921" s="107" t="str">
        <f aca="false">IF($C7921="","",IFERROR(INDEX(المنيو!$C$2:$C$500,MATCH($C7921,المنيو!$B$2:$B$500,0)),0))</f>
        <v/>
      </c>
      <c r="F7921" s="107" t="str">
        <f aca="false">IF($C7921="","",$D7921*$E7921)</f>
        <v/>
      </c>
      <c r="G7921" s="107" t="str">
        <f aca="false">IF($C7921="","",$D7921*IFERROR(INDEX('تحليل التكلفة والسعر'!$C$2:$C$700,MATCH($C7921,'تحليل التكلفة والسعر'!$B$2:$B$700,0)),0))</f>
        <v/>
      </c>
    </row>
    <row r="7922" customFormat="false" ht="15" hidden="false" customHeight="false" outlineLevel="0" collapsed="false">
      <c r="A7922" s="103"/>
      <c r="B7922" s="104"/>
      <c r="C7922" s="104"/>
      <c r="E7922" s="107" t="str">
        <f aca="false">IF($C7922="","",IFERROR(INDEX(المنيو!$C$2:$C$500,MATCH($C7922,المنيو!$B$2:$B$500,0)),0))</f>
        <v/>
      </c>
      <c r="F7922" s="107" t="str">
        <f aca="false">IF($C7922="","",$D7922*$E7922)</f>
        <v/>
      </c>
      <c r="G7922" s="107" t="str">
        <f aca="false">IF($C7922="","",$D7922*IFERROR(INDEX('تحليل التكلفة والسعر'!$C$2:$C$700,MATCH($C7922,'تحليل التكلفة والسعر'!$B$2:$B$700,0)),0))</f>
        <v/>
      </c>
    </row>
    <row r="7923" customFormat="false" ht="15" hidden="false" customHeight="false" outlineLevel="0" collapsed="false">
      <c r="A7923" s="103"/>
      <c r="B7923" s="104"/>
      <c r="C7923" s="104"/>
      <c r="E7923" s="107" t="str">
        <f aca="false">IF($C7923="","",IFERROR(INDEX(المنيو!$C$2:$C$500,MATCH($C7923,المنيو!$B$2:$B$500,0)),0))</f>
        <v/>
      </c>
      <c r="F7923" s="107" t="str">
        <f aca="false">IF($C7923="","",$D7923*$E7923)</f>
        <v/>
      </c>
      <c r="G7923" s="107" t="str">
        <f aca="false">IF($C7923="","",$D7923*IFERROR(INDEX('تحليل التكلفة والسعر'!$C$2:$C$700,MATCH($C7923,'تحليل التكلفة والسعر'!$B$2:$B$700,0)),0))</f>
        <v/>
      </c>
    </row>
    <row r="7924" customFormat="false" ht="15" hidden="false" customHeight="false" outlineLevel="0" collapsed="false">
      <c r="A7924" s="103"/>
      <c r="B7924" s="104"/>
      <c r="C7924" s="104"/>
      <c r="E7924" s="107" t="str">
        <f aca="false">IF($C7924="","",IFERROR(INDEX(المنيو!$C$2:$C$500,MATCH($C7924,المنيو!$B$2:$B$500,0)),0))</f>
        <v/>
      </c>
      <c r="F7924" s="107" t="str">
        <f aca="false">IF($C7924="","",$D7924*$E7924)</f>
        <v/>
      </c>
      <c r="G7924" s="107" t="str">
        <f aca="false">IF($C7924="","",$D7924*IFERROR(INDEX('تحليل التكلفة والسعر'!$C$2:$C$700,MATCH($C7924,'تحليل التكلفة والسعر'!$B$2:$B$700,0)),0))</f>
        <v/>
      </c>
    </row>
    <row r="7925" customFormat="false" ht="15" hidden="false" customHeight="false" outlineLevel="0" collapsed="false">
      <c r="A7925" s="103"/>
      <c r="B7925" s="104"/>
      <c r="C7925" s="104"/>
      <c r="E7925" s="107" t="str">
        <f aca="false">IF($C7925="","",IFERROR(INDEX(المنيو!$C$2:$C$500,MATCH($C7925,المنيو!$B$2:$B$500,0)),0))</f>
        <v/>
      </c>
      <c r="F7925" s="107" t="str">
        <f aca="false">IF($C7925="","",$D7925*$E7925)</f>
        <v/>
      </c>
      <c r="G7925" s="107" t="str">
        <f aca="false">IF($C7925="","",$D7925*IFERROR(INDEX('تحليل التكلفة والسعر'!$C$2:$C$700,MATCH($C7925,'تحليل التكلفة والسعر'!$B$2:$B$700,0)),0))</f>
        <v/>
      </c>
    </row>
    <row r="7926" customFormat="false" ht="15" hidden="false" customHeight="false" outlineLevel="0" collapsed="false">
      <c r="A7926" s="103"/>
      <c r="B7926" s="104"/>
      <c r="C7926" s="104"/>
      <c r="E7926" s="107" t="str">
        <f aca="false">IF($C7926="","",IFERROR(INDEX(المنيو!$C$2:$C$500,MATCH($C7926,المنيو!$B$2:$B$500,0)),0))</f>
        <v/>
      </c>
      <c r="F7926" s="107" t="str">
        <f aca="false">IF($C7926="","",$D7926*$E7926)</f>
        <v/>
      </c>
      <c r="G7926" s="107" t="str">
        <f aca="false">IF($C7926="","",$D7926*IFERROR(INDEX('تحليل التكلفة والسعر'!$C$2:$C$700,MATCH($C7926,'تحليل التكلفة والسعر'!$B$2:$B$700,0)),0))</f>
        <v/>
      </c>
    </row>
    <row r="7927" customFormat="false" ht="15" hidden="false" customHeight="false" outlineLevel="0" collapsed="false">
      <c r="A7927" s="103"/>
      <c r="B7927" s="104"/>
      <c r="C7927" s="104"/>
      <c r="E7927" s="107" t="str">
        <f aca="false">IF($C7927="","",IFERROR(INDEX(المنيو!$C$2:$C$500,MATCH($C7927,المنيو!$B$2:$B$500,0)),0))</f>
        <v/>
      </c>
      <c r="F7927" s="107" t="str">
        <f aca="false">IF($C7927="","",$D7927*$E7927)</f>
        <v/>
      </c>
      <c r="G7927" s="107" t="str">
        <f aca="false">IF($C7927="","",$D7927*IFERROR(INDEX('تحليل التكلفة والسعر'!$C$2:$C$700,MATCH($C7927,'تحليل التكلفة والسعر'!$B$2:$B$700,0)),0))</f>
        <v/>
      </c>
    </row>
    <row r="7928" customFormat="false" ht="15" hidden="false" customHeight="false" outlineLevel="0" collapsed="false">
      <c r="A7928" s="103"/>
      <c r="B7928" s="104"/>
      <c r="C7928" s="104"/>
      <c r="E7928" s="107" t="str">
        <f aca="false">IF($C7928="","",IFERROR(INDEX(المنيو!$C$2:$C$500,MATCH($C7928,المنيو!$B$2:$B$500,0)),0))</f>
        <v/>
      </c>
      <c r="F7928" s="107" t="str">
        <f aca="false">IF($C7928="","",$D7928*$E7928)</f>
        <v/>
      </c>
      <c r="G7928" s="107" t="str">
        <f aca="false">IF($C7928="","",$D7928*IFERROR(INDEX('تحليل التكلفة والسعر'!$C$2:$C$700,MATCH($C7928,'تحليل التكلفة والسعر'!$B$2:$B$700,0)),0))</f>
        <v/>
      </c>
    </row>
    <row r="7929" customFormat="false" ht="15" hidden="false" customHeight="false" outlineLevel="0" collapsed="false">
      <c r="A7929" s="103"/>
      <c r="B7929" s="104"/>
      <c r="C7929" s="104"/>
      <c r="E7929" s="107" t="str">
        <f aca="false">IF($C7929="","",IFERROR(INDEX(المنيو!$C$2:$C$500,MATCH($C7929,المنيو!$B$2:$B$500,0)),0))</f>
        <v/>
      </c>
      <c r="F7929" s="107" t="str">
        <f aca="false">IF($C7929="","",$D7929*$E7929)</f>
        <v/>
      </c>
      <c r="G7929" s="107" t="str">
        <f aca="false">IF($C7929="","",$D7929*IFERROR(INDEX('تحليل التكلفة والسعر'!$C$2:$C$700,MATCH($C7929,'تحليل التكلفة والسعر'!$B$2:$B$700,0)),0))</f>
        <v/>
      </c>
    </row>
    <row r="7930" customFormat="false" ht="15" hidden="false" customHeight="false" outlineLevel="0" collapsed="false">
      <c r="A7930" s="103"/>
      <c r="B7930" s="104"/>
      <c r="C7930" s="104"/>
      <c r="E7930" s="107" t="str">
        <f aca="false">IF($C7930="","",IFERROR(INDEX(المنيو!$C$2:$C$500,MATCH($C7930,المنيو!$B$2:$B$500,0)),0))</f>
        <v/>
      </c>
      <c r="F7930" s="107" t="str">
        <f aca="false">IF($C7930="","",$D7930*$E7930)</f>
        <v/>
      </c>
      <c r="G7930" s="107" t="str">
        <f aca="false">IF($C7930="","",$D7930*IFERROR(INDEX('تحليل التكلفة والسعر'!$C$2:$C$700,MATCH($C7930,'تحليل التكلفة والسعر'!$B$2:$B$700,0)),0))</f>
        <v/>
      </c>
    </row>
    <row r="7931" customFormat="false" ht="15" hidden="false" customHeight="false" outlineLevel="0" collapsed="false">
      <c r="A7931" s="103"/>
      <c r="B7931" s="104"/>
      <c r="C7931" s="104"/>
      <c r="E7931" s="107" t="str">
        <f aca="false">IF($C7931="","",IFERROR(INDEX(المنيو!$C$2:$C$500,MATCH($C7931,المنيو!$B$2:$B$500,0)),0))</f>
        <v/>
      </c>
      <c r="F7931" s="107" t="str">
        <f aca="false">IF($C7931="","",$D7931*$E7931)</f>
        <v/>
      </c>
      <c r="G7931" s="107" t="str">
        <f aca="false">IF($C7931="","",$D7931*IFERROR(INDEX('تحليل التكلفة والسعر'!$C$2:$C$700,MATCH($C7931,'تحليل التكلفة والسعر'!$B$2:$B$700,0)),0))</f>
        <v/>
      </c>
    </row>
    <row r="7932" customFormat="false" ht="15" hidden="false" customHeight="false" outlineLevel="0" collapsed="false">
      <c r="A7932" s="103"/>
      <c r="B7932" s="104"/>
      <c r="C7932" s="104"/>
      <c r="E7932" s="107" t="str">
        <f aca="false">IF($C7932="","",IFERROR(INDEX(المنيو!$C$2:$C$500,MATCH($C7932,المنيو!$B$2:$B$500,0)),0))</f>
        <v/>
      </c>
      <c r="F7932" s="107" t="str">
        <f aca="false">IF($C7932="","",$D7932*$E7932)</f>
        <v/>
      </c>
      <c r="G7932" s="107" t="str">
        <f aca="false">IF($C7932="","",$D7932*IFERROR(INDEX('تحليل التكلفة والسعر'!$C$2:$C$700,MATCH($C7932,'تحليل التكلفة والسعر'!$B$2:$B$700,0)),0))</f>
        <v/>
      </c>
    </row>
    <row r="7933" customFormat="false" ht="15" hidden="false" customHeight="false" outlineLevel="0" collapsed="false">
      <c r="A7933" s="103"/>
      <c r="B7933" s="104"/>
      <c r="C7933" s="104"/>
      <c r="E7933" s="107" t="str">
        <f aca="false">IF($C7933="","",IFERROR(INDEX(المنيو!$C$2:$C$500,MATCH($C7933,المنيو!$B$2:$B$500,0)),0))</f>
        <v/>
      </c>
      <c r="F7933" s="107" t="str">
        <f aca="false">IF($C7933="","",$D7933*$E7933)</f>
        <v/>
      </c>
      <c r="G7933" s="107" t="str">
        <f aca="false">IF($C7933="","",$D7933*IFERROR(INDEX('تحليل التكلفة والسعر'!$C$2:$C$700,MATCH($C7933,'تحليل التكلفة والسعر'!$B$2:$B$700,0)),0))</f>
        <v/>
      </c>
    </row>
    <row r="7934" customFormat="false" ht="15" hidden="false" customHeight="false" outlineLevel="0" collapsed="false">
      <c r="A7934" s="103"/>
      <c r="B7934" s="104"/>
      <c r="C7934" s="104"/>
      <c r="E7934" s="107" t="str">
        <f aca="false">IF($C7934="","",IFERROR(INDEX(المنيو!$C$2:$C$500,MATCH($C7934,المنيو!$B$2:$B$500,0)),0))</f>
        <v/>
      </c>
      <c r="F7934" s="107" t="str">
        <f aca="false">IF($C7934="","",$D7934*$E7934)</f>
        <v/>
      </c>
      <c r="G7934" s="107" t="str">
        <f aca="false">IF($C7934="","",$D7934*IFERROR(INDEX('تحليل التكلفة والسعر'!$C$2:$C$700,MATCH($C7934,'تحليل التكلفة والسعر'!$B$2:$B$700,0)),0))</f>
        <v/>
      </c>
    </row>
    <row r="7935" customFormat="false" ht="15" hidden="false" customHeight="false" outlineLevel="0" collapsed="false">
      <c r="A7935" s="103"/>
      <c r="B7935" s="104"/>
      <c r="C7935" s="104"/>
      <c r="E7935" s="107" t="str">
        <f aca="false">IF($C7935="","",IFERROR(INDEX(المنيو!$C$2:$C$500,MATCH($C7935,المنيو!$B$2:$B$500,0)),0))</f>
        <v/>
      </c>
      <c r="F7935" s="107" t="str">
        <f aca="false">IF($C7935="","",$D7935*$E7935)</f>
        <v/>
      </c>
      <c r="G7935" s="107" t="str">
        <f aca="false">IF($C7935="","",$D7935*IFERROR(INDEX('تحليل التكلفة والسعر'!$C$2:$C$700,MATCH($C7935,'تحليل التكلفة والسعر'!$B$2:$B$700,0)),0))</f>
        <v/>
      </c>
    </row>
    <row r="7936" customFormat="false" ht="15" hidden="false" customHeight="false" outlineLevel="0" collapsed="false">
      <c r="A7936" s="103"/>
      <c r="B7936" s="104"/>
      <c r="C7936" s="104"/>
      <c r="E7936" s="107" t="str">
        <f aca="false">IF($C7936="","",IFERROR(INDEX(المنيو!$C$2:$C$500,MATCH($C7936,المنيو!$B$2:$B$500,0)),0))</f>
        <v/>
      </c>
      <c r="F7936" s="107" t="str">
        <f aca="false">IF($C7936="","",$D7936*$E7936)</f>
        <v/>
      </c>
      <c r="G7936" s="107" t="str">
        <f aca="false">IF($C7936="","",$D7936*IFERROR(INDEX('تحليل التكلفة والسعر'!$C$2:$C$700,MATCH($C7936,'تحليل التكلفة والسعر'!$B$2:$B$700,0)),0))</f>
        <v/>
      </c>
    </row>
    <row r="7937" customFormat="false" ht="15" hidden="false" customHeight="false" outlineLevel="0" collapsed="false">
      <c r="A7937" s="103"/>
      <c r="B7937" s="104"/>
      <c r="C7937" s="104"/>
      <c r="E7937" s="107" t="str">
        <f aca="false">IF($C7937="","",IFERROR(INDEX(المنيو!$C$2:$C$500,MATCH($C7937,المنيو!$B$2:$B$500,0)),0))</f>
        <v/>
      </c>
      <c r="F7937" s="107" t="str">
        <f aca="false">IF($C7937="","",$D7937*$E7937)</f>
        <v/>
      </c>
      <c r="G7937" s="107" t="str">
        <f aca="false">IF($C7937="","",$D7937*IFERROR(INDEX('تحليل التكلفة والسعر'!$C$2:$C$700,MATCH($C7937,'تحليل التكلفة والسعر'!$B$2:$B$700,0)),0))</f>
        <v/>
      </c>
    </row>
    <row r="7938" customFormat="false" ht="15" hidden="false" customHeight="false" outlineLevel="0" collapsed="false">
      <c r="A7938" s="103"/>
      <c r="B7938" s="104"/>
      <c r="C7938" s="104"/>
      <c r="E7938" s="107" t="str">
        <f aca="false">IF($C7938="","",IFERROR(INDEX(المنيو!$C$2:$C$500,MATCH($C7938,المنيو!$B$2:$B$500,0)),0))</f>
        <v/>
      </c>
      <c r="F7938" s="107" t="str">
        <f aca="false">IF($C7938="","",$D7938*$E7938)</f>
        <v/>
      </c>
      <c r="G7938" s="107" t="str">
        <f aca="false">IF($C7938="","",$D7938*IFERROR(INDEX('تحليل التكلفة والسعر'!$C$2:$C$700,MATCH($C7938,'تحليل التكلفة والسعر'!$B$2:$B$700,0)),0))</f>
        <v/>
      </c>
    </row>
    <row r="7939" customFormat="false" ht="15" hidden="false" customHeight="false" outlineLevel="0" collapsed="false">
      <c r="A7939" s="103"/>
      <c r="B7939" s="104"/>
      <c r="C7939" s="104"/>
      <c r="E7939" s="107" t="str">
        <f aca="false">IF($C7939="","",IFERROR(INDEX(المنيو!$C$2:$C$500,MATCH($C7939,المنيو!$B$2:$B$500,0)),0))</f>
        <v/>
      </c>
      <c r="F7939" s="107" t="str">
        <f aca="false">IF($C7939="","",$D7939*$E7939)</f>
        <v/>
      </c>
      <c r="G7939" s="107" t="str">
        <f aca="false">IF($C7939="","",$D7939*IFERROR(INDEX('تحليل التكلفة والسعر'!$C$2:$C$700,MATCH($C7939,'تحليل التكلفة والسعر'!$B$2:$B$700,0)),0))</f>
        <v/>
      </c>
    </row>
    <row r="7940" customFormat="false" ht="15" hidden="false" customHeight="false" outlineLevel="0" collapsed="false">
      <c r="A7940" s="103"/>
      <c r="B7940" s="104"/>
      <c r="C7940" s="104"/>
      <c r="E7940" s="107" t="str">
        <f aca="false">IF($C7940="","",IFERROR(INDEX(المنيو!$C$2:$C$500,MATCH($C7940,المنيو!$B$2:$B$500,0)),0))</f>
        <v/>
      </c>
      <c r="F7940" s="107" t="str">
        <f aca="false">IF($C7940="","",$D7940*$E7940)</f>
        <v/>
      </c>
      <c r="G7940" s="107" t="str">
        <f aca="false">IF($C7940="","",$D7940*IFERROR(INDEX('تحليل التكلفة والسعر'!$C$2:$C$700,MATCH($C7940,'تحليل التكلفة والسعر'!$B$2:$B$700,0)),0))</f>
        <v/>
      </c>
    </row>
    <row r="7941" customFormat="false" ht="15" hidden="false" customHeight="false" outlineLevel="0" collapsed="false">
      <c r="A7941" s="103"/>
      <c r="B7941" s="104"/>
      <c r="C7941" s="104"/>
      <c r="E7941" s="107" t="str">
        <f aca="false">IF($C7941="","",IFERROR(INDEX(المنيو!$C$2:$C$500,MATCH($C7941,المنيو!$B$2:$B$500,0)),0))</f>
        <v/>
      </c>
      <c r="F7941" s="107" t="str">
        <f aca="false">IF($C7941="","",$D7941*$E7941)</f>
        <v/>
      </c>
      <c r="G7941" s="107" t="str">
        <f aca="false">IF($C7941="","",$D7941*IFERROR(INDEX('تحليل التكلفة والسعر'!$C$2:$C$700,MATCH($C7941,'تحليل التكلفة والسعر'!$B$2:$B$700,0)),0))</f>
        <v/>
      </c>
    </row>
    <row r="7942" customFormat="false" ht="15" hidden="false" customHeight="false" outlineLevel="0" collapsed="false">
      <c r="A7942" s="103"/>
      <c r="B7942" s="104"/>
      <c r="C7942" s="104"/>
      <c r="E7942" s="107" t="str">
        <f aca="false">IF($C7942="","",IFERROR(INDEX(المنيو!$C$2:$C$500,MATCH($C7942,المنيو!$B$2:$B$500,0)),0))</f>
        <v/>
      </c>
      <c r="F7942" s="107" t="str">
        <f aca="false">IF($C7942="","",$D7942*$E7942)</f>
        <v/>
      </c>
      <c r="G7942" s="107" t="str">
        <f aca="false">IF($C7942="","",$D7942*IFERROR(INDEX('تحليل التكلفة والسعر'!$C$2:$C$700,MATCH($C7942,'تحليل التكلفة والسعر'!$B$2:$B$700,0)),0))</f>
        <v/>
      </c>
    </row>
    <row r="7943" customFormat="false" ht="15" hidden="false" customHeight="false" outlineLevel="0" collapsed="false">
      <c r="A7943" s="103"/>
      <c r="B7943" s="104"/>
      <c r="C7943" s="104"/>
      <c r="E7943" s="107" t="str">
        <f aca="false">IF($C7943="","",IFERROR(INDEX(المنيو!$C$2:$C$500,MATCH($C7943,المنيو!$B$2:$B$500,0)),0))</f>
        <v/>
      </c>
      <c r="F7943" s="107" t="str">
        <f aca="false">IF($C7943="","",$D7943*$E7943)</f>
        <v/>
      </c>
      <c r="G7943" s="107" t="str">
        <f aca="false">IF($C7943="","",$D7943*IFERROR(INDEX('تحليل التكلفة والسعر'!$C$2:$C$700,MATCH($C7943,'تحليل التكلفة والسعر'!$B$2:$B$700,0)),0))</f>
        <v/>
      </c>
    </row>
    <row r="7944" customFormat="false" ht="15" hidden="false" customHeight="false" outlineLevel="0" collapsed="false">
      <c r="A7944" s="103"/>
      <c r="B7944" s="104"/>
      <c r="C7944" s="104"/>
      <c r="E7944" s="107" t="str">
        <f aca="false">IF($C7944="","",IFERROR(INDEX(المنيو!$C$2:$C$500,MATCH($C7944,المنيو!$B$2:$B$500,0)),0))</f>
        <v/>
      </c>
      <c r="F7944" s="107" t="str">
        <f aca="false">IF($C7944="","",$D7944*$E7944)</f>
        <v/>
      </c>
      <c r="G7944" s="107" t="str">
        <f aca="false">IF($C7944="","",$D7944*IFERROR(INDEX('تحليل التكلفة والسعر'!$C$2:$C$700,MATCH($C7944,'تحليل التكلفة والسعر'!$B$2:$B$700,0)),0))</f>
        <v/>
      </c>
    </row>
    <row r="7945" customFormat="false" ht="15" hidden="false" customHeight="false" outlineLevel="0" collapsed="false">
      <c r="A7945" s="103"/>
      <c r="B7945" s="104"/>
      <c r="C7945" s="104"/>
      <c r="E7945" s="107" t="str">
        <f aca="false">IF($C7945="","",IFERROR(INDEX(المنيو!$C$2:$C$500,MATCH($C7945,المنيو!$B$2:$B$500,0)),0))</f>
        <v/>
      </c>
      <c r="F7945" s="107" t="str">
        <f aca="false">IF($C7945="","",$D7945*$E7945)</f>
        <v/>
      </c>
      <c r="G7945" s="107" t="str">
        <f aca="false">IF($C7945="","",$D7945*IFERROR(INDEX('تحليل التكلفة والسعر'!$C$2:$C$700,MATCH($C7945,'تحليل التكلفة والسعر'!$B$2:$B$700,0)),0))</f>
        <v/>
      </c>
    </row>
    <row r="7946" customFormat="false" ht="15" hidden="false" customHeight="false" outlineLevel="0" collapsed="false">
      <c r="A7946" s="103"/>
      <c r="B7946" s="104"/>
      <c r="C7946" s="104"/>
      <c r="E7946" s="107" t="str">
        <f aca="false">IF($C7946="","",IFERROR(INDEX(المنيو!$C$2:$C$500,MATCH($C7946,المنيو!$B$2:$B$500,0)),0))</f>
        <v/>
      </c>
      <c r="F7946" s="107" t="str">
        <f aca="false">IF($C7946="","",$D7946*$E7946)</f>
        <v/>
      </c>
      <c r="G7946" s="107" t="str">
        <f aca="false">IF($C7946="","",$D7946*IFERROR(INDEX('تحليل التكلفة والسعر'!$C$2:$C$700,MATCH($C7946,'تحليل التكلفة والسعر'!$B$2:$B$700,0)),0))</f>
        <v/>
      </c>
    </row>
    <row r="7947" customFormat="false" ht="15" hidden="false" customHeight="false" outlineLevel="0" collapsed="false">
      <c r="A7947" s="103"/>
      <c r="B7947" s="104"/>
      <c r="C7947" s="104"/>
      <c r="E7947" s="107" t="str">
        <f aca="false">IF($C7947="","",IFERROR(INDEX(المنيو!$C$2:$C$500,MATCH($C7947,المنيو!$B$2:$B$500,0)),0))</f>
        <v/>
      </c>
      <c r="F7947" s="107" t="str">
        <f aca="false">IF($C7947="","",$D7947*$E7947)</f>
        <v/>
      </c>
      <c r="G7947" s="107" t="str">
        <f aca="false">IF($C7947="","",$D7947*IFERROR(INDEX('تحليل التكلفة والسعر'!$C$2:$C$700,MATCH($C7947,'تحليل التكلفة والسعر'!$B$2:$B$700,0)),0))</f>
        <v/>
      </c>
    </row>
    <row r="7948" customFormat="false" ht="15" hidden="false" customHeight="false" outlineLevel="0" collapsed="false">
      <c r="A7948" s="103"/>
      <c r="B7948" s="104"/>
      <c r="C7948" s="104"/>
      <c r="E7948" s="107" t="str">
        <f aca="false">IF($C7948="","",IFERROR(INDEX(المنيو!$C$2:$C$500,MATCH($C7948,المنيو!$B$2:$B$500,0)),0))</f>
        <v/>
      </c>
      <c r="F7948" s="107" t="str">
        <f aca="false">IF($C7948="","",$D7948*$E7948)</f>
        <v/>
      </c>
      <c r="G7948" s="107" t="str">
        <f aca="false">IF($C7948="","",$D7948*IFERROR(INDEX('تحليل التكلفة والسعر'!$C$2:$C$700,MATCH($C7948,'تحليل التكلفة والسعر'!$B$2:$B$700,0)),0))</f>
        <v/>
      </c>
    </row>
    <row r="7949" customFormat="false" ht="15" hidden="false" customHeight="false" outlineLevel="0" collapsed="false">
      <c r="A7949" s="103"/>
      <c r="B7949" s="104"/>
      <c r="C7949" s="104"/>
      <c r="E7949" s="107" t="str">
        <f aca="false">IF($C7949="","",IFERROR(INDEX(المنيو!$C$2:$C$500,MATCH($C7949,المنيو!$B$2:$B$500,0)),0))</f>
        <v/>
      </c>
      <c r="F7949" s="107" t="str">
        <f aca="false">IF($C7949="","",$D7949*$E7949)</f>
        <v/>
      </c>
      <c r="G7949" s="107" t="str">
        <f aca="false">IF($C7949="","",$D7949*IFERROR(INDEX('تحليل التكلفة والسعر'!$C$2:$C$700,MATCH($C7949,'تحليل التكلفة والسعر'!$B$2:$B$700,0)),0))</f>
        <v/>
      </c>
    </row>
    <row r="7950" customFormat="false" ht="15" hidden="false" customHeight="false" outlineLevel="0" collapsed="false">
      <c r="A7950" s="103"/>
      <c r="B7950" s="104"/>
      <c r="C7950" s="104"/>
      <c r="E7950" s="107" t="str">
        <f aca="false">IF($C7950="","",IFERROR(INDEX(المنيو!$C$2:$C$500,MATCH($C7950,المنيو!$B$2:$B$500,0)),0))</f>
        <v/>
      </c>
      <c r="F7950" s="107" t="str">
        <f aca="false">IF($C7950="","",$D7950*$E7950)</f>
        <v/>
      </c>
      <c r="G7950" s="107" t="str">
        <f aca="false">IF($C7950="","",$D7950*IFERROR(INDEX('تحليل التكلفة والسعر'!$C$2:$C$700,MATCH($C7950,'تحليل التكلفة والسعر'!$B$2:$B$700,0)),0))</f>
        <v/>
      </c>
    </row>
    <row r="7951" customFormat="false" ht="15" hidden="false" customHeight="false" outlineLevel="0" collapsed="false">
      <c r="A7951" s="103"/>
      <c r="B7951" s="104"/>
      <c r="C7951" s="104"/>
      <c r="E7951" s="107" t="str">
        <f aca="false">IF($C7951="","",IFERROR(INDEX(المنيو!$C$2:$C$500,MATCH($C7951,المنيو!$B$2:$B$500,0)),0))</f>
        <v/>
      </c>
      <c r="F7951" s="107" t="str">
        <f aca="false">IF($C7951="","",$D7951*$E7951)</f>
        <v/>
      </c>
      <c r="G7951" s="107" t="str">
        <f aca="false">IF($C7951="","",$D7951*IFERROR(INDEX('تحليل التكلفة والسعر'!$C$2:$C$700,MATCH($C7951,'تحليل التكلفة والسعر'!$B$2:$B$700,0)),0))</f>
        <v/>
      </c>
    </row>
    <row r="7952" customFormat="false" ht="15" hidden="false" customHeight="false" outlineLevel="0" collapsed="false">
      <c r="A7952" s="103"/>
      <c r="B7952" s="104"/>
      <c r="C7952" s="104"/>
      <c r="E7952" s="107" t="str">
        <f aca="false">IF($C7952="","",IFERROR(INDEX(المنيو!$C$2:$C$500,MATCH($C7952,المنيو!$B$2:$B$500,0)),0))</f>
        <v/>
      </c>
      <c r="F7952" s="107" t="str">
        <f aca="false">IF($C7952="","",$D7952*$E7952)</f>
        <v/>
      </c>
      <c r="G7952" s="107" t="str">
        <f aca="false">IF($C7952="","",$D7952*IFERROR(INDEX('تحليل التكلفة والسعر'!$C$2:$C$700,MATCH($C7952,'تحليل التكلفة والسعر'!$B$2:$B$700,0)),0))</f>
        <v/>
      </c>
    </row>
    <row r="7953" customFormat="false" ht="15" hidden="false" customHeight="false" outlineLevel="0" collapsed="false">
      <c r="A7953" s="103"/>
      <c r="B7953" s="104"/>
      <c r="C7953" s="104"/>
      <c r="E7953" s="107" t="str">
        <f aca="false">IF($C7953="","",IFERROR(INDEX(المنيو!$C$2:$C$500,MATCH($C7953,المنيو!$B$2:$B$500,0)),0))</f>
        <v/>
      </c>
      <c r="F7953" s="107" t="str">
        <f aca="false">IF($C7953="","",$D7953*$E7953)</f>
        <v/>
      </c>
      <c r="G7953" s="107" t="str">
        <f aca="false">IF($C7953="","",$D7953*IFERROR(INDEX('تحليل التكلفة والسعر'!$C$2:$C$700,MATCH($C7953,'تحليل التكلفة والسعر'!$B$2:$B$700,0)),0))</f>
        <v/>
      </c>
    </row>
    <row r="7954" customFormat="false" ht="15" hidden="false" customHeight="false" outlineLevel="0" collapsed="false">
      <c r="A7954" s="103"/>
      <c r="B7954" s="104"/>
      <c r="C7954" s="104"/>
      <c r="E7954" s="107" t="str">
        <f aca="false">IF($C7954="","",IFERROR(INDEX(المنيو!$C$2:$C$500,MATCH($C7954,المنيو!$B$2:$B$500,0)),0))</f>
        <v/>
      </c>
      <c r="F7954" s="107" t="str">
        <f aca="false">IF($C7954="","",$D7954*$E7954)</f>
        <v/>
      </c>
      <c r="G7954" s="107" t="str">
        <f aca="false">IF($C7954="","",$D7954*IFERROR(INDEX('تحليل التكلفة والسعر'!$C$2:$C$700,MATCH($C7954,'تحليل التكلفة والسعر'!$B$2:$B$700,0)),0))</f>
        <v/>
      </c>
    </row>
    <row r="7955" customFormat="false" ht="15" hidden="false" customHeight="false" outlineLevel="0" collapsed="false">
      <c r="A7955" s="103"/>
      <c r="B7955" s="104"/>
      <c r="C7955" s="104"/>
      <c r="E7955" s="107" t="str">
        <f aca="false">IF($C7955="","",IFERROR(INDEX(المنيو!$C$2:$C$500,MATCH($C7955,المنيو!$B$2:$B$500,0)),0))</f>
        <v/>
      </c>
      <c r="F7955" s="107" t="str">
        <f aca="false">IF($C7955="","",$D7955*$E7955)</f>
        <v/>
      </c>
      <c r="G7955" s="107" t="str">
        <f aca="false">IF($C7955="","",$D7955*IFERROR(INDEX('تحليل التكلفة والسعر'!$C$2:$C$700,MATCH($C7955,'تحليل التكلفة والسعر'!$B$2:$B$700,0)),0))</f>
        <v/>
      </c>
    </row>
    <row r="7956" customFormat="false" ht="15" hidden="false" customHeight="false" outlineLevel="0" collapsed="false">
      <c r="A7956" s="103"/>
      <c r="B7956" s="104"/>
      <c r="C7956" s="104"/>
      <c r="E7956" s="107" t="str">
        <f aca="false">IF($C7956="","",IFERROR(INDEX(المنيو!$C$2:$C$500,MATCH($C7956,المنيو!$B$2:$B$500,0)),0))</f>
        <v/>
      </c>
      <c r="F7956" s="107" t="str">
        <f aca="false">IF($C7956="","",$D7956*$E7956)</f>
        <v/>
      </c>
      <c r="G7956" s="107" t="str">
        <f aca="false">IF($C7956="","",$D7956*IFERROR(INDEX('تحليل التكلفة والسعر'!$C$2:$C$700,MATCH($C7956,'تحليل التكلفة والسعر'!$B$2:$B$700,0)),0))</f>
        <v/>
      </c>
    </row>
    <row r="7957" customFormat="false" ht="15" hidden="false" customHeight="false" outlineLevel="0" collapsed="false">
      <c r="A7957" s="103"/>
      <c r="B7957" s="104"/>
      <c r="C7957" s="104"/>
      <c r="E7957" s="107" t="str">
        <f aca="false">IF($C7957="","",IFERROR(INDEX(المنيو!$C$2:$C$500,MATCH($C7957,المنيو!$B$2:$B$500,0)),0))</f>
        <v/>
      </c>
      <c r="F7957" s="107" t="str">
        <f aca="false">IF($C7957="","",$D7957*$E7957)</f>
        <v/>
      </c>
      <c r="G7957" s="107" t="str">
        <f aca="false">IF($C7957="","",$D7957*IFERROR(INDEX('تحليل التكلفة والسعر'!$C$2:$C$700,MATCH($C7957,'تحليل التكلفة والسعر'!$B$2:$B$700,0)),0))</f>
        <v/>
      </c>
    </row>
    <row r="7958" customFormat="false" ht="15" hidden="false" customHeight="false" outlineLevel="0" collapsed="false">
      <c r="A7958" s="103"/>
      <c r="B7958" s="104"/>
      <c r="C7958" s="104"/>
      <c r="E7958" s="107" t="str">
        <f aca="false">IF($C7958="","",IFERROR(INDEX(المنيو!$C$2:$C$500,MATCH($C7958,المنيو!$B$2:$B$500,0)),0))</f>
        <v/>
      </c>
      <c r="F7958" s="107" t="str">
        <f aca="false">IF($C7958="","",$D7958*$E7958)</f>
        <v/>
      </c>
      <c r="G7958" s="107" t="str">
        <f aca="false">IF($C7958="","",$D7958*IFERROR(INDEX('تحليل التكلفة والسعر'!$C$2:$C$700,MATCH($C7958,'تحليل التكلفة والسعر'!$B$2:$B$700,0)),0))</f>
        <v/>
      </c>
    </row>
    <row r="7959" customFormat="false" ht="15" hidden="false" customHeight="false" outlineLevel="0" collapsed="false">
      <c r="A7959" s="103"/>
      <c r="B7959" s="104"/>
      <c r="C7959" s="104"/>
      <c r="E7959" s="107" t="str">
        <f aca="false">IF($C7959="","",IFERROR(INDEX(المنيو!$C$2:$C$500,MATCH($C7959,المنيو!$B$2:$B$500,0)),0))</f>
        <v/>
      </c>
      <c r="F7959" s="107" t="str">
        <f aca="false">IF($C7959="","",$D7959*$E7959)</f>
        <v/>
      </c>
      <c r="G7959" s="107" t="str">
        <f aca="false">IF($C7959="","",$D7959*IFERROR(INDEX('تحليل التكلفة والسعر'!$C$2:$C$700,MATCH($C7959,'تحليل التكلفة والسعر'!$B$2:$B$700,0)),0))</f>
        <v/>
      </c>
    </row>
    <row r="7960" customFormat="false" ht="15" hidden="false" customHeight="false" outlineLevel="0" collapsed="false">
      <c r="A7960" s="103"/>
      <c r="B7960" s="104"/>
      <c r="C7960" s="104"/>
      <c r="E7960" s="107" t="str">
        <f aca="false">IF($C7960="","",IFERROR(INDEX(المنيو!$C$2:$C$500,MATCH($C7960,المنيو!$B$2:$B$500,0)),0))</f>
        <v/>
      </c>
      <c r="F7960" s="107" t="str">
        <f aca="false">IF($C7960="","",$D7960*$E7960)</f>
        <v/>
      </c>
      <c r="G7960" s="107" t="str">
        <f aca="false">IF($C7960="","",$D7960*IFERROR(INDEX('تحليل التكلفة والسعر'!$C$2:$C$700,MATCH($C7960,'تحليل التكلفة والسعر'!$B$2:$B$700,0)),0))</f>
        <v/>
      </c>
    </row>
    <row r="7961" customFormat="false" ht="15" hidden="false" customHeight="false" outlineLevel="0" collapsed="false">
      <c r="A7961" s="103"/>
      <c r="B7961" s="104"/>
      <c r="C7961" s="104"/>
      <c r="E7961" s="107" t="str">
        <f aca="false">IF($C7961="","",IFERROR(INDEX(المنيو!$C$2:$C$500,MATCH($C7961,المنيو!$B$2:$B$500,0)),0))</f>
        <v/>
      </c>
      <c r="F7961" s="107" t="str">
        <f aca="false">IF($C7961="","",$D7961*$E7961)</f>
        <v/>
      </c>
      <c r="G7961" s="107" t="str">
        <f aca="false">IF($C7961="","",$D7961*IFERROR(INDEX('تحليل التكلفة والسعر'!$C$2:$C$700,MATCH($C7961,'تحليل التكلفة والسعر'!$B$2:$B$700,0)),0))</f>
        <v/>
      </c>
    </row>
    <row r="7962" customFormat="false" ht="15" hidden="false" customHeight="false" outlineLevel="0" collapsed="false">
      <c r="A7962" s="103"/>
      <c r="B7962" s="104"/>
      <c r="C7962" s="104"/>
      <c r="E7962" s="107" t="str">
        <f aca="false">IF($C7962="","",IFERROR(INDEX(المنيو!$C$2:$C$500,MATCH($C7962,المنيو!$B$2:$B$500,0)),0))</f>
        <v/>
      </c>
      <c r="F7962" s="107" t="str">
        <f aca="false">IF($C7962="","",$D7962*$E7962)</f>
        <v/>
      </c>
      <c r="G7962" s="107" t="str">
        <f aca="false">IF($C7962="","",$D7962*IFERROR(INDEX('تحليل التكلفة والسعر'!$C$2:$C$700,MATCH($C7962,'تحليل التكلفة والسعر'!$B$2:$B$700,0)),0))</f>
        <v/>
      </c>
    </row>
    <row r="7963" customFormat="false" ht="15" hidden="false" customHeight="false" outlineLevel="0" collapsed="false">
      <c r="A7963" s="103"/>
      <c r="B7963" s="104"/>
      <c r="C7963" s="104"/>
      <c r="E7963" s="107" t="str">
        <f aca="false">IF($C7963="","",IFERROR(INDEX(المنيو!$C$2:$C$500,MATCH($C7963,المنيو!$B$2:$B$500,0)),0))</f>
        <v/>
      </c>
      <c r="F7963" s="107" t="str">
        <f aca="false">IF($C7963="","",$D7963*$E7963)</f>
        <v/>
      </c>
      <c r="G7963" s="107" t="str">
        <f aca="false">IF($C7963="","",$D7963*IFERROR(INDEX('تحليل التكلفة والسعر'!$C$2:$C$700,MATCH($C7963,'تحليل التكلفة والسعر'!$B$2:$B$700,0)),0))</f>
        <v/>
      </c>
    </row>
    <row r="7964" customFormat="false" ht="15" hidden="false" customHeight="false" outlineLevel="0" collapsed="false">
      <c r="A7964" s="103"/>
      <c r="B7964" s="104"/>
      <c r="C7964" s="104"/>
      <c r="E7964" s="107" t="str">
        <f aca="false">IF($C7964="","",IFERROR(INDEX(المنيو!$C$2:$C$500,MATCH($C7964,المنيو!$B$2:$B$500,0)),0))</f>
        <v/>
      </c>
      <c r="F7964" s="107" t="str">
        <f aca="false">IF($C7964="","",$D7964*$E7964)</f>
        <v/>
      </c>
      <c r="G7964" s="107" t="str">
        <f aca="false">IF($C7964="","",$D7964*IFERROR(INDEX('تحليل التكلفة والسعر'!$C$2:$C$700,MATCH($C7964,'تحليل التكلفة والسعر'!$B$2:$B$700,0)),0))</f>
        <v/>
      </c>
    </row>
    <row r="7965" customFormat="false" ht="15" hidden="false" customHeight="false" outlineLevel="0" collapsed="false">
      <c r="A7965" s="103"/>
      <c r="B7965" s="104"/>
      <c r="C7965" s="104"/>
      <c r="E7965" s="107" t="str">
        <f aca="false">IF($C7965="","",IFERROR(INDEX(المنيو!$C$2:$C$500,MATCH($C7965,المنيو!$B$2:$B$500,0)),0))</f>
        <v/>
      </c>
      <c r="F7965" s="107" t="str">
        <f aca="false">IF($C7965="","",$D7965*$E7965)</f>
        <v/>
      </c>
      <c r="G7965" s="107" t="str">
        <f aca="false">IF($C7965="","",$D7965*IFERROR(INDEX('تحليل التكلفة والسعر'!$C$2:$C$700,MATCH($C7965,'تحليل التكلفة والسعر'!$B$2:$B$700,0)),0))</f>
        <v/>
      </c>
    </row>
    <row r="7966" customFormat="false" ht="15" hidden="false" customHeight="false" outlineLevel="0" collapsed="false">
      <c r="A7966" s="103"/>
      <c r="B7966" s="104"/>
      <c r="C7966" s="104"/>
      <c r="E7966" s="107" t="str">
        <f aca="false">IF($C7966="","",IFERROR(INDEX(المنيو!$C$2:$C$500,MATCH($C7966,المنيو!$B$2:$B$500,0)),0))</f>
        <v/>
      </c>
      <c r="F7966" s="107" t="str">
        <f aca="false">IF($C7966="","",$D7966*$E7966)</f>
        <v/>
      </c>
      <c r="G7966" s="107" t="str">
        <f aca="false">IF($C7966="","",$D7966*IFERROR(INDEX('تحليل التكلفة والسعر'!$C$2:$C$700,MATCH($C7966,'تحليل التكلفة والسعر'!$B$2:$B$700,0)),0))</f>
        <v/>
      </c>
    </row>
    <row r="7967" customFormat="false" ht="15" hidden="false" customHeight="false" outlineLevel="0" collapsed="false">
      <c r="A7967" s="103"/>
      <c r="B7967" s="104"/>
      <c r="C7967" s="104"/>
      <c r="E7967" s="107" t="str">
        <f aca="false">IF($C7967="","",IFERROR(INDEX(المنيو!$C$2:$C$500,MATCH($C7967,المنيو!$B$2:$B$500,0)),0))</f>
        <v/>
      </c>
      <c r="F7967" s="107" t="str">
        <f aca="false">IF($C7967="","",$D7967*$E7967)</f>
        <v/>
      </c>
      <c r="G7967" s="107" t="str">
        <f aca="false">IF($C7967="","",$D7967*IFERROR(INDEX('تحليل التكلفة والسعر'!$C$2:$C$700,MATCH($C7967,'تحليل التكلفة والسعر'!$B$2:$B$700,0)),0))</f>
        <v/>
      </c>
    </row>
    <row r="7968" customFormat="false" ht="15" hidden="false" customHeight="false" outlineLevel="0" collapsed="false">
      <c r="A7968" s="103"/>
      <c r="B7968" s="104"/>
      <c r="C7968" s="104"/>
      <c r="E7968" s="107" t="str">
        <f aca="false">IF($C7968="","",IFERROR(INDEX(المنيو!$C$2:$C$500,MATCH($C7968,المنيو!$B$2:$B$500,0)),0))</f>
        <v/>
      </c>
      <c r="F7968" s="107" t="str">
        <f aca="false">IF($C7968="","",$D7968*$E7968)</f>
        <v/>
      </c>
      <c r="G7968" s="107" t="str">
        <f aca="false">IF($C7968="","",$D7968*IFERROR(INDEX('تحليل التكلفة والسعر'!$C$2:$C$700,MATCH($C7968,'تحليل التكلفة والسعر'!$B$2:$B$700,0)),0))</f>
        <v/>
      </c>
    </row>
    <row r="7969" customFormat="false" ht="15" hidden="false" customHeight="false" outlineLevel="0" collapsed="false">
      <c r="A7969" s="103"/>
      <c r="B7969" s="104"/>
      <c r="C7969" s="104"/>
      <c r="E7969" s="107" t="str">
        <f aca="false">IF($C7969="","",IFERROR(INDEX(المنيو!$C$2:$C$500,MATCH($C7969,المنيو!$B$2:$B$500,0)),0))</f>
        <v/>
      </c>
      <c r="F7969" s="107" t="str">
        <f aca="false">IF($C7969="","",$D7969*$E7969)</f>
        <v/>
      </c>
      <c r="G7969" s="107" t="str">
        <f aca="false">IF($C7969="","",$D7969*IFERROR(INDEX('تحليل التكلفة والسعر'!$C$2:$C$700,MATCH($C7969,'تحليل التكلفة والسعر'!$B$2:$B$700,0)),0))</f>
        <v/>
      </c>
    </row>
    <row r="7970" customFormat="false" ht="15" hidden="false" customHeight="false" outlineLevel="0" collapsed="false">
      <c r="A7970" s="103"/>
      <c r="B7970" s="104"/>
      <c r="C7970" s="104"/>
      <c r="E7970" s="107" t="str">
        <f aca="false">IF($C7970="","",IFERROR(INDEX(المنيو!$C$2:$C$500,MATCH($C7970,المنيو!$B$2:$B$500,0)),0))</f>
        <v/>
      </c>
      <c r="F7970" s="107" t="str">
        <f aca="false">IF($C7970="","",$D7970*$E7970)</f>
        <v/>
      </c>
      <c r="G7970" s="107" t="str">
        <f aca="false">IF($C7970="","",$D7970*IFERROR(INDEX('تحليل التكلفة والسعر'!$C$2:$C$700,MATCH($C7970,'تحليل التكلفة والسعر'!$B$2:$B$700,0)),0))</f>
        <v/>
      </c>
    </row>
    <row r="7971" customFormat="false" ht="15" hidden="false" customHeight="false" outlineLevel="0" collapsed="false">
      <c r="A7971" s="103"/>
      <c r="B7971" s="104"/>
      <c r="C7971" s="104"/>
      <c r="E7971" s="107" t="str">
        <f aca="false">IF($C7971="","",IFERROR(INDEX(المنيو!$C$2:$C$500,MATCH($C7971,المنيو!$B$2:$B$500,0)),0))</f>
        <v/>
      </c>
      <c r="F7971" s="107" t="str">
        <f aca="false">IF($C7971="","",$D7971*$E7971)</f>
        <v/>
      </c>
      <c r="G7971" s="107" t="str">
        <f aca="false">IF($C7971="","",$D7971*IFERROR(INDEX('تحليل التكلفة والسعر'!$C$2:$C$700,MATCH($C7971,'تحليل التكلفة والسعر'!$B$2:$B$700,0)),0))</f>
        <v/>
      </c>
    </row>
    <row r="7972" customFormat="false" ht="15" hidden="false" customHeight="false" outlineLevel="0" collapsed="false">
      <c r="A7972" s="103"/>
      <c r="B7972" s="104"/>
      <c r="C7972" s="104"/>
      <c r="E7972" s="107" t="str">
        <f aca="false">IF($C7972="","",IFERROR(INDEX(المنيو!$C$2:$C$500,MATCH($C7972,المنيو!$B$2:$B$500,0)),0))</f>
        <v/>
      </c>
      <c r="F7972" s="107" t="str">
        <f aca="false">IF($C7972="","",$D7972*$E7972)</f>
        <v/>
      </c>
      <c r="G7972" s="107" t="str">
        <f aca="false">IF($C7972="","",$D7972*IFERROR(INDEX('تحليل التكلفة والسعر'!$C$2:$C$700,MATCH($C7972,'تحليل التكلفة والسعر'!$B$2:$B$700,0)),0))</f>
        <v/>
      </c>
    </row>
    <row r="7973" customFormat="false" ht="15" hidden="false" customHeight="false" outlineLevel="0" collapsed="false">
      <c r="A7973" s="103"/>
      <c r="B7973" s="104"/>
      <c r="C7973" s="104"/>
      <c r="E7973" s="107" t="str">
        <f aca="false">IF($C7973="","",IFERROR(INDEX(المنيو!$C$2:$C$500,MATCH($C7973,المنيو!$B$2:$B$500,0)),0))</f>
        <v/>
      </c>
      <c r="F7973" s="107" t="str">
        <f aca="false">IF($C7973="","",$D7973*$E7973)</f>
        <v/>
      </c>
      <c r="G7973" s="107" t="str">
        <f aca="false">IF($C7973="","",$D7973*IFERROR(INDEX('تحليل التكلفة والسعر'!$C$2:$C$700,MATCH($C7973,'تحليل التكلفة والسعر'!$B$2:$B$700,0)),0))</f>
        <v/>
      </c>
    </row>
    <row r="7974" customFormat="false" ht="15" hidden="false" customHeight="false" outlineLevel="0" collapsed="false">
      <c r="A7974" s="103"/>
      <c r="B7974" s="104"/>
      <c r="C7974" s="104"/>
      <c r="E7974" s="107" t="str">
        <f aca="false">IF($C7974="","",IFERROR(INDEX(المنيو!$C$2:$C$500,MATCH($C7974,المنيو!$B$2:$B$500,0)),0))</f>
        <v/>
      </c>
      <c r="F7974" s="107" t="str">
        <f aca="false">IF($C7974="","",$D7974*$E7974)</f>
        <v/>
      </c>
      <c r="G7974" s="107" t="str">
        <f aca="false">IF($C7974="","",$D7974*IFERROR(INDEX('تحليل التكلفة والسعر'!$C$2:$C$700,MATCH($C7974,'تحليل التكلفة والسعر'!$B$2:$B$700,0)),0))</f>
        <v/>
      </c>
    </row>
    <row r="7975" customFormat="false" ht="15" hidden="false" customHeight="false" outlineLevel="0" collapsed="false">
      <c r="A7975" s="103"/>
      <c r="B7975" s="104"/>
      <c r="C7975" s="104"/>
      <c r="E7975" s="107" t="str">
        <f aca="false">IF($C7975="","",IFERROR(INDEX(المنيو!$C$2:$C$500,MATCH($C7975,المنيو!$B$2:$B$500,0)),0))</f>
        <v/>
      </c>
      <c r="F7975" s="107" t="str">
        <f aca="false">IF($C7975="","",$D7975*$E7975)</f>
        <v/>
      </c>
      <c r="G7975" s="107" t="str">
        <f aca="false">IF($C7975="","",$D7975*IFERROR(INDEX('تحليل التكلفة والسعر'!$C$2:$C$700,MATCH($C7975,'تحليل التكلفة والسعر'!$B$2:$B$700,0)),0))</f>
        <v/>
      </c>
    </row>
    <row r="7976" customFormat="false" ht="15" hidden="false" customHeight="false" outlineLevel="0" collapsed="false">
      <c r="A7976" s="103"/>
      <c r="B7976" s="104"/>
      <c r="C7976" s="104"/>
      <c r="E7976" s="107" t="str">
        <f aca="false">IF($C7976="","",IFERROR(INDEX(المنيو!$C$2:$C$500,MATCH($C7976,المنيو!$B$2:$B$500,0)),0))</f>
        <v/>
      </c>
      <c r="F7976" s="107" t="str">
        <f aca="false">IF($C7976="","",$D7976*$E7976)</f>
        <v/>
      </c>
      <c r="G7976" s="107" t="str">
        <f aca="false">IF($C7976="","",$D7976*IFERROR(INDEX('تحليل التكلفة والسعر'!$C$2:$C$700,MATCH($C7976,'تحليل التكلفة والسعر'!$B$2:$B$700,0)),0))</f>
        <v/>
      </c>
    </row>
    <row r="7977" customFormat="false" ht="15" hidden="false" customHeight="false" outlineLevel="0" collapsed="false">
      <c r="A7977" s="103"/>
      <c r="B7977" s="104"/>
      <c r="C7977" s="104"/>
      <c r="E7977" s="107" t="str">
        <f aca="false">IF($C7977="","",IFERROR(INDEX(المنيو!$C$2:$C$500,MATCH($C7977,المنيو!$B$2:$B$500,0)),0))</f>
        <v/>
      </c>
      <c r="F7977" s="107" t="str">
        <f aca="false">IF($C7977="","",$D7977*$E7977)</f>
        <v/>
      </c>
      <c r="G7977" s="107" t="str">
        <f aca="false">IF($C7977="","",$D7977*IFERROR(INDEX('تحليل التكلفة والسعر'!$C$2:$C$700,MATCH($C7977,'تحليل التكلفة والسعر'!$B$2:$B$700,0)),0))</f>
        <v/>
      </c>
    </row>
    <row r="7978" customFormat="false" ht="15" hidden="false" customHeight="false" outlineLevel="0" collapsed="false">
      <c r="A7978" s="103"/>
      <c r="B7978" s="104"/>
      <c r="C7978" s="104"/>
      <c r="E7978" s="107" t="str">
        <f aca="false">IF($C7978="","",IFERROR(INDEX(المنيو!$C$2:$C$500,MATCH($C7978,المنيو!$B$2:$B$500,0)),0))</f>
        <v/>
      </c>
      <c r="F7978" s="107" t="str">
        <f aca="false">IF($C7978="","",$D7978*$E7978)</f>
        <v/>
      </c>
      <c r="G7978" s="107" t="str">
        <f aca="false">IF($C7978="","",$D7978*IFERROR(INDEX('تحليل التكلفة والسعر'!$C$2:$C$700,MATCH($C7978,'تحليل التكلفة والسعر'!$B$2:$B$700,0)),0))</f>
        <v/>
      </c>
    </row>
    <row r="7979" customFormat="false" ht="15" hidden="false" customHeight="false" outlineLevel="0" collapsed="false">
      <c r="A7979" s="103"/>
      <c r="B7979" s="104"/>
      <c r="C7979" s="104"/>
      <c r="E7979" s="107" t="str">
        <f aca="false">IF($C7979="","",IFERROR(INDEX(المنيو!$C$2:$C$500,MATCH($C7979,المنيو!$B$2:$B$500,0)),0))</f>
        <v/>
      </c>
      <c r="F7979" s="107" t="str">
        <f aca="false">IF($C7979="","",$D7979*$E7979)</f>
        <v/>
      </c>
      <c r="G7979" s="107" t="str">
        <f aca="false">IF($C7979="","",$D7979*IFERROR(INDEX('تحليل التكلفة والسعر'!$C$2:$C$700,MATCH($C7979,'تحليل التكلفة والسعر'!$B$2:$B$700,0)),0))</f>
        <v/>
      </c>
    </row>
    <row r="7980" customFormat="false" ht="15" hidden="false" customHeight="false" outlineLevel="0" collapsed="false">
      <c r="A7980" s="103"/>
      <c r="B7980" s="104"/>
      <c r="C7980" s="104"/>
      <c r="E7980" s="107" t="str">
        <f aca="false">IF($C7980="","",IFERROR(INDEX(المنيو!$C$2:$C$500,MATCH($C7980,المنيو!$B$2:$B$500,0)),0))</f>
        <v/>
      </c>
      <c r="F7980" s="107" t="str">
        <f aca="false">IF($C7980="","",$D7980*$E7980)</f>
        <v/>
      </c>
      <c r="G7980" s="107" t="str">
        <f aca="false">IF($C7980="","",$D7980*IFERROR(INDEX('تحليل التكلفة والسعر'!$C$2:$C$700,MATCH($C7980,'تحليل التكلفة والسعر'!$B$2:$B$700,0)),0))</f>
        <v/>
      </c>
    </row>
    <row r="7981" customFormat="false" ht="15" hidden="false" customHeight="false" outlineLevel="0" collapsed="false">
      <c r="A7981" s="103"/>
      <c r="B7981" s="104"/>
      <c r="C7981" s="104"/>
      <c r="E7981" s="107" t="str">
        <f aca="false">IF($C7981="","",IFERROR(INDEX(المنيو!$C$2:$C$500,MATCH($C7981,المنيو!$B$2:$B$500,0)),0))</f>
        <v/>
      </c>
      <c r="F7981" s="107" t="str">
        <f aca="false">IF($C7981="","",$D7981*$E7981)</f>
        <v/>
      </c>
      <c r="G7981" s="107" t="str">
        <f aca="false">IF($C7981="","",$D7981*IFERROR(INDEX('تحليل التكلفة والسعر'!$C$2:$C$700,MATCH($C7981,'تحليل التكلفة والسعر'!$B$2:$B$700,0)),0))</f>
        <v/>
      </c>
    </row>
    <row r="7982" customFormat="false" ht="15" hidden="false" customHeight="false" outlineLevel="0" collapsed="false">
      <c r="A7982" s="103"/>
      <c r="B7982" s="104"/>
      <c r="C7982" s="104"/>
      <c r="E7982" s="107" t="str">
        <f aca="false">IF($C7982="","",IFERROR(INDEX(المنيو!$C$2:$C$500,MATCH($C7982,المنيو!$B$2:$B$500,0)),0))</f>
        <v/>
      </c>
      <c r="F7982" s="107" t="str">
        <f aca="false">IF($C7982="","",$D7982*$E7982)</f>
        <v/>
      </c>
      <c r="G7982" s="107" t="str">
        <f aca="false">IF($C7982="","",$D7982*IFERROR(INDEX('تحليل التكلفة والسعر'!$C$2:$C$700,MATCH($C7982,'تحليل التكلفة والسعر'!$B$2:$B$700,0)),0))</f>
        <v/>
      </c>
    </row>
    <row r="7983" customFormat="false" ht="15" hidden="false" customHeight="false" outlineLevel="0" collapsed="false">
      <c r="A7983" s="103"/>
      <c r="B7983" s="104"/>
      <c r="C7983" s="104"/>
      <c r="E7983" s="107" t="str">
        <f aca="false">IF($C7983="","",IFERROR(INDEX(المنيو!$C$2:$C$500,MATCH($C7983,المنيو!$B$2:$B$500,0)),0))</f>
        <v/>
      </c>
      <c r="F7983" s="107" t="str">
        <f aca="false">IF($C7983="","",$D7983*$E7983)</f>
        <v/>
      </c>
      <c r="G7983" s="107" t="str">
        <f aca="false">IF($C7983="","",$D7983*IFERROR(INDEX('تحليل التكلفة والسعر'!$C$2:$C$700,MATCH($C7983,'تحليل التكلفة والسعر'!$B$2:$B$700,0)),0))</f>
        <v/>
      </c>
    </row>
    <row r="7984" customFormat="false" ht="15" hidden="false" customHeight="false" outlineLevel="0" collapsed="false">
      <c r="A7984" s="103"/>
      <c r="B7984" s="104"/>
      <c r="C7984" s="104"/>
      <c r="E7984" s="107" t="str">
        <f aca="false">IF($C7984="","",IFERROR(INDEX(المنيو!$C$2:$C$500,MATCH($C7984,المنيو!$B$2:$B$500,0)),0))</f>
        <v/>
      </c>
      <c r="F7984" s="107" t="str">
        <f aca="false">IF($C7984="","",$D7984*$E7984)</f>
        <v/>
      </c>
      <c r="G7984" s="107" t="str">
        <f aca="false">IF($C7984="","",$D7984*IFERROR(INDEX('تحليل التكلفة والسعر'!$C$2:$C$700,MATCH($C7984,'تحليل التكلفة والسعر'!$B$2:$B$700,0)),0))</f>
        <v/>
      </c>
    </row>
    <row r="7985" customFormat="false" ht="15" hidden="false" customHeight="false" outlineLevel="0" collapsed="false">
      <c r="A7985" s="103"/>
      <c r="B7985" s="104"/>
      <c r="C7985" s="104"/>
      <c r="E7985" s="107" t="str">
        <f aca="false">IF($C7985="","",IFERROR(INDEX(المنيو!$C$2:$C$500,MATCH($C7985,المنيو!$B$2:$B$500,0)),0))</f>
        <v/>
      </c>
      <c r="F7985" s="107" t="str">
        <f aca="false">IF($C7985="","",$D7985*$E7985)</f>
        <v/>
      </c>
      <c r="G7985" s="107" t="str">
        <f aca="false">IF($C7985="","",$D7985*IFERROR(INDEX('تحليل التكلفة والسعر'!$C$2:$C$700,MATCH($C7985,'تحليل التكلفة والسعر'!$B$2:$B$700,0)),0))</f>
        <v/>
      </c>
    </row>
    <row r="7986" customFormat="false" ht="15" hidden="false" customHeight="false" outlineLevel="0" collapsed="false">
      <c r="A7986" s="103"/>
      <c r="B7986" s="104"/>
      <c r="C7986" s="104"/>
      <c r="E7986" s="107" t="str">
        <f aca="false">IF($C7986="","",IFERROR(INDEX(المنيو!$C$2:$C$500,MATCH($C7986,المنيو!$B$2:$B$500,0)),0))</f>
        <v/>
      </c>
      <c r="F7986" s="107" t="str">
        <f aca="false">IF($C7986="","",$D7986*$E7986)</f>
        <v/>
      </c>
      <c r="G7986" s="107" t="str">
        <f aca="false">IF($C7986="","",$D7986*IFERROR(INDEX('تحليل التكلفة والسعر'!$C$2:$C$700,MATCH($C7986,'تحليل التكلفة والسعر'!$B$2:$B$700,0)),0))</f>
        <v/>
      </c>
    </row>
    <row r="7987" customFormat="false" ht="15" hidden="false" customHeight="false" outlineLevel="0" collapsed="false">
      <c r="A7987" s="103"/>
      <c r="B7987" s="104"/>
      <c r="C7987" s="104"/>
      <c r="E7987" s="107" t="str">
        <f aca="false">IF($C7987="","",IFERROR(INDEX(المنيو!$C$2:$C$500,MATCH($C7987,المنيو!$B$2:$B$500,0)),0))</f>
        <v/>
      </c>
      <c r="F7987" s="107" t="str">
        <f aca="false">IF($C7987="","",$D7987*$E7987)</f>
        <v/>
      </c>
      <c r="G7987" s="107" t="str">
        <f aca="false">IF($C7987="","",$D7987*IFERROR(INDEX('تحليل التكلفة والسعر'!$C$2:$C$700,MATCH($C7987,'تحليل التكلفة والسعر'!$B$2:$B$700,0)),0))</f>
        <v/>
      </c>
    </row>
    <row r="7988" customFormat="false" ht="15" hidden="false" customHeight="false" outlineLevel="0" collapsed="false">
      <c r="A7988" s="103"/>
      <c r="B7988" s="104"/>
      <c r="C7988" s="104"/>
      <c r="E7988" s="107" t="str">
        <f aca="false">IF($C7988="","",IFERROR(INDEX(المنيو!$C$2:$C$500,MATCH($C7988,المنيو!$B$2:$B$500,0)),0))</f>
        <v/>
      </c>
      <c r="F7988" s="107" t="str">
        <f aca="false">IF($C7988="","",$D7988*$E7988)</f>
        <v/>
      </c>
      <c r="G7988" s="107" t="str">
        <f aca="false">IF($C7988="","",$D7988*IFERROR(INDEX('تحليل التكلفة والسعر'!$C$2:$C$700,MATCH($C7988,'تحليل التكلفة والسعر'!$B$2:$B$700,0)),0))</f>
        <v/>
      </c>
    </row>
    <row r="7989" customFormat="false" ht="15" hidden="false" customHeight="false" outlineLevel="0" collapsed="false">
      <c r="A7989" s="103"/>
      <c r="B7989" s="104"/>
      <c r="C7989" s="104"/>
      <c r="E7989" s="107" t="str">
        <f aca="false">IF($C7989="","",IFERROR(INDEX(المنيو!$C$2:$C$500,MATCH($C7989,المنيو!$B$2:$B$500,0)),0))</f>
        <v/>
      </c>
      <c r="F7989" s="107" t="str">
        <f aca="false">IF($C7989="","",$D7989*$E7989)</f>
        <v/>
      </c>
      <c r="G7989" s="107" t="str">
        <f aca="false">IF($C7989="","",$D7989*IFERROR(INDEX('تحليل التكلفة والسعر'!$C$2:$C$700,MATCH($C7989,'تحليل التكلفة والسعر'!$B$2:$B$700,0)),0))</f>
        <v/>
      </c>
    </row>
    <row r="7990" customFormat="false" ht="15" hidden="false" customHeight="false" outlineLevel="0" collapsed="false">
      <c r="A7990" s="103"/>
      <c r="B7990" s="104"/>
      <c r="C7990" s="104"/>
      <c r="E7990" s="107" t="str">
        <f aca="false">IF($C7990="","",IFERROR(INDEX(المنيو!$C$2:$C$500,MATCH($C7990,المنيو!$B$2:$B$500,0)),0))</f>
        <v/>
      </c>
      <c r="F7990" s="107" t="str">
        <f aca="false">IF($C7990="","",$D7990*$E7990)</f>
        <v/>
      </c>
      <c r="G7990" s="107" t="str">
        <f aca="false">IF($C7990="","",$D7990*IFERROR(INDEX('تحليل التكلفة والسعر'!$C$2:$C$700,MATCH($C7990,'تحليل التكلفة والسعر'!$B$2:$B$700,0)),0))</f>
        <v/>
      </c>
    </row>
    <row r="7991" customFormat="false" ht="15" hidden="false" customHeight="false" outlineLevel="0" collapsed="false">
      <c r="A7991" s="103"/>
      <c r="B7991" s="104"/>
      <c r="C7991" s="104"/>
      <c r="E7991" s="107" t="str">
        <f aca="false">IF($C7991="","",IFERROR(INDEX(المنيو!$C$2:$C$500,MATCH($C7991,المنيو!$B$2:$B$500,0)),0))</f>
        <v/>
      </c>
      <c r="F7991" s="107" t="str">
        <f aca="false">IF($C7991="","",$D7991*$E7991)</f>
        <v/>
      </c>
      <c r="G7991" s="107" t="str">
        <f aca="false">IF($C7991="","",$D7991*IFERROR(INDEX('تحليل التكلفة والسعر'!$C$2:$C$700,MATCH($C7991,'تحليل التكلفة والسعر'!$B$2:$B$700,0)),0))</f>
        <v/>
      </c>
    </row>
    <row r="7992" customFormat="false" ht="15" hidden="false" customHeight="false" outlineLevel="0" collapsed="false">
      <c r="A7992" s="103"/>
      <c r="B7992" s="104"/>
      <c r="C7992" s="104"/>
      <c r="E7992" s="107" t="str">
        <f aca="false">IF($C7992="","",IFERROR(INDEX(المنيو!$C$2:$C$500,MATCH($C7992,المنيو!$B$2:$B$500,0)),0))</f>
        <v/>
      </c>
      <c r="F7992" s="107" t="str">
        <f aca="false">IF($C7992="","",$D7992*$E7992)</f>
        <v/>
      </c>
      <c r="G7992" s="107" t="str">
        <f aca="false">IF($C7992="","",$D7992*IFERROR(INDEX('تحليل التكلفة والسعر'!$C$2:$C$700,MATCH($C7992,'تحليل التكلفة والسعر'!$B$2:$B$700,0)),0))</f>
        <v/>
      </c>
    </row>
    <row r="7993" customFormat="false" ht="15" hidden="false" customHeight="false" outlineLevel="0" collapsed="false">
      <c r="A7993" s="103"/>
      <c r="B7993" s="104"/>
      <c r="C7993" s="104"/>
      <c r="E7993" s="107" t="str">
        <f aca="false">IF($C7993="","",IFERROR(INDEX(المنيو!$C$2:$C$500,MATCH($C7993,المنيو!$B$2:$B$500,0)),0))</f>
        <v/>
      </c>
      <c r="F7993" s="107" t="str">
        <f aca="false">IF($C7993="","",$D7993*$E7993)</f>
        <v/>
      </c>
      <c r="G7993" s="107" t="str">
        <f aca="false">IF($C7993="","",$D7993*IFERROR(INDEX('تحليل التكلفة والسعر'!$C$2:$C$700,MATCH($C7993,'تحليل التكلفة والسعر'!$B$2:$B$700,0)),0))</f>
        <v/>
      </c>
    </row>
    <row r="7994" customFormat="false" ht="15" hidden="false" customHeight="false" outlineLevel="0" collapsed="false">
      <c r="A7994" s="103"/>
      <c r="B7994" s="104"/>
      <c r="C7994" s="104"/>
      <c r="E7994" s="107" t="str">
        <f aca="false">IF($C7994="","",IFERROR(INDEX(المنيو!$C$2:$C$500,MATCH($C7994,المنيو!$B$2:$B$500,0)),0))</f>
        <v/>
      </c>
      <c r="F7994" s="107" t="str">
        <f aca="false">IF($C7994="","",$D7994*$E7994)</f>
        <v/>
      </c>
      <c r="G7994" s="107" t="str">
        <f aca="false">IF($C7994="","",$D7994*IFERROR(INDEX('تحليل التكلفة والسعر'!$C$2:$C$700,MATCH($C7994,'تحليل التكلفة والسعر'!$B$2:$B$700,0)),0))</f>
        <v/>
      </c>
    </row>
    <row r="7995" customFormat="false" ht="15" hidden="false" customHeight="false" outlineLevel="0" collapsed="false">
      <c r="A7995" s="103"/>
      <c r="B7995" s="104"/>
      <c r="C7995" s="104"/>
      <c r="E7995" s="107" t="str">
        <f aca="false">IF($C7995="","",IFERROR(INDEX(المنيو!$C$2:$C$500,MATCH($C7995,المنيو!$B$2:$B$500,0)),0))</f>
        <v/>
      </c>
      <c r="F7995" s="107" t="str">
        <f aca="false">IF($C7995="","",$D7995*$E7995)</f>
        <v/>
      </c>
      <c r="G7995" s="107" t="str">
        <f aca="false">IF($C7995="","",$D7995*IFERROR(INDEX('تحليل التكلفة والسعر'!$C$2:$C$700,MATCH($C7995,'تحليل التكلفة والسعر'!$B$2:$B$700,0)),0))</f>
        <v/>
      </c>
    </row>
    <row r="7996" customFormat="false" ht="15" hidden="false" customHeight="false" outlineLevel="0" collapsed="false">
      <c r="A7996" s="103"/>
      <c r="B7996" s="104"/>
      <c r="C7996" s="104"/>
      <c r="E7996" s="107" t="str">
        <f aca="false">IF($C7996="","",IFERROR(INDEX(المنيو!$C$2:$C$500,MATCH($C7996,المنيو!$B$2:$B$500,0)),0))</f>
        <v/>
      </c>
      <c r="F7996" s="107" t="str">
        <f aca="false">IF($C7996="","",$D7996*$E7996)</f>
        <v/>
      </c>
      <c r="G7996" s="107" t="str">
        <f aca="false">IF($C7996="","",$D7996*IFERROR(INDEX('تحليل التكلفة والسعر'!$C$2:$C$700,MATCH($C7996,'تحليل التكلفة والسعر'!$B$2:$B$700,0)),0))</f>
        <v/>
      </c>
    </row>
    <row r="7997" customFormat="false" ht="15" hidden="false" customHeight="false" outlineLevel="0" collapsed="false">
      <c r="A7997" s="103"/>
      <c r="B7997" s="104"/>
      <c r="C7997" s="104"/>
      <c r="E7997" s="107" t="str">
        <f aca="false">IF($C7997="","",IFERROR(INDEX(المنيو!$C$2:$C$500,MATCH($C7997,المنيو!$B$2:$B$500,0)),0))</f>
        <v/>
      </c>
      <c r="F7997" s="107" t="str">
        <f aca="false">IF($C7997="","",$D7997*$E7997)</f>
        <v/>
      </c>
      <c r="G7997" s="107" t="str">
        <f aca="false">IF($C7997="","",$D7997*IFERROR(INDEX('تحليل التكلفة والسعر'!$C$2:$C$700,MATCH($C7997,'تحليل التكلفة والسعر'!$B$2:$B$700,0)),0))</f>
        <v/>
      </c>
    </row>
    <row r="7998" customFormat="false" ht="15" hidden="false" customHeight="false" outlineLevel="0" collapsed="false">
      <c r="A7998" s="103"/>
      <c r="B7998" s="104"/>
      <c r="C7998" s="104"/>
      <c r="E7998" s="107" t="str">
        <f aca="false">IF($C7998="","",IFERROR(INDEX(المنيو!$C$2:$C$500,MATCH($C7998,المنيو!$B$2:$B$500,0)),0))</f>
        <v/>
      </c>
      <c r="F7998" s="107" t="str">
        <f aca="false">IF($C7998="","",$D7998*$E7998)</f>
        <v/>
      </c>
      <c r="G7998" s="107" t="str">
        <f aca="false">IF($C7998="","",$D7998*IFERROR(INDEX('تحليل التكلفة والسعر'!$C$2:$C$700,MATCH($C7998,'تحليل التكلفة والسعر'!$B$2:$B$700,0)),0))</f>
        <v/>
      </c>
    </row>
    <row r="7999" customFormat="false" ht="15" hidden="false" customHeight="false" outlineLevel="0" collapsed="false">
      <c r="A7999" s="103"/>
      <c r="B7999" s="104"/>
      <c r="C7999" s="104"/>
      <c r="E7999" s="107" t="str">
        <f aca="false">IF($C7999="","",IFERROR(INDEX(المنيو!$C$2:$C$500,MATCH($C7999,المنيو!$B$2:$B$500,0)),0))</f>
        <v/>
      </c>
      <c r="F7999" s="107" t="str">
        <f aca="false">IF($C7999="","",$D7999*$E7999)</f>
        <v/>
      </c>
      <c r="G7999" s="107" t="str">
        <f aca="false">IF($C7999="","",$D7999*IFERROR(INDEX('تحليل التكلفة والسعر'!$C$2:$C$700,MATCH($C7999,'تحليل التكلفة والسعر'!$B$2:$B$700,0)),0))</f>
        <v/>
      </c>
    </row>
    <row r="8000" customFormat="false" ht="15" hidden="false" customHeight="false" outlineLevel="0" collapsed="false">
      <c r="A8000" s="103"/>
      <c r="B8000" s="104"/>
      <c r="C8000" s="104"/>
      <c r="E8000" s="107" t="str">
        <f aca="false">IF($C8000="","",IFERROR(INDEX(المنيو!$C$2:$C$500,MATCH($C8000,المنيو!$B$2:$B$500,0)),0))</f>
        <v/>
      </c>
      <c r="F8000" s="107" t="str">
        <f aca="false">IF($C8000="","",$D8000*$E8000)</f>
        <v/>
      </c>
      <c r="G8000" s="107" t="str">
        <f aca="false">IF($C8000="","",$D8000*IFERROR(INDEX('تحليل التكلفة والسعر'!$C$2:$C$700,MATCH($C8000,'تحليل التكلفة والسعر'!$B$2:$B$700,0)),0))</f>
        <v/>
      </c>
    </row>
    <row r="8001" customFormat="false" ht="15" hidden="false" customHeight="false" outlineLevel="0" collapsed="false">
      <c r="A8001" s="103"/>
      <c r="B8001" s="104"/>
      <c r="C8001" s="104"/>
      <c r="E8001" s="107" t="str">
        <f aca="false">IF($C8001="","",IFERROR(INDEX(المنيو!$C$2:$C$500,MATCH($C8001,المنيو!$B$2:$B$500,0)),0))</f>
        <v/>
      </c>
      <c r="F8001" s="107" t="str">
        <f aca="false">IF($C8001="","",$D8001*$E8001)</f>
        <v/>
      </c>
      <c r="G8001" s="107" t="str">
        <f aca="false">IF($C8001="","",$D8001*IFERROR(INDEX('تحليل التكلفة والسعر'!$C$2:$C$700,MATCH($C8001,'تحليل التكلفة والسعر'!$B$2:$B$700,0)),0))</f>
        <v/>
      </c>
    </row>
    <row r="8002" customFormat="false" ht="15" hidden="false" customHeight="false" outlineLevel="0" collapsed="false">
      <c r="A8002" s="103"/>
      <c r="B8002" s="104"/>
      <c r="C8002" s="104"/>
      <c r="E8002" s="107" t="str">
        <f aca="false">IF($C8002="","",IFERROR(INDEX(المنيو!$C$2:$C$500,MATCH($C8002,المنيو!$B$2:$B$500,0)),0))</f>
        <v/>
      </c>
      <c r="F8002" s="107" t="str">
        <f aca="false">IF($C8002="","",$D8002*$E8002)</f>
        <v/>
      </c>
      <c r="G8002" s="107" t="str">
        <f aca="false">IF($C8002="","",$D8002*IFERROR(INDEX('تحليل التكلفة والسعر'!$C$2:$C$700,MATCH($C8002,'تحليل التكلفة والسعر'!$B$2:$B$700,0)),0))</f>
        <v/>
      </c>
    </row>
    <row r="8003" customFormat="false" ht="15" hidden="false" customHeight="false" outlineLevel="0" collapsed="false">
      <c r="A8003" s="103"/>
      <c r="B8003" s="104"/>
      <c r="C8003" s="104"/>
      <c r="E8003" s="107" t="str">
        <f aca="false">IF($C8003="","",IFERROR(INDEX(المنيو!$C$2:$C$500,MATCH($C8003,المنيو!$B$2:$B$500,0)),0))</f>
        <v/>
      </c>
      <c r="F8003" s="107" t="str">
        <f aca="false">IF($C8003="","",$D8003*$E8003)</f>
        <v/>
      </c>
      <c r="G8003" s="107" t="str">
        <f aca="false">IF($C8003="","",$D8003*IFERROR(INDEX('تحليل التكلفة والسعر'!$C$2:$C$700,MATCH($C8003,'تحليل التكلفة والسعر'!$B$2:$B$700,0)),0))</f>
        <v/>
      </c>
    </row>
    <row r="8004" customFormat="false" ht="15" hidden="false" customHeight="false" outlineLevel="0" collapsed="false">
      <c r="A8004" s="103"/>
      <c r="B8004" s="104"/>
      <c r="C8004" s="104"/>
      <c r="E8004" s="107" t="str">
        <f aca="false">IF($C8004="","",IFERROR(INDEX(المنيو!$C$2:$C$500,MATCH($C8004,المنيو!$B$2:$B$500,0)),0))</f>
        <v/>
      </c>
      <c r="F8004" s="107" t="str">
        <f aca="false">IF($C8004="","",$D8004*$E8004)</f>
        <v/>
      </c>
      <c r="G8004" s="107" t="str">
        <f aca="false">IF($C8004="","",$D8004*IFERROR(INDEX('تحليل التكلفة والسعر'!$C$2:$C$700,MATCH($C8004,'تحليل التكلفة والسعر'!$B$2:$B$700,0)),0))</f>
        <v/>
      </c>
    </row>
    <row r="8005" customFormat="false" ht="15" hidden="false" customHeight="false" outlineLevel="0" collapsed="false">
      <c r="A8005" s="103"/>
      <c r="B8005" s="104"/>
      <c r="C8005" s="104"/>
      <c r="E8005" s="107" t="str">
        <f aca="false">IF($C8005="","",IFERROR(INDEX(المنيو!$C$2:$C$500,MATCH($C8005,المنيو!$B$2:$B$500,0)),0))</f>
        <v/>
      </c>
      <c r="F8005" s="107" t="str">
        <f aca="false">IF($C8005="","",$D8005*$E8005)</f>
        <v/>
      </c>
      <c r="G8005" s="107" t="str">
        <f aca="false">IF($C8005="","",$D8005*IFERROR(INDEX('تحليل التكلفة والسعر'!$C$2:$C$700,MATCH($C8005,'تحليل التكلفة والسعر'!$B$2:$B$700,0)),0))</f>
        <v/>
      </c>
    </row>
    <row r="8006" customFormat="false" ht="15" hidden="false" customHeight="false" outlineLevel="0" collapsed="false">
      <c r="A8006" s="103"/>
      <c r="B8006" s="104"/>
      <c r="C8006" s="104"/>
      <c r="E8006" s="107" t="str">
        <f aca="false">IF($C8006="","",IFERROR(INDEX(المنيو!$C$2:$C$500,MATCH($C8006,المنيو!$B$2:$B$500,0)),0))</f>
        <v/>
      </c>
      <c r="F8006" s="107" t="str">
        <f aca="false">IF($C8006="","",$D8006*$E8006)</f>
        <v/>
      </c>
      <c r="G8006" s="107" t="str">
        <f aca="false">IF($C8006="","",$D8006*IFERROR(INDEX('تحليل التكلفة والسعر'!$C$2:$C$700,MATCH($C8006,'تحليل التكلفة والسعر'!$B$2:$B$700,0)),0))</f>
        <v/>
      </c>
    </row>
    <row r="8007" customFormat="false" ht="15" hidden="false" customHeight="false" outlineLevel="0" collapsed="false">
      <c r="A8007" s="103"/>
      <c r="B8007" s="104"/>
      <c r="C8007" s="104"/>
      <c r="E8007" s="107" t="str">
        <f aca="false">IF($C8007="","",IFERROR(INDEX(المنيو!$C$2:$C$500,MATCH($C8007,المنيو!$B$2:$B$500,0)),0))</f>
        <v/>
      </c>
      <c r="F8007" s="107" t="str">
        <f aca="false">IF($C8007="","",$D8007*$E8007)</f>
        <v/>
      </c>
      <c r="G8007" s="107" t="str">
        <f aca="false">IF($C8007="","",$D8007*IFERROR(INDEX('تحليل التكلفة والسعر'!$C$2:$C$700,MATCH($C8007,'تحليل التكلفة والسعر'!$B$2:$B$700,0)),0))</f>
        <v/>
      </c>
    </row>
    <row r="8008" customFormat="false" ht="15" hidden="false" customHeight="false" outlineLevel="0" collapsed="false">
      <c r="A8008" s="103"/>
      <c r="B8008" s="104"/>
      <c r="C8008" s="104"/>
      <c r="E8008" s="107" t="str">
        <f aca="false">IF($C8008="","",IFERROR(INDEX(المنيو!$C$2:$C$500,MATCH($C8008,المنيو!$B$2:$B$500,0)),0))</f>
        <v/>
      </c>
      <c r="F8008" s="107" t="str">
        <f aca="false">IF($C8008="","",$D8008*$E8008)</f>
        <v/>
      </c>
      <c r="G8008" s="107" t="str">
        <f aca="false">IF($C8008="","",$D8008*IFERROR(INDEX('تحليل التكلفة والسعر'!$C$2:$C$700,MATCH($C8008,'تحليل التكلفة والسعر'!$B$2:$B$700,0)),0))</f>
        <v/>
      </c>
    </row>
    <row r="8009" customFormat="false" ht="15" hidden="false" customHeight="false" outlineLevel="0" collapsed="false">
      <c r="A8009" s="103"/>
      <c r="B8009" s="104"/>
      <c r="C8009" s="104"/>
      <c r="E8009" s="107" t="str">
        <f aca="false">IF($C8009="","",IFERROR(INDEX(المنيو!$C$2:$C$500,MATCH($C8009,المنيو!$B$2:$B$500,0)),0))</f>
        <v/>
      </c>
      <c r="F8009" s="107" t="str">
        <f aca="false">IF($C8009="","",$D8009*$E8009)</f>
        <v/>
      </c>
      <c r="G8009" s="107" t="str">
        <f aca="false">IF($C8009="","",$D8009*IFERROR(INDEX('تحليل التكلفة والسعر'!$C$2:$C$700,MATCH($C8009,'تحليل التكلفة والسعر'!$B$2:$B$700,0)),0))</f>
        <v/>
      </c>
    </row>
    <row r="8010" customFormat="false" ht="15" hidden="false" customHeight="false" outlineLevel="0" collapsed="false">
      <c r="A8010" s="103"/>
      <c r="B8010" s="104"/>
      <c r="C8010" s="104"/>
      <c r="E8010" s="107" t="str">
        <f aca="false">IF($C8010="","",IFERROR(INDEX(المنيو!$C$2:$C$500,MATCH($C8010,المنيو!$B$2:$B$500,0)),0))</f>
        <v/>
      </c>
      <c r="F8010" s="107" t="str">
        <f aca="false">IF($C8010="","",$D8010*$E8010)</f>
        <v/>
      </c>
      <c r="G8010" s="107" t="str">
        <f aca="false">IF($C8010="","",$D8010*IFERROR(INDEX('تحليل التكلفة والسعر'!$C$2:$C$700,MATCH($C8010,'تحليل التكلفة والسعر'!$B$2:$B$700,0)),0))</f>
        <v/>
      </c>
    </row>
    <row r="8011" customFormat="false" ht="15" hidden="false" customHeight="false" outlineLevel="0" collapsed="false">
      <c r="A8011" s="103"/>
      <c r="B8011" s="104"/>
      <c r="C8011" s="104"/>
      <c r="E8011" s="107" t="str">
        <f aca="false">IF($C8011="","",IFERROR(INDEX(المنيو!$C$2:$C$500,MATCH($C8011,المنيو!$B$2:$B$500,0)),0))</f>
        <v/>
      </c>
      <c r="F8011" s="107" t="str">
        <f aca="false">IF($C8011="","",$D8011*$E8011)</f>
        <v/>
      </c>
      <c r="G8011" s="107" t="str">
        <f aca="false">IF($C8011="","",$D8011*IFERROR(INDEX('تحليل التكلفة والسعر'!$C$2:$C$700,MATCH($C8011,'تحليل التكلفة والسعر'!$B$2:$B$700,0)),0))</f>
        <v/>
      </c>
    </row>
    <row r="8012" customFormat="false" ht="15" hidden="false" customHeight="false" outlineLevel="0" collapsed="false">
      <c r="A8012" s="103"/>
      <c r="B8012" s="104"/>
      <c r="C8012" s="104"/>
      <c r="E8012" s="107" t="str">
        <f aca="false">IF($C8012="","",IFERROR(INDEX(المنيو!$C$2:$C$500,MATCH($C8012,المنيو!$B$2:$B$500,0)),0))</f>
        <v/>
      </c>
      <c r="F8012" s="107" t="str">
        <f aca="false">IF($C8012="","",$D8012*$E8012)</f>
        <v/>
      </c>
      <c r="G8012" s="107" t="str">
        <f aca="false">IF($C8012="","",$D8012*IFERROR(INDEX('تحليل التكلفة والسعر'!$C$2:$C$700,MATCH($C8012,'تحليل التكلفة والسعر'!$B$2:$B$700,0)),0))</f>
        <v/>
      </c>
    </row>
    <row r="8013" customFormat="false" ht="15" hidden="false" customHeight="false" outlineLevel="0" collapsed="false">
      <c r="A8013" s="103"/>
      <c r="B8013" s="104"/>
      <c r="C8013" s="104"/>
      <c r="E8013" s="107" t="str">
        <f aca="false">IF($C8013="","",IFERROR(INDEX(المنيو!$C$2:$C$500,MATCH($C8013,المنيو!$B$2:$B$500,0)),0))</f>
        <v/>
      </c>
      <c r="F8013" s="107" t="str">
        <f aca="false">IF($C8013="","",$D8013*$E8013)</f>
        <v/>
      </c>
      <c r="G8013" s="107" t="str">
        <f aca="false">IF($C8013="","",$D8013*IFERROR(INDEX('تحليل التكلفة والسعر'!$C$2:$C$700,MATCH($C8013,'تحليل التكلفة والسعر'!$B$2:$B$700,0)),0))</f>
        <v/>
      </c>
    </row>
    <row r="8014" customFormat="false" ht="15" hidden="false" customHeight="false" outlineLevel="0" collapsed="false">
      <c r="A8014" s="103"/>
      <c r="B8014" s="104"/>
      <c r="C8014" s="104"/>
      <c r="E8014" s="107" t="str">
        <f aca="false">IF($C8014="","",IFERROR(INDEX(المنيو!$C$2:$C$500,MATCH($C8014,المنيو!$B$2:$B$500,0)),0))</f>
        <v/>
      </c>
      <c r="F8014" s="107" t="str">
        <f aca="false">IF($C8014="","",$D8014*$E8014)</f>
        <v/>
      </c>
      <c r="G8014" s="107" t="str">
        <f aca="false">IF($C8014="","",$D8014*IFERROR(INDEX('تحليل التكلفة والسعر'!$C$2:$C$700,MATCH($C8014,'تحليل التكلفة والسعر'!$B$2:$B$700,0)),0))</f>
        <v/>
      </c>
    </row>
    <row r="8015" customFormat="false" ht="15" hidden="false" customHeight="false" outlineLevel="0" collapsed="false">
      <c r="A8015" s="103"/>
      <c r="B8015" s="104"/>
      <c r="C8015" s="104"/>
      <c r="E8015" s="107" t="str">
        <f aca="false">IF($C8015="","",IFERROR(INDEX(المنيو!$C$2:$C$500,MATCH($C8015,المنيو!$B$2:$B$500,0)),0))</f>
        <v/>
      </c>
      <c r="F8015" s="107" t="str">
        <f aca="false">IF($C8015="","",$D8015*$E8015)</f>
        <v/>
      </c>
      <c r="G8015" s="107" t="str">
        <f aca="false">IF($C8015="","",$D8015*IFERROR(INDEX('تحليل التكلفة والسعر'!$C$2:$C$700,MATCH($C8015,'تحليل التكلفة والسعر'!$B$2:$B$700,0)),0))</f>
        <v/>
      </c>
    </row>
    <row r="8016" customFormat="false" ht="15" hidden="false" customHeight="false" outlineLevel="0" collapsed="false">
      <c r="A8016" s="103"/>
      <c r="B8016" s="104"/>
      <c r="C8016" s="104"/>
      <c r="E8016" s="107" t="str">
        <f aca="false">IF($C8016="","",IFERROR(INDEX(المنيو!$C$2:$C$500,MATCH($C8016,المنيو!$B$2:$B$500,0)),0))</f>
        <v/>
      </c>
      <c r="F8016" s="107" t="str">
        <f aca="false">IF($C8016="","",$D8016*$E8016)</f>
        <v/>
      </c>
      <c r="G8016" s="107" t="str">
        <f aca="false">IF($C8016="","",$D8016*IFERROR(INDEX('تحليل التكلفة والسعر'!$C$2:$C$700,MATCH($C8016,'تحليل التكلفة والسعر'!$B$2:$B$700,0)),0))</f>
        <v/>
      </c>
    </row>
    <row r="8017" customFormat="false" ht="15" hidden="false" customHeight="false" outlineLevel="0" collapsed="false">
      <c r="A8017" s="103"/>
      <c r="B8017" s="104"/>
      <c r="C8017" s="104"/>
      <c r="E8017" s="107" t="str">
        <f aca="false">IF($C8017="","",IFERROR(INDEX(المنيو!$C$2:$C$500,MATCH($C8017,المنيو!$B$2:$B$500,0)),0))</f>
        <v/>
      </c>
      <c r="F8017" s="107" t="str">
        <f aca="false">IF($C8017="","",$D8017*$E8017)</f>
        <v/>
      </c>
      <c r="G8017" s="107" t="str">
        <f aca="false">IF($C8017="","",$D8017*IFERROR(INDEX('تحليل التكلفة والسعر'!$C$2:$C$700,MATCH($C8017,'تحليل التكلفة والسعر'!$B$2:$B$700,0)),0))</f>
        <v/>
      </c>
    </row>
    <row r="8018" customFormat="false" ht="15" hidden="false" customHeight="false" outlineLevel="0" collapsed="false">
      <c r="A8018" s="103"/>
      <c r="B8018" s="104"/>
      <c r="C8018" s="104"/>
      <c r="E8018" s="107" t="str">
        <f aca="false">IF($C8018="","",IFERROR(INDEX(المنيو!$C$2:$C$500,MATCH($C8018,المنيو!$B$2:$B$500,0)),0))</f>
        <v/>
      </c>
      <c r="F8018" s="107" t="str">
        <f aca="false">IF($C8018="","",$D8018*$E8018)</f>
        <v/>
      </c>
      <c r="G8018" s="107" t="str">
        <f aca="false">IF($C8018="","",$D8018*IFERROR(INDEX('تحليل التكلفة والسعر'!$C$2:$C$700,MATCH($C8018,'تحليل التكلفة والسعر'!$B$2:$B$700,0)),0))</f>
        <v/>
      </c>
    </row>
    <row r="8019" customFormat="false" ht="15" hidden="false" customHeight="false" outlineLevel="0" collapsed="false">
      <c r="A8019" s="103"/>
      <c r="B8019" s="104"/>
      <c r="C8019" s="104"/>
      <c r="E8019" s="107" t="str">
        <f aca="false">IF($C8019="","",IFERROR(INDEX(المنيو!$C$2:$C$500,MATCH($C8019,المنيو!$B$2:$B$500,0)),0))</f>
        <v/>
      </c>
      <c r="F8019" s="107" t="str">
        <f aca="false">IF($C8019="","",$D8019*$E8019)</f>
        <v/>
      </c>
      <c r="G8019" s="107" t="str">
        <f aca="false">IF($C8019="","",$D8019*IFERROR(INDEX('تحليل التكلفة والسعر'!$C$2:$C$700,MATCH($C8019,'تحليل التكلفة والسعر'!$B$2:$B$700,0)),0))</f>
        <v/>
      </c>
    </row>
    <row r="8020" customFormat="false" ht="15" hidden="false" customHeight="false" outlineLevel="0" collapsed="false">
      <c r="A8020" s="103"/>
      <c r="B8020" s="104"/>
      <c r="C8020" s="104"/>
      <c r="E8020" s="107" t="str">
        <f aca="false">IF($C8020="","",IFERROR(INDEX(المنيو!$C$2:$C$500,MATCH($C8020,المنيو!$B$2:$B$500,0)),0))</f>
        <v/>
      </c>
      <c r="F8020" s="107" t="str">
        <f aca="false">IF($C8020="","",$D8020*$E8020)</f>
        <v/>
      </c>
      <c r="G8020" s="107" t="str">
        <f aca="false">IF($C8020="","",$D8020*IFERROR(INDEX('تحليل التكلفة والسعر'!$C$2:$C$700,MATCH($C8020,'تحليل التكلفة والسعر'!$B$2:$B$700,0)),0))</f>
        <v/>
      </c>
    </row>
    <row r="8021" customFormat="false" ht="15" hidden="false" customHeight="false" outlineLevel="0" collapsed="false">
      <c r="A8021" s="103"/>
      <c r="B8021" s="104"/>
      <c r="C8021" s="104"/>
      <c r="E8021" s="107" t="str">
        <f aca="false">IF($C8021="","",IFERROR(INDEX(المنيو!$C$2:$C$500,MATCH($C8021,المنيو!$B$2:$B$500,0)),0))</f>
        <v/>
      </c>
      <c r="F8021" s="107" t="str">
        <f aca="false">IF($C8021="","",$D8021*$E8021)</f>
        <v/>
      </c>
      <c r="G8021" s="107" t="str">
        <f aca="false">IF($C8021="","",$D8021*IFERROR(INDEX('تحليل التكلفة والسعر'!$C$2:$C$700,MATCH($C8021,'تحليل التكلفة والسعر'!$B$2:$B$700,0)),0))</f>
        <v/>
      </c>
    </row>
    <row r="8022" customFormat="false" ht="15" hidden="false" customHeight="false" outlineLevel="0" collapsed="false">
      <c r="A8022" s="103"/>
      <c r="B8022" s="104"/>
      <c r="C8022" s="104"/>
      <c r="E8022" s="107" t="str">
        <f aca="false">IF($C8022="","",IFERROR(INDEX(المنيو!$C$2:$C$500,MATCH($C8022,المنيو!$B$2:$B$500,0)),0))</f>
        <v/>
      </c>
      <c r="F8022" s="107" t="str">
        <f aca="false">IF($C8022="","",$D8022*$E8022)</f>
        <v/>
      </c>
      <c r="G8022" s="107" t="str">
        <f aca="false">IF($C8022="","",$D8022*IFERROR(INDEX('تحليل التكلفة والسعر'!$C$2:$C$700,MATCH($C8022,'تحليل التكلفة والسعر'!$B$2:$B$700,0)),0))</f>
        <v/>
      </c>
    </row>
    <row r="8023" customFormat="false" ht="15" hidden="false" customHeight="false" outlineLevel="0" collapsed="false">
      <c r="A8023" s="103"/>
      <c r="B8023" s="104"/>
      <c r="C8023" s="104"/>
      <c r="E8023" s="107" t="str">
        <f aca="false">IF($C8023="","",IFERROR(INDEX(المنيو!$C$2:$C$500,MATCH($C8023,المنيو!$B$2:$B$500,0)),0))</f>
        <v/>
      </c>
      <c r="F8023" s="107" t="str">
        <f aca="false">IF($C8023="","",$D8023*$E8023)</f>
        <v/>
      </c>
      <c r="G8023" s="107" t="str">
        <f aca="false">IF($C8023="","",$D8023*IFERROR(INDEX('تحليل التكلفة والسعر'!$C$2:$C$700,MATCH($C8023,'تحليل التكلفة والسعر'!$B$2:$B$700,0)),0))</f>
        <v/>
      </c>
    </row>
    <row r="8024" customFormat="false" ht="15" hidden="false" customHeight="false" outlineLevel="0" collapsed="false">
      <c r="A8024" s="103"/>
      <c r="B8024" s="104"/>
      <c r="C8024" s="104"/>
      <c r="E8024" s="107" t="str">
        <f aca="false">IF($C8024="","",IFERROR(INDEX(المنيو!$C$2:$C$500,MATCH($C8024,المنيو!$B$2:$B$500,0)),0))</f>
        <v/>
      </c>
      <c r="F8024" s="107" t="str">
        <f aca="false">IF($C8024="","",$D8024*$E8024)</f>
        <v/>
      </c>
      <c r="G8024" s="107" t="str">
        <f aca="false">IF($C8024="","",$D8024*IFERROR(INDEX('تحليل التكلفة والسعر'!$C$2:$C$700,MATCH($C8024,'تحليل التكلفة والسعر'!$B$2:$B$700,0)),0))</f>
        <v/>
      </c>
    </row>
    <row r="8025" customFormat="false" ht="15" hidden="false" customHeight="false" outlineLevel="0" collapsed="false">
      <c r="A8025" s="103"/>
      <c r="B8025" s="104"/>
      <c r="C8025" s="104"/>
      <c r="E8025" s="107" t="str">
        <f aca="false">IF($C8025="","",IFERROR(INDEX(المنيو!$C$2:$C$500,MATCH($C8025,المنيو!$B$2:$B$500,0)),0))</f>
        <v/>
      </c>
      <c r="F8025" s="107" t="str">
        <f aca="false">IF($C8025="","",$D8025*$E8025)</f>
        <v/>
      </c>
      <c r="G8025" s="107" t="str">
        <f aca="false">IF($C8025="","",$D8025*IFERROR(INDEX('تحليل التكلفة والسعر'!$C$2:$C$700,MATCH($C8025,'تحليل التكلفة والسعر'!$B$2:$B$700,0)),0))</f>
        <v/>
      </c>
    </row>
    <row r="8026" customFormat="false" ht="15" hidden="false" customHeight="false" outlineLevel="0" collapsed="false">
      <c r="A8026" s="103"/>
      <c r="B8026" s="104"/>
      <c r="C8026" s="104"/>
      <c r="E8026" s="107" t="str">
        <f aca="false">IF($C8026="","",IFERROR(INDEX(المنيو!$C$2:$C$500,MATCH($C8026,المنيو!$B$2:$B$500,0)),0))</f>
        <v/>
      </c>
      <c r="F8026" s="107" t="str">
        <f aca="false">IF($C8026="","",$D8026*$E8026)</f>
        <v/>
      </c>
      <c r="G8026" s="107" t="str">
        <f aca="false">IF($C8026="","",$D8026*IFERROR(INDEX('تحليل التكلفة والسعر'!$C$2:$C$700,MATCH($C8026,'تحليل التكلفة والسعر'!$B$2:$B$700,0)),0))</f>
        <v/>
      </c>
    </row>
    <row r="8027" customFormat="false" ht="15" hidden="false" customHeight="false" outlineLevel="0" collapsed="false">
      <c r="A8027" s="103"/>
      <c r="B8027" s="104"/>
      <c r="C8027" s="104"/>
      <c r="E8027" s="107" t="str">
        <f aca="false">IF($C8027="","",IFERROR(INDEX(المنيو!$C$2:$C$500,MATCH($C8027,المنيو!$B$2:$B$500,0)),0))</f>
        <v/>
      </c>
      <c r="F8027" s="107" t="str">
        <f aca="false">IF($C8027="","",$D8027*$E8027)</f>
        <v/>
      </c>
      <c r="G8027" s="107" t="str">
        <f aca="false">IF($C8027="","",$D8027*IFERROR(INDEX('تحليل التكلفة والسعر'!$C$2:$C$700,MATCH($C8027,'تحليل التكلفة والسعر'!$B$2:$B$700,0)),0))</f>
        <v/>
      </c>
    </row>
    <row r="8028" customFormat="false" ht="15" hidden="false" customHeight="false" outlineLevel="0" collapsed="false">
      <c r="A8028" s="103"/>
      <c r="B8028" s="104"/>
      <c r="C8028" s="104"/>
      <c r="E8028" s="107" t="str">
        <f aca="false">IF($C8028="","",IFERROR(INDEX(المنيو!$C$2:$C$500,MATCH($C8028,المنيو!$B$2:$B$500,0)),0))</f>
        <v/>
      </c>
      <c r="F8028" s="107" t="str">
        <f aca="false">IF($C8028="","",$D8028*$E8028)</f>
        <v/>
      </c>
      <c r="G8028" s="107" t="str">
        <f aca="false">IF($C8028="","",$D8028*IFERROR(INDEX('تحليل التكلفة والسعر'!$C$2:$C$700,MATCH($C8028,'تحليل التكلفة والسعر'!$B$2:$B$700,0)),0))</f>
        <v/>
      </c>
    </row>
    <row r="8029" customFormat="false" ht="15" hidden="false" customHeight="false" outlineLevel="0" collapsed="false">
      <c r="A8029" s="103"/>
      <c r="B8029" s="104"/>
      <c r="C8029" s="104"/>
      <c r="E8029" s="107" t="str">
        <f aca="false">IF($C8029="","",IFERROR(INDEX(المنيو!$C$2:$C$500,MATCH($C8029,المنيو!$B$2:$B$500,0)),0))</f>
        <v/>
      </c>
      <c r="F8029" s="107" t="str">
        <f aca="false">IF($C8029="","",$D8029*$E8029)</f>
        <v/>
      </c>
      <c r="G8029" s="107" t="str">
        <f aca="false">IF($C8029="","",$D8029*IFERROR(INDEX('تحليل التكلفة والسعر'!$C$2:$C$700,MATCH($C8029,'تحليل التكلفة والسعر'!$B$2:$B$700,0)),0))</f>
        <v/>
      </c>
    </row>
    <row r="8030" customFormat="false" ht="15" hidden="false" customHeight="false" outlineLevel="0" collapsed="false">
      <c r="A8030" s="103"/>
      <c r="B8030" s="104"/>
      <c r="C8030" s="104"/>
      <c r="E8030" s="107" t="str">
        <f aca="false">IF($C8030="","",IFERROR(INDEX(المنيو!$C$2:$C$500,MATCH($C8030,المنيو!$B$2:$B$500,0)),0))</f>
        <v/>
      </c>
      <c r="F8030" s="107" t="str">
        <f aca="false">IF($C8030="","",$D8030*$E8030)</f>
        <v/>
      </c>
      <c r="G8030" s="107" t="str">
        <f aca="false">IF($C8030="","",$D8030*IFERROR(INDEX('تحليل التكلفة والسعر'!$C$2:$C$700,MATCH($C8030,'تحليل التكلفة والسعر'!$B$2:$B$700,0)),0))</f>
        <v/>
      </c>
    </row>
    <row r="8031" customFormat="false" ht="15" hidden="false" customHeight="false" outlineLevel="0" collapsed="false">
      <c r="A8031" s="103"/>
      <c r="B8031" s="104"/>
      <c r="C8031" s="104"/>
      <c r="E8031" s="107" t="str">
        <f aca="false">IF($C8031="","",IFERROR(INDEX(المنيو!$C$2:$C$500,MATCH($C8031,المنيو!$B$2:$B$500,0)),0))</f>
        <v/>
      </c>
      <c r="F8031" s="107" t="str">
        <f aca="false">IF($C8031="","",$D8031*$E8031)</f>
        <v/>
      </c>
      <c r="G8031" s="107" t="str">
        <f aca="false">IF($C8031="","",$D8031*IFERROR(INDEX('تحليل التكلفة والسعر'!$C$2:$C$700,MATCH($C8031,'تحليل التكلفة والسعر'!$B$2:$B$700,0)),0))</f>
        <v/>
      </c>
    </row>
    <row r="8032" customFormat="false" ht="15" hidden="false" customHeight="false" outlineLevel="0" collapsed="false">
      <c r="A8032" s="103"/>
      <c r="B8032" s="104"/>
      <c r="C8032" s="104"/>
      <c r="E8032" s="107" t="str">
        <f aca="false">IF($C8032="","",IFERROR(INDEX(المنيو!$C$2:$C$500,MATCH($C8032,المنيو!$B$2:$B$500,0)),0))</f>
        <v/>
      </c>
      <c r="F8032" s="107" t="str">
        <f aca="false">IF($C8032="","",$D8032*$E8032)</f>
        <v/>
      </c>
      <c r="G8032" s="107" t="str">
        <f aca="false">IF($C8032="","",$D8032*IFERROR(INDEX('تحليل التكلفة والسعر'!$C$2:$C$700,MATCH($C8032,'تحليل التكلفة والسعر'!$B$2:$B$700,0)),0))</f>
        <v/>
      </c>
    </row>
    <row r="8033" customFormat="false" ht="15" hidden="false" customHeight="false" outlineLevel="0" collapsed="false">
      <c r="A8033" s="103"/>
      <c r="B8033" s="104"/>
      <c r="C8033" s="104"/>
      <c r="E8033" s="107" t="str">
        <f aca="false">IF($C8033="","",IFERROR(INDEX(المنيو!$C$2:$C$500,MATCH($C8033,المنيو!$B$2:$B$500,0)),0))</f>
        <v/>
      </c>
      <c r="F8033" s="107" t="str">
        <f aca="false">IF($C8033="","",$D8033*$E8033)</f>
        <v/>
      </c>
      <c r="G8033" s="107" t="str">
        <f aca="false">IF($C8033="","",$D8033*IFERROR(INDEX('تحليل التكلفة والسعر'!$C$2:$C$700,MATCH($C8033,'تحليل التكلفة والسعر'!$B$2:$B$700,0)),0))</f>
        <v/>
      </c>
    </row>
    <row r="8034" customFormat="false" ht="15" hidden="false" customHeight="false" outlineLevel="0" collapsed="false">
      <c r="A8034" s="103"/>
      <c r="B8034" s="104"/>
      <c r="C8034" s="104"/>
      <c r="E8034" s="107" t="str">
        <f aca="false">IF($C8034="","",IFERROR(INDEX(المنيو!$C$2:$C$500,MATCH($C8034,المنيو!$B$2:$B$500,0)),0))</f>
        <v/>
      </c>
      <c r="F8034" s="107" t="str">
        <f aca="false">IF($C8034="","",$D8034*$E8034)</f>
        <v/>
      </c>
      <c r="G8034" s="107" t="str">
        <f aca="false">IF($C8034="","",$D8034*IFERROR(INDEX('تحليل التكلفة والسعر'!$C$2:$C$700,MATCH($C8034,'تحليل التكلفة والسعر'!$B$2:$B$700,0)),0))</f>
        <v/>
      </c>
    </row>
    <row r="8035" customFormat="false" ht="15" hidden="false" customHeight="false" outlineLevel="0" collapsed="false">
      <c r="A8035" s="103"/>
      <c r="B8035" s="104"/>
      <c r="C8035" s="104"/>
      <c r="E8035" s="107" t="str">
        <f aca="false">IF($C8035="","",IFERROR(INDEX(المنيو!$C$2:$C$500,MATCH($C8035,المنيو!$B$2:$B$500,0)),0))</f>
        <v/>
      </c>
      <c r="F8035" s="107" t="str">
        <f aca="false">IF($C8035="","",$D8035*$E8035)</f>
        <v/>
      </c>
      <c r="G8035" s="107" t="str">
        <f aca="false">IF($C8035="","",$D8035*IFERROR(INDEX('تحليل التكلفة والسعر'!$C$2:$C$700,MATCH($C8035,'تحليل التكلفة والسعر'!$B$2:$B$700,0)),0))</f>
        <v/>
      </c>
    </row>
    <row r="8036" customFormat="false" ht="15" hidden="false" customHeight="false" outlineLevel="0" collapsed="false">
      <c r="A8036" s="103"/>
      <c r="B8036" s="104"/>
      <c r="C8036" s="104"/>
      <c r="E8036" s="107" t="str">
        <f aca="false">IF($C8036="","",IFERROR(INDEX(المنيو!$C$2:$C$500,MATCH($C8036,المنيو!$B$2:$B$500,0)),0))</f>
        <v/>
      </c>
      <c r="F8036" s="107" t="str">
        <f aca="false">IF($C8036="","",$D8036*$E8036)</f>
        <v/>
      </c>
      <c r="G8036" s="107" t="str">
        <f aca="false">IF($C8036="","",$D8036*IFERROR(INDEX('تحليل التكلفة والسعر'!$C$2:$C$700,MATCH($C8036,'تحليل التكلفة والسعر'!$B$2:$B$700,0)),0))</f>
        <v/>
      </c>
    </row>
    <row r="8037" customFormat="false" ht="15" hidden="false" customHeight="false" outlineLevel="0" collapsed="false">
      <c r="A8037" s="103"/>
      <c r="B8037" s="104"/>
      <c r="C8037" s="104"/>
      <c r="E8037" s="107" t="str">
        <f aca="false">IF($C8037="","",IFERROR(INDEX(المنيو!$C$2:$C$500,MATCH($C8037,المنيو!$B$2:$B$500,0)),0))</f>
        <v/>
      </c>
      <c r="F8037" s="107" t="str">
        <f aca="false">IF($C8037="","",$D8037*$E8037)</f>
        <v/>
      </c>
      <c r="G8037" s="107" t="str">
        <f aca="false">IF($C8037="","",$D8037*IFERROR(INDEX('تحليل التكلفة والسعر'!$C$2:$C$700,MATCH($C8037,'تحليل التكلفة والسعر'!$B$2:$B$700,0)),0))</f>
        <v/>
      </c>
    </row>
    <row r="8038" customFormat="false" ht="15" hidden="false" customHeight="false" outlineLevel="0" collapsed="false">
      <c r="A8038" s="103"/>
      <c r="B8038" s="104"/>
      <c r="C8038" s="104"/>
      <c r="E8038" s="107" t="str">
        <f aca="false">IF($C8038="","",IFERROR(INDEX(المنيو!$C$2:$C$500,MATCH($C8038,المنيو!$B$2:$B$500,0)),0))</f>
        <v/>
      </c>
      <c r="F8038" s="107" t="str">
        <f aca="false">IF($C8038="","",$D8038*$E8038)</f>
        <v/>
      </c>
      <c r="G8038" s="107" t="str">
        <f aca="false">IF($C8038="","",$D8038*IFERROR(INDEX('تحليل التكلفة والسعر'!$C$2:$C$700,MATCH($C8038,'تحليل التكلفة والسعر'!$B$2:$B$700,0)),0))</f>
        <v/>
      </c>
    </row>
    <row r="8039" customFormat="false" ht="15" hidden="false" customHeight="false" outlineLevel="0" collapsed="false">
      <c r="A8039" s="103"/>
      <c r="B8039" s="104"/>
      <c r="C8039" s="104"/>
      <c r="E8039" s="107" t="str">
        <f aca="false">IF($C8039="","",IFERROR(INDEX(المنيو!$C$2:$C$500,MATCH($C8039,المنيو!$B$2:$B$500,0)),0))</f>
        <v/>
      </c>
      <c r="F8039" s="107" t="str">
        <f aca="false">IF($C8039="","",$D8039*$E8039)</f>
        <v/>
      </c>
      <c r="G8039" s="107" t="str">
        <f aca="false">IF($C8039="","",$D8039*IFERROR(INDEX('تحليل التكلفة والسعر'!$C$2:$C$700,MATCH($C8039,'تحليل التكلفة والسعر'!$B$2:$B$700,0)),0))</f>
        <v/>
      </c>
    </row>
    <row r="8040" customFormat="false" ht="15" hidden="false" customHeight="false" outlineLevel="0" collapsed="false">
      <c r="A8040" s="103"/>
      <c r="B8040" s="104"/>
      <c r="C8040" s="104"/>
      <c r="E8040" s="107" t="str">
        <f aca="false">IF($C8040="","",IFERROR(INDEX(المنيو!$C$2:$C$500,MATCH($C8040,المنيو!$B$2:$B$500,0)),0))</f>
        <v/>
      </c>
      <c r="F8040" s="107" t="str">
        <f aca="false">IF($C8040="","",$D8040*$E8040)</f>
        <v/>
      </c>
      <c r="G8040" s="107" t="str">
        <f aca="false">IF($C8040="","",$D8040*IFERROR(INDEX('تحليل التكلفة والسعر'!$C$2:$C$700,MATCH($C8040,'تحليل التكلفة والسعر'!$B$2:$B$700,0)),0))</f>
        <v/>
      </c>
    </row>
    <row r="8041" customFormat="false" ht="15" hidden="false" customHeight="false" outlineLevel="0" collapsed="false">
      <c r="A8041" s="103"/>
      <c r="B8041" s="104"/>
      <c r="C8041" s="104"/>
      <c r="E8041" s="107" t="str">
        <f aca="false">IF($C8041="","",IFERROR(INDEX(المنيو!$C$2:$C$500,MATCH($C8041,المنيو!$B$2:$B$500,0)),0))</f>
        <v/>
      </c>
      <c r="F8041" s="107" t="str">
        <f aca="false">IF($C8041="","",$D8041*$E8041)</f>
        <v/>
      </c>
      <c r="G8041" s="107" t="str">
        <f aca="false">IF($C8041="","",$D8041*IFERROR(INDEX('تحليل التكلفة والسعر'!$C$2:$C$700,MATCH($C8041,'تحليل التكلفة والسعر'!$B$2:$B$700,0)),0))</f>
        <v/>
      </c>
    </row>
    <row r="8042" customFormat="false" ht="15" hidden="false" customHeight="false" outlineLevel="0" collapsed="false">
      <c r="A8042" s="103"/>
      <c r="B8042" s="104"/>
      <c r="C8042" s="104"/>
      <c r="E8042" s="107" t="str">
        <f aca="false">IF($C8042="","",IFERROR(INDEX(المنيو!$C$2:$C$500,MATCH($C8042,المنيو!$B$2:$B$500,0)),0))</f>
        <v/>
      </c>
      <c r="F8042" s="107" t="str">
        <f aca="false">IF($C8042="","",$D8042*$E8042)</f>
        <v/>
      </c>
      <c r="G8042" s="107" t="str">
        <f aca="false">IF($C8042="","",$D8042*IFERROR(INDEX('تحليل التكلفة والسعر'!$C$2:$C$700,MATCH($C8042,'تحليل التكلفة والسعر'!$B$2:$B$700,0)),0))</f>
        <v/>
      </c>
    </row>
    <row r="8043" customFormat="false" ht="15" hidden="false" customHeight="false" outlineLevel="0" collapsed="false">
      <c r="A8043" s="103"/>
      <c r="B8043" s="104"/>
      <c r="C8043" s="104"/>
      <c r="E8043" s="107" t="str">
        <f aca="false">IF($C8043="","",IFERROR(INDEX(المنيو!$C$2:$C$500,MATCH($C8043,المنيو!$B$2:$B$500,0)),0))</f>
        <v/>
      </c>
      <c r="F8043" s="107" t="str">
        <f aca="false">IF($C8043="","",$D8043*$E8043)</f>
        <v/>
      </c>
      <c r="G8043" s="107" t="str">
        <f aca="false">IF($C8043="","",$D8043*IFERROR(INDEX('تحليل التكلفة والسعر'!$C$2:$C$700,MATCH($C8043,'تحليل التكلفة والسعر'!$B$2:$B$700,0)),0))</f>
        <v/>
      </c>
    </row>
    <row r="8044" customFormat="false" ht="15" hidden="false" customHeight="false" outlineLevel="0" collapsed="false">
      <c r="A8044" s="103"/>
      <c r="B8044" s="104"/>
      <c r="C8044" s="104"/>
      <c r="E8044" s="107" t="str">
        <f aca="false">IF($C8044="","",IFERROR(INDEX(المنيو!$C$2:$C$500,MATCH($C8044,المنيو!$B$2:$B$500,0)),0))</f>
        <v/>
      </c>
      <c r="F8044" s="107" t="str">
        <f aca="false">IF($C8044="","",$D8044*$E8044)</f>
        <v/>
      </c>
      <c r="G8044" s="107" t="str">
        <f aca="false">IF($C8044="","",$D8044*IFERROR(INDEX('تحليل التكلفة والسعر'!$C$2:$C$700,MATCH($C8044,'تحليل التكلفة والسعر'!$B$2:$B$700,0)),0))</f>
        <v/>
      </c>
    </row>
    <row r="8045" customFormat="false" ht="15" hidden="false" customHeight="false" outlineLevel="0" collapsed="false">
      <c r="A8045" s="103"/>
      <c r="B8045" s="104"/>
      <c r="C8045" s="104"/>
      <c r="E8045" s="107" t="str">
        <f aca="false">IF($C8045="","",IFERROR(INDEX(المنيو!$C$2:$C$500,MATCH($C8045,المنيو!$B$2:$B$500,0)),0))</f>
        <v/>
      </c>
      <c r="F8045" s="107" t="str">
        <f aca="false">IF($C8045="","",$D8045*$E8045)</f>
        <v/>
      </c>
      <c r="G8045" s="107" t="str">
        <f aca="false">IF($C8045="","",$D8045*IFERROR(INDEX('تحليل التكلفة والسعر'!$C$2:$C$700,MATCH($C8045,'تحليل التكلفة والسعر'!$B$2:$B$700,0)),0))</f>
        <v/>
      </c>
    </row>
    <row r="8046" customFormat="false" ht="15" hidden="false" customHeight="false" outlineLevel="0" collapsed="false">
      <c r="A8046" s="103"/>
      <c r="B8046" s="104"/>
      <c r="C8046" s="104"/>
      <c r="E8046" s="107" t="str">
        <f aca="false">IF($C8046="","",IFERROR(INDEX(المنيو!$C$2:$C$500,MATCH($C8046,المنيو!$B$2:$B$500,0)),0))</f>
        <v/>
      </c>
      <c r="F8046" s="107" t="str">
        <f aca="false">IF($C8046="","",$D8046*$E8046)</f>
        <v/>
      </c>
      <c r="G8046" s="107" t="str">
        <f aca="false">IF($C8046="","",$D8046*IFERROR(INDEX('تحليل التكلفة والسعر'!$C$2:$C$700,MATCH($C8046,'تحليل التكلفة والسعر'!$B$2:$B$700,0)),0))</f>
        <v/>
      </c>
    </row>
    <row r="8047" customFormat="false" ht="15" hidden="false" customHeight="false" outlineLevel="0" collapsed="false">
      <c r="A8047" s="103"/>
      <c r="B8047" s="104"/>
      <c r="C8047" s="104"/>
      <c r="E8047" s="107" t="str">
        <f aca="false">IF($C8047="","",IFERROR(INDEX(المنيو!$C$2:$C$500,MATCH($C8047,المنيو!$B$2:$B$500,0)),0))</f>
        <v/>
      </c>
      <c r="F8047" s="107" t="str">
        <f aca="false">IF($C8047="","",$D8047*$E8047)</f>
        <v/>
      </c>
      <c r="G8047" s="107" t="str">
        <f aca="false">IF($C8047="","",$D8047*IFERROR(INDEX('تحليل التكلفة والسعر'!$C$2:$C$700,MATCH($C8047,'تحليل التكلفة والسعر'!$B$2:$B$700,0)),0))</f>
        <v/>
      </c>
    </row>
    <row r="8048" customFormat="false" ht="15" hidden="false" customHeight="false" outlineLevel="0" collapsed="false">
      <c r="A8048" s="103"/>
      <c r="B8048" s="104"/>
      <c r="C8048" s="104"/>
      <c r="E8048" s="107" t="str">
        <f aca="false">IF($C8048="","",IFERROR(INDEX(المنيو!$C$2:$C$500,MATCH($C8048,المنيو!$B$2:$B$500,0)),0))</f>
        <v/>
      </c>
      <c r="F8048" s="107" t="str">
        <f aca="false">IF($C8048="","",$D8048*$E8048)</f>
        <v/>
      </c>
      <c r="G8048" s="107" t="str">
        <f aca="false">IF($C8048="","",$D8048*IFERROR(INDEX('تحليل التكلفة والسعر'!$C$2:$C$700,MATCH($C8048,'تحليل التكلفة والسعر'!$B$2:$B$700,0)),0))</f>
        <v/>
      </c>
    </row>
    <row r="8049" customFormat="false" ht="15" hidden="false" customHeight="false" outlineLevel="0" collapsed="false">
      <c r="A8049" s="103"/>
      <c r="B8049" s="104"/>
      <c r="C8049" s="104"/>
      <c r="E8049" s="107" t="str">
        <f aca="false">IF($C8049="","",IFERROR(INDEX(المنيو!$C$2:$C$500,MATCH($C8049,المنيو!$B$2:$B$500,0)),0))</f>
        <v/>
      </c>
      <c r="F8049" s="107" t="str">
        <f aca="false">IF($C8049="","",$D8049*$E8049)</f>
        <v/>
      </c>
      <c r="G8049" s="107" t="str">
        <f aca="false">IF($C8049="","",$D8049*IFERROR(INDEX('تحليل التكلفة والسعر'!$C$2:$C$700,MATCH($C8049,'تحليل التكلفة والسعر'!$B$2:$B$700,0)),0))</f>
        <v/>
      </c>
    </row>
    <row r="8050" customFormat="false" ht="15" hidden="false" customHeight="false" outlineLevel="0" collapsed="false">
      <c r="A8050" s="103"/>
      <c r="B8050" s="104"/>
      <c r="C8050" s="104"/>
      <c r="E8050" s="107" t="str">
        <f aca="false">IF($C8050="","",IFERROR(INDEX(المنيو!$C$2:$C$500,MATCH($C8050,المنيو!$B$2:$B$500,0)),0))</f>
        <v/>
      </c>
      <c r="F8050" s="107" t="str">
        <f aca="false">IF($C8050="","",$D8050*$E8050)</f>
        <v/>
      </c>
      <c r="G8050" s="107" t="str">
        <f aca="false">IF($C8050="","",$D8050*IFERROR(INDEX('تحليل التكلفة والسعر'!$C$2:$C$700,MATCH($C8050,'تحليل التكلفة والسعر'!$B$2:$B$700,0)),0))</f>
        <v/>
      </c>
    </row>
    <row r="8051" customFormat="false" ht="15" hidden="false" customHeight="false" outlineLevel="0" collapsed="false">
      <c r="A8051" s="103"/>
      <c r="B8051" s="104"/>
      <c r="C8051" s="104"/>
      <c r="E8051" s="107" t="str">
        <f aca="false">IF($C8051="","",IFERROR(INDEX(المنيو!$C$2:$C$500,MATCH($C8051,المنيو!$B$2:$B$500,0)),0))</f>
        <v/>
      </c>
      <c r="F8051" s="107" t="str">
        <f aca="false">IF($C8051="","",$D8051*$E8051)</f>
        <v/>
      </c>
      <c r="G8051" s="107" t="str">
        <f aca="false">IF($C8051="","",$D8051*IFERROR(INDEX('تحليل التكلفة والسعر'!$C$2:$C$700,MATCH($C8051,'تحليل التكلفة والسعر'!$B$2:$B$700,0)),0))</f>
        <v/>
      </c>
    </row>
    <row r="8052" customFormat="false" ht="15" hidden="false" customHeight="false" outlineLevel="0" collapsed="false">
      <c r="A8052" s="103"/>
      <c r="B8052" s="104"/>
      <c r="C8052" s="104"/>
      <c r="E8052" s="107" t="str">
        <f aca="false">IF($C8052="","",IFERROR(INDEX(المنيو!$C$2:$C$500,MATCH($C8052,المنيو!$B$2:$B$500,0)),0))</f>
        <v/>
      </c>
      <c r="F8052" s="107" t="str">
        <f aca="false">IF($C8052="","",$D8052*$E8052)</f>
        <v/>
      </c>
      <c r="G8052" s="107" t="str">
        <f aca="false">IF($C8052="","",$D8052*IFERROR(INDEX('تحليل التكلفة والسعر'!$C$2:$C$700,MATCH($C8052,'تحليل التكلفة والسعر'!$B$2:$B$700,0)),0))</f>
        <v/>
      </c>
    </row>
    <row r="8053" customFormat="false" ht="15" hidden="false" customHeight="false" outlineLevel="0" collapsed="false">
      <c r="A8053" s="103"/>
      <c r="B8053" s="104"/>
      <c r="C8053" s="104"/>
      <c r="E8053" s="107" t="str">
        <f aca="false">IF($C8053="","",IFERROR(INDEX(المنيو!$C$2:$C$500,MATCH($C8053,المنيو!$B$2:$B$500,0)),0))</f>
        <v/>
      </c>
      <c r="F8053" s="107" t="str">
        <f aca="false">IF($C8053="","",$D8053*$E8053)</f>
        <v/>
      </c>
      <c r="G8053" s="107" t="str">
        <f aca="false">IF($C8053="","",$D8053*IFERROR(INDEX('تحليل التكلفة والسعر'!$C$2:$C$700,MATCH($C8053,'تحليل التكلفة والسعر'!$B$2:$B$700,0)),0))</f>
        <v/>
      </c>
    </row>
    <row r="8054" customFormat="false" ht="15" hidden="false" customHeight="false" outlineLevel="0" collapsed="false">
      <c r="A8054" s="103"/>
      <c r="B8054" s="104"/>
      <c r="C8054" s="104"/>
      <c r="E8054" s="107" t="str">
        <f aca="false">IF($C8054="","",IFERROR(INDEX(المنيو!$C$2:$C$500,MATCH($C8054,المنيو!$B$2:$B$500,0)),0))</f>
        <v/>
      </c>
      <c r="F8054" s="107" t="str">
        <f aca="false">IF($C8054="","",$D8054*$E8054)</f>
        <v/>
      </c>
      <c r="G8054" s="107" t="str">
        <f aca="false">IF($C8054="","",$D8054*IFERROR(INDEX('تحليل التكلفة والسعر'!$C$2:$C$700,MATCH($C8054,'تحليل التكلفة والسعر'!$B$2:$B$700,0)),0))</f>
        <v/>
      </c>
    </row>
    <row r="8055" customFormat="false" ht="15" hidden="false" customHeight="false" outlineLevel="0" collapsed="false">
      <c r="A8055" s="103"/>
      <c r="B8055" s="104"/>
      <c r="C8055" s="104"/>
      <c r="E8055" s="107" t="str">
        <f aca="false">IF($C8055="","",IFERROR(INDEX(المنيو!$C$2:$C$500,MATCH($C8055,المنيو!$B$2:$B$500,0)),0))</f>
        <v/>
      </c>
      <c r="F8055" s="107" t="str">
        <f aca="false">IF($C8055="","",$D8055*$E8055)</f>
        <v/>
      </c>
      <c r="G8055" s="107" t="str">
        <f aca="false">IF($C8055="","",$D8055*IFERROR(INDEX('تحليل التكلفة والسعر'!$C$2:$C$700,MATCH($C8055,'تحليل التكلفة والسعر'!$B$2:$B$700,0)),0))</f>
        <v/>
      </c>
    </row>
    <row r="8056" customFormat="false" ht="15" hidden="false" customHeight="false" outlineLevel="0" collapsed="false">
      <c r="A8056" s="103"/>
      <c r="B8056" s="104"/>
      <c r="C8056" s="104"/>
      <c r="E8056" s="107" t="str">
        <f aca="false">IF($C8056="","",IFERROR(INDEX(المنيو!$C$2:$C$500,MATCH($C8056,المنيو!$B$2:$B$500,0)),0))</f>
        <v/>
      </c>
      <c r="F8056" s="107" t="str">
        <f aca="false">IF($C8056="","",$D8056*$E8056)</f>
        <v/>
      </c>
      <c r="G8056" s="107" t="str">
        <f aca="false">IF($C8056="","",$D8056*IFERROR(INDEX('تحليل التكلفة والسعر'!$C$2:$C$700,MATCH($C8056,'تحليل التكلفة والسعر'!$B$2:$B$700,0)),0))</f>
        <v/>
      </c>
    </row>
    <row r="8057" customFormat="false" ht="15" hidden="false" customHeight="false" outlineLevel="0" collapsed="false">
      <c r="A8057" s="103"/>
      <c r="B8057" s="104"/>
      <c r="C8057" s="104"/>
      <c r="E8057" s="107" t="str">
        <f aca="false">IF($C8057="","",IFERROR(INDEX(المنيو!$C$2:$C$500,MATCH($C8057,المنيو!$B$2:$B$500,0)),0))</f>
        <v/>
      </c>
      <c r="F8057" s="107" t="str">
        <f aca="false">IF($C8057="","",$D8057*$E8057)</f>
        <v/>
      </c>
      <c r="G8057" s="107" t="str">
        <f aca="false">IF($C8057="","",$D8057*IFERROR(INDEX('تحليل التكلفة والسعر'!$C$2:$C$700,MATCH($C8057,'تحليل التكلفة والسعر'!$B$2:$B$700,0)),0))</f>
        <v/>
      </c>
    </row>
    <row r="8058" customFormat="false" ht="15" hidden="false" customHeight="false" outlineLevel="0" collapsed="false">
      <c r="A8058" s="103"/>
      <c r="B8058" s="104"/>
      <c r="C8058" s="104"/>
      <c r="E8058" s="107" t="str">
        <f aca="false">IF($C8058="","",IFERROR(INDEX(المنيو!$C$2:$C$500,MATCH($C8058,المنيو!$B$2:$B$500,0)),0))</f>
        <v/>
      </c>
      <c r="F8058" s="107" t="str">
        <f aca="false">IF($C8058="","",$D8058*$E8058)</f>
        <v/>
      </c>
      <c r="G8058" s="107" t="str">
        <f aca="false">IF($C8058="","",$D8058*IFERROR(INDEX('تحليل التكلفة والسعر'!$C$2:$C$700,MATCH($C8058,'تحليل التكلفة والسعر'!$B$2:$B$700,0)),0))</f>
        <v/>
      </c>
    </row>
    <row r="8059" customFormat="false" ht="15" hidden="false" customHeight="false" outlineLevel="0" collapsed="false">
      <c r="A8059" s="103"/>
      <c r="B8059" s="104"/>
      <c r="C8059" s="104"/>
      <c r="E8059" s="107" t="str">
        <f aca="false">IF($C8059="","",IFERROR(INDEX(المنيو!$C$2:$C$500,MATCH($C8059,المنيو!$B$2:$B$500,0)),0))</f>
        <v/>
      </c>
      <c r="F8059" s="107" t="str">
        <f aca="false">IF($C8059="","",$D8059*$E8059)</f>
        <v/>
      </c>
      <c r="G8059" s="107" t="str">
        <f aca="false">IF($C8059="","",$D8059*IFERROR(INDEX('تحليل التكلفة والسعر'!$C$2:$C$700,MATCH($C8059,'تحليل التكلفة والسعر'!$B$2:$B$700,0)),0))</f>
        <v/>
      </c>
    </row>
    <row r="8060" customFormat="false" ht="15" hidden="false" customHeight="false" outlineLevel="0" collapsed="false">
      <c r="A8060" s="103"/>
      <c r="B8060" s="104"/>
      <c r="C8060" s="104"/>
      <c r="E8060" s="107" t="str">
        <f aca="false">IF($C8060="","",IFERROR(INDEX(المنيو!$C$2:$C$500,MATCH($C8060,المنيو!$B$2:$B$500,0)),0))</f>
        <v/>
      </c>
      <c r="F8060" s="107" t="str">
        <f aca="false">IF($C8060="","",$D8060*$E8060)</f>
        <v/>
      </c>
      <c r="G8060" s="107" t="str">
        <f aca="false">IF($C8060="","",$D8060*IFERROR(INDEX('تحليل التكلفة والسعر'!$C$2:$C$700,MATCH($C8060,'تحليل التكلفة والسعر'!$B$2:$B$700,0)),0))</f>
        <v/>
      </c>
    </row>
    <row r="8061" customFormat="false" ht="15" hidden="false" customHeight="false" outlineLevel="0" collapsed="false">
      <c r="A8061" s="103"/>
      <c r="B8061" s="104"/>
      <c r="C8061" s="104"/>
      <c r="E8061" s="107" t="str">
        <f aca="false">IF($C8061="","",IFERROR(INDEX(المنيو!$C$2:$C$500,MATCH($C8061,المنيو!$B$2:$B$500,0)),0))</f>
        <v/>
      </c>
      <c r="F8061" s="107" t="str">
        <f aca="false">IF($C8061="","",$D8061*$E8061)</f>
        <v/>
      </c>
      <c r="G8061" s="107" t="str">
        <f aca="false">IF($C8061="","",$D8061*IFERROR(INDEX('تحليل التكلفة والسعر'!$C$2:$C$700,MATCH($C8061,'تحليل التكلفة والسعر'!$B$2:$B$700,0)),0))</f>
        <v/>
      </c>
    </row>
    <row r="8062" customFormat="false" ht="15" hidden="false" customHeight="false" outlineLevel="0" collapsed="false">
      <c r="A8062" s="103"/>
      <c r="B8062" s="104"/>
      <c r="C8062" s="104"/>
      <c r="E8062" s="107" t="str">
        <f aca="false">IF($C8062="","",IFERROR(INDEX(المنيو!$C$2:$C$500,MATCH($C8062,المنيو!$B$2:$B$500,0)),0))</f>
        <v/>
      </c>
      <c r="F8062" s="107" t="str">
        <f aca="false">IF($C8062="","",$D8062*$E8062)</f>
        <v/>
      </c>
      <c r="G8062" s="107" t="str">
        <f aca="false">IF($C8062="","",$D8062*IFERROR(INDEX('تحليل التكلفة والسعر'!$C$2:$C$700,MATCH($C8062,'تحليل التكلفة والسعر'!$B$2:$B$700,0)),0))</f>
        <v/>
      </c>
    </row>
    <row r="8063" customFormat="false" ht="15" hidden="false" customHeight="false" outlineLevel="0" collapsed="false">
      <c r="A8063" s="103"/>
      <c r="B8063" s="104"/>
      <c r="C8063" s="104"/>
      <c r="E8063" s="107" t="str">
        <f aca="false">IF($C8063="","",IFERROR(INDEX(المنيو!$C$2:$C$500,MATCH($C8063,المنيو!$B$2:$B$500,0)),0))</f>
        <v/>
      </c>
      <c r="F8063" s="107" t="str">
        <f aca="false">IF($C8063="","",$D8063*$E8063)</f>
        <v/>
      </c>
      <c r="G8063" s="107" t="str">
        <f aca="false">IF($C8063="","",$D8063*IFERROR(INDEX('تحليل التكلفة والسعر'!$C$2:$C$700,MATCH($C8063,'تحليل التكلفة والسعر'!$B$2:$B$700,0)),0))</f>
        <v/>
      </c>
    </row>
    <row r="8064" customFormat="false" ht="15" hidden="false" customHeight="false" outlineLevel="0" collapsed="false">
      <c r="A8064" s="103"/>
      <c r="B8064" s="104"/>
      <c r="C8064" s="104"/>
      <c r="E8064" s="107" t="str">
        <f aca="false">IF($C8064="","",IFERROR(INDEX(المنيو!$C$2:$C$500,MATCH($C8064,المنيو!$B$2:$B$500,0)),0))</f>
        <v/>
      </c>
      <c r="F8064" s="107" t="str">
        <f aca="false">IF($C8064="","",$D8064*$E8064)</f>
        <v/>
      </c>
      <c r="G8064" s="107" t="str">
        <f aca="false">IF($C8064="","",$D8064*IFERROR(INDEX('تحليل التكلفة والسعر'!$C$2:$C$700,MATCH($C8064,'تحليل التكلفة والسعر'!$B$2:$B$700,0)),0))</f>
        <v/>
      </c>
    </row>
    <row r="8065" customFormat="false" ht="15" hidden="false" customHeight="false" outlineLevel="0" collapsed="false">
      <c r="A8065" s="103"/>
      <c r="B8065" s="104"/>
      <c r="C8065" s="104"/>
      <c r="E8065" s="107" t="str">
        <f aca="false">IF($C8065="","",IFERROR(INDEX(المنيو!$C$2:$C$500,MATCH($C8065,المنيو!$B$2:$B$500,0)),0))</f>
        <v/>
      </c>
      <c r="F8065" s="107" t="str">
        <f aca="false">IF($C8065="","",$D8065*$E8065)</f>
        <v/>
      </c>
      <c r="G8065" s="107" t="str">
        <f aca="false">IF($C8065="","",$D8065*IFERROR(INDEX('تحليل التكلفة والسعر'!$C$2:$C$700,MATCH($C8065,'تحليل التكلفة والسعر'!$B$2:$B$700,0)),0))</f>
        <v/>
      </c>
    </row>
    <row r="8066" customFormat="false" ht="15" hidden="false" customHeight="false" outlineLevel="0" collapsed="false">
      <c r="A8066" s="103"/>
      <c r="B8066" s="104"/>
      <c r="C8066" s="104"/>
      <c r="E8066" s="107" t="str">
        <f aca="false">IF($C8066="","",IFERROR(INDEX(المنيو!$C$2:$C$500,MATCH($C8066,المنيو!$B$2:$B$500,0)),0))</f>
        <v/>
      </c>
      <c r="F8066" s="107" t="str">
        <f aca="false">IF($C8066="","",$D8066*$E8066)</f>
        <v/>
      </c>
      <c r="G8066" s="107" t="str">
        <f aca="false">IF($C8066="","",$D8066*IFERROR(INDEX('تحليل التكلفة والسعر'!$C$2:$C$700,MATCH($C8066,'تحليل التكلفة والسعر'!$B$2:$B$700,0)),0))</f>
        <v/>
      </c>
    </row>
    <row r="8067" customFormat="false" ht="15" hidden="false" customHeight="false" outlineLevel="0" collapsed="false">
      <c r="A8067" s="103"/>
      <c r="B8067" s="104"/>
      <c r="C8067" s="104"/>
      <c r="E8067" s="107" t="str">
        <f aca="false">IF($C8067="","",IFERROR(INDEX(المنيو!$C$2:$C$500,MATCH($C8067,المنيو!$B$2:$B$500,0)),0))</f>
        <v/>
      </c>
      <c r="F8067" s="107" t="str">
        <f aca="false">IF($C8067="","",$D8067*$E8067)</f>
        <v/>
      </c>
      <c r="G8067" s="107" t="str">
        <f aca="false">IF($C8067="","",$D8067*IFERROR(INDEX('تحليل التكلفة والسعر'!$C$2:$C$700,MATCH($C8067,'تحليل التكلفة والسعر'!$B$2:$B$700,0)),0))</f>
        <v/>
      </c>
    </row>
    <row r="8068" customFormat="false" ht="15" hidden="false" customHeight="false" outlineLevel="0" collapsed="false">
      <c r="A8068" s="103"/>
      <c r="B8068" s="104"/>
      <c r="C8068" s="104"/>
      <c r="E8068" s="107" t="str">
        <f aca="false">IF($C8068="","",IFERROR(INDEX(المنيو!$C$2:$C$500,MATCH($C8068,المنيو!$B$2:$B$500,0)),0))</f>
        <v/>
      </c>
      <c r="F8068" s="107" t="str">
        <f aca="false">IF($C8068="","",$D8068*$E8068)</f>
        <v/>
      </c>
      <c r="G8068" s="107" t="str">
        <f aca="false">IF($C8068="","",$D8068*IFERROR(INDEX('تحليل التكلفة والسعر'!$C$2:$C$700,MATCH($C8068,'تحليل التكلفة والسعر'!$B$2:$B$700,0)),0))</f>
        <v/>
      </c>
    </row>
    <row r="8069" customFormat="false" ht="15" hidden="false" customHeight="false" outlineLevel="0" collapsed="false">
      <c r="A8069" s="103"/>
      <c r="B8069" s="104"/>
      <c r="C8069" s="104"/>
      <c r="E8069" s="107" t="str">
        <f aca="false">IF($C8069="","",IFERROR(INDEX(المنيو!$C$2:$C$500,MATCH($C8069,المنيو!$B$2:$B$500,0)),0))</f>
        <v/>
      </c>
      <c r="F8069" s="107" t="str">
        <f aca="false">IF($C8069="","",$D8069*$E8069)</f>
        <v/>
      </c>
      <c r="G8069" s="107" t="str">
        <f aca="false">IF($C8069="","",$D8069*IFERROR(INDEX('تحليل التكلفة والسعر'!$C$2:$C$700,MATCH($C8069,'تحليل التكلفة والسعر'!$B$2:$B$700,0)),0))</f>
        <v/>
      </c>
    </row>
    <row r="8070" customFormat="false" ht="15" hidden="false" customHeight="false" outlineLevel="0" collapsed="false">
      <c r="A8070" s="103"/>
      <c r="B8070" s="104"/>
      <c r="C8070" s="104"/>
      <c r="E8070" s="107" t="str">
        <f aca="false">IF($C8070="","",IFERROR(INDEX(المنيو!$C$2:$C$500,MATCH($C8070,المنيو!$B$2:$B$500,0)),0))</f>
        <v/>
      </c>
      <c r="F8070" s="107" t="str">
        <f aca="false">IF($C8070="","",$D8070*$E8070)</f>
        <v/>
      </c>
      <c r="G8070" s="107" t="str">
        <f aca="false">IF($C8070="","",$D8070*IFERROR(INDEX('تحليل التكلفة والسعر'!$C$2:$C$700,MATCH($C8070,'تحليل التكلفة والسعر'!$B$2:$B$700,0)),0))</f>
        <v/>
      </c>
    </row>
    <row r="8071" customFormat="false" ht="15" hidden="false" customHeight="false" outlineLevel="0" collapsed="false">
      <c r="A8071" s="103"/>
      <c r="B8071" s="104"/>
      <c r="C8071" s="104"/>
      <c r="E8071" s="107" t="str">
        <f aca="false">IF($C8071="","",IFERROR(INDEX(المنيو!$C$2:$C$500,MATCH($C8071,المنيو!$B$2:$B$500,0)),0))</f>
        <v/>
      </c>
      <c r="F8071" s="107" t="str">
        <f aca="false">IF($C8071="","",$D8071*$E8071)</f>
        <v/>
      </c>
      <c r="G8071" s="107" t="str">
        <f aca="false">IF($C8071="","",$D8071*IFERROR(INDEX('تحليل التكلفة والسعر'!$C$2:$C$700,MATCH($C8071,'تحليل التكلفة والسعر'!$B$2:$B$700,0)),0))</f>
        <v/>
      </c>
    </row>
    <row r="8072" customFormat="false" ht="15" hidden="false" customHeight="false" outlineLevel="0" collapsed="false">
      <c r="A8072" s="103"/>
      <c r="B8072" s="104"/>
      <c r="C8072" s="104"/>
      <c r="E8072" s="107" t="str">
        <f aca="false">IF($C8072="","",IFERROR(INDEX(المنيو!$C$2:$C$500,MATCH($C8072,المنيو!$B$2:$B$500,0)),0))</f>
        <v/>
      </c>
      <c r="F8072" s="107" t="str">
        <f aca="false">IF($C8072="","",$D8072*$E8072)</f>
        <v/>
      </c>
      <c r="G8072" s="107" t="str">
        <f aca="false">IF($C8072="","",$D8072*IFERROR(INDEX('تحليل التكلفة والسعر'!$C$2:$C$700,MATCH($C8072,'تحليل التكلفة والسعر'!$B$2:$B$700,0)),0))</f>
        <v/>
      </c>
    </row>
    <row r="8073" customFormat="false" ht="15" hidden="false" customHeight="false" outlineLevel="0" collapsed="false">
      <c r="A8073" s="103"/>
      <c r="B8073" s="104"/>
      <c r="C8073" s="104"/>
      <c r="E8073" s="107" t="str">
        <f aca="false">IF($C8073="","",IFERROR(INDEX(المنيو!$C$2:$C$500,MATCH($C8073,المنيو!$B$2:$B$500,0)),0))</f>
        <v/>
      </c>
      <c r="F8073" s="107" t="str">
        <f aca="false">IF($C8073="","",$D8073*$E8073)</f>
        <v/>
      </c>
      <c r="G8073" s="107" t="str">
        <f aca="false">IF($C8073="","",$D8073*IFERROR(INDEX('تحليل التكلفة والسعر'!$C$2:$C$700,MATCH($C8073,'تحليل التكلفة والسعر'!$B$2:$B$700,0)),0))</f>
        <v/>
      </c>
    </row>
    <row r="8074" customFormat="false" ht="15" hidden="false" customHeight="false" outlineLevel="0" collapsed="false">
      <c r="A8074" s="103"/>
      <c r="B8074" s="104"/>
      <c r="C8074" s="104"/>
      <c r="E8074" s="107" t="str">
        <f aca="false">IF($C8074="","",IFERROR(INDEX(المنيو!$C$2:$C$500,MATCH($C8074,المنيو!$B$2:$B$500,0)),0))</f>
        <v/>
      </c>
      <c r="F8074" s="107" t="str">
        <f aca="false">IF($C8074="","",$D8074*$E8074)</f>
        <v/>
      </c>
      <c r="G8074" s="107" t="str">
        <f aca="false">IF($C8074="","",$D8074*IFERROR(INDEX('تحليل التكلفة والسعر'!$C$2:$C$700,MATCH($C8074,'تحليل التكلفة والسعر'!$B$2:$B$700,0)),0))</f>
        <v/>
      </c>
    </row>
    <row r="8075" customFormat="false" ht="15" hidden="false" customHeight="false" outlineLevel="0" collapsed="false">
      <c r="A8075" s="103"/>
      <c r="B8075" s="104"/>
      <c r="C8075" s="104"/>
      <c r="E8075" s="107" t="str">
        <f aca="false">IF($C8075="","",IFERROR(INDEX(المنيو!$C$2:$C$500,MATCH($C8075,المنيو!$B$2:$B$500,0)),0))</f>
        <v/>
      </c>
      <c r="F8075" s="107" t="str">
        <f aca="false">IF($C8075="","",$D8075*$E8075)</f>
        <v/>
      </c>
      <c r="G8075" s="107" t="str">
        <f aca="false">IF($C8075="","",$D8075*IFERROR(INDEX('تحليل التكلفة والسعر'!$C$2:$C$700,MATCH($C8075,'تحليل التكلفة والسعر'!$B$2:$B$700,0)),0))</f>
        <v/>
      </c>
    </row>
    <row r="8076" customFormat="false" ht="15" hidden="false" customHeight="false" outlineLevel="0" collapsed="false">
      <c r="A8076" s="103"/>
      <c r="B8076" s="104"/>
      <c r="C8076" s="104"/>
      <c r="E8076" s="107" t="str">
        <f aca="false">IF($C8076="","",IFERROR(INDEX(المنيو!$C$2:$C$500,MATCH($C8076,المنيو!$B$2:$B$500,0)),0))</f>
        <v/>
      </c>
      <c r="F8076" s="107" t="str">
        <f aca="false">IF($C8076="","",$D8076*$E8076)</f>
        <v/>
      </c>
      <c r="G8076" s="107" t="str">
        <f aca="false">IF($C8076="","",$D8076*IFERROR(INDEX('تحليل التكلفة والسعر'!$C$2:$C$700,MATCH($C8076,'تحليل التكلفة والسعر'!$B$2:$B$700,0)),0))</f>
        <v/>
      </c>
    </row>
    <row r="8077" customFormat="false" ht="15" hidden="false" customHeight="false" outlineLevel="0" collapsed="false">
      <c r="A8077" s="103"/>
      <c r="B8077" s="104"/>
      <c r="C8077" s="104"/>
      <c r="E8077" s="107" t="str">
        <f aca="false">IF($C8077="","",IFERROR(INDEX(المنيو!$C$2:$C$500,MATCH($C8077,المنيو!$B$2:$B$500,0)),0))</f>
        <v/>
      </c>
      <c r="F8077" s="107" t="str">
        <f aca="false">IF($C8077="","",$D8077*$E8077)</f>
        <v/>
      </c>
      <c r="G8077" s="107" t="str">
        <f aca="false">IF($C8077="","",$D8077*IFERROR(INDEX('تحليل التكلفة والسعر'!$C$2:$C$700,MATCH($C8077,'تحليل التكلفة والسعر'!$B$2:$B$700,0)),0))</f>
        <v/>
      </c>
    </row>
    <row r="8078" customFormat="false" ht="15" hidden="false" customHeight="false" outlineLevel="0" collapsed="false">
      <c r="A8078" s="103"/>
      <c r="B8078" s="104"/>
      <c r="C8078" s="104"/>
      <c r="E8078" s="107" t="str">
        <f aca="false">IF($C8078="","",IFERROR(INDEX(المنيو!$C$2:$C$500,MATCH($C8078,المنيو!$B$2:$B$500,0)),0))</f>
        <v/>
      </c>
      <c r="F8078" s="107" t="str">
        <f aca="false">IF($C8078="","",$D8078*$E8078)</f>
        <v/>
      </c>
      <c r="G8078" s="107" t="str">
        <f aca="false">IF($C8078="","",$D8078*IFERROR(INDEX('تحليل التكلفة والسعر'!$C$2:$C$700,MATCH($C8078,'تحليل التكلفة والسعر'!$B$2:$B$700,0)),0))</f>
        <v/>
      </c>
    </row>
    <row r="8079" customFormat="false" ht="15" hidden="false" customHeight="false" outlineLevel="0" collapsed="false">
      <c r="A8079" s="103"/>
      <c r="B8079" s="104"/>
      <c r="C8079" s="104"/>
      <c r="E8079" s="107" t="str">
        <f aca="false">IF($C8079="","",IFERROR(INDEX(المنيو!$C$2:$C$500,MATCH($C8079,المنيو!$B$2:$B$500,0)),0))</f>
        <v/>
      </c>
      <c r="F8079" s="107" t="str">
        <f aca="false">IF($C8079="","",$D8079*$E8079)</f>
        <v/>
      </c>
      <c r="G8079" s="107" t="str">
        <f aca="false">IF($C8079="","",$D8079*IFERROR(INDEX('تحليل التكلفة والسعر'!$C$2:$C$700,MATCH($C8079,'تحليل التكلفة والسعر'!$B$2:$B$700,0)),0))</f>
        <v/>
      </c>
    </row>
    <row r="8080" customFormat="false" ht="15" hidden="false" customHeight="false" outlineLevel="0" collapsed="false">
      <c r="A8080" s="103"/>
      <c r="B8080" s="104"/>
      <c r="C8080" s="104"/>
      <c r="E8080" s="107" t="str">
        <f aca="false">IF($C8080="","",IFERROR(INDEX(المنيو!$C$2:$C$500,MATCH($C8080,المنيو!$B$2:$B$500,0)),0))</f>
        <v/>
      </c>
      <c r="F8080" s="107" t="str">
        <f aca="false">IF($C8080="","",$D8080*$E8080)</f>
        <v/>
      </c>
      <c r="G8080" s="107" t="str">
        <f aca="false">IF($C8080="","",$D8080*IFERROR(INDEX('تحليل التكلفة والسعر'!$C$2:$C$700,MATCH($C8080,'تحليل التكلفة والسعر'!$B$2:$B$700,0)),0))</f>
        <v/>
      </c>
    </row>
    <row r="8081" customFormat="false" ht="15" hidden="false" customHeight="false" outlineLevel="0" collapsed="false">
      <c r="A8081" s="103"/>
      <c r="B8081" s="104"/>
      <c r="C8081" s="104"/>
      <c r="E8081" s="107" t="str">
        <f aca="false">IF($C8081="","",IFERROR(INDEX(المنيو!$C$2:$C$500,MATCH($C8081,المنيو!$B$2:$B$500,0)),0))</f>
        <v/>
      </c>
      <c r="F8081" s="107" t="str">
        <f aca="false">IF($C8081="","",$D8081*$E8081)</f>
        <v/>
      </c>
      <c r="G8081" s="107" t="str">
        <f aca="false">IF($C8081="","",$D8081*IFERROR(INDEX('تحليل التكلفة والسعر'!$C$2:$C$700,MATCH($C8081,'تحليل التكلفة والسعر'!$B$2:$B$700,0)),0))</f>
        <v/>
      </c>
    </row>
    <row r="8082" customFormat="false" ht="15" hidden="false" customHeight="false" outlineLevel="0" collapsed="false">
      <c r="A8082" s="103"/>
      <c r="B8082" s="104"/>
      <c r="C8082" s="104"/>
      <c r="E8082" s="107" t="str">
        <f aca="false">IF($C8082="","",IFERROR(INDEX(المنيو!$C$2:$C$500,MATCH($C8082,المنيو!$B$2:$B$500,0)),0))</f>
        <v/>
      </c>
      <c r="F8082" s="107" t="str">
        <f aca="false">IF($C8082="","",$D8082*$E8082)</f>
        <v/>
      </c>
      <c r="G8082" s="107" t="str">
        <f aca="false">IF($C8082="","",$D8082*IFERROR(INDEX('تحليل التكلفة والسعر'!$C$2:$C$700,MATCH($C8082,'تحليل التكلفة والسعر'!$B$2:$B$700,0)),0))</f>
        <v/>
      </c>
    </row>
    <row r="8083" customFormat="false" ht="15" hidden="false" customHeight="false" outlineLevel="0" collapsed="false">
      <c r="A8083" s="103"/>
      <c r="B8083" s="104"/>
      <c r="C8083" s="104"/>
      <c r="E8083" s="107" t="str">
        <f aca="false">IF($C8083="","",IFERROR(INDEX(المنيو!$C$2:$C$500,MATCH($C8083,المنيو!$B$2:$B$500,0)),0))</f>
        <v/>
      </c>
      <c r="F8083" s="107" t="str">
        <f aca="false">IF($C8083="","",$D8083*$E8083)</f>
        <v/>
      </c>
      <c r="G8083" s="107" t="str">
        <f aca="false">IF($C8083="","",$D8083*IFERROR(INDEX('تحليل التكلفة والسعر'!$C$2:$C$700,MATCH($C8083,'تحليل التكلفة والسعر'!$B$2:$B$700,0)),0))</f>
        <v/>
      </c>
    </row>
    <row r="8084" customFormat="false" ht="15" hidden="false" customHeight="false" outlineLevel="0" collapsed="false">
      <c r="A8084" s="103"/>
      <c r="B8084" s="104"/>
      <c r="C8084" s="104"/>
      <c r="E8084" s="107" t="str">
        <f aca="false">IF($C8084="","",IFERROR(INDEX(المنيو!$C$2:$C$500,MATCH($C8084,المنيو!$B$2:$B$500,0)),0))</f>
        <v/>
      </c>
      <c r="F8084" s="107" t="str">
        <f aca="false">IF($C8084="","",$D8084*$E8084)</f>
        <v/>
      </c>
      <c r="G8084" s="107" t="str">
        <f aca="false">IF($C8084="","",$D8084*IFERROR(INDEX('تحليل التكلفة والسعر'!$C$2:$C$700,MATCH($C8084,'تحليل التكلفة والسعر'!$B$2:$B$700,0)),0))</f>
        <v/>
      </c>
    </row>
    <row r="8085" customFormat="false" ht="15" hidden="false" customHeight="false" outlineLevel="0" collapsed="false">
      <c r="A8085" s="103"/>
      <c r="B8085" s="104"/>
      <c r="C8085" s="104"/>
      <c r="E8085" s="107" t="str">
        <f aca="false">IF($C8085="","",IFERROR(INDEX(المنيو!$C$2:$C$500,MATCH($C8085,المنيو!$B$2:$B$500,0)),0))</f>
        <v/>
      </c>
      <c r="F8085" s="107" t="str">
        <f aca="false">IF($C8085="","",$D8085*$E8085)</f>
        <v/>
      </c>
      <c r="G8085" s="107" t="str">
        <f aca="false">IF($C8085="","",$D8085*IFERROR(INDEX('تحليل التكلفة والسعر'!$C$2:$C$700,MATCH($C8085,'تحليل التكلفة والسعر'!$B$2:$B$700,0)),0))</f>
        <v/>
      </c>
    </row>
    <row r="8086" customFormat="false" ht="15" hidden="false" customHeight="false" outlineLevel="0" collapsed="false">
      <c r="A8086" s="103"/>
      <c r="B8086" s="104"/>
      <c r="C8086" s="104"/>
      <c r="E8086" s="107" t="str">
        <f aca="false">IF($C8086="","",IFERROR(INDEX(المنيو!$C$2:$C$500,MATCH($C8086,المنيو!$B$2:$B$500,0)),0))</f>
        <v/>
      </c>
      <c r="F8086" s="107" t="str">
        <f aca="false">IF($C8086="","",$D8086*$E8086)</f>
        <v/>
      </c>
      <c r="G8086" s="107" t="str">
        <f aca="false">IF($C8086="","",$D8086*IFERROR(INDEX('تحليل التكلفة والسعر'!$C$2:$C$700,MATCH($C8086,'تحليل التكلفة والسعر'!$B$2:$B$700,0)),0))</f>
        <v/>
      </c>
    </row>
    <row r="8087" customFormat="false" ht="15" hidden="false" customHeight="false" outlineLevel="0" collapsed="false">
      <c r="A8087" s="103"/>
      <c r="B8087" s="104"/>
      <c r="C8087" s="104"/>
      <c r="E8087" s="107" t="str">
        <f aca="false">IF($C8087="","",IFERROR(INDEX(المنيو!$C$2:$C$500,MATCH($C8087,المنيو!$B$2:$B$500,0)),0))</f>
        <v/>
      </c>
      <c r="F8087" s="107" t="str">
        <f aca="false">IF($C8087="","",$D8087*$E8087)</f>
        <v/>
      </c>
      <c r="G8087" s="107" t="str">
        <f aca="false">IF($C8087="","",$D8087*IFERROR(INDEX('تحليل التكلفة والسعر'!$C$2:$C$700,MATCH($C8087,'تحليل التكلفة والسعر'!$B$2:$B$700,0)),0))</f>
        <v/>
      </c>
    </row>
    <row r="8088" customFormat="false" ht="15" hidden="false" customHeight="false" outlineLevel="0" collapsed="false">
      <c r="A8088" s="103"/>
      <c r="B8088" s="104"/>
      <c r="C8088" s="104"/>
      <c r="E8088" s="107" t="str">
        <f aca="false">IF($C8088="","",IFERROR(INDEX(المنيو!$C$2:$C$500,MATCH($C8088,المنيو!$B$2:$B$500,0)),0))</f>
        <v/>
      </c>
      <c r="F8088" s="107" t="str">
        <f aca="false">IF($C8088="","",$D8088*$E8088)</f>
        <v/>
      </c>
      <c r="G8088" s="107" t="str">
        <f aca="false">IF($C8088="","",$D8088*IFERROR(INDEX('تحليل التكلفة والسعر'!$C$2:$C$700,MATCH($C8088,'تحليل التكلفة والسعر'!$B$2:$B$700,0)),0))</f>
        <v/>
      </c>
    </row>
    <row r="8089" customFormat="false" ht="15" hidden="false" customHeight="false" outlineLevel="0" collapsed="false">
      <c r="A8089" s="103"/>
      <c r="B8089" s="104"/>
      <c r="C8089" s="104"/>
      <c r="E8089" s="107" t="str">
        <f aca="false">IF($C8089="","",IFERROR(INDEX(المنيو!$C$2:$C$500,MATCH($C8089,المنيو!$B$2:$B$500,0)),0))</f>
        <v/>
      </c>
      <c r="F8089" s="107" t="str">
        <f aca="false">IF($C8089="","",$D8089*$E8089)</f>
        <v/>
      </c>
      <c r="G8089" s="107" t="str">
        <f aca="false">IF($C8089="","",$D8089*IFERROR(INDEX('تحليل التكلفة والسعر'!$C$2:$C$700,MATCH($C8089,'تحليل التكلفة والسعر'!$B$2:$B$700,0)),0))</f>
        <v/>
      </c>
    </row>
    <row r="8090" customFormat="false" ht="15" hidden="false" customHeight="false" outlineLevel="0" collapsed="false">
      <c r="A8090" s="103"/>
      <c r="B8090" s="104"/>
      <c r="C8090" s="104"/>
      <c r="E8090" s="107" t="str">
        <f aca="false">IF($C8090="","",IFERROR(INDEX(المنيو!$C$2:$C$500,MATCH($C8090,المنيو!$B$2:$B$500,0)),0))</f>
        <v/>
      </c>
      <c r="F8090" s="107" t="str">
        <f aca="false">IF($C8090="","",$D8090*$E8090)</f>
        <v/>
      </c>
      <c r="G8090" s="107" t="str">
        <f aca="false">IF($C8090="","",$D8090*IFERROR(INDEX('تحليل التكلفة والسعر'!$C$2:$C$700,MATCH($C8090,'تحليل التكلفة والسعر'!$B$2:$B$700,0)),0))</f>
        <v/>
      </c>
    </row>
    <row r="8091" customFormat="false" ht="15" hidden="false" customHeight="false" outlineLevel="0" collapsed="false">
      <c r="A8091" s="103"/>
      <c r="B8091" s="104"/>
      <c r="C8091" s="104"/>
      <c r="E8091" s="107" t="str">
        <f aca="false">IF($C8091="","",IFERROR(INDEX(المنيو!$C$2:$C$500,MATCH($C8091,المنيو!$B$2:$B$500,0)),0))</f>
        <v/>
      </c>
      <c r="F8091" s="107" t="str">
        <f aca="false">IF($C8091="","",$D8091*$E8091)</f>
        <v/>
      </c>
      <c r="G8091" s="107" t="str">
        <f aca="false">IF($C8091="","",$D8091*IFERROR(INDEX('تحليل التكلفة والسعر'!$C$2:$C$700,MATCH($C8091,'تحليل التكلفة والسعر'!$B$2:$B$700,0)),0))</f>
        <v/>
      </c>
    </row>
    <row r="8092" customFormat="false" ht="15" hidden="false" customHeight="false" outlineLevel="0" collapsed="false">
      <c r="A8092" s="103"/>
      <c r="B8092" s="104"/>
      <c r="C8092" s="104"/>
      <c r="E8092" s="107" t="str">
        <f aca="false">IF($C8092="","",IFERROR(INDEX(المنيو!$C$2:$C$500,MATCH($C8092,المنيو!$B$2:$B$500,0)),0))</f>
        <v/>
      </c>
      <c r="F8092" s="107" t="str">
        <f aca="false">IF($C8092="","",$D8092*$E8092)</f>
        <v/>
      </c>
      <c r="G8092" s="107" t="str">
        <f aca="false">IF($C8092="","",$D8092*IFERROR(INDEX('تحليل التكلفة والسعر'!$C$2:$C$700,MATCH($C8092,'تحليل التكلفة والسعر'!$B$2:$B$700,0)),0))</f>
        <v/>
      </c>
    </row>
    <row r="8093" customFormat="false" ht="15" hidden="false" customHeight="false" outlineLevel="0" collapsed="false">
      <c r="A8093" s="103"/>
      <c r="B8093" s="104"/>
      <c r="C8093" s="104"/>
      <c r="E8093" s="107" t="str">
        <f aca="false">IF($C8093="","",IFERROR(INDEX(المنيو!$C$2:$C$500,MATCH($C8093,المنيو!$B$2:$B$500,0)),0))</f>
        <v/>
      </c>
      <c r="F8093" s="107" t="str">
        <f aca="false">IF($C8093="","",$D8093*$E8093)</f>
        <v/>
      </c>
      <c r="G8093" s="107" t="str">
        <f aca="false">IF($C8093="","",$D8093*IFERROR(INDEX('تحليل التكلفة والسعر'!$C$2:$C$700,MATCH($C8093,'تحليل التكلفة والسعر'!$B$2:$B$700,0)),0))</f>
        <v/>
      </c>
    </row>
    <row r="8094" customFormat="false" ht="15" hidden="false" customHeight="false" outlineLevel="0" collapsed="false">
      <c r="A8094" s="103"/>
      <c r="B8094" s="104"/>
      <c r="C8094" s="104"/>
      <c r="E8094" s="107" t="str">
        <f aca="false">IF($C8094="","",IFERROR(INDEX(المنيو!$C$2:$C$500,MATCH($C8094,المنيو!$B$2:$B$500,0)),0))</f>
        <v/>
      </c>
      <c r="F8094" s="107" t="str">
        <f aca="false">IF($C8094="","",$D8094*$E8094)</f>
        <v/>
      </c>
      <c r="G8094" s="107" t="str">
        <f aca="false">IF($C8094="","",$D8094*IFERROR(INDEX('تحليل التكلفة والسعر'!$C$2:$C$700,MATCH($C8094,'تحليل التكلفة والسعر'!$B$2:$B$700,0)),0))</f>
        <v/>
      </c>
    </row>
    <row r="8095" customFormat="false" ht="15" hidden="false" customHeight="false" outlineLevel="0" collapsed="false">
      <c r="A8095" s="103"/>
      <c r="B8095" s="104"/>
      <c r="C8095" s="104"/>
      <c r="E8095" s="107" t="str">
        <f aca="false">IF($C8095="","",IFERROR(INDEX(المنيو!$C$2:$C$500,MATCH($C8095,المنيو!$B$2:$B$500,0)),0))</f>
        <v/>
      </c>
      <c r="F8095" s="107" t="str">
        <f aca="false">IF($C8095="","",$D8095*$E8095)</f>
        <v/>
      </c>
      <c r="G8095" s="107" t="str">
        <f aca="false">IF($C8095="","",$D8095*IFERROR(INDEX('تحليل التكلفة والسعر'!$C$2:$C$700,MATCH($C8095,'تحليل التكلفة والسعر'!$B$2:$B$700,0)),0))</f>
        <v/>
      </c>
    </row>
    <row r="8096" customFormat="false" ht="15" hidden="false" customHeight="false" outlineLevel="0" collapsed="false">
      <c r="A8096" s="103"/>
      <c r="B8096" s="104"/>
      <c r="C8096" s="104"/>
      <c r="E8096" s="107" t="str">
        <f aca="false">IF($C8096="","",IFERROR(INDEX(المنيو!$C$2:$C$500,MATCH($C8096,المنيو!$B$2:$B$500,0)),0))</f>
        <v/>
      </c>
      <c r="F8096" s="107" t="str">
        <f aca="false">IF($C8096="","",$D8096*$E8096)</f>
        <v/>
      </c>
      <c r="G8096" s="107" t="str">
        <f aca="false">IF($C8096="","",$D8096*IFERROR(INDEX('تحليل التكلفة والسعر'!$C$2:$C$700,MATCH($C8096,'تحليل التكلفة والسعر'!$B$2:$B$700,0)),0))</f>
        <v/>
      </c>
    </row>
    <row r="8097" customFormat="false" ht="15" hidden="false" customHeight="false" outlineLevel="0" collapsed="false">
      <c r="A8097" s="103"/>
      <c r="B8097" s="104"/>
      <c r="C8097" s="104"/>
      <c r="E8097" s="107" t="str">
        <f aca="false">IF($C8097="","",IFERROR(INDEX(المنيو!$C$2:$C$500,MATCH($C8097,المنيو!$B$2:$B$500,0)),0))</f>
        <v/>
      </c>
      <c r="F8097" s="107" t="str">
        <f aca="false">IF($C8097="","",$D8097*$E8097)</f>
        <v/>
      </c>
      <c r="G8097" s="107" t="str">
        <f aca="false">IF($C8097="","",$D8097*IFERROR(INDEX('تحليل التكلفة والسعر'!$C$2:$C$700,MATCH($C8097,'تحليل التكلفة والسعر'!$B$2:$B$700,0)),0))</f>
        <v/>
      </c>
    </row>
    <row r="8098" customFormat="false" ht="15" hidden="false" customHeight="false" outlineLevel="0" collapsed="false">
      <c r="A8098" s="103"/>
      <c r="B8098" s="104"/>
      <c r="C8098" s="104"/>
      <c r="E8098" s="107" t="str">
        <f aca="false">IF($C8098="","",IFERROR(INDEX(المنيو!$C$2:$C$500,MATCH($C8098,المنيو!$B$2:$B$500,0)),0))</f>
        <v/>
      </c>
      <c r="F8098" s="107" t="str">
        <f aca="false">IF($C8098="","",$D8098*$E8098)</f>
        <v/>
      </c>
      <c r="G8098" s="107" t="str">
        <f aca="false">IF($C8098="","",$D8098*IFERROR(INDEX('تحليل التكلفة والسعر'!$C$2:$C$700,MATCH($C8098,'تحليل التكلفة والسعر'!$B$2:$B$700,0)),0))</f>
        <v/>
      </c>
    </row>
    <row r="8099" customFormat="false" ht="15" hidden="false" customHeight="false" outlineLevel="0" collapsed="false">
      <c r="A8099" s="103"/>
      <c r="B8099" s="104"/>
      <c r="C8099" s="104"/>
      <c r="E8099" s="107" t="str">
        <f aca="false">IF($C8099="","",IFERROR(INDEX(المنيو!$C$2:$C$500,MATCH($C8099,المنيو!$B$2:$B$500,0)),0))</f>
        <v/>
      </c>
      <c r="F8099" s="107" t="str">
        <f aca="false">IF($C8099="","",$D8099*$E8099)</f>
        <v/>
      </c>
      <c r="G8099" s="107" t="str">
        <f aca="false">IF($C8099="","",$D8099*IFERROR(INDEX('تحليل التكلفة والسعر'!$C$2:$C$700,MATCH($C8099,'تحليل التكلفة والسعر'!$B$2:$B$700,0)),0))</f>
        <v/>
      </c>
    </row>
    <row r="8100" customFormat="false" ht="15" hidden="false" customHeight="false" outlineLevel="0" collapsed="false">
      <c r="A8100" s="103"/>
      <c r="B8100" s="104"/>
      <c r="C8100" s="104"/>
      <c r="E8100" s="107" t="str">
        <f aca="false">IF($C8100="","",IFERROR(INDEX(المنيو!$C$2:$C$500,MATCH($C8100,المنيو!$B$2:$B$500,0)),0))</f>
        <v/>
      </c>
      <c r="F8100" s="107" t="str">
        <f aca="false">IF($C8100="","",$D8100*$E8100)</f>
        <v/>
      </c>
      <c r="G8100" s="107" t="str">
        <f aca="false">IF($C8100="","",$D8100*IFERROR(INDEX('تحليل التكلفة والسعر'!$C$2:$C$700,MATCH($C8100,'تحليل التكلفة والسعر'!$B$2:$B$700,0)),0))</f>
        <v/>
      </c>
    </row>
    <row r="8101" customFormat="false" ht="15" hidden="false" customHeight="false" outlineLevel="0" collapsed="false">
      <c r="A8101" s="103"/>
      <c r="B8101" s="104"/>
      <c r="C8101" s="104"/>
      <c r="E8101" s="107" t="str">
        <f aca="false">IF($C8101="","",IFERROR(INDEX(المنيو!$C$2:$C$500,MATCH($C8101,المنيو!$B$2:$B$500,0)),0))</f>
        <v/>
      </c>
      <c r="F8101" s="107" t="str">
        <f aca="false">IF($C8101="","",$D8101*$E8101)</f>
        <v/>
      </c>
      <c r="G8101" s="107" t="str">
        <f aca="false">IF($C8101="","",$D8101*IFERROR(INDEX('تحليل التكلفة والسعر'!$C$2:$C$700,MATCH($C8101,'تحليل التكلفة والسعر'!$B$2:$B$700,0)),0))</f>
        <v/>
      </c>
    </row>
    <row r="8102" customFormat="false" ht="15" hidden="false" customHeight="false" outlineLevel="0" collapsed="false">
      <c r="A8102" s="103"/>
      <c r="B8102" s="104"/>
      <c r="C8102" s="104"/>
      <c r="E8102" s="107" t="str">
        <f aca="false">IF($C8102="","",IFERROR(INDEX(المنيو!$C$2:$C$500,MATCH($C8102,المنيو!$B$2:$B$500,0)),0))</f>
        <v/>
      </c>
      <c r="F8102" s="107" t="str">
        <f aca="false">IF($C8102="","",$D8102*$E8102)</f>
        <v/>
      </c>
      <c r="G8102" s="107" t="str">
        <f aca="false">IF($C8102="","",$D8102*IFERROR(INDEX('تحليل التكلفة والسعر'!$C$2:$C$700,MATCH($C8102,'تحليل التكلفة والسعر'!$B$2:$B$700,0)),0))</f>
        <v/>
      </c>
    </row>
    <row r="8103" customFormat="false" ht="15" hidden="false" customHeight="false" outlineLevel="0" collapsed="false">
      <c r="A8103" s="103"/>
      <c r="B8103" s="104"/>
      <c r="C8103" s="104"/>
      <c r="E8103" s="107" t="str">
        <f aca="false">IF($C8103="","",IFERROR(INDEX(المنيو!$C$2:$C$500,MATCH($C8103,المنيو!$B$2:$B$500,0)),0))</f>
        <v/>
      </c>
      <c r="F8103" s="107" t="str">
        <f aca="false">IF($C8103="","",$D8103*$E8103)</f>
        <v/>
      </c>
      <c r="G8103" s="107" t="str">
        <f aca="false">IF($C8103="","",$D8103*IFERROR(INDEX('تحليل التكلفة والسعر'!$C$2:$C$700,MATCH($C8103,'تحليل التكلفة والسعر'!$B$2:$B$700,0)),0))</f>
        <v/>
      </c>
    </row>
    <row r="8104" customFormat="false" ht="15" hidden="false" customHeight="false" outlineLevel="0" collapsed="false">
      <c r="A8104" s="103"/>
      <c r="B8104" s="104"/>
      <c r="C8104" s="104"/>
      <c r="E8104" s="107" t="str">
        <f aca="false">IF($C8104="","",IFERROR(INDEX(المنيو!$C$2:$C$500,MATCH($C8104,المنيو!$B$2:$B$500,0)),0))</f>
        <v/>
      </c>
      <c r="F8104" s="107" t="str">
        <f aca="false">IF($C8104="","",$D8104*$E8104)</f>
        <v/>
      </c>
      <c r="G8104" s="107" t="str">
        <f aca="false">IF($C8104="","",$D8104*IFERROR(INDEX('تحليل التكلفة والسعر'!$C$2:$C$700,MATCH($C8104,'تحليل التكلفة والسعر'!$B$2:$B$700,0)),0))</f>
        <v/>
      </c>
    </row>
    <row r="8105" customFormat="false" ht="15" hidden="false" customHeight="false" outlineLevel="0" collapsed="false">
      <c r="A8105" s="103"/>
      <c r="B8105" s="104"/>
      <c r="C8105" s="104"/>
      <c r="E8105" s="107" t="str">
        <f aca="false">IF($C8105="","",IFERROR(INDEX(المنيو!$C$2:$C$500,MATCH($C8105,المنيو!$B$2:$B$500,0)),0))</f>
        <v/>
      </c>
      <c r="F8105" s="107" t="str">
        <f aca="false">IF($C8105="","",$D8105*$E8105)</f>
        <v/>
      </c>
      <c r="G8105" s="107" t="str">
        <f aca="false">IF($C8105="","",$D8105*IFERROR(INDEX('تحليل التكلفة والسعر'!$C$2:$C$700,MATCH($C8105,'تحليل التكلفة والسعر'!$B$2:$B$700,0)),0))</f>
        <v/>
      </c>
    </row>
    <row r="8106" customFormat="false" ht="15" hidden="false" customHeight="false" outlineLevel="0" collapsed="false">
      <c r="A8106" s="103"/>
      <c r="B8106" s="104"/>
      <c r="C8106" s="104"/>
      <c r="E8106" s="107" t="str">
        <f aca="false">IF($C8106="","",IFERROR(INDEX(المنيو!$C$2:$C$500,MATCH($C8106,المنيو!$B$2:$B$500,0)),0))</f>
        <v/>
      </c>
      <c r="F8106" s="107" t="str">
        <f aca="false">IF($C8106="","",$D8106*$E8106)</f>
        <v/>
      </c>
      <c r="G8106" s="107" t="str">
        <f aca="false">IF($C8106="","",$D8106*IFERROR(INDEX('تحليل التكلفة والسعر'!$C$2:$C$700,MATCH($C8106,'تحليل التكلفة والسعر'!$B$2:$B$700,0)),0))</f>
        <v/>
      </c>
    </row>
    <row r="8107" customFormat="false" ht="15" hidden="false" customHeight="false" outlineLevel="0" collapsed="false">
      <c r="A8107" s="103"/>
      <c r="B8107" s="104"/>
      <c r="C8107" s="104"/>
      <c r="E8107" s="107" t="str">
        <f aca="false">IF($C8107="","",IFERROR(INDEX(المنيو!$C$2:$C$500,MATCH($C8107,المنيو!$B$2:$B$500,0)),0))</f>
        <v/>
      </c>
      <c r="F8107" s="107" t="str">
        <f aca="false">IF($C8107="","",$D8107*$E8107)</f>
        <v/>
      </c>
      <c r="G8107" s="107" t="str">
        <f aca="false">IF($C8107="","",$D8107*IFERROR(INDEX('تحليل التكلفة والسعر'!$C$2:$C$700,MATCH($C8107,'تحليل التكلفة والسعر'!$B$2:$B$700,0)),0))</f>
        <v/>
      </c>
    </row>
    <row r="8108" customFormat="false" ht="15" hidden="false" customHeight="false" outlineLevel="0" collapsed="false">
      <c r="A8108" s="103"/>
      <c r="B8108" s="104"/>
      <c r="C8108" s="104"/>
      <c r="E8108" s="107" t="str">
        <f aca="false">IF($C8108="","",IFERROR(INDEX(المنيو!$C$2:$C$500,MATCH($C8108,المنيو!$B$2:$B$500,0)),0))</f>
        <v/>
      </c>
      <c r="F8108" s="107" t="str">
        <f aca="false">IF($C8108="","",$D8108*$E8108)</f>
        <v/>
      </c>
      <c r="G8108" s="107" t="str">
        <f aca="false">IF($C8108="","",$D8108*IFERROR(INDEX('تحليل التكلفة والسعر'!$C$2:$C$700,MATCH($C8108,'تحليل التكلفة والسعر'!$B$2:$B$700,0)),0))</f>
        <v/>
      </c>
    </row>
    <row r="8109" customFormat="false" ht="15" hidden="false" customHeight="false" outlineLevel="0" collapsed="false">
      <c r="A8109" s="103"/>
      <c r="B8109" s="104"/>
      <c r="C8109" s="104"/>
      <c r="E8109" s="107" t="str">
        <f aca="false">IF($C8109="","",IFERROR(INDEX(المنيو!$C$2:$C$500,MATCH($C8109,المنيو!$B$2:$B$500,0)),0))</f>
        <v/>
      </c>
      <c r="F8109" s="107" t="str">
        <f aca="false">IF($C8109="","",$D8109*$E8109)</f>
        <v/>
      </c>
      <c r="G8109" s="107" t="str">
        <f aca="false">IF($C8109="","",$D8109*IFERROR(INDEX('تحليل التكلفة والسعر'!$C$2:$C$700,MATCH($C8109,'تحليل التكلفة والسعر'!$B$2:$B$700,0)),0))</f>
        <v/>
      </c>
    </row>
    <row r="8110" customFormat="false" ht="15" hidden="false" customHeight="false" outlineLevel="0" collapsed="false">
      <c r="A8110" s="103"/>
      <c r="B8110" s="104"/>
      <c r="C8110" s="104"/>
      <c r="E8110" s="107" t="str">
        <f aca="false">IF($C8110="","",IFERROR(INDEX(المنيو!$C$2:$C$500,MATCH($C8110,المنيو!$B$2:$B$500,0)),0))</f>
        <v/>
      </c>
      <c r="F8110" s="107" t="str">
        <f aca="false">IF($C8110="","",$D8110*$E8110)</f>
        <v/>
      </c>
      <c r="G8110" s="107" t="str">
        <f aca="false">IF($C8110="","",$D8110*IFERROR(INDEX('تحليل التكلفة والسعر'!$C$2:$C$700,MATCH($C8110,'تحليل التكلفة والسعر'!$B$2:$B$700,0)),0))</f>
        <v/>
      </c>
    </row>
    <row r="8111" customFormat="false" ht="15" hidden="false" customHeight="false" outlineLevel="0" collapsed="false">
      <c r="A8111" s="103"/>
      <c r="B8111" s="104"/>
      <c r="C8111" s="104"/>
      <c r="E8111" s="107" t="str">
        <f aca="false">IF($C8111="","",IFERROR(INDEX(المنيو!$C$2:$C$500,MATCH($C8111,المنيو!$B$2:$B$500,0)),0))</f>
        <v/>
      </c>
      <c r="F8111" s="107" t="str">
        <f aca="false">IF($C8111="","",$D8111*$E8111)</f>
        <v/>
      </c>
      <c r="G8111" s="107" t="str">
        <f aca="false">IF($C8111="","",$D8111*IFERROR(INDEX('تحليل التكلفة والسعر'!$C$2:$C$700,MATCH($C8111,'تحليل التكلفة والسعر'!$B$2:$B$700,0)),0))</f>
        <v/>
      </c>
    </row>
    <row r="8112" customFormat="false" ht="15" hidden="false" customHeight="false" outlineLevel="0" collapsed="false">
      <c r="A8112" s="103"/>
      <c r="B8112" s="104"/>
      <c r="C8112" s="104"/>
      <c r="E8112" s="107" t="str">
        <f aca="false">IF($C8112="","",IFERROR(INDEX(المنيو!$C$2:$C$500,MATCH($C8112,المنيو!$B$2:$B$500,0)),0))</f>
        <v/>
      </c>
      <c r="F8112" s="107" t="str">
        <f aca="false">IF($C8112="","",$D8112*$E8112)</f>
        <v/>
      </c>
      <c r="G8112" s="107" t="str">
        <f aca="false">IF($C8112="","",$D8112*IFERROR(INDEX('تحليل التكلفة والسعر'!$C$2:$C$700,MATCH($C8112,'تحليل التكلفة والسعر'!$B$2:$B$700,0)),0))</f>
        <v/>
      </c>
    </row>
    <row r="8113" customFormat="false" ht="15" hidden="false" customHeight="false" outlineLevel="0" collapsed="false">
      <c r="A8113" s="103"/>
      <c r="B8113" s="104"/>
      <c r="C8113" s="104"/>
      <c r="E8113" s="107" t="str">
        <f aca="false">IF($C8113="","",IFERROR(INDEX(المنيو!$C$2:$C$500,MATCH($C8113,المنيو!$B$2:$B$500,0)),0))</f>
        <v/>
      </c>
      <c r="F8113" s="107" t="str">
        <f aca="false">IF($C8113="","",$D8113*$E8113)</f>
        <v/>
      </c>
      <c r="G8113" s="107" t="str">
        <f aca="false">IF($C8113="","",$D8113*IFERROR(INDEX('تحليل التكلفة والسعر'!$C$2:$C$700,MATCH($C8113,'تحليل التكلفة والسعر'!$B$2:$B$700,0)),0))</f>
        <v/>
      </c>
    </row>
    <row r="8114" customFormat="false" ht="15" hidden="false" customHeight="false" outlineLevel="0" collapsed="false">
      <c r="A8114" s="103"/>
      <c r="B8114" s="104"/>
      <c r="C8114" s="104"/>
      <c r="E8114" s="107" t="str">
        <f aca="false">IF($C8114="","",IFERROR(INDEX(المنيو!$C$2:$C$500,MATCH($C8114,المنيو!$B$2:$B$500,0)),0))</f>
        <v/>
      </c>
      <c r="F8114" s="107" t="str">
        <f aca="false">IF($C8114="","",$D8114*$E8114)</f>
        <v/>
      </c>
      <c r="G8114" s="107" t="str">
        <f aca="false">IF($C8114="","",$D8114*IFERROR(INDEX('تحليل التكلفة والسعر'!$C$2:$C$700,MATCH($C8114,'تحليل التكلفة والسعر'!$B$2:$B$700,0)),0))</f>
        <v/>
      </c>
    </row>
    <row r="8115" customFormat="false" ht="15" hidden="false" customHeight="false" outlineLevel="0" collapsed="false">
      <c r="A8115" s="103"/>
      <c r="B8115" s="104"/>
      <c r="C8115" s="104"/>
      <c r="E8115" s="107" t="str">
        <f aca="false">IF($C8115="","",IFERROR(INDEX(المنيو!$C$2:$C$500,MATCH($C8115,المنيو!$B$2:$B$500,0)),0))</f>
        <v/>
      </c>
      <c r="F8115" s="107" t="str">
        <f aca="false">IF($C8115="","",$D8115*$E8115)</f>
        <v/>
      </c>
      <c r="G8115" s="107" t="str">
        <f aca="false">IF($C8115="","",$D8115*IFERROR(INDEX('تحليل التكلفة والسعر'!$C$2:$C$700,MATCH($C8115,'تحليل التكلفة والسعر'!$B$2:$B$700,0)),0))</f>
        <v/>
      </c>
    </row>
    <row r="8116" customFormat="false" ht="15" hidden="false" customHeight="false" outlineLevel="0" collapsed="false">
      <c r="A8116" s="103"/>
      <c r="B8116" s="104"/>
      <c r="C8116" s="104"/>
      <c r="E8116" s="107" t="str">
        <f aca="false">IF($C8116="","",IFERROR(INDEX(المنيو!$C$2:$C$500,MATCH($C8116,المنيو!$B$2:$B$500,0)),0))</f>
        <v/>
      </c>
      <c r="F8116" s="107" t="str">
        <f aca="false">IF($C8116="","",$D8116*$E8116)</f>
        <v/>
      </c>
      <c r="G8116" s="107" t="str">
        <f aca="false">IF($C8116="","",$D8116*IFERROR(INDEX('تحليل التكلفة والسعر'!$C$2:$C$700,MATCH($C8116,'تحليل التكلفة والسعر'!$B$2:$B$700,0)),0))</f>
        <v/>
      </c>
    </row>
    <row r="8117" customFormat="false" ht="15" hidden="false" customHeight="false" outlineLevel="0" collapsed="false">
      <c r="A8117" s="103"/>
      <c r="B8117" s="104"/>
      <c r="C8117" s="104"/>
      <c r="E8117" s="107" t="str">
        <f aca="false">IF($C8117="","",IFERROR(INDEX(المنيو!$C$2:$C$500,MATCH($C8117,المنيو!$B$2:$B$500,0)),0))</f>
        <v/>
      </c>
      <c r="F8117" s="107" t="str">
        <f aca="false">IF($C8117="","",$D8117*$E8117)</f>
        <v/>
      </c>
      <c r="G8117" s="107" t="str">
        <f aca="false">IF($C8117="","",$D8117*IFERROR(INDEX('تحليل التكلفة والسعر'!$C$2:$C$700,MATCH($C8117,'تحليل التكلفة والسعر'!$B$2:$B$700,0)),0))</f>
        <v/>
      </c>
    </row>
    <row r="8118" customFormat="false" ht="15" hidden="false" customHeight="false" outlineLevel="0" collapsed="false">
      <c r="A8118" s="103"/>
      <c r="B8118" s="104"/>
      <c r="C8118" s="104"/>
      <c r="E8118" s="107" t="str">
        <f aca="false">IF($C8118="","",IFERROR(INDEX(المنيو!$C$2:$C$500,MATCH($C8118,المنيو!$B$2:$B$500,0)),0))</f>
        <v/>
      </c>
      <c r="F8118" s="107" t="str">
        <f aca="false">IF($C8118="","",$D8118*$E8118)</f>
        <v/>
      </c>
      <c r="G8118" s="107" t="str">
        <f aca="false">IF($C8118="","",$D8118*IFERROR(INDEX('تحليل التكلفة والسعر'!$C$2:$C$700,MATCH($C8118,'تحليل التكلفة والسعر'!$B$2:$B$700,0)),0))</f>
        <v/>
      </c>
    </row>
    <row r="8119" customFormat="false" ht="15" hidden="false" customHeight="false" outlineLevel="0" collapsed="false">
      <c r="A8119" s="103"/>
      <c r="B8119" s="104"/>
      <c r="C8119" s="104"/>
      <c r="E8119" s="107" t="str">
        <f aca="false">IF($C8119="","",IFERROR(INDEX(المنيو!$C$2:$C$500,MATCH($C8119,المنيو!$B$2:$B$500,0)),0))</f>
        <v/>
      </c>
      <c r="F8119" s="107" t="str">
        <f aca="false">IF($C8119="","",$D8119*$E8119)</f>
        <v/>
      </c>
      <c r="G8119" s="107" t="str">
        <f aca="false">IF($C8119="","",$D8119*IFERROR(INDEX('تحليل التكلفة والسعر'!$C$2:$C$700,MATCH($C8119,'تحليل التكلفة والسعر'!$B$2:$B$700,0)),0))</f>
        <v/>
      </c>
    </row>
    <row r="8120" customFormat="false" ht="15" hidden="false" customHeight="false" outlineLevel="0" collapsed="false">
      <c r="A8120" s="103"/>
      <c r="B8120" s="104"/>
      <c r="C8120" s="104"/>
      <c r="E8120" s="107" t="str">
        <f aca="false">IF($C8120="","",IFERROR(INDEX(المنيو!$C$2:$C$500,MATCH($C8120,المنيو!$B$2:$B$500,0)),0))</f>
        <v/>
      </c>
      <c r="F8120" s="107" t="str">
        <f aca="false">IF($C8120="","",$D8120*$E8120)</f>
        <v/>
      </c>
      <c r="G8120" s="107" t="str">
        <f aca="false">IF($C8120="","",$D8120*IFERROR(INDEX('تحليل التكلفة والسعر'!$C$2:$C$700,MATCH($C8120,'تحليل التكلفة والسعر'!$B$2:$B$700,0)),0))</f>
        <v/>
      </c>
    </row>
    <row r="8121" customFormat="false" ht="15" hidden="false" customHeight="false" outlineLevel="0" collapsed="false">
      <c r="A8121" s="103"/>
      <c r="B8121" s="104"/>
      <c r="C8121" s="104"/>
      <c r="E8121" s="107" t="str">
        <f aca="false">IF($C8121="","",IFERROR(INDEX(المنيو!$C$2:$C$500,MATCH($C8121,المنيو!$B$2:$B$500,0)),0))</f>
        <v/>
      </c>
      <c r="F8121" s="107" t="str">
        <f aca="false">IF($C8121="","",$D8121*$E8121)</f>
        <v/>
      </c>
      <c r="G8121" s="107" t="str">
        <f aca="false">IF($C8121="","",$D8121*IFERROR(INDEX('تحليل التكلفة والسعر'!$C$2:$C$700,MATCH($C8121,'تحليل التكلفة والسعر'!$B$2:$B$700,0)),0))</f>
        <v/>
      </c>
    </row>
    <row r="8122" customFormat="false" ht="15" hidden="false" customHeight="false" outlineLevel="0" collapsed="false">
      <c r="A8122" s="103"/>
      <c r="B8122" s="104"/>
      <c r="C8122" s="104"/>
      <c r="E8122" s="107" t="str">
        <f aca="false">IF($C8122="","",IFERROR(INDEX(المنيو!$C$2:$C$500,MATCH($C8122,المنيو!$B$2:$B$500,0)),0))</f>
        <v/>
      </c>
      <c r="F8122" s="107" t="str">
        <f aca="false">IF($C8122="","",$D8122*$E8122)</f>
        <v/>
      </c>
      <c r="G8122" s="107" t="str">
        <f aca="false">IF($C8122="","",$D8122*IFERROR(INDEX('تحليل التكلفة والسعر'!$C$2:$C$700,MATCH($C8122,'تحليل التكلفة والسعر'!$B$2:$B$700,0)),0))</f>
        <v/>
      </c>
    </row>
    <row r="8123" customFormat="false" ht="15" hidden="false" customHeight="false" outlineLevel="0" collapsed="false">
      <c r="A8123" s="103"/>
      <c r="B8123" s="104"/>
      <c r="C8123" s="104"/>
      <c r="E8123" s="107" t="str">
        <f aca="false">IF($C8123="","",IFERROR(INDEX(المنيو!$C$2:$C$500,MATCH($C8123,المنيو!$B$2:$B$500,0)),0))</f>
        <v/>
      </c>
      <c r="F8123" s="107" t="str">
        <f aca="false">IF($C8123="","",$D8123*$E8123)</f>
        <v/>
      </c>
      <c r="G8123" s="107" t="str">
        <f aca="false">IF($C8123="","",$D8123*IFERROR(INDEX('تحليل التكلفة والسعر'!$C$2:$C$700,MATCH($C8123,'تحليل التكلفة والسعر'!$B$2:$B$700,0)),0))</f>
        <v/>
      </c>
    </row>
    <row r="8124" customFormat="false" ht="15" hidden="false" customHeight="false" outlineLevel="0" collapsed="false">
      <c r="A8124" s="103"/>
      <c r="B8124" s="104"/>
      <c r="C8124" s="104"/>
      <c r="E8124" s="107" t="str">
        <f aca="false">IF($C8124="","",IFERROR(INDEX(المنيو!$C$2:$C$500,MATCH($C8124,المنيو!$B$2:$B$500,0)),0))</f>
        <v/>
      </c>
      <c r="F8124" s="107" t="str">
        <f aca="false">IF($C8124="","",$D8124*$E8124)</f>
        <v/>
      </c>
      <c r="G8124" s="107" t="str">
        <f aca="false">IF($C8124="","",$D8124*IFERROR(INDEX('تحليل التكلفة والسعر'!$C$2:$C$700,MATCH($C8124,'تحليل التكلفة والسعر'!$B$2:$B$700,0)),0))</f>
        <v/>
      </c>
    </row>
    <row r="8125" customFormat="false" ht="15" hidden="false" customHeight="false" outlineLevel="0" collapsed="false">
      <c r="A8125" s="103"/>
      <c r="B8125" s="104"/>
      <c r="C8125" s="104"/>
      <c r="E8125" s="107" t="str">
        <f aca="false">IF($C8125="","",IFERROR(INDEX(المنيو!$C$2:$C$500,MATCH($C8125,المنيو!$B$2:$B$500,0)),0))</f>
        <v/>
      </c>
      <c r="F8125" s="107" t="str">
        <f aca="false">IF($C8125="","",$D8125*$E8125)</f>
        <v/>
      </c>
      <c r="G8125" s="107" t="str">
        <f aca="false">IF($C8125="","",$D8125*IFERROR(INDEX('تحليل التكلفة والسعر'!$C$2:$C$700,MATCH($C8125,'تحليل التكلفة والسعر'!$B$2:$B$700,0)),0))</f>
        <v/>
      </c>
    </row>
    <row r="8126" customFormat="false" ht="15" hidden="false" customHeight="false" outlineLevel="0" collapsed="false">
      <c r="A8126" s="103"/>
      <c r="B8126" s="104"/>
      <c r="C8126" s="104"/>
      <c r="E8126" s="107" t="str">
        <f aca="false">IF($C8126="","",IFERROR(INDEX(المنيو!$C$2:$C$500,MATCH($C8126,المنيو!$B$2:$B$500,0)),0))</f>
        <v/>
      </c>
      <c r="F8126" s="107" t="str">
        <f aca="false">IF($C8126="","",$D8126*$E8126)</f>
        <v/>
      </c>
      <c r="G8126" s="107" t="str">
        <f aca="false">IF($C8126="","",$D8126*IFERROR(INDEX('تحليل التكلفة والسعر'!$C$2:$C$700,MATCH($C8126,'تحليل التكلفة والسعر'!$B$2:$B$700,0)),0))</f>
        <v/>
      </c>
    </row>
    <row r="8127" customFormat="false" ht="15" hidden="false" customHeight="false" outlineLevel="0" collapsed="false">
      <c r="A8127" s="103"/>
      <c r="B8127" s="104"/>
      <c r="C8127" s="104"/>
      <c r="E8127" s="107" t="str">
        <f aca="false">IF($C8127="","",IFERROR(INDEX(المنيو!$C$2:$C$500,MATCH($C8127,المنيو!$B$2:$B$500,0)),0))</f>
        <v/>
      </c>
      <c r="F8127" s="107" t="str">
        <f aca="false">IF($C8127="","",$D8127*$E8127)</f>
        <v/>
      </c>
      <c r="G8127" s="107" t="str">
        <f aca="false">IF($C8127="","",$D8127*IFERROR(INDEX('تحليل التكلفة والسعر'!$C$2:$C$700,MATCH($C8127,'تحليل التكلفة والسعر'!$B$2:$B$700,0)),0))</f>
        <v/>
      </c>
    </row>
    <row r="8128" customFormat="false" ht="15" hidden="false" customHeight="false" outlineLevel="0" collapsed="false">
      <c r="A8128" s="103"/>
      <c r="B8128" s="104"/>
      <c r="C8128" s="104"/>
      <c r="E8128" s="107" t="str">
        <f aca="false">IF($C8128="","",IFERROR(INDEX(المنيو!$C$2:$C$500,MATCH($C8128,المنيو!$B$2:$B$500,0)),0))</f>
        <v/>
      </c>
      <c r="F8128" s="107" t="str">
        <f aca="false">IF($C8128="","",$D8128*$E8128)</f>
        <v/>
      </c>
      <c r="G8128" s="107" t="str">
        <f aca="false">IF($C8128="","",$D8128*IFERROR(INDEX('تحليل التكلفة والسعر'!$C$2:$C$700,MATCH($C8128,'تحليل التكلفة والسعر'!$B$2:$B$700,0)),0))</f>
        <v/>
      </c>
    </row>
    <row r="8129" customFormat="false" ht="15" hidden="false" customHeight="false" outlineLevel="0" collapsed="false">
      <c r="A8129" s="103"/>
      <c r="B8129" s="104"/>
      <c r="C8129" s="104"/>
      <c r="E8129" s="107" t="str">
        <f aca="false">IF($C8129="","",IFERROR(INDEX(المنيو!$C$2:$C$500,MATCH($C8129,المنيو!$B$2:$B$500,0)),0))</f>
        <v/>
      </c>
      <c r="F8129" s="107" t="str">
        <f aca="false">IF($C8129="","",$D8129*$E8129)</f>
        <v/>
      </c>
      <c r="G8129" s="107" t="str">
        <f aca="false">IF($C8129="","",$D8129*IFERROR(INDEX('تحليل التكلفة والسعر'!$C$2:$C$700,MATCH($C8129,'تحليل التكلفة والسعر'!$B$2:$B$700,0)),0))</f>
        <v/>
      </c>
    </row>
    <row r="8130" customFormat="false" ht="15" hidden="false" customHeight="false" outlineLevel="0" collapsed="false">
      <c r="A8130" s="103"/>
      <c r="B8130" s="104"/>
      <c r="C8130" s="104"/>
      <c r="E8130" s="107" t="str">
        <f aca="false">IF($C8130="","",IFERROR(INDEX(المنيو!$C$2:$C$500,MATCH($C8130,المنيو!$B$2:$B$500,0)),0))</f>
        <v/>
      </c>
      <c r="F8130" s="107" t="str">
        <f aca="false">IF($C8130="","",$D8130*$E8130)</f>
        <v/>
      </c>
      <c r="G8130" s="107" t="str">
        <f aca="false">IF($C8130="","",$D8130*IFERROR(INDEX('تحليل التكلفة والسعر'!$C$2:$C$700,MATCH($C8130,'تحليل التكلفة والسعر'!$B$2:$B$700,0)),0))</f>
        <v/>
      </c>
    </row>
    <row r="8131" customFormat="false" ht="15" hidden="false" customHeight="false" outlineLevel="0" collapsed="false">
      <c r="A8131" s="103"/>
      <c r="B8131" s="104"/>
      <c r="C8131" s="104"/>
      <c r="E8131" s="107" t="str">
        <f aca="false">IF($C8131="","",IFERROR(INDEX(المنيو!$C$2:$C$500,MATCH($C8131,المنيو!$B$2:$B$500,0)),0))</f>
        <v/>
      </c>
      <c r="F8131" s="107" t="str">
        <f aca="false">IF($C8131="","",$D8131*$E8131)</f>
        <v/>
      </c>
      <c r="G8131" s="107" t="str">
        <f aca="false">IF($C8131="","",$D8131*IFERROR(INDEX('تحليل التكلفة والسعر'!$C$2:$C$700,MATCH($C8131,'تحليل التكلفة والسعر'!$B$2:$B$700,0)),0))</f>
        <v/>
      </c>
    </row>
    <row r="8132" customFormat="false" ht="15" hidden="false" customHeight="false" outlineLevel="0" collapsed="false">
      <c r="A8132" s="103"/>
      <c r="B8132" s="104"/>
      <c r="C8132" s="104"/>
      <c r="E8132" s="107" t="str">
        <f aca="false">IF($C8132="","",IFERROR(INDEX(المنيو!$C$2:$C$500,MATCH($C8132,المنيو!$B$2:$B$500,0)),0))</f>
        <v/>
      </c>
      <c r="F8132" s="107" t="str">
        <f aca="false">IF($C8132="","",$D8132*$E8132)</f>
        <v/>
      </c>
      <c r="G8132" s="107" t="str">
        <f aca="false">IF($C8132="","",$D8132*IFERROR(INDEX('تحليل التكلفة والسعر'!$C$2:$C$700,MATCH($C8132,'تحليل التكلفة والسعر'!$B$2:$B$700,0)),0))</f>
        <v/>
      </c>
    </row>
    <row r="8133" customFormat="false" ht="15" hidden="false" customHeight="false" outlineLevel="0" collapsed="false">
      <c r="A8133" s="103"/>
      <c r="B8133" s="104"/>
      <c r="C8133" s="104"/>
      <c r="E8133" s="107" t="str">
        <f aca="false">IF($C8133="","",IFERROR(INDEX(المنيو!$C$2:$C$500,MATCH($C8133,المنيو!$B$2:$B$500,0)),0))</f>
        <v/>
      </c>
      <c r="F8133" s="107" t="str">
        <f aca="false">IF($C8133="","",$D8133*$E8133)</f>
        <v/>
      </c>
      <c r="G8133" s="107" t="str">
        <f aca="false">IF($C8133="","",$D8133*IFERROR(INDEX('تحليل التكلفة والسعر'!$C$2:$C$700,MATCH($C8133,'تحليل التكلفة والسعر'!$B$2:$B$700,0)),0))</f>
        <v/>
      </c>
    </row>
    <row r="8134" customFormat="false" ht="15" hidden="false" customHeight="false" outlineLevel="0" collapsed="false">
      <c r="A8134" s="103"/>
      <c r="B8134" s="104"/>
      <c r="C8134" s="104"/>
      <c r="E8134" s="107" t="str">
        <f aca="false">IF($C8134="","",IFERROR(INDEX(المنيو!$C$2:$C$500,MATCH($C8134,المنيو!$B$2:$B$500,0)),0))</f>
        <v/>
      </c>
      <c r="F8134" s="107" t="str">
        <f aca="false">IF($C8134="","",$D8134*$E8134)</f>
        <v/>
      </c>
      <c r="G8134" s="107" t="str">
        <f aca="false">IF($C8134="","",$D8134*IFERROR(INDEX('تحليل التكلفة والسعر'!$C$2:$C$700,MATCH($C8134,'تحليل التكلفة والسعر'!$B$2:$B$700,0)),0))</f>
        <v/>
      </c>
    </row>
    <row r="8135" customFormat="false" ht="15" hidden="false" customHeight="false" outlineLevel="0" collapsed="false">
      <c r="A8135" s="103"/>
      <c r="B8135" s="104"/>
      <c r="C8135" s="104"/>
      <c r="E8135" s="107" t="str">
        <f aca="false">IF($C8135="","",IFERROR(INDEX(المنيو!$C$2:$C$500,MATCH($C8135,المنيو!$B$2:$B$500,0)),0))</f>
        <v/>
      </c>
      <c r="F8135" s="107" t="str">
        <f aca="false">IF($C8135="","",$D8135*$E8135)</f>
        <v/>
      </c>
      <c r="G8135" s="107" t="str">
        <f aca="false">IF($C8135="","",$D8135*IFERROR(INDEX('تحليل التكلفة والسعر'!$C$2:$C$700,MATCH($C8135,'تحليل التكلفة والسعر'!$B$2:$B$700,0)),0))</f>
        <v/>
      </c>
    </row>
    <row r="8136" customFormat="false" ht="15" hidden="false" customHeight="false" outlineLevel="0" collapsed="false">
      <c r="A8136" s="103"/>
      <c r="B8136" s="104"/>
      <c r="C8136" s="104"/>
      <c r="E8136" s="107" t="str">
        <f aca="false">IF($C8136="","",IFERROR(INDEX(المنيو!$C$2:$C$500,MATCH($C8136,المنيو!$B$2:$B$500,0)),0))</f>
        <v/>
      </c>
      <c r="F8136" s="107" t="str">
        <f aca="false">IF($C8136="","",$D8136*$E8136)</f>
        <v/>
      </c>
      <c r="G8136" s="107" t="str">
        <f aca="false">IF($C8136="","",$D8136*IFERROR(INDEX('تحليل التكلفة والسعر'!$C$2:$C$700,MATCH($C8136,'تحليل التكلفة والسعر'!$B$2:$B$700,0)),0))</f>
        <v/>
      </c>
    </row>
    <row r="8137" customFormat="false" ht="15" hidden="false" customHeight="false" outlineLevel="0" collapsed="false">
      <c r="A8137" s="103"/>
      <c r="B8137" s="104"/>
      <c r="C8137" s="104"/>
      <c r="E8137" s="107" t="str">
        <f aca="false">IF($C8137="","",IFERROR(INDEX(المنيو!$C$2:$C$500,MATCH($C8137,المنيو!$B$2:$B$500,0)),0))</f>
        <v/>
      </c>
      <c r="F8137" s="107" t="str">
        <f aca="false">IF($C8137="","",$D8137*$E8137)</f>
        <v/>
      </c>
      <c r="G8137" s="107" t="str">
        <f aca="false">IF($C8137="","",$D8137*IFERROR(INDEX('تحليل التكلفة والسعر'!$C$2:$C$700,MATCH($C8137,'تحليل التكلفة والسعر'!$B$2:$B$700,0)),0))</f>
        <v/>
      </c>
    </row>
    <row r="8138" customFormat="false" ht="15" hidden="false" customHeight="false" outlineLevel="0" collapsed="false">
      <c r="A8138" s="103"/>
      <c r="B8138" s="104"/>
      <c r="C8138" s="104"/>
      <c r="E8138" s="107" t="str">
        <f aca="false">IF($C8138="","",IFERROR(INDEX(المنيو!$C$2:$C$500,MATCH($C8138,المنيو!$B$2:$B$500,0)),0))</f>
        <v/>
      </c>
      <c r="F8138" s="107" t="str">
        <f aca="false">IF($C8138="","",$D8138*$E8138)</f>
        <v/>
      </c>
      <c r="G8138" s="107" t="str">
        <f aca="false">IF($C8138="","",$D8138*IFERROR(INDEX('تحليل التكلفة والسعر'!$C$2:$C$700,MATCH($C8138,'تحليل التكلفة والسعر'!$B$2:$B$700,0)),0))</f>
        <v/>
      </c>
    </row>
    <row r="8139" customFormat="false" ht="15" hidden="false" customHeight="false" outlineLevel="0" collapsed="false">
      <c r="A8139" s="103"/>
      <c r="B8139" s="104"/>
      <c r="C8139" s="104"/>
      <c r="E8139" s="107" t="str">
        <f aca="false">IF($C8139="","",IFERROR(INDEX(المنيو!$C$2:$C$500,MATCH($C8139,المنيو!$B$2:$B$500,0)),0))</f>
        <v/>
      </c>
      <c r="F8139" s="107" t="str">
        <f aca="false">IF($C8139="","",$D8139*$E8139)</f>
        <v/>
      </c>
      <c r="G8139" s="107" t="str">
        <f aca="false">IF($C8139="","",$D8139*IFERROR(INDEX('تحليل التكلفة والسعر'!$C$2:$C$700,MATCH($C8139,'تحليل التكلفة والسعر'!$B$2:$B$700,0)),0))</f>
        <v/>
      </c>
    </row>
    <row r="8140" customFormat="false" ht="15" hidden="false" customHeight="false" outlineLevel="0" collapsed="false">
      <c r="A8140" s="103"/>
      <c r="B8140" s="104"/>
      <c r="C8140" s="104"/>
      <c r="E8140" s="107" t="str">
        <f aca="false">IF($C8140="","",IFERROR(INDEX(المنيو!$C$2:$C$500,MATCH($C8140,المنيو!$B$2:$B$500,0)),0))</f>
        <v/>
      </c>
      <c r="F8140" s="107" t="str">
        <f aca="false">IF($C8140="","",$D8140*$E8140)</f>
        <v/>
      </c>
      <c r="G8140" s="107" t="str">
        <f aca="false">IF($C8140="","",$D8140*IFERROR(INDEX('تحليل التكلفة والسعر'!$C$2:$C$700,MATCH($C8140,'تحليل التكلفة والسعر'!$B$2:$B$700,0)),0))</f>
        <v/>
      </c>
    </row>
    <row r="8141" customFormat="false" ht="15" hidden="false" customHeight="false" outlineLevel="0" collapsed="false">
      <c r="A8141" s="103"/>
      <c r="B8141" s="104"/>
      <c r="C8141" s="104"/>
      <c r="E8141" s="107" t="str">
        <f aca="false">IF($C8141="","",IFERROR(INDEX(المنيو!$C$2:$C$500,MATCH($C8141,المنيو!$B$2:$B$500,0)),0))</f>
        <v/>
      </c>
      <c r="F8141" s="107" t="str">
        <f aca="false">IF($C8141="","",$D8141*$E8141)</f>
        <v/>
      </c>
      <c r="G8141" s="107" t="str">
        <f aca="false">IF($C8141="","",$D8141*IFERROR(INDEX('تحليل التكلفة والسعر'!$C$2:$C$700,MATCH($C8141,'تحليل التكلفة والسعر'!$B$2:$B$700,0)),0))</f>
        <v/>
      </c>
    </row>
    <row r="8142" customFormat="false" ht="15" hidden="false" customHeight="false" outlineLevel="0" collapsed="false">
      <c r="A8142" s="103"/>
      <c r="B8142" s="104"/>
      <c r="C8142" s="104"/>
      <c r="E8142" s="107" t="str">
        <f aca="false">IF($C8142="","",IFERROR(INDEX(المنيو!$C$2:$C$500,MATCH($C8142,المنيو!$B$2:$B$500,0)),0))</f>
        <v/>
      </c>
      <c r="F8142" s="107" t="str">
        <f aca="false">IF($C8142="","",$D8142*$E8142)</f>
        <v/>
      </c>
      <c r="G8142" s="107" t="str">
        <f aca="false">IF($C8142="","",$D8142*IFERROR(INDEX('تحليل التكلفة والسعر'!$C$2:$C$700,MATCH($C8142,'تحليل التكلفة والسعر'!$B$2:$B$700,0)),0))</f>
        <v/>
      </c>
    </row>
    <row r="8143" customFormat="false" ht="15" hidden="false" customHeight="false" outlineLevel="0" collapsed="false">
      <c r="A8143" s="103"/>
      <c r="B8143" s="104"/>
      <c r="C8143" s="104"/>
      <c r="E8143" s="107" t="str">
        <f aca="false">IF($C8143="","",IFERROR(INDEX(المنيو!$C$2:$C$500,MATCH($C8143,المنيو!$B$2:$B$500,0)),0))</f>
        <v/>
      </c>
      <c r="F8143" s="107" t="str">
        <f aca="false">IF($C8143="","",$D8143*$E8143)</f>
        <v/>
      </c>
      <c r="G8143" s="107" t="str">
        <f aca="false">IF($C8143="","",$D8143*IFERROR(INDEX('تحليل التكلفة والسعر'!$C$2:$C$700,MATCH($C8143,'تحليل التكلفة والسعر'!$B$2:$B$700,0)),0))</f>
        <v/>
      </c>
    </row>
    <row r="8144" customFormat="false" ht="15" hidden="false" customHeight="false" outlineLevel="0" collapsed="false">
      <c r="A8144" s="103"/>
      <c r="B8144" s="104"/>
      <c r="C8144" s="104"/>
      <c r="E8144" s="107" t="str">
        <f aca="false">IF($C8144="","",IFERROR(INDEX(المنيو!$C$2:$C$500,MATCH($C8144,المنيو!$B$2:$B$500,0)),0))</f>
        <v/>
      </c>
      <c r="F8144" s="107" t="str">
        <f aca="false">IF($C8144="","",$D8144*$E8144)</f>
        <v/>
      </c>
      <c r="G8144" s="107" t="str">
        <f aca="false">IF($C8144="","",$D8144*IFERROR(INDEX('تحليل التكلفة والسعر'!$C$2:$C$700,MATCH($C8144,'تحليل التكلفة والسعر'!$B$2:$B$700,0)),0))</f>
        <v/>
      </c>
    </row>
    <row r="8145" customFormat="false" ht="15" hidden="false" customHeight="false" outlineLevel="0" collapsed="false">
      <c r="A8145" s="103"/>
      <c r="B8145" s="104"/>
      <c r="C8145" s="104"/>
      <c r="E8145" s="107" t="str">
        <f aca="false">IF($C8145="","",IFERROR(INDEX(المنيو!$C$2:$C$500,MATCH($C8145,المنيو!$B$2:$B$500,0)),0))</f>
        <v/>
      </c>
      <c r="F8145" s="107" t="str">
        <f aca="false">IF($C8145="","",$D8145*$E8145)</f>
        <v/>
      </c>
      <c r="G8145" s="107" t="str">
        <f aca="false">IF($C8145="","",$D8145*IFERROR(INDEX('تحليل التكلفة والسعر'!$C$2:$C$700,MATCH($C8145,'تحليل التكلفة والسعر'!$B$2:$B$700,0)),0))</f>
        <v/>
      </c>
    </row>
    <row r="8146" customFormat="false" ht="15" hidden="false" customHeight="false" outlineLevel="0" collapsed="false">
      <c r="A8146" s="103"/>
      <c r="B8146" s="104"/>
      <c r="C8146" s="104"/>
      <c r="E8146" s="107" t="str">
        <f aca="false">IF($C8146="","",IFERROR(INDEX(المنيو!$C$2:$C$500,MATCH($C8146,المنيو!$B$2:$B$500,0)),0))</f>
        <v/>
      </c>
      <c r="F8146" s="107" t="str">
        <f aca="false">IF($C8146="","",$D8146*$E8146)</f>
        <v/>
      </c>
      <c r="G8146" s="107" t="str">
        <f aca="false">IF($C8146="","",$D8146*IFERROR(INDEX('تحليل التكلفة والسعر'!$C$2:$C$700,MATCH($C8146,'تحليل التكلفة والسعر'!$B$2:$B$700,0)),0))</f>
        <v/>
      </c>
    </row>
    <row r="8147" customFormat="false" ht="15" hidden="false" customHeight="false" outlineLevel="0" collapsed="false">
      <c r="A8147" s="103"/>
      <c r="B8147" s="104"/>
      <c r="C8147" s="104"/>
      <c r="E8147" s="107" t="str">
        <f aca="false">IF($C8147="","",IFERROR(INDEX(المنيو!$C$2:$C$500,MATCH($C8147,المنيو!$B$2:$B$500,0)),0))</f>
        <v/>
      </c>
      <c r="F8147" s="107" t="str">
        <f aca="false">IF($C8147="","",$D8147*$E8147)</f>
        <v/>
      </c>
      <c r="G8147" s="107" t="str">
        <f aca="false">IF($C8147="","",$D8147*IFERROR(INDEX('تحليل التكلفة والسعر'!$C$2:$C$700,MATCH($C8147,'تحليل التكلفة والسعر'!$B$2:$B$700,0)),0))</f>
        <v/>
      </c>
    </row>
    <row r="8148" customFormat="false" ht="15" hidden="false" customHeight="false" outlineLevel="0" collapsed="false">
      <c r="A8148" s="103"/>
      <c r="B8148" s="104"/>
      <c r="C8148" s="104"/>
      <c r="E8148" s="107" t="str">
        <f aca="false">IF($C8148="","",IFERROR(INDEX(المنيو!$C$2:$C$500,MATCH($C8148,المنيو!$B$2:$B$500,0)),0))</f>
        <v/>
      </c>
      <c r="F8148" s="107" t="str">
        <f aca="false">IF($C8148="","",$D8148*$E8148)</f>
        <v/>
      </c>
      <c r="G8148" s="107" t="str">
        <f aca="false">IF($C8148="","",$D8148*IFERROR(INDEX('تحليل التكلفة والسعر'!$C$2:$C$700,MATCH($C8148,'تحليل التكلفة والسعر'!$B$2:$B$700,0)),0))</f>
        <v/>
      </c>
    </row>
    <row r="8149" customFormat="false" ht="15" hidden="false" customHeight="false" outlineLevel="0" collapsed="false">
      <c r="A8149" s="103"/>
      <c r="B8149" s="104"/>
      <c r="C8149" s="104"/>
      <c r="E8149" s="107" t="str">
        <f aca="false">IF($C8149="","",IFERROR(INDEX(المنيو!$C$2:$C$500,MATCH($C8149,المنيو!$B$2:$B$500,0)),0))</f>
        <v/>
      </c>
      <c r="F8149" s="107" t="str">
        <f aca="false">IF($C8149="","",$D8149*$E8149)</f>
        <v/>
      </c>
      <c r="G8149" s="107" t="str">
        <f aca="false">IF($C8149="","",$D8149*IFERROR(INDEX('تحليل التكلفة والسعر'!$C$2:$C$700,MATCH($C8149,'تحليل التكلفة والسعر'!$B$2:$B$700,0)),0))</f>
        <v/>
      </c>
    </row>
    <row r="8150" customFormat="false" ht="15" hidden="false" customHeight="false" outlineLevel="0" collapsed="false">
      <c r="A8150" s="103"/>
      <c r="B8150" s="104"/>
      <c r="C8150" s="104"/>
      <c r="E8150" s="107" t="str">
        <f aca="false">IF($C8150="","",IFERROR(INDEX(المنيو!$C$2:$C$500,MATCH($C8150,المنيو!$B$2:$B$500,0)),0))</f>
        <v/>
      </c>
      <c r="F8150" s="107" t="str">
        <f aca="false">IF($C8150="","",$D8150*$E8150)</f>
        <v/>
      </c>
      <c r="G8150" s="107" t="str">
        <f aca="false">IF($C8150="","",$D8150*IFERROR(INDEX('تحليل التكلفة والسعر'!$C$2:$C$700,MATCH($C8150,'تحليل التكلفة والسعر'!$B$2:$B$700,0)),0))</f>
        <v/>
      </c>
    </row>
    <row r="8151" customFormat="false" ht="15" hidden="false" customHeight="false" outlineLevel="0" collapsed="false">
      <c r="A8151" s="103"/>
      <c r="B8151" s="104"/>
      <c r="C8151" s="104"/>
      <c r="E8151" s="107" t="str">
        <f aca="false">IF($C8151="","",IFERROR(INDEX(المنيو!$C$2:$C$500,MATCH($C8151,المنيو!$B$2:$B$500,0)),0))</f>
        <v/>
      </c>
      <c r="F8151" s="107" t="str">
        <f aca="false">IF($C8151="","",$D8151*$E8151)</f>
        <v/>
      </c>
      <c r="G8151" s="107" t="str">
        <f aca="false">IF($C8151="","",$D8151*IFERROR(INDEX('تحليل التكلفة والسعر'!$C$2:$C$700,MATCH($C8151,'تحليل التكلفة والسعر'!$B$2:$B$700,0)),0))</f>
        <v/>
      </c>
    </row>
    <row r="8152" customFormat="false" ht="15" hidden="false" customHeight="false" outlineLevel="0" collapsed="false">
      <c r="A8152" s="103"/>
      <c r="B8152" s="104"/>
      <c r="C8152" s="104"/>
      <c r="E8152" s="107" t="str">
        <f aca="false">IF($C8152="","",IFERROR(INDEX(المنيو!$C$2:$C$500,MATCH($C8152,المنيو!$B$2:$B$500,0)),0))</f>
        <v/>
      </c>
      <c r="F8152" s="107" t="str">
        <f aca="false">IF($C8152="","",$D8152*$E8152)</f>
        <v/>
      </c>
      <c r="G8152" s="107" t="str">
        <f aca="false">IF($C8152="","",$D8152*IFERROR(INDEX('تحليل التكلفة والسعر'!$C$2:$C$700,MATCH($C8152,'تحليل التكلفة والسعر'!$B$2:$B$700,0)),0))</f>
        <v/>
      </c>
    </row>
    <row r="8153" customFormat="false" ht="15" hidden="false" customHeight="false" outlineLevel="0" collapsed="false">
      <c r="A8153" s="103"/>
      <c r="B8153" s="104"/>
      <c r="C8153" s="104"/>
      <c r="E8153" s="107" t="str">
        <f aca="false">IF($C8153="","",IFERROR(INDEX(المنيو!$C$2:$C$500,MATCH($C8153,المنيو!$B$2:$B$500,0)),0))</f>
        <v/>
      </c>
      <c r="F8153" s="107" t="str">
        <f aca="false">IF($C8153="","",$D8153*$E8153)</f>
        <v/>
      </c>
      <c r="G8153" s="107" t="str">
        <f aca="false">IF($C8153="","",$D8153*IFERROR(INDEX('تحليل التكلفة والسعر'!$C$2:$C$700,MATCH($C8153,'تحليل التكلفة والسعر'!$B$2:$B$700,0)),0))</f>
        <v/>
      </c>
    </row>
    <row r="8154" customFormat="false" ht="15" hidden="false" customHeight="false" outlineLevel="0" collapsed="false">
      <c r="A8154" s="103"/>
      <c r="B8154" s="104"/>
      <c r="C8154" s="104"/>
      <c r="E8154" s="107" t="str">
        <f aca="false">IF($C8154="","",IFERROR(INDEX(المنيو!$C$2:$C$500,MATCH($C8154,المنيو!$B$2:$B$500,0)),0))</f>
        <v/>
      </c>
      <c r="F8154" s="107" t="str">
        <f aca="false">IF($C8154="","",$D8154*$E8154)</f>
        <v/>
      </c>
      <c r="G8154" s="107" t="str">
        <f aca="false">IF($C8154="","",$D8154*IFERROR(INDEX('تحليل التكلفة والسعر'!$C$2:$C$700,MATCH($C8154,'تحليل التكلفة والسعر'!$B$2:$B$700,0)),0))</f>
        <v/>
      </c>
    </row>
    <row r="8155" customFormat="false" ht="15" hidden="false" customHeight="false" outlineLevel="0" collapsed="false">
      <c r="A8155" s="103"/>
      <c r="B8155" s="104"/>
      <c r="C8155" s="104"/>
      <c r="E8155" s="107" t="str">
        <f aca="false">IF($C8155="","",IFERROR(INDEX(المنيو!$C$2:$C$500,MATCH($C8155,المنيو!$B$2:$B$500,0)),0))</f>
        <v/>
      </c>
      <c r="F8155" s="107" t="str">
        <f aca="false">IF($C8155="","",$D8155*$E8155)</f>
        <v/>
      </c>
      <c r="G8155" s="107" t="str">
        <f aca="false">IF($C8155="","",$D8155*IFERROR(INDEX('تحليل التكلفة والسعر'!$C$2:$C$700,MATCH($C8155,'تحليل التكلفة والسعر'!$B$2:$B$700,0)),0))</f>
        <v/>
      </c>
    </row>
    <row r="8156" customFormat="false" ht="15" hidden="false" customHeight="false" outlineLevel="0" collapsed="false">
      <c r="A8156" s="103"/>
      <c r="B8156" s="104"/>
      <c r="C8156" s="104"/>
      <c r="E8156" s="107" t="str">
        <f aca="false">IF($C8156="","",IFERROR(INDEX(المنيو!$C$2:$C$500,MATCH($C8156,المنيو!$B$2:$B$500,0)),0))</f>
        <v/>
      </c>
      <c r="F8156" s="107" t="str">
        <f aca="false">IF($C8156="","",$D8156*$E8156)</f>
        <v/>
      </c>
      <c r="G8156" s="107" t="str">
        <f aca="false">IF($C8156="","",$D8156*IFERROR(INDEX('تحليل التكلفة والسعر'!$C$2:$C$700,MATCH($C8156,'تحليل التكلفة والسعر'!$B$2:$B$700,0)),0))</f>
        <v/>
      </c>
    </row>
    <row r="8157" customFormat="false" ht="15" hidden="false" customHeight="false" outlineLevel="0" collapsed="false">
      <c r="A8157" s="103"/>
      <c r="B8157" s="104"/>
      <c r="C8157" s="104"/>
      <c r="E8157" s="107" t="str">
        <f aca="false">IF($C8157="","",IFERROR(INDEX(المنيو!$C$2:$C$500,MATCH($C8157,المنيو!$B$2:$B$500,0)),0))</f>
        <v/>
      </c>
      <c r="F8157" s="107" t="str">
        <f aca="false">IF($C8157="","",$D8157*$E8157)</f>
        <v/>
      </c>
      <c r="G8157" s="107" t="str">
        <f aca="false">IF($C8157="","",$D8157*IFERROR(INDEX('تحليل التكلفة والسعر'!$C$2:$C$700,MATCH($C8157,'تحليل التكلفة والسعر'!$B$2:$B$700,0)),0))</f>
        <v/>
      </c>
    </row>
    <row r="8158" customFormat="false" ht="15" hidden="false" customHeight="false" outlineLevel="0" collapsed="false">
      <c r="A8158" s="103"/>
      <c r="B8158" s="104"/>
      <c r="C8158" s="104"/>
      <c r="E8158" s="107" t="str">
        <f aca="false">IF($C8158="","",IFERROR(INDEX(المنيو!$C$2:$C$500,MATCH($C8158,المنيو!$B$2:$B$500,0)),0))</f>
        <v/>
      </c>
      <c r="F8158" s="107" t="str">
        <f aca="false">IF($C8158="","",$D8158*$E8158)</f>
        <v/>
      </c>
      <c r="G8158" s="107" t="str">
        <f aca="false">IF($C8158="","",$D8158*IFERROR(INDEX('تحليل التكلفة والسعر'!$C$2:$C$700,MATCH($C8158,'تحليل التكلفة والسعر'!$B$2:$B$700,0)),0))</f>
        <v/>
      </c>
    </row>
    <row r="8159" customFormat="false" ht="15" hidden="false" customHeight="false" outlineLevel="0" collapsed="false">
      <c r="A8159" s="103"/>
      <c r="B8159" s="104"/>
      <c r="C8159" s="104"/>
      <c r="E8159" s="107" t="str">
        <f aca="false">IF($C8159="","",IFERROR(INDEX(المنيو!$C$2:$C$500,MATCH($C8159,المنيو!$B$2:$B$500,0)),0))</f>
        <v/>
      </c>
      <c r="F8159" s="107" t="str">
        <f aca="false">IF($C8159="","",$D8159*$E8159)</f>
        <v/>
      </c>
      <c r="G8159" s="107" t="str">
        <f aca="false">IF($C8159="","",$D8159*IFERROR(INDEX('تحليل التكلفة والسعر'!$C$2:$C$700,MATCH($C8159,'تحليل التكلفة والسعر'!$B$2:$B$700,0)),0))</f>
        <v/>
      </c>
    </row>
    <row r="8160" customFormat="false" ht="15" hidden="false" customHeight="false" outlineLevel="0" collapsed="false">
      <c r="A8160" s="103"/>
      <c r="B8160" s="104"/>
      <c r="C8160" s="104"/>
      <c r="E8160" s="107" t="str">
        <f aca="false">IF($C8160="","",IFERROR(INDEX(المنيو!$C$2:$C$500,MATCH($C8160,المنيو!$B$2:$B$500,0)),0))</f>
        <v/>
      </c>
      <c r="F8160" s="107" t="str">
        <f aca="false">IF($C8160="","",$D8160*$E8160)</f>
        <v/>
      </c>
      <c r="G8160" s="107" t="str">
        <f aca="false">IF($C8160="","",$D8160*IFERROR(INDEX('تحليل التكلفة والسعر'!$C$2:$C$700,MATCH($C8160,'تحليل التكلفة والسعر'!$B$2:$B$700,0)),0))</f>
        <v/>
      </c>
    </row>
    <row r="8161" customFormat="false" ht="15" hidden="false" customHeight="false" outlineLevel="0" collapsed="false">
      <c r="A8161" s="103"/>
      <c r="B8161" s="104"/>
      <c r="C8161" s="104"/>
      <c r="E8161" s="107" t="str">
        <f aca="false">IF($C8161="","",IFERROR(INDEX(المنيو!$C$2:$C$500,MATCH($C8161,المنيو!$B$2:$B$500,0)),0))</f>
        <v/>
      </c>
      <c r="F8161" s="107" t="str">
        <f aca="false">IF($C8161="","",$D8161*$E8161)</f>
        <v/>
      </c>
      <c r="G8161" s="107" t="str">
        <f aca="false">IF($C8161="","",$D8161*IFERROR(INDEX('تحليل التكلفة والسعر'!$C$2:$C$700,MATCH($C8161,'تحليل التكلفة والسعر'!$B$2:$B$700,0)),0))</f>
        <v/>
      </c>
    </row>
    <row r="8162" customFormat="false" ht="15" hidden="false" customHeight="false" outlineLevel="0" collapsed="false">
      <c r="A8162" s="103"/>
      <c r="B8162" s="104"/>
      <c r="C8162" s="104"/>
      <c r="E8162" s="107" t="str">
        <f aca="false">IF($C8162="","",IFERROR(INDEX(المنيو!$C$2:$C$500,MATCH($C8162,المنيو!$B$2:$B$500,0)),0))</f>
        <v/>
      </c>
      <c r="F8162" s="107" t="str">
        <f aca="false">IF($C8162="","",$D8162*$E8162)</f>
        <v/>
      </c>
      <c r="G8162" s="107" t="str">
        <f aca="false">IF($C8162="","",$D8162*IFERROR(INDEX('تحليل التكلفة والسعر'!$C$2:$C$700,MATCH($C8162,'تحليل التكلفة والسعر'!$B$2:$B$700,0)),0))</f>
        <v/>
      </c>
    </row>
    <row r="8163" customFormat="false" ht="15" hidden="false" customHeight="false" outlineLevel="0" collapsed="false">
      <c r="A8163" s="103"/>
      <c r="B8163" s="104"/>
      <c r="C8163" s="104"/>
      <c r="E8163" s="107" t="str">
        <f aca="false">IF($C8163="","",IFERROR(INDEX(المنيو!$C$2:$C$500,MATCH($C8163,المنيو!$B$2:$B$500,0)),0))</f>
        <v/>
      </c>
      <c r="F8163" s="107" t="str">
        <f aca="false">IF($C8163="","",$D8163*$E8163)</f>
        <v/>
      </c>
      <c r="G8163" s="107" t="str">
        <f aca="false">IF($C8163="","",$D8163*IFERROR(INDEX('تحليل التكلفة والسعر'!$C$2:$C$700,MATCH($C8163,'تحليل التكلفة والسعر'!$B$2:$B$700,0)),0))</f>
        <v/>
      </c>
    </row>
    <row r="8164" customFormat="false" ht="15" hidden="false" customHeight="false" outlineLevel="0" collapsed="false">
      <c r="A8164" s="103"/>
      <c r="B8164" s="104"/>
      <c r="C8164" s="104"/>
      <c r="E8164" s="107" t="str">
        <f aca="false">IF($C8164="","",IFERROR(INDEX(المنيو!$C$2:$C$500,MATCH($C8164,المنيو!$B$2:$B$500,0)),0))</f>
        <v/>
      </c>
      <c r="F8164" s="107" t="str">
        <f aca="false">IF($C8164="","",$D8164*$E8164)</f>
        <v/>
      </c>
      <c r="G8164" s="107" t="str">
        <f aca="false">IF($C8164="","",$D8164*IFERROR(INDEX('تحليل التكلفة والسعر'!$C$2:$C$700,MATCH($C8164,'تحليل التكلفة والسعر'!$B$2:$B$700,0)),0))</f>
        <v/>
      </c>
    </row>
    <row r="8165" customFormat="false" ht="15" hidden="false" customHeight="false" outlineLevel="0" collapsed="false">
      <c r="A8165" s="103"/>
      <c r="B8165" s="104"/>
      <c r="C8165" s="104"/>
      <c r="E8165" s="107" t="str">
        <f aca="false">IF($C8165="","",IFERROR(INDEX(المنيو!$C$2:$C$500,MATCH($C8165,المنيو!$B$2:$B$500,0)),0))</f>
        <v/>
      </c>
      <c r="F8165" s="107" t="str">
        <f aca="false">IF($C8165="","",$D8165*$E8165)</f>
        <v/>
      </c>
      <c r="G8165" s="107" t="str">
        <f aca="false">IF($C8165="","",$D8165*IFERROR(INDEX('تحليل التكلفة والسعر'!$C$2:$C$700,MATCH($C8165,'تحليل التكلفة والسعر'!$B$2:$B$700,0)),0))</f>
        <v/>
      </c>
    </row>
    <row r="8166" customFormat="false" ht="15" hidden="false" customHeight="false" outlineLevel="0" collapsed="false">
      <c r="A8166" s="103"/>
      <c r="B8166" s="104"/>
      <c r="C8166" s="104"/>
      <c r="E8166" s="107" t="str">
        <f aca="false">IF($C8166="","",IFERROR(INDEX(المنيو!$C$2:$C$500,MATCH($C8166,المنيو!$B$2:$B$500,0)),0))</f>
        <v/>
      </c>
      <c r="F8166" s="107" t="str">
        <f aca="false">IF($C8166="","",$D8166*$E8166)</f>
        <v/>
      </c>
      <c r="G8166" s="107" t="str">
        <f aca="false">IF($C8166="","",$D8166*IFERROR(INDEX('تحليل التكلفة والسعر'!$C$2:$C$700,MATCH($C8166,'تحليل التكلفة والسعر'!$B$2:$B$700,0)),0))</f>
        <v/>
      </c>
    </row>
    <row r="8167" customFormat="false" ht="15" hidden="false" customHeight="false" outlineLevel="0" collapsed="false">
      <c r="A8167" s="103"/>
      <c r="B8167" s="104"/>
      <c r="C8167" s="104"/>
      <c r="E8167" s="107" t="str">
        <f aca="false">IF($C8167="","",IFERROR(INDEX(المنيو!$C$2:$C$500,MATCH($C8167,المنيو!$B$2:$B$500,0)),0))</f>
        <v/>
      </c>
      <c r="F8167" s="107" t="str">
        <f aca="false">IF($C8167="","",$D8167*$E8167)</f>
        <v/>
      </c>
      <c r="G8167" s="107" t="str">
        <f aca="false">IF($C8167="","",$D8167*IFERROR(INDEX('تحليل التكلفة والسعر'!$C$2:$C$700,MATCH($C8167,'تحليل التكلفة والسعر'!$B$2:$B$700,0)),0))</f>
        <v/>
      </c>
    </row>
    <row r="8168" customFormat="false" ht="15" hidden="false" customHeight="false" outlineLevel="0" collapsed="false">
      <c r="A8168" s="103"/>
      <c r="B8168" s="104"/>
      <c r="C8168" s="104"/>
      <c r="E8168" s="107" t="str">
        <f aca="false">IF($C8168="","",IFERROR(INDEX(المنيو!$C$2:$C$500,MATCH($C8168,المنيو!$B$2:$B$500,0)),0))</f>
        <v/>
      </c>
      <c r="F8168" s="107" t="str">
        <f aca="false">IF($C8168="","",$D8168*$E8168)</f>
        <v/>
      </c>
      <c r="G8168" s="107" t="str">
        <f aca="false">IF($C8168="","",$D8168*IFERROR(INDEX('تحليل التكلفة والسعر'!$C$2:$C$700,MATCH($C8168,'تحليل التكلفة والسعر'!$B$2:$B$700,0)),0))</f>
        <v/>
      </c>
    </row>
    <row r="8169" customFormat="false" ht="15" hidden="false" customHeight="false" outlineLevel="0" collapsed="false">
      <c r="A8169" s="103"/>
      <c r="B8169" s="104"/>
      <c r="C8169" s="104"/>
      <c r="E8169" s="107" t="str">
        <f aca="false">IF($C8169="","",IFERROR(INDEX(المنيو!$C$2:$C$500,MATCH($C8169,المنيو!$B$2:$B$500,0)),0))</f>
        <v/>
      </c>
      <c r="F8169" s="107" t="str">
        <f aca="false">IF($C8169="","",$D8169*$E8169)</f>
        <v/>
      </c>
      <c r="G8169" s="107" t="str">
        <f aca="false">IF($C8169="","",$D8169*IFERROR(INDEX('تحليل التكلفة والسعر'!$C$2:$C$700,MATCH($C8169,'تحليل التكلفة والسعر'!$B$2:$B$700,0)),0))</f>
        <v/>
      </c>
    </row>
    <row r="8170" customFormat="false" ht="15" hidden="false" customHeight="false" outlineLevel="0" collapsed="false">
      <c r="A8170" s="103"/>
      <c r="B8170" s="104"/>
      <c r="C8170" s="104"/>
      <c r="E8170" s="107" t="str">
        <f aca="false">IF($C8170="","",IFERROR(INDEX(المنيو!$C$2:$C$500,MATCH($C8170,المنيو!$B$2:$B$500,0)),0))</f>
        <v/>
      </c>
      <c r="F8170" s="107" t="str">
        <f aca="false">IF($C8170="","",$D8170*$E8170)</f>
        <v/>
      </c>
      <c r="G8170" s="107" t="str">
        <f aca="false">IF($C8170="","",$D8170*IFERROR(INDEX('تحليل التكلفة والسعر'!$C$2:$C$700,MATCH($C8170,'تحليل التكلفة والسعر'!$B$2:$B$700,0)),0))</f>
        <v/>
      </c>
    </row>
    <row r="8171" customFormat="false" ht="15" hidden="false" customHeight="false" outlineLevel="0" collapsed="false">
      <c r="A8171" s="103"/>
      <c r="B8171" s="104"/>
      <c r="C8171" s="104"/>
      <c r="E8171" s="107" t="str">
        <f aca="false">IF($C8171="","",IFERROR(INDEX(المنيو!$C$2:$C$500,MATCH($C8171,المنيو!$B$2:$B$500,0)),0))</f>
        <v/>
      </c>
      <c r="F8171" s="107" t="str">
        <f aca="false">IF($C8171="","",$D8171*$E8171)</f>
        <v/>
      </c>
      <c r="G8171" s="107" t="str">
        <f aca="false">IF($C8171="","",$D8171*IFERROR(INDEX('تحليل التكلفة والسعر'!$C$2:$C$700,MATCH($C8171,'تحليل التكلفة والسعر'!$B$2:$B$700,0)),0))</f>
        <v/>
      </c>
    </row>
    <row r="8172" customFormat="false" ht="15" hidden="false" customHeight="false" outlineLevel="0" collapsed="false">
      <c r="A8172" s="103"/>
      <c r="B8172" s="104"/>
      <c r="C8172" s="104"/>
      <c r="E8172" s="107" t="str">
        <f aca="false">IF($C8172="","",IFERROR(INDEX(المنيو!$C$2:$C$500,MATCH($C8172,المنيو!$B$2:$B$500,0)),0))</f>
        <v/>
      </c>
      <c r="F8172" s="107" t="str">
        <f aca="false">IF($C8172="","",$D8172*$E8172)</f>
        <v/>
      </c>
      <c r="G8172" s="107" t="str">
        <f aca="false">IF($C8172="","",$D8172*IFERROR(INDEX('تحليل التكلفة والسعر'!$C$2:$C$700,MATCH($C8172,'تحليل التكلفة والسعر'!$B$2:$B$700,0)),0))</f>
        <v/>
      </c>
    </row>
    <row r="8173" customFormat="false" ht="15" hidden="false" customHeight="false" outlineLevel="0" collapsed="false">
      <c r="A8173" s="103"/>
      <c r="B8173" s="104"/>
      <c r="C8173" s="104"/>
      <c r="E8173" s="107" t="str">
        <f aca="false">IF($C8173="","",IFERROR(INDEX(المنيو!$C$2:$C$500,MATCH($C8173,المنيو!$B$2:$B$500,0)),0))</f>
        <v/>
      </c>
      <c r="F8173" s="107" t="str">
        <f aca="false">IF($C8173="","",$D8173*$E8173)</f>
        <v/>
      </c>
      <c r="G8173" s="107" t="str">
        <f aca="false">IF($C8173="","",$D8173*IFERROR(INDEX('تحليل التكلفة والسعر'!$C$2:$C$700,MATCH($C8173,'تحليل التكلفة والسعر'!$B$2:$B$700,0)),0))</f>
        <v/>
      </c>
    </row>
    <row r="8174" customFormat="false" ht="15" hidden="false" customHeight="false" outlineLevel="0" collapsed="false">
      <c r="A8174" s="103"/>
      <c r="B8174" s="104"/>
      <c r="C8174" s="104"/>
      <c r="E8174" s="107" t="str">
        <f aca="false">IF($C8174="","",IFERROR(INDEX(المنيو!$C$2:$C$500,MATCH($C8174,المنيو!$B$2:$B$500,0)),0))</f>
        <v/>
      </c>
      <c r="F8174" s="107" t="str">
        <f aca="false">IF($C8174="","",$D8174*$E8174)</f>
        <v/>
      </c>
      <c r="G8174" s="107" t="str">
        <f aca="false">IF($C8174="","",$D8174*IFERROR(INDEX('تحليل التكلفة والسعر'!$C$2:$C$700,MATCH($C8174,'تحليل التكلفة والسعر'!$B$2:$B$700,0)),0))</f>
        <v/>
      </c>
    </row>
    <row r="8175" customFormat="false" ht="15" hidden="false" customHeight="false" outlineLevel="0" collapsed="false">
      <c r="A8175" s="103"/>
      <c r="B8175" s="104"/>
      <c r="C8175" s="104"/>
      <c r="E8175" s="107" t="str">
        <f aca="false">IF($C8175="","",IFERROR(INDEX(المنيو!$C$2:$C$500,MATCH($C8175,المنيو!$B$2:$B$500,0)),0))</f>
        <v/>
      </c>
      <c r="F8175" s="107" t="str">
        <f aca="false">IF($C8175="","",$D8175*$E8175)</f>
        <v/>
      </c>
      <c r="G8175" s="107" t="str">
        <f aca="false">IF($C8175="","",$D8175*IFERROR(INDEX('تحليل التكلفة والسعر'!$C$2:$C$700,MATCH($C8175,'تحليل التكلفة والسعر'!$B$2:$B$700,0)),0))</f>
        <v/>
      </c>
    </row>
    <row r="8176" customFormat="false" ht="15" hidden="false" customHeight="false" outlineLevel="0" collapsed="false">
      <c r="A8176" s="103"/>
      <c r="B8176" s="104"/>
      <c r="C8176" s="104"/>
      <c r="E8176" s="107" t="str">
        <f aca="false">IF($C8176="","",IFERROR(INDEX(المنيو!$C$2:$C$500,MATCH($C8176,المنيو!$B$2:$B$500,0)),0))</f>
        <v/>
      </c>
      <c r="F8176" s="107" t="str">
        <f aca="false">IF($C8176="","",$D8176*$E8176)</f>
        <v/>
      </c>
      <c r="G8176" s="107" t="str">
        <f aca="false">IF($C8176="","",$D8176*IFERROR(INDEX('تحليل التكلفة والسعر'!$C$2:$C$700,MATCH($C8176,'تحليل التكلفة والسعر'!$B$2:$B$700,0)),0))</f>
        <v/>
      </c>
    </row>
    <row r="8177" customFormat="false" ht="15" hidden="false" customHeight="false" outlineLevel="0" collapsed="false">
      <c r="A8177" s="103"/>
      <c r="B8177" s="104"/>
      <c r="C8177" s="104"/>
      <c r="E8177" s="107" t="str">
        <f aca="false">IF($C8177="","",IFERROR(INDEX(المنيو!$C$2:$C$500,MATCH($C8177,المنيو!$B$2:$B$500,0)),0))</f>
        <v/>
      </c>
      <c r="F8177" s="107" t="str">
        <f aca="false">IF($C8177="","",$D8177*$E8177)</f>
        <v/>
      </c>
      <c r="G8177" s="107" t="str">
        <f aca="false">IF($C8177="","",$D8177*IFERROR(INDEX('تحليل التكلفة والسعر'!$C$2:$C$700,MATCH($C8177,'تحليل التكلفة والسعر'!$B$2:$B$700,0)),0))</f>
        <v/>
      </c>
    </row>
    <row r="8178" customFormat="false" ht="15" hidden="false" customHeight="false" outlineLevel="0" collapsed="false">
      <c r="A8178" s="103"/>
      <c r="B8178" s="104"/>
      <c r="C8178" s="104"/>
      <c r="E8178" s="107" t="str">
        <f aca="false">IF($C8178="","",IFERROR(INDEX(المنيو!$C$2:$C$500,MATCH($C8178,المنيو!$B$2:$B$500,0)),0))</f>
        <v/>
      </c>
      <c r="F8178" s="107" t="str">
        <f aca="false">IF($C8178="","",$D8178*$E8178)</f>
        <v/>
      </c>
      <c r="G8178" s="107" t="str">
        <f aca="false">IF($C8178="","",$D8178*IFERROR(INDEX('تحليل التكلفة والسعر'!$C$2:$C$700,MATCH($C8178,'تحليل التكلفة والسعر'!$B$2:$B$700,0)),0))</f>
        <v/>
      </c>
    </row>
    <row r="8179" customFormat="false" ht="15" hidden="false" customHeight="false" outlineLevel="0" collapsed="false">
      <c r="A8179" s="103"/>
      <c r="B8179" s="104"/>
      <c r="C8179" s="104"/>
      <c r="E8179" s="107" t="str">
        <f aca="false">IF($C8179="","",IFERROR(INDEX(المنيو!$C$2:$C$500,MATCH($C8179,المنيو!$B$2:$B$500,0)),0))</f>
        <v/>
      </c>
      <c r="F8179" s="107" t="str">
        <f aca="false">IF($C8179="","",$D8179*$E8179)</f>
        <v/>
      </c>
      <c r="G8179" s="107" t="str">
        <f aca="false">IF($C8179="","",$D8179*IFERROR(INDEX('تحليل التكلفة والسعر'!$C$2:$C$700,MATCH($C8179,'تحليل التكلفة والسعر'!$B$2:$B$700,0)),0))</f>
        <v/>
      </c>
    </row>
    <row r="8180" customFormat="false" ht="15" hidden="false" customHeight="false" outlineLevel="0" collapsed="false">
      <c r="A8180" s="103"/>
      <c r="B8180" s="104"/>
      <c r="C8180" s="104"/>
      <c r="E8180" s="107" t="str">
        <f aca="false">IF($C8180="","",IFERROR(INDEX(المنيو!$C$2:$C$500,MATCH($C8180,المنيو!$B$2:$B$500,0)),0))</f>
        <v/>
      </c>
      <c r="F8180" s="107" t="str">
        <f aca="false">IF($C8180="","",$D8180*$E8180)</f>
        <v/>
      </c>
      <c r="G8180" s="107" t="str">
        <f aca="false">IF($C8180="","",$D8180*IFERROR(INDEX('تحليل التكلفة والسعر'!$C$2:$C$700,MATCH($C8180,'تحليل التكلفة والسعر'!$B$2:$B$700,0)),0))</f>
        <v/>
      </c>
    </row>
    <row r="8181" customFormat="false" ht="15" hidden="false" customHeight="false" outlineLevel="0" collapsed="false">
      <c r="A8181" s="103"/>
      <c r="B8181" s="104"/>
      <c r="C8181" s="104"/>
      <c r="E8181" s="107" t="str">
        <f aca="false">IF($C8181="","",IFERROR(INDEX(المنيو!$C$2:$C$500,MATCH($C8181,المنيو!$B$2:$B$500,0)),0))</f>
        <v/>
      </c>
      <c r="F8181" s="107" t="str">
        <f aca="false">IF($C8181="","",$D8181*$E8181)</f>
        <v/>
      </c>
      <c r="G8181" s="107" t="str">
        <f aca="false">IF($C8181="","",$D8181*IFERROR(INDEX('تحليل التكلفة والسعر'!$C$2:$C$700,MATCH($C8181,'تحليل التكلفة والسعر'!$B$2:$B$700,0)),0))</f>
        <v/>
      </c>
    </row>
    <row r="8182" customFormat="false" ht="15" hidden="false" customHeight="false" outlineLevel="0" collapsed="false">
      <c r="A8182" s="103"/>
      <c r="B8182" s="104"/>
      <c r="C8182" s="104"/>
      <c r="E8182" s="107" t="str">
        <f aca="false">IF($C8182="","",IFERROR(INDEX(المنيو!$C$2:$C$500,MATCH($C8182,المنيو!$B$2:$B$500,0)),0))</f>
        <v/>
      </c>
      <c r="F8182" s="107" t="str">
        <f aca="false">IF($C8182="","",$D8182*$E8182)</f>
        <v/>
      </c>
      <c r="G8182" s="107" t="str">
        <f aca="false">IF($C8182="","",$D8182*IFERROR(INDEX('تحليل التكلفة والسعر'!$C$2:$C$700,MATCH($C8182,'تحليل التكلفة والسعر'!$B$2:$B$700,0)),0))</f>
        <v/>
      </c>
    </row>
    <row r="8183" customFormat="false" ht="15" hidden="false" customHeight="false" outlineLevel="0" collapsed="false">
      <c r="A8183" s="103"/>
      <c r="B8183" s="104"/>
      <c r="C8183" s="104"/>
      <c r="E8183" s="107" t="str">
        <f aca="false">IF($C8183="","",IFERROR(INDEX(المنيو!$C$2:$C$500,MATCH($C8183,المنيو!$B$2:$B$500,0)),0))</f>
        <v/>
      </c>
      <c r="F8183" s="107" t="str">
        <f aca="false">IF($C8183="","",$D8183*$E8183)</f>
        <v/>
      </c>
      <c r="G8183" s="107" t="str">
        <f aca="false">IF($C8183="","",$D8183*IFERROR(INDEX('تحليل التكلفة والسعر'!$C$2:$C$700,MATCH($C8183,'تحليل التكلفة والسعر'!$B$2:$B$700,0)),0))</f>
        <v/>
      </c>
    </row>
    <row r="8184" customFormat="false" ht="15" hidden="false" customHeight="false" outlineLevel="0" collapsed="false">
      <c r="A8184" s="103"/>
      <c r="B8184" s="104"/>
      <c r="C8184" s="104"/>
      <c r="E8184" s="107" t="str">
        <f aca="false">IF($C8184="","",IFERROR(INDEX(المنيو!$C$2:$C$500,MATCH($C8184,المنيو!$B$2:$B$500,0)),0))</f>
        <v/>
      </c>
      <c r="F8184" s="107" t="str">
        <f aca="false">IF($C8184="","",$D8184*$E8184)</f>
        <v/>
      </c>
      <c r="G8184" s="107" t="str">
        <f aca="false">IF($C8184="","",$D8184*IFERROR(INDEX('تحليل التكلفة والسعر'!$C$2:$C$700,MATCH($C8184,'تحليل التكلفة والسعر'!$B$2:$B$700,0)),0))</f>
        <v/>
      </c>
    </row>
    <row r="8185" customFormat="false" ht="15" hidden="false" customHeight="false" outlineLevel="0" collapsed="false">
      <c r="A8185" s="103"/>
      <c r="B8185" s="104"/>
      <c r="C8185" s="104"/>
      <c r="E8185" s="107" t="str">
        <f aca="false">IF($C8185="","",IFERROR(INDEX(المنيو!$C$2:$C$500,MATCH($C8185,المنيو!$B$2:$B$500,0)),0))</f>
        <v/>
      </c>
      <c r="F8185" s="107" t="str">
        <f aca="false">IF($C8185="","",$D8185*$E8185)</f>
        <v/>
      </c>
      <c r="G8185" s="107" t="str">
        <f aca="false">IF($C8185="","",$D8185*IFERROR(INDEX('تحليل التكلفة والسعر'!$C$2:$C$700,MATCH($C8185,'تحليل التكلفة والسعر'!$B$2:$B$700,0)),0))</f>
        <v/>
      </c>
    </row>
    <row r="8186" customFormat="false" ht="15" hidden="false" customHeight="false" outlineLevel="0" collapsed="false">
      <c r="A8186" s="103"/>
      <c r="B8186" s="104"/>
      <c r="C8186" s="104"/>
      <c r="E8186" s="107" t="str">
        <f aca="false">IF($C8186="","",IFERROR(INDEX(المنيو!$C$2:$C$500,MATCH($C8186,المنيو!$B$2:$B$500,0)),0))</f>
        <v/>
      </c>
      <c r="F8186" s="107" t="str">
        <f aca="false">IF($C8186="","",$D8186*$E8186)</f>
        <v/>
      </c>
      <c r="G8186" s="107" t="str">
        <f aca="false">IF($C8186="","",$D8186*IFERROR(INDEX('تحليل التكلفة والسعر'!$C$2:$C$700,MATCH($C8186,'تحليل التكلفة والسعر'!$B$2:$B$700,0)),0))</f>
        <v/>
      </c>
    </row>
    <row r="8187" customFormat="false" ht="15" hidden="false" customHeight="false" outlineLevel="0" collapsed="false">
      <c r="A8187" s="103"/>
      <c r="B8187" s="104"/>
      <c r="C8187" s="104"/>
      <c r="E8187" s="107" t="str">
        <f aca="false">IF($C8187="","",IFERROR(INDEX(المنيو!$C$2:$C$500,MATCH($C8187,المنيو!$B$2:$B$500,0)),0))</f>
        <v/>
      </c>
      <c r="F8187" s="107" t="str">
        <f aca="false">IF($C8187="","",$D8187*$E8187)</f>
        <v/>
      </c>
      <c r="G8187" s="107" t="str">
        <f aca="false">IF($C8187="","",$D8187*IFERROR(INDEX('تحليل التكلفة والسعر'!$C$2:$C$700,MATCH($C8187,'تحليل التكلفة والسعر'!$B$2:$B$700,0)),0))</f>
        <v/>
      </c>
    </row>
    <row r="8188" customFormat="false" ht="15" hidden="false" customHeight="false" outlineLevel="0" collapsed="false">
      <c r="A8188" s="103"/>
      <c r="B8188" s="104"/>
      <c r="C8188" s="104"/>
      <c r="E8188" s="107" t="str">
        <f aca="false">IF($C8188="","",IFERROR(INDEX(المنيو!$C$2:$C$500,MATCH($C8188,المنيو!$B$2:$B$500,0)),0))</f>
        <v/>
      </c>
      <c r="F8188" s="107" t="str">
        <f aca="false">IF($C8188="","",$D8188*$E8188)</f>
        <v/>
      </c>
      <c r="G8188" s="107" t="str">
        <f aca="false">IF($C8188="","",$D8188*IFERROR(INDEX('تحليل التكلفة والسعر'!$C$2:$C$700,MATCH($C8188,'تحليل التكلفة والسعر'!$B$2:$B$700,0)),0))</f>
        <v/>
      </c>
    </row>
    <row r="8189" customFormat="false" ht="15" hidden="false" customHeight="false" outlineLevel="0" collapsed="false">
      <c r="A8189" s="103"/>
      <c r="B8189" s="104"/>
      <c r="C8189" s="104"/>
      <c r="E8189" s="107" t="str">
        <f aca="false">IF($C8189="","",IFERROR(INDEX(المنيو!$C$2:$C$500,MATCH($C8189,المنيو!$B$2:$B$500,0)),0))</f>
        <v/>
      </c>
      <c r="F8189" s="107" t="str">
        <f aca="false">IF($C8189="","",$D8189*$E8189)</f>
        <v/>
      </c>
      <c r="G8189" s="107" t="str">
        <f aca="false">IF($C8189="","",$D8189*IFERROR(INDEX('تحليل التكلفة والسعر'!$C$2:$C$700,MATCH($C8189,'تحليل التكلفة والسعر'!$B$2:$B$700,0)),0))</f>
        <v/>
      </c>
    </row>
    <row r="8190" customFormat="false" ht="15" hidden="false" customHeight="false" outlineLevel="0" collapsed="false">
      <c r="A8190" s="103"/>
      <c r="B8190" s="104"/>
      <c r="C8190" s="104"/>
      <c r="E8190" s="107" t="str">
        <f aca="false">IF($C8190="","",IFERROR(INDEX(المنيو!$C$2:$C$500,MATCH($C8190,المنيو!$B$2:$B$500,0)),0))</f>
        <v/>
      </c>
      <c r="F8190" s="107" t="str">
        <f aca="false">IF($C8190="","",$D8190*$E8190)</f>
        <v/>
      </c>
      <c r="G8190" s="107" t="str">
        <f aca="false">IF($C8190="","",$D8190*IFERROR(INDEX('تحليل التكلفة والسعر'!$C$2:$C$700,MATCH($C8190,'تحليل التكلفة والسعر'!$B$2:$B$700,0)),0))</f>
        <v/>
      </c>
    </row>
    <row r="8191" customFormat="false" ht="15" hidden="false" customHeight="false" outlineLevel="0" collapsed="false">
      <c r="A8191" s="103"/>
      <c r="B8191" s="104"/>
      <c r="C8191" s="104"/>
      <c r="E8191" s="107" t="str">
        <f aca="false">IF($C8191="","",IFERROR(INDEX(المنيو!$C$2:$C$500,MATCH($C8191,المنيو!$B$2:$B$500,0)),0))</f>
        <v/>
      </c>
      <c r="F8191" s="107" t="str">
        <f aca="false">IF($C8191="","",$D8191*$E8191)</f>
        <v/>
      </c>
      <c r="G8191" s="107" t="str">
        <f aca="false">IF($C8191="","",$D8191*IFERROR(INDEX('تحليل التكلفة والسعر'!$C$2:$C$700,MATCH($C8191,'تحليل التكلفة والسعر'!$B$2:$B$700,0)),0))</f>
        <v/>
      </c>
    </row>
    <row r="8192" customFormat="false" ht="15" hidden="false" customHeight="false" outlineLevel="0" collapsed="false">
      <c r="A8192" s="103"/>
      <c r="B8192" s="104"/>
      <c r="C8192" s="104"/>
      <c r="E8192" s="107" t="str">
        <f aca="false">IF($C8192="","",IFERROR(INDEX(المنيو!$C$2:$C$500,MATCH($C8192,المنيو!$B$2:$B$500,0)),0))</f>
        <v/>
      </c>
      <c r="F8192" s="107" t="str">
        <f aca="false">IF($C8192="","",$D8192*$E8192)</f>
        <v/>
      </c>
      <c r="G8192" s="107" t="str">
        <f aca="false">IF($C8192="","",$D8192*IFERROR(INDEX('تحليل التكلفة والسعر'!$C$2:$C$700,MATCH($C8192,'تحليل التكلفة والسعر'!$B$2:$B$700,0)),0))</f>
        <v/>
      </c>
    </row>
    <row r="8193" customFormat="false" ht="15" hidden="false" customHeight="false" outlineLevel="0" collapsed="false">
      <c r="A8193" s="103"/>
      <c r="B8193" s="104"/>
      <c r="C8193" s="104"/>
      <c r="E8193" s="107" t="str">
        <f aca="false">IF($C8193="","",IFERROR(INDEX(المنيو!$C$2:$C$500,MATCH($C8193,المنيو!$B$2:$B$500,0)),0))</f>
        <v/>
      </c>
      <c r="F8193" s="107" t="str">
        <f aca="false">IF($C8193="","",$D8193*$E8193)</f>
        <v/>
      </c>
      <c r="G8193" s="107" t="str">
        <f aca="false">IF($C8193="","",$D8193*IFERROR(INDEX('تحليل التكلفة والسعر'!$C$2:$C$700,MATCH($C8193,'تحليل التكلفة والسعر'!$B$2:$B$700,0)),0))</f>
        <v/>
      </c>
    </row>
    <row r="8194" customFormat="false" ht="15" hidden="false" customHeight="false" outlineLevel="0" collapsed="false">
      <c r="A8194" s="103"/>
      <c r="B8194" s="104"/>
      <c r="C8194" s="104"/>
      <c r="E8194" s="107" t="str">
        <f aca="false">IF($C8194="","",IFERROR(INDEX(المنيو!$C$2:$C$500,MATCH($C8194,المنيو!$B$2:$B$500,0)),0))</f>
        <v/>
      </c>
      <c r="F8194" s="107" t="str">
        <f aca="false">IF($C8194="","",$D8194*$E8194)</f>
        <v/>
      </c>
      <c r="G8194" s="107" t="str">
        <f aca="false">IF($C8194="","",$D8194*IFERROR(INDEX('تحليل التكلفة والسعر'!$C$2:$C$700,MATCH($C8194,'تحليل التكلفة والسعر'!$B$2:$B$700,0)),0))</f>
        <v/>
      </c>
    </row>
    <row r="8195" customFormat="false" ht="15" hidden="false" customHeight="false" outlineLevel="0" collapsed="false">
      <c r="A8195" s="103"/>
      <c r="B8195" s="104"/>
      <c r="C8195" s="104"/>
      <c r="E8195" s="107" t="str">
        <f aca="false">IF($C8195="","",IFERROR(INDEX(المنيو!$C$2:$C$500,MATCH($C8195,المنيو!$B$2:$B$500,0)),0))</f>
        <v/>
      </c>
      <c r="F8195" s="107" t="str">
        <f aca="false">IF($C8195="","",$D8195*$E8195)</f>
        <v/>
      </c>
      <c r="G8195" s="107" t="str">
        <f aca="false">IF($C8195="","",$D8195*IFERROR(INDEX('تحليل التكلفة والسعر'!$C$2:$C$700,MATCH($C8195,'تحليل التكلفة والسعر'!$B$2:$B$700,0)),0))</f>
        <v/>
      </c>
    </row>
    <row r="8196" customFormat="false" ht="15" hidden="false" customHeight="false" outlineLevel="0" collapsed="false">
      <c r="A8196" s="103"/>
      <c r="B8196" s="104"/>
      <c r="C8196" s="104"/>
      <c r="E8196" s="107" t="str">
        <f aca="false">IF($C8196="","",IFERROR(INDEX(المنيو!$C$2:$C$500,MATCH($C8196,المنيو!$B$2:$B$500,0)),0))</f>
        <v/>
      </c>
      <c r="F8196" s="107" t="str">
        <f aca="false">IF($C8196="","",$D8196*$E8196)</f>
        <v/>
      </c>
      <c r="G8196" s="107" t="str">
        <f aca="false">IF($C8196="","",$D8196*IFERROR(INDEX('تحليل التكلفة والسعر'!$C$2:$C$700,MATCH($C8196,'تحليل التكلفة والسعر'!$B$2:$B$700,0)),0))</f>
        <v/>
      </c>
    </row>
    <row r="8197" customFormat="false" ht="15" hidden="false" customHeight="false" outlineLevel="0" collapsed="false">
      <c r="A8197" s="103"/>
      <c r="B8197" s="104"/>
      <c r="C8197" s="104"/>
      <c r="E8197" s="107" t="str">
        <f aca="false">IF($C8197="","",IFERROR(INDEX(المنيو!$C$2:$C$500,MATCH($C8197,المنيو!$B$2:$B$500,0)),0))</f>
        <v/>
      </c>
      <c r="F8197" s="107" t="str">
        <f aca="false">IF($C8197="","",$D8197*$E8197)</f>
        <v/>
      </c>
      <c r="G8197" s="107" t="str">
        <f aca="false">IF($C8197="","",$D8197*IFERROR(INDEX('تحليل التكلفة والسعر'!$C$2:$C$700,MATCH($C8197,'تحليل التكلفة والسعر'!$B$2:$B$700,0)),0))</f>
        <v/>
      </c>
    </row>
    <row r="8198" customFormat="false" ht="15" hidden="false" customHeight="false" outlineLevel="0" collapsed="false">
      <c r="A8198" s="103"/>
      <c r="B8198" s="104"/>
      <c r="C8198" s="104"/>
      <c r="E8198" s="107" t="str">
        <f aca="false">IF($C8198="","",IFERROR(INDEX(المنيو!$C$2:$C$500,MATCH($C8198,المنيو!$B$2:$B$500,0)),0))</f>
        <v/>
      </c>
      <c r="F8198" s="107" t="str">
        <f aca="false">IF($C8198="","",$D8198*$E8198)</f>
        <v/>
      </c>
      <c r="G8198" s="107" t="str">
        <f aca="false">IF($C8198="","",$D8198*IFERROR(INDEX('تحليل التكلفة والسعر'!$C$2:$C$700,MATCH($C8198,'تحليل التكلفة والسعر'!$B$2:$B$700,0)),0))</f>
        <v/>
      </c>
    </row>
    <row r="8199" customFormat="false" ht="15" hidden="false" customHeight="false" outlineLevel="0" collapsed="false">
      <c r="A8199" s="103"/>
      <c r="B8199" s="104"/>
      <c r="C8199" s="104"/>
      <c r="E8199" s="107" t="str">
        <f aca="false">IF($C8199="","",IFERROR(INDEX(المنيو!$C$2:$C$500,MATCH($C8199,المنيو!$B$2:$B$500,0)),0))</f>
        <v/>
      </c>
      <c r="F8199" s="107" t="str">
        <f aca="false">IF($C8199="","",$D8199*$E8199)</f>
        <v/>
      </c>
      <c r="G8199" s="107" t="str">
        <f aca="false">IF($C8199="","",$D8199*IFERROR(INDEX('تحليل التكلفة والسعر'!$C$2:$C$700,MATCH($C8199,'تحليل التكلفة والسعر'!$B$2:$B$700,0)),0))</f>
        <v/>
      </c>
    </row>
    <row r="8200" customFormat="false" ht="15" hidden="false" customHeight="false" outlineLevel="0" collapsed="false">
      <c r="A8200" s="103"/>
      <c r="B8200" s="104"/>
      <c r="C8200" s="104"/>
      <c r="E8200" s="107" t="str">
        <f aca="false">IF($C8200="","",IFERROR(INDEX(المنيو!$C$2:$C$500,MATCH($C8200,المنيو!$B$2:$B$500,0)),0))</f>
        <v/>
      </c>
      <c r="F8200" s="107" t="str">
        <f aca="false">IF($C8200="","",$D8200*$E8200)</f>
        <v/>
      </c>
      <c r="G8200" s="107" t="str">
        <f aca="false">IF($C8200="","",$D8200*IFERROR(INDEX('تحليل التكلفة والسعر'!$C$2:$C$700,MATCH($C8200,'تحليل التكلفة والسعر'!$B$2:$B$700,0)),0))</f>
        <v/>
      </c>
    </row>
    <row r="8201" customFormat="false" ht="15" hidden="false" customHeight="false" outlineLevel="0" collapsed="false">
      <c r="A8201" s="103"/>
      <c r="B8201" s="104"/>
      <c r="C8201" s="104"/>
      <c r="E8201" s="107" t="str">
        <f aca="false">IF($C8201="","",IFERROR(INDEX(المنيو!$C$2:$C$500,MATCH($C8201,المنيو!$B$2:$B$500,0)),0))</f>
        <v/>
      </c>
      <c r="F8201" s="107" t="str">
        <f aca="false">IF($C8201="","",$D8201*$E8201)</f>
        <v/>
      </c>
      <c r="G8201" s="107" t="str">
        <f aca="false">IF($C8201="","",$D8201*IFERROR(INDEX('تحليل التكلفة والسعر'!$C$2:$C$700,MATCH($C8201,'تحليل التكلفة والسعر'!$B$2:$B$700,0)),0))</f>
        <v/>
      </c>
    </row>
    <row r="8202" customFormat="false" ht="15" hidden="false" customHeight="false" outlineLevel="0" collapsed="false">
      <c r="A8202" s="103"/>
      <c r="B8202" s="104"/>
      <c r="C8202" s="104"/>
      <c r="E8202" s="107" t="str">
        <f aca="false">IF($C8202="","",IFERROR(INDEX(المنيو!$C$2:$C$500,MATCH($C8202,المنيو!$B$2:$B$500,0)),0))</f>
        <v/>
      </c>
      <c r="F8202" s="107" t="str">
        <f aca="false">IF($C8202="","",$D8202*$E8202)</f>
        <v/>
      </c>
      <c r="G8202" s="107" t="str">
        <f aca="false">IF($C8202="","",$D8202*IFERROR(INDEX('تحليل التكلفة والسعر'!$C$2:$C$700,MATCH($C8202,'تحليل التكلفة والسعر'!$B$2:$B$700,0)),0))</f>
        <v/>
      </c>
    </row>
    <row r="8203" customFormat="false" ht="15" hidden="false" customHeight="false" outlineLevel="0" collapsed="false">
      <c r="A8203" s="103"/>
      <c r="B8203" s="104"/>
      <c r="C8203" s="104"/>
      <c r="E8203" s="107" t="str">
        <f aca="false">IF($C8203="","",IFERROR(INDEX(المنيو!$C$2:$C$500,MATCH($C8203,المنيو!$B$2:$B$500,0)),0))</f>
        <v/>
      </c>
      <c r="F8203" s="107" t="str">
        <f aca="false">IF($C8203="","",$D8203*$E8203)</f>
        <v/>
      </c>
      <c r="G8203" s="107" t="str">
        <f aca="false">IF($C8203="","",$D8203*IFERROR(INDEX('تحليل التكلفة والسعر'!$C$2:$C$700,MATCH($C8203,'تحليل التكلفة والسعر'!$B$2:$B$700,0)),0))</f>
        <v/>
      </c>
    </row>
    <row r="8204" customFormat="false" ht="15" hidden="false" customHeight="false" outlineLevel="0" collapsed="false">
      <c r="A8204" s="103"/>
      <c r="B8204" s="104"/>
      <c r="C8204" s="104"/>
      <c r="E8204" s="107" t="str">
        <f aca="false">IF($C8204="","",IFERROR(INDEX(المنيو!$C$2:$C$500,MATCH($C8204,المنيو!$B$2:$B$500,0)),0))</f>
        <v/>
      </c>
      <c r="F8204" s="107" t="str">
        <f aca="false">IF($C8204="","",$D8204*$E8204)</f>
        <v/>
      </c>
      <c r="G8204" s="107" t="str">
        <f aca="false">IF($C8204="","",$D8204*IFERROR(INDEX('تحليل التكلفة والسعر'!$C$2:$C$700,MATCH($C8204,'تحليل التكلفة والسعر'!$B$2:$B$700,0)),0))</f>
        <v/>
      </c>
    </row>
    <row r="8205" customFormat="false" ht="15" hidden="false" customHeight="false" outlineLevel="0" collapsed="false">
      <c r="A8205" s="103"/>
      <c r="B8205" s="104"/>
      <c r="C8205" s="104"/>
      <c r="E8205" s="107" t="str">
        <f aca="false">IF($C8205="","",IFERROR(INDEX(المنيو!$C$2:$C$500,MATCH($C8205,المنيو!$B$2:$B$500,0)),0))</f>
        <v/>
      </c>
      <c r="F8205" s="107" t="str">
        <f aca="false">IF($C8205="","",$D8205*$E8205)</f>
        <v/>
      </c>
      <c r="G8205" s="107" t="str">
        <f aca="false">IF($C8205="","",$D8205*IFERROR(INDEX('تحليل التكلفة والسعر'!$C$2:$C$700,MATCH($C8205,'تحليل التكلفة والسعر'!$B$2:$B$700,0)),0))</f>
        <v/>
      </c>
    </row>
    <row r="8206" customFormat="false" ht="15" hidden="false" customHeight="false" outlineLevel="0" collapsed="false">
      <c r="A8206" s="103"/>
      <c r="B8206" s="104"/>
      <c r="C8206" s="104"/>
      <c r="E8206" s="107" t="str">
        <f aca="false">IF($C8206="","",IFERROR(INDEX(المنيو!$C$2:$C$500,MATCH($C8206,المنيو!$B$2:$B$500,0)),0))</f>
        <v/>
      </c>
      <c r="F8206" s="107" t="str">
        <f aca="false">IF($C8206="","",$D8206*$E8206)</f>
        <v/>
      </c>
      <c r="G8206" s="107" t="str">
        <f aca="false">IF($C8206="","",$D8206*IFERROR(INDEX('تحليل التكلفة والسعر'!$C$2:$C$700,MATCH($C8206,'تحليل التكلفة والسعر'!$B$2:$B$700,0)),0))</f>
        <v/>
      </c>
    </row>
    <row r="8207" customFormat="false" ht="15" hidden="false" customHeight="false" outlineLevel="0" collapsed="false">
      <c r="A8207" s="103"/>
      <c r="B8207" s="104"/>
      <c r="C8207" s="104"/>
      <c r="E8207" s="107" t="str">
        <f aca="false">IF($C8207="","",IFERROR(INDEX(المنيو!$C$2:$C$500,MATCH($C8207,المنيو!$B$2:$B$500,0)),0))</f>
        <v/>
      </c>
      <c r="F8207" s="107" t="str">
        <f aca="false">IF($C8207="","",$D8207*$E8207)</f>
        <v/>
      </c>
      <c r="G8207" s="107" t="str">
        <f aca="false">IF($C8207="","",$D8207*IFERROR(INDEX('تحليل التكلفة والسعر'!$C$2:$C$700,MATCH($C8207,'تحليل التكلفة والسعر'!$B$2:$B$700,0)),0))</f>
        <v/>
      </c>
    </row>
    <row r="8208" customFormat="false" ht="15" hidden="false" customHeight="false" outlineLevel="0" collapsed="false">
      <c r="A8208" s="103"/>
      <c r="B8208" s="104"/>
      <c r="C8208" s="104"/>
      <c r="E8208" s="107" t="str">
        <f aca="false">IF($C8208="","",IFERROR(INDEX(المنيو!$C$2:$C$500,MATCH($C8208,المنيو!$B$2:$B$500,0)),0))</f>
        <v/>
      </c>
      <c r="F8208" s="107" t="str">
        <f aca="false">IF($C8208="","",$D8208*$E8208)</f>
        <v/>
      </c>
      <c r="G8208" s="107" t="str">
        <f aca="false">IF($C8208="","",$D8208*IFERROR(INDEX('تحليل التكلفة والسعر'!$C$2:$C$700,MATCH($C8208,'تحليل التكلفة والسعر'!$B$2:$B$700,0)),0))</f>
        <v/>
      </c>
    </row>
    <row r="8209" customFormat="false" ht="15" hidden="false" customHeight="false" outlineLevel="0" collapsed="false">
      <c r="A8209" s="103"/>
      <c r="B8209" s="104"/>
      <c r="C8209" s="104"/>
      <c r="E8209" s="107" t="str">
        <f aca="false">IF($C8209="","",IFERROR(INDEX(المنيو!$C$2:$C$500,MATCH($C8209,المنيو!$B$2:$B$500,0)),0))</f>
        <v/>
      </c>
      <c r="F8209" s="107" t="str">
        <f aca="false">IF($C8209="","",$D8209*$E8209)</f>
        <v/>
      </c>
      <c r="G8209" s="107" t="str">
        <f aca="false">IF($C8209="","",$D8209*IFERROR(INDEX('تحليل التكلفة والسعر'!$C$2:$C$700,MATCH($C8209,'تحليل التكلفة والسعر'!$B$2:$B$700,0)),0))</f>
        <v/>
      </c>
    </row>
    <row r="8210" customFormat="false" ht="15" hidden="false" customHeight="false" outlineLevel="0" collapsed="false">
      <c r="A8210" s="103"/>
      <c r="B8210" s="104"/>
      <c r="C8210" s="104"/>
      <c r="E8210" s="107" t="str">
        <f aca="false">IF($C8210="","",IFERROR(INDEX(المنيو!$C$2:$C$500,MATCH($C8210,المنيو!$B$2:$B$500,0)),0))</f>
        <v/>
      </c>
      <c r="F8210" s="107" t="str">
        <f aca="false">IF($C8210="","",$D8210*$E8210)</f>
        <v/>
      </c>
      <c r="G8210" s="107" t="str">
        <f aca="false">IF($C8210="","",$D8210*IFERROR(INDEX('تحليل التكلفة والسعر'!$C$2:$C$700,MATCH($C8210,'تحليل التكلفة والسعر'!$B$2:$B$700,0)),0))</f>
        <v/>
      </c>
    </row>
    <row r="8211" customFormat="false" ht="15" hidden="false" customHeight="false" outlineLevel="0" collapsed="false">
      <c r="A8211" s="103"/>
      <c r="B8211" s="104"/>
      <c r="C8211" s="104"/>
      <c r="E8211" s="107" t="str">
        <f aca="false">IF($C8211="","",IFERROR(INDEX(المنيو!$C$2:$C$500,MATCH($C8211,المنيو!$B$2:$B$500,0)),0))</f>
        <v/>
      </c>
      <c r="F8211" s="107" t="str">
        <f aca="false">IF($C8211="","",$D8211*$E8211)</f>
        <v/>
      </c>
      <c r="G8211" s="107" t="str">
        <f aca="false">IF($C8211="","",$D8211*IFERROR(INDEX('تحليل التكلفة والسعر'!$C$2:$C$700,MATCH($C8211,'تحليل التكلفة والسعر'!$B$2:$B$700,0)),0))</f>
        <v/>
      </c>
    </row>
    <row r="8212" customFormat="false" ht="15" hidden="false" customHeight="false" outlineLevel="0" collapsed="false">
      <c r="A8212" s="103"/>
      <c r="B8212" s="104"/>
      <c r="C8212" s="104"/>
      <c r="E8212" s="107" t="str">
        <f aca="false">IF($C8212="","",IFERROR(INDEX(المنيو!$C$2:$C$500,MATCH($C8212,المنيو!$B$2:$B$500,0)),0))</f>
        <v/>
      </c>
      <c r="F8212" s="107" t="str">
        <f aca="false">IF($C8212="","",$D8212*$E8212)</f>
        <v/>
      </c>
      <c r="G8212" s="107" t="str">
        <f aca="false">IF($C8212="","",$D8212*IFERROR(INDEX('تحليل التكلفة والسعر'!$C$2:$C$700,MATCH($C8212,'تحليل التكلفة والسعر'!$B$2:$B$700,0)),0))</f>
        <v/>
      </c>
    </row>
    <row r="8213" customFormat="false" ht="15" hidden="false" customHeight="false" outlineLevel="0" collapsed="false">
      <c r="A8213" s="103"/>
      <c r="B8213" s="104"/>
      <c r="C8213" s="104"/>
      <c r="E8213" s="107" t="str">
        <f aca="false">IF($C8213="","",IFERROR(INDEX(المنيو!$C$2:$C$500,MATCH($C8213,المنيو!$B$2:$B$500,0)),0))</f>
        <v/>
      </c>
      <c r="F8213" s="107" t="str">
        <f aca="false">IF($C8213="","",$D8213*$E8213)</f>
        <v/>
      </c>
      <c r="G8213" s="107" t="str">
        <f aca="false">IF($C8213="","",$D8213*IFERROR(INDEX('تحليل التكلفة والسعر'!$C$2:$C$700,MATCH($C8213,'تحليل التكلفة والسعر'!$B$2:$B$700,0)),0))</f>
        <v/>
      </c>
    </row>
    <row r="8214" customFormat="false" ht="15" hidden="false" customHeight="false" outlineLevel="0" collapsed="false">
      <c r="A8214" s="103"/>
      <c r="B8214" s="104"/>
      <c r="C8214" s="104"/>
      <c r="E8214" s="107" t="str">
        <f aca="false">IF($C8214="","",IFERROR(INDEX(المنيو!$C$2:$C$500,MATCH($C8214,المنيو!$B$2:$B$500,0)),0))</f>
        <v/>
      </c>
      <c r="F8214" s="107" t="str">
        <f aca="false">IF($C8214="","",$D8214*$E8214)</f>
        <v/>
      </c>
      <c r="G8214" s="107" t="str">
        <f aca="false">IF($C8214="","",$D8214*IFERROR(INDEX('تحليل التكلفة والسعر'!$C$2:$C$700,MATCH($C8214,'تحليل التكلفة والسعر'!$B$2:$B$700,0)),0))</f>
        <v/>
      </c>
    </row>
    <row r="8215" customFormat="false" ht="15" hidden="false" customHeight="false" outlineLevel="0" collapsed="false">
      <c r="A8215" s="103"/>
      <c r="B8215" s="104"/>
      <c r="C8215" s="104"/>
      <c r="E8215" s="107" t="str">
        <f aca="false">IF($C8215="","",IFERROR(INDEX(المنيو!$C$2:$C$500,MATCH($C8215,المنيو!$B$2:$B$500,0)),0))</f>
        <v/>
      </c>
      <c r="F8215" s="107" t="str">
        <f aca="false">IF($C8215="","",$D8215*$E8215)</f>
        <v/>
      </c>
      <c r="G8215" s="107" t="str">
        <f aca="false">IF($C8215="","",$D8215*IFERROR(INDEX('تحليل التكلفة والسعر'!$C$2:$C$700,MATCH($C8215,'تحليل التكلفة والسعر'!$B$2:$B$700,0)),0))</f>
        <v/>
      </c>
    </row>
    <row r="8216" customFormat="false" ht="15" hidden="false" customHeight="false" outlineLevel="0" collapsed="false">
      <c r="A8216" s="103"/>
      <c r="B8216" s="104"/>
      <c r="C8216" s="104"/>
      <c r="E8216" s="107" t="str">
        <f aca="false">IF($C8216="","",IFERROR(INDEX(المنيو!$C$2:$C$500,MATCH($C8216,المنيو!$B$2:$B$500,0)),0))</f>
        <v/>
      </c>
      <c r="F8216" s="107" t="str">
        <f aca="false">IF($C8216="","",$D8216*$E8216)</f>
        <v/>
      </c>
      <c r="G8216" s="107" t="str">
        <f aca="false">IF($C8216="","",$D8216*IFERROR(INDEX('تحليل التكلفة والسعر'!$C$2:$C$700,MATCH($C8216,'تحليل التكلفة والسعر'!$B$2:$B$700,0)),0))</f>
        <v/>
      </c>
    </row>
    <row r="8217" customFormat="false" ht="15" hidden="false" customHeight="false" outlineLevel="0" collapsed="false">
      <c r="A8217" s="103"/>
      <c r="B8217" s="104"/>
      <c r="C8217" s="104"/>
      <c r="E8217" s="107" t="str">
        <f aca="false">IF($C8217="","",IFERROR(INDEX(المنيو!$C$2:$C$500,MATCH($C8217,المنيو!$B$2:$B$500,0)),0))</f>
        <v/>
      </c>
      <c r="F8217" s="107" t="str">
        <f aca="false">IF($C8217="","",$D8217*$E8217)</f>
        <v/>
      </c>
      <c r="G8217" s="107" t="str">
        <f aca="false">IF($C8217="","",$D8217*IFERROR(INDEX('تحليل التكلفة والسعر'!$C$2:$C$700,MATCH($C8217,'تحليل التكلفة والسعر'!$B$2:$B$700,0)),0))</f>
        <v/>
      </c>
    </row>
    <row r="8218" customFormat="false" ht="15" hidden="false" customHeight="false" outlineLevel="0" collapsed="false">
      <c r="A8218" s="103"/>
      <c r="B8218" s="104"/>
      <c r="C8218" s="104"/>
      <c r="E8218" s="107" t="str">
        <f aca="false">IF($C8218="","",IFERROR(INDEX(المنيو!$C$2:$C$500,MATCH($C8218,المنيو!$B$2:$B$500,0)),0))</f>
        <v/>
      </c>
      <c r="F8218" s="107" t="str">
        <f aca="false">IF($C8218="","",$D8218*$E8218)</f>
        <v/>
      </c>
      <c r="G8218" s="107" t="str">
        <f aca="false">IF($C8218="","",$D8218*IFERROR(INDEX('تحليل التكلفة والسعر'!$C$2:$C$700,MATCH($C8218,'تحليل التكلفة والسعر'!$B$2:$B$700,0)),0))</f>
        <v/>
      </c>
    </row>
    <row r="8219" customFormat="false" ht="15" hidden="false" customHeight="false" outlineLevel="0" collapsed="false">
      <c r="A8219" s="103"/>
      <c r="B8219" s="104"/>
      <c r="C8219" s="104"/>
      <c r="E8219" s="107" t="str">
        <f aca="false">IF($C8219="","",IFERROR(INDEX(المنيو!$C$2:$C$500,MATCH($C8219,المنيو!$B$2:$B$500,0)),0))</f>
        <v/>
      </c>
      <c r="F8219" s="107" t="str">
        <f aca="false">IF($C8219="","",$D8219*$E8219)</f>
        <v/>
      </c>
      <c r="G8219" s="107" t="str">
        <f aca="false">IF($C8219="","",$D8219*IFERROR(INDEX('تحليل التكلفة والسعر'!$C$2:$C$700,MATCH($C8219,'تحليل التكلفة والسعر'!$B$2:$B$700,0)),0))</f>
        <v/>
      </c>
    </row>
    <row r="8220" customFormat="false" ht="15" hidden="false" customHeight="false" outlineLevel="0" collapsed="false">
      <c r="A8220" s="103"/>
      <c r="B8220" s="104"/>
      <c r="C8220" s="104"/>
      <c r="E8220" s="107" t="str">
        <f aca="false">IF($C8220="","",IFERROR(INDEX(المنيو!$C$2:$C$500,MATCH($C8220,المنيو!$B$2:$B$500,0)),0))</f>
        <v/>
      </c>
      <c r="F8220" s="107" t="str">
        <f aca="false">IF($C8220="","",$D8220*$E8220)</f>
        <v/>
      </c>
      <c r="G8220" s="107" t="str">
        <f aca="false">IF($C8220="","",$D8220*IFERROR(INDEX('تحليل التكلفة والسعر'!$C$2:$C$700,MATCH($C8220,'تحليل التكلفة والسعر'!$B$2:$B$700,0)),0))</f>
        <v/>
      </c>
    </row>
    <row r="8221" customFormat="false" ht="15" hidden="false" customHeight="false" outlineLevel="0" collapsed="false">
      <c r="A8221" s="103"/>
      <c r="B8221" s="104"/>
      <c r="C8221" s="104"/>
      <c r="E8221" s="107" t="str">
        <f aca="false">IF($C8221="","",IFERROR(INDEX(المنيو!$C$2:$C$500,MATCH($C8221,المنيو!$B$2:$B$500,0)),0))</f>
        <v/>
      </c>
      <c r="F8221" s="107" t="str">
        <f aca="false">IF($C8221="","",$D8221*$E8221)</f>
        <v/>
      </c>
      <c r="G8221" s="107" t="str">
        <f aca="false">IF($C8221="","",$D8221*IFERROR(INDEX('تحليل التكلفة والسعر'!$C$2:$C$700,MATCH($C8221,'تحليل التكلفة والسعر'!$B$2:$B$700,0)),0))</f>
        <v/>
      </c>
    </row>
    <row r="8222" customFormat="false" ht="15" hidden="false" customHeight="false" outlineLevel="0" collapsed="false">
      <c r="A8222" s="103"/>
      <c r="B8222" s="104"/>
      <c r="C8222" s="104"/>
      <c r="E8222" s="107" t="str">
        <f aca="false">IF($C8222="","",IFERROR(INDEX(المنيو!$C$2:$C$500,MATCH($C8222,المنيو!$B$2:$B$500,0)),0))</f>
        <v/>
      </c>
      <c r="F8222" s="107" t="str">
        <f aca="false">IF($C8222="","",$D8222*$E8222)</f>
        <v/>
      </c>
      <c r="G8222" s="107" t="str">
        <f aca="false">IF($C8222="","",$D8222*IFERROR(INDEX('تحليل التكلفة والسعر'!$C$2:$C$700,MATCH($C8222,'تحليل التكلفة والسعر'!$B$2:$B$700,0)),0))</f>
        <v/>
      </c>
    </row>
    <row r="8223" customFormat="false" ht="15" hidden="false" customHeight="false" outlineLevel="0" collapsed="false">
      <c r="A8223" s="103"/>
      <c r="B8223" s="104"/>
      <c r="C8223" s="104"/>
      <c r="E8223" s="107" t="str">
        <f aca="false">IF($C8223="","",IFERROR(INDEX(المنيو!$C$2:$C$500,MATCH($C8223,المنيو!$B$2:$B$500,0)),0))</f>
        <v/>
      </c>
      <c r="F8223" s="107" t="str">
        <f aca="false">IF($C8223="","",$D8223*$E8223)</f>
        <v/>
      </c>
      <c r="G8223" s="107" t="str">
        <f aca="false">IF($C8223="","",$D8223*IFERROR(INDEX('تحليل التكلفة والسعر'!$C$2:$C$700,MATCH($C8223,'تحليل التكلفة والسعر'!$B$2:$B$700,0)),0))</f>
        <v/>
      </c>
    </row>
    <row r="8224" customFormat="false" ht="15" hidden="false" customHeight="false" outlineLevel="0" collapsed="false">
      <c r="A8224" s="103"/>
      <c r="B8224" s="104"/>
      <c r="C8224" s="104"/>
      <c r="E8224" s="107" t="str">
        <f aca="false">IF($C8224="","",IFERROR(INDEX(المنيو!$C$2:$C$500,MATCH($C8224,المنيو!$B$2:$B$500,0)),0))</f>
        <v/>
      </c>
      <c r="F8224" s="107" t="str">
        <f aca="false">IF($C8224="","",$D8224*$E8224)</f>
        <v/>
      </c>
      <c r="G8224" s="107" t="str">
        <f aca="false">IF($C8224="","",$D8224*IFERROR(INDEX('تحليل التكلفة والسعر'!$C$2:$C$700,MATCH($C8224,'تحليل التكلفة والسعر'!$B$2:$B$700,0)),0))</f>
        <v/>
      </c>
    </row>
    <row r="8225" customFormat="false" ht="15" hidden="false" customHeight="false" outlineLevel="0" collapsed="false">
      <c r="A8225" s="103"/>
      <c r="B8225" s="104"/>
      <c r="C8225" s="104"/>
      <c r="E8225" s="107" t="str">
        <f aca="false">IF($C8225="","",IFERROR(INDEX(المنيو!$C$2:$C$500,MATCH($C8225,المنيو!$B$2:$B$500,0)),0))</f>
        <v/>
      </c>
      <c r="F8225" s="107" t="str">
        <f aca="false">IF($C8225="","",$D8225*$E8225)</f>
        <v/>
      </c>
      <c r="G8225" s="107" t="str">
        <f aca="false">IF($C8225="","",$D8225*IFERROR(INDEX('تحليل التكلفة والسعر'!$C$2:$C$700,MATCH($C8225,'تحليل التكلفة والسعر'!$B$2:$B$700,0)),0))</f>
        <v/>
      </c>
    </row>
    <row r="8226" customFormat="false" ht="15" hidden="false" customHeight="false" outlineLevel="0" collapsed="false">
      <c r="A8226" s="103"/>
      <c r="B8226" s="104"/>
      <c r="C8226" s="104"/>
      <c r="E8226" s="107" t="str">
        <f aca="false">IF($C8226="","",IFERROR(INDEX(المنيو!$C$2:$C$500,MATCH($C8226,المنيو!$B$2:$B$500,0)),0))</f>
        <v/>
      </c>
      <c r="F8226" s="107" t="str">
        <f aca="false">IF($C8226="","",$D8226*$E8226)</f>
        <v/>
      </c>
      <c r="G8226" s="107" t="str">
        <f aca="false">IF($C8226="","",$D8226*IFERROR(INDEX('تحليل التكلفة والسعر'!$C$2:$C$700,MATCH($C8226,'تحليل التكلفة والسعر'!$B$2:$B$700,0)),0))</f>
        <v/>
      </c>
    </row>
    <row r="8227" customFormat="false" ht="15" hidden="false" customHeight="false" outlineLevel="0" collapsed="false">
      <c r="A8227" s="103"/>
      <c r="B8227" s="104"/>
      <c r="C8227" s="104"/>
      <c r="E8227" s="107" t="str">
        <f aca="false">IF($C8227="","",IFERROR(INDEX(المنيو!$C$2:$C$500,MATCH($C8227,المنيو!$B$2:$B$500,0)),0))</f>
        <v/>
      </c>
      <c r="F8227" s="107" t="str">
        <f aca="false">IF($C8227="","",$D8227*$E8227)</f>
        <v/>
      </c>
      <c r="G8227" s="107" t="str">
        <f aca="false">IF($C8227="","",$D8227*IFERROR(INDEX('تحليل التكلفة والسعر'!$C$2:$C$700,MATCH($C8227,'تحليل التكلفة والسعر'!$B$2:$B$700,0)),0))</f>
        <v/>
      </c>
    </row>
    <row r="8228" customFormat="false" ht="15" hidden="false" customHeight="false" outlineLevel="0" collapsed="false">
      <c r="A8228" s="103"/>
      <c r="B8228" s="104"/>
      <c r="C8228" s="104"/>
      <c r="E8228" s="107" t="str">
        <f aca="false">IF($C8228="","",IFERROR(INDEX(المنيو!$C$2:$C$500,MATCH($C8228,المنيو!$B$2:$B$500,0)),0))</f>
        <v/>
      </c>
      <c r="F8228" s="107" t="str">
        <f aca="false">IF($C8228="","",$D8228*$E8228)</f>
        <v/>
      </c>
      <c r="G8228" s="107" t="str">
        <f aca="false">IF($C8228="","",$D8228*IFERROR(INDEX('تحليل التكلفة والسعر'!$C$2:$C$700,MATCH($C8228,'تحليل التكلفة والسعر'!$B$2:$B$700,0)),0))</f>
        <v/>
      </c>
    </row>
    <row r="8229" customFormat="false" ht="15" hidden="false" customHeight="false" outlineLevel="0" collapsed="false">
      <c r="A8229" s="103"/>
      <c r="B8229" s="104"/>
      <c r="C8229" s="104"/>
      <c r="E8229" s="107" t="str">
        <f aca="false">IF($C8229="","",IFERROR(INDEX(المنيو!$C$2:$C$500,MATCH($C8229,المنيو!$B$2:$B$500,0)),0))</f>
        <v/>
      </c>
      <c r="F8229" s="107" t="str">
        <f aca="false">IF($C8229="","",$D8229*$E8229)</f>
        <v/>
      </c>
      <c r="G8229" s="107" t="str">
        <f aca="false">IF($C8229="","",$D8229*IFERROR(INDEX('تحليل التكلفة والسعر'!$C$2:$C$700,MATCH($C8229,'تحليل التكلفة والسعر'!$B$2:$B$700,0)),0))</f>
        <v/>
      </c>
    </row>
    <row r="8230" customFormat="false" ht="15" hidden="false" customHeight="false" outlineLevel="0" collapsed="false">
      <c r="A8230" s="103"/>
      <c r="B8230" s="104"/>
      <c r="C8230" s="104"/>
      <c r="E8230" s="107" t="str">
        <f aca="false">IF($C8230="","",IFERROR(INDEX(المنيو!$C$2:$C$500,MATCH($C8230,المنيو!$B$2:$B$500,0)),0))</f>
        <v/>
      </c>
      <c r="F8230" s="107" t="str">
        <f aca="false">IF($C8230="","",$D8230*$E8230)</f>
        <v/>
      </c>
      <c r="G8230" s="107" t="str">
        <f aca="false">IF($C8230="","",$D8230*IFERROR(INDEX('تحليل التكلفة والسعر'!$C$2:$C$700,MATCH($C8230,'تحليل التكلفة والسعر'!$B$2:$B$700,0)),0))</f>
        <v/>
      </c>
    </row>
    <row r="8231" customFormat="false" ht="15" hidden="false" customHeight="false" outlineLevel="0" collapsed="false">
      <c r="A8231" s="103"/>
      <c r="B8231" s="104"/>
      <c r="C8231" s="104"/>
      <c r="E8231" s="107" t="str">
        <f aca="false">IF($C8231="","",IFERROR(INDEX(المنيو!$C$2:$C$500,MATCH($C8231,المنيو!$B$2:$B$500,0)),0))</f>
        <v/>
      </c>
      <c r="F8231" s="107" t="str">
        <f aca="false">IF($C8231="","",$D8231*$E8231)</f>
        <v/>
      </c>
      <c r="G8231" s="107" t="str">
        <f aca="false">IF($C8231="","",$D8231*IFERROR(INDEX('تحليل التكلفة والسعر'!$C$2:$C$700,MATCH($C8231,'تحليل التكلفة والسعر'!$B$2:$B$700,0)),0))</f>
        <v/>
      </c>
    </row>
    <row r="8232" customFormat="false" ht="15" hidden="false" customHeight="false" outlineLevel="0" collapsed="false">
      <c r="A8232" s="103"/>
      <c r="B8232" s="104"/>
      <c r="C8232" s="104"/>
      <c r="E8232" s="107" t="str">
        <f aca="false">IF($C8232="","",IFERROR(INDEX(المنيو!$C$2:$C$500,MATCH($C8232,المنيو!$B$2:$B$500,0)),0))</f>
        <v/>
      </c>
      <c r="F8232" s="107" t="str">
        <f aca="false">IF($C8232="","",$D8232*$E8232)</f>
        <v/>
      </c>
      <c r="G8232" s="107" t="str">
        <f aca="false">IF($C8232="","",$D8232*IFERROR(INDEX('تحليل التكلفة والسعر'!$C$2:$C$700,MATCH($C8232,'تحليل التكلفة والسعر'!$B$2:$B$700,0)),0))</f>
        <v/>
      </c>
    </row>
    <row r="8233" customFormat="false" ht="15" hidden="false" customHeight="false" outlineLevel="0" collapsed="false">
      <c r="A8233" s="103"/>
      <c r="B8233" s="104"/>
      <c r="C8233" s="104"/>
      <c r="E8233" s="107" t="str">
        <f aca="false">IF($C8233="","",IFERROR(INDEX(المنيو!$C$2:$C$500,MATCH($C8233,المنيو!$B$2:$B$500,0)),0))</f>
        <v/>
      </c>
      <c r="F8233" s="107" t="str">
        <f aca="false">IF($C8233="","",$D8233*$E8233)</f>
        <v/>
      </c>
      <c r="G8233" s="107" t="str">
        <f aca="false">IF($C8233="","",$D8233*IFERROR(INDEX('تحليل التكلفة والسعر'!$C$2:$C$700,MATCH($C8233,'تحليل التكلفة والسعر'!$B$2:$B$700,0)),0))</f>
        <v/>
      </c>
    </row>
    <row r="8234" customFormat="false" ht="15" hidden="false" customHeight="false" outlineLevel="0" collapsed="false">
      <c r="A8234" s="103"/>
      <c r="B8234" s="104"/>
      <c r="C8234" s="104"/>
      <c r="E8234" s="107" t="str">
        <f aca="false">IF($C8234="","",IFERROR(INDEX(المنيو!$C$2:$C$500,MATCH($C8234,المنيو!$B$2:$B$500,0)),0))</f>
        <v/>
      </c>
      <c r="F8234" s="107" t="str">
        <f aca="false">IF($C8234="","",$D8234*$E8234)</f>
        <v/>
      </c>
      <c r="G8234" s="107" t="str">
        <f aca="false">IF($C8234="","",$D8234*IFERROR(INDEX('تحليل التكلفة والسعر'!$C$2:$C$700,MATCH($C8234,'تحليل التكلفة والسعر'!$B$2:$B$700,0)),0))</f>
        <v/>
      </c>
    </row>
    <row r="8235" customFormat="false" ht="15" hidden="false" customHeight="false" outlineLevel="0" collapsed="false">
      <c r="A8235" s="103"/>
      <c r="B8235" s="104"/>
      <c r="C8235" s="104"/>
      <c r="E8235" s="107" t="str">
        <f aca="false">IF($C8235="","",IFERROR(INDEX(المنيو!$C$2:$C$500,MATCH($C8235,المنيو!$B$2:$B$500,0)),0))</f>
        <v/>
      </c>
      <c r="F8235" s="107" t="str">
        <f aca="false">IF($C8235="","",$D8235*$E8235)</f>
        <v/>
      </c>
      <c r="G8235" s="107" t="str">
        <f aca="false">IF($C8235="","",$D8235*IFERROR(INDEX('تحليل التكلفة والسعر'!$C$2:$C$700,MATCH($C8235,'تحليل التكلفة والسعر'!$B$2:$B$700,0)),0))</f>
        <v/>
      </c>
    </row>
    <row r="8236" customFormat="false" ht="15" hidden="false" customHeight="false" outlineLevel="0" collapsed="false">
      <c r="A8236" s="103"/>
      <c r="B8236" s="104"/>
      <c r="C8236" s="104"/>
      <c r="E8236" s="107" t="str">
        <f aca="false">IF($C8236="","",IFERROR(INDEX(المنيو!$C$2:$C$500,MATCH($C8236,المنيو!$B$2:$B$500,0)),0))</f>
        <v/>
      </c>
      <c r="F8236" s="107" t="str">
        <f aca="false">IF($C8236="","",$D8236*$E8236)</f>
        <v/>
      </c>
      <c r="G8236" s="107" t="str">
        <f aca="false">IF($C8236="","",$D8236*IFERROR(INDEX('تحليل التكلفة والسعر'!$C$2:$C$700,MATCH($C8236,'تحليل التكلفة والسعر'!$B$2:$B$700,0)),0))</f>
        <v/>
      </c>
    </row>
    <row r="8237" customFormat="false" ht="15" hidden="false" customHeight="false" outlineLevel="0" collapsed="false">
      <c r="A8237" s="103"/>
      <c r="B8237" s="104"/>
      <c r="C8237" s="104"/>
      <c r="E8237" s="107" t="str">
        <f aca="false">IF($C8237="","",IFERROR(INDEX(المنيو!$C$2:$C$500,MATCH($C8237,المنيو!$B$2:$B$500,0)),0))</f>
        <v/>
      </c>
      <c r="F8237" s="107" t="str">
        <f aca="false">IF($C8237="","",$D8237*$E8237)</f>
        <v/>
      </c>
      <c r="G8237" s="107" t="str">
        <f aca="false">IF($C8237="","",$D8237*IFERROR(INDEX('تحليل التكلفة والسعر'!$C$2:$C$700,MATCH($C8237,'تحليل التكلفة والسعر'!$B$2:$B$700,0)),0))</f>
        <v/>
      </c>
    </row>
    <row r="8238" customFormat="false" ht="15" hidden="false" customHeight="false" outlineLevel="0" collapsed="false">
      <c r="A8238" s="103"/>
      <c r="B8238" s="104"/>
      <c r="C8238" s="104"/>
      <c r="E8238" s="107" t="str">
        <f aca="false">IF($C8238="","",IFERROR(INDEX(المنيو!$C$2:$C$500,MATCH($C8238,المنيو!$B$2:$B$500,0)),0))</f>
        <v/>
      </c>
      <c r="F8238" s="107" t="str">
        <f aca="false">IF($C8238="","",$D8238*$E8238)</f>
        <v/>
      </c>
      <c r="G8238" s="107" t="str">
        <f aca="false">IF($C8238="","",$D8238*IFERROR(INDEX('تحليل التكلفة والسعر'!$C$2:$C$700,MATCH($C8238,'تحليل التكلفة والسعر'!$B$2:$B$700,0)),0))</f>
        <v/>
      </c>
    </row>
    <row r="8239" customFormat="false" ht="15" hidden="false" customHeight="false" outlineLevel="0" collapsed="false">
      <c r="A8239" s="103"/>
      <c r="B8239" s="104"/>
      <c r="C8239" s="104"/>
      <c r="E8239" s="107" t="str">
        <f aca="false">IF($C8239="","",IFERROR(INDEX(المنيو!$C$2:$C$500,MATCH($C8239,المنيو!$B$2:$B$500,0)),0))</f>
        <v/>
      </c>
      <c r="F8239" s="107" t="str">
        <f aca="false">IF($C8239="","",$D8239*$E8239)</f>
        <v/>
      </c>
      <c r="G8239" s="107" t="str">
        <f aca="false">IF($C8239="","",$D8239*IFERROR(INDEX('تحليل التكلفة والسعر'!$C$2:$C$700,MATCH($C8239,'تحليل التكلفة والسعر'!$B$2:$B$700,0)),0))</f>
        <v/>
      </c>
    </row>
    <row r="8240" customFormat="false" ht="15" hidden="false" customHeight="false" outlineLevel="0" collapsed="false">
      <c r="A8240" s="103"/>
      <c r="B8240" s="104"/>
      <c r="C8240" s="104"/>
      <c r="E8240" s="107" t="str">
        <f aca="false">IF($C8240="","",IFERROR(INDEX(المنيو!$C$2:$C$500,MATCH($C8240,المنيو!$B$2:$B$500,0)),0))</f>
        <v/>
      </c>
      <c r="F8240" s="107" t="str">
        <f aca="false">IF($C8240="","",$D8240*$E8240)</f>
        <v/>
      </c>
      <c r="G8240" s="107" t="str">
        <f aca="false">IF($C8240="","",$D8240*IFERROR(INDEX('تحليل التكلفة والسعر'!$C$2:$C$700,MATCH($C8240,'تحليل التكلفة والسعر'!$B$2:$B$700,0)),0))</f>
        <v/>
      </c>
    </row>
    <row r="8241" customFormat="false" ht="15" hidden="false" customHeight="false" outlineLevel="0" collapsed="false">
      <c r="A8241" s="103"/>
      <c r="B8241" s="104"/>
      <c r="C8241" s="104"/>
      <c r="E8241" s="107" t="str">
        <f aca="false">IF($C8241="","",IFERROR(INDEX(المنيو!$C$2:$C$500,MATCH($C8241,المنيو!$B$2:$B$500,0)),0))</f>
        <v/>
      </c>
      <c r="F8241" s="107" t="str">
        <f aca="false">IF($C8241="","",$D8241*$E8241)</f>
        <v/>
      </c>
      <c r="G8241" s="107" t="str">
        <f aca="false">IF($C8241="","",$D8241*IFERROR(INDEX('تحليل التكلفة والسعر'!$C$2:$C$700,MATCH($C8241,'تحليل التكلفة والسعر'!$B$2:$B$700,0)),0))</f>
        <v/>
      </c>
    </row>
    <row r="8242" customFormat="false" ht="15" hidden="false" customHeight="false" outlineLevel="0" collapsed="false">
      <c r="A8242" s="103"/>
      <c r="B8242" s="104"/>
      <c r="C8242" s="104"/>
      <c r="E8242" s="107" t="str">
        <f aca="false">IF($C8242="","",IFERROR(INDEX(المنيو!$C$2:$C$500,MATCH($C8242,المنيو!$B$2:$B$500,0)),0))</f>
        <v/>
      </c>
      <c r="F8242" s="107" t="str">
        <f aca="false">IF($C8242="","",$D8242*$E8242)</f>
        <v/>
      </c>
      <c r="G8242" s="107" t="str">
        <f aca="false">IF($C8242="","",$D8242*IFERROR(INDEX('تحليل التكلفة والسعر'!$C$2:$C$700,MATCH($C8242,'تحليل التكلفة والسعر'!$B$2:$B$700,0)),0))</f>
        <v/>
      </c>
    </row>
    <row r="8243" customFormat="false" ht="15" hidden="false" customHeight="false" outlineLevel="0" collapsed="false">
      <c r="A8243" s="103"/>
      <c r="B8243" s="104"/>
      <c r="C8243" s="104"/>
      <c r="E8243" s="107" t="str">
        <f aca="false">IF($C8243="","",IFERROR(INDEX(المنيو!$C$2:$C$500,MATCH($C8243,المنيو!$B$2:$B$500,0)),0))</f>
        <v/>
      </c>
      <c r="F8243" s="107" t="str">
        <f aca="false">IF($C8243="","",$D8243*$E8243)</f>
        <v/>
      </c>
      <c r="G8243" s="107" t="str">
        <f aca="false">IF($C8243="","",$D8243*IFERROR(INDEX('تحليل التكلفة والسعر'!$C$2:$C$700,MATCH($C8243,'تحليل التكلفة والسعر'!$B$2:$B$700,0)),0))</f>
        <v/>
      </c>
    </row>
    <row r="8244" customFormat="false" ht="15" hidden="false" customHeight="false" outlineLevel="0" collapsed="false">
      <c r="A8244" s="103"/>
      <c r="B8244" s="104"/>
      <c r="C8244" s="104"/>
      <c r="E8244" s="107" t="str">
        <f aca="false">IF($C8244="","",IFERROR(INDEX(المنيو!$C$2:$C$500,MATCH($C8244,المنيو!$B$2:$B$500,0)),0))</f>
        <v/>
      </c>
      <c r="F8244" s="107" t="str">
        <f aca="false">IF($C8244="","",$D8244*$E8244)</f>
        <v/>
      </c>
      <c r="G8244" s="107" t="str">
        <f aca="false">IF($C8244="","",$D8244*IFERROR(INDEX('تحليل التكلفة والسعر'!$C$2:$C$700,MATCH($C8244,'تحليل التكلفة والسعر'!$B$2:$B$700,0)),0))</f>
        <v/>
      </c>
    </row>
    <row r="8245" customFormat="false" ht="15" hidden="false" customHeight="false" outlineLevel="0" collapsed="false">
      <c r="A8245" s="103"/>
      <c r="B8245" s="104"/>
      <c r="C8245" s="104"/>
      <c r="E8245" s="107" t="str">
        <f aca="false">IF($C8245="","",IFERROR(INDEX(المنيو!$C$2:$C$500,MATCH($C8245,المنيو!$B$2:$B$500,0)),0))</f>
        <v/>
      </c>
      <c r="F8245" s="107" t="str">
        <f aca="false">IF($C8245="","",$D8245*$E8245)</f>
        <v/>
      </c>
      <c r="G8245" s="107" t="str">
        <f aca="false">IF($C8245="","",$D8245*IFERROR(INDEX('تحليل التكلفة والسعر'!$C$2:$C$700,MATCH($C8245,'تحليل التكلفة والسعر'!$B$2:$B$700,0)),0))</f>
        <v/>
      </c>
    </row>
    <row r="8246" customFormat="false" ht="15" hidden="false" customHeight="false" outlineLevel="0" collapsed="false">
      <c r="A8246" s="103"/>
      <c r="B8246" s="104"/>
      <c r="C8246" s="104"/>
      <c r="E8246" s="107" t="str">
        <f aca="false">IF($C8246="","",IFERROR(INDEX(المنيو!$C$2:$C$500,MATCH($C8246,المنيو!$B$2:$B$500,0)),0))</f>
        <v/>
      </c>
      <c r="F8246" s="107" t="str">
        <f aca="false">IF($C8246="","",$D8246*$E8246)</f>
        <v/>
      </c>
      <c r="G8246" s="107" t="str">
        <f aca="false">IF($C8246="","",$D8246*IFERROR(INDEX('تحليل التكلفة والسعر'!$C$2:$C$700,MATCH($C8246,'تحليل التكلفة والسعر'!$B$2:$B$700,0)),0))</f>
        <v/>
      </c>
    </row>
    <row r="8247" customFormat="false" ht="15" hidden="false" customHeight="false" outlineLevel="0" collapsed="false">
      <c r="A8247" s="103"/>
      <c r="B8247" s="104"/>
      <c r="C8247" s="104"/>
      <c r="E8247" s="107" t="str">
        <f aca="false">IF($C8247="","",IFERROR(INDEX(المنيو!$C$2:$C$500,MATCH($C8247,المنيو!$B$2:$B$500,0)),0))</f>
        <v/>
      </c>
      <c r="F8247" s="107" t="str">
        <f aca="false">IF($C8247="","",$D8247*$E8247)</f>
        <v/>
      </c>
      <c r="G8247" s="107" t="str">
        <f aca="false">IF($C8247="","",$D8247*IFERROR(INDEX('تحليل التكلفة والسعر'!$C$2:$C$700,MATCH($C8247,'تحليل التكلفة والسعر'!$B$2:$B$700,0)),0))</f>
        <v/>
      </c>
    </row>
    <row r="8248" customFormat="false" ht="15" hidden="false" customHeight="false" outlineLevel="0" collapsed="false">
      <c r="A8248" s="103"/>
      <c r="B8248" s="104"/>
      <c r="C8248" s="104"/>
      <c r="E8248" s="107" t="str">
        <f aca="false">IF($C8248="","",IFERROR(INDEX(المنيو!$C$2:$C$500,MATCH($C8248,المنيو!$B$2:$B$500,0)),0))</f>
        <v/>
      </c>
      <c r="F8248" s="107" t="str">
        <f aca="false">IF($C8248="","",$D8248*$E8248)</f>
        <v/>
      </c>
      <c r="G8248" s="107" t="str">
        <f aca="false">IF($C8248="","",$D8248*IFERROR(INDEX('تحليل التكلفة والسعر'!$C$2:$C$700,MATCH($C8248,'تحليل التكلفة والسعر'!$B$2:$B$700,0)),0))</f>
        <v/>
      </c>
    </row>
    <row r="8249" customFormat="false" ht="15" hidden="false" customHeight="false" outlineLevel="0" collapsed="false">
      <c r="A8249" s="103"/>
      <c r="B8249" s="104"/>
      <c r="C8249" s="104"/>
      <c r="E8249" s="107" t="str">
        <f aca="false">IF($C8249="","",IFERROR(INDEX(المنيو!$C$2:$C$500,MATCH($C8249,المنيو!$B$2:$B$500,0)),0))</f>
        <v/>
      </c>
      <c r="F8249" s="107" t="str">
        <f aca="false">IF($C8249="","",$D8249*$E8249)</f>
        <v/>
      </c>
      <c r="G8249" s="107" t="str">
        <f aca="false">IF($C8249="","",$D8249*IFERROR(INDEX('تحليل التكلفة والسعر'!$C$2:$C$700,MATCH($C8249,'تحليل التكلفة والسعر'!$B$2:$B$700,0)),0))</f>
        <v/>
      </c>
    </row>
    <row r="8250" customFormat="false" ht="15" hidden="false" customHeight="false" outlineLevel="0" collapsed="false">
      <c r="A8250" s="103"/>
      <c r="B8250" s="104"/>
      <c r="C8250" s="104"/>
      <c r="E8250" s="107" t="str">
        <f aca="false">IF($C8250="","",IFERROR(INDEX(المنيو!$C$2:$C$500,MATCH($C8250,المنيو!$B$2:$B$500,0)),0))</f>
        <v/>
      </c>
      <c r="F8250" s="107" t="str">
        <f aca="false">IF($C8250="","",$D8250*$E8250)</f>
        <v/>
      </c>
      <c r="G8250" s="107" t="str">
        <f aca="false">IF($C8250="","",$D8250*IFERROR(INDEX('تحليل التكلفة والسعر'!$C$2:$C$700,MATCH($C8250,'تحليل التكلفة والسعر'!$B$2:$B$700,0)),0))</f>
        <v/>
      </c>
    </row>
    <row r="8251" customFormat="false" ht="15" hidden="false" customHeight="false" outlineLevel="0" collapsed="false">
      <c r="A8251" s="103"/>
      <c r="B8251" s="104"/>
      <c r="C8251" s="104"/>
      <c r="E8251" s="107" t="str">
        <f aca="false">IF($C8251="","",IFERROR(INDEX(المنيو!$C$2:$C$500,MATCH($C8251,المنيو!$B$2:$B$500,0)),0))</f>
        <v/>
      </c>
      <c r="F8251" s="107" t="str">
        <f aca="false">IF($C8251="","",$D8251*$E8251)</f>
        <v/>
      </c>
      <c r="G8251" s="107" t="str">
        <f aca="false">IF($C8251="","",$D8251*IFERROR(INDEX('تحليل التكلفة والسعر'!$C$2:$C$700,MATCH($C8251,'تحليل التكلفة والسعر'!$B$2:$B$700,0)),0))</f>
        <v/>
      </c>
    </row>
    <row r="8252" customFormat="false" ht="15" hidden="false" customHeight="false" outlineLevel="0" collapsed="false">
      <c r="A8252" s="103"/>
      <c r="B8252" s="104"/>
      <c r="C8252" s="104"/>
      <c r="E8252" s="107" t="str">
        <f aca="false">IF($C8252="","",IFERROR(INDEX(المنيو!$C$2:$C$500,MATCH($C8252,المنيو!$B$2:$B$500,0)),0))</f>
        <v/>
      </c>
      <c r="F8252" s="107" t="str">
        <f aca="false">IF($C8252="","",$D8252*$E8252)</f>
        <v/>
      </c>
      <c r="G8252" s="107" t="str">
        <f aca="false">IF($C8252="","",$D8252*IFERROR(INDEX('تحليل التكلفة والسعر'!$C$2:$C$700,MATCH($C8252,'تحليل التكلفة والسعر'!$B$2:$B$700,0)),0))</f>
        <v/>
      </c>
    </row>
    <row r="8253" customFormat="false" ht="15" hidden="false" customHeight="false" outlineLevel="0" collapsed="false">
      <c r="A8253" s="103"/>
      <c r="B8253" s="104"/>
      <c r="C8253" s="104"/>
      <c r="E8253" s="107" t="str">
        <f aca="false">IF($C8253="","",IFERROR(INDEX(المنيو!$C$2:$C$500,MATCH($C8253,المنيو!$B$2:$B$500,0)),0))</f>
        <v/>
      </c>
      <c r="F8253" s="107" t="str">
        <f aca="false">IF($C8253="","",$D8253*$E8253)</f>
        <v/>
      </c>
      <c r="G8253" s="107" t="str">
        <f aca="false">IF($C8253="","",$D8253*IFERROR(INDEX('تحليل التكلفة والسعر'!$C$2:$C$700,MATCH($C8253,'تحليل التكلفة والسعر'!$B$2:$B$700,0)),0))</f>
        <v/>
      </c>
    </row>
    <row r="8254" customFormat="false" ht="15" hidden="false" customHeight="false" outlineLevel="0" collapsed="false">
      <c r="A8254" s="103"/>
      <c r="B8254" s="104"/>
      <c r="C8254" s="104"/>
      <c r="E8254" s="107" t="str">
        <f aca="false">IF($C8254="","",IFERROR(INDEX(المنيو!$C$2:$C$500,MATCH($C8254,المنيو!$B$2:$B$500,0)),0))</f>
        <v/>
      </c>
      <c r="F8254" s="107" t="str">
        <f aca="false">IF($C8254="","",$D8254*$E8254)</f>
        <v/>
      </c>
      <c r="G8254" s="107" t="str">
        <f aca="false">IF($C8254="","",$D8254*IFERROR(INDEX('تحليل التكلفة والسعر'!$C$2:$C$700,MATCH($C8254,'تحليل التكلفة والسعر'!$B$2:$B$700,0)),0))</f>
        <v/>
      </c>
    </row>
    <row r="8255" customFormat="false" ht="15" hidden="false" customHeight="false" outlineLevel="0" collapsed="false">
      <c r="A8255" s="103"/>
      <c r="B8255" s="104"/>
      <c r="C8255" s="104"/>
      <c r="E8255" s="107" t="str">
        <f aca="false">IF($C8255="","",IFERROR(INDEX(المنيو!$C$2:$C$500,MATCH($C8255,المنيو!$B$2:$B$500,0)),0))</f>
        <v/>
      </c>
      <c r="F8255" s="107" t="str">
        <f aca="false">IF($C8255="","",$D8255*$E8255)</f>
        <v/>
      </c>
      <c r="G8255" s="107" t="str">
        <f aca="false">IF($C8255="","",$D8255*IFERROR(INDEX('تحليل التكلفة والسعر'!$C$2:$C$700,MATCH($C8255,'تحليل التكلفة والسعر'!$B$2:$B$700,0)),0))</f>
        <v/>
      </c>
    </row>
    <row r="8256" customFormat="false" ht="15" hidden="false" customHeight="false" outlineLevel="0" collapsed="false">
      <c r="A8256" s="103"/>
      <c r="B8256" s="104"/>
      <c r="C8256" s="104"/>
      <c r="E8256" s="107" t="str">
        <f aca="false">IF($C8256="","",IFERROR(INDEX(المنيو!$C$2:$C$500,MATCH($C8256,المنيو!$B$2:$B$500,0)),0))</f>
        <v/>
      </c>
      <c r="F8256" s="107" t="str">
        <f aca="false">IF($C8256="","",$D8256*$E8256)</f>
        <v/>
      </c>
      <c r="G8256" s="107" t="str">
        <f aca="false">IF($C8256="","",$D8256*IFERROR(INDEX('تحليل التكلفة والسعر'!$C$2:$C$700,MATCH($C8256,'تحليل التكلفة والسعر'!$B$2:$B$700,0)),0))</f>
        <v/>
      </c>
    </row>
    <row r="8257" customFormat="false" ht="15" hidden="false" customHeight="false" outlineLevel="0" collapsed="false">
      <c r="A8257" s="103"/>
      <c r="B8257" s="104"/>
      <c r="C8257" s="104"/>
      <c r="E8257" s="107" t="str">
        <f aca="false">IF($C8257="","",IFERROR(INDEX(المنيو!$C$2:$C$500,MATCH($C8257,المنيو!$B$2:$B$500,0)),0))</f>
        <v/>
      </c>
      <c r="F8257" s="107" t="str">
        <f aca="false">IF($C8257="","",$D8257*$E8257)</f>
        <v/>
      </c>
      <c r="G8257" s="107" t="str">
        <f aca="false">IF($C8257="","",$D8257*IFERROR(INDEX('تحليل التكلفة والسعر'!$C$2:$C$700,MATCH($C8257,'تحليل التكلفة والسعر'!$B$2:$B$700,0)),0))</f>
        <v/>
      </c>
    </row>
    <row r="8258" customFormat="false" ht="15" hidden="false" customHeight="false" outlineLevel="0" collapsed="false">
      <c r="A8258" s="103"/>
      <c r="B8258" s="104"/>
      <c r="C8258" s="104"/>
      <c r="E8258" s="107" t="str">
        <f aca="false">IF($C8258="","",IFERROR(INDEX(المنيو!$C$2:$C$500,MATCH($C8258,المنيو!$B$2:$B$500,0)),0))</f>
        <v/>
      </c>
      <c r="F8258" s="107" t="str">
        <f aca="false">IF($C8258="","",$D8258*$E8258)</f>
        <v/>
      </c>
      <c r="G8258" s="107" t="str">
        <f aca="false">IF($C8258="","",$D8258*IFERROR(INDEX('تحليل التكلفة والسعر'!$C$2:$C$700,MATCH($C8258,'تحليل التكلفة والسعر'!$B$2:$B$700,0)),0))</f>
        <v/>
      </c>
    </row>
    <row r="8259" customFormat="false" ht="15" hidden="false" customHeight="false" outlineLevel="0" collapsed="false">
      <c r="A8259" s="103"/>
      <c r="B8259" s="104"/>
      <c r="C8259" s="104"/>
      <c r="E8259" s="107" t="str">
        <f aca="false">IF($C8259="","",IFERROR(INDEX(المنيو!$C$2:$C$500,MATCH($C8259,المنيو!$B$2:$B$500,0)),0))</f>
        <v/>
      </c>
      <c r="F8259" s="107" t="str">
        <f aca="false">IF($C8259="","",$D8259*$E8259)</f>
        <v/>
      </c>
      <c r="G8259" s="107" t="str">
        <f aca="false">IF($C8259="","",$D8259*IFERROR(INDEX('تحليل التكلفة والسعر'!$C$2:$C$700,MATCH($C8259,'تحليل التكلفة والسعر'!$B$2:$B$700,0)),0))</f>
        <v/>
      </c>
    </row>
    <row r="8260" customFormat="false" ht="15" hidden="false" customHeight="false" outlineLevel="0" collapsed="false">
      <c r="A8260" s="103"/>
      <c r="B8260" s="104"/>
      <c r="C8260" s="104"/>
      <c r="E8260" s="107" t="str">
        <f aca="false">IF($C8260="","",IFERROR(INDEX(المنيو!$C$2:$C$500,MATCH($C8260,المنيو!$B$2:$B$500,0)),0))</f>
        <v/>
      </c>
      <c r="F8260" s="107" t="str">
        <f aca="false">IF($C8260="","",$D8260*$E8260)</f>
        <v/>
      </c>
      <c r="G8260" s="107" t="str">
        <f aca="false">IF($C8260="","",$D8260*IFERROR(INDEX('تحليل التكلفة والسعر'!$C$2:$C$700,MATCH($C8260,'تحليل التكلفة والسعر'!$B$2:$B$700,0)),0))</f>
        <v/>
      </c>
    </row>
    <row r="8261" customFormat="false" ht="15" hidden="false" customHeight="false" outlineLevel="0" collapsed="false">
      <c r="A8261" s="103"/>
      <c r="B8261" s="104"/>
      <c r="C8261" s="104"/>
      <c r="E8261" s="107" t="str">
        <f aca="false">IF($C8261="","",IFERROR(INDEX(المنيو!$C$2:$C$500,MATCH($C8261,المنيو!$B$2:$B$500,0)),0))</f>
        <v/>
      </c>
      <c r="F8261" s="107" t="str">
        <f aca="false">IF($C8261="","",$D8261*$E8261)</f>
        <v/>
      </c>
      <c r="G8261" s="107" t="str">
        <f aca="false">IF($C8261="","",$D8261*IFERROR(INDEX('تحليل التكلفة والسعر'!$C$2:$C$700,MATCH($C8261,'تحليل التكلفة والسعر'!$B$2:$B$700,0)),0))</f>
        <v/>
      </c>
    </row>
    <row r="8262" customFormat="false" ht="15" hidden="false" customHeight="false" outlineLevel="0" collapsed="false">
      <c r="A8262" s="103"/>
      <c r="B8262" s="104"/>
      <c r="C8262" s="104"/>
      <c r="E8262" s="107" t="str">
        <f aca="false">IF($C8262="","",IFERROR(INDEX(المنيو!$C$2:$C$500,MATCH($C8262,المنيو!$B$2:$B$500,0)),0))</f>
        <v/>
      </c>
      <c r="F8262" s="107" t="str">
        <f aca="false">IF($C8262="","",$D8262*$E8262)</f>
        <v/>
      </c>
      <c r="G8262" s="107" t="str">
        <f aca="false">IF($C8262="","",$D8262*IFERROR(INDEX('تحليل التكلفة والسعر'!$C$2:$C$700,MATCH($C8262,'تحليل التكلفة والسعر'!$B$2:$B$700,0)),0))</f>
        <v/>
      </c>
    </row>
    <row r="8263" customFormat="false" ht="15" hidden="false" customHeight="false" outlineLevel="0" collapsed="false">
      <c r="A8263" s="103"/>
      <c r="B8263" s="104"/>
      <c r="C8263" s="104"/>
      <c r="E8263" s="107" t="str">
        <f aca="false">IF($C8263="","",IFERROR(INDEX(المنيو!$C$2:$C$500,MATCH($C8263,المنيو!$B$2:$B$500,0)),0))</f>
        <v/>
      </c>
      <c r="F8263" s="107" t="str">
        <f aca="false">IF($C8263="","",$D8263*$E8263)</f>
        <v/>
      </c>
      <c r="G8263" s="107" t="str">
        <f aca="false">IF($C8263="","",$D8263*IFERROR(INDEX('تحليل التكلفة والسعر'!$C$2:$C$700,MATCH($C8263,'تحليل التكلفة والسعر'!$B$2:$B$700,0)),0))</f>
        <v/>
      </c>
    </row>
    <row r="8264" customFormat="false" ht="15" hidden="false" customHeight="false" outlineLevel="0" collapsed="false">
      <c r="A8264" s="103"/>
      <c r="B8264" s="104"/>
      <c r="C8264" s="104"/>
      <c r="E8264" s="107" t="str">
        <f aca="false">IF($C8264="","",IFERROR(INDEX(المنيو!$C$2:$C$500,MATCH($C8264,المنيو!$B$2:$B$500,0)),0))</f>
        <v/>
      </c>
      <c r="F8264" s="107" t="str">
        <f aca="false">IF($C8264="","",$D8264*$E8264)</f>
        <v/>
      </c>
      <c r="G8264" s="107" t="str">
        <f aca="false">IF($C8264="","",$D8264*IFERROR(INDEX('تحليل التكلفة والسعر'!$C$2:$C$700,MATCH($C8264,'تحليل التكلفة والسعر'!$B$2:$B$700,0)),0))</f>
        <v/>
      </c>
    </row>
    <row r="8265" customFormat="false" ht="15" hidden="false" customHeight="false" outlineLevel="0" collapsed="false">
      <c r="A8265" s="103"/>
      <c r="B8265" s="104"/>
      <c r="C8265" s="104"/>
      <c r="E8265" s="107" t="str">
        <f aca="false">IF($C8265="","",IFERROR(INDEX(المنيو!$C$2:$C$500,MATCH($C8265,المنيو!$B$2:$B$500,0)),0))</f>
        <v/>
      </c>
      <c r="F8265" s="107" t="str">
        <f aca="false">IF($C8265="","",$D8265*$E8265)</f>
        <v/>
      </c>
      <c r="G8265" s="107" t="str">
        <f aca="false">IF($C8265="","",$D8265*IFERROR(INDEX('تحليل التكلفة والسعر'!$C$2:$C$700,MATCH($C8265,'تحليل التكلفة والسعر'!$B$2:$B$700,0)),0))</f>
        <v/>
      </c>
    </row>
    <row r="8266" customFormat="false" ht="15" hidden="false" customHeight="false" outlineLevel="0" collapsed="false">
      <c r="A8266" s="103"/>
      <c r="B8266" s="104"/>
      <c r="C8266" s="104"/>
      <c r="E8266" s="107" t="str">
        <f aca="false">IF($C8266="","",IFERROR(INDEX(المنيو!$C$2:$C$500,MATCH($C8266,المنيو!$B$2:$B$500,0)),0))</f>
        <v/>
      </c>
      <c r="F8266" s="107" t="str">
        <f aca="false">IF($C8266="","",$D8266*$E8266)</f>
        <v/>
      </c>
      <c r="G8266" s="107" t="str">
        <f aca="false">IF($C8266="","",$D8266*IFERROR(INDEX('تحليل التكلفة والسعر'!$C$2:$C$700,MATCH($C8266,'تحليل التكلفة والسعر'!$B$2:$B$700,0)),0))</f>
        <v/>
      </c>
    </row>
    <row r="8267" customFormat="false" ht="15" hidden="false" customHeight="false" outlineLevel="0" collapsed="false">
      <c r="A8267" s="103"/>
      <c r="B8267" s="104"/>
      <c r="C8267" s="104"/>
      <c r="E8267" s="107" t="str">
        <f aca="false">IF($C8267="","",IFERROR(INDEX(المنيو!$C$2:$C$500,MATCH($C8267,المنيو!$B$2:$B$500,0)),0))</f>
        <v/>
      </c>
      <c r="F8267" s="107" t="str">
        <f aca="false">IF($C8267="","",$D8267*$E8267)</f>
        <v/>
      </c>
      <c r="G8267" s="107" t="str">
        <f aca="false">IF($C8267="","",$D8267*IFERROR(INDEX('تحليل التكلفة والسعر'!$C$2:$C$700,MATCH($C8267,'تحليل التكلفة والسعر'!$B$2:$B$700,0)),0))</f>
        <v/>
      </c>
    </row>
    <row r="8268" customFormat="false" ht="15" hidden="false" customHeight="false" outlineLevel="0" collapsed="false">
      <c r="A8268" s="103"/>
      <c r="B8268" s="104"/>
      <c r="C8268" s="104"/>
      <c r="E8268" s="107" t="str">
        <f aca="false">IF($C8268="","",IFERROR(INDEX(المنيو!$C$2:$C$500,MATCH($C8268,المنيو!$B$2:$B$500,0)),0))</f>
        <v/>
      </c>
      <c r="F8268" s="107" t="str">
        <f aca="false">IF($C8268="","",$D8268*$E8268)</f>
        <v/>
      </c>
      <c r="G8268" s="107" t="str">
        <f aca="false">IF($C8268="","",$D8268*IFERROR(INDEX('تحليل التكلفة والسعر'!$C$2:$C$700,MATCH($C8268,'تحليل التكلفة والسعر'!$B$2:$B$700,0)),0))</f>
        <v/>
      </c>
    </row>
    <row r="8269" customFormat="false" ht="15" hidden="false" customHeight="false" outlineLevel="0" collapsed="false">
      <c r="A8269" s="103"/>
      <c r="B8269" s="104"/>
      <c r="C8269" s="104"/>
      <c r="E8269" s="107" t="str">
        <f aca="false">IF($C8269="","",IFERROR(INDEX(المنيو!$C$2:$C$500,MATCH($C8269,المنيو!$B$2:$B$500,0)),0))</f>
        <v/>
      </c>
      <c r="F8269" s="107" t="str">
        <f aca="false">IF($C8269="","",$D8269*$E8269)</f>
        <v/>
      </c>
      <c r="G8269" s="107" t="str">
        <f aca="false">IF($C8269="","",$D8269*IFERROR(INDEX('تحليل التكلفة والسعر'!$C$2:$C$700,MATCH($C8269,'تحليل التكلفة والسعر'!$B$2:$B$700,0)),0))</f>
        <v/>
      </c>
    </row>
    <row r="8270" customFormat="false" ht="15" hidden="false" customHeight="false" outlineLevel="0" collapsed="false">
      <c r="A8270" s="103"/>
      <c r="B8270" s="104"/>
      <c r="C8270" s="104"/>
      <c r="E8270" s="107" t="str">
        <f aca="false">IF($C8270="","",IFERROR(INDEX(المنيو!$C$2:$C$500,MATCH($C8270,المنيو!$B$2:$B$500,0)),0))</f>
        <v/>
      </c>
      <c r="F8270" s="107" t="str">
        <f aca="false">IF($C8270="","",$D8270*$E8270)</f>
        <v/>
      </c>
      <c r="G8270" s="107" t="str">
        <f aca="false">IF($C8270="","",$D8270*IFERROR(INDEX('تحليل التكلفة والسعر'!$C$2:$C$700,MATCH($C8270,'تحليل التكلفة والسعر'!$B$2:$B$700,0)),0))</f>
        <v/>
      </c>
    </row>
    <row r="8271" customFormat="false" ht="15" hidden="false" customHeight="false" outlineLevel="0" collapsed="false">
      <c r="A8271" s="103"/>
      <c r="B8271" s="104"/>
      <c r="C8271" s="104"/>
      <c r="E8271" s="107" t="str">
        <f aca="false">IF($C8271="","",IFERROR(INDEX(المنيو!$C$2:$C$500,MATCH($C8271,المنيو!$B$2:$B$500,0)),0))</f>
        <v/>
      </c>
      <c r="F8271" s="107" t="str">
        <f aca="false">IF($C8271="","",$D8271*$E8271)</f>
        <v/>
      </c>
      <c r="G8271" s="107" t="str">
        <f aca="false">IF($C8271="","",$D8271*IFERROR(INDEX('تحليل التكلفة والسعر'!$C$2:$C$700,MATCH($C8271,'تحليل التكلفة والسعر'!$B$2:$B$700,0)),0))</f>
        <v/>
      </c>
    </row>
    <row r="8272" customFormat="false" ht="15" hidden="false" customHeight="false" outlineLevel="0" collapsed="false">
      <c r="A8272" s="103"/>
      <c r="B8272" s="104"/>
      <c r="C8272" s="104"/>
      <c r="E8272" s="107" t="str">
        <f aca="false">IF($C8272="","",IFERROR(INDEX(المنيو!$C$2:$C$500,MATCH($C8272,المنيو!$B$2:$B$500,0)),0))</f>
        <v/>
      </c>
      <c r="F8272" s="107" t="str">
        <f aca="false">IF($C8272="","",$D8272*$E8272)</f>
        <v/>
      </c>
      <c r="G8272" s="107" t="str">
        <f aca="false">IF($C8272="","",$D8272*IFERROR(INDEX('تحليل التكلفة والسعر'!$C$2:$C$700,MATCH($C8272,'تحليل التكلفة والسعر'!$B$2:$B$700,0)),0))</f>
        <v/>
      </c>
    </row>
    <row r="8273" customFormat="false" ht="15" hidden="false" customHeight="false" outlineLevel="0" collapsed="false">
      <c r="A8273" s="103"/>
      <c r="B8273" s="104"/>
      <c r="C8273" s="104"/>
      <c r="E8273" s="107" t="str">
        <f aca="false">IF($C8273="","",IFERROR(INDEX(المنيو!$C$2:$C$500,MATCH($C8273,المنيو!$B$2:$B$500,0)),0))</f>
        <v/>
      </c>
      <c r="F8273" s="107" t="str">
        <f aca="false">IF($C8273="","",$D8273*$E8273)</f>
        <v/>
      </c>
      <c r="G8273" s="107" t="str">
        <f aca="false">IF($C8273="","",$D8273*IFERROR(INDEX('تحليل التكلفة والسعر'!$C$2:$C$700,MATCH($C8273,'تحليل التكلفة والسعر'!$B$2:$B$700,0)),0))</f>
        <v/>
      </c>
    </row>
    <row r="8274" customFormat="false" ht="15" hidden="false" customHeight="false" outlineLevel="0" collapsed="false">
      <c r="A8274" s="103"/>
      <c r="B8274" s="104"/>
      <c r="C8274" s="104"/>
      <c r="E8274" s="107" t="str">
        <f aca="false">IF($C8274="","",IFERROR(INDEX(المنيو!$C$2:$C$500,MATCH($C8274,المنيو!$B$2:$B$500,0)),0))</f>
        <v/>
      </c>
      <c r="F8274" s="107" t="str">
        <f aca="false">IF($C8274="","",$D8274*$E8274)</f>
        <v/>
      </c>
      <c r="G8274" s="107" t="str">
        <f aca="false">IF($C8274="","",$D8274*IFERROR(INDEX('تحليل التكلفة والسعر'!$C$2:$C$700,MATCH($C8274,'تحليل التكلفة والسعر'!$B$2:$B$700,0)),0))</f>
        <v/>
      </c>
    </row>
    <row r="8275" customFormat="false" ht="15" hidden="false" customHeight="false" outlineLevel="0" collapsed="false">
      <c r="A8275" s="103"/>
      <c r="B8275" s="104"/>
      <c r="C8275" s="104"/>
      <c r="E8275" s="107" t="str">
        <f aca="false">IF($C8275="","",IFERROR(INDEX(المنيو!$C$2:$C$500,MATCH($C8275,المنيو!$B$2:$B$500,0)),0))</f>
        <v/>
      </c>
      <c r="F8275" s="107" t="str">
        <f aca="false">IF($C8275="","",$D8275*$E8275)</f>
        <v/>
      </c>
      <c r="G8275" s="107" t="str">
        <f aca="false">IF($C8275="","",$D8275*IFERROR(INDEX('تحليل التكلفة والسعر'!$C$2:$C$700,MATCH($C8275,'تحليل التكلفة والسعر'!$B$2:$B$700,0)),0))</f>
        <v/>
      </c>
    </row>
    <row r="8276" customFormat="false" ht="15" hidden="false" customHeight="false" outlineLevel="0" collapsed="false">
      <c r="A8276" s="103"/>
      <c r="B8276" s="104"/>
      <c r="C8276" s="104"/>
      <c r="E8276" s="107" t="str">
        <f aca="false">IF($C8276="","",IFERROR(INDEX(المنيو!$C$2:$C$500,MATCH($C8276,المنيو!$B$2:$B$500,0)),0))</f>
        <v/>
      </c>
      <c r="F8276" s="107" t="str">
        <f aca="false">IF($C8276="","",$D8276*$E8276)</f>
        <v/>
      </c>
      <c r="G8276" s="107" t="str">
        <f aca="false">IF($C8276="","",$D8276*IFERROR(INDEX('تحليل التكلفة والسعر'!$C$2:$C$700,MATCH($C8276,'تحليل التكلفة والسعر'!$B$2:$B$700,0)),0))</f>
        <v/>
      </c>
    </row>
    <row r="8277" customFormat="false" ht="15" hidden="false" customHeight="false" outlineLevel="0" collapsed="false">
      <c r="A8277" s="103"/>
      <c r="B8277" s="104"/>
      <c r="C8277" s="104"/>
      <c r="E8277" s="107" t="str">
        <f aca="false">IF($C8277="","",IFERROR(INDEX(المنيو!$C$2:$C$500,MATCH($C8277,المنيو!$B$2:$B$500,0)),0))</f>
        <v/>
      </c>
      <c r="F8277" s="107" t="str">
        <f aca="false">IF($C8277="","",$D8277*$E8277)</f>
        <v/>
      </c>
      <c r="G8277" s="107" t="str">
        <f aca="false">IF($C8277="","",$D8277*IFERROR(INDEX('تحليل التكلفة والسعر'!$C$2:$C$700,MATCH($C8277,'تحليل التكلفة والسعر'!$B$2:$B$700,0)),0))</f>
        <v/>
      </c>
    </row>
    <row r="8278" customFormat="false" ht="15" hidden="false" customHeight="false" outlineLevel="0" collapsed="false">
      <c r="A8278" s="103"/>
      <c r="B8278" s="104"/>
      <c r="C8278" s="104"/>
      <c r="E8278" s="107" t="str">
        <f aca="false">IF($C8278="","",IFERROR(INDEX(المنيو!$C$2:$C$500,MATCH($C8278,المنيو!$B$2:$B$500,0)),0))</f>
        <v/>
      </c>
      <c r="F8278" s="107" t="str">
        <f aca="false">IF($C8278="","",$D8278*$E8278)</f>
        <v/>
      </c>
      <c r="G8278" s="107" t="str">
        <f aca="false">IF($C8278="","",$D8278*IFERROR(INDEX('تحليل التكلفة والسعر'!$C$2:$C$700,MATCH($C8278,'تحليل التكلفة والسعر'!$B$2:$B$700,0)),0))</f>
        <v/>
      </c>
    </row>
    <row r="8279" customFormat="false" ht="15" hidden="false" customHeight="false" outlineLevel="0" collapsed="false">
      <c r="A8279" s="103"/>
      <c r="B8279" s="104"/>
      <c r="C8279" s="104"/>
      <c r="E8279" s="107" t="str">
        <f aca="false">IF($C8279="","",IFERROR(INDEX(المنيو!$C$2:$C$500,MATCH($C8279,المنيو!$B$2:$B$500,0)),0))</f>
        <v/>
      </c>
      <c r="F8279" s="107" t="str">
        <f aca="false">IF($C8279="","",$D8279*$E8279)</f>
        <v/>
      </c>
      <c r="G8279" s="107" t="str">
        <f aca="false">IF($C8279="","",$D8279*IFERROR(INDEX('تحليل التكلفة والسعر'!$C$2:$C$700,MATCH($C8279,'تحليل التكلفة والسعر'!$B$2:$B$700,0)),0))</f>
        <v/>
      </c>
    </row>
    <row r="8280" customFormat="false" ht="15" hidden="false" customHeight="false" outlineLevel="0" collapsed="false">
      <c r="A8280" s="103"/>
      <c r="B8280" s="104"/>
      <c r="C8280" s="104"/>
      <c r="E8280" s="107" t="str">
        <f aca="false">IF($C8280="","",IFERROR(INDEX(المنيو!$C$2:$C$500,MATCH($C8280,المنيو!$B$2:$B$500,0)),0))</f>
        <v/>
      </c>
      <c r="F8280" s="107" t="str">
        <f aca="false">IF($C8280="","",$D8280*$E8280)</f>
        <v/>
      </c>
      <c r="G8280" s="107" t="str">
        <f aca="false">IF($C8280="","",$D8280*IFERROR(INDEX('تحليل التكلفة والسعر'!$C$2:$C$700,MATCH($C8280,'تحليل التكلفة والسعر'!$B$2:$B$700,0)),0))</f>
        <v/>
      </c>
    </row>
    <row r="8281" customFormat="false" ht="15" hidden="false" customHeight="false" outlineLevel="0" collapsed="false">
      <c r="A8281" s="103"/>
      <c r="B8281" s="104"/>
      <c r="C8281" s="104"/>
      <c r="E8281" s="107" t="str">
        <f aca="false">IF($C8281="","",IFERROR(INDEX(المنيو!$C$2:$C$500,MATCH($C8281,المنيو!$B$2:$B$500,0)),0))</f>
        <v/>
      </c>
      <c r="F8281" s="107" t="str">
        <f aca="false">IF($C8281="","",$D8281*$E8281)</f>
        <v/>
      </c>
      <c r="G8281" s="107" t="str">
        <f aca="false">IF($C8281="","",$D8281*IFERROR(INDEX('تحليل التكلفة والسعر'!$C$2:$C$700,MATCH($C8281,'تحليل التكلفة والسعر'!$B$2:$B$700,0)),0))</f>
        <v/>
      </c>
    </row>
    <row r="8282" customFormat="false" ht="15" hidden="false" customHeight="false" outlineLevel="0" collapsed="false">
      <c r="A8282" s="103"/>
      <c r="B8282" s="104"/>
      <c r="C8282" s="104"/>
      <c r="E8282" s="107" t="str">
        <f aca="false">IF($C8282="","",IFERROR(INDEX(المنيو!$C$2:$C$500,MATCH($C8282,المنيو!$B$2:$B$500,0)),0))</f>
        <v/>
      </c>
      <c r="F8282" s="107" t="str">
        <f aca="false">IF($C8282="","",$D8282*$E8282)</f>
        <v/>
      </c>
      <c r="G8282" s="107" t="str">
        <f aca="false">IF($C8282="","",$D8282*IFERROR(INDEX('تحليل التكلفة والسعر'!$C$2:$C$700,MATCH($C8282,'تحليل التكلفة والسعر'!$B$2:$B$700,0)),0))</f>
        <v/>
      </c>
    </row>
    <row r="8283" customFormat="false" ht="15" hidden="false" customHeight="false" outlineLevel="0" collapsed="false">
      <c r="A8283" s="103"/>
      <c r="B8283" s="104"/>
      <c r="C8283" s="104"/>
      <c r="E8283" s="107" t="str">
        <f aca="false">IF($C8283="","",IFERROR(INDEX(المنيو!$C$2:$C$500,MATCH($C8283,المنيو!$B$2:$B$500,0)),0))</f>
        <v/>
      </c>
      <c r="F8283" s="107" t="str">
        <f aca="false">IF($C8283="","",$D8283*$E8283)</f>
        <v/>
      </c>
      <c r="G8283" s="107" t="str">
        <f aca="false">IF($C8283="","",$D8283*IFERROR(INDEX('تحليل التكلفة والسعر'!$C$2:$C$700,MATCH($C8283,'تحليل التكلفة والسعر'!$B$2:$B$700,0)),0))</f>
        <v/>
      </c>
    </row>
    <row r="8284" customFormat="false" ht="15" hidden="false" customHeight="false" outlineLevel="0" collapsed="false">
      <c r="A8284" s="103"/>
      <c r="B8284" s="104"/>
      <c r="C8284" s="104"/>
      <c r="E8284" s="107" t="str">
        <f aca="false">IF($C8284="","",IFERROR(INDEX(المنيو!$C$2:$C$500,MATCH($C8284,المنيو!$B$2:$B$500,0)),0))</f>
        <v/>
      </c>
      <c r="F8284" s="107" t="str">
        <f aca="false">IF($C8284="","",$D8284*$E8284)</f>
        <v/>
      </c>
      <c r="G8284" s="107" t="str">
        <f aca="false">IF($C8284="","",$D8284*IFERROR(INDEX('تحليل التكلفة والسعر'!$C$2:$C$700,MATCH($C8284,'تحليل التكلفة والسعر'!$B$2:$B$700,0)),0))</f>
        <v/>
      </c>
    </row>
    <row r="8285" customFormat="false" ht="15" hidden="false" customHeight="false" outlineLevel="0" collapsed="false">
      <c r="A8285" s="103"/>
      <c r="B8285" s="104"/>
      <c r="C8285" s="104"/>
      <c r="E8285" s="107" t="str">
        <f aca="false">IF($C8285="","",IFERROR(INDEX(المنيو!$C$2:$C$500,MATCH($C8285,المنيو!$B$2:$B$500,0)),0))</f>
        <v/>
      </c>
      <c r="F8285" s="107" t="str">
        <f aca="false">IF($C8285="","",$D8285*$E8285)</f>
        <v/>
      </c>
      <c r="G8285" s="107" t="str">
        <f aca="false">IF($C8285="","",$D8285*IFERROR(INDEX('تحليل التكلفة والسعر'!$C$2:$C$700,MATCH($C8285,'تحليل التكلفة والسعر'!$B$2:$B$700,0)),0))</f>
        <v/>
      </c>
    </row>
    <row r="8286" customFormat="false" ht="15" hidden="false" customHeight="false" outlineLevel="0" collapsed="false">
      <c r="A8286" s="103"/>
      <c r="B8286" s="104"/>
      <c r="C8286" s="104"/>
      <c r="E8286" s="107" t="str">
        <f aca="false">IF($C8286="","",IFERROR(INDEX(المنيو!$C$2:$C$500,MATCH($C8286,المنيو!$B$2:$B$500,0)),0))</f>
        <v/>
      </c>
      <c r="F8286" s="107" t="str">
        <f aca="false">IF($C8286="","",$D8286*$E8286)</f>
        <v/>
      </c>
      <c r="G8286" s="107" t="str">
        <f aca="false">IF($C8286="","",$D8286*IFERROR(INDEX('تحليل التكلفة والسعر'!$C$2:$C$700,MATCH($C8286,'تحليل التكلفة والسعر'!$B$2:$B$700,0)),0))</f>
        <v/>
      </c>
    </row>
    <row r="8287" customFormat="false" ht="15" hidden="false" customHeight="false" outlineLevel="0" collapsed="false">
      <c r="A8287" s="103"/>
      <c r="B8287" s="104"/>
      <c r="C8287" s="104"/>
      <c r="E8287" s="107" t="str">
        <f aca="false">IF($C8287="","",IFERROR(INDEX(المنيو!$C$2:$C$500,MATCH($C8287,المنيو!$B$2:$B$500,0)),0))</f>
        <v/>
      </c>
      <c r="F8287" s="107" t="str">
        <f aca="false">IF($C8287="","",$D8287*$E8287)</f>
        <v/>
      </c>
      <c r="G8287" s="107" t="str">
        <f aca="false">IF($C8287="","",$D8287*IFERROR(INDEX('تحليل التكلفة والسعر'!$C$2:$C$700,MATCH($C8287,'تحليل التكلفة والسعر'!$B$2:$B$700,0)),0))</f>
        <v/>
      </c>
    </row>
    <row r="8288" customFormat="false" ht="15" hidden="false" customHeight="false" outlineLevel="0" collapsed="false">
      <c r="A8288" s="103"/>
      <c r="B8288" s="104"/>
      <c r="C8288" s="104"/>
      <c r="E8288" s="107" t="str">
        <f aca="false">IF($C8288="","",IFERROR(INDEX(المنيو!$C$2:$C$500,MATCH($C8288,المنيو!$B$2:$B$500,0)),0))</f>
        <v/>
      </c>
      <c r="F8288" s="107" t="str">
        <f aca="false">IF($C8288="","",$D8288*$E8288)</f>
        <v/>
      </c>
      <c r="G8288" s="107" t="str">
        <f aca="false">IF($C8288="","",$D8288*IFERROR(INDEX('تحليل التكلفة والسعر'!$C$2:$C$700,MATCH($C8288,'تحليل التكلفة والسعر'!$B$2:$B$700,0)),0))</f>
        <v/>
      </c>
    </row>
    <row r="8289" customFormat="false" ht="15" hidden="false" customHeight="false" outlineLevel="0" collapsed="false">
      <c r="A8289" s="103"/>
      <c r="B8289" s="104"/>
      <c r="C8289" s="104"/>
      <c r="E8289" s="107" t="str">
        <f aca="false">IF($C8289="","",IFERROR(INDEX(المنيو!$C$2:$C$500,MATCH($C8289,المنيو!$B$2:$B$500,0)),0))</f>
        <v/>
      </c>
      <c r="F8289" s="107" t="str">
        <f aca="false">IF($C8289="","",$D8289*$E8289)</f>
        <v/>
      </c>
      <c r="G8289" s="107" t="str">
        <f aca="false">IF($C8289="","",$D8289*IFERROR(INDEX('تحليل التكلفة والسعر'!$C$2:$C$700,MATCH($C8289,'تحليل التكلفة والسعر'!$B$2:$B$700,0)),0))</f>
        <v/>
      </c>
    </row>
    <row r="8290" customFormat="false" ht="15" hidden="false" customHeight="false" outlineLevel="0" collapsed="false">
      <c r="A8290" s="103"/>
      <c r="B8290" s="104"/>
      <c r="C8290" s="104"/>
      <c r="E8290" s="107" t="str">
        <f aca="false">IF($C8290="","",IFERROR(INDEX(المنيو!$C$2:$C$500,MATCH($C8290,المنيو!$B$2:$B$500,0)),0))</f>
        <v/>
      </c>
      <c r="F8290" s="107" t="str">
        <f aca="false">IF($C8290="","",$D8290*$E8290)</f>
        <v/>
      </c>
      <c r="G8290" s="107" t="str">
        <f aca="false">IF($C8290="","",$D8290*IFERROR(INDEX('تحليل التكلفة والسعر'!$C$2:$C$700,MATCH($C8290,'تحليل التكلفة والسعر'!$B$2:$B$700,0)),0))</f>
        <v/>
      </c>
    </row>
    <row r="8291" customFormat="false" ht="15" hidden="false" customHeight="false" outlineLevel="0" collapsed="false">
      <c r="A8291" s="103"/>
      <c r="B8291" s="104"/>
      <c r="C8291" s="104"/>
      <c r="E8291" s="107" t="str">
        <f aca="false">IF($C8291="","",IFERROR(INDEX(المنيو!$C$2:$C$500,MATCH($C8291,المنيو!$B$2:$B$500,0)),0))</f>
        <v/>
      </c>
      <c r="F8291" s="107" t="str">
        <f aca="false">IF($C8291="","",$D8291*$E8291)</f>
        <v/>
      </c>
      <c r="G8291" s="107" t="str">
        <f aca="false">IF($C8291="","",$D8291*IFERROR(INDEX('تحليل التكلفة والسعر'!$C$2:$C$700,MATCH($C8291,'تحليل التكلفة والسعر'!$B$2:$B$700,0)),0))</f>
        <v/>
      </c>
    </row>
    <row r="8292" customFormat="false" ht="15" hidden="false" customHeight="false" outlineLevel="0" collapsed="false">
      <c r="A8292" s="103"/>
      <c r="B8292" s="104"/>
      <c r="C8292" s="104"/>
      <c r="E8292" s="107" t="str">
        <f aca="false">IF($C8292="","",IFERROR(INDEX(المنيو!$C$2:$C$500,MATCH($C8292,المنيو!$B$2:$B$500,0)),0))</f>
        <v/>
      </c>
      <c r="F8292" s="107" t="str">
        <f aca="false">IF($C8292="","",$D8292*$E8292)</f>
        <v/>
      </c>
      <c r="G8292" s="107" t="str">
        <f aca="false">IF($C8292="","",$D8292*IFERROR(INDEX('تحليل التكلفة والسعر'!$C$2:$C$700,MATCH($C8292,'تحليل التكلفة والسعر'!$B$2:$B$700,0)),0))</f>
        <v/>
      </c>
    </row>
    <row r="8293" customFormat="false" ht="15" hidden="false" customHeight="false" outlineLevel="0" collapsed="false">
      <c r="A8293" s="103"/>
      <c r="B8293" s="104"/>
      <c r="C8293" s="104"/>
      <c r="E8293" s="107" t="str">
        <f aca="false">IF($C8293="","",IFERROR(INDEX(المنيو!$C$2:$C$500,MATCH($C8293,المنيو!$B$2:$B$500,0)),0))</f>
        <v/>
      </c>
      <c r="F8293" s="107" t="str">
        <f aca="false">IF($C8293="","",$D8293*$E8293)</f>
        <v/>
      </c>
      <c r="G8293" s="107" t="str">
        <f aca="false">IF($C8293="","",$D8293*IFERROR(INDEX('تحليل التكلفة والسعر'!$C$2:$C$700,MATCH($C8293,'تحليل التكلفة والسعر'!$B$2:$B$700,0)),0))</f>
        <v/>
      </c>
    </row>
    <row r="8294" customFormat="false" ht="15" hidden="false" customHeight="false" outlineLevel="0" collapsed="false">
      <c r="A8294" s="103"/>
      <c r="B8294" s="104"/>
      <c r="C8294" s="104"/>
      <c r="E8294" s="107" t="str">
        <f aca="false">IF($C8294="","",IFERROR(INDEX(المنيو!$C$2:$C$500,MATCH($C8294,المنيو!$B$2:$B$500,0)),0))</f>
        <v/>
      </c>
      <c r="F8294" s="107" t="str">
        <f aca="false">IF($C8294="","",$D8294*$E8294)</f>
        <v/>
      </c>
      <c r="G8294" s="107" t="str">
        <f aca="false">IF($C8294="","",$D8294*IFERROR(INDEX('تحليل التكلفة والسعر'!$C$2:$C$700,MATCH($C8294,'تحليل التكلفة والسعر'!$B$2:$B$700,0)),0))</f>
        <v/>
      </c>
    </row>
    <row r="8295" customFormat="false" ht="15" hidden="false" customHeight="false" outlineLevel="0" collapsed="false">
      <c r="A8295" s="103"/>
      <c r="B8295" s="104"/>
      <c r="C8295" s="104"/>
      <c r="E8295" s="107" t="str">
        <f aca="false">IF($C8295="","",IFERROR(INDEX(المنيو!$C$2:$C$500,MATCH($C8295,المنيو!$B$2:$B$500,0)),0))</f>
        <v/>
      </c>
      <c r="F8295" s="107" t="str">
        <f aca="false">IF($C8295="","",$D8295*$E8295)</f>
        <v/>
      </c>
      <c r="G8295" s="107" t="str">
        <f aca="false">IF($C8295="","",$D8295*IFERROR(INDEX('تحليل التكلفة والسعر'!$C$2:$C$700,MATCH($C8295,'تحليل التكلفة والسعر'!$B$2:$B$700,0)),0))</f>
        <v/>
      </c>
    </row>
    <row r="8296" customFormat="false" ht="15" hidden="false" customHeight="false" outlineLevel="0" collapsed="false">
      <c r="A8296" s="103"/>
      <c r="B8296" s="104"/>
      <c r="C8296" s="104"/>
      <c r="E8296" s="107" t="str">
        <f aca="false">IF($C8296="","",IFERROR(INDEX(المنيو!$C$2:$C$500,MATCH($C8296,المنيو!$B$2:$B$500,0)),0))</f>
        <v/>
      </c>
      <c r="F8296" s="107" t="str">
        <f aca="false">IF($C8296="","",$D8296*$E8296)</f>
        <v/>
      </c>
      <c r="G8296" s="107" t="str">
        <f aca="false">IF($C8296="","",$D8296*IFERROR(INDEX('تحليل التكلفة والسعر'!$C$2:$C$700,MATCH($C8296,'تحليل التكلفة والسعر'!$B$2:$B$700,0)),0))</f>
        <v/>
      </c>
    </row>
    <row r="8297" customFormat="false" ht="15" hidden="false" customHeight="false" outlineLevel="0" collapsed="false">
      <c r="A8297" s="103"/>
      <c r="B8297" s="104"/>
      <c r="C8297" s="104"/>
      <c r="E8297" s="107" t="str">
        <f aca="false">IF($C8297="","",IFERROR(INDEX(المنيو!$C$2:$C$500,MATCH($C8297,المنيو!$B$2:$B$500,0)),0))</f>
        <v/>
      </c>
      <c r="F8297" s="107" t="str">
        <f aca="false">IF($C8297="","",$D8297*$E8297)</f>
        <v/>
      </c>
      <c r="G8297" s="107" t="str">
        <f aca="false">IF($C8297="","",$D8297*IFERROR(INDEX('تحليل التكلفة والسعر'!$C$2:$C$700,MATCH($C8297,'تحليل التكلفة والسعر'!$B$2:$B$700,0)),0))</f>
        <v/>
      </c>
    </row>
    <row r="8298" customFormat="false" ht="15" hidden="false" customHeight="false" outlineLevel="0" collapsed="false">
      <c r="A8298" s="103"/>
      <c r="B8298" s="104"/>
      <c r="C8298" s="104"/>
      <c r="E8298" s="107" t="str">
        <f aca="false">IF($C8298="","",IFERROR(INDEX(المنيو!$C$2:$C$500,MATCH($C8298,المنيو!$B$2:$B$500,0)),0))</f>
        <v/>
      </c>
      <c r="F8298" s="107" t="str">
        <f aca="false">IF($C8298="","",$D8298*$E8298)</f>
        <v/>
      </c>
      <c r="G8298" s="107" t="str">
        <f aca="false">IF($C8298="","",$D8298*IFERROR(INDEX('تحليل التكلفة والسعر'!$C$2:$C$700,MATCH($C8298,'تحليل التكلفة والسعر'!$B$2:$B$700,0)),0))</f>
        <v/>
      </c>
    </row>
    <row r="8299" customFormat="false" ht="15" hidden="false" customHeight="false" outlineLevel="0" collapsed="false">
      <c r="A8299" s="103"/>
      <c r="B8299" s="104"/>
      <c r="C8299" s="104"/>
      <c r="E8299" s="107" t="str">
        <f aca="false">IF($C8299="","",IFERROR(INDEX(المنيو!$C$2:$C$500,MATCH($C8299,المنيو!$B$2:$B$500,0)),0))</f>
        <v/>
      </c>
      <c r="F8299" s="107" t="str">
        <f aca="false">IF($C8299="","",$D8299*$E8299)</f>
        <v/>
      </c>
      <c r="G8299" s="107" t="str">
        <f aca="false">IF($C8299="","",$D8299*IFERROR(INDEX('تحليل التكلفة والسعر'!$C$2:$C$700,MATCH($C8299,'تحليل التكلفة والسعر'!$B$2:$B$700,0)),0))</f>
        <v/>
      </c>
    </row>
    <row r="8300" customFormat="false" ht="15" hidden="false" customHeight="false" outlineLevel="0" collapsed="false">
      <c r="A8300" s="103"/>
      <c r="B8300" s="104"/>
      <c r="C8300" s="104"/>
      <c r="E8300" s="107" t="str">
        <f aca="false">IF($C8300="","",IFERROR(INDEX(المنيو!$C$2:$C$500,MATCH($C8300,المنيو!$B$2:$B$500,0)),0))</f>
        <v/>
      </c>
      <c r="F8300" s="107" t="str">
        <f aca="false">IF($C8300="","",$D8300*$E8300)</f>
        <v/>
      </c>
      <c r="G8300" s="107" t="str">
        <f aca="false">IF($C8300="","",$D8300*IFERROR(INDEX('تحليل التكلفة والسعر'!$C$2:$C$700,MATCH($C8300,'تحليل التكلفة والسعر'!$B$2:$B$700,0)),0))</f>
        <v/>
      </c>
    </row>
    <row r="8301" customFormat="false" ht="15" hidden="false" customHeight="false" outlineLevel="0" collapsed="false">
      <c r="A8301" s="103"/>
      <c r="B8301" s="104"/>
      <c r="C8301" s="104"/>
      <c r="E8301" s="107" t="str">
        <f aca="false">IF($C8301="","",IFERROR(INDEX(المنيو!$C$2:$C$500,MATCH($C8301,المنيو!$B$2:$B$500,0)),0))</f>
        <v/>
      </c>
      <c r="F8301" s="107" t="str">
        <f aca="false">IF($C8301="","",$D8301*$E8301)</f>
        <v/>
      </c>
      <c r="G8301" s="107" t="str">
        <f aca="false">IF($C8301="","",$D8301*IFERROR(INDEX('تحليل التكلفة والسعر'!$C$2:$C$700,MATCH($C8301,'تحليل التكلفة والسعر'!$B$2:$B$700,0)),0))</f>
        <v/>
      </c>
    </row>
    <row r="8302" customFormat="false" ht="15" hidden="false" customHeight="false" outlineLevel="0" collapsed="false">
      <c r="A8302" s="103"/>
      <c r="B8302" s="104"/>
      <c r="C8302" s="104"/>
      <c r="E8302" s="107" t="str">
        <f aca="false">IF($C8302="","",IFERROR(INDEX(المنيو!$C$2:$C$500,MATCH($C8302,المنيو!$B$2:$B$500,0)),0))</f>
        <v/>
      </c>
      <c r="F8302" s="107" t="str">
        <f aca="false">IF($C8302="","",$D8302*$E8302)</f>
        <v/>
      </c>
      <c r="G8302" s="107" t="str">
        <f aca="false">IF($C8302="","",$D8302*IFERROR(INDEX('تحليل التكلفة والسعر'!$C$2:$C$700,MATCH($C8302,'تحليل التكلفة والسعر'!$B$2:$B$700,0)),0))</f>
        <v/>
      </c>
    </row>
    <row r="8303" customFormat="false" ht="15" hidden="false" customHeight="false" outlineLevel="0" collapsed="false">
      <c r="A8303" s="103"/>
      <c r="B8303" s="104"/>
      <c r="C8303" s="104"/>
      <c r="E8303" s="107" t="str">
        <f aca="false">IF($C8303="","",IFERROR(INDEX(المنيو!$C$2:$C$500,MATCH($C8303,المنيو!$B$2:$B$500,0)),0))</f>
        <v/>
      </c>
      <c r="F8303" s="107" t="str">
        <f aca="false">IF($C8303="","",$D8303*$E8303)</f>
        <v/>
      </c>
      <c r="G8303" s="107" t="str">
        <f aca="false">IF($C8303="","",$D8303*IFERROR(INDEX('تحليل التكلفة والسعر'!$C$2:$C$700,MATCH($C8303,'تحليل التكلفة والسعر'!$B$2:$B$700,0)),0))</f>
        <v/>
      </c>
    </row>
    <row r="8304" customFormat="false" ht="15" hidden="false" customHeight="false" outlineLevel="0" collapsed="false">
      <c r="A8304" s="103"/>
      <c r="B8304" s="104"/>
      <c r="C8304" s="104"/>
      <c r="E8304" s="107" t="str">
        <f aca="false">IF($C8304="","",IFERROR(INDEX(المنيو!$C$2:$C$500,MATCH($C8304,المنيو!$B$2:$B$500,0)),0))</f>
        <v/>
      </c>
      <c r="F8304" s="107" t="str">
        <f aca="false">IF($C8304="","",$D8304*$E8304)</f>
        <v/>
      </c>
      <c r="G8304" s="107" t="str">
        <f aca="false">IF($C8304="","",$D8304*IFERROR(INDEX('تحليل التكلفة والسعر'!$C$2:$C$700,MATCH($C8304,'تحليل التكلفة والسعر'!$B$2:$B$700,0)),0))</f>
        <v/>
      </c>
    </row>
    <row r="8305" customFormat="false" ht="15" hidden="false" customHeight="false" outlineLevel="0" collapsed="false">
      <c r="A8305" s="103"/>
      <c r="B8305" s="104"/>
      <c r="C8305" s="104"/>
      <c r="E8305" s="107" t="str">
        <f aca="false">IF($C8305="","",IFERROR(INDEX(المنيو!$C$2:$C$500,MATCH($C8305,المنيو!$B$2:$B$500,0)),0))</f>
        <v/>
      </c>
      <c r="F8305" s="107" t="str">
        <f aca="false">IF($C8305="","",$D8305*$E8305)</f>
        <v/>
      </c>
      <c r="G8305" s="107" t="str">
        <f aca="false">IF($C8305="","",$D8305*IFERROR(INDEX('تحليل التكلفة والسعر'!$C$2:$C$700,MATCH($C8305,'تحليل التكلفة والسعر'!$B$2:$B$700,0)),0))</f>
        <v/>
      </c>
    </row>
    <row r="8306" customFormat="false" ht="15" hidden="false" customHeight="false" outlineLevel="0" collapsed="false">
      <c r="A8306" s="103"/>
      <c r="B8306" s="104"/>
      <c r="C8306" s="104"/>
      <c r="E8306" s="107" t="str">
        <f aca="false">IF($C8306="","",IFERROR(INDEX(المنيو!$C$2:$C$500,MATCH($C8306,المنيو!$B$2:$B$500,0)),0))</f>
        <v/>
      </c>
      <c r="F8306" s="107" t="str">
        <f aca="false">IF($C8306="","",$D8306*$E8306)</f>
        <v/>
      </c>
      <c r="G8306" s="107" t="str">
        <f aca="false">IF($C8306="","",$D8306*IFERROR(INDEX('تحليل التكلفة والسعر'!$C$2:$C$700,MATCH($C8306,'تحليل التكلفة والسعر'!$B$2:$B$700,0)),0))</f>
        <v/>
      </c>
    </row>
    <row r="8307" customFormat="false" ht="15" hidden="false" customHeight="false" outlineLevel="0" collapsed="false">
      <c r="A8307" s="103"/>
      <c r="B8307" s="104"/>
      <c r="C8307" s="104"/>
      <c r="E8307" s="107" t="str">
        <f aca="false">IF($C8307="","",IFERROR(INDEX(المنيو!$C$2:$C$500,MATCH($C8307,المنيو!$B$2:$B$500,0)),0))</f>
        <v/>
      </c>
      <c r="F8307" s="107" t="str">
        <f aca="false">IF($C8307="","",$D8307*$E8307)</f>
        <v/>
      </c>
      <c r="G8307" s="107" t="str">
        <f aca="false">IF($C8307="","",$D8307*IFERROR(INDEX('تحليل التكلفة والسعر'!$C$2:$C$700,MATCH($C8307,'تحليل التكلفة والسعر'!$B$2:$B$700,0)),0))</f>
        <v/>
      </c>
    </row>
    <row r="8308" customFormat="false" ht="15" hidden="false" customHeight="false" outlineLevel="0" collapsed="false">
      <c r="A8308" s="103"/>
      <c r="B8308" s="104"/>
      <c r="C8308" s="104"/>
      <c r="E8308" s="107" t="str">
        <f aca="false">IF($C8308="","",IFERROR(INDEX(المنيو!$C$2:$C$500,MATCH($C8308,المنيو!$B$2:$B$500,0)),0))</f>
        <v/>
      </c>
      <c r="F8308" s="107" t="str">
        <f aca="false">IF($C8308="","",$D8308*$E8308)</f>
        <v/>
      </c>
      <c r="G8308" s="107" t="str">
        <f aca="false">IF($C8308="","",$D8308*IFERROR(INDEX('تحليل التكلفة والسعر'!$C$2:$C$700,MATCH($C8308,'تحليل التكلفة والسعر'!$B$2:$B$700,0)),0))</f>
        <v/>
      </c>
    </row>
    <row r="8309" customFormat="false" ht="15" hidden="false" customHeight="false" outlineLevel="0" collapsed="false">
      <c r="A8309" s="103"/>
      <c r="B8309" s="104"/>
      <c r="C8309" s="104"/>
      <c r="E8309" s="107" t="str">
        <f aca="false">IF($C8309="","",IFERROR(INDEX(المنيو!$C$2:$C$500,MATCH($C8309,المنيو!$B$2:$B$500,0)),0))</f>
        <v/>
      </c>
      <c r="F8309" s="107" t="str">
        <f aca="false">IF($C8309="","",$D8309*$E8309)</f>
        <v/>
      </c>
      <c r="G8309" s="107" t="str">
        <f aca="false">IF($C8309="","",$D8309*IFERROR(INDEX('تحليل التكلفة والسعر'!$C$2:$C$700,MATCH($C8309,'تحليل التكلفة والسعر'!$B$2:$B$700,0)),0))</f>
        <v/>
      </c>
    </row>
    <row r="8310" customFormat="false" ht="15" hidden="false" customHeight="false" outlineLevel="0" collapsed="false">
      <c r="A8310" s="103"/>
      <c r="B8310" s="104"/>
      <c r="C8310" s="104"/>
      <c r="E8310" s="107" t="str">
        <f aca="false">IF($C8310="","",IFERROR(INDEX(المنيو!$C$2:$C$500,MATCH($C8310,المنيو!$B$2:$B$500,0)),0))</f>
        <v/>
      </c>
      <c r="F8310" s="107" t="str">
        <f aca="false">IF($C8310="","",$D8310*$E8310)</f>
        <v/>
      </c>
      <c r="G8310" s="107" t="str">
        <f aca="false">IF($C8310="","",$D8310*IFERROR(INDEX('تحليل التكلفة والسعر'!$C$2:$C$700,MATCH($C8310,'تحليل التكلفة والسعر'!$B$2:$B$700,0)),0))</f>
        <v/>
      </c>
    </row>
    <row r="8311" customFormat="false" ht="15" hidden="false" customHeight="false" outlineLevel="0" collapsed="false">
      <c r="A8311" s="103"/>
      <c r="B8311" s="104"/>
      <c r="C8311" s="104"/>
      <c r="E8311" s="107" t="str">
        <f aca="false">IF($C8311="","",IFERROR(INDEX(المنيو!$C$2:$C$500,MATCH($C8311,المنيو!$B$2:$B$500,0)),0))</f>
        <v/>
      </c>
      <c r="F8311" s="107" t="str">
        <f aca="false">IF($C8311="","",$D8311*$E8311)</f>
        <v/>
      </c>
      <c r="G8311" s="107" t="str">
        <f aca="false">IF($C8311="","",$D8311*IFERROR(INDEX('تحليل التكلفة والسعر'!$C$2:$C$700,MATCH($C8311,'تحليل التكلفة والسعر'!$B$2:$B$700,0)),0))</f>
        <v/>
      </c>
    </row>
    <row r="8312" customFormat="false" ht="15" hidden="false" customHeight="false" outlineLevel="0" collapsed="false">
      <c r="A8312" s="103"/>
      <c r="B8312" s="104"/>
      <c r="C8312" s="104"/>
      <c r="E8312" s="107" t="str">
        <f aca="false">IF($C8312="","",IFERROR(INDEX(المنيو!$C$2:$C$500,MATCH($C8312,المنيو!$B$2:$B$500,0)),0))</f>
        <v/>
      </c>
      <c r="F8312" s="107" t="str">
        <f aca="false">IF($C8312="","",$D8312*$E8312)</f>
        <v/>
      </c>
      <c r="G8312" s="107" t="str">
        <f aca="false">IF($C8312="","",$D8312*IFERROR(INDEX('تحليل التكلفة والسعر'!$C$2:$C$700,MATCH($C8312,'تحليل التكلفة والسعر'!$B$2:$B$700,0)),0))</f>
        <v/>
      </c>
    </row>
    <row r="8313" customFormat="false" ht="15" hidden="false" customHeight="false" outlineLevel="0" collapsed="false">
      <c r="A8313" s="103"/>
      <c r="B8313" s="104"/>
      <c r="C8313" s="104"/>
      <c r="E8313" s="107" t="str">
        <f aca="false">IF($C8313="","",IFERROR(INDEX(المنيو!$C$2:$C$500,MATCH($C8313,المنيو!$B$2:$B$500,0)),0))</f>
        <v/>
      </c>
      <c r="F8313" s="107" t="str">
        <f aca="false">IF($C8313="","",$D8313*$E8313)</f>
        <v/>
      </c>
      <c r="G8313" s="107" t="str">
        <f aca="false">IF($C8313="","",$D8313*IFERROR(INDEX('تحليل التكلفة والسعر'!$C$2:$C$700,MATCH($C8313,'تحليل التكلفة والسعر'!$B$2:$B$700,0)),0))</f>
        <v/>
      </c>
    </row>
    <row r="8314" customFormat="false" ht="15" hidden="false" customHeight="false" outlineLevel="0" collapsed="false">
      <c r="A8314" s="103"/>
      <c r="B8314" s="104"/>
      <c r="C8314" s="104"/>
      <c r="E8314" s="107" t="str">
        <f aca="false">IF($C8314="","",IFERROR(INDEX(المنيو!$C$2:$C$500,MATCH($C8314,المنيو!$B$2:$B$500,0)),0))</f>
        <v/>
      </c>
      <c r="F8314" s="107" t="str">
        <f aca="false">IF($C8314="","",$D8314*$E8314)</f>
        <v/>
      </c>
      <c r="G8314" s="107" t="str">
        <f aca="false">IF($C8314="","",$D8314*IFERROR(INDEX('تحليل التكلفة والسعر'!$C$2:$C$700,MATCH($C8314,'تحليل التكلفة والسعر'!$B$2:$B$700,0)),0))</f>
        <v/>
      </c>
    </row>
    <row r="8315" customFormat="false" ht="15" hidden="false" customHeight="false" outlineLevel="0" collapsed="false">
      <c r="A8315" s="103"/>
      <c r="B8315" s="104"/>
      <c r="C8315" s="104"/>
      <c r="E8315" s="107" t="str">
        <f aca="false">IF($C8315="","",IFERROR(INDEX(المنيو!$C$2:$C$500,MATCH($C8315,المنيو!$B$2:$B$500,0)),0))</f>
        <v/>
      </c>
      <c r="F8315" s="107" t="str">
        <f aca="false">IF($C8315="","",$D8315*$E8315)</f>
        <v/>
      </c>
      <c r="G8315" s="107" t="str">
        <f aca="false">IF($C8315="","",$D8315*IFERROR(INDEX('تحليل التكلفة والسعر'!$C$2:$C$700,MATCH($C8315,'تحليل التكلفة والسعر'!$B$2:$B$700,0)),0))</f>
        <v/>
      </c>
    </row>
    <row r="8316" customFormat="false" ht="15" hidden="false" customHeight="false" outlineLevel="0" collapsed="false">
      <c r="A8316" s="103"/>
      <c r="B8316" s="104"/>
      <c r="C8316" s="104"/>
      <c r="E8316" s="107" t="str">
        <f aca="false">IF($C8316="","",IFERROR(INDEX(المنيو!$C$2:$C$500,MATCH($C8316,المنيو!$B$2:$B$500,0)),0))</f>
        <v/>
      </c>
      <c r="F8316" s="107" t="str">
        <f aca="false">IF($C8316="","",$D8316*$E8316)</f>
        <v/>
      </c>
      <c r="G8316" s="107" t="str">
        <f aca="false">IF($C8316="","",$D8316*IFERROR(INDEX('تحليل التكلفة والسعر'!$C$2:$C$700,MATCH($C8316,'تحليل التكلفة والسعر'!$B$2:$B$700,0)),0))</f>
        <v/>
      </c>
    </row>
    <row r="8317" customFormat="false" ht="15" hidden="false" customHeight="false" outlineLevel="0" collapsed="false">
      <c r="A8317" s="103"/>
      <c r="B8317" s="104"/>
      <c r="C8317" s="104"/>
      <c r="E8317" s="107" t="str">
        <f aca="false">IF($C8317="","",IFERROR(INDEX(المنيو!$C$2:$C$500,MATCH($C8317,المنيو!$B$2:$B$500,0)),0))</f>
        <v/>
      </c>
      <c r="F8317" s="107" t="str">
        <f aca="false">IF($C8317="","",$D8317*$E8317)</f>
        <v/>
      </c>
      <c r="G8317" s="107" t="str">
        <f aca="false">IF($C8317="","",$D8317*IFERROR(INDEX('تحليل التكلفة والسعر'!$C$2:$C$700,MATCH($C8317,'تحليل التكلفة والسعر'!$B$2:$B$700,0)),0))</f>
        <v/>
      </c>
    </row>
    <row r="8318" customFormat="false" ht="15" hidden="false" customHeight="false" outlineLevel="0" collapsed="false">
      <c r="A8318" s="103"/>
      <c r="B8318" s="104"/>
      <c r="C8318" s="104"/>
      <c r="E8318" s="107" t="str">
        <f aca="false">IF($C8318="","",IFERROR(INDEX(المنيو!$C$2:$C$500,MATCH($C8318,المنيو!$B$2:$B$500,0)),0))</f>
        <v/>
      </c>
      <c r="F8318" s="107" t="str">
        <f aca="false">IF($C8318="","",$D8318*$E8318)</f>
        <v/>
      </c>
      <c r="G8318" s="107" t="str">
        <f aca="false">IF($C8318="","",$D8318*IFERROR(INDEX('تحليل التكلفة والسعر'!$C$2:$C$700,MATCH($C8318,'تحليل التكلفة والسعر'!$B$2:$B$700,0)),0))</f>
        <v/>
      </c>
    </row>
    <row r="8319" customFormat="false" ht="15" hidden="false" customHeight="false" outlineLevel="0" collapsed="false">
      <c r="A8319" s="103"/>
      <c r="B8319" s="104"/>
      <c r="C8319" s="104"/>
      <c r="E8319" s="107" t="str">
        <f aca="false">IF($C8319="","",IFERROR(INDEX(المنيو!$C$2:$C$500,MATCH($C8319,المنيو!$B$2:$B$500,0)),0))</f>
        <v/>
      </c>
      <c r="F8319" s="107" t="str">
        <f aca="false">IF($C8319="","",$D8319*$E8319)</f>
        <v/>
      </c>
      <c r="G8319" s="107" t="str">
        <f aca="false">IF($C8319="","",$D8319*IFERROR(INDEX('تحليل التكلفة والسعر'!$C$2:$C$700,MATCH($C8319,'تحليل التكلفة والسعر'!$B$2:$B$700,0)),0))</f>
        <v/>
      </c>
    </row>
    <row r="8320" customFormat="false" ht="15" hidden="false" customHeight="false" outlineLevel="0" collapsed="false">
      <c r="A8320" s="103"/>
      <c r="B8320" s="104"/>
      <c r="C8320" s="104"/>
      <c r="E8320" s="107" t="str">
        <f aca="false">IF($C8320="","",IFERROR(INDEX(المنيو!$C$2:$C$500,MATCH($C8320,المنيو!$B$2:$B$500,0)),0))</f>
        <v/>
      </c>
      <c r="F8320" s="107" t="str">
        <f aca="false">IF($C8320="","",$D8320*$E8320)</f>
        <v/>
      </c>
      <c r="G8320" s="107" t="str">
        <f aca="false">IF($C8320="","",$D8320*IFERROR(INDEX('تحليل التكلفة والسعر'!$C$2:$C$700,MATCH($C8320,'تحليل التكلفة والسعر'!$B$2:$B$700,0)),0))</f>
        <v/>
      </c>
    </row>
    <row r="8321" customFormat="false" ht="15" hidden="false" customHeight="false" outlineLevel="0" collapsed="false">
      <c r="A8321" s="103"/>
      <c r="B8321" s="104"/>
      <c r="C8321" s="104"/>
      <c r="E8321" s="107" t="str">
        <f aca="false">IF($C8321="","",IFERROR(INDEX(المنيو!$C$2:$C$500,MATCH($C8321,المنيو!$B$2:$B$500,0)),0))</f>
        <v/>
      </c>
      <c r="F8321" s="107" t="str">
        <f aca="false">IF($C8321="","",$D8321*$E8321)</f>
        <v/>
      </c>
      <c r="G8321" s="107" t="str">
        <f aca="false">IF($C8321="","",$D8321*IFERROR(INDEX('تحليل التكلفة والسعر'!$C$2:$C$700,MATCH($C8321,'تحليل التكلفة والسعر'!$B$2:$B$700,0)),0))</f>
        <v/>
      </c>
    </row>
    <row r="8322" customFormat="false" ht="15" hidden="false" customHeight="false" outlineLevel="0" collapsed="false">
      <c r="A8322" s="103"/>
      <c r="B8322" s="104"/>
      <c r="C8322" s="104"/>
      <c r="E8322" s="107" t="str">
        <f aca="false">IF($C8322="","",IFERROR(INDEX(المنيو!$C$2:$C$500,MATCH($C8322,المنيو!$B$2:$B$500,0)),0))</f>
        <v/>
      </c>
      <c r="F8322" s="107" t="str">
        <f aca="false">IF($C8322="","",$D8322*$E8322)</f>
        <v/>
      </c>
      <c r="G8322" s="107" t="str">
        <f aca="false">IF($C8322="","",$D8322*IFERROR(INDEX('تحليل التكلفة والسعر'!$C$2:$C$700,MATCH($C8322,'تحليل التكلفة والسعر'!$B$2:$B$700,0)),0))</f>
        <v/>
      </c>
    </row>
    <row r="8323" customFormat="false" ht="15" hidden="false" customHeight="false" outlineLevel="0" collapsed="false">
      <c r="A8323" s="103"/>
      <c r="B8323" s="104"/>
      <c r="C8323" s="104"/>
      <c r="E8323" s="107" t="str">
        <f aca="false">IF($C8323="","",IFERROR(INDEX(المنيو!$C$2:$C$500,MATCH($C8323,المنيو!$B$2:$B$500,0)),0))</f>
        <v/>
      </c>
      <c r="F8323" s="107" t="str">
        <f aca="false">IF($C8323="","",$D8323*$E8323)</f>
        <v/>
      </c>
      <c r="G8323" s="107" t="str">
        <f aca="false">IF($C8323="","",$D8323*IFERROR(INDEX('تحليل التكلفة والسعر'!$C$2:$C$700,MATCH($C8323,'تحليل التكلفة والسعر'!$B$2:$B$700,0)),0))</f>
        <v/>
      </c>
    </row>
    <row r="8324" customFormat="false" ht="15" hidden="false" customHeight="false" outlineLevel="0" collapsed="false">
      <c r="A8324" s="103"/>
      <c r="B8324" s="104"/>
      <c r="C8324" s="104"/>
      <c r="E8324" s="107" t="str">
        <f aca="false">IF($C8324="","",IFERROR(INDEX(المنيو!$C$2:$C$500,MATCH($C8324,المنيو!$B$2:$B$500,0)),0))</f>
        <v/>
      </c>
      <c r="F8324" s="107" t="str">
        <f aca="false">IF($C8324="","",$D8324*$E8324)</f>
        <v/>
      </c>
      <c r="G8324" s="107" t="str">
        <f aca="false">IF($C8324="","",$D8324*IFERROR(INDEX('تحليل التكلفة والسعر'!$C$2:$C$700,MATCH($C8324,'تحليل التكلفة والسعر'!$B$2:$B$700,0)),0))</f>
        <v/>
      </c>
    </row>
    <row r="8325" customFormat="false" ht="15" hidden="false" customHeight="false" outlineLevel="0" collapsed="false">
      <c r="A8325" s="103"/>
      <c r="B8325" s="104"/>
      <c r="C8325" s="104"/>
      <c r="E8325" s="107" t="str">
        <f aca="false">IF($C8325="","",IFERROR(INDEX(المنيو!$C$2:$C$500,MATCH($C8325,المنيو!$B$2:$B$500,0)),0))</f>
        <v/>
      </c>
      <c r="F8325" s="107" t="str">
        <f aca="false">IF($C8325="","",$D8325*$E8325)</f>
        <v/>
      </c>
      <c r="G8325" s="107" t="str">
        <f aca="false">IF($C8325="","",$D8325*IFERROR(INDEX('تحليل التكلفة والسعر'!$C$2:$C$700,MATCH($C8325,'تحليل التكلفة والسعر'!$B$2:$B$700,0)),0))</f>
        <v/>
      </c>
    </row>
    <row r="8326" customFormat="false" ht="15" hidden="false" customHeight="false" outlineLevel="0" collapsed="false">
      <c r="A8326" s="103"/>
      <c r="B8326" s="104"/>
      <c r="C8326" s="104"/>
      <c r="E8326" s="107" t="str">
        <f aca="false">IF($C8326="","",IFERROR(INDEX(المنيو!$C$2:$C$500,MATCH($C8326,المنيو!$B$2:$B$500,0)),0))</f>
        <v/>
      </c>
      <c r="F8326" s="107" t="str">
        <f aca="false">IF($C8326="","",$D8326*$E8326)</f>
        <v/>
      </c>
      <c r="G8326" s="107" t="str">
        <f aca="false">IF($C8326="","",$D8326*IFERROR(INDEX('تحليل التكلفة والسعر'!$C$2:$C$700,MATCH($C8326,'تحليل التكلفة والسعر'!$B$2:$B$700,0)),0))</f>
        <v/>
      </c>
    </row>
    <row r="8327" customFormat="false" ht="15" hidden="false" customHeight="false" outlineLevel="0" collapsed="false">
      <c r="A8327" s="103"/>
      <c r="B8327" s="104"/>
      <c r="C8327" s="104"/>
      <c r="E8327" s="107" t="str">
        <f aca="false">IF($C8327="","",IFERROR(INDEX(المنيو!$C$2:$C$500,MATCH($C8327,المنيو!$B$2:$B$500,0)),0))</f>
        <v/>
      </c>
      <c r="F8327" s="107" t="str">
        <f aca="false">IF($C8327="","",$D8327*$E8327)</f>
        <v/>
      </c>
      <c r="G8327" s="107" t="str">
        <f aca="false">IF($C8327="","",$D8327*IFERROR(INDEX('تحليل التكلفة والسعر'!$C$2:$C$700,MATCH($C8327,'تحليل التكلفة والسعر'!$B$2:$B$700,0)),0))</f>
        <v/>
      </c>
    </row>
    <row r="8328" customFormat="false" ht="15" hidden="false" customHeight="false" outlineLevel="0" collapsed="false">
      <c r="A8328" s="103"/>
      <c r="B8328" s="104"/>
      <c r="C8328" s="104"/>
      <c r="E8328" s="107" t="str">
        <f aca="false">IF($C8328="","",IFERROR(INDEX(المنيو!$C$2:$C$500,MATCH($C8328,المنيو!$B$2:$B$500,0)),0))</f>
        <v/>
      </c>
      <c r="F8328" s="107" t="str">
        <f aca="false">IF($C8328="","",$D8328*$E8328)</f>
        <v/>
      </c>
      <c r="G8328" s="107" t="str">
        <f aca="false">IF($C8328="","",$D8328*IFERROR(INDEX('تحليل التكلفة والسعر'!$C$2:$C$700,MATCH($C8328,'تحليل التكلفة والسعر'!$B$2:$B$700,0)),0))</f>
        <v/>
      </c>
    </row>
    <row r="8329" customFormat="false" ht="15" hidden="false" customHeight="false" outlineLevel="0" collapsed="false">
      <c r="A8329" s="103"/>
      <c r="B8329" s="104"/>
      <c r="C8329" s="104"/>
      <c r="E8329" s="107" t="str">
        <f aca="false">IF($C8329="","",IFERROR(INDEX(المنيو!$C$2:$C$500,MATCH($C8329,المنيو!$B$2:$B$500,0)),0))</f>
        <v/>
      </c>
      <c r="F8329" s="107" t="str">
        <f aca="false">IF($C8329="","",$D8329*$E8329)</f>
        <v/>
      </c>
      <c r="G8329" s="107" t="str">
        <f aca="false">IF($C8329="","",$D8329*IFERROR(INDEX('تحليل التكلفة والسعر'!$C$2:$C$700,MATCH($C8329,'تحليل التكلفة والسعر'!$B$2:$B$700,0)),0))</f>
        <v/>
      </c>
    </row>
    <row r="8330" customFormat="false" ht="15" hidden="false" customHeight="false" outlineLevel="0" collapsed="false">
      <c r="A8330" s="103"/>
      <c r="B8330" s="104"/>
      <c r="C8330" s="104"/>
      <c r="E8330" s="107" t="str">
        <f aca="false">IF($C8330="","",IFERROR(INDEX(المنيو!$C$2:$C$500,MATCH($C8330,المنيو!$B$2:$B$500,0)),0))</f>
        <v/>
      </c>
      <c r="F8330" s="107" t="str">
        <f aca="false">IF($C8330="","",$D8330*$E8330)</f>
        <v/>
      </c>
      <c r="G8330" s="107" t="str">
        <f aca="false">IF($C8330="","",$D8330*IFERROR(INDEX('تحليل التكلفة والسعر'!$C$2:$C$700,MATCH($C8330,'تحليل التكلفة والسعر'!$B$2:$B$700,0)),0))</f>
        <v/>
      </c>
    </row>
    <row r="8331" customFormat="false" ht="15" hidden="false" customHeight="false" outlineLevel="0" collapsed="false">
      <c r="A8331" s="103"/>
      <c r="B8331" s="104"/>
      <c r="C8331" s="104"/>
      <c r="E8331" s="107" t="str">
        <f aca="false">IF($C8331="","",IFERROR(INDEX(المنيو!$C$2:$C$500,MATCH($C8331,المنيو!$B$2:$B$500,0)),0))</f>
        <v/>
      </c>
      <c r="F8331" s="107" t="str">
        <f aca="false">IF($C8331="","",$D8331*$E8331)</f>
        <v/>
      </c>
      <c r="G8331" s="107" t="str">
        <f aca="false">IF($C8331="","",$D8331*IFERROR(INDEX('تحليل التكلفة والسعر'!$C$2:$C$700,MATCH($C8331,'تحليل التكلفة والسعر'!$B$2:$B$700,0)),0))</f>
        <v/>
      </c>
    </row>
    <row r="8332" customFormat="false" ht="15" hidden="false" customHeight="false" outlineLevel="0" collapsed="false">
      <c r="A8332" s="103"/>
      <c r="B8332" s="104"/>
      <c r="C8332" s="104"/>
      <c r="E8332" s="107" t="str">
        <f aca="false">IF($C8332="","",IFERROR(INDEX(المنيو!$C$2:$C$500,MATCH($C8332,المنيو!$B$2:$B$500,0)),0))</f>
        <v/>
      </c>
      <c r="F8332" s="107" t="str">
        <f aca="false">IF($C8332="","",$D8332*$E8332)</f>
        <v/>
      </c>
      <c r="G8332" s="107" t="str">
        <f aca="false">IF($C8332="","",$D8332*IFERROR(INDEX('تحليل التكلفة والسعر'!$C$2:$C$700,MATCH($C8332,'تحليل التكلفة والسعر'!$B$2:$B$700,0)),0))</f>
        <v/>
      </c>
    </row>
    <row r="8333" customFormat="false" ht="15" hidden="false" customHeight="false" outlineLevel="0" collapsed="false">
      <c r="A8333" s="103"/>
      <c r="B8333" s="104"/>
      <c r="C8333" s="104"/>
      <c r="E8333" s="107" t="str">
        <f aca="false">IF($C8333="","",IFERROR(INDEX(المنيو!$C$2:$C$500,MATCH($C8333,المنيو!$B$2:$B$500,0)),0))</f>
        <v/>
      </c>
      <c r="F8333" s="107" t="str">
        <f aca="false">IF($C8333="","",$D8333*$E8333)</f>
        <v/>
      </c>
      <c r="G8333" s="107" t="str">
        <f aca="false">IF($C8333="","",$D8333*IFERROR(INDEX('تحليل التكلفة والسعر'!$C$2:$C$700,MATCH($C8333,'تحليل التكلفة والسعر'!$B$2:$B$700,0)),0))</f>
        <v/>
      </c>
    </row>
    <row r="8334" customFormat="false" ht="15" hidden="false" customHeight="false" outlineLevel="0" collapsed="false">
      <c r="A8334" s="103"/>
      <c r="B8334" s="104"/>
      <c r="C8334" s="104"/>
      <c r="E8334" s="107" t="str">
        <f aca="false">IF($C8334="","",IFERROR(INDEX(المنيو!$C$2:$C$500,MATCH($C8334,المنيو!$B$2:$B$500,0)),0))</f>
        <v/>
      </c>
      <c r="F8334" s="107" t="str">
        <f aca="false">IF($C8334="","",$D8334*$E8334)</f>
        <v/>
      </c>
      <c r="G8334" s="107" t="str">
        <f aca="false">IF($C8334="","",$D8334*IFERROR(INDEX('تحليل التكلفة والسعر'!$C$2:$C$700,MATCH($C8334,'تحليل التكلفة والسعر'!$B$2:$B$700,0)),0))</f>
        <v/>
      </c>
    </row>
    <row r="8335" customFormat="false" ht="15" hidden="false" customHeight="false" outlineLevel="0" collapsed="false">
      <c r="A8335" s="103"/>
      <c r="B8335" s="104"/>
      <c r="C8335" s="104"/>
      <c r="E8335" s="107" t="str">
        <f aca="false">IF($C8335="","",IFERROR(INDEX(المنيو!$C$2:$C$500,MATCH($C8335,المنيو!$B$2:$B$500,0)),0))</f>
        <v/>
      </c>
      <c r="F8335" s="107" t="str">
        <f aca="false">IF($C8335="","",$D8335*$E8335)</f>
        <v/>
      </c>
      <c r="G8335" s="107" t="str">
        <f aca="false">IF($C8335="","",$D8335*IFERROR(INDEX('تحليل التكلفة والسعر'!$C$2:$C$700,MATCH($C8335,'تحليل التكلفة والسعر'!$B$2:$B$700,0)),0))</f>
        <v/>
      </c>
    </row>
    <row r="8336" customFormat="false" ht="15" hidden="false" customHeight="false" outlineLevel="0" collapsed="false">
      <c r="A8336" s="103"/>
      <c r="B8336" s="104"/>
      <c r="C8336" s="104"/>
      <c r="E8336" s="107" t="str">
        <f aca="false">IF($C8336="","",IFERROR(INDEX(المنيو!$C$2:$C$500,MATCH($C8336,المنيو!$B$2:$B$500,0)),0))</f>
        <v/>
      </c>
      <c r="F8336" s="107" t="str">
        <f aca="false">IF($C8336="","",$D8336*$E8336)</f>
        <v/>
      </c>
      <c r="G8336" s="107" t="str">
        <f aca="false">IF($C8336="","",$D8336*IFERROR(INDEX('تحليل التكلفة والسعر'!$C$2:$C$700,MATCH($C8336,'تحليل التكلفة والسعر'!$B$2:$B$700,0)),0))</f>
        <v/>
      </c>
    </row>
    <row r="8337" customFormat="false" ht="15" hidden="false" customHeight="false" outlineLevel="0" collapsed="false">
      <c r="A8337" s="103"/>
      <c r="B8337" s="104"/>
      <c r="C8337" s="104"/>
      <c r="E8337" s="107" t="str">
        <f aca="false">IF($C8337="","",IFERROR(INDEX(المنيو!$C$2:$C$500,MATCH($C8337,المنيو!$B$2:$B$500,0)),0))</f>
        <v/>
      </c>
      <c r="F8337" s="107" t="str">
        <f aca="false">IF($C8337="","",$D8337*$E8337)</f>
        <v/>
      </c>
      <c r="G8337" s="107" t="str">
        <f aca="false">IF($C8337="","",$D8337*IFERROR(INDEX('تحليل التكلفة والسعر'!$C$2:$C$700,MATCH($C8337,'تحليل التكلفة والسعر'!$B$2:$B$700,0)),0))</f>
        <v/>
      </c>
    </row>
    <row r="8338" customFormat="false" ht="15" hidden="false" customHeight="false" outlineLevel="0" collapsed="false">
      <c r="A8338" s="103"/>
      <c r="B8338" s="104"/>
      <c r="C8338" s="104"/>
      <c r="E8338" s="107" t="str">
        <f aca="false">IF($C8338="","",IFERROR(INDEX(المنيو!$C$2:$C$500,MATCH($C8338,المنيو!$B$2:$B$500,0)),0))</f>
        <v/>
      </c>
      <c r="F8338" s="107" t="str">
        <f aca="false">IF($C8338="","",$D8338*$E8338)</f>
        <v/>
      </c>
      <c r="G8338" s="107" t="str">
        <f aca="false">IF($C8338="","",$D8338*IFERROR(INDEX('تحليل التكلفة والسعر'!$C$2:$C$700,MATCH($C8338,'تحليل التكلفة والسعر'!$B$2:$B$700,0)),0))</f>
        <v/>
      </c>
    </row>
    <row r="8339" customFormat="false" ht="15" hidden="false" customHeight="false" outlineLevel="0" collapsed="false">
      <c r="A8339" s="103"/>
      <c r="B8339" s="104"/>
      <c r="C8339" s="104"/>
      <c r="E8339" s="107" t="str">
        <f aca="false">IF($C8339="","",IFERROR(INDEX(المنيو!$C$2:$C$500,MATCH($C8339,المنيو!$B$2:$B$500,0)),0))</f>
        <v/>
      </c>
      <c r="F8339" s="107" t="str">
        <f aca="false">IF($C8339="","",$D8339*$E8339)</f>
        <v/>
      </c>
      <c r="G8339" s="107" t="str">
        <f aca="false">IF($C8339="","",$D8339*IFERROR(INDEX('تحليل التكلفة والسعر'!$C$2:$C$700,MATCH($C8339,'تحليل التكلفة والسعر'!$B$2:$B$700,0)),0))</f>
        <v/>
      </c>
    </row>
    <row r="8340" customFormat="false" ht="15" hidden="false" customHeight="false" outlineLevel="0" collapsed="false">
      <c r="A8340" s="103"/>
      <c r="B8340" s="104"/>
      <c r="C8340" s="104"/>
      <c r="E8340" s="107" t="str">
        <f aca="false">IF($C8340="","",IFERROR(INDEX(المنيو!$C$2:$C$500,MATCH($C8340,المنيو!$B$2:$B$500,0)),0))</f>
        <v/>
      </c>
      <c r="F8340" s="107" t="str">
        <f aca="false">IF($C8340="","",$D8340*$E8340)</f>
        <v/>
      </c>
      <c r="G8340" s="107" t="str">
        <f aca="false">IF($C8340="","",$D8340*IFERROR(INDEX('تحليل التكلفة والسعر'!$C$2:$C$700,MATCH($C8340,'تحليل التكلفة والسعر'!$B$2:$B$700,0)),0))</f>
        <v/>
      </c>
    </row>
    <row r="8341" customFormat="false" ht="15" hidden="false" customHeight="false" outlineLevel="0" collapsed="false">
      <c r="A8341" s="103"/>
      <c r="B8341" s="104"/>
      <c r="C8341" s="104"/>
      <c r="E8341" s="107" t="str">
        <f aca="false">IF($C8341="","",IFERROR(INDEX(المنيو!$C$2:$C$500,MATCH($C8341,المنيو!$B$2:$B$500,0)),0))</f>
        <v/>
      </c>
      <c r="F8341" s="107" t="str">
        <f aca="false">IF($C8341="","",$D8341*$E8341)</f>
        <v/>
      </c>
      <c r="G8341" s="107" t="str">
        <f aca="false">IF($C8341="","",$D8341*IFERROR(INDEX('تحليل التكلفة والسعر'!$C$2:$C$700,MATCH($C8341,'تحليل التكلفة والسعر'!$B$2:$B$700,0)),0))</f>
        <v/>
      </c>
    </row>
    <row r="8342" customFormat="false" ht="15" hidden="false" customHeight="false" outlineLevel="0" collapsed="false">
      <c r="A8342" s="103"/>
      <c r="B8342" s="104"/>
      <c r="C8342" s="104"/>
      <c r="E8342" s="107" t="str">
        <f aca="false">IF($C8342="","",IFERROR(INDEX(المنيو!$C$2:$C$500,MATCH($C8342,المنيو!$B$2:$B$500,0)),0))</f>
        <v/>
      </c>
      <c r="F8342" s="107" t="str">
        <f aca="false">IF($C8342="","",$D8342*$E8342)</f>
        <v/>
      </c>
      <c r="G8342" s="107" t="str">
        <f aca="false">IF($C8342="","",$D8342*IFERROR(INDEX('تحليل التكلفة والسعر'!$C$2:$C$700,MATCH($C8342,'تحليل التكلفة والسعر'!$B$2:$B$700,0)),0))</f>
        <v/>
      </c>
    </row>
    <row r="8343" customFormat="false" ht="15" hidden="false" customHeight="false" outlineLevel="0" collapsed="false">
      <c r="A8343" s="103"/>
      <c r="B8343" s="104"/>
      <c r="C8343" s="104"/>
      <c r="E8343" s="107" t="str">
        <f aca="false">IF($C8343="","",IFERROR(INDEX(المنيو!$C$2:$C$500,MATCH($C8343,المنيو!$B$2:$B$500,0)),0))</f>
        <v/>
      </c>
      <c r="F8343" s="107" t="str">
        <f aca="false">IF($C8343="","",$D8343*$E8343)</f>
        <v/>
      </c>
      <c r="G8343" s="107" t="str">
        <f aca="false">IF($C8343="","",$D8343*IFERROR(INDEX('تحليل التكلفة والسعر'!$C$2:$C$700,MATCH($C8343,'تحليل التكلفة والسعر'!$B$2:$B$700,0)),0))</f>
        <v/>
      </c>
    </row>
    <row r="8344" customFormat="false" ht="15" hidden="false" customHeight="false" outlineLevel="0" collapsed="false">
      <c r="A8344" s="103"/>
      <c r="B8344" s="104"/>
      <c r="C8344" s="104"/>
      <c r="E8344" s="107" t="str">
        <f aca="false">IF($C8344="","",IFERROR(INDEX(المنيو!$C$2:$C$500,MATCH($C8344,المنيو!$B$2:$B$500,0)),0))</f>
        <v/>
      </c>
      <c r="F8344" s="107" t="str">
        <f aca="false">IF($C8344="","",$D8344*$E8344)</f>
        <v/>
      </c>
      <c r="G8344" s="107" t="str">
        <f aca="false">IF($C8344="","",$D8344*IFERROR(INDEX('تحليل التكلفة والسعر'!$C$2:$C$700,MATCH($C8344,'تحليل التكلفة والسعر'!$B$2:$B$700,0)),0))</f>
        <v/>
      </c>
    </row>
    <row r="8345" customFormat="false" ht="15" hidden="false" customHeight="false" outlineLevel="0" collapsed="false">
      <c r="A8345" s="103"/>
      <c r="B8345" s="104"/>
      <c r="C8345" s="104"/>
      <c r="E8345" s="107" t="str">
        <f aca="false">IF($C8345="","",IFERROR(INDEX(المنيو!$C$2:$C$500,MATCH($C8345,المنيو!$B$2:$B$500,0)),0))</f>
        <v/>
      </c>
      <c r="F8345" s="107" t="str">
        <f aca="false">IF($C8345="","",$D8345*$E8345)</f>
        <v/>
      </c>
      <c r="G8345" s="107" t="str">
        <f aca="false">IF($C8345="","",$D8345*IFERROR(INDEX('تحليل التكلفة والسعر'!$C$2:$C$700,MATCH($C8345,'تحليل التكلفة والسعر'!$B$2:$B$700,0)),0))</f>
        <v/>
      </c>
    </row>
    <row r="8346" customFormat="false" ht="15" hidden="false" customHeight="false" outlineLevel="0" collapsed="false">
      <c r="A8346" s="103"/>
      <c r="B8346" s="104"/>
      <c r="C8346" s="104"/>
      <c r="E8346" s="107" t="str">
        <f aca="false">IF($C8346="","",IFERROR(INDEX(المنيو!$C$2:$C$500,MATCH($C8346,المنيو!$B$2:$B$500,0)),0))</f>
        <v/>
      </c>
      <c r="F8346" s="107" t="str">
        <f aca="false">IF($C8346="","",$D8346*$E8346)</f>
        <v/>
      </c>
      <c r="G8346" s="107" t="str">
        <f aca="false">IF($C8346="","",$D8346*IFERROR(INDEX('تحليل التكلفة والسعر'!$C$2:$C$700,MATCH($C8346,'تحليل التكلفة والسعر'!$B$2:$B$700,0)),0))</f>
        <v/>
      </c>
    </row>
    <row r="8347" customFormat="false" ht="15" hidden="false" customHeight="false" outlineLevel="0" collapsed="false">
      <c r="A8347" s="103"/>
      <c r="B8347" s="104"/>
      <c r="C8347" s="104"/>
      <c r="E8347" s="107" t="str">
        <f aca="false">IF($C8347="","",IFERROR(INDEX(المنيو!$C$2:$C$500,MATCH($C8347,المنيو!$B$2:$B$500,0)),0))</f>
        <v/>
      </c>
      <c r="F8347" s="107" t="str">
        <f aca="false">IF($C8347="","",$D8347*$E8347)</f>
        <v/>
      </c>
      <c r="G8347" s="107" t="str">
        <f aca="false">IF($C8347="","",$D8347*IFERROR(INDEX('تحليل التكلفة والسعر'!$C$2:$C$700,MATCH($C8347,'تحليل التكلفة والسعر'!$B$2:$B$700,0)),0))</f>
        <v/>
      </c>
    </row>
    <row r="8348" customFormat="false" ht="15" hidden="false" customHeight="false" outlineLevel="0" collapsed="false">
      <c r="A8348" s="103"/>
      <c r="B8348" s="104"/>
      <c r="C8348" s="104"/>
      <c r="E8348" s="107" t="str">
        <f aca="false">IF($C8348="","",IFERROR(INDEX(المنيو!$C$2:$C$500,MATCH($C8348,المنيو!$B$2:$B$500,0)),0))</f>
        <v/>
      </c>
      <c r="F8348" s="107" t="str">
        <f aca="false">IF($C8348="","",$D8348*$E8348)</f>
        <v/>
      </c>
      <c r="G8348" s="107" t="str">
        <f aca="false">IF($C8348="","",$D8348*IFERROR(INDEX('تحليل التكلفة والسعر'!$C$2:$C$700,MATCH($C8348,'تحليل التكلفة والسعر'!$B$2:$B$700,0)),0))</f>
        <v/>
      </c>
    </row>
    <row r="8349" customFormat="false" ht="15" hidden="false" customHeight="false" outlineLevel="0" collapsed="false">
      <c r="A8349" s="103"/>
      <c r="B8349" s="104"/>
      <c r="C8349" s="104"/>
      <c r="E8349" s="107" t="str">
        <f aca="false">IF($C8349="","",IFERROR(INDEX(المنيو!$C$2:$C$500,MATCH($C8349,المنيو!$B$2:$B$500,0)),0))</f>
        <v/>
      </c>
      <c r="F8349" s="107" t="str">
        <f aca="false">IF($C8349="","",$D8349*$E8349)</f>
        <v/>
      </c>
      <c r="G8349" s="107" t="str">
        <f aca="false">IF($C8349="","",$D8349*IFERROR(INDEX('تحليل التكلفة والسعر'!$C$2:$C$700,MATCH($C8349,'تحليل التكلفة والسعر'!$B$2:$B$700,0)),0))</f>
        <v/>
      </c>
    </row>
    <row r="8350" customFormat="false" ht="15" hidden="false" customHeight="false" outlineLevel="0" collapsed="false">
      <c r="A8350" s="103"/>
      <c r="B8350" s="104"/>
      <c r="C8350" s="104"/>
      <c r="E8350" s="107" t="str">
        <f aca="false">IF($C8350="","",IFERROR(INDEX(المنيو!$C$2:$C$500,MATCH($C8350,المنيو!$B$2:$B$500,0)),0))</f>
        <v/>
      </c>
      <c r="F8350" s="107" t="str">
        <f aca="false">IF($C8350="","",$D8350*$E8350)</f>
        <v/>
      </c>
      <c r="G8350" s="107" t="str">
        <f aca="false">IF($C8350="","",$D8350*IFERROR(INDEX('تحليل التكلفة والسعر'!$C$2:$C$700,MATCH($C8350,'تحليل التكلفة والسعر'!$B$2:$B$700,0)),0))</f>
        <v/>
      </c>
    </row>
    <row r="8351" customFormat="false" ht="15" hidden="false" customHeight="false" outlineLevel="0" collapsed="false">
      <c r="A8351" s="103"/>
      <c r="B8351" s="104"/>
      <c r="C8351" s="104"/>
      <c r="E8351" s="107" t="str">
        <f aca="false">IF($C8351="","",IFERROR(INDEX(المنيو!$C$2:$C$500,MATCH($C8351,المنيو!$B$2:$B$500,0)),0))</f>
        <v/>
      </c>
      <c r="F8351" s="107" t="str">
        <f aca="false">IF($C8351="","",$D8351*$E8351)</f>
        <v/>
      </c>
      <c r="G8351" s="107" t="str">
        <f aca="false">IF($C8351="","",$D8351*IFERROR(INDEX('تحليل التكلفة والسعر'!$C$2:$C$700,MATCH($C8351,'تحليل التكلفة والسعر'!$B$2:$B$700,0)),0))</f>
        <v/>
      </c>
    </row>
    <row r="8352" customFormat="false" ht="15" hidden="false" customHeight="false" outlineLevel="0" collapsed="false">
      <c r="A8352" s="103"/>
      <c r="B8352" s="104"/>
      <c r="C8352" s="104"/>
      <c r="E8352" s="107" t="str">
        <f aca="false">IF($C8352="","",IFERROR(INDEX(المنيو!$C$2:$C$500,MATCH($C8352,المنيو!$B$2:$B$500,0)),0))</f>
        <v/>
      </c>
      <c r="F8352" s="107" t="str">
        <f aca="false">IF($C8352="","",$D8352*$E8352)</f>
        <v/>
      </c>
      <c r="G8352" s="107" t="str">
        <f aca="false">IF($C8352="","",$D8352*IFERROR(INDEX('تحليل التكلفة والسعر'!$C$2:$C$700,MATCH($C8352,'تحليل التكلفة والسعر'!$B$2:$B$700,0)),0))</f>
        <v/>
      </c>
    </row>
    <row r="8353" customFormat="false" ht="15" hidden="false" customHeight="false" outlineLevel="0" collapsed="false">
      <c r="A8353" s="103"/>
      <c r="B8353" s="104"/>
      <c r="C8353" s="104"/>
      <c r="E8353" s="107" t="str">
        <f aca="false">IF($C8353="","",IFERROR(INDEX(المنيو!$C$2:$C$500,MATCH($C8353,المنيو!$B$2:$B$500,0)),0))</f>
        <v/>
      </c>
      <c r="F8353" s="107" t="str">
        <f aca="false">IF($C8353="","",$D8353*$E8353)</f>
        <v/>
      </c>
      <c r="G8353" s="107" t="str">
        <f aca="false">IF($C8353="","",$D8353*IFERROR(INDEX('تحليل التكلفة والسعر'!$C$2:$C$700,MATCH($C8353,'تحليل التكلفة والسعر'!$B$2:$B$700,0)),0))</f>
        <v/>
      </c>
    </row>
    <row r="8354" customFormat="false" ht="15" hidden="false" customHeight="false" outlineLevel="0" collapsed="false">
      <c r="A8354" s="103"/>
      <c r="B8354" s="104"/>
      <c r="C8354" s="104"/>
      <c r="E8354" s="107" t="str">
        <f aca="false">IF($C8354="","",IFERROR(INDEX(المنيو!$C$2:$C$500,MATCH($C8354,المنيو!$B$2:$B$500,0)),0))</f>
        <v/>
      </c>
      <c r="F8354" s="107" t="str">
        <f aca="false">IF($C8354="","",$D8354*$E8354)</f>
        <v/>
      </c>
      <c r="G8354" s="107" t="str">
        <f aca="false">IF($C8354="","",$D8354*IFERROR(INDEX('تحليل التكلفة والسعر'!$C$2:$C$700,MATCH($C8354,'تحليل التكلفة والسعر'!$B$2:$B$700,0)),0))</f>
        <v/>
      </c>
    </row>
    <row r="8355" customFormat="false" ht="15" hidden="false" customHeight="false" outlineLevel="0" collapsed="false">
      <c r="A8355" s="103"/>
      <c r="B8355" s="104"/>
      <c r="C8355" s="104"/>
      <c r="E8355" s="107" t="str">
        <f aca="false">IF($C8355="","",IFERROR(INDEX(المنيو!$C$2:$C$500,MATCH($C8355,المنيو!$B$2:$B$500,0)),0))</f>
        <v/>
      </c>
      <c r="F8355" s="107" t="str">
        <f aca="false">IF($C8355="","",$D8355*$E8355)</f>
        <v/>
      </c>
      <c r="G8355" s="107" t="str">
        <f aca="false">IF($C8355="","",$D8355*IFERROR(INDEX('تحليل التكلفة والسعر'!$C$2:$C$700,MATCH($C8355,'تحليل التكلفة والسعر'!$B$2:$B$700,0)),0))</f>
        <v/>
      </c>
    </row>
    <row r="8356" customFormat="false" ht="15" hidden="false" customHeight="false" outlineLevel="0" collapsed="false">
      <c r="A8356" s="103"/>
      <c r="B8356" s="104"/>
      <c r="C8356" s="104"/>
      <c r="E8356" s="107" t="str">
        <f aca="false">IF($C8356="","",IFERROR(INDEX(المنيو!$C$2:$C$500,MATCH($C8356,المنيو!$B$2:$B$500,0)),0))</f>
        <v/>
      </c>
      <c r="F8356" s="107" t="str">
        <f aca="false">IF($C8356="","",$D8356*$E8356)</f>
        <v/>
      </c>
      <c r="G8356" s="107" t="str">
        <f aca="false">IF($C8356="","",$D8356*IFERROR(INDEX('تحليل التكلفة والسعر'!$C$2:$C$700,MATCH($C8356,'تحليل التكلفة والسعر'!$B$2:$B$700,0)),0))</f>
        <v/>
      </c>
    </row>
    <row r="8357" customFormat="false" ht="15" hidden="false" customHeight="false" outlineLevel="0" collapsed="false">
      <c r="A8357" s="103"/>
      <c r="B8357" s="104"/>
      <c r="C8357" s="104"/>
      <c r="E8357" s="107" t="str">
        <f aca="false">IF($C8357="","",IFERROR(INDEX(المنيو!$C$2:$C$500,MATCH($C8357,المنيو!$B$2:$B$500,0)),0))</f>
        <v/>
      </c>
      <c r="F8357" s="107" t="str">
        <f aca="false">IF($C8357="","",$D8357*$E8357)</f>
        <v/>
      </c>
      <c r="G8357" s="107" t="str">
        <f aca="false">IF($C8357="","",$D8357*IFERROR(INDEX('تحليل التكلفة والسعر'!$C$2:$C$700,MATCH($C8357,'تحليل التكلفة والسعر'!$B$2:$B$700,0)),0))</f>
        <v/>
      </c>
    </row>
    <row r="8358" customFormat="false" ht="15" hidden="false" customHeight="false" outlineLevel="0" collapsed="false">
      <c r="A8358" s="103"/>
      <c r="B8358" s="104"/>
      <c r="C8358" s="104"/>
      <c r="E8358" s="107" t="str">
        <f aca="false">IF($C8358="","",IFERROR(INDEX(المنيو!$C$2:$C$500,MATCH($C8358,المنيو!$B$2:$B$500,0)),0))</f>
        <v/>
      </c>
      <c r="F8358" s="107" t="str">
        <f aca="false">IF($C8358="","",$D8358*$E8358)</f>
        <v/>
      </c>
      <c r="G8358" s="107" t="str">
        <f aca="false">IF($C8358="","",$D8358*IFERROR(INDEX('تحليل التكلفة والسعر'!$C$2:$C$700,MATCH($C8358,'تحليل التكلفة والسعر'!$B$2:$B$700,0)),0))</f>
        <v/>
      </c>
    </row>
    <row r="8359" customFormat="false" ht="15" hidden="false" customHeight="false" outlineLevel="0" collapsed="false">
      <c r="A8359" s="103"/>
      <c r="B8359" s="104"/>
      <c r="C8359" s="104"/>
      <c r="E8359" s="107" t="str">
        <f aca="false">IF($C8359="","",IFERROR(INDEX(المنيو!$C$2:$C$500,MATCH($C8359,المنيو!$B$2:$B$500,0)),0))</f>
        <v/>
      </c>
      <c r="F8359" s="107" t="str">
        <f aca="false">IF($C8359="","",$D8359*$E8359)</f>
        <v/>
      </c>
      <c r="G8359" s="107" t="str">
        <f aca="false">IF($C8359="","",$D8359*IFERROR(INDEX('تحليل التكلفة والسعر'!$C$2:$C$700,MATCH($C8359,'تحليل التكلفة والسعر'!$B$2:$B$700,0)),0))</f>
        <v/>
      </c>
    </row>
    <row r="8360" customFormat="false" ht="15" hidden="false" customHeight="false" outlineLevel="0" collapsed="false">
      <c r="A8360" s="103"/>
      <c r="B8360" s="104"/>
      <c r="C8360" s="104"/>
      <c r="E8360" s="107" t="str">
        <f aca="false">IF($C8360="","",IFERROR(INDEX(المنيو!$C$2:$C$500,MATCH($C8360,المنيو!$B$2:$B$500,0)),0))</f>
        <v/>
      </c>
      <c r="F8360" s="107" t="str">
        <f aca="false">IF($C8360="","",$D8360*$E8360)</f>
        <v/>
      </c>
      <c r="G8360" s="107" t="str">
        <f aca="false">IF($C8360="","",$D8360*IFERROR(INDEX('تحليل التكلفة والسعر'!$C$2:$C$700,MATCH($C8360,'تحليل التكلفة والسعر'!$B$2:$B$700,0)),0))</f>
        <v/>
      </c>
    </row>
    <row r="8361" customFormat="false" ht="15" hidden="false" customHeight="false" outlineLevel="0" collapsed="false">
      <c r="A8361" s="103"/>
      <c r="B8361" s="104"/>
      <c r="C8361" s="104"/>
      <c r="E8361" s="107" t="str">
        <f aca="false">IF($C8361="","",IFERROR(INDEX(المنيو!$C$2:$C$500,MATCH($C8361,المنيو!$B$2:$B$500,0)),0))</f>
        <v/>
      </c>
      <c r="F8361" s="107" t="str">
        <f aca="false">IF($C8361="","",$D8361*$E8361)</f>
        <v/>
      </c>
      <c r="G8361" s="107" t="str">
        <f aca="false">IF($C8361="","",$D8361*IFERROR(INDEX('تحليل التكلفة والسعر'!$C$2:$C$700,MATCH($C8361,'تحليل التكلفة والسعر'!$B$2:$B$700,0)),0))</f>
        <v/>
      </c>
    </row>
    <row r="8362" customFormat="false" ht="15" hidden="false" customHeight="false" outlineLevel="0" collapsed="false">
      <c r="A8362" s="103"/>
      <c r="B8362" s="104"/>
      <c r="C8362" s="104"/>
      <c r="E8362" s="107" t="str">
        <f aca="false">IF($C8362="","",IFERROR(INDEX(المنيو!$C$2:$C$500,MATCH($C8362,المنيو!$B$2:$B$500,0)),0))</f>
        <v/>
      </c>
      <c r="F8362" s="107" t="str">
        <f aca="false">IF($C8362="","",$D8362*$E8362)</f>
        <v/>
      </c>
      <c r="G8362" s="107" t="str">
        <f aca="false">IF($C8362="","",$D8362*IFERROR(INDEX('تحليل التكلفة والسعر'!$C$2:$C$700,MATCH($C8362,'تحليل التكلفة والسعر'!$B$2:$B$700,0)),0))</f>
        <v/>
      </c>
    </row>
    <row r="8363" customFormat="false" ht="15" hidden="false" customHeight="false" outlineLevel="0" collapsed="false">
      <c r="A8363" s="103"/>
      <c r="B8363" s="104"/>
      <c r="C8363" s="104"/>
      <c r="E8363" s="107" t="str">
        <f aca="false">IF($C8363="","",IFERROR(INDEX(المنيو!$C$2:$C$500,MATCH($C8363,المنيو!$B$2:$B$500,0)),0))</f>
        <v/>
      </c>
      <c r="F8363" s="107" t="str">
        <f aca="false">IF($C8363="","",$D8363*$E8363)</f>
        <v/>
      </c>
      <c r="G8363" s="107" t="str">
        <f aca="false">IF($C8363="","",$D8363*IFERROR(INDEX('تحليل التكلفة والسعر'!$C$2:$C$700,MATCH($C8363,'تحليل التكلفة والسعر'!$B$2:$B$700,0)),0))</f>
        <v/>
      </c>
    </row>
    <row r="8364" customFormat="false" ht="15" hidden="false" customHeight="false" outlineLevel="0" collapsed="false">
      <c r="A8364" s="103"/>
      <c r="B8364" s="104"/>
      <c r="C8364" s="104"/>
      <c r="E8364" s="107" t="str">
        <f aca="false">IF($C8364="","",IFERROR(INDEX(المنيو!$C$2:$C$500,MATCH($C8364,المنيو!$B$2:$B$500,0)),0))</f>
        <v/>
      </c>
      <c r="F8364" s="107" t="str">
        <f aca="false">IF($C8364="","",$D8364*$E8364)</f>
        <v/>
      </c>
      <c r="G8364" s="107" t="str">
        <f aca="false">IF($C8364="","",$D8364*IFERROR(INDEX('تحليل التكلفة والسعر'!$C$2:$C$700,MATCH($C8364,'تحليل التكلفة والسعر'!$B$2:$B$700,0)),0))</f>
        <v/>
      </c>
    </row>
    <row r="8365" customFormat="false" ht="15" hidden="false" customHeight="false" outlineLevel="0" collapsed="false">
      <c r="A8365" s="103"/>
      <c r="B8365" s="104"/>
      <c r="C8365" s="104"/>
      <c r="E8365" s="107" t="str">
        <f aca="false">IF($C8365="","",IFERROR(INDEX(المنيو!$C$2:$C$500,MATCH($C8365,المنيو!$B$2:$B$500,0)),0))</f>
        <v/>
      </c>
      <c r="F8365" s="107" t="str">
        <f aca="false">IF($C8365="","",$D8365*$E8365)</f>
        <v/>
      </c>
      <c r="G8365" s="107" t="str">
        <f aca="false">IF($C8365="","",$D8365*IFERROR(INDEX('تحليل التكلفة والسعر'!$C$2:$C$700,MATCH($C8365,'تحليل التكلفة والسعر'!$B$2:$B$700,0)),0))</f>
        <v/>
      </c>
    </row>
    <row r="8366" customFormat="false" ht="15" hidden="false" customHeight="false" outlineLevel="0" collapsed="false">
      <c r="A8366" s="103"/>
      <c r="B8366" s="104"/>
      <c r="C8366" s="104"/>
      <c r="E8366" s="107" t="str">
        <f aca="false">IF($C8366="","",IFERROR(INDEX(المنيو!$C$2:$C$500,MATCH($C8366,المنيو!$B$2:$B$500,0)),0))</f>
        <v/>
      </c>
      <c r="F8366" s="107" t="str">
        <f aca="false">IF($C8366="","",$D8366*$E8366)</f>
        <v/>
      </c>
      <c r="G8366" s="107" t="str">
        <f aca="false">IF($C8366="","",$D8366*IFERROR(INDEX('تحليل التكلفة والسعر'!$C$2:$C$700,MATCH($C8366,'تحليل التكلفة والسعر'!$B$2:$B$700,0)),0))</f>
        <v/>
      </c>
    </row>
    <row r="8367" customFormat="false" ht="15" hidden="false" customHeight="false" outlineLevel="0" collapsed="false">
      <c r="A8367" s="103"/>
      <c r="B8367" s="104"/>
      <c r="C8367" s="104"/>
      <c r="E8367" s="107" t="str">
        <f aca="false">IF($C8367="","",IFERROR(INDEX(المنيو!$C$2:$C$500,MATCH($C8367,المنيو!$B$2:$B$500,0)),0))</f>
        <v/>
      </c>
      <c r="F8367" s="107" t="str">
        <f aca="false">IF($C8367="","",$D8367*$E8367)</f>
        <v/>
      </c>
      <c r="G8367" s="107" t="str">
        <f aca="false">IF($C8367="","",$D8367*IFERROR(INDEX('تحليل التكلفة والسعر'!$C$2:$C$700,MATCH($C8367,'تحليل التكلفة والسعر'!$B$2:$B$700,0)),0))</f>
        <v/>
      </c>
    </row>
    <row r="8368" customFormat="false" ht="15" hidden="false" customHeight="false" outlineLevel="0" collapsed="false">
      <c r="A8368" s="103"/>
      <c r="B8368" s="104"/>
      <c r="C8368" s="104"/>
      <c r="E8368" s="107" t="str">
        <f aca="false">IF($C8368="","",IFERROR(INDEX(المنيو!$C$2:$C$500,MATCH($C8368,المنيو!$B$2:$B$500,0)),0))</f>
        <v/>
      </c>
      <c r="F8368" s="107" t="str">
        <f aca="false">IF($C8368="","",$D8368*$E8368)</f>
        <v/>
      </c>
      <c r="G8368" s="107" t="str">
        <f aca="false">IF($C8368="","",$D8368*IFERROR(INDEX('تحليل التكلفة والسعر'!$C$2:$C$700,MATCH($C8368,'تحليل التكلفة والسعر'!$B$2:$B$700,0)),0))</f>
        <v/>
      </c>
    </row>
    <row r="8369" customFormat="false" ht="15" hidden="false" customHeight="false" outlineLevel="0" collapsed="false">
      <c r="A8369" s="103"/>
      <c r="B8369" s="104"/>
      <c r="C8369" s="104"/>
      <c r="E8369" s="107" t="str">
        <f aca="false">IF($C8369="","",IFERROR(INDEX(المنيو!$C$2:$C$500,MATCH($C8369,المنيو!$B$2:$B$500,0)),0))</f>
        <v/>
      </c>
      <c r="F8369" s="107" t="str">
        <f aca="false">IF($C8369="","",$D8369*$E8369)</f>
        <v/>
      </c>
      <c r="G8369" s="107" t="str">
        <f aca="false">IF($C8369="","",$D8369*IFERROR(INDEX('تحليل التكلفة والسعر'!$C$2:$C$700,MATCH($C8369,'تحليل التكلفة والسعر'!$B$2:$B$700,0)),0))</f>
        <v/>
      </c>
    </row>
    <row r="8370" customFormat="false" ht="15" hidden="false" customHeight="false" outlineLevel="0" collapsed="false">
      <c r="A8370" s="103"/>
      <c r="B8370" s="104"/>
      <c r="C8370" s="104"/>
      <c r="E8370" s="107" t="str">
        <f aca="false">IF($C8370="","",IFERROR(INDEX(المنيو!$C$2:$C$500,MATCH($C8370,المنيو!$B$2:$B$500,0)),0))</f>
        <v/>
      </c>
      <c r="F8370" s="107" t="str">
        <f aca="false">IF($C8370="","",$D8370*$E8370)</f>
        <v/>
      </c>
      <c r="G8370" s="107" t="str">
        <f aca="false">IF($C8370="","",$D8370*IFERROR(INDEX('تحليل التكلفة والسعر'!$C$2:$C$700,MATCH($C8370,'تحليل التكلفة والسعر'!$B$2:$B$700,0)),0))</f>
        <v/>
      </c>
    </row>
    <row r="8371" customFormat="false" ht="15" hidden="false" customHeight="false" outlineLevel="0" collapsed="false">
      <c r="A8371" s="103"/>
      <c r="B8371" s="104"/>
      <c r="C8371" s="104"/>
      <c r="E8371" s="107" t="str">
        <f aca="false">IF($C8371="","",IFERROR(INDEX(المنيو!$C$2:$C$500,MATCH($C8371,المنيو!$B$2:$B$500,0)),0))</f>
        <v/>
      </c>
      <c r="F8371" s="107" t="str">
        <f aca="false">IF($C8371="","",$D8371*$E8371)</f>
        <v/>
      </c>
      <c r="G8371" s="107" t="str">
        <f aca="false">IF($C8371="","",$D8371*IFERROR(INDEX('تحليل التكلفة والسعر'!$C$2:$C$700,MATCH($C8371,'تحليل التكلفة والسعر'!$B$2:$B$700,0)),0))</f>
        <v/>
      </c>
    </row>
    <row r="8372" customFormat="false" ht="15" hidden="false" customHeight="false" outlineLevel="0" collapsed="false">
      <c r="A8372" s="103"/>
      <c r="B8372" s="104"/>
      <c r="C8372" s="104"/>
      <c r="E8372" s="107" t="str">
        <f aca="false">IF($C8372="","",IFERROR(INDEX(المنيو!$C$2:$C$500,MATCH($C8372,المنيو!$B$2:$B$500,0)),0))</f>
        <v/>
      </c>
      <c r="F8372" s="107" t="str">
        <f aca="false">IF($C8372="","",$D8372*$E8372)</f>
        <v/>
      </c>
      <c r="G8372" s="107" t="str">
        <f aca="false">IF($C8372="","",$D8372*IFERROR(INDEX('تحليل التكلفة والسعر'!$C$2:$C$700,MATCH($C8372,'تحليل التكلفة والسعر'!$B$2:$B$700,0)),0))</f>
        <v/>
      </c>
    </row>
    <row r="8373" customFormat="false" ht="15" hidden="false" customHeight="false" outlineLevel="0" collapsed="false">
      <c r="A8373" s="103"/>
      <c r="B8373" s="104"/>
      <c r="C8373" s="104"/>
      <c r="E8373" s="107" t="str">
        <f aca="false">IF($C8373="","",IFERROR(INDEX(المنيو!$C$2:$C$500,MATCH($C8373,المنيو!$B$2:$B$500,0)),0))</f>
        <v/>
      </c>
      <c r="F8373" s="107" t="str">
        <f aca="false">IF($C8373="","",$D8373*$E8373)</f>
        <v/>
      </c>
      <c r="G8373" s="107" t="str">
        <f aca="false">IF($C8373="","",$D8373*IFERROR(INDEX('تحليل التكلفة والسعر'!$C$2:$C$700,MATCH($C8373,'تحليل التكلفة والسعر'!$B$2:$B$700,0)),0))</f>
        <v/>
      </c>
    </row>
    <row r="8374" customFormat="false" ht="15" hidden="false" customHeight="false" outlineLevel="0" collapsed="false">
      <c r="A8374" s="103"/>
      <c r="B8374" s="104"/>
      <c r="C8374" s="104"/>
      <c r="E8374" s="107" t="str">
        <f aca="false">IF($C8374="","",IFERROR(INDEX(المنيو!$C$2:$C$500,MATCH($C8374,المنيو!$B$2:$B$500,0)),0))</f>
        <v/>
      </c>
      <c r="F8374" s="107" t="str">
        <f aca="false">IF($C8374="","",$D8374*$E8374)</f>
        <v/>
      </c>
      <c r="G8374" s="107" t="str">
        <f aca="false">IF($C8374="","",$D8374*IFERROR(INDEX('تحليل التكلفة والسعر'!$C$2:$C$700,MATCH($C8374,'تحليل التكلفة والسعر'!$B$2:$B$700,0)),0))</f>
        <v/>
      </c>
    </row>
    <row r="8375" customFormat="false" ht="15" hidden="false" customHeight="false" outlineLevel="0" collapsed="false">
      <c r="A8375" s="103"/>
      <c r="B8375" s="104"/>
      <c r="C8375" s="104"/>
      <c r="E8375" s="107" t="str">
        <f aca="false">IF($C8375="","",IFERROR(INDEX(المنيو!$C$2:$C$500,MATCH($C8375,المنيو!$B$2:$B$500,0)),0))</f>
        <v/>
      </c>
      <c r="F8375" s="107" t="str">
        <f aca="false">IF($C8375="","",$D8375*$E8375)</f>
        <v/>
      </c>
      <c r="G8375" s="107" t="str">
        <f aca="false">IF($C8375="","",$D8375*IFERROR(INDEX('تحليل التكلفة والسعر'!$C$2:$C$700,MATCH($C8375,'تحليل التكلفة والسعر'!$B$2:$B$700,0)),0))</f>
        <v/>
      </c>
    </row>
    <row r="8376" customFormat="false" ht="15" hidden="false" customHeight="false" outlineLevel="0" collapsed="false">
      <c r="A8376" s="103"/>
      <c r="B8376" s="104"/>
      <c r="C8376" s="104"/>
      <c r="E8376" s="107" t="str">
        <f aca="false">IF($C8376="","",IFERROR(INDEX(المنيو!$C$2:$C$500,MATCH($C8376,المنيو!$B$2:$B$500,0)),0))</f>
        <v/>
      </c>
      <c r="F8376" s="107" t="str">
        <f aca="false">IF($C8376="","",$D8376*$E8376)</f>
        <v/>
      </c>
      <c r="G8376" s="107" t="str">
        <f aca="false">IF($C8376="","",$D8376*IFERROR(INDEX('تحليل التكلفة والسعر'!$C$2:$C$700,MATCH($C8376,'تحليل التكلفة والسعر'!$B$2:$B$700,0)),0))</f>
        <v/>
      </c>
    </row>
    <row r="8377" customFormat="false" ht="15" hidden="false" customHeight="false" outlineLevel="0" collapsed="false">
      <c r="A8377" s="103"/>
      <c r="B8377" s="104"/>
      <c r="C8377" s="104"/>
      <c r="E8377" s="107" t="str">
        <f aca="false">IF($C8377="","",IFERROR(INDEX(المنيو!$C$2:$C$500,MATCH($C8377,المنيو!$B$2:$B$500,0)),0))</f>
        <v/>
      </c>
      <c r="F8377" s="107" t="str">
        <f aca="false">IF($C8377="","",$D8377*$E8377)</f>
        <v/>
      </c>
      <c r="G8377" s="107" t="str">
        <f aca="false">IF($C8377="","",$D8377*IFERROR(INDEX('تحليل التكلفة والسعر'!$C$2:$C$700,MATCH($C8377,'تحليل التكلفة والسعر'!$B$2:$B$700,0)),0))</f>
        <v/>
      </c>
    </row>
    <row r="8378" customFormat="false" ht="15" hidden="false" customHeight="false" outlineLevel="0" collapsed="false">
      <c r="A8378" s="103"/>
      <c r="B8378" s="104"/>
      <c r="C8378" s="104"/>
      <c r="E8378" s="107" t="str">
        <f aca="false">IF($C8378="","",IFERROR(INDEX(المنيو!$C$2:$C$500,MATCH($C8378,المنيو!$B$2:$B$500,0)),0))</f>
        <v/>
      </c>
      <c r="F8378" s="107" t="str">
        <f aca="false">IF($C8378="","",$D8378*$E8378)</f>
        <v/>
      </c>
      <c r="G8378" s="107" t="str">
        <f aca="false">IF($C8378="","",$D8378*IFERROR(INDEX('تحليل التكلفة والسعر'!$C$2:$C$700,MATCH($C8378,'تحليل التكلفة والسعر'!$B$2:$B$700,0)),0))</f>
        <v/>
      </c>
    </row>
    <row r="8379" customFormat="false" ht="15" hidden="false" customHeight="false" outlineLevel="0" collapsed="false">
      <c r="A8379" s="103"/>
      <c r="B8379" s="104"/>
      <c r="C8379" s="104"/>
      <c r="E8379" s="107" t="str">
        <f aca="false">IF($C8379="","",IFERROR(INDEX(المنيو!$C$2:$C$500,MATCH($C8379,المنيو!$B$2:$B$500,0)),0))</f>
        <v/>
      </c>
      <c r="F8379" s="107" t="str">
        <f aca="false">IF($C8379="","",$D8379*$E8379)</f>
        <v/>
      </c>
      <c r="G8379" s="107" t="str">
        <f aca="false">IF($C8379="","",$D8379*IFERROR(INDEX('تحليل التكلفة والسعر'!$C$2:$C$700,MATCH($C8379,'تحليل التكلفة والسعر'!$B$2:$B$700,0)),0))</f>
        <v/>
      </c>
    </row>
    <row r="8380" customFormat="false" ht="15" hidden="false" customHeight="false" outlineLevel="0" collapsed="false">
      <c r="A8380" s="103"/>
      <c r="B8380" s="104"/>
      <c r="C8380" s="104"/>
      <c r="E8380" s="107" t="str">
        <f aca="false">IF($C8380="","",IFERROR(INDEX(المنيو!$C$2:$C$500,MATCH($C8380,المنيو!$B$2:$B$500,0)),0))</f>
        <v/>
      </c>
      <c r="F8380" s="107" t="str">
        <f aca="false">IF($C8380="","",$D8380*$E8380)</f>
        <v/>
      </c>
      <c r="G8380" s="107" t="str">
        <f aca="false">IF($C8380="","",$D8380*IFERROR(INDEX('تحليل التكلفة والسعر'!$C$2:$C$700,MATCH($C8380,'تحليل التكلفة والسعر'!$B$2:$B$700,0)),0))</f>
        <v/>
      </c>
    </row>
    <row r="8381" customFormat="false" ht="15" hidden="false" customHeight="false" outlineLevel="0" collapsed="false">
      <c r="A8381" s="103"/>
      <c r="B8381" s="104"/>
      <c r="C8381" s="104"/>
      <c r="E8381" s="107" t="str">
        <f aca="false">IF($C8381="","",IFERROR(INDEX(المنيو!$C$2:$C$500,MATCH($C8381,المنيو!$B$2:$B$500,0)),0))</f>
        <v/>
      </c>
      <c r="F8381" s="107" t="str">
        <f aca="false">IF($C8381="","",$D8381*$E8381)</f>
        <v/>
      </c>
      <c r="G8381" s="107" t="str">
        <f aca="false">IF($C8381="","",$D8381*IFERROR(INDEX('تحليل التكلفة والسعر'!$C$2:$C$700,MATCH($C8381,'تحليل التكلفة والسعر'!$B$2:$B$700,0)),0))</f>
        <v/>
      </c>
    </row>
    <row r="8382" customFormat="false" ht="15" hidden="false" customHeight="false" outlineLevel="0" collapsed="false">
      <c r="A8382" s="103"/>
      <c r="B8382" s="104"/>
      <c r="C8382" s="104"/>
      <c r="E8382" s="107" t="str">
        <f aca="false">IF($C8382="","",IFERROR(INDEX(المنيو!$C$2:$C$500,MATCH($C8382,المنيو!$B$2:$B$500,0)),0))</f>
        <v/>
      </c>
      <c r="F8382" s="107" t="str">
        <f aca="false">IF($C8382="","",$D8382*$E8382)</f>
        <v/>
      </c>
      <c r="G8382" s="107" t="str">
        <f aca="false">IF($C8382="","",$D8382*IFERROR(INDEX('تحليل التكلفة والسعر'!$C$2:$C$700,MATCH($C8382,'تحليل التكلفة والسعر'!$B$2:$B$700,0)),0))</f>
        <v/>
      </c>
    </row>
    <row r="8383" customFormat="false" ht="15" hidden="false" customHeight="false" outlineLevel="0" collapsed="false">
      <c r="A8383" s="103"/>
      <c r="B8383" s="104"/>
      <c r="C8383" s="104"/>
      <c r="E8383" s="107" t="str">
        <f aca="false">IF($C8383="","",IFERROR(INDEX(المنيو!$C$2:$C$500,MATCH($C8383,المنيو!$B$2:$B$500,0)),0))</f>
        <v/>
      </c>
      <c r="F8383" s="107" t="str">
        <f aca="false">IF($C8383="","",$D8383*$E8383)</f>
        <v/>
      </c>
      <c r="G8383" s="107" t="str">
        <f aca="false">IF($C8383="","",$D8383*IFERROR(INDEX('تحليل التكلفة والسعر'!$C$2:$C$700,MATCH($C8383,'تحليل التكلفة والسعر'!$B$2:$B$700,0)),0))</f>
        <v/>
      </c>
    </row>
    <row r="8384" customFormat="false" ht="15" hidden="false" customHeight="false" outlineLevel="0" collapsed="false">
      <c r="A8384" s="103"/>
      <c r="B8384" s="104"/>
      <c r="C8384" s="104"/>
      <c r="E8384" s="107" t="str">
        <f aca="false">IF($C8384="","",IFERROR(INDEX(المنيو!$C$2:$C$500,MATCH($C8384,المنيو!$B$2:$B$500,0)),0))</f>
        <v/>
      </c>
      <c r="F8384" s="107" t="str">
        <f aca="false">IF($C8384="","",$D8384*$E8384)</f>
        <v/>
      </c>
      <c r="G8384" s="107" t="str">
        <f aca="false">IF($C8384="","",$D8384*IFERROR(INDEX('تحليل التكلفة والسعر'!$C$2:$C$700,MATCH($C8384,'تحليل التكلفة والسعر'!$B$2:$B$700,0)),0))</f>
        <v/>
      </c>
    </row>
    <row r="8385" customFormat="false" ht="15" hidden="false" customHeight="false" outlineLevel="0" collapsed="false">
      <c r="A8385" s="103"/>
      <c r="B8385" s="104"/>
      <c r="C8385" s="104"/>
      <c r="E8385" s="107" t="str">
        <f aca="false">IF($C8385="","",IFERROR(INDEX(المنيو!$C$2:$C$500,MATCH($C8385,المنيو!$B$2:$B$500,0)),0))</f>
        <v/>
      </c>
      <c r="F8385" s="107" t="str">
        <f aca="false">IF($C8385="","",$D8385*$E8385)</f>
        <v/>
      </c>
      <c r="G8385" s="107" t="str">
        <f aca="false">IF($C8385="","",$D8385*IFERROR(INDEX('تحليل التكلفة والسعر'!$C$2:$C$700,MATCH($C8385,'تحليل التكلفة والسعر'!$B$2:$B$700,0)),0))</f>
        <v/>
      </c>
    </row>
    <row r="8386" customFormat="false" ht="15" hidden="false" customHeight="false" outlineLevel="0" collapsed="false">
      <c r="A8386" s="103"/>
      <c r="B8386" s="104"/>
      <c r="C8386" s="104"/>
      <c r="E8386" s="107" t="str">
        <f aca="false">IF($C8386="","",IFERROR(INDEX(المنيو!$C$2:$C$500,MATCH($C8386,المنيو!$B$2:$B$500,0)),0))</f>
        <v/>
      </c>
      <c r="F8386" s="107" t="str">
        <f aca="false">IF($C8386="","",$D8386*$E8386)</f>
        <v/>
      </c>
      <c r="G8386" s="107" t="str">
        <f aca="false">IF($C8386="","",$D8386*IFERROR(INDEX('تحليل التكلفة والسعر'!$C$2:$C$700,MATCH($C8386,'تحليل التكلفة والسعر'!$B$2:$B$700,0)),0))</f>
        <v/>
      </c>
    </row>
    <row r="8387" customFormat="false" ht="15" hidden="false" customHeight="false" outlineLevel="0" collapsed="false">
      <c r="A8387" s="103"/>
      <c r="B8387" s="104"/>
      <c r="C8387" s="104"/>
      <c r="E8387" s="107" t="str">
        <f aca="false">IF($C8387="","",IFERROR(INDEX(المنيو!$C$2:$C$500,MATCH($C8387,المنيو!$B$2:$B$500,0)),0))</f>
        <v/>
      </c>
      <c r="F8387" s="107" t="str">
        <f aca="false">IF($C8387="","",$D8387*$E8387)</f>
        <v/>
      </c>
      <c r="G8387" s="107" t="str">
        <f aca="false">IF($C8387="","",$D8387*IFERROR(INDEX('تحليل التكلفة والسعر'!$C$2:$C$700,MATCH($C8387,'تحليل التكلفة والسعر'!$B$2:$B$700,0)),0))</f>
        <v/>
      </c>
    </row>
    <row r="8388" customFormat="false" ht="15" hidden="false" customHeight="false" outlineLevel="0" collapsed="false">
      <c r="A8388" s="103"/>
      <c r="B8388" s="104"/>
      <c r="C8388" s="104"/>
      <c r="E8388" s="107" t="str">
        <f aca="false">IF($C8388="","",IFERROR(INDEX(المنيو!$C$2:$C$500,MATCH($C8388,المنيو!$B$2:$B$500,0)),0))</f>
        <v/>
      </c>
      <c r="F8388" s="107" t="str">
        <f aca="false">IF($C8388="","",$D8388*$E8388)</f>
        <v/>
      </c>
      <c r="G8388" s="107" t="str">
        <f aca="false">IF($C8388="","",$D8388*IFERROR(INDEX('تحليل التكلفة والسعر'!$C$2:$C$700,MATCH($C8388,'تحليل التكلفة والسعر'!$B$2:$B$700,0)),0))</f>
        <v/>
      </c>
    </row>
    <row r="8389" customFormat="false" ht="15" hidden="false" customHeight="false" outlineLevel="0" collapsed="false">
      <c r="A8389" s="103"/>
      <c r="B8389" s="104"/>
      <c r="C8389" s="104"/>
      <c r="E8389" s="107" t="str">
        <f aca="false">IF($C8389="","",IFERROR(INDEX(المنيو!$C$2:$C$500,MATCH($C8389,المنيو!$B$2:$B$500,0)),0))</f>
        <v/>
      </c>
      <c r="F8389" s="107" t="str">
        <f aca="false">IF($C8389="","",$D8389*$E8389)</f>
        <v/>
      </c>
      <c r="G8389" s="107" t="str">
        <f aca="false">IF($C8389="","",$D8389*IFERROR(INDEX('تحليل التكلفة والسعر'!$C$2:$C$700,MATCH($C8389,'تحليل التكلفة والسعر'!$B$2:$B$700,0)),0))</f>
        <v/>
      </c>
    </row>
    <row r="8390" customFormat="false" ht="15" hidden="false" customHeight="false" outlineLevel="0" collapsed="false">
      <c r="A8390" s="103"/>
      <c r="B8390" s="104"/>
      <c r="C8390" s="104"/>
      <c r="E8390" s="107" t="str">
        <f aca="false">IF($C8390="","",IFERROR(INDEX(المنيو!$C$2:$C$500,MATCH($C8390,المنيو!$B$2:$B$500,0)),0))</f>
        <v/>
      </c>
      <c r="F8390" s="107" t="str">
        <f aca="false">IF($C8390="","",$D8390*$E8390)</f>
        <v/>
      </c>
      <c r="G8390" s="107" t="str">
        <f aca="false">IF($C8390="","",$D8390*IFERROR(INDEX('تحليل التكلفة والسعر'!$C$2:$C$700,MATCH($C8390,'تحليل التكلفة والسعر'!$B$2:$B$700,0)),0))</f>
        <v/>
      </c>
    </row>
    <row r="8391" customFormat="false" ht="15" hidden="false" customHeight="false" outlineLevel="0" collapsed="false">
      <c r="A8391" s="103"/>
      <c r="B8391" s="104"/>
      <c r="C8391" s="104"/>
      <c r="E8391" s="107" t="str">
        <f aca="false">IF($C8391="","",IFERROR(INDEX(المنيو!$C$2:$C$500,MATCH($C8391,المنيو!$B$2:$B$500,0)),0))</f>
        <v/>
      </c>
      <c r="F8391" s="107" t="str">
        <f aca="false">IF($C8391="","",$D8391*$E8391)</f>
        <v/>
      </c>
      <c r="G8391" s="107" t="str">
        <f aca="false">IF($C8391="","",$D8391*IFERROR(INDEX('تحليل التكلفة والسعر'!$C$2:$C$700,MATCH($C8391,'تحليل التكلفة والسعر'!$B$2:$B$700,0)),0))</f>
        <v/>
      </c>
    </row>
    <row r="8392" customFormat="false" ht="15" hidden="false" customHeight="false" outlineLevel="0" collapsed="false">
      <c r="A8392" s="103"/>
      <c r="B8392" s="104"/>
      <c r="C8392" s="104"/>
      <c r="E8392" s="107" t="str">
        <f aca="false">IF($C8392="","",IFERROR(INDEX(المنيو!$C$2:$C$500,MATCH($C8392,المنيو!$B$2:$B$500,0)),0))</f>
        <v/>
      </c>
      <c r="F8392" s="107" t="str">
        <f aca="false">IF($C8392="","",$D8392*$E8392)</f>
        <v/>
      </c>
      <c r="G8392" s="107" t="str">
        <f aca="false">IF($C8392="","",$D8392*IFERROR(INDEX('تحليل التكلفة والسعر'!$C$2:$C$700,MATCH($C8392,'تحليل التكلفة والسعر'!$B$2:$B$700,0)),0))</f>
        <v/>
      </c>
    </row>
    <row r="8393" customFormat="false" ht="15" hidden="false" customHeight="false" outlineLevel="0" collapsed="false">
      <c r="A8393" s="103"/>
      <c r="B8393" s="104"/>
      <c r="C8393" s="104"/>
      <c r="E8393" s="107" t="str">
        <f aca="false">IF($C8393="","",IFERROR(INDEX(المنيو!$C$2:$C$500,MATCH($C8393,المنيو!$B$2:$B$500,0)),0))</f>
        <v/>
      </c>
      <c r="F8393" s="107" t="str">
        <f aca="false">IF($C8393="","",$D8393*$E8393)</f>
        <v/>
      </c>
      <c r="G8393" s="107" t="str">
        <f aca="false">IF($C8393="","",$D8393*IFERROR(INDEX('تحليل التكلفة والسعر'!$C$2:$C$700,MATCH($C8393,'تحليل التكلفة والسعر'!$B$2:$B$700,0)),0))</f>
        <v/>
      </c>
    </row>
    <row r="8394" customFormat="false" ht="15" hidden="false" customHeight="false" outlineLevel="0" collapsed="false">
      <c r="A8394" s="103"/>
      <c r="B8394" s="104"/>
      <c r="C8394" s="104"/>
      <c r="E8394" s="107" t="str">
        <f aca="false">IF($C8394="","",IFERROR(INDEX(المنيو!$C$2:$C$500,MATCH($C8394,المنيو!$B$2:$B$500,0)),0))</f>
        <v/>
      </c>
      <c r="F8394" s="107" t="str">
        <f aca="false">IF($C8394="","",$D8394*$E8394)</f>
        <v/>
      </c>
      <c r="G8394" s="107" t="str">
        <f aca="false">IF($C8394="","",$D8394*IFERROR(INDEX('تحليل التكلفة والسعر'!$C$2:$C$700,MATCH($C8394,'تحليل التكلفة والسعر'!$B$2:$B$700,0)),0))</f>
        <v/>
      </c>
    </row>
    <row r="8395" customFormat="false" ht="15" hidden="false" customHeight="false" outlineLevel="0" collapsed="false">
      <c r="A8395" s="103"/>
      <c r="B8395" s="104"/>
      <c r="C8395" s="104"/>
      <c r="E8395" s="107" t="str">
        <f aca="false">IF($C8395="","",IFERROR(INDEX(المنيو!$C$2:$C$500,MATCH($C8395,المنيو!$B$2:$B$500,0)),0))</f>
        <v/>
      </c>
      <c r="F8395" s="107" t="str">
        <f aca="false">IF($C8395="","",$D8395*$E8395)</f>
        <v/>
      </c>
      <c r="G8395" s="107" t="str">
        <f aca="false">IF($C8395="","",$D8395*IFERROR(INDEX('تحليل التكلفة والسعر'!$C$2:$C$700,MATCH($C8395,'تحليل التكلفة والسعر'!$B$2:$B$700,0)),0))</f>
        <v/>
      </c>
    </row>
    <row r="8396" customFormat="false" ht="15" hidden="false" customHeight="false" outlineLevel="0" collapsed="false">
      <c r="A8396" s="103"/>
      <c r="B8396" s="104"/>
      <c r="C8396" s="104"/>
      <c r="E8396" s="107" t="str">
        <f aca="false">IF($C8396="","",IFERROR(INDEX(المنيو!$C$2:$C$500,MATCH($C8396,المنيو!$B$2:$B$500,0)),0))</f>
        <v/>
      </c>
      <c r="F8396" s="107" t="str">
        <f aca="false">IF($C8396="","",$D8396*$E8396)</f>
        <v/>
      </c>
      <c r="G8396" s="107" t="str">
        <f aca="false">IF($C8396="","",$D8396*IFERROR(INDEX('تحليل التكلفة والسعر'!$C$2:$C$700,MATCH($C8396,'تحليل التكلفة والسعر'!$B$2:$B$700,0)),0))</f>
        <v/>
      </c>
    </row>
    <row r="8397" customFormat="false" ht="15" hidden="false" customHeight="false" outlineLevel="0" collapsed="false">
      <c r="A8397" s="103"/>
      <c r="B8397" s="104"/>
      <c r="C8397" s="104"/>
      <c r="E8397" s="107" t="str">
        <f aca="false">IF($C8397="","",IFERROR(INDEX(المنيو!$C$2:$C$500,MATCH($C8397,المنيو!$B$2:$B$500,0)),0))</f>
        <v/>
      </c>
      <c r="F8397" s="107" t="str">
        <f aca="false">IF($C8397="","",$D8397*$E8397)</f>
        <v/>
      </c>
      <c r="G8397" s="107" t="str">
        <f aca="false">IF($C8397="","",$D8397*IFERROR(INDEX('تحليل التكلفة والسعر'!$C$2:$C$700,MATCH($C8397,'تحليل التكلفة والسعر'!$B$2:$B$700,0)),0))</f>
        <v/>
      </c>
    </row>
    <row r="8398" customFormat="false" ht="15" hidden="false" customHeight="false" outlineLevel="0" collapsed="false">
      <c r="A8398" s="103"/>
      <c r="B8398" s="104"/>
      <c r="C8398" s="104"/>
      <c r="E8398" s="107" t="str">
        <f aca="false">IF($C8398="","",IFERROR(INDEX(المنيو!$C$2:$C$500,MATCH($C8398,المنيو!$B$2:$B$500,0)),0))</f>
        <v/>
      </c>
      <c r="F8398" s="107" t="str">
        <f aca="false">IF($C8398="","",$D8398*$E8398)</f>
        <v/>
      </c>
      <c r="G8398" s="107" t="str">
        <f aca="false">IF($C8398="","",$D8398*IFERROR(INDEX('تحليل التكلفة والسعر'!$C$2:$C$700,MATCH($C8398,'تحليل التكلفة والسعر'!$B$2:$B$700,0)),0))</f>
        <v/>
      </c>
    </row>
    <row r="8399" customFormat="false" ht="15" hidden="false" customHeight="false" outlineLevel="0" collapsed="false">
      <c r="A8399" s="103"/>
      <c r="B8399" s="104"/>
      <c r="C8399" s="104"/>
      <c r="E8399" s="107" t="str">
        <f aca="false">IF($C8399="","",IFERROR(INDEX(المنيو!$C$2:$C$500,MATCH($C8399,المنيو!$B$2:$B$500,0)),0))</f>
        <v/>
      </c>
      <c r="F8399" s="107" t="str">
        <f aca="false">IF($C8399="","",$D8399*$E8399)</f>
        <v/>
      </c>
      <c r="G8399" s="107" t="str">
        <f aca="false">IF($C8399="","",$D8399*IFERROR(INDEX('تحليل التكلفة والسعر'!$C$2:$C$700,MATCH($C8399,'تحليل التكلفة والسعر'!$B$2:$B$700,0)),0))</f>
        <v/>
      </c>
    </row>
    <row r="8400" customFormat="false" ht="15" hidden="false" customHeight="false" outlineLevel="0" collapsed="false">
      <c r="A8400" s="103"/>
      <c r="B8400" s="104"/>
      <c r="C8400" s="104"/>
      <c r="E8400" s="107" t="str">
        <f aca="false">IF($C8400="","",IFERROR(INDEX(المنيو!$C$2:$C$500,MATCH($C8400,المنيو!$B$2:$B$500,0)),0))</f>
        <v/>
      </c>
      <c r="F8400" s="107" t="str">
        <f aca="false">IF($C8400="","",$D8400*$E8400)</f>
        <v/>
      </c>
      <c r="G8400" s="107" t="str">
        <f aca="false">IF($C8400="","",$D8400*IFERROR(INDEX('تحليل التكلفة والسعر'!$C$2:$C$700,MATCH($C8400,'تحليل التكلفة والسعر'!$B$2:$B$700,0)),0))</f>
        <v/>
      </c>
    </row>
    <row r="8401" customFormat="false" ht="15" hidden="false" customHeight="false" outlineLevel="0" collapsed="false">
      <c r="A8401" s="103"/>
      <c r="B8401" s="104"/>
      <c r="C8401" s="104"/>
      <c r="E8401" s="107" t="str">
        <f aca="false">IF($C8401="","",IFERROR(INDEX(المنيو!$C$2:$C$500,MATCH($C8401,المنيو!$B$2:$B$500,0)),0))</f>
        <v/>
      </c>
      <c r="F8401" s="107" t="str">
        <f aca="false">IF($C8401="","",$D8401*$E8401)</f>
        <v/>
      </c>
      <c r="G8401" s="107" t="str">
        <f aca="false">IF($C8401="","",$D8401*IFERROR(INDEX('تحليل التكلفة والسعر'!$C$2:$C$700,MATCH($C8401,'تحليل التكلفة والسعر'!$B$2:$B$700,0)),0))</f>
        <v/>
      </c>
    </row>
    <row r="8402" customFormat="false" ht="15" hidden="false" customHeight="false" outlineLevel="0" collapsed="false">
      <c r="A8402" s="103"/>
      <c r="B8402" s="104"/>
      <c r="C8402" s="104"/>
      <c r="E8402" s="107" t="str">
        <f aca="false">IF($C8402="","",IFERROR(INDEX(المنيو!$C$2:$C$500,MATCH($C8402,المنيو!$B$2:$B$500,0)),0))</f>
        <v/>
      </c>
      <c r="F8402" s="107" t="str">
        <f aca="false">IF($C8402="","",$D8402*$E8402)</f>
        <v/>
      </c>
      <c r="G8402" s="107" t="str">
        <f aca="false">IF($C8402="","",$D8402*IFERROR(INDEX('تحليل التكلفة والسعر'!$C$2:$C$700,MATCH($C8402,'تحليل التكلفة والسعر'!$B$2:$B$700,0)),0))</f>
        <v/>
      </c>
    </row>
    <row r="8403" customFormat="false" ht="15" hidden="false" customHeight="false" outlineLevel="0" collapsed="false">
      <c r="A8403" s="103"/>
      <c r="B8403" s="104"/>
      <c r="C8403" s="104"/>
      <c r="E8403" s="107" t="str">
        <f aca="false">IF($C8403="","",IFERROR(INDEX(المنيو!$C$2:$C$500,MATCH($C8403,المنيو!$B$2:$B$500,0)),0))</f>
        <v/>
      </c>
      <c r="F8403" s="107" t="str">
        <f aca="false">IF($C8403="","",$D8403*$E8403)</f>
        <v/>
      </c>
      <c r="G8403" s="107" t="str">
        <f aca="false">IF($C8403="","",$D8403*IFERROR(INDEX('تحليل التكلفة والسعر'!$C$2:$C$700,MATCH($C8403,'تحليل التكلفة والسعر'!$B$2:$B$700,0)),0))</f>
        <v/>
      </c>
    </row>
    <row r="8404" customFormat="false" ht="15" hidden="false" customHeight="false" outlineLevel="0" collapsed="false">
      <c r="A8404" s="103"/>
      <c r="B8404" s="104"/>
      <c r="C8404" s="104"/>
      <c r="E8404" s="107" t="str">
        <f aca="false">IF($C8404="","",IFERROR(INDEX(المنيو!$C$2:$C$500,MATCH($C8404,المنيو!$B$2:$B$500,0)),0))</f>
        <v/>
      </c>
      <c r="F8404" s="107" t="str">
        <f aca="false">IF($C8404="","",$D8404*$E8404)</f>
        <v/>
      </c>
      <c r="G8404" s="107" t="str">
        <f aca="false">IF($C8404="","",$D8404*IFERROR(INDEX('تحليل التكلفة والسعر'!$C$2:$C$700,MATCH($C8404,'تحليل التكلفة والسعر'!$B$2:$B$700,0)),0))</f>
        <v/>
      </c>
    </row>
    <row r="8405" customFormat="false" ht="15" hidden="false" customHeight="false" outlineLevel="0" collapsed="false">
      <c r="A8405" s="103"/>
      <c r="B8405" s="104"/>
      <c r="C8405" s="104"/>
      <c r="E8405" s="107" t="str">
        <f aca="false">IF($C8405="","",IFERROR(INDEX(المنيو!$C$2:$C$500,MATCH($C8405,المنيو!$B$2:$B$500,0)),0))</f>
        <v/>
      </c>
      <c r="F8405" s="107" t="str">
        <f aca="false">IF($C8405="","",$D8405*$E8405)</f>
        <v/>
      </c>
      <c r="G8405" s="107" t="str">
        <f aca="false">IF($C8405="","",$D8405*IFERROR(INDEX('تحليل التكلفة والسعر'!$C$2:$C$700,MATCH($C8405,'تحليل التكلفة والسعر'!$B$2:$B$700,0)),0))</f>
        <v/>
      </c>
    </row>
    <row r="8406" customFormat="false" ht="15" hidden="false" customHeight="false" outlineLevel="0" collapsed="false">
      <c r="A8406" s="103"/>
      <c r="B8406" s="104"/>
      <c r="C8406" s="104"/>
      <c r="E8406" s="107" t="str">
        <f aca="false">IF($C8406="","",IFERROR(INDEX(المنيو!$C$2:$C$500,MATCH($C8406,المنيو!$B$2:$B$500,0)),0))</f>
        <v/>
      </c>
      <c r="F8406" s="107" t="str">
        <f aca="false">IF($C8406="","",$D8406*$E8406)</f>
        <v/>
      </c>
      <c r="G8406" s="107" t="str">
        <f aca="false">IF($C8406="","",$D8406*IFERROR(INDEX('تحليل التكلفة والسعر'!$C$2:$C$700,MATCH($C8406,'تحليل التكلفة والسعر'!$B$2:$B$700,0)),0))</f>
        <v/>
      </c>
    </row>
    <row r="8407" customFormat="false" ht="15" hidden="false" customHeight="false" outlineLevel="0" collapsed="false">
      <c r="A8407" s="103"/>
      <c r="B8407" s="104"/>
      <c r="C8407" s="104"/>
      <c r="E8407" s="107" t="str">
        <f aca="false">IF($C8407="","",IFERROR(INDEX(المنيو!$C$2:$C$500,MATCH($C8407,المنيو!$B$2:$B$500,0)),0))</f>
        <v/>
      </c>
      <c r="F8407" s="107" t="str">
        <f aca="false">IF($C8407="","",$D8407*$E8407)</f>
        <v/>
      </c>
      <c r="G8407" s="107" t="str">
        <f aca="false">IF($C8407="","",$D8407*IFERROR(INDEX('تحليل التكلفة والسعر'!$C$2:$C$700,MATCH($C8407,'تحليل التكلفة والسعر'!$B$2:$B$700,0)),0))</f>
        <v/>
      </c>
    </row>
    <row r="8408" customFormat="false" ht="15" hidden="false" customHeight="false" outlineLevel="0" collapsed="false">
      <c r="A8408" s="103"/>
      <c r="B8408" s="104"/>
      <c r="C8408" s="104"/>
      <c r="E8408" s="107" t="str">
        <f aca="false">IF($C8408="","",IFERROR(INDEX(المنيو!$C$2:$C$500,MATCH($C8408,المنيو!$B$2:$B$500,0)),0))</f>
        <v/>
      </c>
      <c r="F8408" s="107" t="str">
        <f aca="false">IF($C8408="","",$D8408*$E8408)</f>
        <v/>
      </c>
      <c r="G8408" s="107" t="str">
        <f aca="false">IF($C8408="","",$D8408*IFERROR(INDEX('تحليل التكلفة والسعر'!$C$2:$C$700,MATCH($C8408,'تحليل التكلفة والسعر'!$B$2:$B$700,0)),0))</f>
        <v/>
      </c>
    </row>
    <row r="8409" customFormat="false" ht="15" hidden="false" customHeight="false" outlineLevel="0" collapsed="false">
      <c r="A8409" s="103"/>
      <c r="B8409" s="104"/>
      <c r="C8409" s="104"/>
      <c r="E8409" s="107" t="str">
        <f aca="false">IF($C8409="","",IFERROR(INDEX(المنيو!$C$2:$C$500,MATCH($C8409,المنيو!$B$2:$B$500,0)),0))</f>
        <v/>
      </c>
      <c r="F8409" s="107" t="str">
        <f aca="false">IF($C8409="","",$D8409*$E8409)</f>
        <v/>
      </c>
      <c r="G8409" s="107" t="str">
        <f aca="false">IF($C8409="","",$D8409*IFERROR(INDEX('تحليل التكلفة والسعر'!$C$2:$C$700,MATCH($C8409,'تحليل التكلفة والسعر'!$B$2:$B$700,0)),0))</f>
        <v/>
      </c>
    </row>
    <row r="8410" customFormat="false" ht="15" hidden="false" customHeight="false" outlineLevel="0" collapsed="false">
      <c r="A8410" s="103"/>
      <c r="B8410" s="104"/>
      <c r="C8410" s="104"/>
      <c r="E8410" s="107" t="str">
        <f aca="false">IF($C8410="","",IFERROR(INDEX(المنيو!$C$2:$C$500,MATCH($C8410,المنيو!$B$2:$B$500,0)),0))</f>
        <v/>
      </c>
      <c r="F8410" s="107" t="str">
        <f aca="false">IF($C8410="","",$D8410*$E8410)</f>
        <v/>
      </c>
      <c r="G8410" s="107" t="str">
        <f aca="false">IF($C8410="","",$D8410*IFERROR(INDEX('تحليل التكلفة والسعر'!$C$2:$C$700,MATCH($C8410,'تحليل التكلفة والسعر'!$B$2:$B$700,0)),0))</f>
        <v/>
      </c>
    </row>
    <row r="8411" customFormat="false" ht="15" hidden="false" customHeight="false" outlineLevel="0" collapsed="false">
      <c r="A8411" s="103"/>
      <c r="B8411" s="104"/>
      <c r="C8411" s="104"/>
      <c r="E8411" s="107" t="str">
        <f aca="false">IF($C8411="","",IFERROR(INDEX(المنيو!$C$2:$C$500,MATCH($C8411,المنيو!$B$2:$B$500,0)),0))</f>
        <v/>
      </c>
      <c r="F8411" s="107" t="str">
        <f aca="false">IF($C8411="","",$D8411*$E8411)</f>
        <v/>
      </c>
      <c r="G8411" s="107" t="str">
        <f aca="false">IF($C8411="","",$D8411*IFERROR(INDEX('تحليل التكلفة والسعر'!$C$2:$C$700,MATCH($C8411,'تحليل التكلفة والسعر'!$B$2:$B$700,0)),0))</f>
        <v/>
      </c>
    </row>
    <row r="8412" customFormat="false" ht="15" hidden="false" customHeight="false" outlineLevel="0" collapsed="false">
      <c r="A8412" s="103"/>
      <c r="B8412" s="104"/>
      <c r="C8412" s="104"/>
      <c r="E8412" s="107" t="str">
        <f aca="false">IF($C8412="","",IFERROR(INDEX(المنيو!$C$2:$C$500,MATCH($C8412,المنيو!$B$2:$B$500,0)),0))</f>
        <v/>
      </c>
      <c r="F8412" s="107" t="str">
        <f aca="false">IF($C8412="","",$D8412*$E8412)</f>
        <v/>
      </c>
      <c r="G8412" s="107" t="str">
        <f aca="false">IF($C8412="","",$D8412*IFERROR(INDEX('تحليل التكلفة والسعر'!$C$2:$C$700,MATCH($C8412,'تحليل التكلفة والسعر'!$B$2:$B$700,0)),0))</f>
        <v/>
      </c>
    </row>
    <row r="8413" customFormat="false" ht="15" hidden="false" customHeight="false" outlineLevel="0" collapsed="false">
      <c r="A8413" s="103"/>
      <c r="B8413" s="104"/>
      <c r="C8413" s="104"/>
      <c r="E8413" s="107" t="str">
        <f aca="false">IF($C8413="","",IFERROR(INDEX(المنيو!$C$2:$C$500,MATCH($C8413,المنيو!$B$2:$B$500,0)),0))</f>
        <v/>
      </c>
      <c r="F8413" s="107" t="str">
        <f aca="false">IF($C8413="","",$D8413*$E8413)</f>
        <v/>
      </c>
      <c r="G8413" s="107" t="str">
        <f aca="false">IF($C8413="","",$D8413*IFERROR(INDEX('تحليل التكلفة والسعر'!$C$2:$C$700,MATCH($C8413,'تحليل التكلفة والسعر'!$B$2:$B$700,0)),0))</f>
        <v/>
      </c>
    </row>
    <row r="8414" customFormat="false" ht="15" hidden="false" customHeight="false" outlineLevel="0" collapsed="false">
      <c r="A8414" s="103"/>
      <c r="B8414" s="104"/>
      <c r="C8414" s="104"/>
      <c r="E8414" s="107" t="str">
        <f aca="false">IF($C8414="","",IFERROR(INDEX(المنيو!$C$2:$C$500,MATCH($C8414,المنيو!$B$2:$B$500,0)),0))</f>
        <v/>
      </c>
      <c r="F8414" s="107" t="str">
        <f aca="false">IF($C8414="","",$D8414*$E8414)</f>
        <v/>
      </c>
      <c r="G8414" s="107" t="str">
        <f aca="false">IF($C8414="","",$D8414*IFERROR(INDEX('تحليل التكلفة والسعر'!$C$2:$C$700,MATCH($C8414,'تحليل التكلفة والسعر'!$B$2:$B$700,0)),0))</f>
        <v/>
      </c>
    </row>
    <row r="8415" customFormat="false" ht="15" hidden="false" customHeight="false" outlineLevel="0" collapsed="false">
      <c r="A8415" s="103"/>
      <c r="B8415" s="104"/>
      <c r="C8415" s="104"/>
      <c r="E8415" s="107" t="str">
        <f aca="false">IF($C8415="","",IFERROR(INDEX(المنيو!$C$2:$C$500,MATCH($C8415,المنيو!$B$2:$B$500,0)),0))</f>
        <v/>
      </c>
      <c r="F8415" s="107" t="str">
        <f aca="false">IF($C8415="","",$D8415*$E8415)</f>
        <v/>
      </c>
      <c r="G8415" s="107" t="str">
        <f aca="false">IF($C8415="","",$D8415*IFERROR(INDEX('تحليل التكلفة والسعر'!$C$2:$C$700,MATCH($C8415,'تحليل التكلفة والسعر'!$B$2:$B$700,0)),0))</f>
        <v/>
      </c>
    </row>
    <row r="8416" customFormat="false" ht="15" hidden="false" customHeight="false" outlineLevel="0" collapsed="false">
      <c r="A8416" s="103"/>
      <c r="B8416" s="104"/>
      <c r="C8416" s="104"/>
      <c r="E8416" s="107" t="str">
        <f aca="false">IF($C8416="","",IFERROR(INDEX(المنيو!$C$2:$C$500,MATCH($C8416,المنيو!$B$2:$B$500,0)),0))</f>
        <v/>
      </c>
      <c r="F8416" s="107" t="str">
        <f aca="false">IF($C8416="","",$D8416*$E8416)</f>
        <v/>
      </c>
      <c r="G8416" s="107" t="str">
        <f aca="false">IF($C8416="","",$D8416*IFERROR(INDEX('تحليل التكلفة والسعر'!$C$2:$C$700,MATCH($C8416,'تحليل التكلفة والسعر'!$B$2:$B$700,0)),0))</f>
        <v/>
      </c>
    </row>
    <row r="8417" customFormat="false" ht="15" hidden="false" customHeight="false" outlineLevel="0" collapsed="false">
      <c r="A8417" s="103"/>
      <c r="B8417" s="104"/>
      <c r="C8417" s="104"/>
      <c r="E8417" s="107" t="str">
        <f aca="false">IF($C8417="","",IFERROR(INDEX(المنيو!$C$2:$C$500,MATCH($C8417,المنيو!$B$2:$B$500,0)),0))</f>
        <v/>
      </c>
      <c r="F8417" s="107" t="str">
        <f aca="false">IF($C8417="","",$D8417*$E8417)</f>
        <v/>
      </c>
      <c r="G8417" s="107" t="str">
        <f aca="false">IF($C8417="","",$D8417*IFERROR(INDEX('تحليل التكلفة والسعر'!$C$2:$C$700,MATCH($C8417,'تحليل التكلفة والسعر'!$B$2:$B$700,0)),0))</f>
        <v/>
      </c>
    </row>
    <row r="8418" customFormat="false" ht="15" hidden="false" customHeight="false" outlineLevel="0" collapsed="false">
      <c r="A8418" s="103"/>
      <c r="B8418" s="104"/>
      <c r="C8418" s="104"/>
      <c r="E8418" s="107" t="str">
        <f aca="false">IF($C8418="","",IFERROR(INDEX(المنيو!$C$2:$C$500,MATCH($C8418,المنيو!$B$2:$B$500,0)),0))</f>
        <v/>
      </c>
      <c r="F8418" s="107" t="str">
        <f aca="false">IF($C8418="","",$D8418*$E8418)</f>
        <v/>
      </c>
      <c r="G8418" s="107" t="str">
        <f aca="false">IF($C8418="","",$D8418*IFERROR(INDEX('تحليل التكلفة والسعر'!$C$2:$C$700,MATCH($C8418,'تحليل التكلفة والسعر'!$B$2:$B$700,0)),0))</f>
        <v/>
      </c>
    </row>
    <row r="8419" customFormat="false" ht="15" hidden="false" customHeight="false" outlineLevel="0" collapsed="false">
      <c r="A8419" s="103"/>
      <c r="B8419" s="104"/>
      <c r="C8419" s="104"/>
      <c r="E8419" s="107" t="str">
        <f aca="false">IF($C8419="","",IFERROR(INDEX(المنيو!$C$2:$C$500,MATCH($C8419,المنيو!$B$2:$B$500,0)),0))</f>
        <v/>
      </c>
      <c r="F8419" s="107" t="str">
        <f aca="false">IF($C8419="","",$D8419*$E8419)</f>
        <v/>
      </c>
      <c r="G8419" s="107" t="str">
        <f aca="false">IF($C8419="","",$D8419*IFERROR(INDEX('تحليل التكلفة والسعر'!$C$2:$C$700,MATCH($C8419,'تحليل التكلفة والسعر'!$B$2:$B$700,0)),0))</f>
        <v/>
      </c>
    </row>
    <row r="8420" customFormat="false" ht="15" hidden="false" customHeight="false" outlineLevel="0" collapsed="false">
      <c r="A8420" s="103"/>
      <c r="B8420" s="104"/>
      <c r="C8420" s="104"/>
      <c r="E8420" s="107" t="str">
        <f aca="false">IF($C8420="","",IFERROR(INDEX(المنيو!$C$2:$C$500,MATCH($C8420,المنيو!$B$2:$B$500,0)),0))</f>
        <v/>
      </c>
      <c r="F8420" s="107" t="str">
        <f aca="false">IF($C8420="","",$D8420*$E8420)</f>
        <v/>
      </c>
      <c r="G8420" s="107" t="str">
        <f aca="false">IF($C8420="","",$D8420*IFERROR(INDEX('تحليل التكلفة والسعر'!$C$2:$C$700,MATCH($C8420,'تحليل التكلفة والسعر'!$B$2:$B$700,0)),0))</f>
        <v/>
      </c>
    </row>
    <row r="8421" customFormat="false" ht="15" hidden="false" customHeight="false" outlineLevel="0" collapsed="false">
      <c r="A8421" s="103"/>
      <c r="B8421" s="104"/>
      <c r="C8421" s="104"/>
      <c r="E8421" s="107" t="str">
        <f aca="false">IF($C8421="","",IFERROR(INDEX(المنيو!$C$2:$C$500,MATCH($C8421,المنيو!$B$2:$B$500,0)),0))</f>
        <v/>
      </c>
      <c r="F8421" s="107" t="str">
        <f aca="false">IF($C8421="","",$D8421*$E8421)</f>
        <v/>
      </c>
      <c r="G8421" s="107" t="str">
        <f aca="false">IF($C8421="","",$D8421*IFERROR(INDEX('تحليل التكلفة والسعر'!$C$2:$C$700,MATCH($C8421,'تحليل التكلفة والسعر'!$B$2:$B$700,0)),0))</f>
        <v/>
      </c>
    </row>
    <row r="8422" customFormat="false" ht="15" hidden="false" customHeight="false" outlineLevel="0" collapsed="false">
      <c r="A8422" s="103"/>
      <c r="B8422" s="104"/>
      <c r="C8422" s="104"/>
      <c r="E8422" s="107" t="str">
        <f aca="false">IF($C8422="","",IFERROR(INDEX(المنيو!$C$2:$C$500,MATCH($C8422,المنيو!$B$2:$B$500,0)),0))</f>
        <v/>
      </c>
      <c r="F8422" s="107" t="str">
        <f aca="false">IF($C8422="","",$D8422*$E8422)</f>
        <v/>
      </c>
      <c r="G8422" s="107" t="str">
        <f aca="false">IF($C8422="","",$D8422*IFERROR(INDEX('تحليل التكلفة والسعر'!$C$2:$C$700,MATCH($C8422,'تحليل التكلفة والسعر'!$B$2:$B$700,0)),0))</f>
        <v/>
      </c>
    </row>
    <row r="8423" customFormat="false" ht="15" hidden="false" customHeight="false" outlineLevel="0" collapsed="false">
      <c r="A8423" s="103"/>
      <c r="B8423" s="104"/>
      <c r="C8423" s="104"/>
      <c r="E8423" s="107" t="str">
        <f aca="false">IF($C8423="","",IFERROR(INDEX(المنيو!$C$2:$C$500,MATCH($C8423,المنيو!$B$2:$B$500,0)),0))</f>
        <v/>
      </c>
      <c r="F8423" s="107" t="str">
        <f aca="false">IF($C8423="","",$D8423*$E8423)</f>
        <v/>
      </c>
      <c r="G8423" s="107" t="str">
        <f aca="false">IF($C8423="","",$D8423*IFERROR(INDEX('تحليل التكلفة والسعر'!$C$2:$C$700,MATCH($C8423,'تحليل التكلفة والسعر'!$B$2:$B$700,0)),0))</f>
        <v/>
      </c>
    </row>
    <row r="8424" customFormat="false" ht="15" hidden="false" customHeight="false" outlineLevel="0" collapsed="false">
      <c r="A8424" s="103"/>
      <c r="B8424" s="104"/>
      <c r="C8424" s="104"/>
      <c r="E8424" s="107" t="str">
        <f aca="false">IF($C8424="","",IFERROR(INDEX(المنيو!$C$2:$C$500,MATCH($C8424,المنيو!$B$2:$B$500,0)),0))</f>
        <v/>
      </c>
      <c r="F8424" s="107" t="str">
        <f aca="false">IF($C8424="","",$D8424*$E8424)</f>
        <v/>
      </c>
      <c r="G8424" s="107" t="str">
        <f aca="false">IF($C8424="","",$D8424*IFERROR(INDEX('تحليل التكلفة والسعر'!$C$2:$C$700,MATCH($C8424,'تحليل التكلفة والسعر'!$B$2:$B$700,0)),0))</f>
        <v/>
      </c>
    </row>
    <row r="8425" customFormat="false" ht="15" hidden="false" customHeight="false" outlineLevel="0" collapsed="false">
      <c r="A8425" s="103"/>
      <c r="B8425" s="104"/>
      <c r="C8425" s="104"/>
      <c r="E8425" s="107" t="str">
        <f aca="false">IF($C8425="","",IFERROR(INDEX(المنيو!$C$2:$C$500,MATCH($C8425,المنيو!$B$2:$B$500,0)),0))</f>
        <v/>
      </c>
      <c r="F8425" s="107" t="str">
        <f aca="false">IF($C8425="","",$D8425*$E8425)</f>
        <v/>
      </c>
      <c r="G8425" s="107" t="str">
        <f aca="false">IF($C8425="","",$D8425*IFERROR(INDEX('تحليل التكلفة والسعر'!$C$2:$C$700,MATCH($C8425,'تحليل التكلفة والسعر'!$B$2:$B$700,0)),0))</f>
        <v/>
      </c>
    </row>
    <row r="8426" customFormat="false" ht="15" hidden="false" customHeight="false" outlineLevel="0" collapsed="false">
      <c r="A8426" s="103"/>
      <c r="B8426" s="104"/>
      <c r="C8426" s="104"/>
      <c r="E8426" s="107" t="str">
        <f aca="false">IF($C8426="","",IFERROR(INDEX(المنيو!$C$2:$C$500,MATCH($C8426,المنيو!$B$2:$B$500,0)),0))</f>
        <v/>
      </c>
      <c r="F8426" s="107" t="str">
        <f aca="false">IF($C8426="","",$D8426*$E8426)</f>
        <v/>
      </c>
      <c r="G8426" s="107" t="str">
        <f aca="false">IF($C8426="","",$D8426*IFERROR(INDEX('تحليل التكلفة والسعر'!$C$2:$C$700,MATCH($C8426,'تحليل التكلفة والسعر'!$B$2:$B$700,0)),0))</f>
        <v/>
      </c>
    </row>
    <row r="8427" customFormat="false" ht="15" hidden="false" customHeight="false" outlineLevel="0" collapsed="false">
      <c r="A8427" s="103"/>
      <c r="B8427" s="104"/>
      <c r="C8427" s="104"/>
      <c r="E8427" s="107" t="str">
        <f aca="false">IF($C8427="","",IFERROR(INDEX(المنيو!$C$2:$C$500,MATCH($C8427,المنيو!$B$2:$B$500,0)),0))</f>
        <v/>
      </c>
      <c r="F8427" s="107" t="str">
        <f aca="false">IF($C8427="","",$D8427*$E8427)</f>
        <v/>
      </c>
      <c r="G8427" s="107" t="str">
        <f aca="false">IF($C8427="","",$D8427*IFERROR(INDEX('تحليل التكلفة والسعر'!$C$2:$C$700,MATCH($C8427,'تحليل التكلفة والسعر'!$B$2:$B$700,0)),0))</f>
        <v/>
      </c>
    </row>
    <row r="8428" customFormat="false" ht="15" hidden="false" customHeight="false" outlineLevel="0" collapsed="false">
      <c r="A8428" s="103"/>
      <c r="B8428" s="104"/>
      <c r="C8428" s="104"/>
      <c r="E8428" s="107" t="str">
        <f aca="false">IF($C8428="","",IFERROR(INDEX(المنيو!$C$2:$C$500,MATCH($C8428,المنيو!$B$2:$B$500,0)),0))</f>
        <v/>
      </c>
      <c r="F8428" s="107" t="str">
        <f aca="false">IF($C8428="","",$D8428*$E8428)</f>
        <v/>
      </c>
      <c r="G8428" s="107" t="str">
        <f aca="false">IF($C8428="","",$D8428*IFERROR(INDEX('تحليل التكلفة والسعر'!$C$2:$C$700,MATCH($C8428,'تحليل التكلفة والسعر'!$B$2:$B$700,0)),0))</f>
        <v/>
      </c>
    </row>
    <row r="8429" customFormat="false" ht="15" hidden="false" customHeight="false" outlineLevel="0" collapsed="false">
      <c r="A8429" s="103"/>
      <c r="B8429" s="104"/>
      <c r="C8429" s="104"/>
      <c r="E8429" s="107" t="str">
        <f aca="false">IF($C8429="","",IFERROR(INDEX(المنيو!$C$2:$C$500,MATCH($C8429,المنيو!$B$2:$B$500,0)),0))</f>
        <v/>
      </c>
      <c r="F8429" s="107" t="str">
        <f aca="false">IF($C8429="","",$D8429*$E8429)</f>
        <v/>
      </c>
      <c r="G8429" s="107" t="str">
        <f aca="false">IF($C8429="","",$D8429*IFERROR(INDEX('تحليل التكلفة والسعر'!$C$2:$C$700,MATCH($C8429,'تحليل التكلفة والسعر'!$B$2:$B$700,0)),0))</f>
        <v/>
      </c>
    </row>
    <row r="8430" customFormat="false" ht="15" hidden="false" customHeight="false" outlineLevel="0" collapsed="false">
      <c r="A8430" s="103"/>
      <c r="B8430" s="104"/>
      <c r="C8430" s="104"/>
      <c r="E8430" s="107" t="str">
        <f aca="false">IF($C8430="","",IFERROR(INDEX(المنيو!$C$2:$C$500,MATCH($C8430,المنيو!$B$2:$B$500,0)),0))</f>
        <v/>
      </c>
      <c r="F8430" s="107" t="str">
        <f aca="false">IF($C8430="","",$D8430*$E8430)</f>
        <v/>
      </c>
      <c r="G8430" s="107" t="str">
        <f aca="false">IF($C8430="","",$D8430*IFERROR(INDEX('تحليل التكلفة والسعر'!$C$2:$C$700,MATCH($C8430,'تحليل التكلفة والسعر'!$B$2:$B$700,0)),0))</f>
        <v/>
      </c>
    </row>
    <row r="8431" customFormat="false" ht="15" hidden="false" customHeight="false" outlineLevel="0" collapsed="false">
      <c r="A8431" s="103"/>
      <c r="B8431" s="104"/>
      <c r="C8431" s="104"/>
      <c r="E8431" s="107" t="str">
        <f aca="false">IF($C8431="","",IFERROR(INDEX(المنيو!$C$2:$C$500,MATCH($C8431,المنيو!$B$2:$B$500,0)),0))</f>
        <v/>
      </c>
      <c r="F8431" s="107" t="str">
        <f aca="false">IF($C8431="","",$D8431*$E8431)</f>
        <v/>
      </c>
      <c r="G8431" s="107" t="str">
        <f aca="false">IF($C8431="","",$D8431*IFERROR(INDEX('تحليل التكلفة والسعر'!$C$2:$C$700,MATCH($C8431,'تحليل التكلفة والسعر'!$B$2:$B$700,0)),0))</f>
        <v/>
      </c>
    </row>
    <row r="8432" customFormat="false" ht="15" hidden="false" customHeight="false" outlineLevel="0" collapsed="false">
      <c r="A8432" s="103"/>
      <c r="B8432" s="104"/>
      <c r="C8432" s="104"/>
      <c r="E8432" s="107" t="str">
        <f aca="false">IF($C8432="","",IFERROR(INDEX(المنيو!$C$2:$C$500,MATCH($C8432,المنيو!$B$2:$B$500,0)),0))</f>
        <v/>
      </c>
      <c r="F8432" s="107" t="str">
        <f aca="false">IF($C8432="","",$D8432*$E8432)</f>
        <v/>
      </c>
      <c r="G8432" s="107" t="str">
        <f aca="false">IF($C8432="","",$D8432*IFERROR(INDEX('تحليل التكلفة والسعر'!$C$2:$C$700,MATCH($C8432,'تحليل التكلفة والسعر'!$B$2:$B$700,0)),0))</f>
        <v/>
      </c>
    </row>
    <row r="8433" customFormat="false" ht="15" hidden="false" customHeight="false" outlineLevel="0" collapsed="false">
      <c r="A8433" s="103"/>
      <c r="B8433" s="104"/>
      <c r="C8433" s="104"/>
      <c r="E8433" s="107" t="str">
        <f aca="false">IF($C8433="","",IFERROR(INDEX(المنيو!$C$2:$C$500,MATCH($C8433,المنيو!$B$2:$B$500,0)),0))</f>
        <v/>
      </c>
      <c r="F8433" s="107" t="str">
        <f aca="false">IF($C8433="","",$D8433*$E8433)</f>
        <v/>
      </c>
      <c r="G8433" s="107" t="str">
        <f aca="false">IF($C8433="","",$D8433*IFERROR(INDEX('تحليل التكلفة والسعر'!$C$2:$C$700,MATCH($C8433,'تحليل التكلفة والسعر'!$B$2:$B$700,0)),0))</f>
        <v/>
      </c>
    </row>
    <row r="8434" customFormat="false" ht="15" hidden="false" customHeight="false" outlineLevel="0" collapsed="false">
      <c r="A8434" s="103"/>
      <c r="B8434" s="104"/>
      <c r="C8434" s="104"/>
      <c r="E8434" s="107" t="str">
        <f aca="false">IF($C8434="","",IFERROR(INDEX(المنيو!$C$2:$C$500,MATCH($C8434,المنيو!$B$2:$B$500,0)),0))</f>
        <v/>
      </c>
      <c r="F8434" s="107" t="str">
        <f aca="false">IF($C8434="","",$D8434*$E8434)</f>
        <v/>
      </c>
      <c r="G8434" s="107" t="str">
        <f aca="false">IF($C8434="","",$D8434*IFERROR(INDEX('تحليل التكلفة والسعر'!$C$2:$C$700,MATCH($C8434,'تحليل التكلفة والسعر'!$B$2:$B$700,0)),0))</f>
        <v/>
      </c>
    </row>
    <row r="8435" customFormat="false" ht="15" hidden="false" customHeight="false" outlineLevel="0" collapsed="false">
      <c r="A8435" s="103"/>
      <c r="B8435" s="104"/>
      <c r="C8435" s="104"/>
      <c r="E8435" s="107" t="str">
        <f aca="false">IF($C8435="","",IFERROR(INDEX(المنيو!$C$2:$C$500,MATCH($C8435,المنيو!$B$2:$B$500,0)),0))</f>
        <v/>
      </c>
      <c r="F8435" s="107" t="str">
        <f aca="false">IF($C8435="","",$D8435*$E8435)</f>
        <v/>
      </c>
      <c r="G8435" s="107" t="str">
        <f aca="false">IF($C8435="","",$D8435*IFERROR(INDEX('تحليل التكلفة والسعر'!$C$2:$C$700,MATCH($C8435,'تحليل التكلفة والسعر'!$B$2:$B$700,0)),0))</f>
        <v/>
      </c>
    </row>
    <row r="8436" customFormat="false" ht="15" hidden="false" customHeight="false" outlineLevel="0" collapsed="false">
      <c r="A8436" s="103"/>
      <c r="B8436" s="104"/>
      <c r="C8436" s="104"/>
      <c r="E8436" s="107" t="str">
        <f aca="false">IF($C8436="","",IFERROR(INDEX(المنيو!$C$2:$C$500,MATCH($C8436,المنيو!$B$2:$B$500,0)),0))</f>
        <v/>
      </c>
      <c r="F8436" s="107" t="str">
        <f aca="false">IF($C8436="","",$D8436*$E8436)</f>
        <v/>
      </c>
      <c r="G8436" s="107" t="str">
        <f aca="false">IF($C8436="","",$D8436*IFERROR(INDEX('تحليل التكلفة والسعر'!$C$2:$C$700,MATCH($C8436,'تحليل التكلفة والسعر'!$B$2:$B$700,0)),0))</f>
        <v/>
      </c>
    </row>
    <row r="8437" customFormat="false" ht="15" hidden="false" customHeight="false" outlineLevel="0" collapsed="false">
      <c r="A8437" s="103"/>
      <c r="B8437" s="104"/>
      <c r="C8437" s="104"/>
      <c r="E8437" s="107" t="str">
        <f aca="false">IF($C8437="","",IFERROR(INDEX(المنيو!$C$2:$C$500,MATCH($C8437,المنيو!$B$2:$B$500,0)),0))</f>
        <v/>
      </c>
      <c r="F8437" s="107" t="str">
        <f aca="false">IF($C8437="","",$D8437*$E8437)</f>
        <v/>
      </c>
      <c r="G8437" s="107" t="str">
        <f aca="false">IF($C8437="","",$D8437*IFERROR(INDEX('تحليل التكلفة والسعر'!$C$2:$C$700,MATCH($C8437,'تحليل التكلفة والسعر'!$B$2:$B$700,0)),0))</f>
        <v/>
      </c>
    </row>
    <row r="8438" customFormat="false" ht="15" hidden="false" customHeight="false" outlineLevel="0" collapsed="false">
      <c r="A8438" s="103"/>
      <c r="B8438" s="104"/>
      <c r="C8438" s="104"/>
      <c r="E8438" s="107" t="str">
        <f aca="false">IF($C8438="","",IFERROR(INDEX(المنيو!$C$2:$C$500,MATCH($C8438,المنيو!$B$2:$B$500,0)),0))</f>
        <v/>
      </c>
      <c r="F8438" s="107" t="str">
        <f aca="false">IF($C8438="","",$D8438*$E8438)</f>
        <v/>
      </c>
      <c r="G8438" s="107" t="str">
        <f aca="false">IF($C8438="","",$D8438*IFERROR(INDEX('تحليل التكلفة والسعر'!$C$2:$C$700,MATCH($C8438,'تحليل التكلفة والسعر'!$B$2:$B$700,0)),0))</f>
        <v/>
      </c>
    </row>
    <row r="8439" customFormat="false" ht="15" hidden="false" customHeight="false" outlineLevel="0" collapsed="false">
      <c r="A8439" s="103"/>
      <c r="B8439" s="104"/>
      <c r="C8439" s="104"/>
      <c r="E8439" s="107" t="str">
        <f aca="false">IF($C8439="","",IFERROR(INDEX(المنيو!$C$2:$C$500,MATCH($C8439,المنيو!$B$2:$B$500,0)),0))</f>
        <v/>
      </c>
      <c r="F8439" s="107" t="str">
        <f aca="false">IF($C8439="","",$D8439*$E8439)</f>
        <v/>
      </c>
      <c r="G8439" s="107" t="str">
        <f aca="false">IF($C8439="","",$D8439*IFERROR(INDEX('تحليل التكلفة والسعر'!$C$2:$C$700,MATCH($C8439,'تحليل التكلفة والسعر'!$B$2:$B$700,0)),0))</f>
        <v/>
      </c>
    </row>
    <row r="8440" customFormat="false" ht="15" hidden="false" customHeight="false" outlineLevel="0" collapsed="false">
      <c r="A8440" s="103"/>
      <c r="B8440" s="104"/>
      <c r="C8440" s="104"/>
      <c r="E8440" s="107" t="str">
        <f aca="false">IF($C8440="","",IFERROR(INDEX(المنيو!$C$2:$C$500,MATCH($C8440,المنيو!$B$2:$B$500,0)),0))</f>
        <v/>
      </c>
      <c r="F8440" s="107" t="str">
        <f aca="false">IF($C8440="","",$D8440*$E8440)</f>
        <v/>
      </c>
      <c r="G8440" s="107" t="str">
        <f aca="false">IF($C8440="","",$D8440*IFERROR(INDEX('تحليل التكلفة والسعر'!$C$2:$C$700,MATCH($C8440,'تحليل التكلفة والسعر'!$B$2:$B$700,0)),0))</f>
        <v/>
      </c>
    </row>
    <row r="8441" customFormat="false" ht="15" hidden="false" customHeight="false" outlineLevel="0" collapsed="false">
      <c r="A8441" s="103"/>
      <c r="B8441" s="104"/>
      <c r="C8441" s="104"/>
      <c r="E8441" s="107" t="str">
        <f aca="false">IF($C8441="","",IFERROR(INDEX(المنيو!$C$2:$C$500,MATCH($C8441,المنيو!$B$2:$B$500,0)),0))</f>
        <v/>
      </c>
      <c r="F8441" s="107" t="str">
        <f aca="false">IF($C8441="","",$D8441*$E8441)</f>
        <v/>
      </c>
      <c r="G8441" s="107" t="str">
        <f aca="false">IF($C8441="","",$D8441*IFERROR(INDEX('تحليل التكلفة والسعر'!$C$2:$C$700,MATCH($C8441,'تحليل التكلفة والسعر'!$B$2:$B$700,0)),0))</f>
        <v/>
      </c>
    </row>
    <row r="8442" customFormat="false" ht="15" hidden="false" customHeight="false" outlineLevel="0" collapsed="false">
      <c r="A8442" s="103"/>
      <c r="B8442" s="104"/>
      <c r="C8442" s="104"/>
      <c r="E8442" s="107" t="str">
        <f aca="false">IF($C8442="","",IFERROR(INDEX(المنيو!$C$2:$C$500,MATCH($C8442,المنيو!$B$2:$B$500,0)),0))</f>
        <v/>
      </c>
      <c r="F8442" s="107" t="str">
        <f aca="false">IF($C8442="","",$D8442*$E8442)</f>
        <v/>
      </c>
      <c r="G8442" s="107" t="str">
        <f aca="false">IF($C8442="","",$D8442*IFERROR(INDEX('تحليل التكلفة والسعر'!$C$2:$C$700,MATCH($C8442,'تحليل التكلفة والسعر'!$B$2:$B$700,0)),0))</f>
        <v/>
      </c>
    </row>
    <row r="8443" customFormat="false" ht="15" hidden="false" customHeight="false" outlineLevel="0" collapsed="false">
      <c r="A8443" s="103"/>
      <c r="B8443" s="104"/>
      <c r="C8443" s="104"/>
      <c r="E8443" s="107" t="str">
        <f aca="false">IF($C8443="","",IFERROR(INDEX(المنيو!$C$2:$C$500,MATCH($C8443,المنيو!$B$2:$B$500,0)),0))</f>
        <v/>
      </c>
      <c r="F8443" s="107" t="str">
        <f aca="false">IF($C8443="","",$D8443*$E8443)</f>
        <v/>
      </c>
      <c r="G8443" s="107" t="str">
        <f aca="false">IF($C8443="","",$D8443*IFERROR(INDEX('تحليل التكلفة والسعر'!$C$2:$C$700,MATCH($C8443,'تحليل التكلفة والسعر'!$B$2:$B$700,0)),0))</f>
        <v/>
      </c>
    </row>
    <row r="8444" customFormat="false" ht="15" hidden="false" customHeight="false" outlineLevel="0" collapsed="false">
      <c r="A8444" s="103"/>
      <c r="B8444" s="104"/>
      <c r="C8444" s="104"/>
      <c r="E8444" s="107" t="str">
        <f aca="false">IF($C8444="","",IFERROR(INDEX(المنيو!$C$2:$C$500,MATCH($C8444,المنيو!$B$2:$B$500,0)),0))</f>
        <v/>
      </c>
      <c r="F8444" s="107" t="str">
        <f aca="false">IF($C8444="","",$D8444*$E8444)</f>
        <v/>
      </c>
      <c r="G8444" s="107" t="str">
        <f aca="false">IF($C8444="","",$D8444*IFERROR(INDEX('تحليل التكلفة والسعر'!$C$2:$C$700,MATCH($C8444,'تحليل التكلفة والسعر'!$B$2:$B$700,0)),0))</f>
        <v/>
      </c>
    </row>
    <row r="8445" customFormat="false" ht="15" hidden="false" customHeight="false" outlineLevel="0" collapsed="false">
      <c r="A8445" s="103"/>
      <c r="B8445" s="104"/>
      <c r="C8445" s="104"/>
      <c r="E8445" s="107" t="str">
        <f aca="false">IF($C8445="","",IFERROR(INDEX(المنيو!$C$2:$C$500,MATCH($C8445,المنيو!$B$2:$B$500,0)),0))</f>
        <v/>
      </c>
      <c r="F8445" s="107" t="str">
        <f aca="false">IF($C8445="","",$D8445*$E8445)</f>
        <v/>
      </c>
      <c r="G8445" s="107" t="str">
        <f aca="false">IF($C8445="","",$D8445*IFERROR(INDEX('تحليل التكلفة والسعر'!$C$2:$C$700,MATCH($C8445,'تحليل التكلفة والسعر'!$B$2:$B$700,0)),0))</f>
        <v/>
      </c>
    </row>
    <row r="8446" customFormat="false" ht="15" hidden="false" customHeight="false" outlineLevel="0" collapsed="false">
      <c r="A8446" s="103"/>
      <c r="B8446" s="104"/>
      <c r="C8446" s="104"/>
      <c r="E8446" s="107" t="str">
        <f aca="false">IF($C8446="","",IFERROR(INDEX(المنيو!$C$2:$C$500,MATCH($C8446,المنيو!$B$2:$B$500,0)),0))</f>
        <v/>
      </c>
      <c r="F8446" s="107" t="str">
        <f aca="false">IF($C8446="","",$D8446*$E8446)</f>
        <v/>
      </c>
      <c r="G8446" s="107" t="str">
        <f aca="false">IF($C8446="","",$D8446*IFERROR(INDEX('تحليل التكلفة والسعر'!$C$2:$C$700,MATCH($C8446,'تحليل التكلفة والسعر'!$B$2:$B$700,0)),0))</f>
        <v/>
      </c>
    </row>
    <row r="8447" customFormat="false" ht="15" hidden="false" customHeight="false" outlineLevel="0" collapsed="false">
      <c r="A8447" s="103"/>
      <c r="B8447" s="104"/>
      <c r="C8447" s="104"/>
      <c r="E8447" s="107" t="str">
        <f aca="false">IF($C8447="","",IFERROR(INDEX(المنيو!$C$2:$C$500,MATCH($C8447,المنيو!$B$2:$B$500,0)),0))</f>
        <v/>
      </c>
      <c r="F8447" s="107" t="str">
        <f aca="false">IF($C8447="","",$D8447*$E8447)</f>
        <v/>
      </c>
      <c r="G8447" s="107" t="str">
        <f aca="false">IF($C8447="","",$D8447*IFERROR(INDEX('تحليل التكلفة والسعر'!$C$2:$C$700,MATCH($C8447,'تحليل التكلفة والسعر'!$B$2:$B$700,0)),0))</f>
        <v/>
      </c>
    </row>
    <row r="8448" customFormat="false" ht="15" hidden="false" customHeight="false" outlineLevel="0" collapsed="false">
      <c r="A8448" s="103"/>
      <c r="B8448" s="104"/>
      <c r="C8448" s="104"/>
      <c r="E8448" s="107" t="str">
        <f aca="false">IF($C8448="","",IFERROR(INDEX(المنيو!$C$2:$C$500,MATCH($C8448,المنيو!$B$2:$B$500,0)),0))</f>
        <v/>
      </c>
      <c r="F8448" s="107" t="str">
        <f aca="false">IF($C8448="","",$D8448*$E8448)</f>
        <v/>
      </c>
      <c r="G8448" s="107" t="str">
        <f aca="false">IF($C8448="","",$D8448*IFERROR(INDEX('تحليل التكلفة والسعر'!$C$2:$C$700,MATCH($C8448,'تحليل التكلفة والسعر'!$B$2:$B$700,0)),0))</f>
        <v/>
      </c>
    </row>
    <row r="8449" customFormat="false" ht="15" hidden="false" customHeight="false" outlineLevel="0" collapsed="false">
      <c r="A8449" s="103"/>
      <c r="B8449" s="104"/>
      <c r="C8449" s="104"/>
      <c r="E8449" s="107" t="str">
        <f aca="false">IF($C8449="","",IFERROR(INDEX(المنيو!$C$2:$C$500,MATCH($C8449,المنيو!$B$2:$B$500,0)),0))</f>
        <v/>
      </c>
      <c r="F8449" s="107" t="str">
        <f aca="false">IF($C8449="","",$D8449*$E8449)</f>
        <v/>
      </c>
      <c r="G8449" s="107" t="str">
        <f aca="false">IF($C8449="","",$D8449*IFERROR(INDEX('تحليل التكلفة والسعر'!$C$2:$C$700,MATCH($C8449,'تحليل التكلفة والسعر'!$B$2:$B$700,0)),0))</f>
        <v/>
      </c>
    </row>
    <row r="8450" customFormat="false" ht="15" hidden="false" customHeight="false" outlineLevel="0" collapsed="false">
      <c r="A8450" s="103"/>
      <c r="B8450" s="104"/>
      <c r="C8450" s="104"/>
      <c r="E8450" s="107" t="str">
        <f aca="false">IF($C8450="","",IFERROR(INDEX(المنيو!$C$2:$C$500,MATCH($C8450,المنيو!$B$2:$B$500,0)),0))</f>
        <v/>
      </c>
      <c r="F8450" s="107" t="str">
        <f aca="false">IF($C8450="","",$D8450*$E8450)</f>
        <v/>
      </c>
      <c r="G8450" s="107" t="str">
        <f aca="false">IF($C8450="","",$D8450*IFERROR(INDEX('تحليل التكلفة والسعر'!$C$2:$C$700,MATCH($C8450,'تحليل التكلفة والسعر'!$B$2:$B$700,0)),0))</f>
        <v/>
      </c>
    </row>
    <row r="8451" customFormat="false" ht="15" hidden="false" customHeight="false" outlineLevel="0" collapsed="false">
      <c r="A8451" s="103"/>
      <c r="B8451" s="104"/>
      <c r="C8451" s="104"/>
      <c r="E8451" s="107" t="str">
        <f aca="false">IF($C8451="","",IFERROR(INDEX(المنيو!$C$2:$C$500,MATCH($C8451,المنيو!$B$2:$B$500,0)),0))</f>
        <v/>
      </c>
      <c r="F8451" s="107" t="str">
        <f aca="false">IF($C8451="","",$D8451*$E8451)</f>
        <v/>
      </c>
      <c r="G8451" s="107" t="str">
        <f aca="false">IF($C8451="","",$D8451*IFERROR(INDEX('تحليل التكلفة والسعر'!$C$2:$C$700,MATCH($C8451,'تحليل التكلفة والسعر'!$B$2:$B$700,0)),0))</f>
        <v/>
      </c>
    </row>
    <row r="8452" customFormat="false" ht="15" hidden="false" customHeight="false" outlineLevel="0" collapsed="false">
      <c r="A8452" s="103"/>
      <c r="B8452" s="104"/>
      <c r="C8452" s="104"/>
      <c r="E8452" s="107" t="str">
        <f aca="false">IF($C8452="","",IFERROR(INDEX(المنيو!$C$2:$C$500,MATCH($C8452,المنيو!$B$2:$B$500,0)),0))</f>
        <v/>
      </c>
      <c r="F8452" s="107" t="str">
        <f aca="false">IF($C8452="","",$D8452*$E8452)</f>
        <v/>
      </c>
      <c r="G8452" s="107" t="str">
        <f aca="false">IF($C8452="","",$D8452*IFERROR(INDEX('تحليل التكلفة والسعر'!$C$2:$C$700,MATCH($C8452,'تحليل التكلفة والسعر'!$B$2:$B$700,0)),0))</f>
        <v/>
      </c>
    </row>
    <row r="8453" customFormat="false" ht="15" hidden="false" customHeight="false" outlineLevel="0" collapsed="false">
      <c r="A8453" s="103"/>
      <c r="B8453" s="104"/>
      <c r="C8453" s="104"/>
      <c r="E8453" s="107" t="str">
        <f aca="false">IF($C8453="","",IFERROR(INDEX(المنيو!$C$2:$C$500,MATCH($C8453,المنيو!$B$2:$B$500,0)),0))</f>
        <v/>
      </c>
      <c r="F8453" s="107" t="str">
        <f aca="false">IF($C8453="","",$D8453*$E8453)</f>
        <v/>
      </c>
      <c r="G8453" s="107" t="str">
        <f aca="false">IF($C8453="","",$D8453*IFERROR(INDEX('تحليل التكلفة والسعر'!$C$2:$C$700,MATCH($C8453,'تحليل التكلفة والسعر'!$B$2:$B$700,0)),0))</f>
        <v/>
      </c>
    </row>
    <row r="8454" customFormat="false" ht="15" hidden="false" customHeight="false" outlineLevel="0" collapsed="false">
      <c r="A8454" s="103"/>
      <c r="B8454" s="104"/>
      <c r="C8454" s="104"/>
      <c r="E8454" s="107" t="str">
        <f aca="false">IF($C8454="","",IFERROR(INDEX(المنيو!$C$2:$C$500,MATCH($C8454,المنيو!$B$2:$B$500,0)),0))</f>
        <v/>
      </c>
      <c r="F8454" s="107" t="str">
        <f aca="false">IF($C8454="","",$D8454*$E8454)</f>
        <v/>
      </c>
      <c r="G8454" s="107" t="str">
        <f aca="false">IF($C8454="","",$D8454*IFERROR(INDEX('تحليل التكلفة والسعر'!$C$2:$C$700,MATCH($C8454,'تحليل التكلفة والسعر'!$B$2:$B$700,0)),0))</f>
        <v/>
      </c>
    </row>
    <row r="8455" customFormat="false" ht="15" hidden="false" customHeight="false" outlineLevel="0" collapsed="false">
      <c r="A8455" s="103"/>
      <c r="B8455" s="104"/>
      <c r="C8455" s="104"/>
      <c r="E8455" s="107" t="str">
        <f aca="false">IF($C8455="","",IFERROR(INDEX(المنيو!$C$2:$C$500,MATCH($C8455,المنيو!$B$2:$B$500,0)),0))</f>
        <v/>
      </c>
      <c r="F8455" s="107" t="str">
        <f aca="false">IF($C8455="","",$D8455*$E8455)</f>
        <v/>
      </c>
      <c r="G8455" s="107" t="str">
        <f aca="false">IF($C8455="","",$D8455*IFERROR(INDEX('تحليل التكلفة والسعر'!$C$2:$C$700,MATCH($C8455,'تحليل التكلفة والسعر'!$B$2:$B$700,0)),0))</f>
        <v/>
      </c>
    </row>
    <row r="8456" customFormat="false" ht="15" hidden="false" customHeight="false" outlineLevel="0" collapsed="false">
      <c r="A8456" s="103"/>
      <c r="B8456" s="104"/>
      <c r="C8456" s="104"/>
      <c r="E8456" s="107" t="str">
        <f aca="false">IF($C8456="","",IFERROR(INDEX(المنيو!$C$2:$C$500,MATCH($C8456,المنيو!$B$2:$B$500,0)),0))</f>
        <v/>
      </c>
      <c r="F8456" s="107" t="str">
        <f aca="false">IF($C8456="","",$D8456*$E8456)</f>
        <v/>
      </c>
      <c r="G8456" s="107" t="str">
        <f aca="false">IF($C8456="","",$D8456*IFERROR(INDEX('تحليل التكلفة والسعر'!$C$2:$C$700,MATCH($C8456,'تحليل التكلفة والسعر'!$B$2:$B$700,0)),0))</f>
        <v/>
      </c>
    </row>
    <row r="8457" customFormat="false" ht="15" hidden="false" customHeight="false" outlineLevel="0" collapsed="false">
      <c r="A8457" s="103"/>
      <c r="B8457" s="104"/>
      <c r="C8457" s="104"/>
      <c r="E8457" s="107" t="str">
        <f aca="false">IF($C8457="","",IFERROR(INDEX(المنيو!$C$2:$C$500,MATCH($C8457,المنيو!$B$2:$B$500,0)),0))</f>
        <v/>
      </c>
      <c r="F8457" s="107" t="str">
        <f aca="false">IF($C8457="","",$D8457*$E8457)</f>
        <v/>
      </c>
      <c r="G8457" s="107" t="str">
        <f aca="false">IF($C8457="","",$D8457*IFERROR(INDEX('تحليل التكلفة والسعر'!$C$2:$C$700,MATCH($C8457,'تحليل التكلفة والسعر'!$B$2:$B$700,0)),0))</f>
        <v/>
      </c>
    </row>
    <row r="8458" customFormat="false" ht="15" hidden="false" customHeight="false" outlineLevel="0" collapsed="false">
      <c r="A8458" s="103"/>
      <c r="B8458" s="104"/>
      <c r="C8458" s="104"/>
      <c r="E8458" s="107" t="str">
        <f aca="false">IF($C8458="","",IFERROR(INDEX(المنيو!$C$2:$C$500,MATCH($C8458,المنيو!$B$2:$B$500,0)),0))</f>
        <v/>
      </c>
      <c r="F8458" s="107" t="str">
        <f aca="false">IF($C8458="","",$D8458*$E8458)</f>
        <v/>
      </c>
      <c r="G8458" s="107" t="str">
        <f aca="false">IF($C8458="","",$D8458*IFERROR(INDEX('تحليل التكلفة والسعر'!$C$2:$C$700,MATCH($C8458,'تحليل التكلفة والسعر'!$B$2:$B$700,0)),0))</f>
        <v/>
      </c>
    </row>
    <row r="8459" customFormat="false" ht="15" hidden="false" customHeight="false" outlineLevel="0" collapsed="false">
      <c r="A8459" s="103"/>
      <c r="B8459" s="104"/>
      <c r="C8459" s="104"/>
      <c r="E8459" s="107" t="str">
        <f aca="false">IF($C8459="","",IFERROR(INDEX(المنيو!$C$2:$C$500,MATCH($C8459,المنيو!$B$2:$B$500,0)),0))</f>
        <v/>
      </c>
      <c r="F8459" s="107" t="str">
        <f aca="false">IF($C8459="","",$D8459*$E8459)</f>
        <v/>
      </c>
      <c r="G8459" s="107" t="str">
        <f aca="false">IF($C8459="","",$D8459*IFERROR(INDEX('تحليل التكلفة والسعر'!$C$2:$C$700,MATCH($C8459,'تحليل التكلفة والسعر'!$B$2:$B$700,0)),0))</f>
        <v/>
      </c>
    </row>
    <row r="8460" customFormat="false" ht="15" hidden="false" customHeight="false" outlineLevel="0" collapsed="false">
      <c r="A8460" s="103"/>
      <c r="B8460" s="104"/>
      <c r="C8460" s="104"/>
      <c r="E8460" s="107" t="str">
        <f aca="false">IF($C8460="","",IFERROR(INDEX(المنيو!$C$2:$C$500,MATCH($C8460,المنيو!$B$2:$B$500,0)),0))</f>
        <v/>
      </c>
      <c r="F8460" s="107" t="str">
        <f aca="false">IF($C8460="","",$D8460*$E8460)</f>
        <v/>
      </c>
      <c r="G8460" s="107" t="str">
        <f aca="false">IF($C8460="","",$D8460*IFERROR(INDEX('تحليل التكلفة والسعر'!$C$2:$C$700,MATCH($C8460,'تحليل التكلفة والسعر'!$B$2:$B$700,0)),0))</f>
        <v/>
      </c>
    </row>
    <row r="8461" customFormat="false" ht="15" hidden="false" customHeight="false" outlineLevel="0" collapsed="false">
      <c r="A8461" s="103"/>
      <c r="B8461" s="104"/>
      <c r="C8461" s="104"/>
      <c r="E8461" s="107" t="str">
        <f aca="false">IF($C8461="","",IFERROR(INDEX(المنيو!$C$2:$C$500,MATCH($C8461,المنيو!$B$2:$B$500,0)),0))</f>
        <v/>
      </c>
      <c r="F8461" s="107" t="str">
        <f aca="false">IF($C8461="","",$D8461*$E8461)</f>
        <v/>
      </c>
      <c r="G8461" s="107" t="str">
        <f aca="false">IF($C8461="","",$D8461*IFERROR(INDEX('تحليل التكلفة والسعر'!$C$2:$C$700,MATCH($C8461,'تحليل التكلفة والسعر'!$B$2:$B$700,0)),0))</f>
        <v/>
      </c>
    </row>
    <row r="8462" customFormat="false" ht="15" hidden="false" customHeight="false" outlineLevel="0" collapsed="false">
      <c r="A8462" s="103"/>
      <c r="B8462" s="104"/>
      <c r="C8462" s="104"/>
      <c r="E8462" s="107" t="str">
        <f aca="false">IF($C8462="","",IFERROR(INDEX(المنيو!$C$2:$C$500,MATCH($C8462,المنيو!$B$2:$B$500,0)),0))</f>
        <v/>
      </c>
      <c r="F8462" s="107" t="str">
        <f aca="false">IF($C8462="","",$D8462*$E8462)</f>
        <v/>
      </c>
      <c r="G8462" s="107" t="str">
        <f aca="false">IF($C8462="","",$D8462*IFERROR(INDEX('تحليل التكلفة والسعر'!$C$2:$C$700,MATCH($C8462,'تحليل التكلفة والسعر'!$B$2:$B$700,0)),0))</f>
        <v/>
      </c>
    </row>
    <row r="8463" customFormat="false" ht="15" hidden="false" customHeight="false" outlineLevel="0" collapsed="false">
      <c r="A8463" s="103"/>
      <c r="B8463" s="104"/>
      <c r="C8463" s="104"/>
      <c r="E8463" s="107" t="str">
        <f aca="false">IF($C8463="","",IFERROR(INDEX(المنيو!$C$2:$C$500,MATCH($C8463,المنيو!$B$2:$B$500,0)),0))</f>
        <v/>
      </c>
      <c r="F8463" s="107" t="str">
        <f aca="false">IF($C8463="","",$D8463*$E8463)</f>
        <v/>
      </c>
      <c r="G8463" s="107" t="str">
        <f aca="false">IF($C8463="","",$D8463*IFERROR(INDEX('تحليل التكلفة والسعر'!$C$2:$C$700,MATCH($C8463,'تحليل التكلفة والسعر'!$B$2:$B$700,0)),0))</f>
        <v/>
      </c>
    </row>
    <row r="8464" customFormat="false" ht="15" hidden="false" customHeight="false" outlineLevel="0" collapsed="false">
      <c r="A8464" s="103"/>
      <c r="B8464" s="104"/>
      <c r="C8464" s="104"/>
      <c r="E8464" s="107" t="str">
        <f aca="false">IF($C8464="","",IFERROR(INDEX(المنيو!$C$2:$C$500,MATCH($C8464,المنيو!$B$2:$B$500,0)),0))</f>
        <v/>
      </c>
      <c r="F8464" s="107" t="str">
        <f aca="false">IF($C8464="","",$D8464*$E8464)</f>
        <v/>
      </c>
      <c r="G8464" s="107" t="str">
        <f aca="false">IF($C8464="","",$D8464*IFERROR(INDEX('تحليل التكلفة والسعر'!$C$2:$C$700,MATCH($C8464,'تحليل التكلفة والسعر'!$B$2:$B$700,0)),0))</f>
        <v/>
      </c>
    </row>
    <row r="8465" customFormat="false" ht="15" hidden="false" customHeight="false" outlineLevel="0" collapsed="false">
      <c r="A8465" s="103"/>
      <c r="B8465" s="104"/>
      <c r="C8465" s="104"/>
      <c r="E8465" s="107" t="str">
        <f aca="false">IF($C8465="","",IFERROR(INDEX(المنيو!$C$2:$C$500,MATCH($C8465,المنيو!$B$2:$B$500,0)),0))</f>
        <v/>
      </c>
      <c r="F8465" s="107" t="str">
        <f aca="false">IF($C8465="","",$D8465*$E8465)</f>
        <v/>
      </c>
      <c r="G8465" s="107" t="str">
        <f aca="false">IF($C8465="","",$D8465*IFERROR(INDEX('تحليل التكلفة والسعر'!$C$2:$C$700,MATCH($C8465,'تحليل التكلفة والسعر'!$B$2:$B$700,0)),0))</f>
        <v/>
      </c>
    </row>
    <row r="8466" customFormat="false" ht="15" hidden="false" customHeight="false" outlineLevel="0" collapsed="false">
      <c r="A8466" s="103"/>
      <c r="B8466" s="104"/>
      <c r="C8466" s="104"/>
      <c r="E8466" s="107" t="str">
        <f aca="false">IF($C8466="","",IFERROR(INDEX(المنيو!$C$2:$C$500,MATCH($C8466,المنيو!$B$2:$B$500,0)),0))</f>
        <v/>
      </c>
      <c r="F8466" s="107" t="str">
        <f aca="false">IF($C8466="","",$D8466*$E8466)</f>
        <v/>
      </c>
      <c r="G8466" s="107" t="str">
        <f aca="false">IF($C8466="","",$D8466*IFERROR(INDEX('تحليل التكلفة والسعر'!$C$2:$C$700,MATCH($C8466,'تحليل التكلفة والسعر'!$B$2:$B$700,0)),0))</f>
        <v/>
      </c>
    </row>
    <row r="8467" customFormat="false" ht="15" hidden="false" customHeight="false" outlineLevel="0" collapsed="false">
      <c r="A8467" s="103"/>
      <c r="B8467" s="104"/>
      <c r="C8467" s="104"/>
      <c r="E8467" s="107" t="str">
        <f aca="false">IF($C8467="","",IFERROR(INDEX(المنيو!$C$2:$C$500,MATCH($C8467,المنيو!$B$2:$B$500,0)),0))</f>
        <v/>
      </c>
      <c r="F8467" s="107" t="str">
        <f aca="false">IF($C8467="","",$D8467*$E8467)</f>
        <v/>
      </c>
      <c r="G8467" s="107" t="str">
        <f aca="false">IF($C8467="","",$D8467*IFERROR(INDEX('تحليل التكلفة والسعر'!$C$2:$C$700,MATCH($C8467,'تحليل التكلفة والسعر'!$B$2:$B$700,0)),0))</f>
        <v/>
      </c>
    </row>
    <row r="8468" customFormat="false" ht="15" hidden="false" customHeight="false" outlineLevel="0" collapsed="false">
      <c r="A8468" s="103"/>
      <c r="B8468" s="104"/>
      <c r="C8468" s="104"/>
      <c r="E8468" s="107" t="str">
        <f aca="false">IF($C8468="","",IFERROR(INDEX(المنيو!$C$2:$C$500,MATCH($C8468,المنيو!$B$2:$B$500,0)),0))</f>
        <v/>
      </c>
      <c r="F8468" s="107" t="str">
        <f aca="false">IF($C8468="","",$D8468*$E8468)</f>
        <v/>
      </c>
      <c r="G8468" s="107" t="str">
        <f aca="false">IF($C8468="","",$D8468*IFERROR(INDEX('تحليل التكلفة والسعر'!$C$2:$C$700,MATCH($C8468,'تحليل التكلفة والسعر'!$B$2:$B$700,0)),0))</f>
        <v/>
      </c>
    </row>
    <row r="8469" customFormat="false" ht="15" hidden="false" customHeight="false" outlineLevel="0" collapsed="false">
      <c r="A8469" s="103"/>
      <c r="B8469" s="104"/>
      <c r="C8469" s="104"/>
      <c r="E8469" s="107" t="str">
        <f aca="false">IF($C8469="","",IFERROR(INDEX(المنيو!$C$2:$C$500,MATCH($C8469,المنيو!$B$2:$B$500,0)),0))</f>
        <v/>
      </c>
      <c r="F8469" s="107" t="str">
        <f aca="false">IF($C8469="","",$D8469*$E8469)</f>
        <v/>
      </c>
      <c r="G8469" s="107" t="str">
        <f aca="false">IF($C8469="","",$D8469*IFERROR(INDEX('تحليل التكلفة والسعر'!$C$2:$C$700,MATCH($C8469,'تحليل التكلفة والسعر'!$B$2:$B$700,0)),0))</f>
        <v/>
      </c>
    </row>
    <row r="8470" customFormat="false" ht="15" hidden="false" customHeight="false" outlineLevel="0" collapsed="false">
      <c r="A8470" s="103"/>
      <c r="B8470" s="104"/>
      <c r="C8470" s="104"/>
      <c r="E8470" s="107" t="str">
        <f aca="false">IF($C8470="","",IFERROR(INDEX(المنيو!$C$2:$C$500,MATCH($C8470,المنيو!$B$2:$B$500,0)),0))</f>
        <v/>
      </c>
      <c r="F8470" s="107" t="str">
        <f aca="false">IF($C8470="","",$D8470*$E8470)</f>
        <v/>
      </c>
      <c r="G8470" s="107" t="str">
        <f aca="false">IF($C8470="","",$D8470*IFERROR(INDEX('تحليل التكلفة والسعر'!$C$2:$C$700,MATCH($C8470,'تحليل التكلفة والسعر'!$B$2:$B$700,0)),0))</f>
        <v/>
      </c>
    </row>
    <row r="8471" customFormat="false" ht="15" hidden="false" customHeight="false" outlineLevel="0" collapsed="false">
      <c r="A8471" s="103"/>
      <c r="B8471" s="104"/>
      <c r="C8471" s="104"/>
      <c r="E8471" s="107" t="str">
        <f aca="false">IF($C8471="","",IFERROR(INDEX(المنيو!$C$2:$C$500,MATCH($C8471,المنيو!$B$2:$B$500,0)),0))</f>
        <v/>
      </c>
      <c r="F8471" s="107" t="str">
        <f aca="false">IF($C8471="","",$D8471*$E8471)</f>
        <v/>
      </c>
      <c r="G8471" s="107" t="str">
        <f aca="false">IF($C8471="","",$D8471*IFERROR(INDEX('تحليل التكلفة والسعر'!$C$2:$C$700,MATCH($C8471,'تحليل التكلفة والسعر'!$B$2:$B$700,0)),0))</f>
        <v/>
      </c>
    </row>
    <row r="8472" customFormat="false" ht="15" hidden="false" customHeight="false" outlineLevel="0" collapsed="false">
      <c r="A8472" s="103"/>
      <c r="B8472" s="104"/>
      <c r="C8472" s="104"/>
      <c r="E8472" s="107" t="str">
        <f aca="false">IF($C8472="","",IFERROR(INDEX(المنيو!$C$2:$C$500,MATCH($C8472,المنيو!$B$2:$B$500,0)),0))</f>
        <v/>
      </c>
      <c r="F8472" s="107" t="str">
        <f aca="false">IF($C8472="","",$D8472*$E8472)</f>
        <v/>
      </c>
      <c r="G8472" s="107" t="str">
        <f aca="false">IF($C8472="","",$D8472*IFERROR(INDEX('تحليل التكلفة والسعر'!$C$2:$C$700,MATCH($C8472,'تحليل التكلفة والسعر'!$B$2:$B$700,0)),0))</f>
        <v/>
      </c>
    </row>
    <row r="8473" customFormat="false" ht="15" hidden="false" customHeight="false" outlineLevel="0" collapsed="false">
      <c r="A8473" s="103"/>
      <c r="B8473" s="104"/>
      <c r="C8473" s="104"/>
      <c r="E8473" s="107" t="str">
        <f aca="false">IF($C8473="","",IFERROR(INDEX(المنيو!$C$2:$C$500,MATCH($C8473,المنيو!$B$2:$B$500,0)),0))</f>
        <v/>
      </c>
      <c r="F8473" s="107" t="str">
        <f aca="false">IF($C8473="","",$D8473*$E8473)</f>
        <v/>
      </c>
      <c r="G8473" s="107" t="str">
        <f aca="false">IF($C8473="","",$D8473*IFERROR(INDEX('تحليل التكلفة والسعر'!$C$2:$C$700,MATCH($C8473,'تحليل التكلفة والسعر'!$B$2:$B$700,0)),0))</f>
        <v/>
      </c>
    </row>
    <row r="8474" customFormat="false" ht="15" hidden="false" customHeight="false" outlineLevel="0" collapsed="false">
      <c r="A8474" s="103"/>
      <c r="B8474" s="104"/>
      <c r="C8474" s="104"/>
      <c r="E8474" s="107" t="str">
        <f aca="false">IF($C8474="","",IFERROR(INDEX(المنيو!$C$2:$C$500,MATCH($C8474,المنيو!$B$2:$B$500,0)),0))</f>
        <v/>
      </c>
      <c r="F8474" s="107" t="str">
        <f aca="false">IF($C8474="","",$D8474*$E8474)</f>
        <v/>
      </c>
      <c r="G8474" s="107" t="str">
        <f aca="false">IF($C8474="","",$D8474*IFERROR(INDEX('تحليل التكلفة والسعر'!$C$2:$C$700,MATCH($C8474,'تحليل التكلفة والسعر'!$B$2:$B$700,0)),0))</f>
        <v/>
      </c>
    </row>
    <row r="8475" customFormat="false" ht="15" hidden="false" customHeight="false" outlineLevel="0" collapsed="false">
      <c r="A8475" s="103"/>
      <c r="B8475" s="104"/>
      <c r="C8475" s="104"/>
      <c r="E8475" s="107" t="str">
        <f aca="false">IF($C8475="","",IFERROR(INDEX(المنيو!$C$2:$C$500,MATCH($C8475,المنيو!$B$2:$B$500,0)),0))</f>
        <v/>
      </c>
      <c r="F8475" s="107" t="str">
        <f aca="false">IF($C8475="","",$D8475*$E8475)</f>
        <v/>
      </c>
      <c r="G8475" s="107" t="str">
        <f aca="false">IF($C8475="","",$D8475*IFERROR(INDEX('تحليل التكلفة والسعر'!$C$2:$C$700,MATCH($C8475,'تحليل التكلفة والسعر'!$B$2:$B$700,0)),0))</f>
        <v/>
      </c>
    </row>
    <row r="8476" customFormat="false" ht="15" hidden="false" customHeight="false" outlineLevel="0" collapsed="false">
      <c r="A8476" s="103"/>
      <c r="B8476" s="104"/>
      <c r="C8476" s="104"/>
      <c r="E8476" s="107" t="str">
        <f aca="false">IF($C8476="","",IFERROR(INDEX(المنيو!$C$2:$C$500,MATCH($C8476,المنيو!$B$2:$B$500,0)),0))</f>
        <v/>
      </c>
      <c r="F8476" s="107" t="str">
        <f aca="false">IF($C8476="","",$D8476*$E8476)</f>
        <v/>
      </c>
      <c r="G8476" s="107" t="str">
        <f aca="false">IF($C8476="","",$D8476*IFERROR(INDEX('تحليل التكلفة والسعر'!$C$2:$C$700,MATCH($C8476,'تحليل التكلفة والسعر'!$B$2:$B$700,0)),0))</f>
        <v/>
      </c>
    </row>
    <row r="8477" customFormat="false" ht="15" hidden="false" customHeight="false" outlineLevel="0" collapsed="false">
      <c r="A8477" s="103"/>
      <c r="B8477" s="104"/>
      <c r="C8477" s="104"/>
      <c r="E8477" s="107" t="str">
        <f aca="false">IF($C8477="","",IFERROR(INDEX(المنيو!$C$2:$C$500,MATCH($C8477,المنيو!$B$2:$B$500,0)),0))</f>
        <v/>
      </c>
      <c r="F8477" s="107" t="str">
        <f aca="false">IF($C8477="","",$D8477*$E8477)</f>
        <v/>
      </c>
      <c r="G8477" s="107" t="str">
        <f aca="false">IF($C8477="","",$D8477*IFERROR(INDEX('تحليل التكلفة والسعر'!$C$2:$C$700,MATCH($C8477,'تحليل التكلفة والسعر'!$B$2:$B$700,0)),0))</f>
        <v/>
      </c>
    </row>
    <row r="8478" customFormat="false" ht="15" hidden="false" customHeight="false" outlineLevel="0" collapsed="false">
      <c r="A8478" s="103"/>
      <c r="B8478" s="104"/>
      <c r="C8478" s="104"/>
      <c r="E8478" s="107" t="str">
        <f aca="false">IF($C8478="","",IFERROR(INDEX(المنيو!$C$2:$C$500,MATCH($C8478,المنيو!$B$2:$B$500,0)),0))</f>
        <v/>
      </c>
      <c r="F8478" s="107" t="str">
        <f aca="false">IF($C8478="","",$D8478*$E8478)</f>
        <v/>
      </c>
      <c r="G8478" s="107" t="str">
        <f aca="false">IF($C8478="","",$D8478*IFERROR(INDEX('تحليل التكلفة والسعر'!$C$2:$C$700,MATCH($C8478,'تحليل التكلفة والسعر'!$B$2:$B$700,0)),0))</f>
        <v/>
      </c>
    </row>
    <row r="8479" customFormat="false" ht="15" hidden="false" customHeight="false" outlineLevel="0" collapsed="false">
      <c r="A8479" s="103"/>
      <c r="B8479" s="104"/>
      <c r="C8479" s="104"/>
      <c r="E8479" s="107" t="str">
        <f aca="false">IF($C8479="","",IFERROR(INDEX(المنيو!$C$2:$C$500,MATCH($C8479,المنيو!$B$2:$B$500,0)),0))</f>
        <v/>
      </c>
      <c r="F8479" s="107" t="str">
        <f aca="false">IF($C8479="","",$D8479*$E8479)</f>
        <v/>
      </c>
      <c r="G8479" s="107" t="str">
        <f aca="false">IF($C8479="","",$D8479*IFERROR(INDEX('تحليل التكلفة والسعر'!$C$2:$C$700,MATCH($C8479,'تحليل التكلفة والسعر'!$B$2:$B$700,0)),0))</f>
        <v/>
      </c>
    </row>
    <row r="8480" customFormat="false" ht="15" hidden="false" customHeight="false" outlineLevel="0" collapsed="false">
      <c r="A8480" s="103"/>
      <c r="B8480" s="104"/>
      <c r="C8480" s="104"/>
      <c r="E8480" s="107" t="str">
        <f aca="false">IF($C8480="","",IFERROR(INDEX(المنيو!$C$2:$C$500,MATCH($C8480,المنيو!$B$2:$B$500,0)),0))</f>
        <v/>
      </c>
      <c r="F8480" s="107" t="str">
        <f aca="false">IF($C8480="","",$D8480*$E8480)</f>
        <v/>
      </c>
      <c r="G8480" s="107" t="str">
        <f aca="false">IF($C8480="","",$D8480*IFERROR(INDEX('تحليل التكلفة والسعر'!$C$2:$C$700,MATCH($C8480,'تحليل التكلفة والسعر'!$B$2:$B$700,0)),0))</f>
        <v/>
      </c>
    </row>
    <row r="8481" customFormat="false" ht="15" hidden="false" customHeight="false" outlineLevel="0" collapsed="false">
      <c r="A8481" s="103"/>
      <c r="B8481" s="104"/>
      <c r="C8481" s="104"/>
      <c r="E8481" s="107" t="str">
        <f aca="false">IF($C8481="","",IFERROR(INDEX(المنيو!$C$2:$C$500,MATCH($C8481,المنيو!$B$2:$B$500,0)),0))</f>
        <v/>
      </c>
      <c r="F8481" s="107" t="str">
        <f aca="false">IF($C8481="","",$D8481*$E8481)</f>
        <v/>
      </c>
      <c r="G8481" s="107" t="str">
        <f aca="false">IF($C8481="","",$D8481*IFERROR(INDEX('تحليل التكلفة والسعر'!$C$2:$C$700,MATCH($C8481,'تحليل التكلفة والسعر'!$B$2:$B$700,0)),0))</f>
        <v/>
      </c>
    </row>
    <row r="8482" customFormat="false" ht="15" hidden="false" customHeight="false" outlineLevel="0" collapsed="false">
      <c r="A8482" s="103"/>
      <c r="B8482" s="104"/>
      <c r="C8482" s="104"/>
      <c r="E8482" s="107" t="str">
        <f aca="false">IF($C8482="","",IFERROR(INDEX(المنيو!$C$2:$C$500,MATCH($C8482,المنيو!$B$2:$B$500,0)),0))</f>
        <v/>
      </c>
      <c r="F8482" s="107" t="str">
        <f aca="false">IF($C8482="","",$D8482*$E8482)</f>
        <v/>
      </c>
      <c r="G8482" s="107" t="str">
        <f aca="false">IF($C8482="","",$D8482*IFERROR(INDEX('تحليل التكلفة والسعر'!$C$2:$C$700,MATCH($C8482,'تحليل التكلفة والسعر'!$B$2:$B$700,0)),0))</f>
        <v/>
      </c>
    </row>
    <row r="8483" customFormat="false" ht="15" hidden="false" customHeight="false" outlineLevel="0" collapsed="false">
      <c r="A8483" s="103"/>
      <c r="B8483" s="104"/>
      <c r="C8483" s="104"/>
      <c r="E8483" s="107" t="str">
        <f aca="false">IF($C8483="","",IFERROR(INDEX(المنيو!$C$2:$C$500,MATCH($C8483,المنيو!$B$2:$B$500,0)),0))</f>
        <v/>
      </c>
      <c r="F8483" s="107" t="str">
        <f aca="false">IF($C8483="","",$D8483*$E8483)</f>
        <v/>
      </c>
      <c r="G8483" s="107" t="str">
        <f aca="false">IF($C8483="","",$D8483*IFERROR(INDEX('تحليل التكلفة والسعر'!$C$2:$C$700,MATCH($C8483,'تحليل التكلفة والسعر'!$B$2:$B$700,0)),0))</f>
        <v/>
      </c>
    </row>
    <row r="8484" customFormat="false" ht="15" hidden="false" customHeight="false" outlineLevel="0" collapsed="false">
      <c r="A8484" s="103"/>
      <c r="B8484" s="104"/>
      <c r="C8484" s="104"/>
      <c r="E8484" s="107" t="str">
        <f aca="false">IF($C8484="","",IFERROR(INDEX(المنيو!$C$2:$C$500,MATCH($C8484,المنيو!$B$2:$B$500,0)),0))</f>
        <v/>
      </c>
      <c r="F8484" s="107" t="str">
        <f aca="false">IF($C8484="","",$D8484*$E8484)</f>
        <v/>
      </c>
      <c r="G8484" s="107" t="str">
        <f aca="false">IF($C8484="","",$D8484*IFERROR(INDEX('تحليل التكلفة والسعر'!$C$2:$C$700,MATCH($C8484,'تحليل التكلفة والسعر'!$B$2:$B$700,0)),0))</f>
        <v/>
      </c>
    </row>
    <row r="8485" customFormat="false" ht="15" hidden="false" customHeight="false" outlineLevel="0" collapsed="false">
      <c r="A8485" s="103"/>
      <c r="B8485" s="104"/>
      <c r="C8485" s="104"/>
      <c r="E8485" s="107" t="str">
        <f aca="false">IF($C8485="","",IFERROR(INDEX(المنيو!$C$2:$C$500,MATCH($C8485,المنيو!$B$2:$B$500,0)),0))</f>
        <v/>
      </c>
      <c r="F8485" s="107" t="str">
        <f aca="false">IF($C8485="","",$D8485*$E8485)</f>
        <v/>
      </c>
      <c r="G8485" s="107" t="str">
        <f aca="false">IF($C8485="","",$D8485*IFERROR(INDEX('تحليل التكلفة والسعر'!$C$2:$C$700,MATCH($C8485,'تحليل التكلفة والسعر'!$B$2:$B$700,0)),0))</f>
        <v/>
      </c>
    </row>
    <row r="8486" customFormat="false" ht="15" hidden="false" customHeight="false" outlineLevel="0" collapsed="false">
      <c r="A8486" s="103"/>
      <c r="B8486" s="104"/>
      <c r="C8486" s="104"/>
      <c r="E8486" s="107" t="str">
        <f aca="false">IF($C8486="","",IFERROR(INDEX(المنيو!$C$2:$C$500,MATCH($C8486,المنيو!$B$2:$B$500,0)),0))</f>
        <v/>
      </c>
      <c r="F8486" s="107" t="str">
        <f aca="false">IF($C8486="","",$D8486*$E8486)</f>
        <v/>
      </c>
      <c r="G8486" s="107" t="str">
        <f aca="false">IF($C8486="","",$D8486*IFERROR(INDEX('تحليل التكلفة والسعر'!$C$2:$C$700,MATCH($C8486,'تحليل التكلفة والسعر'!$B$2:$B$700,0)),0))</f>
        <v/>
      </c>
    </row>
    <row r="8487" customFormat="false" ht="15" hidden="false" customHeight="false" outlineLevel="0" collapsed="false">
      <c r="A8487" s="103"/>
      <c r="B8487" s="104"/>
      <c r="C8487" s="104"/>
      <c r="E8487" s="107" t="str">
        <f aca="false">IF($C8487="","",IFERROR(INDEX(المنيو!$C$2:$C$500,MATCH($C8487,المنيو!$B$2:$B$500,0)),0))</f>
        <v/>
      </c>
      <c r="F8487" s="107" t="str">
        <f aca="false">IF($C8487="","",$D8487*$E8487)</f>
        <v/>
      </c>
      <c r="G8487" s="107" t="str">
        <f aca="false">IF($C8487="","",$D8487*IFERROR(INDEX('تحليل التكلفة والسعر'!$C$2:$C$700,MATCH($C8487,'تحليل التكلفة والسعر'!$B$2:$B$700,0)),0))</f>
        <v/>
      </c>
    </row>
    <row r="8488" customFormat="false" ht="15" hidden="false" customHeight="false" outlineLevel="0" collapsed="false">
      <c r="A8488" s="103"/>
      <c r="B8488" s="104"/>
      <c r="C8488" s="104"/>
      <c r="E8488" s="107" t="str">
        <f aca="false">IF($C8488="","",IFERROR(INDEX(المنيو!$C$2:$C$500,MATCH($C8488,المنيو!$B$2:$B$500,0)),0))</f>
        <v/>
      </c>
      <c r="F8488" s="107" t="str">
        <f aca="false">IF($C8488="","",$D8488*$E8488)</f>
        <v/>
      </c>
      <c r="G8488" s="107" t="str">
        <f aca="false">IF($C8488="","",$D8488*IFERROR(INDEX('تحليل التكلفة والسعر'!$C$2:$C$700,MATCH($C8488,'تحليل التكلفة والسعر'!$B$2:$B$700,0)),0))</f>
        <v/>
      </c>
    </row>
    <row r="8489" customFormat="false" ht="15" hidden="false" customHeight="false" outlineLevel="0" collapsed="false">
      <c r="A8489" s="103"/>
      <c r="B8489" s="104"/>
      <c r="C8489" s="104"/>
      <c r="E8489" s="107" t="str">
        <f aca="false">IF($C8489="","",IFERROR(INDEX(المنيو!$C$2:$C$500,MATCH($C8489,المنيو!$B$2:$B$500,0)),0))</f>
        <v/>
      </c>
      <c r="F8489" s="107" t="str">
        <f aca="false">IF($C8489="","",$D8489*$E8489)</f>
        <v/>
      </c>
      <c r="G8489" s="107" t="str">
        <f aca="false">IF($C8489="","",$D8489*IFERROR(INDEX('تحليل التكلفة والسعر'!$C$2:$C$700,MATCH($C8489,'تحليل التكلفة والسعر'!$B$2:$B$700,0)),0))</f>
        <v/>
      </c>
    </row>
    <row r="8490" customFormat="false" ht="15" hidden="false" customHeight="false" outlineLevel="0" collapsed="false">
      <c r="A8490" s="103"/>
      <c r="B8490" s="104"/>
      <c r="C8490" s="104"/>
      <c r="E8490" s="107" t="str">
        <f aca="false">IF($C8490="","",IFERROR(INDEX(المنيو!$C$2:$C$500,MATCH($C8490,المنيو!$B$2:$B$500,0)),0))</f>
        <v/>
      </c>
      <c r="F8490" s="107" t="str">
        <f aca="false">IF($C8490="","",$D8490*$E8490)</f>
        <v/>
      </c>
      <c r="G8490" s="107" t="str">
        <f aca="false">IF($C8490="","",$D8490*IFERROR(INDEX('تحليل التكلفة والسعر'!$C$2:$C$700,MATCH($C8490,'تحليل التكلفة والسعر'!$B$2:$B$700,0)),0))</f>
        <v/>
      </c>
    </row>
    <row r="8491" customFormat="false" ht="15" hidden="false" customHeight="false" outlineLevel="0" collapsed="false">
      <c r="A8491" s="103"/>
      <c r="B8491" s="104"/>
      <c r="C8491" s="104"/>
      <c r="E8491" s="107" t="str">
        <f aca="false">IF($C8491="","",IFERROR(INDEX(المنيو!$C$2:$C$500,MATCH($C8491,المنيو!$B$2:$B$500,0)),0))</f>
        <v/>
      </c>
      <c r="F8491" s="107" t="str">
        <f aca="false">IF($C8491="","",$D8491*$E8491)</f>
        <v/>
      </c>
      <c r="G8491" s="107" t="str">
        <f aca="false">IF($C8491="","",$D8491*IFERROR(INDEX('تحليل التكلفة والسعر'!$C$2:$C$700,MATCH($C8491,'تحليل التكلفة والسعر'!$B$2:$B$700,0)),0))</f>
        <v/>
      </c>
    </row>
    <row r="8492" customFormat="false" ht="15" hidden="false" customHeight="false" outlineLevel="0" collapsed="false">
      <c r="A8492" s="103"/>
      <c r="B8492" s="104"/>
      <c r="C8492" s="104"/>
      <c r="E8492" s="107" t="str">
        <f aca="false">IF($C8492="","",IFERROR(INDEX(المنيو!$C$2:$C$500,MATCH($C8492,المنيو!$B$2:$B$500,0)),0))</f>
        <v/>
      </c>
      <c r="F8492" s="107" t="str">
        <f aca="false">IF($C8492="","",$D8492*$E8492)</f>
        <v/>
      </c>
      <c r="G8492" s="107" t="str">
        <f aca="false">IF($C8492="","",$D8492*IFERROR(INDEX('تحليل التكلفة والسعر'!$C$2:$C$700,MATCH($C8492,'تحليل التكلفة والسعر'!$B$2:$B$700,0)),0))</f>
        <v/>
      </c>
    </row>
    <row r="8493" customFormat="false" ht="15" hidden="false" customHeight="false" outlineLevel="0" collapsed="false">
      <c r="A8493" s="103"/>
      <c r="B8493" s="104"/>
      <c r="C8493" s="104"/>
      <c r="E8493" s="107" t="str">
        <f aca="false">IF($C8493="","",IFERROR(INDEX(المنيو!$C$2:$C$500,MATCH($C8493,المنيو!$B$2:$B$500,0)),0))</f>
        <v/>
      </c>
      <c r="F8493" s="107" t="str">
        <f aca="false">IF($C8493="","",$D8493*$E8493)</f>
        <v/>
      </c>
      <c r="G8493" s="107" t="str">
        <f aca="false">IF($C8493="","",$D8493*IFERROR(INDEX('تحليل التكلفة والسعر'!$C$2:$C$700,MATCH($C8493,'تحليل التكلفة والسعر'!$B$2:$B$700,0)),0))</f>
        <v/>
      </c>
    </row>
    <row r="8494" customFormat="false" ht="15" hidden="false" customHeight="false" outlineLevel="0" collapsed="false">
      <c r="A8494" s="103"/>
      <c r="B8494" s="104"/>
      <c r="C8494" s="104"/>
      <c r="E8494" s="107" t="str">
        <f aca="false">IF($C8494="","",IFERROR(INDEX(المنيو!$C$2:$C$500,MATCH($C8494,المنيو!$B$2:$B$500,0)),0))</f>
        <v/>
      </c>
      <c r="F8494" s="107" t="str">
        <f aca="false">IF($C8494="","",$D8494*$E8494)</f>
        <v/>
      </c>
      <c r="G8494" s="107" t="str">
        <f aca="false">IF($C8494="","",$D8494*IFERROR(INDEX('تحليل التكلفة والسعر'!$C$2:$C$700,MATCH($C8494,'تحليل التكلفة والسعر'!$B$2:$B$700,0)),0))</f>
        <v/>
      </c>
    </row>
    <row r="8495" customFormat="false" ht="15" hidden="false" customHeight="false" outlineLevel="0" collapsed="false">
      <c r="A8495" s="103"/>
      <c r="B8495" s="104"/>
      <c r="C8495" s="104"/>
      <c r="E8495" s="107" t="str">
        <f aca="false">IF($C8495="","",IFERROR(INDEX(المنيو!$C$2:$C$500,MATCH($C8495,المنيو!$B$2:$B$500,0)),0))</f>
        <v/>
      </c>
      <c r="F8495" s="107" t="str">
        <f aca="false">IF($C8495="","",$D8495*$E8495)</f>
        <v/>
      </c>
      <c r="G8495" s="107" t="str">
        <f aca="false">IF($C8495="","",$D8495*IFERROR(INDEX('تحليل التكلفة والسعر'!$C$2:$C$700,MATCH($C8495,'تحليل التكلفة والسعر'!$B$2:$B$700,0)),0))</f>
        <v/>
      </c>
    </row>
    <row r="8496" customFormat="false" ht="15" hidden="false" customHeight="false" outlineLevel="0" collapsed="false">
      <c r="A8496" s="103"/>
      <c r="B8496" s="104"/>
      <c r="C8496" s="104"/>
      <c r="E8496" s="107" t="str">
        <f aca="false">IF($C8496="","",IFERROR(INDEX(المنيو!$C$2:$C$500,MATCH($C8496,المنيو!$B$2:$B$500,0)),0))</f>
        <v/>
      </c>
      <c r="F8496" s="107" t="str">
        <f aca="false">IF($C8496="","",$D8496*$E8496)</f>
        <v/>
      </c>
      <c r="G8496" s="107" t="str">
        <f aca="false">IF($C8496="","",$D8496*IFERROR(INDEX('تحليل التكلفة والسعر'!$C$2:$C$700,MATCH($C8496,'تحليل التكلفة والسعر'!$B$2:$B$700,0)),0))</f>
        <v/>
      </c>
    </row>
    <row r="8497" customFormat="false" ht="15" hidden="false" customHeight="false" outlineLevel="0" collapsed="false">
      <c r="A8497" s="103"/>
      <c r="B8497" s="104"/>
      <c r="C8497" s="104"/>
      <c r="E8497" s="107" t="str">
        <f aca="false">IF($C8497="","",IFERROR(INDEX(المنيو!$C$2:$C$500,MATCH($C8497,المنيو!$B$2:$B$500,0)),0))</f>
        <v/>
      </c>
      <c r="F8497" s="107" t="str">
        <f aca="false">IF($C8497="","",$D8497*$E8497)</f>
        <v/>
      </c>
      <c r="G8497" s="107" t="str">
        <f aca="false">IF($C8497="","",$D8497*IFERROR(INDEX('تحليل التكلفة والسعر'!$C$2:$C$700,MATCH($C8497,'تحليل التكلفة والسعر'!$B$2:$B$700,0)),0))</f>
        <v/>
      </c>
    </row>
    <row r="8498" customFormat="false" ht="15" hidden="false" customHeight="false" outlineLevel="0" collapsed="false">
      <c r="A8498" s="103"/>
      <c r="B8498" s="104"/>
      <c r="C8498" s="104"/>
      <c r="E8498" s="107" t="str">
        <f aca="false">IF($C8498="","",IFERROR(INDEX(المنيو!$C$2:$C$500,MATCH($C8498,المنيو!$B$2:$B$500,0)),0))</f>
        <v/>
      </c>
      <c r="F8498" s="107" t="str">
        <f aca="false">IF($C8498="","",$D8498*$E8498)</f>
        <v/>
      </c>
      <c r="G8498" s="107" t="str">
        <f aca="false">IF($C8498="","",$D8498*IFERROR(INDEX('تحليل التكلفة والسعر'!$C$2:$C$700,MATCH($C8498,'تحليل التكلفة والسعر'!$B$2:$B$700,0)),0))</f>
        <v/>
      </c>
    </row>
    <row r="8499" customFormat="false" ht="15" hidden="false" customHeight="false" outlineLevel="0" collapsed="false">
      <c r="A8499" s="103"/>
      <c r="B8499" s="104"/>
      <c r="C8499" s="104"/>
      <c r="E8499" s="107" t="str">
        <f aca="false">IF($C8499="","",IFERROR(INDEX(المنيو!$C$2:$C$500,MATCH($C8499,المنيو!$B$2:$B$500,0)),0))</f>
        <v/>
      </c>
      <c r="F8499" s="107" t="str">
        <f aca="false">IF($C8499="","",$D8499*$E8499)</f>
        <v/>
      </c>
      <c r="G8499" s="107" t="str">
        <f aca="false">IF($C8499="","",$D8499*IFERROR(INDEX('تحليل التكلفة والسعر'!$C$2:$C$700,MATCH($C8499,'تحليل التكلفة والسعر'!$B$2:$B$700,0)),0))</f>
        <v/>
      </c>
    </row>
    <row r="8500" customFormat="false" ht="15" hidden="false" customHeight="false" outlineLevel="0" collapsed="false">
      <c r="A8500" s="103"/>
      <c r="B8500" s="104"/>
      <c r="C8500" s="104"/>
      <c r="E8500" s="107" t="str">
        <f aca="false">IF($C8500="","",IFERROR(INDEX(المنيو!$C$2:$C$500,MATCH($C8500,المنيو!$B$2:$B$500,0)),0))</f>
        <v/>
      </c>
      <c r="F8500" s="107" t="str">
        <f aca="false">IF($C8500="","",$D8500*$E8500)</f>
        <v/>
      </c>
      <c r="G8500" s="107" t="str">
        <f aca="false">IF($C8500="","",$D8500*IFERROR(INDEX('تحليل التكلفة والسعر'!$C$2:$C$700,MATCH($C8500,'تحليل التكلفة والسعر'!$B$2:$B$700,0)),0))</f>
        <v/>
      </c>
    </row>
    <row r="8501" customFormat="false" ht="15" hidden="false" customHeight="false" outlineLevel="0" collapsed="false">
      <c r="A8501" s="103"/>
      <c r="B8501" s="104"/>
      <c r="C8501" s="104"/>
      <c r="E8501" s="107" t="str">
        <f aca="false">IF($C8501="","",IFERROR(INDEX(المنيو!$C$2:$C$500,MATCH($C8501,المنيو!$B$2:$B$500,0)),0))</f>
        <v/>
      </c>
      <c r="F8501" s="107" t="str">
        <f aca="false">IF($C8501="","",$D8501*$E8501)</f>
        <v/>
      </c>
      <c r="G8501" s="107" t="str">
        <f aca="false">IF($C8501="","",$D8501*IFERROR(INDEX('تحليل التكلفة والسعر'!$C$2:$C$700,MATCH($C8501,'تحليل التكلفة والسعر'!$B$2:$B$700,0)),0))</f>
        <v/>
      </c>
    </row>
    <row r="8502" customFormat="false" ht="15" hidden="false" customHeight="false" outlineLevel="0" collapsed="false">
      <c r="A8502" s="103"/>
      <c r="B8502" s="104"/>
      <c r="C8502" s="104"/>
      <c r="E8502" s="107" t="str">
        <f aca="false">IF($C8502="","",IFERROR(INDEX(المنيو!$C$2:$C$500,MATCH($C8502,المنيو!$B$2:$B$500,0)),0))</f>
        <v/>
      </c>
      <c r="F8502" s="107" t="str">
        <f aca="false">IF($C8502="","",$D8502*$E8502)</f>
        <v/>
      </c>
      <c r="G8502" s="107" t="str">
        <f aca="false">IF($C8502="","",$D8502*IFERROR(INDEX('تحليل التكلفة والسعر'!$C$2:$C$700,MATCH($C8502,'تحليل التكلفة والسعر'!$B$2:$B$700,0)),0))</f>
        <v/>
      </c>
    </row>
    <row r="8503" customFormat="false" ht="15" hidden="false" customHeight="false" outlineLevel="0" collapsed="false">
      <c r="A8503" s="103"/>
      <c r="B8503" s="104"/>
      <c r="C8503" s="104"/>
      <c r="E8503" s="107" t="str">
        <f aca="false">IF($C8503="","",IFERROR(INDEX(المنيو!$C$2:$C$500,MATCH($C8503,المنيو!$B$2:$B$500,0)),0))</f>
        <v/>
      </c>
      <c r="F8503" s="107" t="str">
        <f aca="false">IF($C8503="","",$D8503*$E8503)</f>
        <v/>
      </c>
      <c r="G8503" s="107" t="str">
        <f aca="false">IF($C8503="","",$D8503*IFERROR(INDEX('تحليل التكلفة والسعر'!$C$2:$C$700,MATCH($C8503,'تحليل التكلفة والسعر'!$B$2:$B$700,0)),0))</f>
        <v/>
      </c>
    </row>
    <row r="8504" customFormat="false" ht="15" hidden="false" customHeight="false" outlineLevel="0" collapsed="false">
      <c r="A8504" s="103"/>
      <c r="B8504" s="104"/>
      <c r="C8504" s="104"/>
      <c r="E8504" s="107" t="str">
        <f aca="false">IF($C8504="","",IFERROR(INDEX(المنيو!$C$2:$C$500,MATCH($C8504,المنيو!$B$2:$B$500,0)),0))</f>
        <v/>
      </c>
      <c r="F8504" s="107" t="str">
        <f aca="false">IF($C8504="","",$D8504*$E8504)</f>
        <v/>
      </c>
      <c r="G8504" s="107" t="str">
        <f aca="false">IF($C8504="","",$D8504*IFERROR(INDEX('تحليل التكلفة والسعر'!$C$2:$C$700,MATCH($C8504,'تحليل التكلفة والسعر'!$B$2:$B$700,0)),0))</f>
        <v/>
      </c>
    </row>
    <row r="8505" customFormat="false" ht="15" hidden="false" customHeight="false" outlineLevel="0" collapsed="false">
      <c r="A8505" s="103"/>
      <c r="B8505" s="104"/>
      <c r="C8505" s="104"/>
      <c r="E8505" s="107" t="str">
        <f aca="false">IF($C8505="","",IFERROR(INDEX(المنيو!$C$2:$C$500,MATCH($C8505,المنيو!$B$2:$B$500,0)),0))</f>
        <v/>
      </c>
      <c r="F8505" s="107" t="str">
        <f aca="false">IF($C8505="","",$D8505*$E8505)</f>
        <v/>
      </c>
      <c r="G8505" s="107" t="str">
        <f aca="false">IF($C8505="","",$D8505*IFERROR(INDEX('تحليل التكلفة والسعر'!$C$2:$C$700,MATCH($C8505,'تحليل التكلفة والسعر'!$B$2:$B$700,0)),0))</f>
        <v/>
      </c>
    </row>
    <row r="8506" customFormat="false" ht="15" hidden="false" customHeight="false" outlineLevel="0" collapsed="false">
      <c r="A8506" s="103"/>
      <c r="B8506" s="104"/>
      <c r="C8506" s="104"/>
      <c r="E8506" s="107" t="str">
        <f aca="false">IF($C8506="","",IFERROR(INDEX(المنيو!$C$2:$C$500,MATCH($C8506,المنيو!$B$2:$B$500,0)),0))</f>
        <v/>
      </c>
      <c r="F8506" s="107" t="str">
        <f aca="false">IF($C8506="","",$D8506*$E8506)</f>
        <v/>
      </c>
      <c r="G8506" s="107" t="str">
        <f aca="false">IF($C8506="","",$D8506*IFERROR(INDEX('تحليل التكلفة والسعر'!$C$2:$C$700,MATCH($C8506,'تحليل التكلفة والسعر'!$B$2:$B$700,0)),0))</f>
        <v/>
      </c>
    </row>
    <row r="8507" customFormat="false" ht="15" hidden="false" customHeight="false" outlineLevel="0" collapsed="false">
      <c r="A8507" s="103"/>
      <c r="B8507" s="104"/>
      <c r="C8507" s="104"/>
      <c r="E8507" s="107" t="str">
        <f aca="false">IF($C8507="","",IFERROR(INDEX(المنيو!$C$2:$C$500,MATCH($C8507,المنيو!$B$2:$B$500,0)),0))</f>
        <v/>
      </c>
      <c r="F8507" s="107" t="str">
        <f aca="false">IF($C8507="","",$D8507*$E8507)</f>
        <v/>
      </c>
      <c r="G8507" s="107" t="str">
        <f aca="false">IF($C8507="","",$D8507*IFERROR(INDEX('تحليل التكلفة والسعر'!$C$2:$C$700,MATCH($C8507,'تحليل التكلفة والسعر'!$B$2:$B$700,0)),0))</f>
        <v/>
      </c>
    </row>
    <row r="8508" customFormat="false" ht="15" hidden="false" customHeight="false" outlineLevel="0" collapsed="false">
      <c r="A8508" s="103"/>
      <c r="B8508" s="104"/>
      <c r="C8508" s="104"/>
      <c r="E8508" s="107" t="str">
        <f aca="false">IF($C8508="","",IFERROR(INDEX(المنيو!$C$2:$C$500,MATCH($C8508,المنيو!$B$2:$B$500,0)),0))</f>
        <v/>
      </c>
      <c r="F8508" s="107" t="str">
        <f aca="false">IF($C8508="","",$D8508*$E8508)</f>
        <v/>
      </c>
      <c r="G8508" s="107" t="str">
        <f aca="false">IF($C8508="","",$D8508*IFERROR(INDEX('تحليل التكلفة والسعر'!$C$2:$C$700,MATCH($C8508,'تحليل التكلفة والسعر'!$B$2:$B$700,0)),0))</f>
        <v/>
      </c>
    </row>
    <row r="8509" customFormat="false" ht="15" hidden="false" customHeight="false" outlineLevel="0" collapsed="false">
      <c r="A8509" s="103"/>
      <c r="B8509" s="104"/>
      <c r="C8509" s="104"/>
      <c r="E8509" s="107" t="str">
        <f aca="false">IF($C8509="","",IFERROR(INDEX(المنيو!$C$2:$C$500,MATCH($C8509,المنيو!$B$2:$B$500,0)),0))</f>
        <v/>
      </c>
      <c r="F8509" s="107" t="str">
        <f aca="false">IF($C8509="","",$D8509*$E8509)</f>
        <v/>
      </c>
      <c r="G8509" s="107" t="str">
        <f aca="false">IF($C8509="","",$D8509*IFERROR(INDEX('تحليل التكلفة والسعر'!$C$2:$C$700,MATCH($C8509,'تحليل التكلفة والسعر'!$B$2:$B$700,0)),0))</f>
        <v/>
      </c>
    </row>
    <row r="8510" customFormat="false" ht="15" hidden="false" customHeight="false" outlineLevel="0" collapsed="false">
      <c r="A8510" s="103"/>
      <c r="B8510" s="104"/>
      <c r="C8510" s="104"/>
      <c r="E8510" s="107" t="str">
        <f aca="false">IF($C8510="","",IFERROR(INDEX(المنيو!$C$2:$C$500,MATCH($C8510,المنيو!$B$2:$B$500,0)),0))</f>
        <v/>
      </c>
      <c r="F8510" s="107" t="str">
        <f aca="false">IF($C8510="","",$D8510*$E8510)</f>
        <v/>
      </c>
      <c r="G8510" s="107" t="str">
        <f aca="false">IF($C8510="","",$D8510*IFERROR(INDEX('تحليل التكلفة والسعر'!$C$2:$C$700,MATCH($C8510,'تحليل التكلفة والسعر'!$B$2:$B$700,0)),0))</f>
        <v/>
      </c>
    </row>
    <row r="8511" customFormat="false" ht="15" hidden="false" customHeight="false" outlineLevel="0" collapsed="false">
      <c r="A8511" s="103"/>
      <c r="B8511" s="104"/>
      <c r="C8511" s="104"/>
      <c r="E8511" s="107" t="str">
        <f aca="false">IF($C8511="","",IFERROR(INDEX(المنيو!$C$2:$C$500,MATCH($C8511,المنيو!$B$2:$B$500,0)),0))</f>
        <v/>
      </c>
      <c r="F8511" s="107" t="str">
        <f aca="false">IF($C8511="","",$D8511*$E8511)</f>
        <v/>
      </c>
      <c r="G8511" s="107" t="str">
        <f aca="false">IF($C8511="","",$D8511*IFERROR(INDEX('تحليل التكلفة والسعر'!$C$2:$C$700,MATCH($C8511,'تحليل التكلفة والسعر'!$B$2:$B$700,0)),0))</f>
        <v/>
      </c>
    </row>
    <row r="8512" customFormat="false" ht="15" hidden="false" customHeight="false" outlineLevel="0" collapsed="false">
      <c r="A8512" s="103"/>
      <c r="B8512" s="104"/>
      <c r="C8512" s="104"/>
      <c r="E8512" s="107" t="str">
        <f aca="false">IF($C8512="","",IFERROR(INDEX(المنيو!$C$2:$C$500,MATCH($C8512,المنيو!$B$2:$B$500,0)),0))</f>
        <v/>
      </c>
      <c r="F8512" s="107" t="str">
        <f aca="false">IF($C8512="","",$D8512*$E8512)</f>
        <v/>
      </c>
      <c r="G8512" s="107" t="str">
        <f aca="false">IF($C8512="","",$D8512*IFERROR(INDEX('تحليل التكلفة والسعر'!$C$2:$C$700,MATCH($C8512,'تحليل التكلفة والسعر'!$B$2:$B$700,0)),0))</f>
        <v/>
      </c>
    </row>
    <row r="8513" customFormat="false" ht="15" hidden="false" customHeight="false" outlineLevel="0" collapsed="false">
      <c r="A8513" s="103"/>
      <c r="B8513" s="104"/>
      <c r="C8513" s="104"/>
      <c r="E8513" s="107" t="str">
        <f aca="false">IF($C8513="","",IFERROR(INDEX(المنيو!$C$2:$C$500,MATCH($C8513,المنيو!$B$2:$B$500,0)),0))</f>
        <v/>
      </c>
      <c r="F8513" s="107" t="str">
        <f aca="false">IF($C8513="","",$D8513*$E8513)</f>
        <v/>
      </c>
      <c r="G8513" s="107" t="str">
        <f aca="false">IF($C8513="","",$D8513*IFERROR(INDEX('تحليل التكلفة والسعر'!$C$2:$C$700,MATCH($C8513,'تحليل التكلفة والسعر'!$B$2:$B$700,0)),0))</f>
        <v/>
      </c>
    </row>
    <row r="8514" customFormat="false" ht="15" hidden="false" customHeight="false" outlineLevel="0" collapsed="false">
      <c r="A8514" s="103"/>
      <c r="B8514" s="104"/>
      <c r="C8514" s="104"/>
      <c r="E8514" s="107" t="str">
        <f aca="false">IF($C8514="","",IFERROR(INDEX(المنيو!$C$2:$C$500,MATCH($C8514,المنيو!$B$2:$B$500,0)),0))</f>
        <v/>
      </c>
      <c r="F8514" s="107" t="str">
        <f aca="false">IF($C8514="","",$D8514*$E8514)</f>
        <v/>
      </c>
      <c r="G8514" s="107" t="str">
        <f aca="false">IF($C8514="","",$D8514*IFERROR(INDEX('تحليل التكلفة والسعر'!$C$2:$C$700,MATCH($C8514,'تحليل التكلفة والسعر'!$B$2:$B$700,0)),0))</f>
        <v/>
      </c>
    </row>
    <row r="8515" customFormat="false" ht="15" hidden="false" customHeight="false" outlineLevel="0" collapsed="false">
      <c r="A8515" s="103"/>
      <c r="B8515" s="104"/>
      <c r="C8515" s="104"/>
      <c r="E8515" s="107" t="str">
        <f aca="false">IF($C8515="","",IFERROR(INDEX(المنيو!$C$2:$C$500,MATCH($C8515,المنيو!$B$2:$B$500,0)),0))</f>
        <v/>
      </c>
      <c r="F8515" s="107" t="str">
        <f aca="false">IF($C8515="","",$D8515*$E8515)</f>
        <v/>
      </c>
      <c r="G8515" s="107" t="str">
        <f aca="false">IF($C8515="","",$D8515*IFERROR(INDEX('تحليل التكلفة والسعر'!$C$2:$C$700,MATCH($C8515,'تحليل التكلفة والسعر'!$B$2:$B$700,0)),0))</f>
        <v/>
      </c>
    </row>
    <row r="8516" customFormat="false" ht="15" hidden="false" customHeight="false" outlineLevel="0" collapsed="false">
      <c r="A8516" s="103"/>
      <c r="B8516" s="104"/>
      <c r="C8516" s="104"/>
      <c r="E8516" s="107" t="str">
        <f aca="false">IF($C8516="","",IFERROR(INDEX(المنيو!$C$2:$C$500,MATCH($C8516,المنيو!$B$2:$B$500,0)),0))</f>
        <v/>
      </c>
      <c r="F8516" s="107" t="str">
        <f aca="false">IF($C8516="","",$D8516*$E8516)</f>
        <v/>
      </c>
      <c r="G8516" s="107" t="str">
        <f aca="false">IF($C8516="","",$D8516*IFERROR(INDEX('تحليل التكلفة والسعر'!$C$2:$C$700,MATCH($C8516,'تحليل التكلفة والسعر'!$B$2:$B$700,0)),0))</f>
        <v/>
      </c>
    </row>
    <row r="8517" customFormat="false" ht="15" hidden="false" customHeight="false" outlineLevel="0" collapsed="false">
      <c r="A8517" s="103"/>
      <c r="B8517" s="104"/>
      <c r="C8517" s="104"/>
      <c r="E8517" s="107" t="str">
        <f aca="false">IF($C8517="","",IFERROR(INDEX(المنيو!$C$2:$C$500,MATCH($C8517,المنيو!$B$2:$B$500,0)),0))</f>
        <v/>
      </c>
      <c r="F8517" s="107" t="str">
        <f aca="false">IF($C8517="","",$D8517*$E8517)</f>
        <v/>
      </c>
      <c r="G8517" s="107" t="str">
        <f aca="false">IF($C8517="","",$D8517*IFERROR(INDEX('تحليل التكلفة والسعر'!$C$2:$C$700,MATCH($C8517,'تحليل التكلفة والسعر'!$B$2:$B$700,0)),0))</f>
        <v/>
      </c>
    </row>
    <row r="8518" customFormat="false" ht="15" hidden="false" customHeight="false" outlineLevel="0" collapsed="false">
      <c r="A8518" s="103"/>
      <c r="B8518" s="104"/>
      <c r="C8518" s="104"/>
      <c r="E8518" s="107" t="str">
        <f aca="false">IF($C8518="","",IFERROR(INDEX(المنيو!$C$2:$C$500,MATCH($C8518,المنيو!$B$2:$B$500,0)),0))</f>
        <v/>
      </c>
      <c r="F8518" s="107" t="str">
        <f aca="false">IF($C8518="","",$D8518*$E8518)</f>
        <v/>
      </c>
      <c r="G8518" s="107" t="str">
        <f aca="false">IF($C8518="","",$D8518*IFERROR(INDEX('تحليل التكلفة والسعر'!$C$2:$C$700,MATCH($C8518,'تحليل التكلفة والسعر'!$B$2:$B$700,0)),0))</f>
        <v/>
      </c>
    </row>
    <row r="8519" customFormat="false" ht="15" hidden="false" customHeight="false" outlineLevel="0" collapsed="false">
      <c r="A8519" s="103"/>
      <c r="B8519" s="104"/>
      <c r="C8519" s="104"/>
      <c r="E8519" s="107" t="str">
        <f aca="false">IF($C8519="","",IFERROR(INDEX(المنيو!$C$2:$C$500,MATCH($C8519,المنيو!$B$2:$B$500,0)),0))</f>
        <v/>
      </c>
      <c r="F8519" s="107" t="str">
        <f aca="false">IF($C8519="","",$D8519*$E8519)</f>
        <v/>
      </c>
      <c r="G8519" s="107" t="str">
        <f aca="false">IF($C8519="","",$D8519*IFERROR(INDEX('تحليل التكلفة والسعر'!$C$2:$C$700,MATCH($C8519,'تحليل التكلفة والسعر'!$B$2:$B$700,0)),0))</f>
        <v/>
      </c>
    </row>
    <row r="8520" customFormat="false" ht="15" hidden="false" customHeight="false" outlineLevel="0" collapsed="false">
      <c r="A8520" s="103"/>
      <c r="B8520" s="104"/>
      <c r="C8520" s="104"/>
      <c r="E8520" s="107" t="str">
        <f aca="false">IF($C8520="","",IFERROR(INDEX(المنيو!$C$2:$C$500,MATCH($C8520,المنيو!$B$2:$B$500,0)),0))</f>
        <v/>
      </c>
      <c r="F8520" s="107" t="str">
        <f aca="false">IF($C8520="","",$D8520*$E8520)</f>
        <v/>
      </c>
      <c r="G8520" s="107" t="str">
        <f aca="false">IF($C8520="","",$D8520*IFERROR(INDEX('تحليل التكلفة والسعر'!$C$2:$C$700,MATCH($C8520,'تحليل التكلفة والسعر'!$B$2:$B$700,0)),0))</f>
        <v/>
      </c>
    </row>
    <row r="8521" customFormat="false" ht="15" hidden="false" customHeight="false" outlineLevel="0" collapsed="false">
      <c r="A8521" s="103"/>
      <c r="B8521" s="104"/>
      <c r="C8521" s="104"/>
      <c r="E8521" s="107" t="str">
        <f aca="false">IF($C8521="","",IFERROR(INDEX(المنيو!$C$2:$C$500,MATCH($C8521,المنيو!$B$2:$B$500,0)),0))</f>
        <v/>
      </c>
      <c r="F8521" s="107" t="str">
        <f aca="false">IF($C8521="","",$D8521*$E8521)</f>
        <v/>
      </c>
      <c r="G8521" s="107" t="str">
        <f aca="false">IF($C8521="","",$D8521*IFERROR(INDEX('تحليل التكلفة والسعر'!$C$2:$C$700,MATCH($C8521,'تحليل التكلفة والسعر'!$B$2:$B$700,0)),0))</f>
        <v/>
      </c>
    </row>
    <row r="8522" customFormat="false" ht="15" hidden="false" customHeight="false" outlineLevel="0" collapsed="false">
      <c r="A8522" s="103"/>
      <c r="B8522" s="104"/>
      <c r="C8522" s="104"/>
      <c r="E8522" s="107" t="str">
        <f aca="false">IF($C8522="","",IFERROR(INDEX(المنيو!$C$2:$C$500,MATCH($C8522,المنيو!$B$2:$B$500,0)),0))</f>
        <v/>
      </c>
      <c r="F8522" s="107" t="str">
        <f aca="false">IF($C8522="","",$D8522*$E8522)</f>
        <v/>
      </c>
      <c r="G8522" s="107" t="str">
        <f aca="false">IF($C8522="","",$D8522*IFERROR(INDEX('تحليل التكلفة والسعر'!$C$2:$C$700,MATCH($C8522,'تحليل التكلفة والسعر'!$B$2:$B$700,0)),0))</f>
        <v/>
      </c>
    </row>
    <row r="8523" customFormat="false" ht="15" hidden="false" customHeight="false" outlineLevel="0" collapsed="false">
      <c r="A8523" s="103"/>
      <c r="B8523" s="104"/>
      <c r="C8523" s="104"/>
      <c r="E8523" s="107" t="str">
        <f aca="false">IF($C8523="","",IFERROR(INDEX(المنيو!$C$2:$C$500,MATCH($C8523,المنيو!$B$2:$B$500,0)),0))</f>
        <v/>
      </c>
      <c r="F8523" s="107" t="str">
        <f aca="false">IF($C8523="","",$D8523*$E8523)</f>
        <v/>
      </c>
      <c r="G8523" s="107" t="str">
        <f aca="false">IF($C8523="","",$D8523*IFERROR(INDEX('تحليل التكلفة والسعر'!$C$2:$C$700,MATCH($C8523,'تحليل التكلفة والسعر'!$B$2:$B$700,0)),0))</f>
        <v/>
      </c>
    </row>
    <row r="8524" customFormat="false" ht="15" hidden="false" customHeight="false" outlineLevel="0" collapsed="false">
      <c r="A8524" s="103"/>
      <c r="B8524" s="104"/>
      <c r="C8524" s="104"/>
      <c r="E8524" s="107" t="str">
        <f aca="false">IF($C8524="","",IFERROR(INDEX(المنيو!$C$2:$C$500,MATCH($C8524,المنيو!$B$2:$B$500,0)),0))</f>
        <v/>
      </c>
      <c r="F8524" s="107" t="str">
        <f aca="false">IF($C8524="","",$D8524*$E8524)</f>
        <v/>
      </c>
      <c r="G8524" s="107" t="str">
        <f aca="false">IF($C8524="","",$D8524*IFERROR(INDEX('تحليل التكلفة والسعر'!$C$2:$C$700,MATCH($C8524,'تحليل التكلفة والسعر'!$B$2:$B$700,0)),0))</f>
        <v/>
      </c>
    </row>
    <row r="8525" customFormat="false" ht="15" hidden="false" customHeight="false" outlineLevel="0" collapsed="false">
      <c r="A8525" s="103"/>
      <c r="B8525" s="104"/>
      <c r="C8525" s="104"/>
      <c r="E8525" s="107" t="str">
        <f aca="false">IF($C8525="","",IFERROR(INDEX(المنيو!$C$2:$C$500,MATCH($C8525,المنيو!$B$2:$B$500,0)),0))</f>
        <v/>
      </c>
      <c r="F8525" s="107" t="str">
        <f aca="false">IF($C8525="","",$D8525*$E8525)</f>
        <v/>
      </c>
      <c r="G8525" s="107" t="str">
        <f aca="false">IF($C8525="","",$D8525*IFERROR(INDEX('تحليل التكلفة والسعر'!$C$2:$C$700,MATCH($C8525,'تحليل التكلفة والسعر'!$B$2:$B$700,0)),0))</f>
        <v/>
      </c>
    </row>
    <row r="8526" customFormat="false" ht="15" hidden="false" customHeight="false" outlineLevel="0" collapsed="false">
      <c r="A8526" s="103"/>
      <c r="B8526" s="104"/>
      <c r="C8526" s="104"/>
      <c r="E8526" s="107" t="str">
        <f aca="false">IF($C8526="","",IFERROR(INDEX(المنيو!$C$2:$C$500,MATCH($C8526,المنيو!$B$2:$B$500,0)),0))</f>
        <v/>
      </c>
      <c r="F8526" s="107" t="str">
        <f aca="false">IF($C8526="","",$D8526*$E8526)</f>
        <v/>
      </c>
      <c r="G8526" s="107" t="str">
        <f aca="false">IF($C8526="","",$D8526*IFERROR(INDEX('تحليل التكلفة والسعر'!$C$2:$C$700,MATCH($C8526,'تحليل التكلفة والسعر'!$B$2:$B$700,0)),0))</f>
        <v/>
      </c>
    </row>
    <row r="8527" customFormat="false" ht="15" hidden="false" customHeight="false" outlineLevel="0" collapsed="false">
      <c r="A8527" s="103"/>
      <c r="B8527" s="104"/>
      <c r="C8527" s="104"/>
      <c r="E8527" s="107" t="str">
        <f aca="false">IF($C8527="","",IFERROR(INDEX(المنيو!$C$2:$C$500,MATCH($C8527,المنيو!$B$2:$B$500,0)),0))</f>
        <v/>
      </c>
      <c r="F8527" s="107" t="str">
        <f aca="false">IF($C8527="","",$D8527*$E8527)</f>
        <v/>
      </c>
      <c r="G8527" s="107" t="str">
        <f aca="false">IF($C8527="","",$D8527*IFERROR(INDEX('تحليل التكلفة والسعر'!$C$2:$C$700,MATCH($C8527,'تحليل التكلفة والسعر'!$B$2:$B$700,0)),0))</f>
        <v/>
      </c>
    </row>
    <row r="8528" customFormat="false" ht="15" hidden="false" customHeight="false" outlineLevel="0" collapsed="false">
      <c r="A8528" s="103"/>
      <c r="B8528" s="104"/>
      <c r="C8528" s="104"/>
      <c r="E8528" s="107" t="str">
        <f aca="false">IF($C8528="","",IFERROR(INDEX(المنيو!$C$2:$C$500,MATCH($C8528,المنيو!$B$2:$B$500,0)),0))</f>
        <v/>
      </c>
      <c r="F8528" s="107" t="str">
        <f aca="false">IF($C8528="","",$D8528*$E8528)</f>
        <v/>
      </c>
      <c r="G8528" s="107" t="str">
        <f aca="false">IF($C8528="","",$D8528*IFERROR(INDEX('تحليل التكلفة والسعر'!$C$2:$C$700,MATCH($C8528,'تحليل التكلفة والسعر'!$B$2:$B$700,0)),0))</f>
        <v/>
      </c>
    </row>
    <row r="8529" customFormat="false" ht="15" hidden="false" customHeight="false" outlineLevel="0" collapsed="false">
      <c r="A8529" s="103"/>
      <c r="B8529" s="104"/>
      <c r="C8529" s="104"/>
      <c r="E8529" s="107" t="str">
        <f aca="false">IF($C8529="","",IFERROR(INDEX(المنيو!$C$2:$C$500,MATCH($C8529,المنيو!$B$2:$B$500,0)),0))</f>
        <v/>
      </c>
      <c r="F8529" s="107" t="str">
        <f aca="false">IF($C8529="","",$D8529*$E8529)</f>
        <v/>
      </c>
      <c r="G8529" s="107" t="str">
        <f aca="false">IF($C8529="","",$D8529*IFERROR(INDEX('تحليل التكلفة والسعر'!$C$2:$C$700,MATCH($C8529,'تحليل التكلفة والسعر'!$B$2:$B$700,0)),0))</f>
        <v/>
      </c>
    </row>
    <row r="8530" customFormat="false" ht="15" hidden="false" customHeight="false" outlineLevel="0" collapsed="false">
      <c r="A8530" s="103"/>
      <c r="B8530" s="104"/>
      <c r="C8530" s="104"/>
      <c r="E8530" s="107" t="str">
        <f aca="false">IF($C8530="","",IFERROR(INDEX(المنيو!$C$2:$C$500,MATCH($C8530,المنيو!$B$2:$B$500,0)),0))</f>
        <v/>
      </c>
      <c r="F8530" s="107" t="str">
        <f aca="false">IF($C8530="","",$D8530*$E8530)</f>
        <v/>
      </c>
      <c r="G8530" s="107" t="str">
        <f aca="false">IF($C8530="","",$D8530*IFERROR(INDEX('تحليل التكلفة والسعر'!$C$2:$C$700,MATCH($C8530,'تحليل التكلفة والسعر'!$B$2:$B$700,0)),0))</f>
        <v/>
      </c>
    </row>
    <row r="8531" customFormat="false" ht="15" hidden="false" customHeight="false" outlineLevel="0" collapsed="false">
      <c r="A8531" s="103"/>
      <c r="B8531" s="104"/>
      <c r="C8531" s="104"/>
      <c r="E8531" s="107" t="str">
        <f aca="false">IF($C8531="","",IFERROR(INDEX(المنيو!$C$2:$C$500,MATCH($C8531,المنيو!$B$2:$B$500,0)),0))</f>
        <v/>
      </c>
      <c r="F8531" s="107" t="str">
        <f aca="false">IF($C8531="","",$D8531*$E8531)</f>
        <v/>
      </c>
      <c r="G8531" s="107" t="str">
        <f aca="false">IF($C8531="","",$D8531*IFERROR(INDEX('تحليل التكلفة والسعر'!$C$2:$C$700,MATCH($C8531,'تحليل التكلفة والسعر'!$B$2:$B$700,0)),0))</f>
        <v/>
      </c>
    </row>
    <row r="8532" customFormat="false" ht="15" hidden="false" customHeight="false" outlineLevel="0" collapsed="false">
      <c r="A8532" s="103"/>
      <c r="B8532" s="104"/>
      <c r="C8532" s="104"/>
      <c r="E8532" s="107" t="str">
        <f aca="false">IF($C8532="","",IFERROR(INDEX(المنيو!$C$2:$C$500,MATCH($C8532,المنيو!$B$2:$B$500,0)),0))</f>
        <v/>
      </c>
      <c r="F8532" s="107" t="str">
        <f aca="false">IF($C8532="","",$D8532*$E8532)</f>
        <v/>
      </c>
      <c r="G8532" s="107" t="str">
        <f aca="false">IF($C8532="","",$D8532*IFERROR(INDEX('تحليل التكلفة والسعر'!$C$2:$C$700,MATCH($C8532,'تحليل التكلفة والسعر'!$B$2:$B$700,0)),0))</f>
        <v/>
      </c>
    </row>
    <row r="8533" customFormat="false" ht="15" hidden="false" customHeight="false" outlineLevel="0" collapsed="false">
      <c r="A8533" s="103"/>
      <c r="B8533" s="104"/>
      <c r="C8533" s="104"/>
      <c r="E8533" s="107" t="str">
        <f aca="false">IF($C8533="","",IFERROR(INDEX(المنيو!$C$2:$C$500,MATCH($C8533,المنيو!$B$2:$B$500,0)),0))</f>
        <v/>
      </c>
      <c r="F8533" s="107" t="str">
        <f aca="false">IF($C8533="","",$D8533*$E8533)</f>
        <v/>
      </c>
      <c r="G8533" s="107" t="str">
        <f aca="false">IF($C8533="","",$D8533*IFERROR(INDEX('تحليل التكلفة والسعر'!$C$2:$C$700,MATCH($C8533,'تحليل التكلفة والسعر'!$B$2:$B$700,0)),0))</f>
        <v/>
      </c>
    </row>
    <row r="8534" customFormat="false" ht="15" hidden="false" customHeight="false" outlineLevel="0" collapsed="false">
      <c r="A8534" s="103"/>
      <c r="B8534" s="104"/>
      <c r="C8534" s="104"/>
      <c r="E8534" s="107" t="str">
        <f aca="false">IF($C8534="","",IFERROR(INDEX(المنيو!$C$2:$C$500,MATCH($C8534,المنيو!$B$2:$B$500,0)),0))</f>
        <v/>
      </c>
      <c r="F8534" s="107" t="str">
        <f aca="false">IF($C8534="","",$D8534*$E8534)</f>
        <v/>
      </c>
      <c r="G8534" s="107" t="str">
        <f aca="false">IF($C8534="","",$D8534*IFERROR(INDEX('تحليل التكلفة والسعر'!$C$2:$C$700,MATCH($C8534,'تحليل التكلفة والسعر'!$B$2:$B$700,0)),0))</f>
        <v/>
      </c>
    </row>
    <row r="8535" customFormat="false" ht="15" hidden="false" customHeight="false" outlineLevel="0" collapsed="false">
      <c r="A8535" s="103"/>
      <c r="B8535" s="104"/>
      <c r="C8535" s="104"/>
      <c r="E8535" s="107" t="str">
        <f aca="false">IF($C8535="","",IFERROR(INDEX(المنيو!$C$2:$C$500,MATCH($C8535,المنيو!$B$2:$B$500,0)),0))</f>
        <v/>
      </c>
      <c r="F8535" s="107" t="str">
        <f aca="false">IF($C8535="","",$D8535*$E8535)</f>
        <v/>
      </c>
      <c r="G8535" s="107" t="str">
        <f aca="false">IF($C8535="","",$D8535*IFERROR(INDEX('تحليل التكلفة والسعر'!$C$2:$C$700,MATCH($C8535,'تحليل التكلفة والسعر'!$B$2:$B$700,0)),0))</f>
        <v/>
      </c>
    </row>
    <row r="8536" customFormat="false" ht="15" hidden="false" customHeight="false" outlineLevel="0" collapsed="false">
      <c r="A8536" s="103"/>
      <c r="B8536" s="104"/>
      <c r="C8536" s="104"/>
      <c r="E8536" s="107" t="str">
        <f aca="false">IF($C8536="","",IFERROR(INDEX(المنيو!$C$2:$C$500,MATCH($C8536,المنيو!$B$2:$B$500,0)),0))</f>
        <v/>
      </c>
      <c r="F8536" s="107" t="str">
        <f aca="false">IF($C8536="","",$D8536*$E8536)</f>
        <v/>
      </c>
      <c r="G8536" s="107" t="str">
        <f aca="false">IF($C8536="","",$D8536*IFERROR(INDEX('تحليل التكلفة والسعر'!$C$2:$C$700,MATCH($C8536,'تحليل التكلفة والسعر'!$B$2:$B$700,0)),0))</f>
        <v/>
      </c>
    </row>
    <row r="8537" customFormat="false" ht="15" hidden="false" customHeight="false" outlineLevel="0" collapsed="false">
      <c r="A8537" s="103"/>
      <c r="B8537" s="104"/>
      <c r="C8537" s="104"/>
      <c r="E8537" s="107" t="str">
        <f aca="false">IF($C8537="","",IFERROR(INDEX(المنيو!$C$2:$C$500,MATCH($C8537,المنيو!$B$2:$B$500,0)),0))</f>
        <v/>
      </c>
      <c r="F8537" s="107" t="str">
        <f aca="false">IF($C8537="","",$D8537*$E8537)</f>
        <v/>
      </c>
      <c r="G8537" s="107" t="str">
        <f aca="false">IF($C8537="","",$D8537*IFERROR(INDEX('تحليل التكلفة والسعر'!$C$2:$C$700,MATCH($C8537,'تحليل التكلفة والسعر'!$B$2:$B$700,0)),0))</f>
        <v/>
      </c>
    </row>
    <row r="8538" customFormat="false" ht="15" hidden="false" customHeight="false" outlineLevel="0" collapsed="false">
      <c r="A8538" s="103"/>
      <c r="B8538" s="104"/>
      <c r="C8538" s="104"/>
      <c r="E8538" s="107" t="str">
        <f aca="false">IF($C8538="","",IFERROR(INDEX(المنيو!$C$2:$C$500,MATCH($C8538,المنيو!$B$2:$B$500,0)),0))</f>
        <v/>
      </c>
      <c r="F8538" s="107" t="str">
        <f aca="false">IF($C8538="","",$D8538*$E8538)</f>
        <v/>
      </c>
      <c r="G8538" s="107" t="str">
        <f aca="false">IF($C8538="","",$D8538*IFERROR(INDEX('تحليل التكلفة والسعر'!$C$2:$C$700,MATCH($C8538,'تحليل التكلفة والسعر'!$B$2:$B$700,0)),0))</f>
        <v/>
      </c>
    </row>
    <row r="8539" customFormat="false" ht="15" hidden="false" customHeight="false" outlineLevel="0" collapsed="false">
      <c r="A8539" s="103"/>
      <c r="B8539" s="104"/>
      <c r="C8539" s="104"/>
      <c r="E8539" s="107" t="str">
        <f aca="false">IF($C8539="","",IFERROR(INDEX(المنيو!$C$2:$C$500,MATCH($C8539,المنيو!$B$2:$B$500,0)),0))</f>
        <v/>
      </c>
      <c r="F8539" s="107" t="str">
        <f aca="false">IF($C8539="","",$D8539*$E8539)</f>
        <v/>
      </c>
      <c r="G8539" s="107" t="str">
        <f aca="false">IF($C8539="","",$D8539*IFERROR(INDEX('تحليل التكلفة والسعر'!$C$2:$C$700,MATCH($C8539,'تحليل التكلفة والسعر'!$B$2:$B$700,0)),0))</f>
        <v/>
      </c>
    </row>
    <row r="8540" customFormat="false" ht="15" hidden="false" customHeight="false" outlineLevel="0" collapsed="false">
      <c r="A8540" s="103"/>
      <c r="B8540" s="104"/>
      <c r="C8540" s="104"/>
      <c r="E8540" s="107" t="str">
        <f aca="false">IF($C8540="","",IFERROR(INDEX(المنيو!$C$2:$C$500,MATCH($C8540,المنيو!$B$2:$B$500,0)),0))</f>
        <v/>
      </c>
      <c r="F8540" s="107" t="str">
        <f aca="false">IF($C8540="","",$D8540*$E8540)</f>
        <v/>
      </c>
      <c r="G8540" s="107" t="str">
        <f aca="false">IF($C8540="","",$D8540*IFERROR(INDEX('تحليل التكلفة والسعر'!$C$2:$C$700,MATCH($C8540,'تحليل التكلفة والسعر'!$B$2:$B$700,0)),0))</f>
        <v/>
      </c>
    </row>
    <row r="8541" customFormat="false" ht="15" hidden="false" customHeight="false" outlineLevel="0" collapsed="false">
      <c r="A8541" s="103"/>
      <c r="B8541" s="104"/>
      <c r="C8541" s="104"/>
      <c r="E8541" s="107" t="str">
        <f aca="false">IF($C8541="","",IFERROR(INDEX(المنيو!$C$2:$C$500,MATCH($C8541,المنيو!$B$2:$B$500,0)),0))</f>
        <v/>
      </c>
      <c r="F8541" s="107" t="str">
        <f aca="false">IF($C8541="","",$D8541*$E8541)</f>
        <v/>
      </c>
      <c r="G8541" s="107" t="str">
        <f aca="false">IF($C8541="","",$D8541*IFERROR(INDEX('تحليل التكلفة والسعر'!$C$2:$C$700,MATCH($C8541,'تحليل التكلفة والسعر'!$B$2:$B$700,0)),0))</f>
        <v/>
      </c>
    </row>
    <row r="8542" customFormat="false" ht="15" hidden="false" customHeight="false" outlineLevel="0" collapsed="false">
      <c r="A8542" s="103"/>
      <c r="B8542" s="104"/>
      <c r="C8542" s="104"/>
      <c r="E8542" s="107" t="str">
        <f aca="false">IF($C8542="","",IFERROR(INDEX(المنيو!$C$2:$C$500,MATCH($C8542,المنيو!$B$2:$B$500,0)),0))</f>
        <v/>
      </c>
      <c r="F8542" s="107" t="str">
        <f aca="false">IF($C8542="","",$D8542*$E8542)</f>
        <v/>
      </c>
      <c r="G8542" s="107" t="str">
        <f aca="false">IF($C8542="","",$D8542*IFERROR(INDEX('تحليل التكلفة والسعر'!$C$2:$C$700,MATCH($C8542,'تحليل التكلفة والسعر'!$B$2:$B$700,0)),0))</f>
        <v/>
      </c>
    </row>
    <row r="8543" customFormat="false" ht="15" hidden="false" customHeight="false" outlineLevel="0" collapsed="false">
      <c r="A8543" s="103"/>
      <c r="B8543" s="104"/>
      <c r="C8543" s="104"/>
      <c r="E8543" s="107" t="str">
        <f aca="false">IF($C8543="","",IFERROR(INDEX(المنيو!$C$2:$C$500,MATCH($C8543,المنيو!$B$2:$B$500,0)),0))</f>
        <v/>
      </c>
      <c r="F8543" s="107" t="str">
        <f aca="false">IF($C8543="","",$D8543*$E8543)</f>
        <v/>
      </c>
      <c r="G8543" s="107" t="str">
        <f aca="false">IF($C8543="","",$D8543*IFERROR(INDEX('تحليل التكلفة والسعر'!$C$2:$C$700,MATCH($C8543,'تحليل التكلفة والسعر'!$B$2:$B$700,0)),0))</f>
        <v/>
      </c>
    </row>
    <row r="8544" customFormat="false" ht="15" hidden="false" customHeight="false" outlineLevel="0" collapsed="false">
      <c r="A8544" s="103"/>
      <c r="B8544" s="104"/>
      <c r="C8544" s="104"/>
      <c r="E8544" s="107" t="str">
        <f aca="false">IF($C8544="","",IFERROR(INDEX(المنيو!$C$2:$C$500,MATCH($C8544,المنيو!$B$2:$B$500,0)),0))</f>
        <v/>
      </c>
      <c r="F8544" s="107" t="str">
        <f aca="false">IF($C8544="","",$D8544*$E8544)</f>
        <v/>
      </c>
      <c r="G8544" s="107" t="str">
        <f aca="false">IF($C8544="","",$D8544*IFERROR(INDEX('تحليل التكلفة والسعر'!$C$2:$C$700,MATCH($C8544,'تحليل التكلفة والسعر'!$B$2:$B$700,0)),0))</f>
        <v/>
      </c>
    </row>
    <row r="8545" customFormat="false" ht="15" hidden="false" customHeight="false" outlineLevel="0" collapsed="false">
      <c r="A8545" s="103"/>
      <c r="B8545" s="104"/>
      <c r="C8545" s="104"/>
      <c r="E8545" s="107" t="str">
        <f aca="false">IF($C8545="","",IFERROR(INDEX(المنيو!$C$2:$C$500,MATCH($C8545,المنيو!$B$2:$B$500,0)),0))</f>
        <v/>
      </c>
      <c r="F8545" s="107" t="str">
        <f aca="false">IF($C8545="","",$D8545*$E8545)</f>
        <v/>
      </c>
      <c r="G8545" s="107" t="str">
        <f aca="false">IF($C8545="","",$D8545*IFERROR(INDEX('تحليل التكلفة والسعر'!$C$2:$C$700,MATCH($C8545,'تحليل التكلفة والسعر'!$B$2:$B$700,0)),0))</f>
        <v/>
      </c>
    </row>
    <row r="8546" customFormat="false" ht="15" hidden="false" customHeight="false" outlineLevel="0" collapsed="false">
      <c r="A8546" s="103"/>
      <c r="B8546" s="104"/>
      <c r="C8546" s="104"/>
      <c r="E8546" s="107" t="str">
        <f aca="false">IF($C8546="","",IFERROR(INDEX(المنيو!$C$2:$C$500,MATCH($C8546,المنيو!$B$2:$B$500,0)),0))</f>
        <v/>
      </c>
      <c r="F8546" s="107" t="str">
        <f aca="false">IF($C8546="","",$D8546*$E8546)</f>
        <v/>
      </c>
      <c r="G8546" s="107" t="str">
        <f aca="false">IF($C8546="","",$D8546*IFERROR(INDEX('تحليل التكلفة والسعر'!$C$2:$C$700,MATCH($C8546,'تحليل التكلفة والسعر'!$B$2:$B$700,0)),0))</f>
        <v/>
      </c>
    </row>
    <row r="8547" customFormat="false" ht="15" hidden="false" customHeight="false" outlineLevel="0" collapsed="false">
      <c r="A8547" s="103"/>
      <c r="B8547" s="104"/>
      <c r="C8547" s="104"/>
      <c r="E8547" s="107" t="str">
        <f aca="false">IF($C8547="","",IFERROR(INDEX(المنيو!$C$2:$C$500,MATCH($C8547,المنيو!$B$2:$B$500,0)),0))</f>
        <v/>
      </c>
      <c r="F8547" s="107" t="str">
        <f aca="false">IF($C8547="","",$D8547*$E8547)</f>
        <v/>
      </c>
      <c r="G8547" s="107" t="str">
        <f aca="false">IF($C8547="","",$D8547*IFERROR(INDEX('تحليل التكلفة والسعر'!$C$2:$C$700,MATCH($C8547,'تحليل التكلفة والسعر'!$B$2:$B$700,0)),0))</f>
        <v/>
      </c>
    </row>
    <row r="8548" customFormat="false" ht="15" hidden="false" customHeight="false" outlineLevel="0" collapsed="false">
      <c r="A8548" s="103"/>
      <c r="B8548" s="104"/>
      <c r="C8548" s="104"/>
      <c r="E8548" s="107" t="str">
        <f aca="false">IF($C8548="","",IFERROR(INDEX(المنيو!$C$2:$C$500,MATCH($C8548,المنيو!$B$2:$B$500,0)),0))</f>
        <v/>
      </c>
      <c r="F8548" s="107" t="str">
        <f aca="false">IF($C8548="","",$D8548*$E8548)</f>
        <v/>
      </c>
      <c r="G8548" s="107" t="str">
        <f aca="false">IF($C8548="","",$D8548*IFERROR(INDEX('تحليل التكلفة والسعر'!$C$2:$C$700,MATCH($C8548,'تحليل التكلفة والسعر'!$B$2:$B$700,0)),0))</f>
        <v/>
      </c>
    </row>
    <row r="8549" customFormat="false" ht="15" hidden="false" customHeight="false" outlineLevel="0" collapsed="false">
      <c r="A8549" s="103"/>
      <c r="B8549" s="104"/>
      <c r="C8549" s="104"/>
      <c r="E8549" s="107" t="str">
        <f aca="false">IF($C8549="","",IFERROR(INDEX(المنيو!$C$2:$C$500,MATCH($C8549,المنيو!$B$2:$B$500,0)),0))</f>
        <v/>
      </c>
      <c r="F8549" s="107" t="str">
        <f aca="false">IF($C8549="","",$D8549*$E8549)</f>
        <v/>
      </c>
      <c r="G8549" s="107" t="str">
        <f aca="false">IF($C8549="","",$D8549*IFERROR(INDEX('تحليل التكلفة والسعر'!$C$2:$C$700,MATCH($C8549,'تحليل التكلفة والسعر'!$B$2:$B$700,0)),0))</f>
        <v/>
      </c>
    </row>
    <row r="8550" customFormat="false" ht="15" hidden="false" customHeight="false" outlineLevel="0" collapsed="false">
      <c r="A8550" s="103"/>
      <c r="B8550" s="104"/>
      <c r="C8550" s="104"/>
      <c r="E8550" s="107" t="str">
        <f aca="false">IF($C8550="","",IFERROR(INDEX(المنيو!$C$2:$C$500,MATCH($C8550,المنيو!$B$2:$B$500,0)),0))</f>
        <v/>
      </c>
      <c r="F8550" s="107" t="str">
        <f aca="false">IF($C8550="","",$D8550*$E8550)</f>
        <v/>
      </c>
      <c r="G8550" s="107" t="str">
        <f aca="false">IF($C8550="","",$D8550*IFERROR(INDEX('تحليل التكلفة والسعر'!$C$2:$C$700,MATCH($C8550,'تحليل التكلفة والسعر'!$B$2:$B$700,0)),0))</f>
        <v/>
      </c>
    </row>
    <row r="8551" customFormat="false" ht="15" hidden="false" customHeight="false" outlineLevel="0" collapsed="false">
      <c r="A8551" s="103"/>
      <c r="B8551" s="104"/>
      <c r="C8551" s="104"/>
      <c r="E8551" s="107" t="str">
        <f aca="false">IF($C8551="","",IFERROR(INDEX(المنيو!$C$2:$C$500,MATCH($C8551,المنيو!$B$2:$B$500,0)),0))</f>
        <v/>
      </c>
      <c r="F8551" s="107" t="str">
        <f aca="false">IF($C8551="","",$D8551*$E8551)</f>
        <v/>
      </c>
      <c r="G8551" s="107" t="str">
        <f aca="false">IF($C8551="","",$D8551*IFERROR(INDEX('تحليل التكلفة والسعر'!$C$2:$C$700,MATCH($C8551,'تحليل التكلفة والسعر'!$B$2:$B$700,0)),0))</f>
        <v/>
      </c>
    </row>
    <row r="8552" customFormat="false" ht="15" hidden="false" customHeight="false" outlineLevel="0" collapsed="false">
      <c r="A8552" s="103"/>
      <c r="B8552" s="104"/>
      <c r="C8552" s="104"/>
      <c r="E8552" s="107" t="str">
        <f aca="false">IF($C8552="","",IFERROR(INDEX(المنيو!$C$2:$C$500,MATCH($C8552,المنيو!$B$2:$B$500,0)),0))</f>
        <v/>
      </c>
      <c r="F8552" s="107" t="str">
        <f aca="false">IF($C8552="","",$D8552*$E8552)</f>
        <v/>
      </c>
      <c r="G8552" s="107" t="str">
        <f aca="false">IF($C8552="","",$D8552*IFERROR(INDEX('تحليل التكلفة والسعر'!$C$2:$C$700,MATCH($C8552,'تحليل التكلفة والسعر'!$B$2:$B$700,0)),0))</f>
        <v/>
      </c>
    </row>
    <row r="8553" customFormat="false" ht="15" hidden="false" customHeight="false" outlineLevel="0" collapsed="false">
      <c r="A8553" s="103"/>
      <c r="B8553" s="104"/>
      <c r="C8553" s="104"/>
      <c r="E8553" s="107" t="str">
        <f aca="false">IF($C8553="","",IFERROR(INDEX(المنيو!$C$2:$C$500,MATCH($C8553,المنيو!$B$2:$B$500,0)),0))</f>
        <v/>
      </c>
      <c r="F8553" s="107" t="str">
        <f aca="false">IF($C8553="","",$D8553*$E8553)</f>
        <v/>
      </c>
      <c r="G8553" s="107" t="str">
        <f aca="false">IF($C8553="","",$D8553*IFERROR(INDEX('تحليل التكلفة والسعر'!$C$2:$C$700,MATCH($C8553,'تحليل التكلفة والسعر'!$B$2:$B$700,0)),0))</f>
        <v/>
      </c>
    </row>
    <row r="8554" customFormat="false" ht="15" hidden="false" customHeight="false" outlineLevel="0" collapsed="false">
      <c r="A8554" s="103"/>
      <c r="B8554" s="104"/>
      <c r="C8554" s="104"/>
      <c r="E8554" s="107" t="str">
        <f aca="false">IF($C8554="","",IFERROR(INDEX(المنيو!$C$2:$C$500,MATCH($C8554,المنيو!$B$2:$B$500,0)),0))</f>
        <v/>
      </c>
      <c r="F8554" s="107" t="str">
        <f aca="false">IF($C8554="","",$D8554*$E8554)</f>
        <v/>
      </c>
      <c r="G8554" s="107" t="str">
        <f aca="false">IF($C8554="","",$D8554*IFERROR(INDEX('تحليل التكلفة والسعر'!$C$2:$C$700,MATCH($C8554,'تحليل التكلفة والسعر'!$B$2:$B$700,0)),0))</f>
        <v/>
      </c>
    </row>
    <row r="8555" customFormat="false" ht="15" hidden="false" customHeight="false" outlineLevel="0" collapsed="false">
      <c r="A8555" s="103"/>
      <c r="B8555" s="104"/>
      <c r="C8555" s="104"/>
      <c r="E8555" s="107" t="str">
        <f aca="false">IF($C8555="","",IFERROR(INDEX(المنيو!$C$2:$C$500,MATCH($C8555,المنيو!$B$2:$B$500,0)),0))</f>
        <v/>
      </c>
      <c r="F8555" s="107" t="str">
        <f aca="false">IF($C8555="","",$D8555*$E8555)</f>
        <v/>
      </c>
      <c r="G8555" s="107" t="str">
        <f aca="false">IF($C8555="","",$D8555*IFERROR(INDEX('تحليل التكلفة والسعر'!$C$2:$C$700,MATCH($C8555,'تحليل التكلفة والسعر'!$B$2:$B$700,0)),0))</f>
        <v/>
      </c>
    </row>
    <row r="8556" customFormat="false" ht="15" hidden="false" customHeight="false" outlineLevel="0" collapsed="false">
      <c r="A8556" s="103"/>
      <c r="B8556" s="104"/>
      <c r="C8556" s="104"/>
      <c r="E8556" s="107" t="str">
        <f aca="false">IF($C8556="","",IFERROR(INDEX(المنيو!$C$2:$C$500,MATCH($C8556,المنيو!$B$2:$B$500,0)),0))</f>
        <v/>
      </c>
      <c r="F8556" s="107" t="str">
        <f aca="false">IF($C8556="","",$D8556*$E8556)</f>
        <v/>
      </c>
      <c r="G8556" s="107" t="str">
        <f aca="false">IF($C8556="","",$D8556*IFERROR(INDEX('تحليل التكلفة والسعر'!$C$2:$C$700,MATCH($C8556,'تحليل التكلفة والسعر'!$B$2:$B$700,0)),0))</f>
        <v/>
      </c>
    </row>
    <row r="8557" customFormat="false" ht="15" hidden="false" customHeight="false" outlineLevel="0" collapsed="false">
      <c r="A8557" s="103"/>
      <c r="B8557" s="104"/>
      <c r="C8557" s="104"/>
      <c r="E8557" s="107" t="str">
        <f aca="false">IF($C8557="","",IFERROR(INDEX(المنيو!$C$2:$C$500,MATCH($C8557,المنيو!$B$2:$B$500,0)),0))</f>
        <v/>
      </c>
      <c r="F8557" s="107" t="str">
        <f aca="false">IF($C8557="","",$D8557*$E8557)</f>
        <v/>
      </c>
      <c r="G8557" s="107" t="str">
        <f aca="false">IF($C8557="","",$D8557*IFERROR(INDEX('تحليل التكلفة والسعر'!$C$2:$C$700,MATCH($C8557,'تحليل التكلفة والسعر'!$B$2:$B$700,0)),0))</f>
        <v/>
      </c>
    </row>
    <row r="8558" customFormat="false" ht="15" hidden="false" customHeight="false" outlineLevel="0" collapsed="false">
      <c r="A8558" s="103"/>
      <c r="B8558" s="104"/>
      <c r="C8558" s="104"/>
      <c r="E8558" s="107" t="str">
        <f aca="false">IF($C8558="","",IFERROR(INDEX(المنيو!$C$2:$C$500,MATCH($C8558,المنيو!$B$2:$B$500,0)),0))</f>
        <v/>
      </c>
      <c r="F8558" s="107" t="str">
        <f aca="false">IF($C8558="","",$D8558*$E8558)</f>
        <v/>
      </c>
      <c r="G8558" s="107" t="str">
        <f aca="false">IF($C8558="","",$D8558*IFERROR(INDEX('تحليل التكلفة والسعر'!$C$2:$C$700,MATCH($C8558,'تحليل التكلفة والسعر'!$B$2:$B$700,0)),0))</f>
        <v/>
      </c>
    </row>
    <row r="8559" customFormat="false" ht="15" hidden="false" customHeight="false" outlineLevel="0" collapsed="false">
      <c r="A8559" s="103"/>
      <c r="B8559" s="104"/>
      <c r="C8559" s="104"/>
      <c r="E8559" s="107" t="str">
        <f aca="false">IF($C8559="","",IFERROR(INDEX(المنيو!$C$2:$C$500,MATCH($C8559,المنيو!$B$2:$B$500,0)),0))</f>
        <v/>
      </c>
      <c r="F8559" s="107" t="str">
        <f aca="false">IF($C8559="","",$D8559*$E8559)</f>
        <v/>
      </c>
      <c r="G8559" s="107" t="str">
        <f aca="false">IF($C8559="","",$D8559*IFERROR(INDEX('تحليل التكلفة والسعر'!$C$2:$C$700,MATCH($C8559,'تحليل التكلفة والسعر'!$B$2:$B$700,0)),0))</f>
        <v/>
      </c>
    </row>
    <row r="8560" customFormat="false" ht="15" hidden="false" customHeight="false" outlineLevel="0" collapsed="false">
      <c r="A8560" s="103"/>
      <c r="B8560" s="104"/>
      <c r="C8560" s="104"/>
      <c r="E8560" s="107" t="str">
        <f aca="false">IF($C8560="","",IFERROR(INDEX(المنيو!$C$2:$C$500,MATCH($C8560,المنيو!$B$2:$B$500,0)),0))</f>
        <v/>
      </c>
      <c r="F8560" s="107" t="str">
        <f aca="false">IF($C8560="","",$D8560*$E8560)</f>
        <v/>
      </c>
      <c r="G8560" s="107" t="str">
        <f aca="false">IF($C8560="","",$D8560*IFERROR(INDEX('تحليل التكلفة والسعر'!$C$2:$C$700,MATCH($C8560,'تحليل التكلفة والسعر'!$B$2:$B$700,0)),0))</f>
        <v/>
      </c>
    </row>
    <row r="8561" customFormat="false" ht="15" hidden="false" customHeight="false" outlineLevel="0" collapsed="false">
      <c r="A8561" s="103"/>
      <c r="B8561" s="104"/>
      <c r="C8561" s="104"/>
      <c r="E8561" s="107" t="str">
        <f aca="false">IF($C8561="","",IFERROR(INDEX(المنيو!$C$2:$C$500,MATCH($C8561,المنيو!$B$2:$B$500,0)),0))</f>
        <v/>
      </c>
      <c r="F8561" s="107" t="str">
        <f aca="false">IF($C8561="","",$D8561*$E8561)</f>
        <v/>
      </c>
      <c r="G8561" s="107" t="str">
        <f aca="false">IF($C8561="","",$D8561*IFERROR(INDEX('تحليل التكلفة والسعر'!$C$2:$C$700,MATCH($C8561,'تحليل التكلفة والسعر'!$B$2:$B$700,0)),0))</f>
        <v/>
      </c>
    </row>
    <row r="8562" customFormat="false" ht="15" hidden="false" customHeight="false" outlineLevel="0" collapsed="false">
      <c r="A8562" s="103"/>
      <c r="B8562" s="104"/>
      <c r="C8562" s="104"/>
      <c r="E8562" s="107" t="str">
        <f aca="false">IF($C8562="","",IFERROR(INDEX(المنيو!$C$2:$C$500,MATCH($C8562,المنيو!$B$2:$B$500,0)),0))</f>
        <v/>
      </c>
      <c r="F8562" s="107" t="str">
        <f aca="false">IF($C8562="","",$D8562*$E8562)</f>
        <v/>
      </c>
      <c r="G8562" s="107" t="str">
        <f aca="false">IF($C8562="","",$D8562*IFERROR(INDEX('تحليل التكلفة والسعر'!$C$2:$C$700,MATCH($C8562,'تحليل التكلفة والسعر'!$B$2:$B$700,0)),0))</f>
        <v/>
      </c>
    </row>
    <row r="8563" customFormat="false" ht="15" hidden="false" customHeight="false" outlineLevel="0" collapsed="false">
      <c r="A8563" s="103"/>
      <c r="B8563" s="104"/>
      <c r="C8563" s="104"/>
      <c r="E8563" s="107" t="str">
        <f aca="false">IF($C8563="","",IFERROR(INDEX(المنيو!$C$2:$C$500,MATCH($C8563,المنيو!$B$2:$B$500,0)),0))</f>
        <v/>
      </c>
      <c r="F8563" s="107" t="str">
        <f aca="false">IF($C8563="","",$D8563*$E8563)</f>
        <v/>
      </c>
      <c r="G8563" s="107" t="str">
        <f aca="false">IF($C8563="","",$D8563*IFERROR(INDEX('تحليل التكلفة والسعر'!$C$2:$C$700,MATCH($C8563,'تحليل التكلفة والسعر'!$B$2:$B$700,0)),0))</f>
        <v/>
      </c>
    </row>
    <row r="8564" customFormat="false" ht="15" hidden="false" customHeight="false" outlineLevel="0" collapsed="false">
      <c r="A8564" s="103"/>
      <c r="B8564" s="104"/>
      <c r="C8564" s="104"/>
      <c r="E8564" s="107" t="str">
        <f aca="false">IF($C8564="","",IFERROR(INDEX(المنيو!$C$2:$C$500,MATCH($C8564,المنيو!$B$2:$B$500,0)),0))</f>
        <v/>
      </c>
      <c r="F8564" s="107" t="str">
        <f aca="false">IF($C8564="","",$D8564*$E8564)</f>
        <v/>
      </c>
      <c r="G8564" s="107" t="str">
        <f aca="false">IF($C8564="","",$D8564*IFERROR(INDEX('تحليل التكلفة والسعر'!$C$2:$C$700,MATCH($C8564,'تحليل التكلفة والسعر'!$B$2:$B$700,0)),0))</f>
        <v/>
      </c>
    </row>
    <row r="8565" customFormat="false" ht="15" hidden="false" customHeight="false" outlineLevel="0" collapsed="false">
      <c r="A8565" s="103"/>
      <c r="B8565" s="104"/>
      <c r="C8565" s="104"/>
      <c r="E8565" s="107" t="str">
        <f aca="false">IF($C8565="","",IFERROR(INDEX(المنيو!$C$2:$C$500,MATCH($C8565,المنيو!$B$2:$B$500,0)),0))</f>
        <v/>
      </c>
      <c r="F8565" s="107" t="str">
        <f aca="false">IF($C8565="","",$D8565*$E8565)</f>
        <v/>
      </c>
      <c r="G8565" s="107" t="str">
        <f aca="false">IF($C8565="","",$D8565*IFERROR(INDEX('تحليل التكلفة والسعر'!$C$2:$C$700,MATCH($C8565,'تحليل التكلفة والسعر'!$B$2:$B$700,0)),0))</f>
        <v/>
      </c>
    </row>
    <row r="8566" customFormat="false" ht="15" hidden="false" customHeight="false" outlineLevel="0" collapsed="false">
      <c r="A8566" s="103"/>
      <c r="B8566" s="104"/>
      <c r="C8566" s="104"/>
      <c r="E8566" s="107" t="str">
        <f aca="false">IF($C8566="","",IFERROR(INDEX(المنيو!$C$2:$C$500,MATCH($C8566,المنيو!$B$2:$B$500,0)),0))</f>
        <v/>
      </c>
      <c r="F8566" s="107" t="str">
        <f aca="false">IF($C8566="","",$D8566*$E8566)</f>
        <v/>
      </c>
      <c r="G8566" s="107" t="str">
        <f aca="false">IF($C8566="","",$D8566*IFERROR(INDEX('تحليل التكلفة والسعر'!$C$2:$C$700,MATCH($C8566,'تحليل التكلفة والسعر'!$B$2:$B$700,0)),0))</f>
        <v/>
      </c>
    </row>
    <row r="8567" customFormat="false" ht="15" hidden="false" customHeight="false" outlineLevel="0" collapsed="false">
      <c r="A8567" s="103"/>
      <c r="B8567" s="104"/>
      <c r="C8567" s="104"/>
      <c r="E8567" s="107" t="str">
        <f aca="false">IF($C8567="","",IFERROR(INDEX(المنيو!$C$2:$C$500,MATCH($C8567,المنيو!$B$2:$B$500,0)),0))</f>
        <v/>
      </c>
      <c r="F8567" s="107" t="str">
        <f aca="false">IF($C8567="","",$D8567*$E8567)</f>
        <v/>
      </c>
      <c r="G8567" s="107" t="str">
        <f aca="false">IF($C8567="","",$D8567*IFERROR(INDEX('تحليل التكلفة والسعر'!$C$2:$C$700,MATCH($C8567,'تحليل التكلفة والسعر'!$B$2:$B$700,0)),0))</f>
        <v/>
      </c>
    </row>
    <row r="8568" customFormat="false" ht="15" hidden="false" customHeight="false" outlineLevel="0" collapsed="false">
      <c r="A8568" s="103"/>
      <c r="B8568" s="104"/>
      <c r="C8568" s="104"/>
      <c r="E8568" s="107" t="str">
        <f aca="false">IF($C8568="","",IFERROR(INDEX(المنيو!$C$2:$C$500,MATCH($C8568,المنيو!$B$2:$B$500,0)),0))</f>
        <v/>
      </c>
      <c r="F8568" s="107" t="str">
        <f aca="false">IF($C8568="","",$D8568*$E8568)</f>
        <v/>
      </c>
      <c r="G8568" s="107" t="str">
        <f aca="false">IF($C8568="","",$D8568*IFERROR(INDEX('تحليل التكلفة والسعر'!$C$2:$C$700,MATCH($C8568,'تحليل التكلفة والسعر'!$B$2:$B$700,0)),0))</f>
        <v/>
      </c>
    </row>
    <row r="8569" customFormat="false" ht="15" hidden="false" customHeight="false" outlineLevel="0" collapsed="false">
      <c r="A8569" s="103"/>
      <c r="B8569" s="104"/>
      <c r="C8569" s="104"/>
      <c r="E8569" s="107" t="str">
        <f aca="false">IF($C8569="","",IFERROR(INDEX(المنيو!$C$2:$C$500,MATCH($C8569,المنيو!$B$2:$B$500,0)),0))</f>
        <v/>
      </c>
      <c r="F8569" s="107" t="str">
        <f aca="false">IF($C8569="","",$D8569*$E8569)</f>
        <v/>
      </c>
      <c r="G8569" s="107" t="str">
        <f aca="false">IF($C8569="","",$D8569*IFERROR(INDEX('تحليل التكلفة والسعر'!$C$2:$C$700,MATCH($C8569,'تحليل التكلفة والسعر'!$B$2:$B$700,0)),0))</f>
        <v/>
      </c>
    </row>
    <row r="8570" customFormat="false" ht="15" hidden="false" customHeight="false" outlineLevel="0" collapsed="false">
      <c r="A8570" s="103"/>
      <c r="B8570" s="104"/>
      <c r="C8570" s="104"/>
      <c r="E8570" s="107" t="str">
        <f aca="false">IF($C8570="","",IFERROR(INDEX(المنيو!$C$2:$C$500,MATCH($C8570,المنيو!$B$2:$B$500,0)),0))</f>
        <v/>
      </c>
      <c r="F8570" s="107" t="str">
        <f aca="false">IF($C8570="","",$D8570*$E8570)</f>
        <v/>
      </c>
      <c r="G8570" s="107" t="str">
        <f aca="false">IF($C8570="","",$D8570*IFERROR(INDEX('تحليل التكلفة والسعر'!$C$2:$C$700,MATCH($C8570,'تحليل التكلفة والسعر'!$B$2:$B$700,0)),0))</f>
        <v/>
      </c>
    </row>
    <row r="8571" customFormat="false" ht="15" hidden="false" customHeight="false" outlineLevel="0" collapsed="false">
      <c r="A8571" s="103"/>
      <c r="B8571" s="104"/>
      <c r="C8571" s="104"/>
      <c r="E8571" s="107" t="str">
        <f aca="false">IF($C8571="","",IFERROR(INDEX(المنيو!$C$2:$C$500,MATCH($C8571,المنيو!$B$2:$B$500,0)),0))</f>
        <v/>
      </c>
      <c r="F8571" s="107" t="str">
        <f aca="false">IF($C8571="","",$D8571*$E8571)</f>
        <v/>
      </c>
      <c r="G8571" s="107" t="str">
        <f aca="false">IF($C8571="","",$D8571*IFERROR(INDEX('تحليل التكلفة والسعر'!$C$2:$C$700,MATCH($C8571,'تحليل التكلفة والسعر'!$B$2:$B$700,0)),0))</f>
        <v/>
      </c>
    </row>
    <row r="8572" customFormat="false" ht="15" hidden="false" customHeight="false" outlineLevel="0" collapsed="false">
      <c r="A8572" s="103"/>
      <c r="B8572" s="104"/>
      <c r="C8572" s="104"/>
      <c r="E8572" s="107" t="str">
        <f aca="false">IF($C8572="","",IFERROR(INDEX(المنيو!$C$2:$C$500,MATCH($C8572,المنيو!$B$2:$B$500,0)),0))</f>
        <v/>
      </c>
      <c r="F8572" s="107" t="str">
        <f aca="false">IF($C8572="","",$D8572*$E8572)</f>
        <v/>
      </c>
      <c r="G8572" s="107" t="str">
        <f aca="false">IF($C8572="","",$D8572*IFERROR(INDEX('تحليل التكلفة والسعر'!$C$2:$C$700,MATCH($C8572,'تحليل التكلفة والسعر'!$B$2:$B$700,0)),0))</f>
        <v/>
      </c>
    </row>
    <row r="8573" customFormat="false" ht="15" hidden="false" customHeight="false" outlineLevel="0" collapsed="false">
      <c r="A8573" s="103"/>
      <c r="B8573" s="104"/>
      <c r="C8573" s="104"/>
      <c r="E8573" s="107" t="str">
        <f aca="false">IF($C8573="","",IFERROR(INDEX(المنيو!$C$2:$C$500,MATCH($C8573,المنيو!$B$2:$B$500,0)),0))</f>
        <v/>
      </c>
      <c r="F8573" s="107" t="str">
        <f aca="false">IF($C8573="","",$D8573*$E8573)</f>
        <v/>
      </c>
      <c r="G8573" s="107" t="str">
        <f aca="false">IF($C8573="","",$D8573*IFERROR(INDEX('تحليل التكلفة والسعر'!$C$2:$C$700,MATCH($C8573,'تحليل التكلفة والسعر'!$B$2:$B$700,0)),0))</f>
        <v/>
      </c>
    </row>
    <row r="8574" customFormat="false" ht="15" hidden="false" customHeight="false" outlineLevel="0" collapsed="false">
      <c r="A8574" s="103"/>
      <c r="B8574" s="104"/>
      <c r="C8574" s="104"/>
      <c r="E8574" s="107" t="str">
        <f aca="false">IF($C8574="","",IFERROR(INDEX(المنيو!$C$2:$C$500,MATCH($C8574,المنيو!$B$2:$B$500,0)),0))</f>
        <v/>
      </c>
      <c r="F8574" s="107" t="str">
        <f aca="false">IF($C8574="","",$D8574*$E8574)</f>
        <v/>
      </c>
      <c r="G8574" s="107" t="str">
        <f aca="false">IF($C8574="","",$D8574*IFERROR(INDEX('تحليل التكلفة والسعر'!$C$2:$C$700,MATCH($C8574,'تحليل التكلفة والسعر'!$B$2:$B$700,0)),0))</f>
        <v/>
      </c>
    </row>
    <row r="8575" customFormat="false" ht="15" hidden="false" customHeight="false" outlineLevel="0" collapsed="false">
      <c r="A8575" s="103"/>
      <c r="B8575" s="104"/>
      <c r="C8575" s="104"/>
      <c r="E8575" s="107" t="str">
        <f aca="false">IF($C8575="","",IFERROR(INDEX(المنيو!$C$2:$C$500,MATCH($C8575,المنيو!$B$2:$B$500,0)),0))</f>
        <v/>
      </c>
      <c r="F8575" s="107" t="str">
        <f aca="false">IF($C8575="","",$D8575*$E8575)</f>
        <v/>
      </c>
      <c r="G8575" s="107" t="str">
        <f aca="false">IF($C8575="","",$D8575*IFERROR(INDEX('تحليل التكلفة والسعر'!$C$2:$C$700,MATCH($C8575,'تحليل التكلفة والسعر'!$B$2:$B$700,0)),0))</f>
        <v/>
      </c>
    </row>
    <row r="8576" customFormat="false" ht="15" hidden="false" customHeight="false" outlineLevel="0" collapsed="false">
      <c r="A8576" s="103"/>
      <c r="B8576" s="104"/>
      <c r="C8576" s="104"/>
      <c r="E8576" s="107" t="str">
        <f aca="false">IF($C8576="","",IFERROR(INDEX(المنيو!$C$2:$C$500,MATCH($C8576,المنيو!$B$2:$B$500,0)),0))</f>
        <v/>
      </c>
      <c r="F8576" s="107" t="str">
        <f aca="false">IF($C8576="","",$D8576*$E8576)</f>
        <v/>
      </c>
      <c r="G8576" s="107" t="str">
        <f aca="false">IF($C8576="","",$D8576*IFERROR(INDEX('تحليل التكلفة والسعر'!$C$2:$C$700,MATCH($C8576,'تحليل التكلفة والسعر'!$B$2:$B$700,0)),0))</f>
        <v/>
      </c>
    </row>
    <row r="8577" customFormat="false" ht="15" hidden="false" customHeight="false" outlineLevel="0" collapsed="false">
      <c r="A8577" s="103"/>
      <c r="B8577" s="104"/>
      <c r="C8577" s="104"/>
      <c r="E8577" s="107" t="str">
        <f aca="false">IF($C8577="","",IFERROR(INDEX(المنيو!$C$2:$C$500,MATCH($C8577,المنيو!$B$2:$B$500,0)),0))</f>
        <v/>
      </c>
      <c r="F8577" s="107" t="str">
        <f aca="false">IF($C8577="","",$D8577*$E8577)</f>
        <v/>
      </c>
      <c r="G8577" s="107" t="str">
        <f aca="false">IF($C8577="","",$D8577*IFERROR(INDEX('تحليل التكلفة والسعر'!$C$2:$C$700,MATCH($C8577,'تحليل التكلفة والسعر'!$B$2:$B$700,0)),0))</f>
        <v/>
      </c>
    </row>
    <row r="8578" customFormat="false" ht="15" hidden="false" customHeight="false" outlineLevel="0" collapsed="false">
      <c r="A8578" s="103"/>
      <c r="B8578" s="104"/>
      <c r="C8578" s="104"/>
      <c r="E8578" s="107" t="str">
        <f aca="false">IF($C8578="","",IFERROR(INDEX(المنيو!$C$2:$C$500,MATCH($C8578,المنيو!$B$2:$B$500,0)),0))</f>
        <v/>
      </c>
      <c r="F8578" s="107" t="str">
        <f aca="false">IF($C8578="","",$D8578*$E8578)</f>
        <v/>
      </c>
      <c r="G8578" s="107" t="str">
        <f aca="false">IF($C8578="","",$D8578*IFERROR(INDEX('تحليل التكلفة والسعر'!$C$2:$C$700,MATCH($C8578,'تحليل التكلفة والسعر'!$B$2:$B$700,0)),0))</f>
        <v/>
      </c>
    </row>
    <row r="8579" customFormat="false" ht="15" hidden="false" customHeight="false" outlineLevel="0" collapsed="false">
      <c r="A8579" s="103"/>
      <c r="B8579" s="104"/>
      <c r="C8579" s="104"/>
      <c r="E8579" s="107" t="str">
        <f aca="false">IF($C8579="","",IFERROR(INDEX(المنيو!$C$2:$C$500,MATCH($C8579,المنيو!$B$2:$B$500,0)),0))</f>
        <v/>
      </c>
      <c r="F8579" s="107" t="str">
        <f aca="false">IF($C8579="","",$D8579*$E8579)</f>
        <v/>
      </c>
      <c r="G8579" s="107" t="str">
        <f aca="false">IF($C8579="","",$D8579*IFERROR(INDEX('تحليل التكلفة والسعر'!$C$2:$C$700,MATCH($C8579,'تحليل التكلفة والسعر'!$B$2:$B$700,0)),0))</f>
        <v/>
      </c>
    </row>
    <row r="8580" customFormat="false" ht="15" hidden="false" customHeight="false" outlineLevel="0" collapsed="false">
      <c r="A8580" s="103"/>
      <c r="B8580" s="104"/>
      <c r="C8580" s="104"/>
      <c r="E8580" s="107" t="str">
        <f aca="false">IF($C8580="","",IFERROR(INDEX(المنيو!$C$2:$C$500,MATCH($C8580,المنيو!$B$2:$B$500,0)),0))</f>
        <v/>
      </c>
      <c r="F8580" s="107" t="str">
        <f aca="false">IF($C8580="","",$D8580*$E8580)</f>
        <v/>
      </c>
      <c r="G8580" s="107" t="str">
        <f aca="false">IF($C8580="","",$D8580*IFERROR(INDEX('تحليل التكلفة والسعر'!$C$2:$C$700,MATCH($C8580,'تحليل التكلفة والسعر'!$B$2:$B$700,0)),0))</f>
        <v/>
      </c>
    </row>
    <row r="8581" customFormat="false" ht="15" hidden="false" customHeight="false" outlineLevel="0" collapsed="false">
      <c r="A8581" s="103"/>
      <c r="B8581" s="104"/>
      <c r="C8581" s="104"/>
      <c r="E8581" s="107" t="str">
        <f aca="false">IF($C8581="","",IFERROR(INDEX(المنيو!$C$2:$C$500,MATCH($C8581,المنيو!$B$2:$B$500,0)),0))</f>
        <v/>
      </c>
      <c r="F8581" s="107" t="str">
        <f aca="false">IF($C8581="","",$D8581*$E8581)</f>
        <v/>
      </c>
      <c r="G8581" s="107" t="str">
        <f aca="false">IF($C8581="","",$D8581*IFERROR(INDEX('تحليل التكلفة والسعر'!$C$2:$C$700,MATCH($C8581,'تحليل التكلفة والسعر'!$B$2:$B$700,0)),0))</f>
        <v/>
      </c>
    </row>
    <row r="8582" customFormat="false" ht="15" hidden="false" customHeight="false" outlineLevel="0" collapsed="false">
      <c r="A8582" s="103"/>
      <c r="B8582" s="104"/>
      <c r="C8582" s="104"/>
      <c r="E8582" s="107" t="str">
        <f aca="false">IF($C8582="","",IFERROR(INDEX(المنيو!$C$2:$C$500,MATCH($C8582,المنيو!$B$2:$B$500,0)),0))</f>
        <v/>
      </c>
      <c r="F8582" s="107" t="str">
        <f aca="false">IF($C8582="","",$D8582*$E8582)</f>
        <v/>
      </c>
      <c r="G8582" s="107" t="str">
        <f aca="false">IF($C8582="","",$D8582*IFERROR(INDEX('تحليل التكلفة والسعر'!$C$2:$C$700,MATCH($C8582,'تحليل التكلفة والسعر'!$B$2:$B$700,0)),0))</f>
        <v/>
      </c>
    </row>
    <row r="8583" customFormat="false" ht="15" hidden="false" customHeight="false" outlineLevel="0" collapsed="false">
      <c r="A8583" s="103"/>
      <c r="B8583" s="104"/>
      <c r="C8583" s="104"/>
      <c r="E8583" s="107" t="str">
        <f aca="false">IF($C8583="","",IFERROR(INDEX(المنيو!$C$2:$C$500,MATCH($C8583,المنيو!$B$2:$B$500,0)),0))</f>
        <v/>
      </c>
      <c r="F8583" s="107" t="str">
        <f aca="false">IF($C8583="","",$D8583*$E8583)</f>
        <v/>
      </c>
      <c r="G8583" s="107" t="str">
        <f aca="false">IF($C8583="","",$D8583*IFERROR(INDEX('تحليل التكلفة والسعر'!$C$2:$C$700,MATCH($C8583,'تحليل التكلفة والسعر'!$B$2:$B$700,0)),0))</f>
        <v/>
      </c>
    </row>
    <row r="8584" customFormat="false" ht="15" hidden="false" customHeight="false" outlineLevel="0" collapsed="false">
      <c r="A8584" s="103"/>
      <c r="B8584" s="104"/>
      <c r="C8584" s="104"/>
      <c r="E8584" s="107" t="str">
        <f aca="false">IF($C8584="","",IFERROR(INDEX(المنيو!$C$2:$C$500,MATCH($C8584,المنيو!$B$2:$B$500,0)),0))</f>
        <v/>
      </c>
      <c r="F8584" s="107" t="str">
        <f aca="false">IF($C8584="","",$D8584*$E8584)</f>
        <v/>
      </c>
      <c r="G8584" s="107" t="str">
        <f aca="false">IF($C8584="","",$D8584*IFERROR(INDEX('تحليل التكلفة والسعر'!$C$2:$C$700,MATCH($C8584,'تحليل التكلفة والسعر'!$B$2:$B$700,0)),0))</f>
        <v/>
      </c>
    </row>
    <row r="8585" customFormat="false" ht="15" hidden="false" customHeight="false" outlineLevel="0" collapsed="false">
      <c r="A8585" s="103"/>
      <c r="B8585" s="104"/>
      <c r="C8585" s="104"/>
      <c r="E8585" s="107" t="str">
        <f aca="false">IF($C8585="","",IFERROR(INDEX(المنيو!$C$2:$C$500,MATCH($C8585,المنيو!$B$2:$B$500,0)),0))</f>
        <v/>
      </c>
      <c r="F8585" s="107" t="str">
        <f aca="false">IF($C8585="","",$D8585*$E8585)</f>
        <v/>
      </c>
      <c r="G8585" s="107" t="str">
        <f aca="false">IF($C8585="","",$D8585*IFERROR(INDEX('تحليل التكلفة والسعر'!$C$2:$C$700,MATCH($C8585,'تحليل التكلفة والسعر'!$B$2:$B$700,0)),0))</f>
        <v/>
      </c>
    </row>
    <row r="8586" customFormat="false" ht="15" hidden="false" customHeight="false" outlineLevel="0" collapsed="false">
      <c r="A8586" s="103"/>
      <c r="B8586" s="104"/>
      <c r="C8586" s="104"/>
      <c r="E8586" s="107" t="str">
        <f aca="false">IF($C8586="","",IFERROR(INDEX(المنيو!$C$2:$C$500,MATCH($C8586,المنيو!$B$2:$B$500,0)),0))</f>
        <v/>
      </c>
      <c r="F8586" s="107" t="str">
        <f aca="false">IF($C8586="","",$D8586*$E8586)</f>
        <v/>
      </c>
      <c r="G8586" s="107" t="str">
        <f aca="false">IF($C8586="","",$D8586*IFERROR(INDEX('تحليل التكلفة والسعر'!$C$2:$C$700,MATCH($C8586,'تحليل التكلفة والسعر'!$B$2:$B$700,0)),0))</f>
        <v/>
      </c>
    </row>
    <row r="8587" customFormat="false" ht="15" hidden="false" customHeight="false" outlineLevel="0" collapsed="false">
      <c r="A8587" s="103"/>
      <c r="B8587" s="104"/>
      <c r="C8587" s="104"/>
      <c r="E8587" s="107" t="str">
        <f aca="false">IF($C8587="","",IFERROR(INDEX(المنيو!$C$2:$C$500,MATCH($C8587,المنيو!$B$2:$B$500,0)),0))</f>
        <v/>
      </c>
      <c r="F8587" s="107" t="str">
        <f aca="false">IF($C8587="","",$D8587*$E8587)</f>
        <v/>
      </c>
      <c r="G8587" s="107" t="str">
        <f aca="false">IF($C8587="","",$D8587*IFERROR(INDEX('تحليل التكلفة والسعر'!$C$2:$C$700,MATCH($C8587,'تحليل التكلفة والسعر'!$B$2:$B$700,0)),0))</f>
        <v/>
      </c>
    </row>
    <row r="8588" customFormat="false" ht="15" hidden="false" customHeight="false" outlineLevel="0" collapsed="false">
      <c r="A8588" s="103"/>
      <c r="B8588" s="104"/>
      <c r="C8588" s="104"/>
      <c r="E8588" s="107" t="str">
        <f aca="false">IF($C8588="","",IFERROR(INDEX(المنيو!$C$2:$C$500,MATCH($C8588,المنيو!$B$2:$B$500,0)),0))</f>
        <v/>
      </c>
      <c r="F8588" s="107" t="str">
        <f aca="false">IF($C8588="","",$D8588*$E8588)</f>
        <v/>
      </c>
      <c r="G8588" s="107" t="str">
        <f aca="false">IF($C8588="","",$D8588*IFERROR(INDEX('تحليل التكلفة والسعر'!$C$2:$C$700,MATCH($C8588,'تحليل التكلفة والسعر'!$B$2:$B$700,0)),0))</f>
        <v/>
      </c>
    </row>
    <row r="8589" customFormat="false" ht="15" hidden="false" customHeight="false" outlineLevel="0" collapsed="false">
      <c r="A8589" s="103"/>
      <c r="B8589" s="104"/>
      <c r="C8589" s="104"/>
      <c r="E8589" s="107" t="str">
        <f aca="false">IF($C8589="","",IFERROR(INDEX(المنيو!$C$2:$C$500,MATCH($C8589,المنيو!$B$2:$B$500,0)),0))</f>
        <v/>
      </c>
      <c r="F8589" s="107" t="str">
        <f aca="false">IF($C8589="","",$D8589*$E8589)</f>
        <v/>
      </c>
      <c r="G8589" s="107" t="str">
        <f aca="false">IF($C8589="","",$D8589*IFERROR(INDEX('تحليل التكلفة والسعر'!$C$2:$C$700,MATCH($C8589,'تحليل التكلفة والسعر'!$B$2:$B$700,0)),0))</f>
        <v/>
      </c>
    </row>
    <row r="8590" customFormat="false" ht="15" hidden="false" customHeight="false" outlineLevel="0" collapsed="false">
      <c r="A8590" s="103"/>
      <c r="B8590" s="104"/>
      <c r="C8590" s="104"/>
      <c r="E8590" s="107" t="str">
        <f aca="false">IF($C8590="","",IFERROR(INDEX(المنيو!$C$2:$C$500,MATCH($C8590,المنيو!$B$2:$B$500,0)),0))</f>
        <v/>
      </c>
      <c r="F8590" s="107" t="str">
        <f aca="false">IF($C8590="","",$D8590*$E8590)</f>
        <v/>
      </c>
      <c r="G8590" s="107" t="str">
        <f aca="false">IF($C8590="","",$D8590*IFERROR(INDEX('تحليل التكلفة والسعر'!$C$2:$C$700,MATCH($C8590,'تحليل التكلفة والسعر'!$B$2:$B$700,0)),0))</f>
        <v/>
      </c>
    </row>
    <row r="8591" customFormat="false" ht="15" hidden="false" customHeight="false" outlineLevel="0" collapsed="false">
      <c r="A8591" s="103"/>
      <c r="B8591" s="104"/>
      <c r="C8591" s="104"/>
      <c r="E8591" s="107" t="str">
        <f aca="false">IF($C8591="","",IFERROR(INDEX(المنيو!$C$2:$C$500,MATCH($C8591,المنيو!$B$2:$B$500,0)),0))</f>
        <v/>
      </c>
      <c r="F8591" s="107" t="str">
        <f aca="false">IF($C8591="","",$D8591*$E8591)</f>
        <v/>
      </c>
      <c r="G8591" s="107" t="str">
        <f aca="false">IF($C8591="","",$D8591*IFERROR(INDEX('تحليل التكلفة والسعر'!$C$2:$C$700,MATCH($C8591,'تحليل التكلفة والسعر'!$B$2:$B$700,0)),0))</f>
        <v/>
      </c>
    </row>
    <row r="8592" customFormat="false" ht="15" hidden="false" customHeight="false" outlineLevel="0" collapsed="false">
      <c r="A8592" s="103"/>
      <c r="B8592" s="104"/>
      <c r="C8592" s="104"/>
      <c r="E8592" s="107" t="str">
        <f aca="false">IF($C8592="","",IFERROR(INDEX(المنيو!$C$2:$C$500,MATCH($C8592,المنيو!$B$2:$B$500,0)),0))</f>
        <v/>
      </c>
      <c r="F8592" s="107" t="str">
        <f aca="false">IF($C8592="","",$D8592*$E8592)</f>
        <v/>
      </c>
      <c r="G8592" s="107" t="str">
        <f aca="false">IF($C8592="","",$D8592*IFERROR(INDEX('تحليل التكلفة والسعر'!$C$2:$C$700,MATCH($C8592,'تحليل التكلفة والسعر'!$B$2:$B$700,0)),0))</f>
        <v/>
      </c>
    </row>
    <row r="8593" customFormat="false" ht="15" hidden="false" customHeight="false" outlineLevel="0" collapsed="false">
      <c r="A8593" s="103"/>
      <c r="B8593" s="104"/>
      <c r="C8593" s="104"/>
      <c r="E8593" s="107" t="str">
        <f aca="false">IF($C8593="","",IFERROR(INDEX(المنيو!$C$2:$C$500,MATCH($C8593,المنيو!$B$2:$B$500,0)),0))</f>
        <v/>
      </c>
      <c r="F8593" s="107" t="str">
        <f aca="false">IF($C8593="","",$D8593*$E8593)</f>
        <v/>
      </c>
      <c r="G8593" s="107" t="str">
        <f aca="false">IF($C8593="","",$D8593*IFERROR(INDEX('تحليل التكلفة والسعر'!$C$2:$C$700,MATCH($C8593,'تحليل التكلفة والسعر'!$B$2:$B$700,0)),0))</f>
        <v/>
      </c>
    </row>
    <row r="8594" customFormat="false" ht="15" hidden="false" customHeight="false" outlineLevel="0" collapsed="false">
      <c r="A8594" s="103"/>
      <c r="B8594" s="104"/>
      <c r="C8594" s="104"/>
      <c r="E8594" s="107" t="str">
        <f aca="false">IF($C8594="","",IFERROR(INDEX(المنيو!$C$2:$C$500,MATCH($C8594,المنيو!$B$2:$B$500,0)),0))</f>
        <v/>
      </c>
      <c r="F8594" s="107" t="str">
        <f aca="false">IF($C8594="","",$D8594*$E8594)</f>
        <v/>
      </c>
      <c r="G8594" s="107" t="str">
        <f aca="false">IF($C8594="","",$D8594*IFERROR(INDEX('تحليل التكلفة والسعر'!$C$2:$C$700,MATCH($C8594,'تحليل التكلفة والسعر'!$B$2:$B$700,0)),0))</f>
        <v/>
      </c>
    </row>
    <row r="8595" customFormat="false" ht="15" hidden="false" customHeight="false" outlineLevel="0" collapsed="false">
      <c r="A8595" s="103"/>
      <c r="B8595" s="104"/>
      <c r="C8595" s="104"/>
      <c r="E8595" s="107" t="str">
        <f aca="false">IF($C8595="","",IFERROR(INDEX(المنيو!$C$2:$C$500,MATCH($C8595,المنيو!$B$2:$B$500,0)),0))</f>
        <v/>
      </c>
      <c r="F8595" s="107" t="str">
        <f aca="false">IF($C8595="","",$D8595*$E8595)</f>
        <v/>
      </c>
      <c r="G8595" s="107" t="str">
        <f aca="false">IF($C8595="","",$D8595*IFERROR(INDEX('تحليل التكلفة والسعر'!$C$2:$C$700,MATCH($C8595,'تحليل التكلفة والسعر'!$B$2:$B$700,0)),0))</f>
        <v/>
      </c>
    </row>
    <row r="8596" customFormat="false" ht="15" hidden="false" customHeight="false" outlineLevel="0" collapsed="false">
      <c r="A8596" s="103"/>
      <c r="B8596" s="104"/>
      <c r="C8596" s="104"/>
      <c r="E8596" s="107" t="str">
        <f aca="false">IF($C8596="","",IFERROR(INDEX(المنيو!$C$2:$C$500,MATCH($C8596,المنيو!$B$2:$B$500,0)),0))</f>
        <v/>
      </c>
      <c r="F8596" s="107" t="str">
        <f aca="false">IF($C8596="","",$D8596*$E8596)</f>
        <v/>
      </c>
      <c r="G8596" s="107" t="str">
        <f aca="false">IF($C8596="","",$D8596*IFERROR(INDEX('تحليل التكلفة والسعر'!$C$2:$C$700,MATCH($C8596,'تحليل التكلفة والسعر'!$B$2:$B$700,0)),0))</f>
        <v/>
      </c>
    </row>
    <row r="8597" customFormat="false" ht="15" hidden="false" customHeight="false" outlineLevel="0" collapsed="false">
      <c r="A8597" s="103"/>
      <c r="B8597" s="104"/>
      <c r="C8597" s="104"/>
      <c r="E8597" s="107" t="str">
        <f aca="false">IF($C8597="","",IFERROR(INDEX(المنيو!$C$2:$C$500,MATCH($C8597,المنيو!$B$2:$B$500,0)),0))</f>
        <v/>
      </c>
      <c r="F8597" s="107" t="str">
        <f aca="false">IF($C8597="","",$D8597*$E8597)</f>
        <v/>
      </c>
      <c r="G8597" s="107" t="str">
        <f aca="false">IF($C8597="","",$D8597*IFERROR(INDEX('تحليل التكلفة والسعر'!$C$2:$C$700,MATCH($C8597,'تحليل التكلفة والسعر'!$B$2:$B$700,0)),0))</f>
        <v/>
      </c>
    </row>
    <row r="8598" customFormat="false" ht="15" hidden="false" customHeight="false" outlineLevel="0" collapsed="false">
      <c r="A8598" s="103"/>
      <c r="B8598" s="104"/>
      <c r="C8598" s="104"/>
      <c r="E8598" s="107" t="str">
        <f aca="false">IF($C8598="","",IFERROR(INDEX(المنيو!$C$2:$C$500,MATCH($C8598,المنيو!$B$2:$B$500,0)),0))</f>
        <v/>
      </c>
      <c r="F8598" s="107" t="str">
        <f aca="false">IF($C8598="","",$D8598*$E8598)</f>
        <v/>
      </c>
      <c r="G8598" s="107" t="str">
        <f aca="false">IF($C8598="","",$D8598*IFERROR(INDEX('تحليل التكلفة والسعر'!$C$2:$C$700,MATCH($C8598,'تحليل التكلفة والسعر'!$B$2:$B$700,0)),0))</f>
        <v/>
      </c>
    </row>
    <row r="8599" customFormat="false" ht="15" hidden="false" customHeight="false" outlineLevel="0" collapsed="false">
      <c r="A8599" s="103"/>
      <c r="B8599" s="104"/>
      <c r="C8599" s="104"/>
      <c r="E8599" s="107" t="str">
        <f aca="false">IF($C8599="","",IFERROR(INDEX(المنيو!$C$2:$C$500,MATCH($C8599,المنيو!$B$2:$B$500,0)),0))</f>
        <v/>
      </c>
      <c r="F8599" s="107" t="str">
        <f aca="false">IF($C8599="","",$D8599*$E8599)</f>
        <v/>
      </c>
      <c r="G8599" s="107" t="str">
        <f aca="false">IF($C8599="","",$D8599*IFERROR(INDEX('تحليل التكلفة والسعر'!$C$2:$C$700,MATCH($C8599,'تحليل التكلفة والسعر'!$B$2:$B$700,0)),0))</f>
        <v/>
      </c>
    </row>
    <row r="8600" customFormat="false" ht="15" hidden="false" customHeight="false" outlineLevel="0" collapsed="false">
      <c r="A8600" s="103"/>
      <c r="B8600" s="104"/>
      <c r="C8600" s="104"/>
      <c r="E8600" s="107" t="str">
        <f aca="false">IF($C8600="","",IFERROR(INDEX(المنيو!$C$2:$C$500,MATCH($C8600,المنيو!$B$2:$B$500,0)),0))</f>
        <v/>
      </c>
      <c r="F8600" s="107" t="str">
        <f aca="false">IF($C8600="","",$D8600*$E8600)</f>
        <v/>
      </c>
      <c r="G8600" s="107" t="str">
        <f aca="false">IF($C8600="","",$D8600*IFERROR(INDEX('تحليل التكلفة والسعر'!$C$2:$C$700,MATCH($C8600,'تحليل التكلفة والسعر'!$B$2:$B$700,0)),0))</f>
        <v/>
      </c>
    </row>
    <row r="8601" customFormat="false" ht="15" hidden="false" customHeight="false" outlineLevel="0" collapsed="false">
      <c r="A8601" s="103"/>
      <c r="B8601" s="104"/>
      <c r="C8601" s="104"/>
      <c r="E8601" s="107" t="str">
        <f aca="false">IF($C8601="","",IFERROR(INDEX(المنيو!$C$2:$C$500,MATCH($C8601,المنيو!$B$2:$B$500,0)),0))</f>
        <v/>
      </c>
      <c r="F8601" s="107" t="str">
        <f aca="false">IF($C8601="","",$D8601*$E8601)</f>
        <v/>
      </c>
      <c r="G8601" s="107" t="str">
        <f aca="false">IF($C8601="","",$D8601*IFERROR(INDEX('تحليل التكلفة والسعر'!$C$2:$C$700,MATCH($C8601,'تحليل التكلفة والسعر'!$B$2:$B$700,0)),0))</f>
        <v/>
      </c>
    </row>
    <row r="8602" customFormat="false" ht="15" hidden="false" customHeight="false" outlineLevel="0" collapsed="false">
      <c r="A8602" s="103"/>
      <c r="B8602" s="104"/>
      <c r="C8602" s="104"/>
      <c r="E8602" s="107" t="str">
        <f aca="false">IF($C8602="","",IFERROR(INDEX(المنيو!$C$2:$C$500,MATCH($C8602,المنيو!$B$2:$B$500,0)),0))</f>
        <v/>
      </c>
      <c r="F8602" s="107" t="str">
        <f aca="false">IF($C8602="","",$D8602*$E8602)</f>
        <v/>
      </c>
      <c r="G8602" s="107" t="str">
        <f aca="false">IF($C8602="","",$D8602*IFERROR(INDEX('تحليل التكلفة والسعر'!$C$2:$C$700,MATCH($C8602,'تحليل التكلفة والسعر'!$B$2:$B$700,0)),0))</f>
        <v/>
      </c>
    </row>
    <row r="8603" customFormat="false" ht="15" hidden="false" customHeight="false" outlineLevel="0" collapsed="false">
      <c r="A8603" s="103"/>
      <c r="B8603" s="104"/>
      <c r="C8603" s="104"/>
      <c r="E8603" s="107" t="str">
        <f aca="false">IF($C8603="","",IFERROR(INDEX(المنيو!$C$2:$C$500,MATCH($C8603,المنيو!$B$2:$B$500,0)),0))</f>
        <v/>
      </c>
      <c r="F8603" s="107" t="str">
        <f aca="false">IF($C8603="","",$D8603*$E8603)</f>
        <v/>
      </c>
      <c r="G8603" s="107" t="str">
        <f aca="false">IF($C8603="","",$D8603*IFERROR(INDEX('تحليل التكلفة والسعر'!$C$2:$C$700,MATCH($C8603,'تحليل التكلفة والسعر'!$B$2:$B$700,0)),0))</f>
        <v/>
      </c>
    </row>
    <row r="8604" customFormat="false" ht="15" hidden="false" customHeight="false" outlineLevel="0" collapsed="false">
      <c r="A8604" s="103"/>
      <c r="B8604" s="104"/>
      <c r="C8604" s="104"/>
      <c r="E8604" s="107" t="str">
        <f aca="false">IF($C8604="","",IFERROR(INDEX(المنيو!$C$2:$C$500,MATCH($C8604,المنيو!$B$2:$B$500,0)),0))</f>
        <v/>
      </c>
      <c r="F8604" s="107" t="str">
        <f aca="false">IF($C8604="","",$D8604*$E8604)</f>
        <v/>
      </c>
      <c r="G8604" s="107" t="str">
        <f aca="false">IF($C8604="","",$D8604*IFERROR(INDEX('تحليل التكلفة والسعر'!$C$2:$C$700,MATCH($C8604,'تحليل التكلفة والسعر'!$B$2:$B$700,0)),0))</f>
        <v/>
      </c>
    </row>
    <row r="8605" customFormat="false" ht="15" hidden="false" customHeight="false" outlineLevel="0" collapsed="false">
      <c r="A8605" s="103"/>
      <c r="B8605" s="104"/>
      <c r="C8605" s="104"/>
      <c r="E8605" s="107" t="str">
        <f aca="false">IF($C8605="","",IFERROR(INDEX(المنيو!$C$2:$C$500,MATCH($C8605,المنيو!$B$2:$B$500,0)),0))</f>
        <v/>
      </c>
      <c r="F8605" s="107" t="str">
        <f aca="false">IF($C8605="","",$D8605*$E8605)</f>
        <v/>
      </c>
      <c r="G8605" s="107" t="str">
        <f aca="false">IF($C8605="","",$D8605*IFERROR(INDEX('تحليل التكلفة والسعر'!$C$2:$C$700,MATCH($C8605,'تحليل التكلفة والسعر'!$B$2:$B$700,0)),0))</f>
        <v/>
      </c>
    </row>
    <row r="8606" customFormat="false" ht="15" hidden="false" customHeight="false" outlineLevel="0" collapsed="false">
      <c r="A8606" s="103"/>
      <c r="B8606" s="104"/>
      <c r="C8606" s="104"/>
      <c r="E8606" s="107" t="str">
        <f aca="false">IF($C8606="","",IFERROR(INDEX(المنيو!$C$2:$C$500,MATCH($C8606,المنيو!$B$2:$B$500,0)),0))</f>
        <v/>
      </c>
      <c r="F8606" s="107" t="str">
        <f aca="false">IF($C8606="","",$D8606*$E8606)</f>
        <v/>
      </c>
      <c r="G8606" s="107" t="str">
        <f aca="false">IF($C8606="","",$D8606*IFERROR(INDEX('تحليل التكلفة والسعر'!$C$2:$C$700,MATCH($C8606,'تحليل التكلفة والسعر'!$B$2:$B$700,0)),0))</f>
        <v/>
      </c>
    </row>
    <row r="8607" customFormat="false" ht="15" hidden="false" customHeight="false" outlineLevel="0" collapsed="false">
      <c r="A8607" s="103"/>
      <c r="B8607" s="104"/>
      <c r="C8607" s="104"/>
      <c r="E8607" s="107" t="str">
        <f aca="false">IF($C8607="","",IFERROR(INDEX(المنيو!$C$2:$C$500,MATCH($C8607,المنيو!$B$2:$B$500,0)),0))</f>
        <v/>
      </c>
      <c r="F8607" s="107" t="str">
        <f aca="false">IF($C8607="","",$D8607*$E8607)</f>
        <v/>
      </c>
      <c r="G8607" s="107" t="str">
        <f aca="false">IF($C8607="","",$D8607*IFERROR(INDEX('تحليل التكلفة والسعر'!$C$2:$C$700,MATCH($C8607,'تحليل التكلفة والسعر'!$B$2:$B$700,0)),0))</f>
        <v/>
      </c>
    </row>
    <row r="8608" customFormat="false" ht="15" hidden="false" customHeight="false" outlineLevel="0" collapsed="false">
      <c r="A8608" s="103"/>
      <c r="B8608" s="104"/>
      <c r="C8608" s="104"/>
      <c r="E8608" s="107" t="str">
        <f aca="false">IF($C8608="","",IFERROR(INDEX(المنيو!$C$2:$C$500,MATCH($C8608,المنيو!$B$2:$B$500,0)),0))</f>
        <v/>
      </c>
      <c r="F8608" s="107" t="str">
        <f aca="false">IF($C8608="","",$D8608*$E8608)</f>
        <v/>
      </c>
      <c r="G8608" s="107" t="str">
        <f aca="false">IF($C8608="","",$D8608*IFERROR(INDEX('تحليل التكلفة والسعر'!$C$2:$C$700,MATCH($C8608,'تحليل التكلفة والسعر'!$B$2:$B$700,0)),0))</f>
        <v/>
      </c>
    </row>
    <row r="8609" customFormat="false" ht="15" hidden="false" customHeight="false" outlineLevel="0" collapsed="false">
      <c r="A8609" s="103"/>
      <c r="B8609" s="104"/>
      <c r="C8609" s="104"/>
      <c r="E8609" s="107" t="str">
        <f aca="false">IF($C8609="","",IFERROR(INDEX(المنيو!$C$2:$C$500,MATCH($C8609,المنيو!$B$2:$B$500,0)),0))</f>
        <v/>
      </c>
      <c r="F8609" s="107" t="str">
        <f aca="false">IF($C8609="","",$D8609*$E8609)</f>
        <v/>
      </c>
      <c r="G8609" s="107" t="str">
        <f aca="false">IF($C8609="","",$D8609*IFERROR(INDEX('تحليل التكلفة والسعر'!$C$2:$C$700,MATCH($C8609,'تحليل التكلفة والسعر'!$B$2:$B$700,0)),0))</f>
        <v/>
      </c>
    </row>
    <row r="8610" customFormat="false" ht="15" hidden="false" customHeight="false" outlineLevel="0" collapsed="false">
      <c r="A8610" s="103"/>
      <c r="B8610" s="104"/>
      <c r="C8610" s="104"/>
      <c r="E8610" s="107" t="str">
        <f aca="false">IF($C8610="","",IFERROR(INDEX(المنيو!$C$2:$C$500,MATCH($C8610,المنيو!$B$2:$B$500,0)),0))</f>
        <v/>
      </c>
      <c r="F8610" s="107" t="str">
        <f aca="false">IF($C8610="","",$D8610*$E8610)</f>
        <v/>
      </c>
      <c r="G8610" s="107" t="str">
        <f aca="false">IF($C8610="","",$D8610*IFERROR(INDEX('تحليل التكلفة والسعر'!$C$2:$C$700,MATCH($C8610,'تحليل التكلفة والسعر'!$B$2:$B$700,0)),0))</f>
        <v/>
      </c>
    </row>
    <row r="8611" customFormat="false" ht="15" hidden="false" customHeight="false" outlineLevel="0" collapsed="false">
      <c r="A8611" s="103"/>
      <c r="B8611" s="104"/>
      <c r="C8611" s="104"/>
      <c r="E8611" s="107" t="str">
        <f aca="false">IF($C8611="","",IFERROR(INDEX(المنيو!$C$2:$C$500,MATCH($C8611,المنيو!$B$2:$B$500,0)),0))</f>
        <v/>
      </c>
      <c r="F8611" s="107" t="str">
        <f aca="false">IF($C8611="","",$D8611*$E8611)</f>
        <v/>
      </c>
      <c r="G8611" s="107" t="str">
        <f aca="false">IF($C8611="","",$D8611*IFERROR(INDEX('تحليل التكلفة والسعر'!$C$2:$C$700,MATCH($C8611,'تحليل التكلفة والسعر'!$B$2:$B$700,0)),0))</f>
        <v/>
      </c>
    </row>
    <row r="8612" customFormat="false" ht="15" hidden="false" customHeight="false" outlineLevel="0" collapsed="false">
      <c r="A8612" s="103"/>
      <c r="B8612" s="104"/>
      <c r="C8612" s="104"/>
      <c r="E8612" s="107" t="str">
        <f aca="false">IF($C8612="","",IFERROR(INDEX(المنيو!$C$2:$C$500,MATCH($C8612,المنيو!$B$2:$B$500,0)),0))</f>
        <v/>
      </c>
      <c r="F8612" s="107" t="str">
        <f aca="false">IF($C8612="","",$D8612*$E8612)</f>
        <v/>
      </c>
      <c r="G8612" s="107" t="str">
        <f aca="false">IF($C8612="","",$D8612*IFERROR(INDEX('تحليل التكلفة والسعر'!$C$2:$C$700,MATCH($C8612,'تحليل التكلفة والسعر'!$B$2:$B$700,0)),0))</f>
        <v/>
      </c>
    </row>
    <row r="8613" customFormat="false" ht="15" hidden="false" customHeight="false" outlineLevel="0" collapsed="false">
      <c r="A8613" s="103"/>
      <c r="B8613" s="104"/>
      <c r="C8613" s="104"/>
      <c r="E8613" s="107" t="str">
        <f aca="false">IF($C8613="","",IFERROR(INDEX(المنيو!$C$2:$C$500,MATCH($C8613,المنيو!$B$2:$B$500,0)),0))</f>
        <v/>
      </c>
      <c r="F8613" s="107" t="str">
        <f aca="false">IF($C8613="","",$D8613*$E8613)</f>
        <v/>
      </c>
      <c r="G8613" s="107" t="str">
        <f aca="false">IF($C8613="","",$D8613*IFERROR(INDEX('تحليل التكلفة والسعر'!$C$2:$C$700,MATCH($C8613,'تحليل التكلفة والسعر'!$B$2:$B$700,0)),0))</f>
        <v/>
      </c>
    </row>
    <row r="8614" customFormat="false" ht="15" hidden="false" customHeight="false" outlineLevel="0" collapsed="false">
      <c r="A8614" s="103"/>
      <c r="B8614" s="104"/>
      <c r="C8614" s="104"/>
      <c r="E8614" s="107" t="str">
        <f aca="false">IF($C8614="","",IFERROR(INDEX(المنيو!$C$2:$C$500,MATCH($C8614,المنيو!$B$2:$B$500,0)),0))</f>
        <v/>
      </c>
      <c r="F8614" s="107" t="str">
        <f aca="false">IF($C8614="","",$D8614*$E8614)</f>
        <v/>
      </c>
      <c r="G8614" s="107" t="str">
        <f aca="false">IF($C8614="","",$D8614*IFERROR(INDEX('تحليل التكلفة والسعر'!$C$2:$C$700,MATCH($C8614,'تحليل التكلفة والسعر'!$B$2:$B$700,0)),0))</f>
        <v/>
      </c>
    </row>
    <row r="8615" customFormat="false" ht="15" hidden="false" customHeight="false" outlineLevel="0" collapsed="false">
      <c r="A8615" s="103"/>
      <c r="B8615" s="104"/>
      <c r="C8615" s="104"/>
      <c r="E8615" s="107" t="str">
        <f aca="false">IF($C8615="","",IFERROR(INDEX(المنيو!$C$2:$C$500,MATCH($C8615,المنيو!$B$2:$B$500,0)),0))</f>
        <v/>
      </c>
      <c r="F8615" s="107" t="str">
        <f aca="false">IF($C8615="","",$D8615*$E8615)</f>
        <v/>
      </c>
      <c r="G8615" s="107" t="str">
        <f aca="false">IF($C8615="","",$D8615*IFERROR(INDEX('تحليل التكلفة والسعر'!$C$2:$C$700,MATCH($C8615,'تحليل التكلفة والسعر'!$B$2:$B$700,0)),0))</f>
        <v/>
      </c>
    </row>
    <row r="8616" customFormat="false" ht="15" hidden="false" customHeight="false" outlineLevel="0" collapsed="false">
      <c r="A8616" s="103"/>
      <c r="B8616" s="104"/>
      <c r="C8616" s="104"/>
      <c r="E8616" s="107" t="str">
        <f aca="false">IF($C8616="","",IFERROR(INDEX(المنيو!$C$2:$C$500,MATCH($C8616,المنيو!$B$2:$B$500,0)),0))</f>
        <v/>
      </c>
      <c r="F8616" s="107" t="str">
        <f aca="false">IF($C8616="","",$D8616*$E8616)</f>
        <v/>
      </c>
      <c r="G8616" s="107" t="str">
        <f aca="false">IF($C8616="","",$D8616*IFERROR(INDEX('تحليل التكلفة والسعر'!$C$2:$C$700,MATCH($C8616,'تحليل التكلفة والسعر'!$B$2:$B$700,0)),0))</f>
        <v/>
      </c>
    </row>
    <row r="8617" customFormat="false" ht="15" hidden="false" customHeight="false" outlineLevel="0" collapsed="false">
      <c r="A8617" s="103"/>
      <c r="B8617" s="104"/>
      <c r="C8617" s="104"/>
      <c r="E8617" s="107" t="str">
        <f aca="false">IF($C8617="","",IFERROR(INDEX(المنيو!$C$2:$C$500,MATCH($C8617,المنيو!$B$2:$B$500,0)),0))</f>
        <v/>
      </c>
      <c r="F8617" s="107" t="str">
        <f aca="false">IF($C8617="","",$D8617*$E8617)</f>
        <v/>
      </c>
      <c r="G8617" s="107" t="str">
        <f aca="false">IF($C8617="","",$D8617*IFERROR(INDEX('تحليل التكلفة والسعر'!$C$2:$C$700,MATCH($C8617,'تحليل التكلفة والسعر'!$B$2:$B$700,0)),0))</f>
        <v/>
      </c>
    </row>
    <row r="8618" customFormat="false" ht="15" hidden="false" customHeight="false" outlineLevel="0" collapsed="false">
      <c r="A8618" s="103"/>
      <c r="B8618" s="104"/>
      <c r="C8618" s="104"/>
      <c r="E8618" s="107" t="str">
        <f aca="false">IF($C8618="","",IFERROR(INDEX(المنيو!$C$2:$C$500,MATCH($C8618,المنيو!$B$2:$B$500,0)),0))</f>
        <v/>
      </c>
      <c r="F8618" s="107" t="str">
        <f aca="false">IF($C8618="","",$D8618*$E8618)</f>
        <v/>
      </c>
      <c r="G8618" s="107" t="str">
        <f aca="false">IF($C8618="","",$D8618*IFERROR(INDEX('تحليل التكلفة والسعر'!$C$2:$C$700,MATCH($C8618,'تحليل التكلفة والسعر'!$B$2:$B$700,0)),0))</f>
        <v/>
      </c>
    </row>
    <row r="8619" customFormat="false" ht="15" hidden="false" customHeight="false" outlineLevel="0" collapsed="false">
      <c r="A8619" s="103"/>
      <c r="B8619" s="104"/>
      <c r="C8619" s="104"/>
      <c r="E8619" s="107" t="str">
        <f aca="false">IF($C8619="","",IFERROR(INDEX(المنيو!$C$2:$C$500,MATCH($C8619,المنيو!$B$2:$B$500,0)),0))</f>
        <v/>
      </c>
      <c r="F8619" s="107" t="str">
        <f aca="false">IF($C8619="","",$D8619*$E8619)</f>
        <v/>
      </c>
      <c r="G8619" s="107" t="str">
        <f aca="false">IF($C8619="","",$D8619*IFERROR(INDEX('تحليل التكلفة والسعر'!$C$2:$C$700,MATCH($C8619,'تحليل التكلفة والسعر'!$B$2:$B$700,0)),0))</f>
        <v/>
      </c>
    </row>
    <row r="8620" customFormat="false" ht="15" hidden="false" customHeight="false" outlineLevel="0" collapsed="false">
      <c r="A8620" s="103"/>
      <c r="B8620" s="104"/>
      <c r="C8620" s="104"/>
      <c r="E8620" s="107" t="str">
        <f aca="false">IF($C8620="","",IFERROR(INDEX(المنيو!$C$2:$C$500,MATCH($C8620,المنيو!$B$2:$B$500,0)),0))</f>
        <v/>
      </c>
      <c r="F8620" s="107" t="str">
        <f aca="false">IF($C8620="","",$D8620*$E8620)</f>
        <v/>
      </c>
      <c r="G8620" s="107" t="str">
        <f aca="false">IF($C8620="","",$D8620*IFERROR(INDEX('تحليل التكلفة والسعر'!$C$2:$C$700,MATCH($C8620,'تحليل التكلفة والسعر'!$B$2:$B$700,0)),0))</f>
        <v/>
      </c>
    </row>
    <row r="8621" customFormat="false" ht="15" hidden="false" customHeight="false" outlineLevel="0" collapsed="false">
      <c r="A8621" s="103"/>
      <c r="B8621" s="104"/>
      <c r="C8621" s="104"/>
      <c r="E8621" s="107" t="str">
        <f aca="false">IF($C8621="","",IFERROR(INDEX(المنيو!$C$2:$C$500,MATCH($C8621,المنيو!$B$2:$B$500,0)),0))</f>
        <v/>
      </c>
      <c r="F8621" s="107" t="str">
        <f aca="false">IF($C8621="","",$D8621*$E8621)</f>
        <v/>
      </c>
      <c r="G8621" s="107" t="str">
        <f aca="false">IF($C8621="","",$D8621*IFERROR(INDEX('تحليل التكلفة والسعر'!$C$2:$C$700,MATCH($C8621,'تحليل التكلفة والسعر'!$B$2:$B$700,0)),0))</f>
        <v/>
      </c>
    </row>
    <row r="8622" customFormat="false" ht="15" hidden="false" customHeight="false" outlineLevel="0" collapsed="false">
      <c r="A8622" s="103"/>
      <c r="B8622" s="104"/>
      <c r="C8622" s="104"/>
      <c r="E8622" s="107" t="str">
        <f aca="false">IF($C8622="","",IFERROR(INDEX(المنيو!$C$2:$C$500,MATCH($C8622,المنيو!$B$2:$B$500,0)),0))</f>
        <v/>
      </c>
      <c r="F8622" s="107" t="str">
        <f aca="false">IF($C8622="","",$D8622*$E8622)</f>
        <v/>
      </c>
      <c r="G8622" s="107" t="str">
        <f aca="false">IF($C8622="","",$D8622*IFERROR(INDEX('تحليل التكلفة والسعر'!$C$2:$C$700,MATCH($C8622,'تحليل التكلفة والسعر'!$B$2:$B$700,0)),0))</f>
        <v/>
      </c>
    </row>
    <row r="8623" customFormat="false" ht="15" hidden="false" customHeight="false" outlineLevel="0" collapsed="false">
      <c r="A8623" s="103"/>
      <c r="B8623" s="104"/>
      <c r="C8623" s="104"/>
      <c r="E8623" s="107" t="str">
        <f aca="false">IF($C8623="","",IFERROR(INDEX(المنيو!$C$2:$C$500,MATCH($C8623,المنيو!$B$2:$B$500,0)),0))</f>
        <v/>
      </c>
      <c r="F8623" s="107" t="str">
        <f aca="false">IF($C8623="","",$D8623*$E8623)</f>
        <v/>
      </c>
      <c r="G8623" s="107" t="str">
        <f aca="false">IF($C8623="","",$D8623*IFERROR(INDEX('تحليل التكلفة والسعر'!$C$2:$C$700,MATCH($C8623,'تحليل التكلفة والسعر'!$B$2:$B$700,0)),0))</f>
        <v/>
      </c>
    </row>
    <row r="8624" customFormat="false" ht="15" hidden="false" customHeight="false" outlineLevel="0" collapsed="false">
      <c r="A8624" s="103"/>
      <c r="B8624" s="104"/>
      <c r="C8624" s="104"/>
      <c r="E8624" s="107" t="str">
        <f aca="false">IF($C8624="","",IFERROR(INDEX(المنيو!$C$2:$C$500,MATCH($C8624,المنيو!$B$2:$B$500,0)),0))</f>
        <v/>
      </c>
      <c r="F8624" s="107" t="str">
        <f aca="false">IF($C8624="","",$D8624*$E8624)</f>
        <v/>
      </c>
      <c r="G8624" s="107" t="str">
        <f aca="false">IF($C8624="","",$D8624*IFERROR(INDEX('تحليل التكلفة والسعر'!$C$2:$C$700,MATCH($C8624,'تحليل التكلفة والسعر'!$B$2:$B$700,0)),0))</f>
        <v/>
      </c>
    </row>
    <row r="8625" customFormat="false" ht="15" hidden="false" customHeight="false" outlineLevel="0" collapsed="false">
      <c r="A8625" s="103"/>
      <c r="B8625" s="104"/>
      <c r="C8625" s="104"/>
      <c r="E8625" s="107" t="str">
        <f aca="false">IF($C8625="","",IFERROR(INDEX(المنيو!$C$2:$C$500,MATCH($C8625,المنيو!$B$2:$B$500,0)),0))</f>
        <v/>
      </c>
      <c r="F8625" s="107" t="str">
        <f aca="false">IF($C8625="","",$D8625*$E8625)</f>
        <v/>
      </c>
      <c r="G8625" s="107" t="str">
        <f aca="false">IF($C8625="","",$D8625*IFERROR(INDEX('تحليل التكلفة والسعر'!$C$2:$C$700,MATCH($C8625,'تحليل التكلفة والسعر'!$B$2:$B$700,0)),0))</f>
        <v/>
      </c>
    </row>
    <row r="8626" customFormat="false" ht="15" hidden="false" customHeight="false" outlineLevel="0" collapsed="false">
      <c r="A8626" s="103"/>
      <c r="B8626" s="104"/>
      <c r="C8626" s="104"/>
      <c r="E8626" s="107" t="str">
        <f aca="false">IF($C8626="","",IFERROR(INDEX(المنيو!$C$2:$C$500,MATCH($C8626,المنيو!$B$2:$B$500,0)),0))</f>
        <v/>
      </c>
      <c r="F8626" s="107" t="str">
        <f aca="false">IF($C8626="","",$D8626*$E8626)</f>
        <v/>
      </c>
      <c r="G8626" s="107" t="str">
        <f aca="false">IF($C8626="","",$D8626*IFERROR(INDEX('تحليل التكلفة والسعر'!$C$2:$C$700,MATCH($C8626,'تحليل التكلفة والسعر'!$B$2:$B$700,0)),0))</f>
        <v/>
      </c>
    </row>
    <row r="8627" customFormat="false" ht="15" hidden="false" customHeight="false" outlineLevel="0" collapsed="false">
      <c r="A8627" s="103"/>
      <c r="B8627" s="104"/>
      <c r="C8627" s="104"/>
      <c r="E8627" s="107" t="str">
        <f aca="false">IF($C8627="","",IFERROR(INDEX(المنيو!$C$2:$C$500,MATCH($C8627,المنيو!$B$2:$B$500,0)),0))</f>
        <v/>
      </c>
      <c r="F8627" s="107" t="str">
        <f aca="false">IF($C8627="","",$D8627*$E8627)</f>
        <v/>
      </c>
      <c r="G8627" s="107" t="str">
        <f aca="false">IF($C8627="","",$D8627*IFERROR(INDEX('تحليل التكلفة والسعر'!$C$2:$C$700,MATCH($C8627,'تحليل التكلفة والسعر'!$B$2:$B$700,0)),0))</f>
        <v/>
      </c>
    </row>
    <row r="8628" customFormat="false" ht="15" hidden="false" customHeight="false" outlineLevel="0" collapsed="false">
      <c r="A8628" s="103"/>
      <c r="B8628" s="104"/>
      <c r="C8628" s="104"/>
      <c r="E8628" s="107" t="str">
        <f aca="false">IF($C8628="","",IFERROR(INDEX(المنيو!$C$2:$C$500,MATCH($C8628,المنيو!$B$2:$B$500,0)),0))</f>
        <v/>
      </c>
      <c r="F8628" s="107" t="str">
        <f aca="false">IF($C8628="","",$D8628*$E8628)</f>
        <v/>
      </c>
      <c r="G8628" s="107" t="str">
        <f aca="false">IF($C8628="","",$D8628*IFERROR(INDEX('تحليل التكلفة والسعر'!$C$2:$C$700,MATCH($C8628,'تحليل التكلفة والسعر'!$B$2:$B$700,0)),0))</f>
        <v/>
      </c>
    </row>
    <row r="8629" customFormat="false" ht="15" hidden="false" customHeight="false" outlineLevel="0" collapsed="false">
      <c r="A8629" s="103"/>
      <c r="B8629" s="104"/>
      <c r="C8629" s="104"/>
      <c r="E8629" s="107" t="str">
        <f aca="false">IF($C8629="","",IFERROR(INDEX(المنيو!$C$2:$C$500,MATCH($C8629,المنيو!$B$2:$B$500,0)),0))</f>
        <v/>
      </c>
      <c r="F8629" s="107" t="str">
        <f aca="false">IF($C8629="","",$D8629*$E8629)</f>
        <v/>
      </c>
      <c r="G8629" s="107" t="str">
        <f aca="false">IF($C8629="","",$D8629*IFERROR(INDEX('تحليل التكلفة والسعر'!$C$2:$C$700,MATCH($C8629,'تحليل التكلفة والسعر'!$B$2:$B$700,0)),0))</f>
        <v/>
      </c>
    </row>
    <row r="8630" customFormat="false" ht="15" hidden="false" customHeight="false" outlineLevel="0" collapsed="false">
      <c r="A8630" s="103"/>
      <c r="B8630" s="104"/>
      <c r="C8630" s="104"/>
      <c r="E8630" s="107" t="str">
        <f aca="false">IF($C8630="","",IFERROR(INDEX(المنيو!$C$2:$C$500,MATCH($C8630,المنيو!$B$2:$B$500,0)),0))</f>
        <v/>
      </c>
      <c r="F8630" s="107" t="str">
        <f aca="false">IF($C8630="","",$D8630*$E8630)</f>
        <v/>
      </c>
      <c r="G8630" s="107" t="str">
        <f aca="false">IF($C8630="","",$D8630*IFERROR(INDEX('تحليل التكلفة والسعر'!$C$2:$C$700,MATCH($C8630,'تحليل التكلفة والسعر'!$B$2:$B$700,0)),0))</f>
        <v/>
      </c>
    </row>
    <row r="8631" customFormat="false" ht="15" hidden="false" customHeight="false" outlineLevel="0" collapsed="false">
      <c r="A8631" s="103"/>
      <c r="B8631" s="104"/>
      <c r="C8631" s="104"/>
      <c r="E8631" s="107" t="str">
        <f aca="false">IF($C8631="","",IFERROR(INDEX(المنيو!$C$2:$C$500,MATCH($C8631,المنيو!$B$2:$B$500,0)),0))</f>
        <v/>
      </c>
      <c r="F8631" s="107" t="str">
        <f aca="false">IF($C8631="","",$D8631*$E8631)</f>
        <v/>
      </c>
      <c r="G8631" s="107" t="str">
        <f aca="false">IF($C8631="","",$D8631*IFERROR(INDEX('تحليل التكلفة والسعر'!$C$2:$C$700,MATCH($C8631,'تحليل التكلفة والسعر'!$B$2:$B$700,0)),0))</f>
        <v/>
      </c>
    </row>
    <row r="8632" customFormat="false" ht="15" hidden="false" customHeight="false" outlineLevel="0" collapsed="false">
      <c r="A8632" s="103"/>
      <c r="B8632" s="104"/>
      <c r="C8632" s="104"/>
      <c r="E8632" s="107" t="str">
        <f aca="false">IF($C8632="","",IFERROR(INDEX(المنيو!$C$2:$C$500,MATCH($C8632,المنيو!$B$2:$B$500,0)),0))</f>
        <v/>
      </c>
      <c r="F8632" s="107" t="str">
        <f aca="false">IF($C8632="","",$D8632*$E8632)</f>
        <v/>
      </c>
      <c r="G8632" s="107" t="str">
        <f aca="false">IF($C8632="","",$D8632*IFERROR(INDEX('تحليل التكلفة والسعر'!$C$2:$C$700,MATCH($C8632,'تحليل التكلفة والسعر'!$B$2:$B$700,0)),0))</f>
        <v/>
      </c>
    </row>
    <row r="8633" customFormat="false" ht="15" hidden="false" customHeight="false" outlineLevel="0" collapsed="false">
      <c r="A8633" s="103"/>
      <c r="B8633" s="104"/>
      <c r="C8633" s="104"/>
      <c r="E8633" s="107" t="str">
        <f aca="false">IF($C8633="","",IFERROR(INDEX(المنيو!$C$2:$C$500,MATCH($C8633,المنيو!$B$2:$B$500,0)),0))</f>
        <v/>
      </c>
      <c r="F8633" s="107" t="str">
        <f aca="false">IF($C8633="","",$D8633*$E8633)</f>
        <v/>
      </c>
      <c r="G8633" s="107" t="str">
        <f aca="false">IF($C8633="","",$D8633*IFERROR(INDEX('تحليل التكلفة والسعر'!$C$2:$C$700,MATCH($C8633,'تحليل التكلفة والسعر'!$B$2:$B$700,0)),0))</f>
        <v/>
      </c>
    </row>
    <row r="8634" customFormat="false" ht="15" hidden="false" customHeight="false" outlineLevel="0" collapsed="false">
      <c r="A8634" s="103"/>
      <c r="B8634" s="104"/>
      <c r="C8634" s="104"/>
      <c r="E8634" s="107" t="str">
        <f aca="false">IF($C8634="","",IFERROR(INDEX(المنيو!$C$2:$C$500,MATCH($C8634,المنيو!$B$2:$B$500,0)),0))</f>
        <v/>
      </c>
      <c r="F8634" s="107" t="str">
        <f aca="false">IF($C8634="","",$D8634*$E8634)</f>
        <v/>
      </c>
      <c r="G8634" s="107" t="str">
        <f aca="false">IF($C8634="","",$D8634*IFERROR(INDEX('تحليل التكلفة والسعر'!$C$2:$C$700,MATCH($C8634,'تحليل التكلفة والسعر'!$B$2:$B$700,0)),0))</f>
        <v/>
      </c>
    </row>
    <row r="8635" customFormat="false" ht="15" hidden="false" customHeight="false" outlineLevel="0" collapsed="false">
      <c r="A8635" s="103"/>
      <c r="B8635" s="104"/>
      <c r="C8635" s="104"/>
      <c r="E8635" s="107" t="str">
        <f aca="false">IF($C8635="","",IFERROR(INDEX(المنيو!$C$2:$C$500,MATCH($C8635,المنيو!$B$2:$B$500,0)),0))</f>
        <v/>
      </c>
      <c r="F8635" s="107" t="str">
        <f aca="false">IF($C8635="","",$D8635*$E8635)</f>
        <v/>
      </c>
      <c r="G8635" s="107" t="str">
        <f aca="false">IF($C8635="","",$D8635*IFERROR(INDEX('تحليل التكلفة والسعر'!$C$2:$C$700,MATCH($C8635,'تحليل التكلفة والسعر'!$B$2:$B$700,0)),0))</f>
        <v/>
      </c>
    </row>
    <row r="8636" customFormat="false" ht="15" hidden="false" customHeight="false" outlineLevel="0" collapsed="false">
      <c r="A8636" s="103"/>
      <c r="B8636" s="104"/>
      <c r="C8636" s="104"/>
      <c r="E8636" s="107" t="str">
        <f aca="false">IF($C8636="","",IFERROR(INDEX(المنيو!$C$2:$C$500,MATCH($C8636,المنيو!$B$2:$B$500,0)),0))</f>
        <v/>
      </c>
      <c r="F8636" s="107" t="str">
        <f aca="false">IF($C8636="","",$D8636*$E8636)</f>
        <v/>
      </c>
      <c r="G8636" s="107" t="str">
        <f aca="false">IF($C8636="","",$D8636*IFERROR(INDEX('تحليل التكلفة والسعر'!$C$2:$C$700,MATCH($C8636,'تحليل التكلفة والسعر'!$B$2:$B$700,0)),0))</f>
        <v/>
      </c>
    </row>
    <row r="8637" customFormat="false" ht="15" hidden="false" customHeight="false" outlineLevel="0" collapsed="false">
      <c r="A8637" s="103"/>
      <c r="B8637" s="104"/>
      <c r="C8637" s="104"/>
      <c r="E8637" s="107" t="str">
        <f aca="false">IF($C8637="","",IFERROR(INDEX(المنيو!$C$2:$C$500,MATCH($C8637,المنيو!$B$2:$B$500,0)),0))</f>
        <v/>
      </c>
      <c r="F8637" s="107" t="str">
        <f aca="false">IF($C8637="","",$D8637*$E8637)</f>
        <v/>
      </c>
      <c r="G8637" s="107" t="str">
        <f aca="false">IF($C8637="","",$D8637*IFERROR(INDEX('تحليل التكلفة والسعر'!$C$2:$C$700,MATCH($C8637,'تحليل التكلفة والسعر'!$B$2:$B$700,0)),0))</f>
        <v/>
      </c>
    </row>
    <row r="8638" customFormat="false" ht="15" hidden="false" customHeight="false" outlineLevel="0" collapsed="false">
      <c r="A8638" s="103"/>
      <c r="B8638" s="104"/>
      <c r="C8638" s="104"/>
      <c r="E8638" s="107" t="str">
        <f aca="false">IF($C8638="","",IFERROR(INDEX(المنيو!$C$2:$C$500,MATCH($C8638,المنيو!$B$2:$B$500,0)),0))</f>
        <v/>
      </c>
      <c r="F8638" s="107" t="str">
        <f aca="false">IF($C8638="","",$D8638*$E8638)</f>
        <v/>
      </c>
      <c r="G8638" s="107" t="str">
        <f aca="false">IF($C8638="","",$D8638*IFERROR(INDEX('تحليل التكلفة والسعر'!$C$2:$C$700,MATCH($C8638,'تحليل التكلفة والسعر'!$B$2:$B$700,0)),0))</f>
        <v/>
      </c>
    </row>
    <row r="8639" customFormat="false" ht="15" hidden="false" customHeight="false" outlineLevel="0" collapsed="false">
      <c r="A8639" s="103"/>
      <c r="B8639" s="104"/>
      <c r="C8639" s="104"/>
      <c r="E8639" s="107" t="str">
        <f aca="false">IF($C8639="","",IFERROR(INDEX(المنيو!$C$2:$C$500,MATCH($C8639,المنيو!$B$2:$B$500,0)),0))</f>
        <v/>
      </c>
      <c r="F8639" s="107" t="str">
        <f aca="false">IF($C8639="","",$D8639*$E8639)</f>
        <v/>
      </c>
      <c r="G8639" s="107" t="str">
        <f aca="false">IF($C8639="","",$D8639*IFERROR(INDEX('تحليل التكلفة والسعر'!$C$2:$C$700,MATCH($C8639,'تحليل التكلفة والسعر'!$B$2:$B$700,0)),0))</f>
        <v/>
      </c>
    </row>
    <row r="8640" customFormat="false" ht="15" hidden="false" customHeight="false" outlineLevel="0" collapsed="false">
      <c r="A8640" s="103"/>
      <c r="B8640" s="104"/>
      <c r="C8640" s="104"/>
      <c r="E8640" s="107" t="str">
        <f aca="false">IF($C8640="","",IFERROR(INDEX(المنيو!$C$2:$C$500,MATCH($C8640,المنيو!$B$2:$B$500,0)),0))</f>
        <v/>
      </c>
      <c r="F8640" s="107" t="str">
        <f aca="false">IF($C8640="","",$D8640*$E8640)</f>
        <v/>
      </c>
      <c r="G8640" s="107" t="str">
        <f aca="false">IF($C8640="","",$D8640*IFERROR(INDEX('تحليل التكلفة والسعر'!$C$2:$C$700,MATCH($C8640,'تحليل التكلفة والسعر'!$B$2:$B$700,0)),0))</f>
        <v/>
      </c>
    </row>
    <row r="8641" customFormat="false" ht="15" hidden="false" customHeight="false" outlineLevel="0" collapsed="false">
      <c r="A8641" s="103"/>
      <c r="B8641" s="104"/>
      <c r="C8641" s="104"/>
      <c r="E8641" s="107" t="str">
        <f aca="false">IF($C8641="","",IFERROR(INDEX(المنيو!$C$2:$C$500,MATCH($C8641,المنيو!$B$2:$B$500,0)),0))</f>
        <v/>
      </c>
      <c r="F8641" s="107" t="str">
        <f aca="false">IF($C8641="","",$D8641*$E8641)</f>
        <v/>
      </c>
      <c r="G8641" s="107" t="str">
        <f aca="false">IF($C8641="","",$D8641*IFERROR(INDEX('تحليل التكلفة والسعر'!$C$2:$C$700,MATCH($C8641,'تحليل التكلفة والسعر'!$B$2:$B$700,0)),0))</f>
        <v/>
      </c>
    </row>
    <row r="8642" customFormat="false" ht="15" hidden="false" customHeight="false" outlineLevel="0" collapsed="false">
      <c r="A8642" s="103"/>
      <c r="B8642" s="104"/>
      <c r="C8642" s="104"/>
      <c r="E8642" s="107" t="str">
        <f aca="false">IF($C8642="","",IFERROR(INDEX(المنيو!$C$2:$C$500,MATCH($C8642,المنيو!$B$2:$B$500,0)),0))</f>
        <v/>
      </c>
      <c r="F8642" s="107" t="str">
        <f aca="false">IF($C8642="","",$D8642*$E8642)</f>
        <v/>
      </c>
      <c r="G8642" s="107" t="str">
        <f aca="false">IF($C8642="","",$D8642*IFERROR(INDEX('تحليل التكلفة والسعر'!$C$2:$C$700,MATCH($C8642,'تحليل التكلفة والسعر'!$B$2:$B$700,0)),0))</f>
        <v/>
      </c>
    </row>
    <row r="8643" customFormat="false" ht="15" hidden="false" customHeight="false" outlineLevel="0" collapsed="false">
      <c r="A8643" s="103"/>
      <c r="B8643" s="104"/>
      <c r="C8643" s="104"/>
      <c r="E8643" s="107" t="str">
        <f aca="false">IF($C8643="","",IFERROR(INDEX(المنيو!$C$2:$C$500,MATCH($C8643,المنيو!$B$2:$B$500,0)),0))</f>
        <v/>
      </c>
      <c r="F8643" s="107" t="str">
        <f aca="false">IF($C8643="","",$D8643*$E8643)</f>
        <v/>
      </c>
      <c r="G8643" s="107" t="str">
        <f aca="false">IF($C8643="","",$D8643*IFERROR(INDEX('تحليل التكلفة والسعر'!$C$2:$C$700,MATCH($C8643,'تحليل التكلفة والسعر'!$B$2:$B$700,0)),0))</f>
        <v/>
      </c>
    </row>
    <row r="8644" customFormat="false" ht="15" hidden="false" customHeight="false" outlineLevel="0" collapsed="false">
      <c r="A8644" s="103"/>
      <c r="B8644" s="104"/>
      <c r="C8644" s="104"/>
      <c r="E8644" s="107" t="str">
        <f aca="false">IF($C8644="","",IFERROR(INDEX(المنيو!$C$2:$C$500,MATCH($C8644,المنيو!$B$2:$B$500,0)),0))</f>
        <v/>
      </c>
      <c r="F8644" s="107" t="str">
        <f aca="false">IF($C8644="","",$D8644*$E8644)</f>
        <v/>
      </c>
      <c r="G8644" s="107" t="str">
        <f aca="false">IF($C8644="","",$D8644*IFERROR(INDEX('تحليل التكلفة والسعر'!$C$2:$C$700,MATCH($C8644,'تحليل التكلفة والسعر'!$B$2:$B$700,0)),0))</f>
        <v/>
      </c>
    </row>
    <row r="8645" customFormat="false" ht="15" hidden="false" customHeight="false" outlineLevel="0" collapsed="false">
      <c r="A8645" s="103"/>
      <c r="B8645" s="104"/>
      <c r="C8645" s="104"/>
      <c r="E8645" s="107" t="str">
        <f aca="false">IF($C8645="","",IFERROR(INDEX(المنيو!$C$2:$C$500,MATCH($C8645,المنيو!$B$2:$B$500,0)),0))</f>
        <v/>
      </c>
      <c r="F8645" s="107" t="str">
        <f aca="false">IF($C8645="","",$D8645*$E8645)</f>
        <v/>
      </c>
      <c r="G8645" s="107" t="str">
        <f aca="false">IF($C8645="","",$D8645*IFERROR(INDEX('تحليل التكلفة والسعر'!$C$2:$C$700,MATCH($C8645,'تحليل التكلفة والسعر'!$B$2:$B$700,0)),0))</f>
        <v/>
      </c>
    </row>
    <row r="8646" customFormat="false" ht="15" hidden="false" customHeight="false" outlineLevel="0" collapsed="false">
      <c r="A8646" s="103"/>
      <c r="B8646" s="104"/>
      <c r="C8646" s="104"/>
      <c r="E8646" s="107" t="str">
        <f aca="false">IF($C8646="","",IFERROR(INDEX(المنيو!$C$2:$C$500,MATCH($C8646,المنيو!$B$2:$B$500,0)),0))</f>
        <v/>
      </c>
      <c r="F8646" s="107" t="str">
        <f aca="false">IF($C8646="","",$D8646*$E8646)</f>
        <v/>
      </c>
      <c r="G8646" s="107" t="str">
        <f aca="false">IF($C8646="","",$D8646*IFERROR(INDEX('تحليل التكلفة والسعر'!$C$2:$C$700,MATCH($C8646,'تحليل التكلفة والسعر'!$B$2:$B$700,0)),0))</f>
        <v/>
      </c>
    </row>
    <row r="8647" customFormat="false" ht="15" hidden="false" customHeight="false" outlineLevel="0" collapsed="false">
      <c r="A8647" s="103"/>
      <c r="B8647" s="104"/>
      <c r="C8647" s="104"/>
      <c r="E8647" s="107" t="str">
        <f aca="false">IF($C8647="","",IFERROR(INDEX(المنيو!$C$2:$C$500,MATCH($C8647,المنيو!$B$2:$B$500,0)),0))</f>
        <v/>
      </c>
      <c r="F8647" s="107" t="str">
        <f aca="false">IF($C8647="","",$D8647*$E8647)</f>
        <v/>
      </c>
      <c r="G8647" s="107" t="str">
        <f aca="false">IF($C8647="","",$D8647*IFERROR(INDEX('تحليل التكلفة والسعر'!$C$2:$C$700,MATCH($C8647,'تحليل التكلفة والسعر'!$B$2:$B$700,0)),0))</f>
        <v/>
      </c>
    </row>
    <row r="8648" customFormat="false" ht="15" hidden="false" customHeight="false" outlineLevel="0" collapsed="false">
      <c r="A8648" s="103"/>
      <c r="B8648" s="104"/>
      <c r="C8648" s="104"/>
      <c r="E8648" s="107" t="str">
        <f aca="false">IF($C8648="","",IFERROR(INDEX(المنيو!$C$2:$C$500,MATCH($C8648,المنيو!$B$2:$B$500,0)),0))</f>
        <v/>
      </c>
      <c r="F8648" s="107" t="str">
        <f aca="false">IF($C8648="","",$D8648*$E8648)</f>
        <v/>
      </c>
      <c r="G8648" s="107" t="str">
        <f aca="false">IF($C8648="","",$D8648*IFERROR(INDEX('تحليل التكلفة والسعر'!$C$2:$C$700,MATCH($C8648,'تحليل التكلفة والسعر'!$B$2:$B$700,0)),0))</f>
        <v/>
      </c>
    </row>
    <row r="8649" customFormat="false" ht="15" hidden="false" customHeight="false" outlineLevel="0" collapsed="false">
      <c r="A8649" s="103"/>
      <c r="B8649" s="104"/>
      <c r="C8649" s="104"/>
      <c r="E8649" s="107" t="str">
        <f aca="false">IF($C8649="","",IFERROR(INDEX(المنيو!$C$2:$C$500,MATCH($C8649,المنيو!$B$2:$B$500,0)),0))</f>
        <v/>
      </c>
      <c r="F8649" s="107" t="str">
        <f aca="false">IF($C8649="","",$D8649*$E8649)</f>
        <v/>
      </c>
      <c r="G8649" s="107" t="str">
        <f aca="false">IF($C8649="","",$D8649*IFERROR(INDEX('تحليل التكلفة والسعر'!$C$2:$C$700,MATCH($C8649,'تحليل التكلفة والسعر'!$B$2:$B$700,0)),0))</f>
        <v/>
      </c>
    </row>
    <row r="8650" customFormat="false" ht="15" hidden="false" customHeight="false" outlineLevel="0" collapsed="false">
      <c r="A8650" s="103"/>
      <c r="B8650" s="104"/>
      <c r="C8650" s="104"/>
      <c r="E8650" s="107" t="str">
        <f aca="false">IF($C8650="","",IFERROR(INDEX(المنيو!$C$2:$C$500,MATCH($C8650,المنيو!$B$2:$B$500,0)),0))</f>
        <v/>
      </c>
      <c r="F8650" s="107" t="str">
        <f aca="false">IF($C8650="","",$D8650*$E8650)</f>
        <v/>
      </c>
      <c r="G8650" s="107" t="str">
        <f aca="false">IF($C8650="","",$D8650*IFERROR(INDEX('تحليل التكلفة والسعر'!$C$2:$C$700,MATCH($C8650,'تحليل التكلفة والسعر'!$B$2:$B$700,0)),0))</f>
        <v/>
      </c>
    </row>
    <row r="8651" customFormat="false" ht="15" hidden="false" customHeight="false" outlineLevel="0" collapsed="false">
      <c r="A8651" s="103"/>
      <c r="B8651" s="104"/>
      <c r="C8651" s="104"/>
      <c r="E8651" s="107" t="str">
        <f aca="false">IF($C8651="","",IFERROR(INDEX(المنيو!$C$2:$C$500,MATCH($C8651,المنيو!$B$2:$B$500,0)),0))</f>
        <v/>
      </c>
      <c r="F8651" s="107" t="str">
        <f aca="false">IF($C8651="","",$D8651*$E8651)</f>
        <v/>
      </c>
      <c r="G8651" s="107" t="str">
        <f aca="false">IF($C8651="","",$D8651*IFERROR(INDEX('تحليل التكلفة والسعر'!$C$2:$C$700,MATCH($C8651,'تحليل التكلفة والسعر'!$B$2:$B$700,0)),0))</f>
        <v/>
      </c>
    </row>
    <row r="8652" customFormat="false" ht="15" hidden="false" customHeight="false" outlineLevel="0" collapsed="false">
      <c r="A8652" s="103"/>
      <c r="B8652" s="104"/>
      <c r="C8652" s="104"/>
      <c r="E8652" s="107" t="str">
        <f aca="false">IF($C8652="","",IFERROR(INDEX(المنيو!$C$2:$C$500,MATCH($C8652,المنيو!$B$2:$B$500,0)),0))</f>
        <v/>
      </c>
      <c r="F8652" s="107" t="str">
        <f aca="false">IF($C8652="","",$D8652*$E8652)</f>
        <v/>
      </c>
      <c r="G8652" s="107" t="str">
        <f aca="false">IF($C8652="","",$D8652*IFERROR(INDEX('تحليل التكلفة والسعر'!$C$2:$C$700,MATCH($C8652,'تحليل التكلفة والسعر'!$B$2:$B$700,0)),0))</f>
        <v/>
      </c>
    </row>
    <row r="8653" customFormat="false" ht="15" hidden="false" customHeight="false" outlineLevel="0" collapsed="false">
      <c r="A8653" s="103"/>
      <c r="B8653" s="104"/>
      <c r="C8653" s="104"/>
      <c r="E8653" s="107" t="str">
        <f aca="false">IF($C8653="","",IFERROR(INDEX(المنيو!$C$2:$C$500,MATCH($C8653,المنيو!$B$2:$B$500,0)),0))</f>
        <v/>
      </c>
      <c r="F8653" s="107" t="str">
        <f aca="false">IF($C8653="","",$D8653*$E8653)</f>
        <v/>
      </c>
      <c r="G8653" s="107" t="str">
        <f aca="false">IF($C8653="","",$D8653*IFERROR(INDEX('تحليل التكلفة والسعر'!$C$2:$C$700,MATCH($C8653,'تحليل التكلفة والسعر'!$B$2:$B$700,0)),0))</f>
        <v/>
      </c>
    </row>
    <row r="8654" customFormat="false" ht="15" hidden="false" customHeight="false" outlineLevel="0" collapsed="false">
      <c r="A8654" s="103"/>
      <c r="B8654" s="104"/>
      <c r="C8654" s="104"/>
      <c r="E8654" s="107" t="str">
        <f aca="false">IF($C8654="","",IFERROR(INDEX(المنيو!$C$2:$C$500,MATCH($C8654,المنيو!$B$2:$B$500,0)),0))</f>
        <v/>
      </c>
      <c r="F8654" s="107" t="str">
        <f aca="false">IF($C8654="","",$D8654*$E8654)</f>
        <v/>
      </c>
      <c r="G8654" s="107" t="str">
        <f aca="false">IF($C8654="","",$D8654*IFERROR(INDEX('تحليل التكلفة والسعر'!$C$2:$C$700,MATCH($C8654,'تحليل التكلفة والسعر'!$B$2:$B$700,0)),0))</f>
        <v/>
      </c>
    </row>
    <row r="8655" customFormat="false" ht="15" hidden="false" customHeight="false" outlineLevel="0" collapsed="false">
      <c r="A8655" s="103"/>
      <c r="B8655" s="104"/>
      <c r="C8655" s="104"/>
      <c r="E8655" s="107" t="str">
        <f aca="false">IF($C8655="","",IFERROR(INDEX(المنيو!$C$2:$C$500,MATCH($C8655,المنيو!$B$2:$B$500,0)),0))</f>
        <v/>
      </c>
      <c r="F8655" s="107" t="str">
        <f aca="false">IF($C8655="","",$D8655*$E8655)</f>
        <v/>
      </c>
      <c r="G8655" s="107" t="str">
        <f aca="false">IF($C8655="","",$D8655*IFERROR(INDEX('تحليل التكلفة والسعر'!$C$2:$C$700,MATCH($C8655,'تحليل التكلفة والسعر'!$B$2:$B$700,0)),0))</f>
        <v/>
      </c>
    </row>
    <row r="8656" customFormat="false" ht="15" hidden="false" customHeight="false" outlineLevel="0" collapsed="false">
      <c r="A8656" s="103"/>
      <c r="B8656" s="104"/>
      <c r="C8656" s="104"/>
      <c r="E8656" s="107" t="str">
        <f aca="false">IF($C8656="","",IFERROR(INDEX(المنيو!$C$2:$C$500,MATCH($C8656,المنيو!$B$2:$B$500,0)),0))</f>
        <v/>
      </c>
      <c r="F8656" s="107" t="str">
        <f aca="false">IF($C8656="","",$D8656*$E8656)</f>
        <v/>
      </c>
      <c r="G8656" s="107" t="str">
        <f aca="false">IF($C8656="","",$D8656*IFERROR(INDEX('تحليل التكلفة والسعر'!$C$2:$C$700,MATCH($C8656,'تحليل التكلفة والسعر'!$B$2:$B$700,0)),0))</f>
        <v/>
      </c>
    </row>
    <row r="8657" customFormat="false" ht="15" hidden="false" customHeight="false" outlineLevel="0" collapsed="false">
      <c r="A8657" s="103"/>
      <c r="B8657" s="104"/>
      <c r="C8657" s="104"/>
      <c r="E8657" s="107" t="str">
        <f aca="false">IF($C8657="","",IFERROR(INDEX(المنيو!$C$2:$C$500,MATCH($C8657,المنيو!$B$2:$B$500,0)),0))</f>
        <v/>
      </c>
      <c r="F8657" s="107" t="str">
        <f aca="false">IF($C8657="","",$D8657*$E8657)</f>
        <v/>
      </c>
      <c r="G8657" s="107" t="str">
        <f aca="false">IF($C8657="","",$D8657*IFERROR(INDEX('تحليل التكلفة والسعر'!$C$2:$C$700,MATCH($C8657,'تحليل التكلفة والسعر'!$B$2:$B$700,0)),0))</f>
        <v/>
      </c>
    </row>
    <row r="8658" customFormat="false" ht="15" hidden="false" customHeight="false" outlineLevel="0" collapsed="false">
      <c r="A8658" s="103"/>
      <c r="B8658" s="104"/>
      <c r="C8658" s="104"/>
      <c r="E8658" s="107" t="str">
        <f aca="false">IF($C8658="","",IFERROR(INDEX(المنيو!$C$2:$C$500,MATCH($C8658,المنيو!$B$2:$B$500,0)),0))</f>
        <v/>
      </c>
      <c r="F8658" s="107" t="str">
        <f aca="false">IF($C8658="","",$D8658*$E8658)</f>
        <v/>
      </c>
      <c r="G8658" s="107" t="str">
        <f aca="false">IF($C8658="","",$D8658*IFERROR(INDEX('تحليل التكلفة والسعر'!$C$2:$C$700,MATCH($C8658,'تحليل التكلفة والسعر'!$B$2:$B$700,0)),0))</f>
        <v/>
      </c>
    </row>
    <row r="8659" customFormat="false" ht="15" hidden="false" customHeight="false" outlineLevel="0" collapsed="false">
      <c r="A8659" s="103"/>
      <c r="B8659" s="104"/>
      <c r="C8659" s="104"/>
      <c r="E8659" s="107" t="str">
        <f aca="false">IF($C8659="","",IFERROR(INDEX(المنيو!$C$2:$C$500,MATCH($C8659,المنيو!$B$2:$B$500,0)),0))</f>
        <v/>
      </c>
      <c r="F8659" s="107" t="str">
        <f aca="false">IF($C8659="","",$D8659*$E8659)</f>
        <v/>
      </c>
      <c r="G8659" s="107" t="str">
        <f aca="false">IF($C8659="","",$D8659*IFERROR(INDEX('تحليل التكلفة والسعر'!$C$2:$C$700,MATCH($C8659,'تحليل التكلفة والسعر'!$B$2:$B$700,0)),0))</f>
        <v/>
      </c>
    </row>
    <row r="8660" customFormat="false" ht="15" hidden="false" customHeight="false" outlineLevel="0" collapsed="false">
      <c r="A8660" s="103"/>
      <c r="B8660" s="104"/>
      <c r="C8660" s="104"/>
      <c r="E8660" s="107" t="str">
        <f aca="false">IF($C8660="","",IFERROR(INDEX(المنيو!$C$2:$C$500,MATCH($C8660,المنيو!$B$2:$B$500,0)),0))</f>
        <v/>
      </c>
      <c r="F8660" s="107" t="str">
        <f aca="false">IF($C8660="","",$D8660*$E8660)</f>
        <v/>
      </c>
      <c r="G8660" s="107" t="str">
        <f aca="false">IF($C8660="","",$D8660*IFERROR(INDEX('تحليل التكلفة والسعر'!$C$2:$C$700,MATCH($C8660,'تحليل التكلفة والسعر'!$B$2:$B$700,0)),0))</f>
        <v/>
      </c>
    </row>
    <row r="8661" customFormat="false" ht="15" hidden="false" customHeight="false" outlineLevel="0" collapsed="false">
      <c r="A8661" s="103"/>
      <c r="B8661" s="104"/>
      <c r="C8661" s="104"/>
      <c r="E8661" s="107" t="str">
        <f aca="false">IF($C8661="","",IFERROR(INDEX(المنيو!$C$2:$C$500,MATCH($C8661,المنيو!$B$2:$B$500,0)),0))</f>
        <v/>
      </c>
      <c r="F8661" s="107" t="str">
        <f aca="false">IF($C8661="","",$D8661*$E8661)</f>
        <v/>
      </c>
      <c r="G8661" s="107" t="str">
        <f aca="false">IF($C8661="","",$D8661*IFERROR(INDEX('تحليل التكلفة والسعر'!$C$2:$C$700,MATCH($C8661,'تحليل التكلفة والسعر'!$B$2:$B$700,0)),0))</f>
        <v/>
      </c>
    </row>
    <row r="8662" customFormat="false" ht="15" hidden="false" customHeight="false" outlineLevel="0" collapsed="false">
      <c r="A8662" s="103"/>
      <c r="B8662" s="104"/>
      <c r="C8662" s="104"/>
      <c r="E8662" s="107" t="str">
        <f aca="false">IF($C8662="","",IFERROR(INDEX(المنيو!$C$2:$C$500,MATCH($C8662,المنيو!$B$2:$B$500,0)),0))</f>
        <v/>
      </c>
      <c r="F8662" s="107" t="str">
        <f aca="false">IF($C8662="","",$D8662*$E8662)</f>
        <v/>
      </c>
      <c r="G8662" s="107" t="str">
        <f aca="false">IF($C8662="","",$D8662*IFERROR(INDEX('تحليل التكلفة والسعر'!$C$2:$C$700,MATCH($C8662,'تحليل التكلفة والسعر'!$B$2:$B$700,0)),0))</f>
        <v/>
      </c>
    </row>
    <row r="8663" customFormat="false" ht="15" hidden="false" customHeight="false" outlineLevel="0" collapsed="false">
      <c r="A8663" s="103"/>
      <c r="B8663" s="104"/>
      <c r="C8663" s="104"/>
      <c r="E8663" s="107" t="str">
        <f aca="false">IF($C8663="","",IFERROR(INDEX(المنيو!$C$2:$C$500,MATCH($C8663,المنيو!$B$2:$B$500,0)),0))</f>
        <v/>
      </c>
      <c r="F8663" s="107" t="str">
        <f aca="false">IF($C8663="","",$D8663*$E8663)</f>
        <v/>
      </c>
      <c r="G8663" s="107" t="str">
        <f aca="false">IF($C8663="","",$D8663*IFERROR(INDEX('تحليل التكلفة والسعر'!$C$2:$C$700,MATCH($C8663,'تحليل التكلفة والسعر'!$B$2:$B$700,0)),0))</f>
        <v/>
      </c>
    </row>
    <row r="8664" customFormat="false" ht="15" hidden="false" customHeight="false" outlineLevel="0" collapsed="false">
      <c r="A8664" s="103"/>
      <c r="B8664" s="104"/>
      <c r="C8664" s="104"/>
      <c r="E8664" s="107" t="str">
        <f aca="false">IF($C8664="","",IFERROR(INDEX(المنيو!$C$2:$C$500,MATCH($C8664,المنيو!$B$2:$B$500,0)),0))</f>
        <v/>
      </c>
      <c r="F8664" s="107" t="str">
        <f aca="false">IF($C8664="","",$D8664*$E8664)</f>
        <v/>
      </c>
      <c r="G8664" s="107" t="str">
        <f aca="false">IF($C8664="","",$D8664*IFERROR(INDEX('تحليل التكلفة والسعر'!$C$2:$C$700,MATCH($C8664,'تحليل التكلفة والسعر'!$B$2:$B$700,0)),0))</f>
        <v/>
      </c>
    </row>
    <row r="8665" customFormat="false" ht="15" hidden="false" customHeight="false" outlineLevel="0" collapsed="false">
      <c r="A8665" s="103"/>
      <c r="B8665" s="104"/>
      <c r="C8665" s="104"/>
      <c r="E8665" s="107" t="str">
        <f aca="false">IF($C8665="","",IFERROR(INDEX(المنيو!$C$2:$C$500,MATCH($C8665,المنيو!$B$2:$B$500,0)),0))</f>
        <v/>
      </c>
      <c r="F8665" s="107" t="str">
        <f aca="false">IF($C8665="","",$D8665*$E8665)</f>
        <v/>
      </c>
      <c r="G8665" s="107" t="str">
        <f aca="false">IF($C8665="","",$D8665*IFERROR(INDEX('تحليل التكلفة والسعر'!$C$2:$C$700,MATCH($C8665,'تحليل التكلفة والسعر'!$B$2:$B$700,0)),0))</f>
        <v/>
      </c>
    </row>
    <row r="8666" customFormat="false" ht="15" hidden="false" customHeight="false" outlineLevel="0" collapsed="false">
      <c r="A8666" s="103"/>
      <c r="B8666" s="104"/>
      <c r="C8666" s="104"/>
      <c r="E8666" s="107" t="str">
        <f aca="false">IF($C8666="","",IFERROR(INDEX(المنيو!$C$2:$C$500,MATCH($C8666,المنيو!$B$2:$B$500,0)),0))</f>
        <v/>
      </c>
      <c r="F8666" s="107" t="str">
        <f aca="false">IF($C8666="","",$D8666*$E8666)</f>
        <v/>
      </c>
      <c r="G8666" s="107" t="str">
        <f aca="false">IF($C8666="","",$D8666*IFERROR(INDEX('تحليل التكلفة والسعر'!$C$2:$C$700,MATCH($C8666,'تحليل التكلفة والسعر'!$B$2:$B$700,0)),0))</f>
        <v/>
      </c>
    </row>
    <row r="8667" customFormat="false" ht="15" hidden="false" customHeight="false" outlineLevel="0" collapsed="false">
      <c r="A8667" s="103"/>
      <c r="B8667" s="104"/>
      <c r="C8667" s="104"/>
      <c r="E8667" s="107" t="str">
        <f aca="false">IF($C8667="","",IFERROR(INDEX(المنيو!$C$2:$C$500,MATCH($C8667,المنيو!$B$2:$B$500,0)),0))</f>
        <v/>
      </c>
      <c r="F8667" s="107" t="str">
        <f aca="false">IF($C8667="","",$D8667*$E8667)</f>
        <v/>
      </c>
      <c r="G8667" s="107" t="str">
        <f aca="false">IF($C8667="","",$D8667*IFERROR(INDEX('تحليل التكلفة والسعر'!$C$2:$C$700,MATCH($C8667,'تحليل التكلفة والسعر'!$B$2:$B$700,0)),0))</f>
        <v/>
      </c>
    </row>
    <row r="8668" customFormat="false" ht="15" hidden="false" customHeight="false" outlineLevel="0" collapsed="false">
      <c r="A8668" s="103"/>
      <c r="B8668" s="104"/>
      <c r="C8668" s="104"/>
      <c r="E8668" s="107" t="str">
        <f aca="false">IF($C8668="","",IFERROR(INDEX(المنيو!$C$2:$C$500,MATCH($C8668,المنيو!$B$2:$B$500,0)),0))</f>
        <v/>
      </c>
      <c r="F8668" s="107" t="str">
        <f aca="false">IF($C8668="","",$D8668*$E8668)</f>
        <v/>
      </c>
      <c r="G8668" s="107" t="str">
        <f aca="false">IF($C8668="","",$D8668*IFERROR(INDEX('تحليل التكلفة والسعر'!$C$2:$C$700,MATCH($C8668,'تحليل التكلفة والسعر'!$B$2:$B$700,0)),0))</f>
        <v/>
      </c>
    </row>
    <row r="8669" customFormat="false" ht="15" hidden="false" customHeight="false" outlineLevel="0" collapsed="false">
      <c r="A8669" s="103"/>
      <c r="B8669" s="104"/>
      <c r="C8669" s="104"/>
      <c r="E8669" s="107" t="str">
        <f aca="false">IF($C8669="","",IFERROR(INDEX(المنيو!$C$2:$C$500,MATCH($C8669,المنيو!$B$2:$B$500,0)),0))</f>
        <v/>
      </c>
      <c r="F8669" s="107" t="str">
        <f aca="false">IF($C8669="","",$D8669*$E8669)</f>
        <v/>
      </c>
      <c r="G8669" s="107" t="str">
        <f aca="false">IF($C8669="","",$D8669*IFERROR(INDEX('تحليل التكلفة والسعر'!$C$2:$C$700,MATCH($C8669,'تحليل التكلفة والسعر'!$B$2:$B$700,0)),0))</f>
        <v/>
      </c>
    </row>
    <row r="8670" customFormat="false" ht="15" hidden="false" customHeight="false" outlineLevel="0" collapsed="false">
      <c r="A8670" s="103"/>
      <c r="B8670" s="104"/>
      <c r="C8670" s="104"/>
      <c r="E8670" s="107" t="str">
        <f aca="false">IF($C8670="","",IFERROR(INDEX(المنيو!$C$2:$C$500,MATCH($C8670,المنيو!$B$2:$B$500,0)),0))</f>
        <v/>
      </c>
      <c r="F8670" s="107" t="str">
        <f aca="false">IF($C8670="","",$D8670*$E8670)</f>
        <v/>
      </c>
      <c r="G8670" s="107" t="str">
        <f aca="false">IF($C8670="","",$D8670*IFERROR(INDEX('تحليل التكلفة والسعر'!$C$2:$C$700,MATCH($C8670,'تحليل التكلفة والسعر'!$B$2:$B$700,0)),0))</f>
        <v/>
      </c>
    </row>
    <row r="8671" customFormat="false" ht="15" hidden="false" customHeight="false" outlineLevel="0" collapsed="false">
      <c r="A8671" s="103"/>
      <c r="B8671" s="104"/>
      <c r="C8671" s="104"/>
      <c r="E8671" s="107" t="str">
        <f aca="false">IF($C8671="","",IFERROR(INDEX(المنيو!$C$2:$C$500,MATCH($C8671,المنيو!$B$2:$B$500,0)),0))</f>
        <v/>
      </c>
      <c r="F8671" s="107" t="str">
        <f aca="false">IF($C8671="","",$D8671*$E8671)</f>
        <v/>
      </c>
      <c r="G8671" s="107" t="str">
        <f aca="false">IF($C8671="","",$D8671*IFERROR(INDEX('تحليل التكلفة والسعر'!$C$2:$C$700,MATCH($C8671,'تحليل التكلفة والسعر'!$B$2:$B$700,0)),0))</f>
        <v/>
      </c>
    </row>
    <row r="8672" customFormat="false" ht="15" hidden="false" customHeight="false" outlineLevel="0" collapsed="false">
      <c r="A8672" s="103"/>
      <c r="B8672" s="104"/>
      <c r="C8672" s="104"/>
      <c r="E8672" s="107" t="str">
        <f aca="false">IF($C8672="","",IFERROR(INDEX(المنيو!$C$2:$C$500,MATCH($C8672,المنيو!$B$2:$B$500,0)),0))</f>
        <v/>
      </c>
      <c r="F8672" s="107" t="str">
        <f aca="false">IF($C8672="","",$D8672*$E8672)</f>
        <v/>
      </c>
      <c r="G8672" s="107" t="str">
        <f aca="false">IF($C8672="","",$D8672*IFERROR(INDEX('تحليل التكلفة والسعر'!$C$2:$C$700,MATCH($C8672,'تحليل التكلفة والسعر'!$B$2:$B$700,0)),0))</f>
        <v/>
      </c>
    </row>
    <row r="8673" customFormat="false" ht="15" hidden="false" customHeight="false" outlineLevel="0" collapsed="false">
      <c r="A8673" s="103"/>
      <c r="B8673" s="104"/>
      <c r="C8673" s="104"/>
      <c r="E8673" s="107" t="str">
        <f aca="false">IF($C8673="","",IFERROR(INDEX(المنيو!$C$2:$C$500,MATCH($C8673,المنيو!$B$2:$B$500,0)),0))</f>
        <v/>
      </c>
      <c r="F8673" s="107" t="str">
        <f aca="false">IF($C8673="","",$D8673*$E8673)</f>
        <v/>
      </c>
      <c r="G8673" s="107" t="str">
        <f aca="false">IF($C8673="","",$D8673*IFERROR(INDEX('تحليل التكلفة والسعر'!$C$2:$C$700,MATCH($C8673,'تحليل التكلفة والسعر'!$B$2:$B$700,0)),0))</f>
        <v/>
      </c>
    </row>
    <row r="8674" customFormat="false" ht="15" hidden="false" customHeight="false" outlineLevel="0" collapsed="false">
      <c r="A8674" s="103"/>
      <c r="B8674" s="104"/>
      <c r="C8674" s="104"/>
      <c r="E8674" s="107" t="str">
        <f aca="false">IF($C8674="","",IFERROR(INDEX(المنيو!$C$2:$C$500,MATCH($C8674,المنيو!$B$2:$B$500,0)),0))</f>
        <v/>
      </c>
      <c r="F8674" s="107" t="str">
        <f aca="false">IF($C8674="","",$D8674*$E8674)</f>
        <v/>
      </c>
      <c r="G8674" s="107" t="str">
        <f aca="false">IF($C8674="","",$D8674*IFERROR(INDEX('تحليل التكلفة والسعر'!$C$2:$C$700,MATCH($C8674,'تحليل التكلفة والسعر'!$B$2:$B$700,0)),0))</f>
        <v/>
      </c>
    </row>
    <row r="8675" customFormat="false" ht="15" hidden="false" customHeight="false" outlineLevel="0" collapsed="false">
      <c r="A8675" s="103"/>
      <c r="B8675" s="104"/>
      <c r="C8675" s="104"/>
      <c r="E8675" s="107" t="str">
        <f aca="false">IF($C8675="","",IFERROR(INDEX(المنيو!$C$2:$C$500,MATCH($C8675,المنيو!$B$2:$B$500,0)),0))</f>
        <v/>
      </c>
      <c r="F8675" s="107" t="str">
        <f aca="false">IF($C8675="","",$D8675*$E8675)</f>
        <v/>
      </c>
      <c r="G8675" s="107" t="str">
        <f aca="false">IF($C8675="","",$D8675*IFERROR(INDEX('تحليل التكلفة والسعر'!$C$2:$C$700,MATCH($C8675,'تحليل التكلفة والسعر'!$B$2:$B$700,0)),0))</f>
        <v/>
      </c>
    </row>
    <row r="8676" customFormat="false" ht="15" hidden="false" customHeight="false" outlineLevel="0" collapsed="false">
      <c r="A8676" s="103"/>
      <c r="B8676" s="104"/>
      <c r="C8676" s="104"/>
      <c r="E8676" s="107" t="str">
        <f aca="false">IF($C8676="","",IFERROR(INDEX(المنيو!$C$2:$C$500,MATCH($C8676,المنيو!$B$2:$B$500,0)),0))</f>
        <v/>
      </c>
      <c r="F8676" s="107" t="str">
        <f aca="false">IF($C8676="","",$D8676*$E8676)</f>
        <v/>
      </c>
      <c r="G8676" s="107" t="str">
        <f aca="false">IF($C8676="","",$D8676*IFERROR(INDEX('تحليل التكلفة والسعر'!$C$2:$C$700,MATCH($C8676,'تحليل التكلفة والسعر'!$B$2:$B$700,0)),0))</f>
        <v/>
      </c>
    </row>
    <row r="8677" customFormat="false" ht="15" hidden="false" customHeight="false" outlineLevel="0" collapsed="false">
      <c r="A8677" s="103"/>
      <c r="B8677" s="104"/>
      <c r="C8677" s="104"/>
      <c r="E8677" s="107" t="str">
        <f aca="false">IF($C8677="","",IFERROR(INDEX(المنيو!$C$2:$C$500,MATCH($C8677,المنيو!$B$2:$B$500,0)),0))</f>
        <v/>
      </c>
      <c r="F8677" s="107" t="str">
        <f aca="false">IF($C8677="","",$D8677*$E8677)</f>
        <v/>
      </c>
      <c r="G8677" s="107" t="str">
        <f aca="false">IF($C8677="","",$D8677*IFERROR(INDEX('تحليل التكلفة والسعر'!$C$2:$C$700,MATCH($C8677,'تحليل التكلفة والسعر'!$B$2:$B$700,0)),0))</f>
        <v/>
      </c>
    </row>
    <row r="8678" customFormat="false" ht="15" hidden="false" customHeight="false" outlineLevel="0" collapsed="false">
      <c r="A8678" s="103"/>
      <c r="B8678" s="104"/>
      <c r="C8678" s="104"/>
      <c r="E8678" s="107" t="str">
        <f aca="false">IF($C8678="","",IFERROR(INDEX(المنيو!$C$2:$C$500,MATCH($C8678,المنيو!$B$2:$B$500,0)),0))</f>
        <v/>
      </c>
      <c r="F8678" s="107" t="str">
        <f aca="false">IF($C8678="","",$D8678*$E8678)</f>
        <v/>
      </c>
      <c r="G8678" s="107" t="str">
        <f aca="false">IF($C8678="","",$D8678*IFERROR(INDEX('تحليل التكلفة والسعر'!$C$2:$C$700,MATCH($C8678,'تحليل التكلفة والسعر'!$B$2:$B$700,0)),0))</f>
        <v/>
      </c>
    </row>
    <row r="8679" customFormat="false" ht="15" hidden="false" customHeight="false" outlineLevel="0" collapsed="false">
      <c r="A8679" s="103"/>
      <c r="B8679" s="104"/>
      <c r="C8679" s="104"/>
      <c r="E8679" s="107" t="str">
        <f aca="false">IF($C8679="","",IFERROR(INDEX(المنيو!$C$2:$C$500,MATCH($C8679,المنيو!$B$2:$B$500,0)),0))</f>
        <v/>
      </c>
      <c r="F8679" s="107" t="str">
        <f aca="false">IF($C8679="","",$D8679*$E8679)</f>
        <v/>
      </c>
      <c r="G8679" s="107" t="str">
        <f aca="false">IF($C8679="","",$D8679*IFERROR(INDEX('تحليل التكلفة والسعر'!$C$2:$C$700,MATCH($C8679,'تحليل التكلفة والسعر'!$B$2:$B$700,0)),0))</f>
        <v/>
      </c>
    </row>
    <row r="8680" customFormat="false" ht="15" hidden="false" customHeight="false" outlineLevel="0" collapsed="false">
      <c r="A8680" s="103"/>
      <c r="B8680" s="104"/>
      <c r="C8680" s="104"/>
      <c r="E8680" s="107" t="str">
        <f aca="false">IF($C8680="","",IFERROR(INDEX(المنيو!$C$2:$C$500,MATCH($C8680,المنيو!$B$2:$B$500,0)),0))</f>
        <v/>
      </c>
      <c r="F8680" s="107" t="str">
        <f aca="false">IF($C8680="","",$D8680*$E8680)</f>
        <v/>
      </c>
      <c r="G8680" s="107" t="str">
        <f aca="false">IF($C8680="","",$D8680*IFERROR(INDEX('تحليل التكلفة والسعر'!$C$2:$C$700,MATCH($C8680,'تحليل التكلفة والسعر'!$B$2:$B$700,0)),0))</f>
        <v/>
      </c>
    </row>
    <row r="8681" customFormat="false" ht="15" hidden="false" customHeight="false" outlineLevel="0" collapsed="false">
      <c r="A8681" s="103"/>
      <c r="B8681" s="104"/>
      <c r="C8681" s="104"/>
      <c r="E8681" s="107" t="str">
        <f aca="false">IF($C8681="","",IFERROR(INDEX(المنيو!$C$2:$C$500,MATCH($C8681,المنيو!$B$2:$B$500,0)),0))</f>
        <v/>
      </c>
      <c r="F8681" s="107" t="str">
        <f aca="false">IF($C8681="","",$D8681*$E8681)</f>
        <v/>
      </c>
      <c r="G8681" s="107" t="str">
        <f aca="false">IF($C8681="","",$D8681*IFERROR(INDEX('تحليل التكلفة والسعر'!$C$2:$C$700,MATCH($C8681,'تحليل التكلفة والسعر'!$B$2:$B$700,0)),0))</f>
        <v/>
      </c>
    </row>
    <row r="8682" customFormat="false" ht="15" hidden="false" customHeight="false" outlineLevel="0" collapsed="false">
      <c r="A8682" s="103"/>
      <c r="B8682" s="104"/>
      <c r="C8682" s="104"/>
      <c r="E8682" s="107" t="str">
        <f aca="false">IF($C8682="","",IFERROR(INDEX(المنيو!$C$2:$C$500,MATCH($C8682,المنيو!$B$2:$B$500,0)),0))</f>
        <v/>
      </c>
      <c r="F8682" s="107" t="str">
        <f aca="false">IF($C8682="","",$D8682*$E8682)</f>
        <v/>
      </c>
      <c r="G8682" s="107" t="str">
        <f aca="false">IF($C8682="","",$D8682*IFERROR(INDEX('تحليل التكلفة والسعر'!$C$2:$C$700,MATCH($C8682,'تحليل التكلفة والسعر'!$B$2:$B$700,0)),0))</f>
        <v/>
      </c>
    </row>
    <row r="8683" customFormat="false" ht="15" hidden="false" customHeight="false" outlineLevel="0" collapsed="false">
      <c r="A8683" s="103"/>
      <c r="B8683" s="104"/>
      <c r="C8683" s="104"/>
      <c r="E8683" s="107" t="str">
        <f aca="false">IF($C8683="","",IFERROR(INDEX(المنيو!$C$2:$C$500,MATCH($C8683,المنيو!$B$2:$B$500,0)),0))</f>
        <v/>
      </c>
      <c r="F8683" s="107" t="str">
        <f aca="false">IF($C8683="","",$D8683*$E8683)</f>
        <v/>
      </c>
      <c r="G8683" s="107" t="str">
        <f aca="false">IF($C8683="","",$D8683*IFERROR(INDEX('تحليل التكلفة والسعر'!$C$2:$C$700,MATCH($C8683,'تحليل التكلفة والسعر'!$B$2:$B$700,0)),0))</f>
        <v/>
      </c>
    </row>
    <row r="8684" customFormat="false" ht="15" hidden="false" customHeight="false" outlineLevel="0" collapsed="false">
      <c r="A8684" s="103"/>
      <c r="B8684" s="104"/>
      <c r="C8684" s="104"/>
      <c r="E8684" s="107" t="str">
        <f aca="false">IF($C8684="","",IFERROR(INDEX(المنيو!$C$2:$C$500,MATCH($C8684,المنيو!$B$2:$B$500,0)),0))</f>
        <v/>
      </c>
      <c r="F8684" s="107" t="str">
        <f aca="false">IF($C8684="","",$D8684*$E8684)</f>
        <v/>
      </c>
      <c r="G8684" s="107" t="str">
        <f aca="false">IF($C8684="","",$D8684*IFERROR(INDEX('تحليل التكلفة والسعر'!$C$2:$C$700,MATCH($C8684,'تحليل التكلفة والسعر'!$B$2:$B$700,0)),0))</f>
        <v/>
      </c>
    </row>
    <row r="8685" customFormat="false" ht="15" hidden="false" customHeight="false" outlineLevel="0" collapsed="false">
      <c r="A8685" s="103"/>
      <c r="B8685" s="104"/>
      <c r="C8685" s="104"/>
      <c r="E8685" s="107" t="str">
        <f aca="false">IF($C8685="","",IFERROR(INDEX(المنيو!$C$2:$C$500,MATCH($C8685,المنيو!$B$2:$B$500,0)),0))</f>
        <v/>
      </c>
      <c r="F8685" s="107" t="str">
        <f aca="false">IF($C8685="","",$D8685*$E8685)</f>
        <v/>
      </c>
      <c r="G8685" s="107" t="str">
        <f aca="false">IF($C8685="","",$D8685*IFERROR(INDEX('تحليل التكلفة والسعر'!$C$2:$C$700,MATCH($C8685,'تحليل التكلفة والسعر'!$B$2:$B$700,0)),0))</f>
        <v/>
      </c>
    </row>
    <row r="8686" customFormat="false" ht="15" hidden="false" customHeight="false" outlineLevel="0" collapsed="false">
      <c r="A8686" s="103"/>
      <c r="B8686" s="104"/>
      <c r="C8686" s="104"/>
      <c r="E8686" s="107" t="str">
        <f aca="false">IF($C8686="","",IFERROR(INDEX(المنيو!$C$2:$C$500,MATCH($C8686,المنيو!$B$2:$B$500,0)),0))</f>
        <v/>
      </c>
      <c r="F8686" s="107" t="str">
        <f aca="false">IF($C8686="","",$D8686*$E8686)</f>
        <v/>
      </c>
      <c r="G8686" s="107" t="str">
        <f aca="false">IF($C8686="","",$D8686*IFERROR(INDEX('تحليل التكلفة والسعر'!$C$2:$C$700,MATCH($C8686,'تحليل التكلفة والسعر'!$B$2:$B$700,0)),0))</f>
        <v/>
      </c>
    </row>
    <row r="8687" customFormat="false" ht="15" hidden="false" customHeight="false" outlineLevel="0" collapsed="false">
      <c r="A8687" s="103"/>
      <c r="B8687" s="104"/>
      <c r="C8687" s="104"/>
      <c r="E8687" s="107" t="str">
        <f aca="false">IF($C8687="","",IFERROR(INDEX(المنيو!$C$2:$C$500,MATCH($C8687,المنيو!$B$2:$B$500,0)),0))</f>
        <v/>
      </c>
      <c r="F8687" s="107" t="str">
        <f aca="false">IF($C8687="","",$D8687*$E8687)</f>
        <v/>
      </c>
      <c r="G8687" s="107" t="str">
        <f aca="false">IF($C8687="","",$D8687*IFERROR(INDEX('تحليل التكلفة والسعر'!$C$2:$C$700,MATCH($C8687,'تحليل التكلفة والسعر'!$B$2:$B$700,0)),0))</f>
        <v/>
      </c>
    </row>
    <row r="8688" customFormat="false" ht="15" hidden="false" customHeight="false" outlineLevel="0" collapsed="false">
      <c r="A8688" s="103"/>
      <c r="B8688" s="104"/>
      <c r="C8688" s="104"/>
      <c r="E8688" s="107" t="str">
        <f aca="false">IF($C8688="","",IFERROR(INDEX(المنيو!$C$2:$C$500,MATCH($C8688,المنيو!$B$2:$B$500,0)),0))</f>
        <v/>
      </c>
      <c r="F8688" s="107" t="str">
        <f aca="false">IF($C8688="","",$D8688*$E8688)</f>
        <v/>
      </c>
      <c r="G8688" s="107" t="str">
        <f aca="false">IF($C8688="","",$D8688*IFERROR(INDEX('تحليل التكلفة والسعر'!$C$2:$C$700,MATCH($C8688,'تحليل التكلفة والسعر'!$B$2:$B$700,0)),0))</f>
        <v/>
      </c>
    </row>
    <row r="8689" customFormat="false" ht="15" hidden="false" customHeight="false" outlineLevel="0" collapsed="false">
      <c r="A8689" s="103"/>
      <c r="B8689" s="104"/>
      <c r="C8689" s="104"/>
      <c r="E8689" s="107" t="str">
        <f aca="false">IF($C8689="","",IFERROR(INDEX(المنيو!$C$2:$C$500,MATCH($C8689,المنيو!$B$2:$B$500,0)),0))</f>
        <v/>
      </c>
      <c r="F8689" s="107" t="str">
        <f aca="false">IF($C8689="","",$D8689*$E8689)</f>
        <v/>
      </c>
      <c r="G8689" s="107" t="str">
        <f aca="false">IF($C8689="","",$D8689*IFERROR(INDEX('تحليل التكلفة والسعر'!$C$2:$C$700,MATCH($C8689,'تحليل التكلفة والسعر'!$B$2:$B$700,0)),0))</f>
        <v/>
      </c>
    </row>
    <row r="8690" customFormat="false" ht="15" hidden="false" customHeight="false" outlineLevel="0" collapsed="false">
      <c r="A8690" s="103"/>
      <c r="B8690" s="104"/>
      <c r="C8690" s="104"/>
      <c r="E8690" s="107" t="str">
        <f aca="false">IF($C8690="","",IFERROR(INDEX(المنيو!$C$2:$C$500,MATCH($C8690,المنيو!$B$2:$B$500,0)),0))</f>
        <v/>
      </c>
      <c r="F8690" s="107" t="str">
        <f aca="false">IF($C8690="","",$D8690*$E8690)</f>
        <v/>
      </c>
      <c r="G8690" s="107" t="str">
        <f aca="false">IF($C8690="","",$D8690*IFERROR(INDEX('تحليل التكلفة والسعر'!$C$2:$C$700,MATCH($C8690,'تحليل التكلفة والسعر'!$B$2:$B$700,0)),0))</f>
        <v/>
      </c>
    </row>
    <row r="8691" customFormat="false" ht="15" hidden="false" customHeight="false" outlineLevel="0" collapsed="false">
      <c r="A8691" s="103"/>
      <c r="B8691" s="104"/>
      <c r="C8691" s="104"/>
      <c r="E8691" s="107" t="str">
        <f aca="false">IF($C8691="","",IFERROR(INDEX(المنيو!$C$2:$C$500,MATCH($C8691,المنيو!$B$2:$B$500,0)),0))</f>
        <v/>
      </c>
      <c r="F8691" s="107" t="str">
        <f aca="false">IF($C8691="","",$D8691*$E8691)</f>
        <v/>
      </c>
      <c r="G8691" s="107" t="str">
        <f aca="false">IF($C8691="","",$D8691*IFERROR(INDEX('تحليل التكلفة والسعر'!$C$2:$C$700,MATCH($C8691,'تحليل التكلفة والسعر'!$B$2:$B$700,0)),0))</f>
        <v/>
      </c>
    </row>
    <row r="8692" customFormat="false" ht="15" hidden="false" customHeight="false" outlineLevel="0" collapsed="false">
      <c r="A8692" s="103"/>
      <c r="B8692" s="104"/>
      <c r="C8692" s="104"/>
      <c r="E8692" s="107" t="str">
        <f aca="false">IF($C8692="","",IFERROR(INDEX(المنيو!$C$2:$C$500,MATCH($C8692,المنيو!$B$2:$B$500,0)),0))</f>
        <v/>
      </c>
      <c r="F8692" s="107" t="str">
        <f aca="false">IF($C8692="","",$D8692*$E8692)</f>
        <v/>
      </c>
      <c r="G8692" s="107" t="str">
        <f aca="false">IF($C8692="","",$D8692*IFERROR(INDEX('تحليل التكلفة والسعر'!$C$2:$C$700,MATCH($C8692,'تحليل التكلفة والسعر'!$B$2:$B$700,0)),0))</f>
        <v/>
      </c>
    </row>
    <row r="8693" customFormat="false" ht="15" hidden="false" customHeight="false" outlineLevel="0" collapsed="false">
      <c r="A8693" s="103"/>
      <c r="B8693" s="104"/>
      <c r="C8693" s="104"/>
      <c r="E8693" s="107" t="str">
        <f aca="false">IF($C8693="","",IFERROR(INDEX(المنيو!$C$2:$C$500,MATCH($C8693,المنيو!$B$2:$B$500,0)),0))</f>
        <v/>
      </c>
      <c r="F8693" s="107" t="str">
        <f aca="false">IF($C8693="","",$D8693*$E8693)</f>
        <v/>
      </c>
      <c r="G8693" s="107" t="str">
        <f aca="false">IF($C8693="","",$D8693*IFERROR(INDEX('تحليل التكلفة والسعر'!$C$2:$C$700,MATCH($C8693,'تحليل التكلفة والسعر'!$B$2:$B$700,0)),0))</f>
        <v/>
      </c>
    </row>
    <row r="8694" customFormat="false" ht="15" hidden="false" customHeight="false" outlineLevel="0" collapsed="false">
      <c r="A8694" s="103"/>
      <c r="B8694" s="104"/>
      <c r="C8694" s="104"/>
      <c r="E8694" s="107" t="str">
        <f aca="false">IF($C8694="","",IFERROR(INDEX(المنيو!$C$2:$C$500,MATCH($C8694,المنيو!$B$2:$B$500,0)),0))</f>
        <v/>
      </c>
      <c r="F8694" s="107" t="str">
        <f aca="false">IF($C8694="","",$D8694*$E8694)</f>
        <v/>
      </c>
      <c r="G8694" s="107" t="str">
        <f aca="false">IF($C8694="","",$D8694*IFERROR(INDEX('تحليل التكلفة والسعر'!$C$2:$C$700,MATCH($C8694,'تحليل التكلفة والسعر'!$B$2:$B$700,0)),0))</f>
        <v/>
      </c>
    </row>
    <row r="8695" customFormat="false" ht="15" hidden="false" customHeight="false" outlineLevel="0" collapsed="false">
      <c r="A8695" s="103"/>
      <c r="B8695" s="104"/>
      <c r="C8695" s="104"/>
      <c r="E8695" s="107" t="str">
        <f aca="false">IF($C8695="","",IFERROR(INDEX(المنيو!$C$2:$C$500,MATCH($C8695,المنيو!$B$2:$B$500,0)),0))</f>
        <v/>
      </c>
      <c r="F8695" s="107" t="str">
        <f aca="false">IF($C8695="","",$D8695*$E8695)</f>
        <v/>
      </c>
      <c r="G8695" s="107" t="str">
        <f aca="false">IF($C8695="","",$D8695*IFERROR(INDEX('تحليل التكلفة والسعر'!$C$2:$C$700,MATCH($C8695,'تحليل التكلفة والسعر'!$B$2:$B$700,0)),0))</f>
        <v/>
      </c>
    </row>
    <row r="8696" customFormat="false" ht="15" hidden="false" customHeight="false" outlineLevel="0" collapsed="false">
      <c r="A8696" s="103"/>
      <c r="B8696" s="104"/>
      <c r="C8696" s="104"/>
      <c r="E8696" s="107" t="str">
        <f aca="false">IF($C8696="","",IFERROR(INDEX(المنيو!$C$2:$C$500,MATCH($C8696,المنيو!$B$2:$B$500,0)),0))</f>
        <v/>
      </c>
      <c r="F8696" s="107" t="str">
        <f aca="false">IF($C8696="","",$D8696*$E8696)</f>
        <v/>
      </c>
      <c r="G8696" s="107" t="str">
        <f aca="false">IF($C8696="","",$D8696*IFERROR(INDEX('تحليل التكلفة والسعر'!$C$2:$C$700,MATCH($C8696,'تحليل التكلفة والسعر'!$B$2:$B$700,0)),0))</f>
        <v/>
      </c>
    </row>
    <row r="8697" customFormat="false" ht="15" hidden="false" customHeight="false" outlineLevel="0" collapsed="false">
      <c r="A8697" s="103"/>
      <c r="B8697" s="104"/>
      <c r="C8697" s="104"/>
      <c r="E8697" s="107" t="str">
        <f aca="false">IF($C8697="","",IFERROR(INDEX(المنيو!$C$2:$C$500,MATCH($C8697,المنيو!$B$2:$B$500,0)),0))</f>
        <v/>
      </c>
      <c r="F8697" s="107" t="str">
        <f aca="false">IF($C8697="","",$D8697*$E8697)</f>
        <v/>
      </c>
      <c r="G8697" s="107" t="str">
        <f aca="false">IF($C8697="","",$D8697*IFERROR(INDEX('تحليل التكلفة والسعر'!$C$2:$C$700,MATCH($C8697,'تحليل التكلفة والسعر'!$B$2:$B$700,0)),0))</f>
        <v/>
      </c>
    </row>
    <row r="8698" customFormat="false" ht="15" hidden="false" customHeight="false" outlineLevel="0" collapsed="false">
      <c r="A8698" s="103"/>
      <c r="B8698" s="104"/>
      <c r="C8698" s="104"/>
      <c r="E8698" s="107" t="str">
        <f aca="false">IF($C8698="","",IFERROR(INDEX(المنيو!$C$2:$C$500,MATCH($C8698,المنيو!$B$2:$B$500,0)),0))</f>
        <v/>
      </c>
      <c r="F8698" s="107" t="str">
        <f aca="false">IF($C8698="","",$D8698*$E8698)</f>
        <v/>
      </c>
      <c r="G8698" s="107" t="str">
        <f aca="false">IF($C8698="","",$D8698*IFERROR(INDEX('تحليل التكلفة والسعر'!$C$2:$C$700,MATCH($C8698,'تحليل التكلفة والسعر'!$B$2:$B$700,0)),0))</f>
        <v/>
      </c>
    </row>
    <row r="8699" customFormat="false" ht="15" hidden="false" customHeight="false" outlineLevel="0" collapsed="false">
      <c r="A8699" s="103"/>
      <c r="B8699" s="104"/>
      <c r="C8699" s="104"/>
      <c r="E8699" s="107" t="str">
        <f aca="false">IF($C8699="","",IFERROR(INDEX(المنيو!$C$2:$C$500,MATCH($C8699,المنيو!$B$2:$B$500,0)),0))</f>
        <v/>
      </c>
      <c r="F8699" s="107" t="str">
        <f aca="false">IF($C8699="","",$D8699*$E8699)</f>
        <v/>
      </c>
      <c r="G8699" s="107" t="str">
        <f aca="false">IF($C8699="","",$D8699*IFERROR(INDEX('تحليل التكلفة والسعر'!$C$2:$C$700,MATCH($C8699,'تحليل التكلفة والسعر'!$B$2:$B$700,0)),0))</f>
        <v/>
      </c>
    </row>
    <row r="8700" customFormat="false" ht="15" hidden="false" customHeight="false" outlineLevel="0" collapsed="false">
      <c r="A8700" s="103"/>
      <c r="B8700" s="104"/>
      <c r="C8700" s="104"/>
      <c r="E8700" s="107" t="str">
        <f aca="false">IF($C8700="","",IFERROR(INDEX(المنيو!$C$2:$C$500,MATCH($C8700,المنيو!$B$2:$B$500,0)),0))</f>
        <v/>
      </c>
      <c r="F8700" s="107" t="str">
        <f aca="false">IF($C8700="","",$D8700*$E8700)</f>
        <v/>
      </c>
      <c r="G8700" s="107" t="str">
        <f aca="false">IF($C8700="","",$D8700*IFERROR(INDEX('تحليل التكلفة والسعر'!$C$2:$C$700,MATCH($C8700,'تحليل التكلفة والسعر'!$B$2:$B$700,0)),0))</f>
        <v/>
      </c>
    </row>
    <row r="8701" customFormat="false" ht="15" hidden="false" customHeight="false" outlineLevel="0" collapsed="false">
      <c r="A8701" s="103"/>
      <c r="B8701" s="104"/>
      <c r="C8701" s="104"/>
      <c r="E8701" s="107" t="str">
        <f aca="false">IF($C8701="","",IFERROR(INDEX(المنيو!$C$2:$C$500,MATCH($C8701,المنيو!$B$2:$B$500,0)),0))</f>
        <v/>
      </c>
      <c r="F8701" s="107" t="str">
        <f aca="false">IF($C8701="","",$D8701*$E8701)</f>
        <v/>
      </c>
      <c r="G8701" s="107" t="str">
        <f aca="false">IF($C8701="","",$D8701*IFERROR(INDEX('تحليل التكلفة والسعر'!$C$2:$C$700,MATCH($C8701,'تحليل التكلفة والسعر'!$B$2:$B$700,0)),0))</f>
        <v/>
      </c>
    </row>
    <row r="8702" customFormat="false" ht="15" hidden="false" customHeight="false" outlineLevel="0" collapsed="false">
      <c r="A8702" s="103"/>
      <c r="B8702" s="104"/>
      <c r="C8702" s="104"/>
      <c r="E8702" s="107" t="str">
        <f aca="false">IF($C8702="","",IFERROR(INDEX(المنيو!$C$2:$C$500,MATCH($C8702,المنيو!$B$2:$B$500,0)),0))</f>
        <v/>
      </c>
      <c r="F8702" s="107" t="str">
        <f aca="false">IF($C8702="","",$D8702*$E8702)</f>
        <v/>
      </c>
      <c r="G8702" s="107" t="str">
        <f aca="false">IF($C8702="","",$D8702*IFERROR(INDEX('تحليل التكلفة والسعر'!$C$2:$C$700,MATCH($C8702,'تحليل التكلفة والسعر'!$B$2:$B$700,0)),0))</f>
        <v/>
      </c>
    </row>
    <row r="8703" customFormat="false" ht="15" hidden="false" customHeight="false" outlineLevel="0" collapsed="false">
      <c r="A8703" s="103"/>
      <c r="B8703" s="104"/>
      <c r="C8703" s="104"/>
      <c r="E8703" s="107" t="str">
        <f aca="false">IF($C8703="","",IFERROR(INDEX(المنيو!$C$2:$C$500,MATCH($C8703,المنيو!$B$2:$B$500,0)),0))</f>
        <v/>
      </c>
      <c r="F8703" s="107" t="str">
        <f aca="false">IF($C8703="","",$D8703*$E8703)</f>
        <v/>
      </c>
      <c r="G8703" s="107" t="str">
        <f aca="false">IF($C8703="","",$D8703*IFERROR(INDEX('تحليل التكلفة والسعر'!$C$2:$C$700,MATCH($C8703,'تحليل التكلفة والسعر'!$B$2:$B$700,0)),0))</f>
        <v/>
      </c>
    </row>
    <row r="8704" customFormat="false" ht="15" hidden="false" customHeight="false" outlineLevel="0" collapsed="false">
      <c r="A8704" s="103"/>
      <c r="B8704" s="104"/>
      <c r="C8704" s="104"/>
      <c r="E8704" s="107" t="str">
        <f aca="false">IF($C8704="","",IFERROR(INDEX(المنيو!$C$2:$C$500,MATCH($C8704,المنيو!$B$2:$B$500,0)),0))</f>
        <v/>
      </c>
      <c r="F8704" s="107" t="str">
        <f aca="false">IF($C8704="","",$D8704*$E8704)</f>
        <v/>
      </c>
      <c r="G8704" s="107" t="str">
        <f aca="false">IF($C8704="","",$D8704*IFERROR(INDEX('تحليل التكلفة والسعر'!$C$2:$C$700,MATCH($C8704,'تحليل التكلفة والسعر'!$B$2:$B$700,0)),0))</f>
        <v/>
      </c>
    </row>
    <row r="8705" customFormat="false" ht="15" hidden="false" customHeight="false" outlineLevel="0" collapsed="false">
      <c r="A8705" s="103"/>
      <c r="B8705" s="104"/>
      <c r="C8705" s="104"/>
      <c r="E8705" s="107" t="str">
        <f aca="false">IF($C8705="","",IFERROR(INDEX(المنيو!$C$2:$C$500,MATCH($C8705,المنيو!$B$2:$B$500,0)),0))</f>
        <v/>
      </c>
      <c r="F8705" s="107" t="str">
        <f aca="false">IF($C8705="","",$D8705*$E8705)</f>
        <v/>
      </c>
      <c r="G8705" s="107" t="str">
        <f aca="false">IF($C8705="","",$D8705*IFERROR(INDEX('تحليل التكلفة والسعر'!$C$2:$C$700,MATCH($C8705,'تحليل التكلفة والسعر'!$B$2:$B$700,0)),0))</f>
        <v/>
      </c>
    </row>
    <row r="8706" customFormat="false" ht="15" hidden="false" customHeight="false" outlineLevel="0" collapsed="false">
      <c r="A8706" s="103"/>
      <c r="B8706" s="104"/>
      <c r="C8706" s="104"/>
      <c r="E8706" s="107" t="str">
        <f aca="false">IF($C8706="","",IFERROR(INDEX(المنيو!$C$2:$C$500,MATCH($C8706,المنيو!$B$2:$B$500,0)),0))</f>
        <v/>
      </c>
      <c r="F8706" s="107" t="str">
        <f aca="false">IF($C8706="","",$D8706*$E8706)</f>
        <v/>
      </c>
      <c r="G8706" s="107" t="str">
        <f aca="false">IF($C8706="","",$D8706*IFERROR(INDEX('تحليل التكلفة والسعر'!$C$2:$C$700,MATCH($C8706,'تحليل التكلفة والسعر'!$B$2:$B$700,0)),0))</f>
        <v/>
      </c>
    </row>
    <row r="8707" customFormat="false" ht="15" hidden="false" customHeight="false" outlineLevel="0" collapsed="false">
      <c r="A8707" s="103"/>
      <c r="B8707" s="104"/>
      <c r="C8707" s="104"/>
      <c r="E8707" s="107" t="str">
        <f aca="false">IF($C8707="","",IFERROR(INDEX(المنيو!$C$2:$C$500,MATCH($C8707,المنيو!$B$2:$B$500,0)),0))</f>
        <v/>
      </c>
      <c r="F8707" s="107" t="str">
        <f aca="false">IF($C8707="","",$D8707*$E8707)</f>
        <v/>
      </c>
      <c r="G8707" s="107" t="str">
        <f aca="false">IF($C8707="","",$D8707*IFERROR(INDEX('تحليل التكلفة والسعر'!$C$2:$C$700,MATCH($C8707,'تحليل التكلفة والسعر'!$B$2:$B$700,0)),0))</f>
        <v/>
      </c>
    </row>
    <row r="8708" customFormat="false" ht="15" hidden="false" customHeight="false" outlineLevel="0" collapsed="false">
      <c r="A8708" s="103"/>
      <c r="B8708" s="104"/>
      <c r="C8708" s="104"/>
      <c r="E8708" s="107" t="str">
        <f aca="false">IF($C8708="","",IFERROR(INDEX(المنيو!$C$2:$C$500,MATCH($C8708,المنيو!$B$2:$B$500,0)),0))</f>
        <v/>
      </c>
      <c r="F8708" s="107" t="str">
        <f aca="false">IF($C8708="","",$D8708*$E8708)</f>
        <v/>
      </c>
      <c r="G8708" s="107" t="str">
        <f aca="false">IF($C8708="","",$D8708*IFERROR(INDEX('تحليل التكلفة والسعر'!$C$2:$C$700,MATCH($C8708,'تحليل التكلفة والسعر'!$B$2:$B$700,0)),0))</f>
        <v/>
      </c>
    </row>
    <row r="8709" customFormat="false" ht="15" hidden="false" customHeight="false" outlineLevel="0" collapsed="false">
      <c r="A8709" s="103"/>
      <c r="B8709" s="104"/>
      <c r="C8709" s="104"/>
      <c r="E8709" s="107" t="str">
        <f aca="false">IF($C8709="","",IFERROR(INDEX(المنيو!$C$2:$C$500,MATCH($C8709,المنيو!$B$2:$B$500,0)),0))</f>
        <v/>
      </c>
      <c r="F8709" s="107" t="str">
        <f aca="false">IF($C8709="","",$D8709*$E8709)</f>
        <v/>
      </c>
      <c r="G8709" s="107" t="str">
        <f aca="false">IF($C8709="","",$D8709*IFERROR(INDEX('تحليل التكلفة والسعر'!$C$2:$C$700,MATCH($C8709,'تحليل التكلفة والسعر'!$B$2:$B$700,0)),0))</f>
        <v/>
      </c>
    </row>
    <row r="8710" customFormat="false" ht="15" hidden="false" customHeight="false" outlineLevel="0" collapsed="false">
      <c r="A8710" s="103"/>
      <c r="B8710" s="104"/>
      <c r="C8710" s="104"/>
      <c r="E8710" s="107" t="str">
        <f aca="false">IF($C8710="","",IFERROR(INDEX(المنيو!$C$2:$C$500,MATCH($C8710,المنيو!$B$2:$B$500,0)),0))</f>
        <v/>
      </c>
      <c r="F8710" s="107" t="str">
        <f aca="false">IF($C8710="","",$D8710*$E8710)</f>
        <v/>
      </c>
      <c r="G8710" s="107" t="str">
        <f aca="false">IF($C8710="","",$D8710*IFERROR(INDEX('تحليل التكلفة والسعر'!$C$2:$C$700,MATCH($C8710,'تحليل التكلفة والسعر'!$B$2:$B$700,0)),0))</f>
        <v/>
      </c>
    </row>
    <row r="8711" customFormat="false" ht="15" hidden="false" customHeight="false" outlineLevel="0" collapsed="false">
      <c r="A8711" s="103"/>
      <c r="B8711" s="104"/>
      <c r="C8711" s="104"/>
      <c r="E8711" s="107" t="str">
        <f aca="false">IF($C8711="","",IFERROR(INDEX(المنيو!$C$2:$C$500,MATCH($C8711,المنيو!$B$2:$B$500,0)),0))</f>
        <v/>
      </c>
      <c r="F8711" s="107" t="str">
        <f aca="false">IF($C8711="","",$D8711*$E8711)</f>
        <v/>
      </c>
      <c r="G8711" s="107" t="str">
        <f aca="false">IF($C8711="","",$D8711*IFERROR(INDEX('تحليل التكلفة والسعر'!$C$2:$C$700,MATCH($C8711,'تحليل التكلفة والسعر'!$B$2:$B$700,0)),0))</f>
        <v/>
      </c>
    </row>
    <row r="8712" customFormat="false" ht="15" hidden="false" customHeight="false" outlineLevel="0" collapsed="false">
      <c r="A8712" s="103"/>
      <c r="B8712" s="104"/>
      <c r="C8712" s="104"/>
      <c r="E8712" s="107" t="str">
        <f aca="false">IF($C8712="","",IFERROR(INDEX(المنيو!$C$2:$C$500,MATCH($C8712,المنيو!$B$2:$B$500,0)),0))</f>
        <v/>
      </c>
      <c r="F8712" s="107" t="str">
        <f aca="false">IF($C8712="","",$D8712*$E8712)</f>
        <v/>
      </c>
      <c r="G8712" s="107" t="str">
        <f aca="false">IF($C8712="","",$D8712*IFERROR(INDEX('تحليل التكلفة والسعر'!$C$2:$C$700,MATCH($C8712,'تحليل التكلفة والسعر'!$B$2:$B$700,0)),0))</f>
        <v/>
      </c>
    </row>
    <row r="8713" customFormat="false" ht="15" hidden="false" customHeight="false" outlineLevel="0" collapsed="false">
      <c r="A8713" s="103"/>
      <c r="B8713" s="104"/>
      <c r="C8713" s="104"/>
      <c r="E8713" s="107" t="str">
        <f aca="false">IF($C8713="","",IFERROR(INDEX(المنيو!$C$2:$C$500,MATCH($C8713,المنيو!$B$2:$B$500,0)),0))</f>
        <v/>
      </c>
      <c r="F8713" s="107" t="str">
        <f aca="false">IF($C8713="","",$D8713*$E8713)</f>
        <v/>
      </c>
      <c r="G8713" s="107" t="str">
        <f aca="false">IF($C8713="","",$D8713*IFERROR(INDEX('تحليل التكلفة والسعر'!$C$2:$C$700,MATCH($C8713,'تحليل التكلفة والسعر'!$B$2:$B$700,0)),0))</f>
        <v/>
      </c>
    </row>
    <row r="8714" customFormat="false" ht="15" hidden="false" customHeight="false" outlineLevel="0" collapsed="false">
      <c r="A8714" s="103"/>
      <c r="B8714" s="104"/>
      <c r="C8714" s="104"/>
      <c r="E8714" s="107" t="str">
        <f aca="false">IF($C8714="","",IFERROR(INDEX(المنيو!$C$2:$C$500,MATCH($C8714,المنيو!$B$2:$B$500,0)),0))</f>
        <v/>
      </c>
      <c r="F8714" s="107" t="str">
        <f aca="false">IF($C8714="","",$D8714*$E8714)</f>
        <v/>
      </c>
      <c r="G8714" s="107" t="str">
        <f aca="false">IF($C8714="","",$D8714*IFERROR(INDEX('تحليل التكلفة والسعر'!$C$2:$C$700,MATCH($C8714,'تحليل التكلفة والسعر'!$B$2:$B$700,0)),0))</f>
        <v/>
      </c>
    </row>
    <row r="8715" customFormat="false" ht="15" hidden="false" customHeight="false" outlineLevel="0" collapsed="false">
      <c r="A8715" s="103"/>
      <c r="B8715" s="104"/>
      <c r="C8715" s="104"/>
      <c r="E8715" s="107" t="str">
        <f aca="false">IF($C8715="","",IFERROR(INDEX(المنيو!$C$2:$C$500,MATCH($C8715,المنيو!$B$2:$B$500,0)),0))</f>
        <v/>
      </c>
      <c r="F8715" s="107" t="str">
        <f aca="false">IF($C8715="","",$D8715*$E8715)</f>
        <v/>
      </c>
      <c r="G8715" s="107" t="str">
        <f aca="false">IF($C8715="","",$D8715*IFERROR(INDEX('تحليل التكلفة والسعر'!$C$2:$C$700,MATCH($C8715,'تحليل التكلفة والسعر'!$B$2:$B$700,0)),0))</f>
        <v/>
      </c>
    </row>
    <row r="8716" customFormat="false" ht="15" hidden="false" customHeight="false" outlineLevel="0" collapsed="false">
      <c r="A8716" s="103"/>
      <c r="B8716" s="104"/>
      <c r="C8716" s="104"/>
      <c r="E8716" s="107" t="str">
        <f aca="false">IF($C8716="","",IFERROR(INDEX(المنيو!$C$2:$C$500,MATCH($C8716,المنيو!$B$2:$B$500,0)),0))</f>
        <v/>
      </c>
      <c r="F8716" s="107" t="str">
        <f aca="false">IF($C8716="","",$D8716*$E8716)</f>
        <v/>
      </c>
      <c r="G8716" s="107" t="str">
        <f aca="false">IF($C8716="","",$D8716*IFERROR(INDEX('تحليل التكلفة والسعر'!$C$2:$C$700,MATCH($C8716,'تحليل التكلفة والسعر'!$B$2:$B$700,0)),0))</f>
        <v/>
      </c>
    </row>
    <row r="8717" customFormat="false" ht="15" hidden="false" customHeight="false" outlineLevel="0" collapsed="false">
      <c r="A8717" s="103"/>
      <c r="B8717" s="104"/>
      <c r="C8717" s="104"/>
      <c r="E8717" s="107" t="str">
        <f aca="false">IF($C8717="","",IFERROR(INDEX(المنيو!$C$2:$C$500,MATCH($C8717,المنيو!$B$2:$B$500,0)),0))</f>
        <v/>
      </c>
      <c r="F8717" s="107" t="str">
        <f aca="false">IF($C8717="","",$D8717*$E8717)</f>
        <v/>
      </c>
      <c r="G8717" s="107" t="str">
        <f aca="false">IF($C8717="","",$D8717*IFERROR(INDEX('تحليل التكلفة والسعر'!$C$2:$C$700,MATCH($C8717,'تحليل التكلفة والسعر'!$B$2:$B$700,0)),0))</f>
        <v/>
      </c>
    </row>
    <row r="8718" customFormat="false" ht="15" hidden="false" customHeight="false" outlineLevel="0" collapsed="false">
      <c r="A8718" s="103"/>
      <c r="B8718" s="104"/>
      <c r="C8718" s="104"/>
      <c r="E8718" s="107" t="str">
        <f aca="false">IF($C8718="","",IFERROR(INDEX(المنيو!$C$2:$C$500,MATCH($C8718,المنيو!$B$2:$B$500,0)),0))</f>
        <v/>
      </c>
      <c r="F8718" s="107" t="str">
        <f aca="false">IF($C8718="","",$D8718*$E8718)</f>
        <v/>
      </c>
      <c r="G8718" s="107" t="str">
        <f aca="false">IF($C8718="","",$D8718*IFERROR(INDEX('تحليل التكلفة والسعر'!$C$2:$C$700,MATCH($C8718,'تحليل التكلفة والسعر'!$B$2:$B$700,0)),0))</f>
        <v/>
      </c>
    </row>
    <row r="8719" customFormat="false" ht="15" hidden="false" customHeight="false" outlineLevel="0" collapsed="false">
      <c r="A8719" s="103"/>
      <c r="B8719" s="104"/>
      <c r="C8719" s="104"/>
      <c r="E8719" s="107" t="str">
        <f aca="false">IF($C8719="","",IFERROR(INDEX(المنيو!$C$2:$C$500,MATCH($C8719,المنيو!$B$2:$B$500,0)),0))</f>
        <v/>
      </c>
      <c r="F8719" s="107" t="str">
        <f aca="false">IF($C8719="","",$D8719*$E8719)</f>
        <v/>
      </c>
      <c r="G8719" s="107" t="str">
        <f aca="false">IF($C8719="","",$D8719*IFERROR(INDEX('تحليل التكلفة والسعر'!$C$2:$C$700,MATCH($C8719,'تحليل التكلفة والسعر'!$B$2:$B$700,0)),0))</f>
        <v/>
      </c>
    </row>
    <row r="8720" customFormat="false" ht="15" hidden="false" customHeight="false" outlineLevel="0" collapsed="false">
      <c r="A8720" s="103"/>
      <c r="B8720" s="104"/>
      <c r="C8720" s="104"/>
      <c r="E8720" s="107" t="str">
        <f aca="false">IF($C8720="","",IFERROR(INDEX(المنيو!$C$2:$C$500,MATCH($C8720,المنيو!$B$2:$B$500,0)),0))</f>
        <v/>
      </c>
      <c r="F8720" s="107" t="str">
        <f aca="false">IF($C8720="","",$D8720*$E8720)</f>
        <v/>
      </c>
      <c r="G8720" s="107" t="str">
        <f aca="false">IF($C8720="","",$D8720*IFERROR(INDEX('تحليل التكلفة والسعر'!$C$2:$C$700,MATCH($C8720,'تحليل التكلفة والسعر'!$B$2:$B$700,0)),0))</f>
        <v/>
      </c>
    </row>
    <row r="8721" customFormat="false" ht="15" hidden="false" customHeight="false" outlineLevel="0" collapsed="false">
      <c r="A8721" s="103"/>
      <c r="B8721" s="104"/>
      <c r="C8721" s="104"/>
      <c r="E8721" s="107" t="str">
        <f aca="false">IF($C8721="","",IFERROR(INDEX(المنيو!$C$2:$C$500,MATCH($C8721,المنيو!$B$2:$B$500,0)),0))</f>
        <v/>
      </c>
      <c r="F8721" s="107" t="str">
        <f aca="false">IF($C8721="","",$D8721*$E8721)</f>
        <v/>
      </c>
      <c r="G8721" s="107" t="str">
        <f aca="false">IF($C8721="","",$D8721*IFERROR(INDEX('تحليل التكلفة والسعر'!$C$2:$C$700,MATCH($C8721,'تحليل التكلفة والسعر'!$B$2:$B$700,0)),0))</f>
        <v/>
      </c>
    </row>
    <row r="8722" customFormat="false" ht="15" hidden="false" customHeight="false" outlineLevel="0" collapsed="false">
      <c r="A8722" s="103"/>
      <c r="B8722" s="104"/>
      <c r="C8722" s="104"/>
      <c r="E8722" s="107" t="str">
        <f aca="false">IF($C8722="","",IFERROR(INDEX(المنيو!$C$2:$C$500,MATCH($C8722,المنيو!$B$2:$B$500,0)),0))</f>
        <v/>
      </c>
      <c r="F8722" s="107" t="str">
        <f aca="false">IF($C8722="","",$D8722*$E8722)</f>
        <v/>
      </c>
      <c r="G8722" s="107" t="str">
        <f aca="false">IF($C8722="","",$D8722*IFERROR(INDEX('تحليل التكلفة والسعر'!$C$2:$C$700,MATCH($C8722,'تحليل التكلفة والسعر'!$B$2:$B$700,0)),0))</f>
        <v/>
      </c>
    </row>
    <row r="8723" customFormat="false" ht="15" hidden="false" customHeight="false" outlineLevel="0" collapsed="false">
      <c r="A8723" s="103"/>
      <c r="B8723" s="104"/>
      <c r="C8723" s="104"/>
      <c r="E8723" s="107" t="str">
        <f aca="false">IF($C8723="","",IFERROR(INDEX(المنيو!$C$2:$C$500,MATCH($C8723,المنيو!$B$2:$B$500,0)),0))</f>
        <v/>
      </c>
      <c r="F8723" s="107" t="str">
        <f aca="false">IF($C8723="","",$D8723*$E8723)</f>
        <v/>
      </c>
      <c r="G8723" s="107" t="str">
        <f aca="false">IF($C8723="","",$D8723*IFERROR(INDEX('تحليل التكلفة والسعر'!$C$2:$C$700,MATCH($C8723,'تحليل التكلفة والسعر'!$B$2:$B$700,0)),0))</f>
        <v/>
      </c>
    </row>
    <row r="8724" customFormat="false" ht="15" hidden="false" customHeight="false" outlineLevel="0" collapsed="false">
      <c r="A8724" s="103"/>
      <c r="B8724" s="104"/>
      <c r="C8724" s="104"/>
      <c r="E8724" s="107" t="str">
        <f aca="false">IF($C8724="","",IFERROR(INDEX(المنيو!$C$2:$C$500,MATCH($C8724,المنيو!$B$2:$B$500,0)),0))</f>
        <v/>
      </c>
      <c r="F8724" s="107" t="str">
        <f aca="false">IF($C8724="","",$D8724*$E8724)</f>
        <v/>
      </c>
      <c r="G8724" s="107" t="str">
        <f aca="false">IF($C8724="","",$D8724*IFERROR(INDEX('تحليل التكلفة والسعر'!$C$2:$C$700,MATCH($C8724,'تحليل التكلفة والسعر'!$B$2:$B$700,0)),0))</f>
        <v/>
      </c>
    </row>
    <row r="8725" customFormat="false" ht="15" hidden="false" customHeight="false" outlineLevel="0" collapsed="false">
      <c r="A8725" s="103"/>
      <c r="B8725" s="104"/>
      <c r="C8725" s="104"/>
      <c r="E8725" s="107" t="str">
        <f aca="false">IF($C8725="","",IFERROR(INDEX(المنيو!$C$2:$C$500,MATCH($C8725,المنيو!$B$2:$B$500,0)),0))</f>
        <v/>
      </c>
      <c r="F8725" s="107" t="str">
        <f aca="false">IF($C8725="","",$D8725*$E8725)</f>
        <v/>
      </c>
      <c r="G8725" s="107" t="str">
        <f aca="false">IF($C8725="","",$D8725*IFERROR(INDEX('تحليل التكلفة والسعر'!$C$2:$C$700,MATCH($C8725,'تحليل التكلفة والسعر'!$B$2:$B$700,0)),0))</f>
        <v/>
      </c>
    </row>
    <row r="8726" customFormat="false" ht="15" hidden="false" customHeight="false" outlineLevel="0" collapsed="false">
      <c r="A8726" s="103"/>
      <c r="B8726" s="104"/>
      <c r="C8726" s="104"/>
      <c r="E8726" s="107" t="str">
        <f aca="false">IF($C8726="","",IFERROR(INDEX(المنيو!$C$2:$C$500,MATCH($C8726,المنيو!$B$2:$B$500,0)),0))</f>
        <v/>
      </c>
      <c r="F8726" s="107" t="str">
        <f aca="false">IF($C8726="","",$D8726*$E8726)</f>
        <v/>
      </c>
      <c r="G8726" s="107" t="str">
        <f aca="false">IF($C8726="","",$D8726*IFERROR(INDEX('تحليل التكلفة والسعر'!$C$2:$C$700,MATCH($C8726,'تحليل التكلفة والسعر'!$B$2:$B$700,0)),0))</f>
        <v/>
      </c>
    </row>
    <row r="8727" customFormat="false" ht="15" hidden="false" customHeight="false" outlineLevel="0" collapsed="false">
      <c r="A8727" s="103"/>
      <c r="B8727" s="104"/>
      <c r="C8727" s="104"/>
      <c r="E8727" s="107" t="str">
        <f aca="false">IF($C8727="","",IFERROR(INDEX(المنيو!$C$2:$C$500,MATCH($C8727,المنيو!$B$2:$B$500,0)),0))</f>
        <v/>
      </c>
      <c r="F8727" s="107" t="str">
        <f aca="false">IF($C8727="","",$D8727*$E8727)</f>
        <v/>
      </c>
      <c r="G8727" s="107" t="str">
        <f aca="false">IF($C8727="","",$D8727*IFERROR(INDEX('تحليل التكلفة والسعر'!$C$2:$C$700,MATCH($C8727,'تحليل التكلفة والسعر'!$B$2:$B$700,0)),0))</f>
        <v/>
      </c>
    </row>
    <row r="8728" customFormat="false" ht="15" hidden="false" customHeight="false" outlineLevel="0" collapsed="false">
      <c r="A8728" s="103"/>
      <c r="B8728" s="104"/>
      <c r="C8728" s="104"/>
      <c r="E8728" s="107" t="str">
        <f aca="false">IF($C8728="","",IFERROR(INDEX(المنيو!$C$2:$C$500,MATCH($C8728,المنيو!$B$2:$B$500,0)),0))</f>
        <v/>
      </c>
      <c r="F8728" s="107" t="str">
        <f aca="false">IF($C8728="","",$D8728*$E8728)</f>
        <v/>
      </c>
      <c r="G8728" s="107" t="str">
        <f aca="false">IF($C8728="","",$D8728*IFERROR(INDEX('تحليل التكلفة والسعر'!$C$2:$C$700,MATCH($C8728,'تحليل التكلفة والسعر'!$B$2:$B$700,0)),0))</f>
        <v/>
      </c>
    </row>
    <row r="8729" customFormat="false" ht="15" hidden="false" customHeight="false" outlineLevel="0" collapsed="false">
      <c r="A8729" s="103"/>
      <c r="B8729" s="104"/>
      <c r="C8729" s="104"/>
      <c r="E8729" s="107" t="str">
        <f aca="false">IF($C8729="","",IFERROR(INDEX(المنيو!$C$2:$C$500,MATCH($C8729,المنيو!$B$2:$B$500,0)),0))</f>
        <v/>
      </c>
      <c r="F8729" s="107" t="str">
        <f aca="false">IF($C8729="","",$D8729*$E8729)</f>
        <v/>
      </c>
      <c r="G8729" s="107" t="str">
        <f aca="false">IF($C8729="","",$D8729*IFERROR(INDEX('تحليل التكلفة والسعر'!$C$2:$C$700,MATCH($C8729,'تحليل التكلفة والسعر'!$B$2:$B$700,0)),0))</f>
        <v/>
      </c>
    </row>
    <row r="8730" customFormat="false" ht="15" hidden="false" customHeight="false" outlineLevel="0" collapsed="false">
      <c r="A8730" s="103"/>
      <c r="B8730" s="104"/>
      <c r="C8730" s="104"/>
      <c r="E8730" s="107" t="str">
        <f aca="false">IF($C8730="","",IFERROR(INDEX(المنيو!$C$2:$C$500,MATCH($C8730,المنيو!$B$2:$B$500,0)),0))</f>
        <v/>
      </c>
      <c r="F8730" s="107" t="str">
        <f aca="false">IF($C8730="","",$D8730*$E8730)</f>
        <v/>
      </c>
      <c r="G8730" s="107" t="str">
        <f aca="false">IF($C8730="","",$D8730*IFERROR(INDEX('تحليل التكلفة والسعر'!$C$2:$C$700,MATCH($C8730,'تحليل التكلفة والسعر'!$B$2:$B$700,0)),0))</f>
        <v/>
      </c>
    </row>
    <row r="8731" customFormat="false" ht="15" hidden="false" customHeight="false" outlineLevel="0" collapsed="false">
      <c r="A8731" s="103"/>
      <c r="B8731" s="104"/>
      <c r="C8731" s="104"/>
      <c r="E8731" s="107" t="str">
        <f aca="false">IF($C8731="","",IFERROR(INDEX(المنيو!$C$2:$C$500,MATCH($C8731,المنيو!$B$2:$B$500,0)),0))</f>
        <v/>
      </c>
      <c r="F8731" s="107" t="str">
        <f aca="false">IF($C8731="","",$D8731*$E8731)</f>
        <v/>
      </c>
      <c r="G8731" s="107" t="str">
        <f aca="false">IF($C8731="","",$D8731*IFERROR(INDEX('تحليل التكلفة والسعر'!$C$2:$C$700,MATCH($C8731,'تحليل التكلفة والسعر'!$B$2:$B$700,0)),0))</f>
        <v/>
      </c>
    </row>
    <row r="8732" customFormat="false" ht="15" hidden="false" customHeight="false" outlineLevel="0" collapsed="false">
      <c r="A8732" s="103"/>
      <c r="B8732" s="104"/>
      <c r="C8732" s="104"/>
      <c r="E8732" s="107" t="str">
        <f aca="false">IF($C8732="","",IFERROR(INDEX(المنيو!$C$2:$C$500,MATCH($C8732,المنيو!$B$2:$B$500,0)),0))</f>
        <v/>
      </c>
      <c r="F8732" s="107" t="str">
        <f aca="false">IF($C8732="","",$D8732*$E8732)</f>
        <v/>
      </c>
      <c r="G8732" s="107" t="str">
        <f aca="false">IF($C8732="","",$D8732*IFERROR(INDEX('تحليل التكلفة والسعر'!$C$2:$C$700,MATCH($C8732,'تحليل التكلفة والسعر'!$B$2:$B$700,0)),0))</f>
        <v/>
      </c>
    </row>
    <row r="8733" customFormat="false" ht="15" hidden="false" customHeight="false" outlineLevel="0" collapsed="false">
      <c r="A8733" s="103"/>
      <c r="B8733" s="104"/>
      <c r="C8733" s="104"/>
      <c r="E8733" s="107" t="str">
        <f aca="false">IF($C8733="","",IFERROR(INDEX(المنيو!$C$2:$C$500,MATCH($C8733,المنيو!$B$2:$B$500,0)),0))</f>
        <v/>
      </c>
      <c r="F8733" s="107" t="str">
        <f aca="false">IF($C8733="","",$D8733*$E8733)</f>
        <v/>
      </c>
      <c r="G8733" s="107" t="str">
        <f aca="false">IF($C8733="","",$D8733*IFERROR(INDEX('تحليل التكلفة والسعر'!$C$2:$C$700,MATCH($C8733,'تحليل التكلفة والسعر'!$B$2:$B$700,0)),0))</f>
        <v/>
      </c>
    </row>
    <row r="8734" customFormat="false" ht="15" hidden="false" customHeight="false" outlineLevel="0" collapsed="false">
      <c r="A8734" s="103"/>
      <c r="B8734" s="104"/>
      <c r="C8734" s="104"/>
      <c r="E8734" s="107" t="str">
        <f aca="false">IF($C8734="","",IFERROR(INDEX(المنيو!$C$2:$C$500,MATCH($C8734,المنيو!$B$2:$B$500,0)),0))</f>
        <v/>
      </c>
      <c r="F8734" s="107" t="str">
        <f aca="false">IF($C8734="","",$D8734*$E8734)</f>
        <v/>
      </c>
      <c r="G8734" s="107" t="str">
        <f aca="false">IF($C8734="","",$D8734*IFERROR(INDEX('تحليل التكلفة والسعر'!$C$2:$C$700,MATCH($C8734,'تحليل التكلفة والسعر'!$B$2:$B$700,0)),0))</f>
        <v/>
      </c>
    </row>
    <row r="8735" customFormat="false" ht="15" hidden="false" customHeight="false" outlineLevel="0" collapsed="false">
      <c r="A8735" s="103"/>
      <c r="B8735" s="104"/>
      <c r="C8735" s="104"/>
      <c r="E8735" s="107" t="str">
        <f aca="false">IF($C8735="","",IFERROR(INDEX(المنيو!$C$2:$C$500,MATCH($C8735,المنيو!$B$2:$B$500,0)),0))</f>
        <v/>
      </c>
      <c r="F8735" s="107" t="str">
        <f aca="false">IF($C8735="","",$D8735*$E8735)</f>
        <v/>
      </c>
      <c r="G8735" s="107" t="str">
        <f aca="false">IF($C8735="","",$D8735*IFERROR(INDEX('تحليل التكلفة والسعر'!$C$2:$C$700,MATCH($C8735,'تحليل التكلفة والسعر'!$B$2:$B$700,0)),0))</f>
        <v/>
      </c>
    </row>
    <row r="8736" customFormat="false" ht="15" hidden="false" customHeight="false" outlineLevel="0" collapsed="false">
      <c r="A8736" s="103"/>
      <c r="B8736" s="104"/>
      <c r="C8736" s="104"/>
      <c r="E8736" s="107" t="str">
        <f aca="false">IF($C8736="","",IFERROR(INDEX(المنيو!$C$2:$C$500,MATCH($C8736,المنيو!$B$2:$B$500,0)),0))</f>
        <v/>
      </c>
      <c r="F8736" s="107" t="str">
        <f aca="false">IF($C8736="","",$D8736*$E8736)</f>
        <v/>
      </c>
      <c r="G8736" s="107" t="str">
        <f aca="false">IF($C8736="","",$D8736*IFERROR(INDEX('تحليل التكلفة والسعر'!$C$2:$C$700,MATCH($C8736,'تحليل التكلفة والسعر'!$B$2:$B$700,0)),0))</f>
        <v/>
      </c>
    </row>
    <row r="8737" customFormat="false" ht="15" hidden="false" customHeight="false" outlineLevel="0" collapsed="false">
      <c r="A8737" s="103"/>
      <c r="B8737" s="104"/>
      <c r="C8737" s="104"/>
      <c r="E8737" s="107" t="str">
        <f aca="false">IF($C8737="","",IFERROR(INDEX(المنيو!$C$2:$C$500,MATCH($C8737,المنيو!$B$2:$B$500,0)),0))</f>
        <v/>
      </c>
      <c r="F8737" s="107" t="str">
        <f aca="false">IF($C8737="","",$D8737*$E8737)</f>
        <v/>
      </c>
      <c r="G8737" s="107" t="str">
        <f aca="false">IF($C8737="","",$D8737*IFERROR(INDEX('تحليل التكلفة والسعر'!$C$2:$C$700,MATCH($C8737,'تحليل التكلفة والسعر'!$B$2:$B$700,0)),0))</f>
        <v/>
      </c>
    </row>
    <row r="8738" customFormat="false" ht="15" hidden="false" customHeight="false" outlineLevel="0" collapsed="false">
      <c r="A8738" s="103"/>
      <c r="B8738" s="104"/>
      <c r="C8738" s="104"/>
      <c r="E8738" s="107" t="str">
        <f aca="false">IF($C8738="","",IFERROR(INDEX(المنيو!$C$2:$C$500,MATCH($C8738,المنيو!$B$2:$B$500,0)),0))</f>
        <v/>
      </c>
      <c r="F8738" s="107" t="str">
        <f aca="false">IF($C8738="","",$D8738*$E8738)</f>
        <v/>
      </c>
      <c r="G8738" s="107" t="str">
        <f aca="false">IF($C8738="","",$D8738*IFERROR(INDEX('تحليل التكلفة والسعر'!$C$2:$C$700,MATCH($C8738,'تحليل التكلفة والسعر'!$B$2:$B$700,0)),0))</f>
        <v/>
      </c>
    </row>
    <row r="8739" customFormat="false" ht="15" hidden="false" customHeight="false" outlineLevel="0" collapsed="false">
      <c r="A8739" s="103"/>
      <c r="B8739" s="104"/>
      <c r="C8739" s="104"/>
      <c r="E8739" s="107" t="str">
        <f aca="false">IF($C8739="","",IFERROR(INDEX(المنيو!$C$2:$C$500,MATCH($C8739,المنيو!$B$2:$B$500,0)),0))</f>
        <v/>
      </c>
      <c r="F8739" s="107" t="str">
        <f aca="false">IF($C8739="","",$D8739*$E8739)</f>
        <v/>
      </c>
      <c r="G8739" s="107" t="str">
        <f aca="false">IF($C8739="","",$D8739*IFERROR(INDEX('تحليل التكلفة والسعر'!$C$2:$C$700,MATCH($C8739,'تحليل التكلفة والسعر'!$B$2:$B$700,0)),0))</f>
        <v/>
      </c>
    </row>
    <row r="8740" customFormat="false" ht="15" hidden="false" customHeight="false" outlineLevel="0" collapsed="false">
      <c r="A8740" s="103"/>
      <c r="B8740" s="104"/>
      <c r="C8740" s="104"/>
      <c r="E8740" s="107" t="str">
        <f aca="false">IF($C8740="","",IFERROR(INDEX(المنيو!$C$2:$C$500,MATCH($C8740,المنيو!$B$2:$B$500,0)),0))</f>
        <v/>
      </c>
      <c r="F8740" s="107" t="str">
        <f aca="false">IF($C8740="","",$D8740*$E8740)</f>
        <v/>
      </c>
      <c r="G8740" s="107" t="str">
        <f aca="false">IF($C8740="","",$D8740*IFERROR(INDEX('تحليل التكلفة والسعر'!$C$2:$C$700,MATCH($C8740,'تحليل التكلفة والسعر'!$B$2:$B$700,0)),0))</f>
        <v/>
      </c>
    </row>
    <row r="8741" customFormat="false" ht="15" hidden="false" customHeight="false" outlineLevel="0" collapsed="false">
      <c r="A8741" s="103"/>
      <c r="B8741" s="104"/>
      <c r="C8741" s="104"/>
      <c r="E8741" s="107" t="str">
        <f aca="false">IF($C8741="","",IFERROR(INDEX(المنيو!$C$2:$C$500,MATCH($C8741,المنيو!$B$2:$B$500,0)),0))</f>
        <v/>
      </c>
      <c r="F8741" s="107" t="str">
        <f aca="false">IF($C8741="","",$D8741*$E8741)</f>
        <v/>
      </c>
      <c r="G8741" s="107" t="str">
        <f aca="false">IF($C8741="","",$D8741*IFERROR(INDEX('تحليل التكلفة والسعر'!$C$2:$C$700,MATCH($C8741,'تحليل التكلفة والسعر'!$B$2:$B$700,0)),0))</f>
        <v/>
      </c>
    </row>
    <row r="8742" customFormat="false" ht="15" hidden="false" customHeight="false" outlineLevel="0" collapsed="false">
      <c r="A8742" s="103"/>
      <c r="B8742" s="104"/>
      <c r="C8742" s="104"/>
      <c r="E8742" s="107" t="str">
        <f aca="false">IF($C8742="","",IFERROR(INDEX(المنيو!$C$2:$C$500,MATCH($C8742,المنيو!$B$2:$B$500,0)),0))</f>
        <v/>
      </c>
      <c r="F8742" s="107" t="str">
        <f aca="false">IF($C8742="","",$D8742*$E8742)</f>
        <v/>
      </c>
      <c r="G8742" s="107" t="str">
        <f aca="false">IF($C8742="","",$D8742*IFERROR(INDEX('تحليل التكلفة والسعر'!$C$2:$C$700,MATCH($C8742,'تحليل التكلفة والسعر'!$B$2:$B$700,0)),0))</f>
        <v/>
      </c>
    </row>
    <row r="8743" customFormat="false" ht="15" hidden="false" customHeight="false" outlineLevel="0" collapsed="false">
      <c r="A8743" s="103"/>
      <c r="B8743" s="104"/>
      <c r="C8743" s="104"/>
      <c r="E8743" s="107" t="str">
        <f aca="false">IF($C8743="","",IFERROR(INDEX(المنيو!$C$2:$C$500,MATCH($C8743,المنيو!$B$2:$B$500,0)),0))</f>
        <v/>
      </c>
      <c r="F8743" s="107" t="str">
        <f aca="false">IF($C8743="","",$D8743*$E8743)</f>
        <v/>
      </c>
      <c r="G8743" s="107" t="str">
        <f aca="false">IF($C8743="","",$D8743*IFERROR(INDEX('تحليل التكلفة والسعر'!$C$2:$C$700,MATCH($C8743,'تحليل التكلفة والسعر'!$B$2:$B$700,0)),0))</f>
        <v/>
      </c>
    </row>
    <row r="8744" customFormat="false" ht="15" hidden="false" customHeight="false" outlineLevel="0" collapsed="false">
      <c r="A8744" s="103"/>
      <c r="B8744" s="104"/>
      <c r="C8744" s="104"/>
      <c r="E8744" s="107" t="str">
        <f aca="false">IF($C8744="","",IFERROR(INDEX(المنيو!$C$2:$C$500,MATCH($C8744,المنيو!$B$2:$B$500,0)),0))</f>
        <v/>
      </c>
      <c r="F8744" s="107" t="str">
        <f aca="false">IF($C8744="","",$D8744*$E8744)</f>
        <v/>
      </c>
      <c r="G8744" s="107" t="str">
        <f aca="false">IF($C8744="","",$D8744*IFERROR(INDEX('تحليل التكلفة والسعر'!$C$2:$C$700,MATCH($C8744,'تحليل التكلفة والسعر'!$B$2:$B$700,0)),0))</f>
        <v/>
      </c>
    </row>
    <row r="8745" customFormat="false" ht="15" hidden="false" customHeight="false" outlineLevel="0" collapsed="false">
      <c r="A8745" s="103"/>
      <c r="B8745" s="104"/>
      <c r="C8745" s="104"/>
      <c r="E8745" s="107" t="str">
        <f aca="false">IF($C8745="","",IFERROR(INDEX(المنيو!$C$2:$C$500,MATCH($C8745,المنيو!$B$2:$B$500,0)),0))</f>
        <v/>
      </c>
      <c r="F8745" s="107" t="str">
        <f aca="false">IF($C8745="","",$D8745*$E8745)</f>
        <v/>
      </c>
      <c r="G8745" s="107" t="str">
        <f aca="false">IF($C8745="","",$D8745*IFERROR(INDEX('تحليل التكلفة والسعر'!$C$2:$C$700,MATCH($C8745,'تحليل التكلفة والسعر'!$B$2:$B$700,0)),0))</f>
        <v/>
      </c>
    </row>
    <row r="8746" customFormat="false" ht="15" hidden="false" customHeight="false" outlineLevel="0" collapsed="false">
      <c r="A8746" s="103"/>
      <c r="B8746" s="104"/>
      <c r="C8746" s="104"/>
      <c r="E8746" s="107" t="str">
        <f aca="false">IF($C8746="","",IFERROR(INDEX(المنيو!$C$2:$C$500,MATCH($C8746,المنيو!$B$2:$B$500,0)),0))</f>
        <v/>
      </c>
      <c r="F8746" s="107" t="str">
        <f aca="false">IF($C8746="","",$D8746*$E8746)</f>
        <v/>
      </c>
      <c r="G8746" s="107" t="str">
        <f aca="false">IF($C8746="","",$D8746*IFERROR(INDEX('تحليل التكلفة والسعر'!$C$2:$C$700,MATCH($C8746,'تحليل التكلفة والسعر'!$B$2:$B$700,0)),0))</f>
        <v/>
      </c>
    </row>
    <row r="8747" customFormat="false" ht="15" hidden="false" customHeight="false" outlineLevel="0" collapsed="false">
      <c r="A8747" s="103"/>
      <c r="B8747" s="104"/>
      <c r="C8747" s="104"/>
      <c r="E8747" s="107" t="str">
        <f aca="false">IF($C8747="","",IFERROR(INDEX(المنيو!$C$2:$C$500,MATCH($C8747,المنيو!$B$2:$B$500,0)),0))</f>
        <v/>
      </c>
      <c r="F8747" s="107" t="str">
        <f aca="false">IF($C8747="","",$D8747*$E8747)</f>
        <v/>
      </c>
      <c r="G8747" s="107" t="str">
        <f aca="false">IF($C8747="","",$D8747*IFERROR(INDEX('تحليل التكلفة والسعر'!$C$2:$C$700,MATCH($C8747,'تحليل التكلفة والسعر'!$B$2:$B$700,0)),0))</f>
        <v/>
      </c>
    </row>
    <row r="8748" customFormat="false" ht="15" hidden="false" customHeight="false" outlineLevel="0" collapsed="false">
      <c r="A8748" s="103"/>
      <c r="B8748" s="104"/>
      <c r="C8748" s="104"/>
      <c r="E8748" s="107" t="str">
        <f aca="false">IF($C8748="","",IFERROR(INDEX(المنيو!$C$2:$C$500,MATCH($C8748,المنيو!$B$2:$B$500,0)),0))</f>
        <v/>
      </c>
      <c r="F8748" s="107" t="str">
        <f aca="false">IF($C8748="","",$D8748*$E8748)</f>
        <v/>
      </c>
      <c r="G8748" s="107" t="str">
        <f aca="false">IF($C8748="","",$D8748*IFERROR(INDEX('تحليل التكلفة والسعر'!$C$2:$C$700,MATCH($C8748,'تحليل التكلفة والسعر'!$B$2:$B$700,0)),0))</f>
        <v/>
      </c>
    </row>
    <row r="8749" customFormat="false" ht="15" hidden="false" customHeight="false" outlineLevel="0" collapsed="false">
      <c r="A8749" s="103"/>
      <c r="B8749" s="104"/>
      <c r="C8749" s="104"/>
      <c r="E8749" s="107" t="str">
        <f aca="false">IF($C8749="","",IFERROR(INDEX(المنيو!$C$2:$C$500,MATCH($C8749,المنيو!$B$2:$B$500,0)),0))</f>
        <v/>
      </c>
      <c r="F8749" s="107" t="str">
        <f aca="false">IF($C8749="","",$D8749*$E8749)</f>
        <v/>
      </c>
      <c r="G8749" s="107" t="str">
        <f aca="false">IF($C8749="","",$D8749*IFERROR(INDEX('تحليل التكلفة والسعر'!$C$2:$C$700,MATCH($C8749,'تحليل التكلفة والسعر'!$B$2:$B$700,0)),0))</f>
        <v/>
      </c>
    </row>
    <row r="8750" customFormat="false" ht="15" hidden="false" customHeight="false" outlineLevel="0" collapsed="false">
      <c r="A8750" s="103"/>
      <c r="B8750" s="104"/>
      <c r="C8750" s="104"/>
      <c r="E8750" s="107" t="str">
        <f aca="false">IF($C8750="","",IFERROR(INDEX(المنيو!$C$2:$C$500,MATCH($C8750,المنيو!$B$2:$B$500,0)),0))</f>
        <v/>
      </c>
      <c r="F8750" s="107" t="str">
        <f aca="false">IF($C8750="","",$D8750*$E8750)</f>
        <v/>
      </c>
      <c r="G8750" s="107" t="str">
        <f aca="false">IF($C8750="","",$D8750*IFERROR(INDEX('تحليل التكلفة والسعر'!$C$2:$C$700,MATCH($C8750,'تحليل التكلفة والسعر'!$B$2:$B$700,0)),0))</f>
        <v/>
      </c>
    </row>
    <row r="8751" customFormat="false" ht="15" hidden="false" customHeight="false" outlineLevel="0" collapsed="false">
      <c r="A8751" s="103"/>
      <c r="B8751" s="104"/>
      <c r="C8751" s="104"/>
      <c r="E8751" s="107" t="str">
        <f aca="false">IF($C8751="","",IFERROR(INDEX(المنيو!$C$2:$C$500,MATCH($C8751,المنيو!$B$2:$B$500,0)),0))</f>
        <v/>
      </c>
      <c r="F8751" s="107" t="str">
        <f aca="false">IF($C8751="","",$D8751*$E8751)</f>
        <v/>
      </c>
      <c r="G8751" s="107" t="str">
        <f aca="false">IF($C8751="","",$D8751*IFERROR(INDEX('تحليل التكلفة والسعر'!$C$2:$C$700,MATCH($C8751,'تحليل التكلفة والسعر'!$B$2:$B$700,0)),0))</f>
        <v/>
      </c>
    </row>
    <row r="8752" customFormat="false" ht="15" hidden="false" customHeight="false" outlineLevel="0" collapsed="false">
      <c r="A8752" s="103"/>
      <c r="B8752" s="104"/>
      <c r="C8752" s="104"/>
      <c r="E8752" s="107" t="str">
        <f aca="false">IF($C8752="","",IFERROR(INDEX(المنيو!$C$2:$C$500,MATCH($C8752,المنيو!$B$2:$B$500,0)),0))</f>
        <v/>
      </c>
      <c r="F8752" s="107" t="str">
        <f aca="false">IF($C8752="","",$D8752*$E8752)</f>
        <v/>
      </c>
      <c r="G8752" s="107" t="str">
        <f aca="false">IF($C8752="","",$D8752*IFERROR(INDEX('تحليل التكلفة والسعر'!$C$2:$C$700,MATCH($C8752,'تحليل التكلفة والسعر'!$B$2:$B$700,0)),0))</f>
        <v/>
      </c>
    </row>
    <row r="8753" customFormat="false" ht="15" hidden="false" customHeight="false" outlineLevel="0" collapsed="false">
      <c r="A8753" s="103"/>
      <c r="B8753" s="104"/>
      <c r="C8753" s="104"/>
      <c r="E8753" s="107" t="str">
        <f aca="false">IF($C8753="","",IFERROR(INDEX(المنيو!$C$2:$C$500,MATCH($C8753,المنيو!$B$2:$B$500,0)),0))</f>
        <v/>
      </c>
      <c r="F8753" s="107" t="str">
        <f aca="false">IF($C8753="","",$D8753*$E8753)</f>
        <v/>
      </c>
      <c r="G8753" s="107" t="str">
        <f aca="false">IF($C8753="","",$D8753*IFERROR(INDEX('تحليل التكلفة والسعر'!$C$2:$C$700,MATCH($C8753,'تحليل التكلفة والسعر'!$B$2:$B$700,0)),0))</f>
        <v/>
      </c>
    </row>
    <row r="8754" customFormat="false" ht="15" hidden="false" customHeight="false" outlineLevel="0" collapsed="false">
      <c r="A8754" s="103"/>
      <c r="B8754" s="104"/>
      <c r="C8754" s="104"/>
      <c r="E8754" s="107" t="str">
        <f aca="false">IF($C8754="","",IFERROR(INDEX(المنيو!$C$2:$C$500,MATCH($C8754,المنيو!$B$2:$B$500,0)),0))</f>
        <v/>
      </c>
      <c r="F8754" s="107" t="str">
        <f aca="false">IF($C8754="","",$D8754*$E8754)</f>
        <v/>
      </c>
      <c r="G8754" s="107" t="str">
        <f aca="false">IF($C8754="","",$D8754*IFERROR(INDEX('تحليل التكلفة والسعر'!$C$2:$C$700,MATCH($C8754,'تحليل التكلفة والسعر'!$B$2:$B$700,0)),0))</f>
        <v/>
      </c>
    </row>
    <row r="8755" customFormat="false" ht="15" hidden="false" customHeight="false" outlineLevel="0" collapsed="false">
      <c r="A8755" s="103"/>
      <c r="B8755" s="104"/>
      <c r="C8755" s="104"/>
      <c r="E8755" s="107" t="str">
        <f aca="false">IF($C8755="","",IFERROR(INDEX(المنيو!$C$2:$C$500,MATCH($C8755,المنيو!$B$2:$B$500,0)),0))</f>
        <v/>
      </c>
      <c r="F8755" s="107" t="str">
        <f aca="false">IF($C8755="","",$D8755*$E8755)</f>
        <v/>
      </c>
      <c r="G8755" s="107" t="str">
        <f aca="false">IF($C8755="","",$D8755*IFERROR(INDEX('تحليل التكلفة والسعر'!$C$2:$C$700,MATCH($C8755,'تحليل التكلفة والسعر'!$B$2:$B$700,0)),0))</f>
        <v/>
      </c>
    </row>
    <row r="8756" customFormat="false" ht="15" hidden="false" customHeight="false" outlineLevel="0" collapsed="false">
      <c r="A8756" s="103"/>
      <c r="B8756" s="104"/>
      <c r="C8756" s="104"/>
      <c r="E8756" s="107" t="str">
        <f aca="false">IF($C8756="","",IFERROR(INDEX(المنيو!$C$2:$C$500,MATCH($C8756,المنيو!$B$2:$B$500,0)),0))</f>
        <v/>
      </c>
      <c r="F8756" s="107" t="str">
        <f aca="false">IF($C8756="","",$D8756*$E8756)</f>
        <v/>
      </c>
      <c r="G8756" s="107" t="str">
        <f aca="false">IF($C8756="","",$D8756*IFERROR(INDEX('تحليل التكلفة والسعر'!$C$2:$C$700,MATCH($C8756,'تحليل التكلفة والسعر'!$B$2:$B$700,0)),0))</f>
        <v/>
      </c>
    </row>
    <row r="8757" customFormat="false" ht="15" hidden="false" customHeight="false" outlineLevel="0" collapsed="false">
      <c r="A8757" s="103"/>
      <c r="B8757" s="104"/>
      <c r="C8757" s="104"/>
      <c r="E8757" s="107" t="str">
        <f aca="false">IF($C8757="","",IFERROR(INDEX(المنيو!$C$2:$C$500,MATCH($C8757,المنيو!$B$2:$B$500,0)),0))</f>
        <v/>
      </c>
      <c r="F8757" s="107" t="str">
        <f aca="false">IF($C8757="","",$D8757*$E8757)</f>
        <v/>
      </c>
      <c r="G8757" s="107" t="str">
        <f aca="false">IF($C8757="","",$D8757*IFERROR(INDEX('تحليل التكلفة والسعر'!$C$2:$C$700,MATCH($C8757,'تحليل التكلفة والسعر'!$B$2:$B$700,0)),0))</f>
        <v/>
      </c>
    </row>
    <row r="8758" customFormat="false" ht="15" hidden="false" customHeight="false" outlineLevel="0" collapsed="false">
      <c r="A8758" s="103"/>
      <c r="B8758" s="104"/>
      <c r="C8758" s="104"/>
      <c r="E8758" s="107" t="str">
        <f aca="false">IF($C8758="","",IFERROR(INDEX(المنيو!$C$2:$C$500,MATCH($C8758,المنيو!$B$2:$B$500,0)),0))</f>
        <v/>
      </c>
      <c r="F8758" s="107" t="str">
        <f aca="false">IF($C8758="","",$D8758*$E8758)</f>
        <v/>
      </c>
      <c r="G8758" s="107" t="str">
        <f aca="false">IF($C8758="","",$D8758*IFERROR(INDEX('تحليل التكلفة والسعر'!$C$2:$C$700,MATCH($C8758,'تحليل التكلفة والسعر'!$B$2:$B$700,0)),0))</f>
        <v/>
      </c>
    </row>
    <row r="8759" customFormat="false" ht="15" hidden="false" customHeight="false" outlineLevel="0" collapsed="false">
      <c r="A8759" s="103"/>
      <c r="B8759" s="104"/>
      <c r="C8759" s="104"/>
      <c r="E8759" s="107" t="str">
        <f aca="false">IF($C8759="","",IFERROR(INDEX(المنيو!$C$2:$C$500,MATCH($C8759,المنيو!$B$2:$B$500,0)),0))</f>
        <v/>
      </c>
      <c r="F8759" s="107" t="str">
        <f aca="false">IF($C8759="","",$D8759*$E8759)</f>
        <v/>
      </c>
      <c r="G8759" s="107" t="str">
        <f aca="false">IF($C8759="","",$D8759*IFERROR(INDEX('تحليل التكلفة والسعر'!$C$2:$C$700,MATCH($C8759,'تحليل التكلفة والسعر'!$B$2:$B$700,0)),0))</f>
        <v/>
      </c>
    </row>
    <row r="8760" customFormat="false" ht="15" hidden="false" customHeight="false" outlineLevel="0" collapsed="false">
      <c r="A8760" s="103"/>
      <c r="B8760" s="104"/>
      <c r="C8760" s="104"/>
      <c r="E8760" s="107" t="str">
        <f aca="false">IF($C8760="","",IFERROR(INDEX(المنيو!$C$2:$C$500,MATCH($C8760,المنيو!$B$2:$B$500,0)),0))</f>
        <v/>
      </c>
      <c r="F8760" s="107" t="str">
        <f aca="false">IF($C8760="","",$D8760*$E8760)</f>
        <v/>
      </c>
      <c r="G8760" s="107" t="str">
        <f aca="false">IF($C8760="","",$D8760*IFERROR(INDEX('تحليل التكلفة والسعر'!$C$2:$C$700,MATCH($C8760,'تحليل التكلفة والسعر'!$B$2:$B$700,0)),0))</f>
        <v/>
      </c>
    </row>
    <row r="8761" customFormat="false" ht="15" hidden="false" customHeight="false" outlineLevel="0" collapsed="false">
      <c r="A8761" s="103"/>
      <c r="B8761" s="104"/>
      <c r="C8761" s="104"/>
      <c r="E8761" s="107" t="str">
        <f aca="false">IF($C8761="","",IFERROR(INDEX(المنيو!$C$2:$C$500,MATCH($C8761,المنيو!$B$2:$B$500,0)),0))</f>
        <v/>
      </c>
      <c r="F8761" s="107" t="str">
        <f aca="false">IF($C8761="","",$D8761*$E8761)</f>
        <v/>
      </c>
      <c r="G8761" s="107" t="str">
        <f aca="false">IF($C8761="","",$D8761*IFERROR(INDEX('تحليل التكلفة والسعر'!$C$2:$C$700,MATCH($C8761,'تحليل التكلفة والسعر'!$B$2:$B$700,0)),0))</f>
        <v/>
      </c>
    </row>
    <row r="8762" customFormat="false" ht="15" hidden="false" customHeight="false" outlineLevel="0" collapsed="false">
      <c r="A8762" s="103"/>
      <c r="B8762" s="104"/>
      <c r="C8762" s="104"/>
      <c r="E8762" s="107" t="str">
        <f aca="false">IF($C8762="","",IFERROR(INDEX(المنيو!$C$2:$C$500,MATCH($C8762,المنيو!$B$2:$B$500,0)),0))</f>
        <v/>
      </c>
      <c r="F8762" s="107" t="str">
        <f aca="false">IF($C8762="","",$D8762*$E8762)</f>
        <v/>
      </c>
      <c r="G8762" s="107" t="str">
        <f aca="false">IF($C8762="","",$D8762*IFERROR(INDEX('تحليل التكلفة والسعر'!$C$2:$C$700,MATCH($C8762,'تحليل التكلفة والسعر'!$B$2:$B$700,0)),0))</f>
        <v/>
      </c>
    </row>
    <row r="8763" customFormat="false" ht="15" hidden="false" customHeight="false" outlineLevel="0" collapsed="false">
      <c r="A8763" s="103"/>
      <c r="B8763" s="104"/>
      <c r="C8763" s="104"/>
      <c r="E8763" s="107" t="str">
        <f aca="false">IF($C8763="","",IFERROR(INDEX(المنيو!$C$2:$C$500,MATCH($C8763,المنيو!$B$2:$B$500,0)),0))</f>
        <v/>
      </c>
      <c r="F8763" s="107" t="str">
        <f aca="false">IF($C8763="","",$D8763*$E8763)</f>
        <v/>
      </c>
      <c r="G8763" s="107" t="str">
        <f aca="false">IF($C8763="","",$D8763*IFERROR(INDEX('تحليل التكلفة والسعر'!$C$2:$C$700,MATCH($C8763,'تحليل التكلفة والسعر'!$B$2:$B$700,0)),0))</f>
        <v/>
      </c>
    </row>
    <row r="8764" customFormat="false" ht="15" hidden="false" customHeight="false" outlineLevel="0" collapsed="false">
      <c r="A8764" s="103"/>
      <c r="B8764" s="104"/>
      <c r="C8764" s="104"/>
      <c r="E8764" s="107" t="str">
        <f aca="false">IF($C8764="","",IFERROR(INDEX(المنيو!$C$2:$C$500,MATCH($C8764,المنيو!$B$2:$B$500,0)),0))</f>
        <v/>
      </c>
      <c r="F8764" s="107" t="str">
        <f aca="false">IF($C8764="","",$D8764*$E8764)</f>
        <v/>
      </c>
      <c r="G8764" s="107" t="str">
        <f aca="false">IF($C8764="","",$D8764*IFERROR(INDEX('تحليل التكلفة والسعر'!$C$2:$C$700,MATCH($C8764,'تحليل التكلفة والسعر'!$B$2:$B$700,0)),0))</f>
        <v/>
      </c>
    </row>
    <row r="8765" customFormat="false" ht="15" hidden="false" customHeight="false" outlineLevel="0" collapsed="false">
      <c r="A8765" s="103"/>
      <c r="B8765" s="104"/>
      <c r="C8765" s="104"/>
      <c r="E8765" s="107" t="str">
        <f aca="false">IF($C8765="","",IFERROR(INDEX(المنيو!$C$2:$C$500,MATCH($C8765,المنيو!$B$2:$B$500,0)),0))</f>
        <v/>
      </c>
      <c r="F8765" s="107" t="str">
        <f aca="false">IF($C8765="","",$D8765*$E8765)</f>
        <v/>
      </c>
      <c r="G8765" s="107" t="str">
        <f aca="false">IF($C8765="","",$D8765*IFERROR(INDEX('تحليل التكلفة والسعر'!$C$2:$C$700,MATCH($C8765,'تحليل التكلفة والسعر'!$B$2:$B$700,0)),0))</f>
        <v/>
      </c>
    </row>
    <row r="8766" customFormat="false" ht="15" hidden="false" customHeight="false" outlineLevel="0" collapsed="false">
      <c r="A8766" s="103"/>
      <c r="B8766" s="104"/>
      <c r="C8766" s="104"/>
      <c r="E8766" s="107" t="str">
        <f aca="false">IF($C8766="","",IFERROR(INDEX(المنيو!$C$2:$C$500,MATCH($C8766,المنيو!$B$2:$B$500,0)),0))</f>
        <v/>
      </c>
      <c r="F8766" s="107" t="str">
        <f aca="false">IF($C8766="","",$D8766*$E8766)</f>
        <v/>
      </c>
      <c r="G8766" s="107" t="str">
        <f aca="false">IF($C8766="","",$D8766*IFERROR(INDEX('تحليل التكلفة والسعر'!$C$2:$C$700,MATCH($C8766,'تحليل التكلفة والسعر'!$B$2:$B$700,0)),0))</f>
        <v/>
      </c>
    </row>
    <row r="8767" customFormat="false" ht="15" hidden="false" customHeight="false" outlineLevel="0" collapsed="false">
      <c r="A8767" s="103"/>
      <c r="B8767" s="104"/>
      <c r="C8767" s="104"/>
      <c r="E8767" s="107" t="str">
        <f aca="false">IF($C8767="","",IFERROR(INDEX(المنيو!$C$2:$C$500,MATCH($C8767,المنيو!$B$2:$B$500,0)),0))</f>
        <v/>
      </c>
      <c r="F8767" s="107" t="str">
        <f aca="false">IF($C8767="","",$D8767*$E8767)</f>
        <v/>
      </c>
      <c r="G8767" s="107" t="str">
        <f aca="false">IF($C8767="","",$D8767*IFERROR(INDEX('تحليل التكلفة والسعر'!$C$2:$C$700,MATCH($C8767,'تحليل التكلفة والسعر'!$B$2:$B$700,0)),0))</f>
        <v/>
      </c>
    </row>
    <row r="8768" customFormat="false" ht="15" hidden="false" customHeight="false" outlineLevel="0" collapsed="false">
      <c r="A8768" s="103"/>
      <c r="B8768" s="104"/>
      <c r="C8768" s="104"/>
      <c r="E8768" s="107" t="str">
        <f aca="false">IF($C8768="","",IFERROR(INDEX(المنيو!$C$2:$C$500,MATCH($C8768,المنيو!$B$2:$B$500,0)),0))</f>
        <v/>
      </c>
      <c r="F8768" s="107" t="str">
        <f aca="false">IF($C8768="","",$D8768*$E8768)</f>
        <v/>
      </c>
      <c r="G8768" s="107" t="str">
        <f aca="false">IF($C8768="","",$D8768*IFERROR(INDEX('تحليل التكلفة والسعر'!$C$2:$C$700,MATCH($C8768,'تحليل التكلفة والسعر'!$B$2:$B$700,0)),0))</f>
        <v/>
      </c>
    </row>
    <row r="8769" customFormat="false" ht="15" hidden="false" customHeight="false" outlineLevel="0" collapsed="false">
      <c r="A8769" s="103"/>
      <c r="B8769" s="104"/>
      <c r="C8769" s="104"/>
      <c r="E8769" s="107" t="str">
        <f aca="false">IF($C8769="","",IFERROR(INDEX(المنيو!$C$2:$C$500,MATCH($C8769,المنيو!$B$2:$B$500,0)),0))</f>
        <v/>
      </c>
      <c r="F8769" s="107" t="str">
        <f aca="false">IF($C8769="","",$D8769*$E8769)</f>
        <v/>
      </c>
      <c r="G8769" s="107" t="str">
        <f aca="false">IF($C8769="","",$D8769*IFERROR(INDEX('تحليل التكلفة والسعر'!$C$2:$C$700,MATCH($C8769,'تحليل التكلفة والسعر'!$B$2:$B$700,0)),0))</f>
        <v/>
      </c>
    </row>
    <row r="8770" customFormat="false" ht="15" hidden="false" customHeight="false" outlineLevel="0" collapsed="false">
      <c r="A8770" s="103"/>
      <c r="B8770" s="104"/>
      <c r="C8770" s="104"/>
      <c r="E8770" s="107" t="str">
        <f aca="false">IF($C8770="","",IFERROR(INDEX(المنيو!$C$2:$C$500,MATCH($C8770,المنيو!$B$2:$B$500,0)),0))</f>
        <v/>
      </c>
      <c r="F8770" s="107" t="str">
        <f aca="false">IF($C8770="","",$D8770*$E8770)</f>
        <v/>
      </c>
      <c r="G8770" s="107" t="str">
        <f aca="false">IF($C8770="","",$D8770*IFERROR(INDEX('تحليل التكلفة والسعر'!$C$2:$C$700,MATCH($C8770,'تحليل التكلفة والسعر'!$B$2:$B$700,0)),0))</f>
        <v/>
      </c>
    </row>
    <row r="8771" customFormat="false" ht="15" hidden="false" customHeight="false" outlineLevel="0" collapsed="false">
      <c r="A8771" s="103"/>
      <c r="B8771" s="104"/>
      <c r="C8771" s="104"/>
      <c r="E8771" s="107" t="str">
        <f aca="false">IF($C8771="","",IFERROR(INDEX(المنيو!$C$2:$C$500,MATCH($C8771,المنيو!$B$2:$B$500,0)),0))</f>
        <v/>
      </c>
      <c r="F8771" s="107" t="str">
        <f aca="false">IF($C8771="","",$D8771*$E8771)</f>
        <v/>
      </c>
      <c r="G8771" s="107" t="str">
        <f aca="false">IF($C8771="","",$D8771*IFERROR(INDEX('تحليل التكلفة والسعر'!$C$2:$C$700,MATCH($C8771,'تحليل التكلفة والسعر'!$B$2:$B$700,0)),0))</f>
        <v/>
      </c>
    </row>
    <row r="8772" customFormat="false" ht="15" hidden="false" customHeight="false" outlineLevel="0" collapsed="false">
      <c r="A8772" s="103"/>
      <c r="B8772" s="104"/>
      <c r="C8772" s="104"/>
      <c r="E8772" s="107" t="str">
        <f aca="false">IF($C8772="","",IFERROR(INDEX(المنيو!$C$2:$C$500,MATCH($C8772,المنيو!$B$2:$B$500,0)),0))</f>
        <v/>
      </c>
      <c r="F8772" s="107" t="str">
        <f aca="false">IF($C8772="","",$D8772*$E8772)</f>
        <v/>
      </c>
      <c r="G8772" s="107" t="str">
        <f aca="false">IF($C8772="","",$D8772*IFERROR(INDEX('تحليل التكلفة والسعر'!$C$2:$C$700,MATCH($C8772,'تحليل التكلفة والسعر'!$B$2:$B$700,0)),0))</f>
        <v/>
      </c>
    </row>
    <row r="8773" customFormat="false" ht="15" hidden="false" customHeight="false" outlineLevel="0" collapsed="false">
      <c r="A8773" s="103"/>
      <c r="B8773" s="104"/>
      <c r="C8773" s="104"/>
      <c r="E8773" s="107" t="str">
        <f aca="false">IF($C8773="","",IFERROR(INDEX(المنيو!$C$2:$C$500,MATCH($C8773,المنيو!$B$2:$B$500,0)),0))</f>
        <v/>
      </c>
      <c r="F8773" s="107" t="str">
        <f aca="false">IF($C8773="","",$D8773*$E8773)</f>
        <v/>
      </c>
      <c r="G8773" s="107" t="str">
        <f aca="false">IF($C8773="","",$D8773*IFERROR(INDEX('تحليل التكلفة والسعر'!$C$2:$C$700,MATCH($C8773,'تحليل التكلفة والسعر'!$B$2:$B$700,0)),0))</f>
        <v/>
      </c>
    </row>
    <row r="8774" customFormat="false" ht="15" hidden="false" customHeight="false" outlineLevel="0" collapsed="false">
      <c r="A8774" s="103"/>
      <c r="B8774" s="104"/>
      <c r="C8774" s="104"/>
      <c r="E8774" s="107" t="str">
        <f aca="false">IF($C8774="","",IFERROR(INDEX(المنيو!$C$2:$C$500,MATCH($C8774,المنيو!$B$2:$B$500,0)),0))</f>
        <v/>
      </c>
      <c r="F8774" s="107" t="str">
        <f aca="false">IF($C8774="","",$D8774*$E8774)</f>
        <v/>
      </c>
      <c r="G8774" s="107" t="str">
        <f aca="false">IF($C8774="","",$D8774*IFERROR(INDEX('تحليل التكلفة والسعر'!$C$2:$C$700,MATCH($C8774,'تحليل التكلفة والسعر'!$B$2:$B$700,0)),0))</f>
        <v/>
      </c>
    </row>
    <row r="8775" customFormat="false" ht="15" hidden="false" customHeight="false" outlineLevel="0" collapsed="false">
      <c r="A8775" s="103"/>
      <c r="B8775" s="104"/>
      <c r="C8775" s="104"/>
      <c r="E8775" s="107" t="str">
        <f aca="false">IF($C8775="","",IFERROR(INDEX(المنيو!$C$2:$C$500,MATCH($C8775,المنيو!$B$2:$B$500,0)),0))</f>
        <v/>
      </c>
      <c r="F8775" s="107" t="str">
        <f aca="false">IF($C8775="","",$D8775*$E8775)</f>
        <v/>
      </c>
      <c r="G8775" s="107" t="str">
        <f aca="false">IF($C8775="","",$D8775*IFERROR(INDEX('تحليل التكلفة والسعر'!$C$2:$C$700,MATCH($C8775,'تحليل التكلفة والسعر'!$B$2:$B$700,0)),0))</f>
        <v/>
      </c>
    </row>
    <row r="8776" customFormat="false" ht="15" hidden="false" customHeight="false" outlineLevel="0" collapsed="false">
      <c r="A8776" s="103"/>
      <c r="B8776" s="104"/>
      <c r="C8776" s="104"/>
      <c r="E8776" s="107" t="str">
        <f aca="false">IF($C8776="","",IFERROR(INDEX(المنيو!$C$2:$C$500,MATCH($C8776,المنيو!$B$2:$B$500,0)),0))</f>
        <v/>
      </c>
      <c r="F8776" s="107" t="str">
        <f aca="false">IF($C8776="","",$D8776*$E8776)</f>
        <v/>
      </c>
      <c r="G8776" s="107" t="str">
        <f aca="false">IF($C8776="","",$D8776*IFERROR(INDEX('تحليل التكلفة والسعر'!$C$2:$C$700,MATCH($C8776,'تحليل التكلفة والسعر'!$B$2:$B$700,0)),0))</f>
        <v/>
      </c>
    </row>
    <row r="8777" customFormat="false" ht="15" hidden="false" customHeight="false" outlineLevel="0" collapsed="false">
      <c r="A8777" s="103"/>
      <c r="B8777" s="104"/>
      <c r="C8777" s="104"/>
      <c r="E8777" s="107" t="str">
        <f aca="false">IF($C8777="","",IFERROR(INDEX(المنيو!$C$2:$C$500,MATCH($C8777,المنيو!$B$2:$B$500,0)),0))</f>
        <v/>
      </c>
      <c r="F8777" s="107" t="str">
        <f aca="false">IF($C8777="","",$D8777*$E8777)</f>
        <v/>
      </c>
      <c r="G8777" s="107" t="str">
        <f aca="false">IF($C8777="","",$D8777*IFERROR(INDEX('تحليل التكلفة والسعر'!$C$2:$C$700,MATCH($C8777,'تحليل التكلفة والسعر'!$B$2:$B$700,0)),0))</f>
        <v/>
      </c>
    </row>
    <row r="8778" customFormat="false" ht="15" hidden="false" customHeight="false" outlineLevel="0" collapsed="false">
      <c r="A8778" s="103"/>
      <c r="B8778" s="104"/>
      <c r="C8778" s="104"/>
      <c r="E8778" s="107" t="str">
        <f aca="false">IF($C8778="","",IFERROR(INDEX(المنيو!$C$2:$C$500,MATCH($C8778,المنيو!$B$2:$B$500,0)),0))</f>
        <v/>
      </c>
      <c r="F8778" s="107" t="str">
        <f aca="false">IF($C8778="","",$D8778*$E8778)</f>
        <v/>
      </c>
      <c r="G8778" s="107" t="str">
        <f aca="false">IF($C8778="","",$D8778*IFERROR(INDEX('تحليل التكلفة والسعر'!$C$2:$C$700,MATCH($C8778,'تحليل التكلفة والسعر'!$B$2:$B$700,0)),0))</f>
        <v/>
      </c>
    </row>
    <row r="8779" customFormat="false" ht="15" hidden="false" customHeight="false" outlineLevel="0" collapsed="false">
      <c r="A8779" s="103"/>
      <c r="B8779" s="104"/>
      <c r="C8779" s="104"/>
      <c r="E8779" s="107" t="str">
        <f aca="false">IF($C8779="","",IFERROR(INDEX(المنيو!$C$2:$C$500,MATCH($C8779,المنيو!$B$2:$B$500,0)),0))</f>
        <v/>
      </c>
      <c r="F8779" s="107" t="str">
        <f aca="false">IF($C8779="","",$D8779*$E8779)</f>
        <v/>
      </c>
      <c r="G8779" s="107" t="str">
        <f aca="false">IF($C8779="","",$D8779*IFERROR(INDEX('تحليل التكلفة والسعر'!$C$2:$C$700,MATCH($C8779,'تحليل التكلفة والسعر'!$B$2:$B$700,0)),0))</f>
        <v/>
      </c>
    </row>
    <row r="8780" customFormat="false" ht="15" hidden="false" customHeight="false" outlineLevel="0" collapsed="false">
      <c r="A8780" s="103"/>
      <c r="B8780" s="104"/>
      <c r="C8780" s="104"/>
      <c r="E8780" s="107" t="str">
        <f aca="false">IF($C8780="","",IFERROR(INDEX(المنيو!$C$2:$C$500,MATCH($C8780,المنيو!$B$2:$B$500,0)),0))</f>
        <v/>
      </c>
      <c r="F8780" s="107" t="str">
        <f aca="false">IF($C8780="","",$D8780*$E8780)</f>
        <v/>
      </c>
      <c r="G8780" s="107" t="str">
        <f aca="false">IF($C8780="","",$D8780*IFERROR(INDEX('تحليل التكلفة والسعر'!$C$2:$C$700,MATCH($C8780,'تحليل التكلفة والسعر'!$B$2:$B$700,0)),0))</f>
        <v/>
      </c>
    </row>
    <row r="8781" customFormat="false" ht="15" hidden="false" customHeight="false" outlineLevel="0" collapsed="false">
      <c r="A8781" s="103"/>
      <c r="B8781" s="104"/>
      <c r="C8781" s="104"/>
      <c r="E8781" s="107" t="str">
        <f aca="false">IF($C8781="","",IFERROR(INDEX(المنيو!$C$2:$C$500,MATCH($C8781,المنيو!$B$2:$B$500,0)),0))</f>
        <v/>
      </c>
      <c r="F8781" s="107" t="str">
        <f aca="false">IF($C8781="","",$D8781*$E8781)</f>
        <v/>
      </c>
      <c r="G8781" s="107" t="str">
        <f aca="false">IF($C8781="","",$D8781*IFERROR(INDEX('تحليل التكلفة والسعر'!$C$2:$C$700,MATCH($C8781,'تحليل التكلفة والسعر'!$B$2:$B$700,0)),0))</f>
        <v/>
      </c>
    </row>
    <row r="8782" customFormat="false" ht="15" hidden="false" customHeight="false" outlineLevel="0" collapsed="false">
      <c r="A8782" s="103"/>
      <c r="B8782" s="104"/>
      <c r="C8782" s="104"/>
      <c r="E8782" s="107" t="str">
        <f aca="false">IF($C8782="","",IFERROR(INDEX(المنيو!$C$2:$C$500,MATCH($C8782,المنيو!$B$2:$B$500,0)),0))</f>
        <v/>
      </c>
      <c r="F8782" s="107" t="str">
        <f aca="false">IF($C8782="","",$D8782*$E8782)</f>
        <v/>
      </c>
      <c r="G8782" s="107" t="str">
        <f aca="false">IF($C8782="","",$D8782*IFERROR(INDEX('تحليل التكلفة والسعر'!$C$2:$C$700,MATCH($C8782,'تحليل التكلفة والسعر'!$B$2:$B$700,0)),0))</f>
        <v/>
      </c>
    </row>
    <row r="8783" customFormat="false" ht="15" hidden="false" customHeight="false" outlineLevel="0" collapsed="false">
      <c r="A8783" s="103"/>
      <c r="B8783" s="104"/>
      <c r="C8783" s="104"/>
      <c r="E8783" s="107" t="str">
        <f aca="false">IF($C8783="","",IFERROR(INDEX(المنيو!$C$2:$C$500,MATCH($C8783,المنيو!$B$2:$B$500,0)),0))</f>
        <v/>
      </c>
      <c r="F8783" s="107" t="str">
        <f aca="false">IF($C8783="","",$D8783*$E8783)</f>
        <v/>
      </c>
      <c r="G8783" s="107" t="str">
        <f aca="false">IF($C8783="","",$D8783*IFERROR(INDEX('تحليل التكلفة والسعر'!$C$2:$C$700,MATCH($C8783,'تحليل التكلفة والسعر'!$B$2:$B$700,0)),0))</f>
        <v/>
      </c>
    </row>
    <row r="8784" customFormat="false" ht="15" hidden="false" customHeight="false" outlineLevel="0" collapsed="false">
      <c r="A8784" s="103"/>
      <c r="B8784" s="104"/>
      <c r="C8784" s="104"/>
      <c r="E8784" s="107" t="str">
        <f aca="false">IF($C8784="","",IFERROR(INDEX(المنيو!$C$2:$C$500,MATCH($C8784,المنيو!$B$2:$B$500,0)),0))</f>
        <v/>
      </c>
      <c r="F8784" s="107" t="str">
        <f aca="false">IF($C8784="","",$D8784*$E8784)</f>
        <v/>
      </c>
      <c r="G8784" s="107" t="str">
        <f aca="false">IF($C8784="","",$D8784*IFERROR(INDEX('تحليل التكلفة والسعر'!$C$2:$C$700,MATCH($C8784,'تحليل التكلفة والسعر'!$B$2:$B$700,0)),0))</f>
        <v/>
      </c>
    </row>
    <row r="8785" customFormat="false" ht="15" hidden="false" customHeight="false" outlineLevel="0" collapsed="false">
      <c r="A8785" s="103"/>
      <c r="B8785" s="104"/>
      <c r="C8785" s="104"/>
      <c r="E8785" s="107" t="str">
        <f aca="false">IF($C8785="","",IFERROR(INDEX(المنيو!$C$2:$C$500,MATCH($C8785,المنيو!$B$2:$B$500,0)),0))</f>
        <v/>
      </c>
      <c r="F8785" s="107" t="str">
        <f aca="false">IF($C8785="","",$D8785*$E8785)</f>
        <v/>
      </c>
      <c r="G8785" s="107" t="str">
        <f aca="false">IF($C8785="","",$D8785*IFERROR(INDEX('تحليل التكلفة والسعر'!$C$2:$C$700,MATCH($C8785,'تحليل التكلفة والسعر'!$B$2:$B$700,0)),0))</f>
        <v/>
      </c>
    </row>
    <row r="8786" customFormat="false" ht="15" hidden="false" customHeight="false" outlineLevel="0" collapsed="false">
      <c r="A8786" s="103"/>
      <c r="B8786" s="104"/>
      <c r="C8786" s="104"/>
      <c r="E8786" s="107" t="str">
        <f aca="false">IF($C8786="","",IFERROR(INDEX(المنيو!$C$2:$C$500,MATCH($C8786,المنيو!$B$2:$B$500,0)),0))</f>
        <v/>
      </c>
      <c r="F8786" s="107" t="str">
        <f aca="false">IF($C8786="","",$D8786*$E8786)</f>
        <v/>
      </c>
      <c r="G8786" s="107" t="str">
        <f aca="false">IF($C8786="","",$D8786*IFERROR(INDEX('تحليل التكلفة والسعر'!$C$2:$C$700,MATCH($C8786,'تحليل التكلفة والسعر'!$B$2:$B$700,0)),0))</f>
        <v/>
      </c>
    </row>
    <row r="8787" customFormat="false" ht="15" hidden="false" customHeight="false" outlineLevel="0" collapsed="false">
      <c r="A8787" s="103"/>
      <c r="B8787" s="104"/>
      <c r="C8787" s="104"/>
      <c r="E8787" s="107" t="str">
        <f aca="false">IF($C8787="","",IFERROR(INDEX(المنيو!$C$2:$C$500,MATCH($C8787,المنيو!$B$2:$B$500,0)),0))</f>
        <v/>
      </c>
      <c r="F8787" s="107" t="str">
        <f aca="false">IF($C8787="","",$D8787*$E8787)</f>
        <v/>
      </c>
      <c r="G8787" s="107" t="str">
        <f aca="false">IF($C8787="","",$D8787*IFERROR(INDEX('تحليل التكلفة والسعر'!$C$2:$C$700,MATCH($C8787,'تحليل التكلفة والسعر'!$B$2:$B$700,0)),0))</f>
        <v/>
      </c>
    </row>
    <row r="8788" customFormat="false" ht="15" hidden="false" customHeight="false" outlineLevel="0" collapsed="false">
      <c r="A8788" s="103"/>
      <c r="B8788" s="104"/>
      <c r="C8788" s="104"/>
      <c r="E8788" s="107" t="str">
        <f aca="false">IF($C8788="","",IFERROR(INDEX(المنيو!$C$2:$C$500,MATCH($C8788,المنيو!$B$2:$B$500,0)),0))</f>
        <v/>
      </c>
      <c r="F8788" s="107" t="str">
        <f aca="false">IF($C8788="","",$D8788*$E8788)</f>
        <v/>
      </c>
      <c r="G8788" s="107" t="str">
        <f aca="false">IF($C8788="","",$D8788*IFERROR(INDEX('تحليل التكلفة والسعر'!$C$2:$C$700,MATCH($C8788,'تحليل التكلفة والسعر'!$B$2:$B$700,0)),0))</f>
        <v/>
      </c>
    </row>
    <row r="8789" customFormat="false" ht="15" hidden="false" customHeight="false" outlineLevel="0" collapsed="false">
      <c r="A8789" s="103"/>
      <c r="B8789" s="104"/>
      <c r="C8789" s="104"/>
      <c r="E8789" s="107" t="str">
        <f aca="false">IF($C8789="","",IFERROR(INDEX(المنيو!$C$2:$C$500,MATCH($C8789,المنيو!$B$2:$B$500,0)),0))</f>
        <v/>
      </c>
      <c r="F8789" s="107" t="str">
        <f aca="false">IF($C8789="","",$D8789*$E8789)</f>
        <v/>
      </c>
      <c r="G8789" s="107" t="str">
        <f aca="false">IF($C8789="","",$D8789*IFERROR(INDEX('تحليل التكلفة والسعر'!$C$2:$C$700,MATCH($C8789,'تحليل التكلفة والسعر'!$B$2:$B$700,0)),0))</f>
        <v/>
      </c>
    </row>
    <row r="8790" customFormat="false" ht="15" hidden="false" customHeight="false" outlineLevel="0" collapsed="false">
      <c r="A8790" s="103"/>
      <c r="B8790" s="104"/>
      <c r="C8790" s="104"/>
      <c r="E8790" s="107" t="str">
        <f aca="false">IF($C8790="","",IFERROR(INDEX(المنيو!$C$2:$C$500,MATCH($C8790,المنيو!$B$2:$B$500,0)),0))</f>
        <v/>
      </c>
      <c r="F8790" s="107" t="str">
        <f aca="false">IF($C8790="","",$D8790*$E8790)</f>
        <v/>
      </c>
      <c r="G8790" s="107" t="str">
        <f aca="false">IF($C8790="","",$D8790*IFERROR(INDEX('تحليل التكلفة والسعر'!$C$2:$C$700,MATCH($C8790,'تحليل التكلفة والسعر'!$B$2:$B$700,0)),0))</f>
        <v/>
      </c>
    </row>
    <row r="8791" customFormat="false" ht="15" hidden="false" customHeight="false" outlineLevel="0" collapsed="false">
      <c r="A8791" s="103"/>
      <c r="B8791" s="104"/>
      <c r="C8791" s="104"/>
      <c r="E8791" s="107" t="str">
        <f aca="false">IF($C8791="","",IFERROR(INDEX(المنيو!$C$2:$C$500,MATCH($C8791,المنيو!$B$2:$B$500,0)),0))</f>
        <v/>
      </c>
      <c r="F8791" s="107" t="str">
        <f aca="false">IF($C8791="","",$D8791*$E8791)</f>
        <v/>
      </c>
      <c r="G8791" s="107" t="str">
        <f aca="false">IF($C8791="","",$D8791*IFERROR(INDEX('تحليل التكلفة والسعر'!$C$2:$C$700,MATCH($C8791,'تحليل التكلفة والسعر'!$B$2:$B$700,0)),0))</f>
        <v/>
      </c>
    </row>
    <row r="8792" customFormat="false" ht="15" hidden="false" customHeight="false" outlineLevel="0" collapsed="false">
      <c r="A8792" s="103"/>
      <c r="B8792" s="104"/>
      <c r="C8792" s="104"/>
      <c r="E8792" s="107" t="str">
        <f aca="false">IF($C8792="","",IFERROR(INDEX(المنيو!$C$2:$C$500,MATCH($C8792,المنيو!$B$2:$B$500,0)),0))</f>
        <v/>
      </c>
      <c r="F8792" s="107" t="str">
        <f aca="false">IF($C8792="","",$D8792*$E8792)</f>
        <v/>
      </c>
      <c r="G8792" s="107" t="str">
        <f aca="false">IF($C8792="","",$D8792*IFERROR(INDEX('تحليل التكلفة والسعر'!$C$2:$C$700,MATCH($C8792,'تحليل التكلفة والسعر'!$B$2:$B$700,0)),0))</f>
        <v/>
      </c>
    </row>
    <row r="8793" customFormat="false" ht="15" hidden="false" customHeight="false" outlineLevel="0" collapsed="false">
      <c r="A8793" s="103"/>
      <c r="B8793" s="104"/>
      <c r="C8793" s="104"/>
      <c r="E8793" s="107" t="str">
        <f aca="false">IF($C8793="","",IFERROR(INDEX(المنيو!$C$2:$C$500,MATCH($C8793,المنيو!$B$2:$B$500,0)),0))</f>
        <v/>
      </c>
      <c r="F8793" s="107" t="str">
        <f aca="false">IF($C8793="","",$D8793*$E8793)</f>
        <v/>
      </c>
      <c r="G8793" s="107" t="str">
        <f aca="false">IF($C8793="","",$D8793*IFERROR(INDEX('تحليل التكلفة والسعر'!$C$2:$C$700,MATCH($C8793,'تحليل التكلفة والسعر'!$B$2:$B$700,0)),0))</f>
        <v/>
      </c>
    </row>
    <row r="8794" customFormat="false" ht="15" hidden="false" customHeight="false" outlineLevel="0" collapsed="false">
      <c r="A8794" s="103"/>
      <c r="B8794" s="104"/>
      <c r="C8794" s="104"/>
      <c r="E8794" s="107" t="str">
        <f aca="false">IF($C8794="","",IFERROR(INDEX(المنيو!$C$2:$C$500,MATCH($C8794,المنيو!$B$2:$B$500,0)),0))</f>
        <v/>
      </c>
      <c r="F8794" s="107" t="str">
        <f aca="false">IF($C8794="","",$D8794*$E8794)</f>
        <v/>
      </c>
      <c r="G8794" s="107" t="str">
        <f aca="false">IF($C8794="","",$D8794*IFERROR(INDEX('تحليل التكلفة والسعر'!$C$2:$C$700,MATCH($C8794,'تحليل التكلفة والسعر'!$B$2:$B$700,0)),0))</f>
        <v/>
      </c>
    </row>
    <row r="8795" customFormat="false" ht="15" hidden="false" customHeight="false" outlineLevel="0" collapsed="false">
      <c r="A8795" s="103"/>
      <c r="B8795" s="104"/>
      <c r="C8795" s="104"/>
      <c r="E8795" s="107" t="str">
        <f aca="false">IF($C8795="","",IFERROR(INDEX(المنيو!$C$2:$C$500,MATCH($C8795,المنيو!$B$2:$B$500,0)),0))</f>
        <v/>
      </c>
      <c r="F8795" s="107" t="str">
        <f aca="false">IF($C8795="","",$D8795*$E8795)</f>
        <v/>
      </c>
      <c r="G8795" s="107" t="str">
        <f aca="false">IF($C8795="","",$D8795*IFERROR(INDEX('تحليل التكلفة والسعر'!$C$2:$C$700,MATCH($C8795,'تحليل التكلفة والسعر'!$B$2:$B$700,0)),0))</f>
        <v/>
      </c>
    </row>
    <row r="8796" customFormat="false" ht="15" hidden="false" customHeight="false" outlineLevel="0" collapsed="false">
      <c r="A8796" s="103"/>
      <c r="B8796" s="104"/>
      <c r="C8796" s="104"/>
      <c r="E8796" s="107" t="str">
        <f aca="false">IF($C8796="","",IFERROR(INDEX(المنيو!$C$2:$C$500,MATCH($C8796,المنيو!$B$2:$B$500,0)),0))</f>
        <v/>
      </c>
      <c r="F8796" s="107" t="str">
        <f aca="false">IF($C8796="","",$D8796*$E8796)</f>
        <v/>
      </c>
      <c r="G8796" s="107" t="str">
        <f aca="false">IF($C8796="","",$D8796*IFERROR(INDEX('تحليل التكلفة والسعر'!$C$2:$C$700,MATCH($C8796,'تحليل التكلفة والسعر'!$B$2:$B$700,0)),0))</f>
        <v/>
      </c>
    </row>
    <row r="8797" customFormat="false" ht="15" hidden="false" customHeight="false" outlineLevel="0" collapsed="false">
      <c r="A8797" s="103"/>
      <c r="B8797" s="104"/>
      <c r="C8797" s="104"/>
      <c r="E8797" s="107" t="str">
        <f aca="false">IF($C8797="","",IFERROR(INDEX(المنيو!$C$2:$C$500,MATCH($C8797,المنيو!$B$2:$B$500,0)),0))</f>
        <v/>
      </c>
      <c r="F8797" s="107" t="str">
        <f aca="false">IF($C8797="","",$D8797*$E8797)</f>
        <v/>
      </c>
      <c r="G8797" s="107" t="str">
        <f aca="false">IF($C8797="","",$D8797*IFERROR(INDEX('تحليل التكلفة والسعر'!$C$2:$C$700,MATCH($C8797,'تحليل التكلفة والسعر'!$B$2:$B$700,0)),0))</f>
        <v/>
      </c>
    </row>
    <row r="8798" customFormat="false" ht="15" hidden="false" customHeight="false" outlineLevel="0" collapsed="false">
      <c r="A8798" s="103"/>
      <c r="B8798" s="104"/>
      <c r="C8798" s="104"/>
      <c r="E8798" s="107" t="str">
        <f aca="false">IF($C8798="","",IFERROR(INDEX(المنيو!$C$2:$C$500,MATCH($C8798,المنيو!$B$2:$B$500,0)),0))</f>
        <v/>
      </c>
      <c r="F8798" s="107" t="str">
        <f aca="false">IF($C8798="","",$D8798*$E8798)</f>
        <v/>
      </c>
      <c r="G8798" s="107" t="str">
        <f aca="false">IF($C8798="","",$D8798*IFERROR(INDEX('تحليل التكلفة والسعر'!$C$2:$C$700,MATCH($C8798,'تحليل التكلفة والسعر'!$B$2:$B$700,0)),0))</f>
        <v/>
      </c>
    </row>
    <row r="8799" customFormat="false" ht="15" hidden="false" customHeight="false" outlineLevel="0" collapsed="false">
      <c r="A8799" s="103"/>
      <c r="B8799" s="104"/>
      <c r="C8799" s="104"/>
      <c r="E8799" s="107" t="str">
        <f aca="false">IF($C8799="","",IFERROR(INDEX(المنيو!$C$2:$C$500,MATCH($C8799,المنيو!$B$2:$B$500,0)),0))</f>
        <v/>
      </c>
      <c r="F8799" s="107" t="str">
        <f aca="false">IF($C8799="","",$D8799*$E8799)</f>
        <v/>
      </c>
      <c r="G8799" s="107" t="str">
        <f aca="false">IF($C8799="","",$D8799*IFERROR(INDEX('تحليل التكلفة والسعر'!$C$2:$C$700,MATCH($C8799,'تحليل التكلفة والسعر'!$B$2:$B$700,0)),0))</f>
        <v/>
      </c>
    </row>
    <row r="8800" customFormat="false" ht="15" hidden="false" customHeight="false" outlineLevel="0" collapsed="false">
      <c r="A8800" s="103"/>
      <c r="B8800" s="104"/>
      <c r="C8800" s="104"/>
      <c r="E8800" s="107" t="str">
        <f aca="false">IF($C8800="","",IFERROR(INDEX(المنيو!$C$2:$C$500,MATCH($C8800,المنيو!$B$2:$B$500,0)),0))</f>
        <v/>
      </c>
      <c r="F8800" s="107" t="str">
        <f aca="false">IF($C8800="","",$D8800*$E8800)</f>
        <v/>
      </c>
      <c r="G8800" s="107" t="str">
        <f aca="false">IF($C8800="","",$D8800*IFERROR(INDEX('تحليل التكلفة والسعر'!$C$2:$C$700,MATCH($C8800,'تحليل التكلفة والسعر'!$B$2:$B$700,0)),0))</f>
        <v/>
      </c>
    </row>
    <row r="8801" customFormat="false" ht="15" hidden="false" customHeight="false" outlineLevel="0" collapsed="false">
      <c r="A8801" s="103"/>
      <c r="B8801" s="104"/>
      <c r="C8801" s="104"/>
      <c r="E8801" s="107" t="str">
        <f aca="false">IF($C8801="","",IFERROR(INDEX(المنيو!$C$2:$C$500,MATCH($C8801,المنيو!$B$2:$B$500,0)),0))</f>
        <v/>
      </c>
      <c r="F8801" s="107" t="str">
        <f aca="false">IF($C8801="","",$D8801*$E8801)</f>
        <v/>
      </c>
      <c r="G8801" s="107" t="str">
        <f aca="false">IF($C8801="","",$D8801*IFERROR(INDEX('تحليل التكلفة والسعر'!$C$2:$C$700,MATCH($C8801,'تحليل التكلفة والسعر'!$B$2:$B$700,0)),0))</f>
        <v/>
      </c>
    </row>
    <row r="8802" customFormat="false" ht="15" hidden="false" customHeight="false" outlineLevel="0" collapsed="false">
      <c r="A8802" s="103"/>
      <c r="B8802" s="104"/>
      <c r="C8802" s="104"/>
      <c r="E8802" s="107" t="str">
        <f aca="false">IF($C8802="","",IFERROR(INDEX(المنيو!$C$2:$C$500,MATCH($C8802,المنيو!$B$2:$B$500,0)),0))</f>
        <v/>
      </c>
      <c r="F8802" s="107" t="str">
        <f aca="false">IF($C8802="","",$D8802*$E8802)</f>
        <v/>
      </c>
      <c r="G8802" s="107" t="str">
        <f aca="false">IF($C8802="","",$D8802*IFERROR(INDEX('تحليل التكلفة والسعر'!$C$2:$C$700,MATCH($C8802,'تحليل التكلفة والسعر'!$B$2:$B$700,0)),0))</f>
        <v/>
      </c>
    </row>
    <row r="8803" customFormat="false" ht="15" hidden="false" customHeight="false" outlineLevel="0" collapsed="false">
      <c r="A8803" s="103"/>
      <c r="B8803" s="104"/>
      <c r="C8803" s="104"/>
      <c r="E8803" s="107" t="str">
        <f aca="false">IF($C8803="","",IFERROR(INDEX(المنيو!$C$2:$C$500,MATCH($C8803,المنيو!$B$2:$B$500,0)),0))</f>
        <v/>
      </c>
      <c r="F8803" s="107" t="str">
        <f aca="false">IF($C8803="","",$D8803*$E8803)</f>
        <v/>
      </c>
      <c r="G8803" s="107" t="str">
        <f aca="false">IF($C8803="","",$D8803*IFERROR(INDEX('تحليل التكلفة والسعر'!$C$2:$C$700,MATCH($C8803,'تحليل التكلفة والسعر'!$B$2:$B$700,0)),0))</f>
        <v/>
      </c>
    </row>
    <row r="8804" customFormat="false" ht="15" hidden="false" customHeight="false" outlineLevel="0" collapsed="false">
      <c r="A8804" s="103"/>
      <c r="B8804" s="104"/>
      <c r="C8804" s="104"/>
      <c r="E8804" s="107" t="str">
        <f aca="false">IF($C8804="","",IFERROR(INDEX(المنيو!$C$2:$C$500,MATCH($C8804,المنيو!$B$2:$B$500,0)),0))</f>
        <v/>
      </c>
      <c r="F8804" s="107" t="str">
        <f aca="false">IF($C8804="","",$D8804*$E8804)</f>
        <v/>
      </c>
      <c r="G8804" s="107" t="str">
        <f aca="false">IF($C8804="","",$D8804*IFERROR(INDEX('تحليل التكلفة والسعر'!$C$2:$C$700,MATCH($C8804,'تحليل التكلفة والسعر'!$B$2:$B$700,0)),0))</f>
        <v/>
      </c>
    </row>
    <row r="8805" customFormat="false" ht="15" hidden="false" customHeight="false" outlineLevel="0" collapsed="false">
      <c r="A8805" s="103"/>
      <c r="B8805" s="104"/>
      <c r="C8805" s="104"/>
      <c r="E8805" s="107" t="str">
        <f aca="false">IF($C8805="","",IFERROR(INDEX(المنيو!$C$2:$C$500,MATCH($C8805,المنيو!$B$2:$B$500,0)),0))</f>
        <v/>
      </c>
      <c r="F8805" s="107" t="str">
        <f aca="false">IF($C8805="","",$D8805*$E8805)</f>
        <v/>
      </c>
      <c r="G8805" s="107" t="str">
        <f aca="false">IF($C8805="","",$D8805*IFERROR(INDEX('تحليل التكلفة والسعر'!$C$2:$C$700,MATCH($C8805,'تحليل التكلفة والسعر'!$B$2:$B$700,0)),0))</f>
        <v/>
      </c>
    </row>
    <row r="8806" customFormat="false" ht="15" hidden="false" customHeight="false" outlineLevel="0" collapsed="false">
      <c r="A8806" s="103"/>
      <c r="B8806" s="104"/>
      <c r="C8806" s="104"/>
      <c r="E8806" s="107" t="str">
        <f aca="false">IF($C8806="","",IFERROR(INDEX(المنيو!$C$2:$C$500,MATCH($C8806,المنيو!$B$2:$B$500,0)),0))</f>
        <v/>
      </c>
      <c r="F8806" s="107" t="str">
        <f aca="false">IF($C8806="","",$D8806*$E8806)</f>
        <v/>
      </c>
      <c r="G8806" s="107" t="str">
        <f aca="false">IF($C8806="","",$D8806*IFERROR(INDEX('تحليل التكلفة والسعر'!$C$2:$C$700,MATCH($C8806,'تحليل التكلفة والسعر'!$B$2:$B$700,0)),0))</f>
        <v/>
      </c>
    </row>
    <row r="8807" customFormat="false" ht="15" hidden="false" customHeight="false" outlineLevel="0" collapsed="false">
      <c r="A8807" s="103"/>
      <c r="B8807" s="104"/>
      <c r="C8807" s="104"/>
      <c r="E8807" s="107" t="str">
        <f aca="false">IF($C8807="","",IFERROR(INDEX(المنيو!$C$2:$C$500,MATCH($C8807,المنيو!$B$2:$B$500,0)),0))</f>
        <v/>
      </c>
      <c r="F8807" s="107" t="str">
        <f aca="false">IF($C8807="","",$D8807*$E8807)</f>
        <v/>
      </c>
      <c r="G8807" s="107" t="str">
        <f aca="false">IF($C8807="","",$D8807*IFERROR(INDEX('تحليل التكلفة والسعر'!$C$2:$C$700,MATCH($C8807,'تحليل التكلفة والسعر'!$B$2:$B$700,0)),0))</f>
        <v/>
      </c>
    </row>
    <row r="8808" customFormat="false" ht="15" hidden="false" customHeight="false" outlineLevel="0" collapsed="false">
      <c r="A8808" s="103"/>
      <c r="B8808" s="104"/>
      <c r="C8808" s="104"/>
      <c r="E8808" s="107" t="str">
        <f aca="false">IF($C8808="","",IFERROR(INDEX(المنيو!$C$2:$C$500,MATCH($C8808,المنيو!$B$2:$B$500,0)),0))</f>
        <v/>
      </c>
      <c r="F8808" s="107" t="str">
        <f aca="false">IF($C8808="","",$D8808*$E8808)</f>
        <v/>
      </c>
      <c r="G8808" s="107" t="str">
        <f aca="false">IF($C8808="","",$D8808*IFERROR(INDEX('تحليل التكلفة والسعر'!$C$2:$C$700,MATCH($C8808,'تحليل التكلفة والسعر'!$B$2:$B$700,0)),0))</f>
        <v/>
      </c>
    </row>
    <row r="8809" customFormat="false" ht="15" hidden="false" customHeight="false" outlineLevel="0" collapsed="false">
      <c r="A8809" s="103"/>
      <c r="B8809" s="104"/>
      <c r="C8809" s="104"/>
      <c r="E8809" s="107" t="str">
        <f aca="false">IF($C8809="","",IFERROR(INDEX(المنيو!$C$2:$C$500,MATCH($C8809,المنيو!$B$2:$B$500,0)),0))</f>
        <v/>
      </c>
      <c r="F8809" s="107" t="str">
        <f aca="false">IF($C8809="","",$D8809*$E8809)</f>
        <v/>
      </c>
      <c r="G8809" s="107" t="str">
        <f aca="false">IF($C8809="","",$D8809*IFERROR(INDEX('تحليل التكلفة والسعر'!$C$2:$C$700,MATCH($C8809,'تحليل التكلفة والسعر'!$B$2:$B$700,0)),0))</f>
        <v/>
      </c>
    </row>
    <row r="8810" customFormat="false" ht="15" hidden="false" customHeight="false" outlineLevel="0" collapsed="false">
      <c r="A8810" s="103"/>
      <c r="B8810" s="104"/>
      <c r="C8810" s="104"/>
      <c r="E8810" s="107" t="str">
        <f aca="false">IF($C8810="","",IFERROR(INDEX(المنيو!$C$2:$C$500,MATCH($C8810,المنيو!$B$2:$B$500,0)),0))</f>
        <v/>
      </c>
      <c r="F8810" s="107" t="str">
        <f aca="false">IF($C8810="","",$D8810*$E8810)</f>
        <v/>
      </c>
      <c r="G8810" s="107" t="str">
        <f aca="false">IF($C8810="","",$D8810*IFERROR(INDEX('تحليل التكلفة والسعر'!$C$2:$C$700,MATCH($C8810,'تحليل التكلفة والسعر'!$B$2:$B$700,0)),0))</f>
        <v/>
      </c>
    </row>
    <row r="8811" customFormat="false" ht="15" hidden="false" customHeight="false" outlineLevel="0" collapsed="false">
      <c r="A8811" s="103"/>
      <c r="B8811" s="104"/>
      <c r="C8811" s="104"/>
      <c r="E8811" s="107" t="str">
        <f aca="false">IF($C8811="","",IFERROR(INDEX(المنيو!$C$2:$C$500,MATCH($C8811,المنيو!$B$2:$B$500,0)),0))</f>
        <v/>
      </c>
      <c r="F8811" s="107" t="str">
        <f aca="false">IF($C8811="","",$D8811*$E8811)</f>
        <v/>
      </c>
      <c r="G8811" s="107" t="str">
        <f aca="false">IF($C8811="","",$D8811*IFERROR(INDEX('تحليل التكلفة والسعر'!$C$2:$C$700,MATCH($C8811,'تحليل التكلفة والسعر'!$B$2:$B$700,0)),0))</f>
        <v/>
      </c>
    </row>
    <row r="8812" customFormat="false" ht="15" hidden="false" customHeight="false" outlineLevel="0" collapsed="false">
      <c r="A8812" s="103"/>
      <c r="B8812" s="104"/>
      <c r="C8812" s="104"/>
      <c r="E8812" s="107" t="str">
        <f aca="false">IF($C8812="","",IFERROR(INDEX(المنيو!$C$2:$C$500,MATCH($C8812,المنيو!$B$2:$B$500,0)),0))</f>
        <v/>
      </c>
      <c r="F8812" s="107" t="str">
        <f aca="false">IF($C8812="","",$D8812*$E8812)</f>
        <v/>
      </c>
      <c r="G8812" s="107" t="str">
        <f aca="false">IF($C8812="","",$D8812*IFERROR(INDEX('تحليل التكلفة والسعر'!$C$2:$C$700,MATCH($C8812,'تحليل التكلفة والسعر'!$B$2:$B$700,0)),0))</f>
        <v/>
      </c>
    </row>
    <row r="8813" customFormat="false" ht="15" hidden="false" customHeight="false" outlineLevel="0" collapsed="false">
      <c r="A8813" s="103"/>
      <c r="B8813" s="104"/>
      <c r="C8813" s="104"/>
      <c r="E8813" s="107" t="str">
        <f aca="false">IF($C8813="","",IFERROR(INDEX(المنيو!$C$2:$C$500,MATCH($C8813,المنيو!$B$2:$B$500,0)),0))</f>
        <v/>
      </c>
      <c r="F8813" s="107" t="str">
        <f aca="false">IF($C8813="","",$D8813*$E8813)</f>
        <v/>
      </c>
      <c r="G8813" s="107" t="str">
        <f aca="false">IF($C8813="","",$D8813*IFERROR(INDEX('تحليل التكلفة والسعر'!$C$2:$C$700,MATCH($C8813,'تحليل التكلفة والسعر'!$B$2:$B$700,0)),0))</f>
        <v/>
      </c>
    </row>
    <row r="8814" customFormat="false" ht="15" hidden="false" customHeight="false" outlineLevel="0" collapsed="false">
      <c r="A8814" s="103"/>
      <c r="B8814" s="104"/>
      <c r="C8814" s="104"/>
      <c r="E8814" s="107" t="str">
        <f aca="false">IF($C8814="","",IFERROR(INDEX(المنيو!$C$2:$C$500,MATCH($C8814,المنيو!$B$2:$B$500,0)),0))</f>
        <v/>
      </c>
      <c r="F8814" s="107" t="str">
        <f aca="false">IF($C8814="","",$D8814*$E8814)</f>
        <v/>
      </c>
      <c r="G8814" s="107" t="str">
        <f aca="false">IF($C8814="","",$D8814*IFERROR(INDEX('تحليل التكلفة والسعر'!$C$2:$C$700,MATCH($C8814,'تحليل التكلفة والسعر'!$B$2:$B$700,0)),0))</f>
        <v/>
      </c>
    </row>
    <row r="8815" customFormat="false" ht="15" hidden="false" customHeight="false" outlineLevel="0" collapsed="false">
      <c r="A8815" s="103"/>
      <c r="B8815" s="104"/>
      <c r="C8815" s="104"/>
      <c r="E8815" s="107" t="str">
        <f aca="false">IF($C8815="","",IFERROR(INDEX(المنيو!$C$2:$C$500,MATCH($C8815,المنيو!$B$2:$B$500,0)),0))</f>
        <v/>
      </c>
      <c r="F8815" s="107" t="str">
        <f aca="false">IF($C8815="","",$D8815*$E8815)</f>
        <v/>
      </c>
      <c r="G8815" s="107" t="str">
        <f aca="false">IF($C8815="","",$D8815*IFERROR(INDEX('تحليل التكلفة والسعر'!$C$2:$C$700,MATCH($C8815,'تحليل التكلفة والسعر'!$B$2:$B$700,0)),0))</f>
        <v/>
      </c>
    </row>
    <row r="8816" customFormat="false" ht="15" hidden="false" customHeight="false" outlineLevel="0" collapsed="false">
      <c r="A8816" s="103"/>
      <c r="B8816" s="104"/>
      <c r="C8816" s="104"/>
      <c r="E8816" s="107" t="str">
        <f aca="false">IF($C8816="","",IFERROR(INDEX(المنيو!$C$2:$C$500,MATCH($C8816,المنيو!$B$2:$B$500,0)),0))</f>
        <v/>
      </c>
      <c r="F8816" s="107" t="str">
        <f aca="false">IF($C8816="","",$D8816*$E8816)</f>
        <v/>
      </c>
      <c r="G8816" s="107" t="str">
        <f aca="false">IF($C8816="","",$D8816*IFERROR(INDEX('تحليل التكلفة والسعر'!$C$2:$C$700,MATCH($C8816,'تحليل التكلفة والسعر'!$B$2:$B$700,0)),0))</f>
        <v/>
      </c>
    </row>
    <row r="8817" customFormat="false" ht="15" hidden="false" customHeight="false" outlineLevel="0" collapsed="false">
      <c r="A8817" s="103"/>
      <c r="B8817" s="104"/>
      <c r="C8817" s="104"/>
      <c r="E8817" s="107" t="str">
        <f aca="false">IF($C8817="","",IFERROR(INDEX(المنيو!$C$2:$C$500,MATCH($C8817,المنيو!$B$2:$B$500,0)),0))</f>
        <v/>
      </c>
      <c r="F8817" s="107" t="str">
        <f aca="false">IF($C8817="","",$D8817*$E8817)</f>
        <v/>
      </c>
      <c r="G8817" s="107" t="str">
        <f aca="false">IF($C8817="","",$D8817*IFERROR(INDEX('تحليل التكلفة والسعر'!$C$2:$C$700,MATCH($C8817,'تحليل التكلفة والسعر'!$B$2:$B$700,0)),0))</f>
        <v/>
      </c>
    </row>
    <row r="8818" customFormat="false" ht="15" hidden="false" customHeight="false" outlineLevel="0" collapsed="false">
      <c r="A8818" s="103"/>
      <c r="B8818" s="104"/>
      <c r="C8818" s="104"/>
      <c r="E8818" s="107" t="str">
        <f aca="false">IF($C8818="","",IFERROR(INDEX(المنيو!$C$2:$C$500,MATCH($C8818,المنيو!$B$2:$B$500,0)),0))</f>
        <v/>
      </c>
      <c r="F8818" s="107" t="str">
        <f aca="false">IF($C8818="","",$D8818*$E8818)</f>
        <v/>
      </c>
      <c r="G8818" s="107" t="str">
        <f aca="false">IF($C8818="","",$D8818*IFERROR(INDEX('تحليل التكلفة والسعر'!$C$2:$C$700,MATCH($C8818,'تحليل التكلفة والسعر'!$B$2:$B$700,0)),0))</f>
        <v/>
      </c>
    </row>
    <row r="8819" customFormat="false" ht="15" hidden="false" customHeight="false" outlineLevel="0" collapsed="false">
      <c r="A8819" s="103"/>
      <c r="B8819" s="104"/>
      <c r="C8819" s="104"/>
      <c r="E8819" s="107" t="str">
        <f aca="false">IF($C8819="","",IFERROR(INDEX(المنيو!$C$2:$C$500,MATCH($C8819,المنيو!$B$2:$B$500,0)),0))</f>
        <v/>
      </c>
      <c r="F8819" s="107" t="str">
        <f aca="false">IF($C8819="","",$D8819*$E8819)</f>
        <v/>
      </c>
      <c r="G8819" s="107" t="str">
        <f aca="false">IF($C8819="","",$D8819*IFERROR(INDEX('تحليل التكلفة والسعر'!$C$2:$C$700,MATCH($C8819,'تحليل التكلفة والسعر'!$B$2:$B$700,0)),0))</f>
        <v/>
      </c>
    </row>
    <row r="8820" customFormat="false" ht="15" hidden="false" customHeight="false" outlineLevel="0" collapsed="false">
      <c r="A8820" s="103"/>
      <c r="B8820" s="104"/>
      <c r="C8820" s="104"/>
      <c r="E8820" s="107" t="str">
        <f aca="false">IF($C8820="","",IFERROR(INDEX(المنيو!$C$2:$C$500,MATCH($C8820,المنيو!$B$2:$B$500,0)),0))</f>
        <v/>
      </c>
      <c r="F8820" s="107" t="str">
        <f aca="false">IF($C8820="","",$D8820*$E8820)</f>
        <v/>
      </c>
      <c r="G8820" s="107" t="str">
        <f aca="false">IF($C8820="","",$D8820*IFERROR(INDEX('تحليل التكلفة والسعر'!$C$2:$C$700,MATCH($C8820,'تحليل التكلفة والسعر'!$B$2:$B$700,0)),0))</f>
        <v/>
      </c>
    </row>
    <row r="8821" customFormat="false" ht="15" hidden="false" customHeight="false" outlineLevel="0" collapsed="false">
      <c r="A8821" s="103"/>
      <c r="B8821" s="104"/>
      <c r="C8821" s="104"/>
      <c r="E8821" s="107" t="str">
        <f aca="false">IF($C8821="","",IFERROR(INDEX(المنيو!$C$2:$C$500,MATCH($C8821,المنيو!$B$2:$B$500,0)),0))</f>
        <v/>
      </c>
      <c r="F8821" s="107" t="str">
        <f aca="false">IF($C8821="","",$D8821*$E8821)</f>
        <v/>
      </c>
      <c r="G8821" s="107" t="str">
        <f aca="false">IF($C8821="","",$D8821*IFERROR(INDEX('تحليل التكلفة والسعر'!$C$2:$C$700,MATCH($C8821,'تحليل التكلفة والسعر'!$B$2:$B$700,0)),0))</f>
        <v/>
      </c>
    </row>
    <row r="8822" customFormat="false" ht="15" hidden="false" customHeight="false" outlineLevel="0" collapsed="false">
      <c r="A8822" s="103"/>
      <c r="B8822" s="104"/>
      <c r="C8822" s="104"/>
      <c r="E8822" s="107" t="str">
        <f aca="false">IF($C8822="","",IFERROR(INDEX(المنيو!$C$2:$C$500,MATCH($C8822,المنيو!$B$2:$B$500,0)),0))</f>
        <v/>
      </c>
      <c r="F8822" s="107" t="str">
        <f aca="false">IF($C8822="","",$D8822*$E8822)</f>
        <v/>
      </c>
      <c r="G8822" s="107" t="str">
        <f aca="false">IF($C8822="","",$D8822*IFERROR(INDEX('تحليل التكلفة والسعر'!$C$2:$C$700,MATCH($C8822,'تحليل التكلفة والسعر'!$B$2:$B$700,0)),0))</f>
        <v/>
      </c>
    </row>
    <row r="8823" customFormat="false" ht="15" hidden="false" customHeight="false" outlineLevel="0" collapsed="false">
      <c r="A8823" s="103"/>
      <c r="B8823" s="104"/>
      <c r="C8823" s="104"/>
      <c r="E8823" s="107" t="str">
        <f aca="false">IF($C8823="","",IFERROR(INDEX(المنيو!$C$2:$C$500,MATCH($C8823,المنيو!$B$2:$B$500,0)),0))</f>
        <v/>
      </c>
      <c r="F8823" s="107" t="str">
        <f aca="false">IF($C8823="","",$D8823*$E8823)</f>
        <v/>
      </c>
      <c r="G8823" s="107" t="str">
        <f aca="false">IF($C8823="","",$D8823*IFERROR(INDEX('تحليل التكلفة والسعر'!$C$2:$C$700,MATCH($C8823,'تحليل التكلفة والسعر'!$B$2:$B$700,0)),0))</f>
        <v/>
      </c>
    </row>
    <row r="8824" customFormat="false" ht="15" hidden="false" customHeight="false" outlineLevel="0" collapsed="false">
      <c r="A8824" s="103"/>
      <c r="B8824" s="104"/>
      <c r="C8824" s="104"/>
      <c r="E8824" s="107" t="str">
        <f aca="false">IF($C8824="","",IFERROR(INDEX(المنيو!$C$2:$C$500,MATCH($C8824,المنيو!$B$2:$B$500,0)),0))</f>
        <v/>
      </c>
      <c r="F8824" s="107" t="str">
        <f aca="false">IF($C8824="","",$D8824*$E8824)</f>
        <v/>
      </c>
      <c r="G8824" s="107" t="str">
        <f aca="false">IF($C8824="","",$D8824*IFERROR(INDEX('تحليل التكلفة والسعر'!$C$2:$C$700,MATCH($C8824,'تحليل التكلفة والسعر'!$B$2:$B$700,0)),0))</f>
        <v/>
      </c>
    </row>
    <row r="8825" customFormat="false" ht="15" hidden="false" customHeight="false" outlineLevel="0" collapsed="false">
      <c r="A8825" s="103"/>
      <c r="B8825" s="104"/>
      <c r="C8825" s="104"/>
      <c r="E8825" s="107" t="str">
        <f aca="false">IF($C8825="","",IFERROR(INDEX(المنيو!$C$2:$C$500,MATCH($C8825,المنيو!$B$2:$B$500,0)),0))</f>
        <v/>
      </c>
      <c r="F8825" s="107" t="str">
        <f aca="false">IF($C8825="","",$D8825*$E8825)</f>
        <v/>
      </c>
      <c r="G8825" s="107" t="str">
        <f aca="false">IF($C8825="","",$D8825*IFERROR(INDEX('تحليل التكلفة والسعر'!$C$2:$C$700,MATCH($C8825,'تحليل التكلفة والسعر'!$B$2:$B$700,0)),0))</f>
        <v/>
      </c>
    </row>
    <row r="8826" customFormat="false" ht="15" hidden="false" customHeight="false" outlineLevel="0" collapsed="false">
      <c r="A8826" s="103"/>
      <c r="B8826" s="104"/>
      <c r="C8826" s="104"/>
      <c r="E8826" s="107" t="str">
        <f aca="false">IF($C8826="","",IFERROR(INDEX(المنيو!$C$2:$C$500,MATCH($C8826,المنيو!$B$2:$B$500,0)),0))</f>
        <v/>
      </c>
      <c r="F8826" s="107" t="str">
        <f aca="false">IF($C8826="","",$D8826*$E8826)</f>
        <v/>
      </c>
      <c r="G8826" s="107" t="str">
        <f aca="false">IF($C8826="","",$D8826*IFERROR(INDEX('تحليل التكلفة والسعر'!$C$2:$C$700,MATCH($C8826,'تحليل التكلفة والسعر'!$B$2:$B$700,0)),0))</f>
        <v/>
      </c>
    </row>
    <row r="8827" customFormat="false" ht="15" hidden="false" customHeight="false" outlineLevel="0" collapsed="false">
      <c r="A8827" s="103"/>
      <c r="B8827" s="104"/>
      <c r="C8827" s="104"/>
      <c r="E8827" s="107" t="str">
        <f aca="false">IF($C8827="","",IFERROR(INDEX(المنيو!$C$2:$C$500,MATCH($C8827,المنيو!$B$2:$B$500,0)),0))</f>
        <v/>
      </c>
      <c r="F8827" s="107" t="str">
        <f aca="false">IF($C8827="","",$D8827*$E8827)</f>
        <v/>
      </c>
      <c r="G8827" s="107" t="str">
        <f aca="false">IF($C8827="","",$D8827*IFERROR(INDEX('تحليل التكلفة والسعر'!$C$2:$C$700,MATCH($C8827,'تحليل التكلفة والسعر'!$B$2:$B$700,0)),0))</f>
        <v/>
      </c>
    </row>
    <row r="8828" customFormat="false" ht="15" hidden="false" customHeight="false" outlineLevel="0" collapsed="false">
      <c r="A8828" s="103"/>
      <c r="B8828" s="104"/>
      <c r="C8828" s="104"/>
      <c r="E8828" s="107" t="str">
        <f aca="false">IF($C8828="","",IFERROR(INDEX(المنيو!$C$2:$C$500,MATCH($C8828,المنيو!$B$2:$B$500,0)),0))</f>
        <v/>
      </c>
      <c r="F8828" s="107" t="str">
        <f aca="false">IF($C8828="","",$D8828*$E8828)</f>
        <v/>
      </c>
      <c r="G8828" s="107" t="str">
        <f aca="false">IF($C8828="","",$D8828*IFERROR(INDEX('تحليل التكلفة والسعر'!$C$2:$C$700,MATCH($C8828,'تحليل التكلفة والسعر'!$B$2:$B$700,0)),0))</f>
        <v/>
      </c>
    </row>
    <row r="8829" customFormat="false" ht="15" hidden="false" customHeight="false" outlineLevel="0" collapsed="false">
      <c r="A8829" s="103"/>
      <c r="B8829" s="104"/>
      <c r="C8829" s="104"/>
      <c r="E8829" s="107" t="str">
        <f aca="false">IF($C8829="","",IFERROR(INDEX(المنيو!$C$2:$C$500,MATCH($C8829,المنيو!$B$2:$B$500,0)),0))</f>
        <v/>
      </c>
      <c r="F8829" s="107" t="str">
        <f aca="false">IF($C8829="","",$D8829*$E8829)</f>
        <v/>
      </c>
      <c r="G8829" s="107" t="str">
        <f aca="false">IF($C8829="","",$D8829*IFERROR(INDEX('تحليل التكلفة والسعر'!$C$2:$C$700,MATCH($C8829,'تحليل التكلفة والسعر'!$B$2:$B$700,0)),0))</f>
        <v/>
      </c>
    </row>
    <row r="8830" customFormat="false" ht="15" hidden="false" customHeight="false" outlineLevel="0" collapsed="false">
      <c r="A8830" s="103"/>
      <c r="B8830" s="104"/>
      <c r="C8830" s="104"/>
      <c r="E8830" s="107" t="str">
        <f aca="false">IF($C8830="","",IFERROR(INDEX(المنيو!$C$2:$C$500,MATCH($C8830,المنيو!$B$2:$B$500,0)),0))</f>
        <v/>
      </c>
      <c r="F8830" s="107" t="str">
        <f aca="false">IF($C8830="","",$D8830*$E8830)</f>
        <v/>
      </c>
      <c r="G8830" s="107" t="str">
        <f aca="false">IF($C8830="","",$D8830*IFERROR(INDEX('تحليل التكلفة والسعر'!$C$2:$C$700,MATCH($C8830,'تحليل التكلفة والسعر'!$B$2:$B$700,0)),0))</f>
        <v/>
      </c>
    </row>
    <row r="8831" customFormat="false" ht="15" hidden="false" customHeight="false" outlineLevel="0" collapsed="false">
      <c r="A8831" s="103"/>
      <c r="B8831" s="104"/>
      <c r="C8831" s="104"/>
      <c r="E8831" s="107" t="str">
        <f aca="false">IF($C8831="","",IFERROR(INDEX(المنيو!$C$2:$C$500,MATCH($C8831,المنيو!$B$2:$B$500,0)),0))</f>
        <v/>
      </c>
      <c r="F8831" s="107" t="str">
        <f aca="false">IF($C8831="","",$D8831*$E8831)</f>
        <v/>
      </c>
      <c r="G8831" s="107" t="str">
        <f aca="false">IF($C8831="","",$D8831*IFERROR(INDEX('تحليل التكلفة والسعر'!$C$2:$C$700,MATCH($C8831,'تحليل التكلفة والسعر'!$B$2:$B$700,0)),0))</f>
        <v/>
      </c>
    </row>
    <row r="8832" customFormat="false" ht="15" hidden="false" customHeight="false" outlineLevel="0" collapsed="false">
      <c r="A8832" s="103"/>
      <c r="B8832" s="104"/>
      <c r="C8832" s="104"/>
      <c r="E8832" s="107" t="str">
        <f aca="false">IF($C8832="","",IFERROR(INDEX(المنيو!$C$2:$C$500,MATCH($C8832,المنيو!$B$2:$B$500,0)),0))</f>
        <v/>
      </c>
      <c r="F8832" s="107" t="str">
        <f aca="false">IF($C8832="","",$D8832*$E8832)</f>
        <v/>
      </c>
      <c r="G8832" s="107" t="str">
        <f aca="false">IF($C8832="","",$D8832*IFERROR(INDEX('تحليل التكلفة والسعر'!$C$2:$C$700,MATCH($C8832,'تحليل التكلفة والسعر'!$B$2:$B$700,0)),0))</f>
        <v/>
      </c>
    </row>
    <row r="8833" customFormat="false" ht="15" hidden="false" customHeight="false" outlineLevel="0" collapsed="false">
      <c r="A8833" s="103"/>
      <c r="B8833" s="104"/>
      <c r="C8833" s="104"/>
      <c r="E8833" s="107" t="str">
        <f aca="false">IF($C8833="","",IFERROR(INDEX(المنيو!$C$2:$C$500,MATCH($C8833,المنيو!$B$2:$B$500,0)),0))</f>
        <v/>
      </c>
      <c r="F8833" s="107" t="str">
        <f aca="false">IF($C8833="","",$D8833*$E8833)</f>
        <v/>
      </c>
      <c r="G8833" s="107" t="str">
        <f aca="false">IF($C8833="","",$D8833*IFERROR(INDEX('تحليل التكلفة والسعر'!$C$2:$C$700,MATCH($C8833,'تحليل التكلفة والسعر'!$B$2:$B$700,0)),0))</f>
        <v/>
      </c>
    </row>
    <row r="8834" customFormat="false" ht="15" hidden="false" customHeight="false" outlineLevel="0" collapsed="false">
      <c r="A8834" s="103"/>
      <c r="B8834" s="104"/>
      <c r="C8834" s="104"/>
      <c r="E8834" s="107" t="str">
        <f aca="false">IF($C8834="","",IFERROR(INDEX(المنيو!$C$2:$C$500,MATCH($C8834,المنيو!$B$2:$B$500,0)),0))</f>
        <v/>
      </c>
      <c r="F8834" s="107" t="str">
        <f aca="false">IF($C8834="","",$D8834*$E8834)</f>
        <v/>
      </c>
      <c r="G8834" s="107" t="str">
        <f aca="false">IF($C8834="","",$D8834*IFERROR(INDEX('تحليل التكلفة والسعر'!$C$2:$C$700,MATCH($C8834,'تحليل التكلفة والسعر'!$B$2:$B$700,0)),0))</f>
        <v/>
      </c>
    </row>
    <row r="8835" customFormat="false" ht="15" hidden="false" customHeight="false" outlineLevel="0" collapsed="false">
      <c r="A8835" s="103"/>
      <c r="B8835" s="104"/>
      <c r="C8835" s="104"/>
      <c r="E8835" s="107" t="str">
        <f aca="false">IF($C8835="","",IFERROR(INDEX(المنيو!$C$2:$C$500,MATCH($C8835,المنيو!$B$2:$B$500,0)),0))</f>
        <v/>
      </c>
      <c r="F8835" s="107" t="str">
        <f aca="false">IF($C8835="","",$D8835*$E8835)</f>
        <v/>
      </c>
      <c r="G8835" s="107" t="str">
        <f aca="false">IF($C8835="","",$D8835*IFERROR(INDEX('تحليل التكلفة والسعر'!$C$2:$C$700,MATCH($C8835,'تحليل التكلفة والسعر'!$B$2:$B$700,0)),0))</f>
        <v/>
      </c>
    </row>
    <row r="8836" customFormat="false" ht="15" hidden="false" customHeight="false" outlineLevel="0" collapsed="false">
      <c r="A8836" s="103"/>
      <c r="B8836" s="104"/>
      <c r="C8836" s="104"/>
      <c r="E8836" s="107" t="str">
        <f aca="false">IF($C8836="","",IFERROR(INDEX(المنيو!$C$2:$C$500,MATCH($C8836,المنيو!$B$2:$B$500,0)),0))</f>
        <v/>
      </c>
      <c r="F8836" s="107" t="str">
        <f aca="false">IF($C8836="","",$D8836*$E8836)</f>
        <v/>
      </c>
      <c r="G8836" s="107" t="str">
        <f aca="false">IF($C8836="","",$D8836*IFERROR(INDEX('تحليل التكلفة والسعر'!$C$2:$C$700,MATCH($C8836,'تحليل التكلفة والسعر'!$B$2:$B$700,0)),0))</f>
        <v/>
      </c>
    </row>
    <row r="8837" customFormat="false" ht="15" hidden="false" customHeight="false" outlineLevel="0" collapsed="false">
      <c r="A8837" s="103"/>
      <c r="B8837" s="104"/>
      <c r="C8837" s="104"/>
      <c r="E8837" s="107" t="str">
        <f aca="false">IF($C8837="","",IFERROR(INDEX(المنيو!$C$2:$C$500,MATCH($C8837,المنيو!$B$2:$B$500,0)),0))</f>
        <v/>
      </c>
      <c r="F8837" s="107" t="str">
        <f aca="false">IF($C8837="","",$D8837*$E8837)</f>
        <v/>
      </c>
      <c r="G8837" s="107" t="str">
        <f aca="false">IF($C8837="","",$D8837*IFERROR(INDEX('تحليل التكلفة والسعر'!$C$2:$C$700,MATCH($C8837,'تحليل التكلفة والسعر'!$B$2:$B$700,0)),0))</f>
        <v/>
      </c>
    </row>
    <row r="8838" customFormat="false" ht="15" hidden="false" customHeight="false" outlineLevel="0" collapsed="false">
      <c r="A8838" s="103"/>
      <c r="B8838" s="104"/>
      <c r="C8838" s="104"/>
      <c r="E8838" s="107" t="str">
        <f aca="false">IF($C8838="","",IFERROR(INDEX(المنيو!$C$2:$C$500,MATCH($C8838,المنيو!$B$2:$B$500,0)),0))</f>
        <v/>
      </c>
      <c r="F8838" s="107" t="str">
        <f aca="false">IF($C8838="","",$D8838*$E8838)</f>
        <v/>
      </c>
      <c r="G8838" s="107" t="str">
        <f aca="false">IF($C8838="","",$D8838*IFERROR(INDEX('تحليل التكلفة والسعر'!$C$2:$C$700,MATCH($C8838,'تحليل التكلفة والسعر'!$B$2:$B$700,0)),0))</f>
        <v/>
      </c>
    </row>
    <row r="8839" customFormat="false" ht="15" hidden="false" customHeight="false" outlineLevel="0" collapsed="false">
      <c r="A8839" s="103"/>
      <c r="B8839" s="104"/>
      <c r="C8839" s="104"/>
      <c r="E8839" s="107" t="str">
        <f aca="false">IF($C8839="","",IFERROR(INDEX(المنيو!$C$2:$C$500,MATCH($C8839,المنيو!$B$2:$B$500,0)),0))</f>
        <v/>
      </c>
      <c r="F8839" s="107" t="str">
        <f aca="false">IF($C8839="","",$D8839*$E8839)</f>
        <v/>
      </c>
      <c r="G8839" s="107" t="str">
        <f aca="false">IF($C8839="","",$D8839*IFERROR(INDEX('تحليل التكلفة والسعر'!$C$2:$C$700,MATCH($C8839,'تحليل التكلفة والسعر'!$B$2:$B$700,0)),0))</f>
        <v/>
      </c>
    </row>
    <row r="8840" customFormat="false" ht="15" hidden="false" customHeight="false" outlineLevel="0" collapsed="false">
      <c r="A8840" s="103"/>
      <c r="B8840" s="104"/>
      <c r="C8840" s="104"/>
      <c r="E8840" s="107" t="str">
        <f aca="false">IF($C8840="","",IFERROR(INDEX(المنيو!$C$2:$C$500,MATCH($C8840,المنيو!$B$2:$B$500,0)),0))</f>
        <v/>
      </c>
      <c r="F8840" s="107" t="str">
        <f aca="false">IF($C8840="","",$D8840*$E8840)</f>
        <v/>
      </c>
      <c r="G8840" s="107" t="str">
        <f aca="false">IF($C8840="","",$D8840*IFERROR(INDEX('تحليل التكلفة والسعر'!$C$2:$C$700,MATCH($C8840,'تحليل التكلفة والسعر'!$B$2:$B$700,0)),0))</f>
        <v/>
      </c>
    </row>
    <row r="8841" customFormat="false" ht="15" hidden="false" customHeight="false" outlineLevel="0" collapsed="false">
      <c r="A8841" s="103"/>
      <c r="B8841" s="104"/>
      <c r="C8841" s="104"/>
      <c r="E8841" s="107" t="str">
        <f aca="false">IF($C8841="","",IFERROR(INDEX(المنيو!$C$2:$C$500,MATCH($C8841,المنيو!$B$2:$B$500,0)),0))</f>
        <v/>
      </c>
      <c r="F8841" s="107" t="str">
        <f aca="false">IF($C8841="","",$D8841*$E8841)</f>
        <v/>
      </c>
      <c r="G8841" s="107" t="str">
        <f aca="false">IF($C8841="","",$D8841*IFERROR(INDEX('تحليل التكلفة والسعر'!$C$2:$C$700,MATCH($C8841,'تحليل التكلفة والسعر'!$B$2:$B$700,0)),0))</f>
        <v/>
      </c>
    </row>
    <row r="8842" customFormat="false" ht="15" hidden="false" customHeight="false" outlineLevel="0" collapsed="false">
      <c r="A8842" s="103"/>
      <c r="B8842" s="104"/>
      <c r="C8842" s="104"/>
      <c r="E8842" s="107" t="str">
        <f aca="false">IF($C8842="","",IFERROR(INDEX(المنيو!$C$2:$C$500,MATCH($C8842,المنيو!$B$2:$B$500,0)),0))</f>
        <v/>
      </c>
      <c r="F8842" s="107" t="str">
        <f aca="false">IF($C8842="","",$D8842*$E8842)</f>
        <v/>
      </c>
      <c r="G8842" s="107" t="str">
        <f aca="false">IF($C8842="","",$D8842*IFERROR(INDEX('تحليل التكلفة والسعر'!$C$2:$C$700,MATCH($C8842,'تحليل التكلفة والسعر'!$B$2:$B$700,0)),0))</f>
        <v/>
      </c>
    </row>
    <row r="8843" customFormat="false" ht="15" hidden="false" customHeight="false" outlineLevel="0" collapsed="false">
      <c r="A8843" s="103"/>
      <c r="B8843" s="104"/>
      <c r="C8843" s="104"/>
      <c r="E8843" s="107" t="str">
        <f aca="false">IF($C8843="","",IFERROR(INDEX(المنيو!$C$2:$C$500,MATCH($C8843,المنيو!$B$2:$B$500,0)),0))</f>
        <v/>
      </c>
      <c r="F8843" s="107" t="str">
        <f aca="false">IF($C8843="","",$D8843*$E8843)</f>
        <v/>
      </c>
      <c r="G8843" s="107" t="str">
        <f aca="false">IF($C8843="","",$D8843*IFERROR(INDEX('تحليل التكلفة والسعر'!$C$2:$C$700,MATCH($C8843,'تحليل التكلفة والسعر'!$B$2:$B$700,0)),0))</f>
        <v/>
      </c>
    </row>
    <row r="8844" customFormat="false" ht="15" hidden="false" customHeight="false" outlineLevel="0" collapsed="false">
      <c r="A8844" s="103"/>
      <c r="B8844" s="104"/>
      <c r="C8844" s="104"/>
      <c r="E8844" s="107" t="str">
        <f aca="false">IF($C8844="","",IFERROR(INDEX(المنيو!$C$2:$C$500,MATCH($C8844,المنيو!$B$2:$B$500,0)),0))</f>
        <v/>
      </c>
      <c r="F8844" s="107" t="str">
        <f aca="false">IF($C8844="","",$D8844*$E8844)</f>
        <v/>
      </c>
      <c r="G8844" s="107" t="str">
        <f aca="false">IF($C8844="","",$D8844*IFERROR(INDEX('تحليل التكلفة والسعر'!$C$2:$C$700,MATCH($C8844,'تحليل التكلفة والسعر'!$B$2:$B$700,0)),0))</f>
        <v/>
      </c>
    </row>
    <row r="8845" customFormat="false" ht="15" hidden="false" customHeight="false" outlineLevel="0" collapsed="false">
      <c r="A8845" s="103"/>
      <c r="B8845" s="104"/>
      <c r="C8845" s="104"/>
      <c r="E8845" s="107" t="str">
        <f aca="false">IF($C8845="","",IFERROR(INDEX(المنيو!$C$2:$C$500,MATCH($C8845,المنيو!$B$2:$B$500,0)),0))</f>
        <v/>
      </c>
      <c r="F8845" s="107" t="str">
        <f aca="false">IF($C8845="","",$D8845*$E8845)</f>
        <v/>
      </c>
      <c r="G8845" s="107" t="str">
        <f aca="false">IF($C8845="","",$D8845*IFERROR(INDEX('تحليل التكلفة والسعر'!$C$2:$C$700,MATCH($C8845,'تحليل التكلفة والسعر'!$B$2:$B$700,0)),0))</f>
        <v/>
      </c>
    </row>
    <row r="8846" customFormat="false" ht="15" hidden="false" customHeight="false" outlineLevel="0" collapsed="false">
      <c r="A8846" s="103"/>
      <c r="B8846" s="104"/>
      <c r="C8846" s="104"/>
      <c r="E8846" s="107" t="str">
        <f aca="false">IF($C8846="","",IFERROR(INDEX(المنيو!$C$2:$C$500,MATCH($C8846,المنيو!$B$2:$B$500,0)),0))</f>
        <v/>
      </c>
      <c r="F8846" s="107" t="str">
        <f aca="false">IF($C8846="","",$D8846*$E8846)</f>
        <v/>
      </c>
      <c r="G8846" s="107" t="str">
        <f aca="false">IF($C8846="","",$D8846*IFERROR(INDEX('تحليل التكلفة والسعر'!$C$2:$C$700,MATCH($C8846,'تحليل التكلفة والسعر'!$B$2:$B$700,0)),0))</f>
        <v/>
      </c>
    </row>
    <row r="8847" customFormat="false" ht="15" hidden="false" customHeight="false" outlineLevel="0" collapsed="false">
      <c r="A8847" s="103"/>
      <c r="B8847" s="104"/>
      <c r="C8847" s="104"/>
      <c r="E8847" s="107" t="str">
        <f aca="false">IF($C8847="","",IFERROR(INDEX(المنيو!$C$2:$C$500,MATCH($C8847,المنيو!$B$2:$B$500,0)),0))</f>
        <v/>
      </c>
      <c r="F8847" s="107" t="str">
        <f aca="false">IF($C8847="","",$D8847*$E8847)</f>
        <v/>
      </c>
      <c r="G8847" s="107" t="str">
        <f aca="false">IF($C8847="","",$D8847*IFERROR(INDEX('تحليل التكلفة والسعر'!$C$2:$C$700,MATCH($C8847,'تحليل التكلفة والسعر'!$B$2:$B$700,0)),0))</f>
        <v/>
      </c>
    </row>
    <row r="8848" customFormat="false" ht="15" hidden="false" customHeight="false" outlineLevel="0" collapsed="false">
      <c r="A8848" s="103"/>
      <c r="B8848" s="104"/>
      <c r="C8848" s="104"/>
      <c r="E8848" s="107" t="str">
        <f aca="false">IF($C8848="","",IFERROR(INDEX(المنيو!$C$2:$C$500,MATCH($C8848,المنيو!$B$2:$B$500,0)),0))</f>
        <v/>
      </c>
      <c r="F8848" s="107" t="str">
        <f aca="false">IF($C8848="","",$D8848*$E8848)</f>
        <v/>
      </c>
      <c r="G8848" s="107" t="str">
        <f aca="false">IF($C8848="","",$D8848*IFERROR(INDEX('تحليل التكلفة والسعر'!$C$2:$C$700,MATCH($C8848,'تحليل التكلفة والسعر'!$B$2:$B$700,0)),0))</f>
        <v/>
      </c>
    </row>
    <row r="8849" customFormat="false" ht="15" hidden="false" customHeight="false" outlineLevel="0" collapsed="false">
      <c r="A8849" s="103"/>
      <c r="B8849" s="104"/>
      <c r="C8849" s="104"/>
      <c r="E8849" s="107" t="str">
        <f aca="false">IF($C8849="","",IFERROR(INDEX(المنيو!$C$2:$C$500,MATCH($C8849,المنيو!$B$2:$B$500,0)),0))</f>
        <v/>
      </c>
      <c r="F8849" s="107" t="str">
        <f aca="false">IF($C8849="","",$D8849*$E8849)</f>
        <v/>
      </c>
      <c r="G8849" s="107" t="str">
        <f aca="false">IF($C8849="","",$D8849*IFERROR(INDEX('تحليل التكلفة والسعر'!$C$2:$C$700,MATCH($C8849,'تحليل التكلفة والسعر'!$B$2:$B$700,0)),0))</f>
        <v/>
      </c>
    </row>
    <row r="8850" customFormat="false" ht="15" hidden="false" customHeight="false" outlineLevel="0" collapsed="false">
      <c r="A8850" s="103"/>
      <c r="B8850" s="104"/>
      <c r="C8850" s="104"/>
      <c r="E8850" s="107" t="str">
        <f aca="false">IF($C8850="","",IFERROR(INDEX(المنيو!$C$2:$C$500,MATCH($C8850,المنيو!$B$2:$B$500,0)),0))</f>
        <v/>
      </c>
      <c r="F8850" s="107" t="str">
        <f aca="false">IF($C8850="","",$D8850*$E8850)</f>
        <v/>
      </c>
      <c r="G8850" s="107" t="str">
        <f aca="false">IF($C8850="","",$D8850*IFERROR(INDEX('تحليل التكلفة والسعر'!$C$2:$C$700,MATCH($C8850,'تحليل التكلفة والسعر'!$B$2:$B$700,0)),0))</f>
        <v/>
      </c>
    </row>
    <row r="8851" customFormat="false" ht="15" hidden="false" customHeight="false" outlineLevel="0" collapsed="false">
      <c r="A8851" s="103"/>
      <c r="B8851" s="104"/>
      <c r="C8851" s="104"/>
      <c r="E8851" s="107" t="str">
        <f aca="false">IF($C8851="","",IFERROR(INDEX(المنيو!$C$2:$C$500,MATCH($C8851,المنيو!$B$2:$B$500,0)),0))</f>
        <v/>
      </c>
      <c r="F8851" s="107" t="str">
        <f aca="false">IF($C8851="","",$D8851*$E8851)</f>
        <v/>
      </c>
      <c r="G8851" s="107" t="str">
        <f aca="false">IF($C8851="","",$D8851*IFERROR(INDEX('تحليل التكلفة والسعر'!$C$2:$C$700,MATCH($C8851,'تحليل التكلفة والسعر'!$B$2:$B$700,0)),0))</f>
        <v/>
      </c>
    </row>
    <row r="8852" customFormat="false" ht="15" hidden="false" customHeight="false" outlineLevel="0" collapsed="false">
      <c r="A8852" s="103"/>
      <c r="B8852" s="104"/>
      <c r="C8852" s="104"/>
      <c r="E8852" s="107" t="str">
        <f aca="false">IF($C8852="","",IFERROR(INDEX(المنيو!$C$2:$C$500,MATCH($C8852,المنيو!$B$2:$B$500,0)),0))</f>
        <v/>
      </c>
      <c r="F8852" s="107" t="str">
        <f aca="false">IF($C8852="","",$D8852*$E8852)</f>
        <v/>
      </c>
      <c r="G8852" s="107" t="str">
        <f aca="false">IF($C8852="","",$D8852*IFERROR(INDEX('تحليل التكلفة والسعر'!$C$2:$C$700,MATCH($C8852,'تحليل التكلفة والسعر'!$B$2:$B$700,0)),0))</f>
        <v/>
      </c>
    </row>
    <row r="8853" customFormat="false" ht="15" hidden="false" customHeight="false" outlineLevel="0" collapsed="false">
      <c r="A8853" s="103"/>
      <c r="B8853" s="104"/>
      <c r="C8853" s="104"/>
      <c r="E8853" s="107" t="str">
        <f aca="false">IF($C8853="","",IFERROR(INDEX(المنيو!$C$2:$C$500,MATCH($C8853,المنيو!$B$2:$B$500,0)),0))</f>
        <v/>
      </c>
      <c r="F8853" s="107" t="str">
        <f aca="false">IF($C8853="","",$D8853*$E8853)</f>
        <v/>
      </c>
      <c r="G8853" s="107" t="str">
        <f aca="false">IF($C8853="","",$D8853*IFERROR(INDEX('تحليل التكلفة والسعر'!$C$2:$C$700,MATCH($C8853,'تحليل التكلفة والسعر'!$B$2:$B$700,0)),0))</f>
        <v/>
      </c>
    </row>
    <row r="8854" customFormat="false" ht="15" hidden="false" customHeight="false" outlineLevel="0" collapsed="false">
      <c r="A8854" s="103"/>
      <c r="B8854" s="104"/>
      <c r="C8854" s="104"/>
      <c r="E8854" s="107" t="str">
        <f aca="false">IF($C8854="","",IFERROR(INDEX(المنيو!$C$2:$C$500,MATCH($C8854,المنيو!$B$2:$B$500,0)),0))</f>
        <v/>
      </c>
      <c r="F8854" s="107" t="str">
        <f aca="false">IF($C8854="","",$D8854*$E8854)</f>
        <v/>
      </c>
      <c r="G8854" s="107" t="str">
        <f aca="false">IF($C8854="","",$D8854*IFERROR(INDEX('تحليل التكلفة والسعر'!$C$2:$C$700,MATCH($C8854,'تحليل التكلفة والسعر'!$B$2:$B$700,0)),0))</f>
        <v/>
      </c>
    </row>
    <row r="8855" customFormat="false" ht="15" hidden="false" customHeight="false" outlineLevel="0" collapsed="false">
      <c r="A8855" s="103"/>
      <c r="B8855" s="104"/>
      <c r="C8855" s="104"/>
      <c r="E8855" s="107" t="str">
        <f aca="false">IF($C8855="","",IFERROR(INDEX(المنيو!$C$2:$C$500,MATCH($C8855,المنيو!$B$2:$B$500,0)),0))</f>
        <v/>
      </c>
      <c r="F8855" s="107" t="str">
        <f aca="false">IF($C8855="","",$D8855*$E8855)</f>
        <v/>
      </c>
      <c r="G8855" s="107" t="str">
        <f aca="false">IF($C8855="","",$D8855*IFERROR(INDEX('تحليل التكلفة والسعر'!$C$2:$C$700,MATCH($C8855,'تحليل التكلفة والسعر'!$B$2:$B$700,0)),0))</f>
        <v/>
      </c>
    </row>
    <row r="8856" customFormat="false" ht="15" hidden="false" customHeight="false" outlineLevel="0" collapsed="false">
      <c r="A8856" s="103"/>
      <c r="B8856" s="104"/>
      <c r="C8856" s="104"/>
      <c r="E8856" s="107" t="str">
        <f aca="false">IF($C8856="","",IFERROR(INDEX(المنيو!$C$2:$C$500,MATCH($C8856,المنيو!$B$2:$B$500,0)),0))</f>
        <v/>
      </c>
      <c r="F8856" s="107" t="str">
        <f aca="false">IF($C8856="","",$D8856*$E8856)</f>
        <v/>
      </c>
      <c r="G8856" s="107" t="str">
        <f aca="false">IF($C8856="","",$D8856*IFERROR(INDEX('تحليل التكلفة والسعر'!$C$2:$C$700,MATCH($C8856,'تحليل التكلفة والسعر'!$B$2:$B$700,0)),0))</f>
        <v/>
      </c>
    </row>
    <row r="8857" customFormat="false" ht="15" hidden="false" customHeight="false" outlineLevel="0" collapsed="false">
      <c r="A8857" s="103"/>
      <c r="B8857" s="104"/>
      <c r="C8857" s="104"/>
      <c r="E8857" s="107" t="str">
        <f aca="false">IF($C8857="","",IFERROR(INDEX(المنيو!$C$2:$C$500,MATCH($C8857,المنيو!$B$2:$B$500,0)),0))</f>
        <v/>
      </c>
      <c r="F8857" s="107" t="str">
        <f aca="false">IF($C8857="","",$D8857*$E8857)</f>
        <v/>
      </c>
      <c r="G8857" s="107" t="str">
        <f aca="false">IF($C8857="","",$D8857*IFERROR(INDEX('تحليل التكلفة والسعر'!$C$2:$C$700,MATCH($C8857,'تحليل التكلفة والسعر'!$B$2:$B$700,0)),0))</f>
        <v/>
      </c>
    </row>
    <row r="8858" customFormat="false" ht="15" hidden="false" customHeight="false" outlineLevel="0" collapsed="false">
      <c r="A8858" s="103"/>
      <c r="B8858" s="104"/>
      <c r="C8858" s="104"/>
      <c r="E8858" s="107" t="str">
        <f aca="false">IF($C8858="","",IFERROR(INDEX(المنيو!$C$2:$C$500,MATCH($C8858,المنيو!$B$2:$B$500,0)),0))</f>
        <v/>
      </c>
      <c r="F8858" s="107" t="str">
        <f aca="false">IF($C8858="","",$D8858*$E8858)</f>
        <v/>
      </c>
      <c r="G8858" s="107" t="str">
        <f aca="false">IF($C8858="","",$D8858*IFERROR(INDEX('تحليل التكلفة والسعر'!$C$2:$C$700,MATCH($C8858,'تحليل التكلفة والسعر'!$B$2:$B$700,0)),0))</f>
        <v/>
      </c>
    </row>
    <row r="8859" customFormat="false" ht="15" hidden="false" customHeight="false" outlineLevel="0" collapsed="false">
      <c r="A8859" s="103"/>
      <c r="B8859" s="104"/>
      <c r="C8859" s="104"/>
      <c r="E8859" s="107" t="str">
        <f aca="false">IF($C8859="","",IFERROR(INDEX(المنيو!$C$2:$C$500,MATCH($C8859,المنيو!$B$2:$B$500,0)),0))</f>
        <v/>
      </c>
      <c r="F8859" s="107" t="str">
        <f aca="false">IF($C8859="","",$D8859*$E8859)</f>
        <v/>
      </c>
      <c r="G8859" s="107" t="str">
        <f aca="false">IF($C8859="","",$D8859*IFERROR(INDEX('تحليل التكلفة والسعر'!$C$2:$C$700,MATCH($C8859,'تحليل التكلفة والسعر'!$B$2:$B$700,0)),0))</f>
        <v/>
      </c>
    </row>
    <row r="8860" customFormat="false" ht="15" hidden="false" customHeight="false" outlineLevel="0" collapsed="false">
      <c r="A8860" s="103"/>
      <c r="B8860" s="104"/>
      <c r="C8860" s="104"/>
      <c r="E8860" s="107" t="str">
        <f aca="false">IF($C8860="","",IFERROR(INDEX(المنيو!$C$2:$C$500,MATCH($C8860,المنيو!$B$2:$B$500,0)),0))</f>
        <v/>
      </c>
      <c r="F8860" s="107" t="str">
        <f aca="false">IF($C8860="","",$D8860*$E8860)</f>
        <v/>
      </c>
      <c r="G8860" s="107" t="str">
        <f aca="false">IF($C8860="","",$D8860*IFERROR(INDEX('تحليل التكلفة والسعر'!$C$2:$C$700,MATCH($C8860,'تحليل التكلفة والسعر'!$B$2:$B$700,0)),0))</f>
        <v/>
      </c>
    </row>
    <row r="8861" customFormat="false" ht="15" hidden="false" customHeight="false" outlineLevel="0" collapsed="false">
      <c r="A8861" s="103"/>
      <c r="B8861" s="104"/>
      <c r="C8861" s="104"/>
      <c r="E8861" s="107" t="str">
        <f aca="false">IF($C8861="","",IFERROR(INDEX(المنيو!$C$2:$C$500,MATCH($C8861,المنيو!$B$2:$B$500,0)),0))</f>
        <v/>
      </c>
      <c r="F8861" s="107" t="str">
        <f aca="false">IF($C8861="","",$D8861*$E8861)</f>
        <v/>
      </c>
      <c r="G8861" s="107" t="str">
        <f aca="false">IF($C8861="","",$D8861*IFERROR(INDEX('تحليل التكلفة والسعر'!$C$2:$C$700,MATCH($C8861,'تحليل التكلفة والسعر'!$B$2:$B$700,0)),0))</f>
        <v/>
      </c>
    </row>
    <row r="8862" customFormat="false" ht="15" hidden="false" customHeight="false" outlineLevel="0" collapsed="false">
      <c r="A8862" s="103"/>
      <c r="B8862" s="104"/>
      <c r="C8862" s="104"/>
      <c r="E8862" s="107" t="str">
        <f aca="false">IF($C8862="","",IFERROR(INDEX(المنيو!$C$2:$C$500,MATCH($C8862,المنيو!$B$2:$B$500,0)),0))</f>
        <v/>
      </c>
      <c r="F8862" s="107" t="str">
        <f aca="false">IF($C8862="","",$D8862*$E8862)</f>
        <v/>
      </c>
      <c r="G8862" s="107" t="str">
        <f aca="false">IF($C8862="","",$D8862*IFERROR(INDEX('تحليل التكلفة والسعر'!$C$2:$C$700,MATCH($C8862,'تحليل التكلفة والسعر'!$B$2:$B$700,0)),0))</f>
        <v/>
      </c>
    </row>
    <row r="8863" customFormat="false" ht="15" hidden="false" customHeight="false" outlineLevel="0" collapsed="false">
      <c r="A8863" s="103"/>
      <c r="B8863" s="104"/>
      <c r="C8863" s="104"/>
      <c r="E8863" s="107" t="str">
        <f aca="false">IF($C8863="","",IFERROR(INDEX(المنيو!$C$2:$C$500,MATCH($C8863,المنيو!$B$2:$B$500,0)),0))</f>
        <v/>
      </c>
      <c r="F8863" s="107" t="str">
        <f aca="false">IF($C8863="","",$D8863*$E8863)</f>
        <v/>
      </c>
      <c r="G8863" s="107" t="str">
        <f aca="false">IF($C8863="","",$D8863*IFERROR(INDEX('تحليل التكلفة والسعر'!$C$2:$C$700,MATCH($C8863,'تحليل التكلفة والسعر'!$B$2:$B$700,0)),0))</f>
        <v/>
      </c>
    </row>
    <row r="8864" customFormat="false" ht="15" hidden="false" customHeight="false" outlineLevel="0" collapsed="false">
      <c r="A8864" s="103"/>
      <c r="B8864" s="104"/>
      <c r="C8864" s="104"/>
      <c r="E8864" s="107" t="str">
        <f aca="false">IF($C8864="","",IFERROR(INDEX(المنيو!$C$2:$C$500,MATCH($C8864,المنيو!$B$2:$B$500,0)),0))</f>
        <v/>
      </c>
      <c r="F8864" s="107" t="str">
        <f aca="false">IF($C8864="","",$D8864*$E8864)</f>
        <v/>
      </c>
      <c r="G8864" s="107" t="str">
        <f aca="false">IF($C8864="","",$D8864*IFERROR(INDEX('تحليل التكلفة والسعر'!$C$2:$C$700,MATCH($C8864,'تحليل التكلفة والسعر'!$B$2:$B$700,0)),0))</f>
        <v/>
      </c>
    </row>
    <row r="8865" customFormat="false" ht="15" hidden="false" customHeight="false" outlineLevel="0" collapsed="false">
      <c r="A8865" s="103"/>
      <c r="B8865" s="104"/>
      <c r="C8865" s="104"/>
      <c r="E8865" s="107" t="str">
        <f aca="false">IF($C8865="","",IFERROR(INDEX(المنيو!$C$2:$C$500,MATCH($C8865,المنيو!$B$2:$B$500,0)),0))</f>
        <v/>
      </c>
      <c r="F8865" s="107" t="str">
        <f aca="false">IF($C8865="","",$D8865*$E8865)</f>
        <v/>
      </c>
      <c r="G8865" s="107" t="str">
        <f aca="false">IF($C8865="","",$D8865*IFERROR(INDEX('تحليل التكلفة والسعر'!$C$2:$C$700,MATCH($C8865,'تحليل التكلفة والسعر'!$B$2:$B$700,0)),0))</f>
        <v/>
      </c>
    </row>
    <row r="8866" customFormat="false" ht="15" hidden="false" customHeight="false" outlineLevel="0" collapsed="false">
      <c r="A8866" s="103"/>
      <c r="B8866" s="104"/>
      <c r="C8866" s="104"/>
      <c r="E8866" s="107" t="str">
        <f aca="false">IF($C8866="","",IFERROR(INDEX(المنيو!$C$2:$C$500,MATCH($C8866,المنيو!$B$2:$B$500,0)),0))</f>
        <v/>
      </c>
      <c r="F8866" s="107" t="str">
        <f aca="false">IF($C8866="","",$D8866*$E8866)</f>
        <v/>
      </c>
      <c r="G8866" s="107" t="str">
        <f aca="false">IF($C8866="","",$D8866*IFERROR(INDEX('تحليل التكلفة والسعر'!$C$2:$C$700,MATCH($C8866,'تحليل التكلفة والسعر'!$B$2:$B$700,0)),0))</f>
        <v/>
      </c>
    </row>
    <row r="8867" customFormat="false" ht="15" hidden="false" customHeight="false" outlineLevel="0" collapsed="false">
      <c r="A8867" s="103"/>
      <c r="B8867" s="104"/>
      <c r="C8867" s="104"/>
      <c r="E8867" s="107" t="str">
        <f aca="false">IF($C8867="","",IFERROR(INDEX(المنيو!$C$2:$C$500,MATCH($C8867,المنيو!$B$2:$B$500,0)),0))</f>
        <v/>
      </c>
      <c r="F8867" s="107" t="str">
        <f aca="false">IF($C8867="","",$D8867*$E8867)</f>
        <v/>
      </c>
      <c r="G8867" s="107" t="str">
        <f aca="false">IF($C8867="","",$D8867*IFERROR(INDEX('تحليل التكلفة والسعر'!$C$2:$C$700,MATCH($C8867,'تحليل التكلفة والسعر'!$B$2:$B$700,0)),0))</f>
        <v/>
      </c>
    </row>
    <row r="8868" customFormat="false" ht="15" hidden="false" customHeight="false" outlineLevel="0" collapsed="false">
      <c r="A8868" s="103"/>
      <c r="B8868" s="104"/>
      <c r="C8868" s="104"/>
      <c r="E8868" s="107" t="str">
        <f aca="false">IF($C8868="","",IFERROR(INDEX(المنيو!$C$2:$C$500,MATCH($C8868,المنيو!$B$2:$B$500,0)),0))</f>
        <v/>
      </c>
      <c r="F8868" s="107" t="str">
        <f aca="false">IF($C8868="","",$D8868*$E8868)</f>
        <v/>
      </c>
      <c r="G8868" s="107" t="str">
        <f aca="false">IF($C8868="","",$D8868*IFERROR(INDEX('تحليل التكلفة والسعر'!$C$2:$C$700,MATCH($C8868,'تحليل التكلفة والسعر'!$B$2:$B$700,0)),0))</f>
        <v/>
      </c>
    </row>
    <row r="8869" customFormat="false" ht="15" hidden="false" customHeight="false" outlineLevel="0" collapsed="false">
      <c r="A8869" s="103"/>
      <c r="B8869" s="104"/>
      <c r="C8869" s="104"/>
      <c r="E8869" s="107" t="str">
        <f aca="false">IF($C8869="","",IFERROR(INDEX(المنيو!$C$2:$C$500,MATCH($C8869,المنيو!$B$2:$B$500,0)),0))</f>
        <v/>
      </c>
      <c r="F8869" s="107" t="str">
        <f aca="false">IF($C8869="","",$D8869*$E8869)</f>
        <v/>
      </c>
      <c r="G8869" s="107" t="str">
        <f aca="false">IF($C8869="","",$D8869*IFERROR(INDEX('تحليل التكلفة والسعر'!$C$2:$C$700,MATCH($C8869,'تحليل التكلفة والسعر'!$B$2:$B$700,0)),0))</f>
        <v/>
      </c>
    </row>
    <row r="8870" customFormat="false" ht="15" hidden="false" customHeight="false" outlineLevel="0" collapsed="false">
      <c r="A8870" s="103"/>
      <c r="B8870" s="104"/>
      <c r="C8870" s="104"/>
      <c r="E8870" s="107" t="str">
        <f aca="false">IF($C8870="","",IFERROR(INDEX(المنيو!$C$2:$C$500,MATCH($C8870,المنيو!$B$2:$B$500,0)),0))</f>
        <v/>
      </c>
      <c r="F8870" s="107" t="str">
        <f aca="false">IF($C8870="","",$D8870*$E8870)</f>
        <v/>
      </c>
      <c r="G8870" s="107" t="str">
        <f aca="false">IF($C8870="","",$D8870*IFERROR(INDEX('تحليل التكلفة والسعر'!$C$2:$C$700,MATCH($C8870,'تحليل التكلفة والسعر'!$B$2:$B$700,0)),0))</f>
        <v/>
      </c>
    </row>
    <row r="8871" customFormat="false" ht="15" hidden="false" customHeight="false" outlineLevel="0" collapsed="false">
      <c r="A8871" s="103"/>
      <c r="B8871" s="104"/>
      <c r="C8871" s="104"/>
      <c r="E8871" s="107" t="str">
        <f aca="false">IF($C8871="","",IFERROR(INDEX(المنيو!$C$2:$C$500,MATCH($C8871,المنيو!$B$2:$B$500,0)),0))</f>
        <v/>
      </c>
      <c r="F8871" s="107" t="str">
        <f aca="false">IF($C8871="","",$D8871*$E8871)</f>
        <v/>
      </c>
      <c r="G8871" s="107" t="str">
        <f aca="false">IF($C8871="","",$D8871*IFERROR(INDEX('تحليل التكلفة والسعر'!$C$2:$C$700,MATCH($C8871,'تحليل التكلفة والسعر'!$B$2:$B$700,0)),0))</f>
        <v/>
      </c>
    </row>
    <row r="8872" customFormat="false" ht="15" hidden="false" customHeight="false" outlineLevel="0" collapsed="false">
      <c r="A8872" s="103"/>
      <c r="B8872" s="104"/>
      <c r="C8872" s="104"/>
      <c r="E8872" s="107" t="str">
        <f aca="false">IF($C8872="","",IFERROR(INDEX(المنيو!$C$2:$C$500,MATCH($C8872,المنيو!$B$2:$B$500,0)),0))</f>
        <v/>
      </c>
      <c r="F8872" s="107" t="str">
        <f aca="false">IF($C8872="","",$D8872*$E8872)</f>
        <v/>
      </c>
      <c r="G8872" s="107" t="str">
        <f aca="false">IF($C8872="","",$D8872*IFERROR(INDEX('تحليل التكلفة والسعر'!$C$2:$C$700,MATCH($C8872,'تحليل التكلفة والسعر'!$B$2:$B$700,0)),0))</f>
        <v/>
      </c>
    </row>
    <row r="8873" customFormat="false" ht="15" hidden="false" customHeight="false" outlineLevel="0" collapsed="false">
      <c r="A8873" s="103"/>
      <c r="B8873" s="104"/>
      <c r="C8873" s="104"/>
      <c r="E8873" s="107" t="str">
        <f aca="false">IF($C8873="","",IFERROR(INDEX(المنيو!$C$2:$C$500,MATCH($C8873,المنيو!$B$2:$B$500,0)),0))</f>
        <v/>
      </c>
      <c r="F8873" s="107" t="str">
        <f aca="false">IF($C8873="","",$D8873*$E8873)</f>
        <v/>
      </c>
      <c r="G8873" s="107" t="str">
        <f aca="false">IF($C8873="","",$D8873*IFERROR(INDEX('تحليل التكلفة والسعر'!$C$2:$C$700,MATCH($C8873,'تحليل التكلفة والسعر'!$B$2:$B$700,0)),0))</f>
        <v/>
      </c>
    </row>
    <row r="8874" customFormat="false" ht="15" hidden="false" customHeight="false" outlineLevel="0" collapsed="false">
      <c r="A8874" s="103"/>
      <c r="B8874" s="104"/>
      <c r="C8874" s="104"/>
      <c r="E8874" s="107" t="str">
        <f aca="false">IF($C8874="","",IFERROR(INDEX(المنيو!$C$2:$C$500,MATCH($C8874,المنيو!$B$2:$B$500,0)),0))</f>
        <v/>
      </c>
      <c r="F8874" s="107" t="str">
        <f aca="false">IF($C8874="","",$D8874*$E8874)</f>
        <v/>
      </c>
      <c r="G8874" s="107" t="str">
        <f aca="false">IF($C8874="","",$D8874*IFERROR(INDEX('تحليل التكلفة والسعر'!$C$2:$C$700,MATCH($C8874,'تحليل التكلفة والسعر'!$B$2:$B$700,0)),0))</f>
        <v/>
      </c>
    </row>
    <row r="8875" customFormat="false" ht="15" hidden="false" customHeight="false" outlineLevel="0" collapsed="false">
      <c r="A8875" s="103"/>
      <c r="B8875" s="104"/>
      <c r="C8875" s="104"/>
      <c r="E8875" s="107" t="str">
        <f aca="false">IF($C8875="","",IFERROR(INDEX(المنيو!$C$2:$C$500,MATCH($C8875,المنيو!$B$2:$B$500,0)),0))</f>
        <v/>
      </c>
      <c r="F8875" s="107" t="str">
        <f aca="false">IF($C8875="","",$D8875*$E8875)</f>
        <v/>
      </c>
      <c r="G8875" s="107" t="str">
        <f aca="false">IF($C8875="","",$D8875*IFERROR(INDEX('تحليل التكلفة والسعر'!$C$2:$C$700,MATCH($C8875,'تحليل التكلفة والسعر'!$B$2:$B$700,0)),0))</f>
        <v/>
      </c>
    </row>
    <row r="8876" customFormat="false" ht="15" hidden="false" customHeight="false" outlineLevel="0" collapsed="false">
      <c r="A8876" s="103"/>
      <c r="B8876" s="104"/>
      <c r="C8876" s="104"/>
      <c r="E8876" s="107" t="str">
        <f aca="false">IF($C8876="","",IFERROR(INDEX(المنيو!$C$2:$C$500,MATCH($C8876,المنيو!$B$2:$B$500,0)),0))</f>
        <v/>
      </c>
      <c r="F8876" s="107" t="str">
        <f aca="false">IF($C8876="","",$D8876*$E8876)</f>
        <v/>
      </c>
      <c r="G8876" s="107" t="str">
        <f aca="false">IF($C8876="","",$D8876*IFERROR(INDEX('تحليل التكلفة والسعر'!$C$2:$C$700,MATCH($C8876,'تحليل التكلفة والسعر'!$B$2:$B$700,0)),0))</f>
        <v/>
      </c>
    </row>
    <row r="8877" customFormat="false" ht="15" hidden="false" customHeight="false" outlineLevel="0" collapsed="false">
      <c r="A8877" s="103"/>
      <c r="B8877" s="104"/>
      <c r="C8877" s="104"/>
      <c r="E8877" s="107" t="str">
        <f aca="false">IF($C8877="","",IFERROR(INDEX(المنيو!$C$2:$C$500,MATCH($C8877,المنيو!$B$2:$B$500,0)),0))</f>
        <v/>
      </c>
      <c r="F8877" s="107" t="str">
        <f aca="false">IF($C8877="","",$D8877*$E8877)</f>
        <v/>
      </c>
      <c r="G8877" s="107" t="str">
        <f aca="false">IF($C8877="","",$D8877*IFERROR(INDEX('تحليل التكلفة والسعر'!$C$2:$C$700,MATCH($C8877,'تحليل التكلفة والسعر'!$B$2:$B$700,0)),0))</f>
        <v/>
      </c>
    </row>
    <row r="8878" customFormat="false" ht="15" hidden="false" customHeight="false" outlineLevel="0" collapsed="false">
      <c r="A8878" s="103"/>
      <c r="B8878" s="104"/>
      <c r="C8878" s="104"/>
      <c r="E8878" s="107" t="str">
        <f aca="false">IF($C8878="","",IFERROR(INDEX(المنيو!$C$2:$C$500,MATCH($C8878,المنيو!$B$2:$B$500,0)),0))</f>
        <v/>
      </c>
      <c r="F8878" s="107" t="str">
        <f aca="false">IF($C8878="","",$D8878*$E8878)</f>
        <v/>
      </c>
      <c r="G8878" s="107" t="str">
        <f aca="false">IF($C8878="","",$D8878*IFERROR(INDEX('تحليل التكلفة والسعر'!$C$2:$C$700,MATCH($C8878,'تحليل التكلفة والسعر'!$B$2:$B$700,0)),0))</f>
        <v/>
      </c>
    </row>
    <row r="8879" customFormat="false" ht="15" hidden="false" customHeight="false" outlineLevel="0" collapsed="false">
      <c r="A8879" s="103"/>
      <c r="B8879" s="104"/>
      <c r="C8879" s="104"/>
      <c r="E8879" s="107" t="str">
        <f aca="false">IF($C8879="","",IFERROR(INDEX(المنيو!$C$2:$C$500,MATCH($C8879,المنيو!$B$2:$B$500,0)),0))</f>
        <v/>
      </c>
      <c r="F8879" s="107" t="str">
        <f aca="false">IF($C8879="","",$D8879*$E8879)</f>
        <v/>
      </c>
      <c r="G8879" s="107" t="str">
        <f aca="false">IF($C8879="","",$D8879*IFERROR(INDEX('تحليل التكلفة والسعر'!$C$2:$C$700,MATCH($C8879,'تحليل التكلفة والسعر'!$B$2:$B$700,0)),0))</f>
        <v/>
      </c>
    </row>
    <row r="8880" customFormat="false" ht="15" hidden="false" customHeight="false" outlineLevel="0" collapsed="false">
      <c r="A8880" s="103"/>
      <c r="B8880" s="104"/>
      <c r="C8880" s="104"/>
      <c r="E8880" s="107" t="str">
        <f aca="false">IF($C8880="","",IFERROR(INDEX(المنيو!$C$2:$C$500,MATCH($C8880,المنيو!$B$2:$B$500,0)),0))</f>
        <v/>
      </c>
      <c r="F8880" s="107" t="str">
        <f aca="false">IF($C8880="","",$D8880*$E8880)</f>
        <v/>
      </c>
      <c r="G8880" s="107" t="str">
        <f aca="false">IF($C8880="","",$D8880*IFERROR(INDEX('تحليل التكلفة والسعر'!$C$2:$C$700,MATCH($C8880,'تحليل التكلفة والسعر'!$B$2:$B$700,0)),0))</f>
        <v/>
      </c>
    </row>
    <row r="8881" customFormat="false" ht="15" hidden="false" customHeight="false" outlineLevel="0" collapsed="false">
      <c r="A8881" s="103"/>
      <c r="B8881" s="104"/>
      <c r="C8881" s="104"/>
      <c r="E8881" s="107" t="str">
        <f aca="false">IF($C8881="","",IFERROR(INDEX(المنيو!$C$2:$C$500,MATCH($C8881,المنيو!$B$2:$B$500,0)),0))</f>
        <v/>
      </c>
      <c r="F8881" s="107" t="str">
        <f aca="false">IF($C8881="","",$D8881*$E8881)</f>
        <v/>
      </c>
      <c r="G8881" s="107" t="str">
        <f aca="false">IF($C8881="","",$D8881*IFERROR(INDEX('تحليل التكلفة والسعر'!$C$2:$C$700,MATCH($C8881,'تحليل التكلفة والسعر'!$B$2:$B$700,0)),0))</f>
        <v/>
      </c>
    </row>
    <row r="8882" customFormat="false" ht="15" hidden="false" customHeight="false" outlineLevel="0" collapsed="false">
      <c r="A8882" s="103"/>
      <c r="B8882" s="104"/>
      <c r="C8882" s="104"/>
      <c r="E8882" s="107" t="str">
        <f aca="false">IF($C8882="","",IFERROR(INDEX(المنيو!$C$2:$C$500,MATCH($C8882,المنيو!$B$2:$B$500,0)),0))</f>
        <v/>
      </c>
      <c r="F8882" s="107" t="str">
        <f aca="false">IF($C8882="","",$D8882*$E8882)</f>
        <v/>
      </c>
      <c r="G8882" s="107" t="str">
        <f aca="false">IF($C8882="","",$D8882*IFERROR(INDEX('تحليل التكلفة والسعر'!$C$2:$C$700,MATCH($C8882,'تحليل التكلفة والسعر'!$B$2:$B$700,0)),0))</f>
        <v/>
      </c>
    </row>
    <row r="8883" customFormat="false" ht="15" hidden="false" customHeight="false" outlineLevel="0" collapsed="false">
      <c r="A8883" s="103"/>
      <c r="B8883" s="104"/>
      <c r="C8883" s="104"/>
      <c r="E8883" s="107" t="str">
        <f aca="false">IF($C8883="","",IFERROR(INDEX(المنيو!$C$2:$C$500,MATCH($C8883,المنيو!$B$2:$B$500,0)),0))</f>
        <v/>
      </c>
      <c r="F8883" s="107" t="str">
        <f aca="false">IF($C8883="","",$D8883*$E8883)</f>
        <v/>
      </c>
      <c r="G8883" s="107" t="str">
        <f aca="false">IF($C8883="","",$D8883*IFERROR(INDEX('تحليل التكلفة والسعر'!$C$2:$C$700,MATCH($C8883,'تحليل التكلفة والسعر'!$B$2:$B$700,0)),0))</f>
        <v/>
      </c>
    </row>
    <row r="8884" customFormat="false" ht="15" hidden="false" customHeight="false" outlineLevel="0" collapsed="false">
      <c r="A8884" s="103"/>
      <c r="B8884" s="104"/>
      <c r="C8884" s="104"/>
      <c r="E8884" s="107" t="str">
        <f aca="false">IF($C8884="","",IFERROR(INDEX(المنيو!$C$2:$C$500,MATCH($C8884,المنيو!$B$2:$B$500,0)),0))</f>
        <v/>
      </c>
      <c r="F8884" s="107" t="str">
        <f aca="false">IF($C8884="","",$D8884*$E8884)</f>
        <v/>
      </c>
      <c r="G8884" s="107" t="str">
        <f aca="false">IF($C8884="","",$D8884*IFERROR(INDEX('تحليل التكلفة والسعر'!$C$2:$C$700,MATCH($C8884,'تحليل التكلفة والسعر'!$B$2:$B$700,0)),0))</f>
        <v/>
      </c>
    </row>
    <row r="8885" customFormat="false" ht="15" hidden="false" customHeight="false" outlineLevel="0" collapsed="false">
      <c r="A8885" s="103"/>
      <c r="B8885" s="104"/>
      <c r="C8885" s="104"/>
      <c r="E8885" s="107" t="str">
        <f aca="false">IF($C8885="","",IFERROR(INDEX(المنيو!$C$2:$C$500,MATCH($C8885,المنيو!$B$2:$B$500,0)),0))</f>
        <v/>
      </c>
      <c r="F8885" s="107" t="str">
        <f aca="false">IF($C8885="","",$D8885*$E8885)</f>
        <v/>
      </c>
      <c r="G8885" s="107" t="str">
        <f aca="false">IF($C8885="","",$D8885*IFERROR(INDEX('تحليل التكلفة والسعر'!$C$2:$C$700,MATCH($C8885,'تحليل التكلفة والسعر'!$B$2:$B$700,0)),0))</f>
        <v/>
      </c>
    </row>
    <row r="8886" customFormat="false" ht="15" hidden="false" customHeight="false" outlineLevel="0" collapsed="false">
      <c r="A8886" s="103"/>
      <c r="B8886" s="104"/>
      <c r="C8886" s="104"/>
      <c r="E8886" s="107" t="str">
        <f aca="false">IF($C8886="","",IFERROR(INDEX(المنيو!$C$2:$C$500,MATCH($C8886,المنيو!$B$2:$B$500,0)),0))</f>
        <v/>
      </c>
      <c r="F8886" s="107" t="str">
        <f aca="false">IF($C8886="","",$D8886*$E8886)</f>
        <v/>
      </c>
      <c r="G8886" s="107" t="str">
        <f aca="false">IF($C8886="","",$D8886*IFERROR(INDEX('تحليل التكلفة والسعر'!$C$2:$C$700,MATCH($C8886,'تحليل التكلفة والسعر'!$B$2:$B$700,0)),0))</f>
        <v/>
      </c>
    </row>
    <row r="8887" customFormat="false" ht="15" hidden="false" customHeight="false" outlineLevel="0" collapsed="false">
      <c r="A8887" s="103"/>
      <c r="B8887" s="104"/>
      <c r="C8887" s="104"/>
      <c r="E8887" s="107" t="str">
        <f aca="false">IF($C8887="","",IFERROR(INDEX(المنيو!$C$2:$C$500,MATCH($C8887,المنيو!$B$2:$B$500,0)),0))</f>
        <v/>
      </c>
      <c r="F8887" s="107" t="str">
        <f aca="false">IF($C8887="","",$D8887*$E8887)</f>
        <v/>
      </c>
      <c r="G8887" s="107" t="str">
        <f aca="false">IF($C8887="","",$D8887*IFERROR(INDEX('تحليل التكلفة والسعر'!$C$2:$C$700,MATCH($C8887,'تحليل التكلفة والسعر'!$B$2:$B$700,0)),0))</f>
        <v/>
      </c>
    </row>
    <row r="8888" customFormat="false" ht="15" hidden="false" customHeight="false" outlineLevel="0" collapsed="false">
      <c r="A8888" s="103"/>
      <c r="B8888" s="104"/>
      <c r="C8888" s="104"/>
      <c r="E8888" s="107" t="str">
        <f aca="false">IF($C8888="","",IFERROR(INDEX(المنيو!$C$2:$C$500,MATCH($C8888,المنيو!$B$2:$B$500,0)),0))</f>
        <v/>
      </c>
      <c r="F8888" s="107" t="str">
        <f aca="false">IF($C8888="","",$D8888*$E8888)</f>
        <v/>
      </c>
      <c r="G8888" s="107" t="str">
        <f aca="false">IF($C8888="","",$D8888*IFERROR(INDEX('تحليل التكلفة والسعر'!$C$2:$C$700,MATCH($C8888,'تحليل التكلفة والسعر'!$B$2:$B$700,0)),0))</f>
        <v/>
      </c>
    </row>
    <row r="8889" customFormat="false" ht="15" hidden="false" customHeight="false" outlineLevel="0" collapsed="false">
      <c r="A8889" s="103"/>
      <c r="B8889" s="104"/>
      <c r="C8889" s="104"/>
      <c r="E8889" s="107" t="str">
        <f aca="false">IF($C8889="","",IFERROR(INDEX(المنيو!$C$2:$C$500,MATCH($C8889,المنيو!$B$2:$B$500,0)),0))</f>
        <v/>
      </c>
      <c r="F8889" s="107" t="str">
        <f aca="false">IF($C8889="","",$D8889*$E8889)</f>
        <v/>
      </c>
      <c r="G8889" s="107" t="str">
        <f aca="false">IF($C8889="","",$D8889*IFERROR(INDEX('تحليل التكلفة والسعر'!$C$2:$C$700,MATCH($C8889,'تحليل التكلفة والسعر'!$B$2:$B$700,0)),0))</f>
        <v/>
      </c>
    </row>
    <row r="8890" customFormat="false" ht="15" hidden="false" customHeight="false" outlineLevel="0" collapsed="false">
      <c r="A8890" s="103"/>
      <c r="B8890" s="104"/>
      <c r="C8890" s="104"/>
      <c r="E8890" s="107" t="str">
        <f aca="false">IF($C8890="","",IFERROR(INDEX(المنيو!$C$2:$C$500,MATCH($C8890,المنيو!$B$2:$B$500,0)),0))</f>
        <v/>
      </c>
      <c r="F8890" s="107" t="str">
        <f aca="false">IF($C8890="","",$D8890*$E8890)</f>
        <v/>
      </c>
      <c r="G8890" s="107" t="str">
        <f aca="false">IF($C8890="","",$D8890*IFERROR(INDEX('تحليل التكلفة والسعر'!$C$2:$C$700,MATCH($C8890,'تحليل التكلفة والسعر'!$B$2:$B$700,0)),0))</f>
        <v/>
      </c>
    </row>
    <row r="8891" customFormat="false" ht="15" hidden="false" customHeight="false" outlineLevel="0" collapsed="false">
      <c r="A8891" s="103"/>
      <c r="B8891" s="104"/>
      <c r="C8891" s="104"/>
      <c r="E8891" s="107" t="str">
        <f aca="false">IF($C8891="","",IFERROR(INDEX(المنيو!$C$2:$C$500,MATCH($C8891,المنيو!$B$2:$B$500,0)),0))</f>
        <v/>
      </c>
      <c r="F8891" s="107" t="str">
        <f aca="false">IF($C8891="","",$D8891*$E8891)</f>
        <v/>
      </c>
      <c r="G8891" s="107" t="str">
        <f aca="false">IF($C8891="","",$D8891*IFERROR(INDEX('تحليل التكلفة والسعر'!$C$2:$C$700,MATCH($C8891,'تحليل التكلفة والسعر'!$B$2:$B$700,0)),0))</f>
        <v/>
      </c>
    </row>
    <row r="8892" customFormat="false" ht="15" hidden="false" customHeight="false" outlineLevel="0" collapsed="false">
      <c r="A8892" s="103"/>
      <c r="B8892" s="104"/>
      <c r="C8892" s="104"/>
      <c r="E8892" s="107" t="str">
        <f aca="false">IF($C8892="","",IFERROR(INDEX(المنيو!$C$2:$C$500,MATCH($C8892,المنيو!$B$2:$B$500,0)),0))</f>
        <v/>
      </c>
      <c r="F8892" s="107" t="str">
        <f aca="false">IF($C8892="","",$D8892*$E8892)</f>
        <v/>
      </c>
      <c r="G8892" s="107" t="str">
        <f aca="false">IF($C8892="","",$D8892*IFERROR(INDEX('تحليل التكلفة والسعر'!$C$2:$C$700,MATCH($C8892,'تحليل التكلفة والسعر'!$B$2:$B$700,0)),0))</f>
        <v/>
      </c>
    </row>
    <row r="8893" customFormat="false" ht="15" hidden="false" customHeight="false" outlineLevel="0" collapsed="false">
      <c r="A8893" s="103"/>
      <c r="B8893" s="104"/>
      <c r="C8893" s="104"/>
      <c r="E8893" s="107" t="str">
        <f aca="false">IF($C8893="","",IFERROR(INDEX(المنيو!$C$2:$C$500,MATCH($C8893,المنيو!$B$2:$B$500,0)),0))</f>
        <v/>
      </c>
      <c r="F8893" s="107" t="str">
        <f aca="false">IF($C8893="","",$D8893*$E8893)</f>
        <v/>
      </c>
      <c r="G8893" s="107" t="str">
        <f aca="false">IF($C8893="","",$D8893*IFERROR(INDEX('تحليل التكلفة والسعر'!$C$2:$C$700,MATCH($C8893,'تحليل التكلفة والسعر'!$B$2:$B$700,0)),0))</f>
        <v/>
      </c>
    </row>
    <row r="8894" customFormat="false" ht="15" hidden="false" customHeight="false" outlineLevel="0" collapsed="false">
      <c r="A8894" s="103"/>
      <c r="B8894" s="104"/>
      <c r="C8894" s="104"/>
      <c r="E8894" s="107" t="str">
        <f aca="false">IF($C8894="","",IFERROR(INDEX(المنيو!$C$2:$C$500,MATCH($C8894,المنيو!$B$2:$B$500,0)),0))</f>
        <v/>
      </c>
      <c r="F8894" s="107" t="str">
        <f aca="false">IF($C8894="","",$D8894*$E8894)</f>
        <v/>
      </c>
      <c r="G8894" s="107" t="str">
        <f aca="false">IF($C8894="","",$D8894*IFERROR(INDEX('تحليل التكلفة والسعر'!$C$2:$C$700,MATCH($C8894,'تحليل التكلفة والسعر'!$B$2:$B$700,0)),0))</f>
        <v/>
      </c>
    </row>
    <row r="8895" customFormat="false" ht="15" hidden="false" customHeight="false" outlineLevel="0" collapsed="false">
      <c r="A8895" s="103"/>
      <c r="B8895" s="104"/>
      <c r="C8895" s="104"/>
      <c r="E8895" s="107" t="str">
        <f aca="false">IF($C8895="","",IFERROR(INDEX(المنيو!$C$2:$C$500,MATCH($C8895,المنيو!$B$2:$B$500,0)),0))</f>
        <v/>
      </c>
      <c r="F8895" s="107" t="str">
        <f aca="false">IF($C8895="","",$D8895*$E8895)</f>
        <v/>
      </c>
      <c r="G8895" s="107" t="str">
        <f aca="false">IF($C8895="","",$D8895*IFERROR(INDEX('تحليل التكلفة والسعر'!$C$2:$C$700,MATCH($C8895,'تحليل التكلفة والسعر'!$B$2:$B$700,0)),0))</f>
        <v/>
      </c>
    </row>
    <row r="8896" customFormat="false" ht="15" hidden="false" customHeight="false" outlineLevel="0" collapsed="false">
      <c r="A8896" s="103"/>
      <c r="B8896" s="104"/>
      <c r="C8896" s="104"/>
      <c r="E8896" s="107" t="str">
        <f aca="false">IF($C8896="","",IFERROR(INDEX(المنيو!$C$2:$C$500,MATCH($C8896,المنيو!$B$2:$B$500,0)),0))</f>
        <v/>
      </c>
      <c r="F8896" s="107" t="str">
        <f aca="false">IF($C8896="","",$D8896*$E8896)</f>
        <v/>
      </c>
      <c r="G8896" s="107" t="str">
        <f aca="false">IF($C8896="","",$D8896*IFERROR(INDEX('تحليل التكلفة والسعر'!$C$2:$C$700,MATCH($C8896,'تحليل التكلفة والسعر'!$B$2:$B$700,0)),0))</f>
        <v/>
      </c>
    </row>
    <row r="8897" customFormat="false" ht="15" hidden="false" customHeight="false" outlineLevel="0" collapsed="false">
      <c r="A8897" s="103"/>
      <c r="B8897" s="104"/>
      <c r="C8897" s="104"/>
      <c r="E8897" s="107" t="str">
        <f aca="false">IF($C8897="","",IFERROR(INDEX(المنيو!$C$2:$C$500,MATCH($C8897,المنيو!$B$2:$B$500,0)),0))</f>
        <v/>
      </c>
      <c r="F8897" s="107" t="str">
        <f aca="false">IF($C8897="","",$D8897*$E8897)</f>
        <v/>
      </c>
      <c r="G8897" s="107" t="str">
        <f aca="false">IF($C8897="","",$D8897*IFERROR(INDEX('تحليل التكلفة والسعر'!$C$2:$C$700,MATCH($C8897,'تحليل التكلفة والسعر'!$B$2:$B$700,0)),0))</f>
        <v/>
      </c>
    </row>
    <row r="8898" customFormat="false" ht="15" hidden="false" customHeight="false" outlineLevel="0" collapsed="false">
      <c r="A8898" s="103"/>
      <c r="B8898" s="104"/>
      <c r="C8898" s="104"/>
      <c r="E8898" s="107" t="str">
        <f aca="false">IF($C8898="","",IFERROR(INDEX(المنيو!$C$2:$C$500,MATCH($C8898,المنيو!$B$2:$B$500,0)),0))</f>
        <v/>
      </c>
      <c r="F8898" s="107" t="str">
        <f aca="false">IF($C8898="","",$D8898*$E8898)</f>
        <v/>
      </c>
      <c r="G8898" s="107" t="str">
        <f aca="false">IF($C8898="","",$D8898*IFERROR(INDEX('تحليل التكلفة والسعر'!$C$2:$C$700,MATCH($C8898,'تحليل التكلفة والسعر'!$B$2:$B$700,0)),0))</f>
        <v/>
      </c>
    </row>
    <row r="8899" customFormat="false" ht="15" hidden="false" customHeight="false" outlineLevel="0" collapsed="false">
      <c r="A8899" s="103"/>
      <c r="B8899" s="104"/>
      <c r="C8899" s="104"/>
      <c r="E8899" s="107" t="str">
        <f aca="false">IF($C8899="","",IFERROR(INDEX(المنيو!$C$2:$C$500,MATCH($C8899,المنيو!$B$2:$B$500,0)),0))</f>
        <v/>
      </c>
      <c r="F8899" s="107" t="str">
        <f aca="false">IF($C8899="","",$D8899*$E8899)</f>
        <v/>
      </c>
      <c r="G8899" s="107" t="str">
        <f aca="false">IF($C8899="","",$D8899*IFERROR(INDEX('تحليل التكلفة والسعر'!$C$2:$C$700,MATCH($C8899,'تحليل التكلفة والسعر'!$B$2:$B$700,0)),0))</f>
        <v/>
      </c>
    </row>
    <row r="8900" customFormat="false" ht="15" hidden="false" customHeight="false" outlineLevel="0" collapsed="false">
      <c r="A8900" s="103"/>
      <c r="B8900" s="104"/>
      <c r="C8900" s="104"/>
      <c r="E8900" s="107" t="str">
        <f aca="false">IF($C8900="","",IFERROR(INDEX(المنيو!$C$2:$C$500,MATCH($C8900,المنيو!$B$2:$B$500,0)),0))</f>
        <v/>
      </c>
      <c r="F8900" s="107" t="str">
        <f aca="false">IF($C8900="","",$D8900*$E8900)</f>
        <v/>
      </c>
      <c r="G8900" s="107" t="str">
        <f aca="false">IF($C8900="","",$D8900*IFERROR(INDEX('تحليل التكلفة والسعر'!$C$2:$C$700,MATCH($C8900,'تحليل التكلفة والسعر'!$B$2:$B$700,0)),0))</f>
        <v/>
      </c>
    </row>
    <row r="8901" customFormat="false" ht="15" hidden="false" customHeight="false" outlineLevel="0" collapsed="false">
      <c r="A8901" s="103"/>
      <c r="B8901" s="104"/>
      <c r="C8901" s="104"/>
      <c r="E8901" s="107" t="str">
        <f aca="false">IF($C8901="","",IFERROR(INDEX(المنيو!$C$2:$C$500,MATCH($C8901,المنيو!$B$2:$B$500,0)),0))</f>
        <v/>
      </c>
      <c r="F8901" s="107" t="str">
        <f aca="false">IF($C8901="","",$D8901*$E8901)</f>
        <v/>
      </c>
      <c r="G8901" s="107" t="str">
        <f aca="false">IF($C8901="","",$D8901*IFERROR(INDEX('تحليل التكلفة والسعر'!$C$2:$C$700,MATCH($C8901,'تحليل التكلفة والسعر'!$B$2:$B$700,0)),0))</f>
        <v/>
      </c>
    </row>
    <row r="8902" customFormat="false" ht="15" hidden="false" customHeight="false" outlineLevel="0" collapsed="false">
      <c r="A8902" s="103"/>
      <c r="B8902" s="104"/>
      <c r="C8902" s="104"/>
      <c r="E8902" s="107" t="str">
        <f aca="false">IF($C8902="","",IFERROR(INDEX(المنيو!$C$2:$C$500,MATCH($C8902,المنيو!$B$2:$B$500,0)),0))</f>
        <v/>
      </c>
      <c r="F8902" s="107" t="str">
        <f aca="false">IF($C8902="","",$D8902*$E8902)</f>
        <v/>
      </c>
      <c r="G8902" s="107" t="str">
        <f aca="false">IF($C8902="","",$D8902*IFERROR(INDEX('تحليل التكلفة والسعر'!$C$2:$C$700,MATCH($C8902,'تحليل التكلفة والسعر'!$B$2:$B$700,0)),0))</f>
        <v/>
      </c>
    </row>
    <row r="8903" customFormat="false" ht="15" hidden="false" customHeight="false" outlineLevel="0" collapsed="false">
      <c r="A8903" s="103"/>
      <c r="B8903" s="104"/>
      <c r="C8903" s="104"/>
      <c r="E8903" s="107" t="str">
        <f aca="false">IF($C8903="","",IFERROR(INDEX(المنيو!$C$2:$C$500,MATCH($C8903,المنيو!$B$2:$B$500,0)),0))</f>
        <v/>
      </c>
      <c r="F8903" s="107" t="str">
        <f aca="false">IF($C8903="","",$D8903*$E8903)</f>
        <v/>
      </c>
      <c r="G8903" s="107" t="str">
        <f aca="false">IF($C8903="","",$D8903*IFERROR(INDEX('تحليل التكلفة والسعر'!$C$2:$C$700,MATCH($C8903,'تحليل التكلفة والسعر'!$B$2:$B$700,0)),0))</f>
        <v/>
      </c>
    </row>
    <row r="8904" customFormat="false" ht="15" hidden="false" customHeight="false" outlineLevel="0" collapsed="false">
      <c r="A8904" s="103"/>
      <c r="B8904" s="104"/>
      <c r="C8904" s="104"/>
      <c r="E8904" s="107" t="str">
        <f aca="false">IF($C8904="","",IFERROR(INDEX(المنيو!$C$2:$C$500,MATCH($C8904,المنيو!$B$2:$B$500,0)),0))</f>
        <v/>
      </c>
      <c r="F8904" s="107" t="str">
        <f aca="false">IF($C8904="","",$D8904*$E8904)</f>
        <v/>
      </c>
      <c r="G8904" s="107" t="str">
        <f aca="false">IF($C8904="","",$D8904*IFERROR(INDEX('تحليل التكلفة والسعر'!$C$2:$C$700,MATCH($C8904,'تحليل التكلفة والسعر'!$B$2:$B$700,0)),0))</f>
        <v/>
      </c>
    </row>
    <row r="8905" customFormat="false" ht="15" hidden="false" customHeight="false" outlineLevel="0" collapsed="false">
      <c r="A8905" s="103"/>
      <c r="B8905" s="104"/>
      <c r="C8905" s="104"/>
      <c r="E8905" s="107" t="str">
        <f aca="false">IF($C8905="","",IFERROR(INDEX(المنيو!$C$2:$C$500,MATCH($C8905,المنيو!$B$2:$B$500,0)),0))</f>
        <v/>
      </c>
      <c r="F8905" s="107" t="str">
        <f aca="false">IF($C8905="","",$D8905*$E8905)</f>
        <v/>
      </c>
      <c r="G8905" s="107" t="str">
        <f aca="false">IF($C8905="","",$D8905*IFERROR(INDEX('تحليل التكلفة والسعر'!$C$2:$C$700,MATCH($C8905,'تحليل التكلفة والسعر'!$B$2:$B$700,0)),0))</f>
        <v/>
      </c>
    </row>
    <row r="8906" customFormat="false" ht="15" hidden="false" customHeight="false" outlineLevel="0" collapsed="false">
      <c r="A8906" s="103"/>
      <c r="B8906" s="104"/>
      <c r="C8906" s="104"/>
      <c r="E8906" s="107" t="str">
        <f aca="false">IF($C8906="","",IFERROR(INDEX(المنيو!$C$2:$C$500,MATCH($C8906,المنيو!$B$2:$B$500,0)),0))</f>
        <v/>
      </c>
      <c r="F8906" s="107" t="str">
        <f aca="false">IF($C8906="","",$D8906*$E8906)</f>
        <v/>
      </c>
      <c r="G8906" s="107" t="str">
        <f aca="false">IF($C8906="","",$D8906*IFERROR(INDEX('تحليل التكلفة والسعر'!$C$2:$C$700,MATCH($C8906,'تحليل التكلفة والسعر'!$B$2:$B$700,0)),0))</f>
        <v/>
      </c>
    </row>
    <row r="8907" customFormat="false" ht="15" hidden="false" customHeight="false" outlineLevel="0" collapsed="false">
      <c r="A8907" s="103"/>
      <c r="B8907" s="104"/>
      <c r="C8907" s="104"/>
      <c r="E8907" s="107" t="str">
        <f aca="false">IF($C8907="","",IFERROR(INDEX(المنيو!$C$2:$C$500,MATCH($C8907,المنيو!$B$2:$B$500,0)),0))</f>
        <v/>
      </c>
      <c r="F8907" s="107" t="str">
        <f aca="false">IF($C8907="","",$D8907*$E8907)</f>
        <v/>
      </c>
      <c r="G8907" s="107" t="str">
        <f aca="false">IF($C8907="","",$D8907*IFERROR(INDEX('تحليل التكلفة والسعر'!$C$2:$C$700,MATCH($C8907,'تحليل التكلفة والسعر'!$B$2:$B$700,0)),0))</f>
        <v/>
      </c>
    </row>
    <row r="8908" customFormat="false" ht="15" hidden="false" customHeight="false" outlineLevel="0" collapsed="false">
      <c r="A8908" s="103"/>
      <c r="B8908" s="104"/>
      <c r="C8908" s="104"/>
      <c r="E8908" s="107" t="str">
        <f aca="false">IF($C8908="","",IFERROR(INDEX(المنيو!$C$2:$C$500,MATCH($C8908,المنيو!$B$2:$B$500,0)),0))</f>
        <v/>
      </c>
      <c r="F8908" s="107" t="str">
        <f aca="false">IF($C8908="","",$D8908*$E8908)</f>
        <v/>
      </c>
      <c r="G8908" s="107" t="str">
        <f aca="false">IF($C8908="","",$D8908*IFERROR(INDEX('تحليل التكلفة والسعر'!$C$2:$C$700,MATCH($C8908,'تحليل التكلفة والسعر'!$B$2:$B$700,0)),0))</f>
        <v/>
      </c>
    </row>
    <row r="8909" customFormat="false" ht="15" hidden="false" customHeight="false" outlineLevel="0" collapsed="false">
      <c r="A8909" s="103"/>
      <c r="B8909" s="104"/>
      <c r="C8909" s="104"/>
      <c r="E8909" s="107" t="str">
        <f aca="false">IF($C8909="","",IFERROR(INDEX(المنيو!$C$2:$C$500,MATCH($C8909,المنيو!$B$2:$B$500,0)),0))</f>
        <v/>
      </c>
      <c r="F8909" s="107" t="str">
        <f aca="false">IF($C8909="","",$D8909*$E8909)</f>
        <v/>
      </c>
      <c r="G8909" s="107" t="str">
        <f aca="false">IF($C8909="","",$D8909*IFERROR(INDEX('تحليل التكلفة والسعر'!$C$2:$C$700,MATCH($C8909,'تحليل التكلفة والسعر'!$B$2:$B$700,0)),0))</f>
        <v/>
      </c>
    </row>
    <row r="8910" customFormat="false" ht="15" hidden="false" customHeight="false" outlineLevel="0" collapsed="false">
      <c r="A8910" s="103"/>
      <c r="B8910" s="104"/>
      <c r="C8910" s="104"/>
      <c r="E8910" s="107" t="str">
        <f aca="false">IF($C8910="","",IFERROR(INDEX(المنيو!$C$2:$C$500,MATCH($C8910,المنيو!$B$2:$B$500,0)),0))</f>
        <v/>
      </c>
      <c r="F8910" s="107" t="str">
        <f aca="false">IF($C8910="","",$D8910*$E8910)</f>
        <v/>
      </c>
      <c r="G8910" s="107" t="str">
        <f aca="false">IF($C8910="","",$D8910*IFERROR(INDEX('تحليل التكلفة والسعر'!$C$2:$C$700,MATCH($C8910,'تحليل التكلفة والسعر'!$B$2:$B$700,0)),0))</f>
        <v/>
      </c>
    </row>
    <row r="8911" customFormat="false" ht="15" hidden="false" customHeight="false" outlineLevel="0" collapsed="false">
      <c r="A8911" s="103"/>
      <c r="B8911" s="104"/>
      <c r="C8911" s="104"/>
      <c r="E8911" s="107" t="str">
        <f aca="false">IF($C8911="","",IFERROR(INDEX(المنيو!$C$2:$C$500,MATCH($C8911,المنيو!$B$2:$B$500,0)),0))</f>
        <v/>
      </c>
      <c r="F8911" s="107" t="str">
        <f aca="false">IF($C8911="","",$D8911*$E8911)</f>
        <v/>
      </c>
      <c r="G8911" s="107" t="str">
        <f aca="false">IF($C8911="","",$D8911*IFERROR(INDEX('تحليل التكلفة والسعر'!$C$2:$C$700,MATCH($C8911,'تحليل التكلفة والسعر'!$B$2:$B$700,0)),0))</f>
        <v/>
      </c>
    </row>
    <row r="8912" customFormat="false" ht="15" hidden="false" customHeight="false" outlineLevel="0" collapsed="false">
      <c r="A8912" s="103"/>
      <c r="B8912" s="104"/>
      <c r="C8912" s="104"/>
      <c r="E8912" s="107" t="str">
        <f aca="false">IF($C8912="","",IFERROR(INDEX(المنيو!$C$2:$C$500,MATCH($C8912,المنيو!$B$2:$B$500,0)),0))</f>
        <v/>
      </c>
      <c r="F8912" s="107" t="str">
        <f aca="false">IF($C8912="","",$D8912*$E8912)</f>
        <v/>
      </c>
      <c r="G8912" s="107" t="str">
        <f aca="false">IF($C8912="","",$D8912*IFERROR(INDEX('تحليل التكلفة والسعر'!$C$2:$C$700,MATCH($C8912,'تحليل التكلفة والسعر'!$B$2:$B$700,0)),0))</f>
        <v/>
      </c>
    </row>
    <row r="8913" customFormat="false" ht="15" hidden="false" customHeight="false" outlineLevel="0" collapsed="false">
      <c r="A8913" s="103"/>
      <c r="B8913" s="104"/>
      <c r="C8913" s="104"/>
      <c r="E8913" s="107" t="str">
        <f aca="false">IF($C8913="","",IFERROR(INDEX(المنيو!$C$2:$C$500,MATCH($C8913,المنيو!$B$2:$B$500,0)),0))</f>
        <v/>
      </c>
      <c r="F8913" s="107" t="str">
        <f aca="false">IF($C8913="","",$D8913*$E8913)</f>
        <v/>
      </c>
      <c r="G8913" s="107" t="str">
        <f aca="false">IF($C8913="","",$D8913*IFERROR(INDEX('تحليل التكلفة والسعر'!$C$2:$C$700,MATCH($C8913,'تحليل التكلفة والسعر'!$B$2:$B$700,0)),0))</f>
        <v/>
      </c>
    </row>
    <row r="8914" customFormat="false" ht="15" hidden="false" customHeight="false" outlineLevel="0" collapsed="false">
      <c r="A8914" s="103"/>
      <c r="B8914" s="104"/>
      <c r="C8914" s="104"/>
      <c r="E8914" s="107" t="str">
        <f aca="false">IF($C8914="","",IFERROR(INDEX(المنيو!$C$2:$C$500,MATCH($C8914,المنيو!$B$2:$B$500,0)),0))</f>
        <v/>
      </c>
      <c r="F8914" s="107" t="str">
        <f aca="false">IF($C8914="","",$D8914*$E8914)</f>
        <v/>
      </c>
      <c r="G8914" s="107" t="str">
        <f aca="false">IF($C8914="","",$D8914*IFERROR(INDEX('تحليل التكلفة والسعر'!$C$2:$C$700,MATCH($C8914,'تحليل التكلفة والسعر'!$B$2:$B$700,0)),0))</f>
        <v/>
      </c>
    </row>
    <row r="8915" customFormat="false" ht="15" hidden="false" customHeight="false" outlineLevel="0" collapsed="false">
      <c r="A8915" s="103"/>
      <c r="B8915" s="104"/>
      <c r="C8915" s="104"/>
      <c r="E8915" s="107" t="str">
        <f aca="false">IF($C8915="","",IFERROR(INDEX(المنيو!$C$2:$C$500,MATCH($C8915,المنيو!$B$2:$B$500,0)),0))</f>
        <v/>
      </c>
      <c r="F8915" s="107" t="str">
        <f aca="false">IF($C8915="","",$D8915*$E8915)</f>
        <v/>
      </c>
      <c r="G8915" s="107" t="str">
        <f aca="false">IF($C8915="","",$D8915*IFERROR(INDEX('تحليل التكلفة والسعر'!$C$2:$C$700,MATCH($C8915,'تحليل التكلفة والسعر'!$B$2:$B$700,0)),0))</f>
        <v/>
      </c>
    </row>
    <row r="8916" customFormat="false" ht="15" hidden="false" customHeight="false" outlineLevel="0" collapsed="false">
      <c r="A8916" s="103"/>
      <c r="B8916" s="104"/>
      <c r="C8916" s="104"/>
      <c r="E8916" s="107" t="str">
        <f aca="false">IF($C8916="","",IFERROR(INDEX(المنيو!$C$2:$C$500,MATCH($C8916,المنيو!$B$2:$B$500,0)),0))</f>
        <v/>
      </c>
      <c r="F8916" s="107" t="str">
        <f aca="false">IF($C8916="","",$D8916*$E8916)</f>
        <v/>
      </c>
      <c r="G8916" s="107" t="str">
        <f aca="false">IF($C8916="","",$D8916*IFERROR(INDEX('تحليل التكلفة والسعر'!$C$2:$C$700,MATCH($C8916,'تحليل التكلفة والسعر'!$B$2:$B$700,0)),0))</f>
        <v/>
      </c>
    </row>
    <row r="8917" customFormat="false" ht="15" hidden="false" customHeight="false" outlineLevel="0" collapsed="false">
      <c r="A8917" s="103"/>
      <c r="B8917" s="104"/>
      <c r="C8917" s="104"/>
      <c r="E8917" s="107" t="str">
        <f aca="false">IF($C8917="","",IFERROR(INDEX(المنيو!$C$2:$C$500,MATCH($C8917,المنيو!$B$2:$B$500,0)),0))</f>
        <v/>
      </c>
      <c r="F8917" s="107" t="str">
        <f aca="false">IF($C8917="","",$D8917*$E8917)</f>
        <v/>
      </c>
      <c r="G8917" s="107" t="str">
        <f aca="false">IF($C8917="","",$D8917*IFERROR(INDEX('تحليل التكلفة والسعر'!$C$2:$C$700,MATCH($C8917,'تحليل التكلفة والسعر'!$B$2:$B$700,0)),0))</f>
        <v/>
      </c>
    </row>
    <row r="8918" customFormat="false" ht="15" hidden="false" customHeight="false" outlineLevel="0" collapsed="false">
      <c r="A8918" s="103"/>
      <c r="B8918" s="104"/>
      <c r="C8918" s="104"/>
      <c r="E8918" s="107" t="str">
        <f aca="false">IF($C8918="","",IFERROR(INDEX(المنيو!$C$2:$C$500,MATCH($C8918,المنيو!$B$2:$B$500,0)),0))</f>
        <v/>
      </c>
      <c r="F8918" s="107" t="str">
        <f aca="false">IF($C8918="","",$D8918*$E8918)</f>
        <v/>
      </c>
      <c r="G8918" s="107" t="str">
        <f aca="false">IF($C8918="","",$D8918*IFERROR(INDEX('تحليل التكلفة والسعر'!$C$2:$C$700,MATCH($C8918,'تحليل التكلفة والسعر'!$B$2:$B$700,0)),0))</f>
        <v/>
      </c>
    </row>
    <row r="8919" customFormat="false" ht="15" hidden="false" customHeight="false" outlineLevel="0" collapsed="false">
      <c r="A8919" s="103"/>
      <c r="B8919" s="104"/>
      <c r="C8919" s="104"/>
      <c r="E8919" s="107" t="str">
        <f aca="false">IF($C8919="","",IFERROR(INDEX(المنيو!$C$2:$C$500,MATCH($C8919,المنيو!$B$2:$B$500,0)),0))</f>
        <v/>
      </c>
      <c r="F8919" s="107" t="str">
        <f aca="false">IF($C8919="","",$D8919*$E8919)</f>
        <v/>
      </c>
      <c r="G8919" s="107" t="str">
        <f aca="false">IF($C8919="","",$D8919*IFERROR(INDEX('تحليل التكلفة والسعر'!$C$2:$C$700,MATCH($C8919,'تحليل التكلفة والسعر'!$B$2:$B$700,0)),0))</f>
        <v/>
      </c>
    </row>
    <row r="8920" customFormat="false" ht="15" hidden="false" customHeight="false" outlineLevel="0" collapsed="false">
      <c r="A8920" s="103"/>
      <c r="B8920" s="104"/>
      <c r="C8920" s="104"/>
      <c r="E8920" s="107" t="str">
        <f aca="false">IF($C8920="","",IFERROR(INDEX(المنيو!$C$2:$C$500,MATCH($C8920,المنيو!$B$2:$B$500,0)),0))</f>
        <v/>
      </c>
      <c r="F8920" s="107" t="str">
        <f aca="false">IF($C8920="","",$D8920*$E8920)</f>
        <v/>
      </c>
      <c r="G8920" s="107" t="str">
        <f aca="false">IF($C8920="","",$D8920*IFERROR(INDEX('تحليل التكلفة والسعر'!$C$2:$C$700,MATCH($C8920,'تحليل التكلفة والسعر'!$B$2:$B$700,0)),0))</f>
        <v/>
      </c>
    </row>
    <row r="8921" customFormat="false" ht="15" hidden="false" customHeight="false" outlineLevel="0" collapsed="false">
      <c r="A8921" s="103"/>
      <c r="B8921" s="104"/>
      <c r="C8921" s="104"/>
      <c r="E8921" s="107" t="str">
        <f aca="false">IF($C8921="","",IFERROR(INDEX(المنيو!$C$2:$C$500,MATCH($C8921,المنيو!$B$2:$B$500,0)),0))</f>
        <v/>
      </c>
      <c r="F8921" s="107" t="str">
        <f aca="false">IF($C8921="","",$D8921*$E8921)</f>
        <v/>
      </c>
      <c r="G8921" s="107" t="str">
        <f aca="false">IF($C8921="","",$D8921*IFERROR(INDEX('تحليل التكلفة والسعر'!$C$2:$C$700,MATCH($C8921,'تحليل التكلفة والسعر'!$B$2:$B$700,0)),0))</f>
        <v/>
      </c>
    </row>
    <row r="8922" customFormat="false" ht="15" hidden="false" customHeight="false" outlineLevel="0" collapsed="false">
      <c r="A8922" s="103"/>
      <c r="B8922" s="104"/>
      <c r="C8922" s="104"/>
      <c r="E8922" s="107" t="str">
        <f aca="false">IF($C8922="","",IFERROR(INDEX(المنيو!$C$2:$C$500,MATCH($C8922,المنيو!$B$2:$B$500,0)),0))</f>
        <v/>
      </c>
      <c r="F8922" s="107" t="str">
        <f aca="false">IF($C8922="","",$D8922*$E8922)</f>
        <v/>
      </c>
      <c r="G8922" s="107" t="str">
        <f aca="false">IF($C8922="","",$D8922*IFERROR(INDEX('تحليل التكلفة والسعر'!$C$2:$C$700,MATCH($C8922,'تحليل التكلفة والسعر'!$B$2:$B$700,0)),0))</f>
        <v/>
      </c>
    </row>
    <row r="8923" customFormat="false" ht="15" hidden="false" customHeight="false" outlineLevel="0" collapsed="false">
      <c r="A8923" s="103"/>
      <c r="B8923" s="104"/>
      <c r="C8923" s="104"/>
      <c r="E8923" s="107" t="str">
        <f aca="false">IF($C8923="","",IFERROR(INDEX(المنيو!$C$2:$C$500,MATCH($C8923,المنيو!$B$2:$B$500,0)),0))</f>
        <v/>
      </c>
      <c r="F8923" s="107" t="str">
        <f aca="false">IF($C8923="","",$D8923*$E8923)</f>
        <v/>
      </c>
      <c r="G8923" s="107" t="str">
        <f aca="false">IF($C8923="","",$D8923*IFERROR(INDEX('تحليل التكلفة والسعر'!$C$2:$C$700,MATCH($C8923,'تحليل التكلفة والسعر'!$B$2:$B$700,0)),0))</f>
        <v/>
      </c>
    </row>
    <row r="8924" customFormat="false" ht="15" hidden="false" customHeight="false" outlineLevel="0" collapsed="false">
      <c r="A8924" s="103"/>
      <c r="B8924" s="104"/>
      <c r="C8924" s="104"/>
      <c r="E8924" s="107" t="str">
        <f aca="false">IF($C8924="","",IFERROR(INDEX(المنيو!$C$2:$C$500,MATCH($C8924,المنيو!$B$2:$B$500,0)),0))</f>
        <v/>
      </c>
      <c r="F8924" s="107" t="str">
        <f aca="false">IF($C8924="","",$D8924*$E8924)</f>
        <v/>
      </c>
      <c r="G8924" s="107" t="str">
        <f aca="false">IF($C8924="","",$D8924*IFERROR(INDEX('تحليل التكلفة والسعر'!$C$2:$C$700,MATCH($C8924,'تحليل التكلفة والسعر'!$B$2:$B$700,0)),0))</f>
        <v/>
      </c>
    </row>
    <row r="8925" customFormat="false" ht="15" hidden="false" customHeight="false" outlineLevel="0" collapsed="false">
      <c r="A8925" s="103"/>
      <c r="B8925" s="104"/>
      <c r="C8925" s="104"/>
      <c r="E8925" s="107" t="str">
        <f aca="false">IF($C8925="","",IFERROR(INDEX(المنيو!$C$2:$C$500,MATCH($C8925,المنيو!$B$2:$B$500,0)),0))</f>
        <v/>
      </c>
      <c r="F8925" s="107" t="str">
        <f aca="false">IF($C8925="","",$D8925*$E8925)</f>
        <v/>
      </c>
      <c r="G8925" s="107" t="str">
        <f aca="false">IF($C8925="","",$D8925*IFERROR(INDEX('تحليل التكلفة والسعر'!$C$2:$C$700,MATCH($C8925,'تحليل التكلفة والسعر'!$B$2:$B$700,0)),0))</f>
        <v/>
      </c>
    </row>
    <row r="8926" customFormat="false" ht="15" hidden="false" customHeight="false" outlineLevel="0" collapsed="false">
      <c r="A8926" s="103"/>
      <c r="B8926" s="104"/>
      <c r="C8926" s="104"/>
      <c r="E8926" s="107" t="str">
        <f aca="false">IF($C8926="","",IFERROR(INDEX(المنيو!$C$2:$C$500,MATCH($C8926,المنيو!$B$2:$B$500,0)),0))</f>
        <v/>
      </c>
      <c r="F8926" s="107" t="str">
        <f aca="false">IF($C8926="","",$D8926*$E8926)</f>
        <v/>
      </c>
      <c r="G8926" s="107" t="str">
        <f aca="false">IF($C8926="","",$D8926*IFERROR(INDEX('تحليل التكلفة والسعر'!$C$2:$C$700,MATCH($C8926,'تحليل التكلفة والسعر'!$B$2:$B$700,0)),0))</f>
        <v/>
      </c>
    </row>
    <row r="8927" customFormat="false" ht="15" hidden="false" customHeight="false" outlineLevel="0" collapsed="false">
      <c r="A8927" s="103"/>
      <c r="B8927" s="104"/>
      <c r="C8927" s="104"/>
      <c r="E8927" s="107" t="str">
        <f aca="false">IF($C8927="","",IFERROR(INDEX(المنيو!$C$2:$C$500,MATCH($C8927,المنيو!$B$2:$B$500,0)),0))</f>
        <v/>
      </c>
      <c r="F8927" s="107" t="str">
        <f aca="false">IF($C8927="","",$D8927*$E8927)</f>
        <v/>
      </c>
      <c r="G8927" s="107" t="str">
        <f aca="false">IF($C8927="","",$D8927*IFERROR(INDEX('تحليل التكلفة والسعر'!$C$2:$C$700,MATCH($C8927,'تحليل التكلفة والسعر'!$B$2:$B$700,0)),0))</f>
        <v/>
      </c>
    </row>
    <row r="8928" customFormat="false" ht="15" hidden="false" customHeight="false" outlineLevel="0" collapsed="false">
      <c r="A8928" s="103"/>
      <c r="B8928" s="104"/>
      <c r="C8928" s="104"/>
      <c r="E8928" s="107" t="str">
        <f aca="false">IF($C8928="","",IFERROR(INDEX(المنيو!$C$2:$C$500,MATCH($C8928,المنيو!$B$2:$B$500,0)),0))</f>
        <v/>
      </c>
      <c r="F8928" s="107" t="str">
        <f aca="false">IF($C8928="","",$D8928*$E8928)</f>
        <v/>
      </c>
      <c r="G8928" s="107" t="str">
        <f aca="false">IF($C8928="","",$D8928*IFERROR(INDEX('تحليل التكلفة والسعر'!$C$2:$C$700,MATCH($C8928,'تحليل التكلفة والسعر'!$B$2:$B$700,0)),0))</f>
        <v/>
      </c>
    </row>
    <row r="8929" customFormat="false" ht="15" hidden="false" customHeight="false" outlineLevel="0" collapsed="false">
      <c r="A8929" s="103"/>
      <c r="B8929" s="104"/>
      <c r="C8929" s="104"/>
      <c r="E8929" s="107" t="str">
        <f aca="false">IF($C8929="","",IFERROR(INDEX(المنيو!$C$2:$C$500,MATCH($C8929,المنيو!$B$2:$B$500,0)),0))</f>
        <v/>
      </c>
      <c r="F8929" s="107" t="str">
        <f aca="false">IF($C8929="","",$D8929*$E8929)</f>
        <v/>
      </c>
      <c r="G8929" s="107" t="str">
        <f aca="false">IF($C8929="","",$D8929*IFERROR(INDEX('تحليل التكلفة والسعر'!$C$2:$C$700,MATCH($C8929,'تحليل التكلفة والسعر'!$B$2:$B$700,0)),0))</f>
        <v/>
      </c>
    </row>
    <row r="8930" customFormat="false" ht="15" hidden="false" customHeight="false" outlineLevel="0" collapsed="false">
      <c r="A8930" s="103"/>
      <c r="B8930" s="104"/>
      <c r="C8930" s="104"/>
      <c r="E8930" s="107" t="str">
        <f aca="false">IF($C8930="","",IFERROR(INDEX(المنيو!$C$2:$C$500,MATCH($C8930,المنيو!$B$2:$B$500,0)),0))</f>
        <v/>
      </c>
      <c r="F8930" s="107" t="str">
        <f aca="false">IF($C8930="","",$D8930*$E8930)</f>
        <v/>
      </c>
      <c r="G8930" s="107" t="str">
        <f aca="false">IF($C8930="","",$D8930*IFERROR(INDEX('تحليل التكلفة والسعر'!$C$2:$C$700,MATCH($C8930,'تحليل التكلفة والسعر'!$B$2:$B$700,0)),0))</f>
        <v/>
      </c>
    </row>
    <row r="8931" customFormat="false" ht="15" hidden="false" customHeight="false" outlineLevel="0" collapsed="false">
      <c r="A8931" s="103"/>
      <c r="B8931" s="104"/>
      <c r="C8931" s="104"/>
      <c r="E8931" s="107" t="str">
        <f aca="false">IF($C8931="","",IFERROR(INDEX(المنيو!$C$2:$C$500,MATCH($C8931,المنيو!$B$2:$B$500,0)),0))</f>
        <v/>
      </c>
      <c r="F8931" s="107" t="str">
        <f aca="false">IF($C8931="","",$D8931*$E8931)</f>
        <v/>
      </c>
      <c r="G8931" s="107" t="str">
        <f aca="false">IF($C8931="","",$D8931*IFERROR(INDEX('تحليل التكلفة والسعر'!$C$2:$C$700,MATCH($C8931,'تحليل التكلفة والسعر'!$B$2:$B$700,0)),0))</f>
        <v/>
      </c>
    </row>
    <row r="8932" customFormat="false" ht="15" hidden="false" customHeight="false" outlineLevel="0" collapsed="false">
      <c r="A8932" s="103"/>
      <c r="B8932" s="104"/>
      <c r="C8932" s="104"/>
      <c r="E8932" s="107" t="str">
        <f aca="false">IF($C8932="","",IFERROR(INDEX(المنيو!$C$2:$C$500,MATCH($C8932,المنيو!$B$2:$B$500,0)),0))</f>
        <v/>
      </c>
      <c r="F8932" s="107" t="str">
        <f aca="false">IF($C8932="","",$D8932*$E8932)</f>
        <v/>
      </c>
      <c r="G8932" s="107" t="str">
        <f aca="false">IF($C8932="","",$D8932*IFERROR(INDEX('تحليل التكلفة والسعر'!$C$2:$C$700,MATCH($C8932,'تحليل التكلفة والسعر'!$B$2:$B$700,0)),0))</f>
        <v/>
      </c>
    </row>
    <row r="8933" customFormat="false" ht="15" hidden="false" customHeight="false" outlineLevel="0" collapsed="false">
      <c r="A8933" s="103"/>
      <c r="B8933" s="104"/>
      <c r="C8933" s="104"/>
      <c r="E8933" s="107" t="str">
        <f aca="false">IF($C8933="","",IFERROR(INDEX(المنيو!$C$2:$C$500,MATCH($C8933,المنيو!$B$2:$B$500,0)),0))</f>
        <v/>
      </c>
      <c r="F8933" s="107" t="str">
        <f aca="false">IF($C8933="","",$D8933*$E8933)</f>
        <v/>
      </c>
      <c r="G8933" s="107" t="str">
        <f aca="false">IF($C8933="","",$D8933*IFERROR(INDEX('تحليل التكلفة والسعر'!$C$2:$C$700,MATCH($C8933,'تحليل التكلفة والسعر'!$B$2:$B$700,0)),0))</f>
        <v/>
      </c>
    </row>
    <row r="8934" customFormat="false" ht="15" hidden="false" customHeight="false" outlineLevel="0" collapsed="false">
      <c r="A8934" s="103"/>
      <c r="B8934" s="104"/>
      <c r="C8934" s="104"/>
      <c r="E8934" s="107" t="str">
        <f aca="false">IF($C8934="","",IFERROR(INDEX(المنيو!$C$2:$C$500,MATCH($C8934,المنيو!$B$2:$B$500,0)),0))</f>
        <v/>
      </c>
      <c r="F8934" s="107" t="str">
        <f aca="false">IF($C8934="","",$D8934*$E8934)</f>
        <v/>
      </c>
      <c r="G8934" s="107" t="str">
        <f aca="false">IF($C8934="","",$D8934*IFERROR(INDEX('تحليل التكلفة والسعر'!$C$2:$C$700,MATCH($C8934,'تحليل التكلفة والسعر'!$B$2:$B$700,0)),0))</f>
        <v/>
      </c>
    </row>
    <row r="8935" customFormat="false" ht="15" hidden="false" customHeight="false" outlineLevel="0" collapsed="false">
      <c r="A8935" s="103"/>
      <c r="B8935" s="104"/>
      <c r="C8935" s="104"/>
      <c r="E8935" s="107" t="str">
        <f aca="false">IF($C8935="","",IFERROR(INDEX(المنيو!$C$2:$C$500,MATCH($C8935,المنيو!$B$2:$B$500,0)),0))</f>
        <v/>
      </c>
      <c r="F8935" s="107" t="str">
        <f aca="false">IF($C8935="","",$D8935*$E8935)</f>
        <v/>
      </c>
      <c r="G8935" s="107" t="str">
        <f aca="false">IF($C8935="","",$D8935*IFERROR(INDEX('تحليل التكلفة والسعر'!$C$2:$C$700,MATCH($C8935,'تحليل التكلفة والسعر'!$B$2:$B$700,0)),0))</f>
        <v/>
      </c>
    </row>
    <row r="8936" customFormat="false" ht="15" hidden="false" customHeight="false" outlineLevel="0" collapsed="false">
      <c r="A8936" s="103"/>
      <c r="B8936" s="104"/>
      <c r="C8936" s="104"/>
      <c r="E8936" s="107" t="str">
        <f aca="false">IF($C8936="","",IFERROR(INDEX(المنيو!$C$2:$C$500,MATCH($C8936,المنيو!$B$2:$B$500,0)),0))</f>
        <v/>
      </c>
      <c r="F8936" s="107" t="str">
        <f aca="false">IF($C8936="","",$D8936*$E8936)</f>
        <v/>
      </c>
      <c r="G8936" s="107" t="str">
        <f aca="false">IF($C8936="","",$D8936*IFERROR(INDEX('تحليل التكلفة والسعر'!$C$2:$C$700,MATCH($C8936,'تحليل التكلفة والسعر'!$B$2:$B$700,0)),0))</f>
        <v/>
      </c>
    </row>
    <row r="8937" customFormat="false" ht="15" hidden="false" customHeight="false" outlineLevel="0" collapsed="false">
      <c r="A8937" s="103"/>
      <c r="B8937" s="104"/>
      <c r="C8937" s="104"/>
      <c r="E8937" s="107" t="str">
        <f aca="false">IF($C8937="","",IFERROR(INDEX(المنيو!$C$2:$C$500,MATCH($C8937,المنيو!$B$2:$B$500,0)),0))</f>
        <v/>
      </c>
      <c r="F8937" s="107" t="str">
        <f aca="false">IF($C8937="","",$D8937*$E8937)</f>
        <v/>
      </c>
      <c r="G8937" s="107" t="str">
        <f aca="false">IF($C8937="","",$D8937*IFERROR(INDEX('تحليل التكلفة والسعر'!$C$2:$C$700,MATCH($C8937,'تحليل التكلفة والسعر'!$B$2:$B$700,0)),0))</f>
        <v/>
      </c>
    </row>
    <row r="8938" customFormat="false" ht="15" hidden="false" customHeight="false" outlineLevel="0" collapsed="false">
      <c r="A8938" s="103"/>
      <c r="B8938" s="104"/>
      <c r="C8938" s="104"/>
      <c r="E8938" s="107" t="str">
        <f aca="false">IF($C8938="","",IFERROR(INDEX(المنيو!$C$2:$C$500,MATCH($C8938,المنيو!$B$2:$B$500,0)),0))</f>
        <v/>
      </c>
      <c r="F8938" s="107" t="str">
        <f aca="false">IF($C8938="","",$D8938*$E8938)</f>
        <v/>
      </c>
      <c r="G8938" s="107" t="str">
        <f aca="false">IF($C8938="","",$D8938*IFERROR(INDEX('تحليل التكلفة والسعر'!$C$2:$C$700,MATCH($C8938,'تحليل التكلفة والسعر'!$B$2:$B$700,0)),0))</f>
        <v/>
      </c>
    </row>
    <row r="8939" customFormat="false" ht="15" hidden="false" customHeight="false" outlineLevel="0" collapsed="false">
      <c r="A8939" s="103"/>
      <c r="B8939" s="104"/>
      <c r="C8939" s="104"/>
      <c r="E8939" s="107" t="str">
        <f aca="false">IF($C8939="","",IFERROR(INDEX(المنيو!$C$2:$C$500,MATCH($C8939,المنيو!$B$2:$B$500,0)),0))</f>
        <v/>
      </c>
      <c r="F8939" s="107" t="str">
        <f aca="false">IF($C8939="","",$D8939*$E8939)</f>
        <v/>
      </c>
      <c r="G8939" s="107" t="str">
        <f aca="false">IF($C8939="","",$D8939*IFERROR(INDEX('تحليل التكلفة والسعر'!$C$2:$C$700,MATCH($C8939,'تحليل التكلفة والسعر'!$B$2:$B$700,0)),0))</f>
        <v/>
      </c>
    </row>
    <row r="8940" customFormat="false" ht="15" hidden="false" customHeight="false" outlineLevel="0" collapsed="false">
      <c r="A8940" s="103"/>
      <c r="B8940" s="104"/>
      <c r="C8940" s="104"/>
      <c r="E8940" s="107" t="str">
        <f aca="false">IF($C8940="","",IFERROR(INDEX(المنيو!$C$2:$C$500,MATCH($C8940,المنيو!$B$2:$B$500,0)),0))</f>
        <v/>
      </c>
      <c r="F8940" s="107" t="str">
        <f aca="false">IF($C8940="","",$D8940*$E8940)</f>
        <v/>
      </c>
      <c r="G8940" s="107" t="str">
        <f aca="false">IF($C8940="","",$D8940*IFERROR(INDEX('تحليل التكلفة والسعر'!$C$2:$C$700,MATCH($C8940,'تحليل التكلفة والسعر'!$B$2:$B$700,0)),0))</f>
        <v/>
      </c>
    </row>
    <row r="8941" customFormat="false" ht="15" hidden="false" customHeight="false" outlineLevel="0" collapsed="false">
      <c r="A8941" s="103"/>
      <c r="B8941" s="104"/>
      <c r="C8941" s="104"/>
      <c r="E8941" s="107" t="str">
        <f aca="false">IF($C8941="","",IFERROR(INDEX(المنيو!$C$2:$C$500,MATCH($C8941,المنيو!$B$2:$B$500,0)),0))</f>
        <v/>
      </c>
      <c r="F8941" s="107" t="str">
        <f aca="false">IF($C8941="","",$D8941*$E8941)</f>
        <v/>
      </c>
      <c r="G8941" s="107" t="str">
        <f aca="false">IF($C8941="","",$D8941*IFERROR(INDEX('تحليل التكلفة والسعر'!$C$2:$C$700,MATCH($C8941,'تحليل التكلفة والسعر'!$B$2:$B$700,0)),0))</f>
        <v/>
      </c>
    </row>
    <row r="8942" customFormat="false" ht="15" hidden="false" customHeight="false" outlineLevel="0" collapsed="false">
      <c r="A8942" s="103"/>
      <c r="B8942" s="104"/>
      <c r="C8942" s="104"/>
      <c r="E8942" s="107" t="str">
        <f aca="false">IF($C8942="","",IFERROR(INDEX(المنيو!$C$2:$C$500,MATCH($C8942,المنيو!$B$2:$B$500,0)),0))</f>
        <v/>
      </c>
      <c r="F8942" s="107" t="str">
        <f aca="false">IF($C8942="","",$D8942*$E8942)</f>
        <v/>
      </c>
      <c r="G8942" s="107" t="str">
        <f aca="false">IF($C8942="","",$D8942*IFERROR(INDEX('تحليل التكلفة والسعر'!$C$2:$C$700,MATCH($C8942,'تحليل التكلفة والسعر'!$B$2:$B$700,0)),0))</f>
        <v/>
      </c>
    </row>
    <row r="8943" customFormat="false" ht="15" hidden="false" customHeight="false" outlineLevel="0" collapsed="false">
      <c r="A8943" s="103"/>
      <c r="B8943" s="104"/>
      <c r="C8943" s="104"/>
      <c r="E8943" s="107" t="str">
        <f aca="false">IF($C8943="","",IFERROR(INDEX(المنيو!$C$2:$C$500,MATCH($C8943,المنيو!$B$2:$B$500,0)),0))</f>
        <v/>
      </c>
      <c r="F8943" s="107" t="str">
        <f aca="false">IF($C8943="","",$D8943*$E8943)</f>
        <v/>
      </c>
      <c r="G8943" s="107" t="str">
        <f aca="false">IF($C8943="","",$D8943*IFERROR(INDEX('تحليل التكلفة والسعر'!$C$2:$C$700,MATCH($C8943,'تحليل التكلفة والسعر'!$B$2:$B$700,0)),0))</f>
        <v/>
      </c>
    </row>
    <row r="8944" customFormat="false" ht="15" hidden="false" customHeight="false" outlineLevel="0" collapsed="false">
      <c r="A8944" s="103"/>
      <c r="B8944" s="104"/>
      <c r="C8944" s="104"/>
      <c r="E8944" s="107" t="str">
        <f aca="false">IF($C8944="","",IFERROR(INDEX(المنيو!$C$2:$C$500,MATCH($C8944,المنيو!$B$2:$B$500,0)),0))</f>
        <v/>
      </c>
      <c r="F8944" s="107" t="str">
        <f aca="false">IF($C8944="","",$D8944*$E8944)</f>
        <v/>
      </c>
      <c r="G8944" s="107" t="str">
        <f aca="false">IF($C8944="","",$D8944*IFERROR(INDEX('تحليل التكلفة والسعر'!$C$2:$C$700,MATCH($C8944,'تحليل التكلفة والسعر'!$B$2:$B$700,0)),0))</f>
        <v/>
      </c>
    </row>
    <row r="8945" customFormat="false" ht="15" hidden="false" customHeight="false" outlineLevel="0" collapsed="false">
      <c r="A8945" s="103"/>
      <c r="B8945" s="104"/>
      <c r="C8945" s="104"/>
      <c r="E8945" s="107" t="str">
        <f aca="false">IF($C8945="","",IFERROR(INDEX(المنيو!$C$2:$C$500,MATCH($C8945,المنيو!$B$2:$B$500,0)),0))</f>
        <v/>
      </c>
      <c r="F8945" s="107" t="str">
        <f aca="false">IF($C8945="","",$D8945*$E8945)</f>
        <v/>
      </c>
      <c r="G8945" s="107" t="str">
        <f aca="false">IF($C8945="","",$D8945*IFERROR(INDEX('تحليل التكلفة والسعر'!$C$2:$C$700,MATCH($C8945,'تحليل التكلفة والسعر'!$B$2:$B$700,0)),0))</f>
        <v/>
      </c>
    </row>
    <row r="8946" customFormat="false" ht="15" hidden="false" customHeight="false" outlineLevel="0" collapsed="false">
      <c r="A8946" s="103"/>
      <c r="B8946" s="104"/>
      <c r="C8946" s="104"/>
      <c r="E8946" s="107" t="str">
        <f aca="false">IF($C8946="","",IFERROR(INDEX(المنيو!$C$2:$C$500,MATCH($C8946,المنيو!$B$2:$B$500,0)),0))</f>
        <v/>
      </c>
      <c r="F8946" s="107" t="str">
        <f aca="false">IF($C8946="","",$D8946*$E8946)</f>
        <v/>
      </c>
      <c r="G8946" s="107" t="str">
        <f aca="false">IF($C8946="","",$D8946*IFERROR(INDEX('تحليل التكلفة والسعر'!$C$2:$C$700,MATCH($C8946,'تحليل التكلفة والسعر'!$B$2:$B$700,0)),0))</f>
        <v/>
      </c>
    </row>
    <row r="8947" customFormat="false" ht="15" hidden="false" customHeight="false" outlineLevel="0" collapsed="false">
      <c r="A8947" s="103"/>
      <c r="B8947" s="104"/>
      <c r="C8947" s="104"/>
      <c r="E8947" s="107" t="str">
        <f aca="false">IF($C8947="","",IFERROR(INDEX(المنيو!$C$2:$C$500,MATCH($C8947,المنيو!$B$2:$B$500,0)),0))</f>
        <v/>
      </c>
      <c r="F8947" s="107" t="str">
        <f aca="false">IF($C8947="","",$D8947*$E8947)</f>
        <v/>
      </c>
      <c r="G8947" s="107" t="str">
        <f aca="false">IF($C8947="","",$D8947*IFERROR(INDEX('تحليل التكلفة والسعر'!$C$2:$C$700,MATCH($C8947,'تحليل التكلفة والسعر'!$B$2:$B$700,0)),0))</f>
        <v/>
      </c>
    </row>
    <row r="8948" customFormat="false" ht="15" hidden="false" customHeight="false" outlineLevel="0" collapsed="false">
      <c r="A8948" s="103"/>
      <c r="B8948" s="104"/>
      <c r="C8948" s="104"/>
      <c r="E8948" s="107" t="str">
        <f aca="false">IF($C8948="","",IFERROR(INDEX(المنيو!$C$2:$C$500,MATCH($C8948,المنيو!$B$2:$B$500,0)),0))</f>
        <v/>
      </c>
      <c r="F8948" s="107" t="str">
        <f aca="false">IF($C8948="","",$D8948*$E8948)</f>
        <v/>
      </c>
      <c r="G8948" s="107" t="str">
        <f aca="false">IF($C8948="","",$D8948*IFERROR(INDEX('تحليل التكلفة والسعر'!$C$2:$C$700,MATCH($C8948,'تحليل التكلفة والسعر'!$B$2:$B$700,0)),0))</f>
        <v/>
      </c>
    </row>
    <row r="8949" customFormat="false" ht="15" hidden="false" customHeight="false" outlineLevel="0" collapsed="false">
      <c r="A8949" s="103"/>
      <c r="B8949" s="104"/>
      <c r="C8949" s="104"/>
      <c r="E8949" s="107" t="str">
        <f aca="false">IF($C8949="","",IFERROR(INDEX(المنيو!$C$2:$C$500,MATCH($C8949,المنيو!$B$2:$B$500,0)),0))</f>
        <v/>
      </c>
      <c r="F8949" s="107" t="str">
        <f aca="false">IF($C8949="","",$D8949*$E8949)</f>
        <v/>
      </c>
      <c r="G8949" s="107" t="str">
        <f aca="false">IF($C8949="","",$D8949*IFERROR(INDEX('تحليل التكلفة والسعر'!$C$2:$C$700,MATCH($C8949,'تحليل التكلفة والسعر'!$B$2:$B$700,0)),0))</f>
        <v/>
      </c>
    </row>
    <row r="8950" customFormat="false" ht="15" hidden="false" customHeight="false" outlineLevel="0" collapsed="false">
      <c r="A8950" s="103"/>
      <c r="B8950" s="104"/>
      <c r="C8950" s="104"/>
      <c r="E8950" s="107" t="str">
        <f aca="false">IF($C8950="","",IFERROR(INDEX(المنيو!$C$2:$C$500,MATCH($C8950,المنيو!$B$2:$B$500,0)),0))</f>
        <v/>
      </c>
      <c r="F8950" s="107" t="str">
        <f aca="false">IF($C8950="","",$D8950*$E8950)</f>
        <v/>
      </c>
      <c r="G8950" s="107" t="str">
        <f aca="false">IF($C8950="","",$D8950*IFERROR(INDEX('تحليل التكلفة والسعر'!$C$2:$C$700,MATCH($C8950,'تحليل التكلفة والسعر'!$B$2:$B$700,0)),0))</f>
        <v/>
      </c>
    </row>
    <row r="8951" customFormat="false" ht="15" hidden="false" customHeight="false" outlineLevel="0" collapsed="false">
      <c r="A8951" s="103"/>
      <c r="B8951" s="104"/>
      <c r="C8951" s="104"/>
      <c r="E8951" s="107" t="str">
        <f aca="false">IF($C8951="","",IFERROR(INDEX(المنيو!$C$2:$C$500,MATCH($C8951,المنيو!$B$2:$B$500,0)),0))</f>
        <v/>
      </c>
      <c r="F8951" s="107" t="str">
        <f aca="false">IF($C8951="","",$D8951*$E8951)</f>
        <v/>
      </c>
      <c r="G8951" s="107" t="str">
        <f aca="false">IF($C8951="","",$D8951*IFERROR(INDEX('تحليل التكلفة والسعر'!$C$2:$C$700,MATCH($C8951,'تحليل التكلفة والسعر'!$B$2:$B$700,0)),0))</f>
        <v/>
      </c>
    </row>
    <row r="8952" customFormat="false" ht="15" hidden="false" customHeight="false" outlineLevel="0" collapsed="false">
      <c r="A8952" s="103"/>
      <c r="B8952" s="104"/>
      <c r="C8952" s="104"/>
      <c r="E8952" s="107" t="str">
        <f aca="false">IF($C8952="","",IFERROR(INDEX(المنيو!$C$2:$C$500,MATCH($C8952,المنيو!$B$2:$B$500,0)),0))</f>
        <v/>
      </c>
      <c r="F8952" s="107" t="str">
        <f aca="false">IF($C8952="","",$D8952*$E8952)</f>
        <v/>
      </c>
      <c r="G8952" s="107" t="str">
        <f aca="false">IF($C8952="","",$D8952*IFERROR(INDEX('تحليل التكلفة والسعر'!$C$2:$C$700,MATCH($C8952,'تحليل التكلفة والسعر'!$B$2:$B$700,0)),0))</f>
        <v/>
      </c>
    </row>
    <row r="8953" customFormat="false" ht="15" hidden="false" customHeight="false" outlineLevel="0" collapsed="false">
      <c r="A8953" s="103"/>
      <c r="B8953" s="104"/>
      <c r="C8953" s="104"/>
      <c r="E8953" s="107" t="str">
        <f aca="false">IF($C8953="","",IFERROR(INDEX(المنيو!$C$2:$C$500,MATCH($C8953,المنيو!$B$2:$B$500,0)),0))</f>
        <v/>
      </c>
      <c r="F8953" s="107" t="str">
        <f aca="false">IF($C8953="","",$D8953*$E8953)</f>
        <v/>
      </c>
      <c r="G8953" s="107" t="str">
        <f aca="false">IF($C8953="","",$D8953*IFERROR(INDEX('تحليل التكلفة والسعر'!$C$2:$C$700,MATCH($C8953,'تحليل التكلفة والسعر'!$B$2:$B$700,0)),0))</f>
        <v/>
      </c>
    </row>
    <row r="8954" customFormat="false" ht="15" hidden="false" customHeight="false" outlineLevel="0" collapsed="false">
      <c r="A8954" s="103"/>
      <c r="B8954" s="104"/>
      <c r="C8954" s="104"/>
      <c r="E8954" s="107" t="str">
        <f aca="false">IF($C8954="","",IFERROR(INDEX(المنيو!$C$2:$C$500,MATCH($C8954,المنيو!$B$2:$B$500,0)),0))</f>
        <v/>
      </c>
      <c r="F8954" s="107" t="str">
        <f aca="false">IF($C8954="","",$D8954*$E8954)</f>
        <v/>
      </c>
      <c r="G8954" s="107" t="str">
        <f aca="false">IF($C8954="","",$D8954*IFERROR(INDEX('تحليل التكلفة والسعر'!$C$2:$C$700,MATCH($C8954,'تحليل التكلفة والسعر'!$B$2:$B$700,0)),0))</f>
        <v/>
      </c>
    </row>
    <row r="8955" customFormat="false" ht="15" hidden="false" customHeight="false" outlineLevel="0" collapsed="false">
      <c r="A8955" s="103"/>
      <c r="B8955" s="104"/>
      <c r="C8955" s="104"/>
      <c r="E8955" s="107" t="str">
        <f aca="false">IF($C8955="","",IFERROR(INDEX(المنيو!$C$2:$C$500,MATCH($C8955,المنيو!$B$2:$B$500,0)),0))</f>
        <v/>
      </c>
      <c r="F8955" s="107" t="str">
        <f aca="false">IF($C8955="","",$D8955*$E8955)</f>
        <v/>
      </c>
      <c r="G8955" s="107" t="str">
        <f aca="false">IF($C8955="","",$D8955*IFERROR(INDEX('تحليل التكلفة والسعر'!$C$2:$C$700,MATCH($C8955,'تحليل التكلفة والسعر'!$B$2:$B$700,0)),0))</f>
        <v/>
      </c>
    </row>
    <row r="8956" customFormat="false" ht="15" hidden="false" customHeight="false" outlineLevel="0" collapsed="false">
      <c r="A8956" s="103"/>
      <c r="B8956" s="104"/>
      <c r="C8956" s="104"/>
      <c r="E8956" s="107" t="str">
        <f aca="false">IF($C8956="","",IFERROR(INDEX(المنيو!$C$2:$C$500,MATCH($C8956,المنيو!$B$2:$B$500,0)),0))</f>
        <v/>
      </c>
      <c r="F8956" s="107" t="str">
        <f aca="false">IF($C8956="","",$D8956*$E8956)</f>
        <v/>
      </c>
      <c r="G8956" s="107" t="str">
        <f aca="false">IF($C8956="","",$D8956*IFERROR(INDEX('تحليل التكلفة والسعر'!$C$2:$C$700,MATCH($C8956,'تحليل التكلفة والسعر'!$B$2:$B$700,0)),0))</f>
        <v/>
      </c>
    </row>
    <row r="8957" customFormat="false" ht="15" hidden="false" customHeight="false" outlineLevel="0" collapsed="false">
      <c r="A8957" s="103"/>
      <c r="B8957" s="104"/>
      <c r="C8957" s="104"/>
      <c r="E8957" s="107" t="str">
        <f aca="false">IF($C8957="","",IFERROR(INDEX(المنيو!$C$2:$C$500,MATCH($C8957,المنيو!$B$2:$B$500,0)),0))</f>
        <v/>
      </c>
      <c r="F8957" s="107" t="str">
        <f aca="false">IF($C8957="","",$D8957*$E8957)</f>
        <v/>
      </c>
      <c r="G8957" s="107" t="str">
        <f aca="false">IF($C8957="","",$D8957*IFERROR(INDEX('تحليل التكلفة والسعر'!$C$2:$C$700,MATCH($C8957,'تحليل التكلفة والسعر'!$B$2:$B$700,0)),0))</f>
        <v/>
      </c>
    </row>
    <row r="8958" customFormat="false" ht="15" hidden="false" customHeight="false" outlineLevel="0" collapsed="false">
      <c r="A8958" s="103"/>
      <c r="B8958" s="104"/>
      <c r="C8958" s="104"/>
      <c r="E8958" s="107" t="str">
        <f aca="false">IF($C8958="","",IFERROR(INDEX(المنيو!$C$2:$C$500,MATCH($C8958,المنيو!$B$2:$B$500,0)),0))</f>
        <v/>
      </c>
      <c r="F8958" s="107" t="str">
        <f aca="false">IF($C8958="","",$D8958*$E8958)</f>
        <v/>
      </c>
      <c r="G8958" s="107" t="str">
        <f aca="false">IF($C8958="","",$D8958*IFERROR(INDEX('تحليل التكلفة والسعر'!$C$2:$C$700,MATCH($C8958,'تحليل التكلفة والسعر'!$B$2:$B$700,0)),0))</f>
        <v/>
      </c>
    </row>
    <row r="8959" customFormat="false" ht="15" hidden="false" customHeight="false" outlineLevel="0" collapsed="false">
      <c r="A8959" s="103"/>
      <c r="B8959" s="104"/>
      <c r="C8959" s="104"/>
      <c r="E8959" s="107" t="str">
        <f aca="false">IF($C8959="","",IFERROR(INDEX(المنيو!$C$2:$C$500,MATCH($C8959,المنيو!$B$2:$B$500,0)),0))</f>
        <v/>
      </c>
      <c r="F8959" s="107" t="str">
        <f aca="false">IF($C8959="","",$D8959*$E8959)</f>
        <v/>
      </c>
      <c r="G8959" s="107" t="str">
        <f aca="false">IF($C8959="","",$D8959*IFERROR(INDEX('تحليل التكلفة والسعر'!$C$2:$C$700,MATCH($C8959,'تحليل التكلفة والسعر'!$B$2:$B$700,0)),0))</f>
        <v/>
      </c>
    </row>
    <row r="8960" customFormat="false" ht="15" hidden="false" customHeight="false" outlineLevel="0" collapsed="false">
      <c r="A8960" s="103"/>
      <c r="B8960" s="104"/>
      <c r="C8960" s="104"/>
      <c r="E8960" s="107" t="str">
        <f aca="false">IF($C8960="","",IFERROR(INDEX(المنيو!$C$2:$C$500,MATCH($C8960,المنيو!$B$2:$B$500,0)),0))</f>
        <v/>
      </c>
      <c r="F8960" s="107" t="str">
        <f aca="false">IF($C8960="","",$D8960*$E8960)</f>
        <v/>
      </c>
      <c r="G8960" s="107" t="str">
        <f aca="false">IF($C8960="","",$D8960*IFERROR(INDEX('تحليل التكلفة والسعر'!$C$2:$C$700,MATCH($C8960,'تحليل التكلفة والسعر'!$B$2:$B$700,0)),0))</f>
        <v/>
      </c>
    </row>
    <row r="8961" customFormat="false" ht="15" hidden="false" customHeight="false" outlineLevel="0" collapsed="false">
      <c r="A8961" s="103"/>
      <c r="B8961" s="104"/>
      <c r="C8961" s="104"/>
      <c r="E8961" s="107" t="str">
        <f aca="false">IF($C8961="","",IFERROR(INDEX(المنيو!$C$2:$C$500,MATCH($C8961,المنيو!$B$2:$B$500,0)),0))</f>
        <v/>
      </c>
      <c r="F8961" s="107" t="str">
        <f aca="false">IF($C8961="","",$D8961*$E8961)</f>
        <v/>
      </c>
      <c r="G8961" s="107" t="str">
        <f aca="false">IF($C8961="","",$D8961*IFERROR(INDEX('تحليل التكلفة والسعر'!$C$2:$C$700,MATCH($C8961,'تحليل التكلفة والسعر'!$B$2:$B$700,0)),0))</f>
        <v/>
      </c>
    </row>
    <row r="8962" customFormat="false" ht="15" hidden="false" customHeight="false" outlineLevel="0" collapsed="false">
      <c r="A8962" s="103"/>
      <c r="B8962" s="104"/>
      <c r="C8962" s="104"/>
      <c r="E8962" s="107" t="str">
        <f aca="false">IF($C8962="","",IFERROR(INDEX(المنيو!$C$2:$C$500,MATCH($C8962,المنيو!$B$2:$B$500,0)),0))</f>
        <v/>
      </c>
      <c r="F8962" s="107" t="str">
        <f aca="false">IF($C8962="","",$D8962*$E8962)</f>
        <v/>
      </c>
      <c r="G8962" s="107" t="str">
        <f aca="false">IF($C8962="","",$D8962*IFERROR(INDEX('تحليل التكلفة والسعر'!$C$2:$C$700,MATCH($C8962,'تحليل التكلفة والسعر'!$B$2:$B$700,0)),0))</f>
        <v/>
      </c>
    </row>
    <row r="8963" customFormat="false" ht="15" hidden="false" customHeight="false" outlineLevel="0" collapsed="false">
      <c r="A8963" s="103"/>
      <c r="B8963" s="104"/>
      <c r="C8963" s="104"/>
      <c r="E8963" s="107" t="str">
        <f aca="false">IF($C8963="","",IFERROR(INDEX(المنيو!$C$2:$C$500,MATCH($C8963,المنيو!$B$2:$B$500,0)),0))</f>
        <v/>
      </c>
      <c r="F8963" s="107" t="str">
        <f aca="false">IF($C8963="","",$D8963*$E8963)</f>
        <v/>
      </c>
      <c r="G8963" s="107" t="str">
        <f aca="false">IF($C8963="","",$D8963*IFERROR(INDEX('تحليل التكلفة والسعر'!$C$2:$C$700,MATCH($C8963,'تحليل التكلفة والسعر'!$B$2:$B$700,0)),0))</f>
        <v/>
      </c>
    </row>
    <row r="8964" customFormat="false" ht="15" hidden="false" customHeight="false" outlineLevel="0" collapsed="false">
      <c r="A8964" s="103"/>
      <c r="B8964" s="104"/>
      <c r="C8964" s="104"/>
      <c r="E8964" s="107" t="str">
        <f aca="false">IF($C8964="","",IFERROR(INDEX(المنيو!$C$2:$C$500,MATCH($C8964,المنيو!$B$2:$B$500,0)),0))</f>
        <v/>
      </c>
      <c r="F8964" s="107" t="str">
        <f aca="false">IF($C8964="","",$D8964*$E8964)</f>
        <v/>
      </c>
      <c r="G8964" s="107" t="str">
        <f aca="false">IF($C8964="","",$D8964*IFERROR(INDEX('تحليل التكلفة والسعر'!$C$2:$C$700,MATCH($C8964,'تحليل التكلفة والسعر'!$B$2:$B$700,0)),0))</f>
        <v/>
      </c>
    </row>
    <row r="8965" customFormat="false" ht="15" hidden="false" customHeight="false" outlineLevel="0" collapsed="false">
      <c r="A8965" s="103"/>
      <c r="B8965" s="104"/>
      <c r="C8965" s="104"/>
      <c r="E8965" s="107" t="str">
        <f aca="false">IF($C8965="","",IFERROR(INDEX(المنيو!$C$2:$C$500,MATCH($C8965,المنيو!$B$2:$B$500,0)),0))</f>
        <v/>
      </c>
      <c r="F8965" s="107" t="str">
        <f aca="false">IF($C8965="","",$D8965*$E8965)</f>
        <v/>
      </c>
      <c r="G8965" s="107" t="str">
        <f aca="false">IF($C8965="","",$D8965*IFERROR(INDEX('تحليل التكلفة والسعر'!$C$2:$C$700,MATCH($C8965,'تحليل التكلفة والسعر'!$B$2:$B$700,0)),0))</f>
        <v/>
      </c>
    </row>
    <row r="8966" customFormat="false" ht="15" hidden="false" customHeight="false" outlineLevel="0" collapsed="false">
      <c r="A8966" s="103"/>
      <c r="B8966" s="104"/>
      <c r="C8966" s="104"/>
      <c r="E8966" s="107" t="str">
        <f aca="false">IF($C8966="","",IFERROR(INDEX(المنيو!$C$2:$C$500,MATCH($C8966,المنيو!$B$2:$B$500,0)),0))</f>
        <v/>
      </c>
      <c r="F8966" s="107" t="str">
        <f aca="false">IF($C8966="","",$D8966*$E8966)</f>
        <v/>
      </c>
      <c r="G8966" s="107" t="str">
        <f aca="false">IF($C8966="","",$D8966*IFERROR(INDEX('تحليل التكلفة والسعر'!$C$2:$C$700,MATCH($C8966,'تحليل التكلفة والسعر'!$B$2:$B$700,0)),0))</f>
        <v/>
      </c>
    </row>
    <row r="8967" customFormat="false" ht="15" hidden="false" customHeight="false" outlineLevel="0" collapsed="false">
      <c r="A8967" s="103"/>
      <c r="B8967" s="104"/>
      <c r="C8967" s="104"/>
      <c r="E8967" s="107" t="str">
        <f aca="false">IF($C8967="","",IFERROR(INDEX(المنيو!$C$2:$C$500,MATCH($C8967,المنيو!$B$2:$B$500,0)),0))</f>
        <v/>
      </c>
      <c r="F8967" s="107" t="str">
        <f aca="false">IF($C8967="","",$D8967*$E8967)</f>
        <v/>
      </c>
      <c r="G8967" s="107" t="str">
        <f aca="false">IF($C8967="","",$D8967*IFERROR(INDEX('تحليل التكلفة والسعر'!$C$2:$C$700,MATCH($C8967,'تحليل التكلفة والسعر'!$B$2:$B$700,0)),0))</f>
        <v/>
      </c>
    </row>
    <row r="8968" customFormat="false" ht="15" hidden="false" customHeight="false" outlineLevel="0" collapsed="false">
      <c r="A8968" s="103"/>
      <c r="B8968" s="104"/>
      <c r="C8968" s="104"/>
      <c r="E8968" s="107" t="str">
        <f aca="false">IF($C8968="","",IFERROR(INDEX(المنيو!$C$2:$C$500,MATCH($C8968,المنيو!$B$2:$B$500,0)),0))</f>
        <v/>
      </c>
      <c r="F8968" s="107" t="str">
        <f aca="false">IF($C8968="","",$D8968*$E8968)</f>
        <v/>
      </c>
      <c r="G8968" s="107" t="str">
        <f aca="false">IF($C8968="","",$D8968*IFERROR(INDEX('تحليل التكلفة والسعر'!$C$2:$C$700,MATCH($C8968,'تحليل التكلفة والسعر'!$B$2:$B$700,0)),0))</f>
        <v/>
      </c>
    </row>
    <row r="8969" customFormat="false" ht="15" hidden="false" customHeight="false" outlineLevel="0" collapsed="false">
      <c r="A8969" s="103"/>
      <c r="B8969" s="104"/>
      <c r="C8969" s="104"/>
      <c r="E8969" s="107" t="str">
        <f aca="false">IF($C8969="","",IFERROR(INDEX(المنيو!$C$2:$C$500,MATCH($C8969,المنيو!$B$2:$B$500,0)),0))</f>
        <v/>
      </c>
      <c r="F8969" s="107" t="str">
        <f aca="false">IF($C8969="","",$D8969*$E8969)</f>
        <v/>
      </c>
      <c r="G8969" s="107" t="str">
        <f aca="false">IF($C8969="","",$D8969*IFERROR(INDEX('تحليل التكلفة والسعر'!$C$2:$C$700,MATCH($C8969,'تحليل التكلفة والسعر'!$B$2:$B$700,0)),0))</f>
        <v/>
      </c>
    </row>
    <row r="8970" customFormat="false" ht="15" hidden="false" customHeight="false" outlineLevel="0" collapsed="false">
      <c r="A8970" s="103"/>
      <c r="B8970" s="104"/>
      <c r="C8970" s="104"/>
      <c r="E8970" s="107" t="str">
        <f aca="false">IF($C8970="","",IFERROR(INDEX(المنيو!$C$2:$C$500,MATCH($C8970,المنيو!$B$2:$B$500,0)),0))</f>
        <v/>
      </c>
      <c r="F8970" s="107" t="str">
        <f aca="false">IF($C8970="","",$D8970*$E8970)</f>
        <v/>
      </c>
      <c r="G8970" s="107" t="str">
        <f aca="false">IF($C8970="","",$D8970*IFERROR(INDEX('تحليل التكلفة والسعر'!$C$2:$C$700,MATCH($C8970,'تحليل التكلفة والسعر'!$B$2:$B$700,0)),0))</f>
        <v/>
      </c>
    </row>
    <row r="8971" customFormat="false" ht="15" hidden="false" customHeight="false" outlineLevel="0" collapsed="false">
      <c r="A8971" s="103"/>
      <c r="B8971" s="104"/>
      <c r="C8971" s="104"/>
      <c r="E8971" s="107" t="str">
        <f aca="false">IF($C8971="","",IFERROR(INDEX(المنيو!$C$2:$C$500,MATCH($C8971,المنيو!$B$2:$B$500,0)),0))</f>
        <v/>
      </c>
      <c r="F8971" s="107" t="str">
        <f aca="false">IF($C8971="","",$D8971*$E8971)</f>
        <v/>
      </c>
      <c r="G8971" s="107" t="str">
        <f aca="false">IF($C8971="","",$D8971*IFERROR(INDEX('تحليل التكلفة والسعر'!$C$2:$C$700,MATCH($C8971,'تحليل التكلفة والسعر'!$B$2:$B$700,0)),0))</f>
        <v/>
      </c>
    </row>
    <row r="8972" customFormat="false" ht="15" hidden="false" customHeight="false" outlineLevel="0" collapsed="false">
      <c r="A8972" s="103"/>
      <c r="B8972" s="104"/>
      <c r="C8972" s="104"/>
      <c r="E8972" s="107" t="str">
        <f aca="false">IF($C8972="","",IFERROR(INDEX(المنيو!$C$2:$C$500,MATCH($C8972,المنيو!$B$2:$B$500,0)),0))</f>
        <v/>
      </c>
      <c r="F8972" s="107" t="str">
        <f aca="false">IF($C8972="","",$D8972*$E8972)</f>
        <v/>
      </c>
      <c r="G8972" s="107" t="str">
        <f aca="false">IF($C8972="","",$D8972*IFERROR(INDEX('تحليل التكلفة والسعر'!$C$2:$C$700,MATCH($C8972,'تحليل التكلفة والسعر'!$B$2:$B$700,0)),0))</f>
        <v/>
      </c>
    </row>
    <row r="8973" customFormat="false" ht="15" hidden="false" customHeight="false" outlineLevel="0" collapsed="false">
      <c r="A8973" s="103"/>
      <c r="B8973" s="104"/>
      <c r="C8973" s="104"/>
      <c r="E8973" s="107" t="str">
        <f aca="false">IF($C8973="","",IFERROR(INDEX(المنيو!$C$2:$C$500,MATCH($C8973,المنيو!$B$2:$B$500,0)),0))</f>
        <v/>
      </c>
      <c r="F8973" s="107" t="str">
        <f aca="false">IF($C8973="","",$D8973*$E8973)</f>
        <v/>
      </c>
      <c r="G8973" s="107" t="str">
        <f aca="false">IF($C8973="","",$D8973*IFERROR(INDEX('تحليل التكلفة والسعر'!$C$2:$C$700,MATCH($C8973,'تحليل التكلفة والسعر'!$B$2:$B$700,0)),0))</f>
        <v/>
      </c>
    </row>
    <row r="8974" customFormat="false" ht="15" hidden="false" customHeight="false" outlineLevel="0" collapsed="false">
      <c r="A8974" s="103"/>
      <c r="B8974" s="104"/>
      <c r="C8974" s="104"/>
      <c r="E8974" s="107" t="str">
        <f aca="false">IF($C8974="","",IFERROR(INDEX(المنيو!$C$2:$C$500,MATCH($C8974,المنيو!$B$2:$B$500,0)),0))</f>
        <v/>
      </c>
      <c r="F8974" s="107" t="str">
        <f aca="false">IF($C8974="","",$D8974*$E8974)</f>
        <v/>
      </c>
      <c r="G8974" s="107" t="str">
        <f aca="false">IF($C8974="","",$D8974*IFERROR(INDEX('تحليل التكلفة والسعر'!$C$2:$C$700,MATCH($C8974,'تحليل التكلفة والسعر'!$B$2:$B$700,0)),0))</f>
        <v/>
      </c>
    </row>
    <row r="8975" customFormat="false" ht="15" hidden="false" customHeight="false" outlineLevel="0" collapsed="false">
      <c r="A8975" s="103"/>
      <c r="B8975" s="104"/>
      <c r="C8975" s="104"/>
      <c r="E8975" s="107" t="str">
        <f aca="false">IF($C8975="","",IFERROR(INDEX(المنيو!$C$2:$C$500,MATCH($C8975,المنيو!$B$2:$B$500,0)),0))</f>
        <v/>
      </c>
      <c r="F8975" s="107" t="str">
        <f aca="false">IF($C8975="","",$D8975*$E8975)</f>
        <v/>
      </c>
      <c r="G8975" s="107" t="str">
        <f aca="false">IF($C8975="","",$D8975*IFERROR(INDEX('تحليل التكلفة والسعر'!$C$2:$C$700,MATCH($C8975,'تحليل التكلفة والسعر'!$B$2:$B$700,0)),0))</f>
        <v/>
      </c>
    </row>
    <row r="8976" customFormat="false" ht="15" hidden="false" customHeight="false" outlineLevel="0" collapsed="false">
      <c r="A8976" s="103"/>
      <c r="B8976" s="104"/>
      <c r="C8976" s="104"/>
      <c r="E8976" s="107" t="str">
        <f aca="false">IF($C8976="","",IFERROR(INDEX(المنيو!$C$2:$C$500,MATCH($C8976,المنيو!$B$2:$B$500,0)),0))</f>
        <v/>
      </c>
      <c r="F8976" s="107" t="str">
        <f aca="false">IF($C8976="","",$D8976*$E8976)</f>
        <v/>
      </c>
      <c r="G8976" s="107" t="str">
        <f aca="false">IF($C8976="","",$D8976*IFERROR(INDEX('تحليل التكلفة والسعر'!$C$2:$C$700,MATCH($C8976,'تحليل التكلفة والسعر'!$B$2:$B$700,0)),0))</f>
        <v/>
      </c>
    </row>
    <row r="8977" customFormat="false" ht="15" hidden="false" customHeight="false" outlineLevel="0" collapsed="false">
      <c r="A8977" s="103"/>
      <c r="B8977" s="104"/>
      <c r="C8977" s="104"/>
      <c r="E8977" s="107" t="str">
        <f aca="false">IF($C8977="","",IFERROR(INDEX(المنيو!$C$2:$C$500,MATCH($C8977,المنيو!$B$2:$B$500,0)),0))</f>
        <v/>
      </c>
      <c r="F8977" s="107" t="str">
        <f aca="false">IF($C8977="","",$D8977*$E8977)</f>
        <v/>
      </c>
      <c r="G8977" s="107" t="str">
        <f aca="false">IF($C8977="","",$D8977*IFERROR(INDEX('تحليل التكلفة والسعر'!$C$2:$C$700,MATCH($C8977,'تحليل التكلفة والسعر'!$B$2:$B$700,0)),0))</f>
        <v/>
      </c>
    </row>
    <row r="8978" customFormat="false" ht="15" hidden="false" customHeight="false" outlineLevel="0" collapsed="false">
      <c r="A8978" s="103"/>
      <c r="B8978" s="104"/>
      <c r="C8978" s="104"/>
      <c r="E8978" s="107" t="str">
        <f aca="false">IF($C8978="","",IFERROR(INDEX(المنيو!$C$2:$C$500,MATCH($C8978,المنيو!$B$2:$B$500,0)),0))</f>
        <v/>
      </c>
      <c r="F8978" s="107" t="str">
        <f aca="false">IF($C8978="","",$D8978*$E8978)</f>
        <v/>
      </c>
      <c r="G8978" s="107" t="str">
        <f aca="false">IF($C8978="","",$D8978*IFERROR(INDEX('تحليل التكلفة والسعر'!$C$2:$C$700,MATCH($C8978,'تحليل التكلفة والسعر'!$B$2:$B$700,0)),0))</f>
        <v/>
      </c>
    </row>
    <row r="8979" customFormat="false" ht="15" hidden="false" customHeight="false" outlineLevel="0" collapsed="false">
      <c r="A8979" s="103"/>
      <c r="B8979" s="104"/>
      <c r="C8979" s="104"/>
      <c r="E8979" s="107" t="str">
        <f aca="false">IF($C8979="","",IFERROR(INDEX(المنيو!$C$2:$C$500,MATCH($C8979,المنيو!$B$2:$B$500,0)),0))</f>
        <v/>
      </c>
      <c r="F8979" s="107" t="str">
        <f aca="false">IF($C8979="","",$D8979*$E8979)</f>
        <v/>
      </c>
      <c r="G8979" s="107" t="str">
        <f aca="false">IF($C8979="","",$D8979*IFERROR(INDEX('تحليل التكلفة والسعر'!$C$2:$C$700,MATCH($C8979,'تحليل التكلفة والسعر'!$B$2:$B$700,0)),0))</f>
        <v/>
      </c>
    </row>
    <row r="8980" customFormat="false" ht="15" hidden="false" customHeight="false" outlineLevel="0" collapsed="false">
      <c r="A8980" s="103"/>
      <c r="B8980" s="104"/>
      <c r="C8980" s="104"/>
      <c r="E8980" s="107" t="str">
        <f aca="false">IF($C8980="","",IFERROR(INDEX(المنيو!$C$2:$C$500,MATCH($C8980,المنيو!$B$2:$B$500,0)),0))</f>
        <v/>
      </c>
      <c r="F8980" s="107" t="str">
        <f aca="false">IF($C8980="","",$D8980*$E8980)</f>
        <v/>
      </c>
      <c r="G8980" s="107" t="str">
        <f aca="false">IF($C8980="","",$D8980*IFERROR(INDEX('تحليل التكلفة والسعر'!$C$2:$C$700,MATCH($C8980,'تحليل التكلفة والسعر'!$B$2:$B$700,0)),0))</f>
        <v/>
      </c>
    </row>
    <row r="8981" customFormat="false" ht="15" hidden="false" customHeight="false" outlineLevel="0" collapsed="false">
      <c r="A8981" s="103"/>
      <c r="B8981" s="104"/>
      <c r="C8981" s="104"/>
      <c r="E8981" s="107" t="str">
        <f aca="false">IF($C8981="","",IFERROR(INDEX(المنيو!$C$2:$C$500,MATCH($C8981,المنيو!$B$2:$B$500,0)),0))</f>
        <v/>
      </c>
      <c r="F8981" s="107" t="str">
        <f aca="false">IF($C8981="","",$D8981*$E8981)</f>
        <v/>
      </c>
      <c r="G8981" s="107" t="str">
        <f aca="false">IF($C8981="","",$D8981*IFERROR(INDEX('تحليل التكلفة والسعر'!$C$2:$C$700,MATCH($C8981,'تحليل التكلفة والسعر'!$B$2:$B$700,0)),0))</f>
        <v/>
      </c>
    </row>
    <row r="8982" customFormat="false" ht="15" hidden="false" customHeight="false" outlineLevel="0" collapsed="false">
      <c r="A8982" s="103"/>
      <c r="B8982" s="104"/>
      <c r="C8982" s="104"/>
      <c r="E8982" s="107" t="str">
        <f aca="false">IF($C8982="","",IFERROR(INDEX(المنيو!$C$2:$C$500,MATCH($C8982,المنيو!$B$2:$B$500,0)),0))</f>
        <v/>
      </c>
      <c r="F8982" s="107" t="str">
        <f aca="false">IF($C8982="","",$D8982*$E8982)</f>
        <v/>
      </c>
      <c r="G8982" s="107" t="str">
        <f aca="false">IF($C8982="","",$D8982*IFERROR(INDEX('تحليل التكلفة والسعر'!$C$2:$C$700,MATCH($C8982,'تحليل التكلفة والسعر'!$B$2:$B$700,0)),0))</f>
        <v/>
      </c>
    </row>
    <row r="8983" customFormat="false" ht="15" hidden="false" customHeight="false" outlineLevel="0" collapsed="false">
      <c r="A8983" s="103"/>
      <c r="B8983" s="104"/>
      <c r="C8983" s="104"/>
      <c r="E8983" s="107" t="str">
        <f aca="false">IF($C8983="","",IFERROR(INDEX(المنيو!$C$2:$C$500,MATCH($C8983,المنيو!$B$2:$B$500,0)),0))</f>
        <v/>
      </c>
      <c r="F8983" s="107" t="str">
        <f aca="false">IF($C8983="","",$D8983*$E8983)</f>
        <v/>
      </c>
      <c r="G8983" s="107" t="str">
        <f aca="false">IF($C8983="","",$D8983*IFERROR(INDEX('تحليل التكلفة والسعر'!$C$2:$C$700,MATCH($C8983,'تحليل التكلفة والسعر'!$B$2:$B$700,0)),0))</f>
        <v/>
      </c>
    </row>
    <row r="8984" customFormat="false" ht="15" hidden="false" customHeight="false" outlineLevel="0" collapsed="false">
      <c r="A8984" s="103"/>
      <c r="B8984" s="104"/>
      <c r="C8984" s="104"/>
      <c r="E8984" s="107" t="str">
        <f aca="false">IF($C8984="","",IFERROR(INDEX(المنيو!$C$2:$C$500,MATCH($C8984,المنيو!$B$2:$B$500,0)),0))</f>
        <v/>
      </c>
      <c r="F8984" s="107" t="str">
        <f aca="false">IF($C8984="","",$D8984*$E8984)</f>
        <v/>
      </c>
      <c r="G8984" s="107" t="str">
        <f aca="false">IF($C8984="","",$D8984*IFERROR(INDEX('تحليل التكلفة والسعر'!$C$2:$C$700,MATCH($C8984,'تحليل التكلفة والسعر'!$B$2:$B$700,0)),0))</f>
        <v/>
      </c>
    </row>
    <row r="8985" customFormat="false" ht="15" hidden="false" customHeight="false" outlineLevel="0" collapsed="false">
      <c r="A8985" s="103"/>
      <c r="B8985" s="104"/>
      <c r="C8985" s="104"/>
      <c r="E8985" s="107" t="str">
        <f aca="false">IF($C8985="","",IFERROR(INDEX(المنيو!$C$2:$C$500,MATCH($C8985,المنيو!$B$2:$B$500,0)),0))</f>
        <v/>
      </c>
      <c r="F8985" s="107" t="str">
        <f aca="false">IF($C8985="","",$D8985*$E8985)</f>
        <v/>
      </c>
      <c r="G8985" s="107" t="str">
        <f aca="false">IF($C8985="","",$D8985*IFERROR(INDEX('تحليل التكلفة والسعر'!$C$2:$C$700,MATCH($C8985,'تحليل التكلفة والسعر'!$B$2:$B$700,0)),0))</f>
        <v/>
      </c>
    </row>
    <row r="8986" customFormat="false" ht="15" hidden="false" customHeight="false" outlineLevel="0" collapsed="false">
      <c r="A8986" s="103"/>
      <c r="B8986" s="104"/>
      <c r="C8986" s="104"/>
      <c r="E8986" s="107" t="str">
        <f aca="false">IF($C8986="","",IFERROR(INDEX(المنيو!$C$2:$C$500,MATCH($C8986,المنيو!$B$2:$B$500,0)),0))</f>
        <v/>
      </c>
      <c r="F8986" s="107" t="str">
        <f aca="false">IF($C8986="","",$D8986*$E8986)</f>
        <v/>
      </c>
      <c r="G8986" s="107" t="str">
        <f aca="false">IF($C8986="","",$D8986*IFERROR(INDEX('تحليل التكلفة والسعر'!$C$2:$C$700,MATCH($C8986,'تحليل التكلفة والسعر'!$B$2:$B$700,0)),0))</f>
        <v/>
      </c>
    </row>
    <row r="8987" customFormat="false" ht="15" hidden="false" customHeight="false" outlineLevel="0" collapsed="false">
      <c r="A8987" s="103"/>
      <c r="B8987" s="104"/>
      <c r="C8987" s="104"/>
      <c r="E8987" s="107" t="str">
        <f aca="false">IF($C8987="","",IFERROR(INDEX(المنيو!$C$2:$C$500,MATCH($C8987,المنيو!$B$2:$B$500,0)),0))</f>
        <v/>
      </c>
      <c r="F8987" s="107" t="str">
        <f aca="false">IF($C8987="","",$D8987*$E8987)</f>
        <v/>
      </c>
      <c r="G8987" s="107" t="str">
        <f aca="false">IF($C8987="","",$D8987*IFERROR(INDEX('تحليل التكلفة والسعر'!$C$2:$C$700,MATCH($C8987,'تحليل التكلفة والسعر'!$B$2:$B$700,0)),0))</f>
        <v/>
      </c>
    </row>
    <row r="8988" customFormat="false" ht="15" hidden="false" customHeight="false" outlineLevel="0" collapsed="false">
      <c r="A8988" s="103"/>
      <c r="B8988" s="104"/>
      <c r="C8988" s="104"/>
      <c r="E8988" s="107" t="str">
        <f aca="false">IF($C8988="","",IFERROR(INDEX(المنيو!$C$2:$C$500,MATCH($C8988,المنيو!$B$2:$B$500,0)),0))</f>
        <v/>
      </c>
      <c r="F8988" s="107" t="str">
        <f aca="false">IF($C8988="","",$D8988*$E8988)</f>
        <v/>
      </c>
      <c r="G8988" s="107" t="str">
        <f aca="false">IF($C8988="","",$D8988*IFERROR(INDEX('تحليل التكلفة والسعر'!$C$2:$C$700,MATCH($C8988,'تحليل التكلفة والسعر'!$B$2:$B$700,0)),0))</f>
        <v/>
      </c>
    </row>
    <row r="8989" customFormat="false" ht="15" hidden="false" customHeight="false" outlineLevel="0" collapsed="false">
      <c r="A8989" s="103"/>
      <c r="B8989" s="104"/>
      <c r="C8989" s="104"/>
      <c r="E8989" s="107" t="str">
        <f aca="false">IF($C8989="","",IFERROR(INDEX(المنيو!$C$2:$C$500,MATCH($C8989,المنيو!$B$2:$B$500,0)),0))</f>
        <v/>
      </c>
      <c r="F8989" s="107" t="str">
        <f aca="false">IF($C8989="","",$D8989*$E8989)</f>
        <v/>
      </c>
      <c r="G8989" s="107" t="str">
        <f aca="false">IF($C8989="","",$D8989*IFERROR(INDEX('تحليل التكلفة والسعر'!$C$2:$C$700,MATCH($C8989,'تحليل التكلفة والسعر'!$B$2:$B$700,0)),0))</f>
        <v/>
      </c>
    </row>
    <row r="8990" customFormat="false" ht="15" hidden="false" customHeight="false" outlineLevel="0" collapsed="false">
      <c r="A8990" s="103"/>
      <c r="B8990" s="104"/>
      <c r="C8990" s="104"/>
      <c r="E8990" s="107" t="str">
        <f aca="false">IF($C8990="","",IFERROR(INDEX(المنيو!$C$2:$C$500,MATCH($C8990,المنيو!$B$2:$B$500,0)),0))</f>
        <v/>
      </c>
      <c r="F8990" s="107" t="str">
        <f aca="false">IF($C8990="","",$D8990*$E8990)</f>
        <v/>
      </c>
      <c r="G8990" s="107" t="str">
        <f aca="false">IF($C8990="","",$D8990*IFERROR(INDEX('تحليل التكلفة والسعر'!$C$2:$C$700,MATCH($C8990,'تحليل التكلفة والسعر'!$B$2:$B$700,0)),0))</f>
        <v/>
      </c>
    </row>
    <row r="8991" customFormat="false" ht="15" hidden="false" customHeight="false" outlineLevel="0" collapsed="false">
      <c r="A8991" s="103"/>
      <c r="B8991" s="104"/>
      <c r="C8991" s="104"/>
      <c r="E8991" s="107" t="str">
        <f aca="false">IF($C8991="","",IFERROR(INDEX(المنيو!$C$2:$C$500,MATCH($C8991,المنيو!$B$2:$B$500,0)),0))</f>
        <v/>
      </c>
      <c r="F8991" s="107" t="str">
        <f aca="false">IF($C8991="","",$D8991*$E8991)</f>
        <v/>
      </c>
      <c r="G8991" s="107" t="str">
        <f aca="false">IF($C8991="","",$D8991*IFERROR(INDEX('تحليل التكلفة والسعر'!$C$2:$C$700,MATCH($C8991,'تحليل التكلفة والسعر'!$B$2:$B$700,0)),0))</f>
        <v/>
      </c>
    </row>
    <row r="8992" customFormat="false" ht="15" hidden="false" customHeight="false" outlineLevel="0" collapsed="false">
      <c r="A8992" s="103"/>
      <c r="B8992" s="104"/>
      <c r="C8992" s="104"/>
      <c r="E8992" s="107" t="str">
        <f aca="false">IF($C8992="","",IFERROR(INDEX(المنيو!$C$2:$C$500,MATCH($C8992,المنيو!$B$2:$B$500,0)),0))</f>
        <v/>
      </c>
      <c r="F8992" s="107" t="str">
        <f aca="false">IF($C8992="","",$D8992*$E8992)</f>
        <v/>
      </c>
      <c r="G8992" s="107" t="str">
        <f aca="false">IF($C8992="","",$D8992*IFERROR(INDEX('تحليل التكلفة والسعر'!$C$2:$C$700,MATCH($C8992,'تحليل التكلفة والسعر'!$B$2:$B$700,0)),0))</f>
        <v/>
      </c>
    </row>
    <row r="8993" customFormat="false" ht="15" hidden="false" customHeight="false" outlineLevel="0" collapsed="false">
      <c r="A8993" s="103"/>
      <c r="B8993" s="104"/>
      <c r="C8993" s="104"/>
      <c r="E8993" s="107" t="str">
        <f aca="false">IF($C8993="","",IFERROR(INDEX(المنيو!$C$2:$C$500,MATCH($C8993,المنيو!$B$2:$B$500,0)),0))</f>
        <v/>
      </c>
      <c r="F8993" s="107" t="str">
        <f aca="false">IF($C8993="","",$D8993*$E8993)</f>
        <v/>
      </c>
      <c r="G8993" s="107" t="str">
        <f aca="false">IF($C8993="","",$D8993*IFERROR(INDEX('تحليل التكلفة والسعر'!$C$2:$C$700,MATCH($C8993,'تحليل التكلفة والسعر'!$B$2:$B$700,0)),0))</f>
        <v/>
      </c>
    </row>
    <row r="8994" customFormat="false" ht="15" hidden="false" customHeight="false" outlineLevel="0" collapsed="false">
      <c r="A8994" s="103"/>
      <c r="B8994" s="104"/>
      <c r="C8994" s="104"/>
      <c r="E8994" s="107" t="str">
        <f aca="false">IF($C8994="","",IFERROR(INDEX(المنيو!$C$2:$C$500,MATCH($C8994,المنيو!$B$2:$B$500,0)),0))</f>
        <v/>
      </c>
      <c r="F8994" s="107" t="str">
        <f aca="false">IF($C8994="","",$D8994*$E8994)</f>
        <v/>
      </c>
      <c r="G8994" s="107" t="str">
        <f aca="false">IF($C8994="","",$D8994*IFERROR(INDEX('تحليل التكلفة والسعر'!$C$2:$C$700,MATCH($C8994,'تحليل التكلفة والسعر'!$B$2:$B$700,0)),0))</f>
        <v/>
      </c>
    </row>
    <row r="8995" customFormat="false" ht="15" hidden="false" customHeight="false" outlineLevel="0" collapsed="false">
      <c r="A8995" s="103"/>
      <c r="B8995" s="104"/>
      <c r="C8995" s="104"/>
      <c r="E8995" s="107" t="str">
        <f aca="false">IF($C8995="","",IFERROR(INDEX(المنيو!$C$2:$C$500,MATCH($C8995,المنيو!$B$2:$B$500,0)),0))</f>
        <v/>
      </c>
      <c r="F8995" s="107" t="str">
        <f aca="false">IF($C8995="","",$D8995*$E8995)</f>
        <v/>
      </c>
      <c r="G8995" s="107" t="str">
        <f aca="false">IF($C8995="","",$D8995*IFERROR(INDEX('تحليل التكلفة والسعر'!$C$2:$C$700,MATCH($C8995,'تحليل التكلفة والسعر'!$B$2:$B$700,0)),0))</f>
        <v/>
      </c>
    </row>
    <row r="8996" customFormat="false" ht="15" hidden="false" customHeight="false" outlineLevel="0" collapsed="false">
      <c r="A8996" s="103"/>
      <c r="B8996" s="104"/>
      <c r="C8996" s="104"/>
      <c r="E8996" s="107" t="str">
        <f aca="false">IF($C8996="","",IFERROR(INDEX(المنيو!$C$2:$C$500,MATCH($C8996,المنيو!$B$2:$B$500,0)),0))</f>
        <v/>
      </c>
      <c r="F8996" s="107" t="str">
        <f aca="false">IF($C8996="","",$D8996*$E8996)</f>
        <v/>
      </c>
      <c r="G8996" s="107" t="str">
        <f aca="false">IF($C8996="","",$D8996*IFERROR(INDEX('تحليل التكلفة والسعر'!$C$2:$C$700,MATCH($C8996,'تحليل التكلفة والسعر'!$B$2:$B$700,0)),0))</f>
        <v/>
      </c>
    </row>
    <row r="8997" customFormat="false" ht="15" hidden="false" customHeight="false" outlineLevel="0" collapsed="false">
      <c r="A8997" s="103"/>
      <c r="B8997" s="104"/>
      <c r="C8997" s="104"/>
      <c r="E8997" s="107" t="str">
        <f aca="false">IF($C8997="","",IFERROR(INDEX(المنيو!$C$2:$C$500,MATCH($C8997,المنيو!$B$2:$B$500,0)),0))</f>
        <v/>
      </c>
      <c r="F8997" s="107" t="str">
        <f aca="false">IF($C8997="","",$D8997*$E8997)</f>
        <v/>
      </c>
      <c r="G8997" s="107" t="str">
        <f aca="false">IF($C8997="","",$D8997*IFERROR(INDEX('تحليل التكلفة والسعر'!$C$2:$C$700,MATCH($C8997,'تحليل التكلفة والسعر'!$B$2:$B$700,0)),0))</f>
        <v/>
      </c>
    </row>
    <row r="8998" customFormat="false" ht="15" hidden="false" customHeight="false" outlineLevel="0" collapsed="false">
      <c r="A8998" s="103"/>
      <c r="B8998" s="104"/>
      <c r="C8998" s="104"/>
      <c r="E8998" s="107" t="str">
        <f aca="false">IF($C8998="","",IFERROR(INDEX(المنيو!$C$2:$C$500,MATCH($C8998,المنيو!$B$2:$B$500,0)),0))</f>
        <v/>
      </c>
      <c r="F8998" s="107" t="str">
        <f aca="false">IF($C8998="","",$D8998*$E8998)</f>
        <v/>
      </c>
      <c r="G8998" s="107" t="str">
        <f aca="false">IF($C8998="","",$D8998*IFERROR(INDEX('تحليل التكلفة والسعر'!$C$2:$C$700,MATCH($C8998,'تحليل التكلفة والسعر'!$B$2:$B$700,0)),0))</f>
        <v/>
      </c>
    </row>
    <row r="8999" customFormat="false" ht="15" hidden="false" customHeight="false" outlineLevel="0" collapsed="false">
      <c r="A8999" s="103"/>
      <c r="B8999" s="104"/>
      <c r="C8999" s="104"/>
      <c r="E8999" s="107" t="str">
        <f aca="false">IF($C8999="","",IFERROR(INDEX(المنيو!$C$2:$C$500,MATCH($C8999,المنيو!$B$2:$B$500,0)),0))</f>
        <v/>
      </c>
      <c r="F8999" s="107" t="str">
        <f aca="false">IF($C8999="","",$D8999*$E8999)</f>
        <v/>
      </c>
      <c r="G8999" s="107" t="str">
        <f aca="false">IF($C8999="","",$D8999*IFERROR(INDEX('تحليل التكلفة والسعر'!$C$2:$C$700,MATCH($C8999,'تحليل التكلفة والسعر'!$B$2:$B$700,0)),0))</f>
        <v/>
      </c>
    </row>
    <row r="9000" customFormat="false" ht="15" hidden="false" customHeight="false" outlineLevel="0" collapsed="false">
      <c r="A9000" s="103"/>
      <c r="B9000" s="104"/>
      <c r="C9000" s="104"/>
      <c r="E9000" s="107" t="str">
        <f aca="false">IF($C9000="","",IFERROR(INDEX(المنيو!$C$2:$C$500,MATCH($C9000,المنيو!$B$2:$B$500,0)),0))</f>
        <v/>
      </c>
      <c r="F9000" s="107" t="str">
        <f aca="false">IF($C9000="","",$D9000*$E9000)</f>
        <v/>
      </c>
      <c r="G9000" s="107" t="str">
        <f aca="false">IF($C9000="","",$D9000*IFERROR(INDEX('تحليل التكلفة والسعر'!$C$2:$C$700,MATCH($C9000,'تحليل التكلفة والسعر'!$B$2:$B$700,0)),0))</f>
        <v/>
      </c>
    </row>
    <row r="9001" customFormat="false" ht="15" hidden="false" customHeight="false" outlineLevel="0" collapsed="false">
      <c r="A9001" s="103"/>
      <c r="B9001" s="104"/>
      <c r="C9001" s="104"/>
      <c r="E9001" s="107" t="str">
        <f aca="false">IF($C9001="","",IFERROR(INDEX(المنيو!$C$2:$C$500,MATCH($C9001,المنيو!$B$2:$B$500,0)),0))</f>
        <v/>
      </c>
      <c r="F9001" s="107" t="str">
        <f aca="false">IF($C9001="","",$D9001*$E9001)</f>
        <v/>
      </c>
      <c r="G9001" s="107" t="str">
        <f aca="false">IF($C9001="","",$D9001*IFERROR(INDEX('تحليل التكلفة والسعر'!$C$2:$C$700,MATCH($C9001,'تحليل التكلفة والسعر'!$B$2:$B$700,0)),0))</f>
        <v/>
      </c>
    </row>
    <row r="9002" customFormat="false" ht="15" hidden="false" customHeight="false" outlineLevel="0" collapsed="false">
      <c r="A9002" s="103"/>
      <c r="B9002" s="104"/>
      <c r="C9002" s="104"/>
      <c r="E9002" s="107" t="str">
        <f aca="false">IF($C9002="","",IFERROR(INDEX(المنيو!$C$2:$C$500,MATCH($C9002,المنيو!$B$2:$B$500,0)),0))</f>
        <v/>
      </c>
      <c r="F9002" s="107" t="str">
        <f aca="false">IF($C9002="","",$D9002*$E9002)</f>
        <v/>
      </c>
      <c r="G9002" s="107" t="str">
        <f aca="false">IF($C9002="","",$D9002*IFERROR(INDEX('تحليل التكلفة والسعر'!$C$2:$C$700,MATCH($C9002,'تحليل التكلفة والسعر'!$B$2:$B$700,0)),0))</f>
        <v/>
      </c>
    </row>
    <row r="9003" customFormat="false" ht="15" hidden="false" customHeight="false" outlineLevel="0" collapsed="false">
      <c r="A9003" s="103"/>
      <c r="B9003" s="104"/>
      <c r="C9003" s="104"/>
      <c r="E9003" s="107" t="str">
        <f aca="false">IF($C9003="","",IFERROR(INDEX(المنيو!$C$2:$C$500,MATCH($C9003,المنيو!$B$2:$B$500,0)),0))</f>
        <v/>
      </c>
      <c r="F9003" s="107" t="str">
        <f aca="false">IF($C9003="","",$D9003*$E9003)</f>
        <v/>
      </c>
      <c r="G9003" s="107" t="str">
        <f aca="false">IF($C9003="","",$D9003*IFERROR(INDEX('تحليل التكلفة والسعر'!$C$2:$C$700,MATCH($C9003,'تحليل التكلفة والسعر'!$B$2:$B$700,0)),0))</f>
        <v/>
      </c>
    </row>
    <row r="9004" customFormat="false" ht="15" hidden="false" customHeight="false" outlineLevel="0" collapsed="false">
      <c r="A9004" s="103"/>
      <c r="B9004" s="104"/>
      <c r="C9004" s="104"/>
      <c r="E9004" s="107" t="str">
        <f aca="false">IF($C9004="","",IFERROR(INDEX(المنيو!$C$2:$C$500,MATCH($C9004,المنيو!$B$2:$B$500,0)),0))</f>
        <v/>
      </c>
      <c r="F9004" s="107" t="str">
        <f aca="false">IF($C9004="","",$D9004*$E9004)</f>
        <v/>
      </c>
      <c r="G9004" s="107" t="str">
        <f aca="false">IF($C9004="","",$D9004*IFERROR(INDEX('تحليل التكلفة والسعر'!$C$2:$C$700,MATCH($C9004,'تحليل التكلفة والسعر'!$B$2:$B$700,0)),0))</f>
        <v/>
      </c>
    </row>
    <row r="9005" customFormat="false" ht="15" hidden="false" customHeight="false" outlineLevel="0" collapsed="false">
      <c r="A9005" s="103"/>
      <c r="B9005" s="104"/>
      <c r="C9005" s="104"/>
      <c r="E9005" s="107" t="str">
        <f aca="false">IF($C9005="","",IFERROR(INDEX(المنيو!$C$2:$C$500,MATCH($C9005,المنيو!$B$2:$B$500,0)),0))</f>
        <v/>
      </c>
      <c r="F9005" s="107" t="str">
        <f aca="false">IF($C9005="","",$D9005*$E9005)</f>
        <v/>
      </c>
      <c r="G9005" s="107" t="str">
        <f aca="false">IF($C9005="","",$D9005*IFERROR(INDEX('تحليل التكلفة والسعر'!$C$2:$C$700,MATCH($C9005,'تحليل التكلفة والسعر'!$B$2:$B$700,0)),0))</f>
        <v/>
      </c>
    </row>
    <row r="9006" customFormat="false" ht="15" hidden="false" customHeight="false" outlineLevel="0" collapsed="false">
      <c r="A9006" s="103"/>
      <c r="B9006" s="104"/>
      <c r="C9006" s="104"/>
      <c r="E9006" s="107" t="str">
        <f aca="false">IF($C9006="","",IFERROR(INDEX(المنيو!$C$2:$C$500,MATCH($C9006,المنيو!$B$2:$B$500,0)),0))</f>
        <v/>
      </c>
      <c r="F9006" s="107" t="str">
        <f aca="false">IF($C9006="","",$D9006*$E9006)</f>
        <v/>
      </c>
      <c r="G9006" s="107" t="str">
        <f aca="false">IF($C9006="","",$D9006*IFERROR(INDEX('تحليل التكلفة والسعر'!$C$2:$C$700,MATCH($C9006,'تحليل التكلفة والسعر'!$B$2:$B$700,0)),0))</f>
        <v/>
      </c>
    </row>
    <row r="9007" customFormat="false" ht="15" hidden="false" customHeight="false" outlineLevel="0" collapsed="false">
      <c r="A9007" s="103"/>
      <c r="B9007" s="104"/>
      <c r="C9007" s="104"/>
      <c r="E9007" s="107" t="str">
        <f aca="false">IF($C9007="","",IFERROR(INDEX(المنيو!$C$2:$C$500,MATCH($C9007,المنيو!$B$2:$B$500,0)),0))</f>
        <v/>
      </c>
      <c r="F9007" s="107" t="str">
        <f aca="false">IF($C9007="","",$D9007*$E9007)</f>
        <v/>
      </c>
      <c r="G9007" s="107" t="str">
        <f aca="false">IF($C9007="","",$D9007*IFERROR(INDEX('تحليل التكلفة والسعر'!$C$2:$C$700,MATCH($C9007,'تحليل التكلفة والسعر'!$B$2:$B$700,0)),0))</f>
        <v/>
      </c>
    </row>
    <row r="9008" customFormat="false" ht="15" hidden="false" customHeight="false" outlineLevel="0" collapsed="false">
      <c r="A9008" s="103"/>
      <c r="B9008" s="104"/>
      <c r="C9008" s="104"/>
      <c r="E9008" s="107" t="str">
        <f aca="false">IF($C9008="","",IFERROR(INDEX(المنيو!$C$2:$C$500,MATCH($C9008,المنيو!$B$2:$B$500,0)),0))</f>
        <v/>
      </c>
      <c r="F9008" s="107" t="str">
        <f aca="false">IF($C9008="","",$D9008*$E9008)</f>
        <v/>
      </c>
      <c r="G9008" s="107" t="str">
        <f aca="false">IF($C9008="","",$D9008*IFERROR(INDEX('تحليل التكلفة والسعر'!$C$2:$C$700,MATCH($C9008,'تحليل التكلفة والسعر'!$B$2:$B$700,0)),0))</f>
        <v/>
      </c>
    </row>
    <row r="9009" customFormat="false" ht="15" hidden="false" customHeight="false" outlineLevel="0" collapsed="false">
      <c r="A9009" s="103"/>
      <c r="B9009" s="104"/>
      <c r="C9009" s="104"/>
      <c r="E9009" s="107" t="str">
        <f aca="false">IF($C9009="","",IFERROR(INDEX(المنيو!$C$2:$C$500,MATCH($C9009,المنيو!$B$2:$B$500,0)),0))</f>
        <v/>
      </c>
      <c r="F9009" s="107" t="str">
        <f aca="false">IF($C9009="","",$D9009*$E9009)</f>
        <v/>
      </c>
      <c r="G9009" s="107" t="str">
        <f aca="false">IF($C9009="","",$D9009*IFERROR(INDEX('تحليل التكلفة والسعر'!$C$2:$C$700,MATCH($C9009,'تحليل التكلفة والسعر'!$B$2:$B$700,0)),0))</f>
        <v/>
      </c>
    </row>
    <row r="9010" customFormat="false" ht="15" hidden="false" customHeight="false" outlineLevel="0" collapsed="false">
      <c r="A9010" s="103"/>
      <c r="B9010" s="104"/>
      <c r="C9010" s="104"/>
      <c r="E9010" s="107" t="str">
        <f aca="false">IF($C9010="","",IFERROR(INDEX(المنيو!$C$2:$C$500,MATCH($C9010,المنيو!$B$2:$B$500,0)),0))</f>
        <v/>
      </c>
      <c r="F9010" s="107" t="str">
        <f aca="false">IF($C9010="","",$D9010*$E9010)</f>
        <v/>
      </c>
      <c r="G9010" s="107" t="str">
        <f aca="false">IF($C9010="","",$D9010*IFERROR(INDEX('تحليل التكلفة والسعر'!$C$2:$C$700,MATCH($C9010,'تحليل التكلفة والسعر'!$B$2:$B$700,0)),0))</f>
        <v/>
      </c>
    </row>
    <row r="9011" customFormat="false" ht="15" hidden="false" customHeight="false" outlineLevel="0" collapsed="false">
      <c r="A9011" s="103"/>
      <c r="B9011" s="104"/>
      <c r="C9011" s="104"/>
      <c r="E9011" s="107" t="str">
        <f aca="false">IF($C9011="","",IFERROR(INDEX(المنيو!$C$2:$C$500,MATCH($C9011,المنيو!$B$2:$B$500,0)),0))</f>
        <v/>
      </c>
      <c r="F9011" s="107" t="str">
        <f aca="false">IF($C9011="","",$D9011*$E9011)</f>
        <v/>
      </c>
      <c r="G9011" s="107" t="str">
        <f aca="false">IF($C9011="","",$D9011*IFERROR(INDEX('تحليل التكلفة والسعر'!$C$2:$C$700,MATCH($C9011,'تحليل التكلفة والسعر'!$B$2:$B$700,0)),0))</f>
        <v/>
      </c>
    </row>
    <row r="9012" customFormat="false" ht="15" hidden="false" customHeight="false" outlineLevel="0" collapsed="false">
      <c r="A9012" s="103"/>
      <c r="B9012" s="104"/>
      <c r="C9012" s="104"/>
      <c r="E9012" s="107" t="str">
        <f aca="false">IF($C9012="","",IFERROR(INDEX(المنيو!$C$2:$C$500,MATCH($C9012,المنيو!$B$2:$B$500,0)),0))</f>
        <v/>
      </c>
      <c r="F9012" s="107" t="str">
        <f aca="false">IF($C9012="","",$D9012*$E9012)</f>
        <v/>
      </c>
      <c r="G9012" s="107" t="str">
        <f aca="false">IF($C9012="","",$D9012*IFERROR(INDEX('تحليل التكلفة والسعر'!$C$2:$C$700,MATCH($C9012,'تحليل التكلفة والسعر'!$B$2:$B$700,0)),0))</f>
        <v/>
      </c>
    </row>
    <row r="9013" customFormat="false" ht="15" hidden="false" customHeight="false" outlineLevel="0" collapsed="false">
      <c r="A9013" s="103"/>
      <c r="B9013" s="104"/>
      <c r="C9013" s="104"/>
      <c r="E9013" s="107" t="str">
        <f aca="false">IF($C9013="","",IFERROR(INDEX(المنيو!$C$2:$C$500,MATCH($C9013,المنيو!$B$2:$B$500,0)),0))</f>
        <v/>
      </c>
      <c r="F9013" s="107" t="str">
        <f aca="false">IF($C9013="","",$D9013*$E9013)</f>
        <v/>
      </c>
      <c r="G9013" s="107" t="str">
        <f aca="false">IF($C9013="","",$D9013*IFERROR(INDEX('تحليل التكلفة والسعر'!$C$2:$C$700,MATCH($C9013,'تحليل التكلفة والسعر'!$B$2:$B$700,0)),0))</f>
        <v/>
      </c>
    </row>
    <row r="9014" customFormat="false" ht="15" hidden="false" customHeight="false" outlineLevel="0" collapsed="false">
      <c r="A9014" s="103"/>
      <c r="B9014" s="104"/>
      <c r="C9014" s="104"/>
      <c r="E9014" s="107" t="str">
        <f aca="false">IF($C9014="","",IFERROR(INDEX(المنيو!$C$2:$C$500,MATCH($C9014,المنيو!$B$2:$B$500,0)),0))</f>
        <v/>
      </c>
      <c r="F9014" s="107" t="str">
        <f aca="false">IF($C9014="","",$D9014*$E9014)</f>
        <v/>
      </c>
      <c r="G9014" s="107" t="str">
        <f aca="false">IF($C9014="","",$D9014*IFERROR(INDEX('تحليل التكلفة والسعر'!$C$2:$C$700,MATCH($C9014,'تحليل التكلفة والسعر'!$B$2:$B$700,0)),0))</f>
        <v/>
      </c>
    </row>
    <row r="9015" customFormat="false" ht="15" hidden="false" customHeight="false" outlineLevel="0" collapsed="false">
      <c r="A9015" s="103"/>
      <c r="B9015" s="104"/>
      <c r="C9015" s="104"/>
      <c r="E9015" s="107" t="str">
        <f aca="false">IF($C9015="","",IFERROR(INDEX(المنيو!$C$2:$C$500,MATCH($C9015,المنيو!$B$2:$B$500,0)),0))</f>
        <v/>
      </c>
      <c r="F9015" s="107" t="str">
        <f aca="false">IF($C9015="","",$D9015*$E9015)</f>
        <v/>
      </c>
      <c r="G9015" s="107" t="str">
        <f aca="false">IF($C9015="","",$D9015*IFERROR(INDEX('تحليل التكلفة والسعر'!$C$2:$C$700,MATCH($C9015,'تحليل التكلفة والسعر'!$B$2:$B$700,0)),0))</f>
        <v/>
      </c>
    </row>
    <row r="9016" customFormat="false" ht="15" hidden="false" customHeight="false" outlineLevel="0" collapsed="false">
      <c r="A9016" s="103"/>
      <c r="B9016" s="104"/>
      <c r="C9016" s="104"/>
      <c r="E9016" s="107" t="str">
        <f aca="false">IF($C9016="","",IFERROR(INDEX(المنيو!$C$2:$C$500,MATCH($C9016,المنيو!$B$2:$B$500,0)),0))</f>
        <v/>
      </c>
      <c r="F9016" s="107" t="str">
        <f aca="false">IF($C9016="","",$D9016*$E9016)</f>
        <v/>
      </c>
      <c r="G9016" s="107" t="str">
        <f aca="false">IF($C9016="","",$D9016*IFERROR(INDEX('تحليل التكلفة والسعر'!$C$2:$C$700,MATCH($C9016,'تحليل التكلفة والسعر'!$B$2:$B$700,0)),0))</f>
        <v/>
      </c>
    </row>
    <row r="9017" customFormat="false" ht="15" hidden="false" customHeight="false" outlineLevel="0" collapsed="false">
      <c r="A9017" s="103"/>
      <c r="B9017" s="104"/>
      <c r="C9017" s="104"/>
      <c r="E9017" s="107" t="str">
        <f aca="false">IF($C9017="","",IFERROR(INDEX(المنيو!$C$2:$C$500,MATCH($C9017,المنيو!$B$2:$B$500,0)),0))</f>
        <v/>
      </c>
      <c r="F9017" s="107" t="str">
        <f aca="false">IF($C9017="","",$D9017*$E9017)</f>
        <v/>
      </c>
      <c r="G9017" s="107" t="str">
        <f aca="false">IF($C9017="","",$D9017*IFERROR(INDEX('تحليل التكلفة والسعر'!$C$2:$C$700,MATCH($C9017,'تحليل التكلفة والسعر'!$B$2:$B$700,0)),0))</f>
        <v/>
      </c>
    </row>
    <row r="9018" customFormat="false" ht="15" hidden="false" customHeight="false" outlineLevel="0" collapsed="false">
      <c r="A9018" s="103"/>
      <c r="B9018" s="104"/>
      <c r="C9018" s="104"/>
      <c r="E9018" s="107" t="str">
        <f aca="false">IF($C9018="","",IFERROR(INDEX(المنيو!$C$2:$C$500,MATCH($C9018,المنيو!$B$2:$B$500,0)),0))</f>
        <v/>
      </c>
      <c r="F9018" s="107" t="str">
        <f aca="false">IF($C9018="","",$D9018*$E9018)</f>
        <v/>
      </c>
      <c r="G9018" s="107" t="str">
        <f aca="false">IF($C9018="","",$D9018*IFERROR(INDEX('تحليل التكلفة والسعر'!$C$2:$C$700,MATCH($C9018,'تحليل التكلفة والسعر'!$B$2:$B$700,0)),0))</f>
        <v/>
      </c>
    </row>
    <row r="9019" customFormat="false" ht="15" hidden="false" customHeight="false" outlineLevel="0" collapsed="false">
      <c r="A9019" s="103"/>
      <c r="B9019" s="104"/>
      <c r="C9019" s="104"/>
      <c r="E9019" s="107" t="str">
        <f aca="false">IF($C9019="","",IFERROR(INDEX(المنيو!$C$2:$C$500,MATCH($C9019,المنيو!$B$2:$B$500,0)),0))</f>
        <v/>
      </c>
      <c r="F9019" s="107" t="str">
        <f aca="false">IF($C9019="","",$D9019*$E9019)</f>
        <v/>
      </c>
      <c r="G9019" s="107" t="str">
        <f aca="false">IF($C9019="","",$D9019*IFERROR(INDEX('تحليل التكلفة والسعر'!$C$2:$C$700,MATCH($C9019,'تحليل التكلفة والسعر'!$B$2:$B$700,0)),0))</f>
        <v/>
      </c>
    </row>
    <row r="9020" customFormat="false" ht="15" hidden="false" customHeight="false" outlineLevel="0" collapsed="false">
      <c r="A9020" s="103"/>
      <c r="B9020" s="104"/>
      <c r="C9020" s="104"/>
      <c r="E9020" s="107" t="str">
        <f aca="false">IF($C9020="","",IFERROR(INDEX(المنيو!$C$2:$C$500,MATCH($C9020,المنيو!$B$2:$B$500,0)),0))</f>
        <v/>
      </c>
      <c r="F9020" s="107" t="str">
        <f aca="false">IF($C9020="","",$D9020*$E9020)</f>
        <v/>
      </c>
      <c r="G9020" s="107" t="str">
        <f aca="false">IF($C9020="","",$D9020*IFERROR(INDEX('تحليل التكلفة والسعر'!$C$2:$C$700,MATCH($C9020,'تحليل التكلفة والسعر'!$B$2:$B$700,0)),0))</f>
        <v/>
      </c>
    </row>
    <row r="9021" customFormat="false" ht="15" hidden="false" customHeight="false" outlineLevel="0" collapsed="false">
      <c r="A9021" s="103"/>
      <c r="B9021" s="104"/>
      <c r="C9021" s="104"/>
      <c r="E9021" s="107" t="str">
        <f aca="false">IF($C9021="","",IFERROR(INDEX(المنيو!$C$2:$C$500,MATCH($C9021,المنيو!$B$2:$B$500,0)),0))</f>
        <v/>
      </c>
      <c r="F9021" s="107" t="str">
        <f aca="false">IF($C9021="","",$D9021*$E9021)</f>
        <v/>
      </c>
      <c r="G9021" s="107" t="str">
        <f aca="false">IF($C9021="","",$D9021*IFERROR(INDEX('تحليل التكلفة والسعر'!$C$2:$C$700,MATCH($C9021,'تحليل التكلفة والسعر'!$B$2:$B$700,0)),0))</f>
        <v/>
      </c>
    </row>
    <row r="9022" customFormat="false" ht="15" hidden="false" customHeight="false" outlineLevel="0" collapsed="false">
      <c r="A9022" s="103"/>
      <c r="B9022" s="104"/>
      <c r="C9022" s="104"/>
      <c r="E9022" s="107" t="str">
        <f aca="false">IF($C9022="","",IFERROR(INDEX(المنيو!$C$2:$C$500,MATCH($C9022,المنيو!$B$2:$B$500,0)),0))</f>
        <v/>
      </c>
      <c r="F9022" s="107" t="str">
        <f aca="false">IF($C9022="","",$D9022*$E9022)</f>
        <v/>
      </c>
      <c r="G9022" s="107" t="str">
        <f aca="false">IF($C9022="","",$D9022*IFERROR(INDEX('تحليل التكلفة والسعر'!$C$2:$C$700,MATCH($C9022,'تحليل التكلفة والسعر'!$B$2:$B$700,0)),0))</f>
        <v/>
      </c>
    </row>
    <row r="9023" customFormat="false" ht="15" hidden="false" customHeight="false" outlineLevel="0" collapsed="false">
      <c r="A9023" s="103"/>
      <c r="B9023" s="104"/>
      <c r="C9023" s="104"/>
      <c r="E9023" s="107" t="str">
        <f aca="false">IF($C9023="","",IFERROR(INDEX(المنيو!$C$2:$C$500,MATCH($C9023,المنيو!$B$2:$B$500,0)),0))</f>
        <v/>
      </c>
      <c r="F9023" s="107" t="str">
        <f aca="false">IF($C9023="","",$D9023*$E9023)</f>
        <v/>
      </c>
      <c r="G9023" s="107" t="str">
        <f aca="false">IF($C9023="","",$D9023*IFERROR(INDEX('تحليل التكلفة والسعر'!$C$2:$C$700,MATCH($C9023,'تحليل التكلفة والسعر'!$B$2:$B$700,0)),0))</f>
        <v/>
      </c>
    </row>
    <row r="9024" customFormat="false" ht="15" hidden="false" customHeight="false" outlineLevel="0" collapsed="false">
      <c r="A9024" s="103"/>
      <c r="B9024" s="104"/>
      <c r="C9024" s="104"/>
      <c r="E9024" s="107" t="str">
        <f aca="false">IF($C9024="","",IFERROR(INDEX(المنيو!$C$2:$C$500,MATCH($C9024,المنيو!$B$2:$B$500,0)),0))</f>
        <v/>
      </c>
      <c r="F9024" s="107" t="str">
        <f aca="false">IF($C9024="","",$D9024*$E9024)</f>
        <v/>
      </c>
      <c r="G9024" s="107" t="str">
        <f aca="false">IF($C9024="","",$D9024*IFERROR(INDEX('تحليل التكلفة والسعر'!$C$2:$C$700,MATCH($C9024,'تحليل التكلفة والسعر'!$B$2:$B$700,0)),0))</f>
        <v/>
      </c>
    </row>
    <row r="9025" customFormat="false" ht="15" hidden="false" customHeight="false" outlineLevel="0" collapsed="false">
      <c r="A9025" s="103"/>
      <c r="B9025" s="104"/>
      <c r="C9025" s="104"/>
      <c r="E9025" s="107" t="str">
        <f aca="false">IF($C9025="","",IFERROR(INDEX(المنيو!$C$2:$C$500,MATCH($C9025,المنيو!$B$2:$B$500,0)),0))</f>
        <v/>
      </c>
      <c r="F9025" s="107" t="str">
        <f aca="false">IF($C9025="","",$D9025*$E9025)</f>
        <v/>
      </c>
      <c r="G9025" s="107" t="str">
        <f aca="false">IF($C9025="","",$D9025*IFERROR(INDEX('تحليل التكلفة والسعر'!$C$2:$C$700,MATCH($C9025,'تحليل التكلفة والسعر'!$B$2:$B$700,0)),0))</f>
        <v/>
      </c>
    </row>
    <row r="9026" customFormat="false" ht="15" hidden="false" customHeight="false" outlineLevel="0" collapsed="false">
      <c r="A9026" s="103"/>
      <c r="B9026" s="104"/>
      <c r="C9026" s="104"/>
      <c r="E9026" s="107" t="str">
        <f aca="false">IF($C9026="","",IFERROR(INDEX(المنيو!$C$2:$C$500,MATCH($C9026,المنيو!$B$2:$B$500,0)),0))</f>
        <v/>
      </c>
      <c r="F9026" s="107" t="str">
        <f aca="false">IF($C9026="","",$D9026*$E9026)</f>
        <v/>
      </c>
      <c r="G9026" s="107" t="str">
        <f aca="false">IF($C9026="","",$D9026*IFERROR(INDEX('تحليل التكلفة والسعر'!$C$2:$C$700,MATCH($C9026,'تحليل التكلفة والسعر'!$B$2:$B$700,0)),0))</f>
        <v/>
      </c>
    </row>
    <row r="9027" customFormat="false" ht="15" hidden="false" customHeight="false" outlineLevel="0" collapsed="false">
      <c r="A9027" s="103"/>
      <c r="B9027" s="104"/>
      <c r="C9027" s="104"/>
      <c r="E9027" s="107" t="str">
        <f aca="false">IF($C9027="","",IFERROR(INDEX(المنيو!$C$2:$C$500,MATCH($C9027,المنيو!$B$2:$B$500,0)),0))</f>
        <v/>
      </c>
      <c r="F9027" s="107" t="str">
        <f aca="false">IF($C9027="","",$D9027*$E9027)</f>
        <v/>
      </c>
      <c r="G9027" s="107" t="str">
        <f aca="false">IF($C9027="","",$D9027*IFERROR(INDEX('تحليل التكلفة والسعر'!$C$2:$C$700,MATCH($C9027,'تحليل التكلفة والسعر'!$B$2:$B$700,0)),0))</f>
        <v/>
      </c>
    </row>
    <row r="9028" customFormat="false" ht="15" hidden="false" customHeight="false" outlineLevel="0" collapsed="false">
      <c r="A9028" s="103"/>
      <c r="B9028" s="104"/>
      <c r="C9028" s="104"/>
      <c r="E9028" s="107" t="str">
        <f aca="false">IF($C9028="","",IFERROR(INDEX(المنيو!$C$2:$C$500,MATCH($C9028,المنيو!$B$2:$B$500,0)),0))</f>
        <v/>
      </c>
      <c r="F9028" s="107" t="str">
        <f aca="false">IF($C9028="","",$D9028*$E9028)</f>
        <v/>
      </c>
      <c r="G9028" s="107" t="str">
        <f aca="false">IF($C9028="","",$D9028*IFERROR(INDEX('تحليل التكلفة والسعر'!$C$2:$C$700,MATCH($C9028,'تحليل التكلفة والسعر'!$B$2:$B$700,0)),0))</f>
        <v/>
      </c>
    </row>
    <row r="9029" customFormat="false" ht="15" hidden="false" customHeight="false" outlineLevel="0" collapsed="false">
      <c r="A9029" s="103"/>
      <c r="B9029" s="104"/>
      <c r="C9029" s="104"/>
      <c r="E9029" s="107" t="str">
        <f aca="false">IF($C9029="","",IFERROR(INDEX(المنيو!$C$2:$C$500,MATCH($C9029,المنيو!$B$2:$B$500,0)),0))</f>
        <v/>
      </c>
      <c r="F9029" s="107" t="str">
        <f aca="false">IF($C9029="","",$D9029*$E9029)</f>
        <v/>
      </c>
      <c r="G9029" s="107" t="str">
        <f aca="false">IF($C9029="","",$D9029*IFERROR(INDEX('تحليل التكلفة والسعر'!$C$2:$C$700,MATCH($C9029,'تحليل التكلفة والسعر'!$B$2:$B$700,0)),0))</f>
        <v/>
      </c>
    </row>
    <row r="9030" customFormat="false" ht="15" hidden="false" customHeight="false" outlineLevel="0" collapsed="false">
      <c r="A9030" s="103"/>
      <c r="B9030" s="104"/>
      <c r="C9030" s="104"/>
      <c r="E9030" s="107" t="str">
        <f aca="false">IF($C9030="","",IFERROR(INDEX(المنيو!$C$2:$C$500,MATCH($C9030,المنيو!$B$2:$B$500,0)),0))</f>
        <v/>
      </c>
      <c r="F9030" s="107" t="str">
        <f aca="false">IF($C9030="","",$D9030*$E9030)</f>
        <v/>
      </c>
      <c r="G9030" s="107" t="str">
        <f aca="false">IF($C9030="","",$D9030*IFERROR(INDEX('تحليل التكلفة والسعر'!$C$2:$C$700,MATCH($C9030,'تحليل التكلفة والسعر'!$B$2:$B$700,0)),0))</f>
        <v/>
      </c>
    </row>
    <row r="9031" customFormat="false" ht="15" hidden="false" customHeight="false" outlineLevel="0" collapsed="false">
      <c r="A9031" s="103"/>
      <c r="B9031" s="104"/>
      <c r="C9031" s="104"/>
      <c r="E9031" s="107" t="str">
        <f aca="false">IF($C9031="","",IFERROR(INDEX(المنيو!$C$2:$C$500,MATCH($C9031,المنيو!$B$2:$B$500,0)),0))</f>
        <v/>
      </c>
      <c r="F9031" s="107" t="str">
        <f aca="false">IF($C9031="","",$D9031*$E9031)</f>
        <v/>
      </c>
      <c r="G9031" s="107" t="str">
        <f aca="false">IF($C9031="","",$D9031*IFERROR(INDEX('تحليل التكلفة والسعر'!$C$2:$C$700,MATCH($C9031,'تحليل التكلفة والسعر'!$B$2:$B$700,0)),0))</f>
        <v/>
      </c>
    </row>
    <row r="9032" customFormat="false" ht="15" hidden="false" customHeight="false" outlineLevel="0" collapsed="false">
      <c r="A9032" s="103"/>
      <c r="B9032" s="104"/>
      <c r="C9032" s="104"/>
      <c r="E9032" s="107" t="str">
        <f aca="false">IF($C9032="","",IFERROR(INDEX(المنيو!$C$2:$C$500,MATCH($C9032,المنيو!$B$2:$B$500,0)),0))</f>
        <v/>
      </c>
      <c r="F9032" s="107" t="str">
        <f aca="false">IF($C9032="","",$D9032*$E9032)</f>
        <v/>
      </c>
      <c r="G9032" s="107" t="str">
        <f aca="false">IF($C9032="","",$D9032*IFERROR(INDEX('تحليل التكلفة والسعر'!$C$2:$C$700,MATCH($C9032,'تحليل التكلفة والسعر'!$B$2:$B$700,0)),0))</f>
        <v/>
      </c>
    </row>
    <row r="9033" customFormat="false" ht="15" hidden="false" customHeight="false" outlineLevel="0" collapsed="false">
      <c r="A9033" s="103"/>
      <c r="B9033" s="104"/>
      <c r="C9033" s="104"/>
      <c r="E9033" s="107" t="str">
        <f aca="false">IF($C9033="","",IFERROR(INDEX(المنيو!$C$2:$C$500,MATCH($C9033,المنيو!$B$2:$B$500,0)),0))</f>
        <v/>
      </c>
      <c r="F9033" s="107" t="str">
        <f aca="false">IF($C9033="","",$D9033*$E9033)</f>
        <v/>
      </c>
      <c r="G9033" s="107" t="str">
        <f aca="false">IF($C9033="","",$D9033*IFERROR(INDEX('تحليل التكلفة والسعر'!$C$2:$C$700,MATCH($C9033,'تحليل التكلفة والسعر'!$B$2:$B$700,0)),0))</f>
        <v/>
      </c>
    </row>
    <row r="9034" customFormat="false" ht="15" hidden="false" customHeight="false" outlineLevel="0" collapsed="false">
      <c r="A9034" s="103"/>
      <c r="B9034" s="104"/>
      <c r="C9034" s="104"/>
      <c r="E9034" s="107" t="str">
        <f aca="false">IF($C9034="","",IFERROR(INDEX(المنيو!$C$2:$C$500,MATCH($C9034,المنيو!$B$2:$B$500,0)),0))</f>
        <v/>
      </c>
      <c r="F9034" s="107" t="str">
        <f aca="false">IF($C9034="","",$D9034*$E9034)</f>
        <v/>
      </c>
      <c r="G9034" s="107" t="str">
        <f aca="false">IF($C9034="","",$D9034*IFERROR(INDEX('تحليل التكلفة والسعر'!$C$2:$C$700,MATCH($C9034,'تحليل التكلفة والسعر'!$B$2:$B$700,0)),0))</f>
        <v/>
      </c>
    </row>
    <row r="9035" customFormat="false" ht="15" hidden="false" customHeight="false" outlineLevel="0" collapsed="false">
      <c r="A9035" s="103"/>
      <c r="B9035" s="104"/>
      <c r="C9035" s="104"/>
      <c r="E9035" s="107" t="str">
        <f aca="false">IF($C9035="","",IFERROR(INDEX(المنيو!$C$2:$C$500,MATCH($C9035,المنيو!$B$2:$B$500,0)),0))</f>
        <v/>
      </c>
      <c r="F9035" s="107" t="str">
        <f aca="false">IF($C9035="","",$D9035*$E9035)</f>
        <v/>
      </c>
      <c r="G9035" s="107" t="str">
        <f aca="false">IF($C9035="","",$D9035*IFERROR(INDEX('تحليل التكلفة والسعر'!$C$2:$C$700,MATCH($C9035,'تحليل التكلفة والسعر'!$B$2:$B$700,0)),0))</f>
        <v/>
      </c>
    </row>
    <row r="9036" customFormat="false" ht="15" hidden="false" customHeight="false" outlineLevel="0" collapsed="false">
      <c r="A9036" s="103"/>
      <c r="B9036" s="104"/>
      <c r="C9036" s="104"/>
      <c r="E9036" s="107" t="str">
        <f aca="false">IF($C9036="","",IFERROR(INDEX(المنيو!$C$2:$C$500,MATCH($C9036,المنيو!$B$2:$B$500,0)),0))</f>
        <v/>
      </c>
      <c r="F9036" s="107" t="str">
        <f aca="false">IF($C9036="","",$D9036*$E9036)</f>
        <v/>
      </c>
      <c r="G9036" s="107" t="str">
        <f aca="false">IF($C9036="","",$D9036*IFERROR(INDEX('تحليل التكلفة والسعر'!$C$2:$C$700,MATCH($C9036,'تحليل التكلفة والسعر'!$B$2:$B$700,0)),0))</f>
        <v/>
      </c>
    </row>
    <row r="9037" customFormat="false" ht="15" hidden="false" customHeight="false" outlineLevel="0" collapsed="false">
      <c r="A9037" s="103"/>
      <c r="B9037" s="104"/>
      <c r="C9037" s="104"/>
      <c r="E9037" s="107" t="str">
        <f aca="false">IF($C9037="","",IFERROR(INDEX(المنيو!$C$2:$C$500,MATCH($C9037,المنيو!$B$2:$B$500,0)),0))</f>
        <v/>
      </c>
      <c r="F9037" s="107" t="str">
        <f aca="false">IF($C9037="","",$D9037*$E9037)</f>
        <v/>
      </c>
      <c r="G9037" s="107" t="str">
        <f aca="false">IF($C9037="","",$D9037*IFERROR(INDEX('تحليل التكلفة والسعر'!$C$2:$C$700,MATCH($C9037,'تحليل التكلفة والسعر'!$B$2:$B$700,0)),0))</f>
        <v/>
      </c>
    </row>
    <row r="9038" customFormat="false" ht="15" hidden="false" customHeight="false" outlineLevel="0" collapsed="false">
      <c r="A9038" s="103"/>
      <c r="B9038" s="104"/>
      <c r="C9038" s="104"/>
      <c r="E9038" s="107" t="str">
        <f aca="false">IF($C9038="","",IFERROR(INDEX(المنيو!$C$2:$C$500,MATCH($C9038,المنيو!$B$2:$B$500,0)),0))</f>
        <v/>
      </c>
      <c r="F9038" s="107" t="str">
        <f aca="false">IF($C9038="","",$D9038*$E9038)</f>
        <v/>
      </c>
      <c r="G9038" s="107" t="str">
        <f aca="false">IF($C9038="","",$D9038*IFERROR(INDEX('تحليل التكلفة والسعر'!$C$2:$C$700,MATCH($C9038,'تحليل التكلفة والسعر'!$B$2:$B$700,0)),0))</f>
        <v/>
      </c>
    </row>
    <row r="9039" customFormat="false" ht="15" hidden="false" customHeight="false" outlineLevel="0" collapsed="false">
      <c r="A9039" s="103"/>
      <c r="B9039" s="104"/>
      <c r="C9039" s="104"/>
      <c r="E9039" s="107" t="str">
        <f aca="false">IF($C9039="","",IFERROR(INDEX(المنيو!$C$2:$C$500,MATCH($C9039,المنيو!$B$2:$B$500,0)),0))</f>
        <v/>
      </c>
      <c r="F9039" s="107" t="str">
        <f aca="false">IF($C9039="","",$D9039*$E9039)</f>
        <v/>
      </c>
      <c r="G9039" s="107" t="str">
        <f aca="false">IF($C9039="","",$D9039*IFERROR(INDEX('تحليل التكلفة والسعر'!$C$2:$C$700,MATCH($C9039,'تحليل التكلفة والسعر'!$B$2:$B$700,0)),0))</f>
        <v/>
      </c>
    </row>
    <row r="9040" customFormat="false" ht="15" hidden="false" customHeight="false" outlineLevel="0" collapsed="false">
      <c r="A9040" s="103"/>
      <c r="B9040" s="104"/>
      <c r="C9040" s="104"/>
      <c r="E9040" s="107" t="str">
        <f aca="false">IF($C9040="","",IFERROR(INDEX(المنيو!$C$2:$C$500,MATCH($C9040,المنيو!$B$2:$B$500,0)),0))</f>
        <v/>
      </c>
      <c r="F9040" s="107" t="str">
        <f aca="false">IF($C9040="","",$D9040*$E9040)</f>
        <v/>
      </c>
      <c r="G9040" s="107" t="str">
        <f aca="false">IF($C9040="","",$D9040*IFERROR(INDEX('تحليل التكلفة والسعر'!$C$2:$C$700,MATCH($C9040,'تحليل التكلفة والسعر'!$B$2:$B$700,0)),0))</f>
        <v/>
      </c>
    </row>
    <row r="9041" customFormat="false" ht="15" hidden="false" customHeight="false" outlineLevel="0" collapsed="false">
      <c r="A9041" s="103"/>
      <c r="B9041" s="104"/>
      <c r="C9041" s="104"/>
      <c r="E9041" s="107" t="str">
        <f aca="false">IF($C9041="","",IFERROR(INDEX(المنيو!$C$2:$C$500,MATCH($C9041,المنيو!$B$2:$B$500,0)),0))</f>
        <v/>
      </c>
      <c r="F9041" s="107" t="str">
        <f aca="false">IF($C9041="","",$D9041*$E9041)</f>
        <v/>
      </c>
      <c r="G9041" s="107" t="str">
        <f aca="false">IF($C9041="","",$D9041*IFERROR(INDEX('تحليل التكلفة والسعر'!$C$2:$C$700,MATCH($C9041,'تحليل التكلفة والسعر'!$B$2:$B$700,0)),0))</f>
        <v/>
      </c>
    </row>
    <row r="9042" customFormat="false" ht="15" hidden="false" customHeight="false" outlineLevel="0" collapsed="false">
      <c r="A9042" s="103"/>
      <c r="B9042" s="104"/>
      <c r="C9042" s="104"/>
      <c r="E9042" s="107" t="str">
        <f aca="false">IF($C9042="","",IFERROR(INDEX(المنيو!$C$2:$C$500,MATCH($C9042,المنيو!$B$2:$B$500,0)),0))</f>
        <v/>
      </c>
      <c r="F9042" s="107" t="str">
        <f aca="false">IF($C9042="","",$D9042*$E9042)</f>
        <v/>
      </c>
      <c r="G9042" s="107" t="str">
        <f aca="false">IF($C9042="","",$D9042*IFERROR(INDEX('تحليل التكلفة والسعر'!$C$2:$C$700,MATCH($C9042,'تحليل التكلفة والسعر'!$B$2:$B$700,0)),0))</f>
        <v/>
      </c>
    </row>
    <row r="9043" customFormat="false" ht="15" hidden="false" customHeight="false" outlineLevel="0" collapsed="false">
      <c r="A9043" s="103"/>
      <c r="B9043" s="104"/>
      <c r="C9043" s="104"/>
      <c r="E9043" s="107" t="str">
        <f aca="false">IF($C9043="","",IFERROR(INDEX(المنيو!$C$2:$C$500,MATCH($C9043,المنيو!$B$2:$B$500,0)),0))</f>
        <v/>
      </c>
      <c r="F9043" s="107" t="str">
        <f aca="false">IF($C9043="","",$D9043*$E9043)</f>
        <v/>
      </c>
      <c r="G9043" s="107" t="str">
        <f aca="false">IF($C9043="","",$D9043*IFERROR(INDEX('تحليل التكلفة والسعر'!$C$2:$C$700,MATCH($C9043,'تحليل التكلفة والسعر'!$B$2:$B$700,0)),0))</f>
        <v/>
      </c>
    </row>
    <row r="9044" customFormat="false" ht="15" hidden="false" customHeight="false" outlineLevel="0" collapsed="false">
      <c r="A9044" s="103"/>
      <c r="B9044" s="104"/>
      <c r="C9044" s="104"/>
      <c r="E9044" s="107" t="str">
        <f aca="false">IF($C9044="","",IFERROR(INDEX(المنيو!$C$2:$C$500,MATCH($C9044,المنيو!$B$2:$B$500,0)),0))</f>
        <v/>
      </c>
      <c r="F9044" s="107" t="str">
        <f aca="false">IF($C9044="","",$D9044*$E9044)</f>
        <v/>
      </c>
      <c r="G9044" s="107" t="str">
        <f aca="false">IF($C9044="","",$D9044*IFERROR(INDEX('تحليل التكلفة والسعر'!$C$2:$C$700,MATCH($C9044,'تحليل التكلفة والسعر'!$B$2:$B$700,0)),0))</f>
        <v/>
      </c>
    </row>
    <row r="9045" customFormat="false" ht="15" hidden="false" customHeight="false" outlineLevel="0" collapsed="false">
      <c r="A9045" s="103"/>
      <c r="B9045" s="104"/>
      <c r="C9045" s="104"/>
      <c r="E9045" s="107" t="str">
        <f aca="false">IF($C9045="","",IFERROR(INDEX(المنيو!$C$2:$C$500,MATCH($C9045,المنيو!$B$2:$B$500,0)),0))</f>
        <v/>
      </c>
      <c r="F9045" s="107" t="str">
        <f aca="false">IF($C9045="","",$D9045*$E9045)</f>
        <v/>
      </c>
      <c r="G9045" s="107" t="str">
        <f aca="false">IF($C9045="","",$D9045*IFERROR(INDEX('تحليل التكلفة والسعر'!$C$2:$C$700,MATCH($C9045,'تحليل التكلفة والسعر'!$B$2:$B$700,0)),0))</f>
        <v/>
      </c>
    </row>
    <row r="9046" customFormat="false" ht="15" hidden="false" customHeight="false" outlineLevel="0" collapsed="false">
      <c r="A9046" s="103"/>
      <c r="B9046" s="104"/>
      <c r="C9046" s="104"/>
      <c r="E9046" s="107" t="str">
        <f aca="false">IF($C9046="","",IFERROR(INDEX(المنيو!$C$2:$C$500,MATCH($C9046,المنيو!$B$2:$B$500,0)),0))</f>
        <v/>
      </c>
      <c r="F9046" s="107" t="str">
        <f aca="false">IF($C9046="","",$D9046*$E9046)</f>
        <v/>
      </c>
      <c r="G9046" s="107" t="str">
        <f aca="false">IF($C9046="","",$D9046*IFERROR(INDEX('تحليل التكلفة والسعر'!$C$2:$C$700,MATCH($C9046,'تحليل التكلفة والسعر'!$B$2:$B$700,0)),0))</f>
        <v/>
      </c>
    </row>
    <row r="9047" customFormat="false" ht="15" hidden="false" customHeight="false" outlineLevel="0" collapsed="false">
      <c r="A9047" s="103"/>
      <c r="B9047" s="104"/>
      <c r="C9047" s="104"/>
      <c r="E9047" s="107" t="str">
        <f aca="false">IF($C9047="","",IFERROR(INDEX(المنيو!$C$2:$C$500,MATCH($C9047,المنيو!$B$2:$B$500,0)),0))</f>
        <v/>
      </c>
      <c r="F9047" s="107" t="str">
        <f aca="false">IF($C9047="","",$D9047*$E9047)</f>
        <v/>
      </c>
      <c r="G9047" s="107" t="str">
        <f aca="false">IF($C9047="","",$D9047*IFERROR(INDEX('تحليل التكلفة والسعر'!$C$2:$C$700,MATCH($C9047,'تحليل التكلفة والسعر'!$B$2:$B$700,0)),0))</f>
        <v/>
      </c>
    </row>
    <row r="9048" customFormat="false" ht="15" hidden="false" customHeight="false" outlineLevel="0" collapsed="false">
      <c r="A9048" s="103"/>
      <c r="B9048" s="104"/>
      <c r="C9048" s="104"/>
      <c r="E9048" s="107" t="str">
        <f aca="false">IF($C9048="","",IFERROR(INDEX(المنيو!$C$2:$C$500,MATCH($C9048,المنيو!$B$2:$B$500,0)),0))</f>
        <v/>
      </c>
      <c r="F9048" s="107" t="str">
        <f aca="false">IF($C9048="","",$D9048*$E9048)</f>
        <v/>
      </c>
      <c r="G9048" s="107" t="str">
        <f aca="false">IF($C9048="","",$D9048*IFERROR(INDEX('تحليل التكلفة والسعر'!$C$2:$C$700,MATCH($C9048,'تحليل التكلفة والسعر'!$B$2:$B$700,0)),0))</f>
        <v/>
      </c>
    </row>
    <row r="9049" customFormat="false" ht="15" hidden="false" customHeight="false" outlineLevel="0" collapsed="false">
      <c r="A9049" s="103"/>
      <c r="B9049" s="104"/>
      <c r="C9049" s="104"/>
      <c r="E9049" s="107" t="str">
        <f aca="false">IF($C9049="","",IFERROR(INDEX(المنيو!$C$2:$C$500,MATCH($C9049,المنيو!$B$2:$B$500,0)),0))</f>
        <v/>
      </c>
      <c r="F9049" s="107" t="str">
        <f aca="false">IF($C9049="","",$D9049*$E9049)</f>
        <v/>
      </c>
      <c r="G9049" s="107" t="str">
        <f aca="false">IF($C9049="","",$D9049*IFERROR(INDEX('تحليل التكلفة والسعر'!$C$2:$C$700,MATCH($C9049,'تحليل التكلفة والسعر'!$B$2:$B$700,0)),0))</f>
        <v/>
      </c>
    </row>
    <row r="9050" customFormat="false" ht="15" hidden="false" customHeight="false" outlineLevel="0" collapsed="false">
      <c r="A9050" s="103"/>
      <c r="B9050" s="104"/>
      <c r="C9050" s="104"/>
      <c r="E9050" s="107" t="str">
        <f aca="false">IF($C9050="","",IFERROR(INDEX(المنيو!$C$2:$C$500,MATCH($C9050,المنيو!$B$2:$B$500,0)),0))</f>
        <v/>
      </c>
      <c r="F9050" s="107" t="str">
        <f aca="false">IF($C9050="","",$D9050*$E9050)</f>
        <v/>
      </c>
      <c r="G9050" s="107" t="str">
        <f aca="false">IF($C9050="","",$D9050*IFERROR(INDEX('تحليل التكلفة والسعر'!$C$2:$C$700,MATCH($C9050,'تحليل التكلفة والسعر'!$B$2:$B$700,0)),0))</f>
        <v/>
      </c>
    </row>
    <row r="9051" customFormat="false" ht="15" hidden="false" customHeight="false" outlineLevel="0" collapsed="false">
      <c r="A9051" s="103"/>
      <c r="B9051" s="104"/>
      <c r="C9051" s="104"/>
      <c r="E9051" s="107" t="str">
        <f aca="false">IF($C9051="","",IFERROR(INDEX(المنيو!$C$2:$C$500,MATCH($C9051,المنيو!$B$2:$B$500,0)),0))</f>
        <v/>
      </c>
      <c r="F9051" s="107" t="str">
        <f aca="false">IF($C9051="","",$D9051*$E9051)</f>
        <v/>
      </c>
      <c r="G9051" s="107" t="str">
        <f aca="false">IF($C9051="","",$D9051*IFERROR(INDEX('تحليل التكلفة والسعر'!$C$2:$C$700,MATCH($C9051,'تحليل التكلفة والسعر'!$B$2:$B$700,0)),0))</f>
        <v/>
      </c>
    </row>
    <row r="9052" customFormat="false" ht="15" hidden="false" customHeight="false" outlineLevel="0" collapsed="false">
      <c r="A9052" s="103"/>
      <c r="B9052" s="104"/>
      <c r="C9052" s="104"/>
      <c r="E9052" s="107" t="str">
        <f aca="false">IF($C9052="","",IFERROR(INDEX(المنيو!$C$2:$C$500,MATCH($C9052,المنيو!$B$2:$B$500,0)),0))</f>
        <v/>
      </c>
      <c r="F9052" s="107" t="str">
        <f aca="false">IF($C9052="","",$D9052*$E9052)</f>
        <v/>
      </c>
      <c r="G9052" s="107" t="str">
        <f aca="false">IF($C9052="","",$D9052*IFERROR(INDEX('تحليل التكلفة والسعر'!$C$2:$C$700,MATCH($C9052,'تحليل التكلفة والسعر'!$B$2:$B$700,0)),0))</f>
        <v/>
      </c>
    </row>
    <row r="9053" customFormat="false" ht="15" hidden="false" customHeight="false" outlineLevel="0" collapsed="false">
      <c r="A9053" s="103"/>
      <c r="B9053" s="104"/>
      <c r="C9053" s="104"/>
      <c r="E9053" s="107" t="str">
        <f aca="false">IF($C9053="","",IFERROR(INDEX(المنيو!$C$2:$C$500,MATCH($C9053,المنيو!$B$2:$B$500,0)),0))</f>
        <v/>
      </c>
      <c r="F9053" s="107" t="str">
        <f aca="false">IF($C9053="","",$D9053*$E9053)</f>
        <v/>
      </c>
      <c r="G9053" s="107" t="str">
        <f aca="false">IF($C9053="","",$D9053*IFERROR(INDEX('تحليل التكلفة والسعر'!$C$2:$C$700,MATCH($C9053,'تحليل التكلفة والسعر'!$B$2:$B$700,0)),0))</f>
        <v/>
      </c>
    </row>
    <row r="9054" customFormat="false" ht="15" hidden="false" customHeight="false" outlineLevel="0" collapsed="false">
      <c r="A9054" s="103"/>
      <c r="B9054" s="104"/>
      <c r="C9054" s="104"/>
      <c r="E9054" s="107" t="str">
        <f aca="false">IF($C9054="","",IFERROR(INDEX(المنيو!$C$2:$C$500,MATCH($C9054,المنيو!$B$2:$B$500,0)),0))</f>
        <v/>
      </c>
      <c r="F9054" s="107" t="str">
        <f aca="false">IF($C9054="","",$D9054*$E9054)</f>
        <v/>
      </c>
      <c r="G9054" s="107" t="str">
        <f aca="false">IF($C9054="","",$D9054*IFERROR(INDEX('تحليل التكلفة والسعر'!$C$2:$C$700,MATCH($C9054,'تحليل التكلفة والسعر'!$B$2:$B$700,0)),0))</f>
        <v/>
      </c>
    </row>
    <row r="9055" customFormat="false" ht="15" hidden="false" customHeight="false" outlineLevel="0" collapsed="false">
      <c r="A9055" s="103"/>
      <c r="B9055" s="104"/>
      <c r="C9055" s="104"/>
      <c r="E9055" s="107" t="str">
        <f aca="false">IF($C9055="","",IFERROR(INDEX(المنيو!$C$2:$C$500,MATCH($C9055,المنيو!$B$2:$B$500,0)),0))</f>
        <v/>
      </c>
      <c r="F9055" s="107" t="str">
        <f aca="false">IF($C9055="","",$D9055*$E9055)</f>
        <v/>
      </c>
      <c r="G9055" s="107" t="str">
        <f aca="false">IF($C9055="","",$D9055*IFERROR(INDEX('تحليل التكلفة والسعر'!$C$2:$C$700,MATCH($C9055,'تحليل التكلفة والسعر'!$B$2:$B$700,0)),0))</f>
        <v/>
      </c>
    </row>
    <row r="9056" customFormat="false" ht="15" hidden="false" customHeight="false" outlineLevel="0" collapsed="false">
      <c r="A9056" s="103"/>
      <c r="B9056" s="104"/>
      <c r="C9056" s="104"/>
      <c r="E9056" s="107" t="str">
        <f aca="false">IF($C9056="","",IFERROR(INDEX(المنيو!$C$2:$C$500,MATCH($C9056,المنيو!$B$2:$B$500,0)),0))</f>
        <v/>
      </c>
      <c r="F9056" s="107" t="str">
        <f aca="false">IF($C9056="","",$D9056*$E9056)</f>
        <v/>
      </c>
      <c r="G9056" s="107" t="str">
        <f aca="false">IF($C9056="","",$D9056*IFERROR(INDEX('تحليل التكلفة والسعر'!$C$2:$C$700,MATCH($C9056,'تحليل التكلفة والسعر'!$B$2:$B$700,0)),0))</f>
        <v/>
      </c>
    </row>
    <row r="9057" customFormat="false" ht="15" hidden="false" customHeight="false" outlineLevel="0" collapsed="false">
      <c r="A9057" s="103"/>
      <c r="B9057" s="104"/>
      <c r="C9057" s="104"/>
      <c r="E9057" s="107" t="str">
        <f aca="false">IF($C9057="","",IFERROR(INDEX(المنيو!$C$2:$C$500,MATCH($C9057,المنيو!$B$2:$B$500,0)),0))</f>
        <v/>
      </c>
      <c r="F9057" s="107" t="str">
        <f aca="false">IF($C9057="","",$D9057*$E9057)</f>
        <v/>
      </c>
      <c r="G9057" s="107" t="str">
        <f aca="false">IF($C9057="","",$D9057*IFERROR(INDEX('تحليل التكلفة والسعر'!$C$2:$C$700,MATCH($C9057,'تحليل التكلفة والسعر'!$B$2:$B$700,0)),0))</f>
        <v/>
      </c>
    </row>
    <row r="9058" customFormat="false" ht="15" hidden="false" customHeight="false" outlineLevel="0" collapsed="false">
      <c r="A9058" s="103"/>
      <c r="B9058" s="104"/>
      <c r="C9058" s="104"/>
      <c r="E9058" s="107" t="str">
        <f aca="false">IF($C9058="","",IFERROR(INDEX(المنيو!$C$2:$C$500,MATCH($C9058,المنيو!$B$2:$B$500,0)),0))</f>
        <v/>
      </c>
      <c r="F9058" s="107" t="str">
        <f aca="false">IF($C9058="","",$D9058*$E9058)</f>
        <v/>
      </c>
      <c r="G9058" s="107" t="str">
        <f aca="false">IF($C9058="","",$D9058*IFERROR(INDEX('تحليل التكلفة والسعر'!$C$2:$C$700,MATCH($C9058,'تحليل التكلفة والسعر'!$B$2:$B$700,0)),0))</f>
        <v/>
      </c>
    </row>
    <row r="9059" customFormat="false" ht="15" hidden="false" customHeight="false" outlineLevel="0" collapsed="false">
      <c r="A9059" s="103"/>
      <c r="B9059" s="104"/>
      <c r="C9059" s="104"/>
      <c r="E9059" s="107" t="str">
        <f aca="false">IF($C9059="","",IFERROR(INDEX(المنيو!$C$2:$C$500,MATCH($C9059,المنيو!$B$2:$B$500,0)),0))</f>
        <v/>
      </c>
      <c r="F9059" s="107" t="str">
        <f aca="false">IF($C9059="","",$D9059*$E9059)</f>
        <v/>
      </c>
      <c r="G9059" s="107" t="str">
        <f aca="false">IF($C9059="","",$D9059*IFERROR(INDEX('تحليل التكلفة والسعر'!$C$2:$C$700,MATCH($C9059,'تحليل التكلفة والسعر'!$B$2:$B$700,0)),0))</f>
        <v/>
      </c>
    </row>
    <row r="9060" customFormat="false" ht="15" hidden="false" customHeight="false" outlineLevel="0" collapsed="false">
      <c r="A9060" s="103"/>
      <c r="B9060" s="104"/>
      <c r="C9060" s="104"/>
      <c r="E9060" s="107" t="str">
        <f aca="false">IF($C9060="","",IFERROR(INDEX(المنيو!$C$2:$C$500,MATCH($C9060,المنيو!$B$2:$B$500,0)),0))</f>
        <v/>
      </c>
      <c r="F9060" s="107" t="str">
        <f aca="false">IF($C9060="","",$D9060*$E9060)</f>
        <v/>
      </c>
      <c r="G9060" s="107" t="str">
        <f aca="false">IF($C9060="","",$D9060*IFERROR(INDEX('تحليل التكلفة والسعر'!$C$2:$C$700,MATCH($C9060,'تحليل التكلفة والسعر'!$B$2:$B$700,0)),0))</f>
        <v/>
      </c>
    </row>
    <row r="9061" customFormat="false" ht="15" hidden="false" customHeight="false" outlineLevel="0" collapsed="false">
      <c r="A9061" s="103"/>
      <c r="B9061" s="104"/>
      <c r="C9061" s="104"/>
      <c r="E9061" s="107" t="str">
        <f aca="false">IF($C9061="","",IFERROR(INDEX(المنيو!$C$2:$C$500,MATCH($C9061,المنيو!$B$2:$B$500,0)),0))</f>
        <v/>
      </c>
      <c r="F9061" s="107" t="str">
        <f aca="false">IF($C9061="","",$D9061*$E9061)</f>
        <v/>
      </c>
      <c r="G9061" s="107" t="str">
        <f aca="false">IF($C9061="","",$D9061*IFERROR(INDEX('تحليل التكلفة والسعر'!$C$2:$C$700,MATCH($C9061,'تحليل التكلفة والسعر'!$B$2:$B$700,0)),0))</f>
        <v/>
      </c>
    </row>
    <row r="9062" customFormat="false" ht="15" hidden="false" customHeight="false" outlineLevel="0" collapsed="false">
      <c r="A9062" s="103"/>
      <c r="B9062" s="104"/>
      <c r="C9062" s="104"/>
      <c r="E9062" s="107" t="str">
        <f aca="false">IF($C9062="","",IFERROR(INDEX(المنيو!$C$2:$C$500,MATCH($C9062,المنيو!$B$2:$B$500,0)),0))</f>
        <v/>
      </c>
      <c r="F9062" s="107" t="str">
        <f aca="false">IF($C9062="","",$D9062*$E9062)</f>
        <v/>
      </c>
      <c r="G9062" s="107" t="str">
        <f aca="false">IF($C9062="","",$D9062*IFERROR(INDEX('تحليل التكلفة والسعر'!$C$2:$C$700,MATCH($C9062,'تحليل التكلفة والسعر'!$B$2:$B$700,0)),0))</f>
        <v/>
      </c>
    </row>
    <row r="9063" customFormat="false" ht="15" hidden="false" customHeight="false" outlineLevel="0" collapsed="false">
      <c r="A9063" s="103"/>
      <c r="B9063" s="104"/>
      <c r="C9063" s="104"/>
      <c r="E9063" s="107" t="str">
        <f aca="false">IF($C9063="","",IFERROR(INDEX(المنيو!$C$2:$C$500,MATCH($C9063,المنيو!$B$2:$B$500,0)),0))</f>
        <v/>
      </c>
      <c r="F9063" s="107" t="str">
        <f aca="false">IF($C9063="","",$D9063*$E9063)</f>
        <v/>
      </c>
      <c r="G9063" s="107" t="str">
        <f aca="false">IF($C9063="","",$D9063*IFERROR(INDEX('تحليل التكلفة والسعر'!$C$2:$C$700,MATCH($C9063,'تحليل التكلفة والسعر'!$B$2:$B$700,0)),0))</f>
        <v/>
      </c>
    </row>
    <row r="9064" customFormat="false" ht="15" hidden="false" customHeight="false" outlineLevel="0" collapsed="false">
      <c r="A9064" s="103"/>
      <c r="B9064" s="104"/>
      <c r="C9064" s="104"/>
      <c r="E9064" s="107" t="str">
        <f aca="false">IF($C9064="","",IFERROR(INDEX(المنيو!$C$2:$C$500,MATCH($C9064,المنيو!$B$2:$B$500,0)),0))</f>
        <v/>
      </c>
      <c r="F9064" s="107" t="str">
        <f aca="false">IF($C9064="","",$D9064*$E9064)</f>
        <v/>
      </c>
      <c r="G9064" s="107" t="str">
        <f aca="false">IF($C9064="","",$D9064*IFERROR(INDEX('تحليل التكلفة والسعر'!$C$2:$C$700,MATCH($C9064,'تحليل التكلفة والسعر'!$B$2:$B$700,0)),0))</f>
        <v/>
      </c>
    </row>
    <row r="9065" customFormat="false" ht="15" hidden="false" customHeight="false" outlineLevel="0" collapsed="false">
      <c r="A9065" s="103"/>
      <c r="B9065" s="104"/>
      <c r="C9065" s="104"/>
      <c r="E9065" s="107" t="str">
        <f aca="false">IF($C9065="","",IFERROR(INDEX(المنيو!$C$2:$C$500,MATCH($C9065,المنيو!$B$2:$B$500,0)),0))</f>
        <v/>
      </c>
      <c r="F9065" s="107" t="str">
        <f aca="false">IF($C9065="","",$D9065*$E9065)</f>
        <v/>
      </c>
      <c r="G9065" s="107" t="str">
        <f aca="false">IF($C9065="","",$D9065*IFERROR(INDEX('تحليل التكلفة والسعر'!$C$2:$C$700,MATCH($C9065,'تحليل التكلفة والسعر'!$B$2:$B$700,0)),0))</f>
        <v/>
      </c>
    </row>
    <row r="9066" customFormat="false" ht="15" hidden="false" customHeight="false" outlineLevel="0" collapsed="false">
      <c r="A9066" s="103"/>
      <c r="B9066" s="104"/>
      <c r="C9066" s="104"/>
      <c r="E9066" s="107" t="str">
        <f aca="false">IF($C9066="","",IFERROR(INDEX(المنيو!$C$2:$C$500,MATCH($C9066,المنيو!$B$2:$B$500,0)),0))</f>
        <v/>
      </c>
      <c r="F9066" s="107" t="str">
        <f aca="false">IF($C9066="","",$D9066*$E9066)</f>
        <v/>
      </c>
      <c r="G9066" s="107" t="str">
        <f aca="false">IF($C9066="","",$D9066*IFERROR(INDEX('تحليل التكلفة والسعر'!$C$2:$C$700,MATCH($C9066,'تحليل التكلفة والسعر'!$B$2:$B$700,0)),0))</f>
        <v/>
      </c>
    </row>
    <row r="9067" customFormat="false" ht="15" hidden="false" customHeight="false" outlineLevel="0" collapsed="false">
      <c r="A9067" s="103"/>
      <c r="B9067" s="104"/>
      <c r="C9067" s="104"/>
      <c r="E9067" s="107" t="str">
        <f aca="false">IF($C9067="","",IFERROR(INDEX(المنيو!$C$2:$C$500,MATCH($C9067,المنيو!$B$2:$B$500,0)),0))</f>
        <v/>
      </c>
      <c r="F9067" s="107" t="str">
        <f aca="false">IF($C9067="","",$D9067*$E9067)</f>
        <v/>
      </c>
      <c r="G9067" s="107" t="str">
        <f aca="false">IF($C9067="","",$D9067*IFERROR(INDEX('تحليل التكلفة والسعر'!$C$2:$C$700,MATCH($C9067,'تحليل التكلفة والسعر'!$B$2:$B$700,0)),0))</f>
        <v/>
      </c>
    </row>
    <row r="9068" customFormat="false" ht="15" hidden="false" customHeight="false" outlineLevel="0" collapsed="false">
      <c r="A9068" s="103"/>
      <c r="B9068" s="104"/>
      <c r="C9068" s="104"/>
      <c r="E9068" s="107" t="str">
        <f aca="false">IF($C9068="","",IFERROR(INDEX(المنيو!$C$2:$C$500,MATCH($C9068,المنيو!$B$2:$B$500,0)),0))</f>
        <v/>
      </c>
      <c r="F9068" s="107" t="str">
        <f aca="false">IF($C9068="","",$D9068*$E9068)</f>
        <v/>
      </c>
      <c r="G9068" s="107" t="str">
        <f aca="false">IF($C9068="","",$D9068*IFERROR(INDEX('تحليل التكلفة والسعر'!$C$2:$C$700,MATCH($C9068,'تحليل التكلفة والسعر'!$B$2:$B$700,0)),0))</f>
        <v/>
      </c>
    </row>
    <row r="9069" customFormat="false" ht="15" hidden="false" customHeight="false" outlineLevel="0" collapsed="false">
      <c r="A9069" s="103"/>
      <c r="B9069" s="104"/>
      <c r="C9069" s="104"/>
      <c r="E9069" s="107" t="str">
        <f aca="false">IF($C9069="","",IFERROR(INDEX(المنيو!$C$2:$C$500,MATCH($C9069,المنيو!$B$2:$B$500,0)),0))</f>
        <v/>
      </c>
      <c r="F9069" s="107" t="str">
        <f aca="false">IF($C9069="","",$D9069*$E9069)</f>
        <v/>
      </c>
      <c r="G9069" s="107" t="str">
        <f aca="false">IF($C9069="","",$D9069*IFERROR(INDEX('تحليل التكلفة والسعر'!$C$2:$C$700,MATCH($C9069,'تحليل التكلفة والسعر'!$B$2:$B$700,0)),0))</f>
        <v/>
      </c>
    </row>
    <row r="9070" customFormat="false" ht="15" hidden="false" customHeight="false" outlineLevel="0" collapsed="false">
      <c r="A9070" s="103"/>
      <c r="B9070" s="104"/>
      <c r="C9070" s="104"/>
      <c r="E9070" s="107" t="str">
        <f aca="false">IF($C9070="","",IFERROR(INDEX(المنيو!$C$2:$C$500,MATCH($C9070,المنيو!$B$2:$B$500,0)),0))</f>
        <v/>
      </c>
      <c r="F9070" s="107" t="str">
        <f aca="false">IF($C9070="","",$D9070*$E9070)</f>
        <v/>
      </c>
      <c r="G9070" s="107" t="str">
        <f aca="false">IF($C9070="","",$D9070*IFERROR(INDEX('تحليل التكلفة والسعر'!$C$2:$C$700,MATCH($C9070,'تحليل التكلفة والسعر'!$B$2:$B$700,0)),0))</f>
        <v/>
      </c>
    </row>
    <row r="9071" customFormat="false" ht="15" hidden="false" customHeight="false" outlineLevel="0" collapsed="false">
      <c r="A9071" s="103"/>
      <c r="B9071" s="104"/>
      <c r="C9071" s="104"/>
      <c r="E9071" s="107" t="str">
        <f aca="false">IF($C9071="","",IFERROR(INDEX(المنيو!$C$2:$C$500,MATCH($C9071,المنيو!$B$2:$B$500,0)),0))</f>
        <v/>
      </c>
      <c r="F9071" s="107" t="str">
        <f aca="false">IF($C9071="","",$D9071*$E9071)</f>
        <v/>
      </c>
      <c r="G9071" s="107" t="str">
        <f aca="false">IF($C9071="","",$D9071*IFERROR(INDEX('تحليل التكلفة والسعر'!$C$2:$C$700,MATCH($C9071,'تحليل التكلفة والسعر'!$B$2:$B$700,0)),0))</f>
        <v/>
      </c>
    </row>
    <row r="9072" customFormat="false" ht="15" hidden="false" customHeight="false" outlineLevel="0" collapsed="false">
      <c r="A9072" s="103"/>
      <c r="B9072" s="104"/>
      <c r="C9072" s="104"/>
      <c r="E9072" s="107" t="str">
        <f aca="false">IF($C9072="","",IFERROR(INDEX(المنيو!$C$2:$C$500,MATCH($C9072,المنيو!$B$2:$B$500,0)),0))</f>
        <v/>
      </c>
      <c r="F9072" s="107" t="str">
        <f aca="false">IF($C9072="","",$D9072*$E9072)</f>
        <v/>
      </c>
      <c r="G9072" s="107" t="str">
        <f aca="false">IF($C9072="","",$D9072*IFERROR(INDEX('تحليل التكلفة والسعر'!$C$2:$C$700,MATCH($C9072,'تحليل التكلفة والسعر'!$B$2:$B$700,0)),0))</f>
        <v/>
      </c>
    </row>
    <row r="9073" customFormat="false" ht="15" hidden="false" customHeight="false" outlineLevel="0" collapsed="false">
      <c r="A9073" s="103"/>
      <c r="B9073" s="104"/>
      <c r="C9073" s="104"/>
      <c r="E9073" s="107" t="str">
        <f aca="false">IF($C9073="","",IFERROR(INDEX(المنيو!$C$2:$C$500,MATCH($C9073,المنيو!$B$2:$B$500,0)),0))</f>
        <v/>
      </c>
      <c r="F9073" s="107" t="str">
        <f aca="false">IF($C9073="","",$D9073*$E9073)</f>
        <v/>
      </c>
      <c r="G9073" s="107" t="str">
        <f aca="false">IF($C9073="","",$D9073*IFERROR(INDEX('تحليل التكلفة والسعر'!$C$2:$C$700,MATCH($C9073,'تحليل التكلفة والسعر'!$B$2:$B$700,0)),0))</f>
        <v/>
      </c>
    </row>
    <row r="9074" customFormat="false" ht="15" hidden="false" customHeight="false" outlineLevel="0" collapsed="false">
      <c r="A9074" s="103"/>
      <c r="B9074" s="104"/>
      <c r="C9074" s="104"/>
      <c r="E9074" s="107" t="str">
        <f aca="false">IF($C9074="","",IFERROR(INDEX(المنيو!$C$2:$C$500,MATCH($C9074,المنيو!$B$2:$B$500,0)),0))</f>
        <v/>
      </c>
      <c r="F9074" s="107" t="str">
        <f aca="false">IF($C9074="","",$D9074*$E9074)</f>
        <v/>
      </c>
      <c r="G9074" s="107" t="str">
        <f aca="false">IF($C9074="","",$D9074*IFERROR(INDEX('تحليل التكلفة والسعر'!$C$2:$C$700,MATCH($C9074,'تحليل التكلفة والسعر'!$B$2:$B$700,0)),0))</f>
        <v/>
      </c>
    </row>
    <row r="9075" customFormat="false" ht="15" hidden="false" customHeight="false" outlineLevel="0" collapsed="false">
      <c r="A9075" s="103"/>
      <c r="B9075" s="104"/>
      <c r="C9075" s="104"/>
      <c r="E9075" s="107" t="str">
        <f aca="false">IF($C9075="","",IFERROR(INDEX(المنيو!$C$2:$C$500,MATCH($C9075,المنيو!$B$2:$B$500,0)),0))</f>
        <v/>
      </c>
      <c r="F9075" s="107" t="str">
        <f aca="false">IF($C9075="","",$D9075*$E9075)</f>
        <v/>
      </c>
      <c r="G9075" s="107" t="str">
        <f aca="false">IF($C9075="","",$D9075*IFERROR(INDEX('تحليل التكلفة والسعر'!$C$2:$C$700,MATCH($C9075,'تحليل التكلفة والسعر'!$B$2:$B$700,0)),0))</f>
        <v/>
      </c>
    </row>
    <row r="9076" customFormat="false" ht="15" hidden="false" customHeight="false" outlineLevel="0" collapsed="false">
      <c r="A9076" s="103"/>
      <c r="B9076" s="104"/>
      <c r="C9076" s="104"/>
      <c r="E9076" s="107" t="str">
        <f aca="false">IF($C9076="","",IFERROR(INDEX(المنيو!$C$2:$C$500,MATCH($C9076,المنيو!$B$2:$B$500,0)),0))</f>
        <v/>
      </c>
      <c r="F9076" s="107" t="str">
        <f aca="false">IF($C9076="","",$D9076*$E9076)</f>
        <v/>
      </c>
      <c r="G9076" s="107" t="str">
        <f aca="false">IF($C9076="","",$D9076*IFERROR(INDEX('تحليل التكلفة والسعر'!$C$2:$C$700,MATCH($C9076,'تحليل التكلفة والسعر'!$B$2:$B$700,0)),0))</f>
        <v/>
      </c>
    </row>
    <row r="9077" customFormat="false" ht="15" hidden="false" customHeight="false" outlineLevel="0" collapsed="false">
      <c r="A9077" s="103"/>
      <c r="B9077" s="104"/>
      <c r="C9077" s="104"/>
      <c r="E9077" s="107" t="str">
        <f aca="false">IF($C9077="","",IFERROR(INDEX(المنيو!$C$2:$C$500,MATCH($C9077,المنيو!$B$2:$B$500,0)),0))</f>
        <v/>
      </c>
      <c r="F9077" s="107" t="str">
        <f aca="false">IF($C9077="","",$D9077*$E9077)</f>
        <v/>
      </c>
      <c r="G9077" s="107" t="str">
        <f aca="false">IF($C9077="","",$D9077*IFERROR(INDEX('تحليل التكلفة والسعر'!$C$2:$C$700,MATCH($C9077,'تحليل التكلفة والسعر'!$B$2:$B$700,0)),0))</f>
        <v/>
      </c>
    </row>
    <row r="9078" customFormat="false" ht="15" hidden="false" customHeight="false" outlineLevel="0" collapsed="false">
      <c r="A9078" s="103"/>
      <c r="B9078" s="104"/>
      <c r="C9078" s="104"/>
      <c r="E9078" s="107" t="str">
        <f aca="false">IF($C9078="","",IFERROR(INDEX(المنيو!$C$2:$C$500,MATCH($C9078,المنيو!$B$2:$B$500,0)),0))</f>
        <v/>
      </c>
      <c r="F9078" s="107" t="str">
        <f aca="false">IF($C9078="","",$D9078*$E9078)</f>
        <v/>
      </c>
      <c r="G9078" s="107" t="str">
        <f aca="false">IF($C9078="","",$D9078*IFERROR(INDEX('تحليل التكلفة والسعر'!$C$2:$C$700,MATCH($C9078,'تحليل التكلفة والسعر'!$B$2:$B$700,0)),0))</f>
        <v/>
      </c>
    </row>
    <row r="9079" customFormat="false" ht="15" hidden="false" customHeight="false" outlineLevel="0" collapsed="false">
      <c r="A9079" s="103"/>
      <c r="B9079" s="104"/>
      <c r="C9079" s="104"/>
      <c r="E9079" s="107" t="str">
        <f aca="false">IF($C9079="","",IFERROR(INDEX(المنيو!$C$2:$C$500,MATCH($C9079,المنيو!$B$2:$B$500,0)),0))</f>
        <v/>
      </c>
      <c r="F9079" s="107" t="str">
        <f aca="false">IF($C9079="","",$D9079*$E9079)</f>
        <v/>
      </c>
      <c r="G9079" s="107" t="str">
        <f aca="false">IF($C9079="","",$D9079*IFERROR(INDEX('تحليل التكلفة والسعر'!$C$2:$C$700,MATCH($C9079,'تحليل التكلفة والسعر'!$B$2:$B$700,0)),0))</f>
        <v/>
      </c>
    </row>
    <row r="9080" customFormat="false" ht="15" hidden="false" customHeight="false" outlineLevel="0" collapsed="false">
      <c r="A9080" s="103"/>
      <c r="B9080" s="104"/>
      <c r="C9080" s="104"/>
      <c r="E9080" s="107" t="str">
        <f aca="false">IF($C9080="","",IFERROR(INDEX(المنيو!$C$2:$C$500,MATCH($C9080,المنيو!$B$2:$B$500,0)),0))</f>
        <v/>
      </c>
      <c r="F9080" s="107" t="str">
        <f aca="false">IF($C9080="","",$D9080*$E9080)</f>
        <v/>
      </c>
      <c r="G9080" s="107" t="str">
        <f aca="false">IF($C9080="","",$D9080*IFERROR(INDEX('تحليل التكلفة والسعر'!$C$2:$C$700,MATCH($C9080,'تحليل التكلفة والسعر'!$B$2:$B$700,0)),0))</f>
        <v/>
      </c>
    </row>
    <row r="9081" customFormat="false" ht="15" hidden="false" customHeight="false" outlineLevel="0" collapsed="false">
      <c r="A9081" s="103"/>
      <c r="B9081" s="104"/>
      <c r="C9081" s="104"/>
      <c r="E9081" s="107" t="str">
        <f aca="false">IF($C9081="","",IFERROR(INDEX(المنيو!$C$2:$C$500,MATCH($C9081,المنيو!$B$2:$B$500,0)),0))</f>
        <v/>
      </c>
      <c r="F9081" s="107" t="str">
        <f aca="false">IF($C9081="","",$D9081*$E9081)</f>
        <v/>
      </c>
      <c r="G9081" s="107" t="str">
        <f aca="false">IF($C9081="","",$D9081*IFERROR(INDEX('تحليل التكلفة والسعر'!$C$2:$C$700,MATCH($C9081,'تحليل التكلفة والسعر'!$B$2:$B$700,0)),0))</f>
        <v/>
      </c>
    </row>
    <row r="9082" customFormat="false" ht="15" hidden="false" customHeight="false" outlineLevel="0" collapsed="false">
      <c r="A9082" s="103"/>
      <c r="B9082" s="104"/>
      <c r="C9082" s="104"/>
      <c r="E9082" s="107" t="str">
        <f aca="false">IF($C9082="","",IFERROR(INDEX(المنيو!$C$2:$C$500,MATCH($C9082,المنيو!$B$2:$B$500,0)),0))</f>
        <v/>
      </c>
      <c r="F9082" s="107" t="str">
        <f aca="false">IF($C9082="","",$D9082*$E9082)</f>
        <v/>
      </c>
      <c r="G9082" s="107" t="str">
        <f aca="false">IF($C9082="","",$D9082*IFERROR(INDEX('تحليل التكلفة والسعر'!$C$2:$C$700,MATCH($C9082,'تحليل التكلفة والسعر'!$B$2:$B$700,0)),0))</f>
        <v/>
      </c>
    </row>
    <row r="9083" customFormat="false" ht="15" hidden="false" customHeight="false" outlineLevel="0" collapsed="false">
      <c r="A9083" s="103"/>
      <c r="B9083" s="104"/>
      <c r="C9083" s="104"/>
      <c r="E9083" s="107" t="str">
        <f aca="false">IF($C9083="","",IFERROR(INDEX(المنيو!$C$2:$C$500,MATCH($C9083,المنيو!$B$2:$B$500,0)),0))</f>
        <v/>
      </c>
      <c r="F9083" s="107" t="str">
        <f aca="false">IF($C9083="","",$D9083*$E9083)</f>
        <v/>
      </c>
      <c r="G9083" s="107" t="str">
        <f aca="false">IF($C9083="","",$D9083*IFERROR(INDEX('تحليل التكلفة والسعر'!$C$2:$C$700,MATCH($C9083,'تحليل التكلفة والسعر'!$B$2:$B$700,0)),0))</f>
        <v/>
      </c>
    </row>
    <row r="9084" customFormat="false" ht="15" hidden="false" customHeight="false" outlineLevel="0" collapsed="false">
      <c r="A9084" s="103"/>
      <c r="B9084" s="104"/>
      <c r="C9084" s="104"/>
      <c r="E9084" s="107" t="str">
        <f aca="false">IF($C9084="","",IFERROR(INDEX(المنيو!$C$2:$C$500,MATCH($C9084,المنيو!$B$2:$B$500,0)),0))</f>
        <v/>
      </c>
      <c r="F9084" s="107" t="str">
        <f aca="false">IF($C9084="","",$D9084*$E9084)</f>
        <v/>
      </c>
      <c r="G9084" s="107" t="str">
        <f aca="false">IF($C9084="","",$D9084*IFERROR(INDEX('تحليل التكلفة والسعر'!$C$2:$C$700,MATCH($C9084,'تحليل التكلفة والسعر'!$B$2:$B$700,0)),0))</f>
        <v/>
      </c>
    </row>
    <row r="9085" customFormat="false" ht="15" hidden="false" customHeight="false" outlineLevel="0" collapsed="false">
      <c r="A9085" s="103"/>
      <c r="B9085" s="104"/>
      <c r="C9085" s="104"/>
      <c r="E9085" s="107" t="str">
        <f aca="false">IF($C9085="","",IFERROR(INDEX(المنيو!$C$2:$C$500,MATCH($C9085,المنيو!$B$2:$B$500,0)),0))</f>
        <v/>
      </c>
      <c r="F9085" s="107" t="str">
        <f aca="false">IF($C9085="","",$D9085*$E9085)</f>
        <v/>
      </c>
      <c r="G9085" s="107" t="str">
        <f aca="false">IF($C9085="","",$D9085*IFERROR(INDEX('تحليل التكلفة والسعر'!$C$2:$C$700,MATCH($C9085,'تحليل التكلفة والسعر'!$B$2:$B$700,0)),0))</f>
        <v/>
      </c>
    </row>
    <row r="9086" customFormat="false" ht="15" hidden="false" customHeight="false" outlineLevel="0" collapsed="false">
      <c r="A9086" s="103"/>
      <c r="B9086" s="104"/>
      <c r="C9086" s="104"/>
      <c r="E9086" s="107" t="str">
        <f aca="false">IF($C9086="","",IFERROR(INDEX(المنيو!$C$2:$C$500,MATCH($C9086,المنيو!$B$2:$B$500,0)),0))</f>
        <v/>
      </c>
      <c r="F9086" s="107" t="str">
        <f aca="false">IF($C9086="","",$D9086*$E9086)</f>
        <v/>
      </c>
      <c r="G9086" s="107" t="str">
        <f aca="false">IF($C9086="","",$D9086*IFERROR(INDEX('تحليل التكلفة والسعر'!$C$2:$C$700,MATCH($C9086,'تحليل التكلفة والسعر'!$B$2:$B$700,0)),0))</f>
        <v/>
      </c>
    </row>
    <row r="9087" customFormat="false" ht="15" hidden="false" customHeight="false" outlineLevel="0" collapsed="false">
      <c r="A9087" s="103"/>
      <c r="B9087" s="104"/>
      <c r="C9087" s="104"/>
      <c r="E9087" s="107" t="str">
        <f aca="false">IF($C9087="","",IFERROR(INDEX(المنيو!$C$2:$C$500,MATCH($C9087,المنيو!$B$2:$B$500,0)),0))</f>
        <v/>
      </c>
      <c r="F9087" s="107" t="str">
        <f aca="false">IF($C9087="","",$D9087*$E9087)</f>
        <v/>
      </c>
      <c r="G9087" s="107" t="str">
        <f aca="false">IF($C9087="","",$D9087*IFERROR(INDEX('تحليل التكلفة والسعر'!$C$2:$C$700,MATCH($C9087,'تحليل التكلفة والسعر'!$B$2:$B$700,0)),0))</f>
        <v/>
      </c>
    </row>
    <row r="9088" customFormat="false" ht="15" hidden="false" customHeight="false" outlineLevel="0" collapsed="false">
      <c r="A9088" s="103"/>
      <c r="B9088" s="104"/>
      <c r="C9088" s="104"/>
      <c r="E9088" s="107" t="str">
        <f aca="false">IF($C9088="","",IFERROR(INDEX(المنيو!$C$2:$C$500,MATCH($C9088,المنيو!$B$2:$B$500,0)),0))</f>
        <v/>
      </c>
      <c r="F9088" s="107" t="str">
        <f aca="false">IF($C9088="","",$D9088*$E9088)</f>
        <v/>
      </c>
      <c r="G9088" s="107" t="str">
        <f aca="false">IF($C9088="","",$D9088*IFERROR(INDEX('تحليل التكلفة والسعر'!$C$2:$C$700,MATCH($C9088,'تحليل التكلفة والسعر'!$B$2:$B$700,0)),0))</f>
        <v/>
      </c>
    </row>
    <row r="9089" customFormat="false" ht="15" hidden="false" customHeight="false" outlineLevel="0" collapsed="false">
      <c r="A9089" s="103"/>
      <c r="B9089" s="104"/>
      <c r="C9089" s="104"/>
      <c r="E9089" s="107" t="str">
        <f aca="false">IF($C9089="","",IFERROR(INDEX(المنيو!$C$2:$C$500,MATCH($C9089,المنيو!$B$2:$B$500,0)),0))</f>
        <v/>
      </c>
      <c r="F9089" s="107" t="str">
        <f aca="false">IF($C9089="","",$D9089*$E9089)</f>
        <v/>
      </c>
      <c r="G9089" s="107" t="str">
        <f aca="false">IF($C9089="","",$D9089*IFERROR(INDEX('تحليل التكلفة والسعر'!$C$2:$C$700,MATCH($C9089,'تحليل التكلفة والسعر'!$B$2:$B$700,0)),0))</f>
        <v/>
      </c>
    </row>
    <row r="9090" customFormat="false" ht="15" hidden="false" customHeight="false" outlineLevel="0" collapsed="false">
      <c r="A9090" s="103"/>
      <c r="B9090" s="104"/>
      <c r="C9090" s="104"/>
      <c r="E9090" s="107" t="str">
        <f aca="false">IF($C9090="","",IFERROR(INDEX(المنيو!$C$2:$C$500,MATCH($C9090,المنيو!$B$2:$B$500,0)),0))</f>
        <v/>
      </c>
      <c r="F9090" s="107" t="str">
        <f aca="false">IF($C9090="","",$D9090*$E9090)</f>
        <v/>
      </c>
      <c r="G9090" s="107" t="str">
        <f aca="false">IF($C9090="","",$D9090*IFERROR(INDEX('تحليل التكلفة والسعر'!$C$2:$C$700,MATCH($C9090,'تحليل التكلفة والسعر'!$B$2:$B$700,0)),0))</f>
        <v/>
      </c>
    </row>
    <row r="9091" customFormat="false" ht="15" hidden="false" customHeight="false" outlineLevel="0" collapsed="false">
      <c r="A9091" s="103"/>
      <c r="B9091" s="104"/>
      <c r="C9091" s="104"/>
      <c r="E9091" s="107" t="str">
        <f aca="false">IF($C9091="","",IFERROR(INDEX(المنيو!$C$2:$C$500,MATCH($C9091,المنيو!$B$2:$B$500,0)),0))</f>
        <v/>
      </c>
      <c r="F9091" s="107" t="str">
        <f aca="false">IF($C9091="","",$D9091*$E9091)</f>
        <v/>
      </c>
      <c r="G9091" s="107" t="str">
        <f aca="false">IF($C9091="","",$D9091*IFERROR(INDEX('تحليل التكلفة والسعر'!$C$2:$C$700,MATCH($C9091,'تحليل التكلفة والسعر'!$B$2:$B$700,0)),0))</f>
        <v/>
      </c>
    </row>
    <row r="9092" customFormat="false" ht="15" hidden="false" customHeight="false" outlineLevel="0" collapsed="false">
      <c r="A9092" s="103"/>
      <c r="B9092" s="104"/>
      <c r="C9092" s="104"/>
      <c r="E9092" s="107" t="str">
        <f aca="false">IF($C9092="","",IFERROR(INDEX(المنيو!$C$2:$C$500,MATCH($C9092,المنيو!$B$2:$B$500,0)),0))</f>
        <v/>
      </c>
      <c r="F9092" s="107" t="str">
        <f aca="false">IF($C9092="","",$D9092*$E9092)</f>
        <v/>
      </c>
      <c r="G9092" s="107" t="str">
        <f aca="false">IF($C9092="","",$D9092*IFERROR(INDEX('تحليل التكلفة والسعر'!$C$2:$C$700,MATCH($C9092,'تحليل التكلفة والسعر'!$B$2:$B$700,0)),0))</f>
        <v/>
      </c>
    </row>
    <row r="9093" customFormat="false" ht="15" hidden="false" customHeight="false" outlineLevel="0" collapsed="false">
      <c r="A9093" s="103"/>
      <c r="B9093" s="104"/>
      <c r="C9093" s="104"/>
      <c r="E9093" s="107" t="str">
        <f aca="false">IF($C9093="","",IFERROR(INDEX(المنيو!$C$2:$C$500,MATCH($C9093,المنيو!$B$2:$B$500,0)),0))</f>
        <v/>
      </c>
      <c r="F9093" s="107" t="str">
        <f aca="false">IF($C9093="","",$D9093*$E9093)</f>
        <v/>
      </c>
      <c r="G9093" s="107" t="str">
        <f aca="false">IF($C9093="","",$D9093*IFERROR(INDEX('تحليل التكلفة والسعر'!$C$2:$C$700,MATCH($C9093,'تحليل التكلفة والسعر'!$B$2:$B$700,0)),0))</f>
        <v/>
      </c>
    </row>
    <row r="9094" customFormat="false" ht="15" hidden="false" customHeight="false" outlineLevel="0" collapsed="false">
      <c r="A9094" s="103"/>
      <c r="B9094" s="104"/>
      <c r="C9094" s="104"/>
      <c r="E9094" s="107" t="str">
        <f aca="false">IF($C9094="","",IFERROR(INDEX(المنيو!$C$2:$C$500,MATCH($C9094,المنيو!$B$2:$B$500,0)),0))</f>
        <v/>
      </c>
      <c r="F9094" s="107" t="str">
        <f aca="false">IF($C9094="","",$D9094*$E9094)</f>
        <v/>
      </c>
      <c r="G9094" s="107" t="str">
        <f aca="false">IF($C9094="","",$D9094*IFERROR(INDEX('تحليل التكلفة والسعر'!$C$2:$C$700,MATCH($C9094,'تحليل التكلفة والسعر'!$B$2:$B$700,0)),0))</f>
        <v/>
      </c>
    </row>
    <row r="9095" customFormat="false" ht="15" hidden="false" customHeight="false" outlineLevel="0" collapsed="false">
      <c r="A9095" s="103"/>
      <c r="B9095" s="104"/>
      <c r="C9095" s="104"/>
      <c r="E9095" s="107" t="str">
        <f aca="false">IF($C9095="","",IFERROR(INDEX(المنيو!$C$2:$C$500,MATCH($C9095,المنيو!$B$2:$B$500,0)),0))</f>
        <v/>
      </c>
      <c r="F9095" s="107" t="str">
        <f aca="false">IF($C9095="","",$D9095*$E9095)</f>
        <v/>
      </c>
      <c r="G9095" s="107" t="str">
        <f aca="false">IF($C9095="","",$D9095*IFERROR(INDEX('تحليل التكلفة والسعر'!$C$2:$C$700,MATCH($C9095,'تحليل التكلفة والسعر'!$B$2:$B$700,0)),0))</f>
        <v/>
      </c>
    </row>
    <row r="9096" customFormat="false" ht="15" hidden="false" customHeight="false" outlineLevel="0" collapsed="false">
      <c r="A9096" s="103"/>
      <c r="B9096" s="104"/>
      <c r="C9096" s="104"/>
      <c r="E9096" s="107" t="str">
        <f aca="false">IF($C9096="","",IFERROR(INDEX(المنيو!$C$2:$C$500,MATCH($C9096,المنيو!$B$2:$B$500,0)),0))</f>
        <v/>
      </c>
      <c r="F9096" s="107" t="str">
        <f aca="false">IF($C9096="","",$D9096*$E9096)</f>
        <v/>
      </c>
      <c r="G9096" s="107" t="str">
        <f aca="false">IF($C9096="","",$D9096*IFERROR(INDEX('تحليل التكلفة والسعر'!$C$2:$C$700,MATCH($C9096,'تحليل التكلفة والسعر'!$B$2:$B$700,0)),0))</f>
        <v/>
      </c>
    </row>
    <row r="9097" customFormat="false" ht="15" hidden="false" customHeight="false" outlineLevel="0" collapsed="false">
      <c r="A9097" s="103"/>
      <c r="B9097" s="104"/>
      <c r="C9097" s="104"/>
      <c r="E9097" s="107" t="str">
        <f aca="false">IF($C9097="","",IFERROR(INDEX(المنيو!$C$2:$C$500,MATCH($C9097,المنيو!$B$2:$B$500,0)),0))</f>
        <v/>
      </c>
      <c r="F9097" s="107" t="str">
        <f aca="false">IF($C9097="","",$D9097*$E9097)</f>
        <v/>
      </c>
      <c r="G9097" s="107" t="str">
        <f aca="false">IF($C9097="","",$D9097*IFERROR(INDEX('تحليل التكلفة والسعر'!$C$2:$C$700,MATCH($C9097,'تحليل التكلفة والسعر'!$B$2:$B$700,0)),0))</f>
        <v/>
      </c>
    </row>
    <row r="9098" customFormat="false" ht="15" hidden="false" customHeight="false" outlineLevel="0" collapsed="false">
      <c r="A9098" s="103"/>
      <c r="B9098" s="104"/>
      <c r="C9098" s="104"/>
      <c r="E9098" s="107" t="str">
        <f aca="false">IF($C9098="","",IFERROR(INDEX(المنيو!$C$2:$C$500,MATCH($C9098,المنيو!$B$2:$B$500,0)),0))</f>
        <v/>
      </c>
      <c r="F9098" s="107" t="str">
        <f aca="false">IF($C9098="","",$D9098*$E9098)</f>
        <v/>
      </c>
      <c r="G9098" s="107" t="str">
        <f aca="false">IF($C9098="","",$D9098*IFERROR(INDEX('تحليل التكلفة والسعر'!$C$2:$C$700,MATCH($C9098,'تحليل التكلفة والسعر'!$B$2:$B$700,0)),0))</f>
        <v/>
      </c>
    </row>
    <row r="9099" customFormat="false" ht="15" hidden="false" customHeight="false" outlineLevel="0" collapsed="false">
      <c r="A9099" s="103"/>
      <c r="B9099" s="104"/>
      <c r="C9099" s="104"/>
      <c r="E9099" s="107" t="str">
        <f aca="false">IF($C9099="","",IFERROR(INDEX(المنيو!$C$2:$C$500,MATCH($C9099,المنيو!$B$2:$B$500,0)),0))</f>
        <v/>
      </c>
      <c r="F9099" s="107" t="str">
        <f aca="false">IF($C9099="","",$D9099*$E9099)</f>
        <v/>
      </c>
      <c r="G9099" s="107" t="str">
        <f aca="false">IF($C9099="","",$D9099*IFERROR(INDEX('تحليل التكلفة والسعر'!$C$2:$C$700,MATCH($C9099,'تحليل التكلفة والسعر'!$B$2:$B$700,0)),0))</f>
        <v/>
      </c>
    </row>
    <row r="9100" customFormat="false" ht="15" hidden="false" customHeight="false" outlineLevel="0" collapsed="false">
      <c r="A9100" s="103"/>
      <c r="B9100" s="104"/>
      <c r="C9100" s="104"/>
      <c r="E9100" s="107" t="str">
        <f aca="false">IF($C9100="","",IFERROR(INDEX(المنيو!$C$2:$C$500,MATCH($C9100,المنيو!$B$2:$B$500,0)),0))</f>
        <v/>
      </c>
      <c r="F9100" s="107" t="str">
        <f aca="false">IF($C9100="","",$D9100*$E9100)</f>
        <v/>
      </c>
      <c r="G9100" s="107" t="str">
        <f aca="false">IF($C9100="","",$D9100*IFERROR(INDEX('تحليل التكلفة والسعر'!$C$2:$C$700,MATCH($C9100,'تحليل التكلفة والسعر'!$B$2:$B$700,0)),0))</f>
        <v/>
      </c>
    </row>
    <row r="9101" customFormat="false" ht="15" hidden="false" customHeight="false" outlineLevel="0" collapsed="false">
      <c r="A9101" s="103"/>
      <c r="B9101" s="104"/>
      <c r="C9101" s="104"/>
      <c r="E9101" s="107" t="str">
        <f aca="false">IF($C9101="","",IFERROR(INDEX(المنيو!$C$2:$C$500,MATCH($C9101,المنيو!$B$2:$B$500,0)),0))</f>
        <v/>
      </c>
      <c r="F9101" s="107" t="str">
        <f aca="false">IF($C9101="","",$D9101*$E9101)</f>
        <v/>
      </c>
      <c r="G9101" s="107" t="str">
        <f aca="false">IF($C9101="","",$D9101*IFERROR(INDEX('تحليل التكلفة والسعر'!$C$2:$C$700,MATCH($C9101,'تحليل التكلفة والسعر'!$B$2:$B$700,0)),0))</f>
        <v/>
      </c>
    </row>
    <row r="9102" customFormat="false" ht="15" hidden="false" customHeight="false" outlineLevel="0" collapsed="false">
      <c r="A9102" s="103"/>
      <c r="B9102" s="104"/>
      <c r="C9102" s="104"/>
      <c r="E9102" s="107" t="str">
        <f aca="false">IF($C9102="","",IFERROR(INDEX(المنيو!$C$2:$C$500,MATCH($C9102,المنيو!$B$2:$B$500,0)),0))</f>
        <v/>
      </c>
      <c r="F9102" s="107" t="str">
        <f aca="false">IF($C9102="","",$D9102*$E9102)</f>
        <v/>
      </c>
      <c r="G9102" s="107" t="str">
        <f aca="false">IF($C9102="","",$D9102*IFERROR(INDEX('تحليل التكلفة والسعر'!$C$2:$C$700,MATCH($C9102,'تحليل التكلفة والسعر'!$B$2:$B$700,0)),0))</f>
        <v/>
      </c>
    </row>
    <row r="9103" customFormat="false" ht="15" hidden="false" customHeight="false" outlineLevel="0" collapsed="false">
      <c r="A9103" s="103"/>
      <c r="B9103" s="104"/>
      <c r="C9103" s="104"/>
      <c r="E9103" s="107" t="str">
        <f aca="false">IF($C9103="","",IFERROR(INDEX(المنيو!$C$2:$C$500,MATCH($C9103,المنيو!$B$2:$B$500,0)),0))</f>
        <v/>
      </c>
      <c r="F9103" s="107" t="str">
        <f aca="false">IF($C9103="","",$D9103*$E9103)</f>
        <v/>
      </c>
      <c r="G9103" s="107" t="str">
        <f aca="false">IF($C9103="","",$D9103*IFERROR(INDEX('تحليل التكلفة والسعر'!$C$2:$C$700,MATCH($C9103,'تحليل التكلفة والسعر'!$B$2:$B$700,0)),0))</f>
        <v/>
      </c>
    </row>
    <row r="9104" customFormat="false" ht="15" hidden="false" customHeight="false" outlineLevel="0" collapsed="false">
      <c r="A9104" s="103"/>
      <c r="B9104" s="104"/>
      <c r="C9104" s="104"/>
      <c r="E9104" s="107" t="str">
        <f aca="false">IF($C9104="","",IFERROR(INDEX(المنيو!$C$2:$C$500,MATCH($C9104,المنيو!$B$2:$B$500,0)),0))</f>
        <v/>
      </c>
      <c r="F9104" s="107" t="str">
        <f aca="false">IF($C9104="","",$D9104*$E9104)</f>
        <v/>
      </c>
      <c r="G9104" s="107" t="str">
        <f aca="false">IF($C9104="","",$D9104*IFERROR(INDEX('تحليل التكلفة والسعر'!$C$2:$C$700,MATCH($C9104,'تحليل التكلفة والسعر'!$B$2:$B$700,0)),0))</f>
        <v/>
      </c>
    </row>
    <row r="9105" customFormat="false" ht="15" hidden="false" customHeight="false" outlineLevel="0" collapsed="false">
      <c r="A9105" s="103"/>
      <c r="B9105" s="104"/>
      <c r="C9105" s="104"/>
      <c r="E9105" s="107" t="str">
        <f aca="false">IF($C9105="","",IFERROR(INDEX(المنيو!$C$2:$C$500,MATCH($C9105,المنيو!$B$2:$B$500,0)),0))</f>
        <v/>
      </c>
      <c r="F9105" s="107" t="str">
        <f aca="false">IF($C9105="","",$D9105*$E9105)</f>
        <v/>
      </c>
      <c r="G9105" s="107" t="str">
        <f aca="false">IF($C9105="","",$D9105*IFERROR(INDEX('تحليل التكلفة والسعر'!$C$2:$C$700,MATCH($C9105,'تحليل التكلفة والسعر'!$B$2:$B$700,0)),0))</f>
        <v/>
      </c>
    </row>
    <row r="9106" customFormat="false" ht="15" hidden="false" customHeight="false" outlineLevel="0" collapsed="false">
      <c r="A9106" s="103"/>
      <c r="B9106" s="104"/>
      <c r="C9106" s="104"/>
      <c r="E9106" s="107" t="str">
        <f aca="false">IF($C9106="","",IFERROR(INDEX(المنيو!$C$2:$C$500,MATCH($C9106,المنيو!$B$2:$B$500,0)),0))</f>
        <v/>
      </c>
      <c r="F9106" s="107" t="str">
        <f aca="false">IF($C9106="","",$D9106*$E9106)</f>
        <v/>
      </c>
      <c r="G9106" s="107" t="str">
        <f aca="false">IF($C9106="","",$D9106*IFERROR(INDEX('تحليل التكلفة والسعر'!$C$2:$C$700,MATCH($C9106,'تحليل التكلفة والسعر'!$B$2:$B$700,0)),0))</f>
        <v/>
      </c>
    </row>
    <row r="9107" customFormat="false" ht="15" hidden="false" customHeight="false" outlineLevel="0" collapsed="false">
      <c r="A9107" s="103"/>
      <c r="B9107" s="104"/>
      <c r="C9107" s="104"/>
      <c r="E9107" s="107" t="str">
        <f aca="false">IF($C9107="","",IFERROR(INDEX(المنيو!$C$2:$C$500,MATCH($C9107,المنيو!$B$2:$B$500,0)),0))</f>
        <v/>
      </c>
      <c r="F9107" s="107" t="str">
        <f aca="false">IF($C9107="","",$D9107*$E9107)</f>
        <v/>
      </c>
      <c r="G9107" s="107" t="str">
        <f aca="false">IF($C9107="","",$D9107*IFERROR(INDEX('تحليل التكلفة والسعر'!$C$2:$C$700,MATCH($C9107,'تحليل التكلفة والسعر'!$B$2:$B$700,0)),0))</f>
        <v/>
      </c>
    </row>
    <row r="9108" customFormat="false" ht="15" hidden="false" customHeight="false" outlineLevel="0" collapsed="false">
      <c r="A9108" s="103"/>
      <c r="B9108" s="104"/>
      <c r="C9108" s="104"/>
      <c r="E9108" s="107" t="str">
        <f aca="false">IF($C9108="","",IFERROR(INDEX(المنيو!$C$2:$C$500,MATCH($C9108,المنيو!$B$2:$B$500,0)),0))</f>
        <v/>
      </c>
      <c r="F9108" s="107" t="str">
        <f aca="false">IF($C9108="","",$D9108*$E9108)</f>
        <v/>
      </c>
      <c r="G9108" s="107" t="str">
        <f aca="false">IF($C9108="","",$D9108*IFERROR(INDEX('تحليل التكلفة والسعر'!$C$2:$C$700,MATCH($C9108,'تحليل التكلفة والسعر'!$B$2:$B$700,0)),0))</f>
        <v/>
      </c>
    </row>
    <row r="9109" customFormat="false" ht="15" hidden="false" customHeight="false" outlineLevel="0" collapsed="false">
      <c r="A9109" s="103"/>
      <c r="B9109" s="104"/>
      <c r="C9109" s="104"/>
      <c r="E9109" s="107" t="str">
        <f aca="false">IF($C9109="","",IFERROR(INDEX(المنيو!$C$2:$C$500,MATCH($C9109,المنيو!$B$2:$B$500,0)),0))</f>
        <v/>
      </c>
      <c r="F9109" s="107" t="str">
        <f aca="false">IF($C9109="","",$D9109*$E9109)</f>
        <v/>
      </c>
      <c r="G9109" s="107" t="str">
        <f aca="false">IF($C9109="","",$D9109*IFERROR(INDEX('تحليل التكلفة والسعر'!$C$2:$C$700,MATCH($C9109,'تحليل التكلفة والسعر'!$B$2:$B$700,0)),0))</f>
        <v/>
      </c>
    </row>
    <row r="9110" customFormat="false" ht="15" hidden="false" customHeight="false" outlineLevel="0" collapsed="false">
      <c r="A9110" s="103"/>
      <c r="B9110" s="104"/>
      <c r="C9110" s="104"/>
      <c r="E9110" s="107" t="str">
        <f aca="false">IF($C9110="","",IFERROR(INDEX(المنيو!$C$2:$C$500,MATCH($C9110,المنيو!$B$2:$B$500,0)),0))</f>
        <v/>
      </c>
      <c r="F9110" s="107" t="str">
        <f aca="false">IF($C9110="","",$D9110*$E9110)</f>
        <v/>
      </c>
      <c r="G9110" s="107" t="str">
        <f aca="false">IF($C9110="","",$D9110*IFERROR(INDEX('تحليل التكلفة والسعر'!$C$2:$C$700,MATCH($C9110,'تحليل التكلفة والسعر'!$B$2:$B$700,0)),0))</f>
        <v/>
      </c>
    </row>
    <row r="9111" customFormat="false" ht="15" hidden="false" customHeight="false" outlineLevel="0" collapsed="false">
      <c r="A9111" s="103"/>
      <c r="B9111" s="104"/>
      <c r="C9111" s="104"/>
      <c r="E9111" s="107" t="str">
        <f aca="false">IF($C9111="","",IFERROR(INDEX(المنيو!$C$2:$C$500,MATCH($C9111,المنيو!$B$2:$B$500,0)),0))</f>
        <v/>
      </c>
      <c r="F9111" s="107" t="str">
        <f aca="false">IF($C9111="","",$D9111*$E9111)</f>
        <v/>
      </c>
      <c r="G9111" s="107" t="str">
        <f aca="false">IF($C9111="","",$D9111*IFERROR(INDEX('تحليل التكلفة والسعر'!$C$2:$C$700,MATCH($C9111,'تحليل التكلفة والسعر'!$B$2:$B$700,0)),0))</f>
        <v/>
      </c>
    </row>
    <row r="9112" customFormat="false" ht="15" hidden="false" customHeight="false" outlineLevel="0" collapsed="false">
      <c r="A9112" s="103"/>
      <c r="B9112" s="104"/>
      <c r="C9112" s="104"/>
      <c r="E9112" s="107" t="str">
        <f aca="false">IF($C9112="","",IFERROR(INDEX(المنيو!$C$2:$C$500,MATCH($C9112,المنيو!$B$2:$B$500,0)),0))</f>
        <v/>
      </c>
      <c r="F9112" s="107" t="str">
        <f aca="false">IF($C9112="","",$D9112*$E9112)</f>
        <v/>
      </c>
      <c r="G9112" s="107" t="str">
        <f aca="false">IF($C9112="","",$D9112*IFERROR(INDEX('تحليل التكلفة والسعر'!$C$2:$C$700,MATCH($C9112,'تحليل التكلفة والسعر'!$B$2:$B$700,0)),0))</f>
        <v/>
      </c>
    </row>
    <row r="9113" customFormat="false" ht="15" hidden="false" customHeight="false" outlineLevel="0" collapsed="false">
      <c r="A9113" s="103"/>
      <c r="B9113" s="104"/>
      <c r="C9113" s="104"/>
      <c r="E9113" s="107" t="str">
        <f aca="false">IF($C9113="","",IFERROR(INDEX(المنيو!$C$2:$C$500,MATCH($C9113,المنيو!$B$2:$B$500,0)),0))</f>
        <v/>
      </c>
      <c r="F9113" s="107" t="str">
        <f aca="false">IF($C9113="","",$D9113*$E9113)</f>
        <v/>
      </c>
      <c r="G9113" s="107" t="str">
        <f aca="false">IF($C9113="","",$D9113*IFERROR(INDEX('تحليل التكلفة والسعر'!$C$2:$C$700,MATCH($C9113,'تحليل التكلفة والسعر'!$B$2:$B$700,0)),0))</f>
        <v/>
      </c>
    </row>
    <row r="9114" customFormat="false" ht="15" hidden="false" customHeight="false" outlineLevel="0" collapsed="false">
      <c r="A9114" s="103"/>
      <c r="B9114" s="104"/>
      <c r="C9114" s="104"/>
      <c r="E9114" s="107" t="str">
        <f aca="false">IF($C9114="","",IFERROR(INDEX(المنيو!$C$2:$C$500,MATCH($C9114,المنيو!$B$2:$B$500,0)),0))</f>
        <v/>
      </c>
      <c r="F9114" s="107" t="str">
        <f aca="false">IF($C9114="","",$D9114*$E9114)</f>
        <v/>
      </c>
      <c r="G9114" s="107" t="str">
        <f aca="false">IF($C9114="","",$D9114*IFERROR(INDEX('تحليل التكلفة والسعر'!$C$2:$C$700,MATCH($C9114,'تحليل التكلفة والسعر'!$B$2:$B$700,0)),0))</f>
        <v/>
      </c>
    </row>
    <row r="9115" customFormat="false" ht="15" hidden="false" customHeight="false" outlineLevel="0" collapsed="false">
      <c r="A9115" s="103"/>
      <c r="B9115" s="104"/>
      <c r="C9115" s="104"/>
      <c r="E9115" s="107" t="str">
        <f aca="false">IF($C9115="","",IFERROR(INDEX(المنيو!$C$2:$C$500,MATCH($C9115,المنيو!$B$2:$B$500,0)),0))</f>
        <v/>
      </c>
      <c r="F9115" s="107" t="str">
        <f aca="false">IF($C9115="","",$D9115*$E9115)</f>
        <v/>
      </c>
      <c r="G9115" s="107" t="str">
        <f aca="false">IF($C9115="","",$D9115*IFERROR(INDEX('تحليل التكلفة والسعر'!$C$2:$C$700,MATCH($C9115,'تحليل التكلفة والسعر'!$B$2:$B$700,0)),0))</f>
        <v/>
      </c>
    </row>
    <row r="9116" customFormat="false" ht="15" hidden="false" customHeight="false" outlineLevel="0" collapsed="false">
      <c r="A9116" s="103"/>
      <c r="B9116" s="104"/>
      <c r="C9116" s="104"/>
      <c r="E9116" s="107" t="str">
        <f aca="false">IF($C9116="","",IFERROR(INDEX(المنيو!$C$2:$C$500,MATCH($C9116,المنيو!$B$2:$B$500,0)),0))</f>
        <v/>
      </c>
      <c r="F9116" s="107" t="str">
        <f aca="false">IF($C9116="","",$D9116*$E9116)</f>
        <v/>
      </c>
      <c r="G9116" s="107" t="str">
        <f aca="false">IF($C9116="","",$D9116*IFERROR(INDEX('تحليل التكلفة والسعر'!$C$2:$C$700,MATCH($C9116,'تحليل التكلفة والسعر'!$B$2:$B$700,0)),0))</f>
        <v/>
      </c>
    </row>
    <row r="9117" customFormat="false" ht="15" hidden="false" customHeight="false" outlineLevel="0" collapsed="false">
      <c r="A9117" s="103"/>
      <c r="B9117" s="104"/>
      <c r="C9117" s="104"/>
      <c r="E9117" s="107" t="str">
        <f aca="false">IF($C9117="","",IFERROR(INDEX(المنيو!$C$2:$C$500,MATCH($C9117,المنيو!$B$2:$B$500,0)),0))</f>
        <v/>
      </c>
      <c r="F9117" s="107" t="str">
        <f aca="false">IF($C9117="","",$D9117*$E9117)</f>
        <v/>
      </c>
      <c r="G9117" s="107" t="str">
        <f aca="false">IF($C9117="","",$D9117*IFERROR(INDEX('تحليل التكلفة والسعر'!$C$2:$C$700,MATCH($C9117,'تحليل التكلفة والسعر'!$B$2:$B$700,0)),0))</f>
        <v/>
      </c>
    </row>
    <row r="9118" customFormat="false" ht="15" hidden="false" customHeight="false" outlineLevel="0" collapsed="false">
      <c r="A9118" s="103"/>
      <c r="B9118" s="104"/>
      <c r="C9118" s="104"/>
      <c r="E9118" s="107" t="str">
        <f aca="false">IF($C9118="","",IFERROR(INDEX(المنيو!$C$2:$C$500,MATCH($C9118,المنيو!$B$2:$B$500,0)),0))</f>
        <v/>
      </c>
      <c r="F9118" s="107" t="str">
        <f aca="false">IF($C9118="","",$D9118*$E9118)</f>
        <v/>
      </c>
      <c r="G9118" s="107" t="str">
        <f aca="false">IF($C9118="","",$D9118*IFERROR(INDEX('تحليل التكلفة والسعر'!$C$2:$C$700,MATCH($C9118,'تحليل التكلفة والسعر'!$B$2:$B$700,0)),0))</f>
        <v/>
      </c>
    </row>
    <row r="9119" customFormat="false" ht="15" hidden="false" customHeight="false" outlineLevel="0" collapsed="false">
      <c r="A9119" s="103"/>
      <c r="B9119" s="104"/>
      <c r="C9119" s="104"/>
      <c r="E9119" s="107" t="str">
        <f aca="false">IF($C9119="","",IFERROR(INDEX(المنيو!$C$2:$C$500,MATCH($C9119,المنيو!$B$2:$B$500,0)),0))</f>
        <v/>
      </c>
      <c r="F9119" s="107" t="str">
        <f aca="false">IF($C9119="","",$D9119*$E9119)</f>
        <v/>
      </c>
      <c r="G9119" s="107" t="str">
        <f aca="false">IF($C9119="","",$D9119*IFERROR(INDEX('تحليل التكلفة والسعر'!$C$2:$C$700,MATCH($C9119,'تحليل التكلفة والسعر'!$B$2:$B$700,0)),0))</f>
        <v/>
      </c>
    </row>
    <row r="9120" customFormat="false" ht="15" hidden="false" customHeight="false" outlineLevel="0" collapsed="false">
      <c r="A9120" s="103"/>
      <c r="B9120" s="104"/>
      <c r="C9120" s="104"/>
      <c r="E9120" s="107" t="str">
        <f aca="false">IF($C9120="","",IFERROR(INDEX(المنيو!$C$2:$C$500,MATCH($C9120,المنيو!$B$2:$B$500,0)),0))</f>
        <v/>
      </c>
      <c r="F9120" s="107" t="str">
        <f aca="false">IF($C9120="","",$D9120*$E9120)</f>
        <v/>
      </c>
      <c r="G9120" s="107" t="str">
        <f aca="false">IF($C9120="","",$D9120*IFERROR(INDEX('تحليل التكلفة والسعر'!$C$2:$C$700,MATCH($C9120,'تحليل التكلفة والسعر'!$B$2:$B$700,0)),0))</f>
        <v/>
      </c>
    </row>
    <row r="9121" customFormat="false" ht="15" hidden="false" customHeight="false" outlineLevel="0" collapsed="false">
      <c r="A9121" s="103"/>
      <c r="B9121" s="104"/>
      <c r="C9121" s="104"/>
      <c r="E9121" s="107" t="str">
        <f aca="false">IF($C9121="","",IFERROR(INDEX(المنيو!$C$2:$C$500,MATCH($C9121,المنيو!$B$2:$B$500,0)),0))</f>
        <v/>
      </c>
      <c r="F9121" s="107" t="str">
        <f aca="false">IF($C9121="","",$D9121*$E9121)</f>
        <v/>
      </c>
      <c r="G9121" s="107" t="str">
        <f aca="false">IF($C9121="","",$D9121*IFERROR(INDEX('تحليل التكلفة والسعر'!$C$2:$C$700,MATCH($C9121,'تحليل التكلفة والسعر'!$B$2:$B$700,0)),0))</f>
        <v/>
      </c>
    </row>
    <row r="9122" customFormat="false" ht="15" hidden="false" customHeight="false" outlineLevel="0" collapsed="false">
      <c r="A9122" s="103"/>
      <c r="B9122" s="104"/>
      <c r="C9122" s="104"/>
      <c r="E9122" s="107" t="str">
        <f aca="false">IF($C9122="","",IFERROR(INDEX(المنيو!$C$2:$C$500,MATCH($C9122,المنيو!$B$2:$B$500,0)),0))</f>
        <v/>
      </c>
      <c r="F9122" s="107" t="str">
        <f aca="false">IF($C9122="","",$D9122*$E9122)</f>
        <v/>
      </c>
      <c r="G9122" s="107" t="str">
        <f aca="false">IF($C9122="","",$D9122*IFERROR(INDEX('تحليل التكلفة والسعر'!$C$2:$C$700,MATCH($C9122,'تحليل التكلفة والسعر'!$B$2:$B$700,0)),0))</f>
        <v/>
      </c>
    </row>
    <row r="9123" customFormat="false" ht="15" hidden="false" customHeight="false" outlineLevel="0" collapsed="false">
      <c r="A9123" s="103"/>
      <c r="B9123" s="104"/>
      <c r="C9123" s="104"/>
      <c r="E9123" s="107" t="str">
        <f aca="false">IF($C9123="","",IFERROR(INDEX(المنيو!$C$2:$C$500,MATCH($C9123,المنيو!$B$2:$B$500,0)),0))</f>
        <v/>
      </c>
      <c r="F9123" s="107" t="str">
        <f aca="false">IF($C9123="","",$D9123*$E9123)</f>
        <v/>
      </c>
      <c r="G9123" s="107" t="str">
        <f aca="false">IF($C9123="","",$D9123*IFERROR(INDEX('تحليل التكلفة والسعر'!$C$2:$C$700,MATCH($C9123,'تحليل التكلفة والسعر'!$B$2:$B$700,0)),0))</f>
        <v/>
      </c>
    </row>
    <row r="9124" customFormat="false" ht="15" hidden="false" customHeight="false" outlineLevel="0" collapsed="false">
      <c r="A9124" s="103"/>
      <c r="B9124" s="104"/>
      <c r="C9124" s="104"/>
      <c r="E9124" s="107" t="str">
        <f aca="false">IF($C9124="","",IFERROR(INDEX(المنيو!$C$2:$C$500,MATCH($C9124,المنيو!$B$2:$B$500,0)),0))</f>
        <v/>
      </c>
      <c r="F9124" s="107" t="str">
        <f aca="false">IF($C9124="","",$D9124*$E9124)</f>
        <v/>
      </c>
      <c r="G9124" s="107" t="str">
        <f aca="false">IF($C9124="","",$D9124*IFERROR(INDEX('تحليل التكلفة والسعر'!$C$2:$C$700,MATCH($C9124,'تحليل التكلفة والسعر'!$B$2:$B$700,0)),0))</f>
        <v/>
      </c>
    </row>
    <row r="9125" customFormat="false" ht="15" hidden="false" customHeight="false" outlineLevel="0" collapsed="false">
      <c r="A9125" s="103"/>
      <c r="B9125" s="104"/>
      <c r="C9125" s="104"/>
      <c r="E9125" s="107" t="str">
        <f aca="false">IF($C9125="","",IFERROR(INDEX(المنيو!$C$2:$C$500,MATCH($C9125,المنيو!$B$2:$B$500,0)),0))</f>
        <v/>
      </c>
      <c r="F9125" s="107" t="str">
        <f aca="false">IF($C9125="","",$D9125*$E9125)</f>
        <v/>
      </c>
      <c r="G9125" s="107" t="str">
        <f aca="false">IF($C9125="","",$D9125*IFERROR(INDEX('تحليل التكلفة والسعر'!$C$2:$C$700,MATCH($C9125,'تحليل التكلفة والسعر'!$B$2:$B$700,0)),0))</f>
        <v/>
      </c>
    </row>
    <row r="9126" customFormat="false" ht="15" hidden="false" customHeight="false" outlineLevel="0" collapsed="false">
      <c r="A9126" s="103"/>
      <c r="B9126" s="104"/>
      <c r="C9126" s="104"/>
      <c r="E9126" s="107" t="str">
        <f aca="false">IF($C9126="","",IFERROR(INDEX(المنيو!$C$2:$C$500,MATCH($C9126,المنيو!$B$2:$B$500,0)),0))</f>
        <v/>
      </c>
      <c r="F9126" s="107" t="str">
        <f aca="false">IF($C9126="","",$D9126*$E9126)</f>
        <v/>
      </c>
      <c r="G9126" s="107" t="str">
        <f aca="false">IF($C9126="","",$D9126*IFERROR(INDEX('تحليل التكلفة والسعر'!$C$2:$C$700,MATCH($C9126,'تحليل التكلفة والسعر'!$B$2:$B$700,0)),0))</f>
        <v/>
      </c>
    </row>
    <row r="9127" customFormat="false" ht="15" hidden="false" customHeight="false" outlineLevel="0" collapsed="false">
      <c r="A9127" s="103"/>
      <c r="B9127" s="104"/>
      <c r="C9127" s="104"/>
      <c r="E9127" s="107" t="str">
        <f aca="false">IF($C9127="","",IFERROR(INDEX(المنيو!$C$2:$C$500,MATCH($C9127,المنيو!$B$2:$B$500,0)),0))</f>
        <v/>
      </c>
      <c r="F9127" s="107" t="str">
        <f aca="false">IF($C9127="","",$D9127*$E9127)</f>
        <v/>
      </c>
      <c r="G9127" s="107" t="str">
        <f aca="false">IF($C9127="","",$D9127*IFERROR(INDEX('تحليل التكلفة والسعر'!$C$2:$C$700,MATCH($C9127,'تحليل التكلفة والسعر'!$B$2:$B$700,0)),0))</f>
        <v/>
      </c>
    </row>
    <row r="9128" customFormat="false" ht="15" hidden="false" customHeight="false" outlineLevel="0" collapsed="false">
      <c r="A9128" s="103"/>
      <c r="B9128" s="104"/>
      <c r="C9128" s="104"/>
      <c r="E9128" s="107" t="str">
        <f aca="false">IF($C9128="","",IFERROR(INDEX(المنيو!$C$2:$C$500,MATCH($C9128,المنيو!$B$2:$B$500,0)),0))</f>
        <v/>
      </c>
      <c r="F9128" s="107" t="str">
        <f aca="false">IF($C9128="","",$D9128*$E9128)</f>
        <v/>
      </c>
      <c r="G9128" s="107" t="str">
        <f aca="false">IF($C9128="","",$D9128*IFERROR(INDEX('تحليل التكلفة والسعر'!$C$2:$C$700,MATCH($C9128,'تحليل التكلفة والسعر'!$B$2:$B$700,0)),0))</f>
        <v/>
      </c>
    </row>
    <row r="9129" customFormat="false" ht="15" hidden="false" customHeight="false" outlineLevel="0" collapsed="false">
      <c r="A9129" s="103"/>
      <c r="B9129" s="104"/>
      <c r="C9129" s="104"/>
      <c r="E9129" s="107" t="str">
        <f aca="false">IF($C9129="","",IFERROR(INDEX(المنيو!$C$2:$C$500,MATCH($C9129,المنيو!$B$2:$B$500,0)),0))</f>
        <v/>
      </c>
      <c r="F9129" s="107" t="str">
        <f aca="false">IF($C9129="","",$D9129*$E9129)</f>
        <v/>
      </c>
      <c r="G9129" s="107" t="str">
        <f aca="false">IF($C9129="","",$D9129*IFERROR(INDEX('تحليل التكلفة والسعر'!$C$2:$C$700,MATCH($C9129,'تحليل التكلفة والسعر'!$B$2:$B$700,0)),0))</f>
        <v/>
      </c>
    </row>
    <row r="9130" customFormat="false" ht="15" hidden="false" customHeight="false" outlineLevel="0" collapsed="false">
      <c r="A9130" s="103"/>
      <c r="B9130" s="104"/>
      <c r="C9130" s="104"/>
      <c r="E9130" s="107" t="str">
        <f aca="false">IF($C9130="","",IFERROR(INDEX(المنيو!$C$2:$C$500,MATCH($C9130,المنيو!$B$2:$B$500,0)),0))</f>
        <v/>
      </c>
      <c r="F9130" s="107" t="str">
        <f aca="false">IF($C9130="","",$D9130*$E9130)</f>
        <v/>
      </c>
      <c r="G9130" s="107" t="str">
        <f aca="false">IF($C9130="","",$D9130*IFERROR(INDEX('تحليل التكلفة والسعر'!$C$2:$C$700,MATCH($C9130,'تحليل التكلفة والسعر'!$B$2:$B$700,0)),0))</f>
        <v/>
      </c>
    </row>
    <row r="9131" customFormat="false" ht="15" hidden="false" customHeight="false" outlineLevel="0" collapsed="false">
      <c r="A9131" s="103"/>
      <c r="B9131" s="104"/>
      <c r="C9131" s="104"/>
      <c r="E9131" s="107" t="str">
        <f aca="false">IF($C9131="","",IFERROR(INDEX(المنيو!$C$2:$C$500,MATCH($C9131,المنيو!$B$2:$B$500,0)),0))</f>
        <v/>
      </c>
      <c r="F9131" s="107" t="str">
        <f aca="false">IF($C9131="","",$D9131*$E9131)</f>
        <v/>
      </c>
      <c r="G9131" s="107" t="str">
        <f aca="false">IF($C9131="","",$D9131*IFERROR(INDEX('تحليل التكلفة والسعر'!$C$2:$C$700,MATCH($C9131,'تحليل التكلفة والسعر'!$B$2:$B$700,0)),0))</f>
        <v/>
      </c>
    </row>
    <row r="9132" customFormat="false" ht="15" hidden="false" customHeight="false" outlineLevel="0" collapsed="false">
      <c r="A9132" s="103"/>
      <c r="B9132" s="104"/>
      <c r="C9132" s="104"/>
      <c r="E9132" s="107" t="str">
        <f aca="false">IF($C9132="","",IFERROR(INDEX(المنيو!$C$2:$C$500,MATCH($C9132,المنيو!$B$2:$B$500,0)),0))</f>
        <v/>
      </c>
      <c r="F9132" s="107" t="str">
        <f aca="false">IF($C9132="","",$D9132*$E9132)</f>
        <v/>
      </c>
      <c r="G9132" s="107" t="str">
        <f aca="false">IF($C9132="","",$D9132*IFERROR(INDEX('تحليل التكلفة والسعر'!$C$2:$C$700,MATCH($C9132,'تحليل التكلفة والسعر'!$B$2:$B$700,0)),0))</f>
        <v/>
      </c>
    </row>
    <row r="9133" customFormat="false" ht="15" hidden="false" customHeight="false" outlineLevel="0" collapsed="false">
      <c r="A9133" s="103"/>
      <c r="B9133" s="104"/>
      <c r="C9133" s="104"/>
      <c r="E9133" s="107" t="str">
        <f aca="false">IF($C9133="","",IFERROR(INDEX(المنيو!$C$2:$C$500,MATCH($C9133,المنيو!$B$2:$B$500,0)),0))</f>
        <v/>
      </c>
      <c r="F9133" s="107" t="str">
        <f aca="false">IF($C9133="","",$D9133*$E9133)</f>
        <v/>
      </c>
      <c r="G9133" s="107" t="str">
        <f aca="false">IF($C9133="","",$D9133*IFERROR(INDEX('تحليل التكلفة والسعر'!$C$2:$C$700,MATCH($C9133,'تحليل التكلفة والسعر'!$B$2:$B$700,0)),0))</f>
        <v/>
      </c>
    </row>
    <row r="9134" customFormat="false" ht="15" hidden="false" customHeight="false" outlineLevel="0" collapsed="false">
      <c r="A9134" s="103"/>
      <c r="B9134" s="104"/>
      <c r="C9134" s="104"/>
      <c r="E9134" s="107" t="str">
        <f aca="false">IF($C9134="","",IFERROR(INDEX(المنيو!$C$2:$C$500,MATCH($C9134,المنيو!$B$2:$B$500,0)),0))</f>
        <v/>
      </c>
      <c r="F9134" s="107" t="str">
        <f aca="false">IF($C9134="","",$D9134*$E9134)</f>
        <v/>
      </c>
      <c r="G9134" s="107" t="str">
        <f aca="false">IF($C9134="","",$D9134*IFERROR(INDEX('تحليل التكلفة والسعر'!$C$2:$C$700,MATCH($C9134,'تحليل التكلفة والسعر'!$B$2:$B$700,0)),0))</f>
        <v/>
      </c>
    </row>
    <row r="9135" customFormat="false" ht="15" hidden="false" customHeight="false" outlineLevel="0" collapsed="false">
      <c r="A9135" s="103"/>
      <c r="B9135" s="104"/>
      <c r="C9135" s="104"/>
      <c r="E9135" s="107" t="str">
        <f aca="false">IF($C9135="","",IFERROR(INDEX(المنيو!$C$2:$C$500,MATCH($C9135,المنيو!$B$2:$B$500,0)),0))</f>
        <v/>
      </c>
      <c r="F9135" s="107" t="str">
        <f aca="false">IF($C9135="","",$D9135*$E9135)</f>
        <v/>
      </c>
      <c r="G9135" s="107" t="str">
        <f aca="false">IF($C9135="","",$D9135*IFERROR(INDEX('تحليل التكلفة والسعر'!$C$2:$C$700,MATCH($C9135,'تحليل التكلفة والسعر'!$B$2:$B$700,0)),0))</f>
        <v/>
      </c>
    </row>
    <row r="9136" customFormat="false" ht="15" hidden="false" customHeight="false" outlineLevel="0" collapsed="false">
      <c r="A9136" s="103"/>
      <c r="B9136" s="104"/>
      <c r="C9136" s="104"/>
      <c r="E9136" s="107" t="str">
        <f aca="false">IF($C9136="","",IFERROR(INDEX(المنيو!$C$2:$C$500,MATCH($C9136,المنيو!$B$2:$B$500,0)),0))</f>
        <v/>
      </c>
      <c r="F9136" s="107" t="str">
        <f aca="false">IF($C9136="","",$D9136*$E9136)</f>
        <v/>
      </c>
      <c r="G9136" s="107" t="str">
        <f aca="false">IF($C9136="","",$D9136*IFERROR(INDEX('تحليل التكلفة والسعر'!$C$2:$C$700,MATCH($C9136,'تحليل التكلفة والسعر'!$B$2:$B$700,0)),0))</f>
        <v/>
      </c>
    </row>
    <row r="9137" customFormat="false" ht="15" hidden="false" customHeight="false" outlineLevel="0" collapsed="false">
      <c r="A9137" s="103"/>
      <c r="B9137" s="104"/>
      <c r="C9137" s="104"/>
      <c r="E9137" s="107" t="str">
        <f aca="false">IF($C9137="","",IFERROR(INDEX(المنيو!$C$2:$C$500,MATCH($C9137,المنيو!$B$2:$B$500,0)),0))</f>
        <v/>
      </c>
      <c r="F9137" s="107" t="str">
        <f aca="false">IF($C9137="","",$D9137*$E9137)</f>
        <v/>
      </c>
      <c r="G9137" s="107" t="str">
        <f aca="false">IF($C9137="","",$D9137*IFERROR(INDEX('تحليل التكلفة والسعر'!$C$2:$C$700,MATCH($C9137,'تحليل التكلفة والسعر'!$B$2:$B$700,0)),0))</f>
        <v/>
      </c>
    </row>
    <row r="9138" customFormat="false" ht="15" hidden="false" customHeight="false" outlineLevel="0" collapsed="false">
      <c r="A9138" s="103"/>
      <c r="B9138" s="104"/>
      <c r="C9138" s="104"/>
      <c r="E9138" s="107" t="str">
        <f aca="false">IF($C9138="","",IFERROR(INDEX(المنيو!$C$2:$C$500,MATCH($C9138,المنيو!$B$2:$B$500,0)),0))</f>
        <v/>
      </c>
      <c r="F9138" s="107" t="str">
        <f aca="false">IF($C9138="","",$D9138*$E9138)</f>
        <v/>
      </c>
      <c r="G9138" s="107" t="str">
        <f aca="false">IF($C9138="","",$D9138*IFERROR(INDEX('تحليل التكلفة والسعر'!$C$2:$C$700,MATCH($C9138,'تحليل التكلفة والسعر'!$B$2:$B$700,0)),0))</f>
        <v/>
      </c>
    </row>
    <row r="9139" customFormat="false" ht="15" hidden="false" customHeight="false" outlineLevel="0" collapsed="false">
      <c r="A9139" s="103"/>
      <c r="B9139" s="104"/>
      <c r="C9139" s="104"/>
      <c r="E9139" s="107" t="str">
        <f aca="false">IF($C9139="","",IFERROR(INDEX(المنيو!$C$2:$C$500,MATCH($C9139,المنيو!$B$2:$B$500,0)),0))</f>
        <v/>
      </c>
      <c r="F9139" s="107" t="str">
        <f aca="false">IF($C9139="","",$D9139*$E9139)</f>
        <v/>
      </c>
      <c r="G9139" s="107" t="str">
        <f aca="false">IF($C9139="","",$D9139*IFERROR(INDEX('تحليل التكلفة والسعر'!$C$2:$C$700,MATCH($C9139,'تحليل التكلفة والسعر'!$B$2:$B$700,0)),0))</f>
        <v/>
      </c>
    </row>
    <row r="9140" customFormat="false" ht="15" hidden="false" customHeight="false" outlineLevel="0" collapsed="false">
      <c r="A9140" s="103"/>
      <c r="B9140" s="104"/>
      <c r="C9140" s="104"/>
      <c r="E9140" s="107" t="str">
        <f aca="false">IF($C9140="","",IFERROR(INDEX(المنيو!$C$2:$C$500,MATCH($C9140,المنيو!$B$2:$B$500,0)),0))</f>
        <v/>
      </c>
      <c r="F9140" s="107" t="str">
        <f aca="false">IF($C9140="","",$D9140*$E9140)</f>
        <v/>
      </c>
      <c r="G9140" s="107" t="str">
        <f aca="false">IF($C9140="","",$D9140*IFERROR(INDEX('تحليل التكلفة والسعر'!$C$2:$C$700,MATCH($C9140,'تحليل التكلفة والسعر'!$B$2:$B$700,0)),0))</f>
        <v/>
      </c>
    </row>
    <row r="9141" customFormat="false" ht="15" hidden="false" customHeight="false" outlineLevel="0" collapsed="false">
      <c r="A9141" s="103"/>
      <c r="B9141" s="104"/>
      <c r="C9141" s="104"/>
      <c r="E9141" s="107" t="str">
        <f aca="false">IF($C9141="","",IFERROR(INDEX(المنيو!$C$2:$C$500,MATCH($C9141,المنيو!$B$2:$B$500,0)),0))</f>
        <v/>
      </c>
      <c r="F9141" s="107" t="str">
        <f aca="false">IF($C9141="","",$D9141*$E9141)</f>
        <v/>
      </c>
      <c r="G9141" s="107" t="str">
        <f aca="false">IF($C9141="","",$D9141*IFERROR(INDEX('تحليل التكلفة والسعر'!$C$2:$C$700,MATCH($C9141,'تحليل التكلفة والسعر'!$B$2:$B$700,0)),0))</f>
        <v/>
      </c>
    </row>
    <row r="9142" customFormat="false" ht="15" hidden="false" customHeight="false" outlineLevel="0" collapsed="false">
      <c r="A9142" s="103"/>
      <c r="B9142" s="104"/>
      <c r="C9142" s="104"/>
      <c r="E9142" s="107" t="str">
        <f aca="false">IF($C9142="","",IFERROR(INDEX(المنيو!$C$2:$C$500,MATCH($C9142,المنيو!$B$2:$B$500,0)),0))</f>
        <v/>
      </c>
      <c r="F9142" s="107" t="str">
        <f aca="false">IF($C9142="","",$D9142*$E9142)</f>
        <v/>
      </c>
      <c r="G9142" s="107" t="str">
        <f aca="false">IF($C9142="","",$D9142*IFERROR(INDEX('تحليل التكلفة والسعر'!$C$2:$C$700,MATCH($C9142,'تحليل التكلفة والسعر'!$B$2:$B$700,0)),0))</f>
        <v/>
      </c>
    </row>
    <row r="9143" customFormat="false" ht="15" hidden="false" customHeight="false" outlineLevel="0" collapsed="false">
      <c r="A9143" s="103"/>
      <c r="B9143" s="104"/>
      <c r="C9143" s="104"/>
      <c r="E9143" s="107" t="str">
        <f aca="false">IF($C9143="","",IFERROR(INDEX(المنيو!$C$2:$C$500,MATCH($C9143,المنيو!$B$2:$B$500,0)),0))</f>
        <v/>
      </c>
      <c r="F9143" s="107" t="str">
        <f aca="false">IF($C9143="","",$D9143*$E9143)</f>
        <v/>
      </c>
      <c r="G9143" s="107" t="str">
        <f aca="false">IF($C9143="","",$D9143*IFERROR(INDEX('تحليل التكلفة والسعر'!$C$2:$C$700,MATCH($C9143,'تحليل التكلفة والسعر'!$B$2:$B$700,0)),0))</f>
        <v/>
      </c>
    </row>
    <row r="9144" customFormat="false" ht="15" hidden="false" customHeight="false" outlineLevel="0" collapsed="false">
      <c r="A9144" s="103"/>
      <c r="B9144" s="104"/>
      <c r="C9144" s="104"/>
      <c r="E9144" s="107" t="str">
        <f aca="false">IF($C9144="","",IFERROR(INDEX(المنيو!$C$2:$C$500,MATCH($C9144,المنيو!$B$2:$B$500,0)),0))</f>
        <v/>
      </c>
      <c r="F9144" s="107" t="str">
        <f aca="false">IF($C9144="","",$D9144*$E9144)</f>
        <v/>
      </c>
      <c r="G9144" s="107" t="str">
        <f aca="false">IF($C9144="","",$D9144*IFERROR(INDEX('تحليل التكلفة والسعر'!$C$2:$C$700,MATCH($C9144,'تحليل التكلفة والسعر'!$B$2:$B$700,0)),0))</f>
        <v/>
      </c>
    </row>
    <row r="9145" customFormat="false" ht="15" hidden="false" customHeight="false" outlineLevel="0" collapsed="false">
      <c r="A9145" s="103"/>
      <c r="B9145" s="104"/>
      <c r="C9145" s="104"/>
      <c r="E9145" s="107" t="str">
        <f aca="false">IF($C9145="","",IFERROR(INDEX(المنيو!$C$2:$C$500,MATCH($C9145,المنيو!$B$2:$B$500,0)),0))</f>
        <v/>
      </c>
      <c r="F9145" s="107" t="str">
        <f aca="false">IF($C9145="","",$D9145*$E9145)</f>
        <v/>
      </c>
      <c r="G9145" s="107" t="str">
        <f aca="false">IF($C9145="","",$D9145*IFERROR(INDEX('تحليل التكلفة والسعر'!$C$2:$C$700,MATCH($C9145,'تحليل التكلفة والسعر'!$B$2:$B$700,0)),0))</f>
        <v/>
      </c>
    </row>
    <row r="9146" customFormat="false" ht="15" hidden="false" customHeight="false" outlineLevel="0" collapsed="false">
      <c r="A9146" s="103"/>
      <c r="B9146" s="104"/>
      <c r="C9146" s="104"/>
      <c r="E9146" s="107" t="str">
        <f aca="false">IF($C9146="","",IFERROR(INDEX(المنيو!$C$2:$C$500,MATCH($C9146,المنيو!$B$2:$B$500,0)),0))</f>
        <v/>
      </c>
      <c r="F9146" s="107" t="str">
        <f aca="false">IF($C9146="","",$D9146*$E9146)</f>
        <v/>
      </c>
      <c r="G9146" s="107" t="str">
        <f aca="false">IF($C9146="","",$D9146*IFERROR(INDEX('تحليل التكلفة والسعر'!$C$2:$C$700,MATCH($C9146,'تحليل التكلفة والسعر'!$B$2:$B$700,0)),0))</f>
        <v/>
      </c>
    </row>
    <row r="9147" customFormat="false" ht="15" hidden="false" customHeight="false" outlineLevel="0" collapsed="false">
      <c r="A9147" s="103"/>
      <c r="B9147" s="104"/>
      <c r="C9147" s="104"/>
      <c r="E9147" s="107" t="str">
        <f aca="false">IF($C9147="","",IFERROR(INDEX(المنيو!$C$2:$C$500,MATCH($C9147,المنيو!$B$2:$B$500,0)),0))</f>
        <v/>
      </c>
      <c r="F9147" s="107" t="str">
        <f aca="false">IF($C9147="","",$D9147*$E9147)</f>
        <v/>
      </c>
      <c r="G9147" s="107" t="str">
        <f aca="false">IF($C9147="","",$D9147*IFERROR(INDEX('تحليل التكلفة والسعر'!$C$2:$C$700,MATCH($C9147,'تحليل التكلفة والسعر'!$B$2:$B$700,0)),0))</f>
        <v/>
      </c>
    </row>
    <row r="9148" customFormat="false" ht="15" hidden="false" customHeight="false" outlineLevel="0" collapsed="false">
      <c r="A9148" s="103"/>
      <c r="B9148" s="104"/>
      <c r="C9148" s="104"/>
      <c r="E9148" s="107" t="str">
        <f aca="false">IF($C9148="","",IFERROR(INDEX(المنيو!$C$2:$C$500,MATCH($C9148,المنيو!$B$2:$B$500,0)),0))</f>
        <v/>
      </c>
      <c r="F9148" s="107" t="str">
        <f aca="false">IF($C9148="","",$D9148*$E9148)</f>
        <v/>
      </c>
      <c r="G9148" s="107" t="str">
        <f aca="false">IF($C9148="","",$D9148*IFERROR(INDEX('تحليل التكلفة والسعر'!$C$2:$C$700,MATCH($C9148,'تحليل التكلفة والسعر'!$B$2:$B$700,0)),0))</f>
        <v/>
      </c>
    </row>
    <row r="9149" customFormat="false" ht="15" hidden="false" customHeight="false" outlineLevel="0" collapsed="false">
      <c r="A9149" s="103"/>
      <c r="B9149" s="104"/>
      <c r="C9149" s="104"/>
      <c r="E9149" s="107" t="str">
        <f aca="false">IF($C9149="","",IFERROR(INDEX(المنيو!$C$2:$C$500,MATCH($C9149,المنيو!$B$2:$B$500,0)),0))</f>
        <v/>
      </c>
      <c r="F9149" s="107" t="str">
        <f aca="false">IF($C9149="","",$D9149*$E9149)</f>
        <v/>
      </c>
      <c r="G9149" s="107" t="str">
        <f aca="false">IF($C9149="","",$D9149*IFERROR(INDEX('تحليل التكلفة والسعر'!$C$2:$C$700,MATCH($C9149,'تحليل التكلفة والسعر'!$B$2:$B$700,0)),0))</f>
        <v/>
      </c>
    </row>
    <row r="9150" customFormat="false" ht="15" hidden="false" customHeight="false" outlineLevel="0" collapsed="false">
      <c r="A9150" s="103"/>
      <c r="B9150" s="104"/>
      <c r="C9150" s="104"/>
      <c r="E9150" s="107" t="str">
        <f aca="false">IF($C9150="","",IFERROR(INDEX(المنيو!$C$2:$C$500,MATCH($C9150,المنيو!$B$2:$B$500,0)),0))</f>
        <v/>
      </c>
      <c r="F9150" s="107" t="str">
        <f aca="false">IF($C9150="","",$D9150*$E9150)</f>
        <v/>
      </c>
      <c r="G9150" s="107" t="str">
        <f aca="false">IF($C9150="","",$D9150*IFERROR(INDEX('تحليل التكلفة والسعر'!$C$2:$C$700,MATCH($C9150,'تحليل التكلفة والسعر'!$B$2:$B$700,0)),0))</f>
        <v/>
      </c>
    </row>
    <row r="9151" customFormat="false" ht="15" hidden="false" customHeight="false" outlineLevel="0" collapsed="false">
      <c r="A9151" s="103"/>
      <c r="B9151" s="104"/>
      <c r="C9151" s="104"/>
      <c r="E9151" s="107" t="str">
        <f aca="false">IF($C9151="","",IFERROR(INDEX(المنيو!$C$2:$C$500,MATCH($C9151,المنيو!$B$2:$B$500,0)),0))</f>
        <v/>
      </c>
      <c r="F9151" s="107" t="str">
        <f aca="false">IF($C9151="","",$D9151*$E9151)</f>
        <v/>
      </c>
      <c r="G9151" s="107" t="str">
        <f aca="false">IF($C9151="","",$D9151*IFERROR(INDEX('تحليل التكلفة والسعر'!$C$2:$C$700,MATCH($C9151,'تحليل التكلفة والسعر'!$B$2:$B$700,0)),0))</f>
        <v/>
      </c>
    </row>
    <row r="9152" customFormat="false" ht="15" hidden="false" customHeight="false" outlineLevel="0" collapsed="false">
      <c r="A9152" s="103"/>
      <c r="B9152" s="104"/>
      <c r="C9152" s="104"/>
      <c r="E9152" s="107" t="str">
        <f aca="false">IF($C9152="","",IFERROR(INDEX(المنيو!$C$2:$C$500,MATCH($C9152,المنيو!$B$2:$B$500,0)),0))</f>
        <v/>
      </c>
      <c r="F9152" s="107" t="str">
        <f aca="false">IF($C9152="","",$D9152*$E9152)</f>
        <v/>
      </c>
      <c r="G9152" s="107" t="str">
        <f aca="false">IF($C9152="","",$D9152*IFERROR(INDEX('تحليل التكلفة والسعر'!$C$2:$C$700,MATCH($C9152,'تحليل التكلفة والسعر'!$B$2:$B$700,0)),0))</f>
        <v/>
      </c>
    </row>
    <row r="9153" customFormat="false" ht="15" hidden="false" customHeight="false" outlineLevel="0" collapsed="false">
      <c r="A9153" s="103"/>
      <c r="B9153" s="104"/>
      <c r="C9153" s="104"/>
      <c r="E9153" s="107" t="str">
        <f aca="false">IF($C9153="","",IFERROR(INDEX(المنيو!$C$2:$C$500,MATCH($C9153,المنيو!$B$2:$B$500,0)),0))</f>
        <v/>
      </c>
      <c r="F9153" s="107" t="str">
        <f aca="false">IF($C9153="","",$D9153*$E9153)</f>
        <v/>
      </c>
      <c r="G9153" s="107" t="str">
        <f aca="false">IF($C9153="","",$D9153*IFERROR(INDEX('تحليل التكلفة والسعر'!$C$2:$C$700,MATCH($C9153,'تحليل التكلفة والسعر'!$B$2:$B$700,0)),0))</f>
        <v/>
      </c>
    </row>
    <row r="9154" customFormat="false" ht="15" hidden="false" customHeight="false" outlineLevel="0" collapsed="false">
      <c r="A9154" s="103"/>
      <c r="B9154" s="104"/>
      <c r="C9154" s="104"/>
      <c r="E9154" s="107" t="str">
        <f aca="false">IF($C9154="","",IFERROR(INDEX(المنيو!$C$2:$C$500,MATCH($C9154,المنيو!$B$2:$B$500,0)),0))</f>
        <v/>
      </c>
      <c r="F9154" s="107" t="str">
        <f aca="false">IF($C9154="","",$D9154*$E9154)</f>
        <v/>
      </c>
      <c r="G9154" s="107" t="str">
        <f aca="false">IF($C9154="","",$D9154*IFERROR(INDEX('تحليل التكلفة والسعر'!$C$2:$C$700,MATCH($C9154,'تحليل التكلفة والسعر'!$B$2:$B$700,0)),0))</f>
        <v/>
      </c>
    </row>
    <row r="9155" customFormat="false" ht="15" hidden="false" customHeight="false" outlineLevel="0" collapsed="false">
      <c r="A9155" s="103"/>
      <c r="B9155" s="104"/>
      <c r="C9155" s="104"/>
      <c r="E9155" s="107" t="str">
        <f aca="false">IF($C9155="","",IFERROR(INDEX(المنيو!$C$2:$C$500,MATCH($C9155,المنيو!$B$2:$B$500,0)),0))</f>
        <v/>
      </c>
      <c r="F9155" s="107" t="str">
        <f aca="false">IF($C9155="","",$D9155*$E9155)</f>
        <v/>
      </c>
      <c r="G9155" s="107" t="str">
        <f aca="false">IF($C9155="","",$D9155*IFERROR(INDEX('تحليل التكلفة والسعر'!$C$2:$C$700,MATCH($C9155,'تحليل التكلفة والسعر'!$B$2:$B$700,0)),0))</f>
        <v/>
      </c>
    </row>
    <row r="9156" customFormat="false" ht="15" hidden="false" customHeight="false" outlineLevel="0" collapsed="false">
      <c r="A9156" s="103"/>
      <c r="B9156" s="104"/>
      <c r="C9156" s="104"/>
      <c r="E9156" s="107" t="str">
        <f aca="false">IF($C9156="","",IFERROR(INDEX(المنيو!$C$2:$C$500,MATCH($C9156,المنيو!$B$2:$B$500,0)),0))</f>
        <v/>
      </c>
      <c r="F9156" s="107" t="str">
        <f aca="false">IF($C9156="","",$D9156*$E9156)</f>
        <v/>
      </c>
      <c r="G9156" s="107" t="str">
        <f aca="false">IF($C9156="","",$D9156*IFERROR(INDEX('تحليل التكلفة والسعر'!$C$2:$C$700,MATCH($C9156,'تحليل التكلفة والسعر'!$B$2:$B$700,0)),0))</f>
        <v/>
      </c>
    </row>
    <row r="9157" customFormat="false" ht="15" hidden="false" customHeight="false" outlineLevel="0" collapsed="false">
      <c r="A9157" s="103"/>
      <c r="B9157" s="104"/>
      <c r="C9157" s="104"/>
      <c r="E9157" s="107" t="str">
        <f aca="false">IF($C9157="","",IFERROR(INDEX(المنيو!$C$2:$C$500,MATCH($C9157,المنيو!$B$2:$B$500,0)),0))</f>
        <v/>
      </c>
      <c r="F9157" s="107" t="str">
        <f aca="false">IF($C9157="","",$D9157*$E9157)</f>
        <v/>
      </c>
      <c r="G9157" s="107" t="str">
        <f aca="false">IF($C9157="","",$D9157*IFERROR(INDEX('تحليل التكلفة والسعر'!$C$2:$C$700,MATCH($C9157,'تحليل التكلفة والسعر'!$B$2:$B$700,0)),0))</f>
        <v/>
      </c>
    </row>
    <row r="9158" customFormat="false" ht="15" hidden="false" customHeight="false" outlineLevel="0" collapsed="false">
      <c r="A9158" s="103"/>
      <c r="B9158" s="104"/>
      <c r="C9158" s="104"/>
      <c r="E9158" s="107" t="str">
        <f aca="false">IF($C9158="","",IFERROR(INDEX(المنيو!$C$2:$C$500,MATCH($C9158,المنيو!$B$2:$B$500,0)),0))</f>
        <v/>
      </c>
      <c r="F9158" s="107" t="str">
        <f aca="false">IF($C9158="","",$D9158*$E9158)</f>
        <v/>
      </c>
      <c r="G9158" s="107" t="str">
        <f aca="false">IF($C9158="","",$D9158*IFERROR(INDEX('تحليل التكلفة والسعر'!$C$2:$C$700,MATCH($C9158,'تحليل التكلفة والسعر'!$B$2:$B$700,0)),0))</f>
        <v/>
      </c>
    </row>
    <row r="9159" customFormat="false" ht="15" hidden="false" customHeight="false" outlineLevel="0" collapsed="false">
      <c r="A9159" s="103"/>
      <c r="B9159" s="104"/>
      <c r="C9159" s="104"/>
      <c r="E9159" s="107" t="str">
        <f aca="false">IF($C9159="","",IFERROR(INDEX(المنيو!$C$2:$C$500,MATCH($C9159,المنيو!$B$2:$B$500,0)),0))</f>
        <v/>
      </c>
      <c r="F9159" s="107" t="str">
        <f aca="false">IF($C9159="","",$D9159*$E9159)</f>
        <v/>
      </c>
      <c r="G9159" s="107" t="str">
        <f aca="false">IF($C9159="","",$D9159*IFERROR(INDEX('تحليل التكلفة والسعر'!$C$2:$C$700,MATCH($C9159,'تحليل التكلفة والسعر'!$B$2:$B$700,0)),0))</f>
        <v/>
      </c>
    </row>
    <row r="9160" customFormat="false" ht="15" hidden="false" customHeight="false" outlineLevel="0" collapsed="false">
      <c r="A9160" s="103"/>
      <c r="B9160" s="104"/>
      <c r="C9160" s="104"/>
      <c r="E9160" s="107" t="str">
        <f aca="false">IF($C9160="","",IFERROR(INDEX(المنيو!$C$2:$C$500,MATCH($C9160,المنيو!$B$2:$B$500,0)),0))</f>
        <v/>
      </c>
      <c r="F9160" s="107" t="str">
        <f aca="false">IF($C9160="","",$D9160*$E9160)</f>
        <v/>
      </c>
      <c r="G9160" s="107" t="str">
        <f aca="false">IF($C9160="","",$D9160*IFERROR(INDEX('تحليل التكلفة والسعر'!$C$2:$C$700,MATCH($C9160,'تحليل التكلفة والسعر'!$B$2:$B$700,0)),0))</f>
        <v/>
      </c>
    </row>
    <row r="9161" customFormat="false" ht="15" hidden="false" customHeight="false" outlineLevel="0" collapsed="false">
      <c r="A9161" s="103"/>
      <c r="B9161" s="104"/>
      <c r="C9161" s="104"/>
      <c r="E9161" s="107" t="str">
        <f aca="false">IF($C9161="","",IFERROR(INDEX(المنيو!$C$2:$C$500,MATCH($C9161,المنيو!$B$2:$B$500,0)),0))</f>
        <v/>
      </c>
      <c r="F9161" s="107" t="str">
        <f aca="false">IF($C9161="","",$D9161*$E9161)</f>
        <v/>
      </c>
      <c r="G9161" s="107" t="str">
        <f aca="false">IF($C9161="","",$D9161*IFERROR(INDEX('تحليل التكلفة والسعر'!$C$2:$C$700,MATCH($C9161,'تحليل التكلفة والسعر'!$B$2:$B$700,0)),0))</f>
        <v/>
      </c>
    </row>
    <row r="9162" customFormat="false" ht="15" hidden="false" customHeight="false" outlineLevel="0" collapsed="false">
      <c r="A9162" s="103"/>
      <c r="B9162" s="104"/>
      <c r="C9162" s="104"/>
      <c r="E9162" s="107" t="str">
        <f aca="false">IF($C9162="","",IFERROR(INDEX(المنيو!$C$2:$C$500,MATCH($C9162,المنيو!$B$2:$B$500,0)),0))</f>
        <v/>
      </c>
      <c r="F9162" s="107" t="str">
        <f aca="false">IF($C9162="","",$D9162*$E9162)</f>
        <v/>
      </c>
      <c r="G9162" s="107" t="str">
        <f aca="false">IF($C9162="","",$D9162*IFERROR(INDEX('تحليل التكلفة والسعر'!$C$2:$C$700,MATCH($C9162,'تحليل التكلفة والسعر'!$B$2:$B$700,0)),0))</f>
        <v/>
      </c>
    </row>
    <row r="9163" customFormat="false" ht="15" hidden="false" customHeight="false" outlineLevel="0" collapsed="false">
      <c r="A9163" s="103"/>
      <c r="B9163" s="104"/>
      <c r="C9163" s="104"/>
      <c r="E9163" s="107" t="str">
        <f aca="false">IF($C9163="","",IFERROR(INDEX(المنيو!$C$2:$C$500,MATCH($C9163,المنيو!$B$2:$B$500,0)),0))</f>
        <v/>
      </c>
      <c r="F9163" s="107" t="str">
        <f aca="false">IF($C9163="","",$D9163*$E9163)</f>
        <v/>
      </c>
      <c r="G9163" s="107" t="str">
        <f aca="false">IF($C9163="","",$D9163*IFERROR(INDEX('تحليل التكلفة والسعر'!$C$2:$C$700,MATCH($C9163,'تحليل التكلفة والسعر'!$B$2:$B$700,0)),0))</f>
        <v/>
      </c>
    </row>
    <row r="9164" customFormat="false" ht="15" hidden="false" customHeight="false" outlineLevel="0" collapsed="false">
      <c r="A9164" s="103"/>
      <c r="B9164" s="104"/>
      <c r="C9164" s="104"/>
      <c r="E9164" s="107" t="str">
        <f aca="false">IF($C9164="","",IFERROR(INDEX(المنيو!$C$2:$C$500,MATCH($C9164,المنيو!$B$2:$B$500,0)),0))</f>
        <v/>
      </c>
      <c r="F9164" s="107" t="str">
        <f aca="false">IF($C9164="","",$D9164*$E9164)</f>
        <v/>
      </c>
      <c r="G9164" s="107" t="str">
        <f aca="false">IF($C9164="","",$D9164*IFERROR(INDEX('تحليل التكلفة والسعر'!$C$2:$C$700,MATCH($C9164,'تحليل التكلفة والسعر'!$B$2:$B$700,0)),0))</f>
        <v/>
      </c>
    </row>
    <row r="9165" customFormat="false" ht="15" hidden="false" customHeight="false" outlineLevel="0" collapsed="false">
      <c r="A9165" s="103"/>
      <c r="B9165" s="104"/>
      <c r="C9165" s="104"/>
      <c r="E9165" s="107" t="str">
        <f aca="false">IF($C9165="","",IFERROR(INDEX(المنيو!$C$2:$C$500,MATCH($C9165,المنيو!$B$2:$B$500,0)),0))</f>
        <v/>
      </c>
      <c r="F9165" s="107" t="str">
        <f aca="false">IF($C9165="","",$D9165*$E9165)</f>
        <v/>
      </c>
      <c r="G9165" s="107" t="str">
        <f aca="false">IF($C9165="","",$D9165*IFERROR(INDEX('تحليل التكلفة والسعر'!$C$2:$C$700,MATCH($C9165,'تحليل التكلفة والسعر'!$B$2:$B$700,0)),0))</f>
        <v/>
      </c>
    </row>
    <row r="9166" customFormat="false" ht="15" hidden="false" customHeight="false" outlineLevel="0" collapsed="false">
      <c r="A9166" s="103"/>
      <c r="B9166" s="104"/>
      <c r="C9166" s="104"/>
      <c r="E9166" s="107" t="str">
        <f aca="false">IF($C9166="","",IFERROR(INDEX(المنيو!$C$2:$C$500,MATCH($C9166,المنيو!$B$2:$B$500,0)),0))</f>
        <v/>
      </c>
      <c r="F9166" s="107" t="str">
        <f aca="false">IF($C9166="","",$D9166*$E9166)</f>
        <v/>
      </c>
      <c r="G9166" s="107" t="str">
        <f aca="false">IF($C9166="","",$D9166*IFERROR(INDEX('تحليل التكلفة والسعر'!$C$2:$C$700,MATCH($C9166,'تحليل التكلفة والسعر'!$B$2:$B$700,0)),0))</f>
        <v/>
      </c>
    </row>
    <row r="9167" customFormat="false" ht="15" hidden="false" customHeight="false" outlineLevel="0" collapsed="false">
      <c r="A9167" s="103"/>
      <c r="B9167" s="104"/>
      <c r="C9167" s="104"/>
      <c r="E9167" s="107" t="str">
        <f aca="false">IF($C9167="","",IFERROR(INDEX(المنيو!$C$2:$C$500,MATCH($C9167,المنيو!$B$2:$B$500,0)),0))</f>
        <v/>
      </c>
      <c r="F9167" s="107" t="str">
        <f aca="false">IF($C9167="","",$D9167*$E9167)</f>
        <v/>
      </c>
      <c r="G9167" s="107" t="str">
        <f aca="false">IF($C9167="","",$D9167*IFERROR(INDEX('تحليل التكلفة والسعر'!$C$2:$C$700,MATCH($C9167,'تحليل التكلفة والسعر'!$B$2:$B$700,0)),0))</f>
        <v/>
      </c>
    </row>
    <row r="9168" customFormat="false" ht="15" hidden="false" customHeight="false" outlineLevel="0" collapsed="false">
      <c r="A9168" s="103"/>
      <c r="B9168" s="104"/>
      <c r="C9168" s="104"/>
      <c r="E9168" s="107" t="str">
        <f aca="false">IF($C9168="","",IFERROR(INDEX(المنيو!$C$2:$C$500,MATCH($C9168,المنيو!$B$2:$B$500,0)),0))</f>
        <v/>
      </c>
      <c r="F9168" s="107" t="str">
        <f aca="false">IF($C9168="","",$D9168*$E9168)</f>
        <v/>
      </c>
      <c r="G9168" s="107" t="str">
        <f aca="false">IF($C9168="","",$D9168*IFERROR(INDEX('تحليل التكلفة والسعر'!$C$2:$C$700,MATCH($C9168,'تحليل التكلفة والسعر'!$B$2:$B$700,0)),0))</f>
        <v/>
      </c>
    </row>
    <row r="9169" customFormat="false" ht="15" hidden="false" customHeight="false" outlineLevel="0" collapsed="false">
      <c r="A9169" s="103"/>
      <c r="B9169" s="104"/>
      <c r="C9169" s="104"/>
      <c r="E9169" s="107" t="str">
        <f aca="false">IF($C9169="","",IFERROR(INDEX(المنيو!$C$2:$C$500,MATCH($C9169,المنيو!$B$2:$B$500,0)),0))</f>
        <v/>
      </c>
      <c r="F9169" s="107" t="str">
        <f aca="false">IF($C9169="","",$D9169*$E9169)</f>
        <v/>
      </c>
      <c r="G9169" s="107" t="str">
        <f aca="false">IF($C9169="","",$D9169*IFERROR(INDEX('تحليل التكلفة والسعر'!$C$2:$C$700,MATCH($C9169,'تحليل التكلفة والسعر'!$B$2:$B$700,0)),0))</f>
        <v/>
      </c>
    </row>
    <row r="9170" customFormat="false" ht="15" hidden="false" customHeight="false" outlineLevel="0" collapsed="false">
      <c r="A9170" s="103"/>
      <c r="B9170" s="104"/>
      <c r="C9170" s="104"/>
      <c r="E9170" s="107" t="str">
        <f aca="false">IF($C9170="","",IFERROR(INDEX(المنيو!$C$2:$C$500,MATCH($C9170,المنيو!$B$2:$B$500,0)),0))</f>
        <v/>
      </c>
      <c r="F9170" s="107" t="str">
        <f aca="false">IF($C9170="","",$D9170*$E9170)</f>
        <v/>
      </c>
      <c r="G9170" s="107" t="str">
        <f aca="false">IF($C9170="","",$D9170*IFERROR(INDEX('تحليل التكلفة والسعر'!$C$2:$C$700,MATCH($C9170,'تحليل التكلفة والسعر'!$B$2:$B$700,0)),0))</f>
        <v/>
      </c>
    </row>
    <row r="9171" customFormat="false" ht="15" hidden="false" customHeight="false" outlineLevel="0" collapsed="false">
      <c r="A9171" s="103"/>
      <c r="B9171" s="104"/>
      <c r="C9171" s="104"/>
      <c r="E9171" s="107" t="str">
        <f aca="false">IF($C9171="","",IFERROR(INDEX(المنيو!$C$2:$C$500,MATCH($C9171,المنيو!$B$2:$B$500,0)),0))</f>
        <v/>
      </c>
      <c r="F9171" s="107" t="str">
        <f aca="false">IF($C9171="","",$D9171*$E9171)</f>
        <v/>
      </c>
      <c r="G9171" s="107" t="str">
        <f aca="false">IF($C9171="","",$D9171*IFERROR(INDEX('تحليل التكلفة والسعر'!$C$2:$C$700,MATCH($C9171,'تحليل التكلفة والسعر'!$B$2:$B$700,0)),0))</f>
        <v/>
      </c>
    </row>
    <row r="9172" customFormat="false" ht="15" hidden="false" customHeight="false" outlineLevel="0" collapsed="false">
      <c r="A9172" s="103"/>
      <c r="B9172" s="104"/>
      <c r="C9172" s="104"/>
      <c r="E9172" s="107" t="str">
        <f aca="false">IF($C9172="","",IFERROR(INDEX(المنيو!$C$2:$C$500,MATCH($C9172,المنيو!$B$2:$B$500,0)),0))</f>
        <v/>
      </c>
      <c r="F9172" s="107" t="str">
        <f aca="false">IF($C9172="","",$D9172*$E9172)</f>
        <v/>
      </c>
      <c r="G9172" s="107" t="str">
        <f aca="false">IF($C9172="","",$D9172*IFERROR(INDEX('تحليل التكلفة والسعر'!$C$2:$C$700,MATCH($C9172,'تحليل التكلفة والسعر'!$B$2:$B$700,0)),0))</f>
        <v/>
      </c>
    </row>
    <row r="9173" customFormat="false" ht="15" hidden="false" customHeight="false" outlineLevel="0" collapsed="false">
      <c r="A9173" s="103"/>
      <c r="B9173" s="104"/>
      <c r="C9173" s="104"/>
      <c r="E9173" s="107" t="str">
        <f aca="false">IF($C9173="","",IFERROR(INDEX(المنيو!$C$2:$C$500,MATCH($C9173,المنيو!$B$2:$B$500,0)),0))</f>
        <v/>
      </c>
      <c r="F9173" s="107" t="str">
        <f aca="false">IF($C9173="","",$D9173*$E9173)</f>
        <v/>
      </c>
      <c r="G9173" s="107" t="str">
        <f aca="false">IF($C9173="","",$D9173*IFERROR(INDEX('تحليل التكلفة والسعر'!$C$2:$C$700,MATCH($C9173,'تحليل التكلفة والسعر'!$B$2:$B$700,0)),0))</f>
        <v/>
      </c>
    </row>
    <row r="9174" customFormat="false" ht="15" hidden="false" customHeight="false" outlineLevel="0" collapsed="false">
      <c r="A9174" s="103"/>
      <c r="B9174" s="104"/>
      <c r="C9174" s="104"/>
      <c r="E9174" s="107" t="str">
        <f aca="false">IF($C9174="","",IFERROR(INDEX(المنيو!$C$2:$C$500,MATCH($C9174,المنيو!$B$2:$B$500,0)),0))</f>
        <v/>
      </c>
      <c r="F9174" s="107" t="str">
        <f aca="false">IF($C9174="","",$D9174*$E9174)</f>
        <v/>
      </c>
      <c r="G9174" s="107" t="str">
        <f aca="false">IF($C9174="","",$D9174*IFERROR(INDEX('تحليل التكلفة والسعر'!$C$2:$C$700,MATCH($C9174,'تحليل التكلفة والسعر'!$B$2:$B$700,0)),0))</f>
        <v/>
      </c>
    </row>
    <row r="9175" customFormat="false" ht="15" hidden="false" customHeight="false" outlineLevel="0" collapsed="false">
      <c r="A9175" s="103"/>
      <c r="B9175" s="104"/>
      <c r="C9175" s="104"/>
      <c r="E9175" s="107" t="str">
        <f aca="false">IF($C9175="","",IFERROR(INDEX(المنيو!$C$2:$C$500,MATCH($C9175,المنيو!$B$2:$B$500,0)),0))</f>
        <v/>
      </c>
      <c r="F9175" s="107" t="str">
        <f aca="false">IF($C9175="","",$D9175*$E9175)</f>
        <v/>
      </c>
      <c r="G9175" s="107" t="str">
        <f aca="false">IF($C9175="","",$D9175*IFERROR(INDEX('تحليل التكلفة والسعر'!$C$2:$C$700,MATCH($C9175,'تحليل التكلفة والسعر'!$B$2:$B$700,0)),0))</f>
        <v/>
      </c>
    </row>
    <row r="9176" customFormat="false" ht="15" hidden="false" customHeight="false" outlineLevel="0" collapsed="false">
      <c r="A9176" s="103"/>
      <c r="B9176" s="104"/>
      <c r="C9176" s="104"/>
      <c r="E9176" s="107" t="str">
        <f aca="false">IF($C9176="","",IFERROR(INDEX(المنيو!$C$2:$C$500,MATCH($C9176,المنيو!$B$2:$B$500,0)),0))</f>
        <v/>
      </c>
      <c r="F9176" s="107" t="str">
        <f aca="false">IF($C9176="","",$D9176*$E9176)</f>
        <v/>
      </c>
      <c r="G9176" s="107" t="str">
        <f aca="false">IF($C9176="","",$D9176*IFERROR(INDEX('تحليل التكلفة والسعر'!$C$2:$C$700,MATCH($C9176,'تحليل التكلفة والسعر'!$B$2:$B$700,0)),0))</f>
        <v/>
      </c>
    </row>
    <row r="9177" customFormat="false" ht="15" hidden="false" customHeight="false" outlineLevel="0" collapsed="false">
      <c r="A9177" s="103"/>
      <c r="B9177" s="104"/>
      <c r="C9177" s="104"/>
      <c r="E9177" s="107" t="str">
        <f aca="false">IF($C9177="","",IFERROR(INDEX(المنيو!$C$2:$C$500,MATCH($C9177,المنيو!$B$2:$B$500,0)),0))</f>
        <v/>
      </c>
      <c r="F9177" s="107" t="str">
        <f aca="false">IF($C9177="","",$D9177*$E9177)</f>
        <v/>
      </c>
      <c r="G9177" s="107" t="str">
        <f aca="false">IF($C9177="","",$D9177*IFERROR(INDEX('تحليل التكلفة والسعر'!$C$2:$C$700,MATCH($C9177,'تحليل التكلفة والسعر'!$B$2:$B$700,0)),0))</f>
        <v/>
      </c>
    </row>
    <row r="9178" customFormat="false" ht="15" hidden="false" customHeight="false" outlineLevel="0" collapsed="false">
      <c r="A9178" s="103"/>
      <c r="B9178" s="104"/>
      <c r="C9178" s="104"/>
      <c r="E9178" s="107" t="str">
        <f aca="false">IF($C9178="","",IFERROR(INDEX(المنيو!$C$2:$C$500,MATCH($C9178,المنيو!$B$2:$B$500,0)),0))</f>
        <v/>
      </c>
      <c r="F9178" s="107" t="str">
        <f aca="false">IF($C9178="","",$D9178*$E9178)</f>
        <v/>
      </c>
      <c r="G9178" s="107" t="str">
        <f aca="false">IF($C9178="","",$D9178*IFERROR(INDEX('تحليل التكلفة والسعر'!$C$2:$C$700,MATCH($C9178,'تحليل التكلفة والسعر'!$B$2:$B$700,0)),0))</f>
        <v/>
      </c>
    </row>
    <row r="9179" customFormat="false" ht="15" hidden="false" customHeight="false" outlineLevel="0" collapsed="false">
      <c r="A9179" s="103"/>
      <c r="B9179" s="104"/>
      <c r="C9179" s="104"/>
      <c r="E9179" s="107" t="str">
        <f aca="false">IF($C9179="","",IFERROR(INDEX(المنيو!$C$2:$C$500,MATCH($C9179,المنيو!$B$2:$B$500,0)),0))</f>
        <v/>
      </c>
      <c r="F9179" s="107" t="str">
        <f aca="false">IF($C9179="","",$D9179*$E9179)</f>
        <v/>
      </c>
      <c r="G9179" s="107" t="str">
        <f aca="false">IF($C9179="","",$D9179*IFERROR(INDEX('تحليل التكلفة والسعر'!$C$2:$C$700,MATCH($C9179,'تحليل التكلفة والسعر'!$B$2:$B$700,0)),0))</f>
        <v/>
      </c>
    </row>
    <row r="9180" customFormat="false" ht="15" hidden="false" customHeight="false" outlineLevel="0" collapsed="false">
      <c r="A9180" s="103"/>
      <c r="B9180" s="104"/>
      <c r="C9180" s="104"/>
      <c r="E9180" s="107" t="str">
        <f aca="false">IF($C9180="","",IFERROR(INDEX(المنيو!$C$2:$C$500,MATCH($C9180,المنيو!$B$2:$B$500,0)),0))</f>
        <v/>
      </c>
      <c r="F9180" s="107" t="str">
        <f aca="false">IF($C9180="","",$D9180*$E9180)</f>
        <v/>
      </c>
      <c r="G9180" s="107" t="str">
        <f aca="false">IF($C9180="","",$D9180*IFERROR(INDEX('تحليل التكلفة والسعر'!$C$2:$C$700,MATCH($C9180,'تحليل التكلفة والسعر'!$B$2:$B$700,0)),0))</f>
        <v/>
      </c>
    </row>
    <row r="9181" customFormat="false" ht="15" hidden="false" customHeight="false" outlineLevel="0" collapsed="false">
      <c r="A9181" s="103"/>
      <c r="B9181" s="104"/>
      <c r="C9181" s="104"/>
      <c r="E9181" s="107" t="str">
        <f aca="false">IF($C9181="","",IFERROR(INDEX(المنيو!$C$2:$C$500,MATCH($C9181,المنيو!$B$2:$B$500,0)),0))</f>
        <v/>
      </c>
      <c r="F9181" s="107" t="str">
        <f aca="false">IF($C9181="","",$D9181*$E9181)</f>
        <v/>
      </c>
      <c r="G9181" s="107" t="str">
        <f aca="false">IF($C9181="","",$D9181*IFERROR(INDEX('تحليل التكلفة والسعر'!$C$2:$C$700,MATCH($C9181,'تحليل التكلفة والسعر'!$B$2:$B$700,0)),0))</f>
        <v/>
      </c>
    </row>
    <row r="9182" customFormat="false" ht="15" hidden="false" customHeight="false" outlineLevel="0" collapsed="false">
      <c r="A9182" s="103"/>
      <c r="B9182" s="104"/>
      <c r="C9182" s="104"/>
      <c r="E9182" s="107" t="str">
        <f aca="false">IF($C9182="","",IFERROR(INDEX(المنيو!$C$2:$C$500,MATCH($C9182,المنيو!$B$2:$B$500,0)),0))</f>
        <v/>
      </c>
      <c r="F9182" s="107" t="str">
        <f aca="false">IF($C9182="","",$D9182*$E9182)</f>
        <v/>
      </c>
      <c r="G9182" s="107" t="str">
        <f aca="false">IF($C9182="","",$D9182*IFERROR(INDEX('تحليل التكلفة والسعر'!$C$2:$C$700,MATCH($C9182,'تحليل التكلفة والسعر'!$B$2:$B$700,0)),0))</f>
        <v/>
      </c>
    </row>
    <row r="9183" customFormat="false" ht="15" hidden="false" customHeight="false" outlineLevel="0" collapsed="false">
      <c r="A9183" s="103"/>
      <c r="B9183" s="104"/>
      <c r="C9183" s="104"/>
      <c r="E9183" s="107" t="str">
        <f aca="false">IF($C9183="","",IFERROR(INDEX(المنيو!$C$2:$C$500,MATCH($C9183,المنيو!$B$2:$B$500,0)),0))</f>
        <v/>
      </c>
      <c r="F9183" s="107" t="str">
        <f aca="false">IF($C9183="","",$D9183*$E9183)</f>
        <v/>
      </c>
      <c r="G9183" s="107" t="str">
        <f aca="false">IF($C9183="","",$D9183*IFERROR(INDEX('تحليل التكلفة والسعر'!$C$2:$C$700,MATCH($C9183,'تحليل التكلفة والسعر'!$B$2:$B$700,0)),0))</f>
        <v/>
      </c>
    </row>
    <row r="9184" customFormat="false" ht="15" hidden="false" customHeight="false" outlineLevel="0" collapsed="false">
      <c r="A9184" s="103"/>
      <c r="B9184" s="104"/>
      <c r="C9184" s="104"/>
      <c r="E9184" s="107" t="str">
        <f aca="false">IF($C9184="","",IFERROR(INDEX(المنيو!$C$2:$C$500,MATCH($C9184,المنيو!$B$2:$B$500,0)),0))</f>
        <v/>
      </c>
      <c r="F9184" s="107" t="str">
        <f aca="false">IF($C9184="","",$D9184*$E9184)</f>
        <v/>
      </c>
      <c r="G9184" s="107" t="str">
        <f aca="false">IF($C9184="","",$D9184*IFERROR(INDEX('تحليل التكلفة والسعر'!$C$2:$C$700,MATCH($C9184,'تحليل التكلفة والسعر'!$B$2:$B$700,0)),0))</f>
        <v/>
      </c>
    </row>
    <row r="9185" customFormat="false" ht="15" hidden="false" customHeight="false" outlineLevel="0" collapsed="false">
      <c r="A9185" s="103"/>
      <c r="B9185" s="104"/>
      <c r="C9185" s="104"/>
      <c r="E9185" s="107" t="str">
        <f aca="false">IF($C9185="","",IFERROR(INDEX(المنيو!$C$2:$C$500,MATCH($C9185,المنيو!$B$2:$B$500,0)),0))</f>
        <v/>
      </c>
      <c r="F9185" s="107" t="str">
        <f aca="false">IF($C9185="","",$D9185*$E9185)</f>
        <v/>
      </c>
      <c r="G9185" s="107" t="str">
        <f aca="false">IF($C9185="","",$D9185*IFERROR(INDEX('تحليل التكلفة والسعر'!$C$2:$C$700,MATCH($C9185,'تحليل التكلفة والسعر'!$B$2:$B$700,0)),0))</f>
        <v/>
      </c>
    </row>
    <row r="9186" customFormat="false" ht="15" hidden="false" customHeight="false" outlineLevel="0" collapsed="false">
      <c r="A9186" s="103"/>
      <c r="B9186" s="104"/>
      <c r="C9186" s="104"/>
      <c r="E9186" s="107" t="str">
        <f aca="false">IF($C9186="","",IFERROR(INDEX(المنيو!$C$2:$C$500,MATCH($C9186,المنيو!$B$2:$B$500,0)),0))</f>
        <v/>
      </c>
      <c r="F9186" s="107" t="str">
        <f aca="false">IF($C9186="","",$D9186*$E9186)</f>
        <v/>
      </c>
      <c r="G9186" s="107" t="str">
        <f aca="false">IF($C9186="","",$D9186*IFERROR(INDEX('تحليل التكلفة والسعر'!$C$2:$C$700,MATCH($C9186,'تحليل التكلفة والسعر'!$B$2:$B$700,0)),0))</f>
        <v/>
      </c>
    </row>
    <row r="9187" customFormat="false" ht="15" hidden="false" customHeight="false" outlineLevel="0" collapsed="false">
      <c r="A9187" s="103"/>
      <c r="B9187" s="104"/>
      <c r="C9187" s="104"/>
      <c r="E9187" s="107" t="str">
        <f aca="false">IF($C9187="","",IFERROR(INDEX(المنيو!$C$2:$C$500,MATCH($C9187,المنيو!$B$2:$B$500,0)),0))</f>
        <v/>
      </c>
      <c r="F9187" s="107" t="str">
        <f aca="false">IF($C9187="","",$D9187*$E9187)</f>
        <v/>
      </c>
      <c r="G9187" s="107" t="str">
        <f aca="false">IF($C9187="","",$D9187*IFERROR(INDEX('تحليل التكلفة والسعر'!$C$2:$C$700,MATCH($C9187,'تحليل التكلفة والسعر'!$B$2:$B$700,0)),0))</f>
        <v/>
      </c>
    </row>
    <row r="9188" customFormat="false" ht="15" hidden="false" customHeight="false" outlineLevel="0" collapsed="false">
      <c r="A9188" s="103"/>
      <c r="B9188" s="104"/>
      <c r="C9188" s="104"/>
      <c r="E9188" s="107" t="str">
        <f aca="false">IF($C9188="","",IFERROR(INDEX(المنيو!$C$2:$C$500,MATCH($C9188,المنيو!$B$2:$B$500,0)),0))</f>
        <v/>
      </c>
      <c r="F9188" s="107" t="str">
        <f aca="false">IF($C9188="","",$D9188*$E9188)</f>
        <v/>
      </c>
      <c r="G9188" s="107" t="str">
        <f aca="false">IF($C9188="","",$D9188*IFERROR(INDEX('تحليل التكلفة والسعر'!$C$2:$C$700,MATCH($C9188,'تحليل التكلفة والسعر'!$B$2:$B$700,0)),0))</f>
        <v/>
      </c>
    </row>
    <row r="9189" customFormat="false" ht="15" hidden="false" customHeight="false" outlineLevel="0" collapsed="false">
      <c r="A9189" s="103"/>
      <c r="B9189" s="104"/>
      <c r="C9189" s="104"/>
      <c r="E9189" s="107" t="str">
        <f aca="false">IF($C9189="","",IFERROR(INDEX(المنيو!$C$2:$C$500,MATCH($C9189,المنيو!$B$2:$B$500,0)),0))</f>
        <v/>
      </c>
      <c r="F9189" s="107" t="str">
        <f aca="false">IF($C9189="","",$D9189*$E9189)</f>
        <v/>
      </c>
      <c r="G9189" s="107" t="str">
        <f aca="false">IF($C9189="","",$D9189*IFERROR(INDEX('تحليل التكلفة والسعر'!$C$2:$C$700,MATCH($C9189,'تحليل التكلفة والسعر'!$B$2:$B$700,0)),0))</f>
        <v/>
      </c>
    </row>
    <row r="9190" customFormat="false" ht="15" hidden="false" customHeight="false" outlineLevel="0" collapsed="false">
      <c r="A9190" s="103"/>
      <c r="B9190" s="104"/>
      <c r="C9190" s="104"/>
      <c r="E9190" s="107" t="str">
        <f aca="false">IF($C9190="","",IFERROR(INDEX(المنيو!$C$2:$C$500,MATCH($C9190,المنيو!$B$2:$B$500,0)),0))</f>
        <v/>
      </c>
      <c r="F9190" s="107" t="str">
        <f aca="false">IF($C9190="","",$D9190*$E9190)</f>
        <v/>
      </c>
      <c r="G9190" s="107" t="str">
        <f aca="false">IF($C9190="","",$D9190*IFERROR(INDEX('تحليل التكلفة والسعر'!$C$2:$C$700,MATCH($C9190,'تحليل التكلفة والسعر'!$B$2:$B$700,0)),0))</f>
        <v/>
      </c>
    </row>
    <row r="9191" customFormat="false" ht="15" hidden="false" customHeight="false" outlineLevel="0" collapsed="false">
      <c r="A9191" s="103"/>
      <c r="B9191" s="104"/>
      <c r="C9191" s="104"/>
      <c r="E9191" s="107" t="str">
        <f aca="false">IF($C9191="","",IFERROR(INDEX(المنيو!$C$2:$C$500,MATCH($C9191,المنيو!$B$2:$B$500,0)),0))</f>
        <v/>
      </c>
      <c r="F9191" s="107" t="str">
        <f aca="false">IF($C9191="","",$D9191*$E9191)</f>
        <v/>
      </c>
      <c r="G9191" s="107" t="str">
        <f aca="false">IF($C9191="","",$D9191*IFERROR(INDEX('تحليل التكلفة والسعر'!$C$2:$C$700,MATCH($C9191,'تحليل التكلفة والسعر'!$B$2:$B$700,0)),0))</f>
        <v/>
      </c>
    </row>
    <row r="9192" customFormat="false" ht="15" hidden="false" customHeight="false" outlineLevel="0" collapsed="false">
      <c r="A9192" s="103"/>
      <c r="B9192" s="104"/>
      <c r="C9192" s="104"/>
      <c r="E9192" s="107" t="str">
        <f aca="false">IF($C9192="","",IFERROR(INDEX(المنيو!$C$2:$C$500,MATCH($C9192,المنيو!$B$2:$B$500,0)),0))</f>
        <v/>
      </c>
      <c r="F9192" s="107" t="str">
        <f aca="false">IF($C9192="","",$D9192*$E9192)</f>
        <v/>
      </c>
      <c r="G9192" s="107" t="str">
        <f aca="false">IF($C9192="","",$D9192*IFERROR(INDEX('تحليل التكلفة والسعر'!$C$2:$C$700,MATCH($C9192,'تحليل التكلفة والسعر'!$B$2:$B$700,0)),0))</f>
        <v/>
      </c>
    </row>
    <row r="9193" customFormat="false" ht="15" hidden="false" customHeight="false" outlineLevel="0" collapsed="false">
      <c r="A9193" s="103"/>
      <c r="B9193" s="104"/>
      <c r="C9193" s="104"/>
      <c r="E9193" s="107" t="str">
        <f aca="false">IF($C9193="","",IFERROR(INDEX(المنيو!$C$2:$C$500,MATCH($C9193,المنيو!$B$2:$B$500,0)),0))</f>
        <v/>
      </c>
      <c r="F9193" s="107" t="str">
        <f aca="false">IF($C9193="","",$D9193*$E9193)</f>
        <v/>
      </c>
      <c r="G9193" s="107" t="str">
        <f aca="false">IF($C9193="","",$D9193*IFERROR(INDEX('تحليل التكلفة والسعر'!$C$2:$C$700,MATCH($C9193,'تحليل التكلفة والسعر'!$B$2:$B$700,0)),0))</f>
        <v/>
      </c>
    </row>
    <row r="9194" customFormat="false" ht="15" hidden="false" customHeight="false" outlineLevel="0" collapsed="false">
      <c r="A9194" s="103"/>
      <c r="B9194" s="104"/>
      <c r="C9194" s="104"/>
      <c r="E9194" s="107" t="str">
        <f aca="false">IF($C9194="","",IFERROR(INDEX(المنيو!$C$2:$C$500,MATCH($C9194,المنيو!$B$2:$B$500,0)),0))</f>
        <v/>
      </c>
      <c r="F9194" s="107" t="str">
        <f aca="false">IF($C9194="","",$D9194*$E9194)</f>
        <v/>
      </c>
      <c r="G9194" s="107" t="str">
        <f aca="false">IF($C9194="","",$D9194*IFERROR(INDEX('تحليل التكلفة والسعر'!$C$2:$C$700,MATCH($C9194,'تحليل التكلفة والسعر'!$B$2:$B$700,0)),0))</f>
        <v/>
      </c>
    </row>
    <row r="9195" customFormat="false" ht="15" hidden="false" customHeight="false" outlineLevel="0" collapsed="false">
      <c r="A9195" s="103"/>
      <c r="B9195" s="104"/>
      <c r="C9195" s="104"/>
      <c r="E9195" s="107" t="str">
        <f aca="false">IF($C9195="","",IFERROR(INDEX(المنيو!$C$2:$C$500,MATCH($C9195,المنيو!$B$2:$B$500,0)),0))</f>
        <v/>
      </c>
      <c r="F9195" s="107" t="str">
        <f aca="false">IF($C9195="","",$D9195*$E9195)</f>
        <v/>
      </c>
      <c r="G9195" s="107" t="str">
        <f aca="false">IF($C9195="","",$D9195*IFERROR(INDEX('تحليل التكلفة والسعر'!$C$2:$C$700,MATCH($C9195,'تحليل التكلفة والسعر'!$B$2:$B$700,0)),0))</f>
        <v/>
      </c>
    </row>
    <row r="9196" customFormat="false" ht="15" hidden="false" customHeight="false" outlineLevel="0" collapsed="false">
      <c r="A9196" s="103"/>
      <c r="B9196" s="104"/>
      <c r="C9196" s="104"/>
      <c r="E9196" s="107" t="str">
        <f aca="false">IF($C9196="","",IFERROR(INDEX(المنيو!$C$2:$C$500,MATCH($C9196,المنيو!$B$2:$B$500,0)),0))</f>
        <v/>
      </c>
      <c r="F9196" s="107" t="str">
        <f aca="false">IF($C9196="","",$D9196*$E9196)</f>
        <v/>
      </c>
      <c r="G9196" s="107" t="str">
        <f aca="false">IF($C9196="","",$D9196*IFERROR(INDEX('تحليل التكلفة والسعر'!$C$2:$C$700,MATCH($C9196,'تحليل التكلفة والسعر'!$B$2:$B$700,0)),0))</f>
        <v/>
      </c>
    </row>
    <row r="9197" customFormat="false" ht="15" hidden="false" customHeight="false" outlineLevel="0" collapsed="false">
      <c r="A9197" s="103"/>
      <c r="B9197" s="104"/>
      <c r="C9197" s="104"/>
      <c r="E9197" s="107" t="str">
        <f aca="false">IF($C9197="","",IFERROR(INDEX(المنيو!$C$2:$C$500,MATCH($C9197,المنيو!$B$2:$B$500,0)),0))</f>
        <v/>
      </c>
      <c r="F9197" s="107" t="str">
        <f aca="false">IF($C9197="","",$D9197*$E9197)</f>
        <v/>
      </c>
      <c r="G9197" s="107" t="str">
        <f aca="false">IF($C9197="","",$D9197*IFERROR(INDEX('تحليل التكلفة والسعر'!$C$2:$C$700,MATCH($C9197,'تحليل التكلفة والسعر'!$B$2:$B$700,0)),0))</f>
        <v/>
      </c>
    </row>
    <row r="9198" customFormat="false" ht="15" hidden="false" customHeight="false" outlineLevel="0" collapsed="false">
      <c r="A9198" s="103"/>
      <c r="B9198" s="104"/>
      <c r="C9198" s="104"/>
      <c r="E9198" s="107" t="str">
        <f aca="false">IF($C9198="","",IFERROR(INDEX(المنيو!$C$2:$C$500,MATCH($C9198,المنيو!$B$2:$B$500,0)),0))</f>
        <v/>
      </c>
      <c r="F9198" s="107" t="str">
        <f aca="false">IF($C9198="","",$D9198*$E9198)</f>
        <v/>
      </c>
      <c r="G9198" s="107" t="str">
        <f aca="false">IF($C9198="","",$D9198*IFERROR(INDEX('تحليل التكلفة والسعر'!$C$2:$C$700,MATCH($C9198,'تحليل التكلفة والسعر'!$B$2:$B$700,0)),0))</f>
        <v/>
      </c>
    </row>
    <row r="9199" customFormat="false" ht="15" hidden="false" customHeight="false" outlineLevel="0" collapsed="false">
      <c r="A9199" s="103"/>
      <c r="B9199" s="104"/>
      <c r="C9199" s="104"/>
      <c r="E9199" s="107" t="str">
        <f aca="false">IF($C9199="","",IFERROR(INDEX(المنيو!$C$2:$C$500,MATCH($C9199,المنيو!$B$2:$B$500,0)),0))</f>
        <v/>
      </c>
      <c r="F9199" s="107" t="str">
        <f aca="false">IF($C9199="","",$D9199*$E9199)</f>
        <v/>
      </c>
      <c r="G9199" s="107" t="str">
        <f aca="false">IF($C9199="","",$D9199*IFERROR(INDEX('تحليل التكلفة والسعر'!$C$2:$C$700,MATCH($C9199,'تحليل التكلفة والسعر'!$B$2:$B$700,0)),0))</f>
        <v/>
      </c>
    </row>
    <row r="9200" customFormat="false" ht="15" hidden="false" customHeight="false" outlineLevel="0" collapsed="false">
      <c r="A9200" s="103"/>
      <c r="B9200" s="104"/>
      <c r="C9200" s="104"/>
      <c r="E9200" s="107" t="str">
        <f aca="false">IF($C9200="","",IFERROR(INDEX(المنيو!$C$2:$C$500,MATCH($C9200,المنيو!$B$2:$B$500,0)),0))</f>
        <v/>
      </c>
      <c r="F9200" s="107" t="str">
        <f aca="false">IF($C9200="","",$D9200*$E9200)</f>
        <v/>
      </c>
      <c r="G9200" s="107" t="str">
        <f aca="false">IF($C9200="","",$D9200*IFERROR(INDEX('تحليل التكلفة والسعر'!$C$2:$C$700,MATCH($C9200,'تحليل التكلفة والسعر'!$B$2:$B$700,0)),0))</f>
        <v/>
      </c>
    </row>
    <row r="9201" customFormat="false" ht="15" hidden="false" customHeight="false" outlineLevel="0" collapsed="false">
      <c r="A9201" s="103"/>
      <c r="B9201" s="104"/>
      <c r="C9201" s="104"/>
      <c r="E9201" s="107" t="str">
        <f aca="false">IF($C9201="","",IFERROR(INDEX(المنيو!$C$2:$C$500,MATCH($C9201,المنيو!$B$2:$B$500,0)),0))</f>
        <v/>
      </c>
      <c r="F9201" s="107" t="str">
        <f aca="false">IF($C9201="","",$D9201*$E9201)</f>
        <v/>
      </c>
      <c r="G9201" s="107" t="str">
        <f aca="false">IF($C9201="","",$D9201*IFERROR(INDEX('تحليل التكلفة والسعر'!$C$2:$C$700,MATCH($C9201,'تحليل التكلفة والسعر'!$B$2:$B$700,0)),0))</f>
        <v/>
      </c>
    </row>
    <row r="9202" customFormat="false" ht="15" hidden="false" customHeight="false" outlineLevel="0" collapsed="false">
      <c r="A9202" s="103"/>
      <c r="B9202" s="104"/>
      <c r="C9202" s="104"/>
      <c r="E9202" s="107" t="str">
        <f aca="false">IF($C9202="","",IFERROR(INDEX(المنيو!$C$2:$C$500,MATCH($C9202,المنيو!$B$2:$B$500,0)),0))</f>
        <v/>
      </c>
      <c r="F9202" s="107" t="str">
        <f aca="false">IF($C9202="","",$D9202*$E9202)</f>
        <v/>
      </c>
      <c r="G9202" s="107" t="str">
        <f aca="false">IF($C9202="","",$D9202*IFERROR(INDEX('تحليل التكلفة والسعر'!$C$2:$C$700,MATCH($C9202,'تحليل التكلفة والسعر'!$B$2:$B$700,0)),0))</f>
        <v/>
      </c>
    </row>
    <row r="9203" customFormat="false" ht="15" hidden="false" customHeight="false" outlineLevel="0" collapsed="false">
      <c r="A9203" s="103"/>
      <c r="B9203" s="104"/>
      <c r="C9203" s="104"/>
      <c r="E9203" s="107" t="str">
        <f aca="false">IF($C9203="","",IFERROR(INDEX(المنيو!$C$2:$C$500,MATCH($C9203,المنيو!$B$2:$B$500,0)),0))</f>
        <v/>
      </c>
      <c r="F9203" s="107" t="str">
        <f aca="false">IF($C9203="","",$D9203*$E9203)</f>
        <v/>
      </c>
      <c r="G9203" s="107" t="str">
        <f aca="false">IF($C9203="","",$D9203*IFERROR(INDEX('تحليل التكلفة والسعر'!$C$2:$C$700,MATCH($C9203,'تحليل التكلفة والسعر'!$B$2:$B$700,0)),0))</f>
        <v/>
      </c>
    </row>
    <row r="9204" customFormat="false" ht="15" hidden="false" customHeight="false" outlineLevel="0" collapsed="false">
      <c r="A9204" s="103"/>
      <c r="B9204" s="104"/>
      <c r="C9204" s="104"/>
      <c r="E9204" s="107" t="str">
        <f aca="false">IF($C9204="","",IFERROR(INDEX(المنيو!$C$2:$C$500,MATCH($C9204,المنيو!$B$2:$B$500,0)),0))</f>
        <v/>
      </c>
      <c r="F9204" s="107" t="str">
        <f aca="false">IF($C9204="","",$D9204*$E9204)</f>
        <v/>
      </c>
      <c r="G9204" s="107" t="str">
        <f aca="false">IF($C9204="","",$D9204*IFERROR(INDEX('تحليل التكلفة والسعر'!$C$2:$C$700,MATCH($C9204,'تحليل التكلفة والسعر'!$B$2:$B$700,0)),0))</f>
        <v/>
      </c>
    </row>
    <row r="9205" customFormat="false" ht="15" hidden="false" customHeight="false" outlineLevel="0" collapsed="false">
      <c r="A9205" s="103"/>
      <c r="B9205" s="104"/>
      <c r="C9205" s="104"/>
      <c r="E9205" s="107" t="str">
        <f aca="false">IF($C9205="","",IFERROR(INDEX(المنيو!$C$2:$C$500,MATCH($C9205,المنيو!$B$2:$B$500,0)),0))</f>
        <v/>
      </c>
      <c r="F9205" s="107" t="str">
        <f aca="false">IF($C9205="","",$D9205*$E9205)</f>
        <v/>
      </c>
      <c r="G9205" s="107" t="str">
        <f aca="false">IF($C9205="","",$D9205*IFERROR(INDEX('تحليل التكلفة والسعر'!$C$2:$C$700,MATCH($C9205,'تحليل التكلفة والسعر'!$B$2:$B$700,0)),0))</f>
        <v/>
      </c>
    </row>
    <row r="9206" customFormat="false" ht="15" hidden="false" customHeight="false" outlineLevel="0" collapsed="false">
      <c r="A9206" s="103"/>
      <c r="B9206" s="104"/>
      <c r="C9206" s="104"/>
      <c r="E9206" s="107" t="str">
        <f aca="false">IF($C9206="","",IFERROR(INDEX(المنيو!$C$2:$C$500,MATCH($C9206,المنيو!$B$2:$B$500,0)),0))</f>
        <v/>
      </c>
      <c r="F9206" s="107" t="str">
        <f aca="false">IF($C9206="","",$D9206*$E9206)</f>
        <v/>
      </c>
      <c r="G9206" s="107" t="str">
        <f aca="false">IF($C9206="","",$D9206*IFERROR(INDEX('تحليل التكلفة والسعر'!$C$2:$C$700,MATCH($C9206,'تحليل التكلفة والسعر'!$B$2:$B$700,0)),0))</f>
        <v/>
      </c>
    </row>
    <row r="9207" customFormat="false" ht="15" hidden="false" customHeight="false" outlineLevel="0" collapsed="false">
      <c r="A9207" s="103"/>
      <c r="B9207" s="104"/>
      <c r="C9207" s="104"/>
      <c r="E9207" s="107" t="str">
        <f aca="false">IF($C9207="","",IFERROR(INDEX(المنيو!$C$2:$C$500,MATCH($C9207,المنيو!$B$2:$B$500,0)),0))</f>
        <v/>
      </c>
      <c r="F9207" s="107" t="str">
        <f aca="false">IF($C9207="","",$D9207*$E9207)</f>
        <v/>
      </c>
      <c r="G9207" s="107" t="str">
        <f aca="false">IF($C9207="","",$D9207*IFERROR(INDEX('تحليل التكلفة والسعر'!$C$2:$C$700,MATCH($C9207,'تحليل التكلفة والسعر'!$B$2:$B$700,0)),0))</f>
        <v/>
      </c>
    </row>
    <row r="9208" customFormat="false" ht="15" hidden="false" customHeight="false" outlineLevel="0" collapsed="false">
      <c r="A9208" s="103"/>
      <c r="B9208" s="104"/>
      <c r="C9208" s="104"/>
      <c r="E9208" s="107" t="str">
        <f aca="false">IF($C9208="","",IFERROR(INDEX(المنيو!$C$2:$C$500,MATCH($C9208,المنيو!$B$2:$B$500,0)),0))</f>
        <v/>
      </c>
      <c r="F9208" s="107" t="str">
        <f aca="false">IF($C9208="","",$D9208*$E9208)</f>
        <v/>
      </c>
      <c r="G9208" s="107" t="str">
        <f aca="false">IF($C9208="","",$D9208*IFERROR(INDEX('تحليل التكلفة والسعر'!$C$2:$C$700,MATCH($C9208,'تحليل التكلفة والسعر'!$B$2:$B$700,0)),0))</f>
        <v/>
      </c>
    </row>
    <row r="9209" customFormat="false" ht="15" hidden="false" customHeight="false" outlineLevel="0" collapsed="false">
      <c r="A9209" s="103"/>
      <c r="B9209" s="104"/>
      <c r="C9209" s="104"/>
      <c r="E9209" s="107" t="str">
        <f aca="false">IF($C9209="","",IFERROR(INDEX(المنيو!$C$2:$C$500,MATCH($C9209,المنيو!$B$2:$B$500,0)),0))</f>
        <v/>
      </c>
      <c r="F9209" s="107" t="str">
        <f aca="false">IF($C9209="","",$D9209*$E9209)</f>
        <v/>
      </c>
      <c r="G9209" s="107" t="str">
        <f aca="false">IF($C9209="","",$D9209*IFERROR(INDEX('تحليل التكلفة والسعر'!$C$2:$C$700,MATCH($C9209,'تحليل التكلفة والسعر'!$B$2:$B$700,0)),0))</f>
        <v/>
      </c>
    </row>
    <row r="9210" customFormat="false" ht="15" hidden="false" customHeight="false" outlineLevel="0" collapsed="false">
      <c r="A9210" s="103"/>
      <c r="B9210" s="104"/>
      <c r="C9210" s="104"/>
      <c r="E9210" s="107" t="str">
        <f aca="false">IF($C9210="","",IFERROR(INDEX(المنيو!$C$2:$C$500,MATCH($C9210,المنيو!$B$2:$B$500,0)),0))</f>
        <v/>
      </c>
      <c r="F9210" s="107" t="str">
        <f aca="false">IF($C9210="","",$D9210*$E9210)</f>
        <v/>
      </c>
      <c r="G9210" s="107" t="str">
        <f aca="false">IF($C9210="","",$D9210*IFERROR(INDEX('تحليل التكلفة والسعر'!$C$2:$C$700,MATCH($C9210,'تحليل التكلفة والسعر'!$B$2:$B$700,0)),0))</f>
        <v/>
      </c>
    </row>
    <row r="9211" customFormat="false" ht="15" hidden="false" customHeight="false" outlineLevel="0" collapsed="false">
      <c r="A9211" s="103"/>
      <c r="B9211" s="104"/>
      <c r="C9211" s="104"/>
      <c r="E9211" s="107" t="str">
        <f aca="false">IF($C9211="","",IFERROR(INDEX(المنيو!$C$2:$C$500,MATCH($C9211,المنيو!$B$2:$B$500,0)),0))</f>
        <v/>
      </c>
      <c r="F9211" s="107" t="str">
        <f aca="false">IF($C9211="","",$D9211*$E9211)</f>
        <v/>
      </c>
      <c r="G9211" s="107" t="str">
        <f aca="false">IF($C9211="","",$D9211*IFERROR(INDEX('تحليل التكلفة والسعر'!$C$2:$C$700,MATCH($C9211,'تحليل التكلفة والسعر'!$B$2:$B$700,0)),0))</f>
        <v/>
      </c>
    </row>
    <row r="9212" customFormat="false" ht="15" hidden="false" customHeight="false" outlineLevel="0" collapsed="false">
      <c r="A9212" s="103"/>
      <c r="B9212" s="104"/>
      <c r="C9212" s="104"/>
      <c r="E9212" s="107" t="str">
        <f aca="false">IF($C9212="","",IFERROR(INDEX(المنيو!$C$2:$C$500,MATCH($C9212,المنيو!$B$2:$B$500,0)),0))</f>
        <v/>
      </c>
      <c r="F9212" s="107" t="str">
        <f aca="false">IF($C9212="","",$D9212*$E9212)</f>
        <v/>
      </c>
      <c r="G9212" s="107" t="str">
        <f aca="false">IF($C9212="","",$D9212*IFERROR(INDEX('تحليل التكلفة والسعر'!$C$2:$C$700,MATCH($C9212,'تحليل التكلفة والسعر'!$B$2:$B$700,0)),0))</f>
        <v/>
      </c>
    </row>
    <row r="9213" customFormat="false" ht="15" hidden="false" customHeight="false" outlineLevel="0" collapsed="false">
      <c r="A9213" s="103"/>
      <c r="B9213" s="104"/>
      <c r="C9213" s="104"/>
      <c r="E9213" s="107" t="str">
        <f aca="false">IF($C9213="","",IFERROR(INDEX(المنيو!$C$2:$C$500,MATCH($C9213,المنيو!$B$2:$B$500,0)),0))</f>
        <v/>
      </c>
      <c r="F9213" s="107" t="str">
        <f aca="false">IF($C9213="","",$D9213*$E9213)</f>
        <v/>
      </c>
      <c r="G9213" s="107" t="str">
        <f aca="false">IF($C9213="","",$D9213*IFERROR(INDEX('تحليل التكلفة والسعر'!$C$2:$C$700,MATCH($C9213,'تحليل التكلفة والسعر'!$B$2:$B$700,0)),0))</f>
        <v/>
      </c>
    </row>
    <row r="9214" customFormat="false" ht="15" hidden="false" customHeight="false" outlineLevel="0" collapsed="false">
      <c r="A9214" s="103"/>
      <c r="B9214" s="104"/>
      <c r="C9214" s="104"/>
      <c r="E9214" s="107" t="str">
        <f aca="false">IF($C9214="","",IFERROR(INDEX(المنيو!$C$2:$C$500,MATCH($C9214,المنيو!$B$2:$B$500,0)),0))</f>
        <v/>
      </c>
      <c r="F9214" s="107" t="str">
        <f aca="false">IF($C9214="","",$D9214*$E9214)</f>
        <v/>
      </c>
      <c r="G9214" s="107" t="str">
        <f aca="false">IF($C9214="","",$D9214*IFERROR(INDEX('تحليل التكلفة والسعر'!$C$2:$C$700,MATCH($C9214,'تحليل التكلفة والسعر'!$B$2:$B$700,0)),0))</f>
        <v/>
      </c>
    </row>
    <row r="9215" customFormat="false" ht="15" hidden="false" customHeight="false" outlineLevel="0" collapsed="false">
      <c r="A9215" s="103"/>
      <c r="B9215" s="104"/>
      <c r="C9215" s="104"/>
      <c r="E9215" s="107" t="str">
        <f aca="false">IF($C9215="","",IFERROR(INDEX(المنيو!$C$2:$C$500,MATCH($C9215,المنيو!$B$2:$B$500,0)),0))</f>
        <v/>
      </c>
      <c r="F9215" s="107" t="str">
        <f aca="false">IF($C9215="","",$D9215*$E9215)</f>
        <v/>
      </c>
      <c r="G9215" s="107" t="str">
        <f aca="false">IF($C9215="","",$D9215*IFERROR(INDEX('تحليل التكلفة والسعر'!$C$2:$C$700,MATCH($C9215,'تحليل التكلفة والسعر'!$B$2:$B$700,0)),0))</f>
        <v/>
      </c>
    </row>
    <row r="9216" customFormat="false" ht="15" hidden="false" customHeight="false" outlineLevel="0" collapsed="false">
      <c r="A9216" s="103"/>
      <c r="B9216" s="104"/>
      <c r="C9216" s="104"/>
      <c r="E9216" s="107" t="str">
        <f aca="false">IF($C9216="","",IFERROR(INDEX(المنيو!$C$2:$C$500,MATCH($C9216,المنيو!$B$2:$B$500,0)),0))</f>
        <v/>
      </c>
      <c r="F9216" s="107" t="str">
        <f aca="false">IF($C9216="","",$D9216*$E9216)</f>
        <v/>
      </c>
      <c r="G9216" s="107" t="str">
        <f aca="false">IF($C9216="","",$D9216*IFERROR(INDEX('تحليل التكلفة والسعر'!$C$2:$C$700,MATCH($C9216,'تحليل التكلفة والسعر'!$B$2:$B$700,0)),0))</f>
        <v/>
      </c>
    </row>
    <row r="9217" customFormat="false" ht="15" hidden="false" customHeight="false" outlineLevel="0" collapsed="false">
      <c r="A9217" s="103"/>
      <c r="B9217" s="104"/>
      <c r="C9217" s="104"/>
      <c r="E9217" s="107" t="str">
        <f aca="false">IF($C9217="","",IFERROR(INDEX(المنيو!$C$2:$C$500,MATCH($C9217,المنيو!$B$2:$B$500,0)),0))</f>
        <v/>
      </c>
      <c r="F9217" s="107" t="str">
        <f aca="false">IF($C9217="","",$D9217*$E9217)</f>
        <v/>
      </c>
      <c r="G9217" s="107" t="str">
        <f aca="false">IF($C9217="","",$D9217*IFERROR(INDEX('تحليل التكلفة والسعر'!$C$2:$C$700,MATCH($C9217,'تحليل التكلفة والسعر'!$B$2:$B$700,0)),0))</f>
        <v/>
      </c>
    </row>
    <row r="9218" customFormat="false" ht="15" hidden="false" customHeight="false" outlineLevel="0" collapsed="false">
      <c r="A9218" s="103"/>
      <c r="B9218" s="104"/>
      <c r="C9218" s="104"/>
      <c r="E9218" s="107" t="str">
        <f aca="false">IF($C9218="","",IFERROR(INDEX(المنيو!$C$2:$C$500,MATCH($C9218,المنيو!$B$2:$B$500,0)),0))</f>
        <v/>
      </c>
      <c r="F9218" s="107" t="str">
        <f aca="false">IF($C9218="","",$D9218*$E9218)</f>
        <v/>
      </c>
      <c r="G9218" s="107" t="str">
        <f aca="false">IF($C9218="","",$D9218*IFERROR(INDEX('تحليل التكلفة والسعر'!$C$2:$C$700,MATCH($C9218,'تحليل التكلفة والسعر'!$B$2:$B$700,0)),0))</f>
        <v/>
      </c>
    </row>
    <row r="9219" customFormat="false" ht="15" hidden="false" customHeight="false" outlineLevel="0" collapsed="false">
      <c r="A9219" s="103"/>
      <c r="B9219" s="104"/>
      <c r="C9219" s="104"/>
      <c r="E9219" s="107" t="str">
        <f aca="false">IF($C9219="","",IFERROR(INDEX(المنيو!$C$2:$C$500,MATCH($C9219,المنيو!$B$2:$B$500,0)),0))</f>
        <v/>
      </c>
      <c r="F9219" s="107" t="str">
        <f aca="false">IF($C9219="","",$D9219*$E9219)</f>
        <v/>
      </c>
      <c r="G9219" s="107" t="str">
        <f aca="false">IF($C9219="","",$D9219*IFERROR(INDEX('تحليل التكلفة والسعر'!$C$2:$C$700,MATCH($C9219,'تحليل التكلفة والسعر'!$B$2:$B$700,0)),0))</f>
        <v/>
      </c>
    </row>
    <row r="9220" customFormat="false" ht="15" hidden="false" customHeight="false" outlineLevel="0" collapsed="false">
      <c r="A9220" s="103"/>
      <c r="B9220" s="104"/>
      <c r="C9220" s="104"/>
      <c r="E9220" s="107" t="str">
        <f aca="false">IF($C9220="","",IFERROR(INDEX(المنيو!$C$2:$C$500,MATCH($C9220,المنيو!$B$2:$B$500,0)),0))</f>
        <v/>
      </c>
      <c r="F9220" s="107" t="str">
        <f aca="false">IF($C9220="","",$D9220*$E9220)</f>
        <v/>
      </c>
      <c r="G9220" s="107" t="str">
        <f aca="false">IF($C9220="","",$D9220*IFERROR(INDEX('تحليل التكلفة والسعر'!$C$2:$C$700,MATCH($C9220,'تحليل التكلفة والسعر'!$B$2:$B$700,0)),0))</f>
        <v/>
      </c>
    </row>
    <row r="9221" customFormat="false" ht="15" hidden="false" customHeight="false" outlineLevel="0" collapsed="false">
      <c r="A9221" s="103"/>
      <c r="B9221" s="104"/>
      <c r="C9221" s="104"/>
      <c r="E9221" s="107" t="str">
        <f aca="false">IF($C9221="","",IFERROR(INDEX(المنيو!$C$2:$C$500,MATCH($C9221,المنيو!$B$2:$B$500,0)),0))</f>
        <v/>
      </c>
      <c r="F9221" s="107" t="str">
        <f aca="false">IF($C9221="","",$D9221*$E9221)</f>
        <v/>
      </c>
      <c r="G9221" s="107" t="str">
        <f aca="false">IF($C9221="","",$D9221*IFERROR(INDEX('تحليل التكلفة والسعر'!$C$2:$C$700,MATCH($C9221,'تحليل التكلفة والسعر'!$B$2:$B$700,0)),0))</f>
        <v/>
      </c>
    </row>
    <row r="9222" customFormat="false" ht="15" hidden="false" customHeight="false" outlineLevel="0" collapsed="false">
      <c r="A9222" s="103"/>
      <c r="B9222" s="104"/>
      <c r="C9222" s="104"/>
      <c r="E9222" s="107" t="str">
        <f aca="false">IF($C9222="","",IFERROR(INDEX(المنيو!$C$2:$C$500,MATCH($C9222,المنيو!$B$2:$B$500,0)),0))</f>
        <v/>
      </c>
      <c r="F9222" s="107" t="str">
        <f aca="false">IF($C9222="","",$D9222*$E9222)</f>
        <v/>
      </c>
      <c r="G9222" s="107" t="str">
        <f aca="false">IF($C9222="","",$D9222*IFERROR(INDEX('تحليل التكلفة والسعر'!$C$2:$C$700,MATCH($C9222,'تحليل التكلفة والسعر'!$B$2:$B$700,0)),0))</f>
        <v/>
      </c>
    </row>
    <row r="9223" customFormat="false" ht="15" hidden="false" customHeight="false" outlineLevel="0" collapsed="false">
      <c r="A9223" s="103"/>
      <c r="B9223" s="104"/>
      <c r="C9223" s="104"/>
      <c r="E9223" s="107" t="str">
        <f aca="false">IF($C9223="","",IFERROR(INDEX(المنيو!$C$2:$C$500,MATCH($C9223,المنيو!$B$2:$B$500,0)),0))</f>
        <v/>
      </c>
      <c r="F9223" s="107" t="str">
        <f aca="false">IF($C9223="","",$D9223*$E9223)</f>
        <v/>
      </c>
      <c r="G9223" s="107" t="str">
        <f aca="false">IF($C9223="","",$D9223*IFERROR(INDEX('تحليل التكلفة والسعر'!$C$2:$C$700,MATCH($C9223,'تحليل التكلفة والسعر'!$B$2:$B$700,0)),0))</f>
        <v/>
      </c>
    </row>
    <row r="9224" customFormat="false" ht="15" hidden="false" customHeight="false" outlineLevel="0" collapsed="false">
      <c r="A9224" s="103"/>
      <c r="B9224" s="104"/>
      <c r="C9224" s="104"/>
      <c r="E9224" s="107" t="str">
        <f aca="false">IF($C9224="","",IFERROR(INDEX(المنيو!$C$2:$C$500,MATCH($C9224,المنيو!$B$2:$B$500,0)),0))</f>
        <v/>
      </c>
      <c r="F9224" s="107" t="str">
        <f aca="false">IF($C9224="","",$D9224*$E9224)</f>
        <v/>
      </c>
      <c r="G9224" s="107" t="str">
        <f aca="false">IF($C9224="","",$D9224*IFERROR(INDEX('تحليل التكلفة والسعر'!$C$2:$C$700,MATCH($C9224,'تحليل التكلفة والسعر'!$B$2:$B$700,0)),0))</f>
        <v/>
      </c>
    </row>
    <row r="9225" customFormat="false" ht="15" hidden="false" customHeight="false" outlineLevel="0" collapsed="false">
      <c r="A9225" s="103"/>
      <c r="B9225" s="104"/>
      <c r="C9225" s="104"/>
      <c r="E9225" s="107" t="str">
        <f aca="false">IF($C9225="","",IFERROR(INDEX(المنيو!$C$2:$C$500,MATCH($C9225,المنيو!$B$2:$B$500,0)),0))</f>
        <v/>
      </c>
      <c r="F9225" s="107" t="str">
        <f aca="false">IF($C9225="","",$D9225*$E9225)</f>
        <v/>
      </c>
      <c r="G9225" s="107" t="str">
        <f aca="false">IF($C9225="","",$D9225*IFERROR(INDEX('تحليل التكلفة والسعر'!$C$2:$C$700,MATCH($C9225,'تحليل التكلفة والسعر'!$B$2:$B$700,0)),0))</f>
        <v/>
      </c>
    </row>
    <row r="9226" customFormat="false" ht="15" hidden="false" customHeight="false" outlineLevel="0" collapsed="false">
      <c r="A9226" s="103"/>
      <c r="B9226" s="104"/>
      <c r="C9226" s="104"/>
      <c r="E9226" s="107" t="str">
        <f aca="false">IF($C9226="","",IFERROR(INDEX(المنيو!$C$2:$C$500,MATCH($C9226,المنيو!$B$2:$B$500,0)),0))</f>
        <v/>
      </c>
      <c r="F9226" s="107" t="str">
        <f aca="false">IF($C9226="","",$D9226*$E9226)</f>
        <v/>
      </c>
      <c r="G9226" s="107" t="str">
        <f aca="false">IF($C9226="","",$D9226*IFERROR(INDEX('تحليل التكلفة والسعر'!$C$2:$C$700,MATCH($C9226,'تحليل التكلفة والسعر'!$B$2:$B$700,0)),0))</f>
        <v/>
      </c>
    </row>
    <row r="9227" customFormat="false" ht="15" hidden="false" customHeight="false" outlineLevel="0" collapsed="false">
      <c r="A9227" s="103"/>
      <c r="B9227" s="104"/>
      <c r="C9227" s="104"/>
      <c r="E9227" s="107" t="str">
        <f aca="false">IF($C9227="","",IFERROR(INDEX(المنيو!$C$2:$C$500,MATCH($C9227,المنيو!$B$2:$B$500,0)),0))</f>
        <v/>
      </c>
      <c r="F9227" s="107" t="str">
        <f aca="false">IF($C9227="","",$D9227*$E9227)</f>
        <v/>
      </c>
      <c r="G9227" s="107" t="str">
        <f aca="false">IF($C9227="","",$D9227*IFERROR(INDEX('تحليل التكلفة والسعر'!$C$2:$C$700,MATCH($C9227,'تحليل التكلفة والسعر'!$B$2:$B$700,0)),0))</f>
        <v/>
      </c>
    </row>
    <row r="9228" customFormat="false" ht="15" hidden="false" customHeight="false" outlineLevel="0" collapsed="false">
      <c r="A9228" s="103"/>
      <c r="B9228" s="104"/>
      <c r="C9228" s="104"/>
      <c r="E9228" s="107" t="str">
        <f aca="false">IF($C9228="","",IFERROR(INDEX(المنيو!$C$2:$C$500,MATCH($C9228,المنيو!$B$2:$B$500,0)),0))</f>
        <v/>
      </c>
      <c r="F9228" s="107" t="str">
        <f aca="false">IF($C9228="","",$D9228*$E9228)</f>
        <v/>
      </c>
      <c r="G9228" s="107" t="str">
        <f aca="false">IF($C9228="","",$D9228*IFERROR(INDEX('تحليل التكلفة والسعر'!$C$2:$C$700,MATCH($C9228,'تحليل التكلفة والسعر'!$B$2:$B$700,0)),0))</f>
        <v/>
      </c>
    </row>
    <row r="9229" customFormat="false" ht="15" hidden="false" customHeight="false" outlineLevel="0" collapsed="false">
      <c r="A9229" s="103"/>
      <c r="B9229" s="104"/>
      <c r="C9229" s="104"/>
      <c r="E9229" s="107" t="str">
        <f aca="false">IF($C9229="","",IFERROR(INDEX(المنيو!$C$2:$C$500,MATCH($C9229,المنيو!$B$2:$B$500,0)),0))</f>
        <v/>
      </c>
      <c r="F9229" s="107" t="str">
        <f aca="false">IF($C9229="","",$D9229*$E9229)</f>
        <v/>
      </c>
      <c r="G9229" s="107" t="str">
        <f aca="false">IF($C9229="","",$D9229*IFERROR(INDEX('تحليل التكلفة والسعر'!$C$2:$C$700,MATCH($C9229,'تحليل التكلفة والسعر'!$B$2:$B$700,0)),0))</f>
        <v/>
      </c>
    </row>
    <row r="9230" customFormat="false" ht="15" hidden="false" customHeight="false" outlineLevel="0" collapsed="false">
      <c r="A9230" s="103"/>
      <c r="B9230" s="104"/>
      <c r="C9230" s="104"/>
      <c r="E9230" s="107" t="str">
        <f aca="false">IF($C9230="","",IFERROR(INDEX(المنيو!$C$2:$C$500,MATCH($C9230,المنيو!$B$2:$B$500,0)),0))</f>
        <v/>
      </c>
      <c r="F9230" s="107" t="str">
        <f aca="false">IF($C9230="","",$D9230*$E9230)</f>
        <v/>
      </c>
      <c r="G9230" s="107" t="str">
        <f aca="false">IF($C9230="","",$D9230*IFERROR(INDEX('تحليل التكلفة والسعر'!$C$2:$C$700,MATCH($C9230,'تحليل التكلفة والسعر'!$B$2:$B$700,0)),0))</f>
        <v/>
      </c>
    </row>
    <row r="9231" customFormat="false" ht="15" hidden="false" customHeight="false" outlineLevel="0" collapsed="false">
      <c r="A9231" s="103"/>
      <c r="B9231" s="104"/>
      <c r="C9231" s="104"/>
      <c r="E9231" s="107" t="str">
        <f aca="false">IF($C9231="","",IFERROR(INDEX(المنيو!$C$2:$C$500,MATCH($C9231,المنيو!$B$2:$B$500,0)),0))</f>
        <v/>
      </c>
      <c r="F9231" s="107" t="str">
        <f aca="false">IF($C9231="","",$D9231*$E9231)</f>
        <v/>
      </c>
      <c r="G9231" s="107" t="str">
        <f aca="false">IF($C9231="","",$D9231*IFERROR(INDEX('تحليل التكلفة والسعر'!$C$2:$C$700,MATCH($C9231,'تحليل التكلفة والسعر'!$B$2:$B$700,0)),0))</f>
        <v/>
      </c>
    </row>
    <row r="9232" customFormat="false" ht="15" hidden="false" customHeight="false" outlineLevel="0" collapsed="false">
      <c r="A9232" s="103"/>
      <c r="B9232" s="104"/>
      <c r="C9232" s="104"/>
      <c r="E9232" s="107" t="str">
        <f aca="false">IF($C9232="","",IFERROR(INDEX(المنيو!$C$2:$C$500,MATCH($C9232,المنيو!$B$2:$B$500,0)),0))</f>
        <v/>
      </c>
      <c r="F9232" s="107" t="str">
        <f aca="false">IF($C9232="","",$D9232*$E9232)</f>
        <v/>
      </c>
      <c r="G9232" s="107" t="str">
        <f aca="false">IF($C9232="","",$D9232*IFERROR(INDEX('تحليل التكلفة والسعر'!$C$2:$C$700,MATCH($C9232,'تحليل التكلفة والسعر'!$B$2:$B$700,0)),0))</f>
        <v/>
      </c>
    </row>
    <row r="9233" customFormat="false" ht="15" hidden="false" customHeight="false" outlineLevel="0" collapsed="false">
      <c r="A9233" s="103"/>
      <c r="B9233" s="104"/>
      <c r="C9233" s="104"/>
      <c r="E9233" s="107" t="str">
        <f aca="false">IF($C9233="","",IFERROR(INDEX(المنيو!$C$2:$C$500,MATCH($C9233,المنيو!$B$2:$B$500,0)),0))</f>
        <v/>
      </c>
      <c r="F9233" s="107" t="str">
        <f aca="false">IF($C9233="","",$D9233*$E9233)</f>
        <v/>
      </c>
      <c r="G9233" s="107" t="str">
        <f aca="false">IF($C9233="","",$D9233*IFERROR(INDEX('تحليل التكلفة والسعر'!$C$2:$C$700,MATCH($C9233,'تحليل التكلفة والسعر'!$B$2:$B$700,0)),0))</f>
        <v/>
      </c>
    </row>
    <row r="9234" customFormat="false" ht="15" hidden="false" customHeight="false" outlineLevel="0" collapsed="false">
      <c r="A9234" s="103"/>
      <c r="B9234" s="104"/>
      <c r="C9234" s="104"/>
      <c r="E9234" s="107" t="str">
        <f aca="false">IF($C9234="","",IFERROR(INDEX(المنيو!$C$2:$C$500,MATCH($C9234,المنيو!$B$2:$B$500,0)),0))</f>
        <v/>
      </c>
      <c r="F9234" s="107" t="str">
        <f aca="false">IF($C9234="","",$D9234*$E9234)</f>
        <v/>
      </c>
      <c r="G9234" s="107" t="str">
        <f aca="false">IF($C9234="","",$D9234*IFERROR(INDEX('تحليل التكلفة والسعر'!$C$2:$C$700,MATCH($C9234,'تحليل التكلفة والسعر'!$B$2:$B$700,0)),0))</f>
        <v/>
      </c>
    </row>
    <row r="9235" customFormat="false" ht="15" hidden="false" customHeight="false" outlineLevel="0" collapsed="false">
      <c r="A9235" s="103"/>
      <c r="B9235" s="104"/>
      <c r="C9235" s="104"/>
      <c r="E9235" s="107" t="str">
        <f aca="false">IF($C9235="","",IFERROR(INDEX(المنيو!$C$2:$C$500,MATCH($C9235,المنيو!$B$2:$B$500,0)),0))</f>
        <v/>
      </c>
      <c r="F9235" s="107" t="str">
        <f aca="false">IF($C9235="","",$D9235*$E9235)</f>
        <v/>
      </c>
      <c r="G9235" s="107" t="str">
        <f aca="false">IF($C9235="","",$D9235*IFERROR(INDEX('تحليل التكلفة والسعر'!$C$2:$C$700,MATCH($C9235,'تحليل التكلفة والسعر'!$B$2:$B$700,0)),0))</f>
        <v/>
      </c>
    </row>
    <row r="9236" customFormat="false" ht="15" hidden="false" customHeight="false" outlineLevel="0" collapsed="false">
      <c r="A9236" s="103"/>
      <c r="B9236" s="104"/>
      <c r="C9236" s="104"/>
      <c r="E9236" s="107" t="str">
        <f aca="false">IF($C9236="","",IFERROR(INDEX(المنيو!$C$2:$C$500,MATCH($C9236,المنيو!$B$2:$B$500,0)),0))</f>
        <v/>
      </c>
      <c r="F9236" s="107" t="str">
        <f aca="false">IF($C9236="","",$D9236*$E9236)</f>
        <v/>
      </c>
      <c r="G9236" s="107" t="str">
        <f aca="false">IF($C9236="","",$D9236*IFERROR(INDEX('تحليل التكلفة والسعر'!$C$2:$C$700,MATCH($C9236,'تحليل التكلفة والسعر'!$B$2:$B$700,0)),0))</f>
        <v/>
      </c>
    </row>
    <row r="9237" customFormat="false" ht="15" hidden="false" customHeight="false" outlineLevel="0" collapsed="false">
      <c r="A9237" s="103"/>
      <c r="B9237" s="104"/>
      <c r="C9237" s="104"/>
      <c r="E9237" s="107" t="str">
        <f aca="false">IF($C9237="","",IFERROR(INDEX(المنيو!$C$2:$C$500,MATCH($C9237,المنيو!$B$2:$B$500,0)),0))</f>
        <v/>
      </c>
      <c r="F9237" s="107" t="str">
        <f aca="false">IF($C9237="","",$D9237*$E9237)</f>
        <v/>
      </c>
      <c r="G9237" s="107" t="str">
        <f aca="false">IF($C9237="","",$D9237*IFERROR(INDEX('تحليل التكلفة والسعر'!$C$2:$C$700,MATCH($C9237,'تحليل التكلفة والسعر'!$B$2:$B$700,0)),0))</f>
        <v/>
      </c>
    </row>
    <row r="9238" customFormat="false" ht="15" hidden="false" customHeight="false" outlineLevel="0" collapsed="false">
      <c r="A9238" s="103"/>
      <c r="B9238" s="104"/>
      <c r="C9238" s="104"/>
      <c r="E9238" s="107" t="str">
        <f aca="false">IF($C9238="","",IFERROR(INDEX(المنيو!$C$2:$C$500,MATCH($C9238,المنيو!$B$2:$B$500,0)),0))</f>
        <v/>
      </c>
      <c r="F9238" s="107" t="str">
        <f aca="false">IF($C9238="","",$D9238*$E9238)</f>
        <v/>
      </c>
      <c r="G9238" s="107" t="str">
        <f aca="false">IF($C9238="","",$D9238*IFERROR(INDEX('تحليل التكلفة والسعر'!$C$2:$C$700,MATCH($C9238,'تحليل التكلفة والسعر'!$B$2:$B$700,0)),0))</f>
        <v/>
      </c>
    </row>
    <row r="9239" customFormat="false" ht="15" hidden="false" customHeight="false" outlineLevel="0" collapsed="false">
      <c r="A9239" s="103"/>
      <c r="B9239" s="104"/>
      <c r="C9239" s="104"/>
      <c r="E9239" s="107" t="str">
        <f aca="false">IF($C9239="","",IFERROR(INDEX(المنيو!$C$2:$C$500,MATCH($C9239,المنيو!$B$2:$B$500,0)),0))</f>
        <v/>
      </c>
      <c r="F9239" s="107" t="str">
        <f aca="false">IF($C9239="","",$D9239*$E9239)</f>
        <v/>
      </c>
      <c r="G9239" s="107" t="str">
        <f aca="false">IF($C9239="","",$D9239*IFERROR(INDEX('تحليل التكلفة والسعر'!$C$2:$C$700,MATCH($C9239,'تحليل التكلفة والسعر'!$B$2:$B$700,0)),0))</f>
        <v/>
      </c>
    </row>
    <row r="9240" customFormat="false" ht="15" hidden="false" customHeight="false" outlineLevel="0" collapsed="false">
      <c r="A9240" s="103"/>
      <c r="B9240" s="104"/>
      <c r="C9240" s="104"/>
      <c r="E9240" s="107" t="str">
        <f aca="false">IF($C9240="","",IFERROR(INDEX(المنيو!$C$2:$C$500,MATCH($C9240,المنيو!$B$2:$B$500,0)),0))</f>
        <v/>
      </c>
      <c r="F9240" s="107" t="str">
        <f aca="false">IF($C9240="","",$D9240*$E9240)</f>
        <v/>
      </c>
      <c r="G9240" s="107" t="str">
        <f aca="false">IF($C9240="","",$D9240*IFERROR(INDEX('تحليل التكلفة والسعر'!$C$2:$C$700,MATCH($C9240,'تحليل التكلفة والسعر'!$B$2:$B$700,0)),0))</f>
        <v/>
      </c>
    </row>
    <row r="9241" customFormat="false" ht="15" hidden="false" customHeight="false" outlineLevel="0" collapsed="false">
      <c r="A9241" s="103"/>
      <c r="B9241" s="104"/>
      <c r="C9241" s="104"/>
      <c r="E9241" s="107" t="str">
        <f aca="false">IF($C9241="","",IFERROR(INDEX(المنيو!$C$2:$C$500,MATCH($C9241,المنيو!$B$2:$B$500,0)),0))</f>
        <v/>
      </c>
      <c r="F9241" s="107" t="str">
        <f aca="false">IF($C9241="","",$D9241*$E9241)</f>
        <v/>
      </c>
      <c r="G9241" s="107" t="str">
        <f aca="false">IF($C9241="","",$D9241*IFERROR(INDEX('تحليل التكلفة والسعر'!$C$2:$C$700,MATCH($C9241,'تحليل التكلفة والسعر'!$B$2:$B$700,0)),0))</f>
        <v/>
      </c>
    </row>
    <row r="9242" customFormat="false" ht="15" hidden="false" customHeight="false" outlineLevel="0" collapsed="false">
      <c r="A9242" s="103"/>
      <c r="B9242" s="104"/>
      <c r="C9242" s="104"/>
      <c r="E9242" s="107" t="str">
        <f aca="false">IF($C9242="","",IFERROR(INDEX(المنيو!$C$2:$C$500,MATCH($C9242,المنيو!$B$2:$B$500,0)),0))</f>
        <v/>
      </c>
      <c r="F9242" s="107" t="str">
        <f aca="false">IF($C9242="","",$D9242*$E9242)</f>
        <v/>
      </c>
      <c r="G9242" s="107" t="str">
        <f aca="false">IF($C9242="","",$D9242*IFERROR(INDEX('تحليل التكلفة والسعر'!$C$2:$C$700,MATCH($C9242,'تحليل التكلفة والسعر'!$B$2:$B$700,0)),0))</f>
        <v/>
      </c>
    </row>
    <row r="9243" customFormat="false" ht="15" hidden="false" customHeight="false" outlineLevel="0" collapsed="false">
      <c r="A9243" s="103"/>
      <c r="B9243" s="104"/>
      <c r="C9243" s="104"/>
      <c r="E9243" s="107" t="str">
        <f aca="false">IF($C9243="","",IFERROR(INDEX(المنيو!$C$2:$C$500,MATCH($C9243,المنيو!$B$2:$B$500,0)),0))</f>
        <v/>
      </c>
      <c r="F9243" s="107" t="str">
        <f aca="false">IF($C9243="","",$D9243*$E9243)</f>
        <v/>
      </c>
      <c r="G9243" s="107" t="str">
        <f aca="false">IF($C9243="","",$D9243*IFERROR(INDEX('تحليل التكلفة والسعر'!$C$2:$C$700,MATCH($C9243,'تحليل التكلفة والسعر'!$B$2:$B$700,0)),0))</f>
        <v/>
      </c>
    </row>
    <row r="9244" customFormat="false" ht="15" hidden="false" customHeight="false" outlineLevel="0" collapsed="false">
      <c r="A9244" s="103"/>
      <c r="B9244" s="104"/>
      <c r="C9244" s="104"/>
      <c r="E9244" s="107" t="str">
        <f aca="false">IF($C9244="","",IFERROR(INDEX(المنيو!$C$2:$C$500,MATCH($C9244,المنيو!$B$2:$B$500,0)),0))</f>
        <v/>
      </c>
      <c r="F9244" s="107" t="str">
        <f aca="false">IF($C9244="","",$D9244*$E9244)</f>
        <v/>
      </c>
      <c r="G9244" s="107" t="str">
        <f aca="false">IF($C9244="","",$D9244*IFERROR(INDEX('تحليل التكلفة والسعر'!$C$2:$C$700,MATCH($C9244,'تحليل التكلفة والسعر'!$B$2:$B$700,0)),0))</f>
        <v/>
      </c>
    </row>
    <row r="9245" customFormat="false" ht="15" hidden="false" customHeight="false" outlineLevel="0" collapsed="false">
      <c r="A9245" s="103"/>
      <c r="B9245" s="104"/>
      <c r="C9245" s="104"/>
      <c r="E9245" s="107" t="str">
        <f aca="false">IF($C9245="","",IFERROR(INDEX(المنيو!$C$2:$C$500,MATCH($C9245,المنيو!$B$2:$B$500,0)),0))</f>
        <v/>
      </c>
      <c r="F9245" s="107" t="str">
        <f aca="false">IF($C9245="","",$D9245*$E9245)</f>
        <v/>
      </c>
      <c r="G9245" s="107" t="str">
        <f aca="false">IF($C9245="","",$D9245*IFERROR(INDEX('تحليل التكلفة والسعر'!$C$2:$C$700,MATCH($C9245,'تحليل التكلفة والسعر'!$B$2:$B$700,0)),0))</f>
        <v/>
      </c>
    </row>
    <row r="9246" customFormat="false" ht="15" hidden="false" customHeight="false" outlineLevel="0" collapsed="false">
      <c r="A9246" s="103"/>
      <c r="B9246" s="104"/>
      <c r="C9246" s="104"/>
      <c r="E9246" s="107" t="str">
        <f aca="false">IF($C9246="","",IFERROR(INDEX(المنيو!$C$2:$C$500,MATCH($C9246,المنيو!$B$2:$B$500,0)),0))</f>
        <v/>
      </c>
      <c r="F9246" s="107" t="str">
        <f aca="false">IF($C9246="","",$D9246*$E9246)</f>
        <v/>
      </c>
      <c r="G9246" s="107" t="str">
        <f aca="false">IF($C9246="","",$D9246*IFERROR(INDEX('تحليل التكلفة والسعر'!$C$2:$C$700,MATCH($C9246,'تحليل التكلفة والسعر'!$B$2:$B$700,0)),0))</f>
        <v/>
      </c>
    </row>
    <row r="9247" customFormat="false" ht="15" hidden="false" customHeight="false" outlineLevel="0" collapsed="false">
      <c r="A9247" s="103"/>
      <c r="B9247" s="104"/>
      <c r="C9247" s="104"/>
      <c r="E9247" s="107" t="str">
        <f aca="false">IF($C9247="","",IFERROR(INDEX(المنيو!$C$2:$C$500,MATCH($C9247,المنيو!$B$2:$B$500,0)),0))</f>
        <v/>
      </c>
      <c r="F9247" s="107" t="str">
        <f aca="false">IF($C9247="","",$D9247*$E9247)</f>
        <v/>
      </c>
      <c r="G9247" s="107" t="str">
        <f aca="false">IF($C9247="","",$D9247*IFERROR(INDEX('تحليل التكلفة والسعر'!$C$2:$C$700,MATCH($C9247,'تحليل التكلفة والسعر'!$B$2:$B$700,0)),0))</f>
        <v/>
      </c>
    </row>
    <row r="9248" customFormat="false" ht="15" hidden="false" customHeight="false" outlineLevel="0" collapsed="false">
      <c r="A9248" s="103"/>
      <c r="B9248" s="104"/>
      <c r="C9248" s="104"/>
      <c r="E9248" s="107" t="str">
        <f aca="false">IF($C9248="","",IFERROR(INDEX(المنيو!$C$2:$C$500,MATCH($C9248,المنيو!$B$2:$B$500,0)),0))</f>
        <v/>
      </c>
      <c r="F9248" s="107" t="str">
        <f aca="false">IF($C9248="","",$D9248*$E9248)</f>
        <v/>
      </c>
      <c r="G9248" s="107" t="str">
        <f aca="false">IF($C9248="","",$D9248*IFERROR(INDEX('تحليل التكلفة والسعر'!$C$2:$C$700,MATCH($C9248,'تحليل التكلفة والسعر'!$B$2:$B$700,0)),0))</f>
        <v/>
      </c>
    </row>
    <row r="9249" customFormat="false" ht="15" hidden="false" customHeight="false" outlineLevel="0" collapsed="false">
      <c r="A9249" s="103"/>
      <c r="B9249" s="104"/>
      <c r="C9249" s="104"/>
      <c r="E9249" s="107" t="str">
        <f aca="false">IF($C9249="","",IFERROR(INDEX(المنيو!$C$2:$C$500,MATCH($C9249,المنيو!$B$2:$B$500,0)),0))</f>
        <v/>
      </c>
      <c r="F9249" s="107" t="str">
        <f aca="false">IF($C9249="","",$D9249*$E9249)</f>
        <v/>
      </c>
      <c r="G9249" s="107" t="str">
        <f aca="false">IF($C9249="","",$D9249*IFERROR(INDEX('تحليل التكلفة والسعر'!$C$2:$C$700,MATCH($C9249,'تحليل التكلفة والسعر'!$B$2:$B$700,0)),0))</f>
        <v/>
      </c>
    </row>
    <row r="9250" customFormat="false" ht="15" hidden="false" customHeight="false" outlineLevel="0" collapsed="false">
      <c r="A9250" s="103"/>
      <c r="B9250" s="104"/>
      <c r="C9250" s="104"/>
      <c r="E9250" s="107" t="str">
        <f aca="false">IF($C9250="","",IFERROR(INDEX(المنيو!$C$2:$C$500,MATCH($C9250,المنيو!$B$2:$B$500,0)),0))</f>
        <v/>
      </c>
      <c r="F9250" s="107" t="str">
        <f aca="false">IF($C9250="","",$D9250*$E9250)</f>
        <v/>
      </c>
      <c r="G9250" s="107" t="str">
        <f aca="false">IF($C9250="","",$D9250*IFERROR(INDEX('تحليل التكلفة والسعر'!$C$2:$C$700,MATCH($C9250,'تحليل التكلفة والسعر'!$B$2:$B$700,0)),0))</f>
        <v/>
      </c>
    </row>
    <row r="9251" customFormat="false" ht="15" hidden="false" customHeight="false" outlineLevel="0" collapsed="false">
      <c r="A9251" s="103"/>
      <c r="B9251" s="104"/>
      <c r="C9251" s="104"/>
      <c r="E9251" s="107" t="str">
        <f aca="false">IF($C9251="","",IFERROR(INDEX(المنيو!$C$2:$C$500,MATCH($C9251,المنيو!$B$2:$B$500,0)),0))</f>
        <v/>
      </c>
      <c r="F9251" s="107" t="str">
        <f aca="false">IF($C9251="","",$D9251*$E9251)</f>
        <v/>
      </c>
      <c r="G9251" s="107" t="str">
        <f aca="false">IF($C9251="","",$D9251*IFERROR(INDEX('تحليل التكلفة والسعر'!$C$2:$C$700,MATCH($C9251,'تحليل التكلفة والسعر'!$B$2:$B$700,0)),0))</f>
        <v/>
      </c>
    </row>
    <row r="9252" customFormat="false" ht="15" hidden="false" customHeight="false" outlineLevel="0" collapsed="false">
      <c r="A9252" s="103"/>
      <c r="B9252" s="104"/>
      <c r="C9252" s="104"/>
      <c r="E9252" s="107" t="str">
        <f aca="false">IF($C9252="","",IFERROR(INDEX(المنيو!$C$2:$C$500,MATCH($C9252,المنيو!$B$2:$B$500,0)),0))</f>
        <v/>
      </c>
      <c r="F9252" s="107" t="str">
        <f aca="false">IF($C9252="","",$D9252*$E9252)</f>
        <v/>
      </c>
      <c r="G9252" s="107" t="str">
        <f aca="false">IF($C9252="","",$D9252*IFERROR(INDEX('تحليل التكلفة والسعر'!$C$2:$C$700,MATCH($C9252,'تحليل التكلفة والسعر'!$B$2:$B$700,0)),0))</f>
        <v/>
      </c>
    </row>
    <row r="9253" customFormat="false" ht="15" hidden="false" customHeight="false" outlineLevel="0" collapsed="false">
      <c r="A9253" s="103"/>
      <c r="B9253" s="104"/>
      <c r="C9253" s="104"/>
      <c r="E9253" s="107" t="str">
        <f aca="false">IF($C9253="","",IFERROR(INDEX(المنيو!$C$2:$C$500,MATCH($C9253,المنيو!$B$2:$B$500,0)),0))</f>
        <v/>
      </c>
      <c r="F9253" s="107" t="str">
        <f aca="false">IF($C9253="","",$D9253*$E9253)</f>
        <v/>
      </c>
      <c r="G9253" s="107" t="str">
        <f aca="false">IF($C9253="","",$D9253*IFERROR(INDEX('تحليل التكلفة والسعر'!$C$2:$C$700,MATCH($C9253,'تحليل التكلفة والسعر'!$B$2:$B$700,0)),0))</f>
        <v/>
      </c>
    </row>
    <row r="9254" customFormat="false" ht="15" hidden="false" customHeight="false" outlineLevel="0" collapsed="false">
      <c r="A9254" s="103"/>
      <c r="B9254" s="104"/>
      <c r="C9254" s="104"/>
      <c r="E9254" s="107" t="str">
        <f aca="false">IF($C9254="","",IFERROR(INDEX(المنيو!$C$2:$C$500,MATCH($C9254,المنيو!$B$2:$B$500,0)),0))</f>
        <v/>
      </c>
      <c r="F9254" s="107" t="str">
        <f aca="false">IF($C9254="","",$D9254*$E9254)</f>
        <v/>
      </c>
      <c r="G9254" s="107" t="str">
        <f aca="false">IF($C9254="","",$D9254*IFERROR(INDEX('تحليل التكلفة والسعر'!$C$2:$C$700,MATCH($C9254,'تحليل التكلفة والسعر'!$B$2:$B$700,0)),0))</f>
        <v/>
      </c>
    </row>
    <row r="9255" customFormat="false" ht="15" hidden="false" customHeight="false" outlineLevel="0" collapsed="false">
      <c r="A9255" s="103"/>
      <c r="B9255" s="104"/>
      <c r="C9255" s="104"/>
      <c r="E9255" s="107" t="str">
        <f aca="false">IF($C9255="","",IFERROR(INDEX(المنيو!$C$2:$C$500,MATCH($C9255,المنيو!$B$2:$B$500,0)),0))</f>
        <v/>
      </c>
      <c r="F9255" s="107" t="str">
        <f aca="false">IF($C9255="","",$D9255*$E9255)</f>
        <v/>
      </c>
      <c r="G9255" s="107" t="str">
        <f aca="false">IF($C9255="","",$D9255*IFERROR(INDEX('تحليل التكلفة والسعر'!$C$2:$C$700,MATCH($C9255,'تحليل التكلفة والسعر'!$B$2:$B$700,0)),0))</f>
        <v/>
      </c>
    </row>
    <row r="9256" customFormat="false" ht="15" hidden="false" customHeight="false" outlineLevel="0" collapsed="false">
      <c r="A9256" s="103"/>
      <c r="B9256" s="104"/>
      <c r="C9256" s="104"/>
      <c r="E9256" s="107" t="str">
        <f aca="false">IF($C9256="","",IFERROR(INDEX(المنيو!$C$2:$C$500,MATCH($C9256,المنيو!$B$2:$B$500,0)),0))</f>
        <v/>
      </c>
      <c r="F9256" s="107" t="str">
        <f aca="false">IF($C9256="","",$D9256*$E9256)</f>
        <v/>
      </c>
      <c r="G9256" s="107" t="str">
        <f aca="false">IF($C9256="","",$D9256*IFERROR(INDEX('تحليل التكلفة والسعر'!$C$2:$C$700,MATCH($C9256,'تحليل التكلفة والسعر'!$B$2:$B$700,0)),0))</f>
        <v/>
      </c>
    </row>
    <row r="9257" customFormat="false" ht="15" hidden="false" customHeight="false" outlineLevel="0" collapsed="false">
      <c r="A9257" s="103"/>
      <c r="B9257" s="104"/>
      <c r="C9257" s="104"/>
      <c r="E9257" s="107" t="str">
        <f aca="false">IF($C9257="","",IFERROR(INDEX(المنيو!$C$2:$C$500,MATCH($C9257,المنيو!$B$2:$B$500,0)),0))</f>
        <v/>
      </c>
      <c r="F9257" s="107" t="str">
        <f aca="false">IF($C9257="","",$D9257*$E9257)</f>
        <v/>
      </c>
      <c r="G9257" s="107" t="str">
        <f aca="false">IF($C9257="","",$D9257*IFERROR(INDEX('تحليل التكلفة والسعر'!$C$2:$C$700,MATCH($C9257,'تحليل التكلفة والسعر'!$B$2:$B$700,0)),0))</f>
        <v/>
      </c>
    </row>
    <row r="9258" customFormat="false" ht="15" hidden="false" customHeight="false" outlineLevel="0" collapsed="false">
      <c r="A9258" s="103"/>
      <c r="B9258" s="104"/>
      <c r="C9258" s="104"/>
      <c r="E9258" s="107" t="str">
        <f aca="false">IF($C9258="","",IFERROR(INDEX(المنيو!$C$2:$C$500,MATCH($C9258,المنيو!$B$2:$B$500,0)),0))</f>
        <v/>
      </c>
      <c r="F9258" s="107" t="str">
        <f aca="false">IF($C9258="","",$D9258*$E9258)</f>
        <v/>
      </c>
      <c r="G9258" s="107" t="str">
        <f aca="false">IF($C9258="","",$D9258*IFERROR(INDEX('تحليل التكلفة والسعر'!$C$2:$C$700,MATCH($C9258,'تحليل التكلفة والسعر'!$B$2:$B$700,0)),0))</f>
        <v/>
      </c>
    </row>
    <row r="9259" customFormat="false" ht="15" hidden="false" customHeight="false" outlineLevel="0" collapsed="false">
      <c r="A9259" s="103"/>
      <c r="B9259" s="104"/>
      <c r="C9259" s="104"/>
      <c r="E9259" s="107" t="str">
        <f aca="false">IF($C9259="","",IFERROR(INDEX(المنيو!$C$2:$C$500,MATCH($C9259,المنيو!$B$2:$B$500,0)),0))</f>
        <v/>
      </c>
      <c r="F9259" s="107" t="str">
        <f aca="false">IF($C9259="","",$D9259*$E9259)</f>
        <v/>
      </c>
      <c r="G9259" s="107" t="str">
        <f aca="false">IF($C9259="","",$D9259*IFERROR(INDEX('تحليل التكلفة والسعر'!$C$2:$C$700,MATCH($C9259,'تحليل التكلفة والسعر'!$B$2:$B$700,0)),0))</f>
        <v/>
      </c>
    </row>
    <row r="9260" customFormat="false" ht="15" hidden="false" customHeight="false" outlineLevel="0" collapsed="false">
      <c r="A9260" s="103"/>
      <c r="B9260" s="104"/>
      <c r="C9260" s="104"/>
      <c r="E9260" s="107" t="str">
        <f aca="false">IF($C9260="","",IFERROR(INDEX(المنيو!$C$2:$C$500,MATCH($C9260,المنيو!$B$2:$B$500,0)),0))</f>
        <v/>
      </c>
      <c r="F9260" s="107" t="str">
        <f aca="false">IF($C9260="","",$D9260*$E9260)</f>
        <v/>
      </c>
      <c r="G9260" s="107" t="str">
        <f aca="false">IF($C9260="","",$D9260*IFERROR(INDEX('تحليل التكلفة والسعر'!$C$2:$C$700,MATCH($C9260,'تحليل التكلفة والسعر'!$B$2:$B$700,0)),0))</f>
        <v/>
      </c>
    </row>
    <row r="9261" customFormat="false" ht="15" hidden="false" customHeight="false" outlineLevel="0" collapsed="false">
      <c r="A9261" s="103"/>
      <c r="B9261" s="104"/>
      <c r="C9261" s="104"/>
      <c r="E9261" s="107" t="str">
        <f aca="false">IF($C9261="","",IFERROR(INDEX(المنيو!$C$2:$C$500,MATCH($C9261,المنيو!$B$2:$B$500,0)),0))</f>
        <v/>
      </c>
      <c r="F9261" s="107" t="str">
        <f aca="false">IF($C9261="","",$D9261*$E9261)</f>
        <v/>
      </c>
      <c r="G9261" s="107" t="str">
        <f aca="false">IF($C9261="","",$D9261*IFERROR(INDEX('تحليل التكلفة والسعر'!$C$2:$C$700,MATCH($C9261,'تحليل التكلفة والسعر'!$B$2:$B$700,0)),0))</f>
        <v/>
      </c>
    </row>
    <row r="9262" customFormat="false" ht="15" hidden="false" customHeight="false" outlineLevel="0" collapsed="false">
      <c r="A9262" s="103"/>
      <c r="B9262" s="104"/>
      <c r="C9262" s="104"/>
      <c r="E9262" s="107" t="str">
        <f aca="false">IF($C9262="","",IFERROR(INDEX(المنيو!$C$2:$C$500,MATCH($C9262,المنيو!$B$2:$B$500,0)),0))</f>
        <v/>
      </c>
      <c r="F9262" s="107" t="str">
        <f aca="false">IF($C9262="","",$D9262*$E9262)</f>
        <v/>
      </c>
      <c r="G9262" s="107" t="str">
        <f aca="false">IF($C9262="","",$D9262*IFERROR(INDEX('تحليل التكلفة والسعر'!$C$2:$C$700,MATCH($C9262,'تحليل التكلفة والسعر'!$B$2:$B$700,0)),0))</f>
        <v/>
      </c>
    </row>
    <row r="9263" customFormat="false" ht="15" hidden="false" customHeight="false" outlineLevel="0" collapsed="false">
      <c r="A9263" s="103"/>
      <c r="B9263" s="104"/>
      <c r="C9263" s="104"/>
      <c r="E9263" s="107" t="str">
        <f aca="false">IF($C9263="","",IFERROR(INDEX(المنيو!$C$2:$C$500,MATCH($C9263,المنيو!$B$2:$B$500,0)),0))</f>
        <v/>
      </c>
      <c r="F9263" s="107" t="str">
        <f aca="false">IF($C9263="","",$D9263*$E9263)</f>
        <v/>
      </c>
      <c r="G9263" s="107" t="str">
        <f aca="false">IF($C9263="","",$D9263*IFERROR(INDEX('تحليل التكلفة والسعر'!$C$2:$C$700,MATCH($C9263,'تحليل التكلفة والسعر'!$B$2:$B$700,0)),0))</f>
        <v/>
      </c>
    </row>
    <row r="9264" customFormat="false" ht="15" hidden="false" customHeight="false" outlineLevel="0" collapsed="false">
      <c r="A9264" s="103"/>
      <c r="B9264" s="104"/>
      <c r="C9264" s="104"/>
      <c r="E9264" s="107" t="str">
        <f aca="false">IF($C9264="","",IFERROR(INDEX(المنيو!$C$2:$C$500,MATCH($C9264,المنيو!$B$2:$B$500,0)),0))</f>
        <v/>
      </c>
      <c r="F9264" s="107" t="str">
        <f aca="false">IF($C9264="","",$D9264*$E9264)</f>
        <v/>
      </c>
      <c r="G9264" s="107" t="str">
        <f aca="false">IF($C9264="","",$D9264*IFERROR(INDEX('تحليل التكلفة والسعر'!$C$2:$C$700,MATCH($C9264,'تحليل التكلفة والسعر'!$B$2:$B$700,0)),0))</f>
        <v/>
      </c>
    </row>
    <row r="9265" customFormat="false" ht="15" hidden="false" customHeight="false" outlineLevel="0" collapsed="false">
      <c r="A9265" s="103"/>
      <c r="B9265" s="104"/>
      <c r="C9265" s="104"/>
      <c r="E9265" s="107" t="str">
        <f aca="false">IF($C9265="","",IFERROR(INDEX(المنيو!$C$2:$C$500,MATCH($C9265,المنيو!$B$2:$B$500,0)),0))</f>
        <v/>
      </c>
      <c r="F9265" s="107" t="str">
        <f aca="false">IF($C9265="","",$D9265*$E9265)</f>
        <v/>
      </c>
      <c r="G9265" s="107" t="str">
        <f aca="false">IF($C9265="","",$D9265*IFERROR(INDEX('تحليل التكلفة والسعر'!$C$2:$C$700,MATCH($C9265,'تحليل التكلفة والسعر'!$B$2:$B$700,0)),0))</f>
        <v/>
      </c>
    </row>
    <row r="9266" customFormat="false" ht="15" hidden="false" customHeight="false" outlineLevel="0" collapsed="false">
      <c r="A9266" s="103"/>
      <c r="B9266" s="104"/>
      <c r="C9266" s="104"/>
      <c r="E9266" s="107" t="str">
        <f aca="false">IF($C9266="","",IFERROR(INDEX(المنيو!$C$2:$C$500,MATCH($C9266,المنيو!$B$2:$B$500,0)),0))</f>
        <v/>
      </c>
      <c r="F9266" s="107" t="str">
        <f aca="false">IF($C9266="","",$D9266*$E9266)</f>
        <v/>
      </c>
      <c r="G9266" s="107" t="str">
        <f aca="false">IF($C9266="","",$D9266*IFERROR(INDEX('تحليل التكلفة والسعر'!$C$2:$C$700,MATCH($C9266,'تحليل التكلفة والسعر'!$B$2:$B$700,0)),0))</f>
        <v/>
      </c>
    </row>
    <row r="9267" customFormat="false" ht="15" hidden="false" customHeight="false" outlineLevel="0" collapsed="false">
      <c r="A9267" s="103"/>
      <c r="B9267" s="104"/>
      <c r="C9267" s="104"/>
      <c r="E9267" s="107" t="str">
        <f aca="false">IF($C9267="","",IFERROR(INDEX(المنيو!$C$2:$C$500,MATCH($C9267,المنيو!$B$2:$B$500,0)),0))</f>
        <v/>
      </c>
      <c r="F9267" s="107" t="str">
        <f aca="false">IF($C9267="","",$D9267*$E9267)</f>
        <v/>
      </c>
      <c r="G9267" s="107" t="str">
        <f aca="false">IF($C9267="","",$D9267*IFERROR(INDEX('تحليل التكلفة والسعر'!$C$2:$C$700,MATCH($C9267,'تحليل التكلفة والسعر'!$B$2:$B$700,0)),0))</f>
        <v/>
      </c>
    </row>
    <row r="9268" customFormat="false" ht="15" hidden="false" customHeight="false" outlineLevel="0" collapsed="false">
      <c r="A9268" s="103"/>
      <c r="B9268" s="104"/>
      <c r="C9268" s="104"/>
      <c r="E9268" s="107" t="str">
        <f aca="false">IF($C9268="","",IFERROR(INDEX(المنيو!$C$2:$C$500,MATCH($C9268,المنيو!$B$2:$B$500,0)),0))</f>
        <v/>
      </c>
      <c r="F9268" s="107" t="str">
        <f aca="false">IF($C9268="","",$D9268*$E9268)</f>
        <v/>
      </c>
      <c r="G9268" s="107" t="str">
        <f aca="false">IF($C9268="","",$D9268*IFERROR(INDEX('تحليل التكلفة والسعر'!$C$2:$C$700,MATCH($C9268,'تحليل التكلفة والسعر'!$B$2:$B$700,0)),0))</f>
        <v/>
      </c>
    </row>
    <row r="9269" customFormat="false" ht="15" hidden="false" customHeight="false" outlineLevel="0" collapsed="false">
      <c r="A9269" s="103"/>
      <c r="B9269" s="104"/>
      <c r="C9269" s="104"/>
      <c r="E9269" s="107" t="str">
        <f aca="false">IF($C9269="","",IFERROR(INDEX(المنيو!$C$2:$C$500,MATCH($C9269,المنيو!$B$2:$B$500,0)),0))</f>
        <v/>
      </c>
      <c r="F9269" s="107" t="str">
        <f aca="false">IF($C9269="","",$D9269*$E9269)</f>
        <v/>
      </c>
      <c r="G9269" s="107" t="str">
        <f aca="false">IF($C9269="","",$D9269*IFERROR(INDEX('تحليل التكلفة والسعر'!$C$2:$C$700,MATCH($C9269,'تحليل التكلفة والسعر'!$B$2:$B$700,0)),0))</f>
        <v/>
      </c>
    </row>
    <row r="9270" customFormat="false" ht="15" hidden="false" customHeight="false" outlineLevel="0" collapsed="false">
      <c r="A9270" s="103"/>
      <c r="B9270" s="104"/>
      <c r="C9270" s="104"/>
      <c r="E9270" s="107" t="str">
        <f aca="false">IF($C9270="","",IFERROR(INDEX(المنيو!$C$2:$C$500,MATCH($C9270,المنيو!$B$2:$B$500,0)),0))</f>
        <v/>
      </c>
      <c r="F9270" s="107" t="str">
        <f aca="false">IF($C9270="","",$D9270*$E9270)</f>
        <v/>
      </c>
      <c r="G9270" s="107" t="str">
        <f aca="false">IF($C9270="","",$D9270*IFERROR(INDEX('تحليل التكلفة والسعر'!$C$2:$C$700,MATCH($C9270,'تحليل التكلفة والسعر'!$B$2:$B$700,0)),0))</f>
        <v/>
      </c>
    </row>
    <row r="9271" customFormat="false" ht="15" hidden="false" customHeight="false" outlineLevel="0" collapsed="false">
      <c r="A9271" s="103"/>
      <c r="B9271" s="104"/>
      <c r="C9271" s="104"/>
      <c r="E9271" s="107" t="str">
        <f aca="false">IF($C9271="","",IFERROR(INDEX(المنيو!$C$2:$C$500,MATCH($C9271,المنيو!$B$2:$B$500,0)),0))</f>
        <v/>
      </c>
      <c r="F9271" s="107" t="str">
        <f aca="false">IF($C9271="","",$D9271*$E9271)</f>
        <v/>
      </c>
      <c r="G9271" s="107" t="str">
        <f aca="false">IF($C9271="","",$D9271*IFERROR(INDEX('تحليل التكلفة والسعر'!$C$2:$C$700,MATCH($C9271,'تحليل التكلفة والسعر'!$B$2:$B$700,0)),0))</f>
        <v/>
      </c>
    </row>
    <row r="9272" customFormat="false" ht="15" hidden="false" customHeight="false" outlineLevel="0" collapsed="false">
      <c r="A9272" s="103"/>
      <c r="B9272" s="104"/>
      <c r="C9272" s="104"/>
      <c r="E9272" s="107" t="str">
        <f aca="false">IF($C9272="","",IFERROR(INDEX(المنيو!$C$2:$C$500,MATCH($C9272,المنيو!$B$2:$B$500,0)),0))</f>
        <v/>
      </c>
      <c r="F9272" s="107" t="str">
        <f aca="false">IF($C9272="","",$D9272*$E9272)</f>
        <v/>
      </c>
      <c r="G9272" s="107" t="str">
        <f aca="false">IF($C9272="","",$D9272*IFERROR(INDEX('تحليل التكلفة والسعر'!$C$2:$C$700,MATCH($C9272,'تحليل التكلفة والسعر'!$B$2:$B$700,0)),0))</f>
        <v/>
      </c>
    </row>
    <row r="9273" customFormat="false" ht="15" hidden="false" customHeight="false" outlineLevel="0" collapsed="false">
      <c r="A9273" s="103"/>
      <c r="B9273" s="104"/>
      <c r="C9273" s="104"/>
      <c r="E9273" s="107" t="str">
        <f aca="false">IF($C9273="","",IFERROR(INDEX(المنيو!$C$2:$C$500,MATCH($C9273,المنيو!$B$2:$B$500,0)),0))</f>
        <v/>
      </c>
      <c r="F9273" s="107" t="str">
        <f aca="false">IF($C9273="","",$D9273*$E9273)</f>
        <v/>
      </c>
      <c r="G9273" s="107" t="str">
        <f aca="false">IF($C9273="","",$D9273*IFERROR(INDEX('تحليل التكلفة والسعر'!$C$2:$C$700,MATCH($C9273,'تحليل التكلفة والسعر'!$B$2:$B$700,0)),0))</f>
        <v/>
      </c>
    </row>
    <row r="9274" customFormat="false" ht="15" hidden="false" customHeight="false" outlineLevel="0" collapsed="false">
      <c r="A9274" s="103"/>
      <c r="B9274" s="104"/>
      <c r="C9274" s="104"/>
      <c r="E9274" s="107" t="str">
        <f aca="false">IF($C9274="","",IFERROR(INDEX(المنيو!$C$2:$C$500,MATCH($C9274,المنيو!$B$2:$B$500,0)),0))</f>
        <v/>
      </c>
      <c r="F9274" s="107" t="str">
        <f aca="false">IF($C9274="","",$D9274*$E9274)</f>
        <v/>
      </c>
      <c r="G9274" s="107" t="str">
        <f aca="false">IF($C9274="","",$D9274*IFERROR(INDEX('تحليل التكلفة والسعر'!$C$2:$C$700,MATCH($C9274,'تحليل التكلفة والسعر'!$B$2:$B$700,0)),0))</f>
        <v/>
      </c>
    </row>
    <row r="9275" customFormat="false" ht="15" hidden="false" customHeight="false" outlineLevel="0" collapsed="false">
      <c r="A9275" s="103"/>
      <c r="B9275" s="104"/>
      <c r="C9275" s="104"/>
      <c r="E9275" s="107" t="str">
        <f aca="false">IF($C9275="","",IFERROR(INDEX(المنيو!$C$2:$C$500,MATCH($C9275,المنيو!$B$2:$B$500,0)),0))</f>
        <v/>
      </c>
      <c r="F9275" s="107" t="str">
        <f aca="false">IF($C9275="","",$D9275*$E9275)</f>
        <v/>
      </c>
      <c r="G9275" s="107" t="str">
        <f aca="false">IF($C9275="","",$D9275*IFERROR(INDEX('تحليل التكلفة والسعر'!$C$2:$C$700,MATCH($C9275,'تحليل التكلفة والسعر'!$B$2:$B$700,0)),0))</f>
        <v/>
      </c>
    </row>
    <row r="9276" customFormat="false" ht="15" hidden="false" customHeight="false" outlineLevel="0" collapsed="false">
      <c r="A9276" s="103"/>
      <c r="B9276" s="104"/>
      <c r="C9276" s="104"/>
      <c r="E9276" s="107" t="str">
        <f aca="false">IF($C9276="","",IFERROR(INDEX(المنيو!$C$2:$C$500,MATCH($C9276,المنيو!$B$2:$B$500,0)),0))</f>
        <v/>
      </c>
      <c r="F9276" s="107" t="str">
        <f aca="false">IF($C9276="","",$D9276*$E9276)</f>
        <v/>
      </c>
      <c r="G9276" s="107" t="str">
        <f aca="false">IF($C9276="","",$D9276*IFERROR(INDEX('تحليل التكلفة والسعر'!$C$2:$C$700,MATCH($C9276,'تحليل التكلفة والسعر'!$B$2:$B$700,0)),0))</f>
        <v/>
      </c>
    </row>
    <row r="9277" customFormat="false" ht="15" hidden="false" customHeight="false" outlineLevel="0" collapsed="false">
      <c r="A9277" s="103"/>
      <c r="B9277" s="104"/>
      <c r="C9277" s="104"/>
      <c r="E9277" s="107" t="str">
        <f aca="false">IF($C9277="","",IFERROR(INDEX(المنيو!$C$2:$C$500,MATCH($C9277,المنيو!$B$2:$B$500,0)),0))</f>
        <v/>
      </c>
      <c r="F9277" s="107" t="str">
        <f aca="false">IF($C9277="","",$D9277*$E9277)</f>
        <v/>
      </c>
      <c r="G9277" s="107" t="str">
        <f aca="false">IF($C9277="","",$D9277*IFERROR(INDEX('تحليل التكلفة والسعر'!$C$2:$C$700,MATCH($C9277,'تحليل التكلفة والسعر'!$B$2:$B$700,0)),0))</f>
        <v/>
      </c>
    </row>
    <row r="9278" customFormat="false" ht="15" hidden="false" customHeight="false" outlineLevel="0" collapsed="false">
      <c r="A9278" s="103"/>
      <c r="B9278" s="104"/>
      <c r="C9278" s="104"/>
      <c r="E9278" s="107" t="str">
        <f aca="false">IF($C9278="","",IFERROR(INDEX(المنيو!$C$2:$C$500,MATCH($C9278,المنيو!$B$2:$B$500,0)),0))</f>
        <v/>
      </c>
      <c r="F9278" s="107" t="str">
        <f aca="false">IF($C9278="","",$D9278*$E9278)</f>
        <v/>
      </c>
      <c r="G9278" s="107" t="str">
        <f aca="false">IF($C9278="","",$D9278*IFERROR(INDEX('تحليل التكلفة والسعر'!$C$2:$C$700,MATCH($C9278,'تحليل التكلفة والسعر'!$B$2:$B$700,0)),0))</f>
        <v/>
      </c>
    </row>
    <row r="9279" customFormat="false" ht="15" hidden="false" customHeight="false" outlineLevel="0" collapsed="false">
      <c r="A9279" s="103"/>
      <c r="B9279" s="104"/>
      <c r="C9279" s="104"/>
      <c r="E9279" s="107" t="str">
        <f aca="false">IF($C9279="","",IFERROR(INDEX(المنيو!$C$2:$C$500,MATCH($C9279,المنيو!$B$2:$B$500,0)),0))</f>
        <v/>
      </c>
      <c r="F9279" s="107" t="str">
        <f aca="false">IF($C9279="","",$D9279*$E9279)</f>
        <v/>
      </c>
      <c r="G9279" s="107" t="str">
        <f aca="false">IF($C9279="","",$D9279*IFERROR(INDEX('تحليل التكلفة والسعر'!$C$2:$C$700,MATCH($C9279,'تحليل التكلفة والسعر'!$B$2:$B$700,0)),0))</f>
        <v/>
      </c>
    </row>
    <row r="9280" customFormat="false" ht="15" hidden="false" customHeight="false" outlineLevel="0" collapsed="false">
      <c r="A9280" s="103"/>
      <c r="B9280" s="104"/>
      <c r="C9280" s="104"/>
      <c r="E9280" s="107" t="str">
        <f aca="false">IF($C9280="","",IFERROR(INDEX(المنيو!$C$2:$C$500,MATCH($C9280,المنيو!$B$2:$B$500,0)),0))</f>
        <v/>
      </c>
      <c r="F9280" s="107" t="str">
        <f aca="false">IF($C9280="","",$D9280*$E9280)</f>
        <v/>
      </c>
      <c r="G9280" s="107" t="str">
        <f aca="false">IF($C9280="","",$D9280*IFERROR(INDEX('تحليل التكلفة والسعر'!$C$2:$C$700,MATCH($C9280,'تحليل التكلفة والسعر'!$B$2:$B$700,0)),0))</f>
        <v/>
      </c>
    </row>
    <row r="9281" customFormat="false" ht="15" hidden="false" customHeight="false" outlineLevel="0" collapsed="false">
      <c r="A9281" s="103"/>
      <c r="B9281" s="104"/>
      <c r="C9281" s="104"/>
      <c r="E9281" s="107" t="str">
        <f aca="false">IF($C9281="","",IFERROR(INDEX(المنيو!$C$2:$C$500,MATCH($C9281,المنيو!$B$2:$B$500,0)),0))</f>
        <v/>
      </c>
      <c r="F9281" s="107" t="str">
        <f aca="false">IF($C9281="","",$D9281*$E9281)</f>
        <v/>
      </c>
      <c r="G9281" s="107" t="str">
        <f aca="false">IF($C9281="","",$D9281*IFERROR(INDEX('تحليل التكلفة والسعر'!$C$2:$C$700,MATCH($C9281,'تحليل التكلفة والسعر'!$B$2:$B$700,0)),0))</f>
        <v/>
      </c>
    </row>
    <row r="9282" customFormat="false" ht="15" hidden="false" customHeight="false" outlineLevel="0" collapsed="false">
      <c r="A9282" s="103"/>
      <c r="B9282" s="104"/>
      <c r="C9282" s="104"/>
      <c r="E9282" s="107" t="str">
        <f aca="false">IF($C9282="","",IFERROR(INDEX(المنيو!$C$2:$C$500,MATCH($C9282,المنيو!$B$2:$B$500,0)),0))</f>
        <v/>
      </c>
      <c r="F9282" s="107" t="str">
        <f aca="false">IF($C9282="","",$D9282*$E9282)</f>
        <v/>
      </c>
      <c r="G9282" s="107" t="str">
        <f aca="false">IF($C9282="","",$D9282*IFERROR(INDEX('تحليل التكلفة والسعر'!$C$2:$C$700,MATCH($C9282,'تحليل التكلفة والسعر'!$B$2:$B$700,0)),0))</f>
        <v/>
      </c>
    </row>
    <row r="9283" customFormat="false" ht="15" hidden="false" customHeight="false" outlineLevel="0" collapsed="false">
      <c r="A9283" s="103"/>
      <c r="B9283" s="104"/>
      <c r="C9283" s="104"/>
      <c r="E9283" s="107" t="str">
        <f aca="false">IF($C9283="","",IFERROR(INDEX(المنيو!$C$2:$C$500,MATCH($C9283,المنيو!$B$2:$B$500,0)),0))</f>
        <v/>
      </c>
      <c r="F9283" s="107" t="str">
        <f aca="false">IF($C9283="","",$D9283*$E9283)</f>
        <v/>
      </c>
      <c r="G9283" s="107" t="str">
        <f aca="false">IF($C9283="","",$D9283*IFERROR(INDEX('تحليل التكلفة والسعر'!$C$2:$C$700,MATCH($C9283,'تحليل التكلفة والسعر'!$B$2:$B$700,0)),0))</f>
        <v/>
      </c>
    </row>
    <row r="9284" customFormat="false" ht="15" hidden="false" customHeight="false" outlineLevel="0" collapsed="false">
      <c r="A9284" s="103"/>
      <c r="B9284" s="104"/>
      <c r="C9284" s="104"/>
      <c r="E9284" s="107" t="str">
        <f aca="false">IF($C9284="","",IFERROR(INDEX(المنيو!$C$2:$C$500,MATCH($C9284,المنيو!$B$2:$B$500,0)),0))</f>
        <v/>
      </c>
      <c r="F9284" s="107" t="str">
        <f aca="false">IF($C9284="","",$D9284*$E9284)</f>
        <v/>
      </c>
      <c r="G9284" s="107" t="str">
        <f aca="false">IF($C9284="","",$D9284*IFERROR(INDEX('تحليل التكلفة والسعر'!$C$2:$C$700,MATCH($C9284,'تحليل التكلفة والسعر'!$B$2:$B$700,0)),0))</f>
        <v/>
      </c>
    </row>
    <row r="9285" customFormat="false" ht="15" hidden="false" customHeight="false" outlineLevel="0" collapsed="false">
      <c r="A9285" s="103"/>
      <c r="B9285" s="104"/>
      <c r="C9285" s="104"/>
      <c r="E9285" s="107" t="str">
        <f aca="false">IF($C9285="","",IFERROR(INDEX(المنيو!$C$2:$C$500,MATCH($C9285,المنيو!$B$2:$B$500,0)),0))</f>
        <v/>
      </c>
      <c r="F9285" s="107" t="str">
        <f aca="false">IF($C9285="","",$D9285*$E9285)</f>
        <v/>
      </c>
      <c r="G9285" s="107" t="str">
        <f aca="false">IF($C9285="","",$D9285*IFERROR(INDEX('تحليل التكلفة والسعر'!$C$2:$C$700,MATCH($C9285,'تحليل التكلفة والسعر'!$B$2:$B$700,0)),0))</f>
        <v/>
      </c>
    </row>
    <row r="9286" customFormat="false" ht="15" hidden="false" customHeight="false" outlineLevel="0" collapsed="false">
      <c r="A9286" s="103"/>
      <c r="B9286" s="104"/>
      <c r="C9286" s="104"/>
      <c r="E9286" s="107" t="str">
        <f aca="false">IF($C9286="","",IFERROR(INDEX(المنيو!$C$2:$C$500,MATCH($C9286,المنيو!$B$2:$B$500,0)),0))</f>
        <v/>
      </c>
      <c r="F9286" s="107" t="str">
        <f aca="false">IF($C9286="","",$D9286*$E9286)</f>
        <v/>
      </c>
      <c r="G9286" s="107" t="str">
        <f aca="false">IF($C9286="","",$D9286*IFERROR(INDEX('تحليل التكلفة والسعر'!$C$2:$C$700,MATCH($C9286,'تحليل التكلفة والسعر'!$B$2:$B$700,0)),0))</f>
        <v/>
      </c>
    </row>
    <row r="9287" customFormat="false" ht="15" hidden="false" customHeight="false" outlineLevel="0" collapsed="false">
      <c r="A9287" s="103"/>
      <c r="B9287" s="104"/>
      <c r="C9287" s="104"/>
      <c r="E9287" s="107" t="str">
        <f aca="false">IF($C9287="","",IFERROR(INDEX(المنيو!$C$2:$C$500,MATCH($C9287,المنيو!$B$2:$B$500,0)),0))</f>
        <v/>
      </c>
      <c r="F9287" s="107" t="str">
        <f aca="false">IF($C9287="","",$D9287*$E9287)</f>
        <v/>
      </c>
      <c r="G9287" s="107" t="str">
        <f aca="false">IF($C9287="","",$D9287*IFERROR(INDEX('تحليل التكلفة والسعر'!$C$2:$C$700,MATCH($C9287,'تحليل التكلفة والسعر'!$B$2:$B$700,0)),0))</f>
        <v/>
      </c>
    </row>
    <row r="9288" customFormat="false" ht="15" hidden="false" customHeight="false" outlineLevel="0" collapsed="false">
      <c r="A9288" s="103"/>
      <c r="B9288" s="104"/>
      <c r="C9288" s="104"/>
      <c r="E9288" s="107" t="str">
        <f aca="false">IF($C9288="","",IFERROR(INDEX(المنيو!$C$2:$C$500,MATCH($C9288,المنيو!$B$2:$B$500,0)),0))</f>
        <v/>
      </c>
      <c r="F9288" s="107" t="str">
        <f aca="false">IF($C9288="","",$D9288*$E9288)</f>
        <v/>
      </c>
      <c r="G9288" s="107" t="str">
        <f aca="false">IF($C9288="","",$D9288*IFERROR(INDEX('تحليل التكلفة والسعر'!$C$2:$C$700,MATCH($C9288,'تحليل التكلفة والسعر'!$B$2:$B$700,0)),0))</f>
        <v/>
      </c>
    </row>
    <row r="9289" customFormat="false" ht="15" hidden="false" customHeight="false" outlineLevel="0" collapsed="false">
      <c r="A9289" s="103"/>
      <c r="B9289" s="104"/>
      <c r="C9289" s="104"/>
      <c r="E9289" s="107" t="str">
        <f aca="false">IF($C9289="","",IFERROR(INDEX(المنيو!$C$2:$C$500,MATCH($C9289,المنيو!$B$2:$B$500,0)),0))</f>
        <v/>
      </c>
      <c r="F9289" s="107" t="str">
        <f aca="false">IF($C9289="","",$D9289*$E9289)</f>
        <v/>
      </c>
      <c r="G9289" s="107" t="str">
        <f aca="false">IF($C9289="","",$D9289*IFERROR(INDEX('تحليل التكلفة والسعر'!$C$2:$C$700,MATCH($C9289,'تحليل التكلفة والسعر'!$B$2:$B$700,0)),0))</f>
        <v/>
      </c>
    </row>
    <row r="9290" customFormat="false" ht="15" hidden="false" customHeight="false" outlineLevel="0" collapsed="false">
      <c r="A9290" s="103"/>
      <c r="B9290" s="104"/>
      <c r="C9290" s="104"/>
      <c r="E9290" s="107" t="str">
        <f aca="false">IF($C9290="","",IFERROR(INDEX(المنيو!$C$2:$C$500,MATCH($C9290,المنيو!$B$2:$B$500,0)),0))</f>
        <v/>
      </c>
      <c r="F9290" s="107" t="str">
        <f aca="false">IF($C9290="","",$D9290*$E9290)</f>
        <v/>
      </c>
      <c r="G9290" s="107" t="str">
        <f aca="false">IF($C9290="","",$D9290*IFERROR(INDEX('تحليل التكلفة والسعر'!$C$2:$C$700,MATCH($C9290,'تحليل التكلفة والسعر'!$B$2:$B$700,0)),0))</f>
        <v/>
      </c>
    </row>
    <row r="9291" customFormat="false" ht="15" hidden="false" customHeight="false" outlineLevel="0" collapsed="false">
      <c r="A9291" s="103"/>
      <c r="B9291" s="104"/>
      <c r="C9291" s="104"/>
      <c r="E9291" s="107" t="str">
        <f aca="false">IF($C9291="","",IFERROR(INDEX(المنيو!$C$2:$C$500,MATCH($C9291,المنيو!$B$2:$B$500,0)),0))</f>
        <v/>
      </c>
      <c r="F9291" s="107" t="str">
        <f aca="false">IF($C9291="","",$D9291*$E9291)</f>
        <v/>
      </c>
      <c r="G9291" s="107" t="str">
        <f aca="false">IF($C9291="","",$D9291*IFERROR(INDEX('تحليل التكلفة والسعر'!$C$2:$C$700,MATCH($C9291,'تحليل التكلفة والسعر'!$B$2:$B$700,0)),0))</f>
        <v/>
      </c>
    </row>
    <row r="9292" customFormat="false" ht="15" hidden="false" customHeight="false" outlineLevel="0" collapsed="false">
      <c r="A9292" s="103"/>
      <c r="B9292" s="104"/>
      <c r="C9292" s="104"/>
      <c r="E9292" s="107" t="str">
        <f aca="false">IF($C9292="","",IFERROR(INDEX(المنيو!$C$2:$C$500,MATCH($C9292,المنيو!$B$2:$B$500,0)),0))</f>
        <v/>
      </c>
      <c r="F9292" s="107" t="str">
        <f aca="false">IF($C9292="","",$D9292*$E9292)</f>
        <v/>
      </c>
      <c r="G9292" s="107" t="str">
        <f aca="false">IF($C9292="","",$D9292*IFERROR(INDEX('تحليل التكلفة والسعر'!$C$2:$C$700,MATCH($C9292,'تحليل التكلفة والسعر'!$B$2:$B$700,0)),0))</f>
        <v/>
      </c>
    </row>
    <row r="9293" customFormat="false" ht="15" hidden="false" customHeight="false" outlineLevel="0" collapsed="false">
      <c r="A9293" s="103"/>
      <c r="B9293" s="104"/>
      <c r="C9293" s="104"/>
      <c r="E9293" s="107" t="str">
        <f aca="false">IF($C9293="","",IFERROR(INDEX(المنيو!$C$2:$C$500,MATCH($C9293,المنيو!$B$2:$B$500,0)),0))</f>
        <v/>
      </c>
      <c r="F9293" s="107" t="str">
        <f aca="false">IF($C9293="","",$D9293*$E9293)</f>
        <v/>
      </c>
      <c r="G9293" s="107" t="str">
        <f aca="false">IF($C9293="","",$D9293*IFERROR(INDEX('تحليل التكلفة والسعر'!$C$2:$C$700,MATCH($C9293,'تحليل التكلفة والسعر'!$B$2:$B$700,0)),0))</f>
        <v/>
      </c>
    </row>
    <row r="9294" customFormat="false" ht="15" hidden="false" customHeight="false" outlineLevel="0" collapsed="false">
      <c r="A9294" s="103"/>
      <c r="B9294" s="104"/>
      <c r="C9294" s="104"/>
      <c r="E9294" s="107" t="str">
        <f aca="false">IF($C9294="","",IFERROR(INDEX(المنيو!$C$2:$C$500,MATCH($C9294,المنيو!$B$2:$B$500,0)),0))</f>
        <v/>
      </c>
      <c r="F9294" s="107" t="str">
        <f aca="false">IF($C9294="","",$D9294*$E9294)</f>
        <v/>
      </c>
      <c r="G9294" s="107" t="str">
        <f aca="false">IF($C9294="","",$D9294*IFERROR(INDEX('تحليل التكلفة والسعر'!$C$2:$C$700,MATCH($C9294,'تحليل التكلفة والسعر'!$B$2:$B$700,0)),0))</f>
        <v/>
      </c>
    </row>
    <row r="9295" customFormat="false" ht="15" hidden="false" customHeight="false" outlineLevel="0" collapsed="false">
      <c r="A9295" s="103"/>
      <c r="B9295" s="104"/>
      <c r="C9295" s="104"/>
      <c r="E9295" s="107" t="str">
        <f aca="false">IF($C9295="","",IFERROR(INDEX(المنيو!$C$2:$C$500,MATCH($C9295,المنيو!$B$2:$B$500,0)),0))</f>
        <v/>
      </c>
      <c r="F9295" s="107" t="str">
        <f aca="false">IF($C9295="","",$D9295*$E9295)</f>
        <v/>
      </c>
      <c r="G9295" s="107" t="str">
        <f aca="false">IF($C9295="","",$D9295*IFERROR(INDEX('تحليل التكلفة والسعر'!$C$2:$C$700,MATCH($C9295,'تحليل التكلفة والسعر'!$B$2:$B$700,0)),0))</f>
        <v/>
      </c>
    </row>
    <row r="9296" customFormat="false" ht="15" hidden="false" customHeight="false" outlineLevel="0" collapsed="false">
      <c r="A9296" s="103"/>
      <c r="B9296" s="104"/>
      <c r="C9296" s="104"/>
      <c r="E9296" s="107" t="str">
        <f aca="false">IF($C9296="","",IFERROR(INDEX(المنيو!$C$2:$C$500,MATCH($C9296,المنيو!$B$2:$B$500,0)),0))</f>
        <v/>
      </c>
      <c r="F9296" s="107" t="str">
        <f aca="false">IF($C9296="","",$D9296*$E9296)</f>
        <v/>
      </c>
      <c r="G9296" s="107" t="str">
        <f aca="false">IF($C9296="","",$D9296*IFERROR(INDEX('تحليل التكلفة والسعر'!$C$2:$C$700,MATCH($C9296,'تحليل التكلفة والسعر'!$B$2:$B$700,0)),0))</f>
        <v/>
      </c>
    </row>
    <row r="9297" customFormat="false" ht="15" hidden="false" customHeight="false" outlineLevel="0" collapsed="false">
      <c r="A9297" s="103"/>
      <c r="B9297" s="104"/>
      <c r="C9297" s="104"/>
      <c r="E9297" s="107" t="str">
        <f aca="false">IF($C9297="","",IFERROR(INDEX(المنيو!$C$2:$C$500,MATCH($C9297,المنيو!$B$2:$B$500,0)),0))</f>
        <v/>
      </c>
      <c r="F9297" s="107" t="str">
        <f aca="false">IF($C9297="","",$D9297*$E9297)</f>
        <v/>
      </c>
      <c r="G9297" s="107" t="str">
        <f aca="false">IF($C9297="","",$D9297*IFERROR(INDEX('تحليل التكلفة والسعر'!$C$2:$C$700,MATCH($C9297,'تحليل التكلفة والسعر'!$B$2:$B$700,0)),0))</f>
        <v/>
      </c>
    </row>
    <row r="9298" customFormat="false" ht="15" hidden="false" customHeight="false" outlineLevel="0" collapsed="false">
      <c r="A9298" s="103"/>
      <c r="B9298" s="104"/>
      <c r="C9298" s="104"/>
      <c r="E9298" s="107" t="str">
        <f aca="false">IF($C9298="","",IFERROR(INDEX(المنيو!$C$2:$C$500,MATCH($C9298,المنيو!$B$2:$B$500,0)),0))</f>
        <v/>
      </c>
      <c r="F9298" s="107" t="str">
        <f aca="false">IF($C9298="","",$D9298*$E9298)</f>
        <v/>
      </c>
      <c r="G9298" s="107" t="str">
        <f aca="false">IF($C9298="","",$D9298*IFERROR(INDEX('تحليل التكلفة والسعر'!$C$2:$C$700,MATCH($C9298,'تحليل التكلفة والسعر'!$B$2:$B$700,0)),0))</f>
        <v/>
      </c>
    </row>
    <row r="9299" customFormat="false" ht="15" hidden="false" customHeight="false" outlineLevel="0" collapsed="false">
      <c r="A9299" s="103"/>
      <c r="B9299" s="104"/>
      <c r="C9299" s="104"/>
      <c r="E9299" s="107" t="str">
        <f aca="false">IF($C9299="","",IFERROR(INDEX(المنيو!$C$2:$C$500,MATCH($C9299,المنيو!$B$2:$B$500,0)),0))</f>
        <v/>
      </c>
      <c r="F9299" s="107" t="str">
        <f aca="false">IF($C9299="","",$D9299*$E9299)</f>
        <v/>
      </c>
      <c r="G9299" s="107" t="str">
        <f aca="false">IF($C9299="","",$D9299*IFERROR(INDEX('تحليل التكلفة والسعر'!$C$2:$C$700,MATCH($C9299,'تحليل التكلفة والسعر'!$B$2:$B$700,0)),0))</f>
        <v/>
      </c>
    </row>
    <row r="9300" customFormat="false" ht="15" hidden="false" customHeight="false" outlineLevel="0" collapsed="false">
      <c r="A9300" s="103"/>
      <c r="B9300" s="104"/>
      <c r="C9300" s="104"/>
      <c r="E9300" s="107" t="str">
        <f aca="false">IF($C9300="","",IFERROR(INDEX(المنيو!$C$2:$C$500,MATCH($C9300,المنيو!$B$2:$B$500,0)),0))</f>
        <v/>
      </c>
      <c r="F9300" s="107" t="str">
        <f aca="false">IF($C9300="","",$D9300*$E9300)</f>
        <v/>
      </c>
      <c r="G9300" s="107" t="str">
        <f aca="false">IF($C9300="","",$D9300*IFERROR(INDEX('تحليل التكلفة والسعر'!$C$2:$C$700,MATCH($C9300,'تحليل التكلفة والسعر'!$B$2:$B$700,0)),0))</f>
        <v/>
      </c>
    </row>
    <row r="9301" customFormat="false" ht="15" hidden="false" customHeight="false" outlineLevel="0" collapsed="false">
      <c r="A9301" s="103"/>
      <c r="B9301" s="104"/>
      <c r="C9301" s="104"/>
      <c r="E9301" s="107" t="str">
        <f aca="false">IF($C9301="","",IFERROR(INDEX(المنيو!$C$2:$C$500,MATCH($C9301,المنيو!$B$2:$B$500,0)),0))</f>
        <v/>
      </c>
      <c r="F9301" s="107" t="str">
        <f aca="false">IF($C9301="","",$D9301*$E9301)</f>
        <v/>
      </c>
      <c r="G9301" s="107" t="str">
        <f aca="false">IF($C9301="","",$D9301*IFERROR(INDEX('تحليل التكلفة والسعر'!$C$2:$C$700,MATCH($C9301,'تحليل التكلفة والسعر'!$B$2:$B$700,0)),0))</f>
        <v/>
      </c>
    </row>
    <row r="9302" customFormat="false" ht="15" hidden="false" customHeight="false" outlineLevel="0" collapsed="false">
      <c r="A9302" s="103"/>
      <c r="B9302" s="104"/>
      <c r="C9302" s="104"/>
      <c r="E9302" s="107" t="str">
        <f aca="false">IF($C9302="","",IFERROR(INDEX(المنيو!$C$2:$C$500,MATCH($C9302,المنيو!$B$2:$B$500,0)),0))</f>
        <v/>
      </c>
      <c r="F9302" s="107" t="str">
        <f aca="false">IF($C9302="","",$D9302*$E9302)</f>
        <v/>
      </c>
      <c r="G9302" s="107" t="str">
        <f aca="false">IF($C9302="","",$D9302*IFERROR(INDEX('تحليل التكلفة والسعر'!$C$2:$C$700,MATCH($C9302,'تحليل التكلفة والسعر'!$B$2:$B$700,0)),0))</f>
        <v/>
      </c>
    </row>
    <row r="9303" customFormat="false" ht="15" hidden="false" customHeight="false" outlineLevel="0" collapsed="false">
      <c r="A9303" s="103"/>
      <c r="B9303" s="104"/>
      <c r="C9303" s="104"/>
      <c r="E9303" s="107" t="str">
        <f aca="false">IF($C9303="","",IFERROR(INDEX(المنيو!$C$2:$C$500,MATCH($C9303,المنيو!$B$2:$B$500,0)),0))</f>
        <v/>
      </c>
      <c r="F9303" s="107" t="str">
        <f aca="false">IF($C9303="","",$D9303*$E9303)</f>
        <v/>
      </c>
      <c r="G9303" s="107" t="str">
        <f aca="false">IF($C9303="","",$D9303*IFERROR(INDEX('تحليل التكلفة والسعر'!$C$2:$C$700,MATCH($C9303,'تحليل التكلفة والسعر'!$B$2:$B$700,0)),0))</f>
        <v/>
      </c>
    </row>
    <row r="9304" customFormat="false" ht="15" hidden="false" customHeight="false" outlineLevel="0" collapsed="false">
      <c r="A9304" s="103"/>
      <c r="B9304" s="104"/>
      <c r="C9304" s="104"/>
      <c r="E9304" s="107" t="str">
        <f aca="false">IF($C9304="","",IFERROR(INDEX(المنيو!$C$2:$C$500,MATCH($C9304,المنيو!$B$2:$B$500,0)),0))</f>
        <v/>
      </c>
      <c r="F9304" s="107" t="str">
        <f aca="false">IF($C9304="","",$D9304*$E9304)</f>
        <v/>
      </c>
      <c r="G9304" s="107" t="str">
        <f aca="false">IF($C9304="","",$D9304*IFERROR(INDEX('تحليل التكلفة والسعر'!$C$2:$C$700,MATCH($C9304,'تحليل التكلفة والسعر'!$B$2:$B$700,0)),0))</f>
        <v/>
      </c>
    </row>
    <row r="9305" customFormat="false" ht="15" hidden="false" customHeight="false" outlineLevel="0" collapsed="false">
      <c r="A9305" s="103"/>
      <c r="B9305" s="104"/>
      <c r="C9305" s="104"/>
      <c r="E9305" s="107" t="str">
        <f aca="false">IF($C9305="","",IFERROR(INDEX(المنيو!$C$2:$C$500,MATCH($C9305,المنيو!$B$2:$B$500,0)),0))</f>
        <v/>
      </c>
      <c r="F9305" s="107" t="str">
        <f aca="false">IF($C9305="","",$D9305*$E9305)</f>
        <v/>
      </c>
      <c r="G9305" s="107" t="str">
        <f aca="false">IF($C9305="","",$D9305*IFERROR(INDEX('تحليل التكلفة والسعر'!$C$2:$C$700,MATCH($C9305,'تحليل التكلفة والسعر'!$B$2:$B$700,0)),0))</f>
        <v/>
      </c>
    </row>
    <row r="9306" customFormat="false" ht="15" hidden="false" customHeight="false" outlineLevel="0" collapsed="false">
      <c r="A9306" s="103"/>
      <c r="B9306" s="104"/>
      <c r="C9306" s="104"/>
      <c r="E9306" s="107" t="str">
        <f aca="false">IF($C9306="","",IFERROR(INDEX(المنيو!$C$2:$C$500,MATCH($C9306,المنيو!$B$2:$B$500,0)),0))</f>
        <v/>
      </c>
      <c r="F9306" s="107" t="str">
        <f aca="false">IF($C9306="","",$D9306*$E9306)</f>
        <v/>
      </c>
      <c r="G9306" s="107" t="str">
        <f aca="false">IF($C9306="","",$D9306*IFERROR(INDEX('تحليل التكلفة والسعر'!$C$2:$C$700,MATCH($C9306,'تحليل التكلفة والسعر'!$B$2:$B$700,0)),0))</f>
        <v/>
      </c>
    </row>
    <row r="9307" customFormat="false" ht="15" hidden="false" customHeight="false" outlineLevel="0" collapsed="false">
      <c r="A9307" s="103"/>
      <c r="B9307" s="104"/>
      <c r="C9307" s="104"/>
      <c r="E9307" s="107" t="str">
        <f aca="false">IF($C9307="","",IFERROR(INDEX(المنيو!$C$2:$C$500,MATCH($C9307,المنيو!$B$2:$B$500,0)),0))</f>
        <v/>
      </c>
      <c r="F9307" s="107" t="str">
        <f aca="false">IF($C9307="","",$D9307*$E9307)</f>
        <v/>
      </c>
      <c r="G9307" s="107" t="str">
        <f aca="false">IF($C9307="","",$D9307*IFERROR(INDEX('تحليل التكلفة والسعر'!$C$2:$C$700,MATCH($C9307,'تحليل التكلفة والسعر'!$B$2:$B$700,0)),0))</f>
        <v/>
      </c>
    </row>
    <row r="9308" customFormat="false" ht="15" hidden="false" customHeight="false" outlineLevel="0" collapsed="false">
      <c r="A9308" s="103"/>
      <c r="B9308" s="104"/>
      <c r="C9308" s="104"/>
      <c r="E9308" s="107" t="str">
        <f aca="false">IF($C9308="","",IFERROR(INDEX(المنيو!$C$2:$C$500,MATCH($C9308,المنيو!$B$2:$B$500,0)),0))</f>
        <v/>
      </c>
      <c r="F9308" s="107" t="str">
        <f aca="false">IF($C9308="","",$D9308*$E9308)</f>
        <v/>
      </c>
      <c r="G9308" s="107" t="str">
        <f aca="false">IF($C9308="","",$D9308*IFERROR(INDEX('تحليل التكلفة والسعر'!$C$2:$C$700,MATCH($C9308,'تحليل التكلفة والسعر'!$B$2:$B$700,0)),0))</f>
        <v/>
      </c>
    </row>
    <row r="9309" customFormat="false" ht="15" hidden="false" customHeight="false" outlineLevel="0" collapsed="false">
      <c r="A9309" s="103"/>
      <c r="B9309" s="104"/>
      <c r="C9309" s="104"/>
      <c r="E9309" s="107" t="str">
        <f aca="false">IF($C9309="","",IFERROR(INDEX(المنيو!$C$2:$C$500,MATCH($C9309,المنيو!$B$2:$B$500,0)),0))</f>
        <v/>
      </c>
      <c r="F9309" s="107" t="str">
        <f aca="false">IF($C9309="","",$D9309*$E9309)</f>
        <v/>
      </c>
      <c r="G9309" s="107" t="str">
        <f aca="false">IF($C9309="","",$D9309*IFERROR(INDEX('تحليل التكلفة والسعر'!$C$2:$C$700,MATCH($C9309,'تحليل التكلفة والسعر'!$B$2:$B$700,0)),0))</f>
        <v/>
      </c>
    </row>
    <row r="9310" customFormat="false" ht="15" hidden="false" customHeight="false" outlineLevel="0" collapsed="false">
      <c r="A9310" s="103"/>
      <c r="B9310" s="104"/>
      <c r="C9310" s="104"/>
      <c r="E9310" s="107" t="str">
        <f aca="false">IF($C9310="","",IFERROR(INDEX(المنيو!$C$2:$C$500,MATCH($C9310,المنيو!$B$2:$B$500,0)),0))</f>
        <v/>
      </c>
      <c r="F9310" s="107" t="str">
        <f aca="false">IF($C9310="","",$D9310*$E9310)</f>
        <v/>
      </c>
      <c r="G9310" s="107" t="str">
        <f aca="false">IF($C9310="","",$D9310*IFERROR(INDEX('تحليل التكلفة والسعر'!$C$2:$C$700,MATCH($C9310,'تحليل التكلفة والسعر'!$B$2:$B$700,0)),0))</f>
        <v/>
      </c>
    </row>
    <row r="9311" customFormat="false" ht="15" hidden="false" customHeight="false" outlineLevel="0" collapsed="false">
      <c r="A9311" s="103"/>
      <c r="B9311" s="104"/>
      <c r="C9311" s="104"/>
      <c r="E9311" s="107" t="str">
        <f aca="false">IF($C9311="","",IFERROR(INDEX(المنيو!$C$2:$C$500,MATCH($C9311,المنيو!$B$2:$B$500,0)),0))</f>
        <v/>
      </c>
      <c r="F9311" s="107" t="str">
        <f aca="false">IF($C9311="","",$D9311*$E9311)</f>
        <v/>
      </c>
      <c r="G9311" s="107" t="str">
        <f aca="false">IF($C9311="","",$D9311*IFERROR(INDEX('تحليل التكلفة والسعر'!$C$2:$C$700,MATCH($C9311,'تحليل التكلفة والسعر'!$B$2:$B$700,0)),0))</f>
        <v/>
      </c>
    </row>
    <row r="9312" customFormat="false" ht="15" hidden="false" customHeight="false" outlineLevel="0" collapsed="false">
      <c r="A9312" s="103"/>
      <c r="B9312" s="104"/>
      <c r="C9312" s="104"/>
      <c r="E9312" s="107" t="str">
        <f aca="false">IF($C9312="","",IFERROR(INDEX(المنيو!$C$2:$C$500,MATCH($C9312,المنيو!$B$2:$B$500,0)),0))</f>
        <v/>
      </c>
      <c r="F9312" s="107" t="str">
        <f aca="false">IF($C9312="","",$D9312*$E9312)</f>
        <v/>
      </c>
      <c r="G9312" s="107" t="str">
        <f aca="false">IF($C9312="","",$D9312*IFERROR(INDEX('تحليل التكلفة والسعر'!$C$2:$C$700,MATCH($C9312,'تحليل التكلفة والسعر'!$B$2:$B$700,0)),0))</f>
        <v/>
      </c>
    </row>
    <row r="9313" customFormat="false" ht="15" hidden="false" customHeight="false" outlineLevel="0" collapsed="false">
      <c r="A9313" s="103"/>
      <c r="B9313" s="104"/>
      <c r="C9313" s="104"/>
      <c r="E9313" s="107" t="str">
        <f aca="false">IF($C9313="","",IFERROR(INDEX(المنيو!$C$2:$C$500,MATCH($C9313,المنيو!$B$2:$B$500,0)),0))</f>
        <v/>
      </c>
      <c r="F9313" s="107" t="str">
        <f aca="false">IF($C9313="","",$D9313*$E9313)</f>
        <v/>
      </c>
      <c r="G9313" s="107" t="str">
        <f aca="false">IF($C9313="","",$D9313*IFERROR(INDEX('تحليل التكلفة والسعر'!$C$2:$C$700,MATCH($C9313,'تحليل التكلفة والسعر'!$B$2:$B$700,0)),0))</f>
        <v/>
      </c>
    </row>
    <row r="9314" customFormat="false" ht="15" hidden="false" customHeight="false" outlineLevel="0" collapsed="false">
      <c r="A9314" s="103"/>
      <c r="B9314" s="104"/>
      <c r="C9314" s="104"/>
      <c r="E9314" s="107" t="str">
        <f aca="false">IF($C9314="","",IFERROR(INDEX(المنيو!$C$2:$C$500,MATCH($C9314,المنيو!$B$2:$B$500,0)),0))</f>
        <v/>
      </c>
      <c r="F9314" s="107" t="str">
        <f aca="false">IF($C9314="","",$D9314*$E9314)</f>
        <v/>
      </c>
      <c r="G9314" s="107" t="str">
        <f aca="false">IF($C9314="","",$D9314*IFERROR(INDEX('تحليل التكلفة والسعر'!$C$2:$C$700,MATCH($C9314,'تحليل التكلفة والسعر'!$B$2:$B$700,0)),0))</f>
        <v/>
      </c>
    </row>
    <row r="9315" customFormat="false" ht="15" hidden="false" customHeight="false" outlineLevel="0" collapsed="false">
      <c r="A9315" s="103"/>
      <c r="B9315" s="104"/>
      <c r="C9315" s="104"/>
      <c r="E9315" s="107" t="str">
        <f aca="false">IF($C9315="","",IFERROR(INDEX(المنيو!$C$2:$C$500,MATCH($C9315,المنيو!$B$2:$B$500,0)),0))</f>
        <v/>
      </c>
      <c r="F9315" s="107" t="str">
        <f aca="false">IF($C9315="","",$D9315*$E9315)</f>
        <v/>
      </c>
      <c r="G9315" s="107" t="str">
        <f aca="false">IF($C9315="","",$D9315*IFERROR(INDEX('تحليل التكلفة والسعر'!$C$2:$C$700,MATCH($C9315,'تحليل التكلفة والسعر'!$B$2:$B$700,0)),0))</f>
        <v/>
      </c>
    </row>
    <row r="9316" customFormat="false" ht="15" hidden="false" customHeight="false" outlineLevel="0" collapsed="false">
      <c r="A9316" s="103"/>
      <c r="B9316" s="104"/>
      <c r="C9316" s="104"/>
      <c r="E9316" s="107" t="str">
        <f aca="false">IF($C9316="","",IFERROR(INDEX(المنيو!$C$2:$C$500,MATCH($C9316,المنيو!$B$2:$B$500,0)),0))</f>
        <v/>
      </c>
      <c r="F9316" s="107" t="str">
        <f aca="false">IF($C9316="","",$D9316*$E9316)</f>
        <v/>
      </c>
      <c r="G9316" s="107" t="str">
        <f aca="false">IF($C9316="","",$D9316*IFERROR(INDEX('تحليل التكلفة والسعر'!$C$2:$C$700,MATCH($C9316,'تحليل التكلفة والسعر'!$B$2:$B$700,0)),0))</f>
        <v/>
      </c>
    </row>
    <row r="9317" customFormat="false" ht="15" hidden="false" customHeight="false" outlineLevel="0" collapsed="false">
      <c r="A9317" s="103"/>
      <c r="B9317" s="104"/>
      <c r="C9317" s="104"/>
      <c r="E9317" s="107" t="str">
        <f aca="false">IF($C9317="","",IFERROR(INDEX(المنيو!$C$2:$C$500,MATCH($C9317,المنيو!$B$2:$B$500,0)),0))</f>
        <v/>
      </c>
      <c r="F9317" s="107" t="str">
        <f aca="false">IF($C9317="","",$D9317*$E9317)</f>
        <v/>
      </c>
      <c r="G9317" s="107" t="str">
        <f aca="false">IF($C9317="","",$D9317*IFERROR(INDEX('تحليل التكلفة والسعر'!$C$2:$C$700,MATCH($C9317,'تحليل التكلفة والسعر'!$B$2:$B$700,0)),0))</f>
        <v/>
      </c>
    </row>
    <row r="9318" customFormat="false" ht="15" hidden="false" customHeight="false" outlineLevel="0" collapsed="false">
      <c r="A9318" s="103"/>
      <c r="B9318" s="104"/>
      <c r="C9318" s="104"/>
      <c r="E9318" s="107" t="str">
        <f aca="false">IF($C9318="","",IFERROR(INDEX(المنيو!$C$2:$C$500,MATCH($C9318,المنيو!$B$2:$B$500,0)),0))</f>
        <v/>
      </c>
      <c r="F9318" s="107" t="str">
        <f aca="false">IF($C9318="","",$D9318*$E9318)</f>
        <v/>
      </c>
      <c r="G9318" s="107" t="str">
        <f aca="false">IF($C9318="","",$D9318*IFERROR(INDEX('تحليل التكلفة والسعر'!$C$2:$C$700,MATCH($C9318,'تحليل التكلفة والسعر'!$B$2:$B$700,0)),0))</f>
        <v/>
      </c>
    </row>
    <row r="9319" customFormat="false" ht="15" hidden="false" customHeight="false" outlineLevel="0" collapsed="false">
      <c r="A9319" s="103"/>
      <c r="B9319" s="104"/>
      <c r="C9319" s="104"/>
      <c r="E9319" s="107" t="str">
        <f aca="false">IF($C9319="","",IFERROR(INDEX(المنيو!$C$2:$C$500,MATCH($C9319,المنيو!$B$2:$B$500,0)),0))</f>
        <v/>
      </c>
      <c r="F9319" s="107" t="str">
        <f aca="false">IF($C9319="","",$D9319*$E9319)</f>
        <v/>
      </c>
      <c r="G9319" s="107" t="str">
        <f aca="false">IF($C9319="","",$D9319*IFERROR(INDEX('تحليل التكلفة والسعر'!$C$2:$C$700,MATCH($C9319,'تحليل التكلفة والسعر'!$B$2:$B$700,0)),0))</f>
        <v/>
      </c>
    </row>
    <row r="9320" customFormat="false" ht="15" hidden="false" customHeight="false" outlineLevel="0" collapsed="false">
      <c r="A9320" s="103"/>
      <c r="B9320" s="104"/>
      <c r="C9320" s="104"/>
      <c r="E9320" s="107" t="str">
        <f aca="false">IF($C9320="","",IFERROR(INDEX(المنيو!$C$2:$C$500,MATCH($C9320,المنيو!$B$2:$B$500,0)),0))</f>
        <v/>
      </c>
      <c r="F9320" s="107" t="str">
        <f aca="false">IF($C9320="","",$D9320*$E9320)</f>
        <v/>
      </c>
      <c r="G9320" s="107" t="str">
        <f aca="false">IF($C9320="","",$D9320*IFERROR(INDEX('تحليل التكلفة والسعر'!$C$2:$C$700,MATCH($C9320,'تحليل التكلفة والسعر'!$B$2:$B$700,0)),0))</f>
        <v/>
      </c>
    </row>
    <row r="9321" customFormat="false" ht="15" hidden="false" customHeight="false" outlineLevel="0" collapsed="false">
      <c r="A9321" s="103"/>
      <c r="B9321" s="104"/>
      <c r="C9321" s="104"/>
      <c r="E9321" s="107" t="str">
        <f aca="false">IF($C9321="","",IFERROR(INDEX(المنيو!$C$2:$C$500,MATCH($C9321,المنيو!$B$2:$B$500,0)),0))</f>
        <v/>
      </c>
      <c r="F9321" s="107" t="str">
        <f aca="false">IF($C9321="","",$D9321*$E9321)</f>
        <v/>
      </c>
      <c r="G9321" s="107" t="str">
        <f aca="false">IF($C9321="","",$D9321*IFERROR(INDEX('تحليل التكلفة والسعر'!$C$2:$C$700,MATCH($C9321,'تحليل التكلفة والسعر'!$B$2:$B$700,0)),0))</f>
        <v/>
      </c>
    </row>
    <row r="9322" customFormat="false" ht="15" hidden="false" customHeight="false" outlineLevel="0" collapsed="false">
      <c r="A9322" s="103"/>
      <c r="B9322" s="104"/>
      <c r="C9322" s="104"/>
      <c r="E9322" s="107" t="str">
        <f aca="false">IF($C9322="","",IFERROR(INDEX(المنيو!$C$2:$C$500,MATCH($C9322,المنيو!$B$2:$B$500,0)),0))</f>
        <v/>
      </c>
      <c r="F9322" s="107" t="str">
        <f aca="false">IF($C9322="","",$D9322*$E9322)</f>
        <v/>
      </c>
      <c r="G9322" s="107" t="str">
        <f aca="false">IF($C9322="","",$D9322*IFERROR(INDEX('تحليل التكلفة والسعر'!$C$2:$C$700,MATCH($C9322,'تحليل التكلفة والسعر'!$B$2:$B$700,0)),0))</f>
        <v/>
      </c>
    </row>
    <row r="9323" customFormat="false" ht="15" hidden="false" customHeight="false" outlineLevel="0" collapsed="false">
      <c r="A9323" s="103"/>
      <c r="B9323" s="104"/>
      <c r="C9323" s="104"/>
      <c r="E9323" s="107" t="str">
        <f aca="false">IF($C9323="","",IFERROR(INDEX(المنيو!$C$2:$C$500,MATCH($C9323,المنيو!$B$2:$B$500,0)),0))</f>
        <v/>
      </c>
      <c r="F9323" s="107" t="str">
        <f aca="false">IF($C9323="","",$D9323*$E9323)</f>
        <v/>
      </c>
      <c r="G9323" s="107" t="str">
        <f aca="false">IF($C9323="","",$D9323*IFERROR(INDEX('تحليل التكلفة والسعر'!$C$2:$C$700,MATCH($C9323,'تحليل التكلفة والسعر'!$B$2:$B$700,0)),0))</f>
        <v/>
      </c>
    </row>
    <row r="9324" customFormat="false" ht="15" hidden="false" customHeight="false" outlineLevel="0" collapsed="false">
      <c r="A9324" s="103"/>
      <c r="B9324" s="104"/>
      <c r="C9324" s="104"/>
      <c r="E9324" s="107" t="str">
        <f aca="false">IF($C9324="","",IFERROR(INDEX(المنيو!$C$2:$C$500,MATCH($C9324,المنيو!$B$2:$B$500,0)),0))</f>
        <v/>
      </c>
      <c r="F9324" s="107" t="str">
        <f aca="false">IF($C9324="","",$D9324*$E9324)</f>
        <v/>
      </c>
      <c r="G9324" s="107" t="str">
        <f aca="false">IF($C9324="","",$D9324*IFERROR(INDEX('تحليل التكلفة والسعر'!$C$2:$C$700,MATCH($C9324,'تحليل التكلفة والسعر'!$B$2:$B$700,0)),0))</f>
        <v/>
      </c>
    </row>
    <row r="9325" customFormat="false" ht="15" hidden="false" customHeight="false" outlineLevel="0" collapsed="false">
      <c r="A9325" s="103"/>
      <c r="B9325" s="104"/>
      <c r="C9325" s="104"/>
      <c r="E9325" s="107" t="str">
        <f aca="false">IF($C9325="","",IFERROR(INDEX(المنيو!$C$2:$C$500,MATCH($C9325,المنيو!$B$2:$B$500,0)),0))</f>
        <v/>
      </c>
      <c r="F9325" s="107" t="str">
        <f aca="false">IF($C9325="","",$D9325*$E9325)</f>
        <v/>
      </c>
      <c r="G9325" s="107" t="str">
        <f aca="false">IF($C9325="","",$D9325*IFERROR(INDEX('تحليل التكلفة والسعر'!$C$2:$C$700,MATCH($C9325,'تحليل التكلفة والسعر'!$B$2:$B$700,0)),0))</f>
        <v/>
      </c>
    </row>
    <row r="9326" customFormat="false" ht="15" hidden="false" customHeight="false" outlineLevel="0" collapsed="false">
      <c r="A9326" s="103"/>
      <c r="B9326" s="104"/>
      <c r="C9326" s="104"/>
      <c r="E9326" s="107" t="str">
        <f aca="false">IF($C9326="","",IFERROR(INDEX(المنيو!$C$2:$C$500,MATCH($C9326,المنيو!$B$2:$B$500,0)),0))</f>
        <v/>
      </c>
      <c r="F9326" s="107" t="str">
        <f aca="false">IF($C9326="","",$D9326*$E9326)</f>
        <v/>
      </c>
      <c r="G9326" s="107" t="str">
        <f aca="false">IF($C9326="","",$D9326*IFERROR(INDEX('تحليل التكلفة والسعر'!$C$2:$C$700,MATCH($C9326,'تحليل التكلفة والسعر'!$B$2:$B$700,0)),0))</f>
        <v/>
      </c>
    </row>
    <row r="9327" customFormat="false" ht="15" hidden="false" customHeight="false" outlineLevel="0" collapsed="false">
      <c r="A9327" s="103"/>
      <c r="B9327" s="104"/>
      <c r="C9327" s="104"/>
      <c r="E9327" s="107" t="str">
        <f aca="false">IF($C9327="","",IFERROR(INDEX(المنيو!$C$2:$C$500,MATCH($C9327,المنيو!$B$2:$B$500,0)),0))</f>
        <v/>
      </c>
      <c r="F9327" s="107" t="str">
        <f aca="false">IF($C9327="","",$D9327*$E9327)</f>
        <v/>
      </c>
      <c r="G9327" s="107" t="str">
        <f aca="false">IF($C9327="","",$D9327*IFERROR(INDEX('تحليل التكلفة والسعر'!$C$2:$C$700,MATCH($C9327,'تحليل التكلفة والسعر'!$B$2:$B$700,0)),0))</f>
        <v/>
      </c>
    </row>
    <row r="9328" customFormat="false" ht="15" hidden="false" customHeight="false" outlineLevel="0" collapsed="false">
      <c r="A9328" s="103"/>
      <c r="B9328" s="104"/>
      <c r="C9328" s="104"/>
      <c r="E9328" s="107" t="str">
        <f aca="false">IF($C9328="","",IFERROR(INDEX(المنيو!$C$2:$C$500,MATCH($C9328,المنيو!$B$2:$B$500,0)),0))</f>
        <v/>
      </c>
      <c r="F9328" s="107" t="str">
        <f aca="false">IF($C9328="","",$D9328*$E9328)</f>
        <v/>
      </c>
      <c r="G9328" s="107" t="str">
        <f aca="false">IF($C9328="","",$D9328*IFERROR(INDEX('تحليل التكلفة والسعر'!$C$2:$C$700,MATCH($C9328,'تحليل التكلفة والسعر'!$B$2:$B$700,0)),0))</f>
        <v/>
      </c>
    </row>
    <row r="9329" customFormat="false" ht="15" hidden="false" customHeight="false" outlineLevel="0" collapsed="false">
      <c r="A9329" s="103"/>
      <c r="B9329" s="104"/>
      <c r="C9329" s="104"/>
      <c r="E9329" s="107" t="str">
        <f aca="false">IF($C9329="","",IFERROR(INDEX(المنيو!$C$2:$C$500,MATCH($C9329,المنيو!$B$2:$B$500,0)),0))</f>
        <v/>
      </c>
      <c r="F9329" s="107" t="str">
        <f aca="false">IF($C9329="","",$D9329*$E9329)</f>
        <v/>
      </c>
      <c r="G9329" s="107" t="str">
        <f aca="false">IF($C9329="","",$D9329*IFERROR(INDEX('تحليل التكلفة والسعر'!$C$2:$C$700,MATCH($C9329,'تحليل التكلفة والسعر'!$B$2:$B$700,0)),0))</f>
        <v/>
      </c>
    </row>
    <row r="9330" customFormat="false" ht="15" hidden="false" customHeight="false" outlineLevel="0" collapsed="false">
      <c r="A9330" s="103"/>
      <c r="B9330" s="104"/>
      <c r="C9330" s="104"/>
      <c r="E9330" s="107" t="str">
        <f aca="false">IF($C9330="","",IFERROR(INDEX(المنيو!$C$2:$C$500,MATCH($C9330,المنيو!$B$2:$B$500,0)),0))</f>
        <v/>
      </c>
      <c r="F9330" s="107" t="str">
        <f aca="false">IF($C9330="","",$D9330*$E9330)</f>
        <v/>
      </c>
      <c r="G9330" s="107" t="str">
        <f aca="false">IF($C9330="","",$D9330*IFERROR(INDEX('تحليل التكلفة والسعر'!$C$2:$C$700,MATCH($C9330,'تحليل التكلفة والسعر'!$B$2:$B$700,0)),0))</f>
        <v/>
      </c>
    </row>
    <row r="9331" customFormat="false" ht="15" hidden="false" customHeight="false" outlineLevel="0" collapsed="false">
      <c r="A9331" s="103"/>
      <c r="B9331" s="104"/>
      <c r="C9331" s="104"/>
      <c r="E9331" s="107" t="str">
        <f aca="false">IF($C9331="","",IFERROR(INDEX(المنيو!$C$2:$C$500,MATCH($C9331,المنيو!$B$2:$B$500,0)),0))</f>
        <v/>
      </c>
      <c r="F9331" s="107" t="str">
        <f aca="false">IF($C9331="","",$D9331*$E9331)</f>
        <v/>
      </c>
      <c r="G9331" s="107" t="str">
        <f aca="false">IF($C9331="","",$D9331*IFERROR(INDEX('تحليل التكلفة والسعر'!$C$2:$C$700,MATCH($C9331,'تحليل التكلفة والسعر'!$B$2:$B$700,0)),0))</f>
        <v/>
      </c>
    </row>
    <row r="9332" customFormat="false" ht="15" hidden="false" customHeight="false" outlineLevel="0" collapsed="false">
      <c r="A9332" s="103"/>
      <c r="B9332" s="104"/>
      <c r="C9332" s="104"/>
      <c r="E9332" s="107" t="str">
        <f aca="false">IF($C9332="","",IFERROR(INDEX(المنيو!$C$2:$C$500,MATCH($C9332,المنيو!$B$2:$B$500,0)),0))</f>
        <v/>
      </c>
      <c r="F9332" s="107" t="str">
        <f aca="false">IF($C9332="","",$D9332*$E9332)</f>
        <v/>
      </c>
      <c r="G9332" s="107" t="str">
        <f aca="false">IF($C9332="","",$D9332*IFERROR(INDEX('تحليل التكلفة والسعر'!$C$2:$C$700,MATCH($C9332,'تحليل التكلفة والسعر'!$B$2:$B$700,0)),0))</f>
        <v/>
      </c>
    </row>
    <row r="9333" customFormat="false" ht="15" hidden="false" customHeight="false" outlineLevel="0" collapsed="false">
      <c r="A9333" s="103"/>
      <c r="B9333" s="104"/>
      <c r="C9333" s="104"/>
      <c r="E9333" s="107" t="str">
        <f aca="false">IF($C9333="","",IFERROR(INDEX(المنيو!$C$2:$C$500,MATCH($C9333,المنيو!$B$2:$B$500,0)),0))</f>
        <v/>
      </c>
      <c r="F9333" s="107" t="str">
        <f aca="false">IF($C9333="","",$D9333*$E9333)</f>
        <v/>
      </c>
      <c r="G9333" s="107" t="str">
        <f aca="false">IF($C9333="","",$D9333*IFERROR(INDEX('تحليل التكلفة والسعر'!$C$2:$C$700,MATCH($C9333,'تحليل التكلفة والسعر'!$B$2:$B$700,0)),0))</f>
        <v/>
      </c>
    </row>
    <row r="9334" customFormat="false" ht="15" hidden="false" customHeight="false" outlineLevel="0" collapsed="false">
      <c r="A9334" s="103"/>
      <c r="B9334" s="104"/>
      <c r="C9334" s="104"/>
      <c r="E9334" s="107" t="str">
        <f aca="false">IF($C9334="","",IFERROR(INDEX(المنيو!$C$2:$C$500,MATCH($C9334,المنيو!$B$2:$B$500,0)),0))</f>
        <v/>
      </c>
      <c r="F9334" s="107" t="str">
        <f aca="false">IF($C9334="","",$D9334*$E9334)</f>
        <v/>
      </c>
      <c r="G9334" s="107" t="str">
        <f aca="false">IF($C9334="","",$D9334*IFERROR(INDEX('تحليل التكلفة والسعر'!$C$2:$C$700,MATCH($C9334,'تحليل التكلفة والسعر'!$B$2:$B$700,0)),0))</f>
        <v/>
      </c>
    </row>
    <row r="9335" customFormat="false" ht="15" hidden="false" customHeight="false" outlineLevel="0" collapsed="false">
      <c r="A9335" s="103"/>
      <c r="B9335" s="104"/>
      <c r="C9335" s="104"/>
      <c r="E9335" s="107" t="str">
        <f aca="false">IF($C9335="","",IFERROR(INDEX(المنيو!$C$2:$C$500,MATCH($C9335,المنيو!$B$2:$B$500,0)),0))</f>
        <v/>
      </c>
      <c r="F9335" s="107" t="str">
        <f aca="false">IF($C9335="","",$D9335*$E9335)</f>
        <v/>
      </c>
      <c r="G9335" s="107" t="str">
        <f aca="false">IF($C9335="","",$D9335*IFERROR(INDEX('تحليل التكلفة والسعر'!$C$2:$C$700,MATCH($C9335,'تحليل التكلفة والسعر'!$B$2:$B$700,0)),0))</f>
        <v/>
      </c>
    </row>
    <row r="9336" customFormat="false" ht="15" hidden="false" customHeight="false" outlineLevel="0" collapsed="false">
      <c r="A9336" s="103"/>
      <c r="B9336" s="104"/>
      <c r="C9336" s="104"/>
      <c r="E9336" s="107" t="str">
        <f aca="false">IF($C9336="","",IFERROR(INDEX(المنيو!$C$2:$C$500,MATCH($C9336,المنيو!$B$2:$B$500,0)),0))</f>
        <v/>
      </c>
      <c r="F9336" s="107" t="str">
        <f aca="false">IF($C9336="","",$D9336*$E9336)</f>
        <v/>
      </c>
      <c r="G9336" s="107" t="str">
        <f aca="false">IF($C9336="","",$D9336*IFERROR(INDEX('تحليل التكلفة والسعر'!$C$2:$C$700,MATCH($C9336,'تحليل التكلفة والسعر'!$B$2:$B$700,0)),0))</f>
        <v/>
      </c>
    </row>
    <row r="9337" customFormat="false" ht="15" hidden="false" customHeight="false" outlineLevel="0" collapsed="false">
      <c r="A9337" s="103"/>
      <c r="B9337" s="104"/>
      <c r="C9337" s="104"/>
      <c r="E9337" s="107" t="str">
        <f aca="false">IF($C9337="","",IFERROR(INDEX(المنيو!$C$2:$C$500,MATCH($C9337,المنيو!$B$2:$B$500,0)),0))</f>
        <v/>
      </c>
      <c r="F9337" s="107" t="str">
        <f aca="false">IF($C9337="","",$D9337*$E9337)</f>
        <v/>
      </c>
      <c r="G9337" s="107" t="str">
        <f aca="false">IF($C9337="","",$D9337*IFERROR(INDEX('تحليل التكلفة والسعر'!$C$2:$C$700,MATCH($C9337,'تحليل التكلفة والسعر'!$B$2:$B$700,0)),0))</f>
        <v/>
      </c>
    </row>
    <row r="9338" customFormat="false" ht="15" hidden="false" customHeight="false" outlineLevel="0" collapsed="false">
      <c r="A9338" s="103"/>
      <c r="B9338" s="104"/>
      <c r="C9338" s="104"/>
      <c r="E9338" s="107" t="str">
        <f aca="false">IF($C9338="","",IFERROR(INDEX(المنيو!$C$2:$C$500,MATCH($C9338,المنيو!$B$2:$B$500,0)),0))</f>
        <v/>
      </c>
      <c r="F9338" s="107" t="str">
        <f aca="false">IF($C9338="","",$D9338*$E9338)</f>
        <v/>
      </c>
      <c r="G9338" s="107" t="str">
        <f aca="false">IF($C9338="","",$D9338*IFERROR(INDEX('تحليل التكلفة والسعر'!$C$2:$C$700,MATCH($C9338,'تحليل التكلفة والسعر'!$B$2:$B$700,0)),0))</f>
        <v/>
      </c>
    </row>
    <row r="9339" customFormat="false" ht="15" hidden="false" customHeight="false" outlineLevel="0" collapsed="false">
      <c r="A9339" s="103"/>
      <c r="B9339" s="104"/>
      <c r="C9339" s="104"/>
      <c r="E9339" s="107" t="str">
        <f aca="false">IF($C9339="","",IFERROR(INDEX(المنيو!$C$2:$C$500,MATCH($C9339,المنيو!$B$2:$B$500,0)),0))</f>
        <v/>
      </c>
      <c r="F9339" s="107" t="str">
        <f aca="false">IF($C9339="","",$D9339*$E9339)</f>
        <v/>
      </c>
      <c r="G9339" s="107" t="str">
        <f aca="false">IF($C9339="","",$D9339*IFERROR(INDEX('تحليل التكلفة والسعر'!$C$2:$C$700,MATCH($C9339,'تحليل التكلفة والسعر'!$B$2:$B$700,0)),0))</f>
        <v/>
      </c>
    </row>
    <row r="9340" customFormat="false" ht="15" hidden="false" customHeight="false" outlineLevel="0" collapsed="false">
      <c r="A9340" s="103"/>
      <c r="B9340" s="104"/>
      <c r="C9340" s="104"/>
      <c r="E9340" s="107" t="str">
        <f aca="false">IF($C9340="","",IFERROR(INDEX(المنيو!$C$2:$C$500,MATCH($C9340,المنيو!$B$2:$B$500,0)),0))</f>
        <v/>
      </c>
      <c r="F9340" s="107" t="str">
        <f aca="false">IF($C9340="","",$D9340*$E9340)</f>
        <v/>
      </c>
      <c r="G9340" s="107" t="str">
        <f aca="false">IF($C9340="","",$D9340*IFERROR(INDEX('تحليل التكلفة والسعر'!$C$2:$C$700,MATCH($C9340,'تحليل التكلفة والسعر'!$B$2:$B$700,0)),0))</f>
        <v/>
      </c>
    </row>
    <row r="9341" customFormat="false" ht="15" hidden="false" customHeight="false" outlineLevel="0" collapsed="false">
      <c r="A9341" s="103"/>
      <c r="B9341" s="104"/>
      <c r="C9341" s="104"/>
      <c r="E9341" s="107" t="str">
        <f aca="false">IF($C9341="","",IFERROR(INDEX(المنيو!$C$2:$C$500,MATCH($C9341,المنيو!$B$2:$B$500,0)),0))</f>
        <v/>
      </c>
      <c r="F9341" s="107" t="str">
        <f aca="false">IF($C9341="","",$D9341*$E9341)</f>
        <v/>
      </c>
      <c r="G9341" s="107" t="str">
        <f aca="false">IF($C9341="","",$D9341*IFERROR(INDEX('تحليل التكلفة والسعر'!$C$2:$C$700,MATCH($C9341,'تحليل التكلفة والسعر'!$B$2:$B$700,0)),0))</f>
        <v/>
      </c>
    </row>
    <row r="9342" customFormat="false" ht="15" hidden="false" customHeight="false" outlineLevel="0" collapsed="false">
      <c r="A9342" s="103"/>
      <c r="B9342" s="104"/>
      <c r="C9342" s="104"/>
      <c r="E9342" s="107" t="str">
        <f aca="false">IF($C9342="","",IFERROR(INDEX(المنيو!$C$2:$C$500,MATCH($C9342,المنيو!$B$2:$B$500,0)),0))</f>
        <v/>
      </c>
      <c r="F9342" s="107" t="str">
        <f aca="false">IF($C9342="","",$D9342*$E9342)</f>
        <v/>
      </c>
      <c r="G9342" s="107" t="str">
        <f aca="false">IF($C9342="","",$D9342*IFERROR(INDEX('تحليل التكلفة والسعر'!$C$2:$C$700,MATCH($C9342,'تحليل التكلفة والسعر'!$B$2:$B$700,0)),0))</f>
        <v/>
      </c>
    </row>
    <row r="9343" customFormat="false" ht="15" hidden="false" customHeight="false" outlineLevel="0" collapsed="false">
      <c r="A9343" s="103"/>
      <c r="B9343" s="104"/>
      <c r="C9343" s="104"/>
      <c r="E9343" s="107" t="str">
        <f aca="false">IF($C9343="","",IFERROR(INDEX(المنيو!$C$2:$C$500,MATCH($C9343,المنيو!$B$2:$B$500,0)),0))</f>
        <v/>
      </c>
      <c r="F9343" s="107" t="str">
        <f aca="false">IF($C9343="","",$D9343*$E9343)</f>
        <v/>
      </c>
      <c r="G9343" s="107" t="str">
        <f aca="false">IF($C9343="","",$D9343*IFERROR(INDEX('تحليل التكلفة والسعر'!$C$2:$C$700,MATCH($C9343,'تحليل التكلفة والسعر'!$B$2:$B$700,0)),0))</f>
        <v/>
      </c>
    </row>
    <row r="9344" customFormat="false" ht="15" hidden="false" customHeight="false" outlineLevel="0" collapsed="false">
      <c r="A9344" s="103"/>
      <c r="B9344" s="104"/>
      <c r="C9344" s="104"/>
      <c r="E9344" s="107" t="str">
        <f aca="false">IF($C9344="","",IFERROR(INDEX(المنيو!$C$2:$C$500,MATCH($C9344,المنيو!$B$2:$B$500,0)),0))</f>
        <v/>
      </c>
      <c r="F9344" s="107" t="str">
        <f aca="false">IF($C9344="","",$D9344*$E9344)</f>
        <v/>
      </c>
      <c r="G9344" s="107" t="str">
        <f aca="false">IF($C9344="","",$D9344*IFERROR(INDEX('تحليل التكلفة والسعر'!$C$2:$C$700,MATCH($C9344,'تحليل التكلفة والسعر'!$B$2:$B$700,0)),0))</f>
        <v/>
      </c>
    </row>
    <row r="9345" customFormat="false" ht="15" hidden="false" customHeight="false" outlineLevel="0" collapsed="false">
      <c r="A9345" s="103"/>
      <c r="B9345" s="104"/>
      <c r="C9345" s="104"/>
      <c r="E9345" s="107" t="str">
        <f aca="false">IF($C9345="","",IFERROR(INDEX(المنيو!$C$2:$C$500,MATCH($C9345,المنيو!$B$2:$B$500,0)),0))</f>
        <v/>
      </c>
      <c r="F9345" s="107" t="str">
        <f aca="false">IF($C9345="","",$D9345*$E9345)</f>
        <v/>
      </c>
      <c r="G9345" s="107" t="str">
        <f aca="false">IF($C9345="","",$D9345*IFERROR(INDEX('تحليل التكلفة والسعر'!$C$2:$C$700,MATCH($C9345,'تحليل التكلفة والسعر'!$B$2:$B$700,0)),0))</f>
        <v/>
      </c>
    </row>
    <row r="9346" customFormat="false" ht="15" hidden="false" customHeight="false" outlineLevel="0" collapsed="false">
      <c r="A9346" s="103"/>
      <c r="B9346" s="104"/>
      <c r="C9346" s="104"/>
      <c r="E9346" s="107" t="str">
        <f aca="false">IF($C9346="","",IFERROR(INDEX(المنيو!$C$2:$C$500,MATCH($C9346,المنيو!$B$2:$B$500,0)),0))</f>
        <v/>
      </c>
      <c r="F9346" s="107" t="str">
        <f aca="false">IF($C9346="","",$D9346*$E9346)</f>
        <v/>
      </c>
      <c r="G9346" s="107" t="str">
        <f aca="false">IF($C9346="","",$D9346*IFERROR(INDEX('تحليل التكلفة والسعر'!$C$2:$C$700,MATCH($C9346,'تحليل التكلفة والسعر'!$B$2:$B$700,0)),0))</f>
        <v/>
      </c>
    </row>
    <row r="9347" customFormat="false" ht="15" hidden="false" customHeight="false" outlineLevel="0" collapsed="false">
      <c r="A9347" s="103"/>
      <c r="B9347" s="104"/>
      <c r="C9347" s="104"/>
      <c r="E9347" s="107" t="str">
        <f aca="false">IF($C9347="","",IFERROR(INDEX(المنيو!$C$2:$C$500,MATCH($C9347,المنيو!$B$2:$B$500,0)),0))</f>
        <v/>
      </c>
      <c r="F9347" s="107" t="str">
        <f aca="false">IF($C9347="","",$D9347*$E9347)</f>
        <v/>
      </c>
      <c r="G9347" s="107" t="str">
        <f aca="false">IF($C9347="","",$D9347*IFERROR(INDEX('تحليل التكلفة والسعر'!$C$2:$C$700,MATCH($C9347,'تحليل التكلفة والسعر'!$B$2:$B$700,0)),0))</f>
        <v/>
      </c>
    </row>
    <row r="9348" customFormat="false" ht="15" hidden="false" customHeight="false" outlineLevel="0" collapsed="false">
      <c r="A9348" s="103"/>
      <c r="B9348" s="104"/>
      <c r="C9348" s="104"/>
      <c r="E9348" s="107" t="str">
        <f aca="false">IF($C9348="","",IFERROR(INDEX(المنيو!$C$2:$C$500,MATCH($C9348,المنيو!$B$2:$B$500,0)),0))</f>
        <v/>
      </c>
      <c r="F9348" s="107" t="str">
        <f aca="false">IF($C9348="","",$D9348*$E9348)</f>
        <v/>
      </c>
      <c r="G9348" s="107" t="str">
        <f aca="false">IF($C9348="","",$D9348*IFERROR(INDEX('تحليل التكلفة والسعر'!$C$2:$C$700,MATCH($C9348,'تحليل التكلفة والسعر'!$B$2:$B$700,0)),0))</f>
        <v/>
      </c>
    </row>
    <row r="9349" customFormat="false" ht="15" hidden="false" customHeight="false" outlineLevel="0" collapsed="false">
      <c r="A9349" s="103"/>
      <c r="B9349" s="104"/>
      <c r="C9349" s="104"/>
      <c r="E9349" s="107" t="str">
        <f aca="false">IF($C9349="","",IFERROR(INDEX(المنيو!$C$2:$C$500,MATCH($C9349,المنيو!$B$2:$B$500,0)),0))</f>
        <v/>
      </c>
      <c r="F9349" s="107" t="str">
        <f aca="false">IF($C9349="","",$D9349*$E9349)</f>
        <v/>
      </c>
      <c r="G9349" s="107" t="str">
        <f aca="false">IF($C9349="","",$D9349*IFERROR(INDEX('تحليل التكلفة والسعر'!$C$2:$C$700,MATCH($C9349,'تحليل التكلفة والسعر'!$B$2:$B$700,0)),0))</f>
        <v/>
      </c>
    </row>
    <row r="9350" customFormat="false" ht="15" hidden="false" customHeight="false" outlineLevel="0" collapsed="false">
      <c r="A9350" s="103"/>
      <c r="B9350" s="104"/>
      <c r="C9350" s="104"/>
      <c r="E9350" s="107" t="str">
        <f aca="false">IF($C9350="","",IFERROR(INDEX(المنيو!$C$2:$C$500,MATCH($C9350,المنيو!$B$2:$B$500,0)),0))</f>
        <v/>
      </c>
      <c r="F9350" s="107" t="str">
        <f aca="false">IF($C9350="","",$D9350*$E9350)</f>
        <v/>
      </c>
      <c r="G9350" s="107" t="str">
        <f aca="false">IF($C9350="","",$D9350*IFERROR(INDEX('تحليل التكلفة والسعر'!$C$2:$C$700,MATCH($C9350,'تحليل التكلفة والسعر'!$B$2:$B$700,0)),0))</f>
        <v/>
      </c>
    </row>
    <row r="9351" customFormat="false" ht="15" hidden="false" customHeight="false" outlineLevel="0" collapsed="false">
      <c r="A9351" s="103"/>
      <c r="B9351" s="104"/>
      <c r="C9351" s="104"/>
      <c r="E9351" s="107" t="str">
        <f aca="false">IF($C9351="","",IFERROR(INDEX(المنيو!$C$2:$C$500,MATCH($C9351,المنيو!$B$2:$B$500,0)),0))</f>
        <v/>
      </c>
      <c r="F9351" s="107" t="str">
        <f aca="false">IF($C9351="","",$D9351*$E9351)</f>
        <v/>
      </c>
      <c r="G9351" s="107" t="str">
        <f aca="false">IF($C9351="","",$D9351*IFERROR(INDEX('تحليل التكلفة والسعر'!$C$2:$C$700,MATCH($C9351,'تحليل التكلفة والسعر'!$B$2:$B$700,0)),0))</f>
        <v/>
      </c>
    </row>
    <row r="9352" customFormat="false" ht="15" hidden="false" customHeight="false" outlineLevel="0" collapsed="false">
      <c r="A9352" s="103"/>
      <c r="B9352" s="104"/>
      <c r="C9352" s="104"/>
      <c r="E9352" s="107" t="str">
        <f aca="false">IF($C9352="","",IFERROR(INDEX(المنيو!$C$2:$C$500,MATCH($C9352,المنيو!$B$2:$B$500,0)),0))</f>
        <v/>
      </c>
      <c r="F9352" s="107" t="str">
        <f aca="false">IF($C9352="","",$D9352*$E9352)</f>
        <v/>
      </c>
      <c r="G9352" s="107" t="str">
        <f aca="false">IF($C9352="","",$D9352*IFERROR(INDEX('تحليل التكلفة والسعر'!$C$2:$C$700,MATCH($C9352,'تحليل التكلفة والسعر'!$B$2:$B$700,0)),0))</f>
        <v/>
      </c>
    </row>
    <row r="9353" customFormat="false" ht="15" hidden="false" customHeight="false" outlineLevel="0" collapsed="false">
      <c r="A9353" s="103"/>
      <c r="B9353" s="104"/>
      <c r="C9353" s="104"/>
      <c r="E9353" s="107" t="str">
        <f aca="false">IF($C9353="","",IFERROR(INDEX(المنيو!$C$2:$C$500,MATCH($C9353,المنيو!$B$2:$B$500,0)),0))</f>
        <v/>
      </c>
      <c r="F9353" s="107" t="str">
        <f aca="false">IF($C9353="","",$D9353*$E9353)</f>
        <v/>
      </c>
      <c r="G9353" s="107" t="str">
        <f aca="false">IF($C9353="","",$D9353*IFERROR(INDEX('تحليل التكلفة والسعر'!$C$2:$C$700,MATCH($C9353,'تحليل التكلفة والسعر'!$B$2:$B$700,0)),0))</f>
        <v/>
      </c>
    </row>
    <row r="9354" customFormat="false" ht="15" hidden="false" customHeight="false" outlineLevel="0" collapsed="false">
      <c r="A9354" s="103"/>
      <c r="B9354" s="104"/>
      <c r="C9354" s="104"/>
      <c r="E9354" s="107" t="str">
        <f aca="false">IF($C9354="","",IFERROR(INDEX(المنيو!$C$2:$C$500,MATCH($C9354,المنيو!$B$2:$B$500,0)),0))</f>
        <v/>
      </c>
      <c r="F9354" s="107" t="str">
        <f aca="false">IF($C9354="","",$D9354*$E9354)</f>
        <v/>
      </c>
      <c r="G9354" s="107" t="str">
        <f aca="false">IF($C9354="","",$D9354*IFERROR(INDEX('تحليل التكلفة والسعر'!$C$2:$C$700,MATCH($C9354,'تحليل التكلفة والسعر'!$B$2:$B$700,0)),0))</f>
        <v/>
      </c>
    </row>
    <row r="9355" customFormat="false" ht="15" hidden="false" customHeight="false" outlineLevel="0" collapsed="false">
      <c r="A9355" s="103"/>
      <c r="B9355" s="104"/>
      <c r="C9355" s="104"/>
      <c r="E9355" s="107" t="str">
        <f aca="false">IF($C9355="","",IFERROR(INDEX(المنيو!$C$2:$C$500,MATCH($C9355,المنيو!$B$2:$B$500,0)),0))</f>
        <v/>
      </c>
      <c r="F9355" s="107" t="str">
        <f aca="false">IF($C9355="","",$D9355*$E9355)</f>
        <v/>
      </c>
      <c r="G9355" s="107" t="str">
        <f aca="false">IF($C9355="","",$D9355*IFERROR(INDEX('تحليل التكلفة والسعر'!$C$2:$C$700,MATCH($C9355,'تحليل التكلفة والسعر'!$B$2:$B$700,0)),0))</f>
        <v/>
      </c>
    </row>
    <row r="9356" customFormat="false" ht="15" hidden="false" customHeight="false" outlineLevel="0" collapsed="false">
      <c r="A9356" s="103"/>
      <c r="B9356" s="104"/>
      <c r="C9356" s="104"/>
      <c r="E9356" s="107" t="str">
        <f aca="false">IF($C9356="","",IFERROR(INDEX(المنيو!$C$2:$C$500,MATCH($C9356,المنيو!$B$2:$B$500,0)),0))</f>
        <v/>
      </c>
      <c r="F9356" s="107" t="str">
        <f aca="false">IF($C9356="","",$D9356*$E9356)</f>
        <v/>
      </c>
      <c r="G9356" s="107" t="str">
        <f aca="false">IF($C9356="","",$D9356*IFERROR(INDEX('تحليل التكلفة والسعر'!$C$2:$C$700,MATCH($C9356,'تحليل التكلفة والسعر'!$B$2:$B$700,0)),0))</f>
        <v/>
      </c>
    </row>
    <row r="9357" customFormat="false" ht="15" hidden="false" customHeight="false" outlineLevel="0" collapsed="false">
      <c r="A9357" s="103"/>
      <c r="B9357" s="104"/>
      <c r="C9357" s="104"/>
      <c r="E9357" s="107" t="str">
        <f aca="false">IF($C9357="","",IFERROR(INDEX(المنيو!$C$2:$C$500,MATCH($C9357,المنيو!$B$2:$B$500,0)),0))</f>
        <v/>
      </c>
      <c r="F9357" s="107" t="str">
        <f aca="false">IF($C9357="","",$D9357*$E9357)</f>
        <v/>
      </c>
      <c r="G9357" s="107" t="str">
        <f aca="false">IF($C9357="","",$D9357*IFERROR(INDEX('تحليل التكلفة والسعر'!$C$2:$C$700,MATCH($C9357,'تحليل التكلفة والسعر'!$B$2:$B$700,0)),0))</f>
        <v/>
      </c>
    </row>
    <row r="9358" customFormat="false" ht="15" hidden="false" customHeight="false" outlineLevel="0" collapsed="false">
      <c r="A9358" s="103"/>
      <c r="B9358" s="104"/>
      <c r="C9358" s="104"/>
      <c r="E9358" s="107" t="str">
        <f aca="false">IF($C9358="","",IFERROR(INDEX(المنيو!$C$2:$C$500,MATCH($C9358,المنيو!$B$2:$B$500,0)),0))</f>
        <v/>
      </c>
      <c r="F9358" s="107" t="str">
        <f aca="false">IF($C9358="","",$D9358*$E9358)</f>
        <v/>
      </c>
      <c r="G9358" s="107" t="str">
        <f aca="false">IF($C9358="","",$D9358*IFERROR(INDEX('تحليل التكلفة والسعر'!$C$2:$C$700,MATCH($C9358,'تحليل التكلفة والسعر'!$B$2:$B$700,0)),0))</f>
        <v/>
      </c>
    </row>
    <row r="9359" customFormat="false" ht="15" hidden="false" customHeight="false" outlineLevel="0" collapsed="false">
      <c r="A9359" s="103"/>
      <c r="B9359" s="104"/>
      <c r="C9359" s="104"/>
      <c r="E9359" s="107" t="str">
        <f aca="false">IF($C9359="","",IFERROR(INDEX(المنيو!$C$2:$C$500,MATCH($C9359,المنيو!$B$2:$B$500,0)),0))</f>
        <v/>
      </c>
      <c r="F9359" s="107" t="str">
        <f aca="false">IF($C9359="","",$D9359*$E9359)</f>
        <v/>
      </c>
      <c r="G9359" s="107" t="str">
        <f aca="false">IF($C9359="","",$D9359*IFERROR(INDEX('تحليل التكلفة والسعر'!$C$2:$C$700,MATCH($C9359,'تحليل التكلفة والسعر'!$B$2:$B$700,0)),0))</f>
        <v/>
      </c>
    </row>
    <row r="9360" customFormat="false" ht="15" hidden="false" customHeight="false" outlineLevel="0" collapsed="false">
      <c r="A9360" s="103"/>
      <c r="B9360" s="104"/>
      <c r="C9360" s="104"/>
      <c r="E9360" s="107" t="str">
        <f aca="false">IF($C9360="","",IFERROR(INDEX(المنيو!$C$2:$C$500,MATCH($C9360,المنيو!$B$2:$B$500,0)),0))</f>
        <v/>
      </c>
      <c r="F9360" s="107" t="str">
        <f aca="false">IF($C9360="","",$D9360*$E9360)</f>
        <v/>
      </c>
      <c r="G9360" s="107" t="str">
        <f aca="false">IF($C9360="","",$D9360*IFERROR(INDEX('تحليل التكلفة والسعر'!$C$2:$C$700,MATCH($C9360,'تحليل التكلفة والسعر'!$B$2:$B$700,0)),0))</f>
        <v/>
      </c>
    </row>
    <row r="9361" customFormat="false" ht="15" hidden="false" customHeight="false" outlineLevel="0" collapsed="false">
      <c r="A9361" s="103"/>
      <c r="B9361" s="104"/>
      <c r="C9361" s="104"/>
      <c r="E9361" s="107" t="str">
        <f aca="false">IF($C9361="","",IFERROR(INDEX(المنيو!$C$2:$C$500,MATCH($C9361,المنيو!$B$2:$B$500,0)),0))</f>
        <v/>
      </c>
      <c r="F9361" s="107" t="str">
        <f aca="false">IF($C9361="","",$D9361*$E9361)</f>
        <v/>
      </c>
      <c r="G9361" s="107" t="str">
        <f aca="false">IF($C9361="","",$D9361*IFERROR(INDEX('تحليل التكلفة والسعر'!$C$2:$C$700,MATCH($C9361,'تحليل التكلفة والسعر'!$B$2:$B$700,0)),0))</f>
        <v/>
      </c>
    </row>
    <row r="9362" customFormat="false" ht="15" hidden="false" customHeight="false" outlineLevel="0" collapsed="false">
      <c r="A9362" s="103"/>
      <c r="B9362" s="104"/>
      <c r="C9362" s="104"/>
      <c r="E9362" s="107" t="str">
        <f aca="false">IF($C9362="","",IFERROR(INDEX(المنيو!$C$2:$C$500,MATCH($C9362,المنيو!$B$2:$B$500,0)),0))</f>
        <v/>
      </c>
      <c r="F9362" s="107" t="str">
        <f aca="false">IF($C9362="","",$D9362*$E9362)</f>
        <v/>
      </c>
      <c r="G9362" s="107" t="str">
        <f aca="false">IF($C9362="","",$D9362*IFERROR(INDEX('تحليل التكلفة والسعر'!$C$2:$C$700,MATCH($C9362,'تحليل التكلفة والسعر'!$B$2:$B$700,0)),0))</f>
        <v/>
      </c>
    </row>
    <row r="9363" customFormat="false" ht="15" hidden="false" customHeight="false" outlineLevel="0" collapsed="false">
      <c r="A9363" s="103"/>
      <c r="B9363" s="104"/>
      <c r="C9363" s="104"/>
      <c r="E9363" s="107" t="str">
        <f aca="false">IF($C9363="","",IFERROR(INDEX(المنيو!$C$2:$C$500,MATCH($C9363,المنيو!$B$2:$B$500,0)),0))</f>
        <v/>
      </c>
      <c r="F9363" s="107" t="str">
        <f aca="false">IF($C9363="","",$D9363*$E9363)</f>
        <v/>
      </c>
      <c r="G9363" s="107" t="str">
        <f aca="false">IF($C9363="","",$D9363*IFERROR(INDEX('تحليل التكلفة والسعر'!$C$2:$C$700,MATCH($C9363,'تحليل التكلفة والسعر'!$B$2:$B$700,0)),0))</f>
        <v/>
      </c>
    </row>
    <row r="9364" customFormat="false" ht="15" hidden="false" customHeight="false" outlineLevel="0" collapsed="false">
      <c r="A9364" s="103"/>
      <c r="B9364" s="104"/>
      <c r="C9364" s="104"/>
      <c r="E9364" s="107" t="str">
        <f aca="false">IF($C9364="","",IFERROR(INDEX(المنيو!$C$2:$C$500,MATCH($C9364,المنيو!$B$2:$B$500,0)),0))</f>
        <v/>
      </c>
      <c r="F9364" s="107" t="str">
        <f aca="false">IF($C9364="","",$D9364*$E9364)</f>
        <v/>
      </c>
      <c r="G9364" s="107" t="str">
        <f aca="false">IF($C9364="","",$D9364*IFERROR(INDEX('تحليل التكلفة والسعر'!$C$2:$C$700,MATCH($C9364,'تحليل التكلفة والسعر'!$B$2:$B$700,0)),0))</f>
        <v/>
      </c>
    </row>
    <row r="9365" customFormat="false" ht="15" hidden="false" customHeight="false" outlineLevel="0" collapsed="false">
      <c r="A9365" s="103"/>
      <c r="B9365" s="104"/>
      <c r="C9365" s="104"/>
      <c r="E9365" s="107" t="str">
        <f aca="false">IF($C9365="","",IFERROR(INDEX(المنيو!$C$2:$C$500,MATCH($C9365,المنيو!$B$2:$B$500,0)),0))</f>
        <v/>
      </c>
      <c r="F9365" s="107" t="str">
        <f aca="false">IF($C9365="","",$D9365*$E9365)</f>
        <v/>
      </c>
      <c r="G9365" s="107" t="str">
        <f aca="false">IF($C9365="","",$D9365*IFERROR(INDEX('تحليل التكلفة والسعر'!$C$2:$C$700,MATCH($C9365,'تحليل التكلفة والسعر'!$B$2:$B$700,0)),0))</f>
        <v/>
      </c>
    </row>
    <row r="9366" customFormat="false" ht="15" hidden="false" customHeight="false" outlineLevel="0" collapsed="false">
      <c r="A9366" s="103"/>
      <c r="B9366" s="104"/>
      <c r="C9366" s="104"/>
      <c r="E9366" s="107" t="str">
        <f aca="false">IF($C9366="","",IFERROR(INDEX(المنيو!$C$2:$C$500,MATCH($C9366,المنيو!$B$2:$B$500,0)),0))</f>
        <v/>
      </c>
      <c r="F9366" s="107" t="str">
        <f aca="false">IF($C9366="","",$D9366*$E9366)</f>
        <v/>
      </c>
      <c r="G9366" s="107" t="str">
        <f aca="false">IF($C9366="","",$D9366*IFERROR(INDEX('تحليل التكلفة والسعر'!$C$2:$C$700,MATCH($C9366,'تحليل التكلفة والسعر'!$B$2:$B$700,0)),0))</f>
        <v/>
      </c>
    </row>
    <row r="9367" customFormat="false" ht="15" hidden="false" customHeight="false" outlineLevel="0" collapsed="false">
      <c r="A9367" s="103"/>
      <c r="B9367" s="104"/>
      <c r="C9367" s="104"/>
      <c r="E9367" s="107" t="str">
        <f aca="false">IF($C9367="","",IFERROR(INDEX(المنيو!$C$2:$C$500,MATCH($C9367,المنيو!$B$2:$B$500,0)),0))</f>
        <v/>
      </c>
      <c r="F9367" s="107" t="str">
        <f aca="false">IF($C9367="","",$D9367*$E9367)</f>
        <v/>
      </c>
      <c r="G9367" s="107" t="str">
        <f aca="false">IF($C9367="","",$D9367*IFERROR(INDEX('تحليل التكلفة والسعر'!$C$2:$C$700,MATCH($C9367,'تحليل التكلفة والسعر'!$B$2:$B$700,0)),0))</f>
        <v/>
      </c>
    </row>
    <row r="9368" customFormat="false" ht="15" hidden="false" customHeight="false" outlineLevel="0" collapsed="false">
      <c r="A9368" s="103"/>
      <c r="B9368" s="104"/>
      <c r="C9368" s="104"/>
      <c r="E9368" s="107" t="str">
        <f aca="false">IF($C9368="","",IFERROR(INDEX(المنيو!$C$2:$C$500,MATCH($C9368,المنيو!$B$2:$B$500,0)),0))</f>
        <v/>
      </c>
      <c r="F9368" s="107" t="str">
        <f aca="false">IF($C9368="","",$D9368*$E9368)</f>
        <v/>
      </c>
      <c r="G9368" s="107" t="str">
        <f aca="false">IF($C9368="","",$D9368*IFERROR(INDEX('تحليل التكلفة والسعر'!$C$2:$C$700,MATCH($C9368,'تحليل التكلفة والسعر'!$B$2:$B$700,0)),0))</f>
        <v/>
      </c>
    </row>
    <row r="9369" customFormat="false" ht="15" hidden="false" customHeight="false" outlineLevel="0" collapsed="false">
      <c r="A9369" s="103"/>
      <c r="B9369" s="104"/>
      <c r="C9369" s="104"/>
      <c r="E9369" s="107" t="str">
        <f aca="false">IF($C9369="","",IFERROR(INDEX(المنيو!$C$2:$C$500,MATCH($C9369,المنيو!$B$2:$B$500,0)),0))</f>
        <v/>
      </c>
      <c r="F9369" s="107" t="str">
        <f aca="false">IF($C9369="","",$D9369*$E9369)</f>
        <v/>
      </c>
      <c r="G9369" s="107" t="str">
        <f aca="false">IF($C9369="","",$D9369*IFERROR(INDEX('تحليل التكلفة والسعر'!$C$2:$C$700,MATCH($C9369,'تحليل التكلفة والسعر'!$B$2:$B$700,0)),0))</f>
        <v/>
      </c>
    </row>
    <row r="9370" customFormat="false" ht="15" hidden="false" customHeight="false" outlineLevel="0" collapsed="false">
      <c r="A9370" s="103"/>
      <c r="B9370" s="104"/>
      <c r="C9370" s="104"/>
      <c r="E9370" s="107" t="str">
        <f aca="false">IF($C9370="","",IFERROR(INDEX(المنيو!$C$2:$C$500,MATCH($C9370,المنيو!$B$2:$B$500,0)),0))</f>
        <v/>
      </c>
      <c r="F9370" s="107" t="str">
        <f aca="false">IF($C9370="","",$D9370*$E9370)</f>
        <v/>
      </c>
      <c r="G9370" s="107" t="str">
        <f aca="false">IF($C9370="","",$D9370*IFERROR(INDEX('تحليل التكلفة والسعر'!$C$2:$C$700,MATCH($C9370,'تحليل التكلفة والسعر'!$B$2:$B$700,0)),0))</f>
        <v/>
      </c>
    </row>
    <row r="9371" customFormat="false" ht="15" hidden="false" customHeight="false" outlineLevel="0" collapsed="false">
      <c r="A9371" s="103"/>
      <c r="B9371" s="104"/>
      <c r="C9371" s="104"/>
      <c r="E9371" s="107" t="str">
        <f aca="false">IF($C9371="","",IFERROR(INDEX(المنيو!$C$2:$C$500,MATCH($C9371,المنيو!$B$2:$B$500,0)),0))</f>
        <v/>
      </c>
      <c r="F9371" s="107" t="str">
        <f aca="false">IF($C9371="","",$D9371*$E9371)</f>
        <v/>
      </c>
      <c r="G9371" s="107" t="str">
        <f aca="false">IF($C9371="","",$D9371*IFERROR(INDEX('تحليل التكلفة والسعر'!$C$2:$C$700,MATCH($C9371,'تحليل التكلفة والسعر'!$B$2:$B$700,0)),0))</f>
        <v/>
      </c>
    </row>
    <row r="9372" customFormat="false" ht="15" hidden="false" customHeight="false" outlineLevel="0" collapsed="false">
      <c r="A9372" s="103"/>
      <c r="B9372" s="104"/>
      <c r="C9372" s="104"/>
      <c r="E9372" s="107" t="str">
        <f aca="false">IF($C9372="","",IFERROR(INDEX(المنيو!$C$2:$C$500,MATCH($C9372,المنيو!$B$2:$B$500,0)),0))</f>
        <v/>
      </c>
      <c r="F9372" s="107" t="str">
        <f aca="false">IF($C9372="","",$D9372*$E9372)</f>
        <v/>
      </c>
      <c r="G9372" s="107" t="str">
        <f aca="false">IF($C9372="","",$D9372*IFERROR(INDEX('تحليل التكلفة والسعر'!$C$2:$C$700,MATCH($C9372,'تحليل التكلفة والسعر'!$B$2:$B$700,0)),0))</f>
        <v/>
      </c>
    </row>
    <row r="9373" customFormat="false" ht="15" hidden="false" customHeight="false" outlineLevel="0" collapsed="false">
      <c r="A9373" s="103"/>
      <c r="B9373" s="104"/>
      <c r="C9373" s="104"/>
      <c r="E9373" s="107" t="str">
        <f aca="false">IF($C9373="","",IFERROR(INDEX(المنيو!$C$2:$C$500,MATCH($C9373,المنيو!$B$2:$B$500,0)),0))</f>
        <v/>
      </c>
      <c r="F9373" s="107" t="str">
        <f aca="false">IF($C9373="","",$D9373*$E9373)</f>
        <v/>
      </c>
      <c r="G9373" s="107" t="str">
        <f aca="false">IF($C9373="","",$D9373*IFERROR(INDEX('تحليل التكلفة والسعر'!$C$2:$C$700,MATCH($C9373,'تحليل التكلفة والسعر'!$B$2:$B$700,0)),0))</f>
        <v/>
      </c>
    </row>
    <row r="9374" customFormat="false" ht="15" hidden="false" customHeight="false" outlineLevel="0" collapsed="false">
      <c r="A9374" s="103"/>
      <c r="B9374" s="104"/>
      <c r="C9374" s="104"/>
      <c r="E9374" s="107" t="str">
        <f aca="false">IF($C9374="","",IFERROR(INDEX(المنيو!$C$2:$C$500,MATCH($C9374,المنيو!$B$2:$B$500,0)),0))</f>
        <v/>
      </c>
      <c r="F9374" s="107" t="str">
        <f aca="false">IF($C9374="","",$D9374*$E9374)</f>
        <v/>
      </c>
      <c r="G9374" s="107" t="str">
        <f aca="false">IF($C9374="","",$D9374*IFERROR(INDEX('تحليل التكلفة والسعر'!$C$2:$C$700,MATCH($C9374,'تحليل التكلفة والسعر'!$B$2:$B$700,0)),0))</f>
        <v/>
      </c>
    </row>
    <row r="9375" customFormat="false" ht="15" hidden="false" customHeight="false" outlineLevel="0" collapsed="false">
      <c r="A9375" s="103"/>
      <c r="B9375" s="104"/>
      <c r="C9375" s="104"/>
      <c r="E9375" s="107" t="str">
        <f aca="false">IF($C9375="","",IFERROR(INDEX(المنيو!$C$2:$C$500,MATCH($C9375,المنيو!$B$2:$B$500,0)),0))</f>
        <v/>
      </c>
      <c r="F9375" s="107" t="str">
        <f aca="false">IF($C9375="","",$D9375*$E9375)</f>
        <v/>
      </c>
      <c r="G9375" s="107" t="str">
        <f aca="false">IF($C9375="","",$D9375*IFERROR(INDEX('تحليل التكلفة والسعر'!$C$2:$C$700,MATCH($C9375,'تحليل التكلفة والسعر'!$B$2:$B$700,0)),0))</f>
        <v/>
      </c>
    </row>
    <row r="9376" customFormat="false" ht="15" hidden="false" customHeight="false" outlineLevel="0" collapsed="false">
      <c r="A9376" s="103"/>
      <c r="B9376" s="104"/>
      <c r="C9376" s="104"/>
      <c r="E9376" s="107" t="str">
        <f aca="false">IF($C9376="","",IFERROR(INDEX(المنيو!$C$2:$C$500,MATCH($C9376,المنيو!$B$2:$B$500,0)),0))</f>
        <v/>
      </c>
      <c r="F9376" s="107" t="str">
        <f aca="false">IF($C9376="","",$D9376*$E9376)</f>
        <v/>
      </c>
      <c r="G9376" s="107" t="str">
        <f aca="false">IF($C9376="","",$D9376*IFERROR(INDEX('تحليل التكلفة والسعر'!$C$2:$C$700,MATCH($C9376,'تحليل التكلفة والسعر'!$B$2:$B$700,0)),0))</f>
        <v/>
      </c>
    </row>
    <row r="9377" customFormat="false" ht="15" hidden="false" customHeight="false" outlineLevel="0" collapsed="false">
      <c r="A9377" s="103"/>
      <c r="B9377" s="104"/>
      <c r="C9377" s="104"/>
      <c r="E9377" s="107" t="str">
        <f aca="false">IF($C9377="","",IFERROR(INDEX(المنيو!$C$2:$C$500,MATCH($C9377,المنيو!$B$2:$B$500,0)),0))</f>
        <v/>
      </c>
      <c r="F9377" s="107" t="str">
        <f aca="false">IF($C9377="","",$D9377*$E9377)</f>
        <v/>
      </c>
      <c r="G9377" s="107" t="str">
        <f aca="false">IF($C9377="","",$D9377*IFERROR(INDEX('تحليل التكلفة والسعر'!$C$2:$C$700,MATCH($C9377,'تحليل التكلفة والسعر'!$B$2:$B$700,0)),0))</f>
        <v/>
      </c>
    </row>
    <row r="9378" customFormat="false" ht="15" hidden="false" customHeight="false" outlineLevel="0" collapsed="false">
      <c r="A9378" s="103"/>
      <c r="B9378" s="104"/>
      <c r="C9378" s="104"/>
      <c r="E9378" s="107" t="str">
        <f aca="false">IF($C9378="","",IFERROR(INDEX(المنيو!$C$2:$C$500,MATCH($C9378,المنيو!$B$2:$B$500,0)),0))</f>
        <v/>
      </c>
      <c r="F9378" s="107" t="str">
        <f aca="false">IF($C9378="","",$D9378*$E9378)</f>
        <v/>
      </c>
      <c r="G9378" s="107" t="str">
        <f aca="false">IF($C9378="","",$D9378*IFERROR(INDEX('تحليل التكلفة والسعر'!$C$2:$C$700,MATCH($C9378,'تحليل التكلفة والسعر'!$B$2:$B$700,0)),0))</f>
        <v/>
      </c>
    </row>
    <row r="9379" customFormat="false" ht="15" hidden="false" customHeight="false" outlineLevel="0" collapsed="false">
      <c r="A9379" s="103"/>
      <c r="B9379" s="104"/>
      <c r="C9379" s="104"/>
      <c r="E9379" s="107" t="str">
        <f aca="false">IF($C9379="","",IFERROR(INDEX(المنيو!$C$2:$C$500,MATCH($C9379,المنيو!$B$2:$B$500,0)),0))</f>
        <v/>
      </c>
      <c r="F9379" s="107" t="str">
        <f aca="false">IF($C9379="","",$D9379*$E9379)</f>
        <v/>
      </c>
      <c r="G9379" s="107" t="str">
        <f aca="false">IF($C9379="","",$D9379*IFERROR(INDEX('تحليل التكلفة والسعر'!$C$2:$C$700,MATCH($C9379,'تحليل التكلفة والسعر'!$B$2:$B$700,0)),0))</f>
        <v/>
      </c>
    </row>
    <row r="9380" customFormat="false" ht="15" hidden="false" customHeight="false" outlineLevel="0" collapsed="false">
      <c r="A9380" s="103"/>
      <c r="B9380" s="104"/>
      <c r="C9380" s="104"/>
      <c r="E9380" s="107" t="str">
        <f aca="false">IF($C9380="","",IFERROR(INDEX(المنيو!$C$2:$C$500,MATCH($C9380,المنيو!$B$2:$B$500,0)),0))</f>
        <v/>
      </c>
      <c r="F9380" s="107" t="str">
        <f aca="false">IF($C9380="","",$D9380*$E9380)</f>
        <v/>
      </c>
      <c r="G9380" s="107" t="str">
        <f aca="false">IF($C9380="","",$D9380*IFERROR(INDEX('تحليل التكلفة والسعر'!$C$2:$C$700,MATCH($C9380,'تحليل التكلفة والسعر'!$B$2:$B$700,0)),0))</f>
        <v/>
      </c>
    </row>
    <row r="9381" customFormat="false" ht="15" hidden="false" customHeight="false" outlineLevel="0" collapsed="false">
      <c r="A9381" s="103"/>
      <c r="B9381" s="104"/>
      <c r="C9381" s="104"/>
      <c r="E9381" s="107" t="str">
        <f aca="false">IF($C9381="","",IFERROR(INDEX(المنيو!$C$2:$C$500,MATCH($C9381,المنيو!$B$2:$B$500,0)),0))</f>
        <v/>
      </c>
      <c r="F9381" s="107" t="str">
        <f aca="false">IF($C9381="","",$D9381*$E9381)</f>
        <v/>
      </c>
      <c r="G9381" s="107" t="str">
        <f aca="false">IF($C9381="","",$D9381*IFERROR(INDEX('تحليل التكلفة والسعر'!$C$2:$C$700,MATCH($C9381,'تحليل التكلفة والسعر'!$B$2:$B$700,0)),0))</f>
        <v/>
      </c>
    </row>
    <row r="9382" customFormat="false" ht="15" hidden="false" customHeight="false" outlineLevel="0" collapsed="false">
      <c r="A9382" s="103"/>
      <c r="B9382" s="104"/>
      <c r="C9382" s="104"/>
      <c r="E9382" s="107" t="str">
        <f aca="false">IF($C9382="","",IFERROR(INDEX(المنيو!$C$2:$C$500,MATCH($C9382,المنيو!$B$2:$B$500,0)),0))</f>
        <v/>
      </c>
      <c r="F9382" s="107" t="str">
        <f aca="false">IF($C9382="","",$D9382*$E9382)</f>
        <v/>
      </c>
      <c r="G9382" s="107" t="str">
        <f aca="false">IF($C9382="","",$D9382*IFERROR(INDEX('تحليل التكلفة والسعر'!$C$2:$C$700,MATCH($C9382,'تحليل التكلفة والسعر'!$B$2:$B$700,0)),0))</f>
        <v/>
      </c>
    </row>
    <row r="9383" customFormat="false" ht="15" hidden="false" customHeight="false" outlineLevel="0" collapsed="false">
      <c r="A9383" s="103"/>
      <c r="B9383" s="104"/>
      <c r="C9383" s="104"/>
      <c r="E9383" s="107" t="str">
        <f aca="false">IF($C9383="","",IFERROR(INDEX(المنيو!$C$2:$C$500,MATCH($C9383,المنيو!$B$2:$B$500,0)),0))</f>
        <v/>
      </c>
      <c r="F9383" s="107" t="str">
        <f aca="false">IF($C9383="","",$D9383*$E9383)</f>
        <v/>
      </c>
      <c r="G9383" s="107" t="str">
        <f aca="false">IF($C9383="","",$D9383*IFERROR(INDEX('تحليل التكلفة والسعر'!$C$2:$C$700,MATCH($C9383,'تحليل التكلفة والسعر'!$B$2:$B$700,0)),0))</f>
        <v/>
      </c>
    </row>
    <row r="9384" customFormat="false" ht="15" hidden="false" customHeight="false" outlineLevel="0" collapsed="false">
      <c r="A9384" s="103"/>
      <c r="B9384" s="104"/>
      <c r="C9384" s="104"/>
      <c r="E9384" s="107" t="str">
        <f aca="false">IF($C9384="","",IFERROR(INDEX(المنيو!$C$2:$C$500,MATCH($C9384,المنيو!$B$2:$B$500,0)),0))</f>
        <v/>
      </c>
      <c r="F9384" s="107" t="str">
        <f aca="false">IF($C9384="","",$D9384*$E9384)</f>
        <v/>
      </c>
      <c r="G9384" s="107" t="str">
        <f aca="false">IF($C9384="","",$D9384*IFERROR(INDEX('تحليل التكلفة والسعر'!$C$2:$C$700,MATCH($C9384,'تحليل التكلفة والسعر'!$B$2:$B$700,0)),0))</f>
        <v/>
      </c>
    </row>
    <row r="9385" customFormat="false" ht="15" hidden="false" customHeight="false" outlineLevel="0" collapsed="false">
      <c r="A9385" s="103"/>
      <c r="B9385" s="104"/>
      <c r="C9385" s="104"/>
      <c r="E9385" s="107" t="str">
        <f aca="false">IF($C9385="","",IFERROR(INDEX(المنيو!$C$2:$C$500,MATCH($C9385,المنيو!$B$2:$B$500,0)),0))</f>
        <v/>
      </c>
      <c r="F9385" s="107" t="str">
        <f aca="false">IF($C9385="","",$D9385*$E9385)</f>
        <v/>
      </c>
      <c r="G9385" s="107" t="str">
        <f aca="false">IF($C9385="","",$D9385*IFERROR(INDEX('تحليل التكلفة والسعر'!$C$2:$C$700,MATCH($C9385,'تحليل التكلفة والسعر'!$B$2:$B$700,0)),0))</f>
        <v/>
      </c>
    </row>
    <row r="9386" customFormat="false" ht="15" hidden="false" customHeight="false" outlineLevel="0" collapsed="false">
      <c r="A9386" s="103"/>
      <c r="B9386" s="104"/>
      <c r="C9386" s="104"/>
      <c r="E9386" s="107" t="str">
        <f aca="false">IF($C9386="","",IFERROR(INDEX(المنيو!$C$2:$C$500,MATCH($C9386,المنيو!$B$2:$B$500,0)),0))</f>
        <v/>
      </c>
      <c r="F9386" s="107" t="str">
        <f aca="false">IF($C9386="","",$D9386*$E9386)</f>
        <v/>
      </c>
      <c r="G9386" s="107" t="str">
        <f aca="false">IF($C9386="","",$D9386*IFERROR(INDEX('تحليل التكلفة والسعر'!$C$2:$C$700,MATCH($C9386,'تحليل التكلفة والسعر'!$B$2:$B$700,0)),0))</f>
        <v/>
      </c>
    </row>
    <row r="9387" customFormat="false" ht="15" hidden="false" customHeight="false" outlineLevel="0" collapsed="false">
      <c r="A9387" s="103"/>
      <c r="B9387" s="104"/>
      <c r="C9387" s="104"/>
      <c r="E9387" s="107" t="str">
        <f aca="false">IF($C9387="","",IFERROR(INDEX(المنيو!$C$2:$C$500,MATCH($C9387,المنيو!$B$2:$B$500,0)),0))</f>
        <v/>
      </c>
      <c r="F9387" s="107" t="str">
        <f aca="false">IF($C9387="","",$D9387*$E9387)</f>
        <v/>
      </c>
      <c r="G9387" s="107" t="str">
        <f aca="false">IF($C9387="","",$D9387*IFERROR(INDEX('تحليل التكلفة والسعر'!$C$2:$C$700,MATCH($C9387,'تحليل التكلفة والسعر'!$B$2:$B$700,0)),0))</f>
        <v/>
      </c>
    </row>
    <row r="9388" customFormat="false" ht="15" hidden="false" customHeight="false" outlineLevel="0" collapsed="false">
      <c r="A9388" s="103"/>
      <c r="B9388" s="104"/>
      <c r="C9388" s="104"/>
      <c r="E9388" s="107" t="str">
        <f aca="false">IF($C9388="","",IFERROR(INDEX(المنيو!$C$2:$C$500,MATCH($C9388,المنيو!$B$2:$B$500,0)),0))</f>
        <v/>
      </c>
      <c r="F9388" s="107" t="str">
        <f aca="false">IF($C9388="","",$D9388*$E9388)</f>
        <v/>
      </c>
      <c r="G9388" s="107" t="str">
        <f aca="false">IF($C9388="","",$D9388*IFERROR(INDEX('تحليل التكلفة والسعر'!$C$2:$C$700,MATCH($C9388,'تحليل التكلفة والسعر'!$B$2:$B$700,0)),0))</f>
        <v/>
      </c>
    </row>
    <row r="9389" customFormat="false" ht="15" hidden="false" customHeight="false" outlineLevel="0" collapsed="false">
      <c r="A9389" s="103"/>
      <c r="B9389" s="104"/>
      <c r="C9389" s="104"/>
      <c r="E9389" s="107" t="str">
        <f aca="false">IF($C9389="","",IFERROR(INDEX(المنيو!$C$2:$C$500,MATCH($C9389,المنيو!$B$2:$B$500,0)),0))</f>
        <v/>
      </c>
      <c r="F9389" s="107" t="str">
        <f aca="false">IF($C9389="","",$D9389*$E9389)</f>
        <v/>
      </c>
      <c r="G9389" s="107" t="str">
        <f aca="false">IF($C9389="","",$D9389*IFERROR(INDEX('تحليل التكلفة والسعر'!$C$2:$C$700,MATCH($C9389,'تحليل التكلفة والسعر'!$B$2:$B$700,0)),0))</f>
        <v/>
      </c>
    </row>
    <row r="9390" customFormat="false" ht="15" hidden="false" customHeight="false" outlineLevel="0" collapsed="false">
      <c r="A9390" s="103"/>
      <c r="B9390" s="104"/>
      <c r="C9390" s="104"/>
      <c r="E9390" s="107" t="str">
        <f aca="false">IF($C9390="","",IFERROR(INDEX(المنيو!$C$2:$C$500,MATCH($C9390,المنيو!$B$2:$B$500,0)),0))</f>
        <v/>
      </c>
      <c r="F9390" s="107" t="str">
        <f aca="false">IF($C9390="","",$D9390*$E9390)</f>
        <v/>
      </c>
      <c r="G9390" s="107" t="str">
        <f aca="false">IF($C9390="","",$D9390*IFERROR(INDEX('تحليل التكلفة والسعر'!$C$2:$C$700,MATCH($C9390,'تحليل التكلفة والسعر'!$B$2:$B$700,0)),0))</f>
        <v/>
      </c>
    </row>
    <row r="9391" customFormat="false" ht="15" hidden="false" customHeight="false" outlineLevel="0" collapsed="false">
      <c r="A9391" s="103"/>
      <c r="B9391" s="104"/>
      <c r="C9391" s="104"/>
      <c r="E9391" s="107" t="str">
        <f aca="false">IF($C9391="","",IFERROR(INDEX(المنيو!$C$2:$C$500,MATCH($C9391,المنيو!$B$2:$B$500,0)),0))</f>
        <v/>
      </c>
      <c r="F9391" s="107" t="str">
        <f aca="false">IF($C9391="","",$D9391*$E9391)</f>
        <v/>
      </c>
      <c r="G9391" s="107" t="str">
        <f aca="false">IF($C9391="","",$D9391*IFERROR(INDEX('تحليل التكلفة والسعر'!$C$2:$C$700,MATCH($C9391,'تحليل التكلفة والسعر'!$B$2:$B$700,0)),0))</f>
        <v/>
      </c>
    </row>
    <row r="9392" customFormat="false" ht="15" hidden="false" customHeight="false" outlineLevel="0" collapsed="false">
      <c r="A9392" s="103"/>
      <c r="B9392" s="104"/>
      <c r="C9392" s="104"/>
      <c r="E9392" s="107" t="str">
        <f aca="false">IF($C9392="","",IFERROR(INDEX(المنيو!$C$2:$C$500,MATCH($C9392,المنيو!$B$2:$B$500,0)),0))</f>
        <v/>
      </c>
      <c r="F9392" s="107" t="str">
        <f aca="false">IF($C9392="","",$D9392*$E9392)</f>
        <v/>
      </c>
      <c r="G9392" s="107" t="str">
        <f aca="false">IF($C9392="","",$D9392*IFERROR(INDEX('تحليل التكلفة والسعر'!$C$2:$C$700,MATCH($C9392,'تحليل التكلفة والسعر'!$B$2:$B$700,0)),0))</f>
        <v/>
      </c>
    </row>
    <row r="9393" customFormat="false" ht="15" hidden="false" customHeight="false" outlineLevel="0" collapsed="false">
      <c r="A9393" s="103"/>
      <c r="B9393" s="104"/>
      <c r="C9393" s="104"/>
      <c r="E9393" s="107" t="str">
        <f aca="false">IF($C9393="","",IFERROR(INDEX(المنيو!$C$2:$C$500,MATCH($C9393,المنيو!$B$2:$B$500,0)),0))</f>
        <v/>
      </c>
      <c r="F9393" s="107" t="str">
        <f aca="false">IF($C9393="","",$D9393*$E9393)</f>
        <v/>
      </c>
      <c r="G9393" s="107" t="str">
        <f aca="false">IF($C9393="","",$D9393*IFERROR(INDEX('تحليل التكلفة والسعر'!$C$2:$C$700,MATCH($C9393,'تحليل التكلفة والسعر'!$B$2:$B$700,0)),0))</f>
        <v/>
      </c>
    </row>
    <row r="9394" customFormat="false" ht="15" hidden="false" customHeight="false" outlineLevel="0" collapsed="false">
      <c r="A9394" s="103"/>
      <c r="B9394" s="104"/>
      <c r="C9394" s="104"/>
      <c r="E9394" s="107" t="str">
        <f aca="false">IF($C9394="","",IFERROR(INDEX(المنيو!$C$2:$C$500,MATCH($C9394,المنيو!$B$2:$B$500,0)),0))</f>
        <v/>
      </c>
      <c r="F9394" s="107" t="str">
        <f aca="false">IF($C9394="","",$D9394*$E9394)</f>
        <v/>
      </c>
      <c r="G9394" s="107" t="str">
        <f aca="false">IF($C9394="","",$D9394*IFERROR(INDEX('تحليل التكلفة والسعر'!$C$2:$C$700,MATCH($C9394,'تحليل التكلفة والسعر'!$B$2:$B$700,0)),0))</f>
        <v/>
      </c>
    </row>
    <row r="9395" customFormat="false" ht="15" hidden="false" customHeight="false" outlineLevel="0" collapsed="false">
      <c r="A9395" s="103"/>
      <c r="B9395" s="104"/>
      <c r="C9395" s="104"/>
      <c r="E9395" s="107" t="str">
        <f aca="false">IF($C9395="","",IFERROR(INDEX(المنيو!$C$2:$C$500,MATCH($C9395,المنيو!$B$2:$B$500,0)),0))</f>
        <v/>
      </c>
      <c r="F9395" s="107" t="str">
        <f aca="false">IF($C9395="","",$D9395*$E9395)</f>
        <v/>
      </c>
      <c r="G9395" s="107" t="str">
        <f aca="false">IF($C9395="","",$D9395*IFERROR(INDEX('تحليل التكلفة والسعر'!$C$2:$C$700,MATCH($C9395,'تحليل التكلفة والسعر'!$B$2:$B$700,0)),0))</f>
        <v/>
      </c>
    </row>
    <row r="9396" customFormat="false" ht="15" hidden="false" customHeight="false" outlineLevel="0" collapsed="false">
      <c r="A9396" s="103"/>
      <c r="B9396" s="104"/>
      <c r="C9396" s="104"/>
      <c r="E9396" s="107" t="str">
        <f aca="false">IF($C9396="","",IFERROR(INDEX(المنيو!$C$2:$C$500,MATCH($C9396,المنيو!$B$2:$B$500,0)),0))</f>
        <v/>
      </c>
      <c r="F9396" s="107" t="str">
        <f aca="false">IF($C9396="","",$D9396*$E9396)</f>
        <v/>
      </c>
      <c r="G9396" s="107" t="str">
        <f aca="false">IF($C9396="","",$D9396*IFERROR(INDEX('تحليل التكلفة والسعر'!$C$2:$C$700,MATCH($C9396,'تحليل التكلفة والسعر'!$B$2:$B$700,0)),0))</f>
        <v/>
      </c>
    </row>
    <row r="9397" customFormat="false" ht="15" hidden="false" customHeight="false" outlineLevel="0" collapsed="false">
      <c r="A9397" s="103"/>
      <c r="B9397" s="104"/>
      <c r="C9397" s="104"/>
      <c r="E9397" s="107" t="str">
        <f aca="false">IF($C9397="","",IFERROR(INDEX(المنيو!$C$2:$C$500,MATCH($C9397,المنيو!$B$2:$B$500,0)),0))</f>
        <v/>
      </c>
      <c r="F9397" s="107" t="str">
        <f aca="false">IF($C9397="","",$D9397*$E9397)</f>
        <v/>
      </c>
      <c r="G9397" s="107" t="str">
        <f aca="false">IF($C9397="","",$D9397*IFERROR(INDEX('تحليل التكلفة والسعر'!$C$2:$C$700,MATCH($C9397,'تحليل التكلفة والسعر'!$B$2:$B$700,0)),0))</f>
        <v/>
      </c>
    </row>
    <row r="9398" customFormat="false" ht="15" hidden="false" customHeight="false" outlineLevel="0" collapsed="false">
      <c r="A9398" s="103"/>
      <c r="B9398" s="104"/>
      <c r="C9398" s="104"/>
      <c r="E9398" s="107" t="str">
        <f aca="false">IF($C9398="","",IFERROR(INDEX(المنيو!$C$2:$C$500,MATCH($C9398,المنيو!$B$2:$B$500,0)),0))</f>
        <v/>
      </c>
      <c r="F9398" s="107" t="str">
        <f aca="false">IF($C9398="","",$D9398*$E9398)</f>
        <v/>
      </c>
      <c r="G9398" s="107" t="str">
        <f aca="false">IF($C9398="","",$D9398*IFERROR(INDEX('تحليل التكلفة والسعر'!$C$2:$C$700,MATCH($C9398,'تحليل التكلفة والسعر'!$B$2:$B$700,0)),0))</f>
        <v/>
      </c>
    </row>
    <row r="9399" customFormat="false" ht="15" hidden="false" customHeight="false" outlineLevel="0" collapsed="false">
      <c r="A9399" s="103"/>
      <c r="B9399" s="104"/>
      <c r="C9399" s="104"/>
      <c r="E9399" s="107" t="str">
        <f aca="false">IF($C9399="","",IFERROR(INDEX(المنيو!$C$2:$C$500,MATCH($C9399,المنيو!$B$2:$B$500,0)),0))</f>
        <v/>
      </c>
      <c r="F9399" s="107" t="str">
        <f aca="false">IF($C9399="","",$D9399*$E9399)</f>
        <v/>
      </c>
      <c r="G9399" s="107" t="str">
        <f aca="false">IF($C9399="","",$D9399*IFERROR(INDEX('تحليل التكلفة والسعر'!$C$2:$C$700,MATCH($C9399,'تحليل التكلفة والسعر'!$B$2:$B$700,0)),0))</f>
        <v/>
      </c>
    </row>
    <row r="9400" customFormat="false" ht="15" hidden="false" customHeight="false" outlineLevel="0" collapsed="false">
      <c r="A9400" s="103"/>
      <c r="B9400" s="104"/>
      <c r="C9400" s="104"/>
      <c r="E9400" s="107" t="str">
        <f aca="false">IF($C9400="","",IFERROR(INDEX(المنيو!$C$2:$C$500,MATCH($C9400,المنيو!$B$2:$B$500,0)),0))</f>
        <v/>
      </c>
      <c r="F9400" s="107" t="str">
        <f aca="false">IF($C9400="","",$D9400*$E9400)</f>
        <v/>
      </c>
      <c r="G9400" s="107" t="str">
        <f aca="false">IF($C9400="","",$D9400*IFERROR(INDEX('تحليل التكلفة والسعر'!$C$2:$C$700,MATCH($C9400,'تحليل التكلفة والسعر'!$B$2:$B$700,0)),0))</f>
        <v/>
      </c>
    </row>
    <row r="9401" customFormat="false" ht="15" hidden="false" customHeight="false" outlineLevel="0" collapsed="false">
      <c r="A9401" s="103"/>
      <c r="B9401" s="104"/>
      <c r="C9401" s="104"/>
      <c r="E9401" s="107" t="str">
        <f aca="false">IF($C9401="","",IFERROR(INDEX(المنيو!$C$2:$C$500,MATCH($C9401,المنيو!$B$2:$B$500,0)),0))</f>
        <v/>
      </c>
      <c r="F9401" s="107" t="str">
        <f aca="false">IF($C9401="","",$D9401*$E9401)</f>
        <v/>
      </c>
      <c r="G9401" s="107" t="str">
        <f aca="false">IF($C9401="","",$D9401*IFERROR(INDEX('تحليل التكلفة والسعر'!$C$2:$C$700,MATCH($C9401,'تحليل التكلفة والسعر'!$B$2:$B$700,0)),0))</f>
        <v/>
      </c>
    </row>
    <row r="9402" customFormat="false" ht="15" hidden="false" customHeight="false" outlineLevel="0" collapsed="false">
      <c r="A9402" s="103"/>
      <c r="B9402" s="104"/>
      <c r="C9402" s="104"/>
      <c r="E9402" s="107" t="str">
        <f aca="false">IF($C9402="","",IFERROR(INDEX(المنيو!$C$2:$C$500,MATCH($C9402,المنيو!$B$2:$B$500,0)),0))</f>
        <v/>
      </c>
      <c r="F9402" s="107" t="str">
        <f aca="false">IF($C9402="","",$D9402*$E9402)</f>
        <v/>
      </c>
      <c r="G9402" s="107" t="str">
        <f aca="false">IF($C9402="","",$D9402*IFERROR(INDEX('تحليل التكلفة والسعر'!$C$2:$C$700,MATCH($C9402,'تحليل التكلفة والسعر'!$B$2:$B$700,0)),0))</f>
        <v/>
      </c>
    </row>
    <row r="9403" customFormat="false" ht="15" hidden="false" customHeight="false" outlineLevel="0" collapsed="false">
      <c r="A9403" s="103"/>
      <c r="B9403" s="104"/>
      <c r="C9403" s="104"/>
      <c r="E9403" s="107" t="str">
        <f aca="false">IF($C9403="","",IFERROR(INDEX(المنيو!$C$2:$C$500,MATCH($C9403,المنيو!$B$2:$B$500,0)),0))</f>
        <v/>
      </c>
      <c r="F9403" s="107" t="str">
        <f aca="false">IF($C9403="","",$D9403*$E9403)</f>
        <v/>
      </c>
      <c r="G9403" s="107" t="str">
        <f aca="false">IF($C9403="","",$D9403*IFERROR(INDEX('تحليل التكلفة والسعر'!$C$2:$C$700,MATCH($C9403,'تحليل التكلفة والسعر'!$B$2:$B$700,0)),0))</f>
        <v/>
      </c>
    </row>
    <row r="9404" customFormat="false" ht="15" hidden="false" customHeight="false" outlineLevel="0" collapsed="false">
      <c r="A9404" s="103"/>
      <c r="B9404" s="104"/>
      <c r="C9404" s="104"/>
      <c r="E9404" s="107" t="str">
        <f aca="false">IF($C9404="","",IFERROR(INDEX(المنيو!$C$2:$C$500,MATCH($C9404,المنيو!$B$2:$B$500,0)),0))</f>
        <v/>
      </c>
      <c r="F9404" s="107" t="str">
        <f aca="false">IF($C9404="","",$D9404*$E9404)</f>
        <v/>
      </c>
      <c r="G9404" s="107" t="str">
        <f aca="false">IF($C9404="","",$D9404*IFERROR(INDEX('تحليل التكلفة والسعر'!$C$2:$C$700,MATCH($C9404,'تحليل التكلفة والسعر'!$B$2:$B$700,0)),0))</f>
        <v/>
      </c>
    </row>
    <row r="9405" customFormat="false" ht="15" hidden="false" customHeight="false" outlineLevel="0" collapsed="false">
      <c r="A9405" s="103"/>
      <c r="B9405" s="104"/>
      <c r="C9405" s="104"/>
      <c r="E9405" s="107" t="str">
        <f aca="false">IF($C9405="","",IFERROR(INDEX(المنيو!$C$2:$C$500,MATCH($C9405,المنيو!$B$2:$B$500,0)),0))</f>
        <v/>
      </c>
      <c r="F9405" s="107" t="str">
        <f aca="false">IF($C9405="","",$D9405*$E9405)</f>
        <v/>
      </c>
      <c r="G9405" s="107" t="str">
        <f aca="false">IF($C9405="","",$D9405*IFERROR(INDEX('تحليل التكلفة والسعر'!$C$2:$C$700,MATCH($C9405,'تحليل التكلفة والسعر'!$B$2:$B$700,0)),0))</f>
        <v/>
      </c>
    </row>
    <row r="9406" customFormat="false" ht="15" hidden="false" customHeight="false" outlineLevel="0" collapsed="false">
      <c r="A9406" s="103"/>
      <c r="B9406" s="104"/>
      <c r="C9406" s="104"/>
      <c r="E9406" s="107" t="str">
        <f aca="false">IF($C9406="","",IFERROR(INDEX(المنيو!$C$2:$C$500,MATCH($C9406,المنيو!$B$2:$B$500,0)),0))</f>
        <v/>
      </c>
      <c r="F9406" s="107" t="str">
        <f aca="false">IF($C9406="","",$D9406*$E9406)</f>
        <v/>
      </c>
      <c r="G9406" s="107" t="str">
        <f aca="false">IF($C9406="","",$D9406*IFERROR(INDEX('تحليل التكلفة والسعر'!$C$2:$C$700,MATCH($C9406,'تحليل التكلفة والسعر'!$B$2:$B$700,0)),0))</f>
        <v/>
      </c>
    </row>
    <row r="9407" customFormat="false" ht="15" hidden="false" customHeight="false" outlineLevel="0" collapsed="false">
      <c r="A9407" s="103"/>
      <c r="B9407" s="104"/>
      <c r="C9407" s="104"/>
      <c r="E9407" s="107" t="str">
        <f aca="false">IF($C9407="","",IFERROR(INDEX(المنيو!$C$2:$C$500,MATCH($C9407,المنيو!$B$2:$B$500,0)),0))</f>
        <v/>
      </c>
      <c r="F9407" s="107" t="str">
        <f aca="false">IF($C9407="","",$D9407*$E9407)</f>
        <v/>
      </c>
      <c r="G9407" s="107" t="str">
        <f aca="false">IF($C9407="","",$D9407*IFERROR(INDEX('تحليل التكلفة والسعر'!$C$2:$C$700,MATCH($C9407,'تحليل التكلفة والسعر'!$B$2:$B$700,0)),0))</f>
        <v/>
      </c>
    </row>
    <row r="9408" customFormat="false" ht="15" hidden="false" customHeight="false" outlineLevel="0" collapsed="false">
      <c r="A9408" s="103"/>
      <c r="B9408" s="104"/>
      <c r="C9408" s="104"/>
      <c r="E9408" s="107" t="str">
        <f aca="false">IF($C9408="","",IFERROR(INDEX(المنيو!$C$2:$C$500,MATCH($C9408,المنيو!$B$2:$B$500,0)),0))</f>
        <v/>
      </c>
      <c r="F9408" s="107" t="str">
        <f aca="false">IF($C9408="","",$D9408*$E9408)</f>
        <v/>
      </c>
      <c r="G9408" s="107" t="str">
        <f aca="false">IF($C9408="","",$D9408*IFERROR(INDEX('تحليل التكلفة والسعر'!$C$2:$C$700,MATCH($C9408,'تحليل التكلفة والسعر'!$B$2:$B$700,0)),0))</f>
        <v/>
      </c>
    </row>
    <row r="9409" customFormat="false" ht="15" hidden="false" customHeight="false" outlineLevel="0" collapsed="false">
      <c r="A9409" s="103"/>
      <c r="B9409" s="104"/>
      <c r="C9409" s="104"/>
      <c r="E9409" s="107" t="str">
        <f aca="false">IF($C9409="","",IFERROR(INDEX(المنيو!$C$2:$C$500,MATCH($C9409,المنيو!$B$2:$B$500,0)),0))</f>
        <v/>
      </c>
      <c r="F9409" s="107" t="str">
        <f aca="false">IF($C9409="","",$D9409*$E9409)</f>
        <v/>
      </c>
      <c r="G9409" s="107" t="str">
        <f aca="false">IF($C9409="","",$D9409*IFERROR(INDEX('تحليل التكلفة والسعر'!$C$2:$C$700,MATCH($C9409,'تحليل التكلفة والسعر'!$B$2:$B$700,0)),0))</f>
        <v/>
      </c>
    </row>
    <row r="9410" customFormat="false" ht="15" hidden="false" customHeight="false" outlineLevel="0" collapsed="false">
      <c r="A9410" s="103"/>
      <c r="B9410" s="104"/>
      <c r="C9410" s="104"/>
      <c r="E9410" s="107" t="str">
        <f aca="false">IF($C9410="","",IFERROR(INDEX(المنيو!$C$2:$C$500,MATCH($C9410,المنيو!$B$2:$B$500,0)),0))</f>
        <v/>
      </c>
      <c r="F9410" s="107" t="str">
        <f aca="false">IF($C9410="","",$D9410*$E9410)</f>
        <v/>
      </c>
      <c r="G9410" s="107" t="str">
        <f aca="false">IF($C9410="","",$D9410*IFERROR(INDEX('تحليل التكلفة والسعر'!$C$2:$C$700,MATCH($C9410,'تحليل التكلفة والسعر'!$B$2:$B$700,0)),0))</f>
        <v/>
      </c>
    </row>
    <row r="9411" customFormat="false" ht="15" hidden="false" customHeight="false" outlineLevel="0" collapsed="false">
      <c r="A9411" s="103"/>
      <c r="B9411" s="104"/>
      <c r="C9411" s="104"/>
      <c r="E9411" s="107" t="str">
        <f aca="false">IF($C9411="","",IFERROR(INDEX(المنيو!$C$2:$C$500,MATCH($C9411,المنيو!$B$2:$B$500,0)),0))</f>
        <v/>
      </c>
      <c r="F9411" s="107" t="str">
        <f aca="false">IF($C9411="","",$D9411*$E9411)</f>
        <v/>
      </c>
      <c r="G9411" s="107" t="str">
        <f aca="false">IF($C9411="","",$D9411*IFERROR(INDEX('تحليل التكلفة والسعر'!$C$2:$C$700,MATCH($C9411,'تحليل التكلفة والسعر'!$B$2:$B$700,0)),0))</f>
        <v/>
      </c>
    </row>
    <row r="9412" customFormat="false" ht="15" hidden="false" customHeight="false" outlineLevel="0" collapsed="false">
      <c r="A9412" s="103"/>
      <c r="B9412" s="104"/>
      <c r="C9412" s="104"/>
      <c r="E9412" s="107" t="str">
        <f aca="false">IF($C9412="","",IFERROR(INDEX(المنيو!$C$2:$C$500,MATCH($C9412,المنيو!$B$2:$B$500,0)),0))</f>
        <v/>
      </c>
      <c r="F9412" s="107" t="str">
        <f aca="false">IF($C9412="","",$D9412*$E9412)</f>
        <v/>
      </c>
      <c r="G9412" s="107" t="str">
        <f aca="false">IF($C9412="","",$D9412*IFERROR(INDEX('تحليل التكلفة والسعر'!$C$2:$C$700,MATCH($C9412,'تحليل التكلفة والسعر'!$B$2:$B$700,0)),0))</f>
        <v/>
      </c>
    </row>
    <row r="9413" customFormat="false" ht="15" hidden="false" customHeight="false" outlineLevel="0" collapsed="false">
      <c r="A9413" s="103"/>
      <c r="B9413" s="104"/>
      <c r="C9413" s="104"/>
      <c r="E9413" s="107" t="str">
        <f aca="false">IF($C9413="","",IFERROR(INDEX(المنيو!$C$2:$C$500,MATCH($C9413,المنيو!$B$2:$B$500,0)),0))</f>
        <v/>
      </c>
      <c r="F9413" s="107" t="str">
        <f aca="false">IF($C9413="","",$D9413*$E9413)</f>
        <v/>
      </c>
      <c r="G9413" s="107" t="str">
        <f aca="false">IF($C9413="","",$D9413*IFERROR(INDEX('تحليل التكلفة والسعر'!$C$2:$C$700,MATCH($C9413,'تحليل التكلفة والسعر'!$B$2:$B$700,0)),0))</f>
        <v/>
      </c>
    </row>
    <row r="9414" customFormat="false" ht="15" hidden="false" customHeight="false" outlineLevel="0" collapsed="false">
      <c r="A9414" s="103"/>
      <c r="B9414" s="104"/>
      <c r="C9414" s="104"/>
      <c r="E9414" s="107" t="str">
        <f aca="false">IF($C9414="","",IFERROR(INDEX(المنيو!$C$2:$C$500,MATCH($C9414,المنيو!$B$2:$B$500,0)),0))</f>
        <v/>
      </c>
      <c r="F9414" s="107" t="str">
        <f aca="false">IF($C9414="","",$D9414*$E9414)</f>
        <v/>
      </c>
      <c r="G9414" s="107" t="str">
        <f aca="false">IF($C9414="","",$D9414*IFERROR(INDEX('تحليل التكلفة والسعر'!$C$2:$C$700,MATCH($C9414,'تحليل التكلفة والسعر'!$B$2:$B$700,0)),0))</f>
        <v/>
      </c>
    </row>
    <row r="9415" customFormat="false" ht="15" hidden="false" customHeight="false" outlineLevel="0" collapsed="false">
      <c r="A9415" s="103"/>
      <c r="B9415" s="104"/>
      <c r="C9415" s="104"/>
      <c r="E9415" s="107" t="str">
        <f aca="false">IF($C9415="","",IFERROR(INDEX(المنيو!$C$2:$C$500,MATCH($C9415,المنيو!$B$2:$B$500,0)),0))</f>
        <v/>
      </c>
      <c r="F9415" s="107" t="str">
        <f aca="false">IF($C9415="","",$D9415*$E9415)</f>
        <v/>
      </c>
      <c r="G9415" s="107" t="str">
        <f aca="false">IF($C9415="","",$D9415*IFERROR(INDEX('تحليل التكلفة والسعر'!$C$2:$C$700,MATCH($C9415,'تحليل التكلفة والسعر'!$B$2:$B$700,0)),0))</f>
        <v/>
      </c>
    </row>
    <row r="9416" customFormat="false" ht="15" hidden="false" customHeight="false" outlineLevel="0" collapsed="false">
      <c r="A9416" s="103"/>
      <c r="B9416" s="104"/>
      <c r="C9416" s="104"/>
      <c r="E9416" s="107" t="str">
        <f aca="false">IF($C9416="","",IFERROR(INDEX(المنيو!$C$2:$C$500,MATCH($C9416,المنيو!$B$2:$B$500,0)),0))</f>
        <v/>
      </c>
      <c r="F9416" s="107" t="str">
        <f aca="false">IF($C9416="","",$D9416*$E9416)</f>
        <v/>
      </c>
      <c r="G9416" s="107" t="str">
        <f aca="false">IF($C9416="","",$D9416*IFERROR(INDEX('تحليل التكلفة والسعر'!$C$2:$C$700,MATCH($C9416,'تحليل التكلفة والسعر'!$B$2:$B$700,0)),0))</f>
        <v/>
      </c>
    </row>
    <row r="9417" customFormat="false" ht="15" hidden="false" customHeight="false" outlineLevel="0" collapsed="false">
      <c r="A9417" s="103"/>
      <c r="B9417" s="104"/>
      <c r="C9417" s="104"/>
      <c r="E9417" s="107" t="str">
        <f aca="false">IF($C9417="","",IFERROR(INDEX(المنيو!$C$2:$C$500,MATCH($C9417,المنيو!$B$2:$B$500,0)),0))</f>
        <v/>
      </c>
      <c r="F9417" s="107" t="str">
        <f aca="false">IF($C9417="","",$D9417*$E9417)</f>
        <v/>
      </c>
      <c r="G9417" s="107" t="str">
        <f aca="false">IF($C9417="","",$D9417*IFERROR(INDEX('تحليل التكلفة والسعر'!$C$2:$C$700,MATCH($C9417,'تحليل التكلفة والسعر'!$B$2:$B$700,0)),0))</f>
        <v/>
      </c>
    </row>
    <row r="9418" customFormat="false" ht="15" hidden="false" customHeight="false" outlineLevel="0" collapsed="false">
      <c r="A9418" s="103"/>
      <c r="B9418" s="104"/>
      <c r="C9418" s="104"/>
      <c r="E9418" s="107" t="str">
        <f aca="false">IF($C9418="","",IFERROR(INDEX(المنيو!$C$2:$C$500,MATCH($C9418,المنيو!$B$2:$B$500,0)),0))</f>
        <v/>
      </c>
      <c r="F9418" s="107" t="str">
        <f aca="false">IF($C9418="","",$D9418*$E9418)</f>
        <v/>
      </c>
      <c r="G9418" s="107" t="str">
        <f aca="false">IF($C9418="","",$D9418*IFERROR(INDEX('تحليل التكلفة والسعر'!$C$2:$C$700,MATCH($C9418,'تحليل التكلفة والسعر'!$B$2:$B$700,0)),0))</f>
        <v/>
      </c>
    </row>
    <row r="9419" customFormat="false" ht="15" hidden="false" customHeight="false" outlineLevel="0" collapsed="false">
      <c r="A9419" s="103"/>
      <c r="B9419" s="104"/>
      <c r="C9419" s="104"/>
      <c r="E9419" s="107" t="str">
        <f aca="false">IF($C9419="","",IFERROR(INDEX(المنيو!$C$2:$C$500,MATCH($C9419,المنيو!$B$2:$B$500,0)),0))</f>
        <v/>
      </c>
      <c r="F9419" s="107" t="str">
        <f aca="false">IF($C9419="","",$D9419*$E9419)</f>
        <v/>
      </c>
      <c r="G9419" s="107" t="str">
        <f aca="false">IF($C9419="","",$D9419*IFERROR(INDEX('تحليل التكلفة والسعر'!$C$2:$C$700,MATCH($C9419,'تحليل التكلفة والسعر'!$B$2:$B$700,0)),0))</f>
        <v/>
      </c>
    </row>
    <row r="9420" customFormat="false" ht="15" hidden="false" customHeight="false" outlineLevel="0" collapsed="false">
      <c r="A9420" s="103"/>
      <c r="B9420" s="104"/>
      <c r="C9420" s="104"/>
      <c r="E9420" s="107" t="str">
        <f aca="false">IF($C9420="","",IFERROR(INDEX(المنيو!$C$2:$C$500,MATCH($C9420,المنيو!$B$2:$B$500,0)),0))</f>
        <v/>
      </c>
      <c r="F9420" s="107" t="str">
        <f aca="false">IF($C9420="","",$D9420*$E9420)</f>
        <v/>
      </c>
      <c r="G9420" s="107" t="str">
        <f aca="false">IF($C9420="","",$D9420*IFERROR(INDEX('تحليل التكلفة والسعر'!$C$2:$C$700,MATCH($C9420,'تحليل التكلفة والسعر'!$B$2:$B$700,0)),0))</f>
        <v/>
      </c>
    </row>
    <row r="9421" customFormat="false" ht="15" hidden="false" customHeight="false" outlineLevel="0" collapsed="false">
      <c r="A9421" s="103"/>
      <c r="B9421" s="104"/>
      <c r="C9421" s="104"/>
      <c r="E9421" s="107" t="str">
        <f aca="false">IF($C9421="","",IFERROR(INDEX(المنيو!$C$2:$C$500,MATCH($C9421,المنيو!$B$2:$B$500,0)),0))</f>
        <v/>
      </c>
      <c r="F9421" s="107" t="str">
        <f aca="false">IF($C9421="","",$D9421*$E9421)</f>
        <v/>
      </c>
      <c r="G9421" s="107" t="str">
        <f aca="false">IF($C9421="","",$D9421*IFERROR(INDEX('تحليل التكلفة والسعر'!$C$2:$C$700,MATCH($C9421,'تحليل التكلفة والسعر'!$B$2:$B$700,0)),0))</f>
        <v/>
      </c>
    </row>
    <row r="9422" customFormat="false" ht="15" hidden="false" customHeight="false" outlineLevel="0" collapsed="false">
      <c r="A9422" s="103"/>
      <c r="B9422" s="104"/>
      <c r="C9422" s="104"/>
      <c r="E9422" s="107" t="str">
        <f aca="false">IF($C9422="","",IFERROR(INDEX(المنيو!$C$2:$C$500,MATCH($C9422,المنيو!$B$2:$B$500,0)),0))</f>
        <v/>
      </c>
      <c r="F9422" s="107" t="str">
        <f aca="false">IF($C9422="","",$D9422*$E9422)</f>
        <v/>
      </c>
      <c r="G9422" s="107" t="str">
        <f aca="false">IF($C9422="","",$D9422*IFERROR(INDEX('تحليل التكلفة والسعر'!$C$2:$C$700,MATCH($C9422,'تحليل التكلفة والسعر'!$B$2:$B$700,0)),0))</f>
        <v/>
      </c>
    </row>
    <row r="9423" customFormat="false" ht="15" hidden="false" customHeight="false" outlineLevel="0" collapsed="false">
      <c r="A9423" s="103"/>
      <c r="B9423" s="104"/>
      <c r="C9423" s="104"/>
      <c r="E9423" s="107" t="str">
        <f aca="false">IF($C9423="","",IFERROR(INDEX(المنيو!$C$2:$C$500,MATCH($C9423,المنيو!$B$2:$B$500,0)),0))</f>
        <v/>
      </c>
      <c r="F9423" s="107" t="str">
        <f aca="false">IF($C9423="","",$D9423*$E9423)</f>
        <v/>
      </c>
      <c r="G9423" s="107" t="str">
        <f aca="false">IF($C9423="","",$D9423*IFERROR(INDEX('تحليل التكلفة والسعر'!$C$2:$C$700,MATCH($C9423,'تحليل التكلفة والسعر'!$B$2:$B$700,0)),0))</f>
        <v/>
      </c>
    </row>
    <row r="9424" customFormat="false" ht="15" hidden="false" customHeight="false" outlineLevel="0" collapsed="false">
      <c r="A9424" s="103"/>
      <c r="B9424" s="104"/>
      <c r="C9424" s="104"/>
      <c r="E9424" s="107" t="str">
        <f aca="false">IF($C9424="","",IFERROR(INDEX(المنيو!$C$2:$C$500,MATCH($C9424,المنيو!$B$2:$B$500,0)),0))</f>
        <v/>
      </c>
      <c r="F9424" s="107" t="str">
        <f aca="false">IF($C9424="","",$D9424*$E9424)</f>
        <v/>
      </c>
      <c r="G9424" s="107" t="str">
        <f aca="false">IF($C9424="","",$D9424*IFERROR(INDEX('تحليل التكلفة والسعر'!$C$2:$C$700,MATCH($C9424,'تحليل التكلفة والسعر'!$B$2:$B$700,0)),0))</f>
        <v/>
      </c>
    </row>
    <row r="9425" customFormat="false" ht="15" hidden="false" customHeight="false" outlineLevel="0" collapsed="false">
      <c r="A9425" s="103"/>
      <c r="B9425" s="104"/>
      <c r="C9425" s="104"/>
      <c r="E9425" s="107" t="str">
        <f aca="false">IF($C9425="","",IFERROR(INDEX(المنيو!$C$2:$C$500,MATCH($C9425,المنيو!$B$2:$B$500,0)),0))</f>
        <v/>
      </c>
      <c r="F9425" s="107" t="str">
        <f aca="false">IF($C9425="","",$D9425*$E9425)</f>
        <v/>
      </c>
      <c r="G9425" s="107" t="str">
        <f aca="false">IF($C9425="","",$D9425*IFERROR(INDEX('تحليل التكلفة والسعر'!$C$2:$C$700,MATCH($C9425,'تحليل التكلفة والسعر'!$B$2:$B$700,0)),0))</f>
        <v/>
      </c>
    </row>
    <row r="9426" customFormat="false" ht="15" hidden="false" customHeight="false" outlineLevel="0" collapsed="false">
      <c r="A9426" s="103"/>
      <c r="B9426" s="104"/>
      <c r="C9426" s="104"/>
      <c r="E9426" s="107" t="str">
        <f aca="false">IF($C9426="","",IFERROR(INDEX(المنيو!$C$2:$C$500,MATCH($C9426,المنيو!$B$2:$B$500,0)),0))</f>
        <v/>
      </c>
      <c r="F9426" s="107" t="str">
        <f aca="false">IF($C9426="","",$D9426*$E9426)</f>
        <v/>
      </c>
      <c r="G9426" s="107" t="str">
        <f aca="false">IF($C9426="","",$D9426*IFERROR(INDEX('تحليل التكلفة والسعر'!$C$2:$C$700,MATCH($C9426,'تحليل التكلفة والسعر'!$B$2:$B$700,0)),0))</f>
        <v/>
      </c>
    </row>
    <row r="9427" customFormat="false" ht="15" hidden="false" customHeight="false" outlineLevel="0" collapsed="false">
      <c r="A9427" s="103"/>
      <c r="B9427" s="104"/>
      <c r="C9427" s="104"/>
      <c r="E9427" s="107" t="str">
        <f aca="false">IF($C9427="","",IFERROR(INDEX(المنيو!$C$2:$C$500,MATCH($C9427,المنيو!$B$2:$B$500,0)),0))</f>
        <v/>
      </c>
      <c r="F9427" s="107" t="str">
        <f aca="false">IF($C9427="","",$D9427*$E9427)</f>
        <v/>
      </c>
      <c r="G9427" s="107" t="str">
        <f aca="false">IF($C9427="","",$D9427*IFERROR(INDEX('تحليل التكلفة والسعر'!$C$2:$C$700,MATCH($C9427,'تحليل التكلفة والسعر'!$B$2:$B$700,0)),0))</f>
        <v/>
      </c>
    </row>
    <row r="9428" customFormat="false" ht="15" hidden="false" customHeight="false" outlineLevel="0" collapsed="false">
      <c r="A9428" s="103"/>
      <c r="B9428" s="104"/>
      <c r="C9428" s="104"/>
      <c r="E9428" s="107" t="str">
        <f aca="false">IF($C9428="","",IFERROR(INDEX(المنيو!$C$2:$C$500,MATCH($C9428,المنيو!$B$2:$B$500,0)),0))</f>
        <v/>
      </c>
      <c r="F9428" s="107" t="str">
        <f aca="false">IF($C9428="","",$D9428*$E9428)</f>
        <v/>
      </c>
      <c r="G9428" s="107" t="str">
        <f aca="false">IF($C9428="","",$D9428*IFERROR(INDEX('تحليل التكلفة والسعر'!$C$2:$C$700,MATCH($C9428,'تحليل التكلفة والسعر'!$B$2:$B$700,0)),0))</f>
        <v/>
      </c>
    </row>
    <row r="9429" customFormat="false" ht="15" hidden="false" customHeight="false" outlineLevel="0" collapsed="false">
      <c r="A9429" s="103"/>
      <c r="B9429" s="104"/>
      <c r="C9429" s="104"/>
      <c r="E9429" s="107" t="str">
        <f aca="false">IF($C9429="","",IFERROR(INDEX(المنيو!$C$2:$C$500,MATCH($C9429,المنيو!$B$2:$B$500,0)),0))</f>
        <v/>
      </c>
      <c r="F9429" s="107" t="str">
        <f aca="false">IF($C9429="","",$D9429*$E9429)</f>
        <v/>
      </c>
      <c r="G9429" s="107" t="str">
        <f aca="false">IF($C9429="","",$D9429*IFERROR(INDEX('تحليل التكلفة والسعر'!$C$2:$C$700,MATCH($C9429,'تحليل التكلفة والسعر'!$B$2:$B$700,0)),0))</f>
        <v/>
      </c>
    </row>
    <row r="9430" customFormat="false" ht="15" hidden="false" customHeight="false" outlineLevel="0" collapsed="false">
      <c r="A9430" s="103"/>
      <c r="B9430" s="104"/>
      <c r="C9430" s="104"/>
      <c r="E9430" s="107" t="str">
        <f aca="false">IF($C9430="","",IFERROR(INDEX(المنيو!$C$2:$C$500,MATCH($C9430,المنيو!$B$2:$B$500,0)),0))</f>
        <v/>
      </c>
      <c r="F9430" s="107" t="str">
        <f aca="false">IF($C9430="","",$D9430*$E9430)</f>
        <v/>
      </c>
      <c r="G9430" s="107" t="str">
        <f aca="false">IF($C9430="","",$D9430*IFERROR(INDEX('تحليل التكلفة والسعر'!$C$2:$C$700,MATCH($C9430,'تحليل التكلفة والسعر'!$B$2:$B$700,0)),0))</f>
        <v/>
      </c>
    </row>
    <row r="9431" customFormat="false" ht="15" hidden="false" customHeight="false" outlineLevel="0" collapsed="false">
      <c r="A9431" s="103"/>
      <c r="B9431" s="104"/>
      <c r="C9431" s="104"/>
      <c r="E9431" s="107" t="str">
        <f aca="false">IF($C9431="","",IFERROR(INDEX(المنيو!$C$2:$C$500,MATCH($C9431,المنيو!$B$2:$B$500,0)),0))</f>
        <v/>
      </c>
      <c r="F9431" s="107" t="str">
        <f aca="false">IF($C9431="","",$D9431*$E9431)</f>
        <v/>
      </c>
      <c r="G9431" s="107" t="str">
        <f aca="false">IF($C9431="","",$D9431*IFERROR(INDEX('تحليل التكلفة والسعر'!$C$2:$C$700,MATCH($C9431,'تحليل التكلفة والسعر'!$B$2:$B$700,0)),0))</f>
        <v/>
      </c>
    </row>
    <row r="9432" customFormat="false" ht="15" hidden="false" customHeight="false" outlineLevel="0" collapsed="false">
      <c r="A9432" s="103"/>
      <c r="B9432" s="104"/>
      <c r="C9432" s="104"/>
      <c r="E9432" s="107" t="str">
        <f aca="false">IF($C9432="","",IFERROR(INDEX(المنيو!$C$2:$C$500,MATCH($C9432,المنيو!$B$2:$B$500,0)),0))</f>
        <v/>
      </c>
      <c r="F9432" s="107" t="str">
        <f aca="false">IF($C9432="","",$D9432*$E9432)</f>
        <v/>
      </c>
      <c r="G9432" s="107" t="str">
        <f aca="false">IF($C9432="","",$D9432*IFERROR(INDEX('تحليل التكلفة والسعر'!$C$2:$C$700,MATCH($C9432,'تحليل التكلفة والسعر'!$B$2:$B$700,0)),0))</f>
        <v/>
      </c>
    </row>
    <row r="9433" customFormat="false" ht="15" hidden="false" customHeight="false" outlineLevel="0" collapsed="false">
      <c r="A9433" s="103"/>
      <c r="B9433" s="104"/>
      <c r="C9433" s="104"/>
      <c r="E9433" s="107" t="str">
        <f aca="false">IF($C9433="","",IFERROR(INDEX(المنيو!$C$2:$C$500,MATCH($C9433,المنيو!$B$2:$B$500,0)),0))</f>
        <v/>
      </c>
      <c r="F9433" s="107" t="str">
        <f aca="false">IF($C9433="","",$D9433*$E9433)</f>
        <v/>
      </c>
      <c r="G9433" s="107" t="str">
        <f aca="false">IF($C9433="","",$D9433*IFERROR(INDEX('تحليل التكلفة والسعر'!$C$2:$C$700,MATCH($C9433,'تحليل التكلفة والسعر'!$B$2:$B$700,0)),0))</f>
        <v/>
      </c>
    </row>
    <row r="9434" customFormat="false" ht="15" hidden="false" customHeight="false" outlineLevel="0" collapsed="false">
      <c r="A9434" s="103"/>
      <c r="B9434" s="104"/>
      <c r="C9434" s="104"/>
      <c r="E9434" s="107" t="str">
        <f aca="false">IF($C9434="","",IFERROR(INDEX(المنيو!$C$2:$C$500,MATCH($C9434,المنيو!$B$2:$B$500,0)),0))</f>
        <v/>
      </c>
      <c r="F9434" s="107" t="str">
        <f aca="false">IF($C9434="","",$D9434*$E9434)</f>
        <v/>
      </c>
      <c r="G9434" s="107" t="str">
        <f aca="false">IF($C9434="","",$D9434*IFERROR(INDEX('تحليل التكلفة والسعر'!$C$2:$C$700,MATCH($C9434,'تحليل التكلفة والسعر'!$B$2:$B$700,0)),0))</f>
        <v/>
      </c>
    </row>
    <row r="9435" customFormat="false" ht="15" hidden="false" customHeight="false" outlineLevel="0" collapsed="false">
      <c r="A9435" s="103"/>
      <c r="B9435" s="104"/>
      <c r="C9435" s="104"/>
      <c r="E9435" s="107" t="str">
        <f aca="false">IF($C9435="","",IFERROR(INDEX(المنيو!$C$2:$C$500,MATCH($C9435,المنيو!$B$2:$B$500,0)),0))</f>
        <v/>
      </c>
      <c r="F9435" s="107" t="str">
        <f aca="false">IF($C9435="","",$D9435*$E9435)</f>
        <v/>
      </c>
      <c r="G9435" s="107" t="str">
        <f aca="false">IF($C9435="","",$D9435*IFERROR(INDEX('تحليل التكلفة والسعر'!$C$2:$C$700,MATCH($C9435,'تحليل التكلفة والسعر'!$B$2:$B$700,0)),0))</f>
        <v/>
      </c>
    </row>
    <row r="9436" customFormat="false" ht="15" hidden="false" customHeight="false" outlineLevel="0" collapsed="false">
      <c r="A9436" s="103"/>
      <c r="B9436" s="104"/>
      <c r="C9436" s="104"/>
      <c r="E9436" s="107" t="str">
        <f aca="false">IF($C9436="","",IFERROR(INDEX(المنيو!$C$2:$C$500,MATCH($C9436,المنيو!$B$2:$B$500,0)),0))</f>
        <v/>
      </c>
      <c r="F9436" s="107" t="str">
        <f aca="false">IF($C9436="","",$D9436*$E9436)</f>
        <v/>
      </c>
      <c r="G9436" s="107" t="str">
        <f aca="false">IF($C9436="","",$D9436*IFERROR(INDEX('تحليل التكلفة والسعر'!$C$2:$C$700,MATCH($C9436,'تحليل التكلفة والسعر'!$B$2:$B$700,0)),0))</f>
        <v/>
      </c>
    </row>
    <row r="9437" customFormat="false" ht="15" hidden="false" customHeight="false" outlineLevel="0" collapsed="false">
      <c r="A9437" s="103"/>
      <c r="B9437" s="104"/>
      <c r="C9437" s="104"/>
      <c r="E9437" s="107" t="str">
        <f aca="false">IF($C9437="","",IFERROR(INDEX(المنيو!$C$2:$C$500,MATCH($C9437,المنيو!$B$2:$B$500,0)),0))</f>
        <v/>
      </c>
      <c r="F9437" s="107" t="str">
        <f aca="false">IF($C9437="","",$D9437*$E9437)</f>
        <v/>
      </c>
      <c r="G9437" s="107" t="str">
        <f aca="false">IF($C9437="","",$D9437*IFERROR(INDEX('تحليل التكلفة والسعر'!$C$2:$C$700,MATCH($C9437,'تحليل التكلفة والسعر'!$B$2:$B$700,0)),0))</f>
        <v/>
      </c>
    </row>
    <row r="9438" customFormat="false" ht="15" hidden="false" customHeight="false" outlineLevel="0" collapsed="false">
      <c r="A9438" s="103"/>
      <c r="B9438" s="104"/>
      <c r="C9438" s="104"/>
      <c r="E9438" s="107" t="str">
        <f aca="false">IF($C9438="","",IFERROR(INDEX(المنيو!$C$2:$C$500,MATCH($C9438,المنيو!$B$2:$B$500,0)),0))</f>
        <v/>
      </c>
      <c r="F9438" s="107" t="str">
        <f aca="false">IF($C9438="","",$D9438*$E9438)</f>
        <v/>
      </c>
      <c r="G9438" s="107" t="str">
        <f aca="false">IF($C9438="","",$D9438*IFERROR(INDEX('تحليل التكلفة والسعر'!$C$2:$C$700,MATCH($C9438,'تحليل التكلفة والسعر'!$B$2:$B$700,0)),0))</f>
        <v/>
      </c>
    </row>
    <row r="9439" customFormat="false" ht="15" hidden="false" customHeight="false" outlineLevel="0" collapsed="false">
      <c r="A9439" s="103"/>
      <c r="B9439" s="104"/>
      <c r="C9439" s="104"/>
      <c r="E9439" s="107" t="str">
        <f aca="false">IF($C9439="","",IFERROR(INDEX(المنيو!$C$2:$C$500,MATCH($C9439,المنيو!$B$2:$B$500,0)),0))</f>
        <v/>
      </c>
      <c r="F9439" s="107" t="str">
        <f aca="false">IF($C9439="","",$D9439*$E9439)</f>
        <v/>
      </c>
      <c r="G9439" s="107" t="str">
        <f aca="false">IF($C9439="","",$D9439*IFERROR(INDEX('تحليل التكلفة والسعر'!$C$2:$C$700,MATCH($C9439,'تحليل التكلفة والسعر'!$B$2:$B$700,0)),0))</f>
        <v/>
      </c>
    </row>
    <row r="9440" customFormat="false" ht="15" hidden="false" customHeight="false" outlineLevel="0" collapsed="false">
      <c r="A9440" s="103"/>
      <c r="B9440" s="104"/>
      <c r="C9440" s="104"/>
      <c r="E9440" s="107" t="str">
        <f aca="false">IF($C9440="","",IFERROR(INDEX(المنيو!$C$2:$C$500,MATCH($C9440,المنيو!$B$2:$B$500,0)),0))</f>
        <v/>
      </c>
      <c r="F9440" s="107" t="str">
        <f aca="false">IF($C9440="","",$D9440*$E9440)</f>
        <v/>
      </c>
      <c r="G9440" s="107" t="str">
        <f aca="false">IF($C9440="","",$D9440*IFERROR(INDEX('تحليل التكلفة والسعر'!$C$2:$C$700,MATCH($C9440,'تحليل التكلفة والسعر'!$B$2:$B$700,0)),0))</f>
        <v/>
      </c>
    </row>
    <row r="9441" customFormat="false" ht="15" hidden="false" customHeight="false" outlineLevel="0" collapsed="false">
      <c r="A9441" s="103"/>
      <c r="B9441" s="104"/>
      <c r="C9441" s="104"/>
      <c r="E9441" s="107" t="str">
        <f aca="false">IF($C9441="","",IFERROR(INDEX(المنيو!$C$2:$C$500,MATCH($C9441,المنيو!$B$2:$B$500,0)),0))</f>
        <v/>
      </c>
      <c r="F9441" s="107" t="str">
        <f aca="false">IF($C9441="","",$D9441*$E9441)</f>
        <v/>
      </c>
      <c r="G9441" s="107" t="str">
        <f aca="false">IF($C9441="","",$D9441*IFERROR(INDEX('تحليل التكلفة والسعر'!$C$2:$C$700,MATCH($C9441,'تحليل التكلفة والسعر'!$B$2:$B$700,0)),0))</f>
        <v/>
      </c>
    </row>
    <row r="9442" customFormat="false" ht="15" hidden="false" customHeight="false" outlineLevel="0" collapsed="false">
      <c r="A9442" s="103"/>
      <c r="B9442" s="104"/>
      <c r="C9442" s="104"/>
      <c r="E9442" s="107" t="str">
        <f aca="false">IF($C9442="","",IFERROR(INDEX(المنيو!$C$2:$C$500,MATCH($C9442,المنيو!$B$2:$B$500,0)),0))</f>
        <v/>
      </c>
      <c r="F9442" s="107" t="str">
        <f aca="false">IF($C9442="","",$D9442*$E9442)</f>
        <v/>
      </c>
      <c r="G9442" s="107" t="str">
        <f aca="false">IF($C9442="","",$D9442*IFERROR(INDEX('تحليل التكلفة والسعر'!$C$2:$C$700,MATCH($C9442,'تحليل التكلفة والسعر'!$B$2:$B$700,0)),0))</f>
        <v/>
      </c>
    </row>
    <row r="9443" customFormat="false" ht="15" hidden="false" customHeight="false" outlineLevel="0" collapsed="false">
      <c r="A9443" s="103"/>
      <c r="B9443" s="104"/>
      <c r="C9443" s="104"/>
      <c r="E9443" s="107" t="str">
        <f aca="false">IF($C9443="","",IFERROR(INDEX(المنيو!$C$2:$C$500,MATCH($C9443,المنيو!$B$2:$B$500,0)),0))</f>
        <v/>
      </c>
      <c r="F9443" s="107" t="str">
        <f aca="false">IF($C9443="","",$D9443*$E9443)</f>
        <v/>
      </c>
      <c r="G9443" s="107" t="str">
        <f aca="false">IF($C9443="","",$D9443*IFERROR(INDEX('تحليل التكلفة والسعر'!$C$2:$C$700,MATCH($C9443,'تحليل التكلفة والسعر'!$B$2:$B$700,0)),0))</f>
        <v/>
      </c>
    </row>
    <row r="9444" customFormat="false" ht="15" hidden="false" customHeight="false" outlineLevel="0" collapsed="false">
      <c r="A9444" s="103"/>
      <c r="B9444" s="104"/>
      <c r="C9444" s="104"/>
      <c r="E9444" s="107" t="str">
        <f aca="false">IF($C9444="","",IFERROR(INDEX(المنيو!$C$2:$C$500,MATCH($C9444,المنيو!$B$2:$B$500,0)),0))</f>
        <v/>
      </c>
      <c r="F9444" s="107" t="str">
        <f aca="false">IF($C9444="","",$D9444*$E9444)</f>
        <v/>
      </c>
      <c r="G9444" s="107" t="str">
        <f aca="false">IF($C9444="","",$D9444*IFERROR(INDEX('تحليل التكلفة والسعر'!$C$2:$C$700,MATCH($C9444,'تحليل التكلفة والسعر'!$B$2:$B$700,0)),0))</f>
        <v/>
      </c>
    </row>
    <row r="9445" customFormat="false" ht="15" hidden="false" customHeight="false" outlineLevel="0" collapsed="false">
      <c r="A9445" s="103"/>
      <c r="B9445" s="104"/>
      <c r="C9445" s="104"/>
      <c r="E9445" s="107" t="str">
        <f aca="false">IF($C9445="","",IFERROR(INDEX(المنيو!$C$2:$C$500,MATCH($C9445,المنيو!$B$2:$B$500,0)),0))</f>
        <v/>
      </c>
      <c r="F9445" s="107" t="str">
        <f aca="false">IF($C9445="","",$D9445*$E9445)</f>
        <v/>
      </c>
      <c r="G9445" s="107" t="str">
        <f aca="false">IF($C9445="","",$D9445*IFERROR(INDEX('تحليل التكلفة والسعر'!$C$2:$C$700,MATCH($C9445,'تحليل التكلفة والسعر'!$B$2:$B$700,0)),0))</f>
        <v/>
      </c>
    </row>
    <row r="9446" customFormat="false" ht="15" hidden="false" customHeight="false" outlineLevel="0" collapsed="false">
      <c r="A9446" s="103"/>
      <c r="B9446" s="104"/>
      <c r="C9446" s="104"/>
      <c r="E9446" s="107" t="str">
        <f aca="false">IF($C9446="","",IFERROR(INDEX(المنيو!$C$2:$C$500,MATCH($C9446,المنيو!$B$2:$B$500,0)),0))</f>
        <v/>
      </c>
      <c r="F9446" s="107" t="str">
        <f aca="false">IF($C9446="","",$D9446*$E9446)</f>
        <v/>
      </c>
      <c r="G9446" s="107" t="str">
        <f aca="false">IF($C9446="","",$D9446*IFERROR(INDEX('تحليل التكلفة والسعر'!$C$2:$C$700,MATCH($C9446,'تحليل التكلفة والسعر'!$B$2:$B$700,0)),0))</f>
        <v/>
      </c>
    </row>
    <row r="9447" customFormat="false" ht="15" hidden="false" customHeight="false" outlineLevel="0" collapsed="false">
      <c r="A9447" s="103"/>
      <c r="B9447" s="104"/>
      <c r="C9447" s="104"/>
      <c r="E9447" s="107" t="str">
        <f aca="false">IF($C9447="","",IFERROR(INDEX(المنيو!$C$2:$C$500,MATCH($C9447,المنيو!$B$2:$B$500,0)),0))</f>
        <v/>
      </c>
      <c r="F9447" s="107" t="str">
        <f aca="false">IF($C9447="","",$D9447*$E9447)</f>
        <v/>
      </c>
      <c r="G9447" s="107" t="str">
        <f aca="false">IF($C9447="","",$D9447*IFERROR(INDEX('تحليل التكلفة والسعر'!$C$2:$C$700,MATCH($C9447,'تحليل التكلفة والسعر'!$B$2:$B$700,0)),0))</f>
        <v/>
      </c>
    </row>
    <row r="9448" customFormat="false" ht="15" hidden="false" customHeight="false" outlineLevel="0" collapsed="false">
      <c r="A9448" s="103"/>
      <c r="B9448" s="104"/>
      <c r="C9448" s="104"/>
      <c r="E9448" s="107" t="str">
        <f aca="false">IF($C9448="","",IFERROR(INDEX(المنيو!$C$2:$C$500,MATCH($C9448,المنيو!$B$2:$B$500,0)),0))</f>
        <v/>
      </c>
      <c r="F9448" s="107" t="str">
        <f aca="false">IF($C9448="","",$D9448*$E9448)</f>
        <v/>
      </c>
      <c r="G9448" s="107" t="str">
        <f aca="false">IF($C9448="","",$D9448*IFERROR(INDEX('تحليل التكلفة والسعر'!$C$2:$C$700,MATCH($C9448,'تحليل التكلفة والسعر'!$B$2:$B$700,0)),0))</f>
        <v/>
      </c>
    </row>
    <row r="9449" customFormat="false" ht="15" hidden="false" customHeight="false" outlineLevel="0" collapsed="false">
      <c r="A9449" s="103"/>
      <c r="B9449" s="104"/>
      <c r="C9449" s="104"/>
      <c r="E9449" s="107" t="str">
        <f aca="false">IF($C9449="","",IFERROR(INDEX(المنيو!$C$2:$C$500,MATCH($C9449,المنيو!$B$2:$B$500,0)),0))</f>
        <v/>
      </c>
      <c r="F9449" s="107" t="str">
        <f aca="false">IF($C9449="","",$D9449*$E9449)</f>
        <v/>
      </c>
      <c r="G9449" s="107" t="str">
        <f aca="false">IF($C9449="","",$D9449*IFERROR(INDEX('تحليل التكلفة والسعر'!$C$2:$C$700,MATCH($C9449,'تحليل التكلفة والسعر'!$B$2:$B$700,0)),0))</f>
        <v/>
      </c>
    </row>
    <row r="9450" customFormat="false" ht="15" hidden="false" customHeight="false" outlineLevel="0" collapsed="false">
      <c r="A9450" s="103"/>
      <c r="B9450" s="104"/>
      <c r="C9450" s="104"/>
      <c r="E9450" s="107" t="str">
        <f aca="false">IF($C9450="","",IFERROR(INDEX(المنيو!$C$2:$C$500,MATCH($C9450,المنيو!$B$2:$B$500,0)),0))</f>
        <v/>
      </c>
      <c r="F9450" s="107" t="str">
        <f aca="false">IF($C9450="","",$D9450*$E9450)</f>
        <v/>
      </c>
      <c r="G9450" s="107" t="str">
        <f aca="false">IF($C9450="","",$D9450*IFERROR(INDEX('تحليل التكلفة والسعر'!$C$2:$C$700,MATCH($C9450,'تحليل التكلفة والسعر'!$B$2:$B$700,0)),0))</f>
        <v/>
      </c>
    </row>
    <row r="9451" customFormat="false" ht="15" hidden="false" customHeight="false" outlineLevel="0" collapsed="false">
      <c r="A9451" s="103"/>
      <c r="B9451" s="104"/>
      <c r="C9451" s="104"/>
      <c r="E9451" s="107" t="str">
        <f aca="false">IF($C9451="","",IFERROR(INDEX(المنيو!$C$2:$C$500,MATCH($C9451,المنيو!$B$2:$B$500,0)),0))</f>
        <v/>
      </c>
      <c r="F9451" s="107" t="str">
        <f aca="false">IF($C9451="","",$D9451*$E9451)</f>
        <v/>
      </c>
      <c r="G9451" s="107" t="str">
        <f aca="false">IF($C9451="","",$D9451*IFERROR(INDEX('تحليل التكلفة والسعر'!$C$2:$C$700,MATCH($C9451,'تحليل التكلفة والسعر'!$B$2:$B$700,0)),0))</f>
        <v/>
      </c>
    </row>
    <row r="9452" customFormat="false" ht="15" hidden="false" customHeight="false" outlineLevel="0" collapsed="false">
      <c r="A9452" s="103"/>
      <c r="B9452" s="104"/>
      <c r="C9452" s="104"/>
      <c r="E9452" s="107" t="str">
        <f aca="false">IF($C9452="","",IFERROR(INDEX(المنيو!$C$2:$C$500,MATCH($C9452,المنيو!$B$2:$B$500,0)),0))</f>
        <v/>
      </c>
      <c r="F9452" s="107" t="str">
        <f aca="false">IF($C9452="","",$D9452*$E9452)</f>
        <v/>
      </c>
      <c r="G9452" s="107" t="str">
        <f aca="false">IF($C9452="","",$D9452*IFERROR(INDEX('تحليل التكلفة والسعر'!$C$2:$C$700,MATCH($C9452,'تحليل التكلفة والسعر'!$B$2:$B$700,0)),0))</f>
        <v/>
      </c>
    </row>
    <row r="9453" customFormat="false" ht="15" hidden="false" customHeight="false" outlineLevel="0" collapsed="false">
      <c r="A9453" s="103"/>
      <c r="B9453" s="104"/>
      <c r="C9453" s="104"/>
      <c r="E9453" s="107" t="str">
        <f aca="false">IF($C9453="","",IFERROR(INDEX(المنيو!$C$2:$C$500,MATCH($C9453,المنيو!$B$2:$B$500,0)),0))</f>
        <v/>
      </c>
      <c r="F9453" s="107" t="str">
        <f aca="false">IF($C9453="","",$D9453*$E9453)</f>
        <v/>
      </c>
      <c r="G9453" s="107" t="str">
        <f aca="false">IF($C9453="","",$D9453*IFERROR(INDEX('تحليل التكلفة والسعر'!$C$2:$C$700,MATCH($C9453,'تحليل التكلفة والسعر'!$B$2:$B$700,0)),0))</f>
        <v/>
      </c>
    </row>
    <row r="9454" customFormat="false" ht="15" hidden="false" customHeight="false" outlineLevel="0" collapsed="false">
      <c r="A9454" s="103"/>
      <c r="B9454" s="104"/>
      <c r="C9454" s="104"/>
      <c r="E9454" s="107" t="str">
        <f aca="false">IF($C9454="","",IFERROR(INDEX(المنيو!$C$2:$C$500,MATCH($C9454,المنيو!$B$2:$B$500,0)),0))</f>
        <v/>
      </c>
      <c r="F9454" s="107" t="str">
        <f aca="false">IF($C9454="","",$D9454*$E9454)</f>
        <v/>
      </c>
      <c r="G9454" s="107" t="str">
        <f aca="false">IF($C9454="","",$D9454*IFERROR(INDEX('تحليل التكلفة والسعر'!$C$2:$C$700,MATCH($C9454,'تحليل التكلفة والسعر'!$B$2:$B$700,0)),0))</f>
        <v/>
      </c>
    </row>
    <row r="9455" customFormat="false" ht="15" hidden="false" customHeight="false" outlineLevel="0" collapsed="false">
      <c r="A9455" s="103"/>
      <c r="B9455" s="104"/>
      <c r="C9455" s="104"/>
      <c r="E9455" s="107" t="str">
        <f aca="false">IF($C9455="","",IFERROR(INDEX(المنيو!$C$2:$C$500,MATCH($C9455,المنيو!$B$2:$B$500,0)),0))</f>
        <v/>
      </c>
      <c r="F9455" s="107" t="str">
        <f aca="false">IF($C9455="","",$D9455*$E9455)</f>
        <v/>
      </c>
      <c r="G9455" s="107" t="str">
        <f aca="false">IF($C9455="","",$D9455*IFERROR(INDEX('تحليل التكلفة والسعر'!$C$2:$C$700,MATCH($C9455,'تحليل التكلفة والسعر'!$B$2:$B$700,0)),0))</f>
        <v/>
      </c>
    </row>
    <row r="9456" customFormat="false" ht="15" hidden="false" customHeight="false" outlineLevel="0" collapsed="false">
      <c r="A9456" s="103"/>
      <c r="B9456" s="104"/>
      <c r="C9456" s="104"/>
      <c r="E9456" s="107" t="str">
        <f aca="false">IF($C9456="","",IFERROR(INDEX(المنيو!$C$2:$C$500,MATCH($C9456,المنيو!$B$2:$B$500,0)),0))</f>
        <v/>
      </c>
      <c r="F9456" s="107" t="str">
        <f aca="false">IF($C9456="","",$D9456*$E9456)</f>
        <v/>
      </c>
      <c r="G9456" s="107" t="str">
        <f aca="false">IF($C9456="","",$D9456*IFERROR(INDEX('تحليل التكلفة والسعر'!$C$2:$C$700,MATCH($C9456,'تحليل التكلفة والسعر'!$B$2:$B$700,0)),0))</f>
        <v/>
      </c>
    </row>
    <row r="9457" customFormat="false" ht="15" hidden="false" customHeight="false" outlineLevel="0" collapsed="false">
      <c r="A9457" s="103"/>
      <c r="B9457" s="104"/>
      <c r="C9457" s="104"/>
      <c r="E9457" s="107" t="str">
        <f aca="false">IF($C9457="","",IFERROR(INDEX(المنيو!$C$2:$C$500,MATCH($C9457,المنيو!$B$2:$B$500,0)),0))</f>
        <v/>
      </c>
      <c r="F9457" s="107" t="str">
        <f aca="false">IF($C9457="","",$D9457*$E9457)</f>
        <v/>
      </c>
      <c r="G9457" s="107" t="str">
        <f aca="false">IF($C9457="","",$D9457*IFERROR(INDEX('تحليل التكلفة والسعر'!$C$2:$C$700,MATCH($C9457,'تحليل التكلفة والسعر'!$B$2:$B$700,0)),0))</f>
        <v/>
      </c>
    </row>
    <row r="9458" customFormat="false" ht="15" hidden="false" customHeight="false" outlineLevel="0" collapsed="false">
      <c r="A9458" s="103"/>
      <c r="B9458" s="104"/>
      <c r="C9458" s="104"/>
      <c r="E9458" s="107" t="str">
        <f aca="false">IF($C9458="","",IFERROR(INDEX(المنيو!$C$2:$C$500,MATCH($C9458,المنيو!$B$2:$B$500,0)),0))</f>
        <v/>
      </c>
      <c r="F9458" s="107" t="str">
        <f aca="false">IF($C9458="","",$D9458*$E9458)</f>
        <v/>
      </c>
      <c r="G9458" s="107" t="str">
        <f aca="false">IF($C9458="","",$D9458*IFERROR(INDEX('تحليل التكلفة والسعر'!$C$2:$C$700,MATCH($C9458,'تحليل التكلفة والسعر'!$B$2:$B$700,0)),0))</f>
        <v/>
      </c>
    </row>
    <row r="9459" customFormat="false" ht="15" hidden="false" customHeight="false" outlineLevel="0" collapsed="false">
      <c r="A9459" s="103"/>
      <c r="B9459" s="104"/>
      <c r="C9459" s="104"/>
      <c r="E9459" s="107" t="str">
        <f aca="false">IF($C9459="","",IFERROR(INDEX(المنيو!$C$2:$C$500,MATCH($C9459,المنيو!$B$2:$B$500,0)),0))</f>
        <v/>
      </c>
      <c r="F9459" s="107" t="str">
        <f aca="false">IF($C9459="","",$D9459*$E9459)</f>
        <v/>
      </c>
      <c r="G9459" s="107" t="str">
        <f aca="false">IF($C9459="","",$D9459*IFERROR(INDEX('تحليل التكلفة والسعر'!$C$2:$C$700,MATCH($C9459,'تحليل التكلفة والسعر'!$B$2:$B$700,0)),0))</f>
        <v/>
      </c>
    </row>
    <row r="9460" customFormat="false" ht="15" hidden="false" customHeight="false" outlineLevel="0" collapsed="false">
      <c r="A9460" s="103"/>
      <c r="B9460" s="104"/>
      <c r="C9460" s="104"/>
      <c r="E9460" s="107" t="str">
        <f aca="false">IF($C9460="","",IFERROR(INDEX(المنيو!$C$2:$C$500,MATCH($C9460,المنيو!$B$2:$B$500,0)),0))</f>
        <v/>
      </c>
      <c r="F9460" s="107" t="str">
        <f aca="false">IF($C9460="","",$D9460*$E9460)</f>
        <v/>
      </c>
      <c r="G9460" s="107" t="str">
        <f aca="false">IF($C9460="","",$D9460*IFERROR(INDEX('تحليل التكلفة والسعر'!$C$2:$C$700,MATCH($C9460,'تحليل التكلفة والسعر'!$B$2:$B$700,0)),0))</f>
        <v/>
      </c>
    </row>
    <row r="9461" customFormat="false" ht="15" hidden="false" customHeight="false" outlineLevel="0" collapsed="false">
      <c r="A9461" s="103"/>
      <c r="B9461" s="104"/>
      <c r="C9461" s="104"/>
      <c r="E9461" s="107" t="str">
        <f aca="false">IF($C9461="","",IFERROR(INDEX(المنيو!$C$2:$C$500,MATCH($C9461,المنيو!$B$2:$B$500,0)),0))</f>
        <v/>
      </c>
      <c r="F9461" s="107" t="str">
        <f aca="false">IF($C9461="","",$D9461*$E9461)</f>
        <v/>
      </c>
      <c r="G9461" s="107" t="str">
        <f aca="false">IF($C9461="","",$D9461*IFERROR(INDEX('تحليل التكلفة والسعر'!$C$2:$C$700,MATCH($C9461,'تحليل التكلفة والسعر'!$B$2:$B$700,0)),0))</f>
        <v/>
      </c>
    </row>
    <row r="9462" customFormat="false" ht="15" hidden="false" customHeight="false" outlineLevel="0" collapsed="false">
      <c r="A9462" s="103"/>
      <c r="B9462" s="104"/>
      <c r="C9462" s="104"/>
      <c r="E9462" s="107" t="str">
        <f aca="false">IF($C9462="","",IFERROR(INDEX(المنيو!$C$2:$C$500,MATCH($C9462,المنيو!$B$2:$B$500,0)),0))</f>
        <v/>
      </c>
      <c r="F9462" s="107" t="str">
        <f aca="false">IF($C9462="","",$D9462*$E9462)</f>
        <v/>
      </c>
      <c r="G9462" s="107" t="str">
        <f aca="false">IF($C9462="","",$D9462*IFERROR(INDEX('تحليل التكلفة والسعر'!$C$2:$C$700,MATCH($C9462,'تحليل التكلفة والسعر'!$B$2:$B$700,0)),0))</f>
        <v/>
      </c>
    </row>
    <row r="9463" customFormat="false" ht="15" hidden="false" customHeight="false" outlineLevel="0" collapsed="false">
      <c r="A9463" s="103"/>
      <c r="B9463" s="104"/>
      <c r="C9463" s="104"/>
      <c r="E9463" s="107" t="str">
        <f aca="false">IF($C9463="","",IFERROR(INDEX(المنيو!$C$2:$C$500,MATCH($C9463,المنيو!$B$2:$B$500,0)),0))</f>
        <v/>
      </c>
      <c r="F9463" s="107" t="str">
        <f aca="false">IF($C9463="","",$D9463*$E9463)</f>
        <v/>
      </c>
      <c r="G9463" s="107" t="str">
        <f aca="false">IF($C9463="","",$D9463*IFERROR(INDEX('تحليل التكلفة والسعر'!$C$2:$C$700,MATCH($C9463,'تحليل التكلفة والسعر'!$B$2:$B$700,0)),0))</f>
        <v/>
      </c>
    </row>
    <row r="9464" customFormat="false" ht="15" hidden="false" customHeight="false" outlineLevel="0" collapsed="false">
      <c r="A9464" s="103"/>
      <c r="B9464" s="104"/>
      <c r="C9464" s="104"/>
      <c r="E9464" s="107" t="str">
        <f aca="false">IF($C9464="","",IFERROR(INDEX(المنيو!$C$2:$C$500,MATCH($C9464,المنيو!$B$2:$B$500,0)),0))</f>
        <v/>
      </c>
      <c r="F9464" s="107" t="str">
        <f aca="false">IF($C9464="","",$D9464*$E9464)</f>
        <v/>
      </c>
      <c r="G9464" s="107" t="str">
        <f aca="false">IF($C9464="","",$D9464*IFERROR(INDEX('تحليل التكلفة والسعر'!$C$2:$C$700,MATCH($C9464,'تحليل التكلفة والسعر'!$B$2:$B$700,0)),0))</f>
        <v/>
      </c>
    </row>
    <row r="9465" customFormat="false" ht="15" hidden="false" customHeight="false" outlineLevel="0" collapsed="false">
      <c r="A9465" s="103"/>
      <c r="B9465" s="104"/>
      <c r="C9465" s="104"/>
      <c r="E9465" s="107" t="str">
        <f aca="false">IF($C9465="","",IFERROR(INDEX(المنيو!$C$2:$C$500,MATCH($C9465,المنيو!$B$2:$B$500,0)),0))</f>
        <v/>
      </c>
      <c r="F9465" s="107" t="str">
        <f aca="false">IF($C9465="","",$D9465*$E9465)</f>
        <v/>
      </c>
      <c r="G9465" s="107" t="str">
        <f aca="false">IF($C9465="","",$D9465*IFERROR(INDEX('تحليل التكلفة والسعر'!$C$2:$C$700,MATCH($C9465,'تحليل التكلفة والسعر'!$B$2:$B$700,0)),0))</f>
        <v/>
      </c>
    </row>
    <row r="9466" customFormat="false" ht="15" hidden="false" customHeight="false" outlineLevel="0" collapsed="false">
      <c r="A9466" s="103"/>
      <c r="B9466" s="104"/>
      <c r="C9466" s="104"/>
      <c r="E9466" s="107" t="str">
        <f aca="false">IF($C9466="","",IFERROR(INDEX(المنيو!$C$2:$C$500,MATCH($C9466,المنيو!$B$2:$B$500,0)),0))</f>
        <v/>
      </c>
      <c r="F9466" s="107" t="str">
        <f aca="false">IF($C9466="","",$D9466*$E9466)</f>
        <v/>
      </c>
      <c r="G9466" s="107" t="str">
        <f aca="false">IF($C9466="","",$D9466*IFERROR(INDEX('تحليل التكلفة والسعر'!$C$2:$C$700,MATCH($C9466,'تحليل التكلفة والسعر'!$B$2:$B$700,0)),0))</f>
        <v/>
      </c>
    </row>
    <row r="9467" customFormat="false" ht="15" hidden="false" customHeight="false" outlineLevel="0" collapsed="false">
      <c r="A9467" s="103"/>
      <c r="B9467" s="104"/>
      <c r="C9467" s="104"/>
      <c r="E9467" s="107" t="str">
        <f aca="false">IF($C9467="","",IFERROR(INDEX(المنيو!$C$2:$C$500,MATCH($C9467,المنيو!$B$2:$B$500,0)),0))</f>
        <v/>
      </c>
      <c r="F9467" s="107" t="str">
        <f aca="false">IF($C9467="","",$D9467*$E9467)</f>
        <v/>
      </c>
      <c r="G9467" s="107" t="str">
        <f aca="false">IF($C9467="","",$D9467*IFERROR(INDEX('تحليل التكلفة والسعر'!$C$2:$C$700,MATCH($C9467,'تحليل التكلفة والسعر'!$B$2:$B$700,0)),0))</f>
        <v/>
      </c>
    </row>
    <row r="9468" customFormat="false" ht="15" hidden="false" customHeight="false" outlineLevel="0" collapsed="false">
      <c r="A9468" s="103"/>
      <c r="B9468" s="104"/>
      <c r="C9468" s="104"/>
      <c r="E9468" s="107" t="str">
        <f aca="false">IF($C9468="","",IFERROR(INDEX(المنيو!$C$2:$C$500,MATCH($C9468,المنيو!$B$2:$B$500,0)),0))</f>
        <v/>
      </c>
      <c r="F9468" s="107" t="str">
        <f aca="false">IF($C9468="","",$D9468*$E9468)</f>
        <v/>
      </c>
      <c r="G9468" s="107" t="str">
        <f aca="false">IF($C9468="","",$D9468*IFERROR(INDEX('تحليل التكلفة والسعر'!$C$2:$C$700,MATCH($C9468,'تحليل التكلفة والسعر'!$B$2:$B$700,0)),0))</f>
        <v/>
      </c>
    </row>
    <row r="9469" customFormat="false" ht="15" hidden="false" customHeight="false" outlineLevel="0" collapsed="false">
      <c r="A9469" s="103"/>
      <c r="B9469" s="104"/>
      <c r="C9469" s="104"/>
      <c r="E9469" s="107" t="str">
        <f aca="false">IF($C9469="","",IFERROR(INDEX(المنيو!$C$2:$C$500,MATCH($C9469,المنيو!$B$2:$B$500,0)),0))</f>
        <v/>
      </c>
      <c r="F9469" s="107" t="str">
        <f aca="false">IF($C9469="","",$D9469*$E9469)</f>
        <v/>
      </c>
      <c r="G9469" s="107" t="str">
        <f aca="false">IF($C9469="","",$D9469*IFERROR(INDEX('تحليل التكلفة والسعر'!$C$2:$C$700,MATCH($C9469,'تحليل التكلفة والسعر'!$B$2:$B$700,0)),0))</f>
        <v/>
      </c>
    </row>
    <row r="9470" customFormat="false" ht="15" hidden="false" customHeight="false" outlineLevel="0" collapsed="false">
      <c r="A9470" s="103"/>
      <c r="B9470" s="104"/>
      <c r="C9470" s="104"/>
      <c r="E9470" s="107" t="str">
        <f aca="false">IF($C9470="","",IFERROR(INDEX(المنيو!$C$2:$C$500,MATCH($C9470,المنيو!$B$2:$B$500,0)),0))</f>
        <v/>
      </c>
      <c r="F9470" s="107" t="str">
        <f aca="false">IF($C9470="","",$D9470*$E9470)</f>
        <v/>
      </c>
      <c r="G9470" s="107" t="str">
        <f aca="false">IF($C9470="","",$D9470*IFERROR(INDEX('تحليل التكلفة والسعر'!$C$2:$C$700,MATCH($C9470,'تحليل التكلفة والسعر'!$B$2:$B$700,0)),0))</f>
        <v/>
      </c>
    </row>
    <row r="9471" customFormat="false" ht="15" hidden="false" customHeight="false" outlineLevel="0" collapsed="false">
      <c r="A9471" s="103"/>
      <c r="B9471" s="104"/>
      <c r="C9471" s="104"/>
      <c r="E9471" s="107" t="str">
        <f aca="false">IF($C9471="","",IFERROR(INDEX(المنيو!$C$2:$C$500,MATCH($C9471,المنيو!$B$2:$B$500,0)),0))</f>
        <v/>
      </c>
      <c r="F9471" s="107" t="str">
        <f aca="false">IF($C9471="","",$D9471*$E9471)</f>
        <v/>
      </c>
      <c r="G9471" s="107" t="str">
        <f aca="false">IF($C9471="","",$D9471*IFERROR(INDEX('تحليل التكلفة والسعر'!$C$2:$C$700,MATCH($C9471,'تحليل التكلفة والسعر'!$B$2:$B$700,0)),0))</f>
        <v/>
      </c>
    </row>
    <row r="9472" customFormat="false" ht="15" hidden="false" customHeight="false" outlineLevel="0" collapsed="false">
      <c r="A9472" s="103"/>
      <c r="B9472" s="104"/>
      <c r="C9472" s="104"/>
      <c r="E9472" s="107" t="str">
        <f aca="false">IF($C9472="","",IFERROR(INDEX(المنيو!$C$2:$C$500,MATCH($C9472,المنيو!$B$2:$B$500,0)),0))</f>
        <v/>
      </c>
      <c r="F9472" s="107" t="str">
        <f aca="false">IF($C9472="","",$D9472*$E9472)</f>
        <v/>
      </c>
      <c r="G9472" s="107" t="str">
        <f aca="false">IF($C9472="","",$D9472*IFERROR(INDEX('تحليل التكلفة والسعر'!$C$2:$C$700,MATCH($C9472,'تحليل التكلفة والسعر'!$B$2:$B$700,0)),0))</f>
        <v/>
      </c>
    </row>
    <row r="9473" customFormat="false" ht="15" hidden="false" customHeight="false" outlineLevel="0" collapsed="false">
      <c r="A9473" s="103"/>
      <c r="B9473" s="104"/>
      <c r="C9473" s="104"/>
      <c r="E9473" s="107" t="str">
        <f aca="false">IF($C9473="","",IFERROR(INDEX(المنيو!$C$2:$C$500,MATCH($C9473,المنيو!$B$2:$B$500,0)),0))</f>
        <v/>
      </c>
      <c r="F9473" s="107" t="str">
        <f aca="false">IF($C9473="","",$D9473*$E9473)</f>
        <v/>
      </c>
      <c r="G9473" s="107" t="str">
        <f aca="false">IF($C9473="","",$D9473*IFERROR(INDEX('تحليل التكلفة والسعر'!$C$2:$C$700,MATCH($C9473,'تحليل التكلفة والسعر'!$B$2:$B$700,0)),0))</f>
        <v/>
      </c>
    </row>
    <row r="9474" customFormat="false" ht="15" hidden="false" customHeight="false" outlineLevel="0" collapsed="false">
      <c r="A9474" s="103"/>
      <c r="B9474" s="104"/>
      <c r="C9474" s="104"/>
      <c r="E9474" s="107" t="str">
        <f aca="false">IF($C9474="","",IFERROR(INDEX(المنيو!$C$2:$C$500,MATCH($C9474,المنيو!$B$2:$B$500,0)),0))</f>
        <v/>
      </c>
      <c r="F9474" s="107" t="str">
        <f aca="false">IF($C9474="","",$D9474*$E9474)</f>
        <v/>
      </c>
      <c r="G9474" s="107" t="str">
        <f aca="false">IF($C9474="","",$D9474*IFERROR(INDEX('تحليل التكلفة والسعر'!$C$2:$C$700,MATCH($C9474,'تحليل التكلفة والسعر'!$B$2:$B$700,0)),0))</f>
        <v/>
      </c>
    </row>
    <row r="9475" customFormat="false" ht="15" hidden="false" customHeight="false" outlineLevel="0" collapsed="false">
      <c r="A9475" s="103"/>
      <c r="B9475" s="104"/>
      <c r="C9475" s="104"/>
      <c r="E9475" s="107" t="str">
        <f aca="false">IF($C9475="","",IFERROR(INDEX(المنيو!$C$2:$C$500,MATCH($C9475,المنيو!$B$2:$B$500,0)),0))</f>
        <v/>
      </c>
      <c r="F9475" s="107" t="str">
        <f aca="false">IF($C9475="","",$D9475*$E9475)</f>
        <v/>
      </c>
      <c r="G9475" s="107" t="str">
        <f aca="false">IF($C9475="","",$D9475*IFERROR(INDEX('تحليل التكلفة والسعر'!$C$2:$C$700,MATCH($C9475,'تحليل التكلفة والسعر'!$B$2:$B$700,0)),0))</f>
        <v/>
      </c>
    </row>
    <row r="9476" customFormat="false" ht="15" hidden="false" customHeight="false" outlineLevel="0" collapsed="false">
      <c r="A9476" s="103"/>
      <c r="B9476" s="104"/>
      <c r="C9476" s="104"/>
      <c r="E9476" s="107" t="str">
        <f aca="false">IF($C9476="","",IFERROR(INDEX(المنيو!$C$2:$C$500,MATCH($C9476,المنيو!$B$2:$B$500,0)),0))</f>
        <v/>
      </c>
      <c r="F9476" s="107" t="str">
        <f aca="false">IF($C9476="","",$D9476*$E9476)</f>
        <v/>
      </c>
      <c r="G9476" s="107" t="str">
        <f aca="false">IF($C9476="","",$D9476*IFERROR(INDEX('تحليل التكلفة والسعر'!$C$2:$C$700,MATCH($C9476,'تحليل التكلفة والسعر'!$B$2:$B$700,0)),0))</f>
        <v/>
      </c>
    </row>
    <row r="9477" customFormat="false" ht="15" hidden="false" customHeight="false" outlineLevel="0" collapsed="false">
      <c r="A9477" s="103"/>
      <c r="B9477" s="104"/>
      <c r="C9477" s="104"/>
      <c r="E9477" s="107" t="str">
        <f aca="false">IF($C9477="","",IFERROR(INDEX(المنيو!$C$2:$C$500,MATCH($C9477,المنيو!$B$2:$B$500,0)),0))</f>
        <v/>
      </c>
      <c r="F9477" s="107" t="str">
        <f aca="false">IF($C9477="","",$D9477*$E9477)</f>
        <v/>
      </c>
      <c r="G9477" s="107" t="str">
        <f aca="false">IF($C9477="","",$D9477*IFERROR(INDEX('تحليل التكلفة والسعر'!$C$2:$C$700,MATCH($C9477,'تحليل التكلفة والسعر'!$B$2:$B$700,0)),0))</f>
        <v/>
      </c>
    </row>
    <row r="9478" customFormat="false" ht="15" hidden="false" customHeight="false" outlineLevel="0" collapsed="false">
      <c r="A9478" s="103"/>
      <c r="B9478" s="104"/>
      <c r="C9478" s="104"/>
      <c r="E9478" s="107" t="str">
        <f aca="false">IF($C9478="","",IFERROR(INDEX(المنيو!$C$2:$C$500,MATCH($C9478,المنيو!$B$2:$B$500,0)),0))</f>
        <v/>
      </c>
      <c r="F9478" s="107" t="str">
        <f aca="false">IF($C9478="","",$D9478*$E9478)</f>
        <v/>
      </c>
      <c r="G9478" s="107" t="str">
        <f aca="false">IF($C9478="","",$D9478*IFERROR(INDEX('تحليل التكلفة والسعر'!$C$2:$C$700,MATCH($C9478,'تحليل التكلفة والسعر'!$B$2:$B$700,0)),0))</f>
        <v/>
      </c>
    </row>
    <row r="9479" customFormat="false" ht="15" hidden="false" customHeight="false" outlineLevel="0" collapsed="false">
      <c r="A9479" s="103"/>
      <c r="B9479" s="104"/>
      <c r="C9479" s="104"/>
      <c r="E9479" s="107" t="str">
        <f aca="false">IF($C9479="","",IFERROR(INDEX(المنيو!$C$2:$C$500,MATCH($C9479,المنيو!$B$2:$B$500,0)),0))</f>
        <v/>
      </c>
      <c r="F9479" s="107" t="str">
        <f aca="false">IF($C9479="","",$D9479*$E9479)</f>
        <v/>
      </c>
      <c r="G9479" s="107" t="str">
        <f aca="false">IF($C9479="","",$D9479*IFERROR(INDEX('تحليل التكلفة والسعر'!$C$2:$C$700,MATCH($C9479,'تحليل التكلفة والسعر'!$B$2:$B$700,0)),0))</f>
        <v/>
      </c>
    </row>
    <row r="9480" customFormat="false" ht="15" hidden="false" customHeight="false" outlineLevel="0" collapsed="false">
      <c r="A9480" s="103"/>
      <c r="B9480" s="104"/>
      <c r="C9480" s="104"/>
      <c r="E9480" s="107" t="str">
        <f aca="false">IF($C9480="","",IFERROR(INDEX(المنيو!$C$2:$C$500,MATCH($C9480,المنيو!$B$2:$B$500,0)),0))</f>
        <v/>
      </c>
      <c r="F9480" s="107" t="str">
        <f aca="false">IF($C9480="","",$D9480*$E9480)</f>
        <v/>
      </c>
      <c r="G9480" s="107" t="str">
        <f aca="false">IF($C9480="","",$D9480*IFERROR(INDEX('تحليل التكلفة والسعر'!$C$2:$C$700,MATCH($C9480,'تحليل التكلفة والسعر'!$B$2:$B$700,0)),0))</f>
        <v/>
      </c>
    </row>
    <row r="9481" customFormat="false" ht="15" hidden="false" customHeight="false" outlineLevel="0" collapsed="false">
      <c r="A9481" s="103"/>
      <c r="B9481" s="104"/>
      <c r="C9481" s="104"/>
      <c r="E9481" s="107" t="str">
        <f aca="false">IF($C9481="","",IFERROR(INDEX(المنيو!$C$2:$C$500,MATCH($C9481,المنيو!$B$2:$B$500,0)),0))</f>
        <v/>
      </c>
      <c r="F9481" s="107" t="str">
        <f aca="false">IF($C9481="","",$D9481*$E9481)</f>
        <v/>
      </c>
      <c r="G9481" s="107" t="str">
        <f aca="false">IF($C9481="","",$D9481*IFERROR(INDEX('تحليل التكلفة والسعر'!$C$2:$C$700,MATCH($C9481,'تحليل التكلفة والسعر'!$B$2:$B$700,0)),0))</f>
        <v/>
      </c>
    </row>
    <row r="9482" customFormat="false" ht="15" hidden="false" customHeight="false" outlineLevel="0" collapsed="false">
      <c r="A9482" s="103"/>
      <c r="B9482" s="104"/>
      <c r="C9482" s="104"/>
      <c r="E9482" s="107" t="str">
        <f aca="false">IF($C9482="","",IFERROR(INDEX(المنيو!$C$2:$C$500,MATCH($C9482,المنيو!$B$2:$B$500,0)),0))</f>
        <v/>
      </c>
      <c r="F9482" s="107" t="str">
        <f aca="false">IF($C9482="","",$D9482*$E9482)</f>
        <v/>
      </c>
      <c r="G9482" s="107" t="str">
        <f aca="false">IF($C9482="","",$D9482*IFERROR(INDEX('تحليل التكلفة والسعر'!$C$2:$C$700,MATCH($C9482,'تحليل التكلفة والسعر'!$B$2:$B$700,0)),0))</f>
        <v/>
      </c>
    </row>
    <row r="9483" customFormat="false" ht="15" hidden="false" customHeight="false" outlineLevel="0" collapsed="false">
      <c r="A9483" s="103"/>
      <c r="B9483" s="104"/>
      <c r="C9483" s="104"/>
      <c r="E9483" s="107" t="str">
        <f aca="false">IF($C9483="","",IFERROR(INDEX(المنيو!$C$2:$C$500,MATCH($C9483,المنيو!$B$2:$B$500,0)),0))</f>
        <v/>
      </c>
      <c r="F9483" s="107" t="str">
        <f aca="false">IF($C9483="","",$D9483*$E9483)</f>
        <v/>
      </c>
      <c r="G9483" s="107" t="str">
        <f aca="false">IF($C9483="","",$D9483*IFERROR(INDEX('تحليل التكلفة والسعر'!$C$2:$C$700,MATCH($C9483,'تحليل التكلفة والسعر'!$B$2:$B$700,0)),0))</f>
        <v/>
      </c>
    </row>
    <row r="9484" customFormat="false" ht="15" hidden="false" customHeight="false" outlineLevel="0" collapsed="false">
      <c r="A9484" s="103"/>
      <c r="B9484" s="104"/>
      <c r="C9484" s="104"/>
      <c r="E9484" s="107" t="str">
        <f aca="false">IF($C9484="","",IFERROR(INDEX(المنيو!$C$2:$C$500,MATCH($C9484,المنيو!$B$2:$B$500,0)),0))</f>
        <v/>
      </c>
      <c r="F9484" s="107" t="str">
        <f aca="false">IF($C9484="","",$D9484*$E9484)</f>
        <v/>
      </c>
      <c r="G9484" s="107" t="str">
        <f aca="false">IF($C9484="","",$D9484*IFERROR(INDEX('تحليل التكلفة والسعر'!$C$2:$C$700,MATCH($C9484,'تحليل التكلفة والسعر'!$B$2:$B$700,0)),0))</f>
        <v/>
      </c>
    </row>
    <row r="9485" customFormat="false" ht="15" hidden="false" customHeight="false" outlineLevel="0" collapsed="false">
      <c r="A9485" s="103"/>
      <c r="B9485" s="104"/>
      <c r="C9485" s="104"/>
      <c r="E9485" s="107" t="str">
        <f aca="false">IF($C9485="","",IFERROR(INDEX(المنيو!$C$2:$C$500,MATCH($C9485,المنيو!$B$2:$B$500,0)),0))</f>
        <v/>
      </c>
      <c r="F9485" s="107" t="str">
        <f aca="false">IF($C9485="","",$D9485*$E9485)</f>
        <v/>
      </c>
      <c r="G9485" s="107" t="str">
        <f aca="false">IF($C9485="","",$D9485*IFERROR(INDEX('تحليل التكلفة والسعر'!$C$2:$C$700,MATCH($C9485,'تحليل التكلفة والسعر'!$B$2:$B$700,0)),0))</f>
        <v/>
      </c>
    </row>
    <row r="9486" customFormat="false" ht="15" hidden="false" customHeight="false" outlineLevel="0" collapsed="false">
      <c r="A9486" s="103"/>
      <c r="B9486" s="104"/>
      <c r="C9486" s="104"/>
      <c r="E9486" s="107" t="str">
        <f aca="false">IF($C9486="","",IFERROR(INDEX(المنيو!$C$2:$C$500,MATCH($C9486,المنيو!$B$2:$B$500,0)),0))</f>
        <v/>
      </c>
      <c r="F9486" s="107" t="str">
        <f aca="false">IF($C9486="","",$D9486*$E9486)</f>
        <v/>
      </c>
      <c r="G9486" s="107" t="str">
        <f aca="false">IF($C9486="","",$D9486*IFERROR(INDEX('تحليل التكلفة والسعر'!$C$2:$C$700,MATCH($C9486,'تحليل التكلفة والسعر'!$B$2:$B$700,0)),0))</f>
        <v/>
      </c>
    </row>
    <row r="9487" customFormat="false" ht="15" hidden="false" customHeight="false" outlineLevel="0" collapsed="false">
      <c r="A9487" s="103"/>
      <c r="B9487" s="104"/>
      <c r="C9487" s="104"/>
      <c r="E9487" s="107" t="str">
        <f aca="false">IF($C9487="","",IFERROR(INDEX(المنيو!$C$2:$C$500,MATCH($C9487,المنيو!$B$2:$B$500,0)),0))</f>
        <v/>
      </c>
      <c r="F9487" s="107" t="str">
        <f aca="false">IF($C9487="","",$D9487*$E9487)</f>
        <v/>
      </c>
      <c r="G9487" s="107" t="str">
        <f aca="false">IF($C9487="","",$D9487*IFERROR(INDEX('تحليل التكلفة والسعر'!$C$2:$C$700,MATCH($C9487,'تحليل التكلفة والسعر'!$B$2:$B$700,0)),0))</f>
        <v/>
      </c>
    </row>
    <row r="9488" customFormat="false" ht="15" hidden="false" customHeight="false" outlineLevel="0" collapsed="false">
      <c r="A9488" s="103"/>
      <c r="B9488" s="104"/>
      <c r="C9488" s="104"/>
      <c r="E9488" s="107" t="str">
        <f aca="false">IF($C9488="","",IFERROR(INDEX(المنيو!$C$2:$C$500,MATCH($C9488,المنيو!$B$2:$B$500,0)),0))</f>
        <v/>
      </c>
      <c r="F9488" s="107" t="str">
        <f aca="false">IF($C9488="","",$D9488*$E9488)</f>
        <v/>
      </c>
      <c r="G9488" s="107" t="str">
        <f aca="false">IF($C9488="","",$D9488*IFERROR(INDEX('تحليل التكلفة والسعر'!$C$2:$C$700,MATCH($C9488,'تحليل التكلفة والسعر'!$B$2:$B$700,0)),0))</f>
        <v/>
      </c>
    </row>
    <row r="9489" customFormat="false" ht="15" hidden="false" customHeight="false" outlineLevel="0" collapsed="false">
      <c r="A9489" s="103"/>
      <c r="B9489" s="104"/>
      <c r="C9489" s="104"/>
      <c r="E9489" s="107" t="str">
        <f aca="false">IF($C9489="","",IFERROR(INDEX(المنيو!$C$2:$C$500,MATCH($C9489,المنيو!$B$2:$B$500,0)),0))</f>
        <v/>
      </c>
      <c r="F9489" s="107" t="str">
        <f aca="false">IF($C9489="","",$D9489*$E9489)</f>
        <v/>
      </c>
      <c r="G9489" s="107" t="str">
        <f aca="false">IF($C9489="","",$D9489*IFERROR(INDEX('تحليل التكلفة والسعر'!$C$2:$C$700,MATCH($C9489,'تحليل التكلفة والسعر'!$B$2:$B$700,0)),0))</f>
        <v/>
      </c>
    </row>
    <row r="9490" customFormat="false" ht="15" hidden="false" customHeight="false" outlineLevel="0" collapsed="false">
      <c r="A9490" s="103"/>
      <c r="B9490" s="104"/>
      <c r="C9490" s="104"/>
      <c r="E9490" s="107" t="str">
        <f aca="false">IF($C9490="","",IFERROR(INDEX(المنيو!$C$2:$C$500,MATCH($C9490,المنيو!$B$2:$B$500,0)),0))</f>
        <v/>
      </c>
      <c r="F9490" s="107" t="str">
        <f aca="false">IF($C9490="","",$D9490*$E9490)</f>
        <v/>
      </c>
      <c r="G9490" s="107" t="str">
        <f aca="false">IF($C9490="","",$D9490*IFERROR(INDEX('تحليل التكلفة والسعر'!$C$2:$C$700,MATCH($C9490,'تحليل التكلفة والسعر'!$B$2:$B$700,0)),0))</f>
        <v/>
      </c>
    </row>
    <row r="9491" customFormat="false" ht="15" hidden="false" customHeight="false" outlineLevel="0" collapsed="false">
      <c r="A9491" s="103"/>
      <c r="B9491" s="104"/>
      <c r="C9491" s="104"/>
      <c r="E9491" s="107" t="str">
        <f aca="false">IF($C9491="","",IFERROR(INDEX(المنيو!$C$2:$C$500,MATCH($C9491,المنيو!$B$2:$B$500,0)),0))</f>
        <v/>
      </c>
      <c r="F9491" s="107" t="str">
        <f aca="false">IF($C9491="","",$D9491*$E9491)</f>
        <v/>
      </c>
      <c r="G9491" s="107" t="str">
        <f aca="false">IF($C9491="","",$D9491*IFERROR(INDEX('تحليل التكلفة والسعر'!$C$2:$C$700,MATCH($C9491,'تحليل التكلفة والسعر'!$B$2:$B$700,0)),0))</f>
        <v/>
      </c>
    </row>
    <row r="9492" customFormat="false" ht="15" hidden="false" customHeight="false" outlineLevel="0" collapsed="false">
      <c r="A9492" s="103"/>
      <c r="B9492" s="104"/>
      <c r="C9492" s="104"/>
      <c r="E9492" s="107" t="str">
        <f aca="false">IF($C9492="","",IFERROR(INDEX(المنيو!$C$2:$C$500,MATCH($C9492,المنيو!$B$2:$B$500,0)),0))</f>
        <v/>
      </c>
      <c r="F9492" s="107" t="str">
        <f aca="false">IF($C9492="","",$D9492*$E9492)</f>
        <v/>
      </c>
      <c r="G9492" s="107" t="str">
        <f aca="false">IF($C9492="","",$D9492*IFERROR(INDEX('تحليل التكلفة والسعر'!$C$2:$C$700,MATCH($C9492,'تحليل التكلفة والسعر'!$B$2:$B$700,0)),0))</f>
        <v/>
      </c>
    </row>
    <row r="9493" customFormat="false" ht="15" hidden="false" customHeight="false" outlineLevel="0" collapsed="false">
      <c r="A9493" s="103"/>
      <c r="B9493" s="104"/>
      <c r="C9493" s="104"/>
      <c r="E9493" s="107" t="str">
        <f aca="false">IF($C9493="","",IFERROR(INDEX(المنيو!$C$2:$C$500,MATCH($C9493,المنيو!$B$2:$B$500,0)),0))</f>
        <v/>
      </c>
      <c r="F9493" s="107" t="str">
        <f aca="false">IF($C9493="","",$D9493*$E9493)</f>
        <v/>
      </c>
      <c r="G9493" s="107" t="str">
        <f aca="false">IF($C9493="","",$D9493*IFERROR(INDEX('تحليل التكلفة والسعر'!$C$2:$C$700,MATCH($C9493,'تحليل التكلفة والسعر'!$B$2:$B$700,0)),0))</f>
        <v/>
      </c>
    </row>
    <row r="9494" customFormat="false" ht="15" hidden="false" customHeight="false" outlineLevel="0" collapsed="false">
      <c r="A9494" s="103"/>
      <c r="B9494" s="104"/>
      <c r="C9494" s="104"/>
      <c r="E9494" s="107" t="str">
        <f aca="false">IF($C9494="","",IFERROR(INDEX(المنيو!$C$2:$C$500,MATCH($C9494,المنيو!$B$2:$B$500,0)),0))</f>
        <v/>
      </c>
      <c r="F9494" s="107" t="str">
        <f aca="false">IF($C9494="","",$D9494*$E9494)</f>
        <v/>
      </c>
      <c r="G9494" s="107" t="str">
        <f aca="false">IF($C9494="","",$D9494*IFERROR(INDEX('تحليل التكلفة والسعر'!$C$2:$C$700,MATCH($C9494,'تحليل التكلفة والسعر'!$B$2:$B$700,0)),0))</f>
        <v/>
      </c>
    </row>
    <row r="9495" customFormat="false" ht="15" hidden="false" customHeight="false" outlineLevel="0" collapsed="false">
      <c r="A9495" s="103"/>
      <c r="B9495" s="104"/>
      <c r="C9495" s="104"/>
      <c r="E9495" s="107" t="str">
        <f aca="false">IF($C9495="","",IFERROR(INDEX(المنيو!$C$2:$C$500,MATCH($C9495,المنيو!$B$2:$B$500,0)),0))</f>
        <v/>
      </c>
      <c r="F9495" s="107" t="str">
        <f aca="false">IF($C9495="","",$D9495*$E9495)</f>
        <v/>
      </c>
      <c r="G9495" s="107" t="str">
        <f aca="false">IF($C9495="","",$D9495*IFERROR(INDEX('تحليل التكلفة والسعر'!$C$2:$C$700,MATCH($C9495,'تحليل التكلفة والسعر'!$B$2:$B$700,0)),0))</f>
        <v/>
      </c>
    </row>
    <row r="9496" customFormat="false" ht="15" hidden="false" customHeight="false" outlineLevel="0" collapsed="false">
      <c r="A9496" s="103"/>
      <c r="B9496" s="104"/>
      <c r="C9496" s="104"/>
      <c r="E9496" s="107" t="str">
        <f aca="false">IF($C9496="","",IFERROR(INDEX(المنيو!$C$2:$C$500,MATCH($C9496,المنيو!$B$2:$B$500,0)),0))</f>
        <v/>
      </c>
      <c r="F9496" s="107" t="str">
        <f aca="false">IF($C9496="","",$D9496*$E9496)</f>
        <v/>
      </c>
      <c r="G9496" s="107" t="str">
        <f aca="false">IF($C9496="","",$D9496*IFERROR(INDEX('تحليل التكلفة والسعر'!$C$2:$C$700,MATCH($C9496,'تحليل التكلفة والسعر'!$B$2:$B$700,0)),0))</f>
        <v/>
      </c>
    </row>
    <row r="9497" customFormat="false" ht="15" hidden="false" customHeight="false" outlineLevel="0" collapsed="false">
      <c r="A9497" s="103"/>
      <c r="B9497" s="104"/>
      <c r="C9497" s="104"/>
      <c r="E9497" s="107" t="str">
        <f aca="false">IF($C9497="","",IFERROR(INDEX(المنيو!$C$2:$C$500,MATCH($C9497,المنيو!$B$2:$B$500,0)),0))</f>
        <v/>
      </c>
      <c r="F9497" s="107" t="str">
        <f aca="false">IF($C9497="","",$D9497*$E9497)</f>
        <v/>
      </c>
      <c r="G9497" s="107" t="str">
        <f aca="false">IF($C9497="","",$D9497*IFERROR(INDEX('تحليل التكلفة والسعر'!$C$2:$C$700,MATCH($C9497,'تحليل التكلفة والسعر'!$B$2:$B$700,0)),0))</f>
        <v/>
      </c>
    </row>
    <row r="9498" customFormat="false" ht="15" hidden="false" customHeight="false" outlineLevel="0" collapsed="false">
      <c r="A9498" s="103"/>
      <c r="B9498" s="104"/>
      <c r="C9498" s="104"/>
      <c r="E9498" s="107" t="str">
        <f aca="false">IF($C9498="","",IFERROR(INDEX(المنيو!$C$2:$C$500,MATCH($C9498,المنيو!$B$2:$B$500,0)),0))</f>
        <v/>
      </c>
      <c r="F9498" s="107" t="str">
        <f aca="false">IF($C9498="","",$D9498*$E9498)</f>
        <v/>
      </c>
      <c r="G9498" s="107" t="str">
        <f aca="false">IF($C9498="","",$D9498*IFERROR(INDEX('تحليل التكلفة والسعر'!$C$2:$C$700,MATCH($C9498,'تحليل التكلفة والسعر'!$B$2:$B$700,0)),0))</f>
        <v/>
      </c>
    </row>
    <row r="9499" customFormat="false" ht="15" hidden="false" customHeight="false" outlineLevel="0" collapsed="false">
      <c r="A9499" s="103"/>
      <c r="B9499" s="104"/>
      <c r="C9499" s="104"/>
      <c r="E9499" s="107" t="str">
        <f aca="false">IF($C9499="","",IFERROR(INDEX(المنيو!$C$2:$C$500,MATCH($C9499,المنيو!$B$2:$B$500,0)),0))</f>
        <v/>
      </c>
      <c r="F9499" s="107" t="str">
        <f aca="false">IF($C9499="","",$D9499*$E9499)</f>
        <v/>
      </c>
      <c r="G9499" s="107" t="str">
        <f aca="false">IF($C9499="","",$D9499*IFERROR(INDEX('تحليل التكلفة والسعر'!$C$2:$C$700,MATCH($C9499,'تحليل التكلفة والسعر'!$B$2:$B$700,0)),0))</f>
        <v/>
      </c>
    </row>
    <row r="9500" customFormat="false" ht="15" hidden="false" customHeight="false" outlineLevel="0" collapsed="false">
      <c r="A9500" s="103"/>
      <c r="B9500" s="104"/>
      <c r="C9500" s="104"/>
      <c r="E9500" s="107" t="str">
        <f aca="false">IF($C9500="","",IFERROR(INDEX(المنيو!$C$2:$C$500,MATCH($C9500,المنيو!$B$2:$B$500,0)),0))</f>
        <v/>
      </c>
      <c r="F9500" s="107" t="str">
        <f aca="false">IF($C9500="","",$D9500*$E9500)</f>
        <v/>
      </c>
      <c r="G9500" s="107" t="str">
        <f aca="false">IF($C9500="","",$D9500*IFERROR(INDEX('تحليل التكلفة والسعر'!$C$2:$C$700,MATCH($C9500,'تحليل التكلفة والسعر'!$B$2:$B$700,0)),0))</f>
        <v/>
      </c>
    </row>
    <row r="9501" customFormat="false" ht="15" hidden="false" customHeight="false" outlineLevel="0" collapsed="false">
      <c r="A9501" s="103"/>
      <c r="B9501" s="104"/>
      <c r="C9501" s="104"/>
      <c r="E9501" s="107" t="str">
        <f aca="false">IF($C9501="","",IFERROR(INDEX(المنيو!$C$2:$C$500,MATCH($C9501,المنيو!$B$2:$B$500,0)),0))</f>
        <v/>
      </c>
      <c r="F9501" s="107" t="str">
        <f aca="false">IF($C9501="","",$D9501*$E9501)</f>
        <v/>
      </c>
      <c r="G9501" s="107" t="str">
        <f aca="false">IF($C9501="","",$D9501*IFERROR(INDEX('تحليل التكلفة والسعر'!$C$2:$C$700,MATCH($C9501,'تحليل التكلفة والسعر'!$B$2:$B$700,0)),0))</f>
        <v/>
      </c>
    </row>
    <row r="9502" customFormat="false" ht="15" hidden="false" customHeight="false" outlineLevel="0" collapsed="false">
      <c r="A9502" s="103"/>
      <c r="B9502" s="104"/>
      <c r="C9502" s="104"/>
      <c r="E9502" s="107" t="str">
        <f aca="false">IF($C9502="","",IFERROR(INDEX(المنيو!$C$2:$C$500,MATCH($C9502,المنيو!$B$2:$B$500,0)),0))</f>
        <v/>
      </c>
      <c r="F9502" s="107" t="str">
        <f aca="false">IF($C9502="","",$D9502*$E9502)</f>
        <v/>
      </c>
      <c r="G9502" s="107" t="str">
        <f aca="false">IF($C9502="","",$D9502*IFERROR(INDEX('تحليل التكلفة والسعر'!$C$2:$C$700,MATCH($C9502,'تحليل التكلفة والسعر'!$B$2:$B$700,0)),0))</f>
        <v/>
      </c>
    </row>
    <row r="9503" customFormat="false" ht="15" hidden="false" customHeight="false" outlineLevel="0" collapsed="false">
      <c r="A9503" s="103"/>
      <c r="B9503" s="104"/>
      <c r="C9503" s="104"/>
      <c r="E9503" s="107" t="str">
        <f aca="false">IF($C9503="","",IFERROR(INDEX(المنيو!$C$2:$C$500,MATCH($C9503,المنيو!$B$2:$B$500,0)),0))</f>
        <v/>
      </c>
      <c r="F9503" s="107" t="str">
        <f aca="false">IF($C9503="","",$D9503*$E9503)</f>
        <v/>
      </c>
      <c r="G9503" s="107" t="str">
        <f aca="false">IF($C9503="","",$D9503*IFERROR(INDEX('تحليل التكلفة والسعر'!$C$2:$C$700,MATCH($C9503,'تحليل التكلفة والسعر'!$B$2:$B$700,0)),0))</f>
        <v/>
      </c>
    </row>
    <row r="9504" customFormat="false" ht="15" hidden="false" customHeight="false" outlineLevel="0" collapsed="false">
      <c r="A9504" s="103"/>
      <c r="B9504" s="104"/>
      <c r="C9504" s="104"/>
      <c r="E9504" s="107" t="str">
        <f aca="false">IF($C9504="","",IFERROR(INDEX(المنيو!$C$2:$C$500,MATCH($C9504,المنيو!$B$2:$B$500,0)),0))</f>
        <v/>
      </c>
      <c r="F9504" s="107" t="str">
        <f aca="false">IF($C9504="","",$D9504*$E9504)</f>
        <v/>
      </c>
      <c r="G9504" s="107" t="str">
        <f aca="false">IF($C9504="","",$D9504*IFERROR(INDEX('تحليل التكلفة والسعر'!$C$2:$C$700,MATCH($C9504,'تحليل التكلفة والسعر'!$B$2:$B$700,0)),0))</f>
        <v/>
      </c>
    </row>
    <row r="9505" customFormat="false" ht="15" hidden="false" customHeight="false" outlineLevel="0" collapsed="false">
      <c r="A9505" s="103"/>
      <c r="B9505" s="104"/>
      <c r="C9505" s="104"/>
      <c r="E9505" s="107" t="str">
        <f aca="false">IF($C9505="","",IFERROR(INDEX(المنيو!$C$2:$C$500,MATCH($C9505,المنيو!$B$2:$B$500,0)),0))</f>
        <v/>
      </c>
      <c r="F9505" s="107" t="str">
        <f aca="false">IF($C9505="","",$D9505*$E9505)</f>
        <v/>
      </c>
      <c r="G9505" s="107" t="str">
        <f aca="false">IF($C9505="","",$D9505*IFERROR(INDEX('تحليل التكلفة والسعر'!$C$2:$C$700,MATCH($C9505,'تحليل التكلفة والسعر'!$B$2:$B$700,0)),0))</f>
        <v/>
      </c>
    </row>
    <row r="9506" customFormat="false" ht="15" hidden="false" customHeight="false" outlineLevel="0" collapsed="false">
      <c r="A9506" s="103"/>
      <c r="B9506" s="104"/>
      <c r="C9506" s="104"/>
      <c r="E9506" s="107" t="str">
        <f aca="false">IF($C9506="","",IFERROR(INDEX(المنيو!$C$2:$C$500,MATCH($C9506,المنيو!$B$2:$B$500,0)),0))</f>
        <v/>
      </c>
      <c r="F9506" s="107" t="str">
        <f aca="false">IF($C9506="","",$D9506*$E9506)</f>
        <v/>
      </c>
      <c r="G9506" s="107" t="str">
        <f aca="false">IF($C9506="","",$D9506*IFERROR(INDEX('تحليل التكلفة والسعر'!$C$2:$C$700,MATCH($C9506,'تحليل التكلفة والسعر'!$B$2:$B$700,0)),0))</f>
        <v/>
      </c>
    </row>
    <row r="9507" customFormat="false" ht="15" hidden="false" customHeight="false" outlineLevel="0" collapsed="false">
      <c r="A9507" s="103"/>
      <c r="B9507" s="104"/>
      <c r="C9507" s="104"/>
      <c r="E9507" s="107" t="str">
        <f aca="false">IF($C9507="","",IFERROR(INDEX(المنيو!$C$2:$C$500,MATCH($C9507,المنيو!$B$2:$B$500,0)),0))</f>
        <v/>
      </c>
      <c r="F9507" s="107" t="str">
        <f aca="false">IF($C9507="","",$D9507*$E9507)</f>
        <v/>
      </c>
      <c r="G9507" s="107" t="str">
        <f aca="false">IF($C9507="","",$D9507*IFERROR(INDEX('تحليل التكلفة والسعر'!$C$2:$C$700,MATCH($C9507,'تحليل التكلفة والسعر'!$B$2:$B$700,0)),0))</f>
        <v/>
      </c>
    </row>
    <row r="9508" customFormat="false" ht="15" hidden="false" customHeight="false" outlineLevel="0" collapsed="false">
      <c r="A9508" s="103"/>
      <c r="B9508" s="104"/>
      <c r="C9508" s="104"/>
      <c r="E9508" s="107" t="str">
        <f aca="false">IF($C9508="","",IFERROR(INDEX(المنيو!$C$2:$C$500,MATCH($C9508,المنيو!$B$2:$B$500,0)),0))</f>
        <v/>
      </c>
      <c r="F9508" s="107" t="str">
        <f aca="false">IF($C9508="","",$D9508*$E9508)</f>
        <v/>
      </c>
      <c r="G9508" s="107" t="str">
        <f aca="false">IF($C9508="","",$D9508*IFERROR(INDEX('تحليل التكلفة والسعر'!$C$2:$C$700,MATCH($C9508,'تحليل التكلفة والسعر'!$B$2:$B$700,0)),0))</f>
        <v/>
      </c>
    </row>
    <row r="9509" customFormat="false" ht="15" hidden="false" customHeight="false" outlineLevel="0" collapsed="false">
      <c r="A9509" s="103"/>
      <c r="B9509" s="104"/>
      <c r="C9509" s="104"/>
      <c r="E9509" s="107" t="str">
        <f aca="false">IF($C9509="","",IFERROR(INDEX(المنيو!$C$2:$C$500,MATCH($C9509,المنيو!$B$2:$B$500,0)),0))</f>
        <v/>
      </c>
      <c r="F9509" s="107" t="str">
        <f aca="false">IF($C9509="","",$D9509*$E9509)</f>
        <v/>
      </c>
      <c r="G9509" s="107" t="str">
        <f aca="false">IF($C9509="","",$D9509*IFERROR(INDEX('تحليل التكلفة والسعر'!$C$2:$C$700,MATCH($C9509,'تحليل التكلفة والسعر'!$B$2:$B$700,0)),0))</f>
        <v/>
      </c>
    </row>
    <row r="9510" customFormat="false" ht="15" hidden="false" customHeight="false" outlineLevel="0" collapsed="false">
      <c r="A9510" s="103"/>
      <c r="B9510" s="104"/>
      <c r="C9510" s="104"/>
      <c r="E9510" s="107" t="str">
        <f aca="false">IF($C9510="","",IFERROR(INDEX(المنيو!$C$2:$C$500,MATCH($C9510,المنيو!$B$2:$B$500,0)),0))</f>
        <v/>
      </c>
      <c r="F9510" s="107" t="str">
        <f aca="false">IF($C9510="","",$D9510*$E9510)</f>
        <v/>
      </c>
      <c r="G9510" s="107" t="str">
        <f aca="false">IF($C9510="","",$D9510*IFERROR(INDEX('تحليل التكلفة والسعر'!$C$2:$C$700,MATCH($C9510,'تحليل التكلفة والسعر'!$B$2:$B$700,0)),0))</f>
        <v/>
      </c>
    </row>
    <row r="9511" customFormat="false" ht="15" hidden="false" customHeight="false" outlineLevel="0" collapsed="false">
      <c r="A9511" s="103"/>
      <c r="B9511" s="104"/>
      <c r="C9511" s="104"/>
      <c r="E9511" s="107" t="str">
        <f aca="false">IF($C9511="","",IFERROR(INDEX(المنيو!$C$2:$C$500,MATCH($C9511,المنيو!$B$2:$B$500,0)),0))</f>
        <v/>
      </c>
      <c r="F9511" s="107" t="str">
        <f aca="false">IF($C9511="","",$D9511*$E9511)</f>
        <v/>
      </c>
      <c r="G9511" s="107" t="str">
        <f aca="false">IF($C9511="","",$D9511*IFERROR(INDEX('تحليل التكلفة والسعر'!$C$2:$C$700,MATCH($C9511,'تحليل التكلفة والسعر'!$B$2:$B$700,0)),0))</f>
        <v/>
      </c>
    </row>
    <row r="9512" customFormat="false" ht="15" hidden="false" customHeight="false" outlineLevel="0" collapsed="false">
      <c r="A9512" s="103"/>
      <c r="B9512" s="104"/>
      <c r="C9512" s="104"/>
      <c r="E9512" s="107" t="str">
        <f aca="false">IF($C9512="","",IFERROR(INDEX(المنيو!$C$2:$C$500,MATCH($C9512,المنيو!$B$2:$B$500,0)),0))</f>
        <v/>
      </c>
      <c r="F9512" s="107" t="str">
        <f aca="false">IF($C9512="","",$D9512*$E9512)</f>
        <v/>
      </c>
      <c r="G9512" s="107" t="str">
        <f aca="false">IF($C9512="","",$D9512*IFERROR(INDEX('تحليل التكلفة والسعر'!$C$2:$C$700,MATCH($C9512,'تحليل التكلفة والسعر'!$B$2:$B$700,0)),0))</f>
        <v/>
      </c>
    </row>
    <row r="9513" customFormat="false" ht="15" hidden="false" customHeight="false" outlineLevel="0" collapsed="false">
      <c r="A9513" s="103"/>
      <c r="B9513" s="104"/>
      <c r="C9513" s="104"/>
      <c r="E9513" s="107" t="str">
        <f aca="false">IF($C9513="","",IFERROR(INDEX(المنيو!$C$2:$C$500,MATCH($C9513,المنيو!$B$2:$B$500,0)),0))</f>
        <v/>
      </c>
      <c r="F9513" s="107" t="str">
        <f aca="false">IF($C9513="","",$D9513*$E9513)</f>
        <v/>
      </c>
      <c r="G9513" s="107" t="str">
        <f aca="false">IF($C9513="","",$D9513*IFERROR(INDEX('تحليل التكلفة والسعر'!$C$2:$C$700,MATCH($C9513,'تحليل التكلفة والسعر'!$B$2:$B$700,0)),0))</f>
        <v/>
      </c>
    </row>
    <row r="9514" customFormat="false" ht="15" hidden="false" customHeight="false" outlineLevel="0" collapsed="false">
      <c r="A9514" s="103"/>
      <c r="B9514" s="104"/>
      <c r="C9514" s="104"/>
      <c r="E9514" s="107" t="str">
        <f aca="false">IF($C9514="","",IFERROR(INDEX(المنيو!$C$2:$C$500,MATCH($C9514,المنيو!$B$2:$B$500,0)),0))</f>
        <v/>
      </c>
      <c r="F9514" s="107" t="str">
        <f aca="false">IF($C9514="","",$D9514*$E9514)</f>
        <v/>
      </c>
      <c r="G9514" s="107" t="str">
        <f aca="false">IF($C9514="","",$D9514*IFERROR(INDEX('تحليل التكلفة والسعر'!$C$2:$C$700,MATCH($C9514,'تحليل التكلفة والسعر'!$B$2:$B$700,0)),0))</f>
        <v/>
      </c>
    </row>
    <row r="9515" customFormat="false" ht="15" hidden="false" customHeight="false" outlineLevel="0" collapsed="false">
      <c r="A9515" s="103"/>
      <c r="B9515" s="104"/>
      <c r="C9515" s="104"/>
      <c r="E9515" s="107" t="str">
        <f aca="false">IF($C9515="","",IFERROR(INDEX(المنيو!$C$2:$C$500,MATCH($C9515,المنيو!$B$2:$B$500,0)),0))</f>
        <v/>
      </c>
      <c r="F9515" s="107" t="str">
        <f aca="false">IF($C9515="","",$D9515*$E9515)</f>
        <v/>
      </c>
      <c r="G9515" s="107" t="str">
        <f aca="false">IF($C9515="","",$D9515*IFERROR(INDEX('تحليل التكلفة والسعر'!$C$2:$C$700,MATCH($C9515,'تحليل التكلفة والسعر'!$B$2:$B$700,0)),0))</f>
        <v/>
      </c>
    </row>
    <row r="9516" customFormat="false" ht="15" hidden="false" customHeight="false" outlineLevel="0" collapsed="false">
      <c r="A9516" s="103"/>
      <c r="B9516" s="104"/>
      <c r="C9516" s="104"/>
      <c r="E9516" s="107" t="str">
        <f aca="false">IF($C9516="","",IFERROR(INDEX(المنيو!$C$2:$C$500,MATCH($C9516,المنيو!$B$2:$B$500,0)),0))</f>
        <v/>
      </c>
      <c r="F9516" s="107" t="str">
        <f aca="false">IF($C9516="","",$D9516*$E9516)</f>
        <v/>
      </c>
      <c r="G9516" s="107" t="str">
        <f aca="false">IF($C9516="","",$D9516*IFERROR(INDEX('تحليل التكلفة والسعر'!$C$2:$C$700,MATCH($C9516,'تحليل التكلفة والسعر'!$B$2:$B$700,0)),0))</f>
        <v/>
      </c>
    </row>
    <row r="9517" customFormat="false" ht="15" hidden="false" customHeight="false" outlineLevel="0" collapsed="false">
      <c r="A9517" s="103"/>
      <c r="B9517" s="104"/>
      <c r="C9517" s="104"/>
      <c r="E9517" s="107" t="str">
        <f aca="false">IF($C9517="","",IFERROR(INDEX(المنيو!$C$2:$C$500,MATCH($C9517,المنيو!$B$2:$B$500,0)),0))</f>
        <v/>
      </c>
      <c r="F9517" s="107" t="str">
        <f aca="false">IF($C9517="","",$D9517*$E9517)</f>
        <v/>
      </c>
      <c r="G9517" s="107" t="str">
        <f aca="false">IF($C9517="","",$D9517*IFERROR(INDEX('تحليل التكلفة والسعر'!$C$2:$C$700,MATCH($C9517,'تحليل التكلفة والسعر'!$B$2:$B$700,0)),0))</f>
        <v/>
      </c>
    </row>
    <row r="9518" customFormat="false" ht="15" hidden="false" customHeight="false" outlineLevel="0" collapsed="false">
      <c r="A9518" s="103"/>
      <c r="B9518" s="104"/>
      <c r="C9518" s="104"/>
      <c r="E9518" s="107" t="str">
        <f aca="false">IF($C9518="","",IFERROR(INDEX(المنيو!$C$2:$C$500,MATCH($C9518,المنيو!$B$2:$B$500,0)),0))</f>
        <v/>
      </c>
      <c r="F9518" s="107" t="str">
        <f aca="false">IF($C9518="","",$D9518*$E9518)</f>
        <v/>
      </c>
      <c r="G9518" s="107" t="str">
        <f aca="false">IF($C9518="","",$D9518*IFERROR(INDEX('تحليل التكلفة والسعر'!$C$2:$C$700,MATCH($C9518,'تحليل التكلفة والسعر'!$B$2:$B$700,0)),0))</f>
        <v/>
      </c>
    </row>
    <row r="9519" customFormat="false" ht="15" hidden="false" customHeight="false" outlineLevel="0" collapsed="false">
      <c r="A9519" s="103"/>
      <c r="B9519" s="104"/>
      <c r="C9519" s="104"/>
      <c r="E9519" s="107" t="str">
        <f aca="false">IF($C9519="","",IFERROR(INDEX(المنيو!$C$2:$C$500,MATCH($C9519,المنيو!$B$2:$B$500,0)),0))</f>
        <v/>
      </c>
      <c r="F9519" s="107" t="str">
        <f aca="false">IF($C9519="","",$D9519*$E9519)</f>
        <v/>
      </c>
      <c r="G9519" s="107" t="str">
        <f aca="false">IF($C9519="","",$D9519*IFERROR(INDEX('تحليل التكلفة والسعر'!$C$2:$C$700,MATCH($C9519,'تحليل التكلفة والسعر'!$B$2:$B$700,0)),0))</f>
        <v/>
      </c>
    </row>
    <row r="9520" customFormat="false" ht="15" hidden="false" customHeight="false" outlineLevel="0" collapsed="false">
      <c r="A9520" s="103"/>
      <c r="B9520" s="104"/>
      <c r="C9520" s="104"/>
      <c r="E9520" s="107" t="str">
        <f aca="false">IF($C9520="","",IFERROR(INDEX(المنيو!$C$2:$C$500,MATCH($C9520,المنيو!$B$2:$B$500,0)),0))</f>
        <v/>
      </c>
      <c r="F9520" s="107" t="str">
        <f aca="false">IF($C9520="","",$D9520*$E9520)</f>
        <v/>
      </c>
      <c r="G9520" s="107" t="str">
        <f aca="false">IF($C9520="","",$D9520*IFERROR(INDEX('تحليل التكلفة والسعر'!$C$2:$C$700,MATCH($C9520,'تحليل التكلفة والسعر'!$B$2:$B$700,0)),0))</f>
        <v/>
      </c>
    </row>
    <row r="9521" customFormat="false" ht="15" hidden="false" customHeight="false" outlineLevel="0" collapsed="false">
      <c r="A9521" s="103"/>
      <c r="B9521" s="104"/>
      <c r="C9521" s="104"/>
      <c r="E9521" s="107" t="str">
        <f aca="false">IF($C9521="","",IFERROR(INDEX(المنيو!$C$2:$C$500,MATCH($C9521,المنيو!$B$2:$B$500,0)),0))</f>
        <v/>
      </c>
      <c r="F9521" s="107" t="str">
        <f aca="false">IF($C9521="","",$D9521*$E9521)</f>
        <v/>
      </c>
      <c r="G9521" s="107" t="str">
        <f aca="false">IF($C9521="","",$D9521*IFERROR(INDEX('تحليل التكلفة والسعر'!$C$2:$C$700,MATCH($C9521,'تحليل التكلفة والسعر'!$B$2:$B$700,0)),0))</f>
        <v/>
      </c>
    </row>
    <row r="9522" customFormat="false" ht="15" hidden="false" customHeight="false" outlineLevel="0" collapsed="false">
      <c r="A9522" s="103"/>
      <c r="B9522" s="104"/>
      <c r="C9522" s="104"/>
      <c r="E9522" s="107" t="str">
        <f aca="false">IF($C9522="","",IFERROR(INDEX(المنيو!$C$2:$C$500,MATCH($C9522,المنيو!$B$2:$B$500,0)),0))</f>
        <v/>
      </c>
      <c r="F9522" s="107" t="str">
        <f aca="false">IF($C9522="","",$D9522*$E9522)</f>
        <v/>
      </c>
      <c r="G9522" s="107" t="str">
        <f aca="false">IF($C9522="","",$D9522*IFERROR(INDEX('تحليل التكلفة والسعر'!$C$2:$C$700,MATCH($C9522,'تحليل التكلفة والسعر'!$B$2:$B$700,0)),0))</f>
        <v/>
      </c>
    </row>
    <row r="9523" customFormat="false" ht="15" hidden="false" customHeight="false" outlineLevel="0" collapsed="false">
      <c r="A9523" s="103"/>
      <c r="B9523" s="104"/>
      <c r="C9523" s="104"/>
      <c r="E9523" s="107" t="str">
        <f aca="false">IF($C9523="","",IFERROR(INDEX(المنيو!$C$2:$C$500,MATCH($C9523,المنيو!$B$2:$B$500,0)),0))</f>
        <v/>
      </c>
      <c r="F9523" s="107" t="str">
        <f aca="false">IF($C9523="","",$D9523*$E9523)</f>
        <v/>
      </c>
      <c r="G9523" s="107" t="str">
        <f aca="false">IF($C9523="","",$D9523*IFERROR(INDEX('تحليل التكلفة والسعر'!$C$2:$C$700,MATCH($C9523,'تحليل التكلفة والسعر'!$B$2:$B$700,0)),0))</f>
        <v/>
      </c>
    </row>
    <row r="9524" customFormat="false" ht="15" hidden="false" customHeight="false" outlineLevel="0" collapsed="false">
      <c r="A9524" s="103"/>
      <c r="B9524" s="104"/>
      <c r="C9524" s="104"/>
      <c r="E9524" s="107" t="str">
        <f aca="false">IF($C9524="","",IFERROR(INDEX(المنيو!$C$2:$C$500,MATCH($C9524,المنيو!$B$2:$B$500,0)),0))</f>
        <v/>
      </c>
      <c r="F9524" s="107" t="str">
        <f aca="false">IF($C9524="","",$D9524*$E9524)</f>
        <v/>
      </c>
      <c r="G9524" s="107" t="str">
        <f aca="false">IF($C9524="","",$D9524*IFERROR(INDEX('تحليل التكلفة والسعر'!$C$2:$C$700,MATCH($C9524,'تحليل التكلفة والسعر'!$B$2:$B$700,0)),0))</f>
        <v/>
      </c>
    </row>
    <row r="9525" customFormat="false" ht="15" hidden="false" customHeight="false" outlineLevel="0" collapsed="false">
      <c r="A9525" s="103"/>
      <c r="B9525" s="104"/>
      <c r="C9525" s="104"/>
      <c r="E9525" s="107" t="str">
        <f aca="false">IF($C9525="","",IFERROR(INDEX(المنيو!$C$2:$C$500,MATCH($C9525,المنيو!$B$2:$B$500,0)),0))</f>
        <v/>
      </c>
      <c r="F9525" s="107" t="str">
        <f aca="false">IF($C9525="","",$D9525*$E9525)</f>
        <v/>
      </c>
      <c r="G9525" s="107" t="str">
        <f aca="false">IF($C9525="","",$D9525*IFERROR(INDEX('تحليل التكلفة والسعر'!$C$2:$C$700,MATCH($C9525,'تحليل التكلفة والسعر'!$B$2:$B$700,0)),0))</f>
        <v/>
      </c>
    </row>
    <row r="9526" customFormat="false" ht="15" hidden="false" customHeight="false" outlineLevel="0" collapsed="false">
      <c r="A9526" s="103"/>
      <c r="B9526" s="104"/>
      <c r="C9526" s="104"/>
      <c r="E9526" s="107" t="str">
        <f aca="false">IF($C9526="","",IFERROR(INDEX(المنيو!$C$2:$C$500,MATCH($C9526,المنيو!$B$2:$B$500,0)),0))</f>
        <v/>
      </c>
      <c r="F9526" s="107" t="str">
        <f aca="false">IF($C9526="","",$D9526*$E9526)</f>
        <v/>
      </c>
      <c r="G9526" s="107" t="str">
        <f aca="false">IF($C9526="","",$D9526*IFERROR(INDEX('تحليل التكلفة والسعر'!$C$2:$C$700,MATCH($C9526,'تحليل التكلفة والسعر'!$B$2:$B$700,0)),0))</f>
        <v/>
      </c>
    </row>
    <row r="9527" customFormat="false" ht="15" hidden="false" customHeight="false" outlineLevel="0" collapsed="false">
      <c r="A9527" s="103"/>
      <c r="B9527" s="104"/>
      <c r="C9527" s="104"/>
      <c r="E9527" s="107" t="str">
        <f aca="false">IF($C9527="","",IFERROR(INDEX(المنيو!$C$2:$C$500,MATCH($C9527,المنيو!$B$2:$B$500,0)),0))</f>
        <v/>
      </c>
      <c r="F9527" s="107" t="str">
        <f aca="false">IF($C9527="","",$D9527*$E9527)</f>
        <v/>
      </c>
      <c r="G9527" s="107" t="str">
        <f aca="false">IF($C9527="","",$D9527*IFERROR(INDEX('تحليل التكلفة والسعر'!$C$2:$C$700,MATCH($C9527,'تحليل التكلفة والسعر'!$B$2:$B$700,0)),0))</f>
        <v/>
      </c>
    </row>
    <row r="9528" customFormat="false" ht="15" hidden="false" customHeight="false" outlineLevel="0" collapsed="false">
      <c r="A9528" s="103"/>
      <c r="B9528" s="104"/>
      <c r="C9528" s="104"/>
      <c r="E9528" s="107" t="str">
        <f aca="false">IF($C9528="","",IFERROR(INDEX(المنيو!$C$2:$C$500,MATCH($C9528,المنيو!$B$2:$B$500,0)),0))</f>
        <v/>
      </c>
      <c r="F9528" s="107" t="str">
        <f aca="false">IF($C9528="","",$D9528*$E9528)</f>
        <v/>
      </c>
      <c r="G9528" s="107" t="str">
        <f aca="false">IF($C9528="","",$D9528*IFERROR(INDEX('تحليل التكلفة والسعر'!$C$2:$C$700,MATCH($C9528,'تحليل التكلفة والسعر'!$B$2:$B$700,0)),0))</f>
        <v/>
      </c>
    </row>
    <row r="9529" customFormat="false" ht="15" hidden="false" customHeight="false" outlineLevel="0" collapsed="false">
      <c r="A9529" s="103"/>
      <c r="B9529" s="104"/>
      <c r="C9529" s="104"/>
      <c r="E9529" s="107" t="str">
        <f aca="false">IF($C9529="","",IFERROR(INDEX(المنيو!$C$2:$C$500,MATCH($C9529,المنيو!$B$2:$B$500,0)),0))</f>
        <v/>
      </c>
      <c r="F9529" s="107" t="str">
        <f aca="false">IF($C9529="","",$D9529*$E9529)</f>
        <v/>
      </c>
      <c r="G9529" s="107" t="str">
        <f aca="false">IF($C9529="","",$D9529*IFERROR(INDEX('تحليل التكلفة والسعر'!$C$2:$C$700,MATCH($C9529,'تحليل التكلفة والسعر'!$B$2:$B$700,0)),0))</f>
        <v/>
      </c>
    </row>
    <row r="9530" customFormat="false" ht="15" hidden="false" customHeight="false" outlineLevel="0" collapsed="false">
      <c r="A9530" s="103"/>
      <c r="B9530" s="104"/>
      <c r="C9530" s="104"/>
      <c r="E9530" s="107" t="str">
        <f aca="false">IF($C9530="","",IFERROR(INDEX(المنيو!$C$2:$C$500,MATCH($C9530,المنيو!$B$2:$B$500,0)),0))</f>
        <v/>
      </c>
      <c r="F9530" s="107" t="str">
        <f aca="false">IF($C9530="","",$D9530*$E9530)</f>
        <v/>
      </c>
      <c r="G9530" s="107" t="str">
        <f aca="false">IF($C9530="","",$D9530*IFERROR(INDEX('تحليل التكلفة والسعر'!$C$2:$C$700,MATCH($C9530,'تحليل التكلفة والسعر'!$B$2:$B$700,0)),0))</f>
        <v/>
      </c>
    </row>
    <row r="9531" customFormat="false" ht="15" hidden="false" customHeight="false" outlineLevel="0" collapsed="false">
      <c r="A9531" s="103"/>
      <c r="B9531" s="104"/>
      <c r="C9531" s="104"/>
      <c r="E9531" s="107" t="str">
        <f aca="false">IF($C9531="","",IFERROR(INDEX(المنيو!$C$2:$C$500,MATCH($C9531,المنيو!$B$2:$B$500,0)),0))</f>
        <v/>
      </c>
      <c r="F9531" s="107" t="str">
        <f aca="false">IF($C9531="","",$D9531*$E9531)</f>
        <v/>
      </c>
      <c r="G9531" s="107" t="str">
        <f aca="false">IF($C9531="","",$D9531*IFERROR(INDEX('تحليل التكلفة والسعر'!$C$2:$C$700,MATCH($C9531,'تحليل التكلفة والسعر'!$B$2:$B$700,0)),0))</f>
        <v/>
      </c>
    </row>
    <row r="9532" customFormat="false" ht="15" hidden="false" customHeight="false" outlineLevel="0" collapsed="false">
      <c r="A9532" s="103"/>
      <c r="B9532" s="104"/>
      <c r="C9532" s="104"/>
      <c r="E9532" s="107" t="str">
        <f aca="false">IF($C9532="","",IFERROR(INDEX(المنيو!$C$2:$C$500,MATCH($C9532,المنيو!$B$2:$B$500,0)),0))</f>
        <v/>
      </c>
      <c r="F9532" s="107" t="str">
        <f aca="false">IF($C9532="","",$D9532*$E9532)</f>
        <v/>
      </c>
      <c r="G9532" s="107" t="str">
        <f aca="false">IF($C9532="","",$D9532*IFERROR(INDEX('تحليل التكلفة والسعر'!$C$2:$C$700,MATCH($C9532,'تحليل التكلفة والسعر'!$B$2:$B$700,0)),0))</f>
        <v/>
      </c>
    </row>
    <row r="9533" customFormat="false" ht="15" hidden="false" customHeight="false" outlineLevel="0" collapsed="false">
      <c r="A9533" s="103"/>
      <c r="B9533" s="104"/>
      <c r="C9533" s="104"/>
      <c r="E9533" s="107" t="str">
        <f aca="false">IF($C9533="","",IFERROR(INDEX(المنيو!$C$2:$C$500,MATCH($C9533,المنيو!$B$2:$B$500,0)),0))</f>
        <v/>
      </c>
      <c r="F9533" s="107" t="str">
        <f aca="false">IF($C9533="","",$D9533*$E9533)</f>
        <v/>
      </c>
      <c r="G9533" s="107" t="str">
        <f aca="false">IF($C9533="","",$D9533*IFERROR(INDEX('تحليل التكلفة والسعر'!$C$2:$C$700,MATCH($C9533,'تحليل التكلفة والسعر'!$B$2:$B$700,0)),0))</f>
        <v/>
      </c>
    </row>
    <row r="9534" customFormat="false" ht="15" hidden="false" customHeight="false" outlineLevel="0" collapsed="false">
      <c r="A9534" s="103"/>
      <c r="B9534" s="104"/>
      <c r="C9534" s="104"/>
      <c r="E9534" s="107" t="str">
        <f aca="false">IF($C9534="","",IFERROR(INDEX(المنيو!$C$2:$C$500,MATCH($C9534,المنيو!$B$2:$B$500,0)),0))</f>
        <v/>
      </c>
      <c r="F9534" s="107" t="str">
        <f aca="false">IF($C9534="","",$D9534*$E9534)</f>
        <v/>
      </c>
      <c r="G9534" s="107" t="str">
        <f aca="false">IF($C9534="","",$D9534*IFERROR(INDEX('تحليل التكلفة والسعر'!$C$2:$C$700,MATCH($C9534,'تحليل التكلفة والسعر'!$B$2:$B$700,0)),0))</f>
        <v/>
      </c>
    </row>
    <row r="9535" customFormat="false" ht="15" hidden="false" customHeight="false" outlineLevel="0" collapsed="false">
      <c r="A9535" s="103"/>
      <c r="B9535" s="104"/>
      <c r="C9535" s="104"/>
      <c r="E9535" s="107" t="str">
        <f aca="false">IF($C9535="","",IFERROR(INDEX(المنيو!$C$2:$C$500,MATCH($C9535,المنيو!$B$2:$B$500,0)),0))</f>
        <v/>
      </c>
      <c r="F9535" s="107" t="str">
        <f aca="false">IF($C9535="","",$D9535*$E9535)</f>
        <v/>
      </c>
      <c r="G9535" s="107" t="str">
        <f aca="false">IF($C9535="","",$D9535*IFERROR(INDEX('تحليل التكلفة والسعر'!$C$2:$C$700,MATCH($C9535,'تحليل التكلفة والسعر'!$B$2:$B$700,0)),0))</f>
        <v/>
      </c>
    </row>
    <row r="9536" customFormat="false" ht="15" hidden="false" customHeight="false" outlineLevel="0" collapsed="false">
      <c r="A9536" s="103"/>
      <c r="B9536" s="104"/>
      <c r="C9536" s="104"/>
      <c r="E9536" s="107" t="str">
        <f aca="false">IF($C9536="","",IFERROR(INDEX(المنيو!$C$2:$C$500,MATCH($C9536,المنيو!$B$2:$B$500,0)),0))</f>
        <v/>
      </c>
      <c r="F9536" s="107" t="str">
        <f aca="false">IF($C9536="","",$D9536*$E9536)</f>
        <v/>
      </c>
      <c r="G9536" s="107" t="str">
        <f aca="false">IF($C9536="","",$D9536*IFERROR(INDEX('تحليل التكلفة والسعر'!$C$2:$C$700,MATCH($C9536,'تحليل التكلفة والسعر'!$B$2:$B$700,0)),0))</f>
        <v/>
      </c>
    </row>
    <row r="9537" customFormat="false" ht="15" hidden="false" customHeight="false" outlineLevel="0" collapsed="false">
      <c r="A9537" s="103"/>
      <c r="B9537" s="104"/>
      <c r="C9537" s="104"/>
      <c r="E9537" s="107" t="str">
        <f aca="false">IF($C9537="","",IFERROR(INDEX(المنيو!$C$2:$C$500,MATCH($C9537,المنيو!$B$2:$B$500,0)),0))</f>
        <v/>
      </c>
      <c r="F9537" s="107" t="str">
        <f aca="false">IF($C9537="","",$D9537*$E9537)</f>
        <v/>
      </c>
      <c r="G9537" s="107" t="str">
        <f aca="false">IF($C9537="","",$D9537*IFERROR(INDEX('تحليل التكلفة والسعر'!$C$2:$C$700,MATCH($C9537,'تحليل التكلفة والسعر'!$B$2:$B$700,0)),0))</f>
        <v/>
      </c>
    </row>
    <row r="9538" customFormat="false" ht="15" hidden="false" customHeight="false" outlineLevel="0" collapsed="false">
      <c r="A9538" s="103"/>
      <c r="B9538" s="104"/>
      <c r="C9538" s="104"/>
      <c r="E9538" s="107" t="str">
        <f aca="false">IF($C9538="","",IFERROR(INDEX(المنيو!$C$2:$C$500,MATCH($C9538,المنيو!$B$2:$B$500,0)),0))</f>
        <v/>
      </c>
      <c r="F9538" s="107" t="str">
        <f aca="false">IF($C9538="","",$D9538*$E9538)</f>
        <v/>
      </c>
      <c r="G9538" s="107" t="str">
        <f aca="false">IF($C9538="","",$D9538*IFERROR(INDEX('تحليل التكلفة والسعر'!$C$2:$C$700,MATCH($C9538,'تحليل التكلفة والسعر'!$B$2:$B$700,0)),0))</f>
        <v/>
      </c>
    </row>
    <row r="9539" customFormat="false" ht="15" hidden="false" customHeight="false" outlineLevel="0" collapsed="false">
      <c r="A9539" s="103"/>
      <c r="B9539" s="104"/>
      <c r="C9539" s="104"/>
      <c r="E9539" s="107" t="str">
        <f aca="false">IF($C9539="","",IFERROR(INDEX(المنيو!$C$2:$C$500,MATCH($C9539,المنيو!$B$2:$B$500,0)),0))</f>
        <v/>
      </c>
      <c r="F9539" s="107" t="str">
        <f aca="false">IF($C9539="","",$D9539*$E9539)</f>
        <v/>
      </c>
      <c r="G9539" s="107" t="str">
        <f aca="false">IF($C9539="","",$D9539*IFERROR(INDEX('تحليل التكلفة والسعر'!$C$2:$C$700,MATCH($C9539,'تحليل التكلفة والسعر'!$B$2:$B$700,0)),0))</f>
        <v/>
      </c>
    </row>
    <row r="9540" customFormat="false" ht="15" hidden="false" customHeight="false" outlineLevel="0" collapsed="false">
      <c r="A9540" s="103"/>
      <c r="B9540" s="104"/>
      <c r="C9540" s="104"/>
      <c r="E9540" s="107" t="str">
        <f aca="false">IF($C9540="","",IFERROR(INDEX(المنيو!$C$2:$C$500,MATCH($C9540,المنيو!$B$2:$B$500,0)),0))</f>
        <v/>
      </c>
      <c r="F9540" s="107" t="str">
        <f aca="false">IF($C9540="","",$D9540*$E9540)</f>
        <v/>
      </c>
      <c r="G9540" s="107" t="str">
        <f aca="false">IF($C9540="","",$D9540*IFERROR(INDEX('تحليل التكلفة والسعر'!$C$2:$C$700,MATCH($C9540,'تحليل التكلفة والسعر'!$B$2:$B$700,0)),0))</f>
        <v/>
      </c>
    </row>
    <row r="9541" customFormat="false" ht="15" hidden="false" customHeight="false" outlineLevel="0" collapsed="false">
      <c r="A9541" s="103"/>
      <c r="B9541" s="104"/>
      <c r="C9541" s="104"/>
      <c r="E9541" s="107" t="str">
        <f aca="false">IF($C9541="","",IFERROR(INDEX(المنيو!$C$2:$C$500,MATCH($C9541,المنيو!$B$2:$B$500,0)),0))</f>
        <v/>
      </c>
      <c r="F9541" s="107" t="str">
        <f aca="false">IF($C9541="","",$D9541*$E9541)</f>
        <v/>
      </c>
      <c r="G9541" s="107" t="str">
        <f aca="false">IF($C9541="","",$D9541*IFERROR(INDEX('تحليل التكلفة والسعر'!$C$2:$C$700,MATCH($C9541,'تحليل التكلفة والسعر'!$B$2:$B$700,0)),0))</f>
        <v/>
      </c>
    </row>
    <row r="9542" customFormat="false" ht="15" hidden="false" customHeight="false" outlineLevel="0" collapsed="false">
      <c r="A9542" s="103"/>
      <c r="B9542" s="104"/>
      <c r="C9542" s="104"/>
      <c r="E9542" s="107" t="str">
        <f aca="false">IF($C9542="","",IFERROR(INDEX(المنيو!$C$2:$C$500,MATCH($C9542,المنيو!$B$2:$B$500,0)),0))</f>
        <v/>
      </c>
      <c r="F9542" s="107" t="str">
        <f aca="false">IF($C9542="","",$D9542*$E9542)</f>
        <v/>
      </c>
      <c r="G9542" s="107" t="str">
        <f aca="false">IF($C9542="","",$D9542*IFERROR(INDEX('تحليل التكلفة والسعر'!$C$2:$C$700,MATCH($C9542,'تحليل التكلفة والسعر'!$B$2:$B$700,0)),0))</f>
        <v/>
      </c>
    </row>
    <row r="9543" customFormat="false" ht="15" hidden="false" customHeight="false" outlineLevel="0" collapsed="false">
      <c r="A9543" s="103"/>
      <c r="B9543" s="104"/>
      <c r="C9543" s="104"/>
      <c r="E9543" s="107" t="str">
        <f aca="false">IF($C9543="","",IFERROR(INDEX(المنيو!$C$2:$C$500,MATCH($C9543,المنيو!$B$2:$B$500,0)),0))</f>
        <v/>
      </c>
      <c r="F9543" s="107" t="str">
        <f aca="false">IF($C9543="","",$D9543*$E9543)</f>
        <v/>
      </c>
      <c r="G9543" s="107" t="str">
        <f aca="false">IF($C9543="","",$D9543*IFERROR(INDEX('تحليل التكلفة والسعر'!$C$2:$C$700,MATCH($C9543,'تحليل التكلفة والسعر'!$B$2:$B$700,0)),0))</f>
        <v/>
      </c>
    </row>
    <row r="9544" customFormat="false" ht="15" hidden="false" customHeight="false" outlineLevel="0" collapsed="false">
      <c r="A9544" s="103"/>
      <c r="B9544" s="104"/>
      <c r="C9544" s="104"/>
      <c r="E9544" s="107" t="str">
        <f aca="false">IF($C9544="","",IFERROR(INDEX(المنيو!$C$2:$C$500,MATCH($C9544,المنيو!$B$2:$B$500,0)),0))</f>
        <v/>
      </c>
      <c r="F9544" s="107" t="str">
        <f aca="false">IF($C9544="","",$D9544*$E9544)</f>
        <v/>
      </c>
      <c r="G9544" s="107" t="str">
        <f aca="false">IF($C9544="","",$D9544*IFERROR(INDEX('تحليل التكلفة والسعر'!$C$2:$C$700,MATCH($C9544,'تحليل التكلفة والسعر'!$B$2:$B$700,0)),0))</f>
        <v/>
      </c>
    </row>
    <row r="9545" customFormat="false" ht="15" hidden="false" customHeight="false" outlineLevel="0" collapsed="false">
      <c r="A9545" s="103"/>
      <c r="B9545" s="104"/>
      <c r="C9545" s="104"/>
      <c r="E9545" s="107" t="str">
        <f aca="false">IF($C9545="","",IFERROR(INDEX(المنيو!$C$2:$C$500,MATCH($C9545,المنيو!$B$2:$B$500,0)),0))</f>
        <v/>
      </c>
      <c r="F9545" s="107" t="str">
        <f aca="false">IF($C9545="","",$D9545*$E9545)</f>
        <v/>
      </c>
      <c r="G9545" s="107" t="str">
        <f aca="false">IF($C9545="","",$D9545*IFERROR(INDEX('تحليل التكلفة والسعر'!$C$2:$C$700,MATCH($C9545,'تحليل التكلفة والسعر'!$B$2:$B$700,0)),0))</f>
        <v/>
      </c>
    </row>
    <row r="9546" customFormat="false" ht="15" hidden="false" customHeight="false" outlineLevel="0" collapsed="false">
      <c r="A9546" s="103"/>
      <c r="B9546" s="104"/>
      <c r="C9546" s="104"/>
      <c r="E9546" s="107" t="str">
        <f aca="false">IF($C9546="","",IFERROR(INDEX(المنيو!$C$2:$C$500,MATCH($C9546,المنيو!$B$2:$B$500,0)),0))</f>
        <v/>
      </c>
      <c r="F9546" s="107" t="str">
        <f aca="false">IF($C9546="","",$D9546*$E9546)</f>
        <v/>
      </c>
      <c r="G9546" s="107" t="str">
        <f aca="false">IF($C9546="","",$D9546*IFERROR(INDEX('تحليل التكلفة والسعر'!$C$2:$C$700,MATCH($C9546,'تحليل التكلفة والسعر'!$B$2:$B$700,0)),0))</f>
        <v/>
      </c>
    </row>
    <row r="9547" customFormat="false" ht="15" hidden="false" customHeight="false" outlineLevel="0" collapsed="false">
      <c r="A9547" s="103"/>
      <c r="B9547" s="104"/>
      <c r="C9547" s="104"/>
      <c r="E9547" s="107" t="str">
        <f aca="false">IF($C9547="","",IFERROR(INDEX(المنيو!$C$2:$C$500,MATCH($C9547,المنيو!$B$2:$B$500,0)),0))</f>
        <v/>
      </c>
      <c r="F9547" s="107" t="str">
        <f aca="false">IF($C9547="","",$D9547*$E9547)</f>
        <v/>
      </c>
      <c r="G9547" s="107" t="str">
        <f aca="false">IF($C9547="","",$D9547*IFERROR(INDEX('تحليل التكلفة والسعر'!$C$2:$C$700,MATCH($C9547,'تحليل التكلفة والسعر'!$B$2:$B$700,0)),0))</f>
        <v/>
      </c>
    </row>
    <row r="9548" customFormat="false" ht="15" hidden="false" customHeight="false" outlineLevel="0" collapsed="false">
      <c r="A9548" s="103"/>
      <c r="B9548" s="104"/>
      <c r="C9548" s="104"/>
      <c r="E9548" s="107" t="str">
        <f aca="false">IF($C9548="","",IFERROR(INDEX(المنيو!$C$2:$C$500,MATCH($C9548,المنيو!$B$2:$B$500,0)),0))</f>
        <v/>
      </c>
      <c r="F9548" s="107" t="str">
        <f aca="false">IF($C9548="","",$D9548*$E9548)</f>
        <v/>
      </c>
      <c r="G9548" s="107" t="str">
        <f aca="false">IF($C9548="","",$D9548*IFERROR(INDEX('تحليل التكلفة والسعر'!$C$2:$C$700,MATCH($C9548,'تحليل التكلفة والسعر'!$B$2:$B$700,0)),0))</f>
        <v/>
      </c>
    </row>
    <row r="9549" customFormat="false" ht="15" hidden="false" customHeight="false" outlineLevel="0" collapsed="false">
      <c r="A9549" s="103"/>
      <c r="B9549" s="104"/>
      <c r="C9549" s="104"/>
      <c r="E9549" s="107" t="str">
        <f aca="false">IF($C9549="","",IFERROR(INDEX(المنيو!$C$2:$C$500,MATCH($C9549,المنيو!$B$2:$B$500,0)),0))</f>
        <v/>
      </c>
      <c r="F9549" s="107" t="str">
        <f aca="false">IF($C9549="","",$D9549*$E9549)</f>
        <v/>
      </c>
      <c r="G9549" s="107" t="str">
        <f aca="false">IF($C9549="","",$D9549*IFERROR(INDEX('تحليل التكلفة والسعر'!$C$2:$C$700,MATCH($C9549,'تحليل التكلفة والسعر'!$B$2:$B$700,0)),0))</f>
        <v/>
      </c>
    </row>
    <row r="9550" customFormat="false" ht="15" hidden="false" customHeight="false" outlineLevel="0" collapsed="false">
      <c r="A9550" s="103"/>
      <c r="B9550" s="104"/>
      <c r="C9550" s="104"/>
      <c r="E9550" s="107" t="str">
        <f aca="false">IF($C9550="","",IFERROR(INDEX(المنيو!$C$2:$C$500,MATCH($C9550,المنيو!$B$2:$B$500,0)),0))</f>
        <v/>
      </c>
      <c r="F9550" s="107" t="str">
        <f aca="false">IF($C9550="","",$D9550*$E9550)</f>
        <v/>
      </c>
      <c r="G9550" s="107" t="str">
        <f aca="false">IF($C9550="","",$D9550*IFERROR(INDEX('تحليل التكلفة والسعر'!$C$2:$C$700,MATCH($C9550,'تحليل التكلفة والسعر'!$B$2:$B$700,0)),0))</f>
        <v/>
      </c>
    </row>
    <row r="9551" customFormat="false" ht="15" hidden="false" customHeight="false" outlineLevel="0" collapsed="false">
      <c r="A9551" s="103"/>
      <c r="B9551" s="104"/>
      <c r="C9551" s="104"/>
      <c r="E9551" s="107" t="str">
        <f aca="false">IF($C9551="","",IFERROR(INDEX(المنيو!$C$2:$C$500,MATCH($C9551,المنيو!$B$2:$B$500,0)),0))</f>
        <v/>
      </c>
      <c r="F9551" s="107" t="str">
        <f aca="false">IF($C9551="","",$D9551*$E9551)</f>
        <v/>
      </c>
      <c r="G9551" s="107" t="str">
        <f aca="false">IF($C9551="","",$D9551*IFERROR(INDEX('تحليل التكلفة والسعر'!$C$2:$C$700,MATCH($C9551,'تحليل التكلفة والسعر'!$B$2:$B$700,0)),0))</f>
        <v/>
      </c>
    </row>
    <row r="9552" customFormat="false" ht="15" hidden="false" customHeight="false" outlineLevel="0" collapsed="false">
      <c r="A9552" s="103"/>
      <c r="B9552" s="104"/>
      <c r="C9552" s="104"/>
      <c r="E9552" s="107" t="str">
        <f aca="false">IF($C9552="","",IFERROR(INDEX(المنيو!$C$2:$C$500,MATCH($C9552,المنيو!$B$2:$B$500,0)),0))</f>
        <v/>
      </c>
      <c r="F9552" s="107" t="str">
        <f aca="false">IF($C9552="","",$D9552*$E9552)</f>
        <v/>
      </c>
      <c r="G9552" s="107" t="str">
        <f aca="false">IF($C9552="","",$D9552*IFERROR(INDEX('تحليل التكلفة والسعر'!$C$2:$C$700,MATCH($C9552,'تحليل التكلفة والسعر'!$B$2:$B$700,0)),0))</f>
        <v/>
      </c>
    </row>
    <row r="9553" customFormat="false" ht="15" hidden="false" customHeight="false" outlineLevel="0" collapsed="false">
      <c r="A9553" s="103"/>
      <c r="B9553" s="104"/>
      <c r="C9553" s="104"/>
      <c r="E9553" s="107" t="str">
        <f aca="false">IF($C9553="","",IFERROR(INDEX(المنيو!$C$2:$C$500,MATCH($C9553,المنيو!$B$2:$B$500,0)),0))</f>
        <v/>
      </c>
      <c r="F9553" s="107" t="str">
        <f aca="false">IF($C9553="","",$D9553*$E9553)</f>
        <v/>
      </c>
      <c r="G9553" s="107" t="str">
        <f aca="false">IF($C9553="","",$D9553*IFERROR(INDEX('تحليل التكلفة والسعر'!$C$2:$C$700,MATCH($C9553,'تحليل التكلفة والسعر'!$B$2:$B$700,0)),0))</f>
        <v/>
      </c>
    </row>
    <row r="9554" customFormat="false" ht="15" hidden="false" customHeight="false" outlineLevel="0" collapsed="false">
      <c r="A9554" s="103"/>
      <c r="B9554" s="104"/>
      <c r="C9554" s="104"/>
      <c r="E9554" s="107" t="str">
        <f aca="false">IF($C9554="","",IFERROR(INDEX(المنيو!$C$2:$C$500,MATCH($C9554,المنيو!$B$2:$B$500,0)),0))</f>
        <v/>
      </c>
      <c r="F9554" s="107" t="str">
        <f aca="false">IF($C9554="","",$D9554*$E9554)</f>
        <v/>
      </c>
      <c r="G9554" s="107" t="str">
        <f aca="false">IF($C9554="","",$D9554*IFERROR(INDEX('تحليل التكلفة والسعر'!$C$2:$C$700,MATCH($C9554,'تحليل التكلفة والسعر'!$B$2:$B$700,0)),0))</f>
        <v/>
      </c>
    </row>
    <row r="9555" customFormat="false" ht="15" hidden="false" customHeight="false" outlineLevel="0" collapsed="false">
      <c r="A9555" s="103"/>
      <c r="B9555" s="104"/>
      <c r="C9555" s="104"/>
      <c r="E9555" s="107" t="str">
        <f aca="false">IF($C9555="","",IFERROR(INDEX(المنيو!$C$2:$C$500,MATCH($C9555,المنيو!$B$2:$B$500,0)),0))</f>
        <v/>
      </c>
      <c r="F9555" s="107" t="str">
        <f aca="false">IF($C9555="","",$D9555*$E9555)</f>
        <v/>
      </c>
      <c r="G9555" s="107" t="str">
        <f aca="false">IF($C9555="","",$D9555*IFERROR(INDEX('تحليل التكلفة والسعر'!$C$2:$C$700,MATCH($C9555,'تحليل التكلفة والسعر'!$B$2:$B$700,0)),0))</f>
        <v/>
      </c>
    </row>
    <row r="9556" customFormat="false" ht="15" hidden="false" customHeight="false" outlineLevel="0" collapsed="false">
      <c r="A9556" s="103"/>
      <c r="B9556" s="104"/>
      <c r="C9556" s="104"/>
      <c r="E9556" s="107" t="str">
        <f aca="false">IF($C9556="","",IFERROR(INDEX(المنيو!$C$2:$C$500,MATCH($C9556,المنيو!$B$2:$B$500,0)),0))</f>
        <v/>
      </c>
      <c r="F9556" s="107" t="str">
        <f aca="false">IF($C9556="","",$D9556*$E9556)</f>
        <v/>
      </c>
      <c r="G9556" s="107" t="str">
        <f aca="false">IF($C9556="","",$D9556*IFERROR(INDEX('تحليل التكلفة والسعر'!$C$2:$C$700,MATCH($C9556,'تحليل التكلفة والسعر'!$B$2:$B$700,0)),0))</f>
        <v/>
      </c>
    </row>
    <row r="9557" customFormat="false" ht="15" hidden="false" customHeight="false" outlineLevel="0" collapsed="false">
      <c r="A9557" s="103"/>
      <c r="B9557" s="104"/>
      <c r="C9557" s="104"/>
      <c r="E9557" s="107" t="str">
        <f aca="false">IF($C9557="","",IFERROR(INDEX(المنيو!$C$2:$C$500,MATCH($C9557,المنيو!$B$2:$B$500,0)),0))</f>
        <v/>
      </c>
      <c r="F9557" s="107" t="str">
        <f aca="false">IF($C9557="","",$D9557*$E9557)</f>
        <v/>
      </c>
      <c r="G9557" s="107" t="str">
        <f aca="false">IF($C9557="","",$D9557*IFERROR(INDEX('تحليل التكلفة والسعر'!$C$2:$C$700,MATCH($C9557,'تحليل التكلفة والسعر'!$B$2:$B$700,0)),0))</f>
        <v/>
      </c>
    </row>
    <row r="9558" customFormat="false" ht="15" hidden="false" customHeight="false" outlineLevel="0" collapsed="false">
      <c r="A9558" s="103"/>
      <c r="B9558" s="104"/>
      <c r="C9558" s="104"/>
      <c r="E9558" s="107" t="str">
        <f aca="false">IF($C9558="","",IFERROR(INDEX(المنيو!$C$2:$C$500,MATCH($C9558,المنيو!$B$2:$B$500,0)),0))</f>
        <v/>
      </c>
      <c r="F9558" s="107" t="str">
        <f aca="false">IF($C9558="","",$D9558*$E9558)</f>
        <v/>
      </c>
      <c r="G9558" s="107" t="str">
        <f aca="false">IF($C9558="","",$D9558*IFERROR(INDEX('تحليل التكلفة والسعر'!$C$2:$C$700,MATCH($C9558,'تحليل التكلفة والسعر'!$B$2:$B$700,0)),0))</f>
        <v/>
      </c>
    </row>
    <row r="9559" customFormat="false" ht="15" hidden="false" customHeight="false" outlineLevel="0" collapsed="false">
      <c r="A9559" s="103"/>
      <c r="B9559" s="104"/>
      <c r="C9559" s="104"/>
      <c r="E9559" s="107" t="str">
        <f aca="false">IF($C9559="","",IFERROR(INDEX(المنيو!$C$2:$C$500,MATCH($C9559,المنيو!$B$2:$B$500,0)),0))</f>
        <v/>
      </c>
      <c r="F9559" s="107" t="str">
        <f aca="false">IF($C9559="","",$D9559*$E9559)</f>
        <v/>
      </c>
      <c r="G9559" s="107" t="str">
        <f aca="false">IF($C9559="","",$D9559*IFERROR(INDEX('تحليل التكلفة والسعر'!$C$2:$C$700,MATCH($C9559,'تحليل التكلفة والسعر'!$B$2:$B$700,0)),0))</f>
        <v/>
      </c>
    </row>
    <row r="9560" customFormat="false" ht="15" hidden="false" customHeight="false" outlineLevel="0" collapsed="false">
      <c r="A9560" s="103"/>
      <c r="B9560" s="104"/>
      <c r="C9560" s="104"/>
      <c r="E9560" s="107" t="str">
        <f aca="false">IF($C9560="","",IFERROR(INDEX(المنيو!$C$2:$C$500,MATCH($C9560,المنيو!$B$2:$B$500,0)),0))</f>
        <v/>
      </c>
      <c r="F9560" s="107" t="str">
        <f aca="false">IF($C9560="","",$D9560*$E9560)</f>
        <v/>
      </c>
      <c r="G9560" s="107" t="str">
        <f aca="false">IF($C9560="","",$D9560*IFERROR(INDEX('تحليل التكلفة والسعر'!$C$2:$C$700,MATCH($C9560,'تحليل التكلفة والسعر'!$B$2:$B$700,0)),0))</f>
        <v/>
      </c>
    </row>
    <row r="9561" customFormat="false" ht="15" hidden="false" customHeight="false" outlineLevel="0" collapsed="false">
      <c r="A9561" s="103"/>
      <c r="B9561" s="104"/>
      <c r="C9561" s="104"/>
      <c r="E9561" s="107" t="str">
        <f aca="false">IF($C9561="","",IFERROR(INDEX(المنيو!$C$2:$C$500,MATCH($C9561,المنيو!$B$2:$B$500,0)),0))</f>
        <v/>
      </c>
      <c r="F9561" s="107" t="str">
        <f aca="false">IF($C9561="","",$D9561*$E9561)</f>
        <v/>
      </c>
      <c r="G9561" s="107" t="str">
        <f aca="false">IF($C9561="","",$D9561*IFERROR(INDEX('تحليل التكلفة والسعر'!$C$2:$C$700,MATCH($C9561,'تحليل التكلفة والسعر'!$B$2:$B$700,0)),0))</f>
        <v/>
      </c>
    </row>
    <row r="9562" customFormat="false" ht="15" hidden="false" customHeight="false" outlineLevel="0" collapsed="false">
      <c r="A9562" s="103"/>
      <c r="B9562" s="104"/>
      <c r="C9562" s="104"/>
      <c r="E9562" s="107" t="str">
        <f aca="false">IF($C9562="","",IFERROR(INDEX(المنيو!$C$2:$C$500,MATCH($C9562,المنيو!$B$2:$B$500,0)),0))</f>
        <v/>
      </c>
      <c r="F9562" s="107" t="str">
        <f aca="false">IF($C9562="","",$D9562*$E9562)</f>
        <v/>
      </c>
      <c r="G9562" s="107" t="str">
        <f aca="false">IF($C9562="","",$D9562*IFERROR(INDEX('تحليل التكلفة والسعر'!$C$2:$C$700,MATCH($C9562,'تحليل التكلفة والسعر'!$B$2:$B$700,0)),0))</f>
        <v/>
      </c>
    </row>
    <row r="9563" customFormat="false" ht="15" hidden="false" customHeight="false" outlineLevel="0" collapsed="false">
      <c r="A9563" s="103"/>
      <c r="B9563" s="104"/>
      <c r="C9563" s="104"/>
      <c r="E9563" s="107" t="str">
        <f aca="false">IF($C9563="","",IFERROR(INDEX(المنيو!$C$2:$C$500,MATCH($C9563,المنيو!$B$2:$B$500,0)),0))</f>
        <v/>
      </c>
      <c r="F9563" s="107" t="str">
        <f aca="false">IF($C9563="","",$D9563*$E9563)</f>
        <v/>
      </c>
      <c r="G9563" s="107" t="str">
        <f aca="false">IF($C9563="","",$D9563*IFERROR(INDEX('تحليل التكلفة والسعر'!$C$2:$C$700,MATCH($C9563,'تحليل التكلفة والسعر'!$B$2:$B$700,0)),0))</f>
        <v/>
      </c>
    </row>
    <row r="9564" customFormat="false" ht="15" hidden="false" customHeight="false" outlineLevel="0" collapsed="false">
      <c r="A9564" s="103"/>
      <c r="B9564" s="104"/>
      <c r="C9564" s="104"/>
      <c r="E9564" s="107" t="str">
        <f aca="false">IF($C9564="","",IFERROR(INDEX(المنيو!$C$2:$C$500,MATCH($C9564,المنيو!$B$2:$B$500,0)),0))</f>
        <v/>
      </c>
      <c r="F9564" s="107" t="str">
        <f aca="false">IF($C9564="","",$D9564*$E9564)</f>
        <v/>
      </c>
      <c r="G9564" s="107" t="str">
        <f aca="false">IF($C9564="","",$D9564*IFERROR(INDEX('تحليل التكلفة والسعر'!$C$2:$C$700,MATCH($C9564,'تحليل التكلفة والسعر'!$B$2:$B$700,0)),0))</f>
        <v/>
      </c>
    </row>
    <row r="9565" customFormat="false" ht="15" hidden="false" customHeight="false" outlineLevel="0" collapsed="false">
      <c r="A9565" s="103"/>
      <c r="B9565" s="104"/>
      <c r="C9565" s="104"/>
      <c r="E9565" s="107" t="str">
        <f aca="false">IF($C9565="","",IFERROR(INDEX(المنيو!$C$2:$C$500,MATCH($C9565,المنيو!$B$2:$B$500,0)),0))</f>
        <v/>
      </c>
      <c r="F9565" s="107" t="str">
        <f aca="false">IF($C9565="","",$D9565*$E9565)</f>
        <v/>
      </c>
      <c r="G9565" s="107" t="str">
        <f aca="false">IF($C9565="","",$D9565*IFERROR(INDEX('تحليل التكلفة والسعر'!$C$2:$C$700,MATCH($C9565,'تحليل التكلفة والسعر'!$B$2:$B$700,0)),0))</f>
        <v/>
      </c>
    </row>
    <row r="9566" customFormat="false" ht="15" hidden="false" customHeight="false" outlineLevel="0" collapsed="false">
      <c r="A9566" s="103"/>
      <c r="B9566" s="104"/>
      <c r="C9566" s="104"/>
      <c r="E9566" s="107" t="str">
        <f aca="false">IF($C9566="","",IFERROR(INDEX(المنيو!$C$2:$C$500,MATCH($C9566,المنيو!$B$2:$B$500,0)),0))</f>
        <v/>
      </c>
      <c r="F9566" s="107" t="str">
        <f aca="false">IF($C9566="","",$D9566*$E9566)</f>
        <v/>
      </c>
      <c r="G9566" s="107" t="str">
        <f aca="false">IF($C9566="","",$D9566*IFERROR(INDEX('تحليل التكلفة والسعر'!$C$2:$C$700,MATCH($C9566,'تحليل التكلفة والسعر'!$B$2:$B$700,0)),0))</f>
        <v/>
      </c>
    </row>
    <row r="9567" customFormat="false" ht="15" hidden="false" customHeight="false" outlineLevel="0" collapsed="false">
      <c r="A9567" s="103"/>
      <c r="B9567" s="104"/>
      <c r="C9567" s="104"/>
      <c r="E9567" s="107" t="str">
        <f aca="false">IF($C9567="","",IFERROR(INDEX(المنيو!$C$2:$C$500,MATCH($C9567,المنيو!$B$2:$B$500,0)),0))</f>
        <v/>
      </c>
      <c r="F9567" s="107" t="str">
        <f aca="false">IF($C9567="","",$D9567*$E9567)</f>
        <v/>
      </c>
      <c r="G9567" s="107" t="str">
        <f aca="false">IF($C9567="","",$D9567*IFERROR(INDEX('تحليل التكلفة والسعر'!$C$2:$C$700,MATCH($C9567,'تحليل التكلفة والسعر'!$B$2:$B$700,0)),0))</f>
        <v/>
      </c>
    </row>
    <row r="9568" customFormat="false" ht="15" hidden="false" customHeight="false" outlineLevel="0" collapsed="false">
      <c r="A9568" s="103"/>
      <c r="B9568" s="104"/>
      <c r="C9568" s="104"/>
      <c r="E9568" s="107" t="str">
        <f aca="false">IF($C9568="","",IFERROR(INDEX(المنيو!$C$2:$C$500,MATCH($C9568,المنيو!$B$2:$B$500,0)),0))</f>
        <v/>
      </c>
      <c r="F9568" s="107" t="str">
        <f aca="false">IF($C9568="","",$D9568*$E9568)</f>
        <v/>
      </c>
      <c r="G9568" s="107" t="str">
        <f aca="false">IF($C9568="","",$D9568*IFERROR(INDEX('تحليل التكلفة والسعر'!$C$2:$C$700,MATCH($C9568,'تحليل التكلفة والسعر'!$B$2:$B$700,0)),0))</f>
        <v/>
      </c>
    </row>
    <row r="9569" customFormat="false" ht="15" hidden="false" customHeight="false" outlineLevel="0" collapsed="false">
      <c r="A9569" s="103"/>
      <c r="B9569" s="104"/>
      <c r="C9569" s="104"/>
      <c r="E9569" s="107" t="str">
        <f aca="false">IF($C9569="","",IFERROR(INDEX(المنيو!$C$2:$C$500,MATCH($C9569,المنيو!$B$2:$B$500,0)),0))</f>
        <v/>
      </c>
      <c r="F9569" s="107" t="str">
        <f aca="false">IF($C9569="","",$D9569*$E9569)</f>
        <v/>
      </c>
      <c r="G9569" s="107" t="str">
        <f aca="false">IF($C9569="","",$D9569*IFERROR(INDEX('تحليل التكلفة والسعر'!$C$2:$C$700,MATCH($C9569,'تحليل التكلفة والسعر'!$B$2:$B$700,0)),0))</f>
        <v/>
      </c>
    </row>
    <row r="9570" customFormat="false" ht="15" hidden="false" customHeight="false" outlineLevel="0" collapsed="false">
      <c r="A9570" s="103"/>
      <c r="B9570" s="104"/>
      <c r="C9570" s="104"/>
      <c r="E9570" s="107" t="str">
        <f aca="false">IF($C9570="","",IFERROR(INDEX(المنيو!$C$2:$C$500,MATCH($C9570,المنيو!$B$2:$B$500,0)),0))</f>
        <v/>
      </c>
      <c r="F9570" s="107" t="str">
        <f aca="false">IF($C9570="","",$D9570*$E9570)</f>
        <v/>
      </c>
      <c r="G9570" s="107" t="str">
        <f aca="false">IF($C9570="","",$D9570*IFERROR(INDEX('تحليل التكلفة والسعر'!$C$2:$C$700,MATCH($C9570,'تحليل التكلفة والسعر'!$B$2:$B$700,0)),0))</f>
        <v/>
      </c>
    </row>
    <row r="9571" customFormat="false" ht="15" hidden="false" customHeight="false" outlineLevel="0" collapsed="false">
      <c r="A9571" s="103"/>
      <c r="B9571" s="104"/>
      <c r="C9571" s="104"/>
      <c r="E9571" s="107" t="str">
        <f aca="false">IF($C9571="","",IFERROR(INDEX(المنيو!$C$2:$C$500,MATCH($C9571,المنيو!$B$2:$B$500,0)),0))</f>
        <v/>
      </c>
      <c r="F9571" s="107" t="str">
        <f aca="false">IF($C9571="","",$D9571*$E9571)</f>
        <v/>
      </c>
      <c r="G9571" s="107" t="str">
        <f aca="false">IF($C9571="","",$D9571*IFERROR(INDEX('تحليل التكلفة والسعر'!$C$2:$C$700,MATCH($C9571,'تحليل التكلفة والسعر'!$B$2:$B$700,0)),0))</f>
        <v/>
      </c>
    </row>
    <row r="9572" customFormat="false" ht="15" hidden="false" customHeight="false" outlineLevel="0" collapsed="false">
      <c r="A9572" s="103"/>
      <c r="B9572" s="104"/>
      <c r="C9572" s="104"/>
      <c r="E9572" s="107" t="str">
        <f aca="false">IF($C9572="","",IFERROR(INDEX(المنيو!$C$2:$C$500,MATCH($C9572,المنيو!$B$2:$B$500,0)),0))</f>
        <v/>
      </c>
      <c r="F9572" s="107" t="str">
        <f aca="false">IF($C9572="","",$D9572*$E9572)</f>
        <v/>
      </c>
      <c r="G9572" s="107" t="str">
        <f aca="false">IF($C9572="","",$D9572*IFERROR(INDEX('تحليل التكلفة والسعر'!$C$2:$C$700,MATCH($C9572,'تحليل التكلفة والسعر'!$B$2:$B$700,0)),0))</f>
        <v/>
      </c>
    </row>
    <row r="9573" customFormat="false" ht="15" hidden="false" customHeight="false" outlineLevel="0" collapsed="false">
      <c r="A9573" s="103"/>
      <c r="B9573" s="104"/>
      <c r="C9573" s="104"/>
      <c r="E9573" s="107" t="str">
        <f aca="false">IF($C9573="","",IFERROR(INDEX(المنيو!$C$2:$C$500,MATCH($C9573,المنيو!$B$2:$B$500,0)),0))</f>
        <v/>
      </c>
      <c r="F9573" s="107" t="str">
        <f aca="false">IF($C9573="","",$D9573*$E9573)</f>
        <v/>
      </c>
      <c r="G9573" s="107" t="str">
        <f aca="false">IF($C9573="","",$D9573*IFERROR(INDEX('تحليل التكلفة والسعر'!$C$2:$C$700,MATCH($C9573,'تحليل التكلفة والسعر'!$B$2:$B$700,0)),0))</f>
        <v/>
      </c>
    </row>
    <row r="9574" customFormat="false" ht="15" hidden="false" customHeight="false" outlineLevel="0" collapsed="false">
      <c r="A9574" s="103"/>
      <c r="B9574" s="104"/>
      <c r="C9574" s="104"/>
      <c r="E9574" s="107" t="str">
        <f aca="false">IF($C9574="","",IFERROR(INDEX(المنيو!$C$2:$C$500,MATCH($C9574,المنيو!$B$2:$B$500,0)),0))</f>
        <v/>
      </c>
      <c r="F9574" s="107" t="str">
        <f aca="false">IF($C9574="","",$D9574*$E9574)</f>
        <v/>
      </c>
      <c r="G9574" s="107" t="str">
        <f aca="false">IF($C9574="","",$D9574*IFERROR(INDEX('تحليل التكلفة والسعر'!$C$2:$C$700,MATCH($C9574,'تحليل التكلفة والسعر'!$B$2:$B$700,0)),0))</f>
        <v/>
      </c>
    </row>
    <row r="9575" customFormat="false" ht="15" hidden="false" customHeight="false" outlineLevel="0" collapsed="false">
      <c r="A9575" s="103"/>
      <c r="B9575" s="104"/>
      <c r="C9575" s="104"/>
      <c r="E9575" s="107" t="str">
        <f aca="false">IF($C9575="","",IFERROR(INDEX(المنيو!$C$2:$C$500,MATCH($C9575,المنيو!$B$2:$B$500,0)),0))</f>
        <v/>
      </c>
      <c r="F9575" s="107" t="str">
        <f aca="false">IF($C9575="","",$D9575*$E9575)</f>
        <v/>
      </c>
      <c r="G9575" s="107" t="str">
        <f aca="false">IF($C9575="","",$D9575*IFERROR(INDEX('تحليل التكلفة والسعر'!$C$2:$C$700,MATCH($C9575,'تحليل التكلفة والسعر'!$B$2:$B$700,0)),0))</f>
        <v/>
      </c>
    </row>
    <row r="9576" customFormat="false" ht="15" hidden="false" customHeight="false" outlineLevel="0" collapsed="false">
      <c r="A9576" s="103"/>
      <c r="B9576" s="104"/>
      <c r="C9576" s="104"/>
      <c r="E9576" s="107" t="str">
        <f aca="false">IF($C9576="","",IFERROR(INDEX(المنيو!$C$2:$C$500,MATCH($C9576,المنيو!$B$2:$B$500,0)),0))</f>
        <v/>
      </c>
      <c r="F9576" s="107" t="str">
        <f aca="false">IF($C9576="","",$D9576*$E9576)</f>
        <v/>
      </c>
      <c r="G9576" s="107" t="str">
        <f aca="false">IF($C9576="","",$D9576*IFERROR(INDEX('تحليل التكلفة والسعر'!$C$2:$C$700,MATCH($C9576,'تحليل التكلفة والسعر'!$B$2:$B$700,0)),0))</f>
        <v/>
      </c>
    </row>
    <row r="9577" customFormat="false" ht="15" hidden="false" customHeight="false" outlineLevel="0" collapsed="false">
      <c r="A9577" s="103"/>
      <c r="B9577" s="104"/>
      <c r="C9577" s="104"/>
      <c r="E9577" s="107" t="str">
        <f aca="false">IF($C9577="","",IFERROR(INDEX(المنيو!$C$2:$C$500,MATCH($C9577,المنيو!$B$2:$B$500,0)),0))</f>
        <v/>
      </c>
      <c r="F9577" s="107" t="str">
        <f aca="false">IF($C9577="","",$D9577*$E9577)</f>
        <v/>
      </c>
      <c r="G9577" s="107" t="str">
        <f aca="false">IF($C9577="","",$D9577*IFERROR(INDEX('تحليل التكلفة والسعر'!$C$2:$C$700,MATCH($C9577,'تحليل التكلفة والسعر'!$B$2:$B$700,0)),0))</f>
        <v/>
      </c>
    </row>
    <row r="9578" customFormat="false" ht="15" hidden="false" customHeight="false" outlineLevel="0" collapsed="false">
      <c r="A9578" s="103"/>
      <c r="B9578" s="104"/>
      <c r="C9578" s="104"/>
      <c r="E9578" s="107" t="str">
        <f aca="false">IF($C9578="","",IFERROR(INDEX(المنيو!$C$2:$C$500,MATCH($C9578,المنيو!$B$2:$B$500,0)),0))</f>
        <v/>
      </c>
      <c r="F9578" s="107" t="str">
        <f aca="false">IF($C9578="","",$D9578*$E9578)</f>
        <v/>
      </c>
      <c r="G9578" s="107" t="str">
        <f aca="false">IF($C9578="","",$D9578*IFERROR(INDEX('تحليل التكلفة والسعر'!$C$2:$C$700,MATCH($C9578,'تحليل التكلفة والسعر'!$B$2:$B$700,0)),0))</f>
        <v/>
      </c>
    </row>
    <row r="9579" customFormat="false" ht="15" hidden="false" customHeight="false" outlineLevel="0" collapsed="false">
      <c r="A9579" s="103"/>
      <c r="B9579" s="104"/>
      <c r="C9579" s="104"/>
      <c r="E9579" s="107" t="str">
        <f aca="false">IF($C9579="","",IFERROR(INDEX(المنيو!$C$2:$C$500,MATCH($C9579,المنيو!$B$2:$B$500,0)),0))</f>
        <v/>
      </c>
      <c r="F9579" s="107" t="str">
        <f aca="false">IF($C9579="","",$D9579*$E9579)</f>
        <v/>
      </c>
      <c r="G9579" s="107" t="str">
        <f aca="false">IF($C9579="","",$D9579*IFERROR(INDEX('تحليل التكلفة والسعر'!$C$2:$C$700,MATCH($C9579,'تحليل التكلفة والسعر'!$B$2:$B$700,0)),0))</f>
        <v/>
      </c>
    </row>
    <row r="9580" customFormat="false" ht="15" hidden="false" customHeight="false" outlineLevel="0" collapsed="false">
      <c r="A9580" s="103"/>
      <c r="B9580" s="104"/>
      <c r="C9580" s="104"/>
      <c r="E9580" s="107" t="str">
        <f aca="false">IF($C9580="","",IFERROR(INDEX(المنيو!$C$2:$C$500,MATCH($C9580,المنيو!$B$2:$B$500,0)),0))</f>
        <v/>
      </c>
      <c r="F9580" s="107" t="str">
        <f aca="false">IF($C9580="","",$D9580*$E9580)</f>
        <v/>
      </c>
      <c r="G9580" s="107" t="str">
        <f aca="false">IF($C9580="","",$D9580*IFERROR(INDEX('تحليل التكلفة والسعر'!$C$2:$C$700,MATCH($C9580,'تحليل التكلفة والسعر'!$B$2:$B$700,0)),0))</f>
        <v/>
      </c>
    </row>
    <row r="9581" customFormat="false" ht="15" hidden="false" customHeight="false" outlineLevel="0" collapsed="false">
      <c r="A9581" s="103"/>
      <c r="B9581" s="104"/>
      <c r="C9581" s="104"/>
      <c r="E9581" s="107" t="str">
        <f aca="false">IF($C9581="","",IFERROR(INDEX(المنيو!$C$2:$C$500,MATCH($C9581,المنيو!$B$2:$B$500,0)),0))</f>
        <v/>
      </c>
      <c r="F9581" s="107" t="str">
        <f aca="false">IF($C9581="","",$D9581*$E9581)</f>
        <v/>
      </c>
      <c r="G9581" s="107" t="str">
        <f aca="false">IF($C9581="","",$D9581*IFERROR(INDEX('تحليل التكلفة والسعر'!$C$2:$C$700,MATCH($C9581,'تحليل التكلفة والسعر'!$B$2:$B$700,0)),0))</f>
        <v/>
      </c>
    </row>
    <row r="9582" customFormat="false" ht="15" hidden="false" customHeight="false" outlineLevel="0" collapsed="false">
      <c r="A9582" s="103"/>
      <c r="B9582" s="104"/>
      <c r="C9582" s="104"/>
      <c r="E9582" s="107" t="str">
        <f aca="false">IF($C9582="","",IFERROR(INDEX(المنيو!$C$2:$C$500,MATCH($C9582,المنيو!$B$2:$B$500,0)),0))</f>
        <v/>
      </c>
      <c r="F9582" s="107" t="str">
        <f aca="false">IF($C9582="","",$D9582*$E9582)</f>
        <v/>
      </c>
      <c r="G9582" s="107" t="str">
        <f aca="false">IF($C9582="","",$D9582*IFERROR(INDEX('تحليل التكلفة والسعر'!$C$2:$C$700,MATCH($C9582,'تحليل التكلفة والسعر'!$B$2:$B$700,0)),0))</f>
        <v/>
      </c>
    </row>
    <row r="9583" customFormat="false" ht="15" hidden="false" customHeight="false" outlineLevel="0" collapsed="false">
      <c r="A9583" s="103"/>
      <c r="B9583" s="104"/>
      <c r="C9583" s="104"/>
      <c r="E9583" s="107" t="str">
        <f aca="false">IF($C9583="","",IFERROR(INDEX(المنيو!$C$2:$C$500,MATCH($C9583,المنيو!$B$2:$B$500,0)),0))</f>
        <v/>
      </c>
      <c r="F9583" s="107" t="str">
        <f aca="false">IF($C9583="","",$D9583*$E9583)</f>
        <v/>
      </c>
      <c r="G9583" s="107" t="str">
        <f aca="false">IF($C9583="","",$D9583*IFERROR(INDEX('تحليل التكلفة والسعر'!$C$2:$C$700,MATCH($C9583,'تحليل التكلفة والسعر'!$B$2:$B$700,0)),0))</f>
        <v/>
      </c>
    </row>
    <row r="9584" customFormat="false" ht="15" hidden="false" customHeight="false" outlineLevel="0" collapsed="false">
      <c r="A9584" s="103"/>
      <c r="B9584" s="104"/>
      <c r="C9584" s="104"/>
      <c r="E9584" s="107" t="str">
        <f aca="false">IF($C9584="","",IFERROR(INDEX(المنيو!$C$2:$C$500,MATCH($C9584,المنيو!$B$2:$B$500,0)),0))</f>
        <v/>
      </c>
      <c r="F9584" s="107" t="str">
        <f aca="false">IF($C9584="","",$D9584*$E9584)</f>
        <v/>
      </c>
      <c r="G9584" s="107" t="str">
        <f aca="false">IF($C9584="","",$D9584*IFERROR(INDEX('تحليل التكلفة والسعر'!$C$2:$C$700,MATCH($C9584,'تحليل التكلفة والسعر'!$B$2:$B$700,0)),0))</f>
        <v/>
      </c>
    </row>
    <row r="9585" customFormat="false" ht="15" hidden="false" customHeight="false" outlineLevel="0" collapsed="false">
      <c r="A9585" s="103"/>
      <c r="B9585" s="104"/>
      <c r="C9585" s="104"/>
      <c r="E9585" s="107" t="str">
        <f aca="false">IF($C9585="","",IFERROR(INDEX(المنيو!$C$2:$C$500,MATCH($C9585,المنيو!$B$2:$B$500,0)),0))</f>
        <v/>
      </c>
      <c r="F9585" s="107" t="str">
        <f aca="false">IF($C9585="","",$D9585*$E9585)</f>
        <v/>
      </c>
      <c r="G9585" s="107" t="str">
        <f aca="false">IF($C9585="","",$D9585*IFERROR(INDEX('تحليل التكلفة والسعر'!$C$2:$C$700,MATCH($C9585,'تحليل التكلفة والسعر'!$B$2:$B$700,0)),0))</f>
        <v/>
      </c>
    </row>
    <row r="9586" customFormat="false" ht="15" hidden="false" customHeight="false" outlineLevel="0" collapsed="false">
      <c r="A9586" s="103"/>
      <c r="B9586" s="104"/>
      <c r="C9586" s="104"/>
      <c r="E9586" s="107" t="str">
        <f aca="false">IF($C9586="","",IFERROR(INDEX(المنيو!$C$2:$C$500,MATCH($C9586,المنيو!$B$2:$B$500,0)),0))</f>
        <v/>
      </c>
      <c r="F9586" s="107" t="str">
        <f aca="false">IF($C9586="","",$D9586*$E9586)</f>
        <v/>
      </c>
      <c r="G9586" s="107" t="str">
        <f aca="false">IF($C9586="","",$D9586*IFERROR(INDEX('تحليل التكلفة والسعر'!$C$2:$C$700,MATCH($C9586,'تحليل التكلفة والسعر'!$B$2:$B$700,0)),0))</f>
        <v/>
      </c>
    </row>
    <row r="9587" customFormat="false" ht="15" hidden="false" customHeight="false" outlineLevel="0" collapsed="false">
      <c r="A9587" s="103"/>
      <c r="B9587" s="104"/>
      <c r="C9587" s="104"/>
      <c r="E9587" s="107" t="str">
        <f aca="false">IF($C9587="","",IFERROR(INDEX(المنيو!$C$2:$C$500,MATCH($C9587,المنيو!$B$2:$B$500,0)),0))</f>
        <v/>
      </c>
      <c r="F9587" s="107" t="str">
        <f aca="false">IF($C9587="","",$D9587*$E9587)</f>
        <v/>
      </c>
      <c r="G9587" s="107" t="str">
        <f aca="false">IF($C9587="","",$D9587*IFERROR(INDEX('تحليل التكلفة والسعر'!$C$2:$C$700,MATCH($C9587,'تحليل التكلفة والسعر'!$B$2:$B$700,0)),0))</f>
        <v/>
      </c>
    </row>
    <row r="9588" customFormat="false" ht="15" hidden="false" customHeight="false" outlineLevel="0" collapsed="false">
      <c r="A9588" s="103"/>
      <c r="B9588" s="104"/>
      <c r="C9588" s="104"/>
      <c r="E9588" s="107" t="str">
        <f aca="false">IF($C9588="","",IFERROR(INDEX(المنيو!$C$2:$C$500,MATCH($C9588,المنيو!$B$2:$B$500,0)),0))</f>
        <v/>
      </c>
      <c r="F9588" s="107" t="str">
        <f aca="false">IF($C9588="","",$D9588*$E9588)</f>
        <v/>
      </c>
      <c r="G9588" s="107" t="str">
        <f aca="false">IF($C9588="","",$D9588*IFERROR(INDEX('تحليل التكلفة والسعر'!$C$2:$C$700,MATCH($C9588,'تحليل التكلفة والسعر'!$B$2:$B$700,0)),0))</f>
        <v/>
      </c>
    </row>
    <row r="9589" customFormat="false" ht="15" hidden="false" customHeight="false" outlineLevel="0" collapsed="false">
      <c r="A9589" s="103"/>
      <c r="B9589" s="104"/>
      <c r="C9589" s="104"/>
      <c r="E9589" s="107" t="str">
        <f aca="false">IF($C9589="","",IFERROR(INDEX(المنيو!$C$2:$C$500,MATCH($C9589,المنيو!$B$2:$B$500,0)),0))</f>
        <v/>
      </c>
      <c r="F9589" s="107" t="str">
        <f aca="false">IF($C9589="","",$D9589*$E9589)</f>
        <v/>
      </c>
      <c r="G9589" s="107" t="str">
        <f aca="false">IF($C9589="","",$D9589*IFERROR(INDEX('تحليل التكلفة والسعر'!$C$2:$C$700,MATCH($C9589,'تحليل التكلفة والسعر'!$B$2:$B$700,0)),0))</f>
        <v/>
      </c>
    </row>
    <row r="9590" customFormat="false" ht="15" hidden="false" customHeight="false" outlineLevel="0" collapsed="false">
      <c r="A9590" s="103"/>
      <c r="B9590" s="104"/>
      <c r="C9590" s="104"/>
      <c r="E9590" s="107" t="str">
        <f aca="false">IF($C9590="","",IFERROR(INDEX(المنيو!$C$2:$C$500,MATCH($C9590,المنيو!$B$2:$B$500,0)),0))</f>
        <v/>
      </c>
      <c r="F9590" s="107" t="str">
        <f aca="false">IF($C9590="","",$D9590*$E9590)</f>
        <v/>
      </c>
      <c r="G9590" s="107" t="str">
        <f aca="false">IF($C9590="","",$D9590*IFERROR(INDEX('تحليل التكلفة والسعر'!$C$2:$C$700,MATCH($C9590,'تحليل التكلفة والسعر'!$B$2:$B$700,0)),0))</f>
        <v/>
      </c>
    </row>
    <row r="9591" customFormat="false" ht="15" hidden="false" customHeight="false" outlineLevel="0" collapsed="false">
      <c r="A9591" s="103"/>
      <c r="B9591" s="104"/>
      <c r="C9591" s="104"/>
      <c r="E9591" s="107" t="str">
        <f aca="false">IF($C9591="","",IFERROR(INDEX(المنيو!$C$2:$C$500,MATCH($C9591,المنيو!$B$2:$B$500,0)),0))</f>
        <v/>
      </c>
      <c r="F9591" s="107" t="str">
        <f aca="false">IF($C9591="","",$D9591*$E9591)</f>
        <v/>
      </c>
      <c r="G9591" s="107" t="str">
        <f aca="false">IF($C9591="","",$D9591*IFERROR(INDEX('تحليل التكلفة والسعر'!$C$2:$C$700,MATCH($C9591,'تحليل التكلفة والسعر'!$B$2:$B$700,0)),0))</f>
        <v/>
      </c>
    </row>
    <row r="9592" customFormat="false" ht="15" hidden="false" customHeight="false" outlineLevel="0" collapsed="false">
      <c r="A9592" s="103"/>
      <c r="B9592" s="104"/>
      <c r="C9592" s="104"/>
      <c r="E9592" s="107" t="str">
        <f aca="false">IF($C9592="","",IFERROR(INDEX(المنيو!$C$2:$C$500,MATCH($C9592,المنيو!$B$2:$B$500,0)),0))</f>
        <v/>
      </c>
      <c r="F9592" s="107" t="str">
        <f aca="false">IF($C9592="","",$D9592*$E9592)</f>
        <v/>
      </c>
      <c r="G9592" s="107" t="str">
        <f aca="false">IF($C9592="","",$D9592*IFERROR(INDEX('تحليل التكلفة والسعر'!$C$2:$C$700,MATCH($C9592,'تحليل التكلفة والسعر'!$B$2:$B$700,0)),0))</f>
        <v/>
      </c>
    </row>
    <row r="9593" customFormat="false" ht="15" hidden="false" customHeight="false" outlineLevel="0" collapsed="false">
      <c r="A9593" s="103"/>
      <c r="B9593" s="104"/>
      <c r="C9593" s="104"/>
      <c r="E9593" s="107" t="str">
        <f aca="false">IF($C9593="","",IFERROR(INDEX(المنيو!$C$2:$C$500,MATCH($C9593,المنيو!$B$2:$B$500,0)),0))</f>
        <v/>
      </c>
      <c r="F9593" s="107" t="str">
        <f aca="false">IF($C9593="","",$D9593*$E9593)</f>
        <v/>
      </c>
      <c r="G9593" s="107" t="str">
        <f aca="false">IF($C9593="","",$D9593*IFERROR(INDEX('تحليل التكلفة والسعر'!$C$2:$C$700,MATCH($C9593,'تحليل التكلفة والسعر'!$B$2:$B$700,0)),0))</f>
        <v/>
      </c>
    </row>
    <row r="9594" customFormat="false" ht="15" hidden="false" customHeight="false" outlineLevel="0" collapsed="false">
      <c r="A9594" s="103"/>
      <c r="B9594" s="104"/>
      <c r="C9594" s="104"/>
      <c r="E9594" s="107" t="str">
        <f aca="false">IF($C9594="","",IFERROR(INDEX(المنيو!$C$2:$C$500,MATCH($C9594,المنيو!$B$2:$B$500,0)),0))</f>
        <v/>
      </c>
      <c r="F9594" s="107" t="str">
        <f aca="false">IF($C9594="","",$D9594*$E9594)</f>
        <v/>
      </c>
      <c r="G9594" s="107" t="str">
        <f aca="false">IF($C9594="","",$D9594*IFERROR(INDEX('تحليل التكلفة والسعر'!$C$2:$C$700,MATCH($C9594,'تحليل التكلفة والسعر'!$B$2:$B$700,0)),0))</f>
        <v/>
      </c>
    </row>
    <row r="9595" customFormat="false" ht="15" hidden="false" customHeight="false" outlineLevel="0" collapsed="false">
      <c r="A9595" s="103"/>
      <c r="B9595" s="104"/>
      <c r="C9595" s="104"/>
      <c r="E9595" s="107" t="str">
        <f aca="false">IF($C9595="","",IFERROR(INDEX(المنيو!$C$2:$C$500,MATCH($C9595,المنيو!$B$2:$B$500,0)),0))</f>
        <v/>
      </c>
      <c r="F9595" s="107" t="str">
        <f aca="false">IF($C9595="","",$D9595*$E9595)</f>
        <v/>
      </c>
      <c r="G9595" s="107" t="str">
        <f aca="false">IF($C9595="","",$D9595*IFERROR(INDEX('تحليل التكلفة والسعر'!$C$2:$C$700,MATCH($C9595,'تحليل التكلفة والسعر'!$B$2:$B$700,0)),0))</f>
        <v/>
      </c>
    </row>
    <row r="9596" customFormat="false" ht="15" hidden="false" customHeight="false" outlineLevel="0" collapsed="false">
      <c r="A9596" s="103"/>
      <c r="B9596" s="104"/>
      <c r="C9596" s="104"/>
      <c r="E9596" s="107" t="str">
        <f aca="false">IF($C9596="","",IFERROR(INDEX(المنيو!$C$2:$C$500,MATCH($C9596,المنيو!$B$2:$B$500,0)),0))</f>
        <v/>
      </c>
      <c r="F9596" s="107" t="str">
        <f aca="false">IF($C9596="","",$D9596*$E9596)</f>
        <v/>
      </c>
      <c r="G9596" s="107" t="str">
        <f aca="false">IF($C9596="","",$D9596*IFERROR(INDEX('تحليل التكلفة والسعر'!$C$2:$C$700,MATCH($C9596,'تحليل التكلفة والسعر'!$B$2:$B$700,0)),0))</f>
        <v/>
      </c>
    </row>
    <row r="9597" customFormat="false" ht="15" hidden="false" customHeight="false" outlineLevel="0" collapsed="false">
      <c r="A9597" s="103"/>
      <c r="B9597" s="104"/>
      <c r="C9597" s="104"/>
      <c r="E9597" s="107" t="str">
        <f aca="false">IF($C9597="","",IFERROR(INDEX(المنيو!$C$2:$C$500,MATCH($C9597,المنيو!$B$2:$B$500,0)),0))</f>
        <v/>
      </c>
      <c r="F9597" s="107" t="str">
        <f aca="false">IF($C9597="","",$D9597*$E9597)</f>
        <v/>
      </c>
      <c r="G9597" s="107" t="str">
        <f aca="false">IF($C9597="","",$D9597*IFERROR(INDEX('تحليل التكلفة والسعر'!$C$2:$C$700,MATCH($C9597,'تحليل التكلفة والسعر'!$B$2:$B$700,0)),0))</f>
        <v/>
      </c>
    </row>
    <row r="9598" customFormat="false" ht="15" hidden="false" customHeight="false" outlineLevel="0" collapsed="false">
      <c r="A9598" s="103"/>
      <c r="B9598" s="104"/>
      <c r="C9598" s="104"/>
      <c r="E9598" s="107" t="str">
        <f aca="false">IF($C9598="","",IFERROR(INDEX(المنيو!$C$2:$C$500,MATCH($C9598,المنيو!$B$2:$B$500,0)),0))</f>
        <v/>
      </c>
      <c r="F9598" s="107" t="str">
        <f aca="false">IF($C9598="","",$D9598*$E9598)</f>
        <v/>
      </c>
      <c r="G9598" s="107" t="str">
        <f aca="false">IF($C9598="","",$D9598*IFERROR(INDEX('تحليل التكلفة والسعر'!$C$2:$C$700,MATCH($C9598,'تحليل التكلفة والسعر'!$B$2:$B$700,0)),0))</f>
        <v/>
      </c>
    </row>
    <row r="9599" customFormat="false" ht="15" hidden="false" customHeight="false" outlineLevel="0" collapsed="false">
      <c r="A9599" s="103"/>
      <c r="B9599" s="104"/>
      <c r="C9599" s="104"/>
      <c r="E9599" s="107" t="str">
        <f aca="false">IF($C9599="","",IFERROR(INDEX(المنيو!$C$2:$C$500,MATCH($C9599,المنيو!$B$2:$B$500,0)),0))</f>
        <v/>
      </c>
      <c r="F9599" s="107" t="str">
        <f aca="false">IF($C9599="","",$D9599*$E9599)</f>
        <v/>
      </c>
      <c r="G9599" s="107" t="str">
        <f aca="false">IF($C9599="","",$D9599*IFERROR(INDEX('تحليل التكلفة والسعر'!$C$2:$C$700,MATCH($C9599,'تحليل التكلفة والسعر'!$B$2:$B$700,0)),0))</f>
        <v/>
      </c>
    </row>
    <row r="9600" customFormat="false" ht="15" hidden="false" customHeight="false" outlineLevel="0" collapsed="false">
      <c r="A9600" s="103"/>
      <c r="B9600" s="104"/>
      <c r="C9600" s="104"/>
      <c r="E9600" s="107" t="str">
        <f aca="false">IF($C9600="","",IFERROR(INDEX(المنيو!$C$2:$C$500,MATCH($C9600,المنيو!$B$2:$B$500,0)),0))</f>
        <v/>
      </c>
      <c r="F9600" s="107" t="str">
        <f aca="false">IF($C9600="","",$D9600*$E9600)</f>
        <v/>
      </c>
      <c r="G9600" s="107" t="str">
        <f aca="false">IF($C9600="","",$D9600*IFERROR(INDEX('تحليل التكلفة والسعر'!$C$2:$C$700,MATCH($C9600,'تحليل التكلفة والسعر'!$B$2:$B$700,0)),0))</f>
        <v/>
      </c>
    </row>
    <row r="9601" customFormat="false" ht="15" hidden="false" customHeight="false" outlineLevel="0" collapsed="false">
      <c r="A9601" s="103"/>
      <c r="B9601" s="104"/>
      <c r="C9601" s="104"/>
      <c r="E9601" s="107" t="str">
        <f aca="false">IF($C9601="","",IFERROR(INDEX(المنيو!$C$2:$C$500,MATCH($C9601,المنيو!$B$2:$B$500,0)),0))</f>
        <v/>
      </c>
      <c r="F9601" s="107" t="str">
        <f aca="false">IF($C9601="","",$D9601*$E9601)</f>
        <v/>
      </c>
      <c r="G9601" s="107" t="str">
        <f aca="false">IF($C9601="","",$D9601*IFERROR(INDEX('تحليل التكلفة والسعر'!$C$2:$C$700,MATCH($C9601,'تحليل التكلفة والسعر'!$B$2:$B$700,0)),0))</f>
        <v/>
      </c>
    </row>
    <row r="9602" customFormat="false" ht="15" hidden="false" customHeight="false" outlineLevel="0" collapsed="false">
      <c r="A9602" s="103"/>
      <c r="B9602" s="104"/>
      <c r="C9602" s="104"/>
      <c r="E9602" s="107" t="str">
        <f aca="false">IF($C9602="","",IFERROR(INDEX(المنيو!$C$2:$C$500,MATCH($C9602,المنيو!$B$2:$B$500,0)),0))</f>
        <v/>
      </c>
      <c r="F9602" s="107" t="str">
        <f aca="false">IF($C9602="","",$D9602*$E9602)</f>
        <v/>
      </c>
      <c r="G9602" s="107" t="str">
        <f aca="false">IF($C9602="","",$D9602*IFERROR(INDEX('تحليل التكلفة والسعر'!$C$2:$C$700,MATCH($C9602,'تحليل التكلفة والسعر'!$B$2:$B$700,0)),0))</f>
        <v/>
      </c>
    </row>
    <row r="9603" customFormat="false" ht="15" hidden="false" customHeight="false" outlineLevel="0" collapsed="false">
      <c r="A9603" s="103"/>
      <c r="B9603" s="104"/>
      <c r="C9603" s="104"/>
      <c r="E9603" s="107" t="str">
        <f aca="false">IF($C9603="","",IFERROR(INDEX(المنيو!$C$2:$C$500,MATCH($C9603,المنيو!$B$2:$B$500,0)),0))</f>
        <v/>
      </c>
      <c r="F9603" s="107" t="str">
        <f aca="false">IF($C9603="","",$D9603*$E9603)</f>
        <v/>
      </c>
      <c r="G9603" s="107" t="str">
        <f aca="false">IF($C9603="","",$D9603*IFERROR(INDEX('تحليل التكلفة والسعر'!$C$2:$C$700,MATCH($C9603,'تحليل التكلفة والسعر'!$B$2:$B$700,0)),0))</f>
        <v/>
      </c>
    </row>
    <row r="9604" customFormat="false" ht="15" hidden="false" customHeight="false" outlineLevel="0" collapsed="false">
      <c r="A9604" s="103"/>
      <c r="B9604" s="104"/>
      <c r="C9604" s="104"/>
      <c r="E9604" s="107" t="str">
        <f aca="false">IF($C9604="","",IFERROR(INDEX(المنيو!$C$2:$C$500,MATCH($C9604,المنيو!$B$2:$B$500,0)),0))</f>
        <v/>
      </c>
      <c r="F9604" s="107" t="str">
        <f aca="false">IF($C9604="","",$D9604*$E9604)</f>
        <v/>
      </c>
      <c r="G9604" s="107" t="str">
        <f aca="false">IF($C9604="","",$D9604*IFERROR(INDEX('تحليل التكلفة والسعر'!$C$2:$C$700,MATCH($C9604,'تحليل التكلفة والسعر'!$B$2:$B$700,0)),0))</f>
        <v/>
      </c>
    </row>
    <row r="9605" customFormat="false" ht="15" hidden="false" customHeight="false" outlineLevel="0" collapsed="false">
      <c r="A9605" s="103"/>
      <c r="B9605" s="104"/>
      <c r="C9605" s="104"/>
      <c r="E9605" s="107" t="str">
        <f aca="false">IF($C9605="","",IFERROR(INDEX(المنيو!$C$2:$C$500,MATCH($C9605,المنيو!$B$2:$B$500,0)),0))</f>
        <v/>
      </c>
      <c r="F9605" s="107" t="str">
        <f aca="false">IF($C9605="","",$D9605*$E9605)</f>
        <v/>
      </c>
      <c r="G9605" s="107" t="str">
        <f aca="false">IF($C9605="","",$D9605*IFERROR(INDEX('تحليل التكلفة والسعر'!$C$2:$C$700,MATCH($C9605,'تحليل التكلفة والسعر'!$B$2:$B$700,0)),0))</f>
        <v/>
      </c>
    </row>
    <row r="9606" customFormat="false" ht="15" hidden="false" customHeight="false" outlineLevel="0" collapsed="false">
      <c r="A9606" s="103"/>
      <c r="B9606" s="104"/>
      <c r="C9606" s="104"/>
      <c r="E9606" s="107" t="str">
        <f aca="false">IF($C9606="","",IFERROR(INDEX(المنيو!$C$2:$C$500,MATCH($C9606,المنيو!$B$2:$B$500,0)),0))</f>
        <v/>
      </c>
      <c r="F9606" s="107" t="str">
        <f aca="false">IF($C9606="","",$D9606*$E9606)</f>
        <v/>
      </c>
      <c r="G9606" s="107" t="str">
        <f aca="false">IF($C9606="","",$D9606*IFERROR(INDEX('تحليل التكلفة والسعر'!$C$2:$C$700,MATCH($C9606,'تحليل التكلفة والسعر'!$B$2:$B$700,0)),0))</f>
        <v/>
      </c>
    </row>
    <row r="9607" customFormat="false" ht="15" hidden="false" customHeight="false" outlineLevel="0" collapsed="false">
      <c r="A9607" s="103"/>
      <c r="B9607" s="104"/>
      <c r="C9607" s="104"/>
      <c r="E9607" s="107" t="str">
        <f aca="false">IF($C9607="","",IFERROR(INDEX(المنيو!$C$2:$C$500,MATCH($C9607,المنيو!$B$2:$B$500,0)),0))</f>
        <v/>
      </c>
      <c r="F9607" s="107" t="str">
        <f aca="false">IF($C9607="","",$D9607*$E9607)</f>
        <v/>
      </c>
      <c r="G9607" s="107" t="str">
        <f aca="false">IF($C9607="","",$D9607*IFERROR(INDEX('تحليل التكلفة والسعر'!$C$2:$C$700,MATCH($C9607,'تحليل التكلفة والسعر'!$B$2:$B$700,0)),0))</f>
        <v/>
      </c>
    </row>
    <row r="9608" customFormat="false" ht="15" hidden="false" customHeight="false" outlineLevel="0" collapsed="false">
      <c r="A9608" s="103"/>
      <c r="B9608" s="104"/>
      <c r="C9608" s="104"/>
      <c r="E9608" s="107" t="str">
        <f aca="false">IF($C9608="","",IFERROR(INDEX(المنيو!$C$2:$C$500,MATCH($C9608,المنيو!$B$2:$B$500,0)),0))</f>
        <v/>
      </c>
      <c r="F9608" s="107" t="str">
        <f aca="false">IF($C9608="","",$D9608*$E9608)</f>
        <v/>
      </c>
      <c r="G9608" s="107" t="str">
        <f aca="false">IF($C9608="","",$D9608*IFERROR(INDEX('تحليل التكلفة والسعر'!$C$2:$C$700,MATCH($C9608,'تحليل التكلفة والسعر'!$B$2:$B$700,0)),0))</f>
        <v/>
      </c>
    </row>
    <row r="9609" customFormat="false" ht="15" hidden="false" customHeight="false" outlineLevel="0" collapsed="false">
      <c r="A9609" s="103"/>
      <c r="B9609" s="104"/>
      <c r="C9609" s="104"/>
      <c r="E9609" s="107" t="str">
        <f aca="false">IF($C9609="","",IFERROR(INDEX(المنيو!$C$2:$C$500,MATCH($C9609,المنيو!$B$2:$B$500,0)),0))</f>
        <v/>
      </c>
      <c r="F9609" s="107" t="str">
        <f aca="false">IF($C9609="","",$D9609*$E9609)</f>
        <v/>
      </c>
      <c r="G9609" s="107" t="str">
        <f aca="false">IF($C9609="","",$D9609*IFERROR(INDEX('تحليل التكلفة والسعر'!$C$2:$C$700,MATCH($C9609,'تحليل التكلفة والسعر'!$B$2:$B$700,0)),0))</f>
        <v/>
      </c>
    </row>
    <row r="9610" customFormat="false" ht="15" hidden="false" customHeight="false" outlineLevel="0" collapsed="false">
      <c r="A9610" s="103"/>
      <c r="B9610" s="104"/>
      <c r="C9610" s="104"/>
      <c r="E9610" s="107" t="str">
        <f aca="false">IF($C9610="","",IFERROR(INDEX(المنيو!$C$2:$C$500,MATCH($C9610,المنيو!$B$2:$B$500,0)),0))</f>
        <v/>
      </c>
      <c r="F9610" s="107" t="str">
        <f aca="false">IF($C9610="","",$D9610*$E9610)</f>
        <v/>
      </c>
      <c r="G9610" s="107" t="str">
        <f aca="false">IF($C9610="","",$D9610*IFERROR(INDEX('تحليل التكلفة والسعر'!$C$2:$C$700,MATCH($C9610,'تحليل التكلفة والسعر'!$B$2:$B$700,0)),0))</f>
        <v/>
      </c>
    </row>
    <row r="9611" customFormat="false" ht="15" hidden="false" customHeight="false" outlineLevel="0" collapsed="false">
      <c r="A9611" s="103"/>
      <c r="B9611" s="104"/>
      <c r="C9611" s="104"/>
      <c r="E9611" s="107" t="str">
        <f aca="false">IF($C9611="","",IFERROR(INDEX(المنيو!$C$2:$C$500,MATCH($C9611,المنيو!$B$2:$B$500,0)),0))</f>
        <v/>
      </c>
      <c r="F9611" s="107" t="str">
        <f aca="false">IF($C9611="","",$D9611*$E9611)</f>
        <v/>
      </c>
      <c r="G9611" s="107" t="str">
        <f aca="false">IF($C9611="","",$D9611*IFERROR(INDEX('تحليل التكلفة والسعر'!$C$2:$C$700,MATCH($C9611,'تحليل التكلفة والسعر'!$B$2:$B$700,0)),0))</f>
        <v/>
      </c>
    </row>
    <row r="9612" customFormat="false" ht="15" hidden="false" customHeight="false" outlineLevel="0" collapsed="false">
      <c r="A9612" s="103"/>
      <c r="B9612" s="104"/>
      <c r="C9612" s="104"/>
      <c r="E9612" s="107" t="str">
        <f aca="false">IF($C9612="","",IFERROR(INDEX(المنيو!$C$2:$C$500,MATCH($C9612,المنيو!$B$2:$B$500,0)),0))</f>
        <v/>
      </c>
      <c r="F9612" s="107" t="str">
        <f aca="false">IF($C9612="","",$D9612*$E9612)</f>
        <v/>
      </c>
      <c r="G9612" s="107" t="str">
        <f aca="false">IF($C9612="","",$D9612*IFERROR(INDEX('تحليل التكلفة والسعر'!$C$2:$C$700,MATCH($C9612,'تحليل التكلفة والسعر'!$B$2:$B$700,0)),0))</f>
        <v/>
      </c>
    </row>
    <row r="9613" customFormat="false" ht="15" hidden="false" customHeight="false" outlineLevel="0" collapsed="false">
      <c r="A9613" s="103"/>
      <c r="B9613" s="104"/>
      <c r="C9613" s="104"/>
      <c r="E9613" s="107" t="str">
        <f aca="false">IF($C9613="","",IFERROR(INDEX(المنيو!$C$2:$C$500,MATCH($C9613,المنيو!$B$2:$B$500,0)),0))</f>
        <v/>
      </c>
      <c r="F9613" s="107" t="str">
        <f aca="false">IF($C9613="","",$D9613*$E9613)</f>
        <v/>
      </c>
      <c r="G9613" s="107" t="str">
        <f aca="false">IF($C9613="","",$D9613*IFERROR(INDEX('تحليل التكلفة والسعر'!$C$2:$C$700,MATCH($C9613,'تحليل التكلفة والسعر'!$B$2:$B$700,0)),0))</f>
        <v/>
      </c>
    </row>
    <row r="9614" customFormat="false" ht="15" hidden="false" customHeight="false" outlineLevel="0" collapsed="false">
      <c r="A9614" s="103"/>
      <c r="B9614" s="104"/>
      <c r="C9614" s="104"/>
      <c r="E9614" s="107" t="str">
        <f aca="false">IF($C9614="","",IFERROR(INDEX(المنيو!$C$2:$C$500,MATCH($C9614,المنيو!$B$2:$B$500,0)),0))</f>
        <v/>
      </c>
      <c r="F9614" s="107" t="str">
        <f aca="false">IF($C9614="","",$D9614*$E9614)</f>
        <v/>
      </c>
      <c r="G9614" s="107" t="str">
        <f aca="false">IF($C9614="","",$D9614*IFERROR(INDEX('تحليل التكلفة والسعر'!$C$2:$C$700,MATCH($C9614,'تحليل التكلفة والسعر'!$B$2:$B$700,0)),0))</f>
        <v/>
      </c>
    </row>
    <row r="9615" customFormat="false" ht="15" hidden="false" customHeight="false" outlineLevel="0" collapsed="false">
      <c r="A9615" s="103"/>
      <c r="B9615" s="104"/>
      <c r="C9615" s="104"/>
      <c r="E9615" s="107" t="str">
        <f aca="false">IF($C9615="","",IFERROR(INDEX(المنيو!$C$2:$C$500,MATCH($C9615,المنيو!$B$2:$B$500,0)),0))</f>
        <v/>
      </c>
      <c r="F9615" s="107" t="str">
        <f aca="false">IF($C9615="","",$D9615*$E9615)</f>
        <v/>
      </c>
      <c r="G9615" s="107" t="str">
        <f aca="false">IF($C9615="","",$D9615*IFERROR(INDEX('تحليل التكلفة والسعر'!$C$2:$C$700,MATCH($C9615,'تحليل التكلفة والسعر'!$B$2:$B$700,0)),0))</f>
        <v/>
      </c>
    </row>
    <row r="9616" customFormat="false" ht="15" hidden="false" customHeight="false" outlineLevel="0" collapsed="false">
      <c r="A9616" s="103"/>
      <c r="B9616" s="104"/>
      <c r="C9616" s="104"/>
      <c r="E9616" s="107" t="str">
        <f aca="false">IF($C9616="","",IFERROR(INDEX(المنيو!$C$2:$C$500,MATCH($C9616,المنيو!$B$2:$B$500,0)),0))</f>
        <v/>
      </c>
      <c r="F9616" s="107" t="str">
        <f aca="false">IF($C9616="","",$D9616*$E9616)</f>
        <v/>
      </c>
      <c r="G9616" s="107" t="str">
        <f aca="false">IF($C9616="","",$D9616*IFERROR(INDEX('تحليل التكلفة والسعر'!$C$2:$C$700,MATCH($C9616,'تحليل التكلفة والسعر'!$B$2:$B$700,0)),0))</f>
        <v/>
      </c>
    </row>
    <row r="9617" customFormat="false" ht="15" hidden="false" customHeight="false" outlineLevel="0" collapsed="false">
      <c r="A9617" s="103"/>
      <c r="B9617" s="104"/>
      <c r="C9617" s="104"/>
      <c r="E9617" s="107" t="str">
        <f aca="false">IF($C9617="","",IFERROR(INDEX(المنيو!$C$2:$C$500,MATCH($C9617,المنيو!$B$2:$B$500,0)),0))</f>
        <v/>
      </c>
      <c r="F9617" s="107" t="str">
        <f aca="false">IF($C9617="","",$D9617*$E9617)</f>
        <v/>
      </c>
      <c r="G9617" s="107" t="str">
        <f aca="false">IF($C9617="","",$D9617*IFERROR(INDEX('تحليل التكلفة والسعر'!$C$2:$C$700,MATCH($C9617,'تحليل التكلفة والسعر'!$B$2:$B$700,0)),0))</f>
        <v/>
      </c>
    </row>
    <row r="9618" customFormat="false" ht="15" hidden="false" customHeight="false" outlineLevel="0" collapsed="false">
      <c r="A9618" s="103"/>
      <c r="B9618" s="104"/>
      <c r="C9618" s="104"/>
      <c r="E9618" s="107" t="str">
        <f aca="false">IF($C9618="","",IFERROR(INDEX(المنيو!$C$2:$C$500,MATCH($C9618,المنيو!$B$2:$B$500,0)),0))</f>
        <v/>
      </c>
      <c r="F9618" s="107" t="str">
        <f aca="false">IF($C9618="","",$D9618*$E9618)</f>
        <v/>
      </c>
      <c r="G9618" s="107" t="str">
        <f aca="false">IF($C9618="","",$D9618*IFERROR(INDEX('تحليل التكلفة والسعر'!$C$2:$C$700,MATCH($C9618,'تحليل التكلفة والسعر'!$B$2:$B$700,0)),0))</f>
        <v/>
      </c>
    </row>
    <row r="9619" customFormat="false" ht="15" hidden="false" customHeight="false" outlineLevel="0" collapsed="false">
      <c r="A9619" s="103"/>
      <c r="B9619" s="104"/>
      <c r="C9619" s="104"/>
      <c r="E9619" s="107" t="str">
        <f aca="false">IF($C9619="","",IFERROR(INDEX(المنيو!$C$2:$C$500,MATCH($C9619,المنيو!$B$2:$B$500,0)),0))</f>
        <v/>
      </c>
      <c r="F9619" s="107" t="str">
        <f aca="false">IF($C9619="","",$D9619*$E9619)</f>
        <v/>
      </c>
      <c r="G9619" s="107" t="str">
        <f aca="false">IF($C9619="","",$D9619*IFERROR(INDEX('تحليل التكلفة والسعر'!$C$2:$C$700,MATCH($C9619,'تحليل التكلفة والسعر'!$B$2:$B$700,0)),0))</f>
        <v/>
      </c>
    </row>
    <row r="9620" customFormat="false" ht="15" hidden="false" customHeight="false" outlineLevel="0" collapsed="false">
      <c r="A9620" s="103"/>
      <c r="B9620" s="104"/>
      <c r="C9620" s="104"/>
      <c r="E9620" s="107" t="str">
        <f aca="false">IF($C9620="","",IFERROR(INDEX(المنيو!$C$2:$C$500,MATCH($C9620,المنيو!$B$2:$B$500,0)),0))</f>
        <v/>
      </c>
      <c r="F9620" s="107" t="str">
        <f aca="false">IF($C9620="","",$D9620*$E9620)</f>
        <v/>
      </c>
      <c r="G9620" s="107" t="str">
        <f aca="false">IF($C9620="","",$D9620*IFERROR(INDEX('تحليل التكلفة والسعر'!$C$2:$C$700,MATCH($C9620,'تحليل التكلفة والسعر'!$B$2:$B$700,0)),0))</f>
        <v/>
      </c>
    </row>
    <row r="9621" customFormat="false" ht="15" hidden="false" customHeight="false" outlineLevel="0" collapsed="false">
      <c r="A9621" s="103"/>
      <c r="B9621" s="104"/>
      <c r="C9621" s="104"/>
      <c r="E9621" s="107" t="str">
        <f aca="false">IF($C9621="","",IFERROR(INDEX(المنيو!$C$2:$C$500,MATCH($C9621,المنيو!$B$2:$B$500,0)),0))</f>
        <v/>
      </c>
      <c r="F9621" s="107" t="str">
        <f aca="false">IF($C9621="","",$D9621*$E9621)</f>
        <v/>
      </c>
      <c r="G9621" s="107" t="str">
        <f aca="false">IF($C9621="","",$D9621*IFERROR(INDEX('تحليل التكلفة والسعر'!$C$2:$C$700,MATCH($C9621,'تحليل التكلفة والسعر'!$B$2:$B$700,0)),0))</f>
        <v/>
      </c>
    </row>
    <row r="9622" customFormat="false" ht="15" hidden="false" customHeight="false" outlineLevel="0" collapsed="false">
      <c r="A9622" s="103"/>
      <c r="B9622" s="104"/>
      <c r="C9622" s="104"/>
      <c r="E9622" s="107" t="str">
        <f aca="false">IF($C9622="","",IFERROR(INDEX(المنيو!$C$2:$C$500,MATCH($C9622,المنيو!$B$2:$B$500,0)),0))</f>
        <v/>
      </c>
      <c r="F9622" s="107" t="str">
        <f aca="false">IF($C9622="","",$D9622*$E9622)</f>
        <v/>
      </c>
      <c r="G9622" s="107" t="str">
        <f aca="false">IF($C9622="","",$D9622*IFERROR(INDEX('تحليل التكلفة والسعر'!$C$2:$C$700,MATCH($C9622,'تحليل التكلفة والسعر'!$B$2:$B$700,0)),0))</f>
        <v/>
      </c>
    </row>
    <row r="9623" customFormat="false" ht="15" hidden="false" customHeight="false" outlineLevel="0" collapsed="false">
      <c r="A9623" s="103"/>
      <c r="B9623" s="104"/>
      <c r="C9623" s="104"/>
      <c r="E9623" s="107" t="str">
        <f aca="false">IF($C9623="","",IFERROR(INDEX(المنيو!$C$2:$C$500,MATCH($C9623,المنيو!$B$2:$B$500,0)),0))</f>
        <v/>
      </c>
      <c r="F9623" s="107" t="str">
        <f aca="false">IF($C9623="","",$D9623*$E9623)</f>
        <v/>
      </c>
      <c r="G9623" s="107" t="str">
        <f aca="false">IF($C9623="","",$D9623*IFERROR(INDEX('تحليل التكلفة والسعر'!$C$2:$C$700,MATCH($C9623,'تحليل التكلفة والسعر'!$B$2:$B$700,0)),0))</f>
        <v/>
      </c>
    </row>
    <row r="9624" customFormat="false" ht="15" hidden="false" customHeight="false" outlineLevel="0" collapsed="false">
      <c r="A9624" s="103"/>
      <c r="B9624" s="104"/>
      <c r="C9624" s="104"/>
      <c r="E9624" s="107" t="str">
        <f aca="false">IF($C9624="","",IFERROR(INDEX(المنيو!$C$2:$C$500,MATCH($C9624,المنيو!$B$2:$B$500,0)),0))</f>
        <v/>
      </c>
      <c r="F9624" s="107" t="str">
        <f aca="false">IF($C9624="","",$D9624*$E9624)</f>
        <v/>
      </c>
      <c r="G9624" s="107" t="str">
        <f aca="false">IF($C9624="","",$D9624*IFERROR(INDEX('تحليل التكلفة والسعر'!$C$2:$C$700,MATCH($C9624,'تحليل التكلفة والسعر'!$B$2:$B$700,0)),0))</f>
        <v/>
      </c>
    </row>
    <row r="9625" customFormat="false" ht="15" hidden="false" customHeight="false" outlineLevel="0" collapsed="false">
      <c r="A9625" s="103"/>
      <c r="B9625" s="104"/>
      <c r="C9625" s="104"/>
      <c r="E9625" s="107" t="str">
        <f aca="false">IF($C9625="","",IFERROR(INDEX(المنيو!$C$2:$C$500,MATCH($C9625,المنيو!$B$2:$B$500,0)),0))</f>
        <v/>
      </c>
      <c r="F9625" s="107" t="str">
        <f aca="false">IF($C9625="","",$D9625*$E9625)</f>
        <v/>
      </c>
      <c r="G9625" s="107" t="str">
        <f aca="false">IF($C9625="","",$D9625*IFERROR(INDEX('تحليل التكلفة والسعر'!$C$2:$C$700,MATCH($C9625,'تحليل التكلفة والسعر'!$B$2:$B$700,0)),0))</f>
        <v/>
      </c>
    </row>
    <row r="9626" customFormat="false" ht="15" hidden="false" customHeight="false" outlineLevel="0" collapsed="false">
      <c r="A9626" s="103"/>
      <c r="B9626" s="104"/>
      <c r="C9626" s="104"/>
      <c r="E9626" s="107" t="str">
        <f aca="false">IF($C9626="","",IFERROR(INDEX(المنيو!$C$2:$C$500,MATCH($C9626,المنيو!$B$2:$B$500,0)),0))</f>
        <v/>
      </c>
      <c r="F9626" s="107" t="str">
        <f aca="false">IF($C9626="","",$D9626*$E9626)</f>
        <v/>
      </c>
      <c r="G9626" s="107" t="str">
        <f aca="false">IF($C9626="","",$D9626*IFERROR(INDEX('تحليل التكلفة والسعر'!$C$2:$C$700,MATCH($C9626,'تحليل التكلفة والسعر'!$B$2:$B$700,0)),0))</f>
        <v/>
      </c>
    </row>
    <row r="9627" customFormat="false" ht="15" hidden="false" customHeight="false" outlineLevel="0" collapsed="false">
      <c r="A9627" s="103"/>
      <c r="B9627" s="104"/>
      <c r="C9627" s="104"/>
      <c r="E9627" s="107" t="str">
        <f aca="false">IF($C9627="","",IFERROR(INDEX(المنيو!$C$2:$C$500,MATCH($C9627,المنيو!$B$2:$B$500,0)),0))</f>
        <v/>
      </c>
      <c r="F9627" s="107" t="str">
        <f aca="false">IF($C9627="","",$D9627*$E9627)</f>
        <v/>
      </c>
      <c r="G9627" s="107" t="str">
        <f aca="false">IF($C9627="","",$D9627*IFERROR(INDEX('تحليل التكلفة والسعر'!$C$2:$C$700,MATCH($C9627,'تحليل التكلفة والسعر'!$B$2:$B$700,0)),0))</f>
        <v/>
      </c>
    </row>
    <row r="9628" customFormat="false" ht="15" hidden="false" customHeight="false" outlineLevel="0" collapsed="false">
      <c r="A9628" s="103"/>
      <c r="B9628" s="104"/>
      <c r="C9628" s="104"/>
      <c r="E9628" s="107" t="str">
        <f aca="false">IF($C9628="","",IFERROR(INDEX(المنيو!$C$2:$C$500,MATCH($C9628,المنيو!$B$2:$B$500,0)),0))</f>
        <v/>
      </c>
      <c r="F9628" s="107" t="str">
        <f aca="false">IF($C9628="","",$D9628*$E9628)</f>
        <v/>
      </c>
      <c r="G9628" s="107" t="str">
        <f aca="false">IF($C9628="","",$D9628*IFERROR(INDEX('تحليل التكلفة والسعر'!$C$2:$C$700,MATCH($C9628,'تحليل التكلفة والسعر'!$B$2:$B$700,0)),0))</f>
        <v/>
      </c>
    </row>
    <row r="9629" customFormat="false" ht="15" hidden="false" customHeight="false" outlineLevel="0" collapsed="false">
      <c r="A9629" s="103"/>
      <c r="B9629" s="104"/>
      <c r="C9629" s="104"/>
      <c r="E9629" s="107" t="str">
        <f aca="false">IF($C9629="","",IFERROR(INDEX(المنيو!$C$2:$C$500,MATCH($C9629,المنيو!$B$2:$B$500,0)),0))</f>
        <v/>
      </c>
      <c r="F9629" s="107" t="str">
        <f aca="false">IF($C9629="","",$D9629*$E9629)</f>
        <v/>
      </c>
      <c r="G9629" s="107" t="str">
        <f aca="false">IF($C9629="","",$D9629*IFERROR(INDEX('تحليل التكلفة والسعر'!$C$2:$C$700,MATCH($C9629,'تحليل التكلفة والسعر'!$B$2:$B$700,0)),0))</f>
        <v/>
      </c>
    </row>
    <row r="9630" customFormat="false" ht="15" hidden="false" customHeight="false" outlineLevel="0" collapsed="false">
      <c r="A9630" s="103"/>
      <c r="B9630" s="104"/>
      <c r="C9630" s="104"/>
      <c r="E9630" s="107" t="str">
        <f aca="false">IF($C9630="","",IFERROR(INDEX(المنيو!$C$2:$C$500,MATCH($C9630,المنيو!$B$2:$B$500,0)),0))</f>
        <v/>
      </c>
      <c r="F9630" s="107" t="str">
        <f aca="false">IF($C9630="","",$D9630*$E9630)</f>
        <v/>
      </c>
      <c r="G9630" s="107" t="str">
        <f aca="false">IF($C9630="","",$D9630*IFERROR(INDEX('تحليل التكلفة والسعر'!$C$2:$C$700,MATCH($C9630,'تحليل التكلفة والسعر'!$B$2:$B$700,0)),0))</f>
        <v/>
      </c>
    </row>
    <row r="9631" customFormat="false" ht="15" hidden="false" customHeight="false" outlineLevel="0" collapsed="false">
      <c r="A9631" s="103"/>
      <c r="B9631" s="104"/>
      <c r="C9631" s="104"/>
      <c r="E9631" s="107" t="str">
        <f aca="false">IF($C9631="","",IFERROR(INDEX(المنيو!$C$2:$C$500,MATCH($C9631,المنيو!$B$2:$B$500,0)),0))</f>
        <v/>
      </c>
      <c r="F9631" s="107" t="str">
        <f aca="false">IF($C9631="","",$D9631*$E9631)</f>
        <v/>
      </c>
      <c r="G9631" s="107" t="str">
        <f aca="false">IF($C9631="","",$D9631*IFERROR(INDEX('تحليل التكلفة والسعر'!$C$2:$C$700,MATCH($C9631,'تحليل التكلفة والسعر'!$B$2:$B$700,0)),0))</f>
        <v/>
      </c>
    </row>
    <row r="9632" customFormat="false" ht="15" hidden="false" customHeight="false" outlineLevel="0" collapsed="false">
      <c r="A9632" s="103"/>
      <c r="B9632" s="104"/>
      <c r="C9632" s="104"/>
      <c r="E9632" s="107" t="str">
        <f aca="false">IF($C9632="","",IFERROR(INDEX(المنيو!$C$2:$C$500,MATCH($C9632,المنيو!$B$2:$B$500,0)),0))</f>
        <v/>
      </c>
      <c r="F9632" s="107" t="str">
        <f aca="false">IF($C9632="","",$D9632*$E9632)</f>
        <v/>
      </c>
      <c r="G9632" s="107" t="str">
        <f aca="false">IF($C9632="","",$D9632*IFERROR(INDEX('تحليل التكلفة والسعر'!$C$2:$C$700,MATCH($C9632,'تحليل التكلفة والسعر'!$B$2:$B$700,0)),0))</f>
        <v/>
      </c>
    </row>
    <row r="9633" customFormat="false" ht="15" hidden="false" customHeight="false" outlineLevel="0" collapsed="false">
      <c r="A9633" s="103"/>
      <c r="B9633" s="104"/>
      <c r="C9633" s="104"/>
      <c r="E9633" s="107" t="str">
        <f aca="false">IF($C9633="","",IFERROR(INDEX(المنيو!$C$2:$C$500,MATCH($C9633,المنيو!$B$2:$B$500,0)),0))</f>
        <v/>
      </c>
      <c r="F9633" s="107" t="str">
        <f aca="false">IF($C9633="","",$D9633*$E9633)</f>
        <v/>
      </c>
      <c r="G9633" s="107" t="str">
        <f aca="false">IF($C9633="","",$D9633*IFERROR(INDEX('تحليل التكلفة والسعر'!$C$2:$C$700,MATCH($C9633,'تحليل التكلفة والسعر'!$B$2:$B$700,0)),0))</f>
        <v/>
      </c>
    </row>
    <row r="9634" customFormat="false" ht="15" hidden="false" customHeight="false" outlineLevel="0" collapsed="false">
      <c r="A9634" s="103"/>
      <c r="B9634" s="104"/>
      <c r="C9634" s="104"/>
      <c r="E9634" s="107" t="str">
        <f aca="false">IF($C9634="","",IFERROR(INDEX(المنيو!$C$2:$C$500,MATCH($C9634,المنيو!$B$2:$B$500,0)),0))</f>
        <v/>
      </c>
      <c r="F9634" s="107" t="str">
        <f aca="false">IF($C9634="","",$D9634*$E9634)</f>
        <v/>
      </c>
      <c r="G9634" s="107" t="str">
        <f aca="false">IF($C9634="","",$D9634*IFERROR(INDEX('تحليل التكلفة والسعر'!$C$2:$C$700,MATCH($C9634,'تحليل التكلفة والسعر'!$B$2:$B$700,0)),0))</f>
        <v/>
      </c>
    </row>
    <row r="9635" customFormat="false" ht="15" hidden="false" customHeight="false" outlineLevel="0" collapsed="false">
      <c r="A9635" s="103"/>
      <c r="B9635" s="104"/>
      <c r="C9635" s="104"/>
      <c r="E9635" s="107" t="str">
        <f aca="false">IF($C9635="","",IFERROR(INDEX(المنيو!$C$2:$C$500,MATCH($C9635,المنيو!$B$2:$B$500,0)),0))</f>
        <v/>
      </c>
      <c r="F9635" s="107" t="str">
        <f aca="false">IF($C9635="","",$D9635*$E9635)</f>
        <v/>
      </c>
      <c r="G9635" s="107" t="str">
        <f aca="false">IF($C9635="","",$D9635*IFERROR(INDEX('تحليل التكلفة والسعر'!$C$2:$C$700,MATCH($C9635,'تحليل التكلفة والسعر'!$B$2:$B$700,0)),0))</f>
        <v/>
      </c>
    </row>
    <row r="9636" customFormat="false" ht="15" hidden="false" customHeight="false" outlineLevel="0" collapsed="false">
      <c r="A9636" s="103"/>
      <c r="B9636" s="104"/>
      <c r="C9636" s="104"/>
      <c r="E9636" s="107" t="str">
        <f aca="false">IF($C9636="","",IFERROR(INDEX(المنيو!$C$2:$C$500,MATCH($C9636,المنيو!$B$2:$B$500,0)),0))</f>
        <v/>
      </c>
      <c r="F9636" s="107" t="str">
        <f aca="false">IF($C9636="","",$D9636*$E9636)</f>
        <v/>
      </c>
      <c r="G9636" s="107" t="str">
        <f aca="false">IF($C9636="","",$D9636*IFERROR(INDEX('تحليل التكلفة والسعر'!$C$2:$C$700,MATCH($C9636,'تحليل التكلفة والسعر'!$B$2:$B$700,0)),0))</f>
        <v/>
      </c>
    </row>
    <row r="9637" customFormat="false" ht="15" hidden="false" customHeight="false" outlineLevel="0" collapsed="false">
      <c r="A9637" s="103"/>
      <c r="B9637" s="104"/>
      <c r="C9637" s="104"/>
      <c r="E9637" s="107" t="str">
        <f aca="false">IF($C9637="","",IFERROR(INDEX(المنيو!$C$2:$C$500,MATCH($C9637,المنيو!$B$2:$B$500,0)),0))</f>
        <v/>
      </c>
      <c r="F9637" s="107" t="str">
        <f aca="false">IF($C9637="","",$D9637*$E9637)</f>
        <v/>
      </c>
      <c r="G9637" s="107" t="str">
        <f aca="false">IF($C9637="","",$D9637*IFERROR(INDEX('تحليل التكلفة والسعر'!$C$2:$C$700,MATCH($C9637,'تحليل التكلفة والسعر'!$B$2:$B$700,0)),0))</f>
        <v/>
      </c>
    </row>
    <row r="9638" customFormat="false" ht="15" hidden="false" customHeight="false" outlineLevel="0" collapsed="false">
      <c r="A9638" s="103"/>
      <c r="B9638" s="104"/>
      <c r="C9638" s="104"/>
      <c r="E9638" s="107" t="str">
        <f aca="false">IF($C9638="","",IFERROR(INDEX(المنيو!$C$2:$C$500,MATCH($C9638,المنيو!$B$2:$B$500,0)),0))</f>
        <v/>
      </c>
      <c r="F9638" s="107" t="str">
        <f aca="false">IF($C9638="","",$D9638*$E9638)</f>
        <v/>
      </c>
      <c r="G9638" s="107" t="str">
        <f aca="false">IF($C9638="","",$D9638*IFERROR(INDEX('تحليل التكلفة والسعر'!$C$2:$C$700,MATCH($C9638,'تحليل التكلفة والسعر'!$B$2:$B$700,0)),0))</f>
        <v/>
      </c>
    </row>
    <row r="9639" customFormat="false" ht="15" hidden="false" customHeight="false" outlineLevel="0" collapsed="false">
      <c r="A9639" s="103"/>
      <c r="B9639" s="104"/>
      <c r="C9639" s="104"/>
      <c r="E9639" s="107" t="str">
        <f aca="false">IF($C9639="","",IFERROR(INDEX(المنيو!$C$2:$C$500,MATCH($C9639,المنيو!$B$2:$B$500,0)),0))</f>
        <v/>
      </c>
      <c r="F9639" s="107" t="str">
        <f aca="false">IF($C9639="","",$D9639*$E9639)</f>
        <v/>
      </c>
      <c r="G9639" s="107" t="str">
        <f aca="false">IF($C9639="","",$D9639*IFERROR(INDEX('تحليل التكلفة والسعر'!$C$2:$C$700,MATCH($C9639,'تحليل التكلفة والسعر'!$B$2:$B$700,0)),0))</f>
        <v/>
      </c>
    </row>
    <row r="9640" customFormat="false" ht="15" hidden="false" customHeight="false" outlineLevel="0" collapsed="false">
      <c r="A9640" s="103"/>
      <c r="B9640" s="104"/>
      <c r="C9640" s="104"/>
      <c r="E9640" s="107" t="str">
        <f aca="false">IF($C9640="","",IFERROR(INDEX(المنيو!$C$2:$C$500,MATCH($C9640,المنيو!$B$2:$B$500,0)),0))</f>
        <v/>
      </c>
      <c r="F9640" s="107" t="str">
        <f aca="false">IF($C9640="","",$D9640*$E9640)</f>
        <v/>
      </c>
      <c r="G9640" s="107" t="str">
        <f aca="false">IF($C9640="","",$D9640*IFERROR(INDEX('تحليل التكلفة والسعر'!$C$2:$C$700,MATCH($C9640,'تحليل التكلفة والسعر'!$B$2:$B$700,0)),0))</f>
        <v/>
      </c>
    </row>
    <row r="9641" customFormat="false" ht="15" hidden="false" customHeight="false" outlineLevel="0" collapsed="false">
      <c r="A9641" s="103"/>
      <c r="B9641" s="104"/>
      <c r="C9641" s="104"/>
      <c r="E9641" s="107" t="str">
        <f aca="false">IF($C9641="","",IFERROR(INDEX(المنيو!$C$2:$C$500,MATCH($C9641,المنيو!$B$2:$B$500,0)),0))</f>
        <v/>
      </c>
      <c r="F9641" s="107" t="str">
        <f aca="false">IF($C9641="","",$D9641*$E9641)</f>
        <v/>
      </c>
      <c r="G9641" s="107" t="str">
        <f aca="false">IF($C9641="","",$D9641*IFERROR(INDEX('تحليل التكلفة والسعر'!$C$2:$C$700,MATCH($C9641,'تحليل التكلفة والسعر'!$B$2:$B$700,0)),0))</f>
        <v/>
      </c>
    </row>
    <row r="9642" customFormat="false" ht="15" hidden="false" customHeight="false" outlineLevel="0" collapsed="false">
      <c r="A9642" s="103"/>
      <c r="B9642" s="104"/>
      <c r="C9642" s="104"/>
      <c r="E9642" s="107" t="str">
        <f aca="false">IF($C9642="","",IFERROR(INDEX(المنيو!$C$2:$C$500,MATCH($C9642,المنيو!$B$2:$B$500,0)),0))</f>
        <v/>
      </c>
      <c r="F9642" s="107" t="str">
        <f aca="false">IF($C9642="","",$D9642*$E9642)</f>
        <v/>
      </c>
      <c r="G9642" s="107" t="str">
        <f aca="false">IF($C9642="","",$D9642*IFERROR(INDEX('تحليل التكلفة والسعر'!$C$2:$C$700,MATCH($C9642,'تحليل التكلفة والسعر'!$B$2:$B$700,0)),0))</f>
        <v/>
      </c>
    </row>
    <row r="9643" customFormat="false" ht="15" hidden="false" customHeight="false" outlineLevel="0" collapsed="false">
      <c r="A9643" s="103"/>
      <c r="B9643" s="104"/>
      <c r="C9643" s="104"/>
      <c r="E9643" s="107" t="str">
        <f aca="false">IF($C9643="","",IFERROR(INDEX(المنيو!$C$2:$C$500,MATCH($C9643,المنيو!$B$2:$B$500,0)),0))</f>
        <v/>
      </c>
      <c r="F9643" s="107" t="str">
        <f aca="false">IF($C9643="","",$D9643*$E9643)</f>
        <v/>
      </c>
      <c r="G9643" s="107" t="str">
        <f aca="false">IF($C9643="","",$D9643*IFERROR(INDEX('تحليل التكلفة والسعر'!$C$2:$C$700,MATCH($C9643,'تحليل التكلفة والسعر'!$B$2:$B$700,0)),0))</f>
        <v/>
      </c>
    </row>
    <row r="9644" customFormat="false" ht="15" hidden="false" customHeight="false" outlineLevel="0" collapsed="false">
      <c r="A9644" s="103"/>
      <c r="B9644" s="104"/>
      <c r="C9644" s="104"/>
      <c r="E9644" s="107" t="str">
        <f aca="false">IF($C9644="","",IFERROR(INDEX(المنيو!$C$2:$C$500,MATCH($C9644,المنيو!$B$2:$B$500,0)),0))</f>
        <v/>
      </c>
      <c r="F9644" s="107" t="str">
        <f aca="false">IF($C9644="","",$D9644*$E9644)</f>
        <v/>
      </c>
      <c r="G9644" s="107" t="str">
        <f aca="false">IF($C9644="","",$D9644*IFERROR(INDEX('تحليل التكلفة والسعر'!$C$2:$C$700,MATCH($C9644,'تحليل التكلفة والسعر'!$B$2:$B$700,0)),0))</f>
        <v/>
      </c>
    </row>
    <row r="9645" customFormat="false" ht="15" hidden="false" customHeight="false" outlineLevel="0" collapsed="false">
      <c r="A9645" s="103"/>
      <c r="B9645" s="104"/>
      <c r="C9645" s="104"/>
      <c r="E9645" s="107" t="str">
        <f aca="false">IF($C9645="","",IFERROR(INDEX(المنيو!$C$2:$C$500,MATCH($C9645,المنيو!$B$2:$B$500,0)),0))</f>
        <v/>
      </c>
      <c r="F9645" s="107" t="str">
        <f aca="false">IF($C9645="","",$D9645*$E9645)</f>
        <v/>
      </c>
      <c r="G9645" s="107" t="str">
        <f aca="false">IF($C9645="","",$D9645*IFERROR(INDEX('تحليل التكلفة والسعر'!$C$2:$C$700,MATCH($C9645,'تحليل التكلفة والسعر'!$B$2:$B$700,0)),0))</f>
        <v/>
      </c>
    </row>
    <row r="9646" customFormat="false" ht="15" hidden="false" customHeight="false" outlineLevel="0" collapsed="false">
      <c r="A9646" s="103"/>
      <c r="B9646" s="104"/>
      <c r="C9646" s="104"/>
      <c r="E9646" s="107" t="str">
        <f aca="false">IF($C9646="","",IFERROR(INDEX(المنيو!$C$2:$C$500,MATCH($C9646,المنيو!$B$2:$B$500,0)),0))</f>
        <v/>
      </c>
      <c r="F9646" s="107" t="str">
        <f aca="false">IF($C9646="","",$D9646*$E9646)</f>
        <v/>
      </c>
      <c r="G9646" s="107" t="str">
        <f aca="false">IF($C9646="","",$D9646*IFERROR(INDEX('تحليل التكلفة والسعر'!$C$2:$C$700,MATCH($C9646,'تحليل التكلفة والسعر'!$B$2:$B$700,0)),0))</f>
        <v/>
      </c>
    </row>
    <row r="9647" customFormat="false" ht="15" hidden="false" customHeight="false" outlineLevel="0" collapsed="false">
      <c r="A9647" s="103"/>
      <c r="B9647" s="104"/>
      <c r="C9647" s="104"/>
      <c r="E9647" s="107" t="str">
        <f aca="false">IF($C9647="","",IFERROR(INDEX(المنيو!$C$2:$C$500,MATCH($C9647,المنيو!$B$2:$B$500,0)),0))</f>
        <v/>
      </c>
      <c r="F9647" s="107" t="str">
        <f aca="false">IF($C9647="","",$D9647*$E9647)</f>
        <v/>
      </c>
      <c r="G9647" s="107" t="str">
        <f aca="false">IF($C9647="","",$D9647*IFERROR(INDEX('تحليل التكلفة والسعر'!$C$2:$C$700,MATCH($C9647,'تحليل التكلفة والسعر'!$B$2:$B$700,0)),0))</f>
        <v/>
      </c>
    </row>
    <row r="9648" customFormat="false" ht="15" hidden="false" customHeight="false" outlineLevel="0" collapsed="false">
      <c r="A9648" s="103"/>
      <c r="B9648" s="104"/>
      <c r="C9648" s="104"/>
      <c r="E9648" s="107" t="str">
        <f aca="false">IF($C9648="","",IFERROR(INDEX(المنيو!$C$2:$C$500,MATCH($C9648,المنيو!$B$2:$B$500,0)),0))</f>
        <v/>
      </c>
      <c r="F9648" s="107" t="str">
        <f aca="false">IF($C9648="","",$D9648*$E9648)</f>
        <v/>
      </c>
      <c r="G9648" s="107" t="str">
        <f aca="false">IF($C9648="","",$D9648*IFERROR(INDEX('تحليل التكلفة والسعر'!$C$2:$C$700,MATCH($C9648,'تحليل التكلفة والسعر'!$B$2:$B$700,0)),0))</f>
        <v/>
      </c>
    </row>
    <row r="9649" customFormat="false" ht="15" hidden="false" customHeight="false" outlineLevel="0" collapsed="false">
      <c r="A9649" s="103"/>
      <c r="B9649" s="104"/>
      <c r="C9649" s="104"/>
      <c r="E9649" s="107" t="str">
        <f aca="false">IF($C9649="","",IFERROR(INDEX(المنيو!$C$2:$C$500,MATCH($C9649,المنيو!$B$2:$B$500,0)),0))</f>
        <v/>
      </c>
      <c r="F9649" s="107" t="str">
        <f aca="false">IF($C9649="","",$D9649*$E9649)</f>
        <v/>
      </c>
      <c r="G9649" s="107" t="str">
        <f aca="false">IF($C9649="","",$D9649*IFERROR(INDEX('تحليل التكلفة والسعر'!$C$2:$C$700,MATCH($C9649,'تحليل التكلفة والسعر'!$B$2:$B$700,0)),0))</f>
        <v/>
      </c>
    </row>
    <row r="9650" customFormat="false" ht="15" hidden="false" customHeight="false" outlineLevel="0" collapsed="false">
      <c r="A9650" s="103"/>
      <c r="B9650" s="104"/>
      <c r="C9650" s="104"/>
      <c r="E9650" s="107" t="str">
        <f aca="false">IF($C9650="","",IFERROR(INDEX(المنيو!$C$2:$C$500,MATCH($C9650,المنيو!$B$2:$B$500,0)),0))</f>
        <v/>
      </c>
      <c r="F9650" s="107" t="str">
        <f aca="false">IF($C9650="","",$D9650*$E9650)</f>
        <v/>
      </c>
      <c r="G9650" s="107" t="str">
        <f aca="false">IF($C9650="","",$D9650*IFERROR(INDEX('تحليل التكلفة والسعر'!$C$2:$C$700,MATCH($C9650,'تحليل التكلفة والسعر'!$B$2:$B$700,0)),0))</f>
        <v/>
      </c>
    </row>
    <row r="9651" customFormat="false" ht="15" hidden="false" customHeight="false" outlineLevel="0" collapsed="false">
      <c r="A9651" s="103"/>
      <c r="B9651" s="104"/>
      <c r="C9651" s="104"/>
      <c r="E9651" s="107" t="str">
        <f aca="false">IF($C9651="","",IFERROR(INDEX(المنيو!$C$2:$C$500,MATCH($C9651,المنيو!$B$2:$B$500,0)),0))</f>
        <v/>
      </c>
      <c r="F9651" s="107" t="str">
        <f aca="false">IF($C9651="","",$D9651*$E9651)</f>
        <v/>
      </c>
      <c r="G9651" s="107" t="str">
        <f aca="false">IF($C9651="","",$D9651*IFERROR(INDEX('تحليل التكلفة والسعر'!$C$2:$C$700,MATCH($C9651,'تحليل التكلفة والسعر'!$B$2:$B$700,0)),0))</f>
        <v/>
      </c>
    </row>
    <row r="9652" customFormat="false" ht="15" hidden="false" customHeight="false" outlineLevel="0" collapsed="false">
      <c r="A9652" s="103"/>
      <c r="B9652" s="104"/>
      <c r="C9652" s="104"/>
      <c r="E9652" s="107" t="str">
        <f aca="false">IF($C9652="","",IFERROR(INDEX(المنيو!$C$2:$C$500,MATCH($C9652,المنيو!$B$2:$B$500,0)),0))</f>
        <v/>
      </c>
      <c r="F9652" s="107" t="str">
        <f aca="false">IF($C9652="","",$D9652*$E9652)</f>
        <v/>
      </c>
      <c r="G9652" s="107" t="str">
        <f aca="false">IF($C9652="","",$D9652*IFERROR(INDEX('تحليل التكلفة والسعر'!$C$2:$C$700,MATCH($C9652,'تحليل التكلفة والسعر'!$B$2:$B$700,0)),0))</f>
        <v/>
      </c>
    </row>
    <row r="9653" customFormat="false" ht="15" hidden="false" customHeight="false" outlineLevel="0" collapsed="false">
      <c r="A9653" s="103"/>
      <c r="B9653" s="104"/>
      <c r="C9653" s="104"/>
      <c r="E9653" s="107" t="str">
        <f aca="false">IF($C9653="","",IFERROR(INDEX(المنيو!$C$2:$C$500,MATCH($C9653,المنيو!$B$2:$B$500,0)),0))</f>
        <v/>
      </c>
      <c r="F9653" s="107" t="str">
        <f aca="false">IF($C9653="","",$D9653*$E9653)</f>
        <v/>
      </c>
      <c r="G9653" s="107" t="str">
        <f aca="false">IF($C9653="","",$D9653*IFERROR(INDEX('تحليل التكلفة والسعر'!$C$2:$C$700,MATCH($C9653,'تحليل التكلفة والسعر'!$B$2:$B$700,0)),0))</f>
        <v/>
      </c>
    </row>
    <row r="9654" customFormat="false" ht="15" hidden="false" customHeight="false" outlineLevel="0" collapsed="false">
      <c r="A9654" s="103"/>
      <c r="B9654" s="104"/>
      <c r="C9654" s="104"/>
      <c r="E9654" s="107" t="str">
        <f aca="false">IF($C9654="","",IFERROR(INDEX(المنيو!$C$2:$C$500,MATCH($C9654,المنيو!$B$2:$B$500,0)),0))</f>
        <v/>
      </c>
      <c r="F9654" s="107" t="str">
        <f aca="false">IF($C9654="","",$D9654*$E9654)</f>
        <v/>
      </c>
      <c r="G9654" s="107" t="str">
        <f aca="false">IF($C9654="","",$D9654*IFERROR(INDEX('تحليل التكلفة والسعر'!$C$2:$C$700,MATCH($C9654,'تحليل التكلفة والسعر'!$B$2:$B$700,0)),0))</f>
        <v/>
      </c>
    </row>
    <row r="9655" customFormat="false" ht="15" hidden="false" customHeight="false" outlineLevel="0" collapsed="false">
      <c r="A9655" s="103"/>
      <c r="B9655" s="104"/>
      <c r="C9655" s="104"/>
      <c r="E9655" s="107" t="str">
        <f aca="false">IF($C9655="","",IFERROR(INDEX(المنيو!$C$2:$C$500,MATCH($C9655,المنيو!$B$2:$B$500,0)),0))</f>
        <v/>
      </c>
      <c r="F9655" s="107" t="str">
        <f aca="false">IF($C9655="","",$D9655*$E9655)</f>
        <v/>
      </c>
      <c r="G9655" s="107" t="str">
        <f aca="false">IF($C9655="","",$D9655*IFERROR(INDEX('تحليل التكلفة والسعر'!$C$2:$C$700,MATCH($C9655,'تحليل التكلفة والسعر'!$B$2:$B$700,0)),0))</f>
        <v/>
      </c>
    </row>
    <row r="9656" customFormat="false" ht="15" hidden="false" customHeight="false" outlineLevel="0" collapsed="false">
      <c r="A9656" s="103"/>
      <c r="B9656" s="104"/>
      <c r="C9656" s="104"/>
      <c r="E9656" s="107" t="str">
        <f aca="false">IF($C9656="","",IFERROR(INDEX(المنيو!$C$2:$C$500,MATCH($C9656,المنيو!$B$2:$B$500,0)),0))</f>
        <v/>
      </c>
      <c r="F9656" s="107" t="str">
        <f aca="false">IF($C9656="","",$D9656*$E9656)</f>
        <v/>
      </c>
      <c r="G9656" s="107" t="str">
        <f aca="false">IF($C9656="","",$D9656*IFERROR(INDEX('تحليل التكلفة والسعر'!$C$2:$C$700,MATCH($C9656,'تحليل التكلفة والسعر'!$B$2:$B$700,0)),0))</f>
        <v/>
      </c>
    </row>
    <row r="9657" customFormat="false" ht="15" hidden="false" customHeight="false" outlineLevel="0" collapsed="false">
      <c r="A9657" s="103"/>
      <c r="B9657" s="104"/>
      <c r="C9657" s="104"/>
      <c r="E9657" s="107" t="str">
        <f aca="false">IF($C9657="","",IFERROR(INDEX(المنيو!$C$2:$C$500,MATCH($C9657,المنيو!$B$2:$B$500,0)),0))</f>
        <v/>
      </c>
      <c r="F9657" s="107" t="str">
        <f aca="false">IF($C9657="","",$D9657*$E9657)</f>
        <v/>
      </c>
      <c r="G9657" s="107" t="str">
        <f aca="false">IF($C9657="","",$D9657*IFERROR(INDEX('تحليل التكلفة والسعر'!$C$2:$C$700,MATCH($C9657,'تحليل التكلفة والسعر'!$B$2:$B$700,0)),0))</f>
        <v/>
      </c>
    </row>
    <row r="9658" customFormat="false" ht="15" hidden="false" customHeight="false" outlineLevel="0" collapsed="false">
      <c r="A9658" s="103"/>
      <c r="B9658" s="104"/>
      <c r="C9658" s="104"/>
      <c r="E9658" s="107" t="str">
        <f aca="false">IF($C9658="","",IFERROR(INDEX(المنيو!$C$2:$C$500,MATCH($C9658,المنيو!$B$2:$B$500,0)),0))</f>
        <v/>
      </c>
      <c r="F9658" s="107" t="str">
        <f aca="false">IF($C9658="","",$D9658*$E9658)</f>
        <v/>
      </c>
      <c r="G9658" s="107" t="str">
        <f aca="false">IF($C9658="","",$D9658*IFERROR(INDEX('تحليل التكلفة والسعر'!$C$2:$C$700,MATCH($C9658,'تحليل التكلفة والسعر'!$B$2:$B$700,0)),0))</f>
        <v/>
      </c>
    </row>
    <row r="9659" customFormat="false" ht="15" hidden="false" customHeight="false" outlineLevel="0" collapsed="false">
      <c r="A9659" s="103"/>
      <c r="B9659" s="104"/>
      <c r="C9659" s="104"/>
      <c r="E9659" s="107" t="str">
        <f aca="false">IF($C9659="","",IFERROR(INDEX(المنيو!$C$2:$C$500,MATCH($C9659,المنيو!$B$2:$B$500,0)),0))</f>
        <v/>
      </c>
      <c r="F9659" s="107" t="str">
        <f aca="false">IF($C9659="","",$D9659*$E9659)</f>
        <v/>
      </c>
      <c r="G9659" s="107" t="str">
        <f aca="false">IF($C9659="","",$D9659*IFERROR(INDEX('تحليل التكلفة والسعر'!$C$2:$C$700,MATCH($C9659,'تحليل التكلفة والسعر'!$B$2:$B$700,0)),0))</f>
        <v/>
      </c>
    </row>
    <row r="9660" customFormat="false" ht="15" hidden="false" customHeight="false" outlineLevel="0" collapsed="false">
      <c r="A9660" s="103"/>
      <c r="B9660" s="104"/>
      <c r="C9660" s="104"/>
      <c r="E9660" s="107" t="str">
        <f aca="false">IF($C9660="","",IFERROR(INDEX(المنيو!$C$2:$C$500,MATCH($C9660,المنيو!$B$2:$B$500,0)),0))</f>
        <v/>
      </c>
      <c r="F9660" s="107" t="str">
        <f aca="false">IF($C9660="","",$D9660*$E9660)</f>
        <v/>
      </c>
      <c r="G9660" s="107" t="str">
        <f aca="false">IF($C9660="","",$D9660*IFERROR(INDEX('تحليل التكلفة والسعر'!$C$2:$C$700,MATCH($C9660,'تحليل التكلفة والسعر'!$B$2:$B$700,0)),0))</f>
        <v/>
      </c>
    </row>
    <row r="9661" customFormat="false" ht="15" hidden="false" customHeight="false" outlineLevel="0" collapsed="false">
      <c r="A9661" s="103"/>
      <c r="B9661" s="104"/>
      <c r="C9661" s="104"/>
      <c r="E9661" s="107" t="str">
        <f aca="false">IF($C9661="","",IFERROR(INDEX(المنيو!$C$2:$C$500,MATCH($C9661,المنيو!$B$2:$B$500,0)),0))</f>
        <v/>
      </c>
      <c r="F9661" s="107" t="str">
        <f aca="false">IF($C9661="","",$D9661*$E9661)</f>
        <v/>
      </c>
      <c r="G9661" s="107" t="str">
        <f aca="false">IF($C9661="","",$D9661*IFERROR(INDEX('تحليل التكلفة والسعر'!$C$2:$C$700,MATCH($C9661,'تحليل التكلفة والسعر'!$B$2:$B$700,0)),0))</f>
        <v/>
      </c>
    </row>
    <row r="9662" customFormat="false" ht="15" hidden="false" customHeight="false" outlineLevel="0" collapsed="false">
      <c r="A9662" s="103"/>
      <c r="B9662" s="104"/>
      <c r="C9662" s="104"/>
      <c r="E9662" s="107" t="str">
        <f aca="false">IF($C9662="","",IFERROR(INDEX(المنيو!$C$2:$C$500,MATCH($C9662,المنيو!$B$2:$B$500,0)),0))</f>
        <v/>
      </c>
      <c r="F9662" s="107" t="str">
        <f aca="false">IF($C9662="","",$D9662*$E9662)</f>
        <v/>
      </c>
      <c r="G9662" s="107" t="str">
        <f aca="false">IF($C9662="","",$D9662*IFERROR(INDEX('تحليل التكلفة والسعر'!$C$2:$C$700,MATCH($C9662,'تحليل التكلفة والسعر'!$B$2:$B$700,0)),0))</f>
        <v/>
      </c>
    </row>
    <row r="9663" customFormat="false" ht="15" hidden="false" customHeight="false" outlineLevel="0" collapsed="false">
      <c r="A9663" s="103"/>
      <c r="B9663" s="104"/>
      <c r="C9663" s="104"/>
      <c r="E9663" s="107" t="str">
        <f aca="false">IF($C9663="","",IFERROR(INDEX(المنيو!$C$2:$C$500,MATCH($C9663,المنيو!$B$2:$B$500,0)),0))</f>
        <v/>
      </c>
      <c r="F9663" s="107" t="str">
        <f aca="false">IF($C9663="","",$D9663*$E9663)</f>
        <v/>
      </c>
      <c r="G9663" s="107" t="str">
        <f aca="false">IF($C9663="","",$D9663*IFERROR(INDEX('تحليل التكلفة والسعر'!$C$2:$C$700,MATCH($C9663,'تحليل التكلفة والسعر'!$B$2:$B$700,0)),0))</f>
        <v/>
      </c>
    </row>
    <row r="9664" customFormat="false" ht="15" hidden="false" customHeight="false" outlineLevel="0" collapsed="false">
      <c r="A9664" s="103"/>
      <c r="B9664" s="104"/>
      <c r="C9664" s="104"/>
      <c r="E9664" s="107" t="str">
        <f aca="false">IF($C9664="","",IFERROR(INDEX(المنيو!$C$2:$C$500,MATCH($C9664,المنيو!$B$2:$B$500,0)),0))</f>
        <v/>
      </c>
      <c r="F9664" s="107" t="str">
        <f aca="false">IF($C9664="","",$D9664*$E9664)</f>
        <v/>
      </c>
      <c r="G9664" s="107" t="str">
        <f aca="false">IF($C9664="","",$D9664*IFERROR(INDEX('تحليل التكلفة والسعر'!$C$2:$C$700,MATCH($C9664,'تحليل التكلفة والسعر'!$B$2:$B$700,0)),0))</f>
        <v/>
      </c>
    </row>
    <row r="9665" customFormat="false" ht="15" hidden="false" customHeight="false" outlineLevel="0" collapsed="false">
      <c r="A9665" s="103"/>
      <c r="B9665" s="104"/>
      <c r="C9665" s="104"/>
      <c r="E9665" s="107" t="str">
        <f aca="false">IF($C9665="","",IFERROR(INDEX(المنيو!$C$2:$C$500,MATCH($C9665,المنيو!$B$2:$B$500,0)),0))</f>
        <v/>
      </c>
      <c r="F9665" s="107" t="str">
        <f aca="false">IF($C9665="","",$D9665*$E9665)</f>
        <v/>
      </c>
      <c r="G9665" s="107" t="str">
        <f aca="false">IF($C9665="","",$D9665*IFERROR(INDEX('تحليل التكلفة والسعر'!$C$2:$C$700,MATCH($C9665,'تحليل التكلفة والسعر'!$B$2:$B$700,0)),0))</f>
        <v/>
      </c>
    </row>
    <row r="9666" customFormat="false" ht="15" hidden="false" customHeight="false" outlineLevel="0" collapsed="false">
      <c r="A9666" s="103"/>
      <c r="B9666" s="104"/>
      <c r="C9666" s="104"/>
      <c r="E9666" s="107" t="str">
        <f aca="false">IF($C9666="","",IFERROR(INDEX(المنيو!$C$2:$C$500,MATCH($C9666,المنيو!$B$2:$B$500,0)),0))</f>
        <v/>
      </c>
      <c r="F9666" s="107" t="str">
        <f aca="false">IF($C9666="","",$D9666*$E9666)</f>
        <v/>
      </c>
      <c r="G9666" s="107" t="str">
        <f aca="false">IF($C9666="","",$D9666*IFERROR(INDEX('تحليل التكلفة والسعر'!$C$2:$C$700,MATCH($C9666,'تحليل التكلفة والسعر'!$B$2:$B$700,0)),0))</f>
        <v/>
      </c>
    </row>
    <row r="9667" customFormat="false" ht="15" hidden="false" customHeight="false" outlineLevel="0" collapsed="false">
      <c r="A9667" s="103"/>
      <c r="B9667" s="104"/>
      <c r="C9667" s="104"/>
      <c r="E9667" s="107" t="str">
        <f aca="false">IF($C9667="","",IFERROR(INDEX(المنيو!$C$2:$C$500,MATCH($C9667,المنيو!$B$2:$B$500,0)),0))</f>
        <v/>
      </c>
      <c r="F9667" s="107" t="str">
        <f aca="false">IF($C9667="","",$D9667*$E9667)</f>
        <v/>
      </c>
      <c r="G9667" s="107" t="str">
        <f aca="false">IF($C9667="","",$D9667*IFERROR(INDEX('تحليل التكلفة والسعر'!$C$2:$C$700,MATCH($C9667,'تحليل التكلفة والسعر'!$B$2:$B$700,0)),0))</f>
        <v/>
      </c>
    </row>
    <row r="9668" customFormat="false" ht="15" hidden="false" customHeight="false" outlineLevel="0" collapsed="false">
      <c r="A9668" s="103"/>
      <c r="B9668" s="104"/>
      <c r="C9668" s="104"/>
      <c r="E9668" s="107" t="str">
        <f aca="false">IF($C9668="","",IFERROR(INDEX(المنيو!$C$2:$C$500,MATCH($C9668,المنيو!$B$2:$B$500,0)),0))</f>
        <v/>
      </c>
      <c r="F9668" s="107" t="str">
        <f aca="false">IF($C9668="","",$D9668*$E9668)</f>
        <v/>
      </c>
      <c r="G9668" s="107" t="str">
        <f aca="false">IF($C9668="","",$D9668*IFERROR(INDEX('تحليل التكلفة والسعر'!$C$2:$C$700,MATCH($C9668,'تحليل التكلفة والسعر'!$B$2:$B$700,0)),0))</f>
        <v/>
      </c>
    </row>
    <row r="9669" customFormat="false" ht="15" hidden="false" customHeight="false" outlineLevel="0" collapsed="false">
      <c r="A9669" s="103"/>
      <c r="B9669" s="104"/>
      <c r="C9669" s="104"/>
      <c r="E9669" s="107" t="str">
        <f aca="false">IF($C9669="","",IFERROR(INDEX(المنيو!$C$2:$C$500,MATCH($C9669,المنيو!$B$2:$B$500,0)),0))</f>
        <v/>
      </c>
      <c r="F9669" s="107" t="str">
        <f aca="false">IF($C9669="","",$D9669*$E9669)</f>
        <v/>
      </c>
      <c r="G9669" s="107" t="str">
        <f aca="false">IF($C9669="","",$D9669*IFERROR(INDEX('تحليل التكلفة والسعر'!$C$2:$C$700,MATCH($C9669,'تحليل التكلفة والسعر'!$B$2:$B$700,0)),0))</f>
        <v/>
      </c>
    </row>
    <row r="9670" customFormat="false" ht="15" hidden="false" customHeight="false" outlineLevel="0" collapsed="false">
      <c r="A9670" s="103"/>
      <c r="B9670" s="104"/>
      <c r="C9670" s="104"/>
      <c r="E9670" s="107" t="str">
        <f aca="false">IF($C9670="","",IFERROR(INDEX(المنيو!$C$2:$C$500,MATCH($C9670,المنيو!$B$2:$B$500,0)),0))</f>
        <v/>
      </c>
      <c r="F9670" s="107" t="str">
        <f aca="false">IF($C9670="","",$D9670*$E9670)</f>
        <v/>
      </c>
      <c r="G9670" s="107" t="str">
        <f aca="false">IF($C9670="","",$D9670*IFERROR(INDEX('تحليل التكلفة والسعر'!$C$2:$C$700,MATCH($C9670,'تحليل التكلفة والسعر'!$B$2:$B$700,0)),0))</f>
        <v/>
      </c>
    </row>
    <row r="9671" customFormat="false" ht="15" hidden="false" customHeight="false" outlineLevel="0" collapsed="false">
      <c r="A9671" s="103"/>
      <c r="B9671" s="104"/>
      <c r="C9671" s="104"/>
      <c r="E9671" s="107" t="str">
        <f aca="false">IF($C9671="","",IFERROR(INDEX(المنيو!$C$2:$C$500,MATCH($C9671,المنيو!$B$2:$B$500,0)),0))</f>
        <v/>
      </c>
      <c r="F9671" s="107" t="str">
        <f aca="false">IF($C9671="","",$D9671*$E9671)</f>
        <v/>
      </c>
      <c r="G9671" s="107" t="str">
        <f aca="false">IF($C9671="","",$D9671*IFERROR(INDEX('تحليل التكلفة والسعر'!$C$2:$C$700,MATCH($C9671,'تحليل التكلفة والسعر'!$B$2:$B$700,0)),0))</f>
        <v/>
      </c>
    </row>
    <row r="9672" customFormat="false" ht="15" hidden="false" customHeight="false" outlineLevel="0" collapsed="false">
      <c r="A9672" s="103"/>
      <c r="B9672" s="104"/>
      <c r="C9672" s="104"/>
      <c r="E9672" s="107" t="str">
        <f aca="false">IF($C9672="","",IFERROR(INDEX(المنيو!$C$2:$C$500,MATCH($C9672,المنيو!$B$2:$B$500,0)),0))</f>
        <v/>
      </c>
      <c r="F9672" s="107" t="str">
        <f aca="false">IF($C9672="","",$D9672*$E9672)</f>
        <v/>
      </c>
      <c r="G9672" s="107" t="str">
        <f aca="false">IF($C9672="","",$D9672*IFERROR(INDEX('تحليل التكلفة والسعر'!$C$2:$C$700,MATCH($C9672,'تحليل التكلفة والسعر'!$B$2:$B$700,0)),0))</f>
        <v/>
      </c>
    </row>
    <row r="9673" customFormat="false" ht="15" hidden="false" customHeight="false" outlineLevel="0" collapsed="false">
      <c r="A9673" s="103"/>
      <c r="B9673" s="104"/>
      <c r="C9673" s="104"/>
      <c r="E9673" s="107" t="str">
        <f aca="false">IF($C9673="","",IFERROR(INDEX(المنيو!$C$2:$C$500,MATCH($C9673,المنيو!$B$2:$B$500,0)),0))</f>
        <v/>
      </c>
      <c r="F9673" s="107" t="str">
        <f aca="false">IF($C9673="","",$D9673*$E9673)</f>
        <v/>
      </c>
      <c r="G9673" s="107" t="str">
        <f aca="false">IF($C9673="","",$D9673*IFERROR(INDEX('تحليل التكلفة والسعر'!$C$2:$C$700,MATCH($C9673,'تحليل التكلفة والسعر'!$B$2:$B$700,0)),0))</f>
        <v/>
      </c>
    </row>
    <row r="9674" customFormat="false" ht="15" hidden="false" customHeight="false" outlineLevel="0" collapsed="false">
      <c r="A9674" s="103"/>
      <c r="B9674" s="104"/>
      <c r="C9674" s="104"/>
      <c r="E9674" s="107" t="str">
        <f aca="false">IF($C9674="","",IFERROR(INDEX(المنيو!$C$2:$C$500,MATCH($C9674,المنيو!$B$2:$B$500,0)),0))</f>
        <v/>
      </c>
      <c r="F9674" s="107" t="str">
        <f aca="false">IF($C9674="","",$D9674*$E9674)</f>
        <v/>
      </c>
      <c r="G9674" s="107" t="str">
        <f aca="false">IF($C9674="","",$D9674*IFERROR(INDEX('تحليل التكلفة والسعر'!$C$2:$C$700,MATCH($C9674,'تحليل التكلفة والسعر'!$B$2:$B$700,0)),0))</f>
        <v/>
      </c>
    </row>
    <row r="9675" customFormat="false" ht="15" hidden="false" customHeight="false" outlineLevel="0" collapsed="false">
      <c r="A9675" s="103"/>
      <c r="B9675" s="104"/>
      <c r="C9675" s="104"/>
      <c r="E9675" s="107" t="str">
        <f aca="false">IF($C9675="","",IFERROR(INDEX(المنيو!$C$2:$C$500,MATCH($C9675,المنيو!$B$2:$B$500,0)),0))</f>
        <v/>
      </c>
      <c r="F9675" s="107" t="str">
        <f aca="false">IF($C9675="","",$D9675*$E9675)</f>
        <v/>
      </c>
      <c r="G9675" s="107" t="str">
        <f aca="false">IF($C9675="","",$D9675*IFERROR(INDEX('تحليل التكلفة والسعر'!$C$2:$C$700,MATCH($C9675,'تحليل التكلفة والسعر'!$B$2:$B$700,0)),0))</f>
        <v/>
      </c>
    </row>
    <row r="9676" customFormat="false" ht="15" hidden="false" customHeight="false" outlineLevel="0" collapsed="false">
      <c r="A9676" s="103"/>
      <c r="B9676" s="104"/>
      <c r="C9676" s="104"/>
      <c r="E9676" s="107" t="str">
        <f aca="false">IF($C9676="","",IFERROR(INDEX(المنيو!$C$2:$C$500,MATCH($C9676,المنيو!$B$2:$B$500,0)),0))</f>
        <v/>
      </c>
      <c r="F9676" s="107" t="str">
        <f aca="false">IF($C9676="","",$D9676*$E9676)</f>
        <v/>
      </c>
      <c r="G9676" s="107" t="str">
        <f aca="false">IF($C9676="","",$D9676*IFERROR(INDEX('تحليل التكلفة والسعر'!$C$2:$C$700,MATCH($C9676,'تحليل التكلفة والسعر'!$B$2:$B$700,0)),0))</f>
        <v/>
      </c>
    </row>
    <row r="9677" customFormat="false" ht="15" hidden="false" customHeight="false" outlineLevel="0" collapsed="false">
      <c r="A9677" s="103"/>
      <c r="B9677" s="104"/>
      <c r="C9677" s="104"/>
      <c r="E9677" s="107" t="str">
        <f aca="false">IF($C9677="","",IFERROR(INDEX(المنيو!$C$2:$C$500,MATCH($C9677,المنيو!$B$2:$B$500,0)),0))</f>
        <v/>
      </c>
      <c r="F9677" s="107" t="str">
        <f aca="false">IF($C9677="","",$D9677*$E9677)</f>
        <v/>
      </c>
      <c r="G9677" s="107" t="str">
        <f aca="false">IF($C9677="","",$D9677*IFERROR(INDEX('تحليل التكلفة والسعر'!$C$2:$C$700,MATCH($C9677,'تحليل التكلفة والسعر'!$B$2:$B$700,0)),0))</f>
        <v/>
      </c>
    </row>
    <row r="9678" customFormat="false" ht="15" hidden="false" customHeight="false" outlineLevel="0" collapsed="false">
      <c r="A9678" s="103"/>
      <c r="B9678" s="104"/>
      <c r="C9678" s="104"/>
      <c r="E9678" s="107" t="str">
        <f aca="false">IF($C9678="","",IFERROR(INDEX(المنيو!$C$2:$C$500,MATCH($C9678,المنيو!$B$2:$B$500,0)),0))</f>
        <v/>
      </c>
      <c r="F9678" s="107" t="str">
        <f aca="false">IF($C9678="","",$D9678*$E9678)</f>
        <v/>
      </c>
      <c r="G9678" s="107" t="str">
        <f aca="false">IF($C9678="","",$D9678*IFERROR(INDEX('تحليل التكلفة والسعر'!$C$2:$C$700,MATCH($C9678,'تحليل التكلفة والسعر'!$B$2:$B$700,0)),0))</f>
        <v/>
      </c>
    </row>
    <row r="9679" customFormat="false" ht="15" hidden="false" customHeight="false" outlineLevel="0" collapsed="false">
      <c r="A9679" s="103"/>
      <c r="B9679" s="104"/>
      <c r="C9679" s="104"/>
      <c r="E9679" s="107" t="str">
        <f aca="false">IF($C9679="","",IFERROR(INDEX(المنيو!$C$2:$C$500,MATCH($C9679,المنيو!$B$2:$B$500,0)),0))</f>
        <v/>
      </c>
      <c r="F9679" s="107" t="str">
        <f aca="false">IF($C9679="","",$D9679*$E9679)</f>
        <v/>
      </c>
      <c r="G9679" s="107" t="str">
        <f aca="false">IF($C9679="","",$D9679*IFERROR(INDEX('تحليل التكلفة والسعر'!$C$2:$C$700,MATCH($C9679,'تحليل التكلفة والسعر'!$B$2:$B$700,0)),0))</f>
        <v/>
      </c>
    </row>
    <row r="9680" customFormat="false" ht="15" hidden="false" customHeight="false" outlineLevel="0" collapsed="false">
      <c r="A9680" s="103"/>
      <c r="B9680" s="104"/>
      <c r="C9680" s="104"/>
      <c r="E9680" s="107" t="str">
        <f aca="false">IF($C9680="","",IFERROR(INDEX(المنيو!$C$2:$C$500,MATCH($C9680,المنيو!$B$2:$B$500,0)),0))</f>
        <v/>
      </c>
      <c r="F9680" s="107" t="str">
        <f aca="false">IF($C9680="","",$D9680*$E9680)</f>
        <v/>
      </c>
      <c r="G9680" s="107" t="str">
        <f aca="false">IF($C9680="","",$D9680*IFERROR(INDEX('تحليل التكلفة والسعر'!$C$2:$C$700,MATCH($C9680,'تحليل التكلفة والسعر'!$B$2:$B$700,0)),0))</f>
        <v/>
      </c>
    </row>
    <row r="9681" customFormat="false" ht="15" hidden="false" customHeight="false" outlineLevel="0" collapsed="false">
      <c r="A9681" s="103"/>
      <c r="B9681" s="104"/>
      <c r="C9681" s="104"/>
      <c r="E9681" s="107" t="str">
        <f aca="false">IF($C9681="","",IFERROR(INDEX(المنيو!$C$2:$C$500,MATCH($C9681,المنيو!$B$2:$B$500,0)),0))</f>
        <v/>
      </c>
      <c r="F9681" s="107" t="str">
        <f aca="false">IF($C9681="","",$D9681*$E9681)</f>
        <v/>
      </c>
      <c r="G9681" s="107" t="str">
        <f aca="false">IF($C9681="","",$D9681*IFERROR(INDEX('تحليل التكلفة والسعر'!$C$2:$C$700,MATCH($C9681,'تحليل التكلفة والسعر'!$B$2:$B$700,0)),0))</f>
        <v/>
      </c>
    </row>
    <row r="9682" customFormat="false" ht="15" hidden="false" customHeight="false" outlineLevel="0" collapsed="false">
      <c r="A9682" s="103"/>
      <c r="B9682" s="104"/>
      <c r="C9682" s="104"/>
      <c r="E9682" s="107" t="str">
        <f aca="false">IF($C9682="","",IFERROR(INDEX(المنيو!$C$2:$C$500,MATCH($C9682,المنيو!$B$2:$B$500,0)),0))</f>
        <v/>
      </c>
      <c r="F9682" s="107" t="str">
        <f aca="false">IF($C9682="","",$D9682*$E9682)</f>
        <v/>
      </c>
      <c r="G9682" s="107" t="str">
        <f aca="false">IF($C9682="","",$D9682*IFERROR(INDEX('تحليل التكلفة والسعر'!$C$2:$C$700,MATCH($C9682,'تحليل التكلفة والسعر'!$B$2:$B$700,0)),0))</f>
        <v/>
      </c>
    </row>
    <row r="9683" customFormat="false" ht="15" hidden="false" customHeight="false" outlineLevel="0" collapsed="false">
      <c r="A9683" s="103"/>
      <c r="B9683" s="104"/>
      <c r="C9683" s="104"/>
      <c r="E9683" s="107" t="str">
        <f aca="false">IF($C9683="","",IFERROR(INDEX(المنيو!$C$2:$C$500,MATCH($C9683,المنيو!$B$2:$B$500,0)),0))</f>
        <v/>
      </c>
      <c r="F9683" s="107" t="str">
        <f aca="false">IF($C9683="","",$D9683*$E9683)</f>
        <v/>
      </c>
      <c r="G9683" s="107" t="str">
        <f aca="false">IF($C9683="","",$D9683*IFERROR(INDEX('تحليل التكلفة والسعر'!$C$2:$C$700,MATCH($C9683,'تحليل التكلفة والسعر'!$B$2:$B$700,0)),0))</f>
        <v/>
      </c>
    </row>
    <row r="9684" customFormat="false" ht="15" hidden="false" customHeight="false" outlineLevel="0" collapsed="false">
      <c r="A9684" s="103"/>
      <c r="B9684" s="104"/>
      <c r="C9684" s="104"/>
      <c r="E9684" s="107" t="str">
        <f aca="false">IF($C9684="","",IFERROR(INDEX(المنيو!$C$2:$C$500,MATCH($C9684,المنيو!$B$2:$B$500,0)),0))</f>
        <v/>
      </c>
      <c r="F9684" s="107" t="str">
        <f aca="false">IF($C9684="","",$D9684*$E9684)</f>
        <v/>
      </c>
      <c r="G9684" s="107" t="str">
        <f aca="false">IF($C9684="","",$D9684*IFERROR(INDEX('تحليل التكلفة والسعر'!$C$2:$C$700,MATCH($C9684,'تحليل التكلفة والسعر'!$B$2:$B$700,0)),0))</f>
        <v/>
      </c>
    </row>
    <row r="9685" customFormat="false" ht="15" hidden="false" customHeight="false" outlineLevel="0" collapsed="false">
      <c r="A9685" s="103"/>
      <c r="B9685" s="104"/>
      <c r="C9685" s="104"/>
      <c r="E9685" s="107" t="str">
        <f aca="false">IF($C9685="","",IFERROR(INDEX(المنيو!$C$2:$C$500,MATCH($C9685,المنيو!$B$2:$B$500,0)),0))</f>
        <v/>
      </c>
      <c r="F9685" s="107" t="str">
        <f aca="false">IF($C9685="","",$D9685*$E9685)</f>
        <v/>
      </c>
      <c r="G9685" s="107" t="str">
        <f aca="false">IF($C9685="","",$D9685*IFERROR(INDEX('تحليل التكلفة والسعر'!$C$2:$C$700,MATCH($C9685,'تحليل التكلفة والسعر'!$B$2:$B$700,0)),0))</f>
        <v/>
      </c>
    </row>
    <row r="9686" customFormat="false" ht="15" hidden="false" customHeight="false" outlineLevel="0" collapsed="false">
      <c r="A9686" s="103"/>
      <c r="B9686" s="104"/>
      <c r="C9686" s="104"/>
      <c r="E9686" s="107" t="str">
        <f aca="false">IF($C9686="","",IFERROR(INDEX(المنيو!$C$2:$C$500,MATCH($C9686,المنيو!$B$2:$B$500,0)),0))</f>
        <v/>
      </c>
      <c r="F9686" s="107" t="str">
        <f aca="false">IF($C9686="","",$D9686*$E9686)</f>
        <v/>
      </c>
      <c r="G9686" s="107" t="str">
        <f aca="false">IF($C9686="","",$D9686*IFERROR(INDEX('تحليل التكلفة والسعر'!$C$2:$C$700,MATCH($C9686,'تحليل التكلفة والسعر'!$B$2:$B$700,0)),0))</f>
        <v/>
      </c>
    </row>
    <row r="9687" customFormat="false" ht="15" hidden="false" customHeight="false" outlineLevel="0" collapsed="false">
      <c r="A9687" s="103"/>
      <c r="B9687" s="104"/>
      <c r="C9687" s="104"/>
      <c r="E9687" s="107" t="str">
        <f aca="false">IF($C9687="","",IFERROR(INDEX(المنيو!$C$2:$C$500,MATCH($C9687,المنيو!$B$2:$B$500,0)),0))</f>
        <v/>
      </c>
      <c r="F9687" s="107" t="str">
        <f aca="false">IF($C9687="","",$D9687*$E9687)</f>
        <v/>
      </c>
      <c r="G9687" s="107" t="str">
        <f aca="false">IF($C9687="","",$D9687*IFERROR(INDEX('تحليل التكلفة والسعر'!$C$2:$C$700,MATCH($C9687,'تحليل التكلفة والسعر'!$B$2:$B$700,0)),0))</f>
        <v/>
      </c>
    </row>
    <row r="9688" customFormat="false" ht="15" hidden="false" customHeight="false" outlineLevel="0" collapsed="false">
      <c r="A9688" s="103"/>
      <c r="B9688" s="104"/>
      <c r="C9688" s="104"/>
      <c r="E9688" s="107" t="str">
        <f aca="false">IF($C9688="","",IFERROR(INDEX(المنيو!$C$2:$C$500,MATCH($C9688,المنيو!$B$2:$B$500,0)),0))</f>
        <v/>
      </c>
      <c r="F9688" s="107" t="str">
        <f aca="false">IF($C9688="","",$D9688*$E9688)</f>
        <v/>
      </c>
      <c r="G9688" s="107" t="str">
        <f aca="false">IF($C9688="","",$D9688*IFERROR(INDEX('تحليل التكلفة والسعر'!$C$2:$C$700,MATCH($C9688,'تحليل التكلفة والسعر'!$B$2:$B$700,0)),0))</f>
        <v/>
      </c>
    </row>
    <row r="9689" customFormat="false" ht="15" hidden="false" customHeight="false" outlineLevel="0" collapsed="false">
      <c r="A9689" s="103"/>
      <c r="B9689" s="104"/>
      <c r="C9689" s="104"/>
      <c r="E9689" s="107" t="str">
        <f aca="false">IF($C9689="","",IFERROR(INDEX(المنيو!$C$2:$C$500,MATCH($C9689,المنيو!$B$2:$B$500,0)),0))</f>
        <v/>
      </c>
      <c r="F9689" s="107" t="str">
        <f aca="false">IF($C9689="","",$D9689*$E9689)</f>
        <v/>
      </c>
      <c r="G9689" s="107" t="str">
        <f aca="false">IF($C9689="","",$D9689*IFERROR(INDEX('تحليل التكلفة والسعر'!$C$2:$C$700,MATCH($C9689,'تحليل التكلفة والسعر'!$B$2:$B$700,0)),0))</f>
        <v/>
      </c>
    </row>
    <row r="9690" customFormat="false" ht="15" hidden="false" customHeight="false" outlineLevel="0" collapsed="false">
      <c r="A9690" s="103"/>
      <c r="B9690" s="104"/>
      <c r="C9690" s="104"/>
      <c r="E9690" s="107" t="str">
        <f aca="false">IF($C9690="","",IFERROR(INDEX(المنيو!$C$2:$C$500,MATCH($C9690,المنيو!$B$2:$B$500,0)),0))</f>
        <v/>
      </c>
      <c r="F9690" s="107" t="str">
        <f aca="false">IF($C9690="","",$D9690*$E9690)</f>
        <v/>
      </c>
      <c r="G9690" s="107" t="str">
        <f aca="false">IF($C9690="","",$D9690*IFERROR(INDEX('تحليل التكلفة والسعر'!$C$2:$C$700,MATCH($C9690,'تحليل التكلفة والسعر'!$B$2:$B$700,0)),0))</f>
        <v/>
      </c>
    </row>
    <row r="9691" customFormat="false" ht="15" hidden="false" customHeight="false" outlineLevel="0" collapsed="false">
      <c r="A9691" s="103"/>
      <c r="B9691" s="104"/>
      <c r="C9691" s="104"/>
      <c r="E9691" s="107" t="str">
        <f aca="false">IF($C9691="","",IFERROR(INDEX(المنيو!$C$2:$C$500,MATCH($C9691,المنيو!$B$2:$B$500,0)),0))</f>
        <v/>
      </c>
      <c r="F9691" s="107" t="str">
        <f aca="false">IF($C9691="","",$D9691*$E9691)</f>
        <v/>
      </c>
      <c r="G9691" s="107" t="str">
        <f aca="false">IF($C9691="","",$D9691*IFERROR(INDEX('تحليل التكلفة والسعر'!$C$2:$C$700,MATCH($C9691,'تحليل التكلفة والسعر'!$B$2:$B$700,0)),0))</f>
        <v/>
      </c>
    </row>
    <row r="9692" customFormat="false" ht="15" hidden="false" customHeight="false" outlineLevel="0" collapsed="false">
      <c r="A9692" s="103"/>
      <c r="B9692" s="104"/>
      <c r="C9692" s="104"/>
      <c r="E9692" s="107" t="str">
        <f aca="false">IF($C9692="","",IFERROR(INDEX(المنيو!$C$2:$C$500,MATCH($C9692,المنيو!$B$2:$B$500,0)),0))</f>
        <v/>
      </c>
      <c r="F9692" s="107" t="str">
        <f aca="false">IF($C9692="","",$D9692*$E9692)</f>
        <v/>
      </c>
      <c r="G9692" s="107" t="str">
        <f aca="false">IF($C9692="","",$D9692*IFERROR(INDEX('تحليل التكلفة والسعر'!$C$2:$C$700,MATCH($C9692,'تحليل التكلفة والسعر'!$B$2:$B$700,0)),0))</f>
        <v/>
      </c>
    </row>
    <row r="9693" customFormat="false" ht="15" hidden="false" customHeight="false" outlineLevel="0" collapsed="false">
      <c r="A9693" s="103"/>
      <c r="B9693" s="104"/>
      <c r="C9693" s="104"/>
      <c r="E9693" s="107" t="str">
        <f aca="false">IF($C9693="","",IFERROR(INDEX(المنيو!$C$2:$C$500,MATCH($C9693,المنيو!$B$2:$B$500,0)),0))</f>
        <v/>
      </c>
      <c r="F9693" s="107" t="str">
        <f aca="false">IF($C9693="","",$D9693*$E9693)</f>
        <v/>
      </c>
      <c r="G9693" s="107" t="str">
        <f aca="false">IF($C9693="","",$D9693*IFERROR(INDEX('تحليل التكلفة والسعر'!$C$2:$C$700,MATCH($C9693,'تحليل التكلفة والسعر'!$B$2:$B$700,0)),0))</f>
        <v/>
      </c>
    </row>
    <row r="9694" customFormat="false" ht="15" hidden="false" customHeight="false" outlineLevel="0" collapsed="false">
      <c r="A9694" s="103"/>
      <c r="B9694" s="104"/>
      <c r="C9694" s="104"/>
      <c r="E9694" s="107" t="str">
        <f aca="false">IF($C9694="","",IFERROR(INDEX(المنيو!$C$2:$C$500,MATCH($C9694,المنيو!$B$2:$B$500,0)),0))</f>
        <v/>
      </c>
      <c r="F9694" s="107" t="str">
        <f aca="false">IF($C9694="","",$D9694*$E9694)</f>
        <v/>
      </c>
      <c r="G9694" s="107" t="str">
        <f aca="false">IF($C9694="","",$D9694*IFERROR(INDEX('تحليل التكلفة والسعر'!$C$2:$C$700,MATCH($C9694,'تحليل التكلفة والسعر'!$B$2:$B$700,0)),0))</f>
        <v/>
      </c>
    </row>
    <row r="9695" customFormat="false" ht="15" hidden="false" customHeight="false" outlineLevel="0" collapsed="false">
      <c r="A9695" s="103"/>
      <c r="B9695" s="104"/>
      <c r="C9695" s="104"/>
      <c r="E9695" s="107" t="str">
        <f aca="false">IF($C9695="","",IFERROR(INDEX(المنيو!$C$2:$C$500,MATCH($C9695,المنيو!$B$2:$B$500,0)),0))</f>
        <v/>
      </c>
      <c r="F9695" s="107" t="str">
        <f aca="false">IF($C9695="","",$D9695*$E9695)</f>
        <v/>
      </c>
      <c r="G9695" s="107" t="str">
        <f aca="false">IF($C9695="","",$D9695*IFERROR(INDEX('تحليل التكلفة والسعر'!$C$2:$C$700,MATCH($C9695,'تحليل التكلفة والسعر'!$B$2:$B$700,0)),0))</f>
        <v/>
      </c>
    </row>
    <row r="9696" customFormat="false" ht="15" hidden="false" customHeight="false" outlineLevel="0" collapsed="false">
      <c r="A9696" s="103"/>
      <c r="B9696" s="104"/>
      <c r="C9696" s="104"/>
      <c r="E9696" s="107" t="str">
        <f aca="false">IF($C9696="","",IFERROR(INDEX(المنيو!$C$2:$C$500,MATCH($C9696,المنيو!$B$2:$B$500,0)),0))</f>
        <v/>
      </c>
      <c r="F9696" s="107" t="str">
        <f aca="false">IF($C9696="","",$D9696*$E9696)</f>
        <v/>
      </c>
      <c r="G9696" s="107" t="str">
        <f aca="false">IF($C9696="","",$D9696*IFERROR(INDEX('تحليل التكلفة والسعر'!$C$2:$C$700,MATCH($C9696,'تحليل التكلفة والسعر'!$B$2:$B$700,0)),0))</f>
        <v/>
      </c>
    </row>
    <row r="9697" customFormat="false" ht="15" hidden="false" customHeight="false" outlineLevel="0" collapsed="false">
      <c r="A9697" s="103"/>
      <c r="B9697" s="104"/>
      <c r="C9697" s="104"/>
      <c r="E9697" s="107" t="str">
        <f aca="false">IF($C9697="","",IFERROR(INDEX(المنيو!$C$2:$C$500,MATCH($C9697,المنيو!$B$2:$B$500,0)),0))</f>
        <v/>
      </c>
      <c r="F9697" s="107" t="str">
        <f aca="false">IF($C9697="","",$D9697*$E9697)</f>
        <v/>
      </c>
      <c r="G9697" s="107" t="str">
        <f aca="false">IF($C9697="","",$D9697*IFERROR(INDEX('تحليل التكلفة والسعر'!$C$2:$C$700,MATCH($C9697,'تحليل التكلفة والسعر'!$B$2:$B$700,0)),0))</f>
        <v/>
      </c>
    </row>
    <row r="9698" customFormat="false" ht="15" hidden="false" customHeight="false" outlineLevel="0" collapsed="false">
      <c r="A9698" s="103"/>
      <c r="B9698" s="104"/>
      <c r="C9698" s="104"/>
      <c r="E9698" s="107" t="str">
        <f aca="false">IF($C9698="","",IFERROR(INDEX(المنيو!$C$2:$C$500,MATCH($C9698,المنيو!$B$2:$B$500,0)),0))</f>
        <v/>
      </c>
      <c r="F9698" s="107" t="str">
        <f aca="false">IF($C9698="","",$D9698*$E9698)</f>
        <v/>
      </c>
      <c r="G9698" s="107" t="str">
        <f aca="false">IF($C9698="","",$D9698*IFERROR(INDEX('تحليل التكلفة والسعر'!$C$2:$C$700,MATCH($C9698,'تحليل التكلفة والسعر'!$B$2:$B$700,0)),0))</f>
        <v/>
      </c>
    </row>
    <row r="9699" customFormat="false" ht="15" hidden="false" customHeight="false" outlineLevel="0" collapsed="false">
      <c r="A9699" s="103"/>
      <c r="B9699" s="104"/>
      <c r="C9699" s="104"/>
      <c r="E9699" s="107" t="str">
        <f aca="false">IF($C9699="","",IFERROR(INDEX(المنيو!$C$2:$C$500,MATCH($C9699,المنيو!$B$2:$B$500,0)),0))</f>
        <v/>
      </c>
      <c r="F9699" s="107" t="str">
        <f aca="false">IF($C9699="","",$D9699*$E9699)</f>
        <v/>
      </c>
      <c r="G9699" s="107" t="str">
        <f aca="false">IF($C9699="","",$D9699*IFERROR(INDEX('تحليل التكلفة والسعر'!$C$2:$C$700,MATCH($C9699,'تحليل التكلفة والسعر'!$B$2:$B$700,0)),0))</f>
        <v/>
      </c>
    </row>
    <row r="9700" customFormat="false" ht="15" hidden="false" customHeight="false" outlineLevel="0" collapsed="false">
      <c r="A9700" s="103"/>
      <c r="B9700" s="104"/>
      <c r="C9700" s="104"/>
      <c r="E9700" s="107" t="str">
        <f aca="false">IF($C9700="","",IFERROR(INDEX(المنيو!$C$2:$C$500,MATCH($C9700,المنيو!$B$2:$B$500,0)),0))</f>
        <v/>
      </c>
      <c r="F9700" s="107" t="str">
        <f aca="false">IF($C9700="","",$D9700*$E9700)</f>
        <v/>
      </c>
      <c r="G9700" s="107" t="str">
        <f aca="false">IF($C9700="","",$D9700*IFERROR(INDEX('تحليل التكلفة والسعر'!$C$2:$C$700,MATCH($C9700,'تحليل التكلفة والسعر'!$B$2:$B$700,0)),0))</f>
        <v/>
      </c>
    </row>
    <row r="9701" customFormat="false" ht="15" hidden="false" customHeight="false" outlineLevel="0" collapsed="false">
      <c r="A9701" s="103"/>
      <c r="B9701" s="104"/>
      <c r="C9701" s="104"/>
      <c r="E9701" s="107" t="str">
        <f aca="false">IF($C9701="","",IFERROR(INDEX(المنيو!$C$2:$C$500,MATCH($C9701,المنيو!$B$2:$B$500,0)),0))</f>
        <v/>
      </c>
      <c r="F9701" s="107" t="str">
        <f aca="false">IF($C9701="","",$D9701*$E9701)</f>
        <v/>
      </c>
      <c r="G9701" s="107" t="str">
        <f aca="false">IF($C9701="","",$D9701*IFERROR(INDEX('تحليل التكلفة والسعر'!$C$2:$C$700,MATCH($C9701,'تحليل التكلفة والسعر'!$B$2:$B$700,0)),0))</f>
        <v/>
      </c>
    </row>
    <row r="9702" customFormat="false" ht="15" hidden="false" customHeight="false" outlineLevel="0" collapsed="false">
      <c r="A9702" s="103"/>
      <c r="B9702" s="104"/>
      <c r="C9702" s="104"/>
      <c r="E9702" s="107" t="str">
        <f aca="false">IF($C9702="","",IFERROR(INDEX(المنيو!$C$2:$C$500,MATCH($C9702,المنيو!$B$2:$B$500,0)),0))</f>
        <v/>
      </c>
      <c r="F9702" s="107" t="str">
        <f aca="false">IF($C9702="","",$D9702*$E9702)</f>
        <v/>
      </c>
      <c r="G9702" s="107" t="str">
        <f aca="false">IF($C9702="","",$D9702*IFERROR(INDEX('تحليل التكلفة والسعر'!$C$2:$C$700,MATCH($C9702,'تحليل التكلفة والسعر'!$B$2:$B$700,0)),0))</f>
        <v/>
      </c>
    </row>
    <row r="9703" customFormat="false" ht="15" hidden="false" customHeight="false" outlineLevel="0" collapsed="false">
      <c r="A9703" s="103"/>
      <c r="B9703" s="104"/>
      <c r="C9703" s="104"/>
      <c r="E9703" s="107" t="str">
        <f aca="false">IF($C9703="","",IFERROR(INDEX(المنيو!$C$2:$C$500,MATCH($C9703,المنيو!$B$2:$B$500,0)),0))</f>
        <v/>
      </c>
      <c r="F9703" s="107" t="str">
        <f aca="false">IF($C9703="","",$D9703*$E9703)</f>
        <v/>
      </c>
      <c r="G9703" s="107" t="str">
        <f aca="false">IF($C9703="","",$D9703*IFERROR(INDEX('تحليل التكلفة والسعر'!$C$2:$C$700,MATCH($C9703,'تحليل التكلفة والسعر'!$B$2:$B$700,0)),0))</f>
        <v/>
      </c>
    </row>
    <row r="9704" customFormat="false" ht="15" hidden="false" customHeight="false" outlineLevel="0" collapsed="false">
      <c r="A9704" s="103"/>
      <c r="B9704" s="104"/>
      <c r="C9704" s="104"/>
      <c r="E9704" s="107" t="str">
        <f aca="false">IF($C9704="","",IFERROR(INDEX(المنيو!$C$2:$C$500,MATCH($C9704,المنيو!$B$2:$B$500,0)),0))</f>
        <v/>
      </c>
      <c r="F9704" s="107" t="str">
        <f aca="false">IF($C9704="","",$D9704*$E9704)</f>
        <v/>
      </c>
      <c r="G9704" s="107" t="str">
        <f aca="false">IF($C9704="","",$D9704*IFERROR(INDEX('تحليل التكلفة والسعر'!$C$2:$C$700,MATCH($C9704,'تحليل التكلفة والسعر'!$B$2:$B$700,0)),0))</f>
        <v/>
      </c>
    </row>
    <row r="9705" customFormat="false" ht="15" hidden="false" customHeight="false" outlineLevel="0" collapsed="false">
      <c r="A9705" s="103"/>
      <c r="B9705" s="104"/>
      <c r="C9705" s="104"/>
      <c r="E9705" s="107" t="str">
        <f aca="false">IF($C9705="","",IFERROR(INDEX(المنيو!$C$2:$C$500,MATCH($C9705,المنيو!$B$2:$B$500,0)),0))</f>
        <v/>
      </c>
      <c r="F9705" s="107" t="str">
        <f aca="false">IF($C9705="","",$D9705*$E9705)</f>
        <v/>
      </c>
      <c r="G9705" s="107" t="str">
        <f aca="false">IF($C9705="","",$D9705*IFERROR(INDEX('تحليل التكلفة والسعر'!$C$2:$C$700,MATCH($C9705,'تحليل التكلفة والسعر'!$B$2:$B$700,0)),0))</f>
        <v/>
      </c>
    </row>
    <row r="9706" customFormat="false" ht="15" hidden="false" customHeight="false" outlineLevel="0" collapsed="false">
      <c r="A9706" s="103"/>
      <c r="B9706" s="104"/>
      <c r="C9706" s="104"/>
      <c r="E9706" s="107" t="str">
        <f aca="false">IF($C9706="","",IFERROR(INDEX(المنيو!$C$2:$C$500,MATCH($C9706,المنيو!$B$2:$B$500,0)),0))</f>
        <v/>
      </c>
      <c r="F9706" s="107" t="str">
        <f aca="false">IF($C9706="","",$D9706*$E9706)</f>
        <v/>
      </c>
      <c r="G9706" s="107" t="str">
        <f aca="false">IF($C9706="","",$D9706*IFERROR(INDEX('تحليل التكلفة والسعر'!$C$2:$C$700,MATCH($C9706,'تحليل التكلفة والسعر'!$B$2:$B$700,0)),0))</f>
        <v/>
      </c>
    </row>
    <row r="9707" customFormat="false" ht="15" hidden="false" customHeight="false" outlineLevel="0" collapsed="false">
      <c r="A9707" s="103"/>
      <c r="B9707" s="104"/>
      <c r="C9707" s="104"/>
      <c r="E9707" s="107" t="str">
        <f aca="false">IF($C9707="","",IFERROR(INDEX(المنيو!$C$2:$C$500,MATCH($C9707,المنيو!$B$2:$B$500,0)),0))</f>
        <v/>
      </c>
      <c r="F9707" s="107" t="str">
        <f aca="false">IF($C9707="","",$D9707*$E9707)</f>
        <v/>
      </c>
      <c r="G9707" s="107" t="str">
        <f aca="false">IF($C9707="","",$D9707*IFERROR(INDEX('تحليل التكلفة والسعر'!$C$2:$C$700,MATCH($C9707,'تحليل التكلفة والسعر'!$B$2:$B$700,0)),0))</f>
        <v/>
      </c>
    </row>
    <row r="9708" customFormat="false" ht="15" hidden="false" customHeight="false" outlineLevel="0" collapsed="false">
      <c r="A9708" s="103"/>
      <c r="B9708" s="104"/>
      <c r="C9708" s="104"/>
      <c r="E9708" s="107" t="str">
        <f aca="false">IF($C9708="","",IFERROR(INDEX(المنيو!$C$2:$C$500,MATCH($C9708,المنيو!$B$2:$B$500,0)),0))</f>
        <v/>
      </c>
      <c r="F9708" s="107" t="str">
        <f aca="false">IF($C9708="","",$D9708*$E9708)</f>
        <v/>
      </c>
      <c r="G9708" s="107" t="str">
        <f aca="false">IF($C9708="","",$D9708*IFERROR(INDEX('تحليل التكلفة والسعر'!$C$2:$C$700,MATCH($C9708,'تحليل التكلفة والسعر'!$B$2:$B$700,0)),0))</f>
        <v/>
      </c>
    </row>
    <row r="9709" customFormat="false" ht="15" hidden="false" customHeight="false" outlineLevel="0" collapsed="false">
      <c r="A9709" s="103"/>
      <c r="B9709" s="104"/>
      <c r="C9709" s="104"/>
      <c r="E9709" s="107" t="str">
        <f aca="false">IF($C9709="","",IFERROR(INDEX(المنيو!$C$2:$C$500,MATCH($C9709,المنيو!$B$2:$B$500,0)),0))</f>
        <v/>
      </c>
      <c r="F9709" s="107" t="str">
        <f aca="false">IF($C9709="","",$D9709*$E9709)</f>
        <v/>
      </c>
      <c r="G9709" s="107" t="str">
        <f aca="false">IF($C9709="","",$D9709*IFERROR(INDEX('تحليل التكلفة والسعر'!$C$2:$C$700,MATCH($C9709,'تحليل التكلفة والسعر'!$B$2:$B$700,0)),0))</f>
        <v/>
      </c>
    </row>
    <row r="9710" customFormat="false" ht="15" hidden="false" customHeight="false" outlineLevel="0" collapsed="false">
      <c r="A9710" s="103"/>
      <c r="B9710" s="104"/>
      <c r="C9710" s="104"/>
      <c r="E9710" s="107" t="str">
        <f aca="false">IF($C9710="","",IFERROR(INDEX(المنيو!$C$2:$C$500,MATCH($C9710,المنيو!$B$2:$B$500,0)),0))</f>
        <v/>
      </c>
      <c r="F9710" s="107" t="str">
        <f aca="false">IF($C9710="","",$D9710*$E9710)</f>
        <v/>
      </c>
      <c r="G9710" s="107" t="str">
        <f aca="false">IF($C9710="","",$D9710*IFERROR(INDEX('تحليل التكلفة والسعر'!$C$2:$C$700,MATCH($C9710,'تحليل التكلفة والسعر'!$B$2:$B$700,0)),0))</f>
        <v/>
      </c>
    </row>
    <row r="9711" customFormat="false" ht="15" hidden="false" customHeight="false" outlineLevel="0" collapsed="false">
      <c r="A9711" s="103"/>
      <c r="B9711" s="104"/>
      <c r="C9711" s="104"/>
      <c r="E9711" s="107" t="str">
        <f aca="false">IF($C9711="","",IFERROR(INDEX(المنيو!$C$2:$C$500,MATCH($C9711,المنيو!$B$2:$B$500,0)),0))</f>
        <v/>
      </c>
      <c r="F9711" s="107" t="str">
        <f aca="false">IF($C9711="","",$D9711*$E9711)</f>
        <v/>
      </c>
      <c r="G9711" s="107" t="str">
        <f aca="false">IF($C9711="","",$D9711*IFERROR(INDEX('تحليل التكلفة والسعر'!$C$2:$C$700,MATCH($C9711,'تحليل التكلفة والسعر'!$B$2:$B$700,0)),0))</f>
        <v/>
      </c>
    </row>
    <row r="9712" customFormat="false" ht="15" hidden="false" customHeight="false" outlineLevel="0" collapsed="false">
      <c r="A9712" s="103"/>
      <c r="B9712" s="104"/>
      <c r="C9712" s="104"/>
      <c r="E9712" s="107" t="str">
        <f aca="false">IF($C9712="","",IFERROR(INDEX(المنيو!$C$2:$C$500,MATCH($C9712,المنيو!$B$2:$B$500,0)),0))</f>
        <v/>
      </c>
      <c r="F9712" s="107" t="str">
        <f aca="false">IF($C9712="","",$D9712*$E9712)</f>
        <v/>
      </c>
      <c r="G9712" s="107" t="str">
        <f aca="false">IF($C9712="","",$D9712*IFERROR(INDEX('تحليل التكلفة والسعر'!$C$2:$C$700,MATCH($C9712,'تحليل التكلفة والسعر'!$B$2:$B$700,0)),0))</f>
        <v/>
      </c>
    </row>
    <row r="9713" customFormat="false" ht="15" hidden="false" customHeight="false" outlineLevel="0" collapsed="false">
      <c r="A9713" s="103"/>
      <c r="B9713" s="104"/>
      <c r="C9713" s="104"/>
      <c r="E9713" s="107" t="str">
        <f aca="false">IF($C9713="","",IFERROR(INDEX(المنيو!$C$2:$C$500,MATCH($C9713,المنيو!$B$2:$B$500,0)),0))</f>
        <v/>
      </c>
      <c r="F9713" s="107" t="str">
        <f aca="false">IF($C9713="","",$D9713*$E9713)</f>
        <v/>
      </c>
      <c r="G9713" s="107" t="str">
        <f aca="false">IF($C9713="","",$D9713*IFERROR(INDEX('تحليل التكلفة والسعر'!$C$2:$C$700,MATCH($C9713,'تحليل التكلفة والسعر'!$B$2:$B$700,0)),0))</f>
        <v/>
      </c>
    </row>
    <row r="9714" customFormat="false" ht="15" hidden="false" customHeight="false" outlineLevel="0" collapsed="false">
      <c r="A9714" s="103"/>
      <c r="B9714" s="104"/>
      <c r="C9714" s="104"/>
      <c r="E9714" s="107" t="str">
        <f aca="false">IF($C9714="","",IFERROR(INDEX(المنيو!$C$2:$C$500,MATCH($C9714,المنيو!$B$2:$B$500,0)),0))</f>
        <v/>
      </c>
      <c r="F9714" s="107" t="str">
        <f aca="false">IF($C9714="","",$D9714*$E9714)</f>
        <v/>
      </c>
      <c r="G9714" s="107" t="str">
        <f aca="false">IF($C9714="","",$D9714*IFERROR(INDEX('تحليل التكلفة والسعر'!$C$2:$C$700,MATCH($C9714,'تحليل التكلفة والسعر'!$B$2:$B$700,0)),0))</f>
        <v/>
      </c>
    </row>
    <row r="9715" customFormat="false" ht="15" hidden="false" customHeight="false" outlineLevel="0" collapsed="false">
      <c r="A9715" s="103"/>
      <c r="B9715" s="104"/>
      <c r="C9715" s="104"/>
      <c r="E9715" s="107" t="str">
        <f aca="false">IF($C9715="","",IFERROR(INDEX(المنيو!$C$2:$C$500,MATCH($C9715,المنيو!$B$2:$B$500,0)),0))</f>
        <v/>
      </c>
      <c r="F9715" s="107" t="str">
        <f aca="false">IF($C9715="","",$D9715*$E9715)</f>
        <v/>
      </c>
      <c r="G9715" s="107" t="str">
        <f aca="false">IF($C9715="","",$D9715*IFERROR(INDEX('تحليل التكلفة والسعر'!$C$2:$C$700,MATCH($C9715,'تحليل التكلفة والسعر'!$B$2:$B$700,0)),0))</f>
        <v/>
      </c>
    </row>
    <row r="9716" customFormat="false" ht="15" hidden="false" customHeight="false" outlineLevel="0" collapsed="false">
      <c r="A9716" s="103"/>
      <c r="B9716" s="104"/>
      <c r="C9716" s="104"/>
      <c r="E9716" s="107" t="str">
        <f aca="false">IF($C9716="","",IFERROR(INDEX(المنيو!$C$2:$C$500,MATCH($C9716,المنيو!$B$2:$B$500,0)),0))</f>
        <v/>
      </c>
      <c r="F9716" s="107" t="str">
        <f aca="false">IF($C9716="","",$D9716*$E9716)</f>
        <v/>
      </c>
      <c r="G9716" s="107" t="str">
        <f aca="false">IF($C9716="","",$D9716*IFERROR(INDEX('تحليل التكلفة والسعر'!$C$2:$C$700,MATCH($C9716,'تحليل التكلفة والسعر'!$B$2:$B$700,0)),0))</f>
        <v/>
      </c>
    </row>
    <row r="9717" customFormat="false" ht="15" hidden="false" customHeight="false" outlineLevel="0" collapsed="false">
      <c r="A9717" s="103"/>
      <c r="B9717" s="104"/>
      <c r="C9717" s="104"/>
      <c r="E9717" s="107" t="str">
        <f aca="false">IF($C9717="","",IFERROR(INDEX(المنيو!$C$2:$C$500,MATCH($C9717,المنيو!$B$2:$B$500,0)),0))</f>
        <v/>
      </c>
      <c r="F9717" s="107" t="str">
        <f aca="false">IF($C9717="","",$D9717*$E9717)</f>
        <v/>
      </c>
      <c r="G9717" s="107" t="str">
        <f aca="false">IF($C9717="","",$D9717*IFERROR(INDEX('تحليل التكلفة والسعر'!$C$2:$C$700,MATCH($C9717,'تحليل التكلفة والسعر'!$B$2:$B$700,0)),0))</f>
        <v/>
      </c>
    </row>
    <row r="9718" customFormat="false" ht="15" hidden="false" customHeight="false" outlineLevel="0" collapsed="false">
      <c r="A9718" s="103"/>
      <c r="B9718" s="104"/>
      <c r="C9718" s="104"/>
      <c r="E9718" s="107" t="str">
        <f aca="false">IF($C9718="","",IFERROR(INDEX(المنيو!$C$2:$C$500,MATCH($C9718,المنيو!$B$2:$B$500,0)),0))</f>
        <v/>
      </c>
      <c r="F9718" s="107" t="str">
        <f aca="false">IF($C9718="","",$D9718*$E9718)</f>
        <v/>
      </c>
      <c r="G9718" s="107" t="str">
        <f aca="false">IF($C9718="","",$D9718*IFERROR(INDEX('تحليل التكلفة والسعر'!$C$2:$C$700,MATCH($C9718,'تحليل التكلفة والسعر'!$B$2:$B$700,0)),0))</f>
        <v/>
      </c>
    </row>
    <row r="9719" customFormat="false" ht="15" hidden="false" customHeight="false" outlineLevel="0" collapsed="false">
      <c r="A9719" s="103"/>
      <c r="B9719" s="104"/>
      <c r="C9719" s="104"/>
      <c r="E9719" s="107" t="str">
        <f aca="false">IF($C9719="","",IFERROR(INDEX(المنيو!$C$2:$C$500,MATCH($C9719,المنيو!$B$2:$B$500,0)),0))</f>
        <v/>
      </c>
      <c r="F9719" s="107" t="str">
        <f aca="false">IF($C9719="","",$D9719*$E9719)</f>
        <v/>
      </c>
      <c r="G9719" s="107" t="str">
        <f aca="false">IF($C9719="","",$D9719*IFERROR(INDEX('تحليل التكلفة والسعر'!$C$2:$C$700,MATCH($C9719,'تحليل التكلفة والسعر'!$B$2:$B$700,0)),0))</f>
        <v/>
      </c>
    </row>
    <row r="9720" customFormat="false" ht="15" hidden="false" customHeight="false" outlineLevel="0" collapsed="false">
      <c r="A9720" s="103"/>
      <c r="B9720" s="104"/>
      <c r="C9720" s="104"/>
      <c r="E9720" s="107" t="str">
        <f aca="false">IF($C9720="","",IFERROR(INDEX(المنيو!$C$2:$C$500,MATCH($C9720,المنيو!$B$2:$B$500,0)),0))</f>
        <v/>
      </c>
      <c r="F9720" s="107" t="str">
        <f aca="false">IF($C9720="","",$D9720*$E9720)</f>
        <v/>
      </c>
      <c r="G9720" s="107" t="str">
        <f aca="false">IF($C9720="","",$D9720*IFERROR(INDEX('تحليل التكلفة والسعر'!$C$2:$C$700,MATCH($C9720,'تحليل التكلفة والسعر'!$B$2:$B$700,0)),0))</f>
        <v/>
      </c>
    </row>
    <row r="9721" customFormat="false" ht="15" hidden="false" customHeight="false" outlineLevel="0" collapsed="false">
      <c r="A9721" s="103"/>
      <c r="B9721" s="104"/>
      <c r="C9721" s="104"/>
      <c r="E9721" s="107" t="str">
        <f aca="false">IF($C9721="","",IFERROR(INDEX(المنيو!$C$2:$C$500,MATCH($C9721,المنيو!$B$2:$B$500,0)),0))</f>
        <v/>
      </c>
      <c r="F9721" s="107" t="str">
        <f aca="false">IF($C9721="","",$D9721*$E9721)</f>
        <v/>
      </c>
      <c r="G9721" s="107" t="str">
        <f aca="false">IF($C9721="","",$D9721*IFERROR(INDEX('تحليل التكلفة والسعر'!$C$2:$C$700,MATCH($C9721,'تحليل التكلفة والسعر'!$B$2:$B$700,0)),0))</f>
        <v/>
      </c>
    </row>
    <row r="9722" customFormat="false" ht="15" hidden="false" customHeight="false" outlineLevel="0" collapsed="false">
      <c r="A9722" s="103"/>
      <c r="B9722" s="104"/>
      <c r="C9722" s="104"/>
      <c r="E9722" s="107" t="str">
        <f aca="false">IF($C9722="","",IFERROR(INDEX(المنيو!$C$2:$C$500,MATCH($C9722,المنيو!$B$2:$B$500,0)),0))</f>
        <v/>
      </c>
      <c r="F9722" s="107" t="str">
        <f aca="false">IF($C9722="","",$D9722*$E9722)</f>
        <v/>
      </c>
      <c r="G9722" s="107" t="str">
        <f aca="false">IF($C9722="","",$D9722*IFERROR(INDEX('تحليل التكلفة والسعر'!$C$2:$C$700,MATCH($C9722,'تحليل التكلفة والسعر'!$B$2:$B$700,0)),0))</f>
        <v/>
      </c>
    </row>
    <row r="9723" customFormat="false" ht="15" hidden="false" customHeight="false" outlineLevel="0" collapsed="false">
      <c r="A9723" s="103"/>
      <c r="B9723" s="104"/>
      <c r="C9723" s="104"/>
      <c r="E9723" s="107" t="str">
        <f aca="false">IF($C9723="","",IFERROR(INDEX(المنيو!$C$2:$C$500,MATCH($C9723,المنيو!$B$2:$B$500,0)),0))</f>
        <v/>
      </c>
      <c r="F9723" s="107" t="str">
        <f aca="false">IF($C9723="","",$D9723*$E9723)</f>
        <v/>
      </c>
      <c r="G9723" s="107" t="str">
        <f aca="false">IF($C9723="","",$D9723*IFERROR(INDEX('تحليل التكلفة والسعر'!$C$2:$C$700,MATCH($C9723,'تحليل التكلفة والسعر'!$B$2:$B$700,0)),0))</f>
        <v/>
      </c>
    </row>
    <row r="9724" customFormat="false" ht="15" hidden="false" customHeight="false" outlineLevel="0" collapsed="false">
      <c r="A9724" s="103"/>
      <c r="B9724" s="104"/>
      <c r="C9724" s="104"/>
      <c r="E9724" s="107" t="str">
        <f aca="false">IF($C9724="","",IFERROR(INDEX(المنيو!$C$2:$C$500,MATCH($C9724,المنيو!$B$2:$B$500,0)),0))</f>
        <v/>
      </c>
      <c r="F9724" s="107" t="str">
        <f aca="false">IF($C9724="","",$D9724*$E9724)</f>
        <v/>
      </c>
      <c r="G9724" s="107" t="str">
        <f aca="false">IF($C9724="","",$D9724*IFERROR(INDEX('تحليل التكلفة والسعر'!$C$2:$C$700,MATCH($C9724,'تحليل التكلفة والسعر'!$B$2:$B$700,0)),0))</f>
        <v/>
      </c>
    </row>
    <row r="9725" customFormat="false" ht="15" hidden="false" customHeight="false" outlineLevel="0" collapsed="false">
      <c r="A9725" s="103"/>
      <c r="B9725" s="104"/>
      <c r="C9725" s="104"/>
      <c r="E9725" s="107" t="str">
        <f aca="false">IF($C9725="","",IFERROR(INDEX(المنيو!$C$2:$C$500,MATCH($C9725,المنيو!$B$2:$B$500,0)),0))</f>
        <v/>
      </c>
      <c r="F9725" s="107" t="str">
        <f aca="false">IF($C9725="","",$D9725*$E9725)</f>
        <v/>
      </c>
      <c r="G9725" s="107" t="str">
        <f aca="false">IF($C9725="","",$D9725*IFERROR(INDEX('تحليل التكلفة والسعر'!$C$2:$C$700,MATCH($C9725,'تحليل التكلفة والسعر'!$B$2:$B$700,0)),0))</f>
        <v/>
      </c>
    </row>
    <row r="9726" customFormat="false" ht="15" hidden="false" customHeight="false" outlineLevel="0" collapsed="false">
      <c r="A9726" s="103"/>
      <c r="B9726" s="104"/>
      <c r="C9726" s="104"/>
      <c r="E9726" s="107" t="str">
        <f aca="false">IF($C9726="","",IFERROR(INDEX(المنيو!$C$2:$C$500,MATCH($C9726,المنيو!$B$2:$B$500,0)),0))</f>
        <v/>
      </c>
      <c r="F9726" s="107" t="str">
        <f aca="false">IF($C9726="","",$D9726*$E9726)</f>
        <v/>
      </c>
      <c r="G9726" s="107" t="str">
        <f aca="false">IF($C9726="","",$D9726*IFERROR(INDEX('تحليل التكلفة والسعر'!$C$2:$C$700,MATCH($C9726,'تحليل التكلفة والسعر'!$B$2:$B$700,0)),0))</f>
        <v/>
      </c>
    </row>
    <row r="9727" customFormat="false" ht="15" hidden="false" customHeight="false" outlineLevel="0" collapsed="false">
      <c r="A9727" s="103"/>
      <c r="B9727" s="104"/>
      <c r="C9727" s="104"/>
      <c r="E9727" s="107" t="str">
        <f aca="false">IF($C9727="","",IFERROR(INDEX(المنيو!$C$2:$C$500,MATCH($C9727,المنيو!$B$2:$B$500,0)),0))</f>
        <v/>
      </c>
      <c r="F9727" s="107" t="str">
        <f aca="false">IF($C9727="","",$D9727*$E9727)</f>
        <v/>
      </c>
      <c r="G9727" s="107" t="str">
        <f aca="false">IF($C9727="","",$D9727*IFERROR(INDEX('تحليل التكلفة والسعر'!$C$2:$C$700,MATCH($C9727,'تحليل التكلفة والسعر'!$B$2:$B$700,0)),0))</f>
        <v/>
      </c>
    </row>
    <row r="9728" customFormat="false" ht="15" hidden="false" customHeight="false" outlineLevel="0" collapsed="false">
      <c r="A9728" s="103"/>
      <c r="B9728" s="104"/>
      <c r="C9728" s="104"/>
      <c r="E9728" s="107" t="str">
        <f aca="false">IF($C9728="","",IFERROR(INDEX(المنيو!$C$2:$C$500,MATCH($C9728,المنيو!$B$2:$B$500,0)),0))</f>
        <v/>
      </c>
      <c r="F9728" s="107" t="str">
        <f aca="false">IF($C9728="","",$D9728*$E9728)</f>
        <v/>
      </c>
      <c r="G9728" s="107" t="str">
        <f aca="false">IF($C9728="","",$D9728*IFERROR(INDEX('تحليل التكلفة والسعر'!$C$2:$C$700,MATCH($C9728,'تحليل التكلفة والسعر'!$B$2:$B$700,0)),0))</f>
        <v/>
      </c>
    </row>
    <row r="9729" customFormat="false" ht="15" hidden="false" customHeight="false" outlineLevel="0" collapsed="false">
      <c r="A9729" s="103"/>
      <c r="B9729" s="104"/>
      <c r="C9729" s="104"/>
      <c r="E9729" s="107" t="str">
        <f aca="false">IF($C9729="","",IFERROR(INDEX(المنيو!$C$2:$C$500,MATCH($C9729,المنيو!$B$2:$B$500,0)),0))</f>
        <v/>
      </c>
      <c r="F9729" s="107" t="str">
        <f aca="false">IF($C9729="","",$D9729*$E9729)</f>
        <v/>
      </c>
      <c r="G9729" s="107" t="str">
        <f aca="false">IF($C9729="","",$D9729*IFERROR(INDEX('تحليل التكلفة والسعر'!$C$2:$C$700,MATCH($C9729,'تحليل التكلفة والسعر'!$B$2:$B$700,0)),0))</f>
        <v/>
      </c>
    </row>
    <row r="9730" customFormat="false" ht="15" hidden="false" customHeight="false" outlineLevel="0" collapsed="false">
      <c r="A9730" s="103"/>
      <c r="B9730" s="104"/>
      <c r="C9730" s="104"/>
      <c r="E9730" s="107" t="str">
        <f aca="false">IF($C9730="","",IFERROR(INDEX(المنيو!$C$2:$C$500,MATCH($C9730,المنيو!$B$2:$B$500,0)),0))</f>
        <v/>
      </c>
      <c r="F9730" s="107" t="str">
        <f aca="false">IF($C9730="","",$D9730*$E9730)</f>
        <v/>
      </c>
      <c r="G9730" s="107" t="str">
        <f aca="false">IF($C9730="","",$D9730*IFERROR(INDEX('تحليل التكلفة والسعر'!$C$2:$C$700,MATCH($C9730,'تحليل التكلفة والسعر'!$B$2:$B$700,0)),0))</f>
        <v/>
      </c>
    </row>
    <row r="9731" customFormat="false" ht="15" hidden="false" customHeight="false" outlineLevel="0" collapsed="false">
      <c r="A9731" s="103"/>
      <c r="B9731" s="104"/>
      <c r="C9731" s="104"/>
      <c r="E9731" s="107" t="str">
        <f aca="false">IF($C9731="","",IFERROR(INDEX(المنيو!$C$2:$C$500,MATCH($C9731,المنيو!$B$2:$B$500,0)),0))</f>
        <v/>
      </c>
      <c r="F9731" s="107" t="str">
        <f aca="false">IF($C9731="","",$D9731*$E9731)</f>
        <v/>
      </c>
      <c r="G9731" s="107" t="str">
        <f aca="false">IF($C9731="","",$D9731*IFERROR(INDEX('تحليل التكلفة والسعر'!$C$2:$C$700,MATCH($C9731,'تحليل التكلفة والسعر'!$B$2:$B$700,0)),0))</f>
        <v/>
      </c>
    </row>
    <row r="9732" customFormat="false" ht="15" hidden="false" customHeight="false" outlineLevel="0" collapsed="false">
      <c r="A9732" s="103"/>
      <c r="B9732" s="104"/>
      <c r="C9732" s="104"/>
      <c r="E9732" s="107" t="str">
        <f aca="false">IF($C9732="","",IFERROR(INDEX(المنيو!$C$2:$C$500,MATCH($C9732,المنيو!$B$2:$B$500,0)),0))</f>
        <v/>
      </c>
      <c r="F9732" s="107" t="str">
        <f aca="false">IF($C9732="","",$D9732*$E9732)</f>
        <v/>
      </c>
      <c r="G9732" s="107" t="str">
        <f aca="false">IF($C9732="","",$D9732*IFERROR(INDEX('تحليل التكلفة والسعر'!$C$2:$C$700,MATCH($C9732,'تحليل التكلفة والسعر'!$B$2:$B$700,0)),0))</f>
        <v/>
      </c>
    </row>
    <row r="9733" customFormat="false" ht="15" hidden="false" customHeight="false" outlineLevel="0" collapsed="false">
      <c r="A9733" s="103"/>
      <c r="B9733" s="104"/>
      <c r="C9733" s="104"/>
      <c r="E9733" s="107" t="str">
        <f aca="false">IF($C9733="","",IFERROR(INDEX(المنيو!$C$2:$C$500,MATCH($C9733,المنيو!$B$2:$B$500,0)),0))</f>
        <v/>
      </c>
      <c r="F9733" s="107" t="str">
        <f aca="false">IF($C9733="","",$D9733*$E9733)</f>
        <v/>
      </c>
      <c r="G9733" s="107" t="str">
        <f aca="false">IF($C9733="","",$D9733*IFERROR(INDEX('تحليل التكلفة والسعر'!$C$2:$C$700,MATCH($C9733,'تحليل التكلفة والسعر'!$B$2:$B$700,0)),0))</f>
        <v/>
      </c>
    </row>
    <row r="9734" customFormat="false" ht="15" hidden="false" customHeight="false" outlineLevel="0" collapsed="false">
      <c r="A9734" s="103"/>
      <c r="B9734" s="104"/>
      <c r="C9734" s="104"/>
      <c r="E9734" s="107" t="str">
        <f aca="false">IF($C9734="","",IFERROR(INDEX(المنيو!$C$2:$C$500,MATCH($C9734,المنيو!$B$2:$B$500,0)),0))</f>
        <v/>
      </c>
      <c r="F9734" s="107" t="str">
        <f aca="false">IF($C9734="","",$D9734*$E9734)</f>
        <v/>
      </c>
      <c r="G9734" s="107" t="str">
        <f aca="false">IF($C9734="","",$D9734*IFERROR(INDEX('تحليل التكلفة والسعر'!$C$2:$C$700,MATCH($C9734,'تحليل التكلفة والسعر'!$B$2:$B$700,0)),0))</f>
        <v/>
      </c>
    </row>
    <row r="9735" customFormat="false" ht="15" hidden="false" customHeight="false" outlineLevel="0" collapsed="false">
      <c r="A9735" s="103"/>
      <c r="B9735" s="104"/>
      <c r="C9735" s="104"/>
      <c r="E9735" s="107" t="str">
        <f aca="false">IF($C9735="","",IFERROR(INDEX(المنيو!$C$2:$C$500,MATCH($C9735,المنيو!$B$2:$B$500,0)),0))</f>
        <v/>
      </c>
      <c r="F9735" s="107" t="str">
        <f aca="false">IF($C9735="","",$D9735*$E9735)</f>
        <v/>
      </c>
      <c r="G9735" s="107" t="str">
        <f aca="false">IF($C9735="","",$D9735*IFERROR(INDEX('تحليل التكلفة والسعر'!$C$2:$C$700,MATCH($C9735,'تحليل التكلفة والسعر'!$B$2:$B$700,0)),0))</f>
        <v/>
      </c>
    </row>
    <row r="9736" customFormat="false" ht="15" hidden="false" customHeight="false" outlineLevel="0" collapsed="false">
      <c r="A9736" s="103"/>
      <c r="B9736" s="104"/>
      <c r="C9736" s="104"/>
      <c r="E9736" s="107" t="str">
        <f aca="false">IF($C9736="","",IFERROR(INDEX(المنيو!$C$2:$C$500,MATCH($C9736,المنيو!$B$2:$B$500,0)),0))</f>
        <v/>
      </c>
      <c r="F9736" s="107" t="str">
        <f aca="false">IF($C9736="","",$D9736*$E9736)</f>
        <v/>
      </c>
      <c r="G9736" s="107" t="str">
        <f aca="false">IF($C9736="","",$D9736*IFERROR(INDEX('تحليل التكلفة والسعر'!$C$2:$C$700,MATCH($C9736,'تحليل التكلفة والسعر'!$B$2:$B$700,0)),0))</f>
        <v/>
      </c>
    </row>
    <row r="9737" customFormat="false" ht="15" hidden="false" customHeight="false" outlineLevel="0" collapsed="false">
      <c r="A9737" s="103"/>
      <c r="B9737" s="104"/>
      <c r="C9737" s="104"/>
      <c r="E9737" s="107" t="str">
        <f aca="false">IF($C9737="","",IFERROR(INDEX(المنيو!$C$2:$C$500,MATCH($C9737,المنيو!$B$2:$B$500,0)),0))</f>
        <v/>
      </c>
      <c r="F9737" s="107" t="str">
        <f aca="false">IF($C9737="","",$D9737*$E9737)</f>
        <v/>
      </c>
      <c r="G9737" s="107" t="str">
        <f aca="false">IF($C9737="","",$D9737*IFERROR(INDEX('تحليل التكلفة والسعر'!$C$2:$C$700,MATCH($C9737,'تحليل التكلفة والسعر'!$B$2:$B$700,0)),0))</f>
        <v/>
      </c>
    </row>
    <row r="9738" customFormat="false" ht="15" hidden="false" customHeight="false" outlineLevel="0" collapsed="false">
      <c r="A9738" s="103"/>
      <c r="B9738" s="104"/>
      <c r="C9738" s="104"/>
      <c r="E9738" s="107" t="str">
        <f aca="false">IF($C9738="","",IFERROR(INDEX(المنيو!$C$2:$C$500,MATCH($C9738,المنيو!$B$2:$B$500,0)),0))</f>
        <v/>
      </c>
      <c r="F9738" s="107" t="str">
        <f aca="false">IF($C9738="","",$D9738*$E9738)</f>
        <v/>
      </c>
      <c r="G9738" s="107" t="str">
        <f aca="false">IF($C9738="","",$D9738*IFERROR(INDEX('تحليل التكلفة والسعر'!$C$2:$C$700,MATCH($C9738,'تحليل التكلفة والسعر'!$B$2:$B$700,0)),0))</f>
        <v/>
      </c>
    </row>
    <row r="9739" customFormat="false" ht="15" hidden="false" customHeight="false" outlineLevel="0" collapsed="false">
      <c r="A9739" s="103"/>
      <c r="B9739" s="104"/>
      <c r="C9739" s="104"/>
      <c r="E9739" s="107" t="str">
        <f aca="false">IF($C9739="","",IFERROR(INDEX(المنيو!$C$2:$C$500,MATCH($C9739,المنيو!$B$2:$B$500,0)),0))</f>
        <v/>
      </c>
      <c r="F9739" s="107" t="str">
        <f aca="false">IF($C9739="","",$D9739*$E9739)</f>
        <v/>
      </c>
      <c r="G9739" s="107" t="str">
        <f aca="false">IF($C9739="","",$D9739*IFERROR(INDEX('تحليل التكلفة والسعر'!$C$2:$C$700,MATCH($C9739,'تحليل التكلفة والسعر'!$B$2:$B$700,0)),0))</f>
        <v/>
      </c>
    </row>
    <row r="9740" customFormat="false" ht="15" hidden="false" customHeight="false" outlineLevel="0" collapsed="false">
      <c r="A9740" s="103"/>
      <c r="B9740" s="104"/>
      <c r="C9740" s="104"/>
      <c r="E9740" s="107" t="str">
        <f aca="false">IF($C9740="","",IFERROR(INDEX(المنيو!$C$2:$C$500,MATCH($C9740,المنيو!$B$2:$B$500,0)),0))</f>
        <v/>
      </c>
      <c r="F9740" s="107" t="str">
        <f aca="false">IF($C9740="","",$D9740*$E9740)</f>
        <v/>
      </c>
      <c r="G9740" s="107" t="str">
        <f aca="false">IF($C9740="","",$D9740*IFERROR(INDEX('تحليل التكلفة والسعر'!$C$2:$C$700,MATCH($C9740,'تحليل التكلفة والسعر'!$B$2:$B$700,0)),0))</f>
        <v/>
      </c>
    </row>
    <row r="9741" customFormat="false" ht="15" hidden="false" customHeight="false" outlineLevel="0" collapsed="false">
      <c r="A9741" s="103"/>
      <c r="B9741" s="104"/>
      <c r="C9741" s="104"/>
      <c r="E9741" s="107" t="str">
        <f aca="false">IF($C9741="","",IFERROR(INDEX(المنيو!$C$2:$C$500,MATCH($C9741,المنيو!$B$2:$B$500,0)),0))</f>
        <v/>
      </c>
      <c r="F9741" s="107" t="str">
        <f aca="false">IF($C9741="","",$D9741*$E9741)</f>
        <v/>
      </c>
      <c r="G9741" s="107" t="str">
        <f aca="false">IF($C9741="","",$D9741*IFERROR(INDEX('تحليل التكلفة والسعر'!$C$2:$C$700,MATCH($C9741,'تحليل التكلفة والسعر'!$B$2:$B$700,0)),0))</f>
        <v/>
      </c>
    </row>
    <row r="9742" customFormat="false" ht="15" hidden="false" customHeight="false" outlineLevel="0" collapsed="false">
      <c r="A9742" s="103"/>
      <c r="B9742" s="104"/>
      <c r="C9742" s="104"/>
      <c r="E9742" s="107" t="str">
        <f aca="false">IF($C9742="","",IFERROR(INDEX(المنيو!$C$2:$C$500,MATCH($C9742,المنيو!$B$2:$B$500,0)),0))</f>
        <v/>
      </c>
      <c r="F9742" s="107" t="str">
        <f aca="false">IF($C9742="","",$D9742*$E9742)</f>
        <v/>
      </c>
      <c r="G9742" s="107" t="str">
        <f aca="false">IF($C9742="","",$D9742*IFERROR(INDEX('تحليل التكلفة والسعر'!$C$2:$C$700,MATCH($C9742,'تحليل التكلفة والسعر'!$B$2:$B$700,0)),0))</f>
        <v/>
      </c>
    </row>
    <row r="9743" customFormat="false" ht="15" hidden="false" customHeight="false" outlineLevel="0" collapsed="false">
      <c r="A9743" s="103"/>
      <c r="B9743" s="104"/>
      <c r="C9743" s="104"/>
      <c r="E9743" s="107" t="str">
        <f aca="false">IF($C9743="","",IFERROR(INDEX(المنيو!$C$2:$C$500,MATCH($C9743,المنيو!$B$2:$B$500,0)),0))</f>
        <v/>
      </c>
      <c r="F9743" s="107" t="str">
        <f aca="false">IF($C9743="","",$D9743*$E9743)</f>
        <v/>
      </c>
      <c r="G9743" s="107" t="str">
        <f aca="false">IF($C9743="","",$D9743*IFERROR(INDEX('تحليل التكلفة والسعر'!$C$2:$C$700,MATCH($C9743,'تحليل التكلفة والسعر'!$B$2:$B$700,0)),0))</f>
        <v/>
      </c>
    </row>
    <row r="9744" customFormat="false" ht="15" hidden="false" customHeight="false" outlineLevel="0" collapsed="false">
      <c r="A9744" s="103"/>
      <c r="B9744" s="104"/>
      <c r="C9744" s="104"/>
      <c r="E9744" s="107" t="str">
        <f aca="false">IF($C9744="","",IFERROR(INDEX(المنيو!$C$2:$C$500,MATCH($C9744,المنيو!$B$2:$B$500,0)),0))</f>
        <v/>
      </c>
      <c r="F9744" s="107" t="str">
        <f aca="false">IF($C9744="","",$D9744*$E9744)</f>
        <v/>
      </c>
      <c r="G9744" s="107" t="str">
        <f aca="false">IF($C9744="","",$D9744*IFERROR(INDEX('تحليل التكلفة والسعر'!$C$2:$C$700,MATCH($C9744,'تحليل التكلفة والسعر'!$B$2:$B$700,0)),0))</f>
        <v/>
      </c>
    </row>
    <row r="9745" customFormat="false" ht="15" hidden="false" customHeight="false" outlineLevel="0" collapsed="false">
      <c r="A9745" s="103"/>
      <c r="B9745" s="104"/>
      <c r="C9745" s="104"/>
      <c r="E9745" s="107" t="str">
        <f aca="false">IF($C9745="","",IFERROR(INDEX(المنيو!$C$2:$C$500,MATCH($C9745,المنيو!$B$2:$B$500,0)),0))</f>
        <v/>
      </c>
      <c r="F9745" s="107" t="str">
        <f aca="false">IF($C9745="","",$D9745*$E9745)</f>
        <v/>
      </c>
      <c r="G9745" s="107" t="str">
        <f aca="false">IF($C9745="","",$D9745*IFERROR(INDEX('تحليل التكلفة والسعر'!$C$2:$C$700,MATCH($C9745,'تحليل التكلفة والسعر'!$B$2:$B$700,0)),0))</f>
        <v/>
      </c>
    </row>
    <row r="9746" customFormat="false" ht="15" hidden="false" customHeight="false" outlineLevel="0" collapsed="false">
      <c r="A9746" s="103"/>
      <c r="B9746" s="104"/>
      <c r="C9746" s="104"/>
      <c r="E9746" s="107" t="str">
        <f aca="false">IF($C9746="","",IFERROR(INDEX(المنيو!$C$2:$C$500,MATCH($C9746,المنيو!$B$2:$B$500,0)),0))</f>
        <v/>
      </c>
      <c r="F9746" s="107" t="str">
        <f aca="false">IF($C9746="","",$D9746*$E9746)</f>
        <v/>
      </c>
      <c r="G9746" s="107" t="str">
        <f aca="false">IF($C9746="","",$D9746*IFERROR(INDEX('تحليل التكلفة والسعر'!$C$2:$C$700,MATCH($C9746,'تحليل التكلفة والسعر'!$B$2:$B$700,0)),0))</f>
        <v/>
      </c>
    </row>
    <row r="9747" customFormat="false" ht="15" hidden="false" customHeight="false" outlineLevel="0" collapsed="false">
      <c r="A9747" s="103"/>
      <c r="B9747" s="104"/>
      <c r="C9747" s="104"/>
      <c r="E9747" s="107" t="str">
        <f aca="false">IF($C9747="","",IFERROR(INDEX(المنيو!$C$2:$C$500,MATCH($C9747,المنيو!$B$2:$B$500,0)),0))</f>
        <v/>
      </c>
      <c r="F9747" s="107" t="str">
        <f aca="false">IF($C9747="","",$D9747*$E9747)</f>
        <v/>
      </c>
      <c r="G9747" s="107" t="str">
        <f aca="false">IF($C9747="","",$D9747*IFERROR(INDEX('تحليل التكلفة والسعر'!$C$2:$C$700,MATCH($C9747,'تحليل التكلفة والسعر'!$B$2:$B$700,0)),0))</f>
        <v/>
      </c>
    </row>
    <row r="9748" customFormat="false" ht="15" hidden="false" customHeight="false" outlineLevel="0" collapsed="false">
      <c r="A9748" s="103"/>
      <c r="B9748" s="104"/>
      <c r="C9748" s="104"/>
      <c r="E9748" s="107" t="str">
        <f aca="false">IF($C9748="","",IFERROR(INDEX(المنيو!$C$2:$C$500,MATCH($C9748,المنيو!$B$2:$B$500,0)),0))</f>
        <v/>
      </c>
      <c r="F9748" s="107" t="str">
        <f aca="false">IF($C9748="","",$D9748*$E9748)</f>
        <v/>
      </c>
      <c r="G9748" s="107" t="str">
        <f aca="false">IF($C9748="","",$D9748*IFERROR(INDEX('تحليل التكلفة والسعر'!$C$2:$C$700,MATCH($C9748,'تحليل التكلفة والسعر'!$B$2:$B$700,0)),0))</f>
        <v/>
      </c>
    </row>
    <row r="9749" customFormat="false" ht="15" hidden="false" customHeight="false" outlineLevel="0" collapsed="false">
      <c r="A9749" s="103"/>
      <c r="B9749" s="104"/>
      <c r="C9749" s="104"/>
      <c r="E9749" s="107" t="str">
        <f aca="false">IF($C9749="","",IFERROR(INDEX(المنيو!$C$2:$C$500,MATCH($C9749,المنيو!$B$2:$B$500,0)),0))</f>
        <v/>
      </c>
      <c r="F9749" s="107" t="str">
        <f aca="false">IF($C9749="","",$D9749*$E9749)</f>
        <v/>
      </c>
      <c r="G9749" s="107" t="str">
        <f aca="false">IF($C9749="","",$D9749*IFERROR(INDEX('تحليل التكلفة والسعر'!$C$2:$C$700,MATCH($C9749,'تحليل التكلفة والسعر'!$B$2:$B$700,0)),0))</f>
        <v/>
      </c>
    </row>
    <row r="9750" customFormat="false" ht="15" hidden="false" customHeight="false" outlineLevel="0" collapsed="false">
      <c r="A9750" s="103"/>
      <c r="B9750" s="104"/>
      <c r="C9750" s="104"/>
      <c r="E9750" s="107" t="str">
        <f aca="false">IF($C9750="","",IFERROR(INDEX(المنيو!$C$2:$C$500,MATCH($C9750,المنيو!$B$2:$B$500,0)),0))</f>
        <v/>
      </c>
      <c r="F9750" s="107" t="str">
        <f aca="false">IF($C9750="","",$D9750*$E9750)</f>
        <v/>
      </c>
      <c r="G9750" s="107" t="str">
        <f aca="false">IF($C9750="","",$D9750*IFERROR(INDEX('تحليل التكلفة والسعر'!$C$2:$C$700,MATCH($C9750,'تحليل التكلفة والسعر'!$B$2:$B$700,0)),0))</f>
        <v/>
      </c>
    </row>
    <row r="9751" customFormat="false" ht="15" hidden="false" customHeight="false" outlineLevel="0" collapsed="false">
      <c r="A9751" s="103"/>
      <c r="B9751" s="104"/>
      <c r="C9751" s="104"/>
      <c r="E9751" s="107" t="str">
        <f aca="false">IF($C9751="","",IFERROR(INDEX(المنيو!$C$2:$C$500,MATCH($C9751,المنيو!$B$2:$B$500,0)),0))</f>
        <v/>
      </c>
      <c r="F9751" s="107" t="str">
        <f aca="false">IF($C9751="","",$D9751*$E9751)</f>
        <v/>
      </c>
      <c r="G9751" s="107" t="str">
        <f aca="false">IF($C9751="","",$D9751*IFERROR(INDEX('تحليل التكلفة والسعر'!$C$2:$C$700,MATCH($C9751,'تحليل التكلفة والسعر'!$B$2:$B$700,0)),0))</f>
        <v/>
      </c>
    </row>
    <row r="9752" customFormat="false" ht="15" hidden="false" customHeight="false" outlineLevel="0" collapsed="false">
      <c r="A9752" s="103"/>
      <c r="B9752" s="104"/>
      <c r="C9752" s="104"/>
      <c r="E9752" s="107" t="str">
        <f aca="false">IF($C9752="","",IFERROR(INDEX(المنيو!$C$2:$C$500,MATCH($C9752,المنيو!$B$2:$B$500,0)),0))</f>
        <v/>
      </c>
      <c r="F9752" s="107" t="str">
        <f aca="false">IF($C9752="","",$D9752*$E9752)</f>
        <v/>
      </c>
      <c r="G9752" s="107" t="str">
        <f aca="false">IF($C9752="","",$D9752*IFERROR(INDEX('تحليل التكلفة والسعر'!$C$2:$C$700,MATCH($C9752,'تحليل التكلفة والسعر'!$B$2:$B$700,0)),0))</f>
        <v/>
      </c>
    </row>
    <row r="9753" customFormat="false" ht="15" hidden="false" customHeight="false" outlineLevel="0" collapsed="false">
      <c r="A9753" s="103"/>
      <c r="B9753" s="104"/>
      <c r="C9753" s="104"/>
      <c r="E9753" s="107" t="str">
        <f aca="false">IF($C9753="","",IFERROR(INDEX(المنيو!$C$2:$C$500,MATCH($C9753,المنيو!$B$2:$B$500,0)),0))</f>
        <v/>
      </c>
      <c r="F9753" s="107" t="str">
        <f aca="false">IF($C9753="","",$D9753*$E9753)</f>
        <v/>
      </c>
      <c r="G9753" s="107" t="str">
        <f aca="false">IF($C9753="","",$D9753*IFERROR(INDEX('تحليل التكلفة والسعر'!$C$2:$C$700,MATCH($C9753,'تحليل التكلفة والسعر'!$B$2:$B$700,0)),0))</f>
        <v/>
      </c>
    </row>
    <row r="9754" customFormat="false" ht="15" hidden="false" customHeight="false" outlineLevel="0" collapsed="false">
      <c r="A9754" s="103"/>
      <c r="B9754" s="104"/>
      <c r="C9754" s="104"/>
      <c r="E9754" s="107" t="str">
        <f aca="false">IF($C9754="","",IFERROR(INDEX(المنيو!$C$2:$C$500,MATCH($C9754,المنيو!$B$2:$B$500,0)),0))</f>
        <v/>
      </c>
      <c r="F9754" s="107" t="str">
        <f aca="false">IF($C9754="","",$D9754*$E9754)</f>
        <v/>
      </c>
      <c r="G9754" s="107" t="str">
        <f aca="false">IF($C9754="","",$D9754*IFERROR(INDEX('تحليل التكلفة والسعر'!$C$2:$C$700,MATCH($C9754,'تحليل التكلفة والسعر'!$B$2:$B$700,0)),0))</f>
        <v/>
      </c>
    </row>
    <row r="9755" customFormat="false" ht="15" hidden="false" customHeight="false" outlineLevel="0" collapsed="false">
      <c r="A9755" s="103"/>
      <c r="B9755" s="104"/>
      <c r="C9755" s="104"/>
      <c r="E9755" s="107" t="str">
        <f aca="false">IF($C9755="","",IFERROR(INDEX(المنيو!$C$2:$C$500,MATCH($C9755,المنيو!$B$2:$B$500,0)),0))</f>
        <v/>
      </c>
      <c r="F9755" s="107" t="str">
        <f aca="false">IF($C9755="","",$D9755*$E9755)</f>
        <v/>
      </c>
      <c r="G9755" s="107" t="str">
        <f aca="false">IF($C9755="","",$D9755*IFERROR(INDEX('تحليل التكلفة والسعر'!$C$2:$C$700,MATCH($C9755,'تحليل التكلفة والسعر'!$B$2:$B$700,0)),0))</f>
        <v/>
      </c>
    </row>
    <row r="9756" customFormat="false" ht="15" hidden="false" customHeight="false" outlineLevel="0" collapsed="false">
      <c r="A9756" s="103"/>
      <c r="B9756" s="104"/>
      <c r="C9756" s="104"/>
      <c r="E9756" s="107" t="str">
        <f aca="false">IF($C9756="","",IFERROR(INDEX(المنيو!$C$2:$C$500,MATCH($C9756,المنيو!$B$2:$B$500,0)),0))</f>
        <v/>
      </c>
      <c r="F9756" s="107" t="str">
        <f aca="false">IF($C9756="","",$D9756*$E9756)</f>
        <v/>
      </c>
      <c r="G9756" s="107" t="str">
        <f aca="false">IF($C9756="","",$D9756*IFERROR(INDEX('تحليل التكلفة والسعر'!$C$2:$C$700,MATCH($C9756,'تحليل التكلفة والسعر'!$B$2:$B$700,0)),0))</f>
        <v/>
      </c>
    </row>
    <row r="9757" customFormat="false" ht="15" hidden="false" customHeight="false" outlineLevel="0" collapsed="false">
      <c r="A9757" s="103"/>
      <c r="B9757" s="104"/>
      <c r="C9757" s="104"/>
      <c r="E9757" s="107" t="str">
        <f aca="false">IF($C9757="","",IFERROR(INDEX(المنيو!$C$2:$C$500,MATCH($C9757,المنيو!$B$2:$B$500,0)),0))</f>
        <v/>
      </c>
      <c r="F9757" s="107" t="str">
        <f aca="false">IF($C9757="","",$D9757*$E9757)</f>
        <v/>
      </c>
      <c r="G9757" s="107" t="str">
        <f aca="false">IF($C9757="","",$D9757*IFERROR(INDEX('تحليل التكلفة والسعر'!$C$2:$C$700,MATCH($C9757,'تحليل التكلفة والسعر'!$B$2:$B$700,0)),0))</f>
        <v/>
      </c>
    </row>
    <row r="9758" customFormat="false" ht="15" hidden="false" customHeight="false" outlineLevel="0" collapsed="false">
      <c r="A9758" s="103"/>
      <c r="B9758" s="104"/>
      <c r="C9758" s="104"/>
      <c r="E9758" s="107" t="str">
        <f aca="false">IF($C9758="","",IFERROR(INDEX(المنيو!$C$2:$C$500,MATCH($C9758,المنيو!$B$2:$B$500,0)),0))</f>
        <v/>
      </c>
      <c r="F9758" s="107" t="str">
        <f aca="false">IF($C9758="","",$D9758*$E9758)</f>
        <v/>
      </c>
      <c r="G9758" s="107" t="str">
        <f aca="false">IF($C9758="","",$D9758*IFERROR(INDEX('تحليل التكلفة والسعر'!$C$2:$C$700,MATCH($C9758,'تحليل التكلفة والسعر'!$B$2:$B$700,0)),0))</f>
        <v/>
      </c>
    </row>
    <row r="9759" customFormat="false" ht="15" hidden="false" customHeight="false" outlineLevel="0" collapsed="false">
      <c r="A9759" s="103"/>
      <c r="B9759" s="104"/>
      <c r="C9759" s="104"/>
      <c r="E9759" s="107" t="str">
        <f aca="false">IF($C9759="","",IFERROR(INDEX(المنيو!$C$2:$C$500,MATCH($C9759,المنيو!$B$2:$B$500,0)),0))</f>
        <v/>
      </c>
      <c r="F9759" s="107" t="str">
        <f aca="false">IF($C9759="","",$D9759*$E9759)</f>
        <v/>
      </c>
      <c r="G9759" s="107" t="str">
        <f aca="false">IF($C9759="","",$D9759*IFERROR(INDEX('تحليل التكلفة والسعر'!$C$2:$C$700,MATCH($C9759,'تحليل التكلفة والسعر'!$B$2:$B$700,0)),0))</f>
        <v/>
      </c>
    </row>
    <row r="9760" customFormat="false" ht="15" hidden="false" customHeight="false" outlineLevel="0" collapsed="false">
      <c r="A9760" s="103"/>
      <c r="B9760" s="104"/>
      <c r="C9760" s="104"/>
      <c r="E9760" s="107" t="str">
        <f aca="false">IF($C9760="","",IFERROR(INDEX(المنيو!$C$2:$C$500,MATCH($C9760,المنيو!$B$2:$B$500,0)),0))</f>
        <v/>
      </c>
      <c r="F9760" s="107" t="str">
        <f aca="false">IF($C9760="","",$D9760*$E9760)</f>
        <v/>
      </c>
      <c r="G9760" s="107" t="str">
        <f aca="false">IF($C9760="","",$D9760*IFERROR(INDEX('تحليل التكلفة والسعر'!$C$2:$C$700,MATCH($C9760,'تحليل التكلفة والسعر'!$B$2:$B$700,0)),0))</f>
        <v/>
      </c>
    </row>
    <row r="9761" customFormat="false" ht="15" hidden="false" customHeight="false" outlineLevel="0" collapsed="false">
      <c r="A9761" s="103"/>
      <c r="B9761" s="104"/>
      <c r="C9761" s="104"/>
      <c r="E9761" s="107" t="str">
        <f aca="false">IF($C9761="","",IFERROR(INDEX(المنيو!$C$2:$C$500,MATCH($C9761,المنيو!$B$2:$B$500,0)),0))</f>
        <v/>
      </c>
      <c r="F9761" s="107" t="str">
        <f aca="false">IF($C9761="","",$D9761*$E9761)</f>
        <v/>
      </c>
      <c r="G9761" s="107" t="str">
        <f aca="false">IF($C9761="","",$D9761*IFERROR(INDEX('تحليل التكلفة والسعر'!$C$2:$C$700,MATCH($C9761,'تحليل التكلفة والسعر'!$B$2:$B$700,0)),0))</f>
        <v/>
      </c>
    </row>
    <row r="9762" customFormat="false" ht="15" hidden="false" customHeight="false" outlineLevel="0" collapsed="false">
      <c r="A9762" s="103"/>
      <c r="B9762" s="104"/>
      <c r="C9762" s="104"/>
      <c r="E9762" s="107" t="str">
        <f aca="false">IF($C9762="","",IFERROR(INDEX(المنيو!$C$2:$C$500,MATCH($C9762,المنيو!$B$2:$B$500,0)),0))</f>
        <v/>
      </c>
      <c r="F9762" s="107" t="str">
        <f aca="false">IF($C9762="","",$D9762*$E9762)</f>
        <v/>
      </c>
      <c r="G9762" s="107" t="str">
        <f aca="false">IF($C9762="","",$D9762*IFERROR(INDEX('تحليل التكلفة والسعر'!$C$2:$C$700,MATCH($C9762,'تحليل التكلفة والسعر'!$B$2:$B$700,0)),0))</f>
        <v/>
      </c>
    </row>
    <row r="9763" customFormat="false" ht="15" hidden="false" customHeight="false" outlineLevel="0" collapsed="false">
      <c r="A9763" s="103"/>
      <c r="B9763" s="104"/>
      <c r="C9763" s="104"/>
      <c r="E9763" s="107" t="str">
        <f aca="false">IF($C9763="","",IFERROR(INDEX(المنيو!$C$2:$C$500,MATCH($C9763,المنيو!$B$2:$B$500,0)),0))</f>
        <v/>
      </c>
      <c r="F9763" s="107" t="str">
        <f aca="false">IF($C9763="","",$D9763*$E9763)</f>
        <v/>
      </c>
      <c r="G9763" s="107" t="str">
        <f aca="false">IF($C9763="","",$D9763*IFERROR(INDEX('تحليل التكلفة والسعر'!$C$2:$C$700,MATCH($C9763,'تحليل التكلفة والسعر'!$B$2:$B$700,0)),0))</f>
        <v/>
      </c>
    </row>
    <row r="9764" customFormat="false" ht="15" hidden="false" customHeight="false" outlineLevel="0" collapsed="false">
      <c r="A9764" s="103"/>
      <c r="B9764" s="104"/>
      <c r="C9764" s="104"/>
      <c r="E9764" s="107" t="str">
        <f aca="false">IF($C9764="","",IFERROR(INDEX(المنيو!$C$2:$C$500,MATCH($C9764,المنيو!$B$2:$B$500,0)),0))</f>
        <v/>
      </c>
      <c r="F9764" s="107" t="str">
        <f aca="false">IF($C9764="","",$D9764*$E9764)</f>
        <v/>
      </c>
      <c r="G9764" s="107" t="str">
        <f aca="false">IF($C9764="","",$D9764*IFERROR(INDEX('تحليل التكلفة والسعر'!$C$2:$C$700,MATCH($C9764,'تحليل التكلفة والسعر'!$B$2:$B$700,0)),0))</f>
        <v/>
      </c>
    </row>
    <row r="9765" customFormat="false" ht="15" hidden="false" customHeight="false" outlineLevel="0" collapsed="false">
      <c r="A9765" s="103"/>
      <c r="B9765" s="104"/>
      <c r="C9765" s="104"/>
      <c r="E9765" s="107" t="str">
        <f aca="false">IF($C9765="","",IFERROR(INDEX(المنيو!$C$2:$C$500,MATCH($C9765,المنيو!$B$2:$B$500,0)),0))</f>
        <v/>
      </c>
      <c r="F9765" s="107" t="str">
        <f aca="false">IF($C9765="","",$D9765*$E9765)</f>
        <v/>
      </c>
      <c r="G9765" s="107" t="str">
        <f aca="false">IF($C9765="","",$D9765*IFERROR(INDEX('تحليل التكلفة والسعر'!$C$2:$C$700,MATCH($C9765,'تحليل التكلفة والسعر'!$B$2:$B$700,0)),0))</f>
        <v/>
      </c>
    </row>
    <row r="9766" customFormat="false" ht="15" hidden="false" customHeight="false" outlineLevel="0" collapsed="false">
      <c r="A9766" s="103"/>
      <c r="B9766" s="104"/>
      <c r="C9766" s="104"/>
      <c r="E9766" s="107" t="str">
        <f aca="false">IF($C9766="","",IFERROR(INDEX(المنيو!$C$2:$C$500,MATCH($C9766,المنيو!$B$2:$B$500,0)),0))</f>
        <v/>
      </c>
      <c r="F9766" s="107" t="str">
        <f aca="false">IF($C9766="","",$D9766*$E9766)</f>
        <v/>
      </c>
      <c r="G9766" s="107" t="str">
        <f aca="false">IF($C9766="","",$D9766*IFERROR(INDEX('تحليل التكلفة والسعر'!$C$2:$C$700,MATCH($C9766,'تحليل التكلفة والسعر'!$B$2:$B$700,0)),0))</f>
        <v/>
      </c>
    </row>
    <row r="9767" customFormat="false" ht="15" hidden="false" customHeight="false" outlineLevel="0" collapsed="false">
      <c r="A9767" s="103"/>
      <c r="B9767" s="104"/>
      <c r="C9767" s="104"/>
      <c r="E9767" s="107" t="str">
        <f aca="false">IF($C9767="","",IFERROR(INDEX(المنيو!$C$2:$C$500,MATCH($C9767,المنيو!$B$2:$B$500,0)),0))</f>
        <v/>
      </c>
      <c r="F9767" s="107" t="str">
        <f aca="false">IF($C9767="","",$D9767*$E9767)</f>
        <v/>
      </c>
      <c r="G9767" s="107" t="str">
        <f aca="false">IF($C9767="","",$D9767*IFERROR(INDEX('تحليل التكلفة والسعر'!$C$2:$C$700,MATCH($C9767,'تحليل التكلفة والسعر'!$B$2:$B$700,0)),0))</f>
        <v/>
      </c>
    </row>
    <row r="9768" customFormat="false" ht="15" hidden="false" customHeight="false" outlineLevel="0" collapsed="false">
      <c r="A9768" s="103"/>
      <c r="B9768" s="104"/>
      <c r="C9768" s="104"/>
      <c r="E9768" s="107" t="str">
        <f aca="false">IF($C9768="","",IFERROR(INDEX(المنيو!$C$2:$C$500,MATCH($C9768,المنيو!$B$2:$B$500,0)),0))</f>
        <v/>
      </c>
      <c r="F9768" s="107" t="str">
        <f aca="false">IF($C9768="","",$D9768*$E9768)</f>
        <v/>
      </c>
      <c r="G9768" s="107" t="str">
        <f aca="false">IF($C9768="","",$D9768*IFERROR(INDEX('تحليل التكلفة والسعر'!$C$2:$C$700,MATCH($C9768,'تحليل التكلفة والسعر'!$B$2:$B$700,0)),0))</f>
        <v/>
      </c>
    </row>
    <row r="9769" customFormat="false" ht="15" hidden="false" customHeight="false" outlineLevel="0" collapsed="false">
      <c r="A9769" s="103"/>
      <c r="B9769" s="104"/>
      <c r="C9769" s="104"/>
      <c r="E9769" s="107" t="str">
        <f aca="false">IF($C9769="","",IFERROR(INDEX(المنيو!$C$2:$C$500,MATCH($C9769,المنيو!$B$2:$B$500,0)),0))</f>
        <v/>
      </c>
      <c r="F9769" s="107" t="str">
        <f aca="false">IF($C9769="","",$D9769*$E9769)</f>
        <v/>
      </c>
      <c r="G9769" s="107" t="str">
        <f aca="false">IF($C9769="","",$D9769*IFERROR(INDEX('تحليل التكلفة والسعر'!$C$2:$C$700,MATCH($C9769,'تحليل التكلفة والسعر'!$B$2:$B$700,0)),0))</f>
        <v/>
      </c>
    </row>
    <row r="9770" customFormat="false" ht="15" hidden="false" customHeight="false" outlineLevel="0" collapsed="false">
      <c r="A9770" s="103"/>
      <c r="B9770" s="104"/>
      <c r="C9770" s="104"/>
      <c r="E9770" s="107" t="str">
        <f aca="false">IF($C9770="","",IFERROR(INDEX(المنيو!$C$2:$C$500,MATCH($C9770,المنيو!$B$2:$B$500,0)),0))</f>
        <v/>
      </c>
      <c r="F9770" s="107" t="str">
        <f aca="false">IF($C9770="","",$D9770*$E9770)</f>
        <v/>
      </c>
      <c r="G9770" s="107" t="str">
        <f aca="false">IF($C9770="","",$D9770*IFERROR(INDEX('تحليل التكلفة والسعر'!$C$2:$C$700,MATCH($C9770,'تحليل التكلفة والسعر'!$B$2:$B$700,0)),0))</f>
        <v/>
      </c>
    </row>
    <row r="9771" customFormat="false" ht="15" hidden="false" customHeight="false" outlineLevel="0" collapsed="false">
      <c r="A9771" s="103"/>
      <c r="B9771" s="104"/>
      <c r="C9771" s="104"/>
      <c r="E9771" s="107" t="str">
        <f aca="false">IF($C9771="","",IFERROR(INDEX(المنيو!$C$2:$C$500,MATCH($C9771,المنيو!$B$2:$B$500,0)),0))</f>
        <v/>
      </c>
      <c r="F9771" s="107" t="str">
        <f aca="false">IF($C9771="","",$D9771*$E9771)</f>
        <v/>
      </c>
      <c r="G9771" s="107" t="str">
        <f aca="false">IF($C9771="","",$D9771*IFERROR(INDEX('تحليل التكلفة والسعر'!$C$2:$C$700,MATCH($C9771,'تحليل التكلفة والسعر'!$B$2:$B$700,0)),0))</f>
        <v/>
      </c>
    </row>
    <row r="9772" customFormat="false" ht="15" hidden="false" customHeight="false" outlineLevel="0" collapsed="false">
      <c r="A9772" s="103"/>
      <c r="B9772" s="104"/>
      <c r="C9772" s="104"/>
      <c r="E9772" s="107" t="str">
        <f aca="false">IF($C9772="","",IFERROR(INDEX(المنيو!$C$2:$C$500,MATCH($C9772,المنيو!$B$2:$B$500,0)),0))</f>
        <v/>
      </c>
      <c r="F9772" s="107" t="str">
        <f aca="false">IF($C9772="","",$D9772*$E9772)</f>
        <v/>
      </c>
      <c r="G9772" s="107" t="str">
        <f aca="false">IF($C9772="","",$D9772*IFERROR(INDEX('تحليل التكلفة والسعر'!$C$2:$C$700,MATCH($C9772,'تحليل التكلفة والسعر'!$B$2:$B$700,0)),0))</f>
        <v/>
      </c>
    </row>
    <row r="9773" customFormat="false" ht="15" hidden="false" customHeight="false" outlineLevel="0" collapsed="false">
      <c r="A9773" s="103"/>
      <c r="B9773" s="104"/>
      <c r="C9773" s="104"/>
      <c r="E9773" s="107" t="str">
        <f aca="false">IF($C9773="","",IFERROR(INDEX(المنيو!$C$2:$C$500,MATCH($C9773,المنيو!$B$2:$B$500,0)),0))</f>
        <v/>
      </c>
      <c r="F9773" s="107" t="str">
        <f aca="false">IF($C9773="","",$D9773*$E9773)</f>
        <v/>
      </c>
      <c r="G9773" s="107" t="str">
        <f aca="false">IF($C9773="","",$D9773*IFERROR(INDEX('تحليل التكلفة والسعر'!$C$2:$C$700,MATCH($C9773,'تحليل التكلفة والسعر'!$B$2:$B$700,0)),0))</f>
        <v/>
      </c>
    </row>
    <row r="9774" customFormat="false" ht="15" hidden="false" customHeight="false" outlineLevel="0" collapsed="false">
      <c r="A9774" s="103"/>
      <c r="B9774" s="104"/>
      <c r="C9774" s="104"/>
      <c r="E9774" s="107" t="str">
        <f aca="false">IF($C9774="","",IFERROR(INDEX(المنيو!$C$2:$C$500,MATCH($C9774,المنيو!$B$2:$B$500,0)),0))</f>
        <v/>
      </c>
      <c r="F9774" s="107" t="str">
        <f aca="false">IF($C9774="","",$D9774*$E9774)</f>
        <v/>
      </c>
      <c r="G9774" s="107" t="str">
        <f aca="false">IF($C9774="","",$D9774*IFERROR(INDEX('تحليل التكلفة والسعر'!$C$2:$C$700,MATCH($C9774,'تحليل التكلفة والسعر'!$B$2:$B$700,0)),0))</f>
        <v/>
      </c>
    </row>
    <row r="9775" customFormat="false" ht="15" hidden="false" customHeight="false" outlineLevel="0" collapsed="false">
      <c r="A9775" s="103"/>
      <c r="B9775" s="104"/>
      <c r="C9775" s="104"/>
      <c r="E9775" s="107" t="str">
        <f aca="false">IF($C9775="","",IFERROR(INDEX(المنيو!$C$2:$C$500,MATCH($C9775,المنيو!$B$2:$B$500,0)),0))</f>
        <v/>
      </c>
      <c r="F9775" s="107" t="str">
        <f aca="false">IF($C9775="","",$D9775*$E9775)</f>
        <v/>
      </c>
      <c r="G9775" s="107" t="str">
        <f aca="false">IF($C9775="","",$D9775*IFERROR(INDEX('تحليل التكلفة والسعر'!$C$2:$C$700,MATCH($C9775,'تحليل التكلفة والسعر'!$B$2:$B$700,0)),0))</f>
        <v/>
      </c>
    </row>
    <row r="9776" customFormat="false" ht="15" hidden="false" customHeight="false" outlineLevel="0" collapsed="false">
      <c r="A9776" s="103"/>
      <c r="B9776" s="104"/>
      <c r="C9776" s="104"/>
      <c r="E9776" s="107" t="str">
        <f aca="false">IF($C9776="","",IFERROR(INDEX(المنيو!$C$2:$C$500,MATCH($C9776,المنيو!$B$2:$B$500,0)),0))</f>
        <v/>
      </c>
      <c r="F9776" s="107" t="str">
        <f aca="false">IF($C9776="","",$D9776*$E9776)</f>
        <v/>
      </c>
      <c r="G9776" s="107" t="str">
        <f aca="false">IF($C9776="","",$D9776*IFERROR(INDEX('تحليل التكلفة والسعر'!$C$2:$C$700,MATCH($C9776,'تحليل التكلفة والسعر'!$B$2:$B$700,0)),0))</f>
        <v/>
      </c>
    </row>
    <row r="9777" customFormat="false" ht="15" hidden="false" customHeight="false" outlineLevel="0" collapsed="false">
      <c r="A9777" s="103"/>
      <c r="B9777" s="104"/>
      <c r="C9777" s="104"/>
      <c r="E9777" s="107" t="str">
        <f aca="false">IF($C9777="","",IFERROR(INDEX(المنيو!$C$2:$C$500,MATCH($C9777,المنيو!$B$2:$B$500,0)),0))</f>
        <v/>
      </c>
      <c r="F9777" s="107" t="str">
        <f aca="false">IF($C9777="","",$D9777*$E9777)</f>
        <v/>
      </c>
      <c r="G9777" s="107" t="str">
        <f aca="false">IF($C9777="","",$D9777*IFERROR(INDEX('تحليل التكلفة والسعر'!$C$2:$C$700,MATCH($C9777,'تحليل التكلفة والسعر'!$B$2:$B$700,0)),0))</f>
        <v/>
      </c>
    </row>
    <row r="9778" customFormat="false" ht="15" hidden="false" customHeight="false" outlineLevel="0" collapsed="false">
      <c r="A9778" s="103"/>
      <c r="B9778" s="104"/>
      <c r="C9778" s="104"/>
      <c r="E9778" s="107" t="str">
        <f aca="false">IF($C9778="","",IFERROR(INDEX(المنيو!$C$2:$C$500,MATCH($C9778,المنيو!$B$2:$B$500,0)),0))</f>
        <v/>
      </c>
      <c r="F9778" s="107" t="str">
        <f aca="false">IF($C9778="","",$D9778*$E9778)</f>
        <v/>
      </c>
      <c r="G9778" s="107" t="str">
        <f aca="false">IF($C9778="","",$D9778*IFERROR(INDEX('تحليل التكلفة والسعر'!$C$2:$C$700,MATCH($C9778,'تحليل التكلفة والسعر'!$B$2:$B$700,0)),0))</f>
        <v/>
      </c>
    </row>
    <row r="9779" customFormat="false" ht="15" hidden="false" customHeight="false" outlineLevel="0" collapsed="false">
      <c r="A9779" s="103"/>
      <c r="B9779" s="104"/>
      <c r="C9779" s="104"/>
      <c r="E9779" s="107" t="str">
        <f aca="false">IF($C9779="","",IFERROR(INDEX(المنيو!$C$2:$C$500,MATCH($C9779,المنيو!$B$2:$B$500,0)),0))</f>
        <v/>
      </c>
      <c r="F9779" s="107" t="str">
        <f aca="false">IF($C9779="","",$D9779*$E9779)</f>
        <v/>
      </c>
      <c r="G9779" s="107" t="str">
        <f aca="false">IF($C9779="","",$D9779*IFERROR(INDEX('تحليل التكلفة والسعر'!$C$2:$C$700,MATCH($C9779,'تحليل التكلفة والسعر'!$B$2:$B$700,0)),0))</f>
        <v/>
      </c>
    </row>
    <row r="9780" customFormat="false" ht="15" hidden="false" customHeight="false" outlineLevel="0" collapsed="false">
      <c r="A9780" s="103"/>
      <c r="B9780" s="104"/>
      <c r="C9780" s="104"/>
      <c r="E9780" s="107" t="str">
        <f aca="false">IF($C9780="","",IFERROR(INDEX(المنيو!$C$2:$C$500,MATCH($C9780,المنيو!$B$2:$B$500,0)),0))</f>
        <v/>
      </c>
      <c r="F9780" s="107" t="str">
        <f aca="false">IF($C9780="","",$D9780*$E9780)</f>
        <v/>
      </c>
      <c r="G9780" s="107" t="str">
        <f aca="false">IF($C9780="","",$D9780*IFERROR(INDEX('تحليل التكلفة والسعر'!$C$2:$C$700,MATCH($C9780,'تحليل التكلفة والسعر'!$B$2:$B$700,0)),0))</f>
        <v/>
      </c>
    </row>
    <row r="9781" customFormat="false" ht="15" hidden="false" customHeight="false" outlineLevel="0" collapsed="false">
      <c r="A9781" s="103"/>
      <c r="B9781" s="104"/>
      <c r="C9781" s="104"/>
      <c r="E9781" s="107" t="str">
        <f aca="false">IF($C9781="","",IFERROR(INDEX(المنيو!$C$2:$C$500,MATCH($C9781,المنيو!$B$2:$B$500,0)),0))</f>
        <v/>
      </c>
      <c r="F9781" s="107" t="str">
        <f aca="false">IF($C9781="","",$D9781*$E9781)</f>
        <v/>
      </c>
      <c r="G9781" s="107" t="str">
        <f aca="false">IF($C9781="","",$D9781*IFERROR(INDEX('تحليل التكلفة والسعر'!$C$2:$C$700,MATCH($C9781,'تحليل التكلفة والسعر'!$B$2:$B$700,0)),0))</f>
        <v/>
      </c>
    </row>
    <row r="9782" customFormat="false" ht="15" hidden="false" customHeight="false" outlineLevel="0" collapsed="false">
      <c r="A9782" s="103"/>
      <c r="B9782" s="104"/>
      <c r="C9782" s="104"/>
      <c r="E9782" s="107" t="str">
        <f aca="false">IF($C9782="","",IFERROR(INDEX(المنيو!$C$2:$C$500,MATCH($C9782,المنيو!$B$2:$B$500,0)),0))</f>
        <v/>
      </c>
      <c r="F9782" s="107" t="str">
        <f aca="false">IF($C9782="","",$D9782*$E9782)</f>
        <v/>
      </c>
      <c r="G9782" s="107" t="str">
        <f aca="false">IF($C9782="","",$D9782*IFERROR(INDEX('تحليل التكلفة والسعر'!$C$2:$C$700,MATCH($C9782,'تحليل التكلفة والسعر'!$B$2:$B$700,0)),0))</f>
        <v/>
      </c>
    </row>
    <row r="9783" customFormat="false" ht="15" hidden="false" customHeight="false" outlineLevel="0" collapsed="false">
      <c r="A9783" s="103"/>
      <c r="B9783" s="104"/>
      <c r="C9783" s="104"/>
      <c r="E9783" s="107" t="str">
        <f aca="false">IF($C9783="","",IFERROR(INDEX(المنيو!$C$2:$C$500,MATCH($C9783,المنيو!$B$2:$B$500,0)),0))</f>
        <v/>
      </c>
      <c r="F9783" s="107" t="str">
        <f aca="false">IF($C9783="","",$D9783*$E9783)</f>
        <v/>
      </c>
      <c r="G9783" s="107" t="str">
        <f aca="false">IF($C9783="","",$D9783*IFERROR(INDEX('تحليل التكلفة والسعر'!$C$2:$C$700,MATCH($C9783,'تحليل التكلفة والسعر'!$B$2:$B$700,0)),0))</f>
        <v/>
      </c>
    </row>
    <row r="9784" customFormat="false" ht="15" hidden="false" customHeight="false" outlineLevel="0" collapsed="false">
      <c r="A9784" s="103"/>
      <c r="B9784" s="104"/>
      <c r="C9784" s="104"/>
      <c r="E9784" s="107" t="str">
        <f aca="false">IF($C9784="","",IFERROR(INDEX(المنيو!$C$2:$C$500,MATCH($C9784,المنيو!$B$2:$B$500,0)),0))</f>
        <v/>
      </c>
      <c r="F9784" s="107" t="str">
        <f aca="false">IF($C9784="","",$D9784*$E9784)</f>
        <v/>
      </c>
      <c r="G9784" s="107" t="str">
        <f aca="false">IF($C9784="","",$D9784*IFERROR(INDEX('تحليل التكلفة والسعر'!$C$2:$C$700,MATCH($C9784,'تحليل التكلفة والسعر'!$B$2:$B$700,0)),0))</f>
        <v/>
      </c>
    </row>
    <row r="9785" customFormat="false" ht="15" hidden="false" customHeight="false" outlineLevel="0" collapsed="false">
      <c r="A9785" s="103"/>
      <c r="B9785" s="104"/>
      <c r="C9785" s="104"/>
      <c r="E9785" s="107" t="str">
        <f aca="false">IF($C9785="","",IFERROR(INDEX(المنيو!$C$2:$C$500,MATCH($C9785,المنيو!$B$2:$B$500,0)),0))</f>
        <v/>
      </c>
      <c r="F9785" s="107" t="str">
        <f aca="false">IF($C9785="","",$D9785*$E9785)</f>
        <v/>
      </c>
      <c r="G9785" s="107" t="str">
        <f aca="false">IF($C9785="","",$D9785*IFERROR(INDEX('تحليل التكلفة والسعر'!$C$2:$C$700,MATCH($C9785,'تحليل التكلفة والسعر'!$B$2:$B$700,0)),0))</f>
        <v/>
      </c>
    </row>
    <row r="9786" customFormat="false" ht="15" hidden="false" customHeight="false" outlineLevel="0" collapsed="false">
      <c r="A9786" s="103"/>
      <c r="B9786" s="104"/>
      <c r="C9786" s="104"/>
      <c r="E9786" s="107" t="str">
        <f aca="false">IF($C9786="","",IFERROR(INDEX(المنيو!$C$2:$C$500,MATCH($C9786,المنيو!$B$2:$B$500,0)),0))</f>
        <v/>
      </c>
      <c r="F9786" s="107" t="str">
        <f aca="false">IF($C9786="","",$D9786*$E9786)</f>
        <v/>
      </c>
      <c r="G9786" s="107" t="str">
        <f aca="false">IF($C9786="","",$D9786*IFERROR(INDEX('تحليل التكلفة والسعر'!$C$2:$C$700,MATCH($C9786,'تحليل التكلفة والسعر'!$B$2:$B$700,0)),0))</f>
        <v/>
      </c>
    </row>
    <row r="9787" customFormat="false" ht="15" hidden="false" customHeight="false" outlineLevel="0" collapsed="false">
      <c r="A9787" s="103"/>
      <c r="B9787" s="104"/>
      <c r="C9787" s="104"/>
      <c r="E9787" s="107" t="str">
        <f aca="false">IF($C9787="","",IFERROR(INDEX(المنيو!$C$2:$C$500,MATCH($C9787,المنيو!$B$2:$B$500,0)),0))</f>
        <v/>
      </c>
      <c r="F9787" s="107" t="str">
        <f aca="false">IF($C9787="","",$D9787*$E9787)</f>
        <v/>
      </c>
      <c r="G9787" s="107" t="str">
        <f aca="false">IF($C9787="","",$D9787*IFERROR(INDEX('تحليل التكلفة والسعر'!$C$2:$C$700,MATCH($C9787,'تحليل التكلفة والسعر'!$B$2:$B$700,0)),0))</f>
        <v/>
      </c>
    </row>
    <row r="9788" customFormat="false" ht="15" hidden="false" customHeight="false" outlineLevel="0" collapsed="false">
      <c r="A9788" s="103"/>
      <c r="B9788" s="104"/>
      <c r="C9788" s="104"/>
      <c r="E9788" s="107" t="str">
        <f aca="false">IF($C9788="","",IFERROR(INDEX(المنيو!$C$2:$C$500,MATCH($C9788,المنيو!$B$2:$B$500,0)),0))</f>
        <v/>
      </c>
      <c r="F9788" s="107" t="str">
        <f aca="false">IF($C9788="","",$D9788*$E9788)</f>
        <v/>
      </c>
      <c r="G9788" s="107" t="str">
        <f aca="false">IF($C9788="","",$D9788*IFERROR(INDEX('تحليل التكلفة والسعر'!$C$2:$C$700,MATCH($C9788,'تحليل التكلفة والسعر'!$B$2:$B$700,0)),0))</f>
        <v/>
      </c>
    </row>
    <row r="9789" customFormat="false" ht="15" hidden="false" customHeight="false" outlineLevel="0" collapsed="false">
      <c r="A9789" s="103"/>
      <c r="B9789" s="104"/>
      <c r="C9789" s="104"/>
      <c r="E9789" s="107" t="str">
        <f aca="false">IF($C9789="","",IFERROR(INDEX(المنيو!$C$2:$C$500,MATCH($C9789,المنيو!$B$2:$B$500,0)),0))</f>
        <v/>
      </c>
      <c r="F9789" s="107" t="str">
        <f aca="false">IF($C9789="","",$D9789*$E9789)</f>
        <v/>
      </c>
      <c r="G9789" s="107" t="str">
        <f aca="false">IF($C9789="","",$D9789*IFERROR(INDEX('تحليل التكلفة والسعر'!$C$2:$C$700,MATCH($C9789,'تحليل التكلفة والسعر'!$B$2:$B$700,0)),0))</f>
        <v/>
      </c>
    </row>
    <row r="9790" customFormat="false" ht="15" hidden="false" customHeight="false" outlineLevel="0" collapsed="false">
      <c r="A9790" s="103"/>
      <c r="B9790" s="104"/>
      <c r="C9790" s="104"/>
      <c r="E9790" s="107" t="str">
        <f aca="false">IF($C9790="","",IFERROR(INDEX(المنيو!$C$2:$C$500,MATCH($C9790,المنيو!$B$2:$B$500,0)),0))</f>
        <v/>
      </c>
      <c r="F9790" s="107" t="str">
        <f aca="false">IF($C9790="","",$D9790*$E9790)</f>
        <v/>
      </c>
      <c r="G9790" s="107" t="str">
        <f aca="false">IF($C9790="","",$D9790*IFERROR(INDEX('تحليل التكلفة والسعر'!$C$2:$C$700,MATCH($C9790,'تحليل التكلفة والسعر'!$B$2:$B$700,0)),0))</f>
        <v/>
      </c>
    </row>
    <row r="9791" customFormat="false" ht="15" hidden="false" customHeight="false" outlineLevel="0" collapsed="false">
      <c r="A9791" s="103"/>
      <c r="B9791" s="104"/>
      <c r="C9791" s="104"/>
      <c r="E9791" s="107" t="str">
        <f aca="false">IF($C9791="","",IFERROR(INDEX(المنيو!$C$2:$C$500,MATCH($C9791,المنيو!$B$2:$B$500,0)),0))</f>
        <v/>
      </c>
      <c r="F9791" s="107" t="str">
        <f aca="false">IF($C9791="","",$D9791*$E9791)</f>
        <v/>
      </c>
      <c r="G9791" s="107" t="str">
        <f aca="false">IF($C9791="","",$D9791*IFERROR(INDEX('تحليل التكلفة والسعر'!$C$2:$C$700,MATCH($C9791,'تحليل التكلفة والسعر'!$B$2:$B$700,0)),0))</f>
        <v/>
      </c>
    </row>
    <row r="9792" customFormat="false" ht="15" hidden="false" customHeight="false" outlineLevel="0" collapsed="false">
      <c r="A9792" s="103"/>
      <c r="B9792" s="104"/>
      <c r="C9792" s="104"/>
      <c r="E9792" s="107" t="str">
        <f aca="false">IF($C9792="","",IFERROR(INDEX(المنيو!$C$2:$C$500,MATCH($C9792,المنيو!$B$2:$B$500,0)),0))</f>
        <v/>
      </c>
      <c r="F9792" s="107" t="str">
        <f aca="false">IF($C9792="","",$D9792*$E9792)</f>
        <v/>
      </c>
      <c r="G9792" s="107" t="str">
        <f aca="false">IF($C9792="","",$D9792*IFERROR(INDEX('تحليل التكلفة والسعر'!$C$2:$C$700,MATCH($C9792,'تحليل التكلفة والسعر'!$B$2:$B$700,0)),0))</f>
        <v/>
      </c>
    </row>
    <row r="9793" customFormat="false" ht="15" hidden="false" customHeight="false" outlineLevel="0" collapsed="false">
      <c r="A9793" s="103"/>
      <c r="B9793" s="104"/>
      <c r="C9793" s="104"/>
      <c r="E9793" s="107" t="str">
        <f aca="false">IF($C9793="","",IFERROR(INDEX(المنيو!$C$2:$C$500,MATCH($C9793,المنيو!$B$2:$B$500,0)),0))</f>
        <v/>
      </c>
      <c r="F9793" s="107" t="str">
        <f aca="false">IF($C9793="","",$D9793*$E9793)</f>
        <v/>
      </c>
      <c r="G9793" s="107" t="str">
        <f aca="false">IF($C9793="","",$D9793*IFERROR(INDEX('تحليل التكلفة والسعر'!$C$2:$C$700,MATCH($C9793,'تحليل التكلفة والسعر'!$B$2:$B$700,0)),0))</f>
        <v/>
      </c>
    </row>
    <row r="9794" customFormat="false" ht="15" hidden="false" customHeight="false" outlineLevel="0" collapsed="false">
      <c r="A9794" s="103"/>
      <c r="B9794" s="104"/>
      <c r="C9794" s="104"/>
      <c r="E9794" s="107" t="str">
        <f aca="false">IF($C9794="","",IFERROR(INDEX(المنيو!$C$2:$C$500,MATCH($C9794,المنيو!$B$2:$B$500,0)),0))</f>
        <v/>
      </c>
      <c r="F9794" s="107" t="str">
        <f aca="false">IF($C9794="","",$D9794*$E9794)</f>
        <v/>
      </c>
      <c r="G9794" s="107" t="str">
        <f aca="false">IF($C9794="","",$D9794*IFERROR(INDEX('تحليل التكلفة والسعر'!$C$2:$C$700,MATCH($C9794,'تحليل التكلفة والسعر'!$B$2:$B$700,0)),0))</f>
        <v/>
      </c>
    </row>
    <row r="9795" customFormat="false" ht="15" hidden="false" customHeight="false" outlineLevel="0" collapsed="false">
      <c r="A9795" s="103"/>
      <c r="B9795" s="104"/>
      <c r="C9795" s="104"/>
      <c r="E9795" s="107" t="str">
        <f aca="false">IF($C9795="","",IFERROR(INDEX(المنيو!$C$2:$C$500,MATCH($C9795,المنيو!$B$2:$B$500,0)),0))</f>
        <v/>
      </c>
      <c r="F9795" s="107" t="str">
        <f aca="false">IF($C9795="","",$D9795*$E9795)</f>
        <v/>
      </c>
      <c r="G9795" s="107" t="str">
        <f aca="false">IF($C9795="","",$D9795*IFERROR(INDEX('تحليل التكلفة والسعر'!$C$2:$C$700,MATCH($C9795,'تحليل التكلفة والسعر'!$B$2:$B$700,0)),0))</f>
        <v/>
      </c>
    </row>
    <row r="9796" customFormat="false" ht="15" hidden="false" customHeight="false" outlineLevel="0" collapsed="false">
      <c r="A9796" s="103"/>
      <c r="B9796" s="104"/>
      <c r="C9796" s="104"/>
      <c r="E9796" s="107" t="str">
        <f aca="false">IF($C9796="","",IFERROR(INDEX(المنيو!$C$2:$C$500,MATCH($C9796,المنيو!$B$2:$B$500,0)),0))</f>
        <v/>
      </c>
      <c r="F9796" s="107" t="str">
        <f aca="false">IF($C9796="","",$D9796*$E9796)</f>
        <v/>
      </c>
      <c r="G9796" s="107" t="str">
        <f aca="false">IF($C9796="","",$D9796*IFERROR(INDEX('تحليل التكلفة والسعر'!$C$2:$C$700,MATCH($C9796,'تحليل التكلفة والسعر'!$B$2:$B$700,0)),0))</f>
        <v/>
      </c>
    </row>
    <row r="9797" customFormat="false" ht="15" hidden="false" customHeight="false" outlineLevel="0" collapsed="false">
      <c r="A9797" s="103"/>
      <c r="B9797" s="104"/>
      <c r="C9797" s="104"/>
      <c r="E9797" s="107" t="str">
        <f aca="false">IF($C9797="","",IFERROR(INDEX(المنيو!$C$2:$C$500,MATCH($C9797,المنيو!$B$2:$B$500,0)),0))</f>
        <v/>
      </c>
      <c r="F9797" s="107" t="str">
        <f aca="false">IF($C9797="","",$D9797*$E9797)</f>
        <v/>
      </c>
      <c r="G9797" s="107" t="str">
        <f aca="false">IF($C9797="","",$D9797*IFERROR(INDEX('تحليل التكلفة والسعر'!$C$2:$C$700,MATCH($C9797,'تحليل التكلفة والسعر'!$B$2:$B$700,0)),0))</f>
        <v/>
      </c>
    </row>
    <row r="9798" customFormat="false" ht="15" hidden="false" customHeight="false" outlineLevel="0" collapsed="false">
      <c r="A9798" s="103"/>
      <c r="B9798" s="104"/>
      <c r="C9798" s="104"/>
      <c r="E9798" s="107" t="str">
        <f aca="false">IF($C9798="","",IFERROR(INDEX(المنيو!$C$2:$C$500,MATCH($C9798,المنيو!$B$2:$B$500,0)),0))</f>
        <v/>
      </c>
      <c r="F9798" s="107" t="str">
        <f aca="false">IF($C9798="","",$D9798*$E9798)</f>
        <v/>
      </c>
      <c r="G9798" s="107" t="str">
        <f aca="false">IF($C9798="","",$D9798*IFERROR(INDEX('تحليل التكلفة والسعر'!$C$2:$C$700,MATCH($C9798,'تحليل التكلفة والسعر'!$B$2:$B$700,0)),0))</f>
        <v/>
      </c>
    </row>
    <row r="9799" customFormat="false" ht="15" hidden="false" customHeight="false" outlineLevel="0" collapsed="false">
      <c r="A9799" s="103"/>
      <c r="B9799" s="104"/>
      <c r="C9799" s="104"/>
      <c r="E9799" s="107" t="str">
        <f aca="false">IF($C9799="","",IFERROR(INDEX(المنيو!$C$2:$C$500,MATCH($C9799,المنيو!$B$2:$B$500,0)),0))</f>
        <v/>
      </c>
      <c r="F9799" s="107" t="str">
        <f aca="false">IF($C9799="","",$D9799*$E9799)</f>
        <v/>
      </c>
      <c r="G9799" s="107" t="str">
        <f aca="false">IF($C9799="","",$D9799*IFERROR(INDEX('تحليل التكلفة والسعر'!$C$2:$C$700,MATCH($C9799,'تحليل التكلفة والسعر'!$B$2:$B$700,0)),0))</f>
        <v/>
      </c>
    </row>
    <row r="9800" customFormat="false" ht="15" hidden="false" customHeight="false" outlineLevel="0" collapsed="false">
      <c r="A9800" s="103"/>
      <c r="B9800" s="104"/>
      <c r="C9800" s="104"/>
      <c r="E9800" s="107" t="str">
        <f aca="false">IF($C9800="","",IFERROR(INDEX(المنيو!$C$2:$C$500,MATCH($C9800,المنيو!$B$2:$B$500,0)),0))</f>
        <v/>
      </c>
      <c r="F9800" s="107" t="str">
        <f aca="false">IF($C9800="","",$D9800*$E9800)</f>
        <v/>
      </c>
      <c r="G9800" s="107" t="str">
        <f aca="false">IF($C9800="","",$D9800*IFERROR(INDEX('تحليل التكلفة والسعر'!$C$2:$C$700,MATCH($C9800,'تحليل التكلفة والسعر'!$B$2:$B$700,0)),0))</f>
        <v/>
      </c>
    </row>
    <row r="9801" customFormat="false" ht="15" hidden="false" customHeight="false" outlineLevel="0" collapsed="false">
      <c r="A9801" s="103"/>
      <c r="B9801" s="104"/>
      <c r="C9801" s="104"/>
      <c r="E9801" s="107" t="str">
        <f aca="false">IF($C9801="","",IFERROR(INDEX(المنيو!$C$2:$C$500,MATCH($C9801,المنيو!$B$2:$B$500,0)),0))</f>
        <v/>
      </c>
      <c r="F9801" s="107" t="str">
        <f aca="false">IF($C9801="","",$D9801*$E9801)</f>
        <v/>
      </c>
      <c r="G9801" s="107" t="str">
        <f aca="false">IF($C9801="","",$D9801*IFERROR(INDEX('تحليل التكلفة والسعر'!$C$2:$C$700,MATCH($C9801,'تحليل التكلفة والسعر'!$B$2:$B$700,0)),0))</f>
        <v/>
      </c>
    </row>
    <row r="9802" customFormat="false" ht="15" hidden="false" customHeight="false" outlineLevel="0" collapsed="false">
      <c r="A9802" s="103"/>
      <c r="B9802" s="104"/>
      <c r="C9802" s="104"/>
      <c r="E9802" s="107" t="str">
        <f aca="false">IF($C9802="","",IFERROR(INDEX(المنيو!$C$2:$C$500,MATCH($C9802,المنيو!$B$2:$B$500,0)),0))</f>
        <v/>
      </c>
      <c r="F9802" s="107" t="str">
        <f aca="false">IF($C9802="","",$D9802*$E9802)</f>
        <v/>
      </c>
      <c r="G9802" s="107" t="str">
        <f aca="false">IF($C9802="","",$D9802*IFERROR(INDEX('تحليل التكلفة والسعر'!$C$2:$C$700,MATCH($C9802,'تحليل التكلفة والسعر'!$B$2:$B$700,0)),0))</f>
        <v/>
      </c>
    </row>
    <row r="9803" customFormat="false" ht="15" hidden="false" customHeight="false" outlineLevel="0" collapsed="false">
      <c r="A9803" s="103"/>
      <c r="B9803" s="104"/>
      <c r="C9803" s="104"/>
      <c r="E9803" s="107" t="str">
        <f aca="false">IF($C9803="","",IFERROR(INDEX(المنيو!$C$2:$C$500,MATCH($C9803,المنيو!$B$2:$B$500,0)),0))</f>
        <v/>
      </c>
      <c r="F9803" s="107" t="str">
        <f aca="false">IF($C9803="","",$D9803*$E9803)</f>
        <v/>
      </c>
      <c r="G9803" s="107" t="str">
        <f aca="false">IF($C9803="","",$D9803*IFERROR(INDEX('تحليل التكلفة والسعر'!$C$2:$C$700,MATCH($C9803,'تحليل التكلفة والسعر'!$B$2:$B$700,0)),0))</f>
        <v/>
      </c>
    </row>
    <row r="9804" customFormat="false" ht="15" hidden="false" customHeight="false" outlineLevel="0" collapsed="false">
      <c r="A9804" s="103"/>
      <c r="B9804" s="104"/>
      <c r="C9804" s="104"/>
      <c r="E9804" s="107" t="str">
        <f aca="false">IF($C9804="","",IFERROR(INDEX(المنيو!$C$2:$C$500,MATCH($C9804,المنيو!$B$2:$B$500,0)),0))</f>
        <v/>
      </c>
      <c r="F9804" s="107" t="str">
        <f aca="false">IF($C9804="","",$D9804*$E9804)</f>
        <v/>
      </c>
      <c r="G9804" s="107" t="str">
        <f aca="false">IF($C9804="","",$D9804*IFERROR(INDEX('تحليل التكلفة والسعر'!$C$2:$C$700,MATCH($C9804,'تحليل التكلفة والسعر'!$B$2:$B$700,0)),0))</f>
        <v/>
      </c>
    </row>
    <row r="9805" customFormat="false" ht="15" hidden="false" customHeight="false" outlineLevel="0" collapsed="false">
      <c r="A9805" s="103"/>
      <c r="B9805" s="104"/>
      <c r="C9805" s="104"/>
      <c r="E9805" s="107" t="str">
        <f aca="false">IF($C9805="","",IFERROR(INDEX(المنيو!$C$2:$C$500,MATCH($C9805,المنيو!$B$2:$B$500,0)),0))</f>
        <v/>
      </c>
      <c r="F9805" s="107" t="str">
        <f aca="false">IF($C9805="","",$D9805*$E9805)</f>
        <v/>
      </c>
      <c r="G9805" s="107" t="str">
        <f aca="false">IF($C9805="","",$D9805*IFERROR(INDEX('تحليل التكلفة والسعر'!$C$2:$C$700,MATCH($C9805,'تحليل التكلفة والسعر'!$B$2:$B$700,0)),0))</f>
        <v/>
      </c>
    </row>
    <row r="9806" customFormat="false" ht="15" hidden="false" customHeight="false" outlineLevel="0" collapsed="false">
      <c r="A9806" s="103"/>
      <c r="B9806" s="104"/>
      <c r="C9806" s="104"/>
      <c r="E9806" s="107" t="str">
        <f aca="false">IF($C9806="","",IFERROR(INDEX(المنيو!$C$2:$C$500,MATCH($C9806,المنيو!$B$2:$B$500,0)),0))</f>
        <v/>
      </c>
      <c r="F9806" s="107" t="str">
        <f aca="false">IF($C9806="","",$D9806*$E9806)</f>
        <v/>
      </c>
      <c r="G9806" s="107" t="str">
        <f aca="false">IF($C9806="","",$D9806*IFERROR(INDEX('تحليل التكلفة والسعر'!$C$2:$C$700,MATCH($C9806,'تحليل التكلفة والسعر'!$B$2:$B$700,0)),0))</f>
        <v/>
      </c>
    </row>
    <row r="9807" customFormat="false" ht="15" hidden="false" customHeight="false" outlineLevel="0" collapsed="false">
      <c r="A9807" s="103"/>
      <c r="B9807" s="104"/>
      <c r="C9807" s="104"/>
      <c r="E9807" s="107" t="str">
        <f aca="false">IF($C9807="","",IFERROR(INDEX(المنيو!$C$2:$C$500,MATCH($C9807,المنيو!$B$2:$B$500,0)),0))</f>
        <v/>
      </c>
      <c r="F9807" s="107" t="str">
        <f aca="false">IF($C9807="","",$D9807*$E9807)</f>
        <v/>
      </c>
      <c r="G9807" s="107" t="str">
        <f aca="false">IF($C9807="","",$D9807*IFERROR(INDEX('تحليل التكلفة والسعر'!$C$2:$C$700,MATCH($C9807,'تحليل التكلفة والسعر'!$B$2:$B$700,0)),0))</f>
        <v/>
      </c>
    </row>
    <row r="9808" customFormat="false" ht="15" hidden="false" customHeight="false" outlineLevel="0" collapsed="false">
      <c r="A9808" s="103"/>
      <c r="B9808" s="104"/>
      <c r="C9808" s="104"/>
      <c r="E9808" s="107" t="str">
        <f aca="false">IF($C9808="","",IFERROR(INDEX(المنيو!$C$2:$C$500,MATCH($C9808,المنيو!$B$2:$B$500,0)),0))</f>
        <v/>
      </c>
      <c r="F9808" s="107" t="str">
        <f aca="false">IF($C9808="","",$D9808*$E9808)</f>
        <v/>
      </c>
      <c r="G9808" s="107" t="str">
        <f aca="false">IF($C9808="","",$D9808*IFERROR(INDEX('تحليل التكلفة والسعر'!$C$2:$C$700,MATCH($C9808,'تحليل التكلفة والسعر'!$B$2:$B$700,0)),0))</f>
        <v/>
      </c>
    </row>
    <row r="9809" customFormat="false" ht="15" hidden="false" customHeight="false" outlineLevel="0" collapsed="false">
      <c r="A9809" s="103"/>
      <c r="B9809" s="104"/>
      <c r="C9809" s="104"/>
      <c r="E9809" s="107" t="str">
        <f aca="false">IF($C9809="","",IFERROR(INDEX(المنيو!$C$2:$C$500,MATCH($C9809,المنيو!$B$2:$B$500,0)),0))</f>
        <v/>
      </c>
      <c r="F9809" s="107" t="str">
        <f aca="false">IF($C9809="","",$D9809*$E9809)</f>
        <v/>
      </c>
      <c r="G9809" s="107" t="str">
        <f aca="false">IF($C9809="","",$D9809*IFERROR(INDEX('تحليل التكلفة والسعر'!$C$2:$C$700,MATCH($C9809,'تحليل التكلفة والسعر'!$B$2:$B$700,0)),0))</f>
        <v/>
      </c>
    </row>
    <row r="9810" customFormat="false" ht="15" hidden="false" customHeight="false" outlineLevel="0" collapsed="false">
      <c r="A9810" s="103"/>
      <c r="B9810" s="104"/>
      <c r="C9810" s="104"/>
      <c r="E9810" s="107" t="str">
        <f aca="false">IF($C9810="","",IFERROR(INDEX(المنيو!$C$2:$C$500,MATCH($C9810,المنيو!$B$2:$B$500,0)),0))</f>
        <v/>
      </c>
      <c r="F9810" s="107" t="str">
        <f aca="false">IF($C9810="","",$D9810*$E9810)</f>
        <v/>
      </c>
      <c r="G9810" s="107" t="str">
        <f aca="false">IF($C9810="","",$D9810*IFERROR(INDEX('تحليل التكلفة والسعر'!$C$2:$C$700,MATCH($C9810,'تحليل التكلفة والسعر'!$B$2:$B$700,0)),0))</f>
        <v/>
      </c>
    </row>
    <row r="9811" customFormat="false" ht="15" hidden="false" customHeight="false" outlineLevel="0" collapsed="false">
      <c r="A9811" s="103"/>
      <c r="B9811" s="104"/>
      <c r="C9811" s="104"/>
      <c r="E9811" s="107" t="str">
        <f aca="false">IF($C9811="","",IFERROR(INDEX(المنيو!$C$2:$C$500,MATCH($C9811,المنيو!$B$2:$B$500,0)),0))</f>
        <v/>
      </c>
      <c r="F9811" s="107" t="str">
        <f aca="false">IF($C9811="","",$D9811*$E9811)</f>
        <v/>
      </c>
      <c r="G9811" s="107" t="str">
        <f aca="false">IF($C9811="","",$D9811*IFERROR(INDEX('تحليل التكلفة والسعر'!$C$2:$C$700,MATCH($C9811,'تحليل التكلفة والسعر'!$B$2:$B$700,0)),0))</f>
        <v/>
      </c>
    </row>
    <row r="9812" customFormat="false" ht="15" hidden="false" customHeight="false" outlineLevel="0" collapsed="false">
      <c r="A9812" s="103"/>
      <c r="B9812" s="104"/>
      <c r="C9812" s="104"/>
      <c r="E9812" s="107" t="str">
        <f aca="false">IF($C9812="","",IFERROR(INDEX(المنيو!$C$2:$C$500,MATCH($C9812,المنيو!$B$2:$B$500,0)),0))</f>
        <v/>
      </c>
      <c r="F9812" s="107" t="str">
        <f aca="false">IF($C9812="","",$D9812*$E9812)</f>
        <v/>
      </c>
      <c r="G9812" s="107" t="str">
        <f aca="false">IF($C9812="","",$D9812*IFERROR(INDEX('تحليل التكلفة والسعر'!$C$2:$C$700,MATCH($C9812,'تحليل التكلفة والسعر'!$B$2:$B$700,0)),0))</f>
        <v/>
      </c>
    </row>
    <row r="9813" customFormat="false" ht="15" hidden="false" customHeight="false" outlineLevel="0" collapsed="false">
      <c r="A9813" s="103"/>
      <c r="B9813" s="104"/>
      <c r="C9813" s="104"/>
      <c r="E9813" s="107" t="str">
        <f aca="false">IF($C9813="","",IFERROR(INDEX(المنيو!$C$2:$C$500,MATCH($C9813,المنيو!$B$2:$B$500,0)),0))</f>
        <v/>
      </c>
      <c r="F9813" s="107" t="str">
        <f aca="false">IF($C9813="","",$D9813*$E9813)</f>
        <v/>
      </c>
      <c r="G9813" s="107" t="str">
        <f aca="false">IF($C9813="","",$D9813*IFERROR(INDEX('تحليل التكلفة والسعر'!$C$2:$C$700,MATCH($C9813,'تحليل التكلفة والسعر'!$B$2:$B$700,0)),0))</f>
        <v/>
      </c>
    </row>
    <row r="9814" customFormat="false" ht="15" hidden="false" customHeight="false" outlineLevel="0" collapsed="false">
      <c r="A9814" s="103"/>
      <c r="B9814" s="104"/>
      <c r="C9814" s="104"/>
      <c r="E9814" s="107" t="str">
        <f aca="false">IF($C9814="","",IFERROR(INDEX(المنيو!$C$2:$C$500,MATCH($C9814,المنيو!$B$2:$B$500,0)),0))</f>
        <v/>
      </c>
      <c r="F9814" s="107" t="str">
        <f aca="false">IF($C9814="","",$D9814*$E9814)</f>
        <v/>
      </c>
      <c r="G9814" s="107" t="str">
        <f aca="false">IF($C9814="","",$D9814*IFERROR(INDEX('تحليل التكلفة والسعر'!$C$2:$C$700,MATCH($C9814,'تحليل التكلفة والسعر'!$B$2:$B$700,0)),0))</f>
        <v/>
      </c>
    </row>
    <row r="9815" customFormat="false" ht="15" hidden="false" customHeight="false" outlineLevel="0" collapsed="false">
      <c r="A9815" s="103"/>
      <c r="B9815" s="104"/>
      <c r="C9815" s="104"/>
      <c r="E9815" s="107" t="str">
        <f aca="false">IF($C9815="","",IFERROR(INDEX(المنيو!$C$2:$C$500,MATCH($C9815,المنيو!$B$2:$B$500,0)),0))</f>
        <v/>
      </c>
      <c r="F9815" s="107" t="str">
        <f aca="false">IF($C9815="","",$D9815*$E9815)</f>
        <v/>
      </c>
      <c r="G9815" s="107" t="str">
        <f aca="false">IF($C9815="","",$D9815*IFERROR(INDEX('تحليل التكلفة والسعر'!$C$2:$C$700,MATCH($C9815,'تحليل التكلفة والسعر'!$B$2:$B$700,0)),0))</f>
        <v/>
      </c>
    </row>
    <row r="9816" customFormat="false" ht="15" hidden="false" customHeight="false" outlineLevel="0" collapsed="false">
      <c r="A9816" s="103"/>
      <c r="B9816" s="104"/>
      <c r="C9816" s="104"/>
      <c r="E9816" s="107" t="str">
        <f aca="false">IF($C9816="","",IFERROR(INDEX(المنيو!$C$2:$C$500,MATCH($C9816,المنيو!$B$2:$B$500,0)),0))</f>
        <v/>
      </c>
      <c r="F9816" s="107" t="str">
        <f aca="false">IF($C9816="","",$D9816*$E9816)</f>
        <v/>
      </c>
      <c r="G9816" s="107" t="str">
        <f aca="false">IF($C9816="","",$D9816*IFERROR(INDEX('تحليل التكلفة والسعر'!$C$2:$C$700,MATCH($C9816,'تحليل التكلفة والسعر'!$B$2:$B$700,0)),0))</f>
        <v/>
      </c>
    </row>
    <row r="9817" customFormat="false" ht="15" hidden="false" customHeight="false" outlineLevel="0" collapsed="false">
      <c r="A9817" s="103"/>
      <c r="B9817" s="104"/>
      <c r="C9817" s="104"/>
      <c r="E9817" s="107" t="str">
        <f aca="false">IF($C9817="","",IFERROR(INDEX(المنيو!$C$2:$C$500,MATCH($C9817,المنيو!$B$2:$B$500,0)),0))</f>
        <v/>
      </c>
      <c r="F9817" s="107" t="str">
        <f aca="false">IF($C9817="","",$D9817*$E9817)</f>
        <v/>
      </c>
      <c r="G9817" s="107" t="str">
        <f aca="false">IF($C9817="","",$D9817*IFERROR(INDEX('تحليل التكلفة والسعر'!$C$2:$C$700,MATCH($C9817,'تحليل التكلفة والسعر'!$B$2:$B$700,0)),0))</f>
        <v/>
      </c>
    </row>
    <row r="9818" customFormat="false" ht="15" hidden="false" customHeight="false" outlineLevel="0" collapsed="false">
      <c r="A9818" s="103"/>
      <c r="B9818" s="104"/>
      <c r="C9818" s="104"/>
      <c r="E9818" s="107" t="str">
        <f aca="false">IF($C9818="","",IFERROR(INDEX(المنيو!$C$2:$C$500,MATCH($C9818,المنيو!$B$2:$B$500,0)),0))</f>
        <v/>
      </c>
      <c r="F9818" s="107" t="str">
        <f aca="false">IF($C9818="","",$D9818*$E9818)</f>
        <v/>
      </c>
      <c r="G9818" s="107" t="str">
        <f aca="false">IF($C9818="","",$D9818*IFERROR(INDEX('تحليل التكلفة والسعر'!$C$2:$C$700,MATCH($C9818,'تحليل التكلفة والسعر'!$B$2:$B$700,0)),0))</f>
        <v/>
      </c>
    </row>
    <row r="9819" customFormat="false" ht="15" hidden="false" customHeight="false" outlineLevel="0" collapsed="false">
      <c r="A9819" s="103"/>
      <c r="B9819" s="104"/>
      <c r="C9819" s="104"/>
      <c r="E9819" s="107" t="str">
        <f aca="false">IF($C9819="","",IFERROR(INDEX(المنيو!$C$2:$C$500,MATCH($C9819,المنيو!$B$2:$B$500,0)),0))</f>
        <v/>
      </c>
      <c r="F9819" s="107" t="str">
        <f aca="false">IF($C9819="","",$D9819*$E9819)</f>
        <v/>
      </c>
      <c r="G9819" s="107" t="str">
        <f aca="false">IF($C9819="","",$D9819*IFERROR(INDEX('تحليل التكلفة والسعر'!$C$2:$C$700,MATCH($C9819,'تحليل التكلفة والسعر'!$B$2:$B$700,0)),0))</f>
        <v/>
      </c>
    </row>
    <row r="9820" customFormat="false" ht="15" hidden="false" customHeight="false" outlineLevel="0" collapsed="false">
      <c r="A9820" s="103"/>
      <c r="B9820" s="104"/>
      <c r="C9820" s="104"/>
      <c r="E9820" s="107" t="str">
        <f aca="false">IF($C9820="","",IFERROR(INDEX(المنيو!$C$2:$C$500,MATCH($C9820,المنيو!$B$2:$B$500,0)),0))</f>
        <v/>
      </c>
      <c r="F9820" s="107" t="str">
        <f aca="false">IF($C9820="","",$D9820*$E9820)</f>
        <v/>
      </c>
      <c r="G9820" s="107" t="str">
        <f aca="false">IF($C9820="","",$D9820*IFERROR(INDEX('تحليل التكلفة والسعر'!$C$2:$C$700,MATCH($C9820,'تحليل التكلفة والسعر'!$B$2:$B$700,0)),0))</f>
        <v/>
      </c>
    </row>
    <row r="9821" customFormat="false" ht="15" hidden="false" customHeight="false" outlineLevel="0" collapsed="false">
      <c r="A9821" s="103"/>
      <c r="B9821" s="104"/>
      <c r="C9821" s="104"/>
      <c r="E9821" s="107" t="str">
        <f aca="false">IF($C9821="","",IFERROR(INDEX(المنيو!$C$2:$C$500,MATCH($C9821,المنيو!$B$2:$B$500,0)),0))</f>
        <v/>
      </c>
      <c r="F9821" s="107" t="str">
        <f aca="false">IF($C9821="","",$D9821*$E9821)</f>
        <v/>
      </c>
      <c r="G9821" s="107" t="str">
        <f aca="false">IF($C9821="","",$D9821*IFERROR(INDEX('تحليل التكلفة والسعر'!$C$2:$C$700,MATCH($C9821,'تحليل التكلفة والسعر'!$B$2:$B$700,0)),0))</f>
        <v/>
      </c>
    </row>
    <row r="9822" customFormat="false" ht="15" hidden="false" customHeight="false" outlineLevel="0" collapsed="false">
      <c r="A9822" s="103"/>
      <c r="B9822" s="104"/>
      <c r="C9822" s="104"/>
      <c r="E9822" s="107" t="str">
        <f aca="false">IF($C9822="","",IFERROR(INDEX(المنيو!$C$2:$C$500,MATCH($C9822,المنيو!$B$2:$B$500,0)),0))</f>
        <v/>
      </c>
      <c r="F9822" s="107" t="str">
        <f aca="false">IF($C9822="","",$D9822*$E9822)</f>
        <v/>
      </c>
      <c r="G9822" s="107" t="str">
        <f aca="false">IF($C9822="","",$D9822*IFERROR(INDEX('تحليل التكلفة والسعر'!$C$2:$C$700,MATCH($C9822,'تحليل التكلفة والسعر'!$B$2:$B$700,0)),0))</f>
        <v/>
      </c>
    </row>
    <row r="9823" customFormat="false" ht="15" hidden="false" customHeight="false" outlineLevel="0" collapsed="false">
      <c r="A9823" s="103"/>
      <c r="B9823" s="104"/>
      <c r="C9823" s="104"/>
      <c r="E9823" s="107" t="str">
        <f aca="false">IF($C9823="","",IFERROR(INDEX(المنيو!$C$2:$C$500,MATCH($C9823,المنيو!$B$2:$B$500,0)),0))</f>
        <v/>
      </c>
      <c r="F9823" s="107" t="str">
        <f aca="false">IF($C9823="","",$D9823*$E9823)</f>
        <v/>
      </c>
      <c r="G9823" s="107" t="str">
        <f aca="false">IF($C9823="","",$D9823*IFERROR(INDEX('تحليل التكلفة والسعر'!$C$2:$C$700,MATCH($C9823,'تحليل التكلفة والسعر'!$B$2:$B$700,0)),0))</f>
        <v/>
      </c>
    </row>
    <row r="9824" customFormat="false" ht="15" hidden="false" customHeight="false" outlineLevel="0" collapsed="false">
      <c r="A9824" s="103"/>
      <c r="B9824" s="104"/>
      <c r="C9824" s="104"/>
      <c r="E9824" s="107" t="str">
        <f aca="false">IF($C9824="","",IFERROR(INDEX(المنيو!$C$2:$C$500,MATCH($C9824,المنيو!$B$2:$B$500,0)),0))</f>
        <v/>
      </c>
      <c r="F9824" s="107" t="str">
        <f aca="false">IF($C9824="","",$D9824*$E9824)</f>
        <v/>
      </c>
      <c r="G9824" s="107" t="str">
        <f aca="false">IF($C9824="","",$D9824*IFERROR(INDEX('تحليل التكلفة والسعر'!$C$2:$C$700,MATCH($C9824,'تحليل التكلفة والسعر'!$B$2:$B$700,0)),0))</f>
        <v/>
      </c>
    </row>
    <row r="9825" customFormat="false" ht="15" hidden="false" customHeight="false" outlineLevel="0" collapsed="false">
      <c r="A9825" s="103"/>
      <c r="B9825" s="104"/>
      <c r="C9825" s="104"/>
      <c r="E9825" s="107" t="str">
        <f aca="false">IF($C9825="","",IFERROR(INDEX(المنيو!$C$2:$C$500,MATCH($C9825,المنيو!$B$2:$B$500,0)),0))</f>
        <v/>
      </c>
      <c r="F9825" s="107" t="str">
        <f aca="false">IF($C9825="","",$D9825*$E9825)</f>
        <v/>
      </c>
      <c r="G9825" s="107" t="str">
        <f aca="false">IF($C9825="","",$D9825*IFERROR(INDEX('تحليل التكلفة والسعر'!$C$2:$C$700,MATCH($C9825,'تحليل التكلفة والسعر'!$B$2:$B$700,0)),0))</f>
        <v/>
      </c>
    </row>
    <row r="9826" customFormat="false" ht="15" hidden="false" customHeight="false" outlineLevel="0" collapsed="false">
      <c r="A9826" s="103"/>
      <c r="B9826" s="104"/>
      <c r="C9826" s="104"/>
      <c r="E9826" s="107" t="str">
        <f aca="false">IF($C9826="","",IFERROR(INDEX(المنيو!$C$2:$C$500,MATCH($C9826,المنيو!$B$2:$B$500,0)),0))</f>
        <v/>
      </c>
      <c r="F9826" s="107" t="str">
        <f aca="false">IF($C9826="","",$D9826*$E9826)</f>
        <v/>
      </c>
      <c r="G9826" s="107" t="str">
        <f aca="false">IF($C9826="","",$D9826*IFERROR(INDEX('تحليل التكلفة والسعر'!$C$2:$C$700,MATCH($C9826,'تحليل التكلفة والسعر'!$B$2:$B$700,0)),0))</f>
        <v/>
      </c>
    </row>
    <row r="9827" customFormat="false" ht="15" hidden="false" customHeight="false" outlineLevel="0" collapsed="false">
      <c r="A9827" s="103"/>
      <c r="B9827" s="104"/>
      <c r="C9827" s="104"/>
      <c r="E9827" s="107" t="str">
        <f aca="false">IF($C9827="","",IFERROR(INDEX(المنيو!$C$2:$C$500,MATCH($C9827,المنيو!$B$2:$B$500,0)),0))</f>
        <v/>
      </c>
      <c r="F9827" s="107" t="str">
        <f aca="false">IF($C9827="","",$D9827*$E9827)</f>
        <v/>
      </c>
      <c r="G9827" s="107" t="str">
        <f aca="false">IF($C9827="","",$D9827*IFERROR(INDEX('تحليل التكلفة والسعر'!$C$2:$C$700,MATCH($C9827,'تحليل التكلفة والسعر'!$B$2:$B$700,0)),0))</f>
        <v/>
      </c>
    </row>
    <row r="9828" customFormat="false" ht="15" hidden="false" customHeight="false" outlineLevel="0" collapsed="false">
      <c r="A9828" s="103"/>
      <c r="B9828" s="104"/>
      <c r="C9828" s="104"/>
      <c r="E9828" s="107" t="str">
        <f aca="false">IF($C9828="","",IFERROR(INDEX(المنيو!$C$2:$C$500,MATCH($C9828,المنيو!$B$2:$B$500,0)),0))</f>
        <v/>
      </c>
      <c r="F9828" s="107" t="str">
        <f aca="false">IF($C9828="","",$D9828*$E9828)</f>
        <v/>
      </c>
      <c r="G9828" s="107" t="str">
        <f aca="false">IF($C9828="","",$D9828*IFERROR(INDEX('تحليل التكلفة والسعر'!$C$2:$C$700,MATCH($C9828,'تحليل التكلفة والسعر'!$B$2:$B$700,0)),0))</f>
        <v/>
      </c>
    </row>
    <row r="9829" customFormat="false" ht="15" hidden="false" customHeight="false" outlineLevel="0" collapsed="false">
      <c r="A9829" s="103"/>
      <c r="B9829" s="104"/>
      <c r="C9829" s="104"/>
      <c r="E9829" s="107" t="str">
        <f aca="false">IF($C9829="","",IFERROR(INDEX(المنيو!$C$2:$C$500,MATCH($C9829,المنيو!$B$2:$B$500,0)),0))</f>
        <v/>
      </c>
      <c r="F9829" s="107" t="str">
        <f aca="false">IF($C9829="","",$D9829*$E9829)</f>
        <v/>
      </c>
      <c r="G9829" s="107" t="str">
        <f aca="false">IF($C9829="","",$D9829*IFERROR(INDEX('تحليل التكلفة والسعر'!$C$2:$C$700,MATCH($C9829,'تحليل التكلفة والسعر'!$B$2:$B$700,0)),0))</f>
        <v/>
      </c>
    </row>
    <row r="9830" customFormat="false" ht="15" hidden="false" customHeight="false" outlineLevel="0" collapsed="false">
      <c r="A9830" s="103"/>
      <c r="B9830" s="104"/>
      <c r="C9830" s="104"/>
      <c r="E9830" s="107" t="str">
        <f aca="false">IF($C9830="","",IFERROR(INDEX(المنيو!$C$2:$C$500,MATCH($C9830,المنيو!$B$2:$B$500,0)),0))</f>
        <v/>
      </c>
      <c r="F9830" s="107" t="str">
        <f aca="false">IF($C9830="","",$D9830*$E9830)</f>
        <v/>
      </c>
      <c r="G9830" s="107" t="str">
        <f aca="false">IF($C9830="","",$D9830*IFERROR(INDEX('تحليل التكلفة والسعر'!$C$2:$C$700,MATCH($C9830,'تحليل التكلفة والسعر'!$B$2:$B$700,0)),0))</f>
        <v/>
      </c>
    </row>
    <row r="9831" customFormat="false" ht="15" hidden="false" customHeight="false" outlineLevel="0" collapsed="false">
      <c r="A9831" s="103"/>
      <c r="B9831" s="104"/>
      <c r="C9831" s="104"/>
      <c r="E9831" s="107" t="str">
        <f aca="false">IF($C9831="","",IFERROR(INDEX(المنيو!$C$2:$C$500,MATCH($C9831,المنيو!$B$2:$B$500,0)),0))</f>
        <v/>
      </c>
      <c r="F9831" s="107" t="str">
        <f aca="false">IF($C9831="","",$D9831*$E9831)</f>
        <v/>
      </c>
      <c r="G9831" s="107" t="str">
        <f aca="false">IF($C9831="","",$D9831*IFERROR(INDEX('تحليل التكلفة والسعر'!$C$2:$C$700,MATCH($C9831,'تحليل التكلفة والسعر'!$B$2:$B$700,0)),0))</f>
        <v/>
      </c>
    </row>
    <row r="9832" customFormat="false" ht="15" hidden="false" customHeight="false" outlineLevel="0" collapsed="false">
      <c r="A9832" s="103"/>
      <c r="B9832" s="104"/>
      <c r="C9832" s="104"/>
      <c r="E9832" s="107" t="str">
        <f aca="false">IF($C9832="","",IFERROR(INDEX(المنيو!$C$2:$C$500,MATCH($C9832,المنيو!$B$2:$B$500,0)),0))</f>
        <v/>
      </c>
      <c r="F9832" s="107" t="str">
        <f aca="false">IF($C9832="","",$D9832*$E9832)</f>
        <v/>
      </c>
      <c r="G9832" s="107" t="str">
        <f aca="false">IF($C9832="","",$D9832*IFERROR(INDEX('تحليل التكلفة والسعر'!$C$2:$C$700,MATCH($C9832,'تحليل التكلفة والسعر'!$B$2:$B$700,0)),0))</f>
        <v/>
      </c>
    </row>
    <row r="9833" customFormat="false" ht="15" hidden="false" customHeight="false" outlineLevel="0" collapsed="false">
      <c r="A9833" s="103"/>
      <c r="B9833" s="104"/>
      <c r="C9833" s="104"/>
      <c r="E9833" s="107" t="str">
        <f aca="false">IF($C9833="","",IFERROR(INDEX(المنيو!$C$2:$C$500,MATCH($C9833,المنيو!$B$2:$B$500,0)),0))</f>
        <v/>
      </c>
      <c r="F9833" s="107" t="str">
        <f aca="false">IF($C9833="","",$D9833*$E9833)</f>
        <v/>
      </c>
      <c r="G9833" s="107" t="str">
        <f aca="false">IF($C9833="","",$D9833*IFERROR(INDEX('تحليل التكلفة والسعر'!$C$2:$C$700,MATCH($C9833,'تحليل التكلفة والسعر'!$B$2:$B$700,0)),0))</f>
        <v/>
      </c>
    </row>
    <row r="9834" customFormat="false" ht="15" hidden="false" customHeight="false" outlineLevel="0" collapsed="false">
      <c r="A9834" s="103"/>
      <c r="B9834" s="104"/>
      <c r="C9834" s="104"/>
      <c r="E9834" s="107" t="str">
        <f aca="false">IF($C9834="","",IFERROR(INDEX(المنيو!$C$2:$C$500,MATCH($C9834,المنيو!$B$2:$B$500,0)),0))</f>
        <v/>
      </c>
      <c r="F9834" s="107" t="str">
        <f aca="false">IF($C9834="","",$D9834*$E9834)</f>
        <v/>
      </c>
      <c r="G9834" s="107" t="str">
        <f aca="false">IF($C9834="","",$D9834*IFERROR(INDEX('تحليل التكلفة والسعر'!$C$2:$C$700,MATCH($C9834,'تحليل التكلفة والسعر'!$B$2:$B$700,0)),0))</f>
        <v/>
      </c>
    </row>
    <row r="9835" customFormat="false" ht="15" hidden="false" customHeight="false" outlineLevel="0" collapsed="false">
      <c r="A9835" s="103"/>
      <c r="B9835" s="104"/>
      <c r="C9835" s="104"/>
      <c r="E9835" s="107" t="str">
        <f aca="false">IF($C9835="","",IFERROR(INDEX(المنيو!$C$2:$C$500,MATCH($C9835,المنيو!$B$2:$B$500,0)),0))</f>
        <v/>
      </c>
      <c r="F9835" s="107" t="str">
        <f aca="false">IF($C9835="","",$D9835*$E9835)</f>
        <v/>
      </c>
      <c r="G9835" s="107" t="str">
        <f aca="false">IF($C9835="","",$D9835*IFERROR(INDEX('تحليل التكلفة والسعر'!$C$2:$C$700,MATCH($C9835,'تحليل التكلفة والسعر'!$B$2:$B$700,0)),0))</f>
        <v/>
      </c>
    </row>
    <row r="9836" customFormat="false" ht="15" hidden="false" customHeight="false" outlineLevel="0" collapsed="false">
      <c r="A9836" s="103"/>
      <c r="B9836" s="104"/>
      <c r="C9836" s="104"/>
      <c r="E9836" s="107" t="str">
        <f aca="false">IF($C9836="","",IFERROR(INDEX(المنيو!$C$2:$C$500,MATCH($C9836,المنيو!$B$2:$B$500,0)),0))</f>
        <v/>
      </c>
      <c r="F9836" s="107" t="str">
        <f aca="false">IF($C9836="","",$D9836*$E9836)</f>
        <v/>
      </c>
      <c r="G9836" s="107" t="str">
        <f aca="false">IF($C9836="","",$D9836*IFERROR(INDEX('تحليل التكلفة والسعر'!$C$2:$C$700,MATCH($C9836,'تحليل التكلفة والسعر'!$B$2:$B$700,0)),0))</f>
        <v/>
      </c>
    </row>
    <row r="9837" customFormat="false" ht="15" hidden="false" customHeight="false" outlineLevel="0" collapsed="false">
      <c r="A9837" s="103"/>
      <c r="B9837" s="104"/>
      <c r="C9837" s="104"/>
      <c r="E9837" s="107" t="str">
        <f aca="false">IF($C9837="","",IFERROR(INDEX(المنيو!$C$2:$C$500,MATCH($C9837,المنيو!$B$2:$B$500,0)),0))</f>
        <v/>
      </c>
      <c r="F9837" s="107" t="str">
        <f aca="false">IF($C9837="","",$D9837*$E9837)</f>
        <v/>
      </c>
      <c r="G9837" s="107" t="str">
        <f aca="false">IF($C9837="","",$D9837*IFERROR(INDEX('تحليل التكلفة والسعر'!$C$2:$C$700,MATCH($C9837,'تحليل التكلفة والسعر'!$B$2:$B$700,0)),0))</f>
        <v/>
      </c>
    </row>
    <row r="9838" customFormat="false" ht="15" hidden="false" customHeight="false" outlineLevel="0" collapsed="false">
      <c r="A9838" s="103"/>
      <c r="B9838" s="104"/>
      <c r="C9838" s="104"/>
      <c r="E9838" s="107" t="str">
        <f aca="false">IF($C9838="","",IFERROR(INDEX(المنيو!$C$2:$C$500,MATCH($C9838,المنيو!$B$2:$B$500,0)),0))</f>
        <v/>
      </c>
      <c r="F9838" s="107" t="str">
        <f aca="false">IF($C9838="","",$D9838*$E9838)</f>
        <v/>
      </c>
      <c r="G9838" s="107" t="str">
        <f aca="false">IF($C9838="","",$D9838*IFERROR(INDEX('تحليل التكلفة والسعر'!$C$2:$C$700,MATCH($C9838,'تحليل التكلفة والسعر'!$B$2:$B$700,0)),0))</f>
        <v/>
      </c>
    </row>
    <row r="9839" customFormat="false" ht="15" hidden="false" customHeight="false" outlineLevel="0" collapsed="false">
      <c r="A9839" s="103"/>
      <c r="B9839" s="104"/>
      <c r="C9839" s="104"/>
      <c r="E9839" s="107" t="str">
        <f aca="false">IF($C9839="","",IFERROR(INDEX(المنيو!$C$2:$C$500,MATCH($C9839,المنيو!$B$2:$B$500,0)),0))</f>
        <v/>
      </c>
      <c r="F9839" s="107" t="str">
        <f aca="false">IF($C9839="","",$D9839*$E9839)</f>
        <v/>
      </c>
      <c r="G9839" s="107" t="str">
        <f aca="false">IF($C9839="","",$D9839*IFERROR(INDEX('تحليل التكلفة والسعر'!$C$2:$C$700,MATCH($C9839,'تحليل التكلفة والسعر'!$B$2:$B$700,0)),0))</f>
        <v/>
      </c>
    </row>
    <row r="9840" customFormat="false" ht="15" hidden="false" customHeight="false" outlineLevel="0" collapsed="false">
      <c r="A9840" s="103"/>
      <c r="B9840" s="104"/>
      <c r="C9840" s="104"/>
      <c r="E9840" s="107" t="str">
        <f aca="false">IF($C9840="","",IFERROR(INDEX(المنيو!$C$2:$C$500,MATCH($C9840,المنيو!$B$2:$B$500,0)),0))</f>
        <v/>
      </c>
      <c r="F9840" s="107" t="str">
        <f aca="false">IF($C9840="","",$D9840*$E9840)</f>
        <v/>
      </c>
      <c r="G9840" s="107" t="str">
        <f aca="false">IF($C9840="","",$D9840*IFERROR(INDEX('تحليل التكلفة والسعر'!$C$2:$C$700,MATCH($C9840,'تحليل التكلفة والسعر'!$B$2:$B$700,0)),0))</f>
        <v/>
      </c>
    </row>
    <row r="9841" customFormat="false" ht="15" hidden="false" customHeight="false" outlineLevel="0" collapsed="false">
      <c r="A9841" s="103"/>
      <c r="B9841" s="104"/>
      <c r="C9841" s="104"/>
      <c r="E9841" s="107" t="str">
        <f aca="false">IF($C9841="","",IFERROR(INDEX(المنيو!$C$2:$C$500,MATCH($C9841,المنيو!$B$2:$B$500,0)),0))</f>
        <v/>
      </c>
      <c r="F9841" s="107" t="str">
        <f aca="false">IF($C9841="","",$D9841*$E9841)</f>
        <v/>
      </c>
      <c r="G9841" s="107" t="str">
        <f aca="false">IF($C9841="","",$D9841*IFERROR(INDEX('تحليل التكلفة والسعر'!$C$2:$C$700,MATCH($C9841,'تحليل التكلفة والسعر'!$B$2:$B$700,0)),0))</f>
        <v/>
      </c>
    </row>
    <row r="9842" customFormat="false" ht="15" hidden="false" customHeight="false" outlineLevel="0" collapsed="false">
      <c r="A9842" s="103"/>
      <c r="B9842" s="104"/>
      <c r="C9842" s="104"/>
      <c r="E9842" s="107" t="str">
        <f aca="false">IF($C9842="","",IFERROR(INDEX(المنيو!$C$2:$C$500,MATCH($C9842,المنيو!$B$2:$B$500,0)),0))</f>
        <v/>
      </c>
      <c r="F9842" s="107" t="str">
        <f aca="false">IF($C9842="","",$D9842*$E9842)</f>
        <v/>
      </c>
      <c r="G9842" s="107" t="str">
        <f aca="false">IF($C9842="","",$D9842*IFERROR(INDEX('تحليل التكلفة والسعر'!$C$2:$C$700,MATCH($C9842,'تحليل التكلفة والسعر'!$B$2:$B$700,0)),0))</f>
        <v/>
      </c>
    </row>
    <row r="9843" customFormat="false" ht="15" hidden="false" customHeight="false" outlineLevel="0" collapsed="false">
      <c r="A9843" s="103"/>
      <c r="B9843" s="104"/>
      <c r="C9843" s="104"/>
      <c r="E9843" s="107" t="str">
        <f aca="false">IF($C9843="","",IFERROR(INDEX(المنيو!$C$2:$C$500,MATCH($C9843,المنيو!$B$2:$B$500,0)),0))</f>
        <v/>
      </c>
      <c r="F9843" s="107" t="str">
        <f aca="false">IF($C9843="","",$D9843*$E9843)</f>
        <v/>
      </c>
      <c r="G9843" s="107" t="str">
        <f aca="false">IF($C9843="","",$D9843*IFERROR(INDEX('تحليل التكلفة والسعر'!$C$2:$C$700,MATCH($C9843,'تحليل التكلفة والسعر'!$B$2:$B$700,0)),0))</f>
        <v/>
      </c>
    </row>
    <row r="9844" customFormat="false" ht="15" hidden="false" customHeight="false" outlineLevel="0" collapsed="false">
      <c r="A9844" s="103"/>
      <c r="B9844" s="104"/>
      <c r="C9844" s="104"/>
      <c r="E9844" s="107" t="str">
        <f aca="false">IF($C9844="","",IFERROR(INDEX(المنيو!$C$2:$C$500,MATCH($C9844,المنيو!$B$2:$B$500,0)),0))</f>
        <v/>
      </c>
      <c r="F9844" s="107" t="str">
        <f aca="false">IF($C9844="","",$D9844*$E9844)</f>
        <v/>
      </c>
      <c r="G9844" s="107" t="str">
        <f aca="false">IF($C9844="","",$D9844*IFERROR(INDEX('تحليل التكلفة والسعر'!$C$2:$C$700,MATCH($C9844,'تحليل التكلفة والسعر'!$B$2:$B$700,0)),0))</f>
        <v/>
      </c>
    </row>
    <row r="9845" customFormat="false" ht="15" hidden="false" customHeight="false" outlineLevel="0" collapsed="false">
      <c r="A9845" s="103"/>
      <c r="B9845" s="104"/>
      <c r="C9845" s="104"/>
      <c r="E9845" s="107" t="str">
        <f aca="false">IF($C9845="","",IFERROR(INDEX(المنيو!$C$2:$C$500,MATCH($C9845,المنيو!$B$2:$B$500,0)),0))</f>
        <v/>
      </c>
      <c r="F9845" s="107" t="str">
        <f aca="false">IF($C9845="","",$D9845*$E9845)</f>
        <v/>
      </c>
      <c r="G9845" s="107" t="str">
        <f aca="false">IF($C9845="","",$D9845*IFERROR(INDEX('تحليل التكلفة والسعر'!$C$2:$C$700,MATCH($C9845,'تحليل التكلفة والسعر'!$B$2:$B$700,0)),0))</f>
        <v/>
      </c>
    </row>
    <row r="9846" customFormat="false" ht="15" hidden="false" customHeight="false" outlineLevel="0" collapsed="false">
      <c r="A9846" s="103"/>
      <c r="B9846" s="104"/>
      <c r="C9846" s="104"/>
      <c r="E9846" s="107" t="str">
        <f aca="false">IF($C9846="","",IFERROR(INDEX(المنيو!$C$2:$C$500,MATCH($C9846,المنيو!$B$2:$B$500,0)),0))</f>
        <v/>
      </c>
      <c r="F9846" s="107" t="str">
        <f aca="false">IF($C9846="","",$D9846*$E9846)</f>
        <v/>
      </c>
      <c r="G9846" s="107" t="str">
        <f aca="false">IF($C9846="","",$D9846*IFERROR(INDEX('تحليل التكلفة والسعر'!$C$2:$C$700,MATCH($C9846,'تحليل التكلفة والسعر'!$B$2:$B$700,0)),0))</f>
        <v/>
      </c>
    </row>
    <row r="9847" customFormat="false" ht="15" hidden="false" customHeight="false" outlineLevel="0" collapsed="false">
      <c r="A9847" s="103"/>
      <c r="B9847" s="104"/>
      <c r="C9847" s="104"/>
      <c r="E9847" s="107" t="str">
        <f aca="false">IF($C9847="","",IFERROR(INDEX(المنيو!$C$2:$C$500,MATCH($C9847,المنيو!$B$2:$B$500,0)),0))</f>
        <v/>
      </c>
      <c r="F9847" s="107" t="str">
        <f aca="false">IF($C9847="","",$D9847*$E9847)</f>
        <v/>
      </c>
      <c r="G9847" s="107" t="str">
        <f aca="false">IF($C9847="","",$D9847*IFERROR(INDEX('تحليل التكلفة والسعر'!$C$2:$C$700,MATCH($C9847,'تحليل التكلفة والسعر'!$B$2:$B$700,0)),0))</f>
        <v/>
      </c>
    </row>
    <row r="9848" customFormat="false" ht="15" hidden="false" customHeight="false" outlineLevel="0" collapsed="false">
      <c r="A9848" s="103"/>
      <c r="B9848" s="104"/>
      <c r="C9848" s="104"/>
      <c r="E9848" s="107" t="str">
        <f aca="false">IF($C9848="","",IFERROR(INDEX(المنيو!$C$2:$C$500,MATCH($C9848,المنيو!$B$2:$B$500,0)),0))</f>
        <v/>
      </c>
      <c r="F9848" s="107" t="str">
        <f aca="false">IF($C9848="","",$D9848*$E9848)</f>
        <v/>
      </c>
      <c r="G9848" s="107" t="str">
        <f aca="false">IF($C9848="","",$D9848*IFERROR(INDEX('تحليل التكلفة والسعر'!$C$2:$C$700,MATCH($C9848,'تحليل التكلفة والسعر'!$B$2:$B$700,0)),0))</f>
        <v/>
      </c>
    </row>
    <row r="9849" customFormat="false" ht="15" hidden="false" customHeight="false" outlineLevel="0" collapsed="false">
      <c r="A9849" s="103"/>
      <c r="B9849" s="104"/>
      <c r="C9849" s="104"/>
      <c r="E9849" s="107" t="str">
        <f aca="false">IF($C9849="","",IFERROR(INDEX(المنيو!$C$2:$C$500,MATCH($C9849,المنيو!$B$2:$B$500,0)),0))</f>
        <v/>
      </c>
      <c r="F9849" s="107" t="str">
        <f aca="false">IF($C9849="","",$D9849*$E9849)</f>
        <v/>
      </c>
      <c r="G9849" s="107" t="str">
        <f aca="false">IF($C9849="","",$D9849*IFERROR(INDEX('تحليل التكلفة والسعر'!$C$2:$C$700,MATCH($C9849,'تحليل التكلفة والسعر'!$B$2:$B$700,0)),0))</f>
        <v/>
      </c>
    </row>
    <row r="9850" customFormat="false" ht="15" hidden="false" customHeight="false" outlineLevel="0" collapsed="false">
      <c r="A9850" s="103"/>
      <c r="B9850" s="104"/>
      <c r="C9850" s="104"/>
      <c r="E9850" s="107" t="str">
        <f aca="false">IF($C9850="","",IFERROR(INDEX(المنيو!$C$2:$C$500,MATCH($C9850,المنيو!$B$2:$B$500,0)),0))</f>
        <v/>
      </c>
      <c r="F9850" s="107" t="str">
        <f aca="false">IF($C9850="","",$D9850*$E9850)</f>
        <v/>
      </c>
      <c r="G9850" s="107" t="str">
        <f aca="false">IF($C9850="","",$D9850*IFERROR(INDEX('تحليل التكلفة والسعر'!$C$2:$C$700,MATCH($C9850,'تحليل التكلفة والسعر'!$B$2:$B$700,0)),0))</f>
        <v/>
      </c>
    </row>
    <row r="9851" customFormat="false" ht="15" hidden="false" customHeight="false" outlineLevel="0" collapsed="false">
      <c r="A9851" s="103"/>
      <c r="B9851" s="104"/>
      <c r="C9851" s="104"/>
      <c r="E9851" s="107" t="str">
        <f aca="false">IF($C9851="","",IFERROR(INDEX(المنيو!$C$2:$C$500,MATCH($C9851,المنيو!$B$2:$B$500,0)),0))</f>
        <v/>
      </c>
      <c r="F9851" s="107" t="str">
        <f aca="false">IF($C9851="","",$D9851*$E9851)</f>
        <v/>
      </c>
      <c r="G9851" s="107" t="str">
        <f aca="false">IF($C9851="","",$D9851*IFERROR(INDEX('تحليل التكلفة والسعر'!$C$2:$C$700,MATCH($C9851,'تحليل التكلفة والسعر'!$B$2:$B$700,0)),0))</f>
        <v/>
      </c>
    </row>
    <row r="9852" customFormat="false" ht="15" hidden="false" customHeight="false" outlineLevel="0" collapsed="false">
      <c r="A9852" s="103"/>
      <c r="B9852" s="104"/>
      <c r="C9852" s="104"/>
      <c r="E9852" s="107" t="str">
        <f aca="false">IF($C9852="","",IFERROR(INDEX(المنيو!$C$2:$C$500,MATCH($C9852,المنيو!$B$2:$B$500,0)),0))</f>
        <v/>
      </c>
      <c r="F9852" s="107" t="str">
        <f aca="false">IF($C9852="","",$D9852*$E9852)</f>
        <v/>
      </c>
      <c r="G9852" s="107" t="str">
        <f aca="false">IF($C9852="","",$D9852*IFERROR(INDEX('تحليل التكلفة والسعر'!$C$2:$C$700,MATCH($C9852,'تحليل التكلفة والسعر'!$B$2:$B$700,0)),0))</f>
        <v/>
      </c>
    </row>
    <row r="9853" customFormat="false" ht="15" hidden="false" customHeight="false" outlineLevel="0" collapsed="false">
      <c r="A9853" s="103"/>
      <c r="B9853" s="104"/>
      <c r="C9853" s="104"/>
      <c r="E9853" s="107" t="str">
        <f aca="false">IF($C9853="","",IFERROR(INDEX(المنيو!$C$2:$C$500,MATCH($C9853,المنيو!$B$2:$B$500,0)),0))</f>
        <v/>
      </c>
      <c r="F9853" s="107" t="str">
        <f aca="false">IF($C9853="","",$D9853*$E9853)</f>
        <v/>
      </c>
      <c r="G9853" s="107" t="str">
        <f aca="false">IF($C9853="","",$D9853*IFERROR(INDEX('تحليل التكلفة والسعر'!$C$2:$C$700,MATCH($C9853,'تحليل التكلفة والسعر'!$B$2:$B$700,0)),0))</f>
        <v/>
      </c>
    </row>
    <row r="9854" customFormat="false" ht="15" hidden="false" customHeight="false" outlineLevel="0" collapsed="false">
      <c r="A9854" s="103"/>
      <c r="B9854" s="104"/>
      <c r="C9854" s="104"/>
      <c r="E9854" s="107" t="str">
        <f aca="false">IF($C9854="","",IFERROR(INDEX(المنيو!$C$2:$C$500,MATCH($C9854,المنيو!$B$2:$B$500,0)),0))</f>
        <v/>
      </c>
      <c r="F9854" s="107" t="str">
        <f aca="false">IF($C9854="","",$D9854*$E9854)</f>
        <v/>
      </c>
      <c r="G9854" s="107" t="str">
        <f aca="false">IF($C9854="","",$D9854*IFERROR(INDEX('تحليل التكلفة والسعر'!$C$2:$C$700,MATCH($C9854,'تحليل التكلفة والسعر'!$B$2:$B$700,0)),0))</f>
        <v/>
      </c>
    </row>
    <row r="9855" customFormat="false" ht="15" hidden="false" customHeight="false" outlineLevel="0" collapsed="false">
      <c r="A9855" s="103"/>
      <c r="B9855" s="104"/>
      <c r="C9855" s="104"/>
      <c r="E9855" s="107" t="str">
        <f aca="false">IF($C9855="","",IFERROR(INDEX(المنيو!$C$2:$C$500,MATCH($C9855,المنيو!$B$2:$B$500,0)),0))</f>
        <v/>
      </c>
      <c r="F9855" s="107" t="str">
        <f aca="false">IF($C9855="","",$D9855*$E9855)</f>
        <v/>
      </c>
      <c r="G9855" s="107" t="str">
        <f aca="false">IF($C9855="","",$D9855*IFERROR(INDEX('تحليل التكلفة والسعر'!$C$2:$C$700,MATCH($C9855,'تحليل التكلفة والسعر'!$B$2:$B$700,0)),0))</f>
        <v/>
      </c>
    </row>
    <row r="9856" customFormat="false" ht="15" hidden="false" customHeight="false" outlineLevel="0" collapsed="false">
      <c r="A9856" s="103"/>
      <c r="B9856" s="104"/>
      <c r="C9856" s="104"/>
      <c r="E9856" s="107" t="str">
        <f aca="false">IF($C9856="","",IFERROR(INDEX(المنيو!$C$2:$C$500,MATCH($C9856,المنيو!$B$2:$B$500,0)),0))</f>
        <v/>
      </c>
      <c r="F9856" s="107" t="str">
        <f aca="false">IF($C9856="","",$D9856*$E9856)</f>
        <v/>
      </c>
      <c r="G9856" s="107" t="str">
        <f aca="false">IF($C9856="","",$D9856*IFERROR(INDEX('تحليل التكلفة والسعر'!$C$2:$C$700,MATCH($C9856,'تحليل التكلفة والسعر'!$B$2:$B$700,0)),0))</f>
        <v/>
      </c>
    </row>
    <row r="9857" customFormat="false" ht="15" hidden="false" customHeight="false" outlineLevel="0" collapsed="false">
      <c r="A9857" s="103"/>
      <c r="B9857" s="104"/>
      <c r="C9857" s="104"/>
      <c r="E9857" s="107" t="str">
        <f aca="false">IF($C9857="","",IFERROR(INDEX(المنيو!$C$2:$C$500,MATCH($C9857,المنيو!$B$2:$B$500,0)),0))</f>
        <v/>
      </c>
      <c r="F9857" s="107" t="str">
        <f aca="false">IF($C9857="","",$D9857*$E9857)</f>
        <v/>
      </c>
      <c r="G9857" s="107" t="str">
        <f aca="false">IF($C9857="","",$D9857*IFERROR(INDEX('تحليل التكلفة والسعر'!$C$2:$C$700,MATCH($C9857,'تحليل التكلفة والسعر'!$B$2:$B$700,0)),0))</f>
        <v/>
      </c>
    </row>
    <row r="9858" customFormat="false" ht="15" hidden="false" customHeight="false" outlineLevel="0" collapsed="false">
      <c r="A9858" s="103"/>
      <c r="B9858" s="104"/>
      <c r="C9858" s="104"/>
      <c r="E9858" s="107" t="str">
        <f aca="false">IF($C9858="","",IFERROR(INDEX(المنيو!$C$2:$C$500,MATCH($C9858,المنيو!$B$2:$B$500,0)),0))</f>
        <v/>
      </c>
      <c r="F9858" s="107" t="str">
        <f aca="false">IF($C9858="","",$D9858*$E9858)</f>
        <v/>
      </c>
      <c r="G9858" s="107" t="str">
        <f aca="false">IF($C9858="","",$D9858*IFERROR(INDEX('تحليل التكلفة والسعر'!$C$2:$C$700,MATCH($C9858,'تحليل التكلفة والسعر'!$B$2:$B$700,0)),0))</f>
        <v/>
      </c>
    </row>
    <row r="9859" customFormat="false" ht="15" hidden="false" customHeight="false" outlineLevel="0" collapsed="false">
      <c r="A9859" s="103"/>
      <c r="B9859" s="104"/>
      <c r="C9859" s="104"/>
      <c r="E9859" s="107" t="str">
        <f aca="false">IF($C9859="","",IFERROR(INDEX(المنيو!$C$2:$C$500,MATCH($C9859,المنيو!$B$2:$B$500,0)),0))</f>
        <v/>
      </c>
      <c r="F9859" s="107" t="str">
        <f aca="false">IF($C9859="","",$D9859*$E9859)</f>
        <v/>
      </c>
      <c r="G9859" s="107" t="str">
        <f aca="false">IF($C9859="","",$D9859*IFERROR(INDEX('تحليل التكلفة والسعر'!$C$2:$C$700,MATCH($C9859,'تحليل التكلفة والسعر'!$B$2:$B$700,0)),0))</f>
        <v/>
      </c>
    </row>
    <row r="9860" customFormat="false" ht="15" hidden="false" customHeight="false" outlineLevel="0" collapsed="false">
      <c r="A9860" s="103"/>
      <c r="B9860" s="104"/>
      <c r="C9860" s="104"/>
      <c r="E9860" s="107" t="str">
        <f aca="false">IF($C9860="","",IFERROR(INDEX(المنيو!$C$2:$C$500,MATCH($C9860,المنيو!$B$2:$B$500,0)),0))</f>
        <v/>
      </c>
      <c r="F9860" s="107" t="str">
        <f aca="false">IF($C9860="","",$D9860*$E9860)</f>
        <v/>
      </c>
      <c r="G9860" s="107" t="str">
        <f aca="false">IF($C9860="","",$D9860*IFERROR(INDEX('تحليل التكلفة والسعر'!$C$2:$C$700,MATCH($C9860,'تحليل التكلفة والسعر'!$B$2:$B$700,0)),0))</f>
        <v/>
      </c>
    </row>
    <row r="9861" customFormat="false" ht="15" hidden="false" customHeight="false" outlineLevel="0" collapsed="false">
      <c r="A9861" s="103"/>
      <c r="B9861" s="104"/>
      <c r="C9861" s="104"/>
      <c r="E9861" s="107" t="str">
        <f aca="false">IF($C9861="","",IFERROR(INDEX(المنيو!$C$2:$C$500,MATCH($C9861,المنيو!$B$2:$B$500,0)),0))</f>
        <v/>
      </c>
      <c r="F9861" s="107" t="str">
        <f aca="false">IF($C9861="","",$D9861*$E9861)</f>
        <v/>
      </c>
      <c r="G9861" s="107" t="str">
        <f aca="false">IF($C9861="","",$D9861*IFERROR(INDEX('تحليل التكلفة والسعر'!$C$2:$C$700,MATCH($C9861,'تحليل التكلفة والسعر'!$B$2:$B$700,0)),0))</f>
        <v/>
      </c>
    </row>
    <row r="9862" customFormat="false" ht="15" hidden="false" customHeight="false" outlineLevel="0" collapsed="false">
      <c r="A9862" s="103"/>
      <c r="B9862" s="104"/>
      <c r="C9862" s="104"/>
      <c r="E9862" s="107" t="str">
        <f aca="false">IF($C9862="","",IFERROR(INDEX(المنيو!$C$2:$C$500,MATCH($C9862,المنيو!$B$2:$B$500,0)),0))</f>
        <v/>
      </c>
      <c r="F9862" s="107" t="str">
        <f aca="false">IF($C9862="","",$D9862*$E9862)</f>
        <v/>
      </c>
      <c r="G9862" s="107" t="str">
        <f aca="false">IF($C9862="","",$D9862*IFERROR(INDEX('تحليل التكلفة والسعر'!$C$2:$C$700,MATCH($C9862,'تحليل التكلفة والسعر'!$B$2:$B$700,0)),0))</f>
        <v/>
      </c>
    </row>
    <row r="9863" customFormat="false" ht="15" hidden="false" customHeight="false" outlineLevel="0" collapsed="false">
      <c r="A9863" s="103"/>
      <c r="B9863" s="104"/>
      <c r="C9863" s="104"/>
      <c r="E9863" s="107" t="str">
        <f aca="false">IF($C9863="","",IFERROR(INDEX(المنيو!$C$2:$C$500,MATCH($C9863,المنيو!$B$2:$B$500,0)),0))</f>
        <v/>
      </c>
      <c r="F9863" s="107" t="str">
        <f aca="false">IF($C9863="","",$D9863*$E9863)</f>
        <v/>
      </c>
      <c r="G9863" s="107" t="str">
        <f aca="false">IF($C9863="","",$D9863*IFERROR(INDEX('تحليل التكلفة والسعر'!$C$2:$C$700,MATCH($C9863,'تحليل التكلفة والسعر'!$B$2:$B$700,0)),0))</f>
        <v/>
      </c>
    </row>
    <row r="9864" customFormat="false" ht="15" hidden="false" customHeight="false" outlineLevel="0" collapsed="false">
      <c r="A9864" s="103"/>
      <c r="B9864" s="104"/>
      <c r="C9864" s="104"/>
      <c r="E9864" s="107" t="str">
        <f aca="false">IF($C9864="","",IFERROR(INDEX(المنيو!$C$2:$C$500,MATCH($C9864,المنيو!$B$2:$B$500,0)),0))</f>
        <v/>
      </c>
      <c r="F9864" s="107" t="str">
        <f aca="false">IF($C9864="","",$D9864*$E9864)</f>
        <v/>
      </c>
      <c r="G9864" s="107" t="str">
        <f aca="false">IF($C9864="","",$D9864*IFERROR(INDEX('تحليل التكلفة والسعر'!$C$2:$C$700,MATCH($C9864,'تحليل التكلفة والسعر'!$B$2:$B$700,0)),0))</f>
        <v/>
      </c>
    </row>
    <row r="9865" customFormat="false" ht="15" hidden="false" customHeight="false" outlineLevel="0" collapsed="false">
      <c r="A9865" s="103"/>
      <c r="B9865" s="104"/>
      <c r="C9865" s="104"/>
      <c r="E9865" s="107" t="str">
        <f aca="false">IF($C9865="","",IFERROR(INDEX(المنيو!$C$2:$C$500,MATCH($C9865,المنيو!$B$2:$B$500,0)),0))</f>
        <v/>
      </c>
      <c r="F9865" s="107" t="str">
        <f aca="false">IF($C9865="","",$D9865*$E9865)</f>
        <v/>
      </c>
      <c r="G9865" s="107" t="str">
        <f aca="false">IF($C9865="","",$D9865*IFERROR(INDEX('تحليل التكلفة والسعر'!$C$2:$C$700,MATCH($C9865,'تحليل التكلفة والسعر'!$B$2:$B$700,0)),0))</f>
        <v/>
      </c>
    </row>
    <row r="9866" customFormat="false" ht="15" hidden="false" customHeight="false" outlineLevel="0" collapsed="false">
      <c r="A9866" s="103"/>
      <c r="B9866" s="104"/>
      <c r="C9866" s="104"/>
      <c r="E9866" s="107" t="str">
        <f aca="false">IF($C9866="","",IFERROR(INDEX(المنيو!$C$2:$C$500,MATCH($C9866,المنيو!$B$2:$B$500,0)),0))</f>
        <v/>
      </c>
      <c r="F9866" s="107" t="str">
        <f aca="false">IF($C9866="","",$D9866*$E9866)</f>
        <v/>
      </c>
      <c r="G9866" s="107" t="str">
        <f aca="false">IF($C9866="","",$D9866*IFERROR(INDEX('تحليل التكلفة والسعر'!$C$2:$C$700,MATCH($C9866,'تحليل التكلفة والسعر'!$B$2:$B$700,0)),0))</f>
        <v/>
      </c>
    </row>
    <row r="9867" customFormat="false" ht="15" hidden="false" customHeight="false" outlineLevel="0" collapsed="false">
      <c r="A9867" s="103"/>
      <c r="B9867" s="104"/>
      <c r="C9867" s="104"/>
      <c r="E9867" s="107" t="str">
        <f aca="false">IF($C9867="","",IFERROR(INDEX(المنيو!$C$2:$C$500,MATCH($C9867,المنيو!$B$2:$B$500,0)),0))</f>
        <v/>
      </c>
      <c r="F9867" s="107" t="str">
        <f aca="false">IF($C9867="","",$D9867*$E9867)</f>
        <v/>
      </c>
      <c r="G9867" s="107" t="str">
        <f aca="false">IF($C9867="","",$D9867*IFERROR(INDEX('تحليل التكلفة والسعر'!$C$2:$C$700,MATCH($C9867,'تحليل التكلفة والسعر'!$B$2:$B$700,0)),0))</f>
        <v/>
      </c>
    </row>
    <row r="9868" customFormat="false" ht="15" hidden="false" customHeight="false" outlineLevel="0" collapsed="false">
      <c r="A9868" s="103"/>
      <c r="B9868" s="104"/>
      <c r="C9868" s="104"/>
      <c r="E9868" s="107" t="str">
        <f aca="false">IF($C9868="","",IFERROR(INDEX(المنيو!$C$2:$C$500,MATCH($C9868,المنيو!$B$2:$B$500,0)),0))</f>
        <v/>
      </c>
      <c r="F9868" s="107" t="str">
        <f aca="false">IF($C9868="","",$D9868*$E9868)</f>
        <v/>
      </c>
      <c r="G9868" s="107" t="str">
        <f aca="false">IF($C9868="","",$D9868*IFERROR(INDEX('تحليل التكلفة والسعر'!$C$2:$C$700,MATCH($C9868,'تحليل التكلفة والسعر'!$B$2:$B$700,0)),0))</f>
        <v/>
      </c>
    </row>
    <row r="9869" customFormat="false" ht="15" hidden="false" customHeight="false" outlineLevel="0" collapsed="false">
      <c r="A9869" s="103"/>
      <c r="B9869" s="104"/>
      <c r="C9869" s="104"/>
      <c r="E9869" s="107" t="str">
        <f aca="false">IF($C9869="","",IFERROR(INDEX(المنيو!$C$2:$C$500,MATCH($C9869,المنيو!$B$2:$B$500,0)),0))</f>
        <v/>
      </c>
      <c r="F9869" s="107" t="str">
        <f aca="false">IF($C9869="","",$D9869*$E9869)</f>
        <v/>
      </c>
      <c r="G9869" s="107" t="str">
        <f aca="false">IF($C9869="","",$D9869*IFERROR(INDEX('تحليل التكلفة والسعر'!$C$2:$C$700,MATCH($C9869,'تحليل التكلفة والسعر'!$B$2:$B$700,0)),0))</f>
        <v/>
      </c>
    </row>
    <row r="9870" customFormat="false" ht="15" hidden="false" customHeight="false" outlineLevel="0" collapsed="false">
      <c r="A9870" s="103"/>
      <c r="B9870" s="104"/>
      <c r="C9870" s="104"/>
      <c r="E9870" s="107" t="str">
        <f aca="false">IF($C9870="","",IFERROR(INDEX(المنيو!$C$2:$C$500,MATCH($C9870,المنيو!$B$2:$B$500,0)),0))</f>
        <v/>
      </c>
      <c r="F9870" s="107" t="str">
        <f aca="false">IF($C9870="","",$D9870*$E9870)</f>
        <v/>
      </c>
      <c r="G9870" s="107" t="str">
        <f aca="false">IF($C9870="","",$D9870*IFERROR(INDEX('تحليل التكلفة والسعر'!$C$2:$C$700,MATCH($C9870,'تحليل التكلفة والسعر'!$B$2:$B$700,0)),0))</f>
        <v/>
      </c>
    </row>
    <row r="9871" customFormat="false" ht="15" hidden="false" customHeight="false" outlineLevel="0" collapsed="false">
      <c r="A9871" s="103"/>
      <c r="B9871" s="104"/>
      <c r="C9871" s="104"/>
      <c r="E9871" s="107" t="str">
        <f aca="false">IF($C9871="","",IFERROR(INDEX(المنيو!$C$2:$C$500,MATCH($C9871,المنيو!$B$2:$B$500,0)),0))</f>
        <v/>
      </c>
      <c r="F9871" s="107" t="str">
        <f aca="false">IF($C9871="","",$D9871*$E9871)</f>
        <v/>
      </c>
      <c r="G9871" s="107" t="str">
        <f aca="false">IF($C9871="","",$D9871*IFERROR(INDEX('تحليل التكلفة والسعر'!$C$2:$C$700,MATCH($C9871,'تحليل التكلفة والسعر'!$B$2:$B$700,0)),0))</f>
        <v/>
      </c>
    </row>
    <row r="9872" customFormat="false" ht="15" hidden="false" customHeight="false" outlineLevel="0" collapsed="false">
      <c r="A9872" s="103"/>
      <c r="B9872" s="104"/>
      <c r="C9872" s="104"/>
      <c r="E9872" s="107" t="str">
        <f aca="false">IF($C9872="","",IFERROR(INDEX(المنيو!$C$2:$C$500,MATCH($C9872,المنيو!$B$2:$B$500,0)),0))</f>
        <v/>
      </c>
      <c r="F9872" s="107" t="str">
        <f aca="false">IF($C9872="","",$D9872*$E9872)</f>
        <v/>
      </c>
      <c r="G9872" s="107" t="str">
        <f aca="false">IF($C9872="","",$D9872*IFERROR(INDEX('تحليل التكلفة والسعر'!$C$2:$C$700,MATCH($C9872,'تحليل التكلفة والسعر'!$B$2:$B$700,0)),0))</f>
        <v/>
      </c>
    </row>
    <row r="9873" customFormat="false" ht="15" hidden="false" customHeight="false" outlineLevel="0" collapsed="false">
      <c r="A9873" s="103"/>
      <c r="B9873" s="104"/>
      <c r="C9873" s="104"/>
      <c r="E9873" s="107" t="str">
        <f aca="false">IF($C9873="","",IFERROR(INDEX(المنيو!$C$2:$C$500,MATCH($C9873,المنيو!$B$2:$B$500,0)),0))</f>
        <v/>
      </c>
      <c r="F9873" s="107" t="str">
        <f aca="false">IF($C9873="","",$D9873*$E9873)</f>
        <v/>
      </c>
      <c r="G9873" s="107" t="str">
        <f aca="false">IF($C9873="","",$D9873*IFERROR(INDEX('تحليل التكلفة والسعر'!$C$2:$C$700,MATCH($C9873,'تحليل التكلفة والسعر'!$B$2:$B$700,0)),0))</f>
        <v/>
      </c>
    </row>
    <row r="9874" customFormat="false" ht="15" hidden="false" customHeight="false" outlineLevel="0" collapsed="false">
      <c r="A9874" s="103"/>
      <c r="B9874" s="104"/>
      <c r="C9874" s="104"/>
      <c r="E9874" s="107" t="str">
        <f aca="false">IF($C9874="","",IFERROR(INDEX(المنيو!$C$2:$C$500,MATCH($C9874,المنيو!$B$2:$B$500,0)),0))</f>
        <v/>
      </c>
      <c r="F9874" s="107" t="str">
        <f aca="false">IF($C9874="","",$D9874*$E9874)</f>
        <v/>
      </c>
      <c r="G9874" s="107" t="str">
        <f aca="false">IF($C9874="","",$D9874*IFERROR(INDEX('تحليل التكلفة والسعر'!$C$2:$C$700,MATCH($C9874,'تحليل التكلفة والسعر'!$B$2:$B$700,0)),0))</f>
        <v/>
      </c>
    </row>
    <row r="9875" customFormat="false" ht="15" hidden="false" customHeight="false" outlineLevel="0" collapsed="false">
      <c r="A9875" s="103"/>
      <c r="B9875" s="104"/>
      <c r="C9875" s="104"/>
      <c r="E9875" s="107" t="str">
        <f aca="false">IF($C9875="","",IFERROR(INDEX(المنيو!$C$2:$C$500,MATCH($C9875,المنيو!$B$2:$B$500,0)),0))</f>
        <v/>
      </c>
      <c r="F9875" s="107" t="str">
        <f aca="false">IF($C9875="","",$D9875*$E9875)</f>
        <v/>
      </c>
      <c r="G9875" s="107" t="str">
        <f aca="false">IF($C9875="","",$D9875*IFERROR(INDEX('تحليل التكلفة والسعر'!$C$2:$C$700,MATCH($C9875,'تحليل التكلفة والسعر'!$B$2:$B$700,0)),0))</f>
        <v/>
      </c>
    </row>
    <row r="9876" customFormat="false" ht="15" hidden="false" customHeight="false" outlineLevel="0" collapsed="false">
      <c r="A9876" s="103"/>
      <c r="B9876" s="104"/>
      <c r="C9876" s="104"/>
      <c r="E9876" s="107" t="str">
        <f aca="false">IF($C9876="","",IFERROR(INDEX(المنيو!$C$2:$C$500,MATCH($C9876,المنيو!$B$2:$B$500,0)),0))</f>
        <v/>
      </c>
      <c r="F9876" s="107" t="str">
        <f aca="false">IF($C9876="","",$D9876*$E9876)</f>
        <v/>
      </c>
      <c r="G9876" s="107" t="str">
        <f aca="false">IF($C9876="","",$D9876*IFERROR(INDEX('تحليل التكلفة والسعر'!$C$2:$C$700,MATCH($C9876,'تحليل التكلفة والسعر'!$B$2:$B$700,0)),0))</f>
        <v/>
      </c>
    </row>
    <row r="9877" customFormat="false" ht="15" hidden="false" customHeight="false" outlineLevel="0" collapsed="false">
      <c r="A9877" s="103"/>
      <c r="B9877" s="104"/>
      <c r="C9877" s="104"/>
      <c r="E9877" s="107" t="str">
        <f aca="false">IF($C9877="","",IFERROR(INDEX(المنيو!$C$2:$C$500,MATCH($C9877,المنيو!$B$2:$B$500,0)),0))</f>
        <v/>
      </c>
      <c r="F9877" s="107" t="str">
        <f aca="false">IF($C9877="","",$D9877*$E9877)</f>
        <v/>
      </c>
      <c r="G9877" s="107" t="str">
        <f aca="false">IF($C9877="","",$D9877*IFERROR(INDEX('تحليل التكلفة والسعر'!$C$2:$C$700,MATCH($C9877,'تحليل التكلفة والسعر'!$B$2:$B$700,0)),0))</f>
        <v/>
      </c>
    </row>
    <row r="9878" customFormat="false" ht="15" hidden="false" customHeight="false" outlineLevel="0" collapsed="false">
      <c r="A9878" s="103"/>
      <c r="B9878" s="104"/>
      <c r="C9878" s="104"/>
      <c r="E9878" s="107" t="str">
        <f aca="false">IF($C9878="","",IFERROR(INDEX(المنيو!$C$2:$C$500,MATCH($C9878,المنيو!$B$2:$B$500,0)),0))</f>
        <v/>
      </c>
      <c r="F9878" s="107" t="str">
        <f aca="false">IF($C9878="","",$D9878*$E9878)</f>
        <v/>
      </c>
      <c r="G9878" s="107" t="str">
        <f aca="false">IF($C9878="","",$D9878*IFERROR(INDEX('تحليل التكلفة والسعر'!$C$2:$C$700,MATCH($C9878,'تحليل التكلفة والسعر'!$B$2:$B$700,0)),0))</f>
        <v/>
      </c>
    </row>
    <row r="9879" customFormat="false" ht="15" hidden="false" customHeight="false" outlineLevel="0" collapsed="false">
      <c r="A9879" s="103"/>
      <c r="B9879" s="104"/>
      <c r="C9879" s="104"/>
      <c r="E9879" s="107" t="str">
        <f aca="false">IF($C9879="","",IFERROR(INDEX(المنيو!$C$2:$C$500,MATCH($C9879,المنيو!$B$2:$B$500,0)),0))</f>
        <v/>
      </c>
      <c r="F9879" s="107" t="str">
        <f aca="false">IF($C9879="","",$D9879*$E9879)</f>
        <v/>
      </c>
      <c r="G9879" s="107" t="str">
        <f aca="false">IF($C9879="","",$D9879*IFERROR(INDEX('تحليل التكلفة والسعر'!$C$2:$C$700,MATCH($C9879,'تحليل التكلفة والسعر'!$B$2:$B$700,0)),0))</f>
        <v/>
      </c>
    </row>
    <row r="9880" customFormat="false" ht="15" hidden="false" customHeight="false" outlineLevel="0" collapsed="false">
      <c r="A9880" s="103"/>
      <c r="B9880" s="104"/>
      <c r="C9880" s="104"/>
      <c r="E9880" s="107" t="str">
        <f aca="false">IF($C9880="","",IFERROR(INDEX(المنيو!$C$2:$C$500,MATCH($C9880,المنيو!$B$2:$B$500,0)),0))</f>
        <v/>
      </c>
      <c r="F9880" s="107" t="str">
        <f aca="false">IF($C9880="","",$D9880*$E9880)</f>
        <v/>
      </c>
      <c r="G9880" s="107" t="str">
        <f aca="false">IF($C9880="","",$D9880*IFERROR(INDEX('تحليل التكلفة والسعر'!$C$2:$C$700,MATCH($C9880,'تحليل التكلفة والسعر'!$B$2:$B$700,0)),0))</f>
        <v/>
      </c>
    </row>
    <row r="9881" customFormat="false" ht="15" hidden="false" customHeight="false" outlineLevel="0" collapsed="false">
      <c r="A9881" s="103"/>
      <c r="B9881" s="104"/>
      <c r="C9881" s="104"/>
      <c r="E9881" s="107" t="str">
        <f aca="false">IF($C9881="","",IFERROR(INDEX(المنيو!$C$2:$C$500,MATCH($C9881,المنيو!$B$2:$B$500,0)),0))</f>
        <v/>
      </c>
      <c r="F9881" s="107" t="str">
        <f aca="false">IF($C9881="","",$D9881*$E9881)</f>
        <v/>
      </c>
      <c r="G9881" s="107" t="str">
        <f aca="false">IF($C9881="","",$D9881*IFERROR(INDEX('تحليل التكلفة والسعر'!$C$2:$C$700,MATCH($C9881,'تحليل التكلفة والسعر'!$B$2:$B$700,0)),0))</f>
        <v/>
      </c>
    </row>
    <row r="9882" customFormat="false" ht="15" hidden="false" customHeight="false" outlineLevel="0" collapsed="false">
      <c r="A9882" s="103"/>
      <c r="B9882" s="104"/>
      <c r="C9882" s="104"/>
      <c r="E9882" s="107" t="str">
        <f aca="false">IF($C9882="","",IFERROR(INDEX(المنيو!$C$2:$C$500,MATCH($C9882,المنيو!$B$2:$B$500,0)),0))</f>
        <v/>
      </c>
      <c r="F9882" s="107" t="str">
        <f aca="false">IF($C9882="","",$D9882*$E9882)</f>
        <v/>
      </c>
      <c r="G9882" s="107" t="str">
        <f aca="false">IF($C9882="","",$D9882*IFERROR(INDEX('تحليل التكلفة والسعر'!$C$2:$C$700,MATCH($C9882,'تحليل التكلفة والسعر'!$B$2:$B$700,0)),0))</f>
        <v/>
      </c>
    </row>
    <row r="9883" customFormat="false" ht="15" hidden="false" customHeight="false" outlineLevel="0" collapsed="false">
      <c r="A9883" s="103"/>
      <c r="B9883" s="104"/>
      <c r="C9883" s="104"/>
      <c r="E9883" s="107" t="str">
        <f aca="false">IF($C9883="","",IFERROR(INDEX(المنيو!$C$2:$C$500,MATCH($C9883,المنيو!$B$2:$B$500,0)),0))</f>
        <v/>
      </c>
      <c r="F9883" s="107" t="str">
        <f aca="false">IF($C9883="","",$D9883*$E9883)</f>
        <v/>
      </c>
      <c r="G9883" s="107" t="str">
        <f aca="false">IF($C9883="","",$D9883*IFERROR(INDEX('تحليل التكلفة والسعر'!$C$2:$C$700,MATCH($C9883,'تحليل التكلفة والسعر'!$B$2:$B$700,0)),0))</f>
        <v/>
      </c>
    </row>
    <row r="9884" customFormat="false" ht="15" hidden="false" customHeight="false" outlineLevel="0" collapsed="false">
      <c r="A9884" s="103"/>
      <c r="B9884" s="104"/>
      <c r="C9884" s="104"/>
      <c r="E9884" s="107" t="str">
        <f aca="false">IF($C9884="","",IFERROR(INDEX(المنيو!$C$2:$C$500,MATCH($C9884,المنيو!$B$2:$B$500,0)),0))</f>
        <v/>
      </c>
      <c r="F9884" s="107" t="str">
        <f aca="false">IF($C9884="","",$D9884*$E9884)</f>
        <v/>
      </c>
      <c r="G9884" s="107" t="str">
        <f aca="false">IF($C9884="","",$D9884*IFERROR(INDEX('تحليل التكلفة والسعر'!$C$2:$C$700,MATCH($C9884,'تحليل التكلفة والسعر'!$B$2:$B$700,0)),0))</f>
        <v/>
      </c>
    </row>
    <row r="9885" customFormat="false" ht="15" hidden="false" customHeight="false" outlineLevel="0" collapsed="false">
      <c r="A9885" s="103"/>
      <c r="B9885" s="104"/>
      <c r="C9885" s="104"/>
      <c r="E9885" s="107" t="str">
        <f aca="false">IF($C9885="","",IFERROR(INDEX(المنيو!$C$2:$C$500,MATCH($C9885,المنيو!$B$2:$B$500,0)),0))</f>
        <v/>
      </c>
      <c r="F9885" s="107" t="str">
        <f aca="false">IF($C9885="","",$D9885*$E9885)</f>
        <v/>
      </c>
      <c r="G9885" s="107" t="str">
        <f aca="false">IF($C9885="","",$D9885*IFERROR(INDEX('تحليل التكلفة والسعر'!$C$2:$C$700,MATCH($C9885,'تحليل التكلفة والسعر'!$B$2:$B$700,0)),0))</f>
        <v/>
      </c>
    </row>
    <row r="9886" customFormat="false" ht="15" hidden="false" customHeight="false" outlineLevel="0" collapsed="false">
      <c r="A9886" s="103"/>
      <c r="B9886" s="104"/>
      <c r="C9886" s="104"/>
      <c r="E9886" s="107" t="str">
        <f aca="false">IF($C9886="","",IFERROR(INDEX(المنيو!$C$2:$C$500,MATCH($C9886,المنيو!$B$2:$B$500,0)),0))</f>
        <v/>
      </c>
      <c r="F9886" s="107" t="str">
        <f aca="false">IF($C9886="","",$D9886*$E9886)</f>
        <v/>
      </c>
      <c r="G9886" s="107" t="str">
        <f aca="false">IF($C9886="","",$D9886*IFERROR(INDEX('تحليل التكلفة والسعر'!$C$2:$C$700,MATCH($C9886,'تحليل التكلفة والسعر'!$B$2:$B$700,0)),0))</f>
        <v/>
      </c>
    </row>
    <row r="9887" customFormat="false" ht="15" hidden="false" customHeight="false" outlineLevel="0" collapsed="false">
      <c r="A9887" s="103"/>
      <c r="B9887" s="104"/>
      <c r="C9887" s="104"/>
      <c r="E9887" s="107" t="str">
        <f aca="false">IF($C9887="","",IFERROR(INDEX(المنيو!$C$2:$C$500,MATCH($C9887,المنيو!$B$2:$B$500,0)),0))</f>
        <v/>
      </c>
      <c r="F9887" s="107" t="str">
        <f aca="false">IF($C9887="","",$D9887*$E9887)</f>
        <v/>
      </c>
      <c r="G9887" s="107" t="str">
        <f aca="false">IF($C9887="","",$D9887*IFERROR(INDEX('تحليل التكلفة والسعر'!$C$2:$C$700,MATCH($C9887,'تحليل التكلفة والسعر'!$B$2:$B$700,0)),0))</f>
        <v/>
      </c>
    </row>
    <row r="9888" customFormat="false" ht="15" hidden="false" customHeight="false" outlineLevel="0" collapsed="false">
      <c r="A9888" s="103"/>
      <c r="B9888" s="104"/>
      <c r="C9888" s="104"/>
      <c r="E9888" s="107" t="str">
        <f aca="false">IF($C9888="","",IFERROR(INDEX(المنيو!$C$2:$C$500,MATCH($C9888,المنيو!$B$2:$B$500,0)),0))</f>
        <v/>
      </c>
      <c r="F9888" s="107" t="str">
        <f aca="false">IF($C9888="","",$D9888*$E9888)</f>
        <v/>
      </c>
      <c r="G9888" s="107" t="str">
        <f aca="false">IF($C9888="","",$D9888*IFERROR(INDEX('تحليل التكلفة والسعر'!$C$2:$C$700,MATCH($C9888,'تحليل التكلفة والسعر'!$B$2:$B$700,0)),0))</f>
        <v/>
      </c>
    </row>
    <row r="9889" customFormat="false" ht="15" hidden="false" customHeight="false" outlineLevel="0" collapsed="false">
      <c r="A9889" s="103"/>
      <c r="B9889" s="104"/>
      <c r="C9889" s="104"/>
      <c r="E9889" s="107" t="str">
        <f aca="false">IF($C9889="","",IFERROR(INDEX(المنيو!$C$2:$C$500,MATCH($C9889,المنيو!$B$2:$B$500,0)),0))</f>
        <v/>
      </c>
      <c r="F9889" s="107" t="str">
        <f aca="false">IF($C9889="","",$D9889*$E9889)</f>
        <v/>
      </c>
      <c r="G9889" s="107" t="str">
        <f aca="false">IF($C9889="","",$D9889*IFERROR(INDEX('تحليل التكلفة والسعر'!$C$2:$C$700,MATCH($C9889,'تحليل التكلفة والسعر'!$B$2:$B$700,0)),0))</f>
        <v/>
      </c>
    </row>
    <row r="9890" customFormat="false" ht="15" hidden="false" customHeight="false" outlineLevel="0" collapsed="false">
      <c r="A9890" s="103"/>
      <c r="B9890" s="104"/>
      <c r="C9890" s="104"/>
      <c r="E9890" s="107" t="str">
        <f aca="false">IF($C9890="","",IFERROR(INDEX(المنيو!$C$2:$C$500,MATCH($C9890,المنيو!$B$2:$B$500,0)),0))</f>
        <v/>
      </c>
      <c r="F9890" s="107" t="str">
        <f aca="false">IF($C9890="","",$D9890*$E9890)</f>
        <v/>
      </c>
      <c r="G9890" s="107" t="str">
        <f aca="false">IF($C9890="","",$D9890*IFERROR(INDEX('تحليل التكلفة والسعر'!$C$2:$C$700,MATCH($C9890,'تحليل التكلفة والسعر'!$B$2:$B$700,0)),0))</f>
        <v/>
      </c>
    </row>
    <row r="9891" customFormat="false" ht="15" hidden="false" customHeight="false" outlineLevel="0" collapsed="false">
      <c r="A9891" s="103"/>
      <c r="B9891" s="104"/>
      <c r="C9891" s="104"/>
      <c r="E9891" s="107" t="str">
        <f aca="false">IF($C9891="","",IFERROR(INDEX(المنيو!$C$2:$C$500,MATCH($C9891,المنيو!$B$2:$B$500,0)),0))</f>
        <v/>
      </c>
      <c r="F9891" s="107" t="str">
        <f aca="false">IF($C9891="","",$D9891*$E9891)</f>
        <v/>
      </c>
      <c r="G9891" s="107" t="str">
        <f aca="false">IF($C9891="","",$D9891*IFERROR(INDEX('تحليل التكلفة والسعر'!$C$2:$C$700,MATCH($C9891,'تحليل التكلفة والسعر'!$B$2:$B$700,0)),0))</f>
        <v/>
      </c>
    </row>
    <row r="9892" customFormat="false" ht="15" hidden="false" customHeight="false" outlineLevel="0" collapsed="false">
      <c r="A9892" s="103"/>
      <c r="B9892" s="104"/>
      <c r="C9892" s="104"/>
      <c r="E9892" s="107" t="str">
        <f aca="false">IF($C9892="","",IFERROR(INDEX(المنيو!$C$2:$C$500,MATCH($C9892,المنيو!$B$2:$B$500,0)),0))</f>
        <v/>
      </c>
      <c r="F9892" s="107" t="str">
        <f aca="false">IF($C9892="","",$D9892*$E9892)</f>
        <v/>
      </c>
      <c r="G9892" s="107" t="str">
        <f aca="false">IF($C9892="","",$D9892*IFERROR(INDEX('تحليل التكلفة والسعر'!$C$2:$C$700,MATCH($C9892,'تحليل التكلفة والسعر'!$B$2:$B$700,0)),0))</f>
        <v/>
      </c>
    </row>
    <row r="9893" customFormat="false" ht="15" hidden="false" customHeight="false" outlineLevel="0" collapsed="false">
      <c r="A9893" s="103"/>
      <c r="B9893" s="104"/>
      <c r="C9893" s="104"/>
      <c r="E9893" s="107" t="str">
        <f aca="false">IF($C9893="","",IFERROR(INDEX(المنيو!$C$2:$C$500,MATCH($C9893,المنيو!$B$2:$B$500,0)),0))</f>
        <v/>
      </c>
      <c r="F9893" s="107" t="str">
        <f aca="false">IF($C9893="","",$D9893*$E9893)</f>
        <v/>
      </c>
      <c r="G9893" s="107" t="str">
        <f aca="false">IF($C9893="","",$D9893*IFERROR(INDEX('تحليل التكلفة والسعر'!$C$2:$C$700,MATCH($C9893,'تحليل التكلفة والسعر'!$B$2:$B$700,0)),0))</f>
        <v/>
      </c>
    </row>
    <row r="9894" customFormat="false" ht="15" hidden="false" customHeight="false" outlineLevel="0" collapsed="false">
      <c r="A9894" s="103"/>
      <c r="B9894" s="104"/>
      <c r="C9894" s="104"/>
      <c r="E9894" s="107" t="str">
        <f aca="false">IF($C9894="","",IFERROR(INDEX(المنيو!$C$2:$C$500,MATCH($C9894,المنيو!$B$2:$B$500,0)),0))</f>
        <v/>
      </c>
      <c r="F9894" s="107" t="str">
        <f aca="false">IF($C9894="","",$D9894*$E9894)</f>
        <v/>
      </c>
      <c r="G9894" s="107" t="str">
        <f aca="false">IF($C9894="","",$D9894*IFERROR(INDEX('تحليل التكلفة والسعر'!$C$2:$C$700,MATCH($C9894,'تحليل التكلفة والسعر'!$B$2:$B$700,0)),0))</f>
        <v/>
      </c>
    </row>
    <row r="9895" customFormat="false" ht="15" hidden="false" customHeight="false" outlineLevel="0" collapsed="false">
      <c r="A9895" s="103"/>
      <c r="B9895" s="104"/>
      <c r="C9895" s="104"/>
      <c r="E9895" s="107" t="str">
        <f aca="false">IF($C9895="","",IFERROR(INDEX(المنيو!$C$2:$C$500,MATCH($C9895,المنيو!$B$2:$B$500,0)),0))</f>
        <v/>
      </c>
      <c r="F9895" s="107" t="str">
        <f aca="false">IF($C9895="","",$D9895*$E9895)</f>
        <v/>
      </c>
      <c r="G9895" s="107" t="str">
        <f aca="false">IF($C9895="","",$D9895*IFERROR(INDEX('تحليل التكلفة والسعر'!$C$2:$C$700,MATCH($C9895,'تحليل التكلفة والسعر'!$B$2:$B$700,0)),0))</f>
        <v/>
      </c>
    </row>
    <row r="9896" customFormat="false" ht="15" hidden="false" customHeight="false" outlineLevel="0" collapsed="false">
      <c r="A9896" s="103"/>
      <c r="B9896" s="104"/>
      <c r="C9896" s="104"/>
      <c r="E9896" s="107" t="str">
        <f aca="false">IF($C9896="","",IFERROR(INDEX(المنيو!$C$2:$C$500,MATCH($C9896,المنيو!$B$2:$B$500,0)),0))</f>
        <v/>
      </c>
      <c r="F9896" s="107" t="str">
        <f aca="false">IF($C9896="","",$D9896*$E9896)</f>
        <v/>
      </c>
      <c r="G9896" s="107" t="str">
        <f aca="false">IF($C9896="","",$D9896*IFERROR(INDEX('تحليل التكلفة والسعر'!$C$2:$C$700,MATCH($C9896,'تحليل التكلفة والسعر'!$B$2:$B$700,0)),0))</f>
        <v/>
      </c>
    </row>
    <row r="9897" customFormat="false" ht="15" hidden="false" customHeight="false" outlineLevel="0" collapsed="false">
      <c r="A9897" s="103"/>
      <c r="B9897" s="104"/>
      <c r="C9897" s="104"/>
      <c r="E9897" s="107" t="str">
        <f aca="false">IF($C9897="","",IFERROR(INDEX(المنيو!$C$2:$C$500,MATCH($C9897,المنيو!$B$2:$B$500,0)),0))</f>
        <v/>
      </c>
      <c r="F9897" s="107" t="str">
        <f aca="false">IF($C9897="","",$D9897*$E9897)</f>
        <v/>
      </c>
      <c r="G9897" s="107" t="str">
        <f aca="false">IF($C9897="","",$D9897*IFERROR(INDEX('تحليل التكلفة والسعر'!$C$2:$C$700,MATCH($C9897,'تحليل التكلفة والسعر'!$B$2:$B$700,0)),0))</f>
        <v/>
      </c>
    </row>
    <row r="9898" customFormat="false" ht="15" hidden="false" customHeight="false" outlineLevel="0" collapsed="false">
      <c r="A9898" s="103"/>
      <c r="B9898" s="104"/>
      <c r="C9898" s="104"/>
      <c r="E9898" s="107" t="str">
        <f aca="false">IF($C9898="","",IFERROR(INDEX(المنيو!$C$2:$C$500,MATCH($C9898,المنيو!$B$2:$B$500,0)),0))</f>
        <v/>
      </c>
      <c r="F9898" s="107" t="str">
        <f aca="false">IF($C9898="","",$D9898*$E9898)</f>
        <v/>
      </c>
      <c r="G9898" s="107" t="str">
        <f aca="false">IF($C9898="","",$D9898*IFERROR(INDEX('تحليل التكلفة والسعر'!$C$2:$C$700,MATCH($C9898,'تحليل التكلفة والسعر'!$B$2:$B$700,0)),0))</f>
        <v/>
      </c>
    </row>
    <row r="9899" customFormat="false" ht="15" hidden="false" customHeight="false" outlineLevel="0" collapsed="false">
      <c r="A9899" s="103"/>
      <c r="B9899" s="104"/>
      <c r="C9899" s="104"/>
      <c r="E9899" s="107" t="str">
        <f aca="false">IF($C9899="","",IFERROR(INDEX(المنيو!$C$2:$C$500,MATCH($C9899,المنيو!$B$2:$B$500,0)),0))</f>
        <v/>
      </c>
      <c r="F9899" s="107" t="str">
        <f aca="false">IF($C9899="","",$D9899*$E9899)</f>
        <v/>
      </c>
      <c r="G9899" s="107" t="str">
        <f aca="false">IF($C9899="","",$D9899*IFERROR(INDEX('تحليل التكلفة والسعر'!$C$2:$C$700,MATCH($C9899,'تحليل التكلفة والسعر'!$B$2:$B$700,0)),0))</f>
        <v/>
      </c>
    </row>
    <row r="9900" customFormat="false" ht="15" hidden="false" customHeight="false" outlineLevel="0" collapsed="false">
      <c r="A9900" s="103"/>
      <c r="B9900" s="104"/>
      <c r="C9900" s="104"/>
      <c r="E9900" s="107" t="str">
        <f aca="false">IF($C9900="","",IFERROR(INDEX(المنيو!$C$2:$C$500,MATCH($C9900,المنيو!$B$2:$B$500,0)),0))</f>
        <v/>
      </c>
      <c r="F9900" s="107" t="str">
        <f aca="false">IF($C9900="","",$D9900*$E9900)</f>
        <v/>
      </c>
      <c r="G9900" s="107" t="str">
        <f aca="false">IF($C9900="","",$D9900*IFERROR(INDEX('تحليل التكلفة والسعر'!$C$2:$C$700,MATCH($C9900,'تحليل التكلفة والسعر'!$B$2:$B$700,0)),0))</f>
        <v/>
      </c>
    </row>
    <row r="9901" customFormat="false" ht="15" hidden="false" customHeight="false" outlineLevel="0" collapsed="false">
      <c r="A9901" s="103"/>
      <c r="B9901" s="104"/>
      <c r="C9901" s="104"/>
      <c r="E9901" s="107" t="str">
        <f aca="false">IF($C9901="","",IFERROR(INDEX(المنيو!$C$2:$C$500,MATCH($C9901,المنيو!$B$2:$B$500,0)),0))</f>
        <v/>
      </c>
      <c r="F9901" s="107" t="str">
        <f aca="false">IF($C9901="","",$D9901*$E9901)</f>
        <v/>
      </c>
      <c r="G9901" s="107" t="str">
        <f aca="false">IF($C9901="","",$D9901*IFERROR(INDEX('تحليل التكلفة والسعر'!$C$2:$C$700,MATCH($C9901,'تحليل التكلفة والسعر'!$B$2:$B$700,0)),0))</f>
        <v/>
      </c>
    </row>
    <row r="9902" customFormat="false" ht="15" hidden="false" customHeight="false" outlineLevel="0" collapsed="false">
      <c r="A9902" s="103"/>
      <c r="B9902" s="104"/>
      <c r="C9902" s="104"/>
      <c r="E9902" s="107" t="str">
        <f aca="false">IF($C9902="","",IFERROR(INDEX(المنيو!$C$2:$C$500,MATCH($C9902,المنيو!$B$2:$B$500,0)),0))</f>
        <v/>
      </c>
      <c r="F9902" s="107" t="str">
        <f aca="false">IF($C9902="","",$D9902*$E9902)</f>
        <v/>
      </c>
      <c r="G9902" s="107" t="str">
        <f aca="false">IF($C9902="","",$D9902*IFERROR(INDEX('تحليل التكلفة والسعر'!$C$2:$C$700,MATCH($C9902,'تحليل التكلفة والسعر'!$B$2:$B$700,0)),0))</f>
        <v/>
      </c>
    </row>
    <row r="9903" customFormat="false" ht="15" hidden="false" customHeight="false" outlineLevel="0" collapsed="false">
      <c r="A9903" s="103"/>
      <c r="B9903" s="104"/>
      <c r="C9903" s="104"/>
      <c r="E9903" s="107" t="str">
        <f aca="false">IF($C9903="","",IFERROR(INDEX(المنيو!$C$2:$C$500,MATCH($C9903,المنيو!$B$2:$B$500,0)),0))</f>
        <v/>
      </c>
      <c r="F9903" s="107" t="str">
        <f aca="false">IF($C9903="","",$D9903*$E9903)</f>
        <v/>
      </c>
      <c r="G9903" s="107" t="str">
        <f aca="false">IF($C9903="","",$D9903*IFERROR(INDEX('تحليل التكلفة والسعر'!$C$2:$C$700,MATCH($C9903,'تحليل التكلفة والسعر'!$B$2:$B$700,0)),0))</f>
        <v/>
      </c>
    </row>
    <row r="9904" customFormat="false" ht="15" hidden="false" customHeight="false" outlineLevel="0" collapsed="false">
      <c r="A9904" s="103"/>
      <c r="B9904" s="104"/>
      <c r="C9904" s="104"/>
      <c r="E9904" s="107" t="str">
        <f aca="false">IF($C9904="","",IFERROR(INDEX(المنيو!$C$2:$C$500,MATCH($C9904,المنيو!$B$2:$B$500,0)),0))</f>
        <v/>
      </c>
      <c r="F9904" s="107" t="str">
        <f aca="false">IF($C9904="","",$D9904*$E9904)</f>
        <v/>
      </c>
      <c r="G9904" s="107" t="str">
        <f aca="false">IF($C9904="","",$D9904*IFERROR(INDEX('تحليل التكلفة والسعر'!$C$2:$C$700,MATCH($C9904,'تحليل التكلفة والسعر'!$B$2:$B$700,0)),0))</f>
        <v/>
      </c>
    </row>
    <row r="9905" customFormat="false" ht="15" hidden="false" customHeight="false" outlineLevel="0" collapsed="false">
      <c r="A9905" s="103"/>
      <c r="B9905" s="104"/>
      <c r="C9905" s="104"/>
      <c r="E9905" s="107" t="str">
        <f aca="false">IF($C9905="","",IFERROR(INDEX(المنيو!$C$2:$C$500,MATCH($C9905,المنيو!$B$2:$B$500,0)),0))</f>
        <v/>
      </c>
      <c r="F9905" s="107" t="str">
        <f aca="false">IF($C9905="","",$D9905*$E9905)</f>
        <v/>
      </c>
      <c r="G9905" s="107" t="str">
        <f aca="false">IF($C9905="","",$D9905*IFERROR(INDEX('تحليل التكلفة والسعر'!$C$2:$C$700,MATCH($C9905,'تحليل التكلفة والسعر'!$B$2:$B$700,0)),0))</f>
        <v/>
      </c>
    </row>
    <row r="9906" customFormat="false" ht="15" hidden="false" customHeight="false" outlineLevel="0" collapsed="false">
      <c r="A9906" s="103"/>
      <c r="B9906" s="104"/>
      <c r="C9906" s="104"/>
      <c r="E9906" s="107" t="str">
        <f aca="false">IF($C9906="","",IFERROR(INDEX(المنيو!$C$2:$C$500,MATCH($C9906,المنيو!$B$2:$B$500,0)),0))</f>
        <v/>
      </c>
      <c r="F9906" s="107" t="str">
        <f aca="false">IF($C9906="","",$D9906*$E9906)</f>
        <v/>
      </c>
      <c r="G9906" s="107" t="str">
        <f aca="false">IF($C9906="","",$D9906*IFERROR(INDEX('تحليل التكلفة والسعر'!$C$2:$C$700,MATCH($C9906,'تحليل التكلفة والسعر'!$B$2:$B$700,0)),0))</f>
        <v/>
      </c>
    </row>
    <row r="9907" customFormat="false" ht="15" hidden="false" customHeight="false" outlineLevel="0" collapsed="false">
      <c r="A9907" s="103"/>
      <c r="B9907" s="104"/>
      <c r="C9907" s="104"/>
      <c r="E9907" s="107" t="str">
        <f aca="false">IF($C9907="","",IFERROR(INDEX(المنيو!$C$2:$C$500,MATCH($C9907,المنيو!$B$2:$B$500,0)),0))</f>
        <v/>
      </c>
      <c r="F9907" s="107" t="str">
        <f aca="false">IF($C9907="","",$D9907*$E9907)</f>
        <v/>
      </c>
      <c r="G9907" s="107" t="str">
        <f aca="false">IF($C9907="","",$D9907*IFERROR(INDEX('تحليل التكلفة والسعر'!$C$2:$C$700,MATCH($C9907,'تحليل التكلفة والسعر'!$B$2:$B$700,0)),0))</f>
        <v/>
      </c>
    </row>
    <row r="9908" customFormat="false" ht="15" hidden="false" customHeight="false" outlineLevel="0" collapsed="false">
      <c r="A9908" s="103"/>
      <c r="B9908" s="104"/>
      <c r="C9908" s="104"/>
      <c r="E9908" s="107" t="str">
        <f aca="false">IF($C9908="","",IFERROR(INDEX(المنيو!$C$2:$C$500,MATCH($C9908,المنيو!$B$2:$B$500,0)),0))</f>
        <v/>
      </c>
      <c r="F9908" s="107" t="str">
        <f aca="false">IF($C9908="","",$D9908*$E9908)</f>
        <v/>
      </c>
      <c r="G9908" s="107" t="str">
        <f aca="false">IF($C9908="","",$D9908*IFERROR(INDEX('تحليل التكلفة والسعر'!$C$2:$C$700,MATCH($C9908,'تحليل التكلفة والسعر'!$B$2:$B$700,0)),0))</f>
        <v/>
      </c>
    </row>
    <row r="9909" customFormat="false" ht="15" hidden="false" customHeight="false" outlineLevel="0" collapsed="false">
      <c r="A9909" s="103"/>
      <c r="B9909" s="104"/>
      <c r="C9909" s="104"/>
      <c r="E9909" s="107" t="str">
        <f aca="false">IF($C9909="","",IFERROR(INDEX(المنيو!$C$2:$C$500,MATCH($C9909,المنيو!$B$2:$B$500,0)),0))</f>
        <v/>
      </c>
      <c r="F9909" s="107" t="str">
        <f aca="false">IF($C9909="","",$D9909*$E9909)</f>
        <v/>
      </c>
      <c r="G9909" s="107" t="str">
        <f aca="false">IF($C9909="","",$D9909*IFERROR(INDEX('تحليل التكلفة والسعر'!$C$2:$C$700,MATCH($C9909,'تحليل التكلفة والسعر'!$B$2:$B$700,0)),0))</f>
        <v/>
      </c>
    </row>
    <row r="9910" customFormat="false" ht="15" hidden="false" customHeight="false" outlineLevel="0" collapsed="false">
      <c r="A9910" s="103"/>
      <c r="B9910" s="104"/>
      <c r="C9910" s="104"/>
      <c r="E9910" s="107" t="str">
        <f aca="false">IF($C9910="","",IFERROR(INDEX(المنيو!$C$2:$C$500,MATCH($C9910,المنيو!$B$2:$B$500,0)),0))</f>
        <v/>
      </c>
      <c r="F9910" s="107" t="str">
        <f aca="false">IF($C9910="","",$D9910*$E9910)</f>
        <v/>
      </c>
      <c r="G9910" s="107" t="str">
        <f aca="false">IF($C9910="","",$D9910*IFERROR(INDEX('تحليل التكلفة والسعر'!$C$2:$C$700,MATCH($C9910,'تحليل التكلفة والسعر'!$B$2:$B$700,0)),0))</f>
        <v/>
      </c>
    </row>
    <row r="9911" customFormat="false" ht="15" hidden="false" customHeight="false" outlineLevel="0" collapsed="false">
      <c r="A9911" s="103"/>
      <c r="B9911" s="104"/>
      <c r="C9911" s="104"/>
      <c r="E9911" s="107" t="str">
        <f aca="false">IF($C9911="","",IFERROR(INDEX(المنيو!$C$2:$C$500,MATCH($C9911,المنيو!$B$2:$B$500,0)),0))</f>
        <v/>
      </c>
      <c r="F9911" s="107" t="str">
        <f aca="false">IF($C9911="","",$D9911*$E9911)</f>
        <v/>
      </c>
      <c r="G9911" s="107" t="str">
        <f aca="false">IF($C9911="","",$D9911*IFERROR(INDEX('تحليل التكلفة والسعر'!$C$2:$C$700,MATCH($C9911,'تحليل التكلفة والسعر'!$B$2:$B$700,0)),0))</f>
        <v/>
      </c>
    </row>
    <row r="9912" customFormat="false" ht="15" hidden="false" customHeight="false" outlineLevel="0" collapsed="false">
      <c r="A9912" s="103"/>
      <c r="B9912" s="104"/>
      <c r="C9912" s="104"/>
      <c r="E9912" s="107" t="str">
        <f aca="false">IF($C9912="","",IFERROR(INDEX(المنيو!$C$2:$C$500,MATCH($C9912,المنيو!$B$2:$B$500,0)),0))</f>
        <v/>
      </c>
      <c r="F9912" s="107" t="str">
        <f aca="false">IF($C9912="","",$D9912*$E9912)</f>
        <v/>
      </c>
      <c r="G9912" s="107" t="str">
        <f aca="false">IF($C9912="","",$D9912*IFERROR(INDEX('تحليل التكلفة والسعر'!$C$2:$C$700,MATCH($C9912,'تحليل التكلفة والسعر'!$B$2:$B$700,0)),0))</f>
        <v/>
      </c>
    </row>
    <row r="9913" customFormat="false" ht="15" hidden="false" customHeight="false" outlineLevel="0" collapsed="false">
      <c r="A9913" s="103"/>
      <c r="B9913" s="104"/>
      <c r="C9913" s="104"/>
      <c r="E9913" s="107" t="str">
        <f aca="false">IF($C9913="","",IFERROR(INDEX(المنيو!$C$2:$C$500,MATCH($C9913,المنيو!$B$2:$B$500,0)),0))</f>
        <v/>
      </c>
      <c r="F9913" s="107" t="str">
        <f aca="false">IF($C9913="","",$D9913*$E9913)</f>
        <v/>
      </c>
      <c r="G9913" s="107" t="str">
        <f aca="false">IF($C9913="","",$D9913*IFERROR(INDEX('تحليل التكلفة والسعر'!$C$2:$C$700,MATCH($C9913,'تحليل التكلفة والسعر'!$B$2:$B$700,0)),0))</f>
        <v/>
      </c>
    </row>
    <row r="9914" customFormat="false" ht="15" hidden="false" customHeight="false" outlineLevel="0" collapsed="false">
      <c r="A9914" s="103"/>
      <c r="B9914" s="104"/>
      <c r="C9914" s="104"/>
      <c r="E9914" s="107" t="str">
        <f aca="false">IF($C9914="","",IFERROR(INDEX(المنيو!$C$2:$C$500,MATCH($C9914,المنيو!$B$2:$B$500,0)),0))</f>
        <v/>
      </c>
      <c r="F9914" s="107" t="str">
        <f aca="false">IF($C9914="","",$D9914*$E9914)</f>
        <v/>
      </c>
      <c r="G9914" s="107" t="str">
        <f aca="false">IF($C9914="","",$D9914*IFERROR(INDEX('تحليل التكلفة والسعر'!$C$2:$C$700,MATCH($C9914,'تحليل التكلفة والسعر'!$B$2:$B$700,0)),0))</f>
        <v/>
      </c>
    </row>
    <row r="9915" customFormat="false" ht="15" hidden="false" customHeight="false" outlineLevel="0" collapsed="false">
      <c r="A9915" s="103"/>
      <c r="B9915" s="104"/>
      <c r="C9915" s="104"/>
      <c r="E9915" s="107" t="str">
        <f aca="false">IF($C9915="","",IFERROR(INDEX(المنيو!$C$2:$C$500,MATCH($C9915,المنيو!$B$2:$B$500,0)),0))</f>
        <v/>
      </c>
      <c r="F9915" s="107" t="str">
        <f aca="false">IF($C9915="","",$D9915*$E9915)</f>
        <v/>
      </c>
      <c r="G9915" s="107" t="str">
        <f aca="false">IF($C9915="","",$D9915*IFERROR(INDEX('تحليل التكلفة والسعر'!$C$2:$C$700,MATCH($C9915,'تحليل التكلفة والسعر'!$B$2:$B$700,0)),0))</f>
        <v/>
      </c>
    </row>
    <row r="9916" customFormat="false" ht="15" hidden="false" customHeight="false" outlineLevel="0" collapsed="false">
      <c r="A9916" s="103"/>
      <c r="B9916" s="104"/>
      <c r="C9916" s="104"/>
      <c r="E9916" s="107" t="str">
        <f aca="false">IF($C9916="","",IFERROR(INDEX(المنيو!$C$2:$C$500,MATCH($C9916,المنيو!$B$2:$B$500,0)),0))</f>
        <v/>
      </c>
      <c r="F9916" s="107" t="str">
        <f aca="false">IF($C9916="","",$D9916*$E9916)</f>
        <v/>
      </c>
      <c r="G9916" s="107" t="str">
        <f aca="false">IF($C9916="","",$D9916*IFERROR(INDEX('تحليل التكلفة والسعر'!$C$2:$C$700,MATCH($C9916,'تحليل التكلفة والسعر'!$B$2:$B$700,0)),0))</f>
        <v/>
      </c>
    </row>
    <row r="9917" customFormat="false" ht="15" hidden="false" customHeight="false" outlineLevel="0" collapsed="false">
      <c r="A9917" s="103"/>
      <c r="B9917" s="104"/>
      <c r="C9917" s="104"/>
      <c r="E9917" s="107" t="str">
        <f aca="false">IF($C9917="","",IFERROR(INDEX(المنيو!$C$2:$C$500,MATCH($C9917,المنيو!$B$2:$B$500,0)),0))</f>
        <v/>
      </c>
      <c r="F9917" s="107" t="str">
        <f aca="false">IF($C9917="","",$D9917*$E9917)</f>
        <v/>
      </c>
      <c r="G9917" s="107" t="str">
        <f aca="false">IF($C9917="","",$D9917*IFERROR(INDEX('تحليل التكلفة والسعر'!$C$2:$C$700,MATCH($C9917,'تحليل التكلفة والسعر'!$B$2:$B$700,0)),0))</f>
        <v/>
      </c>
    </row>
    <row r="9918" customFormat="false" ht="15" hidden="false" customHeight="false" outlineLevel="0" collapsed="false">
      <c r="A9918" s="103"/>
      <c r="B9918" s="104"/>
      <c r="C9918" s="104"/>
      <c r="E9918" s="107" t="str">
        <f aca="false">IF($C9918="","",IFERROR(INDEX(المنيو!$C$2:$C$500,MATCH($C9918,المنيو!$B$2:$B$500,0)),0))</f>
        <v/>
      </c>
      <c r="F9918" s="107" t="str">
        <f aca="false">IF($C9918="","",$D9918*$E9918)</f>
        <v/>
      </c>
      <c r="G9918" s="107" t="str">
        <f aca="false">IF($C9918="","",$D9918*IFERROR(INDEX('تحليل التكلفة والسعر'!$C$2:$C$700,MATCH($C9918,'تحليل التكلفة والسعر'!$B$2:$B$700,0)),0))</f>
        <v/>
      </c>
    </row>
    <row r="9919" customFormat="false" ht="15" hidden="false" customHeight="false" outlineLevel="0" collapsed="false">
      <c r="A9919" s="103"/>
      <c r="B9919" s="104"/>
      <c r="C9919" s="104"/>
      <c r="E9919" s="107" t="str">
        <f aca="false">IF($C9919="","",IFERROR(INDEX(المنيو!$C$2:$C$500,MATCH($C9919,المنيو!$B$2:$B$500,0)),0))</f>
        <v/>
      </c>
      <c r="F9919" s="107" t="str">
        <f aca="false">IF($C9919="","",$D9919*$E9919)</f>
        <v/>
      </c>
      <c r="G9919" s="107" t="str">
        <f aca="false">IF($C9919="","",$D9919*IFERROR(INDEX('تحليل التكلفة والسعر'!$C$2:$C$700,MATCH($C9919,'تحليل التكلفة والسعر'!$B$2:$B$700,0)),0))</f>
        <v/>
      </c>
    </row>
    <row r="9920" customFormat="false" ht="15" hidden="false" customHeight="false" outlineLevel="0" collapsed="false">
      <c r="A9920" s="103"/>
      <c r="B9920" s="104"/>
      <c r="C9920" s="104"/>
      <c r="E9920" s="107" t="str">
        <f aca="false">IF($C9920="","",IFERROR(INDEX(المنيو!$C$2:$C$500,MATCH($C9920,المنيو!$B$2:$B$500,0)),0))</f>
        <v/>
      </c>
      <c r="F9920" s="107" t="str">
        <f aca="false">IF($C9920="","",$D9920*$E9920)</f>
        <v/>
      </c>
      <c r="G9920" s="107" t="str">
        <f aca="false">IF($C9920="","",$D9920*IFERROR(INDEX('تحليل التكلفة والسعر'!$C$2:$C$700,MATCH($C9920,'تحليل التكلفة والسعر'!$B$2:$B$700,0)),0))</f>
        <v/>
      </c>
    </row>
    <row r="9921" customFormat="false" ht="15" hidden="false" customHeight="false" outlineLevel="0" collapsed="false">
      <c r="A9921" s="103"/>
      <c r="B9921" s="104"/>
      <c r="C9921" s="104"/>
      <c r="E9921" s="107" t="str">
        <f aca="false">IF($C9921="","",IFERROR(INDEX(المنيو!$C$2:$C$500,MATCH($C9921,المنيو!$B$2:$B$500,0)),0))</f>
        <v/>
      </c>
      <c r="F9921" s="107" t="str">
        <f aca="false">IF($C9921="","",$D9921*$E9921)</f>
        <v/>
      </c>
      <c r="G9921" s="107" t="str">
        <f aca="false">IF($C9921="","",$D9921*IFERROR(INDEX('تحليل التكلفة والسعر'!$C$2:$C$700,MATCH($C9921,'تحليل التكلفة والسعر'!$B$2:$B$700,0)),0))</f>
        <v/>
      </c>
    </row>
    <row r="9922" customFormat="false" ht="15" hidden="false" customHeight="false" outlineLevel="0" collapsed="false">
      <c r="A9922" s="103"/>
      <c r="B9922" s="104"/>
      <c r="C9922" s="104"/>
      <c r="E9922" s="107" t="str">
        <f aca="false">IF($C9922="","",IFERROR(INDEX(المنيو!$C$2:$C$500,MATCH($C9922,المنيو!$B$2:$B$500,0)),0))</f>
        <v/>
      </c>
      <c r="F9922" s="107" t="str">
        <f aca="false">IF($C9922="","",$D9922*$E9922)</f>
        <v/>
      </c>
      <c r="G9922" s="107" t="str">
        <f aca="false">IF($C9922="","",$D9922*IFERROR(INDEX('تحليل التكلفة والسعر'!$C$2:$C$700,MATCH($C9922,'تحليل التكلفة والسعر'!$B$2:$B$700,0)),0))</f>
        <v/>
      </c>
    </row>
    <row r="9923" customFormat="false" ht="15" hidden="false" customHeight="false" outlineLevel="0" collapsed="false">
      <c r="A9923" s="103"/>
      <c r="B9923" s="104"/>
      <c r="C9923" s="104"/>
      <c r="E9923" s="107" t="str">
        <f aca="false">IF($C9923="","",IFERROR(INDEX(المنيو!$C$2:$C$500,MATCH($C9923,المنيو!$B$2:$B$500,0)),0))</f>
        <v/>
      </c>
      <c r="F9923" s="107" t="str">
        <f aca="false">IF($C9923="","",$D9923*$E9923)</f>
        <v/>
      </c>
      <c r="G9923" s="107" t="str">
        <f aca="false">IF($C9923="","",$D9923*IFERROR(INDEX('تحليل التكلفة والسعر'!$C$2:$C$700,MATCH($C9923,'تحليل التكلفة والسعر'!$B$2:$B$700,0)),0))</f>
        <v/>
      </c>
    </row>
    <row r="9924" customFormat="false" ht="15" hidden="false" customHeight="false" outlineLevel="0" collapsed="false">
      <c r="A9924" s="103"/>
      <c r="B9924" s="104"/>
      <c r="C9924" s="104"/>
      <c r="E9924" s="107" t="str">
        <f aca="false">IF($C9924="","",IFERROR(INDEX(المنيو!$C$2:$C$500,MATCH($C9924,المنيو!$B$2:$B$500,0)),0))</f>
        <v/>
      </c>
      <c r="F9924" s="107" t="str">
        <f aca="false">IF($C9924="","",$D9924*$E9924)</f>
        <v/>
      </c>
      <c r="G9924" s="107" t="str">
        <f aca="false">IF($C9924="","",$D9924*IFERROR(INDEX('تحليل التكلفة والسعر'!$C$2:$C$700,MATCH($C9924,'تحليل التكلفة والسعر'!$B$2:$B$700,0)),0))</f>
        <v/>
      </c>
    </row>
    <row r="9925" customFormat="false" ht="15" hidden="false" customHeight="false" outlineLevel="0" collapsed="false">
      <c r="A9925" s="103"/>
      <c r="B9925" s="104"/>
      <c r="C9925" s="104"/>
      <c r="E9925" s="107" t="str">
        <f aca="false">IF($C9925="","",IFERROR(INDEX(المنيو!$C$2:$C$500,MATCH($C9925,المنيو!$B$2:$B$500,0)),0))</f>
        <v/>
      </c>
      <c r="F9925" s="107" t="str">
        <f aca="false">IF($C9925="","",$D9925*$E9925)</f>
        <v/>
      </c>
      <c r="G9925" s="107" t="str">
        <f aca="false">IF($C9925="","",$D9925*IFERROR(INDEX('تحليل التكلفة والسعر'!$C$2:$C$700,MATCH($C9925,'تحليل التكلفة والسعر'!$B$2:$B$700,0)),0))</f>
        <v/>
      </c>
    </row>
    <row r="9926" customFormat="false" ht="15" hidden="false" customHeight="false" outlineLevel="0" collapsed="false">
      <c r="A9926" s="103"/>
      <c r="B9926" s="104"/>
      <c r="C9926" s="104"/>
      <c r="E9926" s="107" t="str">
        <f aca="false">IF($C9926="","",IFERROR(INDEX(المنيو!$C$2:$C$500,MATCH($C9926,المنيو!$B$2:$B$500,0)),0))</f>
        <v/>
      </c>
      <c r="F9926" s="107" t="str">
        <f aca="false">IF($C9926="","",$D9926*$E9926)</f>
        <v/>
      </c>
      <c r="G9926" s="107" t="str">
        <f aca="false">IF($C9926="","",$D9926*IFERROR(INDEX('تحليل التكلفة والسعر'!$C$2:$C$700,MATCH($C9926,'تحليل التكلفة والسعر'!$B$2:$B$700,0)),0))</f>
        <v/>
      </c>
    </row>
    <row r="9927" customFormat="false" ht="15" hidden="false" customHeight="false" outlineLevel="0" collapsed="false">
      <c r="A9927" s="103"/>
      <c r="B9927" s="104"/>
      <c r="C9927" s="104"/>
      <c r="E9927" s="107" t="str">
        <f aca="false">IF($C9927="","",IFERROR(INDEX(المنيو!$C$2:$C$500,MATCH($C9927,المنيو!$B$2:$B$500,0)),0))</f>
        <v/>
      </c>
      <c r="F9927" s="107" t="str">
        <f aca="false">IF($C9927="","",$D9927*$E9927)</f>
        <v/>
      </c>
      <c r="G9927" s="107" t="str">
        <f aca="false">IF($C9927="","",$D9927*IFERROR(INDEX('تحليل التكلفة والسعر'!$C$2:$C$700,MATCH($C9927,'تحليل التكلفة والسعر'!$B$2:$B$700,0)),0))</f>
        <v/>
      </c>
    </row>
    <row r="9928" customFormat="false" ht="15" hidden="false" customHeight="false" outlineLevel="0" collapsed="false">
      <c r="A9928" s="103"/>
      <c r="B9928" s="104"/>
      <c r="C9928" s="104"/>
      <c r="E9928" s="107" t="str">
        <f aca="false">IF($C9928="","",IFERROR(INDEX(المنيو!$C$2:$C$500,MATCH($C9928,المنيو!$B$2:$B$500,0)),0))</f>
        <v/>
      </c>
      <c r="F9928" s="107" t="str">
        <f aca="false">IF($C9928="","",$D9928*$E9928)</f>
        <v/>
      </c>
      <c r="G9928" s="107" t="str">
        <f aca="false">IF($C9928="","",$D9928*IFERROR(INDEX('تحليل التكلفة والسعر'!$C$2:$C$700,MATCH($C9928,'تحليل التكلفة والسعر'!$B$2:$B$700,0)),0))</f>
        <v/>
      </c>
    </row>
    <row r="9929" customFormat="false" ht="15" hidden="false" customHeight="false" outlineLevel="0" collapsed="false">
      <c r="A9929" s="103"/>
      <c r="B9929" s="104"/>
      <c r="C9929" s="104"/>
      <c r="E9929" s="107" t="str">
        <f aca="false">IF($C9929="","",IFERROR(INDEX(المنيو!$C$2:$C$500,MATCH($C9929,المنيو!$B$2:$B$500,0)),0))</f>
        <v/>
      </c>
      <c r="F9929" s="107" t="str">
        <f aca="false">IF($C9929="","",$D9929*$E9929)</f>
        <v/>
      </c>
      <c r="G9929" s="107" t="str">
        <f aca="false">IF($C9929="","",$D9929*IFERROR(INDEX('تحليل التكلفة والسعر'!$C$2:$C$700,MATCH($C9929,'تحليل التكلفة والسعر'!$B$2:$B$700,0)),0))</f>
        <v/>
      </c>
    </row>
    <row r="9930" customFormat="false" ht="15" hidden="false" customHeight="false" outlineLevel="0" collapsed="false">
      <c r="A9930" s="103"/>
      <c r="B9930" s="104"/>
      <c r="C9930" s="104"/>
      <c r="E9930" s="107" t="str">
        <f aca="false">IF($C9930="","",IFERROR(INDEX(المنيو!$C$2:$C$500,MATCH($C9930,المنيو!$B$2:$B$500,0)),0))</f>
        <v/>
      </c>
      <c r="F9930" s="107" t="str">
        <f aca="false">IF($C9930="","",$D9930*$E9930)</f>
        <v/>
      </c>
      <c r="G9930" s="107" t="str">
        <f aca="false">IF($C9930="","",$D9930*IFERROR(INDEX('تحليل التكلفة والسعر'!$C$2:$C$700,MATCH($C9930,'تحليل التكلفة والسعر'!$B$2:$B$700,0)),0))</f>
        <v/>
      </c>
    </row>
    <row r="9931" customFormat="false" ht="15" hidden="false" customHeight="false" outlineLevel="0" collapsed="false">
      <c r="A9931" s="103"/>
      <c r="B9931" s="104"/>
      <c r="C9931" s="104"/>
      <c r="E9931" s="107" t="str">
        <f aca="false">IF($C9931="","",IFERROR(INDEX(المنيو!$C$2:$C$500,MATCH($C9931,المنيو!$B$2:$B$500,0)),0))</f>
        <v/>
      </c>
      <c r="F9931" s="107" t="str">
        <f aca="false">IF($C9931="","",$D9931*$E9931)</f>
        <v/>
      </c>
      <c r="G9931" s="107" t="str">
        <f aca="false">IF($C9931="","",$D9931*IFERROR(INDEX('تحليل التكلفة والسعر'!$C$2:$C$700,MATCH($C9931,'تحليل التكلفة والسعر'!$B$2:$B$700,0)),0))</f>
        <v/>
      </c>
    </row>
    <row r="9932" customFormat="false" ht="15" hidden="false" customHeight="false" outlineLevel="0" collapsed="false">
      <c r="A9932" s="103"/>
      <c r="B9932" s="104"/>
      <c r="C9932" s="104"/>
      <c r="E9932" s="107" t="str">
        <f aca="false">IF($C9932="","",IFERROR(INDEX(المنيو!$C$2:$C$500,MATCH($C9932,المنيو!$B$2:$B$500,0)),0))</f>
        <v/>
      </c>
      <c r="F9932" s="107" t="str">
        <f aca="false">IF($C9932="","",$D9932*$E9932)</f>
        <v/>
      </c>
      <c r="G9932" s="107" t="str">
        <f aca="false">IF($C9932="","",$D9932*IFERROR(INDEX('تحليل التكلفة والسعر'!$C$2:$C$700,MATCH($C9932,'تحليل التكلفة والسعر'!$B$2:$B$700,0)),0))</f>
        <v/>
      </c>
    </row>
    <row r="9933" customFormat="false" ht="15" hidden="false" customHeight="false" outlineLevel="0" collapsed="false">
      <c r="A9933" s="103"/>
      <c r="B9933" s="104"/>
      <c r="C9933" s="104"/>
      <c r="E9933" s="107" t="str">
        <f aca="false">IF($C9933="","",IFERROR(INDEX(المنيو!$C$2:$C$500,MATCH($C9933,المنيو!$B$2:$B$500,0)),0))</f>
        <v/>
      </c>
      <c r="F9933" s="107" t="str">
        <f aca="false">IF($C9933="","",$D9933*$E9933)</f>
        <v/>
      </c>
      <c r="G9933" s="107" t="str">
        <f aca="false">IF($C9933="","",$D9933*IFERROR(INDEX('تحليل التكلفة والسعر'!$C$2:$C$700,MATCH($C9933,'تحليل التكلفة والسعر'!$B$2:$B$700,0)),0))</f>
        <v/>
      </c>
    </row>
    <row r="9934" customFormat="false" ht="15" hidden="false" customHeight="false" outlineLevel="0" collapsed="false">
      <c r="A9934" s="103"/>
      <c r="B9934" s="104"/>
      <c r="C9934" s="104"/>
      <c r="E9934" s="107" t="str">
        <f aca="false">IF($C9934="","",IFERROR(INDEX(المنيو!$C$2:$C$500,MATCH($C9934,المنيو!$B$2:$B$500,0)),0))</f>
        <v/>
      </c>
      <c r="F9934" s="107" t="str">
        <f aca="false">IF($C9934="","",$D9934*$E9934)</f>
        <v/>
      </c>
      <c r="G9934" s="107" t="str">
        <f aca="false">IF($C9934="","",$D9934*IFERROR(INDEX('تحليل التكلفة والسعر'!$C$2:$C$700,MATCH($C9934,'تحليل التكلفة والسعر'!$B$2:$B$700,0)),0))</f>
        <v/>
      </c>
    </row>
    <row r="9935" customFormat="false" ht="15" hidden="false" customHeight="false" outlineLevel="0" collapsed="false">
      <c r="A9935" s="103"/>
      <c r="B9935" s="104"/>
      <c r="C9935" s="104"/>
      <c r="E9935" s="107" t="str">
        <f aca="false">IF($C9935="","",IFERROR(INDEX(المنيو!$C$2:$C$500,MATCH($C9935,المنيو!$B$2:$B$500,0)),0))</f>
        <v/>
      </c>
      <c r="F9935" s="107" t="str">
        <f aca="false">IF($C9935="","",$D9935*$E9935)</f>
        <v/>
      </c>
      <c r="G9935" s="107" t="str">
        <f aca="false">IF($C9935="","",$D9935*IFERROR(INDEX('تحليل التكلفة والسعر'!$C$2:$C$700,MATCH($C9935,'تحليل التكلفة والسعر'!$B$2:$B$700,0)),0))</f>
        <v/>
      </c>
    </row>
    <row r="9936" customFormat="false" ht="15" hidden="false" customHeight="false" outlineLevel="0" collapsed="false">
      <c r="A9936" s="103"/>
      <c r="B9936" s="104"/>
      <c r="C9936" s="104"/>
      <c r="E9936" s="107" t="str">
        <f aca="false">IF($C9936="","",IFERROR(INDEX(المنيو!$C$2:$C$500,MATCH($C9936,المنيو!$B$2:$B$500,0)),0))</f>
        <v/>
      </c>
      <c r="F9936" s="107" t="str">
        <f aca="false">IF($C9936="","",$D9936*$E9936)</f>
        <v/>
      </c>
      <c r="G9936" s="107" t="str">
        <f aca="false">IF($C9936="","",$D9936*IFERROR(INDEX('تحليل التكلفة والسعر'!$C$2:$C$700,MATCH($C9936,'تحليل التكلفة والسعر'!$B$2:$B$700,0)),0))</f>
        <v/>
      </c>
    </row>
    <row r="9937" customFormat="false" ht="15" hidden="false" customHeight="false" outlineLevel="0" collapsed="false">
      <c r="A9937" s="103"/>
      <c r="B9937" s="104"/>
      <c r="C9937" s="104"/>
      <c r="E9937" s="107" t="str">
        <f aca="false">IF($C9937="","",IFERROR(INDEX(المنيو!$C$2:$C$500,MATCH($C9937,المنيو!$B$2:$B$500,0)),0))</f>
        <v/>
      </c>
      <c r="F9937" s="107" t="str">
        <f aca="false">IF($C9937="","",$D9937*$E9937)</f>
        <v/>
      </c>
      <c r="G9937" s="107" t="str">
        <f aca="false">IF($C9937="","",$D9937*IFERROR(INDEX('تحليل التكلفة والسعر'!$C$2:$C$700,MATCH($C9937,'تحليل التكلفة والسعر'!$B$2:$B$700,0)),0))</f>
        <v/>
      </c>
    </row>
    <row r="9938" customFormat="false" ht="15" hidden="false" customHeight="false" outlineLevel="0" collapsed="false">
      <c r="A9938" s="103"/>
      <c r="B9938" s="104"/>
      <c r="C9938" s="104"/>
      <c r="E9938" s="107" t="str">
        <f aca="false">IF($C9938="","",IFERROR(INDEX(المنيو!$C$2:$C$500,MATCH($C9938,المنيو!$B$2:$B$500,0)),0))</f>
        <v/>
      </c>
      <c r="F9938" s="107" t="str">
        <f aca="false">IF($C9938="","",$D9938*$E9938)</f>
        <v/>
      </c>
      <c r="G9938" s="107" t="str">
        <f aca="false">IF($C9938="","",$D9938*IFERROR(INDEX('تحليل التكلفة والسعر'!$C$2:$C$700,MATCH($C9938,'تحليل التكلفة والسعر'!$B$2:$B$700,0)),0))</f>
        <v/>
      </c>
    </row>
    <row r="9939" customFormat="false" ht="15" hidden="false" customHeight="false" outlineLevel="0" collapsed="false">
      <c r="A9939" s="103"/>
      <c r="B9939" s="104"/>
      <c r="C9939" s="104"/>
      <c r="E9939" s="107" t="str">
        <f aca="false">IF($C9939="","",IFERROR(INDEX(المنيو!$C$2:$C$500,MATCH($C9939,المنيو!$B$2:$B$500,0)),0))</f>
        <v/>
      </c>
      <c r="F9939" s="107" t="str">
        <f aca="false">IF($C9939="","",$D9939*$E9939)</f>
        <v/>
      </c>
      <c r="G9939" s="107" t="str">
        <f aca="false">IF($C9939="","",$D9939*IFERROR(INDEX('تحليل التكلفة والسعر'!$C$2:$C$700,MATCH($C9939,'تحليل التكلفة والسعر'!$B$2:$B$700,0)),0))</f>
        <v/>
      </c>
    </row>
    <row r="9940" customFormat="false" ht="15" hidden="false" customHeight="false" outlineLevel="0" collapsed="false">
      <c r="A9940" s="103"/>
      <c r="B9940" s="104"/>
      <c r="C9940" s="104"/>
      <c r="E9940" s="107" t="str">
        <f aca="false">IF($C9940="","",IFERROR(INDEX(المنيو!$C$2:$C$500,MATCH($C9940,المنيو!$B$2:$B$500,0)),0))</f>
        <v/>
      </c>
      <c r="F9940" s="107" t="str">
        <f aca="false">IF($C9940="","",$D9940*$E9940)</f>
        <v/>
      </c>
      <c r="G9940" s="107" t="str">
        <f aca="false">IF($C9940="","",$D9940*IFERROR(INDEX('تحليل التكلفة والسعر'!$C$2:$C$700,MATCH($C9940,'تحليل التكلفة والسعر'!$B$2:$B$700,0)),0))</f>
        <v/>
      </c>
    </row>
    <row r="9941" customFormat="false" ht="15" hidden="false" customHeight="false" outlineLevel="0" collapsed="false">
      <c r="A9941" s="103"/>
      <c r="B9941" s="104"/>
      <c r="C9941" s="104"/>
      <c r="E9941" s="107" t="str">
        <f aca="false">IF($C9941="","",IFERROR(INDEX(المنيو!$C$2:$C$500,MATCH($C9941,المنيو!$B$2:$B$500,0)),0))</f>
        <v/>
      </c>
      <c r="F9941" s="107" t="str">
        <f aca="false">IF($C9941="","",$D9941*$E9941)</f>
        <v/>
      </c>
      <c r="G9941" s="107" t="str">
        <f aca="false">IF($C9941="","",$D9941*IFERROR(INDEX('تحليل التكلفة والسعر'!$C$2:$C$700,MATCH($C9941,'تحليل التكلفة والسعر'!$B$2:$B$700,0)),0))</f>
        <v/>
      </c>
    </row>
    <row r="9942" customFormat="false" ht="15" hidden="false" customHeight="false" outlineLevel="0" collapsed="false">
      <c r="A9942" s="103"/>
      <c r="B9942" s="104"/>
      <c r="C9942" s="104"/>
      <c r="E9942" s="107" t="str">
        <f aca="false">IF($C9942="","",IFERROR(INDEX(المنيو!$C$2:$C$500,MATCH($C9942,المنيو!$B$2:$B$500,0)),0))</f>
        <v/>
      </c>
      <c r="F9942" s="107" t="str">
        <f aca="false">IF($C9942="","",$D9942*$E9942)</f>
        <v/>
      </c>
      <c r="G9942" s="107" t="str">
        <f aca="false">IF($C9942="","",$D9942*IFERROR(INDEX('تحليل التكلفة والسعر'!$C$2:$C$700,MATCH($C9942,'تحليل التكلفة والسعر'!$B$2:$B$700,0)),0))</f>
        <v/>
      </c>
    </row>
    <row r="9943" customFormat="false" ht="15" hidden="false" customHeight="false" outlineLevel="0" collapsed="false">
      <c r="A9943" s="103"/>
      <c r="B9943" s="104"/>
      <c r="C9943" s="104"/>
      <c r="E9943" s="107" t="str">
        <f aca="false">IF($C9943="","",IFERROR(INDEX(المنيو!$C$2:$C$500,MATCH($C9943,المنيو!$B$2:$B$500,0)),0))</f>
        <v/>
      </c>
      <c r="F9943" s="107" t="str">
        <f aca="false">IF($C9943="","",$D9943*$E9943)</f>
        <v/>
      </c>
      <c r="G9943" s="107" t="str">
        <f aca="false">IF($C9943="","",$D9943*IFERROR(INDEX('تحليل التكلفة والسعر'!$C$2:$C$700,MATCH($C9943,'تحليل التكلفة والسعر'!$B$2:$B$700,0)),0))</f>
        <v/>
      </c>
    </row>
    <row r="9944" customFormat="false" ht="15" hidden="false" customHeight="false" outlineLevel="0" collapsed="false">
      <c r="A9944" s="103"/>
      <c r="B9944" s="104"/>
      <c r="C9944" s="104"/>
      <c r="E9944" s="107" t="str">
        <f aca="false">IF($C9944="","",IFERROR(INDEX(المنيو!$C$2:$C$500,MATCH($C9944,المنيو!$B$2:$B$500,0)),0))</f>
        <v/>
      </c>
      <c r="F9944" s="107" t="str">
        <f aca="false">IF($C9944="","",$D9944*$E9944)</f>
        <v/>
      </c>
      <c r="G9944" s="107" t="str">
        <f aca="false">IF($C9944="","",$D9944*IFERROR(INDEX('تحليل التكلفة والسعر'!$C$2:$C$700,MATCH($C9944,'تحليل التكلفة والسعر'!$B$2:$B$700,0)),0))</f>
        <v/>
      </c>
    </row>
    <row r="9945" customFormat="false" ht="15" hidden="false" customHeight="false" outlineLevel="0" collapsed="false">
      <c r="A9945" s="103"/>
      <c r="B9945" s="104"/>
      <c r="C9945" s="104"/>
      <c r="E9945" s="107" t="str">
        <f aca="false">IF($C9945="","",IFERROR(INDEX(المنيو!$C$2:$C$500,MATCH($C9945,المنيو!$B$2:$B$500,0)),0))</f>
        <v/>
      </c>
      <c r="F9945" s="107" t="str">
        <f aca="false">IF($C9945="","",$D9945*$E9945)</f>
        <v/>
      </c>
      <c r="G9945" s="107" t="str">
        <f aca="false">IF($C9945="","",$D9945*IFERROR(INDEX('تحليل التكلفة والسعر'!$C$2:$C$700,MATCH($C9945,'تحليل التكلفة والسعر'!$B$2:$B$700,0)),0))</f>
        <v/>
      </c>
    </row>
    <row r="9946" customFormat="false" ht="15" hidden="false" customHeight="false" outlineLevel="0" collapsed="false">
      <c r="A9946" s="103"/>
      <c r="B9946" s="104"/>
      <c r="C9946" s="104"/>
      <c r="E9946" s="107" t="str">
        <f aca="false">IF($C9946="","",IFERROR(INDEX(المنيو!$C$2:$C$500,MATCH($C9946,المنيو!$B$2:$B$500,0)),0))</f>
        <v/>
      </c>
      <c r="F9946" s="107" t="str">
        <f aca="false">IF($C9946="","",$D9946*$E9946)</f>
        <v/>
      </c>
      <c r="G9946" s="107" t="str">
        <f aca="false">IF($C9946="","",$D9946*IFERROR(INDEX('تحليل التكلفة والسعر'!$C$2:$C$700,MATCH($C9946,'تحليل التكلفة والسعر'!$B$2:$B$700,0)),0))</f>
        <v/>
      </c>
    </row>
    <row r="9947" customFormat="false" ht="15" hidden="false" customHeight="false" outlineLevel="0" collapsed="false">
      <c r="A9947" s="103"/>
      <c r="B9947" s="104"/>
      <c r="C9947" s="104"/>
      <c r="E9947" s="107" t="str">
        <f aca="false">IF($C9947="","",IFERROR(INDEX(المنيو!$C$2:$C$500,MATCH($C9947,المنيو!$B$2:$B$500,0)),0))</f>
        <v/>
      </c>
      <c r="F9947" s="107" t="str">
        <f aca="false">IF($C9947="","",$D9947*$E9947)</f>
        <v/>
      </c>
      <c r="G9947" s="107" t="str">
        <f aca="false">IF($C9947="","",$D9947*IFERROR(INDEX('تحليل التكلفة والسعر'!$C$2:$C$700,MATCH($C9947,'تحليل التكلفة والسعر'!$B$2:$B$700,0)),0))</f>
        <v/>
      </c>
    </row>
    <row r="9948" customFormat="false" ht="15" hidden="false" customHeight="false" outlineLevel="0" collapsed="false">
      <c r="A9948" s="103"/>
      <c r="B9948" s="104"/>
      <c r="C9948" s="104"/>
      <c r="E9948" s="107" t="str">
        <f aca="false">IF($C9948="","",IFERROR(INDEX(المنيو!$C$2:$C$500,MATCH($C9948,المنيو!$B$2:$B$500,0)),0))</f>
        <v/>
      </c>
      <c r="F9948" s="107" t="str">
        <f aca="false">IF($C9948="","",$D9948*$E9948)</f>
        <v/>
      </c>
      <c r="G9948" s="107" t="str">
        <f aca="false">IF($C9948="","",$D9948*IFERROR(INDEX('تحليل التكلفة والسعر'!$C$2:$C$700,MATCH($C9948,'تحليل التكلفة والسعر'!$B$2:$B$700,0)),0))</f>
        <v/>
      </c>
    </row>
    <row r="9949" customFormat="false" ht="15" hidden="false" customHeight="false" outlineLevel="0" collapsed="false">
      <c r="A9949" s="103"/>
      <c r="B9949" s="104"/>
      <c r="C9949" s="104"/>
      <c r="E9949" s="107" t="str">
        <f aca="false">IF($C9949="","",IFERROR(INDEX(المنيو!$C$2:$C$500,MATCH($C9949,المنيو!$B$2:$B$500,0)),0))</f>
        <v/>
      </c>
      <c r="F9949" s="107" t="str">
        <f aca="false">IF($C9949="","",$D9949*$E9949)</f>
        <v/>
      </c>
      <c r="G9949" s="107" t="str">
        <f aca="false">IF($C9949="","",$D9949*IFERROR(INDEX('تحليل التكلفة والسعر'!$C$2:$C$700,MATCH($C9949,'تحليل التكلفة والسعر'!$B$2:$B$700,0)),0))</f>
        <v/>
      </c>
    </row>
    <row r="9950" customFormat="false" ht="15" hidden="false" customHeight="false" outlineLevel="0" collapsed="false">
      <c r="A9950" s="103"/>
      <c r="B9950" s="104"/>
      <c r="C9950" s="104"/>
      <c r="E9950" s="107" t="str">
        <f aca="false">IF($C9950="","",IFERROR(INDEX(المنيو!$C$2:$C$500,MATCH($C9950,المنيو!$B$2:$B$500,0)),0))</f>
        <v/>
      </c>
      <c r="F9950" s="107" t="str">
        <f aca="false">IF($C9950="","",$D9950*$E9950)</f>
        <v/>
      </c>
      <c r="G9950" s="107" t="str">
        <f aca="false">IF($C9950="","",$D9950*IFERROR(INDEX('تحليل التكلفة والسعر'!$C$2:$C$700,MATCH($C9950,'تحليل التكلفة والسعر'!$B$2:$B$700,0)),0))</f>
        <v/>
      </c>
    </row>
    <row r="9951" customFormat="false" ht="15" hidden="false" customHeight="false" outlineLevel="0" collapsed="false">
      <c r="A9951" s="103"/>
      <c r="B9951" s="104"/>
      <c r="C9951" s="104"/>
      <c r="E9951" s="107" t="str">
        <f aca="false">IF($C9951="","",IFERROR(INDEX(المنيو!$C$2:$C$500,MATCH($C9951,المنيو!$B$2:$B$500,0)),0))</f>
        <v/>
      </c>
      <c r="F9951" s="107" t="str">
        <f aca="false">IF($C9951="","",$D9951*$E9951)</f>
        <v/>
      </c>
      <c r="G9951" s="107" t="str">
        <f aca="false">IF($C9951="","",$D9951*IFERROR(INDEX('تحليل التكلفة والسعر'!$C$2:$C$700,MATCH($C9951,'تحليل التكلفة والسعر'!$B$2:$B$700,0)),0))</f>
        <v/>
      </c>
    </row>
    <row r="9952" customFormat="false" ht="15" hidden="false" customHeight="false" outlineLevel="0" collapsed="false">
      <c r="A9952" s="103"/>
      <c r="B9952" s="104"/>
      <c r="C9952" s="104"/>
      <c r="E9952" s="107" t="str">
        <f aca="false">IF($C9952="","",IFERROR(INDEX(المنيو!$C$2:$C$500,MATCH($C9952,المنيو!$B$2:$B$500,0)),0))</f>
        <v/>
      </c>
      <c r="F9952" s="107" t="str">
        <f aca="false">IF($C9952="","",$D9952*$E9952)</f>
        <v/>
      </c>
      <c r="G9952" s="107" t="str">
        <f aca="false">IF($C9952="","",$D9952*IFERROR(INDEX('تحليل التكلفة والسعر'!$C$2:$C$700,MATCH($C9952,'تحليل التكلفة والسعر'!$B$2:$B$700,0)),0))</f>
        <v/>
      </c>
    </row>
    <row r="9953" customFormat="false" ht="15" hidden="false" customHeight="false" outlineLevel="0" collapsed="false">
      <c r="A9953" s="103"/>
      <c r="B9953" s="104"/>
      <c r="C9953" s="104"/>
      <c r="E9953" s="107" t="str">
        <f aca="false">IF($C9953="","",IFERROR(INDEX(المنيو!$C$2:$C$500,MATCH($C9953,المنيو!$B$2:$B$500,0)),0))</f>
        <v/>
      </c>
      <c r="F9953" s="107" t="str">
        <f aca="false">IF($C9953="","",$D9953*$E9953)</f>
        <v/>
      </c>
      <c r="G9953" s="107" t="str">
        <f aca="false">IF($C9953="","",$D9953*IFERROR(INDEX('تحليل التكلفة والسعر'!$C$2:$C$700,MATCH($C9953,'تحليل التكلفة والسعر'!$B$2:$B$700,0)),0))</f>
        <v/>
      </c>
    </row>
    <row r="9954" customFormat="false" ht="15" hidden="false" customHeight="false" outlineLevel="0" collapsed="false">
      <c r="A9954" s="103"/>
      <c r="B9954" s="104"/>
      <c r="C9954" s="104"/>
      <c r="E9954" s="107" t="str">
        <f aca="false">IF($C9954="","",IFERROR(INDEX(المنيو!$C$2:$C$500,MATCH($C9954,المنيو!$B$2:$B$500,0)),0))</f>
        <v/>
      </c>
      <c r="F9954" s="107" t="str">
        <f aca="false">IF($C9954="","",$D9954*$E9954)</f>
        <v/>
      </c>
      <c r="G9954" s="107" t="str">
        <f aca="false">IF($C9954="","",$D9954*IFERROR(INDEX('تحليل التكلفة والسعر'!$C$2:$C$700,MATCH($C9954,'تحليل التكلفة والسعر'!$B$2:$B$700,0)),0))</f>
        <v/>
      </c>
    </row>
    <row r="9955" customFormat="false" ht="15" hidden="false" customHeight="false" outlineLevel="0" collapsed="false">
      <c r="A9955" s="103"/>
      <c r="B9955" s="104"/>
      <c r="C9955" s="104"/>
      <c r="E9955" s="107" t="str">
        <f aca="false">IF($C9955="","",IFERROR(INDEX(المنيو!$C$2:$C$500,MATCH($C9955,المنيو!$B$2:$B$500,0)),0))</f>
        <v/>
      </c>
      <c r="F9955" s="107" t="str">
        <f aca="false">IF($C9955="","",$D9955*$E9955)</f>
        <v/>
      </c>
      <c r="G9955" s="107" t="str">
        <f aca="false">IF($C9955="","",$D9955*IFERROR(INDEX('تحليل التكلفة والسعر'!$C$2:$C$700,MATCH($C9955,'تحليل التكلفة والسعر'!$B$2:$B$700,0)),0))</f>
        <v/>
      </c>
    </row>
    <row r="9956" customFormat="false" ht="15" hidden="false" customHeight="false" outlineLevel="0" collapsed="false">
      <c r="A9956" s="103"/>
      <c r="B9956" s="104"/>
      <c r="C9956" s="104"/>
      <c r="E9956" s="107" t="str">
        <f aca="false">IF($C9956="","",IFERROR(INDEX(المنيو!$C$2:$C$500,MATCH($C9956,المنيو!$B$2:$B$500,0)),0))</f>
        <v/>
      </c>
      <c r="F9956" s="107" t="str">
        <f aca="false">IF($C9956="","",$D9956*$E9956)</f>
        <v/>
      </c>
      <c r="G9956" s="107" t="str">
        <f aca="false">IF($C9956="","",$D9956*IFERROR(INDEX('تحليل التكلفة والسعر'!$C$2:$C$700,MATCH($C9956,'تحليل التكلفة والسعر'!$B$2:$B$700,0)),0))</f>
        <v/>
      </c>
    </row>
    <row r="9957" customFormat="false" ht="15" hidden="false" customHeight="false" outlineLevel="0" collapsed="false">
      <c r="A9957" s="103"/>
      <c r="B9957" s="104"/>
      <c r="C9957" s="104"/>
      <c r="E9957" s="107" t="str">
        <f aca="false">IF($C9957="","",IFERROR(INDEX(المنيو!$C$2:$C$500,MATCH($C9957,المنيو!$B$2:$B$500,0)),0))</f>
        <v/>
      </c>
      <c r="F9957" s="107" t="str">
        <f aca="false">IF($C9957="","",$D9957*$E9957)</f>
        <v/>
      </c>
      <c r="G9957" s="107" t="str">
        <f aca="false">IF($C9957="","",$D9957*IFERROR(INDEX('تحليل التكلفة والسعر'!$C$2:$C$700,MATCH($C9957,'تحليل التكلفة والسعر'!$B$2:$B$700,0)),0))</f>
        <v/>
      </c>
    </row>
    <row r="9958" customFormat="false" ht="15" hidden="false" customHeight="false" outlineLevel="0" collapsed="false">
      <c r="A9958" s="103"/>
      <c r="B9958" s="104"/>
      <c r="C9958" s="104"/>
      <c r="E9958" s="107" t="str">
        <f aca="false">IF($C9958="","",IFERROR(INDEX(المنيو!$C$2:$C$500,MATCH($C9958,المنيو!$B$2:$B$500,0)),0))</f>
        <v/>
      </c>
      <c r="F9958" s="107" t="str">
        <f aca="false">IF($C9958="","",$D9958*$E9958)</f>
        <v/>
      </c>
      <c r="G9958" s="107" t="str">
        <f aca="false">IF($C9958="","",$D9958*IFERROR(INDEX('تحليل التكلفة والسعر'!$C$2:$C$700,MATCH($C9958,'تحليل التكلفة والسعر'!$B$2:$B$700,0)),0))</f>
        <v/>
      </c>
    </row>
    <row r="9959" customFormat="false" ht="15" hidden="false" customHeight="false" outlineLevel="0" collapsed="false">
      <c r="A9959" s="103"/>
      <c r="B9959" s="104"/>
      <c r="C9959" s="104"/>
      <c r="E9959" s="107" t="str">
        <f aca="false">IF($C9959="","",IFERROR(INDEX(المنيو!$C$2:$C$500,MATCH($C9959,المنيو!$B$2:$B$500,0)),0))</f>
        <v/>
      </c>
      <c r="F9959" s="107" t="str">
        <f aca="false">IF($C9959="","",$D9959*$E9959)</f>
        <v/>
      </c>
      <c r="G9959" s="107" t="str">
        <f aca="false">IF($C9959="","",$D9959*IFERROR(INDEX('تحليل التكلفة والسعر'!$C$2:$C$700,MATCH($C9959,'تحليل التكلفة والسعر'!$B$2:$B$700,0)),0))</f>
        <v/>
      </c>
    </row>
    <row r="9960" customFormat="false" ht="15" hidden="false" customHeight="false" outlineLevel="0" collapsed="false">
      <c r="A9960" s="103"/>
      <c r="B9960" s="104"/>
      <c r="C9960" s="104"/>
      <c r="E9960" s="107" t="str">
        <f aca="false">IF($C9960="","",IFERROR(INDEX(المنيو!$C$2:$C$500,MATCH($C9960,المنيو!$B$2:$B$500,0)),0))</f>
        <v/>
      </c>
      <c r="F9960" s="107" t="str">
        <f aca="false">IF($C9960="","",$D9960*$E9960)</f>
        <v/>
      </c>
      <c r="G9960" s="107" t="str">
        <f aca="false">IF($C9960="","",$D9960*IFERROR(INDEX('تحليل التكلفة والسعر'!$C$2:$C$700,MATCH($C9960,'تحليل التكلفة والسعر'!$B$2:$B$700,0)),0))</f>
        <v/>
      </c>
    </row>
    <row r="9961" customFormat="false" ht="15" hidden="false" customHeight="false" outlineLevel="0" collapsed="false">
      <c r="A9961" s="103"/>
      <c r="B9961" s="104"/>
      <c r="C9961" s="104"/>
      <c r="E9961" s="107" t="str">
        <f aca="false">IF($C9961="","",IFERROR(INDEX(المنيو!$C$2:$C$500,MATCH($C9961,المنيو!$B$2:$B$500,0)),0))</f>
        <v/>
      </c>
      <c r="F9961" s="107" t="str">
        <f aca="false">IF($C9961="","",$D9961*$E9961)</f>
        <v/>
      </c>
      <c r="G9961" s="107" t="str">
        <f aca="false">IF($C9961="","",$D9961*IFERROR(INDEX('تحليل التكلفة والسعر'!$C$2:$C$700,MATCH($C9961,'تحليل التكلفة والسعر'!$B$2:$B$700,0)),0))</f>
        <v/>
      </c>
    </row>
    <row r="9962" customFormat="false" ht="15" hidden="false" customHeight="false" outlineLevel="0" collapsed="false">
      <c r="A9962" s="103"/>
      <c r="B9962" s="104"/>
      <c r="C9962" s="104"/>
      <c r="E9962" s="107" t="str">
        <f aca="false">IF($C9962="","",IFERROR(INDEX(المنيو!$C$2:$C$500,MATCH($C9962,المنيو!$B$2:$B$500,0)),0))</f>
        <v/>
      </c>
      <c r="F9962" s="107" t="str">
        <f aca="false">IF($C9962="","",$D9962*$E9962)</f>
        <v/>
      </c>
      <c r="G9962" s="107" t="str">
        <f aca="false">IF($C9962="","",$D9962*IFERROR(INDEX('تحليل التكلفة والسعر'!$C$2:$C$700,MATCH($C9962,'تحليل التكلفة والسعر'!$B$2:$B$700,0)),0))</f>
        <v/>
      </c>
    </row>
    <row r="9963" customFormat="false" ht="15" hidden="false" customHeight="false" outlineLevel="0" collapsed="false">
      <c r="A9963" s="103"/>
      <c r="B9963" s="104"/>
      <c r="C9963" s="104"/>
      <c r="E9963" s="107" t="str">
        <f aca="false">IF($C9963="","",IFERROR(INDEX(المنيو!$C$2:$C$500,MATCH($C9963,المنيو!$B$2:$B$500,0)),0))</f>
        <v/>
      </c>
      <c r="F9963" s="107" t="str">
        <f aca="false">IF($C9963="","",$D9963*$E9963)</f>
        <v/>
      </c>
      <c r="G9963" s="107" t="str">
        <f aca="false">IF($C9963="","",$D9963*IFERROR(INDEX('تحليل التكلفة والسعر'!$C$2:$C$700,MATCH($C9963,'تحليل التكلفة والسعر'!$B$2:$B$700,0)),0))</f>
        <v/>
      </c>
    </row>
    <row r="9964" customFormat="false" ht="15" hidden="false" customHeight="false" outlineLevel="0" collapsed="false">
      <c r="A9964" s="103"/>
      <c r="B9964" s="104"/>
      <c r="C9964" s="104"/>
      <c r="E9964" s="107" t="str">
        <f aca="false">IF($C9964="","",IFERROR(INDEX(المنيو!$C$2:$C$500,MATCH($C9964,المنيو!$B$2:$B$500,0)),0))</f>
        <v/>
      </c>
      <c r="F9964" s="107" t="str">
        <f aca="false">IF($C9964="","",$D9964*$E9964)</f>
        <v/>
      </c>
      <c r="G9964" s="107" t="str">
        <f aca="false">IF($C9964="","",$D9964*IFERROR(INDEX('تحليل التكلفة والسعر'!$C$2:$C$700,MATCH($C9964,'تحليل التكلفة والسعر'!$B$2:$B$700,0)),0))</f>
        <v/>
      </c>
    </row>
    <row r="9965" customFormat="false" ht="15" hidden="false" customHeight="false" outlineLevel="0" collapsed="false">
      <c r="A9965" s="103"/>
      <c r="B9965" s="104"/>
      <c r="C9965" s="104"/>
      <c r="E9965" s="107" t="str">
        <f aca="false">IF($C9965="","",IFERROR(INDEX(المنيو!$C$2:$C$500,MATCH($C9965,المنيو!$B$2:$B$500,0)),0))</f>
        <v/>
      </c>
      <c r="F9965" s="107" t="str">
        <f aca="false">IF($C9965="","",$D9965*$E9965)</f>
        <v/>
      </c>
      <c r="G9965" s="107" t="str">
        <f aca="false">IF($C9965="","",$D9965*IFERROR(INDEX('تحليل التكلفة والسعر'!$C$2:$C$700,MATCH($C9965,'تحليل التكلفة والسعر'!$B$2:$B$700,0)),0))</f>
        <v/>
      </c>
    </row>
    <row r="9966" customFormat="false" ht="15" hidden="false" customHeight="false" outlineLevel="0" collapsed="false">
      <c r="A9966" s="103"/>
      <c r="B9966" s="104"/>
      <c r="C9966" s="104"/>
      <c r="E9966" s="107" t="str">
        <f aca="false">IF($C9966="","",IFERROR(INDEX(المنيو!$C$2:$C$500,MATCH($C9966,المنيو!$B$2:$B$500,0)),0))</f>
        <v/>
      </c>
      <c r="F9966" s="107" t="str">
        <f aca="false">IF($C9966="","",$D9966*$E9966)</f>
        <v/>
      </c>
      <c r="G9966" s="107" t="str">
        <f aca="false">IF($C9966="","",$D9966*IFERROR(INDEX('تحليل التكلفة والسعر'!$C$2:$C$700,MATCH($C9966,'تحليل التكلفة والسعر'!$B$2:$B$700,0)),0))</f>
        <v/>
      </c>
    </row>
    <row r="9967" customFormat="false" ht="15" hidden="false" customHeight="false" outlineLevel="0" collapsed="false">
      <c r="A9967" s="103"/>
      <c r="B9967" s="104"/>
      <c r="C9967" s="104"/>
      <c r="E9967" s="107" t="str">
        <f aca="false">IF($C9967="","",IFERROR(INDEX(المنيو!$C$2:$C$500,MATCH($C9967,المنيو!$B$2:$B$500,0)),0))</f>
        <v/>
      </c>
      <c r="F9967" s="107" t="str">
        <f aca="false">IF($C9967="","",$D9967*$E9967)</f>
        <v/>
      </c>
      <c r="G9967" s="107" t="str">
        <f aca="false">IF($C9967="","",$D9967*IFERROR(INDEX('تحليل التكلفة والسعر'!$C$2:$C$700,MATCH($C9967,'تحليل التكلفة والسعر'!$B$2:$B$700,0)),0))</f>
        <v/>
      </c>
    </row>
    <row r="9968" customFormat="false" ht="15" hidden="false" customHeight="false" outlineLevel="0" collapsed="false">
      <c r="A9968" s="103"/>
      <c r="B9968" s="104"/>
      <c r="C9968" s="104"/>
      <c r="E9968" s="107" t="str">
        <f aca="false">IF($C9968="","",IFERROR(INDEX(المنيو!$C$2:$C$500,MATCH($C9968,المنيو!$B$2:$B$500,0)),0))</f>
        <v/>
      </c>
      <c r="F9968" s="107" t="str">
        <f aca="false">IF($C9968="","",$D9968*$E9968)</f>
        <v/>
      </c>
      <c r="G9968" s="107" t="str">
        <f aca="false">IF($C9968="","",$D9968*IFERROR(INDEX('تحليل التكلفة والسعر'!$C$2:$C$700,MATCH($C9968,'تحليل التكلفة والسعر'!$B$2:$B$700,0)),0))</f>
        <v/>
      </c>
    </row>
    <row r="9969" customFormat="false" ht="15" hidden="false" customHeight="false" outlineLevel="0" collapsed="false">
      <c r="A9969" s="103"/>
      <c r="B9969" s="104"/>
      <c r="C9969" s="104"/>
      <c r="E9969" s="107" t="str">
        <f aca="false">IF($C9969="","",IFERROR(INDEX(المنيو!$C$2:$C$500,MATCH($C9969,المنيو!$B$2:$B$500,0)),0))</f>
        <v/>
      </c>
      <c r="F9969" s="107" t="str">
        <f aca="false">IF($C9969="","",$D9969*$E9969)</f>
        <v/>
      </c>
      <c r="G9969" s="107" t="str">
        <f aca="false">IF($C9969="","",$D9969*IFERROR(INDEX('تحليل التكلفة والسعر'!$C$2:$C$700,MATCH($C9969,'تحليل التكلفة والسعر'!$B$2:$B$700,0)),0))</f>
        <v/>
      </c>
    </row>
    <row r="9970" customFormat="false" ht="15" hidden="false" customHeight="false" outlineLevel="0" collapsed="false">
      <c r="A9970" s="103"/>
      <c r="B9970" s="104"/>
      <c r="C9970" s="104"/>
      <c r="E9970" s="107" t="str">
        <f aca="false">IF($C9970="","",IFERROR(INDEX(المنيو!$C$2:$C$500,MATCH($C9970,المنيو!$B$2:$B$500,0)),0))</f>
        <v/>
      </c>
      <c r="F9970" s="107" t="str">
        <f aca="false">IF($C9970="","",$D9970*$E9970)</f>
        <v/>
      </c>
      <c r="G9970" s="107" t="str">
        <f aca="false">IF($C9970="","",$D9970*IFERROR(INDEX('تحليل التكلفة والسعر'!$C$2:$C$700,MATCH($C9970,'تحليل التكلفة والسعر'!$B$2:$B$700,0)),0))</f>
        <v/>
      </c>
    </row>
    <row r="9971" customFormat="false" ht="15" hidden="false" customHeight="false" outlineLevel="0" collapsed="false">
      <c r="A9971" s="103"/>
      <c r="B9971" s="104"/>
      <c r="C9971" s="104"/>
      <c r="E9971" s="107" t="str">
        <f aca="false">IF($C9971="","",IFERROR(INDEX(المنيو!$C$2:$C$500,MATCH($C9971,المنيو!$B$2:$B$500,0)),0))</f>
        <v/>
      </c>
      <c r="F9971" s="107" t="str">
        <f aca="false">IF($C9971="","",$D9971*$E9971)</f>
        <v/>
      </c>
      <c r="G9971" s="107" t="str">
        <f aca="false">IF($C9971="","",$D9971*IFERROR(INDEX('تحليل التكلفة والسعر'!$C$2:$C$700,MATCH($C9971,'تحليل التكلفة والسعر'!$B$2:$B$700,0)),0))</f>
        <v/>
      </c>
    </row>
    <row r="9972" customFormat="false" ht="15" hidden="false" customHeight="false" outlineLevel="0" collapsed="false">
      <c r="A9972" s="103"/>
      <c r="B9972" s="104"/>
      <c r="C9972" s="104"/>
      <c r="E9972" s="107" t="str">
        <f aca="false">IF($C9972="","",IFERROR(INDEX(المنيو!$C$2:$C$500,MATCH($C9972,المنيو!$B$2:$B$500,0)),0))</f>
        <v/>
      </c>
      <c r="F9972" s="107" t="str">
        <f aca="false">IF($C9972="","",$D9972*$E9972)</f>
        <v/>
      </c>
      <c r="G9972" s="107" t="str">
        <f aca="false">IF($C9972="","",$D9972*IFERROR(INDEX('تحليل التكلفة والسعر'!$C$2:$C$700,MATCH($C9972,'تحليل التكلفة والسعر'!$B$2:$B$700,0)),0))</f>
        <v/>
      </c>
    </row>
    <row r="9973" customFormat="false" ht="15" hidden="false" customHeight="false" outlineLevel="0" collapsed="false">
      <c r="A9973" s="103"/>
      <c r="B9973" s="104"/>
      <c r="C9973" s="104"/>
      <c r="E9973" s="107" t="str">
        <f aca="false">IF($C9973="","",IFERROR(INDEX(المنيو!$C$2:$C$500,MATCH($C9973,المنيو!$B$2:$B$500,0)),0))</f>
        <v/>
      </c>
      <c r="F9973" s="107" t="str">
        <f aca="false">IF($C9973="","",$D9973*$E9973)</f>
        <v/>
      </c>
      <c r="G9973" s="107" t="str">
        <f aca="false">IF($C9973="","",$D9973*IFERROR(INDEX('تحليل التكلفة والسعر'!$C$2:$C$700,MATCH($C9973,'تحليل التكلفة والسعر'!$B$2:$B$700,0)),0))</f>
        <v/>
      </c>
    </row>
    <row r="9974" customFormat="false" ht="15" hidden="false" customHeight="false" outlineLevel="0" collapsed="false">
      <c r="A9974" s="103"/>
      <c r="B9974" s="104"/>
      <c r="C9974" s="104"/>
      <c r="E9974" s="107" t="str">
        <f aca="false">IF($C9974="","",IFERROR(INDEX(المنيو!$C$2:$C$500,MATCH($C9974,المنيو!$B$2:$B$500,0)),0))</f>
        <v/>
      </c>
      <c r="F9974" s="107" t="str">
        <f aca="false">IF($C9974="","",$D9974*$E9974)</f>
        <v/>
      </c>
      <c r="G9974" s="107" t="str">
        <f aca="false">IF($C9974="","",$D9974*IFERROR(INDEX('تحليل التكلفة والسعر'!$C$2:$C$700,MATCH($C9974,'تحليل التكلفة والسعر'!$B$2:$B$700,0)),0))</f>
        <v/>
      </c>
    </row>
    <row r="9975" customFormat="false" ht="15" hidden="false" customHeight="false" outlineLevel="0" collapsed="false">
      <c r="A9975" s="103"/>
      <c r="B9975" s="104"/>
      <c r="C9975" s="104"/>
      <c r="E9975" s="107" t="str">
        <f aca="false">IF($C9975="","",IFERROR(INDEX(المنيو!$C$2:$C$500,MATCH($C9975,المنيو!$B$2:$B$500,0)),0))</f>
        <v/>
      </c>
      <c r="F9975" s="107" t="str">
        <f aca="false">IF($C9975="","",$D9975*$E9975)</f>
        <v/>
      </c>
      <c r="G9975" s="107" t="str">
        <f aca="false">IF($C9975="","",$D9975*IFERROR(INDEX('تحليل التكلفة والسعر'!$C$2:$C$700,MATCH($C9975,'تحليل التكلفة والسعر'!$B$2:$B$700,0)),0))</f>
        <v/>
      </c>
    </row>
    <row r="9976" customFormat="false" ht="15" hidden="false" customHeight="false" outlineLevel="0" collapsed="false">
      <c r="A9976" s="103"/>
      <c r="B9976" s="104"/>
      <c r="C9976" s="104"/>
      <c r="E9976" s="107" t="str">
        <f aca="false">IF($C9976="","",IFERROR(INDEX(المنيو!$C$2:$C$500,MATCH($C9976,المنيو!$B$2:$B$500,0)),0))</f>
        <v/>
      </c>
      <c r="F9976" s="107" t="str">
        <f aca="false">IF($C9976="","",$D9976*$E9976)</f>
        <v/>
      </c>
      <c r="G9976" s="107" t="str">
        <f aca="false">IF($C9976="","",$D9976*IFERROR(INDEX('تحليل التكلفة والسعر'!$C$2:$C$700,MATCH($C9976,'تحليل التكلفة والسعر'!$B$2:$B$700,0)),0))</f>
        <v/>
      </c>
    </row>
    <row r="9977" customFormat="false" ht="15" hidden="false" customHeight="false" outlineLevel="0" collapsed="false">
      <c r="A9977" s="103"/>
      <c r="B9977" s="104"/>
      <c r="C9977" s="104"/>
      <c r="E9977" s="107" t="str">
        <f aca="false">IF($C9977="","",IFERROR(INDEX(المنيو!$C$2:$C$500,MATCH($C9977,المنيو!$B$2:$B$500,0)),0))</f>
        <v/>
      </c>
      <c r="F9977" s="107" t="str">
        <f aca="false">IF($C9977="","",$D9977*$E9977)</f>
        <v/>
      </c>
      <c r="G9977" s="107" t="str">
        <f aca="false">IF($C9977="","",$D9977*IFERROR(INDEX('تحليل التكلفة والسعر'!$C$2:$C$700,MATCH($C9977,'تحليل التكلفة والسعر'!$B$2:$B$700,0)),0))</f>
        <v/>
      </c>
    </row>
    <row r="9978" customFormat="false" ht="15" hidden="false" customHeight="false" outlineLevel="0" collapsed="false">
      <c r="A9978" s="103"/>
      <c r="B9978" s="104"/>
      <c r="C9978" s="104"/>
      <c r="E9978" s="107" t="str">
        <f aca="false">IF($C9978="","",IFERROR(INDEX(المنيو!$C$2:$C$500,MATCH($C9978,المنيو!$B$2:$B$500,0)),0))</f>
        <v/>
      </c>
      <c r="F9978" s="107" t="str">
        <f aca="false">IF($C9978="","",$D9978*$E9978)</f>
        <v/>
      </c>
      <c r="G9978" s="107" t="str">
        <f aca="false">IF($C9978="","",$D9978*IFERROR(INDEX('تحليل التكلفة والسعر'!$C$2:$C$700,MATCH($C9978,'تحليل التكلفة والسعر'!$B$2:$B$700,0)),0))</f>
        <v/>
      </c>
    </row>
    <row r="9979" customFormat="false" ht="15" hidden="false" customHeight="false" outlineLevel="0" collapsed="false">
      <c r="A9979" s="103"/>
      <c r="B9979" s="104"/>
      <c r="C9979" s="104"/>
      <c r="E9979" s="107" t="str">
        <f aca="false">IF($C9979="","",IFERROR(INDEX(المنيو!$C$2:$C$500,MATCH($C9979,المنيو!$B$2:$B$500,0)),0))</f>
        <v/>
      </c>
      <c r="F9979" s="107" t="str">
        <f aca="false">IF($C9979="","",$D9979*$E9979)</f>
        <v/>
      </c>
      <c r="G9979" s="107" t="str">
        <f aca="false">IF($C9979="","",$D9979*IFERROR(INDEX('تحليل التكلفة والسعر'!$C$2:$C$700,MATCH($C9979,'تحليل التكلفة والسعر'!$B$2:$B$700,0)),0))</f>
        <v/>
      </c>
    </row>
    <row r="9980" customFormat="false" ht="15" hidden="false" customHeight="false" outlineLevel="0" collapsed="false">
      <c r="A9980" s="103"/>
      <c r="B9980" s="104"/>
      <c r="C9980" s="104"/>
      <c r="E9980" s="107" t="str">
        <f aca="false">IF($C9980="","",IFERROR(INDEX(المنيو!$C$2:$C$500,MATCH($C9980,المنيو!$B$2:$B$500,0)),0))</f>
        <v/>
      </c>
      <c r="F9980" s="107" t="str">
        <f aca="false">IF($C9980="","",$D9980*$E9980)</f>
        <v/>
      </c>
      <c r="G9980" s="107" t="str">
        <f aca="false">IF($C9980="","",$D9980*IFERROR(INDEX('تحليل التكلفة والسعر'!$C$2:$C$700,MATCH($C9980,'تحليل التكلفة والسعر'!$B$2:$B$700,0)),0))</f>
        <v/>
      </c>
    </row>
    <row r="9981" customFormat="false" ht="15" hidden="false" customHeight="false" outlineLevel="0" collapsed="false">
      <c r="A9981" s="103"/>
      <c r="B9981" s="104"/>
      <c r="C9981" s="104"/>
      <c r="E9981" s="107" t="str">
        <f aca="false">IF($C9981="","",IFERROR(INDEX(المنيو!$C$2:$C$500,MATCH($C9981,المنيو!$B$2:$B$500,0)),0))</f>
        <v/>
      </c>
      <c r="F9981" s="107" t="str">
        <f aca="false">IF($C9981="","",$D9981*$E9981)</f>
        <v/>
      </c>
      <c r="G9981" s="107" t="str">
        <f aca="false">IF($C9981="","",$D9981*IFERROR(INDEX('تحليل التكلفة والسعر'!$C$2:$C$700,MATCH($C9981,'تحليل التكلفة والسعر'!$B$2:$B$700,0)),0))</f>
        <v/>
      </c>
    </row>
    <row r="9982" customFormat="false" ht="15" hidden="false" customHeight="false" outlineLevel="0" collapsed="false">
      <c r="A9982" s="103"/>
      <c r="B9982" s="104"/>
      <c r="C9982" s="104"/>
      <c r="E9982" s="107" t="str">
        <f aca="false">IF($C9982="","",IFERROR(INDEX(المنيو!$C$2:$C$500,MATCH($C9982,المنيو!$B$2:$B$500,0)),0))</f>
        <v/>
      </c>
      <c r="F9982" s="107" t="str">
        <f aca="false">IF($C9982="","",$D9982*$E9982)</f>
        <v/>
      </c>
      <c r="G9982" s="107" t="str">
        <f aca="false">IF($C9982="","",$D9982*IFERROR(INDEX('تحليل التكلفة والسعر'!$C$2:$C$700,MATCH($C9982,'تحليل التكلفة والسعر'!$B$2:$B$700,0)),0))</f>
        <v/>
      </c>
    </row>
    <row r="9983" customFormat="false" ht="15" hidden="false" customHeight="false" outlineLevel="0" collapsed="false">
      <c r="A9983" s="103"/>
      <c r="B9983" s="104"/>
      <c r="C9983" s="104"/>
      <c r="E9983" s="107" t="str">
        <f aca="false">IF($C9983="","",IFERROR(INDEX(المنيو!$C$2:$C$500,MATCH($C9983,المنيو!$B$2:$B$500,0)),0))</f>
        <v/>
      </c>
      <c r="F9983" s="107" t="str">
        <f aca="false">IF($C9983="","",$D9983*$E9983)</f>
        <v/>
      </c>
      <c r="G9983" s="107" t="str">
        <f aca="false">IF($C9983="","",$D9983*IFERROR(INDEX('تحليل التكلفة والسعر'!$C$2:$C$700,MATCH($C9983,'تحليل التكلفة والسعر'!$B$2:$B$700,0)),0))</f>
        <v/>
      </c>
    </row>
    <row r="9984" customFormat="false" ht="15" hidden="false" customHeight="false" outlineLevel="0" collapsed="false">
      <c r="A9984" s="103"/>
      <c r="B9984" s="104"/>
      <c r="C9984" s="104"/>
      <c r="E9984" s="107" t="str">
        <f aca="false">IF($C9984="","",IFERROR(INDEX(المنيو!$C$2:$C$500,MATCH($C9984,المنيو!$B$2:$B$500,0)),0))</f>
        <v/>
      </c>
      <c r="F9984" s="107" t="str">
        <f aca="false">IF($C9984="","",$D9984*$E9984)</f>
        <v/>
      </c>
      <c r="G9984" s="107" t="str">
        <f aca="false">IF($C9984="","",$D9984*IFERROR(INDEX('تحليل التكلفة والسعر'!$C$2:$C$700,MATCH($C9984,'تحليل التكلفة والسعر'!$B$2:$B$700,0)),0))</f>
        <v/>
      </c>
    </row>
    <row r="9985" customFormat="false" ht="15" hidden="false" customHeight="false" outlineLevel="0" collapsed="false">
      <c r="A9985" s="103"/>
      <c r="B9985" s="104"/>
      <c r="C9985" s="104"/>
      <c r="E9985" s="107" t="str">
        <f aca="false">IF($C9985="","",IFERROR(INDEX(المنيو!$C$2:$C$500,MATCH($C9985,المنيو!$B$2:$B$500,0)),0))</f>
        <v/>
      </c>
      <c r="F9985" s="107" t="str">
        <f aca="false">IF($C9985="","",$D9985*$E9985)</f>
        <v/>
      </c>
      <c r="G9985" s="107" t="str">
        <f aca="false">IF($C9985="","",$D9985*IFERROR(INDEX('تحليل التكلفة والسعر'!$C$2:$C$700,MATCH($C9985,'تحليل التكلفة والسعر'!$B$2:$B$700,0)),0))</f>
        <v/>
      </c>
    </row>
    <row r="9986" customFormat="false" ht="15" hidden="false" customHeight="false" outlineLevel="0" collapsed="false">
      <c r="A9986" s="103"/>
      <c r="B9986" s="104"/>
      <c r="C9986" s="104"/>
      <c r="E9986" s="107" t="str">
        <f aca="false">IF($C9986="","",IFERROR(INDEX(المنيو!$C$2:$C$500,MATCH($C9986,المنيو!$B$2:$B$500,0)),0))</f>
        <v/>
      </c>
      <c r="F9986" s="107" t="str">
        <f aca="false">IF($C9986="","",$D9986*$E9986)</f>
        <v/>
      </c>
      <c r="G9986" s="107" t="str">
        <f aca="false">IF($C9986="","",$D9986*IFERROR(INDEX('تحليل التكلفة والسعر'!$C$2:$C$700,MATCH($C9986,'تحليل التكلفة والسعر'!$B$2:$B$700,0)),0))</f>
        <v/>
      </c>
    </row>
    <row r="9987" customFormat="false" ht="15" hidden="false" customHeight="false" outlineLevel="0" collapsed="false">
      <c r="A9987" s="103"/>
      <c r="B9987" s="104"/>
      <c r="C9987" s="104"/>
      <c r="E9987" s="107" t="str">
        <f aca="false">IF($C9987="","",IFERROR(INDEX(المنيو!$C$2:$C$500,MATCH($C9987,المنيو!$B$2:$B$500,0)),0))</f>
        <v/>
      </c>
      <c r="F9987" s="107" t="str">
        <f aca="false">IF($C9987="","",$D9987*$E9987)</f>
        <v/>
      </c>
      <c r="G9987" s="107" t="str">
        <f aca="false">IF($C9987="","",$D9987*IFERROR(INDEX('تحليل التكلفة والسعر'!$C$2:$C$700,MATCH($C9987,'تحليل التكلفة والسعر'!$B$2:$B$700,0)),0))</f>
        <v/>
      </c>
    </row>
    <row r="9988" customFormat="false" ht="15" hidden="false" customHeight="false" outlineLevel="0" collapsed="false">
      <c r="A9988" s="103"/>
      <c r="B9988" s="104"/>
      <c r="C9988" s="104"/>
      <c r="E9988" s="107" t="str">
        <f aca="false">IF($C9988="","",IFERROR(INDEX(المنيو!$C$2:$C$500,MATCH($C9988,المنيو!$B$2:$B$500,0)),0))</f>
        <v/>
      </c>
      <c r="F9988" s="107" t="str">
        <f aca="false">IF($C9988="","",$D9988*$E9988)</f>
        <v/>
      </c>
      <c r="G9988" s="107" t="str">
        <f aca="false">IF($C9988="","",$D9988*IFERROR(INDEX('تحليل التكلفة والسعر'!$C$2:$C$700,MATCH($C9988,'تحليل التكلفة والسعر'!$B$2:$B$700,0)),0))</f>
        <v/>
      </c>
    </row>
    <row r="9989" customFormat="false" ht="15" hidden="false" customHeight="false" outlineLevel="0" collapsed="false">
      <c r="A9989" s="103"/>
      <c r="B9989" s="104"/>
      <c r="C9989" s="104"/>
      <c r="E9989" s="107" t="str">
        <f aca="false">IF($C9989="","",IFERROR(INDEX(المنيو!$C$2:$C$500,MATCH($C9989,المنيو!$B$2:$B$500,0)),0))</f>
        <v/>
      </c>
      <c r="F9989" s="107" t="str">
        <f aca="false">IF($C9989="","",$D9989*$E9989)</f>
        <v/>
      </c>
      <c r="G9989" s="107" t="str">
        <f aca="false">IF($C9989="","",$D9989*IFERROR(INDEX('تحليل التكلفة والسعر'!$C$2:$C$700,MATCH($C9989,'تحليل التكلفة والسعر'!$B$2:$B$700,0)),0))</f>
        <v/>
      </c>
    </row>
    <row r="9990" customFormat="false" ht="15" hidden="false" customHeight="false" outlineLevel="0" collapsed="false">
      <c r="A9990" s="103"/>
      <c r="B9990" s="104"/>
      <c r="C9990" s="104"/>
      <c r="E9990" s="107" t="str">
        <f aca="false">IF($C9990="","",IFERROR(INDEX(المنيو!$C$2:$C$500,MATCH($C9990,المنيو!$B$2:$B$500,0)),0))</f>
        <v/>
      </c>
      <c r="F9990" s="107" t="str">
        <f aca="false">IF($C9990="","",$D9990*$E9990)</f>
        <v/>
      </c>
      <c r="G9990" s="107" t="str">
        <f aca="false">IF($C9990="","",$D9990*IFERROR(INDEX('تحليل التكلفة والسعر'!$C$2:$C$700,MATCH($C9990,'تحليل التكلفة والسعر'!$B$2:$B$700,0)),0))</f>
        <v/>
      </c>
    </row>
    <row r="9991" customFormat="false" ht="15" hidden="false" customHeight="false" outlineLevel="0" collapsed="false">
      <c r="A9991" s="103"/>
      <c r="B9991" s="104"/>
      <c r="C9991" s="104"/>
      <c r="E9991" s="107" t="str">
        <f aca="false">IF($C9991="","",IFERROR(INDEX(المنيو!$C$2:$C$500,MATCH($C9991,المنيو!$B$2:$B$500,0)),0))</f>
        <v/>
      </c>
      <c r="F9991" s="107" t="str">
        <f aca="false">IF($C9991="","",$D9991*$E9991)</f>
        <v/>
      </c>
      <c r="G9991" s="107" t="str">
        <f aca="false">IF($C9991="","",$D9991*IFERROR(INDEX('تحليل التكلفة والسعر'!$C$2:$C$700,MATCH($C9991,'تحليل التكلفة والسعر'!$B$2:$B$700,0)),0))</f>
        <v/>
      </c>
    </row>
    <row r="9992" customFormat="false" ht="15" hidden="false" customHeight="false" outlineLevel="0" collapsed="false">
      <c r="A9992" s="103"/>
      <c r="B9992" s="104"/>
      <c r="C9992" s="104"/>
      <c r="E9992" s="107" t="str">
        <f aca="false">IF($C9992="","",IFERROR(INDEX(المنيو!$C$2:$C$500,MATCH($C9992,المنيو!$B$2:$B$500,0)),0))</f>
        <v/>
      </c>
      <c r="F9992" s="107" t="str">
        <f aca="false">IF($C9992="","",$D9992*$E9992)</f>
        <v/>
      </c>
      <c r="G9992" s="107" t="str">
        <f aca="false">IF($C9992="","",$D9992*IFERROR(INDEX('تحليل التكلفة والسعر'!$C$2:$C$700,MATCH($C9992,'تحليل التكلفة والسعر'!$B$2:$B$700,0)),0))</f>
        <v/>
      </c>
    </row>
    <row r="9993" customFormat="false" ht="15" hidden="false" customHeight="false" outlineLevel="0" collapsed="false">
      <c r="A9993" s="103"/>
      <c r="B9993" s="104"/>
      <c r="C9993" s="104"/>
      <c r="E9993" s="107" t="str">
        <f aca="false">IF($C9993="","",IFERROR(INDEX(المنيو!$C$2:$C$500,MATCH($C9993,المنيو!$B$2:$B$500,0)),0))</f>
        <v/>
      </c>
      <c r="F9993" s="107" t="str">
        <f aca="false">IF($C9993="","",$D9993*$E9993)</f>
        <v/>
      </c>
      <c r="G9993" s="107" t="str">
        <f aca="false">IF($C9993="","",$D9993*IFERROR(INDEX('تحليل التكلفة والسعر'!$C$2:$C$700,MATCH($C9993,'تحليل التكلفة والسعر'!$B$2:$B$700,0)),0))</f>
        <v/>
      </c>
    </row>
    <row r="9994" customFormat="false" ht="15" hidden="false" customHeight="false" outlineLevel="0" collapsed="false">
      <c r="A9994" s="103"/>
      <c r="B9994" s="104"/>
      <c r="C9994" s="104"/>
      <c r="E9994" s="107" t="str">
        <f aca="false">IF($C9994="","",IFERROR(INDEX(المنيو!$C$2:$C$500,MATCH($C9994,المنيو!$B$2:$B$500,0)),0))</f>
        <v/>
      </c>
      <c r="F9994" s="107" t="str">
        <f aca="false">IF($C9994="","",$D9994*$E9994)</f>
        <v/>
      </c>
      <c r="G9994" s="107" t="str">
        <f aca="false">IF($C9994="","",$D9994*IFERROR(INDEX('تحليل التكلفة والسعر'!$C$2:$C$700,MATCH($C9994,'تحليل التكلفة والسعر'!$B$2:$B$700,0)),0))</f>
        <v/>
      </c>
    </row>
    <row r="9995" customFormat="false" ht="15" hidden="false" customHeight="false" outlineLevel="0" collapsed="false">
      <c r="A9995" s="103"/>
      <c r="B9995" s="104"/>
      <c r="C9995" s="104"/>
      <c r="E9995" s="107" t="str">
        <f aca="false">IF($C9995="","",IFERROR(INDEX(المنيو!$C$2:$C$500,MATCH($C9995,المنيو!$B$2:$B$500,0)),0))</f>
        <v/>
      </c>
      <c r="F9995" s="107" t="str">
        <f aca="false">IF($C9995="","",$D9995*$E9995)</f>
        <v/>
      </c>
      <c r="G9995" s="107" t="str">
        <f aca="false">IF($C9995="","",$D9995*IFERROR(INDEX('تحليل التكلفة والسعر'!$C$2:$C$700,MATCH($C9995,'تحليل التكلفة والسعر'!$B$2:$B$700,0)),0))</f>
        <v/>
      </c>
    </row>
    <row r="9996" customFormat="false" ht="15" hidden="false" customHeight="false" outlineLevel="0" collapsed="false">
      <c r="A9996" s="103"/>
      <c r="B9996" s="104"/>
      <c r="C9996" s="104"/>
      <c r="E9996" s="107" t="str">
        <f aca="false">IF($C9996="","",IFERROR(INDEX(المنيو!$C$2:$C$500,MATCH($C9996,المنيو!$B$2:$B$500,0)),0))</f>
        <v/>
      </c>
      <c r="F9996" s="107" t="str">
        <f aca="false">IF($C9996="","",$D9996*$E9996)</f>
        <v/>
      </c>
      <c r="G9996" s="107" t="str">
        <f aca="false">IF($C9996="","",$D9996*IFERROR(INDEX('تحليل التكلفة والسعر'!$C$2:$C$700,MATCH($C9996,'تحليل التكلفة والسعر'!$B$2:$B$700,0)),0))</f>
        <v/>
      </c>
    </row>
    <row r="9997" customFormat="false" ht="15" hidden="false" customHeight="false" outlineLevel="0" collapsed="false">
      <c r="A9997" s="103"/>
      <c r="B9997" s="104"/>
      <c r="C9997" s="104"/>
      <c r="E9997" s="107" t="str">
        <f aca="false">IF($C9997="","",IFERROR(INDEX(المنيو!$C$2:$C$500,MATCH($C9997,المنيو!$B$2:$B$500,0)),0))</f>
        <v/>
      </c>
      <c r="F9997" s="107" t="str">
        <f aca="false">IF($C9997="","",$D9997*$E9997)</f>
        <v/>
      </c>
      <c r="G9997" s="107" t="str">
        <f aca="false">IF($C9997="","",$D9997*IFERROR(INDEX('تحليل التكلفة والسعر'!$C$2:$C$700,MATCH($C9997,'تحليل التكلفة والسعر'!$B$2:$B$700,0)),0))</f>
        <v/>
      </c>
    </row>
    <row r="9998" customFormat="false" ht="15" hidden="false" customHeight="false" outlineLevel="0" collapsed="false">
      <c r="A9998" s="103"/>
      <c r="B9998" s="104"/>
      <c r="C9998" s="104"/>
      <c r="E9998" s="107" t="str">
        <f aca="false">IF($C9998="","",IFERROR(INDEX(المنيو!$C$2:$C$500,MATCH($C9998,المنيو!$B$2:$B$500,0)),0))</f>
        <v/>
      </c>
      <c r="F9998" s="107" t="str">
        <f aca="false">IF($C9998="","",$D9998*$E9998)</f>
        <v/>
      </c>
      <c r="G9998" s="107" t="str">
        <f aca="false">IF($C9998="","",$D9998*IFERROR(INDEX('تحليل التكلفة والسعر'!$C$2:$C$700,MATCH($C9998,'تحليل التكلفة والسعر'!$B$2:$B$700,0)),0))</f>
        <v/>
      </c>
    </row>
    <row r="9999" customFormat="false" ht="15" hidden="false" customHeight="false" outlineLevel="0" collapsed="false">
      <c r="A9999" s="103"/>
      <c r="B9999" s="104"/>
      <c r="C9999" s="104"/>
      <c r="E9999" s="107" t="str">
        <f aca="false">IF($C9999="","",IFERROR(INDEX(المنيو!$C$2:$C$500,MATCH($C9999,المنيو!$B$2:$B$500,0)),0))</f>
        <v/>
      </c>
      <c r="F9999" s="107" t="str">
        <f aca="false">IF($C9999="","",$D9999*$E9999)</f>
        <v/>
      </c>
      <c r="G9999" s="107" t="str">
        <f aca="false">IF($C9999="","",$D9999*IFERROR(INDEX('تحليل التكلفة والسعر'!$C$2:$C$700,MATCH($C9999,'تحليل التكلفة والسعر'!$B$2:$B$700,0)),0))</f>
        <v/>
      </c>
    </row>
    <row r="10000" customFormat="false" ht="15" hidden="false" customHeight="false" outlineLevel="0" collapsed="false">
      <c r="A10000" s="103"/>
      <c r="B10000" s="104"/>
      <c r="C10000" s="104"/>
      <c r="E10000" s="107" t="str">
        <f aca="false">IF($C10000="","",IFERROR(INDEX(المنيو!$C$2:$C$500,MATCH($C10000,المنيو!$B$2:$B$500,0)),0))</f>
        <v/>
      </c>
      <c r="F10000" s="107" t="str">
        <f aca="false">IF($C10000="","",$D10000*$E10000)</f>
        <v/>
      </c>
      <c r="G10000" s="107" t="str">
        <f aca="false">IF($C10000="","",$D10000*IFERROR(INDEX('تحليل التكلفة والسعر'!$C$2:$C$700,MATCH($C10000,'تحليل التكلفة والسعر'!$B$2:$B$700,0)),0))</f>
        <v/>
      </c>
    </row>
    <row r="10001" customFormat="false" ht="15" hidden="false" customHeight="false" outlineLevel="0" collapsed="false">
      <c r="A10001" s="103"/>
      <c r="B10001" s="104"/>
      <c r="C10001" s="104"/>
      <c r="E10001" s="107" t="str">
        <f aca="false">IF($C10001="","",IFERROR(INDEX(المنيو!$C$2:$C$500,MATCH($C10001,المنيو!$B$2:$B$500,0)),0))</f>
        <v/>
      </c>
      <c r="F10001" s="107" t="str">
        <f aca="false">IF($C10001="","",$D10001*$E10001)</f>
        <v/>
      </c>
      <c r="G10001" s="107" t="str">
        <f aca="false">IF($C10001="","",$D10001*IFERROR(INDEX('تحليل التكلفة والسعر'!$C$2:$C$700,MATCH($C10001,'تحليل التكلفة والسعر'!$B$2:$B$700,0)),0))</f>
        <v/>
      </c>
    </row>
    <row r="10002" customFormat="false" ht="15" hidden="false" customHeight="false" outlineLevel="0" collapsed="false">
      <c r="A10002" s="103"/>
      <c r="B10002" s="104"/>
      <c r="C10002" s="104"/>
      <c r="E10002" s="107" t="str">
        <f aca="false">IF($C10002="","",IFERROR(INDEX(المنيو!$C$2:$C$500,MATCH($C10002,المنيو!$B$2:$B$500,0)),0))</f>
        <v/>
      </c>
      <c r="F10002" s="107" t="str">
        <f aca="false">IF($C10002="","",$D10002*$E10002)</f>
        <v/>
      </c>
      <c r="G10002" s="107" t="str">
        <f aca="false">IF($C10002="","",$D10002*IFERROR(INDEX('تحليل التكلفة والسعر'!$C$2:$C$700,MATCH($C10002,'تحليل التكلفة والسعر'!$B$2:$B$700,0)),0))</f>
        <v/>
      </c>
    </row>
    <row r="10003" customFormat="false" ht="15" hidden="false" customHeight="false" outlineLevel="0" collapsed="false">
      <c r="A10003" s="103"/>
      <c r="B10003" s="104"/>
      <c r="C10003" s="104"/>
      <c r="E10003" s="107" t="str">
        <f aca="false">IF($C10003="","",IFERROR(INDEX(المنيو!$C$2:$C$500,MATCH($C10003,المنيو!$B$2:$B$500,0)),0))</f>
        <v/>
      </c>
      <c r="F10003" s="107" t="str">
        <f aca="false">IF($C10003="","",$D10003*$E10003)</f>
        <v/>
      </c>
      <c r="G10003" s="107" t="str">
        <f aca="false">IF($C10003="","",$D10003*IFERROR(INDEX('تحليل التكلفة والسعر'!$C$2:$C$700,MATCH($C10003,'تحليل التكلفة والسعر'!$B$2:$B$700,0)),0))</f>
        <v/>
      </c>
    </row>
    <row r="10004" customFormat="false" ht="15" hidden="false" customHeight="false" outlineLevel="0" collapsed="false">
      <c r="A10004" s="103"/>
      <c r="B10004" s="104"/>
      <c r="C10004" s="104"/>
      <c r="E10004" s="107" t="str">
        <f aca="false">IF($C10004="","",IFERROR(INDEX(المنيو!$C$2:$C$500,MATCH($C10004,المنيو!$B$2:$B$500,0)),0))</f>
        <v/>
      </c>
      <c r="F10004" s="107" t="str">
        <f aca="false">IF($C10004="","",$D10004*$E10004)</f>
        <v/>
      </c>
      <c r="G10004" s="107" t="str">
        <f aca="false">IF($C10004="","",$D10004*IFERROR(INDEX('تحليل التكلفة والسعر'!$C$2:$C$700,MATCH($C10004,'تحليل التكلفة والسعر'!$B$2:$B$700,0)),0))</f>
        <v/>
      </c>
    </row>
    <row r="10005" customFormat="false" ht="15" hidden="false" customHeight="false" outlineLevel="0" collapsed="false">
      <c r="A10005" s="103"/>
      <c r="B10005" s="104"/>
      <c r="C10005" s="104"/>
      <c r="E10005" s="107" t="str">
        <f aca="false">IF($C10005="","",IFERROR(INDEX(المنيو!$C$2:$C$500,MATCH($C10005,المنيو!$B$2:$B$500,0)),0))</f>
        <v/>
      </c>
      <c r="F10005" s="107" t="str">
        <f aca="false">IF($C10005="","",$D10005*$E10005)</f>
        <v/>
      </c>
      <c r="G10005" s="107" t="str">
        <f aca="false">IF($C10005="","",$D10005*IFERROR(INDEX('تحليل التكلفة والسعر'!$C$2:$C$700,MATCH($C10005,'تحليل التكلفة والسعر'!$B$2:$B$700,0)),0))</f>
        <v/>
      </c>
    </row>
    <row r="10006" customFormat="false" ht="15" hidden="false" customHeight="false" outlineLevel="0" collapsed="false">
      <c r="A10006" s="103"/>
      <c r="B10006" s="104"/>
      <c r="C10006" s="104"/>
      <c r="E10006" s="107" t="str">
        <f aca="false">IF($C10006="","",IFERROR(INDEX(المنيو!$C$2:$C$500,MATCH($C10006,المنيو!$B$2:$B$500,0)),0))</f>
        <v/>
      </c>
      <c r="F10006" s="107" t="str">
        <f aca="false">IF($C10006="","",$D10006*$E10006)</f>
        <v/>
      </c>
      <c r="G10006" s="107" t="str">
        <f aca="false">IF($C10006="","",$D10006*IFERROR(INDEX('تحليل التكلفة والسعر'!$C$2:$C$700,MATCH($C10006,'تحليل التكلفة والسعر'!$B$2:$B$700,0)),0))</f>
        <v/>
      </c>
    </row>
    <row r="10007" customFormat="false" ht="15" hidden="false" customHeight="false" outlineLevel="0" collapsed="false">
      <c r="A10007" s="103"/>
      <c r="B10007" s="104"/>
      <c r="C10007" s="104"/>
      <c r="E10007" s="107" t="str">
        <f aca="false">IF($C10007="","",IFERROR(INDEX(المنيو!$C$2:$C$500,MATCH($C10007,المنيو!$B$2:$B$500,0)),0))</f>
        <v/>
      </c>
      <c r="F10007" s="107" t="str">
        <f aca="false">IF($C10007="","",$D10007*$E10007)</f>
        <v/>
      </c>
      <c r="G10007" s="107" t="str">
        <f aca="false">IF($C10007="","",$D10007*IFERROR(INDEX('تحليل التكلفة والسعر'!$C$2:$C$700,MATCH($C10007,'تحليل التكلفة والسعر'!$B$2:$B$700,0)),0))</f>
        <v/>
      </c>
    </row>
    <row r="10008" customFormat="false" ht="15" hidden="false" customHeight="false" outlineLevel="0" collapsed="false">
      <c r="A10008" s="103"/>
      <c r="B10008" s="104"/>
      <c r="C10008" s="104"/>
      <c r="E10008" s="107" t="str">
        <f aca="false">IF($C10008="","",IFERROR(INDEX(المنيو!$C$2:$C$500,MATCH($C10008,المنيو!$B$2:$B$500,0)),0))</f>
        <v/>
      </c>
      <c r="F10008" s="107" t="str">
        <f aca="false">IF($C10008="","",$D10008*$E10008)</f>
        <v/>
      </c>
      <c r="G10008" s="107" t="str">
        <f aca="false">IF($C10008="","",$D10008*IFERROR(INDEX('تحليل التكلفة والسعر'!$C$2:$C$700,MATCH($C10008,'تحليل التكلفة والسعر'!$B$2:$B$700,0)),0))</f>
        <v/>
      </c>
    </row>
    <row r="10009" customFormat="false" ht="15" hidden="false" customHeight="false" outlineLevel="0" collapsed="false">
      <c r="A10009" s="103"/>
      <c r="B10009" s="104"/>
      <c r="C10009" s="104"/>
      <c r="E10009" s="107" t="str">
        <f aca="false">IF($C10009="","",IFERROR(INDEX(المنيو!$C$2:$C$500,MATCH($C10009,المنيو!$B$2:$B$500,0)),0))</f>
        <v/>
      </c>
      <c r="F10009" s="107" t="str">
        <f aca="false">IF($C10009="","",$D10009*$E10009)</f>
        <v/>
      </c>
      <c r="G10009" s="107" t="str">
        <f aca="false">IF($C10009="","",$D10009*IFERROR(INDEX('تحليل التكلفة والسعر'!$C$2:$C$700,MATCH($C10009,'تحليل التكلفة والسعر'!$B$2:$B$700,0)),0))</f>
        <v/>
      </c>
    </row>
    <row r="10010" customFormat="false" ht="15" hidden="false" customHeight="false" outlineLevel="0" collapsed="false">
      <c r="A10010" s="103"/>
      <c r="B10010" s="104"/>
      <c r="C10010" s="104"/>
      <c r="E10010" s="107" t="str">
        <f aca="false">IF($C10010="","",IFERROR(INDEX(المنيو!$C$2:$C$500,MATCH($C10010,المنيو!$B$2:$B$500,0)),0))</f>
        <v/>
      </c>
      <c r="F10010" s="107" t="str">
        <f aca="false">IF($C10010="","",$D10010*$E10010)</f>
        <v/>
      </c>
      <c r="G10010" s="107" t="str">
        <f aca="false">IF($C10010="","",$D10010*IFERROR(INDEX('تحليل التكلفة والسعر'!$C$2:$C$700,MATCH($C10010,'تحليل التكلفة والسعر'!$B$2:$B$700,0)),0))</f>
        <v/>
      </c>
    </row>
    <row r="10011" customFormat="false" ht="15" hidden="false" customHeight="false" outlineLevel="0" collapsed="false">
      <c r="A10011" s="103"/>
      <c r="B10011" s="104"/>
      <c r="C10011" s="104"/>
      <c r="E10011" s="107" t="str">
        <f aca="false">IF($C10011="","",IFERROR(INDEX(المنيو!$C$2:$C$500,MATCH($C10011,المنيو!$B$2:$B$500,0)),0))</f>
        <v/>
      </c>
      <c r="F10011" s="107" t="str">
        <f aca="false">IF($C10011="","",$D10011*$E10011)</f>
        <v/>
      </c>
      <c r="G10011" s="107" t="str">
        <f aca="false">IF($C10011="","",$D10011*IFERROR(INDEX('تحليل التكلفة والسعر'!$C$2:$C$700,MATCH($C10011,'تحليل التكلفة والسعر'!$B$2:$B$700,0)),0))</f>
        <v/>
      </c>
    </row>
    <row r="10012" customFormat="false" ht="15" hidden="false" customHeight="false" outlineLevel="0" collapsed="false">
      <c r="A10012" s="103"/>
      <c r="B10012" s="104"/>
      <c r="C10012" s="104"/>
      <c r="E10012" s="107" t="str">
        <f aca="false">IF($C10012="","",IFERROR(INDEX(المنيو!$C$2:$C$500,MATCH($C10012,المنيو!$B$2:$B$500,0)),0))</f>
        <v/>
      </c>
      <c r="F10012" s="107" t="str">
        <f aca="false">IF($C10012="","",$D10012*$E10012)</f>
        <v/>
      </c>
      <c r="G10012" s="107" t="str">
        <f aca="false">IF($C10012="","",$D10012*IFERROR(INDEX('تحليل التكلفة والسعر'!$C$2:$C$700,MATCH($C10012,'تحليل التكلفة والسعر'!$B$2:$B$700,0)),0))</f>
        <v/>
      </c>
    </row>
    <row r="10013" customFormat="false" ht="15" hidden="false" customHeight="false" outlineLevel="0" collapsed="false">
      <c r="A10013" s="103"/>
      <c r="B10013" s="104"/>
      <c r="C10013" s="104"/>
      <c r="E10013" s="107" t="str">
        <f aca="false">IF($C10013="","",IFERROR(INDEX(المنيو!$C$2:$C$500,MATCH($C10013,المنيو!$B$2:$B$500,0)),0))</f>
        <v/>
      </c>
      <c r="F10013" s="107" t="str">
        <f aca="false">IF($C10013="","",$D10013*$E10013)</f>
        <v/>
      </c>
      <c r="G10013" s="107" t="str">
        <f aca="false">IF($C10013="","",$D10013*IFERROR(INDEX('تحليل التكلفة والسعر'!$C$2:$C$700,MATCH($C10013,'تحليل التكلفة والسعر'!$B$2:$B$700,0)),0))</f>
        <v/>
      </c>
    </row>
    <row r="10014" customFormat="false" ht="15" hidden="false" customHeight="false" outlineLevel="0" collapsed="false">
      <c r="A10014" s="103"/>
      <c r="B10014" s="104"/>
      <c r="C10014" s="104"/>
      <c r="E10014" s="107" t="str">
        <f aca="false">IF($C10014="","",IFERROR(INDEX(المنيو!$C$2:$C$500,MATCH($C10014,المنيو!$B$2:$B$500,0)),0))</f>
        <v/>
      </c>
      <c r="F10014" s="107" t="str">
        <f aca="false">IF($C10014="","",$D10014*$E10014)</f>
        <v/>
      </c>
      <c r="G10014" s="107" t="str">
        <f aca="false">IF($C10014="","",$D10014*IFERROR(INDEX('تحليل التكلفة والسعر'!$C$2:$C$700,MATCH($C10014,'تحليل التكلفة والسعر'!$B$2:$B$700,0)),0))</f>
        <v/>
      </c>
    </row>
    <row r="10015" customFormat="false" ht="15" hidden="false" customHeight="false" outlineLevel="0" collapsed="false">
      <c r="A10015" s="103"/>
      <c r="B10015" s="104"/>
      <c r="C10015" s="104"/>
      <c r="E10015" s="107" t="str">
        <f aca="false">IF($C10015="","",IFERROR(INDEX(المنيو!$C$2:$C$500,MATCH($C10015,المنيو!$B$2:$B$500,0)),0))</f>
        <v/>
      </c>
      <c r="F10015" s="107" t="str">
        <f aca="false">IF($C10015="","",$D10015*$E10015)</f>
        <v/>
      </c>
      <c r="G10015" s="107" t="str">
        <f aca="false">IF($C10015="","",$D10015*IFERROR(INDEX('تحليل التكلفة والسعر'!$C$2:$C$700,MATCH($C10015,'تحليل التكلفة والسعر'!$B$2:$B$700,0)),0))</f>
        <v/>
      </c>
    </row>
    <row r="10016" customFormat="false" ht="15" hidden="false" customHeight="false" outlineLevel="0" collapsed="false">
      <c r="A10016" s="103"/>
      <c r="B10016" s="104"/>
      <c r="C10016" s="104"/>
      <c r="E10016" s="107" t="str">
        <f aca="false">IF($C10016="","",IFERROR(INDEX(المنيو!$C$2:$C$500,MATCH($C10016,المنيو!$B$2:$B$500,0)),0))</f>
        <v/>
      </c>
      <c r="F10016" s="107" t="str">
        <f aca="false">IF($C10016="","",$D10016*$E10016)</f>
        <v/>
      </c>
      <c r="G10016" s="107" t="str">
        <f aca="false">IF($C10016="","",$D10016*IFERROR(INDEX('تحليل التكلفة والسعر'!$C$2:$C$700,MATCH($C10016,'تحليل التكلفة والسعر'!$B$2:$B$700,0)),0))</f>
        <v/>
      </c>
    </row>
    <row r="10017" customFormat="false" ht="15" hidden="false" customHeight="false" outlineLevel="0" collapsed="false">
      <c r="A10017" s="103"/>
      <c r="B10017" s="104"/>
      <c r="C10017" s="104"/>
      <c r="E10017" s="107" t="str">
        <f aca="false">IF($C10017="","",IFERROR(INDEX(المنيو!$C$2:$C$500,MATCH($C10017,المنيو!$B$2:$B$500,0)),0))</f>
        <v/>
      </c>
      <c r="F10017" s="107" t="str">
        <f aca="false">IF($C10017="","",$D10017*$E10017)</f>
        <v/>
      </c>
      <c r="G10017" s="107" t="str">
        <f aca="false">IF($C10017="","",$D10017*IFERROR(INDEX('تحليل التكلفة والسعر'!$C$2:$C$700,MATCH($C10017,'تحليل التكلفة والسعر'!$B$2:$B$700,0)),0))</f>
        <v/>
      </c>
    </row>
    <row r="10018" customFormat="false" ht="15" hidden="false" customHeight="false" outlineLevel="0" collapsed="false">
      <c r="A10018" s="103"/>
      <c r="B10018" s="104"/>
      <c r="C10018" s="104"/>
      <c r="E10018" s="107" t="str">
        <f aca="false">IF($C10018="","",IFERROR(INDEX(المنيو!$C$2:$C$500,MATCH($C10018,المنيو!$B$2:$B$500,0)),0))</f>
        <v/>
      </c>
      <c r="F10018" s="107" t="str">
        <f aca="false">IF($C10018="","",$D10018*$E10018)</f>
        <v/>
      </c>
      <c r="G10018" s="107" t="str">
        <f aca="false">IF($C10018="","",$D10018*IFERROR(INDEX('تحليل التكلفة والسعر'!$C$2:$C$700,MATCH($C10018,'تحليل التكلفة والسعر'!$B$2:$B$700,0)),0))</f>
        <v/>
      </c>
    </row>
    <row r="10019" customFormat="false" ht="15" hidden="false" customHeight="false" outlineLevel="0" collapsed="false">
      <c r="A10019" s="103"/>
      <c r="B10019" s="104"/>
      <c r="C10019" s="104"/>
      <c r="E10019" s="107" t="str">
        <f aca="false">IF($C10019="","",IFERROR(INDEX(المنيو!$C$2:$C$500,MATCH($C10019,المنيو!$B$2:$B$500,0)),0))</f>
        <v/>
      </c>
      <c r="F10019" s="107" t="str">
        <f aca="false">IF($C10019="","",$D10019*$E10019)</f>
        <v/>
      </c>
      <c r="G10019" s="107" t="str">
        <f aca="false">IF($C10019="","",$D10019*IFERROR(INDEX('تحليل التكلفة والسعر'!$C$2:$C$700,MATCH($C10019,'تحليل التكلفة والسعر'!$B$2:$B$700,0)),0))</f>
        <v/>
      </c>
    </row>
    <row r="10020" customFormat="false" ht="15" hidden="false" customHeight="false" outlineLevel="0" collapsed="false">
      <c r="A10020" s="103"/>
      <c r="B10020" s="104"/>
      <c r="C10020" s="104"/>
      <c r="E10020" s="107" t="str">
        <f aca="false">IF($C10020="","",IFERROR(INDEX(المنيو!$C$2:$C$500,MATCH($C10020,المنيو!$B$2:$B$500,0)),0))</f>
        <v/>
      </c>
      <c r="F10020" s="107" t="str">
        <f aca="false">IF($C10020="","",$D10020*$E10020)</f>
        <v/>
      </c>
      <c r="G10020" s="107" t="str">
        <f aca="false">IF($C10020="","",$D10020*IFERROR(INDEX('تحليل التكلفة والسعر'!$C$2:$C$700,MATCH($C10020,'تحليل التكلفة والسعر'!$B$2:$B$700,0)),0))</f>
        <v/>
      </c>
    </row>
    <row r="10021" customFormat="false" ht="15" hidden="false" customHeight="false" outlineLevel="0" collapsed="false">
      <c r="A10021" s="103"/>
      <c r="B10021" s="104"/>
      <c r="C10021" s="104"/>
      <c r="E10021" s="107" t="str">
        <f aca="false">IF($C10021="","",IFERROR(INDEX(المنيو!$C$2:$C$500,MATCH($C10021,المنيو!$B$2:$B$500,0)),0))</f>
        <v/>
      </c>
      <c r="F10021" s="107" t="str">
        <f aca="false">IF($C10021="","",$D10021*$E10021)</f>
        <v/>
      </c>
      <c r="G10021" s="107" t="str">
        <f aca="false">IF($C10021="","",$D10021*IFERROR(INDEX('تحليل التكلفة والسعر'!$C$2:$C$700,MATCH($C10021,'تحليل التكلفة والسعر'!$B$2:$B$700,0)),0))</f>
        <v/>
      </c>
    </row>
    <row r="10022" customFormat="false" ht="15" hidden="false" customHeight="false" outlineLevel="0" collapsed="false">
      <c r="A10022" s="103"/>
      <c r="B10022" s="104"/>
      <c r="C10022" s="104"/>
      <c r="E10022" s="107" t="str">
        <f aca="false">IF($C10022="","",IFERROR(INDEX(المنيو!$C$2:$C$500,MATCH($C10022,المنيو!$B$2:$B$500,0)),0))</f>
        <v/>
      </c>
      <c r="F10022" s="107" t="str">
        <f aca="false">IF($C10022="","",$D10022*$E10022)</f>
        <v/>
      </c>
      <c r="G10022" s="107" t="str">
        <f aca="false">IF($C10022="","",$D10022*IFERROR(INDEX('تحليل التكلفة والسعر'!$C$2:$C$700,MATCH($C10022,'تحليل التكلفة والسعر'!$B$2:$B$700,0)),0))</f>
        <v/>
      </c>
    </row>
    <row r="10023" customFormat="false" ht="15" hidden="false" customHeight="false" outlineLevel="0" collapsed="false">
      <c r="A10023" s="103"/>
      <c r="B10023" s="104"/>
      <c r="C10023" s="104"/>
      <c r="E10023" s="107" t="str">
        <f aca="false">IF($C10023="","",IFERROR(INDEX(المنيو!$C$2:$C$500,MATCH($C10023,المنيو!$B$2:$B$500,0)),0))</f>
        <v/>
      </c>
      <c r="F10023" s="107" t="str">
        <f aca="false">IF($C10023="","",$D10023*$E10023)</f>
        <v/>
      </c>
      <c r="G10023" s="107" t="str">
        <f aca="false">IF($C10023="","",$D10023*IFERROR(INDEX('تحليل التكلفة والسعر'!$C$2:$C$700,MATCH($C10023,'تحليل التكلفة والسعر'!$B$2:$B$700,0)),0))</f>
        <v/>
      </c>
    </row>
    <row r="10024" customFormat="false" ht="15" hidden="false" customHeight="false" outlineLevel="0" collapsed="false">
      <c r="A10024" s="103"/>
      <c r="B10024" s="104"/>
      <c r="C10024" s="104"/>
      <c r="E10024" s="107" t="str">
        <f aca="false">IF($C10024="","",IFERROR(INDEX(المنيو!$C$2:$C$500,MATCH($C10024,المنيو!$B$2:$B$500,0)),0))</f>
        <v/>
      </c>
      <c r="F10024" s="107" t="str">
        <f aca="false">IF($C10024="","",$D10024*$E10024)</f>
        <v/>
      </c>
      <c r="G10024" s="107" t="str">
        <f aca="false">IF($C10024="","",$D10024*IFERROR(INDEX('تحليل التكلفة والسعر'!$C$2:$C$700,MATCH($C10024,'تحليل التكلفة والسعر'!$B$2:$B$700,0)),0))</f>
        <v/>
      </c>
    </row>
    <row r="10025" customFormat="false" ht="15" hidden="false" customHeight="false" outlineLevel="0" collapsed="false">
      <c r="A10025" s="103"/>
      <c r="B10025" s="104"/>
      <c r="C10025" s="104"/>
      <c r="E10025" s="107" t="str">
        <f aca="false">IF($C10025="","",IFERROR(INDEX(المنيو!$C$2:$C$500,MATCH($C10025,المنيو!$B$2:$B$500,0)),0))</f>
        <v/>
      </c>
      <c r="F10025" s="107" t="str">
        <f aca="false">IF($C10025="","",$D10025*$E10025)</f>
        <v/>
      </c>
      <c r="G10025" s="107" t="str">
        <f aca="false">IF($C10025="","",$D10025*IFERROR(INDEX('تحليل التكلفة والسعر'!$C$2:$C$700,MATCH($C10025,'تحليل التكلفة والسعر'!$B$2:$B$700,0)),0))</f>
        <v/>
      </c>
    </row>
    <row r="10026" customFormat="false" ht="15" hidden="false" customHeight="false" outlineLevel="0" collapsed="false">
      <c r="A10026" s="103"/>
      <c r="B10026" s="104"/>
      <c r="C10026" s="104"/>
      <c r="E10026" s="107" t="str">
        <f aca="false">IF($C10026="","",IFERROR(INDEX(المنيو!$C$2:$C$500,MATCH($C10026,المنيو!$B$2:$B$500,0)),0))</f>
        <v/>
      </c>
      <c r="F10026" s="107" t="str">
        <f aca="false">IF($C10026="","",$D10026*$E10026)</f>
        <v/>
      </c>
      <c r="G10026" s="107" t="str">
        <f aca="false">IF($C10026="","",$D10026*IFERROR(INDEX('تحليل التكلفة والسعر'!$C$2:$C$700,MATCH($C10026,'تحليل التكلفة والسعر'!$B$2:$B$700,0)),0))</f>
        <v/>
      </c>
    </row>
    <row r="10027" customFormat="false" ht="15" hidden="false" customHeight="false" outlineLevel="0" collapsed="false">
      <c r="A10027" s="103"/>
      <c r="B10027" s="104"/>
      <c r="C10027" s="104"/>
      <c r="E10027" s="107" t="str">
        <f aca="false">IF($C10027="","",IFERROR(INDEX(المنيو!$C$2:$C$500,MATCH($C10027,المنيو!$B$2:$B$500,0)),0))</f>
        <v/>
      </c>
      <c r="F10027" s="107" t="str">
        <f aca="false">IF($C10027="","",$D10027*$E10027)</f>
        <v/>
      </c>
      <c r="G10027" s="107" t="str">
        <f aca="false">IF($C10027="","",$D10027*IFERROR(INDEX('تحليل التكلفة والسعر'!$C$2:$C$700,MATCH($C10027,'تحليل التكلفة والسعر'!$B$2:$B$700,0)),0))</f>
        <v/>
      </c>
    </row>
    <row r="10028" customFormat="false" ht="15" hidden="false" customHeight="false" outlineLevel="0" collapsed="false">
      <c r="A10028" s="103"/>
      <c r="B10028" s="104"/>
      <c r="C10028" s="104"/>
      <c r="E10028" s="107" t="str">
        <f aca="false">IF($C10028="","",IFERROR(INDEX(المنيو!$C$2:$C$500,MATCH($C10028,المنيو!$B$2:$B$500,0)),0))</f>
        <v/>
      </c>
      <c r="F10028" s="107" t="str">
        <f aca="false">IF($C10028="","",$D10028*$E10028)</f>
        <v/>
      </c>
      <c r="G10028" s="107" t="str">
        <f aca="false">IF($C10028="","",$D10028*IFERROR(INDEX('تحليل التكلفة والسعر'!$C$2:$C$700,MATCH($C10028,'تحليل التكلفة والسعر'!$B$2:$B$700,0)),0))</f>
        <v/>
      </c>
    </row>
    <row r="10029" customFormat="false" ht="15" hidden="false" customHeight="false" outlineLevel="0" collapsed="false">
      <c r="A10029" s="103"/>
      <c r="B10029" s="104"/>
      <c r="C10029" s="104"/>
      <c r="E10029" s="107" t="str">
        <f aca="false">IF($C10029="","",IFERROR(INDEX(المنيو!$C$2:$C$500,MATCH($C10029,المنيو!$B$2:$B$500,0)),0))</f>
        <v/>
      </c>
      <c r="F10029" s="107" t="str">
        <f aca="false">IF($C10029="","",$D10029*$E10029)</f>
        <v/>
      </c>
      <c r="G10029" s="107" t="str">
        <f aca="false">IF($C10029="","",$D10029*IFERROR(INDEX('تحليل التكلفة والسعر'!$C$2:$C$700,MATCH($C10029,'تحليل التكلفة والسعر'!$B$2:$B$700,0)),0))</f>
        <v/>
      </c>
    </row>
    <row r="10030" customFormat="false" ht="15" hidden="false" customHeight="false" outlineLevel="0" collapsed="false">
      <c r="A10030" s="103"/>
      <c r="B10030" s="104"/>
      <c r="C10030" s="104"/>
      <c r="E10030" s="107" t="str">
        <f aca="false">IF($C10030="","",IFERROR(INDEX(المنيو!$C$2:$C$500,MATCH($C10030,المنيو!$B$2:$B$500,0)),0))</f>
        <v/>
      </c>
      <c r="F10030" s="107" t="str">
        <f aca="false">IF($C10030="","",$D10030*$E10030)</f>
        <v/>
      </c>
      <c r="G10030" s="107" t="str">
        <f aca="false">IF($C10030="","",$D10030*IFERROR(INDEX('تحليل التكلفة والسعر'!$C$2:$C$700,MATCH($C10030,'تحليل التكلفة والسعر'!$B$2:$B$700,0)),0))</f>
        <v/>
      </c>
    </row>
    <row r="10031" customFormat="false" ht="15" hidden="false" customHeight="false" outlineLevel="0" collapsed="false">
      <c r="A10031" s="103"/>
      <c r="B10031" s="104"/>
      <c r="C10031" s="104"/>
      <c r="E10031" s="107" t="str">
        <f aca="false">IF($C10031="","",IFERROR(INDEX(المنيو!$C$2:$C$500,MATCH($C10031,المنيو!$B$2:$B$500,0)),0))</f>
        <v/>
      </c>
      <c r="F10031" s="107" t="str">
        <f aca="false">IF($C10031="","",$D10031*$E10031)</f>
        <v/>
      </c>
      <c r="G10031" s="107" t="str">
        <f aca="false">IF($C10031="","",$D10031*IFERROR(INDEX('تحليل التكلفة والسعر'!$C$2:$C$700,MATCH($C10031,'تحليل التكلفة والسعر'!$B$2:$B$700,0)),0))</f>
        <v/>
      </c>
    </row>
    <row r="10032" customFormat="false" ht="15" hidden="false" customHeight="false" outlineLevel="0" collapsed="false">
      <c r="A10032" s="103"/>
      <c r="B10032" s="104"/>
      <c r="C10032" s="104"/>
      <c r="E10032" s="107" t="str">
        <f aca="false">IF($C10032="","",IFERROR(INDEX(المنيو!$C$2:$C$500,MATCH($C10032,المنيو!$B$2:$B$500,0)),0))</f>
        <v/>
      </c>
      <c r="F10032" s="107" t="str">
        <f aca="false">IF($C10032="","",$D10032*$E10032)</f>
        <v/>
      </c>
      <c r="G10032" s="107" t="str">
        <f aca="false">IF($C10032="","",$D10032*IFERROR(INDEX('تحليل التكلفة والسعر'!$C$2:$C$700,MATCH($C10032,'تحليل التكلفة والسعر'!$B$2:$B$700,0)),0))</f>
        <v/>
      </c>
    </row>
    <row r="10033" customFormat="false" ht="15" hidden="false" customHeight="false" outlineLevel="0" collapsed="false">
      <c r="A10033" s="103"/>
      <c r="B10033" s="104"/>
      <c r="C10033" s="104"/>
      <c r="E10033" s="107" t="str">
        <f aca="false">IF($C10033="","",IFERROR(INDEX(المنيو!$C$2:$C$500,MATCH($C10033,المنيو!$B$2:$B$500,0)),0))</f>
        <v/>
      </c>
      <c r="F10033" s="107" t="str">
        <f aca="false">IF($C10033="","",$D10033*$E10033)</f>
        <v/>
      </c>
      <c r="G10033" s="107" t="str">
        <f aca="false">IF($C10033="","",$D10033*IFERROR(INDEX('تحليل التكلفة والسعر'!$C$2:$C$700,MATCH($C10033,'تحليل التكلفة والسعر'!$B$2:$B$700,0)),0))</f>
        <v/>
      </c>
    </row>
    <row r="10034" customFormat="false" ht="15" hidden="false" customHeight="false" outlineLevel="0" collapsed="false">
      <c r="A10034" s="103"/>
      <c r="B10034" s="104"/>
      <c r="C10034" s="104"/>
      <c r="E10034" s="107" t="str">
        <f aca="false">IF($C10034="","",IFERROR(INDEX(المنيو!$C$2:$C$500,MATCH($C10034,المنيو!$B$2:$B$500,0)),0))</f>
        <v/>
      </c>
      <c r="F10034" s="107" t="str">
        <f aca="false">IF($C10034="","",$D10034*$E10034)</f>
        <v/>
      </c>
      <c r="G10034" s="107" t="str">
        <f aca="false">IF($C10034="","",$D10034*IFERROR(INDEX('تحليل التكلفة والسعر'!$C$2:$C$700,MATCH($C10034,'تحليل التكلفة والسعر'!$B$2:$B$700,0)),0))</f>
        <v/>
      </c>
    </row>
    <row r="10035" customFormat="false" ht="15" hidden="false" customHeight="false" outlineLevel="0" collapsed="false">
      <c r="A10035" s="103"/>
      <c r="B10035" s="104"/>
      <c r="C10035" s="104"/>
      <c r="E10035" s="107" t="str">
        <f aca="false">IF($C10035="","",IFERROR(INDEX(المنيو!$C$2:$C$500,MATCH($C10035,المنيو!$B$2:$B$500,0)),0))</f>
        <v/>
      </c>
      <c r="F10035" s="107" t="str">
        <f aca="false">IF($C10035="","",$D10035*$E10035)</f>
        <v/>
      </c>
      <c r="G10035" s="107" t="str">
        <f aca="false">IF($C10035="","",$D10035*IFERROR(INDEX('تحليل التكلفة والسعر'!$C$2:$C$700,MATCH($C10035,'تحليل التكلفة والسعر'!$B$2:$B$700,0)),0))</f>
        <v/>
      </c>
    </row>
    <row r="10036" customFormat="false" ht="15" hidden="false" customHeight="false" outlineLevel="0" collapsed="false">
      <c r="A10036" s="103"/>
      <c r="B10036" s="104"/>
      <c r="C10036" s="104"/>
      <c r="E10036" s="107" t="str">
        <f aca="false">IF($C10036="","",IFERROR(INDEX(المنيو!$C$2:$C$500,MATCH($C10036,المنيو!$B$2:$B$500,0)),0))</f>
        <v/>
      </c>
      <c r="F10036" s="107" t="str">
        <f aca="false">IF($C10036="","",$D10036*$E10036)</f>
        <v/>
      </c>
      <c r="G10036" s="107" t="str">
        <f aca="false">IF($C10036="","",$D10036*IFERROR(INDEX('تحليل التكلفة والسعر'!$C$2:$C$700,MATCH($C10036,'تحليل التكلفة والسعر'!$B$2:$B$700,0)),0))</f>
        <v/>
      </c>
    </row>
    <row r="10037" customFormat="false" ht="15" hidden="false" customHeight="false" outlineLevel="0" collapsed="false">
      <c r="A10037" s="103"/>
      <c r="B10037" s="104"/>
      <c r="C10037" s="104"/>
      <c r="E10037" s="107" t="str">
        <f aca="false">IF($C10037="","",IFERROR(INDEX(المنيو!$C$2:$C$500,MATCH($C10037,المنيو!$B$2:$B$500,0)),0))</f>
        <v/>
      </c>
      <c r="F10037" s="107" t="str">
        <f aca="false">IF($C10037="","",$D10037*$E10037)</f>
        <v/>
      </c>
      <c r="G10037" s="107" t="str">
        <f aca="false">IF($C10037="","",$D10037*IFERROR(INDEX('تحليل التكلفة والسعر'!$C$2:$C$700,MATCH($C10037,'تحليل التكلفة والسعر'!$B$2:$B$700,0)),0))</f>
        <v/>
      </c>
    </row>
    <row r="10038" customFormat="false" ht="15" hidden="false" customHeight="false" outlineLevel="0" collapsed="false">
      <c r="A10038" s="103"/>
      <c r="B10038" s="104"/>
      <c r="C10038" s="104"/>
      <c r="E10038" s="107" t="str">
        <f aca="false">IF($C10038="","",IFERROR(INDEX(المنيو!$C$2:$C$500,MATCH($C10038,المنيو!$B$2:$B$500,0)),0))</f>
        <v/>
      </c>
      <c r="F10038" s="107" t="str">
        <f aca="false">IF($C10038="","",$D10038*$E10038)</f>
        <v/>
      </c>
      <c r="G10038" s="107" t="str">
        <f aca="false">IF($C10038="","",$D10038*IFERROR(INDEX('تحليل التكلفة والسعر'!$C$2:$C$700,MATCH($C10038,'تحليل التكلفة والسعر'!$B$2:$B$700,0)),0))</f>
        <v/>
      </c>
    </row>
    <row r="10039" customFormat="false" ht="15" hidden="false" customHeight="false" outlineLevel="0" collapsed="false">
      <c r="A10039" s="103"/>
      <c r="B10039" s="104"/>
      <c r="C10039" s="104"/>
      <c r="E10039" s="107" t="str">
        <f aca="false">IF($C10039="","",IFERROR(INDEX(المنيو!$C$2:$C$500,MATCH($C10039,المنيو!$B$2:$B$500,0)),0))</f>
        <v/>
      </c>
      <c r="F10039" s="107" t="str">
        <f aca="false">IF($C10039="","",$D10039*$E10039)</f>
        <v/>
      </c>
      <c r="G10039" s="107" t="str">
        <f aca="false">IF($C10039="","",$D10039*IFERROR(INDEX('تحليل التكلفة والسعر'!$C$2:$C$700,MATCH($C10039,'تحليل التكلفة والسعر'!$B$2:$B$700,0)),0))</f>
        <v/>
      </c>
    </row>
    <row r="10040" customFormat="false" ht="15" hidden="false" customHeight="false" outlineLevel="0" collapsed="false">
      <c r="A10040" s="103"/>
      <c r="B10040" s="104"/>
      <c r="C10040" s="104"/>
      <c r="E10040" s="107" t="str">
        <f aca="false">IF($C10040="","",IFERROR(INDEX(المنيو!$C$2:$C$500,MATCH($C10040,المنيو!$B$2:$B$500,0)),0))</f>
        <v/>
      </c>
      <c r="F10040" s="107" t="str">
        <f aca="false">IF($C10040="","",$D10040*$E10040)</f>
        <v/>
      </c>
      <c r="G10040" s="107" t="str">
        <f aca="false">IF($C10040="","",$D10040*IFERROR(INDEX('تحليل التكلفة والسعر'!$C$2:$C$700,MATCH($C10040,'تحليل التكلفة والسعر'!$B$2:$B$700,0)),0))</f>
        <v/>
      </c>
    </row>
    <row r="10041" customFormat="false" ht="15" hidden="false" customHeight="false" outlineLevel="0" collapsed="false">
      <c r="A10041" s="103"/>
      <c r="B10041" s="104"/>
      <c r="C10041" s="104"/>
      <c r="E10041" s="107" t="str">
        <f aca="false">IF($C10041="","",IFERROR(INDEX(المنيو!$C$2:$C$500,MATCH($C10041,المنيو!$B$2:$B$500,0)),0))</f>
        <v/>
      </c>
      <c r="F10041" s="107" t="str">
        <f aca="false">IF($C10041="","",$D10041*$E10041)</f>
        <v/>
      </c>
      <c r="G10041" s="107" t="str">
        <f aca="false">IF($C10041="","",$D10041*IFERROR(INDEX('تحليل التكلفة والسعر'!$C$2:$C$700,MATCH($C10041,'تحليل التكلفة والسعر'!$B$2:$B$700,0)),0))</f>
        <v/>
      </c>
    </row>
    <row r="10042" customFormat="false" ht="15" hidden="false" customHeight="false" outlineLevel="0" collapsed="false">
      <c r="A10042" s="103"/>
      <c r="B10042" s="104"/>
      <c r="C10042" s="104"/>
      <c r="E10042" s="107" t="str">
        <f aca="false">IF($C10042="","",IFERROR(INDEX(المنيو!$C$2:$C$500,MATCH($C10042,المنيو!$B$2:$B$500,0)),0))</f>
        <v/>
      </c>
      <c r="F10042" s="107" t="str">
        <f aca="false">IF($C10042="","",$D10042*$E10042)</f>
        <v/>
      </c>
      <c r="G10042" s="107" t="str">
        <f aca="false">IF($C10042="","",$D10042*IFERROR(INDEX('تحليل التكلفة والسعر'!$C$2:$C$700,MATCH($C10042,'تحليل التكلفة والسعر'!$B$2:$B$700,0)),0))</f>
        <v/>
      </c>
    </row>
    <row r="10043" customFormat="false" ht="15" hidden="false" customHeight="false" outlineLevel="0" collapsed="false">
      <c r="A10043" s="103"/>
      <c r="B10043" s="104"/>
      <c r="C10043" s="104"/>
      <c r="E10043" s="107" t="str">
        <f aca="false">IF($C10043="","",IFERROR(INDEX(المنيو!$C$2:$C$500,MATCH($C10043,المنيو!$B$2:$B$500,0)),0))</f>
        <v/>
      </c>
      <c r="F10043" s="107" t="str">
        <f aca="false">IF($C10043="","",$D10043*$E10043)</f>
        <v/>
      </c>
      <c r="G10043" s="107" t="str">
        <f aca="false">IF($C10043="","",$D10043*IFERROR(INDEX('تحليل التكلفة والسعر'!$C$2:$C$700,MATCH($C10043,'تحليل التكلفة والسعر'!$B$2:$B$700,0)),0))</f>
        <v/>
      </c>
    </row>
    <row r="10044" customFormat="false" ht="15" hidden="false" customHeight="false" outlineLevel="0" collapsed="false">
      <c r="A10044" s="103"/>
      <c r="B10044" s="104"/>
      <c r="C10044" s="104"/>
      <c r="E10044" s="107" t="str">
        <f aca="false">IF($C10044="","",IFERROR(INDEX(المنيو!$C$2:$C$500,MATCH($C10044,المنيو!$B$2:$B$500,0)),0))</f>
        <v/>
      </c>
      <c r="F10044" s="107" t="str">
        <f aca="false">IF($C10044="","",$D10044*$E10044)</f>
        <v/>
      </c>
      <c r="G10044" s="107" t="str">
        <f aca="false">IF($C10044="","",$D10044*IFERROR(INDEX('تحليل التكلفة والسعر'!$C$2:$C$700,MATCH($C10044,'تحليل التكلفة والسعر'!$B$2:$B$700,0)),0))</f>
        <v/>
      </c>
    </row>
    <row r="10045" customFormat="false" ht="15" hidden="false" customHeight="false" outlineLevel="0" collapsed="false">
      <c r="A10045" s="103"/>
      <c r="B10045" s="104"/>
      <c r="C10045" s="104"/>
      <c r="E10045" s="107" t="str">
        <f aca="false">IF($C10045="","",IFERROR(INDEX(المنيو!$C$2:$C$500,MATCH($C10045,المنيو!$B$2:$B$500,0)),0))</f>
        <v/>
      </c>
      <c r="F10045" s="107" t="str">
        <f aca="false">IF($C10045="","",$D10045*$E10045)</f>
        <v/>
      </c>
      <c r="G10045" s="107" t="str">
        <f aca="false">IF($C10045="","",$D10045*IFERROR(INDEX('تحليل التكلفة والسعر'!$C$2:$C$700,MATCH($C10045,'تحليل التكلفة والسعر'!$B$2:$B$700,0)),0))</f>
        <v/>
      </c>
    </row>
    <row r="10046" customFormat="false" ht="15" hidden="false" customHeight="false" outlineLevel="0" collapsed="false">
      <c r="A10046" s="103"/>
      <c r="B10046" s="104"/>
      <c r="C10046" s="104"/>
      <c r="E10046" s="107" t="str">
        <f aca="false">IF($C10046="","",IFERROR(INDEX(المنيو!$C$2:$C$500,MATCH($C10046,المنيو!$B$2:$B$500,0)),0))</f>
        <v/>
      </c>
      <c r="F10046" s="107" t="str">
        <f aca="false">IF($C10046="","",$D10046*$E10046)</f>
        <v/>
      </c>
      <c r="G10046" s="107" t="str">
        <f aca="false">IF($C10046="","",$D10046*IFERROR(INDEX('تحليل التكلفة والسعر'!$C$2:$C$700,MATCH($C10046,'تحليل التكلفة والسعر'!$B$2:$B$700,0)),0))</f>
        <v/>
      </c>
    </row>
    <row r="10047" customFormat="false" ht="15" hidden="false" customHeight="false" outlineLevel="0" collapsed="false">
      <c r="A10047" s="103"/>
      <c r="B10047" s="104"/>
      <c r="C10047" s="104"/>
      <c r="E10047" s="107" t="str">
        <f aca="false">IF($C10047="","",IFERROR(INDEX(المنيو!$C$2:$C$500,MATCH($C10047,المنيو!$B$2:$B$500,0)),0))</f>
        <v/>
      </c>
      <c r="F10047" s="107" t="str">
        <f aca="false">IF($C10047="","",$D10047*$E10047)</f>
        <v/>
      </c>
      <c r="G10047" s="107" t="str">
        <f aca="false">IF($C10047="","",$D10047*IFERROR(INDEX('تحليل التكلفة والسعر'!$C$2:$C$700,MATCH($C10047,'تحليل التكلفة والسعر'!$B$2:$B$700,0)),0))</f>
        <v/>
      </c>
    </row>
    <row r="10048" customFormat="false" ht="15" hidden="false" customHeight="false" outlineLevel="0" collapsed="false">
      <c r="A10048" s="103"/>
      <c r="B10048" s="104"/>
      <c r="C10048" s="104"/>
      <c r="E10048" s="107" t="str">
        <f aca="false">IF($C10048="","",IFERROR(INDEX(المنيو!$C$2:$C$500,MATCH($C10048,المنيو!$B$2:$B$500,0)),0))</f>
        <v/>
      </c>
      <c r="F10048" s="107" t="str">
        <f aca="false">IF($C10048="","",$D10048*$E10048)</f>
        <v/>
      </c>
      <c r="G10048" s="107" t="str">
        <f aca="false">IF($C10048="","",$D10048*IFERROR(INDEX('تحليل التكلفة والسعر'!$C$2:$C$700,MATCH($C10048,'تحليل التكلفة والسعر'!$B$2:$B$700,0)),0))</f>
        <v/>
      </c>
    </row>
    <row r="10049" customFormat="false" ht="15" hidden="false" customHeight="false" outlineLevel="0" collapsed="false">
      <c r="A10049" s="103"/>
      <c r="B10049" s="104"/>
      <c r="C10049" s="104"/>
      <c r="E10049" s="107" t="str">
        <f aca="false">IF($C10049="","",IFERROR(INDEX(المنيو!$C$2:$C$500,MATCH($C10049,المنيو!$B$2:$B$500,0)),0))</f>
        <v/>
      </c>
      <c r="F10049" s="107" t="str">
        <f aca="false">IF($C10049="","",$D10049*$E10049)</f>
        <v/>
      </c>
      <c r="G10049" s="107" t="str">
        <f aca="false">IF($C10049="","",$D10049*IFERROR(INDEX('تحليل التكلفة والسعر'!$C$2:$C$700,MATCH($C10049,'تحليل التكلفة والسعر'!$B$2:$B$700,0)),0))</f>
        <v/>
      </c>
    </row>
    <row r="10050" customFormat="false" ht="15" hidden="false" customHeight="false" outlineLevel="0" collapsed="false">
      <c r="A10050" s="103"/>
      <c r="B10050" s="104"/>
      <c r="C10050" s="104"/>
      <c r="E10050" s="107" t="str">
        <f aca="false">IF($C10050="","",IFERROR(INDEX(المنيو!$C$2:$C$500,MATCH($C10050,المنيو!$B$2:$B$500,0)),0))</f>
        <v/>
      </c>
      <c r="F10050" s="107" t="str">
        <f aca="false">IF($C10050="","",$D10050*$E10050)</f>
        <v/>
      </c>
      <c r="G10050" s="107" t="str">
        <f aca="false">IF($C10050="","",$D10050*IFERROR(INDEX('تحليل التكلفة والسعر'!$C$2:$C$700,MATCH($C10050,'تحليل التكلفة والسعر'!$B$2:$B$700,0)),0))</f>
        <v/>
      </c>
    </row>
    <row r="10051" customFormat="false" ht="15" hidden="false" customHeight="false" outlineLevel="0" collapsed="false">
      <c r="A10051" s="103"/>
      <c r="B10051" s="104"/>
      <c r="C10051" s="104"/>
      <c r="E10051" s="107" t="str">
        <f aca="false">IF($C10051="","",IFERROR(INDEX(المنيو!$C$2:$C$500,MATCH($C10051,المنيو!$B$2:$B$500,0)),0))</f>
        <v/>
      </c>
      <c r="F10051" s="107" t="str">
        <f aca="false">IF($C10051="","",$D10051*$E10051)</f>
        <v/>
      </c>
      <c r="G10051" s="107" t="str">
        <f aca="false">IF($C10051="","",$D10051*IFERROR(INDEX('تحليل التكلفة والسعر'!$C$2:$C$700,MATCH($C10051,'تحليل التكلفة والسعر'!$B$2:$B$700,0)),0))</f>
        <v/>
      </c>
    </row>
    <row r="10052" customFormat="false" ht="15" hidden="false" customHeight="false" outlineLevel="0" collapsed="false">
      <c r="A10052" s="103"/>
      <c r="B10052" s="104"/>
      <c r="C10052" s="104"/>
      <c r="E10052" s="107" t="str">
        <f aca="false">IF($C10052="","",IFERROR(INDEX(المنيو!$C$2:$C$500,MATCH($C10052,المنيو!$B$2:$B$500,0)),0))</f>
        <v/>
      </c>
      <c r="F10052" s="107" t="str">
        <f aca="false">IF($C10052="","",$D10052*$E10052)</f>
        <v/>
      </c>
      <c r="G10052" s="107" t="str">
        <f aca="false">IF($C10052="","",$D10052*IFERROR(INDEX('تحليل التكلفة والسعر'!$C$2:$C$700,MATCH($C10052,'تحليل التكلفة والسعر'!$B$2:$B$700,0)),0))</f>
        <v/>
      </c>
    </row>
    <row r="10053" customFormat="false" ht="15" hidden="false" customHeight="false" outlineLevel="0" collapsed="false">
      <c r="A10053" s="103"/>
      <c r="B10053" s="104"/>
      <c r="C10053" s="104"/>
      <c r="E10053" s="107" t="str">
        <f aca="false">IF($C10053="","",IFERROR(INDEX(المنيو!$C$2:$C$500,MATCH($C10053,المنيو!$B$2:$B$500,0)),0))</f>
        <v/>
      </c>
      <c r="F10053" s="107" t="str">
        <f aca="false">IF($C10053="","",$D10053*$E10053)</f>
        <v/>
      </c>
      <c r="G10053" s="107" t="str">
        <f aca="false">IF($C10053="","",$D10053*IFERROR(INDEX('تحليل التكلفة والسعر'!$C$2:$C$700,MATCH($C10053,'تحليل التكلفة والسعر'!$B$2:$B$700,0)),0))</f>
        <v/>
      </c>
    </row>
    <row r="10054" customFormat="false" ht="15" hidden="false" customHeight="false" outlineLevel="0" collapsed="false">
      <c r="A10054" s="103"/>
      <c r="B10054" s="104"/>
      <c r="C10054" s="104"/>
      <c r="E10054" s="107" t="str">
        <f aca="false">IF($C10054="","",IFERROR(INDEX(المنيو!$C$2:$C$500,MATCH($C10054,المنيو!$B$2:$B$500,0)),0))</f>
        <v/>
      </c>
      <c r="F10054" s="107" t="str">
        <f aca="false">IF($C10054="","",$D10054*$E10054)</f>
        <v/>
      </c>
      <c r="G10054" s="107" t="str">
        <f aca="false">IF($C10054="","",$D10054*IFERROR(INDEX('تحليل التكلفة والسعر'!$C$2:$C$700,MATCH($C10054,'تحليل التكلفة والسعر'!$B$2:$B$700,0)),0))</f>
        <v/>
      </c>
    </row>
    <row r="10055" customFormat="false" ht="15" hidden="false" customHeight="false" outlineLevel="0" collapsed="false">
      <c r="A10055" s="103"/>
      <c r="B10055" s="104"/>
      <c r="C10055" s="104"/>
      <c r="E10055" s="107" t="str">
        <f aca="false">IF($C10055="","",IFERROR(INDEX(المنيو!$C$2:$C$500,MATCH($C10055,المنيو!$B$2:$B$500,0)),0))</f>
        <v/>
      </c>
      <c r="F10055" s="107" t="str">
        <f aca="false">IF($C10055="","",$D10055*$E10055)</f>
        <v/>
      </c>
      <c r="G10055" s="107" t="str">
        <f aca="false">IF($C10055="","",$D10055*IFERROR(INDEX('تحليل التكلفة والسعر'!$C$2:$C$700,MATCH($C10055,'تحليل التكلفة والسعر'!$B$2:$B$700,0)),0))</f>
        <v/>
      </c>
    </row>
    <row r="10056" customFormat="false" ht="15" hidden="false" customHeight="false" outlineLevel="0" collapsed="false">
      <c r="A10056" s="103"/>
      <c r="B10056" s="104"/>
      <c r="C10056" s="104"/>
      <c r="E10056" s="107" t="str">
        <f aca="false">IF($C10056="","",IFERROR(INDEX(المنيو!$C$2:$C$500,MATCH($C10056,المنيو!$B$2:$B$500,0)),0))</f>
        <v/>
      </c>
      <c r="F10056" s="107" t="str">
        <f aca="false">IF($C10056="","",$D10056*$E10056)</f>
        <v/>
      </c>
      <c r="G10056" s="107" t="str">
        <f aca="false">IF($C10056="","",$D10056*IFERROR(INDEX('تحليل التكلفة والسعر'!$C$2:$C$700,MATCH($C10056,'تحليل التكلفة والسعر'!$B$2:$B$700,0)),0))</f>
        <v/>
      </c>
    </row>
    <row r="10057" customFormat="false" ht="15" hidden="false" customHeight="false" outlineLevel="0" collapsed="false">
      <c r="A10057" s="103"/>
      <c r="B10057" s="104"/>
      <c r="C10057" s="104"/>
      <c r="E10057" s="107" t="str">
        <f aca="false">IF($C10057="","",IFERROR(INDEX(المنيو!$C$2:$C$500,MATCH($C10057,المنيو!$B$2:$B$500,0)),0))</f>
        <v/>
      </c>
      <c r="F10057" s="107" t="str">
        <f aca="false">IF($C10057="","",$D10057*$E10057)</f>
        <v/>
      </c>
      <c r="G10057" s="107" t="str">
        <f aca="false">IF($C10057="","",$D10057*IFERROR(INDEX('تحليل التكلفة والسعر'!$C$2:$C$700,MATCH($C10057,'تحليل التكلفة والسعر'!$B$2:$B$700,0)),0))</f>
        <v/>
      </c>
    </row>
    <row r="10058" customFormat="false" ht="15" hidden="false" customHeight="false" outlineLevel="0" collapsed="false">
      <c r="A10058" s="103"/>
      <c r="B10058" s="104"/>
      <c r="C10058" s="104"/>
      <c r="E10058" s="107" t="str">
        <f aca="false">IF($C10058="","",IFERROR(INDEX(المنيو!$C$2:$C$500,MATCH($C10058,المنيو!$B$2:$B$500,0)),0))</f>
        <v/>
      </c>
      <c r="F10058" s="107" t="str">
        <f aca="false">IF($C10058="","",$D10058*$E10058)</f>
        <v/>
      </c>
      <c r="G10058" s="107" t="str">
        <f aca="false">IF($C10058="","",$D10058*IFERROR(INDEX('تحليل التكلفة والسعر'!$C$2:$C$700,MATCH($C10058,'تحليل التكلفة والسعر'!$B$2:$B$700,0)),0))</f>
        <v/>
      </c>
    </row>
    <row r="10059" customFormat="false" ht="15" hidden="false" customHeight="false" outlineLevel="0" collapsed="false">
      <c r="A10059" s="103"/>
      <c r="B10059" s="104"/>
      <c r="C10059" s="104"/>
      <c r="E10059" s="107" t="str">
        <f aca="false">IF($C10059="","",IFERROR(INDEX(المنيو!$C$2:$C$500,MATCH($C10059,المنيو!$B$2:$B$500,0)),0))</f>
        <v/>
      </c>
      <c r="F10059" s="107" t="str">
        <f aca="false">IF($C10059="","",$D10059*$E10059)</f>
        <v/>
      </c>
      <c r="G10059" s="107" t="str">
        <f aca="false">IF($C10059="","",$D10059*IFERROR(INDEX('تحليل التكلفة والسعر'!$C$2:$C$700,MATCH($C10059,'تحليل التكلفة والسعر'!$B$2:$B$700,0)),0))</f>
        <v/>
      </c>
    </row>
    <row r="10060" customFormat="false" ht="15" hidden="false" customHeight="false" outlineLevel="0" collapsed="false">
      <c r="A10060" s="103"/>
      <c r="B10060" s="104"/>
      <c r="C10060" s="104"/>
      <c r="E10060" s="107" t="str">
        <f aca="false">IF($C10060="","",IFERROR(INDEX(المنيو!$C$2:$C$500,MATCH($C10060,المنيو!$B$2:$B$500,0)),0))</f>
        <v/>
      </c>
      <c r="F10060" s="107" t="str">
        <f aca="false">IF($C10060="","",$D10060*$E10060)</f>
        <v/>
      </c>
      <c r="G10060" s="107" t="str">
        <f aca="false">IF($C10060="","",$D10060*IFERROR(INDEX('تحليل التكلفة والسعر'!$C$2:$C$700,MATCH($C10060,'تحليل التكلفة والسعر'!$B$2:$B$700,0)),0))</f>
        <v/>
      </c>
    </row>
    <row r="10061" customFormat="false" ht="15" hidden="false" customHeight="false" outlineLevel="0" collapsed="false">
      <c r="A10061" s="103"/>
      <c r="B10061" s="104"/>
      <c r="C10061" s="104"/>
      <c r="E10061" s="107" t="str">
        <f aca="false">IF($C10061="","",IFERROR(INDEX(المنيو!$C$2:$C$500,MATCH($C10061,المنيو!$B$2:$B$500,0)),0))</f>
        <v/>
      </c>
      <c r="F10061" s="107" t="str">
        <f aca="false">IF($C10061="","",$D10061*$E10061)</f>
        <v/>
      </c>
      <c r="G10061" s="107" t="str">
        <f aca="false">IF($C10061="","",$D10061*IFERROR(INDEX('تحليل التكلفة والسعر'!$C$2:$C$700,MATCH($C10061,'تحليل التكلفة والسعر'!$B$2:$B$700,0)),0))</f>
        <v/>
      </c>
    </row>
    <row r="10062" customFormat="false" ht="15" hidden="false" customHeight="false" outlineLevel="0" collapsed="false">
      <c r="A10062" s="103"/>
      <c r="B10062" s="104"/>
      <c r="C10062" s="104"/>
      <c r="E10062" s="107" t="str">
        <f aca="false">IF($C10062="","",IFERROR(INDEX(المنيو!$C$2:$C$500,MATCH($C10062,المنيو!$B$2:$B$500,0)),0))</f>
        <v/>
      </c>
      <c r="F10062" s="107" t="str">
        <f aca="false">IF($C10062="","",$D10062*$E10062)</f>
        <v/>
      </c>
      <c r="G10062" s="107" t="str">
        <f aca="false">IF($C10062="","",$D10062*IFERROR(INDEX('تحليل التكلفة والسعر'!$C$2:$C$700,MATCH($C10062,'تحليل التكلفة والسعر'!$B$2:$B$700,0)),0))</f>
        <v/>
      </c>
    </row>
    <row r="10063" customFormat="false" ht="15" hidden="false" customHeight="false" outlineLevel="0" collapsed="false">
      <c r="A10063" s="103"/>
      <c r="B10063" s="104"/>
      <c r="C10063" s="104"/>
      <c r="E10063" s="107" t="str">
        <f aca="false">IF($C10063="","",IFERROR(INDEX(المنيو!$C$2:$C$500,MATCH($C10063,المنيو!$B$2:$B$500,0)),0))</f>
        <v/>
      </c>
      <c r="F10063" s="107" t="str">
        <f aca="false">IF($C10063="","",$D10063*$E10063)</f>
        <v/>
      </c>
      <c r="G10063" s="107" t="str">
        <f aca="false">IF($C10063="","",$D10063*IFERROR(INDEX('تحليل التكلفة والسعر'!$C$2:$C$700,MATCH($C10063,'تحليل التكلفة والسعر'!$B$2:$B$700,0)),0))</f>
        <v/>
      </c>
    </row>
    <row r="10064" customFormat="false" ht="15" hidden="false" customHeight="false" outlineLevel="0" collapsed="false">
      <c r="A10064" s="103"/>
      <c r="B10064" s="104"/>
      <c r="C10064" s="104"/>
      <c r="E10064" s="107" t="str">
        <f aca="false">IF($C10064="","",IFERROR(INDEX(المنيو!$C$2:$C$500,MATCH($C10064,المنيو!$B$2:$B$500,0)),0))</f>
        <v/>
      </c>
      <c r="F10064" s="107" t="str">
        <f aca="false">IF($C10064="","",$D10064*$E10064)</f>
        <v/>
      </c>
      <c r="G10064" s="107" t="str">
        <f aca="false">IF($C10064="","",$D10064*IFERROR(INDEX('تحليل التكلفة والسعر'!$C$2:$C$700,MATCH($C10064,'تحليل التكلفة والسعر'!$B$2:$B$700,0)),0))</f>
        <v/>
      </c>
    </row>
    <row r="10065" customFormat="false" ht="15" hidden="false" customHeight="false" outlineLevel="0" collapsed="false">
      <c r="A10065" s="103"/>
      <c r="B10065" s="104"/>
      <c r="C10065" s="104"/>
      <c r="E10065" s="107" t="str">
        <f aca="false">IF($C10065="","",IFERROR(INDEX(المنيو!$C$2:$C$500,MATCH($C10065,المنيو!$B$2:$B$500,0)),0))</f>
        <v/>
      </c>
      <c r="F10065" s="107" t="str">
        <f aca="false">IF($C10065="","",$D10065*$E10065)</f>
        <v/>
      </c>
      <c r="G10065" s="107" t="str">
        <f aca="false">IF($C10065="","",$D10065*IFERROR(INDEX('تحليل التكلفة والسعر'!$C$2:$C$700,MATCH($C10065,'تحليل التكلفة والسعر'!$B$2:$B$700,0)),0))</f>
        <v/>
      </c>
    </row>
    <row r="10066" customFormat="false" ht="15" hidden="false" customHeight="false" outlineLevel="0" collapsed="false">
      <c r="A10066" s="103"/>
      <c r="B10066" s="104"/>
      <c r="C10066" s="104"/>
      <c r="E10066" s="107" t="str">
        <f aca="false">IF($C10066="","",IFERROR(INDEX(المنيو!$C$2:$C$500,MATCH($C10066,المنيو!$B$2:$B$500,0)),0))</f>
        <v/>
      </c>
      <c r="F10066" s="107" t="str">
        <f aca="false">IF($C10066="","",$D10066*$E10066)</f>
        <v/>
      </c>
      <c r="G10066" s="107" t="str">
        <f aca="false">IF($C10066="","",$D10066*IFERROR(INDEX('تحليل التكلفة والسعر'!$C$2:$C$700,MATCH($C10066,'تحليل التكلفة والسعر'!$B$2:$B$700,0)),0))</f>
        <v/>
      </c>
    </row>
    <row r="10067" customFormat="false" ht="15" hidden="false" customHeight="false" outlineLevel="0" collapsed="false">
      <c r="A10067" s="103"/>
      <c r="B10067" s="104"/>
      <c r="C10067" s="104"/>
      <c r="E10067" s="107" t="str">
        <f aca="false">IF($C10067="","",IFERROR(INDEX(المنيو!$C$2:$C$500,MATCH($C10067,المنيو!$B$2:$B$500,0)),0))</f>
        <v/>
      </c>
      <c r="F10067" s="107" t="str">
        <f aca="false">IF($C10067="","",$D10067*$E10067)</f>
        <v/>
      </c>
      <c r="G10067" s="107" t="str">
        <f aca="false">IF($C10067="","",$D10067*IFERROR(INDEX('تحليل التكلفة والسعر'!$C$2:$C$700,MATCH($C10067,'تحليل التكلفة والسعر'!$B$2:$B$700,0)),0))</f>
        <v/>
      </c>
    </row>
    <row r="10068" customFormat="false" ht="15" hidden="false" customHeight="false" outlineLevel="0" collapsed="false">
      <c r="A10068" s="103"/>
      <c r="B10068" s="104"/>
      <c r="C10068" s="104"/>
      <c r="E10068" s="107" t="str">
        <f aca="false">IF($C10068="","",IFERROR(INDEX(المنيو!$C$2:$C$500,MATCH($C10068,المنيو!$B$2:$B$500,0)),0))</f>
        <v/>
      </c>
      <c r="F10068" s="107" t="str">
        <f aca="false">IF($C10068="","",$D10068*$E10068)</f>
        <v/>
      </c>
      <c r="G10068" s="107" t="str">
        <f aca="false">IF($C10068="","",$D10068*IFERROR(INDEX('تحليل التكلفة والسعر'!$C$2:$C$700,MATCH($C10068,'تحليل التكلفة والسعر'!$B$2:$B$700,0)),0))</f>
        <v/>
      </c>
    </row>
    <row r="10069" customFormat="false" ht="15" hidden="false" customHeight="false" outlineLevel="0" collapsed="false">
      <c r="A10069" s="103"/>
      <c r="B10069" s="104"/>
      <c r="C10069" s="104"/>
      <c r="E10069" s="107" t="str">
        <f aca="false">IF($C10069="","",IFERROR(INDEX(المنيو!$C$2:$C$500,MATCH($C10069,المنيو!$B$2:$B$500,0)),0))</f>
        <v/>
      </c>
      <c r="F10069" s="107" t="str">
        <f aca="false">IF($C10069="","",$D10069*$E10069)</f>
        <v/>
      </c>
      <c r="G10069" s="107" t="str">
        <f aca="false">IF($C10069="","",$D10069*IFERROR(INDEX('تحليل التكلفة والسعر'!$C$2:$C$700,MATCH($C10069,'تحليل التكلفة والسعر'!$B$2:$B$700,0)),0))</f>
        <v/>
      </c>
    </row>
    <row r="10070" customFormat="false" ht="15" hidden="false" customHeight="false" outlineLevel="0" collapsed="false">
      <c r="A10070" s="103"/>
      <c r="B10070" s="104"/>
      <c r="C10070" s="104"/>
      <c r="E10070" s="107" t="str">
        <f aca="false">IF($C10070="","",IFERROR(INDEX(المنيو!$C$2:$C$500,MATCH($C10070,المنيو!$B$2:$B$500,0)),0))</f>
        <v/>
      </c>
      <c r="F10070" s="107" t="str">
        <f aca="false">IF($C10070="","",$D10070*$E10070)</f>
        <v/>
      </c>
      <c r="G10070" s="107" t="str">
        <f aca="false">IF($C10070="","",$D10070*IFERROR(INDEX('تحليل التكلفة والسعر'!$C$2:$C$700,MATCH($C10070,'تحليل التكلفة والسعر'!$B$2:$B$700,0)),0))</f>
        <v/>
      </c>
    </row>
    <row r="10071" customFormat="false" ht="15" hidden="false" customHeight="false" outlineLevel="0" collapsed="false">
      <c r="A10071" s="103"/>
      <c r="B10071" s="104"/>
      <c r="C10071" s="104"/>
      <c r="E10071" s="107" t="str">
        <f aca="false">IF($C10071="","",IFERROR(INDEX(المنيو!$C$2:$C$500,MATCH($C10071,المنيو!$B$2:$B$500,0)),0))</f>
        <v/>
      </c>
      <c r="F10071" s="107" t="str">
        <f aca="false">IF($C10071="","",$D10071*$E10071)</f>
        <v/>
      </c>
      <c r="G10071" s="107" t="str">
        <f aca="false">IF($C10071="","",$D10071*IFERROR(INDEX('تحليل التكلفة والسعر'!$C$2:$C$700,MATCH($C10071,'تحليل التكلفة والسعر'!$B$2:$B$700,0)),0))</f>
        <v/>
      </c>
    </row>
    <row r="10072" customFormat="false" ht="15" hidden="false" customHeight="false" outlineLevel="0" collapsed="false">
      <c r="A10072" s="103"/>
      <c r="B10072" s="104"/>
      <c r="C10072" s="104"/>
      <c r="E10072" s="107" t="str">
        <f aca="false">IF($C10072="","",IFERROR(INDEX(المنيو!$C$2:$C$500,MATCH($C10072,المنيو!$B$2:$B$500,0)),0))</f>
        <v/>
      </c>
      <c r="F10072" s="107" t="str">
        <f aca="false">IF($C10072="","",$D10072*$E10072)</f>
        <v/>
      </c>
      <c r="G10072" s="107" t="str">
        <f aca="false">IF($C10072="","",$D10072*IFERROR(INDEX('تحليل التكلفة والسعر'!$C$2:$C$700,MATCH($C10072,'تحليل التكلفة والسعر'!$B$2:$B$700,0)),0))</f>
        <v/>
      </c>
    </row>
    <row r="10073" customFormat="false" ht="15" hidden="false" customHeight="false" outlineLevel="0" collapsed="false">
      <c r="A10073" s="103"/>
      <c r="B10073" s="104"/>
      <c r="C10073" s="104"/>
      <c r="E10073" s="107" t="str">
        <f aca="false">IF($C10073="","",IFERROR(INDEX(المنيو!$C$2:$C$500,MATCH($C10073,المنيو!$B$2:$B$500,0)),0))</f>
        <v/>
      </c>
      <c r="F10073" s="107" t="str">
        <f aca="false">IF($C10073="","",$D10073*$E10073)</f>
        <v/>
      </c>
      <c r="G10073" s="107" t="str">
        <f aca="false">IF($C10073="","",$D10073*IFERROR(INDEX('تحليل التكلفة والسعر'!$C$2:$C$700,MATCH($C10073,'تحليل التكلفة والسعر'!$B$2:$B$700,0)),0))</f>
        <v/>
      </c>
    </row>
    <row r="10074" customFormat="false" ht="15" hidden="false" customHeight="false" outlineLevel="0" collapsed="false">
      <c r="A10074" s="103"/>
      <c r="B10074" s="104"/>
      <c r="C10074" s="104"/>
      <c r="E10074" s="107" t="str">
        <f aca="false">IF($C10074="","",IFERROR(INDEX(المنيو!$C$2:$C$500,MATCH($C10074,المنيو!$B$2:$B$500,0)),0))</f>
        <v/>
      </c>
      <c r="F10074" s="107" t="str">
        <f aca="false">IF($C10074="","",$D10074*$E10074)</f>
        <v/>
      </c>
      <c r="G10074" s="107" t="str">
        <f aca="false">IF($C10074="","",$D10074*IFERROR(INDEX('تحليل التكلفة والسعر'!$C$2:$C$700,MATCH($C10074,'تحليل التكلفة والسعر'!$B$2:$B$700,0)),0))</f>
        <v/>
      </c>
    </row>
    <row r="10075" customFormat="false" ht="15" hidden="false" customHeight="false" outlineLevel="0" collapsed="false">
      <c r="A10075" s="103"/>
      <c r="B10075" s="104"/>
      <c r="C10075" s="104"/>
      <c r="E10075" s="107" t="str">
        <f aca="false">IF($C10075="","",IFERROR(INDEX(المنيو!$C$2:$C$500,MATCH($C10075,المنيو!$B$2:$B$500,0)),0))</f>
        <v/>
      </c>
      <c r="F10075" s="107" t="str">
        <f aca="false">IF($C10075="","",$D10075*$E10075)</f>
        <v/>
      </c>
      <c r="G10075" s="107" t="str">
        <f aca="false">IF($C10075="","",$D10075*IFERROR(INDEX('تحليل التكلفة والسعر'!$C$2:$C$700,MATCH($C10075,'تحليل التكلفة والسعر'!$B$2:$B$700,0)),0))</f>
        <v/>
      </c>
    </row>
    <row r="10076" customFormat="false" ht="15" hidden="false" customHeight="false" outlineLevel="0" collapsed="false">
      <c r="A10076" s="103"/>
      <c r="B10076" s="104"/>
      <c r="C10076" s="104"/>
      <c r="E10076" s="107" t="str">
        <f aca="false">IF($C10076="","",IFERROR(INDEX(المنيو!$C$2:$C$500,MATCH($C10076,المنيو!$B$2:$B$500,0)),0))</f>
        <v/>
      </c>
      <c r="F10076" s="107" t="str">
        <f aca="false">IF($C10076="","",$D10076*$E10076)</f>
        <v/>
      </c>
      <c r="G10076" s="107" t="str">
        <f aca="false">IF($C10076="","",$D10076*IFERROR(INDEX('تحليل التكلفة والسعر'!$C$2:$C$700,MATCH($C10076,'تحليل التكلفة والسعر'!$B$2:$B$700,0)),0))</f>
        <v/>
      </c>
    </row>
    <row r="10077" customFormat="false" ht="15" hidden="false" customHeight="false" outlineLevel="0" collapsed="false">
      <c r="A10077" s="103"/>
      <c r="B10077" s="104"/>
      <c r="C10077" s="104"/>
      <c r="E10077" s="107" t="str">
        <f aca="false">IF($C10077="","",IFERROR(INDEX(المنيو!$C$2:$C$500,MATCH($C10077,المنيو!$B$2:$B$500,0)),0))</f>
        <v/>
      </c>
      <c r="F10077" s="107" t="str">
        <f aca="false">IF($C10077="","",$D10077*$E10077)</f>
        <v/>
      </c>
      <c r="G10077" s="107" t="str">
        <f aca="false">IF($C10077="","",$D10077*IFERROR(INDEX('تحليل التكلفة والسعر'!$C$2:$C$700,MATCH($C10077,'تحليل التكلفة والسعر'!$B$2:$B$700,0)),0))</f>
        <v/>
      </c>
    </row>
    <row r="10078" customFormat="false" ht="15" hidden="false" customHeight="false" outlineLevel="0" collapsed="false">
      <c r="A10078" s="103"/>
      <c r="B10078" s="104"/>
      <c r="C10078" s="104"/>
      <c r="E10078" s="107" t="str">
        <f aca="false">IF($C10078="","",IFERROR(INDEX(المنيو!$C$2:$C$500,MATCH($C10078,المنيو!$B$2:$B$500,0)),0))</f>
        <v/>
      </c>
      <c r="F10078" s="107" t="str">
        <f aca="false">IF($C10078="","",$D10078*$E10078)</f>
        <v/>
      </c>
      <c r="G10078" s="107" t="str">
        <f aca="false">IF($C10078="","",$D10078*IFERROR(INDEX('تحليل التكلفة والسعر'!$C$2:$C$700,MATCH($C10078,'تحليل التكلفة والسعر'!$B$2:$B$700,0)),0))</f>
        <v/>
      </c>
    </row>
    <row r="10079" customFormat="false" ht="15" hidden="false" customHeight="false" outlineLevel="0" collapsed="false">
      <c r="A10079" s="103"/>
      <c r="B10079" s="104"/>
      <c r="C10079" s="104"/>
      <c r="E10079" s="107" t="str">
        <f aca="false">IF($C10079="","",IFERROR(INDEX(المنيو!$C$2:$C$500,MATCH($C10079,المنيو!$B$2:$B$500,0)),0))</f>
        <v/>
      </c>
      <c r="F10079" s="107" t="str">
        <f aca="false">IF($C10079="","",$D10079*$E10079)</f>
        <v/>
      </c>
      <c r="G10079" s="107" t="str">
        <f aca="false">IF($C10079="","",$D10079*IFERROR(INDEX('تحليل التكلفة والسعر'!$C$2:$C$700,MATCH($C10079,'تحليل التكلفة والسعر'!$B$2:$B$700,0)),0))</f>
        <v/>
      </c>
    </row>
    <row r="10080" customFormat="false" ht="15" hidden="false" customHeight="false" outlineLevel="0" collapsed="false">
      <c r="A10080" s="103"/>
      <c r="B10080" s="104"/>
      <c r="C10080" s="104"/>
      <c r="E10080" s="107" t="str">
        <f aca="false">IF($C10080="","",IFERROR(INDEX(المنيو!$C$2:$C$500,MATCH($C10080,المنيو!$B$2:$B$500,0)),0))</f>
        <v/>
      </c>
      <c r="F10080" s="107" t="str">
        <f aca="false">IF($C10080="","",$D10080*$E10080)</f>
        <v/>
      </c>
      <c r="G10080" s="107" t="str">
        <f aca="false">IF($C10080="","",$D10080*IFERROR(INDEX('تحليل التكلفة والسعر'!$C$2:$C$700,MATCH($C10080,'تحليل التكلفة والسعر'!$B$2:$B$700,0)),0))</f>
        <v/>
      </c>
    </row>
    <row r="10081" customFormat="false" ht="15" hidden="false" customHeight="false" outlineLevel="0" collapsed="false">
      <c r="A10081" s="103"/>
      <c r="B10081" s="104"/>
      <c r="C10081" s="104"/>
      <c r="E10081" s="107" t="str">
        <f aca="false">IF($C10081="","",IFERROR(INDEX(المنيو!$C$2:$C$500,MATCH($C10081,المنيو!$B$2:$B$500,0)),0))</f>
        <v/>
      </c>
      <c r="F10081" s="107" t="str">
        <f aca="false">IF($C10081="","",$D10081*$E10081)</f>
        <v/>
      </c>
      <c r="G10081" s="107" t="str">
        <f aca="false">IF($C10081="","",$D10081*IFERROR(INDEX('تحليل التكلفة والسعر'!$C$2:$C$700,MATCH($C10081,'تحليل التكلفة والسعر'!$B$2:$B$700,0)),0))</f>
        <v/>
      </c>
    </row>
    <row r="10082" customFormat="false" ht="15" hidden="false" customHeight="false" outlineLevel="0" collapsed="false">
      <c r="A10082" s="103"/>
      <c r="B10082" s="104"/>
      <c r="C10082" s="104"/>
      <c r="E10082" s="107" t="str">
        <f aca="false">IF($C10082="","",IFERROR(INDEX(المنيو!$C$2:$C$500,MATCH($C10082,المنيو!$B$2:$B$500,0)),0))</f>
        <v/>
      </c>
      <c r="F10082" s="107" t="str">
        <f aca="false">IF($C10082="","",$D10082*$E10082)</f>
        <v/>
      </c>
      <c r="G10082" s="107" t="str">
        <f aca="false">IF($C10082="","",$D10082*IFERROR(INDEX('تحليل التكلفة والسعر'!$C$2:$C$700,MATCH($C10082,'تحليل التكلفة والسعر'!$B$2:$B$700,0)),0))</f>
        <v/>
      </c>
    </row>
    <row r="10083" customFormat="false" ht="15" hidden="false" customHeight="false" outlineLevel="0" collapsed="false">
      <c r="A10083" s="103"/>
      <c r="B10083" s="104"/>
      <c r="C10083" s="104"/>
      <c r="E10083" s="107" t="str">
        <f aca="false">IF($C10083="","",IFERROR(INDEX(المنيو!$C$2:$C$500,MATCH($C10083,المنيو!$B$2:$B$500,0)),0))</f>
        <v/>
      </c>
      <c r="F10083" s="107" t="str">
        <f aca="false">IF($C10083="","",$D10083*$E10083)</f>
        <v/>
      </c>
      <c r="G10083" s="107" t="str">
        <f aca="false">IF($C10083="","",$D10083*IFERROR(INDEX('تحليل التكلفة والسعر'!$C$2:$C$700,MATCH($C10083,'تحليل التكلفة والسعر'!$B$2:$B$700,0)),0))</f>
        <v/>
      </c>
    </row>
    <row r="10084" customFormat="false" ht="15" hidden="false" customHeight="false" outlineLevel="0" collapsed="false">
      <c r="A10084" s="103"/>
      <c r="B10084" s="104"/>
      <c r="C10084" s="104"/>
      <c r="E10084" s="107" t="str">
        <f aca="false">IF($C10084="","",IFERROR(INDEX(المنيو!$C$2:$C$500,MATCH($C10084,المنيو!$B$2:$B$500,0)),0))</f>
        <v/>
      </c>
      <c r="F10084" s="107" t="str">
        <f aca="false">IF($C10084="","",$D10084*$E10084)</f>
        <v/>
      </c>
      <c r="G10084" s="107" t="str">
        <f aca="false">IF($C10084="","",$D10084*IFERROR(INDEX('تحليل التكلفة والسعر'!$C$2:$C$700,MATCH($C10084,'تحليل التكلفة والسعر'!$B$2:$B$700,0)),0))</f>
        <v/>
      </c>
    </row>
    <row r="10085" customFormat="false" ht="15" hidden="false" customHeight="false" outlineLevel="0" collapsed="false">
      <c r="A10085" s="103"/>
      <c r="B10085" s="104"/>
      <c r="C10085" s="104"/>
      <c r="E10085" s="107" t="str">
        <f aca="false">IF($C10085="","",IFERROR(INDEX(المنيو!$C$2:$C$500,MATCH($C10085,المنيو!$B$2:$B$500,0)),0))</f>
        <v/>
      </c>
      <c r="F10085" s="107" t="str">
        <f aca="false">IF($C10085="","",$D10085*$E10085)</f>
        <v/>
      </c>
      <c r="G10085" s="107" t="str">
        <f aca="false">IF($C10085="","",$D10085*IFERROR(INDEX('تحليل التكلفة والسعر'!$C$2:$C$700,MATCH($C10085,'تحليل التكلفة والسعر'!$B$2:$B$700,0)),0))</f>
        <v/>
      </c>
    </row>
    <row r="10086" customFormat="false" ht="15" hidden="false" customHeight="false" outlineLevel="0" collapsed="false">
      <c r="A10086" s="103"/>
      <c r="B10086" s="104"/>
      <c r="C10086" s="104"/>
      <c r="E10086" s="107" t="str">
        <f aca="false">IF($C10086="","",IFERROR(INDEX(المنيو!$C$2:$C$500,MATCH($C10086,المنيو!$B$2:$B$500,0)),0))</f>
        <v/>
      </c>
      <c r="F10086" s="107" t="str">
        <f aca="false">IF($C10086="","",$D10086*$E10086)</f>
        <v/>
      </c>
      <c r="G10086" s="107" t="str">
        <f aca="false">IF($C10086="","",$D10086*IFERROR(INDEX('تحليل التكلفة والسعر'!$C$2:$C$700,MATCH($C10086,'تحليل التكلفة والسعر'!$B$2:$B$700,0)),0))</f>
        <v/>
      </c>
    </row>
    <row r="10087" customFormat="false" ht="15" hidden="false" customHeight="false" outlineLevel="0" collapsed="false">
      <c r="A10087" s="103"/>
      <c r="B10087" s="104"/>
      <c r="C10087" s="104"/>
      <c r="E10087" s="107" t="str">
        <f aca="false">IF($C10087="","",IFERROR(INDEX(المنيو!$C$2:$C$500,MATCH($C10087,المنيو!$B$2:$B$500,0)),0))</f>
        <v/>
      </c>
      <c r="F10087" s="107" t="str">
        <f aca="false">IF($C10087="","",$D10087*$E10087)</f>
        <v/>
      </c>
      <c r="G10087" s="107" t="str">
        <f aca="false">IF($C10087="","",$D10087*IFERROR(INDEX('تحليل التكلفة والسعر'!$C$2:$C$700,MATCH($C10087,'تحليل التكلفة والسعر'!$B$2:$B$700,0)),0))</f>
        <v/>
      </c>
    </row>
    <row r="10088" customFormat="false" ht="15" hidden="false" customHeight="false" outlineLevel="0" collapsed="false">
      <c r="A10088" s="103"/>
      <c r="B10088" s="104"/>
      <c r="C10088" s="104"/>
      <c r="E10088" s="107" t="str">
        <f aca="false">IF($C10088="","",IFERROR(INDEX(المنيو!$C$2:$C$500,MATCH($C10088,المنيو!$B$2:$B$500,0)),0))</f>
        <v/>
      </c>
      <c r="F10088" s="107" t="str">
        <f aca="false">IF($C10088="","",$D10088*$E10088)</f>
        <v/>
      </c>
      <c r="G10088" s="107" t="str">
        <f aca="false">IF($C10088="","",$D10088*IFERROR(INDEX('تحليل التكلفة والسعر'!$C$2:$C$700,MATCH($C10088,'تحليل التكلفة والسعر'!$B$2:$B$700,0)),0))</f>
        <v/>
      </c>
    </row>
    <row r="10089" customFormat="false" ht="15" hidden="false" customHeight="false" outlineLevel="0" collapsed="false">
      <c r="A10089" s="103"/>
      <c r="B10089" s="104"/>
      <c r="C10089" s="104"/>
      <c r="E10089" s="107" t="str">
        <f aca="false">IF($C10089="","",IFERROR(INDEX(المنيو!$C$2:$C$500,MATCH($C10089,المنيو!$B$2:$B$500,0)),0))</f>
        <v/>
      </c>
      <c r="F10089" s="107" t="str">
        <f aca="false">IF($C10089="","",$D10089*$E10089)</f>
        <v/>
      </c>
      <c r="G10089" s="107" t="str">
        <f aca="false">IF($C10089="","",$D10089*IFERROR(INDEX('تحليل التكلفة والسعر'!$C$2:$C$700,MATCH($C10089,'تحليل التكلفة والسعر'!$B$2:$B$700,0)),0))</f>
        <v/>
      </c>
    </row>
    <row r="10090" customFormat="false" ht="15" hidden="false" customHeight="false" outlineLevel="0" collapsed="false">
      <c r="A10090" s="103"/>
      <c r="B10090" s="104"/>
      <c r="C10090" s="104"/>
      <c r="E10090" s="107" t="str">
        <f aca="false">IF($C10090="","",IFERROR(INDEX(المنيو!$C$2:$C$500,MATCH($C10090,المنيو!$B$2:$B$500,0)),0))</f>
        <v/>
      </c>
      <c r="F10090" s="107" t="str">
        <f aca="false">IF($C10090="","",$D10090*$E10090)</f>
        <v/>
      </c>
      <c r="G10090" s="107" t="str">
        <f aca="false">IF($C10090="","",$D10090*IFERROR(INDEX('تحليل التكلفة والسعر'!$C$2:$C$700,MATCH($C10090,'تحليل التكلفة والسعر'!$B$2:$B$700,0)),0))</f>
        <v/>
      </c>
    </row>
    <row r="10091" customFormat="false" ht="15" hidden="false" customHeight="false" outlineLevel="0" collapsed="false">
      <c r="A10091" s="103"/>
      <c r="B10091" s="104"/>
      <c r="C10091" s="104"/>
      <c r="E10091" s="107" t="str">
        <f aca="false">IF($C10091="","",IFERROR(INDEX(المنيو!$C$2:$C$500,MATCH($C10091,المنيو!$B$2:$B$500,0)),0))</f>
        <v/>
      </c>
      <c r="F10091" s="107" t="str">
        <f aca="false">IF($C10091="","",$D10091*$E10091)</f>
        <v/>
      </c>
      <c r="G10091" s="107" t="str">
        <f aca="false">IF($C10091="","",$D10091*IFERROR(INDEX('تحليل التكلفة والسعر'!$C$2:$C$700,MATCH($C10091,'تحليل التكلفة والسعر'!$B$2:$B$700,0)),0))</f>
        <v/>
      </c>
    </row>
    <row r="10092" customFormat="false" ht="15" hidden="false" customHeight="false" outlineLevel="0" collapsed="false">
      <c r="A10092" s="103"/>
      <c r="B10092" s="104"/>
      <c r="C10092" s="104"/>
      <c r="E10092" s="107" t="str">
        <f aca="false">IF($C10092="","",IFERROR(INDEX(المنيو!$C$2:$C$500,MATCH($C10092,المنيو!$B$2:$B$500,0)),0))</f>
        <v/>
      </c>
      <c r="F10092" s="107" t="str">
        <f aca="false">IF($C10092="","",$D10092*$E10092)</f>
        <v/>
      </c>
      <c r="G10092" s="107" t="str">
        <f aca="false">IF($C10092="","",$D10092*IFERROR(INDEX('تحليل التكلفة والسعر'!$C$2:$C$700,MATCH($C10092,'تحليل التكلفة والسعر'!$B$2:$B$700,0)),0))</f>
        <v/>
      </c>
    </row>
    <row r="10093" customFormat="false" ht="15" hidden="false" customHeight="false" outlineLevel="0" collapsed="false">
      <c r="A10093" s="103"/>
      <c r="B10093" s="104"/>
      <c r="C10093" s="104"/>
      <c r="E10093" s="107" t="str">
        <f aca="false">IF($C10093="","",IFERROR(INDEX(المنيو!$C$2:$C$500,MATCH($C10093,المنيو!$B$2:$B$500,0)),0))</f>
        <v/>
      </c>
      <c r="F10093" s="107" t="str">
        <f aca="false">IF($C10093="","",$D10093*$E10093)</f>
        <v/>
      </c>
      <c r="G10093" s="107" t="str">
        <f aca="false">IF($C10093="","",$D10093*IFERROR(INDEX('تحليل التكلفة والسعر'!$C$2:$C$700,MATCH($C10093,'تحليل التكلفة والسعر'!$B$2:$B$700,0)),0))</f>
        <v/>
      </c>
    </row>
    <row r="10094" customFormat="false" ht="15" hidden="false" customHeight="false" outlineLevel="0" collapsed="false">
      <c r="A10094" s="103"/>
      <c r="B10094" s="104"/>
      <c r="C10094" s="104"/>
      <c r="E10094" s="107" t="str">
        <f aca="false">IF($C10094="","",IFERROR(INDEX(المنيو!$C$2:$C$500,MATCH($C10094,المنيو!$B$2:$B$500,0)),0))</f>
        <v/>
      </c>
      <c r="F10094" s="107" t="str">
        <f aca="false">IF($C10094="","",$D10094*$E10094)</f>
        <v/>
      </c>
      <c r="G10094" s="107" t="str">
        <f aca="false">IF($C10094="","",$D10094*IFERROR(INDEX('تحليل التكلفة والسعر'!$C$2:$C$700,MATCH($C10094,'تحليل التكلفة والسعر'!$B$2:$B$700,0)),0))</f>
        <v/>
      </c>
    </row>
    <row r="10095" customFormat="false" ht="15" hidden="false" customHeight="false" outlineLevel="0" collapsed="false">
      <c r="A10095" s="103"/>
      <c r="B10095" s="104"/>
      <c r="C10095" s="104"/>
      <c r="E10095" s="107" t="str">
        <f aca="false">IF($C10095="","",IFERROR(INDEX(المنيو!$C$2:$C$500,MATCH($C10095,المنيو!$B$2:$B$500,0)),0))</f>
        <v/>
      </c>
      <c r="F10095" s="107" t="str">
        <f aca="false">IF($C10095="","",$D10095*$E10095)</f>
        <v/>
      </c>
      <c r="G10095" s="107" t="str">
        <f aca="false">IF($C10095="","",$D10095*IFERROR(INDEX('تحليل التكلفة والسعر'!$C$2:$C$700,MATCH($C10095,'تحليل التكلفة والسعر'!$B$2:$B$700,0)),0))</f>
        <v/>
      </c>
    </row>
    <row r="10096" customFormat="false" ht="15" hidden="false" customHeight="false" outlineLevel="0" collapsed="false">
      <c r="A10096" s="103"/>
      <c r="B10096" s="104"/>
      <c r="C10096" s="104"/>
      <c r="E10096" s="107" t="str">
        <f aca="false">IF($C10096="","",IFERROR(INDEX(المنيو!$C$2:$C$500,MATCH($C10096,المنيو!$B$2:$B$500,0)),0))</f>
        <v/>
      </c>
      <c r="F10096" s="107" t="str">
        <f aca="false">IF($C10096="","",$D10096*$E10096)</f>
        <v/>
      </c>
      <c r="G10096" s="107" t="str">
        <f aca="false">IF($C10096="","",$D10096*IFERROR(INDEX('تحليل التكلفة والسعر'!$C$2:$C$700,MATCH($C10096,'تحليل التكلفة والسعر'!$B$2:$B$700,0)),0))</f>
        <v/>
      </c>
    </row>
    <row r="10097" customFormat="false" ht="15" hidden="false" customHeight="false" outlineLevel="0" collapsed="false">
      <c r="A10097" s="103"/>
      <c r="B10097" s="104"/>
      <c r="C10097" s="104"/>
      <c r="E10097" s="107" t="str">
        <f aca="false">IF($C10097="","",IFERROR(INDEX(المنيو!$C$2:$C$500,MATCH($C10097,المنيو!$B$2:$B$500,0)),0))</f>
        <v/>
      </c>
      <c r="F10097" s="107" t="str">
        <f aca="false">IF($C10097="","",$D10097*$E10097)</f>
        <v/>
      </c>
      <c r="G10097" s="107" t="str">
        <f aca="false">IF($C10097="","",$D10097*IFERROR(INDEX('تحليل التكلفة والسعر'!$C$2:$C$700,MATCH($C10097,'تحليل التكلفة والسعر'!$B$2:$B$700,0)),0))</f>
        <v/>
      </c>
    </row>
    <row r="10098" customFormat="false" ht="15" hidden="false" customHeight="false" outlineLevel="0" collapsed="false">
      <c r="A10098" s="103"/>
      <c r="B10098" s="104"/>
      <c r="C10098" s="104"/>
      <c r="E10098" s="107" t="str">
        <f aca="false">IF($C10098="","",IFERROR(INDEX(المنيو!$C$2:$C$500,MATCH($C10098,المنيو!$B$2:$B$500,0)),0))</f>
        <v/>
      </c>
      <c r="F10098" s="107" t="str">
        <f aca="false">IF($C10098="","",$D10098*$E10098)</f>
        <v/>
      </c>
      <c r="G10098" s="107" t="str">
        <f aca="false">IF($C10098="","",$D10098*IFERROR(INDEX('تحليل التكلفة والسعر'!$C$2:$C$700,MATCH($C10098,'تحليل التكلفة والسعر'!$B$2:$B$700,0)),0))</f>
        <v/>
      </c>
    </row>
    <row r="10099" customFormat="false" ht="15" hidden="false" customHeight="false" outlineLevel="0" collapsed="false">
      <c r="A10099" s="103"/>
      <c r="B10099" s="104"/>
      <c r="C10099" s="104"/>
      <c r="E10099" s="107" t="str">
        <f aca="false">IF($C10099="","",IFERROR(INDEX(المنيو!$C$2:$C$500,MATCH($C10099,المنيو!$B$2:$B$500,0)),0))</f>
        <v/>
      </c>
      <c r="F10099" s="107" t="str">
        <f aca="false">IF($C10099="","",$D10099*$E10099)</f>
        <v/>
      </c>
      <c r="G10099" s="107" t="str">
        <f aca="false">IF($C10099="","",$D10099*IFERROR(INDEX('تحليل التكلفة والسعر'!$C$2:$C$700,MATCH($C10099,'تحليل التكلفة والسعر'!$B$2:$B$700,0)),0))</f>
        <v/>
      </c>
    </row>
    <row r="10100" customFormat="false" ht="15" hidden="false" customHeight="false" outlineLevel="0" collapsed="false">
      <c r="A10100" s="103"/>
      <c r="B10100" s="104"/>
      <c r="C10100" s="104"/>
      <c r="E10100" s="107" t="str">
        <f aca="false">IF($C10100="","",IFERROR(INDEX(المنيو!$C$2:$C$500,MATCH($C10100,المنيو!$B$2:$B$500,0)),0))</f>
        <v/>
      </c>
      <c r="F10100" s="107" t="str">
        <f aca="false">IF($C10100="","",$D10100*$E10100)</f>
        <v/>
      </c>
      <c r="G10100" s="107" t="str">
        <f aca="false">IF($C10100="","",$D10100*IFERROR(INDEX('تحليل التكلفة والسعر'!$C$2:$C$700,MATCH($C10100,'تحليل التكلفة والسعر'!$B$2:$B$700,0)),0))</f>
        <v/>
      </c>
    </row>
    <row r="10101" customFormat="false" ht="15" hidden="false" customHeight="false" outlineLevel="0" collapsed="false">
      <c r="A10101" s="103"/>
      <c r="B10101" s="104"/>
      <c r="C10101" s="104"/>
      <c r="E10101" s="107" t="str">
        <f aca="false">IF($C10101="","",IFERROR(INDEX(المنيو!$C$2:$C$500,MATCH($C10101,المنيو!$B$2:$B$500,0)),0))</f>
        <v/>
      </c>
      <c r="F10101" s="107" t="str">
        <f aca="false">IF($C10101="","",$D10101*$E10101)</f>
        <v/>
      </c>
      <c r="G10101" s="107" t="str">
        <f aca="false">IF($C10101="","",$D10101*IFERROR(INDEX('تحليل التكلفة والسعر'!$C$2:$C$700,MATCH($C10101,'تحليل التكلفة والسعر'!$B$2:$B$700,0)),0))</f>
        <v/>
      </c>
    </row>
    <row r="10102" customFormat="false" ht="15" hidden="false" customHeight="false" outlineLevel="0" collapsed="false">
      <c r="A10102" s="103"/>
      <c r="B10102" s="104"/>
      <c r="C10102" s="104"/>
      <c r="E10102" s="107" t="str">
        <f aca="false">IF($C10102="","",IFERROR(INDEX(المنيو!$C$2:$C$500,MATCH($C10102,المنيو!$B$2:$B$500,0)),0))</f>
        <v/>
      </c>
      <c r="F10102" s="107" t="str">
        <f aca="false">IF($C10102="","",$D10102*$E10102)</f>
        <v/>
      </c>
      <c r="G10102" s="107" t="str">
        <f aca="false">IF($C10102="","",$D10102*IFERROR(INDEX('تحليل التكلفة والسعر'!$C$2:$C$700,MATCH($C10102,'تحليل التكلفة والسعر'!$B$2:$B$700,0)),0))</f>
        <v/>
      </c>
    </row>
    <row r="10103" customFormat="false" ht="15" hidden="false" customHeight="false" outlineLevel="0" collapsed="false">
      <c r="A10103" s="103"/>
      <c r="B10103" s="104"/>
      <c r="C10103" s="104"/>
      <c r="E10103" s="107" t="str">
        <f aca="false">IF($C10103="","",IFERROR(INDEX(المنيو!$C$2:$C$500,MATCH($C10103,المنيو!$B$2:$B$500,0)),0))</f>
        <v/>
      </c>
      <c r="F10103" s="107" t="str">
        <f aca="false">IF($C10103="","",$D10103*$E10103)</f>
        <v/>
      </c>
      <c r="G10103" s="107" t="str">
        <f aca="false">IF($C10103="","",$D10103*IFERROR(INDEX('تحليل التكلفة والسعر'!$C$2:$C$700,MATCH($C10103,'تحليل التكلفة والسعر'!$B$2:$B$700,0)),0))</f>
        <v/>
      </c>
    </row>
    <row r="10104" customFormat="false" ht="15" hidden="false" customHeight="false" outlineLevel="0" collapsed="false">
      <c r="A10104" s="103"/>
      <c r="B10104" s="104"/>
      <c r="C10104" s="104"/>
      <c r="E10104" s="107" t="str">
        <f aca="false">IF($C10104="","",IFERROR(INDEX(المنيو!$C$2:$C$500,MATCH($C10104,المنيو!$B$2:$B$500,0)),0))</f>
        <v/>
      </c>
      <c r="F10104" s="107" t="str">
        <f aca="false">IF($C10104="","",$D10104*$E10104)</f>
        <v/>
      </c>
      <c r="G10104" s="107" t="str">
        <f aca="false">IF($C10104="","",$D10104*IFERROR(INDEX('تحليل التكلفة والسعر'!$C$2:$C$700,MATCH($C10104,'تحليل التكلفة والسعر'!$B$2:$B$700,0)),0))</f>
        <v/>
      </c>
    </row>
    <row r="10105" customFormat="false" ht="15" hidden="false" customHeight="false" outlineLevel="0" collapsed="false">
      <c r="A10105" s="103"/>
      <c r="B10105" s="104"/>
      <c r="C10105" s="104"/>
      <c r="E10105" s="107" t="str">
        <f aca="false">IF($C10105="","",IFERROR(INDEX(المنيو!$C$2:$C$500,MATCH($C10105,المنيو!$B$2:$B$500,0)),0))</f>
        <v/>
      </c>
      <c r="F10105" s="107" t="str">
        <f aca="false">IF($C10105="","",$D10105*$E10105)</f>
        <v/>
      </c>
      <c r="G10105" s="107" t="str">
        <f aca="false">IF($C10105="","",$D10105*IFERROR(INDEX('تحليل التكلفة والسعر'!$C$2:$C$700,MATCH($C10105,'تحليل التكلفة والسعر'!$B$2:$B$700,0)),0))</f>
        <v/>
      </c>
    </row>
    <row r="10106" customFormat="false" ht="15" hidden="false" customHeight="false" outlineLevel="0" collapsed="false">
      <c r="A10106" s="103"/>
      <c r="B10106" s="104"/>
      <c r="C10106" s="104"/>
      <c r="E10106" s="107" t="str">
        <f aca="false">IF($C10106="","",IFERROR(INDEX(المنيو!$C$2:$C$500,MATCH($C10106,المنيو!$B$2:$B$500,0)),0))</f>
        <v/>
      </c>
      <c r="F10106" s="107" t="str">
        <f aca="false">IF($C10106="","",$D10106*$E10106)</f>
        <v/>
      </c>
      <c r="G10106" s="107" t="str">
        <f aca="false">IF($C10106="","",$D10106*IFERROR(INDEX('تحليل التكلفة والسعر'!$C$2:$C$700,MATCH($C10106,'تحليل التكلفة والسعر'!$B$2:$B$700,0)),0))</f>
        <v/>
      </c>
    </row>
    <row r="10107" customFormat="false" ht="15" hidden="false" customHeight="false" outlineLevel="0" collapsed="false">
      <c r="A10107" s="103"/>
      <c r="B10107" s="104"/>
      <c r="C10107" s="104"/>
      <c r="E10107" s="107" t="str">
        <f aca="false">IF($C10107="","",IFERROR(INDEX(المنيو!$C$2:$C$500,MATCH($C10107,المنيو!$B$2:$B$500,0)),0))</f>
        <v/>
      </c>
      <c r="F10107" s="107" t="str">
        <f aca="false">IF($C10107="","",$D10107*$E10107)</f>
        <v/>
      </c>
      <c r="G10107" s="107" t="str">
        <f aca="false">IF($C10107="","",$D10107*IFERROR(INDEX('تحليل التكلفة والسعر'!$C$2:$C$700,MATCH($C10107,'تحليل التكلفة والسعر'!$B$2:$B$700,0)),0))</f>
        <v/>
      </c>
    </row>
    <row r="10108" customFormat="false" ht="15" hidden="false" customHeight="false" outlineLevel="0" collapsed="false">
      <c r="A10108" s="103"/>
      <c r="B10108" s="104"/>
      <c r="C10108" s="104"/>
      <c r="E10108" s="107" t="str">
        <f aca="false">IF($C10108="","",IFERROR(INDEX(المنيو!$C$2:$C$500,MATCH($C10108,المنيو!$B$2:$B$500,0)),0))</f>
        <v/>
      </c>
      <c r="F10108" s="107" t="str">
        <f aca="false">IF($C10108="","",$D10108*$E10108)</f>
        <v/>
      </c>
      <c r="G10108" s="107" t="str">
        <f aca="false">IF($C10108="","",$D10108*IFERROR(INDEX('تحليل التكلفة والسعر'!$C$2:$C$700,MATCH($C10108,'تحليل التكلفة والسعر'!$B$2:$B$700,0)),0))</f>
        <v/>
      </c>
    </row>
    <row r="10109" customFormat="false" ht="15" hidden="false" customHeight="false" outlineLevel="0" collapsed="false">
      <c r="A10109" s="103"/>
      <c r="B10109" s="104"/>
      <c r="C10109" s="104"/>
      <c r="E10109" s="107" t="str">
        <f aca="false">IF($C10109="","",IFERROR(INDEX(المنيو!$C$2:$C$500,MATCH($C10109,المنيو!$B$2:$B$500,0)),0))</f>
        <v/>
      </c>
      <c r="F10109" s="107" t="str">
        <f aca="false">IF($C10109="","",$D10109*$E10109)</f>
        <v/>
      </c>
      <c r="G10109" s="107" t="str">
        <f aca="false">IF($C10109="","",$D10109*IFERROR(INDEX('تحليل التكلفة والسعر'!$C$2:$C$700,MATCH($C10109,'تحليل التكلفة والسعر'!$B$2:$B$700,0)),0))</f>
        <v/>
      </c>
    </row>
    <row r="10110" customFormat="false" ht="15" hidden="false" customHeight="false" outlineLevel="0" collapsed="false">
      <c r="A10110" s="103"/>
      <c r="B10110" s="104"/>
      <c r="C10110" s="104"/>
      <c r="E10110" s="107" t="str">
        <f aca="false">IF($C10110="","",IFERROR(INDEX(المنيو!$C$2:$C$500,MATCH($C10110,المنيو!$B$2:$B$500,0)),0))</f>
        <v/>
      </c>
      <c r="F10110" s="107" t="str">
        <f aca="false">IF($C10110="","",$D10110*$E10110)</f>
        <v/>
      </c>
      <c r="G10110" s="107" t="str">
        <f aca="false">IF($C10110="","",$D10110*IFERROR(INDEX('تحليل التكلفة والسعر'!$C$2:$C$700,MATCH($C10110,'تحليل التكلفة والسعر'!$B$2:$B$700,0)),0))</f>
        <v/>
      </c>
    </row>
    <row r="10111" customFormat="false" ht="15" hidden="false" customHeight="false" outlineLevel="0" collapsed="false">
      <c r="A10111" s="103"/>
      <c r="B10111" s="104"/>
      <c r="C10111" s="104"/>
      <c r="E10111" s="107" t="str">
        <f aca="false">IF($C10111="","",IFERROR(INDEX(المنيو!$C$2:$C$500,MATCH($C10111,المنيو!$B$2:$B$500,0)),0))</f>
        <v/>
      </c>
      <c r="F10111" s="107" t="str">
        <f aca="false">IF($C10111="","",$D10111*$E10111)</f>
        <v/>
      </c>
      <c r="G10111" s="107" t="str">
        <f aca="false">IF($C10111="","",$D10111*IFERROR(INDEX('تحليل التكلفة والسعر'!$C$2:$C$700,MATCH($C10111,'تحليل التكلفة والسعر'!$B$2:$B$700,0)),0))</f>
        <v/>
      </c>
    </row>
    <row r="10112" customFormat="false" ht="15" hidden="false" customHeight="false" outlineLevel="0" collapsed="false">
      <c r="A10112" s="103"/>
      <c r="B10112" s="104"/>
      <c r="C10112" s="104"/>
      <c r="E10112" s="107" t="str">
        <f aca="false">IF($C10112="","",IFERROR(INDEX(المنيو!$C$2:$C$500,MATCH($C10112,المنيو!$B$2:$B$500,0)),0))</f>
        <v/>
      </c>
      <c r="F10112" s="107" t="str">
        <f aca="false">IF($C10112="","",$D10112*$E10112)</f>
        <v/>
      </c>
      <c r="G10112" s="107" t="str">
        <f aca="false">IF($C10112="","",$D10112*IFERROR(INDEX('تحليل التكلفة والسعر'!$C$2:$C$700,MATCH($C10112,'تحليل التكلفة والسعر'!$B$2:$B$700,0)),0))</f>
        <v/>
      </c>
    </row>
    <row r="10113" customFormat="false" ht="15" hidden="false" customHeight="false" outlineLevel="0" collapsed="false">
      <c r="A10113" s="103"/>
      <c r="B10113" s="104"/>
      <c r="C10113" s="104"/>
      <c r="E10113" s="107" t="str">
        <f aca="false">IF($C10113="","",IFERROR(INDEX(المنيو!$C$2:$C$500,MATCH($C10113,المنيو!$B$2:$B$500,0)),0))</f>
        <v/>
      </c>
      <c r="F10113" s="107" t="str">
        <f aca="false">IF($C10113="","",$D10113*$E10113)</f>
        <v/>
      </c>
      <c r="G10113" s="107" t="str">
        <f aca="false">IF($C10113="","",$D10113*IFERROR(INDEX('تحليل التكلفة والسعر'!$C$2:$C$700,MATCH($C10113,'تحليل التكلفة والسعر'!$B$2:$B$700,0)),0))</f>
        <v/>
      </c>
    </row>
    <row r="10114" customFormat="false" ht="15" hidden="false" customHeight="false" outlineLevel="0" collapsed="false">
      <c r="A10114" s="103"/>
      <c r="B10114" s="104"/>
      <c r="C10114" s="104"/>
      <c r="E10114" s="107" t="str">
        <f aca="false">IF($C10114="","",IFERROR(INDEX(المنيو!$C$2:$C$500,MATCH($C10114,المنيو!$B$2:$B$500,0)),0))</f>
        <v/>
      </c>
      <c r="F10114" s="107" t="str">
        <f aca="false">IF($C10114="","",$D10114*$E10114)</f>
        <v/>
      </c>
      <c r="G10114" s="107" t="str">
        <f aca="false">IF($C10114="","",$D10114*IFERROR(INDEX('تحليل التكلفة والسعر'!$C$2:$C$700,MATCH($C10114,'تحليل التكلفة والسعر'!$B$2:$B$700,0)),0))</f>
        <v/>
      </c>
    </row>
    <row r="10115" customFormat="false" ht="15" hidden="false" customHeight="false" outlineLevel="0" collapsed="false">
      <c r="A10115" s="103"/>
      <c r="B10115" s="104"/>
      <c r="C10115" s="104"/>
      <c r="E10115" s="107" t="str">
        <f aca="false">IF($C10115="","",IFERROR(INDEX(المنيو!$C$2:$C$500,MATCH($C10115,المنيو!$B$2:$B$500,0)),0))</f>
        <v/>
      </c>
      <c r="F10115" s="107" t="str">
        <f aca="false">IF($C10115="","",$D10115*$E10115)</f>
        <v/>
      </c>
      <c r="G10115" s="107" t="str">
        <f aca="false">IF($C10115="","",$D10115*IFERROR(INDEX('تحليل التكلفة والسعر'!$C$2:$C$700,MATCH($C10115,'تحليل التكلفة والسعر'!$B$2:$B$700,0)),0))</f>
        <v/>
      </c>
    </row>
    <row r="10116" customFormat="false" ht="15" hidden="false" customHeight="false" outlineLevel="0" collapsed="false">
      <c r="A10116" s="103"/>
      <c r="B10116" s="104"/>
      <c r="C10116" s="104"/>
      <c r="E10116" s="107" t="str">
        <f aca="false">IF($C10116="","",IFERROR(INDEX(المنيو!$C$2:$C$500,MATCH($C10116,المنيو!$B$2:$B$500,0)),0))</f>
        <v/>
      </c>
      <c r="F10116" s="107" t="str">
        <f aca="false">IF($C10116="","",$D10116*$E10116)</f>
        <v/>
      </c>
      <c r="G10116" s="107" t="str">
        <f aca="false">IF($C10116="","",$D10116*IFERROR(INDEX('تحليل التكلفة والسعر'!$C$2:$C$700,MATCH($C10116,'تحليل التكلفة والسعر'!$B$2:$B$700,0)),0))</f>
        <v/>
      </c>
    </row>
    <row r="10117" customFormat="false" ht="15" hidden="false" customHeight="false" outlineLevel="0" collapsed="false">
      <c r="A10117" s="103"/>
      <c r="B10117" s="104"/>
      <c r="C10117" s="104"/>
      <c r="E10117" s="107" t="str">
        <f aca="false">IF($C10117="","",IFERROR(INDEX(المنيو!$C$2:$C$500,MATCH($C10117,المنيو!$B$2:$B$500,0)),0))</f>
        <v/>
      </c>
      <c r="F10117" s="107" t="str">
        <f aca="false">IF($C10117="","",$D10117*$E10117)</f>
        <v/>
      </c>
      <c r="G10117" s="107" t="str">
        <f aca="false">IF($C10117="","",$D10117*IFERROR(INDEX('تحليل التكلفة والسعر'!$C$2:$C$700,MATCH($C10117,'تحليل التكلفة والسعر'!$B$2:$B$700,0)),0))</f>
        <v/>
      </c>
    </row>
    <row r="10118" customFormat="false" ht="15" hidden="false" customHeight="false" outlineLevel="0" collapsed="false">
      <c r="A10118" s="103"/>
      <c r="B10118" s="104"/>
      <c r="C10118" s="104"/>
      <c r="E10118" s="107" t="str">
        <f aca="false">IF($C10118="","",IFERROR(INDEX(المنيو!$C$2:$C$500,MATCH($C10118,المنيو!$B$2:$B$500,0)),0))</f>
        <v/>
      </c>
      <c r="F10118" s="107" t="str">
        <f aca="false">IF($C10118="","",$D10118*$E10118)</f>
        <v/>
      </c>
      <c r="G10118" s="107" t="str">
        <f aca="false">IF($C10118="","",$D10118*IFERROR(INDEX('تحليل التكلفة والسعر'!$C$2:$C$700,MATCH($C10118,'تحليل التكلفة والسعر'!$B$2:$B$700,0)),0))</f>
        <v/>
      </c>
    </row>
    <row r="10119" customFormat="false" ht="15" hidden="false" customHeight="false" outlineLevel="0" collapsed="false">
      <c r="A10119" s="103"/>
      <c r="B10119" s="104"/>
      <c r="C10119" s="104"/>
      <c r="E10119" s="107" t="str">
        <f aca="false">IF($C10119="","",IFERROR(INDEX(المنيو!$C$2:$C$500,MATCH($C10119,المنيو!$B$2:$B$500,0)),0))</f>
        <v/>
      </c>
      <c r="F10119" s="107" t="str">
        <f aca="false">IF($C10119="","",$D10119*$E10119)</f>
        <v/>
      </c>
      <c r="G10119" s="107" t="str">
        <f aca="false">IF($C10119="","",$D10119*IFERROR(INDEX('تحليل التكلفة والسعر'!$C$2:$C$700,MATCH($C10119,'تحليل التكلفة والسعر'!$B$2:$B$700,0)),0))</f>
        <v/>
      </c>
    </row>
    <row r="10120" customFormat="false" ht="15" hidden="false" customHeight="false" outlineLevel="0" collapsed="false">
      <c r="A10120" s="103"/>
      <c r="B10120" s="104"/>
      <c r="C10120" s="104"/>
      <c r="E10120" s="107" t="str">
        <f aca="false">IF($C10120="","",IFERROR(INDEX(المنيو!$C$2:$C$500,MATCH($C10120,المنيو!$B$2:$B$500,0)),0))</f>
        <v/>
      </c>
      <c r="F10120" s="107" t="str">
        <f aca="false">IF($C10120="","",$D10120*$E10120)</f>
        <v/>
      </c>
      <c r="G10120" s="107" t="str">
        <f aca="false">IF($C10120="","",$D10120*IFERROR(INDEX('تحليل التكلفة والسعر'!$C$2:$C$700,MATCH($C10120,'تحليل التكلفة والسعر'!$B$2:$B$700,0)),0))</f>
        <v/>
      </c>
    </row>
    <row r="10121" customFormat="false" ht="15" hidden="false" customHeight="false" outlineLevel="0" collapsed="false">
      <c r="A10121" s="103"/>
      <c r="B10121" s="104"/>
      <c r="C10121" s="104"/>
      <c r="E10121" s="107" t="str">
        <f aca="false">IF($C10121="","",IFERROR(INDEX(المنيو!$C$2:$C$500,MATCH($C10121,المنيو!$B$2:$B$500,0)),0))</f>
        <v/>
      </c>
      <c r="F10121" s="107" t="str">
        <f aca="false">IF($C10121="","",$D10121*$E10121)</f>
        <v/>
      </c>
      <c r="G10121" s="107" t="str">
        <f aca="false">IF($C10121="","",$D10121*IFERROR(INDEX('تحليل التكلفة والسعر'!$C$2:$C$700,MATCH($C10121,'تحليل التكلفة والسعر'!$B$2:$B$700,0)),0))</f>
        <v/>
      </c>
    </row>
    <row r="10122" customFormat="false" ht="15" hidden="false" customHeight="false" outlineLevel="0" collapsed="false">
      <c r="A10122" s="103"/>
      <c r="B10122" s="104"/>
      <c r="C10122" s="104"/>
      <c r="E10122" s="107" t="str">
        <f aca="false">IF($C10122="","",IFERROR(INDEX(المنيو!$C$2:$C$500,MATCH($C10122,المنيو!$B$2:$B$500,0)),0))</f>
        <v/>
      </c>
      <c r="F10122" s="107" t="str">
        <f aca="false">IF($C10122="","",$D10122*$E10122)</f>
        <v/>
      </c>
      <c r="G10122" s="107" t="str">
        <f aca="false">IF($C10122="","",$D10122*IFERROR(INDEX('تحليل التكلفة والسعر'!$C$2:$C$700,MATCH($C10122,'تحليل التكلفة والسعر'!$B$2:$B$700,0)),0))</f>
        <v/>
      </c>
    </row>
    <row r="10123" customFormat="false" ht="15" hidden="false" customHeight="false" outlineLevel="0" collapsed="false">
      <c r="A10123" s="103"/>
      <c r="B10123" s="104"/>
      <c r="C10123" s="104"/>
      <c r="E10123" s="107" t="str">
        <f aca="false">IF($C10123="","",IFERROR(INDEX(المنيو!$C$2:$C$500,MATCH($C10123,المنيو!$B$2:$B$500,0)),0))</f>
        <v/>
      </c>
      <c r="F10123" s="107" t="str">
        <f aca="false">IF($C10123="","",$D10123*$E10123)</f>
        <v/>
      </c>
      <c r="G10123" s="107" t="str">
        <f aca="false">IF($C10123="","",$D10123*IFERROR(INDEX('تحليل التكلفة والسعر'!$C$2:$C$700,MATCH($C10123,'تحليل التكلفة والسعر'!$B$2:$B$700,0)),0))</f>
        <v/>
      </c>
    </row>
    <row r="10124" customFormat="false" ht="15" hidden="false" customHeight="false" outlineLevel="0" collapsed="false">
      <c r="A10124" s="103"/>
      <c r="B10124" s="104"/>
      <c r="C10124" s="104"/>
      <c r="E10124" s="107" t="str">
        <f aca="false">IF($C10124="","",IFERROR(INDEX(المنيو!$C$2:$C$500,MATCH($C10124,المنيو!$B$2:$B$500,0)),0))</f>
        <v/>
      </c>
      <c r="F10124" s="107" t="str">
        <f aca="false">IF($C10124="","",$D10124*$E10124)</f>
        <v/>
      </c>
      <c r="G10124" s="107" t="str">
        <f aca="false">IF($C10124="","",$D10124*IFERROR(INDEX('تحليل التكلفة والسعر'!$C$2:$C$700,MATCH($C10124,'تحليل التكلفة والسعر'!$B$2:$B$700,0)),0))</f>
        <v/>
      </c>
    </row>
    <row r="10125" customFormat="false" ht="15" hidden="false" customHeight="false" outlineLevel="0" collapsed="false">
      <c r="A10125" s="103"/>
      <c r="B10125" s="104"/>
      <c r="C10125" s="104"/>
      <c r="E10125" s="107" t="str">
        <f aca="false">IF($C10125="","",IFERROR(INDEX(المنيو!$C$2:$C$500,MATCH($C10125,المنيو!$B$2:$B$500,0)),0))</f>
        <v/>
      </c>
      <c r="F10125" s="107" t="str">
        <f aca="false">IF($C10125="","",$D10125*$E10125)</f>
        <v/>
      </c>
      <c r="G10125" s="107" t="str">
        <f aca="false">IF($C10125="","",$D10125*IFERROR(INDEX('تحليل التكلفة والسعر'!$C$2:$C$700,MATCH($C10125,'تحليل التكلفة والسعر'!$B$2:$B$700,0)),0))</f>
        <v/>
      </c>
    </row>
    <row r="10126" customFormat="false" ht="15" hidden="false" customHeight="false" outlineLevel="0" collapsed="false">
      <c r="A10126" s="103"/>
      <c r="B10126" s="104"/>
      <c r="C10126" s="104"/>
      <c r="E10126" s="107" t="str">
        <f aca="false">IF($C10126="","",IFERROR(INDEX(المنيو!$C$2:$C$500,MATCH($C10126,المنيو!$B$2:$B$500,0)),0))</f>
        <v/>
      </c>
      <c r="F10126" s="107" t="str">
        <f aca="false">IF($C10126="","",$D10126*$E10126)</f>
        <v/>
      </c>
      <c r="G10126" s="107" t="str">
        <f aca="false">IF($C10126="","",$D10126*IFERROR(INDEX('تحليل التكلفة والسعر'!$C$2:$C$700,MATCH($C10126,'تحليل التكلفة والسعر'!$B$2:$B$700,0)),0))</f>
        <v/>
      </c>
    </row>
    <row r="10127" customFormat="false" ht="15" hidden="false" customHeight="false" outlineLevel="0" collapsed="false">
      <c r="A10127" s="103"/>
      <c r="B10127" s="104"/>
      <c r="C10127" s="104"/>
      <c r="E10127" s="107" t="str">
        <f aca="false">IF($C10127="","",IFERROR(INDEX(المنيو!$C$2:$C$500,MATCH($C10127,المنيو!$B$2:$B$500,0)),0))</f>
        <v/>
      </c>
      <c r="F10127" s="107" t="str">
        <f aca="false">IF($C10127="","",$D10127*$E10127)</f>
        <v/>
      </c>
      <c r="G10127" s="107" t="str">
        <f aca="false">IF($C10127="","",$D10127*IFERROR(INDEX('تحليل التكلفة والسعر'!$C$2:$C$700,MATCH($C10127,'تحليل التكلفة والسعر'!$B$2:$B$700,0)),0))</f>
        <v/>
      </c>
    </row>
    <row r="10128" customFormat="false" ht="15" hidden="false" customHeight="false" outlineLevel="0" collapsed="false">
      <c r="A10128" s="103"/>
      <c r="B10128" s="104"/>
      <c r="C10128" s="104"/>
      <c r="E10128" s="107" t="str">
        <f aca="false">IF($C10128="","",IFERROR(INDEX(المنيو!$C$2:$C$500,MATCH($C10128,المنيو!$B$2:$B$500,0)),0))</f>
        <v/>
      </c>
      <c r="F10128" s="107" t="str">
        <f aca="false">IF($C10128="","",$D10128*$E10128)</f>
        <v/>
      </c>
      <c r="G10128" s="107" t="str">
        <f aca="false">IF($C10128="","",$D10128*IFERROR(INDEX('تحليل التكلفة والسعر'!$C$2:$C$700,MATCH($C10128,'تحليل التكلفة والسعر'!$B$2:$B$700,0)),0))</f>
        <v/>
      </c>
    </row>
    <row r="10129" customFormat="false" ht="15" hidden="false" customHeight="false" outlineLevel="0" collapsed="false">
      <c r="A10129" s="103"/>
      <c r="B10129" s="104"/>
      <c r="C10129" s="104"/>
      <c r="E10129" s="107" t="str">
        <f aca="false">IF($C10129="","",IFERROR(INDEX(المنيو!$C$2:$C$500,MATCH($C10129,المنيو!$B$2:$B$500,0)),0))</f>
        <v/>
      </c>
      <c r="F10129" s="107" t="str">
        <f aca="false">IF($C10129="","",$D10129*$E10129)</f>
        <v/>
      </c>
      <c r="G10129" s="107" t="str">
        <f aca="false">IF($C10129="","",$D10129*IFERROR(INDEX('تحليل التكلفة والسعر'!$C$2:$C$700,MATCH($C10129,'تحليل التكلفة والسعر'!$B$2:$B$700,0)),0))</f>
        <v/>
      </c>
    </row>
    <row r="10130" customFormat="false" ht="15" hidden="false" customHeight="false" outlineLevel="0" collapsed="false">
      <c r="A10130" s="103"/>
      <c r="B10130" s="104"/>
      <c r="C10130" s="104"/>
      <c r="E10130" s="107" t="str">
        <f aca="false">IF($C10130="","",IFERROR(INDEX(المنيو!$C$2:$C$500,MATCH($C10130,المنيو!$B$2:$B$500,0)),0))</f>
        <v/>
      </c>
      <c r="F10130" s="107" t="str">
        <f aca="false">IF($C10130="","",$D10130*$E10130)</f>
        <v/>
      </c>
      <c r="G10130" s="107" t="str">
        <f aca="false">IF($C10130="","",$D10130*IFERROR(INDEX('تحليل التكلفة والسعر'!$C$2:$C$700,MATCH($C10130,'تحليل التكلفة والسعر'!$B$2:$B$700,0)),0))</f>
        <v/>
      </c>
    </row>
    <row r="10131" customFormat="false" ht="15" hidden="false" customHeight="false" outlineLevel="0" collapsed="false">
      <c r="A10131" s="103"/>
      <c r="B10131" s="104"/>
      <c r="C10131" s="104"/>
      <c r="E10131" s="107" t="str">
        <f aca="false">IF($C10131="","",IFERROR(INDEX(المنيو!$C$2:$C$500,MATCH($C10131,المنيو!$B$2:$B$500,0)),0))</f>
        <v/>
      </c>
      <c r="F10131" s="107" t="str">
        <f aca="false">IF($C10131="","",$D10131*$E10131)</f>
        <v/>
      </c>
      <c r="G10131" s="107" t="str">
        <f aca="false">IF($C10131="","",$D10131*IFERROR(INDEX('تحليل التكلفة والسعر'!$C$2:$C$700,MATCH($C10131,'تحليل التكلفة والسعر'!$B$2:$B$700,0)),0))</f>
        <v/>
      </c>
    </row>
    <row r="10132" customFormat="false" ht="15" hidden="false" customHeight="false" outlineLevel="0" collapsed="false">
      <c r="A10132" s="103"/>
      <c r="B10132" s="104"/>
      <c r="C10132" s="104"/>
      <c r="E10132" s="107" t="str">
        <f aca="false">IF($C10132="","",IFERROR(INDEX(المنيو!$C$2:$C$500,MATCH($C10132,المنيو!$B$2:$B$500,0)),0))</f>
        <v/>
      </c>
      <c r="F10132" s="107" t="str">
        <f aca="false">IF($C10132="","",$D10132*$E10132)</f>
        <v/>
      </c>
      <c r="G10132" s="107" t="str">
        <f aca="false">IF($C10132="","",$D10132*IFERROR(INDEX('تحليل التكلفة والسعر'!$C$2:$C$700,MATCH($C10132,'تحليل التكلفة والسعر'!$B$2:$B$700,0)),0))</f>
        <v/>
      </c>
    </row>
    <row r="10133" customFormat="false" ht="15" hidden="false" customHeight="false" outlineLevel="0" collapsed="false">
      <c r="A10133" s="103"/>
      <c r="B10133" s="104"/>
      <c r="C10133" s="104"/>
      <c r="E10133" s="107" t="str">
        <f aca="false">IF($C10133="","",IFERROR(INDEX(المنيو!$C$2:$C$500,MATCH($C10133,المنيو!$B$2:$B$500,0)),0))</f>
        <v/>
      </c>
      <c r="F10133" s="107" t="str">
        <f aca="false">IF($C10133="","",$D10133*$E10133)</f>
        <v/>
      </c>
      <c r="G10133" s="107" t="str">
        <f aca="false">IF($C10133="","",$D10133*IFERROR(INDEX('تحليل التكلفة والسعر'!$C$2:$C$700,MATCH($C10133,'تحليل التكلفة والسعر'!$B$2:$B$700,0)),0))</f>
        <v/>
      </c>
    </row>
    <row r="10134" customFormat="false" ht="15" hidden="false" customHeight="false" outlineLevel="0" collapsed="false">
      <c r="A10134" s="103"/>
      <c r="B10134" s="104"/>
      <c r="C10134" s="104"/>
      <c r="E10134" s="107" t="str">
        <f aca="false">IF($C10134="","",IFERROR(INDEX(المنيو!$C$2:$C$500,MATCH($C10134,المنيو!$B$2:$B$500,0)),0))</f>
        <v/>
      </c>
      <c r="F10134" s="107" t="str">
        <f aca="false">IF($C10134="","",$D10134*$E10134)</f>
        <v/>
      </c>
      <c r="G10134" s="107" t="str">
        <f aca="false">IF($C10134="","",$D10134*IFERROR(INDEX('تحليل التكلفة والسعر'!$C$2:$C$700,MATCH($C10134,'تحليل التكلفة والسعر'!$B$2:$B$700,0)),0))</f>
        <v/>
      </c>
    </row>
    <row r="10135" customFormat="false" ht="15" hidden="false" customHeight="false" outlineLevel="0" collapsed="false">
      <c r="A10135" s="103"/>
      <c r="B10135" s="104"/>
      <c r="C10135" s="104"/>
      <c r="E10135" s="107" t="str">
        <f aca="false">IF($C10135="","",IFERROR(INDEX(المنيو!$C$2:$C$500,MATCH($C10135,المنيو!$B$2:$B$500,0)),0))</f>
        <v/>
      </c>
      <c r="F10135" s="107" t="str">
        <f aca="false">IF($C10135="","",$D10135*$E10135)</f>
        <v/>
      </c>
      <c r="G10135" s="107" t="str">
        <f aca="false">IF($C10135="","",$D10135*IFERROR(INDEX('تحليل التكلفة والسعر'!$C$2:$C$700,MATCH($C10135,'تحليل التكلفة والسعر'!$B$2:$B$700,0)),0))</f>
        <v/>
      </c>
    </row>
    <row r="10136" customFormat="false" ht="15" hidden="false" customHeight="false" outlineLevel="0" collapsed="false">
      <c r="A10136" s="103"/>
      <c r="B10136" s="104"/>
      <c r="C10136" s="104"/>
      <c r="E10136" s="107" t="str">
        <f aca="false">IF($C10136="","",IFERROR(INDEX(المنيو!$C$2:$C$500,MATCH($C10136,المنيو!$B$2:$B$500,0)),0))</f>
        <v/>
      </c>
      <c r="F10136" s="107" t="str">
        <f aca="false">IF($C10136="","",$D10136*$E10136)</f>
        <v/>
      </c>
      <c r="G10136" s="107" t="str">
        <f aca="false">IF($C10136="","",$D10136*IFERROR(INDEX('تحليل التكلفة والسعر'!$C$2:$C$700,MATCH($C10136,'تحليل التكلفة والسعر'!$B$2:$B$700,0)),0))</f>
        <v/>
      </c>
    </row>
    <row r="10137" customFormat="false" ht="15" hidden="false" customHeight="false" outlineLevel="0" collapsed="false">
      <c r="A10137" s="103"/>
      <c r="B10137" s="104"/>
      <c r="C10137" s="104"/>
      <c r="E10137" s="107" t="str">
        <f aca="false">IF($C10137="","",IFERROR(INDEX(المنيو!$C$2:$C$500,MATCH($C10137,المنيو!$B$2:$B$500,0)),0))</f>
        <v/>
      </c>
      <c r="F10137" s="107" t="str">
        <f aca="false">IF($C10137="","",$D10137*$E10137)</f>
        <v/>
      </c>
      <c r="G10137" s="107" t="str">
        <f aca="false">IF($C10137="","",$D10137*IFERROR(INDEX('تحليل التكلفة والسعر'!$C$2:$C$700,MATCH($C10137,'تحليل التكلفة والسعر'!$B$2:$B$700,0)),0))</f>
        <v/>
      </c>
    </row>
    <row r="10138" customFormat="false" ht="15" hidden="false" customHeight="false" outlineLevel="0" collapsed="false">
      <c r="A10138" s="103"/>
      <c r="B10138" s="104"/>
      <c r="C10138" s="104"/>
      <c r="E10138" s="107" t="str">
        <f aca="false">IF($C10138="","",IFERROR(INDEX(المنيو!$C$2:$C$500,MATCH($C10138,المنيو!$B$2:$B$500,0)),0))</f>
        <v/>
      </c>
      <c r="F10138" s="107" t="str">
        <f aca="false">IF($C10138="","",$D10138*$E10138)</f>
        <v/>
      </c>
      <c r="G10138" s="107" t="str">
        <f aca="false">IF($C10138="","",$D10138*IFERROR(INDEX('تحليل التكلفة والسعر'!$C$2:$C$700,MATCH($C10138,'تحليل التكلفة والسعر'!$B$2:$B$700,0)),0))</f>
        <v/>
      </c>
    </row>
    <row r="10139" customFormat="false" ht="15" hidden="false" customHeight="false" outlineLevel="0" collapsed="false">
      <c r="A10139" s="103"/>
      <c r="B10139" s="104"/>
      <c r="C10139" s="104"/>
      <c r="E10139" s="107" t="str">
        <f aca="false">IF($C10139="","",IFERROR(INDEX(المنيو!$C$2:$C$500,MATCH($C10139,المنيو!$B$2:$B$500,0)),0))</f>
        <v/>
      </c>
      <c r="F10139" s="107" t="str">
        <f aca="false">IF($C10139="","",$D10139*$E10139)</f>
        <v/>
      </c>
      <c r="G10139" s="107" t="str">
        <f aca="false">IF($C10139="","",$D10139*IFERROR(INDEX('تحليل التكلفة والسعر'!$C$2:$C$700,MATCH($C10139,'تحليل التكلفة والسعر'!$B$2:$B$700,0)),0))</f>
        <v/>
      </c>
    </row>
    <row r="10140" customFormat="false" ht="15" hidden="false" customHeight="false" outlineLevel="0" collapsed="false">
      <c r="A10140" s="103"/>
      <c r="B10140" s="104"/>
      <c r="C10140" s="104"/>
      <c r="E10140" s="107" t="str">
        <f aca="false">IF($C10140="","",IFERROR(INDEX(المنيو!$C$2:$C$500,MATCH($C10140,المنيو!$B$2:$B$500,0)),0))</f>
        <v/>
      </c>
      <c r="F10140" s="107" t="str">
        <f aca="false">IF($C10140="","",$D10140*$E10140)</f>
        <v/>
      </c>
      <c r="G10140" s="107" t="str">
        <f aca="false">IF($C10140="","",$D10140*IFERROR(INDEX('تحليل التكلفة والسعر'!$C$2:$C$700,MATCH($C10140,'تحليل التكلفة والسعر'!$B$2:$B$700,0)),0))</f>
        <v/>
      </c>
    </row>
    <row r="10141" customFormat="false" ht="15" hidden="false" customHeight="false" outlineLevel="0" collapsed="false">
      <c r="A10141" s="103"/>
      <c r="B10141" s="104"/>
      <c r="C10141" s="104"/>
      <c r="E10141" s="107" t="str">
        <f aca="false">IF($C10141="","",IFERROR(INDEX(المنيو!$C$2:$C$500,MATCH($C10141,المنيو!$B$2:$B$500,0)),0))</f>
        <v/>
      </c>
      <c r="F10141" s="107" t="str">
        <f aca="false">IF($C10141="","",$D10141*$E10141)</f>
        <v/>
      </c>
      <c r="G10141" s="107" t="str">
        <f aca="false">IF($C10141="","",$D10141*IFERROR(INDEX('تحليل التكلفة والسعر'!$C$2:$C$700,MATCH($C10141,'تحليل التكلفة والسعر'!$B$2:$B$700,0)),0))</f>
        <v/>
      </c>
    </row>
    <row r="10142" customFormat="false" ht="15" hidden="false" customHeight="false" outlineLevel="0" collapsed="false">
      <c r="A10142" s="103"/>
      <c r="B10142" s="104"/>
      <c r="C10142" s="104"/>
      <c r="E10142" s="107" t="str">
        <f aca="false">IF($C10142="","",IFERROR(INDEX(المنيو!$C$2:$C$500,MATCH($C10142,المنيو!$B$2:$B$500,0)),0))</f>
        <v/>
      </c>
      <c r="F10142" s="107" t="str">
        <f aca="false">IF($C10142="","",$D10142*$E10142)</f>
        <v/>
      </c>
      <c r="G10142" s="107" t="str">
        <f aca="false">IF($C10142="","",$D10142*IFERROR(INDEX('تحليل التكلفة والسعر'!$C$2:$C$700,MATCH($C10142,'تحليل التكلفة والسعر'!$B$2:$B$700,0)),0))</f>
        <v/>
      </c>
    </row>
    <row r="10143" customFormat="false" ht="15" hidden="false" customHeight="false" outlineLevel="0" collapsed="false">
      <c r="A10143" s="103"/>
      <c r="B10143" s="104"/>
      <c r="C10143" s="104"/>
      <c r="E10143" s="107" t="str">
        <f aca="false">IF($C10143="","",IFERROR(INDEX(المنيو!$C$2:$C$500,MATCH($C10143,المنيو!$B$2:$B$500,0)),0))</f>
        <v/>
      </c>
      <c r="F10143" s="107" t="str">
        <f aca="false">IF($C10143="","",$D10143*$E10143)</f>
        <v/>
      </c>
      <c r="G10143" s="107" t="str">
        <f aca="false">IF($C10143="","",$D10143*IFERROR(INDEX('تحليل التكلفة والسعر'!$C$2:$C$700,MATCH($C10143,'تحليل التكلفة والسعر'!$B$2:$B$700,0)),0))</f>
        <v/>
      </c>
    </row>
    <row r="10144" customFormat="false" ht="15" hidden="false" customHeight="false" outlineLevel="0" collapsed="false">
      <c r="A10144" s="103"/>
      <c r="B10144" s="104"/>
      <c r="C10144" s="104"/>
      <c r="E10144" s="107" t="str">
        <f aca="false">IF($C10144="","",IFERROR(INDEX(المنيو!$C$2:$C$500,MATCH($C10144,المنيو!$B$2:$B$500,0)),0))</f>
        <v/>
      </c>
      <c r="F10144" s="107" t="str">
        <f aca="false">IF($C10144="","",$D10144*$E10144)</f>
        <v/>
      </c>
      <c r="G10144" s="107" t="str">
        <f aca="false">IF($C10144="","",$D10144*IFERROR(INDEX('تحليل التكلفة والسعر'!$C$2:$C$700,MATCH($C10144,'تحليل التكلفة والسعر'!$B$2:$B$700,0)),0))</f>
        <v/>
      </c>
    </row>
    <row r="10145" customFormat="false" ht="15" hidden="false" customHeight="false" outlineLevel="0" collapsed="false">
      <c r="A10145" s="103"/>
      <c r="B10145" s="104"/>
      <c r="C10145" s="104"/>
      <c r="E10145" s="107" t="str">
        <f aca="false">IF($C10145="","",IFERROR(INDEX(المنيو!$C$2:$C$500,MATCH($C10145,المنيو!$B$2:$B$500,0)),0))</f>
        <v/>
      </c>
      <c r="F10145" s="107" t="str">
        <f aca="false">IF($C10145="","",$D10145*$E10145)</f>
        <v/>
      </c>
      <c r="G10145" s="107" t="str">
        <f aca="false">IF($C10145="","",$D10145*IFERROR(INDEX('تحليل التكلفة والسعر'!$C$2:$C$700,MATCH($C10145,'تحليل التكلفة والسعر'!$B$2:$B$700,0)),0))</f>
        <v/>
      </c>
    </row>
    <row r="10146" customFormat="false" ht="15" hidden="false" customHeight="false" outlineLevel="0" collapsed="false">
      <c r="A10146" s="103"/>
      <c r="B10146" s="104"/>
      <c r="C10146" s="104"/>
      <c r="E10146" s="107" t="str">
        <f aca="false">IF($C10146="","",IFERROR(INDEX(المنيو!$C$2:$C$500,MATCH($C10146,المنيو!$B$2:$B$500,0)),0))</f>
        <v/>
      </c>
      <c r="F10146" s="107" t="str">
        <f aca="false">IF($C10146="","",$D10146*$E10146)</f>
        <v/>
      </c>
      <c r="G10146" s="107" t="str">
        <f aca="false">IF($C10146="","",$D10146*IFERROR(INDEX('تحليل التكلفة والسعر'!$C$2:$C$700,MATCH($C10146,'تحليل التكلفة والسعر'!$B$2:$B$700,0)),0))</f>
        <v/>
      </c>
    </row>
    <row r="10147" customFormat="false" ht="15" hidden="false" customHeight="false" outlineLevel="0" collapsed="false">
      <c r="A10147" s="103"/>
      <c r="B10147" s="104"/>
      <c r="C10147" s="104"/>
      <c r="E10147" s="107" t="str">
        <f aca="false">IF($C10147="","",IFERROR(INDEX(المنيو!$C$2:$C$500,MATCH($C10147,المنيو!$B$2:$B$500,0)),0))</f>
        <v/>
      </c>
      <c r="F10147" s="107" t="str">
        <f aca="false">IF($C10147="","",$D10147*$E10147)</f>
        <v/>
      </c>
      <c r="G10147" s="107" t="str">
        <f aca="false">IF($C10147="","",$D10147*IFERROR(INDEX('تحليل التكلفة والسعر'!$C$2:$C$700,MATCH($C10147,'تحليل التكلفة والسعر'!$B$2:$B$700,0)),0))</f>
        <v/>
      </c>
    </row>
    <row r="10148" customFormat="false" ht="15" hidden="false" customHeight="false" outlineLevel="0" collapsed="false">
      <c r="A10148" s="103"/>
      <c r="B10148" s="104"/>
      <c r="C10148" s="104"/>
      <c r="E10148" s="107" t="str">
        <f aca="false">IF($C10148="","",IFERROR(INDEX(المنيو!$C$2:$C$500,MATCH($C10148,المنيو!$B$2:$B$500,0)),0))</f>
        <v/>
      </c>
      <c r="F10148" s="107" t="str">
        <f aca="false">IF($C10148="","",$D10148*$E10148)</f>
        <v/>
      </c>
      <c r="G10148" s="107" t="str">
        <f aca="false">IF($C10148="","",$D10148*IFERROR(INDEX('تحليل التكلفة والسعر'!$C$2:$C$700,MATCH($C10148,'تحليل التكلفة والسعر'!$B$2:$B$700,0)),0))</f>
        <v/>
      </c>
    </row>
    <row r="10149" customFormat="false" ht="15" hidden="false" customHeight="false" outlineLevel="0" collapsed="false">
      <c r="A10149" s="103"/>
      <c r="B10149" s="104"/>
      <c r="C10149" s="104"/>
      <c r="E10149" s="107" t="str">
        <f aca="false">IF($C10149="","",IFERROR(INDEX(المنيو!$C$2:$C$500,MATCH($C10149,المنيو!$B$2:$B$500,0)),0))</f>
        <v/>
      </c>
      <c r="F10149" s="107" t="str">
        <f aca="false">IF($C10149="","",$D10149*$E10149)</f>
        <v/>
      </c>
      <c r="G10149" s="107" t="str">
        <f aca="false">IF($C10149="","",$D10149*IFERROR(INDEX('تحليل التكلفة والسعر'!$C$2:$C$700,MATCH($C10149,'تحليل التكلفة والسعر'!$B$2:$B$700,0)),0))</f>
        <v/>
      </c>
    </row>
    <row r="10150" customFormat="false" ht="15" hidden="false" customHeight="false" outlineLevel="0" collapsed="false">
      <c r="A10150" s="103"/>
      <c r="B10150" s="104"/>
      <c r="C10150" s="104"/>
      <c r="E10150" s="107" t="str">
        <f aca="false">IF($C10150="","",IFERROR(INDEX(المنيو!$C$2:$C$500,MATCH($C10150,المنيو!$B$2:$B$500,0)),0))</f>
        <v/>
      </c>
      <c r="F10150" s="107" t="str">
        <f aca="false">IF($C10150="","",$D10150*$E10150)</f>
        <v/>
      </c>
      <c r="G10150" s="107" t="str">
        <f aca="false">IF($C10150="","",$D10150*IFERROR(INDEX('تحليل التكلفة والسعر'!$C$2:$C$700,MATCH($C10150,'تحليل التكلفة والسعر'!$B$2:$B$700,0)),0))</f>
        <v/>
      </c>
    </row>
    <row r="10151" customFormat="false" ht="15" hidden="false" customHeight="false" outlineLevel="0" collapsed="false">
      <c r="A10151" s="103"/>
      <c r="B10151" s="104"/>
      <c r="C10151" s="104"/>
      <c r="E10151" s="107" t="str">
        <f aca="false">IF($C10151="","",IFERROR(INDEX(المنيو!$C$2:$C$500,MATCH($C10151,المنيو!$B$2:$B$500,0)),0))</f>
        <v/>
      </c>
      <c r="F10151" s="107" t="str">
        <f aca="false">IF($C10151="","",$D10151*$E10151)</f>
        <v/>
      </c>
      <c r="G10151" s="107" t="str">
        <f aca="false">IF($C10151="","",$D10151*IFERROR(INDEX('تحليل التكلفة والسعر'!$C$2:$C$700,MATCH($C10151,'تحليل التكلفة والسعر'!$B$2:$B$700,0)),0))</f>
        <v/>
      </c>
    </row>
    <row r="10152" customFormat="false" ht="15" hidden="false" customHeight="false" outlineLevel="0" collapsed="false">
      <c r="A10152" s="103"/>
      <c r="B10152" s="104"/>
      <c r="C10152" s="104"/>
      <c r="E10152" s="107" t="str">
        <f aca="false">IF($C10152="","",IFERROR(INDEX(المنيو!$C$2:$C$500,MATCH($C10152,المنيو!$B$2:$B$500,0)),0))</f>
        <v/>
      </c>
      <c r="F10152" s="107" t="str">
        <f aca="false">IF($C10152="","",$D10152*$E10152)</f>
        <v/>
      </c>
      <c r="G10152" s="107" t="str">
        <f aca="false">IF($C10152="","",$D10152*IFERROR(INDEX('تحليل التكلفة والسعر'!$C$2:$C$700,MATCH($C10152,'تحليل التكلفة والسعر'!$B$2:$B$700,0)),0))</f>
        <v/>
      </c>
    </row>
    <row r="10153" customFormat="false" ht="15" hidden="false" customHeight="false" outlineLevel="0" collapsed="false">
      <c r="A10153" s="103"/>
      <c r="B10153" s="104"/>
      <c r="C10153" s="104"/>
      <c r="E10153" s="107" t="str">
        <f aca="false">IF($C10153="","",IFERROR(INDEX(المنيو!$C$2:$C$500,MATCH($C10153,المنيو!$B$2:$B$500,0)),0))</f>
        <v/>
      </c>
      <c r="F10153" s="107" t="str">
        <f aca="false">IF($C10153="","",$D10153*$E10153)</f>
        <v/>
      </c>
      <c r="G10153" s="107" t="str">
        <f aca="false">IF($C10153="","",$D10153*IFERROR(INDEX('تحليل التكلفة والسعر'!$C$2:$C$700,MATCH($C10153,'تحليل التكلفة والسعر'!$B$2:$B$700,0)),0))</f>
        <v/>
      </c>
    </row>
    <row r="10154" customFormat="false" ht="15" hidden="false" customHeight="false" outlineLevel="0" collapsed="false">
      <c r="A10154" s="103"/>
      <c r="B10154" s="104"/>
      <c r="C10154" s="104"/>
      <c r="E10154" s="107" t="str">
        <f aca="false">IF($C10154="","",IFERROR(INDEX(المنيو!$C$2:$C$500,MATCH($C10154,المنيو!$B$2:$B$500,0)),0))</f>
        <v/>
      </c>
      <c r="F10154" s="107" t="str">
        <f aca="false">IF($C10154="","",$D10154*$E10154)</f>
        <v/>
      </c>
      <c r="G10154" s="107" t="str">
        <f aca="false">IF($C10154="","",$D10154*IFERROR(INDEX('تحليل التكلفة والسعر'!$C$2:$C$700,MATCH($C10154,'تحليل التكلفة والسعر'!$B$2:$B$700,0)),0))</f>
        <v/>
      </c>
    </row>
    <row r="10155" customFormat="false" ht="15" hidden="false" customHeight="false" outlineLevel="0" collapsed="false">
      <c r="A10155" s="103"/>
      <c r="B10155" s="104"/>
      <c r="C10155" s="104"/>
      <c r="E10155" s="107" t="str">
        <f aca="false">IF($C10155="","",IFERROR(INDEX(المنيو!$C$2:$C$500,MATCH($C10155,المنيو!$B$2:$B$500,0)),0))</f>
        <v/>
      </c>
      <c r="F10155" s="107" t="str">
        <f aca="false">IF($C10155="","",$D10155*$E10155)</f>
        <v/>
      </c>
      <c r="G10155" s="107" t="str">
        <f aca="false">IF($C10155="","",$D10155*IFERROR(INDEX('تحليل التكلفة والسعر'!$C$2:$C$700,MATCH($C10155,'تحليل التكلفة والسعر'!$B$2:$B$700,0)),0))</f>
        <v/>
      </c>
    </row>
    <row r="10156" customFormat="false" ht="15" hidden="false" customHeight="false" outlineLevel="0" collapsed="false">
      <c r="A10156" s="103"/>
      <c r="B10156" s="104"/>
      <c r="C10156" s="104"/>
      <c r="E10156" s="107" t="str">
        <f aca="false">IF($C10156="","",IFERROR(INDEX(المنيو!$C$2:$C$500,MATCH($C10156,المنيو!$B$2:$B$500,0)),0))</f>
        <v/>
      </c>
      <c r="F10156" s="107" t="str">
        <f aca="false">IF($C10156="","",$D10156*$E10156)</f>
        <v/>
      </c>
      <c r="G10156" s="107" t="str">
        <f aca="false">IF($C10156="","",$D10156*IFERROR(INDEX('تحليل التكلفة والسعر'!$C$2:$C$700,MATCH($C10156,'تحليل التكلفة والسعر'!$B$2:$B$700,0)),0))</f>
        <v/>
      </c>
    </row>
    <row r="10157" customFormat="false" ht="15" hidden="false" customHeight="false" outlineLevel="0" collapsed="false">
      <c r="A10157" s="103"/>
      <c r="B10157" s="104"/>
      <c r="C10157" s="104"/>
      <c r="E10157" s="107" t="str">
        <f aca="false">IF($C10157="","",IFERROR(INDEX(المنيو!$C$2:$C$500,MATCH($C10157,المنيو!$B$2:$B$500,0)),0))</f>
        <v/>
      </c>
      <c r="F10157" s="107" t="str">
        <f aca="false">IF($C10157="","",$D10157*$E10157)</f>
        <v/>
      </c>
      <c r="G10157" s="107" t="str">
        <f aca="false">IF($C10157="","",$D10157*IFERROR(INDEX('تحليل التكلفة والسعر'!$C$2:$C$700,MATCH($C10157,'تحليل التكلفة والسعر'!$B$2:$B$700,0)),0))</f>
        <v/>
      </c>
    </row>
    <row r="10158" customFormat="false" ht="15" hidden="false" customHeight="false" outlineLevel="0" collapsed="false">
      <c r="A10158" s="103"/>
      <c r="B10158" s="104"/>
      <c r="C10158" s="104"/>
      <c r="E10158" s="107" t="str">
        <f aca="false">IF($C10158="","",IFERROR(INDEX(المنيو!$C$2:$C$500,MATCH($C10158,المنيو!$B$2:$B$500,0)),0))</f>
        <v/>
      </c>
      <c r="F10158" s="107" t="str">
        <f aca="false">IF($C10158="","",$D10158*$E10158)</f>
        <v/>
      </c>
      <c r="G10158" s="107" t="str">
        <f aca="false">IF($C10158="","",$D10158*IFERROR(INDEX('تحليل التكلفة والسعر'!$C$2:$C$700,MATCH($C10158,'تحليل التكلفة والسعر'!$B$2:$B$700,0)),0))</f>
        <v/>
      </c>
    </row>
    <row r="10159" customFormat="false" ht="15" hidden="false" customHeight="false" outlineLevel="0" collapsed="false">
      <c r="A10159" s="103"/>
      <c r="B10159" s="104"/>
      <c r="C10159" s="104"/>
      <c r="E10159" s="107" t="str">
        <f aca="false">IF($C10159="","",IFERROR(INDEX(المنيو!$C$2:$C$500,MATCH($C10159,المنيو!$B$2:$B$500,0)),0))</f>
        <v/>
      </c>
      <c r="F10159" s="107" t="str">
        <f aca="false">IF($C10159="","",$D10159*$E10159)</f>
        <v/>
      </c>
      <c r="G10159" s="107" t="str">
        <f aca="false">IF($C10159="","",$D10159*IFERROR(INDEX('تحليل التكلفة والسعر'!$C$2:$C$700,MATCH($C10159,'تحليل التكلفة والسعر'!$B$2:$B$700,0)),0))</f>
        <v/>
      </c>
    </row>
    <row r="10160" customFormat="false" ht="15" hidden="false" customHeight="false" outlineLevel="0" collapsed="false">
      <c r="A10160" s="103"/>
      <c r="B10160" s="104"/>
      <c r="C10160" s="104"/>
      <c r="E10160" s="107" t="str">
        <f aca="false">IF($C10160="","",IFERROR(INDEX(المنيو!$C$2:$C$500,MATCH($C10160,المنيو!$B$2:$B$500,0)),0))</f>
        <v/>
      </c>
      <c r="F10160" s="107" t="str">
        <f aca="false">IF($C10160="","",$D10160*$E10160)</f>
        <v/>
      </c>
      <c r="G10160" s="107" t="str">
        <f aca="false">IF($C10160="","",$D10160*IFERROR(INDEX('تحليل التكلفة والسعر'!$C$2:$C$700,MATCH($C10160,'تحليل التكلفة والسعر'!$B$2:$B$700,0)),0))</f>
        <v/>
      </c>
    </row>
    <row r="10161" customFormat="false" ht="15" hidden="false" customHeight="false" outlineLevel="0" collapsed="false">
      <c r="A10161" s="103"/>
      <c r="B10161" s="104"/>
      <c r="C10161" s="104"/>
      <c r="E10161" s="107" t="str">
        <f aca="false">IF($C10161="","",IFERROR(INDEX(المنيو!$C$2:$C$500,MATCH($C10161,المنيو!$B$2:$B$500,0)),0))</f>
        <v/>
      </c>
      <c r="F10161" s="107" t="str">
        <f aca="false">IF($C10161="","",$D10161*$E10161)</f>
        <v/>
      </c>
      <c r="G10161" s="107" t="str">
        <f aca="false">IF($C10161="","",$D10161*IFERROR(INDEX('تحليل التكلفة والسعر'!$C$2:$C$700,MATCH($C10161,'تحليل التكلفة والسعر'!$B$2:$B$700,0)),0))</f>
        <v/>
      </c>
    </row>
    <row r="10162" customFormat="false" ht="15" hidden="false" customHeight="false" outlineLevel="0" collapsed="false">
      <c r="A10162" s="103"/>
      <c r="B10162" s="104"/>
      <c r="C10162" s="104"/>
      <c r="E10162" s="107" t="str">
        <f aca="false">IF($C10162="","",IFERROR(INDEX(المنيو!$C$2:$C$500,MATCH($C10162,المنيو!$B$2:$B$500,0)),0))</f>
        <v/>
      </c>
      <c r="F10162" s="107" t="str">
        <f aca="false">IF($C10162="","",$D10162*$E10162)</f>
        <v/>
      </c>
      <c r="G10162" s="107" t="str">
        <f aca="false">IF($C10162="","",$D10162*IFERROR(INDEX('تحليل التكلفة والسعر'!$C$2:$C$700,MATCH($C10162,'تحليل التكلفة والسعر'!$B$2:$B$700,0)),0))</f>
        <v/>
      </c>
    </row>
    <row r="10163" customFormat="false" ht="15" hidden="false" customHeight="false" outlineLevel="0" collapsed="false">
      <c r="A10163" s="103"/>
      <c r="B10163" s="104"/>
      <c r="C10163" s="104"/>
      <c r="E10163" s="107" t="str">
        <f aca="false">IF($C10163="","",IFERROR(INDEX(المنيو!$C$2:$C$500,MATCH($C10163,المنيو!$B$2:$B$500,0)),0))</f>
        <v/>
      </c>
      <c r="F10163" s="107" t="str">
        <f aca="false">IF($C10163="","",$D10163*$E10163)</f>
        <v/>
      </c>
      <c r="G10163" s="107" t="str">
        <f aca="false">IF($C10163="","",$D10163*IFERROR(INDEX('تحليل التكلفة والسعر'!$C$2:$C$700,MATCH($C10163,'تحليل التكلفة والسعر'!$B$2:$B$700,0)),0))</f>
        <v/>
      </c>
    </row>
    <row r="10164" customFormat="false" ht="15" hidden="false" customHeight="false" outlineLevel="0" collapsed="false">
      <c r="A10164" s="103"/>
      <c r="B10164" s="104"/>
      <c r="C10164" s="104"/>
      <c r="E10164" s="107" t="str">
        <f aca="false">IF($C10164="","",IFERROR(INDEX(المنيو!$C$2:$C$500,MATCH($C10164,المنيو!$B$2:$B$500,0)),0))</f>
        <v/>
      </c>
      <c r="F10164" s="107" t="str">
        <f aca="false">IF($C10164="","",$D10164*$E10164)</f>
        <v/>
      </c>
      <c r="G10164" s="107" t="str">
        <f aca="false">IF($C10164="","",$D10164*IFERROR(INDEX('تحليل التكلفة والسعر'!$C$2:$C$700,MATCH($C10164,'تحليل التكلفة والسعر'!$B$2:$B$700,0)),0))</f>
        <v/>
      </c>
    </row>
    <row r="10165" customFormat="false" ht="15" hidden="false" customHeight="false" outlineLevel="0" collapsed="false">
      <c r="A10165" s="103"/>
      <c r="B10165" s="104"/>
      <c r="C10165" s="104"/>
      <c r="E10165" s="107" t="str">
        <f aca="false">IF($C10165="","",IFERROR(INDEX(المنيو!$C$2:$C$500,MATCH($C10165,المنيو!$B$2:$B$500,0)),0))</f>
        <v/>
      </c>
      <c r="F10165" s="107" t="str">
        <f aca="false">IF($C10165="","",$D10165*$E10165)</f>
        <v/>
      </c>
      <c r="G10165" s="107" t="str">
        <f aca="false">IF($C10165="","",$D10165*IFERROR(INDEX('تحليل التكلفة والسعر'!$C$2:$C$700,MATCH($C10165,'تحليل التكلفة والسعر'!$B$2:$B$700,0)),0))</f>
        <v/>
      </c>
    </row>
    <row r="10166" customFormat="false" ht="15" hidden="false" customHeight="false" outlineLevel="0" collapsed="false">
      <c r="A10166" s="103"/>
      <c r="B10166" s="104"/>
      <c r="C10166" s="104"/>
      <c r="E10166" s="107" t="str">
        <f aca="false">IF($C10166="","",IFERROR(INDEX(المنيو!$C$2:$C$500,MATCH($C10166,المنيو!$B$2:$B$500,0)),0))</f>
        <v/>
      </c>
      <c r="F10166" s="107" t="str">
        <f aca="false">IF($C10166="","",$D10166*$E10166)</f>
        <v/>
      </c>
      <c r="G10166" s="107" t="str">
        <f aca="false">IF($C10166="","",$D10166*IFERROR(INDEX('تحليل التكلفة والسعر'!$C$2:$C$700,MATCH($C10166,'تحليل التكلفة والسعر'!$B$2:$B$700,0)),0))</f>
        <v/>
      </c>
    </row>
    <row r="10167" customFormat="false" ht="15" hidden="false" customHeight="false" outlineLevel="0" collapsed="false">
      <c r="A10167" s="103"/>
      <c r="B10167" s="104"/>
      <c r="C10167" s="104"/>
      <c r="E10167" s="107" t="str">
        <f aca="false">IF($C10167="","",IFERROR(INDEX(المنيو!$C$2:$C$500,MATCH($C10167,المنيو!$B$2:$B$500,0)),0))</f>
        <v/>
      </c>
      <c r="F10167" s="107" t="str">
        <f aca="false">IF($C10167="","",$D10167*$E10167)</f>
        <v/>
      </c>
      <c r="G10167" s="107" t="str">
        <f aca="false">IF($C10167="","",$D10167*IFERROR(INDEX('تحليل التكلفة والسعر'!$C$2:$C$700,MATCH($C10167,'تحليل التكلفة والسعر'!$B$2:$B$700,0)),0))</f>
        <v/>
      </c>
    </row>
    <row r="10168" customFormat="false" ht="15" hidden="false" customHeight="false" outlineLevel="0" collapsed="false">
      <c r="A10168" s="103"/>
      <c r="B10168" s="104"/>
      <c r="C10168" s="104"/>
      <c r="E10168" s="107" t="str">
        <f aca="false">IF($C10168="","",IFERROR(INDEX(المنيو!$C$2:$C$500,MATCH($C10168,المنيو!$B$2:$B$500,0)),0))</f>
        <v/>
      </c>
      <c r="F10168" s="107" t="str">
        <f aca="false">IF($C10168="","",$D10168*$E10168)</f>
        <v/>
      </c>
      <c r="G10168" s="107" t="str">
        <f aca="false">IF($C10168="","",$D10168*IFERROR(INDEX('تحليل التكلفة والسعر'!$C$2:$C$700,MATCH($C10168,'تحليل التكلفة والسعر'!$B$2:$B$700,0)),0))</f>
        <v/>
      </c>
    </row>
    <row r="10169" customFormat="false" ht="15" hidden="false" customHeight="false" outlineLevel="0" collapsed="false">
      <c r="A10169" s="103"/>
      <c r="B10169" s="104"/>
      <c r="C10169" s="104"/>
      <c r="E10169" s="107" t="str">
        <f aca="false">IF($C10169="","",IFERROR(INDEX(المنيو!$C$2:$C$500,MATCH($C10169,المنيو!$B$2:$B$500,0)),0))</f>
        <v/>
      </c>
      <c r="F10169" s="107" t="str">
        <f aca="false">IF($C10169="","",$D10169*$E10169)</f>
        <v/>
      </c>
      <c r="G10169" s="107" t="str">
        <f aca="false">IF($C10169="","",$D10169*IFERROR(INDEX('تحليل التكلفة والسعر'!$C$2:$C$700,MATCH($C10169,'تحليل التكلفة والسعر'!$B$2:$B$700,0)),0))</f>
        <v/>
      </c>
    </row>
    <row r="10170" customFormat="false" ht="15" hidden="false" customHeight="false" outlineLevel="0" collapsed="false">
      <c r="A10170" s="103"/>
      <c r="B10170" s="104"/>
      <c r="C10170" s="104"/>
      <c r="E10170" s="107" t="str">
        <f aca="false">IF($C10170="","",IFERROR(INDEX(المنيو!$C$2:$C$500,MATCH($C10170,المنيو!$B$2:$B$500,0)),0))</f>
        <v/>
      </c>
      <c r="F10170" s="107" t="str">
        <f aca="false">IF($C10170="","",$D10170*$E10170)</f>
        <v/>
      </c>
      <c r="G10170" s="107" t="str">
        <f aca="false">IF($C10170="","",$D10170*IFERROR(INDEX('تحليل التكلفة والسعر'!$C$2:$C$700,MATCH($C10170,'تحليل التكلفة والسعر'!$B$2:$B$700,0)),0))</f>
        <v/>
      </c>
    </row>
    <row r="10171" customFormat="false" ht="15" hidden="false" customHeight="false" outlineLevel="0" collapsed="false">
      <c r="A10171" s="103"/>
      <c r="B10171" s="104"/>
      <c r="C10171" s="104"/>
      <c r="E10171" s="107" t="str">
        <f aca="false">IF($C10171="","",IFERROR(INDEX(المنيو!$C$2:$C$500,MATCH($C10171,المنيو!$B$2:$B$500,0)),0))</f>
        <v/>
      </c>
      <c r="F10171" s="107" t="str">
        <f aca="false">IF($C10171="","",$D10171*$E10171)</f>
        <v/>
      </c>
      <c r="G10171" s="107" t="str">
        <f aca="false">IF($C10171="","",$D10171*IFERROR(INDEX('تحليل التكلفة والسعر'!$C$2:$C$700,MATCH($C10171,'تحليل التكلفة والسعر'!$B$2:$B$700,0)),0))</f>
        <v/>
      </c>
    </row>
    <row r="10172" customFormat="false" ht="15" hidden="false" customHeight="false" outlineLevel="0" collapsed="false">
      <c r="A10172" s="103"/>
      <c r="B10172" s="104"/>
      <c r="C10172" s="104"/>
      <c r="E10172" s="107" t="str">
        <f aca="false">IF($C10172="","",IFERROR(INDEX(المنيو!$C$2:$C$500,MATCH($C10172,المنيو!$B$2:$B$500,0)),0))</f>
        <v/>
      </c>
      <c r="F10172" s="107" t="str">
        <f aca="false">IF($C10172="","",$D10172*$E10172)</f>
        <v/>
      </c>
      <c r="G10172" s="107" t="str">
        <f aca="false">IF($C10172="","",$D10172*IFERROR(INDEX('تحليل التكلفة والسعر'!$C$2:$C$700,MATCH($C10172,'تحليل التكلفة والسعر'!$B$2:$B$700,0)),0))</f>
        <v/>
      </c>
    </row>
    <row r="10173" customFormat="false" ht="15" hidden="false" customHeight="false" outlineLevel="0" collapsed="false">
      <c r="A10173" s="103"/>
      <c r="B10173" s="104"/>
      <c r="C10173" s="104"/>
      <c r="E10173" s="107" t="str">
        <f aca="false">IF($C10173="","",IFERROR(INDEX(المنيو!$C$2:$C$500,MATCH($C10173,المنيو!$B$2:$B$500,0)),0))</f>
        <v/>
      </c>
      <c r="F10173" s="107" t="str">
        <f aca="false">IF($C10173="","",$D10173*$E10173)</f>
        <v/>
      </c>
      <c r="G10173" s="107" t="str">
        <f aca="false">IF($C10173="","",$D10173*IFERROR(INDEX('تحليل التكلفة والسعر'!$C$2:$C$700,MATCH($C10173,'تحليل التكلفة والسعر'!$B$2:$B$700,0)),0))</f>
        <v/>
      </c>
    </row>
    <row r="10174" customFormat="false" ht="15" hidden="false" customHeight="false" outlineLevel="0" collapsed="false">
      <c r="A10174" s="103"/>
      <c r="B10174" s="104"/>
      <c r="C10174" s="104"/>
      <c r="E10174" s="107" t="str">
        <f aca="false">IF($C10174="","",IFERROR(INDEX(المنيو!$C$2:$C$500,MATCH($C10174,المنيو!$B$2:$B$500,0)),0))</f>
        <v/>
      </c>
      <c r="F10174" s="107" t="str">
        <f aca="false">IF($C10174="","",$D10174*$E10174)</f>
        <v/>
      </c>
      <c r="G10174" s="107" t="str">
        <f aca="false">IF($C10174="","",$D10174*IFERROR(INDEX('تحليل التكلفة والسعر'!$C$2:$C$700,MATCH($C10174,'تحليل التكلفة والسعر'!$B$2:$B$700,0)),0))</f>
        <v/>
      </c>
    </row>
    <row r="10175" customFormat="false" ht="15" hidden="false" customHeight="false" outlineLevel="0" collapsed="false">
      <c r="A10175" s="103"/>
      <c r="B10175" s="104"/>
      <c r="C10175" s="104"/>
      <c r="E10175" s="107" t="str">
        <f aca="false">IF($C10175="","",IFERROR(INDEX(المنيو!$C$2:$C$500,MATCH($C10175,المنيو!$B$2:$B$500,0)),0))</f>
        <v/>
      </c>
      <c r="F10175" s="107" t="str">
        <f aca="false">IF($C10175="","",$D10175*$E10175)</f>
        <v/>
      </c>
      <c r="G10175" s="107" t="str">
        <f aca="false">IF($C10175="","",$D10175*IFERROR(INDEX('تحليل التكلفة والسعر'!$C$2:$C$700,MATCH($C10175,'تحليل التكلفة والسعر'!$B$2:$B$700,0)),0))</f>
        <v/>
      </c>
    </row>
    <row r="10176" customFormat="false" ht="15" hidden="false" customHeight="false" outlineLevel="0" collapsed="false">
      <c r="A10176" s="103"/>
      <c r="B10176" s="104"/>
      <c r="C10176" s="104"/>
      <c r="E10176" s="107" t="str">
        <f aca="false">IF($C10176="","",IFERROR(INDEX(المنيو!$C$2:$C$500,MATCH($C10176,المنيو!$B$2:$B$500,0)),0))</f>
        <v/>
      </c>
      <c r="F10176" s="107" t="str">
        <f aca="false">IF($C10176="","",$D10176*$E10176)</f>
        <v/>
      </c>
      <c r="G10176" s="107" t="str">
        <f aca="false">IF($C10176="","",$D10176*IFERROR(INDEX('تحليل التكلفة والسعر'!$C$2:$C$700,MATCH($C10176,'تحليل التكلفة والسعر'!$B$2:$B$700,0)),0))</f>
        <v/>
      </c>
    </row>
    <row r="10177" customFormat="false" ht="15" hidden="false" customHeight="false" outlineLevel="0" collapsed="false">
      <c r="A10177" s="103"/>
      <c r="B10177" s="104"/>
      <c r="C10177" s="104"/>
      <c r="E10177" s="107" t="str">
        <f aca="false">IF($C10177="","",IFERROR(INDEX(المنيو!$C$2:$C$500,MATCH($C10177,المنيو!$B$2:$B$500,0)),0))</f>
        <v/>
      </c>
      <c r="F10177" s="107" t="str">
        <f aca="false">IF($C10177="","",$D10177*$E10177)</f>
        <v/>
      </c>
      <c r="G10177" s="107" t="str">
        <f aca="false">IF($C10177="","",$D10177*IFERROR(INDEX('تحليل التكلفة والسعر'!$C$2:$C$700,MATCH($C10177,'تحليل التكلفة والسعر'!$B$2:$B$700,0)),0))</f>
        <v/>
      </c>
    </row>
    <row r="10178" customFormat="false" ht="15" hidden="false" customHeight="false" outlineLevel="0" collapsed="false">
      <c r="A10178" s="103"/>
      <c r="B10178" s="104"/>
      <c r="C10178" s="104"/>
      <c r="E10178" s="107" t="str">
        <f aca="false">IF($C10178="","",IFERROR(INDEX(المنيو!$C$2:$C$500,MATCH($C10178,المنيو!$B$2:$B$500,0)),0))</f>
        <v/>
      </c>
      <c r="F10178" s="107" t="str">
        <f aca="false">IF($C10178="","",$D10178*$E10178)</f>
        <v/>
      </c>
      <c r="G10178" s="107" t="str">
        <f aca="false">IF($C10178="","",$D10178*IFERROR(INDEX('تحليل التكلفة والسعر'!$C$2:$C$700,MATCH($C10178,'تحليل التكلفة والسعر'!$B$2:$B$700,0)),0))</f>
        <v/>
      </c>
    </row>
    <row r="10179" customFormat="false" ht="15" hidden="false" customHeight="false" outlineLevel="0" collapsed="false">
      <c r="A10179" s="103"/>
      <c r="B10179" s="104"/>
      <c r="C10179" s="104"/>
      <c r="E10179" s="107" t="str">
        <f aca="false">IF($C10179="","",IFERROR(INDEX(المنيو!$C$2:$C$500,MATCH($C10179,المنيو!$B$2:$B$500,0)),0))</f>
        <v/>
      </c>
      <c r="F10179" s="107" t="str">
        <f aca="false">IF($C10179="","",$D10179*$E10179)</f>
        <v/>
      </c>
      <c r="G10179" s="107" t="str">
        <f aca="false">IF($C10179="","",$D10179*IFERROR(INDEX('تحليل التكلفة والسعر'!$C$2:$C$700,MATCH($C10179,'تحليل التكلفة والسعر'!$B$2:$B$700,0)),0))</f>
        <v/>
      </c>
    </row>
    <row r="10180" customFormat="false" ht="15" hidden="false" customHeight="false" outlineLevel="0" collapsed="false">
      <c r="A10180" s="103"/>
      <c r="B10180" s="104"/>
      <c r="C10180" s="104"/>
      <c r="E10180" s="107" t="str">
        <f aca="false">IF($C10180="","",IFERROR(INDEX(المنيو!$C$2:$C$500,MATCH($C10180,المنيو!$B$2:$B$500,0)),0))</f>
        <v/>
      </c>
      <c r="F10180" s="107" t="str">
        <f aca="false">IF($C10180="","",$D10180*$E10180)</f>
        <v/>
      </c>
      <c r="G10180" s="107" t="str">
        <f aca="false">IF($C10180="","",$D10180*IFERROR(INDEX('تحليل التكلفة والسعر'!$C$2:$C$700,MATCH($C10180,'تحليل التكلفة والسعر'!$B$2:$B$700,0)),0))</f>
        <v/>
      </c>
    </row>
    <row r="10181" customFormat="false" ht="15" hidden="false" customHeight="false" outlineLevel="0" collapsed="false">
      <c r="A10181" s="103"/>
      <c r="B10181" s="104"/>
      <c r="C10181" s="104"/>
      <c r="E10181" s="107" t="str">
        <f aca="false">IF($C10181="","",IFERROR(INDEX(المنيو!$C$2:$C$500,MATCH($C10181,المنيو!$B$2:$B$500,0)),0))</f>
        <v/>
      </c>
      <c r="F10181" s="107" t="str">
        <f aca="false">IF($C10181="","",$D10181*$E10181)</f>
        <v/>
      </c>
      <c r="G10181" s="107" t="str">
        <f aca="false">IF($C10181="","",$D10181*IFERROR(INDEX('تحليل التكلفة والسعر'!$C$2:$C$700,MATCH($C10181,'تحليل التكلفة والسعر'!$B$2:$B$700,0)),0))</f>
        <v/>
      </c>
    </row>
    <row r="10182" customFormat="false" ht="15" hidden="false" customHeight="false" outlineLevel="0" collapsed="false">
      <c r="A10182" s="103"/>
      <c r="B10182" s="104"/>
      <c r="C10182" s="104"/>
      <c r="E10182" s="107" t="str">
        <f aca="false">IF($C10182="","",IFERROR(INDEX(المنيو!$C$2:$C$500,MATCH($C10182,المنيو!$B$2:$B$500,0)),0))</f>
        <v/>
      </c>
      <c r="F10182" s="107" t="str">
        <f aca="false">IF($C10182="","",$D10182*$E10182)</f>
        <v/>
      </c>
      <c r="G10182" s="107" t="str">
        <f aca="false">IF($C10182="","",$D10182*IFERROR(INDEX('تحليل التكلفة والسعر'!$C$2:$C$700,MATCH($C10182,'تحليل التكلفة والسعر'!$B$2:$B$700,0)),0))</f>
        <v/>
      </c>
    </row>
    <row r="10183" customFormat="false" ht="15" hidden="false" customHeight="false" outlineLevel="0" collapsed="false">
      <c r="A10183" s="103"/>
      <c r="B10183" s="104"/>
      <c r="C10183" s="104"/>
      <c r="E10183" s="107" t="str">
        <f aca="false">IF($C10183="","",IFERROR(INDEX(المنيو!$C$2:$C$500,MATCH($C10183,المنيو!$B$2:$B$500,0)),0))</f>
        <v/>
      </c>
      <c r="F10183" s="107" t="str">
        <f aca="false">IF($C10183="","",$D10183*$E10183)</f>
        <v/>
      </c>
      <c r="G10183" s="107" t="str">
        <f aca="false">IF($C10183="","",$D10183*IFERROR(INDEX('تحليل التكلفة والسعر'!$C$2:$C$700,MATCH($C10183,'تحليل التكلفة والسعر'!$B$2:$B$700,0)),0))</f>
        <v/>
      </c>
    </row>
    <row r="10184" customFormat="false" ht="15" hidden="false" customHeight="false" outlineLevel="0" collapsed="false">
      <c r="A10184" s="103"/>
      <c r="B10184" s="104"/>
      <c r="C10184" s="104"/>
      <c r="E10184" s="107" t="str">
        <f aca="false">IF($C10184="","",IFERROR(INDEX(المنيو!$C$2:$C$500,MATCH($C10184,المنيو!$B$2:$B$500,0)),0))</f>
        <v/>
      </c>
      <c r="F10184" s="107" t="str">
        <f aca="false">IF($C10184="","",$D10184*$E10184)</f>
        <v/>
      </c>
      <c r="G10184" s="107" t="str">
        <f aca="false">IF($C10184="","",$D10184*IFERROR(INDEX('تحليل التكلفة والسعر'!$C$2:$C$700,MATCH($C10184,'تحليل التكلفة والسعر'!$B$2:$B$700,0)),0))</f>
        <v/>
      </c>
    </row>
    <row r="10185" customFormat="false" ht="15" hidden="false" customHeight="false" outlineLevel="0" collapsed="false">
      <c r="A10185" s="103"/>
      <c r="B10185" s="104"/>
      <c r="C10185" s="104"/>
      <c r="E10185" s="107" t="str">
        <f aca="false">IF($C10185="","",IFERROR(INDEX(المنيو!$C$2:$C$500,MATCH($C10185,المنيو!$B$2:$B$500,0)),0))</f>
        <v/>
      </c>
      <c r="F10185" s="107" t="str">
        <f aca="false">IF($C10185="","",$D10185*$E10185)</f>
        <v/>
      </c>
      <c r="G10185" s="107" t="str">
        <f aca="false">IF($C10185="","",$D10185*IFERROR(INDEX('تحليل التكلفة والسعر'!$C$2:$C$700,MATCH($C10185,'تحليل التكلفة والسعر'!$B$2:$B$700,0)),0))</f>
        <v/>
      </c>
    </row>
    <row r="10186" customFormat="false" ht="15" hidden="false" customHeight="false" outlineLevel="0" collapsed="false">
      <c r="A10186" s="103"/>
      <c r="B10186" s="104"/>
      <c r="C10186" s="104"/>
      <c r="E10186" s="107" t="str">
        <f aca="false">IF($C10186="","",IFERROR(INDEX(المنيو!$C$2:$C$500,MATCH($C10186,المنيو!$B$2:$B$500,0)),0))</f>
        <v/>
      </c>
      <c r="F10186" s="107" t="str">
        <f aca="false">IF($C10186="","",$D10186*$E10186)</f>
        <v/>
      </c>
      <c r="G10186" s="107" t="str">
        <f aca="false">IF($C10186="","",$D10186*IFERROR(INDEX('تحليل التكلفة والسعر'!$C$2:$C$700,MATCH($C10186,'تحليل التكلفة والسعر'!$B$2:$B$700,0)),0))</f>
        <v/>
      </c>
    </row>
    <row r="10187" customFormat="false" ht="15" hidden="false" customHeight="false" outlineLevel="0" collapsed="false">
      <c r="A10187" s="103"/>
      <c r="B10187" s="104"/>
      <c r="C10187" s="104"/>
      <c r="E10187" s="107" t="str">
        <f aca="false">IF($C10187="","",IFERROR(INDEX(المنيو!$C$2:$C$500,MATCH($C10187,المنيو!$B$2:$B$500,0)),0))</f>
        <v/>
      </c>
      <c r="F10187" s="107" t="str">
        <f aca="false">IF($C10187="","",$D10187*$E10187)</f>
        <v/>
      </c>
      <c r="G10187" s="107" t="str">
        <f aca="false">IF($C10187="","",$D10187*IFERROR(INDEX('تحليل التكلفة والسعر'!$C$2:$C$700,MATCH($C10187,'تحليل التكلفة والسعر'!$B$2:$B$700,0)),0))</f>
        <v/>
      </c>
    </row>
    <row r="10188" customFormat="false" ht="15" hidden="false" customHeight="false" outlineLevel="0" collapsed="false">
      <c r="A10188" s="103"/>
      <c r="B10188" s="104"/>
      <c r="C10188" s="104"/>
      <c r="E10188" s="107" t="str">
        <f aca="false">IF($C10188="","",IFERROR(INDEX(المنيو!$C$2:$C$500,MATCH($C10188,المنيو!$B$2:$B$500,0)),0))</f>
        <v/>
      </c>
      <c r="F10188" s="107" t="str">
        <f aca="false">IF($C10188="","",$D10188*$E10188)</f>
        <v/>
      </c>
      <c r="G10188" s="107" t="str">
        <f aca="false">IF($C10188="","",$D10188*IFERROR(INDEX('تحليل التكلفة والسعر'!$C$2:$C$700,MATCH($C10188,'تحليل التكلفة والسعر'!$B$2:$B$700,0)),0))</f>
        <v/>
      </c>
    </row>
    <row r="10189" customFormat="false" ht="15" hidden="false" customHeight="false" outlineLevel="0" collapsed="false">
      <c r="A10189" s="103"/>
      <c r="B10189" s="104"/>
      <c r="C10189" s="104"/>
      <c r="E10189" s="107" t="str">
        <f aca="false">IF($C10189="","",IFERROR(INDEX(المنيو!$C$2:$C$500,MATCH($C10189,المنيو!$B$2:$B$500,0)),0))</f>
        <v/>
      </c>
      <c r="F10189" s="107" t="str">
        <f aca="false">IF($C10189="","",$D10189*$E10189)</f>
        <v/>
      </c>
      <c r="G10189" s="107" t="str">
        <f aca="false">IF($C10189="","",$D10189*IFERROR(INDEX('تحليل التكلفة والسعر'!$C$2:$C$700,MATCH($C10189,'تحليل التكلفة والسعر'!$B$2:$B$700,0)),0))</f>
        <v/>
      </c>
    </row>
    <row r="10190" customFormat="false" ht="15" hidden="false" customHeight="false" outlineLevel="0" collapsed="false">
      <c r="A10190" s="103"/>
      <c r="B10190" s="104"/>
      <c r="C10190" s="104"/>
      <c r="E10190" s="107" t="str">
        <f aca="false">IF($C10190="","",IFERROR(INDEX(المنيو!$C$2:$C$500,MATCH($C10190,المنيو!$B$2:$B$500,0)),0))</f>
        <v/>
      </c>
      <c r="F10190" s="107" t="str">
        <f aca="false">IF($C10190="","",$D10190*$E10190)</f>
        <v/>
      </c>
      <c r="G10190" s="107" t="str">
        <f aca="false">IF($C10190="","",$D10190*IFERROR(INDEX('تحليل التكلفة والسعر'!$C$2:$C$700,MATCH($C10190,'تحليل التكلفة والسعر'!$B$2:$B$700,0)),0))</f>
        <v/>
      </c>
    </row>
    <row r="10191" customFormat="false" ht="15" hidden="false" customHeight="false" outlineLevel="0" collapsed="false">
      <c r="A10191" s="103"/>
      <c r="B10191" s="104"/>
      <c r="C10191" s="104"/>
      <c r="E10191" s="107" t="str">
        <f aca="false">IF($C10191="","",IFERROR(INDEX(المنيو!$C$2:$C$500,MATCH($C10191,المنيو!$B$2:$B$500,0)),0))</f>
        <v/>
      </c>
      <c r="F10191" s="107" t="str">
        <f aca="false">IF($C10191="","",$D10191*$E10191)</f>
        <v/>
      </c>
      <c r="G10191" s="107" t="str">
        <f aca="false">IF($C10191="","",$D10191*IFERROR(INDEX('تحليل التكلفة والسعر'!$C$2:$C$700,MATCH($C10191,'تحليل التكلفة والسعر'!$B$2:$B$700,0)),0))</f>
        <v/>
      </c>
    </row>
    <row r="10192" customFormat="false" ht="15" hidden="false" customHeight="false" outlineLevel="0" collapsed="false">
      <c r="A10192" s="103"/>
      <c r="B10192" s="104"/>
      <c r="C10192" s="104"/>
      <c r="E10192" s="107" t="str">
        <f aca="false">IF($C10192="","",IFERROR(INDEX(المنيو!$C$2:$C$500,MATCH($C10192,المنيو!$B$2:$B$500,0)),0))</f>
        <v/>
      </c>
      <c r="F10192" s="107" t="str">
        <f aca="false">IF($C10192="","",$D10192*$E10192)</f>
        <v/>
      </c>
      <c r="G10192" s="107" t="str">
        <f aca="false">IF($C10192="","",$D10192*IFERROR(INDEX('تحليل التكلفة والسعر'!$C$2:$C$700,MATCH($C10192,'تحليل التكلفة والسعر'!$B$2:$B$700,0)),0))</f>
        <v/>
      </c>
    </row>
    <row r="10193" customFormat="false" ht="15" hidden="false" customHeight="false" outlineLevel="0" collapsed="false">
      <c r="A10193" s="103"/>
      <c r="B10193" s="104"/>
      <c r="C10193" s="104"/>
      <c r="E10193" s="107" t="str">
        <f aca="false">IF($C10193="","",IFERROR(INDEX(المنيو!$C$2:$C$500,MATCH($C10193,المنيو!$B$2:$B$500,0)),0))</f>
        <v/>
      </c>
      <c r="F10193" s="107" t="str">
        <f aca="false">IF($C10193="","",$D10193*$E10193)</f>
        <v/>
      </c>
      <c r="G10193" s="107" t="str">
        <f aca="false">IF($C10193="","",$D10193*IFERROR(INDEX('تحليل التكلفة والسعر'!$C$2:$C$700,MATCH($C10193,'تحليل التكلفة والسعر'!$B$2:$B$700,0)),0))</f>
        <v/>
      </c>
    </row>
    <row r="10194" customFormat="false" ht="15" hidden="false" customHeight="false" outlineLevel="0" collapsed="false">
      <c r="A10194" s="103"/>
      <c r="B10194" s="104"/>
      <c r="C10194" s="104"/>
      <c r="E10194" s="107" t="str">
        <f aca="false">IF($C10194="","",IFERROR(INDEX(المنيو!$C$2:$C$500,MATCH($C10194,المنيو!$B$2:$B$500,0)),0))</f>
        <v/>
      </c>
      <c r="F10194" s="107" t="str">
        <f aca="false">IF($C10194="","",$D10194*$E10194)</f>
        <v/>
      </c>
      <c r="G10194" s="107" t="str">
        <f aca="false">IF($C10194="","",$D10194*IFERROR(INDEX('تحليل التكلفة والسعر'!$C$2:$C$700,MATCH($C10194,'تحليل التكلفة والسعر'!$B$2:$B$700,0)),0))</f>
        <v/>
      </c>
    </row>
    <row r="10195" customFormat="false" ht="15" hidden="false" customHeight="false" outlineLevel="0" collapsed="false">
      <c r="A10195" s="103"/>
      <c r="B10195" s="104"/>
      <c r="C10195" s="104"/>
      <c r="E10195" s="107" t="str">
        <f aca="false">IF($C10195="","",IFERROR(INDEX(المنيو!$C$2:$C$500,MATCH($C10195,المنيو!$B$2:$B$500,0)),0))</f>
        <v/>
      </c>
      <c r="F10195" s="107" t="str">
        <f aca="false">IF($C10195="","",$D10195*$E10195)</f>
        <v/>
      </c>
      <c r="G10195" s="107" t="str">
        <f aca="false">IF($C10195="","",$D10195*IFERROR(INDEX('تحليل التكلفة والسعر'!$C$2:$C$700,MATCH($C10195,'تحليل التكلفة والسعر'!$B$2:$B$700,0)),0))</f>
        <v/>
      </c>
    </row>
    <row r="10196" customFormat="false" ht="15" hidden="false" customHeight="false" outlineLevel="0" collapsed="false">
      <c r="A10196" s="103"/>
      <c r="B10196" s="104"/>
      <c r="C10196" s="104"/>
      <c r="E10196" s="107" t="str">
        <f aca="false">IF($C10196="","",IFERROR(INDEX(المنيو!$C$2:$C$500,MATCH($C10196,المنيو!$B$2:$B$500,0)),0))</f>
        <v/>
      </c>
      <c r="F10196" s="107" t="str">
        <f aca="false">IF($C10196="","",$D10196*$E10196)</f>
        <v/>
      </c>
      <c r="G10196" s="107" t="str">
        <f aca="false">IF($C10196="","",$D10196*IFERROR(INDEX('تحليل التكلفة والسعر'!$C$2:$C$700,MATCH($C10196,'تحليل التكلفة والسعر'!$B$2:$B$700,0)),0))</f>
        <v/>
      </c>
    </row>
    <row r="10197" customFormat="false" ht="15" hidden="false" customHeight="false" outlineLevel="0" collapsed="false">
      <c r="A10197" s="103"/>
      <c r="B10197" s="104"/>
      <c r="C10197" s="104"/>
      <c r="E10197" s="107" t="str">
        <f aca="false">IF($C10197="","",IFERROR(INDEX(المنيو!$C$2:$C$500,MATCH($C10197,المنيو!$B$2:$B$500,0)),0))</f>
        <v/>
      </c>
      <c r="F10197" s="107" t="str">
        <f aca="false">IF($C10197="","",$D10197*$E10197)</f>
        <v/>
      </c>
      <c r="G10197" s="107" t="str">
        <f aca="false">IF($C10197="","",$D10197*IFERROR(INDEX('تحليل التكلفة والسعر'!$C$2:$C$700,MATCH($C10197,'تحليل التكلفة والسعر'!$B$2:$B$700,0)),0))</f>
        <v/>
      </c>
    </row>
    <row r="10198" customFormat="false" ht="15" hidden="false" customHeight="false" outlineLevel="0" collapsed="false">
      <c r="A10198" s="103"/>
      <c r="B10198" s="104"/>
      <c r="C10198" s="104"/>
      <c r="E10198" s="107" t="str">
        <f aca="false">IF($C10198="","",IFERROR(INDEX(المنيو!$C$2:$C$500,MATCH($C10198,المنيو!$B$2:$B$500,0)),0))</f>
        <v/>
      </c>
      <c r="F10198" s="107" t="str">
        <f aca="false">IF($C10198="","",$D10198*$E10198)</f>
        <v/>
      </c>
      <c r="G10198" s="107" t="str">
        <f aca="false">IF($C10198="","",$D10198*IFERROR(INDEX('تحليل التكلفة والسعر'!$C$2:$C$700,MATCH($C10198,'تحليل التكلفة والسعر'!$B$2:$B$700,0)),0))</f>
        <v/>
      </c>
    </row>
    <row r="10199" customFormat="false" ht="15" hidden="false" customHeight="false" outlineLevel="0" collapsed="false">
      <c r="A10199" s="103"/>
      <c r="B10199" s="104"/>
      <c r="C10199" s="104"/>
      <c r="E10199" s="107" t="str">
        <f aca="false">IF($C10199="","",IFERROR(INDEX(المنيو!$C$2:$C$500,MATCH($C10199,المنيو!$B$2:$B$500,0)),0))</f>
        <v/>
      </c>
      <c r="F10199" s="107" t="str">
        <f aca="false">IF($C10199="","",$D10199*$E10199)</f>
        <v/>
      </c>
      <c r="G10199" s="107" t="str">
        <f aca="false">IF($C10199="","",$D10199*IFERROR(INDEX('تحليل التكلفة والسعر'!$C$2:$C$700,MATCH($C10199,'تحليل التكلفة والسعر'!$B$2:$B$700,0)),0))</f>
        <v/>
      </c>
    </row>
    <row r="10200" customFormat="false" ht="15" hidden="false" customHeight="false" outlineLevel="0" collapsed="false">
      <c r="A10200" s="103"/>
      <c r="B10200" s="104"/>
      <c r="C10200" s="104"/>
      <c r="E10200" s="107" t="str">
        <f aca="false">IF($C10200="","",IFERROR(INDEX(المنيو!$C$2:$C$500,MATCH($C10200,المنيو!$B$2:$B$500,0)),0))</f>
        <v/>
      </c>
      <c r="F10200" s="107" t="str">
        <f aca="false">IF($C10200="","",$D10200*$E10200)</f>
        <v/>
      </c>
      <c r="G10200" s="107" t="str">
        <f aca="false">IF($C10200="","",$D10200*IFERROR(INDEX('تحليل التكلفة والسعر'!$C$2:$C$700,MATCH($C10200,'تحليل التكلفة والسعر'!$B$2:$B$700,0)),0))</f>
        <v/>
      </c>
    </row>
    <row r="10201" customFormat="false" ht="15" hidden="false" customHeight="false" outlineLevel="0" collapsed="false">
      <c r="A10201" s="103"/>
      <c r="B10201" s="104"/>
      <c r="C10201" s="104"/>
      <c r="E10201" s="107" t="str">
        <f aca="false">IF($C10201="","",IFERROR(INDEX(المنيو!$C$2:$C$500,MATCH($C10201,المنيو!$B$2:$B$500,0)),0))</f>
        <v/>
      </c>
      <c r="F10201" s="107" t="str">
        <f aca="false">IF($C10201="","",$D10201*$E10201)</f>
        <v/>
      </c>
      <c r="G10201" s="107" t="str">
        <f aca="false">IF($C10201="","",$D10201*IFERROR(INDEX('تحليل التكلفة والسعر'!$C$2:$C$700,MATCH($C10201,'تحليل التكلفة والسعر'!$B$2:$B$700,0)),0))</f>
        <v/>
      </c>
    </row>
    <row r="10202" customFormat="false" ht="15" hidden="false" customHeight="false" outlineLevel="0" collapsed="false">
      <c r="A10202" s="103"/>
      <c r="B10202" s="104"/>
      <c r="C10202" s="104"/>
      <c r="E10202" s="107" t="str">
        <f aca="false">IF($C10202="","",IFERROR(INDEX(المنيو!$C$2:$C$500,MATCH($C10202,المنيو!$B$2:$B$500,0)),0))</f>
        <v/>
      </c>
      <c r="F10202" s="107" t="str">
        <f aca="false">IF($C10202="","",$D10202*$E10202)</f>
        <v/>
      </c>
      <c r="G10202" s="107" t="str">
        <f aca="false">IF($C10202="","",$D10202*IFERROR(INDEX('تحليل التكلفة والسعر'!$C$2:$C$700,MATCH($C10202,'تحليل التكلفة والسعر'!$B$2:$B$700,0)),0))</f>
        <v/>
      </c>
    </row>
    <row r="10203" customFormat="false" ht="15" hidden="false" customHeight="false" outlineLevel="0" collapsed="false">
      <c r="A10203" s="103"/>
      <c r="B10203" s="104"/>
      <c r="C10203" s="104"/>
      <c r="E10203" s="107" t="str">
        <f aca="false">IF($C10203="","",IFERROR(INDEX(المنيو!$C$2:$C$500,MATCH($C10203,المنيو!$B$2:$B$500,0)),0))</f>
        <v/>
      </c>
      <c r="F10203" s="107" t="str">
        <f aca="false">IF($C10203="","",$D10203*$E10203)</f>
        <v/>
      </c>
      <c r="G10203" s="107" t="str">
        <f aca="false">IF($C10203="","",$D10203*IFERROR(INDEX('تحليل التكلفة والسعر'!$C$2:$C$700,MATCH($C10203,'تحليل التكلفة والسعر'!$B$2:$B$700,0)),0))</f>
        <v/>
      </c>
    </row>
    <row r="10204" customFormat="false" ht="15" hidden="false" customHeight="false" outlineLevel="0" collapsed="false">
      <c r="A10204" s="103"/>
      <c r="B10204" s="104"/>
      <c r="C10204" s="104"/>
      <c r="E10204" s="107" t="str">
        <f aca="false">IF($C10204="","",IFERROR(INDEX(المنيو!$C$2:$C$500,MATCH($C10204,المنيو!$B$2:$B$500,0)),0))</f>
        <v/>
      </c>
      <c r="F10204" s="107" t="str">
        <f aca="false">IF($C10204="","",$D10204*$E10204)</f>
        <v/>
      </c>
      <c r="G10204" s="107" t="str">
        <f aca="false">IF($C10204="","",$D10204*IFERROR(INDEX('تحليل التكلفة والسعر'!$C$2:$C$700,MATCH($C10204,'تحليل التكلفة والسعر'!$B$2:$B$700,0)),0))</f>
        <v/>
      </c>
    </row>
    <row r="10205" customFormat="false" ht="15" hidden="false" customHeight="false" outlineLevel="0" collapsed="false">
      <c r="A10205" s="103"/>
      <c r="B10205" s="104"/>
      <c r="C10205" s="104"/>
      <c r="E10205" s="107" t="str">
        <f aca="false">IF($C10205="","",IFERROR(INDEX(المنيو!$C$2:$C$500,MATCH($C10205,المنيو!$B$2:$B$500,0)),0))</f>
        <v/>
      </c>
      <c r="F10205" s="107" t="str">
        <f aca="false">IF($C10205="","",$D10205*$E10205)</f>
        <v/>
      </c>
      <c r="G10205" s="107" t="str">
        <f aca="false">IF($C10205="","",$D10205*IFERROR(INDEX('تحليل التكلفة والسعر'!$C$2:$C$700,MATCH($C10205,'تحليل التكلفة والسعر'!$B$2:$B$700,0)),0))</f>
        <v/>
      </c>
    </row>
    <row r="10206" customFormat="false" ht="15" hidden="false" customHeight="false" outlineLevel="0" collapsed="false">
      <c r="A10206" s="103"/>
      <c r="B10206" s="104"/>
      <c r="C10206" s="104"/>
      <c r="E10206" s="107" t="str">
        <f aca="false">IF($C10206="","",IFERROR(INDEX(المنيو!$C$2:$C$500,MATCH($C10206,المنيو!$B$2:$B$500,0)),0))</f>
        <v/>
      </c>
      <c r="F10206" s="107" t="str">
        <f aca="false">IF($C10206="","",$D10206*$E10206)</f>
        <v/>
      </c>
      <c r="G10206" s="107" t="str">
        <f aca="false">IF($C10206="","",$D10206*IFERROR(INDEX('تحليل التكلفة والسعر'!$C$2:$C$700,MATCH($C10206,'تحليل التكلفة والسعر'!$B$2:$B$700,0)),0))</f>
        <v/>
      </c>
    </row>
    <row r="10207" customFormat="false" ht="15" hidden="false" customHeight="false" outlineLevel="0" collapsed="false">
      <c r="A10207" s="103"/>
      <c r="B10207" s="104"/>
      <c r="C10207" s="104"/>
      <c r="E10207" s="107" t="str">
        <f aca="false">IF($C10207="","",IFERROR(INDEX(المنيو!$C$2:$C$500,MATCH($C10207,المنيو!$B$2:$B$500,0)),0))</f>
        <v/>
      </c>
      <c r="F10207" s="107" t="str">
        <f aca="false">IF($C10207="","",$D10207*$E10207)</f>
        <v/>
      </c>
      <c r="G10207" s="107" t="str">
        <f aca="false">IF($C10207="","",$D10207*IFERROR(INDEX('تحليل التكلفة والسعر'!$C$2:$C$700,MATCH($C10207,'تحليل التكلفة والسعر'!$B$2:$B$700,0)),0))</f>
        <v/>
      </c>
    </row>
    <row r="10208" customFormat="false" ht="15" hidden="false" customHeight="false" outlineLevel="0" collapsed="false">
      <c r="A10208" s="103"/>
      <c r="B10208" s="104"/>
      <c r="C10208" s="104"/>
      <c r="E10208" s="107" t="str">
        <f aca="false">IF($C10208="","",IFERROR(INDEX(المنيو!$C$2:$C$500,MATCH($C10208,المنيو!$B$2:$B$500,0)),0))</f>
        <v/>
      </c>
      <c r="F10208" s="107" t="str">
        <f aca="false">IF($C10208="","",$D10208*$E10208)</f>
        <v/>
      </c>
      <c r="G10208" s="107" t="str">
        <f aca="false">IF($C10208="","",$D10208*IFERROR(INDEX('تحليل التكلفة والسعر'!$C$2:$C$700,MATCH($C10208,'تحليل التكلفة والسعر'!$B$2:$B$700,0)),0))</f>
        <v/>
      </c>
    </row>
    <row r="10209" customFormat="false" ht="15" hidden="false" customHeight="false" outlineLevel="0" collapsed="false">
      <c r="A10209" s="103"/>
      <c r="B10209" s="104"/>
      <c r="C10209" s="104"/>
      <c r="E10209" s="107" t="str">
        <f aca="false">IF($C10209="","",IFERROR(INDEX(المنيو!$C$2:$C$500,MATCH($C10209,المنيو!$B$2:$B$500,0)),0))</f>
        <v/>
      </c>
      <c r="F10209" s="107" t="str">
        <f aca="false">IF($C10209="","",$D10209*$E10209)</f>
        <v/>
      </c>
      <c r="G10209" s="107" t="str">
        <f aca="false">IF($C10209="","",$D10209*IFERROR(INDEX('تحليل التكلفة والسعر'!$C$2:$C$700,MATCH($C10209,'تحليل التكلفة والسعر'!$B$2:$B$700,0)),0))</f>
        <v/>
      </c>
    </row>
    <row r="10210" customFormat="false" ht="15" hidden="false" customHeight="false" outlineLevel="0" collapsed="false">
      <c r="A10210" s="103"/>
      <c r="B10210" s="104"/>
      <c r="C10210" s="104"/>
      <c r="E10210" s="107" t="str">
        <f aca="false">IF($C10210="","",IFERROR(INDEX(المنيو!$C$2:$C$500,MATCH($C10210,المنيو!$B$2:$B$500,0)),0))</f>
        <v/>
      </c>
      <c r="F10210" s="107" t="str">
        <f aca="false">IF($C10210="","",$D10210*$E10210)</f>
        <v/>
      </c>
      <c r="G10210" s="107" t="str">
        <f aca="false">IF($C10210="","",$D10210*IFERROR(INDEX('تحليل التكلفة والسعر'!$C$2:$C$700,MATCH($C10210,'تحليل التكلفة والسعر'!$B$2:$B$700,0)),0))</f>
        <v/>
      </c>
    </row>
    <row r="10211" customFormat="false" ht="15" hidden="false" customHeight="false" outlineLevel="0" collapsed="false">
      <c r="A10211" s="103"/>
      <c r="B10211" s="104"/>
      <c r="C10211" s="104"/>
      <c r="E10211" s="107" t="str">
        <f aca="false">IF($C10211="","",IFERROR(INDEX(المنيو!$C$2:$C$500,MATCH($C10211,المنيو!$B$2:$B$500,0)),0))</f>
        <v/>
      </c>
      <c r="F10211" s="107" t="str">
        <f aca="false">IF($C10211="","",$D10211*$E10211)</f>
        <v/>
      </c>
      <c r="G10211" s="107" t="str">
        <f aca="false">IF($C10211="","",$D10211*IFERROR(INDEX('تحليل التكلفة والسعر'!$C$2:$C$700,MATCH($C10211,'تحليل التكلفة والسعر'!$B$2:$B$700,0)),0))</f>
        <v/>
      </c>
    </row>
    <row r="10212" customFormat="false" ht="15" hidden="false" customHeight="false" outlineLevel="0" collapsed="false">
      <c r="A10212" s="103"/>
      <c r="B10212" s="104"/>
      <c r="C10212" s="104"/>
      <c r="E10212" s="107" t="str">
        <f aca="false">IF($C10212="","",IFERROR(INDEX(المنيو!$C$2:$C$500,MATCH($C10212,المنيو!$B$2:$B$500,0)),0))</f>
        <v/>
      </c>
      <c r="F10212" s="107" t="str">
        <f aca="false">IF($C10212="","",$D10212*$E10212)</f>
        <v/>
      </c>
      <c r="G10212" s="107" t="str">
        <f aca="false">IF($C10212="","",$D10212*IFERROR(INDEX('تحليل التكلفة والسعر'!$C$2:$C$700,MATCH($C10212,'تحليل التكلفة والسعر'!$B$2:$B$700,0)),0))</f>
        <v/>
      </c>
    </row>
    <row r="10213" customFormat="false" ht="15" hidden="false" customHeight="false" outlineLevel="0" collapsed="false">
      <c r="A10213" s="103"/>
      <c r="B10213" s="104"/>
      <c r="C10213" s="104"/>
      <c r="E10213" s="107" t="str">
        <f aca="false">IF($C10213="","",IFERROR(INDEX(المنيو!$C$2:$C$500,MATCH($C10213,المنيو!$B$2:$B$500,0)),0))</f>
        <v/>
      </c>
      <c r="F10213" s="107" t="str">
        <f aca="false">IF($C10213="","",$D10213*$E10213)</f>
        <v/>
      </c>
      <c r="G10213" s="107" t="str">
        <f aca="false">IF($C10213="","",$D10213*IFERROR(INDEX('تحليل التكلفة والسعر'!$C$2:$C$700,MATCH($C10213,'تحليل التكلفة والسعر'!$B$2:$B$700,0)),0))</f>
        <v/>
      </c>
    </row>
    <row r="10214" customFormat="false" ht="15" hidden="false" customHeight="false" outlineLevel="0" collapsed="false">
      <c r="A10214" s="103"/>
      <c r="B10214" s="104"/>
      <c r="C10214" s="104"/>
      <c r="E10214" s="107" t="str">
        <f aca="false">IF($C10214="","",IFERROR(INDEX(المنيو!$C$2:$C$500,MATCH($C10214,المنيو!$B$2:$B$500,0)),0))</f>
        <v/>
      </c>
      <c r="F10214" s="107" t="str">
        <f aca="false">IF($C10214="","",$D10214*$E10214)</f>
        <v/>
      </c>
      <c r="G10214" s="107" t="str">
        <f aca="false">IF($C10214="","",$D10214*IFERROR(INDEX('تحليل التكلفة والسعر'!$C$2:$C$700,MATCH($C10214,'تحليل التكلفة والسعر'!$B$2:$B$700,0)),0))</f>
        <v/>
      </c>
    </row>
    <row r="10215" customFormat="false" ht="15" hidden="false" customHeight="false" outlineLevel="0" collapsed="false">
      <c r="A10215" s="103"/>
      <c r="B10215" s="104"/>
      <c r="C10215" s="104"/>
      <c r="E10215" s="107" t="str">
        <f aca="false">IF($C10215="","",IFERROR(INDEX(المنيو!$C$2:$C$500,MATCH($C10215,المنيو!$B$2:$B$500,0)),0))</f>
        <v/>
      </c>
      <c r="F10215" s="107" t="str">
        <f aca="false">IF($C10215="","",$D10215*$E10215)</f>
        <v/>
      </c>
      <c r="G10215" s="107" t="str">
        <f aca="false">IF($C10215="","",$D10215*IFERROR(INDEX('تحليل التكلفة والسعر'!$C$2:$C$700,MATCH($C10215,'تحليل التكلفة والسعر'!$B$2:$B$700,0)),0))</f>
        <v/>
      </c>
    </row>
    <row r="10216" customFormat="false" ht="15" hidden="false" customHeight="false" outlineLevel="0" collapsed="false">
      <c r="A10216" s="103"/>
      <c r="B10216" s="104"/>
      <c r="C10216" s="104"/>
      <c r="E10216" s="107" t="str">
        <f aca="false">IF($C10216="","",IFERROR(INDEX(المنيو!$C$2:$C$500,MATCH($C10216,المنيو!$B$2:$B$500,0)),0))</f>
        <v/>
      </c>
      <c r="F10216" s="107" t="str">
        <f aca="false">IF($C10216="","",$D10216*$E10216)</f>
        <v/>
      </c>
      <c r="G10216" s="107" t="str">
        <f aca="false">IF($C10216="","",$D10216*IFERROR(INDEX('تحليل التكلفة والسعر'!$C$2:$C$700,MATCH($C10216,'تحليل التكلفة والسعر'!$B$2:$B$700,0)),0))</f>
        <v/>
      </c>
    </row>
    <row r="10217" customFormat="false" ht="15" hidden="false" customHeight="false" outlineLevel="0" collapsed="false">
      <c r="A10217" s="103"/>
      <c r="B10217" s="104"/>
      <c r="C10217" s="104"/>
      <c r="E10217" s="107" t="str">
        <f aca="false">IF($C10217="","",IFERROR(INDEX(المنيو!$C$2:$C$500,MATCH($C10217,المنيو!$B$2:$B$500,0)),0))</f>
        <v/>
      </c>
      <c r="F10217" s="107" t="str">
        <f aca="false">IF($C10217="","",$D10217*$E10217)</f>
        <v/>
      </c>
      <c r="G10217" s="107" t="str">
        <f aca="false">IF($C10217="","",$D10217*IFERROR(INDEX('تحليل التكلفة والسعر'!$C$2:$C$700,MATCH($C10217,'تحليل التكلفة والسعر'!$B$2:$B$700,0)),0))</f>
        <v/>
      </c>
    </row>
    <row r="10218" customFormat="false" ht="15" hidden="false" customHeight="false" outlineLevel="0" collapsed="false">
      <c r="A10218" s="103"/>
      <c r="B10218" s="104"/>
      <c r="C10218" s="104"/>
      <c r="E10218" s="107" t="str">
        <f aca="false">IF($C10218="","",IFERROR(INDEX(المنيو!$C$2:$C$500,MATCH($C10218,المنيو!$B$2:$B$500,0)),0))</f>
        <v/>
      </c>
      <c r="F10218" s="107" t="str">
        <f aca="false">IF($C10218="","",$D10218*$E10218)</f>
        <v/>
      </c>
      <c r="G10218" s="107" t="str">
        <f aca="false">IF($C10218="","",$D10218*IFERROR(INDEX('تحليل التكلفة والسعر'!$C$2:$C$700,MATCH($C10218,'تحليل التكلفة والسعر'!$B$2:$B$700,0)),0))</f>
        <v/>
      </c>
    </row>
    <row r="10219" customFormat="false" ht="15" hidden="false" customHeight="false" outlineLevel="0" collapsed="false">
      <c r="A10219" s="103"/>
      <c r="B10219" s="104"/>
      <c r="C10219" s="104"/>
      <c r="E10219" s="107" t="str">
        <f aca="false">IF($C10219="","",IFERROR(INDEX(المنيو!$C$2:$C$500,MATCH($C10219,المنيو!$B$2:$B$500,0)),0))</f>
        <v/>
      </c>
      <c r="F10219" s="107" t="str">
        <f aca="false">IF($C10219="","",$D10219*$E10219)</f>
        <v/>
      </c>
      <c r="G10219" s="107" t="str">
        <f aca="false">IF($C10219="","",$D10219*IFERROR(INDEX('تحليل التكلفة والسعر'!$C$2:$C$700,MATCH($C10219,'تحليل التكلفة والسعر'!$B$2:$B$700,0)),0))</f>
        <v/>
      </c>
    </row>
    <row r="10220" customFormat="false" ht="15" hidden="false" customHeight="false" outlineLevel="0" collapsed="false">
      <c r="A10220" s="103"/>
      <c r="B10220" s="104"/>
      <c r="C10220" s="104"/>
      <c r="E10220" s="107" t="str">
        <f aca="false">IF($C10220="","",IFERROR(INDEX(المنيو!$C$2:$C$500,MATCH($C10220,المنيو!$B$2:$B$500,0)),0))</f>
        <v/>
      </c>
      <c r="F10220" s="107" t="str">
        <f aca="false">IF($C10220="","",$D10220*$E10220)</f>
        <v/>
      </c>
      <c r="G10220" s="107" t="str">
        <f aca="false">IF($C10220="","",$D10220*IFERROR(INDEX('تحليل التكلفة والسعر'!$C$2:$C$700,MATCH($C10220,'تحليل التكلفة والسعر'!$B$2:$B$700,0)),0))</f>
        <v/>
      </c>
    </row>
    <row r="10221" customFormat="false" ht="15" hidden="false" customHeight="false" outlineLevel="0" collapsed="false">
      <c r="A10221" s="103"/>
      <c r="B10221" s="104"/>
      <c r="C10221" s="104"/>
      <c r="E10221" s="107" t="str">
        <f aca="false">IF($C10221="","",IFERROR(INDEX(المنيو!$C$2:$C$500,MATCH($C10221,المنيو!$B$2:$B$500,0)),0))</f>
        <v/>
      </c>
      <c r="F10221" s="107" t="str">
        <f aca="false">IF($C10221="","",$D10221*$E10221)</f>
        <v/>
      </c>
      <c r="G10221" s="107" t="str">
        <f aca="false">IF($C10221="","",$D10221*IFERROR(INDEX('تحليل التكلفة والسعر'!$C$2:$C$700,MATCH($C10221,'تحليل التكلفة والسعر'!$B$2:$B$700,0)),0))</f>
        <v/>
      </c>
    </row>
    <row r="10222" customFormat="false" ht="15" hidden="false" customHeight="false" outlineLevel="0" collapsed="false">
      <c r="A10222" s="103"/>
      <c r="B10222" s="104"/>
      <c r="C10222" s="104"/>
      <c r="E10222" s="107" t="str">
        <f aca="false">IF($C10222="","",IFERROR(INDEX(المنيو!$C$2:$C$500,MATCH($C10222,المنيو!$B$2:$B$500,0)),0))</f>
        <v/>
      </c>
      <c r="F10222" s="107" t="str">
        <f aca="false">IF($C10222="","",$D10222*$E10222)</f>
        <v/>
      </c>
      <c r="G10222" s="107" t="str">
        <f aca="false">IF($C10222="","",$D10222*IFERROR(INDEX('تحليل التكلفة والسعر'!$C$2:$C$700,MATCH($C10222,'تحليل التكلفة والسعر'!$B$2:$B$700,0)),0))</f>
        <v/>
      </c>
    </row>
    <row r="10223" customFormat="false" ht="15" hidden="false" customHeight="false" outlineLevel="0" collapsed="false">
      <c r="A10223" s="103"/>
      <c r="B10223" s="104"/>
      <c r="C10223" s="104"/>
      <c r="E10223" s="107" t="str">
        <f aca="false">IF($C10223="","",IFERROR(INDEX(المنيو!$C$2:$C$500,MATCH($C10223,المنيو!$B$2:$B$500,0)),0))</f>
        <v/>
      </c>
      <c r="F10223" s="107" t="str">
        <f aca="false">IF($C10223="","",$D10223*$E10223)</f>
        <v/>
      </c>
      <c r="G10223" s="107" t="str">
        <f aca="false">IF($C10223="","",$D10223*IFERROR(INDEX('تحليل التكلفة والسعر'!$C$2:$C$700,MATCH($C10223,'تحليل التكلفة والسعر'!$B$2:$B$700,0)),0))</f>
        <v/>
      </c>
    </row>
    <row r="10224" customFormat="false" ht="15" hidden="false" customHeight="false" outlineLevel="0" collapsed="false">
      <c r="A10224" s="103"/>
      <c r="B10224" s="104"/>
      <c r="C10224" s="104"/>
      <c r="E10224" s="107" t="str">
        <f aca="false">IF($C10224="","",IFERROR(INDEX(المنيو!$C$2:$C$500,MATCH($C10224,المنيو!$B$2:$B$500,0)),0))</f>
        <v/>
      </c>
      <c r="F10224" s="107" t="str">
        <f aca="false">IF($C10224="","",$D10224*$E10224)</f>
        <v/>
      </c>
      <c r="G10224" s="107" t="str">
        <f aca="false">IF($C10224="","",$D10224*IFERROR(INDEX('تحليل التكلفة والسعر'!$C$2:$C$700,MATCH($C10224,'تحليل التكلفة والسعر'!$B$2:$B$700,0)),0))</f>
        <v/>
      </c>
    </row>
    <row r="10225" customFormat="false" ht="15" hidden="false" customHeight="false" outlineLevel="0" collapsed="false">
      <c r="A10225" s="103"/>
      <c r="B10225" s="104"/>
      <c r="C10225" s="104"/>
      <c r="E10225" s="107" t="str">
        <f aca="false">IF($C10225="","",IFERROR(INDEX(المنيو!$C$2:$C$500,MATCH($C10225,المنيو!$B$2:$B$500,0)),0))</f>
        <v/>
      </c>
      <c r="F10225" s="107" t="str">
        <f aca="false">IF($C10225="","",$D10225*$E10225)</f>
        <v/>
      </c>
      <c r="G10225" s="107" t="str">
        <f aca="false">IF($C10225="","",$D10225*IFERROR(INDEX('تحليل التكلفة والسعر'!$C$2:$C$700,MATCH($C10225,'تحليل التكلفة والسعر'!$B$2:$B$700,0)),0))</f>
        <v/>
      </c>
    </row>
    <row r="10226" customFormat="false" ht="15" hidden="false" customHeight="false" outlineLevel="0" collapsed="false">
      <c r="A10226" s="103"/>
      <c r="B10226" s="104"/>
      <c r="C10226" s="104"/>
      <c r="E10226" s="107" t="str">
        <f aca="false">IF($C10226="","",IFERROR(INDEX(المنيو!$C$2:$C$500,MATCH($C10226,المنيو!$B$2:$B$500,0)),0))</f>
        <v/>
      </c>
      <c r="F10226" s="107" t="str">
        <f aca="false">IF($C10226="","",$D10226*$E10226)</f>
        <v/>
      </c>
      <c r="G10226" s="107" t="str">
        <f aca="false">IF($C10226="","",$D10226*IFERROR(INDEX('تحليل التكلفة والسعر'!$C$2:$C$700,MATCH($C10226,'تحليل التكلفة والسعر'!$B$2:$B$700,0)),0))</f>
        <v/>
      </c>
    </row>
    <row r="10227" customFormat="false" ht="15" hidden="false" customHeight="false" outlineLevel="0" collapsed="false">
      <c r="A10227" s="103"/>
      <c r="B10227" s="104"/>
      <c r="C10227" s="104"/>
      <c r="E10227" s="107" t="str">
        <f aca="false">IF($C10227="","",IFERROR(INDEX(المنيو!$C$2:$C$500,MATCH($C10227,المنيو!$B$2:$B$500,0)),0))</f>
        <v/>
      </c>
      <c r="F10227" s="107" t="str">
        <f aca="false">IF($C10227="","",$D10227*$E10227)</f>
        <v/>
      </c>
      <c r="G10227" s="107" t="str">
        <f aca="false">IF($C10227="","",$D10227*IFERROR(INDEX('تحليل التكلفة والسعر'!$C$2:$C$700,MATCH($C10227,'تحليل التكلفة والسعر'!$B$2:$B$700,0)),0))</f>
        <v/>
      </c>
    </row>
    <row r="10228" customFormat="false" ht="15" hidden="false" customHeight="false" outlineLevel="0" collapsed="false">
      <c r="A10228" s="103"/>
      <c r="B10228" s="104"/>
      <c r="C10228" s="104"/>
      <c r="E10228" s="107" t="str">
        <f aca="false">IF($C10228="","",IFERROR(INDEX(المنيو!$C$2:$C$500,MATCH($C10228,المنيو!$B$2:$B$500,0)),0))</f>
        <v/>
      </c>
      <c r="F10228" s="107" t="str">
        <f aca="false">IF($C10228="","",$D10228*$E10228)</f>
        <v/>
      </c>
      <c r="G10228" s="107" t="str">
        <f aca="false">IF($C10228="","",$D10228*IFERROR(INDEX('تحليل التكلفة والسعر'!$C$2:$C$700,MATCH($C10228,'تحليل التكلفة والسعر'!$B$2:$B$700,0)),0))</f>
        <v/>
      </c>
    </row>
    <row r="10229" customFormat="false" ht="15" hidden="false" customHeight="false" outlineLevel="0" collapsed="false">
      <c r="A10229" s="103"/>
      <c r="B10229" s="104"/>
      <c r="C10229" s="104"/>
      <c r="E10229" s="107" t="str">
        <f aca="false">IF($C10229="","",IFERROR(INDEX(المنيو!$C$2:$C$500,MATCH($C10229,المنيو!$B$2:$B$500,0)),0))</f>
        <v/>
      </c>
      <c r="F10229" s="107" t="str">
        <f aca="false">IF($C10229="","",$D10229*$E10229)</f>
        <v/>
      </c>
      <c r="G10229" s="107" t="str">
        <f aca="false">IF($C10229="","",$D10229*IFERROR(INDEX('تحليل التكلفة والسعر'!$C$2:$C$700,MATCH($C10229,'تحليل التكلفة والسعر'!$B$2:$B$700,0)),0))</f>
        <v/>
      </c>
    </row>
    <row r="10230" customFormat="false" ht="15" hidden="false" customHeight="false" outlineLevel="0" collapsed="false">
      <c r="A10230" s="103"/>
      <c r="B10230" s="104"/>
      <c r="C10230" s="104"/>
      <c r="E10230" s="107" t="str">
        <f aca="false">IF($C10230="","",IFERROR(INDEX(المنيو!$C$2:$C$500,MATCH($C10230,المنيو!$B$2:$B$500,0)),0))</f>
        <v/>
      </c>
      <c r="F10230" s="107" t="str">
        <f aca="false">IF($C10230="","",$D10230*$E10230)</f>
        <v/>
      </c>
      <c r="G10230" s="107" t="str">
        <f aca="false">IF($C10230="","",$D10230*IFERROR(INDEX('تحليل التكلفة والسعر'!$C$2:$C$700,MATCH($C10230,'تحليل التكلفة والسعر'!$B$2:$B$700,0)),0))</f>
        <v/>
      </c>
    </row>
    <row r="10231" customFormat="false" ht="15" hidden="false" customHeight="false" outlineLevel="0" collapsed="false">
      <c r="A10231" s="103"/>
      <c r="B10231" s="104"/>
      <c r="C10231" s="104"/>
      <c r="E10231" s="107" t="str">
        <f aca="false">IF($C10231="","",IFERROR(INDEX(المنيو!$C$2:$C$500,MATCH($C10231,المنيو!$B$2:$B$500,0)),0))</f>
        <v/>
      </c>
      <c r="F10231" s="107" t="str">
        <f aca="false">IF($C10231="","",$D10231*$E10231)</f>
        <v/>
      </c>
      <c r="G10231" s="107" t="str">
        <f aca="false">IF($C10231="","",$D10231*IFERROR(INDEX('تحليل التكلفة والسعر'!$C$2:$C$700,MATCH($C10231,'تحليل التكلفة والسعر'!$B$2:$B$700,0)),0))</f>
        <v/>
      </c>
    </row>
    <row r="10232" customFormat="false" ht="15" hidden="false" customHeight="false" outlineLevel="0" collapsed="false">
      <c r="A10232" s="103"/>
      <c r="B10232" s="104"/>
      <c r="C10232" s="104"/>
      <c r="E10232" s="107" t="str">
        <f aca="false">IF($C10232="","",IFERROR(INDEX(المنيو!$C$2:$C$500,MATCH($C10232,المنيو!$B$2:$B$500,0)),0))</f>
        <v/>
      </c>
      <c r="F10232" s="107" t="str">
        <f aca="false">IF($C10232="","",$D10232*$E10232)</f>
        <v/>
      </c>
      <c r="G10232" s="107" t="str">
        <f aca="false">IF($C10232="","",$D10232*IFERROR(INDEX('تحليل التكلفة والسعر'!$C$2:$C$700,MATCH($C10232,'تحليل التكلفة والسعر'!$B$2:$B$700,0)),0))</f>
        <v/>
      </c>
    </row>
    <row r="10233" customFormat="false" ht="15" hidden="false" customHeight="false" outlineLevel="0" collapsed="false">
      <c r="A10233" s="103"/>
      <c r="B10233" s="104"/>
      <c r="C10233" s="104"/>
      <c r="E10233" s="107" t="str">
        <f aca="false">IF($C10233="","",IFERROR(INDEX(المنيو!$C$2:$C$500,MATCH($C10233,المنيو!$B$2:$B$500,0)),0))</f>
        <v/>
      </c>
      <c r="F10233" s="107" t="str">
        <f aca="false">IF($C10233="","",$D10233*$E10233)</f>
        <v/>
      </c>
      <c r="G10233" s="107" t="str">
        <f aca="false">IF($C10233="","",$D10233*IFERROR(INDEX('تحليل التكلفة والسعر'!$C$2:$C$700,MATCH($C10233,'تحليل التكلفة والسعر'!$B$2:$B$700,0)),0))</f>
        <v/>
      </c>
    </row>
    <row r="10234" customFormat="false" ht="15" hidden="false" customHeight="false" outlineLevel="0" collapsed="false">
      <c r="A10234" s="103"/>
      <c r="B10234" s="104"/>
      <c r="C10234" s="104"/>
      <c r="E10234" s="107" t="str">
        <f aca="false">IF($C10234="","",IFERROR(INDEX(المنيو!$C$2:$C$500,MATCH($C10234,المنيو!$B$2:$B$500,0)),0))</f>
        <v/>
      </c>
      <c r="F10234" s="107" t="str">
        <f aca="false">IF($C10234="","",$D10234*$E10234)</f>
        <v/>
      </c>
      <c r="G10234" s="107" t="str">
        <f aca="false">IF($C10234="","",$D10234*IFERROR(INDEX('تحليل التكلفة والسعر'!$C$2:$C$700,MATCH($C10234,'تحليل التكلفة والسعر'!$B$2:$B$700,0)),0))</f>
        <v/>
      </c>
    </row>
    <row r="10235" customFormat="false" ht="15" hidden="false" customHeight="false" outlineLevel="0" collapsed="false">
      <c r="A10235" s="103"/>
      <c r="B10235" s="104"/>
      <c r="C10235" s="104"/>
      <c r="E10235" s="107" t="str">
        <f aca="false">IF($C10235="","",IFERROR(INDEX(المنيو!$C$2:$C$500,MATCH($C10235,المنيو!$B$2:$B$500,0)),0))</f>
        <v/>
      </c>
      <c r="F10235" s="107" t="str">
        <f aca="false">IF($C10235="","",$D10235*$E10235)</f>
        <v/>
      </c>
      <c r="G10235" s="107" t="str">
        <f aca="false">IF($C10235="","",$D10235*IFERROR(INDEX('تحليل التكلفة والسعر'!$C$2:$C$700,MATCH($C10235,'تحليل التكلفة والسعر'!$B$2:$B$700,0)),0))</f>
        <v/>
      </c>
    </row>
    <row r="10236" customFormat="false" ht="15" hidden="false" customHeight="false" outlineLevel="0" collapsed="false">
      <c r="A10236" s="103"/>
      <c r="B10236" s="104"/>
      <c r="C10236" s="104"/>
      <c r="E10236" s="107" t="str">
        <f aca="false">IF($C10236="","",IFERROR(INDEX(المنيو!$C$2:$C$500,MATCH($C10236,المنيو!$B$2:$B$500,0)),0))</f>
        <v/>
      </c>
      <c r="F10236" s="107" t="str">
        <f aca="false">IF($C10236="","",$D10236*$E10236)</f>
        <v/>
      </c>
      <c r="G10236" s="107" t="str">
        <f aca="false">IF($C10236="","",$D10236*IFERROR(INDEX('تحليل التكلفة والسعر'!$C$2:$C$700,MATCH($C10236,'تحليل التكلفة والسعر'!$B$2:$B$700,0)),0))</f>
        <v/>
      </c>
    </row>
    <row r="10237" customFormat="false" ht="15" hidden="false" customHeight="false" outlineLevel="0" collapsed="false">
      <c r="A10237" s="103"/>
      <c r="B10237" s="104"/>
      <c r="C10237" s="104"/>
      <c r="E10237" s="107" t="str">
        <f aca="false">IF($C10237="","",IFERROR(INDEX(المنيو!$C$2:$C$500,MATCH($C10237,المنيو!$B$2:$B$500,0)),0))</f>
        <v/>
      </c>
      <c r="F10237" s="107" t="str">
        <f aca="false">IF($C10237="","",$D10237*$E10237)</f>
        <v/>
      </c>
      <c r="G10237" s="107" t="str">
        <f aca="false">IF($C10237="","",$D10237*IFERROR(INDEX('تحليل التكلفة والسعر'!$C$2:$C$700,MATCH($C10237,'تحليل التكلفة والسعر'!$B$2:$B$700,0)),0))</f>
        <v/>
      </c>
    </row>
    <row r="10238" customFormat="false" ht="15" hidden="false" customHeight="false" outlineLevel="0" collapsed="false">
      <c r="A10238" s="103"/>
      <c r="B10238" s="104"/>
      <c r="C10238" s="104"/>
      <c r="E10238" s="107" t="str">
        <f aca="false">IF($C10238="","",IFERROR(INDEX(المنيو!$C$2:$C$500,MATCH($C10238,المنيو!$B$2:$B$500,0)),0))</f>
        <v/>
      </c>
      <c r="F10238" s="107" t="str">
        <f aca="false">IF($C10238="","",$D10238*$E10238)</f>
        <v/>
      </c>
      <c r="G10238" s="107" t="str">
        <f aca="false">IF($C10238="","",$D10238*IFERROR(INDEX('تحليل التكلفة والسعر'!$C$2:$C$700,MATCH($C10238,'تحليل التكلفة والسعر'!$B$2:$B$700,0)),0))</f>
        <v/>
      </c>
    </row>
    <row r="10239" customFormat="false" ht="15" hidden="false" customHeight="false" outlineLevel="0" collapsed="false">
      <c r="A10239" s="103"/>
      <c r="B10239" s="104"/>
      <c r="C10239" s="104"/>
      <c r="E10239" s="107" t="str">
        <f aca="false">IF($C10239="","",IFERROR(INDEX(المنيو!$C$2:$C$500,MATCH($C10239,المنيو!$B$2:$B$500,0)),0))</f>
        <v/>
      </c>
      <c r="F10239" s="107" t="str">
        <f aca="false">IF($C10239="","",$D10239*$E10239)</f>
        <v/>
      </c>
      <c r="G10239" s="107" t="str">
        <f aca="false">IF($C10239="","",$D10239*IFERROR(INDEX('تحليل التكلفة والسعر'!$C$2:$C$700,MATCH($C10239,'تحليل التكلفة والسعر'!$B$2:$B$700,0)),0))</f>
        <v/>
      </c>
    </row>
    <row r="10240" customFormat="false" ht="15" hidden="false" customHeight="false" outlineLevel="0" collapsed="false">
      <c r="A10240" s="103"/>
      <c r="B10240" s="104"/>
      <c r="C10240" s="104"/>
      <c r="E10240" s="107" t="str">
        <f aca="false">IF($C10240="","",IFERROR(INDEX(المنيو!$C$2:$C$500,MATCH($C10240,المنيو!$B$2:$B$500,0)),0))</f>
        <v/>
      </c>
      <c r="F10240" s="107" t="str">
        <f aca="false">IF($C10240="","",$D10240*$E10240)</f>
        <v/>
      </c>
      <c r="G10240" s="107" t="str">
        <f aca="false">IF($C10240="","",$D10240*IFERROR(INDEX('تحليل التكلفة والسعر'!$C$2:$C$700,MATCH($C10240,'تحليل التكلفة والسعر'!$B$2:$B$700,0)),0))</f>
        <v/>
      </c>
    </row>
    <row r="10241" customFormat="false" ht="15" hidden="false" customHeight="false" outlineLevel="0" collapsed="false">
      <c r="A10241" s="103"/>
      <c r="B10241" s="104"/>
      <c r="C10241" s="104"/>
      <c r="E10241" s="107" t="str">
        <f aca="false">IF($C10241="","",IFERROR(INDEX(المنيو!$C$2:$C$500,MATCH($C10241,المنيو!$B$2:$B$500,0)),0))</f>
        <v/>
      </c>
      <c r="F10241" s="107" t="str">
        <f aca="false">IF($C10241="","",$D10241*$E10241)</f>
        <v/>
      </c>
      <c r="G10241" s="107" t="str">
        <f aca="false">IF($C10241="","",$D10241*IFERROR(INDEX('تحليل التكلفة والسعر'!$C$2:$C$700,MATCH($C10241,'تحليل التكلفة والسعر'!$B$2:$B$700,0)),0))</f>
        <v/>
      </c>
    </row>
    <row r="10242" customFormat="false" ht="15" hidden="false" customHeight="false" outlineLevel="0" collapsed="false">
      <c r="A10242" s="103"/>
      <c r="B10242" s="104"/>
      <c r="C10242" s="104"/>
      <c r="E10242" s="107" t="str">
        <f aca="false">IF($C10242="","",IFERROR(INDEX(المنيو!$C$2:$C$500,MATCH($C10242,المنيو!$B$2:$B$500,0)),0))</f>
        <v/>
      </c>
      <c r="F10242" s="107" t="str">
        <f aca="false">IF($C10242="","",$D10242*$E10242)</f>
        <v/>
      </c>
      <c r="G10242" s="107" t="str">
        <f aca="false">IF($C10242="","",$D10242*IFERROR(INDEX('تحليل التكلفة والسعر'!$C$2:$C$700,MATCH($C10242,'تحليل التكلفة والسعر'!$B$2:$B$700,0)),0))</f>
        <v/>
      </c>
    </row>
    <row r="10243" customFormat="false" ht="15" hidden="false" customHeight="false" outlineLevel="0" collapsed="false">
      <c r="A10243" s="103"/>
      <c r="B10243" s="104"/>
      <c r="C10243" s="104"/>
      <c r="E10243" s="107" t="str">
        <f aca="false">IF($C10243="","",IFERROR(INDEX(المنيو!$C$2:$C$500,MATCH($C10243,المنيو!$B$2:$B$500,0)),0))</f>
        <v/>
      </c>
      <c r="F10243" s="107" t="str">
        <f aca="false">IF($C10243="","",$D10243*$E10243)</f>
        <v/>
      </c>
      <c r="G10243" s="107" t="str">
        <f aca="false">IF($C10243="","",$D10243*IFERROR(INDEX('تحليل التكلفة والسعر'!$C$2:$C$700,MATCH($C10243,'تحليل التكلفة والسعر'!$B$2:$B$700,0)),0))</f>
        <v/>
      </c>
    </row>
    <row r="10244" customFormat="false" ht="15" hidden="false" customHeight="false" outlineLevel="0" collapsed="false">
      <c r="A10244" s="103"/>
      <c r="B10244" s="104"/>
      <c r="C10244" s="104"/>
      <c r="E10244" s="107" t="str">
        <f aca="false">IF($C10244="","",IFERROR(INDEX(المنيو!$C$2:$C$500,MATCH($C10244,المنيو!$B$2:$B$500,0)),0))</f>
        <v/>
      </c>
      <c r="F10244" s="107" t="str">
        <f aca="false">IF($C10244="","",$D10244*$E10244)</f>
        <v/>
      </c>
      <c r="G10244" s="107" t="str">
        <f aca="false">IF($C10244="","",$D10244*IFERROR(INDEX('تحليل التكلفة والسعر'!$C$2:$C$700,MATCH($C10244,'تحليل التكلفة والسعر'!$B$2:$B$700,0)),0))</f>
        <v/>
      </c>
    </row>
    <row r="10245" customFormat="false" ht="15" hidden="false" customHeight="false" outlineLevel="0" collapsed="false">
      <c r="A10245" s="103"/>
      <c r="B10245" s="104"/>
      <c r="C10245" s="104"/>
      <c r="E10245" s="107" t="str">
        <f aca="false">IF($C10245="","",IFERROR(INDEX(المنيو!$C$2:$C$500,MATCH($C10245,المنيو!$B$2:$B$500,0)),0))</f>
        <v/>
      </c>
      <c r="F10245" s="107" t="str">
        <f aca="false">IF($C10245="","",$D10245*$E10245)</f>
        <v/>
      </c>
      <c r="G10245" s="107" t="str">
        <f aca="false">IF($C10245="","",$D10245*IFERROR(INDEX('تحليل التكلفة والسعر'!$C$2:$C$700,MATCH($C10245,'تحليل التكلفة والسعر'!$B$2:$B$700,0)),0))</f>
        <v/>
      </c>
    </row>
    <row r="10246" customFormat="false" ht="15" hidden="false" customHeight="false" outlineLevel="0" collapsed="false">
      <c r="A10246" s="103"/>
      <c r="B10246" s="104"/>
      <c r="C10246" s="104"/>
      <c r="E10246" s="107" t="str">
        <f aca="false">IF($C10246="","",IFERROR(INDEX(المنيو!$C$2:$C$500,MATCH($C10246,المنيو!$B$2:$B$500,0)),0))</f>
        <v/>
      </c>
      <c r="F10246" s="107" t="str">
        <f aca="false">IF($C10246="","",$D10246*$E10246)</f>
        <v/>
      </c>
      <c r="G10246" s="107" t="str">
        <f aca="false">IF($C10246="","",$D10246*IFERROR(INDEX('تحليل التكلفة والسعر'!$C$2:$C$700,MATCH($C10246,'تحليل التكلفة والسعر'!$B$2:$B$700,0)),0))</f>
        <v/>
      </c>
    </row>
    <row r="10247" customFormat="false" ht="15" hidden="false" customHeight="false" outlineLevel="0" collapsed="false">
      <c r="A10247" s="103"/>
      <c r="B10247" s="104"/>
      <c r="C10247" s="104"/>
      <c r="E10247" s="107" t="str">
        <f aca="false">IF($C10247="","",IFERROR(INDEX(المنيو!$C$2:$C$500,MATCH($C10247,المنيو!$B$2:$B$500,0)),0))</f>
        <v/>
      </c>
      <c r="F10247" s="107" t="str">
        <f aca="false">IF($C10247="","",$D10247*$E10247)</f>
        <v/>
      </c>
      <c r="G10247" s="107" t="str">
        <f aca="false">IF($C10247="","",$D10247*IFERROR(INDEX('تحليل التكلفة والسعر'!$C$2:$C$700,MATCH($C10247,'تحليل التكلفة والسعر'!$B$2:$B$700,0)),0))</f>
        <v/>
      </c>
    </row>
    <row r="10248" customFormat="false" ht="15" hidden="false" customHeight="false" outlineLevel="0" collapsed="false">
      <c r="A10248" s="103"/>
      <c r="B10248" s="104"/>
      <c r="C10248" s="104"/>
      <c r="E10248" s="107" t="str">
        <f aca="false">IF($C10248="","",IFERROR(INDEX(المنيو!$C$2:$C$500,MATCH($C10248,المنيو!$B$2:$B$500,0)),0))</f>
        <v/>
      </c>
      <c r="F10248" s="107" t="str">
        <f aca="false">IF($C10248="","",$D10248*$E10248)</f>
        <v/>
      </c>
      <c r="G10248" s="107" t="str">
        <f aca="false">IF($C10248="","",$D10248*IFERROR(INDEX('تحليل التكلفة والسعر'!$C$2:$C$700,MATCH($C10248,'تحليل التكلفة والسعر'!$B$2:$B$700,0)),0))</f>
        <v/>
      </c>
    </row>
    <row r="10249" customFormat="false" ht="15" hidden="false" customHeight="false" outlineLevel="0" collapsed="false">
      <c r="A10249" s="103"/>
      <c r="B10249" s="104"/>
      <c r="C10249" s="104"/>
      <c r="E10249" s="107" t="str">
        <f aca="false">IF($C10249="","",IFERROR(INDEX(المنيو!$C$2:$C$500,MATCH($C10249,المنيو!$B$2:$B$500,0)),0))</f>
        <v/>
      </c>
      <c r="F10249" s="107" t="str">
        <f aca="false">IF($C10249="","",$D10249*$E10249)</f>
        <v/>
      </c>
      <c r="G10249" s="107" t="str">
        <f aca="false">IF($C10249="","",$D10249*IFERROR(INDEX('تحليل التكلفة والسعر'!$C$2:$C$700,MATCH($C10249,'تحليل التكلفة والسعر'!$B$2:$B$700,0)),0))</f>
        <v/>
      </c>
    </row>
    <row r="10250" customFormat="false" ht="15" hidden="false" customHeight="false" outlineLevel="0" collapsed="false">
      <c r="A10250" s="103"/>
      <c r="B10250" s="104"/>
      <c r="C10250" s="104"/>
      <c r="E10250" s="107" t="str">
        <f aca="false">IF($C10250="","",IFERROR(INDEX(المنيو!$C$2:$C$500,MATCH($C10250,المنيو!$B$2:$B$500,0)),0))</f>
        <v/>
      </c>
      <c r="F10250" s="107" t="str">
        <f aca="false">IF($C10250="","",$D10250*$E10250)</f>
        <v/>
      </c>
      <c r="G10250" s="107" t="str">
        <f aca="false">IF($C10250="","",$D10250*IFERROR(INDEX('تحليل التكلفة والسعر'!$C$2:$C$700,MATCH($C10250,'تحليل التكلفة والسعر'!$B$2:$B$700,0)),0))</f>
        <v/>
      </c>
    </row>
    <row r="10251" customFormat="false" ht="15" hidden="false" customHeight="false" outlineLevel="0" collapsed="false">
      <c r="A10251" s="103"/>
      <c r="B10251" s="104"/>
      <c r="C10251" s="104"/>
      <c r="E10251" s="107" t="str">
        <f aca="false">IF($C10251="","",IFERROR(INDEX(المنيو!$C$2:$C$500,MATCH($C10251,المنيو!$B$2:$B$500,0)),0))</f>
        <v/>
      </c>
      <c r="F10251" s="107" t="str">
        <f aca="false">IF($C10251="","",$D10251*$E10251)</f>
        <v/>
      </c>
      <c r="G10251" s="107" t="str">
        <f aca="false">IF($C10251="","",$D10251*IFERROR(INDEX('تحليل التكلفة والسعر'!$C$2:$C$700,MATCH($C10251,'تحليل التكلفة والسعر'!$B$2:$B$700,0)),0))</f>
        <v/>
      </c>
    </row>
    <row r="10252" customFormat="false" ht="15" hidden="false" customHeight="false" outlineLevel="0" collapsed="false">
      <c r="A10252" s="103"/>
      <c r="B10252" s="104"/>
      <c r="C10252" s="104"/>
      <c r="E10252" s="107" t="str">
        <f aca="false">IF($C10252="","",IFERROR(INDEX(المنيو!$C$2:$C$500,MATCH($C10252,المنيو!$B$2:$B$500,0)),0))</f>
        <v/>
      </c>
      <c r="F10252" s="107" t="str">
        <f aca="false">IF($C10252="","",$D10252*$E10252)</f>
        <v/>
      </c>
      <c r="G10252" s="107" t="str">
        <f aca="false">IF($C10252="","",$D10252*IFERROR(INDEX('تحليل التكلفة والسعر'!$C$2:$C$700,MATCH($C10252,'تحليل التكلفة والسعر'!$B$2:$B$700,0)),0))</f>
        <v/>
      </c>
    </row>
    <row r="10253" customFormat="false" ht="15" hidden="false" customHeight="false" outlineLevel="0" collapsed="false">
      <c r="A10253" s="103"/>
      <c r="B10253" s="104"/>
      <c r="C10253" s="104"/>
      <c r="E10253" s="107" t="str">
        <f aca="false">IF($C10253="","",IFERROR(INDEX(المنيو!$C$2:$C$500,MATCH($C10253,المنيو!$B$2:$B$500,0)),0))</f>
        <v/>
      </c>
      <c r="F10253" s="107" t="str">
        <f aca="false">IF($C10253="","",$D10253*$E10253)</f>
        <v/>
      </c>
      <c r="G10253" s="107" t="str">
        <f aca="false">IF($C10253="","",$D10253*IFERROR(INDEX('تحليل التكلفة والسعر'!$C$2:$C$700,MATCH($C10253,'تحليل التكلفة والسعر'!$B$2:$B$700,0)),0))</f>
        <v/>
      </c>
    </row>
    <row r="10254" customFormat="false" ht="15" hidden="false" customHeight="false" outlineLevel="0" collapsed="false">
      <c r="A10254" s="103"/>
      <c r="B10254" s="104"/>
      <c r="C10254" s="104"/>
      <c r="E10254" s="107" t="str">
        <f aca="false">IF($C10254="","",IFERROR(INDEX(المنيو!$C$2:$C$500,MATCH($C10254,المنيو!$B$2:$B$500,0)),0))</f>
        <v/>
      </c>
      <c r="F10254" s="107" t="str">
        <f aca="false">IF($C10254="","",$D10254*$E10254)</f>
        <v/>
      </c>
      <c r="G10254" s="107" t="str">
        <f aca="false">IF($C10254="","",$D10254*IFERROR(INDEX('تحليل التكلفة والسعر'!$C$2:$C$700,MATCH($C10254,'تحليل التكلفة والسعر'!$B$2:$B$700,0)),0))</f>
        <v/>
      </c>
    </row>
    <row r="10255" customFormat="false" ht="15" hidden="false" customHeight="false" outlineLevel="0" collapsed="false">
      <c r="A10255" s="103"/>
      <c r="B10255" s="104"/>
      <c r="C10255" s="104"/>
      <c r="E10255" s="107" t="str">
        <f aca="false">IF($C10255="","",IFERROR(INDEX(المنيو!$C$2:$C$500,MATCH($C10255,المنيو!$B$2:$B$500,0)),0))</f>
        <v/>
      </c>
      <c r="F10255" s="107" t="str">
        <f aca="false">IF($C10255="","",$D10255*$E10255)</f>
        <v/>
      </c>
      <c r="G10255" s="107" t="str">
        <f aca="false">IF($C10255="","",$D10255*IFERROR(INDEX('تحليل التكلفة والسعر'!$C$2:$C$700,MATCH($C10255,'تحليل التكلفة والسعر'!$B$2:$B$700,0)),0))</f>
        <v/>
      </c>
    </row>
    <row r="10256" customFormat="false" ht="15" hidden="false" customHeight="false" outlineLevel="0" collapsed="false">
      <c r="A10256" s="103"/>
      <c r="B10256" s="104"/>
      <c r="C10256" s="104"/>
      <c r="E10256" s="107" t="str">
        <f aca="false">IF($C10256="","",IFERROR(INDEX(المنيو!$C$2:$C$500,MATCH($C10256,المنيو!$B$2:$B$500,0)),0))</f>
        <v/>
      </c>
      <c r="F10256" s="107" t="str">
        <f aca="false">IF($C10256="","",$D10256*$E10256)</f>
        <v/>
      </c>
      <c r="G10256" s="107" t="str">
        <f aca="false">IF($C10256="","",$D10256*IFERROR(INDEX('تحليل التكلفة والسعر'!$C$2:$C$700,MATCH($C10256,'تحليل التكلفة والسعر'!$B$2:$B$700,0)),0))</f>
        <v/>
      </c>
    </row>
    <row r="10257" customFormat="false" ht="15" hidden="false" customHeight="false" outlineLevel="0" collapsed="false">
      <c r="A10257" s="103"/>
      <c r="B10257" s="104"/>
      <c r="C10257" s="104"/>
      <c r="E10257" s="107" t="str">
        <f aca="false">IF($C10257="","",IFERROR(INDEX(المنيو!$C$2:$C$500,MATCH($C10257,المنيو!$B$2:$B$500,0)),0))</f>
        <v/>
      </c>
      <c r="F10257" s="107" t="str">
        <f aca="false">IF($C10257="","",$D10257*$E10257)</f>
        <v/>
      </c>
      <c r="G10257" s="107" t="str">
        <f aca="false">IF($C10257="","",$D10257*IFERROR(INDEX('تحليل التكلفة والسعر'!$C$2:$C$700,MATCH($C10257,'تحليل التكلفة والسعر'!$B$2:$B$700,0)),0))</f>
        <v/>
      </c>
    </row>
    <row r="10258" customFormat="false" ht="15" hidden="false" customHeight="false" outlineLevel="0" collapsed="false">
      <c r="A10258" s="103"/>
      <c r="B10258" s="104"/>
      <c r="C10258" s="104"/>
      <c r="E10258" s="107" t="str">
        <f aca="false">IF($C10258="","",IFERROR(INDEX(المنيو!$C$2:$C$500,MATCH($C10258,المنيو!$B$2:$B$500,0)),0))</f>
        <v/>
      </c>
      <c r="F10258" s="107" t="str">
        <f aca="false">IF($C10258="","",$D10258*$E10258)</f>
        <v/>
      </c>
      <c r="G10258" s="107" t="str">
        <f aca="false">IF($C10258="","",$D10258*IFERROR(INDEX('تحليل التكلفة والسعر'!$C$2:$C$700,MATCH($C10258,'تحليل التكلفة والسعر'!$B$2:$B$700,0)),0))</f>
        <v/>
      </c>
    </row>
    <row r="10259" customFormat="false" ht="15" hidden="false" customHeight="false" outlineLevel="0" collapsed="false">
      <c r="A10259" s="103"/>
      <c r="B10259" s="104"/>
      <c r="C10259" s="104"/>
      <c r="E10259" s="107" t="str">
        <f aca="false">IF($C10259="","",IFERROR(INDEX(المنيو!$C$2:$C$500,MATCH($C10259,المنيو!$B$2:$B$500,0)),0))</f>
        <v/>
      </c>
      <c r="F10259" s="107" t="str">
        <f aca="false">IF($C10259="","",$D10259*$E10259)</f>
        <v/>
      </c>
      <c r="G10259" s="107" t="str">
        <f aca="false">IF($C10259="","",$D10259*IFERROR(INDEX('تحليل التكلفة والسعر'!$C$2:$C$700,MATCH($C10259,'تحليل التكلفة والسعر'!$B$2:$B$700,0)),0))</f>
        <v/>
      </c>
    </row>
    <row r="10260" customFormat="false" ht="15" hidden="false" customHeight="false" outlineLevel="0" collapsed="false">
      <c r="A10260" s="103"/>
      <c r="B10260" s="104"/>
      <c r="C10260" s="104"/>
      <c r="E10260" s="107" t="str">
        <f aca="false">IF($C10260="","",IFERROR(INDEX(المنيو!$C$2:$C$500,MATCH($C10260,المنيو!$B$2:$B$500,0)),0))</f>
        <v/>
      </c>
      <c r="F10260" s="107" t="str">
        <f aca="false">IF($C10260="","",$D10260*$E10260)</f>
        <v/>
      </c>
      <c r="G10260" s="107" t="str">
        <f aca="false">IF($C10260="","",$D10260*IFERROR(INDEX('تحليل التكلفة والسعر'!$C$2:$C$700,MATCH($C10260,'تحليل التكلفة والسعر'!$B$2:$B$700,0)),0))</f>
        <v/>
      </c>
    </row>
    <row r="10261" customFormat="false" ht="15" hidden="false" customHeight="false" outlineLevel="0" collapsed="false">
      <c r="A10261" s="103"/>
      <c r="B10261" s="104"/>
      <c r="C10261" s="104"/>
      <c r="E10261" s="107" t="str">
        <f aca="false">IF($C10261="","",IFERROR(INDEX(المنيو!$C$2:$C$500,MATCH($C10261,المنيو!$B$2:$B$500,0)),0))</f>
        <v/>
      </c>
      <c r="F10261" s="107" t="str">
        <f aca="false">IF($C10261="","",$D10261*$E10261)</f>
        <v/>
      </c>
      <c r="G10261" s="107" t="str">
        <f aca="false">IF($C10261="","",$D10261*IFERROR(INDEX('تحليل التكلفة والسعر'!$C$2:$C$700,MATCH($C10261,'تحليل التكلفة والسعر'!$B$2:$B$700,0)),0))</f>
        <v/>
      </c>
    </row>
    <row r="10262" customFormat="false" ht="15" hidden="false" customHeight="false" outlineLevel="0" collapsed="false">
      <c r="A10262" s="103"/>
      <c r="B10262" s="104"/>
      <c r="C10262" s="104"/>
      <c r="E10262" s="107" t="str">
        <f aca="false">IF($C10262="","",IFERROR(INDEX(المنيو!$C$2:$C$500,MATCH($C10262,المنيو!$B$2:$B$500,0)),0))</f>
        <v/>
      </c>
      <c r="F10262" s="107" t="str">
        <f aca="false">IF($C10262="","",$D10262*$E10262)</f>
        <v/>
      </c>
      <c r="G10262" s="107" t="str">
        <f aca="false">IF($C10262="","",$D10262*IFERROR(INDEX('تحليل التكلفة والسعر'!$C$2:$C$700,MATCH($C10262,'تحليل التكلفة والسعر'!$B$2:$B$700,0)),0))</f>
        <v/>
      </c>
    </row>
    <row r="10263" customFormat="false" ht="15" hidden="false" customHeight="false" outlineLevel="0" collapsed="false">
      <c r="A10263" s="103"/>
      <c r="B10263" s="104"/>
      <c r="C10263" s="104"/>
      <c r="E10263" s="107" t="str">
        <f aca="false">IF($C10263="","",IFERROR(INDEX(المنيو!$C$2:$C$500,MATCH($C10263,المنيو!$B$2:$B$500,0)),0))</f>
        <v/>
      </c>
      <c r="F10263" s="107" t="str">
        <f aca="false">IF($C10263="","",$D10263*$E10263)</f>
        <v/>
      </c>
      <c r="G10263" s="107" t="str">
        <f aca="false">IF($C10263="","",$D10263*IFERROR(INDEX('تحليل التكلفة والسعر'!$C$2:$C$700,MATCH($C10263,'تحليل التكلفة والسعر'!$B$2:$B$700,0)),0))</f>
        <v/>
      </c>
    </row>
    <row r="10264" customFormat="false" ht="15" hidden="false" customHeight="false" outlineLevel="0" collapsed="false">
      <c r="A10264" s="103"/>
      <c r="B10264" s="104"/>
      <c r="C10264" s="104"/>
      <c r="E10264" s="107" t="str">
        <f aca="false">IF($C10264="","",IFERROR(INDEX(المنيو!$C$2:$C$500,MATCH($C10264,المنيو!$B$2:$B$500,0)),0))</f>
        <v/>
      </c>
      <c r="F10264" s="107" t="str">
        <f aca="false">IF($C10264="","",$D10264*$E10264)</f>
        <v/>
      </c>
      <c r="G10264" s="107" t="str">
        <f aca="false">IF($C10264="","",$D10264*IFERROR(INDEX('تحليل التكلفة والسعر'!$C$2:$C$700,MATCH($C10264,'تحليل التكلفة والسعر'!$B$2:$B$700,0)),0))</f>
        <v/>
      </c>
    </row>
    <row r="10265" customFormat="false" ht="15" hidden="false" customHeight="false" outlineLevel="0" collapsed="false">
      <c r="A10265" s="103"/>
      <c r="B10265" s="104"/>
      <c r="C10265" s="104"/>
      <c r="E10265" s="107" t="str">
        <f aca="false">IF($C10265="","",IFERROR(INDEX(المنيو!$C$2:$C$500,MATCH($C10265,المنيو!$B$2:$B$500,0)),0))</f>
        <v/>
      </c>
      <c r="F10265" s="107" t="str">
        <f aca="false">IF($C10265="","",$D10265*$E10265)</f>
        <v/>
      </c>
      <c r="G10265" s="107" t="str">
        <f aca="false">IF($C10265="","",$D10265*IFERROR(INDEX('تحليل التكلفة والسعر'!$C$2:$C$700,MATCH($C10265,'تحليل التكلفة والسعر'!$B$2:$B$700,0)),0))</f>
        <v/>
      </c>
    </row>
    <row r="10266" customFormat="false" ht="15" hidden="false" customHeight="false" outlineLevel="0" collapsed="false">
      <c r="A10266" s="103"/>
      <c r="B10266" s="104"/>
      <c r="C10266" s="104"/>
      <c r="E10266" s="107" t="str">
        <f aca="false">IF($C10266="","",IFERROR(INDEX(المنيو!$C$2:$C$500,MATCH($C10266,المنيو!$B$2:$B$500,0)),0))</f>
        <v/>
      </c>
      <c r="F10266" s="107" t="str">
        <f aca="false">IF($C10266="","",$D10266*$E10266)</f>
        <v/>
      </c>
      <c r="G10266" s="107" t="str">
        <f aca="false">IF($C10266="","",$D10266*IFERROR(INDEX('تحليل التكلفة والسعر'!$C$2:$C$700,MATCH($C10266,'تحليل التكلفة والسعر'!$B$2:$B$700,0)),0))</f>
        <v/>
      </c>
    </row>
    <row r="10267" customFormat="false" ht="15" hidden="false" customHeight="false" outlineLevel="0" collapsed="false">
      <c r="A10267" s="103"/>
      <c r="B10267" s="104"/>
      <c r="C10267" s="104"/>
      <c r="E10267" s="107" t="str">
        <f aca="false">IF($C10267="","",IFERROR(INDEX(المنيو!$C$2:$C$500,MATCH($C10267,المنيو!$B$2:$B$500,0)),0))</f>
        <v/>
      </c>
      <c r="F10267" s="107" t="str">
        <f aca="false">IF($C10267="","",$D10267*$E10267)</f>
        <v/>
      </c>
      <c r="G10267" s="107" t="str">
        <f aca="false">IF($C10267="","",$D10267*IFERROR(INDEX('تحليل التكلفة والسعر'!$C$2:$C$700,MATCH($C10267,'تحليل التكلفة والسعر'!$B$2:$B$700,0)),0))</f>
        <v/>
      </c>
    </row>
    <row r="10268" customFormat="false" ht="15" hidden="false" customHeight="false" outlineLevel="0" collapsed="false">
      <c r="A10268" s="103"/>
      <c r="B10268" s="104"/>
      <c r="C10268" s="104"/>
      <c r="E10268" s="107" t="str">
        <f aca="false">IF($C10268="","",IFERROR(INDEX(المنيو!$C$2:$C$500,MATCH($C10268,المنيو!$B$2:$B$500,0)),0))</f>
        <v/>
      </c>
      <c r="F10268" s="107" t="str">
        <f aca="false">IF($C10268="","",$D10268*$E10268)</f>
        <v/>
      </c>
      <c r="G10268" s="107" t="str">
        <f aca="false">IF($C10268="","",$D10268*IFERROR(INDEX('تحليل التكلفة والسعر'!$C$2:$C$700,MATCH($C10268,'تحليل التكلفة والسعر'!$B$2:$B$700,0)),0))</f>
        <v/>
      </c>
    </row>
    <row r="10269" customFormat="false" ht="15" hidden="false" customHeight="false" outlineLevel="0" collapsed="false">
      <c r="A10269" s="103"/>
      <c r="B10269" s="104"/>
      <c r="C10269" s="104"/>
      <c r="E10269" s="107" t="str">
        <f aca="false">IF($C10269="","",IFERROR(INDEX(المنيو!$C$2:$C$500,MATCH($C10269,المنيو!$B$2:$B$500,0)),0))</f>
        <v/>
      </c>
      <c r="F10269" s="107" t="str">
        <f aca="false">IF($C10269="","",$D10269*$E10269)</f>
        <v/>
      </c>
      <c r="G10269" s="107" t="str">
        <f aca="false">IF($C10269="","",$D10269*IFERROR(INDEX('تحليل التكلفة والسعر'!$C$2:$C$700,MATCH($C10269,'تحليل التكلفة والسعر'!$B$2:$B$700,0)),0))</f>
        <v/>
      </c>
    </row>
    <row r="10270" customFormat="false" ht="15" hidden="false" customHeight="false" outlineLevel="0" collapsed="false">
      <c r="A10270" s="103"/>
      <c r="B10270" s="104"/>
      <c r="C10270" s="104"/>
      <c r="E10270" s="107" t="str">
        <f aca="false">IF($C10270="","",IFERROR(INDEX(المنيو!$C$2:$C$500,MATCH($C10270,المنيو!$B$2:$B$500,0)),0))</f>
        <v/>
      </c>
      <c r="F10270" s="107" t="str">
        <f aca="false">IF($C10270="","",$D10270*$E10270)</f>
        <v/>
      </c>
      <c r="G10270" s="107" t="str">
        <f aca="false">IF($C10270="","",$D10270*IFERROR(INDEX('تحليل التكلفة والسعر'!$C$2:$C$700,MATCH($C10270,'تحليل التكلفة والسعر'!$B$2:$B$700,0)),0))</f>
        <v/>
      </c>
    </row>
    <row r="10271" customFormat="false" ht="15" hidden="false" customHeight="false" outlineLevel="0" collapsed="false">
      <c r="A10271" s="103"/>
      <c r="B10271" s="104"/>
      <c r="C10271" s="104"/>
      <c r="E10271" s="107" t="str">
        <f aca="false">IF($C10271="","",IFERROR(INDEX(المنيو!$C$2:$C$500,MATCH($C10271,المنيو!$B$2:$B$500,0)),0))</f>
        <v/>
      </c>
      <c r="F10271" s="107" t="str">
        <f aca="false">IF($C10271="","",$D10271*$E10271)</f>
        <v/>
      </c>
      <c r="G10271" s="107" t="str">
        <f aca="false">IF($C10271="","",$D10271*IFERROR(INDEX('تحليل التكلفة والسعر'!$C$2:$C$700,MATCH($C10271,'تحليل التكلفة والسعر'!$B$2:$B$700,0)),0))</f>
        <v/>
      </c>
    </row>
    <row r="10272" customFormat="false" ht="15" hidden="false" customHeight="false" outlineLevel="0" collapsed="false">
      <c r="A10272" s="103"/>
      <c r="B10272" s="104"/>
      <c r="C10272" s="104"/>
      <c r="E10272" s="107" t="str">
        <f aca="false">IF($C10272="","",IFERROR(INDEX(المنيو!$C$2:$C$500,MATCH($C10272,المنيو!$B$2:$B$500,0)),0))</f>
        <v/>
      </c>
      <c r="F10272" s="107" t="str">
        <f aca="false">IF($C10272="","",$D10272*$E10272)</f>
        <v/>
      </c>
      <c r="G10272" s="107" t="str">
        <f aca="false">IF($C10272="","",$D10272*IFERROR(INDEX('تحليل التكلفة والسعر'!$C$2:$C$700,MATCH($C10272,'تحليل التكلفة والسعر'!$B$2:$B$700,0)),0))</f>
        <v/>
      </c>
    </row>
    <row r="10273" customFormat="false" ht="15" hidden="false" customHeight="false" outlineLevel="0" collapsed="false">
      <c r="A10273" s="103"/>
      <c r="B10273" s="104"/>
      <c r="C10273" s="104"/>
      <c r="E10273" s="107" t="str">
        <f aca="false">IF($C10273="","",IFERROR(INDEX(المنيو!$C$2:$C$500,MATCH($C10273,المنيو!$B$2:$B$500,0)),0))</f>
        <v/>
      </c>
      <c r="F10273" s="107" t="str">
        <f aca="false">IF($C10273="","",$D10273*$E10273)</f>
        <v/>
      </c>
      <c r="G10273" s="107" t="str">
        <f aca="false">IF($C10273="","",$D10273*IFERROR(INDEX('تحليل التكلفة والسعر'!$C$2:$C$700,MATCH($C10273,'تحليل التكلفة والسعر'!$B$2:$B$700,0)),0))</f>
        <v/>
      </c>
    </row>
    <row r="10274" customFormat="false" ht="15" hidden="false" customHeight="false" outlineLevel="0" collapsed="false">
      <c r="A10274" s="103"/>
      <c r="B10274" s="104"/>
      <c r="C10274" s="104"/>
      <c r="E10274" s="107" t="str">
        <f aca="false">IF($C10274="","",IFERROR(INDEX(المنيو!$C$2:$C$500,MATCH($C10274,المنيو!$B$2:$B$500,0)),0))</f>
        <v/>
      </c>
      <c r="F10274" s="107" t="str">
        <f aca="false">IF($C10274="","",$D10274*$E10274)</f>
        <v/>
      </c>
      <c r="G10274" s="107" t="str">
        <f aca="false">IF($C10274="","",$D10274*IFERROR(INDEX('تحليل التكلفة والسعر'!$C$2:$C$700,MATCH($C10274,'تحليل التكلفة والسعر'!$B$2:$B$700,0)),0))</f>
        <v/>
      </c>
    </row>
    <row r="10275" customFormat="false" ht="15" hidden="false" customHeight="false" outlineLevel="0" collapsed="false">
      <c r="A10275" s="103"/>
      <c r="B10275" s="104"/>
      <c r="C10275" s="104"/>
      <c r="E10275" s="107" t="str">
        <f aca="false">IF($C10275="","",IFERROR(INDEX(المنيو!$C$2:$C$500,MATCH($C10275,المنيو!$B$2:$B$500,0)),0))</f>
        <v/>
      </c>
      <c r="F10275" s="107" t="str">
        <f aca="false">IF($C10275="","",$D10275*$E10275)</f>
        <v/>
      </c>
      <c r="G10275" s="107" t="str">
        <f aca="false">IF($C10275="","",$D10275*IFERROR(INDEX('تحليل التكلفة والسعر'!$C$2:$C$700,MATCH($C10275,'تحليل التكلفة والسعر'!$B$2:$B$700,0)),0))</f>
        <v/>
      </c>
    </row>
    <row r="10276" customFormat="false" ht="15" hidden="false" customHeight="false" outlineLevel="0" collapsed="false">
      <c r="A10276" s="103"/>
      <c r="B10276" s="104"/>
      <c r="C10276" s="104"/>
      <c r="E10276" s="107" t="str">
        <f aca="false">IF($C10276="","",IFERROR(INDEX(المنيو!$C$2:$C$500,MATCH($C10276,المنيو!$B$2:$B$500,0)),0))</f>
        <v/>
      </c>
      <c r="F10276" s="107" t="str">
        <f aca="false">IF($C10276="","",$D10276*$E10276)</f>
        <v/>
      </c>
      <c r="G10276" s="107" t="str">
        <f aca="false">IF($C10276="","",$D10276*IFERROR(INDEX('تحليل التكلفة والسعر'!$C$2:$C$700,MATCH($C10276,'تحليل التكلفة والسعر'!$B$2:$B$700,0)),0))</f>
        <v/>
      </c>
    </row>
    <row r="10277" customFormat="false" ht="15" hidden="false" customHeight="false" outlineLevel="0" collapsed="false">
      <c r="A10277" s="103"/>
      <c r="B10277" s="104"/>
      <c r="C10277" s="104"/>
      <c r="E10277" s="107" t="str">
        <f aca="false">IF($C10277="","",IFERROR(INDEX(المنيو!$C$2:$C$500,MATCH($C10277,المنيو!$B$2:$B$500,0)),0))</f>
        <v/>
      </c>
      <c r="F10277" s="107" t="str">
        <f aca="false">IF($C10277="","",$D10277*$E10277)</f>
        <v/>
      </c>
      <c r="G10277" s="107" t="str">
        <f aca="false">IF($C10277="","",$D10277*IFERROR(INDEX('تحليل التكلفة والسعر'!$C$2:$C$700,MATCH($C10277,'تحليل التكلفة والسعر'!$B$2:$B$700,0)),0))</f>
        <v/>
      </c>
    </row>
    <row r="10278" customFormat="false" ht="15" hidden="false" customHeight="false" outlineLevel="0" collapsed="false">
      <c r="A10278" s="103"/>
      <c r="B10278" s="104"/>
      <c r="C10278" s="104"/>
      <c r="E10278" s="107" t="str">
        <f aca="false">IF($C10278="","",IFERROR(INDEX(المنيو!$C$2:$C$500,MATCH($C10278,المنيو!$B$2:$B$500,0)),0))</f>
        <v/>
      </c>
      <c r="F10278" s="107" t="str">
        <f aca="false">IF($C10278="","",$D10278*$E10278)</f>
        <v/>
      </c>
      <c r="G10278" s="107" t="str">
        <f aca="false">IF($C10278="","",$D10278*IFERROR(INDEX('تحليل التكلفة والسعر'!$C$2:$C$700,MATCH($C10278,'تحليل التكلفة والسعر'!$B$2:$B$700,0)),0))</f>
        <v/>
      </c>
    </row>
    <row r="10279" customFormat="false" ht="15" hidden="false" customHeight="false" outlineLevel="0" collapsed="false">
      <c r="A10279" s="103"/>
      <c r="B10279" s="104"/>
      <c r="C10279" s="104"/>
      <c r="E10279" s="107" t="str">
        <f aca="false">IF($C10279="","",IFERROR(INDEX(المنيو!$C$2:$C$500,MATCH($C10279,المنيو!$B$2:$B$500,0)),0))</f>
        <v/>
      </c>
      <c r="F10279" s="107" t="str">
        <f aca="false">IF($C10279="","",$D10279*$E10279)</f>
        <v/>
      </c>
      <c r="G10279" s="107" t="str">
        <f aca="false">IF($C10279="","",$D10279*IFERROR(INDEX('تحليل التكلفة والسعر'!$C$2:$C$700,MATCH($C10279,'تحليل التكلفة والسعر'!$B$2:$B$700,0)),0))</f>
        <v/>
      </c>
    </row>
    <row r="10280" customFormat="false" ht="15" hidden="false" customHeight="false" outlineLevel="0" collapsed="false">
      <c r="A10280" s="103"/>
      <c r="B10280" s="104"/>
      <c r="C10280" s="104"/>
      <c r="E10280" s="107" t="str">
        <f aca="false">IF($C10280="","",IFERROR(INDEX(المنيو!$C$2:$C$500,MATCH($C10280,المنيو!$B$2:$B$500,0)),0))</f>
        <v/>
      </c>
      <c r="F10280" s="107" t="str">
        <f aca="false">IF($C10280="","",$D10280*$E10280)</f>
        <v/>
      </c>
      <c r="G10280" s="107" t="str">
        <f aca="false">IF($C10280="","",$D10280*IFERROR(INDEX('تحليل التكلفة والسعر'!$C$2:$C$700,MATCH($C10280,'تحليل التكلفة والسعر'!$B$2:$B$700,0)),0))</f>
        <v/>
      </c>
    </row>
    <row r="10281" customFormat="false" ht="15" hidden="false" customHeight="false" outlineLevel="0" collapsed="false">
      <c r="A10281" s="103"/>
      <c r="B10281" s="104"/>
      <c r="C10281" s="104"/>
      <c r="E10281" s="107" t="str">
        <f aca="false">IF($C10281="","",IFERROR(INDEX(المنيو!$C$2:$C$500,MATCH($C10281,المنيو!$B$2:$B$500,0)),0))</f>
        <v/>
      </c>
      <c r="F10281" s="107" t="str">
        <f aca="false">IF($C10281="","",$D10281*$E10281)</f>
        <v/>
      </c>
      <c r="G10281" s="107" t="str">
        <f aca="false">IF($C10281="","",$D10281*IFERROR(INDEX('تحليل التكلفة والسعر'!$C$2:$C$700,MATCH($C10281,'تحليل التكلفة والسعر'!$B$2:$B$700,0)),0))</f>
        <v/>
      </c>
    </row>
    <row r="10282" customFormat="false" ht="15" hidden="false" customHeight="false" outlineLevel="0" collapsed="false">
      <c r="A10282" s="103"/>
      <c r="B10282" s="104"/>
      <c r="C10282" s="104"/>
      <c r="E10282" s="107" t="str">
        <f aca="false">IF($C10282="","",IFERROR(INDEX(المنيو!$C$2:$C$500,MATCH($C10282,المنيو!$B$2:$B$500,0)),0))</f>
        <v/>
      </c>
      <c r="F10282" s="107" t="str">
        <f aca="false">IF($C10282="","",$D10282*$E10282)</f>
        <v/>
      </c>
      <c r="G10282" s="107" t="str">
        <f aca="false">IF($C10282="","",$D10282*IFERROR(INDEX('تحليل التكلفة والسعر'!$C$2:$C$700,MATCH($C10282,'تحليل التكلفة والسعر'!$B$2:$B$700,0)),0))</f>
        <v/>
      </c>
    </row>
    <row r="10283" customFormat="false" ht="15" hidden="false" customHeight="false" outlineLevel="0" collapsed="false">
      <c r="A10283" s="103"/>
      <c r="B10283" s="104"/>
      <c r="C10283" s="104"/>
      <c r="E10283" s="107" t="str">
        <f aca="false">IF($C10283="","",IFERROR(INDEX(المنيو!$C$2:$C$500,MATCH($C10283,المنيو!$B$2:$B$500,0)),0))</f>
        <v/>
      </c>
      <c r="F10283" s="107" t="str">
        <f aca="false">IF($C10283="","",$D10283*$E10283)</f>
        <v/>
      </c>
      <c r="G10283" s="107" t="str">
        <f aca="false">IF($C10283="","",$D10283*IFERROR(INDEX('تحليل التكلفة والسعر'!$C$2:$C$700,MATCH($C10283,'تحليل التكلفة والسعر'!$B$2:$B$700,0)),0))</f>
        <v/>
      </c>
    </row>
    <row r="10284" customFormat="false" ht="15" hidden="false" customHeight="false" outlineLevel="0" collapsed="false">
      <c r="A10284" s="103"/>
      <c r="B10284" s="104"/>
      <c r="C10284" s="104"/>
      <c r="E10284" s="107" t="str">
        <f aca="false">IF($C10284="","",IFERROR(INDEX(المنيو!$C$2:$C$500,MATCH($C10284,المنيو!$B$2:$B$500,0)),0))</f>
        <v/>
      </c>
      <c r="F10284" s="107" t="str">
        <f aca="false">IF($C10284="","",$D10284*$E10284)</f>
        <v/>
      </c>
      <c r="G10284" s="107" t="str">
        <f aca="false">IF($C10284="","",$D10284*IFERROR(INDEX('تحليل التكلفة والسعر'!$C$2:$C$700,MATCH($C10284,'تحليل التكلفة والسعر'!$B$2:$B$700,0)),0))</f>
        <v/>
      </c>
    </row>
    <row r="10285" customFormat="false" ht="15" hidden="false" customHeight="false" outlineLevel="0" collapsed="false">
      <c r="A10285" s="103"/>
      <c r="B10285" s="104"/>
      <c r="C10285" s="104"/>
      <c r="E10285" s="107" t="str">
        <f aca="false">IF($C10285="","",IFERROR(INDEX(المنيو!$C$2:$C$500,MATCH($C10285,المنيو!$B$2:$B$500,0)),0))</f>
        <v/>
      </c>
      <c r="F10285" s="107" t="str">
        <f aca="false">IF($C10285="","",$D10285*$E10285)</f>
        <v/>
      </c>
      <c r="G10285" s="107" t="str">
        <f aca="false">IF($C10285="","",$D10285*IFERROR(INDEX('تحليل التكلفة والسعر'!$C$2:$C$700,MATCH($C10285,'تحليل التكلفة والسعر'!$B$2:$B$700,0)),0))</f>
        <v/>
      </c>
    </row>
    <row r="10286" customFormat="false" ht="15" hidden="false" customHeight="false" outlineLevel="0" collapsed="false">
      <c r="A10286" s="103"/>
      <c r="B10286" s="104"/>
      <c r="C10286" s="104"/>
      <c r="E10286" s="107" t="str">
        <f aca="false">IF($C10286="","",IFERROR(INDEX(المنيو!$C$2:$C$500,MATCH($C10286,المنيو!$B$2:$B$500,0)),0))</f>
        <v/>
      </c>
      <c r="F10286" s="107" t="str">
        <f aca="false">IF($C10286="","",$D10286*$E10286)</f>
        <v/>
      </c>
      <c r="G10286" s="107" t="str">
        <f aca="false">IF($C10286="","",$D10286*IFERROR(INDEX('تحليل التكلفة والسعر'!$C$2:$C$700,MATCH($C10286,'تحليل التكلفة والسعر'!$B$2:$B$700,0)),0))</f>
        <v/>
      </c>
    </row>
    <row r="10287" customFormat="false" ht="15" hidden="false" customHeight="false" outlineLevel="0" collapsed="false">
      <c r="A10287" s="103"/>
      <c r="B10287" s="104"/>
      <c r="C10287" s="104"/>
      <c r="E10287" s="107" t="str">
        <f aca="false">IF($C10287="","",IFERROR(INDEX(المنيو!$C$2:$C$500,MATCH($C10287,المنيو!$B$2:$B$500,0)),0))</f>
        <v/>
      </c>
      <c r="F10287" s="107" t="str">
        <f aca="false">IF($C10287="","",$D10287*$E10287)</f>
        <v/>
      </c>
      <c r="G10287" s="107" t="str">
        <f aca="false">IF($C10287="","",$D10287*IFERROR(INDEX('تحليل التكلفة والسعر'!$C$2:$C$700,MATCH($C10287,'تحليل التكلفة والسعر'!$B$2:$B$700,0)),0))</f>
        <v/>
      </c>
    </row>
    <row r="10288" customFormat="false" ht="15" hidden="false" customHeight="false" outlineLevel="0" collapsed="false">
      <c r="A10288" s="103"/>
      <c r="B10288" s="104"/>
      <c r="C10288" s="104"/>
      <c r="E10288" s="107" t="str">
        <f aca="false">IF($C10288="","",IFERROR(INDEX(المنيو!$C$2:$C$500,MATCH($C10288,المنيو!$B$2:$B$500,0)),0))</f>
        <v/>
      </c>
      <c r="F10288" s="107" t="str">
        <f aca="false">IF($C10288="","",$D10288*$E10288)</f>
        <v/>
      </c>
      <c r="G10288" s="107" t="str">
        <f aca="false">IF($C10288="","",$D10288*IFERROR(INDEX('تحليل التكلفة والسعر'!$C$2:$C$700,MATCH($C10288,'تحليل التكلفة والسعر'!$B$2:$B$700,0)),0))</f>
        <v/>
      </c>
    </row>
    <row r="10289" customFormat="false" ht="15" hidden="false" customHeight="false" outlineLevel="0" collapsed="false">
      <c r="A10289" s="103"/>
      <c r="B10289" s="104"/>
      <c r="C10289" s="104"/>
      <c r="E10289" s="107" t="str">
        <f aca="false">IF($C10289="","",IFERROR(INDEX(المنيو!$C$2:$C$500,MATCH($C10289,المنيو!$B$2:$B$500,0)),0))</f>
        <v/>
      </c>
      <c r="F10289" s="107" t="str">
        <f aca="false">IF($C10289="","",$D10289*$E10289)</f>
        <v/>
      </c>
      <c r="G10289" s="107" t="str">
        <f aca="false">IF($C10289="","",$D10289*IFERROR(INDEX('تحليل التكلفة والسعر'!$C$2:$C$700,MATCH($C10289,'تحليل التكلفة والسعر'!$B$2:$B$700,0)),0))</f>
        <v/>
      </c>
    </row>
    <row r="10290" customFormat="false" ht="15" hidden="false" customHeight="false" outlineLevel="0" collapsed="false">
      <c r="A10290" s="103"/>
      <c r="B10290" s="104"/>
      <c r="C10290" s="104"/>
      <c r="E10290" s="107" t="str">
        <f aca="false">IF($C10290="","",IFERROR(INDEX(المنيو!$C$2:$C$500,MATCH($C10290,المنيو!$B$2:$B$500,0)),0))</f>
        <v/>
      </c>
      <c r="F10290" s="107" t="str">
        <f aca="false">IF($C10290="","",$D10290*$E10290)</f>
        <v/>
      </c>
      <c r="G10290" s="107" t="str">
        <f aca="false">IF($C10290="","",$D10290*IFERROR(INDEX('تحليل التكلفة والسعر'!$C$2:$C$700,MATCH($C10290,'تحليل التكلفة والسعر'!$B$2:$B$700,0)),0))</f>
        <v/>
      </c>
    </row>
    <row r="10291" customFormat="false" ht="15" hidden="false" customHeight="false" outlineLevel="0" collapsed="false">
      <c r="A10291" s="103"/>
      <c r="B10291" s="104"/>
      <c r="C10291" s="104"/>
      <c r="E10291" s="107" t="str">
        <f aca="false">IF($C10291="","",IFERROR(INDEX(المنيو!$C$2:$C$500,MATCH($C10291,المنيو!$B$2:$B$500,0)),0))</f>
        <v/>
      </c>
      <c r="F10291" s="107" t="str">
        <f aca="false">IF($C10291="","",$D10291*$E10291)</f>
        <v/>
      </c>
      <c r="G10291" s="107" t="str">
        <f aca="false">IF($C10291="","",$D10291*IFERROR(INDEX('تحليل التكلفة والسعر'!$C$2:$C$700,MATCH($C10291,'تحليل التكلفة والسعر'!$B$2:$B$700,0)),0))</f>
        <v/>
      </c>
    </row>
    <row r="10292" customFormat="false" ht="15" hidden="false" customHeight="false" outlineLevel="0" collapsed="false">
      <c r="A10292" s="103"/>
      <c r="B10292" s="104"/>
      <c r="C10292" s="104"/>
      <c r="E10292" s="107" t="str">
        <f aca="false">IF($C10292="","",IFERROR(INDEX(المنيو!$C$2:$C$500,MATCH($C10292,المنيو!$B$2:$B$500,0)),0))</f>
        <v/>
      </c>
      <c r="F10292" s="107" t="str">
        <f aca="false">IF($C10292="","",$D10292*$E10292)</f>
        <v/>
      </c>
      <c r="G10292" s="107" t="str">
        <f aca="false">IF($C10292="","",$D10292*IFERROR(INDEX('تحليل التكلفة والسعر'!$C$2:$C$700,MATCH($C10292,'تحليل التكلفة والسعر'!$B$2:$B$700,0)),0))</f>
        <v/>
      </c>
    </row>
    <row r="10293" customFormat="false" ht="15" hidden="false" customHeight="false" outlineLevel="0" collapsed="false">
      <c r="A10293" s="103"/>
      <c r="B10293" s="104"/>
      <c r="C10293" s="104"/>
      <c r="E10293" s="107" t="str">
        <f aca="false">IF($C10293="","",IFERROR(INDEX(المنيو!$C$2:$C$500,MATCH($C10293,المنيو!$B$2:$B$500,0)),0))</f>
        <v/>
      </c>
      <c r="F10293" s="107" t="str">
        <f aca="false">IF($C10293="","",$D10293*$E10293)</f>
        <v/>
      </c>
      <c r="G10293" s="107" t="str">
        <f aca="false">IF($C10293="","",$D10293*IFERROR(INDEX('تحليل التكلفة والسعر'!$C$2:$C$700,MATCH($C10293,'تحليل التكلفة والسعر'!$B$2:$B$700,0)),0))</f>
        <v/>
      </c>
    </row>
    <row r="10294" customFormat="false" ht="15" hidden="false" customHeight="false" outlineLevel="0" collapsed="false">
      <c r="A10294" s="103"/>
      <c r="B10294" s="104"/>
      <c r="C10294" s="104"/>
      <c r="E10294" s="107" t="str">
        <f aca="false">IF($C10294="","",IFERROR(INDEX(المنيو!$C$2:$C$500,MATCH($C10294,المنيو!$B$2:$B$500,0)),0))</f>
        <v/>
      </c>
      <c r="F10294" s="107" t="str">
        <f aca="false">IF($C10294="","",$D10294*$E10294)</f>
        <v/>
      </c>
      <c r="G10294" s="107" t="str">
        <f aca="false">IF($C10294="","",$D10294*IFERROR(INDEX('تحليل التكلفة والسعر'!$C$2:$C$700,MATCH($C10294,'تحليل التكلفة والسعر'!$B$2:$B$700,0)),0))</f>
        <v/>
      </c>
    </row>
    <row r="10295" customFormat="false" ht="15" hidden="false" customHeight="false" outlineLevel="0" collapsed="false">
      <c r="A10295" s="103"/>
      <c r="B10295" s="104"/>
      <c r="C10295" s="104"/>
      <c r="E10295" s="107" t="str">
        <f aca="false">IF($C10295="","",IFERROR(INDEX(المنيو!$C$2:$C$500,MATCH($C10295,المنيو!$B$2:$B$500,0)),0))</f>
        <v/>
      </c>
      <c r="F10295" s="107" t="str">
        <f aca="false">IF($C10295="","",$D10295*$E10295)</f>
        <v/>
      </c>
      <c r="G10295" s="107" t="str">
        <f aca="false">IF($C10295="","",$D10295*IFERROR(INDEX('تحليل التكلفة والسعر'!$C$2:$C$700,MATCH($C10295,'تحليل التكلفة والسعر'!$B$2:$B$700,0)),0))</f>
        <v/>
      </c>
    </row>
    <row r="10296" customFormat="false" ht="15" hidden="false" customHeight="false" outlineLevel="0" collapsed="false">
      <c r="A10296" s="103"/>
      <c r="B10296" s="104"/>
      <c r="C10296" s="104"/>
      <c r="E10296" s="107" t="str">
        <f aca="false">IF($C10296="","",IFERROR(INDEX(المنيو!$C$2:$C$500,MATCH($C10296,المنيو!$B$2:$B$500,0)),0))</f>
        <v/>
      </c>
      <c r="F10296" s="107" t="str">
        <f aca="false">IF($C10296="","",$D10296*$E10296)</f>
        <v/>
      </c>
      <c r="G10296" s="107" t="str">
        <f aca="false">IF($C10296="","",$D10296*IFERROR(INDEX('تحليل التكلفة والسعر'!$C$2:$C$700,MATCH($C10296,'تحليل التكلفة والسعر'!$B$2:$B$700,0)),0))</f>
        <v/>
      </c>
    </row>
    <row r="10297" customFormat="false" ht="15" hidden="false" customHeight="false" outlineLevel="0" collapsed="false">
      <c r="A10297" s="103"/>
      <c r="B10297" s="104"/>
      <c r="C10297" s="104"/>
      <c r="E10297" s="107" t="str">
        <f aca="false">IF($C10297="","",IFERROR(INDEX(المنيو!$C$2:$C$500,MATCH($C10297,المنيو!$B$2:$B$500,0)),0))</f>
        <v/>
      </c>
      <c r="F10297" s="107" t="str">
        <f aca="false">IF($C10297="","",$D10297*$E10297)</f>
        <v/>
      </c>
      <c r="G10297" s="107" t="str">
        <f aca="false">IF($C10297="","",$D10297*IFERROR(INDEX('تحليل التكلفة والسعر'!$C$2:$C$700,MATCH($C10297,'تحليل التكلفة والسعر'!$B$2:$B$700,0)),0))</f>
        <v/>
      </c>
    </row>
    <row r="10298" customFormat="false" ht="15" hidden="false" customHeight="false" outlineLevel="0" collapsed="false">
      <c r="A10298" s="103"/>
      <c r="B10298" s="104"/>
      <c r="C10298" s="104"/>
      <c r="E10298" s="107" t="str">
        <f aca="false">IF($C10298="","",IFERROR(INDEX(المنيو!$C$2:$C$500,MATCH($C10298,المنيو!$B$2:$B$500,0)),0))</f>
        <v/>
      </c>
      <c r="F10298" s="107" t="str">
        <f aca="false">IF($C10298="","",$D10298*$E10298)</f>
        <v/>
      </c>
      <c r="G10298" s="107" t="str">
        <f aca="false">IF($C10298="","",$D10298*IFERROR(INDEX('تحليل التكلفة والسعر'!$C$2:$C$700,MATCH($C10298,'تحليل التكلفة والسعر'!$B$2:$B$700,0)),0))</f>
        <v/>
      </c>
    </row>
    <row r="10299" customFormat="false" ht="15" hidden="false" customHeight="false" outlineLevel="0" collapsed="false">
      <c r="A10299" s="103"/>
      <c r="B10299" s="104"/>
      <c r="C10299" s="104"/>
      <c r="E10299" s="107" t="str">
        <f aca="false">IF($C10299="","",IFERROR(INDEX(المنيو!$C$2:$C$500,MATCH($C10299,المنيو!$B$2:$B$500,0)),0))</f>
        <v/>
      </c>
      <c r="F10299" s="107" t="str">
        <f aca="false">IF($C10299="","",$D10299*$E10299)</f>
        <v/>
      </c>
      <c r="G10299" s="107" t="str">
        <f aca="false">IF($C10299="","",$D10299*IFERROR(INDEX('تحليل التكلفة والسعر'!$C$2:$C$700,MATCH($C10299,'تحليل التكلفة والسعر'!$B$2:$B$700,0)),0))</f>
        <v/>
      </c>
    </row>
    <row r="10300" customFormat="false" ht="15" hidden="false" customHeight="false" outlineLevel="0" collapsed="false">
      <c r="A10300" s="103"/>
      <c r="B10300" s="104"/>
      <c r="C10300" s="104"/>
      <c r="E10300" s="107" t="str">
        <f aca="false">IF($C10300="","",IFERROR(INDEX(المنيو!$C$2:$C$500,MATCH($C10300,المنيو!$B$2:$B$500,0)),0))</f>
        <v/>
      </c>
      <c r="F10300" s="107" t="str">
        <f aca="false">IF($C10300="","",$D10300*$E10300)</f>
        <v/>
      </c>
      <c r="G10300" s="107" t="str">
        <f aca="false">IF($C10300="","",$D10300*IFERROR(INDEX('تحليل التكلفة والسعر'!$C$2:$C$700,MATCH($C10300,'تحليل التكلفة والسعر'!$B$2:$B$700,0)),0))</f>
        <v/>
      </c>
    </row>
    <row r="10301" customFormat="false" ht="15" hidden="false" customHeight="false" outlineLevel="0" collapsed="false">
      <c r="A10301" s="103"/>
      <c r="B10301" s="104"/>
      <c r="C10301" s="104"/>
      <c r="E10301" s="107" t="str">
        <f aca="false">IF($C10301="","",IFERROR(INDEX(المنيو!$C$2:$C$500,MATCH($C10301,المنيو!$B$2:$B$500,0)),0))</f>
        <v/>
      </c>
      <c r="F10301" s="107" t="str">
        <f aca="false">IF($C10301="","",$D10301*$E10301)</f>
        <v/>
      </c>
      <c r="G10301" s="107" t="str">
        <f aca="false">IF($C10301="","",$D10301*IFERROR(INDEX('تحليل التكلفة والسعر'!$C$2:$C$700,MATCH($C10301,'تحليل التكلفة والسعر'!$B$2:$B$700,0)),0))</f>
        <v/>
      </c>
    </row>
    <row r="10302" customFormat="false" ht="15" hidden="false" customHeight="false" outlineLevel="0" collapsed="false">
      <c r="A10302" s="103"/>
      <c r="B10302" s="104"/>
      <c r="C10302" s="104"/>
      <c r="E10302" s="107" t="str">
        <f aca="false">IF($C10302="","",IFERROR(INDEX(المنيو!$C$2:$C$500,MATCH($C10302,المنيو!$B$2:$B$500,0)),0))</f>
        <v/>
      </c>
      <c r="F10302" s="107" t="str">
        <f aca="false">IF($C10302="","",$D10302*$E10302)</f>
        <v/>
      </c>
      <c r="G10302" s="107" t="str">
        <f aca="false">IF($C10302="","",$D10302*IFERROR(INDEX('تحليل التكلفة والسعر'!$C$2:$C$700,MATCH($C10302,'تحليل التكلفة والسعر'!$B$2:$B$700,0)),0))</f>
        <v/>
      </c>
    </row>
    <row r="10303" customFormat="false" ht="15" hidden="false" customHeight="false" outlineLevel="0" collapsed="false">
      <c r="A10303" s="103"/>
      <c r="B10303" s="104"/>
      <c r="C10303" s="104"/>
      <c r="E10303" s="107" t="str">
        <f aca="false">IF($C10303="","",IFERROR(INDEX(المنيو!$C$2:$C$500,MATCH($C10303,المنيو!$B$2:$B$500,0)),0))</f>
        <v/>
      </c>
      <c r="F10303" s="107" t="str">
        <f aca="false">IF($C10303="","",$D10303*$E10303)</f>
        <v/>
      </c>
      <c r="G10303" s="107" t="str">
        <f aca="false">IF($C10303="","",$D10303*IFERROR(INDEX('تحليل التكلفة والسعر'!$C$2:$C$700,MATCH($C10303,'تحليل التكلفة والسعر'!$B$2:$B$700,0)),0))</f>
        <v/>
      </c>
    </row>
    <row r="10304" customFormat="false" ht="15" hidden="false" customHeight="false" outlineLevel="0" collapsed="false">
      <c r="A10304" s="103"/>
      <c r="B10304" s="104"/>
      <c r="C10304" s="104"/>
      <c r="E10304" s="107" t="str">
        <f aca="false">IF($C10304="","",IFERROR(INDEX(المنيو!$C$2:$C$500,MATCH($C10304,المنيو!$B$2:$B$500,0)),0))</f>
        <v/>
      </c>
      <c r="F10304" s="107" t="str">
        <f aca="false">IF($C10304="","",$D10304*$E10304)</f>
        <v/>
      </c>
      <c r="G10304" s="107" t="str">
        <f aca="false">IF($C10304="","",$D10304*IFERROR(INDEX('تحليل التكلفة والسعر'!$C$2:$C$700,MATCH($C10304,'تحليل التكلفة والسعر'!$B$2:$B$700,0)),0))</f>
        <v/>
      </c>
    </row>
    <row r="10305" customFormat="false" ht="15" hidden="false" customHeight="false" outlineLevel="0" collapsed="false">
      <c r="A10305" s="103"/>
      <c r="B10305" s="104"/>
      <c r="C10305" s="104"/>
      <c r="E10305" s="107" t="str">
        <f aca="false">IF($C10305="","",IFERROR(INDEX(المنيو!$C$2:$C$500,MATCH($C10305,المنيو!$B$2:$B$500,0)),0))</f>
        <v/>
      </c>
      <c r="F10305" s="107" t="str">
        <f aca="false">IF($C10305="","",$D10305*$E10305)</f>
        <v/>
      </c>
      <c r="G10305" s="107" t="str">
        <f aca="false">IF($C10305="","",$D10305*IFERROR(INDEX('تحليل التكلفة والسعر'!$C$2:$C$700,MATCH($C10305,'تحليل التكلفة والسعر'!$B$2:$B$700,0)),0))</f>
        <v/>
      </c>
    </row>
    <row r="10306" customFormat="false" ht="15" hidden="false" customHeight="false" outlineLevel="0" collapsed="false">
      <c r="A10306" s="103"/>
      <c r="B10306" s="104"/>
      <c r="C10306" s="104"/>
      <c r="E10306" s="107" t="str">
        <f aca="false">IF($C10306="","",IFERROR(INDEX(المنيو!$C$2:$C$500,MATCH($C10306,المنيو!$B$2:$B$500,0)),0))</f>
        <v/>
      </c>
      <c r="F10306" s="107" t="str">
        <f aca="false">IF($C10306="","",$D10306*$E10306)</f>
        <v/>
      </c>
      <c r="G10306" s="107" t="str">
        <f aca="false">IF($C10306="","",$D10306*IFERROR(INDEX('تحليل التكلفة والسعر'!$C$2:$C$700,MATCH($C10306,'تحليل التكلفة والسعر'!$B$2:$B$700,0)),0))</f>
        <v/>
      </c>
    </row>
    <row r="10307" customFormat="false" ht="15" hidden="false" customHeight="false" outlineLevel="0" collapsed="false">
      <c r="A10307" s="103"/>
      <c r="B10307" s="104"/>
      <c r="C10307" s="104"/>
      <c r="E10307" s="107" t="str">
        <f aca="false">IF($C10307="","",IFERROR(INDEX(المنيو!$C$2:$C$500,MATCH($C10307,المنيو!$B$2:$B$500,0)),0))</f>
        <v/>
      </c>
      <c r="F10307" s="107" t="str">
        <f aca="false">IF($C10307="","",$D10307*$E10307)</f>
        <v/>
      </c>
      <c r="G10307" s="107" t="str">
        <f aca="false">IF($C10307="","",$D10307*IFERROR(INDEX('تحليل التكلفة والسعر'!$C$2:$C$700,MATCH($C10307,'تحليل التكلفة والسعر'!$B$2:$B$700,0)),0))</f>
        <v/>
      </c>
    </row>
    <row r="10308" customFormat="false" ht="15" hidden="false" customHeight="false" outlineLevel="0" collapsed="false">
      <c r="A10308" s="103"/>
      <c r="B10308" s="104"/>
      <c r="C10308" s="104"/>
      <c r="E10308" s="107" t="str">
        <f aca="false">IF($C10308="","",IFERROR(INDEX(المنيو!$C$2:$C$500,MATCH($C10308,المنيو!$B$2:$B$500,0)),0))</f>
        <v/>
      </c>
      <c r="F10308" s="107" t="str">
        <f aca="false">IF($C10308="","",$D10308*$E10308)</f>
        <v/>
      </c>
      <c r="G10308" s="107" t="str">
        <f aca="false">IF($C10308="","",$D10308*IFERROR(INDEX('تحليل التكلفة والسعر'!$C$2:$C$700,MATCH($C10308,'تحليل التكلفة والسعر'!$B$2:$B$700,0)),0))</f>
        <v/>
      </c>
    </row>
    <row r="10309" customFormat="false" ht="15" hidden="false" customHeight="false" outlineLevel="0" collapsed="false">
      <c r="A10309" s="103"/>
      <c r="B10309" s="104"/>
      <c r="C10309" s="104"/>
      <c r="E10309" s="107" t="str">
        <f aca="false">IF($C10309="","",IFERROR(INDEX(المنيو!$C$2:$C$500,MATCH($C10309,المنيو!$B$2:$B$500,0)),0))</f>
        <v/>
      </c>
      <c r="F10309" s="107" t="str">
        <f aca="false">IF($C10309="","",$D10309*$E10309)</f>
        <v/>
      </c>
      <c r="G10309" s="107" t="str">
        <f aca="false">IF($C10309="","",$D10309*IFERROR(INDEX('تحليل التكلفة والسعر'!$C$2:$C$700,MATCH($C10309,'تحليل التكلفة والسعر'!$B$2:$B$700,0)),0))</f>
        <v/>
      </c>
    </row>
    <row r="10310" customFormat="false" ht="15" hidden="false" customHeight="false" outlineLevel="0" collapsed="false">
      <c r="A10310" s="103"/>
      <c r="B10310" s="104"/>
      <c r="C10310" s="104"/>
      <c r="E10310" s="107" t="str">
        <f aca="false">IF($C10310="","",IFERROR(INDEX(المنيو!$C$2:$C$500,MATCH($C10310,المنيو!$B$2:$B$500,0)),0))</f>
        <v/>
      </c>
      <c r="F10310" s="107" t="str">
        <f aca="false">IF($C10310="","",$D10310*$E10310)</f>
        <v/>
      </c>
      <c r="G10310" s="107" t="str">
        <f aca="false">IF($C10310="","",$D10310*IFERROR(INDEX('تحليل التكلفة والسعر'!$C$2:$C$700,MATCH($C10310,'تحليل التكلفة والسعر'!$B$2:$B$700,0)),0))</f>
        <v/>
      </c>
    </row>
    <row r="10311" customFormat="false" ht="15" hidden="false" customHeight="false" outlineLevel="0" collapsed="false">
      <c r="A10311" s="103"/>
      <c r="B10311" s="104"/>
      <c r="C10311" s="104"/>
      <c r="E10311" s="107" t="str">
        <f aca="false">IF($C10311="","",IFERROR(INDEX(المنيو!$C$2:$C$500,MATCH($C10311,المنيو!$B$2:$B$500,0)),0))</f>
        <v/>
      </c>
      <c r="F10311" s="107" t="str">
        <f aca="false">IF($C10311="","",$D10311*$E10311)</f>
        <v/>
      </c>
      <c r="G10311" s="107" t="str">
        <f aca="false">IF($C10311="","",$D10311*IFERROR(INDEX('تحليل التكلفة والسعر'!$C$2:$C$700,MATCH($C10311,'تحليل التكلفة والسعر'!$B$2:$B$700,0)),0))</f>
        <v/>
      </c>
    </row>
    <row r="10312" customFormat="false" ht="15" hidden="false" customHeight="false" outlineLevel="0" collapsed="false">
      <c r="A10312" s="103"/>
      <c r="B10312" s="104"/>
      <c r="C10312" s="104"/>
      <c r="E10312" s="107" t="str">
        <f aca="false">IF($C10312="","",IFERROR(INDEX(المنيو!$C$2:$C$500,MATCH($C10312,المنيو!$B$2:$B$500,0)),0))</f>
        <v/>
      </c>
      <c r="F10312" s="107" t="str">
        <f aca="false">IF($C10312="","",$D10312*$E10312)</f>
        <v/>
      </c>
      <c r="G10312" s="107" t="str">
        <f aca="false">IF($C10312="","",$D10312*IFERROR(INDEX('تحليل التكلفة والسعر'!$C$2:$C$700,MATCH($C10312,'تحليل التكلفة والسعر'!$B$2:$B$700,0)),0))</f>
        <v/>
      </c>
    </row>
    <row r="10313" customFormat="false" ht="15" hidden="false" customHeight="false" outlineLevel="0" collapsed="false">
      <c r="A10313" s="103"/>
      <c r="B10313" s="104"/>
      <c r="C10313" s="104"/>
      <c r="E10313" s="107" t="str">
        <f aca="false">IF($C10313="","",IFERROR(INDEX(المنيو!$C$2:$C$500,MATCH($C10313,المنيو!$B$2:$B$500,0)),0))</f>
        <v/>
      </c>
      <c r="F10313" s="107" t="str">
        <f aca="false">IF($C10313="","",$D10313*$E10313)</f>
        <v/>
      </c>
      <c r="G10313" s="107" t="str">
        <f aca="false">IF($C10313="","",$D10313*IFERROR(INDEX('تحليل التكلفة والسعر'!$C$2:$C$700,MATCH($C10313,'تحليل التكلفة والسعر'!$B$2:$B$700,0)),0))</f>
        <v/>
      </c>
    </row>
    <row r="10314" customFormat="false" ht="15" hidden="false" customHeight="false" outlineLevel="0" collapsed="false">
      <c r="A10314" s="103"/>
      <c r="B10314" s="104"/>
      <c r="C10314" s="104"/>
      <c r="E10314" s="107" t="str">
        <f aca="false">IF($C10314="","",IFERROR(INDEX(المنيو!$C$2:$C$500,MATCH($C10314,المنيو!$B$2:$B$500,0)),0))</f>
        <v/>
      </c>
      <c r="F10314" s="107" t="str">
        <f aca="false">IF($C10314="","",$D10314*$E10314)</f>
        <v/>
      </c>
      <c r="G10314" s="107" t="str">
        <f aca="false">IF($C10314="","",$D10314*IFERROR(INDEX('تحليل التكلفة والسعر'!$C$2:$C$700,MATCH($C10314,'تحليل التكلفة والسعر'!$B$2:$B$700,0)),0))</f>
        <v/>
      </c>
    </row>
    <row r="10315" customFormat="false" ht="15" hidden="false" customHeight="false" outlineLevel="0" collapsed="false">
      <c r="A10315" s="103"/>
      <c r="B10315" s="104"/>
      <c r="C10315" s="104"/>
      <c r="E10315" s="107" t="str">
        <f aca="false">IF($C10315="","",IFERROR(INDEX(المنيو!$C$2:$C$500,MATCH($C10315,المنيو!$B$2:$B$500,0)),0))</f>
        <v/>
      </c>
      <c r="F10315" s="107" t="str">
        <f aca="false">IF($C10315="","",$D10315*$E10315)</f>
        <v/>
      </c>
      <c r="G10315" s="107" t="str">
        <f aca="false">IF($C10315="","",$D10315*IFERROR(INDEX('تحليل التكلفة والسعر'!$C$2:$C$700,MATCH($C10315,'تحليل التكلفة والسعر'!$B$2:$B$700,0)),0))</f>
        <v/>
      </c>
    </row>
    <row r="10316" customFormat="false" ht="15" hidden="false" customHeight="false" outlineLevel="0" collapsed="false">
      <c r="A10316" s="103"/>
      <c r="B10316" s="104"/>
      <c r="C10316" s="104"/>
      <c r="E10316" s="107" t="str">
        <f aca="false">IF($C10316="","",IFERROR(INDEX(المنيو!$C$2:$C$500,MATCH($C10316,المنيو!$B$2:$B$500,0)),0))</f>
        <v/>
      </c>
      <c r="F10316" s="107" t="str">
        <f aca="false">IF($C10316="","",$D10316*$E10316)</f>
        <v/>
      </c>
      <c r="G10316" s="107" t="str">
        <f aca="false">IF($C10316="","",$D10316*IFERROR(INDEX('تحليل التكلفة والسعر'!$C$2:$C$700,MATCH($C10316,'تحليل التكلفة والسعر'!$B$2:$B$700,0)),0))</f>
        <v/>
      </c>
    </row>
    <row r="10317" customFormat="false" ht="15" hidden="false" customHeight="false" outlineLevel="0" collapsed="false">
      <c r="A10317" s="103"/>
      <c r="B10317" s="104"/>
      <c r="C10317" s="104"/>
      <c r="E10317" s="107" t="str">
        <f aca="false">IF($C10317="","",IFERROR(INDEX(المنيو!$C$2:$C$500,MATCH($C10317,المنيو!$B$2:$B$500,0)),0))</f>
        <v/>
      </c>
      <c r="F10317" s="107" t="str">
        <f aca="false">IF($C10317="","",$D10317*$E10317)</f>
        <v/>
      </c>
      <c r="G10317" s="107" t="str">
        <f aca="false">IF($C10317="","",$D10317*IFERROR(INDEX('تحليل التكلفة والسعر'!$C$2:$C$700,MATCH($C10317,'تحليل التكلفة والسعر'!$B$2:$B$700,0)),0))</f>
        <v/>
      </c>
    </row>
    <row r="10318" customFormat="false" ht="15" hidden="false" customHeight="false" outlineLevel="0" collapsed="false">
      <c r="A10318" s="103"/>
      <c r="B10318" s="104"/>
      <c r="C10318" s="104"/>
      <c r="E10318" s="107" t="str">
        <f aca="false">IF($C10318="","",IFERROR(INDEX(المنيو!$C$2:$C$500,MATCH($C10318,المنيو!$B$2:$B$500,0)),0))</f>
        <v/>
      </c>
      <c r="F10318" s="107" t="str">
        <f aca="false">IF($C10318="","",$D10318*$E10318)</f>
        <v/>
      </c>
      <c r="G10318" s="107" t="str">
        <f aca="false">IF($C10318="","",$D10318*IFERROR(INDEX('تحليل التكلفة والسعر'!$C$2:$C$700,MATCH($C10318,'تحليل التكلفة والسعر'!$B$2:$B$700,0)),0))</f>
        <v/>
      </c>
    </row>
    <row r="10319" customFormat="false" ht="15" hidden="false" customHeight="false" outlineLevel="0" collapsed="false">
      <c r="A10319" s="103"/>
      <c r="B10319" s="104"/>
      <c r="C10319" s="104"/>
      <c r="E10319" s="107" t="str">
        <f aca="false">IF($C10319="","",IFERROR(INDEX(المنيو!$C$2:$C$500,MATCH($C10319,المنيو!$B$2:$B$500,0)),0))</f>
        <v/>
      </c>
      <c r="F10319" s="107" t="str">
        <f aca="false">IF($C10319="","",$D10319*$E10319)</f>
        <v/>
      </c>
      <c r="G10319" s="107" t="str">
        <f aca="false">IF($C10319="","",$D10319*IFERROR(INDEX('تحليل التكلفة والسعر'!$C$2:$C$700,MATCH($C10319,'تحليل التكلفة والسعر'!$B$2:$B$700,0)),0))</f>
        <v/>
      </c>
    </row>
    <row r="10320" customFormat="false" ht="15" hidden="false" customHeight="false" outlineLevel="0" collapsed="false">
      <c r="A10320" s="103"/>
      <c r="B10320" s="104"/>
      <c r="C10320" s="104"/>
      <c r="E10320" s="107" t="str">
        <f aca="false">IF($C10320="","",IFERROR(INDEX(المنيو!$C$2:$C$500,MATCH($C10320,المنيو!$B$2:$B$500,0)),0))</f>
        <v/>
      </c>
      <c r="F10320" s="107" t="str">
        <f aca="false">IF($C10320="","",$D10320*$E10320)</f>
        <v/>
      </c>
      <c r="G10320" s="107" t="str">
        <f aca="false">IF($C10320="","",$D10320*IFERROR(INDEX('تحليل التكلفة والسعر'!$C$2:$C$700,MATCH($C10320,'تحليل التكلفة والسعر'!$B$2:$B$700,0)),0))</f>
        <v/>
      </c>
    </row>
    <row r="10321" customFormat="false" ht="15" hidden="false" customHeight="false" outlineLevel="0" collapsed="false">
      <c r="A10321" s="103"/>
      <c r="B10321" s="104"/>
      <c r="C10321" s="104"/>
      <c r="E10321" s="107" t="str">
        <f aca="false">IF($C10321="","",IFERROR(INDEX(المنيو!$C$2:$C$500,MATCH($C10321,المنيو!$B$2:$B$500,0)),0))</f>
        <v/>
      </c>
      <c r="F10321" s="107" t="str">
        <f aca="false">IF($C10321="","",$D10321*$E10321)</f>
        <v/>
      </c>
      <c r="G10321" s="107" t="str">
        <f aca="false">IF($C10321="","",$D10321*IFERROR(INDEX('تحليل التكلفة والسعر'!$C$2:$C$700,MATCH($C10321,'تحليل التكلفة والسعر'!$B$2:$B$700,0)),0))</f>
        <v/>
      </c>
    </row>
    <row r="10322" customFormat="false" ht="15" hidden="false" customHeight="false" outlineLevel="0" collapsed="false">
      <c r="A10322" s="103"/>
      <c r="B10322" s="104"/>
      <c r="C10322" s="104"/>
      <c r="E10322" s="107" t="str">
        <f aca="false">IF($C10322="","",IFERROR(INDEX(المنيو!$C$2:$C$500,MATCH($C10322,المنيو!$B$2:$B$500,0)),0))</f>
        <v/>
      </c>
      <c r="F10322" s="107" t="str">
        <f aca="false">IF($C10322="","",$D10322*$E10322)</f>
        <v/>
      </c>
      <c r="G10322" s="107" t="str">
        <f aca="false">IF($C10322="","",$D10322*IFERROR(INDEX('تحليل التكلفة والسعر'!$C$2:$C$700,MATCH($C10322,'تحليل التكلفة والسعر'!$B$2:$B$700,0)),0))</f>
        <v/>
      </c>
    </row>
    <row r="10323" customFormat="false" ht="15" hidden="false" customHeight="false" outlineLevel="0" collapsed="false">
      <c r="A10323" s="103"/>
      <c r="B10323" s="104"/>
      <c r="C10323" s="104"/>
      <c r="E10323" s="107" t="str">
        <f aca="false">IF($C10323="","",IFERROR(INDEX(المنيو!$C$2:$C$500,MATCH($C10323,المنيو!$B$2:$B$500,0)),0))</f>
        <v/>
      </c>
      <c r="F10323" s="107" t="str">
        <f aca="false">IF($C10323="","",$D10323*$E10323)</f>
        <v/>
      </c>
      <c r="G10323" s="107" t="str">
        <f aca="false">IF($C10323="","",$D10323*IFERROR(INDEX('تحليل التكلفة والسعر'!$C$2:$C$700,MATCH($C10323,'تحليل التكلفة والسعر'!$B$2:$B$700,0)),0))</f>
        <v/>
      </c>
    </row>
    <row r="10324" customFormat="false" ht="15" hidden="false" customHeight="false" outlineLevel="0" collapsed="false">
      <c r="A10324" s="103"/>
      <c r="B10324" s="104"/>
      <c r="C10324" s="104"/>
      <c r="E10324" s="107" t="str">
        <f aca="false">IF($C10324="","",IFERROR(INDEX(المنيو!$C$2:$C$500,MATCH($C10324,المنيو!$B$2:$B$500,0)),0))</f>
        <v/>
      </c>
      <c r="F10324" s="107" t="str">
        <f aca="false">IF($C10324="","",$D10324*$E10324)</f>
        <v/>
      </c>
      <c r="G10324" s="107" t="str">
        <f aca="false">IF($C10324="","",$D10324*IFERROR(INDEX('تحليل التكلفة والسعر'!$C$2:$C$700,MATCH($C10324,'تحليل التكلفة والسعر'!$B$2:$B$700,0)),0))</f>
        <v/>
      </c>
    </row>
    <row r="10325" customFormat="false" ht="15" hidden="false" customHeight="false" outlineLevel="0" collapsed="false">
      <c r="A10325" s="103"/>
      <c r="B10325" s="104"/>
      <c r="C10325" s="104"/>
      <c r="E10325" s="107" t="str">
        <f aca="false">IF($C10325="","",IFERROR(INDEX(المنيو!$C$2:$C$500,MATCH($C10325,المنيو!$B$2:$B$500,0)),0))</f>
        <v/>
      </c>
      <c r="F10325" s="107" t="str">
        <f aca="false">IF($C10325="","",$D10325*$E10325)</f>
        <v/>
      </c>
      <c r="G10325" s="107" t="str">
        <f aca="false">IF($C10325="","",$D10325*IFERROR(INDEX('تحليل التكلفة والسعر'!$C$2:$C$700,MATCH($C10325,'تحليل التكلفة والسعر'!$B$2:$B$700,0)),0))</f>
        <v/>
      </c>
    </row>
    <row r="10326" customFormat="false" ht="15" hidden="false" customHeight="false" outlineLevel="0" collapsed="false">
      <c r="A10326" s="103"/>
      <c r="B10326" s="104"/>
      <c r="C10326" s="104"/>
      <c r="E10326" s="107" t="str">
        <f aca="false">IF($C10326="","",IFERROR(INDEX(المنيو!$C$2:$C$500,MATCH($C10326,المنيو!$B$2:$B$500,0)),0))</f>
        <v/>
      </c>
      <c r="F10326" s="107" t="str">
        <f aca="false">IF($C10326="","",$D10326*$E10326)</f>
        <v/>
      </c>
      <c r="G10326" s="107" t="str">
        <f aca="false">IF($C10326="","",$D10326*IFERROR(INDEX('تحليل التكلفة والسعر'!$C$2:$C$700,MATCH($C10326,'تحليل التكلفة والسعر'!$B$2:$B$700,0)),0))</f>
        <v/>
      </c>
    </row>
    <row r="10327" customFormat="false" ht="15" hidden="false" customHeight="false" outlineLevel="0" collapsed="false">
      <c r="A10327" s="103"/>
      <c r="B10327" s="104"/>
      <c r="C10327" s="104"/>
      <c r="E10327" s="107" t="str">
        <f aca="false">IF($C10327="","",IFERROR(INDEX(المنيو!$C$2:$C$500,MATCH($C10327,المنيو!$B$2:$B$500,0)),0))</f>
        <v/>
      </c>
      <c r="F10327" s="107" t="str">
        <f aca="false">IF($C10327="","",$D10327*$E10327)</f>
        <v/>
      </c>
      <c r="G10327" s="107" t="str">
        <f aca="false">IF($C10327="","",$D10327*IFERROR(INDEX('تحليل التكلفة والسعر'!$C$2:$C$700,MATCH($C10327,'تحليل التكلفة والسعر'!$B$2:$B$700,0)),0))</f>
        <v/>
      </c>
    </row>
    <row r="10328" customFormat="false" ht="15" hidden="false" customHeight="false" outlineLevel="0" collapsed="false">
      <c r="A10328" s="103"/>
      <c r="B10328" s="104"/>
      <c r="C10328" s="104"/>
      <c r="E10328" s="107" t="str">
        <f aca="false">IF($C10328="","",IFERROR(INDEX(المنيو!$C$2:$C$500,MATCH($C10328,المنيو!$B$2:$B$500,0)),0))</f>
        <v/>
      </c>
      <c r="F10328" s="107" t="str">
        <f aca="false">IF($C10328="","",$D10328*$E10328)</f>
        <v/>
      </c>
      <c r="G10328" s="107" t="str">
        <f aca="false">IF($C10328="","",$D10328*IFERROR(INDEX('تحليل التكلفة والسعر'!$C$2:$C$700,MATCH($C10328,'تحليل التكلفة والسعر'!$B$2:$B$700,0)),0))</f>
        <v/>
      </c>
    </row>
    <row r="10329" customFormat="false" ht="15" hidden="false" customHeight="false" outlineLevel="0" collapsed="false">
      <c r="A10329" s="103"/>
      <c r="B10329" s="104"/>
      <c r="C10329" s="104"/>
      <c r="E10329" s="107" t="str">
        <f aca="false">IF($C10329="","",IFERROR(INDEX(المنيو!$C$2:$C$500,MATCH($C10329,المنيو!$B$2:$B$500,0)),0))</f>
        <v/>
      </c>
      <c r="F10329" s="107" t="str">
        <f aca="false">IF($C10329="","",$D10329*$E10329)</f>
        <v/>
      </c>
      <c r="G10329" s="107" t="str">
        <f aca="false">IF($C10329="","",$D10329*IFERROR(INDEX('تحليل التكلفة والسعر'!$C$2:$C$700,MATCH($C10329,'تحليل التكلفة والسعر'!$B$2:$B$700,0)),0))</f>
        <v/>
      </c>
    </row>
    <row r="10330" customFormat="false" ht="15" hidden="false" customHeight="false" outlineLevel="0" collapsed="false">
      <c r="A10330" s="103"/>
      <c r="B10330" s="104"/>
      <c r="C10330" s="104"/>
      <c r="E10330" s="107" t="str">
        <f aca="false">IF($C10330="","",IFERROR(INDEX(المنيو!$C$2:$C$500,MATCH($C10330,المنيو!$B$2:$B$500,0)),0))</f>
        <v/>
      </c>
      <c r="F10330" s="107" t="str">
        <f aca="false">IF($C10330="","",$D10330*$E10330)</f>
        <v/>
      </c>
      <c r="G10330" s="107" t="str">
        <f aca="false">IF($C10330="","",$D10330*IFERROR(INDEX('تحليل التكلفة والسعر'!$C$2:$C$700,MATCH($C10330,'تحليل التكلفة والسعر'!$B$2:$B$700,0)),0))</f>
        <v/>
      </c>
    </row>
    <row r="10331" customFormat="false" ht="15" hidden="false" customHeight="false" outlineLevel="0" collapsed="false">
      <c r="A10331" s="103"/>
      <c r="B10331" s="104"/>
      <c r="C10331" s="104"/>
      <c r="E10331" s="107" t="str">
        <f aca="false">IF($C10331="","",IFERROR(INDEX(المنيو!$C$2:$C$500,MATCH($C10331,المنيو!$B$2:$B$500,0)),0))</f>
        <v/>
      </c>
      <c r="F10331" s="107" t="str">
        <f aca="false">IF($C10331="","",$D10331*$E10331)</f>
        <v/>
      </c>
      <c r="G10331" s="107" t="str">
        <f aca="false">IF($C10331="","",$D10331*IFERROR(INDEX('تحليل التكلفة والسعر'!$C$2:$C$700,MATCH($C10331,'تحليل التكلفة والسعر'!$B$2:$B$700,0)),0))</f>
        <v/>
      </c>
    </row>
    <row r="10332" customFormat="false" ht="15" hidden="false" customHeight="false" outlineLevel="0" collapsed="false">
      <c r="A10332" s="103"/>
      <c r="B10332" s="104"/>
      <c r="C10332" s="104"/>
      <c r="E10332" s="107" t="str">
        <f aca="false">IF($C10332="","",IFERROR(INDEX(المنيو!$C$2:$C$500,MATCH($C10332,المنيو!$B$2:$B$500,0)),0))</f>
        <v/>
      </c>
      <c r="F10332" s="107" t="str">
        <f aca="false">IF($C10332="","",$D10332*$E10332)</f>
        <v/>
      </c>
      <c r="G10332" s="107" t="str">
        <f aca="false">IF($C10332="","",$D10332*IFERROR(INDEX('تحليل التكلفة والسعر'!$C$2:$C$700,MATCH($C10332,'تحليل التكلفة والسعر'!$B$2:$B$700,0)),0))</f>
        <v/>
      </c>
    </row>
    <row r="10333" customFormat="false" ht="15" hidden="false" customHeight="false" outlineLevel="0" collapsed="false">
      <c r="A10333" s="103"/>
      <c r="B10333" s="104"/>
      <c r="C10333" s="104"/>
      <c r="E10333" s="107" t="str">
        <f aca="false">IF($C10333="","",IFERROR(INDEX(المنيو!$C$2:$C$500,MATCH($C10333,المنيو!$B$2:$B$500,0)),0))</f>
        <v/>
      </c>
      <c r="F10333" s="107" t="str">
        <f aca="false">IF($C10333="","",$D10333*$E10333)</f>
        <v/>
      </c>
      <c r="G10333" s="107" t="str">
        <f aca="false">IF($C10333="","",$D10333*IFERROR(INDEX('تحليل التكلفة والسعر'!$C$2:$C$700,MATCH($C10333,'تحليل التكلفة والسعر'!$B$2:$B$700,0)),0))</f>
        <v/>
      </c>
    </row>
    <row r="10334" customFormat="false" ht="15" hidden="false" customHeight="false" outlineLevel="0" collapsed="false">
      <c r="A10334" s="103"/>
      <c r="B10334" s="104"/>
      <c r="C10334" s="104"/>
      <c r="E10334" s="107" t="str">
        <f aca="false">IF($C10334="","",IFERROR(INDEX(المنيو!$C$2:$C$500,MATCH($C10334,المنيو!$B$2:$B$500,0)),0))</f>
        <v/>
      </c>
      <c r="F10334" s="107" t="str">
        <f aca="false">IF($C10334="","",$D10334*$E10334)</f>
        <v/>
      </c>
      <c r="G10334" s="107" t="str">
        <f aca="false">IF($C10334="","",$D10334*IFERROR(INDEX('تحليل التكلفة والسعر'!$C$2:$C$700,MATCH($C10334,'تحليل التكلفة والسعر'!$B$2:$B$700,0)),0))</f>
        <v/>
      </c>
    </row>
    <row r="10335" customFormat="false" ht="15" hidden="false" customHeight="false" outlineLevel="0" collapsed="false">
      <c r="A10335" s="103"/>
      <c r="B10335" s="104"/>
      <c r="C10335" s="104"/>
      <c r="E10335" s="107" t="str">
        <f aca="false">IF($C10335="","",IFERROR(INDEX(المنيو!$C$2:$C$500,MATCH($C10335,المنيو!$B$2:$B$500,0)),0))</f>
        <v/>
      </c>
      <c r="F10335" s="107" t="str">
        <f aca="false">IF($C10335="","",$D10335*$E10335)</f>
        <v/>
      </c>
      <c r="G10335" s="107" t="str">
        <f aca="false">IF($C10335="","",$D10335*IFERROR(INDEX('تحليل التكلفة والسعر'!$C$2:$C$700,MATCH($C10335,'تحليل التكلفة والسعر'!$B$2:$B$700,0)),0))</f>
        <v/>
      </c>
    </row>
    <row r="10336" customFormat="false" ht="15" hidden="false" customHeight="false" outlineLevel="0" collapsed="false">
      <c r="A10336" s="103"/>
      <c r="B10336" s="104"/>
      <c r="C10336" s="104"/>
      <c r="E10336" s="107" t="str">
        <f aca="false">IF($C10336="","",IFERROR(INDEX(المنيو!$C$2:$C$500,MATCH($C10336,المنيو!$B$2:$B$500,0)),0))</f>
        <v/>
      </c>
      <c r="F10336" s="107" t="str">
        <f aca="false">IF($C10336="","",$D10336*$E10336)</f>
        <v/>
      </c>
      <c r="G10336" s="107" t="str">
        <f aca="false">IF($C10336="","",$D10336*IFERROR(INDEX('تحليل التكلفة والسعر'!$C$2:$C$700,MATCH($C10336,'تحليل التكلفة والسعر'!$B$2:$B$700,0)),0))</f>
        <v/>
      </c>
    </row>
    <row r="10337" customFormat="false" ht="15" hidden="false" customHeight="false" outlineLevel="0" collapsed="false">
      <c r="A10337" s="103"/>
      <c r="B10337" s="104"/>
      <c r="C10337" s="104"/>
      <c r="E10337" s="107" t="str">
        <f aca="false">IF($C10337="","",IFERROR(INDEX(المنيو!$C$2:$C$500,MATCH($C10337,المنيو!$B$2:$B$500,0)),0))</f>
        <v/>
      </c>
      <c r="F10337" s="107" t="str">
        <f aca="false">IF($C10337="","",$D10337*$E10337)</f>
        <v/>
      </c>
      <c r="G10337" s="107" t="str">
        <f aca="false">IF($C10337="","",$D10337*IFERROR(INDEX('تحليل التكلفة والسعر'!$C$2:$C$700,MATCH($C10337,'تحليل التكلفة والسعر'!$B$2:$B$700,0)),0))</f>
        <v/>
      </c>
    </row>
    <row r="10338" customFormat="false" ht="15" hidden="false" customHeight="false" outlineLevel="0" collapsed="false">
      <c r="A10338" s="103"/>
      <c r="B10338" s="104"/>
      <c r="C10338" s="104"/>
      <c r="E10338" s="107" t="str">
        <f aca="false">IF($C10338="","",IFERROR(INDEX(المنيو!$C$2:$C$500,MATCH($C10338,المنيو!$B$2:$B$500,0)),0))</f>
        <v/>
      </c>
      <c r="F10338" s="107" t="str">
        <f aca="false">IF($C10338="","",$D10338*$E10338)</f>
        <v/>
      </c>
      <c r="G10338" s="107" t="str">
        <f aca="false">IF($C10338="","",$D10338*IFERROR(INDEX('تحليل التكلفة والسعر'!$C$2:$C$700,MATCH($C10338,'تحليل التكلفة والسعر'!$B$2:$B$700,0)),0))</f>
        <v/>
      </c>
    </row>
    <row r="10339" customFormat="false" ht="15" hidden="false" customHeight="false" outlineLevel="0" collapsed="false">
      <c r="A10339" s="103"/>
      <c r="B10339" s="104"/>
      <c r="C10339" s="104"/>
      <c r="E10339" s="107" t="str">
        <f aca="false">IF($C10339="","",IFERROR(INDEX(المنيو!$C$2:$C$500,MATCH($C10339,المنيو!$B$2:$B$500,0)),0))</f>
        <v/>
      </c>
      <c r="F10339" s="107" t="str">
        <f aca="false">IF($C10339="","",$D10339*$E10339)</f>
        <v/>
      </c>
      <c r="G10339" s="107" t="str">
        <f aca="false">IF($C10339="","",$D10339*IFERROR(INDEX('تحليل التكلفة والسعر'!$C$2:$C$700,MATCH($C10339,'تحليل التكلفة والسعر'!$B$2:$B$700,0)),0))</f>
        <v/>
      </c>
    </row>
    <row r="10340" customFormat="false" ht="15" hidden="false" customHeight="false" outlineLevel="0" collapsed="false">
      <c r="A10340" s="103"/>
      <c r="B10340" s="104"/>
      <c r="C10340" s="104"/>
      <c r="E10340" s="107" t="str">
        <f aca="false">IF($C10340="","",IFERROR(INDEX(المنيو!$C$2:$C$500,MATCH($C10340,المنيو!$B$2:$B$500,0)),0))</f>
        <v/>
      </c>
      <c r="F10340" s="107" t="str">
        <f aca="false">IF($C10340="","",$D10340*$E10340)</f>
        <v/>
      </c>
      <c r="G10340" s="107" t="str">
        <f aca="false">IF($C10340="","",$D10340*IFERROR(INDEX('تحليل التكلفة والسعر'!$C$2:$C$700,MATCH($C10340,'تحليل التكلفة والسعر'!$B$2:$B$700,0)),0))</f>
        <v/>
      </c>
    </row>
    <row r="10341" customFormat="false" ht="15" hidden="false" customHeight="false" outlineLevel="0" collapsed="false">
      <c r="A10341" s="103"/>
      <c r="B10341" s="104"/>
      <c r="C10341" s="104"/>
      <c r="E10341" s="107" t="str">
        <f aca="false">IF($C10341="","",IFERROR(INDEX(المنيو!$C$2:$C$500,MATCH($C10341,المنيو!$B$2:$B$500,0)),0))</f>
        <v/>
      </c>
      <c r="F10341" s="107" t="str">
        <f aca="false">IF($C10341="","",$D10341*$E10341)</f>
        <v/>
      </c>
      <c r="G10341" s="107" t="str">
        <f aca="false">IF($C10341="","",$D10341*IFERROR(INDEX('تحليل التكلفة والسعر'!$C$2:$C$700,MATCH($C10341,'تحليل التكلفة والسعر'!$B$2:$B$700,0)),0))</f>
        <v/>
      </c>
    </row>
    <row r="10342" customFormat="false" ht="15" hidden="false" customHeight="false" outlineLevel="0" collapsed="false">
      <c r="A10342" s="103"/>
      <c r="B10342" s="104"/>
      <c r="C10342" s="104"/>
      <c r="E10342" s="107" t="str">
        <f aca="false">IF($C10342="","",IFERROR(INDEX(المنيو!$C$2:$C$500,MATCH($C10342,المنيو!$B$2:$B$500,0)),0))</f>
        <v/>
      </c>
      <c r="F10342" s="107" t="str">
        <f aca="false">IF($C10342="","",$D10342*$E10342)</f>
        <v/>
      </c>
      <c r="G10342" s="107" t="str">
        <f aca="false">IF($C10342="","",$D10342*IFERROR(INDEX('تحليل التكلفة والسعر'!$C$2:$C$700,MATCH($C10342,'تحليل التكلفة والسعر'!$B$2:$B$700,0)),0))</f>
        <v/>
      </c>
    </row>
    <row r="10343" customFormat="false" ht="15" hidden="false" customHeight="false" outlineLevel="0" collapsed="false">
      <c r="A10343" s="103"/>
      <c r="B10343" s="104"/>
      <c r="C10343" s="104"/>
      <c r="E10343" s="107" t="str">
        <f aca="false">IF($C10343="","",IFERROR(INDEX(المنيو!$C$2:$C$500,MATCH($C10343,المنيو!$B$2:$B$500,0)),0))</f>
        <v/>
      </c>
      <c r="F10343" s="107" t="str">
        <f aca="false">IF($C10343="","",$D10343*$E10343)</f>
        <v/>
      </c>
      <c r="G10343" s="107" t="str">
        <f aca="false">IF($C10343="","",$D10343*IFERROR(INDEX('تحليل التكلفة والسعر'!$C$2:$C$700,MATCH($C10343,'تحليل التكلفة والسعر'!$B$2:$B$700,0)),0))</f>
        <v/>
      </c>
    </row>
    <row r="10344" customFormat="false" ht="15" hidden="false" customHeight="false" outlineLevel="0" collapsed="false">
      <c r="A10344" s="103"/>
      <c r="B10344" s="104"/>
      <c r="C10344" s="104"/>
      <c r="E10344" s="107" t="str">
        <f aca="false">IF($C10344="","",IFERROR(INDEX(المنيو!$C$2:$C$500,MATCH($C10344,المنيو!$B$2:$B$500,0)),0))</f>
        <v/>
      </c>
      <c r="F10344" s="107" t="str">
        <f aca="false">IF($C10344="","",$D10344*$E10344)</f>
        <v/>
      </c>
      <c r="G10344" s="107" t="str">
        <f aca="false">IF($C10344="","",$D10344*IFERROR(INDEX('تحليل التكلفة والسعر'!$C$2:$C$700,MATCH($C10344,'تحليل التكلفة والسعر'!$B$2:$B$700,0)),0))</f>
        <v/>
      </c>
    </row>
    <row r="10345" customFormat="false" ht="15" hidden="false" customHeight="false" outlineLevel="0" collapsed="false">
      <c r="A10345" s="103"/>
      <c r="B10345" s="104"/>
      <c r="C10345" s="104"/>
      <c r="E10345" s="107" t="str">
        <f aca="false">IF($C10345="","",IFERROR(INDEX(المنيو!$C$2:$C$500,MATCH($C10345,المنيو!$B$2:$B$500,0)),0))</f>
        <v/>
      </c>
      <c r="F10345" s="107" t="str">
        <f aca="false">IF($C10345="","",$D10345*$E10345)</f>
        <v/>
      </c>
      <c r="G10345" s="107" t="str">
        <f aca="false">IF($C10345="","",$D10345*IFERROR(INDEX('تحليل التكلفة والسعر'!$C$2:$C$700,MATCH($C10345,'تحليل التكلفة والسعر'!$B$2:$B$700,0)),0))</f>
        <v/>
      </c>
    </row>
    <row r="10346" customFormat="false" ht="15" hidden="false" customHeight="false" outlineLevel="0" collapsed="false">
      <c r="A10346" s="103"/>
      <c r="B10346" s="104"/>
      <c r="C10346" s="104"/>
      <c r="E10346" s="107" t="str">
        <f aca="false">IF($C10346="","",IFERROR(INDEX(المنيو!$C$2:$C$500,MATCH($C10346,المنيو!$B$2:$B$500,0)),0))</f>
        <v/>
      </c>
      <c r="F10346" s="107" t="str">
        <f aca="false">IF($C10346="","",$D10346*$E10346)</f>
        <v/>
      </c>
      <c r="G10346" s="107" t="str">
        <f aca="false">IF($C10346="","",$D10346*IFERROR(INDEX('تحليل التكلفة والسعر'!$C$2:$C$700,MATCH($C10346,'تحليل التكلفة والسعر'!$B$2:$B$700,0)),0))</f>
        <v/>
      </c>
    </row>
    <row r="10347" customFormat="false" ht="15" hidden="false" customHeight="false" outlineLevel="0" collapsed="false">
      <c r="A10347" s="103"/>
      <c r="B10347" s="104"/>
      <c r="C10347" s="104"/>
      <c r="E10347" s="107" t="str">
        <f aca="false">IF($C10347="","",IFERROR(INDEX(المنيو!$C$2:$C$500,MATCH($C10347,المنيو!$B$2:$B$500,0)),0))</f>
        <v/>
      </c>
      <c r="F10347" s="107" t="str">
        <f aca="false">IF($C10347="","",$D10347*$E10347)</f>
        <v/>
      </c>
      <c r="G10347" s="107" t="str">
        <f aca="false">IF($C10347="","",$D10347*IFERROR(INDEX('تحليل التكلفة والسعر'!$C$2:$C$700,MATCH($C10347,'تحليل التكلفة والسعر'!$B$2:$B$700,0)),0))</f>
        <v/>
      </c>
    </row>
    <row r="10348" customFormat="false" ht="15" hidden="false" customHeight="false" outlineLevel="0" collapsed="false">
      <c r="A10348" s="103"/>
      <c r="B10348" s="104"/>
      <c r="C10348" s="104"/>
      <c r="E10348" s="107" t="str">
        <f aca="false">IF($C10348="","",IFERROR(INDEX(المنيو!$C$2:$C$500,MATCH($C10348,المنيو!$B$2:$B$500,0)),0))</f>
        <v/>
      </c>
      <c r="F10348" s="107" t="str">
        <f aca="false">IF($C10348="","",$D10348*$E10348)</f>
        <v/>
      </c>
      <c r="G10348" s="107" t="str">
        <f aca="false">IF($C10348="","",$D10348*IFERROR(INDEX('تحليل التكلفة والسعر'!$C$2:$C$700,MATCH($C10348,'تحليل التكلفة والسعر'!$B$2:$B$700,0)),0))</f>
        <v/>
      </c>
    </row>
    <row r="10349" customFormat="false" ht="15" hidden="false" customHeight="false" outlineLevel="0" collapsed="false">
      <c r="A10349" s="103"/>
      <c r="B10349" s="104"/>
      <c r="C10349" s="104"/>
      <c r="E10349" s="107" t="str">
        <f aca="false">IF($C10349="","",IFERROR(INDEX(المنيو!$C$2:$C$500,MATCH($C10349,المنيو!$B$2:$B$500,0)),0))</f>
        <v/>
      </c>
      <c r="F10349" s="107" t="str">
        <f aca="false">IF($C10349="","",$D10349*$E10349)</f>
        <v/>
      </c>
      <c r="G10349" s="107" t="str">
        <f aca="false">IF($C10349="","",$D10349*IFERROR(INDEX('تحليل التكلفة والسعر'!$C$2:$C$700,MATCH($C10349,'تحليل التكلفة والسعر'!$B$2:$B$700,0)),0))</f>
        <v/>
      </c>
    </row>
    <row r="10350" customFormat="false" ht="15" hidden="false" customHeight="false" outlineLevel="0" collapsed="false">
      <c r="A10350" s="103"/>
      <c r="B10350" s="104"/>
      <c r="C10350" s="104"/>
      <c r="E10350" s="107" t="str">
        <f aca="false">IF($C10350="","",IFERROR(INDEX(المنيو!$C$2:$C$500,MATCH($C10350,المنيو!$B$2:$B$500,0)),0))</f>
        <v/>
      </c>
      <c r="F10350" s="107" t="str">
        <f aca="false">IF($C10350="","",$D10350*$E10350)</f>
        <v/>
      </c>
      <c r="G10350" s="107" t="str">
        <f aca="false">IF($C10350="","",$D10350*IFERROR(INDEX('تحليل التكلفة والسعر'!$C$2:$C$700,MATCH($C10350,'تحليل التكلفة والسعر'!$B$2:$B$700,0)),0))</f>
        <v/>
      </c>
    </row>
    <row r="10351" customFormat="false" ht="15" hidden="false" customHeight="false" outlineLevel="0" collapsed="false">
      <c r="A10351" s="103"/>
      <c r="B10351" s="104"/>
      <c r="C10351" s="104"/>
      <c r="E10351" s="107" t="str">
        <f aca="false">IF($C10351="","",IFERROR(INDEX(المنيو!$C$2:$C$500,MATCH($C10351,المنيو!$B$2:$B$500,0)),0))</f>
        <v/>
      </c>
      <c r="F10351" s="107" t="str">
        <f aca="false">IF($C10351="","",$D10351*$E10351)</f>
        <v/>
      </c>
      <c r="G10351" s="107" t="str">
        <f aca="false">IF($C10351="","",$D10351*IFERROR(INDEX('تحليل التكلفة والسعر'!$C$2:$C$700,MATCH($C10351,'تحليل التكلفة والسعر'!$B$2:$B$700,0)),0))</f>
        <v/>
      </c>
    </row>
    <row r="10352" customFormat="false" ht="15" hidden="false" customHeight="false" outlineLevel="0" collapsed="false">
      <c r="A10352" s="103"/>
      <c r="B10352" s="104"/>
      <c r="C10352" s="104"/>
      <c r="E10352" s="107" t="str">
        <f aca="false">IF($C10352="","",IFERROR(INDEX(المنيو!$C$2:$C$500,MATCH($C10352,المنيو!$B$2:$B$500,0)),0))</f>
        <v/>
      </c>
      <c r="F10352" s="107" t="str">
        <f aca="false">IF($C10352="","",$D10352*$E10352)</f>
        <v/>
      </c>
      <c r="G10352" s="107" t="str">
        <f aca="false">IF($C10352="","",$D10352*IFERROR(INDEX('تحليل التكلفة والسعر'!$C$2:$C$700,MATCH($C10352,'تحليل التكلفة والسعر'!$B$2:$B$700,0)),0))</f>
        <v/>
      </c>
    </row>
    <row r="10353" customFormat="false" ht="15" hidden="false" customHeight="false" outlineLevel="0" collapsed="false">
      <c r="A10353" s="103"/>
      <c r="B10353" s="104"/>
      <c r="C10353" s="104"/>
      <c r="E10353" s="107" t="str">
        <f aca="false">IF($C10353="","",IFERROR(INDEX(المنيو!$C$2:$C$500,MATCH($C10353,المنيو!$B$2:$B$500,0)),0))</f>
        <v/>
      </c>
      <c r="F10353" s="107" t="str">
        <f aca="false">IF($C10353="","",$D10353*$E10353)</f>
        <v/>
      </c>
      <c r="G10353" s="107" t="str">
        <f aca="false">IF($C10353="","",$D10353*IFERROR(INDEX('تحليل التكلفة والسعر'!$C$2:$C$700,MATCH($C10353,'تحليل التكلفة والسعر'!$B$2:$B$700,0)),0))</f>
        <v/>
      </c>
    </row>
    <row r="10354" customFormat="false" ht="15" hidden="false" customHeight="false" outlineLevel="0" collapsed="false">
      <c r="A10354" s="103"/>
      <c r="B10354" s="104"/>
      <c r="C10354" s="104"/>
      <c r="E10354" s="107" t="str">
        <f aca="false">IF($C10354="","",IFERROR(INDEX(المنيو!$C$2:$C$500,MATCH($C10354,المنيو!$B$2:$B$500,0)),0))</f>
        <v/>
      </c>
      <c r="F10354" s="107" t="str">
        <f aca="false">IF($C10354="","",$D10354*$E10354)</f>
        <v/>
      </c>
      <c r="G10354" s="107" t="str">
        <f aca="false">IF($C10354="","",$D10354*IFERROR(INDEX('تحليل التكلفة والسعر'!$C$2:$C$700,MATCH($C10354,'تحليل التكلفة والسعر'!$B$2:$B$700,0)),0))</f>
        <v/>
      </c>
    </row>
    <row r="10355" customFormat="false" ht="15" hidden="false" customHeight="false" outlineLevel="0" collapsed="false">
      <c r="A10355" s="103"/>
      <c r="B10355" s="104"/>
      <c r="C10355" s="104"/>
      <c r="E10355" s="107" t="str">
        <f aca="false">IF($C10355="","",IFERROR(INDEX(المنيو!$C$2:$C$500,MATCH($C10355,المنيو!$B$2:$B$500,0)),0))</f>
        <v/>
      </c>
      <c r="F10355" s="107" t="str">
        <f aca="false">IF($C10355="","",$D10355*$E10355)</f>
        <v/>
      </c>
      <c r="G10355" s="107" t="str">
        <f aca="false">IF($C10355="","",$D10355*IFERROR(INDEX('تحليل التكلفة والسعر'!$C$2:$C$700,MATCH($C10355,'تحليل التكلفة والسعر'!$B$2:$B$700,0)),0))</f>
        <v/>
      </c>
    </row>
    <row r="10356" customFormat="false" ht="15" hidden="false" customHeight="false" outlineLevel="0" collapsed="false">
      <c r="A10356" s="103"/>
      <c r="B10356" s="104"/>
      <c r="C10356" s="104"/>
      <c r="E10356" s="107" t="str">
        <f aca="false">IF($C10356="","",IFERROR(INDEX(المنيو!$C$2:$C$500,MATCH($C10356,المنيو!$B$2:$B$500,0)),0))</f>
        <v/>
      </c>
      <c r="F10356" s="107" t="str">
        <f aca="false">IF($C10356="","",$D10356*$E10356)</f>
        <v/>
      </c>
      <c r="G10356" s="107" t="str">
        <f aca="false">IF($C10356="","",$D10356*IFERROR(INDEX('تحليل التكلفة والسعر'!$C$2:$C$700,MATCH($C10356,'تحليل التكلفة والسعر'!$B$2:$B$700,0)),0))</f>
        <v/>
      </c>
    </row>
    <row r="10357" customFormat="false" ht="15" hidden="false" customHeight="false" outlineLevel="0" collapsed="false">
      <c r="A10357" s="103"/>
      <c r="B10357" s="104"/>
      <c r="C10357" s="104"/>
      <c r="E10357" s="107" t="str">
        <f aca="false">IF($C10357="","",IFERROR(INDEX(المنيو!$C$2:$C$500,MATCH($C10357,المنيو!$B$2:$B$500,0)),0))</f>
        <v/>
      </c>
      <c r="F10357" s="107" t="str">
        <f aca="false">IF($C10357="","",$D10357*$E10357)</f>
        <v/>
      </c>
      <c r="G10357" s="107" t="str">
        <f aca="false">IF($C10357="","",$D10357*IFERROR(INDEX('تحليل التكلفة والسعر'!$C$2:$C$700,MATCH($C10357,'تحليل التكلفة والسعر'!$B$2:$B$700,0)),0))</f>
        <v/>
      </c>
    </row>
    <row r="10358" customFormat="false" ht="15" hidden="false" customHeight="false" outlineLevel="0" collapsed="false">
      <c r="A10358" s="103"/>
      <c r="B10358" s="104"/>
      <c r="C10358" s="104"/>
      <c r="E10358" s="107" t="str">
        <f aca="false">IF($C10358="","",IFERROR(INDEX(المنيو!$C$2:$C$500,MATCH($C10358,المنيو!$B$2:$B$500,0)),0))</f>
        <v/>
      </c>
      <c r="F10358" s="107" t="str">
        <f aca="false">IF($C10358="","",$D10358*$E10358)</f>
        <v/>
      </c>
      <c r="G10358" s="107" t="str">
        <f aca="false">IF($C10358="","",$D10358*IFERROR(INDEX('تحليل التكلفة والسعر'!$C$2:$C$700,MATCH($C10358,'تحليل التكلفة والسعر'!$B$2:$B$700,0)),0))</f>
        <v/>
      </c>
    </row>
    <row r="10359" customFormat="false" ht="15" hidden="false" customHeight="false" outlineLevel="0" collapsed="false">
      <c r="A10359" s="103"/>
      <c r="B10359" s="104"/>
      <c r="C10359" s="104"/>
      <c r="E10359" s="107" t="str">
        <f aca="false">IF($C10359="","",IFERROR(INDEX(المنيو!$C$2:$C$500,MATCH($C10359,المنيو!$B$2:$B$500,0)),0))</f>
        <v/>
      </c>
      <c r="F10359" s="107" t="str">
        <f aca="false">IF($C10359="","",$D10359*$E10359)</f>
        <v/>
      </c>
      <c r="G10359" s="107" t="str">
        <f aca="false">IF($C10359="","",$D10359*IFERROR(INDEX('تحليل التكلفة والسعر'!$C$2:$C$700,MATCH($C10359,'تحليل التكلفة والسعر'!$B$2:$B$700,0)),0))</f>
        <v/>
      </c>
    </row>
    <row r="10360" customFormat="false" ht="15" hidden="false" customHeight="false" outlineLevel="0" collapsed="false">
      <c r="A10360" s="103"/>
      <c r="B10360" s="104"/>
      <c r="C10360" s="104"/>
      <c r="E10360" s="107" t="str">
        <f aca="false">IF($C10360="","",IFERROR(INDEX(المنيو!$C$2:$C$500,MATCH($C10360,المنيو!$B$2:$B$500,0)),0))</f>
        <v/>
      </c>
      <c r="F10360" s="107" t="str">
        <f aca="false">IF($C10360="","",$D10360*$E10360)</f>
        <v/>
      </c>
      <c r="G10360" s="107" t="str">
        <f aca="false">IF($C10360="","",$D10360*IFERROR(INDEX('تحليل التكلفة والسعر'!$C$2:$C$700,MATCH($C10360,'تحليل التكلفة والسعر'!$B$2:$B$700,0)),0))</f>
        <v/>
      </c>
    </row>
    <row r="10361" customFormat="false" ht="15" hidden="false" customHeight="false" outlineLevel="0" collapsed="false">
      <c r="A10361" s="103"/>
      <c r="B10361" s="104"/>
      <c r="C10361" s="104"/>
      <c r="E10361" s="107" t="str">
        <f aca="false">IF($C10361="","",IFERROR(INDEX(المنيو!$C$2:$C$500,MATCH($C10361,المنيو!$B$2:$B$500,0)),0))</f>
        <v/>
      </c>
      <c r="F10361" s="107" t="str">
        <f aca="false">IF($C10361="","",$D10361*$E10361)</f>
        <v/>
      </c>
      <c r="G10361" s="107" t="str">
        <f aca="false">IF($C10361="","",$D10361*IFERROR(INDEX('تحليل التكلفة والسعر'!$C$2:$C$700,MATCH($C10361,'تحليل التكلفة والسعر'!$B$2:$B$700,0)),0))</f>
        <v/>
      </c>
    </row>
    <row r="10362" customFormat="false" ht="15" hidden="false" customHeight="false" outlineLevel="0" collapsed="false">
      <c r="A10362" s="103"/>
      <c r="B10362" s="104"/>
      <c r="C10362" s="104"/>
      <c r="E10362" s="107" t="str">
        <f aca="false">IF($C10362="","",IFERROR(INDEX(المنيو!$C$2:$C$500,MATCH($C10362,المنيو!$B$2:$B$500,0)),0))</f>
        <v/>
      </c>
      <c r="F10362" s="107" t="str">
        <f aca="false">IF($C10362="","",$D10362*$E10362)</f>
        <v/>
      </c>
      <c r="G10362" s="107" t="str">
        <f aca="false">IF($C10362="","",$D10362*IFERROR(INDEX('تحليل التكلفة والسعر'!$C$2:$C$700,MATCH($C10362,'تحليل التكلفة والسعر'!$B$2:$B$700,0)),0))</f>
        <v/>
      </c>
    </row>
    <row r="10363" customFormat="false" ht="15" hidden="false" customHeight="false" outlineLevel="0" collapsed="false">
      <c r="A10363" s="103"/>
      <c r="B10363" s="104"/>
      <c r="C10363" s="104"/>
      <c r="E10363" s="107" t="str">
        <f aca="false">IF($C10363="","",IFERROR(INDEX(المنيو!$C$2:$C$500,MATCH($C10363,المنيو!$B$2:$B$500,0)),0))</f>
        <v/>
      </c>
      <c r="F10363" s="107" t="str">
        <f aca="false">IF($C10363="","",$D10363*$E10363)</f>
        <v/>
      </c>
      <c r="G10363" s="107" t="str">
        <f aca="false">IF($C10363="","",$D10363*IFERROR(INDEX('تحليل التكلفة والسعر'!$C$2:$C$700,MATCH($C10363,'تحليل التكلفة والسعر'!$B$2:$B$700,0)),0))</f>
        <v/>
      </c>
    </row>
    <row r="10364" customFormat="false" ht="15" hidden="false" customHeight="false" outlineLevel="0" collapsed="false">
      <c r="A10364" s="103"/>
      <c r="B10364" s="104"/>
      <c r="C10364" s="104"/>
      <c r="E10364" s="107" t="str">
        <f aca="false">IF($C10364="","",IFERROR(INDEX(المنيو!$C$2:$C$500,MATCH($C10364,المنيو!$B$2:$B$500,0)),0))</f>
        <v/>
      </c>
      <c r="F10364" s="107" t="str">
        <f aca="false">IF($C10364="","",$D10364*$E10364)</f>
        <v/>
      </c>
      <c r="G10364" s="107" t="str">
        <f aca="false">IF($C10364="","",$D10364*IFERROR(INDEX('تحليل التكلفة والسعر'!$C$2:$C$700,MATCH($C10364,'تحليل التكلفة والسعر'!$B$2:$B$700,0)),0))</f>
        <v/>
      </c>
    </row>
    <row r="10365" customFormat="false" ht="15" hidden="false" customHeight="false" outlineLevel="0" collapsed="false">
      <c r="A10365" s="103"/>
      <c r="B10365" s="104"/>
      <c r="C10365" s="104"/>
      <c r="E10365" s="107" t="str">
        <f aca="false">IF($C10365="","",IFERROR(INDEX(المنيو!$C$2:$C$500,MATCH($C10365,المنيو!$B$2:$B$500,0)),0))</f>
        <v/>
      </c>
      <c r="F10365" s="107" t="str">
        <f aca="false">IF($C10365="","",$D10365*$E10365)</f>
        <v/>
      </c>
      <c r="G10365" s="107" t="str">
        <f aca="false">IF($C10365="","",$D10365*IFERROR(INDEX('تحليل التكلفة والسعر'!$C$2:$C$700,MATCH($C10365,'تحليل التكلفة والسعر'!$B$2:$B$700,0)),0))</f>
        <v/>
      </c>
    </row>
    <row r="10366" customFormat="false" ht="15" hidden="false" customHeight="false" outlineLevel="0" collapsed="false">
      <c r="A10366" s="103"/>
      <c r="B10366" s="104"/>
      <c r="C10366" s="104"/>
      <c r="E10366" s="107" t="str">
        <f aca="false">IF($C10366="","",IFERROR(INDEX(المنيو!$C$2:$C$500,MATCH($C10366,المنيو!$B$2:$B$500,0)),0))</f>
        <v/>
      </c>
      <c r="F10366" s="107" t="str">
        <f aca="false">IF($C10366="","",$D10366*$E10366)</f>
        <v/>
      </c>
      <c r="G10366" s="107" t="str">
        <f aca="false">IF($C10366="","",$D10366*IFERROR(INDEX('تحليل التكلفة والسعر'!$C$2:$C$700,MATCH($C10366,'تحليل التكلفة والسعر'!$B$2:$B$700,0)),0))</f>
        <v/>
      </c>
    </row>
    <row r="10367" customFormat="false" ht="15" hidden="false" customHeight="false" outlineLevel="0" collapsed="false">
      <c r="A10367" s="103"/>
      <c r="B10367" s="104"/>
      <c r="C10367" s="104"/>
      <c r="E10367" s="107" t="str">
        <f aca="false">IF($C10367="","",IFERROR(INDEX(المنيو!$C$2:$C$500,MATCH($C10367,المنيو!$B$2:$B$500,0)),0))</f>
        <v/>
      </c>
      <c r="F10367" s="107" t="str">
        <f aca="false">IF($C10367="","",$D10367*$E10367)</f>
        <v/>
      </c>
      <c r="G10367" s="107" t="str">
        <f aca="false">IF($C10367="","",$D10367*IFERROR(INDEX('تحليل التكلفة والسعر'!$C$2:$C$700,MATCH($C10367,'تحليل التكلفة والسعر'!$B$2:$B$700,0)),0))</f>
        <v/>
      </c>
    </row>
    <row r="10368" customFormat="false" ht="15" hidden="false" customHeight="false" outlineLevel="0" collapsed="false">
      <c r="A10368" s="103"/>
      <c r="B10368" s="104"/>
      <c r="C10368" s="104"/>
      <c r="E10368" s="107" t="str">
        <f aca="false">IF($C10368="","",IFERROR(INDEX(المنيو!$C$2:$C$500,MATCH($C10368,المنيو!$B$2:$B$500,0)),0))</f>
        <v/>
      </c>
      <c r="F10368" s="107" t="str">
        <f aca="false">IF($C10368="","",$D10368*$E10368)</f>
        <v/>
      </c>
      <c r="G10368" s="107" t="str">
        <f aca="false">IF($C10368="","",$D10368*IFERROR(INDEX('تحليل التكلفة والسعر'!$C$2:$C$700,MATCH($C10368,'تحليل التكلفة والسعر'!$B$2:$B$700,0)),0))</f>
        <v/>
      </c>
    </row>
    <row r="10369" customFormat="false" ht="15" hidden="false" customHeight="false" outlineLevel="0" collapsed="false">
      <c r="A10369" s="103"/>
      <c r="B10369" s="104"/>
      <c r="C10369" s="104"/>
      <c r="E10369" s="107" t="str">
        <f aca="false">IF($C10369="","",IFERROR(INDEX(المنيو!$C$2:$C$500,MATCH($C10369,المنيو!$B$2:$B$500,0)),0))</f>
        <v/>
      </c>
      <c r="F10369" s="107" t="str">
        <f aca="false">IF($C10369="","",$D10369*$E10369)</f>
        <v/>
      </c>
      <c r="G10369" s="107" t="str">
        <f aca="false">IF($C10369="","",$D10369*IFERROR(INDEX('تحليل التكلفة والسعر'!$C$2:$C$700,MATCH($C10369,'تحليل التكلفة والسعر'!$B$2:$B$700,0)),0))</f>
        <v/>
      </c>
    </row>
    <row r="10370" customFormat="false" ht="15" hidden="false" customHeight="false" outlineLevel="0" collapsed="false">
      <c r="A10370" s="103"/>
      <c r="B10370" s="104"/>
      <c r="C10370" s="104"/>
      <c r="E10370" s="107" t="str">
        <f aca="false">IF($C10370="","",IFERROR(INDEX(المنيو!$C$2:$C$500,MATCH($C10370,المنيو!$B$2:$B$500,0)),0))</f>
        <v/>
      </c>
      <c r="F10370" s="107" t="str">
        <f aca="false">IF($C10370="","",$D10370*$E10370)</f>
        <v/>
      </c>
      <c r="G10370" s="107" t="str">
        <f aca="false">IF($C10370="","",$D10370*IFERROR(INDEX('تحليل التكلفة والسعر'!$C$2:$C$700,MATCH($C10370,'تحليل التكلفة والسعر'!$B$2:$B$700,0)),0))</f>
        <v/>
      </c>
    </row>
    <row r="10371" customFormat="false" ht="15" hidden="false" customHeight="false" outlineLevel="0" collapsed="false">
      <c r="A10371" s="103"/>
      <c r="B10371" s="104"/>
      <c r="C10371" s="104"/>
      <c r="E10371" s="107" t="str">
        <f aca="false">IF($C10371="","",IFERROR(INDEX(المنيو!$C$2:$C$500,MATCH($C10371,المنيو!$B$2:$B$500,0)),0))</f>
        <v/>
      </c>
      <c r="F10371" s="107" t="str">
        <f aca="false">IF($C10371="","",$D10371*$E10371)</f>
        <v/>
      </c>
      <c r="G10371" s="107" t="str">
        <f aca="false">IF($C10371="","",$D10371*IFERROR(INDEX('تحليل التكلفة والسعر'!$C$2:$C$700,MATCH($C10371,'تحليل التكلفة والسعر'!$B$2:$B$700,0)),0))</f>
        <v/>
      </c>
    </row>
    <row r="10372" customFormat="false" ht="15" hidden="false" customHeight="false" outlineLevel="0" collapsed="false">
      <c r="A10372" s="103"/>
      <c r="B10372" s="104"/>
      <c r="C10372" s="104"/>
      <c r="E10372" s="107" t="str">
        <f aca="false">IF($C10372="","",IFERROR(INDEX(المنيو!$C$2:$C$500,MATCH($C10372,المنيو!$B$2:$B$500,0)),0))</f>
        <v/>
      </c>
      <c r="F10372" s="107" t="str">
        <f aca="false">IF($C10372="","",$D10372*$E10372)</f>
        <v/>
      </c>
      <c r="G10372" s="107" t="str">
        <f aca="false">IF($C10372="","",$D10372*IFERROR(INDEX('تحليل التكلفة والسعر'!$C$2:$C$700,MATCH($C10372,'تحليل التكلفة والسعر'!$B$2:$B$700,0)),0))</f>
        <v/>
      </c>
    </row>
    <row r="10373" customFormat="false" ht="15" hidden="false" customHeight="false" outlineLevel="0" collapsed="false">
      <c r="A10373" s="103"/>
      <c r="B10373" s="104"/>
      <c r="C10373" s="104"/>
      <c r="E10373" s="107" t="str">
        <f aca="false">IF($C10373="","",IFERROR(INDEX(المنيو!$C$2:$C$500,MATCH($C10373,المنيو!$B$2:$B$500,0)),0))</f>
        <v/>
      </c>
      <c r="F10373" s="107" t="str">
        <f aca="false">IF($C10373="","",$D10373*$E10373)</f>
        <v/>
      </c>
      <c r="G10373" s="107" t="str">
        <f aca="false">IF($C10373="","",$D10373*IFERROR(INDEX('تحليل التكلفة والسعر'!$C$2:$C$700,MATCH($C10373,'تحليل التكلفة والسعر'!$B$2:$B$700,0)),0))</f>
        <v/>
      </c>
    </row>
    <row r="10374" customFormat="false" ht="15" hidden="false" customHeight="false" outlineLevel="0" collapsed="false">
      <c r="A10374" s="103"/>
      <c r="B10374" s="104"/>
      <c r="C10374" s="104"/>
      <c r="E10374" s="107" t="str">
        <f aca="false">IF($C10374="","",IFERROR(INDEX(المنيو!$C$2:$C$500,MATCH($C10374,المنيو!$B$2:$B$500,0)),0))</f>
        <v/>
      </c>
      <c r="F10374" s="107" t="str">
        <f aca="false">IF($C10374="","",$D10374*$E10374)</f>
        <v/>
      </c>
      <c r="G10374" s="107" t="str">
        <f aca="false">IF($C10374="","",$D10374*IFERROR(INDEX('تحليل التكلفة والسعر'!$C$2:$C$700,MATCH($C10374,'تحليل التكلفة والسعر'!$B$2:$B$700,0)),0))</f>
        <v/>
      </c>
    </row>
    <row r="10375" customFormat="false" ht="15" hidden="false" customHeight="false" outlineLevel="0" collapsed="false">
      <c r="A10375" s="103"/>
      <c r="B10375" s="104"/>
      <c r="C10375" s="104"/>
      <c r="E10375" s="107" t="str">
        <f aca="false">IF($C10375="","",IFERROR(INDEX(المنيو!$C$2:$C$500,MATCH($C10375,المنيو!$B$2:$B$500,0)),0))</f>
        <v/>
      </c>
      <c r="F10375" s="107" t="str">
        <f aca="false">IF($C10375="","",$D10375*$E10375)</f>
        <v/>
      </c>
      <c r="G10375" s="107" t="str">
        <f aca="false">IF($C10375="","",$D10375*IFERROR(INDEX('تحليل التكلفة والسعر'!$C$2:$C$700,MATCH($C10375,'تحليل التكلفة والسعر'!$B$2:$B$700,0)),0))</f>
        <v/>
      </c>
    </row>
    <row r="10376" customFormat="false" ht="15" hidden="false" customHeight="false" outlineLevel="0" collapsed="false">
      <c r="A10376" s="103"/>
      <c r="B10376" s="104"/>
      <c r="C10376" s="104"/>
      <c r="E10376" s="107" t="str">
        <f aca="false">IF($C10376="","",IFERROR(INDEX(المنيو!$C$2:$C$500,MATCH($C10376,المنيو!$B$2:$B$500,0)),0))</f>
        <v/>
      </c>
      <c r="F10376" s="107" t="str">
        <f aca="false">IF($C10376="","",$D10376*$E10376)</f>
        <v/>
      </c>
      <c r="G10376" s="107" t="str">
        <f aca="false">IF($C10376="","",$D10376*IFERROR(INDEX('تحليل التكلفة والسعر'!$C$2:$C$700,MATCH($C10376,'تحليل التكلفة والسعر'!$B$2:$B$700,0)),0))</f>
        <v/>
      </c>
    </row>
    <row r="10377" customFormat="false" ht="15" hidden="false" customHeight="false" outlineLevel="0" collapsed="false">
      <c r="A10377" s="103"/>
      <c r="B10377" s="104"/>
      <c r="C10377" s="104"/>
      <c r="E10377" s="107" t="str">
        <f aca="false">IF($C10377="","",IFERROR(INDEX(المنيو!$C$2:$C$500,MATCH($C10377,المنيو!$B$2:$B$500,0)),0))</f>
        <v/>
      </c>
      <c r="F10377" s="107" t="str">
        <f aca="false">IF($C10377="","",$D10377*$E10377)</f>
        <v/>
      </c>
      <c r="G10377" s="107" t="str">
        <f aca="false">IF($C10377="","",$D10377*IFERROR(INDEX('تحليل التكلفة والسعر'!$C$2:$C$700,MATCH($C10377,'تحليل التكلفة والسعر'!$B$2:$B$700,0)),0))</f>
        <v/>
      </c>
    </row>
    <row r="10378" customFormat="false" ht="15" hidden="false" customHeight="false" outlineLevel="0" collapsed="false">
      <c r="A10378" s="103"/>
      <c r="B10378" s="104"/>
      <c r="C10378" s="104"/>
      <c r="E10378" s="107" t="str">
        <f aca="false">IF($C10378="","",IFERROR(INDEX(المنيو!$C$2:$C$500,MATCH($C10378,المنيو!$B$2:$B$500,0)),0))</f>
        <v/>
      </c>
      <c r="F10378" s="107" t="str">
        <f aca="false">IF($C10378="","",$D10378*$E10378)</f>
        <v/>
      </c>
      <c r="G10378" s="107" t="str">
        <f aca="false">IF($C10378="","",$D10378*IFERROR(INDEX('تحليل التكلفة والسعر'!$C$2:$C$700,MATCH($C10378,'تحليل التكلفة والسعر'!$B$2:$B$700,0)),0))</f>
        <v/>
      </c>
    </row>
    <row r="10379" customFormat="false" ht="15" hidden="false" customHeight="false" outlineLevel="0" collapsed="false">
      <c r="A10379" s="103"/>
      <c r="B10379" s="104"/>
      <c r="C10379" s="104"/>
      <c r="E10379" s="107" t="str">
        <f aca="false">IF($C10379="","",IFERROR(INDEX(المنيو!$C$2:$C$500,MATCH($C10379,المنيو!$B$2:$B$500,0)),0))</f>
        <v/>
      </c>
      <c r="F10379" s="107" t="str">
        <f aca="false">IF($C10379="","",$D10379*$E10379)</f>
        <v/>
      </c>
      <c r="G10379" s="107" t="str">
        <f aca="false">IF($C10379="","",$D10379*IFERROR(INDEX('تحليل التكلفة والسعر'!$C$2:$C$700,MATCH($C10379,'تحليل التكلفة والسعر'!$B$2:$B$700,0)),0))</f>
        <v/>
      </c>
    </row>
    <row r="10380" customFormat="false" ht="15" hidden="false" customHeight="false" outlineLevel="0" collapsed="false">
      <c r="A10380" s="103"/>
      <c r="B10380" s="104"/>
      <c r="C10380" s="104"/>
      <c r="E10380" s="107" t="str">
        <f aca="false">IF($C10380="","",IFERROR(INDEX(المنيو!$C$2:$C$500,MATCH($C10380,المنيو!$B$2:$B$500,0)),0))</f>
        <v/>
      </c>
      <c r="F10380" s="107" t="str">
        <f aca="false">IF($C10380="","",$D10380*$E10380)</f>
        <v/>
      </c>
      <c r="G10380" s="107" t="str">
        <f aca="false">IF($C10380="","",$D10380*IFERROR(INDEX('تحليل التكلفة والسعر'!$C$2:$C$700,MATCH($C10380,'تحليل التكلفة والسعر'!$B$2:$B$700,0)),0))</f>
        <v/>
      </c>
    </row>
    <row r="10381" customFormat="false" ht="15" hidden="false" customHeight="false" outlineLevel="0" collapsed="false">
      <c r="A10381" s="103"/>
      <c r="B10381" s="104"/>
      <c r="C10381" s="104"/>
      <c r="E10381" s="107" t="str">
        <f aca="false">IF($C10381="","",IFERROR(INDEX(المنيو!$C$2:$C$500,MATCH($C10381,المنيو!$B$2:$B$500,0)),0))</f>
        <v/>
      </c>
      <c r="F10381" s="107" t="str">
        <f aca="false">IF($C10381="","",$D10381*$E10381)</f>
        <v/>
      </c>
      <c r="G10381" s="107" t="str">
        <f aca="false">IF($C10381="","",$D10381*IFERROR(INDEX('تحليل التكلفة والسعر'!$C$2:$C$700,MATCH($C10381,'تحليل التكلفة والسعر'!$B$2:$B$700,0)),0))</f>
        <v/>
      </c>
    </row>
    <row r="10382" customFormat="false" ht="15" hidden="false" customHeight="false" outlineLevel="0" collapsed="false">
      <c r="A10382" s="103"/>
      <c r="B10382" s="104"/>
      <c r="C10382" s="104"/>
      <c r="E10382" s="107" t="str">
        <f aca="false">IF($C10382="","",IFERROR(INDEX(المنيو!$C$2:$C$500,MATCH($C10382,المنيو!$B$2:$B$500,0)),0))</f>
        <v/>
      </c>
      <c r="F10382" s="107" t="str">
        <f aca="false">IF($C10382="","",$D10382*$E10382)</f>
        <v/>
      </c>
      <c r="G10382" s="107" t="str">
        <f aca="false">IF($C10382="","",$D10382*IFERROR(INDEX('تحليل التكلفة والسعر'!$C$2:$C$700,MATCH($C10382,'تحليل التكلفة والسعر'!$B$2:$B$700,0)),0))</f>
        <v/>
      </c>
    </row>
    <row r="10383" customFormat="false" ht="15" hidden="false" customHeight="false" outlineLevel="0" collapsed="false">
      <c r="A10383" s="103"/>
      <c r="B10383" s="104"/>
      <c r="C10383" s="104"/>
      <c r="E10383" s="107" t="str">
        <f aca="false">IF($C10383="","",IFERROR(INDEX(المنيو!$C$2:$C$500,MATCH($C10383,المنيو!$B$2:$B$500,0)),0))</f>
        <v/>
      </c>
      <c r="F10383" s="107" t="str">
        <f aca="false">IF($C10383="","",$D10383*$E10383)</f>
        <v/>
      </c>
      <c r="G10383" s="107" t="str">
        <f aca="false">IF($C10383="","",$D10383*IFERROR(INDEX('تحليل التكلفة والسعر'!$C$2:$C$700,MATCH($C10383,'تحليل التكلفة والسعر'!$B$2:$B$700,0)),0))</f>
        <v/>
      </c>
    </row>
    <row r="10384" customFormat="false" ht="15" hidden="false" customHeight="false" outlineLevel="0" collapsed="false">
      <c r="A10384" s="103"/>
      <c r="B10384" s="104"/>
      <c r="C10384" s="104"/>
      <c r="E10384" s="107" t="str">
        <f aca="false">IF($C10384="","",IFERROR(INDEX(المنيو!$C$2:$C$500,MATCH($C10384,المنيو!$B$2:$B$500,0)),0))</f>
        <v/>
      </c>
      <c r="F10384" s="107" t="str">
        <f aca="false">IF($C10384="","",$D10384*$E10384)</f>
        <v/>
      </c>
      <c r="G10384" s="107" t="str">
        <f aca="false">IF($C10384="","",$D10384*IFERROR(INDEX('تحليل التكلفة والسعر'!$C$2:$C$700,MATCH($C10384,'تحليل التكلفة والسعر'!$B$2:$B$700,0)),0))</f>
        <v/>
      </c>
    </row>
    <row r="10385" customFormat="false" ht="15" hidden="false" customHeight="false" outlineLevel="0" collapsed="false">
      <c r="A10385" s="103"/>
      <c r="B10385" s="104"/>
      <c r="C10385" s="104"/>
      <c r="E10385" s="107" t="str">
        <f aca="false">IF($C10385="","",IFERROR(INDEX(المنيو!$C$2:$C$500,MATCH($C10385,المنيو!$B$2:$B$500,0)),0))</f>
        <v/>
      </c>
      <c r="F10385" s="107" t="str">
        <f aca="false">IF($C10385="","",$D10385*$E10385)</f>
        <v/>
      </c>
      <c r="G10385" s="107" t="str">
        <f aca="false">IF($C10385="","",$D10385*IFERROR(INDEX('تحليل التكلفة والسعر'!$C$2:$C$700,MATCH($C10385,'تحليل التكلفة والسعر'!$B$2:$B$700,0)),0))</f>
        <v/>
      </c>
    </row>
    <row r="10386" customFormat="false" ht="15" hidden="false" customHeight="false" outlineLevel="0" collapsed="false">
      <c r="A10386" s="103"/>
      <c r="B10386" s="104"/>
      <c r="C10386" s="104"/>
      <c r="E10386" s="107" t="str">
        <f aca="false">IF($C10386="","",IFERROR(INDEX(المنيو!$C$2:$C$500,MATCH($C10386,المنيو!$B$2:$B$500,0)),0))</f>
        <v/>
      </c>
      <c r="F10386" s="107" t="str">
        <f aca="false">IF($C10386="","",$D10386*$E10386)</f>
        <v/>
      </c>
      <c r="G10386" s="107" t="str">
        <f aca="false">IF($C10386="","",$D10386*IFERROR(INDEX('تحليل التكلفة والسعر'!$C$2:$C$700,MATCH($C10386,'تحليل التكلفة والسعر'!$B$2:$B$700,0)),0))</f>
        <v/>
      </c>
    </row>
    <row r="10387" customFormat="false" ht="15" hidden="false" customHeight="false" outlineLevel="0" collapsed="false">
      <c r="A10387" s="103"/>
      <c r="B10387" s="104"/>
      <c r="C10387" s="104"/>
      <c r="E10387" s="107" t="str">
        <f aca="false">IF($C10387="","",IFERROR(INDEX(المنيو!$C$2:$C$500,MATCH($C10387,المنيو!$B$2:$B$500,0)),0))</f>
        <v/>
      </c>
      <c r="F10387" s="107" t="str">
        <f aca="false">IF($C10387="","",$D10387*$E10387)</f>
        <v/>
      </c>
      <c r="G10387" s="107" t="str">
        <f aca="false">IF($C10387="","",$D10387*IFERROR(INDEX('تحليل التكلفة والسعر'!$C$2:$C$700,MATCH($C10387,'تحليل التكلفة والسعر'!$B$2:$B$700,0)),0))</f>
        <v/>
      </c>
    </row>
    <row r="10388" customFormat="false" ht="15" hidden="false" customHeight="false" outlineLevel="0" collapsed="false">
      <c r="A10388" s="103"/>
      <c r="B10388" s="104"/>
      <c r="C10388" s="104"/>
      <c r="E10388" s="107" t="str">
        <f aca="false">IF($C10388="","",IFERROR(INDEX(المنيو!$C$2:$C$500,MATCH($C10388,المنيو!$B$2:$B$500,0)),0))</f>
        <v/>
      </c>
      <c r="F10388" s="107" t="str">
        <f aca="false">IF($C10388="","",$D10388*$E10388)</f>
        <v/>
      </c>
      <c r="G10388" s="107" t="str">
        <f aca="false">IF($C10388="","",$D10388*IFERROR(INDEX('تحليل التكلفة والسعر'!$C$2:$C$700,MATCH($C10388,'تحليل التكلفة والسعر'!$B$2:$B$700,0)),0))</f>
        <v/>
      </c>
    </row>
    <row r="10389" customFormat="false" ht="15" hidden="false" customHeight="false" outlineLevel="0" collapsed="false">
      <c r="A10389" s="103"/>
      <c r="B10389" s="104"/>
      <c r="C10389" s="104"/>
      <c r="E10389" s="107" t="str">
        <f aca="false">IF($C10389="","",IFERROR(INDEX(المنيو!$C$2:$C$500,MATCH($C10389,المنيو!$B$2:$B$500,0)),0))</f>
        <v/>
      </c>
      <c r="F10389" s="107" t="str">
        <f aca="false">IF($C10389="","",$D10389*$E10389)</f>
        <v/>
      </c>
      <c r="G10389" s="107" t="str">
        <f aca="false">IF($C10389="","",$D10389*IFERROR(INDEX('تحليل التكلفة والسعر'!$C$2:$C$700,MATCH($C10389,'تحليل التكلفة والسعر'!$B$2:$B$700,0)),0))</f>
        <v/>
      </c>
    </row>
    <row r="10390" customFormat="false" ht="15" hidden="false" customHeight="false" outlineLevel="0" collapsed="false">
      <c r="A10390" s="103"/>
      <c r="B10390" s="104"/>
      <c r="C10390" s="104"/>
      <c r="E10390" s="107" t="str">
        <f aca="false">IF($C10390="","",IFERROR(INDEX(المنيو!$C$2:$C$500,MATCH($C10390,المنيو!$B$2:$B$500,0)),0))</f>
        <v/>
      </c>
      <c r="F10390" s="107" t="str">
        <f aca="false">IF($C10390="","",$D10390*$E10390)</f>
        <v/>
      </c>
      <c r="G10390" s="107" t="str">
        <f aca="false">IF($C10390="","",$D10390*IFERROR(INDEX('تحليل التكلفة والسعر'!$C$2:$C$700,MATCH($C10390,'تحليل التكلفة والسعر'!$B$2:$B$700,0)),0))</f>
        <v/>
      </c>
    </row>
    <row r="10391" customFormat="false" ht="15" hidden="false" customHeight="false" outlineLevel="0" collapsed="false">
      <c r="A10391" s="103"/>
      <c r="B10391" s="104"/>
      <c r="C10391" s="104"/>
      <c r="E10391" s="107" t="str">
        <f aca="false">IF($C10391="","",IFERROR(INDEX(المنيو!$C$2:$C$500,MATCH($C10391,المنيو!$B$2:$B$500,0)),0))</f>
        <v/>
      </c>
      <c r="F10391" s="107" t="str">
        <f aca="false">IF($C10391="","",$D10391*$E10391)</f>
        <v/>
      </c>
      <c r="G10391" s="107" t="str">
        <f aca="false">IF($C10391="","",$D10391*IFERROR(INDEX('تحليل التكلفة والسعر'!$C$2:$C$700,MATCH($C10391,'تحليل التكلفة والسعر'!$B$2:$B$700,0)),0))</f>
        <v/>
      </c>
    </row>
    <row r="10392" customFormat="false" ht="15" hidden="false" customHeight="false" outlineLevel="0" collapsed="false">
      <c r="A10392" s="103"/>
      <c r="B10392" s="104"/>
      <c r="C10392" s="104"/>
      <c r="E10392" s="107" t="str">
        <f aca="false">IF($C10392="","",IFERROR(INDEX(المنيو!$C$2:$C$500,MATCH($C10392,المنيو!$B$2:$B$500,0)),0))</f>
        <v/>
      </c>
      <c r="F10392" s="107" t="str">
        <f aca="false">IF($C10392="","",$D10392*$E10392)</f>
        <v/>
      </c>
      <c r="G10392" s="107" t="str">
        <f aca="false">IF($C10392="","",$D10392*IFERROR(INDEX('تحليل التكلفة والسعر'!$C$2:$C$700,MATCH($C10392,'تحليل التكلفة والسعر'!$B$2:$B$700,0)),0))</f>
        <v/>
      </c>
    </row>
    <row r="10393" customFormat="false" ht="15" hidden="false" customHeight="false" outlineLevel="0" collapsed="false">
      <c r="A10393" s="103"/>
      <c r="B10393" s="104"/>
      <c r="C10393" s="104"/>
      <c r="E10393" s="107" t="str">
        <f aca="false">IF($C10393="","",IFERROR(INDEX(المنيو!$C$2:$C$500,MATCH($C10393,المنيو!$B$2:$B$500,0)),0))</f>
        <v/>
      </c>
      <c r="F10393" s="107" t="str">
        <f aca="false">IF($C10393="","",$D10393*$E10393)</f>
        <v/>
      </c>
      <c r="G10393" s="107" t="str">
        <f aca="false">IF($C10393="","",$D10393*IFERROR(INDEX('تحليل التكلفة والسعر'!$C$2:$C$700,MATCH($C10393,'تحليل التكلفة والسعر'!$B$2:$B$700,0)),0))</f>
        <v/>
      </c>
    </row>
    <row r="10394" customFormat="false" ht="15" hidden="false" customHeight="false" outlineLevel="0" collapsed="false">
      <c r="A10394" s="103"/>
      <c r="B10394" s="104"/>
      <c r="C10394" s="104"/>
      <c r="E10394" s="107" t="str">
        <f aca="false">IF($C10394="","",IFERROR(INDEX(المنيو!$C$2:$C$500,MATCH($C10394,المنيو!$B$2:$B$500,0)),0))</f>
        <v/>
      </c>
      <c r="F10394" s="107" t="str">
        <f aca="false">IF($C10394="","",$D10394*$E10394)</f>
        <v/>
      </c>
      <c r="G10394" s="107" t="str">
        <f aca="false">IF($C10394="","",$D10394*IFERROR(INDEX('تحليل التكلفة والسعر'!$C$2:$C$700,MATCH($C10394,'تحليل التكلفة والسعر'!$B$2:$B$700,0)),0))</f>
        <v/>
      </c>
    </row>
    <row r="10395" customFormat="false" ht="15" hidden="false" customHeight="false" outlineLevel="0" collapsed="false">
      <c r="A10395" s="103"/>
      <c r="B10395" s="104"/>
      <c r="C10395" s="104"/>
      <c r="E10395" s="107" t="str">
        <f aca="false">IF($C10395="","",IFERROR(INDEX(المنيو!$C$2:$C$500,MATCH($C10395,المنيو!$B$2:$B$500,0)),0))</f>
        <v/>
      </c>
      <c r="F10395" s="107" t="str">
        <f aca="false">IF($C10395="","",$D10395*$E10395)</f>
        <v/>
      </c>
      <c r="G10395" s="107" t="str">
        <f aca="false">IF($C10395="","",$D10395*IFERROR(INDEX('تحليل التكلفة والسعر'!$C$2:$C$700,MATCH($C10395,'تحليل التكلفة والسعر'!$B$2:$B$700,0)),0))</f>
        <v/>
      </c>
    </row>
    <row r="10396" customFormat="false" ht="15" hidden="false" customHeight="false" outlineLevel="0" collapsed="false">
      <c r="A10396" s="103"/>
      <c r="B10396" s="104"/>
      <c r="C10396" s="104"/>
      <c r="E10396" s="107" t="str">
        <f aca="false">IF($C10396="","",IFERROR(INDEX(المنيو!$C$2:$C$500,MATCH($C10396,المنيو!$B$2:$B$500,0)),0))</f>
        <v/>
      </c>
      <c r="F10396" s="107" t="str">
        <f aca="false">IF($C10396="","",$D10396*$E10396)</f>
        <v/>
      </c>
      <c r="G10396" s="107" t="str">
        <f aca="false">IF($C10396="","",$D10396*IFERROR(INDEX('تحليل التكلفة والسعر'!$C$2:$C$700,MATCH($C10396,'تحليل التكلفة والسعر'!$B$2:$B$700,0)),0))</f>
        <v/>
      </c>
    </row>
    <row r="10397" customFormat="false" ht="15" hidden="false" customHeight="false" outlineLevel="0" collapsed="false">
      <c r="A10397" s="103"/>
      <c r="B10397" s="104"/>
      <c r="C10397" s="104"/>
      <c r="E10397" s="107" t="str">
        <f aca="false">IF($C10397="","",IFERROR(INDEX(المنيو!$C$2:$C$500,MATCH($C10397,المنيو!$B$2:$B$500,0)),0))</f>
        <v/>
      </c>
      <c r="F10397" s="107" t="str">
        <f aca="false">IF($C10397="","",$D10397*$E10397)</f>
        <v/>
      </c>
      <c r="G10397" s="107" t="str">
        <f aca="false">IF($C10397="","",$D10397*IFERROR(INDEX('تحليل التكلفة والسعر'!$C$2:$C$700,MATCH($C10397,'تحليل التكلفة والسعر'!$B$2:$B$700,0)),0))</f>
        <v/>
      </c>
    </row>
    <row r="10398" customFormat="false" ht="15" hidden="false" customHeight="false" outlineLevel="0" collapsed="false">
      <c r="A10398" s="103"/>
      <c r="B10398" s="104"/>
      <c r="C10398" s="104"/>
      <c r="E10398" s="107" t="str">
        <f aca="false">IF($C10398="","",IFERROR(INDEX(المنيو!$C$2:$C$500,MATCH($C10398,المنيو!$B$2:$B$500,0)),0))</f>
        <v/>
      </c>
      <c r="F10398" s="107" t="str">
        <f aca="false">IF($C10398="","",$D10398*$E10398)</f>
        <v/>
      </c>
      <c r="G10398" s="107" t="str">
        <f aca="false">IF($C10398="","",$D10398*IFERROR(INDEX('تحليل التكلفة والسعر'!$C$2:$C$700,MATCH($C10398,'تحليل التكلفة والسعر'!$B$2:$B$700,0)),0))</f>
        <v/>
      </c>
    </row>
    <row r="10399" customFormat="false" ht="15" hidden="false" customHeight="false" outlineLevel="0" collapsed="false">
      <c r="A10399" s="103"/>
      <c r="B10399" s="104"/>
      <c r="C10399" s="104"/>
      <c r="E10399" s="107" t="str">
        <f aca="false">IF($C10399="","",IFERROR(INDEX(المنيو!$C$2:$C$500,MATCH($C10399,المنيو!$B$2:$B$500,0)),0))</f>
        <v/>
      </c>
      <c r="F10399" s="107" t="str">
        <f aca="false">IF($C10399="","",$D10399*$E10399)</f>
        <v/>
      </c>
      <c r="G10399" s="107" t="str">
        <f aca="false">IF($C10399="","",$D10399*IFERROR(INDEX('تحليل التكلفة والسعر'!$C$2:$C$700,MATCH($C10399,'تحليل التكلفة والسعر'!$B$2:$B$700,0)),0))</f>
        <v/>
      </c>
    </row>
    <row r="10400" customFormat="false" ht="15" hidden="false" customHeight="false" outlineLevel="0" collapsed="false">
      <c r="A10400" s="103"/>
      <c r="B10400" s="104"/>
      <c r="C10400" s="104"/>
      <c r="E10400" s="107" t="str">
        <f aca="false">IF($C10400="","",IFERROR(INDEX(المنيو!$C$2:$C$500,MATCH($C10400,المنيو!$B$2:$B$500,0)),0))</f>
        <v/>
      </c>
      <c r="F10400" s="107" t="str">
        <f aca="false">IF($C10400="","",$D10400*$E10400)</f>
        <v/>
      </c>
      <c r="G10400" s="107" t="str">
        <f aca="false">IF($C10400="","",$D10400*IFERROR(INDEX('تحليل التكلفة والسعر'!$C$2:$C$700,MATCH($C10400,'تحليل التكلفة والسعر'!$B$2:$B$700,0)),0))</f>
        <v/>
      </c>
    </row>
    <row r="10401" customFormat="false" ht="15" hidden="false" customHeight="false" outlineLevel="0" collapsed="false">
      <c r="A10401" s="103"/>
      <c r="B10401" s="104"/>
      <c r="C10401" s="104"/>
      <c r="E10401" s="107" t="str">
        <f aca="false">IF($C10401="","",IFERROR(INDEX(المنيو!$C$2:$C$500,MATCH($C10401,المنيو!$B$2:$B$500,0)),0))</f>
        <v/>
      </c>
      <c r="F10401" s="107" t="str">
        <f aca="false">IF($C10401="","",$D10401*$E10401)</f>
        <v/>
      </c>
      <c r="G10401" s="107" t="str">
        <f aca="false">IF($C10401="","",$D10401*IFERROR(INDEX('تحليل التكلفة والسعر'!$C$2:$C$700,MATCH($C10401,'تحليل التكلفة والسعر'!$B$2:$B$700,0)),0))</f>
        <v/>
      </c>
    </row>
    <row r="10402" customFormat="false" ht="15" hidden="false" customHeight="false" outlineLevel="0" collapsed="false">
      <c r="A10402" s="103"/>
      <c r="B10402" s="104"/>
      <c r="C10402" s="104"/>
      <c r="E10402" s="107" t="str">
        <f aca="false">IF($C10402="","",IFERROR(INDEX(المنيو!$C$2:$C$500,MATCH($C10402,المنيو!$B$2:$B$500,0)),0))</f>
        <v/>
      </c>
      <c r="F10402" s="107" t="str">
        <f aca="false">IF($C10402="","",$D10402*$E10402)</f>
        <v/>
      </c>
      <c r="G10402" s="107" t="str">
        <f aca="false">IF($C10402="","",$D10402*IFERROR(INDEX('تحليل التكلفة والسعر'!$C$2:$C$700,MATCH($C10402,'تحليل التكلفة والسعر'!$B$2:$B$700,0)),0))</f>
        <v/>
      </c>
    </row>
    <row r="10403" customFormat="false" ht="15" hidden="false" customHeight="false" outlineLevel="0" collapsed="false">
      <c r="A10403" s="103"/>
      <c r="B10403" s="104"/>
      <c r="C10403" s="104"/>
      <c r="E10403" s="107" t="str">
        <f aca="false">IF($C10403="","",IFERROR(INDEX(المنيو!$C$2:$C$500,MATCH($C10403,المنيو!$B$2:$B$500,0)),0))</f>
        <v/>
      </c>
      <c r="F10403" s="107" t="str">
        <f aca="false">IF($C10403="","",$D10403*$E10403)</f>
        <v/>
      </c>
      <c r="G10403" s="107" t="str">
        <f aca="false">IF($C10403="","",$D10403*IFERROR(INDEX('تحليل التكلفة والسعر'!$C$2:$C$700,MATCH($C10403,'تحليل التكلفة والسعر'!$B$2:$B$700,0)),0))</f>
        <v/>
      </c>
    </row>
    <row r="10404" customFormat="false" ht="15" hidden="false" customHeight="false" outlineLevel="0" collapsed="false">
      <c r="A10404" s="103"/>
      <c r="B10404" s="104"/>
      <c r="C10404" s="104"/>
      <c r="E10404" s="107" t="str">
        <f aca="false">IF($C10404="","",IFERROR(INDEX(المنيو!$C$2:$C$500,MATCH($C10404,المنيو!$B$2:$B$500,0)),0))</f>
        <v/>
      </c>
      <c r="F10404" s="107" t="str">
        <f aca="false">IF($C10404="","",$D10404*$E10404)</f>
        <v/>
      </c>
      <c r="G10404" s="107" t="str">
        <f aca="false">IF($C10404="","",$D10404*IFERROR(INDEX('تحليل التكلفة والسعر'!$C$2:$C$700,MATCH($C10404,'تحليل التكلفة والسعر'!$B$2:$B$700,0)),0))</f>
        <v/>
      </c>
    </row>
    <row r="10405" customFormat="false" ht="15" hidden="false" customHeight="false" outlineLevel="0" collapsed="false">
      <c r="A10405" s="103"/>
      <c r="B10405" s="104"/>
      <c r="C10405" s="104"/>
      <c r="E10405" s="107" t="str">
        <f aca="false">IF($C10405="","",IFERROR(INDEX(المنيو!$C$2:$C$500,MATCH($C10405,المنيو!$B$2:$B$500,0)),0))</f>
        <v/>
      </c>
      <c r="F10405" s="107" t="str">
        <f aca="false">IF($C10405="","",$D10405*$E10405)</f>
        <v/>
      </c>
      <c r="G10405" s="107" t="str">
        <f aca="false">IF($C10405="","",$D10405*IFERROR(INDEX('تحليل التكلفة والسعر'!$C$2:$C$700,MATCH($C10405,'تحليل التكلفة والسعر'!$B$2:$B$700,0)),0))</f>
        <v/>
      </c>
    </row>
    <row r="10406" customFormat="false" ht="15" hidden="false" customHeight="false" outlineLevel="0" collapsed="false">
      <c r="A10406" s="103"/>
      <c r="B10406" s="104"/>
      <c r="C10406" s="104"/>
      <c r="E10406" s="107" t="str">
        <f aca="false">IF($C10406="","",IFERROR(INDEX(المنيو!$C$2:$C$500,MATCH($C10406,المنيو!$B$2:$B$500,0)),0))</f>
        <v/>
      </c>
      <c r="F10406" s="107" t="str">
        <f aca="false">IF($C10406="","",$D10406*$E10406)</f>
        <v/>
      </c>
      <c r="G10406" s="107" t="str">
        <f aca="false">IF($C10406="","",$D10406*IFERROR(INDEX('تحليل التكلفة والسعر'!$C$2:$C$700,MATCH($C10406,'تحليل التكلفة والسعر'!$B$2:$B$700,0)),0))</f>
        <v/>
      </c>
    </row>
    <row r="10407" customFormat="false" ht="15" hidden="false" customHeight="false" outlineLevel="0" collapsed="false">
      <c r="A10407" s="103"/>
      <c r="B10407" s="104"/>
      <c r="C10407" s="104"/>
      <c r="E10407" s="107" t="str">
        <f aca="false">IF($C10407="","",IFERROR(INDEX(المنيو!$C$2:$C$500,MATCH($C10407,المنيو!$B$2:$B$500,0)),0))</f>
        <v/>
      </c>
      <c r="F10407" s="107" t="str">
        <f aca="false">IF($C10407="","",$D10407*$E10407)</f>
        <v/>
      </c>
      <c r="G10407" s="107" t="str">
        <f aca="false">IF($C10407="","",$D10407*IFERROR(INDEX('تحليل التكلفة والسعر'!$C$2:$C$700,MATCH($C10407,'تحليل التكلفة والسعر'!$B$2:$B$700,0)),0))</f>
        <v/>
      </c>
    </row>
    <row r="10408" customFormat="false" ht="15" hidden="false" customHeight="false" outlineLevel="0" collapsed="false">
      <c r="A10408" s="103"/>
      <c r="B10408" s="104"/>
      <c r="C10408" s="104"/>
      <c r="E10408" s="107" t="str">
        <f aca="false">IF($C10408="","",IFERROR(INDEX(المنيو!$C$2:$C$500,MATCH($C10408,المنيو!$B$2:$B$500,0)),0))</f>
        <v/>
      </c>
      <c r="F10408" s="107" t="str">
        <f aca="false">IF($C10408="","",$D10408*$E10408)</f>
        <v/>
      </c>
      <c r="G10408" s="107" t="str">
        <f aca="false">IF($C10408="","",$D10408*IFERROR(INDEX('تحليل التكلفة والسعر'!$C$2:$C$700,MATCH($C10408,'تحليل التكلفة والسعر'!$B$2:$B$700,0)),0))</f>
        <v/>
      </c>
    </row>
    <row r="10409" customFormat="false" ht="15" hidden="false" customHeight="false" outlineLevel="0" collapsed="false">
      <c r="A10409" s="103"/>
      <c r="B10409" s="104"/>
      <c r="C10409" s="104"/>
      <c r="E10409" s="107" t="str">
        <f aca="false">IF($C10409="","",IFERROR(INDEX(المنيو!$C$2:$C$500,MATCH($C10409,المنيو!$B$2:$B$500,0)),0))</f>
        <v/>
      </c>
      <c r="F10409" s="107" t="str">
        <f aca="false">IF($C10409="","",$D10409*$E10409)</f>
        <v/>
      </c>
      <c r="G10409" s="107" t="str">
        <f aca="false">IF($C10409="","",$D10409*IFERROR(INDEX('تحليل التكلفة والسعر'!$C$2:$C$700,MATCH($C10409,'تحليل التكلفة والسعر'!$B$2:$B$700,0)),0))</f>
        <v/>
      </c>
    </row>
    <row r="10410" customFormat="false" ht="15" hidden="false" customHeight="false" outlineLevel="0" collapsed="false">
      <c r="A10410" s="103"/>
      <c r="B10410" s="104"/>
      <c r="C10410" s="104"/>
      <c r="E10410" s="107" t="str">
        <f aca="false">IF($C10410="","",IFERROR(INDEX(المنيو!$C$2:$C$500,MATCH($C10410,المنيو!$B$2:$B$500,0)),0))</f>
        <v/>
      </c>
      <c r="F10410" s="107" t="str">
        <f aca="false">IF($C10410="","",$D10410*$E10410)</f>
        <v/>
      </c>
      <c r="G10410" s="107" t="str">
        <f aca="false">IF($C10410="","",$D10410*IFERROR(INDEX('تحليل التكلفة والسعر'!$C$2:$C$700,MATCH($C10410,'تحليل التكلفة والسعر'!$B$2:$B$700,0)),0))</f>
        <v/>
      </c>
    </row>
    <row r="10411" customFormat="false" ht="15" hidden="false" customHeight="false" outlineLevel="0" collapsed="false">
      <c r="A10411" s="103"/>
      <c r="B10411" s="104"/>
      <c r="C10411" s="104"/>
      <c r="E10411" s="107" t="str">
        <f aca="false">IF($C10411="","",IFERROR(INDEX(المنيو!$C$2:$C$500,MATCH($C10411,المنيو!$B$2:$B$500,0)),0))</f>
        <v/>
      </c>
      <c r="F10411" s="107" t="str">
        <f aca="false">IF($C10411="","",$D10411*$E10411)</f>
        <v/>
      </c>
      <c r="G10411" s="107" t="str">
        <f aca="false">IF($C10411="","",$D10411*IFERROR(INDEX('تحليل التكلفة والسعر'!$C$2:$C$700,MATCH($C10411,'تحليل التكلفة والسعر'!$B$2:$B$700,0)),0))</f>
        <v/>
      </c>
    </row>
    <row r="10412" customFormat="false" ht="15" hidden="false" customHeight="false" outlineLevel="0" collapsed="false">
      <c r="A10412" s="103"/>
      <c r="B10412" s="104"/>
      <c r="C10412" s="104"/>
      <c r="E10412" s="107" t="str">
        <f aca="false">IF($C10412="","",IFERROR(INDEX(المنيو!$C$2:$C$500,MATCH($C10412,المنيو!$B$2:$B$500,0)),0))</f>
        <v/>
      </c>
      <c r="F10412" s="107" t="str">
        <f aca="false">IF($C10412="","",$D10412*$E10412)</f>
        <v/>
      </c>
      <c r="G10412" s="107" t="str">
        <f aca="false">IF($C10412="","",$D10412*IFERROR(INDEX('تحليل التكلفة والسعر'!$C$2:$C$700,MATCH($C10412,'تحليل التكلفة والسعر'!$B$2:$B$700,0)),0))</f>
        <v/>
      </c>
    </row>
    <row r="10413" customFormat="false" ht="15" hidden="false" customHeight="false" outlineLevel="0" collapsed="false">
      <c r="A10413" s="103"/>
      <c r="B10413" s="104"/>
      <c r="C10413" s="104"/>
      <c r="E10413" s="107" t="str">
        <f aca="false">IF($C10413="","",IFERROR(INDEX(المنيو!$C$2:$C$500,MATCH($C10413,المنيو!$B$2:$B$500,0)),0))</f>
        <v/>
      </c>
      <c r="F10413" s="107" t="str">
        <f aca="false">IF($C10413="","",$D10413*$E10413)</f>
        <v/>
      </c>
      <c r="G10413" s="107" t="str">
        <f aca="false">IF($C10413="","",$D10413*IFERROR(INDEX('تحليل التكلفة والسعر'!$C$2:$C$700,MATCH($C10413,'تحليل التكلفة والسعر'!$B$2:$B$700,0)),0))</f>
        <v/>
      </c>
    </row>
    <row r="10414" customFormat="false" ht="15" hidden="false" customHeight="false" outlineLevel="0" collapsed="false">
      <c r="A10414" s="103"/>
      <c r="B10414" s="104"/>
      <c r="C10414" s="104"/>
      <c r="E10414" s="107" t="str">
        <f aca="false">IF($C10414="","",IFERROR(INDEX(المنيو!$C$2:$C$500,MATCH($C10414,المنيو!$B$2:$B$500,0)),0))</f>
        <v/>
      </c>
      <c r="F10414" s="107" t="str">
        <f aca="false">IF($C10414="","",$D10414*$E10414)</f>
        <v/>
      </c>
      <c r="G10414" s="107" t="str">
        <f aca="false">IF($C10414="","",$D10414*IFERROR(INDEX('تحليل التكلفة والسعر'!$C$2:$C$700,MATCH($C10414,'تحليل التكلفة والسعر'!$B$2:$B$700,0)),0))</f>
        <v/>
      </c>
    </row>
    <row r="10415" customFormat="false" ht="15" hidden="false" customHeight="false" outlineLevel="0" collapsed="false">
      <c r="A10415" s="103"/>
      <c r="B10415" s="104"/>
      <c r="C10415" s="104"/>
      <c r="E10415" s="107" t="str">
        <f aca="false">IF($C10415="","",IFERROR(INDEX(المنيو!$C$2:$C$500,MATCH($C10415,المنيو!$B$2:$B$500,0)),0))</f>
        <v/>
      </c>
      <c r="F10415" s="107" t="str">
        <f aca="false">IF($C10415="","",$D10415*$E10415)</f>
        <v/>
      </c>
      <c r="G10415" s="107" t="str">
        <f aca="false">IF($C10415="","",$D10415*IFERROR(INDEX('تحليل التكلفة والسعر'!$C$2:$C$700,MATCH($C10415,'تحليل التكلفة والسعر'!$B$2:$B$700,0)),0))</f>
        <v/>
      </c>
    </row>
    <row r="10416" customFormat="false" ht="15" hidden="false" customHeight="false" outlineLevel="0" collapsed="false">
      <c r="A10416" s="103"/>
      <c r="B10416" s="104"/>
      <c r="C10416" s="104"/>
      <c r="E10416" s="107" t="str">
        <f aca="false">IF($C10416="","",IFERROR(INDEX(المنيو!$C$2:$C$500,MATCH($C10416,المنيو!$B$2:$B$500,0)),0))</f>
        <v/>
      </c>
      <c r="F10416" s="107" t="str">
        <f aca="false">IF($C10416="","",$D10416*$E10416)</f>
        <v/>
      </c>
      <c r="G10416" s="107" t="str">
        <f aca="false">IF($C10416="","",$D10416*IFERROR(INDEX('تحليل التكلفة والسعر'!$C$2:$C$700,MATCH($C10416,'تحليل التكلفة والسعر'!$B$2:$B$700,0)),0))</f>
        <v/>
      </c>
    </row>
    <row r="10417" customFormat="false" ht="15" hidden="false" customHeight="false" outlineLevel="0" collapsed="false">
      <c r="A10417" s="103"/>
      <c r="B10417" s="104"/>
      <c r="C10417" s="104"/>
      <c r="E10417" s="107" t="str">
        <f aca="false">IF($C10417="","",IFERROR(INDEX(المنيو!$C$2:$C$500,MATCH($C10417,المنيو!$B$2:$B$500,0)),0))</f>
        <v/>
      </c>
      <c r="F10417" s="107" t="str">
        <f aca="false">IF($C10417="","",$D10417*$E10417)</f>
        <v/>
      </c>
      <c r="G10417" s="107" t="str">
        <f aca="false">IF($C10417="","",$D10417*IFERROR(INDEX('تحليل التكلفة والسعر'!$C$2:$C$700,MATCH($C10417,'تحليل التكلفة والسعر'!$B$2:$B$700,0)),0))</f>
        <v/>
      </c>
    </row>
    <row r="10418" customFormat="false" ht="15" hidden="false" customHeight="false" outlineLevel="0" collapsed="false">
      <c r="A10418" s="103"/>
      <c r="B10418" s="104"/>
      <c r="C10418" s="104"/>
      <c r="E10418" s="107" t="str">
        <f aca="false">IF($C10418="","",IFERROR(INDEX(المنيو!$C$2:$C$500,MATCH($C10418,المنيو!$B$2:$B$500,0)),0))</f>
        <v/>
      </c>
      <c r="F10418" s="107" t="str">
        <f aca="false">IF($C10418="","",$D10418*$E10418)</f>
        <v/>
      </c>
      <c r="G10418" s="107" t="str">
        <f aca="false">IF($C10418="","",$D10418*IFERROR(INDEX('تحليل التكلفة والسعر'!$C$2:$C$700,MATCH($C10418,'تحليل التكلفة والسعر'!$B$2:$B$700,0)),0))</f>
        <v/>
      </c>
    </row>
    <row r="10419" customFormat="false" ht="15" hidden="false" customHeight="false" outlineLevel="0" collapsed="false">
      <c r="A10419" s="103"/>
      <c r="B10419" s="104"/>
      <c r="C10419" s="104"/>
      <c r="E10419" s="107" t="str">
        <f aca="false">IF($C10419="","",IFERROR(INDEX(المنيو!$C$2:$C$500,MATCH($C10419,المنيو!$B$2:$B$500,0)),0))</f>
        <v/>
      </c>
      <c r="F10419" s="107" t="str">
        <f aca="false">IF($C10419="","",$D10419*$E10419)</f>
        <v/>
      </c>
      <c r="G10419" s="107" t="str">
        <f aca="false">IF($C10419="","",$D10419*IFERROR(INDEX('تحليل التكلفة والسعر'!$C$2:$C$700,MATCH($C10419,'تحليل التكلفة والسعر'!$B$2:$B$700,0)),0))</f>
        <v/>
      </c>
    </row>
    <row r="10420" customFormat="false" ht="15" hidden="false" customHeight="false" outlineLevel="0" collapsed="false">
      <c r="A10420" s="103"/>
      <c r="B10420" s="104"/>
      <c r="C10420" s="104"/>
      <c r="E10420" s="107" t="str">
        <f aca="false">IF($C10420="","",IFERROR(INDEX(المنيو!$C$2:$C$500,MATCH($C10420,المنيو!$B$2:$B$500,0)),0))</f>
        <v/>
      </c>
      <c r="F10420" s="107" t="str">
        <f aca="false">IF($C10420="","",$D10420*$E10420)</f>
        <v/>
      </c>
      <c r="G10420" s="107" t="str">
        <f aca="false">IF($C10420="","",$D10420*IFERROR(INDEX('تحليل التكلفة والسعر'!$C$2:$C$700,MATCH($C10420,'تحليل التكلفة والسعر'!$B$2:$B$700,0)),0))</f>
        <v/>
      </c>
    </row>
    <row r="10421" customFormat="false" ht="15" hidden="false" customHeight="false" outlineLevel="0" collapsed="false">
      <c r="A10421" s="103"/>
      <c r="B10421" s="104"/>
      <c r="C10421" s="104"/>
      <c r="E10421" s="107" t="str">
        <f aca="false">IF($C10421="","",IFERROR(INDEX(المنيو!$C$2:$C$500,MATCH($C10421,المنيو!$B$2:$B$500,0)),0))</f>
        <v/>
      </c>
      <c r="F10421" s="107" t="str">
        <f aca="false">IF($C10421="","",$D10421*$E10421)</f>
        <v/>
      </c>
      <c r="G10421" s="107" t="str">
        <f aca="false">IF($C10421="","",$D10421*IFERROR(INDEX('تحليل التكلفة والسعر'!$C$2:$C$700,MATCH($C10421,'تحليل التكلفة والسعر'!$B$2:$B$700,0)),0))</f>
        <v/>
      </c>
    </row>
    <row r="10422" customFormat="false" ht="15" hidden="false" customHeight="false" outlineLevel="0" collapsed="false">
      <c r="A10422" s="103"/>
      <c r="B10422" s="104"/>
      <c r="C10422" s="104"/>
      <c r="E10422" s="107" t="str">
        <f aca="false">IF($C10422="","",IFERROR(INDEX(المنيو!$C$2:$C$500,MATCH($C10422,المنيو!$B$2:$B$500,0)),0))</f>
        <v/>
      </c>
      <c r="F10422" s="107" t="str">
        <f aca="false">IF($C10422="","",$D10422*$E10422)</f>
        <v/>
      </c>
      <c r="G10422" s="107" t="str">
        <f aca="false">IF($C10422="","",$D10422*IFERROR(INDEX('تحليل التكلفة والسعر'!$C$2:$C$700,MATCH($C10422,'تحليل التكلفة والسعر'!$B$2:$B$700,0)),0))</f>
        <v/>
      </c>
    </row>
    <row r="10423" customFormat="false" ht="15" hidden="false" customHeight="false" outlineLevel="0" collapsed="false">
      <c r="A10423" s="103"/>
      <c r="B10423" s="104"/>
      <c r="C10423" s="104"/>
      <c r="E10423" s="107" t="str">
        <f aca="false">IF($C10423="","",IFERROR(INDEX(المنيو!$C$2:$C$500,MATCH($C10423,المنيو!$B$2:$B$500,0)),0))</f>
        <v/>
      </c>
      <c r="F10423" s="107" t="str">
        <f aca="false">IF($C10423="","",$D10423*$E10423)</f>
        <v/>
      </c>
      <c r="G10423" s="107" t="str">
        <f aca="false">IF($C10423="","",$D10423*IFERROR(INDEX('تحليل التكلفة والسعر'!$C$2:$C$700,MATCH($C10423,'تحليل التكلفة والسعر'!$B$2:$B$700,0)),0))</f>
        <v/>
      </c>
    </row>
    <row r="10424" customFormat="false" ht="15" hidden="false" customHeight="false" outlineLevel="0" collapsed="false">
      <c r="A10424" s="103"/>
      <c r="B10424" s="104"/>
      <c r="C10424" s="104"/>
      <c r="E10424" s="107" t="str">
        <f aca="false">IF($C10424="","",IFERROR(INDEX(المنيو!$C$2:$C$500,MATCH($C10424,المنيو!$B$2:$B$500,0)),0))</f>
        <v/>
      </c>
      <c r="F10424" s="107" t="str">
        <f aca="false">IF($C10424="","",$D10424*$E10424)</f>
        <v/>
      </c>
      <c r="G10424" s="107" t="str">
        <f aca="false">IF($C10424="","",$D10424*IFERROR(INDEX('تحليل التكلفة والسعر'!$C$2:$C$700,MATCH($C10424,'تحليل التكلفة والسعر'!$B$2:$B$700,0)),0))</f>
        <v/>
      </c>
    </row>
    <row r="10425" customFormat="false" ht="15" hidden="false" customHeight="false" outlineLevel="0" collapsed="false">
      <c r="A10425" s="103"/>
      <c r="B10425" s="104"/>
      <c r="C10425" s="104"/>
      <c r="E10425" s="107" t="str">
        <f aca="false">IF($C10425="","",IFERROR(INDEX(المنيو!$C$2:$C$500,MATCH($C10425,المنيو!$B$2:$B$500,0)),0))</f>
        <v/>
      </c>
      <c r="F10425" s="107" t="str">
        <f aca="false">IF($C10425="","",$D10425*$E10425)</f>
        <v/>
      </c>
      <c r="G10425" s="107" t="str">
        <f aca="false">IF($C10425="","",$D10425*IFERROR(INDEX('تحليل التكلفة والسعر'!$C$2:$C$700,MATCH($C10425,'تحليل التكلفة والسعر'!$B$2:$B$700,0)),0))</f>
        <v/>
      </c>
    </row>
    <row r="10426" customFormat="false" ht="15" hidden="false" customHeight="false" outlineLevel="0" collapsed="false">
      <c r="A10426" s="103"/>
      <c r="B10426" s="104"/>
      <c r="C10426" s="104"/>
      <c r="E10426" s="107" t="str">
        <f aca="false">IF($C10426="","",IFERROR(INDEX(المنيو!$C$2:$C$500,MATCH($C10426,المنيو!$B$2:$B$500,0)),0))</f>
        <v/>
      </c>
      <c r="F10426" s="107" t="str">
        <f aca="false">IF($C10426="","",$D10426*$E10426)</f>
        <v/>
      </c>
      <c r="G10426" s="107" t="str">
        <f aca="false">IF($C10426="","",$D10426*IFERROR(INDEX('تحليل التكلفة والسعر'!$C$2:$C$700,MATCH($C10426,'تحليل التكلفة والسعر'!$B$2:$B$700,0)),0))</f>
        <v/>
      </c>
    </row>
    <row r="10427" customFormat="false" ht="15" hidden="false" customHeight="false" outlineLevel="0" collapsed="false">
      <c r="A10427" s="103"/>
      <c r="B10427" s="104"/>
      <c r="C10427" s="104"/>
      <c r="E10427" s="107" t="str">
        <f aca="false">IF($C10427="","",IFERROR(INDEX(المنيو!$C$2:$C$500,MATCH($C10427,المنيو!$B$2:$B$500,0)),0))</f>
        <v/>
      </c>
      <c r="F10427" s="107" t="str">
        <f aca="false">IF($C10427="","",$D10427*$E10427)</f>
        <v/>
      </c>
      <c r="G10427" s="107" t="str">
        <f aca="false">IF($C10427="","",$D10427*IFERROR(INDEX('تحليل التكلفة والسعر'!$C$2:$C$700,MATCH($C10427,'تحليل التكلفة والسعر'!$B$2:$B$700,0)),0))</f>
        <v/>
      </c>
    </row>
    <row r="10428" customFormat="false" ht="15" hidden="false" customHeight="false" outlineLevel="0" collapsed="false">
      <c r="A10428" s="103"/>
      <c r="B10428" s="104"/>
      <c r="C10428" s="104"/>
      <c r="E10428" s="107" t="str">
        <f aca="false">IF($C10428="","",IFERROR(INDEX(المنيو!$C$2:$C$500,MATCH($C10428,المنيو!$B$2:$B$500,0)),0))</f>
        <v/>
      </c>
      <c r="F10428" s="107" t="str">
        <f aca="false">IF($C10428="","",$D10428*$E10428)</f>
        <v/>
      </c>
      <c r="G10428" s="107" t="str">
        <f aca="false">IF($C10428="","",$D10428*IFERROR(INDEX('تحليل التكلفة والسعر'!$C$2:$C$700,MATCH($C10428,'تحليل التكلفة والسعر'!$B$2:$B$700,0)),0))</f>
        <v/>
      </c>
    </row>
    <row r="10429" customFormat="false" ht="15" hidden="false" customHeight="false" outlineLevel="0" collapsed="false">
      <c r="A10429" s="103"/>
      <c r="B10429" s="104"/>
      <c r="C10429" s="104"/>
      <c r="E10429" s="107" t="str">
        <f aca="false">IF($C10429="","",IFERROR(INDEX(المنيو!$C$2:$C$500,MATCH($C10429,المنيو!$B$2:$B$500,0)),0))</f>
        <v/>
      </c>
      <c r="F10429" s="107" t="str">
        <f aca="false">IF($C10429="","",$D10429*$E10429)</f>
        <v/>
      </c>
      <c r="G10429" s="107" t="str">
        <f aca="false">IF($C10429="","",$D10429*IFERROR(INDEX('تحليل التكلفة والسعر'!$C$2:$C$700,MATCH($C10429,'تحليل التكلفة والسعر'!$B$2:$B$700,0)),0))</f>
        <v/>
      </c>
    </row>
    <row r="10430" customFormat="false" ht="15" hidden="false" customHeight="false" outlineLevel="0" collapsed="false">
      <c r="A10430" s="103"/>
      <c r="B10430" s="104"/>
      <c r="C10430" s="104"/>
      <c r="E10430" s="107" t="str">
        <f aca="false">IF($C10430="","",IFERROR(INDEX(المنيو!$C$2:$C$500,MATCH($C10430,المنيو!$B$2:$B$500,0)),0))</f>
        <v/>
      </c>
      <c r="F10430" s="107" t="str">
        <f aca="false">IF($C10430="","",$D10430*$E10430)</f>
        <v/>
      </c>
      <c r="G10430" s="107" t="str">
        <f aca="false">IF($C10430="","",$D10430*IFERROR(INDEX('تحليل التكلفة والسعر'!$C$2:$C$700,MATCH($C10430,'تحليل التكلفة والسعر'!$B$2:$B$700,0)),0))</f>
        <v/>
      </c>
    </row>
    <row r="10431" customFormat="false" ht="15" hidden="false" customHeight="false" outlineLevel="0" collapsed="false">
      <c r="A10431" s="103"/>
      <c r="B10431" s="104"/>
      <c r="C10431" s="104"/>
      <c r="E10431" s="107" t="str">
        <f aca="false">IF($C10431="","",IFERROR(INDEX(المنيو!$C$2:$C$500,MATCH($C10431,المنيو!$B$2:$B$500,0)),0))</f>
        <v/>
      </c>
      <c r="F10431" s="107" t="str">
        <f aca="false">IF($C10431="","",$D10431*$E10431)</f>
        <v/>
      </c>
      <c r="G10431" s="107" t="str">
        <f aca="false">IF($C10431="","",$D10431*IFERROR(INDEX('تحليل التكلفة والسعر'!$C$2:$C$700,MATCH($C10431,'تحليل التكلفة والسعر'!$B$2:$B$700,0)),0))</f>
        <v/>
      </c>
    </row>
    <row r="10432" customFormat="false" ht="15" hidden="false" customHeight="false" outlineLevel="0" collapsed="false">
      <c r="A10432" s="103"/>
      <c r="B10432" s="104"/>
      <c r="C10432" s="104"/>
      <c r="E10432" s="107" t="str">
        <f aca="false">IF($C10432="","",IFERROR(INDEX(المنيو!$C$2:$C$500,MATCH($C10432,المنيو!$B$2:$B$500,0)),0))</f>
        <v/>
      </c>
      <c r="F10432" s="107" t="str">
        <f aca="false">IF($C10432="","",$D10432*$E10432)</f>
        <v/>
      </c>
      <c r="G10432" s="107" t="str">
        <f aca="false">IF($C10432="","",$D10432*IFERROR(INDEX('تحليل التكلفة والسعر'!$C$2:$C$700,MATCH($C10432,'تحليل التكلفة والسعر'!$B$2:$B$700,0)),0))</f>
        <v/>
      </c>
    </row>
    <row r="10433" customFormat="false" ht="15" hidden="false" customHeight="false" outlineLevel="0" collapsed="false">
      <c r="A10433" s="103"/>
      <c r="B10433" s="104"/>
      <c r="C10433" s="104"/>
      <c r="E10433" s="107" t="str">
        <f aca="false">IF($C10433="","",IFERROR(INDEX(المنيو!$C$2:$C$500,MATCH($C10433,المنيو!$B$2:$B$500,0)),0))</f>
        <v/>
      </c>
      <c r="F10433" s="107" t="str">
        <f aca="false">IF($C10433="","",$D10433*$E10433)</f>
        <v/>
      </c>
      <c r="G10433" s="107" t="str">
        <f aca="false">IF($C10433="","",$D10433*IFERROR(INDEX('تحليل التكلفة والسعر'!$C$2:$C$700,MATCH($C10433,'تحليل التكلفة والسعر'!$B$2:$B$700,0)),0))</f>
        <v/>
      </c>
    </row>
    <row r="10434" customFormat="false" ht="15" hidden="false" customHeight="false" outlineLevel="0" collapsed="false">
      <c r="A10434" s="103"/>
      <c r="B10434" s="104"/>
      <c r="C10434" s="104"/>
      <c r="E10434" s="107" t="str">
        <f aca="false">IF($C10434="","",IFERROR(INDEX(المنيو!$C$2:$C$500,MATCH($C10434,المنيو!$B$2:$B$500,0)),0))</f>
        <v/>
      </c>
      <c r="F10434" s="107" t="str">
        <f aca="false">IF($C10434="","",$D10434*$E10434)</f>
        <v/>
      </c>
      <c r="G10434" s="107" t="str">
        <f aca="false">IF($C10434="","",$D10434*IFERROR(INDEX('تحليل التكلفة والسعر'!$C$2:$C$700,MATCH($C10434,'تحليل التكلفة والسعر'!$B$2:$B$700,0)),0))</f>
        <v/>
      </c>
    </row>
    <row r="10435" customFormat="false" ht="15" hidden="false" customHeight="false" outlineLevel="0" collapsed="false">
      <c r="A10435" s="103"/>
      <c r="B10435" s="104"/>
      <c r="C10435" s="104"/>
      <c r="E10435" s="107" t="str">
        <f aca="false">IF($C10435="","",IFERROR(INDEX(المنيو!$C$2:$C$500,MATCH($C10435,المنيو!$B$2:$B$500,0)),0))</f>
        <v/>
      </c>
      <c r="F10435" s="107" t="str">
        <f aca="false">IF($C10435="","",$D10435*$E10435)</f>
        <v/>
      </c>
      <c r="G10435" s="107" t="str">
        <f aca="false">IF($C10435="","",$D10435*IFERROR(INDEX('تحليل التكلفة والسعر'!$C$2:$C$700,MATCH($C10435,'تحليل التكلفة والسعر'!$B$2:$B$700,0)),0))</f>
        <v/>
      </c>
    </row>
    <row r="10436" customFormat="false" ht="15" hidden="false" customHeight="false" outlineLevel="0" collapsed="false">
      <c r="A10436" s="103"/>
      <c r="B10436" s="104"/>
      <c r="C10436" s="104"/>
      <c r="E10436" s="107" t="str">
        <f aca="false">IF($C10436="","",IFERROR(INDEX(المنيو!$C$2:$C$500,MATCH($C10436,المنيو!$B$2:$B$500,0)),0))</f>
        <v/>
      </c>
      <c r="F10436" s="107" t="str">
        <f aca="false">IF($C10436="","",$D10436*$E10436)</f>
        <v/>
      </c>
      <c r="G10436" s="107" t="str">
        <f aca="false">IF($C10436="","",$D10436*IFERROR(INDEX('تحليل التكلفة والسعر'!$C$2:$C$700,MATCH($C10436,'تحليل التكلفة والسعر'!$B$2:$B$700,0)),0))</f>
        <v/>
      </c>
    </row>
    <row r="10437" customFormat="false" ht="15" hidden="false" customHeight="false" outlineLevel="0" collapsed="false">
      <c r="A10437" s="103"/>
      <c r="B10437" s="104"/>
      <c r="C10437" s="104"/>
      <c r="E10437" s="107" t="str">
        <f aca="false">IF($C10437="","",IFERROR(INDEX(المنيو!$C$2:$C$500,MATCH($C10437,المنيو!$B$2:$B$500,0)),0))</f>
        <v/>
      </c>
      <c r="F10437" s="107" t="str">
        <f aca="false">IF($C10437="","",$D10437*$E10437)</f>
        <v/>
      </c>
      <c r="G10437" s="107" t="str">
        <f aca="false">IF($C10437="","",$D10437*IFERROR(INDEX('تحليل التكلفة والسعر'!$C$2:$C$700,MATCH($C10437,'تحليل التكلفة والسعر'!$B$2:$B$700,0)),0))</f>
        <v/>
      </c>
    </row>
    <row r="10438" customFormat="false" ht="15" hidden="false" customHeight="false" outlineLevel="0" collapsed="false">
      <c r="A10438" s="103"/>
      <c r="B10438" s="104"/>
      <c r="C10438" s="104"/>
      <c r="E10438" s="107" t="str">
        <f aca="false">IF($C10438="","",IFERROR(INDEX(المنيو!$C$2:$C$500,MATCH($C10438,المنيو!$B$2:$B$500,0)),0))</f>
        <v/>
      </c>
      <c r="F10438" s="107" t="str">
        <f aca="false">IF($C10438="","",$D10438*$E10438)</f>
        <v/>
      </c>
      <c r="G10438" s="107" t="str">
        <f aca="false">IF($C10438="","",$D10438*IFERROR(INDEX('تحليل التكلفة والسعر'!$C$2:$C$700,MATCH($C10438,'تحليل التكلفة والسعر'!$B$2:$B$700,0)),0))</f>
        <v/>
      </c>
    </row>
    <row r="10439" customFormat="false" ht="15" hidden="false" customHeight="false" outlineLevel="0" collapsed="false">
      <c r="A10439" s="103"/>
      <c r="B10439" s="104"/>
      <c r="C10439" s="104"/>
      <c r="E10439" s="107" t="str">
        <f aca="false">IF($C10439="","",IFERROR(INDEX(المنيو!$C$2:$C$500,MATCH($C10439,المنيو!$B$2:$B$500,0)),0))</f>
        <v/>
      </c>
      <c r="F10439" s="107" t="str">
        <f aca="false">IF($C10439="","",$D10439*$E10439)</f>
        <v/>
      </c>
      <c r="G10439" s="107" t="str">
        <f aca="false">IF($C10439="","",$D10439*IFERROR(INDEX('تحليل التكلفة والسعر'!$C$2:$C$700,MATCH($C10439,'تحليل التكلفة والسعر'!$B$2:$B$700,0)),0))</f>
        <v/>
      </c>
    </row>
    <row r="10440" customFormat="false" ht="15" hidden="false" customHeight="false" outlineLevel="0" collapsed="false">
      <c r="A10440" s="103"/>
      <c r="B10440" s="104"/>
      <c r="C10440" s="104"/>
      <c r="E10440" s="107" t="str">
        <f aca="false">IF($C10440="","",IFERROR(INDEX(المنيو!$C$2:$C$500,MATCH($C10440,المنيو!$B$2:$B$500,0)),0))</f>
        <v/>
      </c>
      <c r="F10440" s="107" t="str">
        <f aca="false">IF($C10440="","",$D10440*$E10440)</f>
        <v/>
      </c>
      <c r="G10440" s="107" t="str">
        <f aca="false">IF($C10440="","",$D10440*IFERROR(INDEX('تحليل التكلفة والسعر'!$C$2:$C$700,MATCH($C10440,'تحليل التكلفة والسعر'!$B$2:$B$700,0)),0))</f>
        <v/>
      </c>
    </row>
    <row r="10441" customFormat="false" ht="15" hidden="false" customHeight="false" outlineLevel="0" collapsed="false">
      <c r="A10441" s="103"/>
      <c r="B10441" s="104"/>
      <c r="C10441" s="104"/>
      <c r="E10441" s="107" t="str">
        <f aca="false">IF($C10441="","",IFERROR(INDEX(المنيو!$C$2:$C$500,MATCH($C10441,المنيو!$B$2:$B$500,0)),0))</f>
        <v/>
      </c>
      <c r="F10441" s="107" t="str">
        <f aca="false">IF($C10441="","",$D10441*$E10441)</f>
        <v/>
      </c>
      <c r="G10441" s="107" t="str">
        <f aca="false">IF($C10441="","",$D10441*IFERROR(INDEX('تحليل التكلفة والسعر'!$C$2:$C$700,MATCH($C10441,'تحليل التكلفة والسعر'!$B$2:$B$700,0)),0))</f>
        <v/>
      </c>
    </row>
    <row r="10442" customFormat="false" ht="15" hidden="false" customHeight="false" outlineLevel="0" collapsed="false">
      <c r="A10442" s="103"/>
      <c r="B10442" s="104"/>
      <c r="C10442" s="104"/>
      <c r="E10442" s="107" t="str">
        <f aca="false">IF($C10442="","",IFERROR(INDEX(المنيو!$C$2:$C$500,MATCH($C10442,المنيو!$B$2:$B$500,0)),0))</f>
        <v/>
      </c>
      <c r="F10442" s="107" t="str">
        <f aca="false">IF($C10442="","",$D10442*$E10442)</f>
        <v/>
      </c>
      <c r="G10442" s="107" t="str">
        <f aca="false">IF($C10442="","",$D10442*IFERROR(INDEX('تحليل التكلفة والسعر'!$C$2:$C$700,MATCH($C10442,'تحليل التكلفة والسعر'!$B$2:$B$700,0)),0))</f>
        <v/>
      </c>
    </row>
    <row r="10443" customFormat="false" ht="15" hidden="false" customHeight="false" outlineLevel="0" collapsed="false">
      <c r="A10443" s="103"/>
      <c r="B10443" s="104"/>
      <c r="C10443" s="104"/>
      <c r="E10443" s="107" t="str">
        <f aca="false">IF($C10443="","",IFERROR(INDEX(المنيو!$C$2:$C$500,MATCH($C10443,المنيو!$B$2:$B$500,0)),0))</f>
        <v/>
      </c>
      <c r="F10443" s="107" t="str">
        <f aca="false">IF($C10443="","",$D10443*$E10443)</f>
        <v/>
      </c>
      <c r="G10443" s="107" t="str">
        <f aca="false">IF($C10443="","",$D10443*IFERROR(INDEX('تحليل التكلفة والسعر'!$C$2:$C$700,MATCH($C10443,'تحليل التكلفة والسعر'!$B$2:$B$700,0)),0))</f>
        <v/>
      </c>
    </row>
    <row r="10444" customFormat="false" ht="15" hidden="false" customHeight="false" outlineLevel="0" collapsed="false">
      <c r="A10444" s="103"/>
      <c r="B10444" s="104"/>
      <c r="C10444" s="104"/>
      <c r="E10444" s="107" t="str">
        <f aca="false">IF($C10444="","",IFERROR(INDEX(المنيو!$C$2:$C$500,MATCH($C10444,المنيو!$B$2:$B$500,0)),0))</f>
        <v/>
      </c>
      <c r="F10444" s="107" t="str">
        <f aca="false">IF($C10444="","",$D10444*$E10444)</f>
        <v/>
      </c>
      <c r="G10444" s="107" t="str">
        <f aca="false">IF($C10444="","",$D10444*IFERROR(INDEX('تحليل التكلفة والسعر'!$C$2:$C$700,MATCH($C10444,'تحليل التكلفة والسعر'!$B$2:$B$700,0)),0))</f>
        <v/>
      </c>
    </row>
    <row r="10445" customFormat="false" ht="15" hidden="false" customHeight="false" outlineLevel="0" collapsed="false">
      <c r="A10445" s="103"/>
      <c r="B10445" s="104"/>
      <c r="C10445" s="104"/>
      <c r="E10445" s="107" t="str">
        <f aca="false">IF($C10445="","",IFERROR(INDEX(المنيو!$C$2:$C$500,MATCH($C10445,المنيو!$B$2:$B$500,0)),0))</f>
        <v/>
      </c>
      <c r="F10445" s="107" t="str">
        <f aca="false">IF($C10445="","",$D10445*$E10445)</f>
        <v/>
      </c>
      <c r="G10445" s="107" t="str">
        <f aca="false">IF($C10445="","",$D10445*IFERROR(INDEX('تحليل التكلفة والسعر'!$C$2:$C$700,MATCH($C10445,'تحليل التكلفة والسعر'!$B$2:$B$700,0)),0))</f>
        <v/>
      </c>
    </row>
    <row r="10446" customFormat="false" ht="15" hidden="false" customHeight="false" outlineLevel="0" collapsed="false">
      <c r="A10446" s="103"/>
      <c r="B10446" s="104"/>
      <c r="C10446" s="104"/>
      <c r="E10446" s="107" t="str">
        <f aca="false">IF($C10446="","",IFERROR(INDEX(المنيو!$C$2:$C$500,MATCH($C10446,المنيو!$B$2:$B$500,0)),0))</f>
        <v/>
      </c>
      <c r="F10446" s="107" t="str">
        <f aca="false">IF($C10446="","",$D10446*$E10446)</f>
        <v/>
      </c>
      <c r="G10446" s="107" t="str">
        <f aca="false">IF($C10446="","",$D10446*IFERROR(INDEX('تحليل التكلفة والسعر'!$C$2:$C$700,MATCH($C10446,'تحليل التكلفة والسعر'!$B$2:$B$700,0)),0))</f>
        <v/>
      </c>
    </row>
    <row r="10447" customFormat="false" ht="15" hidden="false" customHeight="false" outlineLevel="0" collapsed="false">
      <c r="A10447" s="103"/>
      <c r="B10447" s="104"/>
      <c r="C10447" s="104"/>
      <c r="E10447" s="107" t="str">
        <f aca="false">IF($C10447="","",IFERROR(INDEX(المنيو!$C$2:$C$500,MATCH($C10447,المنيو!$B$2:$B$500,0)),0))</f>
        <v/>
      </c>
      <c r="F10447" s="107" t="str">
        <f aca="false">IF($C10447="","",$D10447*$E10447)</f>
        <v/>
      </c>
      <c r="G10447" s="107" t="str">
        <f aca="false">IF($C10447="","",$D10447*IFERROR(INDEX('تحليل التكلفة والسعر'!$C$2:$C$700,MATCH($C10447,'تحليل التكلفة والسعر'!$B$2:$B$700,0)),0))</f>
        <v/>
      </c>
    </row>
    <row r="10448" customFormat="false" ht="15" hidden="false" customHeight="false" outlineLevel="0" collapsed="false">
      <c r="A10448" s="103"/>
      <c r="B10448" s="104"/>
      <c r="C10448" s="104"/>
      <c r="E10448" s="107" t="str">
        <f aca="false">IF($C10448="","",IFERROR(INDEX(المنيو!$C$2:$C$500,MATCH($C10448,المنيو!$B$2:$B$500,0)),0))</f>
        <v/>
      </c>
      <c r="F10448" s="107" t="str">
        <f aca="false">IF($C10448="","",$D10448*$E10448)</f>
        <v/>
      </c>
      <c r="G10448" s="107" t="str">
        <f aca="false">IF($C10448="","",$D10448*IFERROR(INDEX('تحليل التكلفة والسعر'!$C$2:$C$700,MATCH($C10448,'تحليل التكلفة والسعر'!$B$2:$B$700,0)),0))</f>
        <v/>
      </c>
    </row>
    <row r="10449" customFormat="false" ht="15" hidden="false" customHeight="false" outlineLevel="0" collapsed="false">
      <c r="A10449" s="103"/>
      <c r="B10449" s="104"/>
      <c r="C10449" s="104"/>
      <c r="E10449" s="107" t="str">
        <f aca="false">IF($C10449="","",IFERROR(INDEX(المنيو!$C$2:$C$500,MATCH($C10449,المنيو!$B$2:$B$500,0)),0))</f>
        <v/>
      </c>
      <c r="F10449" s="107" t="str">
        <f aca="false">IF($C10449="","",$D10449*$E10449)</f>
        <v/>
      </c>
      <c r="G10449" s="107" t="str">
        <f aca="false">IF($C10449="","",$D10449*IFERROR(INDEX('تحليل التكلفة والسعر'!$C$2:$C$700,MATCH($C10449,'تحليل التكلفة والسعر'!$B$2:$B$700,0)),0))</f>
        <v/>
      </c>
    </row>
    <row r="10450" customFormat="false" ht="15" hidden="false" customHeight="false" outlineLevel="0" collapsed="false">
      <c r="A10450" s="103"/>
      <c r="B10450" s="104"/>
      <c r="C10450" s="104"/>
      <c r="E10450" s="107" t="str">
        <f aca="false">IF($C10450="","",IFERROR(INDEX(المنيو!$C$2:$C$500,MATCH($C10450,المنيو!$B$2:$B$500,0)),0))</f>
        <v/>
      </c>
      <c r="F10450" s="107" t="str">
        <f aca="false">IF($C10450="","",$D10450*$E10450)</f>
        <v/>
      </c>
      <c r="G10450" s="107" t="str">
        <f aca="false">IF($C10450="","",$D10450*IFERROR(INDEX('تحليل التكلفة والسعر'!$C$2:$C$700,MATCH($C10450,'تحليل التكلفة والسعر'!$B$2:$B$700,0)),0))</f>
        <v/>
      </c>
    </row>
    <row r="10451" customFormat="false" ht="15" hidden="false" customHeight="false" outlineLevel="0" collapsed="false">
      <c r="A10451" s="103"/>
      <c r="B10451" s="104"/>
      <c r="C10451" s="104"/>
      <c r="E10451" s="107" t="str">
        <f aca="false">IF($C10451="","",IFERROR(INDEX(المنيو!$C$2:$C$500,MATCH($C10451,المنيو!$B$2:$B$500,0)),0))</f>
        <v/>
      </c>
      <c r="F10451" s="107" t="str">
        <f aca="false">IF($C10451="","",$D10451*$E10451)</f>
        <v/>
      </c>
      <c r="G10451" s="107" t="str">
        <f aca="false">IF($C10451="","",$D10451*IFERROR(INDEX('تحليل التكلفة والسعر'!$C$2:$C$700,MATCH($C10451,'تحليل التكلفة والسعر'!$B$2:$B$700,0)),0))</f>
        <v/>
      </c>
    </row>
    <row r="10452" customFormat="false" ht="15" hidden="false" customHeight="false" outlineLevel="0" collapsed="false">
      <c r="A10452" s="103"/>
      <c r="B10452" s="104"/>
      <c r="C10452" s="104"/>
      <c r="E10452" s="107" t="str">
        <f aca="false">IF($C10452="","",IFERROR(INDEX(المنيو!$C$2:$C$500,MATCH($C10452,المنيو!$B$2:$B$500,0)),0))</f>
        <v/>
      </c>
      <c r="F10452" s="107" t="str">
        <f aca="false">IF($C10452="","",$D10452*$E10452)</f>
        <v/>
      </c>
      <c r="G10452" s="107" t="str">
        <f aca="false">IF($C10452="","",$D10452*IFERROR(INDEX('تحليل التكلفة والسعر'!$C$2:$C$700,MATCH($C10452,'تحليل التكلفة والسعر'!$B$2:$B$700,0)),0))</f>
        <v/>
      </c>
    </row>
    <row r="10453" customFormat="false" ht="15" hidden="false" customHeight="false" outlineLevel="0" collapsed="false">
      <c r="A10453" s="103"/>
      <c r="B10453" s="104"/>
      <c r="C10453" s="104"/>
      <c r="E10453" s="107" t="str">
        <f aca="false">IF($C10453="","",IFERROR(INDEX(المنيو!$C$2:$C$500,MATCH($C10453,المنيو!$B$2:$B$500,0)),0))</f>
        <v/>
      </c>
      <c r="F10453" s="107" t="str">
        <f aca="false">IF($C10453="","",$D10453*$E10453)</f>
        <v/>
      </c>
      <c r="G10453" s="107" t="str">
        <f aca="false">IF($C10453="","",$D10453*IFERROR(INDEX('تحليل التكلفة والسعر'!$C$2:$C$700,MATCH($C10453,'تحليل التكلفة والسعر'!$B$2:$B$700,0)),0))</f>
        <v/>
      </c>
    </row>
    <row r="10454" customFormat="false" ht="15" hidden="false" customHeight="false" outlineLevel="0" collapsed="false">
      <c r="A10454" s="103"/>
      <c r="B10454" s="104"/>
      <c r="C10454" s="104"/>
      <c r="E10454" s="107" t="str">
        <f aca="false">IF($C10454="","",IFERROR(INDEX(المنيو!$C$2:$C$500,MATCH($C10454,المنيو!$B$2:$B$500,0)),0))</f>
        <v/>
      </c>
      <c r="F10454" s="107" t="str">
        <f aca="false">IF($C10454="","",$D10454*$E10454)</f>
        <v/>
      </c>
      <c r="G10454" s="107" t="str">
        <f aca="false">IF($C10454="","",$D10454*IFERROR(INDEX('تحليل التكلفة والسعر'!$C$2:$C$700,MATCH($C10454,'تحليل التكلفة والسعر'!$B$2:$B$700,0)),0))</f>
        <v/>
      </c>
    </row>
    <row r="10455" customFormat="false" ht="15" hidden="false" customHeight="false" outlineLevel="0" collapsed="false">
      <c r="A10455" s="103"/>
      <c r="B10455" s="104"/>
      <c r="C10455" s="104"/>
      <c r="E10455" s="107" t="str">
        <f aca="false">IF($C10455="","",IFERROR(INDEX(المنيو!$C$2:$C$500,MATCH($C10455,المنيو!$B$2:$B$500,0)),0))</f>
        <v/>
      </c>
      <c r="F10455" s="107" t="str">
        <f aca="false">IF($C10455="","",$D10455*$E10455)</f>
        <v/>
      </c>
      <c r="G10455" s="107" t="str">
        <f aca="false">IF($C10455="","",$D10455*IFERROR(INDEX('تحليل التكلفة والسعر'!$C$2:$C$700,MATCH($C10455,'تحليل التكلفة والسعر'!$B$2:$B$700,0)),0))</f>
        <v/>
      </c>
    </row>
    <row r="10456" customFormat="false" ht="15" hidden="false" customHeight="false" outlineLevel="0" collapsed="false">
      <c r="A10456" s="103"/>
      <c r="B10456" s="104"/>
      <c r="C10456" s="104"/>
      <c r="E10456" s="107" t="str">
        <f aca="false">IF($C10456="","",IFERROR(INDEX(المنيو!$C$2:$C$500,MATCH($C10456,المنيو!$B$2:$B$500,0)),0))</f>
        <v/>
      </c>
      <c r="F10456" s="107" t="str">
        <f aca="false">IF($C10456="","",$D10456*$E10456)</f>
        <v/>
      </c>
      <c r="G10456" s="107" t="str">
        <f aca="false">IF($C10456="","",$D10456*IFERROR(INDEX('تحليل التكلفة والسعر'!$C$2:$C$700,MATCH($C10456,'تحليل التكلفة والسعر'!$B$2:$B$700,0)),0))</f>
        <v/>
      </c>
    </row>
    <row r="10457" customFormat="false" ht="15" hidden="false" customHeight="false" outlineLevel="0" collapsed="false">
      <c r="A10457" s="103"/>
      <c r="B10457" s="104"/>
      <c r="C10457" s="104"/>
      <c r="E10457" s="107" t="str">
        <f aca="false">IF($C10457="","",IFERROR(INDEX(المنيو!$C$2:$C$500,MATCH($C10457,المنيو!$B$2:$B$500,0)),0))</f>
        <v/>
      </c>
      <c r="F10457" s="107" t="str">
        <f aca="false">IF($C10457="","",$D10457*$E10457)</f>
        <v/>
      </c>
      <c r="G10457" s="107" t="str">
        <f aca="false">IF($C10457="","",$D10457*IFERROR(INDEX('تحليل التكلفة والسعر'!$C$2:$C$700,MATCH($C10457,'تحليل التكلفة والسعر'!$B$2:$B$700,0)),0))</f>
        <v/>
      </c>
    </row>
    <row r="10458" customFormat="false" ht="15" hidden="false" customHeight="false" outlineLevel="0" collapsed="false">
      <c r="A10458" s="103"/>
      <c r="B10458" s="104"/>
      <c r="C10458" s="104"/>
      <c r="E10458" s="107" t="str">
        <f aca="false">IF($C10458="","",IFERROR(INDEX(المنيو!$C$2:$C$500,MATCH($C10458,المنيو!$B$2:$B$500,0)),0))</f>
        <v/>
      </c>
      <c r="F10458" s="107" t="str">
        <f aca="false">IF($C10458="","",$D10458*$E10458)</f>
        <v/>
      </c>
      <c r="G10458" s="107" t="str">
        <f aca="false">IF($C10458="","",$D10458*IFERROR(INDEX('تحليل التكلفة والسعر'!$C$2:$C$700,MATCH($C10458,'تحليل التكلفة والسعر'!$B$2:$B$700,0)),0))</f>
        <v/>
      </c>
    </row>
    <row r="10459" customFormat="false" ht="15" hidden="false" customHeight="false" outlineLevel="0" collapsed="false">
      <c r="A10459" s="103"/>
      <c r="B10459" s="104"/>
      <c r="C10459" s="104"/>
      <c r="E10459" s="107" t="str">
        <f aca="false">IF($C10459="","",IFERROR(INDEX(المنيو!$C$2:$C$500,MATCH($C10459,المنيو!$B$2:$B$500,0)),0))</f>
        <v/>
      </c>
      <c r="F10459" s="107" t="str">
        <f aca="false">IF($C10459="","",$D10459*$E10459)</f>
        <v/>
      </c>
      <c r="G10459" s="107" t="str">
        <f aca="false">IF($C10459="","",$D10459*IFERROR(INDEX('تحليل التكلفة والسعر'!$C$2:$C$700,MATCH($C10459,'تحليل التكلفة والسعر'!$B$2:$B$700,0)),0))</f>
        <v/>
      </c>
    </row>
    <row r="10460" customFormat="false" ht="15" hidden="false" customHeight="false" outlineLevel="0" collapsed="false">
      <c r="A10460" s="103"/>
      <c r="B10460" s="104"/>
      <c r="C10460" s="104"/>
      <c r="E10460" s="107" t="str">
        <f aca="false">IF($C10460="","",IFERROR(INDEX(المنيو!$C$2:$C$500,MATCH($C10460,المنيو!$B$2:$B$500,0)),0))</f>
        <v/>
      </c>
      <c r="F10460" s="107" t="str">
        <f aca="false">IF($C10460="","",$D10460*$E10460)</f>
        <v/>
      </c>
      <c r="G10460" s="107" t="str">
        <f aca="false">IF($C10460="","",$D10460*IFERROR(INDEX('تحليل التكلفة والسعر'!$C$2:$C$700,MATCH($C10460,'تحليل التكلفة والسعر'!$B$2:$B$700,0)),0))</f>
        <v/>
      </c>
    </row>
    <row r="10461" customFormat="false" ht="15" hidden="false" customHeight="false" outlineLevel="0" collapsed="false">
      <c r="A10461" s="103"/>
      <c r="B10461" s="104"/>
      <c r="C10461" s="104"/>
      <c r="E10461" s="107" t="str">
        <f aca="false">IF($C10461="","",IFERROR(INDEX(المنيو!$C$2:$C$500,MATCH($C10461,المنيو!$B$2:$B$500,0)),0))</f>
        <v/>
      </c>
      <c r="F10461" s="107" t="str">
        <f aca="false">IF($C10461="","",$D10461*$E10461)</f>
        <v/>
      </c>
      <c r="G10461" s="107" t="str">
        <f aca="false">IF($C10461="","",$D10461*IFERROR(INDEX('تحليل التكلفة والسعر'!$C$2:$C$700,MATCH($C10461,'تحليل التكلفة والسعر'!$B$2:$B$700,0)),0))</f>
        <v/>
      </c>
    </row>
    <row r="10462" customFormat="false" ht="15" hidden="false" customHeight="false" outlineLevel="0" collapsed="false">
      <c r="A10462" s="103"/>
      <c r="B10462" s="104"/>
      <c r="C10462" s="104"/>
      <c r="E10462" s="107" t="str">
        <f aca="false">IF($C10462="","",IFERROR(INDEX(المنيو!$C$2:$C$500,MATCH($C10462,المنيو!$B$2:$B$500,0)),0))</f>
        <v/>
      </c>
      <c r="F10462" s="107" t="str">
        <f aca="false">IF($C10462="","",$D10462*$E10462)</f>
        <v/>
      </c>
      <c r="G10462" s="107" t="str">
        <f aca="false">IF($C10462="","",$D10462*IFERROR(INDEX('تحليل التكلفة والسعر'!$C$2:$C$700,MATCH($C10462,'تحليل التكلفة والسعر'!$B$2:$B$700,0)),0))</f>
        <v/>
      </c>
    </row>
    <row r="10463" customFormat="false" ht="15" hidden="false" customHeight="false" outlineLevel="0" collapsed="false">
      <c r="A10463" s="103"/>
      <c r="B10463" s="104"/>
      <c r="C10463" s="104"/>
      <c r="E10463" s="107" t="str">
        <f aca="false">IF($C10463="","",IFERROR(INDEX(المنيو!$C$2:$C$500,MATCH($C10463,المنيو!$B$2:$B$500,0)),0))</f>
        <v/>
      </c>
      <c r="F10463" s="107" t="str">
        <f aca="false">IF($C10463="","",$D10463*$E10463)</f>
        <v/>
      </c>
      <c r="G10463" s="107" t="str">
        <f aca="false">IF($C10463="","",$D10463*IFERROR(INDEX('تحليل التكلفة والسعر'!$C$2:$C$700,MATCH($C10463,'تحليل التكلفة والسعر'!$B$2:$B$700,0)),0))</f>
        <v/>
      </c>
    </row>
    <row r="10464" customFormat="false" ht="15" hidden="false" customHeight="false" outlineLevel="0" collapsed="false">
      <c r="A10464" s="103"/>
      <c r="B10464" s="104"/>
      <c r="C10464" s="104"/>
      <c r="E10464" s="107" t="str">
        <f aca="false">IF($C10464="","",IFERROR(INDEX(المنيو!$C$2:$C$500,MATCH($C10464,المنيو!$B$2:$B$500,0)),0))</f>
        <v/>
      </c>
      <c r="F10464" s="107" t="str">
        <f aca="false">IF($C10464="","",$D10464*$E10464)</f>
        <v/>
      </c>
      <c r="G10464" s="107" t="str">
        <f aca="false">IF($C10464="","",$D10464*IFERROR(INDEX('تحليل التكلفة والسعر'!$C$2:$C$700,MATCH($C10464,'تحليل التكلفة والسعر'!$B$2:$B$700,0)),0))</f>
        <v/>
      </c>
    </row>
    <row r="10465" customFormat="false" ht="15" hidden="false" customHeight="false" outlineLevel="0" collapsed="false">
      <c r="A10465" s="103"/>
      <c r="B10465" s="104"/>
      <c r="C10465" s="104"/>
      <c r="E10465" s="107" t="str">
        <f aca="false">IF($C10465="","",IFERROR(INDEX(المنيو!$C$2:$C$500,MATCH($C10465,المنيو!$B$2:$B$500,0)),0))</f>
        <v/>
      </c>
      <c r="F10465" s="107" t="str">
        <f aca="false">IF($C10465="","",$D10465*$E10465)</f>
        <v/>
      </c>
      <c r="G10465" s="107" t="str">
        <f aca="false">IF($C10465="","",$D10465*IFERROR(INDEX('تحليل التكلفة والسعر'!$C$2:$C$700,MATCH($C10465,'تحليل التكلفة والسعر'!$B$2:$B$700,0)),0))</f>
        <v/>
      </c>
    </row>
    <row r="10466" customFormat="false" ht="15" hidden="false" customHeight="false" outlineLevel="0" collapsed="false">
      <c r="A10466" s="103"/>
      <c r="B10466" s="104"/>
      <c r="C10466" s="104"/>
      <c r="E10466" s="107" t="str">
        <f aca="false">IF($C10466="","",IFERROR(INDEX(المنيو!$C$2:$C$500,MATCH($C10466,المنيو!$B$2:$B$500,0)),0))</f>
        <v/>
      </c>
      <c r="F10466" s="107" t="str">
        <f aca="false">IF($C10466="","",$D10466*$E10466)</f>
        <v/>
      </c>
      <c r="G10466" s="107" t="str">
        <f aca="false">IF($C10466="","",$D10466*IFERROR(INDEX('تحليل التكلفة والسعر'!$C$2:$C$700,MATCH($C10466,'تحليل التكلفة والسعر'!$B$2:$B$700,0)),0))</f>
        <v/>
      </c>
    </row>
    <row r="10467" customFormat="false" ht="15" hidden="false" customHeight="false" outlineLevel="0" collapsed="false">
      <c r="A10467" s="103"/>
      <c r="B10467" s="104"/>
      <c r="C10467" s="104"/>
      <c r="E10467" s="107" t="str">
        <f aca="false">IF($C10467="","",IFERROR(INDEX(المنيو!$C$2:$C$500,MATCH($C10467,المنيو!$B$2:$B$500,0)),0))</f>
        <v/>
      </c>
      <c r="F10467" s="107" t="str">
        <f aca="false">IF($C10467="","",$D10467*$E10467)</f>
        <v/>
      </c>
      <c r="G10467" s="107" t="str">
        <f aca="false">IF($C10467="","",$D10467*IFERROR(INDEX('تحليل التكلفة والسعر'!$C$2:$C$700,MATCH($C10467,'تحليل التكلفة والسعر'!$B$2:$B$700,0)),0))</f>
        <v/>
      </c>
    </row>
    <row r="10468" customFormat="false" ht="15" hidden="false" customHeight="false" outlineLevel="0" collapsed="false">
      <c r="A10468" s="103"/>
      <c r="B10468" s="104"/>
      <c r="C10468" s="104"/>
      <c r="E10468" s="107" t="str">
        <f aca="false">IF($C10468="","",IFERROR(INDEX(المنيو!$C$2:$C$500,MATCH($C10468,المنيو!$B$2:$B$500,0)),0))</f>
        <v/>
      </c>
      <c r="F10468" s="107" t="str">
        <f aca="false">IF($C10468="","",$D10468*$E10468)</f>
        <v/>
      </c>
      <c r="G10468" s="107" t="str">
        <f aca="false">IF($C10468="","",$D10468*IFERROR(INDEX('تحليل التكلفة والسعر'!$C$2:$C$700,MATCH($C10468,'تحليل التكلفة والسعر'!$B$2:$B$700,0)),0))</f>
        <v/>
      </c>
    </row>
    <row r="10469" customFormat="false" ht="15" hidden="false" customHeight="false" outlineLevel="0" collapsed="false">
      <c r="A10469" s="103"/>
      <c r="B10469" s="104"/>
      <c r="C10469" s="104"/>
      <c r="E10469" s="107" t="str">
        <f aca="false">IF($C10469="","",IFERROR(INDEX(المنيو!$C$2:$C$500,MATCH($C10469,المنيو!$B$2:$B$500,0)),0))</f>
        <v/>
      </c>
      <c r="F10469" s="107" t="str">
        <f aca="false">IF($C10469="","",$D10469*$E10469)</f>
        <v/>
      </c>
      <c r="G10469" s="107" t="str">
        <f aca="false">IF($C10469="","",$D10469*IFERROR(INDEX('تحليل التكلفة والسعر'!$C$2:$C$700,MATCH($C10469,'تحليل التكلفة والسعر'!$B$2:$B$700,0)),0))</f>
        <v/>
      </c>
    </row>
    <row r="10470" customFormat="false" ht="15" hidden="false" customHeight="false" outlineLevel="0" collapsed="false">
      <c r="A10470" s="103"/>
      <c r="B10470" s="104"/>
      <c r="C10470" s="104"/>
      <c r="E10470" s="107" t="str">
        <f aca="false">IF($C10470="","",IFERROR(INDEX(المنيو!$C$2:$C$500,MATCH($C10470,المنيو!$B$2:$B$500,0)),0))</f>
        <v/>
      </c>
      <c r="F10470" s="107" t="str">
        <f aca="false">IF($C10470="","",$D10470*$E10470)</f>
        <v/>
      </c>
      <c r="G10470" s="107" t="str">
        <f aca="false">IF($C10470="","",$D10470*IFERROR(INDEX('تحليل التكلفة والسعر'!$C$2:$C$700,MATCH($C10470,'تحليل التكلفة والسعر'!$B$2:$B$700,0)),0))</f>
        <v/>
      </c>
    </row>
    <row r="10471" customFormat="false" ht="15" hidden="false" customHeight="false" outlineLevel="0" collapsed="false">
      <c r="A10471" s="103"/>
      <c r="B10471" s="104"/>
      <c r="C10471" s="104"/>
      <c r="E10471" s="107" t="str">
        <f aca="false">IF($C10471="","",IFERROR(INDEX(المنيو!$C$2:$C$500,MATCH($C10471,المنيو!$B$2:$B$500,0)),0))</f>
        <v/>
      </c>
      <c r="F10471" s="107" t="str">
        <f aca="false">IF($C10471="","",$D10471*$E10471)</f>
        <v/>
      </c>
      <c r="G10471" s="107" t="str">
        <f aca="false">IF($C10471="","",$D10471*IFERROR(INDEX('تحليل التكلفة والسعر'!$C$2:$C$700,MATCH($C10471,'تحليل التكلفة والسعر'!$B$2:$B$700,0)),0))</f>
        <v/>
      </c>
    </row>
    <row r="10472" customFormat="false" ht="15" hidden="false" customHeight="false" outlineLevel="0" collapsed="false">
      <c r="A10472" s="103"/>
      <c r="B10472" s="104"/>
      <c r="C10472" s="104"/>
      <c r="E10472" s="107" t="str">
        <f aca="false">IF($C10472="","",IFERROR(INDEX(المنيو!$C$2:$C$500,MATCH($C10472,المنيو!$B$2:$B$500,0)),0))</f>
        <v/>
      </c>
      <c r="F10472" s="107" t="str">
        <f aca="false">IF($C10472="","",$D10472*$E10472)</f>
        <v/>
      </c>
      <c r="G10472" s="107" t="str">
        <f aca="false">IF($C10472="","",$D10472*IFERROR(INDEX('تحليل التكلفة والسعر'!$C$2:$C$700,MATCH($C10472,'تحليل التكلفة والسعر'!$B$2:$B$700,0)),0))</f>
        <v/>
      </c>
    </row>
    <row r="10473" customFormat="false" ht="15" hidden="false" customHeight="false" outlineLevel="0" collapsed="false">
      <c r="A10473" s="103"/>
      <c r="B10473" s="104"/>
      <c r="C10473" s="104"/>
      <c r="E10473" s="107" t="str">
        <f aca="false">IF($C10473="","",IFERROR(INDEX(المنيو!$C$2:$C$500,MATCH($C10473,المنيو!$B$2:$B$500,0)),0))</f>
        <v/>
      </c>
      <c r="F10473" s="107" t="str">
        <f aca="false">IF($C10473="","",$D10473*$E10473)</f>
        <v/>
      </c>
      <c r="G10473" s="107" t="str">
        <f aca="false">IF($C10473="","",$D10473*IFERROR(INDEX('تحليل التكلفة والسعر'!$C$2:$C$700,MATCH($C10473,'تحليل التكلفة والسعر'!$B$2:$B$700,0)),0))</f>
        <v/>
      </c>
    </row>
    <row r="10474" customFormat="false" ht="15" hidden="false" customHeight="false" outlineLevel="0" collapsed="false">
      <c r="A10474" s="103"/>
      <c r="B10474" s="104"/>
      <c r="C10474" s="104"/>
      <c r="E10474" s="107" t="str">
        <f aca="false">IF($C10474="","",IFERROR(INDEX(المنيو!$C$2:$C$500,MATCH($C10474,المنيو!$B$2:$B$500,0)),0))</f>
        <v/>
      </c>
      <c r="F10474" s="107" t="str">
        <f aca="false">IF($C10474="","",$D10474*$E10474)</f>
        <v/>
      </c>
      <c r="G10474" s="107" t="str">
        <f aca="false">IF($C10474="","",$D10474*IFERROR(INDEX('تحليل التكلفة والسعر'!$C$2:$C$700,MATCH($C10474,'تحليل التكلفة والسعر'!$B$2:$B$700,0)),0))</f>
        <v/>
      </c>
    </row>
    <row r="10475" customFormat="false" ht="15" hidden="false" customHeight="false" outlineLevel="0" collapsed="false">
      <c r="A10475" s="103"/>
      <c r="B10475" s="104"/>
      <c r="C10475" s="104"/>
      <c r="E10475" s="107" t="str">
        <f aca="false">IF($C10475="","",IFERROR(INDEX(المنيو!$C$2:$C$500,MATCH($C10475,المنيو!$B$2:$B$500,0)),0))</f>
        <v/>
      </c>
      <c r="F10475" s="107" t="str">
        <f aca="false">IF($C10475="","",$D10475*$E10475)</f>
        <v/>
      </c>
      <c r="G10475" s="107" t="str">
        <f aca="false">IF($C10475="","",$D10475*IFERROR(INDEX('تحليل التكلفة والسعر'!$C$2:$C$700,MATCH($C10475,'تحليل التكلفة والسعر'!$B$2:$B$700,0)),0))</f>
        <v/>
      </c>
    </row>
    <row r="10476" customFormat="false" ht="15" hidden="false" customHeight="false" outlineLevel="0" collapsed="false">
      <c r="A10476" s="103"/>
      <c r="B10476" s="104"/>
      <c r="C10476" s="104"/>
      <c r="E10476" s="107" t="str">
        <f aca="false">IF($C10476="","",IFERROR(INDEX(المنيو!$C$2:$C$500,MATCH($C10476,المنيو!$B$2:$B$500,0)),0))</f>
        <v/>
      </c>
      <c r="F10476" s="107" t="str">
        <f aca="false">IF($C10476="","",$D10476*$E10476)</f>
        <v/>
      </c>
      <c r="G10476" s="107" t="str">
        <f aca="false">IF($C10476="","",$D10476*IFERROR(INDEX('تحليل التكلفة والسعر'!$C$2:$C$700,MATCH($C10476,'تحليل التكلفة والسعر'!$B$2:$B$700,0)),0))</f>
        <v/>
      </c>
    </row>
    <row r="10477" customFormat="false" ht="15" hidden="false" customHeight="false" outlineLevel="0" collapsed="false">
      <c r="A10477" s="103"/>
      <c r="B10477" s="104"/>
      <c r="C10477" s="104"/>
      <c r="E10477" s="107" t="str">
        <f aca="false">IF($C10477="","",IFERROR(INDEX(المنيو!$C$2:$C$500,MATCH($C10477,المنيو!$B$2:$B$500,0)),0))</f>
        <v/>
      </c>
      <c r="F10477" s="107" t="str">
        <f aca="false">IF($C10477="","",$D10477*$E10477)</f>
        <v/>
      </c>
      <c r="G10477" s="107" t="str">
        <f aca="false">IF($C10477="","",$D10477*IFERROR(INDEX('تحليل التكلفة والسعر'!$C$2:$C$700,MATCH($C10477,'تحليل التكلفة والسعر'!$B$2:$B$700,0)),0))</f>
        <v/>
      </c>
    </row>
    <row r="10478" customFormat="false" ht="15" hidden="false" customHeight="false" outlineLevel="0" collapsed="false">
      <c r="A10478" s="103"/>
      <c r="B10478" s="104"/>
      <c r="C10478" s="104"/>
      <c r="E10478" s="107" t="str">
        <f aca="false">IF($C10478="","",IFERROR(INDEX(المنيو!$C$2:$C$500,MATCH($C10478,المنيو!$B$2:$B$500,0)),0))</f>
        <v/>
      </c>
      <c r="F10478" s="107" t="str">
        <f aca="false">IF($C10478="","",$D10478*$E10478)</f>
        <v/>
      </c>
      <c r="G10478" s="107" t="str">
        <f aca="false">IF($C10478="","",$D10478*IFERROR(INDEX('تحليل التكلفة والسعر'!$C$2:$C$700,MATCH($C10478,'تحليل التكلفة والسعر'!$B$2:$B$700,0)),0))</f>
        <v/>
      </c>
    </row>
    <row r="10479" customFormat="false" ht="15" hidden="false" customHeight="false" outlineLevel="0" collapsed="false">
      <c r="A10479" s="103"/>
      <c r="B10479" s="104"/>
      <c r="C10479" s="104"/>
      <c r="E10479" s="107" t="str">
        <f aca="false">IF($C10479="","",IFERROR(INDEX(المنيو!$C$2:$C$500,MATCH($C10479,المنيو!$B$2:$B$500,0)),0))</f>
        <v/>
      </c>
      <c r="F10479" s="107" t="str">
        <f aca="false">IF($C10479="","",$D10479*$E10479)</f>
        <v/>
      </c>
      <c r="G10479" s="107" t="str">
        <f aca="false">IF($C10479="","",$D10479*IFERROR(INDEX('تحليل التكلفة والسعر'!$C$2:$C$700,MATCH($C10479,'تحليل التكلفة والسعر'!$B$2:$B$700,0)),0))</f>
        <v/>
      </c>
    </row>
    <row r="10480" customFormat="false" ht="15" hidden="false" customHeight="false" outlineLevel="0" collapsed="false">
      <c r="A10480" s="103"/>
      <c r="B10480" s="104"/>
      <c r="C10480" s="104"/>
      <c r="E10480" s="107" t="str">
        <f aca="false">IF($C10480="","",IFERROR(INDEX(المنيو!$C$2:$C$500,MATCH($C10480,المنيو!$B$2:$B$500,0)),0))</f>
        <v/>
      </c>
      <c r="F10480" s="107" t="str">
        <f aca="false">IF($C10480="","",$D10480*$E10480)</f>
        <v/>
      </c>
      <c r="G10480" s="107" t="str">
        <f aca="false">IF($C10480="","",$D10480*IFERROR(INDEX('تحليل التكلفة والسعر'!$C$2:$C$700,MATCH($C10480,'تحليل التكلفة والسعر'!$B$2:$B$700,0)),0))</f>
        <v/>
      </c>
    </row>
    <row r="10481" customFormat="false" ht="15" hidden="false" customHeight="false" outlineLevel="0" collapsed="false">
      <c r="A10481" s="103"/>
      <c r="B10481" s="104"/>
      <c r="C10481" s="104"/>
      <c r="E10481" s="107" t="str">
        <f aca="false">IF($C10481="","",IFERROR(INDEX(المنيو!$C$2:$C$500,MATCH($C10481,المنيو!$B$2:$B$500,0)),0))</f>
        <v/>
      </c>
      <c r="F10481" s="107" t="str">
        <f aca="false">IF($C10481="","",$D10481*$E10481)</f>
        <v/>
      </c>
      <c r="G10481" s="107" t="str">
        <f aca="false">IF($C10481="","",$D10481*IFERROR(INDEX('تحليل التكلفة والسعر'!$C$2:$C$700,MATCH($C10481,'تحليل التكلفة والسعر'!$B$2:$B$700,0)),0))</f>
        <v/>
      </c>
    </row>
    <row r="10482" customFormat="false" ht="15" hidden="false" customHeight="false" outlineLevel="0" collapsed="false">
      <c r="A10482" s="103"/>
      <c r="B10482" s="104"/>
      <c r="C10482" s="104"/>
      <c r="E10482" s="107" t="str">
        <f aca="false">IF($C10482="","",IFERROR(INDEX(المنيو!$C$2:$C$500,MATCH($C10482,المنيو!$B$2:$B$500,0)),0))</f>
        <v/>
      </c>
      <c r="F10482" s="107" t="str">
        <f aca="false">IF($C10482="","",$D10482*$E10482)</f>
        <v/>
      </c>
      <c r="G10482" s="107" t="str">
        <f aca="false">IF($C10482="","",$D10482*IFERROR(INDEX('تحليل التكلفة والسعر'!$C$2:$C$700,MATCH($C10482,'تحليل التكلفة والسعر'!$B$2:$B$700,0)),0))</f>
        <v/>
      </c>
    </row>
    <row r="10483" customFormat="false" ht="15" hidden="false" customHeight="false" outlineLevel="0" collapsed="false">
      <c r="A10483" s="103"/>
      <c r="B10483" s="104"/>
      <c r="C10483" s="104"/>
      <c r="E10483" s="107" t="str">
        <f aca="false">IF($C10483="","",IFERROR(INDEX(المنيو!$C$2:$C$500,MATCH($C10483,المنيو!$B$2:$B$500,0)),0))</f>
        <v/>
      </c>
      <c r="F10483" s="107" t="str">
        <f aca="false">IF($C10483="","",$D10483*$E10483)</f>
        <v/>
      </c>
      <c r="G10483" s="107" t="str">
        <f aca="false">IF($C10483="","",$D10483*IFERROR(INDEX('تحليل التكلفة والسعر'!$C$2:$C$700,MATCH($C10483,'تحليل التكلفة والسعر'!$B$2:$B$700,0)),0))</f>
        <v/>
      </c>
    </row>
    <row r="10484" customFormat="false" ht="15" hidden="false" customHeight="false" outlineLevel="0" collapsed="false">
      <c r="A10484" s="103"/>
      <c r="B10484" s="104"/>
      <c r="C10484" s="104"/>
      <c r="E10484" s="107" t="str">
        <f aca="false">IF($C10484="","",IFERROR(INDEX(المنيو!$C$2:$C$500,MATCH($C10484,المنيو!$B$2:$B$500,0)),0))</f>
        <v/>
      </c>
      <c r="F10484" s="107" t="str">
        <f aca="false">IF($C10484="","",$D10484*$E10484)</f>
        <v/>
      </c>
      <c r="G10484" s="107" t="str">
        <f aca="false">IF($C10484="","",$D10484*IFERROR(INDEX('تحليل التكلفة والسعر'!$C$2:$C$700,MATCH($C10484,'تحليل التكلفة والسعر'!$B$2:$B$700,0)),0))</f>
        <v/>
      </c>
    </row>
    <row r="10485" customFormat="false" ht="15" hidden="false" customHeight="false" outlineLevel="0" collapsed="false">
      <c r="A10485" s="103"/>
      <c r="B10485" s="104"/>
      <c r="C10485" s="104"/>
      <c r="E10485" s="107" t="str">
        <f aca="false">IF($C10485="","",IFERROR(INDEX(المنيو!$C$2:$C$500,MATCH($C10485,المنيو!$B$2:$B$500,0)),0))</f>
        <v/>
      </c>
      <c r="F10485" s="107" t="str">
        <f aca="false">IF($C10485="","",$D10485*$E10485)</f>
        <v/>
      </c>
      <c r="G10485" s="107" t="str">
        <f aca="false">IF($C10485="","",$D10485*IFERROR(INDEX('تحليل التكلفة والسعر'!$C$2:$C$700,MATCH($C10485,'تحليل التكلفة والسعر'!$B$2:$B$700,0)),0))</f>
        <v/>
      </c>
    </row>
    <row r="10486" customFormat="false" ht="15" hidden="false" customHeight="false" outlineLevel="0" collapsed="false">
      <c r="A10486" s="103"/>
      <c r="B10486" s="104"/>
      <c r="C10486" s="104"/>
      <c r="E10486" s="107" t="str">
        <f aca="false">IF($C10486="","",IFERROR(INDEX(المنيو!$C$2:$C$500,MATCH($C10486,المنيو!$B$2:$B$500,0)),0))</f>
        <v/>
      </c>
      <c r="F10486" s="107" t="str">
        <f aca="false">IF($C10486="","",$D10486*$E10486)</f>
        <v/>
      </c>
      <c r="G10486" s="107" t="str">
        <f aca="false">IF($C10486="","",$D10486*IFERROR(INDEX('تحليل التكلفة والسعر'!$C$2:$C$700,MATCH($C10486,'تحليل التكلفة والسعر'!$B$2:$B$700,0)),0))</f>
        <v/>
      </c>
    </row>
    <row r="10487" customFormat="false" ht="15" hidden="false" customHeight="false" outlineLevel="0" collapsed="false">
      <c r="A10487" s="103"/>
      <c r="B10487" s="104"/>
      <c r="C10487" s="104"/>
      <c r="E10487" s="107" t="str">
        <f aca="false">IF($C10487="","",IFERROR(INDEX(المنيو!$C$2:$C$500,MATCH($C10487,المنيو!$B$2:$B$500,0)),0))</f>
        <v/>
      </c>
      <c r="F10487" s="107" t="str">
        <f aca="false">IF($C10487="","",$D10487*$E10487)</f>
        <v/>
      </c>
      <c r="G10487" s="107" t="str">
        <f aca="false">IF($C10487="","",$D10487*IFERROR(INDEX('تحليل التكلفة والسعر'!$C$2:$C$700,MATCH($C10487,'تحليل التكلفة والسعر'!$B$2:$B$700,0)),0))</f>
        <v/>
      </c>
    </row>
    <row r="10488" customFormat="false" ht="15" hidden="false" customHeight="false" outlineLevel="0" collapsed="false">
      <c r="A10488" s="103"/>
      <c r="B10488" s="104"/>
      <c r="C10488" s="104"/>
      <c r="E10488" s="107" t="str">
        <f aca="false">IF($C10488="","",IFERROR(INDEX(المنيو!$C$2:$C$500,MATCH($C10488,المنيو!$B$2:$B$500,0)),0))</f>
        <v/>
      </c>
      <c r="F10488" s="107" t="str">
        <f aca="false">IF($C10488="","",$D10488*$E10488)</f>
        <v/>
      </c>
      <c r="G10488" s="107" t="str">
        <f aca="false">IF($C10488="","",$D10488*IFERROR(INDEX('تحليل التكلفة والسعر'!$C$2:$C$700,MATCH($C10488,'تحليل التكلفة والسعر'!$B$2:$B$700,0)),0))</f>
        <v/>
      </c>
    </row>
    <row r="10489" customFormat="false" ht="15" hidden="false" customHeight="false" outlineLevel="0" collapsed="false">
      <c r="A10489" s="103"/>
      <c r="B10489" s="104"/>
      <c r="C10489" s="104"/>
      <c r="E10489" s="107" t="str">
        <f aca="false">IF($C10489="","",IFERROR(INDEX(المنيو!$C$2:$C$500,MATCH($C10489,المنيو!$B$2:$B$500,0)),0))</f>
        <v/>
      </c>
      <c r="F10489" s="107" t="str">
        <f aca="false">IF($C10489="","",$D10489*$E10489)</f>
        <v/>
      </c>
      <c r="G10489" s="107" t="str">
        <f aca="false">IF($C10489="","",$D10489*IFERROR(INDEX('تحليل التكلفة والسعر'!$C$2:$C$700,MATCH($C10489,'تحليل التكلفة والسعر'!$B$2:$B$700,0)),0))</f>
        <v/>
      </c>
    </row>
    <row r="10490" customFormat="false" ht="15" hidden="false" customHeight="false" outlineLevel="0" collapsed="false">
      <c r="A10490" s="103"/>
      <c r="B10490" s="104"/>
      <c r="C10490" s="104"/>
      <c r="E10490" s="107" t="str">
        <f aca="false">IF($C10490="","",IFERROR(INDEX(المنيو!$C$2:$C$500,MATCH($C10490,المنيو!$B$2:$B$500,0)),0))</f>
        <v/>
      </c>
      <c r="F10490" s="107" t="str">
        <f aca="false">IF($C10490="","",$D10490*$E10490)</f>
        <v/>
      </c>
      <c r="G10490" s="107" t="str">
        <f aca="false">IF($C10490="","",$D10490*IFERROR(INDEX('تحليل التكلفة والسعر'!$C$2:$C$700,MATCH($C10490,'تحليل التكلفة والسعر'!$B$2:$B$700,0)),0))</f>
        <v/>
      </c>
    </row>
    <row r="10491" customFormat="false" ht="15" hidden="false" customHeight="false" outlineLevel="0" collapsed="false">
      <c r="A10491" s="103"/>
      <c r="B10491" s="104"/>
      <c r="C10491" s="104"/>
      <c r="E10491" s="107" t="str">
        <f aca="false">IF($C10491="","",IFERROR(INDEX(المنيو!$C$2:$C$500,MATCH($C10491,المنيو!$B$2:$B$500,0)),0))</f>
        <v/>
      </c>
      <c r="F10491" s="107" t="str">
        <f aca="false">IF($C10491="","",$D10491*$E10491)</f>
        <v/>
      </c>
      <c r="G10491" s="107" t="str">
        <f aca="false">IF($C10491="","",$D10491*IFERROR(INDEX('تحليل التكلفة والسعر'!$C$2:$C$700,MATCH($C10491,'تحليل التكلفة والسعر'!$B$2:$B$700,0)),0))</f>
        <v/>
      </c>
    </row>
    <row r="10492" customFormat="false" ht="15" hidden="false" customHeight="false" outlineLevel="0" collapsed="false">
      <c r="A10492" s="103"/>
      <c r="B10492" s="104"/>
      <c r="C10492" s="104"/>
      <c r="E10492" s="107" t="str">
        <f aca="false">IF($C10492="","",IFERROR(INDEX(المنيو!$C$2:$C$500,MATCH($C10492,المنيو!$B$2:$B$500,0)),0))</f>
        <v/>
      </c>
      <c r="F10492" s="107" t="str">
        <f aca="false">IF($C10492="","",$D10492*$E10492)</f>
        <v/>
      </c>
      <c r="G10492" s="107" t="str">
        <f aca="false">IF($C10492="","",$D10492*IFERROR(INDEX('تحليل التكلفة والسعر'!$C$2:$C$700,MATCH($C10492,'تحليل التكلفة والسعر'!$B$2:$B$700,0)),0))</f>
        <v/>
      </c>
    </row>
    <row r="10493" customFormat="false" ht="15" hidden="false" customHeight="false" outlineLevel="0" collapsed="false">
      <c r="A10493" s="103"/>
      <c r="B10493" s="104"/>
      <c r="C10493" s="104"/>
      <c r="E10493" s="107" t="str">
        <f aca="false">IF($C10493="","",IFERROR(INDEX(المنيو!$C$2:$C$500,MATCH($C10493,المنيو!$B$2:$B$500,0)),0))</f>
        <v/>
      </c>
      <c r="F10493" s="107" t="str">
        <f aca="false">IF($C10493="","",$D10493*$E10493)</f>
        <v/>
      </c>
      <c r="G10493" s="107" t="str">
        <f aca="false">IF($C10493="","",$D10493*IFERROR(INDEX('تحليل التكلفة والسعر'!$C$2:$C$700,MATCH($C10493,'تحليل التكلفة والسعر'!$B$2:$B$700,0)),0))</f>
        <v/>
      </c>
    </row>
    <row r="10494" customFormat="false" ht="15" hidden="false" customHeight="false" outlineLevel="0" collapsed="false">
      <c r="A10494" s="103"/>
      <c r="B10494" s="104"/>
      <c r="C10494" s="104"/>
      <c r="E10494" s="107" t="str">
        <f aca="false">IF($C10494="","",IFERROR(INDEX(المنيو!$C$2:$C$500,MATCH($C10494,المنيو!$B$2:$B$500,0)),0))</f>
        <v/>
      </c>
      <c r="F10494" s="107" t="str">
        <f aca="false">IF($C10494="","",$D10494*$E10494)</f>
        <v/>
      </c>
      <c r="G10494" s="107" t="str">
        <f aca="false">IF($C10494="","",$D10494*IFERROR(INDEX('تحليل التكلفة والسعر'!$C$2:$C$700,MATCH($C10494,'تحليل التكلفة والسعر'!$B$2:$B$700,0)),0))</f>
        <v/>
      </c>
    </row>
    <row r="10495" customFormat="false" ht="15" hidden="false" customHeight="false" outlineLevel="0" collapsed="false">
      <c r="A10495" s="103"/>
      <c r="B10495" s="104"/>
      <c r="C10495" s="104"/>
      <c r="E10495" s="107" t="str">
        <f aca="false">IF($C10495="","",IFERROR(INDEX(المنيو!$C$2:$C$500,MATCH($C10495,المنيو!$B$2:$B$500,0)),0))</f>
        <v/>
      </c>
      <c r="F10495" s="107" t="str">
        <f aca="false">IF($C10495="","",$D10495*$E10495)</f>
        <v/>
      </c>
      <c r="G10495" s="107" t="str">
        <f aca="false">IF($C10495="","",$D10495*IFERROR(INDEX('تحليل التكلفة والسعر'!$C$2:$C$700,MATCH($C10495,'تحليل التكلفة والسعر'!$B$2:$B$700,0)),0))</f>
        <v/>
      </c>
    </row>
    <row r="10496" customFormat="false" ht="15" hidden="false" customHeight="false" outlineLevel="0" collapsed="false">
      <c r="A10496" s="103"/>
      <c r="B10496" s="104"/>
      <c r="C10496" s="104"/>
      <c r="E10496" s="107" t="str">
        <f aca="false">IF($C10496="","",IFERROR(INDEX(المنيو!$C$2:$C$500,MATCH($C10496,المنيو!$B$2:$B$500,0)),0))</f>
        <v/>
      </c>
      <c r="F10496" s="107" t="str">
        <f aca="false">IF($C10496="","",$D10496*$E10496)</f>
        <v/>
      </c>
      <c r="G10496" s="107" t="str">
        <f aca="false">IF($C10496="","",$D10496*IFERROR(INDEX('تحليل التكلفة والسعر'!$C$2:$C$700,MATCH($C10496,'تحليل التكلفة والسعر'!$B$2:$B$700,0)),0))</f>
        <v/>
      </c>
    </row>
    <row r="10497" customFormat="false" ht="15" hidden="false" customHeight="false" outlineLevel="0" collapsed="false">
      <c r="A10497" s="103"/>
      <c r="B10497" s="104"/>
      <c r="C10497" s="104"/>
      <c r="E10497" s="107" t="str">
        <f aca="false">IF($C10497="","",IFERROR(INDEX(المنيو!$C$2:$C$500,MATCH($C10497,المنيو!$B$2:$B$500,0)),0))</f>
        <v/>
      </c>
      <c r="F10497" s="107" t="str">
        <f aca="false">IF($C10497="","",$D10497*$E10497)</f>
        <v/>
      </c>
      <c r="G10497" s="107" t="str">
        <f aca="false">IF($C10497="","",$D10497*IFERROR(INDEX('تحليل التكلفة والسعر'!$C$2:$C$700,MATCH($C10497,'تحليل التكلفة والسعر'!$B$2:$B$700,0)),0))</f>
        <v/>
      </c>
    </row>
    <row r="10498" customFormat="false" ht="15" hidden="false" customHeight="false" outlineLevel="0" collapsed="false">
      <c r="A10498" s="103"/>
      <c r="B10498" s="104"/>
      <c r="C10498" s="104"/>
      <c r="E10498" s="107" t="str">
        <f aca="false">IF($C10498="","",IFERROR(INDEX(المنيو!$C$2:$C$500,MATCH($C10498,المنيو!$B$2:$B$500,0)),0))</f>
        <v/>
      </c>
      <c r="F10498" s="107" t="str">
        <f aca="false">IF($C10498="","",$D10498*$E10498)</f>
        <v/>
      </c>
      <c r="G10498" s="107" t="str">
        <f aca="false">IF($C10498="","",$D10498*IFERROR(INDEX('تحليل التكلفة والسعر'!$C$2:$C$700,MATCH($C10498,'تحليل التكلفة والسعر'!$B$2:$B$700,0)),0))</f>
        <v/>
      </c>
    </row>
    <row r="10499" customFormat="false" ht="15" hidden="false" customHeight="false" outlineLevel="0" collapsed="false">
      <c r="A10499" s="103"/>
      <c r="B10499" s="104"/>
      <c r="C10499" s="104"/>
      <c r="E10499" s="107" t="str">
        <f aca="false">IF($C10499="","",IFERROR(INDEX(المنيو!$C$2:$C$500,MATCH($C10499,المنيو!$B$2:$B$500,0)),0))</f>
        <v/>
      </c>
      <c r="F10499" s="107" t="str">
        <f aca="false">IF($C10499="","",$D10499*$E10499)</f>
        <v/>
      </c>
      <c r="G10499" s="107" t="str">
        <f aca="false">IF($C10499="","",$D10499*IFERROR(INDEX('تحليل التكلفة والسعر'!$C$2:$C$700,MATCH($C10499,'تحليل التكلفة والسعر'!$B$2:$B$700,0)),0))</f>
        <v/>
      </c>
    </row>
    <row r="10500" customFormat="false" ht="15" hidden="false" customHeight="false" outlineLevel="0" collapsed="false">
      <c r="A10500" s="103"/>
      <c r="B10500" s="104"/>
      <c r="C10500" s="104"/>
      <c r="E10500" s="107" t="str">
        <f aca="false">IF($C10500="","",IFERROR(INDEX(المنيو!$C$2:$C$500,MATCH($C10500,المنيو!$B$2:$B$500,0)),0))</f>
        <v/>
      </c>
      <c r="F10500" s="107" t="str">
        <f aca="false">IF($C10500="","",$D10500*$E10500)</f>
        <v/>
      </c>
      <c r="G10500" s="107" t="str">
        <f aca="false">IF($C10500="","",$D10500*IFERROR(INDEX('تحليل التكلفة والسعر'!$C$2:$C$700,MATCH($C10500,'تحليل التكلفة والسعر'!$B$2:$B$700,0)),0))</f>
        <v/>
      </c>
    </row>
    <row r="10501" customFormat="false" ht="15" hidden="false" customHeight="false" outlineLevel="0" collapsed="false">
      <c r="A10501" s="103"/>
      <c r="B10501" s="104"/>
      <c r="C10501" s="104"/>
      <c r="E10501" s="107" t="str">
        <f aca="false">IF($C10501="","",IFERROR(INDEX(المنيو!$C$2:$C$500,MATCH($C10501,المنيو!$B$2:$B$500,0)),0))</f>
        <v/>
      </c>
      <c r="F10501" s="107" t="str">
        <f aca="false">IF($C10501="","",$D10501*$E10501)</f>
        <v/>
      </c>
      <c r="G10501" s="107" t="str">
        <f aca="false">IF($C10501="","",$D10501*IFERROR(INDEX('تحليل التكلفة والسعر'!$C$2:$C$700,MATCH($C10501,'تحليل التكلفة والسعر'!$B$2:$B$700,0)),0))</f>
        <v/>
      </c>
    </row>
    <row r="10502" customFormat="false" ht="15" hidden="false" customHeight="false" outlineLevel="0" collapsed="false">
      <c r="A10502" s="103"/>
      <c r="B10502" s="104"/>
      <c r="C10502" s="104"/>
      <c r="E10502" s="107" t="str">
        <f aca="false">IF($C10502="","",IFERROR(INDEX(المنيو!$C$2:$C$500,MATCH($C10502,المنيو!$B$2:$B$500,0)),0))</f>
        <v/>
      </c>
      <c r="F10502" s="107" t="str">
        <f aca="false">IF($C10502="","",$D10502*$E10502)</f>
        <v/>
      </c>
      <c r="G10502" s="107" t="str">
        <f aca="false">IF($C10502="","",$D10502*IFERROR(INDEX('تحليل التكلفة والسعر'!$C$2:$C$700,MATCH($C10502,'تحليل التكلفة والسعر'!$B$2:$B$700,0)),0))</f>
        <v/>
      </c>
    </row>
    <row r="10503" customFormat="false" ht="15" hidden="false" customHeight="false" outlineLevel="0" collapsed="false">
      <c r="A10503" s="103"/>
      <c r="B10503" s="104"/>
      <c r="C10503" s="104"/>
      <c r="E10503" s="107" t="str">
        <f aca="false">IF($C10503="","",IFERROR(INDEX(المنيو!$C$2:$C$500,MATCH($C10503,المنيو!$B$2:$B$500,0)),0))</f>
        <v/>
      </c>
      <c r="F10503" s="107" t="str">
        <f aca="false">IF($C10503="","",$D10503*$E10503)</f>
        <v/>
      </c>
      <c r="G10503" s="107" t="str">
        <f aca="false">IF($C10503="","",$D10503*IFERROR(INDEX('تحليل التكلفة والسعر'!$C$2:$C$700,MATCH($C10503,'تحليل التكلفة والسعر'!$B$2:$B$700,0)),0))</f>
        <v/>
      </c>
    </row>
    <row r="10504" customFormat="false" ht="15" hidden="false" customHeight="false" outlineLevel="0" collapsed="false">
      <c r="A10504" s="103"/>
      <c r="B10504" s="104"/>
      <c r="C10504" s="104"/>
      <c r="E10504" s="107" t="str">
        <f aca="false">IF($C10504="","",IFERROR(INDEX(المنيو!$C$2:$C$500,MATCH($C10504,المنيو!$B$2:$B$500,0)),0))</f>
        <v/>
      </c>
      <c r="F10504" s="107" t="str">
        <f aca="false">IF($C10504="","",$D10504*$E10504)</f>
        <v/>
      </c>
      <c r="G10504" s="107" t="str">
        <f aca="false">IF($C10504="","",$D10504*IFERROR(INDEX('تحليل التكلفة والسعر'!$C$2:$C$700,MATCH($C10504,'تحليل التكلفة والسعر'!$B$2:$B$700,0)),0))</f>
        <v/>
      </c>
    </row>
    <row r="10505" customFormat="false" ht="15" hidden="false" customHeight="false" outlineLevel="0" collapsed="false">
      <c r="A10505" s="103"/>
      <c r="B10505" s="104"/>
      <c r="C10505" s="104"/>
      <c r="E10505" s="107" t="str">
        <f aca="false">IF($C10505="","",IFERROR(INDEX(المنيو!$C$2:$C$500,MATCH($C10505,المنيو!$B$2:$B$500,0)),0))</f>
        <v/>
      </c>
      <c r="F10505" s="107" t="str">
        <f aca="false">IF($C10505="","",$D10505*$E10505)</f>
        <v/>
      </c>
      <c r="G10505" s="107" t="str">
        <f aca="false">IF($C10505="","",$D10505*IFERROR(INDEX('تحليل التكلفة والسعر'!$C$2:$C$700,MATCH($C10505,'تحليل التكلفة والسعر'!$B$2:$B$700,0)),0))</f>
        <v/>
      </c>
    </row>
    <row r="10506" customFormat="false" ht="15" hidden="false" customHeight="false" outlineLevel="0" collapsed="false">
      <c r="A10506" s="103"/>
      <c r="B10506" s="104"/>
      <c r="C10506" s="104"/>
      <c r="E10506" s="107" t="str">
        <f aca="false">IF($C10506="","",IFERROR(INDEX(المنيو!$C$2:$C$500,MATCH($C10506,المنيو!$B$2:$B$500,0)),0))</f>
        <v/>
      </c>
      <c r="F10506" s="107" t="str">
        <f aca="false">IF($C10506="","",$D10506*$E10506)</f>
        <v/>
      </c>
      <c r="G10506" s="107" t="str">
        <f aca="false">IF($C10506="","",$D10506*IFERROR(INDEX('تحليل التكلفة والسعر'!$C$2:$C$700,MATCH($C10506,'تحليل التكلفة والسعر'!$B$2:$B$700,0)),0))</f>
        <v/>
      </c>
    </row>
    <row r="10507" customFormat="false" ht="15" hidden="false" customHeight="false" outlineLevel="0" collapsed="false">
      <c r="A10507" s="103"/>
      <c r="B10507" s="104"/>
      <c r="C10507" s="104"/>
      <c r="E10507" s="107" t="str">
        <f aca="false">IF($C10507="","",IFERROR(INDEX(المنيو!$C$2:$C$500,MATCH($C10507,المنيو!$B$2:$B$500,0)),0))</f>
        <v/>
      </c>
      <c r="F10507" s="107" t="str">
        <f aca="false">IF($C10507="","",$D10507*$E10507)</f>
        <v/>
      </c>
      <c r="G10507" s="107" t="str">
        <f aca="false">IF($C10507="","",$D10507*IFERROR(INDEX('تحليل التكلفة والسعر'!$C$2:$C$700,MATCH($C10507,'تحليل التكلفة والسعر'!$B$2:$B$700,0)),0))</f>
        <v/>
      </c>
    </row>
    <row r="10508" customFormat="false" ht="15" hidden="false" customHeight="false" outlineLevel="0" collapsed="false">
      <c r="A10508" s="103"/>
      <c r="B10508" s="104"/>
      <c r="C10508" s="104"/>
      <c r="E10508" s="107" t="str">
        <f aca="false">IF($C10508="","",IFERROR(INDEX(المنيو!$C$2:$C$500,MATCH($C10508,المنيو!$B$2:$B$500,0)),0))</f>
        <v/>
      </c>
      <c r="F10508" s="107" t="str">
        <f aca="false">IF($C10508="","",$D10508*$E10508)</f>
        <v/>
      </c>
      <c r="G10508" s="107" t="str">
        <f aca="false">IF($C10508="","",$D10508*IFERROR(INDEX('تحليل التكلفة والسعر'!$C$2:$C$700,MATCH($C10508,'تحليل التكلفة والسعر'!$B$2:$B$700,0)),0))</f>
        <v/>
      </c>
    </row>
    <row r="10509" customFormat="false" ht="15" hidden="false" customHeight="false" outlineLevel="0" collapsed="false">
      <c r="A10509" s="103"/>
      <c r="B10509" s="104"/>
      <c r="C10509" s="104"/>
      <c r="E10509" s="107" t="str">
        <f aca="false">IF($C10509="","",IFERROR(INDEX(المنيو!$C$2:$C$500,MATCH($C10509,المنيو!$B$2:$B$500,0)),0))</f>
        <v/>
      </c>
      <c r="F10509" s="107" t="str">
        <f aca="false">IF($C10509="","",$D10509*$E10509)</f>
        <v/>
      </c>
      <c r="G10509" s="107" t="str">
        <f aca="false">IF($C10509="","",$D10509*IFERROR(INDEX('تحليل التكلفة والسعر'!$C$2:$C$700,MATCH($C10509,'تحليل التكلفة والسعر'!$B$2:$B$700,0)),0))</f>
        <v/>
      </c>
    </row>
    <row r="10510" customFormat="false" ht="15" hidden="false" customHeight="false" outlineLevel="0" collapsed="false">
      <c r="A10510" s="103"/>
      <c r="B10510" s="104"/>
      <c r="C10510" s="104"/>
      <c r="E10510" s="107" t="str">
        <f aca="false">IF($C10510="","",IFERROR(INDEX(المنيو!$C$2:$C$500,MATCH($C10510,المنيو!$B$2:$B$500,0)),0))</f>
        <v/>
      </c>
      <c r="F10510" s="107" t="str">
        <f aca="false">IF($C10510="","",$D10510*$E10510)</f>
        <v/>
      </c>
      <c r="G10510" s="107" t="str">
        <f aca="false">IF($C10510="","",$D10510*IFERROR(INDEX('تحليل التكلفة والسعر'!$C$2:$C$700,MATCH($C10510,'تحليل التكلفة والسعر'!$B$2:$B$700,0)),0))</f>
        <v/>
      </c>
    </row>
    <row r="10511" customFormat="false" ht="15" hidden="false" customHeight="false" outlineLevel="0" collapsed="false">
      <c r="A10511" s="103"/>
      <c r="B10511" s="104"/>
      <c r="C10511" s="104"/>
      <c r="E10511" s="107" t="str">
        <f aca="false">IF($C10511="","",IFERROR(INDEX(المنيو!$C$2:$C$500,MATCH($C10511,المنيو!$B$2:$B$500,0)),0))</f>
        <v/>
      </c>
      <c r="F10511" s="107" t="str">
        <f aca="false">IF($C10511="","",$D10511*$E10511)</f>
        <v/>
      </c>
      <c r="G10511" s="107" t="str">
        <f aca="false">IF($C10511="","",$D10511*IFERROR(INDEX('تحليل التكلفة والسعر'!$C$2:$C$700,MATCH($C10511,'تحليل التكلفة والسعر'!$B$2:$B$700,0)),0))</f>
        <v/>
      </c>
    </row>
    <row r="10512" customFormat="false" ht="15" hidden="false" customHeight="false" outlineLevel="0" collapsed="false">
      <c r="A10512" s="103"/>
      <c r="B10512" s="104"/>
      <c r="C10512" s="104"/>
      <c r="E10512" s="107" t="str">
        <f aca="false">IF($C10512="","",IFERROR(INDEX(المنيو!$C$2:$C$500,MATCH($C10512,المنيو!$B$2:$B$500,0)),0))</f>
        <v/>
      </c>
      <c r="F10512" s="107" t="str">
        <f aca="false">IF($C10512="","",$D10512*$E10512)</f>
        <v/>
      </c>
      <c r="G10512" s="107" t="str">
        <f aca="false">IF($C10512="","",$D10512*IFERROR(INDEX('تحليل التكلفة والسعر'!$C$2:$C$700,MATCH($C10512,'تحليل التكلفة والسعر'!$B$2:$B$700,0)),0))</f>
        <v/>
      </c>
    </row>
    <row r="10513" customFormat="false" ht="15" hidden="false" customHeight="false" outlineLevel="0" collapsed="false">
      <c r="A10513" s="103"/>
      <c r="B10513" s="104"/>
      <c r="C10513" s="104"/>
      <c r="E10513" s="107" t="str">
        <f aca="false">IF($C10513="","",IFERROR(INDEX(المنيو!$C$2:$C$500,MATCH($C10513,المنيو!$B$2:$B$500,0)),0))</f>
        <v/>
      </c>
      <c r="F10513" s="107" t="str">
        <f aca="false">IF($C10513="","",$D10513*$E10513)</f>
        <v/>
      </c>
      <c r="G10513" s="107" t="str">
        <f aca="false">IF($C10513="","",$D10513*IFERROR(INDEX('تحليل التكلفة والسعر'!$C$2:$C$700,MATCH($C10513,'تحليل التكلفة والسعر'!$B$2:$B$700,0)),0))</f>
        <v/>
      </c>
    </row>
    <row r="10514" customFormat="false" ht="15" hidden="false" customHeight="false" outlineLevel="0" collapsed="false">
      <c r="A10514" s="103"/>
      <c r="B10514" s="104"/>
      <c r="C10514" s="104"/>
      <c r="E10514" s="107" t="str">
        <f aca="false">IF($C10514="","",IFERROR(INDEX(المنيو!$C$2:$C$500,MATCH($C10514,المنيو!$B$2:$B$500,0)),0))</f>
        <v/>
      </c>
      <c r="F10514" s="107" t="str">
        <f aca="false">IF($C10514="","",$D10514*$E10514)</f>
        <v/>
      </c>
      <c r="G10514" s="107" t="str">
        <f aca="false">IF($C10514="","",$D10514*IFERROR(INDEX('تحليل التكلفة والسعر'!$C$2:$C$700,MATCH($C10514,'تحليل التكلفة والسعر'!$B$2:$B$700,0)),0))</f>
        <v/>
      </c>
    </row>
    <row r="10515" customFormat="false" ht="15" hidden="false" customHeight="false" outlineLevel="0" collapsed="false">
      <c r="A10515" s="103"/>
      <c r="B10515" s="104"/>
      <c r="C10515" s="104"/>
      <c r="E10515" s="107" t="str">
        <f aca="false">IF($C10515="","",IFERROR(INDEX(المنيو!$C$2:$C$500,MATCH($C10515,المنيو!$B$2:$B$500,0)),0))</f>
        <v/>
      </c>
      <c r="F10515" s="107" t="str">
        <f aca="false">IF($C10515="","",$D10515*$E10515)</f>
        <v/>
      </c>
      <c r="G10515" s="107" t="str">
        <f aca="false">IF($C10515="","",$D10515*IFERROR(INDEX('تحليل التكلفة والسعر'!$C$2:$C$700,MATCH($C10515,'تحليل التكلفة والسعر'!$B$2:$B$700,0)),0))</f>
        <v/>
      </c>
    </row>
    <row r="10516" customFormat="false" ht="15" hidden="false" customHeight="false" outlineLevel="0" collapsed="false">
      <c r="A10516" s="103"/>
      <c r="B10516" s="104"/>
      <c r="C10516" s="104"/>
      <c r="E10516" s="107" t="str">
        <f aca="false">IF($C10516="","",IFERROR(INDEX(المنيو!$C$2:$C$500,MATCH($C10516,المنيو!$B$2:$B$500,0)),0))</f>
        <v/>
      </c>
      <c r="F10516" s="107" t="str">
        <f aca="false">IF($C10516="","",$D10516*$E10516)</f>
        <v/>
      </c>
      <c r="G10516" s="107" t="str">
        <f aca="false">IF($C10516="","",$D10516*IFERROR(INDEX('تحليل التكلفة والسعر'!$C$2:$C$700,MATCH($C10516,'تحليل التكلفة والسعر'!$B$2:$B$700,0)),0))</f>
        <v/>
      </c>
    </row>
    <row r="10517" customFormat="false" ht="15" hidden="false" customHeight="false" outlineLevel="0" collapsed="false">
      <c r="A10517" s="103"/>
      <c r="B10517" s="104"/>
      <c r="C10517" s="104"/>
      <c r="E10517" s="107" t="str">
        <f aca="false">IF($C10517="","",IFERROR(INDEX(المنيو!$C$2:$C$500,MATCH($C10517,المنيو!$B$2:$B$500,0)),0))</f>
        <v/>
      </c>
      <c r="F10517" s="107" t="str">
        <f aca="false">IF($C10517="","",$D10517*$E10517)</f>
        <v/>
      </c>
      <c r="G10517" s="107" t="str">
        <f aca="false">IF($C10517="","",$D10517*IFERROR(INDEX('تحليل التكلفة والسعر'!$C$2:$C$700,MATCH($C10517,'تحليل التكلفة والسعر'!$B$2:$B$700,0)),0))</f>
        <v/>
      </c>
    </row>
    <row r="10518" customFormat="false" ht="15" hidden="false" customHeight="false" outlineLevel="0" collapsed="false">
      <c r="A10518" s="103"/>
      <c r="B10518" s="104"/>
      <c r="C10518" s="104"/>
      <c r="E10518" s="107" t="str">
        <f aca="false">IF($C10518="","",IFERROR(INDEX(المنيو!$C$2:$C$500,MATCH($C10518,المنيو!$B$2:$B$500,0)),0))</f>
        <v/>
      </c>
      <c r="F10518" s="107" t="str">
        <f aca="false">IF($C10518="","",$D10518*$E10518)</f>
        <v/>
      </c>
      <c r="G10518" s="107" t="str">
        <f aca="false">IF($C10518="","",$D10518*IFERROR(INDEX('تحليل التكلفة والسعر'!$C$2:$C$700,MATCH($C10518,'تحليل التكلفة والسعر'!$B$2:$B$700,0)),0))</f>
        <v/>
      </c>
    </row>
    <row r="10519" customFormat="false" ht="15" hidden="false" customHeight="false" outlineLevel="0" collapsed="false">
      <c r="A10519" s="103"/>
      <c r="B10519" s="104"/>
      <c r="C10519" s="104"/>
      <c r="E10519" s="107" t="str">
        <f aca="false">IF($C10519="","",IFERROR(INDEX(المنيو!$C$2:$C$500,MATCH($C10519,المنيو!$B$2:$B$500,0)),0))</f>
        <v/>
      </c>
      <c r="F10519" s="107" t="str">
        <f aca="false">IF($C10519="","",$D10519*$E10519)</f>
        <v/>
      </c>
      <c r="G10519" s="107" t="str">
        <f aca="false">IF($C10519="","",$D10519*IFERROR(INDEX('تحليل التكلفة والسعر'!$C$2:$C$700,MATCH($C10519,'تحليل التكلفة والسعر'!$B$2:$B$700,0)),0))</f>
        <v/>
      </c>
    </row>
    <row r="10520" customFormat="false" ht="15" hidden="false" customHeight="false" outlineLevel="0" collapsed="false">
      <c r="A10520" s="103"/>
      <c r="B10520" s="104"/>
      <c r="C10520" s="104"/>
      <c r="E10520" s="107" t="str">
        <f aca="false">IF($C10520="","",IFERROR(INDEX(المنيو!$C$2:$C$500,MATCH($C10520,المنيو!$B$2:$B$500,0)),0))</f>
        <v/>
      </c>
      <c r="F10520" s="107" t="str">
        <f aca="false">IF($C10520="","",$D10520*$E10520)</f>
        <v/>
      </c>
      <c r="G10520" s="107" t="str">
        <f aca="false">IF($C10520="","",$D10520*IFERROR(INDEX('تحليل التكلفة والسعر'!$C$2:$C$700,MATCH($C10520,'تحليل التكلفة والسعر'!$B$2:$B$700,0)),0))</f>
        <v/>
      </c>
    </row>
    <row r="10521" customFormat="false" ht="15" hidden="false" customHeight="false" outlineLevel="0" collapsed="false">
      <c r="A10521" s="103"/>
      <c r="B10521" s="104"/>
      <c r="C10521" s="104"/>
      <c r="E10521" s="107" t="str">
        <f aca="false">IF($C10521="","",IFERROR(INDEX(المنيو!$C$2:$C$500,MATCH($C10521,المنيو!$B$2:$B$500,0)),0))</f>
        <v/>
      </c>
      <c r="F10521" s="107" t="str">
        <f aca="false">IF($C10521="","",$D10521*$E10521)</f>
        <v/>
      </c>
      <c r="G10521" s="107" t="str">
        <f aca="false">IF($C10521="","",$D10521*IFERROR(INDEX('تحليل التكلفة والسعر'!$C$2:$C$700,MATCH($C10521,'تحليل التكلفة والسعر'!$B$2:$B$700,0)),0))</f>
        <v/>
      </c>
    </row>
    <row r="10522" customFormat="false" ht="15" hidden="false" customHeight="false" outlineLevel="0" collapsed="false">
      <c r="A10522" s="103"/>
      <c r="B10522" s="104"/>
      <c r="C10522" s="104"/>
      <c r="E10522" s="107" t="str">
        <f aca="false">IF($C10522="","",IFERROR(INDEX(المنيو!$C$2:$C$500,MATCH($C10522,المنيو!$B$2:$B$500,0)),0))</f>
        <v/>
      </c>
      <c r="F10522" s="107" t="str">
        <f aca="false">IF($C10522="","",$D10522*$E10522)</f>
        <v/>
      </c>
      <c r="G10522" s="107" t="str">
        <f aca="false">IF($C10522="","",$D10522*IFERROR(INDEX('تحليل التكلفة والسعر'!$C$2:$C$700,MATCH($C10522,'تحليل التكلفة والسعر'!$B$2:$B$700,0)),0))</f>
        <v/>
      </c>
    </row>
    <row r="10523" customFormat="false" ht="15" hidden="false" customHeight="false" outlineLevel="0" collapsed="false">
      <c r="A10523" s="103"/>
      <c r="B10523" s="104"/>
      <c r="C10523" s="104"/>
      <c r="E10523" s="107" t="str">
        <f aca="false">IF($C10523="","",IFERROR(INDEX(المنيو!$C$2:$C$500,MATCH($C10523,المنيو!$B$2:$B$500,0)),0))</f>
        <v/>
      </c>
      <c r="F10523" s="107" t="str">
        <f aca="false">IF($C10523="","",$D10523*$E10523)</f>
        <v/>
      </c>
      <c r="G10523" s="107" t="str">
        <f aca="false">IF($C10523="","",$D10523*IFERROR(INDEX('تحليل التكلفة والسعر'!$C$2:$C$700,MATCH($C10523,'تحليل التكلفة والسعر'!$B$2:$B$700,0)),0))</f>
        <v/>
      </c>
    </row>
    <row r="10524" customFormat="false" ht="15" hidden="false" customHeight="false" outlineLevel="0" collapsed="false">
      <c r="A10524" s="103"/>
      <c r="B10524" s="104"/>
      <c r="C10524" s="104"/>
      <c r="E10524" s="107" t="str">
        <f aca="false">IF($C10524="","",IFERROR(INDEX(المنيو!$C$2:$C$500,MATCH($C10524,المنيو!$B$2:$B$500,0)),0))</f>
        <v/>
      </c>
      <c r="F10524" s="107" t="str">
        <f aca="false">IF($C10524="","",$D10524*$E10524)</f>
        <v/>
      </c>
      <c r="G10524" s="107" t="str">
        <f aca="false">IF($C10524="","",$D10524*IFERROR(INDEX('تحليل التكلفة والسعر'!$C$2:$C$700,MATCH($C10524,'تحليل التكلفة والسعر'!$B$2:$B$700,0)),0))</f>
        <v/>
      </c>
    </row>
    <row r="10525" customFormat="false" ht="15" hidden="false" customHeight="false" outlineLevel="0" collapsed="false">
      <c r="A10525" s="103"/>
      <c r="B10525" s="104"/>
      <c r="C10525" s="104"/>
      <c r="E10525" s="107" t="str">
        <f aca="false">IF($C10525="","",IFERROR(INDEX(المنيو!$C$2:$C$500,MATCH($C10525,المنيو!$B$2:$B$500,0)),0))</f>
        <v/>
      </c>
      <c r="F10525" s="107" t="str">
        <f aca="false">IF($C10525="","",$D10525*$E10525)</f>
        <v/>
      </c>
      <c r="G10525" s="107" t="str">
        <f aca="false">IF($C10525="","",$D10525*IFERROR(INDEX('تحليل التكلفة والسعر'!$C$2:$C$700,MATCH($C10525,'تحليل التكلفة والسعر'!$B$2:$B$700,0)),0))</f>
        <v/>
      </c>
    </row>
    <row r="10526" customFormat="false" ht="15" hidden="false" customHeight="false" outlineLevel="0" collapsed="false">
      <c r="A10526" s="103"/>
      <c r="B10526" s="104"/>
      <c r="C10526" s="104"/>
      <c r="E10526" s="107" t="str">
        <f aca="false">IF($C10526="","",IFERROR(INDEX(المنيو!$C$2:$C$500,MATCH($C10526,المنيو!$B$2:$B$500,0)),0))</f>
        <v/>
      </c>
      <c r="F10526" s="107" t="str">
        <f aca="false">IF($C10526="","",$D10526*$E10526)</f>
        <v/>
      </c>
      <c r="G10526" s="107" t="str">
        <f aca="false">IF($C10526="","",$D10526*IFERROR(INDEX('تحليل التكلفة والسعر'!$C$2:$C$700,MATCH($C10526,'تحليل التكلفة والسعر'!$B$2:$B$700,0)),0))</f>
        <v/>
      </c>
    </row>
    <row r="10527" customFormat="false" ht="15" hidden="false" customHeight="false" outlineLevel="0" collapsed="false">
      <c r="A10527" s="103"/>
      <c r="B10527" s="104"/>
      <c r="C10527" s="104"/>
      <c r="E10527" s="107" t="str">
        <f aca="false">IF($C10527="","",IFERROR(INDEX(المنيو!$C$2:$C$500,MATCH($C10527,المنيو!$B$2:$B$500,0)),0))</f>
        <v/>
      </c>
      <c r="F10527" s="107" t="str">
        <f aca="false">IF($C10527="","",$D10527*$E10527)</f>
        <v/>
      </c>
      <c r="G10527" s="107" t="str">
        <f aca="false">IF($C10527="","",$D10527*IFERROR(INDEX('تحليل التكلفة والسعر'!$C$2:$C$700,MATCH($C10527,'تحليل التكلفة والسعر'!$B$2:$B$700,0)),0))</f>
        <v/>
      </c>
    </row>
    <row r="10528" customFormat="false" ht="15" hidden="false" customHeight="false" outlineLevel="0" collapsed="false">
      <c r="A10528" s="103"/>
      <c r="B10528" s="104"/>
      <c r="C10528" s="104"/>
      <c r="E10528" s="107" t="str">
        <f aca="false">IF($C10528="","",IFERROR(INDEX(المنيو!$C$2:$C$500,MATCH($C10528,المنيو!$B$2:$B$500,0)),0))</f>
        <v/>
      </c>
      <c r="F10528" s="107" t="str">
        <f aca="false">IF($C10528="","",$D10528*$E10528)</f>
        <v/>
      </c>
      <c r="G10528" s="107" t="str">
        <f aca="false">IF($C10528="","",$D10528*IFERROR(INDEX('تحليل التكلفة والسعر'!$C$2:$C$700,MATCH($C10528,'تحليل التكلفة والسعر'!$B$2:$B$700,0)),0))</f>
        <v/>
      </c>
    </row>
    <row r="10529" customFormat="false" ht="15" hidden="false" customHeight="false" outlineLevel="0" collapsed="false">
      <c r="A10529" s="103"/>
      <c r="B10529" s="104"/>
      <c r="C10529" s="104"/>
      <c r="E10529" s="107" t="str">
        <f aca="false">IF($C10529="","",IFERROR(INDEX(المنيو!$C$2:$C$500,MATCH($C10529,المنيو!$B$2:$B$500,0)),0))</f>
        <v/>
      </c>
      <c r="F10529" s="107" t="str">
        <f aca="false">IF($C10529="","",$D10529*$E10529)</f>
        <v/>
      </c>
      <c r="G10529" s="107" t="str">
        <f aca="false">IF($C10529="","",$D10529*IFERROR(INDEX('تحليل التكلفة والسعر'!$C$2:$C$700,MATCH($C10529,'تحليل التكلفة والسعر'!$B$2:$B$700,0)),0))</f>
        <v/>
      </c>
    </row>
    <row r="10530" customFormat="false" ht="15" hidden="false" customHeight="false" outlineLevel="0" collapsed="false">
      <c r="A10530" s="103"/>
      <c r="B10530" s="104"/>
      <c r="C10530" s="104"/>
      <c r="E10530" s="107" t="str">
        <f aca="false">IF($C10530="","",IFERROR(INDEX(المنيو!$C$2:$C$500,MATCH($C10530,المنيو!$B$2:$B$500,0)),0))</f>
        <v/>
      </c>
      <c r="F10530" s="107" t="str">
        <f aca="false">IF($C10530="","",$D10530*$E10530)</f>
        <v/>
      </c>
      <c r="G10530" s="107" t="str">
        <f aca="false">IF($C10530="","",$D10530*IFERROR(INDEX('تحليل التكلفة والسعر'!$C$2:$C$700,MATCH($C10530,'تحليل التكلفة والسعر'!$B$2:$B$700,0)),0))</f>
        <v/>
      </c>
    </row>
    <row r="10531" customFormat="false" ht="15" hidden="false" customHeight="false" outlineLevel="0" collapsed="false">
      <c r="A10531" s="103"/>
      <c r="B10531" s="104"/>
      <c r="C10531" s="104"/>
      <c r="E10531" s="107" t="str">
        <f aca="false">IF($C10531="","",IFERROR(INDEX(المنيو!$C$2:$C$500,MATCH($C10531,المنيو!$B$2:$B$500,0)),0))</f>
        <v/>
      </c>
      <c r="F10531" s="107" t="str">
        <f aca="false">IF($C10531="","",$D10531*$E10531)</f>
        <v/>
      </c>
      <c r="G10531" s="107" t="str">
        <f aca="false">IF($C10531="","",$D10531*IFERROR(INDEX('تحليل التكلفة والسعر'!$C$2:$C$700,MATCH($C10531,'تحليل التكلفة والسعر'!$B$2:$B$700,0)),0))</f>
        <v/>
      </c>
    </row>
    <row r="10532" customFormat="false" ht="15" hidden="false" customHeight="false" outlineLevel="0" collapsed="false">
      <c r="A10532" s="103"/>
      <c r="B10532" s="104"/>
      <c r="C10532" s="104"/>
      <c r="E10532" s="107" t="str">
        <f aca="false">IF($C10532="","",IFERROR(INDEX(المنيو!$C$2:$C$500,MATCH($C10532,المنيو!$B$2:$B$500,0)),0))</f>
        <v/>
      </c>
      <c r="F10532" s="107" t="str">
        <f aca="false">IF($C10532="","",$D10532*$E10532)</f>
        <v/>
      </c>
      <c r="G10532" s="107" t="str">
        <f aca="false">IF($C10532="","",$D10532*IFERROR(INDEX('تحليل التكلفة والسعر'!$C$2:$C$700,MATCH($C10532,'تحليل التكلفة والسعر'!$B$2:$B$700,0)),0))</f>
        <v/>
      </c>
    </row>
    <row r="10533" customFormat="false" ht="15" hidden="false" customHeight="false" outlineLevel="0" collapsed="false">
      <c r="A10533" s="103"/>
      <c r="B10533" s="104"/>
      <c r="C10533" s="104"/>
      <c r="E10533" s="107" t="str">
        <f aca="false">IF($C10533="","",IFERROR(INDEX(المنيو!$C$2:$C$500,MATCH($C10533,المنيو!$B$2:$B$500,0)),0))</f>
        <v/>
      </c>
      <c r="F10533" s="107" t="str">
        <f aca="false">IF($C10533="","",$D10533*$E10533)</f>
        <v/>
      </c>
      <c r="G10533" s="107" t="str">
        <f aca="false">IF($C10533="","",$D10533*IFERROR(INDEX('تحليل التكلفة والسعر'!$C$2:$C$700,MATCH($C10533,'تحليل التكلفة والسعر'!$B$2:$B$700,0)),0))</f>
        <v/>
      </c>
    </row>
    <row r="10534" customFormat="false" ht="15" hidden="false" customHeight="false" outlineLevel="0" collapsed="false">
      <c r="A10534" s="103"/>
      <c r="B10534" s="104"/>
      <c r="C10534" s="104"/>
      <c r="E10534" s="107" t="str">
        <f aca="false">IF($C10534="","",IFERROR(INDEX(المنيو!$C$2:$C$500,MATCH($C10534,المنيو!$B$2:$B$500,0)),0))</f>
        <v/>
      </c>
      <c r="F10534" s="107" t="str">
        <f aca="false">IF($C10534="","",$D10534*$E10534)</f>
        <v/>
      </c>
      <c r="G10534" s="107" t="str">
        <f aca="false">IF($C10534="","",$D10534*IFERROR(INDEX('تحليل التكلفة والسعر'!$C$2:$C$700,MATCH($C10534,'تحليل التكلفة والسعر'!$B$2:$B$700,0)),0))</f>
        <v/>
      </c>
    </row>
    <row r="10535" customFormat="false" ht="15" hidden="false" customHeight="false" outlineLevel="0" collapsed="false">
      <c r="A10535" s="103"/>
      <c r="B10535" s="104"/>
      <c r="C10535" s="104"/>
      <c r="E10535" s="107" t="str">
        <f aca="false">IF($C10535="","",IFERROR(INDEX(المنيو!$C$2:$C$500,MATCH($C10535,المنيو!$B$2:$B$500,0)),0))</f>
        <v/>
      </c>
      <c r="F10535" s="107" t="str">
        <f aca="false">IF($C10535="","",$D10535*$E10535)</f>
        <v/>
      </c>
      <c r="G10535" s="107" t="str">
        <f aca="false">IF($C10535="","",$D10535*IFERROR(INDEX('تحليل التكلفة والسعر'!$C$2:$C$700,MATCH($C10535,'تحليل التكلفة والسعر'!$B$2:$B$700,0)),0))</f>
        <v/>
      </c>
    </row>
    <row r="10536" customFormat="false" ht="15" hidden="false" customHeight="false" outlineLevel="0" collapsed="false">
      <c r="A10536" s="103"/>
      <c r="B10536" s="104"/>
      <c r="C10536" s="104"/>
      <c r="E10536" s="107" t="str">
        <f aca="false">IF($C10536="","",IFERROR(INDEX(المنيو!$C$2:$C$500,MATCH($C10536,المنيو!$B$2:$B$500,0)),0))</f>
        <v/>
      </c>
      <c r="F10536" s="107" t="str">
        <f aca="false">IF($C10536="","",$D10536*$E10536)</f>
        <v/>
      </c>
      <c r="G10536" s="107" t="str">
        <f aca="false">IF($C10536="","",$D10536*IFERROR(INDEX('تحليل التكلفة والسعر'!$C$2:$C$700,MATCH($C10536,'تحليل التكلفة والسعر'!$B$2:$B$700,0)),0))</f>
        <v/>
      </c>
    </row>
    <row r="10537" customFormat="false" ht="15" hidden="false" customHeight="false" outlineLevel="0" collapsed="false">
      <c r="A10537" s="103"/>
      <c r="B10537" s="104"/>
      <c r="C10537" s="104"/>
      <c r="E10537" s="107" t="str">
        <f aca="false">IF($C10537="","",IFERROR(INDEX(المنيو!$C$2:$C$500,MATCH($C10537,المنيو!$B$2:$B$500,0)),0))</f>
        <v/>
      </c>
      <c r="F10537" s="107" t="str">
        <f aca="false">IF($C10537="","",$D10537*$E10537)</f>
        <v/>
      </c>
      <c r="G10537" s="107" t="str">
        <f aca="false">IF($C10537="","",$D10537*IFERROR(INDEX('تحليل التكلفة والسعر'!$C$2:$C$700,MATCH($C10537,'تحليل التكلفة والسعر'!$B$2:$B$700,0)),0))</f>
        <v/>
      </c>
    </row>
    <row r="10538" customFormat="false" ht="15" hidden="false" customHeight="false" outlineLevel="0" collapsed="false">
      <c r="A10538" s="103"/>
      <c r="B10538" s="104"/>
      <c r="C10538" s="104"/>
      <c r="E10538" s="107" t="str">
        <f aca="false">IF($C10538="","",IFERROR(INDEX(المنيو!$C$2:$C$500,MATCH($C10538,المنيو!$B$2:$B$500,0)),0))</f>
        <v/>
      </c>
      <c r="F10538" s="107" t="str">
        <f aca="false">IF($C10538="","",$D10538*$E10538)</f>
        <v/>
      </c>
      <c r="G10538" s="107" t="str">
        <f aca="false">IF($C10538="","",$D10538*IFERROR(INDEX('تحليل التكلفة والسعر'!$C$2:$C$700,MATCH($C10538,'تحليل التكلفة والسعر'!$B$2:$B$700,0)),0))</f>
        <v/>
      </c>
    </row>
    <row r="10539" customFormat="false" ht="15" hidden="false" customHeight="false" outlineLevel="0" collapsed="false">
      <c r="A10539" s="103"/>
      <c r="B10539" s="104"/>
      <c r="C10539" s="104"/>
      <c r="E10539" s="107" t="str">
        <f aca="false">IF($C10539="","",IFERROR(INDEX(المنيو!$C$2:$C$500,MATCH($C10539,المنيو!$B$2:$B$500,0)),0))</f>
        <v/>
      </c>
      <c r="F10539" s="107" t="str">
        <f aca="false">IF($C10539="","",$D10539*$E10539)</f>
        <v/>
      </c>
      <c r="G10539" s="107" t="str">
        <f aca="false">IF($C10539="","",$D10539*IFERROR(INDEX('تحليل التكلفة والسعر'!$C$2:$C$700,MATCH($C10539,'تحليل التكلفة والسعر'!$B$2:$B$700,0)),0))</f>
        <v/>
      </c>
    </row>
    <row r="10540" customFormat="false" ht="15" hidden="false" customHeight="false" outlineLevel="0" collapsed="false">
      <c r="A10540" s="103"/>
      <c r="B10540" s="104"/>
      <c r="C10540" s="104"/>
      <c r="E10540" s="107" t="str">
        <f aca="false">IF($C10540="","",IFERROR(INDEX(المنيو!$C$2:$C$500,MATCH($C10540,المنيو!$B$2:$B$500,0)),0))</f>
        <v/>
      </c>
      <c r="F10540" s="107" t="str">
        <f aca="false">IF($C10540="","",$D10540*$E10540)</f>
        <v/>
      </c>
      <c r="G10540" s="107" t="str">
        <f aca="false">IF($C10540="","",$D10540*IFERROR(INDEX('تحليل التكلفة والسعر'!$C$2:$C$700,MATCH($C10540,'تحليل التكلفة والسعر'!$B$2:$B$700,0)),0))</f>
        <v/>
      </c>
    </row>
    <row r="10541" customFormat="false" ht="15" hidden="false" customHeight="false" outlineLevel="0" collapsed="false">
      <c r="A10541" s="103"/>
      <c r="B10541" s="104"/>
      <c r="C10541" s="104"/>
      <c r="E10541" s="107" t="str">
        <f aca="false">IF($C10541="","",IFERROR(INDEX(المنيو!$C$2:$C$500,MATCH($C10541,المنيو!$B$2:$B$500,0)),0))</f>
        <v/>
      </c>
      <c r="F10541" s="107" t="str">
        <f aca="false">IF($C10541="","",$D10541*$E10541)</f>
        <v/>
      </c>
      <c r="G10541" s="107" t="str">
        <f aca="false">IF($C10541="","",$D10541*IFERROR(INDEX('تحليل التكلفة والسعر'!$C$2:$C$700,MATCH($C10541,'تحليل التكلفة والسعر'!$B$2:$B$700,0)),0))</f>
        <v/>
      </c>
    </row>
    <row r="10542" customFormat="false" ht="15" hidden="false" customHeight="false" outlineLevel="0" collapsed="false">
      <c r="A10542" s="103"/>
      <c r="B10542" s="104"/>
      <c r="C10542" s="104"/>
      <c r="E10542" s="107" t="str">
        <f aca="false">IF($C10542="","",IFERROR(INDEX(المنيو!$C$2:$C$500,MATCH($C10542,المنيو!$B$2:$B$500,0)),0))</f>
        <v/>
      </c>
      <c r="F10542" s="107" t="str">
        <f aca="false">IF($C10542="","",$D10542*$E10542)</f>
        <v/>
      </c>
      <c r="G10542" s="107" t="str">
        <f aca="false">IF($C10542="","",$D10542*IFERROR(INDEX('تحليل التكلفة والسعر'!$C$2:$C$700,MATCH($C10542,'تحليل التكلفة والسعر'!$B$2:$B$700,0)),0))</f>
        <v/>
      </c>
    </row>
    <row r="10543" customFormat="false" ht="15" hidden="false" customHeight="false" outlineLevel="0" collapsed="false">
      <c r="A10543" s="103"/>
      <c r="B10543" s="104"/>
      <c r="C10543" s="104"/>
      <c r="E10543" s="107" t="str">
        <f aca="false">IF($C10543="","",IFERROR(INDEX(المنيو!$C$2:$C$500,MATCH($C10543,المنيو!$B$2:$B$500,0)),0))</f>
        <v/>
      </c>
      <c r="F10543" s="107" t="str">
        <f aca="false">IF($C10543="","",$D10543*$E10543)</f>
        <v/>
      </c>
      <c r="G10543" s="107" t="str">
        <f aca="false">IF($C10543="","",$D10543*IFERROR(INDEX('تحليل التكلفة والسعر'!$C$2:$C$700,MATCH($C10543,'تحليل التكلفة والسعر'!$B$2:$B$700,0)),0))</f>
        <v/>
      </c>
    </row>
    <row r="10544" customFormat="false" ht="15" hidden="false" customHeight="false" outlineLevel="0" collapsed="false">
      <c r="A10544" s="103"/>
      <c r="B10544" s="104"/>
      <c r="C10544" s="104"/>
      <c r="E10544" s="107" t="str">
        <f aca="false">IF($C10544="","",IFERROR(INDEX(المنيو!$C$2:$C$500,MATCH($C10544,المنيو!$B$2:$B$500,0)),0))</f>
        <v/>
      </c>
      <c r="F10544" s="107" t="str">
        <f aca="false">IF($C10544="","",$D10544*$E10544)</f>
        <v/>
      </c>
      <c r="G10544" s="107" t="str">
        <f aca="false">IF($C10544="","",$D10544*IFERROR(INDEX('تحليل التكلفة والسعر'!$C$2:$C$700,MATCH($C10544,'تحليل التكلفة والسعر'!$B$2:$B$700,0)),0))</f>
        <v/>
      </c>
    </row>
    <row r="10545" customFormat="false" ht="15" hidden="false" customHeight="false" outlineLevel="0" collapsed="false">
      <c r="A10545" s="103"/>
      <c r="B10545" s="104"/>
      <c r="C10545" s="104"/>
      <c r="E10545" s="107" t="str">
        <f aca="false">IF($C10545="","",IFERROR(INDEX(المنيو!$C$2:$C$500,MATCH($C10545,المنيو!$B$2:$B$500,0)),0))</f>
        <v/>
      </c>
      <c r="F10545" s="107" t="str">
        <f aca="false">IF($C10545="","",$D10545*$E10545)</f>
        <v/>
      </c>
      <c r="G10545" s="107" t="str">
        <f aca="false">IF($C10545="","",$D10545*IFERROR(INDEX('تحليل التكلفة والسعر'!$C$2:$C$700,MATCH($C10545,'تحليل التكلفة والسعر'!$B$2:$B$700,0)),0))</f>
        <v/>
      </c>
    </row>
    <row r="10546" customFormat="false" ht="15" hidden="false" customHeight="false" outlineLevel="0" collapsed="false">
      <c r="A10546" s="103"/>
      <c r="B10546" s="104"/>
      <c r="C10546" s="104"/>
      <c r="E10546" s="107" t="str">
        <f aca="false">IF($C10546="","",IFERROR(INDEX(المنيو!$C$2:$C$500,MATCH($C10546,المنيو!$B$2:$B$500,0)),0))</f>
        <v/>
      </c>
      <c r="F10546" s="107" t="str">
        <f aca="false">IF($C10546="","",$D10546*$E10546)</f>
        <v/>
      </c>
      <c r="G10546" s="107" t="str">
        <f aca="false">IF($C10546="","",$D10546*IFERROR(INDEX('تحليل التكلفة والسعر'!$C$2:$C$700,MATCH($C10546,'تحليل التكلفة والسعر'!$B$2:$B$700,0)),0))</f>
        <v/>
      </c>
    </row>
    <row r="10547" customFormat="false" ht="15" hidden="false" customHeight="false" outlineLevel="0" collapsed="false">
      <c r="A10547" s="103"/>
      <c r="B10547" s="104"/>
      <c r="C10547" s="104"/>
      <c r="E10547" s="107" t="str">
        <f aca="false">IF($C10547="","",IFERROR(INDEX(المنيو!$C$2:$C$500,MATCH($C10547,المنيو!$B$2:$B$500,0)),0))</f>
        <v/>
      </c>
      <c r="F10547" s="107" t="str">
        <f aca="false">IF($C10547="","",$D10547*$E10547)</f>
        <v/>
      </c>
      <c r="G10547" s="107" t="str">
        <f aca="false">IF($C10547="","",$D10547*IFERROR(INDEX('تحليل التكلفة والسعر'!$C$2:$C$700,MATCH($C10547,'تحليل التكلفة والسعر'!$B$2:$B$700,0)),0))</f>
        <v/>
      </c>
    </row>
    <row r="10548" customFormat="false" ht="15" hidden="false" customHeight="false" outlineLevel="0" collapsed="false">
      <c r="A10548" s="103"/>
      <c r="B10548" s="104"/>
      <c r="C10548" s="104"/>
      <c r="E10548" s="107" t="str">
        <f aca="false">IF($C10548="","",IFERROR(INDEX(المنيو!$C$2:$C$500,MATCH($C10548,المنيو!$B$2:$B$500,0)),0))</f>
        <v/>
      </c>
      <c r="F10548" s="107" t="str">
        <f aca="false">IF($C10548="","",$D10548*$E10548)</f>
        <v/>
      </c>
      <c r="G10548" s="107" t="str">
        <f aca="false">IF($C10548="","",$D10548*IFERROR(INDEX('تحليل التكلفة والسعر'!$C$2:$C$700,MATCH($C10548,'تحليل التكلفة والسعر'!$B$2:$B$700,0)),0))</f>
        <v/>
      </c>
    </row>
    <row r="10549" customFormat="false" ht="15" hidden="false" customHeight="false" outlineLevel="0" collapsed="false">
      <c r="A10549" s="103"/>
      <c r="B10549" s="104"/>
      <c r="C10549" s="104"/>
      <c r="E10549" s="107" t="str">
        <f aca="false">IF($C10549="","",IFERROR(INDEX(المنيو!$C$2:$C$500,MATCH($C10549,المنيو!$B$2:$B$500,0)),0))</f>
        <v/>
      </c>
      <c r="F10549" s="107" t="str">
        <f aca="false">IF($C10549="","",$D10549*$E10549)</f>
        <v/>
      </c>
      <c r="G10549" s="107" t="str">
        <f aca="false">IF($C10549="","",$D10549*IFERROR(INDEX('تحليل التكلفة والسعر'!$C$2:$C$700,MATCH($C10549,'تحليل التكلفة والسعر'!$B$2:$B$700,0)),0))</f>
        <v/>
      </c>
    </row>
    <row r="10550" customFormat="false" ht="15" hidden="false" customHeight="false" outlineLevel="0" collapsed="false">
      <c r="A10550" s="103"/>
      <c r="B10550" s="104"/>
      <c r="C10550" s="104"/>
      <c r="E10550" s="107" t="str">
        <f aca="false">IF($C10550="","",IFERROR(INDEX(المنيو!$C$2:$C$500,MATCH($C10550,المنيو!$B$2:$B$500,0)),0))</f>
        <v/>
      </c>
      <c r="F10550" s="107" t="str">
        <f aca="false">IF($C10550="","",$D10550*$E10550)</f>
        <v/>
      </c>
      <c r="G10550" s="107" t="str">
        <f aca="false">IF($C10550="","",$D10550*IFERROR(INDEX('تحليل التكلفة والسعر'!$C$2:$C$700,MATCH($C10550,'تحليل التكلفة والسعر'!$B$2:$B$700,0)),0))</f>
        <v/>
      </c>
    </row>
    <row r="10551" customFormat="false" ht="15" hidden="false" customHeight="false" outlineLevel="0" collapsed="false">
      <c r="A10551" s="103"/>
      <c r="B10551" s="104"/>
      <c r="C10551" s="104"/>
      <c r="E10551" s="107" t="str">
        <f aca="false">IF($C10551="","",IFERROR(INDEX(المنيو!$C$2:$C$500,MATCH($C10551,المنيو!$B$2:$B$500,0)),0))</f>
        <v/>
      </c>
      <c r="F10551" s="107" t="str">
        <f aca="false">IF($C10551="","",$D10551*$E10551)</f>
        <v/>
      </c>
      <c r="G10551" s="107" t="str">
        <f aca="false">IF($C10551="","",$D10551*IFERROR(INDEX('تحليل التكلفة والسعر'!$C$2:$C$700,MATCH($C10551,'تحليل التكلفة والسعر'!$B$2:$B$700,0)),0))</f>
        <v/>
      </c>
    </row>
    <row r="10552" customFormat="false" ht="15" hidden="false" customHeight="false" outlineLevel="0" collapsed="false">
      <c r="A10552" s="103"/>
      <c r="B10552" s="104"/>
      <c r="C10552" s="104"/>
      <c r="E10552" s="107" t="str">
        <f aca="false">IF($C10552="","",IFERROR(INDEX(المنيو!$C$2:$C$500,MATCH($C10552,المنيو!$B$2:$B$500,0)),0))</f>
        <v/>
      </c>
      <c r="F10552" s="107" t="str">
        <f aca="false">IF($C10552="","",$D10552*$E10552)</f>
        <v/>
      </c>
      <c r="G10552" s="107" t="str">
        <f aca="false">IF($C10552="","",$D10552*IFERROR(INDEX('تحليل التكلفة والسعر'!$C$2:$C$700,MATCH($C10552,'تحليل التكلفة والسعر'!$B$2:$B$700,0)),0))</f>
        <v/>
      </c>
    </row>
    <row r="10553" customFormat="false" ht="15" hidden="false" customHeight="false" outlineLevel="0" collapsed="false">
      <c r="A10553" s="103"/>
      <c r="B10553" s="104"/>
      <c r="C10553" s="104"/>
      <c r="E10553" s="107" t="str">
        <f aca="false">IF($C10553="","",IFERROR(INDEX(المنيو!$C$2:$C$500,MATCH($C10553,المنيو!$B$2:$B$500,0)),0))</f>
        <v/>
      </c>
      <c r="F10553" s="107" t="str">
        <f aca="false">IF($C10553="","",$D10553*$E10553)</f>
        <v/>
      </c>
      <c r="G10553" s="107" t="str">
        <f aca="false">IF($C10553="","",$D10553*IFERROR(INDEX('تحليل التكلفة والسعر'!$C$2:$C$700,MATCH($C10553,'تحليل التكلفة والسعر'!$B$2:$B$700,0)),0))</f>
        <v/>
      </c>
    </row>
    <row r="10554" customFormat="false" ht="15" hidden="false" customHeight="false" outlineLevel="0" collapsed="false">
      <c r="A10554" s="103"/>
      <c r="B10554" s="104"/>
      <c r="C10554" s="104"/>
      <c r="E10554" s="107" t="str">
        <f aca="false">IF($C10554="","",IFERROR(INDEX(المنيو!$C$2:$C$500,MATCH($C10554,المنيو!$B$2:$B$500,0)),0))</f>
        <v/>
      </c>
      <c r="F10554" s="107" t="str">
        <f aca="false">IF($C10554="","",$D10554*$E10554)</f>
        <v/>
      </c>
      <c r="G10554" s="107" t="str">
        <f aca="false">IF($C10554="","",$D10554*IFERROR(INDEX('تحليل التكلفة والسعر'!$C$2:$C$700,MATCH($C10554,'تحليل التكلفة والسعر'!$B$2:$B$700,0)),0))</f>
        <v/>
      </c>
    </row>
    <row r="10555" customFormat="false" ht="15" hidden="false" customHeight="false" outlineLevel="0" collapsed="false">
      <c r="A10555" s="103"/>
      <c r="B10555" s="104"/>
      <c r="C10555" s="104"/>
      <c r="E10555" s="107" t="str">
        <f aca="false">IF($C10555="","",IFERROR(INDEX(المنيو!$C$2:$C$500,MATCH($C10555,المنيو!$B$2:$B$500,0)),0))</f>
        <v/>
      </c>
      <c r="F10555" s="107" t="str">
        <f aca="false">IF($C10555="","",$D10555*$E10555)</f>
        <v/>
      </c>
      <c r="G10555" s="107" t="str">
        <f aca="false">IF($C10555="","",$D10555*IFERROR(INDEX('تحليل التكلفة والسعر'!$C$2:$C$700,MATCH($C10555,'تحليل التكلفة والسعر'!$B$2:$B$700,0)),0))</f>
        <v/>
      </c>
    </row>
    <row r="10556" customFormat="false" ht="15" hidden="false" customHeight="false" outlineLevel="0" collapsed="false">
      <c r="A10556" s="103"/>
      <c r="B10556" s="104"/>
      <c r="C10556" s="104"/>
      <c r="E10556" s="107" t="str">
        <f aca="false">IF($C10556="","",IFERROR(INDEX(المنيو!$C$2:$C$500,MATCH($C10556,المنيو!$B$2:$B$500,0)),0))</f>
        <v/>
      </c>
      <c r="F10556" s="107" t="str">
        <f aca="false">IF($C10556="","",$D10556*$E10556)</f>
        <v/>
      </c>
      <c r="G10556" s="107" t="str">
        <f aca="false">IF($C10556="","",$D10556*IFERROR(INDEX('تحليل التكلفة والسعر'!$C$2:$C$700,MATCH($C10556,'تحليل التكلفة والسعر'!$B$2:$B$700,0)),0))</f>
        <v/>
      </c>
    </row>
    <row r="10557" customFormat="false" ht="15" hidden="false" customHeight="false" outlineLevel="0" collapsed="false">
      <c r="A10557" s="103"/>
      <c r="B10557" s="104"/>
      <c r="C10557" s="104"/>
      <c r="E10557" s="107" t="str">
        <f aca="false">IF($C10557="","",IFERROR(INDEX(المنيو!$C$2:$C$500,MATCH($C10557,المنيو!$B$2:$B$500,0)),0))</f>
        <v/>
      </c>
      <c r="F10557" s="107" t="str">
        <f aca="false">IF($C10557="","",$D10557*$E10557)</f>
        <v/>
      </c>
      <c r="G10557" s="107" t="str">
        <f aca="false">IF($C10557="","",$D10557*IFERROR(INDEX('تحليل التكلفة والسعر'!$C$2:$C$700,MATCH($C10557,'تحليل التكلفة والسعر'!$B$2:$B$700,0)),0))</f>
        <v/>
      </c>
    </row>
    <row r="10558" customFormat="false" ht="15" hidden="false" customHeight="false" outlineLevel="0" collapsed="false">
      <c r="A10558" s="103"/>
      <c r="B10558" s="104"/>
      <c r="C10558" s="104"/>
      <c r="E10558" s="107" t="str">
        <f aca="false">IF($C10558="","",IFERROR(INDEX(المنيو!$C$2:$C$500,MATCH($C10558,المنيو!$B$2:$B$500,0)),0))</f>
        <v/>
      </c>
      <c r="F10558" s="107" t="str">
        <f aca="false">IF($C10558="","",$D10558*$E10558)</f>
        <v/>
      </c>
      <c r="G10558" s="107" t="str">
        <f aca="false">IF($C10558="","",$D10558*IFERROR(INDEX('تحليل التكلفة والسعر'!$C$2:$C$700,MATCH($C10558,'تحليل التكلفة والسعر'!$B$2:$B$700,0)),0))</f>
        <v/>
      </c>
    </row>
    <row r="10559" customFormat="false" ht="15" hidden="false" customHeight="false" outlineLevel="0" collapsed="false">
      <c r="A10559" s="103"/>
      <c r="B10559" s="104"/>
      <c r="C10559" s="104"/>
      <c r="E10559" s="107" t="str">
        <f aca="false">IF($C10559="","",IFERROR(INDEX(المنيو!$C$2:$C$500,MATCH($C10559,المنيو!$B$2:$B$500,0)),0))</f>
        <v/>
      </c>
      <c r="F10559" s="107" t="str">
        <f aca="false">IF($C10559="","",$D10559*$E10559)</f>
        <v/>
      </c>
      <c r="G10559" s="107" t="str">
        <f aca="false">IF($C10559="","",$D10559*IFERROR(INDEX('تحليل التكلفة والسعر'!$C$2:$C$700,MATCH($C10559,'تحليل التكلفة والسعر'!$B$2:$B$700,0)),0))</f>
        <v/>
      </c>
    </row>
    <row r="10560" customFormat="false" ht="15" hidden="false" customHeight="false" outlineLevel="0" collapsed="false">
      <c r="A10560" s="103"/>
      <c r="B10560" s="104"/>
      <c r="C10560" s="104"/>
      <c r="E10560" s="107" t="str">
        <f aca="false">IF($C10560="","",IFERROR(INDEX(المنيو!$C$2:$C$500,MATCH($C10560,المنيو!$B$2:$B$500,0)),0))</f>
        <v/>
      </c>
      <c r="F10560" s="107" t="str">
        <f aca="false">IF($C10560="","",$D10560*$E10560)</f>
        <v/>
      </c>
      <c r="G10560" s="107" t="str">
        <f aca="false">IF($C10560="","",$D10560*IFERROR(INDEX('تحليل التكلفة والسعر'!$C$2:$C$700,MATCH($C10560,'تحليل التكلفة والسعر'!$B$2:$B$700,0)),0))</f>
        <v/>
      </c>
    </row>
    <row r="10561" customFormat="false" ht="15" hidden="false" customHeight="false" outlineLevel="0" collapsed="false">
      <c r="A10561" s="103"/>
      <c r="B10561" s="104"/>
      <c r="C10561" s="104"/>
      <c r="E10561" s="107" t="str">
        <f aca="false">IF($C10561="","",IFERROR(INDEX(المنيو!$C$2:$C$500,MATCH($C10561,المنيو!$B$2:$B$500,0)),0))</f>
        <v/>
      </c>
      <c r="F10561" s="107" t="str">
        <f aca="false">IF($C10561="","",$D10561*$E10561)</f>
        <v/>
      </c>
      <c r="G10561" s="107" t="str">
        <f aca="false">IF($C10561="","",$D10561*IFERROR(INDEX('تحليل التكلفة والسعر'!$C$2:$C$700,MATCH($C10561,'تحليل التكلفة والسعر'!$B$2:$B$700,0)),0))</f>
        <v/>
      </c>
    </row>
    <row r="10562" customFormat="false" ht="15" hidden="false" customHeight="false" outlineLevel="0" collapsed="false">
      <c r="A10562" s="103"/>
      <c r="B10562" s="104"/>
      <c r="C10562" s="104"/>
      <c r="E10562" s="107" t="str">
        <f aca="false">IF($C10562="","",IFERROR(INDEX(المنيو!$C$2:$C$500,MATCH($C10562,المنيو!$B$2:$B$500,0)),0))</f>
        <v/>
      </c>
      <c r="F10562" s="107" t="str">
        <f aca="false">IF($C10562="","",$D10562*$E10562)</f>
        <v/>
      </c>
      <c r="G10562" s="107" t="str">
        <f aca="false">IF($C10562="","",$D10562*IFERROR(INDEX('تحليل التكلفة والسعر'!$C$2:$C$700,MATCH($C10562,'تحليل التكلفة والسعر'!$B$2:$B$700,0)),0))</f>
        <v/>
      </c>
    </row>
    <row r="10563" customFormat="false" ht="15" hidden="false" customHeight="false" outlineLevel="0" collapsed="false">
      <c r="A10563" s="103"/>
      <c r="B10563" s="104"/>
      <c r="C10563" s="104"/>
      <c r="E10563" s="107" t="str">
        <f aca="false">IF($C10563="","",IFERROR(INDEX(المنيو!$C$2:$C$500,MATCH($C10563,المنيو!$B$2:$B$500,0)),0))</f>
        <v/>
      </c>
      <c r="F10563" s="107" t="str">
        <f aca="false">IF($C10563="","",$D10563*$E10563)</f>
        <v/>
      </c>
      <c r="G10563" s="107" t="str">
        <f aca="false">IF($C10563="","",$D10563*IFERROR(INDEX('تحليل التكلفة والسعر'!$C$2:$C$700,MATCH($C10563,'تحليل التكلفة والسعر'!$B$2:$B$700,0)),0))</f>
        <v/>
      </c>
    </row>
    <row r="10564" customFormat="false" ht="15" hidden="false" customHeight="false" outlineLevel="0" collapsed="false">
      <c r="A10564" s="103"/>
      <c r="B10564" s="104"/>
      <c r="C10564" s="104"/>
      <c r="E10564" s="107" t="str">
        <f aca="false">IF($C10564="","",IFERROR(INDEX(المنيو!$C$2:$C$500,MATCH($C10564,المنيو!$B$2:$B$500,0)),0))</f>
        <v/>
      </c>
      <c r="F10564" s="107" t="str">
        <f aca="false">IF($C10564="","",$D10564*$E10564)</f>
        <v/>
      </c>
      <c r="G10564" s="107" t="str">
        <f aca="false">IF($C10564="","",$D10564*IFERROR(INDEX('تحليل التكلفة والسعر'!$C$2:$C$700,MATCH($C10564,'تحليل التكلفة والسعر'!$B$2:$B$700,0)),0))</f>
        <v/>
      </c>
    </row>
    <row r="10565" customFormat="false" ht="15" hidden="false" customHeight="false" outlineLevel="0" collapsed="false">
      <c r="A10565" s="103"/>
      <c r="B10565" s="104"/>
      <c r="C10565" s="104"/>
      <c r="E10565" s="107" t="str">
        <f aca="false">IF($C10565="","",IFERROR(INDEX(المنيو!$C$2:$C$500,MATCH($C10565,المنيو!$B$2:$B$500,0)),0))</f>
        <v/>
      </c>
      <c r="F10565" s="107" t="str">
        <f aca="false">IF($C10565="","",$D10565*$E10565)</f>
        <v/>
      </c>
      <c r="G10565" s="107" t="str">
        <f aca="false">IF($C10565="","",$D10565*IFERROR(INDEX('تحليل التكلفة والسعر'!$C$2:$C$700,MATCH($C10565,'تحليل التكلفة والسعر'!$B$2:$B$700,0)),0))</f>
        <v/>
      </c>
    </row>
    <row r="10566" customFormat="false" ht="15" hidden="false" customHeight="false" outlineLevel="0" collapsed="false">
      <c r="A10566" s="103"/>
      <c r="B10566" s="104"/>
      <c r="C10566" s="104"/>
      <c r="E10566" s="107" t="str">
        <f aca="false">IF($C10566="","",IFERROR(INDEX(المنيو!$C$2:$C$500,MATCH($C10566,المنيو!$B$2:$B$500,0)),0))</f>
        <v/>
      </c>
      <c r="F10566" s="107" t="str">
        <f aca="false">IF($C10566="","",$D10566*$E10566)</f>
        <v/>
      </c>
      <c r="G10566" s="107" t="str">
        <f aca="false">IF($C10566="","",$D10566*IFERROR(INDEX('تحليل التكلفة والسعر'!$C$2:$C$700,MATCH($C10566,'تحليل التكلفة والسعر'!$B$2:$B$700,0)),0))</f>
        <v/>
      </c>
    </row>
    <row r="10567" customFormat="false" ht="15" hidden="false" customHeight="false" outlineLevel="0" collapsed="false">
      <c r="A10567" s="103"/>
      <c r="B10567" s="104"/>
      <c r="C10567" s="104"/>
      <c r="E10567" s="107" t="str">
        <f aca="false">IF($C10567="","",IFERROR(INDEX(المنيو!$C$2:$C$500,MATCH($C10567,المنيو!$B$2:$B$500,0)),0))</f>
        <v/>
      </c>
      <c r="F10567" s="107" t="str">
        <f aca="false">IF($C10567="","",$D10567*$E10567)</f>
        <v/>
      </c>
      <c r="G10567" s="107" t="str">
        <f aca="false">IF($C10567="","",$D10567*IFERROR(INDEX('تحليل التكلفة والسعر'!$C$2:$C$700,MATCH($C10567,'تحليل التكلفة والسعر'!$B$2:$B$700,0)),0))</f>
        <v/>
      </c>
    </row>
    <row r="10568" customFormat="false" ht="15" hidden="false" customHeight="false" outlineLevel="0" collapsed="false">
      <c r="A10568" s="103"/>
      <c r="B10568" s="104"/>
      <c r="C10568" s="104"/>
      <c r="E10568" s="107" t="str">
        <f aca="false">IF($C10568="","",IFERROR(INDEX(المنيو!$C$2:$C$500,MATCH($C10568,المنيو!$B$2:$B$500,0)),0))</f>
        <v/>
      </c>
      <c r="F10568" s="107" t="str">
        <f aca="false">IF($C10568="","",$D10568*$E10568)</f>
        <v/>
      </c>
      <c r="G10568" s="107" t="str">
        <f aca="false">IF($C10568="","",$D10568*IFERROR(INDEX('تحليل التكلفة والسعر'!$C$2:$C$700,MATCH($C10568,'تحليل التكلفة والسعر'!$B$2:$B$700,0)),0))</f>
        <v/>
      </c>
    </row>
    <row r="10569" customFormat="false" ht="15" hidden="false" customHeight="false" outlineLevel="0" collapsed="false">
      <c r="A10569" s="103"/>
      <c r="B10569" s="104"/>
      <c r="C10569" s="104"/>
      <c r="E10569" s="107" t="str">
        <f aca="false">IF($C10569="","",IFERROR(INDEX(المنيو!$C$2:$C$500,MATCH($C10569,المنيو!$B$2:$B$500,0)),0))</f>
        <v/>
      </c>
      <c r="F10569" s="107" t="str">
        <f aca="false">IF($C10569="","",$D10569*$E10569)</f>
        <v/>
      </c>
      <c r="G10569" s="107" t="str">
        <f aca="false">IF($C10569="","",$D10569*IFERROR(INDEX('تحليل التكلفة والسعر'!$C$2:$C$700,MATCH($C10569,'تحليل التكلفة والسعر'!$B$2:$B$700,0)),0))</f>
        <v/>
      </c>
    </row>
    <row r="10570" customFormat="false" ht="15" hidden="false" customHeight="false" outlineLevel="0" collapsed="false">
      <c r="A10570" s="103"/>
      <c r="B10570" s="104"/>
      <c r="C10570" s="104"/>
      <c r="E10570" s="107" t="str">
        <f aca="false">IF($C10570="","",IFERROR(INDEX(المنيو!$C$2:$C$500,MATCH($C10570,المنيو!$B$2:$B$500,0)),0))</f>
        <v/>
      </c>
      <c r="F10570" s="107" t="str">
        <f aca="false">IF($C10570="","",$D10570*$E10570)</f>
        <v/>
      </c>
      <c r="G10570" s="107" t="str">
        <f aca="false">IF($C10570="","",$D10570*IFERROR(INDEX('تحليل التكلفة والسعر'!$C$2:$C$700,MATCH($C10570,'تحليل التكلفة والسعر'!$B$2:$B$700,0)),0))</f>
        <v/>
      </c>
    </row>
    <row r="10571" customFormat="false" ht="15" hidden="false" customHeight="false" outlineLevel="0" collapsed="false">
      <c r="A10571" s="103"/>
      <c r="B10571" s="104"/>
      <c r="C10571" s="104"/>
      <c r="E10571" s="107" t="str">
        <f aca="false">IF($C10571="","",IFERROR(INDEX(المنيو!$C$2:$C$500,MATCH($C10571,المنيو!$B$2:$B$500,0)),0))</f>
        <v/>
      </c>
      <c r="F10571" s="107" t="str">
        <f aca="false">IF($C10571="","",$D10571*$E10571)</f>
        <v/>
      </c>
      <c r="G10571" s="107" t="str">
        <f aca="false">IF($C10571="","",$D10571*IFERROR(INDEX('تحليل التكلفة والسعر'!$C$2:$C$700,MATCH($C10571,'تحليل التكلفة والسعر'!$B$2:$B$700,0)),0))</f>
        <v/>
      </c>
    </row>
    <row r="10572" customFormat="false" ht="15" hidden="false" customHeight="false" outlineLevel="0" collapsed="false">
      <c r="A10572" s="103"/>
      <c r="B10572" s="104"/>
      <c r="C10572" s="104"/>
      <c r="E10572" s="107" t="str">
        <f aca="false">IF($C10572="","",IFERROR(INDEX(المنيو!$C$2:$C$500,MATCH($C10572,المنيو!$B$2:$B$500,0)),0))</f>
        <v/>
      </c>
      <c r="F10572" s="107" t="str">
        <f aca="false">IF($C10572="","",$D10572*$E10572)</f>
        <v/>
      </c>
      <c r="G10572" s="107" t="str">
        <f aca="false">IF($C10572="","",$D10572*IFERROR(INDEX('تحليل التكلفة والسعر'!$C$2:$C$700,MATCH($C10572,'تحليل التكلفة والسعر'!$B$2:$B$700,0)),0))</f>
        <v/>
      </c>
    </row>
    <row r="10573" customFormat="false" ht="15" hidden="false" customHeight="false" outlineLevel="0" collapsed="false">
      <c r="A10573" s="103"/>
      <c r="B10573" s="104"/>
      <c r="C10573" s="104"/>
      <c r="E10573" s="107" t="str">
        <f aca="false">IF($C10573="","",IFERROR(INDEX(المنيو!$C$2:$C$500,MATCH($C10573,المنيو!$B$2:$B$500,0)),0))</f>
        <v/>
      </c>
      <c r="F10573" s="107" t="str">
        <f aca="false">IF($C10573="","",$D10573*$E10573)</f>
        <v/>
      </c>
      <c r="G10573" s="107" t="str">
        <f aca="false">IF($C10573="","",$D10573*IFERROR(INDEX('تحليل التكلفة والسعر'!$C$2:$C$700,MATCH($C10573,'تحليل التكلفة والسعر'!$B$2:$B$700,0)),0))</f>
        <v/>
      </c>
    </row>
    <row r="10574" customFormat="false" ht="15" hidden="false" customHeight="false" outlineLevel="0" collapsed="false">
      <c r="A10574" s="103"/>
      <c r="B10574" s="104"/>
      <c r="C10574" s="104"/>
      <c r="E10574" s="107" t="str">
        <f aca="false">IF($C10574="","",IFERROR(INDEX(المنيو!$C$2:$C$500,MATCH($C10574,المنيو!$B$2:$B$500,0)),0))</f>
        <v/>
      </c>
      <c r="F10574" s="107" t="str">
        <f aca="false">IF($C10574="","",$D10574*$E10574)</f>
        <v/>
      </c>
      <c r="G10574" s="107" t="str">
        <f aca="false">IF($C10574="","",$D10574*IFERROR(INDEX('تحليل التكلفة والسعر'!$C$2:$C$700,MATCH($C10574,'تحليل التكلفة والسعر'!$B$2:$B$700,0)),0))</f>
        <v/>
      </c>
    </row>
    <row r="10575" customFormat="false" ht="15" hidden="false" customHeight="false" outlineLevel="0" collapsed="false">
      <c r="A10575" s="103"/>
      <c r="B10575" s="104"/>
      <c r="C10575" s="104"/>
      <c r="E10575" s="107" t="str">
        <f aca="false">IF($C10575="","",IFERROR(INDEX(المنيو!$C$2:$C$500,MATCH($C10575,المنيو!$B$2:$B$500,0)),0))</f>
        <v/>
      </c>
      <c r="F10575" s="107" t="str">
        <f aca="false">IF($C10575="","",$D10575*$E10575)</f>
        <v/>
      </c>
      <c r="G10575" s="107" t="str">
        <f aca="false">IF($C10575="","",$D10575*IFERROR(INDEX('تحليل التكلفة والسعر'!$C$2:$C$700,MATCH($C10575,'تحليل التكلفة والسعر'!$B$2:$B$700,0)),0))</f>
        <v/>
      </c>
    </row>
    <row r="10576" customFormat="false" ht="15" hidden="false" customHeight="false" outlineLevel="0" collapsed="false">
      <c r="A10576" s="103"/>
      <c r="B10576" s="104"/>
      <c r="C10576" s="104"/>
      <c r="E10576" s="107" t="str">
        <f aca="false">IF($C10576="","",IFERROR(INDEX(المنيو!$C$2:$C$500,MATCH($C10576,المنيو!$B$2:$B$500,0)),0))</f>
        <v/>
      </c>
      <c r="F10576" s="107" t="str">
        <f aca="false">IF($C10576="","",$D10576*$E10576)</f>
        <v/>
      </c>
      <c r="G10576" s="107" t="str">
        <f aca="false">IF($C10576="","",$D10576*IFERROR(INDEX('تحليل التكلفة والسعر'!$C$2:$C$700,MATCH($C10576,'تحليل التكلفة والسعر'!$B$2:$B$700,0)),0))</f>
        <v/>
      </c>
    </row>
    <row r="10577" customFormat="false" ht="15" hidden="false" customHeight="false" outlineLevel="0" collapsed="false">
      <c r="A10577" s="103"/>
      <c r="B10577" s="104"/>
      <c r="C10577" s="104"/>
      <c r="E10577" s="107" t="str">
        <f aca="false">IF($C10577="","",IFERROR(INDEX(المنيو!$C$2:$C$500,MATCH($C10577,المنيو!$B$2:$B$500,0)),0))</f>
        <v/>
      </c>
      <c r="F10577" s="107" t="str">
        <f aca="false">IF($C10577="","",$D10577*$E10577)</f>
        <v/>
      </c>
      <c r="G10577" s="107" t="str">
        <f aca="false">IF($C10577="","",$D10577*IFERROR(INDEX('تحليل التكلفة والسعر'!$C$2:$C$700,MATCH($C10577,'تحليل التكلفة والسعر'!$B$2:$B$700,0)),0))</f>
        <v/>
      </c>
    </row>
    <row r="10578" customFormat="false" ht="15" hidden="false" customHeight="false" outlineLevel="0" collapsed="false">
      <c r="A10578" s="103"/>
      <c r="B10578" s="104"/>
      <c r="C10578" s="104"/>
      <c r="E10578" s="107" t="str">
        <f aca="false">IF($C10578="","",IFERROR(INDEX(المنيو!$C$2:$C$500,MATCH($C10578,المنيو!$B$2:$B$500,0)),0))</f>
        <v/>
      </c>
      <c r="F10578" s="107" t="str">
        <f aca="false">IF($C10578="","",$D10578*$E10578)</f>
        <v/>
      </c>
      <c r="G10578" s="107" t="str">
        <f aca="false">IF($C10578="","",$D10578*IFERROR(INDEX('تحليل التكلفة والسعر'!$C$2:$C$700,MATCH($C10578,'تحليل التكلفة والسعر'!$B$2:$B$700,0)),0))</f>
        <v/>
      </c>
    </row>
    <row r="10579" customFormat="false" ht="15" hidden="false" customHeight="false" outlineLevel="0" collapsed="false">
      <c r="A10579" s="103"/>
      <c r="B10579" s="104"/>
      <c r="C10579" s="104"/>
      <c r="E10579" s="107" t="str">
        <f aca="false">IF($C10579="","",IFERROR(INDEX(المنيو!$C$2:$C$500,MATCH($C10579,المنيو!$B$2:$B$500,0)),0))</f>
        <v/>
      </c>
      <c r="F10579" s="107" t="str">
        <f aca="false">IF($C10579="","",$D10579*$E10579)</f>
        <v/>
      </c>
      <c r="G10579" s="107" t="str">
        <f aca="false">IF($C10579="","",$D10579*IFERROR(INDEX('تحليل التكلفة والسعر'!$C$2:$C$700,MATCH($C10579,'تحليل التكلفة والسعر'!$B$2:$B$700,0)),0))</f>
        <v/>
      </c>
    </row>
    <row r="10580" customFormat="false" ht="15" hidden="false" customHeight="false" outlineLevel="0" collapsed="false">
      <c r="A10580" s="103"/>
      <c r="B10580" s="104"/>
      <c r="C10580" s="104"/>
      <c r="E10580" s="107" t="str">
        <f aca="false">IF($C10580="","",IFERROR(INDEX(المنيو!$C$2:$C$500,MATCH($C10580,المنيو!$B$2:$B$500,0)),0))</f>
        <v/>
      </c>
      <c r="F10580" s="107" t="str">
        <f aca="false">IF($C10580="","",$D10580*$E10580)</f>
        <v/>
      </c>
      <c r="G10580" s="107" t="str">
        <f aca="false">IF($C10580="","",$D10580*IFERROR(INDEX('تحليل التكلفة والسعر'!$C$2:$C$700,MATCH($C10580,'تحليل التكلفة والسعر'!$B$2:$B$700,0)),0))</f>
        <v/>
      </c>
    </row>
    <row r="10581" customFormat="false" ht="15" hidden="false" customHeight="false" outlineLevel="0" collapsed="false">
      <c r="A10581" s="103"/>
      <c r="B10581" s="104"/>
      <c r="C10581" s="104"/>
      <c r="E10581" s="107" t="str">
        <f aca="false">IF($C10581="","",IFERROR(INDEX(المنيو!$C$2:$C$500,MATCH($C10581,المنيو!$B$2:$B$500,0)),0))</f>
        <v/>
      </c>
      <c r="F10581" s="107" t="str">
        <f aca="false">IF($C10581="","",$D10581*$E10581)</f>
        <v/>
      </c>
      <c r="G10581" s="107" t="str">
        <f aca="false">IF($C10581="","",$D10581*IFERROR(INDEX('تحليل التكلفة والسعر'!$C$2:$C$700,MATCH($C10581,'تحليل التكلفة والسعر'!$B$2:$B$700,0)),0))</f>
        <v/>
      </c>
    </row>
    <row r="10582" customFormat="false" ht="15" hidden="false" customHeight="false" outlineLevel="0" collapsed="false">
      <c r="A10582" s="103"/>
      <c r="B10582" s="104"/>
      <c r="C10582" s="104"/>
      <c r="E10582" s="107" t="str">
        <f aca="false">IF($C10582="","",IFERROR(INDEX(المنيو!$C$2:$C$500,MATCH($C10582,المنيو!$B$2:$B$500,0)),0))</f>
        <v/>
      </c>
      <c r="F10582" s="107" t="str">
        <f aca="false">IF($C10582="","",$D10582*$E10582)</f>
        <v/>
      </c>
      <c r="G10582" s="107" t="str">
        <f aca="false">IF($C10582="","",$D10582*IFERROR(INDEX('تحليل التكلفة والسعر'!$C$2:$C$700,MATCH($C10582,'تحليل التكلفة والسعر'!$B$2:$B$700,0)),0))</f>
        <v/>
      </c>
    </row>
    <row r="10583" customFormat="false" ht="15" hidden="false" customHeight="false" outlineLevel="0" collapsed="false">
      <c r="A10583" s="103"/>
      <c r="B10583" s="104"/>
      <c r="C10583" s="104"/>
      <c r="E10583" s="107" t="str">
        <f aca="false">IF($C10583="","",IFERROR(INDEX(المنيو!$C$2:$C$500,MATCH($C10583,المنيو!$B$2:$B$500,0)),0))</f>
        <v/>
      </c>
      <c r="F10583" s="107" t="str">
        <f aca="false">IF($C10583="","",$D10583*$E10583)</f>
        <v/>
      </c>
      <c r="G10583" s="107" t="str">
        <f aca="false">IF($C10583="","",$D10583*IFERROR(INDEX('تحليل التكلفة والسعر'!$C$2:$C$700,MATCH($C10583,'تحليل التكلفة والسعر'!$B$2:$B$700,0)),0))</f>
        <v/>
      </c>
    </row>
    <row r="10584" customFormat="false" ht="15" hidden="false" customHeight="false" outlineLevel="0" collapsed="false">
      <c r="A10584" s="103"/>
      <c r="B10584" s="104"/>
      <c r="C10584" s="104"/>
      <c r="E10584" s="107" t="str">
        <f aca="false">IF($C10584="","",IFERROR(INDEX(المنيو!$C$2:$C$500,MATCH($C10584,المنيو!$B$2:$B$500,0)),0))</f>
        <v/>
      </c>
      <c r="F10584" s="107" t="str">
        <f aca="false">IF($C10584="","",$D10584*$E10584)</f>
        <v/>
      </c>
      <c r="G10584" s="107" t="str">
        <f aca="false">IF($C10584="","",$D10584*IFERROR(INDEX('تحليل التكلفة والسعر'!$C$2:$C$700,MATCH($C10584,'تحليل التكلفة والسعر'!$B$2:$B$700,0)),0))</f>
        <v/>
      </c>
    </row>
    <row r="10585" customFormat="false" ht="15" hidden="false" customHeight="false" outlineLevel="0" collapsed="false">
      <c r="A10585" s="103"/>
      <c r="B10585" s="104"/>
      <c r="C10585" s="104"/>
      <c r="E10585" s="107" t="str">
        <f aca="false">IF($C10585="","",IFERROR(INDEX(المنيو!$C$2:$C$500,MATCH($C10585,المنيو!$B$2:$B$500,0)),0))</f>
        <v/>
      </c>
      <c r="F10585" s="107" t="str">
        <f aca="false">IF($C10585="","",$D10585*$E10585)</f>
        <v/>
      </c>
      <c r="G10585" s="107" t="str">
        <f aca="false">IF($C10585="","",$D10585*IFERROR(INDEX('تحليل التكلفة والسعر'!$C$2:$C$700,MATCH($C10585,'تحليل التكلفة والسعر'!$B$2:$B$700,0)),0))</f>
        <v/>
      </c>
    </row>
    <row r="10586" customFormat="false" ht="15" hidden="false" customHeight="false" outlineLevel="0" collapsed="false">
      <c r="A10586" s="103"/>
      <c r="B10586" s="104"/>
      <c r="C10586" s="104"/>
      <c r="E10586" s="107" t="str">
        <f aca="false">IF($C10586="","",IFERROR(INDEX(المنيو!$C$2:$C$500,MATCH($C10586,المنيو!$B$2:$B$500,0)),0))</f>
        <v/>
      </c>
      <c r="F10586" s="107" t="str">
        <f aca="false">IF($C10586="","",$D10586*$E10586)</f>
        <v/>
      </c>
      <c r="G10586" s="107" t="str">
        <f aca="false">IF($C10586="","",$D10586*IFERROR(INDEX('تحليل التكلفة والسعر'!$C$2:$C$700,MATCH($C10586,'تحليل التكلفة والسعر'!$B$2:$B$700,0)),0))</f>
        <v/>
      </c>
    </row>
    <row r="10587" customFormat="false" ht="15" hidden="false" customHeight="false" outlineLevel="0" collapsed="false">
      <c r="A10587" s="103"/>
      <c r="B10587" s="104"/>
      <c r="C10587" s="104"/>
      <c r="E10587" s="107" t="str">
        <f aca="false">IF($C10587="","",IFERROR(INDEX(المنيو!$C$2:$C$500,MATCH($C10587,المنيو!$B$2:$B$500,0)),0))</f>
        <v/>
      </c>
      <c r="F10587" s="107" t="str">
        <f aca="false">IF($C10587="","",$D10587*$E10587)</f>
        <v/>
      </c>
      <c r="G10587" s="107" t="str">
        <f aca="false">IF($C10587="","",$D10587*IFERROR(INDEX('تحليل التكلفة والسعر'!$C$2:$C$700,MATCH($C10587,'تحليل التكلفة والسعر'!$B$2:$B$700,0)),0))</f>
        <v/>
      </c>
    </row>
    <row r="10588" customFormat="false" ht="15" hidden="false" customHeight="false" outlineLevel="0" collapsed="false">
      <c r="A10588" s="103"/>
      <c r="B10588" s="104"/>
      <c r="C10588" s="104"/>
      <c r="E10588" s="107" t="str">
        <f aca="false">IF($C10588="","",IFERROR(INDEX(المنيو!$C$2:$C$500,MATCH($C10588,المنيو!$B$2:$B$500,0)),0))</f>
        <v/>
      </c>
      <c r="F10588" s="107" t="str">
        <f aca="false">IF($C10588="","",$D10588*$E10588)</f>
        <v/>
      </c>
      <c r="G10588" s="107" t="str">
        <f aca="false">IF($C10588="","",$D10588*IFERROR(INDEX('تحليل التكلفة والسعر'!$C$2:$C$700,MATCH($C10588,'تحليل التكلفة والسعر'!$B$2:$B$700,0)),0))</f>
        <v/>
      </c>
    </row>
    <row r="10589" customFormat="false" ht="15" hidden="false" customHeight="false" outlineLevel="0" collapsed="false">
      <c r="A10589" s="103"/>
      <c r="B10589" s="104"/>
      <c r="C10589" s="104"/>
      <c r="E10589" s="107" t="str">
        <f aca="false">IF($C10589="","",IFERROR(INDEX(المنيو!$C$2:$C$500,MATCH($C10589,المنيو!$B$2:$B$500,0)),0))</f>
        <v/>
      </c>
      <c r="F10589" s="107" t="str">
        <f aca="false">IF($C10589="","",$D10589*$E10589)</f>
        <v/>
      </c>
      <c r="G10589" s="107" t="str">
        <f aca="false">IF($C10589="","",$D10589*IFERROR(INDEX('تحليل التكلفة والسعر'!$C$2:$C$700,MATCH($C10589,'تحليل التكلفة والسعر'!$B$2:$B$700,0)),0))</f>
        <v/>
      </c>
    </row>
    <row r="10590" customFormat="false" ht="15" hidden="false" customHeight="false" outlineLevel="0" collapsed="false">
      <c r="A10590" s="103"/>
      <c r="B10590" s="104"/>
      <c r="C10590" s="104"/>
      <c r="E10590" s="107" t="str">
        <f aca="false">IF($C10590="","",IFERROR(INDEX(المنيو!$C$2:$C$500,MATCH($C10590,المنيو!$B$2:$B$500,0)),0))</f>
        <v/>
      </c>
      <c r="F10590" s="107" t="str">
        <f aca="false">IF($C10590="","",$D10590*$E10590)</f>
        <v/>
      </c>
      <c r="G10590" s="107" t="str">
        <f aca="false">IF($C10590="","",$D10590*IFERROR(INDEX('تحليل التكلفة والسعر'!$C$2:$C$700,MATCH($C10590,'تحليل التكلفة والسعر'!$B$2:$B$700,0)),0))</f>
        <v/>
      </c>
    </row>
    <row r="10591" customFormat="false" ht="15" hidden="false" customHeight="false" outlineLevel="0" collapsed="false">
      <c r="A10591" s="103"/>
      <c r="B10591" s="104"/>
      <c r="C10591" s="104"/>
      <c r="E10591" s="107" t="str">
        <f aca="false">IF($C10591="","",IFERROR(INDEX(المنيو!$C$2:$C$500,MATCH($C10591,المنيو!$B$2:$B$500,0)),0))</f>
        <v/>
      </c>
      <c r="F10591" s="107" t="str">
        <f aca="false">IF($C10591="","",$D10591*$E10591)</f>
        <v/>
      </c>
      <c r="G10591" s="107" t="str">
        <f aca="false">IF($C10591="","",$D10591*IFERROR(INDEX('تحليل التكلفة والسعر'!$C$2:$C$700,MATCH($C10591,'تحليل التكلفة والسعر'!$B$2:$B$700,0)),0))</f>
        <v/>
      </c>
    </row>
    <row r="10592" customFormat="false" ht="15" hidden="false" customHeight="false" outlineLevel="0" collapsed="false">
      <c r="A10592" s="103"/>
      <c r="B10592" s="104"/>
      <c r="C10592" s="104"/>
      <c r="E10592" s="107" t="str">
        <f aca="false">IF($C10592="","",IFERROR(INDEX(المنيو!$C$2:$C$500,MATCH($C10592,المنيو!$B$2:$B$500,0)),0))</f>
        <v/>
      </c>
      <c r="F10592" s="107" t="str">
        <f aca="false">IF($C10592="","",$D10592*$E10592)</f>
        <v/>
      </c>
      <c r="G10592" s="107" t="str">
        <f aca="false">IF($C10592="","",$D10592*IFERROR(INDEX('تحليل التكلفة والسعر'!$C$2:$C$700,MATCH($C10592,'تحليل التكلفة والسعر'!$B$2:$B$700,0)),0))</f>
        <v/>
      </c>
    </row>
    <row r="10593" customFormat="false" ht="15" hidden="false" customHeight="false" outlineLevel="0" collapsed="false">
      <c r="A10593" s="103"/>
      <c r="B10593" s="104"/>
      <c r="C10593" s="104"/>
      <c r="E10593" s="107" t="str">
        <f aca="false">IF($C10593="","",IFERROR(INDEX(المنيو!$C$2:$C$500,MATCH($C10593,المنيو!$B$2:$B$500,0)),0))</f>
        <v/>
      </c>
      <c r="F10593" s="107" t="str">
        <f aca="false">IF($C10593="","",$D10593*$E10593)</f>
        <v/>
      </c>
      <c r="G10593" s="107" t="str">
        <f aca="false">IF($C10593="","",$D10593*IFERROR(INDEX('تحليل التكلفة والسعر'!$C$2:$C$700,MATCH($C10593,'تحليل التكلفة والسعر'!$B$2:$B$700,0)),0))</f>
        <v/>
      </c>
    </row>
    <row r="10594" customFormat="false" ht="15" hidden="false" customHeight="false" outlineLevel="0" collapsed="false">
      <c r="A10594" s="103"/>
      <c r="B10594" s="104"/>
      <c r="C10594" s="104"/>
      <c r="E10594" s="107" t="str">
        <f aca="false">IF($C10594="","",IFERROR(INDEX(المنيو!$C$2:$C$500,MATCH($C10594,المنيو!$B$2:$B$500,0)),0))</f>
        <v/>
      </c>
      <c r="F10594" s="107" t="str">
        <f aca="false">IF($C10594="","",$D10594*$E10594)</f>
        <v/>
      </c>
      <c r="G10594" s="107" t="str">
        <f aca="false">IF($C10594="","",$D10594*IFERROR(INDEX('تحليل التكلفة والسعر'!$C$2:$C$700,MATCH($C10594,'تحليل التكلفة والسعر'!$B$2:$B$700,0)),0))</f>
        <v/>
      </c>
    </row>
    <row r="10595" customFormat="false" ht="15" hidden="false" customHeight="false" outlineLevel="0" collapsed="false">
      <c r="A10595" s="103"/>
      <c r="B10595" s="104"/>
      <c r="C10595" s="104"/>
      <c r="E10595" s="107" t="str">
        <f aca="false">IF($C10595="","",IFERROR(INDEX(المنيو!$C$2:$C$500,MATCH($C10595,المنيو!$B$2:$B$500,0)),0))</f>
        <v/>
      </c>
      <c r="F10595" s="107" t="str">
        <f aca="false">IF($C10595="","",$D10595*$E10595)</f>
        <v/>
      </c>
      <c r="G10595" s="107" t="str">
        <f aca="false">IF($C10595="","",$D10595*IFERROR(INDEX('تحليل التكلفة والسعر'!$C$2:$C$700,MATCH($C10595,'تحليل التكلفة والسعر'!$B$2:$B$700,0)),0))</f>
        <v/>
      </c>
    </row>
    <row r="10596" customFormat="false" ht="15" hidden="false" customHeight="false" outlineLevel="0" collapsed="false">
      <c r="A10596" s="103"/>
      <c r="B10596" s="104"/>
      <c r="C10596" s="104"/>
      <c r="E10596" s="107" t="str">
        <f aca="false">IF($C10596="","",IFERROR(INDEX(المنيو!$C$2:$C$500,MATCH($C10596,المنيو!$B$2:$B$500,0)),0))</f>
        <v/>
      </c>
      <c r="F10596" s="107" t="str">
        <f aca="false">IF($C10596="","",$D10596*$E10596)</f>
        <v/>
      </c>
      <c r="G10596" s="107" t="str">
        <f aca="false">IF($C10596="","",$D10596*IFERROR(INDEX('تحليل التكلفة والسعر'!$C$2:$C$700,MATCH($C10596,'تحليل التكلفة والسعر'!$B$2:$B$700,0)),0))</f>
        <v/>
      </c>
    </row>
    <row r="10597" customFormat="false" ht="15" hidden="false" customHeight="false" outlineLevel="0" collapsed="false">
      <c r="A10597" s="103"/>
      <c r="B10597" s="104"/>
      <c r="C10597" s="104"/>
      <c r="E10597" s="107" t="str">
        <f aca="false">IF($C10597="","",IFERROR(INDEX(المنيو!$C$2:$C$500,MATCH($C10597,المنيو!$B$2:$B$500,0)),0))</f>
        <v/>
      </c>
      <c r="F10597" s="107" t="str">
        <f aca="false">IF($C10597="","",$D10597*$E10597)</f>
        <v/>
      </c>
      <c r="G10597" s="107" t="str">
        <f aca="false">IF($C10597="","",$D10597*IFERROR(INDEX('تحليل التكلفة والسعر'!$C$2:$C$700,MATCH($C10597,'تحليل التكلفة والسعر'!$B$2:$B$700,0)),0))</f>
        <v/>
      </c>
    </row>
    <row r="10598" customFormat="false" ht="15" hidden="false" customHeight="false" outlineLevel="0" collapsed="false">
      <c r="A10598" s="103"/>
      <c r="B10598" s="104"/>
      <c r="C10598" s="104"/>
      <c r="E10598" s="107" t="str">
        <f aca="false">IF($C10598="","",IFERROR(INDEX(المنيو!$C$2:$C$500,MATCH($C10598,المنيو!$B$2:$B$500,0)),0))</f>
        <v/>
      </c>
      <c r="F10598" s="107" t="str">
        <f aca="false">IF($C10598="","",$D10598*$E10598)</f>
        <v/>
      </c>
      <c r="G10598" s="107" t="str">
        <f aca="false">IF($C10598="","",$D10598*IFERROR(INDEX('تحليل التكلفة والسعر'!$C$2:$C$700,MATCH($C10598,'تحليل التكلفة والسعر'!$B$2:$B$700,0)),0))</f>
        <v/>
      </c>
    </row>
    <row r="10599" customFormat="false" ht="15" hidden="false" customHeight="false" outlineLevel="0" collapsed="false">
      <c r="A10599" s="103"/>
      <c r="B10599" s="104"/>
      <c r="C10599" s="104"/>
      <c r="E10599" s="107" t="str">
        <f aca="false">IF($C10599="","",IFERROR(INDEX(المنيو!$C$2:$C$500,MATCH($C10599,المنيو!$B$2:$B$500,0)),0))</f>
        <v/>
      </c>
      <c r="F10599" s="107" t="str">
        <f aca="false">IF($C10599="","",$D10599*$E10599)</f>
        <v/>
      </c>
      <c r="G10599" s="107" t="str">
        <f aca="false">IF($C10599="","",$D10599*IFERROR(INDEX('تحليل التكلفة والسعر'!$C$2:$C$700,MATCH($C10599,'تحليل التكلفة والسعر'!$B$2:$B$700,0)),0))</f>
        <v/>
      </c>
    </row>
    <row r="10600" customFormat="false" ht="15" hidden="false" customHeight="false" outlineLevel="0" collapsed="false">
      <c r="A10600" s="103"/>
      <c r="B10600" s="104"/>
      <c r="C10600" s="104"/>
      <c r="E10600" s="107" t="str">
        <f aca="false">IF($C10600="","",IFERROR(INDEX(المنيو!$C$2:$C$500,MATCH($C10600,المنيو!$B$2:$B$500,0)),0))</f>
        <v/>
      </c>
      <c r="F10600" s="107" t="str">
        <f aca="false">IF($C10600="","",$D10600*$E10600)</f>
        <v/>
      </c>
      <c r="G10600" s="107" t="str">
        <f aca="false">IF($C10600="","",$D10600*IFERROR(INDEX('تحليل التكلفة والسعر'!$C$2:$C$700,MATCH($C10600,'تحليل التكلفة والسعر'!$B$2:$B$700,0)),0))</f>
        <v/>
      </c>
    </row>
    <row r="10601" customFormat="false" ht="15" hidden="false" customHeight="false" outlineLevel="0" collapsed="false">
      <c r="A10601" s="103"/>
      <c r="B10601" s="104"/>
      <c r="C10601" s="104"/>
      <c r="E10601" s="107" t="str">
        <f aca="false">IF($C10601="","",IFERROR(INDEX(المنيو!$C$2:$C$500,MATCH($C10601,المنيو!$B$2:$B$500,0)),0))</f>
        <v/>
      </c>
      <c r="F10601" s="107" t="str">
        <f aca="false">IF($C10601="","",$D10601*$E10601)</f>
        <v/>
      </c>
      <c r="G10601" s="107" t="str">
        <f aca="false">IF($C10601="","",$D10601*IFERROR(INDEX('تحليل التكلفة والسعر'!$C$2:$C$700,MATCH($C10601,'تحليل التكلفة والسعر'!$B$2:$B$700,0)),0))</f>
        <v/>
      </c>
    </row>
    <row r="10602" customFormat="false" ht="15" hidden="false" customHeight="false" outlineLevel="0" collapsed="false">
      <c r="A10602" s="103"/>
      <c r="B10602" s="104"/>
      <c r="C10602" s="104"/>
      <c r="E10602" s="107" t="str">
        <f aca="false">IF($C10602="","",IFERROR(INDEX(المنيو!$C$2:$C$500,MATCH($C10602,المنيو!$B$2:$B$500,0)),0))</f>
        <v/>
      </c>
      <c r="F10602" s="107" t="str">
        <f aca="false">IF($C10602="","",$D10602*$E10602)</f>
        <v/>
      </c>
      <c r="G10602" s="107" t="str">
        <f aca="false">IF($C10602="","",$D10602*IFERROR(INDEX('تحليل التكلفة والسعر'!$C$2:$C$700,MATCH($C10602,'تحليل التكلفة والسعر'!$B$2:$B$700,0)),0))</f>
        <v/>
      </c>
    </row>
    <row r="10603" customFormat="false" ht="15" hidden="false" customHeight="false" outlineLevel="0" collapsed="false">
      <c r="A10603" s="103"/>
      <c r="B10603" s="104"/>
      <c r="C10603" s="104"/>
      <c r="E10603" s="107" t="str">
        <f aca="false">IF($C10603="","",IFERROR(INDEX(المنيو!$C$2:$C$500,MATCH($C10603,المنيو!$B$2:$B$500,0)),0))</f>
        <v/>
      </c>
      <c r="F10603" s="107" t="str">
        <f aca="false">IF($C10603="","",$D10603*$E10603)</f>
        <v/>
      </c>
      <c r="G10603" s="107" t="str">
        <f aca="false">IF($C10603="","",$D10603*IFERROR(INDEX('تحليل التكلفة والسعر'!$C$2:$C$700,MATCH($C10603,'تحليل التكلفة والسعر'!$B$2:$B$700,0)),0))</f>
        <v/>
      </c>
    </row>
    <row r="10604" customFormat="false" ht="15" hidden="false" customHeight="false" outlineLevel="0" collapsed="false">
      <c r="A10604" s="103"/>
      <c r="B10604" s="104"/>
      <c r="C10604" s="104"/>
      <c r="E10604" s="107" t="str">
        <f aca="false">IF($C10604="","",IFERROR(INDEX(المنيو!$C$2:$C$500,MATCH($C10604,المنيو!$B$2:$B$500,0)),0))</f>
        <v/>
      </c>
      <c r="F10604" s="107" t="str">
        <f aca="false">IF($C10604="","",$D10604*$E10604)</f>
        <v/>
      </c>
      <c r="G10604" s="107" t="str">
        <f aca="false">IF($C10604="","",$D10604*IFERROR(INDEX('تحليل التكلفة والسعر'!$C$2:$C$700,MATCH($C10604,'تحليل التكلفة والسعر'!$B$2:$B$700,0)),0))</f>
        <v/>
      </c>
    </row>
    <row r="10605" customFormat="false" ht="15" hidden="false" customHeight="false" outlineLevel="0" collapsed="false">
      <c r="A10605" s="103"/>
      <c r="B10605" s="104"/>
      <c r="C10605" s="104"/>
      <c r="E10605" s="107" t="str">
        <f aca="false">IF($C10605="","",IFERROR(INDEX(المنيو!$C$2:$C$500,MATCH($C10605,المنيو!$B$2:$B$500,0)),0))</f>
        <v/>
      </c>
      <c r="F10605" s="107" t="str">
        <f aca="false">IF($C10605="","",$D10605*$E10605)</f>
        <v/>
      </c>
      <c r="G10605" s="107" t="str">
        <f aca="false">IF($C10605="","",$D10605*IFERROR(INDEX('تحليل التكلفة والسعر'!$C$2:$C$700,MATCH($C10605,'تحليل التكلفة والسعر'!$B$2:$B$700,0)),0))</f>
        <v/>
      </c>
    </row>
    <row r="10606" customFormat="false" ht="15" hidden="false" customHeight="false" outlineLevel="0" collapsed="false">
      <c r="A10606" s="103"/>
      <c r="B10606" s="104"/>
      <c r="C10606" s="104"/>
      <c r="E10606" s="107" t="str">
        <f aca="false">IF($C10606="","",IFERROR(INDEX(المنيو!$C$2:$C$500,MATCH($C10606,المنيو!$B$2:$B$500,0)),0))</f>
        <v/>
      </c>
      <c r="F10606" s="107" t="str">
        <f aca="false">IF($C10606="","",$D10606*$E10606)</f>
        <v/>
      </c>
      <c r="G10606" s="107" t="str">
        <f aca="false">IF($C10606="","",$D10606*IFERROR(INDEX('تحليل التكلفة والسعر'!$C$2:$C$700,MATCH($C10606,'تحليل التكلفة والسعر'!$B$2:$B$700,0)),0))</f>
        <v/>
      </c>
    </row>
    <row r="10607" customFormat="false" ht="15" hidden="false" customHeight="false" outlineLevel="0" collapsed="false">
      <c r="A10607" s="103"/>
      <c r="B10607" s="104"/>
      <c r="C10607" s="104"/>
      <c r="E10607" s="107" t="str">
        <f aca="false">IF($C10607="","",IFERROR(INDEX(المنيو!$C$2:$C$500,MATCH($C10607,المنيو!$B$2:$B$500,0)),0))</f>
        <v/>
      </c>
      <c r="F10607" s="107" t="str">
        <f aca="false">IF($C10607="","",$D10607*$E10607)</f>
        <v/>
      </c>
      <c r="G10607" s="107" t="str">
        <f aca="false">IF($C10607="","",$D10607*IFERROR(INDEX('تحليل التكلفة والسعر'!$C$2:$C$700,MATCH($C10607,'تحليل التكلفة والسعر'!$B$2:$B$700,0)),0))</f>
        <v/>
      </c>
    </row>
    <row r="10608" customFormat="false" ht="15" hidden="false" customHeight="false" outlineLevel="0" collapsed="false">
      <c r="A10608" s="103"/>
      <c r="B10608" s="104"/>
      <c r="C10608" s="104"/>
      <c r="E10608" s="107" t="str">
        <f aca="false">IF($C10608="","",IFERROR(INDEX(المنيو!$C$2:$C$500,MATCH($C10608,المنيو!$B$2:$B$500,0)),0))</f>
        <v/>
      </c>
      <c r="F10608" s="107" t="str">
        <f aca="false">IF($C10608="","",$D10608*$E10608)</f>
        <v/>
      </c>
      <c r="G10608" s="107" t="str">
        <f aca="false">IF($C10608="","",$D10608*IFERROR(INDEX('تحليل التكلفة والسعر'!$C$2:$C$700,MATCH($C10608,'تحليل التكلفة والسعر'!$B$2:$B$700,0)),0))</f>
        <v/>
      </c>
    </row>
    <row r="10609" customFormat="false" ht="15" hidden="false" customHeight="false" outlineLevel="0" collapsed="false">
      <c r="A10609" s="103"/>
      <c r="B10609" s="104"/>
      <c r="C10609" s="104"/>
      <c r="E10609" s="107" t="str">
        <f aca="false">IF($C10609="","",IFERROR(INDEX(المنيو!$C$2:$C$500,MATCH($C10609,المنيو!$B$2:$B$500,0)),0))</f>
        <v/>
      </c>
      <c r="F10609" s="107" t="str">
        <f aca="false">IF($C10609="","",$D10609*$E10609)</f>
        <v/>
      </c>
      <c r="G10609" s="107" t="str">
        <f aca="false">IF($C10609="","",$D10609*IFERROR(INDEX('تحليل التكلفة والسعر'!$C$2:$C$700,MATCH($C10609,'تحليل التكلفة والسعر'!$B$2:$B$700,0)),0))</f>
        <v/>
      </c>
    </row>
    <row r="10610" customFormat="false" ht="15" hidden="false" customHeight="false" outlineLevel="0" collapsed="false">
      <c r="A10610" s="103"/>
      <c r="B10610" s="104"/>
      <c r="C10610" s="104"/>
      <c r="E10610" s="107" t="str">
        <f aca="false">IF($C10610="","",IFERROR(INDEX(المنيو!$C$2:$C$500,MATCH($C10610,المنيو!$B$2:$B$500,0)),0))</f>
        <v/>
      </c>
      <c r="F10610" s="107" t="str">
        <f aca="false">IF($C10610="","",$D10610*$E10610)</f>
        <v/>
      </c>
      <c r="G10610" s="107" t="str">
        <f aca="false">IF($C10610="","",$D10610*IFERROR(INDEX('تحليل التكلفة والسعر'!$C$2:$C$700,MATCH($C10610,'تحليل التكلفة والسعر'!$B$2:$B$700,0)),0))</f>
        <v/>
      </c>
    </row>
    <row r="10611" customFormat="false" ht="15" hidden="false" customHeight="false" outlineLevel="0" collapsed="false">
      <c r="A10611" s="103"/>
      <c r="B10611" s="104"/>
      <c r="C10611" s="104"/>
      <c r="E10611" s="107" t="str">
        <f aca="false">IF($C10611="","",IFERROR(INDEX(المنيو!$C$2:$C$500,MATCH($C10611,المنيو!$B$2:$B$500,0)),0))</f>
        <v/>
      </c>
      <c r="F10611" s="107" t="str">
        <f aca="false">IF($C10611="","",$D10611*$E10611)</f>
        <v/>
      </c>
      <c r="G10611" s="107" t="str">
        <f aca="false">IF($C10611="","",$D10611*IFERROR(INDEX('تحليل التكلفة والسعر'!$C$2:$C$700,MATCH($C10611,'تحليل التكلفة والسعر'!$B$2:$B$700,0)),0))</f>
        <v/>
      </c>
    </row>
    <row r="10612" customFormat="false" ht="15" hidden="false" customHeight="false" outlineLevel="0" collapsed="false">
      <c r="A10612" s="103"/>
      <c r="B10612" s="104"/>
      <c r="C10612" s="104"/>
      <c r="E10612" s="107" t="str">
        <f aca="false">IF($C10612="","",IFERROR(INDEX(المنيو!$C$2:$C$500,MATCH($C10612,المنيو!$B$2:$B$500,0)),0))</f>
        <v/>
      </c>
      <c r="F10612" s="107" t="str">
        <f aca="false">IF($C10612="","",$D10612*$E10612)</f>
        <v/>
      </c>
      <c r="G10612" s="107" t="str">
        <f aca="false">IF($C10612="","",$D10612*IFERROR(INDEX('تحليل التكلفة والسعر'!$C$2:$C$700,MATCH($C10612,'تحليل التكلفة والسعر'!$B$2:$B$700,0)),0))</f>
        <v/>
      </c>
    </row>
    <row r="10613" customFormat="false" ht="15" hidden="false" customHeight="false" outlineLevel="0" collapsed="false">
      <c r="A10613" s="103"/>
      <c r="B10613" s="104"/>
      <c r="C10613" s="104"/>
      <c r="E10613" s="107" t="str">
        <f aca="false">IF($C10613="","",IFERROR(INDEX(المنيو!$C$2:$C$500,MATCH($C10613,المنيو!$B$2:$B$500,0)),0))</f>
        <v/>
      </c>
      <c r="F10613" s="107" t="str">
        <f aca="false">IF($C10613="","",$D10613*$E10613)</f>
        <v/>
      </c>
      <c r="G10613" s="107" t="str">
        <f aca="false">IF($C10613="","",$D10613*IFERROR(INDEX('تحليل التكلفة والسعر'!$C$2:$C$700,MATCH($C10613,'تحليل التكلفة والسعر'!$B$2:$B$700,0)),0))</f>
        <v/>
      </c>
    </row>
    <row r="10614" customFormat="false" ht="15" hidden="false" customHeight="false" outlineLevel="0" collapsed="false">
      <c r="A10614" s="103"/>
      <c r="B10614" s="104"/>
      <c r="C10614" s="104"/>
      <c r="E10614" s="107" t="str">
        <f aca="false">IF($C10614="","",IFERROR(INDEX(المنيو!$C$2:$C$500,MATCH($C10614,المنيو!$B$2:$B$500,0)),0))</f>
        <v/>
      </c>
      <c r="F10614" s="107" t="str">
        <f aca="false">IF($C10614="","",$D10614*$E10614)</f>
        <v/>
      </c>
      <c r="G10614" s="107" t="str">
        <f aca="false">IF($C10614="","",$D10614*IFERROR(INDEX('تحليل التكلفة والسعر'!$C$2:$C$700,MATCH($C10614,'تحليل التكلفة والسعر'!$B$2:$B$700,0)),0))</f>
        <v/>
      </c>
    </row>
    <row r="10615" customFormat="false" ht="15" hidden="false" customHeight="false" outlineLevel="0" collapsed="false">
      <c r="A10615" s="103"/>
      <c r="B10615" s="104"/>
      <c r="C10615" s="104"/>
      <c r="E10615" s="107" t="str">
        <f aca="false">IF($C10615="","",IFERROR(INDEX(المنيو!$C$2:$C$500,MATCH($C10615,المنيو!$B$2:$B$500,0)),0))</f>
        <v/>
      </c>
      <c r="F10615" s="107" t="str">
        <f aca="false">IF($C10615="","",$D10615*$E10615)</f>
        <v/>
      </c>
      <c r="G10615" s="107" t="str">
        <f aca="false">IF($C10615="","",$D10615*IFERROR(INDEX('تحليل التكلفة والسعر'!$C$2:$C$700,MATCH($C10615,'تحليل التكلفة والسعر'!$B$2:$B$700,0)),0))</f>
        <v/>
      </c>
    </row>
    <row r="10616" customFormat="false" ht="15" hidden="false" customHeight="false" outlineLevel="0" collapsed="false">
      <c r="A10616" s="103"/>
      <c r="B10616" s="104"/>
      <c r="C10616" s="104"/>
      <c r="E10616" s="107" t="str">
        <f aca="false">IF($C10616="","",IFERROR(INDEX(المنيو!$C$2:$C$500,MATCH($C10616,المنيو!$B$2:$B$500,0)),0))</f>
        <v/>
      </c>
      <c r="F10616" s="107" t="str">
        <f aca="false">IF($C10616="","",$D10616*$E10616)</f>
        <v/>
      </c>
      <c r="G10616" s="107" t="str">
        <f aca="false">IF($C10616="","",$D10616*IFERROR(INDEX('تحليل التكلفة والسعر'!$C$2:$C$700,MATCH($C10616,'تحليل التكلفة والسعر'!$B$2:$B$700,0)),0))</f>
        <v/>
      </c>
    </row>
    <row r="10617" customFormat="false" ht="15" hidden="false" customHeight="false" outlineLevel="0" collapsed="false">
      <c r="A10617" s="103"/>
      <c r="B10617" s="104"/>
      <c r="C10617" s="104"/>
      <c r="E10617" s="107" t="str">
        <f aca="false">IF($C10617="","",IFERROR(INDEX(المنيو!$C$2:$C$500,MATCH($C10617,المنيو!$B$2:$B$500,0)),0))</f>
        <v/>
      </c>
      <c r="F10617" s="107" t="str">
        <f aca="false">IF($C10617="","",$D10617*$E10617)</f>
        <v/>
      </c>
      <c r="G10617" s="107" t="str">
        <f aca="false">IF($C10617="","",$D10617*IFERROR(INDEX('تحليل التكلفة والسعر'!$C$2:$C$700,MATCH($C10617,'تحليل التكلفة والسعر'!$B$2:$B$700,0)),0))</f>
        <v/>
      </c>
    </row>
    <row r="10618" customFormat="false" ht="15" hidden="false" customHeight="false" outlineLevel="0" collapsed="false">
      <c r="A10618" s="103"/>
      <c r="B10618" s="104"/>
      <c r="C10618" s="104"/>
      <c r="E10618" s="107" t="str">
        <f aca="false">IF($C10618="","",IFERROR(INDEX(المنيو!$C$2:$C$500,MATCH($C10618,المنيو!$B$2:$B$500,0)),0))</f>
        <v/>
      </c>
      <c r="F10618" s="107" t="str">
        <f aca="false">IF($C10618="","",$D10618*$E10618)</f>
        <v/>
      </c>
      <c r="G10618" s="107" t="str">
        <f aca="false">IF($C10618="","",$D10618*IFERROR(INDEX('تحليل التكلفة والسعر'!$C$2:$C$700,MATCH($C10618,'تحليل التكلفة والسعر'!$B$2:$B$700,0)),0))</f>
        <v/>
      </c>
    </row>
    <row r="10619" customFormat="false" ht="15" hidden="false" customHeight="false" outlineLevel="0" collapsed="false">
      <c r="A10619" s="103"/>
      <c r="B10619" s="104"/>
      <c r="C10619" s="104"/>
      <c r="E10619" s="107" t="str">
        <f aca="false">IF($C10619="","",IFERROR(INDEX(المنيو!$C$2:$C$500,MATCH($C10619,المنيو!$B$2:$B$500,0)),0))</f>
        <v/>
      </c>
      <c r="F10619" s="107" t="str">
        <f aca="false">IF($C10619="","",$D10619*$E10619)</f>
        <v/>
      </c>
      <c r="G10619" s="107" t="str">
        <f aca="false">IF($C10619="","",$D10619*IFERROR(INDEX('تحليل التكلفة والسعر'!$C$2:$C$700,MATCH($C10619,'تحليل التكلفة والسعر'!$B$2:$B$700,0)),0))</f>
        <v/>
      </c>
    </row>
    <row r="10620" customFormat="false" ht="15" hidden="false" customHeight="false" outlineLevel="0" collapsed="false">
      <c r="A10620" s="103"/>
      <c r="B10620" s="104"/>
      <c r="C10620" s="104"/>
      <c r="E10620" s="107" t="str">
        <f aca="false">IF($C10620="","",IFERROR(INDEX(المنيو!$C$2:$C$500,MATCH($C10620,المنيو!$B$2:$B$500,0)),0))</f>
        <v/>
      </c>
      <c r="F10620" s="107" t="str">
        <f aca="false">IF($C10620="","",$D10620*$E10620)</f>
        <v/>
      </c>
      <c r="G10620" s="107" t="str">
        <f aca="false">IF($C10620="","",$D10620*IFERROR(INDEX('تحليل التكلفة والسعر'!$C$2:$C$700,MATCH($C10620,'تحليل التكلفة والسعر'!$B$2:$B$700,0)),0))</f>
        <v/>
      </c>
    </row>
    <row r="10621" customFormat="false" ht="15" hidden="false" customHeight="false" outlineLevel="0" collapsed="false">
      <c r="A10621" s="103"/>
      <c r="B10621" s="104"/>
      <c r="C10621" s="104"/>
      <c r="E10621" s="107" t="str">
        <f aca="false">IF($C10621="","",IFERROR(INDEX(المنيو!$C$2:$C$500,MATCH($C10621,المنيو!$B$2:$B$500,0)),0))</f>
        <v/>
      </c>
      <c r="F10621" s="107" t="str">
        <f aca="false">IF($C10621="","",$D10621*$E10621)</f>
        <v/>
      </c>
      <c r="G10621" s="107" t="str">
        <f aca="false">IF($C10621="","",$D10621*IFERROR(INDEX('تحليل التكلفة والسعر'!$C$2:$C$700,MATCH($C10621,'تحليل التكلفة والسعر'!$B$2:$B$700,0)),0))</f>
        <v/>
      </c>
    </row>
    <row r="10622" customFormat="false" ht="15" hidden="false" customHeight="false" outlineLevel="0" collapsed="false">
      <c r="A10622" s="103"/>
      <c r="B10622" s="104"/>
      <c r="C10622" s="104"/>
      <c r="E10622" s="107" t="str">
        <f aca="false">IF($C10622="","",IFERROR(INDEX(المنيو!$C$2:$C$500,MATCH($C10622,المنيو!$B$2:$B$500,0)),0))</f>
        <v/>
      </c>
      <c r="F10622" s="107" t="str">
        <f aca="false">IF($C10622="","",$D10622*$E10622)</f>
        <v/>
      </c>
      <c r="G10622" s="107" t="str">
        <f aca="false">IF($C10622="","",$D10622*IFERROR(INDEX('تحليل التكلفة والسعر'!$C$2:$C$700,MATCH($C10622,'تحليل التكلفة والسعر'!$B$2:$B$700,0)),0))</f>
        <v/>
      </c>
    </row>
    <row r="10623" customFormat="false" ht="15" hidden="false" customHeight="false" outlineLevel="0" collapsed="false">
      <c r="A10623" s="103"/>
      <c r="B10623" s="104"/>
      <c r="C10623" s="104"/>
      <c r="E10623" s="107" t="str">
        <f aca="false">IF($C10623="","",IFERROR(INDEX(المنيو!$C$2:$C$500,MATCH($C10623,المنيو!$B$2:$B$500,0)),0))</f>
        <v/>
      </c>
      <c r="F10623" s="107" t="str">
        <f aca="false">IF($C10623="","",$D10623*$E10623)</f>
        <v/>
      </c>
      <c r="G10623" s="107" t="str">
        <f aca="false">IF($C10623="","",$D10623*IFERROR(INDEX('تحليل التكلفة والسعر'!$C$2:$C$700,MATCH($C10623,'تحليل التكلفة والسعر'!$B$2:$B$700,0)),0))</f>
        <v/>
      </c>
    </row>
    <row r="10624" customFormat="false" ht="15" hidden="false" customHeight="false" outlineLevel="0" collapsed="false">
      <c r="A10624" s="103"/>
      <c r="B10624" s="104"/>
      <c r="C10624" s="104"/>
      <c r="E10624" s="107" t="str">
        <f aca="false">IF($C10624="","",IFERROR(INDEX(المنيو!$C$2:$C$500,MATCH($C10624,المنيو!$B$2:$B$500,0)),0))</f>
        <v/>
      </c>
      <c r="F10624" s="107" t="str">
        <f aca="false">IF($C10624="","",$D10624*$E10624)</f>
        <v/>
      </c>
      <c r="G10624" s="107" t="str">
        <f aca="false">IF($C10624="","",$D10624*IFERROR(INDEX('تحليل التكلفة والسعر'!$C$2:$C$700,MATCH($C10624,'تحليل التكلفة والسعر'!$B$2:$B$700,0)),0))</f>
        <v/>
      </c>
    </row>
    <row r="10625" customFormat="false" ht="15" hidden="false" customHeight="false" outlineLevel="0" collapsed="false">
      <c r="A10625" s="103"/>
      <c r="B10625" s="104"/>
      <c r="C10625" s="104"/>
      <c r="E10625" s="107" t="str">
        <f aca="false">IF($C10625="","",IFERROR(INDEX(المنيو!$C$2:$C$500,MATCH($C10625,المنيو!$B$2:$B$500,0)),0))</f>
        <v/>
      </c>
      <c r="F10625" s="107" t="str">
        <f aca="false">IF($C10625="","",$D10625*$E10625)</f>
        <v/>
      </c>
      <c r="G10625" s="107" t="str">
        <f aca="false">IF($C10625="","",$D10625*IFERROR(INDEX('تحليل التكلفة والسعر'!$C$2:$C$700,MATCH($C10625,'تحليل التكلفة والسعر'!$B$2:$B$700,0)),0))</f>
        <v/>
      </c>
    </row>
    <row r="10626" customFormat="false" ht="15" hidden="false" customHeight="false" outlineLevel="0" collapsed="false">
      <c r="A10626" s="103"/>
      <c r="B10626" s="104"/>
      <c r="C10626" s="104"/>
      <c r="E10626" s="107" t="str">
        <f aca="false">IF($C10626="","",IFERROR(INDEX(المنيو!$C$2:$C$500,MATCH($C10626,المنيو!$B$2:$B$500,0)),0))</f>
        <v/>
      </c>
      <c r="F10626" s="107" t="str">
        <f aca="false">IF($C10626="","",$D10626*$E10626)</f>
        <v/>
      </c>
      <c r="G10626" s="107" t="str">
        <f aca="false">IF($C10626="","",$D10626*IFERROR(INDEX('تحليل التكلفة والسعر'!$C$2:$C$700,MATCH($C10626,'تحليل التكلفة والسعر'!$B$2:$B$700,0)),0))</f>
        <v/>
      </c>
    </row>
    <row r="10627" customFormat="false" ht="15" hidden="false" customHeight="false" outlineLevel="0" collapsed="false">
      <c r="A10627" s="103"/>
      <c r="B10627" s="104"/>
      <c r="C10627" s="104"/>
      <c r="E10627" s="107" t="str">
        <f aca="false">IF($C10627="","",IFERROR(INDEX(المنيو!$C$2:$C$500,MATCH($C10627,المنيو!$B$2:$B$500,0)),0))</f>
        <v/>
      </c>
      <c r="F10627" s="107" t="str">
        <f aca="false">IF($C10627="","",$D10627*$E10627)</f>
        <v/>
      </c>
      <c r="G10627" s="107" t="str">
        <f aca="false">IF($C10627="","",$D10627*IFERROR(INDEX('تحليل التكلفة والسعر'!$C$2:$C$700,MATCH($C10627,'تحليل التكلفة والسعر'!$B$2:$B$700,0)),0))</f>
        <v/>
      </c>
    </row>
    <row r="10628" customFormat="false" ht="15" hidden="false" customHeight="false" outlineLevel="0" collapsed="false">
      <c r="A10628" s="103"/>
      <c r="B10628" s="104"/>
      <c r="C10628" s="104"/>
      <c r="E10628" s="107" t="str">
        <f aca="false">IF($C10628="","",IFERROR(INDEX(المنيو!$C$2:$C$500,MATCH($C10628,المنيو!$B$2:$B$500,0)),0))</f>
        <v/>
      </c>
      <c r="F10628" s="107" t="str">
        <f aca="false">IF($C10628="","",$D10628*$E10628)</f>
        <v/>
      </c>
      <c r="G10628" s="107" t="str">
        <f aca="false">IF($C10628="","",$D10628*IFERROR(INDEX('تحليل التكلفة والسعر'!$C$2:$C$700,MATCH($C10628,'تحليل التكلفة والسعر'!$B$2:$B$700,0)),0))</f>
        <v/>
      </c>
    </row>
    <row r="10629" customFormat="false" ht="15" hidden="false" customHeight="false" outlineLevel="0" collapsed="false">
      <c r="A10629" s="103"/>
      <c r="B10629" s="104"/>
      <c r="C10629" s="104"/>
      <c r="E10629" s="107" t="str">
        <f aca="false">IF($C10629="","",IFERROR(INDEX(المنيو!$C$2:$C$500,MATCH($C10629,المنيو!$B$2:$B$500,0)),0))</f>
        <v/>
      </c>
      <c r="F10629" s="107" t="str">
        <f aca="false">IF($C10629="","",$D10629*$E10629)</f>
        <v/>
      </c>
      <c r="G10629" s="107" t="str">
        <f aca="false">IF($C10629="","",$D10629*IFERROR(INDEX('تحليل التكلفة والسعر'!$C$2:$C$700,MATCH($C10629,'تحليل التكلفة والسعر'!$B$2:$B$700,0)),0))</f>
        <v/>
      </c>
    </row>
    <row r="10630" customFormat="false" ht="15" hidden="false" customHeight="false" outlineLevel="0" collapsed="false">
      <c r="A10630" s="103"/>
      <c r="B10630" s="104"/>
      <c r="C10630" s="104"/>
      <c r="E10630" s="107" t="str">
        <f aca="false">IF($C10630="","",IFERROR(INDEX(المنيو!$C$2:$C$500,MATCH($C10630,المنيو!$B$2:$B$500,0)),0))</f>
        <v/>
      </c>
      <c r="F10630" s="107" t="str">
        <f aca="false">IF($C10630="","",$D10630*$E10630)</f>
        <v/>
      </c>
      <c r="G10630" s="107" t="str">
        <f aca="false">IF($C10630="","",$D10630*IFERROR(INDEX('تحليل التكلفة والسعر'!$C$2:$C$700,MATCH($C10630,'تحليل التكلفة والسعر'!$B$2:$B$700,0)),0))</f>
        <v/>
      </c>
    </row>
    <row r="10631" customFormat="false" ht="15" hidden="false" customHeight="false" outlineLevel="0" collapsed="false">
      <c r="A10631" s="103"/>
      <c r="B10631" s="104"/>
      <c r="C10631" s="104"/>
      <c r="E10631" s="107" t="str">
        <f aca="false">IF($C10631="","",IFERROR(INDEX(المنيو!$C$2:$C$500,MATCH($C10631,المنيو!$B$2:$B$500,0)),0))</f>
        <v/>
      </c>
      <c r="F10631" s="107" t="str">
        <f aca="false">IF($C10631="","",$D10631*$E10631)</f>
        <v/>
      </c>
      <c r="G10631" s="107" t="str">
        <f aca="false">IF($C10631="","",$D10631*IFERROR(INDEX('تحليل التكلفة والسعر'!$C$2:$C$700,MATCH($C10631,'تحليل التكلفة والسعر'!$B$2:$B$700,0)),0))</f>
        <v/>
      </c>
    </row>
    <row r="10632" customFormat="false" ht="15" hidden="false" customHeight="false" outlineLevel="0" collapsed="false">
      <c r="A10632" s="103"/>
      <c r="B10632" s="104"/>
      <c r="C10632" s="104"/>
      <c r="E10632" s="107" t="str">
        <f aca="false">IF($C10632="","",IFERROR(INDEX(المنيو!$C$2:$C$500,MATCH($C10632,المنيو!$B$2:$B$500,0)),0))</f>
        <v/>
      </c>
      <c r="F10632" s="107" t="str">
        <f aca="false">IF($C10632="","",$D10632*$E10632)</f>
        <v/>
      </c>
      <c r="G10632" s="107" t="str">
        <f aca="false">IF($C10632="","",$D10632*IFERROR(INDEX('تحليل التكلفة والسعر'!$C$2:$C$700,MATCH($C10632,'تحليل التكلفة والسعر'!$B$2:$B$700,0)),0))</f>
        <v/>
      </c>
    </row>
    <row r="10633" customFormat="false" ht="15" hidden="false" customHeight="false" outlineLevel="0" collapsed="false">
      <c r="A10633" s="103"/>
      <c r="B10633" s="104"/>
      <c r="C10633" s="104"/>
      <c r="E10633" s="107" t="str">
        <f aca="false">IF($C10633="","",IFERROR(INDEX(المنيو!$C$2:$C$500,MATCH($C10633,المنيو!$B$2:$B$500,0)),0))</f>
        <v/>
      </c>
      <c r="F10633" s="107" t="str">
        <f aca="false">IF($C10633="","",$D10633*$E10633)</f>
        <v/>
      </c>
      <c r="G10633" s="107" t="str">
        <f aca="false">IF($C10633="","",$D10633*IFERROR(INDEX('تحليل التكلفة والسعر'!$C$2:$C$700,MATCH($C10633,'تحليل التكلفة والسعر'!$B$2:$B$700,0)),0))</f>
        <v/>
      </c>
    </row>
    <row r="10634" customFormat="false" ht="15" hidden="false" customHeight="false" outlineLevel="0" collapsed="false">
      <c r="A10634" s="103"/>
      <c r="B10634" s="104"/>
      <c r="C10634" s="104"/>
      <c r="E10634" s="107" t="str">
        <f aca="false">IF($C10634="","",IFERROR(INDEX(المنيو!$C$2:$C$500,MATCH($C10634,المنيو!$B$2:$B$500,0)),0))</f>
        <v/>
      </c>
      <c r="F10634" s="107" t="str">
        <f aca="false">IF($C10634="","",$D10634*$E10634)</f>
        <v/>
      </c>
      <c r="G10634" s="107" t="str">
        <f aca="false">IF($C10634="","",$D10634*IFERROR(INDEX('تحليل التكلفة والسعر'!$C$2:$C$700,MATCH($C10634,'تحليل التكلفة والسعر'!$B$2:$B$700,0)),0))</f>
        <v/>
      </c>
    </row>
    <row r="10635" customFormat="false" ht="15" hidden="false" customHeight="false" outlineLevel="0" collapsed="false">
      <c r="A10635" s="103"/>
      <c r="B10635" s="104"/>
      <c r="C10635" s="104"/>
      <c r="E10635" s="107" t="str">
        <f aca="false">IF($C10635="","",IFERROR(INDEX(المنيو!$C$2:$C$500,MATCH($C10635,المنيو!$B$2:$B$500,0)),0))</f>
        <v/>
      </c>
      <c r="F10635" s="107" t="str">
        <f aca="false">IF($C10635="","",$D10635*$E10635)</f>
        <v/>
      </c>
      <c r="G10635" s="107" t="str">
        <f aca="false">IF($C10635="","",$D10635*IFERROR(INDEX('تحليل التكلفة والسعر'!$C$2:$C$700,MATCH($C10635,'تحليل التكلفة والسعر'!$B$2:$B$700,0)),0))</f>
        <v/>
      </c>
    </row>
    <row r="10636" customFormat="false" ht="15" hidden="false" customHeight="false" outlineLevel="0" collapsed="false">
      <c r="A10636" s="103"/>
      <c r="B10636" s="104"/>
      <c r="C10636" s="104"/>
      <c r="E10636" s="107" t="str">
        <f aca="false">IF($C10636="","",IFERROR(INDEX(المنيو!$C$2:$C$500,MATCH($C10636,المنيو!$B$2:$B$500,0)),0))</f>
        <v/>
      </c>
      <c r="F10636" s="107" t="str">
        <f aca="false">IF($C10636="","",$D10636*$E10636)</f>
        <v/>
      </c>
      <c r="G10636" s="107" t="str">
        <f aca="false">IF($C10636="","",$D10636*IFERROR(INDEX('تحليل التكلفة والسعر'!$C$2:$C$700,MATCH($C10636,'تحليل التكلفة والسعر'!$B$2:$B$700,0)),0))</f>
        <v/>
      </c>
    </row>
    <row r="10637" customFormat="false" ht="15" hidden="false" customHeight="false" outlineLevel="0" collapsed="false">
      <c r="A10637" s="103"/>
      <c r="B10637" s="104"/>
      <c r="C10637" s="104"/>
      <c r="E10637" s="107" t="str">
        <f aca="false">IF($C10637="","",IFERROR(INDEX(المنيو!$C$2:$C$500,MATCH($C10637,المنيو!$B$2:$B$500,0)),0))</f>
        <v/>
      </c>
      <c r="F10637" s="107" t="str">
        <f aca="false">IF($C10637="","",$D10637*$E10637)</f>
        <v/>
      </c>
      <c r="G10637" s="107" t="str">
        <f aca="false">IF($C10637="","",$D10637*IFERROR(INDEX('تحليل التكلفة والسعر'!$C$2:$C$700,MATCH($C10637,'تحليل التكلفة والسعر'!$B$2:$B$700,0)),0))</f>
        <v/>
      </c>
    </row>
    <row r="10638" customFormat="false" ht="15" hidden="false" customHeight="false" outlineLevel="0" collapsed="false">
      <c r="A10638" s="103"/>
      <c r="B10638" s="104"/>
      <c r="C10638" s="104"/>
      <c r="E10638" s="107" t="str">
        <f aca="false">IF($C10638="","",IFERROR(INDEX(المنيو!$C$2:$C$500,MATCH($C10638,المنيو!$B$2:$B$500,0)),0))</f>
        <v/>
      </c>
      <c r="F10638" s="107" t="str">
        <f aca="false">IF($C10638="","",$D10638*$E10638)</f>
        <v/>
      </c>
      <c r="G10638" s="107" t="str">
        <f aca="false">IF($C10638="","",$D10638*IFERROR(INDEX('تحليل التكلفة والسعر'!$C$2:$C$700,MATCH($C10638,'تحليل التكلفة والسعر'!$B$2:$B$700,0)),0))</f>
        <v/>
      </c>
    </row>
    <row r="10639" customFormat="false" ht="15" hidden="false" customHeight="false" outlineLevel="0" collapsed="false">
      <c r="A10639" s="103"/>
      <c r="B10639" s="104"/>
      <c r="C10639" s="104"/>
      <c r="E10639" s="107" t="str">
        <f aca="false">IF($C10639="","",IFERROR(INDEX(المنيو!$C$2:$C$500,MATCH($C10639,المنيو!$B$2:$B$500,0)),0))</f>
        <v/>
      </c>
      <c r="F10639" s="107" t="str">
        <f aca="false">IF($C10639="","",$D10639*$E10639)</f>
        <v/>
      </c>
      <c r="G10639" s="107" t="str">
        <f aca="false">IF($C10639="","",$D10639*IFERROR(INDEX('تحليل التكلفة والسعر'!$C$2:$C$700,MATCH($C10639,'تحليل التكلفة والسعر'!$B$2:$B$700,0)),0))</f>
        <v/>
      </c>
    </row>
    <row r="10640" customFormat="false" ht="15" hidden="false" customHeight="false" outlineLevel="0" collapsed="false">
      <c r="A10640" s="103"/>
      <c r="B10640" s="104"/>
      <c r="C10640" s="104"/>
      <c r="E10640" s="107" t="str">
        <f aca="false">IF($C10640="","",IFERROR(INDEX(المنيو!$C$2:$C$500,MATCH($C10640,المنيو!$B$2:$B$500,0)),0))</f>
        <v/>
      </c>
      <c r="F10640" s="107" t="str">
        <f aca="false">IF($C10640="","",$D10640*$E10640)</f>
        <v/>
      </c>
      <c r="G10640" s="107" t="str">
        <f aca="false">IF($C10640="","",$D10640*IFERROR(INDEX('تحليل التكلفة والسعر'!$C$2:$C$700,MATCH($C10640,'تحليل التكلفة والسعر'!$B$2:$B$700,0)),0))</f>
        <v/>
      </c>
    </row>
    <row r="10641" customFormat="false" ht="15" hidden="false" customHeight="false" outlineLevel="0" collapsed="false">
      <c r="A10641" s="103"/>
      <c r="B10641" s="104"/>
      <c r="C10641" s="104"/>
      <c r="E10641" s="107" t="str">
        <f aca="false">IF($C10641="","",IFERROR(INDEX(المنيو!$C$2:$C$500,MATCH($C10641,المنيو!$B$2:$B$500,0)),0))</f>
        <v/>
      </c>
      <c r="F10641" s="107" t="str">
        <f aca="false">IF($C10641="","",$D10641*$E10641)</f>
        <v/>
      </c>
      <c r="G10641" s="107" t="str">
        <f aca="false">IF($C10641="","",$D10641*IFERROR(INDEX('تحليل التكلفة والسعر'!$C$2:$C$700,MATCH($C10641,'تحليل التكلفة والسعر'!$B$2:$B$700,0)),0))</f>
        <v/>
      </c>
    </row>
    <row r="10642" customFormat="false" ht="15" hidden="false" customHeight="false" outlineLevel="0" collapsed="false">
      <c r="A10642" s="103"/>
      <c r="B10642" s="104"/>
      <c r="C10642" s="104"/>
      <c r="E10642" s="107" t="str">
        <f aca="false">IF($C10642="","",IFERROR(INDEX(المنيو!$C$2:$C$500,MATCH($C10642,المنيو!$B$2:$B$500,0)),0))</f>
        <v/>
      </c>
      <c r="F10642" s="107" t="str">
        <f aca="false">IF($C10642="","",$D10642*$E10642)</f>
        <v/>
      </c>
      <c r="G10642" s="107" t="str">
        <f aca="false">IF($C10642="","",$D10642*IFERROR(INDEX('تحليل التكلفة والسعر'!$C$2:$C$700,MATCH($C10642,'تحليل التكلفة والسعر'!$B$2:$B$700,0)),0))</f>
        <v/>
      </c>
    </row>
    <row r="10643" customFormat="false" ht="15" hidden="false" customHeight="false" outlineLevel="0" collapsed="false">
      <c r="A10643" s="103"/>
      <c r="B10643" s="104"/>
      <c r="C10643" s="104"/>
      <c r="E10643" s="107" t="str">
        <f aca="false">IF($C10643="","",IFERROR(INDEX(المنيو!$C$2:$C$500,MATCH($C10643,المنيو!$B$2:$B$500,0)),0))</f>
        <v/>
      </c>
      <c r="F10643" s="107" t="str">
        <f aca="false">IF($C10643="","",$D10643*$E10643)</f>
        <v/>
      </c>
      <c r="G10643" s="107" t="str">
        <f aca="false">IF($C10643="","",$D10643*IFERROR(INDEX('تحليل التكلفة والسعر'!$C$2:$C$700,MATCH($C10643,'تحليل التكلفة والسعر'!$B$2:$B$700,0)),0))</f>
        <v/>
      </c>
    </row>
    <row r="10644" customFormat="false" ht="15" hidden="false" customHeight="false" outlineLevel="0" collapsed="false">
      <c r="A10644" s="103"/>
      <c r="B10644" s="104"/>
      <c r="C10644" s="104"/>
      <c r="E10644" s="107" t="str">
        <f aca="false">IF($C10644="","",IFERROR(INDEX(المنيو!$C$2:$C$500,MATCH($C10644,المنيو!$B$2:$B$500,0)),0))</f>
        <v/>
      </c>
      <c r="F10644" s="107" t="str">
        <f aca="false">IF($C10644="","",$D10644*$E10644)</f>
        <v/>
      </c>
      <c r="G10644" s="107" t="str">
        <f aca="false">IF($C10644="","",$D10644*IFERROR(INDEX('تحليل التكلفة والسعر'!$C$2:$C$700,MATCH($C10644,'تحليل التكلفة والسعر'!$B$2:$B$700,0)),0))</f>
        <v/>
      </c>
    </row>
    <row r="10645" customFormat="false" ht="15" hidden="false" customHeight="false" outlineLevel="0" collapsed="false">
      <c r="A10645" s="103"/>
      <c r="B10645" s="104"/>
      <c r="C10645" s="104"/>
      <c r="E10645" s="107" t="str">
        <f aca="false">IF($C10645="","",IFERROR(INDEX(المنيو!$C$2:$C$500,MATCH($C10645,المنيو!$B$2:$B$500,0)),0))</f>
        <v/>
      </c>
      <c r="F10645" s="107" t="str">
        <f aca="false">IF($C10645="","",$D10645*$E10645)</f>
        <v/>
      </c>
      <c r="G10645" s="107" t="str">
        <f aca="false">IF($C10645="","",$D10645*IFERROR(INDEX('تحليل التكلفة والسعر'!$C$2:$C$700,MATCH($C10645,'تحليل التكلفة والسعر'!$B$2:$B$700,0)),0))</f>
        <v/>
      </c>
    </row>
    <row r="10646" customFormat="false" ht="15" hidden="false" customHeight="false" outlineLevel="0" collapsed="false">
      <c r="A10646" s="103"/>
      <c r="B10646" s="104"/>
      <c r="C10646" s="104"/>
      <c r="E10646" s="107" t="str">
        <f aca="false">IF($C10646="","",IFERROR(INDEX(المنيو!$C$2:$C$500,MATCH($C10646,المنيو!$B$2:$B$500,0)),0))</f>
        <v/>
      </c>
      <c r="F10646" s="107" t="str">
        <f aca="false">IF($C10646="","",$D10646*$E10646)</f>
        <v/>
      </c>
      <c r="G10646" s="107" t="str">
        <f aca="false">IF($C10646="","",$D10646*IFERROR(INDEX('تحليل التكلفة والسعر'!$C$2:$C$700,MATCH($C10646,'تحليل التكلفة والسعر'!$B$2:$B$700,0)),0))</f>
        <v/>
      </c>
    </row>
    <row r="10647" customFormat="false" ht="15" hidden="false" customHeight="false" outlineLevel="0" collapsed="false">
      <c r="A10647" s="103"/>
      <c r="B10647" s="104"/>
      <c r="C10647" s="104"/>
      <c r="E10647" s="107" t="str">
        <f aca="false">IF($C10647="","",IFERROR(INDEX(المنيو!$C$2:$C$500,MATCH($C10647,المنيو!$B$2:$B$500,0)),0))</f>
        <v/>
      </c>
      <c r="F10647" s="107" t="str">
        <f aca="false">IF($C10647="","",$D10647*$E10647)</f>
        <v/>
      </c>
      <c r="G10647" s="107" t="str">
        <f aca="false">IF($C10647="","",$D10647*IFERROR(INDEX('تحليل التكلفة والسعر'!$C$2:$C$700,MATCH($C10647,'تحليل التكلفة والسعر'!$B$2:$B$700,0)),0))</f>
        <v/>
      </c>
    </row>
    <row r="10648" customFormat="false" ht="15" hidden="false" customHeight="false" outlineLevel="0" collapsed="false">
      <c r="A10648" s="103"/>
      <c r="B10648" s="104"/>
      <c r="C10648" s="104"/>
      <c r="E10648" s="107" t="str">
        <f aca="false">IF($C10648="","",IFERROR(INDEX(المنيو!$C$2:$C$500,MATCH($C10648,المنيو!$B$2:$B$500,0)),0))</f>
        <v/>
      </c>
      <c r="F10648" s="107" t="str">
        <f aca="false">IF($C10648="","",$D10648*$E10648)</f>
        <v/>
      </c>
      <c r="G10648" s="107" t="str">
        <f aca="false">IF($C10648="","",$D10648*IFERROR(INDEX('تحليل التكلفة والسعر'!$C$2:$C$700,MATCH($C10648,'تحليل التكلفة والسعر'!$B$2:$B$700,0)),0))</f>
        <v/>
      </c>
    </row>
    <row r="10649" customFormat="false" ht="15" hidden="false" customHeight="false" outlineLevel="0" collapsed="false">
      <c r="A10649" s="103"/>
      <c r="B10649" s="104"/>
      <c r="C10649" s="104"/>
      <c r="E10649" s="107" t="str">
        <f aca="false">IF($C10649="","",IFERROR(INDEX(المنيو!$C$2:$C$500,MATCH($C10649,المنيو!$B$2:$B$500,0)),0))</f>
        <v/>
      </c>
      <c r="F10649" s="107" t="str">
        <f aca="false">IF($C10649="","",$D10649*$E10649)</f>
        <v/>
      </c>
      <c r="G10649" s="107" t="str">
        <f aca="false">IF($C10649="","",$D10649*IFERROR(INDEX('تحليل التكلفة والسعر'!$C$2:$C$700,MATCH($C10649,'تحليل التكلفة والسعر'!$B$2:$B$700,0)),0))</f>
        <v/>
      </c>
    </row>
    <row r="10650" customFormat="false" ht="15" hidden="false" customHeight="false" outlineLevel="0" collapsed="false">
      <c r="A10650" s="103"/>
      <c r="B10650" s="104"/>
      <c r="C10650" s="104"/>
      <c r="E10650" s="107" t="str">
        <f aca="false">IF($C10650="","",IFERROR(INDEX(المنيو!$C$2:$C$500,MATCH($C10650,المنيو!$B$2:$B$500,0)),0))</f>
        <v/>
      </c>
      <c r="F10650" s="107" t="str">
        <f aca="false">IF($C10650="","",$D10650*$E10650)</f>
        <v/>
      </c>
      <c r="G10650" s="107" t="str">
        <f aca="false">IF($C10650="","",$D10650*IFERROR(INDEX('تحليل التكلفة والسعر'!$C$2:$C$700,MATCH($C10650,'تحليل التكلفة والسعر'!$B$2:$B$700,0)),0))</f>
        <v/>
      </c>
    </row>
    <row r="10651" customFormat="false" ht="15" hidden="false" customHeight="false" outlineLevel="0" collapsed="false">
      <c r="A10651" s="103"/>
      <c r="B10651" s="104"/>
      <c r="C10651" s="104"/>
      <c r="E10651" s="107" t="str">
        <f aca="false">IF($C10651="","",IFERROR(INDEX(المنيو!$C$2:$C$500,MATCH($C10651,المنيو!$B$2:$B$500,0)),0))</f>
        <v/>
      </c>
      <c r="F10651" s="107" t="str">
        <f aca="false">IF($C10651="","",$D10651*$E10651)</f>
        <v/>
      </c>
      <c r="G10651" s="107" t="str">
        <f aca="false">IF($C10651="","",$D10651*IFERROR(INDEX('تحليل التكلفة والسعر'!$C$2:$C$700,MATCH($C10651,'تحليل التكلفة والسعر'!$B$2:$B$700,0)),0))</f>
        <v/>
      </c>
    </row>
    <row r="10652" customFormat="false" ht="15" hidden="false" customHeight="false" outlineLevel="0" collapsed="false">
      <c r="A10652" s="103"/>
      <c r="B10652" s="104"/>
      <c r="C10652" s="104"/>
      <c r="E10652" s="107" t="str">
        <f aca="false">IF($C10652="","",IFERROR(INDEX(المنيو!$C$2:$C$500,MATCH($C10652,المنيو!$B$2:$B$500,0)),0))</f>
        <v/>
      </c>
      <c r="F10652" s="107" t="str">
        <f aca="false">IF($C10652="","",$D10652*$E10652)</f>
        <v/>
      </c>
      <c r="G10652" s="107" t="str">
        <f aca="false">IF($C10652="","",$D10652*IFERROR(INDEX('تحليل التكلفة والسعر'!$C$2:$C$700,MATCH($C10652,'تحليل التكلفة والسعر'!$B$2:$B$700,0)),0))</f>
        <v/>
      </c>
    </row>
    <row r="10653" customFormat="false" ht="15" hidden="false" customHeight="false" outlineLevel="0" collapsed="false">
      <c r="A10653" s="103"/>
      <c r="B10653" s="104"/>
      <c r="C10653" s="104"/>
      <c r="E10653" s="107" t="str">
        <f aca="false">IF($C10653="","",IFERROR(INDEX(المنيو!$C$2:$C$500,MATCH($C10653,المنيو!$B$2:$B$500,0)),0))</f>
        <v/>
      </c>
      <c r="F10653" s="107" t="str">
        <f aca="false">IF($C10653="","",$D10653*$E10653)</f>
        <v/>
      </c>
      <c r="G10653" s="107" t="str">
        <f aca="false">IF($C10653="","",$D10653*IFERROR(INDEX('تحليل التكلفة والسعر'!$C$2:$C$700,MATCH($C10653,'تحليل التكلفة والسعر'!$B$2:$B$700,0)),0))</f>
        <v/>
      </c>
    </row>
    <row r="10654" customFormat="false" ht="15" hidden="false" customHeight="false" outlineLevel="0" collapsed="false">
      <c r="A10654" s="103"/>
      <c r="B10654" s="104"/>
      <c r="C10654" s="104"/>
      <c r="E10654" s="107" t="str">
        <f aca="false">IF($C10654="","",IFERROR(INDEX(المنيو!$C$2:$C$500,MATCH($C10654,المنيو!$B$2:$B$500,0)),0))</f>
        <v/>
      </c>
      <c r="F10654" s="107" t="str">
        <f aca="false">IF($C10654="","",$D10654*$E10654)</f>
        <v/>
      </c>
      <c r="G10654" s="107" t="str">
        <f aca="false">IF($C10654="","",$D10654*IFERROR(INDEX('تحليل التكلفة والسعر'!$C$2:$C$700,MATCH($C10654,'تحليل التكلفة والسعر'!$B$2:$B$700,0)),0))</f>
        <v/>
      </c>
    </row>
    <row r="10655" customFormat="false" ht="15" hidden="false" customHeight="false" outlineLevel="0" collapsed="false">
      <c r="A10655" s="103"/>
      <c r="B10655" s="104"/>
      <c r="C10655" s="104"/>
      <c r="E10655" s="107" t="str">
        <f aca="false">IF($C10655="","",IFERROR(INDEX(المنيو!$C$2:$C$500,MATCH($C10655,المنيو!$B$2:$B$500,0)),0))</f>
        <v/>
      </c>
      <c r="F10655" s="107" t="str">
        <f aca="false">IF($C10655="","",$D10655*$E10655)</f>
        <v/>
      </c>
      <c r="G10655" s="107" t="str">
        <f aca="false">IF($C10655="","",$D10655*IFERROR(INDEX('تحليل التكلفة والسعر'!$C$2:$C$700,MATCH($C10655,'تحليل التكلفة والسعر'!$B$2:$B$700,0)),0))</f>
        <v/>
      </c>
    </row>
    <row r="10656" customFormat="false" ht="15" hidden="false" customHeight="false" outlineLevel="0" collapsed="false">
      <c r="A10656" s="103"/>
      <c r="B10656" s="104"/>
      <c r="C10656" s="104"/>
      <c r="E10656" s="107" t="str">
        <f aca="false">IF($C10656="","",IFERROR(INDEX(المنيو!$C$2:$C$500,MATCH($C10656,المنيو!$B$2:$B$500,0)),0))</f>
        <v/>
      </c>
      <c r="F10656" s="107" t="str">
        <f aca="false">IF($C10656="","",$D10656*$E10656)</f>
        <v/>
      </c>
      <c r="G10656" s="107" t="str">
        <f aca="false">IF($C10656="","",$D10656*IFERROR(INDEX('تحليل التكلفة والسعر'!$C$2:$C$700,MATCH($C10656,'تحليل التكلفة والسعر'!$B$2:$B$700,0)),0))</f>
        <v/>
      </c>
    </row>
    <row r="10657" customFormat="false" ht="15" hidden="false" customHeight="false" outlineLevel="0" collapsed="false">
      <c r="A10657" s="103"/>
      <c r="B10657" s="104"/>
      <c r="C10657" s="104"/>
      <c r="E10657" s="107" t="str">
        <f aca="false">IF($C10657="","",IFERROR(INDEX(المنيو!$C$2:$C$500,MATCH($C10657,المنيو!$B$2:$B$500,0)),0))</f>
        <v/>
      </c>
      <c r="F10657" s="107" t="str">
        <f aca="false">IF($C10657="","",$D10657*$E10657)</f>
        <v/>
      </c>
      <c r="G10657" s="107" t="str">
        <f aca="false">IF($C10657="","",$D10657*IFERROR(INDEX('تحليل التكلفة والسعر'!$C$2:$C$700,MATCH($C10657,'تحليل التكلفة والسعر'!$B$2:$B$700,0)),0))</f>
        <v/>
      </c>
    </row>
    <row r="10658" customFormat="false" ht="15" hidden="false" customHeight="false" outlineLevel="0" collapsed="false">
      <c r="A10658" s="103"/>
      <c r="B10658" s="104"/>
      <c r="C10658" s="104"/>
      <c r="E10658" s="107" t="str">
        <f aca="false">IF($C10658="","",IFERROR(INDEX(المنيو!$C$2:$C$500,MATCH($C10658,المنيو!$B$2:$B$500,0)),0))</f>
        <v/>
      </c>
      <c r="F10658" s="107" t="str">
        <f aca="false">IF($C10658="","",$D10658*$E10658)</f>
        <v/>
      </c>
      <c r="G10658" s="107" t="str">
        <f aca="false">IF($C10658="","",$D10658*IFERROR(INDEX('تحليل التكلفة والسعر'!$C$2:$C$700,MATCH($C10658,'تحليل التكلفة والسعر'!$B$2:$B$700,0)),0))</f>
        <v/>
      </c>
    </row>
    <row r="10659" customFormat="false" ht="15" hidden="false" customHeight="false" outlineLevel="0" collapsed="false">
      <c r="A10659" s="103"/>
      <c r="B10659" s="104"/>
      <c r="C10659" s="104"/>
      <c r="E10659" s="107" t="str">
        <f aca="false">IF($C10659="","",IFERROR(INDEX(المنيو!$C$2:$C$500,MATCH($C10659,المنيو!$B$2:$B$500,0)),0))</f>
        <v/>
      </c>
      <c r="F10659" s="107" t="str">
        <f aca="false">IF($C10659="","",$D10659*$E10659)</f>
        <v/>
      </c>
      <c r="G10659" s="107" t="str">
        <f aca="false">IF($C10659="","",$D10659*IFERROR(INDEX('تحليل التكلفة والسعر'!$C$2:$C$700,MATCH($C10659,'تحليل التكلفة والسعر'!$B$2:$B$700,0)),0))</f>
        <v/>
      </c>
    </row>
    <row r="10660" customFormat="false" ht="15" hidden="false" customHeight="false" outlineLevel="0" collapsed="false">
      <c r="A10660" s="103"/>
      <c r="B10660" s="104"/>
      <c r="C10660" s="104"/>
      <c r="E10660" s="107" t="str">
        <f aca="false">IF($C10660="","",IFERROR(INDEX(المنيو!$C$2:$C$500,MATCH($C10660,المنيو!$B$2:$B$500,0)),0))</f>
        <v/>
      </c>
      <c r="F10660" s="107" t="str">
        <f aca="false">IF($C10660="","",$D10660*$E10660)</f>
        <v/>
      </c>
      <c r="G10660" s="107" t="str">
        <f aca="false">IF($C10660="","",$D10660*IFERROR(INDEX('تحليل التكلفة والسعر'!$C$2:$C$700,MATCH($C10660,'تحليل التكلفة والسعر'!$B$2:$B$700,0)),0))</f>
        <v/>
      </c>
    </row>
    <row r="10661" customFormat="false" ht="15" hidden="false" customHeight="false" outlineLevel="0" collapsed="false">
      <c r="A10661" s="103"/>
      <c r="B10661" s="104"/>
      <c r="C10661" s="104"/>
      <c r="E10661" s="107" t="str">
        <f aca="false">IF($C10661="","",IFERROR(INDEX(المنيو!$C$2:$C$500,MATCH($C10661,المنيو!$B$2:$B$500,0)),0))</f>
        <v/>
      </c>
      <c r="F10661" s="107" t="str">
        <f aca="false">IF($C10661="","",$D10661*$E10661)</f>
        <v/>
      </c>
      <c r="G10661" s="107" t="str">
        <f aca="false">IF($C10661="","",$D10661*IFERROR(INDEX('تحليل التكلفة والسعر'!$C$2:$C$700,MATCH($C10661,'تحليل التكلفة والسعر'!$B$2:$B$700,0)),0))</f>
        <v/>
      </c>
    </row>
    <row r="10662" customFormat="false" ht="15" hidden="false" customHeight="false" outlineLevel="0" collapsed="false">
      <c r="A10662" s="103"/>
      <c r="B10662" s="104"/>
      <c r="C10662" s="104"/>
      <c r="E10662" s="107" t="str">
        <f aca="false">IF($C10662="","",IFERROR(INDEX(المنيو!$C$2:$C$500,MATCH($C10662,المنيو!$B$2:$B$500,0)),0))</f>
        <v/>
      </c>
      <c r="F10662" s="107" t="str">
        <f aca="false">IF($C10662="","",$D10662*$E10662)</f>
        <v/>
      </c>
      <c r="G10662" s="107" t="str">
        <f aca="false">IF($C10662="","",$D10662*IFERROR(INDEX('تحليل التكلفة والسعر'!$C$2:$C$700,MATCH($C10662,'تحليل التكلفة والسعر'!$B$2:$B$700,0)),0))</f>
        <v/>
      </c>
    </row>
    <row r="10663" customFormat="false" ht="15" hidden="false" customHeight="false" outlineLevel="0" collapsed="false">
      <c r="A10663" s="103"/>
      <c r="B10663" s="104"/>
      <c r="C10663" s="104"/>
      <c r="E10663" s="107" t="str">
        <f aca="false">IF($C10663="","",IFERROR(INDEX(المنيو!$C$2:$C$500,MATCH($C10663,المنيو!$B$2:$B$500,0)),0))</f>
        <v/>
      </c>
      <c r="F10663" s="107" t="str">
        <f aca="false">IF($C10663="","",$D10663*$E10663)</f>
        <v/>
      </c>
      <c r="G10663" s="107" t="str">
        <f aca="false">IF($C10663="","",$D10663*IFERROR(INDEX('تحليل التكلفة والسعر'!$C$2:$C$700,MATCH($C10663,'تحليل التكلفة والسعر'!$B$2:$B$700,0)),0))</f>
        <v/>
      </c>
    </row>
    <row r="10664" customFormat="false" ht="15" hidden="false" customHeight="false" outlineLevel="0" collapsed="false">
      <c r="A10664" s="103"/>
      <c r="B10664" s="104"/>
      <c r="C10664" s="104"/>
      <c r="E10664" s="107" t="str">
        <f aca="false">IF($C10664="","",IFERROR(INDEX(المنيو!$C$2:$C$500,MATCH($C10664,المنيو!$B$2:$B$500,0)),0))</f>
        <v/>
      </c>
      <c r="F10664" s="107" t="str">
        <f aca="false">IF($C10664="","",$D10664*$E10664)</f>
        <v/>
      </c>
      <c r="G10664" s="107" t="str">
        <f aca="false">IF($C10664="","",$D10664*IFERROR(INDEX('تحليل التكلفة والسعر'!$C$2:$C$700,MATCH($C10664,'تحليل التكلفة والسعر'!$B$2:$B$700,0)),0))</f>
        <v/>
      </c>
    </row>
    <row r="10665" customFormat="false" ht="15" hidden="false" customHeight="false" outlineLevel="0" collapsed="false">
      <c r="A10665" s="103"/>
      <c r="B10665" s="104"/>
      <c r="C10665" s="104"/>
      <c r="E10665" s="107" t="str">
        <f aca="false">IF($C10665="","",IFERROR(INDEX(المنيو!$C$2:$C$500,MATCH($C10665,المنيو!$B$2:$B$500,0)),0))</f>
        <v/>
      </c>
      <c r="F10665" s="107" t="str">
        <f aca="false">IF($C10665="","",$D10665*$E10665)</f>
        <v/>
      </c>
      <c r="G10665" s="107" t="str">
        <f aca="false">IF($C10665="","",$D10665*IFERROR(INDEX('تحليل التكلفة والسعر'!$C$2:$C$700,MATCH($C10665,'تحليل التكلفة والسعر'!$B$2:$B$700,0)),0))</f>
        <v/>
      </c>
    </row>
    <row r="10666" customFormat="false" ht="15" hidden="false" customHeight="false" outlineLevel="0" collapsed="false">
      <c r="A10666" s="103"/>
      <c r="B10666" s="104"/>
      <c r="C10666" s="104"/>
      <c r="E10666" s="107" t="str">
        <f aca="false">IF($C10666="","",IFERROR(INDEX(المنيو!$C$2:$C$500,MATCH($C10666,المنيو!$B$2:$B$500,0)),0))</f>
        <v/>
      </c>
      <c r="F10666" s="107" t="str">
        <f aca="false">IF($C10666="","",$D10666*$E10666)</f>
        <v/>
      </c>
      <c r="G10666" s="107" t="str">
        <f aca="false">IF($C10666="","",$D10666*IFERROR(INDEX('تحليل التكلفة والسعر'!$C$2:$C$700,MATCH($C10666,'تحليل التكلفة والسعر'!$B$2:$B$700,0)),0))</f>
        <v/>
      </c>
    </row>
    <row r="10667" customFormat="false" ht="15" hidden="false" customHeight="false" outlineLevel="0" collapsed="false">
      <c r="A10667" s="103"/>
      <c r="B10667" s="104"/>
      <c r="C10667" s="104"/>
      <c r="E10667" s="107" t="str">
        <f aca="false">IF($C10667="","",IFERROR(INDEX(المنيو!$C$2:$C$500,MATCH($C10667,المنيو!$B$2:$B$500,0)),0))</f>
        <v/>
      </c>
      <c r="F10667" s="107" t="str">
        <f aca="false">IF($C10667="","",$D10667*$E10667)</f>
        <v/>
      </c>
      <c r="G10667" s="107" t="str">
        <f aca="false">IF($C10667="","",$D10667*IFERROR(INDEX('تحليل التكلفة والسعر'!$C$2:$C$700,MATCH($C10667,'تحليل التكلفة والسعر'!$B$2:$B$700,0)),0))</f>
        <v/>
      </c>
    </row>
    <row r="10668" customFormat="false" ht="15" hidden="false" customHeight="false" outlineLevel="0" collapsed="false">
      <c r="A10668" s="103"/>
      <c r="B10668" s="104"/>
      <c r="C10668" s="104"/>
      <c r="E10668" s="107" t="str">
        <f aca="false">IF($C10668="","",IFERROR(INDEX(المنيو!$C$2:$C$500,MATCH($C10668,المنيو!$B$2:$B$500,0)),0))</f>
        <v/>
      </c>
      <c r="F10668" s="107" t="str">
        <f aca="false">IF($C10668="","",$D10668*$E10668)</f>
        <v/>
      </c>
      <c r="G10668" s="107" t="str">
        <f aca="false">IF($C10668="","",$D10668*IFERROR(INDEX('تحليل التكلفة والسعر'!$C$2:$C$700,MATCH($C10668,'تحليل التكلفة والسعر'!$B$2:$B$700,0)),0))</f>
        <v/>
      </c>
    </row>
    <row r="10669" customFormat="false" ht="15" hidden="false" customHeight="false" outlineLevel="0" collapsed="false">
      <c r="A10669" s="103"/>
      <c r="B10669" s="104"/>
      <c r="C10669" s="104"/>
      <c r="E10669" s="107" t="str">
        <f aca="false">IF($C10669="","",IFERROR(INDEX(المنيو!$C$2:$C$500,MATCH($C10669,المنيو!$B$2:$B$500,0)),0))</f>
        <v/>
      </c>
      <c r="F10669" s="107" t="str">
        <f aca="false">IF($C10669="","",$D10669*$E10669)</f>
        <v/>
      </c>
      <c r="G10669" s="107" t="str">
        <f aca="false">IF($C10669="","",$D10669*IFERROR(INDEX('تحليل التكلفة والسعر'!$C$2:$C$700,MATCH($C10669,'تحليل التكلفة والسعر'!$B$2:$B$700,0)),0))</f>
        <v/>
      </c>
    </row>
    <row r="10670" customFormat="false" ht="15" hidden="false" customHeight="false" outlineLevel="0" collapsed="false">
      <c r="A10670" s="103"/>
      <c r="B10670" s="104"/>
      <c r="C10670" s="104"/>
      <c r="E10670" s="107" t="str">
        <f aca="false">IF($C10670="","",IFERROR(INDEX(المنيو!$C$2:$C$500,MATCH($C10670,المنيو!$B$2:$B$500,0)),0))</f>
        <v/>
      </c>
      <c r="F10670" s="107" t="str">
        <f aca="false">IF($C10670="","",$D10670*$E10670)</f>
        <v/>
      </c>
      <c r="G10670" s="107" t="str">
        <f aca="false">IF($C10670="","",$D10670*IFERROR(INDEX('تحليل التكلفة والسعر'!$C$2:$C$700,MATCH($C10670,'تحليل التكلفة والسعر'!$B$2:$B$700,0)),0))</f>
        <v/>
      </c>
    </row>
    <row r="10671" customFormat="false" ht="15" hidden="false" customHeight="false" outlineLevel="0" collapsed="false">
      <c r="A10671" s="103"/>
      <c r="B10671" s="104"/>
      <c r="C10671" s="104"/>
      <c r="E10671" s="107" t="str">
        <f aca="false">IF($C10671="","",IFERROR(INDEX(المنيو!$C$2:$C$500,MATCH($C10671,المنيو!$B$2:$B$500,0)),0))</f>
        <v/>
      </c>
      <c r="F10671" s="107" t="str">
        <f aca="false">IF($C10671="","",$D10671*$E10671)</f>
        <v/>
      </c>
      <c r="G10671" s="107" t="str">
        <f aca="false">IF($C10671="","",$D10671*IFERROR(INDEX('تحليل التكلفة والسعر'!$C$2:$C$700,MATCH($C10671,'تحليل التكلفة والسعر'!$B$2:$B$700,0)),0))</f>
        <v/>
      </c>
    </row>
    <row r="10672" customFormat="false" ht="15" hidden="false" customHeight="false" outlineLevel="0" collapsed="false">
      <c r="A10672" s="103"/>
      <c r="B10672" s="104"/>
      <c r="C10672" s="104"/>
      <c r="E10672" s="107" t="str">
        <f aca="false">IF($C10672="","",IFERROR(INDEX(المنيو!$C$2:$C$500,MATCH($C10672,المنيو!$B$2:$B$500,0)),0))</f>
        <v/>
      </c>
      <c r="F10672" s="107" t="str">
        <f aca="false">IF($C10672="","",$D10672*$E10672)</f>
        <v/>
      </c>
      <c r="G10672" s="107" t="str">
        <f aca="false">IF($C10672="","",$D10672*IFERROR(INDEX('تحليل التكلفة والسعر'!$C$2:$C$700,MATCH($C10672,'تحليل التكلفة والسعر'!$B$2:$B$700,0)),0))</f>
        <v/>
      </c>
    </row>
    <row r="10673" customFormat="false" ht="15" hidden="false" customHeight="false" outlineLevel="0" collapsed="false">
      <c r="A10673" s="103"/>
      <c r="B10673" s="104"/>
      <c r="C10673" s="104"/>
      <c r="E10673" s="107" t="str">
        <f aca="false">IF($C10673="","",IFERROR(INDEX(المنيو!$C$2:$C$500,MATCH($C10673,المنيو!$B$2:$B$500,0)),0))</f>
        <v/>
      </c>
      <c r="F10673" s="107" t="str">
        <f aca="false">IF($C10673="","",$D10673*$E10673)</f>
        <v/>
      </c>
      <c r="G10673" s="107" t="str">
        <f aca="false">IF($C10673="","",$D10673*IFERROR(INDEX('تحليل التكلفة والسعر'!$C$2:$C$700,MATCH($C10673,'تحليل التكلفة والسعر'!$B$2:$B$700,0)),0))</f>
        <v/>
      </c>
    </row>
    <row r="10674" customFormat="false" ht="15" hidden="false" customHeight="false" outlineLevel="0" collapsed="false">
      <c r="A10674" s="103"/>
      <c r="B10674" s="104"/>
      <c r="C10674" s="104"/>
      <c r="E10674" s="107" t="str">
        <f aca="false">IF($C10674="","",IFERROR(INDEX(المنيو!$C$2:$C$500,MATCH($C10674,المنيو!$B$2:$B$500,0)),0))</f>
        <v/>
      </c>
      <c r="F10674" s="107" t="str">
        <f aca="false">IF($C10674="","",$D10674*$E10674)</f>
        <v/>
      </c>
      <c r="G10674" s="107" t="str">
        <f aca="false">IF($C10674="","",$D10674*IFERROR(INDEX('تحليل التكلفة والسعر'!$C$2:$C$700,MATCH($C10674,'تحليل التكلفة والسعر'!$B$2:$B$700,0)),0))</f>
        <v/>
      </c>
    </row>
    <row r="10675" customFormat="false" ht="15" hidden="false" customHeight="false" outlineLevel="0" collapsed="false">
      <c r="A10675" s="103"/>
      <c r="B10675" s="104"/>
      <c r="C10675" s="104"/>
      <c r="E10675" s="107" t="str">
        <f aca="false">IF($C10675="","",IFERROR(INDEX(المنيو!$C$2:$C$500,MATCH($C10675,المنيو!$B$2:$B$500,0)),0))</f>
        <v/>
      </c>
      <c r="F10675" s="107" t="str">
        <f aca="false">IF($C10675="","",$D10675*$E10675)</f>
        <v/>
      </c>
      <c r="G10675" s="107" t="str">
        <f aca="false">IF($C10675="","",$D10675*IFERROR(INDEX('تحليل التكلفة والسعر'!$C$2:$C$700,MATCH($C10675,'تحليل التكلفة والسعر'!$B$2:$B$700,0)),0))</f>
        <v/>
      </c>
    </row>
    <row r="10676" customFormat="false" ht="15" hidden="false" customHeight="false" outlineLevel="0" collapsed="false">
      <c r="A10676" s="103"/>
      <c r="B10676" s="104"/>
      <c r="C10676" s="104"/>
      <c r="E10676" s="107" t="str">
        <f aca="false">IF($C10676="","",IFERROR(INDEX(المنيو!$C$2:$C$500,MATCH($C10676,المنيو!$B$2:$B$500,0)),0))</f>
        <v/>
      </c>
      <c r="F10676" s="107" t="str">
        <f aca="false">IF($C10676="","",$D10676*$E10676)</f>
        <v/>
      </c>
      <c r="G10676" s="107" t="str">
        <f aca="false">IF($C10676="","",$D10676*IFERROR(INDEX('تحليل التكلفة والسعر'!$C$2:$C$700,MATCH($C10676,'تحليل التكلفة والسعر'!$B$2:$B$700,0)),0))</f>
        <v/>
      </c>
    </row>
    <row r="10677" customFormat="false" ht="15" hidden="false" customHeight="false" outlineLevel="0" collapsed="false">
      <c r="A10677" s="103"/>
      <c r="B10677" s="104"/>
      <c r="C10677" s="104"/>
      <c r="E10677" s="107" t="str">
        <f aca="false">IF($C10677="","",IFERROR(INDEX(المنيو!$C$2:$C$500,MATCH($C10677,المنيو!$B$2:$B$500,0)),0))</f>
        <v/>
      </c>
      <c r="F10677" s="107" t="str">
        <f aca="false">IF($C10677="","",$D10677*$E10677)</f>
        <v/>
      </c>
      <c r="G10677" s="107" t="str">
        <f aca="false">IF($C10677="","",$D10677*IFERROR(INDEX('تحليل التكلفة والسعر'!$C$2:$C$700,MATCH($C10677,'تحليل التكلفة والسعر'!$B$2:$B$700,0)),0))</f>
        <v/>
      </c>
    </row>
    <row r="10678" customFormat="false" ht="15" hidden="false" customHeight="false" outlineLevel="0" collapsed="false">
      <c r="A10678" s="103"/>
      <c r="B10678" s="104"/>
      <c r="C10678" s="104"/>
      <c r="E10678" s="107" t="str">
        <f aca="false">IF($C10678="","",IFERROR(INDEX(المنيو!$C$2:$C$500,MATCH($C10678,المنيو!$B$2:$B$500,0)),0))</f>
        <v/>
      </c>
      <c r="F10678" s="107" t="str">
        <f aca="false">IF($C10678="","",$D10678*$E10678)</f>
        <v/>
      </c>
      <c r="G10678" s="107" t="str">
        <f aca="false">IF($C10678="","",$D10678*IFERROR(INDEX('تحليل التكلفة والسعر'!$C$2:$C$700,MATCH($C10678,'تحليل التكلفة والسعر'!$B$2:$B$700,0)),0))</f>
        <v/>
      </c>
    </row>
    <row r="10679" customFormat="false" ht="15" hidden="false" customHeight="false" outlineLevel="0" collapsed="false">
      <c r="A10679" s="103"/>
      <c r="B10679" s="104"/>
      <c r="C10679" s="104"/>
      <c r="E10679" s="107" t="str">
        <f aca="false">IF($C10679="","",IFERROR(INDEX(المنيو!$C$2:$C$500,MATCH($C10679,المنيو!$B$2:$B$500,0)),0))</f>
        <v/>
      </c>
      <c r="F10679" s="107" t="str">
        <f aca="false">IF($C10679="","",$D10679*$E10679)</f>
        <v/>
      </c>
      <c r="G10679" s="107" t="str">
        <f aca="false">IF($C10679="","",$D10679*IFERROR(INDEX('تحليل التكلفة والسعر'!$C$2:$C$700,MATCH($C10679,'تحليل التكلفة والسعر'!$B$2:$B$700,0)),0))</f>
        <v/>
      </c>
    </row>
    <row r="10680" customFormat="false" ht="15" hidden="false" customHeight="false" outlineLevel="0" collapsed="false">
      <c r="A10680" s="103"/>
      <c r="B10680" s="104"/>
      <c r="C10680" s="104"/>
      <c r="E10680" s="107" t="str">
        <f aca="false">IF($C10680="","",IFERROR(INDEX(المنيو!$C$2:$C$500,MATCH($C10680,المنيو!$B$2:$B$500,0)),0))</f>
        <v/>
      </c>
      <c r="F10680" s="107" t="str">
        <f aca="false">IF($C10680="","",$D10680*$E10680)</f>
        <v/>
      </c>
      <c r="G10680" s="107" t="str">
        <f aca="false">IF($C10680="","",$D10680*IFERROR(INDEX('تحليل التكلفة والسعر'!$C$2:$C$700,MATCH($C10680,'تحليل التكلفة والسعر'!$B$2:$B$700,0)),0))</f>
        <v/>
      </c>
    </row>
    <row r="10681" customFormat="false" ht="15" hidden="false" customHeight="false" outlineLevel="0" collapsed="false">
      <c r="A10681" s="103"/>
      <c r="B10681" s="104"/>
      <c r="C10681" s="104"/>
      <c r="E10681" s="107" t="str">
        <f aca="false">IF($C10681="","",IFERROR(INDEX(المنيو!$C$2:$C$500,MATCH($C10681,المنيو!$B$2:$B$500,0)),0))</f>
        <v/>
      </c>
      <c r="F10681" s="107" t="str">
        <f aca="false">IF($C10681="","",$D10681*$E10681)</f>
        <v/>
      </c>
      <c r="G10681" s="107" t="str">
        <f aca="false">IF($C10681="","",$D10681*IFERROR(INDEX('تحليل التكلفة والسعر'!$C$2:$C$700,MATCH($C10681,'تحليل التكلفة والسعر'!$B$2:$B$700,0)),0))</f>
        <v/>
      </c>
    </row>
    <row r="10682" customFormat="false" ht="15" hidden="false" customHeight="false" outlineLevel="0" collapsed="false">
      <c r="A10682" s="103"/>
      <c r="B10682" s="104"/>
      <c r="C10682" s="104"/>
      <c r="E10682" s="107" t="str">
        <f aca="false">IF($C10682="","",IFERROR(INDEX(المنيو!$C$2:$C$500,MATCH($C10682,المنيو!$B$2:$B$500,0)),0))</f>
        <v/>
      </c>
      <c r="F10682" s="107" t="str">
        <f aca="false">IF($C10682="","",$D10682*$E10682)</f>
        <v/>
      </c>
      <c r="G10682" s="107" t="str">
        <f aca="false">IF($C10682="","",$D10682*IFERROR(INDEX('تحليل التكلفة والسعر'!$C$2:$C$700,MATCH($C10682,'تحليل التكلفة والسعر'!$B$2:$B$700,0)),0))</f>
        <v/>
      </c>
    </row>
    <row r="10683" customFormat="false" ht="15" hidden="false" customHeight="false" outlineLevel="0" collapsed="false">
      <c r="A10683" s="103"/>
      <c r="B10683" s="104"/>
      <c r="C10683" s="104"/>
      <c r="E10683" s="107" t="str">
        <f aca="false">IF($C10683="","",IFERROR(INDEX(المنيو!$C$2:$C$500,MATCH($C10683,المنيو!$B$2:$B$500,0)),0))</f>
        <v/>
      </c>
      <c r="F10683" s="107" t="str">
        <f aca="false">IF($C10683="","",$D10683*$E10683)</f>
        <v/>
      </c>
      <c r="G10683" s="107" t="str">
        <f aca="false">IF($C10683="","",$D10683*IFERROR(INDEX('تحليل التكلفة والسعر'!$C$2:$C$700,MATCH($C10683,'تحليل التكلفة والسعر'!$B$2:$B$700,0)),0))</f>
        <v/>
      </c>
    </row>
    <row r="10684" customFormat="false" ht="15" hidden="false" customHeight="false" outlineLevel="0" collapsed="false">
      <c r="A10684" s="103"/>
      <c r="B10684" s="104"/>
      <c r="C10684" s="104"/>
      <c r="E10684" s="107" t="str">
        <f aca="false">IF($C10684="","",IFERROR(INDEX(المنيو!$C$2:$C$500,MATCH($C10684,المنيو!$B$2:$B$500,0)),0))</f>
        <v/>
      </c>
      <c r="F10684" s="107" t="str">
        <f aca="false">IF($C10684="","",$D10684*$E10684)</f>
        <v/>
      </c>
      <c r="G10684" s="107" t="str">
        <f aca="false">IF($C10684="","",$D10684*IFERROR(INDEX('تحليل التكلفة والسعر'!$C$2:$C$700,MATCH($C10684,'تحليل التكلفة والسعر'!$B$2:$B$700,0)),0))</f>
        <v/>
      </c>
    </row>
    <row r="10685" customFormat="false" ht="15" hidden="false" customHeight="false" outlineLevel="0" collapsed="false">
      <c r="A10685" s="103"/>
      <c r="B10685" s="104"/>
      <c r="C10685" s="104"/>
      <c r="E10685" s="107" t="str">
        <f aca="false">IF($C10685="","",IFERROR(INDEX(المنيو!$C$2:$C$500,MATCH($C10685,المنيو!$B$2:$B$500,0)),0))</f>
        <v/>
      </c>
      <c r="F10685" s="107" t="str">
        <f aca="false">IF($C10685="","",$D10685*$E10685)</f>
        <v/>
      </c>
      <c r="G10685" s="107" t="str">
        <f aca="false">IF($C10685="","",$D10685*IFERROR(INDEX('تحليل التكلفة والسعر'!$C$2:$C$700,MATCH($C10685,'تحليل التكلفة والسعر'!$B$2:$B$700,0)),0))</f>
        <v/>
      </c>
    </row>
    <row r="10686" customFormat="false" ht="15" hidden="false" customHeight="false" outlineLevel="0" collapsed="false">
      <c r="A10686" s="103"/>
      <c r="B10686" s="104"/>
      <c r="C10686" s="104"/>
      <c r="E10686" s="107" t="str">
        <f aca="false">IF($C10686="","",IFERROR(INDEX(المنيو!$C$2:$C$500,MATCH($C10686,المنيو!$B$2:$B$500,0)),0))</f>
        <v/>
      </c>
      <c r="F10686" s="107" t="str">
        <f aca="false">IF($C10686="","",$D10686*$E10686)</f>
        <v/>
      </c>
      <c r="G10686" s="107" t="str">
        <f aca="false">IF($C10686="","",$D10686*IFERROR(INDEX('تحليل التكلفة والسعر'!$C$2:$C$700,MATCH($C10686,'تحليل التكلفة والسعر'!$B$2:$B$700,0)),0))</f>
        <v/>
      </c>
    </row>
    <row r="10687" customFormat="false" ht="15" hidden="false" customHeight="false" outlineLevel="0" collapsed="false">
      <c r="A10687" s="103"/>
      <c r="B10687" s="104"/>
      <c r="C10687" s="104"/>
      <c r="E10687" s="107" t="str">
        <f aca="false">IF($C10687="","",IFERROR(INDEX(المنيو!$C$2:$C$500,MATCH($C10687,المنيو!$B$2:$B$500,0)),0))</f>
        <v/>
      </c>
      <c r="F10687" s="107" t="str">
        <f aca="false">IF($C10687="","",$D10687*$E10687)</f>
        <v/>
      </c>
      <c r="G10687" s="107" t="str">
        <f aca="false">IF($C10687="","",$D10687*IFERROR(INDEX('تحليل التكلفة والسعر'!$C$2:$C$700,MATCH($C10687,'تحليل التكلفة والسعر'!$B$2:$B$700,0)),0))</f>
        <v/>
      </c>
    </row>
    <row r="10688" customFormat="false" ht="15" hidden="false" customHeight="false" outlineLevel="0" collapsed="false">
      <c r="A10688" s="103"/>
      <c r="B10688" s="104"/>
      <c r="C10688" s="104"/>
      <c r="E10688" s="107" t="str">
        <f aca="false">IF($C10688="","",IFERROR(INDEX(المنيو!$C$2:$C$500,MATCH($C10688,المنيو!$B$2:$B$500,0)),0))</f>
        <v/>
      </c>
      <c r="F10688" s="107" t="str">
        <f aca="false">IF($C10688="","",$D10688*$E10688)</f>
        <v/>
      </c>
      <c r="G10688" s="107" t="str">
        <f aca="false">IF($C10688="","",$D10688*IFERROR(INDEX('تحليل التكلفة والسعر'!$C$2:$C$700,MATCH($C10688,'تحليل التكلفة والسعر'!$B$2:$B$700,0)),0))</f>
        <v/>
      </c>
    </row>
    <row r="10689" customFormat="false" ht="15" hidden="false" customHeight="false" outlineLevel="0" collapsed="false">
      <c r="A10689" s="103"/>
      <c r="B10689" s="104"/>
      <c r="C10689" s="104"/>
      <c r="E10689" s="107" t="str">
        <f aca="false">IF($C10689="","",IFERROR(INDEX(المنيو!$C$2:$C$500,MATCH($C10689,المنيو!$B$2:$B$500,0)),0))</f>
        <v/>
      </c>
      <c r="F10689" s="107" t="str">
        <f aca="false">IF($C10689="","",$D10689*$E10689)</f>
        <v/>
      </c>
      <c r="G10689" s="107" t="str">
        <f aca="false">IF($C10689="","",$D10689*IFERROR(INDEX('تحليل التكلفة والسعر'!$C$2:$C$700,MATCH($C10689,'تحليل التكلفة والسعر'!$B$2:$B$700,0)),0))</f>
        <v/>
      </c>
    </row>
    <row r="10690" customFormat="false" ht="15" hidden="false" customHeight="false" outlineLevel="0" collapsed="false">
      <c r="A10690" s="103"/>
      <c r="B10690" s="104"/>
      <c r="C10690" s="104"/>
      <c r="E10690" s="107" t="str">
        <f aca="false">IF($C10690="","",IFERROR(INDEX(المنيو!$C$2:$C$500,MATCH($C10690,المنيو!$B$2:$B$500,0)),0))</f>
        <v/>
      </c>
      <c r="F10690" s="107" t="str">
        <f aca="false">IF($C10690="","",$D10690*$E10690)</f>
        <v/>
      </c>
      <c r="G10690" s="107" t="str">
        <f aca="false">IF($C10690="","",$D10690*IFERROR(INDEX('تحليل التكلفة والسعر'!$C$2:$C$700,MATCH($C10690,'تحليل التكلفة والسعر'!$B$2:$B$700,0)),0))</f>
        <v/>
      </c>
    </row>
    <row r="10691" customFormat="false" ht="15" hidden="false" customHeight="false" outlineLevel="0" collapsed="false">
      <c r="A10691" s="103"/>
      <c r="B10691" s="104"/>
      <c r="C10691" s="104"/>
      <c r="E10691" s="107" t="str">
        <f aca="false">IF($C10691="","",IFERROR(INDEX(المنيو!$C$2:$C$500,MATCH($C10691,المنيو!$B$2:$B$500,0)),0))</f>
        <v/>
      </c>
      <c r="F10691" s="107" t="str">
        <f aca="false">IF($C10691="","",$D10691*$E10691)</f>
        <v/>
      </c>
      <c r="G10691" s="107" t="str">
        <f aca="false">IF($C10691="","",$D10691*IFERROR(INDEX('تحليل التكلفة والسعر'!$C$2:$C$700,MATCH($C10691,'تحليل التكلفة والسعر'!$B$2:$B$700,0)),0))</f>
        <v/>
      </c>
    </row>
    <row r="10692" customFormat="false" ht="15" hidden="false" customHeight="false" outlineLevel="0" collapsed="false">
      <c r="A10692" s="103"/>
      <c r="B10692" s="104"/>
      <c r="C10692" s="104"/>
      <c r="E10692" s="107" t="str">
        <f aca="false">IF($C10692="","",IFERROR(INDEX(المنيو!$C$2:$C$500,MATCH($C10692,المنيو!$B$2:$B$500,0)),0))</f>
        <v/>
      </c>
      <c r="F10692" s="107" t="str">
        <f aca="false">IF($C10692="","",$D10692*$E10692)</f>
        <v/>
      </c>
      <c r="G10692" s="107" t="str">
        <f aca="false">IF($C10692="","",$D10692*IFERROR(INDEX('تحليل التكلفة والسعر'!$C$2:$C$700,MATCH($C10692,'تحليل التكلفة والسعر'!$B$2:$B$700,0)),0))</f>
        <v/>
      </c>
    </row>
    <row r="10693" customFormat="false" ht="15" hidden="false" customHeight="false" outlineLevel="0" collapsed="false">
      <c r="A10693" s="103"/>
      <c r="B10693" s="104"/>
      <c r="C10693" s="104"/>
      <c r="E10693" s="107" t="str">
        <f aca="false">IF($C10693="","",IFERROR(INDEX(المنيو!$C$2:$C$500,MATCH($C10693,المنيو!$B$2:$B$500,0)),0))</f>
        <v/>
      </c>
      <c r="F10693" s="107" t="str">
        <f aca="false">IF($C10693="","",$D10693*$E10693)</f>
        <v/>
      </c>
      <c r="G10693" s="107" t="str">
        <f aca="false">IF($C10693="","",$D10693*IFERROR(INDEX('تحليل التكلفة والسعر'!$C$2:$C$700,MATCH($C10693,'تحليل التكلفة والسعر'!$B$2:$B$700,0)),0))</f>
        <v/>
      </c>
    </row>
    <row r="10694" customFormat="false" ht="15" hidden="false" customHeight="false" outlineLevel="0" collapsed="false">
      <c r="A10694" s="103"/>
      <c r="B10694" s="104"/>
      <c r="C10694" s="104"/>
      <c r="E10694" s="107" t="str">
        <f aca="false">IF($C10694="","",IFERROR(INDEX(المنيو!$C$2:$C$500,MATCH($C10694,المنيو!$B$2:$B$500,0)),0))</f>
        <v/>
      </c>
      <c r="F10694" s="107" t="str">
        <f aca="false">IF($C10694="","",$D10694*$E10694)</f>
        <v/>
      </c>
      <c r="G10694" s="107" t="str">
        <f aca="false">IF($C10694="","",$D10694*IFERROR(INDEX('تحليل التكلفة والسعر'!$C$2:$C$700,MATCH($C10694,'تحليل التكلفة والسعر'!$B$2:$B$700,0)),0))</f>
        <v/>
      </c>
    </row>
    <row r="10695" customFormat="false" ht="15" hidden="false" customHeight="false" outlineLevel="0" collapsed="false">
      <c r="A10695" s="103"/>
      <c r="B10695" s="104"/>
      <c r="C10695" s="104"/>
      <c r="E10695" s="107" t="str">
        <f aca="false">IF($C10695="","",IFERROR(INDEX(المنيو!$C$2:$C$500,MATCH($C10695,المنيو!$B$2:$B$500,0)),0))</f>
        <v/>
      </c>
      <c r="F10695" s="107" t="str">
        <f aca="false">IF($C10695="","",$D10695*$E10695)</f>
        <v/>
      </c>
      <c r="G10695" s="107" t="str">
        <f aca="false">IF($C10695="","",$D10695*IFERROR(INDEX('تحليل التكلفة والسعر'!$C$2:$C$700,MATCH($C10695,'تحليل التكلفة والسعر'!$B$2:$B$700,0)),0))</f>
        <v/>
      </c>
    </row>
    <row r="10696" customFormat="false" ht="15" hidden="false" customHeight="false" outlineLevel="0" collapsed="false">
      <c r="A10696" s="103"/>
      <c r="B10696" s="104"/>
      <c r="C10696" s="104"/>
      <c r="E10696" s="107" t="str">
        <f aca="false">IF($C10696="","",IFERROR(INDEX(المنيو!$C$2:$C$500,MATCH($C10696,المنيو!$B$2:$B$500,0)),0))</f>
        <v/>
      </c>
      <c r="F10696" s="107" t="str">
        <f aca="false">IF($C10696="","",$D10696*$E10696)</f>
        <v/>
      </c>
      <c r="G10696" s="107" t="str">
        <f aca="false">IF($C10696="","",$D10696*IFERROR(INDEX('تحليل التكلفة والسعر'!$C$2:$C$700,MATCH($C10696,'تحليل التكلفة والسعر'!$B$2:$B$700,0)),0))</f>
        <v/>
      </c>
    </row>
    <row r="10697" customFormat="false" ht="15" hidden="false" customHeight="false" outlineLevel="0" collapsed="false">
      <c r="A10697" s="103"/>
      <c r="B10697" s="104"/>
      <c r="C10697" s="104"/>
      <c r="E10697" s="107" t="str">
        <f aca="false">IF($C10697="","",IFERROR(INDEX(المنيو!$C$2:$C$500,MATCH($C10697,المنيو!$B$2:$B$500,0)),0))</f>
        <v/>
      </c>
      <c r="F10697" s="107" t="str">
        <f aca="false">IF($C10697="","",$D10697*$E10697)</f>
        <v/>
      </c>
      <c r="G10697" s="107" t="str">
        <f aca="false">IF($C10697="","",$D10697*IFERROR(INDEX('تحليل التكلفة والسعر'!$C$2:$C$700,MATCH($C10697,'تحليل التكلفة والسعر'!$B$2:$B$700,0)),0))</f>
        <v/>
      </c>
    </row>
    <row r="10698" customFormat="false" ht="15" hidden="false" customHeight="false" outlineLevel="0" collapsed="false">
      <c r="A10698" s="103"/>
      <c r="B10698" s="104"/>
      <c r="C10698" s="104"/>
      <c r="E10698" s="107" t="str">
        <f aca="false">IF($C10698="","",IFERROR(INDEX(المنيو!$C$2:$C$500,MATCH($C10698,المنيو!$B$2:$B$500,0)),0))</f>
        <v/>
      </c>
      <c r="F10698" s="107" t="str">
        <f aca="false">IF($C10698="","",$D10698*$E10698)</f>
        <v/>
      </c>
      <c r="G10698" s="107" t="str">
        <f aca="false">IF($C10698="","",$D10698*IFERROR(INDEX('تحليل التكلفة والسعر'!$C$2:$C$700,MATCH($C10698,'تحليل التكلفة والسعر'!$B$2:$B$700,0)),0))</f>
        <v/>
      </c>
    </row>
    <row r="10699" customFormat="false" ht="15" hidden="false" customHeight="false" outlineLevel="0" collapsed="false">
      <c r="A10699" s="103"/>
      <c r="B10699" s="104"/>
      <c r="C10699" s="104"/>
      <c r="E10699" s="107" t="str">
        <f aca="false">IF($C10699="","",IFERROR(INDEX(المنيو!$C$2:$C$500,MATCH($C10699,المنيو!$B$2:$B$500,0)),0))</f>
        <v/>
      </c>
      <c r="F10699" s="107" t="str">
        <f aca="false">IF($C10699="","",$D10699*$E10699)</f>
        <v/>
      </c>
      <c r="G10699" s="107" t="str">
        <f aca="false">IF($C10699="","",$D10699*IFERROR(INDEX('تحليل التكلفة والسعر'!$C$2:$C$700,MATCH($C10699,'تحليل التكلفة والسعر'!$B$2:$B$700,0)),0))</f>
        <v/>
      </c>
    </row>
    <row r="10700" customFormat="false" ht="15" hidden="false" customHeight="false" outlineLevel="0" collapsed="false">
      <c r="A10700" s="103"/>
      <c r="B10700" s="104"/>
      <c r="C10700" s="104"/>
      <c r="E10700" s="107" t="str">
        <f aca="false">IF($C10700="","",IFERROR(INDEX(المنيو!$C$2:$C$500,MATCH($C10700,المنيو!$B$2:$B$500,0)),0))</f>
        <v/>
      </c>
      <c r="F10700" s="107" t="str">
        <f aca="false">IF($C10700="","",$D10700*$E10700)</f>
        <v/>
      </c>
      <c r="G10700" s="107" t="str">
        <f aca="false">IF($C10700="","",$D10700*IFERROR(INDEX('تحليل التكلفة والسعر'!$C$2:$C$700,MATCH($C10700,'تحليل التكلفة والسعر'!$B$2:$B$700,0)),0))</f>
        <v/>
      </c>
    </row>
    <row r="10701" customFormat="false" ht="15" hidden="false" customHeight="false" outlineLevel="0" collapsed="false">
      <c r="A10701" s="103"/>
      <c r="B10701" s="104"/>
      <c r="C10701" s="104"/>
      <c r="E10701" s="107" t="str">
        <f aca="false">IF($C10701="","",IFERROR(INDEX(المنيو!$C$2:$C$500,MATCH($C10701,المنيو!$B$2:$B$500,0)),0))</f>
        <v/>
      </c>
      <c r="F10701" s="107" t="str">
        <f aca="false">IF($C10701="","",$D10701*$E10701)</f>
        <v/>
      </c>
      <c r="G10701" s="107" t="str">
        <f aca="false">IF($C10701="","",$D10701*IFERROR(INDEX('تحليل التكلفة والسعر'!$C$2:$C$700,MATCH($C10701,'تحليل التكلفة والسعر'!$B$2:$B$700,0)),0))</f>
        <v/>
      </c>
    </row>
    <row r="10702" customFormat="false" ht="15" hidden="false" customHeight="false" outlineLevel="0" collapsed="false">
      <c r="A10702" s="103"/>
      <c r="B10702" s="104"/>
      <c r="C10702" s="104"/>
      <c r="E10702" s="107" t="str">
        <f aca="false">IF($C10702="","",IFERROR(INDEX(المنيو!$C$2:$C$500,MATCH($C10702,المنيو!$B$2:$B$500,0)),0))</f>
        <v/>
      </c>
      <c r="F10702" s="107" t="str">
        <f aca="false">IF($C10702="","",$D10702*$E10702)</f>
        <v/>
      </c>
      <c r="G10702" s="107" t="str">
        <f aca="false">IF($C10702="","",$D10702*IFERROR(INDEX('تحليل التكلفة والسعر'!$C$2:$C$700,MATCH($C10702,'تحليل التكلفة والسعر'!$B$2:$B$700,0)),0))</f>
        <v/>
      </c>
    </row>
    <row r="10703" customFormat="false" ht="15" hidden="false" customHeight="false" outlineLevel="0" collapsed="false">
      <c r="A10703" s="103"/>
      <c r="B10703" s="104"/>
      <c r="C10703" s="104"/>
      <c r="E10703" s="107" t="str">
        <f aca="false">IF($C10703="","",IFERROR(INDEX(المنيو!$C$2:$C$500,MATCH($C10703,المنيو!$B$2:$B$500,0)),0))</f>
        <v/>
      </c>
      <c r="F10703" s="107" t="str">
        <f aca="false">IF($C10703="","",$D10703*$E10703)</f>
        <v/>
      </c>
      <c r="G10703" s="107" t="str">
        <f aca="false">IF($C10703="","",$D10703*IFERROR(INDEX('تحليل التكلفة والسعر'!$C$2:$C$700,MATCH($C10703,'تحليل التكلفة والسعر'!$B$2:$B$700,0)),0))</f>
        <v/>
      </c>
    </row>
    <row r="10704" customFormat="false" ht="15" hidden="false" customHeight="false" outlineLevel="0" collapsed="false">
      <c r="A10704" s="103"/>
      <c r="B10704" s="104"/>
      <c r="C10704" s="104"/>
      <c r="E10704" s="107" t="str">
        <f aca="false">IF($C10704="","",IFERROR(INDEX(المنيو!$C$2:$C$500,MATCH($C10704,المنيو!$B$2:$B$500,0)),0))</f>
        <v/>
      </c>
      <c r="F10704" s="107" t="str">
        <f aca="false">IF($C10704="","",$D10704*$E10704)</f>
        <v/>
      </c>
      <c r="G10704" s="107" t="str">
        <f aca="false">IF($C10704="","",$D10704*IFERROR(INDEX('تحليل التكلفة والسعر'!$C$2:$C$700,MATCH($C10704,'تحليل التكلفة والسعر'!$B$2:$B$700,0)),0))</f>
        <v/>
      </c>
    </row>
    <row r="10705" customFormat="false" ht="15" hidden="false" customHeight="false" outlineLevel="0" collapsed="false">
      <c r="A10705" s="103"/>
      <c r="B10705" s="104"/>
      <c r="C10705" s="104"/>
      <c r="E10705" s="107" t="str">
        <f aca="false">IF($C10705="","",IFERROR(INDEX(المنيو!$C$2:$C$500,MATCH($C10705,المنيو!$B$2:$B$500,0)),0))</f>
        <v/>
      </c>
      <c r="F10705" s="107" t="str">
        <f aca="false">IF($C10705="","",$D10705*$E10705)</f>
        <v/>
      </c>
      <c r="G10705" s="107" t="str">
        <f aca="false">IF($C10705="","",$D10705*IFERROR(INDEX('تحليل التكلفة والسعر'!$C$2:$C$700,MATCH($C10705,'تحليل التكلفة والسعر'!$B$2:$B$700,0)),0))</f>
        <v/>
      </c>
    </row>
    <row r="10706" customFormat="false" ht="15" hidden="false" customHeight="false" outlineLevel="0" collapsed="false">
      <c r="A10706" s="103"/>
      <c r="B10706" s="104"/>
      <c r="C10706" s="104"/>
      <c r="E10706" s="107" t="str">
        <f aca="false">IF($C10706="","",IFERROR(INDEX(المنيو!$C$2:$C$500,MATCH($C10706,المنيو!$B$2:$B$500,0)),0))</f>
        <v/>
      </c>
      <c r="F10706" s="107" t="str">
        <f aca="false">IF($C10706="","",$D10706*$E10706)</f>
        <v/>
      </c>
      <c r="G10706" s="107" t="str">
        <f aca="false">IF($C10706="","",$D10706*IFERROR(INDEX('تحليل التكلفة والسعر'!$C$2:$C$700,MATCH($C10706,'تحليل التكلفة والسعر'!$B$2:$B$700,0)),0))</f>
        <v/>
      </c>
    </row>
    <row r="10707" customFormat="false" ht="15" hidden="false" customHeight="false" outlineLevel="0" collapsed="false">
      <c r="A10707" s="103"/>
      <c r="B10707" s="104"/>
      <c r="C10707" s="104"/>
      <c r="E10707" s="107" t="str">
        <f aca="false">IF($C10707="","",IFERROR(INDEX(المنيو!$C$2:$C$500,MATCH($C10707,المنيو!$B$2:$B$500,0)),0))</f>
        <v/>
      </c>
      <c r="F10707" s="107" t="str">
        <f aca="false">IF($C10707="","",$D10707*$E10707)</f>
        <v/>
      </c>
      <c r="G10707" s="107" t="str">
        <f aca="false">IF($C10707="","",$D10707*IFERROR(INDEX('تحليل التكلفة والسعر'!$C$2:$C$700,MATCH($C10707,'تحليل التكلفة والسعر'!$B$2:$B$700,0)),0))</f>
        <v/>
      </c>
    </row>
    <row r="10708" customFormat="false" ht="15" hidden="false" customHeight="false" outlineLevel="0" collapsed="false">
      <c r="A10708" s="103"/>
      <c r="B10708" s="104"/>
      <c r="C10708" s="104"/>
      <c r="E10708" s="107" t="str">
        <f aca="false">IF($C10708="","",IFERROR(INDEX(المنيو!$C$2:$C$500,MATCH($C10708,المنيو!$B$2:$B$500,0)),0))</f>
        <v/>
      </c>
      <c r="F10708" s="107" t="str">
        <f aca="false">IF($C10708="","",$D10708*$E10708)</f>
        <v/>
      </c>
      <c r="G10708" s="107" t="str">
        <f aca="false">IF($C10708="","",$D10708*IFERROR(INDEX('تحليل التكلفة والسعر'!$C$2:$C$700,MATCH($C10708,'تحليل التكلفة والسعر'!$B$2:$B$700,0)),0))</f>
        <v/>
      </c>
    </row>
    <row r="10709" customFormat="false" ht="15" hidden="false" customHeight="false" outlineLevel="0" collapsed="false">
      <c r="A10709" s="103"/>
      <c r="B10709" s="104"/>
      <c r="C10709" s="104"/>
      <c r="E10709" s="107" t="str">
        <f aca="false">IF($C10709="","",IFERROR(INDEX(المنيو!$C$2:$C$500,MATCH($C10709,المنيو!$B$2:$B$500,0)),0))</f>
        <v/>
      </c>
      <c r="F10709" s="107" t="str">
        <f aca="false">IF($C10709="","",$D10709*$E10709)</f>
        <v/>
      </c>
      <c r="G10709" s="107" t="str">
        <f aca="false">IF($C10709="","",$D10709*IFERROR(INDEX('تحليل التكلفة والسعر'!$C$2:$C$700,MATCH($C10709,'تحليل التكلفة والسعر'!$B$2:$B$700,0)),0))</f>
        <v/>
      </c>
    </row>
    <row r="10710" customFormat="false" ht="15" hidden="false" customHeight="false" outlineLevel="0" collapsed="false">
      <c r="A10710" s="103"/>
      <c r="B10710" s="104"/>
      <c r="C10710" s="104"/>
      <c r="E10710" s="107" t="str">
        <f aca="false">IF($C10710="","",IFERROR(INDEX(المنيو!$C$2:$C$500,MATCH($C10710,المنيو!$B$2:$B$500,0)),0))</f>
        <v/>
      </c>
      <c r="F10710" s="107" t="str">
        <f aca="false">IF($C10710="","",$D10710*$E10710)</f>
        <v/>
      </c>
      <c r="G10710" s="107" t="str">
        <f aca="false">IF($C10710="","",$D10710*IFERROR(INDEX('تحليل التكلفة والسعر'!$C$2:$C$700,MATCH($C10710,'تحليل التكلفة والسعر'!$B$2:$B$700,0)),0))</f>
        <v/>
      </c>
    </row>
    <row r="10711" customFormat="false" ht="15" hidden="false" customHeight="false" outlineLevel="0" collapsed="false">
      <c r="A10711" s="103"/>
      <c r="B10711" s="104"/>
      <c r="C10711" s="104"/>
      <c r="E10711" s="107" t="str">
        <f aca="false">IF($C10711="","",IFERROR(INDEX(المنيو!$C$2:$C$500,MATCH($C10711,المنيو!$B$2:$B$500,0)),0))</f>
        <v/>
      </c>
      <c r="F10711" s="107" t="str">
        <f aca="false">IF($C10711="","",$D10711*$E10711)</f>
        <v/>
      </c>
      <c r="G10711" s="107" t="str">
        <f aca="false">IF($C10711="","",$D10711*IFERROR(INDEX('تحليل التكلفة والسعر'!$C$2:$C$700,MATCH($C10711,'تحليل التكلفة والسعر'!$B$2:$B$700,0)),0))</f>
        <v/>
      </c>
    </row>
    <row r="10712" customFormat="false" ht="15" hidden="false" customHeight="false" outlineLevel="0" collapsed="false">
      <c r="A10712" s="103"/>
      <c r="B10712" s="104"/>
      <c r="C10712" s="104"/>
      <c r="E10712" s="107" t="str">
        <f aca="false">IF($C10712="","",IFERROR(INDEX(المنيو!$C$2:$C$500,MATCH($C10712,المنيو!$B$2:$B$500,0)),0))</f>
        <v/>
      </c>
      <c r="F10712" s="107" t="str">
        <f aca="false">IF($C10712="","",$D10712*$E10712)</f>
        <v/>
      </c>
      <c r="G10712" s="107" t="str">
        <f aca="false">IF($C10712="","",$D10712*IFERROR(INDEX('تحليل التكلفة والسعر'!$C$2:$C$700,MATCH($C10712,'تحليل التكلفة والسعر'!$B$2:$B$700,0)),0))</f>
        <v/>
      </c>
    </row>
    <row r="10713" customFormat="false" ht="15" hidden="false" customHeight="false" outlineLevel="0" collapsed="false">
      <c r="A10713" s="103"/>
      <c r="B10713" s="104"/>
      <c r="C10713" s="104"/>
      <c r="E10713" s="107" t="str">
        <f aca="false">IF($C10713="","",IFERROR(INDEX(المنيو!$C$2:$C$500,MATCH($C10713,المنيو!$B$2:$B$500,0)),0))</f>
        <v/>
      </c>
      <c r="F10713" s="107" t="str">
        <f aca="false">IF($C10713="","",$D10713*$E10713)</f>
        <v/>
      </c>
      <c r="G10713" s="107" t="str">
        <f aca="false">IF($C10713="","",$D10713*IFERROR(INDEX('تحليل التكلفة والسعر'!$C$2:$C$700,MATCH($C10713,'تحليل التكلفة والسعر'!$B$2:$B$700,0)),0))</f>
        <v/>
      </c>
    </row>
    <row r="10714" customFormat="false" ht="15" hidden="false" customHeight="false" outlineLevel="0" collapsed="false">
      <c r="A10714" s="103"/>
      <c r="B10714" s="104"/>
      <c r="C10714" s="104"/>
      <c r="E10714" s="107" t="str">
        <f aca="false">IF($C10714="","",IFERROR(INDEX(المنيو!$C$2:$C$500,MATCH($C10714,المنيو!$B$2:$B$500,0)),0))</f>
        <v/>
      </c>
      <c r="F10714" s="107" t="str">
        <f aca="false">IF($C10714="","",$D10714*$E10714)</f>
        <v/>
      </c>
      <c r="G10714" s="107" t="str">
        <f aca="false">IF($C10714="","",$D10714*IFERROR(INDEX('تحليل التكلفة والسعر'!$C$2:$C$700,MATCH($C10714,'تحليل التكلفة والسعر'!$B$2:$B$700,0)),0))</f>
        <v/>
      </c>
    </row>
    <row r="10715" customFormat="false" ht="15" hidden="false" customHeight="false" outlineLevel="0" collapsed="false">
      <c r="A10715" s="103"/>
      <c r="B10715" s="104"/>
      <c r="C10715" s="104"/>
      <c r="E10715" s="107" t="str">
        <f aca="false">IF($C10715="","",IFERROR(INDEX(المنيو!$C$2:$C$500,MATCH($C10715,المنيو!$B$2:$B$500,0)),0))</f>
        <v/>
      </c>
      <c r="F10715" s="107" t="str">
        <f aca="false">IF($C10715="","",$D10715*$E10715)</f>
        <v/>
      </c>
      <c r="G10715" s="107" t="str">
        <f aca="false">IF($C10715="","",$D10715*IFERROR(INDEX('تحليل التكلفة والسعر'!$C$2:$C$700,MATCH($C10715,'تحليل التكلفة والسعر'!$B$2:$B$700,0)),0))</f>
        <v/>
      </c>
    </row>
    <row r="10716" customFormat="false" ht="15" hidden="false" customHeight="false" outlineLevel="0" collapsed="false">
      <c r="A10716" s="103"/>
      <c r="B10716" s="104"/>
      <c r="C10716" s="104"/>
      <c r="E10716" s="107" t="str">
        <f aca="false">IF($C10716="","",IFERROR(INDEX(المنيو!$C$2:$C$500,MATCH($C10716,المنيو!$B$2:$B$500,0)),0))</f>
        <v/>
      </c>
      <c r="F10716" s="107" t="str">
        <f aca="false">IF($C10716="","",$D10716*$E10716)</f>
        <v/>
      </c>
      <c r="G10716" s="107" t="str">
        <f aca="false">IF($C10716="","",$D10716*IFERROR(INDEX('تحليل التكلفة والسعر'!$C$2:$C$700,MATCH($C10716,'تحليل التكلفة والسعر'!$B$2:$B$700,0)),0))</f>
        <v/>
      </c>
    </row>
    <row r="10717" customFormat="false" ht="15" hidden="false" customHeight="false" outlineLevel="0" collapsed="false">
      <c r="A10717" s="103"/>
      <c r="B10717" s="104"/>
      <c r="C10717" s="104"/>
      <c r="E10717" s="107" t="str">
        <f aca="false">IF($C10717="","",IFERROR(INDEX(المنيو!$C$2:$C$500,MATCH($C10717,المنيو!$B$2:$B$500,0)),0))</f>
        <v/>
      </c>
      <c r="F10717" s="107" t="str">
        <f aca="false">IF($C10717="","",$D10717*$E10717)</f>
        <v/>
      </c>
      <c r="G10717" s="107" t="str">
        <f aca="false">IF($C10717="","",$D10717*IFERROR(INDEX('تحليل التكلفة والسعر'!$C$2:$C$700,MATCH($C10717,'تحليل التكلفة والسعر'!$B$2:$B$700,0)),0))</f>
        <v/>
      </c>
    </row>
    <row r="10718" customFormat="false" ht="15" hidden="false" customHeight="false" outlineLevel="0" collapsed="false">
      <c r="A10718" s="103"/>
      <c r="B10718" s="104"/>
      <c r="C10718" s="104"/>
      <c r="E10718" s="107" t="str">
        <f aca="false">IF($C10718="","",IFERROR(INDEX(المنيو!$C$2:$C$500,MATCH($C10718,المنيو!$B$2:$B$500,0)),0))</f>
        <v/>
      </c>
      <c r="F10718" s="107" t="str">
        <f aca="false">IF($C10718="","",$D10718*$E10718)</f>
        <v/>
      </c>
      <c r="G10718" s="107" t="str">
        <f aca="false">IF($C10718="","",$D10718*IFERROR(INDEX('تحليل التكلفة والسعر'!$C$2:$C$700,MATCH($C10718,'تحليل التكلفة والسعر'!$B$2:$B$700,0)),0))</f>
        <v/>
      </c>
    </row>
    <row r="10719" customFormat="false" ht="15" hidden="false" customHeight="false" outlineLevel="0" collapsed="false">
      <c r="A10719" s="103"/>
      <c r="B10719" s="104"/>
      <c r="C10719" s="104"/>
      <c r="E10719" s="107" t="str">
        <f aca="false">IF($C10719="","",IFERROR(INDEX(المنيو!$C$2:$C$500,MATCH($C10719,المنيو!$B$2:$B$500,0)),0))</f>
        <v/>
      </c>
      <c r="F10719" s="107" t="str">
        <f aca="false">IF($C10719="","",$D10719*$E10719)</f>
        <v/>
      </c>
      <c r="G10719" s="107" t="str">
        <f aca="false">IF($C10719="","",$D10719*IFERROR(INDEX('تحليل التكلفة والسعر'!$C$2:$C$700,MATCH($C10719,'تحليل التكلفة والسعر'!$B$2:$B$700,0)),0))</f>
        <v/>
      </c>
    </row>
    <row r="10720" customFormat="false" ht="15" hidden="false" customHeight="false" outlineLevel="0" collapsed="false">
      <c r="A10720" s="103"/>
      <c r="B10720" s="104"/>
      <c r="C10720" s="104"/>
      <c r="E10720" s="107" t="str">
        <f aca="false">IF($C10720="","",IFERROR(INDEX(المنيو!$C$2:$C$500,MATCH($C10720,المنيو!$B$2:$B$500,0)),0))</f>
        <v/>
      </c>
      <c r="F10720" s="107" t="str">
        <f aca="false">IF($C10720="","",$D10720*$E10720)</f>
        <v/>
      </c>
      <c r="G10720" s="107" t="str">
        <f aca="false">IF($C10720="","",$D10720*IFERROR(INDEX('تحليل التكلفة والسعر'!$C$2:$C$700,MATCH($C10720,'تحليل التكلفة والسعر'!$B$2:$B$700,0)),0))</f>
        <v/>
      </c>
    </row>
    <row r="10721" customFormat="false" ht="15" hidden="false" customHeight="false" outlineLevel="0" collapsed="false">
      <c r="A10721" s="103"/>
      <c r="B10721" s="104"/>
      <c r="C10721" s="104"/>
      <c r="E10721" s="107" t="str">
        <f aca="false">IF($C10721="","",IFERROR(INDEX(المنيو!$C$2:$C$500,MATCH($C10721,المنيو!$B$2:$B$500,0)),0))</f>
        <v/>
      </c>
      <c r="F10721" s="107" t="str">
        <f aca="false">IF($C10721="","",$D10721*$E10721)</f>
        <v/>
      </c>
      <c r="G10721" s="107" t="str">
        <f aca="false">IF($C10721="","",$D10721*IFERROR(INDEX('تحليل التكلفة والسعر'!$C$2:$C$700,MATCH($C10721,'تحليل التكلفة والسعر'!$B$2:$B$700,0)),0))</f>
        <v/>
      </c>
    </row>
    <row r="10722" customFormat="false" ht="15" hidden="false" customHeight="false" outlineLevel="0" collapsed="false">
      <c r="A10722" s="103"/>
      <c r="B10722" s="104"/>
      <c r="C10722" s="104"/>
      <c r="E10722" s="107" t="str">
        <f aca="false">IF($C10722="","",IFERROR(INDEX(المنيو!$C$2:$C$500,MATCH($C10722,المنيو!$B$2:$B$500,0)),0))</f>
        <v/>
      </c>
      <c r="F10722" s="107" t="str">
        <f aca="false">IF($C10722="","",$D10722*$E10722)</f>
        <v/>
      </c>
      <c r="G10722" s="107" t="str">
        <f aca="false">IF($C10722="","",$D10722*IFERROR(INDEX('تحليل التكلفة والسعر'!$C$2:$C$700,MATCH($C10722,'تحليل التكلفة والسعر'!$B$2:$B$700,0)),0))</f>
        <v/>
      </c>
    </row>
    <row r="10723" customFormat="false" ht="15" hidden="false" customHeight="false" outlineLevel="0" collapsed="false">
      <c r="A10723" s="103"/>
      <c r="B10723" s="104"/>
      <c r="C10723" s="104"/>
      <c r="E10723" s="107" t="str">
        <f aca="false">IF($C10723="","",IFERROR(INDEX(المنيو!$C$2:$C$500,MATCH($C10723,المنيو!$B$2:$B$500,0)),0))</f>
        <v/>
      </c>
      <c r="F10723" s="107" t="str">
        <f aca="false">IF($C10723="","",$D10723*$E10723)</f>
        <v/>
      </c>
      <c r="G10723" s="107" t="str">
        <f aca="false">IF($C10723="","",$D10723*IFERROR(INDEX('تحليل التكلفة والسعر'!$C$2:$C$700,MATCH($C10723,'تحليل التكلفة والسعر'!$B$2:$B$700,0)),0))</f>
        <v/>
      </c>
    </row>
    <row r="10724" customFormat="false" ht="15" hidden="false" customHeight="false" outlineLevel="0" collapsed="false">
      <c r="A10724" s="103"/>
      <c r="B10724" s="104"/>
      <c r="C10724" s="104"/>
      <c r="E10724" s="107" t="str">
        <f aca="false">IF($C10724="","",IFERROR(INDEX(المنيو!$C$2:$C$500,MATCH($C10724,المنيو!$B$2:$B$500,0)),0))</f>
        <v/>
      </c>
      <c r="F10724" s="107" t="str">
        <f aca="false">IF($C10724="","",$D10724*$E10724)</f>
        <v/>
      </c>
      <c r="G10724" s="107" t="str">
        <f aca="false">IF($C10724="","",$D10724*IFERROR(INDEX('تحليل التكلفة والسعر'!$C$2:$C$700,MATCH($C10724,'تحليل التكلفة والسعر'!$B$2:$B$700,0)),0))</f>
        <v/>
      </c>
    </row>
    <row r="10725" customFormat="false" ht="15" hidden="false" customHeight="false" outlineLevel="0" collapsed="false">
      <c r="A10725" s="103"/>
      <c r="B10725" s="104"/>
      <c r="C10725" s="104"/>
      <c r="E10725" s="107" t="str">
        <f aca="false">IF($C10725="","",IFERROR(INDEX(المنيو!$C$2:$C$500,MATCH($C10725,المنيو!$B$2:$B$500,0)),0))</f>
        <v/>
      </c>
      <c r="F10725" s="107" t="str">
        <f aca="false">IF($C10725="","",$D10725*$E10725)</f>
        <v/>
      </c>
      <c r="G10725" s="107" t="str">
        <f aca="false">IF($C10725="","",$D10725*IFERROR(INDEX('تحليل التكلفة والسعر'!$C$2:$C$700,MATCH($C10725,'تحليل التكلفة والسعر'!$B$2:$B$700,0)),0))</f>
        <v/>
      </c>
    </row>
    <row r="10726" customFormat="false" ht="15" hidden="false" customHeight="false" outlineLevel="0" collapsed="false">
      <c r="A10726" s="103"/>
      <c r="B10726" s="104"/>
      <c r="C10726" s="104"/>
      <c r="E10726" s="107" t="str">
        <f aca="false">IF($C10726="","",IFERROR(INDEX(المنيو!$C$2:$C$500,MATCH($C10726,المنيو!$B$2:$B$500,0)),0))</f>
        <v/>
      </c>
      <c r="F10726" s="107" t="str">
        <f aca="false">IF($C10726="","",$D10726*$E10726)</f>
        <v/>
      </c>
      <c r="G10726" s="107" t="str">
        <f aca="false">IF($C10726="","",$D10726*IFERROR(INDEX('تحليل التكلفة والسعر'!$C$2:$C$700,MATCH($C10726,'تحليل التكلفة والسعر'!$B$2:$B$700,0)),0))</f>
        <v/>
      </c>
    </row>
    <row r="10727" customFormat="false" ht="15" hidden="false" customHeight="false" outlineLevel="0" collapsed="false">
      <c r="A10727" s="103"/>
      <c r="B10727" s="104"/>
      <c r="C10727" s="104"/>
      <c r="E10727" s="107" t="str">
        <f aca="false">IF($C10727="","",IFERROR(INDEX(المنيو!$C$2:$C$500,MATCH($C10727,المنيو!$B$2:$B$500,0)),0))</f>
        <v/>
      </c>
      <c r="F10727" s="107" t="str">
        <f aca="false">IF($C10727="","",$D10727*$E10727)</f>
        <v/>
      </c>
      <c r="G10727" s="107" t="str">
        <f aca="false">IF($C10727="","",$D10727*IFERROR(INDEX('تحليل التكلفة والسعر'!$C$2:$C$700,MATCH($C10727,'تحليل التكلفة والسعر'!$B$2:$B$700,0)),0))</f>
        <v/>
      </c>
    </row>
    <row r="10728" customFormat="false" ht="15" hidden="false" customHeight="false" outlineLevel="0" collapsed="false">
      <c r="A10728" s="103"/>
      <c r="B10728" s="104"/>
      <c r="C10728" s="104"/>
      <c r="E10728" s="107" t="str">
        <f aca="false">IF($C10728="","",IFERROR(INDEX(المنيو!$C$2:$C$500,MATCH($C10728,المنيو!$B$2:$B$500,0)),0))</f>
        <v/>
      </c>
      <c r="F10728" s="107" t="str">
        <f aca="false">IF($C10728="","",$D10728*$E10728)</f>
        <v/>
      </c>
      <c r="G10728" s="107" t="str">
        <f aca="false">IF($C10728="","",$D10728*IFERROR(INDEX('تحليل التكلفة والسعر'!$C$2:$C$700,MATCH($C10728,'تحليل التكلفة والسعر'!$B$2:$B$700,0)),0))</f>
        <v/>
      </c>
    </row>
    <row r="10729" customFormat="false" ht="15" hidden="false" customHeight="false" outlineLevel="0" collapsed="false">
      <c r="A10729" s="103"/>
      <c r="B10729" s="104"/>
      <c r="C10729" s="104"/>
      <c r="E10729" s="107" t="str">
        <f aca="false">IF($C10729="","",IFERROR(INDEX(المنيو!$C$2:$C$500,MATCH($C10729,المنيو!$B$2:$B$500,0)),0))</f>
        <v/>
      </c>
      <c r="F10729" s="107" t="str">
        <f aca="false">IF($C10729="","",$D10729*$E10729)</f>
        <v/>
      </c>
      <c r="G10729" s="107" t="str">
        <f aca="false">IF($C10729="","",$D10729*IFERROR(INDEX('تحليل التكلفة والسعر'!$C$2:$C$700,MATCH($C10729,'تحليل التكلفة والسعر'!$B$2:$B$700,0)),0))</f>
        <v/>
      </c>
    </row>
    <row r="10730" customFormat="false" ht="15" hidden="false" customHeight="false" outlineLevel="0" collapsed="false">
      <c r="A10730" s="103"/>
      <c r="B10730" s="104"/>
      <c r="C10730" s="104"/>
      <c r="E10730" s="107" t="str">
        <f aca="false">IF($C10730="","",IFERROR(INDEX(المنيو!$C$2:$C$500,MATCH($C10730,المنيو!$B$2:$B$500,0)),0))</f>
        <v/>
      </c>
      <c r="F10730" s="107" t="str">
        <f aca="false">IF($C10730="","",$D10730*$E10730)</f>
        <v/>
      </c>
      <c r="G10730" s="107" t="str">
        <f aca="false">IF($C10730="","",$D10730*IFERROR(INDEX('تحليل التكلفة والسعر'!$C$2:$C$700,MATCH($C10730,'تحليل التكلفة والسعر'!$B$2:$B$700,0)),0))</f>
        <v/>
      </c>
    </row>
    <row r="10731" customFormat="false" ht="15" hidden="false" customHeight="false" outlineLevel="0" collapsed="false">
      <c r="A10731" s="103"/>
      <c r="B10731" s="104"/>
      <c r="C10731" s="104"/>
      <c r="E10731" s="107" t="str">
        <f aca="false">IF($C10731="","",IFERROR(INDEX(المنيو!$C$2:$C$500,MATCH($C10731,المنيو!$B$2:$B$500,0)),0))</f>
        <v/>
      </c>
      <c r="F10731" s="107" t="str">
        <f aca="false">IF($C10731="","",$D10731*$E10731)</f>
        <v/>
      </c>
      <c r="G10731" s="107" t="str">
        <f aca="false">IF($C10731="","",$D10731*IFERROR(INDEX('تحليل التكلفة والسعر'!$C$2:$C$700,MATCH($C10731,'تحليل التكلفة والسعر'!$B$2:$B$700,0)),0))</f>
        <v/>
      </c>
    </row>
    <row r="10732" customFormat="false" ht="15" hidden="false" customHeight="false" outlineLevel="0" collapsed="false">
      <c r="A10732" s="103"/>
      <c r="B10732" s="104"/>
      <c r="C10732" s="104"/>
      <c r="E10732" s="107" t="str">
        <f aca="false">IF($C10732="","",IFERROR(INDEX(المنيو!$C$2:$C$500,MATCH($C10732,المنيو!$B$2:$B$500,0)),0))</f>
        <v/>
      </c>
      <c r="F10732" s="107" t="str">
        <f aca="false">IF($C10732="","",$D10732*$E10732)</f>
        <v/>
      </c>
      <c r="G10732" s="107" t="str">
        <f aca="false">IF($C10732="","",$D10732*IFERROR(INDEX('تحليل التكلفة والسعر'!$C$2:$C$700,MATCH($C10732,'تحليل التكلفة والسعر'!$B$2:$B$700,0)),0))</f>
        <v/>
      </c>
    </row>
    <row r="10733" customFormat="false" ht="15" hidden="false" customHeight="false" outlineLevel="0" collapsed="false">
      <c r="A10733" s="103"/>
      <c r="B10733" s="104"/>
      <c r="C10733" s="104"/>
      <c r="E10733" s="107" t="str">
        <f aca="false">IF($C10733="","",IFERROR(INDEX(المنيو!$C$2:$C$500,MATCH($C10733,المنيو!$B$2:$B$500,0)),0))</f>
        <v/>
      </c>
      <c r="F10733" s="107" t="str">
        <f aca="false">IF($C10733="","",$D10733*$E10733)</f>
        <v/>
      </c>
      <c r="G10733" s="107" t="str">
        <f aca="false">IF($C10733="","",$D10733*IFERROR(INDEX('تحليل التكلفة والسعر'!$C$2:$C$700,MATCH($C10733,'تحليل التكلفة والسعر'!$B$2:$B$700,0)),0))</f>
        <v/>
      </c>
    </row>
    <row r="10734" customFormat="false" ht="15" hidden="false" customHeight="false" outlineLevel="0" collapsed="false">
      <c r="A10734" s="103"/>
      <c r="B10734" s="104"/>
      <c r="C10734" s="104"/>
      <c r="E10734" s="107" t="str">
        <f aca="false">IF($C10734="","",IFERROR(INDEX(المنيو!$C$2:$C$500,MATCH($C10734,المنيو!$B$2:$B$500,0)),0))</f>
        <v/>
      </c>
      <c r="F10734" s="107" t="str">
        <f aca="false">IF($C10734="","",$D10734*$E10734)</f>
        <v/>
      </c>
      <c r="G10734" s="107" t="str">
        <f aca="false">IF($C10734="","",$D10734*IFERROR(INDEX('تحليل التكلفة والسعر'!$C$2:$C$700,MATCH($C10734,'تحليل التكلفة والسعر'!$B$2:$B$700,0)),0))</f>
        <v/>
      </c>
    </row>
    <row r="10735" customFormat="false" ht="15" hidden="false" customHeight="false" outlineLevel="0" collapsed="false">
      <c r="A10735" s="103"/>
      <c r="B10735" s="104"/>
      <c r="C10735" s="104"/>
      <c r="E10735" s="107" t="str">
        <f aca="false">IF($C10735="","",IFERROR(INDEX(المنيو!$C$2:$C$500,MATCH($C10735,المنيو!$B$2:$B$500,0)),0))</f>
        <v/>
      </c>
      <c r="F10735" s="107" t="str">
        <f aca="false">IF($C10735="","",$D10735*$E10735)</f>
        <v/>
      </c>
      <c r="G10735" s="107" t="str">
        <f aca="false">IF($C10735="","",$D10735*IFERROR(INDEX('تحليل التكلفة والسعر'!$C$2:$C$700,MATCH($C10735,'تحليل التكلفة والسعر'!$B$2:$B$700,0)),0))</f>
        <v/>
      </c>
    </row>
    <row r="10736" customFormat="false" ht="15" hidden="false" customHeight="false" outlineLevel="0" collapsed="false">
      <c r="A10736" s="103"/>
      <c r="B10736" s="104"/>
      <c r="C10736" s="104"/>
      <c r="E10736" s="107" t="str">
        <f aca="false">IF($C10736="","",IFERROR(INDEX(المنيو!$C$2:$C$500,MATCH($C10736,المنيو!$B$2:$B$500,0)),0))</f>
        <v/>
      </c>
      <c r="F10736" s="107" t="str">
        <f aca="false">IF($C10736="","",$D10736*$E10736)</f>
        <v/>
      </c>
      <c r="G10736" s="107" t="str">
        <f aca="false">IF($C10736="","",$D10736*IFERROR(INDEX('تحليل التكلفة والسعر'!$C$2:$C$700,MATCH($C10736,'تحليل التكلفة والسعر'!$B$2:$B$700,0)),0))</f>
        <v/>
      </c>
    </row>
    <row r="10737" customFormat="false" ht="15" hidden="false" customHeight="false" outlineLevel="0" collapsed="false">
      <c r="A10737" s="103"/>
      <c r="B10737" s="104"/>
      <c r="C10737" s="104"/>
      <c r="E10737" s="107" t="str">
        <f aca="false">IF($C10737="","",IFERROR(INDEX(المنيو!$C$2:$C$500,MATCH($C10737,المنيو!$B$2:$B$500,0)),0))</f>
        <v/>
      </c>
      <c r="F10737" s="107" t="str">
        <f aca="false">IF($C10737="","",$D10737*$E10737)</f>
        <v/>
      </c>
      <c r="G10737" s="107" t="str">
        <f aca="false">IF($C10737="","",$D10737*IFERROR(INDEX('تحليل التكلفة والسعر'!$C$2:$C$700,MATCH($C10737,'تحليل التكلفة والسعر'!$B$2:$B$700,0)),0))</f>
        <v/>
      </c>
    </row>
    <row r="10738" customFormat="false" ht="15" hidden="false" customHeight="false" outlineLevel="0" collapsed="false">
      <c r="A10738" s="103"/>
      <c r="B10738" s="104"/>
      <c r="C10738" s="104"/>
      <c r="E10738" s="107" t="str">
        <f aca="false">IF($C10738="","",IFERROR(INDEX(المنيو!$C$2:$C$500,MATCH($C10738,المنيو!$B$2:$B$500,0)),0))</f>
        <v/>
      </c>
      <c r="F10738" s="107" t="str">
        <f aca="false">IF($C10738="","",$D10738*$E10738)</f>
        <v/>
      </c>
      <c r="G10738" s="107" t="str">
        <f aca="false">IF($C10738="","",$D10738*IFERROR(INDEX('تحليل التكلفة والسعر'!$C$2:$C$700,MATCH($C10738,'تحليل التكلفة والسعر'!$B$2:$B$700,0)),0))</f>
        <v/>
      </c>
    </row>
    <row r="10739" customFormat="false" ht="15" hidden="false" customHeight="false" outlineLevel="0" collapsed="false">
      <c r="A10739" s="103"/>
      <c r="B10739" s="104"/>
      <c r="C10739" s="104"/>
      <c r="E10739" s="107" t="str">
        <f aca="false">IF($C10739="","",IFERROR(INDEX(المنيو!$C$2:$C$500,MATCH($C10739,المنيو!$B$2:$B$500,0)),0))</f>
        <v/>
      </c>
      <c r="F10739" s="107" t="str">
        <f aca="false">IF($C10739="","",$D10739*$E10739)</f>
        <v/>
      </c>
      <c r="G10739" s="107" t="str">
        <f aca="false">IF($C10739="","",$D10739*IFERROR(INDEX('تحليل التكلفة والسعر'!$C$2:$C$700,MATCH($C10739,'تحليل التكلفة والسعر'!$B$2:$B$700,0)),0))</f>
        <v/>
      </c>
    </row>
    <row r="10740" customFormat="false" ht="15" hidden="false" customHeight="false" outlineLevel="0" collapsed="false">
      <c r="A10740" s="103"/>
      <c r="B10740" s="104"/>
      <c r="C10740" s="104"/>
      <c r="E10740" s="107" t="str">
        <f aca="false">IF($C10740="","",IFERROR(INDEX(المنيو!$C$2:$C$500,MATCH($C10740,المنيو!$B$2:$B$500,0)),0))</f>
        <v/>
      </c>
      <c r="F10740" s="107" t="str">
        <f aca="false">IF($C10740="","",$D10740*$E10740)</f>
        <v/>
      </c>
      <c r="G10740" s="107" t="str">
        <f aca="false">IF($C10740="","",$D10740*IFERROR(INDEX('تحليل التكلفة والسعر'!$C$2:$C$700,MATCH($C10740,'تحليل التكلفة والسعر'!$B$2:$B$700,0)),0))</f>
        <v/>
      </c>
    </row>
    <row r="10741" customFormat="false" ht="15" hidden="false" customHeight="false" outlineLevel="0" collapsed="false">
      <c r="A10741" s="103"/>
      <c r="B10741" s="104"/>
      <c r="C10741" s="104"/>
      <c r="E10741" s="107" t="str">
        <f aca="false">IF($C10741="","",IFERROR(INDEX(المنيو!$C$2:$C$500,MATCH($C10741,المنيو!$B$2:$B$500,0)),0))</f>
        <v/>
      </c>
      <c r="F10741" s="107" t="str">
        <f aca="false">IF($C10741="","",$D10741*$E10741)</f>
        <v/>
      </c>
      <c r="G10741" s="107" t="str">
        <f aca="false">IF($C10741="","",$D10741*IFERROR(INDEX('تحليل التكلفة والسعر'!$C$2:$C$700,MATCH($C10741,'تحليل التكلفة والسعر'!$B$2:$B$700,0)),0))</f>
        <v/>
      </c>
    </row>
    <row r="10742" customFormat="false" ht="15" hidden="false" customHeight="false" outlineLevel="0" collapsed="false">
      <c r="A10742" s="103"/>
      <c r="B10742" s="104"/>
      <c r="C10742" s="104"/>
      <c r="E10742" s="107" t="str">
        <f aca="false">IF($C10742="","",IFERROR(INDEX(المنيو!$C$2:$C$500,MATCH($C10742,المنيو!$B$2:$B$500,0)),0))</f>
        <v/>
      </c>
      <c r="F10742" s="107" t="str">
        <f aca="false">IF($C10742="","",$D10742*$E10742)</f>
        <v/>
      </c>
      <c r="G10742" s="107" t="str">
        <f aca="false">IF($C10742="","",$D10742*IFERROR(INDEX('تحليل التكلفة والسعر'!$C$2:$C$700,MATCH($C10742,'تحليل التكلفة والسعر'!$B$2:$B$700,0)),0))</f>
        <v/>
      </c>
    </row>
    <row r="10743" customFormat="false" ht="15" hidden="false" customHeight="false" outlineLevel="0" collapsed="false">
      <c r="A10743" s="103"/>
      <c r="B10743" s="104"/>
      <c r="C10743" s="104"/>
      <c r="E10743" s="107" t="str">
        <f aca="false">IF($C10743="","",IFERROR(INDEX(المنيو!$C$2:$C$500,MATCH($C10743,المنيو!$B$2:$B$500,0)),0))</f>
        <v/>
      </c>
      <c r="F10743" s="107" t="str">
        <f aca="false">IF($C10743="","",$D10743*$E10743)</f>
        <v/>
      </c>
      <c r="G10743" s="107" t="str">
        <f aca="false">IF($C10743="","",$D10743*IFERROR(INDEX('تحليل التكلفة والسعر'!$C$2:$C$700,MATCH($C10743,'تحليل التكلفة والسعر'!$B$2:$B$700,0)),0))</f>
        <v/>
      </c>
    </row>
    <row r="10744" customFormat="false" ht="15" hidden="false" customHeight="false" outlineLevel="0" collapsed="false">
      <c r="A10744" s="103"/>
      <c r="B10744" s="104"/>
      <c r="C10744" s="104"/>
      <c r="E10744" s="107" t="str">
        <f aca="false">IF($C10744="","",IFERROR(INDEX(المنيو!$C$2:$C$500,MATCH($C10744,المنيو!$B$2:$B$500,0)),0))</f>
        <v/>
      </c>
      <c r="F10744" s="107" t="str">
        <f aca="false">IF($C10744="","",$D10744*$E10744)</f>
        <v/>
      </c>
      <c r="G10744" s="107" t="str">
        <f aca="false">IF($C10744="","",$D10744*IFERROR(INDEX('تحليل التكلفة والسعر'!$C$2:$C$700,MATCH($C10744,'تحليل التكلفة والسعر'!$B$2:$B$700,0)),0))</f>
        <v/>
      </c>
    </row>
    <row r="10745" customFormat="false" ht="15" hidden="false" customHeight="false" outlineLevel="0" collapsed="false">
      <c r="A10745" s="103"/>
      <c r="B10745" s="104"/>
      <c r="C10745" s="104"/>
      <c r="E10745" s="107" t="str">
        <f aca="false">IF($C10745="","",IFERROR(INDEX(المنيو!$C$2:$C$500,MATCH($C10745,المنيو!$B$2:$B$500,0)),0))</f>
        <v/>
      </c>
      <c r="F10745" s="107" t="str">
        <f aca="false">IF($C10745="","",$D10745*$E10745)</f>
        <v/>
      </c>
      <c r="G10745" s="107" t="str">
        <f aca="false">IF($C10745="","",$D10745*IFERROR(INDEX('تحليل التكلفة والسعر'!$C$2:$C$700,MATCH($C10745,'تحليل التكلفة والسعر'!$B$2:$B$700,0)),0))</f>
        <v/>
      </c>
    </row>
    <row r="10746" customFormat="false" ht="15" hidden="false" customHeight="false" outlineLevel="0" collapsed="false">
      <c r="A10746" s="103"/>
      <c r="B10746" s="104"/>
      <c r="C10746" s="104"/>
      <c r="E10746" s="107" t="str">
        <f aca="false">IF($C10746="","",IFERROR(INDEX(المنيو!$C$2:$C$500,MATCH($C10746,المنيو!$B$2:$B$500,0)),0))</f>
        <v/>
      </c>
      <c r="F10746" s="107" t="str">
        <f aca="false">IF($C10746="","",$D10746*$E10746)</f>
        <v/>
      </c>
      <c r="G10746" s="107" t="str">
        <f aca="false">IF($C10746="","",$D10746*IFERROR(INDEX('تحليل التكلفة والسعر'!$C$2:$C$700,MATCH($C10746,'تحليل التكلفة والسعر'!$B$2:$B$700,0)),0))</f>
        <v/>
      </c>
    </row>
    <row r="10747" customFormat="false" ht="15" hidden="false" customHeight="false" outlineLevel="0" collapsed="false">
      <c r="A10747" s="103"/>
      <c r="B10747" s="104"/>
      <c r="C10747" s="104"/>
      <c r="E10747" s="107" t="str">
        <f aca="false">IF($C10747="","",IFERROR(INDEX(المنيو!$C$2:$C$500,MATCH($C10747,المنيو!$B$2:$B$500,0)),0))</f>
        <v/>
      </c>
      <c r="F10747" s="107" t="str">
        <f aca="false">IF($C10747="","",$D10747*$E10747)</f>
        <v/>
      </c>
      <c r="G10747" s="107" t="str">
        <f aca="false">IF($C10747="","",$D10747*IFERROR(INDEX('تحليل التكلفة والسعر'!$C$2:$C$700,MATCH($C10747,'تحليل التكلفة والسعر'!$B$2:$B$700,0)),0))</f>
        <v/>
      </c>
    </row>
    <row r="10748" customFormat="false" ht="15" hidden="false" customHeight="false" outlineLevel="0" collapsed="false">
      <c r="A10748" s="103"/>
      <c r="B10748" s="104"/>
      <c r="C10748" s="104"/>
      <c r="E10748" s="107" t="str">
        <f aca="false">IF($C10748="","",IFERROR(INDEX(المنيو!$C$2:$C$500,MATCH($C10748,المنيو!$B$2:$B$500,0)),0))</f>
        <v/>
      </c>
      <c r="F10748" s="107" t="str">
        <f aca="false">IF($C10748="","",$D10748*$E10748)</f>
        <v/>
      </c>
      <c r="G10748" s="107" t="str">
        <f aca="false">IF($C10748="","",$D10748*IFERROR(INDEX('تحليل التكلفة والسعر'!$C$2:$C$700,MATCH($C10748,'تحليل التكلفة والسعر'!$B$2:$B$700,0)),0))</f>
        <v/>
      </c>
    </row>
    <row r="10749" customFormat="false" ht="15" hidden="false" customHeight="false" outlineLevel="0" collapsed="false">
      <c r="A10749" s="103"/>
      <c r="B10749" s="104"/>
      <c r="C10749" s="104"/>
      <c r="E10749" s="107" t="str">
        <f aca="false">IF($C10749="","",IFERROR(INDEX(المنيو!$C$2:$C$500,MATCH($C10749,المنيو!$B$2:$B$500,0)),0))</f>
        <v/>
      </c>
      <c r="F10749" s="107" t="str">
        <f aca="false">IF($C10749="","",$D10749*$E10749)</f>
        <v/>
      </c>
      <c r="G10749" s="107" t="str">
        <f aca="false">IF($C10749="","",$D10749*IFERROR(INDEX('تحليل التكلفة والسعر'!$C$2:$C$700,MATCH($C10749,'تحليل التكلفة والسعر'!$B$2:$B$700,0)),0))</f>
        <v/>
      </c>
    </row>
    <row r="10750" customFormat="false" ht="15" hidden="false" customHeight="false" outlineLevel="0" collapsed="false">
      <c r="A10750" s="103"/>
      <c r="B10750" s="104"/>
      <c r="C10750" s="104"/>
      <c r="E10750" s="107" t="str">
        <f aca="false">IF($C10750="","",IFERROR(INDEX(المنيو!$C$2:$C$500,MATCH($C10750,المنيو!$B$2:$B$500,0)),0))</f>
        <v/>
      </c>
      <c r="F10750" s="107" t="str">
        <f aca="false">IF($C10750="","",$D10750*$E10750)</f>
        <v/>
      </c>
      <c r="G10750" s="107" t="str">
        <f aca="false">IF($C10750="","",$D10750*IFERROR(INDEX('تحليل التكلفة والسعر'!$C$2:$C$700,MATCH($C10750,'تحليل التكلفة والسعر'!$B$2:$B$700,0)),0))</f>
        <v/>
      </c>
    </row>
    <row r="10751" customFormat="false" ht="15" hidden="false" customHeight="false" outlineLevel="0" collapsed="false">
      <c r="A10751" s="103"/>
      <c r="B10751" s="104"/>
      <c r="C10751" s="104"/>
      <c r="E10751" s="107" t="str">
        <f aca="false">IF($C10751="","",IFERROR(INDEX(المنيو!$C$2:$C$500,MATCH($C10751,المنيو!$B$2:$B$500,0)),0))</f>
        <v/>
      </c>
      <c r="F10751" s="107" t="str">
        <f aca="false">IF($C10751="","",$D10751*$E10751)</f>
        <v/>
      </c>
      <c r="G10751" s="107" t="str">
        <f aca="false">IF($C10751="","",$D10751*IFERROR(INDEX('تحليل التكلفة والسعر'!$C$2:$C$700,MATCH($C10751,'تحليل التكلفة والسعر'!$B$2:$B$700,0)),0))</f>
        <v/>
      </c>
    </row>
    <row r="10752" customFormat="false" ht="15" hidden="false" customHeight="false" outlineLevel="0" collapsed="false">
      <c r="A10752" s="103"/>
      <c r="B10752" s="104"/>
      <c r="C10752" s="104"/>
      <c r="E10752" s="107" t="str">
        <f aca="false">IF($C10752="","",IFERROR(INDEX(المنيو!$C$2:$C$500,MATCH($C10752,المنيو!$B$2:$B$500,0)),0))</f>
        <v/>
      </c>
      <c r="F10752" s="107" t="str">
        <f aca="false">IF($C10752="","",$D10752*$E10752)</f>
        <v/>
      </c>
      <c r="G10752" s="107" t="str">
        <f aca="false">IF($C10752="","",$D10752*IFERROR(INDEX('تحليل التكلفة والسعر'!$C$2:$C$700,MATCH($C10752,'تحليل التكلفة والسعر'!$B$2:$B$700,0)),0))</f>
        <v/>
      </c>
    </row>
    <row r="10753" customFormat="false" ht="15" hidden="false" customHeight="false" outlineLevel="0" collapsed="false">
      <c r="A10753" s="103"/>
      <c r="B10753" s="104"/>
      <c r="C10753" s="104"/>
      <c r="E10753" s="107" t="str">
        <f aca="false">IF($C10753="","",IFERROR(INDEX(المنيو!$C$2:$C$500,MATCH($C10753,المنيو!$B$2:$B$500,0)),0))</f>
        <v/>
      </c>
      <c r="F10753" s="107" t="str">
        <f aca="false">IF($C10753="","",$D10753*$E10753)</f>
        <v/>
      </c>
      <c r="G10753" s="107" t="str">
        <f aca="false">IF($C10753="","",$D10753*IFERROR(INDEX('تحليل التكلفة والسعر'!$C$2:$C$700,MATCH($C10753,'تحليل التكلفة والسعر'!$B$2:$B$700,0)),0))</f>
        <v/>
      </c>
    </row>
    <row r="10754" customFormat="false" ht="15" hidden="false" customHeight="false" outlineLevel="0" collapsed="false">
      <c r="A10754" s="103"/>
      <c r="B10754" s="104"/>
      <c r="C10754" s="104"/>
      <c r="E10754" s="107" t="str">
        <f aca="false">IF($C10754="","",IFERROR(INDEX(المنيو!$C$2:$C$500,MATCH($C10754,المنيو!$B$2:$B$500,0)),0))</f>
        <v/>
      </c>
      <c r="F10754" s="107" t="str">
        <f aca="false">IF($C10754="","",$D10754*$E10754)</f>
        <v/>
      </c>
      <c r="G10754" s="107" t="str">
        <f aca="false">IF($C10754="","",$D10754*IFERROR(INDEX('تحليل التكلفة والسعر'!$C$2:$C$700,MATCH($C10754,'تحليل التكلفة والسعر'!$B$2:$B$700,0)),0))</f>
        <v/>
      </c>
    </row>
    <row r="10755" customFormat="false" ht="15" hidden="false" customHeight="false" outlineLevel="0" collapsed="false">
      <c r="A10755" s="103"/>
      <c r="B10755" s="104"/>
      <c r="C10755" s="104"/>
      <c r="E10755" s="107" t="str">
        <f aca="false">IF($C10755="","",IFERROR(INDEX(المنيو!$C$2:$C$500,MATCH($C10755,المنيو!$B$2:$B$500,0)),0))</f>
        <v/>
      </c>
      <c r="F10755" s="107" t="str">
        <f aca="false">IF($C10755="","",$D10755*$E10755)</f>
        <v/>
      </c>
      <c r="G10755" s="107" t="str">
        <f aca="false">IF($C10755="","",$D10755*IFERROR(INDEX('تحليل التكلفة والسعر'!$C$2:$C$700,MATCH($C10755,'تحليل التكلفة والسعر'!$B$2:$B$700,0)),0))</f>
        <v/>
      </c>
    </row>
    <row r="10756" customFormat="false" ht="15" hidden="false" customHeight="false" outlineLevel="0" collapsed="false">
      <c r="A10756" s="103"/>
      <c r="B10756" s="104"/>
      <c r="C10756" s="104"/>
      <c r="E10756" s="107" t="str">
        <f aca="false">IF($C10756="","",IFERROR(INDEX(المنيو!$C$2:$C$500,MATCH($C10756,المنيو!$B$2:$B$500,0)),0))</f>
        <v/>
      </c>
      <c r="F10756" s="107" t="str">
        <f aca="false">IF($C10756="","",$D10756*$E10756)</f>
        <v/>
      </c>
      <c r="G10756" s="107" t="str">
        <f aca="false">IF($C10756="","",$D10756*IFERROR(INDEX('تحليل التكلفة والسعر'!$C$2:$C$700,MATCH($C10756,'تحليل التكلفة والسعر'!$B$2:$B$700,0)),0))</f>
        <v/>
      </c>
    </row>
    <row r="10757" customFormat="false" ht="15" hidden="false" customHeight="false" outlineLevel="0" collapsed="false">
      <c r="A10757" s="103"/>
      <c r="B10757" s="104"/>
      <c r="C10757" s="104"/>
      <c r="E10757" s="107" t="str">
        <f aca="false">IF($C10757="","",IFERROR(INDEX(المنيو!$C$2:$C$500,MATCH($C10757,المنيو!$B$2:$B$500,0)),0))</f>
        <v/>
      </c>
      <c r="F10757" s="107" t="str">
        <f aca="false">IF($C10757="","",$D10757*$E10757)</f>
        <v/>
      </c>
      <c r="G10757" s="107" t="str">
        <f aca="false">IF($C10757="","",$D10757*IFERROR(INDEX('تحليل التكلفة والسعر'!$C$2:$C$700,MATCH($C10757,'تحليل التكلفة والسعر'!$B$2:$B$700,0)),0))</f>
        <v/>
      </c>
    </row>
    <row r="10758" customFormat="false" ht="15" hidden="false" customHeight="false" outlineLevel="0" collapsed="false">
      <c r="A10758" s="103"/>
      <c r="B10758" s="104"/>
      <c r="C10758" s="104"/>
      <c r="E10758" s="107" t="str">
        <f aca="false">IF($C10758="","",IFERROR(INDEX(المنيو!$C$2:$C$500,MATCH($C10758,المنيو!$B$2:$B$500,0)),0))</f>
        <v/>
      </c>
      <c r="F10758" s="107" t="str">
        <f aca="false">IF($C10758="","",$D10758*$E10758)</f>
        <v/>
      </c>
      <c r="G10758" s="107" t="str">
        <f aca="false">IF($C10758="","",$D10758*IFERROR(INDEX('تحليل التكلفة والسعر'!$C$2:$C$700,MATCH($C10758,'تحليل التكلفة والسعر'!$B$2:$B$700,0)),0))</f>
        <v/>
      </c>
    </row>
    <row r="10759" customFormat="false" ht="15" hidden="false" customHeight="false" outlineLevel="0" collapsed="false">
      <c r="A10759" s="103"/>
      <c r="B10759" s="104"/>
      <c r="C10759" s="104"/>
      <c r="E10759" s="107" t="str">
        <f aca="false">IF($C10759="","",IFERROR(INDEX(المنيو!$C$2:$C$500,MATCH($C10759,المنيو!$B$2:$B$500,0)),0))</f>
        <v/>
      </c>
      <c r="F10759" s="107" t="str">
        <f aca="false">IF($C10759="","",$D10759*$E10759)</f>
        <v/>
      </c>
      <c r="G10759" s="107" t="str">
        <f aca="false">IF($C10759="","",$D10759*IFERROR(INDEX('تحليل التكلفة والسعر'!$C$2:$C$700,MATCH($C10759,'تحليل التكلفة والسعر'!$B$2:$B$700,0)),0))</f>
        <v/>
      </c>
    </row>
    <row r="10760" customFormat="false" ht="15" hidden="false" customHeight="false" outlineLevel="0" collapsed="false">
      <c r="A10760" s="103"/>
      <c r="B10760" s="104"/>
      <c r="C10760" s="104"/>
      <c r="E10760" s="107" t="str">
        <f aca="false">IF($C10760="","",IFERROR(INDEX(المنيو!$C$2:$C$500,MATCH($C10760,المنيو!$B$2:$B$500,0)),0))</f>
        <v/>
      </c>
      <c r="F10760" s="107" t="str">
        <f aca="false">IF($C10760="","",$D10760*$E10760)</f>
        <v/>
      </c>
      <c r="G10760" s="107" t="str">
        <f aca="false">IF($C10760="","",$D10760*IFERROR(INDEX('تحليل التكلفة والسعر'!$C$2:$C$700,MATCH($C10760,'تحليل التكلفة والسعر'!$B$2:$B$700,0)),0))</f>
        <v/>
      </c>
    </row>
    <row r="10761" customFormat="false" ht="15" hidden="false" customHeight="false" outlineLevel="0" collapsed="false">
      <c r="A10761" s="103"/>
      <c r="B10761" s="104"/>
      <c r="C10761" s="104"/>
      <c r="E10761" s="107" t="str">
        <f aca="false">IF($C10761="","",IFERROR(INDEX(المنيو!$C$2:$C$500,MATCH($C10761,المنيو!$B$2:$B$500,0)),0))</f>
        <v/>
      </c>
      <c r="F10761" s="107" t="str">
        <f aca="false">IF($C10761="","",$D10761*$E10761)</f>
        <v/>
      </c>
      <c r="G10761" s="107" t="str">
        <f aca="false">IF($C10761="","",$D10761*IFERROR(INDEX('تحليل التكلفة والسعر'!$C$2:$C$700,MATCH($C10761,'تحليل التكلفة والسعر'!$B$2:$B$700,0)),0))</f>
        <v/>
      </c>
    </row>
    <row r="10762" customFormat="false" ht="15" hidden="false" customHeight="false" outlineLevel="0" collapsed="false">
      <c r="A10762" s="103"/>
      <c r="B10762" s="104"/>
      <c r="C10762" s="104"/>
      <c r="E10762" s="107" t="str">
        <f aca="false">IF($C10762="","",IFERROR(INDEX(المنيو!$C$2:$C$500,MATCH($C10762,المنيو!$B$2:$B$500,0)),0))</f>
        <v/>
      </c>
      <c r="F10762" s="107" t="str">
        <f aca="false">IF($C10762="","",$D10762*$E10762)</f>
        <v/>
      </c>
      <c r="G10762" s="107" t="str">
        <f aca="false">IF($C10762="","",$D10762*IFERROR(INDEX('تحليل التكلفة والسعر'!$C$2:$C$700,MATCH($C10762,'تحليل التكلفة والسعر'!$B$2:$B$700,0)),0))</f>
        <v/>
      </c>
    </row>
    <row r="10763" customFormat="false" ht="15" hidden="false" customHeight="false" outlineLevel="0" collapsed="false">
      <c r="A10763" s="103"/>
      <c r="B10763" s="104"/>
      <c r="C10763" s="104"/>
      <c r="E10763" s="107" t="str">
        <f aca="false">IF($C10763="","",IFERROR(INDEX(المنيو!$C$2:$C$500,MATCH($C10763,المنيو!$B$2:$B$500,0)),0))</f>
        <v/>
      </c>
      <c r="F10763" s="107" t="str">
        <f aca="false">IF($C10763="","",$D10763*$E10763)</f>
        <v/>
      </c>
      <c r="G10763" s="107" t="str">
        <f aca="false">IF($C10763="","",$D10763*IFERROR(INDEX('تحليل التكلفة والسعر'!$C$2:$C$700,MATCH($C10763,'تحليل التكلفة والسعر'!$B$2:$B$700,0)),0))</f>
        <v/>
      </c>
    </row>
    <row r="10764" customFormat="false" ht="15" hidden="false" customHeight="false" outlineLevel="0" collapsed="false">
      <c r="A10764" s="103"/>
      <c r="B10764" s="104"/>
      <c r="C10764" s="104"/>
      <c r="E10764" s="107" t="str">
        <f aca="false">IF($C10764="","",IFERROR(INDEX(المنيو!$C$2:$C$500,MATCH($C10764,المنيو!$B$2:$B$500,0)),0))</f>
        <v/>
      </c>
      <c r="F10764" s="107" t="str">
        <f aca="false">IF($C10764="","",$D10764*$E10764)</f>
        <v/>
      </c>
      <c r="G10764" s="107" t="str">
        <f aca="false">IF($C10764="","",$D10764*IFERROR(INDEX('تحليل التكلفة والسعر'!$C$2:$C$700,MATCH($C10764,'تحليل التكلفة والسعر'!$B$2:$B$700,0)),0))</f>
        <v/>
      </c>
    </row>
    <row r="10765" customFormat="false" ht="15" hidden="false" customHeight="false" outlineLevel="0" collapsed="false">
      <c r="A10765" s="103"/>
      <c r="B10765" s="104"/>
      <c r="C10765" s="104"/>
      <c r="E10765" s="107" t="str">
        <f aca="false">IF($C10765="","",IFERROR(INDEX(المنيو!$C$2:$C$500,MATCH($C10765,المنيو!$B$2:$B$500,0)),0))</f>
        <v/>
      </c>
      <c r="F10765" s="107" t="str">
        <f aca="false">IF($C10765="","",$D10765*$E10765)</f>
        <v/>
      </c>
      <c r="G10765" s="107" t="str">
        <f aca="false">IF($C10765="","",$D10765*IFERROR(INDEX('تحليل التكلفة والسعر'!$C$2:$C$700,MATCH($C10765,'تحليل التكلفة والسعر'!$B$2:$B$700,0)),0))</f>
        <v/>
      </c>
    </row>
    <row r="10766" customFormat="false" ht="15" hidden="false" customHeight="false" outlineLevel="0" collapsed="false">
      <c r="A10766" s="103"/>
      <c r="B10766" s="104"/>
      <c r="C10766" s="104"/>
      <c r="E10766" s="107" t="str">
        <f aca="false">IF($C10766="","",IFERROR(INDEX(المنيو!$C$2:$C$500,MATCH($C10766,المنيو!$B$2:$B$500,0)),0))</f>
        <v/>
      </c>
      <c r="F10766" s="107" t="str">
        <f aca="false">IF($C10766="","",$D10766*$E10766)</f>
        <v/>
      </c>
      <c r="G10766" s="107" t="str">
        <f aca="false">IF($C10766="","",$D10766*IFERROR(INDEX('تحليل التكلفة والسعر'!$C$2:$C$700,MATCH($C10766,'تحليل التكلفة والسعر'!$B$2:$B$700,0)),0))</f>
        <v/>
      </c>
    </row>
    <row r="10767" customFormat="false" ht="15" hidden="false" customHeight="false" outlineLevel="0" collapsed="false">
      <c r="A10767" s="103"/>
      <c r="B10767" s="104"/>
      <c r="C10767" s="104"/>
      <c r="E10767" s="107" t="str">
        <f aca="false">IF($C10767="","",IFERROR(INDEX(المنيو!$C$2:$C$500,MATCH($C10767,المنيو!$B$2:$B$500,0)),0))</f>
        <v/>
      </c>
      <c r="F10767" s="107" t="str">
        <f aca="false">IF($C10767="","",$D10767*$E10767)</f>
        <v/>
      </c>
      <c r="G10767" s="107" t="str">
        <f aca="false">IF($C10767="","",$D10767*IFERROR(INDEX('تحليل التكلفة والسعر'!$C$2:$C$700,MATCH($C10767,'تحليل التكلفة والسعر'!$B$2:$B$700,0)),0))</f>
        <v/>
      </c>
    </row>
    <row r="10768" customFormat="false" ht="15" hidden="false" customHeight="false" outlineLevel="0" collapsed="false">
      <c r="A10768" s="103"/>
      <c r="B10768" s="104"/>
      <c r="C10768" s="104"/>
      <c r="E10768" s="107" t="str">
        <f aca="false">IF($C10768="","",IFERROR(INDEX(المنيو!$C$2:$C$500,MATCH($C10768,المنيو!$B$2:$B$500,0)),0))</f>
        <v/>
      </c>
      <c r="F10768" s="107" t="str">
        <f aca="false">IF($C10768="","",$D10768*$E10768)</f>
        <v/>
      </c>
      <c r="G10768" s="107" t="str">
        <f aca="false">IF($C10768="","",$D10768*IFERROR(INDEX('تحليل التكلفة والسعر'!$C$2:$C$700,MATCH($C10768,'تحليل التكلفة والسعر'!$B$2:$B$700,0)),0))</f>
        <v/>
      </c>
    </row>
    <row r="10769" customFormat="false" ht="15" hidden="false" customHeight="false" outlineLevel="0" collapsed="false">
      <c r="A10769" s="103"/>
      <c r="B10769" s="104"/>
      <c r="C10769" s="104"/>
      <c r="E10769" s="107" t="str">
        <f aca="false">IF($C10769="","",IFERROR(INDEX(المنيو!$C$2:$C$500,MATCH($C10769,المنيو!$B$2:$B$500,0)),0))</f>
        <v/>
      </c>
      <c r="F10769" s="107" t="str">
        <f aca="false">IF($C10769="","",$D10769*$E10769)</f>
        <v/>
      </c>
      <c r="G10769" s="107" t="str">
        <f aca="false">IF($C10769="","",$D10769*IFERROR(INDEX('تحليل التكلفة والسعر'!$C$2:$C$700,MATCH($C10769,'تحليل التكلفة والسعر'!$B$2:$B$700,0)),0))</f>
        <v/>
      </c>
    </row>
    <row r="10770" customFormat="false" ht="15" hidden="false" customHeight="false" outlineLevel="0" collapsed="false">
      <c r="A10770" s="103"/>
      <c r="B10770" s="104"/>
      <c r="C10770" s="104"/>
      <c r="E10770" s="107" t="str">
        <f aca="false">IF($C10770="","",IFERROR(INDEX(المنيو!$C$2:$C$500,MATCH($C10770,المنيو!$B$2:$B$500,0)),0))</f>
        <v/>
      </c>
      <c r="F10770" s="107" t="str">
        <f aca="false">IF($C10770="","",$D10770*$E10770)</f>
        <v/>
      </c>
      <c r="G10770" s="107" t="str">
        <f aca="false">IF($C10770="","",$D10770*IFERROR(INDEX('تحليل التكلفة والسعر'!$C$2:$C$700,MATCH($C10770,'تحليل التكلفة والسعر'!$B$2:$B$700,0)),0))</f>
        <v/>
      </c>
    </row>
    <row r="10771" customFormat="false" ht="15" hidden="false" customHeight="false" outlineLevel="0" collapsed="false">
      <c r="A10771" s="103"/>
      <c r="B10771" s="104"/>
      <c r="C10771" s="104"/>
      <c r="E10771" s="107" t="str">
        <f aca="false">IF($C10771="","",IFERROR(INDEX(المنيو!$C$2:$C$500,MATCH($C10771,المنيو!$B$2:$B$500,0)),0))</f>
        <v/>
      </c>
      <c r="F10771" s="107" t="str">
        <f aca="false">IF($C10771="","",$D10771*$E10771)</f>
        <v/>
      </c>
      <c r="G10771" s="107" t="str">
        <f aca="false">IF($C10771="","",$D10771*IFERROR(INDEX('تحليل التكلفة والسعر'!$C$2:$C$700,MATCH($C10771,'تحليل التكلفة والسعر'!$B$2:$B$700,0)),0))</f>
        <v/>
      </c>
    </row>
    <row r="10772" customFormat="false" ht="15" hidden="false" customHeight="false" outlineLevel="0" collapsed="false">
      <c r="A10772" s="103"/>
      <c r="B10772" s="104"/>
      <c r="C10772" s="104"/>
      <c r="E10772" s="107" t="str">
        <f aca="false">IF($C10772="","",IFERROR(INDEX(المنيو!$C$2:$C$500,MATCH($C10772,المنيو!$B$2:$B$500,0)),0))</f>
        <v/>
      </c>
      <c r="F10772" s="107" t="str">
        <f aca="false">IF($C10772="","",$D10772*$E10772)</f>
        <v/>
      </c>
      <c r="G10772" s="107" t="str">
        <f aca="false">IF($C10772="","",$D10772*IFERROR(INDEX('تحليل التكلفة والسعر'!$C$2:$C$700,MATCH($C10772,'تحليل التكلفة والسعر'!$B$2:$B$700,0)),0))</f>
        <v/>
      </c>
    </row>
    <row r="10773" customFormat="false" ht="15" hidden="false" customHeight="false" outlineLevel="0" collapsed="false">
      <c r="A10773" s="103"/>
      <c r="B10773" s="104"/>
      <c r="C10773" s="104"/>
      <c r="E10773" s="107" t="str">
        <f aca="false">IF($C10773="","",IFERROR(INDEX(المنيو!$C$2:$C$500,MATCH($C10773,المنيو!$B$2:$B$500,0)),0))</f>
        <v/>
      </c>
      <c r="F10773" s="107" t="str">
        <f aca="false">IF($C10773="","",$D10773*$E10773)</f>
        <v/>
      </c>
      <c r="G10773" s="107" t="str">
        <f aca="false">IF($C10773="","",$D10773*IFERROR(INDEX('تحليل التكلفة والسعر'!$C$2:$C$700,MATCH($C10773,'تحليل التكلفة والسعر'!$B$2:$B$700,0)),0))</f>
        <v/>
      </c>
    </row>
    <row r="10774" customFormat="false" ht="15" hidden="false" customHeight="false" outlineLevel="0" collapsed="false">
      <c r="A10774" s="103"/>
      <c r="B10774" s="104"/>
      <c r="C10774" s="104"/>
      <c r="E10774" s="107" t="str">
        <f aca="false">IF($C10774="","",IFERROR(INDEX(المنيو!$C$2:$C$500,MATCH($C10774,المنيو!$B$2:$B$500,0)),0))</f>
        <v/>
      </c>
      <c r="F10774" s="107" t="str">
        <f aca="false">IF($C10774="","",$D10774*$E10774)</f>
        <v/>
      </c>
      <c r="G10774" s="107" t="str">
        <f aca="false">IF($C10774="","",$D10774*IFERROR(INDEX('تحليل التكلفة والسعر'!$C$2:$C$700,MATCH($C10774,'تحليل التكلفة والسعر'!$B$2:$B$700,0)),0))</f>
        <v/>
      </c>
    </row>
    <row r="10775" customFormat="false" ht="15" hidden="false" customHeight="false" outlineLevel="0" collapsed="false">
      <c r="A10775" s="103"/>
      <c r="B10775" s="104"/>
      <c r="C10775" s="104"/>
      <c r="E10775" s="107" t="str">
        <f aca="false">IF($C10775="","",IFERROR(INDEX(المنيو!$C$2:$C$500,MATCH($C10775,المنيو!$B$2:$B$500,0)),0))</f>
        <v/>
      </c>
      <c r="F10775" s="107" t="str">
        <f aca="false">IF($C10775="","",$D10775*$E10775)</f>
        <v/>
      </c>
      <c r="G10775" s="107" t="str">
        <f aca="false">IF($C10775="","",$D10775*IFERROR(INDEX('تحليل التكلفة والسعر'!$C$2:$C$700,MATCH($C10775,'تحليل التكلفة والسعر'!$B$2:$B$700,0)),0))</f>
        <v/>
      </c>
    </row>
    <row r="10776" customFormat="false" ht="15" hidden="false" customHeight="false" outlineLevel="0" collapsed="false">
      <c r="A10776" s="103"/>
      <c r="B10776" s="104"/>
      <c r="C10776" s="104"/>
      <c r="E10776" s="107" t="str">
        <f aca="false">IF($C10776="","",IFERROR(INDEX(المنيو!$C$2:$C$500,MATCH($C10776,المنيو!$B$2:$B$500,0)),0))</f>
        <v/>
      </c>
      <c r="F10776" s="107" t="str">
        <f aca="false">IF($C10776="","",$D10776*$E10776)</f>
        <v/>
      </c>
      <c r="G10776" s="107" t="str">
        <f aca="false">IF($C10776="","",$D10776*IFERROR(INDEX('تحليل التكلفة والسعر'!$C$2:$C$700,MATCH($C10776,'تحليل التكلفة والسعر'!$B$2:$B$700,0)),0))</f>
        <v/>
      </c>
    </row>
    <row r="10777" customFormat="false" ht="15" hidden="false" customHeight="false" outlineLevel="0" collapsed="false">
      <c r="A10777" s="103"/>
      <c r="B10777" s="104"/>
      <c r="C10777" s="104"/>
      <c r="E10777" s="107" t="str">
        <f aca="false">IF($C10777="","",IFERROR(INDEX(المنيو!$C$2:$C$500,MATCH($C10777,المنيو!$B$2:$B$500,0)),0))</f>
        <v/>
      </c>
      <c r="F10777" s="107" t="str">
        <f aca="false">IF($C10777="","",$D10777*$E10777)</f>
        <v/>
      </c>
      <c r="G10777" s="107" t="str">
        <f aca="false">IF($C10777="","",$D10777*IFERROR(INDEX('تحليل التكلفة والسعر'!$C$2:$C$700,MATCH($C10777,'تحليل التكلفة والسعر'!$B$2:$B$700,0)),0))</f>
        <v/>
      </c>
    </row>
    <row r="10778" customFormat="false" ht="15" hidden="false" customHeight="false" outlineLevel="0" collapsed="false">
      <c r="A10778" s="103"/>
      <c r="B10778" s="104"/>
      <c r="C10778" s="104"/>
      <c r="E10778" s="107" t="str">
        <f aca="false">IF($C10778="","",IFERROR(INDEX(المنيو!$C$2:$C$500,MATCH($C10778,المنيو!$B$2:$B$500,0)),0))</f>
        <v/>
      </c>
      <c r="F10778" s="107" t="str">
        <f aca="false">IF($C10778="","",$D10778*$E10778)</f>
        <v/>
      </c>
      <c r="G10778" s="107" t="str">
        <f aca="false">IF($C10778="","",$D10778*IFERROR(INDEX('تحليل التكلفة والسعر'!$C$2:$C$700,MATCH($C10778,'تحليل التكلفة والسعر'!$B$2:$B$700,0)),0))</f>
        <v/>
      </c>
    </row>
    <row r="10779" customFormat="false" ht="15" hidden="false" customHeight="false" outlineLevel="0" collapsed="false">
      <c r="A10779" s="103"/>
      <c r="B10779" s="104"/>
      <c r="C10779" s="104"/>
      <c r="E10779" s="107" t="str">
        <f aca="false">IF($C10779="","",IFERROR(INDEX(المنيو!$C$2:$C$500,MATCH($C10779,المنيو!$B$2:$B$500,0)),0))</f>
        <v/>
      </c>
      <c r="F10779" s="107" t="str">
        <f aca="false">IF($C10779="","",$D10779*$E10779)</f>
        <v/>
      </c>
      <c r="G10779" s="107" t="str">
        <f aca="false">IF($C10779="","",$D10779*IFERROR(INDEX('تحليل التكلفة والسعر'!$C$2:$C$700,MATCH($C10779,'تحليل التكلفة والسعر'!$B$2:$B$700,0)),0))</f>
        <v/>
      </c>
    </row>
    <row r="10780" customFormat="false" ht="15" hidden="false" customHeight="false" outlineLevel="0" collapsed="false">
      <c r="A10780" s="103"/>
      <c r="B10780" s="104"/>
      <c r="C10780" s="104"/>
      <c r="E10780" s="107" t="str">
        <f aca="false">IF($C10780="","",IFERROR(INDEX(المنيو!$C$2:$C$500,MATCH($C10780,المنيو!$B$2:$B$500,0)),0))</f>
        <v/>
      </c>
      <c r="F10780" s="107" t="str">
        <f aca="false">IF($C10780="","",$D10780*$E10780)</f>
        <v/>
      </c>
      <c r="G10780" s="107" t="str">
        <f aca="false">IF($C10780="","",$D10780*IFERROR(INDEX('تحليل التكلفة والسعر'!$C$2:$C$700,MATCH($C10780,'تحليل التكلفة والسعر'!$B$2:$B$700,0)),0))</f>
        <v/>
      </c>
    </row>
    <row r="10781" customFormat="false" ht="15" hidden="false" customHeight="false" outlineLevel="0" collapsed="false">
      <c r="A10781" s="103"/>
      <c r="B10781" s="104"/>
      <c r="C10781" s="104"/>
      <c r="E10781" s="107" t="str">
        <f aca="false">IF($C10781="","",IFERROR(INDEX(المنيو!$C$2:$C$500,MATCH($C10781,المنيو!$B$2:$B$500,0)),0))</f>
        <v/>
      </c>
      <c r="F10781" s="107" t="str">
        <f aca="false">IF($C10781="","",$D10781*$E10781)</f>
        <v/>
      </c>
      <c r="G10781" s="107" t="str">
        <f aca="false">IF($C10781="","",$D10781*IFERROR(INDEX('تحليل التكلفة والسعر'!$C$2:$C$700,MATCH($C10781,'تحليل التكلفة والسعر'!$B$2:$B$700,0)),0))</f>
        <v/>
      </c>
    </row>
    <row r="10782" customFormat="false" ht="15" hidden="false" customHeight="false" outlineLevel="0" collapsed="false">
      <c r="A10782" s="103"/>
      <c r="B10782" s="104"/>
      <c r="C10782" s="104"/>
      <c r="E10782" s="107" t="str">
        <f aca="false">IF($C10782="","",IFERROR(INDEX(المنيو!$C$2:$C$500,MATCH($C10782,المنيو!$B$2:$B$500,0)),0))</f>
        <v/>
      </c>
      <c r="F10782" s="107" t="str">
        <f aca="false">IF($C10782="","",$D10782*$E10782)</f>
        <v/>
      </c>
      <c r="G10782" s="107" t="str">
        <f aca="false">IF($C10782="","",$D10782*IFERROR(INDEX('تحليل التكلفة والسعر'!$C$2:$C$700,MATCH($C10782,'تحليل التكلفة والسعر'!$B$2:$B$700,0)),0))</f>
        <v/>
      </c>
    </row>
    <row r="10783" customFormat="false" ht="15" hidden="false" customHeight="false" outlineLevel="0" collapsed="false">
      <c r="A10783" s="103"/>
      <c r="B10783" s="104"/>
      <c r="C10783" s="104"/>
      <c r="E10783" s="107" t="str">
        <f aca="false">IF($C10783="","",IFERROR(INDEX(المنيو!$C$2:$C$500,MATCH($C10783,المنيو!$B$2:$B$500,0)),0))</f>
        <v/>
      </c>
      <c r="F10783" s="107" t="str">
        <f aca="false">IF($C10783="","",$D10783*$E10783)</f>
        <v/>
      </c>
      <c r="G10783" s="107" t="str">
        <f aca="false">IF($C10783="","",$D10783*IFERROR(INDEX('تحليل التكلفة والسعر'!$C$2:$C$700,MATCH($C10783,'تحليل التكلفة والسعر'!$B$2:$B$700,0)),0))</f>
        <v/>
      </c>
    </row>
    <row r="10784" customFormat="false" ht="15" hidden="false" customHeight="false" outlineLevel="0" collapsed="false">
      <c r="A10784" s="103"/>
      <c r="B10784" s="104"/>
      <c r="C10784" s="104"/>
      <c r="E10784" s="107" t="str">
        <f aca="false">IF($C10784="","",IFERROR(INDEX(المنيو!$C$2:$C$500,MATCH($C10784,المنيو!$B$2:$B$500,0)),0))</f>
        <v/>
      </c>
      <c r="F10784" s="107" t="str">
        <f aca="false">IF($C10784="","",$D10784*$E10784)</f>
        <v/>
      </c>
      <c r="G10784" s="107" t="str">
        <f aca="false">IF($C10784="","",$D10784*IFERROR(INDEX('تحليل التكلفة والسعر'!$C$2:$C$700,MATCH($C10784,'تحليل التكلفة والسعر'!$B$2:$B$700,0)),0))</f>
        <v/>
      </c>
    </row>
    <row r="10785" customFormat="false" ht="15" hidden="false" customHeight="false" outlineLevel="0" collapsed="false">
      <c r="A10785" s="103"/>
      <c r="B10785" s="104"/>
      <c r="C10785" s="104"/>
      <c r="E10785" s="107" t="str">
        <f aca="false">IF($C10785="","",IFERROR(INDEX(المنيو!$C$2:$C$500,MATCH($C10785,المنيو!$B$2:$B$500,0)),0))</f>
        <v/>
      </c>
      <c r="F10785" s="107" t="str">
        <f aca="false">IF($C10785="","",$D10785*$E10785)</f>
        <v/>
      </c>
      <c r="G10785" s="107" t="str">
        <f aca="false">IF($C10785="","",$D10785*IFERROR(INDEX('تحليل التكلفة والسعر'!$C$2:$C$700,MATCH($C10785,'تحليل التكلفة والسعر'!$B$2:$B$700,0)),0))</f>
        <v/>
      </c>
    </row>
    <row r="10786" customFormat="false" ht="15" hidden="false" customHeight="false" outlineLevel="0" collapsed="false">
      <c r="A10786" s="103"/>
      <c r="B10786" s="104"/>
      <c r="C10786" s="104"/>
      <c r="E10786" s="107" t="str">
        <f aca="false">IF($C10786="","",IFERROR(INDEX(المنيو!$C$2:$C$500,MATCH($C10786,المنيو!$B$2:$B$500,0)),0))</f>
        <v/>
      </c>
      <c r="F10786" s="107" t="str">
        <f aca="false">IF($C10786="","",$D10786*$E10786)</f>
        <v/>
      </c>
      <c r="G10786" s="107" t="str">
        <f aca="false">IF($C10786="","",$D10786*IFERROR(INDEX('تحليل التكلفة والسعر'!$C$2:$C$700,MATCH($C10786,'تحليل التكلفة والسعر'!$B$2:$B$700,0)),0))</f>
        <v/>
      </c>
    </row>
    <row r="10787" customFormat="false" ht="15" hidden="false" customHeight="false" outlineLevel="0" collapsed="false">
      <c r="A10787" s="103"/>
      <c r="B10787" s="104"/>
      <c r="C10787" s="104"/>
      <c r="E10787" s="107" t="str">
        <f aca="false">IF($C10787="","",IFERROR(INDEX(المنيو!$C$2:$C$500,MATCH($C10787,المنيو!$B$2:$B$500,0)),0))</f>
        <v/>
      </c>
      <c r="F10787" s="107" t="str">
        <f aca="false">IF($C10787="","",$D10787*$E10787)</f>
        <v/>
      </c>
      <c r="G10787" s="107" t="str">
        <f aca="false">IF($C10787="","",$D10787*IFERROR(INDEX('تحليل التكلفة والسعر'!$C$2:$C$700,MATCH($C10787,'تحليل التكلفة والسعر'!$B$2:$B$700,0)),0))</f>
        <v/>
      </c>
    </row>
    <row r="10788" customFormat="false" ht="15" hidden="false" customHeight="false" outlineLevel="0" collapsed="false">
      <c r="A10788" s="103"/>
      <c r="B10788" s="104"/>
      <c r="C10788" s="104"/>
      <c r="E10788" s="107" t="str">
        <f aca="false">IF($C10788="","",IFERROR(INDEX(المنيو!$C$2:$C$500,MATCH($C10788,المنيو!$B$2:$B$500,0)),0))</f>
        <v/>
      </c>
      <c r="F10788" s="107" t="str">
        <f aca="false">IF($C10788="","",$D10788*$E10788)</f>
        <v/>
      </c>
      <c r="G10788" s="107" t="str">
        <f aca="false">IF($C10788="","",$D10788*IFERROR(INDEX('تحليل التكلفة والسعر'!$C$2:$C$700,MATCH($C10788,'تحليل التكلفة والسعر'!$B$2:$B$700,0)),0))</f>
        <v/>
      </c>
    </row>
    <row r="10789" customFormat="false" ht="15" hidden="false" customHeight="false" outlineLevel="0" collapsed="false">
      <c r="A10789" s="103"/>
      <c r="B10789" s="104"/>
      <c r="C10789" s="104"/>
      <c r="E10789" s="107" t="str">
        <f aca="false">IF($C10789="","",IFERROR(INDEX(المنيو!$C$2:$C$500,MATCH($C10789,المنيو!$B$2:$B$500,0)),0))</f>
        <v/>
      </c>
      <c r="F10789" s="107" t="str">
        <f aca="false">IF($C10789="","",$D10789*$E10789)</f>
        <v/>
      </c>
      <c r="G10789" s="107" t="str">
        <f aca="false">IF($C10789="","",$D10789*IFERROR(INDEX('تحليل التكلفة والسعر'!$C$2:$C$700,MATCH($C10789,'تحليل التكلفة والسعر'!$B$2:$B$700,0)),0))</f>
        <v/>
      </c>
    </row>
    <row r="10790" customFormat="false" ht="15" hidden="false" customHeight="false" outlineLevel="0" collapsed="false">
      <c r="A10790" s="103"/>
      <c r="B10790" s="104"/>
      <c r="C10790" s="104"/>
      <c r="E10790" s="107" t="str">
        <f aca="false">IF($C10790="","",IFERROR(INDEX(المنيو!$C$2:$C$500,MATCH($C10790,المنيو!$B$2:$B$500,0)),0))</f>
        <v/>
      </c>
      <c r="F10790" s="107" t="str">
        <f aca="false">IF($C10790="","",$D10790*$E10790)</f>
        <v/>
      </c>
      <c r="G10790" s="107" t="str">
        <f aca="false">IF($C10790="","",$D10790*IFERROR(INDEX('تحليل التكلفة والسعر'!$C$2:$C$700,MATCH($C10790,'تحليل التكلفة والسعر'!$B$2:$B$700,0)),0))</f>
        <v/>
      </c>
    </row>
    <row r="10791" customFormat="false" ht="15" hidden="false" customHeight="false" outlineLevel="0" collapsed="false">
      <c r="A10791" s="103"/>
      <c r="B10791" s="104"/>
      <c r="C10791" s="104"/>
      <c r="E10791" s="107" t="str">
        <f aca="false">IF($C10791="","",IFERROR(INDEX(المنيو!$C$2:$C$500,MATCH($C10791,المنيو!$B$2:$B$500,0)),0))</f>
        <v/>
      </c>
      <c r="F10791" s="107" t="str">
        <f aca="false">IF($C10791="","",$D10791*$E10791)</f>
        <v/>
      </c>
      <c r="G10791" s="107" t="str">
        <f aca="false">IF($C10791="","",$D10791*IFERROR(INDEX('تحليل التكلفة والسعر'!$C$2:$C$700,MATCH($C10791,'تحليل التكلفة والسعر'!$B$2:$B$700,0)),0))</f>
        <v/>
      </c>
    </row>
    <row r="10792" customFormat="false" ht="15" hidden="false" customHeight="false" outlineLevel="0" collapsed="false">
      <c r="A10792" s="103"/>
      <c r="B10792" s="104"/>
      <c r="C10792" s="104"/>
      <c r="E10792" s="107" t="str">
        <f aca="false">IF($C10792="","",IFERROR(INDEX(المنيو!$C$2:$C$500,MATCH($C10792,المنيو!$B$2:$B$500,0)),0))</f>
        <v/>
      </c>
      <c r="F10792" s="107" t="str">
        <f aca="false">IF($C10792="","",$D10792*$E10792)</f>
        <v/>
      </c>
      <c r="G10792" s="107" t="str">
        <f aca="false">IF($C10792="","",$D10792*IFERROR(INDEX('تحليل التكلفة والسعر'!$C$2:$C$700,MATCH($C10792,'تحليل التكلفة والسعر'!$B$2:$B$700,0)),0))</f>
        <v/>
      </c>
    </row>
    <row r="10793" customFormat="false" ht="15" hidden="false" customHeight="false" outlineLevel="0" collapsed="false">
      <c r="A10793" s="103"/>
      <c r="B10793" s="104"/>
      <c r="C10793" s="104"/>
      <c r="E10793" s="107" t="str">
        <f aca="false">IF($C10793="","",IFERROR(INDEX(المنيو!$C$2:$C$500,MATCH($C10793,المنيو!$B$2:$B$500,0)),0))</f>
        <v/>
      </c>
      <c r="F10793" s="107" t="str">
        <f aca="false">IF($C10793="","",$D10793*$E10793)</f>
        <v/>
      </c>
      <c r="G10793" s="107" t="str">
        <f aca="false">IF($C10793="","",$D10793*IFERROR(INDEX('تحليل التكلفة والسعر'!$C$2:$C$700,MATCH($C10793,'تحليل التكلفة والسعر'!$B$2:$B$700,0)),0))</f>
        <v/>
      </c>
    </row>
    <row r="10794" customFormat="false" ht="15" hidden="false" customHeight="false" outlineLevel="0" collapsed="false">
      <c r="A10794" s="103"/>
      <c r="B10794" s="104"/>
      <c r="C10794" s="104"/>
      <c r="E10794" s="107" t="str">
        <f aca="false">IF($C10794="","",IFERROR(INDEX(المنيو!$C$2:$C$500,MATCH($C10794,المنيو!$B$2:$B$500,0)),0))</f>
        <v/>
      </c>
      <c r="F10794" s="107" t="str">
        <f aca="false">IF($C10794="","",$D10794*$E10794)</f>
        <v/>
      </c>
      <c r="G10794" s="107" t="str">
        <f aca="false">IF($C10794="","",$D10794*IFERROR(INDEX('تحليل التكلفة والسعر'!$C$2:$C$700,MATCH($C10794,'تحليل التكلفة والسعر'!$B$2:$B$700,0)),0))</f>
        <v/>
      </c>
    </row>
    <row r="10795" customFormat="false" ht="15" hidden="false" customHeight="false" outlineLevel="0" collapsed="false">
      <c r="A10795" s="103"/>
      <c r="B10795" s="104"/>
      <c r="C10795" s="104"/>
      <c r="E10795" s="107" t="str">
        <f aca="false">IF($C10795="","",IFERROR(INDEX(المنيو!$C$2:$C$500,MATCH($C10795,المنيو!$B$2:$B$500,0)),0))</f>
        <v/>
      </c>
      <c r="F10795" s="107" t="str">
        <f aca="false">IF($C10795="","",$D10795*$E10795)</f>
        <v/>
      </c>
      <c r="G10795" s="107" t="str">
        <f aca="false">IF($C10795="","",$D10795*IFERROR(INDEX('تحليل التكلفة والسعر'!$C$2:$C$700,MATCH($C10795,'تحليل التكلفة والسعر'!$B$2:$B$700,0)),0))</f>
        <v/>
      </c>
    </row>
    <row r="10796" customFormat="false" ht="15" hidden="false" customHeight="false" outlineLevel="0" collapsed="false">
      <c r="A10796" s="103"/>
      <c r="B10796" s="104"/>
      <c r="C10796" s="104"/>
      <c r="E10796" s="107" t="str">
        <f aca="false">IF($C10796="","",IFERROR(INDEX(المنيو!$C$2:$C$500,MATCH($C10796,المنيو!$B$2:$B$500,0)),0))</f>
        <v/>
      </c>
      <c r="F10796" s="107" t="str">
        <f aca="false">IF($C10796="","",$D10796*$E10796)</f>
        <v/>
      </c>
      <c r="G10796" s="107" t="str">
        <f aca="false">IF($C10796="","",$D10796*IFERROR(INDEX('تحليل التكلفة والسعر'!$C$2:$C$700,MATCH($C10796,'تحليل التكلفة والسعر'!$B$2:$B$700,0)),0))</f>
        <v/>
      </c>
    </row>
    <row r="10797" customFormat="false" ht="15" hidden="false" customHeight="false" outlineLevel="0" collapsed="false">
      <c r="A10797" s="103"/>
      <c r="B10797" s="104"/>
      <c r="C10797" s="104"/>
      <c r="E10797" s="107" t="str">
        <f aca="false">IF($C10797="","",IFERROR(INDEX(المنيو!$C$2:$C$500,MATCH($C10797,المنيو!$B$2:$B$500,0)),0))</f>
        <v/>
      </c>
      <c r="F10797" s="107" t="str">
        <f aca="false">IF($C10797="","",$D10797*$E10797)</f>
        <v/>
      </c>
      <c r="G10797" s="107" t="str">
        <f aca="false">IF($C10797="","",$D10797*IFERROR(INDEX('تحليل التكلفة والسعر'!$C$2:$C$700,MATCH($C10797,'تحليل التكلفة والسعر'!$B$2:$B$700,0)),0))</f>
        <v/>
      </c>
    </row>
    <row r="10798" customFormat="false" ht="15" hidden="false" customHeight="false" outlineLevel="0" collapsed="false">
      <c r="A10798" s="103"/>
      <c r="B10798" s="104"/>
      <c r="C10798" s="104"/>
      <c r="E10798" s="107" t="str">
        <f aca="false">IF($C10798="","",IFERROR(INDEX(المنيو!$C$2:$C$500,MATCH($C10798,المنيو!$B$2:$B$500,0)),0))</f>
        <v/>
      </c>
      <c r="F10798" s="107" t="str">
        <f aca="false">IF($C10798="","",$D10798*$E10798)</f>
        <v/>
      </c>
      <c r="G10798" s="107" t="str">
        <f aca="false">IF($C10798="","",$D10798*IFERROR(INDEX('تحليل التكلفة والسعر'!$C$2:$C$700,MATCH($C10798,'تحليل التكلفة والسعر'!$B$2:$B$700,0)),0))</f>
        <v/>
      </c>
    </row>
    <row r="10799" customFormat="false" ht="15" hidden="false" customHeight="false" outlineLevel="0" collapsed="false">
      <c r="A10799" s="103"/>
      <c r="B10799" s="104"/>
      <c r="C10799" s="104"/>
      <c r="E10799" s="107" t="str">
        <f aca="false">IF($C10799="","",IFERROR(INDEX(المنيو!$C$2:$C$500,MATCH($C10799,المنيو!$B$2:$B$500,0)),0))</f>
        <v/>
      </c>
      <c r="F10799" s="107" t="str">
        <f aca="false">IF($C10799="","",$D10799*$E10799)</f>
        <v/>
      </c>
      <c r="G10799" s="107" t="str">
        <f aca="false">IF($C10799="","",$D10799*IFERROR(INDEX('تحليل التكلفة والسعر'!$C$2:$C$700,MATCH($C10799,'تحليل التكلفة والسعر'!$B$2:$B$700,0)),0))</f>
        <v/>
      </c>
    </row>
    <row r="10800" customFormat="false" ht="15" hidden="false" customHeight="false" outlineLevel="0" collapsed="false">
      <c r="A10800" s="103"/>
      <c r="B10800" s="104"/>
      <c r="C10800" s="104"/>
      <c r="E10800" s="107" t="str">
        <f aca="false">IF($C10800="","",IFERROR(INDEX(المنيو!$C$2:$C$500,MATCH($C10800,المنيو!$B$2:$B$500,0)),0))</f>
        <v/>
      </c>
      <c r="F10800" s="107" t="str">
        <f aca="false">IF($C10800="","",$D10800*$E10800)</f>
        <v/>
      </c>
      <c r="G10800" s="107" t="str">
        <f aca="false">IF($C10800="","",$D10800*IFERROR(INDEX('تحليل التكلفة والسعر'!$C$2:$C$700,MATCH($C10800,'تحليل التكلفة والسعر'!$B$2:$B$700,0)),0))</f>
        <v/>
      </c>
    </row>
    <row r="10801" customFormat="false" ht="15" hidden="false" customHeight="false" outlineLevel="0" collapsed="false">
      <c r="A10801" s="103"/>
      <c r="B10801" s="104"/>
      <c r="C10801" s="104"/>
      <c r="E10801" s="107" t="str">
        <f aca="false">IF($C10801="","",IFERROR(INDEX(المنيو!$C$2:$C$500,MATCH($C10801,المنيو!$B$2:$B$500,0)),0))</f>
        <v/>
      </c>
      <c r="F10801" s="107" t="str">
        <f aca="false">IF($C10801="","",$D10801*$E10801)</f>
        <v/>
      </c>
      <c r="G10801" s="107" t="str">
        <f aca="false">IF($C10801="","",$D10801*IFERROR(INDEX('تحليل التكلفة والسعر'!$C$2:$C$700,MATCH($C10801,'تحليل التكلفة والسعر'!$B$2:$B$700,0)),0))</f>
        <v/>
      </c>
    </row>
    <row r="10802" customFormat="false" ht="15" hidden="false" customHeight="false" outlineLevel="0" collapsed="false">
      <c r="A10802" s="103"/>
      <c r="B10802" s="104"/>
      <c r="C10802" s="104"/>
      <c r="E10802" s="107" t="str">
        <f aca="false">IF($C10802="","",IFERROR(INDEX(المنيو!$C$2:$C$500,MATCH($C10802,المنيو!$B$2:$B$500,0)),0))</f>
        <v/>
      </c>
      <c r="F10802" s="107" t="str">
        <f aca="false">IF($C10802="","",$D10802*$E10802)</f>
        <v/>
      </c>
      <c r="G10802" s="107" t="str">
        <f aca="false">IF($C10802="","",$D10802*IFERROR(INDEX('تحليل التكلفة والسعر'!$C$2:$C$700,MATCH($C10802,'تحليل التكلفة والسعر'!$B$2:$B$700,0)),0))</f>
        <v/>
      </c>
    </row>
    <row r="10803" customFormat="false" ht="15" hidden="false" customHeight="false" outlineLevel="0" collapsed="false">
      <c r="A10803" s="103"/>
      <c r="B10803" s="104"/>
      <c r="C10803" s="104"/>
      <c r="E10803" s="107" t="str">
        <f aca="false">IF($C10803="","",IFERROR(INDEX(المنيو!$C$2:$C$500,MATCH($C10803,المنيو!$B$2:$B$500,0)),0))</f>
        <v/>
      </c>
      <c r="F10803" s="107" t="str">
        <f aca="false">IF($C10803="","",$D10803*$E10803)</f>
        <v/>
      </c>
      <c r="G10803" s="107" t="str">
        <f aca="false">IF($C10803="","",$D10803*IFERROR(INDEX('تحليل التكلفة والسعر'!$C$2:$C$700,MATCH($C10803,'تحليل التكلفة والسعر'!$B$2:$B$700,0)),0))</f>
        <v/>
      </c>
    </row>
    <row r="10804" customFormat="false" ht="15" hidden="false" customHeight="false" outlineLevel="0" collapsed="false">
      <c r="A10804" s="103"/>
      <c r="B10804" s="104"/>
      <c r="C10804" s="104"/>
      <c r="E10804" s="107" t="str">
        <f aca="false">IF($C10804="","",IFERROR(INDEX(المنيو!$C$2:$C$500,MATCH($C10804,المنيو!$B$2:$B$500,0)),0))</f>
        <v/>
      </c>
      <c r="F10804" s="107" t="str">
        <f aca="false">IF($C10804="","",$D10804*$E10804)</f>
        <v/>
      </c>
      <c r="G10804" s="107" t="str">
        <f aca="false">IF($C10804="","",$D10804*IFERROR(INDEX('تحليل التكلفة والسعر'!$C$2:$C$700,MATCH($C10804,'تحليل التكلفة والسعر'!$B$2:$B$700,0)),0))</f>
        <v/>
      </c>
    </row>
    <row r="10805" customFormat="false" ht="15" hidden="false" customHeight="false" outlineLevel="0" collapsed="false">
      <c r="A10805" s="103"/>
      <c r="B10805" s="104"/>
      <c r="C10805" s="104"/>
      <c r="E10805" s="107" t="str">
        <f aca="false">IF($C10805="","",IFERROR(INDEX(المنيو!$C$2:$C$500,MATCH($C10805,المنيو!$B$2:$B$500,0)),0))</f>
        <v/>
      </c>
      <c r="F10805" s="107" t="str">
        <f aca="false">IF($C10805="","",$D10805*$E10805)</f>
        <v/>
      </c>
      <c r="G10805" s="107" t="str">
        <f aca="false">IF($C10805="","",$D10805*IFERROR(INDEX('تحليل التكلفة والسعر'!$C$2:$C$700,MATCH($C10805,'تحليل التكلفة والسعر'!$B$2:$B$700,0)),0))</f>
        <v/>
      </c>
    </row>
    <row r="10806" customFormat="false" ht="15" hidden="false" customHeight="false" outlineLevel="0" collapsed="false">
      <c r="A10806" s="103"/>
      <c r="B10806" s="104"/>
      <c r="C10806" s="104"/>
      <c r="E10806" s="107" t="str">
        <f aca="false">IF($C10806="","",IFERROR(INDEX(المنيو!$C$2:$C$500,MATCH($C10806,المنيو!$B$2:$B$500,0)),0))</f>
        <v/>
      </c>
      <c r="F10806" s="107" t="str">
        <f aca="false">IF($C10806="","",$D10806*$E10806)</f>
        <v/>
      </c>
      <c r="G10806" s="107" t="str">
        <f aca="false">IF($C10806="","",$D10806*IFERROR(INDEX('تحليل التكلفة والسعر'!$C$2:$C$700,MATCH($C10806,'تحليل التكلفة والسعر'!$B$2:$B$700,0)),0))</f>
        <v/>
      </c>
    </row>
    <row r="10807" customFormat="false" ht="15" hidden="false" customHeight="false" outlineLevel="0" collapsed="false">
      <c r="A10807" s="103"/>
      <c r="B10807" s="104"/>
      <c r="C10807" s="104"/>
      <c r="E10807" s="107" t="str">
        <f aca="false">IF($C10807="","",IFERROR(INDEX(المنيو!$C$2:$C$500,MATCH($C10807,المنيو!$B$2:$B$500,0)),0))</f>
        <v/>
      </c>
      <c r="F10807" s="107" t="str">
        <f aca="false">IF($C10807="","",$D10807*$E10807)</f>
        <v/>
      </c>
      <c r="G10807" s="107" t="str">
        <f aca="false">IF($C10807="","",$D10807*IFERROR(INDEX('تحليل التكلفة والسعر'!$C$2:$C$700,MATCH($C10807,'تحليل التكلفة والسعر'!$B$2:$B$700,0)),0))</f>
        <v/>
      </c>
    </row>
    <row r="10808" customFormat="false" ht="15" hidden="false" customHeight="false" outlineLevel="0" collapsed="false">
      <c r="A10808" s="103"/>
      <c r="B10808" s="104"/>
      <c r="C10808" s="104"/>
      <c r="E10808" s="107" t="str">
        <f aca="false">IF($C10808="","",IFERROR(INDEX(المنيو!$C$2:$C$500,MATCH($C10808,المنيو!$B$2:$B$500,0)),0))</f>
        <v/>
      </c>
      <c r="F10808" s="107" t="str">
        <f aca="false">IF($C10808="","",$D10808*$E10808)</f>
        <v/>
      </c>
      <c r="G10808" s="107" t="str">
        <f aca="false">IF($C10808="","",$D10808*IFERROR(INDEX('تحليل التكلفة والسعر'!$C$2:$C$700,MATCH($C10808,'تحليل التكلفة والسعر'!$B$2:$B$700,0)),0))</f>
        <v/>
      </c>
    </row>
    <row r="10809" customFormat="false" ht="15" hidden="false" customHeight="false" outlineLevel="0" collapsed="false">
      <c r="A10809" s="103"/>
      <c r="B10809" s="104"/>
      <c r="C10809" s="104"/>
      <c r="E10809" s="107" t="str">
        <f aca="false">IF($C10809="","",IFERROR(INDEX(المنيو!$C$2:$C$500,MATCH($C10809,المنيو!$B$2:$B$500,0)),0))</f>
        <v/>
      </c>
      <c r="F10809" s="107" t="str">
        <f aca="false">IF($C10809="","",$D10809*$E10809)</f>
        <v/>
      </c>
      <c r="G10809" s="107" t="str">
        <f aca="false">IF($C10809="","",$D10809*IFERROR(INDEX('تحليل التكلفة والسعر'!$C$2:$C$700,MATCH($C10809,'تحليل التكلفة والسعر'!$B$2:$B$700,0)),0))</f>
        <v/>
      </c>
    </row>
    <row r="10810" customFormat="false" ht="15" hidden="false" customHeight="false" outlineLevel="0" collapsed="false">
      <c r="A10810" s="103"/>
      <c r="B10810" s="104"/>
      <c r="C10810" s="104"/>
      <c r="E10810" s="107" t="str">
        <f aca="false">IF($C10810="","",IFERROR(INDEX(المنيو!$C$2:$C$500,MATCH($C10810,المنيو!$B$2:$B$500,0)),0))</f>
        <v/>
      </c>
      <c r="F10810" s="107" t="str">
        <f aca="false">IF($C10810="","",$D10810*$E10810)</f>
        <v/>
      </c>
      <c r="G10810" s="107" t="str">
        <f aca="false">IF($C10810="","",$D10810*IFERROR(INDEX('تحليل التكلفة والسعر'!$C$2:$C$700,MATCH($C10810,'تحليل التكلفة والسعر'!$B$2:$B$700,0)),0))</f>
        <v/>
      </c>
    </row>
    <row r="10811" customFormat="false" ht="15" hidden="false" customHeight="false" outlineLevel="0" collapsed="false">
      <c r="A10811" s="103"/>
      <c r="B10811" s="104"/>
      <c r="C10811" s="104"/>
      <c r="E10811" s="107" t="str">
        <f aca="false">IF($C10811="","",IFERROR(INDEX(المنيو!$C$2:$C$500,MATCH($C10811,المنيو!$B$2:$B$500,0)),0))</f>
        <v/>
      </c>
      <c r="F10811" s="107" t="str">
        <f aca="false">IF($C10811="","",$D10811*$E10811)</f>
        <v/>
      </c>
      <c r="G10811" s="107" t="str">
        <f aca="false">IF($C10811="","",$D10811*IFERROR(INDEX('تحليل التكلفة والسعر'!$C$2:$C$700,MATCH($C10811,'تحليل التكلفة والسعر'!$B$2:$B$700,0)),0))</f>
        <v/>
      </c>
    </row>
    <row r="10812" customFormat="false" ht="15" hidden="false" customHeight="false" outlineLevel="0" collapsed="false">
      <c r="A10812" s="103"/>
      <c r="B10812" s="104"/>
      <c r="C10812" s="104"/>
      <c r="E10812" s="107" t="str">
        <f aca="false">IF($C10812="","",IFERROR(INDEX(المنيو!$C$2:$C$500,MATCH($C10812,المنيو!$B$2:$B$500,0)),0))</f>
        <v/>
      </c>
      <c r="F10812" s="107" t="str">
        <f aca="false">IF($C10812="","",$D10812*$E10812)</f>
        <v/>
      </c>
      <c r="G10812" s="107" t="str">
        <f aca="false">IF($C10812="","",$D10812*IFERROR(INDEX('تحليل التكلفة والسعر'!$C$2:$C$700,MATCH($C10812,'تحليل التكلفة والسعر'!$B$2:$B$700,0)),0))</f>
        <v/>
      </c>
    </row>
    <row r="10813" customFormat="false" ht="15" hidden="false" customHeight="false" outlineLevel="0" collapsed="false">
      <c r="A10813" s="103"/>
      <c r="B10813" s="104"/>
      <c r="C10813" s="104"/>
      <c r="E10813" s="107" t="str">
        <f aca="false">IF($C10813="","",IFERROR(INDEX(المنيو!$C$2:$C$500,MATCH($C10813,المنيو!$B$2:$B$500,0)),0))</f>
        <v/>
      </c>
      <c r="F10813" s="107" t="str">
        <f aca="false">IF($C10813="","",$D10813*$E10813)</f>
        <v/>
      </c>
      <c r="G10813" s="107" t="str">
        <f aca="false">IF($C10813="","",$D10813*IFERROR(INDEX('تحليل التكلفة والسعر'!$C$2:$C$700,MATCH($C10813,'تحليل التكلفة والسعر'!$B$2:$B$700,0)),0))</f>
        <v/>
      </c>
    </row>
    <row r="10814" customFormat="false" ht="15" hidden="false" customHeight="false" outlineLevel="0" collapsed="false">
      <c r="A10814" s="103"/>
      <c r="B10814" s="104"/>
      <c r="C10814" s="104"/>
      <c r="E10814" s="107" t="str">
        <f aca="false">IF($C10814="","",IFERROR(INDEX(المنيو!$C$2:$C$500,MATCH($C10814,المنيو!$B$2:$B$500,0)),0))</f>
        <v/>
      </c>
      <c r="F10814" s="107" t="str">
        <f aca="false">IF($C10814="","",$D10814*$E10814)</f>
        <v/>
      </c>
      <c r="G10814" s="107" t="str">
        <f aca="false">IF($C10814="","",$D10814*IFERROR(INDEX('تحليل التكلفة والسعر'!$C$2:$C$700,MATCH($C10814,'تحليل التكلفة والسعر'!$B$2:$B$700,0)),0))</f>
        <v/>
      </c>
    </row>
    <row r="10815" customFormat="false" ht="15" hidden="false" customHeight="false" outlineLevel="0" collapsed="false">
      <c r="A10815" s="103"/>
      <c r="B10815" s="104"/>
      <c r="C10815" s="104"/>
      <c r="E10815" s="107" t="str">
        <f aca="false">IF($C10815="","",IFERROR(INDEX(المنيو!$C$2:$C$500,MATCH($C10815,المنيو!$B$2:$B$500,0)),0))</f>
        <v/>
      </c>
      <c r="F10815" s="107" t="str">
        <f aca="false">IF($C10815="","",$D10815*$E10815)</f>
        <v/>
      </c>
      <c r="G10815" s="107" t="str">
        <f aca="false">IF($C10815="","",$D10815*IFERROR(INDEX('تحليل التكلفة والسعر'!$C$2:$C$700,MATCH($C10815,'تحليل التكلفة والسعر'!$B$2:$B$700,0)),0))</f>
        <v/>
      </c>
    </row>
    <row r="10816" customFormat="false" ht="15" hidden="false" customHeight="false" outlineLevel="0" collapsed="false">
      <c r="A10816" s="103"/>
      <c r="B10816" s="104"/>
      <c r="C10816" s="104"/>
      <c r="E10816" s="107" t="str">
        <f aca="false">IF($C10816="","",IFERROR(INDEX(المنيو!$C$2:$C$500,MATCH($C10816,المنيو!$B$2:$B$500,0)),0))</f>
        <v/>
      </c>
      <c r="F10816" s="107" t="str">
        <f aca="false">IF($C10816="","",$D10816*$E10816)</f>
        <v/>
      </c>
      <c r="G10816" s="107" t="str">
        <f aca="false">IF($C10816="","",$D10816*IFERROR(INDEX('تحليل التكلفة والسعر'!$C$2:$C$700,MATCH($C10816,'تحليل التكلفة والسعر'!$B$2:$B$700,0)),0))</f>
        <v/>
      </c>
    </row>
    <row r="10817" customFormat="false" ht="15" hidden="false" customHeight="false" outlineLevel="0" collapsed="false">
      <c r="A10817" s="103"/>
      <c r="B10817" s="104"/>
      <c r="C10817" s="104"/>
      <c r="E10817" s="107" t="str">
        <f aca="false">IF($C10817="","",IFERROR(INDEX(المنيو!$C$2:$C$500,MATCH($C10817,المنيو!$B$2:$B$500,0)),0))</f>
        <v/>
      </c>
      <c r="F10817" s="107" t="str">
        <f aca="false">IF($C10817="","",$D10817*$E10817)</f>
        <v/>
      </c>
      <c r="G10817" s="107" t="str">
        <f aca="false">IF($C10817="","",$D10817*IFERROR(INDEX('تحليل التكلفة والسعر'!$C$2:$C$700,MATCH($C10817,'تحليل التكلفة والسعر'!$B$2:$B$700,0)),0))</f>
        <v/>
      </c>
    </row>
    <row r="10818" customFormat="false" ht="15" hidden="false" customHeight="false" outlineLevel="0" collapsed="false">
      <c r="A10818" s="103"/>
      <c r="B10818" s="104"/>
      <c r="C10818" s="104"/>
      <c r="E10818" s="107" t="str">
        <f aca="false">IF($C10818="","",IFERROR(INDEX(المنيو!$C$2:$C$500,MATCH($C10818,المنيو!$B$2:$B$500,0)),0))</f>
        <v/>
      </c>
      <c r="F10818" s="107" t="str">
        <f aca="false">IF($C10818="","",$D10818*$E10818)</f>
        <v/>
      </c>
      <c r="G10818" s="107" t="str">
        <f aca="false">IF($C10818="","",$D10818*IFERROR(INDEX('تحليل التكلفة والسعر'!$C$2:$C$700,MATCH($C10818,'تحليل التكلفة والسعر'!$B$2:$B$700,0)),0))</f>
        <v/>
      </c>
    </row>
    <row r="10819" customFormat="false" ht="15" hidden="false" customHeight="false" outlineLevel="0" collapsed="false">
      <c r="A10819" s="103"/>
      <c r="B10819" s="104"/>
      <c r="C10819" s="104"/>
      <c r="E10819" s="107" t="str">
        <f aca="false">IF($C10819="","",IFERROR(INDEX(المنيو!$C$2:$C$500,MATCH($C10819,المنيو!$B$2:$B$500,0)),0))</f>
        <v/>
      </c>
      <c r="F10819" s="107" t="str">
        <f aca="false">IF($C10819="","",$D10819*$E10819)</f>
        <v/>
      </c>
      <c r="G10819" s="107" t="str">
        <f aca="false">IF($C10819="","",$D10819*IFERROR(INDEX('تحليل التكلفة والسعر'!$C$2:$C$700,MATCH($C10819,'تحليل التكلفة والسعر'!$B$2:$B$700,0)),0))</f>
        <v/>
      </c>
    </row>
    <row r="10820" customFormat="false" ht="15" hidden="false" customHeight="false" outlineLevel="0" collapsed="false">
      <c r="A10820" s="103"/>
      <c r="B10820" s="104"/>
      <c r="C10820" s="104"/>
      <c r="E10820" s="107" t="str">
        <f aca="false">IF($C10820="","",IFERROR(INDEX(المنيو!$C$2:$C$500,MATCH($C10820,المنيو!$B$2:$B$500,0)),0))</f>
        <v/>
      </c>
      <c r="F10820" s="107" t="str">
        <f aca="false">IF($C10820="","",$D10820*$E10820)</f>
        <v/>
      </c>
      <c r="G10820" s="107" t="str">
        <f aca="false">IF($C10820="","",$D10820*IFERROR(INDEX('تحليل التكلفة والسعر'!$C$2:$C$700,MATCH($C10820,'تحليل التكلفة والسعر'!$B$2:$B$700,0)),0))</f>
        <v/>
      </c>
    </row>
    <row r="10821" customFormat="false" ht="15" hidden="false" customHeight="false" outlineLevel="0" collapsed="false">
      <c r="A10821" s="103"/>
      <c r="B10821" s="104"/>
      <c r="C10821" s="104"/>
      <c r="E10821" s="107" t="str">
        <f aca="false">IF($C10821="","",IFERROR(INDEX(المنيو!$C$2:$C$500,MATCH($C10821,المنيو!$B$2:$B$500,0)),0))</f>
        <v/>
      </c>
      <c r="F10821" s="107" t="str">
        <f aca="false">IF($C10821="","",$D10821*$E10821)</f>
        <v/>
      </c>
      <c r="G10821" s="107" t="str">
        <f aca="false">IF($C10821="","",$D10821*IFERROR(INDEX('تحليل التكلفة والسعر'!$C$2:$C$700,MATCH($C10821,'تحليل التكلفة والسعر'!$B$2:$B$700,0)),0))</f>
        <v/>
      </c>
    </row>
    <row r="10822" customFormat="false" ht="15" hidden="false" customHeight="false" outlineLevel="0" collapsed="false">
      <c r="A10822" s="103"/>
      <c r="B10822" s="104"/>
      <c r="C10822" s="104"/>
      <c r="E10822" s="107" t="str">
        <f aca="false">IF($C10822="","",IFERROR(INDEX(المنيو!$C$2:$C$500,MATCH($C10822,المنيو!$B$2:$B$500,0)),0))</f>
        <v/>
      </c>
      <c r="F10822" s="107" t="str">
        <f aca="false">IF($C10822="","",$D10822*$E10822)</f>
        <v/>
      </c>
      <c r="G10822" s="107" t="str">
        <f aca="false">IF($C10822="","",$D10822*IFERROR(INDEX('تحليل التكلفة والسعر'!$C$2:$C$700,MATCH($C10822,'تحليل التكلفة والسعر'!$B$2:$B$700,0)),0))</f>
        <v/>
      </c>
    </row>
    <row r="10823" customFormat="false" ht="15" hidden="false" customHeight="false" outlineLevel="0" collapsed="false">
      <c r="A10823" s="103"/>
      <c r="B10823" s="104"/>
      <c r="C10823" s="104"/>
      <c r="E10823" s="107" t="str">
        <f aca="false">IF($C10823="","",IFERROR(INDEX(المنيو!$C$2:$C$500,MATCH($C10823,المنيو!$B$2:$B$500,0)),0))</f>
        <v/>
      </c>
      <c r="F10823" s="107" t="str">
        <f aca="false">IF($C10823="","",$D10823*$E10823)</f>
        <v/>
      </c>
      <c r="G10823" s="107" t="str">
        <f aca="false">IF($C10823="","",$D10823*IFERROR(INDEX('تحليل التكلفة والسعر'!$C$2:$C$700,MATCH($C10823,'تحليل التكلفة والسعر'!$B$2:$B$700,0)),0))</f>
        <v/>
      </c>
    </row>
    <row r="10824" customFormat="false" ht="15" hidden="false" customHeight="false" outlineLevel="0" collapsed="false">
      <c r="A10824" s="103"/>
      <c r="B10824" s="104"/>
      <c r="C10824" s="104"/>
      <c r="E10824" s="107" t="str">
        <f aca="false">IF($C10824="","",IFERROR(INDEX(المنيو!$C$2:$C$500,MATCH($C10824,المنيو!$B$2:$B$500,0)),0))</f>
        <v/>
      </c>
      <c r="F10824" s="107" t="str">
        <f aca="false">IF($C10824="","",$D10824*$E10824)</f>
        <v/>
      </c>
      <c r="G10824" s="107" t="str">
        <f aca="false">IF($C10824="","",$D10824*IFERROR(INDEX('تحليل التكلفة والسعر'!$C$2:$C$700,MATCH($C10824,'تحليل التكلفة والسعر'!$B$2:$B$700,0)),0))</f>
        <v/>
      </c>
    </row>
    <row r="10825" customFormat="false" ht="15" hidden="false" customHeight="false" outlineLevel="0" collapsed="false">
      <c r="A10825" s="103"/>
      <c r="B10825" s="104"/>
      <c r="C10825" s="104"/>
      <c r="E10825" s="107" t="str">
        <f aca="false">IF($C10825="","",IFERROR(INDEX(المنيو!$C$2:$C$500,MATCH($C10825,المنيو!$B$2:$B$500,0)),0))</f>
        <v/>
      </c>
      <c r="F10825" s="107" t="str">
        <f aca="false">IF($C10825="","",$D10825*$E10825)</f>
        <v/>
      </c>
      <c r="G10825" s="107" t="str">
        <f aca="false">IF($C10825="","",$D10825*IFERROR(INDEX('تحليل التكلفة والسعر'!$C$2:$C$700,MATCH($C10825,'تحليل التكلفة والسعر'!$B$2:$B$700,0)),0))</f>
        <v/>
      </c>
    </row>
    <row r="10826" customFormat="false" ht="15" hidden="false" customHeight="false" outlineLevel="0" collapsed="false">
      <c r="A10826" s="103"/>
      <c r="B10826" s="104"/>
      <c r="C10826" s="104"/>
      <c r="E10826" s="107" t="str">
        <f aca="false">IF($C10826="","",IFERROR(INDEX(المنيو!$C$2:$C$500,MATCH($C10826,المنيو!$B$2:$B$500,0)),0))</f>
        <v/>
      </c>
      <c r="F10826" s="107" t="str">
        <f aca="false">IF($C10826="","",$D10826*$E10826)</f>
        <v/>
      </c>
      <c r="G10826" s="107" t="str">
        <f aca="false">IF($C10826="","",$D10826*IFERROR(INDEX('تحليل التكلفة والسعر'!$C$2:$C$700,MATCH($C10826,'تحليل التكلفة والسعر'!$B$2:$B$700,0)),0))</f>
        <v/>
      </c>
    </row>
    <row r="10827" customFormat="false" ht="15" hidden="false" customHeight="false" outlineLevel="0" collapsed="false">
      <c r="A10827" s="103"/>
      <c r="B10827" s="104"/>
      <c r="C10827" s="104"/>
      <c r="E10827" s="107" t="str">
        <f aca="false">IF($C10827="","",IFERROR(INDEX(المنيو!$C$2:$C$500,MATCH($C10827,المنيو!$B$2:$B$500,0)),0))</f>
        <v/>
      </c>
      <c r="F10827" s="107" t="str">
        <f aca="false">IF($C10827="","",$D10827*$E10827)</f>
        <v/>
      </c>
      <c r="G10827" s="107" t="str">
        <f aca="false">IF($C10827="","",$D10827*IFERROR(INDEX('تحليل التكلفة والسعر'!$C$2:$C$700,MATCH($C10827,'تحليل التكلفة والسعر'!$B$2:$B$700,0)),0))</f>
        <v/>
      </c>
    </row>
    <row r="10828" customFormat="false" ht="15" hidden="false" customHeight="false" outlineLevel="0" collapsed="false">
      <c r="A10828" s="103"/>
      <c r="B10828" s="104"/>
      <c r="C10828" s="104"/>
      <c r="E10828" s="107" t="str">
        <f aca="false">IF($C10828="","",IFERROR(INDEX(المنيو!$C$2:$C$500,MATCH($C10828,المنيو!$B$2:$B$500,0)),0))</f>
        <v/>
      </c>
      <c r="F10828" s="107" t="str">
        <f aca="false">IF($C10828="","",$D10828*$E10828)</f>
        <v/>
      </c>
      <c r="G10828" s="107" t="str">
        <f aca="false">IF($C10828="","",$D10828*IFERROR(INDEX('تحليل التكلفة والسعر'!$C$2:$C$700,MATCH($C10828,'تحليل التكلفة والسعر'!$B$2:$B$700,0)),0))</f>
        <v/>
      </c>
    </row>
    <row r="10829" customFormat="false" ht="15" hidden="false" customHeight="false" outlineLevel="0" collapsed="false">
      <c r="A10829" s="103"/>
      <c r="B10829" s="104"/>
      <c r="C10829" s="104"/>
      <c r="E10829" s="107" t="str">
        <f aca="false">IF($C10829="","",IFERROR(INDEX(المنيو!$C$2:$C$500,MATCH($C10829,المنيو!$B$2:$B$500,0)),0))</f>
        <v/>
      </c>
      <c r="F10829" s="107" t="str">
        <f aca="false">IF($C10829="","",$D10829*$E10829)</f>
        <v/>
      </c>
      <c r="G10829" s="107" t="str">
        <f aca="false">IF($C10829="","",$D10829*IFERROR(INDEX('تحليل التكلفة والسعر'!$C$2:$C$700,MATCH($C10829,'تحليل التكلفة والسعر'!$B$2:$B$700,0)),0))</f>
        <v/>
      </c>
    </row>
    <row r="10830" customFormat="false" ht="15" hidden="false" customHeight="false" outlineLevel="0" collapsed="false">
      <c r="A10830" s="103"/>
      <c r="B10830" s="104"/>
      <c r="C10830" s="104"/>
      <c r="E10830" s="107" t="str">
        <f aca="false">IF($C10830="","",IFERROR(INDEX(المنيو!$C$2:$C$500,MATCH($C10830,المنيو!$B$2:$B$500,0)),0))</f>
        <v/>
      </c>
      <c r="F10830" s="107" t="str">
        <f aca="false">IF($C10830="","",$D10830*$E10830)</f>
        <v/>
      </c>
      <c r="G10830" s="107" t="str">
        <f aca="false">IF($C10830="","",$D10830*IFERROR(INDEX('تحليل التكلفة والسعر'!$C$2:$C$700,MATCH($C10830,'تحليل التكلفة والسعر'!$B$2:$B$700,0)),0))</f>
        <v/>
      </c>
    </row>
    <row r="10831" customFormat="false" ht="15" hidden="false" customHeight="false" outlineLevel="0" collapsed="false">
      <c r="A10831" s="103"/>
      <c r="B10831" s="104"/>
      <c r="C10831" s="104"/>
      <c r="E10831" s="107" t="str">
        <f aca="false">IF($C10831="","",IFERROR(INDEX(المنيو!$C$2:$C$500,MATCH($C10831,المنيو!$B$2:$B$500,0)),0))</f>
        <v/>
      </c>
      <c r="F10831" s="107" t="str">
        <f aca="false">IF($C10831="","",$D10831*$E10831)</f>
        <v/>
      </c>
      <c r="G10831" s="107" t="str">
        <f aca="false">IF($C10831="","",$D10831*IFERROR(INDEX('تحليل التكلفة والسعر'!$C$2:$C$700,MATCH($C10831,'تحليل التكلفة والسعر'!$B$2:$B$700,0)),0))</f>
        <v/>
      </c>
    </row>
    <row r="10832" customFormat="false" ht="15" hidden="false" customHeight="false" outlineLevel="0" collapsed="false">
      <c r="A10832" s="103"/>
      <c r="B10832" s="104"/>
      <c r="C10832" s="104"/>
      <c r="E10832" s="107" t="str">
        <f aca="false">IF($C10832="","",IFERROR(INDEX(المنيو!$C$2:$C$500,MATCH($C10832,المنيو!$B$2:$B$500,0)),0))</f>
        <v/>
      </c>
      <c r="F10832" s="107" t="str">
        <f aca="false">IF($C10832="","",$D10832*$E10832)</f>
        <v/>
      </c>
      <c r="G10832" s="107" t="str">
        <f aca="false">IF($C10832="","",$D10832*IFERROR(INDEX('تحليل التكلفة والسعر'!$C$2:$C$700,MATCH($C10832,'تحليل التكلفة والسعر'!$B$2:$B$700,0)),0))</f>
        <v/>
      </c>
    </row>
    <row r="10833" customFormat="false" ht="15" hidden="false" customHeight="false" outlineLevel="0" collapsed="false">
      <c r="A10833" s="103"/>
      <c r="B10833" s="104"/>
      <c r="C10833" s="104"/>
      <c r="E10833" s="107" t="str">
        <f aca="false">IF($C10833="","",IFERROR(INDEX(المنيو!$C$2:$C$500,MATCH($C10833,المنيو!$B$2:$B$500,0)),0))</f>
        <v/>
      </c>
      <c r="F10833" s="107" t="str">
        <f aca="false">IF($C10833="","",$D10833*$E10833)</f>
        <v/>
      </c>
      <c r="G10833" s="107" t="str">
        <f aca="false">IF($C10833="","",$D10833*IFERROR(INDEX('تحليل التكلفة والسعر'!$C$2:$C$700,MATCH($C10833,'تحليل التكلفة والسعر'!$B$2:$B$700,0)),0))</f>
        <v/>
      </c>
    </row>
    <row r="10834" customFormat="false" ht="15" hidden="false" customHeight="false" outlineLevel="0" collapsed="false">
      <c r="A10834" s="103"/>
      <c r="B10834" s="104"/>
      <c r="C10834" s="104"/>
      <c r="E10834" s="107" t="str">
        <f aca="false">IF($C10834="","",IFERROR(INDEX(المنيو!$C$2:$C$500,MATCH($C10834,المنيو!$B$2:$B$500,0)),0))</f>
        <v/>
      </c>
      <c r="F10834" s="107" t="str">
        <f aca="false">IF($C10834="","",$D10834*$E10834)</f>
        <v/>
      </c>
      <c r="G10834" s="107" t="str">
        <f aca="false">IF($C10834="","",$D10834*IFERROR(INDEX('تحليل التكلفة والسعر'!$C$2:$C$700,MATCH($C10834,'تحليل التكلفة والسعر'!$B$2:$B$700,0)),0))</f>
        <v/>
      </c>
    </row>
    <row r="10835" customFormat="false" ht="15" hidden="false" customHeight="false" outlineLevel="0" collapsed="false">
      <c r="A10835" s="103"/>
      <c r="B10835" s="104"/>
      <c r="C10835" s="104"/>
      <c r="E10835" s="107" t="str">
        <f aca="false">IF($C10835="","",IFERROR(INDEX(المنيو!$C$2:$C$500,MATCH($C10835,المنيو!$B$2:$B$500,0)),0))</f>
        <v/>
      </c>
      <c r="F10835" s="107" t="str">
        <f aca="false">IF($C10835="","",$D10835*$E10835)</f>
        <v/>
      </c>
      <c r="G10835" s="107" t="str">
        <f aca="false">IF($C10835="","",$D10835*IFERROR(INDEX('تحليل التكلفة والسعر'!$C$2:$C$700,MATCH($C10835,'تحليل التكلفة والسعر'!$B$2:$B$700,0)),0))</f>
        <v/>
      </c>
    </row>
    <row r="10836" customFormat="false" ht="15" hidden="false" customHeight="false" outlineLevel="0" collapsed="false">
      <c r="A10836" s="103"/>
      <c r="B10836" s="104"/>
      <c r="C10836" s="104"/>
      <c r="E10836" s="107" t="str">
        <f aca="false">IF($C10836="","",IFERROR(INDEX(المنيو!$C$2:$C$500,MATCH($C10836,المنيو!$B$2:$B$500,0)),0))</f>
        <v/>
      </c>
      <c r="F10836" s="107" t="str">
        <f aca="false">IF($C10836="","",$D10836*$E10836)</f>
        <v/>
      </c>
      <c r="G10836" s="107" t="str">
        <f aca="false">IF($C10836="","",$D10836*IFERROR(INDEX('تحليل التكلفة والسعر'!$C$2:$C$700,MATCH($C10836,'تحليل التكلفة والسعر'!$B$2:$B$700,0)),0))</f>
        <v/>
      </c>
    </row>
    <row r="10837" customFormat="false" ht="15" hidden="false" customHeight="false" outlineLevel="0" collapsed="false">
      <c r="A10837" s="103"/>
      <c r="B10837" s="104"/>
      <c r="C10837" s="104"/>
      <c r="E10837" s="107" t="str">
        <f aca="false">IF($C10837="","",IFERROR(INDEX(المنيو!$C$2:$C$500,MATCH($C10837,المنيو!$B$2:$B$500,0)),0))</f>
        <v/>
      </c>
      <c r="F10837" s="107" t="str">
        <f aca="false">IF($C10837="","",$D10837*$E10837)</f>
        <v/>
      </c>
      <c r="G10837" s="107" t="str">
        <f aca="false">IF($C10837="","",$D10837*IFERROR(INDEX('تحليل التكلفة والسعر'!$C$2:$C$700,MATCH($C10837,'تحليل التكلفة والسعر'!$B$2:$B$700,0)),0))</f>
        <v/>
      </c>
    </row>
    <row r="10838" customFormat="false" ht="15" hidden="false" customHeight="false" outlineLevel="0" collapsed="false">
      <c r="A10838" s="103"/>
      <c r="B10838" s="104"/>
      <c r="C10838" s="104"/>
      <c r="E10838" s="107" t="str">
        <f aca="false">IF($C10838="","",IFERROR(INDEX(المنيو!$C$2:$C$500,MATCH($C10838,المنيو!$B$2:$B$500,0)),0))</f>
        <v/>
      </c>
      <c r="F10838" s="107" t="str">
        <f aca="false">IF($C10838="","",$D10838*$E10838)</f>
        <v/>
      </c>
      <c r="G10838" s="107" t="str">
        <f aca="false">IF($C10838="","",$D10838*IFERROR(INDEX('تحليل التكلفة والسعر'!$C$2:$C$700,MATCH($C10838,'تحليل التكلفة والسعر'!$B$2:$B$700,0)),0))</f>
        <v/>
      </c>
    </row>
    <row r="10839" customFormat="false" ht="15" hidden="false" customHeight="false" outlineLevel="0" collapsed="false">
      <c r="A10839" s="103"/>
      <c r="B10839" s="104"/>
      <c r="C10839" s="104"/>
      <c r="E10839" s="107" t="str">
        <f aca="false">IF($C10839="","",IFERROR(INDEX(المنيو!$C$2:$C$500,MATCH($C10839,المنيو!$B$2:$B$500,0)),0))</f>
        <v/>
      </c>
      <c r="F10839" s="107" t="str">
        <f aca="false">IF($C10839="","",$D10839*$E10839)</f>
        <v/>
      </c>
      <c r="G10839" s="107" t="str">
        <f aca="false">IF($C10839="","",$D10839*IFERROR(INDEX('تحليل التكلفة والسعر'!$C$2:$C$700,MATCH($C10839,'تحليل التكلفة والسعر'!$B$2:$B$700,0)),0))</f>
        <v/>
      </c>
    </row>
    <row r="10840" customFormat="false" ht="15" hidden="false" customHeight="false" outlineLevel="0" collapsed="false">
      <c r="A10840" s="103"/>
      <c r="B10840" s="104"/>
      <c r="C10840" s="104"/>
      <c r="E10840" s="107" t="str">
        <f aca="false">IF($C10840="","",IFERROR(INDEX(المنيو!$C$2:$C$500,MATCH($C10840,المنيو!$B$2:$B$500,0)),0))</f>
        <v/>
      </c>
      <c r="F10840" s="107" t="str">
        <f aca="false">IF($C10840="","",$D10840*$E10840)</f>
        <v/>
      </c>
      <c r="G10840" s="107" t="str">
        <f aca="false">IF($C10840="","",$D10840*IFERROR(INDEX('تحليل التكلفة والسعر'!$C$2:$C$700,MATCH($C10840,'تحليل التكلفة والسعر'!$B$2:$B$700,0)),0))</f>
        <v/>
      </c>
    </row>
    <row r="10841" customFormat="false" ht="15" hidden="false" customHeight="false" outlineLevel="0" collapsed="false">
      <c r="A10841" s="103"/>
      <c r="B10841" s="104"/>
      <c r="C10841" s="104"/>
      <c r="E10841" s="107" t="str">
        <f aca="false">IF($C10841="","",IFERROR(INDEX(المنيو!$C$2:$C$500,MATCH($C10841,المنيو!$B$2:$B$500,0)),0))</f>
        <v/>
      </c>
      <c r="F10841" s="107" t="str">
        <f aca="false">IF($C10841="","",$D10841*$E10841)</f>
        <v/>
      </c>
      <c r="G10841" s="107" t="str">
        <f aca="false">IF($C10841="","",$D10841*IFERROR(INDEX('تحليل التكلفة والسعر'!$C$2:$C$700,MATCH($C10841,'تحليل التكلفة والسعر'!$B$2:$B$700,0)),0))</f>
        <v/>
      </c>
    </row>
    <row r="10842" customFormat="false" ht="15" hidden="false" customHeight="false" outlineLevel="0" collapsed="false">
      <c r="A10842" s="103"/>
      <c r="B10842" s="104"/>
      <c r="C10842" s="104"/>
      <c r="E10842" s="107" t="str">
        <f aca="false">IF($C10842="","",IFERROR(INDEX(المنيو!$C$2:$C$500,MATCH($C10842,المنيو!$B$2:$B$500,0)),0))</f>
        <v/>
      </c>
      <c r="F10842" s="107" t="str">
        <f aca="false">IF($C10842="","",$D10842*$E10842)</f>
        <v/>
      </c>
      <c r="G10842" s="107" t="str">
        <f aca="false">IF($C10842="","",$D10842*IFERROR(INDEX('تحليل التكلفة والسعر'!$C$2:$C$700,MATCH($C10842,'تحليل التكلفة والسعر'!$B$2:$B$700,0)),0))</f>
        <v/>
      </c>
    </row>
    <row r="10843" customFormat="false" ht="15" hidden="false" customHeight="false" outlineLevel="0" collapsed="false">
      <c r="A10843" s="103"/>
      <c r="B10843" s="104"/>
      <c r="C10843" s="104"/>
      <c r="E10843" s="107" t="str">
        <f aca="false">IF($C10843="","",IFERROR(INDEX(المنيو!$C$2:$C$500,MATCH($C10843,المنيو!$B$2:$B$500,0)),0))</f>
        <v/>
      </c>
      <c r="F10843" s="107" t="str">
        <f aca="false">IF($C10843="","",$D10843*$E10843)</f>
        <v/>
      </c>
      <c r="G10843" s="107" t="str">
        <f aca="false">IF($C10843="","",$D10843*IFERROR(INDEX('تحليل التكلفة والسعر'!$C$2:$C$700,MATCH($C10843,'تحليل التكلفة والسعر'!$B$2:$B$700,0)),0))</f>
        <v/>
      </c>
    </row>
    <row r="10844" customFormat="false" ht="15" hidden="false" customHeight="false" outlineLevel="0" collapsed="false">
      <c r="A10844" s="103"/>
      <c r="B10844" s="104"/>
      <c r="C10844" s="104"/>
      <c r="E10844" s="107" t="str">
        <f aca="false">IF($C10844="","",IFERROR(INDEX(المنيو!$C$2:$C$500,MATCH($C10844,المنيو!$B$2:$B$500,0)),0))</f>
        <v/>
      </c>
      <c r="F10844" s="107" t="str">
        <f aca="false">IF($C10844="","",$D10844*$E10844)</f>
        <v/>
      </c>
      <c r="G10844" s="107" t="str">
        <f aca="false">IF($C10844="","",$D10844*IFERROR(INDEX('تحليل التكلفة والسعر'!$C$2:$C$700,MATCH($C10844,'تحليل التكلفة والسعر'!$B$2:$B$700,0)),0))</f>
        <v/>
      </c>
    </row>
    <row r="10845" customFormat="false" ht="15" hidden="false" customHeight="false" outlineLevel="0" collapsed="false">
      <c r="A10845" s="103"/>
      <c r="B10845" s="104"/>
      <c r="C10845" s="104"/>
      <c r="E10845" s="107" t="str">
        <f aca="false">IF($C10845="","",IFERROR(INDEX(المنيو!$C$2:$C$500,MATCH($C10845,المنيو!$B$2:$B$500,0)),0))</f>
        <v/>
      </c>
      <c r="F10845" s="107" t="str">
        <f aca="false">IF($C10845="","",$D10845*$E10845)</f>
        <v/>
      </c>
      <c r="G10845" s="107" t="str">
        <f aca="false">IF($C10845="","",$D10845*IFERROR(INDEX('تحليل التكلفة والسعر'!$C$2:$C$700,MATCH($C10845,'تحليل التكلفة والسعر'!$B$2:$B$700,0)),0))</f>
        <v/>
      </c>
    </row>
    <row r="10846" customFormat="false" ht="15" hidden="false" customHeight="false" outlineLevel="0" collapsed="false">
      <c r="A10846" s="103"/>
      <c r="B10846" s="104"/>
      <c r="C10846" s="104"/>
      <c r="E10846" s="107" t="str">
        <f aca="false">IF($C10846="","",IFERROR(INDEX(المنيو!$C$2:$C$500,MATCH($C10846,المنيو!$B$2:$B$500,0)),0))</f>
        <v/>
      </c>
      <c r="F10846" s="107" t="str">
        <f aca="false">IF($C10846="","",$D10846*$E10846)</f>
        <v/>
      </c>
      <c r="G10846" s="107" t="str">
        <f aca="false">IF($C10846="","",$D10846*IFERROR(INDEX('تحليل التكلفة والسعر'!$C$2:$C$700,MATCH($C10846,'تحليل التكلفة والسعر'!$B$2:$B$700,0)),0))</f>
        <v/>
      </c>
    </row>
    <row r="10847" customFormat="false" ht="15" hidden="false" customHeight="false" outlineLevel="0" collapsed="false">
      <c r="A10847" s="103"/>
      <c r="B10847" s="104"/>
      <c r="C10847" s="104"/>
      <c r="E10847" s="107" t="str">
        <f aca="false">IF($C10847="","",IFERROR(INDEX(المنيو!$C$2:$C$500,MATCH($C10847,المنيو!$B$2:$B$500,0)),0))</f>
        <v/>
      </c>
      <c r="F10847" s="107" t="str">
        <f aca="false">IF($C10847="","",$D10847*$E10847)</f>
        <v/>
      </c>
      <c r="G10847" s="107" t="str">
        <f aca="false">IF($C10847="","",$D10847*IFERROR(INDEX('تحليل التكلفة والسعر'!$C$2:$C$700,MATCH($C10847,'تحليل التكلفة والسعر'!$B$2:$B$700,0)),0))</f>
        <v/>
      </c>
    </row>
    <row r="10848" customFormat="false" ht="15" hidden="false" customHeight="false" outlineLevel="0" collapsed="false">
      <c r="A10848" s="103"/>
      <c r="B10848" s="104"/>
      <c r="C10848" s="104"/>
      <c r="E10848" s="107" t="str">
        <f aca="false">IF($C10848="","",IFERROR(INDEX(المنيو!$C$2:$C$500,MATCH($C10848,المنيو!$B$2:$B$500,0)),0))</f>
        <v/>
      </c>
      <c r="F10848" s="107" t="str">
        <f aca="false">IF($C10848="","",$D10848*$E10848)</f>
        <v/>
      </c>
      <c r="G10848" s="107" t="str">
        <f aca="false">IF($C10848="","",$D10848*IFERROR(INDEX('تحليل التكلفة والسعر'!$C$2:$C$700,MATCH($C10848,'تحليل التكلفة والسعر'!$B$2:$B$700,0)),0))</f>
        <v/>
      </c>
    </row>
    <row r="10849" customFormat="false" ht="15" hidden="false" customHeight="false" outlineLevel="0" collapsed="false">
      <c r="A10849" s="103"/>
      <c r="B10849" s="104"/>
      <c r="C10849" s="104"/>
      <c r="E10849" s="107" t="str">
        <f aca="false">IF($C10849="","",IFERROR(INDEX(المنيو!$C$2:$C$500,MATCH($C10849,المنيو!$B$2:$B$500,0)),0))</f>
        <v/>
      </c>
      <c r="F10849" s="107" t="str">
        <f aca="false">IF($C10849="","",$D10849*$E10849)</f>
        <v/>
      </c>
      <c r="G10849" s="107" t="str">
        <f aca="false">IF($C10849="","",$D10849*IFERROR(INDEX('تحليل التكلفة والسعر'!$C$2:$C$700,MATCH($C10849,'تحليل التكلفة والسعر'!$B$2:$B$700,0)),0))</f>
        <v/>
      </c>
    </row>
    <row r="10850" customFormat="false" ht="15" hidden="false" customHeight="false" outlineLevel="0" collapsed="false">
      <c r="A10850" s="103"/>
      <c r="B10850" s="104"/>
      <c r="C10850" s="104"/>
      <c r="E10850" s="107" t="str">
        <f aca="false">IF($C10850="","",IFERROR(INDEX(المنيو!$C$2:$C$500,MATCH($C10850,المنيو!$B$2:$B$500,0)),0))</f>
        <v/>
      </c>
      <c r="F10850" s="107" t="str">
        <f aca="false">IF($C10850="","",$D10850*$E10850)</f>
        <v/>
      </c>
      <c r="G10850" s="107" t="str">
        <f aca="false">IF($C10850="","",$D10850*IFERROR(INDEX('تحليل التكلفة والسعر'!$C$2:$C$700,MATCH($C10850,'تحليل التكلفة والسعر'!$B$2:$B$700,0)),0))</f>
        <v/>
      </c>
    </row>
    <row r="10851" customFormat="false" ht="15" hidden="false" customHeight="false" outlineLevel="0" collapsed="false">
      <c r="A10851" s="103"/>
      <c r="B10851" s="104"/>
      <c r="C10851" s="104"/>
      <c r="E10851" s="107" t="str">
        <f aca="false">IF($C10851="","",IFERROR(INDEX(المنيو!$C$2:$C$500,MATCH($C10851,المنيو!$B$2:$B$500,0)),0))</f>
        <v/>
      </c>
      <c r="F10851" s="107" t="str">
        <f aca="false">IF($C10851="","",$D10851*$E10851)</f>
        <v/>
      </c>
      <c r="G10851" s="107" t="str">
        <f aca="false">IF($C10851="","",$D10851*IFERROR(INDEX('تحليل التكلفة والسعر'!$C$2:$C$700,MATCH($C10851,'تحليل التكلفة والسعر'!$B$2:$B$700,0)),0))</f>
        <v/>
      </c>
    </row>
    <row r="10852" customFormat="false" ht="15" hidden="false" customHeight="false" outlineLevel="0" collapsed="false">
      <c r="A10852" s="103"/>
      <c r="B10852" s="104"/>
      <c r="C10852" s="104"/>
      <c r="E10852" s="107" t="str">
        <f aca="false">IF($C10852="","",IFERROR(INDEX(المنيو!$C$2:$C$500,MATCH($C10852,المنيو!$B$2:$B$500,0)),0))</f>
        <v/>
      </c>
      <c r="F10852" s="107" t="str">
        <f aca="false">IF($C10852="","",$D10852*$E10852)</f>
        <v/>
      </c>
      <c r="G10852" s="107" t="str">
        <f aca="false">IF($C10852="","",$D10852*IFERROR(INDEX('تحليل التكلفة والسعر'!$C$2:$C$700,MATCH($C10852,'تحليل التكلفة والسعر'!$B$2:$B$700,0)),0))</f>
        <v/>
      </c>
    </row>
    <row r="10853" customFormat="false" ht="15" hidden="false" customHeight="false" outlineLevel="0" collapsed="false">
      <c r="A10853" s="103"/>
      <c r="B10853" s="104"/>
      <c r="C10853" s="104"/>
      <c r="E10853" s="107" t="str">
        <f aca="false">IF($C10853="","",IFERROR(INDEX(المنيو!$C$2:$C$500,MATCH($C10853,المنيو!$B$2:$B$500,0)),0))</f>
        <v/>
      </c>
      <c r="F10853" s="107" t="str">
        <f aca="false">IF($C10853="","",$D10853*$E10853)</f>
        <v/>
      </c>
      <c r="G10853" s="107" t="str">
        <f aca="false">IF($C10853="","",$D10853*IFERROR(INDEX('تحليل التكلفة والسعر'!$C$2:$C$700,MATCH($C10853,'تحليل التكلفة والسعر'!$B$2:$B$700,0)),0))</f>
        <v/>
      </c>
    </row>
    <row r="10854" customFormat="false" ht="15" hidden="false" customHeight="false" outlineLevel="0" collapsed="false">
      <c r="A10854" s="103"/>
      <c r="B10854" s="104"/>
      <c r="C10854" s="104"/>
      <c r="E10854" s="107" t="str">
        <f aca="false">IF($C10854="","",IFERROR(INDEX(المنيو!$C$2:$C$500,MATCH($C10854,المنيو!$B$2:$B$500,0)),0))</f>
        <v/>
      </c>
      <c r="F10854" s="107" t="str">
        <f aca="false">IF($C10854="","",$D10854*$E10854)</f>
        <v/>
      </c>
      <c r="G10854" s="107" t="str">
        <f aca="false">IF($C10854="","",$D10854*IFERROR(INDEX('تحليل التكلفة والسعر'!$C$2:$C$700,MATCH($C10854,'تحليل التكلفة والسعر'!$B$2:$B$700,0)),0))</f>
        <v/>
      </c>
    </row>
    <row r="10855" customFormat="false" ht="15" hidden="false" customHeight="false" outlineLevel="0" collapsed="false">
      <c r="A10855" s="103"/>
      <c r="B10855" s="104"/>
      <c r="C10855" s="104"/>
      <c r="E10855" s="107" t="str">
        <f aca="false">IF($C10855="","",IFERROR(INDEX(المنيو!$C$2:$C$500,MATCH($C10855,المنيو!$B$2:$B$500,0)),0))</f>
        <v/>
      </c>
      <c r="F10855" s="107" t="str">
        <f aca="false">IF($C10855="","",$D10855*$E10855)</f>
        <v/>
      </c>
      <c r="G10855" s="107" t="str">
        <f aca="false">IF($C10855="","",$D10855*IFERROR(INDEX('تحليل التكلفة والسعر'!$C$2:$C$700,MATCH($C10855,'تحليل التكلفة والسعر'!$B$2:$B$700,0)),0))</f>
        <v/>
      </c>
    </row>
    <row r="10856" customFormat="false" ht="15" hidden="false" customHeight="false" outlineLevel="0" collapsed="false">
      <c r="A10856" s="103"/>
      <c r="B10856" s="104"/>
      <c r="C10856" s="104"/>
      <c r="E10856" s="107" t="str">
        <f aca="false">IF($C10856="","",IFERROR(INDEX(المنيو!$C$2:$C$500,MATCH($C10856,المنيو!$B$2:$B$500,0)),0))</f>
        <v/>
      </c>
      <c r="F10856" s="107" t="str">
        <f aca="false">IF($C10856="","",$D10856*$E10856)</f>
        <v/>
      </c>
      <c r="G10856" s="107" t="str">
        <f aca="false">IF($C10856="","",$D10856*IFERROR(INDEX('تحليل التكلفة والسعر'!$C$2:$C$700,MATCH($C10856,'تحليل التكلفة والسعر'!$B$2:$B$700,0)),0))</f>
        <v/>
      </c>
    </row>
    <row r="10857" customFormat="false" ht="15" hidden="false" customHeight="false" outlineLevel="0" collapsed="false">
      <c r="A10857" s="103"/>
      <c r="B10857" s="104"/>
      <c r="C10857" s="104"/>
      <c r="E10857" s="107" t="str">
        <f aca="false">IF($C10857="","",IFERROR(INDEX(المنيو!$C$2:$C$500,MATCH($C10857,المنيو!$B$2:$B$500,0)),0))</f>
        <v/>
      </c>
      <c r="F10857" s="107" t="str">
        <f aca="false">IF($C10857="","",$D10857*$E10857)</f>
        <v/>
      </c>
      <c r="G10857" s="107" t="str">
        <f aca="false">IF($C10857="","",$D10857*IFERROR(INDEX('تحليل التكلفة والسعر'!$C$2:$C$700,MATCH($C10857,'تحليل التكلفة والسعر'!$B$2:$B$700,0)),0))</f>
        <v/>
      </c>
    </row>
    <row r="10858" customFormat="false" ht="15" hidden="false" customHeight="false" outlineLevel="0" collapsed="false">
      <c r="A10858" s="103"/>
      <c r="B10858" s="104"/>
      <c r="C10858" s="104"/>
      <c r="E10858" s="107" t="str">
        <f aca="false">IF($C10858="","",IFERROR(INDEX(المنيو!$C$2:$C$500,MATCH($C10858,المنيو!$B$2:$B$500,0)),0))</f>
        <v/>
      </c>
      <c r="F10858" s="107" t="str">
        <f aca="false">IF($C10858="","",$D10858*$E10858)</f>
        <v/>
      </c>
      <c r="G10858" s="107" t="str">
        <f aca="false">IF($C10858="","",$D10858*IFERROR(INDEX('تحليل التكلفة والسعر'!$C$2:$C$700,MATCH($C10858,'تحليل التكلفة والسعر'!$B$2:$B$700,0)),0))</f>
        <v/>
      </c>
    </row>
    <row r="10859" customFormat="false" ht="15" hidden="false" customHeight="false" outlineLevel="0" collapsed="false">
      <c r="A10859" s="103"/>
      <c r="B10859" s="104"/>
      <c r="C10859" s="104"/>
      <c r="E10859" s="107" t="str">
        <f aca="false">IF($C10859="","",IFERROR(INDEX(المنيو!$C$2:$C$500,MATCH($C10859,المنيو!$B$2:$B$500,0)),0))</f>
        <v/>
      </c>
      <c r="F10859" s="107" t="str">
        <f aca="false">IF($C10859="","",$D10859*$E10859)</f>
        <v/>
      </c>
      <c r="G10859" s="107" t="str">
        <f aca="false">IF($C10859="","",$D10859*IFERROR(INDEX('تحليل التكلفة والسعر'!$C$2:$C$700,MATCH($C10859,'تحليل التكلفة والسعر'!$B$2:$B$700,0)),0))</f>
        <v/>
      </c>
    </row>
    <row r="10860" customFormat="false" ht="15" hidden="false" customHeight="false" outlineLevel="0" collapsed="false">
      <c r="A10860" s="103"/>
      <c r="B10860" s="104"/>
      <c r="C10860" s="104"/>
      <c r="E10860" s="107" t="str">
        <f aca="false">IF($C10860="","",IFERROR(INDEX(المنيو!$C$2:$C$500,MATCH($C10860,المنيو!$B$2:$B$500,0)),0))</f>
        <v/>
      </c>
      <c r="F10860" s="107" t="str">
        <f aca="false">IF($C10860="","",$D10860*$E10860)</f>
        <v/>
      </c>
      <c r="G10860" s="107" t="str">
        <f aca="false">IF($C10860="","",$D10860*IFERROR(INDEX('تحليل التكلفة والسعر'!$C$2:$C$700,MATCH($C10860,'تحليل التكلفة والسعر'!$B$2:$B$700,0)),0))</f>
        <v/>
      </c>
    </row>
    <row r="10861" customFormat="false" ht="15" hidden="false" customHeight="false" outlineLevel="0" collapsed="false">
      <c r="A10861" s="103"/>
      <c r="B10861" s="104"/>
      <c r="C10861" s="104"/>
      <c r="E10861" s="107" t="str">
        <f aca="false">IF($C10861="","",IFERROR(INDEX(المنيو!$C$2:$C$500,MATCH($C10861,المنيو!$B$2:$B$500,0)),0))</f>
        <v/>
      </c>
      <c r="F10861" s="107" t="str">
        <f aca="false">IF($C10861="","",$D10861*$E10861)</f>
        <v/>
      </c>
      <c r="G10861" s="107" t="str">
        <f aca="false">IF($C10861="","",$D10861*IFERROR(INDEX('تحليل التكلفة والسعر'!$C$2:$C$700,MATCH($C10861,'تحليل التكلفة والسعر'!$B$2:$B$700,0)),0))</f>
        <v/>
      </c>
    </row>
    <row r="10862" customFormat="false" ht="15" hidden="false" customHeight="false" outlineLevel="0" collapsed="false">
      <c r="A10862" s="103"/>
      <c r="B10862" s="104"/>
      <c r="C10862" s="104"/>
      <c r="E10862" s="107" t="str">
        <f aca="false">IF($C10862="","",IFERROR(INDEX(المنيو!$C$2:$C$500,MATCH($C10862,المنيو!$B$2:$B$500,0)),0))</f>
        <v/>
      </c>
      <c r="F10862" s="107" t="str">
        <f aca="false">IF($C10862="","",$D10862*$E10862)</f>
        <v/>
      </c>
      <c r="G10862" s="107" t="str">
        <f aca="false">IF($C10862="","",$D10862*IFERROR(INDEX('تحليل التكلفة والسعر'!$C$2:$C$700,MATCH($C10862,'تحليل التكلفة والسعر'!$B$2:$B$700,0)),0))</f>
        <v/>
      </c>
    </row>
    <row r="10863" customFormat="false" ht="15" hidden="false" customHeight="false" outlineLevel="0" collapsed="false">
      <c r="A10863" s="103"/>
      <c r="B10863" s="104"/>
      <c r="C10863" s="104"/>
      <c r="E10863" s="107" t="str">
        <f aca="false">IF($C10863="","",IFERROR(INDEX(المنيو!$C$2:$C$500,MATCH($C10863,المنيو!$B$2:$B$500,0)),0))</f>
        <v/>
      </c>
      <c r="F10863" s="107" t="str">
        <f aca="false">IF($C10863="","",$D10863*$E10863)</f>
        <v/>
      </c>
      <c r="G10863" s="107" t="str">
        <f aca="false">IF($C10863="","",$D10863*IFERROR(INDEX('تحليل التكلفة والسعر'!$C$2:$C$700,MATCH($C10863,'تحليل التكلفة والسعر'!$B$2:$B$700,0)),0))</f>
        <v/>
      </c>
    </row>
    <row r="10864" customFormat="false" ht="15" hidden="false" customHeight="false" outlineLevel="0" collapsed="false">
      <c r="A10864" s="103"/>
      <c r="B10864" s="104"/>
      <c r="C10864" s="104"/>
      <c r="E10864" s="107" t="str">
        <f aca="false">IF($C10864="","",IFERROR(INDEX(المنيو!$C$2:$C$500,MATCH($C10864,المنيو!$B$2:$B$500,0)),0))</f>
        <v/>
      </c>
      <c r="F10864" s="107" t="str">
        <f aca="false">IF($C10864="","",$D10864*$E10864)</f>
        <v/>
      </c>
      <c r="G10864" s="107" t="str">
        <f aca="false">IF($C10864="","",$D10864*IFERROR(INDEX('تحليل التكلفة والسعر'!$C$2:$C$700,MATCH($C10864,'تحليل التكلفة والسعر'!$B$2:$B$700,0)),0))</f>
        <v/>
      </c>
    </row>
    <row r="10865" customFormat="false" ht="15" hidden="false" customHeight="false" outlineLevel="0" collapsed="false">
      <c r="A10865" s="103"/>
      <c r="B10865" s="104"/>
      <c r="C10865" s="104"/>
      <c r="E10865" s="107" t="str">
        <f aca="false">IF($C10865="","",IFERROR(INDEX(المنيو!$C$2:$C$500,MATCH($C10865,المنيو!$B$2:$B$500,0)),0))</f>
        <v/>
      </c>
      <c r="F10865" s="107" t="str">
        <f aca="false">IF($C10865="","",$D10865*$E10865)</f>
        <v/>
      </c>
      <c r="G10865" s="107" t="str">
        <f aca="false">IF($C10865="","",$D10865*IFERROR(INDEX('تحليل التكلفة والسعر'!$C$2:$C$700,MATCH($C10865,'تحليل التكلفة والسعر'!$B$2:$B$700,0)),0))</f>
        <v/>
      </c>
    </row>
    <row r="10866" customFormat="false" ht="15" hidden="false" customHeight="false" outlineLevel="0" collapsed="false">
      <c r="A10866" s="103"/>
      <c r="B10866" s="104"/>
      <c r="C10866" s="104"/>
      <c r="E10866" s="107" t="str">
        <f aca="false">IF($C10866="","",IFERROR(INDEX(المنيو!$C$2:$C$500,MATCH($C10866,المنيو!$B$2:$B$500,0)),0))</f>
        <v/>
      </c>
      <c r="F10866" s="107" t="str">
        <f aca="false">IF($C10866="","",$D10866*$E10866)</f>
        <v/>
      </c>
      <c r="G10866" s="107" t="str">
        <f aca="false">IF($C10866="","",$D10866*IFERROR(INDEX('تحليل التكلفة والسعر'!$C$2:$C$700,MATCH($C10866,'تحليل التكلفة والسعر'!$B$2:$B$700,0)),0))</f>
        <v/>
      </c>
    </row>
    <row r="10867" customFormat="false" ht="15" hidden="false" customHeight="false" outlineLevel="0" collapsed="false">
      <c r="A10867" s="103"/>
      <c r="B10867" s="104"/>
      <c r="C10867" s="104"/>
      <c r="E10867" s="107" t="str">
        <f aca="false">IF($C10867="","",IFERROR(INDEX(المنيو!$C$2:$C$500,MATCH($C10867,المنيو!$B$2:$B$500,0)),0))</f>
        <v/>
      </c>
      <c r="F10867" s="107" t="str">
        <f aca="false">IF($C10867="","",$D10867*$E10867)</f>
        <v/>
      </c>
      <c r="G10867" s="107" t="str">
        <f aca="false">IF($C10867="","",$D10867*IFERROR(INDEX('تحليل التكلفة والسعر'!$C$2:$C$700,MATCH($C10867,'تحليل التكلفة والسعر'!$B$2:$B$700,0)),0))</f>
        <v/>
      </c>
    </row>
    <row r="10868" customFormat="false" ht="15" hidden="false" customHeight="false" outlineLevel="0" collapsed="false">
      <c r="A10868" s="103"/>
      <c r="B10868" s="104"/>
      <c r="C10868" s="104"/>
      <c r="E10868" s="107" t="str">
        <f aca="false">IF($C10868="","",IFERROR(INDEX(المنيو!$C$2:$C$500,MATCH($C10868,المنيو!$B$2:$B$500,0)),0))</f>
        <v/>
      </c>
      <c r="F10868" s="107" t="str">
        <f aca="false">IF($C10868="","",$D10868*$E10868)</f>
        <v/>
      </c>
      <c r="G10868" s="107" t="str">
        <f aca="false">IF($C10868="","",$D10868*IFERROR(INDEX('تحليل التكلفة والسعر'!$C$2:$C$700,MATCH($C10868,'تحليل التكلفة والسعر'!$B$2:$B$700,0)),0))</f>
        <v/>
      </c>
    </row>
    <row r="10869" customFormat="false" ht="15" hidden="false" customHeight="false" outlineLevel="0" collapsed="false">
      <c r="A10869" s="103"/>
      <c r="B10869" s="104"/>
      <c r="C10869" s="104"/>
      <c r="E10869" s="107" t="str">
        <f aca="false">IF($C10869="","",IFERROR(INDEX(المنيو!$C$2:$C$500,MATCH($C10869,المنيو!$B$2:$B$500,0)),0))</f>
        <v/>
      </c>
      <c r="F10869" s="107" t="str">
        <f aca="false">IF($C10869="","",$D10869*$E10869)</f>
        <v/>
      </c>
      <c r="G10869" s="107" t="str">
        <f aca="false">IF($C10869="","",$D10869*IFERROR(INDEX('تحليل التكلفة والسعر'!$C$2:$C$700,MATCH($C10869,'تحليل التكلفة والسعر'!$B$2:$B$700,0)),0))</f>
        <v/>
      </c>
    </row>
    <row r="10870" customFormat="false" ht="15" hidden="false" customHeight="false" outlineLevel="0" collapsed="false">
      <c r="A10870" s="103"/>
      <c r="B10870" s="104"/>
      <c r="C10870" s="104"/>
      <c r="E10870" s="107" t="str">
        <f aca="false">IF($C10870="","",IFERROR(INDEX(المنيو!$C$2:$C$500,MATCH($C10870,المنيو!$B$2:$B$500,0)),0))</f>
        <v/>
      </c>
      <c r="F10870" s="107" t="str">
        <f aca="false">IF($C10870="","",$D10870*$E10870)</f>
        <v/>
      </c>
      <c r="G10870" s="107" t="str">
        <f aca="false">IF($C10870="","",$D10870*IFERROR(INDEX('تحليل التكلفة والسعر'!$C$2:$C$700,MATCH($C10870,'تحليل التكلفة والسعر'!$B$2:$B$700,0)),0))</f>
        <v/>
      </c>
    </row>
    <row r="10871" customFormat="false" ht="15" hidden="false" customHeight="false" outlineLevel="0" collapsed="false">
      <c r="A10871" s="103"/>
      <c r="B10871" s="104"/>
      <c r="C10871" s="104"/>
      <c r="E10871" s="107" t="str">
        <f aca="false">IF($C10871="","",IFERROR(INDEX(المنيو!$C$2:$C$500,MATCH($C10871,المنيو!$B$2:$B$500,0)),0))</f>
        <v/>
      </c>
      <c r="F10871" s="107" t="str">
        <f aca="false">IF($C10871="","",$D10871*$E10871)</f>
        <v/>
      </c>
      <c r="G10871" s="107" t="str">
        <f aca="false">IF($C10871="","",$D10871*IFERROR(INDEX('تحليل التكلفة والسعر'!$C$2:$C$700,MATCH($C10871,'تحليل التكلفة والسعر'!$B$2:$B$700,0)),0))</f>
        <v/>
      </c>
    </row>
    <row r="10872" customFormat="false" ht="15" hidden="false" customHeight="false" outlineLevel="0" collapsed="false">
      <c r="A10872" s="103"/>
      <c r="B10872" s="104"/>
      <c r="C10872" s="104"/>
      <c r="E10872" s="107" t="str">
        <f aca="false">IF($C10872="","",IFERROR(INDEX(المنيو!$C$2:$C$500,MATCH($C10872,المنيو!$B$2:$B$500,0)),0))</f>
        <v/>
      </c>
      <c r="F10872" s="107" t="str">
        <f aca="false">IF($C10872="","",$D10872*$E10872)</f>
        <v/>
      </c>
      <c r="G10872" s="107" t="str">
        <f aca="false">IF($C10872="","",$D10872*IFERROR(INDEX('تحليل التكلفة والسعر'!$C$2:$C$700,MATCH($C10872,'تحليل التكلفة والسعر'!$B$2:$B$700,0)),0))</f>
        <v/>
      </c>
    </row>
    <row r="10873" customFormat="false" ht="15" hidden="false" customHeight="false" outlineLevel="0" collapsed="false">
      <c r="A10873" s="103"/>
      <c r="B10873" s="104"/>
      <c r="C10873" s="104"/>
      <c r="E10873" s="107" t="str">
        <f aca="false">IF($C10873="","",IFERROR(INDEX(المنيو!$C$2:$C$500,MATCH($C10873,المنيو!$B$2:$B$500,0)),0))</f>
        <v/>
      </c>
      <c r="F10873" s="107" t="str">
        <f aca="false">IF($C10873="","",$D10873*$E10873)</f>
        <v/>
      </c>
      <c r="G10873" s="107" t="str">
        <f aca="false">IF($C10873="","",$D10873*IFERROR(INDEX('تحليل التكلفة والسعر'!$C$2:$C$700,MATCH($C10873,'تحليل التكلفة والسعر'!$B$2:$B$700,0)),0))</f>
        <v/>
      </c>
    </row>
    <row r="10874" customFormat="false" ht="15" hidden="false" customHeight="false" outlineLevel="0" collapsed="false">
      <c r="A10874" s="103"/>
      <c r="B10874" s="104"/>
      <c r="C10874" s="104"/>
      <c r="E10874" s="107" t="str">
        <f aca="false">IF($C10874="","",IFERROR(INDEX(المنيو!$C$2:$C$500,MATCH($C10874,المنيو!$B$2:$B$500,0)),0))</f>
        <v/>
      </c>
      <c r="F10874" s="107" t="str">
        <f aca="false">IF($C10874="","",$D10874*$E10874)</f>
        <v/>
      </c>
      <c r="G10874" s="107" t="str">
        <f aca="false">IF($C10874="","",$D10874*IFERROR(INDEX('تحليل التكلفة والسعر'!$C$2:$C$700,MATCH($C10874,'تحليل التكلفة والسعر'!$B$2:$B$700,0)),0))</f>
        <v/>
      </c>
    </row>
    <row r="10875" customFormat="false" ht="15" hidden="false" customHeight="false" outlineLevel="0" collapsed="false">
      <c r="A10875" s="103"/>
      <c r="B10875" s="104"/>
      <c r="C10875" s="104"/>
      <c r="E10875" s="107" t="str">
        <f aca="false">IF($C10875="","",IFERROR(INDEX(المنيو!$C$2:$C$500,MATCH($C10875,المنيو!$B$2:$B$500,0)),0))</f>
        <v/>
      </c>
      <c r="F10875" s="107" t="str">
        <f aca="false">IF($C10875="","",$D10875*$E10875)</f>
        <v/>
      </c>
      <c r="G10875" s="107" t="str">
        <f aca="false">IF($C10875="","",$D10875*IFERROR(INDEX('تحليل التكلفة والسعر'!$C$2:$C$700,MATCH($C10875,'تحليل التكلفة والسعر'!$B$2:$B$700,0)),0))</f>
        <v/>
      </c>
    </row>
    <row r="10876" customFormat="false" ht="15" hidden="false" customHeight="false" outlineLevel="0" collapsed="false">
      <c r="A10876" s="103"/>
      <c r="B10876" s="104"/>
      <c r="C10876" s="104"/>
      <c r="E10876" s="107" t="str">
        <f aca="false">IF($C10876="","",IFERROR(INDEX(المنيو!$C$2:$C$500,MATCH($C10876,المنيو!$B$2:$B$500,0)),0))</f>
        <v/>
      </c>
      <c r="F10876" s="107" t="str">
        <f aca="false">IF($C10876="","",$D10876*$E10876)</f>
        <v/>
      </c>
      <c r="G10876" s="107" t="str">
        <f aca="false">IF($C10876="","",$D10876*IFERROR(INDEX('تحليل التكلفة والسعر'!$C$2:$C$700,MATCH($C10876,'تحليل التكلفة والسعر'!$B$2:$B$700,0)),0))</f>
        <v/>
      </c>
    </row>
    <row r="10877" customFormat="false" ht="15" hidden="false" customHeight="false" outlineLevel="0" collapsed="false">
      <c r="A10877" s="103"/>
      <c r="B10877" s="104"/>
      <c r="C10877" s="104"/>
      <c r="E10877" s="107" t="str">
        <f aca="false">IF($C10877="","",IFERROR(INDEX(المنيو!$C$2:$C$500,MATCH($C10877,المنيو!$B$2:$B$500,0)),0))</f>
        <v/>
      </c>
      <c r="F10877" s="107" t="str">
        <f aca="false">IF($C10877="","",$D10877*$E10877)</f>
        <v/>
      </c>
      <c r="G10877" s="107" t="str">
        <f aca="false">IF($C10877="","",$D10877*IFERROR(INDEX('تحليل التكلفة والسعر'!$C$2:$C$700,MATCH($C10877,'تحليل التكلفة والسعر'!$B$2:$B$700,0)),0))</f>
        <v/>
      </c>
    </row>
    <row r="10878" customFormat="false" ht="15" hidden="false" customHeight="false" outlineLevel="0" collapsed="false">
      <c r="A10878" s="103"/>
      <c r="B10878" s="104"/>
      <c r="C10878" s="104"/>
      <c r="E10878" s="107" t="str">
        <f aca="false">IF($C10878="","",IFERROR(INDEX(المنيو!$C$2:$C$500,MATCH($C10878,المنيو!$B$2:$B$500,0)),0))</f>
        <v/>
      </c>
      <c r="F10878" s="107" t="str">
        <f aca="false">IF($C10878="","",$D10878*$E10878)</f>
        <v/>
      </c>
      <c r="G10878" s="107" t="str">
        <f aca="false">IF($C10878="","",$D10878*IFERROR(INDEX('تحليل التكلفة والسعر'!$C$2:$C$700,MATCH($C10878,'تحليل التكلفة والسعر'!$B$2:$B$700,0)),0))</f>
        <v/>
      </c>
    </row>
    <row r="10879" customFormat="false" ht="15" hidden="false" customHeight="false" outlineLevel="0" collapsed="false">
      <c r="A10879" s="103"/>
      <c r="B10879" s="104"/>
      <c r="C10879" s="104"/>
      <c r="E10879" s="107" t="str">
        <f aca="false">IF($C10879="","",IFERROR(INDEX(المنيو!$C$2:$C$500,MATCH($C10879,المنيو!$B$2:$B$500,0)),0))</f>
        <v/>
      </c>
      <c r="F10879" s="107" t="str">
        <f aca="false">IF($C10879="","",$D10879*$E10879)</f>
        <v/>
      </c>
      <c r="G10879" s="107" t="str">
        <f aca="false">IF($C10879="","",$D10879*IFERROR(INDEX('تحليل التكلفة والسعر'!$C$2:$C$700,MATCH($C10879,'تحليل التكلفة والسعر'!$B$2:$B$700,0)),0))</f>
        <v/>
      </c>
    </row>
    <row r="10880" customFormat="false" ht="15" hidden="false" customHeight="false" outlineLevel="0" collapsed="false">
      <c r="A10880" s="103"/>
      <c r="B10880" s="104"/>
      <c r="C10880" s="104"/>
      <c r="E10880" s="107" t="str">
        <f aca="false">IF($C10880="","",IFERROR(INDEX(المنيو!$C$2:$C$500,MATCH($C10880,المنيو!$B$2:$B$500,0)),0))</f>
        <v/>
      </c>
      <c r="F10880" s="107" t="str">
        <f aca="false">IF($C10880="","",$D10880*$E10880)</f>
        <v/>
      </c>
      <c r="G10880" s="107" t="str">
        <f aca="false">IF($C10880="","",$D10880*IFERROR(INDEX('تحليل التكلفة والسعر'!$C$2:$C$700,MATCH($C10880,'تحليل التكلفة والسعر'!$B$2:$B$700,0)),0))</f>
        <v/>
      </c>
    </row>
    <row r="10881" customFormat="false" ht="15" hidden="false" customHeight="false" outlineLevel="0" collapsed="false">
      <c r="A10881" s="103"/>
      <c r="B10881" s="104"/>
      <c r="C10881" s="104"/>
      <c r="E10881" s="107" t="str">
        <f aca="false">IF($C10881="","",IFERROR(INDEX(المنيو!$C$2:$C$500,MATCH($C10881,المنيو!$B$2:$B$500,0)),0))</f>
        <v/>
      </c>
      <c r="F10881" s="107" t="str">
        <f aca="false">IF($C10881="","",$D10881*$E10881)</f>
        <v/>
      </c>
      <c r="G10881" s="107" t="str">
        <f aca="false">IF($C10881="","",$D10881*IFERROR(INDEX('تحليل التكلفة والسعر'!$C$2:$C$700,MATCH($C10881,'تحليل التكلفة والسعر'!$B$2:$B$700,0)),0))</f>
        <v/>
      </c>
    </row>
    <row r="10882" customFormat="false" ht="15" hidden="false" customHeight="false" outlineLevel="0" collapsed="false">
      <c r="A10882" s="103"/>
      <c r="B10882" s="104"/>
      <c r="C10882" s="104"/>
      <c r="E10882" s="107" t="str">
        <f aca="false">IF($C10882="","",IFERROR(INDEX(المنيو!$C$2:$C$500,MATCH($C10882,المنيو!$B$2:$B$500,0)),0))</f>
        <v/>
      </c>
      <c r="F10882" s="107" t="str">
        <f aca="false">IF($C10882="","",$D10882*$E10882)</f>
        <v/>
      </c>
      <c r="G10882" s="107" t="str">
        <f aca="false">IF($C10882="","",$D10882*IFERROR(INDEX('تحليل التكلفة والسعر'!$C$2:$C$700,MATCH($C10882,'تحليل التكلفة والسعر'!$B$2:$B$700,0)),0))</f>
        <v/>
      </c>
    </row>
    <row r="10883" customFormat="false" ht="15" hidden="false" customHeight="false" outlineLevel="0" collapsed="false">
      <c r="A10883" s="103"/>
      <c r="B10883" s="104"/>
      <c r="C10883" s="104"/>
      <c r="E10883" s="107" t="str">
        <f aca="false">IF($C10883="","",IFERROR(INDEX(المنيو!$C$2:$C$500,MATCH($C10883,المنيو!$B$2:$B$500,0)),0))</f>
        <v/>
      </c>
      <c r="F10883" s="107" t="str">
        <f aca="false">IF($C10883="","",$D10883*$E10883)</f>
        <v/>
      </c>
      <c r="G10883" s="107" t="str">
        <f aca="false">IF($C10883="","",$D10883*IFERROR(INDEX('تحليل التكلفة والسعر'!$C$2:$C$700,MATCH($C10883,'تحليل التكلفة والسعر'!$B$2:$B$700,0)),0))</f>
        <v/>
      </c>
    </row>
    <row r="10884" customFormat="false" ht="15" hidden="false" customHeight="false" outlineLevel="0" collapsed="false">
      <c r="A10884" s="103"/>
      <c r="B10884" s="104"/>
      <c r="C10884" s="104"/>
      <c r="E10884" s="107" t="str">
        <f aca="false">IF($C10884="","",IFERROR(INDEX(المنيو!$C$2:$C$500,MATCH($C10884,المنيو!$B$2:$B$500,0)),0))</f>
        <v/>
      </c>
      <c r="F10884" s="107" t="str">
        <f aca="false">IF($C10884="","",$D10884*$E10884)</f>
        <v/>
      </c>
      <c r="G10884" s="107" t="str">
        <f aca="false">IF($C10884="","",$D10884*IFERROR(INDEX('تحليل التكلفة والسعر'!$C$2:$C$700,MATCH($C10884,'تحليل التكلفة والسعر'!$B$2:$B$700,0)),0))</f>
        <v/>
      </c>
    </row>
    <row r="10885" customFormat="false" ht="15" hidden="false" customHeight="false" outlineLevel="0" collapsed="false">
      <c r="A10885" s="103"/>
      <c r="B10885" s="104"/>
      <c r="C10885" s="104"/>
      <c r="E10885" s="107" t="str">
        <f aca="false">IF($C10885="","",IFERROR(INDEX(المنيو!$C$2:$C$500,MATCH($C10885,المنيو!$B$2:$B$500,0)),0))</f>
        <v/>
      </c>
      <c r="F10885" s="107" t="str">
        <f aca="false">IF($C10885="","",$D10885*$E10885)</f>
        <v/>
      </c>
      <c r="G10885" s="107" t="str">
        <f aca="false">IF($C10885="","",$D10885*IFERROR(INDEX('تحليل التكلفة والسعر'!$C$2:$C$700,MATCH($C10885,'تحليل التكلفة والسعر'!$B$2:$B$700,0)),0))</f>
        <v/>
      </c>
    </row>
    <row r="10886" customFormat="false" ht="15" hidden="false" customHeight="false" outlineLevel="0" collapsed="false">
      <c r="A10886" s="103"/>
      <c r="B10886" s="104"/>
      <c r="C10886" s="104"/>
      <c r="E10886" s="107" t="str">
        <f aca="false">IF($C10886="","",IFERROR(INDEX(المنيو!$C$2:$C$500,MATCH($C10886,المنيو!$B$2:$B$500,0)),0))</f>
        <v/>
      </c>
      <c r="F10886" s="107" t="str">
        <f aca="false">IF($C10886="","",$D10886*$E10886)</f>
        <v/>
      </c>
      <c r="G10886" s="107" t="str">
        <f aca="false">IF($C10886="","",$D10886*IFERROR(INDEX('تحليل التكلفة والسعر'!$C$2:$C$700,MATCH($C10886,'تحليل التكلفة والسعر'!$B$2:$B$700,0)),0))</f>
        <v/>
      </c>
    </row>
    <row r="10887" customFormat="false" ht="15" hidden="false" customHeight="false" outlineLevel="0" collapsed="false">
      <c r="A10887" s="103"/>
      <c r="B10887" s="104"/>
      <c r="C10887" s="104"/>
      <c r="E10887" s="107" t="str">
        <f aca="false">IF($C10887="","",IFERROR(INDEX(المنيو!$C$2:$C$500,MATCH($C10887,المنيو!$B$2:$B$500,0)),0))</f>
        <v/>
      </c>
      <c r="F10887" s="107" t="str">
        <f aca="false">IF($C10887="","",$D10887*$E10887)</f>
        <v/>
      </c>
      <c r="G10887" s="107" t="str">
        <f aca="false">IF($C10887="","",$D10887*IFERROR(INDEX('تحليل التكلفة والسعر'!$C$2:$C$700,MATCH($C10887,'تحليل التكلفة والسعر'!$B$2:$B$700,0)),0))</f>
        <v/>
      </c>
    </row>
    <row r="10888" customFormat="false" ht="15" hidden="false" customHeight="false" outlineLevel="0" collapsed="false">
      <c r="A10888" s="103"/>
      <c r="B10888" s="104"/>
      <c r="C10888" s="104"/>
      <c r="E10888" s="107" t="str">
        <f aca="false">IF($C10888="","",IFERROR(INDEX(المنيو!$C$2:$C$500,MATCH($C10888,المنيو!$B$2:$B$500,0)),0))</f>
        <v/>
      </c>
      <c r="F10888" s="107" t="str">
        <f aca="false">IF($C10888="","",$D10888*$E10888)</f>
        <v/>
      </c>
      <c r="G10888" s="107" t="str">
        <f aca="false">IF($C10888="","",$D10888*IFERROR(INDEX('تحليل التكلفة والسعر'!$C$2:$C$700,MATCH($C10888,'تحليل التكلفة والسعر'!$B$2:$B$700,0)),0))</f>
        <v/>
      </c>
    </row>
    <row r="10889" customFormat="false" ht="15" hidden="false" customHeight="false" outlineLevel="0" collapsed="false">
      <c r="A10889" s="103"/>
      <c r="B10889" s="104"/>
      <c r="C10889" s="104"/>
      <c r="E10889" s="107" t="str">
        <f aca="false">IF($C10889="","",IFERROR(INDEX(المنيو!$C$2:$C$500,MATCH($C10889,المنيو!$B$2:$B$500,0)),0))</f>
        <v/>
      </c>
      <c r="F10889" s="107" t="str">
        <f aca="false">IF($C10889="","",$D10889*$E10889)</f>
        <v/>
      </c>
      <c r="G10889" s="107" t="str">
        <f aca="false">IF($C10889="","",$D10889*IFERROR(INDEX('تحليل التكلفة والسعر'!$C$2:$C$700,MATCH($C10889,'تحليل التكلفة والسعر'!$B$2:$B$700,0)),0))</f>
        <v/>
      </c>
    </row>
    <row r="10890" customFormat="false" ht="15" hidden="false" customHeight="false" outlineLevel="0" collapsed="false">
      <c r="A10890" s="103"/>
      <c r="B10890" s="104"/>
      <c r="C10890" s="104"/>
      <c r="E10890" s="107" t="str">
        <f aca="false">IF($C10890="","",IFERROR(INDEX(المنيو!$C$2:$C$500,MATCH($C10890,المنيو!$B$2:$B$500,0)),0))</f>
        <v/>
      </c>
      <c r="F10890" s="107" t="str">
        <f aca="false">IF($C10890="","",$D10890*$E10890)</f>
        <v/>
      </c>
      <c r="G10890" s="107" t="str">
        <f aca="false">IF($C10890="","",$D10890*IFERROR(INDEX('تحليل التكلفة والسعر'!$C$2:$C$700,MATCH($C10890,'تحليل التكلفة والسعر'!$B$2:$B$700,0)),0))</f>
        <v/>
      </c>
    </row>
    <row r="10891" customFormat="false" ht="15" hidden="false" customHeight="false" outlineLevel="0" collapsed="false">
      <c r="A10891" s="103"/>
      <c r="B10891" s="104"/>
      <c r="C10891" s="104"/>
      <c r="E10891" s="107" t="str">
        <f aca="false">IF($C10891="","",IFERROR(INDEX(المنيو!$C$2:$C$500,MATCH($C10891,المنيو!$B$2:$B$500,0)),0))</f>
        <v/>
      </c>
      <c r="F10891" s="107" t="str">
        <f aca="false">IF($C10891="","",$D10891*$E10891)</f>
        <v/>
      </c>
      <c r="G10891" s="107" t="str">
        <f aca="false">IF($C10891="","",$D10891*IFERROR(INDEX('تحليل التكلفة والسعر'!$C$2:$C$700,MATCH($C10891,'تحليل التكلفة والسعر'!$B$2:$B$700,0)),0))</f>
        <v/>
      </c>
    </row>
    <row r="10892" customFormat="false" ht="15" hidden="false" customHeight="false" outlineLevel="0" collapsed="false">
      <c r="A10892" s="103"/>
      <c r="B10892" s="104"/>
      <c r="C10892" s="104"/>
      <c r="E10892" s="107" t="str">
        <f aca="false">IF($C10892="","",IFERROR(INDEX(المنيو!$C$2:$C$500,MATCH($C10892,المنيو!$B$2:$B$500,0)),0))</f>
        <v/>
      </c>
      <c r="F10892" s="107" t="str">
        <f aca="false">IF($C10892="","",$D10892*$E10892)</f>
        <v/>
      </c>
      <c r="G10892" s="107" t="str">
        <f aca="false">IF($C10892="","",$D10892*IFERROR(INDEX('تحليل التكلفة والسعر'!$C$2:$C$700,MATCH($C10892,'تحليل التكلفة والسعر'!$B$2:$B$700,0)),0))</f>
        <v/>
      </c>
    </row>
    <row r="10893" customFormat="false" ht="15" hidden="false" customHeight="false" outlineLevel="0" collapsed="false">
      <c r="A10893" s="103"/>
      <c r="B10893" s="104"/>
      <c r="C10893" s="104"/>
      <c r="E10893" s="107" t="str">
        <f aca="false">IF($C10893="","",IFERROR(INDEX(المنيو!$C$2:$C$500,MATCH($C10893,المنيو!$B$2:$B$500,0)),0))</f>
        <v/>
      </c>
      <c r="F10893" s="107" t="str">
        <f aca="false">IF($C10893="","",$D10893*$E10893)</f>
        <v/>
      </c>
      <c r="G10893" s="107" t="str">
        <f aca="false">IF($C10893="","",$D10893*IFERROR(INDEX('تحليل التكلفة والسعر'!$C$2:$C$700,MATCH($C10893,'تحليل التكلفة والسعر'!$B$2:$B$700,0)),0))</f>
        <v/>
      </c>
    </row>
    <row r="10894" customFormat="false" ht="15" hidden="false" customHeight="false" outlineLevel="0" collapsed="false">
      <c r="A10894" s="103"/>
      <c r="B10894" s="104"/>
      <c r="C10894" s="104"/>
      <c r="E10894" s="107" t="str">
        <f aca="false">IF($C10894="","",IFERROR(INDEX(المنيو!$C$2:$C$500,MATCH($C10894,المنيو!$B$2:$B$500,0)),0))</f>
        <v/>
      </c>
      <c r="F10894" s="107" t="str">
        <f aca="false">IF($C10894="","",$D10894*$E10894)</f>
        <v/>
      </c>
      <c r="G10894" s="107" t="str">
        <f aca="false">IF($C10894="","",$D10894*IFERROR(INDEX('تحليل التكلفة والسعر'!$C$2:$C$700,MATCH($C10894,'تحليل التكلفة والسعر'!$B$2:$B$700,0)),0))</f>
        <v/>
      </c>
    </row>
    <row r="10895" customFormat="false" ht="15" hidden="false" customHeight="false" outlineLevel="0" collapsed="false">
      <c r="A10895" s="103"/>
      <c r="B10895" s="104"/>
      <c r="C10895" s="104"/>
      <c r="E10895" s="107" t="str">
        <f aca="false">IF($C10895="","",IFERROR(INDEX(المنيو!$C$2:$C$500,MATCH($C10895,المنيو!$B$2:$B$500,0)),0))</f>
        <v/>
      </c>
      <c r="F10895" s="107" t="str">
        <f aca="false">IF($C10895="","",$D10895*$E10895)</f>
        <v/>
      </c>
      <c r="G10895" s="107" t="str">
        <f aca="false">IF($C10895="","",$D10895*IFERROR(INDEX('تحليل التكلفة والسعر'!$C$2:$C$700,MATCH($C10895,'تحليل التكلفة والسعر'!$B$2:$B$700,0)),0))</f>
        <v/>
      </c>
    </row>
    <row r="10896" customFormat="false" ht="15" hidden="false" customHeight="false" outlineLevel="0" collapsed="false">
      <c r="A10896" s="103"/>
      <c r="B10896" s="104"/>
      <c r="C10896" s="104"/>
      <c r="E10896" s="107" t="str">
        <f aca="false">IF($C10896="","",IFERROR(INDEX(المنيو!$C$2:$C$500,MATCH($C10896,المنيو!$B$2:$B$500,0)),0))</f>
        <v/>
      </c>
      <c r="F10896" s="107" t="str">
        <f aca="false">IF($C10896="","",$D10896*$E10896)</f>
        <v/>
      </c>
      <c r="G10896" s="107" t="str">
        <f aca="false">IF($C10896="","",$D10896*IFERROR(INDEX('تحليل التكلفة والسعر'!$C$2:$C$700,MATCH($C10896,'تحليل التكلفة والسعر'!$B$2:$B$700,0)),0))</f>
        <v/>
      </c>
    </row>
    <row r="10897" customFormat="false" ht="15" hidden="false" customHeight="false" outlineLevel="0" collapsed="false">
      <c r="A10897" s="103"/>
      <c r="B10897" s="104"/>
      <c r="C10897" s="104"/>
      <c r="E10897" s="107" t="str">
        <f aca="false">IF($C10897="","",IFERROR(INDEX(المنيو!$C$2:$C$500,MATCH($C10897,المنيو!$B$2:$B$500,0)),0))</f>
        <v/>
      </c>
      <c r="F10897" s="107" t="str">
        <f aca="false">IF($C10897="","",$D10897*$E10897)</f>
        <v/>
      </c>
      <c r="G10897" s="107" t="str">
        <f aca="false">IF($C10897="","",$D10897*IFERROR(INDEX('تحليل التكلفة والسعر'!$C$2:$C$700,MATCH($C10897,'تحليل التكلفة والسعر'!$B$2:$B$700,0)),0))</f>
        <v/>
      </c>
    </row>
    <row r="10898" customFormat="false" ht="15" hidden="false" customHeight="false" outlineLevel="0" collapsed="false">
      <c r="A10898" s="103"/>
      <c r="B10898" s="104"/>
      <c r="C10898" s="104"/>
      <c r="E10898" s="107" t="str">
        <f aca="false">IF($C10898="","",IFERROR(INDEX(المنيو!$C$2:$C$500,MATCH($C10898,المنيو!$B$2:$B$500,0)),0))</f>
        <v/>
      </c>
      <c r="F10898" s="107" t="str">
        <f aca="false">IF($C10898="","",$D10898*$E10898)</f>
        <v/>
      </c>
      <c r="G10898" s="107" t="str">
        <f aca="false">IF($C10898="","",$D10898*IFERROR(INDEX('تحليل التكلفة والسعر'!$C$2:$C$700,MATCH($C10898,'تحليل التكلفة والسعر'!$B$2:$B$700,0)),0))</f>
        <v/>
      </c>
    </row>
    <row r="10899" customFormat="false" ht="15" hidden="false" customHeight="false" outlineLevel="0" collapsed="false">
      <c r="A10899" s="103"/>
      <c r="B10899" s="104"/>
      <c r="C10899" s="104"/>
      <c r="E10899" s="107" t="str">
        <f aca="false">IF($C10899="","",IFERROR(INDEX(المنيو!$C$2:$C$500,MATCH($C10899,المنيو!$B$2:$B$500,0)),0))</f>
        <v/>
      </c>
      <c r="F10899" s="107" t="str">
        <f aca="false">IF($C10899="","",$D10899*$E10899)</f>
        <v/>
      </c>
      <c r="G10899" s="107" t="str">
        <f aca="false">IF($C10899="","",$D10899*IFERROR(INDEX('تحليل التكلفة والسعر'!$C$2:$C$700,MATCH($C10899,'تحليل التكلفة والسعر'!$B$2:$B$700,0)),0))</f>
        <v/>
      </c>
    </row>
    <row r="10900" customFormat="false" ht="15" hidden="false" customHeight="false" outlineLevel="0" collapsed="false">
      <c r="A10900" s="103"/>
      <c r="B10900" s="104"/>
      <c r="C10900" s="104"/>
      <c r="E10900" s="107" t="str">
        <f aca="false">IF($C10900="","",IFERROR(INDEX(المنيو!$C$2:$C$500,MATCH($C10900,المنيو!$B$2:$B$500,0)),0))</f>
        <v/>
      </c>
      <c r="F10900" s="107" t="str">
        <f aca="false">IF($C10900="","",$D10900*$E10900)</f>
        <v/>
      </c>
      <c r="G10900" s="107" t="str">
        <f aca="false">IF($C10900="","",$D10900*IFERROR(INDEX('تحليل التكلفة والسعر'!$C$2:$C$700,MATCH($C10900,'تحليل التكلفة والسعر'!$B$2:$B$700,0)),0))</f>
        <v/>
      </c>
    </row>
    <row r="10901" customFormat="false" ht="15" hidden="false" customHeight="false" outlineLevel="0" collapsed="false">
      <c r="A10901" s="103"/>
      <c r="B10901" s="104"/>
      <c r="C10901" s="104"/>
      <c r="E10901" s="107" t="str">
        <f aca="false">IF($C10901="","",IFERROR(INDEX(المنيو!$C$2:$C$500,MATCH($C10901,المنيو!$B$2:$B$500,0)),0))</f>
        <v/>
      </c>
      <c r="F10901" s="107" t="str">
        <f aca="false">IF($C10901="","",$D10901*$E10901)</f>
        <v/>
      </c>
      <c r="G10901" s="107" t="str">
        <f aca="false">IF($C10901="","",$D10901*IFERROR(INDEX('تحليل التكلفة والسعر'!$C$2:$C$700,MATCH($C10901,'تحليل التكلفة والسعر'!$B$2:$B$700,0)),0))</f>
        <v/>
      </c>
    </row>
    <row r="10902" customFormat="false" ht="15" hidden="false" customHeight="false" outlineLevel="0" collapsed="false">
      <c r="A10902" s="103"/>
      <c r="B10902" s="104"/>
      <c r="C10902" s="104"/>
      <c r="E10902" s="107" t="str">
        <f aca="false">IF($C10902="","",IFERROR(INDEX(المنيو!$C$2:$C$500,MATCH($C10902,المنيو!$B$2:$B$500,0)),0))</f>
        <v/>
      </c>
      <c r="F10902" s="107" t="str">
        <f aca="false">IF($C10902="","",$D10902*$E10902)</f>
        <v/>
      </c>
      <c r="G10902" s="107" t="str">
        <f aca="false">IF($C10902="","",$D10902*IFERROR(INDEX('تحليل التكلفة والسعر'!$C$2:$C$700,MATCH($C10902,'تحليل التكلفة والسعر'!$B$2:$B$700,0)),0))</f>
        <v/>
      </c>
    </row>
    <row r="10903" customFormat="false" ht="15" hidden="false" customHeight="false" outlineLevel="0" collapsed="false">
      <c r="A10903" s="103"/>
      <c r="B10903" s="104"/>
      <c r="C10903" s="104"/>
      <c r="E10903" s="107" t="str">
        <f aca="false">IF($C10903="","",IFERROR(INDEX(المنيو!$C$2:$C$500,MATCH($C10903,المنيو!$B$2:$B$500,0)),0))</f>
        <v/>
      </c>
      <c r="F10903" s="107" t="str">
        <f aca="false">IF($C10903="","",$D10903*$E10903)</f>
        <v/>
      </c>
      <c r="G10903" s="107" t="str">
        <f aca="false">IF($C10903="","",$D10903*IFERROR(INDEX('تحليل التكلفة والسعر'!$C$2:$C$700,MATCH($C10903,'تحليل التكلفة والسعر'!$B$2:$B$700,0)),0))</f>
        <v/>
      </c>
    </row>
    <row r="10904" customFormat="false" ht="15" hidden="false" customHeight="false" outlineLevel="0" collapsed="false">
      <c r="A10904" s="103"/>
      <c r="B10904" s="104"/>
      <c r="C10904" s="104"/>
      <c r="E10904" s="107" t="str">
        <f aca="false">IF($C10904="","",IFERROR(INDEX(المنيو!$C$2:$C$500,MATCH($C10904,المنيو!$B$2:$B$500,0)),0))</f>
        <v/>
      </c>
      <c r="F10904" s="107" t="str">
        <f aca="false">IF($C10904="","",$D10904*$E10904)</f>
        <v/>
      </c>
      <c r="G10904" s="107" t="str">
        <f aca="false">IF($C10904="","",$D10904*IFERROR(INDEX('تحليل التكلفة والسعر'!$C$2:$C$700,MATCH($C10904,'تحليل التكلفة والسعر'!$B$2:$B$700,0)),0))</f>
        <v/>
      </c>
    </row>
    <row r="10905" customFormat="false" ht="15" hidden="false" customHeight="false" outlineLevel="0" collapsed="false">
      <c r="A10905" s="103"/>
      <c r="B10905" s="104"/>
      <c r="C10905" s="104"/>
      <c r="E10905" s="107" t="str">
        <f aca="false">IF($C10905="","",IFERROR(INDEX(المنيو!$C$2:$C$500,MATCH($C10905,المنيو!$B$2:$B$500,0)),0))</f>
        <v/>
      </c>
      <c r="F10905" s="107" t="str">
        <f aca="false">IF($C10905="","",$D10905*$E10905)</f>
        <v/>
      </c>
      <c r="G10905" s="107" t="str">
        <f aca="false">IF($C10905="","",$D10905*IFERROR(INDEX('تحليل التكلفة والسعر'!$C$2:$C$700,MATCH($C10905,'تحليل التكلفة والسعر'!$B$2:$B$700,0)),0))</f>
        <v/>
      </c>
    </row>
    <row r="10906" customFormat="false" ht="15" hidden="false" customHeight="false" outlineLevel="0" collapsed="false">
      <c r="A10906" s="103"/>
      <c r="B10906" s="104"/>
      <c r="C10906" s="104"/>
      <c r="E10906" s="107" t="str">
        <f aca="false">IF($C10906="","",IFERROR(INDEX(المنيو!$C$2:$C$500,MATCH($C10906,المنيو!$B$2:$B$500,0)),0))</f>
        <v/>
      </c>
      <c r="F10906" s="107" t="str">
        <f aca="false">IF($C10906="","",$D10906*$E10906)</f>
        <v/>
      </c>
      <c r="G10906" s="107" t="str">
        <f aca="false">IF($C10906="","",$D10906*IFERROR(INDEX('تحليل التكلفة والسعر'!$C$2:$C$700,MATCH($C10906,'تحليل التكلفة والسعر'!$B$2:$B$700,0)),0))</f>
        <v/>
      </c>
    </row>
    <row r="10907" customFormat="false" ht="15" hidden="false" customHeight="false" outlineLevel="0" collapsed="false">
      <c r="A10907" s="103"/>
      <c r="B10907" s="104"/>
      <c r="C10907" s="104"/>
      <c r="E10907" s="107" t="str">
        <f aca="false">IF($C10907="","",IFERROR(INDEX(المنيو!$C$2:$C$500,MATCH($C10907,المنيو!$B$2:$B$500,0)),0))</f>
        <v/>
      </c>
      <c r="F10907" s="107" t="str">
        <f aca="false">IF($C10907="","",$D10907*$E10907)</f>
        <v/>
      </c>
      <c r="G10907" s="107" t="str">
        <f aca="false">IF($C10907="","",$D10907*IFERROR(INDEX('تحليل التكلفة والسعر'!$C$2:$C$700,MATCH($C10907,'تحليل التكلفة والسعر'!$B$2:$B$700,0)),0))</f>
        <v/>
      </c>
    </row>
    <row r="10908" customFormat="false" ht="15" hidden="false" customHeight="false" outlineLevel="0" collapsed="false">
      <c r="A10908" s="103"/>
      <c r="B10908" s="104"/>
      <c r="C10908" s="104"/>
      <c r="E10908" s="107" t="str">
        <f aca="false">IF($C10908="","",IFERROR(INDEX(المنيو!$C$2:$C$500,MATCH($C10908,المنيو!$B$2:$B$500,0)),0))</f>
        <v/>
      </c>
      <c r="F10908" s="107" t="str">
        <f aca="false">IF($C10908="","",$D10908*$E10908)</f>
        <v/>
      </c>
      <c r="G10908" s="107" t="str">
        <f aca="false">IF($C10908="","",$D10908*IFERROR(INDEX('تحليل التكلفة والسعر'!$C$2:$C$700,MATCH($C10908,'تحليل التكلفة والسعر'!$B$2:$B$700,0)),0))</f>
        <v/>
      </c>
    </row>
    <row r="10909" customFormat="false" ht="15" hidden="false" customHeight="false" outlineLevel="0" collapsed="false">
      <c r="A10909" s="103"/>
      <c r="B10909" s="104"/>
      <c r="C10909" s="104"/>
      <c r="E10909" s="107" t="str">
        <f aca="false">IF($C10909="","",IFERROR(INDEX(المنيو!$C$2:$C$500,MATCH($C10909,المنيو!$B$2:$B$500,0)),0))</f>
        <v/>
      </c>
      <c r="F10909" s="107" t="str">
        <f aca="false">IF($C10909="","",$D10909*$E10909)</f>
        <v/>
      </c>
      <c r="G10909" s="107" t="str">
        <f aca="false">IF($C10909="","",$D10909*IFERROR(INDEX('تحليل التكلفة والسعر'!$C$2:$C$700,MATCH($C10909,'تحليل التكلفة والسعر'!$B$2:$B$700,0)),0))</f>
        <v/>
      </c>
    </row>
    <row r="10910" customFormat="false" ht="15" hidden="false" customHeight="false" outlineLevel="0" collapsed="false">
      <c r="A10910" s="103"/>
      <c r="B10910" s="104"/>
      <c r="C10910" s="104"/>
      <c r="E10910" s="107" t="str">
        <f aca="false">IF($C10910="","",IFERROR(INDEX(المنيو!$C$2:$C$500,MATCH($C10910,المنيو!$B$2:$B$500,0)),0))</f>
        <v/>
      </c>
      <c r="F10910" s="107" t="str">
        <f aca="false">IF($C10910="","",$D10910*$E10910)</f>
        <v/>
      </c>
      <c r="G10910" s="107" t="str">
        <f aca="false">IF($C10910="","",$D10910*IFERROR(INDEX('تحليل التكلفة والسعر'!$C$2:$C$700,MATCH($C10910,'تحليل التكلفة والسعر'!$B$2:$B$700,0)),0))</f>
        <v/>
      </c>
    </row>
    <row r="10911" customFormat="false" ht="15" hidden="false" customHeight="false" outlineLevel="0" collapsed="false">
      <c r="A10911" s="103"/>
      <c r="B10911" s="104"/>
      <c r="C10911" s="104"/>
      <c r="E10911" s="107" t="str">
        <f aca="false">IF($C10911="","",IFERROR(INDEX(المنيو!$C$2:$C$500,MATCH($C10911,المنيو!$B$2:$B$500,0)),0))</f>
        <v/>
      </c>
      <c r="F10911" s="107" t="str">
        <f aca="false">IF($C10911="","",$D10911*$E10911)</f>
        <v/>
      </c>
      <c r="G10911" s="107" t="str">
        <f aca="false">IF($C10911="","",$D10911*IFERROR(INDEX('تحليل التكلفة والسعر'!$C$2:$C$700,MATCH($C10911,'تحليل التكلفة والسعر'!$B$2:$B$700,0)),0))</f>
        <v/>
      </c>
    </row>
    <row r="10912" customFormat="false" ht="15" hidden="false" customHeight="false" outlineLevel="0" collapsed="false">
      <c r="A10912" s="103"/>
      <c r="B10912" s="104"/>
      <c r="C10912" s="104"/>
      <c r="E10912" s="107" t="str">
        <f aca="false">IF($C10912="","",IFERROR(INDEX(المنيو!$C$2:$C$500,MATCH($C10912,المنيو!$B$2:$B$500,0)),0))</f>
        <v/>
      </c>
      <c r="F10912" s="107" t="str">
        <f aca="false">IF($C10912="","",$D10912*$E10912)</f>
        <v/>
      </c>
      <c r="G10912" s="107" t="str">
        <f aca="false">IF($C10912="","",$D10912*IFERROR(INDEX('تحليل التكلفة والسعر'!$C$2:$C$700,MATCH($C10912,'تحليل التكلفة والسعر'!$B$2:$B$700,0)),0))</f>
        <v/>
      </c>
    </row>
    <row r="10913" customFormat="false" ht="15" hidden="false" customHeight="false" outlineLevel="0" collapsed="false">
      <c r="A10913" s="103"/>
      <c r="B10913" s="104"/>
      <c r="C10913" s="104"/>
      <c r="E10913" s="107" t="str">
        <f aca="false">IF($C10913="","",IFERROR(INDEX(المنيو!$C$2:$C$500,MATCH($C10913,المنيو!$B$2:$B$500,0)),0))</f>
        <v/>
      </c>
      <c r="F10913" s="107" t="str">
        <f aca="false">IF($C10913="","",$D10913*$E10913)</f>
        <v/>
      </c>
      <c r="G10913" s="107" t="str">
        <f aca="false">IF($C10913="","",$D10913*IFERROR(INDEX('تحليل التكلفة والسعر'!$C$2:$C$700,MATCH($C10913,'تحليل التكلفة والسعر'!$B$2:$B$700,0)),0))</f>
        <v/>
      </c>
    </row>
    <row r="10914" customFormat="false" ht="15" hidden="false" customHeight="false" outlineLevel="0" collapsed="false">
      <c r="A10914" s="103"/>
      <c r="B10914" s="104"/>
      <c r="C10914" s="104"/>
      <c r="E10914" s="107" t="str">
        <f aca="false">IF($C10914="","",IFERROR(INDEX(المنيو!$C$2:$C$500,MATCH($C10914,المنيو!$B$2:$B$500,0)),0))</f>
        <v/>
      </c>
      <c r="F10914" s="107" t="str">
        <f aca="false">IF($C10914="","",$D10914*$E10914)</f>
        <v/>
      </c>
      <c r="G10914" s="107" t="str">
        <f aca="false">IF($C10914="","",$D10914*IFERROR(INDEX('تحليل التكلفة والسعر'!$C$2:$C$700,MATCH($C10914,'تحليل التكلفة والسعر'!$B$2:$B$700,0)),0))</f>
        <v/>
      </c>
    </row>
    <row r="10915" customFormat="false" ht="15" hidden="false" customHeight="false" outlineLevel="0" collapsed="false">
      <c r="A10915" s="103"/>
      <c r="B10915" s="104"/>
      <c r="C10915" s="104"/>
      <c r="E10915" s="107" t="str">
        <f aca="false">IF($C10915="","",IFERROR(INDEX(المنيو!$C$2:$C$500,MATCH($C10915,المنيو!$B$2:$B$500,0)),0))</f>
        <v/>
      </c>
      <c r="F10915" s="107" t="str">
        <f aca="false">IF($C10915="","",$D10915*$E10915)</f>
        <v/>
      </c>
      <c r="G10915" s="107" t="str">
        <f aca="false">IF($C10915="","",$D10915*IFERROR(INDEX('تحليل التكلفة والسعر'!$C$2:$C$700,MATCH($C10915,'تحليل التكلفة والسعر'!$B$2:$B$700,0)),0))</f>
        <v/>
      </c>
    </row>
    <row r="10916" customFormat="false" ht="15" hidden="false" customHeight="false" outlineLevel="0" collapsed="false">
      <c r="A10916" s="103"/>
      <c r="B10916" s="104"/>
      <c r="C10916" s="104"/>
      <c r="E10916" s="107" t="str">
        <f aca="false">IF($C10916="","",IFERROR(INDEX(المنيو!$C$2:$C$500,MATCH($C10916,المنيو!$B$2:$B$500,0)),0))</f>
        <v/>
      </c>
      <c r="F10916" s="107" t="str">
        <f aca="false">IF($C10916="","",$D10916*$E10916)</f>
        <v/>
      </c>
      <c r="G10916" s="107" t="str">
        <f aca="false">IF($C10916="","",$D10916*IFERROR(INDEX('تحليل التكلفة والسعر'!$C$2:$C$700,MATCH($C10916,'تحليل التكلفة والسعر'!$B$2:$B$700,0)),0))</f>
        <v/>
      </c>
    </row>
    <row r="10917" customFormat="false" ht="15" hidden="false" customHeight="false" outlineLevel="0" collapsed="false">
      <c r="A10917" s="103"/>
      <c r="B10917" s="104"/>
      <c r="C10917" s="104"/>
      <c r="E10917" s="107" t="str">
        <f aca="false">IF($C10917="","",IFERROR(INDEX(المنيو!$C$2:$C$500,MATCH($C10917,المنيو!$B$2:$B$500,0)),0))</f>
        <v/>
      </c>
      <c r="F10917" s="107" t="str">
        <f aca="false">IF($C10917="","",$D10917*$E10917)</f>
        <v/>
      </c>
      <c r="G10917" s="107" t="str">
        <f aca="false">IF($C10917="","",$D10917*IFERROR(INDEX('تحليل التكلفة والسعر'!$C$2:$C$700,MATCH($C10917,'تحليل التكلفة والسعر'!$B$2:$B$700,0)),0))</f>
        <v/>
      </c>
    </row>
    <row r="10918" customFormat="false" ht="15" hidden="false" customHeight="false" outlineLevel="0" collapsed="false">
      <c r="A10918" s="103"/>
      <c r="B10918" s="104"/>
      <c r="C10918" s="104"/>
      <c r="E10918" s="107" t="str">
        <f aca="false">IF($C10918="","",IFERROR(INDEX(المنيو!$C$2:$C$500,MATCH($C10918,المنيو!$B$2:$B$500,0)),0))</f>
        <v/>
      </c>
      <c r="F10918" s="107" t="str">
        <f aca="false">IF($C10918="","",$D10918*$E10918)</f>
        <v/>
      </c>
      <c r="G10918" s="107" t="str">
        <f aca="false">IF($C10918="","",$D10918*IFERROR(INDEX('تحليل التكلفة والسعر'!$C$2:$C$700,MATCH($C10918,'تحليل التكلفة والسعر'!$B$2:$B$700,0)),0))</f>
        <v/>
      </c>
    </row>
    <row r="10919" customFormat="false" ht="15" hidden="false" customHeight="false" outlineLevel="0" collapsed="false">
      <c r="A10919" s="103"/>
      <c r="B10919" s="104"/>
      <c r="C10919" s="104"/>
      <c r="E10919" s="107" t="str">
        <f aca="false">IF($C10919="","",IFERROR(INDEX(المنيو!$C$2:$C$500,MATCH($C10919,المنيو!$B$2:$B$500,0)),0))</f>
        <v/>
      </c>
      <c r="F10919" s="107" t="str">
        <f aca="false">IF($C10919="","",$D10919*$E10919)</f>
        <v/>
      </c>
      <c r="G10919" s="107" t="str">
        <f aca="false">IF($C10919="","",$D10919*IFERROR(INDEX('تحليل التكلفة والسعر'!$C$2:$C$700,MATCH($C10919,'تحليل التكلفة والسعر'!$B$2:$B$700,0)),0))</f>
        <v/>
      </c>
    </row>
    <row r="10920" customFormat="false" ht="15" hidden="false" customHeight="false" outlineLevel="0" collapsed="false">
      <c r="A10920" s="103"/>
      <c r="B10920" s="104"/>
      <c r="C10920" s="104"/>
      <c r="E10920" s="107" t="str">
        <f aca="false">IF($C10920="","",IFERROR(INDEX(المنيو!$C$2:$C$500,MATCH($C10920,المنيو!$B$2:$B$500,0)),0))</f>
        <v/>
      </c>
      <c r="F10920" s="107" t="str">
        <f aca="false">IF($C10920="","",$D10920*$E10920)</f>
        <v/>
      </c>
      <c r="G10920" s="107" t="str">
        <f aca="false">IF($C10920="","",$D10920*IFERROR(INDEX('تحليل التكلفة والسعر'!$C$2:$C$700,MATCH($C10920,'تحليل التكلفة والسعر'!$B$2:$B$700,0)),0))</f>
        <v/>
      </c>
    </row>
    <row r="10921" customFormat="false" ht="15" hidden="false" customHeight="false" outlineLevel="0" collapsed="false">
      <c r="A10921" s="103"/>
      <c r="B10921" s="104"/>
      <c r="C10921" s="104"/>
      <c r="E10921" s="107" t="str">
        <f aca="false">IF($C10921="","",IFERROR(INDEX(المنيو!$C$2:$C$500,MATCH($C10921,المنيو!$B$2:$B$500,0)),0))</f>
        <v/>
      </c>
      <c r="F10921" s="107" t="str">
        <f aca="false">IF($C10921="","",$D10921*$E10921)</f>
        <v/>
      </c>
      <c r="G10921" s="107" t="str">
        <f aca="false">IF($C10921="","",$D10921*IFERROR(INDEX('تحليل التكلفة والسعر'!$C$2:$C$700,MATCH($C10921,'تحليل التكلفة والسعر'!$B$2:$B$700,0)),0))</f>
        <v/>
      </c>
    </row>
    <row r="10922" customFormat="false" ht="15" hidden="false" customHeight="false" outlineLevel="0" collapsed="false">
      <c r="A10922" s="103"/>
      <c r="B10922" s="104"/>
      <c r="C10922" s="104"/>
      <c r="E10922" s="107" t="str">
        <f aca="false">IF($C10922="","",IFERROR(INDEX(المنيو!$C$2:$C$500,MATCH($C10922,المنيو!$B$2:$B$500,0)),0))</f>
        <v/>
      </c>
      <c r="F10922" s="107" t="str">
        <f aca="false">IF($C10922="","",$D10922*$E10922)</f>
        <v/>
      </c>
      <c r="G10922" s="107" t="str">
        <f aca="false">IF($C10922="","",$D10922*IFERROR(INDEX('تحليل التكلفة والسعر'!$C$2:$C$700,MATCH($C10922,'تحليل التكلفة والسعر'!$B$2:$B$700,0)),0))</f>
        <v/>
      </c>
    </row>
    <row r="10923" customFormat="false" ht="15" hidden="false" customHeight="false" outlineLevel="0" collapsed="false">
      <c r="A10923" s="103"/>
      <c r="B10923" s="104"/>
      <c r="C10923" s="104"/>
      <c r="E10923" s="107" t="str">
        <f aca="false">IF($C10923="","",IFERROR(INDEX(المنيو!$C$2:$C$500,MATCH($C10923,المنيو!$B$2:$B$500,0)),0))</f>
        <v/>
      </c>
      <c r="F10923" s="107" t="str">
        <f aca="false">IF($C10923="","",$D10923*$E10923)</f>
        <v/>
      </c>
      <c r="G10923" s="107" t="str">
        <f aca="false">IF($C10923="","",$D10923*IFERROR(INDEX('تحليل التكلفة والسعر'!$C$2:$C$700,MATCH($C10923,'تحليل التكلفة والسعر'!$B$2:$B$700,0)),0))</f>
        <v/>
      </c>
    </row>
    <row r="10924" customFormat="false" ht="15" hidden="false" customHeight="false" outlineLevel="0" collapsed="false">
      <c r="A10924" s="103"/>
      <c r="B10924" s="104"/>
      <c r="C10924" s="104"/>
      <c r="E10924" s="107" t="str">
        <f aca="false">IF($C10924="","",IFERROR(INDEX(المنيو!$C$2:$C$500,MATCH($C10924,المنيو!$B$2:$B$500,0)),0))</f>
        <v/>
      </c>
      <c r="F10924" s="107" t="str">
        <f aca="false">IF($C10924="","",$D10924*$E10924)</f>
        <v/>
      </c>
      <c r="G10924" s="107" t="str">
        <f aca="false">IF($C10924="","",$D10924*IFERROR(INDEX('تحليل التكلفة والسعر'!$C$2:$C$700,MATCH($C10924,'تحليل التكلفة والسعر'!$B$2:$B$700,0)),0))</f>
        <v/>
      </c>
    </row>
    <row r="10925" customFormat="false" ht="15" hidden="false" customHeight="false" outlineLevel="0" collapsed="false">
      <c r="A10925" s="103"/>
      <c r="B10925" s="104"/>
      <c r="C10925" s="104"/>
      <c r="E10925" s="107" t="str">
        <f aca="false">IF($C10925="","",IFERROR(INDEX(المنيو!$C$2:$C$500,MATCH($C10925,المنيو!$B$2:$B$500,0)),0))</f>
        <v/>
      </c>
      <c r="F10925" s="107" t="str">
        <f aca="false">IF($C10925="","",$D10925*$E10925)</f>
        <v/>
      </c>
      <c r="G10925" s="107" t="str">
        <f aca="false">IF($C10925="","",$D10925*IFERROR(INDEX('تحليل التكلفة والسعر'!$C$2:$C$700,MATCH($C10925,'تحليل التكلفة والسعر'!$B$2:$B$700,0)),0))</f>
        <v/>
      </c>
    </row>
    <row r="10926" customFormat="false" ht="15" hidden="false" customHeight="false" outlineLevel="0" collapsed="false">
      <c r="A10926" s="103"/>
      <c r="B10926" s="104"/>
      <c r="C10926" s="104"/>
      <c r="E10926" s="107" t="str">
        <f aca="false">IF($C10926="","",IFERROR(INDEX(المنيو!$C$2:$C$500,MATCH($C10926,المنيو!$B$2:$B$500,0)),0))</f>
        <v/>
      </c>
      <c r="F10926" s="107" t="str">
        <f aca="false">IF($C10926="","",$D10926*$E10926)</f>
        <v/>
      </c>
      <c r="G10926" s="107" t="str">
        <f aca="false">IF($C10926="","",$D10926*IFERROR(INDEX('تحليل التكلفة والسعر'!$C$2:$C$700,MATCH($C10926,'تحليل التكلفة والسعر'!$B$2:$B$700,0)),0))</f>
        <v/>
      </c>
    </row>
    <row r="10927" customFormat="false" ht="15" hidden="false" customHeight="false" outlineLevel="0" collapsed="false">
      <c r="A10927" s="103"/>
      <c r="B10927" s="104"/>
      <c r="C10927" s="104"/>
      <c r="E10927" s="107" t="str">
        <f aca="false">IF($C10927="","",IFERROR(INDEX(المنيو!$C$2:$C$500,MATCH($C10927,المنيو!$B$2:$B$500,0)),0))</f>
        <v/>
      </c>
      <c r="F10927" s="107" t="str">
        <f aca="false">IF($C10927="","",$D10927*$E10927)</f>
        <v/>
      </c>
      <c r="G10927" s="107" t="str">
        <f aca="false">IF($C10927="","",$D10927*IFERROR(INDEX('تحليل التكلفة والسعر'!$C$2:$C$700,MATCH($C10927,'تحليل التكلفة والسعر'!$B$2:$B$700,0)),0))</f>
        <v/>
      </c>
    </row>
    <row r="10928" customFormat="false" ht="15" hidden="false" customHeight="false" outlineLevel="0" collapsed="false">
      <c r="A10928" s="103"/>
      <c r="B10928" s="104"/>
      <c r="C10928" s="104"/>
      <c r="E10928" s="107" t="str">
        <f aca="false">IF($C10928="","",IFERROR(INDEX(المنيو!$C$2:$C$500,MATCH($C10928,المنيو!$B$2:$B$500,0)),0))</f>
        <v/>
      </c>
      <c r="F10928" s="107" t="str">
        <f aca="false">IF($C10928="","",$D10928*$E10928)</f>
        <v/>
      </c>
      <c r="G10928" s="107" t="str">
        <f aca="false">IF($C10928="","",$D10928*IFERROR(INDEX('تحليل التكلفة والسعر'!$C$2:$C$700,MATCH($C10928,'تحليل التكلفة والسعر'!$B$2:$B$700,0)),0))</f>
        <v/>
      </c>
    </row>
    <row r="10929" customFormat="false" ht="15" hidden="false" customHeight="false" outlineLevel="0" collapsed="false">
      <c r="A10929" s="103"/>
      <c r="B10929" s="104"/>
      <c r="C10929" s="104"/>
      <c r="E10929" s="107" t="str">
        <f aca="false">IF($C10929="","",IFERROR(INDEX(المنيو!$C$2:$C$500,MATCH($C10929,المنيو!$B$2:$B$500,0)),0))</f>
        <v/>
      </c>
      <c r="F10929" s="107" t="str">
        <f aca="false">IF($C10929="","",$D10929*$E10929)</f>
        <v/>
      </c>
      <c r="G10929" s="107" t="str">
        <f aca="false">IF($C10929="","",$D10929*IFERROR(INDEX('تحليل التكلفة والسعر'!$C$2:$C$700,MATCH($C10929,'تحليل التكلفة والسعر'!$B$2:$B$700,0)),0))</f>
        <v/>
      </c>
    </row>
    <row r="10930" customFormat="false" ht="15" hidden="false" customHeight="false" outlineLevel="0" collapsed="false">
      <c r="A10930" s="103"/>
      <c r="B10930" s="104"/>
      <c r="C10930" s="104"/>
      <c r="E10930" s="107" t="str">
        <f aca="false">IF($C10930="","",IFERROR(INDEX(المنيو!$C$2:$C$500,MATCH($C10930,المنيو!$B$2:$B$500,0)),0))</f>
        <v/>
      </c>
      <c r="F10930" s="107" t="str">
        <f aca="false">IF($C10930="","",$D10930*$E10930)</f>
        <v/>
      </c>
      <c r="G10930" s="107" t="str">
        <f aca="false">IF($C10930="","",$D10930*IFERROR(INDEX('تحليل التكلفة والسعر'!$C$2:$C$700,MATCH($C10930,'تحليل التكلفة والسعر'!$B$2:$B$700,0)),0))</f>
        <v/>
      </c>
    </row>
    <row r="10931" customFormat="false" ht="15" hidden="false" customHeight="false" outlineLevel="0" collapsed="false">
      <c r="A10931" s="103"/>
      <c r="B10931" s="104"/>
      <c r="C10931" s="104"/>
      <c r="E10931" s="107" t="str">
        <f aca="false">IF($C10931="","",IFERROR(INDEX(المنيو!$C$2:$C$500,MATCH($C10931,المنيو!$B$2:$B$500,0)),0))</f>
        <v/>
      </c>
      <c r="F10931" s="107" t="str">
        <f aca="false">IF($C10931="","",$D10931*$E10931)</f>
        <v/>
      </c>
      <c r="G10931" s="107" t="str">
        <f aca="false">IF($C10931="","",$D10931*IFERROR(INDEX('تحليل التكلفة والسعر'!$C$2:$C$700,MATCH($C10931,'تحليل التكلفة والسعر'!$B$2:$B$700,0)),0))</f>
        <v/>
      </c>
    </row>
    <row r="10932" customFormat="false" ht="15" hidden="false" customHeight="false" outlineLevel="0" collapsed="false">
      <c r="A10932" s="103"/>
      <c r="B10932" s="104"/>
      <c r="C10932" s="104"/>
      <c r="E10932" s="107" t="str">
        <f aca="false">IF($C10932="","",IFERROR(INDEX(المنيو!$C$2:$C$500,MATCH($C10932,المنيو!$B$2:$B$500,0)),0))</f>
        <v/>
      </c>
      <c r="F10932" s="107" t="str">
        <f aca="false">IF($C10932="","",$D10932*$E10932)</f>
        <v/>
      </c>
      <c r="G10932" s="107" t="str">
        <f aca="false">IF($C10932="","",$D10932*IFERROR(INDEX('تحليل التكلفة والسعر'!$C$2:$C$700,MATCH($C10932,'تحليل التكلفة والسعر'!$B$2:$B$700,0)),0))</f>
        <v/>
      </c>
    </row>
    <row r="10933" customFormat="false" ht="15" hidden="false" customHeight="false" outlineLevel="0" collapsed="false">
      <c r="A10933" s="103"/>
      <c r="B10933" s="104"/>
      <c r="C10933" s="104"/>
      <c r="E10933" s="107" t="str">
        <f aca="false">IF($C10933="","",IFERROR(INDEX(المنيو!$C$2:$C$500,MATCH($C10933,المنيو!$B$2:$B$500,0)),0))</f>
        <v/>
      </c>
      <c r="F10933" s="107" t="str">
        <f aca="false">IF($C10933="","",$D10933*$E10933)</f>
        <v/>
      </c>
      <c r="G10933" s="107" t="str">
        <f aca="false">IF($C10933="","",$D10933*IFERROR(INDEX('تحليل التكلفة والسعر'!$C$2:$C$700,MATCH($C10933,'تحليل التكلفة والسعر'!$B$2:$B$700,0)),0))</f>
        <v/>
      </c>
    </row>
    <row r="10934" customFormat="false" ht="15" hidden="false" customHeight="false" outlineLevel="0" collapsed="false">
      <c r="A10934" s="103"/>
      <c r="B10934" s="104"/>
      <c r="C10934" s="104"/>
      <c r="E10934" s="107" t="str">
        <f aca="false">IF($C10934="","",IFERROR(INDEX(المنيو!$C$2:$C$500,MATCH($C10934,المنيو!$B$2:$B$500,0)),0))</f>
        <v/>
      </c>
      <c r="F10934" s="107" t="str">
        <f aca="false">IF($C10934="","",$D10934*$E10934)</f>
        <v/>
      </c>
      <c r="G10934" s="107" t="str">
        <f aca="false">IF($C10934="","",$D10934*IFERROR(INDEX('تحليل التكلفة والسعر'!$C$2:$C$700,MATCH($C10934,'تحليل التكلفة والسعر'!$B$2:$B$700,0)),0))</f>
        <v/>
      </c>
    </row>
    <row r="10935" customFormat="false" ht="15" hidden="false" customHeight="false" outlineLevel="0" collapsed="false">
      <c r="A10935" s="103"/>
      <c r="B10935" s="104"/>
      <c r="C10935" s="104"/>
      <c r="E10935" s="107" t="str">
        <f aca="false">IF($C10935="","",IFERROR(INDEX(المنيو!$C$2:$C$500,MATCH($C10935,المنيو!$B$2:$B$500,0)),0))</f>
        <v/>
      </c>
      <c r="F10935" s="107" t="str">
        <f aca="false">IF($C10935="","",$D10935*$E10935)</f>
        <v/>
      </c>
      <c r="G10935" s="107" t="str">
        <f aca="false">IF($C10935="","",$D10935*IFERROR(INDEX('تحليل التكلفة والسعر'!$C$2:$C$700,MATCH($C10935,'تحليل التكلفة والسعر'!$B$2:$B$700,0)),0))</f>
        <v/>
      </c>
    </row>
    <row r="10936" customFormat="false" ht="15" hidden="false" customHeight="false" outlineLevel="0" collapsed="false">
      <c r="A10936" s="103"/>
      <c r="B10936" s="104"/>
      <c r="C10936" s="104"/>
      <c r="E10936" s="107" t="str">
        <f aca="false">IF($C10936="","",IFERROR(INDEX(المنيو!$C$2:$C$500,MATCH($C10936,المنيو!$B$2:$B$500,0)),0))</f>
        <v/>
      </c>
      <c r="F10936" s="107" t="str">
        <f aca="false">IF($C10936="","",$D10936*$E10936)</f>
        <v/>
      </c>
      <c r="G10936" s="107" t="str">
        <f aca="false">IF($C10936="","",$D10936*IFERROR(INDEX('تحليل التكلفة والسعر'!$C$2:$C$700,MATCH($C10936,'تحليل التكلفة والسعر'!$B$2:$B$700,0)),0))</f>
        <v/>
      </c>
    </row>
    <row r="10937" customFormat="false" ht="15" hidden="false" customHeight="false" outlineLevel="0" collapsed="false">
      <c r="A10937" s="103"/>
      <c r="B10937" s="104"/>
      <c r="C10937" s="104"/>
      <c r="E10937" s="107" t="str">
        <f aca="false">IF($C10937="","",IFERROR(INDEX(المنيو!$C$2:$C$500,MATCH($C10937,المنيو!$B$2:$B$500,0)),0))</f>
        <v/>
      </c>
      <c r="F10937" s="107" t="str">
        <f aca="false">IF($C10937="","",$D10937*$E10937)</f>
        <v/>
      </c>
      <c r="G10937" s="107" t="str">
        <f aca="false">IF($C10937="","",$D10937*IFERROR(INDEX('تحليل التكلفة والسعر'!$C$2:$C$700,MATCH($C10937,'تحليل التكلفة والسعر'!$B$2:$B$700,0)),0))</f>
        <v/>
      </c>
    </row>
    <row r="10938" customFormat="false" ht="15" hidden="false" customHeight="false" outlineLevel="0" collapsed="false">
      <c r="A10938" s="103"/>
      <c r="B10938" s="104"/>
      <c r="C10938" s="104"/>
      <c r="E10938" s="107" t="str">
        <f aca="false">IF($C10938="","",IFERROR(INDEX(المنيو!$C$2:$C$500,MATCH($C10938,المنيو!$B$2:$B$500,0)),0))</f>
        <v/>
      </c>
      <c r="F10938" s="107" t="str">
        <f aca="false">IF($C10938="","",$D10938*$E10938)</f>
        <v/>
      </c>
      <c r="G10938" s="107" t="str">
        <f aca="false">IF($C10938="","",$D10938*IFERROR(INDEX('تحليل التكلفة والسعر'!$C$2:$C$700,MATCH($C10938,'تحليل التكلفة والسعر'!$B$2:$B$700,0)),0))</f>
        <v/>
      </c>
    </row>
    <row r="10939" customFormat="false" ht="15" hidden="false" customHeight="false" outlineLevel="0" collapsed="false">
      <c r="A10939" s="103"/>
      <c r="B10939" s="104"/>
      <c r="C10939" s="104"/>
      <c r="E10939" s="107" t="str">
        <f aca="false">IF($C10939="","",IFERROR(INDEX(المنيو!$C$2:$C$500,MATCH($C10939,المنيو!$B$2:$B$500,0)),0))</f>
        <v/>
      </c>
      <c r="F10939" s="107" t="str">
        <f aca="false">IF($C10939="","",$D10939*$E10939)</f>
        <v/>
      </c>
      <c r="G10939" s="107" t="str">
        <f aca="false">IF($C10939="","",$D10939*IFERROR(INDEX('تحليل التكلفة والسعر'!$C$2:$C$700,MATCH($C10939,'تحليل التكلفة والسعر'!$B$2:$B$700,0)),0))</f>
        <v/>
      </c>
    </row>
    <row r="10940" customFormat="false" ht="15" hidden="false" customHeight="false" outlineLevel="0" collapsed="false">
      <c r="A10940" s="103"/>
      <c r="B10940" s="104"/>
      <c r="C10940" s="104"/>
      <c r="E10940" s="107" t="str">
        <f aca="false">IF($C10940="","",IFERROR(INDEX(المنيو!$C$2:$C$500,MATCH($C10940,المنيو!$B$2:$B$500,0)),0))</f>
        <v/>
      </c>
      <c r="F10940" s="107" t="str">
        <f aca="false">IF($C10940="","",$D10940*$E10940)</f>
        <v/>
      </c>
      <c r="G10940" s="107" t="str">
        <f aca="false">IF($C10940="","",$D10940*IFERROR(INDEX('تحليل التكلفة والسعر'!$C$2:$C$700,MATCH($C10940,'تحليل التكلفة والسعر'!$B$2:$B$700,0)),0))</f>
        <v/>
      </c>
    </row>
    <row r="10941" customFormat="false" ht="15" hidden="false" customHeight="false" outlineLevel="0" collapsed="false">
      <c r="A10941" s="103"/>
      <c r="B10941" s="104"/>
      <c r="C10941" s="104"/>
      <c r="E10941" s="107" t="str">
        <f aca="false">IF($C10941="","",IFERROR(INDEX(المنيو!$C$2:$C$500,MATCH($C10941,المنيو!$B$2:$B$500,0)),0))</f>
        <v/>
      </c>
      <c r="F10941" s="107" t="str">
        <f aca="false">IF($C10941="","",$D10941*$E10941)</f>
        <v/>
      </c>
      <c r="G10941" s="107" t="str">
        <f aca="false">IF($C10941="","",$D10941*IFERROR(INDEX('تحليل التكلفة والسعر'!$C$2:$C$700,MATCH($C10941,'تحليل التكلفة والسعر'!$B$2:$B$700,0)),0))</f>
        <v/>
      </c>
    </row>
    <row r="10942" customFormat="false" ht="15" hidden="false" customHeight="false" outlineLevel="0" collapsed="false">
      <c r="A10942" s="103"/>
      <c r="B10942" s="104"/>
      <c r="C10942" s="104"/>
      <c r="E10942" s="107" t="str">
        <f aca="false">IF($C10942="","",IFERROR(INDEX(المنيو!$C$2:$C$500,MATCH($C10942,المنيو!$B$2:$B$500,0)),0))</f>
        <v/>
      </c>
      <c r="F10942" s="107" t="str">
        <f aca="false">IF($C10942="","",$D10942*$E10942)</f>
        <v/>
      </c>
      <c r="G10942" s="107" t="str">
        <f aca="false">IF($C10942="","",$D10942*IFERROR(INDEX('تحليل التكلفة والسعر'!$C$2:$C$700,MATCH($C10942,'تحليل التكلفة والسعر'!$B$2:$B$700,0)),0))</f>
        <v/>
      </c>
    </row>
    <row r="10943" customFormat="false" ht="15" hidden="false" customHeight="false" outlineLevel="0" collapsed="false">
      <c r="A10943" s="103"/>
      <c r="B10943" s="104"/>
      <c r="C10943" s="104"/>
      <c r="E10943" s="107" t="str">
        <f aca="false">IF($C10943="","",IFERROR(INDEX(المنيو!$C$2:$C$500,MATCH($C10943,المنيو!$B$2:$B$500,0)),0))</f>
        <v/>
      </c>
      <c r="F10943" s="107" t="str">
        <f aca="false">IF($C10943="","",$D10943*$E10943)</f>
        <v/>
      </c>
      <c r="G10943" s="107" t="str">
        <f aca="false">IF($C10943="","",$D10943*IFERROR(INDEX('تحليل التكلفة والسعر'!$C$2:$C$700,MATCH($C10943,'تحليل التكلفة والسعر'!$B$2:$B$700,0)),0))</f>
        <v/>
      </c>
    </row>
    <row r="10944" customFormat="false" ht="15" hidden="false" customHeight="false" outlineLevel="0" collapsed="false">
      <c r="A10944" s="103"/>
      <c r="B10944" s="104"/>
      <c r="C10944" s="104"/>
      <c r="E10944" s="107" t="str">
        <f aca="false">IF($C10944="","",IFERROR(INDEX(المنيو!$C$2:$C$500,MATCH($C10944,المنيو!$B$2:$B$500,0)),0))</f>
        <v/>
      </c>
      <c r="F10944" s="107" t="str">
        <f aca="false">IF($C10944="","",$D10944*$E10944)</f>
        <v/>
      </c>
      <c r="G10944" s="107" t="str">
        <f aca="false">IF($C10944="","",$D10944*IFERROR(INDEX('تحليل التكلفة والسعر'!$C$2:$C$700,MATCH($C10944,'تحليل التكلفة والسعر'!$B$2:$B$700,0)),0))</f>
        <v/>
      </c>
    </row>
    <row r="10945" customFormat="false" ht="15" hidden="false" customHeight="false" outlineLevel="0" collapsed="false">
      <c r="A10945" s="103"/>
      <c r="B10945" s="104"/>
      <c r="C10945" s="104"/>
      <c r="E10945" s="107" t="str">
        <f aca="false">IF($C10945="","",IFERROR(INDEX(المنيو!$C$2:$C$500,MATCH($C10945,المنيو!$B$2:$B$500,0)),0))</f>
        <v/>
      </c>
      <c r="F10945" s="107" t="str">
        <f aca="false">IF($C10945="","",$D10945*$E10945)</f>
        <v/>
      </c>
      <c r="G10945" s="107" t="str">
        <f aca="false">IF($C10945="","",$D10945*IFERROR(INDEX('تحليل التكلفة والسعر'!$C$2:$C$700,MATCH($C10945,'تحليل التكلفة والسعر'!$B$2:$B$700,0)),0))</f>
        <v/>
      </c>
    </row>
    <row r="10946" customFormat="false" ht="15" hidden="false" customHeight="false" outlineLevel="0" collapsed="false">
      <c r="A10946" s="103"/>
      <c r="B10946" s="104"/>
      <c r="C10946" s="104"/>
      <c r="E10946" s="107" t="str">
        <f aca="false">IF($C10946="","",IFERROR(INDEX(المنيو!$C$2:$C$500,MATCH($C10946,المنيو!$B$2:$B$500,0)),0))</f>
        <v/>
      </c>
      <c r="F10946" s="107" t="str">
        <f aca="false">IF($C10946="","",$D10946*$E10946)</f>
        <v/>
      </c>
      <c r="G10946" s="107" t="str">
        <f aca="false">IF($C10946="","",$D10946*IFERROR(INDEX('تحليل التكلفة والسعر'!$C$2:$C$700,MATCH($C10946,'تحليل التكلفة والسعر'!$B$2:$B$700,0)),0))</f>
        <v/>
      </c>
    </row>
    <row r="10947" customFormat="false" ht="15" hidden="false" customHeight="false" outlineLevel="0" collapsed="false">
      <c r="A10947" s="103"/>
      <c r="B10947" s="104"/>
      <c r="C10947" s="104"/>
      <c r="E10947" s="107" t="str">
        <f aca="false">IF($C10947="","",IFERROR(INDEX(المنيو!$C$2:$C$500,MATCH($C10947,المنيو!$B$2:$B$500,0)),0))</f>
        <v/>
      </c>
      <c r="F10947" s="107" t="str">
        <f aca="false">IF($C10947="","",$D10947*$E10947)</f>
        <v/>
      </c>
      <c r="G10947" s="107" t="str">
        <f aca="false">IF($C10947="","",$D10947*IFERROR(INDEX('تحليل التكلفة والسعر'!$C$2:$C$700,MATCH($C10947,'تحليل التكلفة والسعر'!$B$2:$B$700,0)),0))</f>
        <v/>
      </c>
    </row>
    <row r="10948" customFormat="false" ht="15" hidden="false" customHeight="false" outlineLevel="0" collapsed="false">
      <c r="A10948" s="103"/>
      <c r="B10948" s="104"/>
      <c r="C10948" s="104"/>
      <c r="E10948" s="107" t="str">
        <f aca="false">IF($C10948="","",IFERROR(INDEX(المنيو!$C$2:$C$500,MATCH($C10948,المنيو!$B$2:$B$500,0)),0))</f>
        <v/>
      </c>
      <c r="F10948" s="107" t="str">
        <f aca="false">IF($C10948="","",$D10948*$E10948)</f>
        <v/>
      </c>
      <c r="G10948" s="107" t="str">
        <f aca="false">IF($C10948="","",$D10948*IFERROR(INDEX('تحليل التكلفة والسعر'!$C$2:$C$700,MATCH($C10948,'تحليل التكلفة والسعر'!$B$2:$B$700,0)),0))</f>
        <v/>
      </c>
    </row>
    <row r="10949" customFormat="false" ht="15" hidden="false" customHeight="false" outlineLevel="0" collapsed="false">
      <c r="A10949" s="103"/>
      <c r="B10949" s="104"/>
      <c r="C10949" s="104"/>
      <c r="E10949" s="107" t="str">
        <f aca="false">IF($C10949="","",IFERROR(INDEX(المنيو!$C$2:$C$500,MATCH($C10949,المنيو!$B$2:$B$500,0)),0))</f>
        <v/>
      </c>
      <c r="F10949" s="107" t="str">
        <f aca="false">IF($C10949="","",$D10949*$E10949)</f>
        <v/>
      </c>
      <c r="G10949" s="107" t="str">
        <f aca="false">IF($C10949="","",$D10949*IFERROR(INDEX('تحليل التكلفة والسعر'!$C$2:$C$700,MATCH($C10949,'تحليل التكلفة والسعر'!$B$2:$B$700,0)),0))</f>
        <v/>
      </c>
    </row>
    <row r="10950" customFormat="false" ht="15" hidden="false" customHeight="false" outlineLevel="0" collapsed="false">
      <c r="A10950" s="103"/>
      <c r="B10950" s="104"/>
      <c r="C10950" s="104"/>
      <c r="E10950" s="107" t="str">
        <f aca="false">IF($C10950="","",IFERROR(INDEX(المنيو!$C$2:$C$500,MATCH($C10950,المنيو!$B$2:$B$500,0)),0))</f>
        <v/>
      </c>
      <c r="F10950" s="107" t="str">
        <f aca="false">IF($C10950="","",$D10950*$E10950)</f>
        <v/>
      </c>
      <c r="G10950" s="107" t="str">
        <f aca="false">IF($C10950="","",$D10950*IFERROR(INDEX('تحليل التكلفة والسعر'!$C$2:$C$700,MATCH($C10950,'تحليل التكلفة والسعر'!$B$2:$B$700,0)),0))</f>
        <v/>
      </c>
    </row>
    <row r="10951" customFormat="false" ht="15" hidden="false" customHeight="false" outlineLevel="0" collapsed="false">
      <c r="A10951" s="103"/>
      <c r="B10951" s="104"/>
      <c r="C10951" s="104"/>
      <c r="E10951" s="107" t="str">
        <f aca="false">IF($C10951="","",IFERROR(INDEX(المنيو!$C$2:$C$500,MATCH($C10951,المنيو!$B$2:$B$500,0)),0))</f>
        <v/>
      </c>
      <c r="F10951" s="107" t="str">
        <f aca="false">IF($C10951="","",$D10951*$E10951)</f>
        <v/>
      </c>
      <c r="G10951" s="107" t="str">
        <f aca="false">IF($C10951="","",$D10951*IFERROR(INDEX('تحليل التكلفة والسعر'!$C$2:$C$700,MATCH($C10951,'تحليل التكلفة والسعر'!$B$2:$B$700,0)),0))</f>
        <v/>
      </c>
    </row>
    <row r="10952" customFormat="false" ht="15" hidden="false" customHeight="false" outlineLevel="0" collapsed="false">
      <c r="A10952" s="103"/>
      <c r="B10952" s="104"/>
      <c r="C10952" s="104"/>
      <c r="E10952" s="107" t="str">
        <f aca="false">IF($C10952="","",IFERROR(INDEX(المنيو!$C$2:$C$500,MATCH($C10952,المنيو!$B$2:$B$500,0)),0))</f>
        <v/>
      </c>
      <c r="F10952" s="107" t="str">
        <f aca="false">IF($C10952="","",$D10952*$E10952)</f>
        <v/>
      </c>
      <c r="G10952" s="107" t="str">
        <f aca="false">IF($C10952="","",$D10952*IFERROR(INDEX('تحليل التكلفة والسعر'!$C$2:$C$700,MATCH($C10952,'تحليل التكلفة والسعر'!$B$2:$B$700,0)),0))</f>
        <v/>
      </c>
    </row>
    <row r="10953" customFormat="false" ht="15" hidden="false" customHeight="false" outlineLevel="0" collapsed="false">
      <c r="A10953" s="103"/>
      <c r="B10953" s="104"/>
      <c r="C10953" s="104"/>
      <c r="E10953" s="107" t="str">
        <f aca="false">IF($C10953="","",IFERROR(INDEX(المنيو!$C$2:$C$500,MATCH($C10953,المنيو!$B$2:$B$500,0)),0))</f>
        <v/>
      </c>
      <c r="F10953" s="107" t="str">
        <f aca="false">IF($C10953="","",$D10953*$E10953)</f>
        <v/>
      </c>
      <c r="G10953" s="107" t="str">
        <f aca="false">IF($C10953="","",$D10953*IFERROR(INDEX('تحليل التكلفة والسعر'!$C$2:$C$700,MATCH($C10953,'تحليل التكلفة والسعر'!$B$2:$B$700,0)),0))</f>
        <v/>
      </c>
    </row>
    <row r="10954" customFormat="false" ht="15" hidden="false" customHeight="false" outlineLevel="0" collapsed="false">
      <c r="A10954" s="103"/>
      <c r="B10954" s="104"/>
      <c r="C10954" s="104"/>
      <c r="E10954" s="107" t="str">
        <f aca="false">IF($C10954="","",IFERROR(INDEX(المنيو!$C$2:$C$500,MATCH($C10954,المنيو!$B$2:$B$500,0)),0))</f>
        <v/>
      </c>
      <c r="F10954" s="107" t="str">
        <f aca="false">IF($C10954="","",$D10954*$E10954)</f>
        <v/>
      </c>
      <c r="G10954" s="107" t="str">
        <f aca="false">IF($C10954="","",$D10954*IFERROR(INDEX('تحليل التكلفة والسعر'!$C$2:$C$700,MATCH($C10954,'تحليل التكلفة والسعر'!$B$2:$B$700,0)),0))</f>
        <v/>
      </c>
    </row>
    <row r="10955" customFormat="false" ht="15" hidden="false" customHeight="false" outlineLevel="0" collapsed="false">
      <c r="A10955" s="103"/>
      <c r="B10955" s="104"/>
      <c r="C10955" s="104"/>
      <c r="E10955" s="107" t="str">
        <f aca="false">IF($C10955="","",IFERROR(INDEX(المنيو!$C$2:$C$500,MATCH($C10955,المنيو!$B$2:$B$500,0)),0))</f>
        <v/>
      </c>
      <c r="F10955" s="107" t="str">
        <f aca="false">IF($C10955="","",$D10955*$E10955)</f>
        <v/>
      </c>
      <c r="G10955" s="107" t="str">
        <f aca="false">IF($C10955="","",$D10955*IFERROR(INDEX('تحليل التكلفة والسعر'!$C$2:$C$700,MATCH($C10955,'تحليل التكلفة والسعر'!$B$2:$B$700,0)),0))</f>
        <v/>
      </c>
    </row>
    <row r="10956" customFormat="false" ht="15" hidden="false" customHeight="false" outlineLevel="0" collapsed="false">
      <c r="A10956" s="103"/>
      <c r="B10956" s="104"/>
      <c r="C10956" s="104"/>
      <c r="E10956" s="107" t="str">
        <f aca="false">IF($C10956="","",IFERROR(INDEX(المنيو!$C$2:$C$500,MATCH($C10956,المنيو!$B$2:$B$500,0)),0))</f>
        <v/>
      </c>
      <c r="F10956" s="107" t="str">
        <f aca="false">IF($C10956="","",$D10956*$E10956)</f>
        <v/>
      </c>
      <c r="G10956" s="107" t="str">
        <f aca="false">IF($C10956="","",$D10956*IFERROR(INDEX('تحليل التكلفة والسعر'!$C$2:$C$700,MATCH($C10956,'تحليل التكلفة والسعر'!$B$2:$B$700,0)),0))</f>
        <v/>
      </c>
    </row>
    <row r="10957" customFormat="false" ht="15" hidden="false" customHeight="false" outlineLevel="0" collapsed="false">
      <c r="A10957" s="103"/>
      <c r="B10957" s="104"/>
      <c r="C10957" s="104"/>
      <c r="E10957" s="107" t="str">
        <f aca="false">IF($C10957="","",IFERROR(INDEX(المنيو!$C$2:$C$500,MATCH($C10957,المنيو!$B$2:$B$500,0)),0))</f>
        <v/>
      </c>
      <c r="F10957" s="107" t="str">
        <f aca="false">IF($C10957="","",$D10957*$E10957)</f>
        <v/>
      </c>
      <c r="G10957" s="107" t="str">
        <f aca="false">IF($C10957="","",$D10957*IFERROR(INDEX('تحليل التكلفة والسعر'!$C$2:$C$700,MATCH($C10957,'تحليل التكلفة والسعر'!$B$2:$B$700,0)),0))</f>
        <v/>
      </c>
    </row>
    <row r="10958" customFormat="false" ht="15" hidden="false" customHeight="false" outlineLevel="0" collapsed="false">
      <c r="A10958" s="103"/>
      <c r="B10958" s="104"/>
      <c r="C10958" s="104"/>
      <c r="E10958" s="107" t="str">
        <f aca="false">IF($C10958="","",IFERROR(INDEX(المنيو!$C$2:$C$500,MATCH($C10958,المنيو!$B$2:$B$500,0)),0))</f>
        <v/>
      </c>
      <c r="F10958" s="107" t="str">
        <f aca="false">IF($C10958="","",$D10958*$E10958)</f>
        <v/>
      </c>
      <c r="G10958" s="107" t="str">
        <f aca="false">IF($C10958="","",$D10958*IFERROR(INDEX('تحليل التكلفة والسعر'!$C$2:$C$700,MATCH($C10958,'تحليل التكلفة والسعر'!$B$2:$B$700,0)),0))</f>
        <v/>
      </c>
    </row>
    <row r="10959" customFormat="false" ht="15" hidden="false" customHeight="false" outlineLevel="0" collapsed="false">
      <c r="A10959" s="103"/>
      <c r="B10959" s="104"/>
      <c r="C10959" s="104"/>
      <c r="E10959" s="107" t="str">
        <f aca="false">IF($C10959="","",IFERROR(INDEX(المنيو!$C$2:$C$500,MATCH($C10959,المنيو!$B$2:$B$500,0)),0))</f>
        <v/>
      </c>
      <c r="F10959" s="107" t="str">
        <f aca="false">IF($C10959="","",$D10959*$E10959)</f>
        <v/>
      </c>
      <c r="G10959" s="107" t="str">
        <f aca="false">IF($C10959="","",$D10959*IFERROR(INDEX('تحليل التكلفة والسعر'!$C$2:$C$700,MATCH($C10959,'تحليل التكلفة والسعر'!$B$2:$B$700,0)),0))</f>
        <v/>
      </c>
    </row>
    <row r="10960" customFormat="false" ht="15" hidden="false" customHeight="false" outlineLevel="0" collapsed="false">
      <c r="A10960" s="103"/>
      <c r="B10960" s="104"/>
      <c r="C10960" s="104"/>
      <c r="E10960" s="107" t="str">
        <f aca="false">IF($C10960="","",IFERROR(INDEX(المنيو!$C$2:$C$500,MATCH($C10960,المنيو!$B$2:$B$500,0)),0))</f>
        <v/>
      </c>
      <c r="F10960" s="107" t="str">
        <f aca="false">IF($C10960="","",$D10960*$E10960)</f>
        <v/>
      </c>
      <c r="G10960" s="107" t="str">
        <f aca="false">IF($C10960="","",$D10960*IFERROR(INDEX('تحليل التكلفة والسعر'!$C$2:$C$700,MATCH($C10960,'تحليل التكلفة والسعر'!$B$2:$B$700,0)),0))</f>
        <v/>
      </c>
    </row>
    <row r="10961" customFormat="false" ht="15" hidden="false" customHeight="false" outlineLevel="0" collapsed="false">
      <c r="A10961" s="103"/>
      <c r="B10961" s="104"/>
      <c r="C10961" s="104"/>
      <c r="E10961" s="107" t="str">
        <f aca="false">IF($C10961="","",IFERROR(INDEX(المنيو!$C$2:$C$500,MATCH($C10961,المنيو!$B$2:$B$500,0)),0))</f>
        <v/>
      </c>
      <c r="F10961" s="107" t="str">
        <f aca="false">IF($C10961="","",$D10961*$E10961)</f>
        <v/>
      </c>
      <c r="G10961" s="107" t="str">
        <f aca="false">IF($C10961="","",$D10961*IFERROR(INDEX('تحليل التكلفة والسعر'!$C$2:$C$700,MATCH($C10961,'تحليل التكلفة والسعر'!$B$2:$B$700,0)),0))</f>
        <v/>
      </c>
    </row>
    <row r="10962" customFormat="false" ht="15" hidden="false" customHeight="false" outlineLevel="0" collapsed="false">
      <c r="A10962" s="103"/>
      <c r="B10962" s="104"/>
      <c r="C10962" s="104"/>
      <c r="E10962" s="107" t="str">
        <f aca="false">IF($C10962="","",IFERROR(INDEX(المنيو!$C$2:$C$500,MATCH($C10962,المنيو!$B$2:$B$500,0)),0))</f>
        <v/>
      </c>
      <c r="F10962" s="107" t="str">
        <f aca="false">IF($C10962="","",$D10962*$E10962)</f>
        <v/>
      </c>
      <c r="G10962" s="107" t="str">
        <f aca="false">IF($C10962="","",$D10962*IFERROR(INDEX('تحليل التكلفة والسعر'!$C$2:$C$700,MATCH($C10962,'تحليل التكلفة والسعر'!$B$2:$B$700,0)),0))</f>
        <v/>
      </c>
    </row>
    <row r="10963" customFormat="false" ht="15" hidden="false" customHeight="false" outlineLevel="0" collapsed="false">
      <c r="A10963" s="103"/>
      <c r="B10963" s="104"/>
      <c r="C10963" s="104"/>
      <c r="E10963" s="107" t="str">
        <f aca="false">IF($C10963="","",IFERROR(INDEX(المنيو!$C$2:$C$500,MATCH($C10963,المنيو!$B$2:$B$500,0)),0))</f>
        <v/>
      </c>
      <c r="F10963" s="107" t="str">
        <f aca="false">IF($C10963="","",$D10963*$E10963)</f>
        <v/>
      </c>
      <c r="G10963" s="107" t="str">
        <f aca="false">IF($C10963="","",$D10963*IFERROR(INDEX('تحليل التكلفة والسعر'!$C$2:$C$700,MATCH($C10963,'تحليل التكلفة والسعر'!$B$2:$B$700,0)),0))</f>
        <v/>
      </c>
    </row>
    <row r="10964" customFormat="false" ht="15" hidden="false" customHeight="false" outlineLevel="0" collapsed="false">
      <c r="A10964" s="103"/>
      <c r="B10964" s="104"/>
      <c r="C10964" s="104"/>
      <c r="E10964" s="107" t="str">
        <f aca="false">IF($C10964="","",IFERROR(INDEX(المنيو!$C$2:$C$500,MATCH($C10964,المنيو!$B$2:$B$500,0)),0))</f>
        <v/>
      </c>
      <c r="F10964" s="107" t="str">
        <f aca="false">IF($C10964="","",$D10964*$E10964)</f>
        <v/>
      </c>
      <c r="G10964" s="107" t="str">
        <f aca="false">IF($C10964="","",$D10964*IFERROR(INDEX('تحليل التكلفة والسعر'!$C$2:$C$700,MATCH($C10964,'تحليل التكلفة والسعر'!$B$2:$B$700,0)),0))</f>
        <v/>
      </c>
    </row>
    <row r="10965" customFormat="false" ht="15" hidden="false" customHeight="false" outlineLevel="0" collapsed="false">
      <c r="A10965" s="103"/>
      <c r="B10965" s="104"/>
      <c r="C10965" s="104"/>
      <c r="E10965" s="107" t="str">
        <f aca="false">IF($C10965="","",IFERROR(INDEX(المنيو!$C$2:$C$500,MATCH($C10965,المنيو!$B$2:$B$500,0)),0))</f>
        <v/>
      </c>
      <c r="F10965" s="107" t="str">
        <f aca="false">IF($C10965="","",$D10965*$E10965)</f>
        <v/>
      </c>
      <c r="G10965" s="107" t="str">
        <f aca="false">IF($C10965="","",$D10965*IFERROR(INDEX('تحليل التكلفة والسعر'!$C$2:$C$700,MATCH($C10965,'تحليل التكلفة والسعر'!$B$2:$B$700,0)),0))</f>
        <v/>
      </c>
    </row>
    <row r="10966" customFormat="false" ht="15" hidden="false" customHeight="false" outlineLevel="0" collapsed="false">
      <c r="A10966" s="103"/>
      <c r="B10966" s="104"/>
      <c r="C10966" s="104"/>
      <c r="E10966" s="107" t="str">
        <f aca="false">IF($C10966="","",IFERROR(INDEX(المنيو!$C$2:$C$500,MATCH($C10966,المنيو!$B$2:$B$500,0)),0))</f>
        <v/>
      </c>
      <c r="F10966" s="107" t="str">
        <f aca="false">IF($C10966="","",$D10966*$E10966)</f>
        <v/>
      </c>
      <c r="G10966" s="107" t="str">
        <f aca="false">IF($C10966="","",$D10966*IFERROR(INDEX('تحليل التكلفة والسعر'!$C$2:$C$700,MATCH($C10966,'تحليل التكلفة والسعر'!$B$2:$B$700,0)),0))</f>
        <v/>
      </c>
    </row>
    <row r="10967" customFormat="false" ht="15" hidden="false" customHeight="false" outlineLevel="0" collapsed="false">
      <c r="A10967" s="103"/>
      <c r="B10967" s="104"/>
      <c r="C10967" s="104"/>
      <c r="E10967" s="107" t="str">
        <f aca="false">IF($C10967="","",IFERROR(INDEX(المنيو!$C$2:$C$500,MATCH($C10967,المنيو!$B$2:$B$500,0)),0))</f>
        <v/>
      </c>
      <c r="F10967" s="107" t="str">
        <f aca="false">IF($C10967="","",$D10967*$E10967)</f>
        <v/>
      </c>
      <c r="G10967" s="107" t="str">
        <f aca="false">IF($C10967="","",$D10967*IFERROR(INDEX('تحليل التكلفة والسعر'!$C$2:$C$700,MATCH($C10967,'تحليل التكلفة والسعر'!$B$2:$B$700,0)),0))</f>
        <v/>
      </c>
    </row>
    <row r="10968" customFormat="false" ht="15" hidden="false" customHeight="false" outlineLevel="0" collapsed="false">
      <c r="A10968" s="103"/>
      <c r="B10968" s="104"/>
      <c r="C10968" s="104"/>
      <c r="E10968" s="107" t="str">
        <f aca="false">IF($C10968="","",IFERROR(INDEX(المنيو!$C$2:$C$500,MATCH($C10968,المنيو!$B$2:$B$500,0)),0))</f>
        <v/>
      </c>
      <c r="F10968" s="107" t="str">
        <f aca="false">IF($C10968="","",$D10968*$E10968)</f>
        <v/>
      </c>
      <c r="G10968" s="107" t="str">
        <f aca="false">IF($C10968="","",$D10968*IFERROR(INDEX('تحليل التكلفة والسعر'!$C$2:$C$700,MATCH($C10968,'تحليل التكلفة والسعر'!$B$2:$B$700,0)),0))</f>
        <v/>
      </c>
    </row>
    <row r="10969" customFormat="false" ht="15" hidden="false" customHeight="false" outlineLevel="0" collapsed="false">
      <c r="A10969" s="103"/>
      <c r="B10969" s="104"/>
      <c r="C10969" s="104"/>
      <c r="E10969" s="107" t="str">
        <f aca="false">IF($C10969="","",IFERROR(INDEX(المنيو!$C$2:$C$500,MATCH($C10969,المنيو!$B$2:$B$500,0)),0))</f>
        <v/>
      </c>
      <c r="F10969" s="107" t="str">
        <f aca="false">IF($C10969="","",$D10969*$E10969)</f>
        <v/>
      </c>
      <c r="G10969" s="107" t="str">
        <f aca="false">IF($C10969="","",$D10969*IFERROR(INDEX('تحليل التكلفة والسعر'!$C$2:$C$700,MATCH($C10969,'تحليل التكلفة والسعر'!$B$2:$B$700,0)),0))</f>
        <v/>
      </c>
    </row>
    <row r="10970" customFormat="false" ht="15" hidden="false" customHeight="false" outlineLevel="0" collapsed="false">
      <c r="A10970" s="103"/>
      <c r="B10970" s="104"/>
      <c r="C10970" s="104"/>
      <c r="E10970" s="107" t="str">
        <f aca="false">IF($C10970="","",IFERROR(INDEX(المنيو!$C$2:$C$500,MATCH($C10970,المنيو!$B$2:$B$500,0)),0))</f>
        <v/>
      </c>
      <c r="F10970" s="107" t="str">
        <f aca="false">IF($C10970="","",$D10970*$E10970)</f>
        <v/>
      </c>
      <c r="G10970" s="107" t="str">
        <f aca="false">IF($C10970="","",$D10970*IFERROR(INDEX('تحليل التكلفة والسعر'!$C$2:$C$700,MATCH($C10970,'تحليل التكلفة والسعر'!$B$2:$B$700,0)),0))</f>
        <v/>
      </c>
    </row>
    <row r="10971" customFormat="false" ht="15" hidden="false" customHeight="false" outlineLevel="0" collapsed="false">
      <c r="A10971" s="103"/>
      <c r="B10971" s="104"/>
      <c r="C10971" s="104"/>
      <c r="E10971" s="107" t="str">
        <f aca="false">IF($C10971="","",IFERROR(INDEX(المنيو!$C$2:$C$500,MATCH($C10971,المنيو!$B$2:$B$500,0)),0))</f>
        <v/>
      </c>
      <c r="F10971" s="107" t="str">
        <f aca="false">IF($C10971="","",$D10971*$E10971)</f>
        <v/>
      </c>
      <c r="G10971" s="107" t="str">
        <f aca="false">IF($C10971="","",$D10971*IFERROR(INDEX('تحليل التكلفة والسعر'!$C$2:$C$700,MATCH($C10971,'تحليل التكلفة والسعر'!$B$2:$B$700,0)),0))</f>
        <v/>
      </c>
    </row>
    <row r="10972" customFormat="false" ht="15" hidden="false" customHeight="false" outlineLevel="0" collapsed="false">
      <c r="A10972" s="103"/>
      <c r="B10972" s="104"/>
      <c r="C10972" s="104"/>
      <c r="E10972" s="107" t="str">
        <f aca="false">IF($C10972="","",IFERROR(INDEX(المنيو!$C$2:$C$500,MATCH($C10972,المنيو!$B$2:$B$500,0)),0))</f>
        <v/>
      </c>
      <c r="F10972" s="107" t="str">
        <f aca="false">IF($C10972="","",$D10972*$E10972)</f>
        <v/>
      </c>
      <c r="G10972" s="107" t="str">
        <f aca="false">IF($C10972="","",$D10972*IFERROR(INDEX('تحليل التكلفة والسعر'!$C$2:$C$700,MATCH($C10972,'تحليل التكلفة والسعر'!$B$2:$B$700,0)),0))</f>
        <v/>
      </c>
    </row>
    <row r="10973" customFormat="false" ht="15" hidden="false" customHeight="false" outlineLevel="0" collapsed="false">
      <c r="A10973" s="103"/>
      <c r="B10973" s="104"/>
      <c r="C10973" s="104"/>
      <c r="E10973" s="107" t="str">
        <f aca="false">IF($C10973="","",IFERROR(INDEX(المنيو!$C$2:$C$500,MATCH($C10973,المنيو!$B$2:$B$500,0)),0))</f>
        <v/>
      </c>
      <c r="F10973" s="107" t="str">
        <f aca="false">IF($C10973="","",$D10973*$E10973)</f>
        <v/>
      </c>
      <c r="G10973" s="107" t="str">
        <f aca="false">IF($C10973="","",$D10973*IFERROR(INDEX('تحليل التكلفة والسعر'!$C$2:$C$700,MATCH($C10973,'تحليل التكلفة والسعر'!$B$2:$B$700,0)),0))</f>
        <v/>
      </c>
    </row>
    <row r="10974" customFormat="false" ht="15" hidden="false" customHeight="false" outlineLevel="0" collapsed="false">
      <c r="A10974" s="103"/>
      <c r="B10974" s="104"/>
      <c r="C10974" s="104"/>
      <c r="E10974" s="107" t="str">
        <f aca="false">IF($C10974="","",IFERROR(INDEX(المنيو!$C$2:$C$500,MATCH($C10974,المنيو!$B$2:$B$500,0)),0))</f>
        <v/>
      </c>
      <c r="F10974" s="107" t="str">
        <f aca="false">IF($C10974="","",$D10974*$E10974)</f>
        <v/>
      </c>
      <c r="G10974" s="107" t="str">
        <f aca="false">IF($C10974="","",$D10974*IFERROR(INDEX('تحليل التكلفة والسعر'!$C$2:$C$700,MATCH($C10974,'تحليل التكلفة والسعر'!$B$2:$B$700,0)),0))</f>
        <v/>
      </c>
    </row>
    <row r="10975" customFormat="false" ht="15" hidden="false" customHeight="false" outlineLevel="0" collapsed="false">
      <c r="A10975" s="103"/>
      <c r="B10975" s="104"/>
      <c r="C10975" s="104"/>
      <c r="E10975" s="107" t="str">
        <f aca="false">IF($C10975="","",IFERROR(INDEX(المنيو!$C$2:$C$500,MATCH($C10975,المنيو!$B$2:$B$500,0)),0))</f>
        <v/>
      </c>
      <c r="F10975" s="107" t="str">
        <f aca="false">IF($C10975="","",$D10975*$E10975)</f>
        <v/>
      </c>
      <c r="G10975" s="107" t="str">
        <f aca="false">IF($C10975="","",$D10975*IFERROR(INDEX('تحليل التكلفة والسعر'!$C$2:$C$700,MATCH($C10975,'تحليل التكلفة والسعر'!$B$2:$B$700,0)),0))</f>
        <v/>
      </c>
    </row>
    <row r="10976" customFormat="false" ht="15" hidden="false" customHeight="false" outlineLevel="0" collapsed="false">
      <c r="A10976" s="103"/>
      <c r="B10976" s="104"/>
      <c r="C10976" s="104"/>
      <c r="E10976" s="107" t="str">
        <f aca="false">IF($C10976="","",IFERROR(INDEX(المنيو!$C$2:$C$500,MATCH($C10976,المنيو!$B$2:$B$500,0)),0))</f>
        <v/>
      </c>
      <c r="F10976" s="107" t="str">
        <f aca="false">IF($C10976="","",$D10976*$E10976)</f>
        <v/>
      </c>
      <c r="G10976" s="107" t="str">
        <f aca="false">IF($C10976="","",$D10976*IFERROR(INDEX('تحليل التكلفة والسعر'!$C$2:$C$700,MATCH($C10976,'تحليل التكلفة والسعر'!$B$2:$B$700,0)),0))</f>
        <v/>
      </c>
    </row>
    <row r="10977" customFormat="false" ht="15" hidden="false" customHeight="false" outlineLevel="0" collapsed="false">
      <c r="A10977" s="103"/>
      <c r="B10977" s="104"/>
      <c r="C10977" s="104"/>
      <c r="E10977" s="107" t="str">
        <f aca="false">IF($C10977="","",IFERROR(INDEX(المنيو!$C$2:$C$500,MATCH($C10977,المنيو!$B$2:$B$500,0)),0))</f>
        <v/>
      </c>
      <c r="F10977" s="107" t="str">
        <f aca="false">IF($C10977="","",$D10977*$E10977)</f>
        <v/>
      </c>
      <c r="G10977" s="107" t="str">
        <f aca="false">IF($C10977="","",$D10977*IFERROR(INDEX('تحليل التكلفة والسعر'!$C$2:$C$700,MATCH($C10977,'تحليل التكلفة والسعر'!$B$2:$B$700,0)),0))</f>
        <v/>
      </c>
    </row>
    <row r="10978" customFormat="false" ht="15" hidden="false" customHeight="false" outlineLevel="0" collapsed="false">
      <c r="A10978" s="103"/>
      <c r="B10978" s="104"/>
      <c r="C10978" s="104"/>
      <c r="E10978" s="107" t="str">
        <f aca="false">IF($C10978="","",IFERROR(INDEX(المنيو!$C$2:$C$500,MATCH($C10978,المنيو!$B$2:$B$500,0)),0))</f>
        <v/>
      </c>
      <c r="F10978" s="107" t="str">
        <f aca="false">IF($C10978="","",$D10978*$E10978)</f>
        <v/>
      </c>
      <c r="G10978" s="107" t="str">
        <f aca="false">IF($C10978="","",$D10978*IFERROR(INDEX('تحليل التكلفة والسعر'!$C$2:$C$700,MATCH($C10978,'تحليل التكلفة والسعر'!$B$2:$B$700,0)),0))</f>
        <v/>
      </c>
    </row>
    <row r="10979" customFormat="false" ht="15" hidden="false" customHeight="false" outlineLevel="0" collapsed="false">
      <c r="A10979" s="103"/>
      <c r="B10979" s="104"/>
      <c r="C10979" s="104"/>
      <c r="E10979" s="107" t="str">
        <f aca="false">IF($C10979="","",IFERROR(INDEX(المنيو!$C$2:$C$500,MATCH($C10979,المنيو!$B$2:$B$500,0)),0))</f>
        <v/>
      </c>
      <c r="F10979" s="107" t="str">
        <f aca="false">IF($C10979="","",$D10979*$E10979)</f>
        <v/>
      </c>
      <c r="G10979" s="107" t="str">
        <f aca="false">IF($C10979="","",$D10979*IFERROR(INDEX('تحليل التكلفة والسعر'!$C$2:$C$700,MATCH($C10979,'تحليل التكلفة والسعر'!$B$2:$B$700,0)),0))</f>
        <v/>
      </c>
    </row>
    <row r="10980" customFormat="false" ht="15" hidden="false" customHeight="false" outlineLevel="0" collapsed="false">
      <c r="A10980" s="103"/>
      <c r="B10980" s="104"/>
      <c r="C10980" s="104"/>
      <c r="E10980" s="107" t="str">
        <f aca="false">IF($C10980="","",IFERROR(INDEX(المنيو!$C$2:$C$500,MATCH($C10980,المنيو!$B$2:$B$500,0)),0))</f>
        <v/>
      </c>
      <c r="F10980" s="107" t="str">
        <f aca="false">IF($C10980="","",$D10980*$E10980)</f>
        <v/>
      </c>
      <c r="G10980" s="107" t="str">
        <f aca="false">IF($C10980="","",$D10980*IFERROR(INDEX('تحليل التكلفة والسعر'!$C$2:$C$700,MATCH($C10980,'تحليل التكلفة والسعر'!$B$2:$B$700,0)),0))</f>
        <v/>
      </c>
    </row>
    <row r="10981" customFormat="false" ht="15" hidden="false" customHeight="false" outlineLevel="0" collapsed="false">
      <c r="A10981" s="103"/>
      <c r="B10981" s="104"/>
      <c r="C10981" s="104"/>
      <c r="E10981" s="107" t="str">
        <f aca="false">IF($C10981="","",IFERROR(INDEX(المنيو!$C$2:$C$500,MATCH($C10981,المنيو!$B$2:$B$500,0)),0))</f>
        <v/>
      </c>
      <c r="F10981" s="107" t="str">
        <f aca="false">IF($C10981="","",$D10981*$E10981)</f>
        <v/>
      </c>
      <c r="G10981" s="107" t="str">
        <f aca="false">IF($C10981="","",$D10981*IFERROR(INDEX('تحليل التكلفة والسعر'!$C$2:$C$700,MATCH($C10981,'تحليل التكلفة والسعر'!$B$2:$B$700,0)),0))</f>
        <v/>
      </c>
    </row>
    <row r="10982" customFormat="false" ht="15" hidden="false" customHeight="false" outlineLevel="0" collapsed="false">
      <c r="A10982" s="103"/>
      <c r="B10982" s="104"/>
      <c r="C10982" s="104"/>
      <c r="E10982" s="107" t="str">
        <f aca="false">IF($C10982="","",IFERROR(INDEX(المنيو!$C$2:$C$500,MATCH($C10982,المنيو!$B$2:$B$500,0)),0))</f>
        <v/>
      </c>
      <c r="F10982" s="107" t="str">
        <f aca="false">IF($C10982="","",$D10982*$E10982)</f>
        <v/>
      </c>
      <c r="G10982" s="107" t="str">
        <f aca="false">IF($C10982="","",$D10982*IFERROR(INDEX('تحليل التكلفة والسعر'!$C$2:$C$700,MATCH($C10982,'تحليل التكلفة والسعر'!$B$2:$B$700,0)),0))</f>
        <v/>
      </c>
    </row>
    <row r="10983" customFormat="false" ht="15" hidden="false" customHeight="false" outlineLevel="0" collapsed="false">
      <c r="A10983" s="103"/>
      <c r="B10983" s="104"/>
      <c r="C10983" s="104"/>
      <c r="E10983" s="107" t="str">
        <f aca="false">IF($C10983="","",IFERROR(INDEX(المنيو!$C$2:$C$500,MATCH($C10983,المنيو!$B$2:$B$500,0)),0))</f>
        <v/>
      </c>
      <c r="F10983" s="107" t="str">
        <f aca="false">IF($C10983="","",$D10983*$E10983)</f>
        <v/>
      </c>
      <c r="G10983" s="107" t="str">
        <f aca="false">IF($C10983="","",$D10983*IFERROR(INDEX('تحليل التكلفة والسعر'!$C$2:$C$700,MATCH($C10983,'تحليل التكلفة والسعر'!$B$2:$B$700,0)),0))</f>
        <v/>
      </c>
    </row>
    <row r="10984" customFormat="false" ht="15" hidden="false" customHeight="false" outlineLevel="0" collapsed="false">
      <c r="A10984" s="103"/>
      <c r="B10984" s="104"/>
      <c r="C10984" s="104"/>
      <c r="E10984" s="107" t="str">
        <f aca="false">IF($C10984="","",IFERROR(INDEX(المنيو!$C$2:$C$500,MATCH($C10984,المنيو!$B$2:$B$500,0)),0))</f>
        <v/>
      </c>
      <c r="F10984" s="107" t="str">
        <f aca="false">IF($C10984="","",$D10984*$E10984)</f>
        <v/>
      </c>
      <c r="G10984" s="107" t="str">
        <f aca="false">IF($C10984="","",$D10984*IFERROR(INDEX('تحليل التكلفة والسعر'!$C$2:$C$700,MATCH($C10984,'تحليل التكلفة والسعر'!$B$2:$B$700,0)),0))</f>
        <v/>
      </c>
    </row>
    <row r="10985" customFormat="false" ht="15" hidden="false" customHeight="false" outlineLevel="0" collapsed="false">
      <c r="A10985" s="103"/>
      <c r="B10985" s="104"/>
      <c r="C10985" s="104"/>
      <c r="E10985" s="107" t="str">
        <f aca="false">IF($C10985="","",IFERROR(INDEX(المنيو!$C$2:$C$500,MATCH($C10985,المنيو!$B$2:$B$500,0)),0))</f>
        <v/>
      </c>
      <c r="F10985" s="107" t="str">
        <f aca="false">IF($C10985="","",$D10985*$E10985)</f>
        <v/>
      </c>
      <c r="G10985" s="107" t="str">
        <f aca="false">IF($C10985="","",$D10985*IFERROR(INDEX('تحليل التكلفة والسعر'!$C$2:$C$700,MATCH($C10985,'تحليل التكلفة والسعر'!$B$2:$B$700,0)),0))</f>
        <v/>
      </c>
    </row>
    <row r="10986" customFormat="false" ht="15" hidden="false" customHeight="false" outlineLevel="0" collapsed="false">
      <c r="A10986" s="103"/>
      <c r="B10986" s="104"/>
      <c r="C10986" s="104"/>
      <c r="E10986" s="107" t="str">
        <f aca="false">IF($C10986="","",IFERROR(INDEX(المنيو!$C$2:$C$500,MATCH($C10986,المنيو!$B$2:$B$500,0)),0))</f>
        <v/>
      </c>
      <c r="F10986" s="107" t="str">
        <f aca="false">IF($C10986="","",$D10986*$E10986)</f>
        <v/>
      </c>
      <c r="G10986" s="107" t="str">
        <f aca="false">IF($C10986="","",$D10986*IFERROR(INDEX('تحليل التكلفة والسعر'!$C$2:$C$700,MATCH($C10986,'تحليل التكلفة والسعر'!$B$2:$B$700,0)),0))</f>
        <v/>
      </c>
    </row>
    <row r="10987" customFormat="false" ht="15" hidden="false" customHeight="false" outlineLevel="0" collapsed="false">
      <c r="A10987" s="103"/>
      <c r="B10987" s="104"/>
      <c r="C10987" s="104"/>
      <c r="E10987" s="107" t="str">
        <f aca="false">IF($C10987="","",IFERROR(INDEX(المنيو!$C$2:$C$500,MATCH($C10987,المنيو!$B$2:$B$500,0)),0))</f>
        <v/>
      </c>
      <c r="F10987" s="107" t="str">
        <f aca="false">IF($C10987="","",$D10987*$E10987)</f>
        <v/>
      </c>
      <c r="G10987" s="107" t="str">
        <f aca="false">IF($C10987="","",$D10987*IFERROR(INDEX('تحليل التكلفة والسعر'!$C$2:$C$700,MATCH($C10987,'تحليل التكلفة والسعر'!$B$2:$B$700,0)),0))</f>
        <v/>
      </c>
    </row>
    <row r="10988" customFormat="false" ht="15" hidden="false" customHeight="false" outlineLevel="0" collapsed="false">
      <c r="A10988" s="103"/>
      <c r="B10988" s="104"/>
      <c r="C10988" s="104"/>
      <c r="E10988" s="107" t="str">
        <f aca="false">IF($C10988="","",IFERROR(INDEX(المنيو!$C$2:$C$500,MATCH($C10988,المنيو!$B$2:$B$500,0)),0))</f>
        <v/>
      </c>
      <c r="F10988" s="107" t="str">
        <f aca="false">IF($C10988="","",$D10988*$E10988)</f>
        <v/>
      </c>
      <c r="G10988" s="107" t="str">
        <f aca="false">IF($C10988="","",$D10988*IFERROR(INDEX('تحليل التكلفة والسعر'!$C$2:$C$700,MATCH($C10988,'تحليل التكلفة والسعر'!$B$2:$B$700,0)),0))</f>
        <v/>
      </c>
    </row>
    <row r="10989" customFormat="false" ht="15" hidden="false" customHeight="false" outlineLevel="0" collapsed="false">
      <c r="A10989" s="103"/>
      <c r="B10989" s="104"/>
      <c r="C10989" s="104"/>
      <c r="E10989" s="107" t="str">
        <f aca="false">IF($C10989="","",IFERROR(INDEX(المنيو!$C$2:$C$500,MATCH($C10989,المنيو!$B$2:$B$500,0)),0))</f>
        <v/>
      </c>
      <c r="F10989" s="107" t="str">
        <f aca="false">IF($C10989="","",$D10989*$E10989)</f>
        <v/>
      </c>
      <c r="G10989" s="107" t="str">
        <f aca="false">IF($C10989="","",$D10989*IFERROR(INDEX('تحليل التكلفة والسعر'!$C$2:$C$700,MATCH($C10989,'تحليل التكلفة والسعر'!$B$2:$B$700,0)),0))</f>
        <v/>
      </c>
    </row>
    <row r="10990" customFormat="false" ht="15" hidden="false" customHeight="false" outlineLevel="0" collapsed="false">
      <c r="A10990" s="103"/>
      <c r="B10990" s="104"/>
      <c r="C10990" s="104"/>
      <c r="E10990" s="107" t="str">
        <f aca="false">IF($C10990="","",IFERROR(INDEX(المنيو!$C$2:$C$500,MATCH($C10990,المنيو!$B$2:$B$500,0)),0))</f>
        <v/>
      </c>
      <c r="F10990" s="107" t="str">
        <f aca="false">IF($C10990="","",$D10990*$E10990)</f>
        <v/>
      </c>
      <c r="G10990" s="107" t="str">
        <f aca="false">IF($C10990="","",$D10990*IFERROR(INDEX('تحليل التكلفة والسعر'!$C$2:$C$700,MATCH($C10990,'تحليل التكلفة والسعر'!$B$2:$B$700,0)),0))</f>
        <v/>
      </c>
    </row>
    <row r="10991" customFormat="false" ht="15" hidden="false" customHeight="false" outlineLevel="0" collapsed="false">
      <c r="A10991" s="103"/>
      <c r="B10991" s="104"/>
      <c r="C10991" s="104"/>
      <c r="E10991" s="107" t="str">
        <f aca="false">IF($C10991="","",IFERROR(INDEX(المنيو!$C$2:$C$500,MATCH($C10991,المنيو!$B$2:$B$500,0)),0))</f>
        <v/>
      </c>
      <c r="F10991" s="107" t="str">
        <f aca="false">IF($C10991="","",$D10991*$E10991)</f>
        <v/>
      </c>
      <c r="G10991" s="107" t="str">
        <f aca="false">IF($C10991="","",$D10991*IFERROR(INDEX('تحليل التكلفة والسعر'!$C$2:$C$700,MATCH($C10991,'تحليل التكلفة والسعر'!$B$2:$B$700,0)),0))</f>
        <v/>
      </c>
    </row>
    <row r="10992" customFormat="false" ht="15" hidden="false" customHeight="false" outlineLevel="0" collapsed="false">
      <c r="A10992" s="103"/>
      <c r="B10992" s="104"/>
      <c r="C10992" s="104"/>
      <c r="E10992" s="107" t="str">
        <f aca="false">IF($C10992="","",IFERROR(INDEX(المنيو!$C$2:$C$500,MATCH($C10992,المنيو!$B$2:$B$500,0)),0))</f>
        <v/>
      </c>
      <c r="F10992" s="107" t="str">
        <f aca="false">IF($C10992="","",$D10992*$E10992)</f>
        <v/>
      </c>
      <c r="G10992" s="107" t="str">
        <f aca="false">IF($C10992="","",$D10992*IFERROR(INDEX('تحليل التكلفة والسعر'!$C$2:$C$700,MATCH($C10992,'تحليل التكلفة والسعر'!$B$2:$B$700,0)),0))</f>
        <v/>
      </c>
    </row>
    <row r="10993" customFormat="false" ht="15" hidden="false" customHeight="false" outlineLevel="0" collapsed="false">
      <c r="A10993" s="103"/>
      <c r="B10993" s="104"/>
      <c r="C10993" s="104"/>
      <c r="E10993" s="107" t="str">
        <f aca="false">IF($C10993="","",IFERROR(INDEX(المنيو!$C$2:$C$500,MATCH($C10993,المنيو!$B$2:$B$500,0)),0))</f>
        <v/>
      </c>
      <c r="F10993" s="107" t="str">
        <f aca="false">IF($C10993="","",$D10993*$E10993)</f>
        <v/>
      </c>
      <c r="G10993" s="107" t="str">
        <f aca="false">IF($C10993="","",$D10993*IFERROR(INDEX('تحليل التكلفة والسعر'!$C$2:$C$700,MATCH($C10993,'تحليل التكلفة والسعر'!$B$2:$B$700,0)),0))</f>
        <v/>
      </c>
    </row>
    <row r="10994" customFormat="false" ht="15" hidden="false" customHeight="false" outlineLevel="0" collapsed="false">
      <c r="A10994" s="103"/>
      <c r="B10994" s="104"/>
      <c r="C10994" s="104"/>
      <c r="E10994" s="107" t="str">
        <f aca="false">IF($C10994="","",IFERROR(INDEX(المنيو!$C$2:$C$500,MATCH($C10994,المنيو!$B$2:$B$500,0)),0))</f>
        <v/>
      </c>
      <c r="F10994" s="107" t="str">
        <f aca="false">IF($C10994="","",$D10994*$E10994)</f>
        <v/>
      </c>
      <c r="G10994" s="107" t="str">
        <f aca="false">IF($C10994="","",$D10994*IFERROR(INDEX('تحليل التكلفة والسعر'!$C$2:$C$700,MATCH($C10994,'تحليل التكلفة والسعر'!$B$2:$B$700,0)),0))</f>
        <v/>
      </c>
    </row>
    <row r="10995" customFormat="false" ht="15" hidden="false" customHeight="false" outlineLevel="0" collapsed="false">
      <c r="A10995" s="103"/>
      <c r="B10995" s="104"/>
      <c r="C10995" s="104"/>
      <c r="E10995" s="107" t="str">
        <f aca="false">IF($C10995="","",IFERROR(INDEX(المنيو!$C$2:$C$500,MATCH($C10995,المنيو!$B$2:$B$500,0)),0))</f>
        <v/>
      </c>
      <c r="F10995" s="107" t="str">
        <f aca="false">IF($C10995="","",$D10995*$E10995)</f>
        <v/>
      </c>
      <c r="G10995" s="107" t="str">
        <f aca="false">IF($C10995="","",$D10995*IFERROR(INDEX('تحليل التكلفة والسعر'!$C$2:$C$700,MATCH($C10995,'تحليل التكلفة والسعر'!$B$2:$B$700,0)),0))</f>
        <v/>
      </c>
    </row>
    <row r="10996" customFormat="false" ht="15" hidden="false" customHeight="false" outlineLevel="0" collapsed="false">
      <c r="A10996" s="103"/>
      <c r="B10996" s="104"/>
      <c r="C10996" s="104"/>
      <c r="E10996" s="107" t="str">
        <f aca="false">IF($C10996="","",IFERROR(INDEX(المنيو!$C$2:$C$500,MATCH($C10996,المنيو!$B$2:$B$500,0)),0))</f>
        <v/>
      </c>
      <c r="F10996" s="107" t="str">
        <f aca="false">IF($C10996="","",$D10996*$E10996)</f>
        <v/>
      </c>
      <c r="G10996" s="107" t="str">
        <f aca="false">IF($C10996="","",$D10996*IFERROR(INDEX('تحليل التكلفة والسعر'!$C$2:$C$700,MATCH($C10996,'تحليل التكلفة والسعر'!$B$2:$B$700,0)),0))</f>
        <v/>
      </c>
    </row>
    <row r="10997" customFormat="false" ht="15" hidden="false" customHeight="false" outlineLevel="0" collapsed="false">
      <c r="A10997" s="103"/>
      <c r="B10997" s="104"/>
      <c r="C10997" s="104"/>
      <c r="E10997" s="107" t="str">
        <f aca="false">IF($C10997="","",IFERROR(INDEX(المنيو!$C$2:$C$500,MATCH($C10997,المنيو!$B$2:$B$500,0)),0))</f>
        <v/>
      </c>
      <c r="F10997" s="107" t="str">
        <f aca="false">IF($C10997="","",$D10997*$E10997)</f>
        <v/>
      </c>
      <c r="G10997" s="107" t="str">
        <f aca="false">IF($C10997="","",$D10997*IFERROR(INDEX('تحليل التكلفة والسعر'!$C$2:$C$700,MATCH($C10997,'تحليل التكلفة والسعر'!$B$2:$B$700,0)),0))</f>
        <v/>
      </c>
    </row>
    <row r="10998" customFormat="false" ht="15" hidden="false" customHeight="false" outlineLevel="0" collapsed="false">
      <c r="A10998" s="103"/>
      <c r="B10998" s="104"/>
      <c r="C10998" s="104"/>
      <c r="E10998" s="107" t="str">
        <f aca="false">IF($C10998="","",IFERROR(INDEX(المنيو!$C$2:$C$500,MATCH($C10998,المنيو!$B$2:$B$500,0)),0))</f>
        <v/>
      </c>
      <c r="F10998" s="107" t="str">
        <f aca="false">IF($C10998="","",$D10998*$E10998)</f>
        <v/>
      </c>
      <c r="G10998" s="107" t="str">
        <f aca="false">IF($C10998="","",$D10998*IFERROR(INDEX('تحليل التكلفة والسعر'!$C$2:$C$700,MATCH($C10998,'تحليل التكلفة والسعر'!$B$2:$B$700,0)),0))</f>
        <v/>
      </c>
    </row>
    <row r="10999" customFormat="false" ht="15" hidden="false" customHeight="false" outlineLevel="0" collapsed="false">
      <c r="A10999" s="103"/>
      <c r="B10999" s="104"/>
      <c r="C10999" s="104"/>
      <c r="E10999" s="107" t="str">
        <f aca="false">IF($C10999="","",IFERROR(INDEX(المنيو!$C$2:$C$500,MATCH($C10999,المنيو!$B$2:$B$500,0)),0))</f>
        <v/>
      </c>
      <c r="F10999" s="107" t="str">
        <f aca="false">IF($C10999="","",$D10999*$E10999)</f>
        <v/>
      </c>
      <c r="G10999" s="107" t="str">
        <f aca="false">IF($C10999="","",$D10999*IFERROR(INDEX('تحليل التكلفة والسعر'!$C$2:$C$700,MATCH($C10999,'تحليل التكلفة والسعر'!$B$2:$B$700,0)),0))</f>
        <v/>
      </c>
    </row>
    <row r="11000" customFormat="false" ht="15" hidden="false" customHeight="false" outlineLevel="0" collapsed="false">
      <c r="A11000" s="103"/>
      <c r="B11000" s="104"/>
      <c r="C11000" s="104"/>
      <c r="E11000" s="107" t="str">
        <f aca="false">IF($C11000="","",IFERROR(INDEX(المنيو!$C$2:$C$500,MATCH($C11000,المنيو!$B$2:$B$500,0)),0))</f>
        <v/>
      </c>
      <c r="F11000" s="107" t="str">
        <f aca="false">IF($C11000="","",$D11000*$E11000)</f>
        <v/>
      </c>
      <c r="G11000" s="107" t="str">
        <f aca="false">IF($C11000="","",$D11000*IFERROR(INDEX('تحليل التكلفة والسعر'!$C$2:$C$700,MATCH($C11000,'تحليل التكلفة والسعر'!$B$2:$B$700,0)),0))</f>
        <v/>
      </c>
    </row>
    <row r="11001" customFormat="false" ht="15" hidden="false" customHeight="false" outlineLevel="0" collapsed="false">
      <c r="A11001" s="103"/>
      <c r="B11001" s="104"/>
      <c r="C11001" s="104"/>
      <c r="E11001" s="107" t="str">
        <f aca="false">IF($C11001="","",IFERROR(INDEX(المنيو!$C$2:$C$500,MATCH($C11001,المنيو!$B$2:$B$500,0)),0))</f>
        <v/>
      </c>
      <c r="F11001" s="107" t="str">
        <f aca="false">IF($C11001="","",$D11001*$E11001)</f>
        <v/>
      </c>
      <c r="G11001" s="107" t="str">
        <f aca="false">IF($C11001="","",$D11001*IFERROR(INDEX('تحليل التكلفة والسعر'!$C$2:$C$700,MATCH($C11001,'تحليل التكلفة والسعر'!$B$2:$B$700,0)),0))</f>
        <v/>
      </c>
    </row>
    <row r="11002" customFormat="false" ht="15" hidden="false" customHeight="false" outlineLevel="0" collapsed="false">
      <c r="A11002" s="103"/>
      <c r="B11002" s="104"/>
      <c r="C11002" s="104"/>
      <c r="E11002" s="107" t="str">
        <f aca="false">IF($C11002="","",IFERROR(INDEX(المنيو!$C$2:$C$500,MATCH($C11002,المنيو!$B$2:$B$500,0)),0))</f>
        <v/>
      </c>
      <c r="F11002" s="107" t="str">
        <f aca="false">IF($C11002="","",$D11002*$E11002)</f>
        <v/>
      </c>
      <c r="G11002" s="107" t="str">
        <f aca="false">IF($C11002="","",$D11002*IFERROR(INDEX('تحليل التكلفة والسعر'!$C$2:$C$700,MATCH($C11002,'تحليل التكلفة والسعر'!$B$2:$B$700,0)),0))</f>
        <v/>
      </c>
    </row>
    <row r="11003" customFormat="false" ht="15" hidden="false" customHeight="false" outlineLevel="0" collapsed="false">
      <c r="A11003" s="103"/>
      <c r="B11003" s="104"/>
      <c r="C11003" s="104"/>
      <c r="E11003" s="107" t="str">
        <f aca="false">IF($C11003="","",IFERROR(INDEX(المنيو!$C$2:$C$500,MATCH($C11003,المنيو!$B$2:$B$500,0)),0))</f>
        <v/>
      </c>
      <c r="F11003" s="107" t="str">
        <f aca="false">IF($C11003="","",$D11003*$E11003)</f>
        <v/>
      </c>
      <c r="G11003" s="107" t="str">
        <f aca="false">IF($C11003="","",$D11003*IFERROR(INDEX('تحليل التكلفة والسعر'!$C$2:$C$700,MATCH($C11003,'تحليل التكلفة والسعر'!$B$2:$B$700,0)),0))</f>
        <v/>
      </c>
    </row>
    <row r="11004" customFormat="false" ht="15" hidden="false" customHeight="false" outlineLevel="0" collapsed="false">
      <c r="A11004" s="103"/>
      <c r="B11004" s="104"/>
      <c r="C11004" s="104"/>
      <c r="E11004" s="107" t="str">
        <f aca="false">IF($C11004="","",IFERROR(INDEX(المنيو!$C$2:$C$500,MATCH($C11004,المنيو!$B$2:$B$500,0)),0))</f>
        <v/>
      </c>
      <c r="F11004" s="107" t="str">
        <f aca="false">IF($C11004="","",$D11004*$E11004)</f>
        <v/>
      </c>
      <c r="G11004" s="107" t="str">
        <f aca="false">IF($C11004="","",$D11004*IFERROR(INDEX('تحليل التكلفة والسعر'!$C$2:$C$700,MATCH($C11004,'تحليل التكلفة والسعر'!$B$2:$B$700,0)),0))</f>
        <v/>
      </c>
    </row>
    <row r="11005" customFormat="false" ht="15" hidden="false" customHeight="false" outlineLevel="0" collapsed="false">
      <c r="A11005" s="103"/>
      <c r="B11005" s="104"/>
      <c r="C11005" s="104"/>
      <c r="E11005" s="107" t="str">
        <f aca="false">IF($C11005="","",IFERROR(INDEX(المنيو!$C$2:$C$500,MATCH($C11005,المنيو!$B$2:$B$500,0)),0))</f>
        <v/>
      </c>
      <c r="F11005" s="107" t="str">
        <f aca="false">IF($C11005="","",$D11005*$E11005)</f>
        <v/>
      </c>
      <c r="G11005" s="107" t="str">
        <f aca="false">IF($C11005="","",$D11005*IFERROR(INDEX('تحليل التكلفة والسعر'!$C$2:$C$700,MATCH($C11005,'تحليل التكلفة والسعر'!$B$2:$B$700,0)),0))</f>
        <v/>
      </c>
    </row>
    <row r="11006" customFormat="false" ht="15" hidden="false" customHeight="false" outlineLevel="0" collapsed="false">
      <c r="A11006" s="103"/>
      <c r="B11006" s="104"/>
      <c r="C11006" s="104"/>
      <c r="E11006" s="107" t="str">
        <f aca="false">IF($C11006="","",IFERROR(INDEX(المنيو!$C$2:$C$500,MATCH($C11006,المنيو!$B$2:$B$500,0)),0))</f>
        <v/>
      </c>
      <c r="F11006" s="107" t="str">
        <f aca="false">IF($C11006="","",$D11006*$E11006)</f>
        <v/>
      </c>
      <c r="G11006" s="107" t="str">
        <f aca="false">IF($C11006="","",$D11006*IFERROR(INDEX('تحليل التكلفة والسعر'!$C$2:$C$700,MATCH($C11006,'تحليل التكلفة والسعر'!$B$2:$B$700,0)),0))</f>
        <v/>
      </c>
    </row>
    <row r="11007" customFormat="false" ht="15" hidden="false" customHeight="false" outlineLevel="0" collapsed="false">
      <c r="A11007" s="103"/>
      <c r="B11007" s="104"/>
      <c r="C11007" s="104"/>
      <c r="E11007" s="107" t="str">
        <f aca="false">IF($C11007="","",IFERROR(INDEX(المنيو!$C$2:$C$500,MATCH($C11007,المنيو!$B$2:$B$500,0)),0))</f>
        <v/>
      </c>
      <c r="F11007" s="107" t="str">
        <f aca="false">IF($C11007="","",$D11007*$E11007)</f>
        <v/>
      </c>
      <c r="G11007" s="107" t="str">
        <f aca="false">IF($C11007="","",$D11007*IFERROR(INDEX('تحليل التكلفة والسعر'!$C$2:$C$700,MATCH($C11007,'تحليل التكلفة والسعر'!$B$2:$B$700,0)),0))</f>
        <v/>
      </c>
    </row>
    <row r="11008" customFormat="false" ht="15" hidden="false" customHeight="false" outlineLevel="0" collapsed="false">
      <c r="A11008" s="103"/>
      <c r="B11008" s="104"/>
      <c r="C11008" s="104"/>
      <c r="E11008" s="107" t="str">
        <f aca="false">IF($C11008="","",IFERROR(INDEX(المنيو!$C$2:$C$500,MATCH($C11008,المنيو!$B$2:$B$500,0)),0))</f>
        <v/>
      </c>
      <c r="F11008" s="107" t="str">
        <f aca="false">IF($C11008="","",$D11008*$E11008)</f>
        <v/>
      </c>
      <c r="G11008" s="107" t="str">
        <f aca="false">IF($C11008="","",$D11008*IFERROR(INDEX('تحليل التكلفة والسعر'!$C$2:$C$700,MATCH($C11008,'تحليل التكلفة والسعر'!$B$2:$B$700,0)),0))</f>
        <v/>
      </c>
    </row>
    <row r="11009" customFormat="false" ht="15" hidden="false" customHeight="false" outlineLevel="0" collapsed="false">
      <c r="A11009" s="103"/>
      <c r="B11009" s="104"/>
      <c r="C11009" s="104"/>
      <c r="E11009" s="107" t="str">
        <f aca="false">IF($C11009="","",IFERROR(INDEX(المنيو!$C$2:$C$500,MATCH($C11009,المنيو!$B$2:$B$500,0)),0))</f>
        <v/>
      </c>
      <c r="F11009" s="107" t="str">
        <f aca="false">IF($C11009="","",$D11009*$E11009)</f>
        <v/>
      </c>
      <c r="G11009" s="107" t="str">
        <f aca="false">IF($C11009="","",$D11009*IFERROR(INDEX('تحليل التكلفة والسعر'!$C$2:$C$700,MATCH($C11009,'تحليل التكلفة والسعر'!$B$2:$B$700,0)),0))</f>
        <v/>
      </c>
    </row>
    <row r="11010" customFormat="false" ht="15" hidden="false" customHeight="false" outlineLevel="0" collapsed="false">
      <c r="A11010" s="103"/>
      <c r="B11010" s="104"/>
      <c r="C11010" s="104"/>
      <c r="E11010" s="107" t="str">
        <f aca="false">IF($C11010="","",IFERROR(INDEX(المنيو!$C$2:$C$500,MATCH($C11010,المنيو!$B$2:$B$500,0)),0))</f>
        <v/>
      </c>
      <c r="F11010" s="107" t="str">
        <f aca="false">IF($C11010="","",$D11010*$E11010)</f>
        <v/>
      </c>
      <c r="G11010" s="107" t="str">
        <f aca="false">IF($C11010="","",$D11010*IFERROR(INDEX('تحليل التكلفة والسعر'!$C$2:$C$700,MATCH($C11010,'تحليل التكلفة والسعر'!$B$2:$B$700,0)),0))</f>
        <v/>
      </c>
    </row>
    <row r="11011" customFormat="false" ht="15" hidden="false" customHeight="false" outlineLevel="0" collapsed="false">
      <c r="A11011" s="103"/>
      <c r="B11011" s="104"/>
      <c r="C11011" s="104"/>
      <c r="E11011" s="107" t="str">
        <f aca="false">IF($C11011="","",IFERROR(INDEX(المنيو!$C$2:$C$500,MATCH($C11011,المنيو!$B$2:$B$500,0)),0))</f>
        <v/>
      </c>
      <c r="F11011" s="107" t="str">
        <f aca="false">IF($C11011="","",$D11011*$E11011)</f>
        <v/>
      </c>
      <c r="G11011" s="107" t="str">
        <f aca="false">IF($C11011="","",$D11011*IFERROR(INDEX('تحليل التكلفة والسعر'!$C$2:$C$700,MATCH($C11011,'تحليل التكلفة والسعر'!$B$2:$B$700,0)),0))</f>
        <v/>
      </c>
    </row>
    <row r="11012" customFormat="false" ht="15" hidden="false" customHeight="false" outlineLevel="0" collapsed="false">
      <c r="A11012" s="103"/>
      <c r="B11012" s="104"/>
      <c r="C11012" s="104"/>
      <c r="E11012" s="107" t="str">
        <f aca="false">IF($C11012="","",IFERROR(INDEX(المنيو!$C$2:$C$500,MATCH($C11012,المنيو!$B$2:$B$500,0)),0))</f>
        <v/>
      </c>
      <c r="F11012" s="107" t="str">
        <f aca="false">IF($C11012="","",$D11012*$E11012)</f>
        <v/>
      </c>
      <c r="G11012" s="107" t="str">
        <f aca="false">IF($C11012="","",$D11012*IFERROR(INDEX('تحليل التكلفة والسعر'!$C$2:$C$700,MATCH($C11012,'تحليل التكلفة والسعر'!$B$2:$B$700,0)),0))</f>
        <v/>
      </c>
    </row>
    <row r="11013" customFormat="false" ht="15" hidden="false" customHeight="false" outlineLevel="0" collapsed="false">
      <c r="A11013" s="103"/>
      <c r="B11013" s="104"/>
      <c r="C11013" s="104"/>
      <c r="E11013" s="107" t="str">
        <f aca="false">IF($C11013="","",IFERROR(INDEX(المنيو!$C$2:$C$500,MATCH($C11013,المنيو!$B$2:$B$500,0)),0))</f>
        <v/>
      </c>
      <c r="F11013" s="107" t="str">
        <f aca="false">IF($C11013="","",$D11013*$E11013)</f>
        <v/>
      </c>
      <c r="G11013" s="107" t="str">
        <f aca="false">IF($C11013="","",$D11013*IFERROR(INDEX('تحليل التكلفة والسعر'!$C$2:$C$700,MATCH($C11013,'تحليل التكلفة والسعر'!$B$2:$B$700,0)),0))</f>
        <v/>
      </c>
    </row>
    <row r="11014" customFormat="false" ht="15" hidden="false" customHeight="false" outlineLevel="0" collapsed="false">
      <c r="A11014" s="103"/>
      <c r="B11014" s="104"/>
      <c r="C11014" s="104"/>
      <c r="E11014" s="107" t="str">
        <f aca="false">IF($C11014="","",IFERROR(INDEX(المنيو!$C$2:$C$500,MATCH($C11014,المنيو!$B$2:$B$500,0)),0))</f>
        <v/>
      </c>
      <c r="F11014" s="107" t="str">
        <f aca="false">IF($C11014="","",$D11014*$E11014)</f>
        <v/>
      </c>
      <c r="G11014" s="107" t="str">
        <f aca="false">IF($C11014="","",$D11014*IFERROR(INDEX('تحليل التكلفة والسعر'!$C$2:$C$700,MATCH($C11014,'تحليل التكلفة والسعر'!$B$2:$B$700,0)),0))</f>
        <v/>
      </c>
    </row>
    <row r="11015" customFormat="false" ht="15" hidden="false" customHeight="false" outlineLevel="0" collapsed="false">
      <c r="A11015" s="103"/>
      <c r="B11015" s="104"/>
      <c r="C11015" s="104"/>
      <c r="E11015" s="107" t="str">
        <f aca="false">IF($C11015="","",IFERROR(INDEX(المنيو!$C$2:$C$500,MATCH($C11015,المنيو!$B$2:$B$500,0)),0))</f>
        <v/>
      </c>
      <c r="F11015" s="107" t="str">
        <f aca="false">IF($C11015="","",$D11015*$E11015)</f>
        <v/>
      </c>
      <c r="G11015" s="107" t="str">
        <f aca="false">IF($C11015="","",$D11015*IFERROR(INDEX('تحليل التكلفة والسعر'!$C$2:$C$700,MATCH($C11015,'تحليل التكلفة والسعر'!$B$2:$B$700,0)),0))</f>
        <v/>
      </c>
    </row>
    <row r="11016" customFormat="false" ht="15" hidden="false" customHeight="false" outlineLevel="0" collapsed="false">
      <c r="A11016" s="103"/>
      <c r="B11016" s="104"/>
      <c r="C11016" s="104"/>
      <c r="E11016" s="107" t="str">
        <f aca="false">IF($C11016="","",IFERROR(INDEX(المنيو!$C$2:$C$500,MATCH($C11016,المنيو!$B$2:$B$500,0)),0))</f>
        <v/>
      </c>
      <c r="F11016" s="107" t="str">
        <f aca="false">IF($C11016="","",$D11016*$E11016)</f>
        <v/>
      </c>
      <c r="G11016" s="107" t="str">
        <f aca="false">IF($C11016="","",$D11016*IFERROR(INDEX('تحليل التكلفة والسعر'!$C$2:$C$700,MATCH($C11016,'تحليل التكلفة والسعر'!$B$2:$B$700,0)),0))</f>
        <v/>
      </c>
    </row>
    <row r="11017" customFormat="false" ht="15" hidden="false" customHeight="false" outlineLevel="0" collapsed="false">
      <c r="A11017" s="103"/>
      <c r="B11017" s="104"/>
      <c r="C11017" s="104"/>
      <c r="E11017" s="107" t="str">
        <f aca="false">IF($C11017="","",IFERROR(INDEX(المنيو!$C$2:$C$500,MATCH($C11017,المنيو!$B$2:$B$500,0)),0))</f>
        <v/>
      </c>
      <c r="F11017" s="107" t="str">
        <f aca="false">IF($C11017="","",$D11017*$E11017)</f>
        <v/>
      </c>
      <c r="G11017" s="107" t="str">
        <f aca="false">IF($C11017="","",$D11017*IFERROR(INDEX('تحليل التكلفة والسعر'!$C$2:$C$700,MATCH($C11017,'تحليل التكلفة والسعر'!$B$2:$B$700,0)),0))</f>
        <v/>
      </c>
    </row>
    <row r="11018" customFormat="false" ht="15" hidden="false" customHeight="false" outlineLevel="0" collapsed="false">
      <c r="A11018" s="103"/>
      <c r="B11018" s="104"/>
      <c r="C11018" s="104"/>
      <c r="E11018" s="107" t="str">
        <f aca="false">IF($C11018="","",IFERROR(INDEX(المنيو!$C$2:$C$500,MATCH($C11018,المنيو!$B$2:$B$500,0)),0))</f>
        <v/>
      </c>
      <c r="F11018" s="107" t="str">
        <f aca="false">IF($C11018="","",$D11018*$E11018)</f>
        <v/>
      </c>
      <c r="G11018" s="107" t="str">
        <f aca="false">IF($C11018="","",$D11018*IFERROR(INDEX('تحليل التكلفة والسعر'!$C$2:$C$700,MATCH($C11018,'تحليل التكلفة والسعر'!$B$2:$B$700,0)),0))</f>
        <v/>
      </c>
    </row>
    <row r="11019" customFormat="false" ht="15" hidden="false" customHeight="false" outlineLevel="0" collapsed="false">
      <c r="A11019" s="103"/>
      <c r="B11019" s="104"/>
      <c r="C11019" s="104"/>
      <c r="E11019" s="107" t="str">
        <f aca="false">IF($C11019="","",IFERROR(INDEX(المنيو!$C$2:$C$500,MATCH($C11019,المنيو!$B$2:$B$500,0)),0))</f>
        <v/>
      </c>
      <c r="F11019" s="107" t="str">
        <f aca="false">IF($C11019="","",$D11019*$E11019)</f>
        <v/>
      </c>
      <c r="G11019" s="107" t="str">
        <f aca="false">IF($C11019="","",$D11019*IFERROR(INDEX('تحليل التكلفة والسعر'!$C$2:$C$700,MATCH($C11019,'تحليل التكلفة والسعر'!$B$2:$B$700,0)),0))</f>
        <v/>
      </c>
    </row>
    <row r="11020" customFormat="false" ht="15" hidden="false" customHeight="false" outlineLevel="0" collapsed="false">
      <c r="A11020" s="103"/>
      <c r="B11020" s="104"/>
      <c r="C11020" s="104"/>
      <c r="E11020" s="107" t="str">
        <f aca="false">IF($C11020="","",IFERROR(INDEX(المنيو!$C$2:$C$500,MATCH($C11020,المنيو!$B$2:$B$500,0)),0))</f>
        <v/>
      </c>
      <c r="F11020" s="107" t="str">
        <f aca="false">IF($C11020="","",$D11020*$E11020)</f>
        <v/>
      </c>
      <c r="G11020" s="107" t="str">
        <f aca="false">IF($C11020="","",$D11020*IFERROR(INDEX('تحليل التكلفة والسعر'!$C$2:$C$700,MATCH($C11020,'تحليل التكلفة والسعر'!$B$2:$B$700,0)),0))</f>
        <v/>
      </c>
    </row>
    <row r="11021" customFormat="false" ht="15" hidden="false" customHeight="false" outlineLevel="0" collapsed="false">
      <c r="A11021" s="103"/>
      <c r="B11021" s="104"/>
      <c r="C11021" s="104"/>
      <c r="E11021" s="107" t="str">
        <f aca="false">IF($C11021="","",IFERROR(INDEX(المنيو!$C$2:$C$500,MATCH($C11021,المنيو!$B$2:$B$500,0)),0))</f>
        <v/>
      </c>
      <c r="F11021" s="107" t="str">
        <f aca="false">IF($C11021="","",$D11021*$E11021)</f>
        <v/>
      </c>
      <c r="G11021" s="107" t="str">
        <f aca="false">IF($C11021="","",$D11021*IFERROR(INDEX('تحليل التكلفة والسعر'!$C$2:$C$700,MATCH($C11021,'تحليل التكلفة والسعر'!$B$2:$B$700,0)),0))</f>
        <v/>
      </c>
    </row>
    <row r="11022" customFormat="false" ht="15" hidden="false" customHeight="false" outlineLevel="0" collapsed="false">
      <c r="A11022" s="103"/>
      <c r="B11022" s="104"/>
      <c r="C11022" s="104"/>
      <c r="E11022" s="107" t="str">
        <f aca="false">IF($C11022="","",IFERROR(INDEX(المنيو!$C$2:$C$500,MATCH($C11022,المنيو!$B$2:$B$500,0)),0))</f>
        <v/>
      </c>
      <c r="F11022" s="107" t="str">
        <f aca="false">IF($C11022="","",$D11022*$E11022)</f>
        <v/>
      </c>
      <c r="G11022" s="107" t="str">
        <f aca="false">IF($C11022="","",$D11022*IFERROR(INDEX('تحليل التكلفة والسعر'!$C$2:$C$700,MATCH($C11022,'تحليل التكلفة والسعر'!$B$2:$B$700,0)),0))</f>
        <v/>
      </c>
    </row>
    <row r="11023" customFormat="false" ht="15" hidden="false" customHeight="false" outlineLevel="0" collapsed="false">
      <c r="A11023" s="103"/>
      <c r="B11023" s="104"/>
      <c r="C11023" s="104"/>
      <c r="E11023" s="107" t="str">
        <f aca="false">IF($C11023="","",IFERROR(INDEX(المنيو!$C$2:$C$500,MATCH($C11023,المنيو!$B$2:$B$500,0)),0))</f>
        <v/>
      </c>
      <c r="F11023" s="107" t="str">
        <f aca="false">IF($C11023="","",$D11023*$E11023)</f>
        <v/>
      </c>
      <c r="G11023" s="107" t="str">
        <f aca="false">IF($C11023="","",$D11023*IFERROR(INDEX('تحليل التكلفة والسعر'!$C$2:$C$700,MATCH($C11023,'تحليل التكلفة والسعر'!$B$2:$B$700,0)),0))</f>
        <v/>
      </c>
    </row>
    <row r="11024" customFormat="false" ht="15" hidden="false" customHeight="false" outlineLevel="0" collapsed="false">
      <c r="A11024" s="103"/>
      <c r="B11024" s="104"/>
      <c r="C11024" s="104"/>
      <c r="E11024" s="107" t="str">
        <f aca="false">IF($C11024="","",IFERROR(INDEX(المنيو!$C$2:$C$500,MATCH($C11024,المنيو!$B$2:$B$500,0)),0))</f>
        <v/>
      </c>
      <c r="F11024" s="107" t="str">
        <f aca="false">IF($C11024="","",$D11024*$E11024)</f>
        <v/>
      </c>
      <c r="G11024" s="107" t="str">
        <f aca="false">IF($C11024="","",$D11024*IFERROR(INDEX('تحليل التكلفة والسعر'!$C$2:$C$700,MATCH($C11024,'تحليل التكلفة والسعر'!$B$2:$B$700,0)),0))</f>
        <v/>
      </c>
    </row>
    <row r="11025" customFormat="false" ht="15" hidden="false" customHeight="false" outlineLevel="0" collapsed="false">
      <c r="A11025" s="103"/>
      <c r="B11025" s="104"/>
      <c r="C11025" s="104"/>
      <c r="E11025" s="107" t="str">
        <f aca="false">IF($C11025="","",IFERROR(INDEX(المنيو!$C$2:$C$500,MATCH($C11025,المنيو!$B$2:$B$500,0)),0))</f>
        <v/>
      </c>
      <c r="F11025" s="107" t="str">
        <f aca="false">IF($C11025="","",$D11025*$E11025)</f>
        <v/>
      </c>
      <c r="G11025" s="107" t="str">
        <f aca="false">IF($C11025="","",$D11025*IFERROR(INDEX('تحليل التكلفة والسعر'!$C$2:$C$700,MATCH($C11025,'تحليل التكلفة والسعر'!$B$2:$B$700,0)),0))</f>
        <v/>
      </c>
    </row>
    <row r="11026" customFormat="false" ht="15" hidden="false" customHeight="false" outlineLevel="0" collapsed="false">
      <c r="A11026" s="103"/>
      <c r="B11026" s="104"/>
      <c r="C11026" s="104"/>
      <c r="E11026" s="107" t="str">
        <f aca="false">IF($C11026="","",IFERROR(INDEX(المنيو!$C$2:$C$500,MATCH($C11026,المنيو!$B$2:$B$500,0)),0))</f>
        <v/>
      </c>
      <c r="F11026" s="107" t="str">
        <f aca="false">IF($C11026="","",$D11026*$E11026)</f>
        <v/>
      </c>
      <c r="G11026" s="107" t="str">
        <f aca="false">IF($C11026="","",$D11026*IFERROR(INDEX('تحليل التكلفة والسعر'!$C$2:$C$700,MATCH($C11026,'تحليل التكلفة والسعر'!$B$2:$B$700,0)),0))</f>
        <v/>
      </c>
    </row>
    <row r="11027" customFormat="false" ht="15" hidden="false" customHeight="false" outlineLevel="0" collapsed="false">
      <c r="A11027" s="103"/>
      <c r="B11027" s="104"/>
      <c r="C11027" s="104"/>
      <c r="E11027" s="107" t="str">
        <f aca="false">IF($C11027="","",IFERROR(INDEX(المنيو!$C$2:$C$500,MATCH($C11027,المنيو!$B$2:$B$500,0)),0))</f>
        <v/>
      </c>
      <c r="F11027" s="107" t="str">
        <f aca="false">IF($C11027="","",$D11027*$E11027)</f>
        <v/>
      </c>
      <c r="G11027" s="107" t="str">
        <f aca="false">IF($C11027="","",$D11027*IFERROR(INDEX('تحليل التكلفة والسعر'!$C$2:$C$700,MATCH($C11027,'تحليل التكلفة والسعر'!$B$2:$B$700,0)),0))</f>
        <v/>
      </c>
    </row>
    <row r="11028" customFormat="false" ht="15" hidden="false" customHeight="false" outlineLevel="0" collapsed="false">
      <c r="A11028" s="103"/>
      <c r="B11028" s="104"/>
      <c r="C11028" s="104"/>
      <c r="E11028" s="107" t="str">
        <f aca="false">IF($C11028="","",IFERROR(INDEX(المنيو!$C$2:$C$500,MATCH($C11028,المنيو!$B$2:$B$500,0)),0))</f>
        <v/>
      </c>
      <c r="F11028" s="107" t="str">
        <f aca="false">IF($C11028="","",$D11028*$E11028)</f>
        <v/>
      </c>
      <c r="G11028" s="107" t="str">
        <f aca="false">IF($C11028="","",$D11028*IFERROR(INDEX('تحليل التكلفة والسعر'!$C$2:$C$700,MATCH($C11028,'تحليل التكلفة والسعر'!$B$2:$B$700,0)),0))</f>
        <v/>
      </c>
    </row>
    <row r="11029" customFormat="false" ht="15" hidden="false" customHeight="false" outlineLevel="0" collapsed="false">
      <c r="A11029" s="103"/>
      <c r="B11029" s="104"/>
      <c r="C11029" s="104"/>
      <c r="E11029" s="107" t="str">
        <f aca="false">IF($C11029="","",IFERROR(INDEX(المنيو!$C$2:$C$500,MATCH($C11029,المنيو!$B$2:$B$500,0)),0))</f>
        <v/>
      </c>
      <c r="F11029" s="107" t="str">
        <f aca="false">IF($C11029="","",$D11029*$E11029)</f>
        <v/>
      </c>
      <c r="G11029" s="107" t="str">
        <f aca="false">IF($C11029="","",$D11029*IFERROR(INDEX('تحليل التكلفة والسعر'!$C$2:$C$700,MATCH($C11029,'تحليل التكلفة والسعر'!$B$2:$B$700,0)),0))</f>
        <v/>
      </c>
    </row>
    <row r="11030" customFormat="false" ht="15" hidden="false" customHeight="false" outlineLevel="0" collapsed="false">
      <c r="A11030" s="103"/>
      <c r="B11030" s="104"/>
      <c r="C11030" s="104"/>
      <c r="E11030" s="107" t="str">
        <f aca="false">IF($C11030="","",IFERROR(INDEX(المنيو!$C$2:$C$500,MATCH($C11030,المنيو!$B$2:$B$500,0)),0))</f>
        <v/>
      </c>
      <c r="F11030" s="107" t="str">
        <f aca="false">IF($C11030="","",$D11030*$E11030)</f>
        <v/>
      </c>
      <c r="G11030" s="107" t="str">
        <f aca="false">IF($C11030="","",$D11030*IFERROR(INDEX('تحليل التكلفة والسعر'!$C$2:$C$700,MATCH($C11030,'تحليل التكلفة والسعر'!$B$2:$B$700,0)),0))</f>
        <v/>
      </c>
    </row>
    <row r="11031" customFormat="false" ht="15" hidden="false" customHeight="false" outlineLevel="0" collapsed="false">
      <c r="A11031" s="103"/>
      <c r="B11031" s="104"/>
      <c r="C11031" s="104"/>
      <c r="E11031" s="107" t="str">
        <f aca="false">IF($C11031="","",IFERROR(INDEX(المنيو!$C$2:$C$500,MATCH($C11031,المنيو!$B$2:$B$500,0)),0))</f>
        <v/>
      </c>
      <c r="F11031" s="107" t="str">
        <f aca="false">IF($C11031="","",$D11031*$E11031)</f>
        <v/>
      </c>
      <c r="G11031" s="107" t="str">
        <f aca="false">IF($C11031="","",$D11031*IFERROR(INDEX('تحليل التكلفة والسعر'!$C$2:$C$700,MATCH($C11031,'تحليل التكلفة والسعر'!$B$2:$B$700,0)),0))</f>
        <v/>
      </c>
    </row>
    <row r="11032" customFormat="false" ht="15" hidden="false" customHeight="false" outlineLevel="0" collapsed="false">
      <c r="A11032" s="103"/>
      <c r="B11032" s="104"/>
      <c r="C11032" s="104"/>
      <c r="E11032" s="107" t="str">
        <f aca="false">IF($C11032="","",IFERROR(INDEX(المنيو!$C$2:$C$500,MATCH($C11032,المنيو!$B$2:$B$500,0)),0))</f>
        <v/>
      </c>
      <c r="F11032" s="107" t="str">
        <f aca="false">IF($C11032="","",$D11032*$E11032)</f>
        <v/>
      </c>
      <c r="G11032" s="107" t="str">
        <f aca="false">IF($C11032="","",$D11032*IFERROR(INDEX('تحليل التكلفة والسعر'!$C$2:$C$700,MATCH($C11032,'تحليل التكلفة والسعر'!$B$2:$B$700,0)),0))</f>
        <v/>
      </c>
    </row>
    <row r="11033" customFormat="false" ht="15" hidden="false" customHeight="false" outlineLevel="0" collapsed="false">
      <c r="A11033" s="103"/>
      <c r="B11033" s="104"/>
      <c r="C11033" s="104"/>
      <c r="E11033" s="107" t="str">
        <f aca="false">IF($C11033="","",IFERROR(INDEX(المنيو!$C$2:$C$500,MATCH($C11033,المنيو!$B$2:$B$500,0)),0))</f>
        <v/>
      </c>
      <c r="F11033" s="107" t="str">
        <f aca="false">IF($C11033="","",$D11033*$E11033)</f>
        <v/>
      </c>
      <c r="G11033" s="107" t="str">
        <f aca="false">IF($C11033="","",$D11033*IFERROR(INDEX('تحليل التكلفة والسعر'!$C$2:$C$700,MATCH($C11033,'تحليل التكلفة والسعر'!$B$2:$B$700,0)),0))</f>
        <v/>
      </c>
    </row>
    <row r="11034" customFormat="false" ht="15" hidden="false" customHeight="false" outlineLevel="0" collapsed="false">
      <c r="A11034" s="103"/>
      <c r="B11034" s="104"/>
      <c r="C11034" s="104"/>
      <c r="E11034" s="107" t="str">
        <f aca="false">IF($C11034="","",IFERROR(INDEX(المنيو!$C$2:$C$500,MATCH($C11034,المنيو!$B$2:$B$500,0)),0))</f>
        <v/>
      </c>
      <c r="F11034" s="107" t="str">
        <f aca="false">IF($C11034="","",$D11034*$E11034)</f>
        <v/>
      </c>
      <c r="G11034" s="107" t="str">
        <f aca="false">IF($C11034="","",$D11034*IFERROR(INDEX('تحليل التكلفة والسعر'!$C$2:$C$700,MATCH($C11034,'تحليل التكلفة والسعر'!$B$2:$B$700,0)),0))</f>
        <v/>
      </c>
    </row>
    <row r="11035" customFormat="false" ht="15" hidden="false" customHeight="false" outlineLevel="0" collapsed="false">
      <c r="A11035" s="103"/>
      <c r="B11035" s="104"/>
      <c r="C11035" s="104"/>
      <c r="E11035" s="107" t="str">
        <f aca="false">IF($C11035="","",IFERROR(INDEX(المنيو!$C$2:$C$500,MATCH($C11035,المنيو!$B$2:$B$500,0)),0))</f>
        <v/>
      </c>
      <c r="F11035" s="107" t="str">
        <f aca="false">IF($C11035="","",$D11035*$E11035)</f>
        <v/>
      </c>
      <c r="G11035" s="107" t="str">
        <f aca="false">IF($C11035="","",$D11035*IFERROR(INDEX('تحليل التكلفة والسعر'!$C$2:$C$700,MATCH($C11035,'تحليل التكلفة والسعر'!$B$2:$B$700,0)),0))</f>
        <v/>
      </c>
    </row>
    <row r="11036" customFormat="false" ht="15" hidden="false" customHeight="false" outlineLevel="0" collapsed="false">
      <c r="A11036" s="103"/>
      <c r="B11036" s="104"/>
      <c r="C11036" s="104"/>
      <c r="E11036" s="107" t="str">
        <f aca="false">IF($C11036="","",IFERROR(INDEX(المنيو!$C$2:$C$500,MATCH($C11036,المنيو!$B$2:$B$500,0)),0))</f>
        <v/>
      </c>
      <c r="F11036" s="107" t="str">
        <f aca="false">IF($C11036="","",$D11036*$E11036)</f>
        <v/>
      </c>
      <c r="G11036" s="107" t="str">
        <f aca="false">IF($C11036="","",$D11036*IFERROR(INDEX('تحليل التكلفة والسعر'!$C$2:$C$700,MATCH($C11036,'تحليل التكلفة والسعر'!$B$2:$B$700,0)),0))</f>
        <v/>
      </c>
    </row>
    <row r="11037" customFormat="false" ht="15" hidden="false" customHeight="false" outlineLevel="0" collapsed="false">
      <c r="A11037" s="103"/>
      <c r="B11037" s="104"/>
      <c r="C11037" s="104"/>
      <c r="E11037" s="107" t="str">
        <f aca="false">IF($C11037="","",IFERROR(INDEX(المنيو!$C$2:$C$500,MATCH($C11037,المنيو!$B$2:$B$500,0)),0))</f>
        <v/>
      </c>
      <c r="F11037" s="107" t="str">
        <f aca="false">IF($C11037="","",$D11037*$E11037)</f>
        <v/>
      </c>
      <c r="G11037" s="107" t="str">
        <f aca="false">IF($C11037="","",$D11037*IFERROR(INDEX('تحليل التكلفة والسعر'!$C$2:$C$700,MATCH($C11037,'تحليل التكلفة والسعر'!$B$2:$B$700,0)),0))</f>
        <v/>
      </c>
    </row>
    <row r="11038" customFormat="false" ht="15" hidden="false" customHeight="false" outlineLevel="0" collapsed="false">
      <c r="A11038" s="103"/>
      <c r="B11038" s="104"/>
      <c r="C11038" s="104"/>
      <c r="E11038" s="107" t="str">
        <f aca="false">IF($C11038="","",IFERROR(INDEX(المنيو!$C$2:$C$500,MATCH($C11038,المنيو!$B$2:$B$500,0)),0))</f>
        <v/>
      </c>
      <c r="F11038" s="107" t="str">
        <f aca="false">IF($C11038="","",$D11038*$E11038)</f>
        <v/>
      </c>
      <c r="G11038" s="107" t="str">
        <f aca="false">IF($C11038="","",$D11038*IFERROR(INDEX('تحليل التكلفة والسعر'!$C$2:$C$700,MATCH($C11038,'تحليل التكلفة والسعر'!$B$2:$B$700,0)),0))</f>
        <v/>
      </c>
    </row>
    <row r="11039" customFormat="false" ht="15" hidden="false" customHeight="false" outlineLevel="0" collapsed="false">
      <c r="A11039" s="103"/>
      <c r="B11039" s="104"/>
      <c r="C11039" s="104"/>
      <c r="E11039" s="107" t="str">
        <f aca="false">IF($C11039="","",IFERROR(INDEX(المنيو!$C$2:$C$500,MATCH($C11039,المنيو!$B$2:$B$500,0)),0))</f>
        <v/>
      </c>
      <c r="F11039" s="107" t="str">
        <f aca="false">IF($C11039="","",$D11039*$E11039)</f>
        <v/>
      </c>
      <c r="G11039" s="107" t="str">
        <f aca="false">IF($C11039="","",$D11039*IFERROR(INDEX('تحليل التكلفة والسعر'!$C$2:$C$700,MATCH($C11039,'تحليل التكلفة والسعر'!$B$2:$B$700,0)),0))</f>
        <v/>
      </c>
    </row>
    <row r="11040" customFormat="false" ht="15" hidden="false" customHeight="false" outlineLevel="0" collapsed="false">
      <c r="A11040" s="103"/>
      <c r="B11040" s="104"/>
      <c r="C11040" s="104"/>
      <c r="E11040" s="107" t="str">
        <f aca="false">IF($C11040="","",IFERROR(INDEX(المنيو!$C$2:$C$500,MATCH($C11040,المنيو!$B$2:$B$500,0)),0))</f>
        <v/>
      </c>
      <c r="F11040" s="107" t="str">
        <f aca="false">IF($C11040="","",$D11040*$E11040)</f>
        <v/>
      </c>
      <c r="G11040" s="107" t="str">
        <f aca="false">IF($C11040="","",$D11040*IFERROR(INDEX('تحليل التكلفة والسعر'!$C$2:$C$700,MATCH($C11040,'تحليل التكلفة والسعر'!$B$2:$B$700,0)),0))</f>
        <v/>
      </c>
    </row>
    <row r="11041" customFormat="false" ht="15" hidden="false" customHeight="false" outlineLevel="0" collapsed="false">
      <c r="A11041" s="103"/>
      <c r="B11041" s="104"/>
      <c r="C11041" s="104"/>
      <c r="E11041" s="107" t="str">
        <f aca="false">IF($C11041="","",IFERROR(INDEX(المنيو!$C$2:$C$500,MATCH($C11041,المنيو!$B$2:$B$500,0)),0))</f>
        <v/>
      </c>
      <c r="F11041" s="107" t="str">
        <f aca="false">IF($C11041="","",$D11041*$E11041)</f>
        <v/>
      </c>
      <c r="G11041" s="107" t="str">
        <f aca="false">IF($C11041="","",$D11041*IFERROR(INDEX('تحليل التكلفة والسعر'!$C$2:$C$700,MATCH($C11041,'تحليل التكلفة والسعر'!$B$2:$B$700,0)),0))</f>
        <v/>
      </c>
    </row>
    <row r="11042" customFormat="false" ht="15" hidden="false" customHeight="false" outlineLevel="0" collapsed="false">
      <c r="A11042" s="103"/>
      <c r="B11042" s="104"/>
      <c r="C11042" s="104"/>
      <c r="E11042" s="107" t="str">
        <f aca="false">IF($C11042="","",IFERROR(INDEX(المنيو!$C$2:$C$500,MATCH($C11042,المنيو!$B$2:$B$500,0)),0))</f>
        <v/>
      </c>
      <c r="F11042" s="107" t="str">
        <f aca="false">IF($C11042="","",$D11042*$E11042)</f>
        <v/>
      </c>
      <c r="G11042" s="107" t="str">
        <f aca="false">IF($C11042="","",$D11042*IFERROR(INDEX('تحليل التكلفة والسعر'!$C$2:$C$700,MATCH($C11042,'تحليل التكلفة والسعر'!$B$2:$B$700,0)),0))</f>
        <v/>
      </c>
    </row>
    <row r="11043" customFormat="false" ht="15" hidden="false" customHeight="false" outlineLevel="0" collapsed="false">
      <c r="A11043" s="103"/>
      <c r="B11043" s="104"/>
      <c r="C11043" s="104"/>
      <c r="E11043" s="107" t="str">
        <f aca="false">IF($C11043="","",IFERROR(INDEX(المنيو!$C$2:$C$500,MATCH($C11043,المنيو!$B$2:$B$500,0)),0))</f>
        <v/>
      </c>
      <c r="F11043" s="107" t="str">
        <f aca="false">IF($C11043="","",$D11043*$E11043)</f>
        <v/>
      </c>
      <c r="G11043" s="107" t="str">
        <f aca="false">IF($C11043="","",$D11043*IFERROR(INDEX('تحليل التكلفة والسعر'!$C$2:$C$700,MATCH($C11043,'تحليل التكلفة والسعر'!$B$2:$B$700,0)),0))</f>
        <v/>
      </c>
    </row>
    <row r="11044" customFormat="false" ht="15" hidden="false" customHeight="false" outlineLevel="0" collapsed="false">
      <c r="A11044" s="103"/>
      <c r="B11044" s="104"/>
      <c r="C11044" s="104"/>
      <c r="E11044" s="107" t="str">
        <f aca="false">IF($C11044="","",IFERROR(INDEX(المنيو!$C$2:$C$500,MATCH($C11044,المنيو!$B$2:$B$500,0)),0))</f>
        <v/>
      </c>
      <c r="F11044" s="107" t="str">
        <f aca="false">IF($C11044="","",$D11044*$E11044)</f>
        <v/>
      </c>
      <c r="G11044" s="107" t="str">
        <f aca="false">IF($C11044="","",$D11044*IFERROR(INDEX('تحليل التكلفة والسعر'!$C$2:$C$700,MATCH($C11044,'تحليل التكلفة والسعر'!$B$2:$B$700,0)),0))</f>
        <v/>
      </c>
    </row>
    <row r="11045" customFormat="false" ht="15" hidden="false" customHeight="false" outlineLevel="0" collapsed="false">
      <c r="A11045" s="103"/>
      <c r="B11045" s="104"/>
      <c r="C11045" s="104"/>
      <c r="E11045" s="107" t="str">
        <f aca="false">IF($C11045="","",IFERROR(INDEX(المنيو!$C$2:$C$500,MATCH($C11045,المنيو!$B$2:$B$500,0)),0))</f>
        <v/>
      </c>
      <c r="F11045" s="107" t="str">
        <f aca="false">IF($C11045="","",$D11045*$E11045)</f>
        <v/>
      </c>
      <c r="G11045" s="107" t="str">
        <f aca="false">IF($C11045="","",$D11045*IFERROR(INDEX('تحليل التكلفة والسعر'!$C$2:$C$700,MATCH($C11045,'تحليل التكلفة والسعر'!$B$2:$B$700,0)),0))</f>
        <v/>
      </c>
    </row>
    <row r="11046" customFormat="false" ht="15" hidden="false" customHeight="false" outlineLevel="0" collapsed="false">
      <c r="A11046" s="103"/>
      <c r="B11046" s="104"/>
      <c r="C11046" s="104"/>
      <c r="E11046" s="107" t="str">
        <f aca="false">IF($C11046="","",IFERROR(INDEX(المنيو!$C$2:$C$500,MATCH($C11046,المنيو!$B$2:$B$500,0)),0))</f>
        <v/>
      </c>
      <c r="F11046" s="107" t="str">
        <f aca="false">IF($C11046="","",$D11046*$E11046)</f>
        <v/>
      </c>
      <c r="G11046" s="107" t="str">
        <f aca="false">IF($C11046="","",$D11046*IFERROR(INDEX('تحليل التكلفة والسعر'!$C$2:$C$700,MATCH($C11046,'تحليل التكلفة والسعر'!$B$2:$B$700,0)),0))</f>
        <v/>
      </c>
    </row>
    <row r="11047" customFormat="false" ht="15" hidden="false" customHeight="false" outlineLevel="0" collapsed="false">
      <c r="A11047" s="103"/>
      <c r="B11047" s="104"/>
      <c r="C11047" s="104"/>
      <c r="E11047" s="107" t="str">
        <f aca="false">IF($C11047="","",IFERROR(INDEX(المنيو!$C$2:$C$500,MATCH($C11047,المنيو!$B$2:$B$500,0)),0))</f>
        <v/>
      </c>
      <c r="F11047" s="107" t="str">
        <f aca="false">IF($C11047="","",$D11047*$E11047)</f>
        <v/>
      </c>
      <c r="G11047" s="107" t="str">
        <f aca="false">IF($C11047="","",$D11047*IFERROR(INDEX('تحليل التكلفة والسعر'!$C$2:$C$700,MATCH($C11047,'تحليل التكلفة والسعر'!$B$2:$B$700,0)),0))</f>
        <v/>
      </c>
    </row>
    <row r="11048" customFormat="false" ht="15" hidden="false" customHeight="false" outlineLevel="0" collapsed="false">
      <c r="A11048" s="103"/>
      <c r="B11048" s="104"/>
      <c r="C11048" s="104"/>
      <c r="E11048" s="107" t="str">
        <f aca="false">IF($C11048="","",IFERROR(INDEX(المنيو!$C$2:$C$500,MATCH($C11048,المنيو!$B$2:$B$500,0)),0))</f>
        <v/>
      </c>
      <c r="F11048" s="107" t="str">
        <f aca="false">IF($C11048="","",$D11048*$E11048)</f>
        <v/>
      </c>
      <c r="G11048" s="107" t="str">
        <f aca="false">IF($C11048="","",$D11048*IFERROR(INDEX('تحليل التكلفة والسعر'!$C$2:$C$700,MATCH($C11048,'تحليل التكلفة والسعر'!$B$2:$B$700,0)),0))</f>
        <v/>
      </c>
    </row>
    <row r="11049" customFormat="false" ht="15" hidden="false" customHeight="false" outlineLevel="0" collapsed="false">
      <c r="A11049" s="103"/>
      <c r="B11049" s="104"/>
      <c r="C11049" s="104"/>
      <c r="E11049" s="107" t="str">
        <f aca="false">IF($C11049="","",IFERROR(INDEX(المنيو!$C$2:$C$500,MATCH($C11049,المنيو!$B$2:$B$500,0)),0))</f>
        <v/>
      </c>
      <c r="F11049" s="107" t="str">
        <f aca="false">IF($C11049="","",$D11049*$E11049)</f>
        <v/>
      </c>
      <c r="G11049" s="107" t="str">
        <f aca="false">IF($C11049="","",$D11049*IFERROR(INDEX('تحليل التكلفة والسعر'!$C$2:$C$700,MATCH($C11049,'تحليل التكلفة والسعر'!$B$2:$B$700,0)),0))</f>
        <v/>
      </c>
    </row>
    <row r="11050" customFormat="false" ht="15" hidden="false" customHeight="false" outlineLevel="0" collapsed="false">
      <c r="A11050" s="103"/>
      <c r="B11050" s="104"/>
      <c r="C11050" s="104"/>
      <c r="E11050" s="107" t="str">
        <f aca="false">IF($C11050="","",IFERROR(INDEX(المنيو!$C$2:$C$500,MATCH($C11050,المنيو!$B$2:$B$500,0)),0))</f>
        <v/>
      </c>
      <c r="F11050" s="107" t="str">
        <f aca="false">IF($C11050="","",$D11050*$E11050)</f>
        <v/>
      </c>
      <c r="G11050" s="107" t="str">
        <f aca="false">IF($C11050="","",$D11050*IFERROR(INDEX('تحليل التكلفة والسعر'!$C$2:$C$700,MATCH($C11050,'تحليل التكلفة والسعر'!$B$2:$B$700,0)),0))</f>
        <v/>
      </c>
    </row>
    <row r="11051" customFormat="false" ht="15" hidden="false" customHeight="false" outlineLevel="0" collapsed="false">
      <c r="A11051" s="103"/>
      <c r="B11051" s="104"/>
      <c r="C11051" s="104"/>
      <c r="E11051" s="107" t="str">
        <f aca="false">IF($C11051="","",IFERROR(INDEX(المنيو!$C$2:$C$500,MATCH($C11051,المنيو!$B$2:$B$500,0)),0))</f>
        <v/>
      </c>
      <c r="F11051" s="107" t="str">
        <f aca="false">IF($C11051="","",$D11051*$E11051)</f>
        <v/>
      </c>
      <c r="G11051" s="107" t="str">
        <f aca="false">IF($C11051="","",$D11051*IFERROR(INDEX('تحليل التكلفة والسعر'!$C$2:$C$700,MATCH($C11051,'تحليل التكلفة والسعر'!$B$2:$B$700,0)),0))</f>
        <v/>
      </c>
    </row>
    <row r="11052" customFormat="false" ht="15" hidden="false" customHeight="false" outlineLevel="0" collapsed="false">
      <c r="A11052" s="103"/>
      <c r="B11052" s="104"/>
      <c r="C11052" s="104"/>
      <c r="E11052" s="107" t="str">
        <f aca="false">IF($C11052="","",IFERROR(INDEX(المنيو!$C$2:$C$500,MATCH($C11052,المنيو!$B$2:$B$500,0)),0))</f>
        <v/>
      </c>
      <c r="F11052" s="107" t="str">
        <f aca="false">IF($C11052="","",$D11052*$E11052)</f>
        <v/>
      </c>
      <c r="G11052" s="107" t="str">
        <f aca="false">IF($C11052="","",$D11052*IFERROR(INDEX('تحليل التكلفة والسعر'!$C$2:$C$700,MATCH($C11052,'تحليل التكلفة والسعر'!$B$2:$B$700,0)),0))</f>
        <v/>
      </c>
    </row>
    <row r="11053" customFormat="false" ht="15" hidden="false" customHeight="false" outlineLevel="0" collapsed="false">
      <c r="A11053" s="103"/>
      <c r="B11053" s="104"/>
      <c r="C11053" s="104"/>
      <c r="E11053" s="107" t="str">
        <f aca="false">IF($C11053="","",IFERROR(INDEX(المنيو!$C$2:$C$500,MATCH($C11053,المنيو!$B$2:$B$500,0)),0))</f>
        <v/>
      </c>
      <c r="F11053" s="107" t="str">
        <f aca="false">IF($C11053="","",$D11053*$E11053)</f>
        <v/>
      </c>
      <c r="G11053" s="107" t="str">
        <f aca="false">IF($C11053="","",$D11053*IFERROR(INDEX('تحليل التكلفة والسعر'!$C$2:$C$700,MATCH($C11053,'تحليل التكلفة والسعر'!$B$2:$B$700,0)),0))</f>
        <v/>
      </c>
    </row>
    <row r="11054" customFormat="false" ht="15" hidden="false" customHeight="false" outlineLevel="0" collapsed="false">
      <c r="A11054" s="103"/>
      <c r="B11054" s="104"/>
      <c r="C11054" s="104"/>
      <c r="E11054" s="107" t="str">
        <f aca="false">IF($C11054="","",IFERROR(INDEX(المنيو!$C$2:$C$500,MATCH($C11054,المنيو!$B$2:$B$500,0)),0))</f>
        <v/>
      </c>
      <c r="F11054" s="107" t="str">
        <f aca="false">IF($C11054="","",$D11054*$E11054)</f>
        <v/>
      </c>
      <c r="G11054" s="107" t="str">
        <f aca="false">IF($C11054="","",$D11054*IFERROR(INDEX('تحليل التكلفة والسعر'!$C$2:$C$700,MATCH($C11054,'تحليل التكلفة والسعر'!$B$2:$B$700,0)),0))</f>
        <v/>
      </c>
    </row>
    <row r="11055" customFormat="false" ht="15" hidden="false" customHeight="false" outlineLevel="0" collapsed="false">
      <c r="A11055" s="103"/>
      <c r="B11055" s="104"/>
      <c r="C11055" s="104"/>
      <c r="E11055" s="107" t="str">
        <f aca="false">IF($C11055="","",IFERROR(INDEX(المنيو!$C$2:$C$500,MATCH($C11055,المنيو!$B$2:$B$500,0)),0))</f>
        <v/>
      </c>
      <c r="F11055" s="107" t="str">
        <f aca="false">IF($C11055="","",$D11055*$E11055)</f>
        <v/>
      </c>
      <c r="G11055" s="107" t="str">
        <f aca="false">IF($C11055="","",$D11055*IFERROR(INDEX('تحليل التكلفة والسعر'!$C$2:$C$700,MATCH($C11055,'تحليل التكلفة والسعر'!$B$2:$B$700,0)),0))</f>
        <v/>
      </c>
    </row>
    <row r="11056" customFormat="false" ht="15" hidden="false" customHeight="false" outlineLevel="0" collapsed="false">
      <c r="A11056" s="103"/>
      <c r="B11056" s="104"/>
      <c r="C11056" s="104"/>
      <c r="E11056" s="107" t="str">
        <f aca="false">IF($C11056="","",IFERROR(INDEX(المنيو!$C$2:$C$500,MATCH($C11056,المنيو!$B$2:$B$500,0)),0))</f>
        <v/>
      </c>
      <c r="F11056" s="107" t="str">
        <f aca="false">IF($C11056="","",$D11056*$E11056)</f>
        <v/>
      </c>
      <c r="G11056" s="107" t="str">
        <f aca="false">IF($C11056="","",$D11056*IFERROR(INDEX('تحليل التكلفة والسعر'!$C$2:$C$700,MATCH($C11056,'تحليل التكلفة والسعر'!$B$2:$B$700,0)),0))</f>
        <v/>
      </c>
    </row>
    <row r="11057" customFormat="false" ht="15" hidden="false" customHeight="false" outlineLevel="0" collapsed="false">
      <c r="A11057" s="103"/>
      <c r="B11057" s="104"/>
      <c r="C11057" s="104"/>
      <c r="E11057" s="107" t="str">
        <f aca="false">IF($C11057="","",IFERROR(INDEX(المنيو!$C$2:$C$500,MATCH($C11057,المنيو!$B$2:$B$500,0)),0))</f>
        <v/>
      </c>
      <c r="F11057" s="107" t="str">
        <f aca="false">IF($C11057="","",$D11057*$E11057)</f>
        <v/>
      </c>
      <c r="G11057" s="107" t="str">
        <f aca="false">IF($C11057="","",$D11057*IFERROR(INDEX('تحليل التكلفة والسعر'!$C$2:$C$700,MATCH($C11057,'تحليل التكلفة والسعر'!$B$2:$B$700,0)),0))</f>
        <v/>
      </c>
    </row>
    <row r="11058" customFormat="false" ht="15" hidden="false" customHeight="false" outlineLevel="0" collapsed="false">
      <c r="A11058" s="103"/>
      <c r="B11058" s="104"/>
      <c r="C11058" s="104"/>
      <c r="E11058" s="107" t="str">
        <f aca="false">IF($C11058="","",IFERROR(INDEX(المنيو!$C$2:$C$500,MATCH($C11058,المنيو!$B$2:$B$500,0)),0))</f>
        <v/>
      </c>
      <c r="F11058" s="107" t="str">
        <f aca="false">IF($C11058="","",$D11058*$E11058)</f>
        <v/>
      </c>
      <c r="G11058" s="107" t="str">
        <f aca="false">IF($C11058="","",$D11058*IFERROR(INDEX('تحليل التكلفة والسعر'!$C$2:$C$700,MATCH($C11058,'تحليل التكلفة والسعر'!$B$2:$B$700,0)),0))</f>
        <v/>
      </c>
    </row>
    <row r="11059" customFormat="false" ht="15" hidden="false" customHeight="false" outlineLevel="0" collapsed="false">
      <c r="A11059" s="103"/>
      <c r="B11059" s="104"/>
      <c r="C11059" s="104"/>
      <c r="E11059" s="107" t="str">
        <f aca="false">IF($C11059="","",IFERROR(INDEX(المنيو!$C$2:$C$500,MATCH($C11059,المنيو!$B$2:$B$500,0)),0))</f>
        <v/>
      </c>
      <c r="F11059" s="107" t="str">
        <f aca="false">IF($C11059="","",$D11059*$E11059)</f>
        <v/>
      </c>
      <c r="G11059" s="107" t="str">
        <f aca="false">IF($C11059="","",$D11059*IFERROR(INDEX('تحليل التكلفة والسعر'!$C$2:$C$700,MATCH($C11059,'تحليل التكلفة والسعر'!$B$2:$B$700,0)),0))</f>
        <v/>
      </c>
    </row>
    <row r="11060" customFormat="false" ht="15" hidden="false" customHeight="false" outlineLevel="0" collapsed="false">
      <c r="A11060" s="103"/>
      <c r="B11060" s="104"/>
      <c r="C11060" s="104"/>
      <c r="E11060" s="107" t="str">
        <f aca="false">IF($C11060="","",IFERROR(INDEX(المنيو!$C$2:$C$500,MATCH($C11060,المنيو!$B$2:$B$500,0)),0))</f>
        <v/>
      </c>
      <c r="F11060" s="107" t="str">
        <f aca="false">IF($C11060="","",$D11060*$E11060)</f>
        <v/>
      </c>
      <c r="G11060" s="107" t="str">
        <f aca="false">IF($C11060="","",$D11060*IFERROR(INDEX('تحليل التكلفة والسعر'!$C$2:$C$700,MATCH($C11060,'تحليل التكلفة والسعر'!$B$2:$B$700,0)),0))</f>
        <v/>
      </c>
    </row>
    <row r="11061" customFormat="false" ht="15" hidden="false" customHeight="false" outlineLevel="0" collapsed="false">
      <c r="A11061" s="103"/>
      <c r="B11061" s="104"/>
      <c r="C11061" s="104"/>
      <c r="E11061" s="107" t="str">
        <f aca="false">IF($C11061="","",IFERROR(INDEX(المنيو!$C$2:$C$500,MATCH($C11061,المنيو!$B$2:$B$500,0)),0))</f>
        <v/>
      </c>
      <c r="F11061" s="107" t="str">
        <f aca="false">IF($C11061="","",$D11061*$E11061)</f>
        <v/>
      </c>
      <c r="G11061" s="107" t="str">
        <f aca="false">IF($C11061="","",$D11061*IFERROR(INDEX('تحليل التكلفة والسعر'!$C$2:$C$700,MATCH($C11061,'تحليل التكلفة والسعر'!$B$2:$B$700,0)),0))</f>
        <v/>
      </c>
    </row>
    <row r="11062" customFormat="false" ht="15" hidden="false" customHeight="false" outlineLevel="0" collapsed="false">
      <c r="A11062" s="103"/>
      <c r="B11062" s="104"/>
      <c r="C11062" s="104"/>
      <c r="E11062" s="107" t="str">
        <f aca="false">IF($C11062="","",IFERROR(INDEX(المنيو!$C$2:$C$500,MATCH($C11062,المنيو!$B$2:$B$500,0)),0))</f>
        <v/>
      </c>
      <c r="F11062" s="107" t="str">
        <f aca="false">IF($C11062="","",$D11062*$E11062)</f>
        <v/>
      </c>
      <c r="G11062" s="107" t="str">
        <f aca="false">IF($C11062="","",$D11062*IFERROR(INDEX('تحليل التكلفة والسعر'!$C$2:$C$700,MATCH($C11062,'تحليل التكلفة والسعر'!$B$2:$B$700,0)),0))</f>
        <v/>
      </c>
    </row>
    <row r="11063" customFormat="false" ht="15" hidden="false" customHeight="false" outlineLevel="0" collapsed="false">
      <c r="A11063" s="103"/>
      <c r="B11063" s="104"/>
      <c r="C11063" s="104"/>
      <c r="E11063" s="107" t="str">
        <f aca="false">IF($C11063="","",IFERROR(INDEX(المنيو!$C$2:$C$500,MATCH($C11063,المنيو!$B$2:$B$500,0)),0))</f>
        <v/>
      </c>
      <c r="F11063" s="107" t="str">
        <f aca="false">IF($C11063="","",$D11063*$E11063)</f>
        <v/>
      </c>
      <c r="G11063" s="107" t="str">
        <f aca="false">IF($C11063="","",$D11063*IFERROR(INDEX('تحليل التكلفة والسعر'!$C$2:$C$700,MATCH($C11063,'تحليل التكلفة والسعر'!$B$2:$B$700,0)),0))</f>
        <v/>
      </c>
    </row>
    <row r="11064" customFormat="false" ht="15" hidden="false" customHeight="false" outlineLevel="0" collapsed="false">
      <c r="A11064" s="103"/>
      <c r="B11064" s="104"/>
      <c r="C11064" s="104"/>
      <c r="E11064" s="107" t="str">
        <f aca="false">IF($C11064="","",IFERROR(INDEX(المنيو!$C$2:$C$500,MATCH($C11064,المنيو!$B$2:$B$500,0)),0))</f>
        <v/>
      </c>
      <c r="F11064" s="107" t="str">
        <f aca="false">IF($C11064="","",$D11064*$E11064)</f>
        <v/>
      </c>
      <c r="G11064" s="107" t="str">
        <f aca="false">IF($C11064="","",$D11064*IFERROR(INDEX('تحليل التكلفة والسعر'!$C$2:$C$700,MATCH($C11064,'تحليل التكلفة والسعر'!$B$2:$B$700,0)),0))</f>
        <v/>
      </c>
    </row>
    <row r="11065" customFormat="false" ht="15" hidden="false" customHeight="false" outlineLevel="0" collapsed="false">
      <c r="A11065" s="103"/>
      <c r="B11065" s="104"/>
      <c r="C11065" s="104"/>
      <c r="E11065" s="107" t="str">
        <f aca="false">IF($C11065="","",IFERROR(INDEX(المنيو!$C$2:$C$500,MATCH($C11065,المنيو!$B$2:$B$500,0)),0))</f>
        <v/>
      </c>
      <c r="F11065" s="107" t="str">
        <f aca="false">IF($C11065="","",$D11065*$E11065)</f>
        <v/>
      </c>
      <c r="G11065" s="107" t="str">
        <f aca="false">IF($C11065="","",$D11065*IFERROR(INDEX('تحليل التكلفة والسعر'!$C$2:$C$700,MATCH($C11065,'تحليل التكلفة والسعر'!$B$2:$B$700,0)),0))</f>
        <v/>
      </c>
    </row>
    <row r="11066" customFormat="false" ht="15" hidden="false" customHeight="false" outlineLevel="0" collapsed="false">
      <c r="A11066" s="103"/>
      <c r="B11066" s="104"/>
      <c r="C11066" s="104"/>
      <c r="E11066" s="107" t="str">
        <f aca="false">IF($C11066="","",IFERROR(INDEX(المنيو!$C$2:$C$500,MATCH($C11066,المنيو!$B$2:$B$500,0)),0))</f>
        <v/>
      </c>
      <c r="F11066" s="107" t="str">
        <f aca="false">IF($C11066="","",$D11066*$E11066)</f>
        <v/>
      </c>
      <c r="G11066" s="107" t="str">
        <f aca="false">IF($C11066="","",$D11066*IFERROR(INDEX('تحليل التكلفة والسعر'!$C$2:$C$700,MATCH($C11066,'تحليل التكلفة والسعر'!$B$2:$B$700,0)),0))</f>
        <v/>
      </c>
    </row>
    <row r="11067" customFormat="false" ht="15" hidden="false" customHeight="false" outlineLevel="0" collapsed="false">
      <c r="A11067" s="103"/>
      <c r="B11067" s="104"/>
      <c r="C11067" s="104"/>
      <c r="E11067" s="107" t="str">
        <f aca="false">IF($C11067="","",IFERROR(INDEX(المنيو!$C$2:$C$500,MATCH($C11067,المنيو!$B$2:$B$500,0)),0))</f>
        <v/>
      </c>
      <c r="F11067" s="107" t="str">
        <f aca="false">IF($C11067="","",$D11067*$E11067)</f>
        <v/>
      </c>
      <c r="G11067" s="107" t="str">
        <f aca="false">IF($C11067="","",$D11067*IFERROR(INDEX('تحليل التكلفة والسعر'!$C$2:$C$700,MATCH($C11067,'تحليل التكلفة والسعر'!$B$2:$B$700,0)),0))</f>
        <v/>
      </c>
    </row>
    <row r="11068" customFormat="false" ht="15" hidden="false" customHeight="false" outlineLevel="0" collapsed="false">
      <c r="A11068" s="103"/>
      <c r="B11068" s="104"/>
      <c r="C11068" s="104"/>
      <c r="E11068" s="107" t="str">
        <f aca="false">IF($C11068="","",IFERROR(INDEX(المنيو!$C$2:$C$500,MATCH($C11068,المنيو!$B$2:$B$500,0)),0))</f>
        <v/>
      </c>
      <c r="F11068" s="107" t="str">
        <f aca="false">IF($C11068="","",$D11068*$E11068)</f>
        <v/>
      </c>
      <c r="G11068" s="107" t="str">
        <f aca="false">IF($C11068="","",$D11068*IFERROR(INDEX('تحليل التكلفة والسعر'!$C$2:$C$700,MATCH($C11068,'تحليل التكلفة والسعر'!$B$2:$B$700,0)),0))</f>
        <v/>
      </c>
    </row>
    <row r="11069" customFormat="false" ht="15" hidden="false" customHeight="false" outlineLevel="0" collapsed="false">
      <c r="A11069" s="103"/>
      <c r="B11069" s="104"/>
      <c r="C11069" s="104"/>
      <c r="E11069" s="107" t="str">
        <f aca="false">IF($C11069="","",IFERROR(INDEX(المنيو!$C$2:$C$500,MATCH($C11069,المنيو!$B$2:$B$500,0)),0))</f>
        <v/>
      </c>
      <c r="F11069" s="107" t="str">
        <f aca="false">IF($C11069="","",$D11069*$E11069)</f>
        <v/>
      </c>
      <c r="G11069" s="107" t="str">
        <f aca="false">IF($C11069="","",$D11069*IFERROR(INDEX('تحليل التكلفة والسعر'!$C$2:$C$700,MATCH($C11069,'تحليل التكلفة والسعر'!$B$2:$B$700,0)),0))</f>
        <v/>
      </c>
    </row>
    <row r="11070" customFormat="false" ht="15" hidden="false" customHeight="false" outlineLevel="0" collapsed="false">
      <c r="A11070" s="103"/>
      <c r="B11070" s="104"/>
      <c r="C11070" s="104"/>
      <c r="E11070" s="107" t="str">
        <f aca="false">IF($C11070="","",IFERROR(INDEX(المنيو!$C$2:$C$500,MATCH($C11070,المنيو!$B$2:$B$500,0)),0))</f>
        <v/>
      </c>
      <c r="F11070" s="107" t="str">
        <f aca="false">IF($C11070="","",$D11070*$E11070)</f>
        <v/>
      </c>
      <c r="G11070" s="107" t="str">
        <f aca="false">IF($C11070="","",$D11070*IFERROR(INDEX('تحليل التكلفة والسعر'!$C$2:$C$700,MATCH($C11070,'تحليل التكلفة والسعر'!$B$2:$B$700,0)),0))</f>
        <v/>
      </c>
    </row>
    <row r="11071" customFormat="false" ht="15" hidden="false" customHeight="false" outlineLevel="0" collapsed="false">
      <c r="A11071" s="103"/>
      <c r="B11071" s="104"/>
      <c r="C11071" s="104"/>
      <c r="E11071" s="107" t="str">
        <f aca="false">IF($C11071="","",IFERROR(INDEX(المنيو!$C$2:$C$500,MATCH($C11071,المنيو!$B$2:$B$500,0)),0))</f>
        <v/>
      </c>
      <c r="F11071" s="107" t="str">
        <f aca="false">IF($C11071="","",$D11071*$E11071)</f>
        <v/>
      </c>
      <c r="G11071" s="107" t="str">
        <f aca="false">IF($C11071="","",$D11071*IFERROR(INDEX('تحليل التكلفة والسعر'!$C$2:$C$700,MATCH($C11071,'تحليل التكلفة والسعر'!$B$2:$B$700,0)),0))</f>
        <v/>
      </c>
    </row>
    <row r="11072" customFormat="false" ht="15" hidden="false" customHeight="false" outlineLevel="0" collapsed="false">
      <c r="A11072" s="103"/>
      <c r="B11072" s="104"/>
      <c r="C11072" s="104"/>
      <c r="E11072" s="107" t="str">
        <f aca="false">IF($C11072="","",IFERROR(INDEX(المنيو!$C$2:$C$500,MATCH($C11072,المنيو!$B$2:$B$500,0)),0))</f>
        <v/>
      </c>
      <c r="F11072" s="107" t="str">
        <f aca="false">IF($C11072="","",$D11072*$E11072)</f>
        <v/>
      </c>
      <c r="G11072" s="107" t="str">
        <f aca="false">IF($C11072="","",$D11072*IFERROR(INDEX('تحليل التكلفة والسعر'!$C$2:$C$700,MATCH($C11072,'تحليل التكلفة والسعر'!$B$2:$B$700,0)),0))</f>
        <v/>
      </c>
    </row>
    <row r="11073" customFormat="false" ht="15" hidden="false" customHeight="false" outlineLevel="0" collapsed="false">
      <c r="A11073" s="103"/>
      <c r="B11073" s="104"/>
      <c r="C11073" s="104"/>
      <c r="E11073" s="107" t="str">
        <f aca="false">IF($C11073="","",IFERROR(INDEX(المنيو!$C$2:$C$500,MATCH($C11073,المنيو!$B$2:$B$500,0)),0))</f>
        <v/>
      </c>
      <c r="F11073" s="107" t="str">
        <f aca="false">IF($C11073="","",$D11073*$E11073)</f>
        <v/>
      </c>
      <c r="G11073" s="107" t="str">
        <f aca="false">IF($C11073="","",$D11073*IFERROR(INDEX('تحليل التكلفة والسعر'!$C$2:$C$700,MATCH($C11073,'تحليل التكلفة والسعر'!$B$2:$B$700,0)),0))</f>
        <v/>
      </c>
    </row>
    <row r="11074" customFormat="false" ht="15" hidden="false" customHeight="false" outlineLevel="0" collapsed="false">
      <c r="A11074" s="103"/>
      <c r="B11074" s="104"/>
      <c r="C11074" s="104"/>
      <c r="E11074" s="107" t="str">
        <f aca="false">IF($C11074="","",IFERROR(INDEX(المنيو!$C$2:$C$500,MATCH($C11074,المنيو!$B$2:$B$500,0)),0))</f>
        <v/>
      </c>
      <c r="F11074" s="107" t="str">
        <f aca="false">IF($C11074="","",$D11074*$E11074)</f>
        <v/>
      </c>
      <c r="G11074" s="107" t="str">
        <f aca="false">IF($C11074="","",$D11074*IFERROR(INDEX('تحليل التكلفة والسعر'!$C$2:$C$700,MATCH($C11074,'تحليل التكلفة والسعر'!$B$2:$B$700,0)),0))</f>
        <v/>
      </c>
    </row>
    <row r="11075" customFormat="false" ht="15" hidden="false" customHeight="false" outlineLevel="0" collapsed="false">
      <c r="A11075" s="103"/>
      <c r="B11075" s="104"/>
      <c r="C11075" s="104"/>
      <c r="E11075" s="107" t="str">
        <f aca="false">IF($C11075="","",IFERROR(INDEX(المنيو!$C$2:$C$500,MATCH($C11075,المنيو!$B$2:$B$500,0)),0))</f>
        <v/>
      </c>
      <c r="F11075" s="107" t="str">
        <f aca="false">IF($C11075="","",$D11075*$E11075)</f>
        <v/>
      </c>
      <c r="G11075" s="107" t="str">
        <f aca="false">IF($C11075="","",$D11075*IFERROR(INDEX('تحليل التكلفة والسعر'!$C$2:$C$700,MATCH($C11075,'تحليل التكلفة والسعر'!$B$2:$B$700,0)),0))</f>
        <v/>
      </c>
    </row>
    <row r="11076" customFormat="false" ht="15" hidden="false" customHeight="false" outlineLevel="0" collapsed="false">
      <c r="A11076" s="103"/>
      <c r="B11076" s="104"/>
      <c r="C11076" s="104"/>
      <c r="E11076" s="107" t="str">
        <f aca="false">IF($C11076="","",IFERROR(INDEX(المنيو!$C$2:$C$500,MATCH($C11076,المنيو!$B$2:$B$500,0)),0))</f>
        <v/>
      </c>
      <c r="F11076" s="107" t="str">
        <f aca="false">IF($C11076="","",$D11076*$E11076)</f>
        <v/>
      </c>
      <c r="G11076" s="107" t="str">
        <f aca="false">IF($C11076="","",$D11076*IFERROR(INDEX('تحليل التكلفة والسعر'!$C$2:$C$700,MATCH($C11076,'تحليل التكلفة والسعر'!$B$2:$B$700,0)),0))</f>
        <v/>
      </c>
    </row>
    <row r="11077" customFormat="false" ht="15" hidden="false" customHeight="false" outlineLevel="0" collapsed="false">
      <c r="A11077" s="103"/>
      <c r="B11077" s="104"/>
      <c r="C11077" s="104"/>
      <c r="E11077" s="107" t="str">
        <f aca="false">IF($C11077="","",IFERROR(INDEX(المنيو!$C$2:$C$500,MATCH($C11077,المنيو!$B$2:$B$500,0)),0))</f>
        <v/>
      </c>
      <c r="F11077" s="107" t="str">
        <f aca="false">IF($C11077="","",$D11077*$E11077)</f>
        <v/>
      </c>
      <c r="G11077" s="107" t="str">
        <f aca="false">IF($C11077="","",$D11077*IFERROR(INDEX('تحليل التكلفة والسعر'!$C$2:$C$700,MATCH($C11077,'تحليل التكلفة والسعر'!$B$2:$B$700,0)),0))</f>
        <v/>
      </c>
    </row>
    <row r="11078" customFormat="false" ht="15" hidden="false" customHeight="false" outlineLevel="0" collapsed="false">
      <c r="A11078" s="103"/>
      <c r="B11078" s="104"/>
      <c r="C11078" s="104"/>
      <c r="E11078" s="107" t="str">
        <f aca="false">IF($C11078="","",IFERROR(INDEX(المنيو!$C$2:$C$500,MATCH($C11078,المنيو!$B$2:$B$500,0)),0))</f>
        <v/>
      </c>
      <c r="F11078" s="107" t="str">
        <f aca="false">IF($C11078="","",$D11078*$E11078)</f>
        <v/>
      </c>
      <c r="G11078" s="107" t="str">
        <f aca="false">IF($C11078="","",$D11078*IFERROR(INDEX('تحليل التكلفة والسعر'!$C$2:$C$700,MATCH($C11078,'تحليل التكلفة والسعر'!$B$2:$B$700,0)),0))</f>
        <v/>
      </c>
    </row>
    <row r="11079" customFormat="false" ht="15" hidden="false" customHeight="false" outlineLevel="0" collapsed="false">
      <c r="A11079" s="103"/>
      <c r="B11079" s="104"/>
      <c r="C11079" s="104"/>
      <c r="E11079" s="107" t="str">
        <f aca="false">IF($C11079="","",IFERROR(INDEX(المنيو!$C$2:$C$500,MATCH($C11079,المنيو!$B$2:$B$500,0)),0))</f>
        <v/>
      </c>
      <c r="F11079" s="107" t="str">
        <f aca="false">IF($C11079="","",$D11079*$E11079)</f>
        <v/>
      </c>
      <c r="G11079" s="107" t="str">
        <f aca="false">IF($C11079="","",$D11079*IFERROR(INDEX('تحليل التكلفة والسعر'!$C$2:$C$700,MATCH($C11079,'تحليل التكلفة والسعر'!$B$2:$B$700,0)),0))</f>
        <v/>
      </c>
    </row>
    <row r="11080" customFormat="false" ht="15" hidden="false" customHeight="false" outlineLevel="0" collapsed="false">
      <c r="A11080" s="103"/>
      <c r="B11080" s="104"/>
      <c r="C11080" s="104"/>
      <c r="E11080" s="107" t="str">
        <f aca="false">IF($C11080="","",IFERROR(INDEX(المنيو!$C$2:$C$500,MATCH($C11080,المنيو!$B$2:$B$500,0)),0))</f>
        <v/>
      </c>
      <c r="F11080" s="107" t="str">
        <f aca="false">IF($C11080="","",$D11080*$E11080)</f>
        <v/>
      </c>
      <c r="G11080" s="107" t="str">
        <f aca="false">IF($C11080="","",$D11080*IFERROR(INDEX('تحليل التكلفة والسعر'!$C$2:$C$700,MATCH($C11080,'تحليل التكلفة والسعر'!$B$2:$B$700,0)),0))</f>
        <v/>
      </c>
    </row>
    <row r="11081" customFormat="false" ht="15" hidden="false" customHeight="false" outlineLevel="0" collapsed="false">
      <c r="A11081" s="103"/>
      <c r="B11081" s="104"/>
      <c r="C11081" s="104"/>
      <c r="E11081" s="107" t="str">
        <f aca="false">IF($C11081="","",IFERROR(INDEX(المنيو!$C$2:$C$500,MATCH($C11081,المنيو!$B$2:$B$500,0)),0))</f>
        <v/>
      </c>
      <c r="F11081" s="107" t="str">
        <f aca="false">IF($C11081="","",$D11081*$E11081)</f>
        <v/>
      </c>
      <c r="G11081" s="107" t="str">
        <f aca="false">IF($C11081="","",$D11081*IFERROR(INDEX('تحليل التكلفة والسعر'!$C$2:$C$700,MATCH($C11081,'تحليل التكلفة والسعر'!$B$2:$B$700,0)),0))</f>
        <v/>
      </c>
    </row>
    <row r="11082" customFormat="false" ht="15" hidden="false" customHeight="false" outlineLevel="0" collapsed="false">
      <c r="A11082" s="103"/>
      <c r="B11082" s="104"/>
      <c r="C11082" s="104"/>
      <c r="E11082" s="107" t="str">
        <f aca="false">IF($C11082="","",IFERROR(INDEX(المنيو!$C$2:$C$500,MATCH($C11082,المنيو!$B$2:$B$500,0)),0))</f>
        <v/>
      </c>
      <c r="F11082" s="107" t="str">
        <f aca="false">IF($C11082="","",$D11082*$E11082)</f>
        <v/>
      </c>
      <c r="G11082" s="107" t="str">
        <f aca="false">IF($C11082="","",$D11082*IFERROR(INDEX('تحليل التكلفة والسعر'!$C$2:$C$700,MATCH($C11082,'تحليل التكلفة والسعر'!$B$2:$B$700,0)),0))</f>
        <v/>
      </c>
    </row>
    <row r="11083" customFormat="false" ht="15" hidden="false" customHeight="false" outlineLevel="0" collapsed="false">
      <c r="A11083" s="103"/>
      <c r="B11083" s="104"/>
      <c r="C11083" s="104"/>
      <c r="E11083" s="107" t="str">
        <f aca="false">IF($C11083="","",IFERROR(INDEX(المنيو!$C$2:$C$500,MATCH($C11083,المنيو!$B$2:$B$500,0)),0))</f>
        <v/>
      </c>
      <c r="F11083" s="107" t="str">
        <f aca="false">IF($C11083="","",$D11083*$E11083)</f>
        <v/>
      </c>
      <c r="G11083" s="107" t="str">
        <f aca="false">IF($C11083="","",$D11083*IFERROR(INDEX('تحليل التكلفة والسعر'!$C$2:$C$700,MATCH($C11083,'تحليل التكلفة والسعر'!$B$2:$B$700,0)),0))</f>
        <v/>
      </c>
    </row>
    <row r="11084" customFormat="false" ht="15" hidden="false" customHeight="false" outlineLevel="0" collapsed="false">
      <c r="A11084" s="103"/>
      <c r="B11084" s="104"/>
      <c r="C11084" s="104"/>
      <c r="E11084" s="107" t="str">
        <f aca="false">IF($C11084="","",IFERROR(INDEX(المنيو!$C$2:$C$500,MATCH($C11084,المنيو!$B$2:$B$500,0)),0))</f>
        <v/>
      </c>
      <c r="F11084" s="107" t="str">
        <f aca="false">IF($C11084="","",$D11084*$E11084)</f>
        <v/>
      </c>
      <c r="G11084" s="107" t="str">
        <f aca="false">IF($C11084="","",$D11084*IFERROR(INDEX('تحليل التكلفة والسعر'!$C$2:$C$700,MATCH($C11084,'تحليل التكلفة والسعر'!$B$2:$B$700,0)),0))</f>
        <v/>
      </c>
    </row>
    <row r="11085" customFormat="false" ht="15" hidden="false" customHeight="false" outlineLevel="0" collapsed="false">
      <c r="A11085" s="103"/>
      <c r="B11085" s="104"/>
      <c r="C11085" s="104"/>
      <c r="E11085" s="107" t="str">
        <f aca="false">IF($C11085="","",IFERROR(INDEX(المنيو!$C$2:$C$500,MATCH($C11085,المنيو!$B$2:$B$500,0)),0))</f>
        <v/>
      </c>
      <c r="F11085" s="107" t="str">
        <f aca="false">IF($C11085="","",$D11085*$E11085)</f>
        <v/>
      </c>
      <c r="G11085" s="107" t="str">
        <f aca="false">IF($C11085="","",$D11085*IFERROR(INDEX('تحليل التكلفة والسعر'!$C$2:$C$700,MATCH($C11085,'تحليل التكلفة والسعر'!$B$2:$B$700,0)),0))</f>
        <v/>
      </c>
    </row>
    <row r="11086" customFormat="false" ht="15" hidden="false" customHeight="false" outlineLevel="0" collapsed="false">
      <c r="A11086" s="103"/>
      <c r="B11086" s="104"/>
      <c r="C11086" s="104"/>
      <c r="E11086" s="107" t="str">
        <f aca="false">IF($C11086="","",IFERROR(INDEX(المنيو!$C$2:$C$500,MATCH($C11086,المنيو!$B$2:$B$500,0)),0))</f>
        <v/>
      </c>
      <c r="F11086" s="107" t="str">
        <f aca="false">IF($C11086="","",$D11086*$E11086)</f>
        <v/>
      </c>
      <c r="G11086" s="107" t="str">
        <f aca="false">IF($C11086="","",$D11086*IFERROR(INDEX('تحليل التكلفة والسعر'!$C$2:$C$700,MATCH($C11086,'تحليل التكلفة والسعر'!$B$2:$B$700,0)),0))</f>
        <v/>
      </c>
    </row>
    <row r="11087" customFormat="false" ht="15" hidden="false" customHeight="false" outlineLevel="0" collapsed="false">
      <c r="A11087" s="103"/>
      <c r="B11087" s="104"/>
      <c r="C11087" s="104"/>
      <c r="E11087" s="107" t="str">
        <f aca="false">IF($C11087="","",IFERROR(INDEX(المنيو!$C$2:$C$500,MATCH($C11087,المنيو!$B$2:$B$500,0)),0))</f>
        <v/>
      </c>
      <c r="F11087" s="107" t="str">
        <f aca="false">IF($C11087="","",$D11087*$E11087)</f>
        <v/>
      </c>
      <c r="G11087" s="107" t="str">
        <f aca="false">IF($C11087="","",$D11087*IFERROR(INDEX('تحليل التكلفة والسعر'!$C$2:$C$700,MATCH($C11087,'تحليل التكلفة والسعر'!$B$2:$B$700,0)),0))</f>
        <v/>
      </c>
    </row>
    <row r="11088" customFormat="false" ht="15" hidden="false" customHeight="false" outlineLevel="0" collapsed="false">
      <c r="A11088" s="103"/>
      <c r="B11088" s="104"/>
      <c r="C11088" s="104"/>
      <c r="E11088" s="107" t="str">
        <f aca="false">IF($C11088="","",IFERROR(INDEX(المنيو!$C$2:$C$500,MATCH($C11088,المنيو!$B$2:$B$500,0)),0))</f>
        <v/>
      </c>
      <c r="F11088" s="107" t="str">
        <f aca="false">IF($C11088="","",$D11088*$E11088)</f>
        <v/>
      </c>
      <c r="G11088" s="107" t="str">
        <f aca="false">IF($C11088="","",$D11088*IFERROR(INDEX('تحليل التكلفة والسعر'!$C$2:$C$700,MATCH($C11088,'تحليل التكلفة والسعر'!$B$2:$B$700,0)),0))</f>
        <v/>
      </c>
    </row>
    <row r="11089" customFormat="false" ht="15" hidden="false" customHeight="false" outlineLevel="0" collapsed="false">
      <c r="A11089" s="103"/>
      <c r="B11089" s="104"/>
      <c r="C11089" s="104"/>
      <c r="E11089" s="107" t="str">
        <f aca="false">IF($C11089="","",IFERROR(INDEX(المنيو!$C$2:$C$500,MATCH($C11089,المنيو!$B$2:$B$500,0)),0))</f>
        <v/>
      </c>
      <c r="F11089" s="107" t="str">
        <f aca="false">IF($C11089="","",$D11089*$E11089)</f>
        <v/>
      </c>
      <c r="G11089" s="107" t="str">
        <f aca="false">IF($C11089="","",$D11089*IFERROR(INDEX('تحليل التكلفة والسعر'!$C$2:$C$700,MATCH($C11089,'تحليل التكلفة والسعر'!$B$2:$B$700,0)),0))</f>
        <v/>
      </c>
    </row>
    <row r="11090" customFormat="false" ht="15" hidden="false" customHeight="false" outlineLevel="0" collapsed="false">
      <c r="A11090" s="103"/>
      <c r="B11090" s="104"/>
      <c r="C11090" s="104"/>
      <c r="E11090" s="107" t="str">
        <f aca="false">IF($C11090="","",IFERROR(INDEX(المنيو!$C$2:$C$500,MATCH($C11090,المنيو!$B$2:$B$500,0)),0))</f>
        <v/>
      </c>
      <c r="F11090" s="107" t="str">
        <f aca="false">IF($C11090="","",$D11090*$E11090)</f>
        <v/>
      </c>
      <c r="G11090" s="107" t="str">
        <f aca="false">IF($C11090="","",$D11090*IFERROR(INDEX('تحليل التكلفة والسعر'!$C$2:$C$700,MATCH($C11090,'تحليل التكلفة والسعر'!$B$2:$B$700,0)),0))</f>
        <v/>
      </c>
    </row>
    <row r="11091" customFormat="false" ht="15" hidden="false" customHeight="false" outlineLevel="0" collapsed="false">
      <c r="A11091" s="103"/>
      <c r="B11091" s="104"/>
      <c r="C11091" s="104"/>
      <c r="E11091" s="107" t="str">
        <f aca="false">IF($C11091="","",IFERROR(INDEX(المنيو!$C$2:$C$500,MATCH($C11091,المنيو!$B$2:$B$500,0)),0))</f>
        <v/>
      </c>
      <c r="F11091" s="107" t="str">
        <f aca="false">IF($C11091="","",$D11091*$E11091)</f>
        <v/>
      </c>
      <c r="G11091" s="107" t="str">
        <f aca="false">IF($C11091="","",$D11091*IFERROR(INDEX('تحليل التكلفة والسعر'!$C$2:$C$700,MATCH($C11091,'تحليل التكلفة والسعر'!$B$2:$B$700,0)),0))</f>
        <v/>
      </c>
    </row>
    <row r="11092" customFormat="false" ht="15" hidden="false" customHeight="false" outlineLevel="0" collapsed="false">
      <c r="A11092" s="103"/>
      <c r="B11092" s="104"/>
      <c r="C11092" s="104"/>
      <c r="E11092" s="107" t="str">
        <f aca="false">IF($C11092="","",IFERROR(INDEX(المنيو!$C$2:$C$500,MATCH($C11092,المنيو!$B$2:$B$500,0)),0))</f>
        <v/>
      </c>
      <c r="F11092" s="107" t="str">
        <f aca="false">IF($C11092="","",$D11092*$E11092)</f>
        <v/>
      </c>
      <c r="G11092" s="107" t="str">
        <f aca="false">IF($C11092="","",$D11092*IFERROR(INDEX('تحليل التكلفة والسعر'!$C$2:$C$700,MATCH($C11092,'تحليل التكلفة والسعر'!$B$2:$B$700,0)),0))</f>
        <v/>
      </c>
    </row>
    <row r="11093" customFormat="false" ht="15" hidden="false" customHeight="false" outlineLevel="0" collapsed="false">
      <c r="A11093" s="103"/>
      <c r="B11093" s="104"/>
      <c r="C11093" s="104"/>
      <c r="E11093" s="107" t="str">
        <f aca="false">IF($C11093="","",IFERROR(INDEX(المنيو!$C$2:$C$500,MATCH($C11093,المنيو!$B$2:$B$500,0)),0))</f>
        <v/>
      </c>
      <c r="F11093" s="107" t="str">
        <f aca="false">IF($C11093="","",$D11093*$E11093)</f>
        <v/>
      </c>
      <c r="G11093" s="107" t="str">
        <f aca="false">IF($C11093="","",$D11093*IFERROR(INDEX('تحليل التكلفة والسعر'!$C$2:$C$700,MATCH($C11093,'تحليل التكلفة والسعر'!$B$2:$B$700,0)),0))</f>
        <v/>
      </c>
    </row>
    <row r="11094" customFormat="false" ht="15" hidden="false" customHeight="false" outlineLevel="0" collapsed="false">
      <c r="A11094" s="103"/>
      <c r="B11094" s="104"/>
      <c r="C11094" s="104"/>
      <c r="E11094" s="107" t="str">
        <f aca="false">IF($C11094="","",IFERROR(INDEX(المنيو!$C$2:$C$500,MATCH($C11094,المنيو!$B$2:$B$500,0)),0))</f>
        <v/>
      </c>
      <c r="F11094" s="107" t="str">
        <f aca="false">IF($C11094="","",$D11094*$E11094)</f>
        <v/>
      </c>
      <c r="G11094" s="107" t="str">
        <f aca="false">IF($C11094="","",$D11094*IFERROR(INDEX('تحليل التكلفة والسعر'!$C$2:$C$700,MATCH($C11094,'تحليل التكلفة والسعر'!$B$2:$B$700,0)),0))</f>
        <v/>
      </c>
    </row>
    <row r="11095" customFormat="false" ht="15" hidden="false" customHeight="false" outlineLevel="0" collapsed="false">
      <c r="A11095" s="103"/>
      <c r="B11095" s="104"/>
      <c r="C11095" s="104"/>
      <c r="E11095" s="107" t="str">
        <f aca="false">IF($C11095="","",IFERROR(INDEX(المنيو!$C$2:$C$500,MATCH($C11095,المنيو!$B$2:$B$500,0)),0))</f>
        <v/>
      </c>
      <c r="F11095" s="107" t="str">
        <f aca="false">IF($C11095="","",$D11095*$E11095)</f>
        <v/>
      </c>
      <c r="G11095" s="107" t="str">
        <f aca="false">IF($C11095="","",$D11095*IFERROR(INDEX('تحليل التكلفة والسعر'!$C$2:$C$700,MATCH($C11095,'تحليل التكلفة والسعر'!$B$2:$B$700,0)),0))</f>
        <v/>
      </c>
    </row>
    <row r="11096" customFormat="false" ht="15" hidden="false" customHeight="false" outlineLevel="0" collapsed="false">
      <c r="A11096" s="103"/>
      <c r="B11096" s="104"/>
      <c r="C11096" s="104"/>
      <c r="E11096" s="107" t="str">
        <f aca="false">IF($C11096="","",IFERROR(INDEX(المنيو!$C$2:$C$500,MATCH($C11096,المنيو!$B$2:$B$500,0)),0))</f>
        <v/>
      </c>
      <c r="F11096" s="107" t="str">
        <f aca="false">IF($C11096="","",$D11096*$E11096)</f>
        <v/>
      </c>
      <c r="G11096" s="107" t="str">
        <f aca="false">IF($C11096="","",$D11096*IFERROR(INDEX('تحليل التكلفة والسعر'!$C$2:$C$700,MATCH($C11096,'تحليل التكلفة والسعر'!$B$2:$B$700,0)),0))</f>
        <v/>
      </c>
    </row>
    <row r="11097" customFormat="false" ht="15" hidden="false" customHeight="false" outlineLevel="0" collapsed="false">
      <c r="A11097" s="103"/>
      <c r="B11097" s="104"/>
      <c r="C11097" s="104"/>
      <c r="E11097" s="107" t="str">
        <f aca="false">IF($C11097="","",IFERROR(INDEX(المنيو!$C$2:$C$500,MATCH($C11097,المنيو!$B$2:$B$500,0)),0))</f>
        <v/>
      </c>
      <c r="F11097" s="107" t="str">
        <f aca="false">IF($C11097="","",$D11097*$E11097)</f>
        <v/>
      </c>
      <c r="G11097" s="107" t="str">
        <f aca="false">IF($C11097="","",$D11097*IFERROR(INDEX('تحليل التكلفة والسعر'!$C$2:$C$700,MATCH($C11097,'تحليل التكلفة والسعر'!$B$2:$B$700,0)),0))</f>
        <v/>
      </c>
    </row>
    <row r="11098" customFormat="false" ht="15" hidden="false" customHeight="false" outlineLevel="0" collapsed="false">
      <c r="A11098" s="103"/>
      <c r="B11098" s="104"/>
      <c r="C11098" s="104"/>
      <c r="E11098" s="107" t="str">
        <f aca="false">IF($C11098="","",IFERROR(INDEX(المنيو!$C$2:$C$500,MATCH($C11098,المنيو!$B$2:$B$500,0)),0))</f>
        <v/>
      </c>
      <c r="F11098" s="107" t="str">
        <f aca="false">IF($C11098="","",$D11098*$E11098)</f>
        <v/>
      </c>
      <c r="G11098" s="107" t="str">
        <f aca="false">IF($C11098="","",$D11098*IFERROR(INDEX('تحليل التكلفة والسعر'!$C$2:$C$700,MATCH($C11098,'تحليل التكلفة والسعر'!$B$2:$B$700,0)),0))</f>
        <v/>
      </c>
    </row>
    <row r="11099" customFormat="false" ht="15" hidden="false" customHeight="false" outlineLevel="0" collapsed="false">
      <c r="A11099" s="103"/>
      <c r="B11099" s="104"/>
      <c r="C11099" s="104"/>
      <c r="E11099" s="107" t="str">
        <f aca="false">IF($C11099="","",IFERROR(INDEX(المنيو!$C$2:$C$500,MATCH($C11099,المنيو!$B$2:$B$500,0)),0))</f>
        <v/>
      </c>
      <c r="F11099" s="107" t="str">
        <f aca="false">IF($C11099="","",$D11099*$E11099)</f>
        <v/>
      </c>
      <c r="G11099" s="107" t="str">
        <f aca="false">IF($C11099="","",$D11099*IFERROR(INDEX('تحليل التكلفة والسعر'!$C$2:$C$700,MATCH($C11099,'تحليل التكلفة والسعر'!$B$2:$B$700,0)),0))</f>
        <v/>
      </c>
    </row>
    <row r="11100" customFormat="false" ht="15" hidden="false" customHeight="false" outlineLevel="0" collapsed="false">
      <c r="A11100" s="103"/>
      <c r="B11100" s="104"/>
      <c r="C11100" s="104"/>
      <c r="E11100" s="107" t="str">
        <f aca="false">IF($C11100="","",IFERROR(INDEX(المنيو!$C$2:$C$500,MATCH($C11100,المنيو!$B$2:$B$500,0)),0))</f>
        <v/>
      </c>
      <c r="F11100" s="107" t="str">
        <f aca="false">IF($C11100="","",$D11100*$E11100)</f>
        <v/>
      </c>
      <c r="G11100" s="107" t="str">
        <f aca="false">IF($C11100="","",$D11100*IFERROR(INDEX('تحليل التكلفة والسعر'!$C$2:$C$700,MATCH($C11100,'تحليل التكلفة والسعر'!$B$2:$B$700,0)),0))</f>
        <v/>
      </c>
    </row>
    <row r="11101" customFormat="false" ht="15" hidden="false" customHeight="false" outlineLevel="0" collapsed="false">
      <c r="A11101" s="103"/>
      <c r="B11101" s="104"/>
      <c r="C11101" s="104"/>
      <c r="E11101" s="107" t="str">
        <f aca="false">IF($C11101="","",IFERROR(INDEX(المنيو!$C$2:$C$500,MATCH($C11101,المنيو!$B$2:$B$500,0)),0))</f>
        <v/>
      </c>
      <c r="F11101" s="107" t="str">
        <f aca="false">IF($C11101="","",$D11101*$E11101)</f>
        <v/>
      </c>
      <c r="G11101" s="107" t="str">
        <f aca="false">IF($C11101="","",$D11101*IFERROR(INDEX('تحليل التكلفة والسعر'!$C$2:$C$700,MATCH($C11101,'تحليل التكلفة والسعر'!$B$2:$B$700,0)),0))</f>
        <v/>
      </c>
    </row>
    <row r="11102" customFormat="false" ht="15" hidden="false" customHeight="false" outlineLevel="0" collapsed="false">
      <c r="A11102" s="103"/>
      <c r="B11102" s="104"/>
      <c r="C11102" s="104"/>
      <c r="E11102" s="107" t="str">
        <f aca="false">IF($C11102="","",IFERROR(INDEX(المنيو!$C$2:$C$500,MATCH($C11102,المنيو!$B$2:$B$500,0)),0))</f>
        <v/>
      </c>
      <c r="F11102" s="107" t="str">
        <f aca="false">IF($C11102="","",$D11102*$E11102)</f>
        <v/>
      </c>
      <c r="G11102" s="107" t="str">
        <f aca="false">IF($C11102="","",$D11102*IFERROR(INDEX('تحليل التكلفة والسعر'!$C$2:$C$700,MATCH($C11102,'تحليل التكلفة والسعر'!$B$2:$B$700,0)),0))</f>
        <v/>
      </c>
    </row>
    <row r="11103" customFormat="false" ht="15" hidden="false" customHeight="false" outlineLevel="0" collapsed="false">
      <c r="A11103" s="103"/>
      <c r="B11103" s="104"/>
      <c r="C11103" s="104"/>
      <c r="E11103" s="107" t="str">
        <f aca="false">IF($C11103="","",IFERROR(INDEX(المنيو!$C$2:$C$500,MATCH($C11103,المنيو!$B$2:$B$500,0)),0))</f>
        <v/>
      </c>
      <c r="F11103" s="107" t="str">
        <f aca="false">IF($C11103="","",$D11103*$E11103)</f>
        <v/>
      </c>
      <c r="G11103" s="107" t="str">
        <f aca="false">IF($C11103="","",$D11103*IFERROR(INDEX('تحليل التكلفة والسعر'!$C$2:$C$700,MATCH($C11103,'تحليل التكلفة والسعر'!$B$2:$B$700,0)),0))</f>
        <v/>
      </c>
    </row>
    <row r="11104" customFormat="false" ht="15" hidden="false" customHeight="false" outlineLevel="0" collapsed="false">
      <c r="A11104" s="103"/>
      <c r="B11104" s="104"/>
      <c r="C11104" s="104"/>
      <c r="E11104" s="107" t="str">
        <f aca="false">IF($C11104="","",IFERROR(INDEX(المنيو!$C$2:$C$500,MATCH($C11104,المنيو!$B$2:$B$500,0)),0))</f>
        <v/>
      </c>
      <c r="F11104" s="107" t="str">
        <f aca="false">IF($C11104="","",$D11104*$E11104)</f>
        <v/>
      </c>
      <c r="G11104" s="107" t="str">
        <f aca="false">IF($C11104="","",$D11104*IFERROR(INDEX('تحليل التكلفة والسعر'!$C$2:$C$700,MATCH($C11104,'تحليل التكلفة والسعر'!$B$2:$B$700,0)),0))</f>
        <v/>
      </c>
    </row>
    <row r="11105" customFormat="false" ht="15" hidden="false" customHeight="false" outlineLevel="0" collapsed="false">
      <c r="A11105" s="103"/>
      <c r="B11105" s="104"/>
      <c r="C11105" s="104"/>
      <c r="E11105" s="107" t="str">
        <f aca="false">IF($C11105="","",IFERROR(INDEX(المنيو!$C$2:$C$500,MATCH($C11105,المنيو!$B$2:$B$500,0)),0))</f>
        <v/>
      </c>
      <c r="F11105" s="107" t="str">
        <f aca="false">IF($C11105="","",$D11105*$E11105)</f>
        <v/>
      </c>
      <c r="G11105" s="107" t="str">
        <f aca="false">IF($C11105="","",$D11105*IFERROR(INDEX('تحليل التكلفة والسعر'!$C$2:$C$700,MATCH($C11105,'تحليل التكلفة والسعر'!$B$2:$B$700,0)),0))</f>
        <v/>
      </c>
    </row>
    <row r="11106" customFormat="false" ht="15" hidden="false" customHeight="false" outlineLevel="0" collapsed="false">
      <c r="A11106" s="103"/>
      <c r="B11106" s="104"/>
      <c r="C11106" s="104"/>
      <c r="E11106" s="107" t="str">
        <f aca="false">IF($C11106="","",IFERROR(INDEX(المنيو!$C$2:$C$500,MATCH($C11106,المنيو!$B$2:$B$500,0)),0))</f>
        <v/>
      </c>
      <c r="F11106" s="107" t="str">
        <f aca="false">IF($C11106="","",$D11106*$E11106)</f>
        <v/>
      </c>
      <c r="G11106" s="107" t="str">
        <f aca="false">IF($C11106="","",$D11106*IFERROR(INDEX('تحليل التكلفة والسعر'!$C$2:$C$700,MATCH($C11106,'تحليل التكلفة والسعر'!$B$2:$B$700,0)),0))</f>
        <v/>
      </c>
    </row>
    <row r="11107" customFormat="false" ht="15" hidden="false" customHeight="false" outlineLevel="0" collapsed="false">
      <c r="A11107" s="103"/>
      <c r="B11107" s="104"/>
      <c r="C11107" s="104"/>
      <c r="E11107" s="107" t="str">
        <f aca="false">IF($C11107="","",IFERROR(INDEX(المنيو!$C$2:$C$500,MATCH($C11107,المنيو!$B$2:$B$500,0)),0))</f>
        <v/>
      </c>
      <c r="F11107" s="107" t="str">
        <f aca="false">IF($C11107="","",$D11107*$E11107)</f>
        <v/>
      </c>
      <c r="G11107" s="107" t="str">
        <f aca="false">IF($C11107="","",$D11107*IFERROR(INDEX('تحليل التكلفة والسعر'!$C$2:$C$700,MATCH($C11107,'تحليل التكلفة والسعر'!$B$2:$B$700,0)),0))</f>
        <v/>
      </c>
    </row>
    <row r="11108" customFormat="false" ht="15" hidden="false" customHeight="false" outlineLevel="0" collapsed="false">
      <c r="A11108" s="103"/>
      <c r="B11108" s="104"/>
      <c r="C11108" s="104"/>
      <c r="E11108" s="107" t="str">
        <f aca="false">IF($C11108="","",IFERROR(INDEX(المنيو!$C$2:$C$500,MATCH($C11108,المنيو!$B$2:$B$500,0)),0))</f>
        <v/>
      </c>
      <c r="F11108" s="107" t="str">
        <f aca="false">IF($C11108="","",$D11108*$E11108)</f>
        <v/>
      </c>
      <c r="G11108" s="107" t="str">
        <f aca="false">IF($C11108="","",$D11108*IFERROR(INDEX('تحليل التكلفة والسعر'!$C$2:$C$700,MATCH($C11108,'تحليل التكلفة والسعر'!$B$2:$B$700,0)),0))</f>
        <v/>
      </c>
    </row>
    <row r="11109" customFormat="false" ht="15" hidden="false" customHeight="false" outlineLevel="0" collapsed="false">
      <c r="A11109" s="103"/>
      <c r="B11109" s="104"/>
      <c r="C11109" s="104"/>
      <c r="E11109" s="107" t="str">
        <f aca="false">IF($C11109="","",IFERROR(INDEX(المنيو!$C$2:$C$500,MATCH($C11109,المنيو!$B$2:$B$500,0)),0))</f>
        <v/>
      </c>
      <c r="F11109" s="107" t="str">
        <f aca="false">IF($C11109="","",$D11109*$E11109)</f>
        <v/>
      </c>
      <c r="G11109" s="107" t="str">
        <f aca="false">IF($C11109="","",$D11109*IFERROR(INDEX('تحليل التكلفة والسعر'!$C$2:$C$700,MATCH($C11109,'تحليل التكلفة والسعر'!$B$2:$B$700,0)),0))</f>
        <v/>
      </c>
    </row>
    <row r="11110" customFormat="false" ht="15" hidden="false" customHeight="false" outlineLevel="0" collapsed="false">
      <c r="A11110" s="103"/>
      <c r="B11110" s="104"/>
      <c r="C11110" s="104"/>
      <c r="E11110" s="107" t="str">
        <f aca="false">IF($C11110="","",IFERROR(INDEX(المنيو!$C$2:$C$500,MATCH($C11110,المنيو!$B$2:$B$500,0)),0))</f>
        <v/>
      </c>
      <c r="F11110" s="107" t="str">
        <f aca="false">IF($C11110="","",$D11110*$E11110)</f>
        <v/>
      </c>
      <c r="G11110" s="107" t="str">
        <f aca="false">IF($C11110="","",$D11110*IFERROR(INDEX('تحليل التكلفة والسعر'!$C$2:$C$700,MATCH($C11110,'تحليل التكلفة والسعر'!$B$2:$B$700,0)),0))</f>
        <v/>
      </c>
    </row>
    <row r="11111" customFormat="false" ht="15" hidden="false" customHeight="false" outlineLevel="0" collapsed="false">
      <c r="A11111" s="103"/>
      <c r="B11111" s="104"/>
      <c r="C11111" s="104"/>
      <c r="E11111" s="107" t="str">
        <f aca="false">IF($C11111="","",IFERROR(INDEX(المنيو!$C$2:$C$500,MATCH($C11111,المنيو!$B$2:$B$500,0)),0))</f>
        <v/>
      </c>
      <c r="F11111" s="107" t="str">
        <f aca="false">IF($C11111="","",$D11111*$E11111)</f>
        <v/>
      </c>
      <c r="G11111" s="107" t="str">
        <f aca="false">IF($C11111="","",$D11111*IFERROR(INDEX('تحليل التكلفة والسعر'!$C$2:$C$700,MATCH($C11111,'تحليل التكلفة والسعر'!$B$2:$B$700,0)),0))</f>
        <v/>
      </c>
    </row>
    <row r="11112" customFormat="false" ht="15" hidden="false" customHeight="false" outlineLevel="0" collapsed="false">
      <c r="A11112" s="103"/>
      <c r="B11112" s="104"/>
      <c r="C11112" s="104"/>
      <c r="E11112" s="107" t="str">
        <f aca="false">IF($C11112="","",IFERROR(INDEX(المنيو!$C$2:$C$500,MATCH($C11112,المنيو!$B$2:$B$500,0)),0))</f>
        <v/>
      </c>
      <c r="F11112" s="107" t="str">
        <f aca="false">IF($C11112="","",$D11112*$E11112)</f>
        <v/>
      </c>
      <c r="G11112" s="107" t="str">
        <f aca="false">IF($C11112="","",$D11112*IFERROR(INDEX('تحليل التكلفة والسعر'!$C$2:$C$700,MATCH($C11112,'تحليل التكلفة والسعر'!$B$2:$B$700,0)),0))</f>
        <v/>
      </c>
    </row>
    <row r="11113" customFormat="false" ht="15" hidden="false" customHeight="false" outlineLevel="0" collapsed="false">
      <c r="A11113" s="103"/>
      <c r="B11113" s="104"/>
      <c r="C11113" s="104"/>
      <c r="E11113" s="107" t="str">
        <f aca="false">IF($C11113="","",IFERROR(INDEX(المنيو!$C$2:$C$500,MATCH($C11113,المنيو!$B$2:$B$500,0)),0))</f>
        <v/>
      </c>
      <c r="F11113" s="107" t="str">
        <f aca="false">IF($C11113="","",$D11113*$E11113)</f>
        <v/>
      </c>
      <c r="G11113" s="107" t="str">
        <f aca="false">IF($C11113="","",$D11113*IFERROR(INDEX('تحليل التكلفة والسعر'!$C$2:$C$700,MATCH($C11113,'تحليل التكلفة والسعر'!$B$2:$B$700,0)),0))</f>
        <v/>
      </c>
    </row>
    <row r="11114" customFormat="false" ht="15" hidden="false" customHeight="false" outlineLevel="0" collapsed="false">
      <c r="A11114" s="103"/>
      <c r="B11114" s="104"/>
      <c r="C11114" s="104"/>
      <c r="E11114" s="107" t="str">
        <f aca="false">IF($C11114="","",IFERROR(INDEX(المنيو!$C$2:$C$500,MATCH($C11114,المنيو!$B$2:$B$500,0)),0))</f>
        <v/>
      </c>
      <c r="F11114" s="107" t="str">
        <f aca="false">IF($C11114="","",$D11114*$E11114)</f>
        <v/>
      </c>
      <c r="G11114" s="107" t="str">
        <f aca="false">IF($C11114="","",$D11114*IFERROR(INDEX('تحليل التكلفة والسعر'!$C$2:$C$700,MATCH($C11114,'تحليل التكلفة والسعر'!$B$2:$B$700,0)),0))</f>
        <v/>
      </c>
    </row>
    <row r="11115" customFormat="false" ht="15" hidden="false" customHeight="false" outlineLevel="0" collapsed="false">
      <c r="A11115" s="103"/>
      <c r="B11115" s="104"/>
      <c r="C11115" s="104"/>
      <c r="E11115" s="107" t="str">
        <f aca="false">IF($C11115="","",IFERROR(INDEX(المنيو!$C$2:$C$500,MATCH($C11115,المنيو!$B$2:$B$500,0)),0))</f>
        <v/>
      </c>
      <c r="F11115" s="107" t="str">
        <f aca="false">IF($C11115="","",$D11115*$E11115)</f>
        <v/>
      </c>
      <c r="G11115" s="107" t="str">
        <f aca="false">IF($C11115="","",$D11115*IFERROR(INDEX('تحليل التكلفة والسعر'!$C$2:$C$700,MATCH($C11115,'تحليل التكلفة والسعر'!$B$2:$B$700,0)),0))</f>
        <v/>
      </c>
    </row>
    <row r="11116" customFormat="false" ht="15" hidden="false" customHeight="false" outlineLevel="0" collapsed="false">
      <c r="A11116" s="103"/>
      <c r="B11116" s="104"/>
      <c r="C11116" s="104"/>
      <c r="E11116" s="107" t="str">
        <f aca="false">IF($C11116="","",IFERROR(INDEX(المنيو!$C$2:$C$500,MATCH($C11116,المنيو!$B$2:$B$500,0)),0))</f>
        <v/>
      </c>
      <c r="F11116" s="107" t="str">
        <f aca="false">IF($C11116="","",$D11116*$E11116)</f>
        <v/>
      </c>
      <c r="G11116" s="107" t="str">
        <f aca="false">IF($C11116="","",$D11116*IFERROR(INDEX('تحليل التكلفة والسعر'!$C$2:$C$700,MATCH($C11116,'تحليل التكلفة والسعر'!$B$2:$B$700,0)),0))</f>
        <v/>
      </c>
    </row>
    <row r="11117" customFormat="false" ht="15" hidden="false" customHeight="false" outlineLevel="0" collapsed="false">
      <c r="A11117" s="103"/>
      <c r="B11117" s="104"/>
      <c r="C11117" s="104"/>
      <c r="E11117" s="107" t="str">
        <f aca="false">IF($C11117="","",IFERROR(INDEX(المنيو!$C$2:$C$500,MATCH($C11117,المنيو!$B$2:$B$500,0)),0))</f>
        <v/>
      </c>
      <c r="F11117" s="107" t="str">
        <f aca="false">IF($C11117="","",$D11117*$E11117)</f>
        <v/>
      </c>
      <c r="G11117" s="107" t="str">
        <f aca="false">IF($C11117="","",$D11117*IFERROR(INDEX('تحليل التكلفة والسعر'!$C$2:$C$700,MATCH($C11117,'تحليل التكلفة والسعر'!$B$2:$B$700,0)),0))</f>
        <v/>
      </c>
    </row>
    <row r="11118" customFormat="false" ht="15" hidden="false" customHeight="false" outlineLevel="0" collapsed="false">
      <c r="A11118" s="103"/>
      <c r="B11118" s="104"/>
      <c r="C11118" s="104"/>
      <c r="E11118" s="107" t="str">
        <f aca="false">IF($C11118="","",IFERROR(INDEX(المنيو!$C$2:$C$500,MATCH($C11118,المنيو!$B$2:$B$500,0)),0))</f>
        <v/>
      </c>
      <c r="F11118" s="107" t="str">
        <f aca="false">IF($C11118="","",$D11118*$E11118)</f>
        <v/>
      </c>
      <c r="G11118" s="107" t="str">
        <f aca="false">IF($C11118="","",$D11118*IFERROR(INDEX('تحليل التكلفة والسعر'!$C$2:$C$700,MATCH($C11118,'تحليل التكلفة والسعر'!$B$2:$B$700,0)),0))</f>
        <v/>
      </c>
    </row>
    <row r="11119" customFormat="false" ht="15" hidden="false" customHeight="false" outlineLevel="0" collapsed="false">
      <c r="A11119" s="103"/>
      <c r="B11119" s="104"/>
      <c r="C11119" s="104"/>
      <c r="E11119" s="107" t="str">
        <f aca="false">IF($C11119="","",IFERROR(INDEX(المنيو!$C$2:$C$500,MATCH($C11119,المنيو!$B$2:$B$500,0)),0))</f>
        <v/>
      </c>
      <c r="F11119" s="107" t="str">
        <f aca="false">IF($C11119="","",$D11119*$E11119)</f>
        <v/>
      </c>
      <c r="G11119" s="107" t="str">
        <f aca="false">IF($C11119="","",$D11119*IFERROR(INDEX('تحليل التكلفة والسعر'!$C$2:$C$700,MATCH($C11119,'تحليل التكلفة والسعر'!$B$2:$B$700,0)),0))</f>
        <v/>
      </c>
    </row>
    <row r="11120" customFormat="false" ht="15" hidden="false" customHeight="false" outlineLevel="0" collapsed="false">
      <c r="A11120" s="103"/>
      <c r="B11120" s="104"/>
      <c r="C11120" s="104"/>
      <c r="E11120" s="107" t="str">
        <f aca="false">IF($C11120="","",IFERROR(INDEX(المنيو!$C$2:$C$500,MATCH($C11120,المنيو!$B$2:$B$500,0)),0))</f>
        <v/>
      </c>
      <c r="F11120" s="107" t="str">
        <f aca="false">IF($C11120="","",$D11120*$E11120)</f>
        <v/>
      </c>
      <c r="G11120" s="107" t="str">
        <f aca="false">IF($C11120="","",$D11120*IFERROR(INDEX('تحليل التكلفة والسعر'!$C$2:$C$700,MATCH($C11120,'تحليل التكلفة والسعر'!$B$2:$B$700,0)),0))</f>
        <v/>
      </c>
    </row>
    <row r="11121" customFormat="false" ht="15" hidden="false" customHeight="false" outlineLevel="0" collapsed="false">
      <c r="A11121" s="103"/>
      <c r="B11121" s="104"/>
      <c r="C11121" s="104"/>
      <c r="E11121" s="107" t="str">
        <f aca="false">IF($C11121="","",IFERROR(INDEX(المنيو!$C$2:$C$500,MATCH($C11121,المنيو!$B$2:$B$500,0)),0))</f>
        <v/>
      </c>
      <c r="F11121" s="107" t="str">
        <f aca="false">IF($C11121="","",$D11121*$E11121)</f>
        <v/>
      </c>
      <c r="G11121" s="107" t="str">
        <f aca="false">IF($C11121="","",$D11121*IFERROR(INDEX('تحليل التكلفة والسعر'!$C$2:$C$700,MATCH($C11121,'تحليل التكلفة والسعر'!$B$2:$B$700,0)),0))</f>
        <v/>
      </c>
    </row>
    <row r="11122" customFormat="false" ht="15" hidden="false" customHeight="false" outlineLevel="0" collapsed="false">
      <c r="A11122" s="103"/>
      <c r="B11122" s="104"/>
      <c r="C11122" s="104"/>
      <c r="E11122" s="107" t="str">
        <f aca="false">IF($C11122="","",IFERROR(INDEX(المنيو!$C$2:$C$500,MATCH($C11122,المنيو!$B$2:$B$500,0)),0))</f>
        <v/>
      </c>
      <c r="F11122" s="107" t="str">
        <f aca="false">IF($C11122="","",$D11122*$E11122)</f>
        <v/>
      </c>
      <c r="G11122" s="107" t="str">
        <f aca="false">IF($C11122="","",$D11122*IFERROR(INDEX('تحليل التكلفة والسعر'!$C$2:$C$700,MATCH($C11122,'تحليل التكلفة والسعر'!$B$2:$B$700,0)),0))</f>
        <v/>
      </c>
    </row>
    <row r="11123" customFormat="false" ht="15" hidden="false" customHeight="false" outlineLevel="0" collapsed="false">
      <c r="A11123" s="103"/>
      <c r="B11123" s="104"/>
      <c r="C11123" s="104"/>
      <c r="E11123" s="107" t="str">
        <f aca="false">IF($C11123="","",IFERROR(INDEX(المنيو!$C$2:$C$500,MATCH($C11123,المنيو!$B$2:$B$500,0)),0))</f>
        <v/>
      </c>
      <c r="F11123" s="107" t="str">
        <f aca="false">IF($C11123="","",$D11123*$E11123)</f>
        <v/>
      </c>
      <c r="G11123" s="107" t="str">
        <f aca="false">IF($C11123="","",$D11123*IFERROR(INDEX('تحليل التكلفة والسعر'!$C$2:$C$700,MATCH($C11123,'تحليل التكلفة والسعر'!$B$2:$B$700,0)),0))</f>
        <v/>
      </c>
    </row>
    <row r="11124" customFormat="false" ht="15" hidden="false" customHeight="false" outlineLevel="0" collapsed="false">
      <c r="A11124" s="103"/>
      <c r="B11124" s="104"/>
      <c r="C11124" s="104"/>
      <c r="E11124" s="107" t="str">
        <f aca="false">IF($C11124="","",IFERROR(INDEX(المنيو!$C$2:$C$500,MATCH($C11124,المنيو!$B$2:$B$500,0)),0))</f>
        <v/>
      </c>
      <c r="F11124" s="107" t="str">
        <f aca="false">IF($C11124="","",$D11124*$E11124)</f>
        <v/>
      </c>
      <c r="G11124" s="107" t="str">
        <f aca="false">IF($C11124="","",$D11124*IFERROR(INDEX('تحليل التكلفة والسعر'!$C$2:$C$700,MATCH($C11124,'تحليل التكلفة والسعر'!$B$2:$B$700,0)),0))</f>
        <v/>
      </c>
    </row>
    <row r="11125" customFormat="false" ht="15" hidden="false" customHeight="false" outlineLevel="0" collapsed="false">
      <c r="A11125" s="103"/>
      <c r="B11125" s="104"/>
      <c r="C11125" s="104"/>
      <c r="E11125" s="107" t="str">
        <f aca="false">IF($C11125="","",IFERROR(INDEX(المنيو!$C$2:$C$500,MATCH($C11125,المنيو!$B$2:$B$500,0)),0))</f>
        <v/>
      </c>
      <c r="F11125" s="107" t="str">
        <f aca="false">IF($C11125="","",$D11125*$E11125)</f>
        <v/>
      </c>
      <c r="G11125" s="107" t="str">
        <f aca="false">IF($C11125="","",$D11125*IFERROR(INDEX('تحليل التكلفة والسعر'!$C$2:$C$700,MATCH($C11125,'تحليل التكلفة والسعر'!$B$2:$B$700,0)),0))</f>
        <v/>
      </c>
    </row>
    <row r="11126" customFormat="false" ht="15" hidden="false" customHeight="false" outlineLevel="0" collapsed="false">
      <c r="A11126" s="103"/>
      <c r="B11126" s="104"/>
      <c r="C11126" s="104"/>
      <c r="E11126" s="107" t="str">
        <f aca="false">IF($C11126="","",IFERROR(INDEX(المنيو!$C$2:$C$500,MATCH($C11126,المنيو!$B$2:$B$500,0)),0))</f>
        <v/>
      </c>
      <c r="F11126" s="107" t="str">
        <f aca="false">IF($C11126="","",$D11126*$E11126)</f>
        <v/>
      </c>
      <c r="G11126" s="107" t="str">
        <f aca="false">IF($C11126="","",$D11126*IFERROR(INDEX('تحليل التكلفة والسعر'!$C$2:$C$700,MATCH($C11126,'تحليل التكلفة والسعر'!$B$2:$B$700,0)),0))</f>
        <v/>
      </c>
    </row>
    <row r="11127" customFormat="false" ht="15" hidden="false" customHeight="false" outlineLevel="0" collapsed="false">
      <c r="A11127" s="103"/>
      <c r="B11127" s="104"/>
      <c r="C11127" s="104"/>
      <c r="E11127" s="107" t="str">
        <f aca="false">IF($C11127="","",IFERROR(INDEX(المنيو!$C$2:$C$500,MATCH($C11127,المنيو!$B$2:$B$500,0)),0))</f>
        <v/>
      </c>
      <c r="F11127" s="107" t="str">
        <f aca="false">IF($C11127="","",$D11127*$E11127)</f>
        <v/>
      </c>
      <c r="G11127" s="107" t="str">
        <f aca="false">IF($C11127="","",$D11127*IFERROR(INDEX('تحليل التكلفة والسعر'!$C$2:$C$700,MATCH($C11127,'تحليل التكلفة والسعر'!$B$2:$B$700,0)),0))</f>
        <v/>
      </c>
    </row>
    <row r="11128" customFormat="false" ht="15" hidden="false" customHeight="false" outlineLevel="0" collapsed="false">
      <c r="A11128" s="103"/>
      <c r="B11128" s="104"/>
      <c r="C11128" s="104"/>
      <c r="E11128" s="107" t="str">
        <f aca="false">IF($C11128="","",IFERROR(INDEX(المنيو!$C$2:$C$500,MATCH($C11128,المنيو!$B$2:$B$500,0)),0))</f>
        <v/>
      </c>
      <c r="F11128" s="107" t="str">
        <f aca="false">IF($C11128="","",$D11128*$E11128)</f>
        <v/>
      </c>
      <c r="G11128" s="107" t="str">
        <f aca="false">IF($C11128="","",$D11128*IFERROR(INDEX('تحليل التكلفة والسعر'!$C$2:$C$700,MATCH($C11128,'تحليل التكلفة والسعر'!$B$2:$B$700,0)),0))</f>
        <v/>
      </c>
    </row>
    <row r="11129" customFormat="false" ht="15" hidden="false" customHeight="false" outlineLevel="0" collapsed="false">
      <c r="A11129" s="103"/>
      <c r="B11129" s="104"/>
      <c r="C11129" s="104"/>
      <c r="E11129" s="107" t="str">
        <f aca="false">IF($C11129="","",IFERROR(INDEX(المنيو!$C$2:$C$500,MATCH($C11129,المنيو!$B$2:$B$500,0)),0))</f>
        <v/>
      </c>
      <c r="F11129" s="107" t="str">
        <f aca="false">IF($C11129="","",$D11129*$E11129)</f>
        <v/>
      </c>
      <c r="G11129" s="107" t="str">
        <f aca="false">IF($C11129="","",$D11129*IFERROR(INDEX('تحليل التكلفة والسعر'!$C$2:$C$700,MATCH($C11129,'تحليل التكلفة والسعر'!$B$2:$B$700,0)),0))</f>
        <v/>
      </c>
    </row>
    <row r="11130" customFormat="false" ht="15" hidden="false" customHeight="false" outlineLevel="0" collapsed="false">
      <c r="A11130" s="103"/>
      <c r="B11130" s="104"/>
      <c r="C11130" s="104"/>
      <c r="E11130" s="107" t="str">
        <f aca="false">IF($C11130="","",IFERROR(INDEX(المنيو!$C$2:$C$500,MATCH($C11130,المنيو!$B$2:$B$500,0)),0))</f>
        <v/>
      </c>
      <c r="F11130" s="107" t="str">
        <f aca="false">IF($C11130="","",$D11130*$E11130)</f>
        <v/>
      </c>
      <c r="G11130" s="107" t="str">
        <f aca="false">IF($C11130="","",$D11130*IFERROR(INDEX('تحليل التكلفة والسعر'!$C$2:$C$700,MATCH($C11130,'تحليل التكلفة والسعر'!$B$2:$B$700,0)),0))</f>
        <v/>
      </c>
    </row>
    <row r="11131" customFormat="false" ht="15" hidden="false" customHeight="false" outlineLevel="0" collapsed="false">
      <c r="A11131" s="103"/>
      <c r="B11131" s="104"/>
      <c r="C11131" s="104"/>
      <c r="E11131" s="107" t="str">
        <f aca="false">IF($C11131="","",IFERROR(INDEX(المنيو!$C$2:$C$500,MATCH($C11131,المنيو!$B$2:$B$500,0)),0))</f>
        <v/>
      </c>
      <c r="F11131" s="107" t="str">
        <f aca="false">IF($C11131="","",$D11131*$E11131)</f>
        <v/>
      </c>
      <c r="G11131" s="107" t="str">
        <f aca="false">IF($C11131="","",$D11131*IFERROR(INDEX('تحليل التكلفة والسعر'!$C$2:$C$700,MATCH($C11131,'تحليل التكلفة والسعر'!$B$2:$B$700,0)),0))</f>
        <v/>
      </c>
    </row>
    <row r="11132" customFormat="false" ht="15" hidden="false" customHeight="false" outlineLevel="0" collapsed="false">
      <c r="A11132" s="103"/>
      <c r="B11132" s="104"/>
      <c r="C11132" s="104"/>
      <c r="E11132" s="107" t="str">
        <f aca="false">IF($C11132="","",IFERROR(INDEX(المنيو!$C$2:$C$500,MATCH($C11132,المنيو!$B$2:$B$500,0)),0))</f>
        <v/>
      </c>
      <c r="F11132" s="107" t="str">
        <f aca="false">IF($C11132="","",$D11132*$E11132)</f>
        <v/>
      </c>
      <c r="G11132" s="107" t="str">
        <f aca="false">IF($C11132="","",$D11132*IFERROR(INDEX('تحليل التكلفة والسعر'!$C$2:$C$700,MATCH($C11132,'تحليل التكلفة والسعر'!$B$2:$B$700,0)),0))</f>
        <v/>
      </c>
    </row>
    <row r="11133" customFormat="false" ht="15" hidden="false" customHeight="false" outlineLevel="0" collapsed="false">
      <c r="A11133" s="103"/>
      <c r="B11133" s="104"/>
      <c r="C11133" s="104"/>
      <c r="E11133" s="107" t="str">
        <f aca="false">IF($C11133="","",IFERROR(INDEX(المنيو!$C$2:$C$500,MATCH($C11133,المنيو!$B$2:$B$500,0)),0))</f>
        <v/>
      </c>
      <c r="F11133" s="107" t="str">
        <f aca="false">IF($C11133="","",$D11133*$E11133)</f>
        <v/>
      </c>
      <c r="G11133" s="107" t="str">
        <f aca="false">IF($C11133="","",$D11133*IFERROR(INDEX('تحليل التكلفة والسعر'!$C$2:$C$700,MATCH($C11133,'تحليل التكلفة والسعر'!$B$2:$B$700,0)),0))</f>
        <v/>
      </c>
    </row>
    <row r="11134" customFormat="false" ht="15" hidden="false" customHeight="false" outlineLevel="0" collapsed="false">
      <c r="A11134" s="103"/>
      <c r="B11134" s="104"/>
      <c r="C11134" s="104"/>
      <c r="E11134" s="107" t="str">
        <f aca="false">IF($C11134="","",IFERROR(INDEX(المنيو!$C$2:$C$500,MATCH($C11134,المنيو!$B$2:$B$500,0)),0))</f>
        <v/>
      </c>
      <c r="F11134" s="107" t="str">
        <f aca="false">IF($C11134="","",$D11134*$E11134)</f>
        <v/>
      </c>
      <c r="G11134" s="107" t="str">
        <f aca="false">IF($C11134="","",$D11134*IFERROR(INDEX('تحليل التكلفة والسعر'!$C$2:$C$700,MATCH($C11134,'تحليل التكلفة والسعر'!$B$2:$B$700,0)),0))</f>
        <v/>
      </c>
    </row>
    <row r="11135" customFormat="false" ht="15" hidden="false" customHeight="false" outlineLevel="0" collapsed="false">
      <c r="A11135" s="103"/>
      <c r="B11135" s="104"/>
      <c r="C11135" s="104"/>
      <c r="E11135" s="107" t="str">
        <f aca="false">IF($C11135="","",IFERROR(INDEX(المنيو!$C$2:$C$500,MATCH($C11135,المنيو!$B$2:$B$500,0)),0))</f>
        <v/>
      </c>
      <c r="F11135" s="107" t="str">
        <f aca="false">IF($C11135="","",$D11135*$E11135)</f>
        <v/>
      </c>
      <c r="G11135" s="107" t="str">
        <f aca="false">IF($C11135="","",$D11135*IFERROR(INDEX('تحليل التكلفة والسعر'!$C$2:$C$700,MATCH($C11135,'تحليل التكلفة والسعر'!$B$2:$B$700,0)),0))</f>
        <v/>
      </c>
    </row>
    <row r="11136" customFormat="false" ht="15" hidden="false" customHeight="false" outlineLevel="0" collapsed="false">
      <c r="A11136" s="103"/>
      <c r="B11136" s="104"/>
      <c r="C11136" s="104"/>
      <c r="E11136" s="107" t="str">
        <f aca="false">IF($C11136="","",IFERROR(INDEX(المنيو!$C$2:$C$500,MATCH($C11136,المنيو!$B$2:$B$500,0)),0))</f>
        <v/>
      </c>
      <c r="F11136" s="107" t="str">
        <f aca="false">IF($C11136="","",$D11136*$E11136)</f>
        <v/>
      </c>
      <c r="G11136" s="107" t="str">
        <f aca="false">IF($C11136="","",$D11136*IFERROR(INDEX('تحليل التكلفة والسعر'!$C$2:$C$700,MATCH($C11136,'تحليل التكلفة والسعر'!$B$2:$B$700,0)),0))</f>
        <v/>
      </c>
    </row>
    <row r="11137" customFormat="false" ht="15" hidden="false" customHeight="false" outlineLevel="0" collapsed="false">
      <c r="A11137" s="103"/>
      <c r="B11137" s="104"/>
      <c r="C11137" s="104"/>
      <c r="E11137" s="107" t="str">
        <f aca="false">IF($C11137="","",IFERROR(INDEX(المنيو!$C$2:$C$500,MATCH($C11137,المنيو!$B$2:$B$500,0)),0))</f>
        <v/>
      </c>
      <c r="F11137" s="107" t="str">
        <f aca="false">IF($C11137="","",$D11137*$E11137)</f>
        <v/>
      </c>
      <c r="G11137" s="107" t="str">
        <f aca="false">IF($C11137="","",$D11137*IFERROR(INDEX('تحليل التكلفة والسعر'!$C$2:$C$700,MATCH($C11137,'تحليل التكلفة والسعر'!$B$2:$B$700,0)),0))</f>
        <v/>
      </c>
    </row>
    <row r="11138" customFormat="false" ht="15" hidden="false" customHeight="false" outlineLevel="0" collapsed="false">
      <c r="A11138" s="103"/>
      <c r="B11138" s="104"/>
      <c r="C11138" s="104"/>
      <c r="E11138" s="107" t="str">
        <f aca="false">IF($C11138="","",IFERROR(INDEX(المنيو!$C$2:$C$500,MATCH($C11138,المنيو!$B$2:$B$500,0)),0))</f>
        <v/>
      </c>
      <c r="F11138" s="107" t="str">
        <f aca="false">IF($C11138="","",$D11138*$E11138)</f>
        <v/>
      </c>
      <c r="G11138" s="107" t="str">
        <f aca="false">IF($C11138="","",$D11138*IFERROR(INDEX('تحليل التكلفة والسعر'!$C$2:$C$700,MATCH($C11138,'تحليل التكلفة والسعر'!$B$2:$B$700,0)),0))</f>
        <v/>
      </c>
    </row>
    <row r="11139" customFormat="false" ht="15" hidden="false" customHeight="false" outlineLevel="0" collapsed="false">
      <c r="A11139" s="103"/>
      <c r="B11139" s="104"/>
      <c r="C11139" s="104"/>
      <c r="E11139" s="107" t="str">
        <f aca="false">IF($C11139="","",IFERROR(INDEX(المنيو!$C$2:$C$500,MATCH($C11139,المنيو!$B$2:$B$500,0)),0))</f>
        <v/>
      </c>
      <c r="F11139" s="107" t="str">
        <f aca="false">IF($C11139="","",$D11139*$E11139)</f>
        <v/>
      </c>
      <c r="G11139" s="107" t="str">
        <f aca="false">IF($C11139="","",$D11139*IFERROR(INDEX('تحليل التكلفة والسعر'!$C$2:$C$700,MATCH($C11139,'تحليل التكلفة والسعر'!$B$2:$B$700,0)),0))</f>
        <v/>
      </c>
    </row>
    <row r="11140" customFormat="false" ht="15" hidden="false" customHeight="false" outlineLevel="0" collapsed="false">
      <c r="A11140" s="103"/>
      <c r="B11140" s="104"/>
      <c r="C11140" s="104"/>
      <c r="E11140" s="107" t="str">
        <f aca="false">IF($C11140="","",IFERROR(INDEX(المنيو!$C$2:$C$500,MATCH($C11140,المنيو!$B$2:$B$500,0)),0))</f>
        <v/>
      </c>
      <c r="F11140" s="107" t="str">
        <f aca="false">IF($C11140="","",$D11140*$E11140)</f>
        <v/>
      </c>
      <c r="G11140" s="107" t="str">
        <f aca="false">IF($C11140="","",$D11140*IFERROR(INDEX('تحليل التكلفة والسعر'!$C$2:$C$700,MATCH($C11140,'تحليل التكلفة والسعر'!$B$2:$B$700,0)),0))</f>
        <v/>
      </c>
    </row>
    <row r="11141" customFormat="false" ht="15" hidden="false" customHeight="false" outlineLevel="0" collapsed="false">
      <c r="A11141" s="103"/>
      <c r="B11141" s="104"/>
      <c r="C11141" s="104"/>
      <c r="E11141" s="107" t="str">
        <f aca="false">IF($C11141="","",IFERROR(INDEX(المنيو!$C$2:$C$500,MATCH($C11141,المنيو!$B$2:$B$500,0)),0))</f>
        <v/>
      </c>
      <c r="F11141" s="107" t="str">
        <f aca="false">IF($C11141="","",$D11141*$E11141)</f>
        <v/>
      </c>
      <c r="G11141" s="107" t="str">
        <f aca="false">IF($C11141="","",$D11141*IFERROR(INDEX('تحليل التكلفة والسعر'!$C$2:$C$700,MATCH($C11141,'تحليل التكلفة والسعر'!$B$2:$B$700,0)),0))</f>
        <v/>
      </c>
    </row>
    <row r="11142" customFormat="false" ht="15" hidden="false" customHeight="false" outlineLevel="0" collapsed="false">
      <c r="A11142" s="103"/>
      <c r="B11142" s="104"/>
      <c r="C11142" s="104"/>
      <c r="E11142" s="107" t="str">
        <f aca="false">IF($C11142="","",IFERROR(INDEX(المنيو!$C$2:$C$500,MATCH($C11142,المنيو!$B$2:$B$500,0)),0))</f>
        <v/>
      </c>
      <c r="F11142" s="107" t="str">
        <f aca="false">IF($C11142="","",$D11142*$E11142)</f>
        <v/>
      </c>
      <c r="G11142" s="107" t="str">
        <f aca="false">IF($C11142="","",$D11142*IFERROR(INDEX('تحليل التكلفة والسعر'!$C$2:$C$700,MATCH($C11142,'تحليل التكلفة والسعر'!$B$2:$B$700,0)),0))</f>
        <v/>
      </c>
    </row>
    <row r="11143" customFormat="false" ht="15" hidden="false" customHeight="false" outlineLevel="0" collapsed="false">
      <c r="A11143" s="103"/>
      <c r="B11143" s="104"/>
      <c r="C11143" s="104"/>
      <c r="E11143" s="107" t="str">
        <f aca="false">IF($C11143="","",IFERROR(INDEX(المنيو!$C$2:$C$500,MATCH($C11143,المنيو!$B$2:$B$500,0)),0))</f>
        <v/>
      </c>
      <c r="F11143" s="107" t="str">
        <f aca="false">IF($C11143="","",$D11143*$E11143)</f>
        <v/>
      </c>
      <c r="G11143" s="107" t="str">
        <f aca="false">IF($C11143="","",$D11143*IFERROR(INDEX('تحليل التكلفة والسعر'!$C$2:$C$700,MATCH($C11143,'تحليل التكلفة والسعر'!$B$2:$B$700,0)),0))</f>
        <v/>
      </c>
    </row>
    <row r="11144" customFormat="false" ht="15" hidden="false" customHeight="false" outlineLevel="0" collapsed="false">
      <c r="A11144" s="103"/>
      <c r="B11144" s="104"/>
      <c r="C11144" s="104"/>
      <c r="E11144" s="107" t="str">
        <f aca="false">IF($C11144="","",IFERROR(INDEX(المنيو!$C$2:$C$500,MATCH($C11144,المنيو!$B$2:$B$500,0)),0))</f>
        <v/>
      </c>
      <c r="F11144" s="107" t="str">
        <f aca="false">IF($C11144="","",$D11144*$E11144)</f>
        <v/>
      </c>
      <c r="G11144" s="107" t="str">
        <f aca="false">IF($C11144="","",$D11144*IFERROR(INDEX('تحليل التكلفة والسعر'!$C$2:$C$700,MATCH($C11144,'تحليل التكلفة والسعر'!$B$2:$B$700,0)),0))</f>
        <v/>
      </c>
    </row>
    <row r="11145" customFormat="false" ht="15" hidden="false" customHeight="false" outlineLevel="0" collapsed="false">
      <c r="A11145" s="103"/>
      <c r="B11145" s="104"/>
      <c r="C11145" s="104"/>
      <c r="E11145" s="107" t="str">
        <f aca="false">IF($C11145="","",IFERROR(INDEX(المنيو!$C$2:$C$500,MATCH($C11145,المنيو!$B$2:$B$500,0)),0))</f>
        <v/>
      </c>
      <c r="F11145" s="107" t="str">
        <f aca="false">IF($C11145="","",$D11145*$E11145)</f>
        <v/>
      </c>
      <c r="G11145" s="107" t="str">
        <f aca="false">IF($C11145="","",$D11145*IFERROR(INDEX('تحليل التكلفة والسعر'!$C$2:$C$700,MATCH($C11145,'تحليل التكلفة والسعر'!$B$2:$B$700,0)),0))</f>
        <v/>
      </c>
    </row>
    <row r="11146" customFormat="false" ht="15" hidden="false" customHeight="false" outlineLevel="0" collapsed="false">
      <c r="A11146" s="103"/>
      <c r="B11146" s="104"/>
      <c r="C11146" s="104"/>
      <c r="E11146" s="107" t="str">
        <f aca="false">IF($C11146="","",IFERROR(INDEX(المنيو!$C$2:$C$500,MATCH($C11146,المنيو!$B$2:$B$500,0)),0))</f>
        <v/>
      </c>
      <c r="F11146" s="107" t="str">
        <f aca="false">IF($C11146="","",$D11146*$E11146)</f>
        <v/>
      </c>
      <c r="G11146" s="107" t="str">
        <f aca="false">IF($C11146="","",$D11146*IFERROR(INDEX('تحليل التكلفة والسعر'!$C$2:$C$700,MATCH($C11146,'تحليل التكلفة والسعر'!$B$2:$B$700,0)),0))</f>
        <v/>
      </c>
    </row>
    <row r="11147" customFormat="false" ht="15" hidden="false" customHeight="false" outlineLevel="0" collapsed="false">
      <c r="A11147" s="103"/>
      <c r="B11147" s="104"/>
      <c r="C11147" s="104"/>
      <c r="E11147" s="107" t="str">
        <f aca="false">IF($C11147="","",IFERROR(INDEX(المنيو!$C$2:$C$500,MATCH($C11147,المنيو!$B$2:$B$500,0)),0))</f>
        <v/>
      </c>
      <c r="F11147" s="107" t="str">
        <f aca="false">IF($C11147="","",$D11147*$E11147)</f>
        <v/>
      </c>
      <c r="G11147" s="107" t="str">
        <f aca="false">IF($C11147="","",$D11147*IFERROR(INDEX('تحليل التكلفة والسعر'!$C$2:$C$700,MATCH($C11147,'تحليل التكلفة والسعر'!$B$2:$B$700,0)),0))</f>
        <v/>
      </c>
    </row>
    <row r="11148" customFormat="false" ht="15" hidden="false" customHeight="false" outlineLevel="0" collapsed="false">
      <c r="A11148" s="103"/>
      <c r="B11148" s="104"/>
      <c r="C11148" s="104"/>
      <c r="E11148" s="107" t="str">
        <f aca="false">IF($C11148="","",IFERROR(INDEX(المنيو!$C$2:$C$500,MATCH($C11148,المنيو!$B$2:$B$500,0)),0))</f>
        <v/>
      </c>
      <c r="F11148" s="107" t="str">
        <f aca="false">IF($C11148="","",$D11148*$E11148)</f>
        <v/>
      </c>
      <c r="G11148" s="107" t="str">
        <f aca="false">IF($C11148="","",$D11148*IFERROR(INDEX('تحليل التكلفة والسعر'!$C$2:$C$700,MATCH($C11148,'تحليل التكلفة والسعر'!$B$2:$B$700,0)),0))</f>
        <v/>
      </c>
    </row>
    <row r="11149" customFormat="false" ht="15" hidden="false" customHeight="false" outlineLevel="0" collapsed="false">
      <c r="A11149" s="103"/>
      <c r="B11149" s="104"/>
      <c r="C11149" s="104"/>
      <c r="E11149" s="107" t="str">
        <f aca="false">IF($C11149="","",IFERROR(INDEX(المنيو!$C$2:$C$500,MATCH($C11149,المنيو!$B$2:$B$500,0)),0))</f>
        <v/>
      </c>
      <c r="F11149" s="107" t="str">
        <f aca="false">IF($C11149="","",$D11149*$E11149)</f>
        <v/>
      </c>
      <c r="G11149" s="107" t="str">
        <f aca="false">IF($C11149="","",$D11149*IFERROR(INDEX('تحليل التكلفة والسعر'!$C$2:$C$700,MATCH($C11149,'تحليل التكلفة والسعر'!$B$2:$B$700,0)),0))</f>
        <v/>
      </c>
    </row>
    <row r="11150" customFormat="false" ht="15" hidden="false" customHeight="false" outlineLevel="0" collapsed="false">
      <c r="A11150" s="103"/>
      <c r="B11150" s="104"/>
      <c r="C11150" s="104"/>
      <c r="E11150" s="107" t="str">
        <f aca="false">IF($C11150="","",IFERROR(INDEX(المنيو!$C$2:$C$500,MATCH($C11150,المنيو!$B$2:$B$500,0)),0))</f>
        <v/>
      </c>
      <c r="F11150" s="107" t="str">
        <f aca="false">IF($C11150="","",$D11150*$E11150)</f>
        <v/>
      </c>
      <c r="G11150" s="107" t="str">
        <f aca="false">IF($C11150="","",$D11150*IFERROR(INDEX('تحليل التكلفة والسعر'!$C$2:$C$700,MATCH($C11150,'تحليل التكلفة والسعر'!$B$2:$B$700,0)),0))</f>
        <v/>
      </c>
    </row>
    <row r="11151" customFormat="false" ht="15" hidden="false" customHeight="false" outlineLevel="0" collapsed="false">
      <c r="A11151" s="103"/>
      <c r="B11151" s="104"/>
      <c r="C11151" s="104"/>
      <c r="E11151" s="107" t="str">
        <f aca="false">IF($C11151="","",IFERROR(INDEX(المنيو!$C$2:$C$500,MATCH($C11151,المنيو!$B$2:$B$500,0)),0))</f>
        <v/>
      </c>
      <c r="F11151" s="107" t="str">
        <f aca="false">IF($C11151="","",$D11151*$E11151)</f>
        <v/>
      </c>
      <c r="G11151" s="107" t="str">
        <f aca="false">IF($C11151="","",$D11151*IFERROR(INDEX('تحليل التكلفة والسعر'!$C$2:$C$700,MATCH($C11151,'تحليل التكلفة والسعر'!$B$2:$B$700,0)),0))</f>
        <v/>
      </c>
    </row>
    <row r="11152" customFormat="false" ht="15" hidden="false" customHeight="false" outlineLevel="0" collapsed="false">
      <c r="A11152" s="103"/>
      <c r="B11152" s="104"/>
      <c r="C11152" s="104"/>
      <c r="E11152" s="107" t="str">
        <f aca="false">IF($C11152="","",IFERROR(INDEX(المنيو!$C$2:$C$500,MATCH($C11152,المنيو!$B$2:$B$500,0)),0))</f>
        <v/>
      </c>
      <c r="F11152" s="107" t="str">
        <f aca="false">IF($C11152="","",$D11152*$E11152)</f>
        <v/>
      </c>
      <c r="G11152" s="107" t="str">
        <f aca="false">IF($C11152="","",$D11152*IFERROR(INDEX('تحليل التكلفة والسعر'!$C$2:$C$700,MATCH($C11152,'تحليل التكلفة والسعر'!$B$2:$B$700,0)),0))</f>
        <v/>
      </c>
    </row>
    <row r="11153" customFormat="false" ht="15" hidden="false" customHeight="false" outlineLevel="0" collapsed="false">
      <c r="A11153" s="103"/>
      <c r="B11153" s="104"/>
      <c r="C11153" s="104"/>
      <c r="E11153" s="107" t="str">
        <f aca="false">IF($C11153="","",IFERROR(INDEX(المنيو!$C$2:$C$500,MATCH($C11153,المنيو!$B$2:$B$500,0)),0))</f>
        <v/>
      </c>
      <c r="F11153" s="107" t="str">
        <f aca="false">IF($C11153="","",$D11153*$E11153)</f>
        <v/>
      </c>
      <c r="G11153" s="107" t="str">
        <f aca="false">IF($C11153="","",$D11153*IFERROR(INDEX('تحليل التكلفة والسعر'!$C$2:$C$700,MATCH($C11153,'تحليل التكلفة والسعر'!$B$2:$B$700,0)),0))</f>
        <v/>
      </c>
    </row>
    <row r="11154" customFormat="false" ht="15" hidden="false" customHeight="false" outlineLevel="0" collapsed="false">
      <c r="A11154" s="103"/>
      <c r="B11154" s="104"/>
      <c r="C11154" s="104"/>
      <c r="E11154" s="107" t="str">
        <f aca="false">IF($C11154="","",IFERROR(INDEX(المنيو!$C$2:$C$500,MATCH($C11154,المنيو!$B$2:$B$500,0)),0))</f>
        <v/>
      </c>
      <c r="F11154" s="107" t="str">
        <f aca="false">IF($C11154="","",$D11154*$E11154)</f>
        <v/>
      </c>
      <c r="G11154" s="107" t="str">
        <f aca="false">IF($C11154="","",$D11154*IFERROR(INDEX('تحليل التكلفة والسعر'!$C$2:$C$700,MATCH($C11154,'تحليل التكلفة والسعر'!$B$2:$B$700,0)),0))</f>
        <v/>
      </c>
    </row>
    <row r="11155" customFormat="false" ht="15" hidden="false" customHeight="false" outlineLevel="0" collapsed="false">
      <c r="A11155" s="103"/>
      <c r="B11155" s="104"/>
      <c r="C11155" s="104"/>
      <c r="E11155" s="107" t="str">
        <f aca="false">IF($C11155="","",IFERROR(INDEX(المنيو!$C$2:$C$500,MATCH($C11155,المنيو!$B$2:$B$500,0)),0))</f>
        <v/>
      </c>
      <c r="F11155" s="107" t="str">
        <f aca="false">IF($C11155="","",$D11155*$E11155)</f>
        <v/>
      </c>
      <c r="G11155" s="107" t="str">
        <f aca="false">IF($C11155="","",$D11155*IFERROR(INDEX('تحليل التكلفة والسعر'!$C$2:$C$700,MATCH($C11155,'تحليل التكلفة والسعر'!$B$2:$B$700,0)),0))</f>
        <v/>
      </c>
    </row>
    <row r="11156" customFormat="false" ht="15" hidden="false" customHeight="false" outlineLevel="0" collapsed="false">
      <c r="A11156" s="103"/>
      <c r="B11156" s="104"/>
      <c r="C11156" s="104"/>
      <c r="E11156" s="107" t="str">
        <f aca="false">IF($C11156="","",IFERROR(INDEX(المنيو!$C$2:$C$500,MATCH($C11156,المنيو!$B$2:$B$500,0)),0))</f>
        <v/>
      </c>
      <c r="F11156" s="107" t="str">
        <f aca="false">IF($C11156="","",$D11156*$E11156)</f>
        <v/>
      </c>
      <c r="G11156" s="107" t="str">
        <f aca="false">IF($C11156="","",$D11156*IFERROR(INDEX('تحليل التكلفة والسعر'!$C$2:$C$700,MATCH($C11156,'تحليل التكلفة والسعر'!$B$2:$B$700,0)),0))</f>
        <v/>
      </c>
    </row>
    <row r="11157" customFormat="false" ht="15" hidden="false" customHeight="false" outlineLevel="0" collapsed="false">
      <c r="A11157" s="103"/>
      <c r="B11157" s="104"/>
      <c r="C11157" s="104"/>
      <c r="E11157" s="107" t="str">
        <f aca="false">IF($C11157="","",IFERROR(INDEX(المنيو!$C$2:$C$500,MATCH($C11157,المنيو!$B$2:$B$500,0)),0))</f>
        <v/>
      </c>
      <c r="F11157" s="107" t="str">
        <f aca="false">IF($C11157="","",$D11157*$E11157)</f>
        <v/>
      </c>
      <c r="G11157" s="107" t="str">
        <f aca="false">IF($C11157="","",$D11157*IFERROR(INDEX('تحليل التكلفة والسعر'!$C$2:$C$700,MATCH($C11157,'تحليل التكلفة والسعر'!$B$2:$B$700,0)),0))</f>
        <v/>
      </c>
    </row>
    <row r="11158" customFormat="false" ht="15" hidden="false" customHeight="false" outlineLevel="0" collapsed="false">
      <c r="A11158" s="103"/>
      <c r="B11158" s="104"/>
      <c r="C11158" s="104"/>
      <c r="E11158" s="107" t="str">
        <f aca="false">IF($C11158="","",IFERROR(INDEX(المنيو!$C$2:$C$500,MATCH($C11158,المنيو!$B$2:$B$500,0)),0))</f>
        <v/>
      </c>
      <c r="F11158" s="107" t="str">
        <f aca="false">IF($C11158="","",$D11158*$E11158)</f>
        <v/>
      </c>
      <c r="G11158" s="107" t="str">
        <f aca="false">IF($C11158="","",$D11158*IFERROR(INDEX('تحليل التكلفة والسعر'!$C$2:$C$700,MATCH($C11158,'تحليل التكلفة والسعر'!$B$2:$B$700,0)),0))</f>
        <v/>
      </c>
    </row>
    <row r="11159" customFormat="false" ht="15" hidden="false" customHeight="false" outlineLevel="0" collapsed="false">
      <c r="A11159" s="103"/>
      <c r="B11159" s="104"/>
      <c r="C11159" s="104"/>
      <c r="E11159" s="107" t="str">
        <f aca="false">IF($C11159="","",IFERROR(INDEX(المنيو!$C$2:$C$500,MATCH($C11159,المنيو!$B$2:$B$500,0)),0))</f>
        <v/>
      </c>
      <c r="F11159" s="107" t="str">
        <f aca="false">IF($C11159="","",$D11159*$E11159)</f>
        <v/>
      </c>
      <c r="G11159" s="107" t="str">
        <f aca="false">IF($C11159="","",$D11159*IFERROR(INDEX('تحليل التكلفة والسعر'!$C$2:$C$700,MATCH($C11159,'تحليل التكلفة والسعر'!$B$2:$B$700,0)),0))</f>
        <v/>
      </c>
    </row>
    <row r="11160" customFormat="false" ht="15" hidden="false" customHeight="false" outlineLevel="0" collapsed="false">
      <c r="A11160" s="103"/>
      <c r="B11160" s="104"/>
      <c r="C11160" s="104"/>
      <c r="E11160" s="107" t="str">
        <f aca="false">IF($C11160="","",IFERROR(INDEX(المنيو!$C$2:$C$500,MATCH($C11160,المنيو!$B$2:$B$500,0)),0))</f>
        <v/>
      </c>
      <c r="F11160" s="107" t="str">
        <f aca="false">IF($C11160="","",$D11160*$E11160)</f>
        <v/>
      </c>
      <c r="G11160" s="107" t="str">
        <f aca="false">IF($C11160="","",$D11160*IFERROR(INDEX('تحليل التكلفة والسعر'!$C$2:$C$700,MATCH($C11160,'تحليل التكلفة والسعر'!$B$2:$B$700,0)),0))</f>
        <v/>
      </c>
    </row>
    <row r="11161" customFormat="false" ht="15" hidden="false" customHeight="false" outlineLevel="0" collapsed="false">
      <c r="A11161" s="103"/>
      <c r="B11161" s="104"/>
      <c r="C11161" s="104"/>
      <c r="E11161" s="107" t="str">
        <f aca="false">IF($C11161="","",IFERROR(INDEX(المنيو!$C$2:$C$500,MATCH($C11161,المنيو!$B$2:$B$500,0)),0))</f>
        <v/>
      </c>
      <c r="F11161" s="107" t="str">
        <f aca="false">IF($C11161="","",$D11161*$E11161)</f>
        <v/>
      </c>
      <c r="G11161" s="107" t="str">
        <f aca="false">IF($C11161="","",$D11161*IFERROR(INDEX('تحليل التكلفة والسعر'!$C$2:$C$700,MATCH($C11161,'تحليل التكلفة والسعر'!$B$2:$B$700,0)),0))</f>
        <v/>
      </c>
    </row>
    <row r="11162" customFormat="false" ht="15" hidden="false" customHeight="false" outlineLevel="0" collapsed="false">
      <c r="A11162" s="103"/>
      <c r="B11162" s="104"/>
      <c r="C11162" s="104"/>
      <c r="E11162" s="107" t="str">
        <f aca="false">IF($C11162="","",IFERROR(INDEX(المنيو!$C$2:$C$500,MATCH($C11162,المنيو!$B$2:$B$500,0)),0))</f>
        <v/>
      </c>
      <c r="F11162" s="107" t="str">
        <f aca="false">IF($C11162="","",$D11162*$E11162)</f>
        <v/>
      </c>
      <c r="G11162" s="107" t="str">
        <f aca="false">IF($C11162="","",$D11162*IFERROR(INDEX('تحليل التكلفة والسعر'!$C$2:$C$700,MATCH($C11162,'تحليل التكلفة والسعر'!$B$2:$B$700,0)),0))</f>
        <v/>
      </c>
    </row>
    <row r="11163" customFormat="false" ht="15" hidden="false" customHeight="false" outlineLevel="0" collapsed="false">
      <c r="A11163" s="103"/>
      <c r="B11163" s="104"/>
      <c r="C11163" s="104"/>
      <c r="E11163" s="107" t="str">
        <f aca="false">IF($C11163="","",IFERROR(INDEX(المنيو!$C$2:$C$500,MATCH($C11163,المنيو!$B$2:$B$500,0)),0))</f>
        <v/>
      </c>
      <c r="F11163" s="107" t="str">
        <f aca="false">IF($C11163="","",$D11163*$E11163)</f>
        <v/>
      </c>
      <c r="G11163" s="107" t="str">
        <f aca="false">IF($C11163="","",$D11163*IFERROR(INDEX('تحليل التكلفة والسعر'!$C$2:$C$700,MATCH($C11163,'تحليل التكلفة والسعر'!$B$2:$B$700,0)),0))</f>
        <v/>
      </c>
    </row>
    <row r="11164" customFormat="false" ht="15" hidden="false" customHeight="false" outlineLevel="0" collapsed="false">
      <c r="A11164" s="103"/>
      <c r="B11164" s="104"/>
      <c r="C11164" s="104"/>
      <c r="E11164" s="107" t="str">
        <f aca="false">IF($C11164="","",IFERROR(INDEX(المنيو!$C$2:$C$500,MATCH($C11164,المنيو!$B$2:$B$500,0)),0))</f>
        <v/>
      </c>
      <c r="F11164" s="107" t="str">
        <f aca="false">IF($C11164="","",$D11164*$E11164)</f>
        <v/>
      </c>
      <c r="G11164" s="107" t="str">
        <f aca="false">IF($C11164="","",$D11164*IFERROR(INDEX('تحليل التكلفة والسعر'!$C$2:$C$700,MATCH($C11164,'تحليل التكلفة والسعر'!$B$2:$B$700,0)),0))</f>
        <v/>
      </c>
    </row>
    <row r="11165" customFormat="false" ht="15" hidden="false" customHeight="false" outlineLevel="0" collapsed="false">
      <c r="A11165" s="103"/>
      <c r="B11165" s="104"/>
      <c r="C11165" s="104"/>
      <c r="E11165" s="107" t="str">
        <f aca="false">IF($C11165="","",IFERROR(INDEX(المنيو!$C$2:$C$500,MATCH($C11165,المنيو!$B$2:$B$500,0)),0))</f>
        <v/>
      </c>
      <c r="F11165" s="107" t="str">
        <f aca="false">IF($C11165="","",$D11165*$E11165)</f>
        <v/>
      </c>
      <c r="G11165" s="107" t="str">
        <f aca="false">IF($C11165="","",$D11165*IFERROR(INDEX('تحليل التكلفة والسعر'!$C$2:$C$700,MATCH($C11165,'تحليل التكلفة والسعر'!$B$2:$B$700,0)),0))</f>
        <v/>
      </c>
    </row>
    <row r="11166" customFormat="false" ht="15" hidden="false" customHeight="false" outlineLevel="0" collapsed="false">
      <c r="A11166" s="103"/>
      <c r="B11166" s="104"/>
      <c r="C11166" s="104"/>
      <c r="E11166" s="107" t="str">
        <f aca="false">IF($C11166="","",IFERROR(INDEX(المنيو!$C$2:$C$500,MATCH($C11166,المنيو!$B$2:$B$500,0)),0))</f>
        <v/>
      </c>
      <c r="F11166" s="107" t="str">
        <f aca="false">IF($C11166="","",$D11166*$E11166)</f>
        <v/>
      </c>
      <c r="G11166" s="107" t="str">
        <f aca="false">IF($C11166="","",$D11166*IFERROR(INDEX('تحليل التكلفة والسعر'!$C$2:$C$700,MATCH($C11166,'تحليل التكلفة والسعر'!$B$2:$B$700,0)),0))</f>
        <v/>
      </c>
    </row>
    <row r="11167" customFormat="false" ht="15" hidden="false" customHeight="false" outlineLevel="0" collapsed="false">
      <c r="A11167" s="103"/>
      <c r="B11167" s="104"/>
      <c r="C11167" s="104"/>
      <c r="E11167" s="107" t="str">
        <f aca="false">IF($C11167="","",IFERROR(INDEX(المنيو!$C$2:$C$500,MATCH($C11167,المنيو!$B$2:$B$500,0)),0))</f>
        <v/>
      </c>
      <c r="F11167" s="107" t="str">
        <f aca="false">IF($C11167="","",$D11167*$E11167)</f>
        <v/>
      </c>
      <c r="G11167" s="107" t="str">
        <f aca="false">IF($C11167="","",$D11167*IFERROR(INDEX('تحليل التكلفة والسعر'!$C$2:$C$700,MATCH($C11167,'تحليل التكلفة والسعر'!$B$2:$B$700,0)),0))</f>
        <v/>
      </c>
    </row>
    <row r="11168" customFormat="false" ht="15" hidden="false" customHeight="false" outlineLevel="0" collapsed="false">
      <c r="A11168" s="103"/>
      <c r="B11168" s="104"/>
      <c r="C11168" s="104"/>
      <c r="E11168" s="107" t="str">
        <f aca="false">IF($C11168="","",IFERROR(INDEX(المنيو!$C$2:$C$500,MATCH($C11168,المنيو!$B$2:$B$500,0)),0))</f>
        <v/>
      </c>
      <c r="F11168" s="107" t="str">
        <f aca="false">IF($C11168="","",$D11168*$E11168)</f>
        <v/>
      </c>
      <c r="G11168" s="107" t="str">
        <f aca="false">IF($C11168="","",$D11168*IFERROR(INDEX('تحليل التكلفة والسعر'!$C$2:$C$700,MATCH($C11168,'تحليل التكلفة والسعر'!$B$2:$B$700,0)),0))</f>
        <v/>
      </c>
    </row>
    <row r="11169" customFormat="false" ht="15" hidden="false" customHeight="false" outlineLevel="0" collapsed="false">
      <c r="A11169" s="103"/>
      <c r="B11169" s="104"/>
      <c r="C11169" s="104"/>
      <c r="E11169" s="107" t="str">
        <f aca="false">IF($C11169="","",IFERROR(INDEX(المنيو!$C$2:$C$500,MATCH($C11169,المنيو!$B$2:$B$500,0)),0))</f>
        <v/>
      </c>
      <c r="F11169" s="107" t="str">
        <f aca="false">IF($C11169="","",$D11169*$E11169)</f>
        <v/>
      </c>
      <c r="G11169" s="107" t="str">
        <f aca="false">IF($C11169="","",$D11169*IFERROR(INDEX('تحليل التكلفة والسعر'!$C$2:$C$700,MATCH($C11169,'تحليل التكلفة والسعر'!$B$2:$B$700,0)),0))</f>
        <v/>
      </c>
    </row>
    <row r="11170" customFormat="false" ht="15" hidden="false" customHeight="false" outlineLevel="0" collapsed="false">
      <c r="A11170" s="103"/>
      <c r="B11170" s="104"/>
      <c r="C11170" s="104"/>
      <c r="E11170" s="107" t="str">
        <f aca="false">IF($C11170="","",IFERROR(INDEX(المنيو!$C$2:$C$500,MATCH($C11170,المنيو!$B$2:$B$500,0)),0))</f>
        <v/>
      </c>
      <c r="F11170" s="107" t="str">
        <f aca="false">IF($C11170="","",$D11170*$E11170)</f>
        <v/>
      </c>
      <c r="G11170" s="107" t="str">
        <f aca="false">IF($C11170="","",$D11170*IFERROR(INDEX('تحليل التكلفة والسعر'!$C$2:$C$700,MATCH($C11170,'تحليل التكلفة والسعر'!$B$2:$B$700,0)),0))</f>
        <v/>
      </c>
    </row>
    <row r="11171" customFormat="false" ht="15" hidden="false" customHeight="false" outlineLevel="0" collapsed="false">
      <c r="A11171" s="103"/>
      <c r="B11171" s="104"/>
      <c r="C11171" s="104"/>
      <c r="E11171" s="107" t="str">
        <f aca="false">IF($C11171="","",IFERROR(INDEX(المنيو!$C$2:$C$500,MATCH($C11171,المنيو!$B$2:$B$500,0)),0))</f>
        <v/>
      </c>
      <c r="F11171" s="107" t="str">
        <f aca="false">IF($C11171="","",$D11171*$E11171)</f>
        <v/>
      </c>
      <c r="G11171" s="107" t="str">
        <f aca="false">IF($C11171="","",$D11171*IFERROR(INDEX('تحليل التكلفة والسعر'!$C$2:$C$700,MATCH($C11171,'تحليل التكلفة والسعر'!$B$2:$B$700,0)),0))</f>
        <v/>
      </c>
    </row>
    <row r="11172" customFormat="false" ht="15" hidden="false" customHeight="false" outlineLevel="0" collapsed="false">
      <c r="A11172" s="103"/>
      <c r="B11172" s="104"/>
      <c r="C11172" s="104"/>
      <c r="E11172" s="107" t="str">
        <f aca="false">IF($C11172="","",IFERROR(INDEX(المنيو!$C$2:$C$500,MATCH($C11172,المنيو!$B$2:$B$500,0)),0))</f>
        <v/>
      </c>
      <c r="F11172" s="107" t="str">
        <f aca="false">IF($C11172="","",$D11172*$E11172)</f>
        <v/>
      </c>
      <c r="G11172" s="107" t="str">
        <f aca="false">IF($C11172="","",$D11172*IFERROR(INDEX('تحليل التكلفة والسعر'!$C$2:$C$700,MATCH($C11172,'تحليل التكلفة والسعر'!$B$2:$B$700,0)),0))</f>
        <v/>
      </c>
    </row>
    <row r="11173" customFormat="false" ht="15" hidden="false" customHeight="false" outlineLevel="0" collapsed="false">
      <c r="A11173" s="103"/>
      <c r="B11173" s="104"/>
      <c r="C11173" s="104"/>
      <c r="E11173" s="107" t="str">
        <f aca="false">IF($C11173="","",IFERROR(INDEX(المنيو!$C$2:$C$500,MATCH($C11173,المنيو!$B$2:$B$500,0)),0))</f>
        <v/>
      </c>
      <c r="F11173" s="107" t="str">
        <f aca="false">IF($C11173="","",$D11173*$E11173)</f>
        <v/>
      </c>
      <c r="G11173" s="107" t="str">
        <f aca="false">IF($C11173="","",$D11173*IFERROR(INDEX('تحليل التكلفة والسعر'!$C$2:$C$700,MATCH($C11173,'تحليل التكلفة والسعر'!$B$2:$B$700,0)),0))</f>
        <v/>
      </c>
    </row>
    <row r="11174" customFormat="false" ht="15" hidden="false" customHeight="false" outlineLevel="0" collapsed="false">
      <c r="A11174" s="103"/>
      <c r="B11174" s="104"/>
      <c r="C11174" s="104"/>
      <c r="E11174" s="107" t="str">
        <f aca="false">IF($C11174="","",IFERROR(INDEX(المنيو!$C$2:$C$500,MATCH($C11174,المنيو!$B$2:$B$500,0)),0))</f>
        <v/>
      </c>
      <c r="F11174" s="107" t="str">
        <f aca="false">IF($C11174="","",$D11174*$E11174)</f>
        <v/>
      </c>
      <c r="G11174" s="107" t="str">
        <f aca="false">IF($C11174="","",$D11174*IFERROR(INDEX('تحليل التكلفة والسعر'!$C$2:$C$700,MATCH($C11174,'تحليل التكلفة والسعر'!$B$2:$B$700,0)),0))</f>
        <v/>
      </c>
    </row>
    <row r="11175" customFormat="false" ht="15" hidden="false" customHeight="false" outlineLevel="0" collapsed="false">
      <c r="A11175" s="103"/>
      <c r="B11175" s="104"/>
      <c r="C11175" s="104"/>
      <c r="E11175" s="107" t="str">
        <f aca="false">IF($C11175="","",IFERROR(INDEX(المنيو!$C$2:$C$500,MATCH($C11175,المنيو!$B$2:$B$500,0)),0))</f>
        <v/>
      </c>
      <c r="F11175" s="107" t="str">
        <f aca="false">IF($C11175="","",$D11175*$E11175)</f>
        <v/>
      </c>
      <c r="G11175" s="107" t="str">
        <f aca="false">IF($C11175="","",$D11175*IFERROR(INDEX('تحليل التكلفة والسعر'!$C$2:$C$700,MATCH($C11175,'تحليل التكلفة والسعر'!$B$2:$B$700,0)),0))</f>
        <v/>
      </c>
    </row>
    <row r="11176" customFormat="false" ht="15" hidden="false" customHeight="false" outlineLevel="0" collapsed="false">
      <c r="A11176" s="103"/>
      <c r="B11176" s="104"/>
      <c r="C11176" s="104"/>
      <c r="E11176" s="107" t="str">
        <f aca="false">IF($C11176="","",IFERROR(INDEX(المنيو!$C$2:$C$500,MATCH($C11176,المنيو!$B$2:$B$500,0)),0))</f>
        <v/>
      </c>
      <c r="F11176" s="107" t="str">
        <f aca="false">IF($C11176="","",$D11176*$E11176)</f>
        <v/>
      </c>
      <c r="G11176" s="107" t="str">
        <f aca="false">IF($C11176="","",$D11176*IFERROR(INDEX('تحليل التكلفة والسعر'!$C$2:$C$700,MATCH($C11176,'تحليل التكلفة والسعر'!$B$2:$B$700,0)),0))</f>
        <v/>
      </c>
    </row>
    <row r="11177" customFormat="false" ht="15" hidden="false" customHeight="false" outlineLevel="0" collapsed="false">
      <c r="A11177" s="103"/>
      <c r="B11177" s="104"/>
      <c r="C11177" s="104"/>
      <c r="E11177" s="107" t="str">
        <f aca="false">IF($C11177="","",IFERROR(INDEX(المنيو!$C$2:$C$500,MATCH($C11177,المنيو!$B$2:$B$500,0)),0))</f>
        <v/>
      </c>
      <c r="F11177" s="107" t="str">
        <f aca="false">IF($C11177="","",$D11177*$E11177)</f>
        <v/>
      </c>
      <c r="G11177" s="107" t="str">
        <f aca="false">IF($C11177="","",$D11177*IFERROR(INDEX('تحليل التكلفة والسعر'!$C$2:$C$700,MATCH($C11177,'تحليل التكلفة والسعر'!$B$2:$B$700,0)),0))</f>
        <v/>
      </c>
    </row>
    <row r="11178" customFormat="false" ht="15" hidden="false" customHeight="false" outlineLevel="0" collapsed="false">
      <c r="A11178" s="103"/>
      <c r="B11178" s="104"/>
      <c r="C11178" s="104"/>
      <c r="E11178" s="107" t="str">
        <f aca="false">IF($C11178="","",IFERROR(INDEX(المنيو!$C$2:$C$500,MATCH($C11178,المنيو!$B$2:$B$500,0)),0))</f>
        <v/>
      </c>
      <c r="F11178" s="107" t="str">
        <f aca="false">IF($C11178="","",$D11178*$E11178)</f>
        <v/>
      </c>
      <c r="G11178" s="107" t="str">
        <f aca="false">IF($C11178="","",$D11178*IFERROR(INDEX('تحليل التكلفة والسعر'!$C$2:$C$700,MATCH($C11178,'تحليل التكلفة والسعر'!$B$2:$B$700,0)),0))</f>
        <v/>
      </c>
    </row>
    <row r="11179" customFormat="false" ht="15" hidden="false" customHeight="false" outlineLevel="0" collapsed="false">
      <c r="A11179" s="103"/>
      <c r="B11179" s="104"/>
      <c r="C11179" s="104"/>
      <c r="E11179" s="107" t="str">
        <f aca="false">IF($C11179="","",IFERROR(INDEX(المنيو!$C$2:$C$500,MATCH($C11179,المنيو!$B$2:$B$500,0)),0))</f>
        <v/>
      </c>
      <c r="F11179" s="107" t="str">
        <f aca="false">IF($C11179="","",$D11179*$E11179)</f>
        <v/>
      </c>
      <c r="G11179" s="107" t="str">
        <f aca="false">IF($C11179="","",$D11179*IFERROR(INDEX('تحليل التكلفة والسعر'!$C$2:$C$700,MATCH($C11179,'تحليل التكلفة والسعر'!$B$2:$B$700,0)),0))</f>
        <v/>
      </c>
    </row>
    <row r="11180" customFormat="false" ht="15" hidden="false" customHeight="false" outlineLevel="0" collapsed="false">
      <c r="A11180" s="103"/>
      <c r="B11180" s="104"/>
      <c r="C11180" s="104"/>
      <c r="E11180" s="107" t="str">
        <f aca="false">IF($C11180="","",IFERROR(INDEX(المنيو!$C$2:$C$500,MATCH($C11180,المنيو!$B$2:$B$500,0)),0))</f>
        <v/>
      </c>
      <c r="F11180" s="107" t="str">
        <f aca="false">IF($C11180="","",$D11180*$E11180)</f>
        <v/>
      </c>
      <c r="G11180" s="107" t="str">
        <f aca="false">IF($C11180="","",$D11180*IFERROR(INDEX('تحليل التكلفة والسعر'!$C$2:$C$700,MATCH($C11180,'تحليل التكلفة والسعر'!$B$2:$B$700,0)),0))</f>
        <v/>
      </c>
    </row>
    <row r="11181" customFormat="false" ht="15" hidden="false" customHeight="false" outlineLevel="0" collapsed="false">
      <c r="A11181" s="103"/>
      <c r="B11181" s="104"/>
      <c r="C11181" s="104"/>
      <c r="E11181" s="107" t="str">
        <f aca="false">IF($C11181="","",IFERROR(INDEX(المنيو!$C$2:$C$500,MATCH($C11181,المنيو!$B$2:$B$500,0)),0))</f>
        <v/>
      </c>
      <c r="F11181" s="107" t="str">
        <f aca="false">IF($C11181="","",$D11181*$E11181)</f>
        <v/>
      </c>
      <c r="G11181" s="107" t="str">
        <f aca="false">IF($C11181="","",$D11181*IFERROR(INDEX('تحليل التكلفة والسعر'!$C$2:$C$700,MATCH($C11181,'تحليل التكلفة والسعر'!$B$2:$B$700,0)),0))</f>
        <v/>
      </c>
    </row>
    <row r="11182" customFormat="false" ht="15" hidden="false" customHeight="false" outlineLevel="0" collapsed="false">
      <c r="A11182" s="103"/>
      <c r="B11182" s="104"/>
      <c r="C11182" s="104"/>
      <c r="E11182" s="107" t="str">
        <f aca="false">IF($C11182="","",IFERROR(INDEX(المنيو!$C$2:$C$500,MATCH($C11182,المنيو!$B$2:$B$500,0)),0))</f>
        <v/>
      </c>
      <c r="F11182" s="107" t="str">
        <f aca="false">IF($C11182="","",$D11182*$E11182)</f>
        <v/>
      </c>
      <c r="G11182" s="107" t="str">
        <f aca="false">IF($C11182="","",$D11182*IFERROR(INDEX('تحليل التكلفة والسعر'!$C$2:$C$700,MATCH($C11182,'تحليل التكلفة والسعر'!$B$2:$B$700,0)),0))</f>
        <v/>
      </c>
    </row>
    <row r="11183" customFormat="false" ht="15" hidden="false" customHeight="false" outlineLevel="0" collapsed="false">
      <c r="A11183" s="103"/>
      <c r="B11183" s="104"/>
      <c r="C11183" s="104"/>
      <c r="E11183" s="107" t="str">
        <f aca="false">IF($C11183="","",IFERROR(INDEX(المنيو!$C$2:$C$500,MATCH($C11183,المنيو!$B$2:$B$500,0)),0))</f>
        <v/>
      </c>
      <c r="F11183" s="107" t="str">
        <f aca="false">IF($C11183="","",$D11183*$E11183)</f>
        <v/>
      </c>
      <c r="G11183" s="107" t="str">
        <f aca="false">IF($C11183="","",$D11183*IFERROR(INDEX('تحليل التكلفة والسعر'!$C$2:$C$700,MATCH($C11183,'تحليل التكلفة والسعر'!$B$2:$B$700,0)),0))</f>
        <v/>
      </c>
    </row>
    <row r="11184" customFormat="false" ht="15" hidden="false" customHeight="false" outlineLevel="0" collapsed="false">
      <c r="A11184" s="103"/>
      <c r="B11184" s="104"/>
      <c r="C11184" s="104"/>
      <c r="E11184" s="107" t="str">
        <f aca="false">IF($C11184="","",IFERROR(INDEX(المنيو!$C$2:$C$500,MATCH($C11184,المنيو!$B$2:$B$500,0)),0))</f>
        <v/>
      </c>
      <c r="F11184" s="107" t="str">
        <f aca="false">IF($C11184="","",$D11184*$E11184)</f>
        <v/>
      </c>
      <c r="G11184" s="107" t="str">
        <f aca="false">IF($C11184="","",$D11184*IFERROR(INDEX('تحليل التكلفة والسعر'!$C$2:$C$700,MATCH($C11184,'تحليل التكلفة والسعر'!$B$2:$B$700,0)),0))</f>
        <v/>
      </c>
    </row>
    <row r="11185" customFormat="false" ht="15" hidden="false" customHeight="false" outlineLevel="0" collapsed="false">
      <c r="A11185" s="103"/>
      <c r="B11185" s="104"/>
      <c r="C11185" s="104"/>
      <c r="E11185" s="107" t="str">
        <f aca="false">IF($C11185="","",IFERROR(INDEX(المنيو!$C$2:$C$500,MATCH($C11185,المنيو!$B$2:$B$500,0)),0))</f>
        <v/>
      </c>
      <c r="F11185" s="107" t="str">
        <f aca="false">IF($C11185="","",$D11185*$E11185)</f>
        <v/>
      </c>
      <c r="G11185" s="107" t="str">
        <f aca="false">IF($C11185="","",$D11185*IFERROR(INDEX('تحليل التكلفة والسعر'!$C$2:$C$700,MATCH($C11185,'تحليل التكلفة والسعر'!$B$2:$B$700,0)),0))</f>
        <v/>
      </c>
    </row>
    <row r="11186" customFormat="false" ht="15" hidden="false" customHeight="false" outlineLevel="0" collapsed="false">
      <c r="A11186" s="103"/>
      <c r="B11186" s="104"/>
      <c r="C11186" s="104"/>
      <c r="E11186" s="107" t="str">
        <f aca="false">IF($C11186="","",IFERROR(INDEX(المنيو!$C$2:$C$500,MATCH($C11186,المنيو!$B$2:$B$500,0)),0))</f>
        <v/>
      </c>
      <c r="F11186" s="107" t="str">
        <f aca="false">IF($C11186="","",$D11186*$E11186)</f>
        <v/>
      </c>
      <c r="G11186" s="107" t="str">
        <f aca="false">IF($C11186="","",$D11186*IFERROR(INDEX('تحليل التكلفة والسعر'!$C$2:$C$700,MATCH($C11186,'تحليل التكلفة والسعر'!$B$2:$B$700,0)),0))</f>
        <v/>
      </c>
    </row>
    <row r="11187" customFormat="false" ht="15" hidden="false" customHeight="false" outlineLevel="0" collapsed="false">
      <c r="A11187" s="103"/>
      <c r="B11187" s="104"/>
      <c r="C11187" s="104"/>
      <c r="E11187" s="107" t="str">
        <f aca="false">IF($C11187="","",IFERROR(INDEX(المنيو!$C$2:$C$500,MATCH($C11187,المنيو!$B$2:$B$500,0)),0))</f>
        <v/>
      </c>
      <c r="F11187" s="107" t="str">
        <f aca="false">IF($C11187="","",$D11187*$E11187)</f>
        <v/>
      </c>
      <c r="G11187" s="107" t="str">
        <f aca="false">IF($C11187="","",$D11187*IFERROR(INDEX('تحليل التكلفة والسعر'!$C$2:$C$700,MATCH($C11187,'تحليل التكلفة والسعر'!$B$2:$B$700,0)),0))</f>
        <v/>
      </c>
    </row>
    <row r="11188" customFormat="false" ht="15" hidden="false" customHeight="false" outlineLevel="0" collapsed="false">
      <c r="A11188" s="103"/>
      <c r="B11188" s="104"/>
      <c r="C11188" s="104"/>
      <c r="E11188" s="107" t="str">
        <f aca="false">IF($C11188="","",IFERROR(INDEX(المنيو!$C$2:$C$500,MATCH($C11188,المنيو!$B$2:$B$500,0)),0))</f>
        <v/>
      </c>
      <c r="F11188" s="107" t="str">
        <f aca="false">IF($C11188="","",$D11188*$E11188)</f>
        <v/>
      </c>
      <c r="G11188" s="107" t="str">
        <f aca="false">IF($C11188="","",$D11188*IFERROR(INDEX('تحليل التكلفة والسعر'!$C$2:$C$700,MATCH($C11188,'تحليل التكلفة والسعر'!$B$2:$B$700,0)),0))</f>
        <v/>
      </c>
    </row>
    <row r="11189" customFormat="false" ht="15" hidden="false" customHeight="false" outlineLevel="0" collapsed="false">
      <c r="A11189" s="103"/>
      <c r="B11189" s="104"/>
      <c r="C11189" s="104"/>
      <c r="E11189" s="107" t="str">
        <f aca="false">IF($C11189="","",IFERROR(INDEX(المنيو!$C$2:$C$500,MATCH($C11189,المنيو!$B$2:$B$500,0)),0))</f>
        <v/>
      </c>
      <c r="F11189" s="107" t="str">
        <f aca="false">IF($C11189="","",$D11189*$E11189)</f>
        <v/>
      </c>
      <c r="G11189" s="107" t="str">
        <f aca="false">IF($C11189="","",$D11189*IFERROR(INDEX('تحليل التكلفة والسعر'!$C$2:$C$700,MATCH($C11189,'تحليل التكلفة والسعر'!$B$2:$B$700,0)),0))</f>
        <v/>
      </c>
    </row>
    <row r="11190" customFormat="false" ht="15" hidden="false" customHeight="false" outlineLevel="0" collapsed="false">
      <c r="A11190" s="103"/>
      <c r="B11190" s="104"/>
      <c r="C11190" s="104"/>
      <c r="E11190" s="107" t="str">
        <f aca="false">IF($C11190="","",IFERROR(INDEX(المنيو!$C$2:$C$500,MATCH($C11190,المنيو!$B$2:$B$500,0)),0))</f>
        <v/>
      </c>
      <c r="F11190" s="107" t="str">
        <f aca="false">IF($C11190="","",$D11190*$E11190)</f>
        <v/>
      </c>
      <c r="G11190" s="107" t="str">
        <f aca="false">IF($C11190="","",$D11190*IFERROR(INDEX('تحليل التكلفة والسعر'!$C$2:$C$700,MATCH($C11190,'تحليل التكلفة والسعر'!$B$2:$B$700,0)),0))</f>
        <v/>
      </c>
    </row>
    <row r="11191" customFormat="false" ht="15" hidden="false" customHeight="false" outlineLevel="0" collapsed="false">
      <c r="A11191" s="103"/>
      <c r="B11191" s="104"/>
      <c r="C11191" s="104"/>
      <c r="E11191" s="107" t="str">
        <f aca="false">IF($C11191="","",IFERROR(INDEX(المنيو!$C$2:$C$500,MATCH($C11191,المنيو!$B$2:$B$500,0)),0))</f>
        <v/>
      </c>
      <c r="F11191" s="107" t="str">
        <f aca="false">IF($C11191="","",$D11191*$E11191)</f>
        <v/>
      </c>
      <c r="G11191" s="107" t="str">
        <f aca="false">IF($C11191="","",$D11191*IFERROR(INDEX('تحليل التكلفة والسعر'!$C$2:$C$700,MATCH($C11191,'تحليل التكلفة والسعر'!$B$2:$B$700,0)),0))</f>
        <v/>
      </c>
    </row>
    <row r="11192" customFormat="false" ht="15" hidden="false" customHeight="false" outlineLevel="0" collapsed="false">
      <c r="A11192" s="103"/>
      <c r="B11192" s="104"/>
      <c r="C11192" s="104"/>
      <c r="E11192" s="107" t="str">
        <f aca="false">IF($C11192="","",IFERROR(INDEX(المنيو!$C$2:$C$500,MATCH($C11192,المنيو!$B$2:$B$500,0)),0))</f>
        <v/>
      </c>
      <c r="F11192" s="107" t="str">
        <f aca="false">IF($C11192="","",$D11192*$E11192)</f>
        <v/>
      </c>
      <c r="G11192" s="107" t="str">
        <f aca="false">IF($C11192="","",$D11192*IFERROR(INDEX('تحليل التكلفة والسعر'!$C$2:$C$700,MATCH($C11192,'تحليل التكلفة والسعر'!$B$2:$B$700,0)),0))</f>
        <v/>
      </c>
    </row>
    <row r="11193" customFormat="false" ht="15" hidden="false" customHeight="false" outlineLevel="0" collapsed="false">
      <c r="A11193" s="103"/>
      <c r="B11193" s="104"/>
      <c r="C11193" s="104"/>
      <c r="E11193" s="107" t="str">
        <f aca="false">IF($C11193="","",IFERROR(INDEX(المنيو!$C$2:$C$500,MATCH($C11193,المنيو!$B$2:$B$500,0)),0))</f>
        <v/>
      </c>
      <c r="F11193" s="107" t="str">
        <f aca="false">IF($C11193="","",$D11193*$E11193)</f>
        <v/>
      </c>
      <c r="G11193" s="107" t="str">
        <f aca="false">IF($C11193="","",$D11193*IFERROR(INDEX('تحليل التكلفة والسعر'!$C$2:$C$700,MATCH($C11193,'تحليل التكلفة والسعر'!$B$2:$B$700,0)),0))</f>
        <v/>
      </c>
    </row>
    <row r="11194" customFormat="false" ht="15" hidden="false" customHeight="false" outlineLevel="0" collapsed="false">
      <c r="A11194" s="103"/>
      <c r="B11194" s="104"/>
      <c r="C11194" s="104"/>
      <c r="E11194" s="107" t="str">
        <f aca="false">IF($C11194="","",IFERROR(INDEX(المنيو!$C$2:$C$500,MATCH($C11194,المنيو!$B$2:$B$500,0)),0))</f>
        <v/>
      </c>
      <c r="F11194" s="107" t="str">
        <f aca="false">IF($C11194="","",$D11194*$E11194)</f>
        <v/>
      </c>
      <c r="G11194" s="107" t="str">
        <f aca="false">IF($C11194="","",$D11194*IFERROR(INDEX('تحليل التكلفة والسعر'!$C$2:$C$700,MATCH($C11194,'تحليل التكلفة والسعر'!$B$2:$B$700,0)),0))</f>
        <v/>
      </c>
    </row>
    <row r="11195" customFormat="false" ht="15" hidden="false" customHeight="false" outlineLevel="0" collapsed="false">
      <c r="A11195" s="103"/>
      <c r="B11195" s="104"/>
      <c r="C11195" s="104"/>
      <c r="E11195" s="107" t="str">
        <f aca="false">IF($C11195="","",IFERROR(INDEX(المنيو!$C$2:$C$500,MATCH($C11195,المنيو!$B$2:$B$500,0)),0))</f>
        <v/>
      </c>
      <c r="F11195" s="107" t="str">
        <f aca="false">IF($C11195="","",$D11195*$E11195)</f>
        <v/>
      </c>
      <c r="G11195" s="107" t="str">
        <f aca="false">IF($C11195="","",$D11195*IFERROR(INDEX('تحليل التكلفة والسعر'!$C$2:$C$700,MATCH($C11195,'تحليل التكلفة والسعر'!$B$2:$B$700,0)),0))</f>
        <v/>
      </c>
    </row>
    <row r="11196" customFormat="false" ht="15" hidden="false" customHeight="false" outlineLevel="0" collapsed="false">
      <c r="A11196" s="103"/>
      <c r="B11196" s="104"/>
      <c r="C11196" s="104"/>
      <c r="E11196" s="107" t="str">
        <f aca="false">IF($C11196="","",IFERROR(INDEX(المنيو!$C$2:$C$500,MATCH($C11196,المنيو!$B$2:$B$500,0)),0))</f>
        <v/>
      </c>
      <c r="F11196" s="107" t="str">
        <f aca="false">IF($C11196="","",$D11196*$E11196)</f>
        <v/>
      </c>
      <c r="G11196" s="107" t="str">
        <f aca="false">IF($C11196="","",$D11196*IFERROR(INDEX('تحليل التكلفة والسعر'!$C$2:$C$700,MATCH($C11196,'تحليل التكلفة والسعر'!$B$2:$B$700,0)),0))</f>
        <v/>
      </c>
    </row>
    <row r="11197" customFormat="false" ht="15" hidden="false" customHeight="false" outlineLevel="0" collapsed="false">
      <c r="A11197" s="103"/>
      <c r="B11197" s="104"/>
      <c r="C11197" s="104"/>
      <c r="E11197" s="107" t="str">
        <f aca="false">IF($C11197="","",IFERROR(INDEX(المنيو!$C$2:$C$500,MATCH($C11197,المنيو!$B$2:$B$500,0)),0))</f>
        <v/>
      </c>
      <c r="F11197" s="107" t="str">
        <f aca="false">IF($C11197="","",$D11197*$E11197)</f>
        <v/>
      </c>
      <c r="G11197" s="107" t="str">
        <f aca="false">IF($C11197="","",$D11197*IFERROR(INDEX('تحليل التكلفة والسعر'!$C$2:$C$700,MATCH($C11197,'تحليل التكلفة والسعر'!$B$2:$B$700,0)),0))</f>
        <v/>
      </c>
    </row>
    <row r="11198" customFormat="false" ht="15" hidden="false" customHeight="false" outlineLevel="0" collapsed="false">
      <c r="A11198" s="103"/>
      <c r="B11198" s="104"/>
      <c r="C11198" s="104"/>
      <c r="E11198" s="107" t="str">
        <f aca="false">IF($C11198="","",IFERROR(INDEX(المنيو!$C$2:$C$500,MATCH($C11198,المنيو!$B$2:$B$500,0)),0))</f>
        <v/>
      </c>
      <c r="F11198" s="107" t="str">
        <f aca="false">IF($C11198="","",$D11198*$E11198)</f>
        <v/>
      </c>
      <c r="G11198" s="107" t="str">
        <f aca="false">IF($C11198="","",$D11198*IFERROR(INDEX('تحليل التكلفة والسعر'!$C$2:$C$700,MATCH($C11198,'تحليل التكلفة والسعر'!$B$2:$B$700,0)),0))</f>
        <v/>
      </c>
    </row>
    <row r="11199" customFormat="false" ht="15" hidden="false" customHeight="false" outlineLevel="0" collapsed="false">
      <c r="A11199" s="103"/>
      <c r="B11199" s="104"/>
      <c r="C11199" s="104"/>
      <c r="E11199" s="107" t="str">
        <f aca="false">IF($C11199="","",IFERROR(INDEX(المنيو!$C$2:$C$500,MATCH($C11199,المنيو!$B$2:$B$500,0)),0))</f>
        <v/>
      </c>
      <c r="F11199" s="107" t="str">
        <f aca="false">IF($C11199="","",$D11199*$E11199)</f>
        <v/>
      </c>
      <c r="G11199" s="107" t="str">
        <f aca="false">IF($C11199="","",$D11199*IFERROR(INDEX('تحليل التكلفة والسعر'!$C$2:$C$700,MATCH($C11199,'تحليل التكلفة والسعر'!$B$2:$B$700,0)),0))</f>
        <v/>
      </c>
    </row>
    <row r="11200" customFormat="false" ht="15" hidden="false" customHeight="false" outlineLevel="0" collapsed="false">
      <c r="A11200" s="103"/>
      <c r="B11200" s="104"/>
      <c r="C11200" s="104"/>
      <c r="E11200" s="107" t="str">
        <f aca="false">IF($C11200="","",IFERROR(INDEX(المنيو!$C$2:$C$500,MATCH($C11200,المنيو!$B$2:$B$500,0)),0))</f>
        <v/>
      </c>
      <c r="F11200" s="107" t="str">
        <f aca="false">IF($C11200="","",$D11200*$E11200)</f>
        <v/>
      </c>
      <c r="G11200" s="107" t="str">
        <f aca="false">IF($C11200="","",$D11200*IFERROR(INDEX('تحليل التكلفة والسعر'!$C$2:$C$700,MATCH($C11200,'تحليل التكلفة والسعر'!$B$2:$B$700,0)),0))</f>
        <v/>
      </c>
    </row>
    <row r="11201" customFormat="false" ht="15" hidden="false" customHeight="false" outlineLevel="0" collapsed="false">
      <c r="A11201" s="103"/>
      <c r="B11201" s="104"/>
      <c r="C11201" s="104"/>
      <c r="E11201" s="107" t="str">
        <f aca="false">IF($C11201="","",IFERROR(INDEX(المنيو!$C$2:$C$500,MATCH($C11201,المنيو!$B$2:$B$500,0)),0))</f>
        <v/>
      </c>
      <c r="F11201" s="107" t="str">
        <f aca="false">IF($C11201="","",$D11201*$E11201)</f>
        <v/>
      </c>
      <c r="G11201" s="107" t="str">
        <f aca="false">IF($C11201="","",$D11201*IFERROR(INDEX('تحليل التكلفة والسعر'!$C$2:$C$700,MATCH($C11201,'تحليل التكلفة والسعر'!$B$2:$B$700,0)),0))</f>
        <v/>
      </c>
    </row>
    <row r="11202" customFormat="false" ht="15" hidden="false" customHeight="false" outlineLevel="0" collapsed="false">
      <c r="A11202" s="103"/>
      <c r="B11202" s="104"/>
      <c r="C11202" s="104"/>
      <c r="E11202" s="107" t="str">
        <f aca="false">IF($C11202="","",IFERROR(INDEX(المنيو!$C$2:$C$500,MATCH($C11202,المنيو!$B$2:$B$500,0)),0))</f>
        <v/>
      </c>
      <c r="F11202" s="107" t="str">
        <f aca="false">IF($C11202="","",$D11202*$E11202)</f>
        <v/>
      </c>
      <c r="G11202" s="107" t="str">
        <f aca="false">IF($C11202="","",$D11202*IFERROR(INDEX('تحليل التكلفة والسعر'!$C$2:$C$700,MATCH($C11202,'تحليل التكلفة والسعر'!$B$2:$B$700,0)),0))</f>
        <v/>
      </c>
    </row>
    <row r="11203" customFormat="false" ht="15" hidden="false" customHeight="false" outlineLevel="0" collapsed="false">
      <c r="A11203" s="103"/>
      <c r="B11203" s="104"/>
      <c r="C11203" s="104"/>
      <c r="E11203" s="107" t="str">
        <f aca="false">IF($C11203="","",IFERROR(INDEX(المنيو!$C$2:$C$500,MATCH($C11203,المنيو!$B$2:$B$500,0)),0))</f>
        <v/>
      </c>
      <c r="F11203" s="107" t="str">
        <f aca="false">IF($C11203="","",$D11203*$E11203)</f>
        <v/>
      </c>
      <c r="G11203" s="107" t="str">
        <f aca="false">IF($C11203="","",$D11203*IFERROR(INDEX('تحليل التكلفة والسعر'!$C$2:$C$700,MATCH($C11203,'تحليل التكلفة والسعر'!$B$2:$B$700,0)),0))</f>
        <v/>
      </c>
    </row>
    <row r="11204" customFormat="false" ht="15" hidden="false" customHeight="false" outlineLevel="0" collapsed="false">
      <c r="A11204" s="103"/>
      <c r="B11204" s="104"/>
      <c r="C11204" s="104"/>
      <c r="E11204" s="107" t="str">
        <f aca="false">IF($C11204="","",IFERROR(INDEX(المنيو!$C$2:$C$500,MATCH($C11204,المنيو!$B$2:$B$500,0)),0))</f>
        <v/>
      </c>
      <c r="F11204" s="107" t="str">
        <f aca="false">IF($C11204="","",$D11204*$E11204)</f>
        <v/>
      </c>
      <c r="G11204" s="107" t="str">
        <f aca="false">IF($C11204="","",$D11204*IFERROR(INDEX('تحليل التكلفة والسعر'!$C$2:$C$700,MATCH($C11204,'تحليل التكلفة والسعر'!$B$2:$B$700,0)),0))</f>
        <v/>
      </c>
    </row>
    <row r="11205" customFormat="false" ht="15" hidden="false" customHeight="false" outlineLevel="0" collapsed="false">
      <c r="A11205" s="103"/>
      <c r="B11205" s="104"/>
      <c r="C11205" s="104"/>
      <c r="E11205" s="107" t="str">
        <f aca="false">IF($C11205="","",IFERROR(INDEX(المنيو!$C$2:$C$500,MATCH($C11205,المنيو!$B$2:$B$500,0)),0))</f>
        <v/>
      </c>
      <c r="F11205" s="107" t="str">
        <f aca="false">IF($C11205="","",$D11205*$E11205)</f>
        <v/>
      </c>
      <c r="G11205" s="107" t="str">
        <f aca="false">IF($C11205="","",$D11205*IFERROR(INDEX('تحليل التكلفة والسعر'!$C$2:$C$700,MATCH($C11205,'تحليل التكلفة والسعر'!$B$2:$B$700,0)),0))</f>
        <v/>
      </c>
    </row>
    <row r="11206" customFormat="false" ht="15" hidden="false" customHeight="false" outlineLevel="0" collapsed="false">
      <c r="A11206" s="103"/>
      <c r="B11206" s="104"/>
      <c r="C11206" s="104"/>
      <c r="E11206" s="107" t="str">
        <f aca="false">IF($C11206="","",IFERROR(INDEX(المنيو!$C$2:$C$500,MATCH($C11206,المنيو!$B$2:$B$500,0)),0))</f>
        <v/>
      </c>
      <c r="F11206" s="107" t="str">
        <f aca="false">IF($C11206="","",$D11206*$E11206)</f>
        <v/>
      </c>
      <c r="G11206" s="107" t="str">
        <f aca="false">IF($C11206="","",$D11206*IFERROR(INDEX('تحليل التكلفة والسعر'!$C$2:$C$700,MATCH($C11206,'تحليل التكلفة والسعر'!$B$2:$B$700,0)),0))</f>
        <v/>
      </c>
    </row>
    <row r="11207" customFormat="false" ht="15" hidden="false" customHeight="false" outlineLevel="0" collapsed="false">
      <c r="A11207" s="103"/>
      <c r="B11207" s="104"/>
      <c r="C11207" s="104"/>
      <c r="E11207" s="107" t="str">
        <f aca="false">IF($C11207="","",IFERROR(INDEX(المنيو!$C$2:$C$500,MATCH($C11207,المنيو!$B$2:$B$500,0)),0))</f>
        <v/>
      </c>
      <c r="F11207" s="107" t="str">
        <f aca="false">IF($C11207="","",$D11207*$E11207)</f>
        <v/>
      </c>
      <c r="G11207" s="107" t="str">
        <f aca="false">IF($C11207="","",$D11207*IFERROR(INDEX('تحليل التكلفة والسعر'!$C$2:$C$700,MATCH($C11207,'تحليل التكلفة والسعر'!$B$2:$B$700,0)),0))</f>
        <v/>
      </c>
    </row>
    <row r="11208" customFormat="false" ht="15" hidden="false" customHeight="false" outlineLevel="0" collapsed="false">
      <c r="A11208" s="103"/>
      <c r="B11208" s="104"/>
      <c r="C11208" s="104"/>
      <c r="E11208" s="107" t="str">
        <f aca="false">IF($C11208="","",IFERROR(INDEX(المنيو!$C$2:$C$500,MATCH($C11208,المنيو!$B$2:$B$500,0)),0))</f>
        <v/>
      </c>
      <c r="F11208" s="107" t="str">
        <f aca="false">IF($C11208="","",$D11208*$E11208)</f>
        <v/>
      </c>
      <c r="G11208" s="107" t="str">
        <f aca="false">IF($C11208="","",$D11208*IFERROR(INDEX('تحليل التكلفة والسعر'!$C$2:$C$700,MATCH($C11208,'تحليل التكلفة والسعر'!$B$2:$B$700,0)),0))</f>
        <v/>
      </c>
    </row>
    <row r="11209" customFormat="false" ht="15" hidden="false" customHeight="false" outlineLevel="0" collapsed="false">
      <c r="A11209" s="103"/>
      <c r="B11209" s="104"/>
      <c r="C11209" s="104"/>
      <c r="E11209" s="107" t="str">
        <f aca="false">IF($C11209="","",IFERROR(INDEX(المنيو!$C$2:$C$500,MATCH($C11209,المنيو!$B$2:$B$500,0)),0))</f>
        <v/>
      </c>
      <c r="F11209" s="107" t="str">
        <f aca="false">IF($C11209="","",$D11209*$E11209)</f>
        <v/>
      </c>
      <c r="G11209" s="107" t="str">
        <f aca="false">IF($C11209="","",$D11209*IFERROR(INDEX('تحليل التكلفة والسعر'!$C$2:$C$700,MATCH($C11209,'تحليل التكلفة والسعر'!$B$2:$B$700,0)),0))</f>
        <v/>
      </c>
    </row>
    <row r="11210" customFormat="false" ht="15" hidden="false" customHeight="false" outlineLevel="0" collapsed="false">
      <c r="A11210" s="103"/>
      <c r="B11210" s="104"/>
      <c r="C11210" s="104"/>
      <c r="E11210" s="107" t="str">
        <f aca="false">IF($C11210="","",IFERROR(INDEX(المنيو!$C$2:$C$500,MATCH($C11210,المنيو!$B$2:$B$500,0)),0))</f>
        <v/>
      </c>
      <c r="F11210" s="107" t="str">
        <f aca="false">IF($C11210="","",$D11210*$E11210)</f>
        <v/>
      </c>
      <c r="G11210" s="107" t="str">
        <f aca="false">IF($C11210="","",$D11210*IFERROR(INDEX('تحليل التكلفة والسعر'!$C$2:$C$700,MATCH($C11210,'تحليل التكلفة والسعر'!$B$2:$B$700,0)),0))</f>
        <v/>
      </c>
    </row>
    <row r="11211" customFormat="false" ht="15" hidden="false" customHeight="false" outlineLevel="0" collapsed="false">
      <c r="A11211" s="103"/>
      <c r="B11211" s="104"/>
      <c r="C11211" s="104"/>
      <c r="E11211" s="107" t="str">
        <f aca="false">IF($C11211="","",IFERROR(INDEX(المنيو!$C$2:$C$500,MATCH($C11211,المنيو!$B$2:$B$500,0)),0))</f>
        <v/>
      </c>
      <c r="F11211" s="107" t="str">
        <f aca="false">IF($C11211="","",$D11211*$E11211)</f>
        <v/>
      </c>
      <c r="G11211" s="107" t="str">
        <f aca="false">IF($C11211="","",$D11211*IFERROR(INDEX('تحليل التكلفة والسعر'!$C$2:$C$700,MATCH($C11211,'تحليل التكلفة والسعر'!$B$2:$B$700,0)),0))</f>
        <v/>
      </c>
    </row>
    <row r="11212" customFormat="false" ht="15" hidden="false" customHeight="false" outlineLevel="0" collapsed="false">
      <c r="A11212" s="103"/>
      <c r="B11212" s="104"/>
      <c r="C11212" s="104"/>
      <c r="E11212" s="107" t="str">
        <f aca="false">IF($C11212="","",IFERROR(INDEX(المنيو!$C$2:$C$500,MATCH($C11212,المنيو!$B$2:$B$500,0)),0))</f>
        <v/>
      </c>
      <c r="F11212" s="107" t="str">
        <f aca="false">IF($C11212="","",$D11212*$E11212)</f>
        <v/>
      </c>
      <c r="G11212" s="107" t="str">
        <f aca="false">IF($C11212="","",$D11212*IFERROR(INDEX('تحليل التكلفة والسعر'!$C$2:$C$700,MATCH($C11212,'تحليل التكلفة والسعر'!$B$2:$B$700,0)),0))</f>
        <v/>
      </c>
    </row>
    <row r="11213" customFormat="false" ht="15" hidden="false" customHeight="false" outlineLevel="0" collapsed="false">
      <c r="A11213" s="103"/>
      <c r="B11213" s="104"/>
      <c r="C11213" s="104"/>
      <c r="E11213" s="107" t="str">
        <f aca="false">IF($C11213="","",IFERROR(INDEX(المنيو!$C$2:$C$500,MATCH($C11213,المنيو!$B$2:$B$500,0)),0))</f>
        <v/>
      </c>
      <c r="F11213" s="107" t="str">
        <f aca="false">IF($C11213="","",$D11213*$E11213)</f>
        <v/>
      </c>
      <c r="G11213" s="107" t="str">
        <f aca="false">IF($C11213="","",$D11213*IFERROR(INDEX('تحليل التكلفة والسعر'!$C$2:$C$700,MATCH($C11213,'تحليل التكلفة والسعر'!$B$2:$B$700,0)),0))</f>
        <v/>
      </c>
    </row>
    <row r="11214" customFormat="false" ht="15" hidden="false" customHeight="false" outlineLevel="0" collapsed="false">
      <c r="A11214" s="103"/>
      <c r="B11214" s="104"/>
      <c r="C11214" s="104"/>
      <c r="E11214" s="107" t="str">
        <f aca="false">IF($C11214="","",IFERROR(INDEX(المنيو!$C$2:$C$500,MATCH($C11214,المنيو!$B$2:$B$500,0)),0))</f>
        <v/>
      </c>
      <c r="F11214" s="107" t="str">
        <f aca="false">IF($C11214="","",$D11214*$E11214)</f>
        <v/>
      </c>
      <c r="G11214" s="107" t="str">
        <f aca="false">IF($C11214="","",$D11214*IFERROR(INDEX('تحليل التكلفة والسعر'!$C$2:$C$700,MATCH($C11214,'تحليل التكلفة والسعر'!$B$2:$B$700,0)),0))</f>
        <v/>
      </c>
    </row>
    <row r="11215" customFormat="false" ht="15" hidden="false" customHeight="false" outlineLevel="0" collapsed="false">
      <c r="A11215" s="103"/>
      <c r="B11215" s="104"/>
      <c r="C11215" s="104"/>
      <c r="E11215" s="107" t="str">
        <f aca="false">IF($C11215="","",IFERROR(INDEX(المنيو!$C$2:$C$500,MATCH($C11215,المنيو!$B$2:$B$500,0)),0))</f>
        <v/>
      </c>
      <c r="F11215" s="107" t="str">
        <f aca="false">IF($C11215="","",$D11215*$E11215)</f>
        <v/>
      </c>
      <c r="G11215" s="107" t="str">
        <f aca="false">IF($C11215="","",$D11215*IFERROR(INDEX('تحليل التكلفة والسعر'!$C$2:$C$700,MATCH($C11215,'تحليل التكلفة والسعر'!$B$2:$B$700,0)),0))</f>
        <v/>
      </c>
    </row>
    <row r="11216" customFormat="false" ht="15" hidden="false" customHeight="false" outlineLevel="0" collapsed="false">
      <c r="A11216" s="103"/>
      <c r="B11216" s="104"/>
      <c r="C11216" s="104"/>
      <c r="E11216" s="107" t="str">
        <f aca="false">IF($C11216="","",IFERROR(INDEX(المنيو!$C$2:$C$500,MATCH($C11216,المنيو!$B$2:$B$500,0)),0))</f>
        <v/>
      </c>
      <c r="F11216" s="107" t="str">
        <f aca="false">IF($C11216="","",$D11216*$E11216)</f>
        <v/>
      </c>
      <c r="G11216" s="107" t="str">
        <f aca="false">IF($C11216="","",$D11216*IFERROR(INDEX('تحليل التكلفة والسعر'!$C$2:$C$700,MATCH($C11216,'تحليل التكلفة والسعر'!$B$2:$B$700,0)),0))</f>
        <v/>
      </c>
    </row>
    <row r="11217" customFormat="false" ht="15" hidden="false" customHeight="false" outlineLevel="0" collapsed="false">
      <c r="A11217" s="103"/>
      <c r="B11217" s="104"/>
      <c r="C11217" s="104"/>
      <c r="E11217" s="107" t="str">
        <f aca="false">IF($C11217="","",IFERROR(INDEX(المنيو!$C$2:$C$500,MATCH($C11217,المنيو!$B$2:$B$500,0)),0))</f>
        <v/>
      </c>
      <c r="F11217" s="107" t="str">
        <f aca="false">IF($C11217="","",$D11217*$E11217)</f>
        <v/>
      </c>
      <c r="G11217" s="107" t="str">
        <f aca="false">IF($C11217="","",$D11217*IFERROR(INDEX('تحليل التكلفة والسعر'!$C$2:$C$700,MATCH($C11217,'تحليل التكلفة والسعر'!$B$2:$B$700,0)),0))</f>
        <v/>
      </c>
    </row>
    <row r="11218" customFormat="false" ht="15" hidden="false" customHeight="false" outlineLevel="0" collapsed="false">
      <c r="A11218" s="103"/>
      <c r="B11218" s="104"/>
      <c r="C11218" s="104"/>
      <c r="E11218" s="107" t="str">
        <f aca="false">IF($C11218="","",IFERROR(INDEX(المنيو!$C$2:$C$500,MATCH($C11218,المنيو!$B$2:$B$500,0)),0))</f>
        <v/>
      </c>
      <c r="F11218" s="107" t="str">
        <f aca="false">IF($C11218="","",$D11218*$E11218)</f>
        <v/>
      </c>
      <c r="G11218" s="107" t="str">
        <f aca="false">IF($C11218="","",$D11218*IFERROR(INDEX('تحليل التكلفة والسعر'!$C$2:$C$700,MATCH($C11218,'تحليل التكلفة والسعر'!$B$2:$B$700,0)),0))</f>
        <v/>
      </c>
    </row>
    <row r="11219" customFormat="false" ht="15" hidden="false" customHeight="false" outlineLevel="0" collapsed="false">
      <c r="A11219" s="103"/>
      <c r="B11219" s="104"/>
      <c r="C11219" s="104"/>
      <c r="E11219" s="107" t="str">
        <f aca="false">IF($C11219="","",IFERROR(INDEX(المنيو!$C$2:$C$500,MATCH($C11219,المنيو!$B$2:$B$500,0)),0))</f>
        <v/>
      </c>
      <c r="F11219" s="107" t="str">
        <f aca="false">IF($C11219="","",$D11219*$E11219)</f>
        <v/>
      </c>
      <c r="G11219" s="107" t="str">
        <f aca="false">IF($C11219="","",$D11219*IFERROR(INDEX('تحليل التكلفة والسعر'!$C$2:$C$700,MATCH($C11219,'تحليل التكلفة والسعر'!$B$2:$B$700,0)),0))</f>
        <v/>
      </c>
    </row>
    <row r="11220" customFormat="false" ht="15" hidden="false" customHeight="false" outlineLevel="0" collapsed="false">
      <c r="A11220" s="103"/>
      <c r="B11220" s="104"/>
      <c r="C11220" s="104"/>
      <c r="E11220" s="107" t="str">
        <f aca="false">IF($C11220="","",IFERROR(INDEX(المنيو!$C$2:$C$500,MATCH($C11220,المنيو!$B$2:$B$500,0)),0))</f>
        <v/>
      </c>
      <c r="F11220" s="107" t="str">
        <f aca="false">IF($C11220="","",$D11220*$E11220)</f>
        <v/>
      </c>
      <c r="G11220" s="107" t="str">
        <f aca="false">IF($C11220="","",$D11220*IFERROR(INDEX('تحليل التكلفة والسعر'!$C$2:$C$700,MATCH($C11220,'تحليل التكلفة والسعر'!$B$2:$B$700,0)),0))</f>
        <v/>
      </c>
    </row>
    <row r="11221" customFormat="false" ht="15" hidden="false" customHeight="false" outlineLevel="0" collapsed="false">
      <c r="A11221" s="103"/>
      <c r="B11221" s="104"/>
      <c r="C11221" s="104"/>
      <c r="E11221" s="107" t="str">
        <f aca="false">IF($C11221="","",IFERROR(INDEX(المنيو!$C$2:$C$500,MATCH($C11221,المنيو!$B$2:$B$500,0)),0))</f>
        <v/>
      </c>
      <c r="F11221" s="107" t="str">
        <f aca="false">IF($C11221="","",$D11221*$E11221)</f>
        <v/>
      </c>
      <c r="G11221" s="107" t="str">
        <f aca="false">IF($C11221="","",$D11221*IFERROR(INDEX('تحليل التكلفة والسعر'!$C$2:$C$700,MATCH($C11221,'تحليل التكلفة والسعر'!$B$2:$B$700,0)),0))</f>
        <v/>
      </c>
    </row>
    <row r="11222" customFormat="false" ht="15" hidden="false" customHeight="false" outlineLevel="0" collapsed="false">
      <c r="A11222" s="103"/>
      <c r="B11222" s="104"/>
      <c r="C11222" s="104"/>
      <c r="E11222" s="107" t="str">
        <f aca="false">IF($C11222="","",IFERROR(INDEX(المنيو!$C$2:$C$500,MATCH($C11222,المنيو!$B$2:$B$500,0)),0))</f>
        <v/>
      </c>
      <c r="F11222" s="107" t="str">
        <f aca="false">IF($C11222="","",$D11222*$E11222)</f>
        <v/>
      </c>
      <c r="G11222" s="107" t="str">
        <f aca="false">IF($C11222="","",$D11222*IFERROR(INDEX('تحليل التكلفة والسعر'!$C$2:$C$700,MATCH($C11222,'تحليل التكلفة والسعر'!$B$2:$B$700,0)),0))</f>
        <v/>
      </c>
    </row>
    <row r="11223" customFormat="false" ht="15" hidden="false" customHeight="false" outlineLevel="0" collapsed="false">
      <c r="A11223" s="103"/>
      <c r="B11223" s="104"/>
      <c r="C11223" s="104"/>
      <c r="E11223" s="107" t="str">
        <f aca="false">IF($C11223="","",IFERROR(INDEX(المنيو!$C$2:$C$500,MATCH($C11223,المنيو!$B$2:$B$500,0)),0))</f>
        <v/>
      </c>
      <c r="F11223" s="107" t="str">
        <f aca="false">IF($C11223="","",$D11223*$E11223)</f>
        <v/>
      </c>
      <c r="G11223" s="107" t="str">
        <f aca="false">IF($C11223="","",$D11223*IFERROR(INDEX('تحليل التكلفة والسعر'!$C$2:$C$700,MATCH($C11223,'تحليل التكلفة والسعر'!$B$2:$B$700,0)),0))</f>
        <v/>
      </c>
    </row>
    <row r="11224" customFormat="false" ht="15" hidden="false" customHeight="false" outlineLevel="0" collapsed="false">
      <c r="A11224" s="103"/>
      <c r="B11224" s="104"/>
      <c r="C11224" s="104"/>
      <c r="E11224" s="107" t="str">
        <f aca="false">IF($C11224="","",IFERROR(INDEX(المنيو!$C$2:$C$500,MATCH($C11224,المنيو!$B$2:$B$500,0)),0))</f>
        <v/>
      </c>
      <c r="F11224" s="107" t="str">
        <f aca="false">IF($C11224="","",$D11224*$E11224)</f>
        <v/>
      </c>
      <c r="G11224" s="107" t="str">
        <f aca="false">IF($C11224="","",$D11224*IFERROR(INDEX('تحليل التكلفة والسعر'!$C$2:$C$700,MATCH($C11224,'تحليل التكلفة والسعر'!$B$2:$B$700,0)),0))</f>
        <v/>
      </c>
    </row>
    <row r="11225" customFormat="false" ht="15" hidden="false" customHeight="false" outlineLevel="0" collapsed="false">
      <c r="A11225" s="103"/>
      <c r="B11225" s="104"/>
      <c r="C11225" s="104"/>
      <c r="E11225" s="107" t="str">
        <f aca="false">IF($C11225="","",IFERROR(INDEX(المنيو!$C$2:$C$500,MATCH($C11225,المنيو!$B$2:$B$500,0)),0))</f>
        <v/>
      </c>
      <c r="F11225" s="107" t="str">
        <f aca="false">IF($C11225="","",$D11225*$E11225)</f>
        <v/>
      </c>
      <c r="G11225" s="107" t="str">
        <f aca="false">IF($C11225="","",$D11225*IFERROR(INDEX('تحليل التكلفة والسعر'!$C$2:$C$700,MATCH($C11225,'تحليل التكلفة والسعر'!$B$2:$B$700,0)),0))</f>
        <v/>
      </c>
    </row>
    <row r="11226" customFormat="false" ht="15" hidden="false" customHeight="false" outlineLevel="0" collapsed="false">
      <c r="A11226" s="103"/>
      <c r="B11226" s="104"/>
      <c r="C11226" s="104"/>
      <c r="E11226" s="107" t="str">
        <f aca="false">IF($C11226="","",IFERROR(INDEX(المنيو!$C$2:$C$500,MATCH($C11226,المنيو!$B$2:$B$500,0)),0))</f>
        <v/>
      </c>
      <c r="F11226" s="107" t="str">
        <f aca="false">IF($C11226="","",$D11226*$E11226)</f>
        <v/>
      </c>
      <c r="G11226" s="107" t="str">
        <f aca="false">IF($C11226="","",$D11226*IFERROR(INDEX('تحليل التكلفة والسعر'!$C$2:$C$700,MATCH($C11226,'تحليل التكلفة والسعر'!$B$2:$B$700,0)),0))</f>
        <v/>
      </c>
    </row>
    <row r="11227" customFormat="false" ht="15" hidden="false" customHeight="false" outlineLevel="0" collapsed="false">
      <c r="A11227" s="103"/>
      <c r="B11227" s="104"/>
      <c r="C11227" s="104"/>
      <c r="E11227" s="107" t="str">
        <f aca="false">IF($C11227="","",IFERROR(INDEX(المنيو!$C$2:$C$500,MATCH($C11227,المنيو!$B$2:$B$500,0)),0))</f>
        <v/>
      </c>
      <c r="F11227" s="107" t="str">
        <f aca="false">IF($C11227="","",$D11227*$E11227)</f>
        <v/>
      </c>
      <c r="G11227" s="107" t="str">
        <f aca="false">IF($C11227="","",$D11227*IFERROR(INDEX('تحليل التكلفة والسعر'!$C$2:$C$700,MATCH($C11227,'تحليل التكلفة والسعر'!$B$2:$B$700,0)),0))</f>
        <v/>
      </c>
    </row>
    <row r="11228" customFormat="false" ht="15" hidden="false" customHeight="false" outlineLevel="0" collapsed="false">
      <c r="A11228" s="103"/>
      <c r="B11228" s="104"/>
      <c r="C11228" s="104"/>
      <c r="E11228" s="107" t="str">
        <f aca="false">IF($C11228="","",IFERROR(INDEX(المنيو!$C$2:$C$500,MATCH($C11228,المنيو!$B$2:$B$500,0)),0))</f>
        <v/>
      </c>
      <c r="F11228" s="107" t="str">
        <f aca="false">IF($C11228="","",$D11228*$E11228)</f>
        <v/>
      </c>
      <c r="G11228" s="107" t="str">
        <f aca="false">IF($C11228="","",$D11228*IFERROR(INDEX('تحليل التكلفة والسعر'!$C$2:$C$700,MATCH($C11228,'تحليل التكلفة والسعر'!$B$2:$B$700,0)),0))</f>
        <v/>
      </c>
    </row>
    <row r="11229" customFormat="false" ht="15" hidden="false" customHeight="false" outlineLevel="0" collapsed="false">
      <c r="A11229" s="103"/>
      <c r="B11229" s="104"/>
      <c r="C11229" s="104"/>
      <c r="E11229" s="107" t="str">
        <f aca="false">IF($C11229="","",IFERROR(INDEX(المنيو!$C$2:$C$500,MATCH($C11229,المنيو!$B$2:$B$500,0)),0))</f>
        <v/>
      </c>
      <c r="F11229" s="107" t="str">
        <f aca="false">IF($C11229="","",$D11229*$E11229)</f>
        <v/>
      </c>
      <c r="G11229" s="107" t="str">
        <f aca="false">IF($C11229="","",$D11229*IFERROR(INDEX('تحليل التكلفة والسعر'!$C$2:$C$700,MATCH($C11229,'تحليل التكلفة والسعر'!$B$2:$B$700,0)),0))</f>
        <v/>
      </c>
    </row>
    <row r="11230" customFormat="false" ht="15" hidden="false" customHeight="false" outlineLevel="0" collapsed="false">
      <c r="A11230" s="103"/>
      <c r="B11230" s="104"/>
      <c r="C11230" s="104"/>
      <c r="E11230" s="107" t="str">
        <f aca="false">IF($C11230="","",IFERROR(INDEX(المنيو!$C$2:$C$500,MATCH($C11230,المنيو!$B$2:$B$500,0)),0))</f>
        <v/>
      </c>
      <c r="F11230" s="107" t="str">
        <f aca="false">IF($C11230="","",$D11230*$E11230)</f>
        <v/>
      </c>
      <c r="G11230" s="107" t="str">
        <f aca="false">IF($C11230="","",$D11230*IFERROR(INDEX('تحليل التكلفة والسعر'!$C$2:$C$700,MATCH($C11230,'تحليل التكلفة والسعر'!$B$2:$B$700,0)),0))</f>
        <v/>
      </c>
    </row>
    <row r="11231" customFormat="false" ht="15" hidden="false" customHeight="false" outlineLevel="0" collapsed="false">
      <c r="A11231" s="103"/>
      <c r="B11231" s="104"/>
      <c r="C11231" s="104"/>
      <c r="E11231" s="107" t="str">
        <f aca="false">IF($C11231="","",IFERROR(INDEX(المنيو!$C$2:$C$500,MATCH($C11231,المنيو!$B$2:$B$500,0)),0))</f>
        <v/>
      </c>
      <c r="F11231" s="107" t="str">
        <f aca="false">IF($C11231="","",$D11231*$E11231)</f>
        <v/>
      </c>
      <c r="G11231" s="107" t="str">
        <f aca="false">IF($C11231="","",$D11231*IFERROR(INDEX('تحليل التكلفة والسعر'!$C$2:$C$700,MATCH($C11231,'تحليل التكلفة والسعر'!$B$2:$B$700,0)),0))</f>
        <v/>
      </c>
    </row>
    <row r="11232" customFormat="false" ht="15" hidden="false" customHeight="false" outlineLevel="0" collapsed="false">
      <c r="A11232" s="103"/>
      <c r="B11232" s="104"/>
      <c r="C11232" s="104"/>
      <c r="E11232" s="107" t="str">
        <f aca="false">IF($C11232="","",IFERROR(INDEX(المنيو!$C$2:$C$500,MATCH($C11232,المنيو!$B$2:$B$500,0)),0))</f>
        <v/>
      </c>
      <c r="F11232" s="107" t="str">
        <f aca="false">IF($C11232="","",$D11232*$E11232)</f>
        <v/>
      </c>
      <c r="G11232" s="107" t="str">
        <f aca="false">IF($C11232="","",$D11232*IFERROR(INDEX('تحليل التكلفة والسعر'!$C$2:$C$700,MATCH($C11232,'تحليل التكلفة والسعر'!$B$2:$B$700,0)),0))</f>
        <v/>
      </c>
    </row>
    <row r="11233" customFormat="false" ht="15" hidden="false" customHeight="false" outlineLevel="0" collapsed="false">
      <c r="A11233" s="103"/>
      <c r="B11233" s="104"/>
      <c r="C11233" s="104"/>
      <c r="E11233" s="107" t="str">
        <f aca="false">IF($C11233="","",IFERROR(INDEX(المنيو!$C$2:$C$500,MATCH($C11233,المنيو!$B$2:$B$500,0)),0))</f>
        <v/>
      </c>
      <c r="F11233" s="107" t="str">
        <f aca="false">IF($C11233="","",$D11233*$E11233)</f>
        <v/>
      </c>
      <c r="G11233" s="107" t="str">
        <f aca="false">IF($C11233="","",$D11233*IFERROR(INDEX('تحليل التكلفة والسعر'!$C$2:$C$700,MATCH($C11233,'تحليل التكلفة والسعر'!$B$2:$B$700,0)),0))</f>
        <v/>
      </c>
    </row>
    <row r="11234" customFormat="false" ht="15" hidden="false" customHeight="false" outlineLevel="0" collapsed="false">
      <c r="A11234" s="103"/>
      <c r="B11234" s="104"/>
      <c r="C11234" s="104"/>
      <c r="E11234" s="107" t="str">
        <f aca="false">IF($C11234="","",IFERROR(INDEX(المنيو!$C$2:$C$500,MATCH($C11234,المنيو!$B$2:$B$500,0)),0))</f>
        <v/>
      </c>
      <c r="F11234" s="107" t="str">
        <f aca="false">IF($C11234="","",$D11234*$E11234)</f>
        <v/>
      </c>
      <c r="G11234" s="107" t="str">
        <f aca="false">IF($C11234="","",$D11234*IFERROR(INDEX('تحليل التكلفة والسعر'!$C$2:$C$700,MATCH($C11234,'تحليل التكلفة والسعر'!$B$2:$B$700,0)),0))</f>
        <v/>
      </c>
    </row>
    <row r="11235" customFormat="false" ht="15" hidden="false" customHeight="false" outlineLevel="0" collapsed="false">
      <c r="A11235" s="103"/>
      <c r="B11235" s="104"/>
      <c r="C11235" s="104"/>
      <c r="E11235" s="107" t="str">
        <f aca="false">IF($C11235="","",IFERROR(INDEX(المنيو!$C$2:$C$500,MATCH($C11235,المنيو!$B$2:$B$500,0)),0))</f>
        <v/>
      </c>
      <c r="F11235" s="107" t="str">
        <f aca="false">IF($C11235="","",$D11235*$E11235)</f>
        <v/>
      </c>
      <c r="G11235" s="107" t="str">
        <f aca="false">IF($C11235="","",$D11235*IFERROR(INDEX('تحليل التكلفة والسعر'!$C$2:$C$700,MATCH($C11235,'تحليل التكلفة والسعر'!$B$2:$B$700,0)),0))</f>
        <v/>
      </c>
    </row>
    <row r="11236" customFormat="false" ht="15" hidden="false" customHeight="false" outlineLevel="0" collapsed="false">
      <c r="A11236" s="103"/>
      <c r="B11236" s="104"/>
      <c r="C11236" s="104"/>
      <c r="E11236" s="107" t="str">
        <f aca="false">IF($C11236="","",IFERROR(INDEX(المنيو!$C$2:$C$500,MATCH($C11236,المنيو!$B$2:$B$500,0)),0))</f>
        <v/>
      </c>
      <c r="F11236" s="107" t="str">
        <f aca="false">IF($C11236="","",$D11236*$E11236)</f>
        <v/>
      </c>
      <c r="G11236" s="107" t="str">
        <f aca="false">IF($C11236="","",$D11236*IFERROR(INDEX('تحليل التكلفة والسعر'!$C$2:$C$700,MATCH($C11236,'تحليل التكلفة والسعر'!$B$2:$B$700,0)),0))</f>
        <v/>
      </c>
    </row>
    <row r="11237" customFormat="false" ht="15" hidden="false" customHeight="false" outlineLevel="0" collapsed="false">
      <c r="A11237" s="103"/>
      <c r="B11237" s="104"/>
      <c r="C11237" s="104"/>
      <c r="E11237" s="107" t="str">
        <f aca="false">IF($C11237="","",IFERROR(INDEX(المنيو!$C$2:$C$500,MATCH($C11237,المنيو!$B$2:$B$500,0)),0))</f>
        <v/>
      </c>
      <c r="F11237" s="107" t="str">
        <f aca="false">IF($C11237="","",$D11237*$E11237)</f>
        <v/>
      </c>
      <c r="G11237" s="107" t="str">
        <f aca="false">IF($C11237="","",$D11237*IFERROR(INDEX('تحليل التكلفة والسعر'!$C$2:$C$700,MATCH($C11237,'تحليل التكلفة والسعر'!$B$2:$B$700,0)),0))</f>
        <v/>
      </c>
    </row>
    <row r="11238" customFormat="false" ht="15" hidden="false" customHeight="false" outlineLevel="0" collapsed="false">
      <c r="A11238" s="103"/>
      <c r="B11238" s="104"/>
      <c r="C11238" s="104"/>
      <c r="E11238" s="107" t="str">
        <f aca="false">IF($C11238="","",IFERROR(INDEX(المنيو!$C$2:$C$500,MATCH($C11238,المنيو!$B$2:$B$500,0)),0))</f>
        <v/>
      </c>
      <c r="F11238" s="107" t="str">
        <f aca="false">IF($C11238="","",$D11238*$E11238)</f>
        <v/>
      </c>
      <c r="G11238" s="107" t="str">
        <f aca="false">IF($C11238="","",$D11238*IFERROR(INDEX('تحليل التكلفة والسعر'!$C$2:$C$700,MATCH($C11238,'تحليل التكلفة والسعر'!$B$2:$B$700,0)),0))</f>
        <v/>
      </c>
    </row>
    <row r="11239" customFormat="false" ht="15" hidden="false" customHeight="false" outlineLevel="0" collapsed="false">
      <c r="A11239" s="103"/>
      <c r="B11239" s="104"/>
      <c r="C11239" s="104"/>
      <c r="E11239" s="107" t="str">
        <f aca="false">IF($C11239="","",IFERROR(INDEX(المنيو!$C$2:$C$500,MATCH($C11239,المنيو!$B$2:$B$500,0)),0))</f>
        <v/>
      </c>
      <c r="F11239" s="107" t="str">
        <f aca="false">IF($C11239="","",$D11239*$E11239)</f>
        <v/>
      </c>
      <c r="G11239" s="107" t="str">
        <f aca="false">IF($C11239="","",$D11239*IFERROR(INDEX('تحليل التكلفة والسعر'!$C$2:$C$700,MATCH($C11239,'تحليل التكلفة والسعر'!$B$2:$B$700,0)),0))</f>
        <v/>
      </c>
    </row>
    <row r="11240" customFormat="false" ht="15" hidden="false" customHeight="false" outlineLevel="0" collapsed="false">
      <c r="A11240" s="103"/>
      <c r="B11240" s="104"/>
      <c r="C11240" s="104"/>
      <c r="E11240" s="107" t="str">
        <f aca="false">IF($C11240="","",IFERROR(INDEX(المنيو!$C$2:$C$500,MATCH($C11240,المنيو!$B$2:$B$500,0)),0))</f>
        <v/>
      </c>
      <c r="F11240" s="107" t="str">
        <f aca="false">IF($C11240="","",$D11240*$E11240)</f>
        <v/>
      </c>
      <c r="G11240" s="107" t="str">
        <f aca="false">IF($C11240="","",$D11240*IFERROR(INDEX('تحليل التكلفة والسعر'!$C$2:$C$700,MATCH($C11240,'تحليل التكلفة والسعر'!$B$2:$B$700,0)),0))</f>
        <v/>
      </c>
    </row>
    <row r="11241" customFormat="false" ht="15" hidden="false" customHeight="false" outlineLevel="0" collapsed="false">
      <c r="A11241" s="103"/>
      <c r="B11241" s="104"/>
      <c r="C11241" s="104"/>
      <c r="E11241" s="107" t="str">
        <f aca="false">IF($C11241="","",IFERROR(INDEX(المنيو!$C$2:$C$500,MATCH($C11241,المنيو!$B$2:$B$500,0)),0))</f>
        <v/>
      </c>
      <c r="F11241" s="107" t="str">
        <f aca="false">IF($C11241="","",$D11241*$E11241)</f>
        <v/>
      </c>
      <c r="G11241" s="107" t="str">
        <f aca="false">IF($C11241="","",$D11241*IFERROR(INDEX('تحليل التكلفة والسعر'!$C$2:$C$700,MATCH($C11241,'تحليل التكلفة والسعر'!$B$2:$B$700,0)),0))</f>
        <v/>
      </c>
    </row>
    <row r="11242" customFormat="false" ht="15" hidden="false" customHeight="false" outlineLevel="0" collapsed="false">
      <c r="A11242" s="103"/>
      <c r="B11242" s="104"/>
      <c r="C11242" s="104"/>
      <c r="E11242" s="107" t="str">
        <f aca="false">IF($C11242="","",IFERROR(INDEX(المنيو!$C$2:$C$500,MATCH($C11242,المنيو!$B$2:$B$500,0)),0))</f>
        <v/>
      </c>
      <c r="F11242" s="107" t="str">
        <f aca="false">IF($C11242="","",$D11242*$E11242)</f>
        <v/>
      </c>
      <c r="G11242" s="107" t="str">
        <f aca="false">IF($C11242="","",$D11242*IFERROR(INDEX('تحليل التكلفة والسعر'!$C$2:$C$700,MATCH($C11242,'تحليل التكلفة والسعر'!$B$2:$B$700,0)),0))</f>
        <v/>
      </c>
    </row>
    <row r="11243" customFormat="false" ht="15" hidden="false" customHeight="false" outlineLevel="0" collapsed="false">
      <c r="A11243" s="103"/>
      <c r="B11243" s="104"/>
      <c r="C11243" s="104"/>
      <c r="E11243" s="107" t="str">
        <f aca="false">IF($C11243="","",IFERROR(INDEX(المنيو!$C$2:$C$500,MATCH($C11243,المنيو!$B$2:$B$500,0)),0))</f>
        <v/>
      </c>
      <c r="F11243" s="107" t="str">
        <f aca="false">IF($C11243="","",$D11243*$E11243)</f>
        <v/>
      </c>
      <c r="G11243" s="107" t="str">
        <f aca="false">IF($C11243="","",$D11243*IFERROR(INDEX('تحليل التكلفة والسعر'!$C$2:$C$700,MATCH($C11243,'تحليل التكلفة والسعر'!$B$2:$B$700,0)),0))</f>
        <v/>
      </c>
    </row>
    <row r="11244" customFormat="false" ht="15" hidden="false" customHeight="false" outlineLevel="0" collapsed="false">
      <c r="A11244" s="103"/>
      <c r="B11244" s="104"/>
      <c r="C11244" s="104"/>
      <c r="E11244" s="107" t="str">
        <f aca="false">IF($C11244="","",IFERROR(INDEX(المنيو!$C$2:$C$500,MATCH($C11244,المنيو!$B$2:$B$500,0)),0))</f>
        <v/>
      </c>
      <c r="F11244" s="107" t="str">
        <f aca="false">IF($C11244="","",$D11244*$E11244)</f>
        <v/>
      </c>
      <c r="G11244" s="107" t="str">
        <f aca="false">IF($C11244="","",$D11244*IFERROR(INDEX('تحليل التكلفة والسعر'!$C$2:$C$700,MATCH($C11244,'تحليل التكلفة والسعر'!$B$2:$B$700,0)),0))</f>
        <v/>
      </c>
    </row>
    <row r="11245" customFormat="false" ht="15" hidden="false" customHeight="false" outlineLevel="0" collapsed="false">
      <c r="A11245" s="103"/>
      <c r="B11245" s="104"/>
      <c r="C11245" s="104"/>
      <c r="E11245" s="107" t="str">
        <f aca="false">IF($C11245="","",IFERROR(INDEX(المنيو!$C$2:$C$500,MATCH($C11245,المنيو!$B$2:$B$500,0)),0))</f>
        <v/>
      </c>
      <c r="F11245" s="107" t="str">
        <f aca="false">IF($C11245="","",$D11245*$E11245)</f>
        <v/>
      </c>
      <c r="G11245" s="107" t="str">
        <f aca="false">IF($C11245="","",$D11245*IFERROR(INDEX('تحليل التكلفة والسعر'!$C$2:$C$700,MATCH($C11245,'تحليل التكلفة والسعر'!$B$2:$B$700,0)),0))</f>
        <v/>
      </c>
    </row>
    <row r="11246" customFormat="false" ht="15" hidden="false" customHeight="false" outlineLevel="0" collapsed="false">
      <c r="A11246" s="103"/>
      <c r="B11246" s="104"/>
      <c r="C11246" s="104"/>
      <c r="E11246" s="107" t="str">
        <f aca="false">IF($C11246="","",IFERROR(INDEX(المنيو!$C$2:$C$500,MATCH($C11246,المنيو!$B$2:$B$500,0)),0))</f>
        <v/>
      </c>
      <c r="F11246" s="107" t="str">
        <f aca="false">IF($C11246="","",$D11246*$E11246)</f>
        <v/>
      </c>
      <c r="G11246" s="107" t="str">
        <f aca="false">IF($C11246="","",$D11246*IFERROR(INDEX('تحليل التكلفة والسعر'!$C$2:$C$700,MATCH($C11246,'تحليل التكلفة والسعر'!$B$2:$B$700,0)),0))</f>
        <v/>
      </c>
    </row>
    <row r="11247" customFormat="false" ht="15" hidden="false" customHeight="false" outlineLevel="0" collapsed="false">
      <c r="A11247" s="103"/>
      <c r="B11247" s="104"/>
      <c r="C11247" s="104"/>
      <c r="E11247" s="107" t="str">
        <f aca="false">IF($C11247="","",IFERROR(INDEX(المنيو!$C$2:$C$500,MATCH($C11247,المنيو!$B$2:$B$500,0)),0))</f>
        <v/>
      </c>
      <c r="F11247" s="107" t="str">
        <f aca="false">IF($C11247="","",$D11247*$E11247)</f>
        <v/>
      </c>
      <c r="G11247" s="107" t="str">
        <f aca="false">IF($C11247="","",$D11247*IFERROR(INDEX('تحليل التكلفة والسعر'!$C$2:$C$700,MATCH($C11247,'تحليل التكلفة والسعر'!$B$2:$B$700,0)),0))</f>
        <v/>
      </c>
    </row>
    <row r="11248" customFormat="false" ht="15" hidden="false" customHeight="false" outlineLevel="0" collapsed="false">
      <c r="A11248" s="103"/>
      <c r="B11248" s="104"/>
      <c r="C11248" s="104"/>
      <c r="E11248" s="107" t="str">
        <f aca="false">IF($C11248="","",IFERROR(INDEX(المنيو!$C$2:$C$500,MATCH($C11248,المنيو!$B$2:$B$500,0)),0))</f>
        <v/>
      </c>
      <c r="F11248" s="107" t="str">
        <f aca="false">IF($C11248="","",$D11248*$E11248)</f>
        <v/>
      </c>
      <c r="G11248" s="107" t="str">
        <f aca="false">IF($C11248="","",$D11248*IFERROR(INDEX('تحليل التكلفة والسعر'!$C$2:$C$700,MATCH($C11248,'تحليل التكلفة والسعر'!$B$2:$B$700,0)),0))</f>
        <v/>
      </c>
    </row>
    <row r="11249" customFormat="false" ht="15" hidden="false" customHeight="false" outlineLevel="0" collapsed="false">
      <c r="A11249" s="103"/>
      <c r="B11249" s="104"/>
      <c r="C11249" s="104"/>
      <c r="E11249" s="107" t="str">
        <f aca="false">IF($C11249="","",IFERROR(INDEX(المنيو!$C$2:$C$500,MATCH($C11249,المنيو!$B$2:$B$500,0)),0))</f>
        <v/>
      </c>
      <c r="F11249" s="107" t="str">
        <f aca="false">IF($C11249="","",$D11249*$E11249)</f>
        <v/>
      </c>
      <c r="G11249" s="107" t="str">
        <f aca="false">IF($C11249="","",$D11249*IFERROR(INDEX('تحليل التكلفة والسعر'!$C$2:$C$700,MATCH($C11249,'تحليل التكلفة والسعر'!$B$2:$B$700,0)),0))</f>
        <v/>
      </c>
    </row>
    <row r="11250" customFormat="false" ht="15" hidden="false" customHeight="false" outlineLevel="0" collapsed="false">
      <c r="A11250" s="103"/>
      <c r="B11250" s="104"/>
      <c r="C11250" s="104"/>
      <c r="E11250" s="107" t="str">
        <f aca="false">IF($C11250="","",IFERROR(INDEX(المنيو!$C$2:$C$500,MATCH($C11250,المنيو!$B$2:$B$500,0)),0))</f>
        <v/>
      </c>
      <c r="F11250" s="107" t="str">
        <f aca="false">IF($C11250="","",$D11250*$E11250)</f>
        <v/>
      </c>
      <c r="G11250" s="107" t="str">
        <f aca="false">IF($C11250="","",$D11250*IFERROR(INDEX('تحليل التكلفة والسعر'!$C$2:$C$700,MATCH($C11250,'تحليل التكلفة والسعر'!$B$2:$B$700,0)),0))</f>
        <v/>
      </c>
    </row>
    <row r="11251" customFormat="false" ht="15" hidden="false" customHeight="false" outlineLevel="0" collapsed="false">
      <c r="A11251" s="103"/>
      <c r="B11251" s="104"/>
      <c r="C11251" s="104"/>
      <c r="E11251" s="107" t="str">
        <f aca="false">IF($C11251="","",IFERROR(INDEX(المنيو!$C$2:$C$500,MATCH($C11251,المنيو!$B$2:$B$500,0)),0))</f>
        <v/>
      </c>
      <c r="F11251" s="107" t="str">
        <f aca="false">IF($C11251="","",$D11251*$E11251)</f>
        <v/>
      </c>
      <c r="G11251" s="107" t="str">
        <f aca="false">IF($C11251="","",$D11251*IFERROR(INDEX('تحليل التكلفة والسعر'!$C$2:$C$700,MATCH($C11251,'تحليل التكلفة والسعر'!$B$2:$B$700,0)),0))</f>
        <v/>
      </c>
    </row>
    <row r="11252" customFormat="false" ht="15" hidden="false" customHeight="false" outlineLevel="0" collapsed="false">
      <c r="A11252" s="103"/>
      <c r="B11252" s="104"/>
      <c r="C11252" s="104"/>
      <c r="E11252" s="107" t="str">
        <f aca="false">IF($C11252="","",IFERROR(INDEX(المنيو!$C$2:$C$500,MATCH($C11252,المنيو!$B$2:$B$500,0)),0))</f>
        <v/>
      </c>
      <c r="F11252" s="107" t="str">
        <f aca="false">IF($C11252="","",$D11252*$E11252)</f>
        <v/>
      </c>
      <c r="G11252" s="107" t="str">
        <f aca="false">IF($C11252="","",$D11252*IFERROR(INDEX('تحليل التكلفة والسعر'!$C$2:$C$700,MATCH($C11252,'تحليل التكلفة والسعر'!$B$2:$B$700,0)),0))</f>
        <v/>
      </c>
    </row>
    <row r="11253" customFormat="false" ht="15" hidden="false" customHeight="false" outlineLevel="0" collapsed="false">
      <c r="A11253" s="103"/>
      <c r="B11253" s="104"/>
      <c r="C11253" s="104"/>
      <c r="E11253" s="107" t="str">
        <f aca="false">IF($C11253="","",IFERROR(INDEX(المنيو!$C$2:$C$500,MATCH($C11253,المنيو!$B$2:$B$500,0)),0))</f>
        <v/>
      </c>
      <c r="F11253" s="107" t="str">
        <f aca="false">IF($C11253="","",$D11253*$E11253)</f>
        <v/>
      </c>
      <c r="G11253" s="107" t="str">
        <f aca="false">IF($C11253="","",$D11253*IFERROR(INDEX('تحليل التكلفة والسعر'!$C$2:$C$700,MATCH($C11253,'تحليل التكلفة والسعر'!$B$2:$B$700,0)),0))</f>
        <v/>
      </c>
    </row>
    <row r="11254" customFormat="false" ht="15" hidden="false" customHeight="false" outlineLevel="0" collapsed="false">
      <c r="A11254" s="103"/>
      <c r="B11254" s="104"/>
      <c r="C11254" s="104"/>
      <c r="E11254" s="107" t="str">
        <f aca="false">IF($C11254="","",IFERROR(INDEX(المنيو!$C$2:$C$500,MATCH($C11254,المنيو!$B$2:$B$500,0)),0))</f>
        <v/>
      </c>
      <c r="F11254" s="107" t="str">
        <f aca="false">IF($C11254="","",$D11254*$E11254)</f>
        <v/>
      </c>
      <c r="G11254" s="107" t="str">
        <f aca="false">IF($C11254="","",$D11254*IFERROR(INDEX('تحليل التكلفة والسعر'!$C$2:$C$700,MATCH($C11254,'تحليل التكلفة والسعر'!$B$2:$B$700,0)),0))</f>
        <v/>
      </c>
    </row>
    <row r="11255" customFormat="false" ht="15" hidden="false" customHeight="false" outlineLevel="0" collapsed="false">
      <c r="A11255" s="103"/>
      <c r="B11255" s="104"/>
      <c r="C11255" s="104"/>
      <c r="E11255" s="107" t="str">
        <f aca="false">IF($C11255="","",IFERROR(INDEX(المنيو!$C$2:$C$500,MATCH($C11255,المنيو!$B$2:$B$500,0)),0))</f>
        <v/>
      </c>
      <c r="F11255" s="107" t="str">
        <f aca="false">IF($C11255="","",$D11255*$E11255)</f>
        <v/>
      </c>
      <c r="G11255" s="107" t="str">
        <f aca="false">IF($C11255="","",$D11255*IFERROR(INDEX('تحليل التكلفة والسعر'!$C$2:$C$700,MATCH($C11255,'تحليل التكلفة والسعر'!$B$2:$B$700,0)),0))</f>
        <v/>
      </c>
    </row>
    <row r="11256" customFormat="false" ht="15" hidden="false" customHeight="false" outlineLevel="0" collapsed="false">
      <c r="A11256" s="103"/>
      <c r="B11256" s="104"/>
      <c r="C11256" s="104"/>
      <c r="E11256" s="107" t="str">
        <f aca="false">IF($C11256="","",IFERROR(INDEX(المنيو!$C$2:$C$500,MATCH($C11256,المنيو!$B$2:$B$500,0)),0))</f>
        <v/>
      </c>
      <c r="F11256" s="107" t="str">
        <f aca="false">IF($C11256="","",$D11256*$E11256)</f>
        <v/>
      </c>
      <c r="G11256" s="107" t="str">
        <f aca="false">IF($C11256="","",$D11256*IFERROR(INDEX('تحليل التكلفة والسعر'!$C$2:$C$700,MATCH($C11256,'تحليل التكلفة والسعر'!$B$2:$B$700,0)),0))</f>
        <v/>
      </c>
    </row>
    <row r="11257" customFormat="false" ht="15" hidden="false" customHeight="false" outlineLevel="0" collapsed="false">
      <c r="A11257" s="103"/>
      <c r="B11257" s="104"/>
      <c r="C11257" s="104"/>
      <c r="E11257" s="107" t="str">
        <f aca="false">IF($C11257="","",IFERROR(INDEX(المنيو!$C$2:$C$500,MATCH($C11257,المنيو!$B$2:$B$500,0)),0))</f>
        <v/>
      </c>
      <c r="F11257" s="107" t="str">
        <f aca="false">IF($C11257="","",$D11257*$E11257)</f>
        <v/>
      </c>
      <c r="G11257" s="107" t="str">
        <f aca="false">IF($C11257="","",$D11257*IFERROR(INDEX('تحليل التكلفة والسعر'!$C$2:$C$700,MATCH($C11257,'تحليل التكلفة والسعر'!$B$2:$B$700,0)),0))</f>
        <v/>
      </c>
    </row>
    <row r="11258" customFormat="false" ht="15" hidden="false" customHeight="false" outlineLevel="0" collapsed="false">
      <c r="A11258" s="103"/>
      <c r="B11258" s="104"/>
      <c r="C11258" s="104"/>
      <c r="E11258" s="107" t="str">
        <f aca="false">IF($C11258="","",IFERROR(INDEX(المنيو!$C$2:$C$500,MATCH($C11258,المنيو!$B$2:$B$500,0)),0))</f>
        <v/>
      </c>
      <c r="F11258" s="107" t="str">
        <f aca="false">IF($C11258="","",$D11258*$E11258)</f>
        <v/>
      </c>
      <c r="G11258" s="107" t="str">
        <f aca="false">IF($C11258="","",$D11258*IFERROR(INDEX('تحليل التكلفة والسعر'!$C$2:$C$700,MATCH($C11258,'تحليل التكلفة والسعر'!$B$2:$B$700,0)),0))</f>
        <v/>
      </c>
    </row>
    <row r="11259" customFormat="false" ht="15" hidden="false" customHeight="false" outlineLevel="0" collapsed="false">
      <c r="A11259" s="103"/>
      <c r="B11259" s="104"/>
      <c r="C11259" s="104"/>
      <c r="E11259" s="107" t="str">
        <f aca="false">IF($C11259="","",IFERROR(INDEX(المنيو!$C$2:$C$500,MATCH($C11259,المنيو!$B$2:$B$500,0)),0))</f>
        <v/>
      </c>
      <c r="F11259" s="107" t="str">
        <f aca="false">IF($C11259="","",$D11259*$E11259)</f>
        <v/>
      </c>
      <c r="G11259" s="107" t="str">
        <f aca="false">IF($C11259="","",$D11259*IFERROR(INDEX('تحليل التكلفة والسعر'!$C$2:$C$700,MATCH($C11259,'تحليل التكلفة والسعر'!$B$2:$B$700,0)),0))</f>
        <v/>
      </c>
    </row>
    <row r="11260" customFormat="false" ht="15" hidden="false" customHeight="false" outlineLevel="0" collapsed="false">
      <c r="A11260" s="103"/>
      <c r="B11260" s="104"/>
      <c r="C11260" s="104"/>
      <c r="E11260" s="107" t="str">
        <f aca="false">IF($C11260="","",IFERROR(INDEX(المنيو!$C$2:$C$500,MATCH($C11260,المنيو!$B$2:$B$500,0)),0))</f>
        <v/>
      </c>
      <c r="F11260" s="107" t="str">
        <f aca="false">IF($C11260="","",$D11260*$E11260)</f>
        <v/>
      </c>
      <c r="G11260" s="107" t="str">
        <f aca="false">IF($C11260="","",$D11260*IFERROR(INDEX('تحليل التكلفة والسعر'!$C$2:$C$700,MATCH($C11260,'تحليل التكلفة والسعر'!$B$2:$B$700,0)),0))</f>
        <v/>
      </c>
    </row>
    <row r="11261" customFormat="false" ht="15" hidden="false" customHeight="false" outlineLevel="0" collapsed="false">
      <c r="A11261" s="103"/>
      <c r="B11261" s="104"/>
      <c r="C11261" s="104"/>
      <c r="E11261" s="107" t="str">
        <f aca="false">IF($C11261="","",IFERROR(INDEX(المنيو!$C$2:$C$500,MATCH($C11261,المنيو!$B$2:$B$500,0)),0))</f>
        <v/>
      </c>
      <c r="F11261" s="107" t="str">
        <f aca="false">IF($C11261="","",$D11261*$E11261)</f>
        <v/>
      </c>
      <c r="G11261" s="107" t="str">
        <f aca="false">IF($C11261="","",$D11261*IFERROR(INDEX('تحليل التكلفة والسعر'!$C$2:$C$700,MATCH($C11261,'تحليل التكلفة والسعر'!$B$2:$B$700,0)),0))</f>
        <v/>
      </c>
    </row>
    <row r="11262" customFormat="false" ht="15" hidden="false" customHeight="false" outlineLevel="0" collapsed="false">
      <c r="A11262" s="103"/>
      <c r="B11262" s="104"/>
      <c r="C11262" s="104"/>
      <c r="E11262" s="107" t="str">
        <f aca="false">IF($C11262="","",IFERROR(INDEX(المنيو!$C$2:$C$500,MATCH($C11262,المنيو!$B$2:$B$500,0)),0))</f>
        <v/>
      </c>
      <c r="F11262" s="107" t="str">
        <f aca="false">IF($C11262="","",$D11262*$E11262)</f>
        <v/>
      </c>
      <c r="G11262" s="107" t="str">
        <f aca="false">IF($C11262="","",$D11262*IFERROR(INDEX('تحليل التكلفة والسعر'!$C$2:$C$700,MATCH($C11262,'تحليل التكلفة والسعر'!$B$2:$B$700,0)),0))</f>
        <v/>
      </c>
    </row>
    <row r="11263" customFormat="false" ht="15" hidden="false" customHeight="false" outlineLevel="0" collapsed="false">
      <c r="A11263" s="103"/>
      <c r="B11263" s="104"/>
      <c r="C11263" s="104"/>
      <c r="E11263" s="107" t="str">
        <f aca="false">IF($C11263="","",IFERROR(INDEX(المنيو!$C$2:$C$500,MATCH($C11263,المنيو!$B$2:$B$500,0)),0))</f>
        <v/>
      </c>
      <c r="F11263" s="107" t="str">
        <f aca="false">IF($C11263="","",$D11263*$E11263)</f>
        <v/>
      </c>
      <c r="G11263" s="107" t="str">
        <f aca="false">IF($C11263="","",$D11263*IFERROR(INDEX('تحليل التكلفة والسعر'!$C$2:$C$700,MATCH($C11263,'تحليل التكلفة والسعر'!$B$2:$B$700,0)),0))</f>
        <v/>
      </c>
    </row>
    <row r="11264" customFormat="false" ht="15" hidden="false" customHeight="false" outlineLevel="0" collapsed="false">
      <c r="A11264" s="103"/>
      <c r="B11264" s="104"/>
      <c r="C11264" s="104"/>
      <c r="E11264" s="107" t="str">
        <f aca="false">IF($C11264="","",IFERROR(INDEX(المنيو!$C$2:$C$500,MATCH($C11264,المنيو!$B$2:$B$500,0)),0))</f>
        <v/>
      </c>
      <c r="F11264" s="107" t="str">
        <f aca="false">IF($C11264="","",$D11264*$E11264)</f>
        <v/>
      </c>
      <c r="G11264" s="107" t="str">
        <f aca="false">IF($C11264="","",$D11264*IFERROR(INDEX('تحليل التكلفة والسعر'!$C$2:$C$700,MATCH($C11264,'تحليل التكلفة والسعر'!$B$2:$B$700,0)),0))</f>
        <v/>
      </c>
    </row>
    <row r="11265" customFormat="false" ht="15" hidden="false" customHeight="false" outlineLevel="0" collapsed="false">
      <c r="A11265" s="103"/>
      <c r="B11265" s="104"/>
      <c r="C11265" s="104"/>
      <c r="E11265" s="107" t="str">
        <f aca="false">IF($C11265="","",IFERROR(INDEX(المنيو!$C$2:$C$500,MATCH($C11265,المنيو!$B$2:$B$500,0)),0))</f>
        <v/>
      </c>
      <c r="F11265" s="107" t="str">
        <f aca="false">IF($C11265="","",$D11265*$E11265)</f>
        <v/>
      </c>
      <c r="G11265" s="107" t="str">
        <f aca="false">IF($C11265="","",$D11265*IFERROR(INDEX('تحليل التكلفة والسعر'!$C$2:$C$700,MATCH($C11265,'تحليل التكلفة والسعر'!$B$2:$B$700,0)),0))</f>
        <v/>
      </c>
    </row>
    <row r="11266" customFormat="false" ht="15" hidden="false" customHeight="false" outlineLevel="0" collapsed="false">
      <c r="A11266" s="103"/>
      <c r="B11266" s="104"/>
      <c r="C11266" s="104"/>
      <c r="E11266" s="107" t="str">
        <f aca="false">IF($C11266="","",IFERROR(INDEX(المنيو!$C$2:$C$500,MATCH($C11266,المنيو!$B$2:$B$500,0)),0))</f>
        <v/>
      </c>
      <c r="F11266" s="107" t="str">
        <f aca="false">IF($C11266="","",$D11266*$E11266)</f>
        <v/>
      </c>
      <c r="G11266" s="107" t="str">
        <f aca="false">IF($C11266="","",$D11266*IFERROR(INDEX('تحليل التكلفة والسعر'!$C$2:$C$700,MATCH($C11266,'تحليل التكلفة والسعر'!$B$2:$B$700,0)),0))</f>
        <v/>
      </c>
    </row>
    <row r="11267" customFormat="false" ht="15" hidden="false" customHeight="false" outlineLevel="0" collapsed="false">
      <c r="A11267" s="103"/>
      <c r="B11267" s="104"/>
      <c r="C11267" s="104"/>
      <c r="E11267" s="107" t="str">
        <f aca="false">IF($C11267="","",IFERROR(INDEX(المنيو!$C$2:$C$500,MATCH($C11267,المنيو!$B$2:$B$500,0)),0))</f>
        <v/>
      </c>
      <c r="F11267" s="107" t="str">
        <f aca="false">IF($C11267="","",$D11267*$E11267)</f>
        <v/>
      </c>
      <c r="G11267" s="107" t="str">
        <f aca="false">IF($C11267="","",$D11267*IFERROR(INDEX('تحليل التكلفة والسعر'!$C$2:$C$700,MATCH($C11267,'تحليل التكلفة والسعر'!$B$2:$B$700,0)),0))</f>
        <v/>
      </c>
    </row>
    <row r="11268" customFormat="false" ht="15" hidden="false" customHeight="false" outlineLevel="0" collapsed="false">
      <c r="A11268" s="103"/>
      <c r="B11268" s="104"/>
      <c r="C11268" s="104"/>
      <c r="E11268" s="107" t="str">
        <f aca="false">IF($C11268="","",IFERROR(INDEX(المنيو!$C$2:$C$500,MATCH($C11268,المنيو!$B$2:$B$500,0)),0))</f>
        <v/>
      </c>
      <c r="F11268" s="107" t="str">
        <f aca="false">IF($C11268="","",$D11268*$E11268)</f>
        <v/>
      </c>
      <c r="G11268" s="107" t="str">
        <f aca="false">IF($C11268="","",$D11268*IFERROR(INDEX('تحليل التكلفة والسعر'!$C$2:$C$700,MATCH($C11268,'تحليل التكلفة والسعر'!$B$2:$B$700,0)),0))</f>
        <v/>
      </c>
    </row>
    <row r="11269" customFormat="false" ht="15" hidden="false" customHeight="false" outlineLevel="0" collapsed="false">
      <c r="A11269" s="103"/>
      <c r="B11269" s="104"/>
      <c r="C11269" s="104"/>
      <c r="E11269" s="107" t="str">
        <f aca="false">IF($C11269="","",IFERROR(INDEX(المنيو!$C$2:$C$500,MATCH($C11269,المنيو!$B$2:$B$500,0)),0))</f>
        <v/>
      </c>
      <c r="F11269" s="107" t="str">
        <f aca="false">IF($C11269="","",$D11269*$E11269)</f>
        <v/>
      </c>
      <c r="G11269" s="107" t="str">
        <f aca="false">IF($C11269="","",$D11269*IFERROR(INDEX('تحليل التكلفة والسعر'!$C$2:$C$700,MATCH($C11269,'تحليل التكلفة والسعر'!$B$2:$B$700,0)),0))</f>
        <v/>
      </c>
    </row>
    <row r="11270" customFormat="false" ht="15" hidden="false" customHeight="false" outlineLevel="0" collapsed="false">
      <c r="A11270" s="103"/>
      <c r="B11270" s="104"/>
      <c r="C11270" s="104"/>
      <c r="E11270" s="107" t="str">
        <f aca="false">IF($C11270="","",IFERROR(INDEX(المنيو!$C$2:$C$500,MATCH($C11270,المنيو!$B$2:$B$500,0)),0))</f>
        <v/>
      </c>
      <c r="F11270" s="107" t="str">
        <f aca="false">IF($C11270="","",$D11270*$E11270)</f>
        <v/>
      </c>
      <c r="G11270" s="107" t="str">
        <f aca="false">IF($C11270="","",$D11270*IFERROR(INDEX('تحليل التكلفة والسعر'!$C$2:$C$700,MATCH($C11270,'تحليل التكلفة والسعر'!$B$2:$B$700,0)),0))</f>
        <v/>
      </c>
    </row>
    <row r="11271" customFormat="false" ht="15" hidden="false" customHeight="false" outlineLevel="0" collapsed="false">
      <c r="A11271" s="103"/>
      <c r="B11271" s="104"/>
      <c r="C11271" s="104"/>
      <c r="E11271" s="107" t="str">
        <f aca="false">IF($C11271="","",IFERROR(INDEX(المنيو!$C$2:$C$500,MATCH($C11271,المنيو!$B$2:$B$500,0)),0))</f>
        <v/>
      </c>
      <c r="F11271" s="107" t="str">
        <f aca="false">IF($C11271="","",$D11271*$E11271)</f>
        <v/>
      </c>
      <c r="G11271" s="107" t="str">
        <f aca="false">IF($C11271="","",$D11271*IFERROR(INDEX('تحليل التكلفة والسعر'!$C$2:$C$700,MATCH($C11271,'تحليل التكلفة والسعر'!$B$2:$B$700,0)),0))</f>
        <v/>
      </c>
    </row>
    <row r="11272" customFormat="false" ht="15" hidden="false" customHeight="false" outlineLevel="0" collapsed="false">
      <c r="A11272" s="103"/>
      <c r="B11272" s="104"/>
      <c r="C11272" s="104"/>
      <c r="E11272" s="107" t="str">
        <f aca="false">IF($C11272="","",IFERROR(INDEX(المنيو!$C$2:$C$500,MATCH($C11272,المنيو!$B$2:$B$500,0)),0))</f>
        <v/>
      </c>
      <c r="F11272" s="107" t="str">
        <f aca="false">IF($C11272="","",$D11272*$E11272)</f>
        <v/>
      </c>
      <c r="G11272" s="107" t="str">
        <f aca="false">IF($C11272="","",$D11272*IFERROR(INDEX('تحليل التكلفة والسعر'!$C$2:$C$700,MATCH($C11272,'تحليل التكلفة والسعر'!$B$2:$B$700,0)),0))</f>
        <v/>
      </c>
    </row>
    <row r="11273" customFormat="false" ht="15" hidden="false" customHeight="false" outlineLevel="0" collapsed="false">
      <c r="A11273" s="103"/>
      <c r="B11273" s="104"/>
      <c r="C11273" s="104"/>
      <c r="E11273" s="107" t="str">
        <f aca="false">IF($C11273="","",IFERROR(INDEX(المنيو!$C$2:$C$500,MATCH($C11273,المنيو!$B$2:$B$500,0)),0))</f>
        <v/>
      </c>
      <c r="F11273" s="107" t="str">
        <f aca="false">IF($C11273="","",$D11273*$E11273)</f>
        <v/>
      </c>
      <c r="G11273" s="107" t="str">
        <f aca="false">IF($C11273="","",$D11273*IFERROR(INDEX('تحليل التكلفة والسعر'!$C$2:$C$700,MATCH($C11273,'تحليل التكلفة والسعر'!$B$2:$B$700,0)),0))</f>
        <v/>
      </c>
    </row>
    <row r="11274" customFormat="false" ht="15" hidden="false" customHeight="false" outlineLevel="0" collapsed="false">
      <c r="A11274" s="103"/>
      <c r="B11274" s="104"/>
      <c r="C11274" s="104"/>
      <c r="E11274" s="107" t="str">
        <f aca="false">IF($C11274="","",IFERROR(INDEX(المنيو!$C$2:$C$500,MATCH($C11274,المنيو!$B$2:$B$500,0)),0))</f>
        <v/>
      </c>
      <c r="F11274" s="107" t="str">
        <f aca="false">IF($C11274="","",$D11274*$E11274)</f>
        <v/>
      </c>
      <c r="G11274" s="107" t="str">
        <f aca="false">IF($C11274="","",$D11274*IFERROR(INDEX('تحليل التكلفة والسعر'!$C$2:$C$700,MATCH($C11274,'تحليل التكلفة والسعر'!$B$2:$B$700,0)),0))</f>
        <v/>
      </c>
    </row>
    <row r="11275" customFormat="false" ht="15" hidden="false" customHeight="false" outlineLevel="0" collapsed="false">
      <c r="A11275" s="103"/>
      <c r="B11275" s="104"/>
      <c r="C11275" s="104"/>
      <c r="E11275" s="107" t="str">
        <f aca="false">IF($C11275="","",IFERROR(INDEX(المنيو!$C$2:$C$500,MATCH($C11275,المنيو!$B$2:$B$500,0)),0))</f>
        <v/>
      </c>
      <c r="F11275" s="107" t="str">
        <f aca="false">IF($C11275="","",$D11275*$E11275)</f>
        <v/>
      </c>
      <c r="G11275" s="107" t="str">
        <f aca="false">IF($C11275="","",$D11275*IFERROR(INDEX('تحليل التكلفة والسعر'!$C$2:$C$700,MATCH($C11275,'تحليل التكلفة والسعر'!$B$2:$B$700,0)),0))</f>
        <v/>
      </c>
    </row>
    <row r="11276" customFormat="false" ht="15" hidden="false" customHeight="false" outlineLevel="0" collapsed="false">
      <c r="A11276" s="103"/>
      <c r="B11276" s="104"/>
      <c r="C11276" s="104"/>
      <c r="E11276" s="107" t="str">
        <f aca="false">IF($C11276="","",IFERROR(INDEX(المنيو!$C$2:$C$500,MATCH($C11276,المنيو!$B$2:$B$500,0)),0))</f>
        <v/>
      </c>
      <c r="F11276" s="107" t="str">
        <f aca="false">IF($C11276="","",$D11276*$E11276)</f>
        <v/>
      </c>
      <c r="G11276" s="107" t="str">
        <f aca="false">IF($C11276="","",$D11276*IFERROR(INDEX('تحليل التكلفة والسعر'!$C$2:$C$700,MATCH($C11276,'تحليل التكلفة والسعر'!$B$2:$B$700,0)),0))</f>
        <v/>
      </c>
    </row>
    <row r="11277" customFormat="false" ht="15" hidden="false" customHeight="false" outlineLevel="0" collapsed="false">
      <c r="A11277" s="103"/>
      <c r="B11277" s="104"/>
      <c r="C11277" s="104"/>
      <c r="E11277" s="107" t="str">
        <f aca="false">IF($C11277="","",IFERROR(INDEX(المنيو!$C$2:$C$500,MATCH($C11277,المنيو!$B$2:$B$500,0)),0))</f>
        <v/>
      </c>
      <c r="F11277" s="107" t="str">
        <f aca="false">IF($C11277="","",$D11277*$E11277)</f>
        <v/>
      </c>
      <c r="G11277" s="107" t="str">
        <f aca="false">IF($C11277="","",$D11277*IFERROR(INDEX('تحليل التكلفة والسعر'!$C$2:$C$700,MATCH($C11277,'تحليل التكلفة والسعر'!$B$2:$B$700,0)),0))</f>
        <v/>
      </c>
    </row>
    <row r="11278" customFormat="false" ht="15" hidden="false" customHeight="false" outlineLevel="0" collapsed="false">
      <c r="A11278" s="103"/>
      <c r="B11278" s="104"/>
      <c r="C11278" s="104"/>
      <c r="E11278" s="107" t="str">
        <f aca="false">IF($C11278="","",IFERROR(INDEX(المنيو!$C$2:$C$500,MATCH($C11278,المنيو!$B$2:$B$500,0)),0))</f>
        <v/>
      </c>
      <c r="F11278" s="107" t="str">
        <f aca="false">IF($C11278="","",$D11278*$E11278)</f>
        <v/>
      </c>
      <c r="G11278" s="107" t="str">
        <f aca="false">IF($C11278="","",$D11278*IFERROR(INDEX('تحليل التكلفة والسعر'!$C$2:$C$700,MATCH($C11278,'تحليل التكلفة والسعر'!$B$2:$B$700,0)),0))</f>
        <v/>
      </c>
    </row>
    <row r="11279" customFormat="false" ht="15" hidden="false" customHeight="false" outlineLevel="0" collapsed="false">
      <c r="A11279" s="103"/>
      <c r="B11279" s="104"/>
      <c r="C11279" s="104"/>
      <c r="E11279" s="107" t="str">
        <f aca="false">IF($C11279="","",IFERROR(INDEX(المنيو!$C$2:$C$500,MATCH($C11279,المنيو!$B$2:$B$500,0)),0))</f>
        <v/>
      </c>
      <c r="F11279" s="107" t="str">
        <f aca="false">IF($C11279="","",$D11279*$E11279)</f>
        <v/>
      </c>
      <c r="G11279" s="107" t="str">
        <f aca="false">IF($C11279="","",$D11279*IFERROR(INDEX('تحليل التكلفة والسعر'!$C$2:$C$700,MATCH($C11279,'تحليل التكلفة والسعر'!$B$2:$B$700,0)),0))</f>
        <v/>
      </c>
    </row>
    <row r="11280" customFormat="false" ht="15" hidden="false" customHeight="false" outlineLevel="0" collapsed="false">
      <c r="A11280" s="103"/>
      <c r="B11280" s="104"/>
      <c r="C11280" s="104"/>
      <c r="E11280" s="107" t="str">
        <f aca="false">IF($C11280="","",IFERROR(INDEX(المنيو!$C$2:$C$500,MATCH($C11280,المنيو!$B$2:$B$500,0)),0))</f>
        <v/>
      </c>
      <c r="F11280" s="107" t="str">
        <f aca="false">IF($C11280="","",$D11280*$E11280)</f>
        <v/>
      </c>
      <c r="G11280" s="107" t="str">
        <f aca="false">IF($C11280="","",$D11280*IFERROR(INDEX('تحليل التكلفة والسعر'!$C$2:$C$700,MATCH($C11280,'تحليل التكلفة والسعر'!$B$2:$B$700,0)),0))</f>
        <v/>
      </c>
    </row>
    <row r="11281" customFormat="false" ht="15" hidden="false" customHeight="false" outlineLevel="0" collapsed="false">
      <c r="A11281" s="103"/>
      <c r="B11281" s="104"/>
      <c r="C11281" s="104"/>
      <c r="E11281" s="107" t="str">
        <f aca="false">IF($C11281="","",IFERROR(INDEX(المنيو!$C$2:$C$500,MATCH($C11281,المنيو!$B$2:$B$500,0)),0))</f>
        <v/>
      </c>
      <c r="F11281" s="107" t="str">
        <f aca="false">IF($C11281="","",$D11281*$E11281)</f>
        <v/>
      </c>
      <c r="G11281" s="107" t="str">
        <f aca="false">IF($C11281="","",$D11281*IFERROR(INDEX('تحليل التكلفة والسعر'!$C$2:$C$700,MATCH($C11281,'تحليل التكلفة والسعر'!$B$2:$B$700,0)),0))</f>
        <v/>
      </c>
    </row>
    <row r="11282" customFormat="false" ht="15" hidden="false" customHeight="false" outlineLevel="0" collapsed="false">
      <c r="A11282" s="103"/>
      <c r="B11282" s="104"/>
      <c r="C11282" s="104"/>
      <c r="E11282" s="107" t="str">
        <f aca="false">IF($C11282="","",IFERROR(INDEX(المنيو!$C$2:$C$500,MATCH($C11282,المنيو!$B$2:$B$500,0)),0))</f>
        <v/>
      </c>
      <c r="F11282" s="107" t="str">
        <f aca="false">IF($C11282="","",$D11282*$E11282)</f>
        <v/>
      </c>
      <c r="G11282" s="107" t="str">
        <f aca="false">IF($C11282="","",$D11282*IFERROR(INDEX('تحليل التكلفة والسعر'!$C$2:$C$700,MATCH($C11282,'تحليل التكلفة والسعر'!$B$2:$B$700,0)),0))</f>
        <v/>
      </c>
    </row>
    <row r="11283" customFormat="false" ht="15" hidden="false" customHeight="false" outlineLevel="0" collapsed="false">
      <c r="A11283" s="103"/>
      <c r="B11283" s="104"/>
      <c r="C11283" s="104"/>
      <c r="E11283" s="107" t="str">
        <f aca="false">IF($C11283="","",IFERROR(INDEX(المنيو!$C$2:$C$500,MATCH($C11283,المنيو!$B$2:$B$500,0)),0))</f>
        <v/>
      </c>
      <c r="F11283" s="107" t="str">
        <f aca="false">IF($C11283="","",$D11283*$E11283)</f>
        <v/>
      </c>
      <c r="G11283" s="107" t="str">
        <f aca="false">IF($C11283="","",$D11283*IFERROR(INDEX('تحليل التكلفة والسعر'!$C$2:$C$700,MATCH($C11283,'تحليل التكلفة والسعر'!$B$2:$B$700,0)),0))</f>
        <v/>
      </c>
    </row>
    <row r="11284" customFormat="false" ht="15" hidden="false" customHeight="false" outlineLevel="0" collapsed="false">
      <c r="A11284" s="103"/>
      <c r="B11284" s="104"/>
      <c r="C11284" s="104"/>
      <c r="E11284" s="107" t="str">
        <f aca="false">IF($C11284="","",IFERROR(INDEX(المنيو!$C$2:$C$500,MATCH($C11284,المنيو!$B$2:$B$500,0)),0))</f>
        <v/>
      </c>
      <c r="F11284" s="107" t="str">
        <f aca="false">IF($C11284="","",$D11284*$E11284)</f>
        <v/>
      </c>
      <c r="G11284" s="107" t="str">
        <f aca="false">IF($C11284="","",$D11284*IFERROR(INDEX('تحليل التكلفة والسعر'!$C$2:$C$700,MATCH($C11284,'تحليل التكلفة والسعر'!$B$2:$B$700,0)),0))</f>
        <v/>
      </c>
    </row>
    <row r="11285" customFormat="false" ht="15" hidden="false" customHeight="false" outlineLevel="0" collapsed="false">
      <c r="A11285" s="103"/>
      <c r="B11285" s="104"/>
      <c r="C11285" s="104"/>
      <c r="E11285" s="107" t="str">
        <f aca="false">IF($C11285="","",IFERROR(INDEX(المنيو!$C$2:$C$500,MATCH($C11285,المنيو!$B$2:$B$500,0)),0))</f>
        <v/>
      </c>
      <c r="F11285" s="107" t="str">
        <f aca="false">IF($C11285="","",$D11285*$E11285)</f>
        <v/>
      </c>
      <c r="G11285" s="107" t="str">
        <f aca="false">IF($C11285="","",$D11285*IFERROR(INDEX('تحليل التكلفة والسعر'!$C$2:$C$700,MATCH($C11285,'تحليل التكلفة والسعر'!$B$2:$B$700,0)),0))</f>
        <v/>
      </c>
    </row>
    <row r="11286" customFormat="false" ht="15" hidden="false" customHeight="false" outlineLevel="0" collapsed="false">
      <c r="A11286" s="103"/>
      <c r="B11286" s="104"/>
      <c r="C11286" s="104"/>
      <c r="E11286" s="107" t="str">
        <f aca="false">IF($C11286="","",IFERROR(INDEX(المنيو!$C$2:$C$500,MATCH($C11286,المنيو!$B$2:$B$500,0)),0))</f>
        <v/>
      </c>
      <c r="F11286" s="107" t="str">
        <f aca="false">IF($C11286="","",$D11286*$E11286)</f>
        <v/>
      </c>
      <c r="G11286" s="107" t="str">
        <f aca="false">IF($C11286="","",$D11286*IFERROR(INDEX('تحليل التكلفة والسعر'!$C$2:$C$700,MATCH($C11286,'تحليل التكلفة والسعر'!$B$2:$B$700,0)),0))</f>
        <v/>
      </c>
    </row>
    <row r="11287" customFormat="false" ht="15" hidden="false" customHeight="false" outlineLevel="0" collapsed="false">
      <c r="A11287" s="103"/>
      <c r="B11287" s="104"/>
      <c r="C11287" s="104"/>
      <c r="E11287" s="107" t="str">
        <f aca="false">IF($C11287="","",IFERROR(INDEX(المنيو!$C$2:$C$500,MATCH($C11287,المنيو!$B$2:$B$500,0)),0))</f>
        <v/>
      </c>
      <c r="F11287" s="107" t="str">
        <f aca="false">IF($C11287="","",$D11287*$E11287)</f>
        <v/>
      </c>
      <c r="G11287" s="107" t="str">
        <f aca="false">IF($C11287="","",$D11287*IFERROR(INDEX('تحليل التكلفة والسعر'!$C$2:$C$700,MATCH($C11287,'تحليل التكلفة والسعر'!$B$2:$B$700,0)),0))</f>
        <v/>
      </c>
    </row>
    <row r="11288" customFormat="false" ht="15" hidden="false" customHeight="false" outlineLevel="0" collapsed="false">
      <c r="A11288" s="103"/>
      <c r="B11288" s="104"/>
      <c r="C11288" s="104"/>
      <c r="E11288" s="107" t="str">
        <f aca="false">IF($C11288="","",IFERROR(INDEX(المنيو!$C$2:$C$500,MATCH($C11288,المنيو!$B$2:$B$500,0)),0))</f>
        <v/>
      </c>
      <c r="F11288" s="107" t="str">
        <f aca="false">IF($C11288="","",$D11288*$E11288)</f>
        <v/>
      </c>
      <c r="G11288" s="107" t="str">
        <f aca="false">IF($C11288="","",$D11288*IFERROR(INDEX('تحليل التكلفة والسعر'!$C$2:$C$700,MATCH($C11288,'تحليل التكلفة والسعر'!$B$2:$B$700,0)),0))</f>
        <v/>
      </c>
    </row>
    <row r="11289" customFormat="false" ht="15" hidden="false" customHeight="false" outlineLevel="0" collapsed="false">
      <c r="A11289" s="103"/>
      <c r="B11289" s="104"/>
      <c r="C11289" s="104"/>
      <c r="E11289" s="107" t="str">
        <f aca="false">IF($C11289="","",IFERROR(INDEX(المنيو!$C$2:$C$500,MATCH($C11289,المنيو!$B$2:$B$500,0)),0))</f>
        <v/>
      </c>
      <c r="F11289" s="107" t="str">
        <f aca="false">IF($C11289="","",$D11289*$E11289)</f>
        <v/>
      </c>
      <c r="G11289" s="107" t="str">
        <f aca="false">IF($C11289="","",$D11289*IFERROR(INDEX('تحليل التكلفة والسعر'!$C$2:$C$700,MATCH($C11289,'تحليل التكلفة والسعر'!$B$2:$B$700,0)),0))</f>
        <v/>
      </c>
    </row>
    <row r="11290" customFormat="false" ht="15" hidden="false" customHeight="false" outlineLevel="0" collapsed="false">
      <c r="A11290" s="103"/>
      <c r="B11290" s="104"/>
      <c r="C11290" s="104"/>
      <c r="E11290" s="107" t="str">
        <f aca="false">IF($C11290="","",IFERROR(INDEX(المنيو!$C$2:$C$500,MATCH($C11290,المنيو!$B$2:$B$500,0)),0))</f>
        <v/>
      </c>
      <c r="F11290" s="107" t="str">
        <f aca="false">IF($C11290="","",$D11290*$E11290)</f>
        <v/>
      </c>
      <c r="G11290" s="107" t="str">
        <f aca="false">IF($C11290="","",$D11290*IFERROR(INDEX('تحليل التكلفة والسعر'!$C$2:$C$700,MATCH($C11290,'تحليل التكلفة والسعر'!$B$2:$B$700,0)),0))</f>
        <v/>
      </c>
    </row>
    <row r="11291" customFormat="false" ht="15" hidden="false" customHeight="false" outlineLevel="0" collapsed="false">
      <c r="A11291" s="103"/>
      <c r="B11291" s="104"/>
      <c r="C11291" s="104"/>
      <c r="E11291" s="107" t="str">
        <f aca="false">IF($C11291="","",IFERROR(INDEX(المنيو!$C$2:$C$500,MATCH($C11291,المنيو!$B$2:$B$500,0)),0))</f>
        <v/>
      </c>
      <c r="F11291" s="107" t="str">
        <f aca="false">IF($C11291="","",$D11291*$E11291)</f>
        <v/>
      </c>
      <c r="G11291" s="107" t="str">
        <f aca="false">IF($C11291="","",$D11291*IFERROR(INDEX('تحليل التكلفة والسعر'!$C$2:$C$700,MATCH($C11291,'تحليل التكلفة والسعر'!$B$2:$B$700,0)),0))</f>
        <v/>
      </c>
    </row>
    <row r="11292" customFormat="false" ht="15" hidden="false" customHeight="false" outlineLevel="0" collapsed="false">
      <c r="A11292" s="103"/>
      <c r="B11292" s="104"/>
      <c r="C11292" s="104"/>
      <c r="E11292" s="107" t="str">
        <f aca="false">IF($C11292="","",IFERROR(INDEX(المنيو!$C$2:$C$500,MATCH($C11292,المنيو!$B$2:$B$500,0)),0))</f>
        <v/>
      </c>
      <c r="F11292" s="107" t="str">
        <f aca="false">IF($C11292="","",$D11292*$E11292)</f>
        <v/>
      </c>
      <c r="G11292" s="107" t="str">
        <f aca="false">IF($C11292="","",$D11292*IFERROR(INDEX('تحليل التكلفة والسعر'!$C$2:$C$700,MATCH($C11292,'تحليل التكلفة والسعر'!$B$2:$B$700,0)),0))</f>
        <v/>
      </c>
    </row>
    <row r="11293" customFormat="false" ht="15" hidden="false" customHeight="false" outlineLevel="0" collapsed="false">
      <c r="A11293" s="103"/>
      <c r="B11293" s="104"/>
      <c r="C11293" s="104"/>
      <c r="E11293" s="107" t="str">
        <f aca="false">IF($C11293="","",IFERROR(INDEX(المنيو!$C$2:$C$500,MATCH($C11293,المنيو!$B$2:$B$500,0)),0))</f>
        <v/>
      </c>
      <c r="F11293" s="107" t="str">
        <f aca="false">IF($C11293="","",$D11293*$E11293)</f>
        <v/>
      </c>
      <c r="G11293" s="107" t="str">
        <f aca="false">IF($C11293="","",$D11293*IFERROR(INDEX('تحليل التكلفة والسعر'!$C$2:$C$700,MATCH($C11293,'تحليل التكلفة والسعر'!$B$2:$B$700,0)),0))</f>
        <v/>
      </c>
    </row>
    <row r="11294" customFormat="false" ht="15" hidden="false" customHeight="false" outlineLevel="0" collapsed="false">
      <c r="A11294" s="103"/>
      <c r="B11294" s="104"/>
      <c r="C11294" s="104"/>
      <c r="E11294" s="107" t="str">
        <f aca="false">IF($C11294="","",IFERROR(INDEX(المنيو!$C$2:$C$500,MATCH($C11294,المنيو!$B$2:$B$500,0)),0))</f>
        <v/>
      </c>
      <c r="F11294" s="107" t="str">
        <f aca="false">IF($C11294="","",$D11294*$E11294)</f>
        <v/>
      </c>
      <c r="G11294" s="107" t="str">
        <f aca="false">IF($C11294="","",$D11294*IFERROR(INDEX('تحليل التكلفة والسعر'!$C$2:$C$700,MATCH($C11294,'تحليل التكلفة والسعر'!$B$2:$B$700,0)),0))</f>
        <v/>
      </c>
    </row>
    <row r="11295" customFormat="false" ht="15" hidden="false" customHeight="false" outlineLevel="0" collapsed="false">
      <c r="A11295" s="103"/>
      <c r="B11295" s="104"/>
      <c r="C11295" s="104"/>
      <c r="E11295" s="107" t="str">
        <f aca="false">IF($C11295="","",IFERROR(INDEX(المنيو!$C$2:$C$500,MATCH($C11295,المنيو!$B$2:$B$500,0)),0))</f>
        <v/>
      </c>
      <c r="F11295" s="107" t="str">
        <f aca="false">IF($C11295="","",$D11295*$E11295)</f>
        <v/>
      </c>
      <c r="G11295" s="107" t="str">
        <f aca="false">IF($C11295="","",$D11295*IFERROR(INDEX('تحليل التكلفة والسعر'!$C$2:$C$700,MATCH($C11295,'تحليل التكلفة والسعر'!$B$2:$B$700,0)),0))</f>
        <v/>
      </c>
    </row>
    <row r="11296" customFormat="false" ht="15" hidden="false" customHeight="false" outlineLevel="0" collapsed="false">
      <c r="A11296" s="103"/>
      <c r="B11296" s="104"/>
      <c r="C11296" s="104"/>
      <c r="E11296" s="107" t="str">
        <f aca="false">IF($C11296="","",IFERROR(INDEX(المنيو!$C$2:$C$500,MATCH($C11296,المنيو!$B$2:$B$500,0)),0))</f>
        <v/>
      </c>
      <c r="F11296" s="107" t="str">
        <f aca="false">IF($C11296="","",$D11296*$E11296)</f>
        <v/>
      </c>
      <c r="G11296" s="107" t="str">
        <f aca="false">IF($C11296="","",$D11296*IFERROR(INDEX('تحليل التكلفة والسعر'!$C$2:$C$700,MATCH($C11296,'تحليل التكلفة والسعر'!$B$2:$B$700,0)),0))</f>
        <v/>
      </c>
    </row>
    <row r="11297" customFormat="false" ht="15" hidden="false" customHeight="false" outlineLevel="0" collapsed="false">
      <c r="A11297" s="103"/>
      <c r="B11297" s="104"/>
      <c r="C11297" s="104"/>
      <c r="E11297" s="107" t="str">
        <f aca="false">IF($C11297="","",IFERROR(INDEX(المنيو!$C$2:$C$500,MATCH($C11297,المنيو!$B$2:$B$500,0)),0))</f>
        <v/>
      </c>
      <c r="F11297" s="107" t="str">
        <f aca="false">IF($C11297="","",$D11297*$E11297)</f>
        <v/>
      </c>
      <c r="G11297" s="107" t="str">
        <f aca="false">IF($C11297="","",$D11297*IFERROR(INDEX('تحليل التكلفة والسعر'!$C$2:$C$700,MATCH($C11297,'تحليل التكلفة والسعر'!$B$2:$B$700,0)),0))</f>
        <v/>
      </c>
    </row>
    <row r="11298" customFormat="false" ht="15" hidden="false" customHeight="false" outlineLevel="0" collapsed="false">
      <c r="A11298" s="103"/>
      <c r="B11298" s="104"/>
      <c r="C11298" s="104"/>
      <c r="E11298" s="107" t="str">
        <f aca="false">IF($C11298="","",IFERROR(INDEX(المنيو!$C$2:$C$500,MATCH($C11298,المنيو!$B$2:$B$500,0)),0))</f>
        <v/>
      </c>
      <c r="F11298" s="107" t="str">
        <f aca="false">IF($C11298="","",$D11298*$E11298)</f>
        <v/>
      </c>
      <c r="G11298" s="107" t="str">
        <f aca="false">IF($C11298="","",$D11298*IFERROR(INDEX('تحليل التكلفة والسعر'!$C$2:$C$700,MATCH($C11298,'تحليل التكلفة والسعر'!$B$2:$B$700,0)),0))</f>
        <v/>
      </c>
    </row>
    <row r="11299" customFormat="false" ht="15" hidden="false" customHeight="false" outlineLevel="0" collapsed="false">
      <c r="A11299" s="103"/>
      <c r="B11299" s="104"/>
      <c r="C11299" s="104"/>
      <c r="E11299" s="107" t="str">
        <f aca="false">IF($C11299="","",IFERROR(INDEX(المنيو!$C$2:$C$500,MATCH($C11299,المنيو!$B$2:$B$500,0)),0))</f>
        <v/>
      </c>
      <c r="F11299" s="107" t="str">
        <f aca="false">IF($C11299="","",$D11299*$E11299)</f>
        <v/>
      </c>
      <c r="G11299" s="107" t="str">
        <f aca="false">IF($C11299="","",$D11299*IFERROR(INDEX('تحليل التكلفة والسعر'!$C$2:$C$700,MATCH($C11299,'تحليل التكلفة والسعر'!$B$2:$B$700,0)),0))</f>
        <v/>
      </c>
    </row>
    <row r="11300" customFormat="false" ht="15" hidden="false" customHeight="false" outlineLevel="0" collapsed="false">
      <c r="A11300" s="103"/>
      <c r="B11300" s="104"/>
      <c r="C11300" s="104"/>
      <c r="E11300" s="107" t="str">
        <f aca="false">IF($C11300="","",IFERROR(INDEX(المنيو!$C$2:$C$500,MATCH($C11300,المنيو!$B$2:$B$500,0)),0))</f>
        <v/>
      </c>
      <c r="F11300" s="107" t="str">
        <f aca="false">IF($C11300="","",$D11300*$E11300)</f>
        <v/>
      </c>
      <c r="G11300" s="107" t="str">
        <f aca="false">IF($C11300="","",$D11300*IFERROR(INDEX('تحليل التكلفة والسعر'!$C$2:$C$700,MATCH($C11300,'تحليل التكلفة والسعر'!$B$2:$B$700,0)),0))</f>
        <v/>
      </c>
    </row>
    <row r="11301" customFormat="false" ht="15" hidden="false" customHeight="false" outlineLevel="0" collapsed="false">
      <c r="A11301" s="103"/>
      <c r="B11301" s="104"/>
      <c r="C11301" s="104"/>
      <c r="E11301" s="107" t="str">
        <f aca="false">IF($C11301="","",IFERROR(INDEX(المنيو!$C$2:$C$500,MATCH($C11301,المنيو!$B$2:$B$500,0)),0))</f>
        <v/>
      </c>
      <c r="F11301" s="107" t="str">
        <f aca="false">IF($C11301="","",$D11301*$E11301)</f>
        <v/>
      </c>
      <c r="G11301" s="107" t="str">
        <f aca="false">IF($C11301="","",$D11301*IFERROR(INDEX('تحليل التكلفة والسعر'!$C$2:$C$700,MATCH($C11301,'تحليل التكلفة والسعر'!$B$2:$B$700,0)),0))</f>
        <v/>
      </c>
    </row>
    <row r="11302" customFormat="false" ht="15" hidden="false" customHeight="false" outlineLevel="0" collapsed="false">
      <c r="A11302" s="103"/>
      <c r="B11302" s="104"/>
      <c r="C11302" s="104"/>
      <c r="E11302" s="107" t="str">
        <f aca="false">IF($C11302="","",IFERROR(INDEX(المنيو!$C$2:$C$500,MATCH($C11302,المنيو!$B$2:$B$500,0)),0))</f>
        <v/>
      </c>
      <c r="F11302" s="107" t="str">
        <f aca="false">IF($C11302="","",$D11302*$E11302)</f>
        <v/>
      </c>
      <c r="G11302" s="107" t="str">
        <f aca="false">IF($C11302="","",$D11302*IFERROR(INDEX('تحليل التكلفة والسعر'!$C$2:$C$700,MATCH($C11302,'تحليل التكلفة والسعر'!$B$2:$B$700,0)),0))</f>
        <v/>
      </c>
    </row>
    <row r="11303" customFormat="false" ht="15" hidden="false" customHeight="false" outlineLevel="0" collapsed="false">
      <c r="A11303" s="103"/>
      <c r="B11303" s="104"/>
      <c r="C11303" s="104"/>
      <c r="E11303" s="107" t="str">
        <f aca="false">IF($C11303="","",IFERROR(INDEX(المنيو!$C$2:$C$500,MATCH($C11303,المنيو!$B$2:$B$500,0)),0))</f>
        <v/>
      </c>
      <c r="F11303" s="107" t="str">
        <f aca="false">IF($C11303="","",$D11303*$E11303)</f>
        <v/>
      </c>
      <c r="G11303" s="107" t="str">
        <f aca="false">IF($C11303="","",$D11303*IFERROR(INDEX('تحليل التكلفة والسعر'!$C$2:$C$700,MATCH($C11303,'تحليل التكلفة والسعر'!$B$2:$B$700,0)),0))</f>
        <v/>
      </c>
    </row>
    <row r="11304" customFormat="false" ht="15" hidden="false" customHeight="false" outlineLevel="0" collapsed="false">
      <c r="A11304" s="103"/>
      <c r="B11304" s="104"/>
      <c r="C11304" s="104"/>
      <c r="E11304" s="107" t="str">
        <f aca="false">IF($C11304="","",IFERROR(INDEX(المنيو!$C$2:$C$500,MATCH($C11304,المنيو!$B$2:$B$500,0)),0))</f>
        <v/>
      </c>
      <c r="F11304" s="107" t="str">
        <f aca="false">IF($C11304="","",$D11304*$E11304)</f>
        <v/>
      </c>
      <c r="G11304" s="107" t="str">
        <f aca="false">IF($C11304="","",$D11304*IFERROR(INDEX('تحليل التكلفة والسعر'!$C$2:$C$700,MATCH($C11304,'تحليل التكلفة والسعر'!$B$2:$B$700,0)),0))</f>
        <v/>
      </c>
    </row>
    <row r="11305" customFormat="false" ht="15" hidden="false" customHeight="false" outlineLevel="0" collapsed="false">
      <c r="A11305" s="103"/>
      <c r="B11305" s="104"/>
      <c r="C11305" s="104"/>
      <c r="E11305" s="107" t="str">
        <f aca="false">IF($C11305="","",IFERROR(INDEX(المنيو!$C$2:$C$500,MATCH($C11305,المنيو!$B$2:$B$500,0)),0))</f>
        <v/>
      </c>
      <c r="F11305" s="107" t="str">
        <f aca="false">IF($C11305="","",$D11305*$E11305)</f>
        <v/>
      </c>
      <c r="G11305" s="107" t="str">
        <f aca="false">IF($C11305="","",$D11305*IFERROR(INDEX('تحليل التكلفة والسعر'!$C$2:$C$700,MATCH($C11305,'تحليل التكلفة والسعر'!$B$2:$B$700,0)),0))</f>
        <v/>
      </c>
    </row>
    <row r="11306" customFormat="false" ht="15" hidden="false" customHeight="false" outlineLevel="0" collapsed="false">
      <c r="A11306" s="103"/>
      <c r="B11306" s="104"/>
      <c r="C11306" s="104"/>
      <c r="E11306" s="107" t="str">
        <f aca="false">IF($C11306="","",IFERROR(INDEX(المنيو!$C$2:$C$500,MATCH($C11306,المنيو!$B$2:$B$500,0)),0))</f>
        <v/>
      </c>
      <c r="F11306" s="107" t="str">
        <f aca="false">IF($C11306="","",$D11306*$E11306)</f>
        <v/>
      </c>
      <c r="G11306" s="107" t="str">
        <f aca="false">IF($C11306="","",$D11306*IFERROR(INDEX('تحليل التكلفة والسعر'!$C$2:$C$700,MATCH($C11306,'تحليل التكلفة والسعر'!$B$2:$B$700,0)),0))</f>
        <v/>
      </c>
    </row>
    <row r="11307" customFormat="false" ht="15" hidden="false" customHeight="false" outlineLevel="0" collapsed="false">
      <c r="A11307" s="103"/>
      <c r="B11307" s="104"/>
      <c r="C11307" s="104"/>
      <c r="E11307" s="107" t="str">
        <f aca="false">IF($C11307="","",IFERROR(INDEX(المنيو!$C$2:$C$500,MATCH($C11307,المنيو!$B$2:$B$500,0)),0))</f>
        <v/>
      </c>
      <c r="F11307" s="107" t="str">
        <f aca="false">IF($C11307="","",$D11307*$E11307)</f>
        <v/>
      </c>
      <c r="G11307" s="107" t="str">
        <f aca="false">IF($C11307="","",$D11307*IFERROR(INDEX('تحليل التكلفة والسعر'!$C$2:$C$700,MATCH($C11307,'تحليل التكلفة والسعر'!$B$2:$B$700,0)),0))</f>
        <v/>
      </c>
    </row>
    <row r="11308" customFormat="false" ht="15" hidden="false" customHeight="false" outlineLevel="0" collapsed="false">
      <c r="A11308" s="103"/>
      <c r="B11308" s="104"/>
      <c r="C11308" s="104"/>
      <c r="E11308" s="107" t="str">
        <f aca="false">IF($C11308="","",IFERROR(INDEX(المنيو!$C$2:$C$500,MATCH($C11308,المنيو!$B$2:$B$500,0)),0))</f>
        <v/>
      </c>
      <c r="F11308" s="107" t="str">
        <f aca="false">IF($C11308="","",$D11308*$E11308)</f>
        <v/>
      </c>
      <c r="G11308" s="107" t="str">
        <f aca="false">IF($C11308="","",$D11308*IFERROR(INDEX('تحليل التكلفة والسعر'!$C$2:$C$700,MATCH($C11308,'تحليل التكلفة والسعر'!$B$2:$B$700,0)),0))</f>
        <v/>
      </c>
    </row>
    <row r="11309" customFormat="false" ht="15" hidden="false" customHeight="false" outlineLevel="0" collapsed="false">
      <c r="A11309" s="103"/>
      <c r="B11309" s="104"/>
      <c r="C11309" s="104"/>
      <c r="E11309" s="107" t="str">
        <f aca="false">IF($C11309="","",IFERROR(INDEX(المنيو!$C$2:$C$500,MATCH($C11309,المنيو!$B$2:$B$500,0)),0))</f>
        <v/>
      </c>
      <c r="F11309" s="107" t="str">
        <f aca="false">IF($C11309="","",$D11309*$E11309)</f>
        <v/>
      </c>
      <c r="G11309" s="107" t="str">
        <f aca="false">IF($C11309="","",$D11309*IFERROR(INDEX('تحليل التكلفة والسعر'!$C$2:$C$700,MATCH($C11309,'تحليل التكلفة والسعر'!$B$2:$B$700,0)),0))</f>
        <v/>
      </c>
    </row>
    <row r="11310" customFormat="false" ht="15" hidden="false" customHeight="false" outlineLevel="0" collapsed="false">
      <c r="A11310" s="103"/>
      <c r="B11310" s="104"/>
      <c r="C11310" s="104"/>
      <c r="E11310" s="107" t="str">
        <f aca="false">IF($C11310="","",IFERROR(INDEX(المنيو!$C$2:$C$500,MATCH($C11310,المنيو!$B$2:$B$500,0)),0))</f>
        <v/>
      </c>
      <c r="F11310" s="107" t="str">
        <f aca="false">IF($C11310="","",$D11310*$E11310)</f>
        <v/>
      </c>
      <c r="G11310" s="107" t="str">
        <f aca="false">IF($C11310="","",$D11310*IFERROR(INDEX('تحليل التكلفة والسعر'!$C$2:$C$700,MATCH($C11310,'تحليل التكلفة والسعر'!$B$2:$B$700,0)),0))</f>
        <v/>
      </c>
    </row>
    <row r="11311" customFormat="false" ht="15" hidden="false" customHeight="false" outlineLevel="0" collapsed="false">
      <c r="A11311" s="103"/>
      <c r="B11311" s="104"/>
      <c r="C11311" s="104"/>
      <c r="E11311" s="107" t="str">
        <f aca="false">IF($C11311="","",IFERROR(INDEX(المنيو!$C$2:$C$500,MATCH($C11311,المنيو!$B$2:$B$500,0)),0))</f>
        <v/>
      </c>
      <c r="F11311" s="107" t="str">
        <f aca="false">IF($C11311="","",$D11311*$E11311)</f>
        <v/>
      </c>
      <c r="G11311" s="107" t="str">
        <f aca="false">IF($C11311="","",$D11311*IFERROR(INDEX('تحليل التكلفة والسعر'!$C$2:$C$700,MATCH($C11311,'تحليل التكلفة والسعر'!$B$2:$B$700,0)),0))</f>
        <v/>
      </c>
    </row>
    <row r="11312" customFormat="false" ht="15" hidden="false" customHeight="false" outlineLevel="0" collapsed="false">
      <c r="A11312" s="103"/>
      <c r="B11312" s="104"/>
      <c r="C11312" s="104"/>
      <c r="E11312" s="107" t="str">
        <f aca="false">IF($C11312="","",IFERROR(INDEX(المنيو!$C$2:$C$500,MATCH($C11312,المنيو!$B$2:$B$500,0)),0))</f>
        <v/>
      </c>
      <c r="F11312" s="107" t="str">
        <f aca="false">IF($C11312="","",$D11312*$E11312)</f>
        <v/>
      </c>
      <c r="G11312" s="107" t="str">
        <f aca="false">IF($C11312="","",$D11312*IFERROR(INDEX('تحليل التكلفة والسعر'!$C$2:$C$700,MATCH($C11312,'تحليل التكلفة والسعر'!$B$2:$B$700,0)),0))</f>
        <v/>
      </c>
    </row>
    <row r="11313" customFormat="false" ht="15" hidden="false" customHeight="false" outlineLevel="0" collapsed="false">
      <c r="A11313" s="103"/>
      <c r="B11313" s="104"/>
      <c r="C11313" s="104"/>
      <c r="E11313" s="107" t="str">
        <f aca="false">IF($C11313="","",IFERROR(INDEX(المنيو!$C$2:$C$500,MATCH($C11313,المنيو!$B$2:$B$500,0)),0))</f>
        <v/>
      </c>
      <c r="F11313" s="107" t="str">
        <f aca="false">IF($C11313="","",$D11313*$E11313)</f>
        <v/>
      </c>
      <c r="G11313" s="107" t="str">
        <f aca="false">IF($C11313="","",$D11313*IFERROR(INDEX('تحليل التكلفة والسعر'!$C$2:$C$700,MATCH($C11313,'تحليل التكلفة والسعر'!$B$2:$B$700,0)),0))</f>
        <v/>
      </c>
    </row>
    <row r="11314" customFormat="false" ht="15" hidden="false" customHeight="false" outlineLevel="0" collapsed="false">
      <c r="A11314" s="103"/>
      <c r="B11314" s="104"/>
      <c r="C11314" s="104"/>
      <c r="E11314" s="107" t="str">
        <f aca="false">IF($C11314="","",IFERROR(INDEX(المنيو!$C$2:$C$500,MATCH($C11314,المنيو!$B$2:$B$500,0)),0))</f>
        <v/>
      </c>
      <c r="F11314" s="107" t="str">
        <f aca="false">IF($C11314="","",$D11314*$E11314)</f>
        <v/>
      </c>
      <c r="G11314" s="107" t="str">
        <f aca="false">IF($C11314="","",$D11314*IFERROR(INDEX('تحليل التكلفة والسعر'!$C$2:$C$700,MATCH($C11314,'تحليل التكلفة والسعر'!$B$2:$B$700,0)),0))</f>
        <v/>
      </c>
    </row>
    <row r="11315" customFormat="false" ht="15" hidden="false" customHeight="false" outlineLevel="0" collapsed="false">
      <c r="A11315" s="103"/>
      <c r="B11315" s="104"/>
      <c r="C11315" s="104"/>
      <c r="E11315" s="107" t="str">
        <f aca="false">IF($C11315="","",IFERROR(INDEX(المنيو!$C$2:$C$500,MATCH($C11315,المنيو!$B$2:$B$500,0)),0))</f>
        <v/>
      </c>
      <c r="F11315" s="107" t="str">
        <f aca="false">IF($C11315="","",$D11315*$E11315)</f>
        <v/>
      </c>
      <c r="G11315" s="107" t="str">
        <f aca="false">IF($C11315="","",$D11315*IFERROR(INDEX('تحليل التكلفة والسعر'!$C$2:$C$700,MATCH($C11315,'تحليل التكلفة والسعر'!$B$2:$B$700,0)),0))</f>
        <v/>
      </c>
    </row>
    <row r="11316" customFormat="false" ht="15" hidden="false" customHeight="false" outlineLevel="0" collapsed="false">
      <c r="A11316" s="103"/>
      <c r="B11316" s="104"/>
      <c r="C11316" s="104"/>
      <c r="E11316" s="107" t="str">
        <f aca="false">IF($C11316="","",IFERROR(INDEX(المنيو!$C$2:$C$500,MATCH($C11316,المنيو!$B$2:$B$500,0)),0))</f>
        <v/>
      </c>
      <c r="F11316" s="107" t="str">
        <f aca="false">IF($C11316="","",$D11316*$E11316)</f>
        <v/>
      </c>
      <c r="G11316" s="107" t="str">
        <f aca="false">IF($C11316="","",$D11316*IFERROR(INDEX('تحليل التكلفة والسعر'!$C$2:$C$700,MATCH($C11316,'تحليل التكلفة والسعر'!$B$2:$B$700,0)),0))</f>
        <v/>
      </c>
    </row>
    <row r="11317" customFormat="false" ht="15" hidden="false" customHeight="false" outlineLevel="0" collapsed="false">
      <c r="A11317" s="103"/>
      <c r="B11317" s="104"/>
      <c r="C11317" s="104"/>
      <c r="E11317" s="107" t="str">
        <f aca="false">IF($C11317="","",IFERROR(INDEX(المنيو!$C$2:$C$500,MATCH($C11317,المنيو!$B$2:$B$500,0)),0))</f>
        <v/>
      </c>
      <c r="F11317" s="107" t="str">
        <f aca="false">IF($C11317="","",$D11317*$E11317)</f>
        <v/>
      </c>
      <c r="G11317" s="107" t="str">
        <f aca="false">IF($C11317="","",$D11317*IFERROR(INDEX('تحليل التكلفة والسعر'!$C$2:$C$700,MATCH($C11317,'تحليل التكلفة والسعر'!$B$2:$B$700,0)),0))</f>
        <v/>
      </c>
    </row>
    <row r="11318" customFormat="false" ht="15" hidden="false" customHeight="false" outlineLevel="0" collapsed="false">
      <c r="A11318" s="103"/>
      <c r="B11318" s="104"/>
      <c r="C11318" s="104"/>
      <c r="E11318" s="107" t="str">
        <f aca="false">IF($C11318="","",IFERROR(INDEX(المنيو!$C$2:$C$500,MATCH($C11318,المنيو!$B$2:$B$500,0)),0))</f>
        <v/>
      </c>
      <c r="F11318" s="107" t="str">
        <f aca="false">IF($C11318="","",$D11318*$E11318)</f>
        <v/>
      </c>
      <c r="G11318" s="107" t="str">
        <f aca="false">IF($C11318="","",$D11318*IFERROR(INDEX('تحليل التكلفة والسعر'!$C$2:$C$700,MATCH($C11318,'تحليل التكلفة والسعر'!$B$2:$B$700,0)),0))</f>
        <v/>
      </c>
    </row>
    <row r="11319" customFormat="false" ht="15" hidden="false" customHeight="false" outlineLevel="0" collapsed="false">
      <c r="A11319" s="103"/>
      <c r="B11319" s="104"/>
      <c r="C11319" s="104"/>
      <c r="E11319" s="107" t="str">
        <f aca="false">IF($C11319="","",IFERROR(INDEX(المنيو!$C$2:$C$500,MATCH($C11319,المنيو!$B$2:$B$500,0)),0))</f>
        <v/>
      </c>
      <c r="F11319" s="107" t="str">
        <f aca="false">IF($C11319="","",$D11319*$E11319)</f>
        <v/>
      </c>
      <c r="G11319" s="107" t="str">
        <f aca="false">IF($C11319="","",$D11319*IFERROR(INDEX('تحليل التكلفة والسعر'!$C$2:$C$700,MATCH($C11319,'تحليل التكلفة والسعر'!$B$2:$B$700,0)),0))</f>
        <v/>
      </c>
    </row>
    <row r="11320" customFormat="false" ht="15" hidden="false" customHeight="false" outlineLevel="0" collapsed="false">
      <c r="A11320" s="103"/>
      <c r="B11320" s="104"/>
      <c r="C11320" s="104"/>
      <c r="E11320" s="107" t="str">
        <f aca="false">IF($C11320="","",IFERROR(INDEX(المنيو!$C$2:$C$500,MATCH($C11320,المنيو!$B$2:$B$500,0)),0))</f>
        <v/>
      </c>
      <c r="F11320" s="107" t="str">
        <f aca="false">IF($C11320="","",$D11320*$E11320)</f>
        <v/>
      </c>
      <c r="G11320" s="107" t="str">
        <f aca="false">IF($C11320="","",$D11320*IFERROR(INDEX('تحليل التكلفة والسعر'!$C$2:$C$700,MATCH($C11320,'تحليل التكلفة والسعر'!$B$2:$B$700,0)),0))</f>
        <v/>
      </c>
    </row>
    <row r="11321" customFormat="false" ht="15" hidden="false" customHeight="false" outlineLevel="0" collapsed="false">
      <c r="A11321" s="103"/>
      <c r="B11321" s="104"/>
      <c r="C11321" s="104"/>
      <c r="E11321" s="107" t="str">
        <f aca="false">IF($C11321="","",IFERROR(INDEX(المنيو!$C$2:$C$500,MATCH($C11321,المنيو!$B$2:$B$500,0)),0))</f>
        <v/>
      </c>
      <c r="F11321" s="107" t="str">
        <f aca="false">IF($C11321="","",$D11321*$E11321)</f>
        <v/>
      </c>
      <c r="G11321" s="107" t="str">
        <f aca="false">IF($C11321="","",$D11321*IFERROR(INDEX('تحليل التكلفة والسعر'!$C$2:$C$700,MATCH($C11321,'تحليل التكلفة والسعر'!$B$2:$B$700,0)),0))</f>
        <v/>
      </c>
    </row>
    <row r="11322" customFormat="false" ht="15" hidden="false" customHeight="false" outlineLevel="0" collapsed="false">
      <c r="A11322" s="103"/>
      <c r="B11322" s="104"/>
      <c r="C11322" s="104"/>
      <c r="E11322" s="107" t="str">
        <f aca="false">IF($C11322="","",IFERROR(INDEX(المنيو!$C$2:$C$500,MATCH($C11322,المنيو!$B$2:$B$500,0)),0))</f>
        <v/>
      </c>
      <c r="F11322" s="107" t="str">
        <f aca="false">IF($C11322="","",$D11322*$E11322)</f>
        <v/>
      </c>
      <c r="G11322" s="107" t="str">
        <f aca="false">IF($C11322="","",$D11322*IFERROR(INDEX('تحليل التكلفة والسعر'!$C$2:$C$700,MATCH($C11322,'تحليل التكلفة والسعر'!$B$2:$B$700,0)),0))</f>
        <v/>
      </c>
    </row>
    <row r="11323" customFormat="false" ht="15" hidden="false" customHeight="false" outlineLevel="0" collapsed="false">
      <c r="A11323" s="103"/>
      <c r="B11323" s="104"/>
      <c r="C11323" s="104"/>
      <c r="E11323" s="107" t="str">
        <f aca="false">IF($C11323="","",IFERROR(INDEX(المنيو!$C$2:$C$500,MATCH($C11323,المنيو!$B$2:$B$500,0)),0))</f>
        <v/>
      </c>
      <c r="F11323" s="107" t="str">
        <f aca="false">IF($C11323="","",$D11323*$E11323)</f>
        <v/>
      </c>
      <c r="G11323" s="107" t="str">
        <f aca="false">IF($C11323="","",$D11323*IFERROR(INDEX('تحليل التكلفة والسعر'!$C$2:$C$700,MATCH($C11323,'تحليل التكلفة والسعر'!$B$2:$B$700,0)),0))</f>
        <v/>
      </c>
    </row>
    <row r="11324" customFormat="false" ht="15" hidden="false" customHeight="false" outlineLevel="0" collapsed="false">
      <c r="A11324" s="103"/>
      <c r="B11324" s="104"/>
      <c r="C11324" s="104"/>
      <c r="E11324" s="107" t="str">
        <f aca="false">IF($C11324="","",IFERROR(INDEX(المنيو!$C$2:$C$500,MATCH($C11324,المنيو!$B$2:$B$500,0)),0))</f>
        <v/>
      </c>
      <c r="F11324" s="107" t="str">
        <f aca="false">IF($C11324="","",$D11324*$E11324)</f>
        <v/>
      </c>
      <c r="G11324" s="107" t="str">
        <f aca="false">IF($C11324="","",$D11324*IFERROR(INDEX('تحليل التكلفة والسعر'!$C$2:$C$700,MATCH($C11324,'تحليل التكلفة والسعر'!$B$2:$B$700,0)),0))</f>
        <v/>
      </c>
    </row>
    <row r="11325" customFormat="false" ht="15" hidden="false" customHeight="false" outlineLevel="0" collapsed="false">
      <c r="A11325" s="103"/>
      <c r="B11325" s="104"/>
      <c r="C11325" s="104"/>
      <c r="E11325" s="107" t="str">
        <f aca="false">IF($C11325="","",IFERROR(INDEX(المنيو!$C$2:$C$500,MATCH($C11325,المنيو!$B$2:$B$500,0)),0))</f>
        <v/>
      </c>
      <c r="F11325" s="107" t="str">
        <f aca="false">IF($C11325="","",$D11325*$E11325)</f>
        <v/>
      </c>
      <c r="G11325" s="107" t="str">
        <f aca="false">IF($C11325="","",$D11325*IFERROR(INDEX('تحليل التكلفة والسعر'!$C$2:$C$700,MATCH($C11325,'تحليل التكلفة والسعر'!$B$2:$B$700,0)),0))</f>
        <v/>
      </c>
    </row>
    <row r="11326" customFormat="false" ht="15" hidden="false" customHeight="false" outlineLevel="0" collapsed="false">
      <c r="A11326" s="103"/>
      <c r="B11326" s="104"/>
      <c r="C11326" s="104"/>
      <c r="E11326" s="107" t="str">
        <f aca="false">IF($C11326="","",IFERROR(INDEX(المنيو!$C$2:$C$500,MATCH($C11326,المنيو!$B$2:$B$500,0)),0))</f>
        <v/>
      </c>
      <c r="F11326" s="107" t="str">
        <f aca="false">IF($C11326="","",$D11326*$E11326)</f>
        <v/>
      </c>
      <c r="G11326" s="107" t="str">
        <f aca="false">IF($C11326="","",$D11326*IFERROR(INDEX('تحليل التكلفة والسعر'!$C$2:$C$700,MATCH($C11326,'تحليل التكلفة والسعر'!$B$2:$B$700,0)),0))</f>
        <v/>
      </c>
    </row>
    <row r="11327" customFormat="false" ht="15" hidden="false" customHeight="false" outlineLevel="0" collapsed="false">
      <c r="A11327" s="103"/>
      <c r="B11327" s="104"/>
      <c r="C11327" s="104"/>
      <c r="E11327" s="107" t="str">
        <f aca="false">IF($C11327="","",IFERROR(INDEX(المنيو!$C$2:$C$500,MATCH($C11327,المنيو!$B$2:$B$500,0)),0))</f>
        <v/>
      </c>
      <c r="F11327" s="107" t="str">
        <f aca="false">IF($C11327="","",$D11327*$E11327)</f>
        <v/>
      </c>
      <c r="G11327" s="107" t="str">
        <f aca="false">IF($C11327="","",$D11327*IFERROR(INDEX('تحليل التكلفة والسعر'!$C$2:$C$700,MATCH($C11327,'تحليل التكلفة والسعر'!$B$2:$B$700,0)),0))</f>
        <v/>
      </c>
    </row>
    <row r="11328" customFormat="false" ht="15" hidden="false" customHeight="false" outlineLevel="0" collapsed="false">
      <c r="A11328" s="103"/>
      <c r="B11328" s="104"/>
      <c r="C11328" s="104"/>
      <c r="E11328" s="107" t="str">
        <f aca="false">IF($C11328="","",IFERROR(INDEX(المنيو!$C$2:$C$500,MATCH($C11328,المنيو!$B$2:$B$500,0)),0))</f>
        <v/>
      </c>
      <c r="F11328" s="107" t="str">
        <f aca="false">IF($C11328="","",$D11328*$E11328)</f>
        <v/>
      </c>
      <c r="G11328" s="107" t="str">
        <f aca="false">IF($C11328="","",$D11328*IFERROR(INDEX('تحليل التكلفة والسعر'!$C$2:$C$700,MATCH($C11328,'تحليل التكلفة والسعر'!$B$2:$B$700,0)),0))</f>
        <v/>
      </c>
    </row>
    <row r="11329" customFormat="false" ht="15" hidden="false" customHeight="false" outlineLevel="0" collapsed="false">
      <c r="A11329" s="103"/>
      <c r="B11329" s="104"/>
      <c r="C11329" s="104"/>
      <c r="E11329" s="107" t="str">
        <f aca="false">IF($C11329="","",IFERROR(INDEX(المنيو!$C$2:$C$500,MATCH($C11329,المنيو!$B$2:$B$500,0)),0))</f>
        <v/>
      </c>
      <c r="F11329" s="107" t="str">
        <f aca="false">IF($C11329="","",$D11329*$E11329)</f>
        <v/>
      </c>
      <c r="G11329" s="107" t="str">
        <f aca="false">IF($C11329="","",$D11329*IFERROR(INDEX('تحليل التكلفة والسعر'!$C$2:$C$700,MATCH($C11329,'تحليل التكلفة والسعر'!$B$2:$B$700,0)),0))</f>
        <v/>
      </c>
    </row>
    <row r="11330" customFormat="false" ht="15" hidden="false" customHeight="false" outlineLevel="0" collapsed="false">
      <c r="A11330" s="103"/>
      <c r="B11330" s="104"/>
      <c r="C11330" s="104"/>
      <c r="E11330" s="107" t="str">
        <f aca="false">IF($C11330="","",IFERROR(INDEX(المنيو!$C$2:$C$500,MATCH($C11330,المنيو!$B$2:$B$500,0)),0))</f>
        <v/>
      </c>
      <c r="F11330" s="107" t="str">
        <f aca="false">IF($C11330="","",$D11330*$E11330)</f>
        <v/>
      </c>
      <c r="G11330" s="107" t="str">
        <f aca="false">IF($C11330="","",$D11330*IFERROR(INDEX('تحليل التكلفة والسعر'!$C$2:$C$700,MATCH($C11330,'تحليل التكلفة والسعر'!$B$2:$B$700,0)),0))</f>
        <v/>
      </c>
    </row>
    <row r="11331" customFormat="false" ht="15" hidden="false" customHeight="false" outlineLevel="0" collapsed="false">
      <c r="A11331" s="103"/>
      <c r="B11331" s="104"/>
      <c r="C11331" s="104"/>
      <c r="E11331" s="107" t="str">
        <f aca="false">IF($C11331="","",IFERROR(INDEX(المنيو!$C$2:$C$500,MATCH($C11331,المنيو!$B$2:$B$500,0)),0))</f>
        <v/>
      </c>
      <c r="F11331" s="107" t="str">
        <f aca="false">IF($C11331="","",$D11331*$E11331)</f>
        <v/>
      </c>
      <c r="G11331" s="107" t="str">
        <f aca="false">IF($C11331="","",$D11331*IFERROR(INDEX('تحليل التكلفة والسعر'!$C$2:$C$700,MATCH($C11331,'تحليل التكلفة والسعر'!$B$2:$B$700,0)),0))</f>
        <v/>
      </c>
    </row>
    <row r="11332" customFormat="false" ht="15" hidden="false" customHeight="false" outlineLevel="0" collapsed="false">
      <c r="A11332" s="103"/>
      <c r="B11332" s="104"/>
      <c r="C11332" s="104"/>
      <c r="E11332" s="107" t="str">
        <f aca="false">IF($C11332="","",IFERROR(INDEX(المنيو!$C$2:$C$500,MATCH($C11332,المنيو!$B$2:$B$500,0)),0))</f>
        <v/>
      </c>
      <c r="F11332" s="107" t="str">
        <f aca="false">IF($C11332="","",$D11332*$E11332)</f>
        <v/>
      </c>
      <c r="G11332" s="107" t="str">
        <f aca="false">IF($C11332="","",$D11332*IFERROR(INDEX('تحليل التكلفة والسعر'!$C$2:$C$700,MATCH($C11332,'تحليل التكلفة والسعر'!$B$2:$B$700,0)),0))</f>
        <v/>
      </c>
    </row>
    <row r="11333" customFormat="false" ht="15" hidden="false" customHeight="false" outlineLevel="0" collapsed="false">
      <c r="A11333" s="103"/>
      <c r="B11333" s="104"/>
      <c r="C11333" s="104"/>
      <c r="E11333" s="107" t="str">
        <f aca="false">IF($C11333="","",IFERROR(INDEX(المنيو!$C$2:$C$500,MATCH($C11333,المنيو!$B$2:$B$500,0)),0))</f>
        <v/>
      </c>
      <c r="F11333" s="107" t="str">
        <f aca="false">IF($C11333="","",$D11333*$E11333)</f>
        <v/>
      </c>
      <c r="G11333" s="107" t="str">
        <f aca="false">IF($C11333="","",$D11333*IFERROR(INDEX('تحليل التكلفة والسعر'!$C$2:$C$700,MATCH($C11333,'تحليل التكلفة والسعر'!$B$2:$B$700,0)),0))</f>
        <v/>
      </c>
    </row>
    <row r="11334" customFormat="false" ht="15" hidden="false" customHeight="false" outlineLevel="0" collapsed="false">
      <c r="A11334" s="103"/>
      <c r="B11334" s="104"/>
      <c r="C11334" s="104"/>
      <c r="E11334" s="107" t="str">
        <f aca="false">IF($C11334="","",IFERROR(INDEX(المنيو!$C$2:$C$500,MATCH($C11334,المنيو!$B$2:$B$500,0)),0))</f>
        <v/>
      </c>
      <c r="F11334" s="107" t="str">
        <f aca="false">IF($C11334="","",$D11334*$E11334)</f>
        <v/>
      </c>
      <c r="G11334" s="107" t="str">
        <f aca="false">IF($C11334="","",$D11334*IFERROR(INDEX('تحليل التكلفة والسعر'!$C$2:$C$700,MATCH($C11334,'تحليل التكلفة والسعر'!$B$2:$B$700,0)),0))</f>
        <v/>
      </c>
    </row>
    <row r="11335" customFormat="false" ht="15" hidden="false" customHeight="false" outlineLevel="0" collapsed="false">
      <c r="A11335" s="103"/>
      <c r="B11335" s="104"/>
      <c r="C11335" s="104"/>
      <c r="E11335" s="107" t="str">
        <f aca="false">IF($C11335="","",IFERROR(INDEX(المنيو!$C$2:$C$500,MATCH($C11335,المنيو!$B$2:$B$500,0)),0))</f>
        <v/>
      </c>
      <c r="F11335" s="107" t="str">
        <f aca="false">IF($C11335="","",$D11335*$E11335)</f>
        <v/>
      </c>
      <c r="G11335" s="107" t="str">
        <f aca="false">IF($C11335="","",$D11335*IFERROR(INDEX('تحليل التكلفة والسعر'!$C$2:$C$700,MATCH($C11335,'تحليل التكلفة والسعر'!$B$2:$B$700,0)),0))</f>
        <v/>
      </c>
    </row>
    <row r="11336" customFormat="false" ht="15" hidden="false" customHeight="false" outlineLevel="0" collapsed="false">
      <c r="A11336" s="103"/>
      <c r="B11336" s="104"/>
      <c r="C11336" s="104"/>
      <c r="E11336" s="107" t="str">
        <f aca="false">IF($C11336="","",IFERROR(INDEX(المنيو!$C$2:$C$500,MATCH($C11336,المنيو!$B$2:$B$500,0)),0))</f>
        <v/>
      </c>
      <c r="F11336" s="107" t="str">
        <f aca="false">IF($C11336="","",$D11336*$E11336)</f>
        <v/>
      </c>
      <c r="G11336" s="107" t="str">
        <f aca="false">IF($C11336="","",$D11336*IFERROR(INDEX('تحليل التكلفة والسعر'!$C$2:$C$700,MATCH($C11336,'تحليل التكلفة والسعر'!$B$2:$B$700,0)),0))</f>
        <v/>
      </c>
    </row>
    <row r="11337" customFormat="false" ht="15" hidden="false" customHeight="false" outlineLevel="0" collapsed="false">
      <c r="A11337" s="103"/>
      <c r="B11337" s="104"/>
      <c r="C11337" s="104"/>
      <c r="E11337" s="107" t="str">
        <f aca="false">IF($C11337="","",IFERROR(INDEX(المنيو!$C$2:$C$500,MATCH($C11337,المنيو!$B$2:$B$500,0)),0))</f>
        <v/>
      </c>
      <c r="F11337" s="107" t="str">
        <f aca="false">IF($C11337="","",$D11337*$E11337)</f>
        <v/>
      </c>
      <c r="G11337" s="107" t="str">
        <f aca="false">IF($C11337="","",$D11337*IFERROR(INDEX('تحليل التكلفة والسعر'!$C$2:$C$700,MATCH($C11337,'تحليل التكلفة والسعر'!$B$2:$B$700,0)),0))</f>
        <v/>
      </c>
    </row>
    <row r="11338" customFormat="false" ht="15" hidden="false" customHeight="false" outlineLevel="0" collapsed="false">
      <c r="A11338" s="103"/>
      <c r="B11338" s="104"/>
      <c r="C11338" s="104"/>
      <c r="E11338" s="107" t="str">
        <f aca="false">IF($C11338="","",IFERROR(INDEX(المنيو!$C$2:$C$500,MATCH($C11338,المنيو!$B$2:$B$500,0)),0))</f>
        <v/>
      </c>
      <c r="F11338" s="107" t="str">
        <f aca="false">IF($C11338="","",$D11338*$E11338)</f>
        <v/>
      </c>
      <c r="G11338" s="107" t="str">
        <f aca="false">IF($C11338="","",$D11338*IFERROR(INDEX('تحليل التكلفة والسعر'!$C$2:$C$700,MATCH($C11338,'تحليل التكلفة والسعر'!$B$2:$B$700,0)),0))</f>
        <v/>
      </c>
    </row>
    <row r="11339" customFormat="false" ht="15" hidden="false" customHeight="false" outlineLevel="0" collapsed="false">
      <c r="A11339" s="103"/>
      <c r="B11339" s="104"/>
      <c r="C11339" s="104"/>
      <c r="E11339" s="107" t="str">
        <f aca="false">IF($C11339="","",IFERROR(INDEX(المنيو!$C$2:$C$500,MATCH($C11339,المنيو!$B$2:$B$500,0)),0))</f>
        <v/>
      </c>
      <c r="F11339" s="107" t="str">
        <f aca="false">IF($C11339="","",$D11339*$E11339)</f>
        <v/>
      </c>
      <c r="G11339" s="107" t="str">
        <f aca="false">IF($C11339="","",$D11339*IFERROR(INDEX('تحليل التكلفة والسعر'!$C$2:$C$700,MATCH($C11339,'تحليل التكلفة والسعر'!$B$2:$B$700,0)),0))</f>
        <v/>
      </c>
    </row>
    <row r="11340" customFormat="false" ht="15" hidden="false" customHeight="false" outlineLevel="0" collapsed="false">
      <c r="A11340" s="103"/>
      <c r="B11340" s="104"/>
      <c r="C11340" s="104"/>
      <c r="E11340" s="107" t="str">
        <f aca="false">IF($C11340="","",IFERROR(INDEX(المنيو!$C$2:$C$500,MATCH($C11340,المنيو!$B$2:$B$500,0)),0))</f>
        <v/>
      </c>
      <c r="F11340" s="107" t="str">
        <f aca="false">IF($C11340="","",$D11340*$E11340)</f>
        <v/>
      </c>
      <c r="G11340" s="107" t="str">
        <f aca="false">IF($C11340="","",$D11340*IFERROR(INDEX('تحليل التكلفة والسعر'!$C$2:$C$700,MATCH($C11340,'تحليل التكلفة والسعر'!$B$2:$B$700,0)),0))</f>
        <v/>
      </c>
    </row>
    <row r="11341" customFormat="false" ht="15" hidden="false" customHeight="false" outlineLevel="0" collapsed="false">
      <c r="A11341" s="103"/>
      <c r="B11341" s="104"/>
      <c r="C11341" s="104"/>
      <c r="E11341" s="107" t="str">
        <f aca="false">IF($C11341="","",IFERROR(INDEX(المنيو!$C$2:$C$500,MATCH($C11341,المنيو!$B$2:$B$500,0)),0))</f>
        <v/>
      </c>
      <c r="F11341" s="107" t="str">
        <f aca="false">IF($C11341="","",$D11341*$E11341)</f>
        <v/>
      </c>
      <c r="G11341" s="107" t="str">
        <f aca="false">IF($C11341="","",$D11341*IFERROR(INDEX('تحليل التكلفة والسعر'!$C$2:$C$700,MATCH($C11341,'تحليل التكلفة والسعر'!$B$2:$B$700,0)),0))</f>
        <v/>
      </c>
    </row>
    <row r="11342" customFormat="false" ht="15" hidden="false" customHeight="false" outlineLevel="0" collapsed="false">
      <c r="A11342" s="103"/>
      <c r="B11342" s="104"/>
      <c r="C11342" s="104"/>
      <c r="E11342" s="107" t="str">
        <f aca="false">IF($C11342="","",IFERROR(INDEX(المنيو!$C$2:$C$500,MATCH($C11342,المنيو!$B$2:$B$500,0)),0))</f>
        <v/>
      </c>
      <c r="F11342" s="107" t="str">
        <f aca="false">IF($C11342="","",$D11342*$E11342)</f>
        <v/>
      </c>
      <c r="G11342" s="107" t="str">
        <f aca="false">IF($C11342="","",$D11342*IFERROR(INDEX('تحليل التكلفة والسعر'!$C$2:$C$700,MATCH($C11342,'تحليل التكلفة والسعر'!$B$2:$B$700,0)),0))</f>
        <v/>
      </c>
    </row>
    <row r="11343" customFormat="false" ht="15" hidden="false" customHeight="false" outlineLevel="0" collapsed="false">
      <c r="A11343" s="103"/>
      <c r="B11343" s="104"/>
      <c r="C11343" s="104"/>
      <c r="E11343" s="107" t="str">
        <f aca="false">IF($C11343="","",IFERROR(INDEX(المنيو!$C$2:$C$500,MATCH($C11343,المنيو!$B$2:$B$500,0)),0))</f>
        <v/>
      </c>
      <c r="F11343" s="107" t="str">
        <f aca="false">IF($C11343="","",$D11343*$E11343)</f>
        <v/>
      </c>
      <c r="G11343" s="107" t="str">
        <f aca="false">IF($C11343="","",$D11343*IFERROR(INDEX('تحليل التكلفة والسعر'!$C$2:$C$700,MATCH($C11343,'تحليل التكلفة والسعر'!$B$2:$B$700,0)),0))</f>
        <v/>
      </c>
    </row>
    <row r="11344" customFormat="false" ht="15" hidden="false" customHeight="false" outlineLevel="0" collapsed="false">
      <c r="A11344" s="103"/>
      <c r="B11344" s="104"/>
      <c r="C11344" s="104"/>
      <c r="E11344" s="107" t="str">
        <f aca="false">IF($C11344="","",IFERROR(INDEX(المنيو!$C$2:$C$500,MATCH($C11344,المنيو!$B$2:$B$500,0)),0))</f>
        <v/>
      </c>
      <c r="F11344" s="107" t="str">
        <f aca="false">IF($C11344="","",$D11344*$E11344)</f>
        <v/>
      </c>
      <c r="G11344" s="107" t="str">
        <f aca="false">IF($C11344="","",$D11344*IFERROR(INDEX('تحليل التكلفة والسعر'!$C$2:$C$700,MATCH($C11344,'تحليل التكلفة والسعر'!$B$2:$B$700,0)),0))</f>
        <v/>
      </c>
    </row>
    <row r="11345" customFormat="false" ht="15" hidden="false" customHeight="false" outlineLevel="0" collapsed="false">
      <c r="A11345" s="103"/>
      <c r="B11345" s="104"/>
      <c r="C11345" s="104"/>
      <c r="E11345" s="107" t="str">
        <f aca="false">IF($C11345="","",IFERROR(INDEX(المنيو!$C$2:$C$500,MATCH($C11345,المنيو!$B$2:$B$500,0)),0))</f>
        <v/>
      </c>
      <c r="F11345" s="107" t="str">
        <f aca="false">IF($C11345="","",$D11345*$E11345)</f>
        <v/>
      </c>
      <c r="G11345" s="107" t="str">
        <f aca="false">IF($C11345="","",$D11345*IFERROR(INDEX('تحليل التكلفة والسعر'!$C$2:$C$700,MATCH($C11345,'تحليل التكلفة والسعر'!$B$2:$B$700,0)),0))</f>
        <v/>
      </c>
    </row>
    <row r="11346" customFormat="false" ht="15" hidden="false" customHeight="false" outlineLevel="0" collapsed="false">
      <c r="A11346" s="103"/>
      <c r="B11346" s="104"/>
      <c r="C11346" s="104"/>
      <c r="E11346" s="107" t="str">
        <f aca="false">IF($C11346="","",IFERROR(INDEX(المنيو!$C$2:$C$500,MATCH($C11346,المنيو!$B$2:$B$500,0)),0))</f>
        <v/>
      </c>
      <c r="F11346" s="107" t="str">
        <f aca="false">IF($C11346="","",$D11346*$E11346)</f>
        <v/>
      </c>
      <c r="G11346" s="107" t="str">
        <f aca="false">IF($C11346="","",$D11346*IFERROR(INDEX('تحليل التكلفة والسعر'!$C$2:$C$700,MATCH($C11346,'تحليل التكلفة والسعر'!$B$2:$B$700,0)),0))</f>
        <v/>
      </c>
    </row>
    <row r="11347" customFormat="false" ht="15" hidden="false" customHeight="false" outlineLevel="0" collapsed="false">
      <c r="A11347" s="103"/>
      <c r="B11347" s="104"/>
      <c r="C11347" s="104"/>
      <c r="E11347" s="107" t="str">
        <f aca="false">IF($C11347="","",IFERROR(INDEX(المنيو!$C$2:$C$500,MATCH($C11347,المنيو!$B$2:$B$500,0)),0))</f>
        <v/>
      </c>
      <c r="F11347" s="107" t="str">
        <f aca="false">IF($C11347="","",$D11347*$E11347)</f>
        <v/>
      </c>
      <c r="G11347" s="107" t="str">
        <f aca="false">IF($C11347="","",$D11347*IFERROR(INDEX('تحليل التكلفة والسعر'!$C$2:$C$700,MATCH($C11347,'تحليل التكلفة والسعر'!$B$2:$B$700,0)),0))</f>
        <v/>
      </c>
    </row>
    <row r="11348" customFormat="false" ht="15" hidden="false" customHeight="false" outlineLevel="0" collapsed="false">
      <c r="A11348" s="103"/>
      <c r="B11348" s="104"/>
      <c r="C11348" s="104"/>
      <c r="E11348" s="107" t="str">
        <f aca="false">IF($C11348="","",IFERROR(INDEX(المنيو!$C$2:$C$500,MATCH($C11348,المنيو!$B$2:$B$500,0)),0))</f>
        <v/>
      </c>
      <c r="F11348" s="107" t="str">
        <f aca="false">IF($C11348="","",$D11348*$E11348)</f>
        <v/>
      </c>
      <c r="G11348" s="107" t="str">
        <f aca="false">IF($C11348="","",$D11348*IFERROR(INDEX('تحليل التكلفة والسعر'!$C$2:$C$700,MATCH($C11348,'تحليل التكلفة والسعر'!$B$2:$B$700,0)),0))</f>
        <v/>
      </c>
    </row>
    <row r="11349" customFormat="false" ht="15" hidden="false" customHeight="false" outlineLevel="0" collapsed="false">
      <c r="A11349" s="103"/>
      <c r="B11349" s="104"/>
      <c r="C11349" s="104"/>
      <c r="E11349" s="107" t="str">
        <f aca="false">IF($C11349="","",IFERROR(INDEX(المنيو!$C$2:$C$500,MATCH($C11349,المنيو!$B$2:$B$500,0)),0))</f>
        <v/>
      </c>
      <c r="F11349" s="107" t="str">
        <f aca="false">IF($C11349="","",$D11349*$E11349)</f>
        <v/>
      </c>
      <c r="G11349" s="107" t="str">
        <f aca="false">IF($C11349="","",$D11349*IFERROR(INDEX('تحليل التكلفة والسعر'!$C$2:$C$700,MATCH($C11349,'تحليل التكلفة والسعر'!$B$2:$B$700,0)),0))</f>
        <v/>
      </c>
    </row>
    <row r="11350" customFormat="false" ht="15" hidden="false" customHeight="false" outlineLevel="0" collapsed="false">
      <c r="A11350" s="103"/>
      <c r="B11350" s="104"/>
      <c r="C11350" s="104"/>
      <c r="E11350" s="107" t="str">
        <f aca="false">IF($C11350="","",IFERROR(INDEX(المنيو!$C$2:$C$500,MATCH($C11350,المنيو!$B$2:$B$500,0)),0))</f>
        <v/>
      </c>
      <c r="F11350" s="107" t="str">
        <f aca="false">IF($C11350="","",$D11350*$E11350)</f>
        <v/>
      </c>
      <c r="G11350" s="107" t="str">
        <f aca="false">IF($C11350="","",$D11350*IFERROR(INDEX('تحليل التكلفة والسعر'!$C$2:$C$700,MATCH($C11350,'تحليل التكلفة والسعر'!$B$2:$B$700,0)),0))</f>
        <v/>
      </c>
    </row>
    <row r="11351" customFormat="false" ht="15" hidden="false" customHeight="false" outlineLevel="0" collapsed="false">
      <c r="A11351" s="103"/>
      <c r="B11351" s="104"/>
      <c r="C11351" s="104"/>
      <c r="E11351" s="107" t="str">
        <f aca="false">IF($C11351="","",IFERROR(INDEX(المنيو!$C$2:$C$500,MATCH($C11351,المنيو!$B$2:$B$500,0)),0))</f>
        <v/>
      </c>
      <c r="F11351" s="107" t="str">
        <f aca="false">IF($C11351="","",$D11351*$E11351)</f>
        <v/>
      </c>
      <c r="G11351" s="107" t="str">
        <f aca="false">IF($C11351="","",$D11351*IFERROR(INDEX('تحليل التكلفة والسعر'!$C$2:$C$700,MATCH($C11351,'تحليل التكلفة والسعر'!$B$2:$B$700,0)),0))</f>
        <v/>
      </c>
    </row>
    <row r="11352" customFormat="false" ht="15" hidden="false" customHeight="false" outlineLevel="0" collapsed="false">
      <c r="A11352" s="103"/>
      <c r="B11352" s="104"/>
      <c r="C11352" s="104"/>
      <c r="E11352" s="107" t="str">
        <f aca="false">IF($C11352="","",IFERROR(INDEX(المنيو!$C$2:$C$500,MATCH($C11352,المنيو!$B$2:$B$500,0)),0))</f>
        <v/>
      </c>
      <c r="F11352" s="107" t="str">
        <f aca="false">IF($C11352="","",$D11352*$E11352)</f>
        <v/>
      </c>
      <c r="G11352" s="107" t="str">
        <f aca="false">IF($C11352="","",$D11352*IFERROR(INDEX('تحليل التكلفة والسعر'!$C$2:$C$700,MATCH($C11352,'تحليل التكلفة والسعر'!$B$2:$B$700,0)),0))</f>
        <v/>
      </c>
    </row>
    <row r="11353" customFormat="false" ht="15" hidden="false" customHeight="false" outlineLevel="0" collapsed="false">
      <c r="A11353" s="103"/>
      <c r="B11353" s="104"/>
      <c r="C11353" s="104"/>
      <c r="E11353" s="107" t="str">
        <f aca="false">IF($C11353="","",IFERROR(INDEX(المنيو!$C$2:$C$500,MATCH($C11353,المنيو!$B$2:$B$500,0)),0))</f>
        <v/>
      </c>
      <c r="F11353" s="107" t="str">
        <f aca="false">IF($C11353="","",$D11353*$E11353)</f>
        <v/>
      </c>
      <c r="G11353" s="107" t="str">
        <f aca="false">IF($C11353="","",$D11353*IFERROR(INDEX('تحليل التكلفة والسعر'!$C$2:$C$700,MATCH($C11353,'تحليل التكلفة والسعر'!$B$2:$B$700,0)),0))</f>
        <v/>
      </c>
    </row>
    <row r="11354" customFormat="false" ht="15" hidden="false" customHeight="false" outlineLevel="0" collapsed="false">
      <c r="A11354" s="103"/>
      <c r="B11354" s="104"/>
      <c r="C11354" s="104"/>
      <c r="E11354" s="107" t="str">
        <f aca="false">IF($C11354="","",IFERROR(INDEX(المنيو!$C$2:$C$500,MATCH($C11354,المنيو!$B$2:$B$500,0)),0))</f>
        <v/>
      </c>
      <c r="F11354" s="107" t="str">
        <f aca="false">IF($C11354="","",$D11354*$E11354)</f>
        <v/>
      </c>
      <c r="G11354" s="107" t="str">
        <f aca="false">IF($C11354="","",$D11354*IFERROR(INDEX('تحليل التكلفة والسعر'!$C$2:$C$700,MATCH($C11354,'تحليل التكلفة والسعر'!$B$2:$B$700,0)),0))</f>
        <v/>
      </c>
    </row>
    <row r="11355" customFormat="false" ht="15" hidden="false" customHeight="false" outlineLevel="0" collapsed="false">
      <c r="A11355" s="103"/>
      <c r="B11355" s="104"/>
      <c r="C11355" s="104"/>
      <c r="E11355" s="107" t="str">
        <f aca="false">IF($C11355="","",IFERROR(INDEX(المنيو!$C$2:$C$500,MATCH($C11355,المنيو!$B$2:$B$500,0)),0))</f>
        <v/>
      </c>
      <c r="F11355" s="107" t="str">
        <f aca="false">IF($C11355="","",$D11355*$E11355)</f>
        <v/>
      </c>
      <c r="G11355" s="107" t="str">
        <f aca="false">IF($C11355="","",$D11355*IFERROR(INDEX('تحليل التكلفة والسعر'!$C$2:$C$700,MATCH($C11355,'تحليل التكلفة والسعر'!$B$2:$B$700,0)),0))</f>
        <v/>
      </c>
    </row>
    <row r="11356" customFormat="false" ht="15" hidden="false" customHeight="false" outlineLevel="0" collapsed="false">
      <c r="A11356" s="103"/>
      <c r="B11356" s="104"/>
      <c r="C11356" s="104"/>
      <c r="E11356" s="107" t="str">
        <f aca="false">IF($C11356="","",IFERROR(INDEX(المنيو!$C$2:$C$500,MATCH($C11356,المنيو!$B$2:$B$500,0)),0))</f>
        <v/>
      </c>
      <c r="F11356" s="107" t="str">
        <f aca="false">IF($C11356="","",$D11356*$E11356)</f>
        <v/>
      </c>
      <c r="G11356" s="107" t="str">
        <f aca="false">IF($C11356="","",$D11356*IFERROR(INDEX('تحليل التكلفة والسعر'!$C$2:$C$700,MATCH($C11356,'تحليل التكلفة والسعر'!$B$2:$B$700,0)),0))</f>
        <v/>
      </c>
    </row>
    <row r="11357" customFormat="false" ht="15" hidden="false" customHeight="false" outlineLevel="0" collapsed="false">
      <c r="A11357" s="103"/>
      <c r="B11357" s="104"/>
      <c r="C11357" s="104"/>
      <c r="E11357" s="107" t="str">
        <f aca="false">IF($C11357="","",IFERROR(INDEX(المنيو!$C$2:$C$500,MATCH($C11357,المنيو!$B$2:$B$500,0)),0))</f>
        <v/>
      </c>
      <c r="F11357" s="107" t="str">
        <f aca="false">IF($C11357="","",$D11357*$E11357)</f>
        <v/>
      </c>
      <c r="G11357" s="107" t="str">
        <f aca="false">IF($C11357="","",$D11357*IFERROR(INDEX('تحليل التكلفة والسعر'!$C$2:$C$700,MATCH($C11357,'تحليل التكلفة والسعر'!$B$2:$B$700,0)),0))</f>
        <v/>
      </c>
    </row>
    <row r="11358" customFormat="false" ht="15" hidden="false" customHeight="false" outlineLevel="0" collapsed="false">
      <c r="A11358" s="103"/>
      <c r="B11358" s="104"/>
      <c r="C11358" s="104"/>
      <c r="E11358" s="107" t="str">
        <f aca="false">IF($C11358="","",IFERROR(INDEX(المنيو!$C$2:$C$500,MATCH($C11358,المنيو!$B$2:$B$500,0)),0))</f>
        <v/>
      </c>
      <c r="F11358" s="107" t="str">
        <f aca="false">IF($C11358="","",$D11358*$E11358)</f>
        <v/>
      </c>
      <c r="G11358" s="107" t="str">
        <f aca="false">IF($C11358="","",$D11358*IFERROR(INDEX('تحليل التكلفة والسعر'!$C$2:$C$700,MATCH($C11358,'تحليل التكلفة والسعر'!$B$2:$B$700,0)),0))</f>
        <v/>
      </c>
    </row>
    <row r="11359" customFormat="false" ht="15" hidden="false" customHeight="false" outlineLevel="0" collapsed="false">
      <c r="A11359" s="103"/>
      <c r="B11359" s="104"/>
      <c r="C11359" s="104"/>
      <c r="E11359" s="107" t="str">
        <f aca="false">IF($C11359="","",IFERROR(INDEX(المنيو!$C$2:$C$500,MATCH($C11359,المنيو!$B$2:$B$500,0)),0))</f>
        <v/>
      </c>
      <c r="F11359" s="107" t="str">
        <f aca="false">IF($C11359="","",$D11359*$E11359)</f>
        <v/>
      </c>
      <c r="G11359" s="107" t="str">
        <f aca="false">IF($C11359="","",$D11359*IFERROR(INDEX('تحليل التكلفة والسعر'!$C$2:$C$700,MATCH($C11359,'تحليل التكلفة والسعر'!$B$2:$B$700,0)),0))</f>
        <v/>
      </c>
    </row>
    <row r="11360" customFormat="false" ht="15" hidden="false" customHeight="false" outlineLevel="0" collapsed="false">
      <c r="A11360" s="103"/>
      <c r="B11360" s="104"/>
      <c r="C11360" s="104"/>
      <c r="E11360" s="107" t="str">
        <f aca="false">IF($C11360="","",IFERROR(INDEX(المنيو!$C$2:$C$500,MATCH($C11360,المنيو!$B$2:$B$500,0)),0))</f>
        <v/>
      </c>
      <c r="F11360" s="107" t="str">
        <f aca="false">IF($C11360="","",$D11360*$E11360)</f>
        <v/>
      </c>
      <c r="G11360" s="107" t="str">
        <f aca="false">IF($C11360="","",$D11360*IFERROR(INDEX('تحليل التكلفة والسعر'!$C$2:$C$700,MATCH($C11360,'تحليل التكلفة والسعر'!$B$2:$B$700,0)),0))</f>
        <v/>
      </c>
    </row>
    <row r="11361" customFormat="false" ht="15" hidden="false" customHeight="false" outlineLevel="0" collapsed="false">
      <c r="A11361" s="103"/>
      <c r="B11361" s="104"/>
      <c r="C11361" s="104"/>
      <c r="E11361" s="107" t="str">
        <f aca="false">IF($C11361="","",IFERROR(INDEX(المنيو!$C$2:$C$500,MATCH($C11361,المنيو!$B$2:$B$500,0)),0))</f>
        <v/>
      </c>
      <c r="F11361" s="107" t="str">
        <f aca="false">IF($C11361="","",$D11361*$E11361)</f>
        <v/>
      </c>
      <c r="G11361" s="107" t="str">
        <f aca="false">IF($C11361="","",$D11361*IFERROR(INDEX('تحليل التكلفة والسعر'!$C$2:$C$700,MATCH($C11361,'تحليل التكلفة والسعر'!$B$2:$B$700,0)),0))</f>
        <v/>
      </c>
    </row>
    <row r="11362" customFormat="false" ht="15" hidden="false" customHeight="false" outlineLevel="0" collapsed="false">
      <c r="A11362" s="103"/>
      <c r="B11362" s="104"/>
      <c r="C11362" s="104"/>
      <c r="E11362" s="107" t="str">
        <f aca="false">IF($C11362="","",IFERROR(INDEX(المنيو!$C$2:$C$500,MATCH($C11362,المنيو!$B$2:$B$500,0)),0))</f>
        <v/>
      </c>
      <c r="F11362" s="107" t="str">
        <f aca="false">IF($C11362="","",$D11362*$E11362)</f>
        <v/>
      </c>
      <c r="G11362" s="107" t="str">
        <f aca="false">IF($C11362="","",$D11362*IFERROR(INDEX('تحليل التكلفة والسعر'!$C$2:$C$700,MATCH($C11362,'تحليل التكلفة والسعر'!$B$2:$B$700,0)),0))</f>
        <v/>
      </c>
    </row>
    <row r="11363" customFormat="false" ht="15" hidden="false" customHeight="false" outlineLevel="0" collapsed="false">
      <c r="A11363" s="103"/>
      <c r="B11363" s="104"/>
      <c r="C11363" s="104"/>
      <c r="E11363" s="107" t="str">
        <f aca="false">IF($C11363="","",IFERROR(INDEX(المنيو!$C$2:$C$500,MATCH($C11363,المنيو!$B$2:$B$500,0)),0))</f>
        <v/>
      </c>
      <c r="F11363" s="107" t="str">
        <f aca="false">IF($C11363="","",$D11363*$E11363)</f>
        <v/>
      </c>
      <c r="G11363" s="107" t="str">
        <f aca="false">IF($C11363="","",$D11363*IFERROR(INDEX('تحليل التكلفة والسعر'!$C$2:$C$700,MATCH($C11363,'تحليل التكلفة والسعر'!$B$2:$B$700,0)),0))</f>
        <v/>
      </c>
    </row>
    <row r="11364" customFormat="false" ht="15" hidden="false" customHeight="false" outlineLevel="0" collapsed="false">
      <c r="A11364" s="103"/>
      <c r="B11364" s="104"/>
      <c r="C11364" s="104"/>
      <c r="E11364" s="107" t="str">
        <f aca="false">IF($C11364="","",IFERROR(INDEX(المنيو!$C$2:$C$500,MATCH($C11364,المنيو!$B$2:$B$500,0)),0))</f>
        <v/>
      </c>
      <c r="F11364" s="107" t="str">
        <f aca="false">IF($C11364="","",$D11364*$E11364)</f>
        <v/>
      </c>
      <c r="G11364" s="107" t="str">
        <f aca="false">IF($C11364="","",$D11364*IFERROR(INDEX('تحليل التكلفة والسعر'!$C$2:$C$700,MATCH($C11364,'تحليل التكلفة والسعر'!$B$2:$B$700,0)),0))</f>
        <v/>
      </c>
    </row>
    <row r="11365" customFormat="false" ht="15" hidden="false" customHeight="false" outlineLevel="0" collapsed="false">
      <c r="A11365" s="103"/>
      <c r="B11365" s="104"/>
      <c r="C11365" s="104"/>
      <c r="E11365" s="107" t="str">
        <f aca="false">IF($C11365="","",IFERROR(INDEX(المنيو!$C$2:$C$500,MATCH($C11365,المنيو!$B$2:$B$500,0)),0))</f>
        <v/>
      </c>
      <c r="F11365" s="107" t="str">
        <f aca="false">IF($C11365="","",$D11365*$E11365)</f>
        <v/>
      </c>
      <c r="G11365" s="107" t="str">
        <f aca="false">IF($C11365="","",$D11365*IFERROR(INDEX('تحليل التكلفة والسعر'!$C$2:$C$700,MATCH($C11365,'تحليل التكلفة والسعر'!$B$2:$B$700,0)),0))</f>
        <v/>
      </c>
    </row>
    <row r="11366" customFormat="false" ht="15" hidden="false" customHeight="false" outlineLevel="0" collapsed="false">
      <c r="A11366" s="103"/>
      <c r="B11366" s="104"/>
      <c r="C11366" s="104"/>
      <c r="E11366" s="107" t="str">
        <f aca="false">IF($C11366="","",IFERROR(INDEX(المنيو!$C$2:$C$500,MATCH($C11366,المنيو!$B$2:$B$500,0)),0))</f>
        <v/>
      </c>
      <c r="F11366" s="107" t="str">
        <f aca="false">IF($C11366="","",$D11366*$E11366)</f>
        <v/>
      </c>
      <c r="G11366" s="107" t="str">
        <f aca="false">IF($C11366="","",$D11366*IFERROR(INDEX('تحليل التكلفة والسعر'!$C$2:$C$700,MATCH($C11366,'تحليل التكلفة والسعر'!$B$2:$B$700,0)),0))</f>
        <v/>
      </c>
    </row>
    <row r="11367" customFormat="false" ht="15" hidden="false" customHeight="false" outlineLevel="0" collapsed="false">
      <c r="A11367" s="103"/>
      <c r="B11367" s="104"/>
      <c r="C11367" s="104"/>
      <c r="E11367" s="107" t="str">
        <f aca="false">IF($C11367="","",IFERROR(INDEX(المنيو!$C$2:$C$500,MATCH($C11367,المنيو!$B$2:$B$500,0)),0))</f>
        <v/>
      </c>
      <c r="F11367" s="107" t="str">
        <f aca="false">IF($C11367="","",$D11367*$E11367)</f>
        <v/>
      </c>
      <c r="G11367" s="107" t="str">
        <f aca="false">IF($C11367="","",$D11367*IFERROR(INDEX('تحليل التكلفة والسعر'!$C$2:$C$700,MATCH($C11367,'تحليل التكلفة والسعر'!$B$2:$B$700,0)),0))</f>
        <v/>
      </c>
    </row>
    <row r="11368" customFormat="false" ht="15" hidden="false" customHeight="false" outlineLevel="0" collapsed="false">
      <c r="A11368" s="103"/>
      <c r="B11368" s="104"/>
      <c r="C11368" s="104"/>
      <c r="E11368" s="107" t="str">
        <f aca="false">IF($C11368="","",IFERROR(INDEX(المنيو!$C$2:$C$500,MATCH($C11368,المنيو!$B$2:$B$500,0)),0))</f>
        <v/>
      </c>
      <c r="F11368" s="107" t="str">
        <f aca="false">IF($C11368="","",$D11368*$E11368)</f>
        <v/>
      </c>
      <c r="G11368" s="107" t="str">
        <f aca="false">IF($C11368="","",$D11368*IFERROR(INDEX('تحليل التكلفة والسعر'!$C$2:$C$700,MATCH($C11368,'تحليل التكلفة والسعر'!$B$2:$B$700,0)),0))</f>
        <v/>
      </c>
    </row>
    <row r="11369" customFormat="false" ht="15" hidden="false" customHeight="false" outlineLevel="0" collapsed="false">
      <c r="A11369" s="103"/>
      <c r="B11369" s="104"/>
      <c r="C11369" s="104"/>
      <c r="E11369" s="107" t="str">
        <f aca="false">IF($C11369="","",IFERROR(INDEX(المنيو!$C$2:$C$500,MATCH($C11369,المنيو!$B$2:$B$500,0)),0))</f>
        <v/>
      </c>
      <c r="F11369" s="107" t="str">
        <f aca="false">IF($C11369="","",$D11369*$E11369)</f>
        <v/>
      </c>
      <c r="G11369" s="107" t="str">
        <f aca="false">IF($C11369="","",$D11369*IFERROR(INDEX('تحليل التكلفة والسعر'!$C$2:$C$700,MATCH($C11369,'تحليل التكلفة والسعر'!$B$2:$B$700,0)),0))</f>
        <v/>
      </c>
    </row>
    <row r="11370" customFormat="false" ht="15" hidden="false" customHeight="false" outlineLevel="0" collapsed="false">
      <c r="A11370" s="103"/>
      <c r="B11370" s="104"/>
      <c r="C11370" s="104"/>
      <c r="E11370" s="107" t="str">
        <f aca="false">IF($C11370="","",IFERROR(INDEX(المنيو!$C$2:$C$500,MATCH($C11370,المنيو!$B$2:$B$500,0)),0))</f>
        <v/>
      </c>
      <c r="F11370" s="107" t="str">
        <f aca="false">IF($C11370="","",$D11370*$E11370)</f>
        <v/>
      </c>
      <c r="G11370" s="107" t="str">
        <f aca="false">IF($C11370="","",$D11370*IFERROR(INDEX('تحليل التكلفة والسعر'!$C$2:$C$700,MATCH($C11370,'تحليل التكلفة والسعر'!$B$2:$B$700,0)),0))</f>
        <v/>
      </c>
    </row>
    <row r="11371" customFormat="false" ht="15" hidden="false" customHeight="false" outlineLevel="0" collapsed="false">
      <c r="A11371" s="103"/>
      <c r="B11371" s="104"/>
      <c r="C11371" s="104"/>
      <c r="E11371" s="107" t="str">
        <f aca="false">IF($C11371="","",IFERROR(INDEX(المنيو!$C$2:$C$500,MATCH($C11371,المنيو!$B$2:$B$500,0)),0))</f>
        <v/>
      </c>
      <c r="F11371" s="107" t="str">
        <f aca="false">IF($C11371="","",$D11371*$E11371)</f>
        <v/>
      </c>
      <c r="G11371" s="107" t="str">
        <f aca="false">IF($C11371="","",$D11371*IFERROR(INDEX('تحليل التكلفة والسعر'!$C$2:$C$700,MATCH($C11371,'تحليل التكلفة والسعر'!$B$2:$B$700,0)),0))</f>
        <v/>
      </c>
    </row>
    <row r="11372" customFormat="false" ht="15" hidden="false" customHeight="false" outlineLevel="0" collapsed="false">
      <c r="A11372" s="103"/>
      <c r="B11372" s="104"/>
      <c r="C11372" s="104"/>
      <c r="E11372" s="107" t="str">
        <f aca="false">IF($C11372="","",IFERROR(INDEX(المنيو!$C$2:$C$500,MATCH($C11372,المنيو!$B$2:$B$500,0)),0))</f>
        <v/>
      </c>
      <c r="F11372" s="107" t="str">
        <f aca="false">IF($C11372="","",$D11372*$E11372)</f>
        <v/>
      </c>
      <c r="G11372" s="107" t="str">
        <f aca="false">IF($C11372="","",$D11372*IFERROR(INDEX('تحليل التكلفة والسعر'!$C$2:$C$700,MATCH($C11372,'تحليل التكلفة والسعر'!$B$2:$B$700,0)),0))</f>
        <v/>
      </c>
    </row>
    <row r="11373" customFormat="false" ht="15" hidden="false" customHeight="false" outlineLevel="0" collapsed="false">
      <c r="A11373" s="103"/>
      <c r="B11373" s="104"/>
      <c r="C11373" s="104"/>
      <c r="E11373" s="107" t="str">
        <f aca="false">IF($C11373="","",IFERROR(INDEX(المنيو!$C$2:$C$500,MATCH($C11373,المنيو!$B$2:$B$500,0)),0))</f>
        <v/>
      </c>
      <c r="F11373" s="107" t="str">
        <f aca="false">IF($C11373="","",$D11373*$E11373)</f>
        <v/>
      </c>
      <c r="G11373" s="107" t="str">
        <f aca="false">IF($C11373="","",$D11373*IFERROR(INDEX('تحليل التكلفة والسعر'!$C$2:$C$700,MATCH($C11373,'تحليل التكلفة والسعر'!$B$2:$B$700,0)),0))</f>
        <v/>
      </c>
    </row>
    <row r="11374" customFormat="false" ht="15" hidden="false" customHeight="false" outlineLevel="0" collapsed="false">
      <c r="A11374" s="103"/>
      <c r="B11374" s="104"/>
      <c r="C11374" s="104"/>
      <c r="E11374" s="107" t="str">
        <f aca="false">IF($C11374="","",IFERROR(INDEX(المنيو!$C$2:$C$500,MATCH($C11374,المنيو!$B$2:$B$500,0)),0))</f>
        <v/>
      </c>
      <c r="F11374" s="107" t="str">
        <f aca="false">IF($C11374="","",$D11374*$E11374)</f>
        <v/>
      </c>
      <c r="G11374" s="107" t="str">
        <f aca="false">IF($C11374="","",$D11374*IFERROR(INDEX('تحليل التكلفة والسعر'!$C$2:$C$700,MATCH($C11374,'تحليل التكلفة والسعر'!$B$2:$B$700,0)),0))</f>
        <v/>
      </c>
    </row>
    <row r="11375" customFormat="false" ht="15" hidden="false" customHeight="false" outlineLevel="0" collapsed="false">
      <c r="A11375" s="103"/>
      <c r="B11375" s="104"/>
      <c r="C11375" s="104"/>
      <c r="E11375" s="107" t="str">
        <f aca="false">IF($C11375="","",IFERROR(INDEX(المنيو!$C$2:$C$500,MATCH($C11375,المنيو!$B$2:$B$500,0)),0))</f>
        <v/>
      </c>
      <c r="F11375" s="107" t="str">
        <f aca="false">IF($C11375="","",$D11375*$E11375)</f>
        <v/>
      </c>
      <c r="G11375" s="107" t="str">
        <f aca="false">IF($C11375="","",$D11375*IFERROR(INDEX('تحليل التكلفة والسعر'!$C$2:$C$700,MATCH($C11375,'تحليل التكلفة والسعر'!$B$2:$B$700,0)),0))</f>
        <v/>
      </c>
    </row>
    <row r="11376" customFormat="false" ht="15" hidden="false" customHeight="false" outlineLevel="0" collapsed="false">
      <c r="A11376" s="103"/>
      <c r="B11376" s="104"/>
      <c r="C11376" s="104"/>
      <c r="E11376" s="107" t="str">
        <f aca="false">IF($C11376="","",IFERROR(INDEX(المنيو!$C$2:$C$500,MATCH($C11376,المنيو!$B$2:$B$500,0)),0))</f>
        <v/>
      </c>
      <c r="F11376" s="107" t="str">
        <f aca="false">IF($C11376="","",$D11376*$E11376)</f>
        <v/>
      </c>
      <c r="G11376" s="107" t="str">
        <f aca="false">IF($C11376="","",$D11376*IFERROR(INDEX('تحليل التكلفة والسعر'!$C$2:$C$700,MATCH($C11376,'تحليل التكلفة والسعر'!$B$2:$B$700,0)),0))</f>
        <v/>
      </c>
    </row>
    <row r="11377" customFormat="false" ht="15" hidden="false" customHeight="false" outlineLevel="0" collapsed="false">
      <c r="A11377" s="103"/>
      <c r="B11377" s="104"/>
      <c r="C11377" s="104"/>
      <c r="E11377" s="107" t="str">
        <f aca="false">IF($C11377="","",IFERROR(INDEX(المنيو!$C$2:$C$500,MATCH($C11377,المنيو!$B$2:$B$500,0)),0))</f>
        <v/>
      </c>
      <c r="F11377" s="107" t="str">
        <f aca="false">IF($C11377="","",$D11377*$E11377)</f>
        <v/>
      </c>
      <c r="G11377" s="107" t="str">
        <f aca="false">IF($C11377="","",$D11377*IFERROR(INDEX('تحليل التكلفة والسعر'!$C$2:$C$700,MATCH($C11377,'تحليل التكلفة والسعر'!$B$2:$B$700,0)),0))</f>
        <v/>
      </c>
    </row>
    <row r="11378" customFormat="false" ht="15" hidden="false" customHeight="false" outlineLevel="0" collapsed="false">
      <c r="A11378" s="103"/>
      <c r="B11378" s="104"/>
      <c r="C11378" s="104"/>
      <c r="E11378" s="107" t="str">
        <f aca="false">IF($C11378="","",IFERROR(INDEX(المنيو!$C$2:$C$500,MATCH($C11378,المنيو!$B$2:$B$500,0)),0))</f>
        <v/>
      </c>
      <c r="F11378" s="107" t="str">
        <f aca="false">IF($C11378="","",$D11378*$E11378)</f>
        <v/>
      </c>
      <c r="G11378" s="107" t="str">
        <f aca="false">IF($C11378="","",$D11378*IFERROR(INDEX('تحليل التكلفة والسعر'!$C$2:$C$700,MATCH($C11378,'تحليل التكلفة والسعر'!$B$2:$B$700,0)),0))</f>
        <v/>
      </c>
    </row>
    <row r="11379" customFormat="false" ht="15" hidden="false" customHeight="false" outlineLevel="0" collapsed="false">
      <c r="A11379" s="103"/>
      <c r="B11379" s="104"/>
      <c r="C11379" s="104"/>
      <c r="E11379" s="107" t="str">
        <f aca="false">IF($C11379="","",IFERROR(INDEX(المنيو!$C$2:$C$500,MATCH($C11379,المنيو!$B$2:$B$500,0)),0))</f>
        <v/>
      </c>
      <c r="F11379" s="107" t="str">
        <f aca="false">IF($C11379="","",$D11379*$E11379)</f>
        <v/>
      </c>
      <c r="G11379" s="107" t="str">
        <f aca="false">IF($C11379="","",$D11379*IFERROR(INDEX('تحليل التكلفة والسعر'!$C$2:$C$700,MATCH($C11379,'تحليل التكلفة والسعر'!$B$2:$B$700,0)),0))</f>
        <v/>
      </c>
    </row>
    <row r="11380" customFormat="false" ht="15" hidden="false" customHeight="false" outlineLevel="0" collapsed="false">
      <c r="A11380" s="103"/>
      <c r="B11380" s="104"/>
      <c r="C11380" s="104"/>
      <c r="E11380" s="107" t="str">
        <f aca="false">IF($C11380="","",IFERROR(INDEX(المنيو!$C$2:$C$500,MATCH($C11380,المنيو!$B$2:$B$500,0)),0))</f>
        <v/>
      </c>
      <c r="F11380" s="107" t="str">
        <f aca="false">IF($C11380="","",$D11380*$E11380)</f>
        <v/>
      </c>
      <c r="G11380" s="107" t="str">
        <f aca="false">IF($C11380="","",$D11380*IFERROR(INDEX('تحليل التكلفة والسعر'!$C$2:$C$700,MATCH($C11380,'تحليل التكلفة والسعر'!$B$2:$B$700,0)),0))</f>
        <v/>
      </c>
    </row>
    <row r="11381" customFormat="false" ht="15" hidden="false" customHeight="false" outlineLevel="0" collapsed="false">
      <c r="A11381" s="103"/>
      <c r="B11381" s="104"/>
      <c r="C11381" s="104"/>
      <c r="E11381" s="107" t="str">
        <f aca="false">IF($C11381="","",IFERROR(INDEX(المنيو!$C$2:$C$500,MATCH($C11381,المنيو!$B$2:$B$500,0)),0))</f>
        <v/>
      </c>
      <c r="F11381" s="107" t="str">
        <f aca="false">IF($C11381="","",$D11381*$E11381)</f>
        <v/>
      </c>
      <c r="G11381" s="107" t="str">
        <f aca="false">IF($C11381="","",$D11381*IFERROR(INDEX('تحليل التكلفة والسعر'!$C$2:$C$700,MATCH($C11381,'تحليل التكلفة والسعر'!$B$2:$B$700,0)),0))</f>
        <v/>
      </c>
    </row>
    <row r="11382" customFormat="false" ht="15" hidden="false" customHeight="false" outlineLevel="0" collapsed="false">
      <c r="A11382" s="103"/>
      <c r="B11382" s="104"/>
      <c r="C11382" s="104"/>
      <c r="E11382" s="107" t="str">
        <f aca="false">IF($C11382="","",IFERROR(INDEX(المنيو!$C$2:$C$500,MATCH($C11382,المنيو!$B$2:$B$500,0)),0))</f>
        <v/>
      </c>
      <c r="F11382" s="107" t="str">
        <f aca="false">IF($C11382="","",$D11382*$E11382)</f>
        <v/>
      </c>
      <c r="G11382" s="107" t="str">
        <f aca="false">IF($C11382="","",$D11382*IFERROR(INDEX('تحليل التكلفة والسعر'!$C$2:$C$700,MATCH($C11382,'تحليل التكلفة والسعر'!$B$2:$B$700,0)),0))</f>
        <v/>
      </c>
    </row>
    <row r="11383" customFormat="false" ht="15" hidden="false" customHeight="false" outlineLevel="0" collapsed="false">
      <c r="A11383" s="103"/>
      <c r="B11383" s="104"/>
      <c r="C11383" s="104"/>
      <c r="E11383" s="107" t="str">
        <f aca="false">IF($C11383="","",IFERROR(INDEX(المنيو!$C$2:$C$500,MATCH($C11383,المنيو!$B$2:$B$500,0)),0))</f>
        <v/>
      </c>
      <c r="F11383" s="107" t="str">
        <f aca="false">IF($C11383="","",$D11383*$E11383)</f>
        <v/>
      </c>
      <c r="G11383" s="107" t="str">
        <f aca="false">IF($C11383="","",$D11383*IFERROR(INDEX('تحليل التكلفة والسعر'!$C$2:$C$700,MATCH($C11383,'تحليل التكلفة والسعر'!$B$2:$B$700,0)),0))</f>
        <v/>
      </c>
    </row>
    <row r="11384" customFormat="false" ht="15" hidden="false" customHeight="false" outlineLevel="0" collapsed="false">
      <c r="A11384" s="103"/>
      <c r="B11384" s="104"/>
      <c r="C11384" s="104"/>
      <c r="E11384" s="107" t="str">
        <f aca="false">IF($C11384="","",IFERROR(INDEX(المنيو!$C$2:$C$500,MATCH($C11384,المنيو!$B$2:$B$500,0)),0))</f>
        <v/>
      </c>
      <c r="F11384" s="107" t="str">
        <f aca="false">IF($C11384="","",$D11384*$E11384)</f>
        <v/>
      </c>
      <c r="G11384" s="107" t="str">
        <f aca="false">IF($C11384="","",$D11384*IFERROR(INDEX('تحليل التكلفة والسعر'!$C$2:$C$700,MATCH($C11384,'تحليل التكلفة والسعر'!$B$2:$B$700,0)),0))</f>
        <v/>
      </c>
    </row>
    <row r="11385" customFormat="false" ht="15" hidden="false" customHeight="false" outlineLevel="0" collapsed="false">
      <c r="A11385" s="103"/>
      <c r="B11385" s="104"/>
      <c r="C11385" s="104"/>
      <c r="E11385" s="107" t="str">
        <f aca="false">IF($C11385="","",IFERROR(INDEX(المنيو!$C$2:$C$500,MATCH($C11385,المنيو!$B$2:$B$500,0)),0))</f>
        <v/>
      </c>
      <c r="F11385" s="107" t="str">
        <f aca="false">IF($C11385="","",$D11385*$E11385)</f>
        <v/>
      </c>
      <c r="G11385" s="107" t="str">
        <f aca="false">IF($C11385="","",$D11385*IFERROR(INDEX('تحليل التكلفة والسعر'!$C$2:$C$700,MATCH($C11385,'تحليل التكلفة والسعر'!$B$2:$B$700,0)),0))</f>
        <v/>
      </c>
    </row>
    <row r="11386" customFormat="false" ht="15" hidden="false" customHeight="false" outlineLevel="0" collapsed="false">
      <c r="A11386" s="103"/>
      <c r="B11386" s="104"/>
      <c r="C11386" s="104"/>
      <c r="E11386" s="107" t="str">
        <f aca="false">IF($C11386="","",IFERROR(INDEX(المنيو!$C$2:$C$500,MATCH($C11386,المنيو!$B$2:$B$500,0)),0))</f>
        <v/>
      </c>
      <c r="F11386" s="107" t="str">
        <f aca="false">IF($C11386="","",$D11386*$E11386)</f>
        <v/>
      </c>
      <c r="G11386" s="107" t="str">
        <f aca="false">IF($C11386="","",$D11386*IFERROR(INDEX('تحليل التكلفة والسعر'!$C$2:$C$700,MATCH($C11386,'تحليل التكلفة والسعر'!$B$2:$B$700,0)),0))</f>
        <v/>
      </c>
    </row>
    <row r="11387" customFormat="false" ht="15" hidden="false" customHeight="false" outlineLevel="0" collapsed="false">
      <c r="A11387" s="103"/>
      <c r="B11387" s="104"/>
      <c r="C11387" s="104"/>
      <c r="E11387" s="107" t="str">
        <f aca="false">IF($C11387="","",IFERROR(INDEX(المنيو!$C$2:$C$500,MATCH($C11387,المنيو!$B$2:$B$500,0)),0))</f>
        <v/>
      </c>
      <c r="F11387" s="107" t="str">
        <f aca="false">IF($C11387="","",$D11387*$E11387)</f>
        <v/>
      </c>
      <c r="G11387" s="107" t="str">
        <f aca="false">IF($C11387="","",$D11387*IFERROR(INDEX('تحليل التكلفة والسعر'!$C$2:$C$700,MATCH($C11387,'تحليل التكلفة والسعر'!$B$2:$B$700,0)),0))</f>
        <v/>
      </c>
    </row>
    <row r="11388" customFormat="false" ht="15" hidden="false" customHeight="false" outlineLevel="0" collapsed="false">
      <c r="A11388" s="103"/>
      <c r="B11388" s="104"/>
      <c r="C11388" s="104"/>
      <c r="E11388" s="107" t="str">
        <f aca="false">IF($C11388="","",IFERROR(INDEX(المنيو!$C$2:$C$500,MATCH($C11388,المنيو!$B$2:$B$500,0)),0))</f>
        <v/>
      </c>
      <c r="F11388" s="107" t="str">
        <f aca="false">IF($C11388="","",$D11388*$E11388)</f>
        <v/>
      </c>
      <c r="G11388" s="107" t="str">
        <f aca="false">IF($C11388="","",$D11388*IFERROR(INDEX('تحليل التكلفة والسعر'!$C$2:$C$700,MATCH($C11388,'تحليل التكلفة والسعر'!$B$2:$B$700,0)),0))</f>
        <v/>
      </c>
    </row>
    <row r="11389" customFormat="false" ht="15" hidden="false" customHeight="false" outlineLevel="0" collapsed="false">
      <c r="A11389" s="103"/>
      <c r="B11389" s="104"/>
      <c r="C11389" s="104"/>
      <c r="E11389" s="107" t="str">
        <f aca="false">IF($C11389="","",IFERROR(INDEX(المنيو!$C$2:$C$500,MATCH($C11389,المنيو!$B$2:$B$500,0)),0))</f>
        <v/>
      </c>
      <c r="F11389" s="107" t="str">
        <f aca="false">IF($C11389="","",$D11389*$E11389)</f>
        <v/>
      </c>
      <c r="G11389" s="107" t="str">
        <f aca="false">IF($C11389="","",$D11389*IFERROR(INDEX('تحليل التكلفة والسعر'!$C$2:$C$700,MATCH($C11389,'تحليل التكلفة والسعر'!$B$2:$B$700,0)),0))</f>
        <v/>
      </c>
    </row>
    <row r="11390" customFormat="false" ht="15" hidden="false" customHeight="false" outlineLevel="0" collapsed="false">
      <c r="A11390" s="103"/>
      <c r="B11390" s="104"/>
      <c r="C11390" s="104"/>
      <c r="E11390" s="107" t="str">
        <f aca="false">IF($C11390="","",IFERROR(INDEX(المنيو!$C$2:$C$500,MATCH($C11390,المنيو!$B$2:$B$500,0)),0))</f>
        <v/>
      </c>
      <c r="F11390" s="107" t="str">
        <f aca="false">IF($C11390="","",$D11390*$E11390)</f>
        <v/>
      </c>
      <c r="G11390" s="107" t="str">
        <f aca="false">IF($C11390="","",$D11390*IFERROR(INDEX('تحليل التكلفة والسعر'!$C$2:$C$700,MATCH($C11390,'تحليل التكلفة والسعر'!$B$2:$B$700,0)),0))</f>
        <v/>
      </c>
    </row>
    <row r="11391" customFormat="false" ht="15" hidden="false" customHeight="false" outlineLevel="0" collapsed="false">
      <c r="A11391" s="103"/>
      <c r="B11391" s="104"/>
      <c r="C11391" s="104"/>
      <c r="E11391" s="107" t="str">
        <f aca="false">IF($C11391="","",IFERROR(INDEX(المنيو!$C$2:$C$500,MATCH($C11391,المنيو!$B$2:$B$500,0)),0))</f>
        <v/>
      </c>
      <c r="F11391" s="107" t="str">
        <f aca="false">IF($C11391="","",$D11391*$E11391)</f>
        <v/>
      </c>
      <c r="G11391" s="107" t="str">
        <f aca="false">IF($C11391="","",$D11391*IFERROR(INDEX('تحليل التكلفة والسعر'!$C$2:$C$700,MATCH($C11391,'تحليل التكلفة والسعر'!$B$2:$B$700,0)),0))</f>
        <v/>
      </c>
    </row>
    <row r="11392" customFormat="false" ht="15" hidden="false" customHeight="false" outlineLevel="0" collapsed="false">
      <c r="A11392" s="103"/>
      <c r="B11392" s="104"/>
      <c r="C11392" s="104"/>
      <c r="E11392" s="107" t="str">
        <f aca="false">IF($C11392="","",IFERROR(INDEX(المنيو!$C$2:$C$500,MATCH($C11392,المنيو!$B$2:$B$500,0)),0))</f>
        <v/>
      </c>
      <c r="F11392" s="107" t="str">
        <f aca="false">IF($C11392="","",$D11392*$E11392)</f>
        <v/>
      </c>
      <c r="G11392" s="107" t="str">
        <f aca="false">IF($C11392="","",$D11392*IFERROR(INDEX('تحليل التكلفة والسعر'!$C$2:$C$700,MATCH($C11392,'تحليل التكلفة والسعر'!$B$2:$B$700,0)),0))</f>
        <v/>
      </c>
    </row>
    <row r="11393" customFormat="false" ht="15" hidden="false" customHeight="false" outlineLevel="0" collapsed="false">
      <c r="A11393" s="103"/>
      <c r="B11393" s="104"/>
      <c r="C11393" s="104"/>
      <c r="E11393" s="107" t="str">
        <f aca="false">IF($C11393="","",IFERROR(INDEX(المنيو!$C$2:$C$500,MATCH($C11393,المنيو!$B$2:$B$500,0)),0))</f>
        <v/>
      </c>
      <c r="F11393" s="107" t="str">
        <f aca="false">IF($C11393="","",$D11393*$E11393)</f>
        <v/>
      </c>
      <c r="G11393" s="107" t="str">
        <f aca="false">IF($C11393="","",$D11393*IFERROR(INDEX('تحليل التكلفة والسعر'!$C$2:$C$700,MATCH($C11393,'تحليل التكلفة والسعر'!$B$2:$B$700,0)),0))</f>
        <v/>
      </c>
    </row>
    <row r="11394" customFormat="false" ht="15" hidden="false" customHeight="false" outlineLevel="0" collapsed="false">
      <c r="A11394" s="103"/>
      <c r="B11394" s="104"/>
      <c r="C11394" s="104"/>
      <c r="E11394" s="107" t="str">
        <f aca="false">IF($C11394="","",IFERROR(INDEX(المنيو!$C$2:$C$500,MATCH($C11394,المنيو!$B$2:$B$500,0)),0))</f>
        <v/>
      </c>
      <c r="F11394" s="107" t="str">
        <f aca="false">IF($C11394="","",$D11394*$E11394)</f>
        <v/>
      </c>
      <c r="G11394" s="107" t="str">
        <f aca="false">IF($C11394="","",$D11394*IFERROR(INDEX('تحليل التكلفة والسعر'!$C$2:$C$700,MATCH($C11394,'تحليل التكلفة والسعر'!$B$2:$B$700,0)),0))</f>
        <v/>
      </c>
    </row>
    <row r="11395" customFormat="false" ht="15" hidden="false" customHeight="false" outlineLevel="0" collapsed="false">
      <c r="A11395" s="103"/>
      <c r="B11395" s="104"/>
      <c r="C11395" s="104"/>
      <c r="E11395" s="107" t="str">
        <f aca="false">IF($C11395="","",IFERROR(INDEX(المنيو!$C$2:$C$500,MATCH($C11395,المنيو!$B$2:$B$500,0)),0))</f>
        <v/>
      </c>
      <c r="F11395" s="107" t="str">
        <f aca="false">IF($C11395="","",$D11395*$E11395)</f>
        <v/>
      </c>
      <c r="G11395" s="107" t="str">
        <f aca="false">IF($C11395="","",$D11395*IFERROR(INDEX('تحليل التكلفة والسعر'!$C$2:$C$700,MATCH($C11395,'تحليل التكلفة والسعر'!$B$2:$B$700,0)),0))</f>
        <v/>
      </c>
    </row>
    <row r="11396" customFormat="false" ht="15" hidden="false" customHeight="false" outlineLevel="0" collapsed="false">
      <c r="A11396" s="103"/>
      <c r="B11396" s="104"/>
      <c r="C11396" s="104"/>
      <c r="E11396" s="107" t="str">
        <f aca="false">IF($C11396="","",IFERROR(INDEX(المنيو!$C$2:$C$500,MATCH($C11396,المنيو!$B$2:$B$500,0)),0))</f>
        <v/>
      </c>
      <c r="F11396" s="107" t="str">
        <f aca="false">IF($C11396="","",$D11396*$E11396)</f>
        <v/>
      </c>
      <c r="G11396" s="107" t="str">
        <f aca="false">IF($C11396="","",$D11396*IFERROR(INDEX('تحليل التكلفة والسعر'!$C$2:$C$700,MATCH($C11396,'تحليل التكلفة والسعر'!$B$2:$B$700,0)),0))</f>
        <v/>
      </c>
    </row>
    <row r="11397" customFormat="false" ht="15" hidden="false" customHeight="false" outlineLevel="0" collapsed="false">
      <c r="A11397" s="103"/>
      <c r="B11397" s="104"/>
      <c r="C11397" s="104"/>
      <c r="E11397" s="107" t="str">
        <f aca="false">IF($C11397="","",IFERROR(INDEX(المنيو!$C$2:$C$500,MATCH($C11397,المنيو!$B$2:$B$500,0)),0))</f>
        <v/>
      </c>
      <c r="F11397" s="107" t="str">
        <f aca="false">IF($C11397="","",$D11397*$E11397)</f>
        <v/>
      </c>
      <c r="G11397" s="107" t="str">
        <f aca="false">IF($C11397="","",$D11397*IFERROR(INDEX('تحليل التكلفة والسعر'!$C$2:$C$700,MATCH($C11397,'تحليل التكلفة والسعر'!$B$2:$B$700,0)),0))</f>
        <v/>
      </c>
    </row>
    <row r="11398" customFormat="false" ht="15" hidden="false" customHeight="false" outlineLevel="0" collapsed="false">
      <c r="A11398" s="103"/>
      <c r="B11398" s="104"/>
      <c r="C11398" s="104"/>
      <c r="E11398" s="107" t="str">
        <f aca="false">IF($C11398="","",IFERROR(INDEX(المنيو!$C$2:$C$500,MATCH($C11398,المنيو!$B$2:$B$500,0)),0))</f>
        <v/>
      </c>
      <c r="F11398" s="107" t="str">
        <f aca="false">IF($C11398="","",$D11398*$E11398)</f>
        <v/>
      </c>
      <c r="G11398" s="107" t="str">
        <f aca="false">IF($C11398="","",$D11398*IFERROR(INDEX('تحليل التكلفة والسعر'!$C$2:$C$700,MATCH($C11398,'تحليل التكلفة والسعر'!$B$2:$B$700,0)),0))</f>
        <v/>
      </c>
    </row>
    <row r="11399" customFormat="false" ht="15" hidden="false" customHeight="false" outlineLevel="0" collapsed="false">
      <c r="A11399" s="103"/>
      <c r="B11399" s="104"/>
      <c r="C11399" s="104"/>
      <c r="E11399" s="107" t="str">
        <f aca="false">IF($C11399="","",IFERROR(INDEX(المنيو!$C$2:$C$500,MATCH($C11399,المنيو!$B$2:$B$500,0)),0))</f>
        <v/>
      </c>
      <c r="F11399" s="107" t="str">
        <f aca="false">IF($C11399="","",$D11399*$E11399)</f>
        <v/>
      </c>
      <c r="G11399" s="107" t="str">
        <f aca="false">IF($C11399="","",$D11399*IFERROR(INDEX('تحليل التكلفة والسعر'!$C$2:$C$700,MATCH($C11399,'تحليل التكلفة والسعر'!$B$2:$B$700,0)),0))</f>
        <v/>
      </c>
    </row>
    <row r="11400" customFormat="false" ht="15" hidden="false" customHeight="false" outlineLevel="0" collapsed="false">
      <c r="A11400" s="103"/>
      <c r="B11400" s="104"/>
      <c r="C11400" s="104"/>
      <c r="E11400" s="107" t="str">
        <f aca="false">IF($C11400="","",IFERROR(INDEX(المنيو!$C$2:$C$500,MATCH($C11400,المنيو!$B$2:$B$500,0)),0))</f>
        <v/>
      </c>
      <c r="F11400" s="107" t="str">
        <f aca="false">IF($C11400="","",$D11400*$E11400)</f>
        <v/>
      </c>
      <c r="G11400" s="107" t="str">
        <f aca="false">IF($C11400="","",$D11400*IFERROR(INDEX('تحليل التكلفة والسعر'!$C$2:$C$700,MATCH($C11400,'تحليل التكلفة والسعر'!$B$2:$B$700,0)),0))</f>
        <v/>
      </c>
    </row>
    <row r="11401" customFormat="false" ht="15" hidden="false" customHeight="false" outlineLevel="0" collapsed="false">
      <c r="A11401" s="103"/>
      <c r="B11401" s="104"/>
      <c r="C11401" s="104"/>
      <c r="E11401" s="107" t="str">
        <f aca="false">IF($C11401="","",IFERROR(INDEX(المنيو!$C$2:$C$500,MATCH($C11401,المنيو!$B$2:$B$500,0)),0))</f>
        <v/>
      </c>
      <c r="F11401" s="107" t="str">
        <f aca="false">IF($C11401="","",$D11401*$E11401)</f>
        <v/>
      </c>
      <c r="G11401" s="107" t="str">
        <f aca="false">IF($C11401="","",$D11401*IFERROR(INDEX('تحليل التكلفة والسعر'!$C$2:$C$700,MATCH($C11401,'تحليل التكلفة والسعر'!$B$2:$B$700,0)),0))</f>
        <v/>
      </c>
    </row>
    <row r="11402" customFormat="false" ht="15" hidden="false" customHeight="false" outlineLevel="0" collapsed="false">
      <c r="A11402" s="103"/>
      <c r="B11402" s="104"/>
      <c r="C11402" s="104"/>
      <c r="E11402" s="107" t="str">
        <f aca="false">IF($C11402="","",IFERROR(INDEX(المنيو!$C$2:$C$500,MATCH($C11402,المنيو!$B$2:$B$500,0)),0))</f>
        <v/>
      </c>
      <c r="F11402" s="107" t="str">
        <f aca="false">IF($C11402="","",$D11402*$E11402)</f>
        <v/>
      </c>
      <c r="G11402" s="107" t="str">
        <f aca="false">IF($C11402="","",$D11402*IFERROR(INDEX('تحليل التكلفة والسعر'!$C$2:$C$700,MATCH($C11402,'تحليل التكلفة والسعر'!$B$2:$B$700,0)),0))</f>
        <v/>
      </c>
    </row>
    <row r="11403" customFormat="false" ht="15" hidden="false" customHeight="false" outlineLevel="0" collapsed="false">
      <c r="A11403" s="103"/>
      <c r="B11403" s="104"/>
      <c r="C11403" s="104"/>
      <c r="E11403" s="107" t="str">
        <f aca="false">IF($C11403="","",IFERROR(INDEX(المنيو!$C$2:$C$500,MATCH($C11403,المنيو!$B$2:$B$500,0)),0))</f>
        <v/>
      </c>
      <c r="F11403" s="107" t="str">
        <f aca="false">IF($C11403="","",$D11403*$E11403)</f>
        <v/>
      </c>
      <c r="G11403" s="107" t="str">
        <f aca="false">IF($C11403="","",$D11403*IFERROR(INDEX('تحليل التكلفة والسعر'!$C$2:$C$700,MATCH($C11403,'تحليل التكلفة والسعر'!$B$2:$B$700,0)),0))</f>
        <v/>
      </c>
    </row>
    <row r="11404" customFormat="false" ht="15" hidden="false" customHeight="false" outlineLevel="0" collapsed="false">
      <c r="A11404" s="103"/>
      <c r="B11404" s="104"/>
      <c r="C11404" s="104"/>
      <c r="E11404" s="107" t="str">
        <f aca="false">IF($C11404="","",IFERROR(INDEX(المنيو!$C$2:$C$500,MATCH($C11404,المنيو!$B$2:$B$500,0)),0))</f>
        <v/>
      </c>
      <c r="F11404" s="107" t="str">
        <f aca="false">IF($C11404="","",$D11404*$E11404)</f>
        <v/>
      </c>
      <c r="G11404" s="107" t="str">
        <f aca="false">IF($C11404="","",$D11404*IFERROR(INDEX('تحليل التكلفة والسعر'!$C$2:$C$700,MATCH($C11404,'تحليل التكلفة والسعر'!$B$2:$B$700,0)),0))</f>
        <v/>
      </c>
    </row>
    <row r="11405" customFormat="false" ht="15" hidden="false" customHeight="false" outlineLevel="0" collapsed="false">
      <c r="A11405" s="103"/>
      <c r="B11405" s="104"/>
      <c r="C11405" s="104"/>
      <c r="E11405" s="107" t="str">
        <f aca="false">IF($C11405="","",IFERROR(INDEX(المنيو!$C$2:$C$500,MATCH($C11405,المنيو!$B$2:$B$500,0)),0))</f>
        <v/>
      </c>
      <c r="F11405" s="107" t="str">
        <f aca="false">IF($C11405="","",$D11405*$E11405)</f>
        <v/>
      </c>
      <c r="G11405" s="107" t="str">
        <f aca="false">IF($C11405="","",$D11405*IFERROR(INDEX('تحليل التكلفة والسعر'!$C$2:$C$700,MATCH($C11405,'تحليل التكلفة والسعر'!$B$2:$B$700,0)),0))</f>
        <v/>
      </c>
    </row>
    <row r="11406" customFormat="false" ht="15" hidden="false" customHeight="false" outlineLevel="0" collapsed="false">
      <c r="A11406" s="103"/>
      <c r="B11406" s="104"/>
      <c r="C11406" s="104"/>
      <c r="E11406" s="107" t="str">
        <f aca="false">IF($C11406="","",IFERROR(INDEX(المنيو!$C$2:$C$500,MATCH($C11406,المنيو!$B$2:$B$500,0)),0))</f>
        <v/>
      </c>
      <c r="F11406" s="107" t="str">
        <f aca="false">IF($C11406="","",$D11406*$E11406)</f>
        <v/>
      </c>
      <c r="G11406" s="107" t="str">
        <f aca="false">IF($C11406="","",$D11406*IFERROR(INDEX('تحليل التكلفة والسعر'!$C$2:$C$700,MATCH($C11406,'تحليل التكلفة والسعر'!$B$2:$B$700,0)),0))</f>
        <v/>
      </c>
    </row>
    <row r="11407" customFormat="false" ht="15" hidden="false" customHeight="false" outlineLevel="0" collapsed="false">
      <c r="A11407" s="103"/>
      <c r="B11407" s="104"/>
      <c r="C11407" s="104"/>
      <c r="E11407" s="107" t="str">
        <f aca="false">IF($C11407="","",IFERROR(INDEX(المنيو!$C$2:$C$500,MATCH($C11407,المنيو!$B$2:$B$500,0)),0))</f>
        <v/>
      </c>
      <c r="F11407" s="107" t="str">
        <f aca="false">IF($C11407="","",$D11407*$E11407)</f>
        <v/>
      </c>
      <c r="G11407" s="107" t="str">
        <f aca="false">IF($C11407="","",$D11407*IFERROR(INDEX('تحليل التكلفة والسعر'!$C$2:$C$700,MATCH($C11407,'تحليل التكلفة والسعر'!$B$2:$B$700,0)),0))</f>
        <v/>
      </c>
    </row>
    <row r="11408" customFormat="false" ht="15" hidden="false" customHeight="false" outlineLevel="0" collapsed="false">
      <c r="A11408" s="103"/>
      <c r="B11408" s="104"/>
      <c r="C11408" s="104"/>
      <c r="E11408" s="107" t="str">
        <f aca="false">IF($C11408="","",IFERROR(INDEX(المنيو!$C$2:$C$500,MATCH($C11408,المنيو!$B$2:$B$500,0)),0))</f>
        <v/>
      </c>
      <c r="F11408" s="107" t="str">
        <f aca="false">IF($C11408="","",$D11408*$E11408)</f>
        <v/>
      </c>
      <c r="G11408" s="107" t="str">
        <f aca="false">IF($C11408="","",$D11408*IFERROR(INDEX('تحليل التكلفة والسعر'!$C$2:$C$700,MATCH($C11408,'تحليل التكلفة والسعر'!$B$2:$B$700,0)),0))</f>
        <v/>
      </c>
    </row>
    <row r="11409" customFormat="false" ht="15" hidden="false" customHeight="false" outlineLevel="0" collapsed="false">
      <c r="A11409" s="103"/>
      <c r="B11409" s="104"/>
      <c r="C11409" s="104"/>
      <c r="E11409" s="107" t="str">
        <f aca="false">IF($C11409="","",IFERROR(INDEX(المنيو!$C$2:$C$500,MATCH($C11409,المنيو!$B$2:$B$500,0)),0))</f>
        <v/>
      </c>
      <c r="F11409" s="107" t="str">
        <f aca="false">IF($C11409="","",$D11409*$E11409)</f>
        <v/>
      </c>
      <c r="G11409" s="107" t="str">
        <f aca="false">IF($C11409="","",$D11409*IFERROR(INDEX('تحليل التكلفة والسعر'!$C$2:$C$700,MATCH($C11409,'تحليل التكلفة والسعر'!$B$2:$B$700,0)),0))</f>
        <v/>
      </c>
    </row>
    <row r="11410" customFormat="false" ht="15" hidden="false" customHeight="false" outlineLevel="0" collapsed="false">
      <c r="A11410" s="103"/>
      <c r="B11410" s="104"/>
      <c r="C11410" s="104"/>
      <c r="E11410" s="107" t="str">
        <f aca="false">IF($C11410="","",IFERROR(INDEX(المنيو!$C$2:$C$500,MATCH($C11410,المنيو!$B$2:$B$500,0)),0))</f>
        <v/>
      </c>
      <c r="F11410" s="107" t="str">
        <f aca="false">IF($C11410="","",$D11410*$E11410)</f>
        <v/>
      </c>
      <c r="G11410" s="107" t="str">
        <f aca="false">IF($C11410="","",$D11410*IFERROR(INDEX('تحليل التكلفة والسعر'!$C$2:$C$700,MATCH($C11410,'تحليل التكلفة والسعر'!$B$2:$B$700,0)),0))</f>
        <v/>
      </c>
    </row>
    <row r="11411" customFormat="false" ht="15" hidden="false" customHeight="false" outlineLevel="0" collapsed="false">
      <c r="A11411" s="103"/>
      <c r="B11411" s="104"/>
      <c r="C11411" s="104"/>
      <c r="E11411" s="107" t="str">
        <f aca="false">IF($C11411="","",IFERROR(INDEX(المنيو!$C$2:$C$500,MATCH($C11411,المنيو!$B$2:$B$500,0)),0))</f>
        <v/>
      </c>
      <c r="F11411" s="107" t="str">
        <f aca="false">IF($C11411="","",$D11411*$E11411)</f>
        <v/>
      </c>
      <c r="G11411" s="107" t="str">
        <f aca="false">IF($C11411="","",$D11411*IFERROR(INDEX('تحليل التكلفة والسعر'!$C$2:$C$700,MATCH($C11411,'تحليل التكلفة والسعر'!$B$2:$B$700,0)),0))</f>
        <v/>
      </c>
    </row>
    <row r="11412" customFormat="false" ht="15" hidden="false" customHeight="false" outlineLevel="0" collapsed="false">
      <c r="A11412" s="103"/>
      <c r="B11412" s="104"/>
      <c r="C11412" s="104"/>
      <c r="E11412" s="107" t="str">
        <f aca="false">IF($C11412="","",IFERROR(INDEX(المنيو!$C$2:$C$500,MATCH($C11412,المنيو!$B$2:$B$500,0)),0))</f>
        <v/>
      </c>
      <c r="F11412" s="107" t="str">
        <f aca="false">IF($C11412="","",$D11412*$E11412)</f>
        <v/>
      </c>
      <c r="G11412" s="107" t="str">
        <f aca="false">IF($C11412="","",$D11412*IFERROR(INDEX('تحليل التكلفة والسعر'!$C$2:$C$700,MATCH($C11412,'تحليل التكلفة والسعر'!$B$2:$B$700,0)),0))</f>
        <v/>
      </c>
    </row>
    <row r="11413" customFormat="false" ht="15" hidden="false" customHeight="false" outlineLevel="0" collapsed="false">
      <c r="A11413" s="103"/>
      <c r="B11413" s="104"/>
      <c r="C11413" s="104"/>
      <c r="E11413" s="107" t="str">
        <f aca="false">IF($C11413="","",IFERROR(INDEX(المنيو!$C$2:$C$500,MATCH($C11413,المنيو!$B$2:$B$500,0)),0))</f>
        <v/>
      </c>
      <c r="F11413" s="107" t="str">
        <f aca="false">IF($C11413="","",$D11413*$E11413)</f>
        <v/>
      </c>
      <c r="G11413" s="107" t="str">
        <f aca="false">IF($C11413="","",$D11413*IFERROR(INDEX('تحليل التكلفة والسعر'!$C$2:$C$700,MATCH($C11413,'تحليل التكلفة والسعر'!$B$2:$B$700,0)),0))</f>
        <v/>
      </c>
    </row>
    <row r="11414" customFormat="false" ht="15" hidden="false" customHeight="false" outlineLevel="0" collapsed="false">
      <c r="A11414" s="103"/>
      <c r="B11414" s="104"/>
      <c r="C11414" s="104"/>
      <c r="E11414" s="107" t="str">
        <f aca="false">IF($C11414="","",IFERROR(INDEX(المنيو!$C$2:$C$500,MATCH($C11414,المنيو!$B$2:$B$500,0)),0))</f>
        <v/>
      </c>
      <c r="F11414" s="107" t="str">
        <f aca="false">IF($C11414="","",$D11414*$E11414)</f>
        <v/>
      </c>
      <c r="G11414" s="107" t="str">
        <f aca="false">IF($C11414="","",$D11414*IFERROR(INDEX('تحليل التكلفة والسعر'!$C$2:$C$700,MATCH($C11414,'تحليل التكلفة والسعر'!$B$2:$B$700,0)),0))</f>
        <v/>
      </c>
    </row>
    <row r="11415" customFormat="false" ht="15" hidden="false" customHeight="false" outlineLevel="0" collapsed="false">
      <c r="A11415" s="103"/>
      <c r="B11415" s="104"/>
      <c r="C11415" s="104"/>
      <c r="E11415" s="107" t="str">
        <f aca="false">IF($C11415="","",IFERROR(INDEX(المنيو!$C$2:$C$500,MATCH($C11415,المنيو!$B$2:$B$500,0)),0))</f>
        <v/>
      </c>
      <c r="F11415" s="107" t="str">
        <f aca="false">IF($C11415="","",$D11415*$E11415)</f>
        <v/>
      </c>
      <c r="G11415" s="107" t="str">
        <f aca="false">IF($C11415="","",$D11415*IFERROR(INDEX('تحليل التكلفة والسعر'!$C$2:$C$700,MATCH($C11415,'تحليل التكلفة والسعر'!$B$2:$B$700,0)),0))</f>
        <v/>
      </c>
    </row>
    <row r="11416" customFormat="false" ht="15" hidden="false" customHeight="false" outlineLevel="0" collapsed="false">
      <c r="A11416" s="103"/>
      <c r="B11416" s="104"/>
      <c r="C11416" s="104"/>
      <c r="E11416" s="107" t="str">
        <f aca="false">IF($C11416="","",IFERROR(INDEX(المنيو!$C$2:$C$500,MATCH($C11416,المنيو!$B$2:$B$500,0)),0))</f>
        <v/>
      </c>
      <c r="F11416" s="107" t="str">
        <f aca="false">IF($C11416="","",$D11416*$E11416)</f>
        <v/>
      </c>
      <c r="G11416" s="107" t="str">
        <f aca="false">IF($C11416="","",$D11416*IFERROR(INDEX('تحليل التكلفة والسعر'!$C$2:$C$700,MATCH($C11416,'تحليل التكلفة والسعر'!$B$2:$B$700,0)),0))</f>
        <v/>
      </c>
    </row>
    <row r="11417" customFormat="false" ht="15" hidden="false" customHeight="false" outlineLevel="0" collapsed="false">
      <c r="A11417" s="103"/>
      <c r="B11417" s="104"/>
      <c r="C11417" s="104"/>
      <c r="E11417" s="107" t="str">
        <f aca="false">IF($C11417="","",IFERROR(INDEX(المنيو!$C$2:$C$500,MATCH($C11417,المنيو!$B$2:$B$500,0)),0))</f>
        <v/>
      </c>
      <c r="F11417" s="107" t="str">
        <f aca="false">IF($C11417="","",$D11417*$E11417)</f>
        <v/>
      </c>
      <c r="G11417" s="107" t="str">
        <f aca="false">IF($C11417="","",$D11417*IFERROR(INDEX('تحليل التكلفة والسعر'!$C$2:$C$700,MATCH($C11417,'تحليل التكلفة والسعر'!$B$2:$B$700,0)),0))</f>
        <v/>
      </c>
    </row>
    <row r="11418" customFormat="false" ht="15" hidden="false" customHeight="false" outlineLevel="0" collapsed="false">
      <c r="A11418" s="103"/>
      <c r="B11418" s="104"/>
      <c r="C11418" s="104"/>
      <c r="E11418" s="107" t="str">
        <f aca="false">IF($C11418="","",IFERROR(INDEX(المنيو!$C$2:$C$500,MATCH($C11418,المنيو!$B$2:$B$500,0)),0))</f>
        <v/>
      </c>
      <c r="F11418" s="107" t="str">
        <f aca="false">IF($C11418="","",$D11418*$E11418)</f>
        <v/>
      </c>
      <c r="G11418" s="107" t="str">
        <f aca="false">IF($C11418="","",$D11418*IFERROR(INDEX('تحليل التكلفة والسعر'!$C$2:$C$700,MATCH($C11418,'تحليل التكلفة والسعر'!$B$2:$B$700,0)),0))</f>
        <v/>
      </c>
    </row>
    <row r="11419" customFormat="false" ht="15" hidden="false" customHeight="false" outlineLevel="0" collapsed="false">
      <c r="A11419" s="103"/>
      <c r="B11419" s="104"/>
      <c r="C11419" s="104"/>
      <c r="E11419" s="107" t="str">
        <f aca="false">IF($C11419="","",IFERROR(INDEX(المنيو!$C$2:$C$500,MATCH($C11419,المنيو!$B$2:$B$500,0)),0))</f>
        <v/>
      </c>
      <c r="F11419" s="107" t="str">
        <f aca="false">IF($C11419="","",$D11419*$E11419)</f>
        <v/>
      </c>
      <c r="G11419" s="107" t="str">
        <f aca="false">IF($C11419="","",$D11419*IFERROR(INDEX('تحليل التكلفة والسعر'!$C$2:$C$700,MATCH($C11419,'تحليل التكلفة والسعر'!$B$2:$B$700,0)),0))</f>
        <v/>
      </c>
    </row>
    <row r="11420" customFormat="false" ht="15" hidden="false" customHeight="false" outlineLevel="0" collapsed="false">
      <c r="A11420" s="103"/>
      <c r="B11420" s="104"/>
      <c r="C11420" s="104"/>
      <c r="E11420" s="107" t="str">
        <f aca="false">IF($C11420="","",IFERROR(INDEX(المنيو!$C$2:$C$500,MATCH($C11420,المنيو!$B$2:$B$500,0)),0))</f>
        <v/>
      </c>
      <c r="F11420" s="107" t="str">
        <f aca="false">IF($C11420="","",$D11420*$E11420)</f>
        <v/>
      </c>
      <c r="G11420" s="107" t="str">
        <f aca="false">IF($C11420="","",$D11420*IFERROR(INDEX('تحليل التكلفة والسعر'!$C$2:$C$700,MATCH($C11420,'تحليل التكلفة والسعر'!$B$2:$B$700,0)),0))</f>
        <v/>
      </c>
    </row>
    <row r="11421" customFormat="false" ht="15" hidden="false" customHeight="false" outlineLevel="0" collapsed="false">
      <c r="A11421" s="103"/>
      <c r="B11421" s="104"/>
      <c r="C11421" s="104"/>
      <c r="E11421" s="107" t="str">
        <f aca="false">IF($C11421="","",IFERROR(INDEX(المنيو!$C$2:$C$500,MATCH($C11421,المنيو!$B$2:$B$500,0)),0))</f>
        <v/>
      </c>
      <c r="F11421" s="107" t="str">
        <f aca="false">IF($C11421="","",$D11421*$E11421)</f>
        <v/>
      </c>
      <c r="G11421" s="107" t="str">
        <f aca="false">IF($C11421="","",$D11421*IFERROR(INDEX('تحليل التكلفة والسعر'!$C$2:$C$700,MATCH($C11421,'تحليل التكلفة والسعر'!$B$2:$B$700,0)),0))</f>
        <v/>
      </c>
    </row>
    <row r="11422" customFormat="false" ht="15" hidden="false" customHeight="false" outlineLevel="0" collapsed="false">
      <c r="A11422" s="103"/>
      <c r="B11422" s="104"/>
      <c r="C11422" s="104"/>
      <c r="E11422" s="107" t="str">
        <f aca="false">IF($C11422="","",IFERROR(INDEX(المنيو!$C$2:$C$500,MATCH($C11422,المنيو!$B$2:$B$500,0)),0))</f>
        <v/>
      </c>
      <c r="F11422" s="107" t="str">
        <f aca="false">IF($C11422="","",$D11422*$E11422)</f>
        <v/>
      </c>
      <c r="G11422" s="107" t="str">
        <f aca="false">IF($C11422="","",$D11422*IFERROR(INDEX('تحليل التكلفة والسعر'!$C$2:$C$700,MATCH($C11422,'تحليل التكلفة والسعر'!$B$2:$B$700,0)),0))</f>
        <v/>
      </c>
    </row>
    <row r="11423" customFormat="false" ht="15" hidden="false" customHeight="false" outlineLevel="0" collapsed="false">
      <c r="A11423" s="103"/>
      <c r="B11423" s="104"/>
      <c r="C11423" s="104"/>
      <c r="E11423" s="107" t="str">
        <f aca="false">IF($C11423="","",IFERROR(INDEX(المنيو!$C$2:$C$500,MATCH($C11423,المنيو!$B$2:$B$500,0)),0))</f>
        <v/>
      </c>
      <c r="F11423" s="107" t="str">
        <f aca="false">IF($C11423="","",$D11423*$E11423)</f>
        <v/>
      </c>
      <c r="G11423" s="107" t="str">
        <f aca="false">IF($C11423="","",$D11423*IFERROR(INDEX('تحليل التكلفة والسعر'!$C$2:$C$700,MATCH($C11423,'تحليل التكلفة والسعر'!$B$2:$B$700,0)),0))</f>
        <v/>
      </c>
    </row>
    <row r="11424" customFormat="false" ht="15" hidden="false" customHeight="false" outlineLevel="0" collapsed="false">
      <c r="A11424" s="103"/>
      <c r="B11424" s="104"/>
      <c r="C11424" s="104"/>
      <c r="E11424" s="107" t="str">
        <f aca="false">IF($C11424="","",IFERROR(INDEX(المنيو!$C$2:$C$500,MATCH($C11424,المنيو!$B$2:$B$500,0)),0))</f>
        <v/>
      </c>
      <c r="F11424" s="107" t="str">
        <f aca="false">IF($C11424="","",$D11424*$E11424)</f>
        <v/>
      </c>
      <c r="G11424" s="107" t="str">
        <f aca="false">IF($C11424="","",$D11424*IFERROR(INDEX('تحليل التكلفة والسعر'!$C$2:$C$700,MATCH($C11424,'تحليل التكلفة والسعر'!$B$2:$B$700,0)),0))</f>
        <v/>
      </c>
    </row>
    <row r="11425" customFormat="false" ht="15" hidden="false" customHeight="false" outlineLevel="0" collapsed="false">
      <c r="A11425" s="103"/>
      <c r="B11425" s="104"/>
      <c r="C11425" s="104"/>
      <c r="E11425" s="107" t="str">
        <f aca="false">IF($C11425="","",IFERROR(INDEX(المنيو!$C$2:$C$500,MATCH($C11425,المنيو!$B$2:$B$500,0)),0))</f>
        <v/>
      </c>
      <c r="F11425" s="107" t="str">
        <f aca="false">IF($C11425="","",$D11425*$E11425)</f>
        <v/>
      </c>
      <c r="G11425" s="107" t="str">
        <f aca="false">IF($C11425="","",$D11425*IFERROR(INDEX('تحليل التكلفة والسعر'!$C$2:$C$700,MATCH($C11425,'تحليل التكلفة والسعر'!$B$2:$B$700,0)),0))</f>
        <v/>
      </c>
    </row>
    <row r="11426" customFormat="false" ht="15" hidden="false" customHeight="false" outlineLevel="0" collapsed="false">
      <c r="A11426" s="103"/>
      <c r="B11426" s="104"/>
      <c r="C11426" s="104"/>
      <c r="E11426" s="107" t="str">
        <f aca="false">IF($C11426="","",IFERROR(INDEX(المنيو!$C$2:$C$500,MATCH($C11426,المنيو!$B$2:$B$500,0)),0))</f>
        <v/>
      </c>
      <c r="F11426" s="107" t="str">
        <f aca="false">IF($C11426="","",$D11426*$E11426)</f>
        <v/>
      </c>
      <c r="G11426" s="107" t="str">
        <f aca="false">IF($C11426="","",$D11426*IFERROR(INDEX('تحليل التكلفة والسعر'!$C$2:$C$700,MATCH($C11426,'تحليل التكلفة والسعر'!$B$2:$B$700,0)),0))</f>
        <v/>
      </c>
    </row>
    <row r="11427" customFormat="false" ht="15" hidden="false" customHeight="false" outlineLevel="0" collapsed="false">
      <c r="A11427" s="103"/>
      <c r="B11427" s="104"/>
      <c r="C11427" s="104"/>
      <c r="E11427" s="107" t="str">
        <f aca="false">IF($C11427="","",IFERROR(INDEX(المنيو!$C$2:$C$500,MATCH($C11427,المنيو!$B$2:$B$500,0)),0))</f>
        <v/>
      </c>
      <c r="F11427" s="107" t="str">
        <f aca="false">IF($C11427="","",$D11427*$E11427)</f>
        <v/>
      </c>
      <c r="G11427" s="107" t="str">
        <f aca="false">IF($C11427="","",$D11427*IFERROR(INDEX('تحليل التكلفة والسعر'!$C$2:$C$700,MATCH($C11427,'تحليل التكلفة والسعر'!$B$2:$B$700,0)),0))</f>
        <v/>
      </c>
    </row>
    <row r="11428" customFormat="false" ht="15" hidden="false" customHeight="false" outlineLevel="0" collapsed="false">
      <c r="A11428" s="103"/>
      <c r="B11428" s="104"/>
      <c r="C11428" s="104"/>
      <c r="E11428" s="107" t="str">
        <f aca="false">IF($C11428="","",IFERROR(INDEX(المنيو!$C$2:$C$500,MATCH($C11428,المنيو!$B$2:$B$500,0)),0))</f>
        <v/>
      </c>
      <c r="F11428" s="107" t="str">
        <f aca="false">IF($C11428="","",$D11428*$E11428)</f>
        <v/>
      </c>
      <c r="G11428" s="107" t="str">
        <f aca="false">IF($C11428="","",$D11428*IFERROR(INDEX('تحليل التكلفة والسعر'!$C$2:$C$700,MATCH($C11428,'تحليل التكلفة والسعر'!$B$2:$B$700,0)),0))</f>
        <v/>
      </c>
    </row>
    <row r="11429" customFormat="false" ht="15" hidden="false" customHeight="false" outlineLevel="0" collapsed="false">
      <c r="A11429" s="103"/>
      <c r="B11429" s="104"/>
      <c r="C11429" s="104"/>
      <c r="E11429" s="107" t="str">
        <f aca="false">IF($C11429="","",IFERROR(INDEX(المنيو!$C$2:$C$500,MATCH($C11429,المنيو!$B$2:$B$500,0)),0))</f>
        <v/>
      </c>
      <c r="F11429" s="107" t="str">
        <f aca="false">IF($C11429="","",$D11429*$E11429)</f>
        <v/>
      </c>
      <c r="G11429" s="107" t="str">
        <f aca="false">IF($C11429="","",$D11429*IFERROR(INDEX('تحليل التكلفة والسعر'!$C$2:$C$700,MATCH($C11429,'تحليل التكلفة والسعر'!$B$2:$B$700,0)),0))</f>
        <v/>
      </c>
    </row>
    <row r="11430" customFormat="false" ht="15" hidden="false" customHeight="false" outlineLevel="0" collapsed="false">
      <c r="A11430" s="103"/>
      <c r="B11430" s="104"/>
      <c r="C11430" s="104"/>
      <c r="E11430" s="107" t="str">
        <f aca="false">IF($C11430="","",IFERROR(INDEX(المنيو!$C$2:$C$500,MATCH($C11430,المنيو!$B$2:$B$500,0)),0))</f>
        <v/>
      </c>
      <c r="F11430" s="107" t="str">
        <f aca="false">IF($C11430="","",$D11430*$E11430)</f>
        <v/>
      </c>
      <c r="G11430" s="107" t="str">
        <f aca="false">IF($C11430="","",$D11430*IFERROR(INDEX('تحليل التكلفة والسعر'!$C$2:$C$700,MATCH($C11430,'تحليل التكلفة والسعر'!$B$2:$B$700,0)),0))</f>
        <v/>
      </c>
    </row>
    <row r="11431" customFormat="false" ht="15" hidden="false" customHeight="false" outlineLevel="0" collapsed="false">
      <c r="A11431" s="103"/>
      <c r="B11431" s="104"/>
      <c r="C11431" s="104"/>
      <c r="E11431" s="107" t="str">
        <f aca="false">IF($C11431="","",IFERROR(INDEX(المنيو!$C$2:$C$500,MATCH($C11431,المنيو!$B$2:$B$500,0)),0))</f>
        <v/>
      </c>
      <c r="F11431" s="107" t="str">
        <f aca="false">IF($C11431="","",$D11431*$E11431)</f>
        <v/>
      </c>
      <c r="G11431" s="107" t="str">
        <f aca="false">IF($C11431="","",$D11431*IFERROR(INDEX('تحليل التكلفة والسعر'!$C$2:$C$700,MATCH($C11431,'تحليل التكلفة والسعر'!$B$2:$B$700,0)),0))</f>
        <v/>
      </c>
    </row>
    <row r="11432" customFormat="false" ht="15" hidden="false" customHeight="false" outlineLevel="0" collapsed="false">
      <c r="A11432" s="103"/>
      <c r="B11432" s="104"/>
      <c r="C11432" s="104"/>
      <c r="E11432" s="107" t="str">
        <f aca="false">IF($C11432="","",IFERROR(INDEX(المنيو!$C$2:$C$500,MATCH($C11432,المنيو!$B$2:$B$500,0)),0))</f>
        <v/>
      </c>
      <c r="F11432" s="107" t="str">
        <f aca="false">IF($C11432="","",$D11432*$E11432)</f>
        <v/>
      </c>
      <c r="G11432" s="107" t="str">
        <f aca="false">IF($C11432="","",$D11432*IFERROR(INDEX('تحليل التكلفة والسعر'!$C$2:$C$700,MATCH($C11432,'تحليل التكلفة والسعر'!$B$2:$B$700,0)),0))</f>
        <v/>
      </c>
    </row>
    <row r="11433" customFormat="false" ht="15" hidden="false" customHeight="false" outlineLevel="0" collapsed="false">
      <c r="A11433" s="103"/>
      <c r="B11433" s="104"/>
      <c r="C11433" s="104"/>
      <c r="E11433" s="107" t="str">
        <f aca="false">IF($C11433="","",IFERROR(INDEX(المنيو!$C$2:$C$500,MATCH($C11433,المنيو!$B$2:$B$500,0)),0))</f>
        <v/>
      </c>
      <c r="F11433" s="107" t="str">
        <f aca="false">IF($C11433="","",$D11433*$E11433)</f>
        <v/>
      </c>
      <c r="G11433" s="107" t="str">
        <f aca="false">IF($C11433="","",$D11433*IFERROR(INDEX('تحليل التكلفة والسعر'!$C$2:$C$700,MATCH($C11433,'تحليل التكلفة والسعر'!$B$2:$B$700,0)),0))</f>
        <v/>
      </c>
    </row>
    <row r="11434" customFormat="false" ht="15" hidden="false" customHeight="false" outlineLevel="0" collapsed="false">
      <c r="A11434" s="103"/>
      <c r="B11434" s="104"/>
      <c r="C11434" s="104"/>
      <c r="E11434" s="107" t="str">
        <f aca="false">IF($C11434="","",IFERROR(INDEX(المنيو!$C$2:$C$500,MATCH($C11434,المنيو!$B$2:$B$500,0)),0))</f>
        <v/>
      </c>
      <c r="F11434" s="107" t="str">
        <f aca="false">IF($C11434="","",$D11434*$E11434)</f>
        <v/>
      </c>
      <c r="G11434" s="107" t="str">
        <f aca="false">IF($C11434="","",$D11434*IFERROR(INDEX('تحليل التكلفة والسعر'!$C$2:$C$700,MATCH($C11434,'تحليل التكلفة والسعر'!$B$2:$B$700,0)),0))</f>
        <v/>
      </c>
    </row>
    <row r="11435" customFormat="false" ht="15" hidden="false" customHeight="false" outlineLevel="0" collapsed="false">
      <c r="A11435" s="103"/>
      <c r="B11435" s="104"/>
      <c r="C11435" s="104"/>
      <c r="E11435" s="107" t="str">
        <f aca="false">IF($C11435="","",IFERROR(INDEX(المنيو!$C$2:$C$500,MATCH($C11435,المنيو!$B$2:$B$500,0)),0))</f>
        <v/>
      </c>
      <c r="F11435" s="107" t="str">
        <f aca="false">IF($C11435="","",$D11435*$E11435)</f>
        <v/>
      </c>
      <c r="G11435" s="107" t="str">
        <f aca="false">IF($C11435="","",$D11435*IFERROR(INDEX('تحليل التكلفة والسعر'!$C$2:$C$700,MATCH($C11435,'تحليل التكلفة والسعر'!$B$2:$B$700,0)),0))</f>
        <v/>
      </c>
    </row>
    <row r="11436" customFormat="false" ht="15" hidden="false" customHeight="false" outlineLevel="0" collapsed="false">
      <c r="A11436" s="103"/>
      <c r="B11436" s="104"/>
      <c r="C11436" s="104"/>
      <c r="E11436" s="107" t="str">
        <f aca="false">IF($C11436="","",IFERROR(INDEX(المنيو!$C$2:$C$500,MATCH($C11436,المنيو!$B$2:$B$500,0)),0))</f>
        <v/>
      </c>
      <c r="F11436" s="107" t="str">
        <f aca="false">IF($C11436="","",$D11436*$E11436)</f>
        <v/>
      </c>
      <c r="G11436" s="107" t="str">
        <f aca="false">IF($C11436="","",$D11436*IFERROR(INDEX('تحليل التكلفة والسعر'!$C$2:$C$700,MATCH($C11436,'تحليل التكلفة والسعر'!$B$2:$B$700,0)),0))</f>
        <v/>
      </c>
    </row>
    <row r="11437" customFormat="false" ht="15" hidden="false" customHeight="false" outlineLevel="0" collapsed="false">
      <c r="A11437" s="103"/>
      <c r="B11437" s="104"/>
      <c r="C11437" s="104"/>
      <c r="E11437" s="107" t="str">
        <f aca="false">IF($C11437="","",IFERROR(INDEX(المنيو!$C$2:$C$500,MATCH($C11437,المنيو!$B$2:$B$500,0)),0))</f>
        <v/>
      </c>
      <c r="F11437" s="107" t="str">
        <f aca="false">IF($C11437="","",$D11437*$E11437)</f>
        <v/>
      </c>
      <c r="G11437" s="107" t="str">
        <f aca="false">IF($C11437="","",$D11437*IFERROR(INDEX('تحليل التكلفة والسعر'!$C$2:$C$700,MATCH($C11437,'تحليل التكلفة والسعر'!$B$2:$B$700,0)),0))</f>
        <v/>
      </c>
    </row>
    <row r="11438" customFormat="false" ht="15" hidden="false" customHeight="false" outlineLevel="0" collapsed="false">
      <c r="A11438" s="103"/>
      <c r="B11438" s="104"/>
      <c r="C11438" s="104"/>
      <c r="E11438" s="107" t="str">
        <f aca="false">IF($C11438="","",IFERROR(INDEX(المنيو!$C$2:$C$500,MATCH($C11438,المنيو!$B$2:$B$500,0)),0))</f>
        <v/>
      </c>
      <c r="F11438" s="107" t="str">
        <f aca="false">IF($C11438="","",$D11438*$E11438)</f>
        <v/>
      </c>
      <c r="G11438" s="107" t="str">
        <f aca="false">IF($C11438="","",$D11438*IFERROR(INDEX('تحليل التكلفة والسعر'!$C$2:$C$700,MATCH($C11438,'تحليل التكلفة والسعر'!$B$2:$B$700,0)),0))</f>
        <v/>
      </c>
    </row>
    <row r="11439" customFormat="false" ht="15" hidden="false" customHeight="false" outlineLevel="0" collapsed="false">
      <c r="A11439" s="103"/>
      <c r="B11439" s="104"/>
      <c r="C11439" s="104"/>
      <c r="E11439" s="107" t="str">
        <f aca="false">IF($C11439="","",IFERROR(INDEX(المنيو!$C$2:$C$500,MATCH($C11439,المنيو!$B$2:$B$500,0)),0))</f>
        <v/>
      </c>
      <c r="F11439" s="107" t="str">
        <f aca="false">IF($C11439="","",$D11439*$E11439)</f>
        <v/>
      </c>
      <c r="G11439" s="107" t="str">
        <f aca="false">IF($C11439="","",$D11439*IFERROR(INDEX('تحليل التكلفة والسعر'!$C$2:$C$700,MATCH($C11439,'تحليل التكلفة والسعر'!$B$2:$B$700,0)),0))</f>
        <v/>
      </c>
    </row>
    <row r="11440" customFormat="false" ht="15" hidden="false" customHeight="false" outlineLevel="0" collapsed="false">
      <c r="A11440" s="103"/>
      <c r="B11440" s="104"/>
      <c r="C11440" s="104"/>
      <c r="E11440" s="107" t="str">
        <f aca="false">IF($C11440="","",IFERROR(INDEX(المنيو!$C$2:$C$500,MATCH($C11440,المنيو!$B$2:$B$500,0)),0))</f>
        <v/>
      </c>
      <c r="F11440" s="107" t="str">
        <f aca="false">IF($C11440="","",$D11440*$E11440)</f>
        <v/>
      </c>
      <c r="G11440" s="107" t="str">
        <f aca="false">IF($C11440="","",$D11440*IFERROR(INDEX('تحليل التكلفة والسعر'!$C$2:$C$700,MATCH($C11440,'تحليل التكلفة والسعر'!$B$2:$B$700,0)),0))</f>
        <v/>
      </c>
    </row>
    <row r="11441" customFormat="false" ht="15" hidden="false" customHeight="false" outlineLevel="0" collapsed="false">
      <c r="A11441" s="103"/>
      <c r="B11441" s="104"/>
      <c r="C11441" s="104"/>
      <c r="E11441" s="107" t="str">
        <f aca="false">IF($C11441="","",IFERROR(INDEX(المنيو!$C$2:$C$500,MATCH($C11441,المنيو!$B$2:$B$500,0)),0))</f>
        <v/>
      </c>
      <c r="F11441" s="107" t="str">
        <f aca="false">IF($C11441="","",$D11441*$E11441)</f>
        <v/>
      </c>
      <c r="G11441" s="107" t="str">
        <f aca="false">IF($C11441="","",$D11441*IFERROR(INDEX('تحليل التكلفة والسعر'!$C$2:$C$700,MATCH($C11441,'تحليل التكلفة والسعر'!$B$2:$B$700,0)),0))</f>
        <v/>
      </c>
    </row>
    <row r="11442" customFormat="false" ht="15" hidden="false" customHeight="false" outlineLevel="0" collapsed="false">
      <c r="A11442" s="103"/>
      <c r="B11442" s="104"/>
      <c r="C11442" s="104"/>
      <c r="E11442" s="107" t="str">
        <f aca="false">IF($C11442="","",IFERROR(INDEX(المنيو!$C$2:$C$500,MATCH($C11442,المنيو!$B$2:$B$500,0)),0))</f>
        <v/>
      </c>
      <c r="F11442" s="107" t="str">
        <f aca="false">IF($C11442="","",$D11442*$E11442)</f>
        <v/>
      </c>
      <c r="G11442" s="107" t="str">
        <f aca="false">IF($C11442="","",$D11442*IFERROR(INDEX('تحليل التكلفة والسعر'!$C$2:$C$700,MATCH($C11442,'تحليل التكلفة والسعر'!$B$2:$B$700,0)),0))</f>
        <v/>
      </c>
    </row>
    <row r="11443" customFormat="false" ht="15" hidden="false" customHeight="false" outlineLevel="0" collapsed="false">
      <c r="A11443" s="103"/>
      <c r="B11443" s="104"/>
      <c r="C11443" s="104"/>
      <c r="E11443" s="107" t="str">
        <f aca="false">IF($C11443="","",IFERROR(INDEX(المنيو!$C$2:$C$500,MATCH($C11443,المنيو!$B$2:$B$500,0)),0))</f>
        <v/>
      </c>
      <c r="F11443" s="107" t="str">
        <f aca="false">IF($C11443="","",$D11443*$E11443)</f>
        <v/>
      </c>
      <c r="G11443" s="107" t="str">
        <f aca="false">IF($C11443="","",$D11443*IFERROR(INDEX('تحليل التكلفة والسعر'!$C$2:$C$700,MATCH($C11443,'تحليل التكلفة والسعر'!$B$2:$B$700,0)),0))</f>
        <v/>
      </c>
    </row>
    <row r="11444" customFormat="false" ht="15" hidden="false" customHeight="false" outlineLevel="0" collapsed="false">
      <c r="A11444" s="103"/>
      <c r="B11444" s="104"/>
      <c r="C11444" s="104"/>
      <c r="E11444" s="107" t="str">
        <f aca="false">IF($C11444="","",IFERROR(INDEX(المنيو!$C$2:$C$500,MATCH($C11444,المنيو!$B$2:$B$500,0)),0))</f>
        <v/>
      </c>
      <c r="F11444" s="107" t="str">
        <f aca="false">IF($C11444="","",$D11444*$E11444)</f>
        <v/>
      </c>
      <c r="G11444" s="107" t="str">
        <f aca="false">IF($C11444="","",$D11444*IFERROR(INDEX('تحليل التكلفة والسعر'!$C$2:$C$700,MATCH($C11444,'تحليل التكلفة والسعر'!$B$2:$B$700,0)),0))</f>
        <v/>
      </c>
    </row>
    <row r="11445" customFormat="false" ht="15" hidden="false" customHeight="false" outlineLevel="0" collapsed="false">
      <c r="A11445" s="103"/>
      <c r="B11445" s="104"/>
      <c r="C11445" s="104"/>
      <c r="E11445" s="107" t="str">
        <f aca="false">IF($C11445="","",IFERROR(INDEX(المنيو!$C$2:$C$500,MATCH($C11445,المنيو!$B$2:$B$500,0)),0))</f>
        <v/>
      </c>
      <c r="F11445" s="107" t="str">
        <f aca="false">IF($C11445="","",$D11445*$E11445)</f>
        <v/>
      </c>
      <c r="G11445" s="107" t="str">
        <f aca="false">IF($C11445="","",$D11445*IFERROR(INDEX('تحليل التكلفة والسعر'!$C$2:$C$700,MATCH($C11445,'تحليل التكلفة والسعر'!$B$2:$B$700,0)),0))</f>
        <v/>
      </c>
    </row>
    <row r="11446" customFormat="false" ht="15" hidden="false" customHeight="false" outlineLevel="0" collapsed="false">
      <c r="A11446" s="103"/>
      <c r="B11446" s="104"/>
      <c r="C11446" s="104"/>
      <c r="E11446" s="107" t="str">
        <f aca="false">IF($C11446="","",IFERROR(INDEX(المنيو!$C$2:$C$500,MATCH($C11446,المنيو!$B$2:$B$500,0)),0))</f>
        <v/>
      </c>
      <c r="F11446" s="107" t="str">
        <f aca="false">IF($C11446="","",$D11446*$E11446)</f>
        <v/>
      </c>
      <c r="G11446" s="107" t="str">
        <f aca="false">IF($C11446="","",$D11446*IFERROR(INDEX('تحليل التكلفة والسعر'!$C$2:$C$700,MATCH($C11446,'تحليل التكلفة والسعر'!$B$2:$B$700,0)),0))</f>
        <v/>
      </c>
    </row>
    <row r="11447" customFormat="false" ht="15" hidden="false" customHeight="false" outlineLevel="0" collapsed="false">
      <c r="A11447" s="103"/>
      <c r="B11447" s="104"/>
      <c r="C11447" s="104"/>
      <c r="E11447" s="107" t="str">
        <f aca="false">IF($C11447="","",IFERROR(INDEX(المنيو!$C$2:$C$500,MATCH($C11447,المنيو!$B$2:$B$500,0)),0))</f>
        <v/>
      </c>
      <c r="F11447" s="107" t="str">
        <f aca="false">IF($C11447="","",$D11447*$E11447)</f>
        <v/>
      </c>
      <c r="G11447" s="107" t="str">
        <f aca="false">IF($C11447="","",$D11447*IFERROR(INDEX('تحليل التكلفة والسعر'!$C$2:$C$700,MATCH($C11447,'تحليل التكلفة والسعر'!$B$2:$B$700,0)),0))</f>
        <v/>
      </c>
    </row>
    <row r="11448" customFormat="false" ht="15" hidden="false" customHeight="false" outlineLevel="0" collapsed="false">
      <c r="A11448" s="103"/>
      <c r="B11448" s="104"/>
      <c r="C11448" s="104"/>
      <c r="E11448" s="107" t="str">
        <f aca="false">IF($C11448="","",IFERROR(INDEX(المنيو!$C$2:$C$500,MATCH($C11448,المنيو!$B$2:$B$500,0)),0))</f>
        <v/>
      </c>
      <c r="F11448" s="107" t="str">
        <f aca="false">IF($C11448="","",$D11448*$E11448)</f>
        <v/>
      </c>
      <c r="G11448" s="107" t="str">
        <f aca="false">IF($C11448="","",$D11448*IFERROR(INDEX('تحليل التكلفة والسعر'!$C$2:$C$700,MATCH($C11448,'تحليل التكلفة والسعر'!$B$2:$B$700,0)),0))</f>
        <v/>
      </c>
    </row>
    <row r="11449" customFormat="false" ht="15" hidden="false" customHeight="false" outlineLevel="0" collapsed="false">
      <c r="A11449" s="103"/>
      <c r="B11449" s="104"/>
      <c r="C11449" s="104"/>
      <c r="E11449" s="107" t="str">
        <f aca="false">IF($C11449="","",IFERROR(INDEX(المنيو!$C$2:$C$500,MATCH($C11449,المنيو!$B$2:$B$500,0)),0))</f>
        <v/>
      </c>
      <c r="F11449" s="107" t="str">
        <f aca="false">IF($C11449="","",$D11449*$E11449)</f>
        <v/>
      </c>
      <c r="G11449" s="107" t="str">
        <f aca="false">IF($C11449="","",$D11449*IFERROR(INDEX('تحليل التكلفة والسعر'!$C$2:$C$700,MATCH($C11449,'تحليل التكلفة والسعر'!$B$2:$B$700,0)),0))</f>
        <v/>
      </c>
    </row>
    <row r="11450" customFormat="false" ht="15" hidden="false" customHeight="false" outlineLevel="0" collapsed="false">
      <c r="A11450" s="103"/>
      <c r="B11450" s="104"/>
      <c r="C11450" s="104"/>
      <c r="E11450" s="107" t="str">
        <f aca="false">IF($C11450="","",IFERROR(INDEX(المنيو!$C$2:$C$500,MATCH($C11450,المنيو!$B$2:$B$500,0)),0))</f>
        <v/>
      </c>
      <c r="F11450" s="107" t="str">
        <f aca="false">IF($C11450="","",$D11450*$E11450)</f>
        <v/>
      </c>
      <c r="G11450" s="107" t="str">
        <f aca="false">IF($C11450="","",$D11450*IFERROR(INDEX('تحليل التكلفة والسعر'!$C$2:$C$700,MATCH($C11450,'تحليل التكلفة والسعر'!$B$2:$B$700,0)),0))</f>
        <v/>
      </c>
    </row>
    <row r="11451" customFormat="false" ht="15" hidden="false" customHeight="false" outlineLevel="0" collapsed="false">
      <c r="A11451" s="103"/>
      <c r="B11451" s="104"/>
      <c r="C11451" s="104"/>
      <c r="E11451" s="107" t="str">
        <f aca="false">IF($C11451="","",IFERROR(INDEX(المنيو!$C$2:$C$500,MATCH($C11451,المنيو!$B$2:$B$500,0)),0))</f>
        <v/>
      </c>
      <c r="F11451" s="107" t="str">
        <f aca="false">IF($C11451="","",$D11451*$E11451)</f>
        <v/>
      </c>
      <c r="G11451" s="107" t="str">
        <f aca="false">IF($C11451="","",$D11451*IFERROR(INDEX('تحليل التكلفة والسعر'!$C$2:$C$700,MATCH($C11451,'تحليل التكلفة والسعر'!$B$2:$B$700,0)),0))</f>
        <v/>
      </c>
    </row>
    <row r="11452" customFormat="false" ht="15" hidden="false" customHeight="false" outlineLevel="0" collapsed="false">
      <c r="A11452" s="103"/>
      <c r="B11452" s="104"/>
      <c r="C11452" s="104"/>
      <c r="E11452" s="107" t="str">
        <f aca="false">IF($C11452="","",IFERROR(INDEX(المنيو!$C$2:$C$500,MATCH($C11452,المنيو!$B$2:$B$500,0)),0))</f>
        <v/>
      </c>
      <c r="F11452" s="107" t="str">
        <f aca="false">IF($C11452="","",$D11452*$E11452)</f>
        <v/>
      </c>
      <c r="G11452" s="107" t="str">
        <f aca="false">IF($C11452="","",$D11452*IFERROR(INDEX('تحليل التكلفة والسعر'!$C$2:$C$700,MATCH($C11452,'تحليل التكلفة والسعر'!$B$2:$B$700,0)),0))</f>
        <v/>
      </c>
    </row>
    <row r="11453" customFormat="false" ht="15" hidden="false" customHeight="false" outlineLevel="0" collapsed="false">
      <c r="A11453" s="103"/>
      <c r="B11453" s="104"/>
      <c r="C11453" s="104"/>
      <c r="E11453" s="107" t="str">
        <f aca="false">IF($C11453="","",IFERROR(INDEX(المنيو!$C$2:$C$500,MATCH($C11453,المنيو!$B$2:$B$500,0)),0))</f>
        <v/>
      </c>
      <c r="F11453" s="107" t="str">
        <f aca="false">IF($C11453="","",$D11453*$E11453)</f>
        <v/>
      </c>
      <c r="G11453" s="107" t="str">
        <f aca="false">IF($C11453="","",$D11453*IFERROR(INDEX('تحليل التكلفة والسعر'!$C$2:$C$700,MATCH($C11453,'تحليل التكلفة والسعر'!$B$2:$B$700,0)),0))</f>
        <v/>
      </c>
    </row>
    <row r="11454" customFormat="false" ht="15" hidden="false" customHeight="false" outlineLevel="0" collapsed="false">
      <c r="A11454" s="103"/>
      <c r="B11454" s="104"/>
      <c r="C11454" s="104"/>
      <c r="E11454" s="107" t="str">
        <f aca="false">IF($C11454="","",IFERROR(INDEX(المنيو!$C$2:$C$500,MATCH($C11454,المنيو!$B$2:$B$500,0)),0))</f>
        <v/>
      </c>
      <c r="F11454" s="107" t="str">
        <f aca="false">IF($C11454="","",$D11454*$E11454)</f>
        <v/>
      </c>
      <c r="G11454" s="107" t="str">
        <f aca="false">IF($C11454="","",$D11454*IFERROR(INDEX('تحليل التكلفة والسعر'!$C$2:$C$700,MATCH($C11454,'تحليل التكلفة والسعر'!$B$2:$B$700,0)),0))</f>
        <v/>
      </c>
    </row>
    <row r="11455" customFormat="false" ht="15" hidden="false" customHeight="false" outlineLevel="0" collapsed="false">
      <c r="A11455" s="103"/>
      <c r="B11455" s="104"/>
      <c r="C11455" s="104"/>
      <c r="E11455" s="107" t="str">
        <f aca="false">IF($C11455="","",IFERROR(INDEX(المنيو!$C$2:$C$500,MATCH($C11455,المنيو!$B$2:$B$500,0)),0))</f>
        <v/>
      </c>
      <c r="F11455" s="107" t="str">
        <f aca="false">IF($C11455="","",$D11455*$E11455)</f>
        <v/>
      </c>
      <c r="G11455" s="107" t="str">
        <f aca="false">IF($C11455="","",$D11455*IFERROR(INDEX('تحليل التكلفة والسعر'!$C$2:$C$700,MATCH($C11455,'تحليل التكلفة والسعر'!$B$2:$B$700,0)),0))</f>
        <v/>
      </c>
    </row>
    <row r="11456" customFormat="false" ht="15" hidden="false" customHeight="false" outlineLevel="0" collapsed="false">
      <c r="A11456" s="103"/>
      <c r="B11456" s="104"/>
      <c r="C11456" s="104"/>
      <c r="E11456" s="107" t="str">
        <f aca="false">IF($C11456="","",IFERROR(INDEX(المنيو!$C$2:$C$500,MATCH($C11456,المنيو!$B$2:$B$500,0)),0))</f>
        <v/>
      </c>
      <c r="F11456" s="107" t="str">
        <f aca="false">IF($C11456="","",$D11456*$E11456)</f>
        <v/>
      </c>
      <c r="G11456" s="107" t="str">
        <f aca="false">IF($C11456="","",$D11456*IFERROR(INDEX('تحليل التكلفة والسعر'!$C$2:$C$700,MATCH($C11456,'تحليل التكلفة والسعر'!$B$2:$B$700,0)),0))</f>
        <v/>
      </c>
    </row>
    <row r="11457" customFormat="false" ht="15" hidden="false" customHeight="false" outlineLevel="0" collapsed="false">
      <c r="A11457" s="103"/>
      <c r="B11457" s="104"/>
      <c r="C11457" s="104"/>
      <c r="E11457" s="107" t="str">
        <f aca="false">IF($C11457="","",IFERROR(INDEX(المنيو!$C$2:$C$500,MATCH($C11457,المنيو!$B$2:$B$500,0)),0))</f>
        <v/>
      </c>
      <c r="F11457" s="107" t="str">
        <f aca="false">IF($C11457="","",$D11457*$E11457)</f>
        <v/>
      </c>
      <c r="G11457" s="107" t="str">
        <f aca="false">IF($C11457="","",$D11457*IFERROR(INDEX('تحليل التكلفة والسعر'!$C$2:$C$700,MATCH($C11457,'تحليل التكلفة والسعر'!$B$2:$B$700,0)),0))</f>
        <v/>
      </c>
    </row>
    <row r="11458" customFormat="false" ht="15" hidden="false" customHeight="false" outlineLevel="0" collapsed="false">
      <c r="A11458" s="103"/>
      <c r="B11458" s="104"/>
      <c r="C11458" s="104"/>
      <c r="E11458" s="107" t="str">
        <f aca="false">IF($C11458="","",IFERROR(INDEX(المنيو!$C$2:$C$500,MATCH($C11458,المنيو!$B$2:$B$500,0)),0))</f>
        <v/>
      </c>
      <c r="F11458" s="107" t="str">
        <f aca="false">IF($C11458="","",$D11458*$E11458)</f>
        <v/>
      </c>
      <c r="G11458" s="107" t="str">
        <f aca="false">IF($C11458="","",$D11458*IFERROR(INDEX('تحليل التكلفة والسعر'!$C$2:$C$700,MATCH($C11458,'تحليل التكلفة والسعر'!$B$2:$B$700,0)),0))</f>
        <v/>
      </c>
    </row>
    <row r="11459" customFormat="false" ht="15" hidden="false" customHeight="false" outlineLevel="0" collapsed="false">
      <c r="A11459" s="103"/>
      <c r="B11459" s="104"/>
      <c r="C11459" s="104"/>
      <c r="E11459" s="107" t="str">
        <f aca="false">IF($C11459="","",IFERROR(INDEX(المنيو!$C$2:$C$500,MATCH($C11459,المنيو!$B$2:$B$500,0)),0))</f>
        <v/>
      </c>
      <c r="F11459" s="107" t="str">
        <f aca="false">IF($C11459="","",$D11459*$E11459)</f>
        <v/>
      </c>
      <c r="G11459" s="107" t="str">
        <f aca="false">IF($C11459="","",$D11459*IFERROR(INDEX('تحليل التكلفة والسعر'!$C$2:$C$700,MATCH($C11459,'تحليل التكلفة والسعر'!$B$2:$B$700,0)),0))</f>
        <v/>
      </c>
    </row>
    <row r="11460" customFormat="false" ht="15" hidden="false" customHeight="false" outlineLevel="0" collapsed="false">
      <c r="A11460" s="103"/>
      <c r="B11460" s="104"/>
      <c r="C11460" s="104"/>
      <c r="E11460" s="107" t="str">
        <f aca="false">IF($C11460="","",IFERROR(INDEX(المنيو!$C$2:$C$500,MATCH($C11460,المنيو!$B$2:$B$500,0)),0))</f>
        <v/>
      </c>
      <c r="F11460" s="107" t="str">
        <f aca="false">IF($C11460="","",$D11460*$E11460)</f>
        <v/>
      </c>
      <c r="G11460" s="107" t="str">
        <f aca="false">IF($C11460="","",$D11460*IFERROR(INDEX('تحليل التكلفة والسعر'!$C$2:$C$700,MATCH($C11460,'تحليل التكلفة والسعر'!$B$2:$B$700,0)),0))</f>
        <v/>
      </c>
    </row>
    <row r="11461" customFormat="false" ht="15" hidden="false" customHeight="false" outlineLevel="0" collapsed="false">
      <c r="A11461" s="103"/>
      <c r="B11461" s="104"/>
      <c r="C11461" s="104"/>
      <c r="E11461" s="107" t="str">
        <f aca="false">IF($C11461="","",IFERROR(INDEX(المنيو!$C$2:$C$500,MATCH($C11461,المنيو!$B$2:$B$500,0)),0))</f>
        <v/>
      </c>
      <c r="F11461" s="107" t="str">
        <f aca="false">IF($C11461="","",$D11461*$E11461)</f>
        <v/>
      </c>
      <c r="G11461" s="107" t="str">
        <f aca="false">IF($C11461="","",$D11461*IFERROR(INDEX('تحليل التكلفة والسعر'!$C$2:$C$700,MATCH($C11461,'تحليل التكلفة والسعر'!$B$2:$B$700,0)),0))</f>
        <v/>
      </c>
    </row>
    <row r="11462" customFormat="false" ht="15" hidden="false" customHeight="false" outlineLevel="0" collapsed="false">
      <c r="A11462" s="103"/>
      <c r="B11462" s="104"/>
      <c r="C11462" s="104"/>
      <c r="E11462" s="107" t="str">
        <f aca="false">IF($C11462="","",IFERROR(INDEX(المنيو!$C$2:$C$500,MATCH($C11462,المنيو!$B$2:$B$500,0)),0))</f>
        <v/>
      </c>
      <c r="F11462" s="107" t="str">
        <f aca="false">IF($C11462="","",$D11462*$E11462)</f>
        <v/>
      </c>
      <c r="G11462" s="107" t="str">
        <f aca="false">IF($C11462="","",$D11462*IFERROR(INDEX('تحليل التكلفة والسعر'!$C$2:$C$700,MATCH($C11462,'تحليل التكلفة والسعر'!$B$2:$B$700,0)),0))</f>
        <v/>
      </c>
    </row>
    <row r="11463" customFormat="false" ht="15" hidden="false" customHeight="false" outlineLevel="0" collapsed="false">
      <c r="A11463" s="103"/>
      <c r="B11463" s="104"/>
      <c r="C11463" s="104"/>
      <c r="E11463" s="107" t="str">
        <f aca="false">IF($C11463="","",IFERROR(INDEX(المنيو!$C$2:$C$500,MATCH($C11463,المنيو!$B$2:$B$500,0)),0))</f>
        <v/>
      </c>
      <c r="F11463" s="107" t="str">
        <f aca="false">IF($C11463="","",$D11463*$E11463)</f>
        <v/>
      </c>
      <c r="G11463" s="107" t="str">
        <f aca="false">IF($C11463="","",$D11463*IFERROR(INDEX('تحليل التكلفة والسعر'!$C$2:$C$700,MATCH($C11463,'تحليل التكلفة والسعر'!$B$2:$B$700,0)),0))</f>
        <v/>
      </c>
    </row>
    <row r="11464" customFormat="false" ht="15" hidden="false" customHeight="false" outlineLevel="0" collapsed="false">
      <c r="A11464" s="103"/>
      <c r="B11464" s="104"/>
      <c r="C11464" s="104"/>
      <c r="E11464" s="107" t="str">
        <f aca="false">IF($C11464="","",IFERROR(INDEX(المنيو!$C$2:$C$500,MATCH($C11464,المنيو!$B$2:$B$500,0)),0))</f>
        <v/>
      </c>
      <c r="F11464" s="107" t="str">
        <f aca="false">IF($C11464="","",$D11464*$E11464)</f>
        <v/>
      </c>
      <c r="G11464" s="107" t="str">
        <f aca="false">IF($C11464="","",$D11464*IFERROR(INDEX('تحليل التكلفة والسعر'!$C$2:$C$700,MATCH($C11464,'تحليل التكلفة والسعر'!$B$2:$B$700,0)),0))</f>
        <v/>
      </c>
    </row>
    <row r="11465" customFormat="false" ht="15" hidden="false" customHeight="false" outlineLevel="0" collapsed="false">
      <c r="A11465" s="103"/>
      <c r="B11465" s="104"/>
      <c r="C11465" s="104"/>
      <c r="E11465" s="107" t="str">
        <f aca="false">IF($C11465="","",IFERROR(INDEX(المنيو!$C$2:$C$500,MATCH($C11465,المنيو!$B$2:$B$500,0)),0))</f>
        <v/>
      </c>
      <c r="F11465" s="107" t="str">
        <f aca="false">IF($C11465="","",$D11465*$E11465)</f>
        <v/>
      </c>
      <c r="G11465" s="107" t="str">
        <f aca="false">IF($C11465="","",$D11465*IFERROR(INDEX('تحليل التكلفة والسعر'!$C$2:$C$700,MATCH($C11465,'تحليل التكلفة والسعر'!$B$2:$B$700,0)),0))</f>
        <v/>
      </c>
    </row>
    <row r="11466" customFormat="false" ht="15" hidden="false" customHeight="false" outlineLevel="0" collapsed="false">
      <c r="A11466" s="103"/>
      <c r="B11466" s="104"/>
      <c r="C11466" s="104"/>
      <c r="E11466" s="107" t="str">
        <f aca="false">IF($C11466="","",IFERROR(INDEX(المنيو!$C$2:$C$500,MATCH($C11466,المنيو!$B$2:$B$500,0)),0))</f>
        <v/>
      </c>
      <c r="F11466" s="107" t="str">
        <f aca="false">IF($C11466="","",$D11466*$E11466)</f>
        <v/>
      </c>
      <c r="G11466" s="107" t="str">
        <f aca="false">IF($C11466="","",$D11466*IFERROR(INDEX('تحليل التكلفة والسعر'!$C$2:$C$700,MATCH($C11466,'تحليل التكلفة والسعر'!$B$2:$B$700,0)),0))</f>
        <v/>
      </c>
    </row>
    <row r="11467" customFormat="false" ht="15" hidden="false" customHeight="false" outlineLevel="0" collapsed="false">
      <c r="A11467" s="103"/>
      <c r="B11467" s="104"/>
      <c r="C11467" s="104"/>
      <c r="E11467" s="107" t="str">
        <f aca="false">IF($C11467="","",IFERROR(INDEX(المنيو!$C$2:$C$500,MATCH($C11467,المنيو!$B$2:$B$500,0)),0))</f>
        <v/>
      </c>
      <c r="F11467" s="107" t="str">
        <f aca="false">IF($C11467="","",$D11467*$E11467)</f>
        <v/>
      </c>
      <c r="G11467" s="107" t="str">
        <f aca="false">IF($C11467="","",$D11467*IFERROR(INDEX('تحليل التكلفة والسعر'!$C$2:$C$700,MATCH($C11467,'تحليل التكلفة والسعر'!$B$2:$B$700,0)),0))</f>
        <v/>
      </c>
    </row>
    <row r="11468" customFormat="false" ht="15" hidden="false" customHeight="false" outlineLevel="0" collapsed="false">
      <c r="A11468" s="103"/>
      <c r="B11468" s="104"/>
      <c r="C11468" s="104"/>
      <c r="E11468" s="107" t="str">
        <f aca="false">IF($C11468="","",IFERROR(INDEX(المنيو!$C$2:$C$500,MATCH($C11468,المنيو!$B$2:$B$500,0)),0))</f>
        <v/>
      </c>
      <c r="F11468" s="107" t="str">
        <f aca="false">IF($C11468="","",$D11468*$E11468)</f>
        <v/>
      </c>
      <c r="G11468" s="107" t="str">
        <f aca="false">IF($C11468="","",$D11468*IFERROR(INDEX('تحليل التكلفة والسعر'!$C$2:$C$700,MATCH($C11468,'تحليل التكلفة والسعر'!$B$2:$B$700,0)),0))</f>
        <v/>
      </c>
    </row>
    <row r="11469" customFormat="false" ht="15" hidden="false" customHeight="false" outlineLevel="0" collapsed="false">
      <c r="A11469" s="103"/>
      <c r="B11469" s="104"/>
      <c r="C11469" s="104"/>
      <c r="E11469" s="107" t="str">
        <f aca="false">IF($C11469="","",IFERROR(INDEX(المنيو!$C$2:$C$500,MATCH($C11469,المنيو!$B$2:$B$500,0)),0))</f>
        <v/>
      </c>
      <c r="F11469" s="107" t="str">
        <f aca="false">IF($C11469="","",$D11469*$E11469)</f>
        <v/>
      </c>
      <c r="G11469" s="107" t="str">
        <f aca="false">IF($C11469="","",$D11469*IFERROR(INDEX('تحليل التكلفة والسعر'!$C$2:$C$700,MATCH($C11469,'تحليل التكلفة والسعر'!$B$2:$B$700,0)),0))</f>
        <v/>
      </c>
    </row>
    <row r="11470" customFormat="false" ht="15" hidden="false" customHeight="false" outlineLevel="0" collapsed="false">
      <c r="A11470" s="103"/>
      <c r="B11470" s="104"/>
      <c r="C11470" s="104"/>
      <c r="E11470" s="107" t="str">
        <f aca="false">IF($C11470="","",IFERROR(INDEX(المنيو!$C$2:$C$500,MATCH($C11470,المنيو!$B$2:$B$500,0)),0))</f>
        <v/>
      </c>
      <c r="F11470" s="107" t="str">
        <f aca="false">IF($C11470="","",$D11470*$E11470)</f>
        <v/>
      </c>
      <c r="G11470" s="107" t="str">
        <f aca="false">IF($C11470="","",$D11470*IFERROR(INDEX('تحليل التكلفة والسعر'!$C$2:$C$700,MATCH($C11470,'تحليل التكلفة والسعر'!$B$2:$B$700,0)),0))</f>
        <v/>
      </c>
    </row>
    <row r="11471" customFormat="false" ht="15" hidden="false" customHeight="false" outlineLevel="0" collapsed="false">
      <c r="A11471" s="103"/>
      <c r="B11471" s="104"/>
      <c r="C11471" s="104"/>
      <c r="E11471" s="107" t="str">
        <f aca="false">IF($C11471="","",IFERROR(INDEX(المنيو!$C$2:$C$500,MATCH($C11471,المنيو!$B$2:$B$500,0)),0))</f>
        <v/>
      </c>
      <c r="F11471" s="107" t="str">
        <f aca="false">IF($C11471="","",$D11471*$E11471)</f>
        <v/>
      </c>
      <c r="G11471" s="107" t="str">
        <f aca="false">IF($C11471="","",$D11471*IFERROR(INDEX('تحليل التكلفة والسعر'!$C$2:$C$700,MATCH($C11471,'تحليل التكلفة والسعر'!$B$2:$B$700,0)),0))</f>
        <v/>
      </c>
    </row>
    <row r="11472" customFormat="false" ht="15" hidden="false" customHeight="false" outlineLevel="0" collapsed="false">
      <c r="A11472" s="103"/>
      <c r="B11472" s="104"/>
      <c r="C11472" s="104"/>
      <c r="E11472" s="107" t="str">
        <f aca="false">IF($C11472="","",IFERROR(INDEX(المنيو!$C$2:$C$500,MATCH($C11472,المنيو!$B$2:$B$500,0)),0))</f>
        <v/>
      </c>
      <c r="F11472" s="107" t="str">
        <f aca="false">IF($C11472="","",$D11472*$E11472)</f>
        <v/>
      </c>
      <c r="G11472" s="107" t="str">
        <f aca="false">IF($C11472="","",$D11472*IFERROR(INDEX('تحليل التكلفة والسعر'!$C$2:$C$700,MATCH($C11472,'تحليل التكلفة والسعر'!$B$2:$B$700,0)),0))</f>
        <v/>
      </c>
    </row>
    <row r="11473" customFormat="false" ht="15" hidden="false" customHeight="false" outlineLevel="0" collapsed="false">
      <c r="A11473" s="103"/>
      <c r="B11473" s="104"/>
      <c r="C11473" s="104"/>
      <c r="E11473" s="107" t="str">
        <f aca="false">IF($C11473="","",IFERROR(INDEX(المنيو!$C$2:$C$500,MATCH($C11473,المنيو!$B$2:$B$500,0)),0))</f>
        <v/>
      </c>
      <c r="F11473" s="107" t="str">
        <f aca="false">IF($C11473="","",$D11473*$E11473)</f>
        <v/>
      </c>
      <c r="G11473" s="107" t="str">
        <f aca="false">IF($C11473="","",$D11473*IFERROR(INDEX('تحليل التكلفة والسعر'!$C$2:$C$700,MATCH($C11473,'تحليل التكلفة والسعر'!$B$2:$B$700,0)),0))</f>
        <v/>
      </c>
    </row>
    <row r="11474" customFormat="false" ht="15" hidden="false" customHeight="false" outlineLevel="0" collapsed="false">
      <c r="A11474" s="103"/>
      <c r="B11474" s="104"/>
      <c r="C11474" s="104"/>
      <c r="E11474" s="107" t="str">
        <f aca="false">IF($C11474="","",IFERROR(INDEX(المنيو!$C$2:$C$500,MATCH($C11474,المنيو!$B$2:$B$500,0)),0))</f>
        <v/>
      </c>
      <c r="F11474" s="107" t="str">
        <f aca="false">IF($C11474="","",$D11474*$E11474)</f>
        <v/>
      </c>
      <c r="G11474" s="107" t="str">
        <f aca="false">IF($C11474="","",$D11474*IFERROR(INDEX('تحليل التكلفة والسعر'!$C$2:$C$700,MATCH($C11474,'تحليل التكلفة والسعر'!$B$2:$B$700,0)),0))</f>
        <v/>
      </c>
    </row>
    <row r="11475" customFormat="false" ht="15" hidden="false" customHeight="false" outlineLevel="0" collapsed="false">
      <c r="A11475" s="103"/>
      <c r="B11475" s="104"/>
      <c r="C11475" s="104"/>
      <c r="E11475" s="107" t="str">
        <f aca="false">IF($C11475="","",IFERROR(INDEX(المنيو!$C$2:$C$500,MATCH($C11475,المنيو!$B$2:$B$500,0)),0))</f>
        <v/>
      </c>
      <c r="F11475" s="107" t="str">
        <f aca="false">IF($C11475="","",$D11475*$E11475)</f>
        <v/>
      </c>
      <c r="G11475" s="107" t="str">
        <f aca="false">IF($C11475="","",$D11475*IFERROR(INDEX('تحليل التكلفة والسعر'!$C$2:$C$700,MATCH($C11475,'تحليل التكلفة والسعر'!$B$2:$B$700,0)),0))</f>
        <v/>
      </c>
    </row>
    <row r="11476" customFormat="false" ht="15" hidden="false" customHeight="false" outlineLevel="0" collapsed="false">
      <c r="A11476" s="103"/>
      <c r="B11476" s="104"/>
      <c r="C11476" s="104"/>
      <c r="E11476" s="107" t="str">
        <f aca="false">IF($C11476="","",IFERROR(INDEX(المنيو!$C$2:$C$500,MATCH($C11476,المنيو!$B$2:$B$500,0)),0))</f>
        <v/>
      </c>
      <c r="F11476" s="107" t="str">
        <f aca="false">IF($C11476="","",$D11476*$E11476)</f>
        <v/>
      </c>
      <c r="G11476" s="107" t="str">
        <f aca="false">IF($C11476="","",$D11476*IFERROR(INDEX('تحليل التكلفة والسعر'!$C$2:$C$700,MATCH($C11476,'تحليل التكلفة والسعر'!$B$2:$B$700,0)),0))</f>
        <v/>
      </c>
    </row>
    <row r="11477" customFormat="false" ht="15" hidden="false" customHeight="false" outlineLevel="0" collapsed="false">
      <c r="A11477" s="103"/>
      <c r="B11477" s="104"/>
      <c r="C11477" s="104"/>
      <c r="E11477" s="107" t="str">
        <f aca="false">IF($C11477="","",IFERROR(INDEX(المنيو!$C$2:$C$500,MATCH($C11477,المنيو!$B$2:$B$500,0)),0))</f>
        <v/>
      </c>
      <c r="F11477" s="107" t="str">
        <f aca="false">IF($C11477="","",$D11477*$E11477)</f>
        <v/>
      </c>
      <c r="G11477" s="107" t="str">
        <f aca="false">IF($C11477="","",$D11477*IFERROR(INDEX('تحليل التكلفة والسعر'!$C$2:$C$700,MATCH($C11477,'تحليل التكلفة والسعر'!$B$2:$B$700,0)),0))</f>
        <v/>
      </c>
    </row>
    <row r="11478" customFormat="false" ht="15" hidden="false" customHeight="false" outlineLevel="0" collapsed="false">
      <c r="A11478" s="103"/>
      <c r="B11478" s="104"/>
      <c r="C11478" s="104"/>
      <c r="E11478" s="107" t="str">
        <f aca="false">IF($C11478="","",IFERROR(INDEX(المنيو!$C$2:$C$500,MATCH($C11478,المنيو!$B$2:$B$500,0)),0))</f>
        <v/>
      </c>
      <c r="F11478" s="107" t="str">
        <f aca="false">IF($C11478="","",$D11478*$E11478)</f>
        <v/>
      </c>
      <c r="G11478" s="107" t="str">
        <f aca="false">IF($C11478="","",$D11478*IFERROR(INDEX('تحليل التكلفة والسعر'!$C$2:$C$700,MATCH($C11478,'تحليل التكلفة والسعر'!$B$2:$B$700,0)),0))</f>
        <v/>
      </c>
    </row>
    <row r="11479" customFormat="false" ht="15" hidden="false" customHeight="false" outlineLevel="0" collapsed="false">
      <c r="A11479" s="103"/>
      <c r="B11479" s="104"/>
      <c r="C11479" s="104"/>
      <c r="E11479" s="107" t="str">
        <f aca="false">IF($C11479="","",IFERROR(INDEX(المنيو!$C$2:$C$500,MATCH($C11479,المنيو!$B$2:$B$500,0)),0))</f>
        <v/>
      </c>
      <c r="F11479" s="107" t="str">
        <f aca="false">IF($C11479="","",$D11479*$E11479)</f>
        <v/>
      </c>
      <c r="G11479" s="107" t="str">
        <f aca="false">IF($C11479="","",$D11479*IFERROR(INDEX('تحليل التكلفة والسعر'!$C$2:$C$700,MATCH($C11479,'تحليل التكلفة والسعر'!$B$2:$B$700,0)),0))</f>
        <v/>
      </c>
    </row>
    <row r="11480" customFormat="false" ht="15" hidden="false" customHeight="false" outlineLevel="0" collapsed="false">
      <c r="A11480" s="103"/>
      <c r="B11480" s="104"/>
      <c r="C11480" s="104"/>
      <c r="E11480" s="107" t="str">
        <f aca="false">IF($C11480="","",IFERROR(INDEX(المنيو!$C$2:$C$500,MATCH($C11480,المنيو!$B$2:$B$500,0)),0))</f>
        <v/>
      </c>
      <c r="F11480" s="107" t="str">
        <f aca="false">IF($C11480="","",$D11480*$E11480)</f>
        <v/>
      </c>
      <c r="G11480" s="107" t="str">
        <f aca="false">IF($C11480="","",$D11480*IFERROR(INDEX('تحليل التكلفة والسعر'!$C$2:$C$700,MATCH($C11480,'تحليل التكلفة والسعر'!$B$2:$B$700,0)),0))</f>
        <v/>
      </c>
    </row>
    <row r="11481" customFormat="false" ht="15" hidden="false" customHeight="false" outlineLevel="0" collapsed="false">
      <c r="A11481" s="103"/>
      <c r="B11481" s="104"/>
      <c r="C11481" s="104"/>
      <c r="E11481" s="107" t="str">
        <f aca="false">IF($C11481="","",IFERROR(INDEX(المنيو!$C$2:$C$500,MATCH($C11481,المنيو!$B$2:$B$500,0)),0))</f>
        <v/>
      </c>
      <c r="F11481" s="107" t="str">
        <f aca="false">IF($C11481="","",$D11481*$E11481)</f>
        <v/>
      </c>
      <c r="G11481" s="107" t="str">
        <f aca="false">IF($C11481="","",$D11481*IFERROR(INDEX('تحليل التكلفة والسعر'!$C$2:$C$700,MATCH($C11481,'تحليل التكلفة والسعر'!$B$2:$B$700,0)),0))</f>
        <v/>
      </c>
    </row>
    <row r="11482" customFormat="false" ht="15" hidden="false" customHeight="false" outlineLevel="0" collapsed="false">
      <c r="A11482" s="103"/>
      <c r="B11482" s="104"/>
      <c r="C11482" s="104"/>
      <c r="E11482" s="107" t="str">
        <f aca="false">IF($C11482="","",IFERROR(INDEX(المنيو!$C$2:$C$500,MATCH($C11482,المنيو!$B$2:$B$500,0)),0))</f>
        <v/>
      </c>
      <c r="F11482" s="107" t="str">
        <f aca="false">IF($C11482="","",$D11482*$E11482)</f>
        <v/>
      </c>
      <c r="G11482" s="107" t="str">
        <f aca="false">IF($C11482="","",$D11482*IFERROR(INDEX('تحليل التكلفة والسعر'!$C$2:$C$700,MATCH($C11482,'تحليل التكلفة والسعر'!$B$2:$B$700,0)),0))</f>
        <v/>
      </c>
    </row>
    <row r="11483" customFormat="false" ht="15" hidden="false" customHeight="false" outlineLevel="0" collapsed="false">
      <c r="A11483" s="103"/>
      <c r="B11483" s="104"/>
      <c r="C11483" s="104"/>
      <c r="E11483" s="107" t="str">
        <f aca="false">IF($C11483="","",IFERROR(INDEX(المنيو!$C$2:$C$500,MATCH($C11483,المنيو!$B$2:$B$500,0)),0))</f>
        <v/>
      </c>
      <c r="F11483" s="107" t="str">
        <f aca="false">IF($C11483="","",$D11483*$E11483)</f>
        <v/>
      </c>
      <c r="G11483" s="107" t="str">
        <f aca="false">IF($C11483="","",$D11483*IFERROR(INDEX('تحليل التكلفة والسعر'!$C$2:$C$700,MATCH($C11483,'تحليل التكلفة والسعر'!$B$2:$B$700,0)),0))</f>
        <v/>
      </c>
    </row>
    <row r="11484" customFormat="false" ht="15" hidden="false" customHeight="false" outlineLevel="0" collapsed="false">
      <c r="A11484" s="103"/>
      <c r="B11484" s="104"/>
      <c r="C11484" s="104"/>
      <c r="E11484" s="107" t="str">
        <f aca="false">IF($C11484="","",IFERROR(INDEX(المنيو!$C$2:$C$500,MATCH($C11484,المنيو!$B$2:$B$500,0)),0))</f>
        <v/>
      </c>
      <c r="F11484" s="107" t="str">
        <f aca="false">IF($C11484="","",$D11484*$E11484)</f>
        <v/>
      </c>
      <c r="G11484" s="107" t="str">
        <f aca="false">IF($C11484="","",$D11484*IFERROR(INDEX('تحليل التكلفة والسعر'!$C$2:$C$700,MATCH($C11484,'تحليل التكلفة والسعر'!$B$2:$B$700,0)),0))</f>
        <v/>
      </c>
    </row>
    <row r="11485" customFormat="false" ht="15" hidden="false" customHeight="false" outlineLevel="0" collapsed="false">
      <c r="A11485" s="103"/>
      <c r="B11485" s="104"/>
      <c r="C11485" s="104"/>
      <c r="E11485" s="107" t="str">
        <f aca="false">IF($C11485="","",IFERROR(INDEX(المنيو!$C$2:$C$500,MATCH($C11485,المنيو!$B$2:$B$500,0)),0))</f>
        <v/>
      </c>
      <c r="F11485" s="107" t="str">
        <f aca="false">IF($C11485="","",$D11485*$E11485)</f>
        <v/>
      </c>
      <c r="G11485" s="107" t="str">
        <f aca="false">IF($C11485="","",$D11485*IFERROR(INDEX('تحليل التكلفة والسعر'!$C$2:$C$700,MATCH($C11485,'تحليل التكلفة والسعر'!$B$2:$B$700,0)),0))</f>
        <v/>
      </c>
    </row>
    <row r="11486" customFormat="false" ht="15" hidden="false" customHeight="false" outlineLevel="0" collapsed="false">
      <c r="A11486" s="103"/>
      <c r="B11486" s="104"/>
      <c r="C11486" s="104"/>
      <c r="E11486" s="107" t="str">
        <f aca="false">IF($C11486="","",IFERROR(INDEX(المنيو!$C$2:$C$500,MATCH($C11486,المنيو!$B$2:$B$500,0)),0))</f>
        <v/>
      </c>
      <c r="F11486" s="107" t="str">
        <f aca="false">IF($C11486="","",$D11486*$E11486)</f>
        <v/>
      </c>
      <c r="G11486" s="107" t="str">
        <f aca="false">IF($C11486="","",$D11486*IFERROR(INDEX('تحليل التكلفة والسعر'!$C$2:$C$700,MATCH($C11486,'تحليل التكلفة والسعر'!$B$2:$B$700,0)),0))</f>
        <v/>
      </c>
    </row>
    <row r="11487" customFormat="false" ht="15" hidden="false" customHeight="false" outlineLevel="0" collapsed="false">
      <c r="A11487" s="103"/>
      <c r="B11487" s="104"/>
      <c r="C11487" s="104"/>
      <c r="E11487" s="107" t="str">
        <f aca="false">IF($C11487="","",IFERROR(INDEX(المنيو!$C$2:$C$500,MATCH($C11487,المنيو!$B$2:$B$500,0)),0))</f>
        <v/>
      </c>
      <c r="F11487" s="107" t="str">
        <f aca="false">IF($C11487="","",$D11487*$E11487)</f>
        <v/>
      </c>
      <c r="G11487" s="107" t="str">
        <f aca="false">IF($C11487="","",$D11487*IFERROR(INDEX('تحليل التكلفة والسعر'!$C$2:$C$700,MATCH($C11487,'تحليل التكلفة والسعر'!$B$2:$B$700,0)),0))</f>
        <v/>
      </c>
    </row>
    <row r="11488" customFormat="false" ht="15" hidden="false" customHeight="false" outlineLevel="0" collapsed="false">
      <c r="A11488" s="103"/>
      <c r="B11488" s="104"/>
      <c r="C11488" s="104"/>
      <c r="E11488" s="107" t="str">
        <f aca="false">IF($C11488="","",IFERROR(INDEX(المنيو!$C$2:$C$500,MATCH($C11488,المنيو!$B$2:$B$500,0)),0))</f>
        <v/>
      </c>
      <c r="F11488" s="107" t="str">
        <f aca="false">IF($C11488="","",$D11488*$E11488)</f>
        <v/>
      </c>
      <c r="G11488" s="107" t="str">
        <f aca="false">IF($C11488="","",$D11488*IFERROR(INDEX('تحليل التكلفة والسعر'!$C$2:$C$700,MATCH($C11488,'تحليل التكلفة والسعر'!$B$2:$B$700,0)),0))</f>
        <v/>
      </c>
    </row>
    <row r="11489" customFormat="false" ht="15" hidden="false" customHeight="false" outlineLevel="0" collapsed="false">
      <c r="A11489" s="103"/>
      <c r="B11489" s="104"/>
      <c r="C11489" s="104"/>
      <c r="E11489" s="107" t="str">
        <f aca="false">IF($C11489="","",IFERROR(INDEX(المنيو!$C$2:$C$500,MATCH($C11489,المنيو!$B$2:$B$500,0)),0))</f>
        <v/>
      </c>
      <c r="F11489" s="107" t="str">
        <f aca="false">IF($C11489="","",$D11489*$E11489)</f>
        <v/>
      </c>
      <c r="G11489" s="107" t="str">
        <f aca="false">IF($C11489="","",$D11489*IFERROR(INDEX('تحليل التكلفة والسعر'!$C$2:$C$700,MATCH($C11489,'تحليل التكلفة والسعر'!$B$2:$B$700,0)),0))</f>
        <v/>
      </c>
    </row>
    <row r="11490" customFormat="false" ht="15" hidden="false" customHeight="false" outlineLevel="0" collapsed="false">
      <c r="A11490" s="103"/>
      <c r="B11490" s="104"/>
      <c r="C11490" s="104"/>
      <c r="E11490" s="107" t="str">
        <f aca="false">IF($C11490="","",IFERROR(INDEX(المنيو!$C$2:$C$500,MATCH($C11490,المنيو!$B$2:$B$500,0)),0))</f>
        <v/>
      </c>
      <c r="F11490" s="107" t="str">
        <f aca="false">IF($C11490="","",$D11490*$E11490)</f>
        <v/>
      </c>
      <c r="G11490" s="107" t="str">
        <f aca="false">IF($C11490="","",$D11490*IFERROR(INDEX('تحليل التكلفة والسعر'!$C$2:$C$700,MATCH($C11490,'تحليل التكلفة والسعر'!$B$2:$B$700,0)),0))</f>
        <v/>
      </c>
    </row>
    <row r="11491" customFormat="false" ht="15" hidden="false" customHeight="false" outlineLevel="0" collapsed="false">
      <c r="A11491" s="103"/>
      <c r="B11491" s="104"/>
      <c r="C11491" s="104"/>
      <c r="E11491" s="107" t="str">
        <f aca="false">IF($C11491="","",IFERROR(INDEX(المنيو!$C$2:$C$500,MATCH($C11491,المنيو!$B$2:$B$500,0)),0))</f>
        <v/>
      </c>
      <c r="F11491" s="107" t="str">
        <f aca="false">IF($C11491="","",$D11491*$E11491)</f>
        <v/>
      </c>
      <c r="G11491" s="107" t="str">
        <f aca="false">IF($C11491="","",$D11491*IFERROR(INDEX('تحليل التكلفة والسعر'!$C$2:$C$700,MATCH($C11491,'تحليل التكلفة والسعر'!$B$2:$B$700,0)),0))</f>
        <v/>
      </c>
    </row>
    <row r="11492" customFormat="false" ht="15" hidden="false" customHeight="false" outlineLevel="0" collapsed="false">
      <c r="A11492" s="103"/>
      <c r="B11492" s="104"/>
      <c r="C11492" s="104"/>
      <c r="E11492" s="107" t="str">
        <f aca="false">IF($C11492="","",IFERROR(INDEX(المنيو!$C$2:$C$500,MATCH($C11492,المنيو!$B$2:$B$500,0)),0))</f>
        <v/>
      </c>
      <c r="F11492" s="107" t="str">
        <f aca="false">IF($C11492="","",$D11492*$E11492)</f>
        <v/>
      </c>
      <c r="G11492" s="107" t="str">
        <f aca="false">IF($C11492="","",$D11492*IFERROR(INDEX('تحليل التكلفة والسعر'!$C$2:$C$700,MATCH($C11492,'تحليل التكلفة والسعر'!$B$2:$B$700,0)),0))</f>
        <v/>
      </c>
    </row>
    <row r="11493" customFormat="false" ht="15" hidden="false" customHeight="false" outlineLevel="0" collapsed="false">
      <c r="A11493" s="103"/>
      <c r="B11493" s="104"/>
      <c r="C11493" s="104"/>
      <c r="E11493" s="107" t="str">
        <f aca="false">IF($C11493="","",IFERROR(INDEX(المنيو!$C$2:$C$500,MATCH($C11493,المنيو!$B$2:$B$500,0)),0))</f>
        <v/>
      </c>
      <c r="F11493" s="107" t="str">
        <f aca="false">IF($C11493="","",$D11493*$E11493)</f>
        <v/>
      </c>
      <c r="G11493" s="107" t="str">
        <f aca="false">IF($C11493="","",$D11493*IFERROR(INDEX('تحليل التكلفة والسعر'!$C$2:$C$700,MATCH($C11493,'تحليل التكلفة والسعر'!$B$2:$B$700,0)),0))</f>
        <v/>
      </c>
    </row>
    <row r="11494" customFormat="false" ht="15" hidden="false" customHeight="false" outlineLevel="0" collapsed="false">
      <c r="A11494" s="103"/>
      <c r="B11494" s="104"/>
      <c r="C11494" s="104"/>
      <c r="E11494" s="107" t="str">
        <f aca="false">IF($C11494="","",IFERROR(INDEX(المنيو!$C$2:$C$500,MATCH($C11494,المنيو!$B$2:$B$500,0)),0))</f>
        <v/>
      </c>
      <c r="F11494" s="107" t="str">
        <f aca="false">IF($C11494="","",$D11494*$E11494)</f>
        <v/>
      </c>
      <c r="G11494" s="107" t="str">
        <f aca="false">IF($C11494="","",$D11494*IFERROR(INDEX('تحليل التكلفة والسعر'!$C$2:$C$700,MATCH($C11494,'تحليل التكلفة والسعر'!$B$2:$B$700,0)),0))</f>
        <v/>
      </c>
    </row>
    <row r="11495" customFormat="false" ht="15" hidden="false" customHeight="false" outlineLevel="0" collapsed="false">
      <c r="A11495" s="103"/>
      <c r="B11495" s="104"/>
      <c r="C11495" s="104"/>
      <c r="E11495" s="107" t="str">
        <f aca="false">IF($C11495="","",IFERROR(INDEX(المنيو!$C$2:$C$500,MATCH($C11495,المنيو!$B$2:$B$500,0)),0))</f>
        <v/>
      </c>
      <c r="F11495" s="107" t="str">
        <f aca="false">IF($C11495="","",$D11495*$E11495)</f>
        <v/>
      </c>
      <c r="G11495" s="107" t="str">
        <f aca="false">IF($C11495="","",$D11495*IFERROR(INDEX('تحليل التكلفة والسعر'!$C$2:$C$700,MATCH($C11495,'تحليل التكلفة والسعر'!$B$2:$B$700,0)),0))</f>
        <v/>
      </c>
    </row>
    <row r="11496" customFormat="false" ht="15" hidden="false" customHeight="false" outlineLevel="0" collapsed="false">
      <c r="A11496" s="103"/>
      <c r="B11496" s="104"/>
      <c r="C11496" s="104"/>
      <c r="E11496" s="107" t="str">
        <f aca="false">IF($C11496="","",IFERROR(INDEX(المنيو!$C$2:$C$500,MATCH($C11496,المنيو!$B$2:$B$500,0)),0))</f>
        <v/>
      </c>
      <c r="F11496" s="107" t="str">
        <f aca="false">IF($C11496="","",$D11496*$E11496)</f>
        <v/>
      </c>
      <c r="G11496" s="107" t="str">
        <f aca="false">IF($C11496="","",$D11496*IFERROR(INDEX('تحليل التكلفة والسعر'!$C$2:$C$700,MATCH($C11496,'تحليل التكلفة والسعر'!$B$2:$B$700,0)),0))</f>
        <v/>
      </c>
    </row>
    <row r="11497" customFormat="false" ht="15" hidden="false" customHeight="false" outlineLevel="0" collapsed="false">
      <c r="A11497" s="103"/>
      <c r="B11497" s="104"/>
      <c r="C11497" s="104"/>
      <c r="E11497" s="107" t="str">
        <f aca="false">IF($C11497="","",IFERROR(INDEX(المنيو!$C$2:$C$500,MATCH($C11497,المنيو!$B$2:$B$500,0)),0))</f>
        <v/>
      </c>
      <c r="F11497" s="107" t="str">
        <f aca="false">IF($C11497="","",$D11497*$E11497)</f>
        <v/>
      </c>
      <c r="G11497" s="107" t="str">
        <f aca="false">IF($C11497="","",$D11497*IFERROR(INDEX('تحليل التكلفة والسعر'!$C$2:$C$700,MATCH($C11497,'تحليل التكلفة والسعر'!$B$2:$B$700,0)),0))</f>
        <v/>
      </c>
    </row>
    <row r="11498" customFormat="false" ht="15" hidden="false" customHeight="false" outlineLevel="0" collapsed="false">
      <c r="A11498" s="103"/>
      <c r="B11498" s="104"/>
      <c r="C11498" s="104"/>
      <c r="E11498" s="107" t="str">
        <f aca="false">IF($C11498="","",IFERROR(INDEX(المنيو!$C$2:$C$500,MATCH($C11498,المنيو!$B$2:$B$500,0)),0))</f>
        <v/>
      </c>
      <c r="F11498" s="107" t="str">
        <f aca="false">IF($C11498="","",$D11498*$E11498)</f>
        <v/>
      </c>
      <c r="G11498" s="107" t="str">
        <f aca="false">IF($C11498="","",$D11498*IFERROR(INDEX('تحليل التكلفة والسعر'!$C$2:$C$700,MATCH($C11498,'تحليل التكلفة والسعر'!$B$2:$B$700,0)),0))</f>
        <v/>
      </c>
    </row>
    <row r="11499" customFormat="false" ht="15" hidden="false" customHeight="false" outlineLevel="0" collapsed="false">
      <c r="A11499" s="103"/>
      <c r="B11499" s="104"/>
      <c r="C11499" s="104"/>
      <c r="E11499" s="107" t="str">
        <f aca="false">IF($C11499="","",IFERROR(INDEX(المنيو!$C$2:$C$500,MATCH($C11499,المنيو!$B$2:$B$500,0)),0))</f>
        <v/>
      </c>
      <c r="F11499" s="107" t="str">
        <f aca="false">IF($C11499="","",$D11499*$E11499)</f>
        <v/>
      </c>
      <c r="G11499" s="107" t="str">
        <f aca="false">IF($C11499="","",$D11499*IFERROR(INDEX('تحليل التكلفة والسعر'!$C$2:$C$700,MATCH($C11499,'تحليل التكلفة والسعر'!$B$2:$B$700,0)),0))</f>
        <v/>
      </c>
    </row>
    <row r="11500" customFormat="false" ht="15" hidden="false" customHeight="false" outlineLevel="0" collapsed="false">
      <c r="A11500" s="103"/>
      <c r="B11500" s="104"/>
      <c r="C11500" s="104"/>
      <c r="E11500" s="107" t="str">
        <f aca="false">IF($C11500="","",IFERROR(INDEX(المنيو!$C$2:$C$500,MATCH($C11500,المنيو!$B$2:$B$500,0)),0))</f>
        <v/>
      </c>
      <c r="F11500" s="107" t="str">
        <f aca="false">IF($C11500="","",$D11500*$E11500)</f>
        <v/>
      </c>
      <c r="G11500" s="107" t="str">
        <f aca="false">IF($C11500="","",$D11500*IFERROR(INDEX('تحليل التكلفة والسعر'!$C$2:$C$700,MATCH($C11500,'تحليل التكلفة والسعر'!$B$2:$B$700,0)),0))</f>
        <v/>
      </c>
    </row>
    <row r="11501" customFormat="false" ht="15" hidden="false" customHeight="false" outlineLevel="0" collapsed="false">
      <c r="A11501" s="103"/>
      <c r="B11501" s="104"/>
      <c r="C11501" s="104"/>
      <c r="E11501" s="107" t="str">
        <f aca="false">IF($C11501="","",IFERROR(INDEX(المنيو!$C$2:$C$500,MATCH($C11501,المنيو!$B$2:$B$500,0)),0))</f>
        <v/>
      </c>
      <c r="F11501" s="107" t="str">
        <f aca="false">IF($C11501="","",$D11501*$E11501)</f>
        <v/>
      </c>
      <c r="G11501" s="107" t="str">
        <f aca="false">IF($C11501="","",$D11501*IFERROR(INDEX('تحليل التكلفة والسعر'!$C$2:$C$700,MATCH($C11501,'تحليل التكلفة والسعر'!$B$2:$B$700,0)),0))</f>
        <v/>
      </c>
    </row>
    <row r="11502" customFormat="false" ht="15" hidden="false" customHeight="false" outlineLevel="0" collapsed="false">
      <c r="A11502" s="103"/>
      <c r="B11502" s="104"/>
      <c r="C11502" s="104"/>
      <c r="E11502" s="107" t="str">
        <f aca="false">IF($C11502="","",IFERROR(INDEX(المنيو!$C$2:$C$500,MATCH($C11502,المنيو!$B$2:$B$500,0)),0))</f>
        <v/>
      </c>
      <c r="F11502" s="107" t="str">
        <f aca="false">IF($C11502="","",$D11502*$E11502)</f>
        <v/>
      </c>
      <c r="G11502" s="107" t="str">
        <f aca="false">IF($C11502="","",$D11502*IFERROR(INDEX('تحليل التكلفة والسعر'!$C$2:$C$700,MATCH($C11502,'تحليل التكلفة والسعر'!$B$2:$B$700,0)),0))</f>
        <v/>
      </c>
    </row>
    <row r="11503" customFormat="false" ht="15" hidden="false" customHeight="false" outlineLevel="0" collapsed="false">
      <c r="A11503" s="103"/>
      <c r="B11503" s="104"/>
      <c r="C11503" s="104"/>
      <c r="E11503" s="107" t="str">
        <f aca="false">IF($C11503="","",IFERROR(INDEX(المنيو!$C$2:$C$500,MATCH($C11503,المنيو!$B$2:$B$500,0)),0))</f>
        <v/>
      </c>
      <c r="F11503" s="107" t="str">
        <f aca="false">IF($C11503="","",$D11503*$E11503)</f>
        <v/>
      </c>
      <c r="G11503" s="107" t="str">
        <f aca="false">IF($C11503="","",$D11503*IFERROR(INDEX('تحليل التكلفة والسعر'!$C$2:$C$700,MATCH($C11503,'تحليل التكلفة والسعر'!$B$2:$B$700,0)),0))</f>
        <v/>
      </c>
    </row>
    <row r="11504" customFormat="false" ht="15" hidden="false" customHeight="false" outlineLevel="0" collapsed="false">
      <c r="A11504" s="103"/>
      <c r="B11504" s="104"/>
      <c r="C11504" s="104"/>
      <c r="E11504" s="107" t="str">
        <f aca="false">IF($C11504="","",IFERROR(INDEX(المنيو!$C$2:$C$500,MATCH($C11504,المنيو!$B$2:$B$500,0)),0))</f>
        <v/>
      </c>
      <c r="F11504" s="107" t="str">
        <f aca="false">IF($C11504="","",$D11504*$E11504)</f>
        <v/>
      </c>
      <c r="G11504" s="107" t="str">
        <f aca="false">IF($C11504="","",$D11504*IFERROR(INDEX('تحليل التكلفة والسعر'!$C$2:$C$700,MATCH($C11504,'تحليل التكلفة والسعر'!$B$2:$B$700,0)),0))</f>
        <v/>
      </c>
    </row>
    <row r="11505" customFormat="false" ht="15" hidden="false" customHeight="false" outlineLevel="0" collapsed="false">
      <c r="A11505" s="103"/>
      <c r="B11505" s="104"/>
      <c r="C11505" s="104"/>
      <c r="E11505" s="107" t="str">
        <f aca="false">IF($C11505="","",IFERROR(INDEX(المنيو!$C$2:$C$500,MATCH($C11505,المنيو!$B$2:$B$500,0)),0))</f>
        <v/>
      </c>
      <c r="F11505" s="107" t="str">
        <f aca="false">IF($C11505="","",$D11505*$E11505)</f>
        <v/>
      </c>
      <c r="G11505" s="107" t="str">
        <f aca="false">IF($C11505="","",$D11505*IFERROR(INDEX('تحليل التكلفة والسعر'!$C$2:$C$700,MATCH($C11505,'تحليل التكلفة والسعر'!$B$2:$B$700,0)),0))</f>
        <v/>
      </c>
    </row>
    <row r="11506" customFormat="false" ht="15" hidden="false" customHeight="false" outlineLevel="0" collapsed="false">
      <c r="A11506" s="103"/>
      <c r="B11506" s="104"/>
      <c r="C11506" s="104"/>
      <c r="E11506" s="107" t="str">
        <f aca="false">IF($C11506="","",IFERROR(INDEX(المنيو!$C$2:$C$500,MATCH($C11506,المنيو!$B$2:$B$500,0)),0))</f>
        <v/>
      </c>
      <c r="F11506" s="107" t="str">
        <f aca="false">IF($C11506="","",$D11506*$E11506)</f>
        <v/>
      </c>
      <c r="G11506" s="107" t="str">
        <f aca="false">IF($C11506="","",$D11506*IFERROR(INDEX('تحليل التكلفة والسعر'!$C$2:$C$700,MATCH($C11506,'تحليل التكلفة والسعر'!$B$2:$B$700,0)),0))</f>
        <v/>
      </c>
    </row>
    <row r="11507" customFormat="false" ht="15" hidden="false" customHeight="false" outlineLevel="0" collapsed="false">
      <c r="A11507" s="103"/>
      <c r="B11507" s="104"/>
      <c r="C11507" s="104"/>
      <c r="E11507" s="107" t="str">
        <f aca="false">IF($C11507="","",IFERROR(INDEX(المنيو!$C$2:$C$500,MATCH($C11507,المنيو!$B$2:$B$500,0)),0))</f>
        <v/>
      </c>
      <c r="F11507" s="107" t="str">
        <f aca="false">IF($C11507="","",$D11507*$E11507)</f>
        <v/>
      </c>
      <c r="G11507" s="107" t="str">
        <f aca="false">IF($C11507="","",$D11507*IFERROR(INDEX('تحليل التكلفة والسعر'!$C$2:$C$700,MATCH($C11507,'تحليل التكلفة والسعر'!$B$2:$B$700,0)),0))</f>
        <v/>
      </c>
    </row>
    <row r="11508" customFormat="false" ht="15" hidden="false" customHeight="false" outlineLevel="0" collapsed="false">
      <c r="A11508" s="103"/>
      <c r="B11508" s="104"/>
      <c r="C11508" s="104"/>
      <c r="E11508" s="107" t="str">
        <f aca="false">IF($C11508="","",IFERROR(INDEX(المنيو!$C$2:$C$500,MATCH($C11508,المنيو!$B$2:$B$500,0)),0))</f>
        <v/>
      </c>
      <c r="F11508" s="107" t="str">
        <f aca="false">IF($C11508="","",$D11508*$E11508)</f>
        <v/>
      </c>
      <c r="G11508" s="107" t="str">
        <f aca="false">IF($C11508="","",$D11508*IFERROR(INDEX('تحليل التكلفة والسعر'!$C$2:$C$700,MATCH($C11508,'تحليل التكلفة والسعر'!$B$2:$B$700,0)),0))</f>
        <v/>
      </c>
    </row>
    <row r="11509" customFormat="false" ht="15" hidden="false" customHeight="false" outlineLevel="0" collapsed="false">
      <c r="A11509" s="103"/>
      <c r="B11509" s="104"/>
      <c r="C11509" s="104"/>
      <c r="E11509" s="107" t="str">
        <f aca="false">IF($C11509="","",IFERROR(INDEX(المنيو!$C$2:$C$500,MATCH($C11509,المنيو!$B$2:$B$500,0)),0))</f>
        <v/>
      </c>
      <c r="F11509" s="107" t="str">
        <f aca="false">IF($C11509="","",$D11509*$E11509)</f>
        <v/>
      </c>
      <c r="G11509" s="107" t="str">
        <f aca="false">IF($C11509="","",$D11509*IFERROR(INDEX('تحليل التكلفة والسعر'!$C$2:$C$700,MATCH($C11509,'تحليل التكلفة والسعر'!$B$2:$B$700,0)),0))</f>
        <v/>
      </c>
    </row>
    <row r="11510" customFormat="false" ht="15" hidden="false" customHeight="false" outlineLevel="0" collapsed="false">
      <c r="A11510" s="103"/>
      <c r="B11510" s="104"/>
      <c r="C11510" s="104"/>
      <c r="E11510" s="107" t="str">
        <f aca="false">IF($C11510="","",IFERROR(INDEX(المنيو!$C$2:$C$500,MATCH($C11510,المنيو!$B$2:$B$500,0)),0))</f>
        <v/>
      </c>
      <c r="F11510" s="107" t="str">
        <f aca="false">IF($C11510="","",$D11510*$E11510)</f>
        <v/>
      </c>
      <c r="G11510" s="107" t="str">
        <f aca="false">IF($C11510="","",$D11510*IFERROR(INDEX('تحليل التكلفة والسعر'!$C$2:$C$700,MATCH($C11510,'تحليل التكلفة والسعر'!$B$2:$B$700,0)),0))</f>
        <v/>
      </c>
    </row>
    <row r="11511" customFormat="false" ht="15" hidden="false" customHeight="false" outlineLevel="0" collapsed="false">
      <c r="A11511" s="103"/>
      <c r="B11511" s="104"/>
      <c r="C11511" s="104"/>
      <c r="E11511" s="107" t="str">
        <f aca="false">IF($C11511="","",IFERROR(INDEX(المنيو!$C$2:$C$500,MATCH($C11511,المنيو!$B$2:$B$500,0)),0))</f>
        <v/>
      </c>
      <c r="F11511" s="107" t="str">
        <f aca="false">IF($C11511="","",$D11511*$E11511)</f>
        <v/>
      </c>
      <c r="G11511" s="107" t="str">
        <f aca="false">IF($C11511="","",$D11511*IFERROR(INDEX('تحليل التكلفة والسعر'!$C$2:$C$700,MATCH($C11511,'تحليل التكلفة والسعر'!$B$2:$B$700,0)),0))</f>
        <v/>
      </c>
    </row>
    <row r="11512" customFormat="false" ht="15" hidden="false" customHeight="false" outlineLevel="0" collapsed="false">
      <c r="A11512" s="103"/>
      <c r="B11512" s="104"/>
      <c r="C11512" s="104"/>
      <c r="E11512" s="107" t="str">
        <f aca="false">IF($C11512="","",IFERROR(INDEX(المنيو!$C$2:$C$500,MATCH($C11512,المنيو!$B$2:$B$500,0)),0))</f>
        <v/>
      </c>
      <c r="F11512" s="107" t="str">
        <f aca="false">IF($C11512="","",$D11512*$E11512)</f>
        <v/>
      </c>
      <c r="G11512" s="107" t="str">
        <f aca="false">IF($C11512="","",$D11512*IFERROR(INDEX('تحليل التكلفة والسعر'!$C$2:$C$700,MATCH($C11512,'تحليل التكلفة والسعر'!$B$2:$B$700,0)),0))</f>
        <v/>
      </c>
    </row>
    <row r="11513" customFormat="false" ht="15" hidden="false" customHeight="false" outlineLevel="0" collapsed="false">
      <c r="A11513" s="103"/>
      <c r="B11513" s="104"/>
      <c r="C11513" s="104"/>
      <c r="E11513" s="107" t="str">
        <f aca="false">IF($C11513="","",IFERROR(INDEX(المنيو!$C$2:$C$500,MATCH($C11513,المنيو!$B$2:$B$500,0)),0))</f>
        <v/>
      </c>
      <c r="F11513" s="107" t="str">
        <f aca="false">IF($C11513="","",$D11513*$E11513)</f>
        <v/>
      </c>
      <c r="G11513" s="107" t="str">
        <f aca="false">IF($C11513="","",$D11513*IFERROR(INDEX('تحليل التكلفة والسعر'!$C$2:$C$700,MATCH($C11513,'تحليل التكلفة والسعر'!$B$2:$B$700,0)),0))</f>
        <v/>
      </c>
    </row>
    <row r="11514" customFormat="false" ht="15" hidden="false" customHeight="false" outlineLevel="0" collapsed="false">
      <c r="A11514" s="103"/>
      <c r="B11514" s="104"/>
      <c r="C11514" s="104"/>
      <c r="E11514" s="107" t="str">
        <f aca="false">IF($C11514="","",IFERROR(INDEX(المنيو!$C$2:$C$500,MATCH($C11514,المنيو!$B$2:$B$500,0)),0))</f>
        <v/>
      </c>
      <c r="F11514" s="107" t="str">
        <f aca="false">IF($C11514="","",$D11514*$E11514)</f>
        <v/>
      </c>
      <c r="G11514" s="107" t="str">
        <f aca="false">IF($C11514="","",$D11514*IFERROR(INDEX('تحليل التكلفة والسعر'!$C$2:$C$700,MATCH($C11514,'تحليل التكلفة والسعر'!$B$2:$B$700,0)),0))</f>
        <v/>
      </c>
    </row>
    <row r="11515" customFormat="false" ht="15" hidden="false" customHeight="false" outlineLevel="0" collapsed="false">
      <c r="A11515" s="103"/>
      <c r="B11515" s="104"/>
      <c r="C11515" s="104"/>
      <c r="E11515" s="107" t="str">
        <f aca="false">IF($C11515="","",IFERROR(INDEX(المنيو!$C$2:$C$500,MATCH($C11515,المنيو!$B$2:$B$500,0)),0))</f>
        <v/>
      </c>
      <c r="F11515" s="107" t="str">
        <f aca="false">IF($C11515="","",$D11515*$E11515)</f>
        <v/>
      </c>
      <c r="G11515" s="107" t="str">
        <f aca="false">IF($C11515="","",$D11515*IFERROR(INDEX('تحليل التكلفة والسعر'!$C$2:$C$700,MATCH($C11515,'تحليل التكلفة والسعر'!$B$2:$B$700,0)),0))</f>
        <v/>
      </c>
    </row>
    <row r="11516" customFormat="false" ht="15" hidden="false" customHeight="false" outlineLevel="0" collapsed="false">
      <c r="A11516" s="103"/>
      <c r="B11516" s="104"/>
      <c r="C11516" s="104"/>
      <c r="E11516" s="107" t="str">
        <f aca="false">IF($C11516="","",IFERROR(INDEX(المنيو!$C$2:$C$500,MATCH($C11516,المنيو!$B$2:$B$500,0)),0))</f>
        <v/>
      </c>
      <c r="F11516" s="107" t="str">
        <f aca="false">IF($C11516="","",$D11516*$E11516)</f>
        <v/>
      </c>
      <c r="G11516" s="107" t="str">
        <f aca="false">IF($C11516="","",$D11516*IFERROR(INDEX('تحليل التكلفة والسعر'!$C$2:$C$700,MATCH($C11516,'تحليل التكلفة والسعر'!$B$2:$B$700,0)),0))</f>
        <v/>
      </c>
    </row>
    <row r="11517" customFormat="false" ht="15" hidden="false" customHeight="false" outlineLevel="0" collapsed="false">
      <c r="A11517" s="103"/>
      <c r="B11517" s="104"/>
      <c r="C11517" s="104"/>
      <c r="E11517" s="107" t="str">
        <f aca="false">IF($C11517="","",IFERROR(INDEX(المنيو!$C$2:$C$500,MATCH($C11517,المنيو!$B$2:$B$500,0)),0))</f>
        <v/>
      </c>
      <c r="F11517" s="107" t="str">
        <f aca="false">IF($C11517="","",$D11517*$E11517)</f>
        <v/>
      </c>
      <c r="G11517" s="107" t="str">
        <f aca="false">IF($C11517="","",$D11517*IFERROR(INDEX('تحليل التكلفة والسعر'!$C$2:$C$700,MATCH($C11517,'تحليل التكلفة والسعر'!$B$2:$B$700,0)),0))</f>
        <v/>
      </c>
    </row>
    <row r="11518" customFormat="false" ht="15" hidden="false" customHeight="false" outlineLevel="0" collapsed="false">
      <c r="A11518" s="103"/>
      <c r="B11518" s="104"/>
      <c r="C11518" s="104"/>
      <c r="E11518" s="107" t="str">
        <f aca="false">IF($C11518="","",IFERROR(INDEX(المنيو!$C$2:$C$500,MATCH($C11518,المنيو!$B$2:$B$500,0)),0))</f>
        <v/>
      </c>
      <c r="F11518" s="107" t="str">
        <f aca="false">IF($C11518="","",$D11518*$E11518)</f>
        <v/>
      </c>
      <c r="G11518" s="107" t="str">
        <f aca="false">IF($C11518="","",$D11518*IFERROR(INDEX('تحليل التكلفة والسعر'!$C$2:$C$700,MATCH($C11518,'تحليل التكلفة والسعر'!$B$2:$B$700,0)),0))</f>
        <v/>
      </c>
    </row>
    <row r="11519" customFormat="false" ht="15" hidden="false" customHeight="false" outlineLevel="0" collapsed="false">
      <c r="A11519" s="103"/>
      <c r="B11519" s="104"/>
      <c r="C11519" s="104"/>
      <c r="E11519" s="107" t="str">
        <f aca="false">IF($C11519="","",IFERROR(INDEX(المنيو!$C$2:$C$500,MATCH($C11519,المنيو!$B$2:$B$500,0)),0))</f>
        <v/>
      </c>
      <c r="F11519" s="107" t="str">
        <f aca="false">IF($C11519="","",$D11519*$E11519)</f>
        <v/>
      </c>
      <c r="G11519" s="107" t="str">
        <f aca="false">IF($C11519="","",$D11519*IFERROR(INDEX('تحليل التكلفة والسعر'!$C$2:$C$700,MATCH($C11519,'تحليل التكلفة والسعر'!$B$2:$B$700,0)),0))</f>
        <v/>
      </c>
    </row>
    <row r="11520" customFormat="false" ht="15" hidden="false" customHeight="false" outlineLevel="0" collapsed="false">
      <c r="A11520" s="103"/>
      <c r="B11520" s="104"/>
      <c r="C11520" s="104"/>
      <c r="E11520" s="107" t="str">
        <f aca="false">IF($C11520="","",IFERROR(INDEX(المنيو!$C$2:$C$500,MATCH($C11520,المنيو!$B$2:$B$500,0)),0))</f>
        <v/>
      </c>
      <c r="F11520" s="107" t="str">
        <f aca="false">IF($C11520="","",$D11520*$E11520)</f>
        <v/>
      </c>
      <c r="G11520" s="107" t="str">
        <f aca="false">IF($C11520="","",$D11520*IFERROR(INDEX('تحليل التكلفة والسعر'!$C$2:$C$700,MATCH($C11520,'تحليل التكلفة والسعر'!$B$2:$B$700,0)),0))</f>
        <v/>
      </c>
    </row>
    <row r="11521" customFormat="false" ht="15" hidden="false" customHeight="false" outlineLevel="0" collapsed="false">
      <c r="A11521" s="103"/>
      <c r="B11521" s="104"/>
      <c r="C11521" s="104"/>
      <c r="E11521" s="107" t="str">
        <f aca="false">IF($C11521="","",IFERROR(INDEX(المنيو!$C$2:$C$500,MATCH($C11521,المنيو!$B$2:$B$500,0)),0))</f>
        <v/>
      </c>
      <c r="F11521" s="107" t="str">
        <f aca="false">IF($C11521="","",$D11521*$E11521)</f>
        <v/>
      </c>
      <c r="G11521" s="107" t="str">
        <f aca="false">IF($C11521="","",$D11521*IFERROR(INDEX('تحليل التكلفة والسعر'!$C$2:$C$700,MATCH($C11521,'تحليل التكلفة والسعر'!$B$2:$B$700,0)),0))</f>
        <v/>
      </c>
    </row>
    <row r="11522" customFormat="false" ht="15" hidden="false" customHeight="false" outlineLevel="0" collapsed="false">
      <c r="A11522" s="103"/>
      <c r="B11522" s="104"/>
      <c r="C11522" s="104"/>
      <c r="E11522" s="107" t="str">
        <f aca="false">IF($C11522="","",IFERROR(INDEX(المنيو!$C$2:$C$500,MATCH($C11522,المنيو!$B$2:$B$500,0)),0))</f>
        <v/>
      </c>
      <c r="F11522" s="107" t="str">
        <f aca="false">IF($C11522="","",$D11522*$E11522)</f>
        <v/>
      </c>
      <c r="G11522" s="107" t="str">
        <f aca="false">IF($C11522="","",$D11522*IFERROR(INDEX('تحليل التكلفة والسعر'!$C$2:$C$700,MATCH($C11522,'تحليل التكلفة والسعر'!$B$2:$B$700,0)),0))</f>
        <v/>
      </c>
    </row>
    <row r="11523" customFormat="false" ht="15" hidden="false" customHeight="false" outlineLevel="0" collapsed="false">
      <c r="A11523" s="103"/>
      <c r="B11523" s="104"/>
      <c r="C11523" s="104"/>
      <c r="E11523" s="107" t="str">
        <f aca="false">IF($C11523="","",IFERROR(INDEX(المنيو!$C$2:$C$500,MATCH($C11523,المنيو!$B$2:$B$500,0)),0))</f>
        <v/>
      </c>
      <c r="F11523" s="107" t="str">
        <f aca="false">IF($C11523="","",$D11523*$E11523)</f>
        <v/>
      </c>
      <c r="G11523" s="107" t="str">
        <f aca="false">IF($C11523="","",$D11523*IFERROR(INDEX('تحليل التكلفة والسعر'!$C$2:$C$700,MATCH($C11523,'تحليل التكلفة والسعر'!$B$2:$B$700,0)),0))</f>
        <v/>
      </c>
    </row>
    <row r="11524" customFormat="false" ht="15" hidden="false" customHeight="false" outlineLevel="0" collapsed="false">
      <c r="A11524" s="103"/>
      <c r="B11524" s="104"/>
      <c r="C11524" s="104"/>
      <c r="E11524" s="107" t="str">
        <f aca="false">IF($C11524="","",IFERROR(INDEX(المنيو!$C$2:$C$500,MATCH($C11524,المنيو!$B$2:$B$500,0)),0))</f>
        <v/>
      </c>
      <c r="F11524" s="107" t="str">
        <f aca="false">IF($C11524="","",$D11524*$E11524)</f>
        <v/>
      </c>
      <c r="G11524" s="107" t="str">
        <f aca="false">IF($C11524="","",$D11524*IFERROR(INDEX('تحليل التكلفة والسعر'!$C$2:$C$700,MATCH($C11524,'تحليل التكلفة والسعر'!$B$2:$B$700,0)),0))</f>
        <v/>
      </c>
    </row>
    <row r="11525" customFormat="false" ht="15" hidden="false" customHeight="false" outlineLevel="0" collapsed="false">
      <c r="A11525" s="103"/>
      <c r="B11525" s="104"/>
      <c r="C11525" s="104"/>
      <c r="E11525" s="107" t="str">
        <f aca="false">IF($C11525="","",IFERROR(INDEX(المنيو!$C$2:$C$500,MATCH($C11525,المنيو!$B$2:$B$500,0)),0))</f>
        <v/>
      </c>
      <c r="F11525" s="107" t="str">
        <f aca="false">IF($C11525="","",$D11525*$E11525)</f>
        <v/>
      </c>
      <c r="G11525" s="107" t="str">
        <f aca="false">IF($C11525="","",$D11525*IFERROR(INDEX('تحليل التكلفة والسعر'!$C$2:$C$700,MATCH($C11525,'تحليل التكلفة والسعر'!$B$2:$B$700,0)),0))</f>
        <v/>
      </c>
    </row>
    <row r="11526" customFormat="false" ht="15" hidden="false" customHeight="false" outlineLevel="0" collapsed="false">
      <c r="A11526" s="103"/>
      <c r="B11526" s="104"/>
      <c r="C11526" s="104"/>
      <c r="E11526" s="107" t="str">
        <f aca="false">IF($C11526="","",IFERROR(INDEX(المنيو!$C$2:$C$500,MATCH($C11526,المنيو!$B$2:$B$500,0)),0))</f>
        <v/>
      </c>
      <c r="F11526" s="107" t="str">
        <f aca="false">IF($C11526="","",$D11526*$E11526)</f>
        <v/>
      </c>
      <c r="G11526" s="107" t="str">
        <f aca="false">IF($C11526="","",$D11526*IFERROR(INDEX('تحليل التكلفة والسعر'!$C$2:$C$700,MATCH($C11526,'تحليل التكلفة والسعر'!$B$2:$B$700,0)),0))</f>
        <v/>
      </c>
    </row>
    <row r="11527" customFormat="false" ht="15" hidden="false" customHeight="false" outlineLevel="0" collapsed="false">
      <c r="A11527" s="103"/>
      <c r="B11527" s="104"/>
      <c r="C11527" s="104"/>
      <c r="E11527" s="107" t="str">
        <f aca="false">IF($C11527="","",IFERROR(INDEX(المنيو!$C$2:$C$500,MATCH($C11527,المنيو!$B$2:$B$500,0)),0))</f>
        <v/>
      </c>
      <c r="F11527" s="107" t="str">
        <f aca="false">IF($C11527="","",$D11527*$E11527)</f>
        <v/>
      </c>
      <c r="G11527" s="107" t="str">
        <f aca="false">IF($C11527="","",$D11527*IFERROR(INDEX('تحليل التكلفة والسعر'!$C$2:$C$700,MATCH($C11527,'تحليل التكلفة والسعر'!$B$2:$B$700,0)),0))</f>
        <v/>
      </c>
    </row>
    <row r="11528" customFormat="false" ht="15" hidden="false" customHeight="false" outlineLevel="0" collapsed="false">
      <c r="A11528" s="103"/>
      <c r="B11528" s="104"/>
      <c r="C11528" s="104"/>
      <c r="E11528" s="107" t="str">
        <f aca="false">IF($C11528="","",IFERROR(INDEX(المنيو!$C$2:$C$500,MATCH($C11528,المنيو!$B$2:$B$500,0)),0))</f>
        <v/>
      </c>
      <c r="F11528" s="107" t="str">
        <f aca="false">IF($C11528="","",$D11528*$E11528)</f>
        <v/>
      </c>
      <c r="G11528" s="107" t="str">
        <f aca="false">IF($C11528="","",$D11528*IFERROR(INDEX('تحليل التكلفة والسعر'!$C$2:$C$700,MATCH($C11528,'تحليل التكلفة والسعر'!$B$2:$B$700,0)),0))</f>
        <v/>
      </c>
    </row>
    <row r="11529" customFormat="false" ht="15" hidden="false" customHeight="false" outlineLevel="0" collapsed="false">
      <c r="A11529" s="103"/>
      <c r="B11529" s="104"/>
      <c r="C11529" s="104"/>
      <c r="E11529" s="107" t="str">
        <f aca="false">IF($C11529="","",IFERROR(INDEX(المنيو!$C$2:$C$500,MATCH($C11529,المنيو!$B$2:$B$500,0)),0))</f>
        <v/>
      </c>
      <c r="F11529" s="107" t="str">
        <f aca="false">IF($C11529="","",$D11529*$E11529)</f>
        <v/>
      </c>
      <c r="G11529" s="107" t="str">
        <f aca="false">IF($C11529="","",$D11529*IFERROR(INDEX('تحليل التكلفة والسعر'!$C$2:$C$700,MATCH($C11529,'تحليل التكلفة والسعر'!$B$2:$B$700,0)),0))</f>
        <v/>
      </c>
    </row>
    <row r="11530" customFormat="false" ht="15" hidden="false" customHeight="false" outlineLevel="0" collapsed="false">
      <c r="A11530" s="103"/>
      <c r="B11530" s="104"/>
      <c r="C11530" s="104"/>
      <c r="E11530" s="107" t="str">
        <f aca="false">IF($C11530="","",IFERROR(INDEX(المنيو!$C$2:$C$500,MATCH($C11530,المنيو!$B$2:$B$500,0)),0))</f>
        <v/>
      </c>
      <c r="F11530" s="107" t="str">
        <f aca="false">IF($C11530="","",$D11530*$E11530)</f>
        <v/>
      </c>
      <c r="G11530" s="107" t="str">
        <f aca="false">IF($C11530="","",$D11530*IFERROR(INDEX('تحليل التكلفة والسعر'!$C$2:$C$700,MATCH($C11530,'تحليل التكلفة والسعر'!$B$2:$B$700,0)),0))</f>
        <v/>
      </c>
    </row>
    <row r="11531" customFormat="false" ht="15" hidden="false" customHeight="false" outlineLevel="0" collapsed="false">
      <c r="A11531" s="103"/>
      <c r="B11531" s="104"/>
      <c r="C11531" s="104"/>
      <c r="E11531" s="107" t="str">
        <f aca="false">IF($C11531="","",IFERROR(INDEX(المنيو!$C$2:$C$500,MATCH($C11531,المنيو!$B$2:$B$500,0)),0))</f>
        <v/>
      </c>
      <c r="F11531" s="107" t="str">
        <f aca="false">IF($C11531="","",$D11531*$E11531)</f>
        <v/>
      </c>
      <c r="G11531" s="107" t="str">
        <f aca="false">IF($C11531="","",$D11531*IFERROR(INDEX('تحليل التكلفة والسعر'!$C$2:$C$700,MATCH($C11531,'تحليل التكلفة والسعر'!$B$2:$B$700,0)),0))</f>
        <v/>
      </c>
    </row>
    <row r="11532" customFormat="false" ht="15" hidden="false" customHeight="false" outlineLevel="0" collapsed="false">
      <c r="A11532" s="103"/>
      <c r="B11532" s="104"/>
      <c r="C11532" s="104"/>
      <c r="E11532" s="107" t="str">
        <f aca="false">IF($C11532="","",IFERROR(INDEX(المنيو!$C$2:$C$500,MATCH($C11532,المنيو!$B$2:$B$500,0)),0))</f>
        <v/>
      </c>
      <c r="F11532" s="107" t="str">
        <f aca="false">IF($C11532="","",$D11532*$E11532)</f>
        <v/>
      </c>
      <c r="G11532" s="107" t="str">
        <f aca="false">IF($C11532="","",$D11532*IFERROR(INDEX('تحليل التكلفة والسعر'!$C$2:$C$700,MATCH($C11532,'تحليل التكلفة والسعر'!$B$2:$B$700,0)),0))</f>
        <v/>
      </c>
    </row>
    <row r="11533" customFormat="false" ht="15" hidden="false" customHeight="false" outlineLevel="0" collapsed="false">
      <c r="A11533" s="103"/>
      <c r="B11533" s="104"/>
      <c r="C11533" s="104"/>
      <c r="E11533" s="107" t="str">
        <f aca="false">IF($C11533="","",IFERROR(INDEX(المنيو!$C$2:$C$500,MATCH($C11533,المنيو!$B$2:$B$500,0)),0))</f>
        <v/>
      </c>
      <c r="F11533" s="107" t="str">
        <f aca="false">IF($C11533="","",$D11533*$E11533)</f>
        <v/>
      </c>
      <c r="G11533" s="107" t="str">
        <f aca="false">IF($C11533="","",$D11533*IFERROR(INDEX('تحليل التكلفة والسعر'!$C$2:$C$700,MATCH($C11533,'تحليل التكلفة والسعر'!$B$2:$B$700,0)),0))</f>
        <v/>
      </c>
    </row>
    <row r="11534" customFormat="false" ht="15" hidden="false" customHeight="false" outlineLevel="0" collapsed="false">
      <c r="A11534" s="103"/>
      <c r="B11534" s="104"/>
      <c r="C11534" s="104"/>
      <c r="E11534" s="107" t="str">
        <f aca="false">IF($C11534="","",IFERROR(INDEX(المنيو!$C$2:$C$500,MATCH($C11534,المنيو!$B$2:$B$500,0)),0))</f>
        <v/>
      </c>
      <c r="F11534" s="107" t="str">
        <f aca="false">IF($C11534="","",$D11534*$E11534)</f>
        <v/>
      </c>
      <c r="G11534" s="107" t="str">
        <f aca="false">IF($C11534="","",$D11534*IFERROR(INDEX('تحليل التكلفة والسعر'!$C$2:$C$700,MATCH($C11534,'تحليل التكلفة والسعر'!$B$2:$B$700,0)),0))</f>
        <v/>
      </c>
    </row>
    <row r="11535" customFormat="false" ht="15" hidden="false" customHeight="false" outlineLevel="0" collapsed="false">
      <c r="A11535" s="103"/>
      <c r="B11535" s="104"/>
      <c r="C11535" s="104"/>
      <c r="E11535" s="107" t="str">
        <f aca="false">IF($C11535="","",IFERROR(INDEX(المنيو!$C$2:$C$500,MATCH($C11535,المنيو!$B$2:$B$500,0)),0))</f>
        <v/>
      </c>
      <c r="F11535" s="107" t="str">
        <f aca="false">IF($C11535="","",$D11535*$E11535)</f>
        <v/>
      </c>
      <c r="G11535" s="107" t="str">
        <f aca="false">IF($C11535="","",$D11535*IFERROR(INDEX('تحليل التكلفة والسعر'!$C$2:$C$700,MATCH($C11535,'تحليل التكلفة والسعر'!$B$2:$B$700,0)),0))</f>
        <v/>
      </c>
    </row>
    <row r="11536" customFormat="false" ht="15" hidden="false" customHeight="false" outlineLevel="0" collapsed="false">
      <c r="A11536" s="103"/>
      <c r="B11536" s="104"/>
      <c r="C11536" s="104"/>
      <c r="E11536" s="107" t="str">
        <f aca="false">IF($C11536="","",IFERROR(INDEX(المنيو!$C$2:$C$500,MATCH($C11536,المنيو!$B$2:$B$500,0)),0))</f>
        <v/>
      </c>
      <c r="F11536" s="107" t="str">
        <f aca="false">IF($C11536="","",$D11536*$E11536)</f>
        <v/>
      </c>
      <c r="G11536" s="107" t="str">
        <f aca="false">IF($C11536="","",$D11536*IFERROR(INDEX('تحليل التكلفة والسعر'!$C$2:$C$700,MATCH($C11536,'تحليل التكلفة والسعر'!$B$2:$B$700,0)),0))</f>
        <v/>
      </c>
    </row>
    <row r="11537" customFormat="false" ht="15" hidden="false" customHeight="false" outlineLevel="0" collapsed="false">
      <c r="A11537" s="103"/>
      <c r="B11537" s="104"/>
      <c r="C11537" s="104"/>
      <c r="E11537" s="107" t="str">
        <f aca="false">IF($C11537="","",IFERROR(INDEX(المنيو!$C$2:$C$500,MATCH($C11537,المنيو!$B$2:$B$500,0)),0))</f>
        <v/>
      </c>
      <c r="F11537" s="107" t="str">
        <f aca="false">IF($C11537="","",$D11537*$E11537)</f>
        <v/>
      </c>
      <c r="G11537" s="107" t="str">
        <f aca="false">IF($C11537="","",$D11537*IFERROR(INDEX('تحليل التكلفة والسعر'!$C$2:$C$700,MATCH($C11537,'تحليل التكلفة والسعر'!$B$2:$B$700,0)),0))</f>
        <v/>
      </c>
    </row>
    <row r="11538" customFormat="false" ht="15" hidden="false" customHeight="false" outlineLevel="0" collapsed="false">
      <c r="A11538" s="103"/>
      <c r="B11538" s="104"/>
      <c r="C11538" s="104"/>
      <c r="E11538" s="107" t="str">
        <f aca="false">IF($C11538="","",IFERROR(INDEX(المنيو!$C$2:$C$500,MATCH($C11538,المنيو!$B$2:$B$500,0)),0))</f>
        <v/>
      </c>
      <c r="F11538" s="107" t="str">
        <f aca="false">IF($C11538="","",$D11538*$E11538)</f>
        <v/>
      </c>
      <c r="G11538" s="107" t="str">
        <f aca="false">IF($C11538="","",$D11538*IFERROR(INDEX('تحليل التكلفة والسعر'!$C$2:$C$700,MATCH($C11538,'تحليل التكلفة والسعر'!$B$2:$B$700,0)),0))</f>
        <v/>
      </c>
    </row>
    <row r="11539" customFormat="false" ht="15" hidden="false" customHeight="false" outlineLevel="0" collapsed="false">
      <c r="A11539" s="103"/>
      <c r="B11539" s="104"/>
      <c r="C11539" s="104"/>
      <c r="E11539" s="107" t="str">
        <f aca="false">IF($C11539="","",IFERROR(INDEX(المنيو!$C$2:$C$500,MATCH($C11539,المنيو!$B$2:$B$500,0)),0))</f>
        <v/>
      </c>
      <c r="F11539" s="107" t="str">
        <f aca="false">IF($C11539="","",$D11539*$E11539)</f>
        <v/>
      </c>
      <c r="G11539" s="107" t="str">
        <f aca="false">IF($C11539="","",$D11539*IFERROR(INDEX('تحليل التكلفة والسعر'!$C$2:$C$700,MATCH($C11539,'تحليل التكلفة والسعر'!$B$2:$B$700,0)),0))</f>
        <v/>
      </c>
    </row>
    <row r="11540" customFormat="false" ht="15" hidden="false" customHeight="false" outlineLevel="0" collapsed="false">
      <c r="A11540" s="103"/>
      <c r="B11540" s="104"/>
      <c r="C11540" s="104"/>
      <c r="E11540" s="107" t="str">
        <f aca="false">IF($C11540="","",IFERROR(INDEX(المنيو!$C$2:$C$500,MATCH($C11540,المنيو!$B$2:$B$500,0)),0))</f>
        <v/>
      </c>
      <c r="F11540" s="107" t="str">
        <f aca="false">IF($C11540="","",$D11540*$E11540)</f>
        <v/>
      </c>
      <c r="G11540" s="107" t="str">
        <f aca="false">IF($C11540="","",$D11540*IFERROR(INDEX('تحليل التكلفة والسعر'!$C$2:$C$700,MATCH($C11540,'تحليل التكلفة والسعر'!$B$2:$B$700,0)),0))</f>
        <v/>
      </c>
    </row>
    <row r="11541" customFormat="false" ht="15" hidden="false" customHeight="false" outlineLevel="0" collapsed="false">
      <c r="A11541" s="103"/>
      <c r="B11541" s="104"/>
      <c r="C11541" s="104"/>
      <c r="E11541" s="107" t="str">
        <f aca="false">IF($C11541="","",IFERROR(INDEX(المنيو!$C$2:$C$500,MATCH($C11541,المنيو!$B$2:$B$500,0)),0))</f>
        <v/>
      </c>
      <c r="F11541" s="107" t="str">
        <f aca="false">IF($C11541="","",$D11541*$E11541)</f>
        <v/>
      </c>
      <c r="G11541" s="107" t="str">
        <f aca="false">IF($C11541="","",$D11541*IFERROR(INDEX('تحليل التكلفة والسعر'!$C$2:$C$700,MATCH($C11541,'تحليل التكلفة والسعر'!$B$2:$B$700,0)),0))</f>
        <v/>
      </c>
    </row>
    <row r="11542" customFormat="false" ht="15" hidden="false" customHeight="false" outlineLevel="0" collapsed="false">
      <c r="A11542" s="103"/>
      <c r="B11542" s="104"/>
      <c r="C11542" s="104"/>
      <c r="E11542" s="107" t="str">
        <f aca="false">IF($C11542="","",IFERROR(INDEX(المنيو!$C$2:$C$500,MATCH($C11542,المنيو!$B$2:$B$500,0)),0))</f>
        <v/>
      </c>
      <c r="F11542" s="107" t="str">
        <f aca="false">IF($C11542="","",$D11542*$E11542)</f>
        <v/>
      </c>
      <c r="G11542" s="107" t="str">
        <f aca="false">IF($C11542="","",$D11542*IFERROR(INDEX('تحليل التكلفة والسعر'!$C$2:$C$700,MATCH($C11542,'تحليل التكلفة والسعر'!$B$2:$B$700,0)),0))</f>
        <v/>
      </c>
    </row>
    <row r="11543" customFormat="false" ht="15" hidden="false" customHeight="false" outlineLevel="0" collapsed="false">
      <c r="A11543" s="103"/>
      <c r="B11543" s="104"/>
      <c r="C11543" s="104"/>
      <c r="E11543" s="107" t="str">
        <f aca="false">IF($C11543="","",IFERROR(INDEX(المنيو!$C$2:$C$500,MATCH($C11543,المنيو!$B$2:$B$500,0)),0))</f>
        <v/>
      </c>
      <c r="F11543" s="107" t="str">
        <f aca="false">IF($C11543="","",$D11543*$E11543)</f>
        <v/>
      </c>
      <c r="G11543" s="107" t="str">
        <f aca="false">IF($C11543="","",$D11543*IFERROR(INDEX('تحليل التكلفة والسعر'!$C$2:$C$700,MATCH($C11543,'تحليل التكلفة والسعر'!$B$2:$B$700,0)),0))</f>
        <v/>
      </c>
    </row>
    <row r="11544" customFormat="false" ht="15" hidden="false" customHeight="false" outlineLevel="0" collapsed="false">
      <c r="A11544" s="103"/>
      <c r="B11544" s="104"/>
      <c r="C11544" s="104"/>
      <c r="E11544" s="107" t="str">
        <f aca="false">IF($C11544="","",IFERROR(INDEX(المنيو!$C$2:$C$500,MATCH($C11544,المنيو!$B$2:$B$500,0)),0))</f>
        <v/>
      </c>
      <c r="F11544" s="107" t="str">
        <f aca="false">IF($C11544="","",$D11544*$E11544)</f>
        <v/>
      </c>
      <c r="G11544" s="107" t="str">
        <f aca="false">IF($C11544="","",$D11544*IFERROR(INDEX('تحليل التكلفة والسعر'!$C$2:$C$700,MATCH($C11544,'تحليل التكلفة والسعر'!$B$2:$B$700,0)),0))</f>
        <v/>
      </c>
    </row>
    <row r="11545" customFormat="false" ht="15" hidden="false" customHeight="false" outlineLevel="0" collapsed="false">
      <c r="A11545" s="103"/>
      <c r="B11545" s="104"/>
      <c r="C11545" s="104"/>
      <c r="E11545" s="107" t="str">
        <f aca="false">IF($C11545="","",IFERROR(INDEX(المنيو!$C$2:$C$500,MATCH($C11545,المنيو!$B$2:$B$500,0)),0))</f>
        <v/>
      </c>
      <c r="F11545" s="107" t="str">
        <f aca="false">IF($C11545="","",$D11545*$E11545)</f>
        <v/>
      </c>
      <c r="G11545" s="107" t="str">
        <f aca="false">IF($C11545="","",$D11545*IFERROR(INDEX('تحليل التكلفة والسعر'!$C$2:$C$700,MATCH($C11545,'تحليل التكلفة والسعر'!$B$2:$B$700,0)),0))</f>
        <v/>
      </c>
    </row>
    <row r="11546" customFormat="false" ht="15" hidden="false" customHeight="false" outlineLevel="0" collapsed="false">
      <c r="A11546" s="103"/>
      <c r="B11546" s="104"/>
      <c r="C11546" s="104"/>
      <c r="E11546" s="107" t="str">
        <f aca="false">IF($C11546="","",IFERROR(INDEX(المنيو!$C$2:$C$500,MATCH($C11546,المنيو!$B$2:$B$500,0)),0))</f>
        <v/>
      </c>
      <c r="F11546" s="107" t="str">
        <f aca="false">IF($C11546="","",$D11546*$E11546)</f>
        <v/>
      </c>
      <c r="G11546" s="107" t="str">
        <f aca="false">IF($C11546="","",$D11546*IFERROR(INDEX('تحليل التكلفة والسعر'!$C$2:$C$700,MATCH($C11546,'تحليل التكلفة والسعر'!$B$2:$B$700,0)),0))</f>
        <v/>
      </c>
    </row>
    <row r="11547" customFormat="false" ht="15" hidden="false" customHeight="false" outlineLevel="0" collapsed="false">
      <c r="A11547" s="103"/>
      <c r="B11547" s="104"/>
      <c r="C11547" s="104"/>
      <c r="E11547" s="107" t="str">
        <f aca="false">IF($C11547="","",IFERROR(INDEX(المنيو!$C$2:$C$500,MATCH($C11547,المنيو!$B$2:$B$500,0)),0))</f>
        <v/>
      </c>
      <c r="F11547" s="107" t="str">
        <f aca="false">IF($C11547="","",$D11547*$E11547)</f>
        <v/>
      </c>
      <c r="G11547" s="107" t="str">
        <f aca="false">IF($C11547="","",$D11547*IFERROR(INDEX('تحليل التكلفة والسعر'!$C$2:$C$700,MATCH($C11547,'تحليل التكلفة والسعر'!$B$2:$B$700,0)),0))</f>
        <v/>
      </c>
    </row>
    <row r="11548" customFormat="false" ht="15" hidden="false" customHeight="false" outlineLevel="0" collapsed="false">
      <c r="A11548" s="103"/>
      <c r="B11548" s="104"/>
      <c r="C11548" s="104"/>
      <c r="E11548" s="107" t="str">
        <f aca="false">IF($C11548="","",IFERROR(INDEX(المنيو!$C$2:$C$500,MATCH($C11548,المنيو!$B$2:$B$500,0)),0))</f>
        <v/>
      </c>
      <c r="F11548" s="107" t="str">
        <f aca="false">IF($C11548="","",$D11548*$E11548)</f>
        <v/>
      </c>
      <c r="G11548" s="107" t="str">
        <f aca="false">IF($C11548="","",$D11548*IFERROR(INDEX('تحليل التكلفة والسعر'!$C$2:$C$700,MATCH($C11548,'تحليل التكلفة والسعر'!$B$2:$B$700,0)),0))</f>
        <v/>
      </c>
    </row>
    <row r="11549" customFormat="false" ht="15" hidden="false" customHeight="false" outlineLevel="0" collapsed="false">
      <c r="A11549" s="103"/>
      <c r="B11549" s="104"/>
      <c r="C11549" s="104"/>
      <c r="E11549" s="107" t="str">
        <f aca="false">IF($C11549="","",IFERROR(INDEX(المنيو!$C$2:$C$500,MATCH($C11549,المنيو!$B$2:$B$500,0)),0))</f>
        <v/>
      </c>
      <c r="F11549" s="107" t="str">
        <f aca="false">IF($C11549="","",$D11549*$E11549)</f>
        <v/>
      </c>
      <c r="G11549" s="107" t="str">
        <f aca="false">IF($C11549="","",$D11549*IFERROR(INDEX('تحليل التكلفة والسعر'!$C$2:$C$700,MATCH($C11549,'تحليل التكلفة والسعر'!$B$2:$B$700,0)),0))</f>
        <v/>
      </c>
    </row>
    <row r="11550" customFormat="false" ht="15" hidden="false" customHeight="false" outlineLevel="0" collapsed="false">
      <c r="A11550" s="103"/>
      <c r="B11550" s="104"/>
      <c r="C11550" s="104"/>
      <c r="E11550" s="107" t="str">
        <f aca="false">IF($C11550="","",IFERROR(INDEX(المنيو!$C$2:$C$500,MATCH($C11550,المنيو!$B$2:$B$500,0)),0))</f>
        <v/>
      </c>
      <c r="F11550" s="107" t="str">
        <f aca="false">IF($C11550="","",$D11550*$E11550)</f>
        <v/>
      </c>
      <c r="G11550" s="107" t="str">
        <f aca="false">IF($C11550="","",$D11550*IFERROR(INDEX('تحليل التكلفة والسعر'!$C$2:$C$700,MATCH($C11550,'تحليل التكلفة والسعر'!$B$2:$B$700,0)),0))</f>
        <v/>
      </c>
    </row>
    <row r="11551" customFormat="false" ht="15" hidden="false" customHeight="false" outlineLevel="0" collapsed="false">
      <c r="A11551" s="103"/>
      <c r="B11551" s="104"/>
      <c r="C11551" s="104"/>
      <c r="E11551" s="107" t="str">
        <f aca="false">IF($C11551="","",IFERROR(INDEX(المنيو!$C$2:$C$500,MATCH($C11551,المنيو!$B$2:$B$500,0)),0))</f>
        <v/>
      </c>
      <c r="F11551" s="107" t="str">
        <f aca="false">IF($C11551="","",$D11551*$E11551)</f>
        <v/>
      </c>
      <c r="G11551" s="107" t="str">
        <f aca="false">IF($C11551="","",$D11551*IFERROR(INDEX('تحليل التكلفة والسعر'!$C$2:$C$700,MATCH($C11551,'تحليل التكلفة والسعر'!$B$2:$B$700,0)),0))</f>
        <v/>
      </c>
    </row>
    <row r="11552" customFormat="false" ht="15" hidden="false" customHeight="false" outlineLevel="0" collapsed="false">
      <c r="A11552" s="103"/>
      <c r="B11552" s="104"/>
      <c r="C11552" s="104"/>
      <c r="E11552" s="107" t="str">
        <f aca="false">IF($C11552="","",IFERROR(INDEX(المنيو!$C$2:$C$500,MATCH($C11552,المنيو!$B$2:$B$500,0)),0))</f>
        <v/>
      </c>
      <c r="F11552" s="107" t="str">
        <f aca="false">IF($C11552="","",$D11552*$E11552)</f>
        <v/>
      </c>
      <c r="G11552" s="107" t="str">
        <f aca="false">IF($C11552="","",$D11552*IFERROR(INDEX('تحليل التكلفة والسعر'!$C$2:$C$700,MATCH($C11552,'تحليل التكلفة والسعر'!$B$2:$B$700,0)),0))</f>
        <v/>
      </c>
    </row>
    <row r="11553" customFormat="false" ht="15" hidden="false" customHeight="false" outlineLevel="0" collapsed="false">
      <c r="A11553" s="103"/>
      <c r="B11553" s="104"/>
      <c r="C11553" s="104"/>
      <c r="E11553" s="107" t="str">
        <f aca="false">IF($C11553="","",IFERROR(INDEX(المنيو!$C$2:$C$500,MATCH($C11553,المنيو!$B$2:$B$500,0)),0))</f>
        <v/>
      </c>
      <c r="F11553" s="107" t="str">
        <f aca="false">IF($C11553="","",$D11553*$E11553)</f>
        <v/>
      </c>
      <c r="G11553" s="107" t="str">
        <f aca="false">IF($C11553="","",$D11553*IFERROR(INDEX('تحليل التكلفة والسعر'!$C$2:$C$700,MATCH($C11553,'تحليل التكلفة والسعر'!$B$2:$B$700,0)),0))</f>
        <v/>
      </c>
    </row>
    <row r="11554" customFormat="false" ht="15" hidden="false" customHeight="false" outlineLevel="0" collapsed="false">
      <c r="A11554" s="103"/>
      <c r="B11554" s="104"/>
      <c r="C11554" s="104"/>
      <c r="E11554" s="107" t="str">
        <f aca="false">IF($C11554="","",IFERROR(INDEX(المنيو!$C$2:$C$500,MATCH($C11554,المنيو!$B$2:$B$500,0)),0))</f>
        <v/>
      </c>
      <c r="F11554" s="107" t="str">
        <f aca="false">IF($C11554="","",$D11554*$E11554)</f>
        <v/>
      </c>
      <c r="G11554" s="107" t="str">
        <f aca="false">IF($C11554="","",$D11554*IFERROR(INDEX('تحليل التكلفة والسعر'!$C$2:$C$700,MATCH($C11554,'تحليل التكلفة والسعر'!$B$2:$B$700,0)),0))</f>
        <v/>
      </c>
    </row>
    <row r="11555" customFormat="false" ht="15" hidden="false" customHeight="false" outlineLevel="0" collapsed="false">
      <c r="A11555" s="103"/>
      <c r="B11555" s="104"/>
      <c r="C11555" s="104"/>
      <c r="E11555" s="107" t="str">
        <f aca="false">IF($C11555="","",IFERROR(INDEX(المنيو!$C$2:$C$500,MATCH($C11555,المنيو!$B$2:$B$500,0)),0))</f>
        <v/>
      </c>
      <c r="F11555" s="107" t="str">
        <f aca="false">IF($C11555="","",$D11555*$E11555)</f>
        <v/>
      </c>
      <c r="G11555" s="107" t="str">
        <f aca="false">IF($C11555="","",$D11555*IFERROR(INDEX('تحليل التكلفة والسعر'!$C$2:$C$700,MATCH($C11555,'تحليل التكلفة والسعر'!$B$2:$B$700,0)),0))</f>
        <v/>
      </c>
    </row>
    <row r="11556" customFormat="false" ht="15" hidden="false" customHeight="false" outlineLevel="0" collapsed="false">
      <c r="A11556" s="103"/>
      <c r="B11556" s="104"/>
      <c r="C11556" s="104"/>
      <c r="E11556" s="107" t="str">
        <f aca="false">IF($C11556="","",IFERROR(INDEX(المنيو!$C$2:$C$500,MATCH($C11556,المنيو!$B$2:$B$500,0)),0))</f>
        <v/>
      </c>
      <c r="F11556" s="107" t="str">
        <f aca="false">IF($C11556="","",$D11556*$E11556)</f>
        <v/>
      </c>
      <c r="G11556" s="107" t="str">
        <f aca="false">IF($C11556="","",$D11556*IFERROR(INDEX('تحليل التكلفة والسعر'!$C$2:$C$700,MATCH($C11556,'تحليل التكلفة والسعر'!$B$2:$B$700,0)),0))</f>
        <v/>
      </c>
    </row>
    <row r="11557" customFormat="false" ht="15" hidden="false" customHeight="false" outlineLevel="0" collapsed="false">
      <c r="A11557" s="103"/>
      <c r="B11557" s="104"/>
      <c r="C11557" s="104"/>
      <c r="E11557" s="107" t="str">
        <f aca="false">IF($C11557="","",IFERROR(INDEX(المنيو!$C$2:$C$500,MATCH($C11557,المنيو!$B$2:$B$500,0)),0))</f>
        <v/>
      </c>
      <c r="F11557" s="107" t="str">
        <f aca="false">IF($C11557="","",$D11557*$E11557)</f>
        <v/>
      </c>
      <c r="G11557" s="107" t="str">
        <f aca="false">IF($C11557="","",$D11557*IFERROR(INDEX('تحليل التكلفة والسعر'!$C$2:$C$700,MATCH($C11557,'تحليل التكلفة والسعر'!$B$2:$B$700,0)),0))</f>
        <v/>
      </c>
    </row>
    <row r="11558" customFormat="false" ht="15" hidden="false" customHeight="false" outlineLevel="0" collapsed="false">
      <c r="A11558" s="103"/>
      <c r="B11558" s="104"/>
      <c r="C11558" s="104"/>
      <c r="E11558" s="107" t="str">
        <f aca="false">IF($C11558="","",IFERROR(INDEX(المنيو!$C$2:$C$500,MATCH($C11558,المنيو!$B$2:$B$500,0)),0))</f>
        <v/>
      </c>
      <c r="F11558" s="107" t="str">
        <f aca="false">IF($C11558="","",$D11558*$E11558)</f>
        <v/>
      </c>
      <c r="G11558" s="107" t="str">
        <f aca="false">IF($C11558="","",$D11558*IFERROR(INDEX('تحليل التكلفة والسعر'!$C$2:$C$700,MATCH($C11558,'تحليل التكلفة والسعر'!$B$2:$B$700,0)),0))</f>
        <v/>
      </c>
    </row>
    <row r="11559" customFormat="false" ht="15" hidden="false" customHeight="false" outlineLevel="0" collapsed="false">
      <c r="A11559" s="103"/>
      <c r="B11559" s="104"/>
      <c r="C11559" s="104"/>
      <c r="E11559" s="107" t="str">
        <f aca="false">IF($C11559="","",IFERROR(INDEX(المنيو!$C$2:$C$500,MATCH($C11559,المنيو!$B$2:$B$500,0)),0))</f>
        <v/>
      </c>
      <c r="F11559" s="107" t="str">
        <f aca="false">IF($C11559="","",$D11559*$E11559)</f>
        <v/>
      </c>
      <c r="G11559" s="107" t="str">
        <f aca="false">IF($C11559="","",$D11559*IFERROR(INDEX('تحليل التكلفة والسعر'!$C$2:$C$700,MATCH($C11559,'تحليل التكلفة والسعر'!$B$2:$B$700,0)),0))</f>
        <v/>
      </c>
    </row>
    <row r="11560" customFormat="false" ht="15" hidden="false" customHeight="false" outlineLevel="0" collapsed="false">
      <c r="A11560" s="103"/>
      <c r="B11560" s="104"/>
      <c r="C11560" s="104"/>
      <c r="E11560" s="107" t="str">
        <f aca="false">IF($C11560="","",IFERROR(INDEX(المنيو!$C$2:$C$500,MATCH($C11560,المنيو!$B$2:$B$500,0)),0))</f>
        <v/>
      </c>
      <c r="F11560" s="107" t="str">
        <f aca="false">IF($C11560="","",$D11560*$E11560)</f>
        <v/>
      </c>
      <c r="G11560" s="107" t="str">
        <f aca="false">IF($C11560="","",$D11560*IFERROR(INDEX('تحليل التكلفة والسعر'!$C$2:$C$700,MATCH($C11560,'تحليل التكلفة والسعر'!$B$2:$B$700,0)),0))</f>
        <v/>
      </c>
    </row>
    <row r="11561" customFormat="false" ht="15" hidden="false" customHeight="false" outlineLevel="0" collapsed="false">
      <c r="A11561" s="103"/>
      <c r="B11561" s="104"/>
      <c r="C11561" s="104"/>
      <c r="E11561" s="107" t="str">
        <f aca="false">IF($C11561="","",IFERROR(INDEX(المنيو!$C$2:$C$500,MATCH($C11561,المنيو!$B$2:$B$500,0)),0))</f>
        <v/>
      </c>
      <c r="F11561" s="107" t="str">
        <f aca="false">IF($C11561="","",$D11561*$E11561)</f>
        <v/>
      </c>
      <c r="G11561" s="107" t="str">
        <f aca="false">IF($C11561="","",$D11561*IFERROR(INDEX('تحليل التكلفة والسعر'!$C$2:$C$700,MATCH($C11561,'تحليل التكلفة والسعر'!$B$2:$B$700,0)),0))</f>
        <v/>
      </c>
    </row>
    <row r="11562" customFormat="false" ht="15" hidden="false" customHeight="false" outlineLevel="0" collapsed="false">
      <c r="A11562" s="103"/>
      <c r="B11562" s="104"/>
      <c r="C11562" s="104"/>
      <c r="E11562" s="107" t="str">
        <f aca="false">IF($C11562="","",IFERROR(INDEX(المنيو!$C$2:$C$500,MATCH($C11562,المنيو!$B$2:$B$500,0)),0))</f>
        <v/>
      </c>
      <c r="F11562" s="107" t="str">
        <f aca="false">IF($C11562="","",$D11562*$E11562)</f>
        <v/>
      </c>
      <c r="G11562" s="107" t="str">
        <f aca="false">IF($C11562="","",$D11562*IFERROR(INDEX('تحليل التكلفة والسعر'!$C$2:$C$700,MATCH($C11562,'تحليل التكلفة والسعر'!$B$2:$B$700,0)),0))</f>
        <v/>
      </c>
    </row>
    <row r="11563" customFormat="false" ht="15" hidden="false" customHeight="false" outlineLevel="0" collapsed="false">
      <c r="A11563" s="103"/>
      <c r="B11563" s="104"/>
      <c r="C11563" s="104"/>
      <c r="E11563" s="107" t="str">
        <f aca="false">IF($C11563="","",IFERROR(INDEX(المنيو!$C$2:$C$500,MATCH($C11563,المنيو!$B$2:$B$500,0)),0))</f>
        <v/>
      </c>
      <c r="F11563" s="107" t="str">
        <f aca="false">IF($C11563="","",$D11563*$E11563)</f>
        <v/>
      </c>
      <c r="G11563" s="107" t="str">
        <f aca="false">IF($C11563="","",$D11563*IFERROR(INDEX('تحليل التكلفة والسعر'!$C$2:$C$700,MATCH($C11563,'تحليل التكلفة والسعر'!$B$2:$B$700,0)),0))</f>
        <v/>
      </c>
    </row>
    <row r="11564" customFormat="false" ht="15" hidden="false" customHeight="false" outlineLevel="0" collapsed="false">
      <c r="A11564" s="103"/>
      <c r="B11564" s="104"/>
      <c r="C11564" s="104"/>
      <c r="E11564" s="107" t="str">
        <f aca="false">IF($C11564="","",IFERROR(INDEX(المنيو!$C$2:$C$500,MATCH($C11564,المنيو!$B$2:$B$500,0)),0))</f>
        <v/>
      </c>
      <c r="F11564" s="107" t="str">
        <f aca="false">IF($C11564="","",$D11564*$E11564)</f>
        <v/>
      </c>
      <c r="G11564" s="107" t="str">
        <f aca="false">IF($C11564="","",$D11564*IFERROR(INDEX('تحليل التكلفة والسعر'!$C$2:$C$700,MATCH($C11564,'تحليل التكلفة والسعر'!$B$2:$B$700,0)),0))</f>
        <v/>
      </c>
    </row>
    <row r="11565" customFormat="false" ht="15" hidden="false" customHeight="false" outlineLevel="0" collapsed="false">
      <c r="A11565" s="103"/>
      <c r="B11565" s="104"/>
      <c r="C11565" s="104"/>
      <c r="E11565" s="107" t="str">
        <f aca="false">IF($C11565="","",IFERROR(INDEX(المنيو!$C$2:$C$500,MATCH($C11565,المنيو!$B$2:$B$500,0)),0))</f>
        <v/>
      </c>
      <c r="F11565" s="107" t="str">
        <f aca="false">IF($C11565="","",$D11565*$E11565)</f>
        <v/>
      </c>
      <c r="G11565" s="107" t="str">
        <f aca="false">IF($C11565="","",$D11565*IFERROR(INDEX('تحليل التكلفة والسعر'!$C$2:$C$700,MATCH($C11565,'تحليل التكلفة والسعر'!$B$2:$B$700,0)),0))</f>
        <v/>
      </c>
    </row>
    <row r="11566" customFormat="false" ht="15" hidden="false" customHeight="false" outlineLevel="0" collapsed="false">
      <c r="A11566" s="103"/>
      <c r="B11566" s="104"/>
      <c r="C11566" s="104"/>
      <c r="E11566" s="107" t="str">
        <f aca="false">IF($C11566="","",IFERROR(INDEX(المنيو!$C$2:$C$500,MATCH($C11566,المنيو!$B$2:$B$500,0)),0))</f>
        <v/>
      </c>
      <c r="F11566" s="107" t="str">
        <f aca="false">IF($C11566="","",$D11566*$E11566)</f>
        <v/>
      </c>
      <c r="G11566" s="107" t="str">
        <f aca="false">IF($C11566="","",$D11566*IFERROR(INDEX('تحليل التكلفة والسعر'!$C$2:$C$700,MATCH($C11566,'تحليل التكلفة والسعر'!$B$2:$B$700,0)),0))</f>
        <v/>
      </c>
    </row>
    <row r="11567" customFormat="false" ht="15" hidden="false" customHeight="false" outlineLevel="0" collapsed="false">
      <c r="A11567" s="103"/>
      <c r="B11567" s="104"/>
      <c r="C11567" s="104"/>
      <c r="E11567" s="107" t="str">
        <f aca="false">IF($C11567="","",IFERROR(INDEX(المنيو!$C$2:$C$500,MATCH($C11567,المنيو!$B$2:$B$500,0)),0))</f>
        <v/>
      </c>
      <c r="F11567" s="107" t="str">
        <f aca="false">IF($C11567="","",$D11567*$E11567)</f>
        <v/>
      </c>
      <c r="G11567" s="107" t="str">
        <f aca="false">IF($C11567="","",$D11567*IFERROR(INDEX('تحليل التكلفة والسعر'!$C$2:$C$700,MATCH($C11567,'تحليل التكلفة والسعر'!$B$2:$B$700,0)),0))</f>
        <v/>
      </c>
    </row>
    <row r="11568" customFormat="false" ht="15" hidden="false" customHeight="false" outlineLevel="0" collapsed="false">
      <c r="A11568" s="103"/>
      <c r="B11568" s="104"/>
      <c r="C11568" s="104"/>
      <c r="E11568" s="107" t="str">
        <f aca="false">IF($C11568="","",IFERROR(INDEX(المنيو!$C$2:$C$500,MATCH($C11568,المنيو!$B$2:$B$500,0)),0))</f>
        <v/>
      </c>
      <c r="F11568" s="107" t="str">
        <f aca="false">IF($C11568="","",$D11568*$E11568)</f>
        <v/>
      </c>
      <c r="G11568" s="107" t="str">
        <f aca="false">IF($C11568="","",$D11568*IFERROR(INDEX('تحليل التكلفة والسعر'!$C$2:$C$700,MATCH($C11568,'تحليل التكلفة والسعر'!$B$2:$B$700,0)),0))</f>
        <v/>
      </c>
    </row>
    <row r="11569" customFormat="false" ht="15" hidden="false" customHeight="false" outlineLevel="0" collapsed="false">
      <c r="A11569" s="103"/>
      <c r="B11569" s="104"/>
      <c r="C11569" s="104"/>
      <c r="E11569" s="107" t="str">
        <f aca="false">IF($C11569="","",IFERROR(INDEX(المنيو!$C$2:$C$500,MATCH($C11569,المنيو!$B$2:$B$500,0)),0))</f>
        <v/>
      </c>
      <c r="F11569" s="107" t="str">
        <f aca="false">IF($C11569="","",$D11569*$E11569)</f>
        <v/>
      </c>
      <c r="G11569" s="107" t="str">
        <f aca="false">IF($C11569="","",$D11569*IFERROR(INDEX('تحليل التكلفة والسعر'!$C$2:$C$700,MATCH($C11569,'تحليل التكلفة والسعر'!$B$2:$B$700,0)),0))</f>
        <v/>
      </c>
    </row>
    <row r="11570" customFormat="false" ht="15" hidden="false" customHeight="false" outlineLevel="0" collapsed="false">
      <c r="A11570" s="103"/>
      <c r="B11570" s="104"/>
      <c r="C11570" s="104"/>
      <c r="E11570" s="107" t="str">
        <f aca="false">IF($C11570="","",IFERROR(INDEX(المنيو!$C$2:$C$500,MATCH($C11570,المنيو!$B$2:$B$500,0)),0))</f>
        <v/>
      </c>
      <c r="F11570" s="107" t="str">
        <f aca="false">IF($C11570="","",$D11570*$E11570)</f>
        <v/>
      </c>
      <c r="G11570" s="107" t="str">
        <f aca="false">IF($C11570="","",$D11570*IFERROR(INDEX('تحليل التكلفة والسعر'!$C$2:$C$700,MATCH($C11570,'تحليل التكلفة والسعر'!$B$2:$B$700,0)),0))</f>
        <v/>
      </c>
    </row>
    <row r="11571" customFormat="false" ht="15" hidden="false" customHeight="false" outlineLevel="0" collapsed="false">
      <c r="A11571" s="103"/>
      <c r="B11571" s="104"/>
      <c r="C11571" s="104"/>
      <c r="E11571" s="107" t="str">
        <f aca="false">IF($C11571="","",IFERROR(INDEX(المنيو!$C$2:$C$500,MATCH($C11571,المنيو!$B$2:$B$500,0)),0))</f>
        <v/>
      </c>
      <c r="F11571" s="107" t="str">
        <f aca="false">IF($C11571="","",$D11571*$E11571)</f>
        <v/>
      </c>
      <c r="G11571" s="107" t="str">
        <f aca="false">IF($C11571="","",$D11571*IFERROR(INDEX('تحليل التكلفة والسعر'!$C$2:$C$700,MATCH($C11571,'تحليل التكلفة والسعر'!$B$2:$B$700,0)),0))</f>
        <v/>
      </c>
    </row>
    <row r="11572" customFormat="false" ht="15" hidden="false" customHeight="false" outlineLevel="0" collapsed="false">
      <c r="A11572" s="103"/>
      <c r="B11572" s="104"/>
      <c r="C11572" s="104"/>
      <c r="E11572" s="107" t="str">
        <f aca="false">IF($C11572="","",IFERROR(INDEX(المنيو!$C$2:$C$500,MATCH($C11572,المنيو!$B$2:$B$500,0)),0))</f>
        <v/>
      </c>
      <c r="F11572" s="107" t="str">
        <f aca="false">IF($C11572="","",$D11572*$E11572)</f>
        <v/>
      </c>
      <c r="G11572" s="107" t="str">
        <f aca="false">IF($C11572="","",$D11572*IFERROR(INDEX('تحليل التكلفة والسعر'!$C$2:$C$700,MATCH($C11572,'تحليل التكلفة والسعر'!$B$2:$B$700,0)),0))</f>
        <v/>
      </c>
    </row>
    <row r="11573" customFormat="false" ht="15" hidden="false" customHeight="false" outlineLevel="0" collapsed="false">
      <c r="A11573" s="103"/>
      <c r="B11573" s="104"/>
      <c r="C11573" s="104"/>
      <c r="E11573" s="107" t="str">
        <f aca="false">IF($C11573="","",IFERROR(INDEX(المنيو!$C$2:$C$500,MATCH($C11573,المنيو!$B$2:$B$500,0)),0))</f>
        <v/>
      </c>
      <c r="F11573" s="107" t="str">
        <f aca="false">IF($C11573="","",$D11573*$E11573)</f>
        <v/>
      </c>
      <c r="G11573" s="107" t="str">
        <f aca="false">IF($C11573="","",$D11573*IFERROR(INDEX('تحليل التكلفة والسعر'!$C$2:$C$700,MATCH($C11573,'تحليل التكلفة والسعر'!$B$2:$B$700,0)),0))</f>
        <v/>
      </c>
    </row>
    <row r="11574" customFormat="false" ht="15" hidden="false" customHeight="false" outlineLevel="0" collapsed="false">
      <c r="A11574" s="103"/>
      <c r="B11574" s="104"/>
      <c r="C11574" s="104"/>
      <c r="E11574" s="107" t="str">
        <f aca="false">IF($C11574="","",IFERROR(INDEX(المنيو!$C$2:$C$500,MATCH($C11574,المنيو!$B$2:$B$500,0)),0))</f>
        <v/>
      </c>
      <c r="F11574" s="107" t="str">
        <f aca="false">IF($C11574="","",$D11574*$E11574)</f>
        <v/>
      </c>
      <c r="G11574" s="107" t="str">
        <f aca="false">IF($C11574="","",$D11574*IFERROR(INDEX('تحليل التكلفة والسعر'!$C$2:$C$700,MATCH($C11574,'تحليل التكلفة والسعر'!$B$2:$B$700,0)),0))</f>
        <v/>
      </c>
    </row>
    <row r="11575" customFormat="false" ht="15" hidden="false" customHeight="false" outlineLevel="0" collapsed="false">
      <c r="A11575" s="103"/>
      <c r="B11575" s="104"/>
      <c r="C11575" s="104"/>
      <c r="E11575" s="107" t="str">
        <f aca="false">IF($C11575="","",IFERROR(INDEX(المنيو!$C$2:$C$500,MATCH($C11575,المنيو!$B$2:$B$500,0)),0))</f>
        <v/>
      </c>
      <c r="F11575" s="107" t="str">
        <f aca="false">IF($C11575="","",$D11575*$E11575)</f>
        <v/>
      </c>
      <c r="G11575" s="107" t="str">
        <f aca="false">IF($C11575="","",$D11575*IFERROR(INDEX('تحليل التكلفة والسعر'!$C$2:$C$700,MATCH($C11575,'تحليل التكلفة والسعر'!$B$2:$B$700,0)),0))</f>
        <v/>
      </c>
    </row>
    <row r="11576" customFormat="false" ht="15" hidden="false" customHeight="false" outlineLevel="0" collapsed="false">
      <c r="A11576" s="103"/>
      <c r="B11576" s="104"/>
      <c r="C11576" s="104"/>
      <c r="E11576" s="107" t="str">
        <f aca="false">IF($C11576="","",IFERROR(INDEX(المنيو!$C$2:$C$500,MATCH($C11576,المنيو!$B$2:$B$500,0)),0))</f>
        <v/>
      </c>
      <c r="F11576" s="107" t="str">
        <f aca="false">IF($C11576="","",$D11576*$E11576)</f>
        <v/>
      </c>
      <c r="G11576" s="107" t="str">
        <f aca="false">IF($C11576="","",$D11576*IFERROR(INDEX('تحليل التكلفة والسعر'!$C$2:$C$700,MATCH($C11576,'تحليل التكلفة والسعر'!$B$2:$B$700,0)),0))</f>
        <v/>
      </c>
    </row>
    <row r="11577" customFormat="false" ht="15" hidden="false" customHeight="false" outlineLevel="0" collapsed="false">
      <c r="A11577" s="103"/>
      <c r="B11577" s="104"/>
      <c r="C11577" s="104"/>
      <c r="E11577" s="107" t="str">
        <f aca="false">IF($C11577="","",IFERROR(INDEX(المنيو!$C$2:$C$500,MATCH($C11577,المنيو!$B$2:$B$500,0)),0))</f>
        <v/>
      </c>
      <c r="F11577" s="107" t="str">
        <f aca="false">IF($C11577="","",$D11577*$E11577)</f>
        <v/>
      </c>
      <c r="G11577" s="107" t="str">
        <f aca="false">IF($C11577="","",$D11577*IFERROR(INDEX('تحليل التكلفة والسعر'!$C$2:$C$700,MATCH($C11577,'تحليل التكلفة والسعر'!$B$2:$B$700,0)),0))</f>
        <v/>
      </c>
    </row>
    <row r="11578" customFormat="false" ht="15" hidden="false" customHeight="false" outlineLevel="0" collapsed="false">
      <c r="A11578" s="103"/>
      <c r="B11578" s="104"/>
      <c r="C11578" s="104"/>
      <c r="E11578" s="107" t="str">
        <f aca="false">IF($C11578="","",IFERROR(INDEX(المنيو!$C$2:$C$500,MATCH($C11578,المنيو!$B$2:$B$500,0)),0))</f>
        <v/>
      </c>
      <c r="F11578" s="107" t="str">
        <f aca="false">IF($C11578="","",$D11578*$E11578)</f>
        <v/>
      </c>
      <c r="G11578" s="107" t="str">
        <f aca="false">IF($C11578="","",$D11578*IFERROR(INDEX('تحليل التكلفة والسعر'!$C$2:$C$700,MATCH($C11578,'تحليل التكلفة والسعر'!$B$2:$B$700,0)),0))</f>
        <v/>
      </c>
    </row>
    <row r="11579" customFormat="false" ht="15" hidden="false" customHeight="false" outlineLevel="0" collapsed="false">
      <c r="A11579" s="103"/>
      <c r="B11579" s="104"/>
      <c r="C11579" s="104"/>
      <c r="E11579" s="107" t="str">
        <f aca="false">IF($C11579="","",IFERROR(INDEX(المنيو!$C$2:$C$500,MATCH($C11579,المنيو!$B$2:$B$500,0)),0))</f>
        <v/>
      </c>
      <c r="F11579" s="107" t="str">
        <f aca="false">IF($C11579="","",$D11579*$E11579)</f>
        <v/>
      </c>
      <c r="G11579" s="107" t="str">
        <f aca="false">IF($C11579="","",$D11579*IFERROR(INDEX('تحليل التكلفة والسعر'!$C$2:$C$700,MATCH($C11579,'تحليل التكلفة والسعر'!$B$2:$B$700,0)),0))</f>
        <v/>
      </c>
    </row>
    <row r="11580" customFormat="false" ht="15" hidden="false" customHeight="false" outlineLevel="0" collapsed="false">
      <c r="A11580" s="103"/>
      <c r="B11580" s="104"/>
      <c r="C11580" s="104"/>
      <c r="E11580" s="107" t="str">
        <f aca="false">IF($C11580="","",IFERROR(INDEX(المنيو!$C$2:$C$500,MATCH($C11580,المنيو!$B$2:$B$500,0)),0))</f>
        <v/>
      </c>
      <c r="F11580" s="107" t="str">
        <f aca="false">IF($C11580="","",$D11580*$E11580)</f>
        <v/>
      </c>
      <c r="G11580" s="107" t="str">
        <f aca="false">IF($C11580="","",$D11580*IFERROR(INDEX('تحليل التكلفة والسعر'!$C$2:$C$700,MATCH($C11580,'تحليل التكلفة والسعر'!$B$2:$B$700,0)),0))</f>
        <v/>
      </c>
    </row>
    <row r="11581" customFormat="false" ht="15" hidden="false" customHeight="false" outlineLevel="0" collapsed="false">
      <c r="A11581" s="103"/>
      <c r="B11581" s="104"/>
      <c r="C11581" s="104"/>
      <c r="E11581" s="107" t="str">
        <f aca="false">IF($C11581="","",IFERROR(INDEX(المنيو!$C$2:$C$500,MATCH($C11581,المنيو!$B$2:$B$500,0)),0))</f>
        <v/>
      </c>
      <c r="F11581" s="107" t="str">
        <f aca="false">IF($C11581="","",$D11581*$E11581)</f>
        <v/>
      </c>
      <c r="G11581" s="107" t="str">
        <f aca="false">IF($C11581="","",$D11581*IFERROR(INDEX('تحليل التكلفة والسعر'!$C$2:$C$700,MATCH($C11581,'تحليل التكلفة والسعر'!$B$2:$B$700,0)),0))</f>
        <v/>
      </c>
    </row>
    <row r="11582" customFormat="false" ht="15" hidden="false" customHeight="false" outlineLevel="0" collapsed="false">
      <c r="A11582" s="103"/>
      <c r="B11582" s="104"/>
      <c r="C11582" s="104"/>
      <c r="E11582" s="107" t="str">
        <f aca="false">IF($C11582="","",IFERROR(INDEX(المنيو!$C$2:$C$500,MATCH($C11582,المنيو!$B$2:$B$500,0)),0))</f>
        <v/>
      </c>
      <c r="F11582" s="107" t="str">
        <f aca="false">IF($C11582="","",$D11582*$E11582)</f>
        <v/>
      </c>
      <c r="G11582" s="107" t="str">
        <f aca="false">IF($C11582="","",$D11582*IFERROR(INDEX('تحليل التكلفة والسعر'!$C$2:$C$700,MATCH($C11582,'تحليل التكلفة والسعر'!$B$2:$B$700,0)),0))</f>
        <v/>
      </c>
    </row>
    <row r="11583" customFormat="false" ht="15" hidden="false" customHeight="false" outlineLevel="0" collapsed="false">
      <c r="A11583" s="103"/>
      <c r="B11583" s="104"/>
      <c r="C11583" s="104"/>
      <c r="E11583" s="107" t="str">
        <f aca="false">IF($C11583="","",IFERROR(INDEX(المنيو!$C$2:$C$500,MATCH($C11583,المنيو!$B$2:$B$500,0)),0))</f>
        <v/>
      </c>
      <c r="F11583" s="107" t="str">
        <f aca="false">IF($C11583="","",$D11583*$E11583)</f>
        <v/>
      </c>
      <c r="G11583" s="107" t="str">
        <f aca="false">IF($C11583="","",$D11583*IFERROR(INDEX('تحليل التكلفة والسعر'!$C$2:$C$700,MATCH($C11583,'تحليل التكلفة والسعر'!$B$2:$B$700,0)),0))</f>
        <v/>
      </c>
    </row>
    <row r="11584" customFormat="false" ht="15" hidden="false" customHeight="false" outlineLevel="0" collapsed="false">
      <c r="A11584" s="103"/>
      <c r="B11584" s="104"/>
      <c r="C11584" s="104"/>
      <c r="E11584" s="107" t="str">
        <f aca="false">IF($C11584="","",IFERROR(INDEX(المنيو!$C$2:$C$500,MATCH($C11584,المنيو!$B$2:$B$500,0)),0))</f>
        <v/>
      </c>
      <c r="F11584" s="107" t="str">
        <f aca="false">IF($C11584="","",$D11584*$E11584)</f>
        <v/>
      </c>
      <c r="G11584" s="107" t="str">
        <f aca="false">IF($C11584="","",$D11584*IFERROR(INDEX('تحليل التكلفة والسعر'!$C$2:$C$700,MATCH($C11584,'تحليل التكلفة والسعر'!$B$2:$B$700,0)),0))</f>
        <v/>
      </c>
    </row>
    <row r="11585" customFormat="false" ht="15" hidden="false" customHeight="false" outlineLevel="0" collapsed="false">
      <c r="A11585" s="103"/>
      <c r="B11585" s="104"/>
      <c r="C11585" s="104"/>
      <c r="E11585" s="107" t="str">
        <f aca="false">IF($C11585="","",IFERROR(INDEX(المنيو!$C$2:$C$500,MATCH($C11585,المنيو!$B$2:$B$500,0)),0))</f>
        <v/>
      </c>
      <c r="F11585" s="107" t="str">
        <f aca="false">IF($C11585="","",$D11585*$E11585)</f>
        <v/>
      </c>
      <c r="G11585" s="107" t="str">
        <f aca="false">IF($C11585="","",$D11585*IFERROR(INDEX('تحليل التكلفة والسعر'!$C$2:$C$700,MATCH($C11585,'تحليل التكلفة والسعر'!$B$2:$B$700,0)),0))</f>
        <v/>
      </c>
    </row>
    <row r="11586" customFormat="false" ht="15" hidden="false" customHeight="false" outlineLevel="0" collapsed="false">
      <c r="A11586" s="103"/>
      <c r="B11586" s="104"/>
      <c r="C11586" s="104"/>
      <c r="E11586" s="107" t="str">
        <f aca="false">IF($C11586="","",IFERROR(INDEX(المنيو!$C$2:$C$500,MATCH($C11586,المنيو!$B$2:$B$500,0)),0))</f>
        <v/>
      </c>
      <c r="F11586" s="107" t="str">
        <f aca="false">IF($C11586="","",$D11586*$E11586)</f>
        <v/>
      </c>
      <c r="G11586" s="107" t="str">
        <f aca="false">IF($C11586="","",$D11586*IFERROR(INDEX('تحليل التكلفة والسعر'!$C$2:$C$700,MATCH($C11586,'تحليل التكلفة والسعر'!$B$2:$B$700,0)),0))</f>
        <v/>
      </c>
    </row>
    <row r="11587" customFormat="false" ht="15" hidden="false" customHeight="false" outlineLevel="0" collapsed="false">
      <c r="A11587" s="103"/>
      <c r="B11587" s="104"/>
      <c r="C11587" s="104"/>
      <c r="E11587" s="107" t="str">
        <f aca="false">IF($C11587="","",IFERROR(INDEX(المنيو!$C$2:$C$500,MATCH($C11587,المنيو!$B$2:$B$500,0)),0))</f>
        <v/>
      </c>
      <c r="F11587" s="107" t="str">
        <f aca="false">IF($C11587="","",$D11587*$E11587)</f>
        <v/>
      </c>
      <c r="G11587" s="107" t="str">
        <f aca="false">IF($C11587="","",$D11587*IFERROR(INDEX('تحليل التكلفة والسعر'!$C$2:$C$700,MATCH($C11587,'تحليل التكلفة والسعر'!$B$2:$B$700,0)),0))</f>
        <v/>
      </c>
    </row>
    <row r="11588" customFormat="false" ht="15" hidden="false" customHeight="false" outlineLevel="0" collapsed="false">
      <c r="A11588" s="103"/>
      <c r="B11588" s="104"/>
      <c r="C11588" s="104"/>
      <c r="E11588" s="107" t="str">
        <f aca="false">IF($C11588="","",IFERROR(INDEX(المنيو!$C$2:$C$500,MATCH($C11588,المنيو!$B$2:$B$500,0)),0))</f>
        <v/>
      </c>
      <c r="F11588" s="107" t="str">
        <f aca="false">IF($C11588="","",$D11588*$E11588)</f>
        <v/>
      </c>
      <c r="G11588" s="107" t="str">
        <f aca="false">IF($C11588="","",$D11588*IFERROR(INDEX('تحليل التكلفة والسعر'!$C$2:$C$700,MATCH($C11588,'تحليل التكلفة والسعر'!$B$2:$B$700,0)),0))</f>
        <v/>
      </c>
    </row>
    <row r="11589" customFormat="false" ht="15" hidden="false" customHeight="false" outlineLevel="0" collapsed="false">
      <c r="A11589" s="103"/>
      <c r="B11589" s="104"/>
      <c r="C11589" s="104"/>
      <c r="E11589" s="107" t="str">
        <f aca="false">IF($C11589="","",IFERROR(INDEX(المنيو!$C$2:$C$500,MATCH($C11589,المنيو!$B$2:$B$500,0)),0))</f>
        <v/>
      </c>
      <c r="F11589" s="107" t="str">
        <f aca="false">IF($C11589="","",$D11589*$E11589)</f>
        <v/>
      </c>
      <c r="G11589" s="107" t="str">
        <f aca="false">IF($C11589="","",$D11589*IFERROR(INDEX('تحليل التكلفة والسعر'!$C$2:$C$700,MATCH($C11589,'تحليل التكلفة والسعر'!$B$2:$B$700,0)),0))</f>
        <v/>
      </c>
    </row>
    <row r="11590" customFormat="false" ht="15" hidden="false" customHeight="false" outlineLevel="0" collapsed="false">
      <c r="A11590" s="103"/>
      <c r="B11590" s="104"/>
      <c r="C11590" s="104"/>
      <c r="E11590" s="107" t="str">
        <f aca="false">IF($C11590="","",IFERROR(INDEX(المنيو!$C$2:$C$500,MATCH($C11590,المنيو!$B$2:$B$500,0)),0))</f>
        <v/>
      </c>
      <c r="F11590" s="107" t="str">
        <f aca="false">IF($C11590="","",$D11590*$E11590)</f>
        <v/>
      </c>
      <c r="G11590" s="107" t="str">
        <f aca="false">IF($C11590="","",$D11590*IFERROR(INDEX('تحليل التكلفة والسعر'!$C$2:$C$700,MATCH($C11590,'تحليل التكلفة والسعر'!$B$2:$B$700,0)),0))</f>
        <v/>
      </c>
    </row>
    <row r="11591" customFormat="false" ht="15" hidden="false" customHeight="false" outlineLevel="0" collapsed="false">
      <c r="A11591" s="103"/>
      <c r="B11591" s="104"/>
      <c r="C11591" s="104"/>
      <c r="E11591" s="107" t="str">
        <f aca="false">IF($C11591="","",IFERROR(INDEX(المنيو!$C$2:$C$500,MATCH($C11591,المنيو!$B$2:$B$500,0)),0))</f>
        <v/>
      </c>
      <c r="F11591" s="107" t="str">
        <f aca="false">IF($C11591="","",$D11591*$E11591)</f>
        <v/>
      </c>
      <c r="G11591" s="107" t="str">
        <f aca="false">IF($C11591="","",$D11591*IFERROR(INDEX('تحليل التكلفة والسعر'!$C$2:$C$700,MATCH($C11591,'تحليل التكلفة والسعر'!$B$2:$B$700,0)),0))</f>
        <v/>
      </c>
    </row>
    <row r="11592" customFormat="false" ht="15" hidden="false" customHeight="false" outlineLevel="0" collapsed="false">
      <c r="A11592" s="103"/>
      <c r="B11592" s="104"/>
      <c r="C11592" s="104"/>
      <c r="E11592" s="107" t="str">
        <f aca="false">IF($C11592="","",IFERROR(INDEX(المنيو!$C$2:$C$500,MATCH($C11592,المنيو!$B$2:$B$500,0)),0))</f>
        <v/>
      </c>
      <c r="F11592" s="107" t="str">
        <f aca="false">IF($C11592="","",$D11592*$E11592)</f>
        <v/>
      </c>
      <c r="G11592" s="107" t="str">
        <f aca="false">IF($C11592="","",$D11592*IFERROR(INDEX('تحليل التكلفة والسعر'!$C$2:$C$700,MATCH($C11592,'تحليل التكلفة والسعر'!$B$2:$B$700,0)),0))</f>
        <v/>
      </c>
    </row>
    <row r="11593" customFormat="false" ht="15" hidden="false" customHeight="false" outlineLevel="0" collapsed="false">
      <c r="A11593" s="103"/>
      <c r="B11593" s="104"/>
      <c r="C11593" s="104"/>
      <c r="E11593" s="107" t="str">
        <f aca="false">IF($C11593="","",IFERROR(INDEX(المنيو!$C$2:$C$500,MATCH($C11593,المنيو!$B$2:$B$500,0)),0))</f>
        <v/>
      </c>
      <c r="F11593" s="107" t="str">
        <f aca="false">IF($C11593="","",$D11593*$E11593)</f>
        <v/>
      </c>
      <c r="G11593" s="107" t="str">
        <f aca="false">IF($C11593="","",$D11593*IFERROR(INDEX('تحليل التكلفة والسعر'!$C$2:$C$700,MATCH($C11593,'تحليل التكلفة والسعر'!$B$2:$B$700,0)),0))</f>
        <v/>
      </c>
    </row>
    <row r="11594" customFormat="false" ht="15" hidden="false" customHeight="false" outlineLevel="0" collapsed="false">
      <c r="A11594" s="103"/>
      <c r="B11594" s="104"/>
      <c r="C11594" s="104"/>
      <c r="E11594" s="107" t="str">
        <f aca="false">IF($C11594="","",IFERROR(INDEX(المنيو!$C$2:$C$500,MATCH($C11594,المنيو!$B$2:$B$500,0)),0))</f>
        <v/>
      </c>
      <c r="F11594" s="107" t="str">
        <f aca="false">IF($C11594="","",$D11594*$E11594)</f>
        <v/>
      </c>
      <c r="G11594" s="107" t="str">
        <f aca="false">IF($C11594="","",$D11594*IFERROR(INDEX('تحليل التكلفة والسعر'!$C$2:$C$700,MATCH($C11594,'تحليل التكلفة والسعر'!$B$2:$B$700,0)),0))</f>
        <v/>
      </c>
    </row>
    <row r="11595" customFormat="false" ht="15" hidden="false" customHeight="false" outlineLevel="0" collapsed="false">
      <c r="A11595" s="103"/>
      <c r="B11595" s="104"/>
      <c r="C11595" s="104"/>
      <c r="E11595" s="107" t="str">
        <f aca="false">IF($C11595="","",IFERROR(INDEX(المنيو!$C$2:$C$500,MATCH($C11595,المنيو!$B$2:$B$500,0)),0))</f>
        <v/>
      </c>
      <c r="F11595" s="107" t="str">
        <f aca="false">IF($C11595="","",$D11595*$E11595)</f>
        <v/>
      </c>
      <c r="G11595" s="107" t="str">
        <f aca="false">IF($C11595="","",$D11595*IFERROR(INDEX('تحليل التكلفة والسعر'!$C$2:$C$700,MATCH($C11595,'تحليل التكلفة والسعر'!$B$2:$B$700,0)),0))</f>
        <v/>
      </c>
    </row>
    <row r="11596" customFormat="false" ht="15" hidden="false" customHeight="false" outlineLevel="0" collapsed="false">
      <c r="A11596" s="103"/>
      <c r="B11596" s="104"/>
      <c r="C11596" s="104"/>
      <c r="E11596" s="107" t="str">
        <f aca="false">IF($C11596="","",IFERROR(INDEX(المنيو!$C$2:$C$500,MATCH($C11596,المنيو!$B$2:$B$500,0)),0))</f>
        <v/>
      </c>
      <c r="F11596" s="107" t="str">
        <f aca="false">IF($C11596="","",$D11596*$E11596)</f>
        <v/>
      </c>
      <c r="G11596" s="107" t="str">
        <f aca="false">IF($C11596="","",$D11596*IFERROR(INDEX('تحليل التكلفة والسعر'!$C$2:$C$700,MATCH($C11596,'تحليل التكلفة والسعر'!$B$2:$B$700,0)),0))</f>
        <v/>
      </c>
    </row>
    <row r="11597" customFormat="false" ht="15" hidden="false" customHeight="false" outlineLevel="0" collapsed="false">
      <c r="A11597" s="103"/>
      <c r="B11597" s="104"/>
      <c r="C11597" s="104"/>
      <c r="E11597" s="107" t="str">
        <f aca="false">IF($C11597="","",IFERROR(INDEX(المنيو!$C$2:$C$500,MATCH($C11597,المنيو!$B$2:$B$500,0)),0))</f>
        <v/>
      </c>
      <c r="F11597" s="107" t="str">
        <f aca="false">IF($C11597="","",$D11597*$E11597)</f>
        <v/>
      </c>
      <c r="G11597" s="107" t="str">
        <f aca="false">IF($C11597="","",$D11597*IFERROR(INDEX('تحليل التكلفة والسعر'!$C$2:$C$700,MATCH($C11597,'تحليل التكلفة والسعر'!$B$2:$B$700,0)),0))</f>
        <v/>
      </c>
    </row>
    <row r="11598" customFormat="false" ht="15" hidden="false" customHeight="false" outlineLevel="0" collapsed="false">
      <c r="A11598" s="103"/>
      <c r="B11598" s="104"/>
      <c r="C11598" s="104"/>
      <c r="E11598" s="107" t="str">
        <f aca="false">IF($C11598="","",IFERROR(INDEX(المنيو!$C$2:$C$500,MATCH($C11598,المنيو!$B$2:$B$500,0)),0))</f>
        <v/>
      </c>
      <c r="F11598" s="107" t="str">
        <f aca="false">IF($C11598="","",$D11598*$E11598)</f>
        <v/>
      </c>
      <c r="G11598" s="107" t="str">
        <f aca="false">IF($C11598="","",$D11598*IFERROR(INDEX('تحليل التكلفة والسعر'!$C$2:$C$700,MATCH($C11598,'تحليل التكلفة والسعر'!$B$2:$B$700,0)),0))</f>
        <v/>
      </c>
    </row>
    <row r="11599" customFormat="false" ht="15" hidden="false" customHeight="false" outlineLevel="0" collapsed="false">
      <c r="A11599" s="103"/>
      <c r="B11599" s="104"/>
      <c r="C11599" s="104"/>
      <c r="E11599" s="107" t="str">
        <f aca="false">IF($C11599="","",IFERROR(INDEX(المنيو!$C$2:$C$500,MATCH($C11599,المنيو!$B$2:$B$500,0)),0))</f>
        <v/>
      </c>
      <c r="F11599" s="107" t="str">
        <f aca="false">IF($C11599="","",$D11599*$E11599)</f>
        <v/>
      </c>
      <c r="G11599" s="107" t="str">
        <f aca="false">IF($C11599="","",$D11599*IFERROR(INDEX('تحليل التكلفة والسعر'!$C$2:$C$700,MATCH($C11599,'تحليل التكلفة والسعر'!$B$2:$B$700,0)),0))</f>
        <v/>
      </c>
    </row>
    <row r="11600" customFormat="false" ht="15" hidden="false" customHeight="false" outlineLevel="0" collapsed="false">
      <c r="A11600" s="103"/>
      <c r="B11600" s="104"/>
      <c r="C11600" s="104"/>
      <c r="E11600" s="107" t="str">
        <f aca="false">IF($C11600="","",IFERROR(INDEX(المنيو!$C$2:$C$500,MATCH($C11600,المنيو!$B$2:$B$500,0)),0))</f>
        <v/>
      </c>
      <c r="F11600" s="107" t="str">
        <f aca="false">IF($C11600="","",$D11600*$E11600)</f>
        <v/>
      </c>
      <c r="G11600" s="107" t="str">
        <f aca="false">IF($C11600="","",$D11600*IFERROR(INDEX('تحليل التكلفة والسعر'!$C$2:$C$700,MATCH($C11600,'تحليل التكلفة والسعر'!$B$2:$B$700,0)),0))</f>
        <v/>
      </c>
    </row>
    <row r="11601" customFormat="false" ht="15" hidden="false" customHeight="false" outlineLevel="0" collapsed="false">
      <c r="A11601" s="103"/>
      <c r="B11601" s="104"/>
      <c r="C11601" s="104"/>
      <c r="E11601" s="107" t="str">
        <f aca="false">IF($C11601="","",IFERROR(INDEX(المنيو!$C$2:$C$500,MATCH($C11601,المنيو!$B$2:$B$500,0)),0))</f>
        <v/>
      </c>
      <c r="F11601" s="107" t="str">
        <f aca="false">IF($C11601="","",$D11601*$E11601)</f>
        <v/>
      </c>
      <c r="G11601" s="107" t="str">
        <f aca="false">IF($C11601="","",$D11601*IFERROR(INDEX('تحليل التكلفة والسعر'!$C$2:$C$700,MATCH($C11601,'تحليل التكلفة والسعر'!$B$2:$B$700,0)),0))</f>
        <v/>
      </c>
    </row>
    <row r="11602" customFormat="false" ht="15" hidden="false" customHeight="false" outlineLevel="0" collapsed="false">
      <c r="A11602" s="103"/>
      <c r="B11602" s="104"/>
      <c r="C11602" s="104"/>
      <c r="E11602" s="107" t="str">
        <f aca="false">IF($C11602="","",IFERROR(INDEX(المنيو!$C$2:$C$500,MATCH($C11602,المنيو!$B$2:$B$500,0)),0))</f>
        <v/>
      </c>
      <c r="F11602" s="107" t="str">
        <f aca="false">IF($C11602="","",$D11602*$E11602)</f>
        <v/>
      </c>
      <c r="G11602" s="107" t="str">
        <f aca="false">IF($C11602="","",$D11602*IFERROR(INDEX('تحليل التكلفة والسعر'!$C$2:$C$700,MATCH($C11602,'تحليل التكلفة والسعر'!$B$2:$B$700,0)),0))</f>
        <v/>
      </c>
    </row>
    <row r="11603" customFormat="false" ht="15" hidden="false" customHeight="false" outlineLevel="0" collapsed="false">
      <c r="A11603" s="103"/>
      <c r="B11603" s="104"/>
      <c r="C11603" s="104"/>
      <c r="E11603" s="107" t="str">
        <f aca="false">IF($C11603="","",IFERROR(INDEX(المنيو!$C$2:$C$500,MATCH($C11603,المنيو!$B$2:$B$500,0)),0))</f>
        <v/>
      </c>
      <c r="F11603" s="107" t="str">
        <f aca="false">IF($C11603="","",$D11603*$E11603)</f>
        <v/>
      </c>
      <c r="G11603" s="107" t="str">
        <f aca="false">IF($C11603="","",$D11603*IFERROR(INDEX('تحليل التكلفة والسعر'!$C$2:$C$700,MATCH($C11603,'تحليل التكلفة والسعر'!$B$2:$B$700,0)),0))</f>
        <v/>
      </c>
    </row>
    <row r="11604" customFormat="false" ht="15" hidden="false" customHeight="false" outlineLevel="0" collapsed="false">
      <c r="A11604" s="103"/>
      <c r="B11604" s="104"/>
      <c r="C11604" s="104"/>
      <c r="E11604" s="107" t="str">
        <f aca="false">IF($C11604="","",IFERROR(INDEX(المنيو!$C$2:$C$500,MATCH($C11604,المنيو!$B$2:$B$500,0)),0))</f>
        <v/>
      </c>
      <c r="F11604" s="107" t="str">
        <f aca="false">IF($C11604="","",$D11604*$E11604)</f>
        <v/>
      </c>
      <c r="G11604" s="107" t="str">
        <f aca="false">IF($C11604="","",$D11604*IFERROR(INDEX('تحليل التكلفة والسعر'!$C$2:$C$700,MATCH($C11604,'تحليل التكلفة والسعر'!$B$2:$B$700,0)),0))</f>
        <v/>
      </c>
    </row>
    <row r="11605" customFormat="false" ht="15" hidden="false" customHeight="false" outlineLevel="0" collapsed="false">
      <c r="A11605" s="103"/>
      <c r="B11605" s="104"/>
      <c r="C11605" s="104"/>
      <c r="E11605" s="107" t="str">
        <f aca="false">IF($C11605="","",IFERROR(INDEX(المنيو!$C$2:$C$500,MATCH($C11605,المنيو!$B$2:$B$500,0)),0))</f>
        <v/>
      </c>
      <c r="F11605" s="107" t="str">
        <f aca="false">IF($C11605="","",$D11605*$E11605)</f>
        <v/>
      </c>
      <c r="G11605" s="107" t="str">
        <f aca="false">IF($C11605="","",$D11605*IFERROR(INDEX('تحليل التكلفة والسعر'!$C$2:$C$700,MATCH($C11605,'تحليل التكلفة والسعر'!$B$2:$B$700,0)),0))</f>
        <v/>
      </c>
    </row>
    <row r="11606" customFormat="false" ht="15" hidden="false" customHeight="false" outlineLevel="0" collapsed="false">
      <c r="A11606" s="103"/>
      <c r="B11606" s="104"/>
      <c r="C11606" s="104"/>
      <c r="E11606" s="107" t="str">
        <f aca="false">IF($C11606="","",IFERROR(INDEX(المنيو!$C$2:$C$500,MATCH($C11606,المنيو!$B$2:$B$500,0)),0))</f>
        <v/>
      </c>
      <c r="F11606" s="107" t="str">
        <f aca="false">IF($C11606="","",$D11606*$E11606)</f>
        <v/>
      </c>
      <c r="G11606" s="107" t="str">
        <f aca="false">IF($C11606="","",$D11606*IFERROR(INDEX('تحليل التكلفة والسعر'!$C$2:$C$700,MATCH($C11606,'تحليل التكلفة والسعر'!$B$2:$B$700,0)),0))</f>
        <v/>
      </c>
    </row>
    <row r="11607" customFormat="false" ht="15" hidden="false" customHeight="false" outlineLevel="0" collapsed="false">
      <c r="A11607" s="103"/>
      <c r="B11607" s="104"/>
      <c r="C11607" s="104"/>
      <c r="E11607" s="107" t="str">
        <f aca="false">IF($C11607="","",IFERROR(INDEX(المنيو!$C$2:$C$500,MATCH($C11607,المنيو!$B$2:$B$500,0)),0))</f>
        <v/>
      </c>
      <c r="F11607" s="107" t="str">
        <f aca="false">IF($C11607="","",$D11607*$E11607)</f>
        <v/>
      </c>
      <c r="G11607" s="107" t="str">
        <f aca="false">IF($C11607="","",$D11607*IFERROR(INDEX('تحليل التكلفة والسعر'!$C$2:$C$700,MATCH($C11607,'تحليل التكلفة والسعر'!$B$2:$B$700,0)),0))</f>
        <v/>
      </c>
    </row>
    <row r="11608" customFormat="false" ht="15" hidden="false" customHeight="false" outlineLevel="0" collapsed="false">
      <c r="A11608" s="103"/>
      <c r="B11608" s="104"/>
      <c r="C11608" s="104"/>
      <c r="E11608" s="107" t="str">
        <f aca="false">IF($C11608="","",IFERROR(INDEX(المنيو!$C$2:$C$500,MATCH($C11608,المنيو!$B$2:$B$500,0)),0))</f>
        <v/>
      </c>
      <c r="F11608" s="107" t="str">
        <f aca="false">IF($C11608="","",$D11608*$E11608)</f>
        <v/>
      </c>
      <c r="G11608" s="107" t="str">
        <f aca="false">IF($C11608="","",$D11608*IFERROR(INDEX('تحليل التكلفة والسعر'!$C$2:$C$700,MATCH($C11608,'تحليل التكلفة والسعر'!$B$2:$B$700,0)),0))</f>
        <v/>
      </c>
    </row>
    <row r="11609" customFormat="false" ht="15" hidden="false" customHeight="false" outlineLevel="0" collapsed="false">
      <c r="A11609" s="103"/>
      <c r="B11609" s="104"/>
      <c r="C11609" s="104"/>
      <c r="E11609" s="107" t="str">
        <f aca="false">IF($C11609="","",IFERROR(INDEX(المنيو!$C$2:$C$500,MATCH($C11609,المنيو!$B$2:$B$500,0)),0))</f>
        <v/>
      </c>
      <c r="F11609" s="107" t="str">
        <f aca="false">IF($C11609="","",$D11609*$E11609)</f>
        <v/>
      </c>
      <c r="G11609" s="107" t="str">
        <f aca="false">IF($C11609="","",$D11609*IFERROR(INDEX('تحليل التكلفة والسعر'!$C$2:$C$700,MATCH($C11609,'تحليل التكلفة والسعر'!$B$2:$B$700,0)),0))</f>
        <v/>
      </c>
    </row>
    <row r="11610" customFormat="false" ht="15" hidden="false" customHeight="false" outlineLevel="0" collapsed="false">
      <c r="A11610" s="103"/>
      <c r="B11610" s="104"/>
      <c r="C11610" s="104"/>
      <c r="E11610" s="107" t="str">
        <f aca="false">IF($C11610="","",IFERROR(INDEX(المنيو!$C$2:$C$500,MATCH($C11610,المنيو!$B$2:$B$500,0)),0))</f>
        <v/>
      </c>
      <c r="F11610" s="107" t="str">
        <f aca="false">IF($C11610="","",$D11610*$E11610)</f>
        <v/>
      </c>
      <c r="G11610" s="107" t="str">
        <f aca="false">IF($C11610="","",$D11610*IFERROR(INDEX('تحليل التكلفة والسعر'!$C$2:$C$700,MATCH($C11610,'تحليل التكلفة والسعر'!$B$2:$B$700,0)),0))</f>
        <v/>
      </c>
    </row>
    <row r="11611" customFormat="false" ht="15" hidden="false" customHeight="false" outlineLevel="0" collapsed="false">
      <c r="A11611" s="103"/>
      <c r="B11611" s="104"/>
      <c r="C11611" s="104"/>
      <c r="E11611" s="107" t="str">
        <f aca="false">IF($C11611="","",IFERROR(INDEX(المنيو!$C$2:$C$500,MATCH($C11611,المنيو!$B$2:$B$500,0)),0))</f>
        <v/>
      </c>
      <c r="F11611" s="107" t="str">
        <f aca="false">IF($C11611="","",$D11611*$E11611)</f>
        <v/>
      </c>
      <c r="G11611" s="107" t="str">
        <f aca="false">IF($C11611="","",$D11611*IFERROR(INDEX('تحليل التكلفة والسعر'!$C$2:$C$700,MATCH($C11611,'تحليل التكلفة والسعر'!$B$2:$B$700,0)),0))</f>
        <v/>
      </c>
    </row>
    <row r="11612" customFormat="false" ht="15" hidden="false" customHeight="false" outlineLevel="0" collapsed="false">
      <c r="A11612" s="103"/>
      <c r="B11612" s="104"/>
      <c r="C11612" s="104"/>
      <c r="E11612" s="107" t="str">
        <f aca="false">IF($C11612="","",IFERROR(INDEX(المنيو!$C$2:$C$500,MATCH($C11612,المنيو!$B$2:$B$500,0)),0))</f>
        <v/>
      </c>
      <c r="F11612" s="107" t="str">
        <f aca="false">IF($C11612="","",$D11612*$E11612)</f>
        <v/>
      </c>
      <c r="G11612" s="107" t="str">
        <f aca="false">IF($C11612="","",$D11612*IFERROR(INDEX('تحليل التكلفة والسعر'!$C$2:$C$700,MATCH($C11612,'تحليل التكلفة والسعر'!$B$2:$B$700,0)),0))</f>
        <v/>
      </c>
    </row>
    <row r="11613" customFormat="false" ht="15" hidden="false" customHeight="false" outlineLevel="0" collapsed="false">
      <c r="A11613" s="103"/>
      <c r="B11613" s="104"/>
      <c r="C11613" s="104"/>
      <c r="E11613" s="107" t="str">
        <f aca="false">IF($C11613="","",IFERROR(INDEX(المنيو!$C$2:$C$500,MATCH($C11613,المنيو!$B$2:$B$500,0)),0))</f>
        <v/>
      </c>
      <c r="F11613" s="107" t="str">
        <f aca="false">IF($C11613="","",$D11613*$E11613)</f>
        <v/>
      </c>
      <c r="G11613" s="107" t="str">
        <f aca="false">IF($C11613="","",$D11613*IFERROR(INDEX('تحليل التكلفة والسعر'!$C$2:$C$700,MATCH($C11613,'تحليل التكلفة والسعر'!$B$2:$B$700,0)),0))</f>
        <v/>
      </c>
    </row>
    <row r="11614" customFormat="false" ht="15" hidden="false" customHeight="false" outlineLevel="0" collapsed="false">
      <c r="A11614" s="103"/>
      <c r="B11614" s="104"/>
      <c r="C11614" s="104"/>
      <c r="E11614" s="107" t="str">
        <f aca="false">IF($C11614="","",IFERROR(INDEX(المنيو!$C$2:$C$500,MATCH($C11614,المنيو!$B$2:$B$500,0)),0))</f>
        <v/>
      </c>
      <c r="F11614" s="107" t="str">
        <f aca="false">IF($C11614="","",$D11614*$E11614)</f>
        <v/>
      </c>
      <c r="G11614" s="107" t="str">
        <f aca="false">IF($C11614="","",$D11614*IFERROR(INDEX('تحليل التكلفة والسعر'!$C$2:$C$700,MATCH($C11614,'تحليل التكلفة والسعر'!$B$2:$B$700,0)),0))</f>
        <v/>
      </c>
    </row>
    <row r="11615" customFormat="false" ht="15" hidden="false" customHeight="false" outlineLevel="0" collapsed="false">
      <c r="A11615" s="103"/>
      <c r="B11615" s="104"/>
      <c r="C11615" s="104"/>
      <c r="E11615" s="107" t="str">
        <f aca="false">IF($C11615="","",IFERROR(INDEX(المنيو!$C$2:$C$500,MATCH($C11615,المنيو!$B$2:$B$500,0)),0))</f>
        <v/>
      </c>
      <c r="F11615" s="107" t="str">
        <f aca="false">IF($C11615="","",$D11615*$E11615)</f>
        <v/>
      </c>
      <c r="G11615" s="107" t="str">
        <f aca="false">IF($C11615="","",$D11615*IFERROR(INDEX('تحليل التكلفة والسعر'!$C$2:$C$700,MATCH($C11615,'تحليل التكلفة والسعر'!$B$2:$B$700,0)),0))</f>
        <v/>
      </c>
    </row>
    <row r="11616" customFormat="false" ht="15" hidden="false" customHeight="false" outlineLevel="0" collapsed="false">
      <c r="A11616" s="103"/>
      <c r="B11616" s="104"/>
      <c r="C11616" s="104"/>
      <c r="E11616" s="107" t="str">
        <f aca="false">IF($C11616="","",IFERROR(INDEX(المنيو!$C$2:$C$500,MATCH($C11616,المنيو!$B$2:$B$500,0)),0))</f>
        <v/>
      </c>
      <c r="F11616" s="107" t="str">
        <f aca="false">IF($C11616="","",$D11616*$E11616)</f>
        <v/>
      </c>
      <c r="G11616" s="107" t="str">
        <f aca="false">IF($C11616="","",$D11616*IFERROR(INDEX('تحليل التكلفة والسعر'!$C$2:$C$700,MATCH($C11616,'تحليل التكلفة والسعر'!$B$2:$B$700,0)),0))</f>
        <v/>
      </c>
    </row>
    <row r="11617" customFormat="false" ht="15" hidden="false" customHeight="false" outlineLevel="0" collapsed="false">
      <c r="A11617" s="103"/>
      <c r="B11617" s="104"/>
      <c r="C11617" s="104"/>
      <c r="E11617" s="107" t="str">
        <f aca="false">IF($C11617="","",IFERROR(INDEX(المنيو!$C$2:$C$500,MATCH($C11617,المنيو!$B$2:$B$500,0)),0))</f>
        <v/>
      </c>
      <c r="F11617" s="107" t="str">
        <f aca="false">IF($C11617="","",$D11617*$E11617)</f>
        <v/>
      </c>
      <c r="G11617" s="107" t="str">
        <f aca="false">IF($C11617="","",$D11617*IFERROR(INDEX('تحليل التكلفة والسعر'!$C$2:$C$700,MATCH($C11617,'تحليل التكلفة والسعر'!$B$2:$B$700,0)),0))</f>
        <v/>
      </c>
    </row>
    <row r="11618" customFormat="false" ht="15" hidden="false" customHeight="false" outlineLevel="0" collapsed="false">
      <c r="A11618" s="103"/>
      <c r="B11618" s="104"/>
      <c r="C11618" s="104"/>
      <c r="E11618" s="107" t="str">
        <f aca="false">IF($C11618="","",IFERROR(INDEX(المنيو!$C$2:$C$500,MATCH($C11618,المنيو!$B$2:$B$500,0)),0))</f>
        <v/>
      </c>
      <c r="F11618" s="107" t="str">
        <f aca="false">IF($C11618="","",$D11618*$E11618)</f>
        <v/>
      </c>
      <c r="G11618" s="107" t="str">
        <f aca="false">IF($C11618="","",$D11618*IFERROR(INDEX('تحليل التكلفة والسعر'!$C$2:$C$700,MATCH($C11618,'تحليل التكلفة والسعر'!$B$2:$B$700,0)),0))</f>
        <v/>
      </c>
    </row>
    <row r="11619" customFormat="false" ht="15" hidden="false" customHeight="false" outlineLevel="0" collapsed="false">
      <c r="A11619" s="103"/>
      <c r="B11619" s="104"/>
      <c r="C11619" s="104"/>
      <c r="E11619" s="107" t="str">
        <f aca="false">IF($C11619="","",IFERROR(INDEX(المنيو!$C$2:$C$500,MATCH($C11619,المنيو!$B$2:$B$500,0)),0))</f>
        <v/>
      </c>
      <c r="F11619" s="107" t="str">
        <f aca="false">IF($C11619="","",$D11619*$E11619)</f>
        <v/>
      </c>
      <c r="G11619" s="107" t="str">
        <f aca="false">IF($C11619="","",$D11619*IFERROR(INDEX('تحليل التكلفة والسعر'!$C$2:$C$700,MATCH($C11619,'تحليل التكلفة والسعر'!$B$2:$B$700,0)),0))</f>
        <v/>
      </c>
    </row>
    <row r="11620" customFormat="false" ht="15" hidden="false" customHeight="false" outlineLevel="0" collapsed="false">
      <c r="A11620" s="103"/>
      <c r="B11620" s="104"/>
      <c r="C11620" s="104"/>
      <c r="E11620" s="107" t="str">
        <f aca="false">IF($C11620="","",IFERROR(INDEX(المنيو!$C$2:$C$500,MATCH($C11620,المنيو!$B$2:$B$500,0)),0))</f>
        <v/>
      </c>
      <c r="F11620" s="107" t="str">
        <f aca="false">IF($C11620="","",$D11620*$E11620)</f>
        <v/>
      </c>
      <c r="G11620" s="107" t="str">
        <f aca="false">IF($C11620="","",$D11620*IFERROR(INDEX('تحليل التكلفة والسعر'!$C$2:$C$700,MATCH($C11620,'تحليل التكلفة والسعر'!$B$2:$B$700,0)),0))</f>
        <v/>
      </c>
    </row>
    <row r="11621" customFormat="false" ht="15" hidden="false" customHeight="false" outlineLevel="0" collapsed="false">
      <c r="A11621" s="103"/>
      <c r="B11621" s="104"/>
      <c r="C11621" s="104"/>
      <c r="E11621" s="107" t="str">
        <f aca="false">IF($C11621="","",IFERROR(INDEX(المنيو!$C$2:$C$500,MATCH($C11621,المنيو!$B$2:$B$500,0)),0))</f>
        <v/>
      </c>
      <c r="F11621" s="107" t="str">
        <f aca="false">IF($C11621="","",$D11621*$E11621)</f>
        <v/>
      </c>
      <c r="G11621" s="107" t="str">
        <f aca="false">IF($C11621="","",$D11621*IFERROR(INDEX('تحليل التكلفة والسعر'!$C$2:$C$700,MATCH($C11621,'تحليل التكلفة والسعر'!$B$2:$B$700,0)),0))</f>
        <v/>
      </c>
    </row>
    <row r="11622" customFormat="false" ht="15" hidden="false" customHeight="false" outlineLevel="0" collapsed="false">
      <c r="A11622" s="103"/>
      <c r="B11622" s="104"/>
      <c r="C11622" s="104"/>
      <c r="E11622" s="107" t="str">
        <f aca="false">IF($C11622="","",IFERROR(INDEX(المنيو!$C$2:$C$500,MATCH($C11622,المنيو!$B$2:$B$500,0)),0))</f>
        <v/>
      </c>
      <c r="F11622" s="107" t="str">
        <f aca="false">IF($C11622="","",$D11622*$E11622)</f>
        <v/>
      </c>
      <c r="G11622" s="107" t="str">
        <f aca="false">IF($C11622="","",$D11622*IFERROR(INDEX('تحليل التكلفة والسعر'!$C$2:$C$700,MATCH($C11622,'تحليل التكلفة والسعر'!$B$2:$B$700,0)),0))</f>
        <v/>
      </c>
    </row>
    <row r="11623" customFormat="false" ht="15" hidden="false" customHeight="false" outlineLevel="0" collapsed="false">
      <c r="A11623" s="103"/>
      <c r="B11623" s="104"/>
      <c r="C11623" s="104"/>
      <c r="E11623" s="107" t="str">
        <f aca="false">IF($C11623="","",IFERROR(INDEX(المنيو!$C$2:$C$500,MATCH($C11623,المنيو!$B$2:$B$500,0)),0))</f>
        <v/>
      </c>
      <c r="F11623" s="107" t="str">
        <f aca="false">IF($C11623="","",$D11623*$E11623)</f>
        <v/>
      </c>
      <c r="G11623" s="107" t="str">
        <f aca="false">IF($C11623="","",$D11623*IFERROR(INDEX('تحليل التكلفة والسعر'!$C$2:$C$700,MATCH($C11623,'تحليل التكلفة والسعر'!$B$2:$B$700,0)),0))</f>
        <v/>
      </c>
    </row>
    <row r="11624" customFormat="false" ht="15" hidden="false" customHeight="false" outlineLevel="0" collapsed="false">
      <c r="A11624" s="103"/>
      <c r="B11624" s="104"/>
      <c r="C11624" s="104"/>
      <c r="E11624" s="107" t="str">
        <f aca="false">IF($C11624="","",IFERROR(INDEX(المنيو!$C$2:$C$500,MATCH($C11624,المنيو!$B$2:$B$500,0)),0))</f>
        <v/>
      </c>
      <c r="F11624" s="107" t="str">
        <f aca="false">IF($C11624="","",$D11624*$E11624)</f>
        <v/>
      </c>
      <c r="G11624" s="107" t="str">
        <f aca="false">IF($C11624="","",$D11624*IFERROR(INDEX('تحليل التكلفة والسعر'!$C$2:$C$700,MATCH($C11624,'تحليل التكلفة والسعر'!$B$2:$B$700,0)),0))</f>
        <v/>
      </c>
    </row>
    <row r="11625" customFormat="false" ht="15" hidden="false" customHeight="false" outlineLevel="0" collapsed="false">
      <c r="A11625" s="103"/>
      <c r="B11625" s="104"/>
      <c r="C11625" s="104"/>
      <c r="E11625" s="107" t="str">
        <f aca="false">IF($C11625="","",IFERROR(INDEX(المنيو!$C$2:$C$500,MATCH($C11625,المنيو!$B$2:$B$500,0)),0))</f>
        <v/>
      </c>
      <c r="F11625" s="107" t="str">
        <f aca="false">IF($C11625="","",$D11625*$E11625)</f>
        <v/>
      </c>
      <c r="G11625" s="107" t="str">
        <f aca="false">IF($C11625="","",$D11625*IFERROR(INDEX('تحليل التكلفة والسعر'!$C$2:$C$700,MATCH($C11625,'تحليل التكلفة والسعر'!$B$2:$B$700,0)),0))</f>
        <v/>
      </c>
    </row>
    <row r="11626" customFormat="false" ht="15" hidden="false" customHeight="false" outlineLevel="0" collapsed="false">
      <c r="A11626" s="103"/>
      <c r="B11626" s="104"/>
      <c r="C11626" s="104"/>
      <c r="E11626" s="107" t="str">
        <f aca="false">IF($C11626="","",IFERROR(INDEX(المنيو!$C$2:$C$500,MATCH($C11626,المنيو!$B$2:$B$500,0)),0))</f>
        <v/>
      </c>
      <c r="F11626" s="107" t="str">
        <f aca="false">IF($C11626="","",$D11626*$E11626)</f>
        <v/>
      </c>
      <c r="G11626" s="107" t="str">
        <f aca="false">IF($C11626="","",$D11626*IFERROR(INDEX('تحليل التكلفة والسعر'!$C$2:$C$700,MATCH($C11626,'تحليل التكلفة والسعر'!$B$2:$B$700,0)),0))</f>
        <v/>
      </c>
    </row>
    <row r="11627" customFormat="false" ht="15" hidden="false" customHeight="false" outlineLevel="0" collapsed="false">
      <c r="A11627" s="103"/>
      <c r="B11627" s="104"/>
      <c r="C11627" s="104"/>
      <c r="E11627" s="107" t="str">
        <f aca="false">IF($C11627="","",IFERROR(INDEX(المنيو!$C$2:$C$500,MATCH($C11627,المنيو!$B$2:$B$500,0)),0))</f>
        <v/>
      </c>
      <c r="F11627" s="107" t="str">
        <f aca="false">IF($C11627="","",$D11627*$E11627)</f>
        <v/>
      </c>
      <c r="G11627" s="107" t="str">
        <f aca="false">IF($C11627="","",$D11627*IFERROR(INDEX('تحليل التكلفة والسعر'!$C$2:$C$700,MATCH($C11627,'تحليل التكلفة والسعر'!$B$2:$B$700,0)),0))</f>
        <v/>
      </c>
    </row>
    <row r="11628" customFormat="false" ht="15" hidden="false" customHeight="false" outlineLevel="0" collapsed="false">
      <c r="A11628" s="103"/>
      <c r="B11628" s="104"/>
      <c r="C11628" s="104"/>
      <c r="E11628" s="107" t="str">
        <f aca="false">IF($C11628="","",IFERROR(INDEX(المنيو!$C$2:$C$500,MATCH($C11628,المنيو!$B$2:$B$500,0)),0))</f>
        <v/>
      </c>
      <c r="F11628" s="107" t="str">
        <f aca="false">IF($C11628="","",$D11628*$E11628)</f>
        <v/>
      </c>
      <c r="G11628" s="107" t="str">
        <f aca="false">IF($C11628="","",$D11628*IFERROR(INDEX('تحليل التكلفة والسعر'!$C$2:$C$700,MATCH($C11628,'تحليل التكلفة والسعر'!$B$2:$B$700,0)),0))</f>
        <v/>
      </c>
    </row>
    <row r="11629" customFormat="false" ht="15" hidden="false" customHeight="false" outlineLevel="0" collapsed="false">
      <c r="A11629" s="103"/>
      <c r="B11629" s="104"/>
      <c r="C11629" s="104"/>
      <c r="E11629" s="107" t="str">
        <f aca="false">IF($C11629="","",IFERROR(INDEX(المنيو!$C$2:$C$500,MATCH($C11629,المنيو!$B$2:$B$500,0)),0))</f>
        <v/>
      </c>
      <c r="F11629" s="107" t="str">
        <f aca="false">IF($C11629="","",$D11629*$E11629)</f>
        <v/>
      </c>
      <c r="G11629" s="107" t="str">
        <f aca="false">IF($C11629="","",$D11629*IFERROR(INDEX('تحليل التكلفة والسعر'!$C$2:$C$700,MATCH($C11629,'تحليل التكلفة والسعر'!$B$2:$B$700,0)),0))</f>
        <v/>
      </c>
    </row>
    <row r="11630" customFormat="false" ht="15" hidden="false" customHeight="false" outlineLevel="0" collapsed="false">
      <c r="A11630" s="103"/>
      <c r="B11630" s="104"/>
      <c r="C11630" s="104"/>
      <c r="E11630" s="107" t="str">
        <f aca="false">IF($C11630="","",IFERROR(INDEX(المنيو!$C$2:$C$500,MATCH($C11630,المنيو!$B$2:$B$500,0)),0))</f>
        <v/>
      </c>
      <c r="F11630" s="107" t="str">
        <f aca="false">IF($C11630="","",$D11630*$E11630)</f>
        <v/>
      </c>
      <c r="G11630" s="107" t="str">
        <f aca="false">IF($C11630="","",$D11630*IFERROR(INDEX('تحليل التكلفة والسعر'!$C$2:$C$700,MATCH($C11630,'تحليل التكلفة والسعر'!$B$2:$B$700,0)),0))</f>
        <v/>
      </c>
    </row>
    <row r="11631" customFormat="false" ht="15" hidden="false" customHeight="false" outlineLevel="0" collapsed="false">
      <c r="A11631" s="103"/>
      <c r="B11631" s="104"/>
      <c r="C11631" s="104"/>
      <c r="E11631" s="107" t="str">
        <f aca="false">IF($C11631="","",IFERROR(INDEX(المنيو!$C$2:$C$500,MATCH($C11631,المنيو!$B$2:$B$500,0)),0))</f>
        <v/>
      </c>
      <c r="F11631" s="107" t="str">
        <f aca="false">IF($C11631="","",$D11631*$E11631)</f>
        <v/>
      </c>
      <c r="G11631" s="107" t="str">
        <f aca="false">IF($C11631="","",$D11631*IFERROR(INDEX('تحليل التكلفة والسعر'!$C$2:$C$700,MATCH($C11631,'تحليل التكلفة والسعر'!$B$2:$B$700,0)),0))</f>
        <v/>
      </c>
    </row>
    <row r="11632" customFormat="false" ht="15" hidden="false" customHeight="false" outlineLevel="0" collapsed="false">
      <c r="A11632" s="103"/>
      <c r="B11632" s="104"/>
      <c r="C11632" s="104"/>
      <c r="E11632" s="107" t="str">
        <f aca="false">IF($C11632="","",IFERROR(INDEX(المنيو!$C$2:$C$500,MATCH($C11632,المنيو!$B$2:$B$500,0)),0))</f>
        <v/>
      </c>
      <c r="F11632" s="107" t="str">
        <f aca="false">IF($C11632="","",$D11632*$E11632)</f>
        <v/>
      </c>
      <c r="G11632" s="107" t="str">
        <f aca="false">IF($C11632="","",$D11632*IFERROR(INDEX('تحليل التكلفة والسعر'!$C$2:$C$700,MATCH($C11632,'تحليل التكلفة والسعر'!$B$2:$B$700,0)),0))</f>
        <v/>
      </c>
    </row>
    <row r="11633" customFormat="false" ht="15" hidden="false" customHeight="false" outlineLevel="0" collapsed="false">
      <c r="A11633" s="103"/>
      <c r="B11633" s="104"/>
      <c r="C11633" s="104"/>
      <c r="E11633" s="107" t="str">
        <f aca="false">IF($C11633="","",IFERROR(INDEX(المنيو!$C$2:$C$500,MATCH($C11633,المنيو!$B$2:$B$500,0)),0))</f>
        <v/>
      </c>
      <c r="F11633" s="107" t="str">
        <f aca="false">IF($C11633="","",$D11633*$E11633)</f>
        <v/>
      </c>
      <c r="G11633" s="107" t="str">
        <f aca="false">IF($C11633="","",$D11633*IFERROR(INDEX('تحليل التكلفة والسعر'!$C$2:$C$700,MATCH($C11633,'تحليل التكلفة والسعر'!$B$2:$B$700,0)),0))</f>
        <v/>
      </c>
    </row>
    <row r="11634" customFormat="false" ht="15" hidden="false" customHeight="false" outlineLevel="0" collapsed="false">
      <c r="A11634" s="103"/>
      <c r="B11634" s="104"/>
      <c r="C11634" s="104"/>
      <c r="E11634" s="107" t="str">
        <f aca="false">IF($C11634="","",IFERROR(INDEX(المنيو!$C$2:$C$500,MATCH($C11634,المنيو!$B$2:$B$500,0)),0))</f>
        <v/>
      </c>
      <c r="F11634" s="107" t="str">
        <f aca="false">IF($C11634="","",$D11634*$E11634)</f>
        <v/>
      </c>
      <c r="G11634" s="107" t="str">
        <f aca="false">IF($C11634="","",$D11634*IFERROR(INDEX('تحليل التكلفة والسعر'!$C$2:$C$700,MATCH($C11634,'تحليل التكلفة والسعر'!$B$2:$B$700,0)),0))</f>
        <v/>
      </c>
    </row>
    <row r="11635" customFormat="false" ht="15" hidden="false" customHeight="false" outlineLevel="0" collapsed="false">
      <c r="A11635" s="103"/>
      <c r="B11635" s="104"/>
      <c r="C11635" s="104"/>
      <c r="E11635" s="107" t="str">
        <f aca="false">IF($C11635="","",IFERROR(INDEX(المنيو!$C$2:$C$500,MATCH($C11635,المنيو!$B$2:$B$500,0)),0))</f>
        <v/>
      </c>
      <c r="F11635" s="107" t="str">
        <f aca="false">IF($C11635="","",$D11635*$E11635)</f>
        <v/>
      </c>
      <c r="G11635" s="107" t="str">
        <f aca="false">IF($C11635="","",$D11635*IFERROR(INDEX('تحليل التكلفة والسعر'!$C$2:$C$700,MATCH($C11635,'تحليل التكلفة والسعر'!$B$2:$B$700,0)),0))</f>
        <v/>
      </c>
    </row>
    <row r="11636" customFormat="false" ht="15" hidden="false" customHeight="false" outlineLevel="0" collapsed="false">
      <c r="A11636" s="103"/>
      <c r="B11636" s="104"/>
      <c r="C11636" s="104"/>
      <c r="E11636" s="107" t="str">
        <f aca="false">IF($C11636="","",IFERROR(INDEX(المنيو!$C$2:$C$500,MATCH($C11636,المنيو!$B$2:$B$500,0)),0))</f>
        <v/>
      </c>
      <c r="F11636" s="107" t="str">
        <f aca="false">IF($C11636="","",$D11636*$E11636)</f>
        <v/>
      </c>
      <c r="G11636" s="107" t="str">
        <f aca="false">IF($C11636="","",$D11636*IFERROR(INDEX('تحليل التكلفة والسعر'!$C$2:$C$700,MATCH($C11636,'تحليل التكلفة والسعر'!$B$2:$B$700,0)),0))</f>
        <v/>
      </c>
    </row>
    <row r="11637" customFormat="false" ht="15" hidden="false" customHeight="false" outlineLevel="0" collapsed="false">
      <c r="A11637" s="103"/>
      <c r="B11637" s="104"/>
      <c r="C11637" s="104"/>
      <c r="E11637" s="107" t="str">
        <f aca="false">IF($C11637="","",IFERROR(INDEX(المنيو!$C$2:$C$500,MATCH($C11637,المنيو!$B$2:$B$500,0)),0))</f>
        <v/>
      </c>
      <c r="F11637" s="107" t="str">
        <f aca="false">IF($C11637="","",$D11637*$E11637)</f>
        <v/>
      </c>
      <c r="G11637" s="107" t="str">
        <f aca="false">IF($C11637="","",$D11637*IFERROR(INDEX('تحليل التكلفة والسعر'!$C$2:$C$700,MATCH($C11637,'تحليل التكلفة والسعر'!$B$2:$B$700,0)),0))</f>
        <v/>
      </c>
    </row>
    <row r="11638" customFormat="false" ht="15" hidden="false" customHeight="false" outlineLevel="0" collapsed="false">
      <c r="A11638" s="103"/>
      <c r="B11638" s="104"/>
      <c r="C11638" s="104"/>
      <c r="E11638" s="107" t="str">
        <f aca="false">IF($C11638="","",IFERROR(INDEX(المنيو!$C$2:$C$500,MATCH($C11638,المنيو!$B$2:$B$500,0)),0))</f>
        <v/>
      </c>
      <c r="F11638" s="107" t="str">
        <f aca="false">IF($C11638="","",$D11638*$E11638)</f>
        <v/>
      </c>
      <c r="G11638" s="107" t="str">
        <f aca="false">IF($C11638="","",$D11638*IFERROR(INDEX('تحليل التكلفة والسعر'!$C$2:$C$700,MATCH($C11638,'تحليل التكلفة والسعر'!$B$2:$B$700,0)),0))</f>
        <v/>
      </c>
    </row>
    <row r="11639" customFormat="false" ht="15" hidden="false" customHeight="false" outlineLevel="0" collapsed="false">
      <c r="A11639" s="103"/>
      <c r="B11639" s="104"/>
      <c r="C11639" s="104"/>
      <c r="E11639" s="107" t="str">
        <f aca="false">IF($C11639="","",IFERROR(INDEX(المنيو!$C$2:$C$500,MATCH($C11639,المنيو!$B$2:$B$500,0)),0))</f>
        <v/>
      </c>
      <c r="F11639" s="107" t="str">
        <f aca="false">IF($C11639="","",$D11639*$E11639)</f>
        <v/>
      </c>
      <c r="G11639" s="107" t="str">
        <f aca="false">IF($C11639="","",$D11639*IFERROR(INDEX('تحليل التكلفة والسعر'!$C$2:$C$700,MATCH($C11639,'تحليل التكلفة والسعر'!$B$2:$B$700,0)),0))</f>
        <v/>
      </c>
    </row>
    <row r="11640" customFormat="false" ht="15" hidden="false" customHeight="false" outlineLevel="0" collapsed="false">
      <c r="A11640" s="103"/>
      <c r="B11640" s="104"/>
      <c r="C11640" s="104"/>
      <c r="E11640" s="107" t="str">
        <f aca="false">IF($C11640="","",IFERROR(INDEX(المنيو!$C$2:$C$500,MATCH($C11640,المنيو!$B$2:$B$500,0)),0))</f>
        <v/>
      </c>
      <c r="F11640" s="107" t="str">
        <f aca="false">IF($C11640="","",$D11640*$E11640)</f>
        <v/>
      </c>
      <c r="G11640" s="107" t="str">
        <f aca="false">IF($C11640="","",$D11640*IFERROR(INDEX('تحليل التكلفة والسعر'!$C$2:$C$700,MATCH($C11640,'تحليل التكلفة والسعر'!$B$2:$B$700,0)),0))</f>
        <v/>
      </c>
    </row>
    <row r="11641" customFormat="false" ht="15" hidden="false" customHeight="false" outlineLevel="0" collapsed="false">
      <c r="A11641" s="103"/>
      <c r="B11641" s="104"/>
      <c r="C11641" s="104"/>
      <c r="E11641" s="107" t="str">
        <f aca="false">IF($C11641="","",IFERROR(INDEX(المنيو!$C$2:$C$500,MATCH($C11641,المنيو!$B$2:$B$500,0)),0))</f>
        <v/>
      </c>
      <c r="F11641" s="107" t="str">
        <f aca="false">IF($C11641="","",$D11641*$E11641)</f>
        <v/>
      </c>
      <c r="G11641" s="107" t="str">
        <f aca="false">IF($C11641="","",$D11641*IFERROR(INDEX('تحليل التكلفة والسعر'!$C$2:$C$700,MATCH($C11641,'تحليل التكلفة والسعر'!$B$2:$B$700,0)),0))</f>
        <v/>
      </c>
    </row>
    <row r="11642" customFormat="false" ht="15" hidden="false" customHeight="false" outlineLevel="0" collapsed="false">
      <c r="A11642" s="103"/>
      <c r="B11642" s="104"/>
      <c r="C11642" s="104"/>
      <c r="E11642" s="107" t="str">
        <f aca="false">IF($C11642="","",IFERROR(INDEX(المنيو!$C$2:$C$500,MATCH($C11642,المنيو!$B$2:$B$500,0)),0))</f>
        <v/>
      </c>
      <c r="F11642" s="107" t="str">
        <f aca="false">IF($C11642="","",$D11642*$E11642)</f>
        <v/>
      </c>
      <c r="G11642" s="107" t="str">
        <f aca="false">IF($C11642="","",$D11642*IFERROR(INDEX('تحليل التكلفة والسعر'!$C$2:$C$700,MATCH($C11642,'تحليل التكلفة والسعر'!$B$2:$B$700,0)),0))</f>
        <v/>
      </c>
    </row>
    <row r="11643" customFormat="false" ht="15" hidden="false" customHeight="false" outlineLevel="0" collapsed="false">
      <c r="A11643" s="103"/>
      <c r="B11643" s="104"/>
      <c r="C11643" s="104"/>
      <c r="E11643" s="107" t="str">
        <f aca="false">IF($C11643="","",IFERROR(INDEX(المنيو!$C$2:$C$500,MATCH($C11643,المنيو!$B$2:$B$500,0)),0))</f>
        <v/>
      </c>
      <c r="F11643" s="107" t="str">
        <f aca="false">IF($C11643="","",$D11643*$E11643)</f>
        <v/>
      </c>
      <c r="G11643" s="107" t="str">
        <f aca="false">IF($C11643="","",$D11643*IFERROR(INDEX('تحليل التكلفة والسعر'!$C$2:$C$700,MATCH($C11643,'تحليل التكلفة والسعر'!$B$2:$B$700,0)),0))</f>
        <v/>
      </c>
    </row>
    <row r="11644" customFormat="false" ht="15" hidden="false" customHeight="false" outlineLevel="0" collapsed="false">
      <c r="A11644" s="103"/>
      <c r="B11644" s="104"/>
      <c r="C11644" s="104"/>
      <c r="E11644" s="107" t="str">
        <f aca="false">IF($C11644="","",IFERROR(INDEX(المنيو!$C$2:$C$500,MATCH($C11644,المنيو!$B$2:$B$500,0)),0))</f>
        <v/>
      </c>
      <c r="F11644" s="107" t="str">
        <f aca="false">IF($C11644="","",$D11644*$E11644)</f>
        <v/>
      </c>
      <c r="G11644" s="107" t="str">
        <f aca="false">IF($C11644="","",$D11644*IFERROR(INDEX('تحليل التكلفة والسعر'!$C$2:$C$700,MATCH($C11644,'تحليل التكلفة والسعر'!$B$2:$B$700,0)),0))</f>
        <v/>
      </c>
    </row>
    <row r="11645" customFormat="false" ht="15" hidden="false" customHeight="false" outlineLevel="0" collapsed="false">
      <c r="A11645" s="103"/>
      <c r="B11645" s="104"/>
      <c r="C11645" s="104"/>
      <c r="E11645" s="107" t="str">
        <f aca="false">IF($C11645="","",IFERROR(INDEX(المنيو!$C$2:$C$500,MATCH($C11645,المنيو!$B$2:$B$500,0)),0))</f>
        <v/>
      </c>
      <c r="F11645" s="107" t="str">
        <f aca="false">IF($C11645="","",$D11645*$E11645)</f>
        <v/>
      </c>
      <c r="G11645" s="107" t="str">
        <f aca="false">IF($C11645="","",$D11645*IFERROR(INDEX('تحليل التكلفة والسعر'!$C$2:$C$700,MATCH($C11645,'تحليل التكلفة والسعر'!$B$2:$B$700,0)),0))</f>
        <v/>
      </c>
    </row>
    <row r="11646" customFormat="false" ht="15" hidden="false" customHeight="false" outlineLevel="0" collapsed="false">
      <c r="A11646" s="103"/>
      <c r="B11646" s="104"/>
      <c r="C11646" s="104"/>
      <c r="E11646" s="107" t="str">
        <f aca="false">IF($C11646="","",IFERROR(INDEX(المنيو!$C$2:$C$500,MATCH($C11646,المنيو!$B$2:$B$500,0)),0))</f>
        <v/>
      </c>
      <c r="F11646" s="107" t="str">
        <f aca="false">IF($C11646="","",$D11646*$E11646)</f>
        <v/>
      </c>
      <c r="G11646" s="107" t="str">
        <f aca="false">IF($C11646="","",$D11646*IFERROR(INDEX('تحليل التكلفة والسعر'!$C$2:$C$700,MATCH($C11646,'تحليل التكلفة والسعر'!$B$2:$B$700,0)),0))</f>
        <v/>
      </c>
    </row>
    <row r="11647" customFormat="false" ht="15" hidden="false" customHeight="false" outlineLevel="0" collapsed="false">
      <c r="A11647" s="103"/>
      <c r="B11647" s="104"/>
      <c r="C11647" s="104"/>
      <c r="E11647" s="107" t="str">
        <f aca="false">IF($C11647="","",IFERROR(INDEX(المنيو!$C$2:$C$500,MATCH($C11647,المنيو!$B$2:$B$500,0)),0))</f>
        <v/>
      </c>
      <c r="F11647" s="107" t="str">
        <f aca="false">IF($C11647="","",$D11647*$E11647)</f>
        <v/>
      </c>
      <c r="G11647" s="107" t="str">
        <f aca="false">IF($C11647="","",$D11647*IFERROR(INDEX('تحليل التكلفة والسعر'!$C$2:$C$700,MATCH($C11647,'تحليل التكلفة والسعر'!$B$2:$B$700,0)),0))</f>
        <v/>
      </c>
    </row>
    <row r="11648" customFormat="false" ht="15" hidden="false" customHeight="false" outlineLevel="0" collapsed="false">
      <c r="A11648" s="103"/>
      <c r="B11648" s="104"/>
      <c r="C11648" s="104"/>
      <c r="E11648" s="107" t="str">
        <f aca="false">IF($C11648="","",IFERROR(INDEX(المنيو!$C$2:$C$500,MATCH($C11648,المنيو!$B$2:$B$500,0)),0))</f>
        <v/>
      </c>
      <c r="F11648" s="107" t="str">
        <f aca="false">IF($C11648="","",$D11648*$E11648)</f>
        <v/>
      </c>
      <c r="G11648" s="107" t="str">
        <f aca="false">IF($C11648="","",$D11648*IFERROR(INDEX('تحليل التكلفة والسعر'!$C$2:$C$700,MATCH($C11648,'تحليل التكلفة والسعر'!$B$2:$B$700,0)),0))</f>
        <v/>
      </c>
    </row>
    <row r="11649" customFormat="false" ht="15" hidden="false" customHeight="false" outlineLevel="0" collapsed="false">
      <c r="A11649" s="103"/>
      <c r="B11649" s="104"/>
      <c r="C11649" s="104"/>
      <c r="E11649" s="107" t="str">
        <f aca="false">IF($C11649="","",IFERROR(INDEX(المنيو!$C$2:$C$500,MATCH($C11649,المنيو!$B$2:$B$500,0)),0))</f>
        <v/>
      </c>
      <c r="F11649" s="107" t="str">
        <f aca="false">IF($C11649="","",$D11649*$E11649)</f>
        <v/>
      </c>
      <c r="G11649" s="107" t="str">
        <f aca="false">IF($C11649="","",$D11649*IFERROR(INDEX('تحليل التكلفة والسعر'!$C$2:$C$700,MATCH($C11649,'تحليل التكلفة والسعر'!$B$2:$B$700,0)),0))</f>
        <v/>
      </c>
    </row>
    <row r="11650" customFormat="false" ht="15" hidden="false" customHeight="false" outlineLevel="0" collapsed="false">
      <c r="A11650" s="103"/>
      <c r="B11650" s="104"/>
      <c r="C11650" s="104"/>
      <c r="E11650" s="107" t="str">
        <f aca="false">IF($C11650="","",IFERROR(INDEX(المنيو!$C$2:$C$500,MATCH($C11650,المنيو!$B$2:$B$500,0)),0))</f>
        <v/>
      </c>
      <c r="F11650" s="107" t="str">
        <f aca="false">IF($C11650="","",$D11650*$E11650)</f>
        <v/>
      </c>
      <c r="G11650" s="107" t="str">
        <f aca="false">IF($C11650="","",$D11650*IFERROR(INDEX('تحليل التكلفة والسعر'!$C$2:$C$700,MATCH($C11650,'تحليل التكلفة والسعر'!$B$2:$B$700,0)),0))</f>
        <v/>
      </c>
    </row>
    <row r="11651" customFormat="false" ht="15" hidden="false" customHeight="false" outlineLevel="0" collapsed="false">
      <c r="A11651" s="103"/>
      <c r="B11651" s="104"/>
      <c r="C11651" s="104"/>
      <c r="E11651" s="107" t="str">
        <f aca="false">IF($C11651="","",IFERROR(INDEX(المنيو!$C$2:$C$500,MATCH($C11651,المنيو!$B$2:$B$500,0)),0))</f>
        <v/>
      </c>
      <c r="F11651" s="107" t="str">
        <f aca="false">IF($C11651="","",$D11651*$E11651)</f>
        <v/>
      </c>
      <c r="G11651" s="107" t="str">
        <f aca="false">IF($C11651="","",$D11651*IFERROR(INDEX('تحليل التكلفة والسعر'!$C$2:$C$700,MATCH($C11651,'تحليل التكلفة والسعر'!$B$2:$B$700,0)),0))</f>
        <v/>
      </c>
    </row>
    <row r="11652" customFormat="false" ht="15" hidden="false" customHeight="false" outlineLevel="0" collapsed="false">
      <c r="A11652" s="103"/>
      <c r="B11652" s="104"/>
      <c r="C11652" s="104"/>
      <c r="E11652" s="107" t="str">
        <f aca="false">IF($C11652="","",IFERROR(INDEX(المنيو!$C$2:$C$500,MATCH($C11652,المنيو!$B$2:$B$500,0)),0))</f>
        <v/>
      </c>
      <c r="F11652" s="107" t="str">
        <f aca="false">IF($C11652="","",$D11652*$E11652)</f>
        <v/>
      </c>
      <c r="G11652" s="107" t="str">
        <f aca="false">IF($C11652="","",$D11652*IFERROR(INDEX('تحليل التكلفة والسعر'!$C$2:$C$700,MATCH($C11652,'تحليل التكلفة والسعر'!$B$2:$B$700,0)),0))</f>
        <v/>
      </c>
    </row>
    <row r="11653" customFormat="false" ht="15" hidden="false" customHeight="false" outlineLevel="0" collapsed="false">
      <c r="A11653" s="103"/>
      <c r="B11653" s="104"/>
      <c r="C11653" s="104"/>
      <c r="E11653" s="107" t="str">
        <f aca="false">IF($C11653="","",IFERROR(INDEX(المنيو!$C$2:$C$500,MATCH($C11653,المنيو!$B$2:$B$500,0)),0))</f>
        <v/>
      </c>
      <c r="F11653" s="107" t="str">
        <f aca="false">IF($C11653="","",$D11653*$E11653)</f>
        <v/>
      </c>
      <c r="G11653" s="107" t="str">
        <f aca="false">IF($C11653="","",$D11653*IFERROR(INDEX('تحليل التكلفة والسعر'!$C$2:$C$700,MATCH($C11653,'تحليل التكلفة والسعر'!$B$2:$B$700,0)),0))</f>
        <v/>
      </c>
    </row>
    <row r="11654" customFormat="false" ht="15" hidden="false" customHeight="false" outlineLevel="0" collapsed="false">
      <c r="A11654" s="103"/>
      <c r="B11654" s="104"/>
      <c r="C11654" s="104"/>
      <c r="E11654" s="107" t="str">
        <f aca="false">IF($C11654="","",IFERROR(INDEX(المنيو!$C$2:$C$500,MATCH($C11654,المنيو!$B$2:$B$500,0)),0))</f>
        <v/>
      </c>
      <c r="F11654" s="107" t="str">
        <f aca="false">IF($C11654="","",$D11654*$E11654)</f>
        <v/>
      </c>
      <c r="G11654" s="107" t="str">
        <f aca="false">IF($C11654="","",$D11654*IFERROR(INDEX('تحليل التكلفة والسعر'!$C$2:$C$700,MATCH($C11654,'تحليل التكلفة والسعر'!$B$2:$B$700,0)),0))</f>
        <v/>
      </c>
    </row>
    <row r="11655" customFormat="false" ht="15" hidden="false" customHeight="false" outlineLevel="0" collapsed="false">
      <c r="A11655" s="103"/>
      <c r="B11655" s="104"/>
      <c r="C11655" s="104"/>
      <c r="E11655" s="107" t="str">
        <f aca="false">IF($C11655="","",IFERROR(INDEX(المنيو!$C$2:$C$500,MATCH($C11655,المنيو!$B$2:$B$500,0)),0))</f>
        <v/>
      </c>
      <c r="F11655" s="107" t="str">
        <f aca="false">IF($C11655="","",$D11655*$E11655)</f>
        <v/>
      </c>
      <c r="G11655" s="107" t="str">
        <f aca="false">IF($C11655="","",$D11655*IFERROR(INDEX('تحليل التكلفة والسعر'!$C$2:$C$700,MATCH($C11655,'تحليل التكلفة والسعر'!$B$2:$B$700,0)),0))</f>
        <v/>
      </c>
    </row>
    <row r="11656" customFormat="false" ht="15" hidden="false" customHeight="false" outlineLevel="0" collapsed="false">
      <c r="A11656" s="103"/>
      <c r="B11656" s="104"/>
      <c r="C11656" s="104"/>
      <c r="E11656" s="107" t="str">
        <f aca="false">IF($C11656="","",IFERROR(INDEX(المنيو!$C$2:$C$500,MATCH($C11656,المنيو!$B$2:$B$500,0)),0))</f>
        <v/>
      </c>
      <c r="F11656" s="107" t="str">
        <f aca="false">IF($C11656="","",$D11656*$E11656)</f>
        <v/>
      </c>
      <c r="G11656" s="107" t="str">
        <f aca="false">IF($C11656="","",$D11656*IFERROR(INDEX('تحليل التكلفة والسعر'!$C$2:$C$700,MATCH($C11656,'تحليل التكلفة والسعر'!$B$2:$B$700,0)),0))</f>
        <v/>
      </c>
    </row>
    <row r="11657" customFormat="false" ht="15" hidden="false" customHeight="false" outlineLevel="0" collapsed="false">
      <c r="A11657" s="103"/>
      <c r="B11657" s="104"/>
      <c r="C11657" s="104"/>
      <c r="E11657" s="107" t="str">
        <f aca="false">IF($C11657="","",IFERROR(INDEX(المنيو!$C$2:$C$500,MATCH($C11657,المنيو!$B$2:$B$500,0)),0))</f>
        <v/>
      </c>
      <c r="F11657" s="107" t="str">
        <f aca="false">IF($C11657="","",$D11657*$E11657)</f>
        <v/>
      </c>
      <c r="G11657" s="107" t="str">
        <f aca="false">IF($C11657="","",$D11657*IFERROR(INDEX('تحليل التكلفة والسعر'!$C$2:$C$700,MATCH($C11657,'تحليل التكلفة والسعر'!$B$2:$B$700,0)),0))</f>
        <v/>
      </c>
    </row>
    <row r="11658" customFormat="false" ht="15" hidden="false" customHeight="false" outlineLevel="0" collapsed="false">
      <c r="A11658" s="103"/>
      <c r="B11658" s="104"/>
      <c r="C11658" s="104"/>
      <c r="E11658" s="107" t="str">
        <f aca="false">IF($C11658="","",IFERROR(INDEX(المنيو!$C$2:$C$500,MATCH($C11658,المنيو!$B$2:$B$500,0)),0))</f>
        <v/>
      </c>
      <c r="F11658" s="107" t="str">
        <f aca="false">IF($C11658="","",$D11658*$E11658)</f>
        <v/>
      </c>
      <c r="G11658" s="107" t="str">
        <f aca="false">IF($C11658="","",$D11658*IFERROR(INDEX('تحليل التكلفة والسعر'!$C$2:$C$700,MATCH($C11658,'تحليل التكلفة والسعر'!$B$2:$B$700,0)),0))</f>
        <v/>
      </c>
    </row>
    <row r="11659" customFormat="false" ht="15" hidden="false" customHeight="false" outlineLevel="0" collapsed="false">
      <c r="A11659" s="103"/>
      <c r="B11659" s="104"/>
      <c r="C11659" s="104"/>
      <c r="E11659" s="107" t="str">
        <f aca="false">IF($C11659="","",IFERROR(INDEX(المنيو!$C$2:$C$500,MATCH($C11659,المنيو!$B$2:$B$500,0)),0))</f>
        <v/>
      </c>
      <c r="F11659" s="107" t="str">
        <f aca="false">IF($C11659="","",$D11659*$E11659)</f>
        <v/>
      </c>
      <c r="G11659" s="107" t="str">
        <f aca="false">IF($C11659="","",$D11659*IFERROR(INDEX('تحليل التكلفة والسعر'!$C$2:$C$700,MATCH($C11659,'تحليل التكلفة والسعر'!$B$2:$B$700,0)),0))</f>
        <v/>
      </c>
    </row>
    <row r="11660" customFormat="false" ht="15" hidden="false" customHeight="false" outlineLevel="0" collapsed="false">
      <c r="A11660" s="103"/>
      <c r="B11660" s="104"/>
      <c r="C11660" s="104"/>
      <c r="E11660" s="107" t="str">
        <f aca="false">IF($C11660="","",IFERROR(INDEX(المنيو!$C$2:$C$500,MATCH($C11660,المنيو!$B$2:$B$500,0)),0))</f>
        <v/>
      </c>
      <c r="F11660" s="107" t="str">
        <f aca="false">IF($C11660="","",$D11660*$E11660)</f>
        <v/>
      </c>
      <c r="G11660" s="107" t="str">
        <f aca="false">IF($C11660="","",$D11660*IFERROR(INDEX('تحليل التكلفة والسعر'!$C$2:$C$700,MATCH($C11660,'تحليل التكلفة والسعر'!$B$2:$B$700,0)),0))</f>
        <v/>
      </c>
    </row>
    <row r="11661" customFormat="false" ht="15" hidden="false" customHeight="false" outlineLevel="0" collapsed="false">
      <c r="A11661" s="103"/>
      <c r="B11661" s="104"/>
      <c r="C11661" s="104"/>
      <c r="E11661" s="107" t="str">
        <f aca="false">IF($C11661="","",IFERROR(INDEX(المنيو!$C$2:$C$500,MATCH($C11661,المنيو!$B$2:$B$500,0)),0))</f>
        <v/>
      </c>
      <c r="F11661" s="107" t="str">
        <f aca="false">IF($C11661="","",$D11661*$E11661)</f>
        <v/>
      </c>
      <c r="G11661" s="107" t="str">
        <f aca="false">IF($C11661="","",$D11661*IFERROR(INDEX('تحليل التكلفة والسعر'!$C$2:$C$700,MATCH($C11661,'تحليل التكلفة والسعر'!$B$2:$B$700,0)),0))</f>
        <v/>
      </c>
    </row>
    <row r="11662" customFormat="false" ht="15" hidden="false" customHeight="false" outlineLevel="0" collapsed="false">
      <c r="A11662" s="103"/>
      <c r="B11662" s="104"/>
      <c r="C11662" s="104"/>
      <c r="E11662" s="107" t="str">
        <f aca="false">IF($C11662="","",IFERROR(INDEX(المنيو!$C$2:$C$500,MATCH($C11662,المنيو!$B$2:$B$500,0)),0))</f>
        <v/>
      </c>
      <c r="F11662" s="107" t="str">
        <f aca="false">IF($C11662="","",$D11662*$E11662)</f>
        <v/>
      </c>
      <c r="G11662" s="107" t="str">
        <f aca="false">IF($C11662="","",$D11662*IFERROR(INDEX('تحليل التكلفة والسعر'!$C$2:$C$700,MATCH($C11662,'تحليل التكلفة والسعر'!$B$2:$B$700,0)),0))</f>
        <v/>
      </c>
    </row>
    <row r="11663" customFormat="false" ht="15" hidden="false" customHeight="false" outlineLevel="0" collapsed="false">
      <c r="A11663" s="103"/>
      <c r="B11663" s="104"/>
      <c r="C11663" s="104"/>
      <c r="E11663" s="107" t="str">
        <f aca="false">IF($C11663="","",IFERROR(INDEX(المنيو!$C$2:$C$500,MATCH($C11663,المنيو!$B$2:$B$500,0)),0))</f>
        <v/>
      </c>
      <c r="F11663" s="107" t="str">
        <f aca="false">IF($C11663="","",$D11663*$E11663)</f>
        <v/>
      </c>
      <c r="G11663" s="107" t="str">
        <f aca="false">IF($C11663="","",$D11663*IFERROR(INDEX('تحليل التكلفة والسعر'!$C$2:$C$700,MATCH($C11663,'تحليل التكلفة والسعر'!$B$2:$B$700,0)),0))</f>
        <v/>
      </c>
    </row>
    <row r="11664" customFormat="false" ht="15" hidden="false" customHeight="false" outlineLevel="0" collapsed="false">
      <c r="A11664" s="103"/>
      <c r="B11664" s="104"/>
      <c r="C11664" s="104"/>
      <c r="E11664" s="107" t="str">
        <f aca="false">IF($C11664="","",IFERROR(INDEX(المنيو!$C$2:$C$500,MATCH($C11664,المنيو!$B$2:$B$500,0)),0))</f>
        <v/>
      </c>
      <c r="F11664" s="107" t="str">
        <f aca="false">IF($C11664="","",$D11664*$E11664)</f>
        <v/>
      </c>
      <c r="G11664" s="107" t="str">
        <f aca="false">IF($C11664="","",$D11664*IFERROR(INDEX('تحليل التكلفة والسعر'!$C$2:$C$700,MATCH($C11664,'تحليل التكلفة والسعر'!$B$2:$B$700,0)),0))</f>
        <v/>
      </c>
    </row>
    <row r="11665" customFormat="false" ht="15" hidden="false" customHeight="false" outlineLevel="0" collapsed="false">
      <c r="A11665" s="103"/>
      <c r="B11665" s="104"/>
      <c r="C11665" s="104"/>
      <c r="E11665" s="107" t="str">
        <f aca="false">IF($C11665="","",IFERROR(INDEX(المنيو!$C$2:$C$500,MATCH($C11665,المنيو!$B$2:$B$500,0)),0))</f>
        <v/>
      </c>
      <c r="F11665" s="107" t="str">
        <f aca="false">IF($C11665="","",$D11665*$E11665)</f>
        <v/>
      </c>
      <c r="G11665" s="107" t="str">
        <f aca="false">IF($C11665="","",$D11665*IFERROR(INDEX('تحليل التكلفة والسعر'!$C$2:$C$700,MATCH($C11665,'تحليل التكلفة والسعر'!$B$2:$B$700,0)),0))</f>
        <v/>
      </c>
    </row>
    <row r="11666" customFormat="false" ht="15" hidden="false" customHeight="false" outlineLevel="0" collapsed="false">
      <c r="A11666" s="103"/>
      <c r="B11666" s="104"/>
      <c r="C11666" s="104"/>
      <c r="E11666" s="107" t="str">
        <f aca="false">IF($C11666="","",IFERROR(INDEX(المنيو!$C$2:$C$500,MATCH($C11666,المنيو!$B$2:$B$500,0)),0))</f>
        <v/>
      </c>
      <c r="F11666" s="107" t="str">
        <f aca="false">IF($C11666="","",$D11666*$E11666)</f>
        <v/>
      </c>
      <c r="G11666" s="107" t="str">
        <f aca="false">IF($C11666="","",$D11666*IFERROR(INDEX('تحليل التكلفة والسعر'!$C$2:$C$700,MATCH($C11666,'تحليل التكلفة والسعر'!$B$2:$B$700,0)),0))</f>
        <v/>
      </c>
    </row>
    <row r="11667" customFormat="false" ht="15" hidden="false" customHeight="false" outlineLevel="0" collapsed="false">
      <c r="A11667" s="103"/>
      <c r="B11667" s="104"/>
      <c r="C11667" s="104"/>
      <c r="E11667" s="107" t="str">
        <f aca="false">IF($C11667="","",IFERROR(INDEX(المنيو!$C$2:$C$500,MATCH($C11667,المنيو!$B$2:$B$500,0)),0))</f>
        <v/>
      </c>
      <c r="F11667" s="107" t="str">
        <f aca="false">IF($C11667="","",$D11667*$E11667)</f>
        <v/>
      </c>
      <c r="G11667" s="107" t="str">
        <f aca="false">IF($C11667="","",$D11667*IFERROR(INDEX('تحليل التكلفة والسعر'!$C$2:$C$700,MATCH($C11667,'تحليل التكلفة والسعر'!$B$2:$B$700,0)),0))</f>
        <v/>
      </c>
    </row>
    <row r="11668" customFormat="false" ht="15" hidden="false" customHeight="false" outlineLevel="0" collapsed="false">
      <c r="A11668" s="103"/>
      <c r="B11668" s="104"/>
      <c r="C11668" s="104"/>
      <c r="E11668" s="107" t="str">
        <f aca="false">IF($C11668="","",IFERROR(INDEX(المنيو!$C$2:$C$500,MATCH($C11668,المنيو!$B$2:$B$500,0)),0))</f>
        <v/>
      </c>
      <c r="F11668" s="107" t="str">
        <f aca="false">IF($C11668="","",$D11668*$E11668)</f>
        <v/>
      </c>
      <c r="G11668" s="107" t="str">
        <f aca="false">IF($C11668="","",$D11668*IFERROR(INDEX('تحليل التكلفة والسعر'!$C$2:$C$700,MATCH($C11668,'تحليل التكلفة والسعر'!$B$2:$B$700,0)),0))</f>
        <v/>
      </c>
    </row>
    <row r="11669" customFormat="false" ht="15" hidden="false" customHeight="false" outlineLevel="0" collapsed="false">
      <c r="A11669" s="103"/>
      <c r="B11669" s="104"/>
      <c r="C11669" s="104"/>
      <c r="E11669" s="107" t="str">
        <f aca="false">IF($C11669="","",IFERROR(INDEX(المنيو!$C$2:$C$500,MATCH($C11669,المنيو!$B$2:$B$500,0)),0))</f>
        <v/>
      </c>
      <c r="F11669" s="107" t="str">
        <f aca="false">IF($C11669="","",$D11669*$E11669)</f>
        <v/>
      </c>
      <c r="G11669" s="107" t="str">
        <f aca="false">IF($C11669="","",$D11669*IFERROR(INDEX('تحليل التكلفة والسعر'!$C$2:$C$700,MATCH($C11669,'تحليل التكلفة والسعر'!$B$2:$B$700,0)),0))</f>
        <v/>
      </c>
    </row>
    <row r="11670" customFormat="false" ht="15" hidden="false" customHeight="false" outlineLevel="0" collapsed="false">
      <c r="A11670" s="103"/>
      <c r="B11670" s="104"/>
      <c r="C11670" s="104"/>
      <c r="E11670" s="107" t="str">
        <f aca="false">IF($C11670="","",IFERROR(INDEX(المنيو!$C$2:$C$500,MATCH($C11670,المنيو!$B$2:$B$500,0)),0))</f>
        <v/>
      </c>
      <c r="F11670" s="107" t="str">
        <f aca="false">IF($C11670="","",$D11670*$E11670)</f>
        <v/>
      </c>
      <c r="G11670" s="107" t="str">
        <f aca="false">IF($C11670="","",$D11670*IFERROR(INDEX('تحليل التكلفة والسعر'!$C$2:$C$700,MATCH($C11670,'تحليل التكلفة والسعر'!$B$2:$B$700,0)),0))</f>
        <v/>
      </c>
    </row>
    <row r="11671" customFormat="false" ht="15" hidden="false" customHeight="false" outlineLevel="0" collapsed="false">
      <c r="A11671" s="103"/>
      <c r="B11671" s="104"/>
      <c r="C11671" s="104"/>
      <c r="E11671" s="107" t="str">
        <f aca="false">IF($C11671="","",IFERROR(INDEX(المنيو!$C$2:$C$500,MATCH($C11671,المنيو!$B$2:$B$500,0)),0))</f>
        <v/>
      </c>
      <c r="F11671" s="107" t="str">
        <f aca="false">IF($C11671="","",$D11671*$E11671)</f>
        <v/>
      </c>
      <c r="G11671" s="107" t="str">
        <f aca="false">IF($C11671="","",$D11671*IFERROR(INDEX('تحليل التكلفة والسعر'!$C$2:$C$700,MATCH($C11671,'تحليل التكلفة والسعر'!$B$2:$B$700,0)),0))</f>
        <v/>
      </c>
    </row>
    <row r="11672" customFormat="false" ht="15" hidden="false" customHeight="false" outlineLevel="0" collapsed="false">
      <c r="A11672" s="103"/>
      <c r="B11672" s="104"/>
      <c r="C11672" s="104"/>
      <c r="E11672" s="107" t="str">
        <f aca="false">IF($C11672="","",IFERROR(INDEX(المنيو!$C$2:$C$500,MATCH($C11672,المنيو!$B$2:$B$500,0)),0))</f>
        <v/>
      </c>
      <c r="F11672" s="107" t="str">
        <f aca="false">IF($C11672="","",$D11672*$E11672)</f>
        <v/>
      </c>
      <c r="G11672" s="107" t="str">
        <f aca="false">IF($C11672="","",$D11672*IFERROR(INDEX('تحليل التكلفة والسعر'!$C$2:$C$700,MATCH($C11672,'تحليل التكلفة والسعر'!$B$2:$B$700,0)),0))</f>
        <v/>
      </c>
    </row>
    <row r="11673" customFormat="false" ht="15" hidden="false" customHeight="false" outlineLevel="0" collapsed="false">
      <c r="A11673" s="103"/>
      <c r="B11673" s="104"/>
      <c r="C11673" s="104"/>
      <c r="E11673" s="107" t="str">
        <f aca="false">IF($C11673="","",IFERROR(INDEX(المنيو!$C$2:$C$500,MATCH($C11673,المنيو!$B$2:$B$500,0)),0))</f>
        <v/>
      </c>
      <c r="F11673" s="107" t="str">
        <f aca="false">IF($C11673="","",$D11673*$E11673)</f>
        <v/>
      </c>
      <c r="G11673" s="107" t="str">
        <f aca="false">IF($C11673="","",$D11673*IFERROR(INDEX('تحليل التكلفة والسعر'!$C$2:$C$700,MATCH($C11673,'تحليل التكلفة والسعر'!$B$2:$B$700,0)),0))</f>
        <v/>
      </c>
    </row>
    <row r="11674" customFormat="false" ht="15" hidden="false" customHeight="false" outlineLevel="0" collapsed="false">
      <c r="A11674" s="103"/>
      <c r="B11674" s="104"/>
      <c r="C11674" s="104"/>
      <c r="E11674" s="107" t="str">
        <f aca="false">IF($C11674="","",IFERROR(INDEX(المنيو!$C$2:$C$500,MATCH($C11674,المنيو!$B$2:$B$500,0)),0))</f>
        <v/>
      </c>
      <c r="F11674" s="107" t="str">
        <f aca="false">IF($C11674="","",$D11674*$E11674)</f>
        <v/>
      </c>
      <c r="G11674" s="107" t="str">
        <f aca="false">IF($C11674="","",$D11674*IFERROR(INDEX('تحليل التكلفة والسعر'!$C$2:$C$700,MATCH($C11674,'تحليل التكلفة والسعر'!$B$2:$B$700,0)),0))</f>
        <v/>
      </c>
    </row>
    <row r="11675" customFormat="false" ht="15" hidden="false" customHeight="false" outlineLevel="0" collapsed="false">
      <c r="A11675" s="103"/>
      <c r="B11675" s="104"/>
      <c r="C11675" s="104"/>
      <c r="E11675" s="107" t="str">
        <f aca="false">IF($C11675="","",IFERROR(INDEX(المنيو!$C$2:$C$500,MATCH($C11675,المنيو!$B$2:$B$500,0)),0))</f>
        <v/>
      </c>
      <c r="F11675" s="107" t="str">
        <f aca="false">IF($C11675="","",$D11675*$E11675)</f>
        <v/>
      </c>
      <c r="G11675" s="107" t="str">
        <f aca="false">IF($C11675="","",$D11675*IFERROR(INDEX('تحليل التكلفة والسعر'!$C$2:$C$700,MATCH($C11675,'تحليل التكلفة والسعر'!$B$2:$B$700,0)),0))</f>
        <v/>
      </c>
    </row>
    <row r="11676" customFormat="false" ht="15" hidden="false" customHeight="false" outlineLevel="0" collapsed="false">
      <c r="A11676" s="103"/>
      <c r="B11676" s="104"/>
      <c r="C11676" s="104"/>
      <c r="E11676" s="107" t="str">
        <f aca="false">IF($C11676="","",IFERROR(INDEX(المنيو!$C$2:$C$500,MATCH($C11676,المنيو!$B$2:$B$500,0)),0))</f>
        <v/>
      </c>
      <c r="F11676" s="107" t="str">
        <f aca="false">IF($C11676="","",$D11676*$E11676)</f>
        <v/>
      </c>
      <c r="G11676" s="107" t="str">
        <f aca="false">IF($C11676="","",$D11676*IFERROR(INDEX('تحليل التكلفة والسعر'!$C$2:$C$700,MATCH($C11676,'تحليل التكلفة والسعر'!$B$2:$B$700,0)),0))</f>
        <v/>
      </c>
    </row>
    <row r="11677" customFormat="false" ht="15" hidden="false" customHeight="false" outlineLevel="0" collapsed="false">
      <c r="A11677" s="103"/>
      <c r="B11677" s="104"/>
      <c r="C11677" s="104"/>
      <c r="E11677" s="107" t="str">
        <f aca="false">IF($C11677="","",IFERROR(INDEX(المنيو!$C$2:$C$500,MATCH($C11677,المنيو!$B$2:$B$500,0)),0))</f>
        <v/>
      </c>
      <c r="F11677" s="107" t="str">
        <f aca="false">IF($C11677="","",$D11677*$E11677)</f>
        <v/>
      </c>
      <c r="G11677" s="107" t="str">
        <f aca="false">IF($C11677="","",$D11677*IFERROR(INDEX('تحليل التكلفة والسعر'!$C$2:$C$700,MATCH($C11677,'تحليل التكلفة والسعر'!$B$2:$B$700,0)),0))</f>
        <v/>
      </c>
    </row>
    <row r="11678" customFormat="false" ht="15" hidden="false" customHeight="false" outlineLevel="0" collapsed="false">
      <c r="A11678" s="103"/>
      <c r="B11678" s="104"/>
      <c r="C11678" s="104"/>
      <c r="E11678" s="107" t="str">
        <f aca="false">IF($C11678="","",IFERROR(INDEX(المنيو!$C$2:$C$500,MATCH($C11678,المنيو!$B$2:$B$500,0)),0))</f>
        <v/>
      </c>
      <c r="F11678" s="107" t="str">
        <f aca="false">IF($C11678="","",$D11678*$E11678)</f>
        <v/>
      </c>
      <c r="G11678" s="107" t="str">
        <f aca="false">IF($C11678="","",$D11678*IFERROR(INDEX('تحليل التكلفة والسعر'!$C$2:$C$700,MATCH($C11678,'تحليل التكلفة والسعر'!$B$2:$B$700,0)),0))</f>
        <v/>
      </c>
    </row>
    <row r="11679" customFormat="false" ht="15" hidden="false" customHeight="false" outlineLevel="0" collapsed="false">
      <c r="A11679" s="103"/>
      <c r="B11679" s="104"/>
      <c r="C11679" s="104"/>
      <c r="E11679" s="107" t="str">
        <f aca="false">IF($C11679="","",IFERROR(INDEX(المنيو!$C$2:$C$500,MATCH($C11679,المنيو!$B$2:$B$500,0)),0))</f>
        <v/>
      </c>
      <c r="F11679" s="107" t="str">
        <f aca="false">IF($C11679="","",$D11679*$E11679)</f>
        <v/>
      </c>
      <c r="G11679" s="107" t="str">
        <f aca="false">IF($C11679="","",$D11679*IFERROR(INDEX('تحليل التكلفة والسعر'!$C$2:$C$700,MATCH($C11679,'تحليل التكلفة والسعر'!$B$2:$B$700,0)),0))</f>
        <v/>
      </c>
    </row>
    <row r="11680" customFormat="false" ht="15" hidden="false" customHeight="false" outlineLevel="0" collapsed="false">
      <c r="A11680" s="103"/>
      <c r="B11680" s="104"/>
      <c r="C11680" s="104"/>
      <c r="E11680" s="107" t="str">
        <f aca="false">IF($C11680="","",IFERROR(INDEX(المنيو!$C$2:$C$500,MATCH($C11680,المنيو!$B$2:$B$500,0)),0))</f>
        <v/>
      </c>
      <c r="F11680" s="107" t="str">
        <f aca="false">IF($C11680="","",$D11680*$E11680)</f>
        <v/>
      </c>
      <c r="G11680" s="107" t="str">
        <f aca="false">IF($C11680="","",$D11680*IFERROR(INDEX('تحليل التكلفة والسعر'!$C$2:$C$700,MATCH($C11680,'تحليل التكلفة والسعر'!$B$2:$B$700,0)),0))</f>
        <v/>
      </c>
    </row>
    <row r="11681" customFormat="false" ht="15" hidden="false" customHeight="false" outlineLevel="0" collapsed="false">
      <c r="A11681" s="103"/>
      <c r="B11681" s="104"/>
      <c r="C11681" s="104"/>
      <c r="E11681" s="107" t="str">
        <f aca="false">IF($C11681="","",IFERROR(INDEX(المنيو!$C$2:$C$500,MATCH($C11681,المنيو!$B$2:$B$500,0)),0))</f>
        <v/>
      </c>
      <c r="F11681" s="107" t="str">
        <f aca="false">IF($C11681="","",$D11681*$E11681)</f>
        <v/>
      </c>
      <c r="G11681" s="107" t="str">
        <f aca="false">IF($C11681="","",$D11681*IFERROR(INDEX('تحليل التكلفة والسعر'!$C$2:$C$700,MATCH($C11681,'تحليل التكلفة والسعر'!$B$2:$B$700,0)),0))</f>
        <v/>
      </c>
    </row>
    <row r="11682" customFormat="false" ht="15" hidden="false" customHeight="false" outlineLevel="0" collapsed="false">
      <c r="A11682" s="103"/>
      <c r="B11682" s="104"/>
      <c r="C11682" s="104"/>
      <c r="E11682" s="107" t="str">
        <f aca="false">IF($C11682="","",IFERROR(INDEX(المنيو!$C$2:$C$500,MATCH($C11682,المنيو!$B$2:$B$500,0)),0))</f>
        <v/>
      </c>
      <c r="F11682" s="107" t="str">
        <f aca="false">IF($C11682="","",$D11682*$E11682)</f>
        <v/>
      </c>
      <c r="G11682" s="107" t="str">
        <f aca="false">IF($C11682="","",$D11682*IFERROR(INDEX('تحليل التكلفة والسعر'!$C$2:$C$700,MATCH($C11682,'تحليل التكلفة والسعر'!$B$2:$B$700,0)),0))</f>
        <v/>
      </c>
    </row>
    <row r="11683" customFormat="false" ht="15" hidden="false" customHeight="false" outlineLevel="0" collapsed="false">
      <c r="A11683" s="103"/>
      <c r="B11683" s="104"/>
      <c r="C11683" s="104"/>
      <c r="E11683" s="107" t="str">
        <f aca="false">IF($C11683="","",IFERROR(INDEX(المنيو!$C$2:$C$500,MATCH($C11683,المنيو!$B$2:$B$500,0)),0))</f>
        <v/>
      </c>
      <c r="F11683" s="107" t="str">
        <f aca="false">IF($C11683="","",$D11683*$E11683)</f>
        <v/>
      </c>
      <c r="G11683" s="107" t="str">
        <f aca="false">IF($C11683="","",$D11683*IFERROR(INDEX('تحليل التكلفة والسعر'!$C$2:$C$700,MATCH($C11683,'تحليل التكلفة والسعر'!$B$2:$B$700,0)),0))</f>
        <v/>
      </c>
    </row>
    <row r="11684" customFormat="false" ht="15" hidden="false" customHeight="false" outlineLevel="0" collapsed="false">
      <c r="A11684" s="103"/>
      <c r="B11684" s="104"/>
      <c r="C11684" s="104"/>
      <c r="E11684" s="107" t="str">
        <f aca="false">IF($C11684="","",IFERROR(INDEX(المنيو!$C$2:$C$500,MATCH($C11684,المنيو!$B$2:$B$500,0)),0))</f>
        <v/>
      </c>
      <c r="F11684" s="107" t="str">
        <f aca="false">IF($C11684="","",$D11684*$E11684)</f>
        <v/>
      </c>
      <c r="G11684" s="107" t="str">
        <f aca="false">IF($C11684="","",$D11684*IFERROR(INDEX('تحليل التكلفة والسعر'!$C$2:$C$700,MATCH($C11684,'تحليل التكلفة والسعر'!$B$2:$B$700,0)),0))</f>
        <v/>
      </c>
    </row>
    <row r="11685" customFormat="false" ht="15" hidden="false" customHeight="false" outlineLevel="0" collapsed="false">
      <c r="A11685" s="103"/>
      <c r="B11685" s="104"/>
      <c r="C11685" s="104"/>
      <c r="E11685" s="107" t="str">
        <f aca="false">IF($C11685="","",IFERROR(INDEX(المنيو!$C$2:$C$500,MATCH($C11685,المنيو!$B$2:$B$500,0)),0))</f>
        <v/>
      </c>
      <c r="F11685" s="107" t="str">
        <f aca="false">IF($C11685="","",$D11685*$E11685)</f>
        <v/>
      </c>
      <c r="G11685" s="107" t="str">
        <f aca="false">IF($C11685="","",$D11685*IFERROR(INDEX('تحليل التكلفة والسعر'!$C$2:$C$700,MATCH($C11685,'تحليل التكلفة والسعر'!$B$2:$B$700,0)),0))</f>
        <v/>
      </c>
    </row>
    <row r="11686" customFormat="false" ht="15" hidden="false" customHeight="false" outlineLevel="0" collapsed="false">
      <c r="A11686" s="103"/>
      <c r="B11686" s="104"/>
      <c r="C11686" s="104"/>
      <c r="E11686" s="107" t="str">
        <f aca="false">IF($C11686="","",IFERROR(INDEX(المنيو!$C$2:$C$500,MATCH($C11686,المنيو!$B$2:$B$500,0)),0))</f>
        <v/>
      </c>
      <c r="F11686" s="107" t="str">
        <f aca="false">IF($C11686="","",$D11686*$E11686)</f>
        <v/>
      </c>
      <c r="G11686" s="107" t="str">
        <f aca="false">IF($C11686="","",$D11686*IFERROR(INDEX('تحليل التكلفة والسعر'!$C$2:$C$700,MATCH($C11686,'تحليل التكلفة والسعر'!$B$2:$B$700,0)),0))</f>
        <v/>
      </c>
    </row>
    <row r="11687" customFormat="false" ht="15" hidden="false" customHeight="false" outlineLevel="0" collapsed="false">
      <c r="A11687" s="103"/>
      <c r="B11687" s="104"/>
      <c r="C11687" s="104"/>
      <c r="E11687" s="107" t="str">
        <f aca="false">IF($C11687="","",IFERROR(INDEX(المنيو!$C$2:$C$500,MATCH($C11687,المنيو!$B$2:$B$500,0)),0))</f>
        <v/>
      </c>
      <c r="F11687" s="107" t="str">
        <f aca="false">IF($C11687="","",$D11687*$E11687)</f>
        <v/>
      </c>
      <c r="G11687" s="107" t="str">
        <f aca="false">IF($C11687="","",$D11687*IFERROR(INDEX('تحليل التكلفة والسعر'!$C$2:$C$700,MATCH($C11687,'تحليل التكلفة والسعر'!$B$2:$B$700,0)),0))</f>
        <v/>
      </c>
    </row>
    <row r="11688" customFormat="false" ht="15" hidden="false" customHeight="false" outlineLevel="0" collapsed="false">
      <c r="A11688" s="103"/>
      <c r="B11688" s="104"/>
      <c r="C11688" s="104"/>
      <c r="E11688" s="107" t="str">
        <f aca="false">IF($C11688="","",IFERROR(INDEX(المنيو!$C$2:$C$500,MATCH($C11688,المنيو!$B$2:$B$500,0)),0))</f>
        <v/>
      </c>
      <c r="F11688" s="107" t="str">
        <f aca="false">IF($C11688="","",$D11688*$E11688)</f>
        <v/>
      </c>
      <c r="G11688" s="107" t="str">
        <f aca="false">IF($C11688="","",$D11688*IFERROR(INDEX('تحليل التكلفة والسعر'!$C$2:$C$700,MATCH($C11688,'تحليل التكلفة والسعر'!$B$2:$B$700,0)),0))</f>
        <v/>
      </c>
    </row>
    <row r="11689" customFormat="false" ht="15" hidden="false" customHeight="false" outlineLevel="0" collapsed="false">
      <c r="A11689" s="103"/>
      <c r="B11689" s="104"/>
      <c r="C11689" s="104"/>
      <c r="E11689" s="107" t="str">
        <f aca="false">IF($C11689="","",IFERROR(INDEX(المنيو!$C$2:$C$500,MATCH($C11689,المنيو!$B$2:$B$500,0)),0))</f>
        <v/>
      </c>
      <c r="F11689" s="107" t="str">
        <f aca="false">IF($C11689="","",$D11689*$E11689)</f>
        <v/>
      </c>
      <c r="G11689" s="107" t="str">
        <f aca="false">IF($C11689="","",$D11689*IFERROR(INDEX('تحليل التكلفة والسعر'!$C$2:$C$700,MATCH($C11689,'تحليل التكلفة والسعر'!$B$2:$B$700,0)),0))</f>
        <v/>
      </c>
    </row>
    <row r="11690" customFormat="false" ht="15" hidden="false" customHeight="false" outlineLevel="0" collapsed="false">
      <c r="A11690" s="103"/>
      <c r="B11690" s="104"/>
      <c r="C11690" s="104"/>
      <c r="E11690" s="107" t="str">
        <f aca="false">IF($C11690="","",IFERROR(INDEX(المنيو!$C$2:$C$500,MATCH($C11690,المنيو!$B$2:$B$500,0)),0))</f>
        <v/>
      </c>
      <c r="F11690" s="107" t="str">
        <f aca="false">IF($C11690="","",$D11690*$E11690)</f>
        <v/>
      </c>
      <c r="G11690" s="107" t="str">
        <f aca="false">IF($C11690="","",$D11690*IFERROR(INDEX('تحليل التكلفة والسعر'!$C$2:$C$700,MATCH($C11690,'تحليل التكلفة والسعر'!$B$2:$B$700,0)),0))</f>
        <v/>
      </c>
    </row>
    <row r="11691" customFormat="false" ht="15" hidden="false" customHeight="false" outlineLevel="0" collapsed="false">
      <c r="A11691" s="103"/>
      <c r="B11691" s="104"/>
      <c r="C11691" s="104"/>
      <c r="E11691" s="107" t="str">
        <f aca="false">IF($C11691="","",IFERROR(INDEX(المنيو!$C$2:$C$500,MATCH($C11691,المنيو!$B$2:$B$500,0)),0))</f>
        <v/>
      </c>
      <c r="F11691" s="107" t="str">
        <f aca="false">IF($C11691="","",$D11691*$E11691)</f>
        <v/>
      </c>
      <c r="G11691" s="107" t="str">
        <f aca="false">IF($C11691="","",$D11691*IFERROR(INDEX('تحليل التكلفة والسعر'!$C$2:$C$700,MATCH($C11691,'تحليل التكلفة والسعر'!$B$2:$B$700,0)),0))</f>
        <v/>
      </c>
    </row>
    <row r="11692" customFormat="false" ht="15" hidden="false" customHeight="false" outlineLevel="0" collapsed="false">
      <c r="A11692" s="103"/>
      <c r="B11692" s="104"/>
      <c r="C11692" s="104"/>
      <c r="E11692" s="107" t="str">
        <f aca="false">IF($C11692="","",IFERROR(INDEX(المنيو!$C$2:$C$500,MATCH($C11692,المنيو!$B$2:$B$500,0)),0))</f>
        <v/>
      </c>
      <c r="F11692" s="107" t="str">
        <f aca="false">IF($C11692="","",$D11692*$E11692)</f>
        <v/>
      </c>
      <c r="G11692" s="107" t="str">
        <f aca="false">IF($C11692="","",$D11692*IFERROR(INDEX('تحليل التكلفة والسعر'!$C$2:$C$700,MATCH($C11692,'تحليل التكلفة والسعر'!$B$2:$B$700,0)),0))</f>
        <v/>
      </c>
    </row>
    <row r="11693" customFormat="false" ht="15" hidden="false" customHeight="false" outlineLevel="0" collapsed="false">
      <c r="A11693" s="103"/>
      <c r="B11693" s="104"/>
      <c r="C11693" s="104"/>
      <c r="E11693" s="107" t="str">
        <f aca="false">IF($C11693="","",IFERROR(INDEX(المنيو!$C$2:$C$500,MATCH($C11693,المنيو!$B$2:$B$500,0)),0))</f>
        <v/>
      </c>
      <c r="F11693" s="107" t="str">
        <f aca="false">IF($C11693="","",$D11693*$E11693)</f>
        <v/>
      </c>
      <c r="G11693" s="107" t="str">
        <f aca="false">IF($C11693="","",$D11693*IFERROR(INDEX('تحليل التكلفة والسعر'!$C$2:$C$700,MATCH($C11693,'تحليل التكلفة والسعر'!$B$2:$B$700,0)),0))</f>
        <v/>
      </c>
    </row>
    <row r="11694" customFormat="false" ht="15" hidden="false" customHeight="false" outlineLevel="0" collapsed="false">
      <c r="A11694" s="103"/>
      <c r="B11694" s="104"/>
      <c r="C11694" s="104"/>
      <c r="E11694" s="107" t="str">
        <f aca="false">IF($C11694="","",IFERROR(INDEX(المنيو!$C$2:$C$500,MATCH($C11694,المنيو!$B$2:$B$500,0)),0))</f>
        <v/>
      </c>
      <c r="F11694" s="107" t="str">
        <f aca="false">IF($C11694="","",$D11694*$E11694)</f>
        <v/>
      </c>
      <c r="G11694" s="107" t="str">
        <f aca="false">IF($C11694="","",$D11694*IFERROR(INDEX('تحليل التكلفة والسعر'!$C$2:$C$700,MATCH($C11694,'تحليل التكلفة والسعر'!$B$2:$B$700,0)),0))</f>
        <v/>
      </c>
    </row>
    <row r="11695" customFormat="false" ht="15" hidden="false" customHeight="false" outlineLevel="0" collapsed="false">
      <c r="A11695" s="103"/>
      <c r="B11695" s="104"/>
      <c r="C11695" s="104"/>
      <c r="E11695" s="107" t="str">
        <f aca="false">IF($C11695="","",IFERROR(INDEX(المنيو!$C$2:$C$500,MATCH($C11695,المنيو!$B$2:$B$500,0)),0))</f>
        <v/>
      </c>
      <c r="F11695" s="107" t="str">
        <f aca="false">IF($C11695="","",$D11695*$E11695)</f>
        <v/>
      </c>
      <c r="G11695" s="107" t="str">
        <f aca="false">IF($C11695="","",$D11695*IFERROR(INDEX('تحليل التكلفة والسعر'!$C$2:$C$700,MATCH($C11695,'تحليل التكلفة والسعر'!$B$2:$B$700,0)),0))</f>
        <v/>
      </c>
    </row>
    <row r="11696" customFormat="false" ht="15" hidden="false" customHeight="false" outlineLevel="0" collapsed="false">
      <c r="A11696" s="103"/>
      <c r="B11696" s="104"/>
      <c r="C11696" s="104"/>
      <c r="E11696" s="107" t="str">
        <f aca="false">IF($C11696="","",IFERROR(INDEX(المنيو!$C$2:$C$500,MATCH($C11696,المنيو!$B$2:$B$500,0)),0))</f>
        <v/>
      </c>
      <c r="F11696" s="107" t="str">
        <f aca="false">IF($C11696="","",$D11696*$E11696)</f>
        <v/>
      </c>
      <c r="G11696" s="107" t="str">
        <f aca="false">IF($C11696="","",$D11696*IFERROR(INDEX('تحليل التكلفة والسعر'!$C$2:$C$700,MATCH($C11696,'تحليل التكلفة والسعر'!$B$2:$B$700,0)),0))</f>
        <v/>
      </c>
    </row>
    <row r="11697" customFormat="false" ht="15" hidden="false" customHeight="false" outlineLevel="0" collapsed="false">
      <c r="A11697" s="103"/>
      <c r="B11697" s="104"/>
      <c r="C11697" s="104"/>
      <c r="E11697" s="107" t="str">
        <f aca="false">IF($C11697="","",IFERROR(INDEX(المنيو!$C$2:$C$500,MATCH($C11697,المنيو!$B$2:$B$500,0)),0))</f>
        <v/>
      </c>
      <c r="F11697" s="107" t="str">
        <f aca="false">IF($C11697="","",$D11697*$E11697)</f>
        <v/>
      </c>
      <c r="G11697" s="107" t="str">
        <f aca="false">IF($C11697="","",$D11697*IFERROR(INDEX('تحليل التكلفة والسعر'!$C$2:$C$700,MATCH($C11697,'تحليل التكلفة والسعر'!$B$2:$B$700,0)),0))</f>
        <v/>
      </c>
    </row>
    <row r="11698" customFormat="false" ht="15" hidden="false" customHeight="false" outlineLevel="0" collapsed="false">
      <c r="A11698" s="103"/>
      <c r="B11698" s="104"/>
      <c r="C11698" s="104"/>
      <c r="E11698" s="107" t="str">
        <f aca="false">IF($C11698="","",IFERROR(INDEX(المنيو!$C$2:$C$500,MATCH($C11698,المنيو!$B$2:$B$500,0)),0))</f>
        <v/>
      </c>
      <c r="F11698" s="107" t="str">
        <f aca="false">IF($C11698="","",$D11698*$E11698)</f>
        <v/>
      </c>
      <c r="G11698" s="107" t="str">
        <f aca="false">IF($C11698="","",$D11698*IFERROR(INDEX('تحليل التكلفة والسعر'!$C$2:$C$700,MATCH($C11698,'تحليل التكلفة والسعر'!$B$2:$B$700,0)),0))</f>
        <v/>
      </c>
    </row>
    <row r="11699" customFormat="false" ht="15" hidden="false" customHeight="false" outlineLevel="0" collapsed="false">
      <c r="A11699" s="103"/>
      <c r="B11699" s="104"/>
      <c r="C11699" s="104"/>
      <c r="E11699" s="107" t="str">
        <f aca="false">IF($C11699="","",IFERROR(INDEX(المنيو!$C$2:$C$500,MATCH($C11699,المنيو!$B$2:$B$500,0)),0))</f>
        <v/>
      </c>
      <c r="F11699" s="107" t="str">
        <f aca="false">IF($C11699="","",$D11699*$E11699)</f>
        <v/>
      </c>
      <c r="G11699" s="107" t="str">
        <f aca="false">IF($C11699="","",$D11699*IFERROR(INDEX('تحليل التكلفة والسعر'!$C$2:$C$700,MATCH($C11699,'تحليل التكلفة والسعر'!$B$2:$B$700,0)),0))</f>
        <v/>
      </c>
    </row>
    <row r="11700" customFormat="false" ht="15" hidden="false" customHeight="false" outlineLevel="0" collapsed="false">
      <c r="A11700" s="103"/>
      <c r="B11700" s="104"/>
      <c r="C11700" s="104"/>
      <c r="E11700" s="107" t="str">
        <f aca="false">IF($C11700="","",IFERROR(INDEX(المنيو!$C$2:$C$500,MATCH($C11700,المنيو!$B$2:$B$500,0)),0))</f>
        <v/>
      </c>
      <c r="F11700" s="107" t="str">
        <f aca="false">IF($C11700="","",$D11700*$E11700)</f>
        <v/>
      </c>
      <c r="G11700" s="107" t="str">
        <f aca="false">IF($C11700="","",$D11700*IFERROR(INDEX('تحليل التكلفة والسعر'!$C$2:$C$700,MATCH($C11700,'تحليل التكلفة والسعر'!$B$2:$B$700,0)),0))</f>
        <v/>
      </c>
    </row>
    <row r="11701" customFormat="false" ht="15" hidden="false" customHeight="false" outlineLevel="0" collapsed="false">
      <c r="A11701" s="103"/>
      <c r="B11701" s="104"/>
      <c r="C11701" s="104"/>
      <c r="E11701" s="107" t="str">
        <f aca="false">IF($C11701="","",IFERROR(INDEX(المنيو!$C$2:$C$500,MATCH($C11701,المنيو!$B$2:$B$500,0)),0))</f>
        <v/>
      </c>
      <c r="F11701" s="107" t="str">
        <f aca="false">IF($C11701="","",$D11701*$E11701)</f>
        <v/>
      </c>
      <c r="G11701" s="107" t="str">
        <f aca="false">IF($C11701="","",$D11701*IFERROR(INDEX('تحليل التكلفة والسعر'!$C$2:$C$700,MATCH($C11701,'تحليل التكلفة والسعر'!$B$2:$B$700,0)),0))</f>
        <v/>
      </c>
    </row>
    <row r="11702" customFormat="false" ht="15" hidden="false" customHeight="false" outlineLevel="0" collapsed="false">
      <c r="A11702" s="103"/>
      <c r="B11702" s="104"/>
      <c r="C11702" s="104"/>
      <c r="E11702" s="107" t="str">
        <f aca="false">IF($C11702="","",IFERROR(INDEX(المنيو!$C$2:$C$500,MATCH($C11702,المنيو!$B$2:$B$500,0)),0))</f>
        <v/>
      </c>
      <c r="F11702" s="107" t="str">
        <f aca="false">IF($C11702="","",$D11702*$E11702)</f>
        <v/>
      </c>
      <c r="G11702" s="107" t="str">
        <f aca="false">IF($C11702="","",$D11702*IFERROR(INDEX('تحليل التكلفة والسعر'!$C$2:$C$700,MATCH($C11702,'تحليل التكلفة والسعر'!$B$2:$B$700,0)),0))</f>
        <v/>
      </c>
    </row>
    <row r="11703" customFormat="false" ht="15" hidden="false" customHeight="false" outlineLevel="0" collapsed="false">
      <c r="A11703" s="103"/>
      <c r="B11703" s="104"/>
      <c r="C11703" s="104"/>
      <c r="E11703" s="107" t="str">
        <f aca="false">IF($C11703="","",IFERROR(INDEX(المنيو!$C$2:$C$500,MATCH($C11703,المنيو!$B$2:$B$500,0)),0))</f>
        <v/>
      </c>
      <c r="F11703" s="107" t="str">
        <f aca="false">IF($C11703="","",$D11703*$E11703)</f>
        <v/>
      </c>
      <c r="G11703" s="107" t="str">
        <f aca="false">IF($C11703="","",$D11703*IFERROR(INDEX('تحليل التكلفة والسعر'!$C$2:$C$700,MATCH($C11703,'تحليل التكلفة والسعر'!$B$2:$B$700,0)),0))</f>
        <v/>
      </c>
    </row>
    <row r="11704" customFormat="false" ht="15" hidden="false" customHeight="false" outlineLevel="0" collapsed="false">
      <c r="A11704" s="103"/>
      <c r="B11704" s="104"/>
      <c r="C11704" s="104"/>
      <c r="E11704" s="107" t="str">
        <f aca="false">IF($C11704="","",IFERROR(INDEX(المنيو!$C$2:$C$500,MATCH($C11704,المنيو!$B$2:$B$500,0)),0))</f>
        <v/>
      </c>
      <c r="F11704" s="107" t="str">
        <f aca="false">IF($C11704="","",$D11704*$E11704)</f>
        <v/>
      </c>
      <c r="G11704" s="107" t="str">
        <f aca="false">IF($C11704="","",$D11704*IFERROR(INDEX('تحليل التكلفة والسعر'!$C$2:$C$700,MATCH($C11704,'تحليل التكلفة والسعر'!$B$2:$B$700,0)),0))</f>
        <v/>
      </c>
    </row>
    <row r="11705" customFormat="false" ht="15" hidden="false" customHeight="false" outlineLevel="0" collapsed="false">
      <c r="A11705" s="103"/>
      <c r="B11705" s="104"/>
      <c r="C11705" s="104"/>
      <c r="E11705" s="107" t="str">
        <f aca="false">IF($C11705="","",IFERROR(INDEX(المنيو!$C$2:$C$500,MATCH($C11705,المنيو!$B$2:$B$500,0)),0))</f>
        <v/>
      </c>
      <c r="F11705" s="107" t="str">
        <f aca="false">IF($C11705="","",$D11705*$E11705)</f>
        <v/>
      </c>
      <c r="G11705" s="107" t="str">
        <f aca="false">IF($C11705="","",$D11705*IFERROR(INDEX('تحليل التكلفة والسعر'!$C$2:$C$700,MATCH($C11705,'تحليل التكلفة والسعر'!$B$2:$B$700,0)),0))</f>
        <v/>
      </c>
    </row>
    <row r="11706" customFormat="false" ht="15" hidden="false" customHeight="false" outlineLevel="0" collapsed="false">
      <c r="A11706" s="103"/>
      <c r="B11706" s="104"/>
      <c r="C11706" s="104"/>
      <c r="E11706" s="107" t="str">
        <f aca="false">IF($C11706="","",IFERROR(INDEX(المنيو!$C$2:$C$500,MATCH($C11706,المنيو!$B$2:$B$500,0)),0))</f>
        <v/>
      </c>
      <c r="F11706" s="107" t="str">
        <f aca="false">IF($C11706="","",$D11706*$E11706)</f>
        <v/>
      </c>
      <c r="G11706" s="107" t="str">
        <f aca="false">IF($C11706="","",$D11706*IFERROR(INDEX('تحليل التكلفة والسعر'!$C$2:$C$700,MATCH($C11706,'تحليل التكلفة والسعر'!$B$2:$B$700,0)),0))</f>
        <v/>
      </c>
    </row>
    <row r="11707" customFormat="false" ht="15" hidden="false" customHeight="false" outlineLevel="0" collapsed="false">
      <c r="A11707" s="103"/>
      <c r="B11707" s="104"/>
      <c r="C11707" s="104"/>
      <c r="E11707" s="107" t="str">
        <f aca="false">IF($C11707="","",IFERROR(INDEX(المنيو!$C$2:$C$500,MATCH($C11707,المنيو!$B$2:$B$500,0)),0))</f>
        <v/>
      </c>
      <c r="F11707" s="107" t="str">
        <f aca="false">IF($C11707="","",$D11707*$E11707)</f>
        <v/>
      </c>
      <c r="G11707" s="107" t="str">
        <f aca="false">IF($C11707="","",$D11707*IFERROR(INDEX('تحليل التكلفة والسعر'!$C$2:$C$700,MATCH($C11707,'تحليل التكلفة والسعر'!$B$2:$B$700,0)),0))</f>
        <v/>
      </c>
    </row>
    <row r="11708" customFormat="false" ht="15" hidden="false" customHeight="false" outlineLevel="0" collapsed="false">
      <c r="A11708" s="103"/>
      <c r="B11708" s="104"/>
      <c r="C11708" s="104"/>
      <c r="E11708" s="107" t="str">
        <f aca="false">IF($C11708="","",IFERROR(INDEX(المنيو!$C$2:$C$500,MATCH($C11708,المنيو!$B$2:$B$500,0)),0))</f>
        <v/>
      </c>
      <c r="F11708" s="107" t="str">
        <f aca="false">IF($C11708="","",$D11708*$E11708)</f>
        <v/>
      </c>
      <c r="G11708" s="107" t="str">
        <f aca="false">IF($C11708="","",$D11708*IFERROR(INDEX('تحليل التكلفة والسعر'!$C$2:$C$700,MATCH($C11708,'تحليل التكلفة والسعر'!$B$2:$B$700,0)),0))</f>
        <v/>
      </c>
    </row>
    <row r="11709" customFormat="false" ht="15" hidden="false" customHeight="false" outlineLevel="0" collapsed="false">
      <c r="A11709" s="103"/>
      <c r="B11709" s="104"/>
      <c r="C11709" s="104"/>
      <c r="E11709" s="107" t="str">
        <f aca="false">IF($C11709="","",IFERROR(INDEX(المنيو!$C$2:$C$500,MATCH($C11709,المنيو!$B$2:$B$500,0)),0))</f>
        <v/>
      </c>
      <c r="F11709" s="107" t="str">
        <f aca="false">IF($C11709="","",$D11709*$E11709)</f>
        <v/>
      </c>
      <c r="G11709" s="107" t="str">
        <f aca="false">IF($C11709="","",$D11709*IFERROR(INDEX('تحليل التكلفة والسعر'!$C$2:$C$700,MATCH($C11709,'تحليل التكلفة والسعر'!$B$2:$B$700,0)),0))</f>
        <v/>
      </c>
    </row>
    <row r="11710" customFormat="false" ht="15" hidden="false" customHeight="false" outlineLevel="0" collapsed="false">
      <c r="A11710" s="103"/>
      <c r="B11710" s="104"/>
      <c r="C11710" s="104"/>
      <c r="E11710" s="107" t="str">
        <f aca="false">IF($C11710="","",IFERROR(INDEX(المنيو!$C$2:$C$500,MATCH($C11710,المنيو!$B$2:$B$500,0)),0))</f>
        <v/>
      </c>
      <c r="F11710" s="107" t="str">
        <f aca="false">IF($C11710="","",$D11710*$E11710)</f>
        <v/>
      </c>
      <c r="G11710" s="107" t="str">
        <f aca="false">IF($C11710="","",$D11710*IFERROR(INDEX('تحليل التكلفة والسعر'!$C$2:$C$700,MATCH($C11710,'تحليل التكلفة والسعر'!$B$2:$B$700,0)),0))</f>
        <v/>
      </c>
    </row>
    <row r="11711" customFormat="false" ht="15" hidden="false" customHeight="false" outlineLevel="0" collapsed="false">
      <c r="A11711" s="103"/>
      <c r="B11711" s="104"/>
      <c r="C11711" s="104"/>
      <c r="E11711" s="107" t="str">
        <f aca="false">IF($C11711="","",IFERROR(INDEX(المنيو!$C$2:$C$500,MATCH($C11711,المنيو!$B$2:$B$500,0)),0))</f>
        <v/>
      </c>
      <c r="F11711" s="107" t="str">
        <f aca="false">IF($C11711="","",$D11711*$E11711)</f>
        <v/>
      </c>
      <c r="G11711" s="107" t="str">
        <f aca="false">IF($C11711="","",$D11711*IFERROR(INDEX('تحليل التكلفة والسعر'!$C$2:$C$700,MATCH($C11711,'تحليل التكلفة والسعر'!$B$2:$B$700,0)),0))</f>
        <v/>
      </c>
    </row>
    <row r="11712" customFormat="false" ht="15" hidden="false" customHeight="false" outlineLevel="0" collapsed="false">
      <c r="A11712" s="103"/>
      <c r="B11712" s="104"/>
      <c r="C11712" s="104"/>
      <c r="E11712" s="107" t="str">
        <f aca="false">IF($C11712="","",IFERROR(INDEX(المنيو!$C$2:$C$500,MATCH($C11712,المنيو!$B$2:$B$500,0)),0))</f>
        <v/>
      </c>
      <c r="F11712" s="107" t="str">
        <f aca="false">IF($C11712="","",$D11712*$E11712)</f>
        <v/>
      </c>
      <c r="G11712" s="107" t="str">
        <f aca="false">IF($C11712="","",$D11712*IFERROR(INDEX('تحليل التكلفة والسعر'!$C$2:$C$700,MATCH($C11712,'تحليل التكلفة والسعر'!$B$2:$B$700,0)),0))</f>
        <v/>
      </c>
    </row>
    <row r="11713" customFormat="false" ht="15" hidden="false" customHeight="false" outlineLevel="0" collapsed="false">
      <c r="A11713" s="103"/>
      <c r="B11713" s="104"/>
      <c r="C11713" s="104"/>
      <c r="E11713" s="107" t="str">
        <f aca="false">IF($C11713="","",IFERROR(INDEX(المنيو!$C$2:$C$500,MATCH($C11713,المنيو!$B$2:$B$500,0)),0))</f>
        <v/>
      </c>
      <c r="F11713" s="107" t="str">
        <f aca="false">IF($C11713="","",$D11713*$E11713)</f>
        <v/>
      </c>
      <c r="G11713" s="107" t="str">
        <f aca="false">IF($C11713="","",$D11713*IFERROR(INDEX('تحليل التكلفة والسعر'!$C$2:$C$700,MATCH($C11713,'تحليل التكلفة والسعر'!$B$2:$B$700,0)),0))</f>
        <v/>
      </c>
    </row>
    <row r="11714" customFormat="false" ht="15" hidden="false" customHeight="false" outlineLevel="0" collapsed="false">
      <c r="A11714" s="103"/>
      <c r="B11714" s="104"/>
      <c r="C11714" s="104"/>
      <c r="E11714" s="107" t="str">
        <f aca="false">IF($C11714="","",IFERROR(INDEX(المنيو!$C$2:$C$500,MATCH($C11714,المنيو!$B$2:$B$500,0)),0))</f>
        <v/>
      </c>
      <c r="F11714" s="107" t="str">
        <f aca="false">IF($C11714="","",$D11714*$E11714)</f>
        <v/>
      </c>
      <c r="G11714" s="107" t="str">
        <f aca="false">IF($C11714="","",$D11714*IFERROR(INDEX('تحليل التكلفة والسعر'!$C$2:$C$700,MATCH($C11714,'تحليل التكلفة والسعر'!$B$2:$B$700,0)),0))</f>
        <v/>
      </c>
    </row>
    <row r="11715" customFormat="false" ht="15" hidden="false" customHeight="false" outlineLevel="0" collapsed="false">
      <c r="A11715" s="103"/>
      <c r="B11715" s="104"/>
      <c r="C11715" s="104"/>
      <c r="E11715" s="107" t="str">
        <f aca="false">IF($C11715="","",IFERROR(INDEX(المنيو!$C$2:$C$500,MATCH($C11715,المنيو!$B$2:$B$500,0)),0))</f>
        <v/>
      </c>
      <c r="F11715" s="107" t="str">
        <f aca="false">IF($C11715="","",$D11715*$E11715)</f>
        <v/>
      </c>
      <c r="G11715" s="107" t="str">
        <f aca="false">IF($C11715="","",$D11715*IFERROR(INDEX('تحليل التكلفة والسعر'!$C$2:$C$700,MATCH($C11715,'تحليل التكلفة والسعر'!$B$2:$B$700,0)),0))</f>
        <v/>
      </c>
    </row>
    <row r="11716" customFormat="false" ht="15" hidden="false" customHeight="false" outlineLevel="0" collapsed="false">
      <c r="A11716" s="103"/>
      <c r="B11716" s="104"/>
      <c r="C11716" s="104"/>
      <c r="E11716" s="107" t="str">
        <f aca="false">IF($C11716="","",IFERROR(INDEX(المنيو!$C$2:$C$500,MATCH($C11716,المنيو!$B$2:$B$500,0)),0))</f>
        <v/>
      </c>
      <c r="F11716" s="107" t="str">
        <f aca="false">IF($C11716="","",$D11716*$E11716)</f>
        <v/>
      </c>
      <c r="G11716" s="107" t="str">
        <f aca="false">IF($C11716="","",$D11716*IFERROR(INDEX('تحليل التكلفة والسعر'!$C$2:$C$700,MATCH($C11716,'تحليل التكلفة والسعر'!$B$2:$B$700,0)),0))</f>
        <v/>
      </c>
    </row>
    <row r="11717" customFormat="false" ht="15" hidden="false" customHeight="false" outlineLevel="0" collapsed="false">
      <c r="A11717" s="103"/>
      <c r="B11717" s="104"/>
      <c r="C11717" s="104"/>
      <c r="E11717" s="107" t="str">
        <f aca="false">IF($C11717="","",IFERROR(INDEX(المنيو!$C$2:$C$500,MATCH($C11717,المنيو!$B$2:$B$500,0)),0))</f>
        <v/>
      </c>
      <c r="F11717" s="107" t="str">
        <f aca="false">IF($C11717="","",$D11717*$E11717)</f>
        <v/>
      </c>
      <c r="G11717" s="107" t="str">
        <f aca="false">IF($C11717="","",$D11717*IFERROR(INDEX('تحليل التكلفة والسعر'!$C$2:$C$700,MATCH($C11717,'تحليل التكلفة والسعر'!$B$2:$B$700,0)),0))</f>
        <v/>
      </c>
    </row>
    <row r="11718" customFormat="false" ht="15" hidden="false" customHeight="false" outlineLevel="0" collapsed="false">
      <c r="A11718" s="103"/>
      <c r="B11718" s="104"/>
      <c r="C11718" s="104"/>
      <c r="E11718" s="107" t="str">
        <f aca="false">IF($C11718="","",IFERROR(INDEX(المنيو!$C$2:$C$500,MATCH($C11718,المنيو!$B$2:$B$500,0)),0))</f>
        <v/>
      </c>
      <c r="F11718" s="107" t="str">
        <f aca="false">IF($C11718="","",$D11718*$E11718)</f>
        <v/>
      </c>
      <c r="G11718" s="107" t="str">
        <f aca="false">IF($C11718="","",$D11718*IFERROR(INDEX('تحليل التكلفة والسعر'!$C$2:$C$700,MATCH($C11718,'تحليل التكلفة والسعر'!$B$2:$B$700,0)),0))</f>
        <v/>
      </c>
    </row>
    <row r="11719" customFormat="false" ht="15" hidden="false" customHeight="false" outlineLevel="0" collapsed="false">
      <c r="A11719" s="103"/>
      <c r="B11719" s="104"/>
      <c r="C11719" s="104"/>
      <c r="E11719" s="107" t="str">
        <f aca="false">IF($C11719="","",IFERROR(INDEX(المنيو!$C$2:$C$500,MATCH($C11719,المنيو!$B$2:$B$500,0)),0))</f>
        <v/>
      </c>
      <c r="F11719" s="107" t="str">
        <f aca="false">IF($C11719="","",$D11719*$E11719)</f>
        <v/>
      </c>
      <c r="G11719" s="107" t="str">
        <f aca="false">IF($C11719="","",$D11719*IFERROR(INDEX('تحليل التكلفة والسعر'!$C$2:$C$700,MATCH($C11719,'تحليل التكلفة والسعر'!$B$2:$B$700,0)),0))</f>
        <v/>
      </c>
    </row>
    <row r="11720" customFormat="false" ht="15" hidden="false" customHeight="false" outlineLevel="0" collapsed="false">
      <c r="A11720" s="103"/>
      <c r="B11720" s="104"/>
      <c r="C11720" s="104"/>
      <c r="E11720" s="107" t="str">
        <f aca="false">IF($C11720="","",IFERROR(INDEX(المنيو!$C$2:$C$500,MATCH($C11720,المنيو!$B$2:$B$500,0)),0))</f>
        <v/>
      </c>
      <c r="F11720" s="107" t="str">
        <f aca="false">IF($C11720="","",$D11720*$E11720)</f>
        <v/>
      </c>
      <c r="G11720" s="107" t="str">
        <f aca="false">IF($C11720="","",$D11720*IFERROR(INDEX('تحليل التكلفة والسعر'!$C$2:$C$700,MATCH($C11720,'تحليل التكلفة والسعر'!$B$2:$B$700,0)),0))</f>
        <v/>
      </c>
    </row>
    <row r="11721" customFormat="false" ht="15" hidden="false" customHeight="false" outlineLevel="0" collapsed="false">
      <c r="A11721" s="103"/>
      <c r="B11721" s="104"/>
      <c r="C11721" s="104"/>
      <c r="E11721" s="107" t="str">
        <f aca="false">IF($C11721="","",IFERROR(INDEX(المنيو!$C$2:$C$500,MATCH($C11721,المنيو!$B$2:$B$500,0)),0))</f>
        <v/>
      </c>
      <c r="F11721" s="107" t="str">
        <f aca="false">IF($C11721="","",$D11721*$E11721)</f>
        <v/>
      </c>
      <c r="G11721" s="107" t="str">
        <f aca="false">IF($C11721="","",$D11721*IFERROR(INDEX('تحليل التكلفة والسعر'!$C$2:$C$700,MATCH($C11721,'تحليل التكلفة والسعر'!$B$2:$B$700,0)),0))</f>
        <v/>
      </c>
    </row>
    <row r="11722" customFormat="false" ht="15" hidden="false" customHeight="false" outlineLevel="0" collapsed="false">
      <c r="A11722" s="103"/>
      <c r="B11722" s="104"/>
      <c r="C11722" s="104"/>
      <c r="E11722" s="107" t="str">
        <f aca="false">IF($C11722="","",IFERROR(INDEX(المنيو!$C$2:$C$500,MATCH($C11722,المنيو!$B$2:$B$500,0)),0))</f>
        <v/>
      </c>
      <c r="F11722" s="107" t="str">
        <f aca="false">IF($C11722="","",$D11722*$E11722)</f>
        <v/>
      </c>
      <c r="G11722" s="107" t="str">
        <f aca="false">IF($C11722="","",$D11722*IFERROR(INDEX('تحليل التكلفة والسعر'!$C$2:$C$700,MATCH($C11722,'تحليل التكلفة والسعر'!$B$2:$B$700,0)),0))</f>
        <v/>
      </c>
    </row>
    <row r="11723" customFormat="false" ht="15" hidden="false" customHeight="false" outlineLevel="0" collapsed="false">
      <c r="A11723" s="103"/>
      <c r="B11723" s="104"/>
      <c r="C11723" s="104"/>
      <c r="E11723" s="107" t="str">
        <f aca="false">IF($C11723="","",IFERROR(INDEX(المنيو!$C$2:$C$500,MATCH($C11723,المنيو!$B$2:$B$500,0)),0))</f>
        <v/>
      </c>
      <c r="F11723" s="107" t="str">
        <f aca="false">IF($C11723="","",$D11723*$E11723)</f>
        <v/>
      </c>
      <c r="G11723" s="107" t="str">
        <f aca="false">IF($C11723="","",$D11723*IFERROR(INDEX('تحليل التكلفة والسعر'!$C$2:$C$700,MATCH($C11723,'تحليل التكلفة والسعر'!$B$2:$B$700,0)),0))</f>
        <v/>
      </c>
    </row>
    <row r="11724" customFormat="false" ht="15" hidden="false" customHeight="false" outlineLevel="0" collapsed="false">
      <c r="A11724" s="103"/>
      <c r="B11724" s="104"/>
      <c r="C11724" s="104"/>
      <c r="E11724" s="107" t="str">
        <f aca="false">IF($C11724="","",IFERROR(INDEX(المنيو!$C$2:$C$500,MATCH($C11724,المنيو!$B$2:$B$500,0)),0))</f>
        <v/>
      </c>
      <c r="F11724" s="107" t="str">
        <f aca="false">IF($C11724="","",$D11724*$E11724)</f>
        <v/>
      </c>
      <c r="G11724" s="107" t="str">
        <f aca="false">IF($C11724="","",$D11724*IFERROR(INDEX('تحليل التكلفة والسعر'!$C$2:$C$700,MATCH($C11724,'تحليل التكلفة والسعر'!$B$2:$B$700,0)),0))</f>
        <v/>
      </c>
    </row>
    <row r="11725" customFormat="false" ht="15" hidden="false" customHeight="false" outlineLevel="0" collapsed="false">
      <c r="A11725" s="103"/>
      <c r="B11725" s="104"/>
      <c r="C11725" s="104"/>
      <c r="E11725" s="107" t="str">
        <f aca="false">IF($C11725="","",IFERROR(INDEX(المنيو!$C$2:$C$500,MATCH($C11725,المنيو!$B$2:$B$500,0)),0))</f>
        <v/>
      </c>
      <c r="F11725" s="107" t="str">
        <f aca="false">IF($C11725="","",$D11725*$E11725)</f>
        <v/>
      </c>
      <c r="G11725" s="107" t="str">
        <f aca="false">IF($C11725="","",$D11725*IFERROR(INDEX('تحليل التكلفة والسعر'!$C$2:$C$700,MATCH($C11725,'تحليل التكلفة والسعر'!$B$2:$B$700,0)),0))</f>
        <v/>
      </c>
    </row>
    <row r="11726" customFormat="false" ht="15" hidden="false" customHeight="false" outlineLevel="0" collapsed="false">
      <c r="A11726" s="103"/>
      <c r="B11726" s="104"/>
      <c r="C11726" s="104"/>
      <c r="E11726" s="107" t="str">
        <f aca="false">IF($C11726="","",IFERROR(INDEX(المنيو!$C$2:$C$500,MATCH($C11726,المنيو!$B$2:$B$500,0)),0))</f>
        <v/>
      </c>
      <c r="F11726" s="107" t="str">
        <f aca="false">IF($C11726="","",$D11726*$E11726)</f>
        <v/>
      </c>
      <c r="G11726" s="107" t="str">
        <f aca="false">IF($C11726="","",$D11726*IFERROR(INDEX('تحليل التكلفة والسعر'!$C$2:$C$700,MATCH($C11726,'تحليل التكلفة والسعر'!$B$2:$B$700,0)),0))</f>
        <v/>
      </c>
    </row>
    <row r="11727" customFormat="false" ht="15" hidden="false" customHeight="false" outlineLevel="0" collapsed="false">
      <c r="A11727" s="103"/>
      <c r="B11727" s="104"/>
      <c r="C11727" s="104"/>
      <c r="E11727" s="107" t="str">
        <f aca="false">IF($C11727="","",IFERROR(INDEX(المنيو!$C$2:$C$500,MATCH($C11727,المنيو!$B$2:$B$500,0)),0))</f>
        <v/>
      </c>
      <c r="F11727" s="107" t="str">
        <f aca="false">IF($C11727="","",$D11727*$E11727)</f>
        <v/>
      </c>
      <c r="G11727" s="107" t="str">
        <f aca="false">IF($C11727="","",$D11727*IFERROR(INDEX('تحليل التكلفة والسعر'!$C$2:$C$700,MATCH($C11727,'تحليل التكلفة والسعر'!$B$2:$B$700,0)),0))</f>
        <v/>
      </c>
    </row>
    <row r="11728" customFormat="false" ht="15" hidden="false" customHeight="false" outlineLevel="0" collapsed="false">
      <c r="A11728" s="103"/>
      <c r="B11728" s="104"/>
      <c r="C11728" s="104"/>
      <c r="E11728" s="107" t="str">
        <f aca="false">IF($C11728="","",IFERROR(INDEX(المنيو!$C$2:$C$500,MATCH($C11728,المنيو!$B$2:$B$500,0)),0))</f>
        <v/>
      </c>
      <c r="F11728" s="107" t="str">
        <f aca="false">IF($C11728="","",$D11728*$E11728)</f>
        <v/>
      </c>
      <c r="G11728" s="107" t="str">
        <f aca="false">IF($C11728="","",$D11728*IFERROR(INDEX('تحليل التكلفة والسعر'!$C$2:$C$700,MATCH($C11728,'تحليل التكلفة والسعر'!$B$2:$B$700,0)),0))</f>
        <v/>
      </c>
    </row>
    <row r="11729" customFormat="false" ht="15" hidden="false" customHeight="false" outlineLevel="0" collapsed="false">
      <c r="A11729" s="103"/>
      <c r="B11729" s="104"/>
      <c r="C11729" s="104"/>
      <c r="E11729" s="107" t="str">
        <f aca="false">IF($C11729="","",IFERROR(INDEX(المنيو!$C$2:$C$500,MATCH($C11729,المنيو!$B$2:$B$500,0)),0))</f>
        <v/>
      </c>
      <c r="F11729" s="107" t="str">
        <f aca="false">IF($C11729="","",$D11729*$E11729)</f>
        <v/>
      </c>
      <c r="G11729" s="107" t="str">
        <f aca="false">IF($C11729="","",$D11729*IFERROR(INDEX('تحليل التكلفة والسعر'!$C$2:$C$700,MATCH($C11729,'تحليل التكلفة والسعر'!$B$2:$B$700,0)),0))</f>
        <v/>
      </c>
    </row>
    <row r="11730" customFormat="false" ht="15" hidden="false" customHeight="false" outlineLevel="0" collapsed="false">
      <c r="A11730" s="103"/>
      <c r="B11730" s="104"/>
      <c r="C11730" s="104"/>
      <c r="E11730" s="107" t="str">
        <f aca="false">IF($C11730="","",IFERROR(INDEX(المنيو!$C$2:$C$500,MATCH($C11730,المنيو!$B$2:$B$500,0)),0))</f>
        <v/>
      </c>
      <c r="F11730" s="107" t="str">
        <f aca="false">IF($C11730="","",$D11730*$E11730)</f>
        <v/>
      </c>
      <c r="G11730" s="107" t="str">
        <f aca="false">IF($C11730="","",$D11730*IFERROR(INDEX('تحليل التكلفة والسعر'!$C$2:$C$700,MATCH($C11730,'تحليل التكلفة والسعر'!$B$2:$B$700,0)),0))</f>
        <v/>
      </c>
    </row>
    <row r="11731" customFormat="false" ht="15" hidden="false" customHeight="false" outlineLevel="0" collapsed="false">
      <c r="A11731" s="103"/>
      <c r="B11731" s="104"/>
      <c r="C11731" s="104"/>
      <c r="E11731" s="107" t="str">
        <f aca="false">IF($C11731="","",IFERROR(INDEX(المنيو!$C$2:$C$500,MATCH($C11731,المنيو!$B$2:$B$500,0)),0))</f>
        <v/>
      </c>
      <c r="F11731" s="107" t="str">
        <f aca="false">IF($C11731="","",$D11731*$E11731)</f>
        <v/>
      </c>
      <c r="G11731" s="107" t="str">
        <f aca="false">IF($C11731="","",$D11731*IFERROR(INDEX('تحليل التكلفة والسعر'!$C$2:$C$700,MATCH($C11731,'تحليل التكلفة والسعر'!$B$2:$B$700,0)),0))</f>
        <v/>
      </c>
    </row>
    <row r="11732" customFormat="false" ht="15" hidden="false" customHeight="false" outlineLevel="0" collapsed="false">
      <c r="A11732" s="103"/>
      <c r="B11732" s="104"/>
      <c r="C11732" s="104"/>
      <c r="E11732" s="107" t="str">
        <f aca="false">IF($C11732="","",IFERROR(INDEX(المنيو!$C$2:$C$500,MATCH($C11732,المنيو!$B$2:$B$500,0)),0))</f>
        <v/>
      </c>
      <c r="F11732" s="107" t="str">
        <f aca="false">IF($C11732="","",$D11732*$E11732)</f>
        <v/>
      </c>
      <c r="G11732" s="107" t="str">
        <f aca="false">IF($C11732="","",$D11732*IFERROR(INDEX('تحليل التكلفة والسعر'!$C$2:$C$700,MATCH($C11732,'تحليل التكلفة والسعر'!$B$2:$B$700,0)),0))</f>
        <v/>
      </c>
    </row>
    <row r="11733" customFormat="false" ht="15" hidden="false" customHeight="false" outlineLevel="0" collapsed="false">
      <c r="A11733" s="103"/>
      <c r="B11733" s="104"/>
      <c r="C11733" s="104"/>
      <c r="E11733" s="107" t="str">
        <f aca="false">IF($C11733="","",IFERROR(INDEX(المنيو!$C$2:$C$500,MATCH($C11733,المنيو!$B$2:$B$500,0)),0))</f>
        <v/>
      </c>
      <c r="F11733" s="107" t="str">
        <f aca="false">IF($C11733="","",$D11733*$E11733)</f>
        <v/>
      </c>
      <c r="G11733" s="107" t="str">
        <f aca="false">IF($C11733="","",$D11733*IFERROR(INDEX('تحليل التكلفة والسعر'!$C$2:$C$700,MATCH($C11733,'تحليل التكلفة والسعر'!$B$2:$B$700,0)),0))</f>
        <v/>
      </c>
    </row>
    <row r="11734" customFormat="false" ht="15" hidden="false" customHeight="false" outlineLevel="0" collapsed="false">
      <c r="A11734" s="103"/>
      <c r="B11734" s="104"/>
      <c r="C11734" s="104"/>
      <c r="E11734" s="107" t="str">
        <f aca="false">IF($C11734="","",IFERROR(INDEX(المنيو!$C$2:$C$500,MATCH($C11734,المنيو!$B$2:$B$500,0)),0))</f>
        <v/>
      </c>
      <c r="F11734" s="107" t="str">
        <f aca="false">IF($C11734="","",$D11734*$E11734)</f>
        <v/>
      </c>
      <c r="G11734" s="107" t="str">
        <f aca="false">IF($C11734="","",$D11734*IFERROR(INDEX('تحليل التكلفة والسعر'!$C$2:$C$700,MATCH($C11734,'تحليل التكلفة والسعر'!$B$2:$B$700,0)),0))</f>
        <v/>
      </c>
    </row>
    <row r="11735" customFormat="false" ht="15" hidden="false" customHeight="false" outlineLevel="0" collapsed="false">
      <c r="A11735" s="103"/>
      <c r="B11735" s="104"/>
      <c r="C11735" s="104"/>
      <c r="E11735" s="107" t="str">
        <f aca="false">IF($C11735="","",IFERROR(INDEX(المنيو!$C$2:$C$500,MATCH($C11735,المنيو!$B$2:$B$500,0)),0))</f>
        <v/>
      </c>
      <c r="F11735" s="107" t="str">
        <f aca="false">IF($C11735="","",$D11735*$E11735)</f>
        <v/>
      </c>
      <c r="G11735" s="107" t="str">
        <f aca="false">IF($C11735="","",$D11735*IFERROR(INDEX('تحليل التكلفة والسعر'!$C$2:$C$700,MATCH($C11735,'تحليل التكلفة والسعر'!$B$2:$B$700,0)),0))</f>
        <v/>
      </c>
    </row>
    <row r="11736" customFormat="false" ht="15" hidden="false" customHeight="false" outlineLevel="0" collapsed="false">
      <c r="A11736" s="103"/>
      <c r="B11736" s="104"/>
      <c r="C11736" s="104"/>
      <c r="E11736" s="107" t="str">
        <f aca="false">IF($C11736="","",IFERROR(INDEX(المنيو!$C$2:$C$500,MATCH($C11736,المنيو!$B$2:$B$500,0)),0))</f>
        <v/>
      </c>
      <c r="F11736" s="107" t="str">
        <f aca="false">IF($C11736="","",$D11736*$E11736)</f>
        <v/>
      </c>
      <c r="G11736" s="107" t="str">
        <f aca="false">IF($C11736="","",$D11736*IFERROR(INDEX('تحليل التكلفة والسعر'!$C$2:$C$700,MATCH($C11736,'تحليل التكلفة والسعر'!$B$2:$B$700,0)),0))</f>
        <v/>
      </c>
    </row>
    <row r="11737" customFormat="false" ht="15" hidden="false" customHeight="false" outlineLevel="0" collapsed="false">
      <c r="A11737" s="103"/>
      <c r="B11737" s="104"/>
      <c r="C11737" s="104"/>
      <c r="E11737" s="107" t="str">
        <f aca="false">IF($C11737="","",IFERROR(INDEX(المنيو!$C$2:$C$500,MATCH($C11737,المنيو!$B$2:$B$500,0)),0))</f>
        <v/>
      </c>
      <c r="F11737" s="107" t="str">
        <f aca="false">IF($C11737="","",$D11737*$E11737)</f>
        <v/>
      </c>
      <c r="G11737" s="107" t="str">
        <f aca="false">IF($C11737="","",$D11737*IFERROR(INDEX('تحليل التكلفة والسعر'!$C$2:$C$700,MATCH($C11737,'تحليل التكلفة والسعر'!$B$2:$B$700,0)),0))</f>
        <v/>
      </c>
    </row>
    <row r="11738" customFormat="false" ht="15" hidden="false" customHeight="false" outlineLevel="0" collapsed="false">
      <c r="A11738" s="103"/>
      <c r="B11738" s="104"/>
      <c r="C11738" s="104"/>
      <c r="E11738" s="107" t="str">
        <f aca="false">IF($C11738="","",IFERROR(INDEX(المنيو!$C$2:$C$500,MATCH($C11738,المنيو!$B$2:$B$500,0)),0))</f>
        <v/>
      </c>
      <c r="F11738" s="107" t="str">
        <f aca="false">IF($C11738="","",$D11738*$E11738)</f>
        <v/>
      </c>
      <c r="G11738" s="107" t="str">
        <f aca="false">IF($C11738="","",$D11738*IFERROR(INDEX('تحليل التكلفة والسعر'!$C$2:$C$700,MATCH($C11738,'تحليل التكلفة والسعر'!$B$2:$B$700,0)),0))</f>
        <v/>
      </c>
    </row>
    <row r="11739" customFormat="false" ht="15" hidden="false" customHeight="false" outlineLevel="0" collapsed="false">
      <c r="A11739" s="103"/>
      <c r="B11739" s="104"/>
      <c r="C11739" s="104"/>
      <c r="E11739" s="107" t="str">
        <f aca="false">IF($C11739="","",IFERROR(INDEX(المنيو!$C$2:$C$500,MATCH($C11739,المنيو!$B$2:$B$500,0)),0))</f>
        <v/>
      </c>
      <c r="F11739" s="107" t="str">
        <f aca="false">IF($C11739="","",$D11739*$E11739)</f>
        <v/>
      </c>
      <c r="G11739" s="107" t="str">
        <f aca="false">IF($C11739="","",$D11739*IFERROR(INDEX('تحليل التكلفة والسعر'!$C$2:$C$700,MATCH($C11739,'تحليل التكلفة والسعر'!$B$2:$B$700,0)),0))</f>
        <v/>
      </c>
    </row>
    <row r="11740" customFormat="false" ht="15" hidden="false" customHeight="false" outlineLevel="0" collapsed="false">
      <c r="A11740" s="103"/>
      <c r="B11740" s="104"/>
      <c r="C11740" s="104"/>
      <c r="E11740" s="107" t="str">
        <f aca="false">IF($C11740="","",IFERROR(INDEX(المنيو!$C$2:$C$500,MATCH($C11740,المنيو!$B$2:$B$500,0)),0))</f>
        <v/>
      </c>
      <c r="F11740" s="107" t="str">
        <f aca="false">IF($C11740="","",$D11740*$E11740)</f>
        <v/>
      </c>
      <c r="G11740" s="107" t="str">
        <f aca="false">IF($C11740="","",$D11740*IFERROR(INDEX('تحليل التكلفة والسعر'!$C$2:$C$700,MATCH($C11740,'تحليل التكلفة والسعر'!$B$2:$B$700,0)),0))</f>
        <v/>
      </c>
    </row>
    <row r="11741" customFormat="false" ht="15" hidden="false" customHeight="false" outlineLevel="0" collapsed="false">
      <c r="A11741" s="103"/>
      <c r="B11741" s="104"/>
      <c r="C11741" s="104"/>
      <c r="E11741" s="107" t="str">
        <f aca="false">IF($C11741="","",IFERROR(INDEX(المنيو!$C$2:$C$500,MATCH($C11741,المنيو!$B$2:$B$500,0)),0))</f>
        <v/>
      </c>
      <c r="F11741" s="107" t="str">
        <f aca="false">IF($C11741="","",$D11741*$E11741)</f>
        <v/>
      </c>
      <c r="G11741" s="107" t="str">
        <f aca="false">IF($C11741="","",$D11741*IFERROR(INDEX('تحليل التكلفة والسعر'!$C$2:$C$700,MATCH($C11741,'تحليل التكلفة والسعر'!$B$2:$B$700,0)),0))</f>
        <v/>
      </c>
    </row>
    <row r="11742" customFormat="false" ht="15" hidden="false" customHeight="false" outlineLevel="0" collapsed="false">
      <c r="A11742" s="103"/>
      <c r="B11742" s="104"/>
      <c r="C11742" s="104"/>
      <c r="E11742" s="107" t="str">
        <f aca="false">IF($C11742="","",IFERROR(INDEX(المنيو!$C$2:$C$500,MATCH($C11742,المنيو!$B$2:$B$500,0)),0))</f>
        <v/>
      </c>
      <c r="F11742" s="107" t="str">
        <f aca="false">IF($C11742="","",$D11742*$E11742)</f>
        <v/>
      </c>
      <c r="G11742" s="107" t="str">
        <f aca="false">IF($C11742="","",$D11742*IFERROR(INDEX('تحليل التكلفة والسعر'!$C$2:$C$700,MATCH($C11742,'تحليل التكلفة والسعر'!$B$2:$B$700,0)),0))</f>
        <v/>
      </c>
    </row>
    <row r="11743" customFormat="false" ht="15" hidden="false" customHeight="false" outlineLevel="0" collapsed="false">
      <c r="A11743" s="103"/>
      <c r="B11743" s="104"/>
      <c r="C11743" s="104"/>
      <c r="E11743" s="107" t="str">
        <f aca="false">IF($C11743="","",IFERROR(INDEX(المنيو!$C$2:$C$500,MATCH($C11743,المنيو!$B$2:$B$500,0)),0))</f>
        <v/>
      </c>
      <c r="F11743" s="107" t="str">
        <f aca="false">IF($C11743="","",$D11743*$E11743)</f>
        <v/>
      </c>
      <c r="G11743" s="107" t="str">
        <f aca="false">IF($C11743="","",$D11743*IFERROR(INDEX('تحليل التكلفة والسعر'!$C$2:$C$700,MATCH($C11743,'تحليل التكلفة والسعر'!$B$2:$B$700,0)),0))</f>
        <v/>
      </c>
    </row>
    <row r="11744" customFormat="false" ht="15" hidden="false" customHeight="false" outlineLevel="0" collapsed="false">
      <c r="A11744" s="103"/>
      <c r="B11744" s="104"/>
      <c r="C11744" s="104"/>
      <c r="E11744" s="107" t="str">
        <f aca="false">IF($C11744="","",IFERROR(INDEX(المنيو!$C$2:$C$500,MATCH($C11744,المنيو!$B$2:$B$500,0)),0))</f>
        <v/>
      </c>
      <c r="F11744" s="107" t="str">
        <f aca="false">IF($C11744="","",$D11744*$E11744)</f>
        <v/>
      </c>
      <c r="G11744" s="107" t="str">
        <f aca="false">IF($C11744="","",$D11744*IFERROR(INDEX('تحليل التكلفة والسعر'!$C$2:$C$700,MATCH($C11744,'تحليل التكلفة والسعر'!$B$2:$B$700,0)),0))</f>
        <v/>
      </c>
    </row>
    <row r="11745" customFormat="false" ht="15" hidden="false" customHeight="false" outlineLevel="0" collapsed="false">
      <c r="A11745" s="103"/>
      <c r="B11745" s="104"/>
      <c r="C11745" s="104"/>
      <c r="E11745" s="107" t="str">
        <f aca="false">IF($C11745="","",IFERROR(INDEX(المنيو!$C$2:$C$500,MATCH($C11745,المنيو!$B$2:$B$500,0)),0))</f>
        <v/>
      </c>
      <c r="F11745" s="107" t="str">
        <f aca="false">IF($C11745="","",$D11745*$E11745)</f>
        <v/>
      </c>
      <c r="G11745" s="107" t="str">
        <f aca="false">IF($C11745="","",$D11745*IFERROR(INDEX('تحليل التكلفة والسعر'!$C$2:$C$700,MATCH($C11745,'تحليل التكلفة والسعر'!$B$2:$B$700,0)),0))</f>
        <v/>
      </c>
    </row>
    <row r="11746" customFormat="false" ht="15" hidden="false" customHeight="false" outlineLevel="0" collapsed="false">
      <c r="A11746" s="103"/>
      <c r="B11746" s="104"/>
      <c r="C11746" s="104"/>
      <c r="E11746" s="107" t="str">
        <f aca="false">IF($C11746="","",IFERROR(INDEX(المنيو!$C$2:$C$500,MATCH($C11746,المنيو!$B$2:$B$500,0)),0))</f>
        <v/>
      </c>
      <c r="F11746" s="107" t="str">
        <f aca="false">IF($C11746="","",$D11746*$E11746)</f>
        <v/>
      </c>
      <c r="G11746" s="107" t="str">
        <f aca="false">IF($C11746="","",$D11746*IFERROR(INDEX('تحليل التكلفة والسعر'!$C$2:$C$700,MATCH($C11746,'تحليل التكلفة والسعر'!$B$2:$B$700,0)),0))</f>
        <v/>
      </c>
    </row>
    <row r="11747" customFormat="false" ht="15" hidden="false" customHeight="false" outlineLevel="0" collapsed="false">
      <c r="A11747" s="103"/>
      <c r="B11747" s="104"/>
      <c r="C11747" s="104"/>
      <c r="E11747" s="107" t="str">
        <f aca="false">IF($C11747="","",IFERROR(INDEX(المنيو!$C$2:$C$500,MATCH($C11747,المنيو!$B$2:$B$500,0)),0))</f>
        <v/>
      </c>
      <c r="F11747" s="107" t="str">
        <f aca="false">IF($C11747="","",$D11747*$E11747)</f>
        <v/>
      </c>
      <c r="G11747" s="107" t="str">
        <f aca="false">IF($C11747="","",$D11747*IFERROR(INDEX('تحليل التكلفة والسعر'!$C$2:$C$700,MATCH($C11747,'تحليل التكلفة والسعر'!$B$2:$B$700,0)),0))</f>
        <v/>
      </c>
    </row>
    <row r="11748" customFormat="false" ht="15" hidden="false" customHeight="false" outlineLevel="0" collapsed="false">
      <c r="A11748" s="103"/>
      <c r="B11748" s="104"/>
      <c r="C11748" s="104"/>
      <c r="E11748" s="107" t="str">
        <f aca="false">IF($C11748="","",IFERROR(INDEX(المنيو!$C$2:$C$500,MATCH($C11748,المنيو!$B$2:$B$500,0)),0))</f>
        <v/>
      </c>
      <c r="F11748" s="107" t="str">
        <f aca="false">IF($C11748="","",$D11748*$E11748)</f>
        <v/>
      </c>
      <c r="G11748" s="107" t="str">
        <f aca="false">IF($C11748="","",$D11748*IFERROR(INDEX('تحليل التكلفة والسعر'!$C$2:$C$700,MATCH($C11748,'تحليل التكلفة والسعر'!$B$2:$B$700,0)),0))</f>
        <v/>
      </c>
    </row>
    <row r="11749" customFormat="false" ht="15" hidden="false" customHeight="false" outlineLevel="0" collapsed="false">
      <c r="A11749" s="103"/>
      <c r="B11749" s="104"/>
      <c r="C11749" s="104"/>
      <c r="E11749" s="107" t="str">
        <f aca="false">IF($C11749="","",IFERROR(INDEX(المنيو!$C$2:$C$500,MATCH($C11749,المنيو!$B$2:$B$500,0)),0))</f>
        <v/>
      </c>
      <c r="F11749" s="107" t="str">
        <f aca="false">IF($C11749="","",$D11749*$E11749)</f>
        <v/>
      </c>
      <c r="G11749" s="107" t="str">
        <f aca="false">IF($C11749="","",$D11749*IFERROR(INDEX('تحليل التكلفة والسعر'!$C$2:$C$700,MATCH($C11749,'تحليل التكلفة والسعر'!$B$2:$B$700,0)),0))</f>
        <v/>
      </c>
    </row>
    <row r="11750" customFormat="false" ht="15" hidden="false" customHeight="false" outlineLevel="0" collapsed="false">
      <c r="A11750" s="103"/>
      <c r="B11750" s="104"/>
      <c r="C11750" s="104"/>
      <c r="E11750" s="107" t="str">
        <f aca="false">IF($C11750="","",IFERROR(INDEX(المنيو!$C$2:$C$500,MATCH($C11750,المنيو!$B$2:$B$500,0)),0))</f>
        <v/>
      </c>
      <c r="F11750" s="107" t="str">
        <f aca="false">IF($C11750="","",$D11750*$E11750)</f>
        <v/>
      </c>
      <c r="G11750" s="107" t="str">
        <f aca="false">IF($C11750="","",$D11750*IFERROR(INDEX('تحليل التكلفة والسعر'!$C$2:$C$700,MATCH($C11750,'تحليل التكلفة والسعر'!$B$2:$B$700,0)),0))</f>
        <v/>
      </c>
    </row>
    <row r="11751" customFormat="false" ht="15" hidden="false" customHeight="false" outlineLevel="0" collapsed="false">
      <c r="A11751" s="103"/>
      <c r="B11751" s="104"/>
      <c r="C11751" s="104"/>
      <c r="E11751" s="107" t="str">
        <f aca="false">IF($C11751="","",IFERROR(INDEX(المنيو!$C$2:$C$500,MATCH($C11751,المنيو!$B$2:$B$500,0)),0))</f>
        <v/>
      </c>
      <c r="F11751" s="107" t="str">
        <f aca="false">IF($C11751="","",$D11751*$E11751)</f>
        <v/>
      </c>
      <c r="G11751" s="107" t="str">
        <f aca="false">IF($C11751="","",$D11751*IFERROR(INDEX('تحليل التكلفة والسعر'!$C$2:$C$700,MATCH($C11751,'تحليل التكلفة والسعر'!$B$2:$B$700,0)),0))</f>
        <v/>
      </c>
    </row>
    <row r="11752" customFormat="false" ht="15" hidden="false" customHeight="false" outlineLevel="0" collapsed="false">
      <c r="A11752" s="103"/>
      <c r="B11752" s="104"/>
      <c r="C11752" s="104"/>
      <c r="E11752" s="107" t="str">
        <f aca="false">IF($C11752="","",IFERROR(INDEX(المنيو!$C$2:$C$500,MATCH($C11752,المنيو!$B$2:$B$500,0)),0))</f>
        <v/>
      </c>
      <c r="F11752" s="107" t="str">
        <f aca="false">IF($C11752="","",$D11752*$E11752)</f>
        <v/>
      </c>
      <c r="G11752" s="107" t="str">
        <f aca="false">IF($C11752="","",$D11752*IFERROR(INDEX('تحليل التكلفة والسعر'!$C$2:$C$700,MATCH($C11752,'تحليل التكلفة والسعر'!$B$2:$B$700,0)),0))</f>
        <v/>
      </c>
    </row>
    <row r="11753" customFormat="false" ht="15" hidden="false" customHeight="false" outlineLevel="0" collapsed="false">
      <c r="A11753" s="103"/>
      <c r="B11753" s="104"/>
      <c r="C11753" s="104"/>
      <c r="E11753" s="107" t="str">
        <f aca="false">IF($C11753="","",IFERROR(INDEX(المنيو!$C$2:$C$500,MATCH($C11753,المنيو!$B$2:$B$500,0)),0))</f>
        <v/>
      </c>
      <c r="F11753" s="107" t="str">
        <f aca="false">IF($C11753="","",$D11753*$E11753)</f>
        <v/>
      </c>
      <c r="G11753" s="107" t="str">
        <f aca="false">IF($C11753="","",$D11753*IFERROR(INDEX('تحليل التكلفة والسعر'!$C$2:$C$700,MATCH($C11753,'تحليل التكلفة والسعر'!$B$2:$B$700,0)),0))</f>
        <v/>
      </c>
    </row>
    <row r="11754" customFormat="false" ht="15" hidden="false" customHeight="false" outlineLevel="0" collapsed="false">
      <c r="A11754" s="103"/>
      <c r="B11754" s="104"/>
      <c r="C11754" s="104"/>
      <c r="E11754" s="107" t="str">
        <f aca="false">IF($C11754="","",IFERROR(INDEX(المنيو!$C$2:$C$500,MATCH($C11754,المنيو!$B$2:$B$500,0)),0))</f>
        <v/>
      </c>
      <c r="F11754" s="107" t="str">
        <f aca="false">IF($C11754="","",$D11754*$E11754)</f>
        <v/>
      </c>
      <c r="G11754" s="107" t="str">
        <f aca="false">IF($C11754="","",$D11754*IFERROR(INDEX('تحليل التكلفة والسعر'!$C$2:$C$700,MATCH($C11754,'تحليل التكلفة والسعر'!$B$2:$B$700,0)),0))</f>
        <v/>
      </c>
    </row>
    <row r="11755" customFormat="false" ht="15" hidden="false" customHeight="false" outlineLevel="0" collapsed="false">
      <c r="A11755" s="103"/>
      <c r="B11755" s="104"/>
      <c r="C11755" s="104"/>
      <c r="E11755" s="107" t="str">
        <f aca="false">IF($C11755="","",IFERROR(INDEX(المنيو!$C$2:$C$500,MATCH($C11755,المنيو!$B$2:$B$500,0)),0))</f>
        <v/>
      </c>
      <c r="F11755" s="107" t="str">
        <f aca="false">IF($C11755="","",$D11755*$E11755)</f>
        <v/>
      </c>
      <c r="G11755" s="107" t="str">
        <f aca="false">IF($C11755="","",$D11755*IFERROR(INDEX('تحليل التكلفة والسعر'!$C$2:$C$700,MATCH($C11755,'تحليل التكلفة والسعر'!$B$2:$B$700,0)),0))</f>
        <v/>
      </c>
    </row>
    <row r="11756" customFormat="false" ht="15" hidden="false" customHeight="false" outlineLevel="0" collapsed="false">
      <c r="A11756" s="103"/>
      <c r="B11756" s="104"/>
      <c r="C11756" s="104"/>
      <c r="E11756" s="107" t="str">
        <f aca="false">IF($C11756="","",IFERROR(INDEX(المنيو!$C$2:$C$500,MATCH($C11756,المنيو!$B$2:$B$500,0)),0))</f>
        <v/>
      </c>
      <c r="F11756" s="107" t="str">
        <f aca="false">IF($C11756="","",$D11756*$E11756)</f>
        <v/>
      </c>
      <c r="G11756" s="107" t="str">
        <f aca="false">IF($C11756="","",$D11756*IFERROR(INDEX('تحليل التكلفة والسعر'!$C$2:$C$700,MATCH($C11756,'تحليل التكلفة والسعر'!$B$2:$B$700,0)),0))</f>
        <v/>
      </c>
    </row>
    <row r="11757" customFormat="false" ht="15" hidden="false" customHeight="false" outlineLevel="0" collapsed="false">
      <c r="A11757" s="103"/>
      <c r="B11757" s="104"/>
      <c r="C11757" s="104"/>
      <c r="E11757" s="107" t="str">
        <f aca="false">IF($C11757="","",IFERROR(INDEX(المنيو!$C$2:$C$500,MATCH($C11757,المنيو!$B$2:$B$500,0)),0))</f>
        <v/>
      </c>
      <c r="F11757" s="107" t="str">
        <f aca="false">IF($C11757="","",$D11757*$E11757)</f>
        <v/>
      </c>
      <c r="G11757" s="107" t="str">
        <f aca="false">IF($C11757="","",$D11757*IFERROR(INDEX('تحليل التكلفة والسعر'!$C$2:$C$700,MATCH($C11757,'تحليل التكلفة والسعر'!$B$2:$B$700,0)),0))</f>
        <v/>
      </c>
    </row>
    <row r="11758" customFormat="false" ht="15" hidden="false" customHeight="false" outlineLevel="0" collapsed="false">
      <c r="A11758" s="103"/>
      <c r="B11758" s="104"/>
      <c r="C11758" s="104"/>
      <c r="E11758" s="107" t="str">
        <f aca="false">IF($C11758="","",IFERROR(INDEX(المنيو!$C$2:$C$500,MATCH($C11758,المنيو!$B$2:$B$500,0)),0))</f>
        <v/>
      </c>
      <c r="F11758" s="107" t="str">
        <f aca="false">IF($C11758="","",$D11758*$E11758)</f>
        <v/>
      </c>
      <c r="G11758" s="107" t="str">
        <f aca="false">IF($C11758="","",$D11758*IFERROR(INDEX('تحليل التكلفة والسعر'!$C$2:$C$700,MATCH($C11758,'تحليل التكلفة والسعر'!$B$2:$B$700,0)),0))</f>
        <v/>
      </c>
    </row>
    <row r="11759" customFormat="false" ht="15" hidden="false" customHeight="false" outlineLevel="0" collapsed="false">
      <c r="A11759" s="103"/>
      <c r="B11759" s="104"/>
      <c r="C11759" s="104"/>
      <c r="E11759" s="107" t="str">
        <f aca="false">IF($C11759="","",IFERROR(INDEX(المنيو!$C$2:$C$500,MATCH($C11759,المنيو!$B$2:$B$500,0)),0))</f>
        <v/>
      </c>
      <c r="F11759" s="107" t="str">
        <f aca="false">IF($C11759="","",$D11759*$E11759)</f>
        <v/>
      </c>
      <c r="G11759" s="107" t="str">
        <f aca="false">IF($C11759="","",$D11759*IFERROR(INDEX('تحليل التكلفة والسعر'!$C$2:$C$700,MATCH($C11759,'تحليل التكلفة والسعر'!$B$2:$B$700,0)),0))</f>
        <v/>
      </c>
    </row>
    <row r="11760" customFormat="false" ht="15" hidden="false" customHeight="false" outlineLevel="0" collapsed="false">
      <c r="A11760" s="103"/>
      <c r="B11760" s="104"/>
      <c r="C11760" s="104"/>
      <c r="E11760" s="107" t="str">
        <f aca="false">IF($C11760="","",IFERROR(INDEX(المنيو!$C$2:$C$500,MATCH($C11760,المنيو!$B$2:$B$500,0)),0))</f>
        <v/>
      </c>
      <c r="F11760" s="107" t="str">
        <f aca="false">IF($C11760="","",$D11760*$E11760)</f>
        <v/>
      </c>
      <c r="G11760" s="107" t="str">
        <f aca="false">IF($C11760="","",$D11760*IFERROR(INDEX('تحليل التكلفة والسعر'!$C$2:$C$700,MATCH($C11760,'تحليل التكلفة والسعر'!$B$2:$B$700,0)),0))</f>
        <v/>
      </c>
    </row>
    <row r="11761" customFormat="false" ht="15" hidden="false" customHeight="false" outlineLevel="0" collapsed="false">
      <c r="A11761" s="103"/>
      <c r="B11761" s="104"/>
      <c r="C11761" s="104"/>
      <c r="E11761" s="107" t="str">
        <f aca="false">IF($C11761="","",IFERROR(INDEX(المنيو!$C$2:$C$500,MATCH($C11761,المنيو!$B$2:$B$500,0)),0))</f>
        <v/>
      </c>
      <c r="F11761" s="107" t="str">
        <f aca="false">IF($C11761="","",$D11761*$E11761)</f>
        <v/>
      </c>
      <c r="G11761" s="107" t="str">
        <f aca="false">IF($C11761="","",$D11761*IFERROR(INDEX('تحليل التكلفة والسعر'!$C$2:$C$700,MATCH($C11761,'تحليل التكلفة والسعر'!$B$2:$B$700,0)),0))</f>
        <v/>
      </c>
    </row>
    <row r="11762" customFormat="false" ht="15" hidden="false" customHeight="false" outlineLevel="0" collapsed="false">
      <c r="A11762" s="103"/>
      <c r="B11762" s="104"/>
      <c r="C11762" s="104"/>
      <c r="E11762" s="107" t="str">
        <f aca="false">IF($C11762="","",IFERROR(INDEX(المنيو!$C$2:$C$500,MATCH($C11762,المنيو!$B$2:$B$500,0)),0))</f>
        <v/>
      </c>
      <c r="F11762" s="107" t="str">
        <f aca="false">IF($C11762="","",$D11762*$E11762)</f>
        <v/>
      </c>
      <c r="G11762" s="107" t="str">
        <f aca="false">IF($C11762="","",$D11762*IFERROR(INDEX('تحليل التكلفة والسعر'!$C$2:$C$700,MATCH($C11762,'تحليل التكلفة والسعر'!$B$2:$B$700,0)),0))</f>
        <v/>
      </c>
    </row>
    <row r="11763" customFormat="false" ht="15" hidden="false" customHeight="false" outlineLevel="0" collapsed="false">
      <c r="A11763" s="103"/>
      <c r="B11763" s="104"/>
      <c r="C11763" s="104"/>
      <c r="E11763" s="107" t="str">
        <f aca="false">IF($C11763="","",IFERROR(INDEX(المنيو!$C$2:$C$500,MATCH($C11763,المنيو!$B$2:$B$500,0)),0))</f>
        <v/>
      </c>
      <c r="F11763" s="107" t="str">
        <f aca="false">IF($C11763="","",$D11763*$E11763)</f>
        <v/>
      </c>
      <c r="G11763" s="107" t="str">
        <f aca="false">IF($C11763="","",$D11763*IFERROR(INDEX('تحليل التكلفة والسعر'!$C$2:$C$700,MATCH($C11763,'تحليل التكلفة والسعر'!$B$2:$B$700,0)),0))</f>
        <v/>
      </c>
    </row>
    <row r="11764" customFormat="false" ht="15" hidden="false" customHeight="false" outlineLevel="0" collapsed="false">
      <c r="A11764" s="103"/>
      <c r="B11764" s="104"/>
      <c r="C11764" s="104"/>
      <c r="E11764" s="107" t="str">
        <f aca="false">IF($C11764="","",IFERROR(INDEX(المنيو!$C$2:$C$500,MATCH($C11764,المنيو!$B$2:$B$500,0)),0))</f>
        <v/>
      </c>
      <c r="F11764" s="107" t="str">
        <f aca="false">IF($C11764="","",$D11764*$E11764)</f>
        <v/>
      </c>
      <c r="G11764" s="107" t="str">
        <f aca="false">IF($C11764="","",$D11764*IFERROR(INDEX('تحليل التكلفة والسعر'!$C$2:$C$700,MATCH($C11764,'تحليل التكلفة والسعر'!$B$2:$B$700,0)),0))</f>
        <v/>
      </c>
    </row>
    <row r="11765" customFormat="false" ht="15" hidden="false" customHeight="false" outlineLevel="0" collapsed="false">
      <c r="A11765" s="103"/>
      <c r="B11765" s="104"/>
      <c r="C11765" s="104"/>
      <c r="E11765" s="107" t="str">
        <f aca="false">IF($C11765="","",IFERROR(INDEX(المنيو!$C$2:$C$500,MATCH($C11765,المنيو!$B$2:$B$500,0)),0))</f>
        <v/>
      </c>
      <c r="F11765" s="107" t="str">
        <f aca="false">IF($C11765="","",$D11765*$E11765)</f>
        <v/>
      </c>
      <c r="G11765" s="107" t="str">
        <f aca="false">IF($C11765="","",$D11765*IFERROR(INDEX('تحليل التكلفة والسعر'!$C$2:$C$700,MATCH($C11765,'تحليل التكلفة والسعر'!$B$2:$B$700,0)),0))</f>
        <v/>
      </c>
    </row>
    <row r="11766" customFormat="false" ht="15" hidden="false" customHeight="false" outlineLevel="0" collapsed="false">
      <c r="A11766" s="103"/>
      <c r="B11766" s="104"/>
      <c r="C11766" s="104"/>
      <c r="E11766" s="107" t="str">
        <f aca="false">IF($C11766="","",IFERROR(INDEX(المنيو!$C$2:$C$500,MATCH($C11766,المنيو!$B$2:$B$500,0)),0))</f>
        <v/>
      </c>
      <c r="F11766" s="107" t="str">
        <f aca="false">IF($C11766="","",$D11766*$E11766)</f>
        <v/>
      </c>
      <c r="G11766" s="107" t="str">
        <f aca="false">IF($C11766="","",$D11766*IFERROR(INDEX('تحليل التكلفة والسعر'!$C$2:$C$700,MATCH($C11766,'تحليل التكلفة والسعر'!$B$2:$B$700,0)),0))</f>
        <v/>
      </c>
    </row>
    <row r="11767" customFormat="false" ht="15" hidden="false" customHeight="false" outlineLevel="0" collapsed="false">
      <c r="A11767" s="103"/>
      <c r="B11767" s="104"/>
      <c r="C11767" s="104"/>
      <c r="E11767" s="107" t="str">
        <f aca="false">IF($C11767="","",IFERROR(INDEX(المنيو!$C$2:$C$500,MATCH($C11767,المنيو!$B$2:$B$500,0)),0))</f>
        <v/>
      </c>
      <c r="F11767" s="107" t="str">
        <f aca="false">IF($C11767="","",$D11767*$E11767)</f>
        <v/>
      </c>
      <c r="G11767" s="107" t="str">
        <f aca="false">IF($C11767="","",$D11767*IFERROR(INDEX('تحليل التكلفة والسعر'!$C$2:$C$700,MATCH($C11767,'تحليل التكلفة والسعر'!$B$2:$B$700,0)),0))</f>
        <v/>
      </c>
    </row>
    <row r="11768" customFormat="false" ht="15" hidden="false" customHeight="false" outlineLevel="0" collapsed="false">
      <c r="A11768" s="103"/>
      <c r="B11768" s="104"/>
      <c r="C11768" s="104"/>
      <c r="E11768" s="107" t="str">
        <f aca="false">IF($C11768="","",IFERROR(INDEX(المنيو!$C$2:$C$500,MATCH($C11768,المنيو!$B$2:$B$500,0)),0))</f>
        <v/>
      </c>
      <c r="F11768" s="107" t="str">
        <f aca="false">IF($C11768="","",$D11768*$E11768)</f>
        <v/>
      </c>
      <c r="G11768" s="107" t="str">
        <f aca="false">IF($C11768="","",$D11768*IFERROR(INDEX('تحليل التكلفة والسعر'!$C$2:$C$700,MATCH($C11768,'تحليل التكلفة والسعر'!$B$2:$B$700,0)),0))</f>
        <v/>
      </c>
    </row>
    <row r="11769" customFormat="false" ht="15" hidden="false" customHeight="false" outlineLevel="0" collapsed="false">
      <c r="A11769" s="103"/>
      <c r="B11769" s="104"/>
      <c r="C11769" s="104"/>
      <c r="E11769" s="107" t="str">
        <f aca="false">IF($C11769="","",IFERROR(INDEX(المنيو!$C$2:$C$500,MATCH($C11769,المنيو!$B$2:$B$500,0)),0))</f>
        <v/>
      </c>
      <c r="F11769" s="107" t="str">
        <f aca="false">IF($C11769="","",$D11769*$E11769)</f>
        <v/>
      </c>
      <c r="G11769" s="107" t="str">
        <f aca="false">IF($C11769="","",$D11769*IFERROR(INDEX('تحليل التكلفة والسعر'!$C$2:$C$700,MATCH($C11769,'تحليل التكلفة والسعر'!$B$2:$B$700,0)),0))</f>
        <v/>
      </c>
    </row>
    <row r="11770" customFormat="false" ht="15" hidden="false" customHeight="false" outlineLevel="0" collapsed="false">
      <c r="A11770" s="103"/>
      <c r="B11770" s="104"/>
      <c r="C11770" s="104"/>
      <c r="E11770" s="107" t="str">
        <f aca="false">IF($C11770="","",IFERROR(INDEX(المنيو!$C$2:$C$500,MATCH($C11770,المنيو!$B$2:$B$500,0)),0))</f>
        <v/>
      </c>
      <c r="F11770" s="107" t="str">
        <f aca="false">IF($C11770="","",$D11770*$E11770)</f>
        <v/>
      </c>
      <c r="G11770" s="107" t="str">
        <f aca="false">IF($C11770="","",$D11770*IFERROR(INDEX('تحليل التكلفة والسعر'!$C$2:$C$700,MATCH($C11770,'تحليل التكلفة والسعر'!$B$2:$B$700,0)),0))</f>
        <v/>
      </c>
    </row>
    <row r="11771" customFormat="false" ht="15" hidden="false" customHeight="false" outlineLevel="0" collapsed="false">
      <c r="A11771" s="103"/>
      <c r="B11771" s="104"/>
      <c r="C11771" s="104"/>
      <c r="E11771" s="107" t="str">
        <f aca="false">IF($C11771="","",IFERROR(INDEX(المنيو!$C$2:$C$500,MATCH($C11771,المنيو!$B$2:$B$500,0)),0))</f>
        <v/>
      </c>
      <c r="F11771" s="107" t="str">
        <f aca="false">IF($C11771="","",$D11771*$E11771)</f>
        <v/>
      </c>
      <c r="G11771" s="107" t="str">
        <f aca="false">IF($C11771="","",$D11771*IFERROR(INDEX('تحليل التكلفة والسعر'!$C$2:$C$700,MATCH($C11771,'تحليل التكلفة والسعر'!$B$2:$B$700,0)),0))</f>
        <v/>
      </c>
    </row>
    <row r="11772" customFormat="false" ht="15" hidden="false" customHeight="false" outlineLevel="0" collapsed="false">
      <c r="A11772" s="103"/>
      <c r="B11772" s="104"/>
      <c r="C11772" s="104"/>
      <c r="E11772" s="107" t="str">
        <f aca="false">IF($C11772="","",IFERROR(INDEX(المنيو!$C$2:$C$500,MATCH($C11772,المنيو!$B$2:$B$500,0)),0))</f>
        <v/>
      </c>
      <c r="F11772" s="107" t="str">
        <f aca="false">IF($C11772="","",$D11772*$E11772)</f>
        <v/>
      </c>
      <c r="G11772" s="107" t="str">
        <f aca="false">IF($C11772="","",$D11772*IFERROR(INDEX('تحليل التكلفة والسعر'!$C$2:$C$700,MATCH($C11772,'تحليل التكلفة والسعر'!$B$2:$B$700,0)),0))</f>
        <v/>
      </c>
    </row>
    <row r="11773" customFormat="false" ht="15" hidden="false" customHeight="false" outlineLevel="0" collapsed="false">
      <c r="A11773" s="103"/>
      <c r="B11773" s="104"/>
      <c r="C11773" s="104"/>
      <c r="E11773" s="107" t="str">
        <f aca="false">IF($C11773="","",IFERROR(INDEX(المنيو!$C$2:$C$500,MATCH($C11773,المنيو!$B$2:$B$500,0)),0))</f>
        <v/>
      </c>
      <c r="F11773" s="107" t="str">
        <f aca="false">IF($C11773="","",$D11773*$E11773)</f>
        <v/>
      </c>
      <c r="G11773" s="107" t="str">
        <f aca="false">IF($C11773="","",$D11773*IFERROR(INDEX('تحليل التكلفة والسعر'!$C$2:$C$700,MATCH($C11773,'تحليل التكلفة والسعر'!$B$2:$B$700,0)),0))</f>
        <v/>
      </c>
    </row>
    <row r="11774" customFormat="false" ht="15" hidden="false" customHeight="false" outlineLevel="0" collapsed="false">
      <c r="A11774" s="103"/>
      <c r="B11774" s="104"/>
      <c r="C11774" s="104"/>
      <c r="E11774" s="107" t="str">
        <f aca="false">IF($C11774="","",IFERROR(INDEX(المنيو!$C$2:$C$500,MATCH($C11774,المنيو!$B$2:$B$500,0)),0))</f>
        <v/>
      </c>
      <c r="F11774" s="107" t="str">
        <f aca="false">IF($C11774="","",$D11774*$E11774)</f>
        <v/>
      </c>
      <c r="G11774" s="107" t="str">
        <f aca="false">IF($C11774="","",$D11774*IFERROR(INDEX('تحليل التكلفة والسعر'!$C$2:$C$700,MATCH($C11774,'تحليل التكلفة والسعر'!$B$2:$B$700,0)),0))</f>
        <v/>
      </c>
    </row>
    <row r="11775" customFormat="false" ht="15" hidden="false" customHeight="false" outlineLevel="0" collapsed="false">
      <c r="A11775" s="103"/>
      <c r="B11775" s="104"/>
      <c r="C11775" s="104"/>
      <c r="E11775" s="107" t="str">
        <f aca="false">IF($C11775="","",IFERROR(INDEX(المنيو!$C$2:$C$500,MATCH($C11775,المنيو!$B$2:$B$500,0)),0))</f>
        <v/>
      </c>
      <c r="F11775" s="107" t="str">
        <f aca="false">IF($C11775="","",$D11775*$E11775)</f>
        <v/>
      </c>
      <c r="G11775" s="107" t="str">
        <f aca="false">IF($C11775="","",$D11775*IFERROR(INDEX('تحليل التكلفة والسعر'!$C$2:$C$700,MATCH($C11775,'تحليل التكلفة والسعر'!$B$2:$B$700,0)),0))</f>
        <v/>
      </c>
    </row>
    <row r="11776" customFormat="false" ht="15" hidden="false" customHeight="false" outlineLevel="0" collapsed="false">
      <c r="A11776" s="103"/>
      <c r="B11776" s="104"/>
      <c r="C11776" s="104"/>
      <c r="E11776" s="107" t="str">
        <f aca="false">IF($C11776="","",IFERROR(INDEX(المنيو!$C$2:$C$500,MATCH($C11776,المنيو!$B$2:$B$500,0)),0))</f>
        <v/>
      </c>
      <c r="F11776" s="107" t="str">
        <f aca="false">IF($C11776="","",$D11776*$E11776)</f>
        <v/>
      </c>
      <c r="G11776" s="107" t="str">
        <f aca="false">IF($C11776="","",$D11776*IFERROR(INDEX('تحليل التكلفة والسعر'!$C$2:$C$700,MATCH($C11776,'تحليل التكلفة والسعر'!$B$2:$B$700,0)),0))</f>
        <v/>
      </c>
    </row>
    <row r="11777" customFormat="false" ht="15" hidden="false" customHeight="false" outlineLevel="0" collapsed="false">
      <c r="A11777" s="103"/>
      <c r="B11777" s="104"/>
      <c r="C11777" s="104"/>
      <c r="E11777" s="107" t="str">
        <f aca="false">IF($C11777="","",IFERROR(INDEX(المنيو!$C$2:$C$500,MATCH($C11777,المنيو!$B$2:$B$500,0)),0))</f>
        <v/>
      </c>
      <c r="F11777" s="107" t="str">
        <f aca="false">IF($C11777="","",$D11777*$E11777)</f>
        <v/>
      </c>
      <c r="G11777" s="107" t="str">
        <f aca="false">IF($C11777="","",$D11777*IFERROR(INDEX('تحليل التكلفة والسعر'!$C$2:$C$700,MATCH($C11777,'تحليل التكلفة والسعر'!$B$2:$B$700,0)),0))</f>
        <v/>
      </c>
    </row>
    <row r="11778" customFormat="false" ht="15" hidden="false" customHeight="false" outlineLevel="0" collapsed="false">
      <c r="A11778" s="103"/>
      <c r="B11778" s="104"/>
      <c r="C11778" s="104"/>
      <c r="E11778" s="107" t="str">
        <f aca="false">IF($C11778="","",IFERROR(INDEX(المنيو!$C$2:$C$500,MATCH($C11778,المنيو!$B$2:$B$500,0)),0))</f>
        <v/>
      </c>
      <c r="F11778" s="107" t="str">
        <f aca="false">IF($C11778="","",$D11778*$E11778)</f>
        <v/>
      </c>
      <c r="G11778" s="107" t="str">
        <f aca="false">IF($C11778="","",$D11778*IFERROR(INDEX('تحليل التكلفة والسعر'!$C$2:$C$700,MATCH($C11778,'تحليل التكلفة والسعر'!$B$2:$B$700,0)),0))</f>
        <v/>
      </c>
    </row>
    <row r="11779" customFormat="false" ht="15" hidden="false" customHeight="false" outlineLevel="0" collapsed="false">
      <c r="A11779" s="103"/>
      <c r="B11779" s="104"/>
      <c r="C11779" s="104"/>
      <c r="E11779" s="107" t="str">
        <f aca="false">IF($C11779="","",IFERROR(INDEX(المنيو!$C$2:$C$500,MATCH($C11779,المنيو!$B$2:$B$500,0)),0))</f>
        <v/>
      </c>
      <c r="F11779" s="107" t="str">
        <f aca="false">IF($C11779="","",$D11779*$E11779)</f>
        <v/>
      </c>
      <c r="G11779" s="107" t="str">
        <f aca="false">IF($C11779="","",$D11779*IFERROR(INDEX('تحليل التكلفة والسعر'!$C$2:$C$700,MATCH($C11779,'تحليل التكلفة والسعر'!$B$2:$B$700,0)),0))</f>
        <v/>
      </c>
    </row>
    <row r="11780" customFormat="false" ht="15" hidden="false" customHeight="false" outlineLevel="0" collapsed="false">
      <c r="A11780" s="103"/>
      <c r="B11780" s="104"/>
      <c r="C11780" s="104"/>
      <c r="E11780" s="107" t="str">
        <f aca="false">IF($C11780="","",IFERROR(INDEX(المنيو!$C$2:$C$500,MATCH($C11780,المنيو!$B$2:$B$500,0)),0))</f>
        <v/>
      </c>
      <c r="F11780" s="107" t="str">
        <f aca="false">IF($C11780="","",$D11780*$E11780)</f>
        <v/>
      </c>
      <c r="G11780" s="107" t="str">
        <f aca="false">IF($C11780="","",$D11780*IFERROR(INDEX('تحليل التكلفة والسعر'!$C$2:$C$700,MATCH($C11780,'تحليل التكلفة والسعر'!$B$2:$B$700,0)),0))</f>
        <v/>
      </c>
    </row>
    <row r="11781" customFormat="false" ht="15" hidden="false" customHeight="false" outlineLevel="0" collapsed="false">
      <c r="A11781" s="103"/>
      <c r="B11781" s="104"/>
      <c r="C11781" s="104"/>
      <c r="E11781" s="107" t="str">
        <f aca="false">IF($C11781="","",IFERROR(INDEX(المنيو!$C$2:$C$500,MATCH($C11781,المنيو!$B$2:$B$500,0)),0))</f>
        <v/>
      </c>
      <c r="F11781" s="107" t="str">
        <f aca="false">IF($C11781="","",$D11781*$E11781)</f>
        <v/>
      </c>
      <c r="G11781" s="107" t="str">
        <f aca="false">IF($C11781="","",$D11781*IFERROR(INDEX('تحليل التكلفة والسعر'!$C$2:$C$700,MATCH($C11781,'تحليل التكلفة والسعر'!$B$2:$B$700,0)),0))</f>
        <v/>
      </c>
    </row>
    <row r="11782" customFormat="false" ht="15" hidden="false" customHeight="false" outlineLevel="0" collapsed="false">
      <c r="A11782" s="103"/>
      <c r="B11782" s="104"/>
      <c r="C11782" s="104"/>
      <c r="E11782" s="107" t="str">
        <f aca="false">IF($C11782="","",IFERROR(INDEX(المنيو!$C$2:$C$500,MATCH($C11782,المنيو!$B$2:$B$500,0)),0))</f>
        <v/>
      </c>
      <c r="F11782" s="107" t="str">
        <f aca="false">IF($C11782="","",$D11782*$E11782)</f>
        <v/>
      </c>
      <c r="G11782" s="107" t="str">
        <f aca="false">IF($C11782="","",$D11782*IFERROR(INDEX('تحليل التكلفة والسعر'!$C$2:$C$700,MATCH($C11782,'تحليل التكلفة والسعر'!$B$2:$B$700,0)),0))</f>
        <v/>
      </c>
    </row>
    <row r="11783" customFormat="false" ht="15" hidden="false" customHeight="false" outlineLevel="0" collapsed="false">
      <c r="A11783" s="103"/>
      <c r="B11783" s="104"/>
      <c r="C11783" s="104"/>
      <c r="E11783" s="107" t="str">
        <f aca="false">IF($C11783="","",IFERROR(INDEX(المنيو!$C$2:$C$500,MATCH($C11783,المنيو!$B$2:$B$500,0)),0))</f>
        <v/>
      </c>
      <c r="F11783" s="107" t="str">
        <f aca="false">IF($C11783="","",$D11783*$E11783)</f>
        <v/>
      </c>
      <c r="G11783" s="107" t="str">
        <f aca="false">IF($C11783="","",$D11783*IFERROR(INDEX('تحليل التكلفة والسعر'!$C$2:$C$700,MATCH($C11783,'تحليل التكلفة والسعر'!$B$2:$B$700,0)),0))</f>
        <v/>
      </c>
    </row>
    <row r="11784" customFormat="false" ht="15" hidden="false" customHeight="false" outlineLevel="0" collapsed="false">
      <c r="A11784" s="103"/>
      <c r="B11784" s="104"/>
      <c r="C11784" s="104"/>
      <c r="E11784" s="107" t="str">
        <f aca="false">IF($C11784="","",IFERROR(INDEX(المنيو!$C$2:$C$500,MATCH($C11784,المنيو!$B$2:$B$500,0)),0))</f>
        <v/>
      </c>
      <c r="F11784" s="107" t="str">
        <f aca="false">IF($C11784="","",$D11784*$E11784)</f>
        <v/>
      </c>
      <c r="G11784" s="107" t="str">
        <f aca="false">IF($C11784="","",$D11784*IFERROR(INDEX('تحليل التكلفة والسعر'!$C$2:$C$700,MATCH($C11784,'تحليل التكلفة والسعر'!$B$2:$B$700,0)),0))</f>
        <v/>
      </c>
    </row>
    <row r="11785" customFormat="false" ht="15" hidden="false" customHeight="false" outlineLevel="0" collapsed="false">
      <c r="A11785" s="103"/>
      <c r="B11785" s="104"/>
      <c r="C11785" s="104"/>
      <c r="E11785" s="107" t="str">
        <f aca="false">IF($C11785="","",IFERROR(INDEX(المنيو!$C$2:$C$500,MATCH($C11785,المنيو!$B$2:$B$500,0)),0))</f>
        <v/>
      </c>
      <c r="F11785" s="107" t="str">
        <f aca="false">IF($C11785="","",$D11785*$E11785)</f>
        <v/>
      </c>
      <c r="G11785" s="107" t="str">
        <f aca="false">IF($C11785="","",$D11785*IFERROR(INDEX('تحليل التكلفة والسعر'!$C$2:$C$700,MATCH($C11785,'تحليل التكلفة والسعر'!$B$2:$B$700,0)),0))</f>
        <v/>
      </c>
    </row>
    <row r="11786" customFormat="false" ht="15" hidden="false" customHeight="false" outlineLevel="0" collapsed="false">
      <c r="A11786" s="103"/>
      <c r="B11786" s="104"/>
      <c r="C11786" s="104"/>
      <c r="E11786" s="107" t="str">
        <f aca="false">IF($C11786="","",IFERROR(INDEX(المنيو!$C$2:$C$500,MATCH($C11786,المنيو!$B$2:$B$500,0)),0))</f>
        <v/>
      </c>
      <c r="F11786" s="107" t="str">
        <f aca="false">IF($C11786="","",$D11786*$E11786)</f>
        <v/>
      </c>
      <c r="G11786" s="107" t="str">
        <f aca="false">IF($C11786="","",$D11786*IFERROR(INDEX('تحليل التكلفة والسعر'!$C$2:$C$700,MATCH($C11786,'تحليل التكلفة والسعر'!$B$2:$B$700,0)),0))</f>
        <v/>
      </c>
    </row>
    <row r="11787" customFormat="false" ht="15" hidden="false" customHeight="false" outlineLevel="0" collapsed="false">
      <c r="A11787" s="103"/>
      <c r="B11787" s="104"/>
      <c r="C11787" s="104"/>
      <c r="E11787" s="107" t="str">
        <f aca="false">IF($C11787="","",IFERROR(INDEX(المنيو!$C$2:$C$500,MATCH($C11787,المنيو!$B$2:$B$500,0)),0))</f>
        <v/>
      </c>
      <c r="F11787" s="107" t="str">
        <f aca="false">IF($C11787="","",$D11787*$E11787)</f>
        <v/>
      </c>
      <c r="G11787" s="107" t="str">
        <f aca="false">IF($C11787="","",$D11787*IFERROR(INDEX('تحليل التكلفة والسعر'!$C$2:$C$700,MATCH($C11787,'تحليل التكلفة والسعر'!$B$2:$B$700,0)),0))</f>
        <v/>
      </c>
    </row>
    <row r="11788" customFormat="false" ht="15" hidden="false" customHeight="false" outlineLevel="0" collapsed="false">
      <c r="A11788" s="103"/>
      <c r="B11788" s="104"/>
      <c r="C11788" s="104"/>
      <c r="E11788" s="107" t="str">
        <f aca="false">IF($C11788="","",IFERROR(INDEX(المنيو!$C$2:$C$500,MATCH($C11788,المنيو!$B$2:$B$500,0)),0))</f>
        <v/>
      </c>
      <c r="F11788" s="107" t="str">
        <f aca="false">IF($C11788="","",$D11788*$E11788)</f>
        <v/>
      </c>
      <c r="G11788" s="107" t="str">
        <f aca="false">IF($C11788="","",$D11788*IFERROR(INDEX('تحليل التكلفة والسعر'!$C$2:$C$700,MATCH($C11788,'تحليل التكلفة والسعر'!$B$2:$B$700,0)),0))</f>
        <v/>
      </c>
    </row>
    <row r="11789" customFormat="false" ht="15" hidden="false" customHeight="false" outlineLevel="0" collapsed="false">
      <c r="A11789" s="103"/>
      <c r="B11789" s="104"/>
      <c r="C11789" s="104"/>
      <c r="E11789" s="107" t="str">
        <f aca="false">IF($C11789="","",IFERROR(INDEX(المنيو!$C$2:$C$500,MATCH($C11789,المنيو!$B$2:$B$500,0)),0))</f>
        <v/>
      </c>
      <c r="F11789" s="107" t="str">
        <f aca="false">IF($C11789="","",$D11789*$E11789)</f>
        <v/>
      </c>
      <c r="G11789" s="107" t="str">
        <f aca="false">IF($C11789="","",$D11789*IFERROR(INDEX('تحليل التكلفة والسعر'!$C$2:$C$700,MATCH($C11789,'تحليل التكلفة والسعر'!$B$2:$B$700,0)),0))</f>
        <v/>
      </c>
    </row>
    <row r="11790" customFormat="false" ht="15" hidden="false" customHeight="false" outlineLevel="0" collapsed="false">
      <c r="A11790" s="103"/>
      <c r="B11790" s="104"/>
      <c r="C11790" s="104"/>
      <c r="E11790" s="107" t="str">
        <f aca="false">IF($C11790="","",IFERROR(INDEX(المنيو!$C$2:$C$500,MATCH($C11790,المنيو!$B$2:$B$500,0)),0))</f>
        <v/>
      </c>
      <c r="F11790" s="107" t="str">
        <f aca="false">IF($C11790="","",$D11790*$E11790)</f>
        <v/>
      </c>
      <c r="G11790" s="107" t="str">
        <f aca="false">IF($C11790="","",$D11790*IFERROR(INDEX('تحليل التكلفة والسعر'!$C$2:$C$700,MATCH($C11790,'تحليل التكلفة والسعر'!$B$2:$B$700,0)),0))</f>
        <v/>
      </c>
    </row>
    <row r="11791" customFormat="false" ht="15" hidden="false" customHeight="false" outlineLevel="0" collapsed="false">
      <c r="A11791" s="103"/>
      <c r="B11791" s="104"/>
      <c r="C11791" s="104"/>
      <c r="E11791" s="107" t="str">
        <f aca="false">IF($C11791="","",IFERROR(INDEX(المنيو!$C$2:$C$500,MATCH($C11791,المنيو!$B$2:$B$500,0)),0))</f>
        <v/>
      </c>
      <c r="F11791" s="107" t="str">
        <f aca="false">IF($C11791="","",$D11791*$E11791)</f>
        <v/>
      </c>
      <c r="G11791" s="107" t="str">
        <f aca="false">IF($C11791="","",$D11791*IFERROR(INDEX('تحليل التكلفة والسعر'!$C$2:$C$700,MATCH($C11791,'تحليل التكلفة والسعر'!$B$2:$B$700,0)),0))</f>
        <v/>
      </c>
    </row>
    <row r="11792" customFormat="false" ht="15" hidden="false" customHeight="false" outlineLevel="0" collapsed="false">
      <c r="A11792" s="103"/>
      <c r="B11792" s="104"/>
      <c r="C11792" s="104"/>
      <c r="E11792" s="107" t="str">
        <f aca="false">IF($C11792="","",IFERROR(INDEX(المنيو!$C$2:$C$500,MATCH($C11792,المنيو!$B$2:$B$500,0)),0))</f>
        <v/>
      </c>
      <c r="F11792" s="107" t="str">
        <f aca="false">IF($C11792="","",$D11792*$E11792)</f>
        <v/>
      </c>
      <c r="G11792" s="107" t="str">
        <f aca="false">IF($C11792="","",$D11792*IFERROR(INDEX('تحليل التكلفة والسعر'!$C$2:$C$700,MATCH($C11792,'تحليل التكلفة والسعر'!$B$2:$B$700,0)),0))</f>
        <v/>
      </c>
    </row>
    <row r="11793" customFormat="false" ht="15" hidden="false" customHeight="false" outlineLevel="0" collapsed="false">
      <c r="A11793" s="103"/>
      <c r="B11793" s="104"/>
      <c r="C11793" s="104"/>
      <c r="E11793" s="107" t="str">
        <f aca="false">IF($C11793="","",IFERROR(INDEX(المنيو!$C$2:$C$500,MATCH($C11793,المنيو!$B$2:$B$500,0)),0))</f>
        <v/>
      </c>
      <c r="F11793" s="107" t="str">
        <f aca="false">IF($C11793="","",$D11793*$E11793)</f>
        <v/>
      </c>
      <c r="G11793" s="107" t="str">
        <f aca="false">IF($C11793="","",$D11793*IFERROR(INDEX('تحليل التكلفة والسعر'!$C$2:$C$700,MATCH($C11793,'تحليل التكلفة والسعر'!$B$2:$B$700,0)),0))</f>
        <v/>
      </c>
    </row>
    <row r="11794" customFormat="false" ht="15" hidden="false" customHeight="false" outlineLevel="0" collapsed="false">
      <c r="A11794" s="103"/>
      <c r="B11794" s="104"/>
      <c r="C11794" s="104"/>
      <c r="E11794" s="107" t="str">
        <f aca="false">IF($C11794="","",IFERROR(INDEX(المنيو!$C$2:$C$500,MATCH($C11794,المنيو!$B$2:$B$500,0)),0))</f>
        <v/>
      </c>
      <c r="F11794" s="107" t="str">
        <f aca="false">IF($C11794="","",$D11794*$E11794)</f>
        <v/>
      </c>
      <c r="G11794" s="107" t="str">
        <f aca="false">IF($C11794="","",$D11794*IFERROR(INDEX('تحليل التكلفة والسعر'!$C$2:$C$700,MATCH($C11794,'تحليل التكلفة والسعر'!$B$2:$B$700,0)),0))</f>
        <v/>
      </c>
    </row>
    <row r="11795" customFormat="false" ht="15" hidden="false" customHeight="false" outlineLevel="0" collapsed="false">
      <c r="A11795" s="103"/>
      <c r="B11795" s="104"/>
      <c r="C11795" s="104"/>
      <c r="E11795" s="107" t="str">
        <f aca="false">IF($C11795="","",IFERROR(INDEX(المنيو!$C$2:$C$500,MATCH($C11795,المنيو!$B$2:$B$500,0)),0))</f>
        <v/>
      </c>
      <c r="F11795" s="107" t="str">
        <f aca="false">IF($C11795="","",$D11795*$E11795)</f>
        <v/>
      </c>
      <c r="G11795" s="107" t="str">
        <f aca="false">IF($C11795="","",$D11795*IFERROR(INDEX('تحليل التكلفة والسعر'!$C$2:$C$700,MATCH($C11795,'تحليل التكلفة والسعر'!$B$2:$B$700,0)),0))</f>
        <v/>
      </c>
    </row>
    <row r="11796" customFormat="false" ht="15" hidden="false" customHeight="false" outlineLevel="0" collapsed="false">
      <c r="A11796" s="103"/>
      <c r="B11796" s="104"/>
      <c r="C11796" s="104"/>
      <c r="E11796" s="107" t="str">
        <f aca="false">IF($C11796="","",IFERROR(INDEX(المنيو!$C$2:$C$500,MATCH($C11796,المنيو!$B$2:$B$500,0)),0))</f>
        <v/>
      </c>
      <c r="F11796" s="107" t="str">
        <f aca="false">IF($C11796="","",$D11796*$E11796)</f>
        <v/>
      </c>
      <c r="G11796" s="107" t="str">
        <f aca="false">IF($C11796="","",$D11796*IFERROR(INDEX('تحليل التكلفة والسعر'!$C$2:$C$700,MATCH($C11796,'تحليل التكلفة والسعر'!$B$2:$B$700,0)),0))</f>
        <v/>
      </c>
    </row>
    <row r="11797" customFormat="false" ht="15" hidden="false" customHeight="false" outlineLevel="0" collapsed="false">
      <c r="A11797" s="103"/>
      <c r="B11797" s="104"/>
      <c r="C11797" s="104"/>
      <c r="E11797" s="107" t="str">
        <f aca="false">IF($C11797="","",IFERROR(INDEX(المنيو!$C$2:$C$500,MATCH($C11797,المنيو!$B$2:$B$500,0)),0))</f>
        <v/>
      </c>
      <c r="F11797" s="107" t="str">
        <f aca="false">IF($C11797="","",$D11797*$E11797)</f>
        <v/>
      </c>
      <c r="G11797" s="107" t="str">
        <f aca="false">IF($C11797="","",$D11797*IFERROR(INDEX('تحليل التكلفة والسعر'!$C$2:$C$700,MATCH($C11797,'تحليل التكلفة والسعر'!$B$2:$B$700,0)),0))</f>
        <v/>
      </c>
    </row>
    <row r="11798" customFormat="false" ht="15" hidden="false" customHeight="false" outlineLevel="0" collapsed="false">
      <c r="A11798" s="103"/>
      <c r="B11798" s="104"/>
      <c r="C11798" s="104"/>
      <c r="E11798" s="107" t="str">
        <f aca="false">IF($C11798="","",IFERROR(INDEX(المنيو!$C$2:$C$500,MATCH($C11798,المنيو!$B$2:$B$500,0)),0))</f>
        <v/>
      </c>
      <c r="F11798" s="107" t="str">
        <f aca="false">IF($C11798="","",$D11798*$E11798)</f>
        <v/>
      </c>
      <c r="G11798" s="107" t="str">
        <f aca="false">IF($C11798="","",$D11798*IFERROR(INDEX('تحليل التكلفة والسعر'!$C$2:$C$700,MATCH($C11798,'تحليل التكلفة والسعر'!$B$2:$B$700,0)),0))</f>
        <v/>
      </c>
    </row>
    <row r="11799" customFormat="false" ht="15" hidden="false" customHeight="false" outlineLevel="0" collapsed="false">
      <c r="A11799" s="103"/>
      <c r="B11799" s="104"/>
      <c r="C11799" s="104"/>
      <c r="E11799" s="107" t="str">
        <f aca="false">IF($C11799="","",IFERROR(INDEX(المنيو!$C$2:$C$500,MATCH($C11799,المنيو!$B$2:$B$500,0)),0))</f>
        <v/>
      </c>
      <c r="F11799" s="107" t="str">
        <f aca="false">IF($C11799="","",$D11799*$E11799)</f>
        <v/>
      </c>
      <c r="G11799" s="107" t="str">
        <f aca="false">IF($C11799="","",$D11799*IFERROR(INDEX('تحليل التكلفة والسعر'!$C$2:$C$700,MATCH($C11799,'تحليل التكلفة والسعر'!$B$2:$B$700,0)),0))</f>
        <v/>
      </c>
    </row>
    <row r="11800" customFormat="false" ht="15" hidden="false" customHeight="false" outlineLevel="0" collapsed="false">
      <c r="A11800" s="103"/>
      <c r="B11800" s="104"/>
      <c r="C11800" s="104"/>
      <c r="E11800" s="107" t="str">
        <f aca="false">IF($C11800="","",IFERROR(INDEX(المنيو!$C$2:$C$500,MATCH($C11800,المنيو!$B$2:$B$500,0)),0))</f>
        <v/>
      </c>
      <c r="F11800" s="107" t="str">
        <f aca="false">IF($C11800="","",$D11800*$E11800)</f>
        <v/>
      </c>
      <c r="G11800" s="107" t="str">
        <f aca="false">IF($C11800="","",$D11800*IFERROR(INDEX('تحليل التكلفة والسعر'!$C$2:$C$700,MATCH($C11800,'تحليل التكلفة والسعر'!$B$2:$B$700,0)),0))</f>
        <v/>
      </c>
    </row>
    <row r="11801" customFormat="false" ht="15" hidden="false" customHeight="false" outlineLevel="0" collapsed="false">
      <c r="A11801" s="103"/>
      <c r="B11801" s="104"/>
      <c r="C11801" s="104"/>
      <c r="E11801" s="107" t="str">
        <f aca="false">IF($C11801="","",IFERROR(INDEX(المنيو!$C$2:$C$500,MATCH($C11801,المنيو!$B$2:$B$500,0)),0))</f>
        <v/>
      </c>
      <c r="F11801" s="107" t="str">
        <f aca="false">IF($C11801="","",$D11801*$E11801)</f>
        <v/>
      </c>
      <c r="G11801" s="107" t="str">
        <f aca="false">IF($C11801="","",$D11801*IFERROR(INDEX('تحليل التكلفة والسعر'!$C$2:$C$700,MATCH($C11801,'تحليل التكلفة والسعر'!$B$2:$B$700,0)),0))</f>
        <v/>
      </c>
    </row>
    <row r="11802" customFormat="false" ht="15" hidden="false" customHeight="false" outlineLevel="0" collapsed="false">
      <c r="A11802" s="103"/>
      <c r="B11802" s="104"/>
      <c r="C11802" s="104"/>
      <c r="E11802" s="107" t="str">
        <f aca="false">IF($C11802="","",IFERROR(INDEX(المنيو!$C$2:$C$500,MATCH($C11802,المنيو!$B$2:$B$500,0)),0))</f>
        <v/>
      </c>
      <c r="F11802" s="107" t="str">
        <f aca="false">IF($C11802="","",$D11802*$E11802)</f>
        <v/>
      </c>
      <c r="G11802" s="107" t="str">
        <f aca="false">IF($C11802="","",$D11802*IFERROR(INDEX('تحليل التكلفة والسعر'!$C$2:$C$700,MATCH($C11802,'تحليل التكلفة والسعر'!$B$2:$B$700,0)),0))</f>
        <v/>
      </c>
    </row>
    <row r="11803" customFormat="false" ht="15" hidden="false" customHeight="false" outlineLevel="0" collapsed="false">
      <c r="A11803" s="103"/>
      <c r="B11803" s="104"/>
      <c r="C11803" s="104"/>
      <c r="E11803" s="107" t="str">
        <f aca="false">IF($C11803="","",IFERROR(INDEX(المنيو!$C$2:$C$500,MATCH($C11803,المنيو!$B$2:$B$500,0)),0))</f>
        <v/>
      </c>
      <c r="F11803" s="107" t="str">
        <f aca="false">IF($C11803="","",$D11803*$E11803)</f>
        <v/>
      </c>
      <c r="G11803" s="107" t="str">
        <f aca="false">IF($C11803="","",$D11803*IFERROR(INDEX('تحليل التكلفة والسعر'!$C$2:$C$700,MATCH($C11803,'تحليل التكلفة والسعر'!$B$2:$B$700,0)),0))</f>
        <v/>
      </c>
    </row>
    <row r="11804" customFormat="false" ht="15" hidden="false" customHeight="false" outlineLevel="0" collapsed="false">
      <c r="A11804" s="103"/>
      <c r="B11804" s="104"/>
      <c r="C11804" s="104"/>
      <c r="E11804" s="107" t="str">
        <f aca="false">IF($C11804="","",IFERROR(INDEX(المنيو!$C$2:$C$500,MATCH($C11804,المنيو!$B$2:$B$500,0)),0))</f>
        <v/>
      </c>
      <c r="F11804" s="107" t="str">
        <f aca="false">IF($C11804="","",$D11804*$E11804)</f>
        <v/>
      </c>
      <c r="G11804" s="107" t="str">
        <f aca="false">IF($C11804="","",$D11804*IFERROR(INDEX('تحليل التكلفة والسعر'!$C$2:$C$700,MATCH($C11804,'تحليل التكلفة والسعر'!$B$2:$B$700,0)),0))</f>
        <v/>
      </c>
    </row>
    <row r="11805" customFormat="false" ht="15" hidden="false" customHeight="false" outlineLevel="0" collapsed="false">
      <c r="A11805" s="103"/>
      <c r="B11805" s="104"/>
      <c r="C11805" s="104"/>
      <c r="E11805" s="107" t="str">
        <f aca="false">IF($C11805="","",IFERROR(INDEX(المنيو!$C$2:$C$500,MATCH($C11805,المنيو!$B$2:$B$500,0)),0))</f>
        <v/>
      </c>
      <c r="F11805" s="107" t="str">
        <f aca="false">IF($C11805="","",$D11805*$E11805)</f>
        <v/>
      </c>
      <c r="G11805" s="107" t="str">
        <f aca="false">IF($C11805="","",$D11805*IFERROR(INDEX('تحليل التكلفة والسعر'!$C$2:$C$700,MATCH($C11805,'تحليل التكلفة والسعر'!$B$2:$B$700,0)),0))</f>
        <v/>
      </c>
    </row>
    <row r="11806" customFormat="false" ht="15" hidden="false" customHeight="false" outlineLevel="0" collapsed="false">
      <c r="A11806" s="103"/>
      <c r="B11806" s="104"/>
      <c r="C11806" s="104"/>
      <c r="E11806" s="107" t="str">
        <f aca="false">IF($C11806="","",IFERROR(INDEX(المنيو!$C$2:$C$500,MATCH($C11806,المنيو!$B$2:$B$500,0)),0))</f>
        <v/>
      </c>
      <c r="F11806" s="107" t="str">
        <f aca="false">IF($C11806="","",$D11806*$E11806)</f>
        <v/>
      </c>
      <c r="G11806" s="107" t="str">
        <f aca="false">IF($C11806="","",$D11806*IFERROR(INDEX('تحليل التكلفة والسعر'!$C$2:$C$700,MATCH($C11806,'تحليل التكلفة والسعر'!$B$2:$B$700,0)),0))</f>
        <v/>
      </c>
    </row>
    <row r="11807" customFormat="false" ht="15" hidden="false" customHeight="false" outlineLevel="0" collapsed="false">
      <c r="A11807" s="103"/>
      <c r="B11807" s="104"/>
      <c r="C11807" s="104"/>
      <c r="E11807" s="107" t="str">
        <f aca="false">IF($C11807="","",IFERROR(INDEX(المنيو!$C$2:$C$500,MATCH($C11807,المنيو!$B$2:$B$500,0)),0))</f>
        <v/>
      </c>
      <c r="F11807" s="107" t="str">
        <f aca="false">IF($C11807="","",$D11807*$E11807)</f>
        <v/>
      </c>
      <c r="G11807" s="107" t="str">
        <f aca="false">IF($C11807="","",$D11807*IFERROR(INDEX('تحليل التكلفة والسعر'!$C$2:$C$700,MATCH($C11807,'تحليل التكلفة والسعر'!$B$2:$B$700,0)),0))</f>
        <v/>
      </c>
    </row>
    <row r="11808" customFormat="false" ht="15" hidden="false" customHeight="false" outlineLevel="0" collapsed="false">
      <c r="A11808" s="103"/>
      <c r="B11808" s="104"/>
      <c r="C11808" s="104"/>
      <c r="E11808" s="107" t="str">
        <f aca="false">IF($C11808="","",IFERROR(INDEX(المنيو!$C$2:$C$500,MATCH($C11808,المنيو!$B$2:$B$500,0)),0))</f>
        <v/>
      </c>
      <c r="F11808" s="107" t="str">
        <f aca="false">IF($C11808="","",$D11808*$E11808)</f>
        <v/>
      </c>
      <c r="G11808" s="107" t="str">
        <f aca="false">IF($C11808="","",$D11808*IFERROR(INDEX('تحليل التكلفة والسعر'!$C$2:$C$700,MATCH($C11808,'تحليل التكلفة والسعر'!$B$2:$B$700,0)),0))</f>
        <v/>
      </c>
    </row>
    <row r="11809" customFormat="false" ht="15" hidden="false" customHeight="false" outlineLevel="0" collapsed="false">
      <c r="A11809" s="103"/>
      <c r="B11809" s="104"/>
      <c r="C11809" s="104"/>
      <c r="E11809" s="107" t="str">
        <f aca="false">IF($C11809="","",IFERROR(INDEX(المنيو!$C$2:$C$500,MATCH($C11809,المنيو!$B$2:$B$500,0)),0))</f>
        <v/>
      </c>
      <c r="F11809" s="107" t="str">
        <f aca="false">IF($C11809="","",$D11809*$E11809)</f>
        <v/>
      </c>
      <c r="G11809" s="107" t="str">
        <f aca="false">IF($C11809="","",$D11809*IFERROR(INDEX('تحليل التكلفة والسعر'!$C$2:$C$700,MATCH($C11809,'تحليل التكلفة والسعر'!$B$2:$B$700,0)),0))</f>
        <v/>
      </c>
    </row>
    <row r="11810" customFormat="false" ht="15" hidden="false" customHeight="false" outlineLevel="0" collapsed="false">
      <c r="A11810" s="103"/>
      <c r="B11810" s="104"/>
      <c r="C11810" s="104"/>
      <c r="E11810" s="107" t="str">
        <f aca="false">IF($C11810="","",IFERROR(INDEX(المنيو!$C$2:$C$500,MATCH($C11810,المنيو!$B$2:$B$500,0)),0))</f>
        <v/>
      </c>
      <c r="F11810" s="107" t="str">
        <f aca="false">IF($C11810="","",$D11810*$E11810)</f>
        <v/>
      </c>
      <c r="G11810" s="107" t="str">
        <f aca="false">IF($C11810="","",$D11810*IFERROR(INDEX('تحليل التكلفة والسعر'!$C$2:$C$700,MATCH($C11810,'تحليل التكلفة والسعر'!$B$2:$B$700,0)),0))</f>
        <v/>
      </c>
    </row>
    <row r="11811" customFormat="false" ht="15" hidden="false" customHeight="false" outlineLevel="0" collapsed="false">
      <c r="A11811" s="103"/>
      <c r="B11811" s="104"/>
      <c r="C11811" s="104"/>
      <c r="E11811" s="107" t="str">
        <f aca="false">IF($C11811="","",IFERROR(INDEX(المنيو!$C$2:$C$500,MATCH($C11811,المنيو!$B$2:$B$500,0)),0))</f>
        <v/>
      </c>
      <c r="F11811" s="107" t="str">
        <f aca="false">IF($C11811="","",$D11811*$E11811)</f>
        <v/>
      </c>
      <c r="G11811" s="107" t="str">
        <f aca="false">IF($C11811="","",$D11811*IFERROR(INDEX('تحليل التكلفة والسعر'!$C$2:$C$700,MATCH($C11811,'تحليل التكلفة والسعر'!$B$2:$B$700,0)),0))</f>
        <v/>
      </c>
    </row>
    <row r="11812" customFormat="false" ht="15" hidden="false" customHeight="false" outlineLevel="0" collapsed="false">
      <c r="A11812" s="103"/>
      <c r="B11812" s="104"/>
      <c r="C11812" s="104"/>
      <c r="E11812" s="107" t="str">
        <f aca="false">IF($C11812="","",IFERROR(INDEX(المنيو!$C$2:$C$500,MATCH($C11812,المنيو!$B$2:$B$500,0)),0))</f>
        <v/>
      </c>
      <c r="F11812" s="107" t="str">
        <f aca="false">IF($C11812="","",$D11812*$E11812)</f>
        <v/>
      </c>
      <c r="G11812" s="107" t="str">
        <f aca="false">IF($C11812="","",$D11812*IFERROR(INDEX('تحليل التكلفة والسعر'!$C$2:$C$700,MATCH($C11812,'تحليل التكلفة والسعر'!$B$2:$B$700,0)),0))</f>
        <v/>
      </c>
    </row>
    <row r="11813" customFormat="false" ht="15" hidden="false" customHeight="false" outlineLevel="0" collapsed="false">
      <c r="A11813" s="103"/>
      <c r="B11813" s="104"/>
      <c r="C11813" s="104"/>
      <c r="E11813" s="107" t="str">
        <f aca="false">IF($C11813="","",IFERROR(INDEX(المنيو!$C$2:$C$500,MATCH($C11813,المنيو!$B$2:$B$500,0)),0))</f>
        <v/>
      </c>
      <c r="F11813" s="107" t="str">
        <f aca="false">IF($C11813="","",$D11813*$E11813)</f>
        <v/>
      </c>
      <c r="G11813" s="107" t="str">
        <f aca="false">IF($C11813="","",$D11813*IFERROR(INDEX('تحليل التكلفة والسعر'!$C$2:$C$700,MATCH($C11813,'تحليل التكلفة والسعر'!$B$2:$B$700,0)),0))</f>
        <v/>
      </c>
    </row>
    <row r="11814" customFormat="false" ht="15" hidden="false" customHeight="false" outlineLevel="0" collapsed="false">
      <c r="A11814" s="103"/>
      <c r="B11814" s="104"/>
      <c r="C11814" s="104"/>
      <c r="E11814" s="107" t="str">
        <f aca="false">IF($C11814="","",IFERROR(INDEX(المنيو!$C$2:$C$500,MATCH($C11814,المنيو!$B$2:$B$500,0)),0))</f>
        <v/>
      </c>
      <c r="F11814" s="107" t="str">
        <f aca="false">IF($C11814="","",$D11814*$E11814)</f>
        <v/>
      </c>
      <c r="G11814" s="107" t="str">
        <f aca="false">IF($C11814="","",$D11814*IFERROR(INDEX('تحليل التكلفة والسعر'!$C$2:$C$700,MATCH($C11814,'تحليل التكلفة والسعر'!$B$2:$B$700,0)),0))</f>
        <v/>
      </c>
    </row>
    <row r="11815" customFormat="false" ht="15" hidden="false" customHeight="false" outlineLevel="0" collapsed="false">
      <c r="A11815" s="103"/>
      <c r="B11815" s="104"/>
      <c r="C11815" s="104"/>
      <c r="E11815" s="107" t="str">
        <f aca="false">IF($C11815="","",IFERROR(INDEX(المنيو!$C$2:$C$500,MATCH($C11815,المنيو!$B$2:$B$500,0)),0))</f>
        <v/>
      </c>
      <c r="F11815" s="107" t="str">
        <f aca="false">IF($C11815="","",$D11815*$E11815)</f>
        <v/>
      </c>
      <c r="G11815" s="107" t="str">
        <f aca="false">IF($C11815="","",$D11815*IFERROR(INDEX('تحليل التكلفة والسعر'!$C$2:$C$700,MATCH($C11815,'تحليل التكلفة والسعر'!$B$2:$B$700,0)),0))</f>
        <v/>
      </c>
    </row>
    <row r="11816" customFormat="false" ht="15" hidden="false" customHeight="false" outlineLevel="0" collapsed="false">
      <c r="A11816" s="103"/>
      <c r="B11816" s="104"/>
      <c r="C11816" s="104"/>
      <c r="E11816" s="107" t="str">
        <f aca="false">IF($C11816="","",IFERROR(INDEX(المنيو!$C$2:$C$500,MATCH($C11816,المنيو!$B$2:$B$500,0)),0))</f>
        <v/>
      </c>
      <c r="F11816" s="107" t="str">
        <f aca="false">IF($C11816="","",$D11816*$E11816)</f>
        <v/>
      </c>
      <c r="G11816" s="107" t="str">
        <f aca="false">IF($C11816="","",$D11816*IFERROR(INDEX('تحليل التكلفة والسعر'!$C$2:$C$700,MATCH($C11816,'تحليل التكلفة والسعر'!$B$2:$B$700,0)),0))</f>
        <v/>
      </c>
    </row>
    <row r="11817" customFormat="false" ht="15" hidden="false" customHeight="false" outlineLevel="0" collapsed="false">
      <c r="A11817" s="103"/>
      <c r="B11817" s="104"/>
      <c r="C11817" s="104"/>
      <c r="E11817" s="107" t="str">
        <f aca="false">IF($C11817="","",IFERROR(INDEX(المنيو!$C$2:$C$500,MATCH($C11817,المنيو!$B$2:$B$500,0)),0))</f>
        <v/>
      </c>
      <c r="F11817" s="107" t="str">
        <f aca="false">IF($C11817="","",$D11817*$E11817)</f>
        <v/>
      </c>
      <c r="G11817" s="107" t="str">
        <f aca="false">IF($C11817="","",$D11817*IFERROR(INDEX('تحليل التكلفة والسعر'!$C$2:$C$700,MATCH($C11817,'تحليل التكلفة والسعر'!$B$2:$B$700,0)),0))</f>
        <v/>
      </c>
    </row>
    <row r="11818" customFormat="false" ht="15" hidden="false" customHeight="false" outlineLevel="0" collapsed="false">
      <c r="A11818" s="103"/>
      <c r="B11818" s="104"/>
      <c r="C11818" s="104"/>
      <c r="E11818" s="107" t="str">
        <f aca="false">IF($C11818="","",IFERROR(INDEX(المنيو!$C$2:$C$500,MATCH($C11818,المنيو!$B$2:$B$500,0)),0))</f>
        <v/>
      </c>
      <c r="F11818" s="107" t="str">
        <f aca="false">IF($C11818="","",$D11818*$E11818)</f>
        <v/>
      </c>
      <c r="G11818" s="107" t="str">
        <f aca="false">IF($C11818="","",$D11818*IFERROR(INDEX('تحليل التكلفة والسعر'!$C$2:$C$700,MATCH($C11818,'تحليل التكلفة والسعر'!$B$2:$B$700,0)),0))</f>
        <v/>
      </c>
    </row>
    <row r="11819" customFormat="false" ht="15" hidden="false" customHeight="false" outlineLevel="0" collapsed="false">
      <c r="A11819" s="103"/>
      <c r="B11819" s="104"/>
      <c r="C11819" s="104"/>
      <c r="E11819" s="107" t="str">
        <f aca="false">IF($C11819="","",IFERROR(INDEX(المنيو!$C$2:$C$500,MATCH($C11819,المنيو!$B$2:$B$500,0)),0))</f>
        <v/>
      </c>
      <c r="F11819" s="107" t="str">
        <f aca="false">IF($C11819="","",$D11819*$E11819)</f>
        <v/>
      </c>
      <c r="G11819" s="107" t="str">
        <f aca="false">IF($C11819="","",$D11819*IFERROR(INDEX('تحليل التكلفة والسعر'!$C$2:$C$700,MATCH($C11819,'تحليل التكلفة والسعر'!$B$2:$B$700,0)),0))</f>
        <v/>
      </c>
    </row>
    <row r="11820" customFormat="false" ht="15" hidden="false" customHeight="false" outlineLevel="0" collapsed="false">
      <c r="A11820" s="103"/>
      <c r="B11820" s="104"/>
      <c r="C11820" s="104"/>
      <c r="E11820" s="107" t="str">
        <f aca="false">IF($C11820="","",IFERROR(INDEX(المنيو!$C$2:$C$500,MATCH($C11820,المنيو!$B$2:$B$500,0)),0))</f>
        <v/>
      </c>
      <c r="F11820" s="107" t="str">
        <f aca="false">IF($C11820="","",$D11820*$E11820)</f>
        <v/>
      </c>
      <c r="G11820" s="107" t="str">
        <f aca="false">IF($C11820="","",$D11820*IFERROR(INDEX('تحليل التكلفة والسعر'!$C$2:$C$700,MATCH($C11820,'تحليل التكلفة والسعر'!$B$2:$B$700,0)),0))</f>
        <v/>
      </c>
    </row>
    <row r="11821" customFormat="false" ht="15" hidden="false" customHeight="false" outlineLevel="0" collapsed="false">
      <c r="A11821" s="103"/>
      <c r="B11821" s="104"/>
      <c r="C11821" s="104"/>
      <c r="E11821" s="107" t="str">
        <f aca="false">IF($C11821="","",IFERROR(INDEX(المنيو!$C$2:$C$500,MATCH($C11821,المنيو!$B$2:$B$500,0)),0))</f>
        <v/>
      </c>
      <c r="F11821" s="107" t="str">
        <f aca="false">IF($C11821="","",$D11821*$E11821)</f>
        <v/>
      </c>
      <c r="G11821" s="107" t="str">
        <f aca="false">IF($C11821="","",$D11821*IFERROR(INDEX('تحليل التكلفة والسعر'!$C$2:$C$700,MATCH($C11821,'تحليل التكلفة والسعر'!$B$2:$B$700,0)),0))</f>
        <v/>
      </c>
    </row>
    <row r="11822" customFormat="false" ht="15" hidden="false" customHeight="false" outlineLevel="0" collapsed="false">
      <c r="A11822" s="103"/>
      <c r="B11822" s="104"/>
      <c r="C11822" s="104"/>
      <c r="E11822" s="107" t="str">
        <f aca="false">IF($C11822="","",IFERROR(INDEX(المنيو!$C$2:$C$500,MATCH($C11822,المنيو!$B$2:$B$500,0)),0))</f>
        <v/>
      </c>
      <c r="F11822" s="107" t="str">
        <f aca="false">IF($C11822="","",$D11822*$E11822)</f>
        <v/>
      </c>
      <c r="G11822" s="107" t="str">
        <f aca="false">IF($C11822="","",$D11822*IFERROR(INDEX('تحليل التكلفة والسعر'!$C$2:$C$700,MATCH($C11822,'تحليل التكلفة والسعر'!$B$2:$B$700,0)),0))</f>
        <v/>
      </c>
    </row>
    <row r="11823" customFormat="false" ht="15" hidden="false" customHeight="false" outlineLevel="0" collapsed="false">
      <c r="A11823" s="103"/>
      <c r="B11823" s="104"/>
      <c r="C11823" s="104"/>
      <c r="E11823" s="107" t="str">
        <f aca="false">IF($C11823="","",IFERROR(INDEX(المنيو!$C$2:$C$500,MATCH($C11823,المنيو!$B$2:$B$500,0)),0))</f>
        <v/>
      </c>
      <c r="F11823" s="107" t="str">
        <f aca="false">IF($C11823="","",$D11823*$E11823)</f>
        <v/>
      </c>
      <c r="G11823" s="107" t="str">
        <f aca="false">IF($C11823="","",$D11823*IFERROR(INDEX('تحليل التكلفة والسعر'!$C$2:$C$700,MATCH($C11823,'تحليل التكلفة والسعر'!$B$2:$B$700,0)),0))</f>
        <v/>
      </c>
    </row>
    <row r="11824" customFormat="false" ht="15" hidden="false" customHeight="false" outlineLevel="0" collapsed="false">
      <c r="A11824" s="103"/>
      <c r="B11824" s="104"/>
      <c r="C11824" s="104"/>
      <c r="E11824" s="107" t="str">
        <f aca="false">IF($C11824="","",IFERROR(INDEX(المنيو!$C$2:$C$500,MATCH($C11824,المنيو!$B$2:$B$500,0)),0))</f>
        <v/>
      </c>
      <c r="F11824" s="107" t="str">
        <f aca="false">IF($C11824="","",$D11824*$E11824)</f>
        <v/>
      </c>
      <c r="G11824" s="107" t="str">
        <f aca="false">IF($C11824="","",$D11824*IFERROR(INDEX('تحليل التكلفة والسعر'!$C$2:$C$700,MATCH($C11824,'تحليل التكلفة والسعر'!$B$2:$B$700,0)),0))</f>
        <v/>
      </c>
    </row>
    <row r="11825" customFormat="false" ht="15" hidden="false" customHeight="false" outlineLevel="0" collapsed="false">
      <c r="A11825" s="103"/>
      <c r="B11825" s="104"/>
      <c r="C11825" s="104"/>
      <c r="E11825" s="107" t="str">
        <f aca="false">IF($C11825="","",IFERROR(INDEX(المنيو!$C$2:$C$500,MATCH($C11825,المنيو!$B$2:$B$500,0)),0))</f>
        <v/>
      </c>
      <c r="F11825" s="107" t="str">
        <f aca="false">IF($C11825="","",$D11825*$E11825)</f>
        <v/>
      </c>
      <c r="G11825" s="107" t="str">
        <f aca="false">IF($C11825="","",$D11825*IFERROR(INDEX('تحليل التكلفة والسعر'!$C$2:$C$700,MATCH($C11825,'تحليل التكلفة والسعر'!$B$2:$B$700,0)),0))</f>
        <v/>
      </c>
    </row>
    <row r="11826" customFormat="false" ht="15" hidden="false" customHeight="false" outlineLevel="0" collapsed="false">
      <c r="A11826" s="103"/>
      <c r="B11826" s="104"/>
      <c r="C11826" s="104"/>
      <c r="E11826" s="107" t="str">
        <f aca="false">IF($C11826="","",IFERROR(INDEX(المنيو!$C$2:$C$500,MATCH($C11826,المنيو!$B$2:$B$500,0)),0))</f>
        <v/>
      </c>
      <c r="F11826" s="107" t="str">
        <f aca="false">IF($C11826="","",$D11826*$E11826)</f>
        <v/>
      </c>
      <c r="G11826" s="107" t="str">
        <f aca="false">IF($C11826="","",$D11826*IFERROR(INDEX('تحليل التكلفة والسعر'!$C$2:$C$700,MATCH($C11826,'تحليل التكلفة والسعر'!$B$2:$B$700,0)),0))</f>
        <v/>
      </c>
    </row>
    <row r="11827" customFormat="false" ht="15" hidden="false" customHeight="false" outlineLevel="0" collapsed="false">
      <c r="A11827" s="103"/>
      <c r="B11827" s="104"/>
      <c r="C11827" s="104"/>
      <c r="E11827" s="107" t="str">
        <f aca="false">IF($C11827="","",IFERROR(INDEX(المنيو!$C$2:$C$500,MATCH($C11827,المنيو!$B$2:$B$500,0)),0))</f>
        <v/>
      </c>
      <c r="F11827" s="107" t="str">
        <f aca="false">IF($C11827="","",$D11827*$E11827)</f>
        <v/>
      </c>
      <c r="G11827" s="107" t="str">
        <f aca="false">IF($C11827="","",$D11827*IFERROR(INDEX('تحليل التكلفة والسعر'!$C$2:$C$700,MATCH($C11827,'تحليل التكلفة والسعر'!$B$2:$B$700,0)),0))</f>
        <v/>
      </c>
    </row>
    <row r="11828" customFormat="false" ht="15" hidden="false" customHeight="false" outlineLevel="0" collapsed="false">
      <c r="A11828" s="103"/>
      <c r="B11828" s="104"/>
      <c r="C11828" s="104"/>
      <c r="E11828" s="107" t="str">
        <f aca="false">IF($C11828="","",IFERROR(INDEX(المنيو!$C$2:$C$500,MATCH($C11828,المنيو!$B$2:$B$500,0)),0))</f>
        <v/>
      </c>
      <c r="F11828" s="107" t="str">
        <f aca="false">IF($C11828="","",$D11828*$E11828)</f>
        <v/>
      </c>
      <c r="G11828" s="107" t="str">
        <f aca="false">IF($C11828="","",$D11828*IFERROR(INDEX('تحليل التكلفة والسعر'!$C$2:$C$700,MATCH($C11828,'تحليل التكلفة والسعر'!$B$2:$B$700,0)),0))</f>
        <v/>
      </c>
    </row>
    <row r="11829" customFormat="false" ht="15" hidden="false" customHeight="false" outlineLevel="0" collapsed="false">
      <c r="A11829" s="103"/>
      <c r="B11829" s="104"/>
      <c r="C11829" s="104"/>
      <c r="E11829" s="107" t="str">
        <f aca="false">IF($C11829="","",IFERROR(INDEX(المنيو!$C$2:$C$500,MATCH($C11829,المنيو!$B$2:$B$500,0)),0))</f>
        <v/>
      </c>
      <c r="F11829" s="107" t="str">
        <f aca="false">IF($C11829="","",$D11829*$E11829)</f>
        <v/>
      </c>
      <c r="G11829" s="107" t="str">
        <f aca="false">IF($C11829="","",$D11829*IFERROR(INDEX('تحليل التكلفة والسعر'!$C$2:$C$700,MATCH($C11829,'تحليل التكلفة والسعر'!$B$2:$B$700,0)),0))</f>
        <v/>
      </c>
    </row>
    <row r="11830" customFormat="false" ht="15" hidden="false" customHeight="false" outlineLevel="0" collapsed="false">
      <c r="A11830" s="103"/>
      <c r="B11830" s="104"/>
      <c r="C11830" s="104"/>
      <c r="E11830" s="107" t="str">
        <f aca="false">IF($C11830="","",IFERROR(INDEX(المنيو!$C$2:$C$500,MATCH($C11830,المنيو!$B$2:$B$500,0)),0))</f>
        <v/>
      </c>
      <c r="F11830" s="107" t="str">
        <f aca="false">IF($C11830="","",$D11830*$E11830)</f>
        <v/>
      </c>
      <c r="G11830" s="107" t="str">
        <f aca="false">IF($C11830="","",$D11830*IFERROR(INDEX('تحليل التكلفة والسعر'!$C$2:$C$700,MATCH($C11830,'تحليل التكلفة والسعر'!$B$2:$B$700,0)),0))</f>
        <v/>
      </c>
    </row>
    <row r="11831" customFormat="false" ht="15" hidden="false" customHeight="false" outlineLevel="0" collapsed="false">
      <c r="A11831" s="103"/>
      <c r="B11831" s="104"/>
      <c r="C11831" s="104"/>
      <c r="E11831" s="107" t="str">
        <f aca="false">IF($C11831="","",IFERROR(INDEX(المنيو!$C$2:$C$500,MATCH($C11831,المنيو!$B$2:$B$500,0)),0))</f>
        <v/>
      </c>
      <c r="F11831" s="107" t="str">
        <f aca="false">IF($C11831="","",$D11831*$E11831)</f>
        <v/>
      </c>
      <c r="G11831" s="107" t="str">
        <f aca="false">IF($C11831="","",$D11831*IFERROR(INDEX('تحليل التكلفة والسعر'!$C$2:$C$700,MATCH($C11831,'تحليل التكلفة والسعر'!$B$2:$B$700,0)),0))</f>
        <v/>
      </c>
    </row>
    <row r="11832" customFormat="false" ht="15" hidden="false" customHeight="false" outlineLevel="0" collapsed="false">
      <c r="A11832" s="103"/>
      <c r="B11832" s="104"/>
      <c r="C11832" s="104"/>
      <c r="E11832" s="107" t="str">
        <f aca="false">IF($C11832="","",IFERROR(INDEX(المنيو!$C$2:$C$500,MATCH($C11832,المنيو!$B$2:$B$500,0)),0))</f>
        <v/>
      </c>
      <c r="F11832" s="107" t="str">
        <f aca="false">IF($C11832="","",$D11832*$E11832)</f>
        <v/>
      </c>
      <c r="G11832" s="107" t="str">
        <f aca="false">IF($C11832="","",$D11832*IFERROR(INDEX('تحليل التكلفة والسعر'!$C$2:$C$700,MATCH($C11832,'تحليل التكلفة والسعر'!$B$2:$B$700,0)),0))</f>
        <v/>
      </c>
    </row>
    <row r="11833" customFormat="false" ht="15" hidden="false" customHeight="false" outlineLevel="0" collapsed="false">
      <c r="A11833" s="103"/>
      <c r="B11833" s="104"/>
      <c r="C11833" s="104"/>
      <c r="E11833" s="107" t="str">
        <f aca="false">IF($C11833="","",IFERROR(INDEX(المنيو!$C$2:$C$500,MATCH($C11833,المنيو!$B$2:$B$500,0)),0))</f>
        <v/>
      </c>
      <c r="F11833" s="107" t="str">
        <f aca="false">IF($C11833="","",$D11833*$E11833)</f>
        <v/>
      </c>
      <c r="G11833" s="107" t="str">
        <f aca="false">IF($C11833="","",$D11833*IFERROR(INDEX('تحليل التكلفة والسعر'!$C$2:$C$700,MATCH($C11833,'تحليل التكلفة والسعر'!$B$2:$B$700,0)),0))</f>
        <v/>
      </c>
    </row>
    <row r="11834" customFormat="false" ht="15" hidden="false" customHeight="false" outlineLevel="0" collapsed="false">
      <c r="A11834" s="103"/>
      <c r="B11834" s="104"/>
      <c r="C11834" s="104"/>
      <c r="E11834" s="107" t="str">
        <f aca="false">IF($C11834="","",IFERROR(INDEX(المنيو!$C$2:$C$500,MATCH($C11834,المنيو!$B$2:$B$500,0)),0))</f>
        <v/>
      </c>
      <c r="F11834" s="107" t="str">
        <f aca="false">IF($C11834="","",$D11834*$E11834)</f>
        <v/>
      </c>
      <c r="G11834" s="107" t="str">
        <f aca="false">IF($C11834="","",$D11834*IFERROR(INDEX('تحليل التكلفة والسعر'!$C$2:$C$700,MATCH($C11834,'تحليل التكلفة والسعر'!$B$2:$B$700,0)),0))</f>
        <v/>
      </c>
    </row>
    <row r="11835" customFormat="false" ht="15" hidden="false" customHeight="false" outlineLevel="0" collapsed="false">
      <c r="A11835" s="103"/>
      <c r="B11835" s="104"/>
      <c r="C11835" s="104"/>
      <c r="E11835" s="107" t="str">
        <f aca="false">IF($C11835="","",IFERROR(INDEX(المنيو!$C$2:$C$500,MATCH($C11835,المنيو!$B$2:$B$500,0)),0))</f>
        <v/>
      </c>
      <c r="F11835" s="107" t="str">
        <f aca="false">IF($C11835="","",$D11835*$E11835)</f>
        <v/>
      </c>
      <c r="G11835" s="107" t="str">
        <f aca="false">IF($C11835="","",$D11835*IFERROR(INDEX('تحليل التكلفة والسعر'!$C$2:$C$700,MATCH($C11835,'تحليل التكلفة والسعر'!$B$2:$B$700,0)),0))</f>
        <v/>
      </c>
    </row>
    <row r="11836" customFormat="false" ht="15" hidden="false" customHeight="false" outlineLevel="0" collapsed="false">
      <c r="A11836" s="103"/>
      <c r="B11836" s="104"/>
      <c r="C11836" s="104"/>
      <c r="E11836" s="107" t="str">
        <f aca="false">IF($C11836="","",IFERROR(INDEX(المنيو!$C$2:$C$500,MATCH($C11836,المنيو!$B$2:$B$500,0)),0))</f>
        <v/>
      </c>
      <c r="F11836" s="107" t="str">
        <f aca="false">IF($C11836="","",$D11836*$E11836)</f>
        <v/>
      </c>
      <c r="G11836" s="107" t="str">
        <f aca="false">IF($C11836="","",$D11836*IFERROR(INDEX('تحليل التكلفة والسعر'!$C$2:$C$700,MATCH($C11836,'تحليل التكلفة والسعر'!$B$2:$B$700,0)),0))</f>
        <v/>
      </c>
    </row>
    <row r="11837" customFormat="false" ht="15" hidden="false" customHeight="false" outlineLevel="0" collapsed="false">
      <c r="A11837" s="103"/>
      <c r="B11837" s="104"/>
      <c r="C11837" s="104"/>
      <c r="E11837" s="107" t="str">
        <f aca="false">IF($C11837="","",IFERROR(INDEX(المنيو!$C$2:$C$500,MATCH($C11837,المنيو!$B$2:$B$500,0)),0))</f>
        <v/>
      </c>
      <c r="F11837" s="107" t="str">
        <f aca="false">IF($C11837="","",$D11837*$E11837)</f>
        <v/>
      </c>
      <c r="G11837" s="107" t="str">
        <f aca="false">IF($C11837="","",$D11837*IFERROR(INDEX('تحليل التكلفة والسعر'!$C$2:$C$700,MATCH($C11837,'تحليل التكلفة والسعر'!$B$2:$B$700,0)),0))</f>
        <v/>
      </c>
    </row>
    <row r="11838" customFormat="false" ht="15" hidden="false" customHeight="false" outlineLevel="0" collapsed="false">
      <c r="A11838" s="103"/>
      <c r="B11838" s="104"/>
      <c r="C11838" s="104"/>
      <c r="E11838" s="107" t="str">
        <f aca="false">IF($C11838="","",IFERROR(INDEX(المنيو!$C$2:$C$500,MATCH($C11838,المنيو!$B$2:$B$500,0)),0))</f>
        <v/>
      </c>
      <c r="F11838" s="107" t="str">
        <f aca="false">IF($C11838="","",$D11838*$E11838)</f>
        <v/>
      </c>
      <c r="G11838" s="107" t="str">
        <f aca="false">IF($C11838="","",$D11838*IFERROR(INDEX('تحليل التكلفة والسعر'!$C$2:$C$700,MATCH($C11838,'تحليل التكلفة والسعر'!$B$2:$B$700,0)),0))</f>
        <v/>
      </c>
    </row>
    <row r="11839" customFormat="false" ht="15" hidden="false" customHeight="false" outlineLevel="0" collapsed="false">
      <c r="A11839" s="103"/>
      <c r="B11839" s="104"/>
      <c r="C11839" s="104"/>
      <c r="E11839" s="107" t="str">
        <f aca="false">IF($C11839="","",IFERROR(INDEX(المنيو!$C$2:$C$500,MATCH($C11839,المنيو!$B$2:$B$500,0)),0))</f>
        <v/>
      </c>
      <c r="F11839" s="107" t="str">
        <f aca="false">IF($C11839="","",$D11839*$E11839)</f>
        <v/>
      </c>
      <c r="G11839" s="107" t="str">
        <f aca="false">IF($C11839="","",$D11839*IFERROR(INDEX('تحليل التكلفة والسعر'!$C$2:$C$700,MATCH($C11839,'تحليل التكلفة والسعر'!$B$2:$B$700,0)),0))</f>
        <v/>
      </c>
    </row>
    <row r="11840" customFormat="false" ht="15" hidden="false" customHeight="false" outlineLevel="0" collapsed="false">
      <c r="A11840" s="103"/>
      <c r="B11840" s="104"/>
      <c r="C11840" s="104"/>
      <c r="E11840" s="107" t="str">
        <f aca="false">IF($C11840="","",IFERROR(INDEX(المنيو!$C$2:$C$500,MATCH($C11840,المنيو!$B$2:$B$500,0)),0))</f>
        <v/>
      </c>
      <c r="F11840" s="107" t="str">
        <f aca="false">IF($C11840="","",$D11840*$E11840)</f>
        <v/>
      </c>
      <c r="G11840" s="107" t="str">
        <f aca="false">IF($C11840="","",$D11840*IFERROR(INDEX('تحليل التكلفة والسعر'!$C$2:$C$700,MATCH($C11840,'تحليل التكلفة والسعر'!$B$2:$B$700,0)),0))</f>
        <v/>
      </c>
    </row>
    <row r="11841" customFormat="false" ht="15" hidden="false" customHeight="false" outlineLevel="0" collapsed="false">
      <c r="A11841" s="103"/>
      <c r="B11841" s="104"/>
      <c r="C11841" s="104"/>
      <c r="E11841" s="107" t="str">
        <f aca="false">IF($C11841="","",IFERROR(INDEX(المنيو!$C$2:$C$500,MATCH($C11841,المنيو!$B$2:$B$500,0)),0))</f>
        <v/>
      </c>
      <c r="F11841" s="107" t="str">
        <f aca="false">IF($C11841="","",$D11841*$E11841)</f>
        <v/>
      </c>
      <c r="G11841" s="107" t="str">
        <f aca="false">IF($C11841="","",$D11841*IFERROR(INDEX('تحليل التكلفة والسعر'!$C$2:$C$700,MATCH($C11841,'تحليل التكلفة والسعر'!$B$2:$B$700,0)),0))</f>
        <v/>
      </c>
    </row>
    <row r="11842" customFormat="false" ht="15" hidden="false" customHeight="false" outlineLevel="0" collapsed="false">
      <c r="A11842" s="103"/>
      <c r="B11842" s="104"/>
      <c r="C11842" s="104"/>
      <c r="E11842" s="107" t="str">
        <f aca="false">IF($C11842="","",IFERROR(INDEX(المنيو!$C$2:$C$500,MATCH($C11842,المنيو!$B$2:$B$500,0)),0))</f>
        <v/>
      </c>
      <c r="F11842" s="107" t="str">
        <f aca="false">IF($C11842="","",$D11842*$E11842)</f>
        <v/>
      </c>
      <c r="G11842" s="107" t="str">
        <f aca="false">IF($C11842="","",$D11842*IFERROR(INDEX('تحليل التكلفة والسعر'!$C$2:$C$700,MATCH($C11842,'تحليل التكلفة والسعر'!$B$2:$B$700,0)),0))</f>
        <v/>
      </c>
    </row>
    <row r="11843" customFormat="false" ht="15" hidden="false" customHeight="false" outlineLevel="0" collapsed="false">
      <c r="A11843" s="103"/>
      <c r="B11843" s="104"/>
      <c r="C11843" s="104"/>
      <c r="E11843" s="107" t="str">
        <f aca="false">IF($C11843="","",IFERROR(INDEX(المنيو!$C$2:$C$500,MATCH($C11843,المنيو!$B$2:$B$500,0)),0))</f>
        <v/>
      </c>
      <c r="F11843" s="107" t="str">
        <f aca="false">IF($C11843="","",$D11843*$E11843)</f>
        <v/>
      </c>
      <c r="G11843" s="107" t="str">
        <f aca="false">IF($C11843="","",$D11843*IFERROR(INDEX('تحليل التكلفة والسعر'!$C$2:$C$700,MATCH($C11843,'تحليل التكلفة والسعر'!$B$2:$B$700,0)),0))</f>
        <v/>
      </c>
    </row>
    <row r="11844" customFormat="false" ht="15" hidden="false" customHeight="false" outlineLevel="0" collapsed="false">
      <c r="A11844" s="103"/>
      <c r="B11844" s="104"/>
      <c r="C11844" s="104"/>
      <c r="E11844" s="107" t="str">
        <f aca="false">IF($C11844="","",IFERROR(INDEX(المنيو!$C$2:$C$500,MATCH($C11844,المنيو!$B$2:$B$500,0)),0))</f>
        <v/>
      </c>
      <c r="F11844" s="107" t="str">
        <f aca="false">IF($C11844="","",$D11844*$E11844)</f>
        <v/>
      </c>
      <c r="G11844" s="107" t="str">
        <f aca="false">IF($C11844="","",$D11844*IFERROR(INDEX('تحليل التكلفة والسعر'!$C$2:$C$700,MATCH($C11844,'تحليل التكلفة والسعر'!$B$2:$B$700,0)),0))</f>
        <v/>
      </c>
    </row>
    <row r="11845" customFormat="false" ht="15" hidden="false" customHeight="false" outlineLevel="0" collapsed="false">
      <c r="A11845" s="103"/>
      <c r="B11845" s="104"/>
      <c r="C11845" s="104"/>
      <c r="E11845" s="107" t="str">
        <f aca="false">IF($C11845="","",IFERROR(INDEX(المنيو!$C$2:$C$500,MATCH($C11845,المنيو!$B$2:$B$500,0)),0))</f>
        <v/>
      </c>
      <c r="F11845" s="107" t="str">
        <f aca="false">IF($C11845="","",$D11845*$E11845)</f>
        <v/>
      </c>
      <c r="G11845" s="107" t="str">
        <f aca="false">IF($C11845="","",$D11845*IFERROR(INDEX('تحليل التكلفة والسعر'!$C$2:$C$700,MATCH($C11845,'تحليل التكلفة والسعر'!$B$2:$B$700,0)),0))</f>
        <v/>
      </c>
    </row>
    <row r="11846" customFormat="false" ht="15" hidden="false" customHeight="false" outlineLevel="0" collapsed="false">
      <c r="A11846" s="103"/>
      <c r="B11846" s="104"/>
      <c r="C11846" s="104"/>
      <c r="E11846" s="107" t="str">
        <f aca="false">IF($C11846="","",IFERROR(INDEX(المنيو!$C$2:$C$500,MATCH($C11846,المنيو!$B$2:$B$500,0)),0))</f>
        <v/>
      </c>
      <c r="F11846" s="107" t="str">
        <f aca="false">IF($C11846="","",$D11846*$E11846)</f>
        <v/>
      </c>
      <c r="G11846" s="107" t="str">
        <f aca="false">IF($C11846="","",$D11846*IFERROR(INDEX('تحليل التكلفة والسعر'!$C$2:$C$700,MATCH($C11846,'تحليل التكلفة والسعر'!$B$2:$B$700,0)),0))</f>
        <v/>
      </c>
    </row>
    <row r="11847" customFormat="false" ht="15" hidden="false" customHeight="false" outlineLevel="0" collapsed="false">
      <c r="A11847" s="103"/>
      <c r="B11847" s="104"/>
      <c r="C11847" s="104"/>
      <c r="E11847" s="107" t="str">
        <f aca="false">IF($C11847="","",IFERROR(INDEX(المنيو!$C$2:$C$500,MATCH($C11847,المنيو!$B$2:$B$500,0)),0))</f>
        <v/>
      </c>
      <c r="F11847" s="107" t="str">
        <f aca="false">IF($C11847="","",$D11847*$E11847)</f>
        <v/>
      </c>
      <c r="G11847" s="107" t="str">
        <f aca="false">IF($C11847="","",$D11847*IFERROR(INDEX('تحليل التكلفة والسعر'!$C$2:$C$700,MATCH($C11847,'تحليل التكلفة والسعر'!$B$2:$B$700,0)),0))</f>
        <v/>
      </c>
    </row>
    <row r="11848" customFormat="false" ht="15" hidden="false" customHeight="false" outlineLevel="0" collapsed="false">
      <c r="A11848" s="103"/>
      <c r="B11848" s="104"/>
      <c r="C11848" s="104"/>
      <c r="E11848" s="107" t="str">
        <f aca="false">IF($C11848="","",IFERROR(INDEX(المنيو!$C$2:$C$500,MATCH($C11848,المنيو!$B$2:$B$500,0)),0))</f>
        <v/>
      </c>
      <c r="F11848" s="107" t="str">
        <f aca="false">IF($C11848="","",$D11848*$E11848)</f>
        <v/>
      </c>
      <c r="G11848" s="107" t="str">
        <f aca="false">IF($C11848="","",$D11848*IFERROR(INDEX('تحليل التكلفة والسعر'!$C$2:$C$700,MATCH($C11848,'تحليل التكلفة والسعر'!$B$2:$B$700,0)),0))</f>
        <v/>
      </c>
    </row>
    <row r="11849" customFormat="false" ht="15" hidden="false" customHeight="false" outlineLevel="0" collapsed="false">
      <c r="A11849" s="103"/>
      <c r="B11849" s="104"/>
      <c r="C11849" s="104"/>
      <c r="E11849" s="107" t="str">
        <f aca="false">IF($C11849="","",IFERROR(INDEX(المنيو!$C$2:$C$500,MATCH($C11849,المنيو!$B$2:$B$500,0)),0))</f>
        <v/>
      </c>
      <c r="F11849" s="107" t="str">
        <f aca="false">IF($C11849="","",$D11849*$E11849)</f>
        <v/>
      </c>
      <c r="G11849" s="107" t="str">
        <f aca="false">IF($C11849="","",$D11849*IFERROR(INDEX('تحليل التكلفة والسعر'!$C$2:$C$700,MATCH($C11849,'تحليل التكلفة والسعر'!$B$2:$B$700,0)),0))</f>
        <v/>
      </c>
    </row>
    <row r="11850" customFormat="false" ht="15" hidden="false" customHeight="false" outlineLevel="0" collapsed="false">
      <c r="A11850" s="103"/>
      <c r="B11850" s="104"/>
      <c r="C11850" s="104"/>
      <c r="E11850" s="107" t="str">
        <f aca="false">IF($C11850="","",IFERROR(INDEX(المنيو!$C$2:$C$500,MATCH($C11850,المنيو!$B$2:$B$500,0)),0))</f>
        <v/>
      </c>
      <c r="F11850" s="107" t="str">
        <f aca="false">IF($C11850="","",$D11850*$E11850)</f>
        <v/>
      </c>
      <c r="G11850" s="107" t="str">
        <f aca="false">IF($C11850="","",$D11850*IFERROR(INDEX('تحليل التكلفة والسعر'!$C$2:$C$700,MATCH($C11850,'تحليل التكلفة والسعر'!$B$2:$B$700,0)),0))</f>
        <v/>
      </c>
    </row>
    <row r="11851" customFormat="false" ht="15" hidden="false" customHeight="false" outlineLevel="0" collapsed="false">
      <c r="A11851" s="103"/>
      <c r="B11851" s="104"/>
      <c r="C11851" s="104"/>
      <c r="E11851" s="107" t="str">
        <f aca="false">IF($C11851="","",IFERROR(INDEX(المنيو!$C$2:$C$500,MATCH($C11851,المنيو!$B$2:$B$500,0)),0))</f>
        <v/>
      </c>
      <c r="F11851" s="107" t="str">
        <f aca="false">IF($C11851="","",$D11851*$E11851)</f>
        <v/>
      </c>
      <c r="G11851" s="107" t="str">
        <f aca="false">IF($C11851="","",$D11851*IFERROR(INDEX('تحليل التكلفة والسعر'!$C$2:$C$700,MATCH($C11851,'تحليل التكلفة والسعر'!$B$2:$B$700,0)),0))</f>
        <v/>
      </c>
    </row>
    <row r="11852" customFormat="false" ht="15" hidden="false" customHeight="false" outlineLevel="0" collapsed="false">
      <c r="A11852" s="103"/>
      <c r="B11852" s="104"/>
      <c r="C11852" s="104"/>
      <c r="E11852" s="107" t="str">
        <f aca="false">IF($C11852="","",IFERROR(INDEX(المنيو!$C$2:$C$500,MATCH($C11852,المنيو!$B$2:$B$500,0)),0))</f>
        <v/>
      </c>
      <c r="F11852" s="107" t="str">
        <f aca="false">IF($C11852="","",$D11852*$E11852)</f>
        <v/>
      </c>
      <c r="G11852" s="107" t="str">
        <f aca="false">IF($C11852="","",$D11852*IFERROR(INDEX('تحليل التكلفة والسعر'!$C$2:$C$700,MATCH($C11852,'تحليل التكلفة والسعر'!$B$2:$B$700,0)),0))</f>
        <v/>
      </c>
    </row>
    <row r="11853" customFormat="false" ht="15" hidden="false" customHeight="false" outlineLevel="0" collapsed="false">
      <c r="A11853" s="103"/>
      <c r="B11853" s="104"/>
      <c r="C11853" s="104"/>
      <c r="E11853" s="107" t="str">
        <f aca="false">IF($C11853="","",IFERROR(INDEX(المنيو!$C$2:$C$500,MATCH($C11853,المنيو!$B$2:$B$500,0)),0))</f>
        <v/>
      </c>
      <c r="F11853" s="107" t="str">
        <f aca="false">IF($C11853="","",$D11853*$E11853)</f>
        <v/>
      </c>
      <c r="G11853" s="107" t="str">
        <f aca="false">IF($C11853="","",$D11853*IFERROR(INDEX('تحليل التكلفة والسعر'!$C$2:$C$700,MATCH($C11853,'تحليل التكلفة والسعر'!$B$2:$B$700,0)),0))</f>
        <v/>
      </c>
    </row>
    <row r="11854" customFormat="false" ht="15" hidden="false" customHeight="false" outlineLevel="0" collapsed="false">
      <c r="A11854" s="103"/>
      <c r="B11854" s="104"/>
      <c r="C11854" s="104"/>
      <c r="E11854" s="107" t="str">
        <f aca="false">IF($C11854="","",IFERROR(INDEX(المنيو!$C$2:$C$500,MATCH($C11854,المنيو!$B$2:$B$500,0)),0))</f>
        <v/>
      </c>
      <c r="F11854" s="107" t="str">
        <f aca="false">IF($C11854="","",$D11854*$E11854)</f>
        <v/>
      </c>
      <c r="G11854" s="107" t="str">
        <f aca="false">IF($C11854="","",$D11854*IFERROR(INDEX('تحليل التكلفة والسعر'!$C$2:$C$700,MATCH($C11854,'تحليل التكلفة والسعر'!$B$2:$B$700,0)),0))</f>
        <v/>
      </c>
    </row>
    <row r="11855" customFormat="false" ht="15" hidden="false" customHeight="false" outlineLevel="0" collapsed="false">
      <c r="A11855" s="103"/>
      <c r="B11855" s="104"/>
      <c r="C11855" s="104"/>
      <c r="E11855" s="107" t="str">
        <f aca="false">IF($C11855="","",IFERROR(INDEX(المنيو!$C$2:$C$500,MATCH($C11855,المنيو!$B$2:$B$500,0)),0))</f>
        <v/>
      </c>
      <c r="F11855" s="107" t="str">
        <f aca="false">IF($C11855="","",$D11855*$E11855)</f>
        <v/>
      </c>
      <c r="G11855" s="107" t="str">
        <f aca="false">IF($C11855="","",$D11855*IFERROR(INDEX('تحليل التكلفة والسعر'!$C$2:$C$700,MATCH($C11855,'تحليل التكلفة والسعر'!$B$2:$B$700,0)),0))</f>
        <v/>
      </c>
    </row>
    <row r="11856" customFormat="false" ht="15" hidden="false" customHeight="false" outlineLevel="0" collapsed="false">
      <c r="A11856" s="103"/>
      <c r="B11856" s="104"/>
      <c r="C11856" s="104"/>
      <c r="E11856" s="107" t="str">
        <f aca="false">IF($C11856="","",IFERROR(INDEX(المنيو!$C$2:$C$500,MATCH($C11856,المنيو!$B$2:$B$500,0)),0))</f>
        <v/>
      </c>
      <c r="F11856" s="107" t="str">
        <f aca="false">IF($C11856="","",$D11856*$E11856)</f>
        <v/>
      </c>
      <c r="G11856" s="107" t="str">
        <f aca="false">IF($C11856="","",$D11856*IFERROR(INDEX('تحليل التكلفة والسعر'!$C$2:$C$700,MATCH($C11856,'تحليل التكلفة والسعر'!$B$2:$B$700,0)),0))</f>
        <v/>
      </c>
    </row>
    <row r="11857" customFormat="false" ht="15" hidden="false" customHeight="false" outlineLevel="0" collapsed="false">
      <c r="A11857" s="103"/>
      <c r="B11857" s="104"/>
      <c r="C11857" s="104"/>
      <c r="E11857" s="107" t="str">
        <f aca="false">IF($C11857="","",IFERROR(INDEX(المنيو!$C$2:$C$500,MATCH($C11857,المنيو!$B$2:$B$500,0)),0))</f>
        <v/>
      </c>
      <c r="F11857" s="107" t="str">
        <f aca="false">IF($C11857="","",$D11857*$E11857)</f>
        <v/>
      </c>
      <c r="G11857" s="107" t="str">
        <f aca="false">IF($C11857="","",$D11857*IFERROR(INDEX('تحليل التكلفة والسعر'!$C$2:$C$700,MATCH($C11857,'تحليل التكلفة والسعر'!$B$2:$B$700,0)),0))</f>
        <v/>
      </c>
    </row>
    <row r="11858" customFormat="false" ht="15" hidden="false" customHeight="false" outlineLevel="0" collapsed="false">
      <c r="A11858" s="103"/>
      <c r="B11858" s="104"/>
      <c r="C11858" s="104"/>
      <c r="E11858" s="107" t="str">
        <f aca="false">IF($C11858="","",IFERROR(INDEX(المنيو!$C$2:$C$500,MATCH($C11858,المنيو!$B$2:$B$500,0)),0))</f>
        <v/>
      </c>
      <c r="F11858" s="107" t="str">
        <f aca="false">IF($C11858="","",$D11858*$E11858)</f>
        <v/>
      </c>
      <c r="G11858" s="107" t="str">
        <f aca="false">IF($C11858="","",$D11858*IFERROR(INDEX('تحليل التكلفة والسعر'!$C$2:$C$700,MATCH($C11858,'تحليل التكلفة والسعر'!$B$2:$B$700,0)),0))</f>
        <v/>
      </c>
    </row>
    <row r="11859" customFormat="false" ht="15" hidden="false" customHeight="false" outlineLevel="0" collapsed="false">
      <c r="A11859" s="103"/>
      <c r="B11859" s="104"/>
      <c r="C11859" s="104"/>
      <c r="E11859" s="107" t="str">
        <f aca="false">IF($C11859="","",IFERROR(INDEX(المنيو!$C$2:$C$500,MATCH($C11859,المنيو!$B$2:$B$500,0)),0))</f>
        <v/>
      </c>
      <c r="F11859" s="107" t="str">
        <f aca="false">IF($C11859="","",$D11859*$E11859)</f>
        <v/>
      </c>
      <c r="G11859" s="107" t="str">
        <f aca="false">IF($C11859="","",$D11859*IFERROR(INDEX('تحليل التكلفة والسعر'!$C$2:$C$700,MATCH($C11859,'تحليل التكلفة والسعر'!$B$2:$B$700,0)),0))</f>
        <v/>
      </c>
    </row>
    <row r="11860" customFormat="false" ht="15" hidden="false" customHeight="false" outlineLevel="0" collapsed="false">
      <c r="A11860" s="103"/>
      <c r="B11860" s="104"/>
      <c r="C11860" s="104"/>
      <c r="E11860" s="107" t="str">
        <f aca="false">IF($C11860="","",IFERROR(INDEX(المنيو!$C$2:$C$500,MATCH($C11860,المنيو!$B$2:$B$500,0)),0))</f>
        <v/>
      </c>
      <c r="F11860" s="107" t="str">
        <f aca="false">IF($C11860="","",$D11860*$E11860)</f>
        <v/>
      </c>
      <c r="G11860" s="107" t="str">
        <f aca="false">IF($C11860="","",$D11860*IFERROR(INDEX('تحليل التكلفة والسعر'!$C$2:$C$700,MATCH($C11860,'تحليل التكلفة والسعر'!$B$2:$B$700,0)),0))</f>
        <v/>
      </c>
    </row>
    <row r="11861" customFormat="false" ht="15" hidden="false" customHeight="false" outlineLevel="0" collapsed="false">
      <c r="A11861" s="103"/>
      <c r="B11861" s="104"/>
      <c r="C11861" s="104"/>
      <c r="E11861" s="107" t="str">
        <f aca="false">IF($C11861="","",IFERROR(INDEX(المنيو!$C$2:$C$500,MATCH($C11861,المنيو!$B$2:$B$500,0)),0))</f>
        <v/>
      </c>
      <c r="F11861" s="107" t="str">
        <f aca="false">IF($C11861="","",$D11861*$E11861)</f>
        <v/>
      </c>
      <c r="G11861" s="107" t="str">
        <f aca="false">IF($C11861="","",$D11861*IFERROR(INDEX('تحليل التكلفة والسعر'!$C$2:$C$700,MATCH($C11861,'تحليل التكلفة والسعر'!$B$2:$B$700,0)),0))</f>
        <v/>
      </c>
    </row>
    <row r="11862" customFormat="false" ht="15" hidden="false" customHeight="false" outlineLevel="0" collapsed="false">
      <c r="A11862" s="103"/>
      <c r="B11862" s="104"/>
      <c r="C11862" s="104"/>
      <c r="E11862" s="107" t="str">
        <f aca="false">IF($C11862="","",IFERROR(INDEX(المنيو!$C$2:$C$500,MATCH($C11862,المنيو!$B$2:$B$500,0)),0))</f>
        <v/>
      </c>
      <c r="F11862" s="107" t="str">
        <f aca="false">IF($C11862="","",$D11862*$E11862)</f>
        <v/>
      </c>
      <c r="G11862" s="107" t="str">
        <f aca="false">IF($C11862="","",$D11862*IFERROR(INDEX('تحليل التكلفة والسعر'!$C$2:$C$700,MATCH($C11862,'تحليل التكلفة والسعر'!$B$2:$B$700,0)),0))</f>
        <v/>
      </c>
    </row>
    <row r="11863" customFormat="false" ht="15" hidden="false" customHeight="false" outlineLevel="0" collapsed="false">
      <c r="A11863" s="103"/>
      <c r="B11863" s="104"/>
      <c r="C11863" s="104"/>
      <c r="E11863" s="107" t="str">
        <f aca="false">IF($C11863="","",IFERROR(INDEX(المنيو!$C$2:$C$500,MATCH($C11863,المنيو!$B$2:$B$500,0)),0))</f>
        <v/>
      </c>
      <c r="F11863" s="107" t="str">
        <f aca="false">IF($C11863="","",$D11863*$E11863)</f>
        <v/>
      </c>
      <c r="G11863" s="107" t="str">
        <f aca="false">IF($C11863="","",$D11863*IFERROR(INDEX('تحليل التكلفة والسعر'!$C$2:$C$700,MATCH($C11863,'تحليل التكلفة والسعر'!$B$2:$B$700,0)),0))</f>
        <v/>
      </c>
    </row>
    <row r="11864" customFormat="false" ht="15" hidden="false" customHeight="false" outlineLevel="0" collapsed="false">
      <c r="A11864" s="103"/>
      <c r="B11864" s="104"/>
      <c r="C11864" s="104"/>
      <c r="E11864" s="107" t="str">
        <f aca="false">IF($C11864="","",IFERROR(INDEX(المنيو!$C$2:$C$500,MATCH($C11864,المنيو!$B$2:$B$500,0)),0))</f>
        <v/>
      </c>
      <c r="F11864" s="107" t="str">
        <f aca="false">IF($C11864="","",$D11864*$E11864)</f>
        <v/>
      </c>
      <c r="G11864" s="107" t="str">
        <f aca="false">IF($C11864="","",$D11864*IFERROR(INDEX('تحليل التكلفة والسعر'!$C$2:$C$700,MATCH($C11864,'تحليل التكلفة والسعر'!$B$2:$B$700,0)),0))</f>
        <v/>
      </c>
    </row>
    <row r="11865" customFormat="false" ht="15" hidden="false" customHeight="false" outlineLevel="0" collapsed="false">
      <c r="A11865" s="103"/>
      <c r="B11865" s="104"/>
      <c r="C11865" s="104"/>
      <c r="E11865" s="107" t="str">
        <f aca="false">IF($C11865="","",IFERROR(INDEX(المنيو!$C$2:$C$500,MATCH($C11865,المنيو!$B$2:$B$500,0)),0))</f>
        <v/>
      </c>
      <c r="F11865" s="107" t="str">
        <f aca="false">IF($C11865="","",$D11865*$E11865)</f>
        <v/>
      </c>
      <c r="G11865" s="107" t="str">
        <f aca="false">IF($C11865="","",$D11865*IFERROR(INDEX('تحليل التكلفة والسعر'!$C$2:$C$700,MATCH($C11865,'تحليل التكلفة والسعر'!$B$2:$B$700,0)),0))</f>
        <v/>
      </c>
    </row>
    <row r="11866" customFormat="false" ht="15" hidden="false" customHeight="false" outlineLevel="0" collapsed="false">
      <c r="A11866" s="103"/>
      <c r="B11866" s="104"/>
      <c r="C11866" s="104"/>
      <c r="E11866" s="107" t="str">
        <f aca="false">IF($C11866="","",IFERROR(INDEX(المنيو!$C$2:$C$500,MATCH($C11866,المنيو!$B$2:$B$500,0)),0))</f>
        <v/>
      </c>
      <c r="F11866" s="107" t="str">
        <f aca="false">IF($C11866="","",$D11866*$E11866)</f>
        <v/>
      </c>
      <c r="G11866" s="107" t="str">
        <f aca="false">IF($C11866="","",$D11866*IFERROR(INDEX('تحليل التكلفة والسعر'!$C$2:$C$700,MATCH($C11866,'تحليل التكلفة والسعر'!$B$2:$B$700,0)),0))</f>
        <v/>
      </c>
    </row>
    <row r="11867" customFormat="false" ht="15" hidden="false" customHeight="false" outlineLevel="0" collapsed="false">
      <c r="A11867" s="103"/>
      <c r="B11867" s="104"/>
      <c r="C11867" s="104"/>
      <c r="E11867" s="107" t="str">
        <f aca="false">IF($C11867="","",IFERROR(INDEX(المنيو!$C$2:$C$500,MATCH($C11867,المنيو!$B$2:$B$500,0)),0))</f>
        <v/>
      </c>
      <c r="F11867" s="107" t="str">
        <f aca="false">IF($C11867="","",$D11867*$E11867)</f>
        <v/>
      </c>
      <c r="G11867" s="107" t="str">
        <f aca="false">IF($C11867="","",$D11867*IFERROR(INDEX('تحليل التكلفة والسعر'!$C$2:$C$700,MATCH($C11867,'تحليل التكلفة والسعر'!$B$2:$B$700,0)),0))</f>
        <v/>
      </c>
    </row>
    <row r="11868" customFormat="false" ht="15" hidden="false" customHeight="false" outlineLevel="0" collapsed="false">
      <c r="A11868" s="103"/>
      <c r="B11868" s="104"/>
      <c r="C11868" s="104"/>
      <c r="E11868" s="107" t="str">
        <f aca="false">IF($C11868="","",IFERROR(INDEX(المنيو!$C$2:$C$500,MATCH($C11868,المنيو!$B$2:$B$500,0)),0))</f>
        <v/>
      </c>
      <c r="F11868" s="107" t="str">
        <f aca="false">IF($C11868="","",$D11868*$E11868)</f>
        <v/>
      </c>
      <c r="G11868" s="107" t="str">
        <f aca="false">IF($C11868="","",$D11868*IFERROR(INDEX('تحليل التكلفة والسعر'!$C$2:$C$700,MATCH($C11868,'تحليل التكلفة والسعر'!$B$2:$B$700,0)),0))</f>
        <v/>
      </c>
    </row>
    <row r="11869" customFormat="false" ht="15" hidden="false" customHeight="false" outlineLevel="0" collapsed="false">
      <c r="A11869" s="103"/>
      <c r="B11869" s="104"/>
      <c r="C11869" s="104"/>
      <c r="E11869" s="107" t="str">
        <f aca="false">IF($C11869="","",IFERROR(INDEX(المنيو!$C$2:$C$500,MATCH($C11869,المنيو!$B$2:$B$500,0)),0))</f>
        <v/>
      </c>
      <c r="F11869" s="107" t="str">
        <f aca="false">IF($C11869="","",$D11869*$E11869)</f>
        <v/>
      </c>
      <c r="G11869" s="107" t="str">
        <f aca="false">IF($C11869="","",$D11869*IFERROR(INDEX('تحليل التكلفة والسعر'!$C$2:$C$700,MATCH($C11869,'تحليل التكلفة والسعر'!$B$2:$B$700,0)),0))</f>
        <v/>
      </c>
    </row>
    <row r="11870" customFormat="false" ht="15" hidden="false" customHeight="false" outlineLevel="0" collapsed="false">
      <c r="A11870" s="103"/>
      <c r="B11870" s="104"/>
      <c r="C11870" s="104"/>
      <c r="E11870" s="107" t="str">
        <f aca="false">IF($C11870="","",IFERROR(INDEX(المنيو!$C$2:$C$500,MATCH($C11870,المنيو!$B$2:$B$500,0)),0))</f>
        <v/>
      </c>
      <c r="F11870" s="107" t="str">
        <f aca="false">IF($C11870="","",$D11870*$E11870)</f>
        <v/>
      </c>
      <c r="G11870" s="107" t="str">
        <f aca="false">IF($C11870="","",$D11870*IFERROR(INDEX('تحليل التكلفة والسعر'!$C$2:$C$700,MATCH($C11870,'تحليل التكلفة والسعر'!$B$2:$B$700,0)),0))</f>
        <v/>
      </c>
    </row>
    <row r="11871" customFormat="false" ht="15" hidden="false" customHeight="false" outlineLevel="0" collapsed="false">
      <c r="A11871" s="103"/>
      <c r="B11871" s="104"/>
      <c r="C11871" s="104"/>
      <c r="E11871" s="107" t="str">
        <f aca="false">IF($C11871="","",IFERROR(INDEX(المنيو!$C$2:$C$500,MATCH($C11871,المنيو!$B$2:$B$500,0)),0))</f>
        <v/>
      </c>
      <c r="F11871" s="107" t="str">
        <f aca="false">IF($C11871="","",$D11871*$E11871)</f>
        <v/>
      </c>
      <c r="G11871" s="107" t="str">
        <f aca="false">IF($C11871="","",$D11871*IFERROR(INDEX('تحليل التكلفة والسعر'!$C$2:$C$700,MATCH($C11871,'تحليل التكلفة والسعر'!$B$2:$B$700,0)),0))</f>
        <v/>
      </c>
    </row>
    <row r="11872" customFormat="false" ht="15" hidden="false" customHeight="false" outlineLevel="0" collapsed="false">
      <c r="A11872" s="103"/>
      <c r="B11872" s="104"/>
      <c r="C11872" s="104"/>
      <c r="E11872" s="107" t="str">
        <f aca="false">IF($C11872="","",IFERROR(INDEX(المنيو!$C$2:$C$500,MATCH($C11872,المنيو!$B$2:$B$500,0)),0))</f>
        <v/>
      </c>
      <c r="F11872" s="107" t="str">
        <f aca="false">IF($C11872="","",$D11872*$E11872)</f>
        <v/>
      </c>
      <c r="G11872" s="107" t="str">
        <f aca="false">IF($C11872="","",$D11872*IFERROR(INDEX('تحليل التكلفة والسعر'!$C$2:$C$700,MATCH($C11872,'تحليل التكلفة والسعر'!$B$2:$B$700,0)),0))</f>
        <v/>
      </c>
    </row>
    <row r="11873" customFormat="false" ht="15" hidden="false" customHeight="false" outlineLevel="0" collapsed="false">
      <c r="A11873" s="103"/>
      <c r="B11873" s="104"/>
      <c r="C11873" s="104"/>
      <c r="E11873" s="107" t="str">
        <f aca="false">IF($C11873="","",IFERROR(INDEX(المنيو!$C$2:$C$500,MATCH($C11873,المنيو!$B$2:$B$500,0)),0))</f>
        <v/>
      </c>
      <c r="F11873" s="107" t="str">
        <f aca="false">IF($C11873="","",$D11873*$E11873)</f>
        <v/>
      </c>
      <c r="G11873" s="107" t="str">
        <f aca="false">IF($C11873="","",$D11873*IFERROR(INDEX('تحليل التكلفة والسعر'!$C$2:$C$700,MATCH($C11873,'تحليل التكلفة والسعر'!$B$2:$B$700,0)),0))</f>
        <v/>
      </c>
    </row>
    <row r="11874" customFormat="false" ht="15" hidden="false" customHeight="false" outlineLevel="0" collapsed="false">
      <c r="A11874" s="103"/>
      <c r="B11874" s="104"/>
      <c r="C11874" s="104"/>
      <c r="E11874" s="107" t="str">
        <f aca="false">IF($C11874="","",IFERROR(INDEX(المنيو!$C$2:$C$500,MATCH($C11874,المنيو!$B$2:$B$500,0)),0))</f>
        <v/>
      </c>
      <c r="F11874" s="107" t="str">
        <f aca="false">IF($C11874="","",$D11874*$E11874)</f>
        <v/>
      </c>
      <c r="G11874" s="107" t="str">
        <f aca="false">IF($C11874="","",$D11874*IFERROR(INDEX('تحليل التكلفة والسعر'!$C$2:$C$700,MATCH($C11874,'تحليل التكلفة والسعر'!$B$2:$B$700,0)),0))</f>
        <v/>
      </c>
    </row>
    <row r="11875" customFormat="false" ht="15" hidden="false" customHeight="false" outlineLevel="0" collapsed="false">
      <c r="A11875" s="103"/>
      <c r="B11875" s="104"/>
      <c r="C11875" s="104"/>
      <c r="E11875" s="107" t="str">
        <f aca="false">IF($C11875="","",IFERROR(INDEX(المنيو!$C$2:$C$500,MATCH($C11875,المنيو!$B$2:$B$500,0)),0))</f>
        <v/>
      </c>
      <c r="F11875" s="107" t="str">
        <f aca="false">IF($C11875="","",$D11875*$E11875)</f>
        <v/>
      </c>
      <c r="G11875" s="107" t="str">
        <f aca="false">IF($C11875="","",$D11875*IFERROR(INDEX('تحليل التكلفة والسعر'!$C$2:$C$700,MATCH($C11875,'تحليل التكلفة والسعر'!$B$2:$B$700,0)),0))</f>
        <v/>
      </c>
    </row>
    <row r="11876" customFormat="false" ht="15" hidden="false" customHeight="false" outlineLevel="0" collapsed="false">
      <c r="A11876" s="103"/>
      <c r="B11876" s="104"/>
      <c r="C11876" s="104"/>
      <c r="E11876" s="107" t="str">
        <f aca="false">IF($C11876="","",IFERROR(INDEX(المنيو!$C$2:$C$500,MATCH($C11876,المنيو!$B$2:$B$500,0)),0))</f>
        <v/>
      </c>
      <c r="F11876" s="107" t="str">
        <f aca="false">IF($C11876="","",$D11876*$E11876)</f>
        <v/>
      </c>
      <c r="G11876" s="107" t="str">
        <f aca="false">IF($C11876="","",$D11876*IFERROR(INDEX('تحليل التكلفة والسعر'!$C$2:$C$700,MATCH($C11876,'تحليل التكلفة والسعر'!$B$2:$B$700,0)),0))</f>
        <v/>
      </c>
    </row>
    <row r="11877" customFormat="false" ht="15" hidden="false" customHeight="false" outlineLevel="0" collapsed="false">
      <c r="A11877" s="103"/>
      <c r="B11877" s="104"/>
      <c r="C11877" s="104"/>
      <c r="E11877" s="107" t="str">
        <f aca="false">IF($C11877="","",IFERROR(INDEX(المنيو!$C$2:$C$500,MATCH($C11877,المنيو!$B$2:$B$500,0)),0))</f>
        <v/>
      </c>
      <c r="F11877" s="107" t="str">
        <f aca="false">IF($C11877="","",$D11877*$E11877)</f>
        <v/>
      </c>
      <c r="G11877" s="107" t="str">
        <f aca="false">IF($C11877="","",$D11877*IFERROR(INDEX('تحليل التكلفة والسعر'!$C$2:$C$700,MATCH($C11877,'تحليل التكلفة والسعر'!$B$2:$B$700,0)),0))</f>
        <v/>
      </c>
    </row>
    <row r="11878" customFormat="false" ht="15" hidden="false" customHeight="false" outlineLevel="0" collapsed="false">
      <c r="A11878" s="103"/>
      <c r="B11878" s="104"/>
      <c r="C11878" s="104"/>
      <c r="E11878" s="107" t="str">
        <f aca="false">IF($C11878="","",IFERROR(INDEX(المنيو!$C$2:$C$500,MATCH($C11878,المنيو!$B$2:$B$500,0)),0))</f>
        <v/>
      </c>
      <c r="F11878" s="107" t="str">
        <f aca="false">IF($C11878="","",$D11878*$E11878)</f>
        <v/>
      </c>
      <c r="G11878" s="107" t="str">
        <f aca="false">IF($C11878="","",$D11878*IFERROR(INDEX('تحليل التكلفة والسعر'!$C$2:$C$700,MATCH($C11878,'تحليل التكلفة والسعر'!$B$2:$B$700,0)),0))</f>
        <v/>
      </c>
    </row>
    <row r="11879" customFormat="false" ht="15" hidden="false" customHeight="false" outlineLevel="0" collapsed="false">
      <c r="A11879" s="103"/>
      <c r="B11879" s="104"/>
      <c r="C11879" s="104"/>
      <c r="E11879" s="107" t="str">
        <f aca="false">IF($C11879="","",IFERROR(INDEX(المنيو!$C$2:$C$500,MATCH($C11879,المنيو!$B$2:$B$500,0)),0))</f>
        <v/>
      </c>
      <c r="F11879" s="107" t="str">
        <f aca="false">IF($C11879="","",$D11879*$E11879)</f>
        <v/>
      </c>
      <c r="G11879" s="107" t="str">
        <f aca="false">IF($C11879="","",$D11879*IFERROR(INDEX('تحليل التكلفة والسعر'!$C$2:$C$700,MATCH($C11879,'تحليل التكلفة والسعر'!$B$2:$B$700,0)),0))</f>
        <v/>
      </c>
    </row>
    <row r="11880" customFormat="false" ht="15" hidden="false" customHeight="false" outlineLevel="0" collapsed="false">
      <c r="A11880" s="103"/>
      <c r="B11880" s="104"/>
      <c r="C11880" s="104"/>
      <c r="E11880" s="107" t="str">
        <f aca="false">IF($C11880="","",IFERROR(INDEX(المنيو!$C$2:$C$500,MATCH($C11880,المنيو!$B$2:$B$500,0)),0))</f>
        <v/>
      </c>
      <c r="F11880" s="107" t="str">
        <f aca="false">IF($C11880="","",$D11880*$E11880)</f>
        <v/>
      </c>
      <c r="G11880" s="107" t="str">
        <f aca="false">IF($C11880="","",$D11880*IFERROR(INDEX('تحليل التكلفة والسعر'!$C$2:$C$700,MATCH($C11880,'تحليل التكلفة والسعر'!$B$2:$B$700,0)),0))</f>
        <v/>
      </c>
    </row>
    <row r="11881" customFormat="false" ht="15" hidden="false" customHeight="false" outlineLevel="0" collapsed="false">
      <c r="A11881" s="103"/>
      <c r="B11881" s="104"/>
      <c r="C11881" s="104"/>
      <c r="E11881" s="107" t="str">
        <f aca="false">IF($C11881="","",IFERROR(INDEX(المنيو!$C$2:$C$500,MATCH($C11881,المنيو!$B$2:$B$500,0)),0))</f>
        <v/>
      </c>
      <c r="F11881" s="107" t="str">
        <f aca="false">IF($C11881="","",$D11881*$E11881)</f>
        <v/>
      </c>
      <c r="G11881" s="107" t="str">
        <f aca="false">IF($C11881="","",$D11881*IFERROR(INDEX('تحليل التكلفة والسعر'!$C$2:$C$700,MATCH($C11881,'تحليل التكلفة والسعر'!$B$2:$B$700,0)),0))</f>
        <v/>
      </c>
    </row>
    <row r="11882" customFormat="false" ht="15" hidden="false" customHeight="false" outlineLevel="0" collapsed="false">
      <c r="A11882" s="103"/>
      <c r="B11882" s="104"/>
      <c r="C11882" s="104"/>
      <c r="E11882" s="107" t="str">
        <f aca="false">IF($C11882="","",IFERROR(INDEX(المنيو!$C$2:$C$500,MATCH($C11882,المنيو!$B$2:$B$500,0)),0))</f>
        <v/>
      </c>
      <c r="F11882" s="107" t="str">
        <f aca="false">IF($C11882="","",$D11882*$E11882)</f>
        <v/>
      </c>
      <c r="G11882" s="107" t="str">
        <f aca="false">IF($C11882="","",$D11882*IFERROR(INDEX('تحليل التكلفة والسعر'!$C$2:$C$700,MATCH($C11882,'تحليل التكلفة والسعر'!$B$2:$B$700,0)),0))</f>
        <v/>
      </c>
    </row>
    <row r="11883" customFormat="false" ht="15" hidden="false" customHeight="false" outlineLevel="0" collapsed="false">
      <c r="A11883" s="103"/>
      <c r="B11883" s="104"/>
      <c r="C11883" s="104"/>
      <c r="E11883" s="107" t="str">
        <f aca="false">IF($C11883="","",IFERROR(INDEX(المنيو!$C$2:$C$500,MATCH($C11883,المنيو!$B$2:$B$500,0)),0))</f>
        <v/>
      </c>
      <c r="F11883" s="107" t="str">
        <f aca="false">IF($C11883="","",$D11883*$E11883)</f>
        <v/>
      </c>
      <c r="G11883" s="107" t="str">
        <f aca="false">IF($C11883="","",$D11883*IFERROR(INDEX('تحليل التكلفة والسعر'!$C$2:$C$700,MATCH($C11883,'تحليل التكلفة والسعر'!$B$2:$B$700,0)),0))</f>
        <v/>
      </c>
    </row>
    <row r="11884" customFormat="false" ht="15" hidden="false" customHeight="false" outlineLevel="0" collapsed="false">
      <c r="A11884" s="103"/>
      <c r="B11884" s="104"/>
      <c r="C11884" s="104"/>
      <c r="E11884" s="107" t="str">
        <f aca="false">IF($C11884="","",IFERROR(INDEX(المنيو!$C$2:$C$500,MATCH($C11884,المنيو!$B$2:$B$500,0)),0))</f>
        <v/>
      </c>
      <c r="F11884" s="107" t="str">
        <f aca="false">IF($C11884="","",$D11884*$E11884)</f>
        <v/>
      </c>
      <c r="G11884" s="107" t="str">
        <f aca="false">IF($C11884="","",$D11884*IFERROR(INDEX('تحليل التكلفة والسعر'!$C$2:$C$700,MATCH($C11884,'تحليل التكلفة والسعر'!$B$2:$B$700,0)),0))</f>
        <v/>
      </c>
    </row>
    <row r="11885" customFormat="false" ht="15" hidden="false" customHeight="false" outlineLevel="0" collapsed="false">
      <c r="A11885" s="103"/>
      <c r="B11885" s="104"/>
      <c r="C11885" s="104"/>
      <c r="E11885" s="107" t="str">
        <f aca="false">IF($C11885="","",IFERROR(INDEX(المنيو!$C$2:$C$500,MATCH($C11885,المنيو!$B$2:$B$500,0)),0))</f>
        <v/>
      </c>
      <c r="F11885" s="107" t="str">
        <f aca="false">IF($C11885="","",$D11885*$E11885)</f>
        <v/>
      </c>
      <c r="G11885" s="107" t="str">
        <f aca="false">IF($C11885="","",$D11885*IFERROR(INDEX('تحليل التكلفة والسعر'!$C$2:$C$700,MATCH($C11885,'تحليل التكلفة والسعر'!$B$2:$B$700,0)),0))</f>
        <v/>
      </c>
    </row>
    <row r="11886" customFormat="false" ht="15" hidden="false" customHeight="false" outlineLevel="0" collapsed="false">
      <c r="A11886" s="103"/>
      <c r="B11886" s="104"/>
      <c r="C11886" s="104"/>
      <c r="E11886" s="107" t="str">
        <f aca="false">IF($C11886="","",IFERROR(INDEX(المنيو!$C$2:$C$500,MATCH($C11886,المنيو!$B$2:$B$500,0)),0))</f>
        <v/>
      </c>
      <c r="F11886" s="107" t="str">
        <f aca="false">IF($C11886="","",$D11886*$E11886)</f>
        <v/>
      </c>
      <c r="G11886" s="107" t="str">
        <f aca="false">IF($C11886="","",$D11886*IFERROR(INDEX('تحليل التكلفة والسعر'!$C$2:$C$700,MATCH($C11886,'تحليل التكلفة والسعر'!$B$2:$B$700,0)),0))</f>
        <v/>
      </c>
    </row>
    <row r="11887" customFormat="false" ht="15" hidden="false" customHeight="false" outlineLevel="0" collapsed="false">
      <c r="A11887" s="103"/>
      <c r="B11887" s="104"/>
      <c r="C11887" s="104"/>
      <c r="E11887" s="107" t="str">
        <f aca="false">IF($C11887="","",IFERROR(INDEX(المنيو!$C$2:$C$500,MATCH($C11887,المنيو!$B$2:$B$500,0)),0))</f>
        <v/>
      </c>
      <c r="F11887" s="107" t="str">
        <f aca="false">IF($C11887="","",$D11887*$E11887)</f>
        <v/>
      </c>
      <c r="G11887" s="107" t="str">
        <f aca="false">IF($C11887="","",$D11887*IFERROR(INDEX('تحليل التكلفة والسعر'!$C$2:$C$700,MATCH($C11887,'تحليل التكلفة والسعر'!$B$2:$B$700,0)),0))</f>
        <v/>
      </c>
    </row>
    <row r="11888" customFormat="false" ht="15" hidden="false" customHeight="false" outlineLevel="0" collapsed="false">
      <c r="A11888" s="103"/>
      <c r="B11888" s="104"/>
      <c r="C11888" s="104"/>
      <c r="E11888" s="107" t="str">
        <f aca="false">IF($C11888="","",IFERROR(INDEX(المنيو!$C$2:$C$500,MATCH($C11888,المنيو!$B$2:$B$500,0)),0))</f>
        <v/>
      </c>
      <c r="F11888" s="107" t="str">
        <f aca="false">IF($C11888="","",$D11888*$E11888)</f>
        <v/>
      </c>
      <c r="G11888" s="107" t="str">
        <f aca="false">IF($C11888="","",$D11888*IFERROR(INDEX('تحليل التكلفة والسعر'!$C$2:$C$700,MATCH($C11888,'تحليل التكلفة والسعر'!$B$2:$B$700,0)),0))</f>
        <v/>
      </c>
    </row>
    <row r="11889" customFormat="false" ht="15" hidden="false" customHeight="false" outlineLevel="0" collapsed="false">
      <c r="A11889" s="103"/>
      <c r="B11889" s="104"/>
      <c r="C11889" s="104"/>
      <c r="E11889" s="107" t="str">
        <f aca="false">IF($C11889="","",IFERROR(INDEX(المنيو!$C$2:$C$500,MATCH($C11889,المنيو!$B$2:$B$500,0)),0))</f>
        <v/>
      </c>
      <c r="F11889" s="107" t="str">
        <f aca="false">IF($C11889="","",$D11889*$E11889)</f>
        <v/>
      </c>
      <c r="G11889" s="107" t="str">
        <f aca="false">IF($C11889="","",$D11889*IFERROR(INDEX('تحليل التكلفة والسعر'!$C$2:$C$700,MATCH($C11889,'تحليل التكلفة والسعر'!$B$2:$B$700,0)),0))</f>
        <v/>
      </c>
    </row>
    <row r="11890" customFormat="false" ht="15" hidden="false" customHeight="false" outlineLevel="0" collapsed="false">
      <c r="A11890" s="103"/>
      <c r="B11890" s="104"/>
      <c r="C11890" s="104"/>
      <c r="E11890" s="107" t="str">
        <f aca="false">IF($C11890="","",IFERROR(INDEX(المنيو!$C$2:$C$500,MATCH($C11890,المنيو!$B$2:$B$500,0)),0))</f>
        <v/>
      </c>
      <c r="F11890" s="107" t="str">
        <f aca="false">IF($C11890="","",$D11890*$E11890)</f>
        <v/>
      </c>
      <c r="G11890" s="107" t="str">
        <f aca="false">IF($C11890="","",$D11890*IFERROR(INDEX('تحليل التكلفة والسعر'!$C$2:$C$700,MATCH($C11890,'تحليل التكلفة والسعر'!$B$2:$B$700,0)),0))</f>
        <v/>
      </c>
    </row>
    <row r="11891" customFormat="false" ht="15" hidden="false" customHeight="false" outlineLevel="0" collapsed="false">
      <c r="A11891" s="103"/>
      <c r="B11891" s="104"/>
      <c r="C11891" s="104"/>
      <c r="E11891" s="107" t="str">
        <f aca="false">IF($C11891="","",IFERROR(INDEX(المنيو!$C$2:$C$500,MATCH($C11891,المنيو!$B$2:$B$500,0)),0))</f>
        <v/>
      </c>
      <c r="F11891" s="107" t="str">
        <f aca="false">IF($C11891="","",$D11891*$E11891)</f>
        <v/>
      </c>
      <c r="G11891" s="107" t="str">
        <f aca="false">IF($C11891="","",$D11891*IFERROR(INDEX('تحليل التكلفة والسعر'!$C$2:$C$700,MATCH($C11891,'تحليل التكلفة والسعر'!$B$2:$B$700,0)),0))</f>
        <v/>
      </c>
    </row>
    <row r="11892" customFormat="false" ht="15" hidden="false" customHeight="false" outlineLevel="0" collapsed="false">
      <c r="A11892" s="103"/>
      <c r="B11892" s="104"/>
      <c r="C11892" s="104"/>
      <c r="E11892" s="107" t="str">
        <f aca="false">IF($C11892="","",IFERROR(INDEX(المنيو!$C$2:$C$500,MATCH($C11892,المنيو!$B$2:$B$500,0)),0))</f>
        <v/>
      </c>
      <c r="F11892" s="107" t="str">
        <f aca="false">IF($C11892="","",$D11892*$E11892)</f>
        <v/>
      </c>
      <c r="G11892" s="107" t="str">
        <f aca="false">IF($C11892="","",$D11892*IFERROR(INDEX('تحليل التكلفة والسعر'!$C$2:$C$700,MATCH($C11892,'تحليل التكلفة والسعر'!$B$2:$B$700,0)),0))</f>
        <v/>
      </c>
    </row>
    <row r="11893" customFormat="false" ht="15" hidden="false" customHeight="false" outlineLevel="0" collapsed="false">
      <c r="A11893" s="103"/>
      <c r="B11893" s="104"/>
      <c r="C11893" s="104"/>
      <c r="E11893" s="107" t="str">
        <f aca="false">IF($C11893="","",IFERROR(INDEX(المنيو!$C$2:$C$500,MATCH($C11893,المنيو!$B$2:$B$500,0)),0))</f>
        <v/>
      </c>
      <c r="F11893" s="107" t="str">
        <f aca="false">IF($C11893="","",$D11893*$E11893)</f>
        <v/>
      </c>
      <c r="G11893" s="107" t="str">
        <f aca="false">IF($C11893="","",$D11893*IFERROR(INDEX('تحليل التكلفة والسعر'!$C$2:$C$700,MATCH($C11893,'تحليل التكلفة والسعر'!$B$2:$B$700,0)),0))</f>
        <v/>
      </c>
    </row>
    <row r="11894" customFormat="false" ht="15" hidden="false" customHeight="false" outlineLevel="0" collapsed="false">
      <c r="A11894" s="103"/>
      <c r="B11894" s="104"/>
      <c r="C11894" s="104"/>
      <c r="E11894" s="107" t="str">
        <f aca="false">IF($C11894="","",IFERROR(INDEX(المنيو!$C$2:$C$500,MATCH($C11894,المنيو!$B$2:$B$500,0)),0))</f>
        <v/>
      </c>
      <c r="F11894" s="107" t="str">
        <f aca="false">IF($C11894="","",$D11894*$E11894)</f>
        <v/>
      </c>
      <c r="G11894" s="107" t="str">
        <f aca="false">IF($C11894="","",$D11894*IFERROR(INDEX('تحليل التكلفة والسعر'!$C$2:$C$700,MATCH($C11894,'تحليل التكلفة والسعر'!$B$2:$B$700,0)),0))</f>
        <v/>
      </c>
    </row>
    <row r="11895" customFormat="false" ht="15" hidden="false" customHeight="false" outlineLevel="0" collapsed="false">
      <c r="A11895" s="103"/>
      <c r="B11895" s="104"/>
      <c r="C11895" s="104"/>
      <c r="E11895" s="107" t="str">
        <f aca="false">IF($C11895="","",IFERROR(INDEX(المنيو!$C$2:$C$500,MATCH($C11895,المنيو!$B$2:$B$500,0)),0))</f>
        <v/>
      </c>
      <c r="F11895" s="107" t="str">
        <f aca="false">IF($C11895="","",$D11895*$E11895)</f>
        <v/>
      </c>
      <c r="G11895" s="107" t="str">
        <f aca="false">IF($C11895="","",$D11895*IFERROR(INDEX('تحليل التكلفة والسعر'!$C$2:$C$700,MATCH($C11895,'تحليل التكلفة والسعر'!$B$2:$B$700,0)),0))</f>
        <v/>
      </c>
    </row>
    <row r="11896" customFormat="false" ht="15" hidden="false" customHeight="false" outlineLevel="0" collapsed="false">
      <c r="A11896" s="103"/>
      <c r="B11896" s="104"/>
      <c r="C11896" s="104"/>
      <c r="E11896" s="107" t="str">
        <f aca="false">IF($C11896="","",IFERROR(INDEX(المنيو!$C$2:$C$500,MATCH($C11896,المنيو!$B$2:$B$500,0)),0))</f>
        <v/>
      </c>
      <c r="F11896" s="107" t="str">
        <f aca="false">IF($C11896="","",$D11896*$E11896)</f>
        <v/>
      </c>
      <c r="G11896" s="107" t="str">
        <f aca="false">IF($C11896="","",$D11896*IFERROR(INDEX('تحليل التكلفة والسعر'!$C$2:$C$700,MATCH($C11896,'تحليل التكلفة والسعر'!$B$2:$B$700,0)),0))</f>
        <v/>
      </c>
    </row>
    <row r="11897" customFormat="false" ht="15" hidden="false" customHeight="false" outlineLevel="0" collapsed="false">
      <c r="A11897" s="103"/>
      <c r="B11897" s="104"/>
      <c r="C11897" s="104"/>
      <c r="E11897" s="107" t="str">
        <f aca="false">IF($C11897="","",IFERROR(INDEX(المنيو!$C$2:$C$500,MATCH($C11897,المنيو!$B$2:$B$500,0)),0))</f>
        <v/>
      </c>
      <c r="F11897" s="107" t="str">
        <f aca="false">IF($C11897="","",$D11897*$E11897)</f>
        <v/>
      </c>
      <c r="G11897" s="107" t="str">
        <f aca="false">IF($C11897="","",$D11897*IFERROR(INDEX('تحليل التكلفة والسعر'!$C$2:$C$700,MATCH($C11897,'تحليل التكلفة والسعر'!$B$2:$B$700,0)),0))</f>
        <v/>
      </c>
    </row>
    <row r="11898" customFormat="false" ht="15" hidden="false" customHeight="false" outlineLevel="0" collapsed="false">
      <c r="A11898" s="103"/>
      <c r="B11898" s="104"/>
      <c r="C11898" s="104"/>
      <c r="E11898" s="107" t="str">
        <f aca="false">IF($C11898="","",IFERROR(INDEX(المنيو!$C$2:$C$500,MATCH($C11898,المنيو!$B$2:$B$500,0)),0))</f>
        <v/>
      </c>
      <c r="F11898" s="107" t="str">
        <f aca="false">IF($C11898="","",$D11898*$E11898)</f>
        <v/>
      </c>
      <c r="G11898" s="107" t="str">
        <f aca="false">IF($C11898="","",$D11898*IFERROR(INDEX('تحليل التكلفة والسعر'!$C$2:$C$700,MATCH($C11898,'تحليل التكلفة والسعر'!$B$2:$B$700,0)),0))</f>
        <v/>
      </c>
    </row>
    <row r="11899" customFormat="false" ht="15" hidden="false" customHeight="false" outlineLevel="0" collapsed="false">
      <c r="A11899" s="103"/>
      <c r="B11899" s="104"/>
      <c r="C11899" s="104"/>
      <c r="E11899" s="107" t="str">
        <f aca="false">IF($C11899="","",IFERROR(INDEX(المنيو!$C$2:$C$500,MATCH($C11899,المنيو!$B$2:$B$500,0)),0))</f>
        <v/>
      </c>
      <c r="F11899" s="107" t="str">
        <f aca="false">IF($C11899="","",$D11899*$E11899)</f>
        <v/>
      </c>
      <c r="G11899" s="107" t="str">
        <f aca="false">IF($C11899="","",$D11899*IFERROR(INDEX('تحليل التكلفة والسعر'!$C$2:$C$700,MATCH($C11899,'تحليل التكلفة والسعر'!$B$2:$B$700,0)),0))</f>
        <v/>
      </c>
    </row>
    <row r="11900" customFormat="false" ht="15" hidden="false" customHeight="false" outlineLevel="0" collapsed="false">
      <c r="A11900" s="103"/>
      <c r="B11900" s="104"/>
      <c r="C11900" s="104"/>
      <c r="E11900" s="107" t="str">
        <f aca="false">IF($C11900="","",IFERROR(INDEX(المنيو!$C$2:$C$500,MATCH($C11900,المنيو!$B$2:$B$500,0)),0))</f>
        <v/>
      </c>
      <c r="F11900" s="107" t="str">
        <f aca="false">IF($C11900="","",$D11900*$E11900)</f>
        <v/>
      </c>
      <c r="G11900" s="107" t="str">
        <f aca="false">IF($C11900="","",$D11900*IFERROR(INDEX('تحليل التكلفة والسعر'!$C$2:$C$700,MATCH($C11900,'تحليل التكلفة والسعر'!$B$2:$B$700,0)),0))</f>
        <v/>
      </c>
    </row>
    <row r="11901" customFormat="false" ht="15" hidden="false" customHeight="false" outlineLevel="0" collapsed="false">
      <c r="A11901" s="103"/>
      <c r="B11901" s="104"/>
      <c r="C11901" s="104"/>
      <c r="E11901" s="107" t="str">
        <f aca="false">IF($C11901="","",IFERROR(INDEX(المنيو!$C$2:$C$500,MATCH($C11901,المنيو!$B$2:$B$500,0)),0))</f>
        <v/>
      </c>
      <c r="F11901" s="107" t="str">
        <f aca="false">IF($C11901="","",$D11901*$E11901)</f>
        <v/>
      </c>
      <c r="G11901" s="107" t="str">
        <f aca="false">IF($C11901="","",$D11901*IFERROR(INDEX('تحليل التكلفة والسعر'!$C$2:$C$700,MATCH($C11901,'تحليل التكلفة والسعر'!$B$2:$B$700,0)),0))</f>
        <v/>
      </c>
    </row>
    <row r="11902" customFormat="false" ht="15" hidden="false" customHeight="false" outlineLevel="0" collapsed="false">
      <c r="A11902" s="103"/>
      <c r="B11902" s="104"/>
      <c r="C11902" s="104"/>
      <c r="E11902" s="107" t="str">
        <f aca="false">IF($C11902="","",IFERROR(INDEX(المنيو!$C$2:$C$500,MATCH($C11902,المنيو!$B$2:$B$500,0)),0))</f>
        <v/>
      </c>
      <c r="F11902" s="107" t="str">
        <f aca="false">IF($C11902="","",$D11902*$E11902)</f>
        <v/>
      </c>
      <c r="G11902" s="107" t="str">
        <f aca="false">IF($C11902="","",$D11902*IFERROR(INDEX('تحليل التكلفة والسعر'!$C$2:$C$700,MATCH($C11902,'تحليل التكلفة والسعر'!$B$2:$B$700,0)),0))</f>
        <v/>
      </c>
    </row>
    <row r="11903" customFormat="false" ht="15" hidden="false" customHeight="false" outlineLevel="0" collapsed="false">
      <c r="A11903" s="103"/>
      <c r="B11903" s="104"/>
      <c r="C11903" s="104"/>
      <c r="E11903" s="107" t="str">
        <f aca="false">IF($C11903="","",IFERROR(INDEX(المنيو!$C$2:$C$500,MATCH($C11903,المنيو!$B$2:$B$500,0)),0))</f>
        <v/>
      </c>
      <c r="F11903" s="107" t="str">
        <f aca="false">IF($C11903="","",$D11903*$E11903)</f>
        <v/>
      </c>
      <c r="G11903" s="107" t="str">
        <f aca="false">IF($C11903="","",$D11903*IFERROR(INDEX('تحليل التكلفة والسعر'!$C$2:$C$700,MATCH($C11903,'تحليل التكلفة والسعر'!$B$2:$B$700,0)),0))</f>
        <v/>
      </c>
    </row>
    <row r="11904" customFormat="false" ht="15" hidden="false" customHeight="false" outlineLevel="0" collapsed="false">
      <c r="A11904" s="103"/>
      <c r="B11904" s="104"/>
      <c r="C11904" s="104"/>
      <c r="E11904" s="107" t="str">
        <f aca="false">IF($C11904="","",IFERROR(INDEX(المنيو!$C$2:$C$500,MATCH($C11904,المنيو!$B$2:$B$500,0)),0))</f>
        <v/>
      </c>
      <c r="F11904" s="107" t="str">
        <f aca="false">IF($C11904="","",$D11904*$E11904)</f>
        <v/>
      </c>
      <c r="G11904" s="107" t="str">
        <f aca="false">IF($C11904="","",$D11904*IFERROR(INDEX('تحليل التكلفة والسعر'!$C$2:$C$700,MATCH($C11904,'تحليل التكلفة والسعر'!$B$2:$B$700,0)),0))</f>
        <v/>
      </c>
    </row>
    <row r="11905" customFormat="false" ht="15" hidden="false" customHeight="false" outlineLevel="0" collapsed="false">
      <c r="A11905" s="103"/>
      <c r="B11905" s="104"/>
      <c r="C11905" s="104"/>
      <c r="E11905" s="107" t="str">
        <f aca="false">IF($C11905="","",IFERROR(INDEX(المنيو!$C$2:$C$500,MATCH($C11905,المنيو!$B$2:$B$500,0)),0))</f>
        <v/>
      </c>
      <c r="F11905" s="107" t="str">
        <f aca="false">IF($C11905="","",$D11905*$E11905)</f>
        <v/>
      </c>
      <c r="G11905" s="107" t="str">
        <f aca="false">IF($C11905="","",$D11905*IFERROR(INDEX('تحليل التكلفة والسعر'!$C$2:$C$700,MATCH($C11905,'تحليل التكلفة والسعر'!$B$2:$B$700,0)),0))</f>
        <v/>
      </c>
    </row>
    <row r="11906" customFormat="false" ht="15" hidden="false" customHeight="false" outlineLevel="0" collapsed="false">
      <c r="A11906" s="103"/>
      <c r="B11906" s="104"/>
      <c r="C11906" s="104"/>
      <c r="E11906" s="107" t="str">
        <f aca="false">IF($C11906="","",IFERROR(INDEX(المنيو!$C$2:$C$500,MATCH($C11906,المنيو!$B$2:$B$500,0)),0))</f>
        <v/>
      </c>
      <c r="F11906" s="107" t="str">
        <f aca="false">IF($C11906="","",$D11906*$E11906)</f>
        <v/>
      </c>
      <c r="G11906" s="107" t="str">
        <f aca="false">IF($C11906="","",$D11906*IFERROR(INDEX('تحليل التكلفة والسعر'!$C$2:$C$700,MATCH($C11906,'تحليل التكلفة والسعر'!$B$2:$B$700,0)),0))</f>
        <v/>
      </c>
    </row>
    <row r="11907" customFormat="false" ht="15" hidden="false" customHeight="false" outlineLevel="0" collapsed="false">
      <c r="A11907" s="103"/>
      <c r="B11907" s="104"/>
      <c r="C11907" s="104"/>
      <c r="E11907" s="107" t="str">
        <f aca="false">IF($C11907="","",IFERROR(INDEX(المنيو!$C$2:$C$500,MATCH($C11907,المنيو!$B$2:$B$500,0)),0))</f>
        <v/>
      </c>
      <c r="F11907" s="107" t="str">
        <f aca="false">IF($C11907="","",$D11907*$E11907)</f>
        <v/>
      </c>
      <c r="G11907" s="107" t="str">
        <f aca="false">IF($C11907="","",$D11907*IFERROR(INDEX('تحليل التكلفة والسعر'!$C$2:$C$700,MATCH($C11907,'تحليل التكلفة والسعر'!$B$2:$B$700,0)),0))</f>
        <v/>
      </c>
    </row>
    <row r="11908" customFormat="false" ht="15" hidden="false" customHeight="false" outlineLevel="0" collapsed="false">
      <c r="A11908" s="103"/>
      <c r="B11908" s="104"/>
      <c r="C11908" s="104"/>
      <c r="E11908" s="107" t="str">
        <f aca="false">IF($C11908="","",IFERROR(INDEX(المنيو!$C$2:$C$500,MATCH($C11908,المنيو!$B$2:$B$500,0)),0))</f>
        <v/>
      </c>
      <c r="F11908" s="107" t="str">
        <f aca="false">IF($C11908="","",$D11908*$E11908)</f>
        <v/>
      </c>
      <c r="G11908" s="107" t="str">
        <f aca="false">IF($C11908="","",$D11908*IFERROR(INDEX('تحليل التكلفة والسعر'!$C$2:$C$700,MATCH($C11908,'تحليل التكلفة والسعر'!$B$2:$B$700,0)),0))</f>
        <v/>
      </c>
    </row>
    <row r="11909" customFormat="false" ht="15" hidden="false" customHeight="false" outlineLevel="0" collapsed="false">
      <c r="A11909" s="103"/>
      <c r="B11909" s="104"/>
      <c r="C11909" s="104"/>
      <c r="E11909" s="107" t="str">
        <f aca="false">IF($C11909="","",IFERROR(INDEX(المنيو!$C$2:$C$500,MATCH($C11909,المنيو!$B$2:$B$500,0)),0))</f>
        <v/>
      </c>
      <c r="F11909" s="107" t="str">
        <f aca="false">IF($C11909="","",$D11909*$E11909)</f>
        <v/>
      </c>
      <c r="G11909" s="107" t="str">
        <f aca="false">IF($C11909="","",$D11909*IFERROR(INDEX('تحليل التكلفة والسعر'!$C$2:$C$700,MATCH($C11909,'تحليل التكلفة والسعر'!$B$2:$B$700,0)),0))</f>
        <v/>
      </c>
    </row>
    <row r="11910" customFormat="false" ht="15" hidden="false" customHeight="false" outlineLevel="0" collapsed="false">
      <c r="A11910" s="103"/>
      <c r="B11910" s="104"/>
      <c r="C11910" s="104"/>
      <c r="E11910" s="107" t="str">
        <f aca="false">IF($C11910="","",IFERROR(INDEX(المنيو!$C$2:$C$500,MATCH($C11910,المنيو!$B$2:$B$500,0)),0))</f>
        <v/>
      </c>
      <c r="F11910" s="107" t="str">
        <f aca="false">IF($C11910="","",$D11910*$E11910)</f>
        <v/>
      </c>
      <c r="G11910" s="107" t="str">
        <f aca="false">IF($C11910="","",$D11910*IFERROR(INDEX('تحليل التكلفة والسعر'!$C$2:$C$700,MATCH($C11910,'تحليل التكلفة والسعر'!$B$2:$B$700,0)),0))</f>
        <v/>
      </c>
    </row>
    <row r="11911" customFormat="false" ht="15" hidden="false" customHeight="false" outlineLevel="0" collapsed="false">
      <c r="A11911" s="103"/>
      <c r="B11911" s="104"/>
      <c r="C11911" s="104"/>
      <c r="E11911" s="107" t="str">
        <f aca="false">IF($C11911="","",IFERROR(INDEX(المنيو!$C$2:$C$500,MATCH($C11911,المنيو!$B$2:$B$500,0)),0))</f>
        <v/>
      </c>
      <c r="F11911" s="107" t="str">
        <f aca="false">IF($C11911="","",$D11911*$E11911)</f>
        <v/>
      </c>
      <c r="G11911" s="107" t="str">
        <f aca="false">IF($C11911="","",$D11911*IFERROR(INDEX('تحليل التكلفة والسعر'!$C$2:$C$700,MATCH($C11911,'تحليل التكلفة والسعر'!$B$2:$B$700,0)),0))</f>
        <v/>
      </c>
    </row>
    <row r="11912" customFormat="false" ht="15" hidden="false" customHeight="false" outlineLevel="0" collapsed="false">
      <c r="A11912" s="103"/>
      <c r="B11912" s="104"/>
      <c r="C11912" s="104"/>
      <c r="E11912" s="107" t="str">
        <f aca="false">IF($C11912="","",IFERROR(INDEX(المنيو!$C$2:$C$500,MATCH($C11912,المنيو!$B$2:$B$500,0)),0))</f>
        <v/>
      </c>
      <c r="F11912" s="107" t="str">
        <f aca="false">IF($C11912="","",$D11912*$E11912)</f>
        <v/>
      </c>
      <c r="G11912" s="107" t="str">
        <f aca="false">IF($C11912="","",$D11912*IFERROR(INDEX('تحليل التكلفة والسعر'!$C$2:$C$700,MATCH($C11912,'تحليل التكلفة والسعر'!$B$2:$B$700,0)),0))</f>
        <v/>
      </c>
    </row>
    <row r="11913" customFormat="false" ht="15" hidden="false" customHeight="false" outlineLevel="0" collapsed="false">
      <c r="A11913" s="103"/>
      <c r="B11913" s="104"/>
      <c r="C11913" s="104"/>
      <c r="E11913" s="107" t="str">
        <f aca="false">IF($C11913="","",IFERROR(INDEX(المنيو!$C$2:$C$500,MATCH($C11913,المنيو!$B$2:$B$500,0)),0))</f>
        <v/>
      </c>
      <c r="F11913" s="107" t="str">
        <f aca="false">IF($C11913="","",$D11913*$E11913)</f>
        <v/>
      </c>
      <c r="G11913" s="107" t="str">
        <f aca="false">IF($C11913="","",$D11913*IFERROR(INDEX('تحليل التكلفة والسعر'!$C$2:$C$700,MATCH($C11913,'تحليل التكلفة والسعر'!$B$2:$B$700,0)),0))</f>
        <v/>
      </c>
    </row>
    <row r="11914" customFormat="false" ht="15" hidden="false" customHeight="false" outlineLevel="0" collapsed="false">
      <c r="A11914" s="103"/>
      <c r="B11914" s="104"/>
      <c r="C11914" s="104"/>
      <c r="E11914" s="107" t="str">
        <f aca="false">IF($C11914="","",IFERROR(INDEX(المنيو!$C$2:$C$500,MATCH($C11914,المنيو!$B$2:$B$500,0)),0))</f>
        <v/>
      </c>
      <c r="F11914" s="107" t="str">
        <f aca="false">IF($C11914="","",$D11914*$E11914)</f>
        <v/>
      </c>
      <c r="G11914" s="107" t="str">
        <f aca="false">IF($C11914="","",$D11914*IFERROR(INDEX('تحليل التكلفة والسعر'!$C$2:$C$700,MATCH($C11914,'تحليل التكلفة والسعر'!$B$2:$B$700,0)),0))</f>
        <v/>
      </c>
    </row>
    <row r="11915" customFormat="false" ht="15" hidden="false" customHeight="false" outlineLevel="0" collapsed="false">
      <c r="A11915" s="103"/>
      <c r="B11915" s="104"/>
      <c r="C11915" s="104"/>
      <c r="E11915" s="107" t="str">
        <f aca="false">IF($C11915="","",IFERROR(INDEX(المنيو!$C$2:$C$500,MATCH($C11915,المنيو!$B$2:$B$500,0)),0))</f>
        <v/>
      </c>
      <c r="F11915" s="107" t="str">
        <f aca="false">IF($C11915="","",$D11915*$E11915)</f>
        <v/>
      </c>
      <c r="G11915" s="107" t="str">
        <f aca="false">IF($C11915="","",$D11915*IFERROR(INDEX('تحليل التكلفة والسعر'!$C$2:$C$700,MATCH($C11915,'تحليل التكلفة والسعر'!$B$2:$B$700,0)),0))</f>
        <v/>
      </c>
    </row>
    <row r="11916" customFormat="false" ht="15" hidden="false" customHeight="false" outlineLevel="0" collapsed="false">
      <c r="A11916" s="103"/>
      <c r="B11916" s="104"/>
      <c r="C11916" s="104"/>
      <c r="E11916" s="107" t="str">
        <f aca="false">IF($C11916="","",IFERROR(INDEX(المنيو!$C$2:$C$500,MATCH($C11916,المنيو!$B$2:$B$500,0)),0))</f>
        <v/>
      </c>
      <c r="F11916" s="107" t="str">
        <f aca="false">IF($C11916="","",$D11916*$E11916)</f>
        <v/>
      </c>
      <c r="G11916" s="107" t="str">
        <f aca="false">IF($C11916="","",$D11916*IFERROR(INDEX('تحليل التكلفة والسعر'!$C$2:$C$700,MATCH($C11916,'تحليل التكلفة والسعر'!$B$2:$B$700,0)),0))</f>
        <v/>
      </c>
    </row>
    <row r="11917" customFormat="false" ht="15" hidden="false" customHeight="false" outlineLevel="0" collapsed="false">
      <c r="A11917" s="103"/>
      <c r="B11917" s="104"/>
      <c r="C11917" s="104"/>
      <c r="E11917" s="107" t="str">
        <f aca="false">IF($C11917="","",IFERROR(INDEX(المنيو!$C$2:$C$500,MATCH($C11917,المنيو!$B$2:$B$500,0)),0))</f>
        <v/>
      </c>
      <c r="F11917" s="107" t="str">
        <f aca="false">IF($C11917="","",$D11917*$E11917)</f>
        <v/>
      </c>
      <c r="G11917" s="107" t="str">
        <f aca="false">IF($C11917="","",$D11917*IFERROR(INDEX('تحليل التكلفة والسعر'!$C$2:$C$700,MATCH($C11917,'تحليل التكلفة والسعر'!$B$2:$B$700,0)),0))</f>
        <v/>
      </c>
    </row>
    <row r="11918" customFormat="false" ht="15" hidden="false" customHeight="false" outlineLevel="0" collapsed="false">
      <c r="A11918" s="103"/>
      <c r="B11918" s="104"/>
      <c r="C11918" s="104"/>
      <c r="E11918" s="107" t="str">
        <f aca="false">IF($C11918="","",IFERROR(INDEX(المنيو!$C$2:$C$500,MATCH($C11918,المنيو!$B$2:$B$500,0)),0))</f>
        <v/>
      </c>
      <c r="F11918" s="107" t="str">
        <f aca="false">IF($C11918="","",$D11918*$E11918)</f>
        <v/>
      </c>
      <c r="G11918" s="107" t="str">
        <f aca="false">IF($C11918="","",$D11918*IFERROR(INDEX('تحليل التكلفة والسعر'!$C$2:$C$700,MATCH($C11918,'تحليل التكلفة والسعر'!$B$2:$B$700,0)),0))</f>
        <v/>
      </c>
    </row>
    <row r="11919" customFormat="false" ht="15" hidden="false" customHeight="false" outlineLevel="0" collapsed="false">
      <c r="A11919" s="103"/>
      <c r="B11919" s="104"/>
      <c r="C11919" s="104"/>
      <c r="E11919" s="107" t="str">
        <f aca="false">IF($C11919="","",IFERROR(INDEX(المنيو!$C$2:$C$500,MATCH($C11919,المنيو!$B$2:$B$500,0)),0))</f>
        <v/>
      </c>
      <c r="F11919" s="107" t="str">
        <f aca="false">IF($C11919="","",$D11919*$E11919)</f>
        <v/>
      </c>
      <c r="G11919" s="107" t="str">
        <f aca="false">IF($C11919="","",$D11919*IFERROR(INDEX('تحليل التكلفة والسعر'!$C$2:$C$700,MATCH($C11919,'تحليل التكلفة والسعر'!$B$2:$B$700,0)),0))</f>
        <v/>
      </c>
    </row>
    <row r="11920" customFormat="false" ht="15" hidden="false" customHeight="false" outlineLevel="0" collapsed="false">
      <c r="A11920" s="103"/>
      <c r="B11920" s="104"/>
      <c r="C11920" s="104"/>
      <c r="E11920" s="107" t="str">
        <f aca="false">IF($C11920="","",IFERROR(INDEX(المنيو!$C$2:$C$500,MATCH($C11920,المنيو!$B$2:$B$500,0)),0))</f>
        <v/>
      </c>
      <c r="F11920" s="107" t="str">
        <f aca="false">IF($C11920="","",$D11920*$E11920)</f>
        <v/>
      </c>
      <c r="G11920" s="107" t="str">
        <f aca="false">IF($C11920="","",$D11920*IFERROR(INDEX('تحليل التكلفة والسعر'!$C$2:$C$700,MATCH($C11920,'تحليل التكلفة والسعر'!$B$2:$B$700,0)),0))</f>
        <v/>
      </c>
    </row>
    <row r="11921" customFormat="false" ht="15" hidden="false" customHeight="false" outlineLevel="0" collapsed="false">
      <c r="A11921" s="103"/>
      <c r="B11921" s="104"/>
      <c r="C11921" s="104"/>
      <c r="E11921" s="107" t="str">
        <f aca="false">IF($C11921="","",IFERROR(INDEX(المنيو!$C$2:$C$500,MATCH($C11921,المنيو!$B$2:$B$500,0)),0))</f>
        <v/>
      </c>
      <c r="F11921" s="107" t="str">
        <f aca="false">IF($C11921="","",$D11921*$E11921)</f>
        <v/>
      </c>
      <c r="G11921" s="107" t="str">
        <f aca="false">IF($C11921="","",$D11921*IFERROR(INDEX('تحليل التكلفة والسعر'!$C$2:$C$700,MATCH($C11921,'تحليل التكلفة والسعر'!$B$2:$B$700,0)),0))</f>
        <v/>
      </c>
    </row>
    <row r="11922" customFormat="false" ht="15" hidden="false" customHeight="false" outlineLevel="0" collapsed="false">
      <c r="A11922" s="103"/>
      <c r="B11922" s="104"/>
      <c r="C11922" s="104"/>
      <c r="E11922" s="107" t="str">
        <f aca="false">IF($C11922="","",IFERROR(INDEX(المنيو!$C$2:$C$500,MATCH($C11922,المنيو!$B$2:$B$500,0)),0))</f>
        <v/>
      </c>
      <c r="F11922" s="107" t="str">
        <f aca="false">IF($C11922="","",$D11922*$E11922)</f>
        <v/>
      </c>
      <c r="G11922" s="107" t="str">
        <f aca="false">IF($C11922="","",$D11922*IFERROR(INDEX('تحليل التكلفة والسعر'!$C$2:$C$700,MATCH($C11922,'تحليل التكلفة والسعر'!$B$2:$B$700,0)),0))</f>
        <v/>
      </c>
    </row>
    <row r="11923" customFormat="false" ht="15" hidden="false" customHeight="false" outlineLevel="0" collapsed="false">
      <c r="A11923" s="103"/>
      <c r="B11923" s="104"/>
      <c r="C11923" s="104"/>
      <c r="E11923" s="107" t="str">
        <f aca="false">IF($C11923="","",IFERROR(INDEX(المنيو!$C$2:$C$500,MATCH($C11923,المنيو!$B$2:$B$500,0)),0))</f>
        <v/>
      </c>
      <c r="F11923" s="107" t="str">
        <f aca="false">IF($C11923="","",$D11923*$E11923)</f>
        <v/>
      </c>
      <c r="G11923" s="107" t="str">
        <f aca="false">IF($C11923="","",$D11923*IFERROR(INDEX('تحليل التكلفة والسعر'!$C$2:$C$700,MATCH($C11923,'تحليل التكلفة والسعر'!$B$2:$B$700,0)),0))</f>
        <v/>
      </c>
    </row>
    <row r="11924" customFormat="false" ht="15" hidden="false" customHeight="false" outlineLevel="0" collapsed="false">
      <c r="A11924" s="103"/>
      <c r="B11924" s="104"/>
      <c r="C11924" s="104"/>
      <c r="E11924" s="107" t="str">
        <f aca="false">IF($C11924="","",IFERROR(INDEX(المنيو!$C$2:$C$500,MATCH($C11924,المنيو!$B$2:$B$500,0)),0))</f>
        <v/>
      </c>
      <c r="F11924" s="107" t="str">
        <f aca="false">IF($C11924="","",$D11924*$E11924)</f>
        <v/>
      </c>
      <c r="G11924" s="107" t="str">
        <f aca="false">IF($C11924="","",$D11924*IFERROR(INDEX('تحليل التكلفة والسعر'!$C$2:$C$700,MATCH($C11924,'تحليل التكلفة والسعر'!$B$2:$B$700,0)),0))</f>
        <v/>
      </c>
    </row>
    <row r="11925" customFormat="false" ht="15" hidden="false" customHeight="false" outlineLevel="0" collapsed="false">
      <c r="A11925" s="103"/>
      <c r="B11925" s="104"/>
      <c r="C11925" s="104"/>
      <c r="E11925" s="107" t="str">
        <f aca="false">IF($C11925="","",IFERROR(INDEX(المنيو!$C$2:$C$500,MATCH($C11925,المنيو!$B$2:$B$500,0)),0))</f>
        <v/>
      </c>
      <c r="F11925" s="107" t="str">
        <f aca="false">IF($C11925="","",$D11925*$E11925)</f>
        <v/>
      </c>
      <c r="G11925" s="107" t="str">
        <f aca="false">IF($C11925="","",$D11925*IFERROR(INDEX('تحليل التكلفة والسعر'!$C$2:$C$700,MATCH($C11925,'تحليل التكلفة والسعر'!$B$2:$B$700,0)),0))</f>
        <v/>
      </c>
    </row>
    <row r="11926" customFormat="false" ht="15" hidden="false" customHeight="false" outlineLevel="0" collapsed="false">
      <c r="A11926" s="103"/>
      <c r="B11926" s="104"/>
      <c r="C11926" s="104"/>
      <c r="E11926" s="107" t="str">
        <f aca="false">IF($C11926="","",IFERROR(INDEX(المنيو!$C$2:$C$500,MATCH($C11926,المنيو!$B$2:$B$500,0)),0))</f>
        <v/>
      </c>
      <c r="F11926" s="107" t="str">
        <f aca="false">IF($C11926="","",$D11926*$E11926)</f>
        <v/>
      </c>
      <c r="G11926" s="107" t="str">
        <f aca="false">IF($C11926="","",$D11926*IFERROR(INDEX('تحليل التكلفة والسعر'!$C$2:$C$700,MATCH($C11926,'تحليل التكلفة والسعر'!$B$2:$B$700,0)),0))</f>
        <v/>
      </c>
    </row>
    <row r="11927" customFormat="false" ht="15" hidden="false" customHeight="false" outlineLevel="0" collapsed="false">
      <c r="A11927" s="103"/>
      <c r="B11927" s="104"/>
      <c r="C11927" s="104"/>
      <c r="E11927" s="107" t="str">
        <f aca="false">IF($C11927="","",IFERROR(INDEX(المنيو!$C$2:$C$500,MATCH($C11927,المنيو!$B$2:$B$500,0)),0))</f>
        <v/>
      </c>
      <c r="F11927" s="107" t="str">
        <f aca="false">IF($C11927="","",$D11927*$E11927)</f>
        <v/>
      </c>
      <c r="G11927" s="107" t="str">
        <f aca="false">IF($C11927="","",$D11927*IFERROR(INDEX('تحليل التكلفة والسعر'!$C$2:$C$700,MATCH($C11927,'تحليل التكلفة والسعر'!$B$2:$B$700,0)),0))</f>
        <v/>
      </c>
    </row>
    <row r="11928" customFormat="false" ht="15" hidden="false" customHeight="false" outlineLevel="0" collapsed="false">
      <c r="A11928" s="103"/>
      <c r="B11928" s="104"/>
      <c r="C11928" s="104"/>
      <c r="E11928" s="107" t="str">
        <f aca="false">IF($C11928="","",IFERROR(INDEX(المنيو!$C$2:$C$500,MATCH($C11928,المنيو!$B$2:$B$500,0)),0))</f>
        <v/>
      </c>
      <c r="F11928" s="107" t="str">
        <f aca="false">IF($C11928="","",$D11928*$E11928)</f>
        <v/>
      </c>
      <c r="G11928" s="107" t="str">
        <f aca="false">IF($C11928="","",$D11928*IFERROR(INDEX('تحليل التكلفة والسعر'!$C$2:$C$700,MATCH($C11928,'تحليل التكلفة والسعر'!$B$2:$B$700,0)),0))</f>
        <v/>
      </c>
    </row>
    <row r="11929" customFormat="false" ht="15" hidden="false" customHeight="false" outlineLevel="0" collapsed="false">
      <c r="A11929" s="103"/>
      <c r="B11929" s="104"/>
      <c r="C11929" s="104"/>
      <c r="E11929" s="107" t="str">
        <f aca="false">IF($C11929="","",IFERROR(INDEX(المنيو!$C$2:$C$500,MATCH($C11929,المنيو!$B$2:$B$500,0)),0))</f>
        <v/>
      </c>
      <c r="F11929" s="107" t="str">
        <f aca="false">IF($C11929="","",$D11929*$E11929)</f>
        <v/>
      </c>
      <c r="G11929" s="107" t="str">
        <f aca="false">IF($C11929="","",$D11929*IFERROR(INDEX('تحليل التكلفة والسعر'!$C$2:$C$700,MATCH($C11929,'تحليل التكلفة والسعر'!$B$2:$B$700,0)),0))</f>
        <v/>
      </c>
    </row>
    <row r="11930" customFormat="false" ht="15" hidden="false" customHeight="false" outlineLevel="0" collapsed="false">
      <c r="A11930" s="103"/>
      <c r="B11930" s="104"/>
      <c r="C11930" s="104"/>
      <c r="E11930" s="107" t="str">
        <f aca="false">IF($C11930="","",IFERROR(INDEX(المنيو!$C$2:$C$500,MATCH($C11930,المنيو!$B$2:$B$500,0)),0))</f>
        <v/>
      </c>
      <c r="F11930" s="107" t="str">
        <f aca="false">IF($C11930="","",$D11930*$E11930)</f>
        <v/>
      </c>
      <c r="G11930" s="107" t="str">
        <f aca="false">IF($C11930="","",$D11930*IFERROR(INDEX('تحليل التكلفة والسعر'!$C$2:$C$700,MATCH($C11930,'تحليل التكلفة والسعر'!$B$2:$B$700,0)),0))</f>
        <v/>
      </c>
    </row>
    <row r="11931" customFormat="false" ht="15" hidden="false" customHeight="false" outlineLevel="0" collapsed="false">
      <c r="A11931" s="103"/>
      <c r="B11931" s="104"/>
      <c r="C11931" s="104"/>
      <c r="E11931" s="107" t="str">
        <f aca="false">IF($C11931="","",IFERROR(INDEX(المنيو!$C$2:$C$500,MATCH($C11931,المنيو!$B$2:$B$500,0)),0))</f>
        <v/>
      </c>
      <c r="F11931" s="107" t="str">
        <f aca="false">IF($C11931="","",$D11931*$E11931)</f>
        <v/>
      </c>
      <c r="G11931" s="107" t="str">
        <f aca="false">IF($C11931="","",$D11931*IFERROR(INDEX('تحليل التكلفة والسعر'!$C$2:$C$700,MATCH($C11931,'تحليل التكلفة والسعر'!$B$2:$B$700,0)),0))</f>
        <v/>
      </c>
    </row>
    <row r="11932" customFormat="false" ht="15" hidden="false" customHeight="false" outlineLevel="0" collapsed="false">
      <c r="A11932" s="103"/>
      <c r="B11932" s="104"/>
      <c r="C11932" s="104"/>
      <c r="E11932" s="107" t="str">
        <f aca="false">IF($C11932="","",IFERROR(INDEX(المنيو!$C$2:$C$500,MATCH($C11932,المنيو!$B$2:$B$500,0)),0))</f>
        <v/>
      </c>
      <c r="F11932" s="107" t="str">
        <f aca="false">IF($C11932="","",$D11932*$E11932)</f>
        <v/>
      </c>
      <c r="G11932" s="107" t="str">
        <f aca="false">IF($C11932="","",$D11932*IFERROR(INDEX('تحليل التكلفة والسعر'!$C$2:$C$700,MATCH($C11932,'تحليل التكلفة والسعر'!$B$2:$B$700,0)),0))</f>
        <v/>
      </c>
    </row>
    <row r="11933" customFormat="false" ht="15" hidden="false" customHeight="false" outlineLevel="0" collapsed="false">
      <c r="A11933" s="103"/>
      <c r="B11933" s="104"/>
      <c r="C11933" s="104"/>
      <c r="E11933" s="107" t="str">
        <f aca="false">IF($C11933="","",IFERROR(INDEX(المنيو!$C$2:$C$500,MATCH($C11933,المنيو!$B$2:$B$500,0)),0))</f>
        <v/>
      </c>
      <c r="F11933" s="107" t="str">
        <f aca="false">IF($C11933="","",$D11933*$E11933)</f>
        <v/>
      </c>
      <c r="G11933" s="107" t="str">
        <f aca="false">IF($C11933="","",$D11933*IFERROR(INDEX('تحليل التكلفة والسعر'!$C$2:$C$700,MATCH($C11933,'تحليل التكلفة والسعر'!$B$2:$B$700,0)),0))</f>
        <v/>
      </c>
    </row>
    <row r="11934" customFormat="false" ht="15" hidden="false" customHeight="false" outlineLevel="0" collapsed="false">
      <c r="A11934" s="103"/>
      <c r="B11934" s="104"/>
      <c r="C11934" s="104"/>
      <c r="E11934" s="107" t="str">
        <f aca="false">IF($C11934="","",IFERROR(INDEX(المنيو!$C$2:$C$500,MATCH($C11934,المنيو!$B$2:$B$500,0)),0))</f>
        <v/>
      </c>
      <c r="F11934" s="107" t="str">
        <f aca="false">IF($C11934="","",$D11934*$E11934)</f>
        <v/>
      </c>
      <c r="G11934" s="107" t="str">
        <f aca="false">IF($C11934="","",$D11934*IFERROR(INDEX('تحليل التكلفة والسعر'!$C$2:$C$700,MATCH($C11934,'تحليل التكلفة والسعر'!$B$2:$B$700,0)),0))</f>
        <v/>
      </c>
    </row>
    <row r="11935" customFormat="false" ht="15" hidden="false" customHeight="false" outlineLevel="0" collapsed="false">
      <c r="A11935" s="103"/>
      <c r="B11935" s="104"/>
      <c r="C11935" s="104"/>
      <c r="E11935" s="107" t="str">
        <f aca="false">IF($C11935="","",IFERROR(INDEX(المنيو!$C$2:$C$500,MATCH($C11935,المنيو!$B$2:$B$500,0)),0))</f>
        <v/>
      </c>
      <c r="F11935" s="107" t="str">
        <f aca="false">IF($C11935="","",$D11935*$E11935)</f>
        <v/>
      </c>
      <c r="G11935" s="107" t="str">
        <f aca="false">IF($C11935="","",$D11935*IFERROR(INDEX('تحليل التكلفة والسعر'!$C$2:$C$700,MATCH($C11935,'تحليل التكلفة والسعر'!$B$2:$B$700,0)),0))</f>
        <v/>
      </c>
    </row>
    <row r="11936" customFormat="false" ht="15" hidden="false" customHeight="false" outlineLevel="0" collapsed="false">
      <c r="A11936" s="103"/>
      <c r="B11936" s="104"/>
      <c r="C11936" s="104"/>
      <c r="E11936" s="107" t="str">
        <f aca="false">IF($C11936="","",IFERROR(INDEX(المنيو!$C$2:$C$500,MATCH($C11936,المنيو!$B$2:$B$500,0)),0))</f>
        <v/>
      </c>
      <c r="F11936" s="107" t="str">
        <f aca="false">IF($C11936="","",$D11936*$E11936)</f>
        <v/>
      </c>
      <c r="G11936" s="107" t="str">
        <f aca="false">IF($C11936="","",$D11936*IFERROR(INDEX('تحليل التكلفة والسعر'!$C$2:$C$700,MATCH($C11936,'تحليل التكلفة والسعر'!$B$2:$B$700,0)),0))</f>
        <v/>
      </c>
    </row>
    <row r="11937" customFormat="false" ht="15" hidden="false" customHeight="false" outlineLevel="0" collapsed="false">
      <c r="A11937" s="103"/>
      <c r="B11937" s="104"/>
      <c r="C11937" s="104"/>
      <c r="E11937" s="107" t="str">
        <f aca="false">IF($C11937="","",IFERROR(INDEX(المنيو!$C$2:$C$500,MATCH($C11937,المنيو!$B$2:$B$500,0)),0))</f>
        <v/>
      </c>
      <c r="F11937" s="107" t="str">
        <f aca="false">IF($C11937="","",$D11937*$E11937)</f>
        <v/>
      </c>
      <c r="G11937" s="107" t="str">
        <f aca="false">IF($C11937="","",$D11937*IFERROR(INDEX('تحليل التكلفة والسعر'!$C$2:$C$700,MATCH($C11937,'تحليل التكلفة والسعر'!$B$2:$B$700,0)),0))</f>
        <v/>
      </c>
    </row>
    <row r="11938" customFormat="false" ht="15" hidden="false" customHeight="false" outlineLevel="0" collapsed="false">
      <c r="A11938" s="103"/>
      <c r="B11938" s="104"/>
      <c r="C11938" s="104"/>
      <c r="E11938" s="107" t="str">
        <f aca="false">IF($C11938="","",IFERROR(INDEX(المنيو!$C$2:$C$500,MATCH($C11938,المنيو!$B$2:$B$500,0)),0))</f>
        <v/>
      </c>
      <c r="F11938" s="107" t="str">
        <f aca="false">IF($C11938="","",$D11938*$E11938)</f>
        <v/>
      </c>
      <c r="G11938" s="107" t="str">
        <f aca="false">IF($C11938="","",$D11938*IFERROR(INDEX('تحليل التكلفة والسعر'!$C$2:$C$700,MATCH($C11938,'تحليل التكلفة والسعر'!$B$2:$B$700,0)),0))</f>
        <v/>
      </c>
    </row>
    <row r="11939" customFormat="false" ht="15" hidden="false" customHeight="false" outlineLevel="0" collapsed="false">
      <c r="A11939" s="103"/>
      <c r="B11939" s="104"/>
      <c r="C11939" s="104"/>
      <c r="E11939" s="107" t="str">
        <f aca="false">IF($C11939="","",IFERROR(INDEX(المنيو!$C$2:$C$500,MATCH($C11939,المنيو!$B$2:$B$500,0)),0))</f>
        <v/>
      </c>
      <c r="F11939" s="107" t="str">
        <f aca="false">IF($C11939="","",$D11939*$E11939)</f>
        <v/>
      </c>
      <c r="G11939" s="107" t="str">
        <f aca="false">IF($C11939="","",$D11939*IFERROR(INDEX('تحليل التكلفة والسعر'!$C$2:$C$700,MATCH($C11939,'تحليل التكلفة والسعر'!$B$2:$B$700,0)),0))</f>
        <v/>
      </c>
    </row>
    <row r="11940" customFormat="false" ht="15" hidden="false" customHeight="false" outlineLevel="0" collapsed="false">
      <c r="A11940" s="103"/>
      <c r="B11940" s="104"/>
      <c r="C11940" s="104"/>
      <c r="E11940" s="107" t="str">
        <f aca="false">IF($C11940="","",IFERROR(INDEX(المنيو!$C$2:$C$500,MATCH($C11940,المنيو!$B$2:$B$500,0)),0))</f>
        <v/>
      </c>
      <c r="F11940" s="107" t="str">
        <f aca="false">IF($C11940="","",$D11940*$E11940)</f>
        <v/>
      </c>
      <c r="G11940" s="107" t="str">
        <f aca="false">IF($C11940="","",$D11940*IFERROR(INDEX('تحليل التكلفة والسعر'!$C$2:$C$700,MATCH($C11940,'تحليل التكلفة والسعر'!$B$2:$B$700,0)),0))</f>
        <v/>
      </c>
    </row>
    <row r="11941" customFormat="false" ht="15" hidden="false" customHeight="false" outlineLevel="0" collapsed="false">
      <c r="A11941" s="103"/>
      <c r="B11941" s="104"/>
      <c r="C11941" s="104"/>
      <c r="E11941" s="107" t="str">
        <f aca="false">IF($C11941="","",IFERROR(INDEX(المنيو!$C$2:$C$500,MATCH($C11941,المنيو!$B$2:$B$500,0)),0))</f>
        <v/>
      </c>
      <c r="F11941" s="107" t="str">
        <f aca="false">IF($C11941="","",$D11941*$E11941)</f>
        <v/>
      </c>
      <c r="G11941" s="107" t="str">
        <f aca="false">IF($C11941="","",$D11941*IFERROR(INDEX('تحليل التكلفة والسعر'!$C$2:$C$700,MATCH($C11941,'تحليل التكلفة والسعر'!$B$2:$B$700,0)),0))</f>
        <v/>
      </c>
    </row>
    <row r="11942" customFormat="false" ht="15" hidden="false" customHeight="false" outlineLevel="0" collapsed="false">
      <c r="A11942" s="103"/>
      <c r="B11942" s="104"/>
      <c r="C11942" s="104"/>
      <c r="E11942" s="107" t="str">
        <f aca="false">IF($C11942="","",IFERROR(INDEX(المنيو!$C$2:$C$500,MATCH($C11942,المنيو!$B$2:$B$500,0)),0))</f>
        <v/>
      </c>
      <c r="F11942" s="107" t="str">
        <f aca="false">IF($C11942="","",$D11942*$E11942)</f>
        <v/>
      </c>
      <c r="G11942" s="107" t="str">
        <f aca="false">IF($C11942="","",$D11942*IFERROR(INDEX('تحليل التكلفة والسعر'!$C$2:$C$700,MATCH($C11942,'تحليل التكلفة والسعر'!$B$2:$B$700,0)),0))</f>
        <v/>
      </c>
    </row>
    <row r="11943" customFormat="false" ht="15" hidden="false" customHeight="false" outlineLevel="0" collapsed="false">
      <c r="A11943" s="103"/>
      <c r="B11943" s="104"/>
      <c r="C11943" s="104"/>
      <c r="E11943" s="107" t="str">
        <f aca="false">IF($C11943="","",IFERROR(INDEX(المنيو!$C$2:$C$500,MATCH($C11943,المنيو!$B$2:$B$500,0)),0))</f>
        <v/>
      </c>
      <c r="F11943" s="107" t="str">
        <f aca="false">IF($C11943="","",$D11943*$E11943)</f>
        <v/>
      </c>
      <c r="G11943" s="107" t="str">
        <f aca="false">IF($C11943="","",$D11943*IFERROR(INDEX('تحليل التكلفة والسعر'!$C$2:$C$700,MATCH($C11943,'تحليل التكلفة والسعر'!$B$2:$B$700,0)),0))</f>
        <v/>
      </c>
    </row>
    <row r="11944" customFormat="false" ht="15" hidden="false" customHeight="false" outlineLevel="0" collapsed="false">
      <c r="A11944" s="103"/>
      <c r="B11944" s="104"/>
      <c r="C11944" s="104"/>
      <c r="E11944" s="107" t="str">
        <f aca="false">IF($C11944="","",IFERROR(INDEX(المنيو!$C$2:$C$500,MATCH($C11944,المنيو!$B$2:$B$500,0)),0))</f>
        <v/>
      </c>
      <c r="F11944" s="107" t="str">
        <f aca="false">IF($C11944="","",$D11944*$E11944)</f>
        <v/>
      </c>
      <c r="G11944" s="107" t="str">
        <f aca="false">IF($C11944="","",$D11944*IFERROR(INDEX('تحليل التكلفة والسعر'!$C$2:$C$700,MATCH($C11944,'تحليل التكلفة والسعر'!$B$2:$B$700,0)),0))</f>
        <v/>
      </c>
    </row>
    <row r="11945" customFormat="false" ht="15" hidden="false" customHeight="false" outlineLevel="0" collapsed="false">
      <c r="A11945" s="103"/>
      <c r="B11945" s="104"/>
      <c r="C11945" s="104"/>
      <c r="E11945" s="107" t="str">
        <f aca="false">IF($C11945="","",IFERROR(INDEX(المنيو!$C$2:$C$500,MATCH($C11945,المنيو!$B$2:$B$500,0)),0))</f>
        <v/>
      </c>
      <c r="F11945" s="107" t="str">
        <f aca="false">IF($C11945="","",$D11945*$E11945)</f>
        <v/>
      </c>
      <c r="G11945" s="107" t="str">
        <f aca="false">IF($C11945="","",$D11945*IFERROR(INDEX('تحليل التكلفة والسعر'!$C$2:$C$700,MATCH($C11945,'تحليل التكلفة والسعر'!$B$2:$B$700,0)),0))</f>
        <v/>
      </c>
    </row>
    <row r="11946" customFormat="false" ht="15" hidden="false" customHeight="false" outlineLevel="0" collapsed="false">
      <c r="A11946" s="103"/>
      <c r="B11946" s="104"/>
      <c r="C11946" s="104"/>
      <c r="E11946" s="107" t="str">
        <f aca="false">IF($C11946="","",IFERROR(INDEX(المنيو!$C$2:$C$500,MATCH($C11946,المنيو!$B$2:$B$500,0)),0))</f>
        <v/>
      </c>
      <c r="F11946" s="107" t="str">
        <f aca="false">IF($C11946="","",$D11946*$E11946)</f>
        <v/>
      </c>
      <c r="G11946" s="107" t="str">
        <f aca="false">IF($C11946="","",$D11946*IFERROR(INDEX('تحليل التكلفة والسعر'!$C$2:$C$700,MATCH($C11946,'تحليل التكلفة والسعر'!$B$2:$B$700,0)),0))</f>
        <v/>
      </c>
    </row>
    <row r="11947" customFormat="false" ht="15" hidden="false" customHeight="false" outlineLevel="0" collapsed="false">
      <c r="A11947" s="103"/>
      <c r="B11947" s="104"/>
      <c r="C11947" s="104"/>
      <c r="E11947" s="107" t="str">
        <f aca="false">IF($C11947="","",IFERROR(INDEX(المنيو!$C$2:$C$500,MATCH($C11947,المنيو!$B$2:$B$500,0)),0))</f>
        <v/>
      </c>
      <c r="F11947" s="107" t="str">
        <f aca="false">IF($C11947="","",$D11947*$E11947)</f>
        <v/>
      </c>
      <c r="G11947" s="107" t="str">
        <f aca="false">IF($C11947="","",$D11947*IFERROR(INDEX('تحليل التكلفة والسعر'!$C$2:$C$700,MATCH($C11947,'تحليل التكلفة والسعر'!$B$2:$B$700,0)),0))</f>
        <v/>
      </c>
    </row>
    <row r="11948" customFormat="false" ht="15" hidden="false" customHeight="false" outlineLevel="0" collapsed="false">
      <c r="A11948" s="103"/>
      <c r="B11948" s="104"/>
      <c r="C11948" s="104"/>
      <c r="E11948" s="107" t="str">
        <f aca="false">IF($C11948="","",IFERROR(INDEX(المنيو!$C$2:$C$500,MATCH($C11948,المنيو!$B$2:$B$500,0)),0))</f>
        <v/>
      </c>
      <c r="F11948" s="107" t="str">
        <f aca="false">IF($C11948="","",$D11948*$E11948)</f>
        <v/>
      </c>
      <c r="G11948" s="107" t="str">
        <f aca="false">IF($C11948="","",$D11948*IFERROR(INDEX('تحليل التكلفة والسعر'!$C$2:$C$700,MATCH($C11948,'تحليل التكلفة والسعر'!$B$2:$B$700,0)),0))</f>
        <v/>
      </c>
    </row>
    <row r="11949" customFormat="false" ht="15" hidden="false" customHeight="false" outlineLevel="0" collapsed="false">
      <c r="A11949" s="103"/>
      <c r="B11949" s="104"/>
      <c r="C11949" s="104"/>
      <c r="E11949" s="107" t="str">
        <f aca="false">IF($C11949="","",IFERROR(INDEX(المنيو!$C$2:$C$500,MATCH($C11949,المنيو!$B$2:$B$500,0)),0))</f>
        <v/>
      </c>
      <c r="F11949" s="107" t="str">
        <f aca="false">IF($C11949="","",$D11949*$E11949)</f>
        <v/>
      </c>
      <c r="G11949" s="107" t="str">
        <f aca="false">IF($C11949="","",$D11949*IFERROR(INDEX('تحليل التكلفة والسعر'!$C$2:$C$700,MATCH($C11949,'تحليل التكلفة والسعر'!$B$2:$B$700,0)),0))</f>
        <v/>
      </c>
    </row>
    <row r="11950" customFormat="false" ht="15" hidden="false" customHeight="false" outlineLevel="0" collapsed="false">
      <c r="A11950" s="103"/>
      <c r="B11950" s="104"/>
      <c r="C11950" s="104"/>
      <c r="E11950" s="107" t="str">
        <f aca="false">IF($C11950="","",IFERROR(INDEX(المنيو!$C$2:$C$500,MATCH($C11950,المنيو!$B$2:$B$500,0)),0))</f>
        <v/>
      </c>
      <c r="F11950" s="107" t="str">
        <f aca="false">IF($C11950="","",$D11950*$E11950)</f>
        <v/>
      </c>
      <c r="G11950" s="107" t="str">
        <f aca="false">IF($C11950="","",$D11950*IFERROR(INDEX('تحليل التكلفة والسعر'!$C$2:$C$700,MATCH($C11950,'تحليل التكلفة والسعر'!$B$2:$B$700,0)),0))</f>
        <v/>
      </c>
    </row>
    <row r="11951" customFormat="false" ht="15" hidden="false" customHeight="false" outlineLevel="0" collapsed="false">
      <c r="A11951" s="103"/>
      <c r="B11951" s="104"/>
      <c r="C11951" s="104"/>
      <c r="E11951" s="107" t="str">
        <f aca="false">IF($C11951="","",IFERROR(INDEX(المنيو!$C$2:$C$500,MATCH($C11951,المنيو!$B$2:$B$500,0)),0))</f>
        <v/>
      </c>
      <c r="F11951" s="107" t="str">
        <f aca="false">IF($C11951="","",$D11951*$E11951)</f>
        <v/>
      </c>
      <c r="G11951" s="107" t="str">
        <f aca="false">IF($C11951="","",$D11951*IFERROR(INDEX('تحليل التكلفة والسعر'!$C$2:$C$700,MATCH($C11951,'تحليل التكلفة والسعر'!$B$2:$B$700,0)),0))</f>
        <v/>
      </c>
    </row>
    <row r="11952" customFormat="false" ht="15" hidden="false" customHeight="false" outlineLevel="0" collapsed="false">
      <c r="A11952" s="103"/>
      <c r="B11952" s="104"/>
      <c r="C11952" s="104"/>
      <c r="E11952" s="107" t="str">
        <f aca="false">IF($C11952="","",IFERROR(INDEX(المنيو!$C$2:$C$500,MATCH($C11952,المنيو!$B$2:$B$500,0)),0))</f>
        <v/>
      </c>
      <c r="F11952" s="107" t="str">
        <f aca="false">IF($C11952="","",$D11952*$E11952)</f>
        <v/>
      </c>
      <c r="G11952" s="107" t="str">
        <f aca="false">IF($C11952="","",$D11952*IFERROR(INDEX('تحليل التكلفة والسعر'!$C$2:$C$700,MATCH($C11952,'تحليل التكلفة والسعر'!$B$2:$B$700,0)),0))</f>
        <v/>
      </c>
    </row>
    <row r="11953" customFormat="false" ht="15" hidden="false" customHeight="false" outlineLevel="0" collapsed="false">
      <c r="A11953" s="103"/>
      <c r="B11953" s="104"/>
      <c r="C11953" s="104"/>
      <c r="E11953" s="107" t="str">
        <f aca="false">IF($C11953="","",IFERROR(INDEX(المنيو!$C$2:$C$500,MATCH($C11953,المنيو!$B$2:$B$500,0)),0))</f>
        <v/>
      </c>
      <c r="F11953" s="107" t="str">
        <f aca="false">IF($C11953="","",$D11953*$E11953)</f>
        <v/>
      </c>
      <c r="G11953" s="107" t="str">
        <f aca="false">IF($C11953="","",$D11953*IFERROR(INDEX('تحليل التكلفة والسعر'!$C$2:$C$700,MATCH($C11953,'تحليل التكلفة والسعر'!$B$2:$B$700,0)),0))</f>
        <v/>
      </c>
    </row>
    <row r="11954" customFormat="false" ht="15" hidden="false" customHeight="false" outlineLevel="0" collapsed="false">
      <c r="A11954" s="103"/>
      <c r="B11954" s="104"/>
      <c r="C11954" s="104"/>
      <c r="E11954" s="107" t="str">
        <f aca="false">IF($C11954="","",IFERROR(INDEX(المنيو!$C$2:$C$500,MATCH($C11954,المنيو!$B$2:$B$500,0)),0))</f>
        <v/>
      </c>
      <c r="F11954" s="107" t="str">
        <f aca="false">IF($C11954="","",$D11954*$E11954)</f>
        <v/>
      </c>
      <c r="G11954" s="107" t="str">
        <f aca="false">IF($C11954="","",$D11954*IFERROR(INDEX('تحليل التكلفة والسعر'!$C$2:$C$700,MATCH($C11954,'تحليل التكلفة والسعر'!$B$2:$B$700,0)),0))</f>
        <v/>
      </c>
    </row>
    <row r="11955" customFormat="false" ht="15" hidden="false" customHeight="false" outlineLevel="0" collapsed="false">
      <c r="A11955" s="103"/>
      <c r="B11955" s="104"/>
      <c r="C11955" s="104"/>
      <c r="E11955" s="107" t="str">
        <f aca="false">IF($C11955="","",IFERROR(INDEX(المنيو!$C$2:$C$500,MATCH($C11955,المنيو!$B$2:$B$500,0)),0))</f>
        <v/>
      </c>
      <c r="F11955" s="107" t="str">
        <f aca="false">IF($C11955="","",$D11955*$E11955)</f>
        <v/>
      </c>
      <c r="G11955" s="107" t="str">
        <f aca="false">IF($C11955="","",$D11955*IFERROR(INDEX('تحليل التكلفة والسعر'!$C$2:$C$700,MATCH($C11955,'تحليل التكلفة والسعر'!$B$2:$B$700,0)),0))</f>
        <v/>
      </c>
    </row>
    <row r="11956" customFormat="false" ht="15" hidden="false" customHeight="false" outlineLevel="0" collapsed="false">
      <c r="A11956" s="103"/>
      <c r="B11956" s="104"/>
      <c r="C11956" s="104"/>
      <c r="E11956" s="107" t="str">
        <f aca="false">IF($C11956="","",IFERROR(INDEX(المنيو!$C$2:$C$500,MATCH($C11956,المنيو!$B$2:$B$500,0)),0))</f>
        <v/>
      </c>
      <c r="F11956" s="107" t="str">
        <f aca="false">IF($C11956="","",$D11956*$E11956)</f>
        <v/>
      </c>
      <c r="G11956" s="107" t="str">
        <f aca="false">IF($C11956="","",$D11956*IFERROR(INDEX('تحليل التكلفة والسعر'!$C$2:$C$700,MATCH($C11956,'تحليل التكلفة والسعر'!$B$2:$B$700,0)),0))</f>
        <v/>
      </c>
    </row>
    <row r="11957" customFormat="false" ht="15" hidden="false" customHeight="false" outlineLevel="0" collapsed="false">
      <c r="A11957" s="103"/>
      <c r="B11957" s="104"/>
      <c r="C11957" s="104"/>
      <c r="E11957" s="107" t="str">
        <f aca="false">IF($C11957="","",IFERROR(INDEX(المنيو!$C$2:$C$500,MATCH($C11957,المنيو!$B$2:$B$500,0)),0))</f>
        <v/>
      </c>
      <c r="F11957" s="107" t="str">
        <f aca="false">IF($C11957="","",$D11957*$E11957)</f>
        <v/>
      </c>
      <c r="G11957" s="107" t="str">
        <f aca="false">IF($C11957="","",$D11957*IFERROR(INDEX('تحليل التكلفة والسعر'!$C$2:$C$700,MATCH($C11957,'تحليل التكلفة والسعر'!$B$2:$B$700,0)),0))</f>
        <v/>
      </c>
    </row>
    <row r="11958" customFormat="false" ht="15" hidden="false" customHeight="false" outlineLevel="0" collapsed="false">
      <c r="A11958" s="103"/>
      <c r="B11958" s="104"/>
      <c r="C11958" s="104"/>
      <c r="E11958" s="107" t="str">
        <f aca="false">IF($C11958="","",IFERROR(INDEX(المنيو!$C$2:$C$500,MATCH($C11958,المنيو!$B$2:$B$500,0)),0))</f>
        <v/>
      </c>
      <c r="F11958" s="107" t="str">
        <f aca="false">IF($C11958="","",$D11958*$E11958)</f>
        <v/>
      </c>
      <c r="G11958" s="107" t="str">
        <f aca="false">IF($C11958="","",$D11958*IFERROR(INDEX('تحليل التكلفة والسعر'!$C$2:$C$700,MATCH($C11958,'تحليل التكلفة والسعر'!$B$2:$B$700,0)),0))</f>
        <v/>
      </c>
    </row>
    <row r="11959" customFormat="false" ht="15" hidden="false" customHeight="false" outlineLevel="0" collapsed="false">
      <c r="A11959" s="103"/>
      <c r="B11959" s="104"/>
      <c r="C11959" s="104"/>
      <c r="E11959" s="107" t="str">
        <f aca="false">IF($C11959="","",IFERROR(INDEX(المنيو!$C$2:$C$500,MATCH($C11959,المنيو!$B$2:$B$500,0)),0))</f>
        <v/>
      </c>
      <c r="F11959" s="107" t="str">
        <f aca="false">IF($C11959="","",$D11959*$E11959)</f>
        <v/>
      </c>
      <c r="G11959" s="107" t="str">
        <f aca="false">IF($C11959="","",$D11959*IFERROR(INDEX('تحليل التكلفة والسعر'!$C$2:$C$700,MATCH($C11959,'تحليل التكلفة والسعر'!$B$2:$B$700,0)),0))</f>
        <v/>
      </c>
    </row>
    <row r="11960" customFormat="false" ht="15" hidden="false" customHeight="false" outlineLevel="0" collapsed="false">
      <c r="A11960" s="103"/>
      <c r="B11960" s="104"/>
      <c r="C11960" s="104"/>
      <c r="E11960" s="107" t="str">
        <f aca="false">IF($C11960="","",IFERROR(INDEX(المنيو!$C$2:$C$500,MATCH($C11960,المنيو!$B$2:$B$500,0)),0))</f>
        <v/>
      </c>
      <c r="F11960" s="107" t="str">
        <f aca="false">IF($C11960="","",$D11960*$E11960)</f>
        <v/>
      </c>
      <c r="G11960" s="107" t="str">
        <f aca="false">IF($C11960="","",$D11960*IFERROR(INDEX('تحليل التكلفة والسعر'!$C$2:$C$700,MATCH($C11960,'تحليل التكلفة والسعر'!$B$2:$B$700,0)),0))</f>
        <v/>
      </c>
    </row>
    <row r="11961" customFormat="false" ht="15" hidden="false" customHeight="false" outlineLevel="0" collapsed="false">
      <c r="A11961" s="103"/>
      <c r="B11961" s="104"/>
      <c r="C11961" s="104"/>
      <c r="E11961" s="107" t="str">
        <f aca="false">IF($C11961="","",IFERROR(INDEX(المنيو!$C$2:$C$500,MATCH($C11961,المنيو!$B$2:$B$500,0)),0))</f>
        <v/>
      </c>
      <c r="F11961" s="107" t="str">
        <f aca="false">IF($C11961="","",$D11961*$E11961)</f>
        <v/>
      </c>
      <c r="G11961" s="107" t="str">
        <f aca="false">IF($C11961="","",$D11961*IFERROR(INDEX('تحليل التكلفة والسعر'!$C$2:$C$700,MATCH($C11961,'تحليل التكلفة والسعر'!$B$2:$B$700,0)),0))</f>
        <v/>
      </c>
    </row>
    <row r="11962" customFormat="false" ht="15" hidden="false" customHeight="false" outlineLevel="0" collapsed="false">
      <c r="A11962" s="103"/>
      <c r="B11962" s="104"/>
      <c r="C11962" s="104"/>
      <c r="E11962" s="107" t="str">
        <f aca="false">IF($C11962="","",IFERROR(INDEX(المنيو!$C$2:$C$500,MATCH($C11962,المنيو!$B$2:$B$500,0)),0))</f>
        <v/>
      </c>
      <c r="F11962" s="107" t="str">
        <f aca="false">IF($C11962="","",$D11962*$E11962)</f>
        <v/>
      </c>
      <c r="G11962" s="107" t="str">
        <f aca="false">IF($C11962="","",$D11962*IFERROR(INDEX('تحليل التكلفة والسعر'!$C$2:$C$700,MATCH($C11962,'تحليل التكلفة والسعر'!$B$2:$B$700,0)),0))</f>
        <v/>
      </c>
    </row>
    <row r="11963" customFormat="false" ht="15" hidden="false" customHeight="false" outlineLevel="0" collapsed="false">
      <c r="A11963" s="103"/>
      <c r="B11963" s="104"/>
      <c r="C11963" s="104"/>
      <c r="E11963" s="107" t="str">
        <f aca="false">IF($C11963="","",IFERROR(INDEX(المنيو!$C$2:$C$500,MATCH($C11963,المنيو!$B$2:$B$500,0)),0))</f>
        <v/>
      </c>
      <c r="F11963" s="107" t="str">
        <f aca="false">IF($C11963="","",$D11963*$E11963)</f>
        <v/>
      </c>
      <c r="G11963" s="107" t="str">
        <f aca="false">IF($C11963="","",$D11963*IFERROR(INDEX('تحليل التكلفة والسعر'!$C$2:$C$700,MATCH($C11963,'تحليل التكلفة والسعر'!$B$2:$B$700,0)),0))</f>
        <v/>
      </c>
    </row>
    <row r="11964" customFormat="false" ht="15" hidden="false" customHeight="false" outlineLevel="0" collapsed="false">
      <c r="A11964" s="103"/>
      <c r="B11964" s="104"/>
      <c r="C11964" s="104"/>
      <c r="E11964" s="107" t="str">
        <f aca="false">IF($C11964="","",IFERROR(INDEX(المنيو!$C$2:$C$500,MATCH($C11964,المنيو!$B$2:$B$500,0)),0))</f>
        <v/>
      </c>
      <c r="F11964" s="107" t="str">
        <f aca="false">IF($C11964="","",$D11964*$E11964)</f>
        <v/>
      </c>
      <c r="G11964" s="107" t="str">
        <f aca="false">IF($C11964="","",$D11964*IFERROR(INDEX('تحليل التكلفة والسعر'!$C$2:$C$700,MATCH($C11964,'تحليل التكلفة والسعر'!$B$2:$B$700,0)),0))</f>
        <v/>
      </c>
    </row>
    <row r="11965" customFormat="false" ht="15" hidden="false" customHeight="false" outlineLevel="0" collapsed="false">
      <c r="A11965" s="103"/>
      <c r="B11965" s="104"/>
      <c r="C11965" s="104"/>
      <c r="E11965" s="107" t="str">
        <f aca="false">IF($C11965="","",IFERROR(INDEX(المنيو!$C$2:$C$500,MATCH($C11965,المنيو!$B$2:$B$500,0)),0))</f>
        <v/>
      </c>
      <c r="F11965" s="107" t="str">
        <f aca="false">IF($C11965="","",$D11965*$E11965)</f>
        <v/>
      </c>
      <c r="G11965" s="107" t="str">
        <f aca="false">IF($C11965="","",$D11965*IFERROR(INDEX('تحليل التكلفة والسعر'!$C$2:$C$700,MATCH($C11965,'تحليل التكلفة والسعر'!$B$2:$B$700,0)),0))</f>
        <v/>
      </c>
    </row>
    <row r="11966" customFormat="false" ht="15" hidden="false" customHeight="false" outlineLevel="0" collapsed="false">
      <c r="A11966" s="103"/>
      <c r="B11966" s="104"/>
      <c r="C11966" s="104"/>
      <c r="E11966" s="107" t="str">
        <f aca="false">IF($C11966="","",IFERROR(INDEX(المنيو!$C$2:$C$500,MATCH($C11966,المنيو!$B$2:$B$500,0)),0))</f>
        <v/>
      </c>
      <c r="F11966" s="107" t="str">
        <f aca="false">IF($C11966="","",$D11966*$E11966)</f>
        <v/>
      </c>
      <c r="G11966" s="107" t="str">
        <f aca="false">IF($C11966="","",$D11966*IFERROR(INDEX('تحليل التكلفة والسعر'!$C$2:$C$700,MATCH($C11966,'تحليل التكلفة والسعر'!$B$2:$B$700,0)),0))</f>
        <v/>
      </c>
    </row>
    <row r="11967" customFormat="false" ht="15" hidden="false" customHeight="false" outlineLevel="0" collapsed="false">
      <c r="A11967" s="103"/>
      <c r="B11967" s="104"/>
      <c r="C11967" s="104"/>
      <c r="E11967" s="107" t="str">
        <f aca="false">IF($C11967="","",IFERROR(INDEX(المنيو!$C$2:$C$500,MATCH($C11967,المنيو!$B$2:$B$500,0)),0))</f>
        <v/>
      </c>
      <c r="F11967" s="107" t="str">
        <f aca="false">IF($C11967="","",$D11967*$E11967)</f>
        <v/>
      </c>
      <c r="G11967" s="107" t="str">
        <f aca="false">IF($C11967="","",$D11967*IFERROR(INDEX('تحليل التكلفة والسعر'!$C$2:$C$700,MATCH($C11967,'تحليل التكلفة والسعر'!$B$2:$B$700,0)),0))</f>
        <v/>
      </c>
    </row>
    <row r="11968" customFormat="false" ht="15" hidden="false" customHeight="false" outlineLevel="0" collapsed="false">
      <c r="A11968" s="103"/>
      <c r="B11968" s="104"/>
      <c r="C11968" s="104"/>
      <c r="E11968" s="107" t="str">
        <f aca="false">IF($C11968="","",IFERROR(INDEX(المنيو!$C$2:$C$500,MATCH($C11968,المنيو!$B$2:$B$500,0)),0))</f>
        <v/>
      </c>
      <c r="F11968" s="107" t="str">
        <f aca="false">IF($C11968="","",$D11968*$E11968)</f>
        <v/>
      </c>
      <c r="G11968" s="107" t="str">
        <f aca="false">IF($C11968="","",$D11968*IFERROR(INDEX('تحليل التكلفة والسعر'!$C$2:$C$700,MATCH($C11968,'تحليل التكلفة والسعر'!$B$2:$B$700,0)),0))</f>
        <v/>
      </c>
    </row>
    <row r="11969" customFormat="false" ht="15" hidden="false" customHeight="false" outlineLevel="0" collapsed="false">
      <c r="A11969" s="103"/>
      <c r="B11969" s="104"/>
      <c r="C11969" s="104"/>
      <c r="E11969" s="107" t="str">
        <f aca="false">IF($C11969="","",IFERROR(INDEX(المنيو!$C$2:$C$500,MATCH($C11969,المنيو!$B$2:$B$500,0)),0))</f>
        <v/>
      </c>
      <c r="F11969" s="107" t="str">
        <f aca="false">IF($C11969="","",$D11969*$E11969)</f>
        <v/>
      </c>
      <c r="G11969" s="107" t="str">
        <f aca="false">IF($C11969="","",$D11969*IFERROR(INDEX('تحليل التكلفة والسعر'!$C$2:$C$700,MATCH($C11969,'تحليل التكلفة والسعر'!$B$2:$B$700,0)),0))</f>
        <v/>
      </c>
    </row>
    <row r="11970" customFormat="false" ht="15" hidden="false" customHeight="false" outlineLevel="0" collapsed="false">
      <c r="A11970" s="103"/>
      <c r="B11970" s="104"/>
      <c r="C11970" s="104"/>
      <c r="E11970" s="107" t="str">
        <f aca="false">IF($C11970="","",IFERROR(INDEX(المنيو!$C$2:$C$500,MATCH($C11970,المنيو!$B$2:$B$500,0)),0))</f>
        <v/>
      </c>
      <c r="F11970" s="107" t="str">
        <f aca="false">IF($C11970="","",$D11970*$E11970)</f>
        <v/>
      </c>
      <c r="G11970" s="107" t="str">
        <f aca="false">IF($C11970="","",$D11970*IFERROR(INDEX('تحليل التكلفة والسعر'!$C$2:$C$700,MATCH($C11970,'تحليل التكلفة والسعر'!$B$2:$B$700,0)),0))</f>
        <v/>
      </c>
    </row>
    <row r="11971" customFormat="false" ht="15" hidden="false" customHeight="false" outlineLevel="0" collapsed="false">
      <c r="A11971" s="103"/>
      <c r="B11971" s="104"/>
      <c r="C11971" s="104"/>
      <c r="E11971" s="107" t="str">
        <f aca="false">IF($C11971="","",IFERROR(INDEX(المنيو!$C$2:$C$500,MATCH($C11971,المنيو!$B$2:$B$500,0)),0))</f>
        <v/>
      </c>
      <c r="F11971" s="107" t="str">
        <f aca="false">IF($C11971="","",$D11971*$E11971)</f>
        <v/>
      </c>
      <c r="G11971" s="107" t="str">
        <f aca="false">IF($C11971="","",$D11971*IFERROR(INDEX('تحليل التكلفة والسعر'!$C$2:$C$700,MATCH($C11971,'تحليل التكلفة والسعر'!$B$2:$B$700,0)),0))</f>
        <v/>
      </c>
    </row>
    <row r="11972" customFormat="false" ht="15" hidden="false" customHeight="false" outlineLevel="0" collapsed="false">
      <c r="A11972" s="103"/>
      <c r="B11972" s="104"/>
      <c r="C11972" s="104"/>
      <c r="E11972" s="107" t="str">
        <f aca="false">IF($C11972="","",IFERROR(INDEX(المنيو!$C$2:$C$500,MATCH($C11972,المنيو!$B$2:$B$500,0)),0))</f>
        <v/>
      </c>
      <c r="F11972" s="107" t="str">
        <f aca="false">IF($C11972="","",$D11972*$E11972)</f>
        <v/>
      </c>
      <c r="G11972" s="107" t="str">
        <f aca="false">IF($C11972="","",$D11972*IFERROR(INDEX('تحليل التكلفة والسعر'!$C$2:$C$700,MATCH($C11972,'تحليل التكلفة والسعر'!$B$2:$B$700,0)),0))</f>
        <v/>
      </c>
    </row>
    <row r="11973" customFormat="false" ht="15" hidden="false" customHeight="false" outlineLevel="0" collapsed="false">
      <c r="A11973" s="103"/>
      <c r="B11973" s="104"/>
      <c r="C11973" s="104"/>
      <c r="E11973" s="107" t="str">
        <f aca="false">IF($C11973="","",IFERROR(INDEX(المنيو!$C$2:$C$500,MATCH($C11973,المنيو!$B$2:$B$500,0)),0))</f>
        <v/>
      </c>
      <c r="F11973" s="107" t="str">
        <f aca="false">IF($C11973="","",$D11973*$E11973)</f>
        <v/>
      </c>
      <c r="G11973" s="107" t="str">
        <f aca="false">IF($C11973="","",$D11973*IFERROR(INDEX('تحليل التكلفة والسعر'!$C$2:$C$700,MATCH($C11973,'تحليل التكلفة والسعر'!$B$2:$B$700,0)),0))</f>
        <v/>
      </c>
    </row>
    <row r="11974" customFormat="false" ht="15" hidden="false" customHeight="false" outlineLevel="0" collapsed="false">
      <c r="A11974" s="103"/>
      <c r="B11974" s="104"/>
      <c r="C11974" s="104"/>
      <c r="E11974" s="107" t="str">
        <f aca="false">IF($C11974="","",IFERROR(INDEX(المنيو!$C$2:$C$500,MATCH($C11974,المنيو!$B$2:$B$500,0)),0))</f>
        <v/>
      </c>
      <c r="F11974" s="107" t="str">
        <f aca="false">IF($C11974="","",$D11974*$E11974)</f>
        <v/>
      </c>
      <c r="G11974" s="107" t="str">
        <f aca="false">IF($C11974="","",$D11974*IFERROR(INDEX('تحليل التكلفة والسعر'!$C$2:$C$700,MATCH($C11974,'تحليل التكلفة والسعر'!$B$2:$B$700,0)),0))</f>
        <v/>
      </c>
    </row>
    <row r="11975" customFormat="false" ht="15" hidden="false" customHeight="false" outlineLevel="0" collapsed="false">
      <c r="A11975" s="103"/>
      <c r="B11975" s="104"/>
      <c r="C11975" s="104"/>
      <c r="E11975" s="107" t="str">
        <f aca="false">IF($C11975="","",IFERROR(INDEX(المنيو!$C$2:$C$500,MATCH($C11975,المنيو!$B$2:$B$500,0)),0))</f>
        <v/>
      </c>
      <c r="F11975" s="107" t="str">
        <f aca="false">IF($C11975="","",$D11975*$E11975)</f>
        <v/>
      </c>
      <c r="G11975" s="107" t="str">
        <f aca="false">IF($C11975="","",$D11975*IFERROR(INDEX('تحليل التكلفة والسعر'!$C$2:$C$700,MATCH($C11975,'تحليل التكلفة والسعر'!$B$2:$B$700,0)),0))</f>
        <v/>
      </c>
    </row>
    <row r="11976" customFormat="false" ht="15" hidden="false" customHeight="false" outlineLevel="0" collapsed="false">
      <c r="A11976" s="103"/>
      <c r="B11976" s="104"/>
      <c r="C11976" s="104"/>
      <c r="E11976" s="107" t="str">
        <f aca="false">IF($C11976="","",IFERROR(INDEX(المنيو!$C$2:$C$500,MATCH($C11976,المنيو!$B$2:$B$500,0)),0))</f>
        <v/>
      </c>
      <c r="F11976" s="107" t="str">
        <f aca="false">IF($C11976="","",$D11976*$E11976)</f>
        <v/>
      </c>
      <c r="G11976" s="107" t="str">
        <f aca="false">IF($C11976="","",$D11976*IFERROR(INDEX('تحليل التكلفة والسعر'!$C$2:$C$700,MATCH($C11976,'تحليل التكلفة والسعر'!$B$2:$B$700,0)),0))</f>
        <v/>
      </c>
    </row>
    <row r="11977" customFormat="false" ht="15" hidden="false" customHeight="false" outlineLevel="0" collapsed="false">
      <c r="A11977" s="103"/>
      <c r="B11977" s="104"/>
      <c r="C11977" s="104"/>
      <c r="E11977" s="107" t="str">
        <f aca="false">IF($C11977="","",IFERROR(INDEX(المنيو!$C$2:$C$500,MATCH($C11977,المنيو!$B$2:$B$500,0)),0))</f>
        <v/>
      </c>
      <c r="F11977" s="107" t="str">
        <f aca="false">IF($C11977="","",$D11977*$E11977)</f>
        <v/>
      </c>
      <c r="G11977" s="107" t="str">
        <f aca="false">IF($C11977="","",$D11977*IFERROR(INDEX('تحليل التكلفة والسعر'!$C$2:$C$700,MATCH($C11977,'تحليل التكلفة والسعر'!$B$2:$B$700,0)),0))</f>
        <v/>
      </c>
    </row>
    <row r="11978" customFormat="false" ht="15" hidden="false" customHeight="false" outlineLevel="0" collapsed="false">
      <c r="A11978" s="103"/>
      <c r="B11978" s="104"/>
      <c r="C11978" s="104"/>
      <c r="E11978" s="107" t="str">
        <f aca="false">IF($C11978="","",IFERROR(INDEX(المنيو!$C$2:$C$500,MATCH($C11978,المنيو!$B$2:$B$500,0)),0))</f>
        <v/>
      </c>
      <c r="F11978" s="107" t="str">
        <f aca="false">IF($C11978="","",$D11978*$E11978)</f>
        <v/>
      </c>
      <c r="G11978" s="107" t="str">
        <f aca="false">IF($C11978="","",$D11978*IFERROR(INDEX('تحليل التكلفة والسعر'!$C$2:$C$700,MATCH($C11978,'تحليل التكلفة والسعر'!$B$2:$B$700,0)),0))</f>
        <v/>
      </c>
    </row>
    <row r="11979" customFormat="false" ht="15" hidden="false" customHeight="false" outlineLevel="0" collapsed="false">
      <c r="A11979" s="103"/>
      <c r="B11979" s="104"/>
      <c r="C11979" s="104"/>
      <c r="E11979" s="107" t="str">
        <f aca="false">IF($C11979="","",IFERROR(INDEX(المنيو!$C$2:$C$500,MATCH($C11979,المنيو!$B$2:$B$500,0)),0))</f>
        <v/>
      </c>
      <c r="F11979" s="107" t="str">
        <f aca="false">IF($C11979="","",$D11979*$E11979)</f>
        <v/>
      </c>
      <c r="G11979" s="107" t="str">
        <f aca="false">IF($C11979="","",$D11979*IFERROR(INDEX('تحليل التكلفة والسعر'!$C$2:$C$700,MATCH($C11979,'تحليل التكلفة والسعر'!$B$2:$B$700,0)),0))</f>
        <v/>
      </c>
    </row>
    <row r="11980" customFormat="false" ht="15" hidden="false" customHeight="false" outlineLevel="0" collapsed="false">
      <c r="A11980" s="103"/>
      <c r="B11980" s="104"/>
      <c r="C11980" s="104"/>
      <c r="E11980" s="107" t="str">
        <f aca="false">IF($C11980="","",IFERROR(INDEX(المنيو!$C$2:$C$500,MATCH($C11980,المنيو!$B$2:$B$500,0)),0))</f>
        <v/>
      </c>
      <c r="F11980" s="107" t="str">
        <f aca="false">IF($C11980="","",$D11980*$E11980)</f>
        <v/>
      </c>
      <c r="G11980" s="107" t="str">
        <f aca="false">IF($C11980="","",$D11980*IFERROR(INDEX('تحليل التكلفة والسعر'!$C$2:$C$700,MATCH($C11980,'تحليل التكلفة والسعر'!$B$2:$B$700,0)),0))</f>
        <v/>
      </c>
    </row>
    <row r="11981" customFormat="false" ht="15" hidden="false" customHeight="false" outlineLevel="0" collapsed="false">
      <c r="A11981" s="103"/>
      <c r="B11981" s="104"/>
      <c r="C11981" s="104"/>
      <c r="E11981" s="107" t="str">
        <f aca="false">IF($C11981="","",IFERROR(INDEX(المنيو!$C$2:$C$500,MATCH($C11981,المنيو!$B$2:$B$500,0)),0))</f>
        <v/>
      </c>
      <c r="F11981" s="107" t="str">
        <f aca="false">IF($C11981="","",$D11981*$E11981)</f>
        <v/>
      </c>
      <c r="G11981" s="107" t="str">
        <f aca="false">IF($C11981="","",$D11981*IFERROR(INDEX('تحليل التكلفة والسعر'!$C$2:$C$700,MATCH($C11981,'تحليل التكلفة والسعر'!$B$2:$B$700,0)),0))</f>
        <v/>
      </c>
    </row>
    <row r="11982" customFormat="false" ht="15" hidden="false" customHeight="false" outlineLevel="0" collapsed="false">
      <c r="A11982" s="103"/>
      <c r="B11982" s="104"/>
      <c r="C11982" s="104"/>
      <c r="E11982" s="107" t="str">
        <f aca="false">IF($C11982="","",IFERROR(INDEX(المنيو!$C$2:$C$500,MATCH($C11982,المنيو!$B$2:$B$500,0)),0))</f>
        <v/>
      </c>
      <c r="F11982" s="107" t="str">
        <f aca="false">IF($C11982="","",$D11982*$E11982)</f>
        <v/>
      </c>
      <c r="G11982" s="107" t="str">
        <f aca="false">IF($C11982="","",$D11982*IFERROR(INDEX('تحليل التكلفة والسعر'!$C$2:$C$700,MATCH($C11982,'تحليل التكلفة والسعر'!$B$2:$B$700,0)),0))</f>
        <v/>
      </c>
    </row>
    <row r="11983" customFormat="false" ht="15" hidden="false" customHeight="false" outlineLevel="0" collapsed="false">
      <c r="A11983" s="103"/>
      <c r="B11983" s="104"/>
      <c r="C11983" s="104"/>
      <c r="E11983" s="107" t="str">
        <f aca="false">IF($C11983="","",IFERROR(INDEX(المنيو!$C$2:$C$500,MATCH($C11983,المنيو!$B$2:$B$500,0)),0))</f>
        <v/>
      </c>
      <c r="F11983" s="107" t="str">
        <f aca="false">IF($C11983="","",$D11983*$E11983)</f>
        <v/>
      </c>
      <c r="G11983" s="107" t="str">
        <f aca="false">IF($C11983="","",$D11983*IFERROR(INDEX('تحليل التكلفة والسعر'!$C$2:$C$700,MATCH($C11983,'تحليل التكلفة والسعر'!$B$2:$B$700,0)),0))</f>
        <v/>
      </c>
    </row>
    <row r="11984" customFormat="false" ht="15" hidden="false" customHeight="false" outlineLevel="0" collapsed="false">
      <c r="A11984" s="103"/>
      <c r="B11984" s="104"/>
      <c r="C11984" s="104"/>
      <c r="E11984" s="107" t="str">
        <f aca="false">IF($C11984="","",IFERROR(INDEX(المنيو!$C$2:$C$500,MATCH($C11984,المنيو!$B$2:$B$500,0)),0))</f>
        <v/>
      </c>
      <c r="F11984" s="107" t="str">
        <f aca="false">IF($C11984="","",$D11984*$E11984)</f>
        <v/>
      </c>
      <c r="G11984" s="107" t="str">
        <f aca="false">IF($C11984="","",$D11984*IFERROR(INDEX('تحليل التكلفة والسعر'!$C$2:$C$700,MATCH($C11984,'تحليل التكلفة والسعر'!$B$2:$B$700,0)),0))</f>
        <v/>
      </c>
    </row>
    <row r="11985" customFormat="false" ht="15" hidden="false" customHeight="false" outlineLevel="0" collapsed="false">
      <c r="A11985" s="103"/>
      <c r="B11985" s="104"/>
      <c r="C11985" s="104"/>
      <c r="E11985" s="107" t="str">
        <f aca="false">IF($C11985="","",IFERROR(INDEX(المنيو!$C$2:$C$500,MATCH($C11985,المنيو!$B$2:$B$500,0)),0))</f>
        <v/>
      </c>
      <c r="F11985" s="107" t="str">
        <f aca="false">IF($C11985="","",$D11985*$E11985)</f>
        <v/>
      </c>
      <c r="G11985" s="107" t="str">
        <f aca="false">IF($C11985="","",$D11985*IFERROR(INDEX('تحليل التكلفة والسعر'!$C$2:$C$700,MATCH($C11985,'تحليل التكلفة والسعر'!$B$2:$B$700,0)),0))</f>
        <v/>
      </c>
    </row>
    <row r="11986" customFormat="false" ht="15" hidden="false" customHeight="false" outlineLevel="0" collapsed="false">
      <c r="A11986" s="103"/>
      <c r="B11986" s="104"/>
      <c r="C11986" s="104"/>
      <c r="E11986" s="107" t="str">
        <f aca="false">IF($C11986="","",IFERROR(INDEX(المنيو!$C$2:$C$500,MATCH($C11986,المنيو!$B$2:$B$500,0)),0))</f>
        <v/>
      </c>
      <c r="F11986" s="107" t="str">
        <f aca="false">IF($C11986="","",$D11986*$E11986)</f>
        <v/>
      </c>
      <c r="G11986" s="107" t="str">
        <f aca="false">IF($C11986="","",$D11986*IFERROR(INDEX('تحليل التكلفة والسعر'!$C$2:$C$700,MATCH($C11986,'تحليل التكلفة والسعر'!$B$2:$B$700,0)),0))</f>
        <v/>
      </c>
    </row>
    <row r="11987" customFormat="false" ht="15" hidden="false" customHeight="false" outlineLevel="0" collapsed="false">
      <c r="A11987" s="103"/>
      <c r="B11987" s="104"/>
      <c r="C11987" s="104"/>
      <c r="E11987" s="107" t="str">
        <f aca="false">IF($C11987="","",IFERROR(INDEX(المنيو!$C$2:$C$500,MATCH($C11987,المنيو!$B$2:$B$500,0)),0))</f>
        <v/>
      </c>
      <c r="F11987" s="107" t="str">
        <f aca="false">IF($C11987="","",$D11987*$E11987)</f>
        <v/>
      </c>
      <c r="G11987" s="107" t="str">
        <f aca="false">IF($C11987="","",$D11987*IFERROR(INDEX('تحليل التكلفة والسعر'!$C$2:$C$700,MATCH($C11987,'تحليل التكلفة والسعر'!$B$2:$B$700,0)),0))</f>
        <v/>
      </c>
    </row>
    <row r="11988" customFormat="false" ht="15" hidden="false" customHeight="false" outlineLevel="0" collapsed="false">
      <c r="A11988" s="103"/>
      <c r="B11988" s="104"/>
      <c r="C11988" s="104"/>
      <c r="E11988" s="107" t="str">
        <f aca="false">IF($C11988="","",IFERROR(INDEX(المنيو!$C$2:$C$500,MATCH($C11988,المنيو!$B$2:$B$500,0)),0))</f>
        <v/>
      </c>
      <c r="F11988" s="107" t="str">
        <f aca="false">IF($C11988="","",$D11988*$E11988)</f>
        <v/>
      </c>
      <c r="G11988" s="107" t="str">
        <f aca="false">IF($C11988="","",$D11988*IFERROR(INDEX('تحليل التكلفة والسعر'!$C$2:$C$700,MATCH($C11988,'تحليل التكلفة والسعر'!$B$2:$B$700,0)),0))</f>
        <v/>
      </c>
    </row>
    <row r="11989" customFormat="false" ht="15" hidden="false" customHeight="false" outlineLevel="0" collapsed="false">
      <c r="A11989" s="103"/>
      <c r="B11989" s="104"/>
      <c r="C11989" s="104"/>
      <c r="E11989" s="107" t="str">
        <f aca="false">IF($C11989="","",IFERROR(INDEX(المنيو!$C$2:$C$500,MATCH($C11989,المنيو!$B$2:$B$500,0)),0))</f>
        <v/>
      </c>
      <c r="F11989" s="107" t="str">
        <f aca="false">IF($C11989="","",$D11989*$E11989)</f>
        <v/>
      </c>
      <c r="G11989" s="107" t="str">
        <f aca="false">IF($C11989="","",$D11989*IFERROR(INDEX('تحليل التكلفة والسعر'!$C$2:$C$700,MATCH($C11989,'تحليل التكلفة والسعر'!$B$2:$B$700,0)),0))</f>
        <v/>
      </c>
    </row>
    <row r="11990" customFormat="false" ht="15" hidden="false" customHeight="false" outlineLevel="0" collapsed="false">
      <c r="A11990" s="103"/>
      <c r="B11990" s="104"/>
      <c r="C11990" s="104"/>
      <c r="E11990" s="107" t="str">
        <f aca="false">IF($C11990="","",IFERROR(INDEX(المنيو!$C$2:$C$500,MATCH($C11990,المنيو!$B$2:$B$500,0)),0))</f>
        <v/>
      </c>
      <c r="F11990" s="107" t="str">
        <f aca="false">IF($C11990="","",$D11990*$E11990)</f>
        <v/>
      </c>
      <c r="G11990" s="107" t="str">
        <f aca="false">IF($C11990="","",$D11990*IFERROR(INDEX('تحليل التكلفة والسعر'!$C$2:$C$700,MATCH($C11990,'تحليل التكلفة والسعر'!$B$2:$B$700,0)),0))</f>
        <v/>
      </c>
    </row>
    <row r="11991" customFormat="false" ht="15" hidden="false" customHeight="false" outlineLevel="0" collapsed="false">
      <c r="A11991" s="103"/>
      <c r="B11991" s="104"/>
      <c r="C11991" s="104"/>
      <c r="E11991" s="107" t="str">
        <f aca="false">IF($C11991="","",IFERROR(INDEX(المنيو!$C$2:$C$500,MATCH($C11991,المنيو!$B$2:$B$500,0)),0))</f>
        <v/>
      </c>
      <c r="F11991" s="107" t="str">
        <f aca="false">IF($C11991="","",$D11991*$E11991)</f>
        <v/>
      </c>
      <c r="G11991" s="107" t="str">
        <f aca="false">IF($C11991="","",$D11991*IFERROR(INDEX('تحليل التكلفة والسعر'!$C$2:$C$700,MATCH($C11991,'تحليل التكلفة والسعر'!$B$2:$B$700,0)),0))</f>
        <v/>
      </c>
    </row>
    <row r="11992" customFormat="false" ht="15" hidden="false" customHeight="false" outlineLevel="0" collapsed="false">
      <c r="A11992" s="103"/>
      <c r="B11992" s="104"/>
      <c r="C11992" s="104"/>
      <c r="E11992" s="107" t="str">
        <f aca="false">IF($C11992="","",IFERROR(INDEX(المنيو!$C$2:$C$500,MATCH($C11992,المنيو!$B$2:$B$500,0)),0))</f>
        <v/>
      </c>
      <c r="F11992" s="107" t="str">
        <f aca="false">IF($C11992="","",$D11992*$E11992)</f>
        <v/>
      </c>
      <c r="G11992" s="107" t="str">
        <f aca="false">IF($C11992="","",$D11992*IFERROR(INDEX('تحليل التكلفة والسعر'!$C$2:$C$700,MATCH($C11992,'تحليل التكلفة والسعر'!$B$2:$B$700,0)),0))</f>
        <v/>
      </c>
    </row>
    <row r="11993" customFormat="false" ht="15" hidden="false" customHeight="false" outlineLevel="0" collapsed="false">
      <c r="A11993" s="103"/>
      <c r="B11993" s="104"/>
      <c r="C11993" s="104"/>
      <c r="E11993" s="107" t="str">
        <f aca="false">IF($C11993="","",IFERROR(INDEX(المنيو!$C$2:$C$500,MATCH($C11993,المنيو!$B$2:$B$500,0)),0))</f>
        <v/>
      </c>
      <c r="F11993" s="107" t="str">
        <f aca="false">IF($C11993="","",$D11993*$E11993)</f>
        <v/>
      </c>
      <c r="G11993" s="107" t="str">
        <f aca="false">IF($C11993="","",$D11993*IFERROR(INDEX('تحليل التكلفة والسعر'!$C$2:$C$700,MATCH($C11993,'تحليل التكلفة والسعر'!$B$2:$B$700,0)),0))</f>
        <v/>
      </c>
    </row>
    <row r="11994" customFormat="false" ht="15" hidden="false" customHeight="false" outlineLevel="0" collapsed="false">
      <c r="A11994" s="103"/>
      <c r="B11994" s="104"/>
      <c r="C11994" s="104"/>
      <c r="E11994" s="107" t="str">
        <f aca="false">IF($C11994="","",IFERROR(INDEX(المنيو!$C$2:$C$500,MATCH($C11994,المنيو!$B$2:$B$500,0)),0))</f>
        <v/>
      </c>
      <c r="F11994" s="107" t="str">
        <f aca="false">IF($C11994="","",$D11994*$E11994)</f>
        <v/>
      </c>
      <c r="G11994" s="107" t="str">
        <f aca="false">IF($C11994="","",$D11994*IFERROR(INDEX('تحليل التكلفة والسعر'!$C$2:$C$700,MATCH($C11994,'تحليل التكلفة والسعر'!$B$2:$B$700,0)),0))</f>
        <v/>
      </c>
    </row>
    <row r="11995" customFormat="false" ht="15" hidden="false" customHeight="false" outlineLevel="0" collapsed="false">
      <c r="A11995" s="103"/>
      <c r="B11995" s="104"/>
      <c r="C11995" s="104"/>
      <c r="E11995" s="107" t="str">
        <f aca="false">IF($C11995="","",IFERROR(INDEX(المنيو!$C$2:$C$500,MATCH($C11995,المنيو!$B$2:$B$500,0)),0))</f>
        <v/>
      </c>
      <c r="F11995" s="107" t="str">
        <f aca="false">IF($C11995="","",$D11995*$E11995)</f>
        <v/>
      </c>
      <c r="G11995" s="107" t="str">
        <f aca="false">IF($C11995="","",$D11995*IFERROR(INDEX('تحليل التكلفة والسعر'!$C$2:$C$700,MATCH($C11995,'تحليل التكلفة والسعر'!$B$2:$B$700,0)),0))</f>
        <v/>
      </c>
    </row>
    <row r="11996" customFormat="false" ht="15" hidden="false" customHeight="false" outlineLevel="0" collapsed="false">
      <c r="A11996" s="103"/>
      <c r="B11996" s="104"/>
      <c r="C11996" s="104"/>
      <c r="E11996" s="107" t="str">
        <f aca="false">IF($C11996="","",IFERROR(INDEX(المنيو!$C$2:$C$500,MATCH($C11996,المنيو!$B$2:$B$500,0)),0))</f>
        <v/>
      </c>
      <c r="F11996" s="107" t="str">
        <f aca="false">IF($C11996="","",$D11996*$E11996)</f>
        <v/>
      </c>
      <c r="G11996" s="107" t="str">
        <f aca="false">IF($C11996="","",$D11996*IFERROR(INDEX('تحليل التكلفة والسعر'!$C$2:$C$700,MATCH($C11996,'تحليل التكلفة والسعر'!$B$2:$B$700,0)),0))</f>
        <v/>
      </c>
    </row>
    <row r="11997" customFormat="false" ht="15" hidden="false" customHeight="false" outlineLevel="0" collapsed="false">
      <c r="A11997" s="103"/>
      <c r="B11997" s="104"/>
      <c r="C11997" s="104"/>
      <c r="E11997" s="107" t="str">
        <f aca="false">IF($C11997="","",IFERROR(INDEX(المنيو!$C$2:$C$500,MATCH($C11997,المنيو!$B$2:$B$500,0)),0))</f>
        <v/>
      </c>
      <c r="F11997" s="107" t="str">
        <f aca="false">IF($C11997="","",$D11997*$E11997)</f>
        <v/>
      </c>
      <c r="G11997" s="107" t="str">
        <f aca="false">IF($C11997="","",$D11997*IFERROR(INDEX('تحليل التكلفة والسعر'!$C$2:$C$700,MATCH($C11997,'تحليل التكلفة والسعر'!$B$2:$B$700,0)),0))</f>
        <v/>
      </c>
    </row>
    <row r="11998" customFormat="false" ht="15" hidden="false" customHeight="false" outlineLevel="0" collapsed="false">
      <c r="A11998" s="103"/>
      <c r="B11998" s="104"/>
      <c r="C11998" s="104"/>
      <c r="E11998" s="107" t="str">
        <f aca="false">IF($C11998="","",IFERROR(INDEX(المنيو!$C$2:$C$500,MATCH($C11998,المنيو!$B$2:$B$500,0)),0))</f>
        <v/>
      </c>
      <c r="F11998" s="107" t="str">
        <f aca="false">IF($C11998="","",$D11998*$E11998)</f>
        <v/>
      </c>
      <c r="G11998" s="107" t="str">
        <f aca="false">IF($C11998="","",$D11998*IFERROR(INDEX('تحليل التكلفة والسعر'!$C$2:$C$700,MATCH($C11998,'تحليل التكلفة والسعر'!$B$2:$B$700,0)),0))</f>
        <v/>
      </c>
    </row>
    <row r="11999" customFormat="false" ht="15" hidden="false" customHeight="false" outlineLevel="0" collapsed="false">
      <c r="A11999" s="103"/>
      <c r="B11999" s="104"/>
      <c r="C11999" s="104"/>
      <c r="E11999" s="107" t="str">
        <f aca="false">IF($C11999="","",IFERROR(INDEX(المنيو!$C$2:$C$500,MATCH($C11999,المنيو!$B$2:$B$500,0)),0))</f>
        <v/>
      </c>
      <c r="F11999" s="107" t="str">
        <f aca="false">IF($C11999="","",$D11999*$E11999)</f>
        <v/>
      </c>
      <c r="G11999" s="107" t="str">
        <f aca="false">IF($C11999="","",$D11999*IFERROR(INDEX('تحليل التكلفة والسعر'!$C$2:$C$700,MATCH($C11999,'تحليل التكلفة والسعر'!$B$2:$B$700,0)),0))</f>
        <v/>
      </c>
    </row>
    <row r="12000" customFormat="false" ht="15" hidden="false" customHeight="false" outlineLevel="0" collapsed="false">
      <c r="A12000" s="103"/>
      <c r="B12000" s="104"/>
      <c r="C12000" s="104"/>
      <c r="E12000" s="107" t="str">
        <f aca="false">IF($C12000="","",IFERROR(INDEX(المنيو!$C$2:$C$500,MATCH($C12000,المنيو!$B$2:$B$500,0)),0))</f>
        <v/>
      </c>
      <c r="F12000" s="107" t="str">
        <f aca="false">IF($C12000="","",$D12000*$E12000)</f>
        <v/>
      </c>
      <c r="G12000" s="107" t="str">
        <f aca="false">IF($C12000="","",$D12000*IFERROR(INDEX('تحليل التكلفة والسعر'!$C$2:$C$700,MATCH($C12000,'تحليل التكلفة والسعر'!$B$2:$B$700,0)),0))</f>
        <v/>
      </c>
    </row>
    <row r="12001" customFormat="false" ht="15" hidden="false" customHeight="false" outlineLevel="0" collapsed="false">
      <c r="A12001" s="103"/>
      <c r="B12001" s="104"/>
      <c r="C12001" s="104"/>
      <c r="E12001" s="107" t="str">
        <f aca="false">IF($C12001="","",IFERROR(INDEX(المنيو!$C$2:$C$500,MATCH($C12001,المنيو!$B$2:$B$500,0)),0))</f>
        <v/>
      </c>
      <c r="F12001" s="107" t="str">
        <f aca="false">IF($C12001="","",$D12001*$E12001)</f>
        <v/>
      </c>
      <c r="G12001" s="107" t="str">
        <f aca="false">IF($C12001="","",$D12001*IFERROR(INDEX('تحليل التكلفة والسعر'!$C$2:$C$700,MATCH($C12001,'تحليل التكلفة والسعر'!$B$2:$B$700,0)),0))</f>
        <v/>
      </c>
    </row>
    <row r="12002" customFormat="false" ht="15" hidden="false" customHeight="false" outlineLevel="0" collapsed="false">
      <c r="A12002" s="103"/>
      <c r="B12002" s="104"/>
      <c r="C12002" s="104"/>
      <c r="E12002" s="107" t="str">
        <f aca="false">IF($C12002="","",IFERROR(INDEX(المنيو!$C$2:$C$500,MATCH($C12002,المنيو!$B$2:$B$500,0)),0))</f>
        <v/>
      </c>
      <c r="F12002" s="107" t="str">
        <f aca="false">IF($C12002="","",$D12002*$E12002)</f>
        <v/>
      </c>
      <c r="G12002" s="107" t="str">
        <f aca="false">IF($C12002="","",$D12002*IFERROR(INDEX('تحليل التكلفة والسعر'!$C$2:$C$700,MATCH($C12002,'تحليل التكلفة والسعر'!$B$2:$B$700,0)),0))</f>
        <v/>
      </c>
    </row>
    <row r="12003" customFormat="false" ht="15" hidden="false" customHeight="false" outlineLevel="0" collapsed="false">
      <c r="A12003" s="103"/>
      <c r="B12003" s="104"/>
      <c r="C12003" s="104"/>
      <c r="E12003" s="107" t="str">
        <f aca="false">IF($C12003="","",IFERROR(INDEX(المنيو!$C$2:$C$500,MATCH($C12003,المنيو!$B$2:$B$500,0)),0))</f>
        <v/>
      </c>
      <c r="F12003" s="107" t="str">
        <f aca="false">IF($C12003="","",$D12003*$E12003)</f>
        <v/>
      </c>
      <c r="G12003" s="107" t="str">
        <f aca="false">IF($C12003="","",$D12003*IFERROR(INDEX('تحليل التكلفة والسعر'!$C$2:$C$700,MATCH($C12003,'تحليل التكلفة والسعر'!$B$2:$B$700,0)),0))</f>
        <v/>
      </c>
    </row>
    <row r="12004" customFormat="false" ht="15" hidden="false" customHeight="false" outlineLevel="0" collapsed="false">
      <c r="A12004" s="103"/>
      <c r="B12004" s="104"/>
      <c r="C12004" s="104"/>
      <c r="E12004" s="107" t="str">
        <f aca="false">IF($C12004="","",IFERROR(INDEX(المنيو!$C$2:$C$500,MATCH($C12004,المنيو!$B$2:$B$500,0)),0))</f>
        <v/>
      </c>
      <c r="F12004" s="107" t="str">
        <f aca="false">IF($C12004="","",$D12004*$E12004)</f>
        <v/>
      </c>
      <c r="G12004" s="107" t="str">
        <f aca="false">IF($C12004="","",$D12004*IFERROR(INDEX('تحليل التكلفة والسعر'!$C$2:$C$700,MATCH($C12004,'تحليل التكلفة والسعر'!$B$2:$B$700,0)),0))</f>
        <v/>
      </c>
    </row>
    <row r="12005" customFormat="false" ht="15" hidden="false" customHeight="false" outlineLevel="0" collapsed="false">
      <c r="A12005" s="103"/>
      <c r="B12005" s="104"/>
      <c r="C12005" s="104"/>
      <c r="E12005" s="107" t="str">
        <f aca="false">IF($C12005="","",IFERROR(INDEX(المنيو!$C$2:$C$500,MATCH($C12005,المنيو!$B$2:$B$500,0)),0))</f>
        <v/>
      </c>
      <c r="F12005" s="107" t="str">
        <f aca="false">IF($C12005="","",$D12005*$E12005)</f>
        <v/>
      </c>
      <c r="G12005" s="107" t="str">
        <f aca="false">IF($C12005="","",$D12005*IFERROR(INDEX('تحليل التكلفة والسعر'!$C$2:$C$700,MATCH($C12005,'تحليل التكلفة والسعر'!$B$2:$B$700,0)),0))</f>
        <v/>
      </c>
    </row>
    <row r="12006" customFormat="false" ht="15" hidden="false" customHeight="false" outlineLevel="0" collapsed="false">
      <c r="A12006" s="103"/>
      <c r="B12006" s="104"/>
      <c r="C12006" s="104"/>
      <c r="E12006" s="107" t="str">
        <f aca="false">IF($C12006="","",IFERROR(INDEX(المنيو!$C$2:$C$500,MATCH($C12006,المنيو!$B$2:$B$500,0)),0))</f>
        <v/>
      </c>
      <c r="F12006" s="107" t="str">
        <f aca="false">IF($C12006="","",$D12006*$E12006)</f>
        <v/>
      </c>
      <c r="G12006" s="107" t="str">
        <f aca="false">IF($C12006="","",$D12006*IFERROR(INDEX('تحليل التكلفة والسعر'!$C$2:$C$700,MATCH($C12006,'تحليل التكلفة والسعر'!$B$2:$B$700,0)),0))</f>
        <v/>
      </c>
    </row>
    <row r="12007" customFormat="false" ht="15" hidden="false" customHeight="false" outlineLevel="0" collapsed="false">
      <c r="A12007" s="103"/>
      <c r="B12007" s="104"/>
      <c r="C12007" s="104"/>
      <c r="E12007" s="107" t="str">
        <f aca="false">IF($C12007="","",IFERROR(INDEX(المنيو!$C$2:$C$500,MATCH($C12007,المنيو!$B$2:$B$500,0)),0))</f>
        <v/>
      </c>
      <c r="F12007" s="107" t="str">
        <f aca="false">IF($C12007="","",$D12007*$E12007)</f>
        <v/>
      </c>
      <c r="G12007" s="107" t="str">
        <f aca="false">IF($C12007="","",$D12007*IFERROR(INDEX('تحليل التكلفة والسعر'!$C$2:$C$700,MATCH($C12007,'تحليل التكلفة والسعر'!$B$2:$B$700,0)),0))</f>
        <v/>
      </c>
    </row>
    <row r="12008" customFormat="false" ht="15" hidden="false" customHeight="false" outlineLevel="0" collapsed="false">
      <c r="A12008" s="103"/>
      <c r="B12008" s="104"/>
      <c r="C12008" s="104"/>
      <c r="E12008" s="107" t="str">
        <f aca="false">IF($C12008="","",IFERROR(INDEX(المنيو!$C$2:$C$500,MATCH($C12008,المنيو!$B$2:$B$500,0)),0))</f>
        <v/>
      </c>
      <c r="F12008" s="107" t="str">
        <f aca="false">IF($C12008="","",$D12008*$E12008)</f>
        <v/>
      </c>
      <c r="G12008" s="107" t="str">
        <f aca="false">IF($C12008="","",$D12008*IFERROR(INDEX('تحليل التكلفة والسعر'!$C$2:$C$700,MATCH($C12008,'تحليل التكلفة والسعر'!$B$2:$B$700,0)),0))</f>
        <v/>
      </c>
    </row>
    <row r="12009" customFormat="false" ht="15" hidden="false" customHeight="false" outlineLevel="0" collapsed="false">
      <c r="A12009" s="103"/>
      <c r="B12009" s="104"/>
      <c r="C12009" s="104"/>
      <c r="E12009" s="107" t="str">
        <f aca="false">IF($C12009="","",IFERROR(INDEX(المنيو!$C$2:$C$500,MATCH($C12009,المنيو!$B$2:$B$500,0)),0))</f>
        <v/>
      </c>
      <c r="F12009" s="107" t="str">
        <f aca="false">IF($C12009="","",$D12009*$E12009)</f>
        <v/>
      </c>
      <c r="G12009" s="107" t="str">
        <f aca="false">IF($C12009="","",$D12009*IFERROR(INDEX('تحليل التكلفة والسعر'!$C$2:$C$700,MATCH($C12009,'تحليل التكلفة والسعر'!$B$2:$B$700,0)),0))</f>
        <v/>
      </c>
    </row>
    <row r="12010" customFormat="false" ht="15" hidden="false" customHeight="false" outlineLevel="0" collapsed="false">
      <c r="A12010" s="103"/>
      <c r="B12010" s="104"/>
      <c r="C12010" s="104"/>
      <c r="E12010" s="107" t="str">
        <f aca="false">IF($C12010="","",IFERROR(INDEX(المنيو!$C$2:$C$500,MATCH($C12010,المنيو!$B$2:$B$500,0)),0))</f>
        <v/>
      </c>
      <c r="F12010" s="107" t="str">
        <f aca="false">IF($C12010="","",$D12010*$E12010)</f>
        <v/>
      </c>
      <c r="G12010" s="107" t="str">
        <f aca="false">IF($C12010="","",$D12010*IFERROR(INDEX('تحليل التكلفة والسعر'!$C$2:$C$700,MATCH($C12010,'تحليل التكلفة والسعر'!$B$2:$B$700,0)),0))</f>
        <v/>
      </c>
    </row>
    <row r="12011" customFormat="false" ht="15" hidden="false" customHeight="false" outlineLevel="0" collapsed="false">
      <c r="A12011" s="103"/>
      <c r="B12011" s="104"/>
      <c r="C12011" s="104"/>
      <c r="E12011" s="107" t="str">
        <f aca="false">IF($C12011="","",IFERROR(INDEX(المنيو!$C$2:$C$500,MATCH($C12011,المنيو!$B$2:$B$500,0)),0))</f>
        <v/>
      </c>
      <c r="F12011" s="107" t="str">
        <f aca="false">IF($C12011="","",$D12011*$E12011)</f>
        <v/>
      </c>
      <c r="G12011" s="107" t="str">
        <f aca="false">IF($C12011="","",$D12011*IFERROR(INDEX('تحليل التكلفة والسعر'!$C$2:$C$700,MATCH($C12011,'تحليل التكلفة والسعر'!$B$2:$B$700,0)),0))</f>
        <v/>
      </c>
    </row>
    <row r="12012" customFormat="false" ht="15" hidden="false" customHeight="false" outlineLevel="0" collapsed="false">
      <c r="A12012" s="103"/>
      <c r="B12012" s="104"/>
      <c r="C12012" s="104"/>
      <c r="E12012" s="107" t="str">
        <f aca="false">IF($C12012="","",IFERROR(INDEX(المنيو!$C$2:$C$500,MATCH($C12012,المنيو!$B$2:$B$500,0)),0))</f>
        <v/>
      </c>
      <c r="F12012" s="107" t="str">
        <f aca="false">IF($C12012="","",$D12012*$E12012)</f>
        <v/>
      </c>
      <c r="G12012" s="107" t="str">
        <f aca="false">IF($C12012="","",$D12012*IFERROR(INDEX('تحليل التكلفة والسعر'!$C$2:$C$700,MATCH($C12012,'تحليل التكلفة والسعر'!$B$2:$B$700,0)),0))</f>
        <v/>
      </c>
    </row>
    <row r="12013" customFormat="false" ht="15" hidden="false" customHeight="false" outlineLevel="0" collapsed="false">
      <c r="A12013" s="103"/>
      <c r="B12013" s="104"/>
      <c r="C12013" s="104"/>
      <c r="E12013" s="107" t="str">
        <f aca="false">IF($C12013="","",IFERROR(INDEX(المنيو!$C$2:$C$500,MATCH($C12013,المنيو!$B$2:$B$500,0)),0))</f>
        <v/>
      </c>
      <c r="F12013" s="107" t="str">
        <f aca="false">IF($C12013="","",$D12013*$E12013)</f>
        <v/>
      </c>
      <c r="G12013" s="107" t="str">
        <f aca="false">IF($C12013="","",$D12013*IFERROR(INDEX('تحليل التكلفة والسعر'!$C$2:$C$700,MATCH($C12013,'تحليل التكلفة والسعر'!$B$2:$B$700,0)),0))</f>
        <v/>
      </c>
    </row>
    <row r="12014" customFormat="false" ht="15" hidden="false" customHeight="false" outlineLevel="0" collapsed="false">
      <c r="A12014" s="103"/>
      <c r="B12014" s="104"/>
      <c r="C12014" s="104"/>
      <c r="E12014" s="107" t="str">
        <f aca="false">IF($C12014="","",IFERROR(INDEX(المنيو!$C$2:$C$500,MATCH($C12014,المنيو!$B$2:$B$500,0)),0))</f>
        <v/>
      </c>
      <c r="F12014" s="107" t="str">
        <f aca="false">IF($C12014="","",$D12014*$E12014)</f>
        <v/>
      </c>
      <c r="G12014" s="107" t="str">
        <f aca="false">IF($C12014="","",$D12014*IFERROR(INDEX('تحليل التكلفة والسعر'!$C$2:$C$700,MATCH($C12014,'تحليل التكلفة والسعر'!$B$2:$B$700,0)),0))</f>
        <v/>
      </c>
    </row>
    <row r="12015" customFormat="false" ht="15" hidden="false" customHeight="false" outlineLevel="0" collapsed="false">
      <c r="A12015" s="103"/>
      <c r="B12015" s="104"/>
      <c r="C12015" s="104"/>
      <c r="E12015" s="107" t="str">
        <f aca="false">IF($C12015="","",IFERROR(INDEX(المنيو!$C$2:$C$500,MATCH($C12015,المنيو!$B$2:$B$500,0)),0))</f>
        <v/>
      </c>
      <c r="F12015" s="107" t="str">
        <f aca="false">IF($C12015="","",$D12015*$E12015)</f>
        <v/>
      </c>
      <c r="G12015" s="107" t="str">
        <f aca="false">IF($C12015="","",$D12015*IFERROR(INDEX('تحليل التكلفة والسعر'!$C$2:$C$700,MATCH($C12015,'تحليل التكلفة والسعر'!$B$2:$B$700,0)),0))</f>
        <v/>
      </c>
    </row>
    <row r="12016" customFormat="false" ht="15" hidden="false" customHeight="false" outlineLevel="0" collapsed="false">
      <c r="A12016" s="103"/>
      <c r="B12016" s="104"/>
      <c r="C12016" s="104"/>
      <c r="E12016" s="107" t="str">
        <f aca="false">IF($C12016="","",IFERROR(INDEX(المنيو!$C$2:$C$500,MATCH($C12016,المنيو!$B$2:$B$500,0)),0))</f>
        <v/>
      </c>
      <c r="F12016" s="107" t="str">
        <f aca="false">IF($C12016="","",$D12016*$E12016)</f>
        <v/>
      </c>
      <c r="G12016" s="107" t="str">
        <f aca="false">IF($C12016="","",$D12016*IFERROR(INDEX('تحليل التكلفة والسعر'!$C$2:$C$700,MATCH($C12016,'تحليل التكلفة والسعر'!$B$2:$B$700,0)),0))</f>
        <v/>
      </c>
    </row>
    <row r="12017" customFormat="false" ht="15" hidden="false" customHeight="false" outlineLevel="0" collapsed="false">
      <c r="A12017" s="103"/>
      <c r="B12017" s="104"/>
      <c r="C12017" s="104"/>
      <c r="E12017" s="107" t="str">
        <f aca="false">IF($C12017="","",IFERROR(INDEX(المنيو!$C$2:$C$500,MATCH($C12017,المنيو!$B$2:$B$500,0)),0))</f>
        <v/>
      </c>
      <c r="F12017" s="107" t="str">
        <f aca="false">IF($C12017="","",$D12017*$E12017)</f>
        <v/>
      </c>
      <c r="G12017" s="107" t="str">
        <f aca="false">IF($C12017="","",$D12017*IFERROR(INDEX('تحليل التكلفة والسعر'!$C$2:$C$700,MATCH($C12017,'تحليل التكلفة والسعر'!$B$2:$B$700,0)),0))</f>
        <v/>
      </c>
    </row>
    <row r="12018" customFormat="false" ht="15" hidden="false" customHeight="false" outlineLevel="0" collapsed="false">
      <c r="A12018" s="103"/>
      <c r="B12018" s="104"/>
      <c r="C12018" s="104"/>
      <c r="E12018" s="107" t="str">
        <f aca="false">IF($C12018="","",IFERROR(INDEX(المنيو!$C$2:$C$500,MATCH($C12018,المنيو!$B$2:$B$500,0)),0))</f>
        <v/>
      </c>
      <c r="F12018" s="107" t="str">
        <f aca="false">IF($C12018="","",$D12018*$E12018)</f>
        <v/>
      </c>
      <c r="G12018" s="107" t="str">
        <f aca="false">IF($C12018="","",$D12018*IFERROR(INDEX('تحليل التكلفة والسعر'!$C$2:$C$700,MATCH($C12018,'تحليل التكلفة والسعر'!$B$2:$B$700,0)),0))</f>
        <v/>
      </c>
    </row>
    <row r="12019" customFormat="false" ht="15" hidden="false" customHeight="false" outlineLevel="0" collapsed="false">
      <c r="A12019" s="103"/>
      <c r="B12019" s="104"/>
      <c r="C12019" s="104"/>
      <c r="E12019" s="107" t="str">
        <f aca="false">IF($C12019="","",IFERROR(INDEX(المنيو!$C$2:$C$500,MATCH($C12019,المنيو!$B$2:$B$500,0)),0))</f>
        <v/>
      </c>
      <c r="F12019" s="107" t="str">
        <f aca="false">IF($C12019="","",$D12019*$E12019)</f>
        <v/>
      </c>
      <c r="G12019" s="107" t="str">
        <f aca="false">IF($C12019="","",$D12019*IFERROR(INDEX('تحليل التكلفة والسعر'!$C$2:$C$700,MATCH($C12019,'تحليل التكلفة والسعر'!$B$2:$B$700,0)),0))</f>
        <v/>
      </c>
    </row>
    <row r="12020" customFormat="false" ht="15" hidden="false" customHeight="false" outlineLevel="0" collapsed="false">
      <c r="A12020" s="103"/>
      <c r="B12020" s="104"/>
      <c r="C12020" s="104"/>
      <c r="E12020" s="107" t="str">
        <f aca="false">IF($C12020="","",IFERROR(INDEX(المنيو!$C$2:$C$500,MATCH($C12020,المنيو!$B$2:$B$500,0)),0))</f>
        <v/>
      </c>
      <c r="F12020" s="107" t="str">
        <f aca="false">IF($C12020="","",$D12020*$E12020)</f>
        <v/>
      </c>
      <c r="G12020" s="107" t="str">
        <f aca="false">IF($C12020="","",$D12020*IFERROR(INDEX('تحليل التكلفة والسعر'!$C$2:$C$700,MATCH($C12020,'تحليل التكلفة والسعر'!$B$2:$B$700,0)),0))</f>
        <v/>
      </c>
    </row>
    <row r="12021" customFormat="false" ht="15" hidden="false" customHeight="false" outlineLevel="0" collapsed="false">
      <c r="A12021" s="103"/>
      <c r="B12021" s="104"/>
      <c r="C12021" s="104"/>
      <c r="E12021" s="107" t="str">
        <f aca="false">IF($C12021="","",IFERROR(INDEX(المنيو!$C$2:$C$500,MATCH($C12021,المنيو!$B$2:$B$500,0)),0))</f>
        <v/>
      </c>
      <c r="F12021" s="107" t="str">
        <f aca="false">IF($C12021="","",$D12021*$E12021)</f>
        <v/>
      </c>
      <c r="G12021" s="107" t="str">
        <f aca="false">IF($C12021="","",$D12021*IFERROR(INDEX('تحليل التكلفة والسعر'!$C$2:$C$700,MATCH($C12021,'تحليل التكلفة والسعر'!$B$2:$B$700,0)),0))</f>
        <v/>
      </c>
    </row>
    <row r="12022" customFormat="false" ht="15" hidden="false" customHeight="false" outlineLevel="0" collapsed="false">
      <c r="A12022" s="103"/>
      <c r="B12022" s="104"/>
      <c r="C12022" s="104"/>
      <c r="E12022" s="107" t="str">
        <f aca="false">IF($C12022="","",IFERROR(INDEX(المنيو!$C$2:$C$500,MATCH($C12022,المنيو!$B$2:$B$500,0)),0))</f>
        <v/>
      </c>
      <c r="F12022" s="107" t="str">
        <f aca="false">IF($C12022="","",$D12022*$E12022)</f>
        <v/>
      </c>
      <c r="G12022" s="107" t="str">
        <f aca="false">IF($C12022="","",$D12022*IFERROR(INDEX('تحليل التكلفة والسعر'!$C$2:$C$700,MATCH($C12022,'تحليل التكلفة والسعر'!$B$2:$B$700,0)),0))</f>
        <v/>
      </c>
    </row>
    <row r="12023" customFormat="false" ht="15" hidden="false" customHeight="false" outlineLevel="0" collapsed="false">
      <c r="A12023" s="103"/>
      <c r="B12023" s="104"/>
      <c r="C12023" s="104"/>
      <c r="E12023" s="107" t="str">
        <f aca="false">IF($C12023="","",IFERROR(INDEX(المنيو!$C$2:$C$500,MATCH($C12023,المنيو!$B$2:$B$500,0)),0))</f>
        <v/>
      </c>
      <c r="F12023" s="107" t="str">
        <f aca="false">IF($C12023="","",$D12023*$E12023)</f>
        <v/>
      </c>
      <c r="G12023" s="107" t="str">
        <f aca="false">IF($C12023="","",$D12023*IFERROR(INDEX('تحليل التكلفة والسعر'!$C$2:$C$700,MATCH($C12023,'تحليل التكلفة والسعر'!$B$2:$B$700,0)),0))</f>
        <v/>
      </c>
    </row>
    <row r="12024" customFormat="false" ht="15" hidden="false" customHeight="false" outlineLevel="0" collapsed="false">
      <c r="A12024" s="103"/>
      <c r="B12024" s="104"/>
      <c r="C12024" s="104"/>
      <c r="E12024" s="107" t="str">
        <f aca="false">IF($C12024="","",IFERROR(INDEX(المنيو!$C$2:$C$500,MATCH($C12024,المنيو!$B$2:$B$500,0)),0))</f>
        <v/>
      </c>
      <c r="F12024" s="107" t="str">
        <f aca="false">IF($C12024="","",$D12024*$E12024)</f>
        <v/>
      </c>
      <c r="G12024" s="107" t="str">
        <f aca="false">IF($C12024="","",$D12024*IFERROR(INDEX('تحليل التكلفة والسعر'!$C$2:$C$700,MATCH($C12024,'تحليل التكلفة والسعر'!$B$2:$B$700,0)),0))</f>
        <v/>
      </c>
    </row>
    <row r="12025" customFormat="false" ht="15" hidden="false" customHeight="false" outlineLevel="0" collapsed="false">
      <c r="A12025" s="103"/>
      <c r="B12025" s="104"/>
      <c r="C12025" s="104"/>
      <c r="E12025" s="107" t="str">
        <f aca="false">IF($C12025="","",IFERROR(INDEX(المنيو!$C$2:$C$500,MATCH($C12025,المنيو!$B$2:$B$500,0)),0))</f>
        <v/>
      </c>
      <c r="F12025" s="107" t="str">
        <f aca="false">IF($C12025="","",$D12025*$E12025)</f>
        <v/>
      </c>
      <c r="G12025" s="107" t="str">
        <f aca="false">IF($C12025="","",$D12025*IFERROR(INDEX('تحليل التكلفة والسعر'!$C$2:$C$700,MATCH($C12025,'تحليل التكلفة والسعر'!$B$2:$B$700,0)),0))</f>
        <v/>
      </c>
    </row>
    <row r="12026" customFormat="false" ht="15" hidden="false" customHeight="false" outlineLevel="0" collapsed="false">
      <c r="A12026" s="103"/>
      <c r="B12026" s="104"/>
      <c r="C12026" s="104"/>
      <c r="E12026" s="107" t="str">
        <f aca="false">IF($C12026="","",IFERROR(INDEX(المنيو!$C$2:$C$500,MATCH($C12026,المنيو!$B$2:$B$500,0)),0))</f>
        <v/>
      </c>
      <c r="F12026" s="107" t="str">
        <f aca="false">IF($C12026="","",$D12026*$E12026)</f>
        <v/>
      </c>
      <c r="G12026" s="107" t="str">
        <f aca="false">IF($C12026="","",$D12026*IFERROR(INDEX('تحليل التكلفة والسعر'!$C$2:$C$700,MATCH($C12026,'تحليل التكلفة والسعر'!$B$2:$B$700,0)),0))</f>
        <v/>
      </c>
    </row>
    <row r="12027" customFormat="false" ht="15" hidden="false" customHeight="false" outlineLevel="0" collapsed="false">
      <c r="A12027" s="103"/>
      <c r="B12027" s="104"/>
      <c r="C12027" s="104"/>
      <c r="E12027" s="107" t="str">
        <f aca="false">IF($C12027="","",IFERROR(INDEX(المنيو!$C$2:$C$500,MATCH($C12027,المنيو!$B$2:$B$500,0)),0))</f>
        <v/>
      </c>
      <c r="F12027" s="107" t="str">
        <f aca="false">IF($C12027="","",$D12027*$E12027)</f>
        <v/>
      </c>
      <c r="G12027" s="107" t="str">
        <f aca="false">IF($C12027="","",$D12027*IFERROR(INDEX('تحليل التكلفة والسعر'!$C$2:$C$700,MATCH($C12027,'تحليل التكلفة والسعر'!$B$2:$B$700,0)),0))</f>
        <v/>
      </c>
    </row>
    <row r="12028" customFormat="false" ht="15" hidden="false" customHeight="false" outlineLevel="0" collapsed="false">
      <c r="A12028" s="103"/>
      <c r="B12028" s="104"/>
      <c r="C12028" s="104"/>
      <c r="E12028" s="107" t="str">
        <f aca="false">IF($C12028="","",IFERROR(INDEX(المنيو!$C$2:$C$500,MATCH($C12028,المنيو!$B$2:$B$500,0)),0))</f>
        <v/>
      </c>
      <c r="F12028" s="107" t="str">
        <f aca="false">IF($C12028="","",$D12028*$E12028)</f>
        <v/>
      </c>
      <c r="G12028" s="107" t="str">
        <f aca="false">IF($C12028="","",$D12028*IFERROR(INDEX('تحليل التكلفة والسعر'!$C$2:$C$700,MATCH($C12028,'تحليل التكلفة والسعر'!$B$2:$B$700,0)),0))</f>
        <v/>
      </c>
    </row>
    <row r="12029" customFormat="false" ht="15" hidden="false" customHeight="false" outlineLevel="0" collapsed="false">
      <c r="A12029" s="103"/>
      <c r="B12029" s="104"/>
      <c r="C12029" s="104"/>
      <c r="E12029" s="107" t="str">
        <f aca="false">IF($C12029="","",IFERROR(INDEX(المنيو!$C$2:$C$500,MATCH($C12029,المنيو!$B$2:$B$500,0)),0))</f>
        <v/>
      </c>
      <c r="F12029" s="107" t="str">
        <f aca="false">IF($C12029="","",$D12029*$E12029)</f>
        <v/>
      </c>
      <c r="G12029" s="107" t="str">
        <f aca="false">IF($C12029="","",$D12029*IFERROR(INDEX('تحليل التكلفة والسعر'!$C$2:$C$700,MATCH($C12029,'تحليل التكلفة والسعر'!$B$2:$B$700,0)),0))</f>
        <v/>
      </c>
    </row>
    <row r="12030" customFormat="false" ht="15" hidden="false" customHeight="false" outlineLevel="0" collapsed="false">
      <c r="A12030" s="103"/>
      <c r="B12030" s="104"/>
      <c r="C12030" s="104"/>
      <c r="E12030" s="107" t="str">
        <f aca="false">IF($C12030="","",IFERROR(INDEX(المنيو!$C$2:$C$500,MATCH($C12030,المنيو!$B$2:$B$500,0)),0))</f>
        <v/>
      </c>
      <c r="F12030" s="107" t="str">
        <f aca="false">IF($C12030="","",$D12030*$E12030)</f>
        <v/>
      </c>
      <c r="G12030" s="107" t="str">
        <f aca="false">IF($C12030="","",$D12030*IFERROR(INDEX('تحليل التكلفة والسعر'!$C$2:$C$700,MATCH($C12030,'تحليل التكلفة والسعر'!$B$2:$B$700,0)),0))</f>
        <v/>
      </c>
    </row>
    <row r="12031" customFormat="false" ht="15" hidden="false" customHeight="false" outlineLevel="0" collapsed="false">
      <c r="A12031" s="103"/>
      <c r="B12031" s="104"/>
      <c r="C12031" s="104"/>
      <c r="E12031" s="107" t="str">
        <f aca="false">IF($C12031="","",IFERROR(INDEX(المنيو!$C$2:$C$500,MATCH($C12031,المنيو!$B$2:$B$500,0)),0))</f>
        <v/>
      </c>
      <c r="F12031" s="107" t="str">
        <f aca="false">IF($C12031="","",$D12031*$E12031)</f>
        <v/>
      </c>
      <c r="G12031" s="107" t="str">
        <f aca="false">IF($C12031="","",$D12031*IFERROR(INDEX('تحليل التكلفة والسعر'!$C$2:$C$700,MATCH($C12031,'تحليل التكلفة والسعر'!$B$2:$B$700,0)),0))</f>
        <v/>
      </c>
    </row>
    <row r="12032" customFormat="false" ht="15" hidden="false" customHeight="false" outlineLevel="0" collapsed="false">
      <c r="A12032" s="103"/>
      <c r="B12032" s="104"/>
      <c r="C12032" s="104"/>
      <c r="E12032" s="107" t="str">
        <f aca="false">IF($C12032="","",IFERROR(INDEX(المنيو!$C$2:$C$500,MATCH($C12032,المنيو!$B$2:$B$500,0)),0))</f>
        <v/>
      </c>
      <c r="F12032" s="107" t="str">
        <f aca="false">IF($C12032="","",$D12032*$E12032)</f>
        <v/>
      </c>
      <c r="G12032" s="107" t="str">
        <f aca="false">IF($C12032="","",$D12032*IFERROR(INDEX('تحليل التكلفة والسعر'!$C$2:$C$700,MATCH($C12032,'تحليل التكلفة والسعر'!$B$2:$B$700,0)),0))</f>
        <v/>
      </c>
    </row>
    <row r="12033" customFormat="false" ht="15" hidden="false" customHeight="false" outlineLevel="0" collapsed="false">
      <c r="A12033" s="103"/>
      <c r="B12033" s="104"/>
      <c r="C12033" s="104"/>
      <c r="E12033" s="107" t="str">
        <f aca="false">IF($C12033="","",IFERROR(INDEX(المنيو!$C$2:$C$500,MATCH($C12033,المنيو!$B$2:$B$500,0)),0))</f>
        <v/>
      </c>
      <c r="F12033" s="107" t="str">
        <f aca="false">IF($C12033="","",$D12033*$E12033)</f>
        <v/>
      </c>
      <c r="G12033" s="107" t="str">
        <f aca="false">IF($C12033="","",$D12033*IFERROR(INDEX('تحليل التكلفة والسعر'!$C$2:$C$700,MATCH($C12033,'تحليل التكلفة والسعر'!$B$2:$B$700,0)),0))</f>
        <v/>
      </c>
    </row>
    <row r="12034" customFormat="false" ht="15" hidden="false" customHeight="false" outlineLevel="0" collapsed="false">
      <c r="A12034" s="103"/>
      <c r="B12034" s="104"/>
      <c r="C12034" s="104"/>
      <c r="E12034" s="107" t="str">
        <f aca="false">IF($C12034="","",IFERROR(INDEX(المنيو!$C$2:$C$500,MATCH($C12034,المنيو!$B$2:$B$500,0)),0))</f>
        <v/>
      </c>
      <c r="F12034" s="107" t="str">
        <f aca="false">IF($C12034="","",$D12034*$E12034)</f>
        <v/>
      </c>
      <c r="G12034" s="107" t="str">
        <f aca="false">IF($C12034="","",$D12034*IFERROR(INDEX('تحليل التكلفة والسعر'!$C$2:$C$700,MATCH($C12034,'تحليل التكلفة والسعر'!$B$2:$B$700,0)),0))</f>
        <v/>
      </c>
    </row>
    <row r="12035" customFormat="false" ht="15" hidden="false" customHeight="false" outlineLevel="0" collapsed="false">
      <c r="A12035" s="103"/>
      <c r="B12035" s="104"/>
      <c r="C12035" s="104"/>
      <c r="E12035" s="107" t="str">
        <f aca="false">IF($C12035="","",IFERROR(INDEX(المنيو!$C$2:$C$500,MATCH($C12035,المنيو!$B$2:$B$500,0)),0))</f>
        <v/>
      </c>
      <c r="F12035" s="107" t="str">
        <f aca="false">IF($C12035="","",$D12035*$E12035)</f>
        <v/>
      </c>
      <c r="G12035" s="107" t="str">
        <f aca="false">IF($C12035="","",$D12035*IFERROR(INDEX('تحليل التكلفة والسعر'!$C$2:$C$700,MATCH($C12035,'تحليل التكلفة والسعر'!$B$2:$B$700,0)),0))</f>
        <v/>
      </c>
    </row>
    <row r="12036" customFormat="false" ht="15" hidden="false" customHeight="false" outlineLevel="0" collapsed="false">
      <c r="A12036" s="103"/>
      <c r="B12036" s="104"/>
      <c r="C12036" s="104"/>
      <c r="E12036" s="107" t="str">
        <f aca="false">IF($C12036="","",IFERROR(INDEX(المنيو!$C$2:$C$500,MATCH($C12036,المنيو!$B$2:$B$500,0)),0))</f>
        <v/>
      </c>
      <c r="F12036" s="107" t="str">
        <f aca="false">IF($C12036="","",$D12036*$E12036)</f>
        <v/>
      </c>
      <c r="G12036" s="107" t="str">
        <f aca="false">IF($C12036="","",$D12036*IFERROR(INDEX('تحليل التكلفة والسعر'!$C$2:$C$700,MATCH($C12036,'تحليل التكلفة والسعر'!$B$2:$B$700,0)),0))</f>
        <v/>
      </c>
    </row>
    <row r="12037" customFormat="false" ht="15" hidden="false" customHeight="false" outlineLevel="0" collapsed="false">
      <c r="A12037" s="103"/>
      <c r="B12037" s="104"/>
      <c r="C12037" s="104"/>
      <c r="E12037" s="107" t="str">
        <f aca="false">IF($C12037="","",IFERROR(INDEX(المنيو!$C$2:$C$500,MATCH($C12037,المنيو!$B$2:$B$500,0)),0))</f>
        <v/>
      </c>
      <c r="F12037" s="107" t="str">
        <f aca="false">IF($C12037="","",$D12037*$E12037)</f>
        <v/>
      </c>
      <c r="G12037" s="107" t="str">
        <f aca="false">IF($C12037="","",$D12037*IFERROR(INDEX('تحليل التكلفة والسعر'!$C$2:$C$700,MATCH($C12037,'تحليل التكلفة والسعر'!$B$2:$B$700,0)),0))</f>
        <v/>
      </c>
    </row>
    <row r="12038" customFormat="false" ht="15" hidden="false" customHeight="false" outlineLevel="0" collapsed="false">
      <c r="A12038" s="103"/>
      <c r="B12038" s="104"/>
      <c r="C12038" s="104"/>
      <c r="E12038" s="107" t="str">
        <f aca="false">IF($C12038="","",IFERROR(INDEX(المنيو!$C$2:$C$500,MATCH($C12038,المنيو!$B$2:$B$500,0)),0))</f>
        <v/>
      </c>
      <c r="F12038" s="107" t="str">
        <f aca="false">IF($C12038="","",$D12038*$E12038)</f>
        <v/>
      </c>
      <c r="G12038" s="107" t="str">
        <f aca="false">IF($C12038="","",$D12038*IFERROR(INDEX('تحليل التكلفة والسعر'!$C$2:$C$700,MATCH($C12038,'تحليل التكلفة والسعر'!$B$2:$B$700,0)),0))</f>
        <v/>
      </c>
    </row>
    <row r="12039" customFormat="false" ht="15" hidden="false" customHeight="false" outlineLevel="0" collapsed="false">
      <c r="A12039" s="103"/>
      <c r="B12039" s="104"/>
      <c r="C12039" s="104"/>
      <c r="E12039" s="107" t="str">
        <f aca="false">IF($C12039="","",IFERROR(INDEX(المنيو!$C$2:$C$500,MATCH($C12039,المنيو!$B$2:$B$500,0)),0))</f>
        <v/>
      </c>
      <c r="F12039" s="107" t="str">
        <f aca="false">IF($C12039="","",$D12039*$E12039)</f>
        <v/>
      </c>
      <c r="G12039" s="107" t="str">
        <f aca="false">IF($C12039="","",$D12039*IFERROR(INDEX('تحليل التكلفة والسعر'!$C$2:$C$700,MATCH($C12039,'تحليل التكلفة والسعر'!$B$2:$B$700,0)),0))</f>
        <v/>
      </c>
    </row>
    <row r="12040" customFormat="false" ht="15" hidden="false" customHeight="false" outlineLevel="0" collapsed="false">
      <c r="A12040" s="103"/>
      <c r="B12040" s="104"/>
      <c r="C12040" s="104"/>
      <c r="E12040" s="107" t="str">
        <f aca="false">IF($C12040="","",IFERROR(INDEX(المنيو!$C$2:$C$500,MATCH($C12040,المنيو!$B$2:$B$500,0)),0))</f>
        <v/>
      </c>
      <c r="F12040" s="107" t="str">
        <f aca="false">IF($C12040="","",$D12040*$E12040)</f>
        <v/>
      </c>
      <c r="G12040" s="107" t="str">
        <f aca="false">IF($C12040="","",$D12040*IFERROR(INDEX('تحليل التكلفة والسعر'!$C$2:$C$700,MATCH($C12040,'تحليل التكلفة والسعر'!$B$2:$B$700,0)),0))</f>
        <v/>
      </c>
    </row>
    <row r="12041" customFormat="false" ht="15" hidden="false" customHeight="false" outlineLevel="0" collapsed="false">
      <c r="A12041" s="103"/>
      <c r="B12041" s="104"/>
      <c r="C12041" s="104"/>
      <c r="E12041" s="107" t="str">
        <f aca="false">IF($C12041="","",IFERROR(INDEX(المنيو!$C$2:$C$500,MATCH($C12041,المنيو!$B$2:$B$500,0)),0))</f>
        <v/>
      </c>
      <c r="F12041" s="107" t="str">
        <f aca="false">IF($C12041="","",$D12041*$E12041)</f>
        <v/>
      </c>
      <c r="G12041" s="107" t="str">
        <f aca="false">IF($C12041="","",$D12041*IFERROR(INDEX('تحليل التكلفة والسعر'!$C$2:$C$700,MATCH($C12041,'تحليل التكلفة والسعر'!$B$2:$B$700,0)),0))</f>
        <v/>
      </c>
    </row>
    <row r="12042" customFormat="false" ht="15" hidden="false" customHeight="false" outlineLevel="0" collapsed="false">
      <c r="A12042" s="103"/>
      <c r="B12042" s="104"/>
      <c r="C12042" s="104"/>
      <c r="E12042" s="107" t="str">
        <f aca="false">IF($C12042="","",IFERROR(INDEX(المنيو!$C$2:$C$500,MATCH($C12042,المنيو!$B$2:$B$500,0)),0))</f>
        <v/>
      </c>
      <c r="F12042" s="107" t="str">
        <f aca="false">IF($C12042="","",$D12042*$E12042)</f>
        <v/>
      </c>
      <c r="G12042" s="107" t="str">
        <f aca="false">IF($C12042="","",$D12042*IFERROR(INDEX('تحليل التكلفة والسعر'!$C$2:$C$700,MATCH($C12042,'تحليل التكلفة والسعر'!$B$2:$B$700,0)),0))</f>
        <v/>
      </c>
    </row>
    <row r="12043" customFormat="false" ht="15" hidden="false" customHeight="false" outlineLevel="0" collapsed="false">
      <c r="A12043" s="103"/>
      <c r="B12043" s="104"/>
      <c r="C12043" s="104"/>
      <c r="E12043" s="107" t="str">
        <f aca="false">IF($C12043="","",IFERROR(INDEX(المنيو!$C$2:$C$500,MATCH($C12043,المنيو!$B$2:$B$500,0)),0))</f>
        <v/>
      </c>
      <c r="F12043" s="107" t="str">
        <f aca="false">IF($C12043="","",$D12043*$E12043)</f>
        <v/>
      </c>
      <c r="G12043" s="107" t="str">
        <f aca="false">IF($C12043="","",$D12043*IFERROR(INDEX('تحليل التكلفة والسعر'!$C$2:$C$700,MATCH($C12043,'تحليل التكلفة والسعر'!$B$2:$B$700,0)),0))</f>
        <v/>
      </c>
    </row>
    <row r="12044" customFormat="false" ht="15" hidden="false" customHeight="false" outlineLevel="0" collapsed="false">
      <c r="A12044" s="103"/>
      <c r="B12044" s="104"/>
      <c r="C12044" s="104"/>
      <c r="E12044" s="107" t="str">
        <f aca="false">IF($C12044="","",IFERROR(INDEX(المنيو!$C$2:$C$500,MATCH($C12044,المنيو!$B$2:$B$500,0)),0))</f>
        <v/>
      </c>
      <c r="F12044" s="107" t="str">
        <f aca="false">IF($C12044="","",$D12044*$E12044)</f>
        <v/>
      </c>
      <c r="G12044" s="107" t="str">
        <f aca="false">IF($C12044="","",$D12044*IFERROR(INDEX('تحليل التكلفة والسعر'!$C$2:$C$700,MATCH($C12044,'تحليل التكلفة والسعر'!$B$2:$B$700,0)),0))</f>
        <v/>
      </c>
    </row>
    <row r="12045" customFormat="false" ht="15" hidden="false" customHeight="false" outlineLevel="0" collapsed="false">
      <c r="A12045" s="103"/>
      <c r="B12045" s="104"/>
      <c r="C12045" s="104"/>
      <c r="E12045" s="107" t="str">
        <f aca="false">IF($C12045="","",IFERROR(INDEX(المنيو!$C$2:$C$500,MATCH($C12045,المنيو!$B$2:$B$500,0)),0))</f>
        <v/>
      </c>
      <c r="F12045" s="107" t="str">
        <f aca="false">IF($C12045="","",$D12045*$E12045)</f>
        <v/>
      </c>
      <c r="G12045" s="107" t="str">
        <f aca="false">IF($C12045="","",$D12045*IFERROR(INDEX('تحليل التكلفة والسعر'!$C$2:$C$700,MATCH($C12045,'تحليل التكلفة والسعر'!$B$2:$B$700,0)),0))</f>
        <v/>
      </c>
    </row>
    <row r="12046" customFormat="false" ht="15" hidden="false" customHeight="false" outlineLevel="0" collapsed="false">
      <c r="A12046" s="103"/>
      <c r="B12046" s="104"/>
      <c r="C12046" s="104"/>
      <c r="E12046" s="107" t="str">
        <f aca="false">IF($C12046="","",IFERROR(INDEX(المنيو!$C$2:$C$500,MATCH($C12046,المنيو!$B$2:$B$500,0)),0))</f>
        <v/>
      </c>
      <c r="F12046" s="107" t="str">
        <f aca="false">IF($C12046="","",$D12046*$E12046)</f>
        <v/>
      </c>
      <c r="G12046" s="107" t="str">
        <f aca="false">IF($C12046="","",$D12046*IFERROR(INDEX('تحليل التكلفة والسعر'!$C$2:$C$700,MATCH($C12046,'تحليل التكلفة والسعر'!$B$2:$B$700,0)),0))</f>
        <v/>
      </c>
    </row>
    <row r="12047" customFormat="false" ht="15" hidden="false" customHeight="false" outlineLevel="0" collapsed="false">
      <c r="A12047" s="103"/>
      <c r="B12047" s="104"/>
      <c r="C12047" s="104"/>
      <c r="E12047" s="107" t="str">
        <f aca="false">IF($C12047="","",IFERROR(INDEX(المنيو!$C$2:$C$500,MATCH($C12047,المنيو!$B$2:$B$500,0)),0))</f>
        <v/>
      </c>
      <c r="F12047" s="107" t="str">
        <f aca="false">IF($C12047="","",$D12047*$E12047)</f>
        <v/>
      </c>
      <c r="G12047" s="107" t="str">
        <f aca="false">IF($C12047="","",$D12047*IFERROR(INDEX('تحليل التكلفة والسعر'!$C$2:$C$700,MATCH($C12047,'تحليل التكلفة والسعر'!$B$2:$B$700,0)),0))</f>
        <v/>
      </c>
    </row>
    <row r="12048" customFormat="false" ht="15" hidden="false" customHeight="false" outlineLevel="0" collapsed="false">
      <c r="A12048" s="103"/>
      <c r="B12048" s="104"/>
      <c r="C12048" s="104"/>
      <c r="E12048" s="107" t="str">
        <f aca="false">IF($C12048="","",IFERROR(INDEX(المنيو!$C$2:$C$500,MATCH($C12048,المنيو!$B$2:$B$500,0)),0))</f>
        <v/>
      </c>
      <c r="F12048" s="107" t="str">
        <f aca="false">IF($C12048="","",$D12048*$E12048)</f>
        <v/>
      </c>
      <c r="G12048" s="107" t="str">
        <f aca="false">IF($C12048="","",$D12048*IFERROR(INDEX('تحليل التكلفة والسعر'!$C$2:$C$700,MATCH($C12048,'تحليل التكلفة والسعر'!$B$2:$B$700,0)),0))</f>
        <v/>
      </c>
    </row>
    <row r="12049" customFormat="false" ht="15" hidden="false" customHeight="false" outlineLevel="0" collapsed="false">
      <c r="A12049" s="103"/>
      <c r="B12049" s="104"/>
      <c r="C12049" s="104"/>
      <c r="E12049" s="107" t="str">
        <f aca="false">IF($C12049="","",IFERROR(INDEX(المنيو!$C$2:$C$500,MATCH($C12049,المنيو!$B$2:$B$500,0)),0))</f>
        <v/>
      </c>
      <c r="F12049" s="107" t="str">
        <f aca="false">IF($C12049="","",$D12049*$E12049)</f>
        <v/>
      </c>
      <c r="G12049" s="107" t="str">
        <f aca="false">IF($C12049="","",$D12049*IFERROR(INDEX('تحليل التكلفة والسعر'!$C$2:$C$700,MATCH($C12049,'تحليل التكلفة والسعر'!$B$2:$B$700,0)),0))</f>
        <v/>
      </c>
    </row>
    <row r="12050" customFormat="false" ht="15" hidden="false" customHeight="false" outlineLevel="0" collapsed="false">
      <c r="A12050" s="103"/>
      <c r="B12050" s="104"/>
      <c r="C12050" s="104"/>
      <c r="E12050" s="107" t="str">
        <f aca="false">IF($C12050="","",IFERROR(INDEX(المنيو!$C$2:$C$500,MATCH($C12050,المنيو!$B$2:$B$500,0)),0))</f>
        <v/>
      </c>
      <c r="F12050" s="107" t="str">
        <f aca="false">IF($C12050="","",$D12050*$E12050)</f>
        <v/>
      </c>
      <c r="G12050" s="107" t="str">
        <f aca="false">IF($C12050="","",$D12050*IFERROR(INDEX('تحليل التكلفة والسعر'!$C$2:$C$700,MATCH($C12050,'تحليل التكلفة والسعر'!$B$2:$B$700,0)),0))</f>
        <v/>
      </c>
    </row>
    <row r="12051" customFormat="false" ht="15" hidden="false" customHeight="false" outlineLevel="0" collapsed="false">
      <c r="A12051" s="103"/>
      <c r="B12051" s="104"/>
      <c r="C12051" s="104"/>
      <c r="E12051" s="107" t="str">
        <f aca="false">IF($C12051="","",IFERROR(INDEX(المنيو!$C$2:$C$500,MATCH($C12051,المنيو!$B$2:$B$500,0)),0))</f>
        <v/>
      </c>
      <c r="F12051" s="107" t="str">
        <f aca="false">IF($C12051="","",$D12051*$E12051)</f>
        <v/>
      </c>
      <c r="G12051" s="107" t="str">
        <f aca="false">IF($C12051="","",$D12051*IFERROR(INDEX('تحليل التكلفة والسعر'!$C$2:$C$700,MATCH($C12051,'تحليل التكلفة والسعر'!$B$2:$B$700,0)),0))</f>
        <v/>
      </c>
    </row>
    <row r="12052" customFormat="false" ht="15" hidden="false" customHeight="false" outlineLevel="0" collapsed="false">
      <c r="A12052" s="103"/>
      <c r="B12052" s="104"/>
      <c r="C12052" s="104"/>
      <c r="E12052" s="107" t="str">
        <f aca="false">IF($C12052="","",IFERROR(INDEX(المنيو!$C$2:$C$500,MATCH($C12052,المنيو!$B$2:$B$500,0)),0))</f>
        <v/>
      </c>
      <c r="F12052" s="107" t="str">
        <f aca="false">IF($C12052="","",$D12052*$E12052)</f>
        <v/>
      </c>
      <c r="G12052" s="107" t="str">
        <f aca="false">IF($C12052="","",$D12052*IFERROR(INDEX('تحليل التكلفة والسعر'!$C$2:$C$700,MATCH($C12052,'تحليل التكلفة والسعر'!$B$2:$B$700,0)),0))</f>
        <v/>
      </c>
    </row>
    <row r="12053" customFormat="false" ht="15" hidden="false" customHeight="false" outlineLevel="0" collapsed="false">
      <c r="A12053" s="103"/>
      <c r="B12053" s="104"/>
      <c r="C12053" s="104"/>
      <c r="E12053" s="107" t="str">
        <f aca="false">IF($C12053="","",IFERROR(INDEX(المنيو!$C$2:$C$500,MATCH($C12053,المنيو!$B$2:$B$500,0)),0))</f>
        <v/>
      </c>
      <c r="F12053" s="107" t="str">
        <f aca="false">IF($C12053="","",$D12053*$E12053)</f>
        <v/>
      </c>
      <c r="G12053" s="107" t="str">
        <f aca="false">IF($C12053="","",$D12053*IFERROR(INDEX('تحليل التكلفة والسعر'!$C$2:$C$700,MATCH($C12053,'تحليل التكلفة والسعر'!$B$2:$B$700,0)),0))</f>
        <v/>
      </c>
    </row>
    <row r="12054" customFormat="false" ht="15" hidden="false" customHeight="false" outlineLevel="0" collapsed="false">
      <c r="A12054" s="103"/>
      <c r="B12054" s="104"/>
      <c r="C12054" s="104"/>
      <c r="E12054" s="107" t="str">
        <f aca="false">IF($C12054="","",IFERROR(INDEX(المنيو!$C$2:$C$500,MATCH($C12054,المنيو!$B$2:$B$500,0)),0))</f>
        <v/>
      </c>
      <c r="F12054" s="107" t="str">
        <f aca="false">IF($C12054="","",$D12054*$E12054)</f>
        <v/>
      </c>
      <c r="G12054" s="107" t="str">
        <f aca="false">IF($C12054="","",$D12054*IFERROR(INDEX('تحليل التكلفة والسعر'!$C$2:$C$700,MATCH($C12054,'تحليل التكلفة والسعر'!$B$2:$B$700,0)),0))</f>
        <v/>
      </c>
    </row>
    <row r="12055" customFormat="false" ht="15" hidden="false" customHeight="false" outlineLevel="0" collapsed="false">
      <c r="A12055" s="103"/>
      <c r="B12055" s="104"/>
      <c r="C12055" s="104"/>
      <c r="E12055" s="107" t="str">
        <f aca="false">IF($C12055="","",IFERROR(INDEX(المنيو!$C$2:$C$500,MATCH($C12055,المنيو!$B$2:$B$500,0)),0))</f>
        <v/>
      </c>
      <c r="F12055" s="107" t="str">
        <f aca="false">IF($C12055="","",$D12055*$E12055)</f>
        <v/>
      </c>
      <c r="G12055" s="107" t="str">
        <f aca="false">IF($C12055="","",$D12055*IFERROR(INDEX('تحليل التكلفة والسعر'!$C$2:$C$700,MATCH($C12055,'تحليل التكلفة والسعر'!$B$2:$B$700,0)),0))</f>
        <v/>
      </c>
    </row>
    <row r="12056" customFormat="false" ht="15" hidden="false" customHeight="false" outlineLevel="0" collapsed="false">
      <c r="A12056" s="103"/>
      <c r="B12056" s="104"/>
      <c r="C12056" s="104"/>
      <c r="E12056" s="107" t="str">
        <f aca="false">IF($C12056="","",IFERROR(INDEX(المنيو!$C$2:$C$500,MATCH($C12056,المنيو!$B$2:$B$500,0)),0))</f>
        <v/>
      </c>
      <c r="F12056" s="107" t="str">
        <f aca="false">IF($C12056="","",$D12056*$E12056)</f>
        <v/>
      </c>
      <c r="G12056" s="107" t="str">
        <f aca="false">IF($C12056="","",$D12056*IFERROR(INDEX('تحليل التكلفة والسعر'!$C$2:$C$700,MATCH($C12056,'تحليل التكلفة والسعر'!$B$2:$B$700,0)),0))</f>
        <v/>
      </c>
    </row>
    <row r="12057" customFormat="false" ht="15" hidden="false" customHeight="false" outlineLevel="0" collapsed="false">
      <c r="A12057" s="103"/>
      <c r="B12057" s="104"/>
      <c r="C12057" s="104"/>
      <c r="E12057" s="107" t="str">
        <f aca="false">IF($C12057="","",IFERROR(INDEX(المنيو!$C$2:$C$500,MATCH($C12057,المنيو!$B$2:$B$500,0)),0))</f>
        <v/>
      </c>
      <c r="F12057" s="107" t="str">
        <f aca="false">IF($C12057="","",$D12057*$E12057)</f>
        <v/>
      </c>
      <c r="G12057" s="107" t="str">
        <f aca="false">IF($C12057="","",$D12057*IFERROR(INDEX('تحليل التكلفة والسعر'!$C$2:$C$700,MATCH($C12057,'تحليل التكلفة والسعر'!$B$2:$B$700,0)),0))</f>
        <v/>
      </c>
    </row>
    <row r="12058" customFormat="false" ht="15" hidden="false" customHeight="false" outlineLevel="0" collapsed="false">
      <c r="A12058" s="103"/>
      <c r="B12058" s="104"/>
      <c r="C12058" s="104"/>
      <c r="E12058" s="107" t="str">
        <f aca="false">IF($C12058="","",IFERROR(INDEX(المنيو!$C$2:$C$500,MATCH($C12058,المنيو!$B$2:$B$500,0)),0))</f>
        <v/>
      </c>
      <c r="F12058" s="107" t="str">
        <f aca="false">IF($C12058="","",$D12058*$E12058)</f>
        <v/>
      </c>
      <c r="G12058" s="107" t="str">
        <f aca="false">IF($C12058="","",$D12058*IFERROR(INDEX('تحليل التكلفة والسعر'!$C$2:$C$700,MATCH($C12058,'تحليل التكلفة والسعر'!$B$2:$B$700,0)),0))</f>
        <v/>
      </c>
    </row>
    <row r="12059" customFormat="false" ht="15" hidden="false" customHeight="false" outlineLevel="0" collapsed="false">
      <c r="A12059" s="103"/>
      <c r="B12059" s="104"/>
      <c r="C12059" s="104"/>
      <c r="E12059" s="107" t="str">
        <f aca="false">IF($C12059="","",IFERROR(INDEX(المنيو!$C$2:$C$500,MATCH($C12059,المنيو!$B$2:$B$500,0)),0))</f>
        <v/>
      </c>
      <c r="F12059" s="107" t="str">
        <f aca="false">IF($C12059="","",$D12059*$E12059)</f>
        <v/>
      </c>
      <c r="G12059" s="107" t="str">
        <f aca="false">IF($C12059="","",$D12059*IFERROR(INDEX('تحليل التكلفة والسعر'!$C$2:$C$700,MATCH($C12059,'تحليل التكلفة والسعر'!$B$2:$B$700,0)),0))</f>
        <v/>
      </c>
    </row>
    <row r="12060" customFormat="false" ht="15" hidden="false" customHeight="false" outlineLevel="0" collapsed="false">
      <c r="A12060" s="103"/>
      <c r="B12060" s="104"/>
      <c r="C12060" s="104"/>
      <c r="E12060" s="107" t="str">
        <f aca="false">IF($C12060="","",IFERROR(INDEX(المنيو!$C$2:$C$500,MATCH($C12060,المنيو!$B$2:$B$500,0)),0))</f>
        <v/>
      </c>
      <c r="F12060" s="107" t="str">
        <f aca="false">IF($C12060="","",$D12060*$E12060)</f>
        <v/>
      </c>
      <c r="G12060" s="107" t="str">
        <f aca="false">IF($C12060="","",$D12060*IFERROR(INDEX('تحليل التكلفة والسعر'!$C$2:$C$700,MATCH($C12060,'تحليل التكلفة والسعر'!$B$2:$B$700,0)),0))</f>
        <v/>
      </c>
    </row>
    <row r="12061" customFormat="false" ht="15" hidden="false" customHeight="false" outlineLevel="0" collapsed="false">
      <c r="A12061" s="103"/>
      <c r="B12061" s="104"/>
      <c r="C12061" s="104"/>
      <c r="E12061" s="107" t="str">
        <f aca="false">IF($C12061="","",IFERROR(INDEX(المنيو!$C$2:$C$500,MATCH($C12061,المنيو!$B$2:$B$500,0)),0))</f>
        <v/>
      </c>
      <c r="F12061" s="107" t="str">
        <f aca="false">IF($C12061="","",$D12061*$E12061)</f>
        <v/>
      </c>
      <c r="G12061" s="107" t="str">
        <f aca="false">IF($C12061="","",$D12061*IFERROR(INDEX('تحليل التكلفة والسعر'!$C$2:$C$700,MATCH($C12061,'تحليل التكلفة والسعر'!$B$2:$B$700,0)),0))</f>
        <v/>
      </c>
    </row>
    <row r="12062" customFormat="false" ht="15" hidden="false" customHeight="false" outlineLevel="0" collapsed="false">
      <c r="A12062" s="103"/>
      <c r="B12062" s="104"/>
      <c r="C12062" s="104"/>
      <c r="E12062" s="107" t="str">
        <f aca="false">IF($C12062="","",IFERROR(INDEX(المنيو!$C$2:$C$500,MATCH($C12062,المنيو!$B$2:$B$500,0)),0))</f>
        <v/>
      </c>
      <c r="F12062" s="107" t="str">
        <f aca="false">IF($C12062="","",$D12062*$E12062)</f>
        <v/>
      </c>
      <c r="G12062" s="107" t="str">
        <f aca="false">IF($C12062="","",$D12062*IFERROR(INDEX('تحليل التكلفة والسعر'!$C$2:$C$700,MATCH($C12062,'تحليل التكلفة والسعر'!$B$2:$B$700,0)),0))</f>
        <v/>
      </c>
    </row>
    <row r="12063" customFormat="false" ht="15" hidden="false" customHeight="false" outlineLevel="0" collapsed="false">
      <c r="A12063" s="103"/>
      <c r="B12063" s="104"/>
      <c r="C12063" s="104"/>
      <c r="E12063" s="107" t="str">
        <f aca="false">IF($C12063="","",IFERROR(INDEX(المنيو!$C$2:$C$500,MATCH($C12063,المنيو!$B$2:$B$500,0)),0))</f>
        <v/>
      </c>
      <c r="F12063" s="107" t="str">
        <f aca="false">IF($C12063="","",$D12063*$E12063)</f>
        <v/>
      </c>
      <c r="G12063" s="107" t="str">
        <f aca="false">IF($C12063="","",$D12063*IFERROR(INDEX('تحليل التكلفة والسعر'!$C$2:$C$700,MATCH($C12063,'تحليل التكلفة والسعر'!$B$2:$B$700,0)),0))</f>
        <v/>
      </c>
    </row>
    <row r="12064" customFormat="false" ht="15" hidden="false" customHeight="false" outlineLevel="0" collapsed="false">
      <c r="A12064" s="103"/>
      <c r="B12064" s="104"/>
      <c r="C12064" s="104"/>
      <c r="E12064" s="107" t="str">
        <f aca="false">IF($C12064="","",IFERROR(INDEX(المنيو!$C$2:$C$500,MATCH($C12064,المنيو!$B$2:$B$500,0)),0))</f>
        <v/>
      </c>
      <c r="F12064" s="107" t="str">
        <f aca="false">IF($C12064="","",$D12064*$E12064)</f>
        <v/>
      </c>
      <c r="G12064" s="107" t="str">
        <f aca="false">IF($C12064="","",$D12064*IFERROR(INDEX('تحليل التكلفة والسعر'!$C$2:$C$700,MATCH($C12064,'تحليل التكلفة والسعر'!$B$2:$B$700,0)),0))</f>
        <v/>
      </c>
    </row>
    <row r="12065" customFormat="false" ht="15" hidden="false" customHeight="false" outlineLevel="0" collapsed="false">
      <c r="A12065" s="103"/>
      <c r="B12065" s="104"/>
      <c r="C12065" s="104"/>
      <c r="E12065" s="107" t="str">
        <f aca="false">IF($C12065="","",IFERROR(INDEX(المنيو!$C$2:$C$500,MATCH($C12065,المنيو!$B$2:$B$500,0)),0))</f>
        <v/>
      </c>
      <c r="F12065" s="107" t="str">
        <f aca="false">IF($C12065="","",$D12065*$E12065)</f>
        <v/>
      </c>
      <c r="G12065" s="107" t="str">
        <f aca="false">IF($C12065="","",$D12065*IFERROR(INDEX('تحليل التكلفة والسعر'!$C$2:$C$700,MATCH($C12065,'تحليل التكلفة والسعر'!$B$2:$B$700,0)),0))</f>
        <v/>
      </c>
    </row>
    <row r="12066" customFormat="false" ht="15" hidden="false" customHeight="false" outlineLevel="0" collapsed="false">
      <c r="A12066" s="103"/>
      <c r="B12066" s="104"/>
      <c r="C12066" s="104"/>
      <c r="E12066" s="107" t="str">
        <f aca="false">IF($C12066="","",IFERROR(INDEX(المنيو!$C$2:$C$500,MATCH($C12066,المنيو!$B$2:$B$500,0)),0))</f>
        <v/>
      </c>
      <c r="F12066" s="107" t="str">
        <f aca="false">IF($C12066="","",$D12066*$E12066)</f>
        <v/>
      </c>
      <c r="G12066" s="107" t="str">
        <f aca="false">IF($C12066="","",$D12066*IFERROR(INDEX('تحليل التكلفة والسعر'!$C$2:$C$700,MATCH($C12066,'تحليل التكلفة والسعر'!$B$2:$B$700,0)),0))</f>
        <v/>
      </c>
    </row>
    <row r="12067" customFormat="false" ht="15" hidden="false" customHeight="false" outlineLevel="0" collapsed="false">
      <c r="A12067" s="103"/>
      <c r="B12067" s="104"/>
      <c r="C12067" s="104"/>
      <c r="E12067" s="107" t="str">
        <f aca="false">IF($C12067="","",IFERROR(INDEX(المنيو!$C$2:$C$500,MATCH($C12067,المنيو!$B$2:$B$500,0)),0))</f>
        <v/>
      </c>
      <c r="F12067" s="107" t="str">
        <f aca="false">IF($C12067="","",$D12067*$E12067)</f>
        <v/>
      </c>
      <c r="G12067" s="107" t="str">
        <f aca="false">IF($C12067="","",$D12067*IFERROR(INDEX('تحليل التكلفة والسعر'!$C$2:$C$700,MATCH($C12067,'تحليل التكلفة والسعر'!$B$2:$B$700,0)),0))</f>
        <v/>
      </c>
    </row>
    <row r="12068" customFormat="false" ht="15" hidden="false" customHeight="false" outlineLevel="0" collapsed="false">
      <c r="A12068" s="103"/>
      <c r="B12068" s="104"/>
      <c r="C12068" s="104"/>
      <c r="E12068" s="107" t="str">
        <f aca="false">IF($C12068="","",IFERROR(INDEX(المنيو!$C$2:$C$500,MATCH($C12068,المنيو!$B$2:$B$500,0)),0))</f>
        <v/>
      </c>
      <c r="F12068" s="107" t="str">
        <f aca="false">IF($C12068="","",$D12068*$E12068)</f>
        <v/>
      </c>
      <c r="G12068" s="107" t="str">
        <f aca="false">IF($C12068="","",$D12068*IFERROR(INDEX('تحليل التكلفة والسعر'!$C$2:$C$700,MATCH($C12068,'تحليل التكلفة والسعر'!$B$2:$B$700,0)),0))</f>
        <v/>
      </c>
    </row>
    <row r="12069" customFormat="false" ht="15" hidden="false" customHeight="false" outlineLevel="0" collapsed="false">
      <c r="A12069" s="103"/>
      <c r="B12069" s="104"/>
      <c r="C12069" s="104"/>
      <c r="E12069" s="107" t="str">
        <f aca="false">IF($C12069="","",IFERROR(INDEX(المنيو!$C$2:$C$500,MATCH($C12069,المنيو!$B$2:$B$500,0)),0))</f>
        <v/>
      </c>
      <c r="F12069" s="107" t="str">
        <f aca="false">IF($C12069="","",$D12069*$E12069)</f>
        <v/>
      </c>
      <c r="G12069" s="107" t="str">
        <f aca="false">IF($C12069="","",$D12069*IFERROR(INDEX('تحليل التكلفة والسعر'!$C$2:$C$700,MATCH($C12069,'تحليل التكلفة والسعر'!$B$2:$B$700,0)),0))</f>
        <v/>
      </c>
    </row>
    <row r="12070" customFormat="false" ht="15" hidden="false" customHeight="false" outlineLevel="0" collapsed="false">
      <c r="A12070" s="103"/>
      <c r="B12070" s="104"/>
      <c r="C12070" s="104"/>
      <c r="E12070" s="107" t="str">
        <f aca="false">IF($C12070="","",IFERROR(INDEX(المنيو!$C$2:$C$500,MATCH($C12070,المنيو!$B$2:$B$500,0)),0))</f>
        <v/>
      </c>
      <c r="F12070" s="107" t="str">
        <f aca="false">IF($C12070="","",$D12070*$E12070)</f>
        <v/>
      </c>
      <c r="G12070" s="107" t="str">
        <f aca="false">IF($C12070="","",$D12070*IFERROR(INDEX('تحليل التكلفة والسعر'!$C$2:$C$700,MATCH($C12070,'تحليل التكلفة والسعر'!$B$2:$B$700,0)),0))</f>
        <v/>
      </c>
    </row>
    <row r="12071" customFormat="false" ht="15" hidden="false" customHeight="false" outlineLevel="0" collapsed="false">
      <c r="A12071" s="103"/>
      <c r="B12071" s="104"/>
      <c r="C12071" s="104"/>
      <c r="E12071" s="107" t="str">
        <f aca="false">IF($C12071="","",IFERROR(INDEX(المنيو!$C$2:$C$500,MATCH($C12071,المنيو!$B$2:$B$500,0)),0))</f>
        <v/>
      </c>
      <c r="F12071" s="107" t="str">
        <f aca="false">IF($C12071="","",$D12071*$E12071)</f>
        <v/>
      </c>
      <c r="G12071" s="107" t="str">
        <f aca="false">IF($C12071="","",$D12071*IFERROR(INDEX('تحليل التكلفة والسعر'!$C$2:$C$700,MATCH($C12071,'تحليل التكلفة والسعر'!$B$2:$B$700,0)),0))</f>
        <v/>
      </c>
    </row>
    <row r="12072" customFormat="false" ht="15" hidden="false" customHeight="false" outlineLevel="0" collapsed="false">
      <c r="A12072" s="103"/>
      <c r="B12072" s="104"/>
      <c r="C12072" s="104"/>
      <c r="E12072" s="107" t="str">
        <f aca="false">IF($C12072="","",IFERROR(INDEX(المنيو!$C$2:$C$500,MATCH($C12072,المنيو!$B$2:$B$500,0)),0))</f>
        <v/>
      </c>
      <c r="F12072" s="107" t="str">
        <f aca="false">IF($C12072="","",$D12072*$E12072)</f>
        <v/>
      </c>
      <c r="G12072" s="107" t="str">
        <f aca="false">IF($C12072="","",$D12072*IFERROR(INDEX('تحليل التكلفة والسعر'!$C$2:$C$700,MATCH($C12072,'تحليل التكلفة والسعر'!$B$2:$B$700,0)),0))</f>
        <v/>
      </c>
    </row>
    <row r="12073" customFormat="false" ht="15" hidden="false" customHeight="false" outlineLevel="0" collapsed="false">
      <c r="A12073" s="103"/>
      <c r="B12073" s="104"/>
      <c r="C12073" s="104"/>
      <c r="E12073" s="107" t="str">
        <f aca="false">IF($C12073="","",IFERROR(INDEX(المنيو!$C$2:$C$500,MATCH($C12073,المنيو!$B$2:$B$500,0)),0))</f>
        <v/>
      </c>
      <c r="F12073" s="107" t="str">
        <f aca="false">IF($C12073="","",$D12073*$E12073)</f>
        <v/>
      </c>
      <c r="G12073" s="107" t="str">
        <f aca="false">IF($C12073="","",$D12073*IFERROR(INDEX('تحليل التكلفة والسعر'!$C$2:$C$700,MATCH($C12073,'تحليل التكلفة والسعر'!$B$2:$B$700,0)),0))</f>
        <v/>
      </c>
    </row>
    <row r="12074" customFormat="false" ht="15" hidden="false" customHeight="false" outlineLevel="0" collapsed="false">
      <c r="A12074" s="103"/>
      <c r="B12074" s="104"/>
      <c r="C12074" s="104"/>
      <c r="E12074" s="107" t="str">
        <f aca="false">IF($C12074="","",IFERROR(INDEX(المنيو!$C$2:$C$500,MATCH($C12074,المنيو!$B$2:$B$500,0)),0))</f>
        <v/>
      </c>
      <c r="F12074" s="107" t="str">
        <f aca="false">IF($C12074="","",$D12074*$E12074)</f>
        <v/>
      </c>
      <c r="G12074" s="107" t="str">
        <f aca="false">IF($C12074="","",$D12074*IFERROR(INDEX('تحليل التكلفة والسعر'!$C$2:$C$700,MATCH($C12074,'تحليل التكلفة والسعر'!$B$2:$B$700,0)),0))</f>
        <v/>
      </c>
    </row>
    <row r="12075" customFormat="false" ht="15" hidden="false" customHeight="false" outlineLevel="0" collapsed="false">
      <c r="A12075" s="103"/>
      <c r="B12075" s="104"/>
      <c r="C12075" s="104"/>
      <c r="E12075" s="107" t="str">
        <f aca="false">IF($C12075="","",IFERROR(INDEX(المنيو!$C$2:$C$500,MATCH($C12075,المنيو!$B$2:$B$500,0)),0))</f>
        <v/>
      </c>
      <c r="F12075" s="107" t="str">
        <f aca="false">IF($C12075="","",$D12075*$E12075)</f>
        <v/>
      </c>
      <c r="G12075" s="107" t="str">
        <f aca="false">IF($C12075="","",$D12075*IFERROR(INDEX('تحليل التكلفة والسعر'!$C$2:$C$700,MATCH($C12075,'تحليل التكلفة والسعر'!$B$2:$B$700,0)),0))</f>
        <v/>
      </c>
    </row>
    <row r="12076" customFormat="false" ht="15" hidden="false" customHeight="false" outlineLevel="0" collapsed="false">
      <c r="A12076" s="103"/>
      <c r="B12076" s="104"/>
      <c r="C12076" s="104"/>
      <c r="E12076" s="107" t="str">
        <f aca="false">IF($C12076="","",IFERROR(INDEX(المنيو!$C$2:$C$500,MATCH($C12076,المنيو!$B$2:$B$500,0)),0))</f>
        <v/>
      </c>
      <c r="F12076" s="107" t="str">
        <f aca="false">IF($C12076="","",$D12076*$E12076)</f>
        <v/>
      </c>
      <c r="G12076" s="107" t="str">
        <f aca="false">IF($C12076="","",$D12076*IFERROR(INDEX('تحليل التكلفة والسعر'!$C$2:$C$700,MATCH($C12076,'تحليل التكلفة والسعر'!$B$2:$B$700,0)),0))</f>
        <v/>
      </c>
    </row>
    <row r="12077" customFormat="false" ht="15" hidden="false" customHeight="false" outlineLevel="0" collapsed="false">
      <c r="A12077" s="103"/>
      <c r="B12077" s="104"/>
      <c r="C12077" s="104"/>
      <c r="E12077" s="107" t="str">
        <f aca="false">IF($C12077="","",IFERROR(INDEX(المنيو!$C$2:$C$500,MATCH($C12077,المنيو!$B$2:$B$500,0)),0))</f>
        <v/>
      </c>
      <c r="F12077" s="107" t="str">
        <f aca="false">IF($C12077="","",$D12077*$E12077)</f>
        <v/>
      </c>
      <c r="G12077" s="107" t="str">
        <f aca="false">IF($C12077="","",$D12077*IFERROR(INDEX('تحليل التكلفة والسعر'!$C$2:$C$700,MATCH($C12077,'تحليل التكلفة والسعر'!$B$2:$B$700,0)),0))</f>
        <v/>
      </c>
    </row>
    <row r="12078" customFormat="false" ht="15" hidden="false" customHeight="false" outlineLevel="0" collapsed="false">
      <c r="A12078" s="103"/>
      <c r="B12078" s="104"/>
      <c r="C12078" s="104"/>
      <c r="E12078" s="107" t="str">
        <f aca="false">IF($C12078="","",IFERROR(INDEX(المنيو!$C$2:$C$500,MATCH($C12078,المنيو!$B$2:$B$500,0)),0))</f>
        <v/>
      </c>
      <c r="F12078" s="107" t="str">
        <f aca="false">IF($C12078="","",$D12078*$E12078)</f>
        <v/>
      </c>
      <c r="G12078" s="107" t="str">
        <f aca="false">IF($C12078="","",$D12078*IFERROR(INDEX('تحليل التكلفة والسعر'!$C$2:$C$700,MATCH($C12078,'تحليل التكلفة والسعر'!$B$2:$B$700,0)),0))</f>
        <v/>
      </c>
    </row>
    <row r="12079" customFormat="false" ht="15" hidden="false" customHeight="false" outlineLevel="0" collapsed="false">
      <c r="A12079" s="103"/>
      <c r="B12079" s="104"/>
      <c r="C12079" s="104"/>
      <c r="E12079" s="107" t="str">
        <f aca="false">IF($C12079="","",IFERROR(INDEX(المنيو!$C$2:$C$500,MATCH($C12079,المنيو!$B$2:$B$500,0)),0))</f>
        <v/>
      </c>
      <c r="F12079" s="107" t="str">
        <f aca="false">IF($C12079="","",$D12079*$E12079)</f>
        <v/>
      </c>
      <c r="G12079" s="107" t="str">
        <f aca="false">IF($C12079="","",$D12079*IFERROR(INDEX('تحليل التكلفة والسعر'!$C$2:$C$700,MATCH($C12079,'تحليل التكلفة والسعر'!$B$2:$B$700,0)),0))</f>
        <v/>
      </c>
    </row>
    <row r="12080" customFormat="false" ht="15" hidden="false" customHeight="false" outlineLevel="0" collapsed="false">
      <c r="A12080" s="103"/>
      <c r="B12080" s="104"/>
      <c r="C12080" s="104"/>
      <c r="E12080" s="107" t="str">
        <f aca="false">IF($C12080="","",IFERROR(INDEX(المنيو!$C$2:$C$500,MATCH($C12080,المنيو!$B$2:$B$500,0)),0))</f>
        <v/>
      </c>
      <c r="F12080" s="107" t="str">
        <f aca="false">IF($C12080="","",$D12080*$E12080)</f>
        <v/>
      </c>
      <c r="G12080" s="107" t="str">
        <f aca="false">IF($C12080="","",$D12080*IFERROR(INDEX('تحليل التكلفة والسعر'!$C$2:$C$700,MATCH($C12080,'تحليل التكلفة والسعر'!$B$2:$B$700,0)),0))</f>
        <v/>
      </c>
    </row>
    <row r="12081" customFormat="false" ht="15" hidden="false" customHeight="false" outlineLevel="0" collapsed="false">
      <c r="A12081" s="103"/>
      <c r="B12081" s="104"/>
      <c r="C12081" s="104"/>
      <c r="E12081" s="107" t="str">
        <f aca="false">IF($C12081="","",IFERROR(INDEX(المنيو!$C$2:$C$500,MATCH($C12081,المنيو!$B$2:$B$500,0)),0))</f>
        <v/>
      </c>
      <c r="F12081" s="107" t="str">
        <f aca="false">IF($C12081="","",$D12081*$E12081)</f>
        <v/>
      </c>
      <c r="G12081" s="107" t="str">
        <f aca="false">IF($C12081="","",$D12081*IFERROR(INDEX('تحليل التكلفة والسعر'!$C$2:$C$700,MATCH($C12081,'تحليل التكلفة والسعر'!$B$2:$B$700,0)),0))</f>
        <v/>
      </c>
    </row>
    <row r="12082" customFormat="false" ht="15" hidden="false" customHeight="false" outlineLevel="0" collapsed="false">
      <c r="A12082" s="103"/>
      <c r="B12082" s="104"/>
      <c r="C12082" s="104"/>
      <c r="E12082" s="107" t="str">
        <f aca="false">IF($C12082="","",IFERROR(INDEX(المنيو!$C$2:$C$500,MATCH($C12082,المنيو!$B$2:$B$500,0)),0))</f>
        <v/>
      </c>
      <c r="F12082" s="107" t="str">
        <f aca="false">IF($C12082="","",$D12082*$E12082)</f>
        <v/>
      </c>
      <c r="G12082" s="107" t="str">
        <f aca="false">IF($C12082="","",$D12082*IFERROR(INDEX('تحليل التكلفة والسعر'!$C$2:$C$700,MATCH($C12082,'تحليل التكلفة والسعر'!$B$2:$B$700,0)),0))</f>
        <v/>
      </c>
    </row>
    <row r="12083" customFormat="false" ht="15" hidden="false" customHeight="false" outlineLevel="0" collapsed="false">
      <c r="A12083" s="103"/>
      <c r="B12083" s="104"/>
      <c r="C12083" s="104"/>
      <c r="E12083" s="107" t="str">
        <f aca="false">IF($C12083="","",IFERROR(INDEX(المنيو!$C$2:$C$500,MATCH($C12083,المنيو!$B$2:$B$500,0)),0))</f>
        <v/>
      </c>
      <c r="F12083" s="107" t="str">
        <f aca="false">IF($C12083="","",$D12083*$E12083)</f>
        <v/>
      </c>
      <c r="G12083" s="107" t="str">
        <f aca="false">IF($C12083="","",$D12083*IFERROR(INDEX('تحليل التكلفة والسعر'!$C$2:$C$700,MATCH($C12083,'تحليل التكلفة والسعر'!$B$2:$B$700,0)),0))</f>
        <v/>
      </c>
    </row>
    <row r="12084" customFormat="false" ht="15" hidden="false" customHeight="false" outlineLevel="0" collapsed="false">
      <c r="A12084" s="103"/>
      <c r="B12084" s="104"/>
      <c r="C12084" s="104"/>
      <c r="E12084" s="107" t="str">
        <f aca="false">IF($C12084="","",IFERROR(INDEX(المنيو!$C$2:$C$500,MATCH($C12084,المنيو!$B$2:$B$500,0)),0))</f>
        <v/>
      </c>
      <c r="F12084" s="107" t="str">
        <f aca="false">IF($C12084="","",$D12084*$E12084)</f>
        <v/>
      </c>
      <c r="G12084" s="107" t="str">
        <f aca="false">IF($C12084="","",$D12084*IFERROR(INDEX('تحليل التكلفة والسعر'!$C$2:$C$700,MATCH($C12084,'تحليل التكلفة والسعر'!$B$2:$B$700,0)),0))</f>
        <v/>
      </c>
    </row>
    <row r="12085" customFormat="false" ht="15" hidden="false" customHeight="false" outlineLevel="0" collapsed="false">
      <c r="A12085" s="103"/>
      <c r="B12085" s="104"/>
      <c r="C12085" s="104"/>
      <c r="E12085" s="107" t="str">
        <f aca="false">IF($C12085="","",IFERROR(INDEX(المنيو!$C$2:$C$500,MATCH($C12085,المنيو!$B$2:$B$500,0)),0))</f>
        <v/>
      </c>
      <c r="F12085" s="107" t="str">
        <f aca="false">IF($C12085="","",$D12085*$E12085)</f>
        <v/>
      </c>
      <c r="G12085" s="107" t="str">
        <f aca="false">IF($C12085="","",$D12085*IFERROR(INDEX('تحليل التكلفة والسعر'!$C$2:$C$700,MATCH($C12085,'تحليل التكلفة والسعر'!$B$2:$B$700,0)),0))</f>
        <v/>
      </c>
    </row>
    <row r="12086" customFormat="false" ht="15" hidden="false" customHeight="false" outlineLevel="0" collapsed="false">
      <c r="A12086" s="103"/>
      <c r="B12086" s="104"/>
      <c r="C12086" s="104"/>
      <c r="E12086" s="107" t="str">
        <f aca="false">IF($C12086="","",IFERROR(INDEX(المنيو!$C$2:$C$500,MATCH($C12086,المنيو!$B$2:$B$500,0)),0))</f>
        <v/>
      </c>
      <c r="F12086" s="107" t="str">
        <f aca="false">IF($C12086="","",$D12086*$E12086)</f>
        <v/>
      </c>
      <c r="G12086" s="107" t="str">
        <f aca="false">IF($C12086="","",$D12086*IFERROR(INDEX('تحليل التكلفة والسعر'!$C$2:$C$700,MATCH($C12086,'تحليل التكلفة والسعر'!$B$2:$B$700,0)),0))</f>
        <v/>
      </c>
    </row>
    <row r="12087" customFormat="false" ht="15" hidden="false" customHeight="false" outlineLevel="0" collapsed="false">
      <c r="A12087" s="103"/>
      <c r="B12087" s="104"/>
      <c r="C12087" s="104"/>
      <c r="E12087" s="107" t="str">
        <f aca="false">IF($C12087="","",IFERROR(INDEX(المنيو!$C$2:$C$500,MATCH($C12087,المنيو!$B$2:$B$500,0)),0))</f>
        <v/>
      </c>
      <c r="F12087" s="107" t="str">
        <f aca="false">IF($C12087="","",$D12087*$E12087)</f>
        <v/>
      </c>
      <c r="G12087" s="107" t="str">
        <f aca="false">IF($C12087="","",$D12087*IFERROR(INDEX('تحليل التكلفة والسعر'!$C$2:$C$700,MATCH($C12087,'تحليل التكلفة والسعر'!$B$2:$B$700,0)),0))</f>
        <v/>
      </c>
    </row>
    <row r="12088" customFormat="false" ht="15" hidden="false" customHeight="false" outlineLevel="0" collapsed="false">
      <c r="A12088" s="103"/>
      <c r="B12088" s="104"/>
      <c r="C12088" s="104"/>
      <c r="E12088" s="107" t="str">
        <f aca="false">IF($C12088="","",IFERROR(INDEX(المنيو!$C$2:$C$500,MATCH($C12088,المنيو!$B$2:$B$500,0)),0))</f>
        <v/>
      </c>
      <c r="F12088" s="107" t="str">
        <f aca="false">IF($C12088="","",$D12088*$E12088)</f>
        <v/>
      </c>
      <c r="G12088" s="107" t="str">
        <f aca="false">IF($C12088="","",$D12088*IFERROR(INDEX('تحليل التكلفة والسعر'!$C$2:$C$700,MATCH($C12088,'تحليل التكلفة والسعر'!$B$2:$B$700,0)),0))</f>
        <v/>
      </c>
    </row>
    <row r="12089" customFormat="false" ht="15" hidden="false" customHeight="false" outlineLevel="0" collapsed="false">
      <c r="A12089" s="103"/>
      <c r="B12089" s="104"/>
      <c r="C12089" s="104"/>
      <c r="E12089" s="107" t="str">
        <f aca="false">IF($C12089="","",IFERROR(INDEX(المنيو!$C$2:$C$500,MATCH($C12089,المنيو!$B$2:$B$500,0)),0))</f>
        <v/>
      </c>
      <c r="F12089" s="107" t="str">
        <f aca="false">IF($C12089="","",$D12089*$E12089)</f>
        <v/>
      </c>
      <c r="G12089" s="107" t="str">
        <f aca="false">IF($C12089="","",$D12089*IFERROR(INDEX('تحليل التكلفة والسعر'!$C$2:$C$700,MATCH($C12089,'تحليل التكلفة والسعر'!$B$2:$B$700,0)),0))</f>
        <v/>
      </c>
    </row>
    <row r="12090" customFormat="false" ht="15" hidden="false" customHeight="false" outlineLevel="0" collapsed="false">
      <c r="A12090" s="103"/>
      <c r="B12090" s="104"/>
      <c r="C12090" s="104"/>
      <c r="E12090" s="107" t="str">
        <f aca="false">IF($C12090="","",IFERROR(INDEX(المنيو!$C$2:$C$500,MATCH($C12090,المنيو!$B$2:$B$500,0)),0))</f>
        <v/>
      </c>
      <c r="F12090" s="107" t="str">
        <f aca="false">IF($C12090="","",$D12090*$E12090)</f>
        <v/>
      </c>
      <c r="G12090" s="107" t="str">
        <f aca="false">IF($C12090="","",$D12090*IFERROR(INDEX('تحليل التكلفة والسعر'!$C$2:$C$700,MATCH($C12090,'تحليل التكلفة والسعر'!$B$2:$B$700,0)),0))</f>
        <v/>
      </c>
    </row>
    <row r="12091" customFormat="false" ht="15" hidden="false" customHeight="false" outlineLevel="0" collapsed="false">
      <c r="A12091" s="103"/>
      <c r="B12091" s="104"/>
      <c r="C12091" s="104"/>
      <c r="E12091" s="107" t="str">
        <f aca="false">IF($C12091="","",IFERROR(INDEX(المنيو!$C$2:$C$500,MATCH($C12091,المنيو!$B$2:$B$500,0)),0))</f>
        <v/>
      </c>
      <c r="F12091" s="107" t="str">
        <f aca="false">IF($C12091="","",$D12091*$E12091)</f>
        <v/>
      </c>
      <c r="G12091" s="107" t="str">
        <f aca="false">IF($C12091="","",$D12091*IFERROR(INDEX('تحليل التكلفة والسعر'!$C$2:$C$700,MATCH($C12091,'تحليل التكلفة والسعر'!$B$2:$B$700,0)),0))</f>
        <v/>
      </c>
    </row>
    <row r="12092" customFormat="false" ht="15" hidden="false" customHeight="false" outlineLevel="0" collapsed="false">
      <c r="A12092" s="103"/>
      <c r="B12092" s="104"/>
      <c r="C12092" s="104"/>
      <c r="E12092" s="107" t="str">
        <f aca="false">IF($C12092="","",IFERROR(INDEX(المنيو!$C$2:$C$500,MATCH($C12092,المنيو!$B$2:$B$500,0)),0))</f>
        <v/>
      </c>
      <c r="F12092" s="107" t="str">
        <f aca="false">IF($C12092="","",$D12092*$E12092)</f>
        <v/>
      </c>
      <c r="G12092" s="107" t="str">
        <f aca="false">IF($C12092="","",$D12092*IFERROR(INDEX('تحليل التكلفة والسعر'!$C$2:$C$700,MATCH($C12092,'تحليل التكلفة والسعر'!$B$2:$B$700,0)),0))</f>
        <v/>
      </c>
    </row>
    <row r="12093" customFormat="false" ht="15" hidden="false" customHeight="false" outlineLevel="0" collapsed="false">
      <c r="A12093" s="103"/>
      <c r="B12093" s="104"/>
      <c r="C12093" s="104"/>
      <c r="E12093" s="107" t="str">
        <f aca="false">IF($C12093="","",IFERROR(INDEX(المنيو!$C$2:$C$500,MATCH($C12093,المنيو!$B$2:$B$500,0)),0))</f>
        <v/>
      </c>
      <c r="F12093" s="107" t="str">
        <f aca="false">IF($C12093="","",$D12093*$E12093)</f>
        <v/>
      </c>
      <c r="G12093" s="107" t="str">
        <f aca="false">IF($C12093="","",$D12093*IFERROR(INDEX('تحليل التكلفة والسعر'!$C$2:$C$700,MATCH($C12093,'تحليل التكلفة والسعر'!$B$2:$B$700,0)),0))</f>
        <v/>
      </c>
    </row>
    <row r="12094" customFormat="false" ht="15" hidden="false" customHeight="false" outlineLevel="0" collapsed="false">
      <c r="A12094" s="103"/>
      <c r="B12094" s="104"/>
      <c r="C12094" s="104"/>
      <c r="E12094" s="107" t="str">
        <f aca="false">IF($C12094="","",IFERROR(INDEX(المنيو!$C$2:$C$500,MATCH($C12094,المنيو!$B$2:$B$500,0)),0))</f>
        <v/>
      </c>
      <c r="F12094" s="107" t="str">
        <f aca="false">IF($C12094="","",$D12094*$E12094)</f>
        <v/>
      </c>
      <c r="G12094" s="107" t="str">
        <f aca="false">IF($C12094="","",$D12094*IFERROR(INDEX('تحليل التكلفة والسعر'!$C$2:$C$700,MATCH($C12094,'تحليل التكلفة والسعر'!$B$2:$B$700,0)),0))</f>
        <v/>
      </c>
    </row>
    <row r="12095" customFormat="false" ht="15" hidden="false" customHeight="false" outlineLevel="0" collapsed="false">
      <c r="A12095" s="103"/>
      <c r="B12095" s="104"/>
      <c r="C12095" s="104"/>
      <c r="E12095" s="107" t="str">
        <f aca="false">IF($C12095="","",IFERROR(INDEX(المنيو!$C$2:$C$500,MATCH($C12095,المنيو!$B$2:$B$500,0)),0))</f>
        <v/>
      </c>
      <c r="F12095" s="107" t="str">
        <f aca="false">IF($C12095="","",$D12095*$E12095)</f>
        <v/>
      </c>
      <c r="G12095" s="107" t="str">
        <f aca="false">IF($C12095="","",$D12095*IFERROR(INDEX('تحليل التكلفة والسعر'!$C$2:$C$700,MATCH($C12095,'تحليل التكلفة والسعر'!$B$2:$B$700,0)),0))</f>
        <v/>
      </c>
    </row>
    <row r="12096" customFormat="false" ht="15" hidden="false" customHeight="false" outlineLevel="0" collapsed="false">
      <c r="A12096" s="103"/>
      <c r="B12096" s="104"/>
      <c r="C12096" s="104"/>
      <c r="E12096" s="107" t="str">
        <f aca="false">IF($C12096="","",IFERROR(INDEX(المنيو!$C$2:$C$500,MATCH($C12096,المنيو!$B$2:$B$500,0)),0))</f>
        <v/>
      </c>
      <c r="F12096" s="107" t="str">
        <f aca="false">IF($C12096="","",$D12096*$E12096)</f>
        <v/>
      </c>
      <c r="G12096" s="107" t="str">
        <f aca="false">IF($C12096="","",$D12096*IFERROR(INDEX('تحليل التكلفة والسعر'!$C$2:$C$700,MATCH($C12096,'تحليل التكلفة والسعر'!$B$2:$B$700,0)),0))</f>
        <v/>
      </c>
    </row>
    <row r="12097" customFormat="false" ht="15" hidden="false" customHeight="false" outlineLevel="0" collapsed="false">
      <c r="A12097" s="103"/>
      <c r="B12097" s="104"/>
      <c r="C12097" s="104"/>
      <c r="E12097" s="107" t="str">
        <f aca="false">IF($C12097="","",IFERROR(INDEX(المنيو!$C$2:$C$500,MATCH($C12097,المنيو!$B$2:$B$500,0)),0))</f>
        <v/>
      </c>
      <c r="F12097" s="107" t="str">
        <f aca="false">IF($C12097="","",$D12097*$E12097)</f>
        <v/>
      </c>
      <c r="G12097" s="107" t="str">
        <f aca="false">IF($C12097="","",$D12097*IFERROR(INDEX('تحليل التكلفة والسعر'!$C$2:$C$700,MATCH($C12097,'تحليل التكلفة والسعر'!$B$2:$B$700,0)),0))</f>
        <v/>
      </c>
    </row>
    <row r="12098" customFormat="false" ht="15" hidden="false" customHeight="false" outlineLevel="0" collapsed="false">
      <c r="A12098" s="103"/>
      <c r="B12098" s="104"/>
      <c r="C12098" s="104"/>
      <c r="E12098" s="107" t="str">
        <f aca="false">IF($C12098="","",IFERROR(INDEX(المنيو!$C$2:$C$500,MATCH($C12098,المنيو!$B$2:$B$500,0)),0))</f>
        <v/>
      </c>
      <c r="F12098" s="107" t="str">
        <f aca="false">IF($C12098="","",$D12098*$E12098)</f>
        <v/>
      </c>
      <c r="G12098" s="107" t="str">
        <f aca="false">IF($C12098="","",$D12098*IFERROR(INDEX('تحليل التكلفة والسعر'!$C$2:$C$700,MATCH($C12098,'تحليل التكلفة والسعر'!$B$2:$B$700,0)),0))</f>
        <v/>
      </c>
    </row>
    <row r="12099" customFormat="false" ht="15" hidden="false" customHeight="false" outlineLevel="0" collapsed="false">
      <c r="A12099" s="103"/>
      <c r="B12099" s="104"/>
      <c r="C12099" s="104"/>
      <c r="E12099" s="107" t="str">
        <f aca="false">IF($C12099="","",IFERROR(INDEX(المنيو!$C$2:$C$500,MATCH($C12099,المنيو!$B$2:$B$500,0)),0))</f>
        <v/>
      </c>
      <c r="F12099" s="107" t="str">
        <f aca="false">IF($C12099="","",$D12099*$E12099)</f>
        <v/>
      </c>
      <c r="G12099" s="107" t="str">
        <f aca="false">IF($C12099="","",$D12099*IFERROR(INDEX('تحليل التكلفة والسعر'!$C$2:$C$700,MATCH($C12099,'تحليل التكلفة والسعر'!$B$2:$B$700,0)),0))</f>
        <v/>
      </c>
    </row>
    <row r="12100" customFormat="false" ht="15" hidden="false" customHeight="false" outlineLevel="0" collapsed="false">
      <c r="A12100" s="103"/>
      <c r="B12100" s="104"/>
      <c r="C12100" s="104"/>
      <c r="E12100" s="107" t="str">
        <f aca="false">IF($C12100="","",IFERROR(INDEX(المنيو!$C$2:$C$500,MATCH($C12100,المنيو!$B$2:$B$500,0)),0))</f>
        <v/>
      </c>
      <c r="F12100" s="107" t="str">
        <f aca="false">IF($C12100="","",$D12100*$E12100)</f>
        <v/>
      </c>
      <c r="G12100" s="107" t="str">
        <f aca="false">IF($C12100="","",$D12100*IFERROR(INDEX('تحليل التكلفة والسعر'!$C$2:$C$700,MATCH($C12100,'تحليل التكلفة والسعر'!$B$2:$B$700,0)),0))</f>
        <v/>
      </c>
    </row>
    <row r="12101" customFormat="false" ht="15" hidden="false" customHeight="false" outlineLevel="0" collapsed="false">
      <c r="A12101" s="103"/>
      <c r="B12101" s="104"/>
      <c r="C12101" s="104"/>
      <c r="E12101" s="107" t="str">
        <f aca="false">IF($C12101="","",IFERROR(INDEX(المنيو!$C$2:$C$500,MATCH($C12101,المنيو!$B$2:$B$500,0)),0))</f>
        <v/>
      </c>
      <c r="F12101" s="107" t="str">
        <f aca="false">IF($C12101="","",$D12101*$E12101)</f>
        <v/>
      </c>
      <c r="G12101" s="107" t="str">
        <f aca="false">IF($C12101="","",$D12101*IFERROR(INDEX('تحليل التكلفة والسعر'!$C$2:$C$700,MATCH($C12101,'تحليل التكلفة والسعر'!$B$2:$B$700,0)),0))</f>
        <v/>
      </c>
    </row>
    <row r="12102" customFormat="false" ht="15" hidden="false" customHeight="false" outlineLevel="0" collapsed="false">
      <c r="A12102" s="103"/>
      <c r="B12102" s="104"/>
      <c r="C12102" s="104"/>
      <c r="E12102" s="107" t="str">
        <f aca="false">IF($C12102="","",IFERROR(INDEX(المنيو!$C$2:$C$500,MATCH($C12102,المنيو!$B$2:$B$500,0)),0))</f>
        <v/>
      </c>
      <c r="F12102" s="107" t="str">
        <f aca="false">IF($C12102="","",$D12102*$E12102)</f>
        <v/>
      </c>
      <c r="G12102" s="107" t="str">
        <f aca="false">IF($C12102="","",$D12102*IFERROR(INDEX('تحليل التكلفة والسعر'!$C$2:$C$700,MATCH($C12102,'تحليل التكلفة والسعر'!$B$2:$B$700,0)),0))</f>
        <v/>
      </c>
    </row>
    <row r="12103" customFormat="false" ht="15" hidden="false" customHeight="false" outlineLevel="0" collapsed="false">
      <c r="A12103" s="103"/>
      <c r="B12103" s="104"/>
      <c r="C12103" s="104"/>
      <c r="E12103" s="107" t="str">
        <f aca="false">IF($C12103="","",IFERROR(INDEX(المنيو!$C$2:$C$500,MATCH($C12103,المنيو!$B$2:$B$500,0)),0))</f>
        <v/>
      </c>
      <c r="F12103" s="107" t="str">
        <f aca="false">IF($C12103="","",$D12103*$E12103)</f>
        <v/>
      </c>
      <c r="G12103" s="107" t="str">
        <f aca="false">IF($C12103="","",$D12103*IFERROR(INDEX('تحليل التكلفة والسعر'!$C$2:$C$700,MATCH($C12103,'تحليل التكلفة والسعر'!$B$2:$B$700,0)),0))</f>
        <v/>
      </c>
    </row>
    <row r="12104" customFormat="false" ht="15" hidden="false" customHeight="false" outlineLevel="0" collapsed="false">
      <c r="A12104" s="103"/>
      <c r="B12104" s="104"/>
      <c r="C12104" s="104"/>
      <c r="E12104" s="107" t="str">
        <f aca="false">IF($C12104="","",IFERROR(INDEX(المنيو!$C$2:$C$500,MATCH($C12104,المنيو!$B$2:$B$500,0)),0))</f>
        <v/>
      </c>
      <c r="F12104" s="107" t="str">
        <f aca="false">IF($C12104="","",$D12104*$E12104)</f>
        <v/>
      </c>
      <c r="G12104" s="107" t="str">
        <f aca="false">IF($C12104="","",$D12104*IFERROR(INDEX('تحليل التكلفة والسعر'!$C$2:$C$700,MATCH($C12104,'تحليل التكلفة والسعر'!$B$2:$B$700,0)),0))</f>
        <v/>
      </c>
    </row>
    <row r="12105" customFormat="false" ht="15" hidden="false" customHeight="false" outlineLevel="0" collapsed="false">
      <c r="A12105" s="103"/>
      <c r="B12105" s="104"/>
      <c r="C12105" s="104"/>
      <c r="E12105" s="107" t="str">
        <f aca="false">IF($C12105="","",IFERROR(INDEX(المنيو!$C$2:$C$500,MATCH($C12105,المنيو!$B$2:$B$500,0)),0))</f>
        <v/>
      </c>
      <c r="F12105" s="107" t="str">
        <f aca="false">IF($C12105="","",$D12105*$E12105)</f>
        <v/>
      </c>
      <c r="G12105" s="107" t="str">
        <f aca="false">IF($C12105="","",$D12105*IFERROR(INDEX('تحليل التكلفة والسعر'!$C$2:$C$700,MATCH($C12105,'تحليل التكلفة والسعر'!$B$2:$B$700,0)),0))</f>
        <v/>
      </c>
    </row>
    <row r="12106" customFormat="false" ht="15" hidden="false" customHeight="false" outlineLevel="0" collapsed="false">
      <c r="A12106" s="103"/>
      <c r="B12106" s="104"/>
      <c r="C12106" s="104"/>
      <c r="E12106" s="107" t="str">
        <f aca="false">IF($C12106="","",IFERROR(INDEX(المنيو!$C$2:$C$500,MATCH($C12106,المنيو!$B$2:$B$500,0)),0))</f>
        <v/>
      </c>
      <c r="F12106" s="107" t="str">
        <f aca="false">IF($C12106="","",$D12106*$E12106)</f>
        <v/>
      </c>
      <c r="G12106" s="107" t="str">
        <f aca="false">IF($C12106="","",$D12106*IFERROR(INDEX('تحليل التكلفة والسعر'!$C$2:$C$700,MATCH($C12106,'تحليل التكلفة والسعر'!$B$2:$B$700,0)),0))</f>
        <v/>
      </c>
    </row>
    <row r="12107" customFormat="false" ht="15" hidden="false" customHeight="false" outlineLevel="0" collapsed="false">
      <c r="A12107" s="103"/>
      <c r="B12107" s="104"/>
      <c r="C12107" s="104"/>
      <c r="E12107" s="107" t="str">
        <f aca="false">IF($C12107="","",IFERROR(INDEX(المنيو!$C$2:$C$500,MATCH($C12107,المنيو!$B$2:$B$500,0)),0))</f>
        <v/>
      </c>
      <c r="F12107" s="107" t="str">
        <f aca="false">IF($C12107="","",$D12107*$E12107)</f>
        <v/>
      </c>
      <c r="G12107" s="107" t="str">
        <f aca="false">IF($C12107="","",$D12107*IFERROR(INDEX('تحليل التكلفة والسعر'!$C$2:$C$700,MATCH($C12107,'تحليل التكلفة والسعر'!$B$2:$B$700,0)),0))</f>
        <v/>
      </c>
    </row>
    <row r="12108" customFormat="false" ht="15" hidden="false" customHeight="false" outlineLevel="0" collapsed="false">
      <c r="A12108" s="103"/>
      <c r="B12108" s="104"/>
      <c r="C12108" s="104"/>
      <c r="E12108" s="107" t="str">
        <f aca="false">IF($C12108="","",IFERROR(INDEX(المنيو!$C$2:$C$500,MATCH($C12108,المنيو!$B$2:$B$500,0)),0))</f>
        <v/>
      </c>
      <c r="F12108" s="107" t="str">
        <f aca="false">IF($C12108="","",$D12108*$E12108)</f>
        <v/>
      </c>
      <c r="G12108" s="107" t="str">
        <f aca="false">IF($C12108="","",$D12108*IFERROR(INDEX('تحليل التكلفة والسعر'!$C$2:$C$700,MATCH($C12108,'تحليل التكلفة والسعر'!$B$2:$B$700,0)),0))</f>
        <v/>
      </c>
    </row>
    <row r="12109" customFormat="false" ht="15" hidden="false" customHeight="false" outlineLevel="0" collapsed="false">
      <c r="A12109" s="103"/>
      <c r="B12109" s="104"/>
      <c r="C12109" s="104"/>
      <c r="E12109" s="107" t="str">
        <f aca="false">IF($C12109="","",IFERROR(INDEX(المنيو!$C$2:$C$500,MATCH($C12109,المنيو!$B$2:$B$500,0)),0))</f>
        <v/>
      </c>
      <c r="F12109" s="107" t="str">
        <f aca="false">IF($C12109="","",$D12109*$E12109)</f>
        <v/>
      </c>
      <c r="G12109" s="107" t="str">
        <f aca="false">IF($C12109="","",$D12109*IFERROR(INDEX('تحليل التكلفة والسعر'!$C$2:$C$700,MATCH($C12109,'تحليل التكلفة والسعر'!$B$2:$B$700,0)),0))</f>
        <v/>
      </c>
    </row>
    <row r="12110" customFormat="false" ht="15" hidden="false" customHeight="false" outlineLevel="0" collapsed="false">
      <c r="A12110" s="103"/>
      <c r="B12110" s="104"/>
      <c r="C12110" s="104"/>
      <c r="E12110" s="107" t="str">
        <f aca="false">IF($C12110="","",IFERROR(INDEX(المنيو!$C$2:$C$500,MATCH($C12110,المنيو!$B$2:$B$500,0)),0))</f>
        <v/>
      </c>
      <c r="F12110" s="107" t="str">
        <f aca="false">IF($C12110="","",$D12110*$E12110)</f>
        <v/>
      </c>
      <c r="G12110" s="107" t="str">
        <f aca="false">IF($C12110="","",$D12110*IFERROR(INDEX('تحليل التكلفة والسعر'!$C$2:$C$700,MATCH($C12110,'تحليل التكلفة والسعر'!$B$2:$B$700,0)),0))</f>
        <v/>
      </c>
    </row>
    <row r="12111" customFormat="false" ht="15" hidden="false" customHeight="false" outlineLevel="0" collapsed="false">
      <c r="A12111" s="103"/>
      <c r="B12111" s="104"/>
      <c r="C12111" s="104"/>
      <c r="E12111" s="107" t="str">
        <f aca="false">IF($C12111="","",IFERROR(INDEX(المنيو!$C$2:$C$500,MATCH($C12111,المنيو!$B$2:$B$500,0)),0))</f>
        <v/>
      </c>
      <c r="F12111" s="107" t="str">
        <f aca="false">IF($C12111="","",$D12111*$E12111)</f>
        <v/>
      </c>
      <c r="G12111" s="107" t="str">
        <f aca="false">IF($C12111="","",$D12111*IFERROR(INDEX('تحليل التكلفة والسعر'!$C$2:$C$700,MATCH($C12111,'تحليل التكلفة والسعر'!$B$2:$B$700,0)),0))</f>
        <v/>
      </c>
    </row>
    <row r="12112" customFormat="false" ht="15" hidden="false" customHeight="false" outlineLevel="0" collapsed="false">
      <c r="A12112" s="103"/>
      <c r="B12112" s="104"/>
      <c r="C12112" s="104"/>
      <c r="E12112" s="107" t="str">
        <f aca="false">IF($C12112="","",IFERROR(INDEX(المنيو!$C$2:$C$500,MATCH($C12112,المنيو!$B$2:$B$500,0)),0))</f>
        <v/>
      </c>
      <c r="F12112" s="107" t="str">
        <f aca="false">IF($C12112="","",$D12112*$E12112)</f>
        <v/>
      </c>
      <c r="G12112" s="107" t="str">
        <f aca="false">IF($C12112="","",$D12112*IFERROR(INDEX('تحليل التكلفة والسعر'!$C$2:$C$700,MATCH($C12112,'تحليل التكلفة والسعر'!$B$2:$B$700,0)),0))</f>
        <v/>
      </c>
    </row>
    <row r="12113" customFormat="false" ht="15" hidden="false" customHeight="false" outlineLevel="0" collapsed="false">
      <c r="A12113" s="103"/>
      <c r="B12113" s="104"/>
      <c r="C12113" s="104"/>
      <c r="E12113" s="107" t="str">
        <f aca="false">IF($C12113="","",IFERROR(INDEX(المنيو!$C$2:$C$500,MATCH($C12113,المنيو!$B$2:$B$500,0)),0))</f>
        <v/>
      </c>
      <c r="F12113" s="107" t="str">
        <f aca="false">IF($C12113="","",$D12113*$E12113)</f>
        <v/>
      </c>
      <c r="G12113" s="107" t="str">
        <f aca="false">IF($C12113="","",$D12113*IFERROR(INDEX('تحليل التكلفة والسعر'!$C$2:$C$700,MATCH($C12113,'تحليل التكلفة والسعر'!$B$2:$B$700,0)),0))</f>
        <v/>
      </c>
    </row>
    <row r="12114" customFormat="false" ht="15" hidden="false" customHeight="false" outlineLevel="0" collapsed="false">
      <c r="A12114" s="103"/>
      <c r="B12114" s="104"/>
      <c r="C12114" s="104"/>
      <c r="E12114" s="107" t="str">
        <f aca="false">IF($C12114="","",IFERROR(INDEX(المنيو!$C$2:$C$500,MATCH($C12114,المنيو!$B$2:$B$500,0)),0))</f>
        <v/>
      </c>
      <c r="F12114" s="107" t="str">
        <f aca="false">IF($C12114="","",$D12114*$E12114)</f>
        <v/>
      </c>
      <c r="G12114" s="107" t="str">
        <f aca="false">IF($C12114="","",$D12114*IFERROR(INDEX('تحليل التكلفة والسعر'!$C$2:$C$700,MATCH($C12114,'تحليل التكلفة والسعر'!$B$2:$B$700,0)),0))</f>
        <v/>
      </c>
    </row>
    <row r="12115" customFormat="false" ht="15" hidden="false" customHeight="false" outlineLevel="0" collapsed="false">
      <c r="A12115" s="103"/>
      <c r="B12115" s="104"/>
      <c r="C12115" s="104"/>
      <c r="E12115" s="107" t="str">
        <f aca="false">IF($C12115="","",IFERROR(INDEX(المنيو!$C$2:$C$500,MATCH($C12115,المنيو!$B$2:$B$500,0)),0))</f>
        <v/>
      </c>
      <c r="F12115" s="107" t="str">
        <f aca="false">IF($C12115="","",$D12115*$E12115)</f>
        <v/>
      </c>
      <c r="G12115" s="107" t="str">
        <f aca="false">IF($C12115="","",$D12115*IFERROR(INDEX('تحليل التكلفة والسعر'!$C$2:$C$700,MATCH($C12115,'تحليل التكلفة والسعر'!$B$2:$B$700,0)),0))</f>
        <v/>
      </c>
    </row>
    <row r="12116" customFormat="false" ht="15" hidden="false" customHeight="false" outlineLevel="0" collapsed="false">
      <c r="A12116" s="103"/>
      <c r="B12116" s="104"/>
      <c r="C12116" s="104"/>
      <c r="E12116" s="107" t="str">
        <f aca="false">IF($C12116="","",IFERROR(INDEX(المنيو!$C$2:$C$500,MATCH($C12116,المنيو!$B$2:$B$500,0)),0))</f>
        <v/>
      </c>
      <c r="F12116" s="107" t="str">
        <f aca="false">IF($C12116="","",$D12116*$E12116)</f>
        <v/>
      </c>
      <c r="G12116" s="107" t="str">
        <f aca="false">IF($C12116="","",$D12116*IFERROR(INDEX('تحليل التكلفة والسعر'!$C$2:$C$700,MATCH($C12116,'تحليل التكلفة والسعر'!$B$2:$B$700,0)),0))</f>
        <v/>
      </c>
    </row>
    <row r="12117" customFormat="false" ht="15" hidden="false" customHeight="false" outlineLevel="0" collapsed="false">
      <c r="A12117" s="103"/>
      <c r="B12117" s="104"/>
      <c r="C12117" s="104"/>
      <c r="E12117" s="107" t="str">
        <f aca="false">IF($C12117="","",IFERROR(INDEX(المنيو!$C$2:$C$500,MATCH($C12117,المنيو!$B$2:$B$500,0)),0))</f>
        <v/>
      </c>
      <c r="F12117" s="107" t="str">
        <f aca="false">IF($C12117="","",$D12117*$E12117)</f>
        <v/>
      </c>
      <c r="G12117" s="107" t="str">
        <f aca="false">IF($C12117="","",$D12117*IFERROR(INDEX('تحليل التكلفة والسعر'!$C$2:$C$700,MATCH($C12117,'تحليل التكلفة والسعر'!$B$2:$B$700,0)),0))</f>
        <v/>
      </c>
    </row>
    <row r="12118" customFormat="false" ht="15" hidden="false" customHeight="false" outlineLevel="0" collapsed="false">
      <c r="A12118" s="103"/>
      <c r="B12118" s="104"/>
      <c r="C12118" s="104"/>
      <c r="E12118" s="107" t="str">
        <f aca="false">IF($C12118="","",IFERROR(INDEX(المنيو!$C$2:$C$500,MATCH($C12118,المنيو!$B$2:$B$500,0)),0))</f>
        <v/>
      </c>
      <c r="F12118" s="107" t="str">
        <f aca="false">IF($C12118="","",$D12118*$E12118)</f>
        <v/>
      </c>
      <c r="G12118" s="107" t="str">
        <f aca="false">IF($C12118="","",$D12118*IFERROR(INDEX('تحليل التكلفة والسعر'!$C$2:$C$700,MATCH($C12118,'تحليل التكلفة والسعر'!$B$2:$B$700,0)),0))</f>
        <v/>
      </c>
    </row>
    <row r="12119" customFormat="false" ht="15" hidden="false" customHeight="false" outlineLevel="0" collapsed="false">
      <c r="A12119" s="103"/>
      <c r="B12119" s="104"/>
      <c r="C12119" s="104"/>
      <c r="E12119" s="107" t="str">
        <f aca="false">IF($C12119="","",IFERROR(INDEX(المنيو!$C$2:$C$500,MATCH($C12119,المنيو!$B$2:$B$500,0)),0))</f>
        <v/>
      </c>
      <c r="F12119" s="107" t="str">
        <f aca="false">IF($C12119="","",$D12119*$E12119)</f>
        <v/>
      </c>
      <c r="G12119" s="107" t="str">
        <f aca="false">IF($C12119="","",$D12119*IFERROR(INDEX('تحليل التكلفة والسعر'!$C$2:$C$700,MATCH($C12119,'تحليل التكلفة والسعر'!$B$2:$B$700,0)),0))</f>
        <v/>
      </c>
    </row>
    <row r="12120" customFormat="false" ht="15" hidden="false" customHeight="false" outlineLevel="0" collapsed="false">
      <c r="A12120" s="103"/>
      <c r="B12120" s="104"/>
      <c r="C12120" s="104"/>
      <c r="E12120" s="107" t="str">
        <f aca="false">IF($C12120="","",IFERROR(INDEX(المنيو!$C$2:$C$500,MATCH($C12120,المنيو!$B$2:$B$500,0)),0))</f>
        <v/>
      </c>
      <c r="F12120" s="107" t="str">
        <f aca="false">IF($C12120="","",$D12120*$E12120)</f>
        <v/>
      </c>
      <c r="G12120" s="107" t="str">
        <f aca="false">IF($C12120="","",$D12120*IFERROR(INDEX('تحليل التكلفة والسعر'!$C$2:$C$700,MATCH($C12120,'تحليل التكلفة والسعر'!$B$2:$B$700,0)),0))</f>
        <v/>
      </c>
    </row>
    <row r="12121" customFormat="false" ht="15" hidden="false" customHeight="false" outlineLevel="0" collapsed="false">
      <c r="A12121" s="103"/>
      <c r="B12121" s="104"/>
      <c r="C12121" s="104"/>
      <c r="E12121" s="107" t="str">
        <f aca="false">IF($C12121="","",IFERROR(INDEX(المنيو!$C$2:$C$500,MATCH($C12121,المنيو!$B$2:$B$500,0)),0))</f>
        <v/>
      </c>
      <c r="F12121" s="107" t="str">
        <f aca="false">IF($C12121="","",$D12121*$E12121)</f>
        <v/>
      </c>
      <c r="G12121" s="107" t="str">
        <f aca="false">IF($C12121="","",$D12121*IFERROR(INDEX('تحليل التكلفة والسعر'!$C$2:$C$700,MATCH($C12121,'تحليل التكلفة والسعر'!$B$2:$B$700,0)),0))</f>
        <v/>
      </c>
    </row>
    <row r="12122" customFormat="false" ht="15" hidden="false" customHeight="false" outlineLevel="0" collapsed="false">
      <c r="A12122" s="103"/>
      <c r="B12122" s="104"/>
      <c r="C12122" s="104"/>
      <c r="E12122" s="107" t="str">
        <f aca="false">IF($C12122="","",IFERROR(INDEX(المنيو!$C$2:$C$500,MATCH($C12122,المنيو!$B$2:$B$500,0)),0))</f>
        <v/>
      </c>
      <c r="F12122" s="107" t="str">
        <f aca="false">IF($C12122="","",$D12122*$E12122)</f>
        <v/>
      </c>
      <c r="G12122" s="107" t="str">
        <f aca="false">IF($C12122="","",$D12122*IFERROR(INDEX('تحليل التكلفة والسعر'!$C$2:$C$700,MATCH($C12122,'تحليل التكلفة والسعر'!$B$2:$B$700,0)),0))</f>
        <v/>
      </c>
    </row>
    <row r="12123" customFormat="false" ht="15" hidden="false" customHeight="false" outlineLevel="0" collapsed="false">
      <c r="A12123" s="103"/>
      <c r="B12123" s="104"/>
      <c r="C12123" s="104"/>
      <c r="E12123" s="107" t="str">
        <f aca="false">IF($C12123="","",IFERROR(INDEX(المنيو!$C$2:$C$500,MATCH($C12123,المنيو!$B$2:$B$500,0)),0))</f>
        <v/>
      </c>
      <c r="F12123" s="107" t="str">
        <f aca="false">IF($C12123="","",$D12123*$E12123)</f>
        <v/>
      </c>
      <c r="G12123" s="107" t="str">
        <f aca="false">IF($C12123="","",$D12123*IFERROR(INDEX('تحليل التكلفة والسعر'!$C$2:$C$700,MATCH($C12123,'تحليل التكلفة والسعر'!$B$2:$B$700,0)),0))</f>
        <v/>
      </c>
    </row>
    <row r="12124" customFormat="false" ht="15" hidden="false" customHeight="false" outlineLevel="0" collapsed="false">
      <c r="A12124" s="103"/>
      <c r="B12124" s="104"/>
      <c r="C12124" s="104"/>
      <c r="E12124" s="107" t="str">
        <f aca="false">IF($C12124="","",IFERROR(INDEX(المنيو!$C$2:$C$500,MATCH($C12124,المنيو!$B$2:$B$500,0)),0))</f>
        <v/>
      </c>
      <c r="F12124" s="107" t="str">
        <f aca="false">IF($C12124="","",$D12124*$E12124)</f>
        <v/>
      </c>
      <c r="G12124" s="107" t="str">
        <f aca="false">IF($C12124="","",$D12124*IFERROR(INDEX('تحليل التكلفة والسعر'!$C$2:$C$700,MATCH($C12124,'تحليل التكلفة والسعر'!$B$2:$B$700,0)),0))</f>
        <v/>
      </c>
    </row>
    <row r="12125" customFormat="false" ht="15" hidden="false" customHeight="false" outlineLevel="0" collapsed="false">
      <c r="A12125" s="103"/>
      <c r="B12125" s="104"/>
      <c r="C12125" s="104"/>
      <c r="E12125" s="107" t="str">
        <f aca="false">IF($C12125="","",IFERROR(INDEX(المنيو!$C$2:$C$500,MATCH($C12125,المنيو!$B$2:$B$500,0)),0))</f>
        <v/>
      </c>
      <c r="F12125" s="107" t="str">
        <f aca="false">IF($C12125="","",$D12125*$E12125)</f>
        <v/>
      </c>
      <c r="G12125" s="107" t="str">
        <f aca="false">IF($C12125="","",$D12125*IFERROR(INDEX('تحليل التكلفة والسعر'!$C$2:$C$700,MATCH($C12125,'تحليل التكلفة والسعر'!$B$2:$B$700,0)),0))</f>
        <v/>
      </c>
    </row>
    <row r="12126" customFormat="false" ht="15" hidden="false" customHeight="false" outlineLevel="0" collapsed="false">
      <c r="A12126" s="103"/>
      <c r="B12126" s="104"/>
      <c r="C12126" s="104"/>
      <c r="E12126" s="107" t="str">
        <f aca="false">IF($C12126="","",IFERROR(INDEX(المنيو!$C$2:$C$500,MATCH($C12126,المنيو!$B$2:$B$500,0)),0))</f>
        <v/>
      </c>
      <c r="F12126" s="107" t="str">
        <f aca="false">IF($C12126="","",$D12126*$E12126)</f>
        <v/>
      </c>
      <c r="G12126" s="107" t="str">
        <f aca="false">IF($C12126="","",$D12126*IFERROR(INDEX('تحليل التكلفة والسعر'!$C$2:$C$700,MATCH($C12126,'تحليل التكلفة والسعر'!$B$2:$B$700,0)),0))</f>
        <v/>
      </c>
    </row>
    <row r="12127" customFormat="false" ht="15" hidden="false" customHeight="false" outlineLevel="0" collapsed="false">
      <c r="A12127" s="103"/>
      <c r="B12127" s="104"/>
      <c r="C12127" s="104"/>
      <c r="E12127" s="107" t="str">
        <f aca="false">IF($C12127="","",IFERROR(INDEX(المنيو!$C$2:$C$500,MATCH($C12127,المنيو!$B$2:$B$500,0)),0))</f>
        <v/>
      </c>
      <c r="F12127" s="107" t="str">
        <f aca="false">IF($C12127="","",$D12127*$E12127)</f>
        <v/>
      </c>
      <c r="G12127" s="107" t="str">
        <f aca="false">IF($C12127="","",$D12127*IFERROR(INDEX('تحليل التكلفة والسعر'!$C$2:$C$700,MATCH($C12127,'تحليل التكلفة والسعر'!$B$2:$B$700,0)),0))</f>
        <v/>
      </c>
    </row>
    <row r="12128" customFormat="false" ht="15" hidden="false" customHeight="false" outlineLevel="0" collapsed="false">
      <c r="A12128" s="103"/>
      <c r="B12128" s="104"/>
      <c r="C12128" s="104"/>
      <c r="E12128" s="107" t="str">
        <f aca="false">IF($C12128="","",IFERROR(INDEX(المنيو!$C$2:$C$500,MATCH($C12128,المنيو!$B$2:$B$500,0)),0))</f>
        <v/>
      </c>
      <c r="F12128" s="107" t="str">
        <f aca="false">IF($C12128="","",$D12128*$E12128)</f>
        <v/>
      </c>
      <c r="G12128" s="107" t="str">
        <f aca="false">IF($C12128="","",$D12128*IFERROR(INDEX('تحليل التكلفة والسعر'!$C$2:$C$700,MATCH($C12128,'تحليل التكلفة والسعر'!$B$2:$B$700,0)),0))</f>
        <v/>
      </c>
    </row>
    <row r="12129" customFormat="false" ht="15" hidden="false" customHeight="false" outlineLevel="0" collapsed="false">
      <c r="A12129" s="103"/>
      <c r="B12129" s="104"/>
      <c r="C12129" s="104"/>
      <c r="E12129" s="107" t="str">
        <f aca="false">IF($C12129="","",IFERROR(INDEX(المنيو!$C$2:$C$500,MATCH($C12129,المنيو!$B$2:$B$500,0)),0))</f>
        <v/>
      </c>
      <c r="F12129" s="107" t="str">
        <f aca="false">IF($C12129="","",$D12129*$E12129)</f>
        <v/>
      </c>
      <c r="G12129" s="107" t="str">
        <f aca="false">IF($C12129="","",$D12129*IFERROR(INDEX('تحليل التكلفة والسعر'!$C$2:$C$700,MATCH($C12129,'تحليل التكلفة والسعر'!$B$2:$B$700,0)),0))</f>
        <v/>
      </c>
    </row>
    <row r="12130" customFormat="false" ht="15" hidden="false" customHeight="false" outlineLevel="0" collapsed="false">
      <c r="A12130" s="103"/>
      <c r="B12130" s="104"/>
      <c r="C12130" s="104"/>
      <c r="E12130" s="107" t="str">
        <f aca="false">IF($C12130="","",IFERROR(INDEX(المنيو!$C$2:$C$500,MATCH($C12130,المنيو!$B$2:$B$500,0)),0))</f>
        <v/>
      </c>
      <c r="F12130" s="107" t="str">
        <f aca="false">IF($C12130="","",$D12130*$E12130)</f>
        <v/>
      </c>
      <c r="G12130" s="107" t="str">
        <f aca="false">IF($C12130="","",$D12130*IFERROR(INDEX('تحليل التكلفة والسعر'!$C$2:$C$700,MATCH($C12130,'تحليل التكلفة والسعر'!$B$2:$B$700,0)),0))</f>
        <v/>
      </c>
    </row>
    <row r="12131" customFormat="false" ht="15" hidden="false" customHeight="false" outlineLevel="0" collapsed="false">
      <c r="A12131" s="103"/>
      <c r="B12131" s="104"/>
      <c r="C12131" s="104"/>
      <c r="E12131" s="107" t="str">
        <f aca="false">IF($C12131="","",IFERROR(INDEX(المنيو!$C$2:$C$500,MATCH($C12131,المنيو!$B$2:$B$500,0)),0))</f>
        <v/>
      </c>
      <c r="F12131" s="107" t="str">
        <f aca="false">IF($C12131="","",$D12131*$E12131)</f>
        <v/>
      </c>
      <c r="G12131" s="107" t="str">
        <f aca="false">IF($C12131="","",$D12131*IFERROR(INDEX('تحليل التكلفة والسعر'!$C$2:$C$700,MATCH($C12131,'تحليل التكلفة والسعر'!$B$2:$B$700,0)),0))</f>
        <v/>
      </c>
    </row>
    <row r="12132" customFormat="false" ht="15" hidden="false" customHeight="false" outlineLevel="0" collapsed="false">
      <c r="A12132" s="103"/>
      <c r="B12132" s="104"/>
      <c r="C12132" s="104"/>
      <c r="E12132" s="107" t="str">
        <f aca="false">IF($C12132="","",IFERROR(INDEX(المنيو!$C$2:$C$500,MATCH($C12132,المنيو!$B$2:$B$500,0)),0))</f>
        <v/>
      </c>
      <c r="F12132" s="107" t="str">
        <f aca="false">IF($C12132="","",$D12132*$E12132)</f>
        <v/>
      </c>
      <c r="G12132" s="107" t="str">
        <f aca="false">IF($C12132="","",$D12132*IFERROR(INDEX('تحليل التكلفة والسعر'!$C$2:$C$700,MATCH($C12132,'تحليل التكلفة والسعر'!$B$2:$B$700,0)),0))</f>
        <v/>
      </c>
    </row>
    <row r="12133" customFormat="false" ht="15" hidden="false" customHeight="false" outlineLevel="0" collapsed="false">
      <c r="A12133" s="103"/>
      <c r="B12133" s="104"/>
      <c r="C12133" s="104"/>
      <c r="E12133" s="107" t="str">
        <f aca="false">IF($C12133="","",IFERROR(INDEX(المنيو!$C$2:$C$500,MATCH($C12133,المنيو!$B$2:$B$500,0)),0))</f>
        <v/>
      </c>
      <c r="F12133" s="107" t="str">
        <f aca="false">IF($C12133="","",$D12133*$E12133)</f>
        <v/>
      </c>
      <c r="G12133" s="107" t="str">
        <f aca="false">IF($C12133="","",$D12133*IFERROR(INDEX('تحليل التكلفة والسعر'!$C$2:$C$700,MATCH($C12133,'تحليل التكلفة والسعر'!$B$2:$B$700,0)),0))</f>
        <v/>
      </c>
    </row>
    <row r="12134" customFormat="false" ht="15" hidden="false" customHeight="false" outlineLevel="0" collapsed="false">
      <c r="A12134" s="103"/>
      <c r="B12134" s="104"/>
      <c r="C12134" s="104"/>
      <c r="E12134" s="107" t="str">
        <f aca="false">IF($C12134="","",IFERROR(INDEX(المنيو!$C$2:$C$500,MATCH($C12134,المنيو!$B$2:$B$500,0)),0))</f>
        <v/>
      </c>
      <c r="F12134" s="107" t="str">
        <f aca="false">IF($C12134="","",$D12134*$E12134)</f>
        <v/>
      </c>
      <c r="G12134" s="107" t="str">
        <f aca="false">IF($C12134="","",$D12134*IFERROR(INDEX('تحليل التكلفة والسعر'!$C$2:$C$700,MATCH($C12134,'تحليل التكلفة والسعر'!$B$2:$B$700,0)),0))</f>
        <v/>
      </c>
    </row>
    <row r="12135" customFormat="false" ht="15" hidden="false" customHeight="false" outlineLevel="0" collapsed="false">
      <c r="A12135" s="103"/>
      <c r="B12135" s="104"/>
      <c r="C12135" s="104"/>
      <c r="E12135" s="107" t="str">
        <f aca="false">IF($C12135="","",IFERROR(INDEX(المنيو!$C$2:$C$500,MATCH($C12135,المنيو!$B$2:$B$500,0)),0))</f>
        <v/>
      </c>
      <c r="F12135" s="107" t="str">
        <f aca="false">IF($C12135="","",$D12135*$E12135)</f>
        <v/>
      </c>
      <c r="G12135" s="107" t="str">
        <f aca="false">IF($C12135="","",$D12135*IFERROR(INDEX('تحليل التكلفة والسعر'!$C$2:$C$700,MATCH($C12135,'تحليل التكلفة والسعر'!$B$2:$B$700,0)),0))</f>
        <v/>
      </c>
    </row>
    <row r="12136" customFormat="false" ht="15" hidden="false" customHeight="false" outlineLevel="0" collapsed="false">
      <c r="A12136" s="103"/>
      <c r="B12136" s="104"/>
      <c r="C12136" s="104"/>
      <c r="E12136" s="107" t="str">
        <f aca="false">IF($C12136="","",IFERROR(INDEX(المنيو!$C$2:$C$500,MATCH($C12136,المنيو!$B$2:$B$500,0)),0))</f>
        <v/>
      </c>
      <c r="F12136" s="107" t="str">
        <f aca="false">IF($C12136="","",$D12136*$E12136)</f>
        <v/>
      </c>
      <c r="G12136" s="107" t="str">
        <f aca="false">IF($C12136="","",$D12136*IFERROR(INDEX('تحليل التكلفة والسعر'!$C$2:$C$700,MATCH($C12136,'تحليل التكلفة والسعر'!$B$2:$B$700,0)),0))</f>
        <v/>
      </c>
    </row>
    <row r="12137" customFormat="false" ht="15" hidden="false" customHeight="false" outlineLevel="0" collapsed="false">
      <c r="A12137" s="103"/>
      <c r="B12137" s="104"/>
      <c r="C12137" s="104"/>
      <c r="E12137" s="107" t="str">
        <f aca="false">IF($C12137="","",IFERROR(INDEX(المنيو!$C$2:$C$500,MATCH($C12137,المنيو!$B$2:$B$500,0)),0))</f>
        <v/>
      </c>
      <c r="F12137" s="107" t="str">
        <f aca="false">IF($C12137="","",$D12137*$E12137)</f>
        <v/>
      </c>
      <c r="G12137" s="107" t="str">
        <f aca="false">IF($C12137="","",$D12137*IFERROR(INDEX('تحليل التكلفة والسعر'!$C$2:$C$700,MATCH($C12137,'تحليل التكلفة والسعر'!$B$2:$B$700,0)),0))</f>
        <v/>
      </c>
    </row>
    <row r="12138" customFormat="false" ht="15" hidden="false" customHeight="false" outlineLevel="0" collapsed="false">
      <c r="A12138" s="103"/>
      <c r="B12138" s="104"/>
      <c r="C12138" s="104"/>
      <c r="E12138" s="107" t="str">
        <f aca="false">IF($C12138="","",IFERROR(INDEX(المنيو!$C$2:$C$500,MATCH($C12138,المنيو!$B$2:$B$500,0)),0))</f>
        <v/>
      </c>
      <c r="F12138" s="107" t="str">
        <f aca="false">IF($C12138="","",$D12138*$E12138)</f>
        <v/>
      </c>
      <c r="G12138" s="107" t="str">
        <f aca="false">IF($C12138="","",$D12138*IFERROR(INDEX('تحليل التكلفة والسعر'!$C$2:$C$700,MATCH($C12138,'تحليل التكلفة والسعر'!$B$2:$B$700,0)),0))</f>
        <v/>
      </c>
    </row>
    <row r="12139" customFormat="false" ht="15" hidden="false" customHeight="false" outlineLevel="0" collapsed="false">
      <c r="A12139" s="103"/>
      <c r="B12139" s="104"/>
      <c r="C12139" s="104"/>
      <c r="E12139" s="107" t="str">
        <f aca="false">IF($C12139="","",IFERROR(INDEX(المنيو!$C$2:$C$500,MATCH($C12139,المنيو!$B$2:$B$500,0)),0))</f>
        <v/>
      </c>
      <c r="F12139" s="107" t="str">
        <f aca="false">IF($C12139="","",$D12139*$E12139)</f>
        <v/>
      </c>
      <c r="G12139" s="107" t="str">
        <f aca="false">IF($C12139="","",$D12139*IFERROR(INDEX('تحليل التكلفة والسعر'!$C$2:$C$700,MATCH($C12139,'تحليل التكلفة والسعر'!$B$2:$B$700,0)),0))</f>
        <v/>
      </c>
    </row>
    <row r="12140" customFormat="false" ht="15" hidden="false" customHeight="false" outlineLevel="0" collapsed="false">
      <c r="A12140" s="103"/>
      <c r="B12140" s="104"/>
      <c r="C12140" s="104"/>
      <c r="E12140" s="107" t="str">
        <f aca="false">IF($C12140="","",IFERROR(INDEX(المنيو!$C$2:$C$500,MATCH($C12140,المنيو!$B$2:$B$500,0)),0))</f>
        <v/>
      </c>
      <c r="F12140" s="107" t="str">
        <f aca="false">IF($C12140="","",$D12140*$E12140)</f>
        <v/>
      </c>
      <c r="G12140" s="107" t="str">
        <f aca="false">IF($C12140="","",$D12140*IFERROR(INDEX('تحليل التكلفة والسعر'!$C$2:$C$700,MATCH($C12140,'تحليل التكلفة والسعر'!$B$2:$B$700,0)),0))</f>
        <v/>
      </c>
    </row>
    <row r="12141" customFormat="false" ht="15" hidden="false" customHeight="false" outlineLevel="0" collapsed="false">
      <c r="A12141" s="103"/>
      <c r="B12141" s="104"/>
      <c r="C12141" s="104"/>
      <c r="E12141" s="107" t="str">
        <f aca="false">IF($C12141="","",IFERROR(INDEX(المنيو!$C$2:$C$500,MATCH($C12141,المنيو!$B$2:$B$500,0)),0))</f>
        <v/>
      </c>
      <c r="F12141" s="107" t="str">
        <f aca="false">IF($C12141="","",$D12141*$E12141)</f>
        <v/>
      </c>
      <c r="G12141" s="107" t="str">
        <f aca="false">IF($C12141="","",$D12141*IFERROR(INDEX('تحليل التكلفة والسعر'!$C$2:$C$700,MATCH($C12141,'تحليل التكلفة والسعر'!$B$2:$B$700,0)),0))</f>
        <v/>
      </c>
    </row>
    <row r="12142" customFormat="false" ht="15" hidden="false" customHeight="false" outlineLevel="0" collapsed="false">
      <c r="A12142" s="103"/>
      <c r="B12142" s="104"/>
      <c r="C12142" s="104"/>
      <c r="E12142" s="107" t="str">
        <f aca="false">IF($C12142="","",IFERROR(INDEX(المنيو!$C$2:$C$500,MATCH($C12142,المنيو!$B$2:$B$500,0)),0))</f>
        <v/>
      </c>
      <c r="F12142" s="107" t="str">
        <f aca="false">IF($C12142="","",$D12142*$E12142)</f>
        <v/>
      </c>
      <c r="G12142" s="107" t="str">
        <f aca="false">IF($C12142="","",$D12142*IFERROR(INDEX('تحليل التكلفة والسعر'!$C$2:$C$700,MATCH($C12142,'تحليل التكلفة والسعر'!$B$2:$B$700,0)),0))</f>
        <v/>
      </c>
    </row>
    <row r="12143" customFormat="false" ht="15" hidden="false" customHeight="false" outlineLevel="0" collapsed="false">
      <c r="A12143" s="103"/>
      <c r="B12143" s="104"/>
      <c r="C12143" s="104"/>
      <c r="E12143" s="107" t="str">
        <f aca="false">IF($C12143="","",IFERROR(INDEX(المنيو!$C$2:$C$500,MATCH($C12143,المنيو!$B$2:$B$500,0)),0))</f>
        <v/>
      </c>
      <c r="F12143" s="107" t="str">
        <f aca="false">IF($C12143="","",$D12143*$E12143)</f>
        <v/>
      </c>
      <c r="G12143" s="107" t="str">
        <f aca="false">IF($C12143="","",$D12143*IFERROR(INDEX('تحليل التكلفة والسعر'!$C$2:$C$700,MATCH($C12143,'تحليل التكلفة والسعر'!$B$2:$B$700,0)),0))</f>
        <v/>
      </c>
    </row>
    <row r="12144" customFormat="false" ht="15" hidden="false" customHeight="false" outlineLevel="0" collapsed="false">
      <c r="A12144" s="103"/>
      <c r="B12144" s="104"/>
      <c r="C12144" s="104"/>
      <c r="E12144" s="107" t="str">
        <f aca="false">IF($C12144="","",IFERROR(INDEX(المنيو!$C$2:$C$500,MATCH($C12144,المنيو!$B$2:$B$500,0)),0))</f>
        <v/>
      </c>
      <c r="F12144" s="107" t="str">
        <f aca="false">IF($C12144="","",$D12144*$E12144)</f>
        <v/>
      </c>
      <c r="G12144" s="107" t="str">
        <f aca="false">IF($C12144="","",$D12144*IFERROR(INDEX('تحليل التكلفة والسعر'!$C$2:$C$700,MATCH($C12144,'تحليل التكلفة والسعر'!$B$2:$B$700,0)),0))</f>
        <v/>
      </c>
    </row>
    <row r="12145" customFormat="false" ht="15" hidden="false" customHeight="false" outlineLevel="0" collapsed="false">
      <c r="A12145" s="103"/>
      <c r="B12145" s="104"/>
      <c r="C12145" s="104"/>
      <c r="E12145" s="107" t="str">
        <f aca="false">IF($C12145="","",IFERROR(INDEX(المنيو!$C$2:$C$500,MATCH($C12145,المنيو!$B$2:$B$500,0)),0))</f>
        <v/>
      </c>
      <c r="F12145" s="107" t="str">
        <f aca="false">IF($C12145="","",$D12145*$E12145)</f>
        <v/>
      </c>
      <c r="G12145" s="107" t="str">
        <f aca="false">IF($C12145="","",$D12145*IFERROR(INDEX('تحليل التكلفة والسعر'!$C$2:$C$700,MATCH($C12145,'تحليل التكلفة والسعر'!$B$2:$B$700,0)),0))</f>
        <v/>
      </c>
    </row>
    <row r="12146" customFormat="false" ht="15" hidden="false" customHeight="false" outlineLevel="0" collapsed="false">
      <c r="A12146" s="103"/>
      <c r="B12146" s="104"/>
      <c r="C12146" s="104"/>
      <c r="E12146" s="107" t="str">
        <f aca="false">IF($C12146="","",IFERROR(INDEX(المنيو!$C$2:$C$500,MATCH($C12146,المنيو!$B$2:$B$500,0)),0))</f>
        <v/>
      </c>
      <c r="F12146" s="107" t="str">
        <f aca="false">IF($C12146="","",$D12146*$E12146)</f>
        <v/>
      </c>
      <c r="G12146" s="107" t="str">
        <f aca="false">IF($C12146="","",$D12146*IFERROR(INDEX('تحليل التكلفة والسعر'!$C$2:$C$700,MATCH($C12146,'تحليل التكلفة والسعر'!$B$2:$B$700,0)),0))</f>
        <v/>
      </c>
    </row>
    <row r="12147" customFormat="false" ht="15" hidden="false" customHeight="false" outlineLevel="0" collapsed="false">
      <c r="A12147" s="103"/>
      <c r="B12147" s="104"/>
      <c r="C12147" s="104"/>
      <c r="E12147" s="107" t="str">
        <f aca="false">IF($C12147="","",IFERROR(INDEX(المنيو!$C$2:$C$500,MATCH($C12147,المنيو!$B$2:$B$500,0)),0))</f>
        <v/>
      </c>
      <c r="F12147" s="107" t="str">
        <f aca="false">IF($C12147="","",$D12147*$E12147)</f>
        <v/>
      </c>
      <c r="G12147" s="107" t="str">
        <f aca="false">IF($C12147="","",$D12147*IFERROR(INDEX('تحليل التكلفة والسعر'!$C$2:$C$700,MATCH($C12147,'تحليل التكلفة والسعر'!$B$2:$B$700,0)),0))</f>
        <v/>
      </c>
    </row>
    <row r="12148" customFormat="false" ht="15" hidden="false" customHeight="false" outlineLevel="0" collapsed="false">
      <c r="A12148" s="103"/>
      <c r="B12148" s="104"/>
      <c r="C12148" s="104"/>
      <c r="E12148" s="107" t="str">
        <f aca="false">IF($C12148="","",IFERROR(INDEX(المنيو!$C$2:$C$500,MATCH($C12148,المنيو!$B$2:$B$500,0)),0))</f>
        <v/>
      </c>
      <c r="F12148" s="107" t="str">
        <f aca="false">IF($C12148="","",$D12148*$E12148)</f>
        <v/>
      </c>
      <c r="G12148" s="107" t="str">
        <f aca="false">IF($C12148="","",$D12148*IFERROR(INDEX('تحليل التكلفة والسعر'!$C$2:$C$700,MATCH($C12148,'تحليل التكلفة والسعر'!$B$2:$B$700,0)),0))</f>
        <v/>
      </c>
    </row>
    <row r="12149" customFormat="false" ht="15" hidden="false" customHeight="false" outlineLevel="0" collapsed="false">
      <c r="A12149" s="103"/>
      <c r="B12149" s="104"/>
      <c r="C12149" s="104"/>
      <c r="E12149" s="107" t="str">
        <f aca="false">IF($C12149="","",IFERROR(INDEX(المنيو!$C$2:$C$500,MATCH($C12149,المنيو!$B$2:$B$500,0)),0))</f>
        <v/>
      </c>
      <c r="F12149" s="107" t="str">
        <f aca="false">IF($C12149="","",$D12149*$E12149)</f>
        <v/>
      </c>
      <c r="G12149" s="107" t="str">
        <f aca="false">IF($C12149="","",$D12149*IFERROR(INDEX('تحليل التكلفة والسعر'!$C$2:$C$700,MATCH($C12149,'تحليل التكلفة والسعر'!$B$2:$B$700,0)),0))</f>
        <v/>
      </c>
    </row>
    <row r="12150" customFormat="false" ht="15" hidden="false" customHeight="false" outlineLevel="0" collapsed="false">
      <c r="A12150" s="103"/>
      <c r="B12150" s="104"/>
      <c r="C12150" s="104"/>
      <c r="E12150" s="107" t="str">
        <f aca="false">IF($C12150="","",IFERROR(INDEX(المنيو!$C$2:$C$500,MATCH($C12150,المنيو!$B$2:$B$500,0)),0))</f>
        <v/>
      </c>
      <c r="F12150" s="107" t="str">
        <f aca="false">IF($C12150="","",$D12150*$E12150)</f>
        <v/>
      </c>
      <c r="G12150" s="107" t="str">
        <f aca="false">IF($C12150="","",$D12150*IFERROR(INDEX('تحليل التكلفة والسعر'!$C$2:$C$700,MATCH($C12150,'تحليل التكلفة والسعر'!$B$2:$B$700,0)),0))</f>
        <v/>
      </c>
    </row>
    <row r="12151" customFormat="false" ht="15" hidden="false" customHeight="false" outlineLevel="0" collapsed="false">
      <c r="A12151" s="103"/>
      <c r="B12151" s="104"/>
      <c r="C12151" s="104"/>
      <c r="E12151" s="107" t="str">
        <f aca="false">IF($C12151="","",IFERROR(INDEX(المنيو!$C$2:$C$500,MATCH($C12151,المنيو!$B$2:$B$500,0)),0))</f>
        <v/>
      </c>
      <c r="F12151" s="107" t="str">
        <f aca="false">IF($C12151="","",$D12151*$E12151)</f>
        <v/>
      </c>
      <c r="G12151" s="107" t="str">
        <f aca="false">IF($C12151="","",$D12151*IFERROR(INDEX('تحليل التكلفة والسعر'!$C$2:$C$700,MATCH($C12151,'تحليل التكلفة والسعر'!$B$2:$B$700,0)),0))</f>
        <v/>
      </c>
    </row>
    <row r="12152" customFormat="false" ht="15" hidden="false" customHeight="false" outlineLevel="0" collapsed="false">
      <c r="A12152" s="103"/>
      <c r="B12152" s="104"/>
      <c r="C12152" s="104"/>
      <c r="E12152" s="107" t="str">
        <f aca="false">IF($C12152="","",IFERROR(INDEX(المنيو!$C$2:$C$500,MATCH($C12152,المنيو!$B$2:$B$500,0)),0))</f>
        <v/>
      </c>
      <c r="F12152" s="107" t="str">
        <f aca="false">IF($C12152="","",$D12152*$E12152)</f>
        <v/>
      </c>
      <c r="G12152" s="107" t="str">
        <f aca="false">IF($C12152="","",$D12152*IFERROR(INDEX('تحليل التكلفة والسعر'!$C$2:$C$700,MATCH($C12152,'تحليل التكلفة والسعر'!$B$2:$B$700,0)),0))</f>
        <v/>
      </c>
    </row>
    <row r="12153" customFormat="false" ht="15" hidden="false" customHeight="false" outlineLevel="0" collapsed="false">
      <c r="A12153" s="103"/>
      <c r="B12153" s="104"/>
      <c r="C12153" s="104"/>
      <c r="E12153" s="107" t="str">
        <f aca="false">IF($C12153="","",IFERROR(INDEX(المنيو!$C$2:$C$500,MATCH($C12153,المنيو!$B$2:$B$500,0)),0))</f>
        <v/>
      </c>
      <c r="F12153" s="107" t="str">
        <f aca="false">IF($C12153="","",$D12153*$E12153)</f>
        <v/>
      </c>
      <c r="G12153" s="107" t="str">
        <f aca="false">IF($C12153="","",$D12153*IFERROR(INDEX('تحليل التكلفة والسعر'!$C$2:$C$700,MATCH($C12153,'تحليل التكلفة والسعر'!$B$2:$B$700,0)),0))</f>
        <v/>
      </c>
    </row>
    <row r="12154" customFormat="false" ht="15" hidden="false" customHeight="false" outlineLevel="0" collapsed="false">
      <c r="A12154" s="103"/>
      <c r="B12154" s="104"/>
      <c r="C12154" s="104"/>
      <c r="E12154" s="107" t="str">
        <f aca="false">IF($C12154="","",IFERROR(INDEX(المنيو!$C$2:$C$500,MATCH($C12154,المنيو!$B$2:$B$500,0)),0))</f>
        <v/>
      </c>
      <c r="F12154" s="107" t="str">
        <f aca="false">IF($C12154="","",$D12154*$E12154)</f>
        <v/>
      </c>
      <c r="G12154" s="107" t="str">
        <f aca="false">IF($C12154="","",$D12154*IFERROR(INDEX('تحليل التكلفة والسعر'!$C$2:$C$700,MATCH($C12154,'تحليل التكلفة والسعر'!$B$2:$B$700,0)),0))</f>
        <v/>
      </c>
    </row>
    <row r="12155" customFormat="false" ht="15" hidden="false" customHeight="false" outlineLevel="0" collapsed="false">
      <c r="A12155" s="103"/>
      <c r="B12155" s="104"/>
      <c r="C12155" s="104"/>
      <c r="E12155" s="107" t="str">
        <f aca="false">IF($C12155="","",IFERROR(INDEX(المنيو!$C$2:$C$500,MATCH($C12155,المنيو!$B$2:$B$500,0)),0))</f>
        <v/>
      </c>
      <c r="F12155" s="107" t="str">
        <f aca="false">IF($C12155="","",$D12155*$E12155)</f>
        <v/>
      </c>
      <c r="G12155" s="107" t="str">
        <f aca="false">IF($C12155="","",$D12155*IFERROR(INDEX('تحليل التكلفة والسعر'!$C$2:$C$700,MATCH($C12155,'تحليل التكلفة والسعر'!$B$2:$B$700,0)),0))</f>
        <v/>
      </c>
    </row>
    <row r="12156" customFormat="false" ht="15" hidden="false" customHeight="false" outlineLevel="0" collapsed="false">
      <c r="A12156" s="103"/>
      <c r="B12156" s="104"/>
      <c r="C12156" s="104"/>
      <c r="E12156" s="107" t="str">
        <f aca="false">IF($C12156="","",IFERROR(INDEX(المنيو!$C$2:$C$500,MATCH($C12156,المنيو!$B$2:$B$500,0)),0))</f>
        <v/>
      </c>
      <c r="F12156" s="107" t="str">
        <f aca="false">IF($C12156="","",$D12156*$E12156)</f>
        <v/>
      </c>
      <c r="G12156" s="107" t="str">
        <f aca="false">IF($C12156="","",$D12156*IFERROR(INDEX('تحليل التكلفة والسعر'!$C$2:$C$700,MATCH($C12156,'تحليل التكلفة والسعر'!$B$2:$B$700,0)),0))</f>
        <v/>
      </c>
    </row>
    <row r="12157" customFormat="false" ht="15" hidden="false" customHeight="false" outlineLevel="0" collapsed="false">
      <c r="A12157" s="103"/>
      <c r="B12157" s="104"/>
      <c r="C12157" s="104"/>
      <c r="E12157" s="107" t="str">
        <f aca="false">IF($C12157="","",IFERROR(INDEX(المنيو!$C$2:$C$500,MATCH($C12157,المنيو!$B$2:$B$500,0)),0))</f>
        <v/>
      </c>
      <c r="F12157" s="107" t="str">
        <f aca="false">IF($C12157="","",$D12157*$E12157)</f>
        <v/>
      </c>
      <c r="G12157" s="107" t="str">
        <f aca="false">IF($C12157="","",$D12157*IFERROR(INDEX('تحليل التكلفة والسعر'!$C$2:$C$700,MATCH($C12157,'تحليل التكلفة والسعر'!$B$2:$B$700,0)),0))</f>
        <v/>
      </c>
    </row>
    <row r="12158" customFormat="false" ht="15" hidden="false" customHeight="false" outlineLevel="0" collapsed="false">
      <c r="A12158" s="103"/>
      <c r="B12158" s="104"/>
      <c r="C12158" s="104"/>
      <c r="E12158" s="107" t="str">
        <f aca="false">IF($C12158="","",IFERROR(INDEX(المنيو!$C$2:$C$500,MATCH($C12158,المنيو!$B$2:$B$500,0)),0))</f>
        <v/>
      </c>
      <c r="F12158" s="107" t="str">
        <f aca="false">IF($C12158="","",$D12158*$E12158)</f>
        <v/>
      </c>
      <c r="G12158" s="107" t="str">
        <f aca="false">IF($C12158="","",$D12158*IFERROR(INDEX('تحليل التكلفة والسعر'!$C$2:$C$700,MATCH($C12158,'تحليل التكلفة والسعر'!$B$2:$B$700,0)),0))</f>
        <v/>
      </c>
    </row>
    <row r="12159" customFormat="false" ht="15" hidden="false" customHeight="false" outlineLevel="0" collapsed="false">
      <c r="A12159" s="103"/>
      <c r="B12159" s="104"/>
      <c r="C12159" s="104"/>
      <c r="E12159" s="107" t="str">
        <f aca="false">IF($C12159="","",IFERROR(INDEX(المنيو!$C$2:$C$500,MATCH($C12159,المنيو!$B$2:$B$500,0)),0))</f>
        <v/>
      </c>
      <c r="F12159" s="107" t="str">
        <f aca="false">IF($C12159="","",$D12159*$E12159)</f>
        <v/>
      </c>
      <c r="G12159" s="107" t="str">
        <f aca="false">IF($C12159="","",$D12159*IFERROR(INDEX('تحليل التكلفة والسعر'!$C$2:$C$700,MATCH($C12159,'تحليل التكلفة والسعر'!$B$2:$B$700,0)),0))</f>
        <v/>
      </c>
    </row>
    <row r="12160" customFormat="false" ht="15" hidden="false" customHeight="false" outlineLevel="0" collapsed="false">
      <c r="A12160" s="103"/>
      <c r="B12160" s="104"/>
      <c r="C12160" s="104"/>
      <c r="E12160" s="107" t="str">
        <f aca="false">IF($C12160="","",IFERROR(INDEX(المنيو!$C$2:$C$500,MATCH($C12160,المنيو!$B$2:$B$500,0)),0))</f>
        <v/>
      </c>
      <c r="F12160" s="107" t="str">
        <f aca="false">IF($C12160="","",$D12160*$E12160)</f>
        <v/>
      </c>
      <c r="G12160" s="107" t="str">
        <f aca="false">IF($C12160="","",$D12160*IFERROR(INDEX('تحليل التكلفة والسعر'!$C$2:$C$700,MATCH($C12160,'تحليل التكلفة والسعر'!$B$2:$B$700,0)),0))</f>
        <v/>
      </c>
    </row>
    <row r="12161" customFormat="false" ht="15" hidden="false" customHeight="false" outlineLevel="0" collapsed="false">
      <c r="A12161" s="103"/>
      <c r="B12161" s="104"/>
      <c r="C12161" s="104"/>
      <c r="E12161" s="107" t="str">
        <f aca="false">IF($C12161="","",IFERROR(INDEX(المنيو!$C$2:$C$500,MATCH($C12161,المنيو!$B$2:$B$500,0)),0))</f>
        <v/>
      </c>
      <c r="F12161" s="107" t="str">
        <f aca="false">IF($C12161="","",$D12161*$E12161)</f>
        <v/>
      </c>
      <c r="G12161" s="107" t="str">
        <f aca="false">IF($C12161="","",$D12161*IFERROR(INDEX('تحليل التكلفة والسعر'!$C$2:$C$700,MATCH($C12161,'تحليل التكلفة والسعر'!$B$2:$B$700,0)),0))</f>
        <v/>
      </c>
    </row>
    <row r="12162" customFormat="false" ht="15" hidden="false" customHeight="false" outlineLevel="0" collapsed="false">
      <c r="A12162" s="103"/>
      <c r="B12162" s="104"/>
      <c r="C12162" s="104"/>
      <c r="E12162" s="107" t="str">
        <f aca="false">IF($C12162="","",IFERROR(INDEX(المنيو!$C$2:$C$500,MATCH($C12162,المنيو!$B$2:$B$500,0)),0))</f>
        <v/>
      </c>
      <c r="F12162" s="107" t="str">
        <f aca="false">IF($C12162="","",$D12162*$E12162)</f>
        <v/>
      </c>
      <c r="G12162" s="107" t="str">
        <f aca="false">IF($C12162="","",$D12162*IFERROR(INDEX('تحليل التكلفة والسعر'!$C$2:$C$700,MATCH($C12162,'تحليل التكلفة والسعر'!$B$2:$B$700,0)),0))</f>
        <v/>
      </c>
    </row>
    <row r="12163" customFormat="false" ht="15" hidden="false" customHeight="false" outlineLevel="0" collapsed="false">
      <c r="A12163" s="103"/>
      <c r="B12163" s="104"/>
      <c r="C12163" s="104"/>
      <c r="E12163" s="107" t="str">
        <f aca="false">IF($C12163="","",IFERROR(INDEX(المنيو!$C$2:$C$500,MATCH($C12163,المنيو!$B$2:$B$500,0)),0))</f>
        <v/>
      </c>
      <c r="F12163" s="107" t="str">
        <f aca="false">IF($C12163="","",$D12163*$E12163)</f>
        <v/>
      </c>
      <c r="G12163" s="107" t="str">
        <f aca="false">IF($C12163="","",$D12163*IFERROR(INDEX('تحليل التكلفة والسعر'!$C$2:$C$700,MATCH($C12163,'تحليل التكلفة والسعر'!$B$2:$B$700,0)),0))</f>
        <v/>
      </c>
    </row>
    <row r="12164" customFormat="false" ht="15" hidden="false" customHeight="false" outlineLevel="0" collapsed="false">
      <c r="A12164" s="103"/>
      <c r="B12164" s="104"/>
      <c r="C12164" s="104"/>
      <c r="E12164" s="107" t="str">
        <f aca="false">IF($C12164="","",IFERROR(INDEX(المنيو!$C$2:$C$500,MATCH($C12164,المنيو!$B$2:$B$500,0)),0))</f>
        <v/>
      </c>
      <c r="F12164" s="107" t="str">
        <f aca="false">IF($C12164="","",$D12164*$E12164)</f>
        <v/>
      </c>
      <c r="G12164" s="107" t="str">
        <f aca="false">IF($C12164="","",$D12164*IFERROR(INDEX('تحليل التكلفة والسعر'!$C$2:$C$700,MATCH($C12164,'تحليل التكلفة والسعر'!$B$2:$B$700,0)),0))</f>
        <v/>
      </c>
    </row>
    <row r="12165" customFormat="false" ht="15" hidden="false" customHeight="false" outlineLevel="0" collapsed="false">
      <c r="A12165" s="103"/>
      <c r="B12165" s="104"/>
      <c r="C12165" s="104"/>
      <c r="E12165" s="107" t="str">
        <f aca="false">IF($C12165="","",IFERROR(INDEX(المنيو!$C$2:$C$500,MATCH($C12165,المنيو!$B$2:$B$500,0)),0))</f>
        <v/>
      </c>
      <c r="F12165" s="107" t="str">
        <f aca="false">IF($C12165="","",$D12165*$E12165)</f>
        <v/>
      </c>
      <c r="G12165" s="107" t="str">
        <f aca="false">IF($C12165="","",$D12165*IFERROR(INDEX('تحليل التكلفة والسعر'!$C$2:$C$700,MATCH($C12165,'تحليل التكلفة والسعر'!$B$2:$B$700,0)),0))</f>
        <v/>
      </c>
    </row>
    <row r="12166" customFormat="false" ht="15" hidden="false" customHeight="false" outlineLevel="0" collapsed="false">
      <c r="A12166" s="103"/>
      <c r="B12166" s="104"/>
      <c r="C12166" s="104"/>
      <c r="E12166" s="107" t="str">
        <f aca="false">IF($C12166="","",IFERROR(INDEX(المنيو!$C$2:$C$500,MATCH($C12166,المنيو!$B$2:$B$500,0)),0))</f>
        <v/>
      </c>
      <c r="F12166" s="107" t="str">
        <f aca="false">IF($C12166="","",$D12166*$E12166)</f>
        <v/>
      </c>
      <c r="G12166" s="107" t="str">
        <f aca="false">IF($C12166="","",$D12166*IFERROR(INDEX('تحليل التكلفة والسعر'!$C$2:$C$700,MATCH($C12166,'تحليل التكلفة والسعر'!$B$2:$B$700,0)),0))</f>
        <v/>
      </c>
    </row>
    <row r="12167" customFormat="false" ht="15" hidden="false" customHeight="false" outlineLevel="0" collapsed="false">
      <c r="A12167" s="103"/>
      <c r="B12167" s="104"/>
      <c r="C12167" s="104"/>
      <c r="E12167" s="107" t="str">
        <f aca="false">IF($C12167="","",IFERROR(INDEX(المنيو!$C$2:$C$500,MATCH($C12167,المنيو!$B$2:$B$500,0)),0))</f>
        <v/>
      </c>
      <c r="F12167" s="107" t="str">
        <f aca="false">IF($C12167="","",$D12167*$E12167)</f>
        <v/>
      </c>
      <c r="G12167" s="107" t="str">
        <f aca="false">IF($C12167="","",$D12167*IFERROR(INDEX('تحليل التكلفة والسعر'!$C$2:$C$700,MATCH($C12167,'تحليل التكلفة والسعر'!$B$2:$B$700,0)),0))</f>
        <v/>
      </c>
    </row>
    <row r="12168" customFormat="false" ht="15" hidden="false" customHeight="false" outlineLevel="0" collapsed="false">
      <c r="A12168" s="103"/>
      <c r="B12168" s="104"/>
      <c r="C12168" s="104"/>
      <c r="E12168" s="107" t="str">
        <f aca="false">IF($C12168="","",IFERROR(INDEX(المنيو!$C$2:$C$500,MATCH($C12168,المنيو!$B$2:$B$500,0)),0))</f>
        <v/>
      </c>
      <c r="F12168" s="107" t="str">
        <f aca="false">IF($C12168="","",$D12168*$E12168)</f>
        <v/>
      </c>
      <c r="G12168" s="107" t="str">
        <f aca="false">IF($C12168="","",$D12168*IFERROR(INDEX('تحليل التكلفة والسعر'!$C$2:$C$700,MATCH($C12168,'تحليل التكلفة والسعر'!$B$2:$B$700,0)),0))</f>
        <v/>
      </c>
    </row>
    <row r="12169" customFormat="false" ht="15" hidden="false" customHeight="false" outlineLevel="0" collapsed="false">
      <c r="A12169" s="103"/>
      <c r="B12169" s="104"/>
      <c r="C12169" s="104"/>
      <c r="E12169" s="107" t="str">
        <f aca="false">IF($C12169="","",IFERROR(INDEX(المنيو!$C$2:$C$500,MATCH($C12169,المنيو!$B$2:$B$500,0)),0))</f>
        <v/>
      </c>
      <c r="F12169" s="107" t="str">
        <f aca="false">IF($C12169="","",$D12169*$E12169)</f>
        <v/>
      </c>
      <c r="G12169" s="107" t="str">
        <f aca="false">IF($C12169="","",$D12169*IFERROR(INDEX('تحليل التكلفة والسعر'!$C$2:$C$700,MATCH($C12169,'تحليل التكلفة والسعر'!$B$2:$B$700,0)),0))</f>
        <v/>
      </c>
    </row>
    <row r="12170" customFormat="false" ht="15" hidden="false" customHeight="false" outlineLevel="0" collapsed="false">
      <c r="A12170" s="103"/>
      <c r="B12170" s="104"/>
      <c r="C12170" s="104"/>
      <c r="E12170" s="107" t="str">
        <f aca="false">IF($C12170="","",IFERROR(INDEX(المنيو!$C$2:$C$500,MATCH($C12170,المنيو!$B$2:$B$500,0)),0))</f>
        <v/>
      </c>
      <c r="F12170" s="107" t="str">
        <f aca="false">IF($C12170="","",$D12170*$E12170)</f>
        <v/>
      </c>
      <c r="G12170" s="107" t="str">
        <f aca="false">IF($C12170="","",$D12170*IFERROR(INDEX('تحليل التكلفة والسعر'!$C$2:$C$700,MATCH($C12170,'تحليل التكلفة والسعر'!$B$2:$B$700,0)),0))</f>
        <v/>
      </c>
    </row>
    <row r="12171" customFormat="false" ht="15" hidden="false" customHeight="false" outlineLevel="0" collapsed="false">
      <c r="A12171" s="103"/>
      <c r="B12171" s="104"/>
      <c r="C12171" s="104"/>
      <c r="E12171" s="107" t="str">
        <f aca="false">IF($C12171="","",IFERROR(INDEX(المنيو!$C$2:$C$500,MATCH($C12171,المنيو!$B$2:$B$500,0)),0))</f>
        <v/>
      </c>
      <c r="F12171" s="107" t="str">
        <f aca="false">IF($C12171="","",$D12171*$E12171)</f>
        <v/>
      </c>
      <c r="G12171" s="107" t="str">
        <f aca="false">IF($C12171="","",$D12171*IFERROR(INDEX('تحليل التكلفة والسعر'!$C$2:$C$700,MATCH($C12171,'تحليل التكلفة والسعر'!$B$2:$B$700,0)),0))</f>
        <v/>
      </c>
    </row>
    <row r="12172" customFormat="false" ht="15" hidden="false" customHeight="false" outlineLevel="0" collapsed="false">
      <c r="A12172" s="103"/>
      <c r="B12172" s="104"/>
      <c r="C12172" s="104"/>
      <c r="E12172" s="107" t="str">
        <f aca="false">IF($C12172="","",IFERROR(INDEX(المنيو!$C$2:$C$500,MATCH($C12172,المنيو!$B$2:$B$500,0)),0))</f>
        <v/>
      </c>
      <c r="F12172" s="107" t="str">
        <f aca="false">IF($C12172="","",$D12172*$E12172)</f>
        <v/>
      </c>
      <c r="G12172" s="107" t="str">
        <f aca="false">IF($C12172="","",$D12172*IFERROR(INDEX('تحليل التكلفة والسعر'!$C$2:$C$700,MATCH($C12172,'تحليل التكلفة والسعر'!$B$2:$B$700,0)),0))</f>
        <v/>
      </c>
    </row>
    <row r="12173" customFormat="false" ht="15" hidden="false" customHeight="false" outlineLevel="0" collapsed="false">
      <c r="A12173" s="103"/>
      <c r="B12173" s="104"/>
      <c r="C12173" s="104"/>
      <c r="E12173" s="107" t="str">
        <f aca="false">IF($C12173="","",IFERROR(INDEX(المنيو!$C$2:$C$500,MATCH($C12173,المنيو!$B$2:$B$500,0)),0))</f>
        <v/>
      </c>
      <c r="F12173" s="107" t="str">
        <f aca="false">IF($C12173="","",$D12173*$E12173)</f>
        <v/>
      </c>
      <c r="G12173" s="107" t="str">
        <f aca="false">IF($C12173="","",$D12173*IFERROR(INDEX('تحليل التكلفة والسعر'!$C$2:$C$700,MATCH($C12173,'تحليل التكلفة والسعر'!$B$2:$B$700,0)),0))</f>
        <v/>
      </c>
    </row>
    <row r="12174" customFormat="false" ht="15" hidden="false" customHeight="false" outlineLevel="0" collapsed="false">
      <c r="A12174" s="103"/>
      <c r="B12174" s="104"/>
      <c r="C12174" s="104"/>
      <c r="E12174" s="107" t="str">
        <f aca="false">IF($C12174="","",IFERROR(INDEX(المنيو!$C$2:$C$500,MATCH($C12174,المنيو!$B$2:$B$500,0)),0))</f>
        <v/>
      </c>
      <c r="F12174" s="107" t="str">
        <f aca="false">IF($C12174="","",$D12174*$E12174)</f>
        <v/>
      </c>
      <c r="G12174" s="107" t="str">
        <f aca="false">IF($C12174="","",$D12174*IFERROR(INDEX('تحليل التكلفة والسعر'!$C$2:$C$700,MATCH($C12174,'تحليل التكلفة والسعر'!$B$2:$B$700,0)),0))</f>
        <v/>
      </c>
    </row>
    <row r="12175" customFormat="false" ht="15" hidden="false" customHeight="false" outlineLevel="0" collapsed="false">
      <c r="A12175" s="103"/>
      <c r="B12175" s="104"/>
      <c r="C12175" s="104"/>
      <c r="E12175" s="107" t="str">
        <f aca="false">IF($C12175="","",IFERROR(INDEX(المنيو!$C$2:$C$500,MATCH($C12175,المنيو!$B$2:$B$500,0)),0))</f>
        <v/>
      </c>
      <c r="F12175" s="107" t="str">
        <f aca="false">IF($C12175="","",$D12175*$E12175)</f>
        <v/>
      </c>
      <c r="G12175" s="107" t="str">
        <f aca="false">IF($C12175="","",$D12175*IFERROR(INDEX('تحليل التكلفة والسعر'!$C$2:$C$700,MATCH($C12175,'تحليل التكلفة والسعر'!$B$2:$B$700,0)),0))</f>
        <v/>
      </c>
    </row>
    <row r="12176" customFormat="false" ht="15" hidden="false" customHeight="false" outlineLevel="0" collapsed="false">
      <c r="A12176" s="103"/>
      <c r="B12176" s="104"/>
      <c r="C12176" s="104"/>
      <c r="E12176" s="107" t="str">
        <f aca="false">IF($C12176="","",IFERROR(INDEX(المنيو!$C$2:$C$500,MATCH($C12176,المنيو!$B$2:$B$500,0)),0))</f>
        <v/>
      </c>
      <c r="F12176" s="107" t="str">
        <f aca="false">IF($C12176="","",$D12176*$E12176)</f>
        <v/>
      </c>
      <c r="G12176" s="107" t="str">
        <f aca="false">IF($C12176="","",$D12176*IFERROR(INDEX('تحليل التكلفة والسعر'!$C$2:$C$700,MATCH($C12176,'تحليل التكلفة والسعر'!$B$2:$B$700,0)),0))</f>
        <v/>
      </c>
    </row>
    <row r="12177" customFormat="false" ht="15" hidden="false" customHeight="false" outlineLevel="0" collapsed="false">
      <c r="A12177" s="103"/>
      <c r="B12177" s="104"/>
      <c r="C12177" s="104"/>
      <c r="E12177" s="107" t="str">
        <f aca="false">IF($C12177="","",IFERROR(INDEX(المنيو!$C$2:$C$500,MATCH($C12177,المنيو!$B$2:$B$500,0)),0))</f>
        <v/>
      </c>
      <c r="F12177" s="107" t="str">
        <f aca="false">IF($C12177="","",$D12177*$E12177)</f>
        <v/>
      </c>
      <c r="G12177" s="107" t="str">
        <f aca="false">IF($C12177="","",$D12177*IFERROR(INDEX('تحليل التكلفة والسعر'!$C$2:$C$700,MATCH($C12177,'تحليل التكلفة والسعر'!$B$2:$B$700,0)),0))</f>
        <v/>
      </c>
    </row>
    <row r="12178" customFormat="false" ht="15" hidden="false" customHeight="false" outlineLevel="0" collapsed="false">
      <c r="A12178" s="103"/>
      <c r="B12178" s="104"/>
      <c r="C12178" s="104"/>
      <c r="E12178" s="107" t="str">
        <f aca="false">IF($C12178="","",IFERROR(INDEX(المنيو!$C$2:$C$500,MATCH($C12178,المنيو!$B$2:$B$500,0)),0))</f>
        <v/>
      </c>
      <c r="F12178" s="107" t="str">
        <f aca="false">IF($C12178="","",$D12178*$E12178)</f>
        <v/>
      </c>
      <c r="G12178" s="107" t="str">
        <f aca="false">IF($C12178="","",$D12178*IFERROR(INDEX('تحليل التكلفة والسعر'!$C$2:$C$700,MATCH($C12178,'تحليل التكلفة والسعر'!$B$2:$B$700,0)),0))</f>
        <v/>
      </c>
    </row>
    <row r="12179" customFormat="false" ht="15" hidden="false" customHeight="false" outlineLevel="0" collapsed="false">
      <c r="A12179" s="103"/>
      <c r="B12179" s="104"/>
      <c r="C12179" s="104"/>
      <c r="E12179" s="107" t="str">
        <f aca="false">IF($C12179="","",IFERROR(INDEX(المنيو!$C$2:$C$500,MATCH($C12179,المنيو!$B$2:$B$500,0)),0))</f>
        <v/>
      </c>
      <c r="F12179" s="107" t="str">
        <f aca="false">IF($C12179="","",$D12179*$E12179)</f>
        <v/>
      </c>
      <c r="G12179" s="107" t="str">
        <f aca="false">IF($C12179="","",$D12179*IFERROR(INDEX('تحليل التكلفة والسعر'!$C$2:$C$700,MATCH($C12179,'تحليل التكلفة والسعر'!$B$2:$B$700,0)),0))</f>
        <v/>
      </c>
    </row>
    <row r="12180" customFormat="false" ht="15" hidden="false" customHeight="false" outlineLevel="0" collapsed="false">
      <c r="A12180" s="103"/>
      <c r="B12180" s="104"/>
      <c r="C12180" s="104"/>
      <c r="E12180" s="107" t="str">
        <f aca="false">IF($C12180="","",IFERROR(INDEX(المنيو!$C$2:$C$500,MATCH($C12180,المنيو!$B$2:$B$500,0)),0))</f>
        <v/>
      </c>
      <c r="F12180" s="107" t="str">
        <f aca="false">IF($C12180="","",$D12180*$E12180)</f>
        <v/>
      </c>
      <c r="G12180" s="107" t="str">
        <f aca="false">IF($C12180="","",$D12180*IFERROR(INDEX('تحليل التكلفة والسعر'!$C$2:$C$700,MATCH($C12180,'تحليل التكلفة والسعر'!$B$2:$B$700,0)),0))</f>
        <v/>
      </c>
    </row>
    <row r="12181" customFormat="false" ht="15" hidden="false" customHeight="false" outlineLevel="0" collapsed="false">
      <c r="A12181" s="103"/>
      <c r="B12181" s="104"/>
      <c r="C12181" s="104"/>
      <c r="E12181" s="107" t="str">
        <f aca="false">IF($C12181="","",IFERROR(INDEX(المنيو!$C$2:$C$500,MATCH($C12181,المنيو!$B$2:$B$500,0)),0))</f>
        <v/>
      </c>
      <c r="F12181" s="107" t="str">
        <f aca="false">IF($C12181="","",$D12181*$E12181)</f>
        <v/>
      </c>
      <c r="G12181" s="107" t="str">
        <f aca="false">IF($C12181="","",$D12181*IFERROR(INDEX('تحليل التكلفة والسعر'!$C$2:$C$700,MATCH($C12181,'تحليل التكلفة والسعر'!$B$2:$B$700,0)),0))</f>
        <v/>
      </c>
    </row>
    <row r="12182" customFormat="false" ht="15" hidden="false" customHeight="false" outlineLevel="0" collapsed="false">
      <c r="A12182" s="103"/>
      <c r="B12182" s="104"/>
      <c r="C12182" s="104"/>
      <c r="E12182" s="107" t="str">
        <f aca="false">IF($C12182="","",IFERROR(INDEX(المنيو!$C$2:$C$500,MATCH($C12182,المنيو!$B$2:$B$500,0)),0))</f>
        <v/>
      </c>
      <c r="F12182" s="107" t="str">
        <f aca="false">IF($C12182="","",$D12182*$E12182)</f>
        <v/>
      </c>
      <c r="G12182" s="107" t="str">
        <f aca="false">IF($C12182="","",$D12182*IFERROR(INDEX('تحليل التكلفة والسعر'!$C$2:$C$700,MATCH($C12182,'تحليل التكلفة والسعر'!$B$2:$B$700,0)),0))</f>
        <v/>
      </c>
    </row>
    <row r="12183" customFormat="false" ht="15" hidden="false" customHeight="false" outlineLevel="0" collapsed="false">
      <c r="A12183" s="103"/>
      <c r="B12183" s="104"/>
      <c r="C12183" s="104"/>
      <c r="E12183" s="107" t="str">
        <f aca="false">IF($C12183="","",IFERROR(INDEX(المنيو!$C$2:$C$500,MATCH($C12183,المنيو!$B$2:$B$500,0)),0))</f>
        <v/>
      </c>
      <c r="F12183" s="107" t="str">
        <f aca="false">IF($C12183="","",$D12183*$E12183)</f>
        <v/>
      </c>
      <c r="G12183" s="107" t="str">
        <f aca="false">IF($C12183="","",$D12183*IFERROR(INDEX('تحليل التكلفة والسعر'!$C$2:$C$700,MATCH($C12183,'تحليل التكلفة والسعر'!$B$2:$B$700,0)),0))</f>
        <v/>
      </c>
    </row>
    <row r="12184" customFormat="false" ht="15" hidden="false" customHeight="false" outlineLevel="0" collapsed="false">
      <c r="A12184" s="103"/>
      <c r="B12184" s="104"/>
      <c r="C12184" s="104"/>
      <c r="E12184" s="107" t="str">
        <f aca="false">IF($C12184="","",IFERROR(INDEX(المنيو!$C$2:$C$500,MATCH($C12184,المنيو!$B$2:$B$500,0)),0))</f>
        <v/>
      </c>
      <c r="F12184" s="107" t="str">
        <f aca="false">IF($C12184="","",$D12184*$E12184)</f>
        <v/>
      </c>
      <c r="G12184" s="107" t="str">
        <f aca="false">IF($C12184="","",$D12184*IFERROR(INDEX('تحليل التكلفة والسعر'!$C$2:$C$700,MATCH($C12184,'تحليل التكلفة والسعر'!$B$2:$B$700,0)),0))</f>
        <v/>
      </c>
    </row>
    <row r="12185" customFormat="false" ht="15" hidden="false" customHeight="false" outlineLevel="0" collapsed="false">
      <c r="A12185" s="103"/>
      <c r="B12185" s="104"/>
      <c r="C12185" s="104"/>
      <c r="E12185" s="107" t="str">
        <f aca="false">IF($C12185="","",IFERROR(INDEX(المنيو!$C$2:$C$500,MATCH($C12185,المنيو!$B$2:$B$500,0)),0))</f>
        <v/>
      </c>
      <c r="F12185" s="107" t="str">
        <f aca="false">IF($C12185="","",$D12185*$E12185)</f>
        <v/>
      </c>
      <c r="G12185" s="107" t="str">
        <f aca="false">IF($C12185="","",$D12185*IFERROR(INDEX('تحليل التكلفة والسعر'!$C$2:$C$700,MATCH($C12185,'تحليل التكلفة والسعر'!$B$2:$B$700,0)),0))</f>
        <v/>
      </c>
    </row>
    <row r="12186" customFormat="false" ht="15" hidden="false" customHeight="false" outlineLevel="0" collapsed="false">
      <c r="A12186" s="103"/>
      <c r="B12186" s="104"/>
      <c r="C12186" s="104"/>
      <c r="E12186" s="107" t="str">
        <f aca="false">IF($C12186="","",IFERROR(INDEX(المنيو!$C$2:$C$500,MATCH($C12186,المنيو!$B$2:$B$500,0)),0))</f>
        <v/>
      </c>
      <c r="F12186" s="107" t="str">
        <f aca="false">IF($C12186="","",$D12186*$E12186)</f>
        <v/>
      </c>
      <c r="G12186" s="107" t="str">
        <f aca="false">IF($C12186="","",$D12186*IFERROR(INDEX('تحليل التكلفة والسعر'!$C$2:$C$700,MATCH($C12186,'تحليل التكلفة والسعر'!$B$2:$B$700,0)),0))</f>
        <v/>
      </c>
    </row>
    <row r="12187" customFormat="false" ht="15" hidden="false" customHeight="false" outlineLevel="0" collapsed="false">
      <c r="A12187" s="103"/>
      <c r="B12187" s="104"/>
      <c r="C12187" s="104"/>
      <c r="E12187" s="107" t="str">
        <f aca="false">IF($C12187="","",IFERROR(INDEX(المنيو!$C$2:$C$500,MATCH($C12187,المنيو!$B$2:$B$500,0)),0))</f>
        <v/>
      </c>
      <c r="F12187" s="107" t="str">
        <f aca="false">IF($C12187="","",$D12187*$E12187)</f>
        <v/>
      </c>
      <c r="G12187" s="107" t="str">
        <f aca="false">IF($C12187="","",$D12187*IFERROR(INDEX('تحليل التكلفة والسعر'!$C$2:$C$700,MATCH($C12187,'تحليل التكلفة والسعر'!$B$2:$B$700,0)),0))</f>
        <v/>
      </c>
    </row>
    <row r="12188" customFormat="false" ht="15" hidden="false" customHeight="false" outlineLevel="0" collapsed="false">
      <c r="A12188" s="103"/>
      <c r="B12188" s="104"/>
      <c r="C12188" s="104"/>
      <c r="E12188" s="107" t="str">
        <f aca="false">IF($C12188="","",IFERROR(INDEX(المنيو!$C$2:$C$500,MATCH($C12188,المنيو!$B$2:$B$500,0)),0))</f>
        <v/>
      </c>
      <c r="F12188" s="107" t="str">
        <f aca="false">IF($C12188="","",$D12188*$E12188)</f>
        <v/>
      </c>
      <c r="G12188" s="107" t="str">
        <f aca="false">IF($C12188="","",$D12188*IFERROR(INDEX('تحليل التكلفة والسعر'!$C$2:$C$700,MATCH($C12188,'تحليل التكلفة والسعر'!$B$2:$B$700,0)),0))</f>
        <v/>
      </c>
    </row>
    <row r="12189" customFormat="false" ht="15" hidden="false" customHeight="false" outlineLevel="0" collapsed="false">
      <c r="A12189" s="103"/>
      <c r="B12189" s="104"/>
      <c r="C12189" s="104"/>
      <c r="E12189" s="107" t="str">
        <f aca="false">IF($C12189="","",IFERROR(INDEX(المنيو!$C$2:$C$500,MATCH($C12189,المنيو!$B$2:$B$500,0)),0))</f>
        <v/>
      </c>
      <c r="F12189" s="107" t="str">
        <f aca="false">IF($C12189="","",$D12189*$E12189)</f>
        <v/>
      </c>
      <c r="G12189" s="107" t="str">
        <f aca="false">IF($C12189="","",$D12189*IFERROR(INDEX('تحليل التكلفة والسعر'!$C$2:$C$700,MATCH($C12189,'تحليل التكلفة والسعر'!$B$2:$B$700,0)),0))</f>
        <v/>
      </c>
    </row>
    <row r="12190" customFormat="false" ht="15" hidden="false" customHeight="false" outlineLevel="0" collapsed="false">
      <c r="A12190" s="103"/>
      <c r="B12190" s="104"/>
      <c r="C12190" s="104"/>
      <c r="E12190" s="107" t="str">
        <f aca="false">IF($C12190="","",IFERROR(INDEX(المنيو!$C$2:$C$500,MATCH($C12190,المنيو!$B$2:$B$500,0)),0))</f>
        <v/>
      </c>
      <c r="F12190" s="107" t="str">
        <f aca="false">IF($C12190="","",$D12190*$E12190)</f>
        <v/>
      </c>
      <c r="G12190" s="107" t="str">
        <f aca="false">IF($C12190="","",$D12190*IFERROR(INDEX('تحليل التكلفة والسعر'!$C$2:$C$700,MATCH($C12190,'تحليل التكلفة والسعر'!$B$2:$B$700,0)),0))</f>
        <v/>
      </c>
    </row>
    <row r="12191" customFormat="false" ht="15" hidden="false" customHeight="false" outlineLevel="0" collapsed="false">
      <c r="A12191" s="103"/>
      <c r="B12191" s="104"/>
      <c r="C12191" s="104"/>
      <c r="E12191" s="107" t="str">
        <f aca="false">IF($C12191="","",IFERROR(INDEX(المنيو!$C$2:$C$500,MATCH($C12191,المنيو!$B$2:$B$500,0)),0))</f>
        <v/>
      </c>
      <c r="F12191" s="107" t="str">
        <f aca="false">IF($C12191="","",$D12191*$E12191)</f>
        <v/>
      </c>
      <c r="G12191" s="107" t="str">
        <f aca="false">IF($C12191="","",$D12191*IFERROR(INDEX('تحليل التكلفة والسعر'!$C$2:$C$700,MATCH($C12191,'تحليل التكلفة والسعر'!$B$2:$B$700,0)),0))</f>
        <v/>
      </c>
    </row>
    <row r="12192" customFormat="false" ht="15" hidden="false" customHeight="false" outlineLevel="0" collapsed="false">
      <c r="A12192" s="103"/>
      <c r="B12192" s="104"/>
      <c r="C12192" s="104"/>
      <c r="E12192" s="107" t="str">
        <f aca="false">IF($C12192="","",IFERROR(INDEX(المنيو!$C$2:$C$500,MATCH($C12192,المنيو!$B$2:$B$500,0)),0))</f>
        <v/>
      </c>
      <c r="F12192" s="107" t="str">
        <f aca="false">IF($C12192="","",$D12192*$E12192)</f>
        <v/>
      </c>
      <c r="G12192" s="107" t="str">
        <f aca="false">IF($C12192="","",$D12192*IFERROR(INDEX('تحليل التكلفة والسعر'!$C$2:$C$700,MATCH($C12192,'تحليل التكلفة والسعر'!$B$2:$B$700,0)),0))</f>
        <v/>
      </c>
    </row>
    <row r="12193" customFormat="false" ht="15" hidden="false" customHeight="false" outlineLevel="0" collapsed="false">
      <c r="A12193" s="103"/>
      <c r="B12193" s="104"/>
      <c r="C12193" s="104"/>
      <c r="E12193" s="107" t="str">
        <f aca="false">IF($C12193="","",IFERROR(INDEX(المنيو!$C$2:$C$500,MATCH($C12193,المنيو!$B$2:$B$500,0)),0))</f>
        <v/>
      </c>
      <c r="F12193" s="107" t="str">
        <f aca="false">IF($C12193="","",$D12193*$E12193)</f>
        <v/>
      </c>
      <c r="G12193" s="107" t="str">
        <f aca="false">IF($C12193="","",$D12193*IFERROR(INDEX('تحليل التكلفة والسعر'!$C$2:$C$700,MATCH($C12193,'تحليل التكلفة والسعر'!$B$2:$B$700,0)),0))</f>
        <v/>
      </c>
    </row>
    <row r="12194" customFormat="false" ht="15" hidden="false" customHeight="false" outlineLevel="0" collapsed="false">
      <c r="A12194" s="103"/>
      <c r="B12194" s="104"/>
      <c r="C12194" s="104"/>
      <c r="E12194" s="107" t="str">
        <f aca="false">IF($C12194="","",IFERROR(INDEX(المنيو!$C$2:$C$500,MATCH($C12194,المنيو!$B$2:$B$500,0)),0))</f>
        <v/>
      </c>
      <c r="F12194" s="107" t="str">
        <f aca="false">IF($C12194="","",$D12194*$E12194)</f>
        <v/>
      </c>
      <c r="G12194" s="107" t="str">
        <f aca="false">IF($C12194="","",$D12194*IFERROR(INDEX('تحليل التكلفة والسعر'!$C$2:$C$700,MATCH($C12194,'تحليل التكلفة والسعر'!$B$2:$B$700,0)),0))</f>
        <v/>
      </c>
    </row>
    <row r="12195" customFormat="false" ht="15" hidden="false" customHeight="false" outlineLevel="0" collapsed="false">
      <c r="A12195" s="103"/>
      <c r="B12195" s="104"/>
      <c r="C12195" s="104"/>
      <c r="E12195" s="107" t="str">
        <f aca="false">IF($C12195="","",IFERROR(INDEX(المنيو!$C$2:$C$500,MATCH($C12195,المنيو!$B$2:$B$500,0)),0))</f>
        <v/>
      </c>
      <c r="F12195" s="107" t="str">
        <f aca="false">IF($C12195="","",$D12195*$E12195)</f>
        <v/>
      </c>
      <c r="G12195" s="107" t="str">
        <f aca="false">IF($C12195="","",$D12195*IFERROR(INDEX('تحليل التكلفة والسعر'!$C$2:$C$700,MATCH($C12195,'تحليل التكلفة والسعر'!$B$2:$B$700,0)),0))</f>
        <v/>
      </c>
    </row>
    <row r="12196" customFormat="false" ht="15" hidden="false" customHeight="false" outlineLevel="0" collapsed="false">
      <c r="A12196" s="103"/>
      <c r="B12196" s="104"/>
      <c r="C12196" s="104"/>
      <c r="E12196" s="107" t="str">
        <f aca="false">IF($C12196="","",IFERROR(INDEX(المنيو!$C$2:$C$500,MATCH($C12196,المنيو!$B$2:$B$500,0)),0))</f>
        <v/>
      </c>
      <c r="F12196" s="107" t="str">
        <f aca="false">IF($C12196="","",$D12196*$E12196)</f>
        <v/>
      </c>
      <c r="G12196" s="107" t="str">
        <f aca="false">IF($C12196="","",$D12196*IFERROR(INDEX('تحليل التكلفة والسعر'!$C$2:$C$700,MATCH($C12196,'تحليل التكلفة والسعر'!$B$2:$B$700,0)),0))</f>
        <v/>
      </c>
    </row>
    <row r="12197" customFormat="false" ht="15" hidden="false" customHeight="false" outlineLevel="0" collapsed="false">
      <c r="A12197" s="103"/>
      <c r="B12197" s="104"/>
      <c r="C12197" s="104"/>
      <c r="E12197" s="107" t="str">
        <f aca="false">IF($C12197="","",IFERROR(INDEX(المنيو!$C$2:$C$500,MATCH($C12197,المنيو!$B$2:$B$500,0)),0))</f>
        <v/>
      </c>
      <c r="F12197" s="107" t="str">
        <f aca="false">IF($C12197="","",$D12197*$E12197)</f>
        <v/>
      </c>
      <c r="G12197" s="107" t="str">
        <f aca="false">IF($C12197="","",$D12197*IFERROR(INDEX('تحليل التكلفة والسعر'!$C$2:$C$700,MATCH($C12197,'تحليل التكلفة والسعر'!$B$2:$B$700,0)),0))</f>
        <v/>
      </c>
    </row>
    <row r="12198" customFormat="false" ht="15" hidden="false" customHeight="false" outlineLevel="0" collapsed="false">
      <c r="A12198" s="103"/>
      <c r="B12198" s="104"/>
      <c r="C12198" s="104"/>
      <c r="E12198" s="107" t="str">
        <f aca="false">IF($C12198="","",IFERROR(INDEX(المنيو!$C$2:$C$500,MATCH($C12198,المنيو!$B$2:$B$500,0)),0))</f>
        <v/>
      </c>
      <c r="F12198" s="107" t="str">
        <f aca="false">IF($C12198="","",$D12198*$E12198)</f>
        <v/>
      </c>
      <c r="G12198" s="107" t="str">
        <f aca="false">IF($C12198="","",$D12198*IFERROR(INDEX('تحليل التكلفة والسعر'!$C$2:$C$700,MATCH($C12198,'تحليل التكلفة والسعر'!$B$2:$B$700,0)),0))</f>
        <v/>
      </c>
    </row>
    <row r="12199" customFormat="false" ht="15" hidden="false" customHeight="false" outlineLevel="0" collapsed="false">
      <c r="A12199" s="103"/>
      <c r="B12199" s="104"/>
      <c r="C12199" s="104"/>
      <c r="E12199" s="107" t="str">
        <f aca="false">IF($C12199="","",IFERROR(INDEX(المنيو!$C$2:$C$500,MATCH($C12199,المنيو!$B$2:$B$500,0)),0))</f>
        <v/>
      </c>
      <c r="F12199" s="107" t="str">
        <f aca="false">IF($C12199="","",$D12199*$E12199)</f>
        <v/>
      </c>
      <c r="G12199" s="107" t="str">
        <f aca="false">IF($C12199="","",$D12199*IFERROR(INDEX('تحليل التكلفة والسعر'!$C$2:$C$700,MATCH($C12199,'تحليل التكلفة والسعر'!$B$2:$B$700,0)),0))</f>
        <v/>
      </c>
    </row>
    <row r="12200" customFormat="false" ht="15" hidden="false" customHeight="false" outlineLevel="0" collapsed="false">
      <c r="A12200" s="103"/>
      <c r="B12200" s="104"/>
      <c r="C12200" s="104"/>
      <c r="E12200" s="107" t="str">
        <f aca="false">IF($C12200="","",IFERROR(INDEX(المنيو!$C$2:$C$500,MATCH($C12200,المنيو!$B$2:$B$500,0)),0))</f>
        <v/>
      </c>
      <c r="F12200" s="107" t="str">
        <f aca="false">IF($C12200="","",$D12200*$E12200)</f>
        <v/>
      </c>
      <c r="G12200" s="107" t="str">
        <f aca="false">IF($C12200="","",$D12200*IFERROR(INDEX('تحليل التكلفة والسعر'!$C$2:$C$700,MATCH($C12200,'تحليل التكلفة والسعر'!$B$2:$B$700,0)),0))</f>
        <v/>
      </c>
    </row>
    <row r="12201" customFormat="false" ht="15" hidden="false" customHeight="false" outlineLevel="0" collapsed="false">
      <c r="A12201" s="103"/>
      <c r="B12201" s="104"/>
      <c r="C12201" s="104"/>
      <c r="E12201" s="107" t="str">
        <f aca="false">IF($C12201="","",IFERROR(INDEX(المنيو!$C$2:$C$500,MATCH($C12201,المنيو!$B$2:$B$500,0)),0))</f>
        <v/>
      </c>
      <c r="F12201" s="107" t="str">
        <f aca="false">IF($C12201="","",$D12201*$E12201)</f>
        <v/>
      </c>
      <c r="G12201" s="107" t="str">
        <f aca="false">IF($C12201="","",$D12201*IFERROR(INDEX('تحليل التكلفة والسعر'!$C$2:$C$700,MATCH($C12201,'تحليل التكلفة والسعر'!$B$2:$B$700,0)),0))</f>
        <v/>
      </c>
    </row>
    <row r="12202" customFormat="false" ht="15" hidden="false" customHeight="false" outlineLevel="0" collapsed="false">
      <c r="A12202" s="103"/>
      <c r="B12202" s="104"/>
      <c r="C12202" s="104"/>
      <c r="E12202" s="107" t="str">
        <f aca="false">IF($C12202="","",IFERROR(INDEX(المنيو!$C$2:$C$500,MATCH($C12202,المنيو!$B$2:$B$500,0)),0))</f>
        <v/>
      </c>
      <c r="F12202" s="107" t="str">
        <f aca="false">IF($C12202="","",$D12202*$E12202)</f>
        <v/>
      </c>
      <c r="G12202" s="107" t="str">
        <f aca="false">IF($C12202="","",$D12202*IFERROR(INDEX('تحليل التكلفة والسعر'!$C$2:$C$700,MATCH($C12202,'تحليل التكلفة والسعر'!$B$2:$B$700,0)),0))</f>
        <v/>
      </c>
    </row>
    <row r="12203" customFormat="false" ht="15" hidden="false" customHeight="false" outlineLevel="0" collapsed="false">
      <c r="A12203" s="103"/>
      <c r="B12203" s="104"/>
      <c r="C12203" s="104"/>
      <c r="E12203" s="107" t="str">
        <f aca="false">IF($C12203="","",IFERROR(INDEX(المنيو!$C$2:$C$500,MATCH($C12203,المنيو!$B$2:$B$500,0)),0))</f>
        <v/>
      </c>
      <c r="F12203" s="107" t="str">
        <f aca="false">IF($C12203="","",$D12203*$E12203)</f>
        <v/>
      </c>
      <c r="G12203" s="107" t="str">
        <f aca="false">IF($C12203="","",$D12203*IFERROR(INDEX('تحليل التكلفة والسعر'!$C$2:$C$700,MATCH($C12203,'تحليل التكلفة والسعر'!$B$2:$B$700,0)),0))</f>
        <v/>
      </c>
    </row>
    <row r="12204" customFormat="false" ht="15" hidden="false" customHeight="false" outlineLevel="0" collapsed="false">
      <c r="A12204" s="103"/>
      <c r="B12204" s="104"/>
      <c r="C12204" s="104"/>
      <c r="E12204" s="107" t="str">
        <f aca="false">IF($C12204="","",IFERROR(INDEX(المنيو!$C$2:$C$500,MATCH($C12204,المنيو!$B$2:$B$500,0)),0))</f>
        <v/>
      </c>
      <c r="F12204" s="107" t="str">
        <f aca="false">IF($C12204="","",$D12204*$E12204)</f>
        <v/>
      </c>
      <c r="G12204" s="107" t="str">
        <f aca="false">IF($C12204="","",$D12204*IFERROR(INDEX('تحليل التكلفة والسعر'!$C$2:$C$700,MATCH($C12204,'تحليل التكلفة والسعر'!$B$2:$B$700,0)),0))</f>
        <v/>
      </c>
    </row>
    <row r="12205" customFormat="false" ht="15" hidden="false" customHeight="false" outlineLevel="0" collapsed="false">
      <c r="A12205" s="103"/>
      <c r="B12205" s="104"/>
      <c r="C12205" s="104"/>
      <c r="E12205" s="107" t="str">
        <f aca="false">IF($C12205="","",IFERROR(INDEX(المنيو!$C$2:$C$500,MATCH($C12205,المنيو!$B$2:$B$500,0)),0))</f>
        <v/>
      </c>
      <c r="F12205" s="107" t="str">
        <f aca="false">IF($C12205="","",$D12205*$E12205)</f>
        <v/>
      </c>
      <c r="G12205" s="107" t="str">
        <f aca="false">IF($C12205="","",$D12205*IFERROR(INDEX('تحليل التكلفة والسعر'!$C$2:$C$700,MATCH($C12205,'تحليل التكلفة والسعر'!$B$2:$B$700,0)),0))</f>
        <v/>
      </c>
    </row>
    <row r="12206" customFormat="false" ht="15" hidden="false" customHeight="false" outlineLevel="0" collapsed="false">
      <c r="A12206" s="103"/>
      <c r="B12206" s="104"/>
      <c r="C12206" s="104"/>
      <c r="E12206" s="107" t="str">
        <f aca="false">IF($C12206="","",IFERROR(INDEX(المنيو!$C$2:$C$500,MATCH($C12206,المنيو!$B$2:$B$500,0)),0))</f>
        <v/>
      </c>
      <c r="F12206" s="107" t="str">
        <f aca="false">IF($C12206="","",$D12206*$E12206)</f>
        <v/>
      </c>
      <c r="G12206" s="107" t="str">
        <f aca="false">IF($C12206="","",$D12206*IFERROR(INDEX('تحليل التكلفة والسعر'!$C$2:$C$700,MATCH($C12206,'تحليل التكلفة والسعر'!$B$2:$B$700,0)),0))</f>
        <v/>
      </c>
    </row>
    <row r="12207" customFormat="false" ht="15" hidden="false" customHeight="false" outlineLevel="0" collapsed="false">
      <c r="A12207" s="103"/>
      <c r="B12207" s="104"/>
      <c r="C12207" s="104"/>
      <c r="E12207" s="107" t="str">
        <f aca="false">IF($C12207="","",IFERROR(INDEX(المنيو!$C$2:$C$500,MATCH($C12207,المنيو!$B$2:$B$500,0)),0))</f>
        <v/>
      </c>
      <c r="F12207" s="107" t="str">
        <f aca="false">IF($C12207="","",$D12207*$E12207)</f>
        <v/>
      </c>
      <c r="G12207" s="107" t="str">
        <f aca="false">IF($C12207="","",$D12207*IFERROR(INDEX('تحليل التكلفة والسعر'!$C$2:$C$700,MATCH($C12207,'تحليل التكلفة والسعر'!$B$2:$B$700,0)),0))</f>
        <v/>
      </c>
    </row>
    <row r="12208" customFormat="false" ht="15" hidden="false" customHeight="false" outlineLevel="0" collapsed="false">
      <c r="A12208" s="103"/>
      <c r="B12208" s="104"/>
      <c r="C12208" s="104"/>
      <c r="E12208" s="107" t="str">
        <f aca="false">IF($C12208="","",IFERROR(INDEX(المنيو!$C$2:$C$500,MATCH($C12208,المنيو!$B$2:$B$500,0)),0))</f>
        <v/>
      </c>
      <c r="F12208" s="107" t="str">
        <f aca="false">IF($C12208="","",$D12208*$E12208)</f>
        <v/>
      </c>
      <c r="G12208" s="107" t="str">
        <f aca="false">IF($C12208="","",$D12208*IFERROR(INDEX('تحليل التكلفة والسعر'!$C$2:$C$700,MATCH($C12208,'تحليل التكلفة والسعر'!$B$2:$B$700,0)),0))</f>
        <v/>
      </c>
    </row>
    <row r="12209" customFormat="false" ht="15" hidden="false" customHeight="false" outlineLevel="0" collapsed="false">
      <c r="A12209" s="103"/>
      <c r="B12209" s="104"/>
      <c r="C12209" s="104"/>
      <c r="E12209" s="107" t="str">
        <f aca="false">IF($C12209="","",IFERROR(INDEX(المنيو!$C$2:$C$500,MATCH($C12209,المنيو!$B$2:$B$500,0)),0))</f>
        <v/>
      </c>
      <c r="F12209" s="107" t="str">
        <f aca="false">IF($C12209="","",$D12209*$E12209)</f>
        <v/>
      </c>
      <c r="G12209" s="107" t="str">
        <f aca="false">IF($C12209="","",$D12209*IFERROR(INDEX('تحليل التكلفة والسعر'!$C$2:$C$700,MATCH($C12209,'تحليل التكلفة والسعر'!$B$2:$B$700,0)),0))</f>
        <v/>
      </c>
    </row>
    <row r="12210" customFormat="false" ht="15" hidden="false" customHeight="false" outlineLevel="0" collapsed="false">
      <c r="A12210" s="103"/>
      <c r="B12210" s="104"/>
      <c r="C12210" s="104"/>
      <c r="E12210" s="107" t="str">
        <f aca="false">IF($C12210="","",IFERROR(INDEX(المنيو!$C$2:$C$500,MATCH($C12210,المنيو!$B$2:$B$500,0)),0))</f>
        <v/>
      </c>
      <c r="F12210" s="107" t="str">
        <f aca="false">IF($C12210="","",$D12210*$E12210)</f>
        <v/>
      </c>
      <c r="G12210" s="107" t="str">
        <f aca="false">IF($C12210="","",$D12210*IFERROR(INDEX('تحليل التكلفة والسعر'!$C$2:$C$700,MATCH($C12210,'تحليل التكلفة والسعر'!$B$2:$B$700,0)),0))</f>
        <v/>
      </c>
    </row>
    <row r="12211" customFormat="false" ht="15" hidden="false" customHeight="false" outlineLevel="0" collapsed="false">
      <c r="A12211" s="103"/>
      <c r="B12211" s="104"/>
      <c r="C12211" s="104"/>
      <c r="E12211" s="107" t="str">
        <f aca="false">IF($C12211="","",IFERROR(INDEX(المنيو!$C$2:$C$500,MATCH($C12211,المنيو!$B$2:$B$500,0)),0))</f>
        <v/>
      </c>
      <c r="F12211" s="107" t="str">
        <f aca="false">IF($C12211="","",$D12211*$E12211)</f>
        <v/>
      </c>
      <c r="G12211" s="107" t="str">
        <f aca="false">IF($C12211="","",$D12211*IFERROR(INDEX('تحليل التكلفة والسعر'!$C$2:$C$700,MATCH($C12211,'تحليل التكلفة والسعر'!$B$2:$B$700,0)),0))</f>
        <v/>
      </c>
    </row>
    <row r="12212" customFormat="false" ht="15" hidden="false" customHeight="false" outlineLevel="0" collapsed="false">
      <c r="A12212" s="103"/>
      <c r="B12212" s="104"/>
      <c r="C12212" s="104"/>
      <c r="E12212" s="107" t="str">
        <f aca="false">IF($C12212="","",IFERROR(INDEX(المنيو!$C$2:$C$500,MATCH($C12212,المنيو!$B$2:$B$500,0)),0))</f>
        <v/>
      </c>
      <c r="F12212" s="107" t="str">
        <f aca="false">IF($C12212="","",$D12212*$E12212)</f>
        <v/>
      </c>
      <c r="G12212" s="107" t="str">
        <f aca="false">IF($C12212="","",$D12212*IFERROR(INDEX('تحليل التكلفة والسعر'!$C$2:$C$700,MATCH($C12212,'تحليل التكلفة والسعر'!$B$2:$B$700,0)),0))</f>
        <v/>
      </c>
    </row>
    <row r="12213" customFormat="false" ht="15" hidden="false" customHeight="false" outlineLevel="0" collapsed="false">
      <c r="A12213" s="103"/>
      <c r="B12213" s="104"/>
      <c r="C12213" s="104"/>
      <c r="E12213" s="107" t="str">
        <f aca="false">IF($C12213="","",IFERROR(INDEX(المنيو!$C$2:$C$500,MATCH($C12213,المنيو!$B$2:$B$500,0)),0))</f>
        <v/>
      </c>
      <c r="F12213" s="107" t="str">
        <f aca="false">IF($C12213="","",$D12213*$E12213)</f>
        <v/>
      </c>
      <c r="G12213" s="107" t="str">
        <f aca="false">IF($C12213="","",$D12213*IFERROR(INDEX('تحليل التكلفة والسعر'!$C$2:$C$700,MATCH($C12213,'تحليل التكلفة والسعر'!$B$2:$B$700,0)),0))</f>
        <v/>
      </c>
    </row>
    <row r="12214" customFormat="false" ht="15" hidden="false" customHeight="false" outlineLevel="0" collapsed="false">
      <c r="A12214" s="103"/>
      <c r="B12214" s="104"/>
      <c r="C12214" s="104"/>
      <c r="E12214" s="107" t="str">
        <f aca="false">IF($C12214="","",IFERROR(INDEX(المنيو!$C$2:$C$500,MATCH($C12214,المنيو!$B$2:$B$500,0)),0))</f>
        <v/>
      </c>
      <c r="F12214" s="107" t="str">
        <f aca="false">IF($C12214="","",$D12214*$E12214)</f>
        <v/>
      </c>
      <c r="G12214" s="107" t="str">
        <f aca="false">IF($C12214="","",$D12214*IFERROR(INDEX('تحليل التكلفة والسعر'!$C$2:$C$700,MATCH($C12214,'تحليل التكلفة والسعر'!$B$2:$B$700,0)),0))</f>
        <v/>
      </c>
    </row>
    <row r="12215" customFormat="false" ht="15" hidden="false" customHeight="false" outlineLevel="0" collapsed="false">
      <c r="A12215" s="103"/>
      <c r="B12215" s="104"/>
      <c r="C12215" s="104"/>
      <c r="E12215" s="107" t="str">
        <f aca="false">IF($C12215="","",IFERROR(INDEX(المنيو!$C$2:$C$500,MATCH($C12215,المنيو!$B$2:$B$500,0)),0))</f>
        <v/>
      </c>
      <c r="F12215" s="107" t="str">
        <f aca="false">IF($C12215="","",$D12215*$E12215)</f>
        <v/>
      </c>
      <c r="G12215" s="107" t="str">
        <f aca="false">IF($C12215="","",$D12215*IFERROR(INDEX('تحليل التكلفة والسعر'!$C$2:$C$700,MATCH($C12215,'تحليل التكلفة والسعر'!$B$2:$B$700,0)),0))</f>
        <v/>
      </c>
    </row>
    <row r="12216" customFormat="false" ht="15" hidden="false" customHeight="false" outlineLevel="0" collapsed="false">
      <c r="A12216" s="103"/>
      <c r="B12216" s="104"/>
      <c r="C12216" s="104"/>
      <c r="E12216" s="107" t="str">
        <f aca="false">IF($C12216="","",IFERROR(INDEX(المنيو!$C$2:$C$500,MATCH($C12216,المنيو!$B$2:$B$500,0)),0))</f>
        <v/>
      </c>
      <c r="F12216" s="107" t="str">
        <f aca="false">IF($C12216="","",$D12216*$E12216)</f>
        <v/>
      </c>
      <c r="G12216" s="107" t="str">
        <f aca="false">IF($C12216="","",$D12216*IFERROR(INDEX('تحليل التكلفة والسعر'!$C$2:$C$700,MATCH($C12216,'تحليل التكلفة والسعر'!$B$2:$B$700,0)),0))</f>
        <v/>
      </c>
    </row>
    <row r="12217" customFormat="false" ht="15" hidden="false" customHeight="false" outlineLevel="0" collapsed="false">
      <c r="A12217" s="103"/>
      <c r="B12217" s="104"/>
      <c r="C12217" s="104"/>
      <c r="E12217" s="107" t="str">
        <f aca="false">IF($C12217="","",IFERROR(INDEX(المنيو!$C$2:$C$500,MATCH($C12217,المنيو!$B$2:$B$500,0)),0))</f>
        <v/>
      </c>
      <c r="F12217" s="107" t="str">
        <f aca="false">IF($C12217="","",$D12217*$E12217)</f>
        <v/>
      </c>
      <c r="G12217" s="107" t="str">
        <f aca="false">IF($C12217="","",$D12217*IFERROR(INDEX('تحليل التكلفة والسعر'!$C$2:$C$700,MATCH($C12217,'تحليل التكلفة والسعر'!$B$2:$B$700,0)),0))</f>
        <v/>
      </c>
    </row>
    <row r="12218" customFormat="false" ht="15" hidden="false" customHeight="false" outlineLevel="0" collapsed="false">
      <c r="A12218" s="103"/>
      <c r="B12218" s="104"/>
      <c r="C12218" s="104"/>
      <c r="E12218" s="107" t="str">
        <f aca="false">IF($C12218="","",IFERROR(INDEX(المنيو!$C$2:$C$500,MATCH($C12218,المنيو!$B$2:$B$500,0)),0))</f>
        <v/>
      </c>
      <c r="F12218" s="107" t="str">
        <f aca="false">IF($C12218="","",$D12218*$E12218)</f>
        <v/>
      </c>
      <c r="G12218" s="107" t="str">
        <f aca="false">IF($C12218="","",$D12218*IFERROR(INDEX('تحليل التكلفة والسعر'!$C$2:$C$700,MATCH($C12218,'تحليل التكلفة والسعر'!$B$2:$B$700,0)),0))</f>
        <v/>
      </c>
    </row>
    <row r="12219" customFormat="false" ht="15" hidden="false" customHeight="false" outlineLevel="0" collapsed="false">
      <c r="A12219" s="103"/>
      <c r="B12219" s="104"/>
      <c r="C12219" s="104"/>
      <c r="E12219" s="107" t="str">
        <f aca="false">IF($C12219="","",IFERROR(INDEX(المنيو!$C$2:$C$500,MATCH($C12219,المنيو!$B$2:$B$500,0)),0))</f>
        <v/>
      </c>
      <c r="F12219" s="107" t="str">
        <f aca="false">IF($C12219="","",$D12219*$E12219)</f>
        <v/>
      </c>
      <c r="G12219" s="107" t="str">
        <f aca="false">IF($C12219="","",$D12219*IFERROR(INDEX('تحليل التكلفة والسعر'!$C$2:$C$700,MATCH($C12219,'تحليل التكلفة والسعر'!$B$2:$B$700,0)),0))</f>
        <v/>
      </c>
    </row>
    <row r="12220" customFormat="false" ht="15" hidden="false" customHeight="false" outlineLevel="0" collapsed="false">
      <c r="A12220" s="103"/>
      <c r="B12220" s="104"/>
      <c r="C12220" s="104"/>
      <c r="E12220" s="107" t="str">
        <f aca="false">IF($C12220="","",IFERROR(INDEX(المنيو!$C$2:$C$500,MATCH($C12220,المنيو!$B$2:$B$500,0)),0))</f>
        <v/>
      </c>
      <c r="F12220" s="107" t="str">
        <f aca="false">IF($C12220="","",$D12220*$E12220)</f>
        <v/>
      </c>
      <c r="G12220" s="107" t="str">
        <f aca="false">IF($C12220="","",$D12220*IFERROR(INDEX('تحليل التكلفة والسعر'!$C$2:$C$700,MATCH($C12220,'تحليل التكلفة والسعر'!$B$2:$B$700,0)),0))</f>
        <v/>
      </c>
    </row>
    <row r="12221" customFormat="false" ht="15" hidden="false" customHeight="false" outlineLevel="0" collapsed="false">
      <c r="A12221" s="103"/>
      <c r="B12221" s="104"/>
      <c r="C12221" s="104"/>
      <c r="E12221" s="107" t="str">
        <f aca="false">IF($C12221="","",IFERROR(INDEX(المنيو!$C$2:$C$500,MATCH($C12221,المنيو!$B$2:$B$500,0)),0))</f>
        <v/>
      </c>
      <c r="F12221" s="107" t="str">
        <f aca="false">IF($C12221="","",$D12221*$E12221)</f>
        <v/>
      </c>
      <c r="G12221" s="107" t="str">
        <f aca="false">IF($C12221="","",$D12221*IFERROR(INDEX('تحليل التكلفة والسعر'!$C$2:$C$700,MATCH($C12221,'تحليل التكلفة والسعر'!$B$2:$B$700,0)),0))</f>
        <v/>
      </c>
    </row>
    <row r="12222" customFormat="false" ht="15" hidden="false" customHeight="false" outlineLevel="0" collapsed="false">
      <c r="A12222" s="103"/>
      <c r="B12222" s="104"/>
      <c r="C12222" s="104"/>
      <c r="E12222" s="107" t="str">
        <f aca="false">IF($C12222="","",IFERROR(INDEX(المنيو!$C$2:$C$500,MATCH($C12222,المنيو!$B$2:$B$500,0)),0))</f>
        <v/>
      </c>
      <c r="F12222" s="107" t="str">
        <f aca="false">IF($C12222="","",$D12222*$E12222)</f>
        <v/>
      </c>
      <c r="G12222" s="107" t="str">
        <f aca="false">IF($C12222="","",$D12222*IFERROR(INDEX('تحليل التكلفة والسعر'!$C$2:$C$700,MATCH($C12222,'تحليل التكلفة والسعر'!$B$2:$B$700,0)),0))</f>
        <v/>
      </c>
    </row>
    <row r="12223" customFormat="false" ht="15" hidden="false" customHeight="false" outlineLevel="0" collapsed="false">
      <c r="A12223" s="103"/>
      <c r="B12223" s="104"/>
      <c r="C12223" s="104"/>
      <c r="E12223" s="107" t="str">
        <f aca="false">IF($C12223="","",IFERROR(INDEX(المنيو!$C$2:$C$500,MATCH($C12223,المنيو!$B$2:$B$500,0)),0))</f>
        <v/>
      </c>
      <c r="F12223" s="107" t="str">
        <f aca="false">IF($C12223="","",$D12223*$E12223)</f>
        <v/>
      </c>
      <c r="G12223" s="107" t="str">
        <f aca="false">IF($C12223="","",$D12223*IFERROR(INDEX('تحليل التكلفة والسعر'!$C$2:$C$700,MATCH($C12223,'تحليل التكلفة والسعر'!$B$2:$B$700,0)),0))</f>
        <v/>
      </c>
    </row>
    <row r="12224" customFormat="false" ht="15" hidden="false" customHeight="false" outlineLevel="0" collapsed="false">
      <c r="A12224" s="103"/>
      <c r="B12224" s="104"/>
      <c r="C12224" s="104"/>
      <c r="E12224" s="107" t="str">
        <f aca="false">IF($C12224="","",IFERROR(INDEX(المنيو!$C$2:$C$500,MATCH($C12224,المنيو!$B$2:$B$500,0)),0))</f>
        <v/>
      </c>
      <c r="F12224" s="107" t="str">
        <f aca="false">IF($C12224="","",$D12224*$E12224)</f>
        <v/>
      </c>
      <c r="G12224" s="107" t="str">
        <f aca="false">IF($C12224="","",$D12224*IFERROR(INDEX('تحليل التكلفة والسعر'!$C$2:$C$700,MATCH($C12224,'تحليل التكلفة والسعر'!$B$2:$B$700,0)),0))</f>
        <v/>
      </c>
    </row>
    <row r="12225" customFormat="false" ht="15" hidden="false" customHeight="false" outlineLevel="0" collapsed="false">
      <c r="A12225" s="103"/>
      <c r="B12225" s="104"/>
      <c r="C12225" s="104"/>
      <c r="E12225" s="107" t="str">
        <f aca="false">IF($C12225="","",IFERROR(INDEX(المنيو!$C$2:$C$500,MATCH($C12225,المنيو!$B$2:$B$500,0)),0))</f>
        <v/>
      </c>
      <c r="F12225" s="107" t="str">
        <f aca="false">IF($C12225="","",$D12225*$E12225)</f>
        <v/>
      </c>
      <c r="G12225" s="107" t="str">
        <f aca="false">IF($C12225="","",$D12225*IFERROR(INDEX('تحليل التكلفة والسعر'!$C$2:$C$700,MATCH($C12225,'تحليل التكلفة والسعر'!$B$2:$B$700,0)),0))</f>
        <v/>
      </c>
    </row>
    <row r="12226" customFormat="false" ht="15" hidden="false" customHeight="false" outlineLevel="0" collapsed="false">
      <c r="A12226" s="103"/>
      <c r="B12226" s="104"/>
      <c r="C12226" s="104"/>
      <c r="E12226" s="107" t="str">
        <f aca="false">IF($C12226="","",IFERROR(INDEX(المنيو!$C$2:$C$500,MATCH($C12226,المنيو!$B$2:$B$500,0)),0))</f>
        <v/>
      </c>
      <c r="F12226" s="107" t="str">
        <f aca="false">IF($C12226="","",$D12226*$E12226)</f>
        <v/>
      </c>
      <c r="G12226" s="107" t="str">
        <f aca="false">IF($C12226="","",$D12226*IFERROR(INDEX('تحليل التكلفة والسعر'!$C$2:$C$700,MATCH($C12226,'تحليل التكلفة والسعر'!$B$2:$B$700,0)),0))</f>
        <v/>
      </c>
    </row>
    <row r="12227" customFormat="false" ht="15" hidden="false" customHeight="false" outlineLevel="0" collapsed="false">
      <c r="A12227" s="103"/>
      <c r="B12227" s="104"/>
      <c r="C12227" s="104"/>
      <c r="E12227" s="107" t="str">
        <f aca="false">IF($C12227="","",IFERROR(INDEX(المنيو!$C$2:$C$500,MATCH($C12227,المنيو!$B$2:$B$500,0)),0))</f>
        <v/>
      </c>
      <c r="F12227" s="107" t="str">
        <f aca="false">IF($C12227="","",$D12227*$E12227)</f>
        <v/>
      </c>
      <c r="G12227" s="107" t="str">
        <f aca="false">IF($C12227="","",$D12227*IFERROR(INDEX('تحليل التكلفة والسعر'!$C$2:$C$700,MATCH($C12227,'تحليل التكلفة والسعر'!$B$2:$B$700,0)),0))</f>
        <v/>
      </c>
    </row>
    <row r="12228" customFormat="false" ht="15" hidden="false" customHeight="false" outlineLevel="0" collapsed="false">
      <c r="A12228" s="103"/>
      <c r="B12228" s="104"/>
      <c r="C12228" s="104"/>
      <c r="E12228" s="107" t="str">
        <f aca="false">IF($C12228="","",IFERROR(INDEX(المنيو!$C$2:$C$500,MATCH($C12228,المنيو!$B$2:$B$500,0)),0))</f>
        <v/>
      </c>
      <c r="F12228" s="107" t="str">
        <f aca="false">IF($C12228="","",$D12228*$E12228)</f>
        <v/>
      </c>
      <c r="G12228" s="107" t="str">
        <f aca="false">IF($C12228="","",$D12228*IFERROR(INDEX('تحليل التكلفة والسعر'!$C$2:$C$700,MATCH($C12228,'تحليل التكلفة والسعر'!$B$2:$B$700,0)),0))</f>
        <v/>
      </c>
    </row>
    <row r="12229" customFormat="false" ht="15" hidden="false" customHeight="false" outlineLevel="0" collapsed="false">
      <c r="A12229" s="103"/>
      <c r="B12229" s="104"/>
      <c r="C12229" s="104"/>
      <c r="E12229" s="107" t="str">
        <f aca="false">IF($C12229="","",IFERROR(INDEX(المنيو!$C$2:$C$500,MATCH($C12229,المنيو!$B$2:$B$500,0)),0))</f>
        <v/>
      </c>
      <c r="F12229" s="107" t="str">
        <f aca="false">IF($C12229="","",$D12229*$E12229)</f>
        <v/>
      </c>
      <c r="G12229" s="107" t="str">
        <f aca="false">IF($C12229="","",$D12229*IFERROR(INDEX('تحليل التكلفة والسعر'!$C$2:$C$700,MATCH($C12229,'تحليل التكلفة والسعر'!$B$2:$B$700,0)),0))</f>
        <v/>
      </c>
    </row>
    <row r="12230" customFormat="false" ht="15" hidden="false" customHeight="false" outlineLevel="0" collapsed="false">
      <c r="A12230" s="103"/>
      <c r="B12230" s="104"/>
      <c r="C12230" s="104"/>
      <c r="E12230" s="107" t="str">
        <f aca="false">IF($C12230="","",IFERROR(INDEX(المنيو!$C$2:$C$500,MATCH($C12230,المنيو!$B$2:$B$500,0)),0))</f>
        <v/>
      </c>
      <c r="F12230" s="107" t="str">
        <f aca="false">IF($C12230="","",$D12230*$E12230)</f>
        <v/>
      </c>
      <c r="G12230" s="107" t="str">
        <f aca="false">IF($C12230="","",$D12230*IFERROR(INDEX('تحليل التكلفة والسعر'!$C$2:$C$700,MATCH($C12230,'تحليل التكلفة والسعر'!$B$2:$B$700,0)),0))</f>
        <v/>
      </c>
    </row>
    <row r="12231" customFormat="false" ht="15" hidden="false" customHeight="false" outlineLevel="0" collapsed="false">
      <c r="A12231" s="103"/>
      <c r="B12231" s="104"/>
      <c r="C12231" s="104"/>
      <c r="E12231" s="107" t="str">
        <f aca="false">IF($C12231="","",IFERROR(INDEX(المنيو!$C$2:$C$500,MATCH($C12231,المنيو!$B$2:$B$500,0)),0))</f>
        <v/>
      </c>
      <c r="F12231" s="107" t="str">
        <f aca="false">IF($C12231="","",$D12231*$E12231)</f>
        <v/>
      </c>
      <c r="G12231" s="107" t="str">
        <f aca="false">IF($C12231="","",$D12231*IFERROR(INDEX('تحليل التكلفة والسعر'!$C$2:$C$700,MATCH($C12231,'تحليل التكلفة والسعر'!$B$2:$B$700,0)),0))</f>
        <v/>
      </c>
    </row>
    <row r="12232" customFormat="false" ht="15" hidden="false" customHeight="false" outlineLevel="0" collapsed="false">
      <c r="A12232" s="103"/>
      <c r="B12232" s="104"/>
      <c r="C12232" s="104"/>
      <c r="E12232" s="107" t="str">
        <f aca="false">IF($C12232="","",IFERROR(INDEX(المنيو!$C$2:$C$500,MATCH($C12232,المنيو!$B$2:$B$500,0)),0))</f>
        <v/>
      </c>
      <c r="F12232" s="107" t="str">
        <f aca="false">IF($C12232="","",$D12232*$E12232)</f>
        <v/>
      </c>
      <c r="G12232" s="107" t="str">
        <f aca="false">IF($C12232="","",$D12232*IFERROR(INDEX('تحليل التكلفة والسعر'!$C$2:$C$700,MATCH($C12232,'تحليل التكلفة والسعر'!$B$2:$B$700,0)),0))</f>
        <v/>
      </c>
    </row>
    <row r="12233" customFormat="false" ht="15" hidden="false" customHeight="false" outlineLevel="0" collapsed="false">
      <c r="A12233" s="103"/>
      <c r="B12233" s="104"/>
      <c r="C12233" s="104"/>
      <c r="E12233" s="107" t="str">
        <f aca="false">IF($C12233="","",IFERROR(INDEX(المنيو!$C$2:$C$500,MATCH($C12233,المنيو!$B$2:$B$500,0)),0))</f>
        <v/>
      </c>
      <c r="F12233" s="107" t="str">
        <f aca="false">IF($C12233="","",$D12233*$E12233)</f>
        <v/>
      </c>
      <c r="G12233" s="107" t="str">
        <f aca="false">IF($C12233="","",$D12233*IFERROR(INDEX('تحليل التكلفة والسعر'!$C$2:$C$700,MATCH($C12233,'تحليل التكلفة والسعر'!$B$2:$B$700,0)),0))</f>
        <v/>
      </c>
    </row>
    <row r="12234" customFormat="false" ht="15" hidden="false" customHeight="false" outlineLevel="0" collapsed="false">
      <c r="A12234" s="103"/>
      <c r="B12234" s="104"/>
      <c r="C12234" s="104"/>
      <c r="E12234" s="107" t="str">
        <f aca="false">IF($C12234="","",IFERROR(INDEX(المنيو!$C$2:$C$500,MATCH($C12234,المنيو!$B$2:$B$500,0)),0))</f>
        <v/>
      </c>
      <c r="F12234" s="107" t="str">
        <f aca="false">IF($C12234="","",$D12234*$E12234)</f>
        <v/>
      </c>
      <c r="G12234" s="107" t="str">
        <f aca="false">IF($C12234="","",$D12234*IFERROR(INDEX('تحليل التكلفة والسعر'!$C$2:$C$700,MATCH($C12234,'تحليل التكلفة والسعر'!$B$2:$B$700,0)),0))</f>
        <v/>
      </c>
    </row>
    <row r="12235" customFormat="false" ht="15" hidden="false" customHeight="false" outlineLevel="0" collapsed="false">
      <c r="A12235" s="103"/>
      <c r="B12235" s="104"/>
      <c r="C12235" s="104"/>
      <c r="E12235" s="107" t="str">
        <f aca="false">IF($C12235="","",IFERROR(INDEX(المنيو!$C$2:$C$500,MATCH($C12235,المنيو!$B$2:$B$500,0)),0))</f>
        <v/>
      </c>
      <c r="F12235" s="107" t="str">
        <f aca="false">IF($C12235="","",$D12235*$E12235)</f>
        <v/>
      </c>
      <c r="G12235" s="107" t="str">
        <f aca="false">IF($C12235="","",$D12235*IFERROR(INDEX('تحليل التكلفة والسعر'!$C$2:$C$700,MATCH($C12235,'تحليل التكلفة والسعر'!$B$2:$B$700,0)),0))</f>
        <v/>
      </c>
    </row>
    <row r="12236" customFormat="false" ht="15" hidden="false" customHeight="false" outlineLevel="0" collapsed="false">
      <c r="A12236" s="103"/>
      <c r="B12236" s="104"/>
      <c r="C12236" s="104"/>
      <c r="E12236" s="107" t="str">
        <f aca="false">IF($C12236="","",IFERROR(INDEX(المنيو!$C$2:$C$500,MATCH($C12236,المنيو!$B$2:$B$500,0)),0))</f>
        <v/>
      </c>
      <c r="F12236" s="107" t="str">
        <f aca="false">IF($C12236="","",$D12236*$E12236)</f>
        <v/>
      </c>
      <c r="G12236" s="107" t="str">
        <f aca="false">IF($C12236="","",$D12236*IFERROR(INDEX('تحليل التكلفة والسعر'!$C$2:$C$700,MATCH($C12236,'تحليل التكلفة والسعر'!$B$2:$B$700,0)),0))</f>
        <v/>
      </c>
    </row>
    <row r="12237" customFormat="false" ht="15" hidden="false" customHeight="false" outlineLevel="0" collapsed="false">
      <c r="A12237" s="103"/>
      <c r="B12237" s="104"/>
      <c r="C12237" s="104"/>
      <c r="E12237" s="107" t="str">
        <f aca="false">IF($C12237="","",IFERROR(INDEX(المنيو!$C$2:$C$500,MATCH($C12237,المنيو!$B$2:$B$500,0)),0))</f>
        <v/>
      </c>
      <c r="F12237" s="107" t="str">
        <f aca="false">IF($C12237="","",$D12237*$E12237)</f>
        <v/>
      </c>
      <c r="G12237" s="107" t="str">
        <f aca="false">IF($C12237="","",$D12237*IFERROR(INDEX('تحليل التكلفة والسعر'!$C$2:$C$700,MATCH($C12237,'تحليل التكلفة والسعر'!$B$2:$B$700,0)),0))</f>
        <v/>
      </c>
    </row>
    <row r="12238" customFormat="false" ht="15" hidden="false" customHeight="false" outlineLevel="0" collapsed="false">
      <c r="A12238" s="103"/>
      <c r="B12238" s="104"/>
      <c r="C12238" s="104"/>
      <c r="E12238" s="107" t="str">
        <f aca="false">IF($C12238="","",IFERROR(INDEX(المنيو!$C$2:$C$500,MATCH($C12238,المنيو!$B$2:$B$500,0)),0))</f>
        <v/>
      </c>
      <c r="F12238" s="107" t="str">
        <f aca="false">IF($C12238="","",$D12238*$E12238)</f>
        <v/>
      </c>
      <c r="G12238" s="107" t="str">
        <f aca="false">IF($C12238="","",$D12238*IFERROR(INDEX('تحليل التكلفة والسعر'!$C$2:$C$700,MATCH($C12238,'تحليل التكلفة والسعر'!$B$2:$B$700,0)),0))</f>
        <v/>
      </c>
    </row>
    <row r="12239" customFormat="false" ht="15" hidden="false" customHeight="false" outlineLevel="0" collapsed="false">
      <c r="A12239" s="103"/>
      <c r="B12239" s="104"/>
      <c r="C12239" s="104"/>
      <c r="E12239" s="107" t="str">
        <f aca="false">IF($C12239="","",IFERROR(INDEX(المنيو!$C$2:$C$500,MATCH($C12239,المنيو!$B$2:$B$500,0)),0))</f>
        <v/>
      </c>
      <c r="F12239" s="107" t="str">
        <f aca="false">IF($C12239="","",$D12239*$E12239)</f>
        <v/>
      </c>
      <c r="G12239" s="107" t="str">
        <f aca="false">IF($C12239="","",$D12239*IFERROR(INDEX('تحليل التكلفة والسعر'!$C$2:$C$700,MATCH($C12239,'تحليل التكلفة والسعر'!$B$2:$B$700,0)),0))</f>
        <v/>
      </c>
    </row>
    <row r="12240" customFormat="false" ht="15" hidden="false" customHeight="false" outlineLevel="0" collapsed="false">
      <c r="A12240" s="103"/>
      <c r="B12240" s="104"/>
      <c r="C12240" s="104"/>
      <c r="E12240" s="107" t="str">
        <f aca="false">IF($C12240="","",IFERROR(INDEX(المنيو!$C$2:$C$500,MATCH($C12240,المنيو!$B$2:$B$500,0)),0))</f>
        <v/>
      </c>
      <c r="F12240" s="107" t="str">
        <f aca="false">IF($C12240="","",$D12240*$E12240)</f>
        <v/>
      </c>
      <c r="G12240" s="107" t="str">
        <f aca="false">IF($C12240="","",$D12240*IFERROR(INDEX('تحليل التكلفة والسعر'!$C$2:$C$700,MATCH($C12240,'تحليل التكلفة والسعر'!$B$2:$B$700,0)),0))</f>
        <v/>
      </c>
    </row>
    <row r="12241" customFormat="false" ht="15" hidden="false" customHeight="false" outlineLevel="0" collapsed="false">
      <c r="A12241" s="103"/>
      <c r="B12241" s="104"/>
      <c r="C12241" s="104"/>
      <c r="E12241" s="107" t="str">
        <f aca="false">IF($C12241="","",IFERROR(INDEX(المنيو!$C$2:$C$500,MATCH($C12241,المنيو!$B$2:$B$500,0)),0))</f>
        <v/>
      </c>
      <c r="F12241" s="107" t="str">
        <f aca="false">IF($C12241="","",$D12241*$E12241)</f>
        <v/>
      </c>
      <c r="G12241" s="107" t="str">
        <f aca="false">IF($C12241="","",$D12241*IFERROR(INDEX('تحليل التكلفة والسعر'!$C$2:$C$700,MATCH($C12241,'تحليل التكلفة والسعر'!$B$2:$B$700,0)),0))</f>
        <v/>
      </c>
    </row>
    <row r="12242" customFormat="false" ht="15" hidden="false" customHeight="false" outlineLevel="0" collapsed="false">
      <c r="A12242" s="103"/>
      <c r="B12242" s="104"/>
      <c r="C12242" s="104"/>
      <c r="E12242" s="107" t="str">
        <f aca="false">IF($C12242="","",IFERROR(INDEX(المنيو!$C$2:$C$500,MATCH($C12242,المنيو!$B$2:$B$500,0)),0))</f>
        <v/>
      </c>
      <c r="F12242" s="107" t="str">
        <f aca="false">IF($C12242="","",$D12242*$E12242)</f>
        <v/>
      </c>
      <c r="G12242" s="107" t="str">
        <f aca="false">IF($C12242="","",$D12242*IFERROR(INDEX('تحليل التكلفة والسعر'!$C$2:$C$700,MATCH($C12242,'تحليل التكلفة والسعر'!$B$2:$B$700,0)),0))</f>
        <v/>
      </c>
    </row>
    <row r="12243" customFormat="false" ht="15" hidden="false" customHeight="false" outlineLevel="0" collapsed="false">
      <c r="A12243" s="103"/>
      <c r="B12243" s="104"/>
      <c r="C12243" s="104"/>
      <c r="E12243" s="107" t="str">
        <f aca="false">IF($C12243="","",IFERROR(INDEX(المنيو!$C$2:$C$500,MATCH($C12243,المنيو!$B$2:$B$500,0)),0))</f>
        <v/>
      </c>
      <c r="F12243" s="107" t="str">
        <f aca="false">IF($C12243="","",$D12243*$E12243)</f>
        <v/>
      </c>
      <c r="G12243" s="107" t="str">
        <f aca="false">IF($C12243="","",$D12243*IFERROR(INDEX('تحليل التكلفة والسعر'!$C$2:$C$700,MATCH($C12243,'تحليل التكلفة والسعر'!$B$2:$B$700,0)),0))</f>
        <v/>
      </c>
    </row>
    <row r="12244" customFormat="false" ht="15" hidden="false" customHeight="false" outlineLevel="0" collapsed="false">
      <c r="A12244" s="103"/>
      <c r="B12244" s="104"/>
      <c r="C12244" s="104"/>
      <c r="E12244" s="107" t="str">
        <f aca="false">IF($C12244="","",IFERROR(INDEX(المنيو!$C$2:$C$500,MATCH($C12244,المنيو!$B$2:$B$500,0)),0))</f>
        <v/>
      </c>
      <c r="F12244" s="107" t="str">
        <f aca="false">IF($C12244="","",$D12244*$E12244)</f>
        <v/>
      </c>
      <c r="G12244" s="107" t="str">
        <f aca="false">IF($C12244="","",$D12244*IFERROR(INDEX('تحليل التكلفة والسعر'!$C$2:$C$700,MATCH($C12244,'تحليل التكلفة والسعر'!$B$2:$B$700,0)),0))</f>
        <v/>
      </c>
    </row>
    <row r="12245" customFormat="false" ht="15" hidden="false" customHeight="false" outlineLevel="0" collapsed="false">
      <c r="A12245" s="103"/>
      <c r="B12245" s="104"/>
      <c r="C12245" s="104"/>
      <c r="E12245" s="107" t="str">
        <f aca="false">IF($C12245="","",IFERROR(INDEX(المنيو!$C$2:$C$500,MATCH($C12245,المنيو!$B$2:$B$500,0)),0))</f>
        <v/>
      </c>
      <c r="F12245" s="107" t="str">
        <f aca="false">IF($C12245="","",$D12245*$E12245)</f>
        <v/>
      </c>
      <c r="G12245" s="107" t="str">
        <f aca="false">IF($C12245="","",$D12245*IFERROR(INDEX('تحليل التكلفة والسعر'!$C$2:$C$700,MATCH($C12245,'تحليل التكلفة والسعر'!$B$2:$B$700,0)),0))</f>
        <v/>
      </c>
    </row>
    <row r="12246" customFormat="false" ht="15" hidden="false" customHeight="false" outlineLevel="0" collapsed="false">
      <c r="A12246" s="103"/>
      <c r="B12246" s="104"/>
      <c r="C12246" s="104"/>
      <c r="E12246" s="107" t="str">
        <f aca="false">IF($C12246="","",IFERROR(INDEX(المنيو!$C$2:$C$500,MATCH($C12246,المنيو!$B$2:$B$500,0)),0))</f>
        <v/>
      </c>
      <c r="F12246" s="107" t="str">
        <f aca="false">IF($C12246="","",$D12246*$E12246)</f>
        <v/>
      </c>
      <c r="G12246" s="107" t="str">
        <f aca="false">IF($C12246="","",$D12246*IFERROR(INDEX('تحليل التكلفة والسعر'!$C$2:$C$700,MATCH($C12246,'تحليل التكلفة والسعر'!$B$2:$B$700,0)),0))</f>
        <v/>
      </c>
    </row>
    <row r="12247" customFormat="false" ht="15" hidden="false" customHeight="false" outlineLevel="0" collapsed="false">
      <c r="A12247" s="103"/>
      <c r="B12247" s="104"/>
      <c r="C12247" s="104"/>
      <c r="E12247" s="107" t="str">
        <f aca="false">IF($C12247="","",IFERROR(INDEX(المنيو!$C$2:$C$500,MATCH($C12247,المنيو!$B$2:$B$500,0)),0))</f>
        <v/>
      </c>
      <c r="F12247" s="107" t="str">
        <f aca="false">IF($C12247="","",$D12247*$E12247)</f>
        <v/>
      </c>
      <c r="G12247" s="107" t="str">
        <f aca="false">IF($C12247="","",$D12247*IFERROR(INDEX('تحليل التكلفة والسعر'!$C$2:$C$700,MATCH($C12247,'تحليل التكلفة والسعر'!$B$2:$B$700,0)),0))</f>
        <v/>
      </c>
    </row>
    <row r="12248" customFormat="false" ht="15" hidden="false" customHeight="false" outlineLevel="0" collapsed="false">
      <c r="A12248" s="103"/>
      <c r="B12248" s="104"/>
      <c r="C12248" s="104"/>
      <c r="E12248" s="107" t="str">
        <f aca="false">IF($C12248="","",IFERROR(INDEX(المنيو!$C$2:$C$500,MATCH($C12248,المنيو!$B$2:$B$500,0)),0))</f>
        <v/>
      </c>
      <c r="F12248" s="107" t="str">
        <f aca="false">IF($C12248="","",$D12248*$E12248)</f>
        <v/>
      </c>
      <c r="G12248" s="107" t="str">
        <f aca="false">IF($C12248="","",$D12248*IFERROR(INDEX('تحليل التكلفة والسعر'!$C$2:$C$700,MATCH($C12248,'تحليل التكلفة والسعر'!$B$2:$B$700,0)),0))</f>
        <v/>
      </c>
    </row>
    <row r="12249" customFormat="false" ht="15" hidden="false" customHeight="false" outlineLevel="0" collapsed="false">
      <c r="A12249" s="103"/>
      <c r="B12249" s="104"/>
      <c r="C12249" s="104"/>
      <c r="E12249" s="107" t="str">
        <f aca="false">IF($C12249="","",IFERROR(INDEX(المنيو!$C$2:$C$500,MATCH($C12249,المنيو!$B$2:$B$500,0)),0))</f>
        <v/>
      </c>
      <c r="F12249" s="107" t="str">
        <f aca="false">IF($C12249="","",$D12249*$E12249)</f>
        <v/>
      </c>
      <c r="G12249" s="107" t="str">
        <f aca="false">IF($C12249="","",$D12249*IFERROR(INDEX('تحليل التكلفة والسعر'!$C$2:$C$700,MATCH($C12249,'تحليل التكلفة والسعر'!$B$2:$B$700,0)),0))</f>
        <v/>
      </c>
    </row>
    <row r="12250" customFormat="false" ht="15" hidden="false" customHeight="false" outlineLevel="0" collapsed="false">
      <c r="A12250" s="103"/>
      <c r="B12250" s="104"/>
      <c r="C12250" s="104"/>
      <c r="E12250" s="107" t="str">
        <f aca="false">IF($C12250="","",IFERROR(INDEX(المنيو!$C$2:$C$500,MATCH($C12250,المنيو!$B$2:$B$500,0)),0))</f>
        <v/>
      </c>
      <c r="F12250" s="107" t="str">
        <f aca="false">IF($C12250="","",$D12250*$E12250)</f>
        <v/>
      </c>
      <c r="G12250" s="107" t="str">
        <f aca="false">IF($C12250="","",$D12250*IFERROR(INDEX('تحليل التكلفة والسعر'!$C$2:$C$700,MATCH($C12250,'تحليل التكلفة والسعر'!$B$2:$B$700,0)),0))</f>
        <v/>
      </c>
    </row>
    <row r="12251" customFormat="false" ht="15" hidden="false" customHeight="false" outlineLevel="0" collapsed="false">
      <c r="A12251" s="103"/>
      <c r="B12251" s="104"/>
      <c r="C12251" s="104"/>
      <c r="E12251" s="107" t="str">
        <f aca="false">IF($C12251="","",IFERROR(INDEX(المنيو!$C$2:$C$500,MATCH($C12251,المنيو!$B$2:$B$500,0)),0))</f>
        <v/>
      </c>
      <c r="F12251" s="107" t="str">
        <f aca="false">IF($C12251="","",$D12251*$E12251)</f>
        <v/>
      </c>
      <c r="G12251" s="107" t="str">
        <f aca="false">IF($C12251="","",$D12251*IFERROR(INDEX('تحليل التكلفة والسعر'!$C$2:$C$700,MATCH($C12251,'تحليل التكلفة والسعر'!$B$2:$B$700,0)),0))</f>
        <v/>
      </c>
    </row>
    <row r="12252" customFormat="false" ht="15" hidden="false" customHeight="false" outlineLevel="0" collapsed="false">
      <c r="A12252" s="103"/>
      <c r="B12252" s="104"/>
      <c r="C12252" s="104"/>
      <c r="E12252" s="107" t="str">
        <f aca="false">IF($C12252="","",IFERROR(INDEX(المنيو!$C$2:$C$500,MATCH($C12252,المنيو!$B$2:$B$500,0)),0))</f>
        <v/>
      </c>
      <c r="F12252" s="107" t="str">
        <f aca="false">IF($C12252="","",$D12252*$E12252)</f>
        <v/>
      </c>
      <c r="G12252" s="107" t="str">
        <f aca="false">IF($C12252="","",$D12252*IFERROR(INDEX('تحليل التكلفة والسعر'!$C$2:$C$700,MATCH($C12252,'تحليل التكلفة والسعر'!$B$2:$B$700,0)),0))</f>
        <v/>
      </c>
    </row>
    <row r="12253" customFormat="false" ht="15" hidden="false" customHeight="false" outlineLevel="0" collapsed="false">
      <c r="A12253" s="103"/>
      <c r="B12253" s="104"/>
      <c r="C12253" s="104"/>
      <c r="E12253" s="107" t="str">
        <f aca="false">IF($C12253="","",IFERROR(INDEX(المنيو!$C$2:$C$500,MATCH($C12253,المنيو!$B$2:$B$500,0)),0))</f>
        <v/>
      </c>
      <c r="F12253" s="107" t="str">
        <f aca="false">IF($C12253="","",$D12253*$E12253)</f>
        <v/>
      </c>
      <c r="G12253" s="107" t="str">
        <f aca="false">IF($C12253="","",$D12253*IFERROR(INDEX('تحليل التكلفة والسعر'!$C$2:$C$700,MATCH($C12253,'تحليل التكلفة والسعر'!$B$2:$B$700,0)),0))</f>
        <v/>
      </c>
    </row>
    <row r="12254" customFormat="false" ht="15" hidden="false" customHeight="false" outlineLevel="0" collapsed="false">
      <c r="A12254" s="103"/>
      <c r="B12254" s="104"/>
      <c r="C12254" s="104"/>
      <c r="E12254" s="107" t="str">
        <f aca="false">IF($C12254="","",IFERROR(INDEX(المنيو!$C$2:$C$500,MATCH($C12254,المنيو!$B$2:$B$500,0)),0))</f>
        <v/>
      </c>
      <c r="F12254" s="107" t="str">
        <f aca="false">IF($C12254="","",$D12254*$E12254)</f>
        <v/>
      </c>
      <c r="G12254" s="107" t="str">
        <f aca="false">IF($C12254="","",$D12254*IFERROR(INDEX('تحليل التكلفة والسعر'!$C$2:$C$700,MATCH($C12254,'تحليل التكلفة والسعر'!$B$2:$B$700,0)),0))</f>
        <v/>
      </c>
    </row>
    <row r="12255" customFormat="false" ht="15" hidden="false" customHeight="false" outlineLevel="0" collapsed="false">
      <c r="A12255" s="103"/>
      <c r="B12255" s="104"/>
      <c r="C12255" s="104"/>
      <c r="E12255" s="107" t="str">
        <f aca="false">IF($C12255="","",IFERROR(INDEX(المنيو!$C$2:$C$500,MATCH($C12255,المنيو!$B$2:$B$500,0)),0))</f>
        <v/>
      </c>
      <c r="F12255" s="107" t="str">
        <f aca="false">IF($C12255="","",$D12255*$E12255)</f>
        <v/>
      </c>
      <c r="G12255" s="107" t="str">
        <f aca="false">IF($C12255="","",$D12255*IFERROR(INDEX('تحليل التكلفة والسعر'!$C$2:$C$700,MATCH($C12255,'تحليل التكلفة والسعر'!$B$2:$B$700,0)),0))</f>
        <v/>
      </c>
    </row>
    <row r="12256" customFormat="false" ht="15" hidden="false" customHeight="false" outlineLevel="0" collapsed="false">
      <c r="A12256" s="103"/>
      <c r="B12256" s="104"/>
      <c r="C12256" s="104"/>
      <c r="E12256" s="107" t="str">
        <f aca="false">IF($C12256="","",IFERROR(INDEX(المنيو!$C$2:$C$500,MATCH($C12256,المنيو!$B$2:$B$500,0)),0))</f>
        <v/>
      </c>
      <c r="F12256" s="107" t="str">
        <f aca="false">IF($C12256="","",$D12256*$E12256)</f>
        <v/>
      </c>
      <c r="G12256" s="107" t="str">
        <f aca="false">IF($C12256="","",$D12256*IFERROR(INDEX('تحليل التكلفة والسعر'!$C$2:$C$700,MATCH($C12256,'تحليل التكلفة والسعر'!$B$2:$B$700,0)),0))</f>
        <v/>
      </c>
    </row>
    <row r="12257" customFormat="false" ht="15" hidden="false" customHeight="false" outlineLevel="0" collapsed="false">
      <c r="A12257" s="103"/>
      <c r="B12257" s="104"/>
      <c r="C12257" s="104"/>
      <c r="E12257" s="107" t="str">
        <f aca="false">IF($C12257="","",IFERROR(INDEX(المنيو!$C$2:$C$500,MATCH($C12257,المنيو!$B$2:$B$500,0)),0))</f>
        <v/>
      </c>
      <c r="F12257" s="107" t="str">
        <f aca="false">IF($C12257="","",$D12257*$E12257)</f>
        <v/>
      </c>
      <c r="G12257" s="107" t="str">
        <f aca="false">IF($C12257="","",$D12257*IFERROR(INDEX('تحليل التكلفة والسعر'!$C$2:$C$700,MATCH($C12257,'تحليل التكلفة والسعر'!$B$2:$B$700,0)),0))</f>
        <v/>
      </c>
    </row>
    <row r="12258" customFormat="false" ht="15" hidden="false" customHeight="false" outlineLevel="0" collapsed="false">
      <c r="A12258" s="103"/>
      <c r="B12258" s="104"/>
      <c r="C12258" s="104"/>
      <c r="E12258" s="107" t="str">
        <f aca="false">IF($C12258="","",IFERROR(INDEX(المنيو!$C$2:$C$500,MATCH($C12258,المنيو!$B$2:$B$500,0)),0))</f>
        <v/>
      </c>
      <c r="F12258" s="107" t="str">
        <f aca="false">IF($C12258="","",$D12258*$E12258)</f>
        <v/>
      </c>
      <c r="G12258" s="107" t="str">
        <f aca="false">IF($C12258="","",$D12258*IFERROR(INDEX('تحليل التكلفة والسعر'!$C$2:$C$700,MATCH($C12258,'تحليل التكلفة والسعر'!$B$2:$B$700,0)),0))</f>
        <v/>
      </c>
    </row>
    <row r="12259" customFormat="false" ht="15" hidden="false" customHeight="false" outlineLevel="0" collapsed="false">
      <c r="A12259" s="103"/>
      <c r="B12259" s="104"/>
      <c r="C12259" s="104"/>
      <c r="E12259" s="107" t="str">
        <f aca="false">IF($C12259="","",IFERROR(INDEX(المنيو!$C$2:$C$500,MATCH($C12259,المنيو!$B$2:$B$500,0)),0))</f>
        <v/>
      </c>
      <c r="F12259" s="107" t="str">
        <f aca="false">IF($C12259="","",$D12259*$E12259)</f>
        <v/>
      </c>
      <c r="G12259" s="107" t="str">
        <f aca="false">IF($C12259="","",$D12259*IFERROR(INDEX('تحليل التكلفة والسعر'!$C$2:$C$700,MATCH($C12259,'تحليل التكلفة والسعر'!$B$2:$B$700,0)),0))</f>
        <v/>
      </c>
    </row>
    <row r="12260" customFormat="false" ht="15" hidden="false" customHeight="false" outlineLevel="0" collapsed="false">
      <c r="A12260" s="103"/>
      <c r="B12260" s="104"/>
      <c r="C12260" s="104"/>
      <c r="E12260" s="107" t="str">
        <f aca="false">IF($C12260="","",IFERROR(INDEX(المنيو!$C$2:$C$500,MATCH($C12260,المنيو!$B$2:$B$500,0)),0))</f>
        <v/>
      </c>
      <c r="F12260" s="107" t="str">
        <f aca="false">IF($C12260="","",$D12260*$E12260)</f>
        <v/>
      </c>
      <c r="G12260" s="107" t="str">
        <f aca="false">IF($C12260="","",$D12260*IFERROR(INDEX('تحليل التكلفة والسعر'!$C$2:$C$700,MATCH($C12260,'تحليل التكلفة والسعر'!$B$2:$B$700,0)),0))</f>
        <v/>
      </c>
    </row>
    <row r="12261" customFormat="false" ht="15" hidden="false" customHeight="false" outlineLevel="0" collapsed="false">
      <c r="A12261" s="103"/>
      <c r="B12261" s="104"/>
      <c r="C12261" s="104"/>
      <c r="E12261" s="107" t="str">
        <f aca="false">IF($C12261="","",IFERROR(INDEX(المنيو!$C$2:$C$500,MATCH($C12261,المنيو!$B$2:$B$500,0)),0))</f>
        <v/>
      </c>
      <c r="F12261" s="107" t="str">
        <f aca="false">IF($C12261="","",$D12261*$E12261)</f>
        <v/>
      </c>
      <c r="G12261" s="107" t="str">
        <f aca="false">IF($C12261="","",$D12261*IFERROR(INDEX('تحليل التكلفة والسعر'!$C$2:$C$700,MATCH($C12261,'تحليل التكلفة والسعر'!$B$2:$B$700,0)),0))</f>
        <v/>
      </c>
    </row>
    <row r="12262" customFormat="false" ht="15" hidden="false" customHeight="false" outlineLevel="0" collapsed="false">
      <c r="A12262" s="103"/>
      <c r="B12262" s="104"/>
      <c r="C12262" s="104"/>
      <c r="E12262" s="107" t="str">
        <f aca="false">IF($C12262="","",IFERROR(INDEX(المنيو!$C$2:$C$500,MATCH($C12262,المنيو!$B$2:$B$500,0)),0))</f>
        <v/>
      </c>
      <c r="F12262" s="107" t="str">
        <f aca="false">IF($C12262="","",$D12262*$E12262)</f>
        <v/>
      </c>
      <c r="G12262" s="107" t="str">
        <f aca="false">IF($C12262="","",$D12262*IFERROR(INDEX('تحليل التكلفة والسعر'!$C$2:$C$700,MATCH($C12262,'تحليل التكلفة والسعر'!$B$2:$B$700,0)),0))</f>
        <v/>
      </c>
    </row>
    <row r="12263" customFormat="false" ht="15" hidden="false" customHeight="false" outlineLevel="0" collapsed="false">
      <c r="A12263" s="103"/>
      <c r="B12263" s="104"/>
      <c r="C12263" s="104"/>
      <c r="E12263" s="107" t="str">
        <f aca="false">IF($C12263="","",IFERROR(INDEX(المنيو!$C$2:$C$500,MATCH($C12263,المنيو!$B$2:$B$500,0)),0))</f>
        <v/>
      </c>
      <c r="F12263" s="107" t="str">
        <f aca="false">IF($C12263="","",$D12263*$E12263)</f>
        <v/>
      </c>
      <c r="G12263" s="107" t="str">
        <f aca="false">IF($C12263="","",$D12263*IFERROR(INDEX('تحليل التكلفة والسعر'!$C$2:$C$700,MATCH($C12263,'تحليل التكلفة والسعر'!$B$2:$B$700,0)),0))</f>
        <v/>
      </c>
    </row>
    <row r="12264" customFormat="false" ht="15" hidden="false" customHeight="false" outlineLevel="0" collapsed="false">
      <c r="A12264" s="103"/>
      <c r="B12264" s="104"/>
      <c r="C12264" s="104"/>
      <c r="E12264" s="107" t="str">
        <f aca="false">IF($C12264="","",IFERROR(INDEX(المنيو!$C$2:$C$500,MATCH($C12264,المنيو!$B$2:$B$500,0)),0))</f>
        <v/>
      </c>
      <c r="F12264" s="107" t="str">
        <f aca="false">IF($C12264="","",$D12264*$E12264)</f>
        <v/>
      </c>
      <c r="G12264" s="107" t="str">
        <f aca="false">IF($C12264="","",$D12264*IFERROR(INDEX('تحليل التكلفة والسعر'!$C$2:$C$700,MATCH($C12264,'تحليل التكلفة والسعر'!$B$2:$B$700,0)),0))</f>
        <v/>
      </c>
    </row>
    <row r="12265" customFormat="false" ht="15" hidden="false" customHeight="false" outlineLevel="0" collapsed="false">
      <c r="A12265" s="103"/>
      <c r="B12265" s="104"/>
      <c r="C12265" s="104"/>
      <c r="E12265" s="107" t="str">
        <f aca="false">IF($C12265="","",IFERROR(INDEX(المنيو!$C$2:$C$500,MATCH($C12265,المنيو!$B$2:$B$500,0)),0))</f>
        <v/>
      </c>
      <c r="F12265" s="107" t="str">
        <f aca="false">IF($C12265="","",$D12265*$E12265)</f>
        <v/>
      </c>
      <c r="G12265" s="107" t="str">
        <f aca="false">IF($C12265="","",$D12265*IFERROR(INDEX('تحليل التكلفة والسعر'!$C$2:$C$700,MATCH($C12265,'تحليل التكلفة والسعر'!$B$2:$B$700,0)),0))</f>
        <v/>
      </c>
    </row>
    <row r="12266" customFormat="false" ht="15" hidden="false" customHeight="false" outlineLevel="0" collapsed="false">
      <c r="A12266" s="103"/>
      <c r="B12266" s="104"/>
      <c r="C12266" s="104"/>
      <c r="E12266" s="107" t="str">
        <f aca="false">IF($C12266="","",IFERROR(INDEX(المنيو!$C$2:$C$500,MATCH($C12266,المنيو!$B$2:$B$500,0)),0))</f>
        <v/>
      </c>
      <c r="F12266" s="107" t="str">
        <f aca="false">IF($C12266="","",$D12266*$E12266)</f>
        <v/>
      </c>
      <c r="G12266" s="107" t="str">
        <f aca="false">IF($C12266="","",$D12266*IFERROR(INDEX('تحليل التكلفة والسعر'!$C$2:$C$700,MATCH($C12266,'تحليل التكلفة والسعر'!$B$2:$B$700,0)),0))</f>
        <v/>
      </c>
    </row>
    <row r="12267" customFormat="false" ht="15" hidden="false" customHeight="false" outlineLevel="0" collapsed="false">
      <c r="A12267" s="103"/>
      <c r="B12267" s="104"/>
      <c r="C12267" s="104"/>
      <c r="E12267" s="107" t="str">
        <f aca="false">IF($C12267="","",IFERROR(INDEX(المنيو!$C$2:$C$500,MATCH($C12267,المنيو!$B$2:$B$500,0)),0))</f>
        <v/>
      </c>
      <c r="F12267" s="107" t="str">
        <f aca="false">IF($C12267="","",$D12267*$E12267)</f>
        <v/>
      </c>
      <c r="G12267" s="107" t="str">
        <f aca="false">IF($C12267="","",$D12267*IFERROR(INDEX('تحليل التكلفة والسعر'!$C$2:$C$700,MATCH($C12267,'تحليل التكلفة والسعر'!$B$2:$B$700,0)),0))</f>
        <v/>
      </c>
    </row>
    <row r="12268" customFormat="false" ht="15" hidden="false" customHeight="false" outlineLevel="0" collapsed="false">
      <c r="A12268" s="103"/>
      <c r="B12268" s="104"/>
      <c r="C12268" s="104"/>
      <c r="E12268" s="107" t="str">
        <f aca="false">IF($C12268="","",IFERROR(INDEX(المنيو!$C$2:$C$500,MATCH($C12268,المنيو!$B$2:$B$500,0)),0))</f>
        <v/>
      </c>
      <c r="F12268" s="107" t="str">
        <f aca="false">IF($C12268="","",$D12268*$E12268)</f>
        <v/>
      </c>
      <c r="G12268" s="107" t="str">
        <f aca="false">IF($C12268="","",$D12268*IFERROR(INDEX('تحليل التكلفة والسعر'!$C$2:$C$700,MATCH($C12268,'تحليل التكلفة والسعر'!$B$2:$B$700,0)),0))</f>
        <v/>
      </c>
    </row>
    <row r="12269" customFormat="false" ht="15" hidden="false" customHeight="false" outlineLevel="0" collapsed="false">
      <c r="A12269" s="103"/>
      <c r="B12269" s="104"/>
      <c r="C12269" s="104"/>
      <c r="E12269" s="107" t="str">
        <f aca="false">IF($C12269="","",IFERROR(INDEX(المنيو!$C$2:$C$500,MATCH($C12269,المنيو!$B$2:$B$500,0)),0))</f>
        <v/>
      </c>
      <c r="F12269" s="107" t="str">
        <f aca="false">IF($C12269="","",$D12269*$E12269)</f>
        <v/>
      </c>
      <c r="G12269" s="107" t="str">
        <f aca="false">IF($C12269="","",$D12269*IFERROR(INDEX('تحليل التكلفة والسعر'!$C$2:$C$700,MATCH($C12269,'تحليل التكلفة والسعر'!$B$2:$B$700,0)),0))</f>
        <v/>
      </c>
    </row>
    <row r="12270" customFormat="false" ht="15" hidden="false" customHeight="false" outlineLevel="0" collapsed="false">
      <c r="A12270" s="103"/>
      <c r="B12270" s="104"/>
      <c r="C12270" s="104"/>
      <c r="E12270" s="107" t="str">
        <f aca="false">IF($C12270="","",IFERROR(INDEX(المنيو!$C$2:$C$500,MATCH($C12270,المنيو!$B$2:$B$500,0)),0))</f>
        <v/>
      </c>
      <c r="F12270" s="107" t="str">
        <f aca="false">IF($C12270="","",$D12270*$E12270)</f>
        <v/>
      </c>
      <c r="G12270" s="107" t="str">
        <f aca="false">IF($C12270="","",$D12270*IFERROR(INDEX('تحليل التكلفة والسعر'!$C$2:$C$700,MATCH($C12270,'تحليل التكلفة والسعر'!$B$2:$B$700,0)),0))</f>
        <v/>
      </c>
    </row>
    <row r="12271" customFormat="false" ht="15" hidden="false" customHeight="false" outlineLevel="0" collapsed="false">
      <c r="A12271" s="103"/>
      <c r="B12271" s="104"/>
      <c r="C12271" s="104"/>
      <c r="E12271" s="107" t="str">
        <f aca="false">IF($C12271="","",IFERROR(INDEX(المنيو!$C$2:$C$500,MATCH($C12271,المنيو!$B$2:$B$500,0)),0))</f>
        <v/>
      </c>
      <c r="F12271" s="107" t="str">
        <f aca="false">IF($C12271="","",$D12271*$E12271)</f>
        <v/>
      </c>
      <c r="G12271" s="107" t="str">
        <f aca="false">IF($C12271="","",$D12271*IFERROR(INDEX('تحليل التكلفة والسعر'!$C$2:$C$700,MATCH($C12271,'تحليل التكلفة والسعر'!$B$2:$B$700,0)),0))</f>
        <v/>
      </c>
    </row>
    <row r="12272" customFormat="false" ht="15" hidden="false" customHeight="false" outlineLevel="0" collapsed="false">
      <c r="A12272" s="103"/>
      <c r="B12272" s="104"/>
      <c r="C12272" s="104"/>
      <c r="E12272" s="107" t="str">
        <f aca="false">IF($C12272="","",IFERROR(INDEX(المنيو!$C$2:$C$500,MATCH($C12272,المنيو!$B$2:$B$500,0)),0))</f>
        <v/>
      </c>
      <c r="F12272" s="107" t="str">
        <f aca="false">IF($C12272="","",$D12272*$E12272)</f>
        <v/>
      </c>
      <c r="G12272" s="107" t="str">
        <f aca="false">IF($C12272="","",$D12272*IFERROR(INDEX('تحليل التكلفة والسعر'!$C$2:$C$700,MATCH($C12272,'تحليل التكلفة والسعر'!$B$2:$B$700,0)),0))</f>
        <v/>
      </c>
    </row>
    <row r="12273" customFormat="false" ht="15" hidden="false" customHeight="false" outlineLevel="0" collapsed="false">
      <c r="A12273" s="103"/>
      <c r="B12273" s="104"/>
      <c r="C12273" s="104"/>
      <c r="E12273" s="107" t="str">
        <f aca="false">IF($C12273="","",IFERROR(INDEX(المنيو!$C$2:$C$500,MATCH($C12273,المنيو!$B$2:$B$500,0)),0))</f>
        <v/>
      </c>
      <c r="F12273" s="107" t="str">
        <f aca="false">IF($C12273="","",$D12273*$E12273)</f>
        <v/>
      </c>
      <c r="G12273" s="107" t="str">
        <f aca="false">IF($C12273="","",$D12273*IFERROR(INDEX('تحليل التكلفة والسعر'!$C$2:$C$700,MATCH($C12273,'تحليل التكلفة والسعر'!$B$2:$B$700,0)),0))</f>
        <v/>
      </c>
    </row>
    <row r="12274" customFormat="false" ht="15" hidden="false" customHeight="false" outlineLevel="0" collapsed="false">
      <c r="A12274" s="103"/>
      <c r="B12274" s="104"/>
      <c r="C12274" s="104"/>
      <c r="E12274" s="107" t="str">
        <f aca="false">IF($C12274="","",IFERROR(INDEX(المنيو!$C$2:$C$500,MATCH($C12274,المنيو!$B$2:$B$500,0)),0))</f>
        <v/>
      </c>
      <c r="F12274" s="107" t="str">
        <f aca="false">IF($C12274="","",$D12274*$E12274)</f>
        <v/>
      </c>
      <c r="G12274" s="107" t="str">
        <f aca="false">IF($C12274="","",$D12274*IFERROR(INDEX('تحليل التكلفة والسعر'!$C$2:$C$700,MATCH($C12274,'تحليل التكلفة والسعر'!$B$2:$B$700,0)),0))</f>
        <v/>
      </c>
    </row>
    <row r="12275" customFormat="false" ht="15" hidden="false" customHeight="false" outlineLevel="0" collapsed="false">
      <c r="A12275" s="103"/>
      <c r="B12275" s="104"/>
      <c r="C12275" s="104"/>
      <c r="E12275" s="107" t="str">
        <f aca="false">IF($C12275="","",IFERROR(INDEX(المنيو!$C$2:$C$500,MATCH($C12275,المنيو!$B$2:$B$500,0)),0))</f>
        <v/>
      </c>
      <c r="F12275" s="107" t="str">
        <f aca="false">IF($C12275="","",$D12275*$E12275)</f>
        <v/>
      </c>
      <c r="G12275" s="107" t="str">
        <f aca="false">IF($C12275="","",$D12275*IFERROR(INDEX('تحليل التكلفة والسعر'!$C$2:$C$700,MATCH($C12275,'تحليل التكلفة والسعر'!$B$2:$B$700,0)),0))</f>
        <v/>
      </c>
    </row>
    <row r="12276" customFormat="false" ht="15" hidden="false" customHeight="false" outlineLevel="0" collapsed="false">
      <c r="A12276" s="103"/>
      <c r="B12276" s="104"/>
      <c r="C12276" s="104"/>
      <c r="E12276" s="107" t="str">
        <f aca="false">IF($C12276="","",IFERROR(INDEX(المنيو!$C$2:$C$500,MATCH($C12276,المنيو!$B$2:$B$500,0)),0))</f>
        <v/>
      </c>
      <c r="F12276" s="107" t="str">
        <f aca="false">IF($C12276="","",$D12276*$E12276)</f>
        <v/>
      </c>
      <c r="G12276" s="107" t="str">
        <f aca="false">IF($C12276="","",$D12276*IFERROR(INDEX('تحليل التكلفة والسعر'!$C$2:$C$700,MATCH($C12276,'تحليل التكلفة والسعر'!$B$2:$B$700,0)),0))</f>
        <v/>
      </c>
    </row>
    <row r="12277" customFormat="false" ht="15" hidden="false" customHeight="false" outlineLevel="0" collapsed="false">
      <c r="A12277" s="103"/>
      <c r="B12277" s="104"/>
      <c r="C12277" s="104"/>
      <c r="E12277" s="107" t="str">
        <f aca="false">IF($C12277="","",IFERROR(INDEX(المنيو!$C$2:$C$500,MATCH($C12277,المنيو!$B$2:$B$500,0)),0))</f>
        <v/>
      </c>
      <c r="F12277" s="107" t="str">
        <f aca="false">IF($C12277="","",$D12277*$E12277)</f>
        <v/>
      </c>
      <c r="G12277" s="107" t="str">
        <f aca="false">IF($C12277="","",$D12277*IFERROR(INDEX('تحليل التكلفة والسعر'!$C$2:$C$700,MATCH($C12277,'تحليل التكلفة والسعر'!$B$2:$B$700,0)),0))</f>
        <v/>
      </c>
    </row>
    <row r="12278" customFormat="false" ht="15" hidden="false" customHeight="false" outlineLevel="0" collapsed="false">
      <c r="A12278" s="103"/>
      <c r="B12278" s="104"/>
      <c r="C12278" s="104"/>
      <c r="E12278" s="107" t="str">
        <f aca="false">IF($C12278="","",IFERROR(INDEX(المنيو!$C$2:$C$500,MATCH($C12278,المنيو!$B$2:$B$500,0)),0))</f>
        <v/>
      </c>
      <c r="F12278" s="107" t="str">
        <f aca="false">IF($C12278="","",$D12278*$E12278)</f>
        <v/>
      </c>
      <c r="G12278" s="107" t="str">
        <f aca="false">IF($C12278="","",$D12278*IFERROR(INDEX('تحليل التكلفة والسعر'!$C$2:$C$700,MATCH($C12278,'تحليل التكلفة والسعر'!$B$2:$B$700,0)),0))</f>
        <v/>
      </c>
    </row>
    <row r="12279" customFormat="false" ht="15" hidden="false" customHeight="false" outlineLevel="0" collapsed="false">
      <c r="A12279" s="103"/>
      <c r="B12279" s="104"/>
      <c r="C12279" s="104"/>
      <c r="E12279" s="107" t="str">
        <f aca="false">IF($C12279="","",IFERROR(INDEX(المنيو!$C$2:$C$500,MATCH($C12279,المنيو!$B$2:$B$500,0)),0))</f>
        <v/>
      </c>
      <c r="F12279" s="107" t="str">
        <f aca="false">IF($C12279="","",$D12279*$E12279)</f>
        <v/>
      </c>
      <c r="G12279" s="107" t="str">
        <f aca="false">IF($C12279="","",$D12279*IFERROR(INDEX('تحليل التكلفة والسعر'!$C$2:$C$700,MATCH($C12279,'تحليل التكلفة والسعر'!$B$2:$B$700,0)),0))</f>
        <v/>
      </c>
    </row>
    <row r="12280" customFormat="false" ht="15" hidden="false" customHeight="false" outlineLevel="0" collapsed="false">
      <c r="A12280" s="103"/>
      <c r="B12280" s="104"/>
      <c r="C12280" s="104"/>
      <c r="E12280" s="107" t="str">
        <f aca="false">IF($C12280="","",IFERROR(INDEX(المنيو!$C$2:$C$500,MATCH($C12280,المنيو!$B$2:$B$500,0)),0))</f>
        <v/>
      </c>
      <c r="F12280" s="107" t="str">
        <f aca="false">IF($C12280="","",$D12280*$E12280)</f>
        <v/>
      </c>
      <c r="G12280" s="107" t="str">
        <f aca="false">IF($C12280="","",$D12280*IFERROR(INDEX('تحليل التكلفة والسعر'!$C$2:$C$700,MATCH($C12280,'تحليل التكلفة والسعر'!$B$2:$B$700,0)),0))</f>
        <v/>
      </c>
    </row>
    <row r="12281" customFormat="false" ht="15" hidden="false" customHeight="false" outlineLevel="0" collapsed="false">
      <c r="A12281" s="103"/>
      <c r="B12281" s="104"/>
      <c r="C12281" s="104"/>
      <c r="E12281" s="107" t="str">
        <f aca="false">IF($C12281="","",IFERROR(INDEX(المنيو!$C$2:$C$500,MATCH($C12281,المنيو!$B$2:$B$500,0)),0))</f>
        <v/>
      </c>
      <c r="F12281" s="107" t="str">
        <f aca="false">IF($C12281="","",$D12281*$E12281)</f>
        <v/>
      </c>
      <c r="G12281" s="107" t="str">
        <f aca="false">IF($C12281="","",$D12281*IFERROR(INDEX('تحليل التكلفة والسعر'!$C$2:$C$700,MATCH($C12281,'تحليل التكلفة والسعر'!$B$2:$B$700,0)),0))</f>
        <v/>
      </c>
    </row>
    <row r="12282" customFormat="false" ht="15" hidden="false" customHeight="false" outlineLevel="0" collapsed="false">
      <c r="A12282" s="103"/>
      <c r="B12282" s="104"/>
      <c r="C12282" s="104"/>
      <c r="E12282" s="107" t="str">
        <f aca="false">IF($C12282="","",IFERROR(INDEX(المنيو!$C$2:$C$500,MATCH($C12282,المنيو!$B$2:$B$500,0)),0))</f>
        <v/>
      </c>
      <c r="F12282" s="107" t="str">
        <f aca="false">IF($C12282="","",$D12282*$E12282)</f>
        <v/>
      </c>
      <c r="G12282" s="107" t="str">
        <f aca="false">IF($C12282="","",$D12282*IFERROR(INDEX('تحليل التكلفة والسعر'!$C$2:$C$700,MATCH($C12282,'تحليل التكلفة والسعر'!$B$2:$B$700,0)),0))</f>
        <v/>
      </c>
    </row>
    <row r="12283" customFormat="false" ht="15" hidden="false" customHeight="false" outlineLevel="0" collapsed="false">
      <c r="A12283" s="103"/>
      <c r="B12283" s="104"/>
      <c r="C12283" s="104"/>
      <c r="E12283" s="107" t="str">
        <f aca="false">IF($C12283="","",IFERROR(INDEX(المنيو!$C$2:$C$500,MATCH($C12283,المنيو!$B$2:$B$500,0)),0))</f>
        <v/>
      </c>
      <c r="F12283" s="107" t="str">
        <f aca="false">IF($C12283="","",$D12283*$E12283)</f>
        <v/>
      </c>
      <c r="G12283" s="107" t="str">
        <f aca="false">IF($C12283="","",$D12283*IFERROR(INDEX('تحليل التكلفة والسعر'!$C$2:$C$700,MATCH($C12283,'تحليل التكلفة والسعر'!$B$2:$B$700,0)),0))</f>
        <v/>
      </c>
    </row>
    <row r="12284" customFormat="false" ht="15" hidden="false" customHeight="false" outlineLevel="0" collapsed="false">
      <c r="A12284" s="103"/>
      <c r="B12284" s="104"/>
      <c r="C12284" s="104"/>
      <c r="E12284" s="107" t="str">
        <f aca="false">IF($C12284="","",IFERROR(INDEX(المنيو!$C$2:$C$500,MATCH($C12284,المنيو!$B$2:$B$500,0)),0))</f>
        <v/>
      </c>
      <c r="F12284" s="107" t="str">
        <f aca="false">IF($C12284="","",$D12284*$E12284)</f>
        <v/>
      </c>
      <c r="G12284" s="107" t="str">
        <f aca="false">IF($C12284="","",$D12284*IFERROR(INDEX('تحليل التكلفة والسعر'!$C$2:$C$700,MATCH($C12284,'تحليل التكلفة والسعر'!$B$2:$B$700,0)),0))</f>
        <v/>
      </c>
    </row>
    <row r="12285" customFormat="false" ht="15" hidden="false" customHeight="false" outlineLevel="0" collapsed="false">
      <c r="A12285" s="103"/>
      <c r="B12285" s="104"/>
      <c r="C12285" s="104"/>
      <c r="E12285" s="107" t="str">
        <f aca="false">IF($C12285="","",IFERROR(INDEX(المنيو!$C$2:$C$500,MATCH($C12285,المنيو!$B$2:$B$500,0)),0))</f>
        <v/>
      </c>
      <c r="F12285" s="107" t="str">
        <f aca="false">IF($C12285="","",$D12285*$E12285)</f>
        <v/>
      </c>
      <c r="G12285" s="107" t="str">
        <f aca="false">IF($C12285="","",$D12285*IFERROR(INDEX('تحليل التكلفة والسعر'!$C$2:$C$700,MATCH($C12285,'تحليل التكلفة والسعر'!$B$2:$B$700,0)),0))</f>
        <v/>
      </c>
    </row>
    <row r="12286" customFormat="false" ht="15" hidden="false" customHeight="false" outlineLevel="0" collapsed="false">
      <c r="A12286" s="103"/>
      <c r="B12286" s="104"/>
      <c r="C12286" s="104"/>
      <c r="E12286" s="107" t="str">
        <f aca="false">IF($C12286="","",IFERROR(INDEX(المنيو!$C$2:$C$500,MATCH($C12286,المنيو!$B$2:$B$500,0)),0))</f>
        <v/>
      </c>
      <c r="F12286" s="107" t="str">
        <f aca="false">IF($C12286="","",$D12286*$E12286)</f>
        <v/>
      </c>
      <c r="G12286" s="107" t="str">
        <f aca="false">IF($C12286="","",$D12286*IFERROR(INDEX('تحليل التكلفة والسعر'!$C$2:$C$700,MATCH($C12286,'تحليل التكلفة والسعر'!$B$2:$B$700,0)),0))</f>
        <v/>
      </c>
    </row>
    <row r="12287" customFormat="false" ht="15" hidden="false" customHeight="false" outlineLevel="0" collapsed="false">
      <c r="A12287" s="103"/>
      <c r="B12287" s="104"/>
      <c r="C12287" s="104"/>
      <c r="E12287" s="107" t="str">
        <f aca="false">IF($C12287="","",IFERROR(INDEX(المنيو!$C$2:$C$500,MATCH($C12287,المنيو!$B$2:$B$500,0)),0))</f>
        <v/>
      </c>
      <c r="F12287" s="107" t="str">
        <f aca="false">IF($C12287="","",$D12287*$E12287)</f>
        <v/>
      </c>
      <c r="G12287" s="107" t="str">
        <f aca="false">IF($C12287="","",$D12287*IFERROR(INDEX('تحليل التكلفة والسعر'!$C$2:$C$700,MATCH($C12287,'تحليل التكلفة والسعر'!$B$2:$B$700,0)),0))</f>
        <v/>
      </c>
    </row>
    <row r="12288" customFormat="false" ht="15" hidden="false" customHeight="false" outlineLevel="0" collapsed="false">
      <c r="A12288" s="103"/>
      <c r="B12288" s="104"/>
      <c r="C12288" s="104"/>
      <c r="E12288" s="107" t="str">
        <f aca="false">IF($C12288="","",IFERROR(INDEX(المنيو!$C$2:$C$500,MATCH($C12288,المنيو!$B$2:$B$500,0)),0))</f>
        <v/>
      </c>
      <c r="F12288" s="107" t="str">
        <f aca="false">IF($C12288="","",$D12288*$E12288)</f>
        <v/>
      </c>
      <c r="G12288" s="107" t="str">
        <f aca="false">IF($C12288="","",$D12288*IFERROR(INDEX('تحليل التكلفة والسعر'!$C$2:$C$700,MATCH($C12288,'تحليل التكلفة والسعر'!$B$2:$B$700,0)),0))</f>
        <v/>
      </c>
    </row>
    <row r="12289" customFormat="false" ht="15" hidden="false" customHeight="false" outlineLevel="0" collapsed="false">
      <c r="A12289" s="103"/>
      <c r="B12289" s="104"/>
      <c r="C12289" s="104"/>
      <c r="E12289" s="107" t="str">
        <f aca="false">IF($C12289="","",IFERROR(INDEX(المنيو!$C$2:$C$500,MATCH($C12289,المنيو!$B$2:$B$500,0)),0))</f>
        <v/>
      </c>
      <c r="F12289" s="107" t="str">
        <f aca="false">IF($C12289="","",$D12289*$E12289)</f>
        <v/>
      </c>
      <c r="G12289" s="107" t="str">
        <f aca="false">IF($C12289="","",$D12289*IFERROR(INDEX('تحليل التكلفة والسعر'!$C$2:$C$700,MATCH($C12289,'تحليل التكلفة والسعر'!$B$2:$B$700,0)),0))</f>
        <v/>
      </c>
    </row>
    <row r="12290" customFormat="false" ht="15" hidden="false" customHeight="false" outlineLevel="0" collapsed="false">
      <c r="A12290" s="103"/>
      <c r="B12290" s="104"/>
      <c r="C12290" s="104"/>
      <c r="E12290" s="107" t="str">
        <f aca="false">IF($C12290="","",IFERROR(INDEX(المنيو!$C$2:$C$500,MATCH($C12290,المنيو!$B$2:$B$500,0)),0))</f>
        <v/>
      </c>
      <c r="F12290" s="107" t="str">
        <f aca="false">IF($C12290="","",$D12290*$E12290)</f>
        <v/>
      </c>
      <c r="G12290" s="107" t="str">
        <f aca="false">IF($C12290="","",$D12290*IFERROR(INDEX('تحليل التكلفة والسعر'!$C$2:$C$700,MATCH($C12290,'تحليل التكلفة والسعر'!$B$2:$B$700,0)),0))</f>
        <v/>
      </c>
    </row>
    <row r="12291" customFormat="false" ht="15" hidden="false" customHeight="false" outlineLevel="0" collapsed="false">
      <c r="A12291" s="103"/>
      <c r="B12291" s="104"/>
      <c r="C12291" s="104"/>
      <c r="E12291" s="107" t="str">
        <f aca="false">IF($C12291="","",IFERROR(INDEX(المنيو!$C$2:$C$500,MATCH($C12291,المنيو!$B$2:$B$500,0)),0))</f>
        <v/>
      </c>
      <c r="F12291" s="107" t="str">
        <f aca="false">IF($C12291="","",$D12291*$E12291)</f>
        <v/>
      </c>
      <c r="G12291" s="107" t="str">
        <f aca="false">IF($C12291="","",$D12291*IFERROR(INDEX('تحليل التكلفة والسعر'!$C$2:$C$700,MATCH($C12291,'تحليل التكلفة والسعر'!$B$2:$B$700,0)),0))</f>
        <v/>
      </c>
    </row>
    <row r="12292" customFormat="false" ht="15" hidden="false" customHeight="false" outlineLevel="0" collapsed="false">
      <c r="A12292" s="103"/>
      <c r="B12292" s="104"/>
      <c r="C12292" s="104"/>
      <c r="E12292" s="107" t="str">
        <f aca="false">IF($C12292="","",IFERROR(INDEX(المنيو!$C$2:$C$500,MATCH($C12292,المنيو!$B$2:$B$500,0)),0))</f>
        <v/>
      </c>
      <c r="F12292" s="107" t="str">
        <f aca="false">IF($C12292="","",$D12292*$E12292)</f>
        <v/>
      </c>
      <c r="G12292" s="107" t="str">
        <f aca="false">IF($C12292="","",$D12292*IFERROR(INDEX('تحليل التكلفة والسعر'!$C$2:$C$700,MATCH($C12292,'تحليل التكلفة والسعر'!$B$2:$B$700,0)),0))</f>
        <v/>
      </c>
    </row>
    <row r="12293" customFormat="false" ht="15" hidden="false" customHeight="false" outlineLevel="0" collapsed="false">
      <c r="A12293" s="103"/>
      <c r="B12293" s="104"/>
      <c r="C12293" s="104"/>
      <c r="E12293" s="107" t="str">
        <f aca="false">IF($C12293="","",IFERROR(INDEX(المنيو!$C$2:$C$500,MATCH($C12293,المنيو!$B$2:$B$500,0)),0))</f>
        <v/>
      </c>
      <c r="F12293" s="107" t="str">
        <f aca="false">IF($C12293="","",$D12293*$E12293)</f>
        <v/>
      </c>
      <c r="G12293" s="107" t="str">
        <f aca="false">IF($C12293="","",$D12293*IFERROR(INDEX('تحليل التكلفة والسعر'!$C$2:$C$700,MATCH($C12293,'تحليل التكلفة والسعر'!$B$2:$B$700,0)),0))</f>
        <v/>
      </c>
    </row>
    <row r="12294" customFormat="false" ht="15" hidden="false" customHeight="false" outlineLevel="0" collapsed="false">
      <c r="A12294" s="103"/>
      <c r="B12294" s="104"/>
      <c r="C12294" s="104"/>
      <c r="E12294" s="107" t="str">
        <f aca="false">IF($C12294="","",IFERROR(INDEX(المنيو!$C$2:$C$500,MATCH($C12294,المنيو!$B$2:$B$500,0)),0))</f>
        <v/>
      </c>
      <c r="F12294" s="107" t="str">
        <f aca="false">IF($C12294="","",$D12294*$E12294)</f>
        <v/>
      </c>
      <c r="G12294" s="107" t="str">
        <f aca="false">IF($C12294="","",$D12294*IFERROR(INDEX('تحليل التكلفة والسعر'!$C$2:$C$700,MATCH($C12294,'تحليل التكلفة والسعر'!$B$2:$B$700,0)),0))</f>
        <v/>
      </c>
    </row>
    <row r="12295" customFormat="false" ht="15" hidden="false" customHeight="false" outlineLevel="0" collapsed="false">
      <c r="A12295" s="103"/>
      <c r="B12295" s="104"/>
      <c r="C12295" s="104"/>
      <c r="E12295" s="107" t="str">
        <f aca="false">IF($C12295="","",IFERROR(INDEX(المنيو!$C$2:$C$500,MATCH($C12295,المنيو!$B$2:$B$500,0)),0))</f>
        <v/>
      </c>
      <c r="F12295" s="107" t="str">
        <f aca="false">IF($C12295="","",$D12295*$E12295)</f>
        <v/>
      </c>
      <c r="G12295" s="107" t="str">
        <f aca="false">IF($C12295="","",$D12295*IFERROR(INDEX('تحليل التكلفة والسعر'!$C$2:$C$700,MATCH($C12295,'تحليل التكلفة والسعر'!$B$2:$B$700,0)),0))</f>
        <v/>
      </c>
    </row>
    <row r="12296" customFormat="false" ht="15" hidden="false" customHeight="false" outlineLevel="0" collapsed="false">
      <c r="A12296" s="103"/>
      <c r="B12296" s="104"/>
      <c r="C12296" s="104"/>
      <c r="E12296" s="107" t="str">
        <f aca="false">IF($C12296="","",IFERROR(INDEX(المنيو!$C$2:$C$500,MATCH($C12296,المنيو!$B$2:$B$500,0)),0))</f>
        <v/>
      </c>
      <c r="F12296" s="107" t="str">
        <f aca="false">IF($C12296="","",$D12296*$E12296)</f>
        <v/>
      </c>
      <c r="G12296" s="107" t="str">
        <f aca="false">IF($C12296="","",$D12296*IFERROR(INDEX('تحليل التكلفة والسعر'!$C$2:$C$700,MATCH($C12296,'تحليل التكلفة والسعر'!$B$2:$B$700,0)),0))</f>
        <v/>
      </c>
    </row>
    <row r="12297" customFormat="false" ht="15" hidden="false" customHeight="false" outlineLevel="0" collapsed="false">
      <c r="A12297" s="103"/>
      <c r="B12297" s="104"/>
      <c r="C12297" s="104"/>
      <c r="E12297" s="107" t="str">
        <f aca="false">IF($C12297="","",IFERROR(INDEX(المنيو!$C$2:$C$500,MATCH($C12297,المنيو!$B$2:$B$500,0)),0))</f>
        <v/>
      </c>
      <c r="F12297" s="107" t="str">
        <f aca="false">IF($C12297="","",$D12297*$E12297)</f>
        <v/>
      </c>
      <c r="G12297" s="107" t="str">
        <f aca="false">IF($C12297="","",$D12297*IFERROR(INDEX('تحليل التكلفة والسعر'!$C$2:$C$700,MATCH($C12297,'تحليل التكلفة والسعر'!$B$2:$B$700,0)),0))</f>
        <v/>
      </c>
    </row>
    <row r="12298" customFormat="false" ht="15" hidden="false" customHeight="false" outlineLevel="0" collapsed="false">
      <c r="A12298" s="103"/>
      <c r="B12298" s="104"/>
      <c r="C12298" s="104"/>
      <c r="E12298" s="107" t="str">
        <f aca="false">IF($C12298="","",IFERROR(INDEX(المنيو!$C$2:$C$500,MATCH($C12298,المنيو!$B$2:$B$500,0)),0))</f>
        <v/>
      </c>
      <c r="F12298" s="107" t="str">
        <f aca="false">IF($C12298="","",$D12298*$E12298)</f>
        <v/>
      </c>
      <c r="G12298" s="107" t="str">
        <f aca="false">IF($C12298="","",$D12298*IFERROR(INDEX('تحليل التكلفة والسعر'!$C$2:$C$700,MATCH($C12298,'تحليل التكلفة والسعر'!$B$2:$B$700,0)),0))</f>
        <v/>
      </c>
    </row>
    <row r="12299" customFormat="false" ht="15" hidden="false" customHeight="false" outlineLevel="0" collapsed="false">
      <c r="A12299" s="103"/>
      <c r="B12299" s="104"/>
      <c r="C12299" s="104"/>
      <c r="E12299" s="107" t="str">
        <f aca="false">IF($C12299="","",IFERROR(INDEX(المنيو!$C$2:$C$500,MATCH($C12299,المنيو!$B$2:$B$500,0)),0))</f>
        <v/>
      </c>
      <c r="F12299" s="107" t="str">
        <f aca="false">IF($C12299="","",$D12299*$E12299)</f>
        <v/>
      </c>
      <c r="G12299" s="107" t="str">
        <f aca="false">IF($C12299="","",$D12299*IFERROR(INDEX('تحليل التكلفة والسعر'!$C$2:$C$700,MATCH($C12299,'تحليل التكلفة والسعر'!$B$2:$B$700,0)),0))</f>
        <v/>
      </c>
    </row>
    <row r="12300" customFormat="false" ht="15" hidden="false" customHeight="false" outlineLevel="0" collapsed="false">
      <c r="A12300" s="103"/>
      <c r="B12300" s="104"/>
      <c r="C12300" s="104"/>
      <c r="E12300" s="107" t="str">
        <f aca="false">IF($C12300="","",IFERROR(INDEX(المنيو!$C$2:$C$500,MATCH($C12300,المنيو!$B$2:$B$500,0)),0))</f>
        <v/>
      </c>
      <c r="F12300" s="107" t="str">
        <f aca="false">IF($C12300="","",$D12300*$E12300)</f>
        <v/>
      </c>
      <c r="G12300" s="107" t="str">
        <f aca="false">IF($C12300="","",$D12300*IFERROR(INDEX('تحليل التكلفة والسعر'!$C$2:$C$700,MATCH($C12300,'تحليل التكلفة والسعر'!$B$2:$B$700,0)),0))</f>
        <v/>
      </c>
    </row>
    <row r="12301" customFormat="false" ht="15" hidden="false" customHeight="false" outlineLevel="0" collapsed="false">
      <c r="A12301" s="103"/>
      <c r="B12301" s="104"/>
      <c r="C12301" s="104"/>
      <c r="E12301" s="107" t="str">
        <f aca="false">IF($C12301="","",IFERROR(INDEX(المنيو!$C$2:$C$500,MATCH($C12301,المنيو!$B$2:$B$500,0)),0))</f>
        <v/>
      </c>
      <c r="F12301" s="107" t="str">
        <f aca="false">IF($C12301="","",$D12301*$E12301)</f>
        <v/>
      </c>
      <c r="G12301" s="107" t="str">
        <f aca="false">IF($C12301="","",$D12301*IFERROR(INDEX('تحليل التكلفة والسعر'!$C$2:$C$700,MATCH($C12301,'تحليل التكلفة والسعر'!$B$2:$B$700,0)),0))</f>
        <v/>
      </c>
    </row>
    <row r="12302" customFormat="false" ht="15" hidden="false" customHeight="false" outlineLevel="0" collapsed="false">
      <c r="A12302" s="103"/>
      <c r="B12302" s="104"/>
      <c r="C12302" s="104"/>
      <c r="E12302" s="107" t="str">
        <f aca="false">IF($C12302="","",IFERROR(INDEX(المنيو!$C$2:$C$500,MATCH($C12302,المنيو!$B$2:$B$500,0)),0))</f>
        <v/>
      </c>
      <c r="F12302" s="107" t="str">
        <f aca="false">IF($C12302="","",$D12302*$E12302)</f>
        <v/>
      </c>
      <c r="G12302" s="107" t="str">
        <f aca="false">IF($C12302="","",$D12302*IFERROR(INDEX('تحليل التكلفة والسعر'!$C$2:$C$700,MATCH($C12302,'تحليل التكلفة والسعر'!$B$2:$B$700,0)),0))</f>
        <v/>
      </c>
    </row>
    <row r="12303" customFormat="false" ht="15" hidden="false" customHeight="false" outlineLevel="0" collapsed="false">
      <c r="A12303" s="103"/>
      <c r="B12303" s="104"/>
      <c r="C12303" s="104"/>
      <c r="E12303" s="107" t="str">
        <f aca="false">IF($C12303="","",IFERROR(INDEX(المنيو!$C$2:$C$500,MATCH($C12303,المنيو!$B$2:$B$500,0)),0))</f>
        <v/>
      </c>
      <c r="F12303" s="107" t="str">
        <f aca="false">IF($C12303="","",$D12303*$E12303)</f>
        <v/>
      </c>
      <c r="G12303" s="107" t="str">
        <f aca="false">IF($C12303="","",$D12303*IFERROR(INDEX('تحليل التكلفة والسعر'!$C$2:$C$700,MATCH($C12303,'تحليل التكلفة والسعر'!$B$2:$B$700,0)),0))</f>
        <v/>
      </c>
    </row>
    <row r="12304" customFormat="false" ht="15" hidden="false" customHeight="false" outlineLevel="0" collapsed="false">
      <c r="A12304" s="103"/>
      <c r="B12304" s="104"/>
      <c r="C12304" s="104"/>
      <c r="E12304" s="107" t="str">
        <f aca="false">IF($C12304="","",IFERROR(INDEX(المنيو!$C$2:$C$500,MATCH($C12304,المنيو!$B$2:$B$500,0)),0))</f>
        <v/>
      </c>
      <c r="F12304" s="107" t="str">
        <f aca="false">IF($C12304="","",$D12304*$E12304)</f>
        <v/>
      </c>
      <c r="G12304" s="107" t="str">
        <f aca="false">IF($C12304="","",$D12304*IFERROR(INDEX('تحليل التكلفة والسعر'!$C$2:$C$700,MATCH($C12304,'تحليل التكلفة والسعر'!$B$2:$B$700,0)),0))</f>
        <v/>
      </c>
    </row>
    <row r="12305" customFormat="false" ht="15" hidden="false" customHeight="false" outlineLevel="0" collapsed="false">
      <c r="A12305" s="103"/>
      <c r="B12305" s="104"/>
      <c r="C12305" s="104"/>
      <c r="E12305" s="107" t="str">
        <f aca="false">IF($C12305="","",IFERROR(INDEX(المنيو!$C$2:$C$500,MATCH($C12305,المنيو!$B$2:$B$500,0)),0))</f>
        <v/>
      </c>
      <c r="F12305" s="107" t="str">
        <f aca="false">IF($C12305="","",$D12305*$E12305)</f>
        <v/>
      </c>
      <c r="G12305" s="107" t="str">
        <f aca="false">IF($C12305="","",$D12305*IFERROR(INDEX('تحليل التكلفة والسعر'!$C$2:$C$700,MATCH($C12305,'تحليل التكلفة والسعر'!$B$2:$B$700,0)),0))</f>
        <v/>
      </c>
    </row>
    <row r="12306" customFormat="false" ht="15" hidden="false" customHeight="false" outlineLevel="0" collapsed="false">
      <c r="A12306" s="103"/>
      <c r="B12306" s="104"/>
      <c r="C12306" s="104"/>
      <c r="E12306" s="107" t="str">
        <f aca="false">IF($C12306="","",IFERROR(INDEX(المنيو!$C$2:$C$500,MATCH($C12306,المنيو!$B$2:$B$500,0)),0))</f>
        <v/>
      </c>
      <c r="F12306" s="107" t="str">
        <f aca="false">IF($C12306="","",$D12306*$E12306)</f>
        <v/>
      </c>
      <c r="G12306" s="107" t="str">
        <f aca="false">IF($C12306="","",$D12306*IFERROR(INDEX('تحليل التكلفة والسعر'!$C$2:$C$700,MATCH($C12306,'تحليل التكلفة والسعر'!$B$2:$B$700,0)),0))</f>
        <v/>
      </c>
    </row>
    <row r="12307" customFormat="false" ht="15" hidden="false" customHeight="false" outlineLevel="0" collapsed="false">
      <c r="A12307" s="103"/>
      <c r="B12307" s="104"/>
      <c r="C12307" s="104"/>
      <c r="E12307" s="107" t="str">
        <f aca="false">IF($C12307="","",IFERROR(INDEX(المنيو!$C$2:$C$500,MATCH($C12307,المنيو!$B$2:$B$500,0)),0))</f>
        <v/>
      </c>
      <c r="F12307" s="107" t="str">
        <f aca="false">IF($C12307="","",$D12307*$E12307)</f>
        <v/>
      </c>
      <c r="G12307" s="107" t="str">
        <f aca="false">IF($C12307="","",$D12307*IFERROR(INDEX('تحليل التكلفة والسعر'!$C$2:$C$700,MATCH($C12307,'تحليل التكلفة والسعر'!$B$2:$B$700,0)),0))</f>
        <v/>
      </c>
    </row>
    <row r="12308" customFormat="false" ht="15" hidden="false" customHeight="false" outlineLevel="0" collapsed="false">
      <c r="A12308" s="103"/>
      <c r="B12308" s="104"/>
      <c r="C12308" s="104"/>
      <c r="E12308" s="107" t="str">
        <f aca="false">IF($C12308="","",IFERROR(INDEX(المنيو!$C$2:$C$500,MATCH($C12308,المنيو!$B$2:$B$500,0)),0))</f>
        <v/>
      </c>
      <c r="F12308" s="107" t="str">
        <f aca="false">IF($C12308="","",$D12308*$E12308)</f>
        <v/>
      </c>
      <c r="G12308" s="107" t="str">
        <f aca="false">IF($C12308="","",$D12308*IFERROR(INDEX('تحليل التكلفة والسعر'!$C$2:$C$700,MATCH($C12308,'تحليل التكلفة والسعر'!$B$2:$B$700,0)),0))</f>
        <v/>
      </c>
    </row>
    <row r="12309" customFormat="false" ht="15" hidden="false" customHeight="false" outlineLevel="0" collapsed="false">
      <c r="A12309" s="103"/>
      <c r="B12309" s="104"/>
      <c r="C12309" s="104"/>
      <c r="E12309" s="107" t="str">
        <f aca="false">IF($C12309="","",IFERROR(INDEX(المنيو!$C$2:$C$500,MATCH($C12309,المنيو!$B$2:$B$500,0)),0))</f>
        <v/>
      </c>
      <c r="F12309" s="107" t="str">
        <f aca="false">IF($C12309="","",$D12309*$E12309)</f>
        <v/>
      </c>
      <c r="G12309" s="107" t="str">
        <f aca="false">IF($C12309="","",$D12309*IFERROR(INDEX('تحليل التكلفة والسعر'!$C$2:$C$700,MATCH($C12309,'تحليل التكلفة والسعر'!$B$2:$B$700,0)),0))</f>
        <v/>
      </c>
    </row>
    <row r="12310" customFormat="false" ht="15" hidden="false" customHeight="false" outlineLevel="0" collapsed="false">
      <c r="A12310" s="103"/>
      <c r="B12310" s="104"/>
      <c r="C12310" s="104"/>
      <c r="E12310" s="107" t="str">
        <f aca="false">IF($C12310="","",IFERROR(INDEX(المنيو!$C$2:$C$500,MATCH($C12310,المنيو!$B$2:$B$500,0)),0))</f>
        <v/>
      </c>
      <c r="F12310" s="107" t="str">
        <f aca="false">IF($C12310="","",$D12310*$E12310)</f>
        <v/>
      </c>
      <c r="G12310" s="107" t="str">
        <f aca="false">IF($C12310="","",$D12310*IFERROR(INDEX('تحليل التكلفة والسعر'!$C$2:$C$700,MATCH($C12310,'تحليل التكلفة والسعر'!$B$2:$B$700,0)),0))</f>
        <v/>
      </c>
    </row>
    <row r="12311" customFormat="false" ht="15" hidden="false" customHeight="false" outlineLevel="0" collapsed="false">
      <c r="A12311" s="103"/>
      <c r="B12311" s="104"/>
      <c r="C12311" s="104"/>
      <c r="E12311" s="107" t="str">
        <f aca="false">IF($C12311="","",IFERROR(INDEX(المنيو!$C$2:$C$500,MATCH($C12311,المنيو!$B$2:$B$500,0)),0))</f>
        <v/>
      </c>
      <c r="F12311" s="107" t="str">
        <f aca="false">IF($C12311="","",$D12311*$E12311)</f>
        <v/>
      </c>
      <c r="G12311" s="107" t="str">
        <f aca="false">IF($C12311="","",$D12311*IFERROR(INDEX('تحليل التكلفة والسعر'!$C$2:$C$700,MATCH($C12311,'تحليل التكلفة والسعر'!$B$2:$B$700,0)),0))</f>
        <v/>
      </c>
    </row>
    <row r="12312" customFormat="false" ht="15" hidden="false" customHeight="false" outlineLevel="0" collapsed="false">
      <c r="A12312" s="103"/>
      <c r="B12312" s="104"/>
      <c r="C12312" s="104"/>
      <c r="E12312" s="107" t="str">
        <f aca="false">IF($C12312="","",IFERROR(INDEX(المنيو!$C$2:$C$500,MATCH($C12312,المنيو!$B$2:$B$500,0)),0))</f>
        <v/>
      </c>
      <c r="F12312" s="107" t="str">
        <f aca="false">IF($C12312="","",$D12312*$E12312)</f>
        <v/>
      </c>
      <c r="G12312" s="107" t="str">
        <f aca="false">IF($C12312="","",$D12312*IFERROR(INDEX('تحليل التكلفة والسعر'!$C$2:$C$700,MATCH($C12312,'تحليل التكلفة والسعر'!$B$2:$B$700,0)),0))</f>
        <v/>
      </c>
    </row>
    <row r="12313" customFormat="false" ht="15" hidden="false" customHeight="false" outlineLevel="0" collapsed="false">
      <c r="A12313" s="103"/>
      <c r="B12313" s="104"/>
      <c r="C12313" s="104"/>
      <c r="E12313" s="107" t="str">
        <f aca="false">IF($C12313="","",IFERROR(INDEX(المنيو!$C$2:$C$500,MATCH($C12313,المنيو!$B$2:$B$500,0)),0))</f>
        <v/>
      </c>
      <c r="F12313" s="107" t="str">
        <f aca="false">IF($C12313="","",$D12313*$E12313)</f>
        <v/>
      </c>
      <c r="G12313" s="107" t="str">
        <f aca="false">IF($C12313="","",$D12313*IFERROR(INDEX('تحليل التكلفة والسعر'!$C$2:$C$700,MATCH($C12313,'تحليل التكلفة والسعر'!$B$2:$B$700,0)),0))</f>
        <v/>
      </c>
    </row>
    <row r="12314" customFormat="false" ht="15" hidden="false" customHeight="false" outlineLevel="0" collapsed="false">
      <c r="A12314" s="103"/>
      <c r="B12314" s="104"/>
      <c r="C12314" s="104"/>
      <c r="E12314" s="107" t="str">
        <f aca="false">IF($C12314="","",IFERROR(INDEX(المنيو!$C$2:$C$500,MATCH($C12314,المنيو!$B$2:$B$500,0)),0))</f>
        <v/>
      </c>
      <c r="F12314" s="107" t="str">
        <f aca="false">IF($C12314="","",$D12314*$E12314)</f>
        <v/>
      </c>
      <c r="G12314" s="107" t="str">
        <f aca="false">IF($C12314="","",$D12314*IFERROR(INDEX('تحليل التكلفة والسعر'!$C$2:$C$700,MATCH($C12314,'تحليل التكلفة والسعر'!$B$2:$B$700,0)),0))</f>
        <v/>
      </c>
    </row>
    <row r="12315" customFormat="false" ht="15" hidden="false" customHeight="false" outlineLevel="0" collapsed="false">
      <c r="A12315" s="103"/>
      <c r="B12315" s="104"/>
      <c r="C12315" s="104"/>
      <c r="E12315" s="107" t="str">
        <f aca="false">IF($C12315="","",IFERROR(INDEX(المنيو!$C$2:$C$500,MATCH($C12315,المنيو!$B$2:$B$500,0)),0))</f>
        <v/>
      </c>
      <c r="F12315" s="107" t="str">
        <f aca="false">IF($C12315="","",$D12315*$E12315)</f>
        <v/>
      </c>
      <c r="G12315" s="107" t="str">
        <f aca="false">IF($C12315="","",$D12315*IFERROR(INDEX('تحليل التكلفة والسعر'!$C$2:$C$700,MATCH($C12315,'تحليل التكلفة والسعر'!$B$2:$B$700,0)),0))</f>
        <v/>
      </c>
    </row>
    <row r="12316" customFormat="false" ht="15" hidden="false" customHeight="false" outlineLevel="0" collapsed="false">
      <c r="A12316" s="103"/>
      <c r="B12316" s="104"/>
      <c r="C12316" s="104"/>
      <c r="E12316" s="107" t="str">
        <f aca="false">IF($C12316="","",IFERROR(INDEX(المنيو!$C$2:$C$500,MATCH($C12316,المنيو!$B$2:$B$500,0)),0))</f>
        <v/>
      </c>
      <c r="F12316" s="107" t="str">
        <f aca="false">IF($C12316="","",$D12316*$E12316)</f>
        <v/>
      </c>
      <c r="G12316" s="107" t="str">
        <f aca="false">IF($C12316="","",$D12316*IFERROR(INDEX('تحليل التكلفة والسعر'!$C$2:$C$700,MATCH($C12316,'تحليل التكلفة والسعر'!$B$2:$B$700,0)),0))</f>
        <v/>
      </c>
    </row>
    <row r="12317" customFormat="false" ht="15" hidden="false" customHeight="false" outlineLevel="0" collapsed="false">
      <c r="A12317" s="103"/>
      <c r="B12317" s="104"/>
      <c r="C12317" s="104"/>
      <c r="E12317" s="107" t="str">
        <f aca="false">IF($C12317="","",IFERROR(INDEX(المنيو!$C$2:$C$500,MATCH($C12317,المنيو!$B$2:$B$500,0)),0))</f>
        <v/>
      </c>
      <c r="F12317" s="107" t="str">
        <f aca="false">IF($C12317="","",$D12317*$E12317)</f>
        <v/>
      </c>
      <c r="G12317" s="107" t="str">
        <f aca="false">IF($C12317="","",$D12317*IFERROR(INDEX('تحليل التكلفة والسعر'!$C$2:$C$700,MATCH($C12317,'تحليل التكلفة والسعر'!$B$2:$B$700,0)),0))</f>
        <v/>
      </c>
    </row>
    <row r="12318" customFormat="false" ht="15" hidden="false" customHeight="false" outlineLevel="0" collapsed="false">
      <c r="A12318" s="103"/>
      <c r="B12318" s="104"/>
      <c r="C12318" s="104"/>
      <c r="E12318" s="107" t="str">
        <f aca="false">IF($C12318="","",IFERROR(INDEX(المنيو!$C$2:$C$500,MATCH($C12318,المنيو!$B$2:$B$500,0)),0))</f>
        <v/>
      </c>
      <c r="F12318" s="107" t="str">
        <f aca="false">IF($C12318="","",$D12318*$E12318)</f>
        <v/>
      </c>
      <c r="G12318" s="107" t="str">
        <f aca="false">IF($C12318="","",$D12318*IFERROR(INDEX('تحليل التكلفة والسعر'!$C$2:$C$700,MATCH($C12318,'تحليل التكلفة والسعر'!$B$2:$B$700,0)),0))</f>
        <v/>
      </c>
    </row>
    <row r="12319" customFormat="false" ht="15" hidden="false" customHeight="false" outlineLevel="0" collapsed="false">
      <c r="A12319" s="103"/>
      <c r="B12319" s="104"/>
      <c r="C12319" s="104"/>
      <c r="E12319" s="107" t="str">
        <f aca="false">IF($C12319="","",IFERROR(INDEX(المنيو!$C$2:$C$500,MATCH($C12319,المنيو!$B$2:$B$500,0)),0))</f>
        <v/>
      </c>
      <c r="F12319" s="107" t="str">
        <f aca="false">IF($C12319="","",$D12319*$E12319)</f>
        <v/>
      </c>
      <c r="G12319" s="107" t="str">
        <f aca="false">IF($C12319="","",$D12319*IFERROR(INDEX('تحليل التكلفة والسعر'!$C$2:$C$700,MATCH($C12319,'تحليل التكلفة والسعر'!$B$2:$B$700,0)),0))</f>
        <v/>
      </c>
    </row>
    <row r="12320" customFormat="false" ht="15" hidden="false" customHeight="false" outlineLevel="0" collapsed="false">
      <c r="A12320" s="103"/>
      <c r="B12320" s="104"/>
      <c r="C12320" s="104"/>
      <c r="E12320" s="107" t="str">
        <f aca="false">IF($C12320="","",IFERROR(INDEX(المنيو!$C$2:$C$500,MATCH($C12320,المنيو!$B$2:$B$500,0)),0))</f>
        <v/>
      </c>
      <c r="F12320" s="107" t="str">
        <f aca="false">IF($C12320="","",$D12320*$E12320)</f>
        <v/>
      </c>
      <c r="G12320" s="107" t="str">
        <f aca="false">IF($C12320="","",$D12320*IFERROR(INDEX('تحليل التكلفة والسعر'!$C$2:$C$700,MATCH($C12320,'تحليل التكلفة والسعر'!$B$2:$B$700,0)),0))</f>
        <v/>
      </c>
    </row>
    <row r="12321" customFormat="false" ht="15" hidden="false" customHeight="false" outlineLevel="0" collapsed="false">
      <c r="A12321" s="103"/>
      <c r="B12321" s="104"/>
      <c r="C12321" s="104"/>
      <c r="E12321" s="107" t="str">
        <f aca="false">IF($C12321="","",IFERROR(INDEX(المنيو!$C$2:$C$500,MATCH($C12321,المنيو!$B$2:$B$500,0)),0))</f>
        <v/>
      </c>
      <c r="F12321" s="107" t="str">
        <f aca="false">IF($C12321="","",$D12321*$E12321)</f>
        <v/>
      </c>
      <c r="G12321" s="107" t="str">
        <f aca="false">IF($C12321="","",$D12321*IFERROR(INDEX('تحليل التكلفة والسعر'!$C$2:$C$700,MATCH($C12321,'تحليل التكلفة والسعر'!$B$2:$B$700,0)),0))</f>
        <v/>
      </c>
    </row>
    <row r="12322" customFormat="false" ht="15" hidden="false" customHeight="false" outlineLevel="0" collapsed="false">
      <c r="A12322" s="103"/>
      <c r="B12322" s="104"/>
      <c r="C12322" s="104"/>
      <c r="E12322" s="107" t="str">
        <f aca="false">IF($C12322="","",IFERROR(INDEX(المنيو!$C$2:$C$500,MATCH($C12322,المنيو!$B$2:$B$500,0)),0))</f>
        <v/>
      </c>
      <c r="F12322" s="107" t="str">
        <f aca="false">IF($C12322="","",$D12322*$E12322)</f>
        <v/>
      </c>
      <c r="G12322" s="107" t="str">
        <f aca="false">IF($C12322="","",$D12322*IFERROR(INDEX('تحليل التكلفة والسعر'!$C$2:$C$700,MATCH($C12322,'تحليل التكلفة والسعر'!$B$2:$B$700,0)),0))</f>
        <v/>
      </c>
    </row>
    <row r="12323" customFormat="false" ht="15" hidden="false" customHeight="false" outlineLevel="0" collapsed="false">
      <c r="A12323" s="103"/>
      <c r="B12323" s="104"/>
      <c r="C12323" s="104"/>
      <c r="E12323" s="107" t="str">
        <f aca="false">IF($C12323="","",IFERROR(INDEX(المنيو!$C$2:$C$500,MATCH($C12323,المنيو!$B$2:$B$500,0)),0))</f>
        <v/>
      </c>
      <c r="F12323" s="107" t="str">
        <f aca="false">IF($C12323="","",$D12323*$E12323)</f>
        <v/>
      </c>
      <c r="G12323" s="107" t="str">
        <f aca="false">IF($C12323="","",$D12323*IFERROR(INDEX('تحليل التكلفة والسعر'!$C$2:$C$700,MATCH($C12323,'تحليل التكلفة والسعر'!$B$2:$B$700,0)),0))</f>
        <v/>
      </c>
    </row>
    <row r="12324" customFormat="false" ht="15" hidden="false" customHeight="false" outlineLevel="0" collapsed="false">
      <c r="A12324" s="103"/>
      <c r="B12324" s="104"/>
      <c r="C12324" s="104"/>
      <c r="E12324" s="107" t="str">
        <f aca="false">IF($C12324="","",IFERROR(INDEX(المنيو!$C$2:$C$500,MATCH($C12324,المنيو!$B$2:$B$500,0)),0))</f>
        <v/>
      </c>
      <c r="F12324" s="107" t="str">
        <f aca="false">IF($C12324="","",$D12324*$E12324)</f>
        <v/>
      </c>
      <c r="G12324" s="107" t="str">
        <f aca="false">IF($C12324="","",$D12324*IFERROR(INDEX('تحليل التكلفة والسعر'!$C$2:$C$700,MATCH($C12324,'تحليل التكلفة والسعر'!$B$2:$B$700,0)),0))</f>
        <v/>
      </c>
    </row>
    <row r="12325" customFormat="false" ht="15" hidden="false" customHeight="false" outlineLevel="0" collapsed="false">
      <c r="A12325" s="103"/>
      <c r="B12325" s="104"/>
      <c r="C12325" s="104"/>
      <c r="E12325" s="107" t="str">
        <f aca="false">IF($C12325="","",IFERROR(INDEX(المنيو!$C$2:$C$500,MATCH($C12325,المنيو!$B$2:$B$500,0)),0))</f>
        <v/>
      </c>
      <c r="F12325" s="107" t="str">
        <f aca="false">IF($C12325="","",$D12325*$E12325)</f>
        <v/>
      </c>
      <c r="G12325" s="107" t="str">
        <f aca="false">IF($C12325="","",$D12325*IFERROR(INDEX('تحليل التكلفة والسعر'!$C$2:$C$700,MATCH($C12325,'تحليل التكلفة والسعر'!$B$2:$B$700,0)),0))</f>
        <v/>
      </c>
    </row>
    <row r="12326" customFormat="false" ht="15" hidden="false" customHeight="false" outlineLevel="0" collapsed="false">
      <c r="A12326" s="103"/>
      <c r="B12326" s="104"/>
      <c r="C12326" s="104"/>
      <c r="E12326" s="107" t="str">
        <f aca="false">IF($C12326="","",IFERROR(INDEX(المنيو!$C$2:$C$500,MATCH($C12326,المنيو!$B$2:$B$500,0)),0))</f>
        <v/>
      </c>
      <c r="F12326" s="107" t="str">
        <f aca="false">IF($C12326="","",$D12326*$E12326)</f>
        <v/>
      </c>
      <c r="G12326" s="107" t="str">
        <f aca="false">IF($C12326="","",$D12326*IFERROR(INDEX('تحليل التكلفة والسعر'!$C$2:$C$700,MATCH($C12326,'تحليل التكلفة والسعر'!$B$2:$B$700,0)),0))</f>
        <v/>
      </c>
    </row>
    <row r="12327" customFormat="false" ht="15" hidden="false" customHeight="false" outlineLevel="0" collapsed="false">
      <c r="A12327" s="103"/>
      <c r="B12327" s="104"/>
      <c r="C12327" s="104"/>
      <c r="E12327" s="107" t="str">
        <f aca="false">IF($C12327="","",IFERROR(INDEX(المنيو!$C$2:$C$500,MATCH($C12327,المنيو!$B$2:$B$500,0)),0))</f>
        <v/>
      </c>
      <c r="F12327" s="107" t="str">
        <f aca="false">IF($C12327="","",$D12327*$E12327)</f>
        <v/>
      </c>
      <c r="G12327" s="107" t="str">
        <f aca="false">IF($C12327="","",$D12327*IFERROR(INDEX('تحليل التكلفة والسعر'!$C$2:$C$700,MATCH($C12327,'تحليل التكلفة والسعر'!$B$2:$B$700,0)),0))</f>
        <v/>
      </c>
    </row>
    <row r="12328" customFormat="false" ht="15" hidden="false" customHeight="false" outlineLevel="0" collapsed="false">
      <c r="A12328" s="103"/>
      <c r="B12328" s="104"/>
      <c r="C12328" s="104"/>
      <c r="E12328" s="107" t="str">
        <f aca="false">IF($C12328="","",IFERROR(INDEX(المنيو!$C$2:$C$500,MATCH($C12328,المنيو!$B$2:$B$500,0)),0))</f>
        <v/>
      </c>
      <c r="F12328" s="107" t="str">
        <f aca="false">IF($C12328="","",$D12328*$E12328)</f>
        <v/>
      </c>
      <c r="G12328" s="107" t="str">
        <f aca="false">IF($C12328="","",$D12328*IFERROR(INDEX('تحليل التكلفة والسعر'!$C$2:$C$700,MATCH($C12328,'تحليل التكلفة والسعر'!$B$2:$B$700,0)),0))</f>
        <v/>
      </c>
    </row>
    <row r="12329" customFormat="false" ht="15" hidden="false" customHeight="false" outlineLevel="0" collapsed="false">
      <c r="A12329" s="103"/>
      <c r="B12329" s="104"/>
      <c r="C12329" s="104"/>
      <c r="E12329" s="107" t="str">
        <f aca="false">IF($C12329="","",IFERROR(INDEX(المنيو!$C$2:$C$500,MATCH($C12329,المنيو!$B$2:$B$500,0)),0))</f>
        <v/>
      </c>
      <c r="F12329" s="107" t="str">
        <f aca="false">IF($C12329="","",$D12329*$E12329)</f>
        <v/>
      </c>
      <c r="G12329" s="107" t="str">
        <f aca="false">IF($C12329="","",$D12329*IFERROR(INDEX('تحليل التكلفة والسعر'!$C$2:$C$700,MATCH($C12329,'تحليل التكلفة والسعر'!$B$2:$B$700,0)),0))</f>
        <v/>
      </c>
    </row>
    <row r="12330" customFormat="false" ht="15" hidden="false" customHeight="false" outlineLevel="0" collapsed="false">
      <c r="A12330" s="103"/>
      <c r="B12330" s="104"/>
      <c r="C12330" s="104"/>
      <c r="E12330" s="107" t="str">
        <f aca="false">IF($C12330="","",IFERROR(INDEX(المنيو!$C$2:$C$500,MATCH($C12330,المنيو!$B$2:$B$500,0)),0))</f>
        <v/>
      </c>
      <c r="F12330" s="107" t="str">
        <f aca="false">IF($C12330="","",$D12330*$E12330)</f>
        <v/>
      </c>
      <c r="G12330" s="107" t="str">
        <f aca="false">IF($C12330="","",$D12330*IFERROR(INDEX('تحليل التكلفة والسعر'!$C$2:$C$700,MATCH($C12330,'تحليل التكلفة والسعر'!$B$2:$B$700,0)),0))</f>
        <v/>
      </c>
    </row>
    <row r="12331" customFormat="false" ht="15" hidden="false" customHeight="false" outlineLevel="0" collapsed="false">
      <c r="A12331" s="103"/>
      <c r="B12331" s="104"/>
      <c r="C12331" s="104"/>
      <c r="E12331" s="107" t="str">
        <f aca="false">IF($C12331="","",IFERROR(INDEX(المنيو!$C$2:$C$500,MATCH($C12331,المنيو!$B$2:$B$500,0)),0))</f>
        <v/>
      </c>
      <c r="F12331" s="107" t="str">
        <f aca="false">IF($C12331="","",$D12331*$E12331)</f>
        <v/>
      </c>
      <c r="G12331" s="107" t="str">
        <f aca="false">IF($C12331="","",$D12331*IFERROR(INDEX('تحليل التكلفة والسعر'!$C$2:$C$700,MATCH($C12331,'تحليل التكلفة والسعر'!$B$2:$B$700,0)),0))</f>
        <v/>
      </c>
    </row>
    <row r="12332" customFormat="false" ht="15" hidden="false" customHeight="false" outlineLevel="0" collapsed="false">
      <c r="A12332" s="103"/>
      <c r="B12332" s="104"/>
      <c r="C12332" s="104"/>
      <c r="E12332" s="107" t="str">
        <f aca="false">IF($C12332="","",IFERROR(INDEX(المنيو!$C$2:$C$500,MATCH($C12332,المنيو!$B$2:$B$500,0)),0))</f>
        <v/>
      </c>
      <c r="F12332" s="107" t="str">
        <f aca="false">IF($C12332="","",$D12332*$E12332)</f>
        <v/>
      </c>
      <c r="G12332" s="107" t="str">
        <f aca="false">IF($C12332="","",$D12332*IFERROR(INDEX('تحليل التكلفة والسعر'!$C$2:$C$700,MATCH($C12332,'تحليل التكلفة والسعر'!$B$2:$B$700,0)),0))</f>
        <v/>
      </c>
    </row>
    <row r="12333" customFormat="false" ht="15" hidden="false" customHeight="false" outlineLevel="0" collapsed="false">
      <c r="A12333" s="103"/>
      <c r="B12333" s="104"/>
      <c r="C12333" s="104"/>
      <c r="E12333" s="107" t="str">
        <f aca="false">IF($C12333="","",IFERROR(INDEX(المنيو!$C$2:$C$500,MATCH($C12333,المنيو!$B$2:$B$500,0)),0))</f>
        <v/>
      </c>
      <c r="F12333" s="107" t="str">
        <f aca="false">IF($C12333="","",$D12333*$E12333)</f>
        <v/>
      </c>
      <c r="G12333" s="107" t="str">
        <f aca="false">IF($C12333="","",$D12333*IFERROR(INDEX('تحليل التكلفة والسعر'!$C$2:$C$700,MATCH($C12333,'تحليل التكلفة والسعر'!$B$2:$B$700,0)),0))</f>
        <v/>
      </c>
    </row>
    <row r="12334" customFormat="false" ht="15" hidden="false" customHeight="false" outlineLevel="0" collapsed="false">
      <c r="A12334" s="103"/>
      <c r="B12334" s="104"/>
      <c r="C12334" s="104"/>
      <c r="E12334" s="107" t="str">
        <f aca="false">IF($C12334="","",IFERROR(INDEX(المنيو!$C$2:$C$500,MATCH($C12334,المنيو!$B$2:$B$500,0)),0))</f>
        <v/>
      </c>
      <c r="F12334" s="107" t="str">
        <f aca="false">IF($C12334="","",$D12334*$E12334)</f>
        <v/>
      </c>
      <c r="G12334" s="107" t="str">
        <f aca="false">IF($C12334="","",$D12334*IFERROR(INDEX('تحليل التكلفة والسعر'!$C$2:$C$700,MATCH($C12334,'تحليل التكلفة والسعر'!$B$2:$B$700,0)),0))</f>
        <v/>
      </c>
    </row>
    <row r="12335" customFormat="false" ht="15" hidden="false" customHeight="false" outlineLevel="0" collapsed="false">
      <c r="A12335" s="103"/>
      <c r="B12335" s="104"/>
      <c r="C12335" s="104"/>
      <c r="E12335" s="107" t="str">
        <f aca="false">IF($C12335="","",IFERROR(INDEX(المنيو!$C$2:$C$500,MATCH($C12335,المنيو!$B$2:$B$500,0)),0))</f>
        <v/>
      </c>
      <c r="F12335" s="107" t="str">
        <f aca="false">IF($C12335="","",$D12335*$E12335)</f>
        <v/>
      </c>
      <c r="G12335" s="107" t="str">
        <f aca="false">IF($C12335="","",$D12335*IFERROR(INDEX('تحليل التكلفة والسعر'!$C$2:$C$700,MATCH($C12335,'تحليل التكلفة والسعر'!$B$2:$B$700,0)),0))</f>
        <v/>
      </c>
    </row>
    <row r="12336" customFormat="false" ht="15" hidden="false" customHeight="false" outlineLevel="0" collapsed="false">
      <c r="A12336" s="103"/>
      <c r="B12336" s="104"/>
      <c r="C12336" s="104"/>
      <c r="E12336" s="107" t="str">
        <f aca="false">IF($C12336="","",IFERROR(INDEX(المنيو!$C$2:$C$500,MATCH($C12336,المنيو!$B$2:$B$500,0)),0))</f>
        <v/>
      </c>
      <c r="F12336" s="107" t="str">
        <f aca="false">IF($C12336="","",$D12336*$E12336)</f>
        <v/>
      </c>
      <c r="G12336" s="107" t="str">
        <f aca="false">IF($C12336="","",$D12336*IFERROR(INDEX('تحليل التكلفة والسعر'!$C$2:$C$700,MATCH($C12336,'تحليل التكلفة والسعر'!$B$2:$B$700,0)),0))</f>
        <v/>
      </c>
    </row>
    <row r="12337" customFormat="false" ht="15" hidden="false" customHeight="false" outlineLevel="0" collapsed="false">
      <c r="A12337" s="103"/>
      <c r="B12337" s="104"/>
      <c r="C12337" s="104"/>
      <c r="E12337" s="107" t="str">
        <f aca="false">IF($C12337="","",IFERROR(INDEX(المنيو!$C$2:$C$500,MATCH($C12337,المنيو!$B$2:$B$500,0)),0))</f>
        <v/>
      </c>
      <c r="F12337" s="107" t="str">
        <f aca="false">IF($C12337="","",$D12337*$E12337)</f>
        <v/>
      </c>
      <c r="G12337" s="107" t="str">
        <f aca="false">IF($C12337="","",$D12337*IFERROR(INDEX('تحليل التكلفة والسعر'!$C$2:$C$700,MATCH($C12337,'تحليل التكلفة والسعر'!$B$2:$B$700,0)),0))</f>
        <v/>
      </c>
    </row>
    <row r="12338" customFormat="false" ht="15" hidden="false" customHeight="false" outlineLevel="0" collapsed="false">
      <c r="A12338" s="103"/>
      <c r="B12338" s="104"/>
      <c r="C12338" s="104"/>
      <c r="E12338" s="107" t="str">
        <f aca="false">IF($C12338="","",IFERROR(INDEX(المنيو!$C$2:$C$500,MATCH($C12338,المنيو!$B$2:$B$500,0)),0))</f>
        <v/>
      </c>
      <c r="F12338" s="107" t="str">
        <f aca="false">IF($C12338="","",$D12338*$E12338)</f>
        <v/>
      </c>
      <c r="G12338" s="107" t="str">
        <f aca="false">IF($C12338="","",$D12338*IFERROR(INDEX('تحليل التكلفة والسعر'!$C$2:$C$700,MATCH($C12338,'تحليل التكلفة والسعر'!$B$2:$B$700,0)),0))</f>
        <v/>
      </c>
    </row>
    <row r="12339" customFormat="false" ht="15" hidden="false" customHeight="false" outlineLevel="0" collapsed="false">
      <c r="A12339" s="103"/>
      <c r="B12339" s="104"/>
      <c r="C12339" s="104"/>
      <c r="E12339" s="107" t="str">
        <f aca="false">IF($C12339="","",IFERROR(INDEX(المنيو!$C$2:$C$500,MATCH($C12339,المنيو!$B$2:$B$500,0)),0))</f>
        <v/>
      </c>
      <c r="F12339" s="107" t="str">
        <f aca="false">IF($C12339="","",$D12339*$E12339)</f>
        <v/>
      </c>
      <c r="G12339" s="107" t="str">
        <f aca="false">IF($C12339="","",$D12339*IFERROR(INDEX('تحليل التكلفة والسعر'!$C$2:$C$700,MATCH($C12339,'تحليل التكلفة والسعر'!$B$2:$B$700,0)),0))</f>
        <v/>
      </c>
    </row>
    <row r="12340" customFormat="false" ht="15" hidden="false" customHeight="false" outlineLevel="0" collapsed="false">
      <c r="A12340" s="103"/>
      <c r="B12340" s="104"/>
      <c r="C12340" s="104"/>
      <c r="E12340" s="107" t="str">
        <f aca="false">IF($C12340="","",IFERROR(INDEX(المنيو!$C$2:$C$500,MATCH($C12340,المنيو!$B$2:$B$500,0)),0))</f>
        <v/>
      </c>
      <c r="F12340" s="107" t="str">
        <f aca="false">IF($C12340="","",$D12340*$E12340)</f>
        <v/>
      </c>
      <c r="G12340" s="107" t="str">
        <f aca="false">IF($C12340="","",$D12340*IFERROR(INDEX('تحليل التكلفة والسعر'!$C$2:$C$700,MATCH($C12340,'تحليل التكلفة والسعر'!$B$2:$B$700,0)),0))</f>
        <v/>
      </c>
    </row>
    <row r="12341" customFormat="false" ht="15" hidden="false" customHeight="false" outlineLevel="0" collapsed="false">
      <c r="A12341" s="103"/>
      <c r="B12341" s="104"/>
      <c r="C12341" s="104"/>
      <c r="E12341" s="107" t="str">
        <f aca="false">IF($C12341="","",IFERROR(INDEX(المنيو!$C$2:$C$500,MATCH($C12341,المنيو!$B$2:$B$500,0)),0))</f>
        <v/>
      </c>
      <c r="F12341" s="107" t="str">
        <f aca="false">IF($C12341="","",$D12341*$E12341)</f>
        <v/>
      </c>
      <c r="G12341" s="107" t="str">
        <f aca="false">IF($C12341="","",$D12341*IFERROR(INDEX('تحليل التكلفة والسعر'!$C$2:$C$700,MATCH($C12341,'تحليل التكلفة والسعر'!$B$2:$B$700,0)),0))</f>
        <v/>
      </c>
    </row>
    <row r="12342" customFormat="false" ht="15" hidden="false" customHeight="false" outlineLevel="0" collapsed="false">
      <c r="A12342" s="103"/>
      <c r="B12342" s="104"/>
      <c r="C12342" s="104"/>
      <c r="E12342" s="107" t="str">
        <f aca="false">IF($C12342="","",IFERROR(INDEX(المنيو!$C$2:$C$500,MATCH($C12342,المنيو!$B$2:$B$500,0)),0))</f>
        <v/>
      </c>
      <c r="F12342" s="107" t="str">
        <f aca="false">IF($C12342="","",$D12342*$E12342)</f>
        <v/>
      </c>
      <c r="G12342" s="107" t="str">
        <f aca="false">IF($C12342="","",$D12342*IFERROR(INDEX('تحليل التكلفة والسعر'!$C$2:$C$700,MATCH($C12342,'تحليل التكلفة والسعر'!$B$2:$B$700,0)),0))</f>
        <v/>
      </c>
    </row>
    <row r="12343" customFormat="false" ht="15" hidden="false" customHeight="false" outlineLevel="0" collapsed="false">
      <c r="A12343" s="103"/>
      <c r="B12343" s="104"/>
      <c r="C12343" s="104"/>
      <c r="E12343" s="107" t="str">
        <f aca="false">IF($C12343="","",IFERROR(INDEX(المنيو!$C$2:$C$500,MATCH($C12343,المنيو!$B$2:$B$500,0)),0))</f>
        <v/>
      </c>
      <c r="F12343" s="107" t="str">
        <f aca="false">IF($C12343="","",$D12343*$E12343)</f>
        <v/>
      </c>
      <c r="G12343" s="107" t="str">
        <f aca="false">IF($C12343="","",$D12343*IFERROR(INDEX('تحليل التكلفة والسعر'!$C$2:$C$700,MATCH($C12343,'تحليل التكلفة والسعر'!$B$2:$B$700,0)),0))</f>
        <v/>
      </c>
    </row>
    <row r="12344" customFormat="false" ht="15" hidden="false" customHeight="false" outlineLevel="0" collapsed="false">
      <c r="A12344" s="103"/>
      <c r="B12344" s="104"/>
      <c r="C12344" s="104"/>
      <c r="E12344" s="107" t="str">
        <f aca="false">IF($C12344="","",IFERROR(INDEX(المنيو!$C$2:$C$500,MATCH($C12344,المنيو!$B$2:$B$500,0)),0))</f>
        <v/>
      </c>
      <c r="F12344" s="107" t="str">
        <f aca="false">IF($C12344="","",$D12344*$E12344)</f>
        <v/>
      </c>
      <c r="G12344" s="107" t="str">
        <f aca="false">IF($C12344="","",$D12344*IFERROR(INDEX('تحليل التكلفة والسعر'!$C$2:$C$700,MATCH($C12344,'تحليل التكلفة والسعر'!$B$2:$B$700,0)),0))</f>
        <v/>
      </c>
    </row>
    <row r="12345" customFormat="false" ht="15" hidden="false" customHeight="false" outlineLevel="0" collapsed="false">
      <c r="A12345" s="103"/>
      <c r="B12345" s="104"/>
      <c r="C12345" s="104"/>
      <c r="E12345" s="107" t="str">
        <f aca="false">IF($C12345="","",IFERROR(INDEX(المنيو!$C$2:$C$500,MATCH($C12345,المنيو!$B$2:$B$500,0)),0))</f>
        <v/>
      </c>
      <c r="F12345" s="107" t="str">
        <f aca="false">IF($C12345="","",$D12345*$E12345)</f>
        <v/>
      </c>
      <c r="G12345" s="107" t="str">
        <f aca="false">IF($C12345="","",$D12345*IFERROR(INDEX('تحليل التكلفة والسعر'!$C$2:$C$700,MATCH($C12345,'تحليل التكلفة والسعر'!$B$2:$B$700,0)),0))</f>
        <v/>
      </c>
    </row>
    <row r="12346" customFormat="false" ht="15" hidden="false" customHeight="false" outlineLevel="0" collapsed="false">
      <c r="A12346" s="103"/>
      <c r="B12346" s="104"/>
      <c r="C12346" s="104"/>
      <c r="E12346" s="107" t="str">
        <f aca="false">IF($C12346="","",IFERROR(INDEX(المنيو!$C$2:$C$500,MATCH($C12346,المنيو!$B$2:$B$500,0)),0))</f>
        <v/>
      </c>
      <c r="F12346" s="107" t="str">
        <f aca="false">IF($C12346="","",$D12346*$E12346)</f>
        <v/>
      </c>
      <c r="G12346" s="107" t="str">
        <f aca="false">IF($C12346="","",$D12346*IFERROR(INDEX('تحليل التكلفة والسعر'!$C$2:$C$700,MATCH($C12346,'تحليل التكلفة والسعر'!$B$2:$B$700,0)),0))</f>
        <v/>
      </c>
    </row>
    <row r="12347" customFormat="false" ht="15" hidden="false" customHeight="false" outlineLevel="0" collapsed="false">
      <c r="A12347" s="103"/>
      <c r="B12347" s="104"/>
      <c r="C12347" s="104"/>
      <c r="E12347" s="107" t="str">
        <f aca="false">IF($C12347="","",IFERROR(INDEX(المنيو!$C$2:$C$500,MATCH($C12347,المنيو!$B$2:$B$500,0)),0))</f>
        <v/>
      </c>
      <c r="F12347" s="107" t="str">
        <f aca="false">IF($C12347="","",$D12347*$E12347)</f>
        <v/>
      </c>
      <c r="G12347" s="107" t="str">
        <f aca="false">IF($C12347="","",$D12347*IFERROR(INDEX('تحليل التكلفة والسعر'!$C$2:$C$700,MATCH($C12347,'تحليل التكلفة والسعر'!$B$2:$B$700,0)),0))</f>
        <v/>
      </c>
    </row>
    <row r="12348" customFormat="false" ht="15" hidden="false" customHeight="false" outlineLevel="0" collapsed="false">
      <c r="A12348" s="103"/>
      <c r="B12348" s="104"/>
      <c r="C12348" s="104"/>
      <c r="E12348" s="107" t="str">
        <f aca="false">IF($C12348="","",IFERROR(INDEX(المنيو!$C$2:$C$500,MATCH($C12348,المنيو!$B$2:$B$500,0)),0))</f>
        <v/>
      </c>
      <c r="F12348" s="107" t="str">
        <f aca="false">IF($C12348="","",$D12348*$E12348)</f>
        <v/>
      </c>
      <c r="G12348" s="107" t="str">
        <f aca="false">IF($C12348="","",$D12348*IFERROR(INDEX('تحليل التكلفة والسعر'!$C$2:$C$700,MATCH($C12348,'تحليل التكلفة والسعر'!$B$2:$B$700,0)),0))</f>
        <v/>
      </c>
    </row>
    <row r="12349" customFormat="false" ht="15" hidden="false" customHeight="false" outlineLevel="0" collapsed="false">
      <c r="A12349" s="103"/>
      <c r="B12349" s="104"/>
      <c r="C12349" s="104"/>
      <c r="E12349" s="107" t="str">
        <f aca="false">IF($C12349="","",IFERROR(INDEX(المنيو!$C$2:$C$500,MATCH($C12349,المنيو!$B$2:$B$500,0)),0))</f>
        <v/>
      </c>
      <c r="F12349" s="107" t="str">
        <f aca="false">IF($C12349="","",$D12349*$E12349)</f>
        <v/>
      </c>
      <c r="G12349" s="107" t="str">
        <f aca="false">IF($C12349="","",$D12349*IFERROR(INDEX('تحليل التكلفة والسعر'!$C$2:$C$700,MATCH($C12349,'تحليل التكلفة والسعر'!$B$2:$B$700,0)),0))</f>
        <v/>
      </c>
    </row>
    <row r="12350" customFormat="false" ht="15" hidden="false" customHeight="false" outlineLevel="0" collapsed="false">
      <c r="A12350" s="103"/>
      <c r="B12350" s="104"/>
      <c r="C12350" s="104"/>
      <c r="E12350" s="107" t="str">
        <f aca="false">IF($C12350="","",IFERROR(INDEX(المنيو!$C$2:$C$500,MATCH($C12350,المنيو!$B$2:$B$500,0)),0))</f>
        <v/>
      </c>
      <c r="F12350" s="107" t="str">
        <f aca="false">IF($C12350="","",$D12350*$E12350)</f>
        <v/>
      </c>
      <c r="G12350" s="107" t="str">
        <f aca="false">IF($C12350="","",$D12350*IFERROR(INDEX('تحليل التكلفة والسعر'!$C$2:$C$700,MATCH($C12350,'تحليل التكلفة والسعر'!$B$2:$B$700,0)),0))</f>
        <v/>
      </c>
    </row>
    <row r="12351" customFormat="false" ht="15" hidden="false" customHeight="false" outlineLevel="0" collapsed="false">
      <c r="A12351" s="103"/>
      <c r="B12351" s="104"/>
      <c r="C12351" s="104"/>
      <c r="E12351" s="107" t="str">
        <f aca="false">IF($C12351="","",IFERROR(INDEX(المنيو!$C$2:$C$500,MATCH($C12351,المنيو!$B$2:$B$500,0)),0))</f>
        <v/>
      </c>
      <c r="F12351" s="107" t="str">
        <f aca="false">IF($C12351="","",$D12351*$E12351)</f>
        <v/>
      </c>
      <c r="G12351" s="107" t="str">
        <f aca="false">IF($C12351="","",$D12351*IFERROR(INDEX('تحليل التكلفة والسعر'!$C$2:$C$700,MATCH($C12351,'تحليل التكلفة والسعر'!$B$2:$B$700,0)),0))</f>
        <v/>
      </c>
    </row>
    <row r="12352" customFormat="false" ht="15" hidden="false" customHeight="false" outlineLevel="0" collapsed="false">
      <c r="A12352" s="103"/>
      <c r="B12352" s="104"/>
      <c r="C12352" s="104"/>
      <c r="E12352" s="107" t="str">
        <f aca="false">IF($C12352="","",IFERROR(INDEX(المنيو!$C$2:$C$500,MATCH($C12352,المنيو!$B$2:$B$500,0)),0))</f>
        <v/>
      </c>
      <c r="F12352" s="107" t="str">
        <f aca="false">IF($C12352="","",$D12352*$E12352)</f>
        <v/>
      </c>
      <c r="G12352" s="107" t="str">
        <f aca="false">IF($C12352="","",$D12352*IFERROR(INDEX('تحليل التكلفة والسعر'!$C$2:$C$700,MATCH($C12352,'تحليل التكلفة والسعر'!$B$2:$B$700,0)),0))</f>
        <v/>
      </c>
    </row>
    <row r="12353" customFormat="false" ht="15" hidden="false" customHeight="false" outlineLevel="0" collapsed="false">
      <c r="A12353" s="103"/>
      <c r="B12353" s="104"/>
      <c r="C12353" s="104"/>
      <c r="E12353" s="107" t="str">
        <f aca="false">IF($C12353="","",IFERROR(INDEX(المنيو!$C$2:$C$500,MATCH($C12353,المنيو!$B$2:$B$500,0)),0))</f>
        <v/>
      </c>
      <c r="F12353" s="107" t="str">
        <f aca="false">IF($C12353="","",$D12353*$E12353)</f>
        <v/>
      </c>
      <c r="G12353" s="107" t="str">
        <f aca="false">IF($C12353="","",$D12353*IFERROR(INDEX('تحليل التكلفة والسعر'!$C$2:$C$700,MATCH($C12353,'تحليل التكلفة والسعر'!$B$2:$B$700,0)),0))</f>
        <v/>
      </c>
    </row>
    <row r="12354" customFormat="false" ht="15" hidden="false" customHeight="false" outlineLevel="0" collapsed="false">
      <c r="A12354" s="103"/>
      <c r="B12354" s="104"/>
      <c r="C12354" s="104"/>
      <c r="E12354" s="107" t="str">
        <f aca="false">IF($C12354="","",IFERROR(INDEX(المنيو!$C$2:$C$500,MATCH($C12354,المنيو!$B$2:$B$500,0)),0))</f>
        <v/>
      </c>
      <c r="F12354" s="107" t="str">
        <f aca="false">IF($C12354="","",$D12354*$E12354)</f>
        <v/>
      </c>
      <c r="G12354" s="107" t="str">
        <f aca="false">IF($C12354="","",$D12354*IFERROR(INDEX('تحليل التكلفة والسعر'!$C$2:$C$700,MATCH($C12354,'تحليل التكلفة والسعر'!$B$2:$B$700,0)),0))</f>
        <v/>
      </c>
    </row>
    <row r="12355" customFormat="false" ht="15" hidden="false" customHeight="false" outlineLevel="0" collapsed="false">
      <c r="A12355" s="103"/>
      <c r="B12355" s="104"/>
      <c r="C12355" s="104"/>
      <c r="E12355" s="107" t="str">
        <f aca="false">IF($C12355="","",IFERROR(INDEX(المنيو!$C$2:$C$500,MATCH($C12355,المنيو!$B$2:$B$500,0)),0))</f>
        <v/>
      </c>
      <c r="F12355" s="107" t="str">
        <f aca="false">IF($C12355="","",$D12355*$E12355)</f>
        <v/>
      </c>
      <c r="G12355" s="107" t="str">
        <f aca="false">IF($C12355="","",$D12355*IFERROR(INDEX('تحليل التكلفة والسعر'!$C$2:$C$700,MATCH($C12355,'تحليل التكلفة والسعر'!$B$2:$B$700,0)),0))</f>
        <v/>
      </c>
    </row>
    <row r="12356" customFormat="false" ht="15" hidden="false" customHeight="false" outlineLevel="0" collapsed="false">
      <c r="A12356" s="103"/>
      <c r="B12356" s="104"/>
      <c r="C12356" s="104"/>
      <c r="E12356" s="107" t="str">
        <f aca="false">IF($C12356="","",IFERROR(INDEX(المنيو!$C$2:$C$500,MATCH($C12356,المنيو!$B$2:$B$500,0)),0))</f>
        <v/>
      </c>
      <c r="F12356" s="107" t="str">
        <f aca="false">IF($C12356="","",$D12356*$E12356)</f>
        <v/>
      </c>
      <c r="G12356" s="107" t="str">
        <f aca="false">IF($C12356="","",$D12356*IFERROR(INDEX('تحليل التكلفة والسعر'!$C$2:$C$700,MATCH($C12356,'تحليل التكلفة والسعر'!$B$2:$B$700,0)),0))</f>
        <v/>
      </c>
    </row>
    <row r="12357" customFormat="false" ht="15" hidden="false" customHeight="false" outlineLevel="0" collapsed="false">
      <c r="A12357" s="103"/>
      <c r="B12357" s="104"/>
      <c r="C12357" s="104"/>
      <c r="E12357" s="107" t="str">
        <f aca="false">IF($C12357="","",IFERROR(INDEX(المنيو!$C$2:$C$500,MATCH($C12357,المنيو!$B$2:$B$500,0)),0))</f>
        <v/>
      </c>
      <c r="F12357" s="107" t="str">
        <f aca="false">IF($C12357="","",$D12357*$E12357)</f>
        <v/>
      </c>
      <c r="G12357" s="107" t="str">
        <f aca="false">IF($C12357="","",$D12357*IFERROR(INDEX('تحليل التكلفة والسعر'!$C$2:$C$700,MATCH($C12357,'تحليل التكلفة والسعر'!$B$2:$B$700,0)),0))</f>
        <v/>
      </c>
    </row>
    <row r="12358" customFormat="false" ht="15" hidden="false" customHeight="false" outlineLevel="0" collapsed="false">
      <c r="A12358" s="103"/>
      <c r="B12358" s="104"/>
      <c r="C12358" s="104"/>
      <c r="E12358" s="107" t="str">
        <f aca="false">IF($C12358="","",IFERROR(INDEX(المنيو!$C$2:$C$500,MATCH($C12358,المنيو!$B$2:$B$500,0)),0))</f>
        <v/>
      </c>
      <c r="F12358" s="107" t="str">
        <f aca="false">IF($C12358="","",$D12358*$E12358)</f>
        <v/>
      </c>
      <c r="G12358" s="107" t="str">
        <f aca="false">IF($C12358="","",$D12358*IFERROR(INDEX('تحليل التكلفة والسعر'!$C$2:$C$700,MATCH($C12358,'تحليل التكلفة والسعر'!$B$2:$B$700,0)),0))</f>
        <v/>
      </c>
    </row>
    <row r="12359" customFormat="false" ht="15" hidden="false" customHeight="false" outlineLevel="0" collapsed="false">
      <c r="A12359" s="103"/>
      <c r="B12359" s="104"/>
      <c r="C12359" s="104"/>
      <c r="E12359" s="107" t="str">
        <f aca="false">IF($C12359="","",IFERROR(INDEX(المنيو!$C$2:$C$500,MATCH($C12359,المنيو!$B$2:$B$500,0)),0))</f>
        <v/>
      </c>
      <c r="F12359" s="107" t="str">
        <f aca="false">IF($C12359="","",$D12359*$E12359)</f>
        <v/>
      </c>
      <c r="G12359" s="107" t="str">
        <f aca="false">IF($C12359="","",$D12359*IFERROR(INDEX('تحليل التكلفة والسعر'!$C$2:$C$700,MATCH($C12359,'تحليل التكلفة والسعر'!$B$2:$B$700,0)),0))</f>
        <v/>
      </c>
    </row>
    <row r="12360" customFormat="false" ht="15" hidden="false" customHeight="false" outlineLevel="0" collapsed="false">
      <c r="A12360" s="103"/>
      <c r="B12360" s="104"/>
      <c r="C12360" s="104"/>
      <c r="E12360" s="107" t="str">
        <f aca="false">IF($C12360="","",IFERROR(INDEX(المنيو!$C$2:$C$500,MATCH($C12360,المنيو!$B$2:$B$500,0)),0))</f>
        <v/>
      </c>
      <c r="F12360" s="107" t="str">
        <f aca="false">IF($C12360="","",$D12360*$E12360)</f>
        <v/>
      </c>
      <c r="G12360" s="107" t="str">
        <f aca="false">IF($C12360="","",$D12360*IFERROR(INDEX('تحليل التكلفة والسعر'!$C$2:$C$700,MATCH($C12360,'تحليل التكلفة والسعر'!$B$2:$B$700,0)),0))</f>
        <v/>
      </c>
    </row>
    <row r="12361" customFormat="false" ht="15" hidden="false" customHeight="false" outlineLevel="0" collapsed="false">
      <c r="A12361" s="103"/>
      <c r="B12361" s="104"/>
      <c r="C12361" s="104"/>
      <c r="E12361" s="107" t="str">
        <f aca="false">IF($C12361="","",IFERROR(INDEX(المنيو!$C$2:$C$500,MATCH($C12361,المنيو!$B$2:$B$500,0)),0))</f>
        <v/>
      </c>
      <c r="F12361" s="107" t="str">
        <f aca="false">IF($C12361="","",$D12361*$E12361)</f>
        <v/>
      </c>
      <c r="G12361" s="107" t="str">
        <f aca="false">IF($C12361="","",$D12361*IFERROR(INDEX('تحليل التكلفة والسعر'!$C$2:$C$700,MATCH($C12361,'تحليل التكلفة والسعر'!$B$2:$B$700,0)),0))</f>
        <v/>
      </c>
    </row>
    <row r="12362" customFormat="false" ht="15" hidden="false" customHeight="false" outlineLevel="0" collapsed="false">
      <c r="A12362" s="103"/>
      <c r="B12362" s="104"/>
      <c r="C12362" s="104"/>
      <c r="E12362" s="107" t="str">
        <f aca="false">IF($C12362="","",IFERROR(INDEX(المنيو!$C$2:$C$500,MATCH($C12362,المنيو!$B$2:$B$500,0)),0))</f>
        <v/>
      </c>
      <c r="F12362" s="107" t="str">
        <f aca="false">IF($C12362="","",$D12362*$E12362)</f>
        <v/>
      </c>
      <c r="G12362" s="107" t="str">
        <f aca="false">IF($C12362="","",$D12362*IFERROR(INDEX('تحليل التكلفة والسعر'!$C$2:$C$700,MATCH($C12362,'تحليل التكلفة والسعر'!$B$2:$B$700,0)),0))</f>
        <v/>
      </c>
    </row>
    <row r="12363" customFormat="false" ht="15" hidden="false" customHeight="false" outlineLevel="0" collapsed="false">
      <c r="A12363" s="103"/>
      <c r="B12363" s="104"/>
      <c r="C12363" s="104"/>
      <c r="E12363" s="107" t="str">
        <f aca="false">IF($C12363="","",IFERROR(INDEX(المنيو!$C$2:$C$500,MATCH($C12363,المنيو!$B$2:$B$500,0)),0))</f>
        <v/>
      </c>
      <c r="F12363" s="107" t="str">
        <f aca="false">IF($C12363="","",$D12363*$E12363)</f>
        <v/>
      </c>
      <c r="G12363" s="107" t="str">
        <f aca="false">IF($C12363="","",$D12363*IFERROR(INDEX('تحليل التكلفة والسعر'!$C$2:$C$700,MATCH($C12363,'تحليل التكلفة والسعر'!$B$2:$B$700,0)),0))</f>
        <v/>
      </c>
    </row>
    <row r="12364" customFormat="false" ht="15" hidden="false" customHeight="false" outlineLevel="0" collapsed="false">
      <c r="A12364" s="103"/>
      <c r="B12364" s="104"/>
      <c r="C12364" s="104"/>
      <c r="E12364" s="107" t="str">
        <f aca="false">IF($C12364="","",IFERROR(INDEX(المنيو!$C$2:$C$500,MATCH($C12364,المنيو!$B$2:$B$500,0)),0))</f>
        <v/>
      </c>
      <c r="F12364" s="107" t="str">
        <f aca="false">IF($C12364="","",$D12364*$E12364)</f>
        <v/>
      </c>
      <c r="G12364" s="107" t="str">
        <f aca="false">IF($C12364="","",$D12364*IFERROR(INDEX('تحليل التكلفة والسعر'!$C$2:$C$700,MATCH($C12364,'تحليل التكلفة والسعر'!$B$2:$B$700,0)),0))</f>
        <v/>
      </c>
    </row>
    <row r="12365" customFormat="false" ht="15" hidden="false" customHeight="false" outlineLevel="0" collapsed="false">
      <c r="A12365" s="103"/>
      <c r="B12365" s="104"/>
      <c r="C12365" s="104"/>
      <c r="E12365" s="107" t="str">
        <f aca="false">IF($C12365="","",IFERROR(INDEX(المنيو!$C$2:$C$500,MATCH($C12365,المنيو!$B$2:$B$500,0)),0))</f>
        <v/>
      </c>
      <c r="F12365" s="107" t="str">
        <f aca="false">IF($C12365="","",$D12365*$E12365)</f>
        <v/>
      </c>
      <c r="G12365" s="107" t="str">
        <f aca="false">IF($C12365="","",$D12365*IFERROR(INDEX('تحليل التكلفة والسعر'!$C$2:$C$700,MATCH($C12365,'تحليل التكلفة والسعر'!$B$2:$B$700,0)),0))</f>
        <v/>
      </c>
    </row>
    <row r="12366" customFormat="false" ht="15" hidden="false" customHeight="false" outlineLevel="0" collapsed="false">
      <c r="A12366" s="103"/>
      <c r="B12366" s="104"/>
      <c r="C12366" s="104"/>
      <c r="E12366" s="107" t="str">
        <f aca="false">IF($C12366="","",IFERROR(INDEX(المنيو!$C$2:$C$500,MATCH($C12366,المنيو!$B$2:$B$500,0)),0))</f>
        <v/>
      </c>
      <c r="F12366" s="107" t="str">
        <f aca="false">IF($C12366="","",$D12366*$E12366)</f>
        <v/>
      </c>
      <c r="G12366" s="107" t="str">
        <f aca="false">IF($C12366="","",$D12366*IFERROR(INDEX('تحليل التكلفة والسعر'!$C$2:$C$700,MATCH($C12366,'تحليل التكلفة والسعر'!$B$2:$B$700,0)),0))</f>
        <v/>
      </c>
    </row>
    <row r="12367" customFormat="false" ht="15" hidden="false" customHeight="false" outlineLevel="0" collapsed="false">
      <c r="A12367" s="103"/>
      <c r="B12367" s="104"/>
      <c r="C12367" s="104"/>
      <c r="E12367" s="107" t="str">
        <f aca="false">IF($C12367="","",IFERROR(INDEX(المنيو!$C$2:$C$500,MATCH($C12367,المنيو!$B$2:$B$500,0)),0))</f>
        <v/>
      </c>
      <c r="F12367" s="107" t="str">
        <f aca="false">IF($C12367="","",$D12367*$E12367)</f>
        <v/>
      </c>
      <c r="G12367" s="107" t="str">
        <f aca="false">IF($C12367="","",$D12367*IFERROR(INDEX('تحليل التكلفة والسعر'!$C$2:$C$700,MATCH($C12367,'تحليل التكلفة والسعر'!$B$2:$B$700,0)),0))</f>
        <v/>
      </c>
    </row>
    <row r="12368" customFormat="false" ht="15" hidden="false" customHeight="false" outlineLevel="0" collapsed="false">
      <c r="A12368" s="103"/>
      <c r="B12368" s="104"/>
      <c r="C12368" s="104"/>
      <c r="E12368" s="107" t="str">
        <f aca="false">IF($C12368="","",IFERROR(INDEX(المنيو!$C$2:$C$500,MATCH($C12368,المنيو!$B$2:$B$500,0)),0))</f>
        <v/>
      </c>
      <c r="F12368" s="107" t="str">
        <f aca="false">IF($C12368="","",$D12368*$E12368)</f>
        <v/>
      </c>
      <c r="G12368" s="107" t="str">
        <f aca="false">IF($C12368="","",$D12368*IFERROR(INDEX('تحليل التكلفة والسعر'!$C$2:$C$700,MATCH($C12368,'تحليل التكلفة والسعر'!$B$2:$B$700,0)),0))</f>
        <v/>
      </c>
    </row>
    <row r="12369" customFormat="false" ht="15" hidden="false" customHeight="false" outlineLevel="0" collapsed="false">
      <c r="A12369" s="103"/>
      <c r="B12369" s="104"/>
      <c r="C12369" s="104"/>
      <c r="E12369" s="107" t="str">
        <f aca="false">IF($C12369="","",IFERROR(INDEX(المنيو!$C$2:$C$500,MATCH($C12369,المنيو!$B$2:$B$500,0)),0))</f>
        <v/>
      </c>
      <c r="F12369" s="107" t="str">
        <f aca="false">IF($C12369="","",$D12369*$E12369)</f>
        <v/>
      </c>
      <c r="G12369" s="107" t="str">
        <f aca="false">IF($C12369="","",$D12369*IFERROR(INDEX('تحليل التكلفة والسعر'!$C$2:$C$700,MATCH($C12369,'تحليل التكلفة والسعر'!$B$2:$B$700,0)),0))</f>
        <v/>
      </c>
    </row>
    <row r="12370" customFormat="false" ht="15" hidden="false" customHeight="false" outlineLevel="0" collapsed="false">
      <c r="A12370" s="103"/>
      <c r="B12370" s="104"/>
      <c r="C12370" s="104"/>
      <c r="E12370" s="107" t="str">
        <f aca="false">IF($C12370="","",IFERROR(INDEX(المنيو!$C$2:$C$500,MATCH($C12370,المنيو!$B$2:$B$500,0)),0))</f>
        <v/>
      </c>
      <c r="F12370" s="107" t="str">
        <f aca="false">IF($C12370="","",$D12370*$E12370)</f>
        <v/>
      </c>
      <c r="G12370" s="107" t="str">
        <f aca="false">IF($C12370="","",$D12370*IFERROR(INDEX('تحليل التكلفة والسعر'!$C$2:$C$700,MATCH($C12370,'تحليل التكلفة والسعر'!$B$2:$B$700,0)),0))</f>
        <v/>
      </c>
    </row>
    <row r="12371" customFormat="false" ht="15" hidden="false" customHeight="false" outlineLevel="0" collapsed="false">
      <c r="A12371" s="103"/>
      <c r="B12371" s="104"/>
      <c r="C12371" s="104"/>
      <c r="E12371" s="107" t="str">
        <f aca="false">IF($C12371="","",IFERROR(INDEX(المنيو!$C$2:$C$500,MATCH($C12371,المنيو!$B$2:$B$500,0)),0))</f>
        <v/>
      </c>
      <c r="F12371" s="107" t="str">
        <f aca="false">IF($C12371="","",$D12371*$E12371)</f>
        <v/>
      </c>
      <c r="G12371" s="107" t="str">
        <f aca="false">IF($C12371="","",$D12371*IFERROR(INDEX('تحليل التكلفة والسعر'!$C$2:$C$700,MATCH($C12371,'تحليل التكلفة والسعر'!$B$2:$B$700,0)),0))</f>
        <v/>
      </c>
    </row>
    <row r="12372" customFormat="false" ht="15" hidden="false" customHeight="false" outlineLevel="0" collapsed="false">
      <c r="A12372" s="103"/>
      <c r="B12372" s="104"/>
      <c r="C12372" s="104"/>
      <c r="E12372" s="107" t="str">
        <f aca="false">IF($C12372="","",IFERROR(INDEX(المنيو!$C$2:$C$500,MATCH($C12372,المنيو!$B$2:$B$500,0)),0))</f>
        <v/>
      </c>
      <c r="F12372" s="107" t="str">
        <f aca="false">IF($C12372="","",$D12372*$E12372)</f>
        <v/>
      </c>
      <c r="G12372" s="107" t="str">
        <f aca="false">IF($C12372="","",$D12372*IFERROR(INDEX('تحليل التكلفة والسعر'!$C$2:$C$700,MATCH($C12372,'تحليل التكلفة والسعر'!$B$2:$B$700,0)),0))</f>
        <v/>
      </c>
    </row>
    <row r="12373" customFormat="false" ht="15" hidden="false" customHeight="false" outlineLevel="0" collapsed="false">
      <c r="A12373" s="103"/>
      <c r="B12373" s="104"/>
      <c r="C12373" s="104"/>
      <c r="E12373" s="107" t="str">
        <f aca="false">IF($C12373="","",IFERROR(INDEX(المنيو!$C$2:$C$500,MATCH($C12373,المنيو!$B$2:$B$500,0)),0))</f>
        <v/>
      </c>
      <c r="F12373" s="107" t="str">
        <f aca="false">IF($C12373="","",$D12373*$E12373)</f>
        <v/>
      </c>
      <c r="G12373" s="107" t="str">
        <f aca="false">IF($C12373="","",$D12373*IFERROR(INDEX('تحليل التكلفة والسعر'!$C$2:$C$700,MATCH($C12373,'تحليل التكلفة والسعر'!$B$2:$B$700,0)),0))</f>
        <v/>
      </c>
    </row>
    <row r="12374" customFormat="false" ht="15" hidden="false" customHeight="false" outlineLevel="0" collapsed="false">
      <c r="A12374" s="103"/>
      <c r="B12374" s="104"/>
      <c r="C12374" s="104"/>
      <c r="E12374" s="107" t="str">
        <f aca="false">IF($C12374="","",IFERROR(INDEX(المنيو!$C$2:$C$500,MATCH($C12374,المنيو!$B$2:$B$500,0)),0))</f>
        <v/>
      </c>
      <c r="F12374" s="107" t="str">
        <f aca="false">IF($C12374="","",$D12374*$E12374)</f>
        <v/>
      </c>
      <c r="G12374" s="107" t="str">
        <f aca="false">IF($C12374="","",$D12374*IFERROR(INDEX('تحليل التكلفة والسعر'!$C$2:$C$700,MATCH($C12374,'تحليل التكلفة والسعر'!$B$2:$B$700,0)),0))</f>
        <v/>
      </c>
    </row>
    <row r="12375" customFormat="false" ht="15" hidden="false" customHeight="false" outlineLevel="0" collapsed="false">
      <c r="A12375" s="103"/>
      <c r="B12375" s="104"/>
      <c r="C12375" s="104"/>
      <c r="E12375" s="107" t="str">
        <f aca="false">IF($C12375="","",IFERROR(INDEX(المنيو!$C$2:$C$500,MATCH($C12375,المنيو!$B$2:$B$500,0)),0))</f>
        <v/>
      </c>
      <c r="F12375" s="107" t="str">
        <f aca="false">IF($C12375="","",$D12375*$E12375)</f>
        <v/>
      </c>
      <c r="G12375" s="107" t="str">
        <f aca="false">IF($C12375="","",$D12375*IFERROR(INDEX('تحليل التكلفة والسعر'!$C$2:$C$700,MATCH($C12375,'تحليل التكلفة والسعر'!$B$2:$B$700,0)),0))</f>
        <v/>
      </c>
    </row>
    <row r="12376" customFormat="false" ht="15" hidden="false" customHeight="false" outlineLevel="0" collapsed="false">
      <c r="A12376" s="103"/>
      <c r="B12376" s="104"/>
      <c r="C12376" s="104"/>
      <c r="E12376" s="107" t="str">
        <f aca="false">IF($C12376="","",IFERROR(INDEX(المنيو!$C$2:$C$500,MATCH($C12376,المنيو!$B$2:$B$500,0)),0))</f>
        <v/>
      </c>
      <c r="F12376" s="107" t="str">
        <f aca="false">IF($C12376="","",$D12376*$E12376)</f>
        <v/>
      </c>
      <c r="G12376" s="107" t="str">
        <f aca="false">IF($C12376="","",$D12376*IFERROR(INDEX('تحليل التكلفة والسعر'!$C$2:$C$700,MATCH($C12376,'تحليل التكلفة والسعر'!$B$2:$B$700,0)),0))</f>
        <v/>
      </c>
    </row>
    <row r="12377" customFormat="false" ht="15" hidden="false" customHeight="false" outlineLevel="0" collapsed="false">
      <c r="A12377" s="103"/>
      <c r="B12377" s="104"/>
      <c r="C12377" s="104"/>
      <c r="E12377" s="107" t="str">
        <f aca="false">IF($C12377="","",IFERROR(INDEX(المنيو!$C$2:$C$500,MATCH($C12377,المنيو!$B$2:$B$500,0)),0))</f>
        <v/>
      </c>
      <c r="F12377" s="107" t="str">
        <f aca="false">IF($C12377="","",$D12377*$E12377)</f>
        <v/>
      </c>
      <c r="G12377" s="107" t="str">
        <f aca="false">IF($C12377="","",$D12377*IFERROR(INDEX('تحليل التكلفة والسعر'!$C$2:$C$700,MATCH($C12377,'تحليل التكلفة والسعر'!$B$2:$B$700,0)),0))</f>
        <v/>
      </c>
    </row>
    <row r="12378" customFormat="false" ht="15" hidden="false" customHeight="false" outlineLevel="0" collapsed="false">
      <c r="A12378" s="103"/>
      <c r="B12378" s="104"/>
      <c r="C12378" s="104"/>
      <c r="E12378" s="107" t="str">
        <f aca="false">IF($C12378="","",IFERROR(INDEX(المنيو!$C$2:$C$500,MATCH($C12378,المنيو!$B$2:$B$500,0)),0))</f>
        <v/>
      </c>
      <c r="F12378" s="107" t="str">
        <f aca="false">IF($C12378="","",$D12378*$E12378)</f>
        <v/>
      </c>
      <c r="G12378" s="107" t="str">
        <f aca="false">IF($C12378="","",$D12378*IFERROR(INDEX('تحليل التكلفة والسعر'!$C$2:$C$700,MATCH($C12378,'تحليل التكلفة والسعر'!$B$2:$B$700,0)),0))</f>
        <v/>
      </c>
    </row>
    <row r="12379" customFormat="false" ht="15" hidden="false" customHeight="false" outlineLevel="0" collapsed="false">
      <c r="A12379" s="103"/>
      <c r="B12379" s="104"/>
      <c r="C12379" s="104"/>
      <c r="E12379" s="107" t="str">
        <f aca="false">IF($C12379="","",IFERROR(INDEX(المنيو!$C$2:$C$500,MATCH($C12379,المنيو!$B$2:$B$500,0)),0))</f>
        <v/>
      </c>
      <c r="F12379" s="107" t="str">
        <f aca="false">IF($C12379="","",$D12379*$E12379)</f>
        <v/>
      </c>
      <c r="G12379" s="107" t="str">
        <f aca="false">IF($C12379="","",$D12379*IFERROR(INDEX('تحليل التكلفة والسعر'!$C$2:$C$700,MATCH($C12379,'تحليل التكلفة والسعر'!$B$2:$B$700,0)),0))</f>
        <v/>
      </c>
    </row>
    <row r="12380" customFormat="false" ht="15" hidden="false" customHeight="false" outlineLevel="0" collapsed="false">
      <c r="A12380" s="103"/>
      <c r="B12380" s="104"/>
      <c r="C12380" s="104"/>
      <c r="E12380" s="107" t="str">
        <f aca="false">IF($C12380="","",IFERROR(INDEX(المنيو!$C$2:$C$500,MATCH($C12380,المنيو!$B$2:$B$500,0)),0))</f>
        <v/>
      </c>
      <c r="F12380" s="107" t="str">
        <f aca="false">IF($C12380="","",$D12380*$E12380)</f>
        <v/>
      </c>
      <c r="G12380" s="107" t="str">
        <f aca="false">IF($C12380="","",$D12380*IFERROR(INDEX('تحليل التكلفة والسعر'!$C$2:$C$700,MATCH($C12380,'تحليل التكلفة والسعر'!$B$2:$B$700,0)),0))</f>
        <v/>
      </c>
    </row>
    <row r="12381" customFormat="false" ht="15" hidden="false" customHeight="false" outlineLevel="0" collapsed="false">
      <c r="A12381" s="103"/>
      <c r="B12381" s="104"/>
      <c r="C12381" s="104"/>
      <c r="E12381" s="107" t="str">
        <f aca="false">IF($C12381="","",IFERROR(INDEX(المنيو!$C$2:$C$500,MATCH($C12381,المنيو!$B$2:$B$500,0)),0))</f>
        <v/>
      </c>
      <c r="F12381" s="107" t="str">
        <f aca="false">IF($C12381="","",$D12381*$E12381)</f>
        <v/>
      </c>
      <c r="G12381" s="107" t="str">
        <f aca="false">IF($C12381="","",$D12381*IFERROR(INDEX('تحليل التكلفة والسعر'!$C$2:$C$700,MATCH($C12381,'تحليل التكلفة والسعر'!$B$2:$B$700,0)),0))</f>
        <v/>
      </c>
    </row>
    <row r="12382" customFormat="false" ht="15" hidden="false" customHeight="false" outlineLevel="0" collapsed="false">
      <c r="A12382" s="103"/>
      <c r="B12382" s="104"/>
      <c r="C12382" s="104"/>
      <c r="E12382" s="107" t="str">
        <f aca="false">IF($C12382="","",IFERROR(INDEX(المنيو!$C$2:$C$500,MATCH($C12382,المنيو!$B$2:$B$500,0)),0))</f>
        <v/>
      </c>
      <c r="F12382" s="107" t="str">
        <f aca="false">IF($C12382="","",$D12382*$E12382)</f>
        <v/>
      </c>
      <c r="G12382" s="107" t="str">
        <f aca="false">IF($C12382="","",$D12382*IFERROR(INDEX('تحليل التكلفة والسعر'!$C$2:$C$700,MATCH($C12382,'تحليل التكلفة والسعر'!$B$2:$B$700,0)),0))</f>
        <v/>
      </c>
    </row>
    <row r="12383" customFormat="false" ht="15" hidden="false" customHeight="false" outlineLevel="0" collapsed="false">
      <c r="A12383" s="103"/>
      <c r="B12383" s="104"/>
      <c r="C12383" s="104"/>
      <c r="E12383" s="107" t="str">
        <f aca="false">IF($C12383="","",IFERROR(INDEX(المنيو!$C$2:$C$500,MATCH($C12383,المنيو!$B$2:$B$500,0)),0))</f>
        <v/>
      </c>
      <c r="F12383" s="107" t="str">
        <f aca="false">IF($C12383="","",$D12383*$E12383)</f>
        <v/>
      </c>
      <c r="G12383" s="107" t="str">
        <f aca="false">IF($C12383="","",$D12383*IFERROR(INDEX('تحليل التكلفة والسعر'!$C$2:$C$700,MATCH($C12383,'تحليل التكلفة والسعر'!$B$2:$B$700,0)),0))</f>
        <v/>
      </c>
    </row>
    <row r="12384" customFormat="false" ht="15" hidden="false" customHeight="false" outlineLevel="0" collapsed="false">
      <c r="A12384" s="103"/>
      <c r="B12384" s="104"/>
      <c r="C12384" s="104"/>
      <c r="E12384" s="107" t="str">
        <f aca="false">IF($C12384="","",IFERROR(INDEX(المنيو!$C$2:$C$500,MATCH($C12384,المنيو!$B$2:$B$500,0)),0))</f>
        <v/>
      </c>
      <c r="F12384" s="107" t="str">
        <f aca="false">IF($C12384="","",$D12384*$E12384)</f>
        <v/>
      </c>
      <c r="G12384" s="107" t="str">
        <f aca="false">IF($C12384="","",$D12384*IFERROR(INDEX('تحليل التكلفة والسعر'!$C$2:$C$700,MATCH($C12384,'تحليل التكلفة والسعر'!$B$2:$B$700,0)),0))</f>
        <v/>
      </c>
    </row>
    <row r="12385" customFormat="false" ht="15" hidden="false" customHeight="false" outlineLevel="0" collapsed="false">
      <c r="A12385" s="103"/>
      <c r="B12385" s="104"/>
      <c r="C12385" s="104"/>
      <c r="E12385" s="107" t="str">
        <f aca="false">IF($C12385="","",IFERROR(INDEX(المنيو!$C$2:$C$500,MATCH($C12385,المنيو!$B$2:$B$500,0)),0))</f>
        <v/>
      </c>
      <c r="F12385" s="107" t="str">
        <f aca="false">IF($C12385="","",$D12385*$E12385)</f>
        <v/>
      </c>
      <c r="G12385" s="107" t="str">
        <f aca="false">IF($C12385="","",$D12385*IFERROR(INDEX('تحليل التكلفة والسعر'!$C$2:$C$700,MATCH($C12385,'تحليل التكلفة والسعر'!$B$2:$B$700,0)),0))</f>
        <v/>
      </c>
    </row>
    <row r="12386" customFormat="false" ht="15" hidden="false" customHeight="false" outlineLevel="0" collapsed="false">
      <c r="A12386" s="103"/>
      <c r="B12386" s="104"/>
      <c r="C12386" s="104"/>
      <c r="E12386" s="107" t="str">
        <f aca="false">IF($C12386="","",IFERROR(INDEX(المنيو!$C$2:$C$500,MATCH($C12386,المنيو!$B$2:$B$500,0)),0))</f>
        <v/>
      </c>
      <c r="F12386" s="107" t="str">
        <f aca="false">IF($C12386="","",$D12386*$E12386)</f>
        <v/>
      </c>
      <c r="G12386" s="107" t="str">
        <f aca="false">IF($C12386="","",$D12386*IFERROR(INDEX('تحليل التكلفة والسعر'!$C$2:$C$700,MATCH($C12386,'تحليل التكلفة والسعر'!$B$2:$B$700,0)),0))</f>
        <v/>
      </c>
    </row>
    <row r="12387" customFormat="false" ht="15" hidden="false" customHeight="false" outlineLevel="0" collapsed="false">
      <c r="A12387" s="103"/>
      <c r="B12387" s="104"/>
      <c r="C12387" s="104"/>
      <c r="E12387" s="107" t="str">
        <f aca="false">IF($C12387="","",IFERROR(INDEX(المنيو!$C$2:$C$500,MATCH($C12387,المنيو!$B$2:$B$500,0)),0))</f>
        <v/>
      </c>
      <c r="F12387" s="107" t="str">
        <f aca="false">IF($C12387="","",$D12387*$E12387)</f>
        <v/>
      </c>
      <c r="G12387" s="107" t="str">
        <f aca="false">IF($C12387="","",$D12387*IFERROR(INDEX('تحليل التكلفة والسعر'!$C$2:$C$700,MATCH($C12387,'تحليل التكلفة والسعر'!$B$2:$B$700,0)),0))</f>
        <v/>
      </c>
    </row>
    <row r="12388" customFormat="false" ht="15" hidden="false" customHeight="false" outlineLevel="0" collapsed="false">
      <c r="A12388" s="103"/>
      <c r="B12388" s="104"/>
      <c r="C12388" s="104"/>
      <c r="E12388" s="107" t="str">
        <f aca="false">IF($C12388="","",IFERROR(INDEX(المنيو!$C$2:$C$500,MATCH($C12388,المنيو!$B$2:$B$500,0)),0))</f>
        <v/>
      </c>
      <c r="F12388" s="107" t="str">
        <f aca="false">IF($C12388="","",$D12388*$E12388)</f>
        <v/>
      </c>
      <c r="G12388" s="107" t="str">
        <f aca="false">IF($C12388="","",$D12388*IFERROR(INDEX('تحليل التكلفة والسعر'!$C$2:$C$700,MATCH($C12388,'تحليل التكلفة والسعر'!$B$2:$B$700,0)),0))</f>
        <v/>
      </c>
    </row>
    <row r="12389" customFormat="false" ht="15" hidden="false" customHeight="false" outlineLevel="0" collapsed="false">
      <c r="A12389" s="103"/>
      <c r="B12389" s="104"/>
      <c r="C12389" s="104"/>
      <c r="E12389" s="107" t="str">
        <f aca="false">IF($C12389="","",IFERROR(INDEX(المنيو!$C$2:$C$500,MATCH($C12389,المنيو!$B$2:$B$500,0)),0))</f>
        <v/>
      </c>
      <c r="F12389" s="107" t="str">
        <f aca="false">IF($C12389="","",$D12389*$E12389)</f>
        <v/>
      </c>
      <c r="G12389" s="107" t="str">
        <f aca="false">IF($C12389="","",$D12389*IFERROR(INDEX('تحليل التكلفة والسعر'!$C$2:$C$700,MATCH($C12389,'تحليل التكلفة والسعر'!$B$2:$B$700,0)),0))</f>
        <v/>
      </c>
    </row>
    <row r="12390" customFormat="false" ht="15" hidden="false" customHeight="false" outlineLevel="0" collapsed="false">
      <c r="A12390" s="103"/>
      <c r="B12390" s="104"/>
      <c r="C12390" s="104"/>
      <c r="E12390" s="107" t="str">
        <f aca="false">IF($C12390="","",IFERROR(INDEX(المنيو!$C$2:$C$500,MATCH($C12390,المنيو!$B$2:$B$500,0)),0))</f>
        <v/>
      </c>
      <c r="F12390" s="107" t="str">
        <f aca="false">IF($C12390="","",$D12390*$E12390)</f>
        <v/>
      </c>
      <c r="G12390" s="107" t="str">
        <f aca="false">IF($C12390="","",$D12390*IFERROR(INDEX('تحليل التكلفة والسعر'!$C$2:$C$700,MATCH($C12390,'تحليل التكلفة والسعر'!$B$2:$B$700,0)),0))</f>
        <v/>
      </c>
    </row>
    <row r="12391" customFormat="false" ht="15" hidden="false" customHeight="false" outlineLevel="0" collapsed="false">
      <c r="A12391" s="103"/>
      <c r="B12391" s="104"/>
      <c r="C12391" s="104"/>
      <c r="E12391" s="107" t="str">
        <f aca="false">IF($C12391="","",IFERROR(INDEX(المنيو!$C$2:$C$500,MATCH($C12391,المنيو!$B$2:$B$500,0)),0))</f>
        <v/>
      </c>
      <c r="F12391" s="107" t="str">
        <f aca="false">IF($C12391="","",$D12391*$E12391)</f>
        <v/>
      </c>
      <c r="G12391" s="107" t="str">
        <f aca="false">IF($C12391="","",$D12391*IFERROR(INDEX('تحليل التكلفة والسعر'!$C$2:$C$700,MATCH($C12391,'تحليل التكلفة والسعر'!$B$2:$B$700,0)),0))</f>
        <v/>
      </c>
    </row>
    <row r="12392" customFormat="false" ht="15" hidden="false" customHeight="false" outlineLevel="0" collapsed="false">
      <c r="A12392" s="103"/>
      <c r="B12392" s="104"/>
      <c r="C12392" s="104"/>
      <c r="E12392" s="107" t="str">
        <f aca="false">IF($C12392="","",IFERROR(INDEX(المنيو!$C$2:$C$500,MATCH($C12392,المنيو!$B$2:$B$500,0)),0))</f>
        <v/>
      </c>
      <c r="F12392" s="107" t="str">
        <f aca="false">IF($C12392="","",$D12392*$E12392)</f>
        <v/>
      </c>
      <c r="G12392" s="107" t="str">
        <f aca="false">IF($C12392="","",$D12392*IFERROR(INDEX('تحليل التكلفة والسعر'!$C$2:$C$700,MATCH($C12392,'تحليل التكلفة والسعر'!$B$2:$B$700,0)),0))</f>
        <v/>
      </c>
    </row>
    <row r="12393" customFormat="false" ht="15" hidden="false" customHeight="false" outlineLevel="0" collapsed="false">
      <c r="A12393" s="103"/>
      <c r="B12393" s="104"/>
      <c r="C12393" s="104"/>
      <c r="E12393" s="107" t="str">
        <f aca="false">IF($C12393="","",IFERROR(INDEX(المنيو!$C$2:$C$500,MATCH($C12393,المنيو!$B$2:$B$500,0)),0))</f>
        <v/>
      </c>
      <c r="F12393" s="107" t="str">
        <f aca="false">IF($C12393="","",$D12393*$E12393)</f>
        <v/>
      </c>
      <c r="G12393" s="107" t="str">
        <f aca="false">IF($C12393="","",$D12393*IFERROR(INDEX('تحليل التكلفة والسعر'!$C$2:$C$700,MATCH($C12393,'تحليل التكلفة والسعر'!$B$2:$B$700,0)),0))</f>
        <v/>
      </c>
    </row>
    <row r="12394" customFormat="false" ht="15" hidden="false" customHeight="false" outlineLevel="0" collapsed="false">
      <c r="A12394" s="103"/>
      <c r="B12394" s="104"/>
      <c r="C12394" s="104"/>
      <c r="E12394" s="107" t="str">
        <f aca="false">IF($C12394="","",IFERROR(INDEX(المنيو!$C$2:$C$500,MATCH($C12394,المنيو!$B$2:$B$500,0)),0))</f>
        <v/>
      </c>
      <c r="F12394" s="107" t="str">
        <f aca="false">IF($C12394="","",$D12394*$E12394)</f>
        <v/>
      </c>
      <c r="G12394" s="107" t="str">
        <f aca="false">IF($C12394="","",$D12394*IFERROR(INDEX('تحليل التكلفة والسعر'!$C$2:$C$700,MATCH($C12394,'تحليل التكلفة والسعر'!$B$2:$B$700,0)),0))</f>
        <v/>
      </c>
    </row>
    <row r="12395" customFormat="false" ht="15" hidden="false" customHeight="false" outlineLevel="0" collapsed="false">
      <c r="A12395" s="103"/>
      <c r="B12395" s="104"/>
      <c r="C12395" s="104"/>
      <c r="E12395" s="107" t="str">
        <f aca="false">IF($C12395="","",IFERROR(INDEX(المنيو!$C$2:$C$500,MATCH($C12395,المنيو!$B$2:$B$500,0)),0))</f>
        <v/>
      </c>
      <c r="F12395" s="107" t="str">
        <f aca="false">IF($C12395="","",$D12395*$E12395)</f>
        <v/>
      </c>
      <c r="G12395" s="107" t="str">
        <f aca="false">IF($C12395="","",$D12395*IFERROR(INDEX('تحليل التكلفة والسعر'!$C$2:$C$700,MATCH($C12395,'تحليل التكلفة والسعر'!$B$2:$B$700,0)),0))</f>
        <v/>
      </c>
    </row>
    <row r="12396" customFormat="false" ht="15" hidden="false" customHeight="false" outlineLevel="0" collapsed="false">
      <c r="A12396" s="103"/>
      <c r="B12396" s="104"/>
      <c r="C12396" s="104"/>
      <c r="E12396" s="107" t="str">
        <f aca="false">IF($C12396="","",IFERROR(INDEX(المنيو!$C$2:$C$500,MATCH($C12396,المنيو!$B$2:$B$500,0)),0))</f>
        <v/>
      </c>
      <c r="F12396" s="107" t="str">
        <f aca="false">IF($C12396="","",$D12396*$E12396)</f>
        <v/>
      </c>
      <c r="G12396" s="107" t="str">
        <f aca="false">IF($C12396="","",$D12396*IFERROR(INDEX('تحليل التكلفة والسعر'!$C$2:$C$700,MATCH($C12396,'تحليل التكلفة والسعر'!$B$2:$B$700,0)),0))</f>
        <v/>
      </c>
    </row>
    <row r="12397" customFormat="false" ht="15" hidden="false" customHeight="false" outlineLevel="0" collapsed="false">
      <c r="A12397" s="103"/>
      <c r="B12397" s="104"/>
      <c r="C12397" s="104"/>
      <c r="E12397" s="107" t="str">
        <f aca="false">IF($C12397="","",IFERROR(INDEX(المنيو!$C$2:$C$500,MATCH($C12397,المنيو!$B$2:$B$500,0)),0))</f>
        <v/>
      </c>
      <c r="F12397" s="107" t="str">
        <f aca="false">IF($C12397="","",$D12397*$E12397)</f>
        <v/>
      </c>
      <c r="G12397" s="107" t="str">
        <f aca="false">IF($C12397="","",$D12397*IFERROR(INDEX('تحليل التكلفة والسعر'!$C$2:$C$700,MATCH($C12397,'تحليل التكلفة والسعر'!$B$2:$B$700,0)),0))</f>
        <v/>
      </c>
    </row>
    <row r="12398" customFormat="false" ht="15" hidden="false" customHeight="false" outlineLevel="0" collapsed="false">
      <c r="A12398" s="103"/>
      <c r="B12398" s="104"/>
      <c r="C12398" s="104"/>
      <c r="E12398" s="107" t="str">
        <f aca="false">IF($C12398="","",IFERROR(INDEX(المنيو!$C$2:$C$500,MATCH($C12398,المنيو!$B$2:$B$500,0)),0))</f>
        <v/>
      </c>
      <c r="F12398" s="107" t="str">
        <f aca="false">IF($C12398="","",$D12398*$E12398)</f>
        <v/>
      </c>
      <c r="G12398" s="107" t="str">
        <f aca="false">IF($C12398="","",$D12398*IFERROR(INDEX('تحليل التكلفة والسعر'!$C$2:$C$700,MATCH($C12398,'تحليل التكلفة والسعر'!$B$2:$B$700,0)),0))</f>
        <v/>
      </c>
    </row>
    <row r="12399" customFormat="false" ht="15" hidden="false" customHeight="false" outlineLevel="0" collapsed="false">
      <c r="A12399" s="103"/>
      <c r="B12399" s="104"/>
      <c r="C12399" s="104"/>
      <c r="E12399" s="107" t="str">
        <f aca="false">IF($C12399="","",IFERROR(INDEX(المنيو!$C$2:$C$500,MATCH($C12399,المنيو!$B$2:$B$500,0)),0))</f>
        <v/>
      </c>
      <c r="F12399" s="107" t="str">
        <f aca="false">IF($C12399="","",$D12399*$E12399)</f>
        <v/>
      </c>
      <c r="G12399" s="107" t="str">
        <f aca="false">IF($C12399="","",$D12399*IFERROR(INDEX('تحليل التكلفة والسعر'!$C$2:$C$700,MATCH($C12399,'تحليل التكلفة والسعر'!$B$2:$B$700,0)),0))</f>
        <v/>
      </c>
    </row>
    <row r="12400" customFormat="false" ht="15" hidden="false" customHeight="false" outlineLevel="0" collapsed="false">
      <c r="A12400" s="103"/>
      <c r="B12400" s="104"/>
      <c r="C12400" s="104"/>
      <c r="E12400" s="107" t="str">
        <f aca="false">IF($C12400="","",IFERROR(INDEX(المنيو!$C$2:$C$500,MATCH($C12400,المنيو!$B$2:$B$500,0)),0))</f>
        <v/>
      </c>
      <c r="F12400" s="107" t="str">
        <f aca="false">IF($C12400="","",$D12400*$E12400)</f>
        <v/>
      </c>
      <c r="G12400" s="107" t="str">
        <f aca="false">IF($C12400="","",$D12400*IFERROR(INDEX('تحليل التكلفة والسعر'!$C$2:$C$700,MATCH($C12400,'تحليل التكلفة والسعر'!$B$2:$B$700,0)),0))</f>
        <v/>
      </c>
    </row>
    <row r="12401" customFormat="false" ht="15" hidden="false" customHeight="false" outlineLevel="0" collapsed="false">
      <c r="A12401" s="103"/>
      <c r="B12401" s="104"/>
      <c r="C12401" s="104"/>
      <c r="E12401" s="107" t="str">
        <f aca="false">IF($C12401="","",IFERROR(INDEX(المنيو!$C$2:$C$500,MATCH($C12401,المنيو!$B$2:$B$500,0)),0))</f>
        <v/>
      </c>
      <c r="F12401" s="107" t="str">
        <f aca="false">IF($C12401="","",$D12401*$E12401)</f>
        <v/>
      </c>
      <c r="G12401" s="107" t="str">
        <f aca="false">IF($C12401="","",$D12401*IFERROR(INDEX('تحليل التكلفة والسعر'!$C$2:$C$700,MATCH($C12401,'تحليل التكلفة والسعر'!$B$2:$B$700,0)),0))</f>
        <v/>
      </c>
    </row>
    <row r="12402" customFormat="false" ht="15" hidden="false" customHeight="false" outlineLevel="0" collapsed="false">
      <c r="A12402" s="103"/>
      <c r="B12402" s="104"/>
      <c r="C12402" s="104"/>
      <c r="E12402" s="107" t="str">
        <f aca="false">IF($C12402="","",IFERROR(INDEX(المنيو!$C$2:$C$500,MATCH($C12402,المنيو!$B$2:$B$500,0)),0))</f>
        <v/>
      </c>
      <c r="F12402" s="107" t="str">
        <f aca="false">IF($C12402="","",$D12402*$E12402)</f>
        <v/>
      </c>
      <c r="G12402" s="107" t="str">
        <f aca="false">IF($C12402="","",$D12402*IFERROR(INDEX('تحليل التكلفة والسعر'!$C$2:$C$700,MATCH($C12402,'تحليل التكلفة والسعر'!$B$2:$B$700,0)),0))</f>
        <v/>
      </c>
    </row>
    <row r="12403" customFormat="false" ht="15" hidden="false" customHeight="false" outlineLevel="0" collapsed="false">
      <c r="A12403" s="103"/>
      <c r="B12403" s="104"/>
      <c r="C12403" s="104"/>
      <c r="E12403" s="107" t="str">
        <f aca="false">IF($C12403="","",IFERROR(INDEX(المنيو!$C$2:$C$500,MATCH($C12403,المنيو!$B$2:$B$500,0)),0))</f>
        <v/>
      </c>
      <c r="F12403" s="107" t="str">
        <f aca="false">IF($C12403="","",$D12403*$E12403)</f>
        <v/>
      </c>
      <c r="G12403" s="107" t="str">
        <f aca="false">IF($C12403="","",$D12403*IFERROR(INDEX('تحليل التكلفة والسعر'!$C$2:$C$700,MATCH($C12403,'تحليل التكلفة والسعر'!$B$2:$B$700,0)),0))</f>
        <v/>
      </c>
    </row>
    <row r="12404" customFormat="false" ht="15" hidden="false" customHeight="false" outlineLevel="0" collapsed="false">
      <c r="A12404" s="103"/>
      <c r="B12404" s="104"/>
      <c r="C12404" s="104"/>
      <c r="E12404" s="107" t="str">
        <f aca="false">IF($C12404="","",IFERROR(INDEX(المنيو!$C$2:$C$500,MATCH($C12404,المنيو!$B$2:$B$500,0)),0))</f>
        <v/>
      </c>
      <c r="F12404" s="107" t="str">
        <f aca="false">IF($C12404="","",$D12404*$E12404)</f>
        <v/>
      </c>
      <c r="G12404" s="107" t="str">
        <f aca="false">IF($C12404="","",$D12404*IFERROR(INDEX('تحليل التكلفة والسعر'!$C$2:$C$700,MATCH($C12404,'تحليل التكلفة والسعر'!$B$2:$B$700,0)),0))</f>
        <v/>
      </c>
    </row>
    <row r="12405" customFormat="false" ht="15" hidden="false" customHeight="false" outlineLevel="0" collapsed="false">
      <c r="A12405" s="103"/>
      <c r="B12405" s="104"/>
      <c r="C12405" s="104"/>
      <c r="E12405" s="107" t="str">
        <f aca="false">IF($C12405="","",IFERROR(INDEX(المنيو!$C$2:$C$500,MATCH($C12405,المنيو!$B$2:$B$500,0)),0))</f>
        <v/>
      </c>
      <c r="F12405" s="107" t="str">
        <f aca="false">IF($C12405="","",$D12405*$E12405)</f>
        <v/>
      </c>
      <c r="G12405" s="107" t="str">
        <f aca="false">IF($C12405="","",$D12405*IFERROR(INDEX('تحليل التكلفة والسعر'!$C$2:$C$700,MATCH($C12405,'تحليل التكلفة والسعر'!$B$2:$B$700,0)),0))</f>
        <v/>
      </c>
    </row>
    <row r="12406" customFormat="false" ht="15" hidden="false" customHeight="false" outlineLevel="0" collapsed="false">
      <c r="A12406" s="103"/>
      <c r="B12406" s="104"/>
      <c r="C12406" s="104"/>
      <c r="E12406" s="107" t="str">
        <f aca="false">IF($C12406="","",IFERROR(INDEX(المنيو!$C$2:$C$500,MATCH($C12406,المنيو!$B$2:$B$500,0)),0))</f>
        <v/>
      </c>
      <c r="F12406" s="107" t="str">
        <f aca="false">IF($C12406="","",$D12406*$E12406)</f>
        <v/>
      </c>
      <c r="G12406" s="107" t="str">
        <f aca="false">IF($C12406="","",$D12406*IFERROR(INDEX('تحليل التكلفة والسعر'!$C$2:$C$700,MATCH($C12406,'تحليل التكلفة والسعر'!$B$2:$B$700,0)),0))</f>
        <v/>
      </c>
    </row>
    <row r="12407" customFormat="false" ht="15" hidden="false" customHeight="false" outlineLevel="0" collapsed="false">
      <c r="A12407" s="103"/>
      <c r="B12407" s="104"/>
      <c r="C12407" s="104"/>
      <c r="E12407" s="107" t="str">
        <f aca="false">IF($C12407="","",IFERROR(INDEX(المنيو!$C$2:$C$500,MATCH($C12407,المنيو!$B$2:$B$500,0)),0))</f>
        <v/>
      </c>
      <c r="F12407" s="107" t="str">
        <f aca="false">IF($C12407="","",$D12407*$E12407)</f>
        <v/>
      </c>
      <c r="G12407" s="107" t="str">
        <f aca="false">IF($C12407="","",$D12407*IFERROR(INDEX('تحليل التكلفة والسعر'!$C$2:$C$700,MATCH($C12407,'تحليل التكلفة والسعر'!$B$2:$B$700,0)),0))</f>
        <v/>
      </c>
    </row>
    <row r="12408" customFormat="false" ht="15" hidden="false" customHeight="false" outlineLevel="0" collapsed="false">
      <c r="A12408" s="103"/>
      <c r="B12408" s="104"/>
      <c r="C12408" s="104"/>
      <c r="E12408" s="107" t="str">
        <f aca="false">IF($C12408="","",IFERROR(INDEX(المنيو!$C$2:$C$500,MATCH($C12408,المنيو!$B$2:$B$500,0)),0))</f>
        <v/>
      </c>
      <c r="F12408" s="107" t="str">
        <f aca="false">IF($C12408="","",$D12408*$E12408)</f>
        <v/>
      </c>
      <c r="G12408" s="107" t="str">
        <f aca="false">IF($C12408="","",$D12408*IFERROR(INDEX('تحليل التكلفة والسعر'!$C$2:$C$700,MATCH($C12408,'تحليل التكلفة والسعر'!$B$2:$B$700,0)),0))</f>
        <v/>
      </c>
    </row>
    <row r="12409" customFormat="false" ht="15" hidden="false" customHeight="false" outlineLevel="0" collapsed="false">
      <c r="A12409" s="103"/>
      <c r="B12409" s="104"/>
      <c r="C12409" s="104"/>
      <c r="E12409" s="107" t="str">
        <f aca="false">IF($C12409="","",IFERROR(INDEX(المنيو!$C$2:$C$500,MATCH($C12409,المنيو!$B$2:$B$500,0)),0))</f>
        <v/>
      </c>
      <c r="F12409" s="107" t="str">
        <f aca="false">IF($C12409="","",$D12409*$E12409)</f>
        <v/>
      </c>
      <c r="G12409" s="107" t="str">
        <f aca="false">IF($C12409="","",$D12409*IFERROR(INDEX('تحليل التكلفة والسعر'!$C$2:$C$700,MATCH($C12409,'تحليل التكلفة والسعر'!$B$2:$B$700,0)),0))</f>
        <v/>
      </c>
    </row>
    <row r="12410" customFormat="false" ht="15" hidden="false" customHeight="false" outlineLevel="0" collapsed="false">
      <c r="A12410" s="103"/>
      <c r="B12410" s="104"/>
      <c r="C12410" s="104"/>
      <c r="E12410" s="107" t="str">
        <f aca="false">IF($C12410="","",IFERROR(INDEX(المنيو!$C$2:$C$500,MATCH($C12410,المنيو!$B$2:$B$500,0)),0))</f>
        <v/>
      </c>
      <c r="F12410" s="107" t="str">
        <f aca="false">IF($C12410="","",$D12410*$E12410)</f>
        <v/>
      </c>
      <c r="G12410" s="107" t="str">
        <f aca="false">IF($C12410="","",$D12410*IFERROR(INDEX('تحليل التكلفة والسعر'!$C$2:$C$700,MATCH($C12410,'تحليل التكلفة والسعر'!$B$2:$B$700,0)),0))</f>
        <v/>
      </c>
    </row>
    <row r="12411" customFormat="false" ht="15" hidden="false" customHeight="false" outlineLevel="0" collapsed="false">
      <c r="A12411" s="103"/>
      <c r="B12411" s="104"/>
      <c r="C12411" s="104"/>
      <c r="E12411" s="107" t="str">
        <f aca="false">IF($C12411="","",IFERROR(INDEX(المنيو!$C$2:$C$500,MATCH($C12411,المنيو!$B$2:$B$500,0)),0))</f>
        <v/>
      </c>
      <c r="F12411" s="107" t="str">
        <f aca="false">IF($C12411="","",$D12411*$E12411)</f>
        <v/>
      </c>
      <c r="G12411" s="107" t="str">
        <f aca="false">IF($C12411="","",$D12411*IFERROR(INDEX('تحليل التكلفة والسعر'!$C$2:$C$700,MATCH($C12411,'تحليل التكلفة والسعر'!$B$2:$B$700,0)),0))</f>
        <v/>
      </c>
    </row>
    <row r="12412" customFormat="false" ht="15" hidden="false" customHeight="false" outlineLevel="0" collapsed="false">
      <c r="A12412" s="103"/>
      <c r="B12412" s="104"/>
      <c r="C12412" s="104"/>
      <c r="E12412" s="107" t="str">
        <f aca="false">IF($C12412="","",IFERROR(INDEX(المنيو!$C$2:$C$500,MATCH($C12412,المنيو!$B$2:$B$500,0)),0))</f>
        <v/>
      </c>
      <c r="F12412" s="107" t="str">
        <f aca="false">IF($C12412="","",$D12412*$E12412)</f>
        <v/>
      </c>
      <c r="G12412" s="107" t="str">
        <f aca="false">IF($C12412="","",$D12412*IFERROR(INDEX('تحليل التكلفة والسعر'!$C$2:$C$700,MATCH($C12412,'تحليل التكلفة والسعر'!$B$2:$B$700,0)),0))</f>
        <v/>
      </c>
    </row>
    <row r="12413" customFormat="false" ht="15" hidden="false" customHeight="false" outlineLevel="0" collapsed="false">
      <c r="A12413" s="103"/>
      <c r="B12413" s="104"/>
      <c r="C12413" s="104"/>
      <c r="E12413" s="107" t="str">
        <f aca="false">IF($C12413="","",IFERROR(INDEX(المنيو!$C$2:$C$500,MATCH($C12413,المنيو!$B$2:$B$500,0)),0))</f>
        <v/>
      </c>
      <c r="F12413" s="107" t="str">
        <f aca="false">IF($C12413="","",$D12413*$E12413)</f>
        <v/>
      </c>
      <c r="G12413" s="107" t="str">
        <f aca="false">IF($C12413="","",$D12413*IFERROR(INDEX('تحليل التكلفة والسعر'!$C$2:$C$700,MATCH($C12413,'تحليل التكلفة والسعر'!$B$2:$B$700,0)),0))</f>
        <v/>
      </c>
    </row>
    <row r="12414" customFormat="false" ht="15" hidden="false" customHeight="false" outlineLevel="0" collapsed="false">
      <c r="A12414" s="103"/>
      <c r="B12414" s="104"/>
      <c r="C12414" s="104"/>
      <c r="E12414" s="107" t="str">
        <f aca="false">IF($C12414="","",IFERROR(INDEX(المنيو!$C$2:$C$500,MATCH($C12414,المنيو!$B$2:$B$500,0)),0))</f>
        <v/>
      </c>
      <c r="F12414" s="107" t="str">
        <f aca="false">IF($C12414="","",$D12414*$E12414)</f>
        <v/>
      </c>
      <c r="G12414" s="107" t="str">
        <f aca="false">IF($C12414="","",$D12414*IFERROR(INDEX('تحليل التكلفة والسعر'!$C$2:$C$700,MATCH($C12414,'تحليل التكلفة والسعر'!$B$2:$B$700,0)),0))</f>
        <v/>
      </c>
    </row>
    <row r="12415" customFormat="false" ht="15" hidden="false" customHeight="false" outlineLevel="0" collapsed="false">
      <c r="A12415" s="103"/>
      <c r="B12415" s="104"/>
      <c r="C12415" s="104"/>
      <c r="E12415" s="107" t="str">
        <f aca="false">IF($C12415="","",IFERROR(INDEX(المنيو!$C$2:$C$500,MATCH($C12415,المنيو!$B$2:$B$500,0)),0))</f>
        <v/>
      </c>
      <c r="F12415" s="107" t="str">
        <f aca="false">IF($C12415="","",$D12415*$E12415)</f>
        <v/>
      </c>
      <c r="G12415" s="107" t="str">
        <f aca="false">IF($C12415="","",$D12415*IFERROR(INDEX('تحليل التكلفة والسعر'!$C$2:$C$700,MATCH($C12415,'تحليل التكلفة والسعر'!$B$2:$B$700,0)),0))</f>
        <v/>
      </c>
    </row>
    <row r="12416" customFormat="false" ht="15" hidden="false" customHeight="false" outlineLevel="0" collapsed="false">
      <c r="A12416" s="103"/>
      <c r="B12416" s="104"/>
      <c r="C12416" s="104"/>
      <c r="E12416" s="107" t="str">
        <f aca="false">IF($C12416="","",IFERROR(INDEX(المنيو!$C$2:$C$500,MATCH($C12416,المنيو!$B$2:$B$500,0)),0))</f>
        <v/>
      </c>
      <c r="F12416" s="107" t="str">
        <f aca="false">IF($C12416="","",$D12416*$E12416)</f>
        <v/>
      </c>
      <c r="G12416" s="107" t="str">
        <f aca="false">IF($C12416="","",$D12416*IFERROR(INDEX('تحليل التكلفة والسعر'!$C$2:$C$700,MATCH($C12416,'تحليل التكلفة والسعر'!$B$2:$B$700,0)),0))</f>
        <v/>
      </c>
    </row>
    <row r="12417" customFormat="false" ht="15" hidden="false" customHeight="false" outlineLevel="0" collapsed="false">
      <c r="A12417" s="103"/>
      <c r="B12417" s="104"/>
      <c r="C12417" s="104"/>
      <c r="E12417" s="107" t="str">
        <f aca="false">IF($C12417="","",IFERROR(INDEX(المنيو!$C$2:$C$500,MATCH($C12417,المنيو!$B$2:$B$500,0)),0))</f>
        <v/>
      </c>
      <c r="F12417" s="107" t="str">
        <f aca="false">IF($C12417="","",$D12417*$E12417)</f>
        <v/>
      </c>
      <c r="G12417" s="107" t="str">
        <f aca="false">IF($C12417="","",$D12417*IFERROR(INDEX('تحليل التكلفة والسعر'!$C$2:$C$700,MATCH($C12417,'تحليل التكلفة والسعر'!$B$2:$B$700,0)),0))</f>
        <v/>
      </c>
    </row>
    <row r="12418" customFormat="false" ht="15" hidden="false" customHeight="false" outlineLevel="0" collapsed="false">
      <c r="A12418" s="103"/>
      <c r="B12418" s="104"/>
      <c r="C12418" s="104"/>
      <c r="E12418" s="107" t="str">
        <f aca="false">IF($C12418="","",IFERROR(INDEX(المنيو!$C$2:$C$500,MATCH($C12418,المنيو!$B$2:$B$500,0)),0))</f>
        <v/>
      </c>
      <c r="F12418" s="107" t="str">
        <f aca="false">IF($C12418="","",$D12418*$E12418)</f>
        <v/>
      </c>
      <c r="G12418" s="107" t="str">
        <f aca="false">IF($C12418="","",$D12418*IFERROR(INDEX('تحليل التكلفة والسعر'!$C$2:$C$700,MATCH($C12418,'تحليل التكلفة والسعر'!$B$2:$B$700,0)),0))</f>
        <v/>
      </c>
    </row>
    <row r="12419" customFormat="false" ht="15" hidden="false" customHeight="false" outlineLevel="0" collapsed="false">
      <c r="A12419" s="103"/>
      <c r="B12419" s="104"/>
      <c r="C12419" s="104"/>
      <c r="E12419" s="107" t="str">
        <f aca="false">IF($C12419="","",IFERROR(INDEX(المنيو!$C$2:$C$500,MATCH($C12419,المنيو!$B$2:$B$500,0)),0))</f>
        <v/>
      </c>
      <c r="F12419" s="107" t="str">
        <f aca="false">IF($C12419="","",$D12419*$E12419)</f>
        <v/>
      </c>
      <c r="G12419" s="107" t="str">
        <f aca="false">IF($C12419="","",$D12419*IFERROR(INDEX('تحليل التكلفة والسعر'!$C$2:$C$700,MATCH($C12419,'تحليل التكلفة والسعر'!$B$2:$B$700,0)),0))</f>
        <v/>
      </c>
    </row>
    <row r="12420" customFormat="false" ht="15" hidden="false" customHeight="false" outlineLevel="0" collapsed="false">
      <c r="A12420" s="103"/>
      <c r="B12420" s="104"/>
      <c r="C12420" s="104"/>
      <c r="E12420" s="107" t="str">
        <f aca="false">IF($C12420="","",IFERROR(INDEX(المنيو!$C$2:$C$500,MATCH($C12420,المنيو!$B$2:$B$500,0)),0))</f>
        <v/>
      </c>
      <c r="F12420" s="107" t="str">
        <f aca="false">IF($C12420="","",$D12420*$E12420)</f>
        <v/>
      </c>
      <c r="G12420" s="107" t="str">
        <f aca="false">IF($C12420="","",$D12420*IFERROR(INDEX('تحليل التكلفة والسعر'!$C$2:$C$700,MATCH($C12420,'تحليل التكلفة والسعر'!$B$2:$B$700,0)),0))</f>
        <v/>
      </c>
    </row>
    <row r="12421" customFormat="false" ht="15" hidden="false" customHeight="false" outlineLevel="0" collapsed="false">
      <c r="A12421" s="103"/>
      <c r="B12421" s="104"/>
      <c r="C12421" s="104"/>
      <c r="E12421" s="107" t="str">
        <f aca="false">IF($C12421="","",IFERROR(INDEX(المنيو!$C$2:$C$500,MATCH($C12421,المنيو!$B$2:$B$500,0)),0))</f>
        <v/>
      </c>
      <c r="F12421" s="107" t="str">
        <f aca="false">IF($C12421="","",$D12421*$E12421)</f>
        <v/>
      </c>
      <c r="G12421" s="107" t="str">
        <f aca="false">IF($C12421="","",$D12421*IFERROR(INDEX('تحليل التكلفة والسعر'!$C$2:$C$700,MATCH($C12421,'تحليل التكلفة والسعر'!$B$2:$B$700,0)),0))</f>
        <v/>
      </c>
    </row>
    <row r="12422" customFormat="false" ht="15" hidden="false" customHeight="false" outlineLevel="0" collapsed="false">
      <c r="A12422" s="103"/>
      <c r="B12422" s="104"/>
      <c r="C12422" s="104"/>
      <c r="E12422" s="107" t="str">
        <f aca="false">IF($C12422="","",IFERROR(INDEX(المنيو!$C$2:$C$500,MATCH($C12422,المنيو!$B$2:$B$500,0)),0))</f>
        <v/>
      </c>
      <c r="F12422" s="107" t="str">
        <f aca="false">IF($C12422="","",$D12422*$E12422)</f>
        <v/>
      </c>
      <c r="G12422" s="107" t="str">
        <f aca="false">IF($C12422="","",$D12422*IFERROR(INDEX('تحليل التكلفة والسعر'!$C$2:$C$700,MATCH($C12422,'تحليل التكلفة والسعر'!$B$2:$B$700,0)),0))</f>
        <v/>
      </c>
    </row>
    <row r="12423" customFormat="false" ht="15" hidden="false" customHeight="false" outlineLevel="0" collapsed="false">
      <c r="A12423" s="103"/>
      <c r="B12423" s="104"/>
      <c r="C12423" s="104"/>
      <c r="E12423" s="107" t="str">
        <f aca="false">IF($C12423="","",IFERROR(INDEX(المنيو!$C$2:$C$500,MATCH($C12423,المنيو!$B$2:$B$500,0)),0))</f>
        <v/>
      </c>
      <c r="F12423" s="107" t="str">
        <f aca="false">IF($C12423="","",$D12423*$E12423)</f>
        <v/>
      </c>
      <c r="G12423" s="107" t="str">
        <f aca="false">IF($C12423="","",$D12423*IFERROR(INDEX('تحليل التكلفة والسعر'!$C$2:$C$700,MATCH($C12423,'تحليل التكلفة والسعر'!$B$2:$B$700,0)),0))</f>
        <v/>
      </c>
    </row>
    <row r="12424" customFormat="false" ht="15" hidden="false" customHeight="false" outlineLevel="0" collapsed="false">
      <c r="A12424" s="103"/>
      <c r="B12424" s="104"/>
      <c r="C12424" s="104"/>
      <c r="E12424" s="107" t="str">
        <f aca="false">IF($C12424="","",IFERROR(INDEX(المنيو!$C$2:$C$500,MATCH($C12424,المنيو!$B$2:$B$500,0)),0))</f>
        <v/>
      </c>
      <c r="F12424" s="107" t="str">
        <f aca="false">IF($C12424="","",$D12424*$E12424)</f>
        <v/>
      </c>
      <c r="G12424" s="107" t="str">
        <f aca="false">IF($C12424="","",$D12424*IFERROR(INDEX('تحليل التكلفة والسعر'!$C$2:$C$700,MATCH($C12424,'تحليل التكلفة والسعر'!$B$2:$B$700,0)),0))</f>
        <v/>
      </c>
    </row>
    <row r="12425" customFormat="false" ht="15" hidden="false" customHeight="false" outlineLevel="0" collapsed="false">
      <c r="A12425" s="103"/>
      <c r="B12425" s="104"/>
      <c r="C12425" s="104"/>
      <c r="E12425" s="107" t="str">
        <f aca="false">IF($C12425="","",IFERROR(INDEX(المنيو!$C$2:$C$500,MATCH($C12425,المنيو!$B$2:$B$500,0)),0))</f>
        <v/>
      </c>
      <c r="F12425" s="107" t="str">
        <f aca="false">IF($C12425="","",$D12425*$E12425)</f>
        <v/>
      </c>
      <c r="G12425" s="107" t="str">
        <f aca="false">IF($C12425="","",$D12425*IFERROR(INDEX('تحليل التكلفة والسعر'!$C$2:$C$700,MATCH($C12425,'تحليل التكلفة والسعر'!$B$2:$B$700,0)),0))</f>
        <v/>
      </c>
    </row>
    <row r="12426" customFormat="false" ht="15" hidden="false" customHeight="false" outlineLevel="0" collapsed="false">
      <c r="A12426" s="103"/>
      <c r="B12426" s="104"/>
      <c r="C12426" s="104"/>
      <c r="E12426" s="107" t="str">
        <f aca="false">IF($C12426="","",IFERROR(INDEX(المنيو!$C$2:$C$500,MATCH($C12426,المنيو!$B$2:$B$500,0)),0))</f>
        <v/>
      </c>
      <c r="F12426" s="107" t="str">
        <f aca="false">IF($C12426="","",$D12426*$E12426)</f>
        <v/>
      </c>
      <c r="G12426" s="107" t="str">
        <f aca="false">IF($C12426="","",$D12426*IFERROR(INDEX('تحليل التكلفة والسعر'!$C$2:$C$700,MATCH($C12426,'تحليل التكلفة والسعر'!$B$2:$B$700,0)),0))</f>
        <v/>
      </c>
    </row>
    <row r="12427" customFormat="false" ht="15" hidden="false" customHeight="false" outlineLevel="0" collapsed="false">
      <c r="A12427" s="103"/>
      <c r="B12427" s="104"/>
      <c r="C12427" s="104"/>
      <c r="E12427" s="107" t="str">
        <f aca="false">IF($C12427="","",IFERROR(INDEX(المنيو!$C$2:$C$500,MATCH($C12427,المنيو!$B$2:$B$500,0)),0))</f>
        <v/>
      </c>
      <c r="F12427" s="107" t="str">
        <f aca="false">IF($C12427="","",$D12427*$E12427)</f>
        <v/>
      </c>
      <c r="G12427" s="107" t="str">
        <f aca="false">IF($C12427="","",$D12427*IFERROR(INDEX('تحليل التكلفة والسعر'!$C$2:$C$700,MATCH($C12427,'تحليل التكلفة والسعر'!$B$2:$B$700,0)),0))</f>
        <v/>
      </c>
    </row>
    <row r="12428" customFormat="false" ht="15" hidden="false" customHeight="false" outlineLevel="0" collapsed="false">
      <c r="A12428" s="103"/>
      <c r="B12428" s="104"/>
      <c r="C12428" s="104"/>
      <c r="E12428" s="107" t="str">
        <f aca="false">IF($C12428="","",IFERROR(INDEX(المنيو!$C$2:$C$500,MATCH($C12428,المنيو!$B$2:$B$500,0)),0))</f>
        <v/>
      </c>
      <c r="F12428" s="107" t="str">
        <f aca="false">IF($C12428="","",$D12428*$E12428)</f>
        <v/>
      </c>
      <c r="G12428" s="107" t="str">
        <f aca="false">IF($C12428="","",$D12428*IFERROR(INDEX('تحليل التكلفة والسعر'!$C$2:$C$700,MATCH($C12428,'تحليل التكلفة والسعر'!$B$2:$B$700,0)),0))</f>
        <v/>
      </c>
    </row>
    <row r="12429" customFormat="false" ht="15" hidden="false" customHeight="false" outlineLevel="0" collapsed="false">
      <c r="A12429" s="103"/>
      <c r="B12429" s="104"/>
      <c r="C12429" s="104"/>
      <c r="E12429" s="107" t="str">
        <f aca="false">IF($C12429="","",IFERROR(INDEX(المنيو!$C$2:$C$500,MATCH($C12429,المنيو!$B$2:$B$500,0)),0))</f>
        <v/>
      </c>
      <c r="F12429" s="107" t="str">
        <f aca="false">IF($C12429="","",$D12429*$E12429)</f>
        <v/>
      </c>
      <c r="G12429" s="107" t="str">
        <f aca="false">IF($C12429="","",$D12429*IFERROR(INDEX('تحليل التكلفة والسعر'!$C$2:$C$700,MATCH($C12429,'تحليل التكلفة والسعر'!$B$2:$B$700,0)),0))</f>
        <v/>
      </c>
    </row>
    <row r="12430" customFormat="false" ht="15" hidden="false" customHeight="false" outlineLevel="0" collapsed="false">
      <c r="A12430" s="103"/>
      <c r="B12430" s="104"/>
      <c r="C12430" s="104"/>
      <c r="E12430" s="107" t="str">
        <f aca="false">IF($C12430="","",IFERROR(INDEX(المنيو!$C$2:$C$500,MATCH($C12430,المنيو!$B$2:$B$500,0)),0))</f>
        <v/>
      </c>
      <c r="F12430" s="107" t="str">
        <f aca="false">IF($C12430="","",$D12430*$E12430)</f>
        <v/>
      </c>
      <c r="G12430" s="107" t="str">
        <f aca="false">IF($C12430="","",$D12430*IFERROR(INDEX('تحليل التكلفة والسعر'!$C$2:$C$700,MATCH($C12430,'تحليل التكلفة والسعر'!$B$2:$B$700,0)),0))</f>
        <v/>
      </c>
    </row>
    <row r="12431" customFormat="false" ht="15" hidden="false" customHeight="false" outlineLevel="0" collapsed="false">
      <c r="A12431" s="103"/>
      <c r="B12431" s="104"/>
      <c r="C12431" s="104"/>
      <c r="E12431" s="107" t="str">
        <f aca="false">IF($C12431="","",IFERROR(INDEX(المنيو!$C$2:$C$500,MATCH($C12431,المنيو!$B$2:$B$500,0)),0))</f>
        <v/>
      </c>
      <c r="F12431" s="107" t="str">
        <f aca="false">IF($C12431="","",$D12431*$E12431)</f>
        <v/>
      </c>
      <c r="G12431" s="107" t="str">
        <f aca="false">IF($C12431="","",$D12431*IFERROR(INDEX('تحليل التكلفة والسعر'!$C$2:$C$700,MATCH($C12431,'تحليل التكلفة والسعر'!$B$2:$B$700,0)),0))</f>
        <v/>
      </c>
    </row>
    <row r="12432" customFormat="false" ht="15" hidden="false" customHeight="false" outlineLevel="0" collapsed="false">
      <c r="A12432" s="103"/>
      <c r="B12432" s="104"/>
      <c r="C12432" s="104"/>
      <c r="E12432" s="107" t="str">
        <f aca="false">IF($C12432="","",IFERROR(INDEX(المنيو!$C$2:$C$500,MATCH($C12432,المنيو!$B$2:$B$500,0)),0))</f>
        <v/>
      </c>
      <c r="F12432" s="107" t="str">
        <f aca="false">IF($C12432="","",$D12432*$E12432)</f>
        <v/>
      </c>
      <c r="G12432" s="107" t="str">
        <f aca="false">IF($C12432="","",$D12432*IFERROR(INDEX('تحليل التكلفة والسعر'!$C$2:$C$700,MATCH($C12432,'تحليل التكلفة والسعر'!$B$2:$B$700,0)),0))</f>
        <v/>
      </c>
    </row>
    <row r="12433" customFormat="false" ht="15" hidden="false" customHeight="false" outlineLevel="0" collapsed="false">
      <c r="A12433" s="103"/>
      <c r="B12433" s="104"/>
      <c r="C12433" s="104"/>
      <c r="E12433" s="107" t="str">
        <f aca="false">IF($C12433="","",IFERROR(INDEX(المنيو!$C$2:$C$500,MATCH($C12433,المنيو!$B$2:$B$500,0)),0))</f>
        <v/>
      </c>
      <c r="F12433" s="107" t="str">
        <f aca="false">IF($C12433="","",$D12433*$E12433)</f>
        <v/>
      </c>
      <c r="G12433" s="107" t="str">
        <f aca="false">IF($C12433="","",$D12433*IFERROR(INDEX('تحليل التكلفة والسعر'!$C$2:$C$700,MATCH($C12433,'تحليل التكلفة والسعر'!$B$2:$B$700,0)),0))</f>
        <v/>
      </c>
    </row>
    <row r="12434" customFormat="false" ht="15" hidden="false" customHeight="false" outlineLevel="0" collapsed="false">
      <c r="A12434" s="103"/>
      <c r="B12434" s="104"/>
      <c r="C12434" s="104"/>
      <c r="E12434" s="107" t="str">
        <f aca="false">IF($C12434="","",IFERROR(INDEX(المنيو!$C$2:$C$500,MATCH($C12434,المنيو!$B$2:$B$500,0)),0))</f>
        <v/>
      </c>
      <c r="F12434" s="107" t="str">
        <f aca="false">IF($C12434="","",$D12434*$E12434)</f>
        <v/>
      </c>
      <c r="G12434" s="107" t="str">
        <f aca="false">IF($C12434="","",$D12434*IFERROR(INDEX('تحليل التكلفة والسعر'!$C$2:$C$700,MATCH($C12434,'تحليل التكلفة والسعر'!$B$2:$B$700,0)),0))</f>
        <v/>
      </c>
    </row>
    <row r="12435" customFormat="false" ht="15" hidden="false" customHeight="false" outlineLevel="0" collapsed="false">
      <c r="A12435" s="103"/>
      <c r="B12435" s="104"/>
      <c r="C12435" s="104"/>
      <c r="E12435" s="107" t="str">
        <f aca="false">IF($C12435="","",IFERROR(INDEX(المنيو!$C$2:$C$500,MATCH($C12435,المنيو!$B$2:$B$500,0)),0))</f>
        <v/>
      </c>
      <c r="F12435" s="107" t="str">
        <f aca="false">IF($C12435="","",$D12435*$E12435)</f>
        <v/>
      </c>
      <c r="G12435" s="107" t="str">
        <f aca="false">IF($C12435="","",$D12435*IFERROR(INDEX('تحليل التكلفة والسعر'!$C$2:$C$700,MATCH($C12435,'تحليل التكلفة والسعر'!$B$2:$B$700,0)),0))</f>
        <v/>
      </c>
    </row>
    <row r="12436" customFormat="false" ht="15" hidden="false" customHeight="false" outlineLevel="0" collapsed="false">
      <c r="A12436" s="103"/>
      <c r="B12436" s="104"/>
      <c r="C12436" s="104"/>
      <c r="E12436" s="107" t="str">
        <f aca="false">IF($C12436="","",IFERROR(INDEX(المنيو!$C$2:$C$500,MATCH($C12436,المنيو!$B$2:$B$500,0)),0))</f>
        <v/>
      </c>
      <c r="F12436" s="107" t="str">
        <f aca="false">IF($C12436="","",$D12436*$E12436)</f>
        <v/>
      </c>
      <c r="G12436" s="107" t="str">
        <f aca="false">IF($C12436="","",$D12436*IFERROR(INDEX('تحليل التكلفة والسعر'!$C$2:$C$700,MATCH($C12436,'تحليل التكلفة والسعر'!$B$2:$B$700,0)),0))</f>
        <v/>
      </c>
    </row>
    <row r="12437" customFormat="false" ht="15" hidden="false" customHeight="false" outlineLevel="0" collapsed="false">
      <c r="A12437" s="103"/>
      <c r="B12437" s="104"/>
      <c r="C12437" s="104"/>
      <c r="E12437" s="107" t="str">
        <f aca="false">IF($C12437="","",IFERROR(INDEX(المنيو!$C$2:$C$500,MATCH($C12437,المنيو!$B$2:$B$500,0)),0))</f>
        <v/>
      </c>
      <c r="F12437" s="107" t="str">
        <f aca="false">IF($C12437="","",$D12437*$E12437)</f>
        <v/>
      </c>
      <c r="G12437" s="107" t="str">
        <f aca="false">IF($C12437="","",$D12437*IFERROR(INDEX('تحليل التكلفة والسعر'!$C$2:$C$700,MATCH($C12437,'تحليل التكلفة والسعر'!$B$2:$B$700,0)),0))</f>
        <v/>
      </c>
    </row>
    <row r="12438" customFormat="false" ht="15" hidden="false" customHeight="false" outlineLevel="0" collapsed="false">
      <c r="A12438" s="103"/>
      <c r="B12438" s="104"/>
      <c r="C12438" s="104"/>
      <c r="E12438" s="107" t="str">
        <f aca="false">IF($C12438="","",IFERROR(INDEX(المنيو!$C$2:$C$500,MATCH($C12438,المنيو!$B$2:$B$500,0)),0))</f>
        <v/>
      </c>
      <c r="F12438" s="107" t="str">
        <f aca="false">IF($C12438="","",$D12438*$E12438)</f>
        <v/>
      </c>
      <c r="G12438" s="107" t="str">
        <f aca="false">IF($C12438="","",$D12438*IFERROR(INDEX('تحليل التكلفة والسعر'!$C$2:$C$700,MATCH($C12438,'تحليل التكلفة والسعر'!$B$2:$B$700,0)),0))</f>
        <v/>
      </c>
    </row>
    <row r="12439" customFormat="false" ht="15" hidden="false" customHeight="false" outlineLevel="0" collapsed="false">
      <c r="A12439" s="103"/>
      <c r="B12439" s="104"/>
      <c r="C12439" s="104"/>
      <c r="E12439" s="107" t="str">
        <f aca="false">IF($C12439="","",IFERROR(INDEX(المنيو!$C$2:$C$500,MATCH($C12439,المنيو!$B$2:$B$500,0)),0))</f>
        <v/>
      </c>
      <c r="F12439" s="107" t="str">
        <f aca="false">IF($C12439="","",$D12439*$E12439)</f>
        <v/>
      </c>
      <c r="G12439" s="107" t="str">
        <f aca="false">IF($C12439="","",$D12439*IFERROR(INDEX('تحليل التكلفة والسعر'!$C$2:$C$700,MATCH($C12439,'تحليل التكلفة والسعر'!$B$2:$B$700,0)),0))</f>
        <v/>
      </c>
    </row>
    <row r="12440" customFormat="false" ht="15" hidden="false" customHeight="false" outlineLevel="0" collapsed="false">
      <c r="A12440" s="103"/>
      <c r="B12440" s="104"/>
      <c r="C12440" s="104"/>
      <c r="E12440" s="107" t="str">
        <f aca="false">IF($C12440="","",IFERROR(INDEX(المنيو!$C$2:$C$500,MATCH($C12440,المنيو!$B$2:$B$500,0)),0))</f>
        <v/>
      </c>
      <c r="F12440" s="107" t="str">
        <f aca="false">IF($C12440="","",$D12440*$E12440)</f>
        <v/>
      </c>
      <c r="G12440" s="107" t="str">
        <f aca="false">IF($C12440="","",$D12440*IFERROR(INDEX('تحليل التكلفة والسعر'!$C$2:$C$700,MATCH($C12440,'تحليل التكلفة والسعر'!$B$2:$B$700,0)),0))</f>
        <v/>
      </c>
    </row>
    <row r="12441" customFormat="false" ht="15" hidden="false" customHeight="false" outlineLevel="0" collapsed="false">
      <c r="A12441" s="103"/>
      <c r="B12441" s="104"/>
      <c r="C12441" s="104"/>
      <c r="E12441" s="107" t="str">
        <f aca="false">IF($C12441="","",IFERROR(INDEX(المنيو!$C$2:$C$500,MATCH($C12441,المنيو!$B$2:$B$500,0)),0))</f>
        <v/>
      </c>
      <c r="F12441" s="107" t="str">
        <f aca="false">IF($C12441="","",$D12441*$E12441)</f>
        <v/>
      </c>
      <c r="G12441" s="107" t="str">
        <f aca="false">IF($C12441="","",$D12441*IFERROR(INDEX('تحليل التكلفة والسعر'!$C$2:$C$700,MATCH($C12441,'تحليل التكلفة والسعر'!$B$2:$B$700,0)),0))</f>
        <v/>
      </c>
    </row>
    <row r="12442" customFormat="false" ht="15" hidden="false" customHeight="false" outlineLevel="0" collapsed="false">
      <c r="A12442" s="103"/>
      <c r="B12442" s="104"/>
      <c r="C12442" s="104"/>
      <c r="E12442" s="107" t="str">
        <f aca="false">IF($C12442="","",IFERROR(INDEX(المنيو!$C$2:$C$500,MATCH($C12442,المنيو!$B$2:$B$500,0)),0))</f>
        <v/>
      </c>
      <c r="F12442" s="107" t="str">
        <f aca="false">IF($C12442="","",$D12442*$E12442)</f>
        <v/>
      </c>
      <c r="G12442" s="107" t="str">
        <f aca="false">IF($C12442="","",$D12442*IFERROR(INDEX('تحليل التكلفة والسعر'!$C$2:$C$700,MATCH($C12442,'تحليل التكلفة والسعر'!$B$2:$B$700,0)),0))</f>
        <v/>
      </c>
    </row>
    <row r="12443" customFormat="false" ht="15" hidden="false" customHeight="false" outlineLevel="0" collapsed="false">
      <c r="A12443" s="103"/>
      <c r="B12443" s="104"/>
      <c r="C12443" s="104"/>
      <c r="E12443" s="107" t="str">
        <f aca="false">IF($C12443="","",IFERROR(INDEX(المنيو!$C$2:$C$500,MATCH($C12443,المنيو!$B$2:$B$500,0)),0))</f>
        <v/>
      </c>
      <c r="F12443" s="107" t="str">
        <f aca="false">IF($C12443="","",$D12443*$E12443)</f>
        <v/>
      </c>
      <c r="G12443" s="107" t="str">
        <f aca="false">IF($C12443="","",$D12443*IFERROR(INDEX('تحليل التكلفة والسعر'!$C$2:$C$700,MATCH($C12443,'تحليل التكلفة والسعر'!$B$2:$B$700,0)),0))</f>
        <v/>
      </c>
    </row>
    <row r="12444" customFormat="false" ht="15" hidden="false" customHeight="false" outlineLevel="0" collapsed="false">
      <c r="A12444" s="103"/>
      <c r="B12444" s="104"/>
      <c r="C12444" s="104"/>
      <c r="E12444" s="107" t="str">
        <f aca="false">IF($C12444="","",IFERROR(INDEX(المنيو!$C$2:$C$500,MATCH($C12444,المنيو!$B$2:$B$500,0)),0))</f>
        <v/>
      </c>
      <c r="F12444" s="107" t="str">
        <f aca="false">IF($C12444="","",$D12444*$E12444)</f>
        <v/>
      </c>
      <c r="G12444" s="107" t="str">
        <f aca="false">IF($C12444="","",$D12444*IFERROR(INDEX('تحليل التكلفة والسعر'!$C$2:$C$700,MATCH($C12444,'تحليل التكلفة والسعر'!$B$2:$B$700,0)),0))</f>
        <v/>
      </c>
    </row>
    <row r="12445" customFormat="false" ht="15" hidden="false" customHeight="false" outlineLevel="0" collapsed="false">
      <c r="A12445" s="103"/>
      <c r="B12445" s="104"/>
      <c r="C12445" s="104"/>
      <c r="E12445" s="107" t="str">
        <f aca="false">IF($C12445="","",IFERROR(INDEX(المنيو!$C$2:$C$500,MATCH($C12445,المنيو!$B$2:$B$500,0)),0))</f>
        <v/>
      </c>
      <c r="F12445" s="107" t="str">
        <f aca="false">IF($C12445="","",$D12445*$E12445)</f>
        <v/>
      </c>
      <c r="G12445" s="107" t="str">
        <f aca="false">IF($C12445="","",$D12445*IFERROR(INDEX('تحليل التكلفة والسعر'!$C$2:$C$700,MATCH($C12445,'تحليل التكلفة والسعر'!$B$2:$B$700,0)),0))</f>
        <v/>
      </c>
    </row>
    <row r="12446" customFormat="false" ht="15" hidden="false" customHeight="false" outlineLevel="0" collapsed="false">
      <c r="A12446" s="103"/>
      <c r="B12446" s="104"/>
      <c r="C12446" s="104"/>
      <c r="E12446" s="107" t="str">
        <f aca="false">IF($C12446="","",IFERROR(INDEX(المنيو!$C$2:$C$500,MATCH($C12446,المنيو!$B$2:$B$500,0)),0))</f>
        <v/>
      </c>
      <c r="F12446" s="107" t="str">
        <f aca="false">IF($C12446="","",$D12446*$E12446)</f>
        <v/>
      </c>
      <c r="G12446" s="107" t="str">
        <f aca="false">IF($C12446="","",$D12446*IFERROR(INDEX('تحليل التكلفة والسعر'!$C$2:$C$700,MATCH($C12446,'تحليل التكلفة والسعر'!$B$2:$B$700,0)),0))</f>
        <v/>
      </c>
    </row>
    <row r="12447" customFormat="false" ht="15" hidden="false" customHeight="false" outlineLevel="0" collapsed="false">
      <c r="A12447" s="103"/>
      <c r="B12447" s="104"/>
      <c r="C12447" s="104"/>
      <c r="E12447" s="107" t="str">
        <f aca="false">IF($C12447="","",IFERROR(INDEX(المنيو!$C$2:$C$500,MATCH($C12447,المنيو!$B$2:$B$500,0)),0))</f>
        <v/>
      </c>
      <c r="F12447" s="107" t="str">
        <f aca="false">IF($C12447="","",$D12447*$E12447)</f>
        <v/>
      </c>
      <c r="G12447" s="107" t="str">
        <f aca="false">IF($C12447="","",$D12447*IFERROR(INDEX('تحليل التكلفة والسعر'!$C$2:$C$700,MATCH($C12447,'تحليل التكلفة والسعر'!$B$2:$B$700,0)),0))</f>
        <v/>
      </c>
    </row>
    <row r="12448" customFormat="false" ht="15" hidden="false" customHeight="false" outlineLevel="0" collapsed="false">
      <c r="A12448" s="103"/>
      <c r="B12448" s="104"/>
      <c r="C12448" s="104"/>
      <c r="E12448" s="107" t="str">
        <f aca="false">IF($C12448="","",IFERROR(INDEX(المنيو!$C$2:$C$500,MATCH($C12448,المنيو!$B$2:$B$500,0)),0))</f>
        <v/>
      </c>
      <c r="F12448" s="107" t="str">
        <f aca="false">IF($C12448="","",$D12448*$E12448)</f>
        <v/>
      </c>
      <c r="G12448" s="107" t="str">
        <f aca="false">IF($C12448="","",$D12448*IFERROR(INDEX('تحليل التكلفة والسعر'!$C$2:$C$700,MATCH($C12448,'تحليل التكلفة والسعر'!$B$2:$B$700,0)),0))</f>
        <v/>
      </c>
    </row>
    <row r="12449" customFormat="false" ht="15" hidden="false" customHeight="false" outlineLevel="0" collapsed="false">
      <c r="A12449" s="103"/>
      <c r="B12449" s="104"/>
      <c r="C12449" s="104"/>
      <c r="E12449" s="107" t="str">
        <f aca="false">IF($C12449="","",IFERROR(INDEX(المنيو!$C$2:$C$500,MATCH($C12449,المنيو!$B$2:$B$500,0)),0))</f>
        <v/>
      </c>
      <c r="F12449" s="107" t="str">
        <f aca="false">IF($C12449="","",$D12449*$E12449)</f>
        <v/>
      </c>
      <c r="G12449" s="107" t="str">
        <f aca="false">IF($C12449="","",$D12449*IFERROR(INDEX('تحليل التكلفة والسعر'!$C$2:$C$700,MATCH($C12449,'تحليل التكلفة والسعر'!$B$2:$B$700,0)),0))</f>
        <v/>
      </c>
    </row>
    <row r="12450" customFormat="false" ht="15" hidden="false" customHeight="false" outlineLevel="0" collapsed="false">
      <c r="A12450" s="103"/>
      <c r="B12450" s="104"/>
      <c r="C12450" s="104"/>
      <c r="E12450" s="107" t="str">
        <f aca="false">IF($C12450="","",IFERROR(INDEX(المنيو!$C$2:$C$500,MATCH($C12450,المنيو!$B$2:$B$500,0)),0))</f>
        <v/>
      </c>
      <c r="F12450" s="107" t="str">
        <f aca="false">IF($C12450="","",$D12450*$E12450)</f>
        <v/>
      </c>
      <c r="G12450" s="107" t="str">
        <f aca="false">IF($C12450="","",$D12450*IFERROR(INDEX('تحليل التكلفة والسعر'!$C$2:$C$700,MATCH($C12450,'تحليل التكلفة والسعر'!$B$2:$B$700,0)),0))</f>
        <v/>
      </c>
    </row>
    <row r="12451" customFormat="false" ht="15" hidden="false" customHeight="false" outlineLevel="0" collapsed="false">
      <c r="A12451" s="103"/>
      <c r="B12451" s="104"/>
      <c r="C12451" s="104"/>
      <c r="E12451" s="107" t="str">
        <f aca="false">IF($C12451="","",IFERROR(INDEX(المنيو!$C$2:$C$500,MATCH($C12451,المنيو!$B$2:$B$500,0)),0))</f>
        <v/>
      </c>
      <c r="F12451" s="107" t="str">
        <f aca="false">IF($C12451="","",$D12451*$E12451)</f>
        <v/>
      </c>
      <c r="G12451" s="107" t="str">
        <f aca="false">IF($C12451="","",$D12451*IFERROR(INDEX('تحليل التكلفة والسعر'!$C$2:$C$700,MATCH($C12451,'تحليل التكلفة والسعر'!$B$2:$B$700,0)),0))</f>
        <v/>
      </c>
    </row>
    <row r="12452" customFormat="false" ht="15" hidden="false" customHeight="false" outlineLevel="0" collapsed="false">
      <c r="A12452" s="103"/>
      <c r="B12452" s="104"/>
      <c r="C12452" s="104"/>
      <c r="E12452" s="107" t="str">
        <f aca="false">IF($C12452="","",IFERROR(INDEX(المنيو!$C$2:$C$500,MATCH($C12452,المنيو!$B$2:$B$500,0)),0))</f>
        <v/>
      </c>
      <c r="F12452" s="107" t="str">
        <f aca="false">IF($C12452="","",$D12452*$E12452)</f>
        <v/>
      </c>
      <c r="G12452" s="107" t="str">
        <f aca="false">IF($C12452="","",$D12452*IFERROR(INDEX('تحليل التكلفة والسعر'!$C$2:$C$700,MATCH($C12452,'تحليل التكلفة والسعر'!$B$2:$B$700,0)),0))</f>
        <v/>
      </c>
    </row>
    <row r="12453" customFormat="false" ht="15" hidden="false" customHeight="false" outlineLevel="0" collapsed="false">
      <c r="A12453" s="103"/>
      <c r="B12453" s="104"/>
      <c r="C12453" s="104"/>
      <c r="E12453" s="107" t="str">
        <f aca="false">IF($C12453="","",IFERROR(INDEX(المنيو!$C$2:$C$500,MATCH($C12453,المنيو!$B$2:$B$500,0)),0))</f>
        <v/>
      </c>
      <c r="F12453" s="107" t="str">
        <f aca="false">IF($C12453="","",$D12453*$E12453)</f>
        <v/>
      </c>
      <c r="G12453" s="107" t="str">
        <f aca="false">IF($C12453="","",$D12453*IFERROR(INDEX('تحليل التكلفة والسعر'!$C$2:$C$700,MATCH($C12453,'تحليل التكلفة والسعر'!$B$2:$B$700,0)),0))</f>
        <v/>
      </c>
    </row>
    <row r="12454" customFormat="false" ht="15" hidden="false" customHeight="false" outlineLevel="0" collapsed="false">
      <c r="A12454" s="103"/>
      <c r="B12454" s="104"/>
      <c r="C12454" s="104"/>
      <c r="E12454" s="107" t="str">
        <f aca="false">IF($C12454="","",IFERROR(INDEX(المنيو!$C$2:$C$500,MATCH($C12454,المنيو!$B$2:$B$500,0)),0))</f>
        <v/>
      </c>
      <c r="F12454" s="107" t="str">
        <f aca="false">IF($C12454="","",$D12454*$E12454)</f>
        <v/>
      </c>
      <c r="G12454" s="107" t="str">
        <f aca="false">IF($C12454="","",$D12454*IFERROR(INDEX('تحليل التكلفة والسعر'!$C$2:$C$700,MATCH($C12454,'تحليل التكلفة والسعر'!$B$2:$B$700,0)),0))</f>
        <v/>
      </c>
    </row>
    <row r="12455" customFormat="false" ht="15" hidden="false" customHeight="false" outlineLevel="0" collapsed="false">
      <c r="A12455" s="103"/>
      <c r="B12455" s="104"/>
      <c r="C12455" s="104"/>
      <c r="E12455" s="107" t="str">
        <f aca="false">IF($C12455="","",IFERROR(INDEX(المنيو!$C$2:$C$500,MATCH($C12455,المنيو!$B$2:$B$500,0)),0))</f>
        <v/>
      </c>
      <c r="F12455" s="107" t="str">
        <f aca="false">IF($C12455="","",$D12455*$E12455)</f>
        <v/>
      </c>
      <c r="G12455" s="107" t="str">
        <f aca="false">IF($C12455="","",$D12455*IFERROR(INDEX('تحليل التكلفة والسعر'!$C$2:$C$700,MATCH($C12455,'تحليل التكلفة والسعر'!$B$2:$B$700,0)),0))</f>
        <v/>
      </c>
    </row>
    <row r="12456" customFormat="false" ht="15" hidden="false" customHeight="false" outlineLevel="0" collapsed="false">
      <c r="A12456" s="103"/>
      <c r="B12456" s="104"/>
      <c r="C12456" s="104"/>
      <c r="E12456" s="107" t="str">
        <f aca="false">IF($C12456="","",IFERROR(INDEX(المنيو!$C$2:$C$500,MATCH($C12456,المنيو!$B$2:$B$500,0)),0))</f>
        <v/>
      </c>
      <c r="F12456" s="107" t="str">
        <f aca="false">IF($C12456="","",$D12456*$E12456)</f>
        <v/>
      </c>
      <c r="G12456" s="107" t="str">
        <f aca="false">IF($C12456="","",$D12456*IFERROR(INDEX('تحليل التكلفة والسعر'!$C$2:$C$700,MATCH($C12456,'تحليل التكلفة والسعر'!$B$2:$B$700,0)),0))</f>
        <v/>
      </c>
    </row>
    <row r="12457" customFormat="false" ht="15" hidden="false" customHeight="false" outlineLevel="0" collapsed="false">
      <c r="A12457" s="103"/>
      <c r="B12457" s="104"/>
      <c r="C12457" s="104"/>
      <c r="E12457" s="107" t="str">
        <f aca="false">IF($C12457="","",IFERROR(INDEX(المنيو!$C$2:$C$500,MATCH($C12457,المنيو!$B$2:$B$500,0)),0))</f>
        <v/>
      </c>
      <c r="F12457" s="107" t="str">
        <f aca="false">IF($C12457="","",$D12457*$E12457)</f>
        <v/>
      </c>
      <c r="G12457" s="107" t="str">
        <f aca="false">IF($C12457="","",$D12457*IFERROR(INDEX('تحليل التكلفة والسعر'!$C$2:$C$700,MATCH($C12457,'تحليل التكلفة والسعر'!$B$2:$B$700,0)),0))</f>
        <v/>
      </c>
    </row>
    <row r="12458" customFormat="false" ht="15" hidden="false" customHeight="false" outlineLevel="0" collapsed="false">
      <c r="A12458" s="103"/>
      <c r="B12458" s="104"/>
      <c r="C12458" s="104"/>
      <c r="E12458" s="107" t="str">
        <f aca="false">IF($C12458="","",IFERROR(INDEX(المنيو!$C$2:$C$500,MATCH($C12458,المنيو!$B$2:$B$500,0)),0))</f>
        <v/>
      </c>
      <c r="F12458" s="107" t="str">
        <f aca="false">IF($C12458="","",$D12458*$E12458)</f>
        <v/>
      </c>
      <c r="G12458" s="107" t="str">
        <f aca="false">IF($C12458="","",$D12458*IFERROR(INDEX('تحليل التكلفة والسعر'!$C$2:$C$700,MATCH($C12458,'تحليل التكلفة والسعر'!$B$2:$B$700,0)),0))</f>
        <v/>
      </c>
    </row>
    <row r="12459" customFormat="false" ht="15" hidden="false" customHeight="false" outlineLevel="0" collapsed="false">
      <c r="A12459" s="103"/>
      <c r="B12459" s="104"/>
      <c r="C12459" s="104"/>
      <c r="E12459" s="107" t="str">
        <f aca="false">IF($C12459="","",IFERROR(INDEX(المنيو!$C$2:$C$500,MATCH($C12459,المنيو!$B$2:$B$500,0)),0))</f>
        <v/>
      </c>
      <c r="F12459" s="107" t="str">
        <f aca="false">IF($C12459="","",$D12459*$E12459)</f>
        <v/>
      </c>
      <c r="G12459" s="107" t="str">
        <f aca="false">IF($C12459="","",$D12459*IFERROR(INDEX('تحليل التكلفة والسعر'!$C$2:$C$700,MATCH($C12459,'تحليل التكلفة والسعر'!$B$2:$B$700,0)),0))</f>
        <v/>
      </c>
    </row>
    <row r="12460" customFormat="false" ht="15" hidden="false" customHeight="false" outlineLevel="0" collapsed="false">
      <c r="A12460" s="103"/>
      <c r="B12460" s="104"/>
      <c r="C12460" s="104"/>
      <c r="E12460" s="107" t="str">
        <f aca="false">IF($C12460="","",IFERROR(INDEX(المنيو!$C$2:$C$500,MATCH($C12460,المنيو!$B$2:$B$500,0)),0))</f>
        <v/>
      </c>
      <c r="F12460" s="107" t="str">
        <f aca="false">IF($C12460="","",$D12460*$E12460)</f>
        <v/>
      </c>
      <c r="G12460" s="107" t="str">
        <f aca="false">IF($C12460="","",$D12460*IFERROR(INDEX('تحليل التكلفة والسعر'!$C$2:$C$700,MATCH($C12460,'تحليل التكلفة والسعر'!$B$2:$B$700,0)),0))</f>
        <v/>
      </c>
    </row>
    <row r="12461" customFormat="false" ht="15" hidden="false" customHeight="false" outlineLevel="0" collapsed="false">
      <c r="A12461" s="103"/>
      <c r="B12461" s="104"/>
      <c r="C12461" s="104"/>
      <c r="E12461" s="107" t="str">
        <f aca="false">IF($C12461="","",IFERROR(INDEX(المنيو!$C$2:$C$500,MATCH($C12461,المنيو!$B$2:$B$500,0)),0))</f>
        <v/>
      </c>
      <c r="F12461" s="107" t="str">
        <f aca="false">IF($C12461="","",$D12461*$E12461)</f>
        <v/>
      </c>
      <c r="G12461" s="107" t="str">
        <f aca="false">IF($C12461="","",$D12461*IFERROR(INDEX('تحليل التكلفة والسعر'!$C$2:$C$700,MATCH($C12461,'تحليل التكلفة والسعر'!$B$2:$B$700,0)),0))</f>
        <v/>
      </c>
    </row>
    <row r="12462" customFormat="false" ht="15" hidden="false" customHeight="false" outlineLevel="0" collapsed="false">
      <c r="A12462" s="103"/>
      <c r="B12462" s="104"/>
      <c r="C12462" s="104"/>
      <c r="E12462" s="107" t="str">
        <f aca="false">IF($C12462="","",IFERROR(INDEX(المنيو!$C$2:$C$500,MATCH($C12462,المنيو!$B$2:$B$500,0)),0))</f>
        <v/>
      </c>
      <c r="F12462" s="107" t="str">
        <f aca="false">IF($C12462="","",$D12462*$E12462)</f>
        <v/>
      </c>
      <c r="G12462" s="107" t="str">
        <f aca="false">IF($C12462="","",$D12462*IFERROR(INDEX('تحليل التكلفة والسعر'!$C$2:$C$700,MATCH($C12462,'تحليل التكلفة والسعر'!$B$2:$B$700,0)),0))</f>
        <v/>
      </c>
    </row>
    <row r="12463" customFormat="false" ht="15" hidden="false" customHeight="false" outlineLevel="0" collapsed="false">
      <c r="A12463" s="103"/>
      <c r="B12463" s="104"/>
      <c r="C12463" s="104"/>
      <c r="E12463" s="107" t="str">
        <f aca="false">IF($C12463="","",IFERROR(INDEX(المنيو!$C$2:$C$500,MATCH($C12463,المنيو!$B$2:$B$500,0)),0))</f>
        <v/>
      </c>
      <c r="F12463" s="107" t="str">
        <f aca="false">IF($C12463="","",$D12463*$E12463)</f>
        <v/>
      </c>
      <c r="G12463" s="107" t="str">
        <f aca="false">IF($C12463="","",$D12463*IFERROR(INDEX('تحليل التكلفة والسعر'!$C$2:$C$700,MATCH($C12463,'تحليل التكلفة والسعر'!$B$2:$B$700,0)),0))</f>
        <v/>
      </c>
    </row>
    <row r="12464" customFormat="false" ht="15" hidden="false" customHeight="false" outlineLevel="0" collapsed="false">
      <c r="A12464" s="103"/>
      <c r="B12464" s="104"/>
      <c r="C12464" s="104"/>
      <c r="E12464" s="107" t="str">
        <f aca="false">IF($C12464="","",IFERROR(INDEX(المنيو!$C$2:$C$500,MATCH($C12464,المنيو!$B$2:$B$500,0)),0))</f>
        <v/>
      </c>
      <c r="F12464" s="107" t="str">
        <f aca="false">IF($C12464="","",$D12464*$E12464)</f>
        <v/>
      </c>
      <c r="G12464" s="107" t="str">
        <f aca="false">IF($C12464="","",$D12464*IFERROR(INDEX('تحليل التكلفة والسعر'!$C$2:$C$700,MATCH($C12464,'تحليل التكلفة والسعر'!$B$2:$B$700,0)),0))</f>
        <v/>
      </c>
    </row>
    <row r="12465" customFormat="false" ht="15" hidden="false" customHeight="false" outlineLevel="0" collapsed="false">
      <c r="A12465" s="103"/>
      <c r="B12465" s="104"/>
      <c r="C12465" s="104"/>
      <c r="E12465" s="107" t="str">
        <f aca="false">IF($C12465="","",IFERROR(INDEX(المنيو!$C$2:$C$500,MATCH($C12465,المنيو!$B$2:$B$500,0)),0))</f>
        <v/>
      </c>
      <c r="F12465" s="107" t="str">
        <f aca="false">IF($C12465="","",$D12465*$E12465)</f>
        <v/>
      </c>
      <c r="G12465" s="107" t="str">
        <f aca="false">IF($C12465="","",$D12465*IFERROR(INDEX('تحليل التكلفة والسعر'!$C$2:$C$700,MATCH($C12465,'تحليل التكلفة والسعر'!$B$2:$B$700,0)),0))</f>
        <v/>
      </c>
    </row>
    <row r="12466" customFormat="false" ht="15" hidden="false" customHeight="false" outlineLevel="0" collapsed="false">
      <c r="A12466" s="103"/>
      <c r="B12466" s="104"/>
      <c r="C12466" s="104"/>
      <c r="E12466" s="107" t="str">
        <f aca="false">IF($C12466="","",IFERROR(INDEX(المنيو!$C$2:$C$500,MATCH($C12466,المنيو!$B$2:$B$500,0)),0))</f>
        <v/>
      </c>
      <c r="F12466" s="107" t="str">
        <f aca="false">IF($C12466="","",$D12466*$E12466)</f>
        <v/>
      </c>
      <c r="G12466" s="107" t="str">
        <f aca="false">IF($C12466="","",$D12466*IFERROR(INDEX('تحليل التكلفة والسعر'!$C$2:$C$700,MATCH($C12466,'تحليل التكلفة والسعر'!$B$2:$B$700,0)),0))</f>
        <v/>
      </c>
    </row>
    <row r="12467" customFormat="false" ht="15" hidden="false" customHeight="false" outlineLevel="0" collapsed="false">
      <c r="A12467" s="103"/>
      <c r="B12467" s="104"/>
      <c r="C12467" s="104"/>
      <c r="E12467" s="107" t="str">
        <f aca="false">IF($C12467="","",IFERROR(INDEX(المنيو!$C$2:$C$500,MATCH($C12467,المنيو!$B$2:$B$500,0)),0))</f>
        <v/>
      </c>
      <c r="F12467" s="107" t="str">
        <f aca="false">IF($C12467="","",$D12467*$E12467)</f>
        <v/>
      </c>
      <c r="G12467" s="107" t="str">
        <f aca="false">IF($C12467="","",$D12467*IFERROR(INDEX('تحليل التكلفة والسعر'!$C$2:$C$700,MATCH($C12467,'تحليل التكلفة والسعر'!$B$2:$B$700,0)),0))</f>
        <v/>
      </c>
    </row>
    <row r="12468" customFormat="false" ht="15" hidden="false" customHeight="false" outlineLevel="0" collapsed="false">
      <c r="A12468" s="103"/>
      <c r="B12468" s="104"/>
      <c r="C12468" s="104"/>
      <c r="E12468" s="107" t="str">
        <f aca="false">IF($C12468="","",IFERROR(INDEX(المنيو!$C$2:$C$500,MATCH($C12468,المنيو!$B$2:$B$500,0)),0))</f>
        <v/>
      </c>
      <c r="F12468" s="107" t="str">
        <f aca="false">IF($C12468="","",$D12468*$E12468)</f>
        <v/>
      </c>
      <c r="G12468" s="107" t="str">
        <f aca="false">IF($C12468="","",$D12468*IFERROR(INDEX('تحليل التكلفة والسعر'!$C$2:$C$700,MATCH($C12468,'تحليل التكلفة والسعر'!$B$2:$B$700,0)),0))</f>
        <v/>
      </c>
    </row>
    <row r="12469" customFormat="false" ht="15" hidden="false" customHeight="false" outlineLevel="0" collapsed="false">
      <c r="A12469" s="103"/>
      <c r="B12469" s="104"/>
      <c r="C12469" s="104"/>
      <c r="E12469" s="107" t="str">
        <f aca="false">IF($C12469="","",IFERROR(INDEX(المنيو!$C$2:$C$500,MATCH($C12469,المنيو!$B$2:$B$500,0)),0))</f>
        <v/>
      </c>
      <c r="F12469" s="107" t="str">
        <f aca="false">IF($C12469="","",$D12469*$E12469)</f>
        <v/>
      </c>
      <c r="G12469" s="107" t="str">
        <f aca="false">IF($C12469="","",$D12469*IFERROR(INDEX('تحليل التكلفة والسعر'!$C$2:$C$700,MATCH($C12469,'تحليل التكلفة والسعر'!$B$2:$B$700,0)),0))</f>
        <v/>
      </c>
    </row>
    <row r="12470" customFormat="false" ht="15" hidden="false" customHeight="false" outlineLevel="0" collapsed="false">
      <c r="A12470" s="103"/>
      <c r="B12470" s="104"/>
      <c r="C12470" s="104"/>
      <c r="E12470" s="107" t="str">
        <f aca="false">IF($C12470="","",IFERROR(INDEX(المنيو!$C$2:$C$500,MATCH($C12470,المنيو!$B$2:$B$500,0)),0))</f>
        <v/>
      </c>
      <c r="F12470" s="107" t="str">
        <f aca="false">IF($C12470="","",$D12470*$E12470)</f>
        <v/>
      </c>
      <c r="G12470" s="107" t="str">
        <f aca="false">IF($C12470="","",$D12470*IFERROR(INDEX('تحليل التكلفة والسعر'!$C$2:$C$700,MATCH($C12470,'تحليل التكلفة والسعر'!$B$2:$B$700,0)),0))</f>
        <v/>
      </c>
    </row>
    <row r="12471" customFormat="false" ht="15" hidden="false" customHeight="false" outlineLevel="0" collapsed="false">
      <c r="A12471" s="103"/>
      <c r="B12471" s="104"/>
      <c r="C12471" s="104"/>
      <c r="E12471" s="107" t="str">
        <f aca="false">IF($C12471="","",IFERROR(INDEX(المنيو!$C$2:$C$500,MATCH($C12471,المنيو!$B$2:$B$500,0)),0))</f>
        <v/>
      </c>
      <c r="F12471" s="107" t="str">
        <f aca="false">IF($C12471="","",$D12471*$E12471)</f>
        <v/>
      </c>
      <c r="G12471" s="107" t="str">
        <f aca="false">IF($C12471="","",$D12471*IFERROR(INDEX('تحليل التكلفة والسعر'!$C$2:$C$700,MATCH($C12471,'تحليل التكلفة والسعر'!$B$2:$B$700,0)),0))</f>
        <v/>
      </c>
    </row>
    <row r="12472" customFormat="false" ht="15" hidden="false" customHeight="false" outlineLevel="0" collapsed="false">
      <c r="A12472" s="103"/>
      <c r="B12472" s="104"/>
      <c r="C12472" s="104"/>
      <c r="E12472" s="107" t="str">
        <f aca="false">IF($C12472="","",IFERROR(INDEX(المنيو!$C$2:$C$500,MATCH($C12472,المنيو!$B$2:$B$500,0)),0))</f>
        <v/>
      </c>
      <c r="F12472" s="107" t="str">
        <f aca="false">IF($C12472="","",$D12472*$E12472)</f>
        <v/>
      </c>
      <c r="G12472" s="107" t="str">
        <f aca="false">IF($C12472="","",$D12472*IFERROR(INDEX('تحليل التكلفة والسعر'!$C$2:$C$700,MATCH($C12472,'تحليل التكلفة والسعر'!$B$2:$B$700,0)),0))</f>
        <v/>
      </c>
    </row>
    <row r="12473" customFormat="false" ht="15" hidden="false" customHeight="false" outlineLevel="0" collapsed="false">
      <c r="A12473" s="103"/>
      <c r="B12473" s="104"/>
      <c r="C12473" s="104"/>
      <c r="E12473" s="107" t="str">
        <f aca="false">IF($C12473="","",IFERROR(INDEX(المنيو!$C$2:$C$500,MATCH($C12473,المنيو!$B$2:$B$500,0)),0))</f>
        <v/>
      </c>
      <c r="F12473" s="107" t="str">
        <f aca="false">IF($C12473="","",$D12473*$E12473)</f>
        <v/>
      </c>
      <c r="G12473" s="107" t="str">
        <f aca="false">IF($C12473="","",$D12473*IFERROR(INDEX('تحليل التكلفة والسعر'!$C$2:$C$700,MATCH($C12473,'تحليل التكلفة والسعر'!$B$2:$B$700,0)),0))</f>
        <v/>
      </c>
    </row>
    <row r="12474" customFormat="false" ht="15" hidden="false" customHeight="false" outlineLevel="0" collapsed="false">
      <c r="A12474" s="103"/>
      <c r="B12474" s="104"/>
      <c r="C12474" s="104"/>
      <c r="E12474" s="107" t="str">
        <f aca="false">IF($C12474="","",IFERROR(INDEX(المنيو!$C$2:$C$500,MATCH($C12474,المنيو!$B$2:$B$500,0)),0))</f>
        <v/>
      </c>
      <c r="F12474" s="107" t="str">
        <f aca="false">IF($C12474="","",$D12474*$E12474)</f>
        <v/>
      </c>
      <c r="G12474" s="107" t="str">
        <f aca="false">IF($C12474="","",$D12474*IFERROR(INDEX('تحليل التكلفة والسعر'!$C$2:$C$700,MATCH($C12474,'تحليل التكلفة والسعر'!$B$2:$B$700,0)),0))</f>
        <v/>
      </c>
    </row>
    <row r="12475" customFormat="false" ht="15" hidden="false" customHeight="false" outlineLevel="0" collapsed="false">
      <c r="A12475" s="103"/>
      <c r="B12475" s="104"/>
      <c r="C12475" s="104"/>
      <c r="E12475" s="107" t="str">
        <f aca="false">IF($C12475="","",IFERROR(INDEX(المنيو!$C$2:$C$500,MATCH($C12475,المنيو!$B$2:$B$500,0)),0))</f>
        <v/>
      </c>
      <c r="F12475" s="107" t="str">
        <f aca="false">IF($C12475="","",$D12475*$E12475)</f>
        <v/>
      </c>
      <c r="G12475" s="107" t="str">
        <f aca="false">IF($C12475="","",$D12475*IFERROR(INDEX('تحليل التكلفة والسعر'!$C$2:$C$700,MATCH($C12475,'تحليل التكلفة والسعر'!$B$2:$B$700,0)),0))</f>
        <v/>
      </c>
    </row>
    <row r="12476" customFormat="false" ht="15" hidden="false" customHeight="false" outlineLevel="0" collapsed="false">
      <c r="A12476" s="103"/>
      <c r="B12476" s="104"/>
      <c r="C12476" s="104"/>
      <c r="E12476" s="107" t="str">
        <f aca="false">IF($C12476="","",IFERROR(INDEX(المنيو!$C$2:$C$500,MATCH($C12476,المنيو!$B$2:$B$500,0)),0))</f>
        <v/>
      </c>
      <c r="F12476" s="107" t="str">
        <f aca="false">IF($C12476="","",$D12476*$E12476)</f>
        <v/>
      </c>
      <c r="G12476" s="107" t="str">
        <f aca="false">IF($C12476="","",$D12476*IFERROR(INDEX('تحليل التكلفة والسعر'!$C$2:$C$700,MATCH($C12476,'تحليل التكلفة والسعر'!$B$2:$B$700,0)),0))</f>
        <v/>
      </c>
    </row>
    <row r="12477" customFormat="false" ht="15" hidden="false" customHeight="false" outlineLevel="0" collapsed="false">
      <c r="A12477" s="103"/>
      <c r="B12477" s="104"/>
      <c r="C12477" s="104"/>
      <c r="E12477" s="107" t="str">
        <f aca="false">IF($C12477="","",IFERROR(INDEX(المنيو!$C$2:$C$500,MATCH($C12477,المنيو!$B$2:$B$500,0)),0))</f>
        <v/>
      </c>
      <c r="F12477" s="107" t="str">
        <f aca="false">IF($C12477="","",$D12477*$E12477)</f>
        <v/>
      </c>
      <c r="G12477" s="107" t="str">
        <f aca="false">IF($C12477="","",$D12477*IFERROR(INDEX('تحليل التكلفة والسعر'!$C$2:$C$700,MATCH($C12477,'تحليل التكلفة والسعر'!$B$2:$B$700,0)),0))</f>
        <v/>
      </c>
    </row>
    <row r="12478" customFormat="false" ht="15" hidden="false" customHeight="false" outlineLevel="0" collapsed="false">
      <c r="A12478" s="103"/>
      <c r="B12478" s="104"/>
      <c r="C12478" s="104"/>
      <c r="E12478" s="107" t="str">
        <f aca="false">IF($C12478="","",IFERROR(INDEX(المنيو!$C$2:$C$500,MATCH($C12478,المنيو!$B$2:$B$500,0)),0))</f>
        <v/>
      </c>
      <c r="F12478" s="107" t="str">
        <f aca="false">IF($C12478="","",$D12478*$E12478)</f>
        <v/>
      </c>
      <c r="G12478" s="107" t="str">
        <f aca="false">IF($C12478="","",$D12478*IFERROR(INDEX('تحليل التكلفة والسعر'!$C$2:$C$700,MATCH($C12478,'تحليل التكلفة والسعر'!$B$2:$B$700,0)),0))</f>
        <v/>
      </c>
    </row>
    <row r="12479" customFormat="false" ht="15" hidden="false" customHeight="false" outlineLevel="0" collapsed="false">
      <c r="A12479" s="103"/>
      <c r="B12479" s="104"/>
      <c r="C12479" s="104"/>
      <c r="E12479" s="107" t="str">
        <f aca="false">IF($C12479="","",IFERROR(INDEX(المنيو!$C$2:$C$500,MATCH($C12479,المنيو!$B$2:$B$500,0)),0))</f>
        <v/>
      </c>
      <c r="F12479" s="107" t="str">
        <f aca="false">IF($C12479="","",$D12479*$E12479)</f>
        <v/>
      </c>
      <c r="G12479" s="107" t="str">
        <f aca="false">IF($C12479="","",$D12479*IFERROR(INDEX('تحليل التكلفة والسعر'!$C$2:$C$700,MATCH($C12479,'تحليل التكلفة والسعر'!$B$2:$B$700,0)),0))</f>
        <v/>
      </c>
    </row>
    <row r="12480" customFormat="false" ht="15" hidden="false" customHeight="false" outlineLevel="0" collapsed="false">
      <c r="A12480" s="103"/>
      <c r="B12480" s="104"/>
      <c r="C12480" s="104"/>
      <c r="E12480" s="107" t="str">
        <f aca="false">IF($C12480="","",IFERROR(INDEX(المنيو!$C$2:$C$500,MATCH($C12480,المنيو!$B$2:$B$500,0)),0))</f>
        <v/>
      </c>
      <c r="F12480" s="107" t="str">
        <f aca="false">IF($C12480="","",$D12480*$E12480)</f>
        <v/>
      </c>
      <c r="G12480" s="107" t="str">
        <f aca="false">IF($C12480="","",$D12480*IFERROR(INDEX('تحليل التكلفة والسعر'!$C$2:$C$700,MATCH($C12480,'تحليل التكلفة والسعر'!$B$2:$B$700,0)),0))</f>
        <v/>
      </c>
    </row>
    <row r="12481" customFormat="false" ht="15" hidden="false" customHeight="false" outlineLevel="0" collapsed="false">
      <c r="A12481" s="103"/>
      <c r="B12481" s="104"/>
      <c r="C12481" s="104"/>
      <c r="E12481" s="107" t="str">
        <f aca="false">IF($C12481="","",IFERROR(INDEX(المنيو!$C$2:$C$500,MATCH($C12481,المنيو!$B$2:$B$500,0)),0))</f>
        <v/>
      </c>
      <c r="F12481" s="107" t="str">
        <f aca="false">IF($C12481="","",$D12481*$E12481)</f>
        <v/>
      </c>
      <c r="G12481" s="107" t="str">
        <f aca="false">IF($C12481="","",$D12481*IFERROR(INDEX('تحليل التكلفة والسعر'!$C$2:$C$700,MATCH($C12481,'تحليل التكلفة والسعر'!$B$2:$B$700,0)),0))</f>
        <v/>
      </c>
    </row>
    <row r="12482" customFormat="false" ht="15" hidden="false" customHeight="false" outlineLevel="0" collapsed="false">
      <c r="A12482" s="103"/>
      <c r="B12482" s="104"/>
      <c r="C12482" s="104"/>
      <c r="E12482" s="107" t="str">
        <f aca="false">IF($C12482="","",IFERROR(INDEX(المنيو!$C$2:$C$500,MATCH($C12482,المنيو!$B$2:$B$500,0)),0))</f>
        <v/>
      </c>
      <c r="F12482" s="107" t="str">
        <f aca="false">IF($C12482="","",$D12482*$E12482)</f>
        <v/>
      </c>
      <c r="G12482" s="107" t="str">
        <f aca="false">IF($C12482="","",$D12482*IFERROR(INDEX('تحليل التكلفة والسعر'!$C$2:$C$700,MATCH($C12482,'تحليل التكلفة والسعر'!$B$2:$B$700,0)),0))</f>
        <v/>
      </c>
    </row>
    <row r="12483" customFormat="false" ht="15" hidden="false" customHeight="false" outlineLevel="0" collapsed="false">
      <c r="A12483" s="103"/>
      <c r="B12483" s="104"/>
      <c r="C12483" s="104"/>
      <c r="E12483" s="107" t="str">
        <f aca="false">IF($C12483="","",IFERROR(INDEX(المنيو!$C$2:$C$500,MATCH($C12483,المنيو!$B$2:$B$500,0)),0))</f>
        <v/>
      </c>
      <c r="F12483" s="107" t="str">
        <f aca="false">IF($C12483="","",$D12483*$E12483)</f>
        <v/>
      </c>
      <c r="G12483" s="107" t="str">
        <f aca="false">IF($C12483="","",$D12483*IFERROR(INDEX('تحليل التكلفة والسعر'!$C$2:$C$700,MATCH($C12483,'تحليل التكلفة والسعر'!$B$2:$B$700,0)),0))</f>
        <v/>
      </c>
    </row>
    <row r="12484" customFormat="false" ht="15" hidden="false" customHeight="false" outlineLevel="0" collapsed="false">
      <c r="A12484" s="103"/>
      <c r="B12484" s="104"/>
      <c r="C12484" s="104"/>
      <c r="E12484" s="107" t="str">
        <f aca="false">IF($C12484="","",IFERROR(INDEX(المنيو!$C$2:$C$500,MATCH($C12484,المنيو!$B$2:$B$500,0)),0))</f>
        <v/>
      </c>
      <c r="F12484" s="107" t="str">
        <f aca="false">IF($C12484="","",$D12484*$E12484)</f>
        <v/>
      </c>
      <c r="G12484" s="107" t="str">
        <f aca="false">IF($C12484="","",$D12484*IFERROR(INDEX('تحليل التكلفة والسعر'!$C$2:$C$700,MATCH($C12484,'تحليل التكلفة والسعر'!$B$2:$B$700,0)),0))</f>
        <v/>
      </c>
    </row>
    <row r="12485" customFormat="false" ht="15" hidden="false" customHeight="false" outlineLevel="0" collapsed="false">
      <c r="A12485" s="103"/>
      <c r="B12485" s="104"/>
      <c r="C12485" s="104"/>
      <c r="E12485" s="107" t="str">
        <f aca="false">IF($C12485="","",IFERROR(INDEX(المنيو!$C$2:$C$500,MATCH($C12485,المنيو!$B$2:$B$500,0)),0))</f>
        <v/>
      </c>
      <c r="F12485" s="107" t="str">
        <f aca="false">IF($C12485="","",$D12485*$E12485)</f>
        <v/>
      </c>
      <c r="G12485" s="107" t="str">
        <f aca="false">IF($C12485="","",$D12485*IFERROR(INDEX('تحليل التكلفة والسعر'!$C$2:$C$700,MATCH($C12485,'تحليل التكلفة والسعر'!$B$2:$B$700,0)),0))</f>
        <v/>
      </c>
    </row>
    <row r="12486" customFormat="false" ht="15" hidden="false" customHeight="false" outlineLevel="0" collapsed="false">
      <c r="A12486" s="103"/>
      <c r="B12486" s="104"/>
      <c r="C12486" s="104"/>
      <c r="E12486" s="107" t="str">
        <f aca="false">IF($C12486="","",IFERROR(INDEX(المنيو!$C$2:$C$500,MATCH($C12486,المنيو!$B$2:$B$500,0)),0))</f>
        <v/>
      </c>
      <c r="F12486" s="107" t="str">
        <f aca="false">IF($C12486="","",$D12486*$E12486)</f>
        <v/>
      </c>
      <c r="G12486" s="107" t="str">
        <f aca="false">IF($C12486="","",$D12486*IFERROR(INDEX('تحليل التكلفة والسعر'!$C$2:$C$700,MATCH($C12486,'تحليل التكلفة والسعر'!$B$2:$B$700,0)),0))</f>
        <v/>
      </c>
    </row>
    <row r="12487" customFormat="false" ht="15" hidden="false" customHeight="false" outlineLevel="0" collapsed="false">
      <c r="A12487" s="103"/>
      <c r="B12487" s="104"/>
      <c r="C12487" s="104"/>
      <c r="E12487" s="107" t="str">
        <f aca="false">IF($C12487="","",IFERROR(INDEX(المنيو!$C$2:$C$500,MATCH($C12487,المنيو!$B$2:$B$500,0)),0))</f>
        <v/>
      </c>
      <c r="F12487" s="107" t="str">
        <f aca="false">IF($C12487="","",$D12487*$E12487)</f>
        <v/>
      </c>
      <c r="G12487" s="107" t="str">
        <f aca="false">IF($C12487="","",$D12487*IFERROR(INDEX('تحليل التكلفة والسعر'!$C$2:$C$700,MATCH($C12487,'تحليل التكلفة والسعر'!$B$2:$B$700,0)),0))</f>
        <v/>
      </c>
    </row>
    <row r="12488" customFormat="false" ht="15" hidden="false" customHeight="false" outlineLevel="0" collapsed="false">
      <c r="A12488" s="103"/>
      <c r="B12488" s="104"/>
      <c r="C12488" s="104"/>
      <c r="E12488" s="107" t="str">
        <f aca="false">IF($C12488="","",IFERROR(INDEX(المنيو!$C$2:$C$500,MATCH($C12488,المنيو!$B$2:$B$500,0)),0))</f>
        <v/>
      </c>
      <c r="F12488" s="107" t="str">
        <f aca="false">IF($C12488="","",$D12488*$E12488)</f>
        <v/>
      </c>
      <c r="G12488" s="107" t="str">
        <f aca="false">IF($C12488="","",$D12488*IFERROR(INDEX('تحليل التكلفة والسعر'!$C$2:$C$700,MATCH($C12488,'تحليل التكلفة والسعر'!$B$2:$B$700,0)),0))</f>
        <v/>
      </c>
    </row>
    <row r="12489" customFormat="false" ht="15" hidden="false" customHeight="false" outlineLevel="0" collapsed="false">
      <c r="A12489" s="103"/>
      <c r="B12489" s="104"/>
      <c r="C12489" s="104"/>
      <c r="E12489" s="107" t="str">
        <f aca="false">IF($C12489="","",IFERROR(INDEX(المنيو!$C$2:$C$500,MATCH($C12489,المنيو!$B$2:$B$500,0)),0))</f>
        <v/>
      </c>
      <c r="F12489" s="107" t="str">
        <f aca="false">IF($C12489="","",$D12489*$E12489)</f>
        <v/>
      </c>
      <c r="G12489" s="107" t="str">
        <f aca="false">IF($C12489="","",$D12489*IFERROR(INDEX('تحليل التكلفة والسعر'!$C$2:$C$700,MATCH($C12489,'تحليل التكلفة والسعر'!$B$2:$B$700,0)),0))</f>
        <v/>
      </c>
    </row>
    <row r="12490" customFormat="false" ht="15" hidden="false" customHeight="false" outlineLevel="0" collapsed="false">
      <c r="A12490" s="103"/>
      <c r="B12490" s="104"/>
      <c r="C12490" s="104"/>
      <c r="E12490" s="107" t="str">
        <f aca="false">IF($C12490="","",IFERROR(INDEX(المنيو!$C$2:$C$500,MATCH($C12490,المنيو!$B$2:$B$500,0)),0))</f>
        <v/>
      </c>
      <c r="F12490" s="107" t="str">
        <f aca="false">IF($C12490="","",$D12490*$E12490)</f>
        <v/>
      </c>
      <c r="G12490" s="107" t="str">
        <f aca="false">IF($C12490="","",$D12490*IFERROR(INDEX('تحليل التكلفة والسعر'!$C$2:$C$700,MATCH($C12490,'تحليل التكلفة والسعر'!$B$2:$B$700,0)),0))</f>
        <v/>
      </c>
    </row>
    <row r="12491" customFormat="false" ht="15" hidden="false" customHeight="false" outlineLevel="0" collapsed="false">
      <c r="A12491" s="103"/>
      <c r="B12491" s="104"/>
      <c r="C12491" s="104"/>
      <c r="E12491" s="107" t="str">
        <f aca="false">IF($C12491="","",IFERROR(INDEX(المنيو!$C$2:$C$500,MATCH($C12491,المنيو!$B$2:$B$500,0)),0))</f>
        <v/>
      </c>
      <c r="F12491" s="107" t="str">
        <f aca="false">IF($C12491="","",$D12491*$E12491)</f>
        <v/>
      </c>
      <c r="G12491" s="107" t="str">
        <f aca="false">IF($C12491="","",$D12491*IFERROR(INDEX('تحليل التكلفة والسعر'!$C$2:$C$700,MATCH($C12491,'تحليل التكلفة والسعر'!$B$2:$B$700,0)),0))</f>
        <v/>
      </c>
    </row>
    <row r="12492" customFormat="false" ht="15" hidden="false" customHeight="false" outlineLevel="0" collapsed="false">
      <c r="A12492" s="103"/>
      <c r="B12492" s="104"/>
      <c r="C12492" s="104"/>
      <c r="E12492" s="107" t="str">
        <f aca="false">IF($C12492="","",IFERROR(INDEX(المنيو!$C$2:$C$500,MATCH($C12492,المنيو!$B$2:$B$500,0)),0))</f>
        <v/>
      </c>
      <c r="F12492" s="107" t="str">
        <f aca="false">IF($C12492="","",$D12492*$E12492)</f>
        <v/>
      </c>
      <c r="G12492" s="107" t="str">
        <f aca="false">IF($C12492="","",$D12492*IFERROR(INDEX('تحليل التكلفة والسعر'!$C$2:$C$700,MATCH($C12492,'تحليل التكلفة والسعر'!$B$2:$B$700,0)),0))</f>
        <v/>
      </c>
    </row>
    <row r="12493" customFormat="false" ht="15" hidden="false" customHeight="false" outlineLevel="0" collapsed="false">
      <c r="A12493" s="103"/>
      <c r="B12493" s="104"/>
      <c r="C12493" s="104"/>
      <c r="E12493" s="107" t="str">
        <f aca="false">IF($C12493="","",IFERROR(INDEX(المنيو!$C$2:$C$500,MATCH($C12493,المنيو!$B$2:$B$500,0)),0))</f>
        <v/>
      </c>
      <c r="F12493" s="107" t="str">
        <f aca="false">IF($C12493="","",$D12493*$E12493)</f>
        <v/>
      </c>
      <c r="G12493" s="107" t="str">
        <f aca="false">IF($C12493="","",$D12493*IFERROR(INDEX('تحليل التكلفة والسعر'!$C$2:$C$700,MATCH($C12493,'تحليل التكلفة والسعر'!$B$2:$B$700,0)),0))</f>
        <v/>
      </c>
    </row>
    <row r="12494" customFormat="false" ht="15" hidden="false" customHeight="false" outlineLevel="0" collapsed="false">
      <c r="A12494" s="103"/>
      <c r="B12494" s="104"/>
      <c r="C12494" s="104"/>
      <c r="E12494" s="107" t="str">
        <f aca="false">IF($C12494="","",IFERROR(INDEX(المنيو!$C$2:$C$500,MATCH($C12494,المنيو!$B$2:$B$500,0)),0))</f>
        <v/>
      </c>
      <c r="F12494" s="107" t="str">
        <f aca="false">IF($C12494="","",$D12494*$E12494)</f>
        <v/>
      </c>
      <c r="G12494" s="107" t="str">
        <f aca="false">IF($C12494="","",$D12494*IFERROR(INDEX('تحليل التكلفة والسعر'!$C$2:$C$700,MATCH($C12494,'تحليل التكلفة والسعر'!$B$2:$B$700,0)),0))</f>
        <v/>
      </c>
    </row>
    <row r="12495" customFormat="false" ht="15" hidden="false" customHeight="false" outlineLevel="0" collapsed="false">
      <c r="A12495" s="103"/>
      <c r="B12495" s="104"/>
      <c r="C12495" s="104"/>
      <c r="E12495" s="107" t="str">
        <f aca="false">IF($C12495="","",IFERROR(INDEX(المنيو!$C$2:$C$500,MATCH($C12495,المنيو!$B$2:$B$500,0)),0))</f>
        <v/>
      </c>
      <c r="F12495" s="107" t="str">
        <f aca="false">IF($C12495="","",$D12495*$E12495)</f>
        <v/>
      </c>
      <c r="G12495" s="107" t="str">
        <f aca="false">IF($C12495="","",$D12495*IFERROR(INDEX('تحليل التكلفة والسعر'!$C$2:$C$700,MATCH($C12495,'تحليل التكلفة والسعر'!$B$2:$B$700,0)),0))</f>
        <v/>
      </c>
    </row>
    <row r="12496" customFormat="false" ht="15" hidden="false" customHeight="false" outlineLevel="0" collapsed="false">
      <c r="A12496" s="103"/>
      <c r="B12496" s="104"/>
      <c r="C12496" s="104"/>
      <c r="E12496" s="107" t="str">
        <f aca="false">IF($C12496="","",IFERROR(INDEX(المنيو!$C$2:$C$500,MATCH($C12496,المنيو!$B$2:$B$500,0)),0))</f>
        <v/>
      </c>
      <c r="F12496" s="107" t="str">
        <f aca="false">IF($C12496="","",$D12496*$E12496)</f>
        <v/>
      </c>
      <c r="G12496" s="107" t="str">
        <f aca="false">IF($C12496="","",$D12496*IFERROR(INDEX('تحليل التكلفة والسعر'!$C$2:$C$700,MATCH($C12496,'تحليل التكلفة والسعر'!$B$2:$B$700,0)),0))</f>
        <v/>
      </c>
    </row>
    <row r="12497" customFormat="false" ht="15" hidden="false" customHeight="false" outlineLevel="0" collapsed="false">
      <c r="A12497" s="103"/>
      <c r="B12497" s="104"/>
      <c r="C12497" s="104"/>
      <c r="E12497" s="107" t="str">
        <f aca="false">IF($C12497="","",IFERROR(INDEX(المنيو!$C$2:$C$500,MATCH($C12497,المنيو!$B$2:$B$500,0)),0))</f>
        <v/>
      </c>
      <c r="F12497" s="107" t="str">
        <f aca="false">IF($C12497="","",$D12497*$E12497)</f>
        <v/>
      </c>
      <c r="G12497" s="107" t="str">
        <f aca="false">IF($C12497="","",$D12497*IFERROR(INDEX('تحليل التكلفة والسعر'!$C$2:$C$700,MATCH($C12497,'تحليل التكلفة والسعر'!$B$2:$B$700,0)),0))</f>
        <v/>
      </c>
    </row>
    <row r="12498" customFormat="false" ht="15" hidden="false" customHeight="false" outlineLevel="0" collapsed="false">
      <c r="A12498" s="103"/>
      <c r="B12498" s="104"/>
      <c r="C12498" s="104"/>
      <c r="E12498" s="107" t="str">
        <f aca="false">IF($C12498="","",IFERROR(INDEX(المنيو!$C$2:$C$500,MATCH($C12498,المنيو!$B$2:$B$500,0)),0))</f>
        <v/>
      </c>
      <c r="F12498" s="107" t="str">
        <f aca="false">IF($C12498="","",$D12498*$E12498)</f>
        <v/>
      </c>
      <c r="G12498" s="107" t="str">
        <f aca="false">IF($C12498="","",$D12498*IFERROR(INDEX('تحليل التكلفة والسعر'!$C$2:$C$700,MATCH($C12498,'تحليل التكلفة والسعر'!$B$2:$B$700,0)),0))</f>
        <v/>
      </c>
    </row>
    <row r="12499" customFormat="false" ht="15" hidden="false" customHeight="false" outlineLevel="0" collapsed="false">
      <c r="A12499" s="103"/>
      <c r="B12499" s="104"/>
      <c r="C12499" s="104"/>
      <c r="E12499" s="107" t="str">
        <f aca="false">IF($C12499="","",IFERROR(INDEX(المنيو!$C$2:$C$500,MATCH($C12499,المنيو!$B$2:$B$500,0)),0))</f>
        <v/>
      </c>
      <c r="F12499" s="107" t="str">
        <f aca="false">IF($C12499="","",$D12499*$E12499)</f>
        <v/>
      </c>
      <c r="G12499" s="107" t="str">
        <f aca="false">IF($C12499="","",$D12499*IFERROR(INDEX('تحليل التكلفة والسعر'!$C$2:$C$700,MATCH($C12499,'تحليل التكلفة والسعر'!$B$2:$B$700,0)),0))</f>
        <v/>
      </c>
    </row>
    <row r="12500" customFormat="false" ht="15" hidden="false" customHeight="false" outlineLevel="0" collapsed="false">
      <c r="A12500" s="103"/>
      <c r="B12500" s="104"/>
      <c r="C12500" s="104"/>
      <c r="E12500" s="107" t="str">
        <f aca="false">IF($C12500="","",IFERROR(INDEX(المنيو!$C$2:$C$500,MATCH($C12500,المنيو!$B$2:$B$500,0)),0))</f>
        <v/>
      </c>
      <c r="F12500" s="107" t="str">
        <f aca="false">IF($C12500="","",$D12500*$E12500)</f>
        <v/>
      </c>
      <c r="G12500" s="107" t="str">
        <f aca="false">IF($C12500="","",$D12500*IFERROR(INDEX('تحليل التكلفة والسعر'!$C$2:$C$700,MATCH($C12500,'تحليل التكلفة والسعر'!$B$2:$B$700,0)),0))</f>
        <v/>
      </c>
    </row>
    <row r="12501" customFormat="false" ht="15" hidden="false" customHeight="false" outlineLevel="0" collapsed="false">
      <c r="A12501" s="103"/>
      <c r="B12501" s="104"/>
      <c r="C12501" s="104"/>
      <c r="E12501" s="107" t="str">
        <f aca="false">IF($C12501="","",IFERROR(INDEX(المنيو!$C$2:$C$500,MATCH($C12501,المنيو!$B$2:$B$500,0)),0))</f>
        <v/>
      </c>
      <c r="F12501" s="107" t="str">
        <f aca="false">IF($C12501="","",$D12501*$E12501)</f>
        <v/>
      </c>
      <c r="G12501" s="107" t="str">
        <f aca="false">IF($C12501="","",$D12501*IFERROR(INDEX('تحليل التكلفة والسعر'!$C$2:$C$700,MATCH($C12501,'تحليل التكلفة والسعر'!$B$2:$B$700,0)),0))</f>
        <v/>
      </c>
    </row>
    <row r="12502" customFormat="false" ht="15" hidden="false" customHeight="false" outlineLevel="0" collapsed="false">
      <c r="A12502" s="103"/>
      <c r="B12502" s="104"/>
      <c r="C12502" s="104"/>
      <c r="E12502" s="107" t="str">
        <f aca="false">IF($C12502="","",IFERROR(INDEX(المنيو!$C$2:$C$500,MATCH($C12502,المنيو!$B$2:$B$500,0)),0))</f>
        <v/>
      </c>
      <c r="F12502" s="107" t="str">
        <f aca="false">IF($C12502="","",$D12502*$E12502)</f>
        <v/>
      </c>
      <c r="G12502" s="107" t="str">
        <f aca="false">IF($C12502="","",$D12502*IFERROR(INDEX('تحليل التكلفة والسعر'!$C$2:$C$700,MATCH($C12502,'تحليل التكلفة والسعر'!$B$2:$B$700,0)),0))</f>
        <v/>
      </c>
    </row>
    <row r="12503" customFormat="false" ht="15" hidden="false" customHeight="false" outlineLevel="0" collapsed="false">
      <c r="A12503" s="103"/>
      <c r="B12503" s="104"/>
      <c r="C12503" s="104"/>
      <c r="E12503" s="107" t="str">
        <f aca="false">IF($C12503="","",IFERROR(INDEX(المنيو!$C$2:$C$500,MATCH($C12503,المنيو!$B$2:$B$500,0)),0))</f>
        <v/>
      </c>
      <c r="F12503" s="107" t="str">
        <f aca="false">IF($C12503="","",$D12503*$E12503)</f>
        <v/>
      </c>
      <c r="G12503" s="107" t="str">
        <f aca="false">IF($C12503="","",$D12503*IFERROR(INDEX('تحليل التكلفة والسعر'!$C$2:$C$700,MATCH($C12503,'تحليل التكلفة والسعر'!$B$2:$B$700,0)),0))</f>
        <v/>
      </c>
    </row>
    <row r="12504" customFormat="false" ht="15" hidden="false" customHeight="false" outlineLevel="0" collapsed="false">
      <c r="A12504" s="103"/>
      <c r="B12504" s="104"/>
      <c r="C12504" s="104"/>
      <c r="E12504" s="107" t="str">
        <f aca="false">IF($C12504="","",IFERROR(INDEX(المنيو!$C$2:$C$500,MATCH($C12504,المنيو!$B$2:$B$500,0)),0))</f>
        <v/>
      </c>
      <c r="F12504" s="107" t="str">
        <f aca="false">IF($C12504="","",$D12504*$E12504)</f>
        <v/>
      </c>
      <c r="G12504" s="107" t="str">
        <f aca="false">IF($C12504="","",$D12504*IFERROR(INDEX('تحليل التكلفة والسعر'!$C$2:$C$700,MATCH($C12504,'تحليل التكلفة والسعر'!$B$2:$B$700,0)),0))</f>
        <v/>
      </c>
    </row>
    <row r="12505" customFormat="false" ht="15" hidden="false" customHeight="false" outlineLevel="0" collapsed="false">
      <c r="A12505" s="103"/>
      <c r="B12505" s="104"/>
      <c r="C12505" s="104"/>
      <c r="E12505" s="107" t="str">
        <f aca="false">IF($C12505="","",IFERROR(INDEX(المنيو!$C$2:$C$500,MATCH($C12505,المنيو!$B$2:$B$500,0)),0))</f>
        <v/>
      </c>
      <c r="F12505" s="107" t="str">
        <f aca="false">IF($C12505="","",$D12505*$E12505)</f>
        <v/>
      </c>
      <c r="G12505" s="107" t="str">
        <f aca="false">IF($C12505="","",$D12505*IFERROR(INDEX('تحليل التكلفة والسعر'!$C$2:$C$700,MATCH($C12505,'تحليل التكلفة والسعر'!$B$2:$B$700,0)),0))</f>
        <v/>
      </c>
    </row>
    <row r="12506" customFormat="false" ht="15" hidden="false" customHeight="false" outlineLevel="0" collapsed="false">
      <c r="A12506" s="103"/>
      <c r="B12506" s="104"/>
      <c r="C12506" s="104"/>
      <c r="E12506" s="107" t="str">
        <f aca="false">IF($C12506="","",IFERROR(INDEX(المنيو!$C$2:$C$500,MATCH($C12506,المنيو!$B$2:$B$500,0)),0))</f>
        <v/>
      </c>
      <c r="F12506" s="107" t="str">
        <f aca="false">IF($C12506="","",$D12506*$E12506)</f>
        <v/>
      </c>
      <c r="G12506" s="107" t="str">
        <f aca="false">IF($C12506="","",$D12506*IFERROR(INDEX('تحليل التكلفة والسعر'!$C$2:$C$700,MATCH($C12506,'تحليل التكلفة والسعر'!$B$2:$B$700,0)),0))</f>
        <v/>
      </c>
    </row>
    <row r="12507" customFormat="false" ht="15" hidden="false" customHeight="false" outlineLevel="0" collapsed="false">
      <c r="A12507" s="103"/>
      <c r="B12507" s="104"/>
      <c r="C12507" s="104"/>
      <c r="E12507" s="107" t="str">
        <f aca="false">IF($C12507="","",IFERROR(INDEX(المنيو!$C$2:$C$500,MATCH($C12507,المنيو!$B$2:$B$500,0)),0))</f>
        <v/>
      </c>
      <c r="F12507" s="107" t="str">
        <f aca="false">IF($C12507="","",$D12507*$E12507)</f>
        <v/>
      </c>
      <c r="G12507" s="107" t="str">
        <f aca="false">IF($C12507="","",$D12507*IFERROR(INDEX('تحليل التكلفة والسعر'!$C$2:$C$700,MATCH($C12507,'تحليل التكلفة والسعر'!$B$2:$B$700,0)),0))</f>
        <v/>
      </c>
    </row>
    <row r="12508" customFormat="false" ht="15" hidden="false" customHeight="false" outlineLevel="0" collapsed="false">
      <c r="A12508" s="103"/>
      <c r="B12508" s="104"/>
      <c r="C12508" s="104"/>
      <c r="E12508" s="107" t="str">
        <f aca="false">IF($C12508="","",IFERROR(INDEX(المنيو!$C$2:$C$500,MATCH($C12508,المنيو!$B$2:$B$500,0)),0))</f>
        <v/>
      </c>
      <c r="F12508" s="107" t="str">
        <f aca="false">IF($C12508="","",$D12508*$E12508)</f>
        <v/>
      </c>
      <c r="G12508" s="107" t="str">
        <f aca="false">IF($C12508="","",$D12508*IFERROR(INDEX('تحليل التكلفة والسعر'!$C$2:$C$700,MATCH($C12508,'تحليل التكلفة والسعر'!$B$2:$B$700,0)),0))</f>
        <v/>
      </c>
    </row>
    <row r="12509" customFormat="false" ht="15" hidden="false" customHeight="false" outlineLevel="0" collapsed="false">
      <c r="A12509" s="103"/>
      <c r="B12509" s="104"/>
      <c r="C12509" s="104"/>
      <c r="E12509" s="107" t="str">
        <f aca="false">IF($C12509="","",IFERROR(INDEX(المنيو!$C$2:$C$500,MATCH($C12509,المنيو!$B$2:$B$500,0)),0))</f>
        <v/>
      </c>
      <c r="F12509" s="107" t="str">
        <f aca="false">IF($C12509="","",$D12509*$E12509)</f>
        <v/>
      </c>
      <c r="G12509" s="107" t="str">
        <f aca="false">IF($C12509="","",$D12509*IFERROR(INDEX('تحليل التكلفة والسعر'!$C$2:$C$700,MATCH($C12509,'تحليل التكلفة والسعر'!$B$2:$B$700,0)),0))</f>
        <v/>
      </c>
    </row>
    <row r="12510" customFormat="false" ht="15" hidden="false" customHeight="false" outlineLevel="0" collapsed="false">
      <c r="A12510" s="103"/>
      <c r="B12510" s="104"/>
      <c r="C12510" s="104"/>
      <c r="E12510" s="107" t="str">
        <f aca="false">IF($C12510="","",IFERROR(INDEX(المنيو!$C$2:$C$500,MATCH($C12510,المنيو!$B$2:$B$500,0)),0))</f>
        <v/>
      </c>
      <c r="F12510" s="107" t="str">
        <f aca="false">IF($C12510="","",$D12510*$E12510)</f>
        <v/>
      </c>
      <c r="G12510" s="107" t="str">
        <f aca="false">IF($C12510="","",$D12510*IFERROR(INDEX('تحليل التكلفة والسعر'!$C$2:$C$700,MATCH($C12510,'تحليل التكلفة والسعر'!$B$2:$B$700,0)),0))</f>
        <v/>
      </c>
    </row>
    <row r="12511" customFormat="false" ht="15" hidden="false" customHeight="false" outlineLevel="0" collapsed="false">
      <c r="A12511" s="103"/>
      <c r="B12511" s="104"/>
      <c r="C12511" s="104"/>
      <c r="E12511" s="107" t="str">
        <f aca="false">IF($C12511="","",IFERROR(INDEX(المنيو!$C$2:$C$500,MATCH($C12511,المنيو!$B$2:$B$500,0)),0))</f>
        <v/>
      </c>
      <c r="F12511" s="107" t="str">
        <f aca="false">IF($C12511="","",$D12511*$E12511)</f>
        <v/>
      </c>
      <c r="G12511" s="107" t="str">
        <f aca="false">IF($C12511="","",$D12511*IFERROR(INDEX('تحليل التكلفة والسعر'!$C$2:$C$700,MATCH($C12511,'تحليل التكلفة والسعر'!$B$2:$B$700,0)),0))</f>
        <v/>
      </c>
    </row>
    <row r="12512" customFormat="false" ht="15" hidden="false" customHeight="false" outlineLevel="0" collapsed="false">
      <c r="A12512" s="103"/>
      <c r="B12512" s="104"/>
      <c r="C12512" s="104"/>
      <c r="E12512" s="107" t="str">
        <f aca="false">IF($C12512="","",IFERROR(INDEX(المنيو!$C$2:$C$500,MATCH($C12512,المنيو!$B$2:$B$500,0)),0))</f>
        <v/>
      </c>
      <c r="F12512" s="107" t="str">
        <f aca="false">IF($C12512="","",$D12512*$E12512)</f>
        <v/>
      </c>
      <c r="G12512" s="107" t="str">
        <f aca="false">IF($C12512="","",$D12512*IFERROR(INDEX('تحليل التكلفة والسعر'!$C$2:$C$700,MATCH($C12512,'تحليل التكلفة والسعر'!$B$2:$B$700,0)),0))</f>
        <v/>
      </c>
    </row>
    <row r="12513" customFormat="false" ht="15" hidden="false" customHeight="false" outlineLevel="0" collapsed="false">
      <c r="A12513" s="103"/>
      <c r="B12513" s="104"/>
      <c r="C12513" s="104"/>
      <c r="E12513" s="107" t="str">
        <f aca="false">IF($C12513="","",IFERROR(INDEX(المنيو!$C$2:$C$500,MATCH($C12513,المنيو!$B$2:$B$500,0)),0))</f>
        <v/>
      </c>
      <c r="F12513" s="107" t="str">
        <f aca="false">IF($C12513="","",$D12513*$E12513)</f>
        <v/>
      </c>
      <c r="G12513" s="107" t="str">
        <f aca="false">IF($C12513="","",$D12513*IFERROR(INDEX('تحليل التكلفة والسعر'!$C$2:$C$700,MATCH($C12513,'تحليل التكلفة والسعر'!$B$2:$B$700,0)),0))</f>
        <v/>
      </c>
    </row>
    <row r="12514" customFormat="false" ht="15" hidden="false" customHeight="false" outlineLevel="0" collapsed="false">
      <c r="A12514" s="103"/>
      <c r="B12514" s="104"/>
      <c r="C12514" s="104"/>
      <c r="E12514" s="107" t="str">
        <f aca="false">IF($C12514="","",IFERROR(INDEX(المنيو!$C$2:$C$500,MATCH($C12514,المنيو!$B$2:$B$500,0)),0))</f>
        <v/>
      </c>
      <c r="F12514" s="107" t="str">
        <f aca="false">IF($C12514="","",$D12514*$E12514)</f>
        <v/>
      </c>
      <c r="G12514" s="107" t="str">
        <f aca="false">IF($C12514="","",$D12514*IFERROR(INDEX('تحليل التكلفة والسعر'!$C$2:$C$700,MATCH($C12514,'تحليل التكلفة والسعر'!$B$2:$B$700,0)),0))</f>
        <v/>
      </c>
    </row>
    <row r="12515" customFormat="false" ht="15" hidden="false" customHeight="false" outlineLevel="0" collapsed="false">
      <c r="A12515" s="103"/>
      <c r="B12515" s="104"/>
      <c r="C12515" s="104"/>
      <c r="E12515" s="107" t="str">
        <f aca="false">IF($C12515="","",IFERROR(INDEX(المنيو!$C$2:$C$500,MATCH($C12515,المنيو!$B$2:$B$500,0)),0))</f>
        <v/>
      </c>
      <c r="F12515" s="107" t="str">
        <f aca="false">IF($C12515="","",$D12515*$E12515)</f>
        <v/>
      </c>
      <c r="G12515" s="107" t="str">
        <f aca="false">IF($C12515="","",$D12515*IFERROR(INDEX('تحليل التكلفة والسعر'!$C$2:$C$700,MATCH($C12515,'تحليل التكلفة والسعر'!$B$2:$B$700,0)),0))</f>
        <v/>
      </c>
    </row>
    <row r="12516" customFormat="false" ht="15" hidden="false" customHeight="false" outlineLevel="0" collapsed="false">
      <c r="A12516" s="103"/>
      <c r="B12516" s="104"/>
      <c r="C12516" s="104"/>
      <c r="E12516" s="107" t="str">
        <f aca="false">IF($C12516="","",IFERROR(INDEX(المنيو!$C$2:$C$500,MATCH($C12516,المنيو!$B$2:$B$500,0)),0))</f>
        <v/>
      </c>
      <c r="F12516" s="107" t="str">
        <f aca="false">IF($C12516="","",$D12516*$E12516)</f>
        <v/>
      </c>
      <c r="G12516" s="107" t="str">
        <f aca="false">IF($C12516="","",$D12516*IFERROR(INDEX('تحليل التكلفة والسعر'!$C$2:$C$700,MATCH($C12516,'تحليل التكلفة والسعر'!$B$2:$B$700,0)),0))</f>
        <v/>
      </c>
    </row>
    <row r="12517" customFormat="false" ht="15" hidden="false" customHeight="false" outlineLevel="0" collapsed="false">
      <c r="A12517" s="103"/>
      <c r="B12517" s="104"/>
      <c r="C12517" s="104"/>
      <c r="E12517" s="107" t="str">
        <f aca="false">IF($C12517="","",IFERROR(INDEX(المنيو!$C$2:$C$500,MATCH($C12517,المنيو!$B$2:$B$500,0)),0))</f>
        <v/>
      </c>
      <c r="F12517" s="107" t="str">
        <f aca="false">IF($C12517="","",$D12517*$E12517)</f>
        <v/>
      </c>
      <c r="G12517" s="107" t="str">
        <f aca="false">IF($C12517="","",$D12517*IFERROR(INDEX('تحليل التكلفة والسعر'!$C$2:$C$700,MATCH($C12517,'تحليل التكلفة والسعر'!$B$2:$B$700,0)),0))</f>
        <v/>
      </c>
    </row>
    <row r="12518" customFormat="false" ht="15" hidden="false" customHeight="false" outlineLevel="0" collapsed="false">
      <c r="A12518" s="103"/>
      <c r="B12518" s="104"/>
      <c r="C12518" s="104"/>
      <c r="E12518" s="107" t="str">
        <f aca="false">IF($C12518="","",IFERROR(INDEX(المنيو!$C$2:$C$500,MATCH($C12518,المنيو!$B$2:$B$500,0)),0))</f>
        <v/>
      </c>
      <c r="F12518" s="107" t="str">
        <f aca="false">IF($C12518="","",$D12518*$E12518)</f>
        <v/>
      </c>
      <c r="G12518" s="107" t="str">
        <f aca="false">IF($C12518="","",$D12518*IFERROR(INDEX('تحليل التكلفة والسعر'!$C$2:$C$700,MATCH($C12518,'تحليل التكلفة والسعر'!$B$2:$B$700,0)),0))</f>
        <v/>
      </c>
    </row>
    <row r="12519" customFormat="false" ht="15" hidden="false" customHeight="false" outlineLevel="0" collapsed="false">
      <c r="A12519" s="103"/>
      <c r="B12519" s="104"/>
      <c r="C12519" s="104"/>
      <c r="E12519" s="107" t="str">
        <f aca="false">IF($C12519="","",IFERROR(INDEX(المنيو!$C$2:$C$500,MATCH($C12519,المنيو!$B$2:$B$500,0)),0))</f>
        <v/>
      </c>
      <c r="F12519" s="107" t="str">
        <f aca="false">IF($C12519="","",$D12519*$E12519)</f>
        <v/>
      </c>
      <c r="G12519" s="107" t="str">
        <f aca="false">IF($C12519="","",$D12519*IFERROR(INDEX('تحليل التكلفة والسعر'!$C$2:$C$700,MATCH($C12519,'تحليل التكلفة والسعر'!$B$2:$B$700,0)),0))</f>
        <v/>
      </c>
    </row>
    <row r="12520" customFormat="false" ht="15" hidden="false" customHeight="false" outlineLevel="0" collapsed="false">
      <c r="A12520" s="103"/>
      <c r="B12520" s="104"/>
      <c r="C12520" s="104"/>
      <c r="E12520" s="107" t="str">
        <f aca="false">IF($C12520="","",IFERROR(INDEX(المنيو!$C$2:$C$500,MATCH($C12520,المنيو!$B$2:$B$500,0)),0))</f>
        <v/>
      </c>
      <c r="F12520" s="107" t="str">
        <f aca="false">IF($C12520="","",$D12520*$E12520)</f>
        <v/>
      </c>
      <c r="G12520" s="107" t="str">
        <f aca="false">IF($C12520="","",$D12520*IFERROR(INDEX('تحليل التكلفة والسعر'!$C$2:$C$700,MATCH($C12520,'تحليل التكلفة والسعر'!$B$2:$B$700,0)),0))</f>
        <v/>
      </c>
    </row>
    <row r="12521" customFormat="false" ht="15" hidden="false" customHeight="false" outlineLevel="0" collapsed="false">
      <c r="A12521" s="103"/>
      <c r="B12521" s="104"/>
      <c r="C12521" s="104"/>
      <c r="E12521" s="107" t="str">
        <f aca="false">IF($C12521="","",IFERROR(INDEX(المنيو!$C$2:$C$500,MATCH($C12521,المنيو!$B$2:$B$500,0)),0))</f>
        <v/>
      </c>
      <c r="F12521" s="107" t="str">
        <f aca="false">IF($C12521="","",$D12521*$E12521)</f>
        <v/>
      </c>
      <c r="G12521" s="107" t="str">
        <f aca="false">IF($C12521="","",$D12521*IFERROR(INDEX('تحليل التكلفة والسعر'!$C$2:$C$700,MATCH($C12521,'تحليل التكلفة والسعر'!$B$2:$B$700,0)),0))</f>
        <v/>
      </c>
    </row>
    <row r="12522" customFormat="false" ht="15" hidden="false" customHeight="false" outlineLevel="0" collapsed="false">
      <c r="A12522" s="103"/>
      <c r="B12522" s="104"/>
      <c r="C12522" s="104"/>
      <c r="E12522" s="107" t="str">
        <f aca="false">IF($C12522="","",IFERROR(INDEX(المنيو!$C$2:$C$500,MATCH($C12522,المنيو!$B$2:$B$500,0)),0))</f>
        <v/>
      </c>
      <c r="F12522" s="107" t="str">
        <f aca="false">IF($C12522="","",$D12522*$E12522)</f>
        <v/>
      </c>
      <c r="G12522" s="107" t="str">
        <f aca="false">IF($C12522="","",$D12522*IFERROR(INDEX('تحليل التكلفة والسعر'!$C$2:$C$700,MATCH($C12522,'تحليل التكلفة والسعر'!$B$2:$B$700,0)),0))</f>
        <v/>
      </c>
    </row>
    <row r="12523" customFormat="false" ht="15" hidden="false" customHeight="false" outlineLevel="0" collapsed="false">
      <c r="A12523" s="103"/>
      <c r="B12523" s="104"/>
      <c r="C12523" s="104"/>
      <c r="E12523" s="107" t="str">
        <f aca="false">IF($C12523="","",IFERROR(INDEX(المنيو!$C$2:$C$500,MATCH($C12523,المنيو!$B$2:$B$500,0)),0))</f>
        <v/>
      </c>
      <c r="F12523" s="107" t="str">
        <f aca="false">IF($C12523="","",$D12523*$E12523)</f>
        <v/>
      </c>
      <c r="G12523" s="107" t="str">
        <f aca="false">IF($C12523="","",$D12523*IFERROR(INDEX('تحليل التكلفة والسعر'!$C$2:$C$700,MATCH($C12523,'تحليل التكلفة والسعر'!$B$2:$B$700,0)),0))</f>
        <v/>
      </c>
    </row>
    <row r="12524" customFormat="false" ht="15" hidden="false" customHeight="false" outlineLevel="0" collapsed="false">
      <c r="A12524" s="103"/>
      <c r="B12524" s="104"/>
      <c r="C12524" s="104"/>
      <c r="E12524" s="107" t="str">
        <f aca="false">IF($C12524="","",IFERROR(INDEX(المنيو!$C$2:$C$500,MATCH($C12524,المنيو!$B$2:$B$500,0)),0))</f>
        <v/>
      </c>
      <c r="F12524" s="107" t="str">
        <f aca="false">IF($C12524="","",$D12524*$E12524)</f>
        <v/>
      </c>
      <c r="G12524" s="107" t="str">
        <f aca="false">IF($C12524="","",$D12524*IFERROR(INDEX('تحليل التكلفة والسعر'!$C$2:$C$700,MATCH($C12524,'تحليل التكلفة والسعر'!$B$2:$B$700,0)),0))</f>
        <v/>
      </c>
    </row>
    <row r="12525" customFormat="false" ht="15" hidden="false" customHeight="false" outlineLevel="0" collapsed="false">
      <c r="A12525" s="103"/>
      <c r="B12525" s="104"/>
      <c r="C12525" s="104"/>
      <c r="E12525" s="107" t="str">
        <f aca="false">IF($C12525="","",IFERROR(INDEX(المنيو!$C$2:$C$500,MATCH($C12525,المنيو!$B$2:$B$500,0)),0))</f>
        <v/>
      </c>
      <c r="F12525" s="107" t="str">
        <f aca="false">IF($C12525="","",$D12525*$E12525)</f>
        <v/>
      </c>
      <c r="G12525" s="107" t="str">
        <f aca="false">IF($C12525="","",$D12525*IFERROR(INDEX('تحليل التكلفة والسعر'!$C$2:$C$700,MATCH($C12525,'تحليل التكلفة والسعر'!$B$2:$B$700,0)),0))</f>
        <v/>
      </c>
    </row>
    <row r="12526" customFormat="false" ht="15" hidden="false" customHeight="false" outlineLevel="0" collapsed="false">
      <c r="A12526" s="103"/>
      <c r="B12526" s="104"/>
      <c r="C12526" s="104"/>
      <c r="E12526" s="107" t="str">
        <f aca="false">IF($C12526="","",IFERROR(INDEX(المنيو!$C$2:$C$500,MATCH($C12526,المنيو!$B$2:$B$500,0)),0))</f>
        <v/>
      </c>
      <c r="F12526" s="107" t="str">
        <f aca="false">IF($C12526="","",$D12526*$E12526)</f>
        <v/>
      </c>
      <c r="G12526" s="107" t="str">
        <f aca="false">IF($C12526="","",$D12526*IFERROR(INDEX('تحليل التكلفة والسعر'!$C$2:$C$700,MATCH($C12526,'تحليل التكلفة والسعر'!$B$2:$B$700,0)),0))</f>
        <v/>
      </c>
    </row>
    <row r="12527" customFormat="false" ht="15" hidden="false" customHeight="false" outlineLevel="0" collapsed="false">
      <c r="A12527" s="103"/>
      <c r="B12527" s="104"/>
      <c r="C12527" s="104"/>
      <c r="E12527" s="107" t="str">
        <f aca="false">IF($C12527="","",IFERROR(INDEX(المنيو!$C$2:$C$500,MATCH($C12527,المنيو!$B$2:$B$500,0)),0))</f>
        <v/>
      </c>
      <c r="F12527" s="107" t="str">
        <f aca="false">IF($C12527="","",$D12527*$E12527)</f>
        <v/>
      </c>
      <c r="G12527" s="107" t="str">
        <f aca="false">IF($C12527="","",$D12527*IFERROR(INDEX('تحليل التكلفة والسعر'!$C$2:$C$700,MATCH($C12527,'تحليل التكلفة والسعر'!$B$2:$B$700,0)),0))</f>
        <v/>
      </c>
    </row>
    <row r="12528" customFormat="false" ht="15" hidden="false" customHeight="false" outlineLevel="0" collapsed="false">
      <c r="A12528" s="103"/>
      <c r="B12528" s="104"/>
      <c r="C12528" s="104"/>
      <c r="E12528" s="107" t="str">
        <f aca="false">IF($C12528="","",IFERROR(INDEX(المنيو!$C$2:$C$500,MATCH($C12528,المنيو!$B$2:$B$500,0)),0))</f>
        <v/>
      </c>
      <c r="F12528" s="107" t="str">
        <f aca="false">IF($C12528="","",$D12528*$E12528)</f>
        <v/>
      </c>
      <c r="G12528" s="107" t="str">
        <f aca="false">IF($C12528="","",$D12528*IFERROR(INDEX('تحليل التكلفة والسعر'!$C$2:$C$700,MATCH($C12528,'تحليل التكلفة والسعر'!$B$2:$B$700,0)),0))</f>
        <v/>
      </c>
    </row>
    <row r="12529" customFormat="false" ht="15" hidden="false" customHeight="false" outlineLevel="0" collapsed="false">
      <c r="A12529" s="103"/>
      <c r="B12529" s="104"/>
      <c r="C12529" s="104"/>
      <c r="E12529" s="107" t="str">
        <f aca="false">IF($C12529="","",IFERROR(INDEX(المنيو!$C$2:$C$500,MATCH($C12529,المنيو!$B$2:$B$500,0)),0))</f>
        <v/>
      </c>
      <c r="F12529" s="107" t="str">
        <f aca="false">IF($C12529="","",$D12529*$E12529)</f>
        <v/>
      </c>
      <c r="G12529" s="107" t="str">
        <f aca="false">IF($C12529="","",$D12529*IFERROR(INDEX('تحليل التكلفة والسعر'!$C$2:$C$700,MATCH($C12529,'تحليل التكلفة والسعر'!$B$2:$B$700,0)),0))</f>
        <v/>
      </c>
    </row>
    <row r="12530" customFormat="false" ht="15" hidden="false" customHeight="false" outlineLevel="0" collapsed="false">
      <c r="A12530" s="103"/>
      <c r="B12530" s="104"/>
      <c r="C12530" s="104"/>
      <c r="E12530" s="107" t="str">
        <f aca="false">IF($C12530="","",IFERROR(INDEX(المنيو!$C$2:$C$500,MATCH($C12530,المنيو!$B$2:$B$500,0)),0))</f>
        <v/>
      </c>
      <c r="F12530" s="107" t="str">
        <f aca="false">IF($C12530="","",$D12530*$E12530)</f>
        <v/>
      </c>
      <c r="G12530" s="107" t="str">
        <f aca="false">IF($C12530="","",$D12530*IFERROR(INDEX('تحليل التكلفة والسعر'!$C$2:$C$700,MATCH($C12530,'تحليل التكلفة والسعر'!$B$2:$B$700,0)),0))</f>
        <v/>
      </c>
    </row>
    <row r="12531" customFormat="false" ht="15" hidden="false" customHeight="false" outlineLevel="0" collapsed="false">
      <c r="A12531" s="103"/>
      <c r="B12531" s="104"/>
      <c r="C12531" s="104"/>
      <c r="E12531" s="107" t="str">
        <f aca="false">IF($C12531="","",IFERROR(INDEX(المنيو!$C$2:$C$500,MATCH($C12531,المنيو!$B$2:$B$500,0)),0))</f>
        <v/>
      </c>
      <c r="F12531" s="107" t="str">
        <f aca="false">IF($C12531="","",$D12531*$E12531)</f>
        <v/>
      </c>
      <c r="G12531" s="107" t="str">
        <f aca="false">IF($C12531="","",$D12531*IFERROR(INDEX('تحليل التكلفة والسعر'!$C$2:$C$700,MATCH($C12531,'تحليل التكلفة والسعر'!$B$2:$B$700,0)),0))</f>
        <v/>
      </c>
    </row>
    <row r="12532" customFormat="false" ht="15" hidden="false" customHeight="false" outlineLevel="0" collapsed="false">
      <c r="A12532" s="103"/>
      <c r="B12532" s="104"/>
      <c r="C12532" s="104"/>
      <c r="E12532" s="107" t="str">
        <f aca="false">IF($C12532="","",IFERROR(INDEX(المنيو!$C$2:$C$500,MATCH($C12532,المنيو!$B$2:$B$500,0)),0))</f>
        <v/>
      </c>
      <c r="F12532" s="107" t="str">
        <f aca="false">IF($C12532="","",$D12532*$E12532)</f>
        <v/>
      </c>
      <c r="G12532" s="107" t="str">
        <f aca="false">IF($C12532="","",$D12532*IFERROR(INDEX('تحليل التكلفة والسعر'!$C$2:$C$700,MATCH($C12532,'تحليل التكلفة والسعر'!$B$2:$B$700,0)),0))</f>
        <v/>
      </c>
    </row>
    <row r="12533" customFormat="false" ht="15" hidden="false" customHeight="false" outlineLevel="0" collapsed="false">
      <c r="A12533" s="103"/>
      <c r="B12533" s="104"/>
      <c r="C12533" s="104"/>
      <c r="E12533" s="107" t="str">
        <f aca="false">IF($C12533="","",IFERROR(INDEX(المنيو!$C$2:$C$500,MATCH($C12533,المنيو!$B$2:$B$500,0)),0))</f>
        <v/>
      </c>
      <c r="F12533" s="107" t="str">
        <f aca="false">IF($C12533="","",$D12533*$E12533)</f>
        <v/>
      </c>
      <c r="G12533" s="107" t="str">
        <f aca="false">IF($C12533="","",$D12533*IFERROR(INDEX('تحليل التكلفة والسعر'!$C$2:$C$700,MATCH($C12533,'تحليل التكلفة والسعر'!$B$2:$B$700,0)),0))</f>
        <v/>
      </c>
    </row>
    <row r="12534" customFormat="false" ht="15" hidden="false" customHeight="false" outlineLevel="0" collapsed="false">
      <c r="A12534" s="103"/>
      <c r="B12534" s="104"/>
      <c r="C12534" s="104"/>
      <c r="E12534" s="107" t="str">
        <f aca="false">IF($C12534="","",IFERROR(INDEX(المنيو!$C$2:$C$500,MATCH($C12534,المنيو!$B$2:$B$500,0)),0))</f>
        <v/>
      </c>
      <c r="F12534" s="107" t="str">
        <f aca="false">IF($C12534="","",$D12534*$E12534)</f>
        <v/>
      </c>
      <c r="G12534" s="107" t="str">
        <f aca="false">IF($C12534="","",$D12534*IFERROR(INDEX('تحليل التكلفة والسعر'!$C$2:$C$700,MATCH($C12534,'تحليل التكلفة والسعر'!$B$2:$B$700,0)),0))</f>
        <v/>
      </c>
    </row>
    <row r="12535" customFormat="false" ht="15" hidden="false" customHeight="false" outlineLevel="0" collapsed="false">
      <c r="A12535" s="103"/>
      <c r="B12535" s="104"/>
      <c r="C12535" s="104"/>
      <c r="E12535" s="107" t="str">
        <f aca="false">IF($C12535="","",IFERROR(INDEX(المنيو!$C$2:$C$500,MATCH($C12535,المنيو!$B$2:$B$500,0)),0))</f>
        <v/>
      </c>
      <c r="F12535" s="107" t="str">
        <f aca="false">IF($C12535="","",$D12535*$E12535)</f>
        <v/>
      </c>
      <c r="G12535" s="107" t="str">
        <f aca="false">IF($C12535="","",$D12535*IFERROR(INDEX('تحليل التكلفة والسعر'!$C$2:$C$700,MATCH($C12535,'تحليل التكلفة والسعر'!$B$2:$B$700,0)),0))</f>
        <v/>
      </c>
    </row>
    <row r="12536" customFormat="false" ht="15" hidden="false" customHeight="false" outlineLevel="0" collapsed="false">
      <c r="A12536" s="103"/>
      <c r="B12536" s="104"/>
      <c r="C12536" s="104"/>
      <c r="E12536" s="107" t="str">
        <f aca="false">IF($C12536="","",IFERROR(INDEX(المنيو!$C$2:$C$500,MATCH($C12536,المنيو!$B$2:$B$500,0)),0))</f>
        <v/>
      </c>
      <c r="F12536" s="107" t="str">
        <f aca="false">IF($C12536="","",$D12536*$E12536)</f>
        <v/>
      </c>
      <c r="G12536" s="107" t="str">
        <f aca="false">IF($C12536="","",$D12536*IFERROR(INDEX('تحليل التكلفة والسعر'!$C$2:$C$700,MATCH($C12536,'تحليل التكلفة والسعر'!$B$2:$B$700,0)),0))</f>
        <v/>
      </c>
    </row>
    <row r="12537" customFormat="false" ht="15" hidden="false" customHeight="false" outlineLevel="0" collapsed="false">
      <c r="A12537" s="103"/>
      <c r="B12537" s="104"/>
      <c r="C12537" s="104"/>
      <c r="E12537" s="107" t="str">
        <f aca="false">IF($C12537="","",IFERROR(INDEX(المنيو!$C$2:$C$500,MATCH($C12537,المنيو!$B$2:$B$500,0)),0))</f>
        <v/>
      </c>
      <c r="F12537" s="107" t="str">
        <f aca="false">IF($C12537="","",$D12537*$E12537)</f>
        <v/>
      </c>
      <c r="G12537" s="107" t="str">
        <f aca="false">IF($C12537="","",$D12537*IFERROR(INDEX('تحليل التكلفة والسعر'!$C$2:$C$700,MATCH($C12537,'تحليل التكلفة والسعر'!$B$2:$B$700,0)),0))</f>
        <v/>
      </c>
    </row>
    <row r="12538" customFormat="false" ht="15" hidden="false" customHeight="false" outlineLevel="0" collapsed="false">
      <c r="A12538" s="103"/>
      <c r="B12538" s="104"/>
      <c r="C12538" s="104"/>
      <c r="E12538" s="107" t="str">
        <f aca="false">IF($C12538="","",IFERROR(INDEX(المنيو!$C$2:$C$500,MATCH($C12538,المنيو!$B$2:$B$500,0)),0))</f>
        <v/>
      </c>
      <c r="F12538" s="107" t="str">
        <f aca="false">IF($C12538="","",$D12538*$E12538)</f>
        <v/>
      </c>
      <c r="G12538" s="107" t="str">
        <f aca="false">IF($C12538="","",$D12538*IFERROR(INDEX('تحليل التكلفة والسعر'!$C$2:$C$700,MATCH($C12538,'تحليل التكلفة والسعر'!$B$2:$B$700,0)),0))</f>
        <v/>
      </c>
    </row>
    <row r="12539" customFormat="false" ht="15" hidden="false" customHeight="false" outlineLevel="0" collapsed="false">
      <c r="A12539" s="103"/>
      <c r="B12539" s="104"/>
      <c r="C12539" s="104"/>
      <c r="E12539" s="107" t="str">
        <f aca="false">IF($C12539="","",IFERROR(INDEX(المنيو!$C$2:$C$500,MATCH($C12539,المنيو!$B$2:$B$500,0)),0))</f>
        <v/>
      </c>
      <c r="F12539" s="107" t="str">
        <f aca="false">IF($C12539="","",$D12539*$E12539)</f>
        <v/>
      </c>
      <c r="G12539" s="107" t="str">
        <f aca="false">IF($C12539="","",$D12539*IFERROR(INDEX('تحليل التكلفة والسعر'!$C$2:$C$700,MATCH($C12539,'تحليل التكلفة والسعر'!$B$2:$B$700,0)),0))</f>
        <v/>
      </c>
    </row>
    <row r="12540" customFormat="false" ht="15" hidden="false" customHeight="false" outlineLevel="0" collapsed="false">
      <c r="A12540" s="103"/>
      <c r="B12540" s="104"/>
      <c r="C12540" s="104"/>
      <c r="E12540" s="107" t="str">
        <f aca="false">IF($C12540="","",IFERROR(INDEX(المنيو!$C$2:$C$500,MATCH($C12540,المنيو!$B$2:$B$500,0)),0))</f>
        <v/>
      </c>
      <c r="F12540" s="107" t="str">
        <f aca="false">IF($C12540="","",$D12540*$E12540)</f>
        <v/>
      </c>
      <c r="G12540" s="107" t="str">
        <f aca="false">IF($C12540="","",$D12540*IFERROR(INDEX('تحليل التكلفة والسعر'!$C$2:$C$700,MATCH($C12540,'تحليل التكلفة والسعر'!$B$2:$B$700,0)),0))</f>
        <v/>
      </c>
    </row>
    <row r="12541" customFormat="false" ht="15" hidden="false" customHeight="false" outlineLevel="0" collapsed="false">
      <c r="A12541" s="103"/>
      <c r="B12541" s="104"/>
      <c r="C12541" s="104"/>
      <c r="E12541" s="107" t="str">
        <f aca="false">IF($C12541="","",IFERROR(INDEX(المنيو!$C$2:$C$500,MATCH($C12541,المنيو!$B$2:$B$500,0)),0))</f>
        <v/>
      </c>
      <c r="F12541" s="107" t="str">
        <f aca="false">IF($C12541="","",$D12541*$E12541)</f>
        <v/>
      </c>
      <c r="G12541" s="107" t="str">
        <f aca="false">IF($C12541="","",$D12541*IFERROR(INDEX('تحليل التكلفة والسعر'!$C$2:$C$700,MATCH($C12541,'تحليل التكلفة والسعر'!$B$2:$B$700,0)),0))</f>
        <v/>
      </c>
    </row>
    <row r="12542" customFormat="false" ht="15" hidden="false" customHeight="false" outlineLevel="0" collapsed="false">
      <c r="A12542" s="103"/>
      <c r="B12542" s="104"/>
      <c r="C12542" s="104"/>
      <c r="E12542" s="107" t="str">
        <f aca="false">IF($C12542="","",IFERROR(INDEX(المنيو!$C$2:$C$500,MATCH($C12542,المنيو!$B$2:$B$500,0)),0))</f>
        <v/>
      </c>
      <c r="F12542" s="107" t="str">
        <f aca="false">IF($C12542="","",$D12542*$E12542)</f>
        <v/>
      </c>
      <c r="G12542" s="107" t="str">
        <f aca="false">IF($C12542="","",$D12542*IFERROR(INDEX('تحليل التكلفة والسعر'!$C$2:$C$700,MATCH($C12542,'تحليل التكلفة والسعر'!$B$2:$B$700,0)),0))</f>
        <v/>
      </c>
    </row>
    <row r="12543" customFormat="false" ht="15" hidden="false" customHeight="false" outlineLevel="0" collapsed="false">
      <c r="A12543" s="103"/>
      <c r="B12543" s="104"/>
      <c r="C12543" s="104"/>
      <c r="E12543" s="107" t="str">
        <f aca="false">IF($C12543="","",IFERROR(INDEX(المنيو!$C$2:$C$500,MATCH($C12543,المنيو!$B$2:$B$500,0)),0))</f>
        <v/>
      </c>
      <c r="F12543" s="107" t="str">
        <f aca="false">IF($C12543="","",$D12543*$E12543)</f>
        <v/>
      </c>
      <c r="G12543" s="107" t="str">
        <f aca="false">IF($C12543="","",$D12543*IFERROR(INDEX('تحليل التكلفة والسعر'!$C$2:$C$700,MATCH($C12543,'تحليل التكلفة والسعر'!$B$2:$B$700,0)),0))</f>
        <v/>
      </c>
    </row>
    <row r="12544" customFormat="false" ht="15" hidden="false" customHeight="false" outlineLevel="0" collapsed="false">
      <c r="A12544" s="103"/>
      <c r="B12544" s="104"/>
      <c r="C12544" s="104"/>
      <c r="E12544" s="107" t="str">
        <f aca="false">IF($C12544="","",IFERROR(INDEX(المنيو!$C$2:$C$500,MATCH($C12544,المنيو!$B$2:$B$500,0)),0))</f>
        <v/>
      </c>
      <c r="F12544" s="107" t="str">
        <f aca="false">IF($C12544="","",$D12544*$E12544)</f>
        <v/>
      </c>
      <c r="G12544" s="107" t="str">
        <f aca="false">IF($C12544="","",$D12544*IFERROR(INDEX('تحليل التكلفة والسعر'!$C$2:$C$700,MATCH($C12544,'تحليل التكلفة والسعر'!$B$2:$B$700,0)),0))</f>
        <v/>
      </c>
    </row>
    <row r="12545" customFormat="false" ht="15" hidden="false" customHeight="false" outlineLevel="0" collapsed="false">
      <c r="A12545" s="103"/>
      <c r="B12545" s="104"/>
      <c r="C12545" s="104"/>
      <c r="E12545" s="107" t="str">
        <f aca="false">IF($C12545="","",IFERROR(INDEX(المنيو!$C$2:$C$500,MATCH($C12545,المنيو!$B$2:$B$500,0)),0))</f>
        <v/>
      </c>
      <c r="F12545" s="107" t="str">
        <f aca="false">IF($C12545="","",$D12545*$E12545)</f>
        <v/>
      </c>
      <c r="G12545" s="107" t="str">
        <f aca="false">IF($C12545="","",$D12545*IFERROR(INDEX('تحليل التكلفة والسعر'!$C$2:$C$700,MATCH($C12545,'تحليل التكلفة والسعر'!$B$2:$B$700,0)),0))</f>
        <v/>
      </c>
    </row>
    <row r="12546" customFormat="false" ht="15" hidden="false" customHeight="false" outlineLevel="0" collapsed="false">
      <c r="A12546" s="103"/>
      <c r="B12546" s="104"/>
      <c r="C12546" s="104"/>
      <c r="E12546" s="107" t="str">
        <f aca="false">IF($C12546="","",IFERROR(INDEX(المنيو!$C$2:$C$500,MATCH($C12546,المنيو!$B$2:$B$500,0)),0))</f>
        <v/>
      </c>
      <c r="F12546" s="107" t="str">
        <f aca="false">IF($C12546="","",$D12546*$E12546)</f>
        <v/>
      </c>
      <c r="G12546" s="107" t="str">
        <f aca="false">IF($C12546="","",$D12546*IFERROR(INDEX('تحليل التكلفة والسعر'!$C$2:$C$700,MATCH($C12546,'تحليل التكلفة والسعر'!$B$2:$B$700,0)),0))</f>
        <v/>
      </c>
    </row>
    <row r="12547" customFormat="false" ht="15" hidden="false" customHeight="false" outlineLevel="0" collapsed="false">
      <c r="A12547" s="103"/>
      <c r="B12547" s="104"/>
      <c r="C12547" s="104"/>
      <c r="E12547" s="107" t="str">
        <f aca="false">IF($C12547="","",IFERROR(INDEX(المنيو!$C$2:$C$500,MATCH($C12547,المنيو!$B$2:$B$500,0)),0))</f>
        <v/>
      </c>
      <c r="F12547" s="107" t="str">
        <f aca="false">IF($C12547="","",$D12547*$E12547)</f>
        <v/>
      </c>
      <c r="G12547" s="107" t="str">
        <f aca="false">IF($C12547="","",$D12547*IFERROR(INDEX('تحليل التكلفة والسعر'!$C$2:$C$700,MATCH($C12547,'تحليل التكلفة والسعر'!$B$2:$B$700,0)),0))</f>
        <v/>
      </c>
    </row>
    <row r="12548" customFormat="false" ht="15" hidden="false" customHeight="false" outlineLevel="0" collapsed="false">
      <c r="A12548" s="103"/>
      <c r="B12548" s="104"/>
      <c r="C12548" s="104"/>
      <c r="E12548" s="107" t="str">
        <f aca="false">IF($C12548="","",IFERROR(INDEX(المنيو!$C$2:$C$500,MATCH($C12548,المنيو!$B$2:$B$500,0)),0))</f>
        <v/>
      </c>
      <c r="F12548" s="107" t="str">
        <f aca="false">IF($C12548="","",$D12548*$E12548)</f>
        <v/>
      </c>
      <c r="G12548" s="107" t="str">
        <f aca="false">IF($C12548="","",$D12548*IFERROR(INDEX('تحليل التكلفة والسعر'!$C$2:$C$700,MATCH($C12548,'تحليل التكلفة والسعر'!$B$2:$B$700,0)),0))</f>
        <v/>
      </c>
    </row>
    <row r="12549" customFormat="false" ht="15" hidden="false" customHeight="false" outlineLevel="0" collapsed="false">
      <c r="A12549" s="103"/>
      <c r="B12549" s="104"/>
      <c r="C12549" s="104"/>
      <c r="E12549" s="107" t="str">
        <f aca="false">IF($C12549="","",IFERROR(INDEX(المنيو!$C$2:$C$500,MATCH($C12549,المنيو!$B$2:$B$500,0)),0))</f>
        <v/>
      </c>
      <c r="F12549" s="107" t="str">
        <f aca="false">IF($C12549="","",$D12549*$E12549)</f>
        <v/>
      </c>
      <c r="G12549" s="107" t="str">
        <f aca="false">IF($C12549="","",$D12549*IFERROR(INDEX('تحليل التكلفة والسعر'!$C$2:$C$700,MATCH($C12549,'تحليل التكلفة والسعر'!$B$2:$B$700,0)),0))</f>
        <v/>
      </c>
    </row>
    <row r="12550" customFormat="false" ht="15" hidden="false" customHeight="false" outlineLevel="0" collapsed="false">
      <c r="A12550" s="103"/>
      <c r="B12550" s="104"/>
      <c r="C12550" s="104"/>
      <c r="E12550" s="107" t="str">
        <f aca="false">IF($C12550="","",IFERROR(INDEX(المنيو!$C$2:$C$500,MATCH($C12550,المنيو!$B$2:$B$500,0)),0))</f>
        <v/>
      </c>
      <c r="F12550" s="107" t="str">
        <f aca="false">IF($C12550="","",$D12550*$E12550)</f>
        <v/>
      </c>
      <c r="G12550" s="107" t="str">
        <f aca="false">IF($C12550="","",$D12550*IFERROR(INDEX('تحليل التكلفة والسعر'!$C$2:$C$700,MATCH($C12550,'تحليل التكلفة والسعر'!$B$2:$B$700,0)),0))</f>
        <v/>
      </c>
    </row>
    <row r="12551" customFormat="false" ht="15" hidden="false" customHeight="false" outlineLevel="0" collapsed="false">
      <c r="A12551" s="103"/>
      <c r="B12551" s="104"/>
      <c r="C12551" s="104"/>
      <c r="E12551" s="107" t="str">
        <f aca="false">IF($C12551="","",IFERROR(INDEX(المنيو!$C$2:$C$500,MATCH($C12551,المنيو!$B$2:$B$500,0)),0))</f>
        <v/>
      </c>
      <c r="F12551" s="107" t="str">
        <f aca="false">IF($C12551="","",$D12551*$E12551)</f>
        <v/>
      </c>
      <c r="G12551" s="107" t="str">
        <f aca="false">IF($C12551="","",$D12551*IFERROR(INDEX('تحليل التكلفة والسعر'!$C$2:$C$700,MATCH($C12551,'تحليل التكلفة والسعر'!$B$2:$B$700,0)),0))</f>
        <v/>
      </c>
    </row>
    <row r="12552" customFormat="false" ht="15" hidden="false" customHeight="false" outlineLevel="0" collapsed="false">
      <c r="A12552" s="103"/>
      <c r="B12552" s="104"/>
      <c r="C12552" s="104"/>
      <c r="E12552" s="107" t="str">
        <f aca="false">IF($C12552="","",IFERROR(INDEX(المنيو!$C$2:$C$500,MATCH($C12552,المنيو!$B$2:$B$500,0)),0))</f>
        <v/>
      </c>
      <c r="F12552" s="107" t="str">
        <f aca="false">IF($C12552="","",$D12552*$E12552)</f>
        <v/>
      </c>
      <c r="G12552" s="107" t="str">
        <f aca="false">IF($C12552="","",$D12552*IFERROR(INDEX('تحليل التكلفة والسعر'!$C$2:$C$700,MATCH($C12552,'تحليل التكلفة والسعر'!$B$2:$B$700,0)),0))</f>
        <v/>
      </c>
    </row>
    <row r="12553" customFormat="false" ht="15" hidden="false" customHeight="false" outlineLevel="0" collapsed="false">
      <c r="A12553" s="103"/>
      <c r="B12553" s="104"/>
      <c r="C12553" s="104"/>
      <c r="E12553" s="107" t="str">
        <f aca="false">IF($C12553="","",IFERROR(INDEX(المنيو!$C$2:$C$500,MATCH($C12553,المنيو!$B$2:$B$500,0)),0))</f>
        <v/>
      </c>
      <c r="F12553" s="107" t="str">
        <f aca="false">IF($C12553="","",$D12553*$E12553)</f>
        <v/>
      </c>
      <c r="G12553" s="107" t="str">
        <f aca="false">IF($C12553="","",$D12553*IFERROR(INDEX('تحليل التكلفة والسعر'!$C$2:$C$700,MATCH($C12553,'تحليل التكلفة والسعر'!$B$2:$B$700,0)),0))</f>
        <v/>
      </c>
    </row>
    <row r="12554" customFormat="false" ht="15" hidden="false" customHeight="false" outlineLevel="0" collapsed="false">
      <c r="A12554" s="103"/>
      <c r="B12554" s="104"/>
      <c r="C12554" s="104"/>
      <c r="E12554" s="107" t="str">
        <f aca="false">IF($C12554="","",IFERROR(INDEX(المنيو!$C$2:$C$500,MATCH($C12554,المنيو!$B$2:$B$500,0)),0))</f>
        <v/>
      </c>
      <c r="F12554" s="107" t="str">
        <f aca="false">IF($C12554="","",$D12554*$E12554)</f>
        <v/>
      </c>
      <c r="G12554" s="107" t="str">
        <f aca="false">IF($C12554="","",$D12554*IFERROR(INDEX('تحليل التكلفة والسعر'!$C$2:$C$700,MATCH($C12554,'تحليل التكلفة والسعر'!$B$2:$B$700,0)),0))</f>
        <v/>
      </c>
    </row>
    <row r="12555" customFormat="false" ht="15" hidden="false" customHeight="false" outlineLevel="0" collapsed="false">
      <c r="A12555" s="103"/>
      <c r="B12555" s="104"/>
      <c r="C12555" s="104"/>
      <c r="E12555" s="107" t="str">
        <f aca="false">IF($C12555="","",IFERROR(INDEX(المنيو!$C$2:$C$500,MATCH($C12555,المنيو!$B$2:$B$500,0)),0))</f>
        <v/>
      </c>
      <c r="F12555" s="107" t="str">
        <f aca="false">IF($C12555="","",$D12555*$E12555)</f>
        <v/>
      </c>
      <c r="G12555" s="107" t="str">
        <f aca="false">IF($C12555="","",$D12555*IFERROR(INDEX('تحليل التكلفة والسعر'!$C$2:$C$700,MATCH($C12555,'تحليل التكلفة والسعر'!$B$2:$B$700,0)),0))</f>
        <v/>
      </c>
    </row>
    <row r="12556" customFormat="false" ht="15" hidden="false" customHeight="false" outlineLevel="0" collapsed="false">
      <c r="A12556" s="103"/>
      <c r="B12556" s="104"/>
      <c r="C12556" s="104"/>
      <c r="E12556" s="107" t="str">
        <f aca="false">IF($C12556="","",IFERROR(INDEX(المنيو!$C$2:$C$500,MATCH($C12556,المنيو!$B$2:$B$500,0)),0))</f>
        <v/>
      </c>
      <c r="F12556" s="107" t="str">
        <f aca="false">IF($C12556="","",$D12556*$E12556)</f>
        <v/>
      </c>
      <c r="G12556" s="107" t="str">
        <f aca="false">IF($C12556="","",$D12556*IFERROR(INDEX('تحليل التكلفة والسعر'!$C$2:$C$700,MATCH($C12556,'تحليل التكلفة والسعر'!$B$2:$B$700,0)),0))</f>
        <v/>
      </c>
    </row>
    <row r="12557" customFormat="false" ht="15" hidden="false" customHeight="false" outlineLevel="0" collapsed="false">
      <c r="A12557" s="103"/>
      <c r="B12557" s="104"/>
      <c r="C12557" s="104"/>
      <c r="E12557" s="107" t="str">
        <f aca="false">IF($C12557="","",IFERROR(INDEX(المنيو!$C$2:$C$500,MATCH($C12557,المنيو!$B$2:$B$500,0)),0))</f>
        <v/>
      </c>
      <c r="F12557" s="107" t="str">
        <f aca="false">IF($C12557="","",$D12557*$E12557)</f>
        <v/>
      </c>
      <c r="G12557" s="107" t="str">
        <f aca="false">IF($C12557="","",$D12557*IFERROR(INDEX('تحليل التكلفة والسعر'!$C$2:$C$700,MATCH($C12557,'تحليل التكلفة والسعر'!$B$2:$B$700,0)),0))</f>
        <v/>
      </c>
    </row>
    <row r="12558" customFormat="false" ht="15" hidden="false" customHeight="false" outlineLevel="0" collapsed="false">
      <c r="A12558" s="103"/>
      <c r="B12558" s="104"/>
      <c r="C12558" s="104"/>
      <c r="E12558" s="107" t="str">
        <f aca="false">IF($C12558="","",IFERROR(INDEX(المنيو!$C$2:$C$500,MATCH($C12558,المنيو!$B$2:$B$500,0)),0))</f>
        <v/>
      </c>
      <c r="F12558" s="107" t="str">
        <f aca="false">IF($C12558="","",$D12558*$E12558)</f>
        <v/>
      </c>
      <c r="G12558" s="107" t="str">
        <f aca="false">IF($C12558="","",$D12558*IFERROR(INDEX('تحليل التكلفة والسعر'!$C$2:$C$700,MATCH($C12558,'تحليل التكلفة والسعر'!$B$2:$B$700,0)),0))</f>
        <v/>
      </c>
    </row>
    <row r="12559" customFormat="false" ht="15" hidden="false" customHeight="false" outlineLevel="0" collapsed="false">
      <c r="A12559" s="103"/>
      <c r="B12559" s="104"/>
      <c r="C12559" s="104"/>
      <c r="E12559" s="107" t="str">
        <f aca="false">IF($C12559="","",IFERROR(INDEX(المنيو!$C$2:$C$500,MATCH($C12559,المنيو!$B$2:$B$500,0)),0))</f>
        <v/>
      </c>
      <c r="F12559" s="107" t="str">
        <f aca="false">IF($C12559="","",$D12559*$E12559)</f>
        <v/>
      </c>
      <c r="G12559" s="107" t="str">
        <f aca="false">IF($C12559="","",$D12559*IFERROR(INDEX('تحليل التكلفة والسعر'!$C$2:$C$700,MATCH($C12559,'تحليل التكلفة والسعر'!$B$2:$B$700,0)),0))</f>
        <v/>
      </c>
    </row>
    <row r="12560" customFormat="false" ht="15" hidden="false" customHeight="false" outlineLevel="0" collapsed="false">
      <c r="A12560" s="103"/>
      <c r="B12560" s="104"/>
      <c r="C12560" s="104"/>
      <c r="E12560" s="107" t="str">
        <f aca="false">IF($C12560="","",IFERROR(INDEX(المنيو!$C$2:$C$500,MATCH($C12560,المنيو!$B$2:$B$500,0)),0))</f>
        <v/>
      </c>
      <c r="F12560" s="107" t="str">
        <f aca="false">IF($C12560="","",$D12560*$E12560)</f>
        <v/>
      </c>
      <c r="G12560" s="107" t="str">
        <f aca="false">IF($C12560="","",$D12560*IFERROR(INDEX('تحليل التكلفة والسعر'!$C$2:$C$700,MATCH($C12560,'تحليل التكلفة والسعر'!$B$2:$B$700,0)),0))</f>
        <v/>
      </c>
    </row>
    <row r="12561" customFormat="false" ht="15" hidden="false" customHeight="false" outlineLevel="0" collapsed="false">
      <c r="A12561" s="103"/>
      <c r="B12561" s="104"/>
      <c r="C12561" s="104"/>
      <c r="E12561" s="107" t="str">
        <f aca="false">IF($C12561="","",IFERROR(INDEX(المنيو!$C$2:$C$500,MATCH($C12561,المنيو!$B$2:$B$500,0)),0))</f>
        <v/>
      </c>
      <c r="F12561" s="107" t="str">
        <f aca="false">IF($C12561="","",$D12561*$E12561)</f>
        <v/>
      </c>
      <c r="G12561" s="107" t="str">
        <f aca="false">IF($C12561="","",$D12561*IFERROR(INDEX('تحليل التكلفة والسعر'!$C$2:$C$700,MATCH($C12561,'تحليل التكلفة والسعر'!$B$2:$B$700,0)),0))</f>
        <v/>
      </c>
    </row>
    <row r="12562" customFormat="false" ht="15" hidden="false" customHeight="false" outlineLevel="0" collapsed="false">
      <c r="A12562" s="103"/>
      <c r="B12562" s="104"/>
      <c r="C12562" s="104"/>
      <c r="E12562" s="107" t="str">
        <f aca="false">IF($C12562="","",IFERROR(INDEX(المنيو!$C$2:$C$500,MATCH($C12562,المنيو!$B$2:$B$500,0)),0))</f>
        <v/>
      </c>
      <c r="F12562" s="107" t="str">
        <f aca="false">IF($C12562="","",$D12562*$E12562)</f>
        <v/>
      </c>
      <c r="G12562" s="107" t="str">
        <f aca="false">IF($C12562="","",$D12562*IFERROR(INDEX('تحليل التكلفة والسعر'!$C$2:$C$700,MATCH($C12562,'تحليل التكلفة والسعر'!$B$2:$B$700,0)),0))</f>
        <v/>
      </c>
    </row>
    <row r="12563" customFormat="false" ht="15" hidden="false" customHeight="false" outlineLevel="0" collapsed="false">
      <c r="A12563" s="103"/>
      <c r="B12563" s="104"/>
      <c r="C12563" s="104"/>
      <c r="E12563" s="107" t="str">
        <f aca="false">IF($C12563="","",IFERROR(INDEX(المنيو!$C$2:$C$500,MATCH($C12563,المنيو!$B$2:$B$500,0)),0))</f>
        <v/>
      </c>
      <c r="F12563" s="107" t="str">
        <f aca="false">IF($C12563="","",$D12563*$E12563)</f>
        <v/>
      </c>
      <c r="G12563" s="107" t="str">
        <f aca="false">IF($C12563="","",$D12563*IFERROR(INDEX('تحليل التكلفة والسعر'!$C$2:$C$700,MATCH($C12563,'تحليل التكلفة والسعر'!$B$2:$B$700,0)),0))</f>
        <v/>
      </c>
    </row>
    <row r="12564" customFormat="false" ht="15" hidden="false" customHeight="false" outlineLevel="0" collapsed="false">
      <c r="A12564" s="103"/>
      <c r="B12564" s="104"/>
      <c r="C12564" s="104"/>
      <c r="E12564" s="107" t="str">
        <f aca="false">IF($C12564="","",IFERROR(INDEX(المنيو!$C$2:$C$500,MATCH($C12564,المنيو!$B$2:$B$500,0)),0))</f>
        <v/>
      </c>
      <c r="F12564" s="107" t="str">
        <f aca="false">IF($C12564="","",$D12564*$E12564)</f>
        <v/>
      </c>
      <c r="G12564" s="107" t="str">
        <f aca="false">IF($C12564="","",$D12564*IFERROR(INDEX('تحليل التكلفة والسعر'!$C$2:$C$700,MATCH($C12564,'تحليل التكلفة والسعر'!$B$2:$B$700,0)),0))</f>
        <v/>
      </c>
    </row>
    <row r="12565" customFormat="false" ht="15" hidden="false" customHeight="false" outlineLevel="0" collapsed="false">
      <c r="A12565" s="103"/>
      <c r="B12565" s="104"/>
      <c r="C12565" s="104"/>
      <c r="E12565" s="107" t="str">
        <f aca="false">IF($C12565="","",IFERROR(INDEX(المنيو!$C$2:$C$500,MATCH($C12565,المنيو!$B$2:$B$500,0)),0))</f>
        <v/>
      </c>
      <c r="F12565" s="107" t="str">
        <f aca="false">IF($C12565="","",$D12565*$E12565)</f>
        <v/>
      </c>
      <c r="G12565" s="107" t="str">
        <f aca="false">IF($C12565="","",$D12565*IFERROR(INDEX('تحليل التكلفة والسعر'!$C$2:$C$700,MATCH($C12565,'تحليل التكلفة والسعر'!$B$2:$B$700,0)),0))</f>
        <v/>
      </c>
    </row>
    <row r="12566" customFormat="false" ht="15" hidden="false" customHeight="false" outlineLevel="0" collapsed="false">
      <c r="A12566" s="103"/>
      <c r="B12566" s="104"/>
      <c r="C12566" s="104"/>
      <c r="E12566" s="107" t="str">
        <f aca="false">IF($C12566="","",IFERROR(INDEX(المنيو!$C$2:$C$500,MATCH($C12566,المنيو!$B$2:$B$500,0)),0))</f>
        <v/>
      </c>
      <c r="F12566" s="107" t="str">
        <f aca="false">IF($C12566="","",$D12566*$E12566)</f>
        <v/>
      </c>
      <c r="G12566" s="107" t="str">
        <f aca="false">IF($C12566="","",$D12566*IFERROR(INDEX('تحليل التكلفة والسعر'!$C$2:$C$700,MATCH($C12566,'تحليل التكلفة والسعر'!$B$2:$B$700,0)),0))</f>
        <v/>
      </c>
    </row>
    <row r="12567" customFormat="false" ht="15" hidden="false" customHeight="false" outlineLevel="0" collapsed="false">
      <c r="A12567" s="103"/>
      <c r="B12567" s="104"/>
      <c r="C12567" s="104"/>
      <c r="E12567" s="107" t="str">
        <f aca="false">IF($C12567="","",IFERROR(INDEX(المنيو!$C$2:$C$500,MATCH($C12567,المنيو!$B$2:$B$500,0)),0))</f>
        <v/>
      </c>
      <c r="F12567" s="107" t="str">
        <f aca="false">IF($C12567="","",$D12567*$E12567)</f>
        <v/>
      </c>
      <c r="G12567" s="107" t="str">
        <f aca="false">IF($C12567="","",$D12567*IFERROR(INDEX('تحليل التكلفة والسعر'!$C$2:$C$700,MATCH($C12567,'تحليل التكلفة والسعر'!$B$2:$B$700,0)),0))</f>
        <v/>
      </c>
    </row>
    <row r="12568" customFormat="false" ht="15" hidden="false" customHeight="false" outlineLevel="0" collapsed="false">
      <c r="A12568" s="103"/>
      <c r="B12568" s="104"/>
      <c r="C12568" s="104"/>
      <c r="E12568" s="107" t="str">
        <f aca="false">IF($C12568="","",IFERROR(INDEX(المنيو!$C$2:$C$500,MATCH($C12568,المنيو!$B$2:$B$500,0)),0))</f>
        <v/>
      </c>
      <c r="F12568" s="107" t="str">
        <f aca="false">IF($C12568="","",$D12568*$E12568)</f>
        <v/>
      </c>
      <c r="G12568" s="107" t="str">
        <f aca="false">IF($C12568="","",$D12568*IFERROR(INDEX('تحليل التكلفة والسعر'!$C$2:$C$700,MATCH($C12568,'تحليل التكلفة والسعر'!$B$2:$B$700,0)),0))</f>
        <v/>
      </c>
    </row>
    <row r="12569" customFormat="false" ht="15" hidden="false" customHeight="false" outlineLevel="0" collapsed="false">
      <c r="A12569" s="103"/>
      <c r="B12569" s="104"/>
      <c r="C12569" s="104"/>
      <c r="E12569" s="107" t="str">
        <f aca="false">IF($C12569="","",IFERROR(INDEX(المنيو!$C$2:$C$500,MATCH($C12569,المنيو!$B$2:$B$500,0)),0))</f>
        <v/>
      </c>
      <c r="F12569" s="107" t="str">
        <f aca="false">IF($C12569="","",$D12569*$E12569)</f>
        <v/>
      </c>
      <c r="G12569" s="107" t="str">
        <f aca="false">IF($C12569="","",$D12569*IFERROR(INDEX('تحليل التكلفة والسعر'!$C$2:$C$700,MATCH($C12569,'تحليل التكلفة والسعر'!$B$2:$B$700,0)),0))</f>
        <v/>
      </c>
    </row>
    <row r="12570" customFormat="false" ht="15" hidden="false" customHeight="false" outlineLevel="0" collapsed="false">
      <c r="A12570" s="103"/>
      <c r="B12570" s="104"/>
      <c r="C12570" s="104"/>
      <c r="E12570" s="107" t="str">
        <f aca="false">IF($C12570="","",IFERROR(INDEX(المنيو!$C$2:$C$500,MATCH($C12570,المنيو!$B$2:$B$500,0)),0))</f>
        <v/>
      </c>
      <c r="F12570" s="107" t="str">
        <f aca="false">IF($C12570="","",$D12570*$E12570)</f>
        <v/>
      </c>
      <c r="G12570" s="107" t="str">
        <f aca="false">IF($C12570="","",$D12570*IFERROR(INDEX('تحليل التكلفة والسعر'!$C$2:$C$700,MATCH($C12570,'تحليل التكلفة والسعر'!$B$2:$B$700,0)),0))</f>
        <v/>
      </c>
    </row>
    <row r="12571" customFormat="false" ht="15" hidden="false" customHeight="false" outlineLevel="0" collapsed="false">
      <c r="A12571" s="103"/>
      <c r="B12571" s="104"/>
      <c r="C12571" s="104"/>
      <c r="E12571" s="107" t="str">
        <f aca="false">IF($C12571="","",IFERROR(INDEX(المنيو!$C$2:$C$500,MATCH($C12571,المنيو!$B$2:$B$500,0)),0))</f>
        <v/>
      </c>
      <c r="F12571" s="107" t="str">
        <f aca="false">IF($C12571="","",$D12571*$E12571)</f>
        <v/>
      </c>
      <c r="G12571" s="107" t="str">
        <f aca="false">IF($C12571="","",$D12571*IFERROR(INDEX('تحليل التكلفة والسعر'!$C$2:$C$700,MATCH($C12571,'تحليل التكلفة والسعر'!$B$2:$B$700,0)),0))</f>
        <v/>
      </c>
    </row>
    <row r="12572" customFormat="false" ht="15" hidden="false" customHeight="false" outlineLevel="0" collapsed="false">
      <c r="A12572" s="103"/>
      <c r="B12572" s="104"/>
      <c r="C12572" s="104"/>
      <c r="E12572" s="107" t="str">
        <f aca="false">IF($C12572="","",IFERROR(INDEX(المنيو!$C$2:$C$500,MATCH($C12572,المنيو!$B$2:$B$500,0)),0))</f>
        <v/>
      </c>
      <c r="F12572" s="107" t="str">
        <f aca="false">IF($C12572="","",$D12572*$E12572)</f>
        <v/>
      </c>
      <c r="G12572" s="107" t="str">
        <f aca="false">IF($C12572="","",$D12572*IFERROR(INDEX('تحليل التكلفة والسعر'!$C$2:$C$700,MATCH($C12572,'تحليل التكلفة والسعر'!$B$2:$B$700,0)),0))</f>
        <v/>
      </c>
    </row>
    <row r="12573" customFormat="false" ht="15" hidden="false" customHeight="false" outlineLevel="0" collapsed="false">
      <c r="A12573" s="103"/>
      <c r="B12573" s="104"/>
      <c r="C12573" s="104"/>
      <c r="E12573" s="107" t="str">
        <f aca="false">IF($C12573="","",IFERROR(INDEX(المنيو!$C$2:$C$500,MATCH($C12573,المنيو!$B$2:$B$500,0)),0))</f>
        <v/>
      </c>
      <c r="F12573" s="107" t="str">
        <f aca="false">IF($C12573="","",$D12573*$E12573)</f>
        <v/>
      </c>
      <c r="G12573" s="107" t="str">
        <f aca="false">IF($C12573="","",$D12573*IFERROR(INDEX('تحليل التكلفة والسعر'!$C$2:$C$700,MATCH($C12573,'تحليل التكلفة والسعر'!$B$2:$B$700,0)),0))</f>
        <v/>
      </c>
    </row>
    <row r="12574" customFormat="false" ht="15" hidden="false" customHeight="false" outlineLevel="0" collapsed="false">
      <c r="A12574" s="103"/>
      <c r="B12574" s="104"/>
      <c r="C12574" s="104"/>
      <c r="E12574" s="107" t="str">
        <f aca="false">IF($C12574="","",IFERROR(INDEX(المنيو!$C$2:$C$500,MATCH($C12574,المنيو!$B$2:$B$500,0)),0))</f>
        <v/>
      </c>
      <c r="F12574" s="107" t="str">
        <f aca="false">IF($C12574="","",$D12574*$E12574)</f>
        <v/>
      </c>
      <c r="G12574" s="107" t="str">
        <f aca="false">IF($C12574="","",$D12574*IFERROR(INDEX('تحليل التكلفة والسعر'!$C$2:$C$700,MATCH($C12574,'تحليل التكلفة والسعر'!$B$2:$B$700,0)),0))</f>
        <v/>
      </c>
    </row>
    <row r="12575" customFormat="false" ht="15" hidden="false" customHeight="false" outlineLevel="0" collapsed="false">
      <c r="A12575" s="103"/>
      <c r="B12575" s="104"/>
      <c r="C12575" s="104"/>
      <c r="E12575" s="107" t="str">
        <f aca="false">IF($C12575="","",IFERROR(INDEX(المنيو!$C$2:$C$500,MATCH($C12575,المنيو!$B$2:$B$500,0)),0))</f>
        <v/>
      </c>
      <c r="F12575" s="107" t="str">
        <f aca="false">IF($C12575="","",$D12575*$E12575)</f>
        <v/>
      </c>
      <c r="G12575" s="107" t="str">
        <f aca="false">IF($C12575="","",$D12575*IFERROR(INDEX('تحليل التكلفة والسعر'!$C$2:$C$700,MATCH($C12575,'تحليل التكلفة والسعر'!$B$2:$B$700,0)),0))</f>
        <v/>
      </c>
    </row>
    <row r="12576" customFormat="false" ht="15" hidden="false" customHeight="false" outlineLevel="0" collapsed="false">
      <c r="A12576" s="103"/>
      <c r="B12576" s="104"/>
      <c r="C12576" s="104"/>
      <c r="E12576" s="107" t="str">
        <f aca="false">IF($C12576="","",IFERROR(INDEX(المنيو!$C$2:$C$500,MATCH($C12576,المنيو!$B$2:$B$500,0)),0))</f>
        <v/>
      </c>
      <c r="F12576" s="107" t="str">
        <f aca="false">IF($C12576="","",$D12576*$E12576)</f>
        <v/>
      </c>
      <c r="G12576" s="107" t="str">
        <f aca="false">IF($C12576="","",$D12576*IFERROR(INDEX('تحليل التكلفة والسعر'!$C$2:$C$700,MATCH($C12576,'تحليل التكلفة والسعر'!$B$2:$B$700,0)),0))</f>
        <v/>
      </c>
    </row>
    <row r="12577" customFormat="false" ht="15" hidden="false" customHeight="false" outlineLevel="0" collapsed="false">
      <c r="A12577" s="103"/>
      <c r="B12577" s="104"/>
      <c r="C12577" s="104"/>
      <c r="E12577" s="107" t="str">
        <f aca="false">IF($C12577="","",IFERROR(INDEX(المنيو!$C$2:$C$500,MATCH($C12577,المنيو!$B$2:$B$500,0)),0))</f>
        <v/>
      </c>
      <c r="F12577" s="107" t="str">
        <f aca="false">IF($C12577="","",$D12577*$E12577)</f>
        <v/>
      </c>
      <c r="G12577" s="107" t="str">
        <f aca="false">IF($C12577="","",$D12577*IFERROR(INDEX('تحليل التكلفة والسعر'!$C$2:$C$700,MATCH($C12577,'تحليل التكلفة والسعر'!$B$2:$B$700,0)),0))</f>
        <v/>
      </c>
    </row>
    <row r="12578" customFormat="false" ht="15" hidden="false" customHeight="false" outlineLevel="0" collapsed="false">
      <c r="A12578" s="103"/>
      <c r="B12578" s="104"/>
      <c r="C12578" s="104"/>
      <c r="E12578" s="107" t="str">
        <f aca="false">IF($C12578="","",IFERROR(INDEX(المنيو!$C$2:$C$500,MATCH($C12578,المنيو!$B$2:$B$500,0)),0))</f>
        <v/>
      </c>
      <c r="F12578" s="107" t="str">
        <f aca="false">IF($C12578="","",$D12578*$E12578)</f>
        <v/>
      </c>
      <c r="G12578" s="107" t="str">
        <f aca="false">IF($C12578="","",$D12578*IFERROR(INDEX('تحليل التكلفة والسعر'!$C$2:$C$700,MATCH($C12578,'تحليل التكلفة والسعر'!$B$2:$B$700,0)),0))</f>
        <v/>
      </c>
    </row>
    <row r="12579" customFormat="false" ht="15" hidden="false" customHeight="false" outlineLevel="0" collapsed="false">
      <c r="A12579" s="103"/>
      <c r="B12579" s="104"/>
      <c r="C12579" s="104"/>
      <c r="E12579" s="107" t="str">
        <f aca="false">IF($C12579="","",IFERROR(INDEX(المنيو!$C$2:$C$500,MATCH($C12579,المنيو!$B$2:$B$500,0)),0))</f>
        <v/>
      </c>
      <c r="F12579" s="107" t="str">
        <f aca="false">IF($C12579="","",$D12579*$E12579)</f>
        <v/>
      </c>
      <c r="G12579" s="107" t="str">
        <f aca="false">IF($C12579="","",$D12579*IFERROR(INDEX('تحليل التكلفة والسعر'!$C$2:$C$700,MATCH($C12579,'تحليل التكلفة والسعر'!$B$2:$B$700,0)),0))</f>
        <v/>
      </c>
    </row>
    <row r="12580" customFormat="false" ht="15" hidden="false" customHeight="false" outlineLevel="0" collapsed="false">
      <c r="A12580" s="103"/>
      <c r="B12580" s="104"/>
      <c r="C12580" s="104"/>
      <c r="E12580" s="107" t="str">
        <f aca="false">IF($C12580="","",IFERROR(INDEX(المنيو!$C$2:$C$500,MATCH($C12580,المنيو!$B$2:$B$500,0)),0))</f>
        <v/>
      </c>
      <c r="F12580" s="107" t="str">
        <f aca="false">IF($C12580="","",$D12580*$E12580)</f>
        <v/>
      </c>
      <c r="G12580" s="107" t="str">
        <f aca="false">IF($C12580="","",$D12580*IFERROR(INDEX('تحليل التكلفة والسعر'!$C$2:$C$700,MATCH($C12580,'تحليل التكلفة والسعر'!$B$2:$B$700,0)),0))</f>
        <v/>
      </c>
    </row>
    <row r="12581" customFormat="false" ht="15" hidden="false" customHeight="false" outlineLevel="0" collapsed="false">
      <c r="A12581" s="103"/>
      <c r="B12581" s="104"/>
      <c r="C12581" s="104"/>
      <c r="E12581" s="107" t="str">
        <f aca="false">IF($C12581="","",IFERROR(INDEX(المنيو!$C$2:$C$500,MATCH($C12581,المنيو!$B$2:$B$500,0)),0))</f>
        <v/>
      </c>
      <c r="F12581" s="107" t="str">
        <f aca="false">IF($C12581="","",$D12581*$E12581)</f>
        <v/>
      </c>
      <c r="G12581" s="107" t="str">
        <f aca="false">IF($C12581="","",$D12581*IFERROR(INDEX('تحليل التكلفة والسعر'!$C$2:$C$700,MATCH($C12581,'تحليل التكلفة والسعر'!$B$2:$B$700,0)),0))</f>
        <v/>
      </c>
    </row>
    <row r="12582" customFormat="false" ht="15" hidden="false" customHeight="false" outlineLevel="0" collapsed="false">
      <c r="A12582" s="103"/>
      <c r="B12582" s="104"/>
      <c r="C12582" s="104"/>
      <c r="E12582" s="107" t="str">
        <f aca="false">IF($C12582="","",IFERROR(INDEX(المنيو!$C$2:$C$500,MATCH($C12582,المنيو!$B$2:$B$500,0)),0))</f>
        <v/>
      </c>
      <c r="F12582" s="107" t="str">
        <f aca="false">IF($C12582="","",$D12582*$E12582)</f>
        <v/>
      </c>
      <c r="G12582" s="107" t="str">
        <f aca="false">IF($C12582="","",$D12582*IFERROR(INDEX('تحليل التكلفة والسعر'!$C$2:$C$700,MATCH($C12582,'تحليل التكلفة والسعر'!$B$2:$B$700,0)),0))</f>
        <v/>
      </c>
    </row>
    <row r="12583" customFormat="false" ht="15" hidden="false" customHeight="false" outlineLevel="0" collapsed="false">
      <c r="A12583" s="103"/>
      <c r="B12583" s="104"/>
      <c r="C12583" s="104"/>
      <c r="E12583" s="107" t="str">
        <f aca="false">IF($C12583="","",IFERROR(INDEX(المنيو!$C$2:$C$500,MATCH($C12583,المنيو!$B$2:$B$500,0)),0))</f>
        <v/>
      </c>
      <c r="F12583" s="107" t="str">
        <f aca="false">IF($C12583="","",$D12583*$E12583)</f>
        <v/>
      </c>
      <c r="G12583" s="107" t="str">
        <f aca="false">IF($C12583="","",$D12583*IFERROR(INDEX('تحليل التكلفة والسعر'!$C$2:$C$700,MATCH($C12583,'تحليل التكلفة والسعر'!$B$2:$B$700,0)),0))</f>
        <v/>
      </c>
    </row>
    <row r="12584" customFormat="false" ht="15" hidden="false" customHeight="false" outlineLevel="0" collapsed="false">
      <c r="A12584" s="103"/>
      <c r="B12584" s="104"/>
      <c r="C12584" s="104"/>
      <c r="E12584" s="107" t="str">
        <f aca="false">IF($C12584="","",IFERROR(INDEX(المنيو!$C$2:$C$500,MATCH($C12584,المنيو!$B$2:$B$500,0)),0))</f>
        <v/>
      </c>
      <c r="F12584" s="107" t="str">
        <f aca="false">IF($C12584="","",$D12584*$E12584)</f>
        <v/>
      </c>
      <c r="G12584" s="107" t="str">
        <f aca="false">IF($C12584="","",$D12584*IFERROR(INDEX('تحليل التكلفة والسعر'!$C$2:$C$700,MATCH($C12584,'تحليل التكلفة والسعر'!$B$2:$B$700,0)),0))</f>
        <v/>
      </c>
    </row>
    <row r="12585" customFormat="false" ht="15" hidden="false" customHeight="false" outlineLevel="0" collapsed="false">
      <c r="A12585" s="103"/>
      <c r="B12585" s="104"/>
      <c r="C12585" s="104"/>
      <c r="E12585" s="107" t="str">
        <f aca="false">IF($C12585="","",IFERROR(INDEX(المنيو!$C$2:$C$500,MATCH($C12585,المنيو!$B$2:$B$500,0)),0))</f>
        <v/>
      </c>
      <c r="F12585" s="107" t="str">
        <f aca="false">IF($C12585="","",$D12585*$E12585)</f>
        <v/>
      </c>
      <c r="G12585" s="107" t="str">
        <f aca="false">IF($C12585="","",$D12585*IFERROR(INDEX('تحليل التكلفة والسعر'!$C$2:$C$700,MATCH($C12585,'تحليل التكلفة والسعر'!$B$2:$B$700,0)),0))</f>
        <v/>
      </c>
    </row>
    <row r="12586" customFormat="false" ht="15" hidden="false" customHeight="false" outlineLevel="0" collapsed="false">
      <c r="A12586" s="103"/>
      <c r="B12586" s="104"/>
      <c r="C12586" s="104"/>
      <c r="E12586" s="107" t="str">
        <f aca="false">IF($C12586="","",IFERROR(INDEX(المنيو!$C$2:$C$500,MATCH($C12586,المنيو!$B$2:$B$500,0)),0))</f>
        <v/>
      </c>
      <c r="F12586" s="107" t="str">
        <f aca="false">IF($C12586="","",$D12586*$E12586)</f>
        <v/>
      </c>
      <c r="G12586" s="107" t="str">
        <f aca="false">IF($C12586="","",$D12586*IFERROR(INDEX('تحليل التكلفة والسعر'!$C$2:$C$700,MATCH($C12586,'تحليل التكلفة والسعر'!$B$2:$B$700,0)),0))</f>
        <v/>
      </c>
    </row>
    <row r="12587" customFormat="false" ht="15" hidden="false" customHeight="false" outlineLevel="0" collapsed="false">
      <c r="A12587" s="103"/>
      <c r="B12587" s="104"/>
      <c r="C12587" s="104"/>
      <c r="E12587" s="107" t="str">
        <f aca="false">IF($C12587="","",IFERROR(INDEX(المنيو!$C$2:$C$500,MATCH($C12587,المنيو!$B$2:$B$500,0)),0))</f>
        <v/>
      </c>
      <c r="F12587" s="107" t="str">
        <f aca="false">IF($C12587="","",$D12587*$E12587)</f>
        <v/>
      </c>
      <c r="G12587" s="107" t="str">
        <f aca="false">IF($C12587="","",$D12587*IFERROR(INDEX('تحليل التكلفة والسعر'!$C$2:$C$700,MATCH($C12587,'تحليل التكلفة والسعر'!$B$2:$B$700,0)),0))</f>
        <v/>
      </c>
    </row>
    <row r="12588" customFormat="false" ht="15" hidden="false" customHeight="false" outlineLevel="0" collapsed="false">
      <c r="A12588" s="103"/>
      <c r="B12588" s="104"/>
      <c r="C12588" s="104"/>
      <c r="E12588" s="107" t="str">
        <f aca="false">IF($C12588="","",IFERROR(INDEX(المنيو!$C$2:$C$500,MATCH($C12588,المنيو!$B$2:$B$500,0)),0))</f>
        <v/>
      </c>
      <c r="F12588" s="107" t="str">
        <f aca="false">IF($C12588="","",$D12588*$E12588)</f>
        <v/>
      </c>
      <c r="G12588" s="107" t="str">
        <f aca="false">IF($C12588="","",$D12588*IFERROR(INDEX('تحليل التكلفة والسعر'!$C$2:$C$700,MATCH($C12588,'تحليل التكلفة والسعر'!$B$2:$B$700,0)),0))</f>
        <v/>
      </c>
    </row>
    <row r="12589" customFormat="false" ht="15" hidden="false" customHeight="false" outlineLevel="0" collapsed="false">
      <c r="A12589" s="103"/>
      <c r="B12589" s="104"/>
      <c r="C12589" s="104"/>
      <c r="E12589" s="107" t="str">
        <f aca="false">IF($C12589="","",IFERROR(INDEX(المنيو!$C$2:$C$500,MATCH($C12589,المنيو!$B$2:$B$500,0)),0))</f>
        <v/>
      </c>
      <c r="F12589" s="107" t="str">
        <f aca="false">IF($C12589="","",$D12589*$E12589)</f>
        <v/>
      </c>
      <c r="G12589" s="107" t="str">
        <f aca="false">IF($C12589="","",$D12589*IFERROR(INDEX('تحليل التكلفة والسعر'!$C$2:$C$700,MATCH($C12589,'تحليل التكلفة والسعر'!$B$2:$B$700,0)),0))</f>
        <v/>
      </c>
    </row>
    <row r="12590" customFormat="false" ht="15" hidden="false" customHeight="false" outlineLevel="0" collapsed="false">
      <c r="A12590" s="103"/>
      <c r="B12590" s="104"/>
      <c r="C12590" s="104"/>
      <c r="E12590" s="107" t="str">
        <f aca="false">IF($C12590="","",IFERROR(INDEX(المنيو!$C$2:$C$500,MATCH($C12590,المنيو!$B$2:$B$500,0)),0))</f>
        <v/>
      </c>
      <c r="F12590" s="107" t="str">
        <f aca="false">IF($C12590="","",$D12590*$E12590)</f>
        <v/>
      </c>
      <c r="G12590" s="107" t="str">
        <f aca="false">IF($C12590="","",$D12590*IFERROR(INDEX('تحليل التكلفة والسعر'!$C$2:$C$700,MATCH($C12590,'تحليل التكلفة والسعر'!$B$2:$B$700,0)),0))</f>
        <v/>
      </c>
    </row>
    <row r="12591" customFormat="false" ht="15" hidden="false" customHeight="false" outlineLevel="0" collapsed="false">
      <c r="A12591" s="103"/>
      <c r="B12591" s="104"/>
      <c r="C12591" s="104"/>
      <c r="E12591" s="107" t="str">
        <f aca="false">IF($C12591="","",IFERROR(INDEX(المنيو!$C$2:$C$500,MATCH($C12591,المنيو!$B$2:$B$500,0)),0))</f>
        <v/>
      </c>
      <c r="F12591" s="107" t="str">
        <f aca="false">IF($C12591="","",$D12591*$E12591)</f>
        <v/>
      </c>
      <c r="G12591" s="107" t="str">
        <f aca="false">IF($C12591="","",$D12591*IFERROR(INDEX('تحليل التكلفة والسعر'!$C$2:$C$700,MATCH($C12591,'تحليل التكلفة والسعر'!$B$2:$B$700,0)),0))</f>
        <v/>
      </c>
    </row>
    <row r="12592" customFormat="false" ht="15" hidden="false" customHeight="false" outlineLevel="0" collapsed="false">
      <c r="A12592" s="103"/>
      <c r="B12592" s="104"/>
      <c r="C12592" s="104"/>
      <c r="E12592" s="107" t="str">
        <f aca="false">IF($C12592="","",IFERROR(INDEX(المنيو!$C$2:$C$500,MATCH($C12592,المنيو!$B$2:$B$500,0)),0))</f>
        <v/>
      </c>
      <c r="F12592" s="107" t="str">
        <f aca="false">IF($C12592="","",$D12592*$E12592)</f>
        <v/>
      </c>
      <c r="G12592" s="107" t="str">
        <f aca="false">IF($C12592="","",$D12592*IFERROR(INDEX('تحليل التكلفة والسعر'!$C$2:$C$700,MATCH($C12592,'تحليل التكلفة والسعر'!$B$2:$B$700,0)),0))</f>
        <v/>
      </c>
    </row>
    <row r="12593" customFormat="false" ht="15" hidden="false" customHeight="false" outlineLevel="0" collapsed="false">
      <c r="A12593" s="103"/>
      <c r="B12593" s="104"/>
      <c r="C12593" s="104"/>
      <c r="E12593" s="107" t="str">
        <f aca="false">IF($C12593="","",IFERROR(INDEX(المنيو!$C$2:$C$500,MATCH($C12593,المنيو!$B$2:$B$500,0)),0))</f>
        <v/>
      </c>
      <c r="F12593" s="107" t="str">
        <f aca="false">IF($C12593="","",$D12593*$E12593)</f>
        <v/>
      </c>
      <c r="G12593" s="107" t="str">
        <f aca="false">IF($C12593="","",$D12593*IFERROR(INDEX('تحليل التكلفة والسعر'!$C$2:$C$700,MATCH($C12593,'تحليل التكلفة والسعر'!$B$2:$B$700,0)),0))</f>
        <v/>
      </c>
    </row>
    <row r="12594" customFormat="false" ht="15" hidden="false" customHeight="false" outlineLevel="0" collapsed="false">
      <c r="A12594" s="103"/>
      <c r="B12594" s="104"/>
      <c r="C12594" s="104"/>
      <c r="E12594" s="107" t="str">
        <f aca="false">IF($C12594="","",IFERROR(INDEX(المنيو!$C$2:$C$500,MATCH($C12594,المنيو!$B$2:$B$500,0)),0))</f>
        <v/>
      </c>
      <c r="F12594" s="107" t="str">
        <f aca="false">IF($C12594="","",$D12594*$E12594)</f>
        <v/>
      </c>
      <c r="G12594" s="107" t="str">
        <f aca="false">IF($C12594="","",$D12594*IFERROR(INDEX('تحليل التكلفة والسعر'!$C$2:$C$700,MATCH($C12594,'تحليل التكلفة والسعر'!$B$2:$B$700,0)),0))</f>
        <v/>
      </c>
    </row>
    <row r="12595" customFormat="false" ht="15" hidden="false" customHeight="false" outlineLevel="0" collapsed="false">
      <c r="A12595" s="103"/>
      <c r="B12595" s="104"/>
      <c r="C12595" s="104"/>
      <c r="E12595" s="107" t="str">
        <f aca="false">IF($C12595="","",IFERROR(INDEX(المنيو!$C$2:$C$500,MATCH($C12595,المنيو!$B$2:$B$500,0)),0))</f>
        <v/>
      </c>
      <c r="F12595" s="107" t="str">
        <f aca="false">IF($C12595="","",$D12595*$E12595)</f>
        <v/>
      </c>
      <c r="G12595" s="107" t="str">
        <f aca="false">IF($C12595="","",$D12595*IFERROR(INDEX('تحليل التكلفة والسعر'!$C$2:$C$700,MATCH($C12595,'تحليل التكلفة والسعر'!$B$2:$B$700,0)),0))</f>
        <v/>
      </c>
    </row>
    <row r="12596" customFormat="false" ht="15" hidden="false" customHeight="false" outlineLevel="0" collapsed="false">
      <c r="A12596" s="103"/>
      <c r="B12596" s="104"/>
      <c r="C12596" s="104"/>
      <c r="E12596" s="107" t="str">
        <f aca="false">IF($C12596="","",IFERROR(INDEX(المنيو!$C$2:$C$500,MATCH($C12596,المنيو!$B$2:$B$500,0)),0))</f>
        <v/>
      </c>
      <c r="F12596" s="107" t="str">
        <f aca="false">IF($C12596="","",$D12596*$E12596)</f>
        <v/>
      </c>
      <c r="G12596" s="107" t="str">
        <f aca="false">IF($C12596="","",$D12596*IFERROR(INDEX('تحليل التكلفة والسعر'!$C$2:$C$700,MATCH($C12596,'تحليل التكلفة والسعر'!$B$2:$B$700,0)),0))</f>
        <v/>
      </c>
    </row>
    <row r="12597" customFormat="false" ht="15" hidden="false" customHeight="false" outlineLevel="0" collapsed="false">
      <c r="A12597" s="103"/>
      <c r="B12597" s="104"/>
      <c r="C12597" s="104"/>
      <c r="E12597" s="107" t="str">
        <f aca="false">IF($C12597="","",IFERROR(INDEX(المنيو!$C$2:$C$500,MATCH($C12597,المنيو!$B$2:$B$500,0)),0))</f>
        <v/>
      </c>
      <c r="F12597" s="107" t="str">
        <f aca="false">IF($C12597="","",$D12597*$E12597)</f>
        <v/>
      </c>
      <c r="G12597" s="107" t="str">
        <f aca="false">IF($C12597="","",$D12597*IFERROR(INDEX('تحليل التكلفة والسعر'!$C$2:$C$700,MATCH($C12597,'تحليل التكلفة والسعر'!$B$2:$B$700,0)),0))</f>
        <v/>
      </c>
    </row>
    <row r="12598" customFormat="false" ht="15" hidden="false" customHeight="false" outlineLevel="0" collapsed="false">
      <c r="A12598" s="103"/>
      <c r="B12598" s="104"/>
      <c r="C12598" s="104"/>
      <c r="E12598" s="107" t="str">
        <f aca="false">IF($C12598="","",IFERROR(INDEX(المنيو!$C$2:$C$500,MATCH($C12598,المنيو!$B$2:$B$500,0)),0))</f>
        <v/>
      </c>
      <c r="F12598" s="107" t="str">
        <f aca="false">IF($C12598="","",$D12598*$E12598)</f>
        <v/>
      </c>
      <c r="G12598" s="107" t="str">
        <f aca="false">IF($C12598="","",$D12598*IFERROR(INDEX('تحليل التكلفة والسعر'!$C$2:$C$700,MATCH($C12598,'تحليل التكلفة والسعر'!$B$2:$B$700,0)),0))</f>
        <v/>
      </c>
    </row>
    <row r="12599" customFormat="false" ht="15" hidden="false" customHeight="false" outlineLevel="0" collapsed="false">
      <c r="A12599" s="103"/>
      <c r="B12599" s="104"/>
      <c r="C12599" s="104"/>
      <c r="E12599" s="107" t="str">
        <f aca="false">IF($C12599="","",IFERROR(INDEX(المنيو!$C$2:$C$500,MATCH($C12599,المنيو!$B$2:$B$500,0)),0))</f>
        <v/>
      </c>
      <c r="F12599" s="107" t="str">
        <f aca="false">IF($C12599="","",$D12599*$E12599)</f>
        <v/>
      </c>
      <c r="G12599" s="107" t="str">
        <f aca="false">IF($C12599="","",$D12599*IFERROR(INDEX('تحليل التكلفة والسعر'!$C$2:$C$700,MATCH($C12599,'تحليل التكلفة والسعر'!$B$2:$B$700,0)),0))</f>
        <v/>
      </c>
    </row>
    <row r="12600" customFormat="false" ht="15" hidden="false" customHeight="false" outlineLevel="0" collapsed="false">
      <c r="A12600" s="103"/>
      <c r="B12600" s="104"/>
      <c r="C12600" s="104"/>
      <c r="E12600" s="107" t="str">
        <f aca="false">IF($C12600="","",IFERROR(INDEX(المنيو!$C$2:$C$500,MATCH($C12600,المنيو!$B$2:$B$500,0)),0))</f>
        <v/>
      </c>
      <c r="F12600" s="107" t="str">
        <f aca="false">IF($C12600="","",$D12600*$E12600)</f>
        <v/>
      </c>
      <c r="G12600" s="107" t="str">
        <f aca="false">IF($C12600="","",$D12600*IFERROR(INDEX('تحليل التكلفة والسعر'!$C$2:$C$700,MATCH($C12600,'تحليل التكلفة والسعر'!$B$2:$B$700,0)),0))</f>
        <v/>
      </c>
    </row>
    <row r="12601" customFormat="false" ht="15" hidden="false" customHeight="false" outlineLevel="0" collapsed="false">
      <c r="A12601" s="103"/>
      <c r="B12601" s="104"/>
      <c r="C12601" s="104"/>
      <c r="E12601" s="107" t="str">
        <f aca="false">IF($C12601="","",IFERROR(INDEX(المنيو!$C$2:$C$500,MATCH($C12601,المنيو!$B$2:$B$500,0)),0))</f>
        <v/>
      </c>
      <c r="F12601" s="107" t="str">
        <f aca="false">IF($C12601="","",$D12601*$E12601)</f>
        <v/>
      </c>
      <c r="G12601" s="107" t="str">
        <f aca="false">IF($C12601="","",$D12601*IFERROR(INDEX('تحليل التكلفة والسعر'!$C$2:$C$700,MATCH($C12601,'تحليل التكلفة والسعر'!$B$2:$B$700,0)),0))</f>
        <v/>
      </c>
    </row>
    <row r="12602" customFormat="false" ht="15" hidden="false" customHeight="false" outlineLevel="0" collapsed="false">
      <c r="A12602" s="103"/>
      <c r="B12602" s="104"/>
      <c r="C12602" s="104"/>
      <c r="E12602" s="107" t="str">
        <f aca="false">IF($C12602="","",IFERROR(INDEX(المنيو!$C$2:$C$500,MATCH($C12602,المنيو!$B$2:$B$500,0)),0))</f>
        <v/>
      </c>
      <c r="F12602" s="107" t="str">
        <f aca="false">IF($C12602="","",$D12602*$E12602)</f>
        <v/>
      </c>
      <c r="G12602" s="107" t="str">
        <f aca="false">IF($C12602="","",$D12602*IFERROR(INDEX('تحليل التكلفة والسعر'!$C$2:$C$700,MATCH($C12602,'تحليل التكلفة والسعر'!$B$2:$B$700,0)),0))</f>
        <v/>
      </c>
    </row>
    <row r="12603" customFormat="false" ht="15" hidden="false" customHeight="false" outlineLevel="0" collapsed="false">
      <c r="A12603" s="103"/>
      <c r="B12603" s="104"/>
      <c r="C12603" s="104"/>
      <c r="E12603" s="107" t="str">
        <f aca="false">IF($C12603="","",IFERROR(INDEX(المنيو!$C$2:$C$500,MATCH($C12603,المنيو!$B$2:$B$500,0)),0))</f>
        <v/>
      </c>
      <c r="F12603" s="107" t="str">
        <f aca="false">IF($C12603="","",$D12603*$E12603)</f>
        <v/>
      </c>
      <c r="G12603" s="107" t="str">
        <f aca="false">IF($C12603="","",$D12603*IFERROR(INDEX('تحليل التكلفة والسعر'!$C$2:$C$700,MATCH($C12603,'تحليل التكلفة والسعر'!$B$2:$B$700,0)),0))</f>
        <v/>
      </c>
    </row>
    <row r="12604" customFormat="false" ht="15" hidden="false" customHeight="false" outlineLevel="0" collapsed="false">
      <c r="A12604" s="103"/>
      <c r="B12604" s="104"/>
      <c r="C12604" s="104"/>
      <c r="E12604" s="107" t="str">
        <f aca="false">IF($C12604="","",IFERROR(INDEX(المنيو!$C$2:$C$500,MATCH($C12604,المنيو!$B$2:$B$500,0)),0))</f>
        <v/>
      </c>
      <c r="F12604" s="107" t="str">
        <f aca="false">IF($C12604="","",$D12604*$E12604)</f>
        <v/>
      </c>
      <c r="G12604" s="107" t="str">
        <f aca="false">IF($C12604="","",$D12604*IFERROR(INDEX('تحليل التكلفة والسعر'!$C$2:$C$700,MATCH($C12604,'تحليل التكلفة والسعر'!$B$2:$B$700,0)),0))</f>
        <v/>
      </c>
    </row>
    <row r="12605" customFormat="false" ht="15" hidden="false" customHeight="false" outlineLevel="0" collapsed="false">
      <c r="A12605" s="103"/>
      <c r="B12605" s="104"/>
      <c r="C12605" s="104"/>
      <c r="E12605" s="107" t="str">
        <f aca="false">IF($C12605="","",IFERROR(INDEX(المنيو!$C$2:$C$500,MATCH($C12605,المنيو!$B$2:$B$500,0)),0))</f>
        <v/>
      </c>
      <c r="F12605" s="107" t="str">
        <f aca="false">IF($C12605="","",$D12605*$E12605)</f>
        <v/>
      </c>
      <c r="G12605" s="107" t="str">
        <f aca="false">IF($C12605="","",$D12605*IFERROR(INDEX('تحليل التكلفة والسعر'!$C$2:$C$700,MATCH($C12605,'تحليل التكلفة والسعر'!$B$2:$B$700,0)),0))</f>
        <v/>
      </c>
    </row>
    <row r="12606" customFormat="false" ht="15" hidden="false" customHeight="false" outlineLevel="0" collapsed="false">
      <c r="A12606" s="103"/>
      <c r="B12606" s="104"/>
      <c r="C12606" s="104"/>
      <c r="E12606" s="107" t="str">
        <f aca="false">IF($C12606="","",IFERROR(INDEX(المنيو!$C$2:$C$500,MATCH($C12606,المنيو!$B$2:$B$500,0)),0))</f>
        <v/>
      </c>
      <c r="F12606" s="107" t="str">
        <f aca="false">IF($C12606="","",$D12606*$E12606)</f>
        <v/>
      </c>
      <c r="G12606" s="107" t="str">
        <f aca="false">IF($C12606="","",$D12606*IFERROR(INDEX('تحليل التكلفة والسعر'!$C$2:$C$700,MATCH($C12606,'تحليل التكلفة والسعر'!$B$2:$B$700,0)),0))</f>
        <v/>
      </c>
    </row>
    <row r="12607" customFormat="false" ht="15" hidden="false" customHeight="false" outlineLevel="0" collapsed="false">
      <c r="A12607" s="103"/>
      <c r="B12607" s="104"/>
      <c r="C12607" s="104"/>
      <c r="E12607" s="107" t="str">
        <f aca="false">IF($C12607="","",IFERROR(INDEX(المنيو!$C$2:$C$500,MATCH($C12607,المنيو!$B$2:$B$500,0)),0))</f>
        <v/>
      </c>
      <c r="F12607" s="107" t="str">
        <f aca="false">IF($C12607="","",$D12607*$E12607)</f>
        <v/>
      </c>
      <c r="G12607" s="107" t="str">
        <f aca="false">IF($C12607="","",$D12607*IFERROR(INDEX('تحليل التكلفة والسعر'!$C$2:$C$700,MATCH($C12607,'تحليل التكلفة والسعر'!$B$2:$B$700,0)),0))</f>
        <v/>
      </c>
    </row>
    <row r="12608" customFormat="false" ht="15" hidden="false" customHeight="false" outlineLevel="0" collapsed="false">
      <c r="A12608" s="103"/>
      <c r="B12608" s="104"/>
      <c r="C12608" s="104"/>
      <c r="E12608" s="107" t="str">
        <f aca="false">IF($C12608="","",IFERROR(INDEX(المنيو!$C$2:$C$500,MATCH($C12608,المنيو!$B$2:$B$500,0)),0))</f>
        <v/>
      </c>
      <c r="F12608" s="107" t="str">
        <f aca="false">IF($C12608="","",$D12608*$E12608)</f>
        <v/>
      </c>
      <c r="G12608" s="107" t="str">
        <f aca="false">IF($C12608="","",$D12608*IFERROR(INDEX('تحليل التكلفة والسعر'!$C$2:$C$700,MATCH($C12608,'تحليل التكلفة والسعر'!$B$2:$B$700,0)),0))</f>
        <v/>
      </c>
    </row>
    <row r="12609" customFormat="false" ht="15" hidden="false" customHeight="false" outlineLevel="0" collapsed="false">
      <c r="A12609" s="103"/>
      <c r="B12609" s="104"/>
      <c r="C12609" s="104"/>
      <c r="E12609" s="107" t="str">
        <f aca="false">IF($C12609="","",IFERROR(INDEX(المنيو!$C$2:$C$500,MATCH($C12609,المنيو!$B$2:$B$500,0)),0))</f>
        <v/>
      </c>
      <c r="F12609" s="107" t="str">
        <f aca="false">IF($C12609="","",$D12609*$E12609)</f>
        <v/>
      </c>
      <c r="G12609" s="107" t="str">
        <f aca="false">IF($C12609="","",$D12609*IFERROR(INDEX('تحليل التكلفة والسعر'!$C$2:$C$700,MATCH($C12609,'تحليل التكلفة والسعر'!$B$2:$B$700,0)),0))</f>
        <v/>
      </c>
    </row>
    <row r="12610" customFormat="false" ht="15" hidden="false" customHeight="false" outlineLevel="0" collapsed="false">
      <c r="A12610" s="103"/>
      <c r="B12610" s="104"/>
      <c r="C12610" s="104"/>
      <c r="E12610" s="107" t="str">
        <f aca="false">IF($C12610="","",IFERROR(INDEX(المنيو!$C$2:$C$500,MATCH($C12610,المنيو!$B$2:$B$500,0)),0))</f>
        <v/>
      </c>
      <c r="F12610" s="107" t="str">
        <f aca="false">IF($C12610="","",$D12610*$E12610)</f>
        <v/>
      </c>
      <c r="G12610" s="107" t="str">
        <f aca="false">IF($C12610="","",$D12610*IFERROR(INDEX('تحليل التكلفة والسعر'!$C$2:$C$700,MATCH($C12610,'تحليل التكلفة والسعر'!$B$2:$B$700,0)),0))</f>
        <v/>
      </c>
    </row>
    <row r="12611" customFormat="false" ht="15" hidden="false" customHeight="false" outlineLevel="0" collapsed="false">
      <c r="A12611" s="103"/>
      <c r="B12611" s="104"/>
      <c r="C12611" s="104"/>
      <c r="E12611" s="107" t="str">
        <f aca="false">IF($C12611="","",IFERROR(INDEX(المنيو!$C$2:$C$500,MATCH($C12611,المنيو!$B$2:$B$500,0)),0))</f>
        <v/>
      </c>
      <c r="F12611" s="107" t="str">
        <f aca="false">IF($C12611="","",$D12611*$E12611)</f>
        <v/>
      </c>
      <c r="G12611" s="107" t="str">
        <f aca="false">IF($C12611="","",$D12611*IFERROR(INDEX('تحليل التكلفة والسعر'!$C$2:$C$700,MATCH($C12611,'تحليل التكلفة والسعر'!$B$2:$B$700,0)),0))</f>
        <v/>
      </c>
    </row>
    <row r="12612" customFormat="false" ht="15" hidden="false" customHeight="false" outlineLevel="0" collapsed="false">
      <c r="A12612" s="103"/>
      <c r="B12612" s="104"/>
      <c r="C12612" s="104"/>
      <c r="E12612" s="107" t="str">
        <f aca="false">IF($C12612="","",IFERROR(INDEX(المنيو!$C$2:$C$500,MATCH($C12612,المنيو!$B$2:$B$500,0)),0))</f>
        <v/>
      </c>
      <c r="F12612" s="107" t="str">
        <f aca="false">IF($C12612="","",$D12612*$E12612)</f>
        <v/>
      </c>
      <c r="G12612" s="107" t="str">
        <f aca="false">IF($C12612="","",$D12612*IFERROR(INDEX('تحليل التكلفة والسعر'!$C$2:$C$700,MATCH($C12612,'تحليل التكلفة والسعر'!$B$2:$B$700,0)),0))</f>
        <v/>
      </c>
    </row>
    <row r="12613" customFormat="false" ht="15" hidden="false" customHeight="false" outlineLevel="0" collapsed="false">
      <c r="A12613" s="103"/>
      <c r="B12613" s="104"/>
      <c r="C12613" s="104"/>
      <c r="E12613" s="107" t="str">
        <f aca="false">IF($C12613="","",IFERROR(INDEX(المنيو!$C$2:$C$500,MATCH($C12613,المنيو!$B$2:$B$500,0)),0))</f>
        <v/>
      </c>
      <c r="F12613" s="107" t="str">
        <f aca="false">IF($C12613="","",$D12613*$E12613)</f>
        <v/>
      </c>
      <c r="G12613" s="107" t="str">
        <f aca="false">IF($C12613="","",$D12613*IFERROR(INDEX('تحليل التكلفة والسعر'!$C$2:$C$700,MATCH($C12613,'تحليل التكلفة والسعر'!$B$2:$B$700,0)),0))</f>
        <v/>
      </c>
    </row>
    <row r="12614" customFormat="false" ht="15" hidden="false" customHeight="false" outlineLevel="0" collapsed="false">
      <c r="A12614" s="103"/>
      <c r="B12614" s="104"/>
      <c r="C12614" s="104"/>
      <c r="E12614" s="107" t="str">
        <f aca="false">IF($C12614="","",IFERROR(INDEX(المنيو!$C$2:$C$500,MATCH($C12614,المنيو!$B$2:$B$500,0)),0))</f>
        <v/>
      </c>
      <c r="F12614" s="107" t="str">
        <f aca="false">IF($C12614="","",$D12614*$E12614)</f>
        <v/>
      </c>
      <c r="G12614" s="107" t="str">
        <f aca="false">IF($C12614="","",$D12614*IFERROR(INDEX('تحليل التكلفة والسعر'!$C$2:$C$700,MATCH($C12614,'تحليل التكلفة والسعر'!$B$2:$B$700,0)),0))</f>
        <v/>
      </c>
    </row>
    <row r="12615" customFormat="false" ht="15" hidden="false" customHeight="false" outlineLevel="0" collapsed="false">
      <c r="A12615" s="103"/>
      <c r="B12615" s="104"/>
      <c r="C12615" s="104"/>
      <c r="E12615" s="107" t="str">
        <f aca="false">IF($C12615="","",IFERROR(INDEX(المنيو!$C$2:$C$500,MATCH($C12615,المنيو!$B$2:$B$500,0)),0))</f>
        <v/>
      </c>
      <c r="F12615" s="107" t="str">
        <f aca="false">IF($C12615="","",$D12615*$E12615)</f>
        <v/>
      </c>
      <c r="G12615" s="107" t="str">
        <f aca="false">IF($C12615="","",$D12615*IFERROR(INDEX('تحليل التكلفة والسعر'!$C$2:$C$700,MATCH($C12615,'تحليل التكلفة والسعر'!$B$2:$B$700,0)),0))</f>
        <v/>
      </c>
    </row>
    <row r="12616" customFormat="false" ht="15" hidden="false" customHeight="false" outlineLevel="0" collapsed="false">
      <c r="A12616" s="103"/>
      <c r="B12616" s="104"/>
      <c r="C12616" s="104"/>
      <c r="E12616" s="107" t="str">
        <f aca="false">IF($C12616="","",IFERROR(INDEX(المنيو!$C$2:$C$500,MATCH($C12616,المنيو!$B$2:$B$500,0)),0))</f>
        <v/>
      </c>
      <c r="F12616" s="107" t="str">
        <f aca="false">IF($C12616="","",$D12616*$E12616)</f>
        <v/>
      </c>
      <c r="G12616" s="107" t="str">
        <f aca="false">IF($C12616="","",$D12616*IFERROR(INDEX('تحليل التكلفة والسعر'!$C$2:$C$700,MATCH($C12616,'تحليل التكلفة والسعر'!$B$2:$B$700,0)),0))</f>
        <v/>
      </c>
    </row>
    <row r="12617" customFormat="false" ht="15" hidden="false" customHeight="false" outlineLevel="0" collapsed="false">
      <c r="A12617" s="103"/>
      <c r="B12617" s="104"/>
      <c r="C12617" s="104"/>
      <c r="E12617" s="107" t="str">
        <f aca="false">IF($C12617="","",IFERROR(INDEX(المنيو!$C$2:$C$500,MATCH($C12617,المنيو!$B$2:$B$500,0)),0))</f>
        <v/>
      </c>
      <c r="F12617" s="107" t="str">
        <f aca="false">IF($C12617="","",$D12617*$E12617)</f>
        <v/>
      </c>
      <c r="G12617" s="107" t="str">
        <f aca="false">IF($C12617="","",$D12617*IFERROR(INDEX('تحليل التكلفة والسعر'!$C$2:$C$700,MATCH($C12617,'تحليل التكلفة والسعر'!$B$2:$B$700,0)),0))</f>
        <v/>
      </c>
    </row>
    <row r="12618" customFormat="false" ht="15" hidden="false" customHeight="false" outlineLevel="0" collapsed="false">
      <c r="A12618" s="103"/>
      <c r="B12618" s="104"/>
      <c r="C12618" s="104"/>
      <c r="E12618" s="107" t="str">
        <f aca="false">IF($C12618="","",IFERROR(INDEX(المنيو!$C$2:$C$500,MATCH($C12618,المنيو!$B$2:$B$500,0)),0))</f>
        <v/>
      </c>
      <c r="F12618" s="107" t="str">
        <f aca="false">IF($C12618="","",$D12618*$E12618)</f>
        <v/>
      </c>
      <c r="G12618" s="107" t="str">
        <f aca="false">IF($C12618="","",$D12618*IFERROR(INDEX('تحليل التكلفة والسعر'!$C$2:$C$700,MATCH($C12618,'تحليل التكلفة والسعر'!$B$2:$B$700,0)),0))</f>
        <v/>
      </c>
    </row>
    <row r="12619" customFormat="false" ht="15" hidden="false" customHeight="false" outlineLevel="0" collapsed="false">
      <c r="A12619" s="103"/>
      <c r="B12619" s="104"/>
      <c r="C12619" s="104"/>
      <c r="E12619" s="107" t="str">
        <f aca="false">IF($C12619="","",IFERROR(INDEX(المنيو!$C$2:$C$500,MATCH($C12619,المنيو!$B$2:$B$500,0)),0))</f>
        <v/>
      </c>
      <c r="F12619" s="107" t="str">
        <f aca="false">IF($C12619="","",$D12619*$E12619)</f>
        <v/>
      </c>
      <c r="G12619" s="107" t="str">
        <f aca="false">IF($C12619="","",$D12619*IFERROR(INDEX('تحليل التكلفة والسعر'!$C$2:$C$700,MATCH($C12619,'تحليل التكلفة والسعر'!$B$2:$B$700,0)),0))</f>
        <v/>
      </c>
    </row>
    <row r="12620" customFormat="false" ht="15" hidden="false" customHeight="false" outlineLevel="0" collapsed="false">
      <c r="A12620" s="103"/>
      <c r="B12620" s="104"/>
      <c r="C12620" s="104"/>
      <c r="E12620" s="107" t="str">
        <f aca="false">IF($C12620="","",IFERROR(INDEX(المنيو!$C$2:$C$500,MATCH($C12620,المنيو!$B$2:$B$500,0)),0))</f>
        <v/>
      </c>
      <c r="F12620" s="107" t="str">
        <f aca="false">IF($C12620="","",$D12620*$E12620)</f>
        <v/>
      </c>
      <c r="G12620" s="107" t="str">
        <f aca="false">IF($C12620="","",$D12620*IFERROR(INDEX('تحليل التكلفة والسعر'!$C$2:$C$700,MATCH($C12620,'تحليل التكلفة والسعر'!$B$2:$B$700,0)),0))</f>
        <v/>
      </c>
    </row>
    <row r="12621" customFormat="false" ht="15" hidden="false" customHeight="false" outlineLevel="0" collapsed="false">
      <c r="A12621" s="103"/>
      <c r="B12621" s="104"/>
      <c r="C12621" s="104"/>
      <c r="E12621" s="107" t="str">
        <f aca="false">IF($C12621="","",IFERROR(INDEX(المنيو!$C$2:$C$500,MATCH($C12621,المنيو!$B$2:$B$500,0)),0))</f>
        <v/>
      </c>
      <c r="F12621" s="107" t="str">
        <f aca="false">IF($C12621="","",$D12621*$E12621)</f>
        <v/>
      </c>
      <c r="G12621" s="107" t="str">
        <f aca="false">IF($C12621="","",$D12621*IFERROR(INDEX('تحليل التكلفة والسعر'!$C$2:$C$700,MATCH($C12621,'تحليل التكلفة والسعر'!$B$2:$B$700,0)),0))</f>
        <v/>
      </c>
    </row>
    <row r="12622" customFormat="false" ht="15" hidden="false" customHeight="false" outlineLevel="0" collapsed="false">
      <c r="A12622" s="103"/>
      <c r="B12622" s="104"/>
      <c r="C12622" s="104"/>
      <c r="E12622" s="107" t="str">
        <f aca="false">IF($C12622="","",IFERROR(INDEX(المنيو!$C$2:$C$500,MATCH($C12622,المنيو!$B$2:$B$500,0)),0))</f>
        <v/>
      </c>
      <c r="F12622" s="107" t="str">
        <f aca="false">IF($C12622="","",$D12622*$E12622)</f>
        <v/>
      </c>
      <c r="G12622" s="107" t="str">
        <f aca="false">IF($C12622="","",$D12622*IFERROR(INDEX('تحليل التكلفة والسعر'!$C$2:$C$700,MATCH($C12622,'تحليل التكلفة والسعر'!$B$2:$B$700,0)),0))</f>
        <v/>
      </c>
    </row>
    <row r="12623" customFormat="false" ht="15" hidden="false" customHeight="false" outlineLevel="0" collapsed="false">
      <c r="A12623" s="103"/>
      <c r="B12623" s="104"/>
      <c r="C12623" s="104"/>
      <c r="E12623" s="107" t="str">
        <f aca="false">IF($C12623="","",IFERROR(INDEX(المنيو!$C$2:$C$500,MATCH($C12623,المنيو!$B$2:$B$500,0)),0))</f>
        <v/>
      </c>
      <c r="F12623" s="107" t="str">
        <f aca="false">IF($C12623="","",$D12623*$E12623)</f>
        <v/>
      </c>
      <c r="G12623" s="107" t="str">
        <f aca="false">IF($C12623="","",$D12623*IFERROR(INDEX('تحليل التكلفة والسعر'!$C$2:$C$700,MATCH($C12623,'تحليل التكلفة والسعر'!$B$2:$B$700,0)),0))</f>
        <v/>
      </c>
    </row>
    <row r="12624" customFormat="false" ht="15" hidden="false" customHeight="false" outlineLevel="0" collapsed="false">
      <c r="A12624" s="103"/>
      <c r="B12624" s="104"/>
      <c r="C12624" s="104"/>
      <c r="E12624" s="107" t="str">
        <f aca="false">IF($C12624="","",IFERROR(INDEX(المنيو!$C$2:$C$500,MATCH($C12624,المنيو!$B$2:$B$500,0)),0))</f>
        <v/>
      </c>
      <c r="F12624" s="107" t="str">
        <f aca="false">IF($C12624="","",$D12624*$E12624)</f>
        <v/>
      </c>
      <c r="G12624" s="107" t="str">
        <f aca="false">IF($C12624="","",$D12624*IFERROR(INDEX('تحليل التكلفة والسعر'!$C$2:$C$700,MATCH($C12624,'تحليل التكلفة والسعر'!$B$2:$B$700,0)),0))</f>
        <v/>
      </c>
    </row>
    <row r="12625" customFormat="false" ht="15" hidden="false" customHeight="false" outlineLevel="0" collapsed="false">
      <c r="A12625" s="103"/>
      <c r="B12625" s="104"/>
      <c r="C12625" s="104"/>
      <c r="E12625" s="107" t="str">
        <f aca="false">IF($C12625="","",IFERROR(INDEX(المنيو!$C$2:$C$500,MATCH($C12625,المنيو!$B$2:$B$500,0)),0))</f>
        <v/>
      </c>
      <c r="F12625" s="107" t="str">
        <f aca="false">IF($C12625="","",$D12625*$E12625)</f>
        <v/>
      </c>
      <c r="G12625" s="107" t="str">
        <f aca="false">IF($C12625="","",$D12625*IFERROR(INDEX('تحليل التكلفة والسعر'!$C$2:$C$700,MATCH($C12625,'تحليل التكلفة والسعر'!$B$2:$B$700,0)),0))</f>
        <v/>
      </c>
    </row>
    <row r="12626" customFormat="false" ht="15" hidden="false" customHeight="false" outlineLevel="0" collapsed="false">
      <c r="A12626" s="103"/>
      <c r="B12626" s="104"/>
      <c r="C12626" s="104"/>
      <c r="E12626" s="107" t="str">
        <f aca="false">IF($C12626="","",IFERROR(INDEX(المنيو!$C$2:$C$500,MATCH($C12626,المنيو!$B$2:$B$500,0)),0))</f>
        <v/>
      </c>
      <c r="F12626" s="107" t="str">
        <f aca="false">IF($C12626="","",$D12626*$E12626)</f>
        <v/>
      </c>
      <c r="G12626" s="107" t="str">
        <f aca="false">IF($C12626="","",$D12626*IFERROR(INDEX('تحليل التكلفة والسعر'!$C$2:$C$700,MATCH($C12626,'تحليل التكلفة والسعر'!$B$2:$B$700,0)),0))</f>
        <v/>
      </c>
    </row>
    <row r="12627" customFormat="false" ht="15" hidden="false" customHeight="false" outlineLevel="0" collapsed="false">
      <c r="A12627" s="103"/>
      <c r="B12627" s="104"/>
      <c r="C12627" s="104"/>
      <c r="E12627" s="107" t="str">
        <f aca="false">IF($C12627="","",IFERROR(INDEX(المنيو!$C$2:$C$500,MATCH($C12627,المنيو!$B$2:$B$500,0)),0))</f>
        <v/>
      </c>
      <c r="F12627" s="107" t="str">
        <f aca="false">IF($C12627="","",$D12627*$E12627)</f>
        <v/>
      </c>
      <c r="G12627" s="107" t="str">
        <f aca="false">IF($C12627="","",$D12627*IFERROR(INDEX('تحليل التكلفة والسعر'!$C$2:$C$700,MATCH($C12627,'تحليل التكلفة والسعر'!$B$2:$B$700,0)),0))</f>
        <v/>
      </c>
    </row>
    <row r="12628" customFormat="false" ht="15" hidden="false" customHeight="false" outlineLevel="0" collapsed="false">
      <c r="A12628" s="103"/>
      <c r="B12628" s="104"/>
      <c r="C12628" s="104"/>
      <c r="E12628" s="107" t="str">
        <f aca="false">IF($C12628="","",IFERROR(INDEX(المنيو!$C$2:$C$500,MATCH($C12628,المنيو!$B$2:$B$500,0)),0))</f>
        <v/>
      </c>
      <c r="F12628" s="107" t="str">
        <f aca="false">IF($C12628="","",$D12628*$E12628)</f>
        <v/>
      </c>
      <c r="G12628" s="107" t="str">
        <f aca="false">IF($C12628="","",$D12628*IFERROR(INDEX('تحليل التكلفة والسعر'!$C$2:$C$700,MATCH($C12628,'تحليل التكلفة والسعر'!$B$2:$B$700,0)),0))</f>
        <v/>
      </c>
    </row>
    <row r="12629" customFormat="false" ht="15" hidden="false" customHeight="false" outlineLevel="0" collapsed="false">
      <c r="A12629" s="103"/>
      <c r="B12629" s="104"/>
      <c r="C12629" s="104"/>
      <c r="E12629" s="107" t="str">
        <f aca="false">IF($C12629="","",IFERROR(INDEX(المنيو!$C$2:$C$500,MATCH($C12629,المنيو!$B$2:$B$500,0)),0))</f>
        <v/>
      </c>
      <c r="F12629" s="107" t="str">
        <f aca="false">IF($C12629="","",$D12629*$E12629)</f>
        <v/>
      </c>
      <c r="G12629" s="107" t="str">
        <f aca="false">IF($C12629="","",$D12629*IFERROR(INDEX('تحليل التكلفة والسعر'!$C$2:$C$700,MATCH($C12629,'تحليل التكلفة والسعر'!$B$2:$B$700,0)),0))</f>
        <v/>
      </c>
    </row>
    <row r="12630" customFormat="false" ht="15" hidden="false" customHeight="false" outlineLevel="0" collapsed="false">
      <c r="A12630" s="103"/>
      <c r="B12630" s="104"/>
      <c r="C12630" s="104"/>
      <c r="E12630" s="107" t="str">
        <f aca="false">IF($C12630="","",IFERROR(INDEX(المنيو!$C$2:$C$500,MATCH($C12630,المنيو!$B$2:$B$500,0)),0))</f>
        <v/>
      </c>
      <c r="F12630" s="107" t="str">
        <f aca="false">IF($C12630="","",$D12630*$E12630)</f>
        <v/>
      </c>
      <c r="G12630" s="107" t="str">
        <f aca="false">IF($C12630="","",$D12630*IFERROR(INDEX('تحليل التكلفة والسعر'!$C$2:$C$700,MATCH($C12630,'تحليل التكلفة والسعر'!$B$2:$B$700,0)),0))</f>
        <v/>
      </c>
    </row>
    <row r="12631" customFormat="false" ht="15" hidden="false" customHeight="false" outlineLevel="0" collapsed="false">
      <c r="A12631" s="103"/>
      <c r="B12631" s="104"/>
      <c r="C12631" s="104"/>
      <c r="E12631" s="107" t="str">
        <f aca="false">IF($C12631="","",IFERROR(INDEX(المنيو!$C$2:$C$500,MATCH($C12631,المنيو!$B$2:$B$500,0)),0))</f>
        <v/>
      </c>
      <c r="F12631" s="107" t="str">
        <f aca="false">IF($C12631="","",$D12631*$E12631)</f>
        <v/>
      </c>
      <c r="G12631" s="107" t="str">
        <f aca="false">IF($C12631="","",$D12631*IFERROR(INDEX('تحليل التكلفة والسعر'!$C$2:$C$700,MATCH($C12631,'تحليل التكلفة والسعر'!$B$2:$B$700,0)),0))</f>
        <v/>
      </c>
    </row>
    <row r="12632" customFormat="false" ht="15" hidden="false" customHeight="false" outlineLevel="0" collapsed="false">
      <c r="A12632" s="103"/>
      <c r="B12632" s="104"/>
      <c r="C12632" s="104"/>
      <c r="E12632" s="107" t="str">
        <f aca="false">IF($C12632="","",IFERROR(INDEX(المنيو!$C$2:$C$500,MATCH($C12632,المنيو!$B$2:$B$500,0)),0))</f>
        <v/>
      </c>
      <c r="F12632" s="107" t="str">
        <f aca="false">IF($C12632="","",$D12632*$E12632)</f>
        <v/>
      </c>
      <c r="G12632" s="107" t="str">
        <f aca="false">IF($C12632="","",$D12632*IFERROR(INDEX('تحليل التكلفة والسعر'!$C$2:$C$700,MATCH($C12632,'تحليل التكلفة والسعر'!$B$2:$B$700,0)),0))</f>
        <v/>
      </c>
    </row>
    <row r="12633" customFormat="false" ht="15" hidden="false" customHeight="false" outlineLevel="0" collapsed="false">
      <c r="A12633" s="103"/>
      <c r="B12633" s="104"/>
      <c r="C12633" s="104"/>
      <c r="E12633" s="107" t="str">
        <f aca="false">IF($C12633="","",IFERROR(INDEX(المنيو!$C$2:$C$500,MATCH($C12633,المنيو!$B$2:$B$500,0)),0))</f>
        <v/>
      </c>
      <c r="F12633" s="107" t="str">
        <f aca="false">IF($C12633="","",$D12633*$E12633)</f>
        <v/>
      </c>
      <c r="G12633" s="107" t="str">
        <f aca="false">IF($C12633="","",$D12633*IFERROR(INDEX('تحليل التكلفة والسعر'!$C$2:$C$700,MATCH($C12633,'تحليل التكلفة والسعر'!$B$2:$B$700,0)),0))</f>
        <v/>
      </c>
    </row>
    <row r="12634" customFormat="false" ht="15" hidden="false" customHeight="false" outlineLevel="0" collapsed="false">
      <c r="A12634" s="103"/>
      <c r="B12634" s="104"/>
      <c r="C12634" s="104"/>
      <c r="E12634" s="107" t="str">
        <f aca="false">IF($C12634="","",IFERROR(INDEX(المنيو!$C$2:$C$500,MATCH($C12634,المنيو!$B$2:$B$500,0)),0))</f>
        <v/>
      </c>
      <c r="F12634" s="107" t="str">
        <f aca="false">IF($C12634="","",$D12634*$E12634)</f>
        <v/>
      </c>
      <c r="G12634" s="107" t="str">
        <f aca="false">IF($C12634="","",$D12634*IFERROR(INDEX('تحليل التكلفة والسعر'!$C$2:$C$700,MATCH($C12634,'تحليل التكلفة والسعر'!$B$2:$B$700,0)),0))</f>
        <v/>
      </c>
    </row>
    <row r="12635" customFormat="false" ht="15" hidden="false" customHeight="false" outlineLevel="0" collapsed="false">
      <c r="A12635" s="103"/>
      <c r="B12635" s="104"/>
      <c r="C12635" s="104"/>
      <c r="E12635" s="107" t="str">
        <f aca="false">IF($C12635="","",IFERROR(INDEX(المنيو!$C$2:$C$500,MATCH($C12635,المنيو!$B$2:$B$500,0)),0))</f>
        <v/>
      </c>
      <c r="F12635" s="107" t="str">
        <f aca="false">IF($C12635="","",$D12635*$E12635)</f>
        <v/>
      </c>
      <c r="G12635" s="107" t="str">
        <f aca="false">IF($C12635="","",$D12635*IFERROR(INDEX('تحليل التكلفة والسعر'!$C$2:$C$700,MATCH($C12635,'تحليل التكلفة والسعر'!$B$2:$B$700,0)),0))</f>
        <v/>
      </c>
    </row>
    <row r="12636" customFormat="false" ht="15" hidden="false" customHeight="false" outlineLevel="0" collapsed="false">
      <c r="A12636" s="103"/>
      <c r="B12636" s="104"/>
      <c r="C12636" s="104"/>
      <c r="E12636" s="107" t="str">
        <f aca="false">IF($C12636="","",IFERROR(INDEX(المنيو!$C$2:$C$500,MATCH($C12636,المنيو!$B$2:$B$500,0)),0))</f>
        <v/>
      </c>
      <c r="F12636" s="107" t="str">
        <f aca="false">IF($C12636="","",$D12636*$E12636)</f>
        <v/>
      </c>
      <c r="G12636" s="107" t="str">
        <f aca="false">IF($C12636="","",$D12636*IFERROR(INDEX('تحليل التكلفة والسعر'!$C$2:$C$700,MATCH($C12636,'تحليل التكلفة والسعر'!$B$2:$B$700,0)),0))</f>
        <v/>
      </c>
    </row>
    <row r="12637" customFormat="false" ht="15" hidden="false" customHeight="false" outlineLevel="0" collapsed="false">
      <c r="A12637" s="103"/>
      <c r="B12637" s="104"/>
      <c r="C12637" s="104"/>
      <c r="E12637" s="107" t="str">
        <f aca="false">IF($C12637="","",IFERROR(INDEX(المنيو!$C$2:$C$500,MATCH($C12637,المنيو!$B$2:$B$500,0)),0))</f>
        <v/>
      </c>
      <c r="F12637" s="107" t="str">
        <f aca="false">IF($C12637="","",$D12637*$E12637)</f>
        <v/>
      </c>
      <c r="G12637" s="107" t="str">
        <f aca="false">IF($C12637="","",$D12637*IFERROR(INDEX('تحليل التكلفة والسعر'!$C$2:$C$700,MATCH($C12637,'تحليل التكلفة والسعر'!$B$2:$B$700,0)),0))</f>
        <v/>
      </c>
    </row>
    <row r="12638" customFormat="false" ht="15" hidden="false" customHeight="false" outlineLevel="0" collapsed="false">
      <c r="A12638" s="103"/>
      <c r="B12638" s="104"/>
      <c r="C12638" s="104"/>
      <c r="E12638" s="107" t="str">
        <f aca="false">IF($C12638="","",IFERROR(INDEX(المنيو!$C$2:$C$500,MATCH($C12638,المنيو!$B$2:$B$500,0)),0))</f>
        <v/>
      </c>
      <c r="F12638" s="107" t="str">
        <f aca="false">IF($C12638="","",$D12638*$E12638)</f>
        <v/>
      </c>
      <c r="G12638" s="107" t="str">
        <f aca="false">IF($C12638="","",$D12638*IFERROR(INDEX('تحليل التكلفة والسعر'!$C$2:$C$700,MATCH($C12638,'تحليل التكلفة والسعر'!$B$2:$B$700,0)),0))</f>
        <v/>
      </c>
    </row>
    <row r="12639" customFormat="false" ht="15" hidden="false" customHeight="false" outlineLevel="0" collapsed="false">
      <c r="A12639" s="103"/>
      <c r="B12639" s="104"/>
      <c r="C12639" s="104"/>
      <c r="E12639" s="107" t="str">
        <f aca="false">IF($C12639="","",IFERROR(INDEX(المنيو!$C$2:$C$500,MATCH($C12639,المنيو!$B$2:$B$500,0)),0))</f>
        <v/>
      </c>
      <c r="F12639" s="107" t="str">
        <f aca="false">IF($C12639="","",$D12639*$E12639)</f>
        <v/>
      </c>
      <c r="G12639" s="107" t="str">
        <f aca="false">IF($C12639="","",$D12639*IFERROR(INDEX('تحليل التكلفة والسعر'!$C$2:$C$700,MATCH($C12639,'تحليل التكلفة والسعر'!$B$2:$B$700,0)),0))</f>
        <v/>
      </c>
    </row>
    <row r="12640" customFormat="false" ht="15" hidden="false" customHeight="false" outlineLevel="0" collapsed="false">
      <c r="A12640" s="103"/>
      <c r="B12640" s="104"/>
      <c r="C12640" s="104"/>
      <c r="E12640" s="107" t="str">
        <f aca="false">IF($C12640="","",IFERROR(INDEX(المنيو!$C$2:$C$500,MATCH($C12640,المنيو!$B$2:$B$500,0)),0))</f>
        <v/>
      </c>
      <c r="F12640" s="107" t="str">
        <f aca="false">IF($C12640="","",$D12640*$E12640)</f>
        <v/>
      </c>
      <c r="G12640" s="107" t="str">
        <f aca="false">IF($C12640="","",$D12640*IFERROR(INDEX('تحليل التكلفة والسعر'!$C$2:$C$700,MATCH($C12640,'تحليل التكلفة والسعر'!$B$2:$B$700,0)),0))</f>
        <v/>
      </c>
    </row>
    <row r="12641" customFormat="false" ht="15" hidden="false" customHeight="false" outlineLevel="0" collapsed="false">
      <c r="A12641" s="103"/>
      <c r="B12641" s="104"/>
      <c r="C12641" s="104"/>
      <c r="E12641" s="107" t="str">
        <f aca="false">IF($C12641="","",IFERROR(INDEX(المنيو!$C$2:$C$500,MATCH($C12641,المنيو!$B$2:$B$500,0)),0))</f>
        <v/>
      </c>
      <c r="F12641" s="107" t="str">
        <f aca="false">IF($C12641="","",$D12641*$E12641)</f>
        <v/>
      </c>
      <c r="G12641" s="107" t="str">
        <f aca="false">IF($C12641="","",$D12641*IFERROR(INDEX('تحليل التكلفة والسعر'!$C$2:$C$700,MATCH($C12641,'تحليل التكلفة والسعر'!$B$2:$B$700,0)),0))</f>
        <v/>
      </c>
    </row>
    <row r="12642" customFormat="false" ht="15" hidden="false" customHeight="false" outlineLevel="0" collapsed="false">
      <c r="A12642" s="103"/>
      <c r="B12642" s="104"/>
      <c r="C12642" s="104"/>
      <c r="E12642" s="107" t="str">
        <f aca="false">IF($C12642="","",IFERROR(INDEX(المنيو!$C$2:$C$500,MATCH($C12642,المنيو!$B$2:$B$500,0)),0))</f>
        <v/>
      </c>
      <c r="F12642" s="107" t="str">
        <f aca="false">IF($C12642="","",$D12642*$E12642)</f>
        <v/>
      </c>
      <c r="G12642" s="107" t="str">
        <f aca="false">IF($C12642="","",$D12642*IFERROR(INDEX('تحليل التكلفة والسعر'!$C$2:$C$700,MATCH($C12642,'تحليل التكلفة والسعر'!$B$2:$B$700,0)),0))</f>
        <v/>
      </c>
    </row>
    <row r="12643" customFormat="false" ht="15" hidden="false" customHeight="false" outlineLevel="0" collapsed="false">
      <c r="A12643" s="103"/>
      <c r="B12643" s="104"/>
      <c r="C12643" s="104"/>
      <c r="E12643" s="107" t="str">
        <f aca="false">IF($C12643="","",IFERROR(INDEX(المنيو!$C$2:$C$500,MATCH($C12643,المنيو!$B$2:$B$500,0)),0))</f>
        <v/>
      </c>
      <c r="F12643" s="107" t="str">
        <f aca="false">IF($C12643="","",$D12643*$E12643)</f>
        <v/>
      </c>
      <c r="G12643" s="107" t="str">
        <f aca="false">IF($C12643="","",$D12643*IFERROR(INDEX('تحليل التكلفة والسعر'!$C$2:$C$700,MATCH($C12643,'تحليل التكلفة والسعر'!$B$2:$B$700,0)),0))</f>
        <v/>
      </c>
    </row>
    <row r="12644" customFormat="false" ht="15" hidden="false" customHeight="false" outlineLevel="0" collapsed="false">
      <c r="A12644" s="103"/>
      <c r="B12644" s="104"/>
      <c r="C12644" s="104"/>
      <c r="E12644" s="107" t="str">
        <f aca="false">IF($C12644="","",IFERROR(INDEX(المنيو!$C$2:$C$500,MATCH($C12644,المنيو!$B$2:$B$500,0)),0))</f>
        <v/>
      </c>
      <c r="F12644" s="107" t="str">
        <f aca="false">IF($C12644="","",$D12644*$E12644)</f>
        <v/>
      </c>
      <c r="G12644" s="107" t="str">
        <f aca="false">IF($C12644="","",$D12644*IFERROR(INDEX('تحليل التكلفة والسعر'!$C$2:$C$700,MATCH($C12644,'تحليل التكلفة والسعر'!$B$2:$B$700,0)),0))</f>
        <v/>
      </c>
    </row>
    <row r="12645" customFormat="false" ht="15" hidden="false" customHeight="false" outlineLevel="0" collapsed="false">
      <c r="A12645" s="103"/>
      <c r="B12645" s="104"/>
      <c r="C12645" s="104"/>
      <c r="E12645" s="107" t="str">
        <f aca="false">IF($C12645="","",IFERROR(INDEX(المنيو!$C$2:$C$500,MATCH($C12645,المنيو!$B$2:$B$500,0)),0))</f>
        <v/>
      </c>
      <c r="F12645" s="107" t="str">
        <f aca="false">IF($C12645="","",$D12645*$E12645)</f>
        <v/>
      </c>
      <c r="G12645" s="107" t="str">
        <f aca="false">IF($C12645="","",$D12645*IFERROR(INDEX('تحليل التكلفة والسعر'!$C$2:$C$700,MATCH($C12645,'تحليل التكلفة والسعر'!$B$2:$B$700,0)),0))</f>
        <v/>
      </c>
    </row>
    <row r="12646" customFormat="false" ht="15" hidden="false" customHeight="false" outlineLevel="0" collapsed="false">
      <c r="A12646" s="103"/>
      <c r="B12646" s="104"/>
      <c r="C12646" s="104"/>
      <c r="E12646" s="107" t="str">
        <f aca="false">IF($C12646="","",IFERROR(INDEX(المنيو!$C$2:$C$500,MATCH($C12646,المنيو!$B$2:$B$500,0)),0))</f>
        <v/>
      </c>
      <c r="F12646" s="107" t="str">
        <f aca="false">IF($C12646="","",$D12646*$E12646)</f>
        <v/>
      </c>
      <c r="G12646" s="107" t="str">
        <f aca="false">IF($C12646="","",$D12646*IFERROR(INDEX('تحليل التكلفة والسعر'!$C$2:$C$700,MATCH($C12646,'تحليل التكلفة والسعر'!$B$2:$B$700,0)),0))</f>
        <v/>
      </c>
    </row>
    <row r="12647" customFormat="false" ht="15" hidden="false" customHeight="false" outlineLevel="0" collapsed="false">
      <c r="A12647" s="103"/>
      <c r="B12647" s="104"/>
      <c r="C12647" s="104"/>
      <c r="E12647" s="107" t="str">
        <f aca="false">IF($C12647="","",IFERROR(INDEX(المنيو!$C$2:$C$500,MATCH($C12647,المنيو!$B$2:$B$500,0)),0))</f>
        <v/>
      </c>
      <c r="F12647" s="107" t="str">
        <f aca="false">IF($C12647="","",$D12647*$E12647)</f>
        <v/>
      </c>
      <c r="G12647" s="107" t="str">
        <f aca="false">IF($C12647="","",$D12647*IFERROR(INDEX('تحليل التكلفة والسعر'!$C$2:$C$700,MATCH($C12647,'تحليل التكلفة والسعر'!$B$2:$B$700,0)),0))</f>
        <v/>
      </c>
    </row>
    <row r="12648" customFormat="false" ht="15" hidden="false" customHeight="false" outlineLevel="0" collapsed="false">
      <c r="A12648" s="103"/>
      <c r="B12648" s="104"/>
      <c r="C12648" s="104"/>
      <c r="E12648" s="107" t="str">
        <f aca="false">IF($C12648="","",IFERROR(INDEX(المنيو!$C$2:$C$500,MATCH($C12648,المنيو!$B$2:$B$500,0)),0))</f>
        <v/>
      </c>
      <c r="F12648" s="107" t="str">
        <f aca="false">IF($C12648="","",$D12648*$E12648)</f>
        <v/>
      </c>
      <c r="G12648" s="107" t="str">
        <f aca="false">IF($C12648="","",$D12648*IFERROR(INDEX('تحليل التكلفة والسعر'!$C$2:$C$700,MATCH($C12648,'تحليل التكلفة والسعر'!$B$2:$B$700,0)),0))</f>
        <v/>
      </c>
    </row>
    <row r="12649" customFormat="false" ht="15" hidden="false" customHeight="false" outlineLevel="0" collapsed="false">
      <c r="A12649" s="103"/>
      <c r="B12649" s="104"/>
      <c r="C12649" s="104"/>
      <c r="E12649" s="107" t="str">
        <f aca="false">IF($C12649="","",IFERROR(INDEX(المنيو!$C$2:$C$500,MATCH($C12649,المنيو!$B$2:$B$500,0)),0))</f>
        <v/>
      </c>
      <c r="F12649" s="107" t="str">
        <f aca="false">IF($C12649="","",$D12649*$E12649)</f>
        <v/>
      </c>
      <c r="G12649" s="107" t="str">
        <f aca="false">IF($C12649="","",$D12649*IFERROR(INDEX('تحليل التكلفة والسعر'!$C$2:$C$700,MATCH($C12649,'تحليل التكلفة والسعر'!$B$2:$B$700,0)),0))</f>
        <v/>
      </c>
    </row>
    <row r="12650" customFormat="false" ht="15" hidden="false" customHeight="false" outlineLevel="0" collapsed="false">
      <c r="A12650" s="103"/>
      <c r="B12650" s="104"/>
      <c r="C12650" s="104"/>
      <c r="E12650" s="107" t="str">
        <f aca="false">IF($C12650="","",IFERROR(INDEX(المنيو!$C$2:$C$500,MATCH($C12650,المنيو!$B$2:$B$500,0)),0))</f>
        <v/>
      </c>
      <c r="F12650" s="107" t="str">
        <f aca="false">IF($C12650="","",$D12650*$E12650)</f>
        <v/>
      </c>
      <c r="G12650" s="107" t="str">
        <f aca="false">IF($C12650="","",$D12650*IFERROR(INDEX('تحليل التكلفة والسعر'!$C$2:$C$700,MATCH($C12650,'تحليل التكلفة والسعر'!$B$2:$B$700,0)),0))</f>
        <v/>
      </c>
    </row>
    <row r="12651" customFormat="false" ht="15" hidden="false" customHeight="false" outlineLevel="0" collapsed="false">
      <c r="A12651" s="103"/>
      <c r="B12651" s="104"/>
      <c r="C12651" s="104"/>
      <c r="E12651" s="107" t="str">
        <f aca="false">IF($C12651="","",IFERROR(INDEX(المنيو!$C$2:$C$500,MATCH($C12651,المنيو!$B$2:$B$500,0)),0))</f>
        <v/>
      </c>
      <c r="F12651" s="107" t="str">
        <f aca="false">IF($C12651="","",$D12651*$E12651)</f>
        <v/>
      </c>
      <c r="G12651" s="107" t="str">
        <f aca="false">IF($C12651="","",$D12651*IFERROR(INDEX('تحليل التكلفة والسعر'!$C$2:$C$700,MATCH($C12651,'تحليل التكلفة والسعر'!$B$2:$B$700,0)),0))</f>
        <v/>
      </c>
    </row>
    <row r="12652" customFormat="false" ht="15" hidden="false" customHeight="false" outlineLevel="0" collapsed="false">
      <c r="A12652" s="103"/>
      <c r="B12652" s="104"/>
      <c r="C12652" s="104"/>
      <c r="E12652" s="107" t="str">
        <f aca="false">IF($C12652="","",IFERROR(INDEX(المنيو!$C$2:$C$500,MATCH($C12652,المنيو!$B$2:$B$500,0)),0))</f>
        <v/>
      </c>
      <c r="F12652" s="107" t="str">
        <f aca="false">IF($C12652="","",$D12652*$E12652)</f>
        <v/>
      </c>
      <c r="G12652" s="107" t="str">
        <f aca="false">IF($C12652="","",$D12652*IFERROR(INDEX('تحليل التكلفة والسعر'!$C$2:$C$700,MATCH($C12652,'تحليل التكلفة والسعر'!$B$2:$B$700,0)),0))</f>
        <v/>
      </c>
    </row>
    <row r="12653" customFormat="false" ht="15" hidden="false" customHeight="false" outlineLevel="0" collapsed="false">
      <c r="A12653" s="103"/>
      <c r="B12653" s="104"/>
      <c r="C12653" s="104"/>
      <c r="E12653" s="107" t="str">
        <f aca="false">IF($C12653="","",IFERROR(INDEX(المنيو!$C$2:$C$500,MATCH($C12653,المنيو!$B$2:$B$500,0)),0))</f>
        <v/>
      </c>
      <c r="F12653" s="107" t="str">
        <f aca="false">IF($C12653="","",$D12653*$E12653)</f>
        <v/>
      </c>
      <c r="G12653" s="107" t="str">
        <f aca="false">IF($C12653="","",$D12653*IFERROR(INDEX('تحليل التكلفة والسعر'!$C$2:$C$700,MATCH($C12653,'تحليل التكلفة والسعر'!$B$2:$B$700,0)),0))</f>
        <v/>
      </c>
    </row>
    <row r="12654" customFormat="false" ht="15" hidden="false" customHeight="false" outlineLevel="0" collapsed="false">
      <c r="A12654" s="103"/>
      <c r="B12654" s="104"/>
      <c r="C12654" s="104"/>
      <c r="E12654" s="107" t="str">
        <f aca="false">IF($C12654="","",IFERROR(INDEX(المنيو!$C$2:$C$500,MATCH($C12654,المنيو!$B$2:$B$500,0)),0))</f>
        <v/>
      </c>
      <c r="F12654" s="107" t="str">
        <f aca="false">IF($C12654="","",$D12654*$E12654)</f>
        <v/>
      </c>
      <c r="G12654" s="107" t="str">
        <f aca="false">IF($C12654="","",$D12654*IFERROR(INDEX('تحليل التكلفة والسعر'!$C$2:$C$700,MATCH($C12654,'تحليل التكلفة والسعر'!$B$2:$B$700,0)),0))</f>
        <v/>
      </c>
    </row>
    <row r="12655" customFormat="false" ht="15" hidden="false" customHeight="false" outlineLevel="0" collapsed="false">
      <c r="A12655" s="103"/>
      <c r="B12655" s="104"/>
      <c r="C12655" s="104"/>
      <c r="E12655" s="107" t="str">
        <f aca="false">IF($C12655="","",IFERROR(INDEX(المنيو!$C$2:$C$500,MATCH($C12655,المنيو!$B$2:$B$500,0)),0))</f>
        <v/>
      </c>
      <c r="F12655" s="107" t="str">
        <f aca="false">IF($C12655="","",$D12655*$E12655)</f>
        <v/>
      </c>
      <c r="G12655" s="107" t="str">
        <f aca="false">IF($C12655="","",$D12655*IFERROR(INDEX('تحليل التكلفة والسعر'!$C$2:$C$700,MATCH($C12655,'تحليل التكلفة والسعر'!$B$2:$B$700,0)),0))</f>
        <v/>
      </c>
    </row>
    <row r="12656" customFormat="false" ht="15" hidden="false" customHeight="false" outlineLevel="0" collapsed="false">
      <c r="A12656" s="103"/>
      <c r="B12656" s="104"/>
      <c r="C12656" s="104"/>
      <c r="E12656" s="107" t="str">
        <f aca="false">IF($C12656="","",IFERROR(INDEX(المنيو!$C$2:$C$500,MATCH($C12656,المنيو!$B$2:$B$500,0)),0))</f>
        <v/>
      </c>
      <c r="F12656" s="107" t="str">
        <f aca="false">IF($C12656="","",$D12656*$E12656)</f>
        <v/>
      </c>
      <c r="G12656" s="107" t="str">
        <f aca="false">IF($C12656="","",$D12656*IFERROR(INDEX('تحليل التكلفة والسعر'!$C$2:$C$700,MATCH($C12656,'تحليل التكلفة والسعر'!$B$2:$B$700,0)),0))</f>
        <v/>
      </c>
    </row>
    <row r="12657" customFormat="false" ht="15" hidden="false" customHeight="false" outlineLevel="0" collapsed="false">
      <c r="A12657" s="103"/>
      <c r="B12657" s="104"/>
      <c r="C12657" s="104"/>
      <c r="E12657" s="107" t="str">
        <f aca="false">IF($C12657="","",IFERROR(INDEX(المنيو!$C$2:$C$500,MATCH($C12657,المنيو!$B$2:$B$500,0)),0))</f>
        <v/>
      </c>
      <c r="F12657" s="107" t="str">
        <f aca="false">IF($C12657="","",$D12657*$E12657)</f>
        <v/>
      </c>
      <c r="G12657" s="107" t="str">
        <f aca="false">IF($C12657="","",$D12657*IFERROR(INDEX('تحليل التكلفة والسعر'!$C$2:$C$700,MATCH($C12657,'تحليل التكلفة والسعر'!$B$2:$B$700,0)),0))</f>
        <v/>
      </c>
    </row>
    <row r="12658" customFormat="false" ht="15" hidden="false" customHeight="false" outlineLevel="0" collapsed="false">
      <c r="A12658" s="103"/>
      <c r="B12658" s="104"/>
      <c r="C12658" s="104"/>
      <c r="E12658" s="107" t="str">
        <f aca="false">IF($C12658="","",IFERROR(INDEX(المنيو!$C$2:$C$500,MATCH($C12658,المنيو!$B$2:$B$500,0)),0))</f>
        <v/>
      </c>
      <c r="F12658" s="107" t="str">
        <f aca="false">IF($C12658="","",$D12658*$E12658)</f>
        <v/>
      </c>
      <c r="G12658" s="107" t="str">
        <f aca="false">IF($C12658="","",$D12658*IFERROR(INDEX('تحليل التكلفة والسعر'!$C$2:$C$700,MATCH($C12658,'تحليل التكلفة والسعر'!$B$2:$B$700,0)),0))</f>
        <v/>
      </c>
    </row>
    <row r="12659" customFormat="false" ht="15" hidden="false" customHeight="false" outlineLevel="0" collapsed="false">
      <c r="A12659" s="103"/>
      <c r="B12659" s="104"/>
      <c r="C12659" s="104"/>
      <c r="E12659" s="107" t="str">
        <f aca="false">IF($C12659="","",IFERROR(INDEX(المنيو!$C$2:$C$500,MATCH($C12659,المنيو!$B$2:$B$500,0)),0))</f>
        <v/>
      </c>
      <c r="F12659" s="107" t="str">
        <f aca="false">IF($C12659="","",$D12659*$E12659)</f>
        <v/>
      </c>
      <c r="G12659" s="107" t="str">
        <f aca="false">IF($C12659="","",$D12659*IFERROR(INDEX('تحليل التكلفة والسعر'!$C$2:$C$700,MATCH($C12659,'تحليل التكلفة والسعر'!$B$2:$B$700,0)),0))</f>
        <v/>
      </c>
    </row>
    <row r="12660" customFormat="false" ht="15" hidden="false" customHeight="false" outlineLevel="0" collapsed="false">
      <c r="A12660" s="103"/>
      <c r="B12660" s="104"/>
      <c r="C12660" s="104"/>
      <c r="E12660" s="107" t="str">
        <f aca="false">IF($C12660="","",IFERROR(INDEX(المنيو!$C$2:$C$500,MATCH($C12660,المنيو!$B$2:$B$500,0)),0))</f>
        <v/>
      </c>
      <c r="F12660" s="107" t="str">
        <f aca="false">IF($C12660="","",$D12660*$E12660)</f>
        <v/>
      </c>
      <c r="G12660" s="107" t="str">
        <f aca="false">IF($C12660="","",$D12660*IFERROR(INDEX('تحليل التكلفة والسعر'!$C$2:$C$700,MATCH($C12660,'تحليل التكلفة والسعر'!$B$2:$B$700,0)),0))</f>
        <v/>
      </c>
    </row>
    <row r="12661" customFormat="false" ht="15" hidden="false" customHeight="false" outlineLevel="0" collapsed="false">
      <c r="A12661" s="103"/>
      <c r="B12661" s="104"/>
      <c r="C12661" s="104"/>
      <c r="E12661" s="107" t="str">
        <f aca="false">IF($C12661="","",IFERROR(INDEX(المنيو!$C$2:$C$500,MATCH($C12661,المنيو!$B$2:$B$500,0)),0))</f>
        <v/>
      </c>
      <c r="F12661" s="107" t="str">
        <f aca="false">IF($C12661="","",$D12661*$E12661)</f>
        <v/>
      </c>
      <c r="G12661" s="107" t="str">
        <f aca="false">IF($C12661="","",$D12661*IFERROR(INDEX('تحليل التكلفة والسعر'!$C$2:$C$700,MATCH($C12661,'تحليل التكلفة والسعر'!$B$2:$B$700,0)),0))</f>
        <v/>
      </c>
    </row>
    <row r="12662" customFormat="false" ht="15" hidden="false" customHeight="false" outlineLevel="0" collapsed="false">
      <c r="A12662" s="103"/>
      <c r="B12662" s="104"/>
      <c r="C12662" s="104"/>
      <c r="E12662" s="107" t="str">
        <f aca="false">IF($C12662="","",IFERROR(INDEX(المنيو!$C$2:$C$500,MATCH($C12662,المنيو!$B$2:$B$500,0)),0))</f>
        <v/>
      </c>
      <c r="F12662" s="107" t="str">
        <f aca="false">IF($C12662="","",$D12662*$E12662)</f>
        <v/>
      </c>
      <c r="G12662" s="107" t="str">
        <f aca="false">IF($C12662="","",$D12662*IFERROR(INDEX('تحليل التكلفة والسعر'!$C$2:$C$700,MATCH($C12662,'تحليل التكلفة والسعر'!$B$2:$B$700,0)),0))</f>
        <v/>
      </c>
    </row>
    <row r="12663" customFormat="false" ht="15" hidden="false" customHeight="false" outlineLevel="0" collapsed="false">
      <c r="A12663" s="103"/>
      <c r="B12663" s="104"/>
      <c r="C12663" s="104"/>
      <c r="E12663" s="107" t="str">
        <f aca="false">IF($C12663="","",IFERROR(INDEX(المنيو!$C$2:$C$500,MATCH($C12663,المنيو!$B$2:$B$500,0)),0))</f>
        <v/>
      </c>
      <c r="F12663" s="107" t="str">
        <f aca="false">IF($C12663="","",$D12663*$E12663)</f>
        <v/>
      </c>
      <c r="G12663" s="107" t="str">
        <f aca="false">IF($C12663="","",$D12663*IFERROR(INDEX('تحليل التكلفة والسعر'!$C$2:$C$700,MATCH($C12663,'تحليل التكلفة والسعر'!$B$2:$B$700,0)),0))</f>
        <v/>
      </c>
    </row>
    <row r="12664" customFormat="false" ht="15" hidden="false" customHeight="false" outlineLevel="0" collapsed="false">
      <c r="A12664" s="103"/>
      <c r="B12664" s="104"/>
      <c r="C12664" s="104"/>
      <c r="E12664" s="107" t="str">
        <f aca="false">IF($C12664="","",IFERROR(INDEX(المنيو!$C$2:$C$500,MATCH($C12664,المنيو!$B$2:$B$500,0)),0))</f>
        <v/>
      </c>
      <c r="F12664" s="107" t="str">
        <f aca="false">IF($C12664="","",$D12664*$E12664)</f>
        <v/>
      </c>
      <c r="G12664" s="107" t="str">
        <f aca="false">IF($C12664="","",$D12664*IFERROR(INDEX('تحليل التكلفة والسعر'!$C$2:$C$700,MATCH($C12664,'تحليل التكلفة والسعر'!$B$2:$B$700,0)),0))</f>
        <v/>
      </c>
    </row>
    <row r="12665" customFormat="false" ht="15" hidden="false" customHeight="false" outlineLevel="0" collapsed="false">
      <c r="A12665" s="103"/>
      <c r="B12665" s="104"/>
      <c r="C12665" s="104"/>
      <c r="E12665" s="107" t="str">
        <f aca="false">IF($C12665="","",IFERROR(INDEX(المنيو!$C$2:$C$500,MATCH($C12665,المنيو!$B$2:$B$500,0)),0))</f>
        <v/>
      </c>
      <c r="F12665" s="107" t="str">
        <f aca="false">IF($C12665="","",$D12665*$E12665)</f>
        <v/>
      </c>
      <c r="G12665" s="107" t="str">
        <f aca="false">IF($C12665="","",$D12665*IFERROR(INDEX('تحليل التكلفة والسعر'!$C$2:$C$700,MATCH($C12665,'تحليل التكلفة والسعر'!$B$2:$B$700,0)),0))</f>
        <v/>
      </c>
    </row>
    <row r="12666" customFormat="false" ht="15" hidden="false" customHeight="false" outlineLevel="0" collapsed="false">
      <c r="A12666" s="103"/>
      <c r="B12666" s="104"/>
      <c r="C12666" s="104"/>
      <c r="E12666" s="107" t="str">
        <f aca="false">IF($C12666="","",IFERROR(INDEX(المنيو!$C$2:$C$500,MATCH($C12666,المنيو!$B$2:$B$500,0)),0))</f>
        <v/>
      </c>
      <c r="F12666" s="107" t="str">
        <f aca="false">IF($C12666="","",$D12666*$E12666)</f>
        <v/>
      </c>
      <c r="G12666" s="107" t="str">
        <f aca="false">IF($C12666="","",$D12666*IFERROR(INDEX('تحليل التكلفة والسعر'!$C$2:$C$700,MATCH($C12666,'تحليل التكلفة والسعر'!$B$2:$B$700,0)),0))</f>
        <v/>
      </c>
    </row>
    <row r="12667" customFormat="false" ht="15" hidden="false" customHeight="false" outlineLevel="0" collapsed="false">
      <c r="A12667" s="103"/>
      <c r="B12667" s="104"/>
      <c r="C12667" s="104"/>
      <c r="E12667" s="107" t="str">
        <f aca="false">IF($C12667="","",IFERROR(INDEX(المنيو!$C$2:$C$500,MATCH($C12667,المنيو!$B$2:$B$500,0)),0))</f>
        <v/>
      </c>
      <c r="F12667" s="107" t="str">
        <f aca="false">IF($C12667="","",$D12667*$E12667)</f>
        <v/>
      </c>
      <c r="G12667" s="107" t="str">
        <f aca="false">IF($C12667="","",$D12667*IFERROR(INDEX('تحليل التكلفة والسعر'!$C$2:$C$700,MATCH($C12667,'تحليل التكلفة والسعر'!$B$2:$B$700,0)),0))</f>
        <v/>
      </c>
    </row>
    <row r="12668" customFormat="false" ht="15" hidden="false" customHeight="false" outlineLevel="0" collapsed="false">
      <c r="A12668" s="103"/>
      <c r="B12668" s="104"/>
      <c r="C12668" s="104"/>
      <c r="E12668" s="107" t="str">
        <f aca="false">IF($C12668="","",IFERROR(INDEX(المنيو!$C$2:$C$500,MATCH($C12668,المنيو!$B$2:$B$500,0)),0))</f>
        <v/>
      </c>
      <c r="F12668" s="107" t="str">
        <f aca="false">IF($C12668="","",$D12668*$E12668)</f>
        <v/>
      </c>
      <c r="G12668" s="107" t="str">
        <f aca="false">IF($C12668="","",$D12668*IFERROR(INDEX('تحليل التكلفة والسعر'!$C$2:$C$700,MATCH($C12668,'تحليل التكلفة والسعر'!$B$2:$B$700,0)),0))</f>
        <v/>
      </c>
    </row>
    <row r="12669" customFormat="false" ht="15" hidden="false" customHeight="false" outlineLevel="0" collapsed="false">
      <c r="A12669" s="103"/>
      <c r="B12669" s="104"/>
      <c r="C12669" s="104"/>
      <c r="E12669" s="107" t="str">
        <f aca="false">IF($C12669="","",IFERROR(INDEX(المنيو!$C$2:$C$500,MATCH($C12669,المنيو!$B$2:$B$500,0)),0))</f>
        <v/>
      </c>
      <c r="F12669" s="107" t="str">
        <f aca="false">IF($C12669="","",$D12669*$E12669)</f>
        <v/>
      </c>
      <c r="G12669" s="107" t="str">
        <f aca="false">IF($C12669="","",$D12669*IFERROR(INDEX('تحليل التكلفة والسعر'!$C$2:$C$700,MATCH($C12669,'تحليل التكلفة والسعر'!$B$2:$B$700,0)),0))</f>
        <v/>
      </c>
    </row>
    <row r="12670" customFormat="false" ht="15" hidden="false" customHeight="false" outlineLevel="0" collapsed="false">
      <c r="A12670" s="103"/>
      <c r="B12670" s="104"/>
      <c r="C12670" s="104"/>
      <c r="E12670" s="107" t="str">
        <f aca="false">IF($C12670="","",IFERROR(INDEX(المنيو!$C$2:$C$500,MATCH($C12670,المنيو!$B$2:$B$500,0)),0))</f>
        <v/>
      </c>
      <c r="F12670" s="107" t="str">
        <f aca="false">IF($C12670="","",$D12670*$E12670)</f>
        <v/>
      </c>
      <c r="G12670" s="107" t="str">
        <f aca="false">IF($C12670="","",$D12670*IFERROR(INDEX('تحليل التكلفة والسعر'!$C$2:$C$700,MATCH($C12670,'تحليل التكلفة والسعر'!$B$2:$B$700,0)),0))</f>
        <v/>
      </c>
    </row>
    <row r="12671" customFormat="false" ht="15" hidden="false" customHeight="false" outlineLevel="0" collapsed="false">
      <c r="A12671" s="103"/>
      <c r="B12671" s="104"/>
      <c r="C12671" s="104"/>
      <c r="E12671" s="107" t="str">
        <f aca="false">IF($C12671="","",IFERROR(INDEX(المنيو!$C$2:$C$500,MATCH($C12671,المنيو!$B$2:$B$500,0)),0))</f>
        <v/>
      </c>
      <c r="F12671" s="107" t="str">
        <f aca="false">IF($C12671="","",$D12671*$E12671)</f>
        <v/>
      </c>
      <c r="G12671" s="107" t="str">
        <f aca="false">IF($C12671="","",$D12671*IFERROR(INDEX('تحليل التكلفة والسعر'!$C$2:$C$700,MATCH($C12671,'تحليل التكلفة والسعر'!$B$2:$B$700,0)),0))</f>
        <v/>
      </c>
    </row>
    <row r="12672" customFormat="false" ht="15" hidden="false" customHeight="false" outlineLevel="0" collapsed="false">
      <c r="A12672" s="103"/>
      <c r="B12672" s="104"/>
      <c r="C12672" s="104"/>
      <c r="E12672" s="107" t="str">
        <f aca="false">IF($C12672="","",IFERROR(INDEX(المنيو!$C$2:$C$500,MATCH($C12672,المنيو!$B$2:$B$500,0)),0))</f>
        <v/>
      </c>
      <c r="F12672" s="107" t="str">
        <f aca="false">IF($C12672="","",$D12672*$E12672)</f>
        <v/>
      </c>
      <c r="G12672" s="107" t="str">
        <f aca="false">IF($C12672="","",$D12672*IFERROR(INDEX('تحليل التكلفة والسعر'!$C$2:$C$700,MATCH($C12672,'تحليل التكلفة والسعر'!$B$2:$B$700,0)),0))</f>
        <v/>
      </c>
    </row>
    <row r="12673" customFormat="false" ht="15" hidden="false" customHeight="false" outlineLevel="0" collapsed="false">
      <c r="A12673" s="103"/>
      <c r="B12673" s="104"/>
      <c r="C12673" s="104"/>
      <c r="E12673" s="107" t="str">
        <f aca="false">IF($C12673="","",IFERROR(INDEX(المنيو!$C$2:$C$500,MATCH($C12673,المنيو!$B$2:$B$500,0)),0))</f>
        <v/>
      </c>
      <c r="F12673" s="107" t="str">
        <f aca="false">IF($C12673="","",$D12673*$E12673)</f>
        <v/>
      </c>
      <c r="G12673" s="107" t="str">
        <f aca="false">IF($C12673="","",$D12673*IFERROR(INDEX('تحليل التكلفة والسعر'!$C$2:$C$700,MATCH($C12673,'تحليل التكلفة والسعر'!$B$2:$B$700,0)),0))</f>
        <v/>
      </c>
    </row>
    <row r="12674" customFormat="false" ht="15" hidden="false" customHeight="false" outlineLevel="0" collapsed="false">
      <c r="A12674" s="103"/>
      <c r="B12674" s="104"/>
      <c r="C12674" s="104"/>
      <c r="E12674" s="107" t="str">
        <f aca="false">IF($C12674="","",IFERROR(INDEX(المنيو!$C$2:$C$500,MATCH($C12674,المنيو!$B$2:$B$500,0)),0))</f>
        <v/>
      </c>
      <c r="F12674" s="107" t="str">
        <f aca="false">IF($C12674="","",$D12674*$E12674)</f>
        <v/>
      </c>
      <c r="G12674" s="107" t="str">
        <f aca="false">IF($C12674="","",$D12674*IFERROR(INDEX('تحليل التكلفة والسعر'!$C$2:$C$700,MATCH($C12674,'تحليل التكلفة والسعر'!$B$2:$B$700,0)),0))</f>
        <v/>
      </c>
    </row>
    <row r="12675" customFormat="false" ht="15" hidden="false" customHeight="false" outlineLevel="0" collapsed="false">
      <c r="A12675" s="103"/>
      <c r="B12675" s="104"/>
      <c r="C12675" s="104"/>
      <c r="E12675" s="107" t="str">
        <f aca="false">IF($C12675="","",IFERROR(INDEX(المنيو!$C$2:$C$500,MATCH($C12675,المنيو!$B$2:$B$500,0)),0))</f>
        <v/>
      </c>
      <c r="F12675" s="107" t="str">
        <f aca="false">IF($C12675="","",$D12675*$E12675)</f>
        <v/>
      </c>
      <c r="G12675" s="107" t="str">
        <f aca="false">IF($C12675="","",$D12675*IFERROR(INDEX('تحليل التكلفة والسعر'!$C$2:$C$700,MATCH($C12675,'تحليل التكلفة والسعر'!$B$2:$B$700,0)),0))</f>
        <v/>
      </c>
    </row>
    <row r="12676" customFormat="false" ht="15" hidden="false" customHeight="false" outlineLevel="0" collapsed="false">
      <c r="A12676" s="103"/>
      <c r="B12676" s="104"/>
      <c r="C12676" s="104"/>
      <c r="E12676" s="107" t="str">
        <f aca="false">IF($C12676="","",IFERROR(INDEX(المنيو!$C$2:$C$500,MATCH($C12676,المنيو!$B$2:$B$500,0)),0))</f>
        <v/>
      </c>
      <c r="F12676" s="107" t="str">
        <f aca="false">IF($C12676="","",$D12676*$E12676)</f>
        <v/>
      </c>
      <c r="G12676" s="107" t="str">
        <f aca="false">IF($C12676="","",$D12676*IFERROR(INDEX('تحليل التكلفة والسعر'!$C$2:$C$700,MATCH($C12676,'تحليل التكلفة والسعر'!$B$2:$B$700,0)),0))</f>
        <v/>
      </c>
    </row>
    <row r="12677" customFormat="false" ht="15" hidden="false" customHeight="false" outlineLevel="0" collapsed="false">
      <c r="A12677" s="103"/>
      <c r="B12677" s="104"/>
      <c r="C12677" s="104"/>
      <c r="E12677" s="107" t="str">
        <f aca="false">IF($C12677="","",IFERROR(INDEX(المنيو!$C$2:$C$500,MATCH($C12677,المنيو!$B$2:$B$500,0)),0))</f>
        <v/>
      </c>
      <c r="F12677" s="107" t="str">
        <f aca="false">IF($C12677="","",$D12677*$E12677)</f>
        <v/>
      </c>
      <c r="G12677" s="107" t="str">
        <f aca="false">IF($C12677="","",$D12677*IFERROR(INDEX('تحليل التكلفة والسعر'!$C$2:$C$700,MATCH($C12677,'تحليل التكلفة والسعر'!$B$2:$B$700,0)),0))</f>
        <v/>
      </c>
    </row>
    <row r="12678" customFormat="false" ht="15" hidden="false" customHeight="false" outlineLevel="0" collapsed="false">
      <c r="A12678" s="103"/>
      <c r="B12678" s="104"/>
      <c r="C12678" s="104"/>
      <c r="E12678" s="107" t="str">
        <f aca="false">IF($C12678="","",IFERROR(INDEX(المنيو!$C$2:$C$500,MATCH($C12678,المنيو!$B$2:$B$500,0)),0))</f>
        <v/>
      </c>
      <c r="F12678" s="107" t="str">
        <f aca="false">IF($C12678="","",$D12678*$E12678)</f>
        <v/>
      </c>
      <c r="G12678" s="107" t="str">
        <f aca="false">IF($C12678="","",$D12678*IFERROR(INDEX('تحليل التكلفة والسعر'!$C$2:$C$700,MATCH($C12678,'تحليل التكلفة والسعر'!$B$2:$B$700,0)),0))</f>
        <v/>
      </c>
    </row>
    <row r="12679" customFormat="false" ht="15" hidden="false" customHeight="false" outlineLevel="0" collapsed="false">
      <c r="A12679" s="103"/>
      <c r="B12679" s="104"/>
      <c r="C12679" s="104"/>
      <c r="E12679" s="107" t="str">
        <f aca="false">IF($C12679="","",IFERROR(INDEX(المنيو!$C$2:$C$500,MATCH($C12679,المنيو!$B$2:$B$500,0)),0))</f>
        <v/>
      </c>
      <c r="F12679" s="107" t="str">
        <f aca="false">IF($C12679="","",$D12679*$E12679)</f>
        <v/>
      </c>
      <c r="G12679" s="107" t="str">
        <f aca="false">IF($C12679="","",$D12679*IFERROR(INDEX('تحليل التكلفة والسعر'!$C$2:$C$700,MATCH($C12679,'تحليل التكلفة والسعر'!$B$2:$B$700,0)),0))</f>
        <v/>
      </c>
    </row>
    <row r="12680" customFormat="false" ht="15" hidden="false" customHeight="false" outlineLevel="0" collapsed="false">
      <c r="A12680" s="103"/>
      <c r="B12680" s="104"/>
      <c r="C12680" s="104"/>
      <c r="E12680" s="107" t="str">
        <f aca="false">IF($C12680="","",IFERROR(INDEX(المنيو!$C$2:$C$500,MATCH($C12680,المنيو!$B$2:$B$500,0)),0))</f>
        <v/>
      </c>
      <c r="F12680" s="107" t="str">
        <f aca="false">IF($C12680="","",$D12680*$E12680)</f>
        <v/>
      </c>
      <c r="G12680" s="107" t="str">
        <f aca="false">IF($C12680="","",$D12680*IFERROR(INDEX('تحليل التكلفة والسعر'!$C$2:$C$700,MATCH($C12680,'تحليل التكلفة والسعر'!$B$2:$B$700,0)),0))</f>
        <v/>
      </c>
    </row>
    <row r="12681" customFormat="false" ht="15" hidden="false" customHeight="false" outlineLevel="0" collapsed="false">
      <c r="A12681" s="103"/>
      <c r="B12681" s="104"/>
      <c r="C12681" s="104"/>
      <c r="E12681" s="107" t="str">
        <f aca="false">IF($C12681="","",IFERROR(INDEX(المنيو!$C$2:$C$500,MATCH($C12681,المنيو!$B$2:$B$500,0)),0))</f>
        <v/>
      </c>
      <c r="F12681" s="107" t="str">
        <f aca="false">IF($C12681="","",$D12681*$E12681)</f>
        <v/>
      </c>
      <c r="G12681" s="107" t="str">
        <f aca="false">IF($C12681="","",$D12681*IFERROR(INDEX('تحليل التكلفة والسعر'!$C$2:$C$700,MATCH($C12681,'تحليل التكلفة والسعر'!$B$2:$B$700,0)),0))</f>
        <v/>
      </c>
    </row>
    <row r="12682" customFormat="false" ht="15" hidden="false" customHeight="false" outlineLevel="0" collapsed="false">
      <c r="A12682" s="103"/>
      <c r="B12682" s="104"/>
      <c r="C12682" s="104"/>
      <c r="E12682" s="107" t="str">
        <f aca="false">IF($C12682="","",IFERROR(INDEX(المنيو!$C$2:$C$500,MATCH($C12682,المنيو!$B$2:$B$500,0)),0))</f>
        <v/>
      </c>
      <c r="F12682" s="107" t="str">
        <f aca="false">IF($C12682="","",$D12682*$E12682)</f>
        <v/>
      </c>
      <c r="G12682" s="107" t="str">
        <f aca="false">IF($C12682="","",$D12682*IFERROR(INDEX('تحليل التكلفة والسعر'!$C$2:$C$700,MATCH($C12682,'تحليل التكلفة والسعر'!$B$2:$B$700,0)),0))</f>
        <v/>
      </c>
    </row>
    <row r="12683" customFormat="false" ht="15" hidden="false" customHeight="false" outlineLevel="0" collapsed="false">
      <c r="A12683" s="103"/>
      <c r="B12683" s="104"/>
      <c r="C12683" s="104"/>
      <c r="E12683" s="107" t="str">
        <f aca="false">IF($C12683="","",IFERROR(INDEX(المنيو!$C$2:$C$500,MATCH($C12683,المنيو!$B$2:$B$500,0)),0))</f>
        <v/>
      </c>
      <c r="F12683" s="107" t="str">
        <f aca="false">IF($C12683="","",$D12683*$E12683)</f>
        <v/>
      </c>
      <c r="G12683" s="107" t="str">
        <f aca="false">IF($C12683="","",$D12683*IFERROR(INDEX('تحليل التكلفة والسعر'!$C$2:$C$700,MATCH($C12683,'تحليل التكلفة والسعر'!$B$2:$B$700,0)),0))</f>
        <v/>
      </c>
    </row>
    <row r="12684" customFormat="false" ht="15" hidden="false" customHeight="false" outlineLevel="0" collapsed="false">
      <c r="A12684" s="103"/>
      <c r="B12684" s="104"/>
      <c r="C12684" s="104"/>
      <c r="E12684" s="107" t="str">
        <f aca="false">IF($C12684="","",IFERROR(INDEX(المنيو!$C$2:$C$500,MATCH($C12684,المنيو!$B$2:$B$500,0)),0))</f>
        <v/>
      </c>
      <c r="F12684" s="107" t="str">
        <f aca="false">IF($C12684="","",$D12684*$E12684)</f>
        <v/>
      </c>
      <c r="G12684" s="107" t="str">
        <f aca="false">IF($C12684="","",$D12684*IFERROR(INDEX('تحليل التكلفة والسعر'!$C$2:$C$700,MATCH($C12684,'تحليل التكلفة والسعر'!$B$2:$B$700,0)),0))</f>
        <v/>
      </c>
    </row>
    <row r="12685" customFormat="false" ht="15" hidden="false" customHeight="false" outlineLevel="0" collapsed="false">
      <c r="A12685" s="103"/>
      <c r="B12685" s="104"/>
      <c r="C12685" s="104"/>
      <c r="E12685" s="107" t="str">
        <f aca="false">IF($C12685="","",IFERROR(INDEX(المنيو!$C$2:$C$500,MATCH($C12685,المنيو!$B$2:$B$500,0)),0))</f>
        <v/>
      </c>
      <c r="F12685" s="107" t="str">
        <f aca="false">IF($C12685="","",$D12685*$E12685)</f>
        <v/>
      </c>
      <c r="G12685" s="107" t="str">
        <f aca="false">IF($C12685="","",$D12685*IFERROR(INDEX('تحليل التكلفة والسعر'!$C$2:$C$700,MATCH($C12685,'تحليل التكلفة والسعر'!$B$2:$B$700,0)),0))</f>
        <v/>
      </c>
    </row>
    <row r="12686" customFormat="false" ht="15" hidden="false" customHeight="false" outlineLevel="0" collapsed="false">
      <c r="A12686" s="103"/>
      <c r="B12686" s="104"/>
      <c r="C12686" s="104"/>
      <c r="E12686" s="107" t="str">
        <f aca="false">IF($C12686="","",IFERROR(INDEX(المنيو!$C$2:$C$500,MATCH($C12686,المنيو!$B$2:$B$500,0)),0))</f>
        <v/>
      </c>
      <c r="F12686" s="107" t="str">
        <f aca="false">IF($C12686="","",$D12686*$E12686)</f>
        <v/>
      </c>
      <c r="G12686" s="107" t="str">
        <f aca="false">IF($C12686="","",$D12686*IFERROR(INDEX('تحليل التكلفة والسعر'!$C$2:$C$700,MATCH($C12686,'تحليل التكلفة والسعر'!$B$2:$B$700,0)),0))</f>
        <v/>
      </c>
    </row>
    <row r="12687" customFormat="false" ht="15" hidden="false" customHeight="false" outlineLevel="0" collapsed="false">
      <c r="A12687" s="103"/>
      <c r="B12687" s="104"/>
      <c r="C12687" s="104"/>
      <c r="E12687" s="107" t="str">
        <f aca="false">IF($C12687="","",IFERROR(INDEX(المنيو!$C$2:$C$500,MATCH($C12687,المنيو!$B$2:$B$500,0)),0))</f>
        <v/>
      </c>
      <c r="F12687" s="107" t="str">
        <f aca="false">IF($C12687="","",$D12687*$E12687)</f>
        <v/>
      </c>
      <c r="G12687" s="107" t="str">
        <f aca="false">IF($C12687="","",$D12687*IFERROR(INDEX('تحليل التكلفة والسعر'!$C$2:$C$700,MATCH($C12687,'تحليل التكلفة والسعر'!$B$2:$B$700,0)),0))</f>
        <v/>
      </c>
    </row>
    <row r="12688" customFormat="false" ht="15" hidden="false" customHeight="false" outlineLevel="0" collapsed="false">
      <c r="A12688" s="103"/>
      <c r="B12688" s="104"/>
      <c r="C12688" s="104"/>
      <c r="E12688" s="107" t="str">
        <f aca="false">IF($C12688="","",IFERROR(INDEX(المنيو!$C$2:$C$500,MATCH($C12688,المنيو!$B$2:$B$500,0)),0))</f>
        <v/>
      </c>
      <c r="F12688" s="107" t="str">
        <f aca="false">IF($C12688="","",$D12688*$E12688)</f>
        <v/>
      </c>
      <c r="G12688" s="107" t="str">
        <f aca="false">IF($C12688="","",$D12688*IFERROR(INDEX('تحليل التكلفة والسعر'!$C$2:$C$700,MATCH($C12688,'تحليل التكلفة والسعر'!$B$2:$B$700,0)),0))</f>
        <v/>
      </c>
    </row>
    <row r="12689" customFormat="false" ht="15" hidden="false" customHeight="false" outlineLevel="0" collapsed="false">
      <c r="A12689" s="103"/>
      <c r="B12689" s="104"/>
      <c r="C12689" s="104"/>
      <c r="E12689" s="107" t="str">
        <f aca="false">IF($C12689="","",IFERROR(INDEX(المنيو!$C$2:$C$500,MATCH($C12689,المنيو!$B$2:$B$500,0)),0))</f>
        <v/>
      </c>
      <c r="F12689" s="107" t="str">
        <f aca="false">IF($C12689="","",$D12689*$E12689)</f>
        <v/>
      </c>
      <c r="G12689" s="107" t="str">
        <f aca="false">IF($C12689="","",$D12689*IFERROR(INDEX('تحليل التكلفة والسعر'!$C$2:$C$700,MATCH($C12689,'تحليل التكلفة والسعر'!$B$2:$B$700,0)),0))</f>
        <v/>
      </c>
    </row>
    <row r="12690" customFormat="false" ht="15" hidden="false" customHeight="false" outlineLevel="0" collapsed="false">
      <c r="A12690" s="103"/>
      <c r="B12690" s="104"/>
      <c r="C12690" s="104"/>
      <c r="E12690" s="107" t="str">
        <f aca="false">IF($C12690="","",IFERROR(INDEX(المنيو!$C$2:$C$500,MATCH($C12690,المنيو!$B$2:$B$500,0)),0))</f>
        <v/>
      </c>
      <c r="F12690" s="107" t="str">
        <f aca="false">IF($C12690="","",$D12690*$E12690)</f>
        <v/>
      </c>
      <c r="G12690" s="107" t="str">
        <f aca="false">IF($C12690="","",$D12690*IFERROR(INDEX('تحليل التكلفة والسعر'!$C$2:$C$700,MATCH($C12690,'تحليل التكلفة والسعر'!$B$2:$B$700,0)),0))</f>
        <v/>
      </c>
    </row>
    <row r="12691" customFormat="false" ht="15" hidden="false" customHeight="false" outlineLevel="0" collapsed="false">
      <c r="A12691" s="103"/>
      <c r="B12691" s="104"/>
      <c r="C12691" s="104"/>
      <c r="E12691" s="107" t="str">
        <f aca="false">IF($C12691="","",IFERROR(INDEX(المنيو!$C$2:$C$500,MATCH($C12691,المنيو!$B$2:$B$500,0)),0))</f>
        <v/>
      </c>
      <c r="F12691" s="107" t="str">
        <f aca="false">IF($C12691="","",$D12691*$E12691)</f>
        <v/>
      </c>
      <c r="G12691" s="107" t="str">
        <f aca="false">IF($C12691="","",$D12691*IFERROR(INDEX('تحليل التكلفة والسعر'!$C$2:$C$700,MATCH($C12691,'تحليل التكلفة والسعر'!$B$2:$B$700,0)),0))</f>
        <v/>
      </c>
    </row>
    <row r="12692" customFormat="false" ht="15" hidden="false" customHeight="false" outlineLevel="0" collapsed="false">
      <c r="A12692" s="103"/>
      <c r="B12692" s="104"/>
      <c r="C12692" s="104"/>
      <c r="E12692" s="107" t="str">
        <f aca="false">IF($C12692="","",IFERROR(INDEX(المنيو!$C$2:$C$500,MATCH($C12692,المنيو!$B$2:$B$500,0)),0))</f>
        <v/>
      </c>
      <c r="F12692" s="107" t="str">
        <f aca="false">IF($C12692="","",$D12692*$E12692)</f>
        <v/>
      </c>
      <c r="G12692" s="107" t="str">
        <f aca="false">IF($C12692="","",$D12692*IFERROR(INDEX('تحليل التكلفة والسعر'!$C$2:$C$700,MATCH($C12692,'تحليل التكلفة والسعر'!$B$2:$B$700,0)),0))</f>
        <v/>
      </c>
    </row>
    <row r="12693" customFormat="false" ht="15" hidden="false" customHeight="false" outlineLevel="0" collapsed="false">
      <c r="A12693" s="103"/>
      <c r="B12693" s="104"/>
      <c r="C12693" s="104"/>
      <c r="E12693" s="107" t="str">
        <f aca="false">IF($C12693="","",IFERROR(INDEX(المنيو!$C$2:$C$500,MATCH($C12693,المنيو!$B$2:$B$500,0)),0))</f>
        <v/>
      </c>
      <c r="F12693" s="107" t="str">
        <f aca="false">IF($C12693="","",$D12693*$E12693)</f>
        <v/>
      </c>
      <c r="G12693" s="107" t="str">
        <f aca="false">IF($C12693="","",$D12693*IFERROR(INDEX('تحليل التكلفة والسعر'!$C$2:$C$700,MATCH($C12693,'تحليل التكلفة والسعر'!$B$2:$B$700,0)),0))</f>
        <v/>
      </c>
    </row>
    <row r="12694" customFormat="false" ht="15" hidden="false" customHeight="false" outlineLevel="0" collapsed="false">
      <c r="A12694" s="103"/>
      <c r="B12694" s="104"/>
      <c r="C12694" s="104"/>
      <c r="E12694" s="107" t="str">
        <f aca="false">IF($C12694="","",IFERROR(INDEX(المنيو!$C$2:$C$500,MATCH($C12694,المنيو!$B$2:$B$500,0)),0))</f>
        <v/>
      </c>
      <c r="F12694" s="107" t="str">
        <f aca="false">IF($C12694="","",$D12694*$E12694)</f>
        <v/>
      </c>
      <c r="G12694" s="107" t="str">
        <f aca="false">IF($C12694="","",$D12694*IFERROR(INDEX('تحليل التكلفة والسعر'!$C$2:$C$700,MATCH($C12694,'تحليل التكلفة والسعر'!$B$2:$B$700,0)),0))</f>
        <v/>
      </c>
    </row>
    <row r="12695" customFormat="false" ht="15" hidden="false" customHeight="false" outlineLevel="0" collapsed="false">
      <c r="A12695" s="103"/>
      <c r="B12695" s="104"/>
      <c r="C12695" s="104"/>
      <c r="E12695" s="107" t="str">
        <f aca="false">IF($C12695="","",IFERROR(INDEX(المنيو!$C$2:$C$500,MATCH($C12695,المنيو!$B$2:$B$500,0)),0))</f>
        <v/>
      </c>
      <c r="F12695" s="107" t="str">
        <f aca="false">IF($C12695="","",$D12695*$E12695)</f>
        <v/>
      </c>
      <c r="G12695" s="107" t="str">
        <f aca="false">IF($C12695="","",$D12695*IFERROR(INDEX('تحليل التكلفة والسعر'!$C$2:$C$700,MATCH($C12695,'تحليل التكلفة والسعر'!$B$2:$B$700,0)),0))</f>
        <v/>
      </c>
    </row>
    <row r="12696" customFormat="false" ht="15" hidden="false" customHeight="false" outlineLevel="0" collapsed="false">
      <c r="A12696" s="103"/>
      <c r="B12696" s="104"/>
      <c r="C12696" s="104"/>
      <c r="E12696" s="107" t="str">
        <f aca="false">IF($C12696="","",IFERROR(INDEX(المنيو!$C$2:$C$500,MATCH($C12696,المنيو!$B$2:$B$500,0)),0))</f>
        <v/>
      </c>
      <c r="F12696" s="107" t="str">
        <f aca="false">IF($C12696="","",$D12696*$E12696)</f>
        <v/>
      </c>
      <c r="G12696" s="107" t="str">
        <f aca="false">IF($C12696="","",$D12696*IFERROR(INDEX('تحليل التكلفة والسعر'!$C$2:$C$700,MATCH($C12696,'تحليل التكلفة والسعر'!$B$2:$B$700,0)),0))</f>
        <v/>
      </c>
    </row>
    <row r="12697" customFormat="false" ht="15" hidden="false" customHeight="false" outlineLevel="0" collapsed="false">
      <c r="A12697" s="103"/>
      <c r="B12697" s="104"/>
      <c r="C12697" s="104"/>
      <c r="E12697" s="107" t="str">
        <f aca="false">IF($C12697="","",IFERROR(INDEX(المنيو!$C$2:$C$500,MATCH($C12697,المنيو!$B$2:$B$500,0)),0))</f>
        <v/>
      </c>
      <c r="F12697" s="107" t="str">
        <f aca="false">IF($C12697="","",$D12697*$E12697)</f>
        <v/>
      </c>
      <c r="G12697" s="107" t="str">
        <f aca="false">IF($C12697="","",$D12697*IFERROR(INDEX('تحليل التكلفة والسعر'!$C$2:$C$700,MATCH($C12697,'تحليل التكلفة والسعر'!$B$2:$B$700,0)),0))</f>
        <v/>
      </c>
    </row>
    <row r="12698" customFormat="false" ht="15" hidden="false" customHeight="false" outlineLevel="0" collapsed="false">
      <c r="A12698" s="103"/>
      <c r="B12698" s="104"/>
      <c r="C12698" s="104"/>
      <c r="E12698" s="107" t="str">
        <f aca="false">IF($C12698="","",IFERROR(INDEX(المنيو!$C$2:$C$500,MATCH($C12698,المنيو!$B$2:$B$500,0)),0))</f>
        <v/>
      </c>
      <c r="F12698" s="107" t="str">
        <f aca="false">IF($C12698="","",$D12698*$E12698)</f>
        <v/>
      </c>
      <c r="G12698" s="107" t="str">
        <f aca="false">IF($C12698="","",$D12698*IFERROR(INDEX('تحليل التكلفة والسعر'!$C$2:$C$700,MATCH($C12698,'تحليل التكلفة والسعر'!$B$2:$B$700,0)),0))</f>
        <v/>
      </c>
    </row>
    <row r="12699" customFormat="false" ht="15" hidden="false" customHeight="false" outlineLevel="0" collapsed="false">
      <c r="A12699" s="103"/>
      <c r="B12699" s="104"/>
      <c r="C12699" s="104"/>
      <c r="E12699" s="107" t="str">
        <f aca="false">IF($C12699="","",IFERROR(INDEX(المنيو!$C$2:$C$500,MATCH($C12699,المنيو!$B$2:$B$500,0)),0))</f>
        <v/>
      </c>
      <c r="F12699" s="107" t="str">
        <f aca="false">IF($C12699="","",$D12699*$E12699)</f>
        <v/>
      </c>
      <c r="G12699" s="107" t="str">
        <f aca="false">IF($C12699="","",$D12699*IFERROR(INDEX('تحليل التكلفة والسعر'!$C$2:$C$700,MATCH($C12699,'تحليل التكلفة والسعر'!$B$2:$B$700,0)),0))</f>
        <v/>
      </c>
    </row>
    <row r="12700" customFormat="false" ht="15" hidden="false" customHeight="false" outlineLevel="0" collapsed="false">
      <c r="A12700" s="103"/>
      <c r="B12700" s="104"/>
      <c r="C12700" s="104"/>
      <c r="E12700" s="107" t="str">
        <f aca="false">IF($C12700="","",IFERROR(INDEX(المنيو!$C$2:$C$500,MATCH($C12700,المنيو!$B$2:$B$500,0)),0))</f>
        <v/>
      </c>
      <c r="F12700" s="107" t="str">
        <f aca="false">IF($C12700="","",$D12700*$E12700)</f>
        <v/>
      </c>
      <c r="G12700" s="107" t="str">
        <f aca="false">IF($C12700="","",$D12700*IFERROR(INDEX('تحليل التكلفة والسعر'!$C$2:$C$700,MATCH($C12700,'تحليل التكلفة والسعر'!$B$2:$B$700,0)),0))</f>
        <v/>
      </c>
    </row>
    <row r="12701" customFormat="false" ht="15" hidden="false" customHeight="false" outlineLevel="0" collapsed="false">
      <c r="A12701" s="103"/>
      <c r="B12701" s="104"/>
      <c r="C12701" s="104"/>
      <c r="E12701" s="107" t="str">
        <f aca="false">IF($C12701="","",IFERROR(INDEX(المنيو!$C$2:$C$500,MATCH($C12701,المنيو!$B$2:$B$500,0)),0))</f>
        <v/>
      </c>
      <c r="F12701" s="107" t="str">
        <f aca="false">IF($C12701="","",$D12701*$E12701)</f>
        <v/>
      </c>
      <c r="G12701" s="107" t="str">
        <f aca="false">IF($C12701="","",$D12701*IFERROR(INDEX('تحليل التكلفة والسعر'!$C$2:$C$700,MATCH($C12701,'تحليل التكلفة والسعر'!$B$2:$B$700,0)),0))</f>
        <v/>
      </c>
    </row>
    <row r="12702" customFormat="false" ht="15" hidden="false" customHeight="false" outlineLevel="0" collapsed="false">
      <c r="A12702" s="103"/>
      <c r="B12702" s="104"/>
      <c r="C12702" s="104"/>
      <c r="E12702" s="107" t="str">
        <f aca="false">IF($C12702="","",IFERROR(INDEX(المنيو!$C$2:$C$500,MATCH($C12702,المنيو!$B$2:$B$500,0)),0))</f>
        <v/>
      </c>
      <c r="F12702" s="107" t="str">
        <f aca="false">IF($C12702="","",$D12702*$E12702)</f>
        <v/>
      </c>
      <c r="G12702" s="107" t="str">
        <f aca="false">IF($C12702="","",$D12702*IFERROR(INDEX('تحليل التكلفة والسعر'!$C$2:$C$700,MATCH($C12702,'تحليل التكلفة والسعر'!$B$2:$B$700,0)),0))</f>
        <v/>
      </c>
    </row>
    <row r="12703" customFormat="false" ht="15" hidden="false" customHeight="false" outlineLevel="0" collapsed="false">
      <c r="A12703" s="103"/>
      <c r="B12703" s="104"/>
      <c r="C12703" s="104"/>
      <c r="E12703" s="107" t="str">
        <f aca="false">IF($C12703="","",IFERROR(INDEX(المنيو!$C$2:$C$500,MATCH($C12703,المنيو!$B$2:$B$500,0)),0))</f>
        <v/>
      </c>
      <c r="F12703" s="107" t="str">
        <f aca="false">IF($C12703="","",$D12703*$E12703)</f>
        <v/>
      </c>
      <c r="G12703" s="107" t="str">
        <f aca="false">IF($C12703="","",$D12703*IFERROR(INDEX('تحليل التكلفة والسعر'!$C$2:$C$700,MATCH($C12703,'تحليل التكلفة والسعر'!$B$2:$B$700,0)),0))</f>
        <v/>
      </c>
    </row>
    <row r="12704" customFormat="false" ht="15" hidden="false" customHeight="false" outlineLevel="0" collapsed="false">
      <c r="A12704" s="103"/>
      <c r="B12704" s="104"/>
      <c r="C12704" s="104"/>
      <c r="E12704" s="107" t="str">
        <f aca="false">IF($C12704="","",IFERROR(INDEX(المنيو!$C$2:$C$500,MATCH($C12704,المنيو!$B$2:$B$500,0)),0))</f>
        <v/>
      </c>
      <c r="F12704" s="107" t="str">
        <f aca="false">IF($C12704="","",$D12704*$E12704)</f>
        <v/>
      </c>
      <c r="G12704" s="107" t="str">
        <f aca="false">IF($C12704="","",$D12704*IFERROR(INDEX('تحليل التكلفة والسعر'!$C$2:$C$700,MATCH($C12704,'تحليل التكلفة والسعر'!$B$2:$B$700,0)),0))</f>
        <v/>
      </c>
    </row>
    <row r="12705" customFormat="false" ht="15" hidden="false" customHeight="false" outlineLevel="0" collapsed="false">
      <c r="A12705" s="103"/>
      <c r="B12705" s="104"/>
      <c r="C12705" s="104"/>
      <c r="E12705" s="107" t="str">
        <f aca="false">IF($C12705="","",IFERROR(INDEX(المنيو!$C$2:$C$500,MATCH($C12705,المنيو!$B$2:$B$500,0)),0))</f>
        <v/>
      </c>
      <c r="F12705" s="107" t="str">
        <f aca="false">IF($C12705="","",$D12705*$E12705)</f>
        <v/>
      </c>
      <c r="G12705" s="107" t="str">
        <f aca="false">IF($C12705="","",$D12705*IFERROR(INDEX('تحليل التكلفة والسعر'!$C$2:$C$700,MATCH($C12705,'تحليل التكلفة والسعر'!$B$2:$B$700,0)),0))</f>
        <v/>
      </c>
    </row>
    <row r="12706" customFormat="false" ht="15" hidden="false" customHeight="false" outlineLevel="0" collapsed="false">
      <c r="A12706" s="103"/>
      <c r="B12706" s="104"/>
      <c r="C12706" s="104"/>
      <c r="E12706" s="107" t="str">
        <f aca="false">IF($C12706="","",IFERROR(INDEX(المنيو!$C$2:$C$500,MATCH($C12706,المنيو!$B$2:$B$500,0)),0))</f>
        <v/>
      </c>
      <c r="F12706" s="107" t="str">
        <f aca="false">IF($C12706="","",$D12706*$E12706)</f>
        <v/>
      </c>
      <c r="G12706" s="107" t="str">
        <f aca="false">IF($C12706="","",$D12706*IFERROR(INDEX('تحليل التكلفة والسعر'!$C$2:$C$700,MATCH($C12706,'تحليل التكلفة والسعر'!$B$2:$B$700,0)),0))</f>
        <v/>
      </c>
    </row>
    <row r="12707" customFormat="false" ht="15" hidden="false" customHeight="false" outlineLevel="0" collapsed="false">
      <c r="A12707" s="103"/>
      <c r="B12707" s="104"/>
      <c r="C12707" s="104"/>
      <c r="E12707" s="107" t="str">
        <f aca="false">IF($C12707="","",IFERROR(INDEX(المنيو!$C$2:$C$500,MATCH($C12707,المنيو!$B$2:$B$500,0)),0))</f>
        <v/>
      </c>
      <c r="F12707" s="107" t="str">
        <f aca="false">IF($C12707="","",$D12707*$E12707)</f>
        <v/>
      </c>
      <c r="G12707" s="107" t="str">
        <f aca="false">IF($C12707="","",$D12707*IFERROR(INDEX('تحليل التكلفة والسعر'!$C$2:$C$700,MATCH($C12707,'تحليل التكلفة والسعر'!$B$2:$B$700,0)),0))</f>
        <v/>
      </c>
    </row>
    <row r="12708" customFormat="false" ht="15" hidden="false" customHeight="false" outlineLevel="0" collapsed="false">
      <c r="A12708" s="103"/>
      <c r="B12708" s="104"/>
      <c r="C12708" s="104"/>
      <c r="E12708" s="107" t="str">
        <f aca="false">IF($C12708="","",IFERROR(INDEX(المنيو!$C$2:$C$500,MATCH($C12708,المنيو!$B$2:$B$500,0)),0))</f>
        <v/>
      </c>
      <c r="F12708" s="107" t="str">
        <f aca="false">IF($C12708="","",$D12708*$E12708)</f>
        <v/>
      </c>
      <c r="G12708" s="107" t="str">
        <f aca="false">IF($C12708="","",$D12708*IFERROR(INDEX('تحليل التكلفة والسعر'!$C$2:$C$700,MATCH($C12708,'تحليل التكلفة والسعر'!$B$2:$B$700,0)),0))</f>
        <v/>
      </c>
    </row>
    <row r="12709" customFormat="false" ht="15" hidden="false" customHeight="false" outlineLevel="0" collapsed="false">
      <c r="A12709" s="103"/>
      <c r="B12709" s="104"/>
      <c r="C12709" s="104"/>
      <c r="E12709" s="107" t="str">
        <f aca="false">IF($C12709="","",IFERROR(INDEX(المنيو!$C$2:$C$500,MATCH($C12709,المنيو!$B$2:$B$500,0)),0))</f>
        <v/>
      </c>
      <c r="F12709" s="107" t="str">
        <f aca="false">IF($C12709="","",$D12709*$E12709)</f>
        <v/>
      </c>
      <c r="G12709" s="107" t="str">
        <f aca="false">IF($C12709="","",$D12709*IFERROR(INDEX('تحليل التكلفة والسعر'!$C$2:$C$700,MATCH($C12709,'تحليل التكلفة والسعر'!$B$2:$B$700,0)),0))</f>
        <v/>
      </c>
    </row>
    <row r="12710" customFormat="false" ht="15" hidden="false" customHeight="false" outlineLevel="0" collapsed="false">
      <c r="A12710" s="103"/>
      <c r="B12710" s="104"/>
      <c r="C12710" s="104"/>
      <c r="E12710" s="107" t="str">
        <f aca="false">IF($C12710="","",IFERROR(INDEX(المنيو!$C$2:$C$500,MATCH($C12710,المنيو!$B$2:$B$500,0)),0))</f>
        <v/>
      </c>
      <c r="F12710" s="107" t="str">
        <f aca="false">IF($C12710="","",$D12710*$E12710)</f>
        <v/>
      </c>
      <c r="G12710" s="107" t="str">
        <f aca="false">IF($C12710="","",$D12710*IFERROR(INDEX('تحليل التكلفة والسعر'!$C$2:$C$700,MATCH($C12710,'تحليل التكلفة والسعر'!$B$2:$B$700,0)),0))</f>
        <v/>
      </c>
    </row>
    <row r="12711" customFormat="false" ht="15" hidden="false" customHeight="false" outlineLevel="0" collapsed="false">
      <c r="A12711" s="103"/>
      <c r="B12711" s="104"/>
      <c r="C12711" s="104"/>
      <c r="E12711" s="107" t="str">
        <f aca="false">IF($C12711="","",IFERROR(INDEX(المنيو!$C$2:$C$500,MATCH($C12711,المنيو!$B$2:$B$500,0)),0))</f>
        <v/>
      </c>
      <c r="F12711" s="107" t="str">
        <f aca="false">IF($C12711="","",$D12711*$E12711)</f>
        <v/>
      </c>
      <c r="G12711" s="107" t="str">
        <f aca="false">IF($C12711="","",$D12711*IFERROR(INDEX('تحليل التكلفة والسعر'!$C$2:$C$700,MATCH($C12711,'تحليل التكلفة والسعر'!$B$2:$B$700,0)),0))</f>
        <v/>
      </c>
    </row>
    <row r="12712" customFormat="false" ht="15" hidden="false" customHeight="false" outlineLevel="0" collapsed="false">
      <c r="A12712" s="103"/>
      <c r="B12712" s="104"/>
      <c r="C12712" s="104"/>
      <c r="E12712" s="107" t="str">
        <f aca="false">IF($C12712="","",IFERROR(INDEX(المنيو!$C$2:$C$500,MATCH($C12712,المنيو!$B$2:$B$500,0)),0))</f>
        <v/>
      </c>
      <c r="F12712" s="107" t="str">
        <f aca="false">IF($C12712="","",$D12712*$E12712)</f>
        <v/>
      </c>
      <c r="G12712" s="107" t="str">
        <f aca="false">IF($C12712="","",$D12712*IFERROR(INDEX('تحليل التكلفة والسعر'!$C$2:$C$700,MATCH($C12712,'تحليل التكلفة والسعر'!$B$2:$B$700,0)),0))</f>
        <v/>
      </c>
    </row>
    <row r="12713" customFormat="false" ht="15" hidden="false" customHeight="false" outlineLevel="0" collapsed="false">
      <c r="A12713" s="103"/>
      <c r="B12713" s="104"/>
      <c r="C12713" s="104"/>
      <c r="E12713" s="107" t="str">
        <f aca="false">IF($C12713="","",IFERROR(INDEX(المنيو!$C$2:$C$500,MATCH($C12713,المنيو!$B$2:$B$500,0)),0))</f>
        <v/>
      </c>
      <c r="F12713" s="107" t="str">
        <f aca="false">IF($C12713="","",$D12713*$E12713)</f>
        <v/>
      </c>
      <c r="G12713" s="107" t="str">
        <f aca="false">IF($C12713="","",$D12713*IFERROR(INDEX('تحليل التكلفة والسعر'!$C$2:$C$700,MATCH($C12713,'تحليل التكلفة والسعر'!$B$2:$B$700,0)),0))</f>
        <v/>
      </c>
    </row>
    <row r="12714" customFormat="false" ht="15" hidden="false" customHeight="false" outlineLevel="0" collapsed="false">
      <c r="A12714" s="103"/>
      <c r="B12714" s="104"/>
      <c r="C12714" s="104"/>
      <c r="E12714" s="107" t="str">
        <f aca="false">IF($C12714="","",IFERROR(INDEX(المنيو!$C$2:$C$500,MATCH($C12714,المنيو!$B$2:$B$500,0)),0))</f>
        <v/>
      </c>
      <c r="F12714" s="107" t="str">
        <f aca="false">IF($C12714="","",$D12714*$E12714)</f>
        <v/>
      </c>
      <c r="G12714" s="107" t="str">
        <f aca="false">IF($C12714="","",$D12714*IFERROR(INDEX('تحليل التكلفة والسعر'!$C$2:$C$700,MATCH($C12714,'تحليل التكلفة والسعر'!$B$2:$B$700,0)),0))</f>
        <v/>
      </c>
    </row>
    <row r="12715" customFormat="false" ht="15" hidden="false" customHeight="false" outlineLevel="0" collapsed="false">
      <c r="A12715" s="103"/>
      <c r="B12715" s="104"/>
      <c r="C12715" s="104"/>
      <c r="E12715" s="107" t="str">
        <f aca="false">IF($C12715="","",IFERROR(INDEX(المنيو!$C$2:$C$500,MATCH($C12715,المنيو!$B$2:$B$500,0)),0))</f>
        <v/>
      </c>
      <c r="F12715" s="107" t="str">
        <f aca="false">IF($C12715="","",$D12715*$E12715)</f>
        <v/>
      </c>
      <c r="G12715" s="107" t="str">
        <f aca="false">IF($C12715="","",$D12715*IFERROR(INDEX('تحليل التكلفة والسعر'!$C$2:$C$700,MATCH($C12715,'تحليل التكلفة والسعر'!$B$2:$B$700,0)),0))</f>
        <v/>
      </c>
    </row>
    <row r="12716" customFormat="false" ht="15" hidden="false" customHeight="false" outlineLevel="0" collapsed="false">
      <c r="A12716" s="103"/>
      <c r="B12716" s="104"/>
      <c r="C12716" s="104"/>
      <c r="E12716" s="107" t="str">
        <f aca="false">IF($C12716="","",IFERROR(INDEX(المنيو!$C$2:$C$500,MATCH($C12716,المنيو!$B$2:$B$500,0)),0))</f>
        <v/>
      </c>
      <c r="F12716" s="107" t="str">
        <f aca="false">IF($C12716="","",$D12716*$E12716)</f>
        <v/>
      </c>
      <c r="G12716" s="107" t="str">
        <f aca="false">IF($C12716="","",$D12716*IFERROR(INDEX('تحليل التكلفة والسعر'!$C$2:$C$700,MATCH($C12716,'تحليل التكلفة والسعر'!$B$2:$B$700,0)),0))</f>
        <v/>
      </c>
    </row>
    <row r="12717" customFormat="false" ht="15" hidden="false" customHeight="false" outlineLevel="0" collapsed="false">
      <c r="A12717" s="103"/>
      <c r="B12717" s="104"/>
      <c r="C12717" s="104"/>
      <c r="E12717" s="107" t="str">
        <f aca="false">IF($C12717="","",IFERROR(INDEX(المنيو!$C$2:$C$500,MATCH($C12717,المنيو!$B$2:$B$500,0)),0))</f>
        <v/>
      </c>
      <c r="F12717" s="107" t="str">
        <f aca="false">IF($C12717="","",$D12717*$E12717)</f>
        <v/>
      </c>
      <c r="G12717" s="107" t="str">
        <f aca="false">IF($C12717="","",$D12717*IFERROR(INDEX('تحليل التكلفة والسعر'!$C$2:$C$700,MATCH($C12717,'تحليل التكلفة والسعر'!$B$2:$B$700,0)),0))</f>
        <v/>
      </c>
    </row>
    <row r="12718" customFormat="false" ht="15" hidden="false" customHeight="false" outlineLevel="0" collapsed="false">
      <c r="A12718" s="103"/>
      <c r="B12718" s="104"/>
      <c r="C12718" s="104"/>
      <c r="E12718" s="107" t="str">
        <f aca="false">IF($C12718="","",IFERROR(INDEX(المنيو!$C$2:$C$500,MATCH($C12718,المنيو!$B$2:$B$500,0)),0))</f>
        <v/>
      </c>
      <c r="F12718" s="107" t="str">
        <f aca="false">IF($C12718="","",$D12718*$E12718)</f>
        <v/>
      </c>
      <c r="G12718" s="107" t="str">
        <f aca="false">IF($C12718="","",$D12718*IFERROR(INDEX('تحليل التكلفة والسعر'!$C$2:$C$700,MATCH($C12718,'تحليل التكلفة والسعر'!$B$2:$B$700,0)),0))</f>
        <v/>
      </c>
    </row>
    <row r="12719" customFormat="false" ht="15" hidden="false" customHeight="false" outlineLevel="0" collapsed="false">
      <c r="A12719" s="103"/>
      <c r="B12719" s="104"/>
      <c r="C12719" s="104"/>
      <c r="E12719" s="107" t="str">
        <f aca="false">IF($C12719="","",IFERROR(INDEX(المنيو!$C$2:$C$500,MATCH($C12719,المنيو!$B$2:$B$500,0)),0))</f>
        <v/>
      </c>
      <c r="F12719" s="107" t="str">
        <f aca="false">IF($C12719="","",$D12719*$E12719)</f>
        <v/>
      </c>
      <c r="G12719" s="107" t="str">
        <f aca="false">IF($C12719="","",$D12719*IFERROR(INDEX('تحليل التكلفة والسعر'!$C$2:$C$700,MATCH($C12719,'تحليل التكلفة والسعر'!$B$2:$B$700,0)),0))</f>
        <v/>
      </c>
    </row>
    <row r="12720" customFormat="false" ht="15" hidden="false" customHeight="false" outlineLevel="0" collapsed="false">
      <c r="A12720" s="103"/>
      <c r="B12720" s="104"/>
      <c r="C12720" s="104"/>
      <c r="E12720" s="107" t="str">
        <f aca="false">IF($C12720="","",IFERROR(INDEX(المنيو!$C$2:$C$500,MATCH($C12720,المنيو!$B$2:$B$500,0)),0))</f>
        <v/>
      </c>
      <c r="F12720" s="107" t="str">
        <f aca="false">IF($C12720="","",$D12720*$E12720)</f>
        <v/>
      </c>
      <c r="G12720" s="107" t="str">
        <f aca="false">IF($C12720="","",$D12720*IFERROR(INDEX('تحليل التكلفة والسعر'!$C$2:$C$700,MATCH($C12720,'تحليل التكلفة والسعر'!$B$2:$B$700,0)),0))</f>
        <v/>
      </c>
    </row>
    <row r="12721" customFormat="false" ht="15" hidden="false" customHeight="false" outlineLevel="0" collapsed="false">
      <c r="A12721" s="103"/>
      <c r="B12721" s="104"/>
      <c r="C12721" s="104"/>
      <c r="E12721" s="107" t="str">
        <f aca="false">IF($C12721="","",IFERROR(INDEX(المنيو!$C$2:$C$500,MATCH($C12721,المنيو!$B$2:$B$500,0)),0))</f>
        <v/>
      </c>
      <c r="F12721" s="107" t="str">
        <f aca="false">IF($C12721="","",$D12721*$E12721)</f>
        <v/>
      </c>
      <c r="G12721" s="107" t="str">
        <f aca="false">IF($C12721="","",$D12721*IFERROR(INDEX('تحليل التكلفة والسعر'!$C$2:$C$700,MATCH($C12721,'تحليل التكلفة والسعر'!$B$2:$B$700,0)),0))</f>
        <v/>
      </c>
    </row>
    <row r="12722" customFormat="false" ht="15" hidden="false" customHeight="false" outlineLevel="0" collapsed="false">
      <c r="A12722" s="103"/>
      <c r="B12722" s="104"/>
      <c r="C12722" s="104"/>
      <c r="E12722" s="107" t="str">
        <f aca="false">IF($C12722="","",IFERROR(INDEX(المنيو!$C$2:$C$500,MATCH($C12722,المنيو!$B$2:$B$500,0)),0))</f>
        <v/>
      </c>
      <c r="F12722" s="107" t="str">
        <f aca="false">IF($C12722="","",$D12722*$E12722)</f>
        <v/>
      </c>
      <c r="G12722" s="107" t="str">
        <f aca="false">IF($C12722="","",$D12722*IFERROR(INDEX('تحليل التكلفة والسعر'!$C$2:$C$700,MATCH($C12722,'تحليل التكلفة والسعر'!$B$2:$B$700,0)),0))</f>
        <v/>
      </c>
    </row>
    <row r="12723" customFormat="false" ht="15" hidden="false" customHeight="false" outlineLevel="0" collapsed="false">
      <c r="A12723" s="103"/>
      <c r="B12723" s="104"/>
      <c r="C12723" s="104"/>
      <c r="E12723" s="107" t="str">
        <f aca="false">IF($C12723="","",IFERROR(INDEX(المنيو!$C$2:$C$500,MATCH($C12723,المنيو!$B$2:$B$500,0)),0))</f>
        <v/>
      </c>
      <c r="F12723" s="107" t="str">
        <f aca="false">IF($C12723="","",$D12723*$E12723)</f>
        <v/>
      </c>
      <c r="G12723" s="107" t="str">
        <f aca="false">IF($C12723="","",$D12723*IFERROR(INDEX('تحليل التكلفة والسعر'!$C$2:$C$700,MATCH($C12723,'تحليل التكلفة والسعر'!$B$2:$B$700,0)),0))</f>
        <v/>
      </c>
    </row>
    <row r="12724" customFormat="false" ht="15" hidden="false" customHeight="false" outlineLevel="0" collapsed="false">
      <c r="A12724" s="103"/>
      <c r="B12724" s="104"/>
      <c r="C12724" s="104"/>
      <c r="E12724" s="107" t="str">
        <f aca="false">IF($C12724="","",IFERROR(INDEX(المنيو!$C$2:$C$500,MATCH($C12724,المنيو!$B$2:$B$500,0)),0))</f>
        <v/>
      </c>
      <c r="F12724" s="107" t="str">
        <f aca="false">IF($C12724="","",$D12724*$E12724)</f>
        <v/>
      </c>
      <c r="G12724" s="107" t="str">
        <f aca="false">IF($C12724="","",$D12724*IFERROR(INDEX('تحليل التكلفة والسعر'!$C$2:$C$700,MATCH($C12724,'تحليل التكلفة والسعر'!$B$2:$B$700,0)),0))</f>
        <v/>
      </c>
    </row>
    <row r="12725" customFormat="false" ht="15" hidden="false" customHeight="false" outlineLevel="0" collapsed="false">
      <c r="A12725" s="103"/>
      <c r="B12725" s="104"/>
      <c r="C12725" s="104"/>
      <c r="E12725" s="107" t="str">
        <f aca="false">IF($C12725="","",IFERROR(INDEX(المنيو!$C$2:$C$500,MATCH($C12725,المنيو!$B$2:$B$500,0)),0))</f>
        <v/>
      </c>
      <c r="F12725" s="107" t="str">
        <f aca="false">IF($C12725="","",$D12725*$E12725)</f>
        <v/>
      </c>
      <c r="G12725" s="107" t="str">
        <f aca="false">IF($C12725="","",$D12725*IFERROR(INDEX('تحليل التكلفة والسعر'!$C$2:$C$700,MATCH($C12725,'تحليل التكلفة والسعر'!$B$2:$B$700,0)),0))</f>
        <v/>
      </c>
    </row>
    <row r="12726" customFormat="false" ht="15" hidden="false" customHeight="false" outlineLevel="0" collapsed="false">
      <c r="A12726" s="103"/>
      <c r="B12726" s="104"/>
      <c r="C12726" s="104"/>
      <c r="E12726" s="107" t="str">
        <f aca="false">IF($C12726="","",IFERROR(INDEX(المنيو!$C$2:$C$500,MATCH($C12726,المنيو!$B$2:$B$500,0)),0))</f>
        <v/>
      </c>
      <c r="F12726" s="107" t="str">
        <f aca="false">IF($C12726="","",$D12726*$E12726)</f>
        <v/>
      </c>
      <c r="G12726" s="107" t="str">
        <f aca="false">IF($C12726="","",$D12726*IFERROR(INDEX('تحليل التكلفة والسعر'!$C$2:$C$700,MATCH($C12726,'تحليل التكلفة والسعر'!$B$2:$B$700,0)),0))</f>
        <v/>
      </c>
    </row>
    <row r="12727" customFormat="false" ht="15" hidden="false" customHeight="false" outlineLevel="0" collapsed="false">
      <c r="A12727" s="103"/>
      <c r="B12727" s="104"/>
      <c r="C12727" s="104"/>
      <c r="E12727" s="107" t="str">
        <f aca="false">IF($C12727="","",IFERROR(INDEX(المنيو!$C$2:$C$500,MATCH($C12727,المنيو!$B$2:$B$500,0)),0))</f>
        <v/>
      </c>
      <c r="F12727" s="107" t="str">
        <f aca="false">IF($C12727="","",$D12727*$E12727)</f>
        <v/>
      </c>
      <c r="G12727" s="107" t="str">
        <f aca="false">IF($C12727="","",$D12727*IFERROR(INDEX('تحليل التكلفة والسعر'!$C$2:$C$700,MATCH($C12727,'تحليل التكلفة والسعر'!$B$2:$B$700,0)),0))</f>
        <v/>
      </c>
    </row>
    <row r="12728" customFormat="false" ht="15" hidden="false" customHeight="false" outlineLevel="0" collapsed="false">
      <c r="A12728" s="103"/>
      <c r="B12728" s="104"/>
      <c r="C12728" s="104"/>
      <c r="E12728" s="107" t="str">
        <f aca="false">IF($C12728="","",IFERROR(INDEX(المنيو!$C$2:$C$500,MATCH($C12728,المنيو!$B$2:$B$500,0)),0))</f>
        <v/>
      </c>
      <c r="F12728" s="107" t="str">
        <f aca="false">IF($C12728="","",$D12728*$E12728)</f>
        <v/>
      </c>
      <c r="G12728" s="107" t="str">
        <f aca="false">IF($C12728="","",$D12728*IFERROR(INDEX('تحليل التكلفة والسعر'!$C$2:$C$700,MATCH($C12728,'تحليل التكلفة والسعر'!$B$2:$B$700,0)),0))</f>
        <v/>
      </c>
    </row>
    <row r="12729" customFormat="false" ht="15" hidden="false" customHeight="false" outlineLevel="0" collapsed="false">
      <c r="A12729" s="103"/>
      <c r="B12729" s="104"/>
      <c r="C12729" s="104"/>
      <c r="E12729" s="107" t="str">
        <f aca="false">IF($C12729="","",IFERROR(INDEX(المنيو!$C$2:$C$500,MATCH($C12729,المنيو!$B$2:$B$500,0)),0))</f>
        <v/>
      </c>
      <c r="F12729" s="107" t="str">
        <f aca="false">IF($C12729="","",$D12729*$E12729)</f>
        <v/>
      </c>
      <c r="G12729" s="107" t="str">
        <f aca="false">IF($C12729="","",$D12729*IFERROR(INDEX('تحليل التكلفة والسعر'!$C$2:$C$700,MATCH($C12729,'تحليل التكلفة والسعر'!$B$2:$B$700,0)),0))</f>
        <v/>
      </c>
    </row>
    <row r="12730" customFormat="false" ht="15" hidden="false" customHeight="false" outlineLevel="0" collapsed="false">
      <c r="A12730" s="103"/>
      <c r="B12730" s="104"/>
      <c r="C12730" s="104"/>
      <c r="E12730" s="107" t="str">
        <f aca="false">IF($C12730="","",IFERROR(INDEX(المنيو!$C$2:$C$500,MATCH($C12730,المنيو!$B$2:$B$500,0)),0))</f>
        <v/>
      </c>
      <c r="F12730" s="107" t="str">
        <f aca="false">IF($C12730="","",$D12730*$E12730)</f>
        <v/>
      </c>
      <c r="G12730" s="107" t="str">
        <f aca="false">IF($C12730="","",$D12730*IFERROR(INDEX('تحليل التكلفة والسعر'!$C$2:$C$700,MATCH($C12730,'تحليل التكلفة والسعر'!$B$2:$B$700,0)),0))</f>
        <v/>
      </c>
    </row>
    <row r="12731" customFormat="false" ht="15" hidden="false" customHeight="false" outlineLevel="0" collapsed="false">
      <c r="A12731" s="103"/>
      <c r="B12731" s="104"/>
      <c r="C12731" s="104"/>
      <c r="E12731" s="107" t="str">
        <f aca="false">IF($C12731="","",IFERROR(INDEX(المنيو!$C$2:$C$500,MATCH($C12731,المنيو!$B$2:$B$500,0)),0))</f>
        <v/>
      </c>
      <c r="F12731" s="107" t="str">
        <f aca="false">IF($C12731="","",$D12731*$E12731)</f>
        <v/>
      </c>
      <c r="G12731" s="107" t="str">
        <f aca="false">IF($C12731="","",$D12731*IFERROR(INDEX('تحليل التكلفة والسعر'!$C$2:$C$700,MATCH($C12731,'تحليل التكلفة والسعر'!$B$2:$B$700,0)),0))</f>
        <v/>
      </c>
    </row>
    <row r="12732" customFormat="false" ht="15" hidden="false" customHeight="false" outlineLevel="0" collapsed="false">
      <c r="A12732" s="103"/>
      <c r="B12732" s="104"/>
      <c r="C12732" s="104"/>
      <c r="E12732" s="107" t="str">
        <f aca="false">IF($C12732="","",IFERROR(INDEX(المنيو!$C$2:$C$500,MATCH($C12732,المنيو!$B$2:$B$500,0)),0))</f>
        <v/>
      </c>
      <c r="F12732" s="107" t="str">
        <f aca="false">IF($C12732="","",$D12732*$E12732)</f>
        <v/>
      </c>
      <c r="G12732" s="107" t="str">
        <f aca="false">IF($C12732="","",$D12732*IFERROR(INDEX('تحليل التكلفة والسعر'!$C$2:$C$700,MATCH($C12732,'تحليل التكلفة والسعر'!$B$2:$B$700,0)),0))</f>
        <v/>
      </c>
    </row>
    <row r="12733" customFormat="false" ht="15" hidden="false" customHeight="false" outlineLevel="0" collapsed="false">
      <c r="A12733" s="103"/>
      <c r="B12733" s="104"/>
      <c r="C12733" s="104"/>
      <c r="E12733" s="107" t="str">
        <f aca="false">IF($C12733="","",IFERROR(INDEX(المنيو!$C$2:$C$500,MATCH($C12733,المنيو!$B$2:$B$500,0)),0))</f>
        <v/>
      </c>
      <c r="F12733" s="107" t="str">
        <f aca="false">IF($C12733="","",$D12733*$E12733)</f>
        <v/>
      </c>
      <c r="G12733" s="107" t="str">
        <f aca="false">IF($C12733="","",$D12733*IFERROR(INDEX('تحليل التكلفة والسعر'!$C$2:$C$700,MATCH($C12733,'تحليل التكلفة والسعر'!$B$2:$B$700,0)),0))</f>
        <v/>
      </c>
    </row>
    <row r="12734" customFormat="false" ht="15" hidden="false" customHeight="false" outlineLevel="0" collapsed="false">
      <c r="A12734" s="103"/>
      <c r="B12734" s="104"/>
      <c r="C12734" s="104"/>
      <c r="E12734" s="107" t="str">
        <f aca="false">IF($C12734="","",IFERROR(INDEX(المنيو!$C$2:$C$500,MATCH($C12734,المنيو!$B$2:$B$500,0)),0))</f>
        <v/>
      </c>
      <c r="F12734" s="107" t="str">
        <f aca="false">IF($C12734="","",$D12734*$E12734)</f>
        <v/>
      </c>
      <c r="G12734" s="107" t="str">
        <f aca="false">IF($C12734="","",$D12734*IFERROR(INDEX('تحليل التكلفة والسعر'!$C$2:$C$700,MATCH($C12734,'تحليل التكلفة والسعر'!$B$2:$B$700,0)),0))</f>
        <v/>
      </c>
    </row>
    <row r="12735" customFormat="false" ht="15" hidden="false" customHeight="false" outlineLevel="0" collapsed="false">
      <c r="A12735" s="103"/>
      <c r="B12735" s="104"/>
      <c r="C12735" s="104"/>
      <c r="E12735" s="107" t="str">
        <f aca="false">IF($C12735="","",IFERROR(INDEX(المنيو!$C$2:$C$500,MATCH($C12735,المنيو!$B$2:$B$500,0)),0))</f>
        <v/>
      </c>
      <c r="F12735" s="107" t="str">
        <f aca="false">IF($C12735="","",$D12735*$E12735)</f>
        <v/>
      </c>
      <c r="G12735" s="107" t="str">
        <f aca="false">IF($C12735="","",$D12735*IFERROR(INDEX('تحليل التكلفة والسعر'!$C$2:$C$700,MATCH($C12735,'تحليل التكلفة والسعر'!$B$2:$B$700,0)),0))</f>
        <v/>
      </c>
    </row>
    <row r="12736" customFormat="false" ht="15" hidden="false" customHeight="false" outlineLevel="0" collapsed="false">
      <c r="A12736" s="103"/>
      <c r="B12736" s="104"/>
      <c r="C12736" s="104"/>
      <c r="E12736" s="107" t="str">
        <f aca="false">IF($C12736="","",IFERROR(INDEX(المنيو!$C$2:$C$500,MATCH($C12736,المنيو!$B$2:$B$500,0)),0))</f>
        <v/>
      </c>
      <c r="F12736" s="107" t="str">
        <f aca="false">IF($C12736="","",$D12736*$E12736)</f>
        <v/>
      </c>
      <c r="G12736" s="107" t="str">
        <f aca="false">IF($C12736="","",$D12736*IFERROR(INDEX('تحليل التكلفة والسعر'!$C$2:$C$700,MATCH($C12736,'تحليل التكلفة والسعر'!$B$2:$B$700,0)),0))</f>
        <v/>
      </c>
    </row>
    <row r="12737" customFormat="false" ht="15" hidden="false" customHeight="false" outlineLevel="0" collapsed="false">
      <c r="A12737" s="103"/>
      <c r="B12737" s="104"/>
      <c r="C12737" s="104"/>
      <c r="E12737" s="107" t="str">
        <f aca="false">IF($C12737="","",IFERROR(INDEX(المنيو!$C$2:$C$500,MATCH($C12737,المنيو!$B$2:$B$500,0)),0))</f>
        <v/>
      </c>
      <c r="F12737" s="107" t="str">
        <f aca="false">IF($C12737="","",$D12737*$E12737)</f>
        <v/>
      </c>
      <c r="G12737" s="107" t="str">
        <f aca="false">IF($C12737="","",$D12737*IFERROR(INDEX('تحليل التكلفة والسعر'!$C$2:$C$700,MATCH($C12737,'تحليل التكلفة والسعر'!$B$2:$B$700,0)),0))</f>
        <v/>
      </c>
    </row>
    <row r="12738" customFormat="false" ht="15" hidden="false" customHeight="false" outlineLevel="0" collapsed="false">
      <c r="A12738" s="103"/>
      <c r="B12738" s="104"/>
      <c r="C12738" s="104"/>
      <c r="E12738" s="107" t="str">
        <f aca="false">IF($C12738="","",IFERROR(INDEX(المنيو!$C$2:$C$500,MATCH($C12738,المنيو!$B$2:$B$500,0)),0))</f>
        <v/>
      </c>
      <c r="F12738" s="107" t="str">
        <f aca="false">IF($C12738="","",$D12738*$E12738)</f>
        <v/>
      </c>
      <c r="G12738" s="107" t="str">
        <f aca="false">IF($C12738="","",$D12738*IFERROR(INDEX('تحليل التكلفة والسعر'!$C$2:$C$700,MATCH($C12738,'تحليل التكلفة والسعر'!$B$2:$B$700,0)),0))</f>
        <v/>
      </c>
    </row>
    <row r="12739" customFormat="false" ht="15" hidden="false" customHeight="false" outlineLevel="0" collapsed="false">
      <c r="A12739" s="103"/>
      <c r="B12739" s="104"/>
      <c r="C12739" s="104"/>
      <c r="E12739" s="107" t="str">
        <f aca="false">IF($C12739="","",IFERROR(INDEX(المنيو!$C$2:$C$500,MATCH($C12739,المنيو!$B$2:$B$500,0)),0))</f>
        <v/>
      </c>
      <c r="F12739" s="107" t="str">
        <f aca="false">IF($C12739="","",$D12739*$E12739)</f>
        <v/>
      </c>
      <c r="G12739" s="107" t="str">
        <f aca="false">IF($C12739="","",$D12739*IFERROR(INDEX('تحليل التكلفة والسعر'!$C$2:$C$700,MATCH($C12739,'تحليل التكلفة والسعر'!$B$2:$B$700,0)),0))</f>
        <v/>
      </c>
    </row>
    <row r="12740" customFormat="false" ht="15" hidden="false" customHeight="false" outlineLevel="0" collapsed="false">
      <c r="A12740" s="103"/>
      <c r="B12740" s="104"/>
      <c r="C12740" s="104"/>
      <c r="E12740" s="107" t="str">
        <f aca="false">IF($C12740="","",IFERROR(INDEX(المنيو!$C$2:$C$500,MATCH($C12740,المنيو!$B$2:$B$500,0)),0))</f>
        <v/>
      </c>
      <c r="F12740" s="107" t="str">
        <f aca="false">IF($C12740="","",$D12740*$E12740)</f>
        <v/>
      </c>
      <c r="G12740" s="107" t="str">
        <f aca="false">IF($C12740="","",$D12740*IFERROR(INDEX('تحليل التكلفة والسعر'!$C$2:$C$700,MATCH($C12740,'تحليل التكلفة والسعر'!$B$2:$B$700,0)),0))</f>
        <v/>
      </c>
    </row>
    <row r="12741" customFormat="false" ht="15" hidden="false" customHeight="false" outlineLevel="0" collapsed="false">
      <c r="A12741" s="103"/>
      <c r="B12741" s="104"/>
      <c r="C12741" s="104"/>
      <c r="E12741" s="107" t="str">
        <f aca="false">IF($C12741="","",IFERROR(INDEX(المنيو!$C$2:$C$500,MATCH($C12741,المنيو!$B$2:$B$500,0)),0))</f>
        <v/>
      </c>
      <c r="F12741" s="107" t="str">
        <f aca="false">IF($C12741="","",$D12741*$E12741)</f>
        <v/>
      </c>
      <c r="G12741" s="107" t="str">
        <f aca="false">IF($C12741="","",$D12741*IFERROR(INDEX('تحليل التكلفة والسعر'!$C$2:$C$700,MATCH($C12741,'تحليل التكلفة والسعر'!$B$2:$B$700,0)),0))</f>
        <v/>
      </c>
    </row>
    <row r="12742" customFormat="false" ht="15" hidden="false" customHeight="false" outlineLevel="0" collapsed="false">
      <c r="A12742" s="103"/>
      <c r="B12742" s="104"/>
      <c r="C12742" s="104"/>
      <c r="E12742" s="107" t="str">
        <f aca="false">IF($C12742="","",IFERROR(INDEX(المنيو!$C$2:$C$500,MATCH($C12742,المنيو!$B$2:$B$500,0)),0))</f>
        <v/>
      </c>
      <c r="F12742" s="107" t="str">
        <f aca="false">IF($C12742="","",$D12742*$E12742)</f>
        <v/>
      </c>
      <c r="G12742" s="107" t="str">
        <f aca="false">IF($C12742="","",$D12742*IFERROR(INDEX('تحليل التكلفة والسعر'!$C$2:$C$700,MATCH($C12742,'تحليل التكلفة والسعر'!$B$2:$B$700,0)),0))</f>
        <v/>
      </c>
    </row>
    <row r="12743" customFormat="false" ht="15" hidden="false" customHeight="false" outlineLevel="0" collapsed="false">
      <c r="A12743" s="103"/>
      <c r="B12743" s="104"/>
      <c r="C12743" s="104"/>
      <c r="E12743" s="107" t="str">
        <f aca="false">IF($C12743="","",IFERROR(INDEX(المنيو!$C$2:$C$500,MATCH($C12743,المنيو!$B$2:$B$500,0)),0))</f>
        <v/>
      </c>
      <c r="F12743" s="107" t="str">
        <f aca="false">IF($C12743="","",$D12743*$E12743)</f>
        <v/>
      </c>
      <c r="G12743" s="107" t="str">
        <f aca="false">IF($C12743="","",$D12743*IFERROR(INDEX('تحليل التكلفة والسعر'!$C$2:$C$700,MATCH($C12743,'تحليل التكلفة والسعر'!$B$2:$B$700,0)),0))</f>
        <v/>
      </c>
    </row>
    <row r="12744" customFormat="false" ht="15" hidden="false" customHeight="false" outlineLevel="0" collapsed="false">
      <c r="A12744" s="103"/>
      <c r="B12744" s="104"/>
      <c r="C12744" s="104"/>
      <c r="E12744" s="107" t="str">
        <f aca="false">IF($C12744="","",IFERROR(INDEX(المنيو!$C$2:$C$500,MATCH($C12744,المنيو!$B$2:$B$500,0)),0))</f>
        <v/>
      </c>
      <c r="F12744" s="107" t="str">
        <f aca="false">IF($C12744="","",$D12744*$E12744)</f>
        <v/>
      </c>
      <c r="G12744" s="107" t="str">
        <f aca="false">IF($C12744="","",$D12744*IFERROR(INDEX('تحليل التكلفة والسعر'!$C$2:$C$700,MATCH($C12744,'تحليل التكلفة والسعر'!$B$2:$B$700,0)),0))</f>
        <v/>
      </c>
    </row>
    <row r="12745" customFormat="false" ht="15" hidden="false" customHeight="false" outlineLevel="0" collapsed="false">
      <c r="A12745" s="103"/>
      <c r="B12745" s="104"/>
      <c r="C12745" s="104"/>
      <c r="E12745" s="107" t="str">
        <f aca="false">IF($C12745="","",IFERROR(INDEX(المنيو!$C$2:$C$500,MATCH($C12745,المنيو!$B$2:$B$500,0)),0))</f>
        <v/>
      </c>
      <c r="F12745" s="107" t="str">
        <f aca="false">IF($C12745="","",$D12745*$E12745)</f>
        <v/>
      </c>
      <c r="G12745" s="107" t="str">
        <f aca="false">IF($C12745="","",$D12745*IFERROR(INDEX('تحليل التكلفة والسعر'!$C$2:$C$700,MATCH($C12745,'تحليل التكلفة والسعر'!$B$2:$B$700,0)),0))</f>
        <v/>
      </c>
    </row>
    <row r="12746" customFormat="false" ht="15" hidden="false" customHeight="false" outlineLevel="0" collapsed="false">
      <c r="A12746" s="103"/>
      <c r="B12746" s="104"/>
      <c r="C12746" s="104"/>
      <c r="E12746" s="107" t="str">
        <f aca="false">IF($C12746="","",IFERROR(INDEX(المنيو!$C$2:$C$500,MATCH($C12746,المنيو!$B$2:$B$500,0)),0))</f>
        <v/>
      </c>
      <c r="F12746" s="107" t="str">
        <f aca="false">IF($C12746="","",$D12746*$E12746)</f>
        <v/>
      </c>
      <c r="G12746" s="107" t="str">
        <f aca="false">IF($C12746="","",$D12746*IFERROR(INDEX('تحليل التكلفة والسعر'!$C$2:$C$700,MATCH($C12746,'تحليل التكلفة والسعر'!$B$2:$B$700,0)),0))</f>
        <v/>
      </c>
    </row>
    <row r="12747" customFormat="false" ht="15" hidden="false" customHeight="false" outlineLevel="0" collapsed="false">
      <c r="A12747" s="103"/>
      <c r="B12747" s="104"/>
      <c r="C12747" s="104"/>
      <c r="E12747" s="107" t="str">
        <f aca="false">IF($C12747="","",IFERROR(INDEX(المنيو!$C$2:$C$500,MATCH($C12747,المنيو!$B$2:$B$500,0)),0))</f>
        <v/>
      </c>
      <c r="F12747" s="107" t="str">
        <f aca="false">IF($C12747="","",$D12747*$E12747)</f>
        <v/>
      </c>
      <c r="G12747" s="107" t="str">
        <f aca="false">IF($C12747="","",$D12747*IFERROR(INDEX('تحليل التكلفة والسعر'!$C$2:$C$700,MATCH($C12747,'تحليل التكلفة والسعر'!$B$2:$B$700,0)),0))</f>
        <v/>
      </c>
    </row>
    <row r="12748" customFormat="false" ht="15" hidden="false" customHeight="false" outlineLevel="0" collapsed="false">
      <c r="A12748" s="103"/>
      <c r="B12748" s="104"/>
      <c r="C12748" s="104"/>
      <c r="E12748" s="107" t="str">
        <f aca="false">IF($C12748="","",IFERROR(INDEX(المنيو!$C$2:$C$500,MATCH($C12748,المنيو!$B$2:$B$500,0)),0))</f>
        <v/>
      </c>
      <c r="F12748" s="107" t="str">
        <f aca="false">IF($C12748="","",$D12748*$E12748)</f>
        <v/>
      </c>
      <c r="G12748" s="107" t="str">
        <f aca="false">IF($C12748="","",$D12748*IFERROR(INDEX('تحليل التكلفة والسعر'!$C$2:$C$700,MATCH($C12748,'تحليل التكلفة والسعر'!$B$2:$B$700,0)),0))</f>
        <v/>
      </c>
    </row>
    <row r="12749" customFormat="false" ht="15" hidden="false" customHeight="false" outlineLevel="0" collapsed="false">
      <c r="A12749" s="103"/>
      <c r="B12749" s="104"/>
      <c r="C12749" s="104"/>
      <c r="E12749" s="107" t="str">
        <f aca="false">IF($C12749="","",IFERROR(INDEX(المنيو!$C$2:$C$500,MATCH($C12749,المنيو!$B$2:$B$500,0)),0))</f>
        <v/>
      </c>
      <c r="F12749" s="107" t="str">
        <f aca="false">IF($C12749="","",$D12749*$E12749)</f>
        <v/>
      </c>
      <c r="G12749" s="107" t="str">
        <f aca="false">IF($C12749="","",$D12749*IFERROR(INDEX('تحليل التكلفة والسعر'!$C$2:$C$700,MATCH($C12749,'تحليل التكلفة والسعر'!$B$2:$B$700,0)),0))</f>
        <v/>
      </c>
    </row>
    <row r="12750" customFormat="false" ht="15" hidden="false" customHeight="false" outlineLevel="0" collapsed="false">
      <c r="A12750" s="103"/>
      <c r="B12750" s="104"/>
      <c r="C12750" s="104"/>
      <c r="E12750" s="107" t="str">
        <f aca="false">IF($C12750="","",IFERROR(INDEX(المنيو!$C$2:$C$500,MATCH($C12750,المنيو!$B$2:$B$500,0)),0))</f>
        <v/>
      </c>
      <c r="F12750" s="107" t="str">
        <f aca="false">IF($C12750="","",$D12750*$E12750)</f>
        <v/>
      </c>
      <c r="G12750" s="107" t="str">
        <f aca="false">IF($C12750="","",$D12750*IFERROR(INDEX('تحليل التكلفة والسعر'!$C$2:$C$700,MATCH($C12750,'تحليل التكلفة والسعر'!$B$2:$B$700,0)),0))</f>
        <v/>
      </c>
    </row>
    <row r="12751" customFormat="false" ht="15" hidden="false" customHeight="false" outlineLevel="0" collapsed="false">
      <c r="A12751" s="103"/>
      <c r="B12751" s="104"/>
      <c r="C12751" s="104"/>
      <c r="E12751" s="107" t="str">
        <f aca="false">IF($C12751="","",IFERROR(INDEX(المنيو!$C$2:$C$500,MATCH($C12751,المنيو!$B$2:$B$500,0)),0))</f>
        <v/>
      </c>
      <c r="F12751" s="107" t="str">
        <f aca="false">IF($C12751="","",$D12751*$E12751)</f>
        <v/>
      </c>
      <c r="G12751" s="107" t="str">
        <f aca="false">IF($C12751="","",$D12751*IFERROR(INDEX('تحليل التكلفة والسعر'!$C$2:$C$700,MATCH($C12751,'تحليل التكلفة والسعر'!$B$2:$B$700,0)),0))</f>
        <v/>
      </c>
    </row>
    <row r="12752" customFormat="false" ht="15" hidden="false" customHeight="false" outlineLevel="0" collapsed="false">
      <c r="A12752" s="103"/>
      <c r="B12752" s="104"/>
      <c r="C12752" s="104"/>
      <c r="E12752" s="107" t="str">
        <f aca="false">IF($C12752="","",IFERROR(INDEX(المنيو!$C$2:$C$500,MATCH($C12752,المنيو!$B$2:$B$500,0)),0))</f>
        <v/>
      </c>
      <c r="F12752" s="107" t="str">
        <f aca="false">IF($C12752="","",$D12752*$E12752)</f>
        <v/>
      </c>
      <c r="G12752" s="107" t="str">
        <f aca="false">IF($C12752="","",$D12752*IFERROR(INDEX('تحليل التكلفة والسعر'!$C$2:$C$700,MATCH($C12752,'تحليل التكلفة والسعر'!$B$2:$B$700,0)),0))</f>
        <v/>
      </c>
    </row>
    <row r="12753" customFormat="false" ht="15" hidden="false" customHeight="false" outlineLevel="0" collapsed="false">
      <c r="A12753" s="103"/>
      <c r="B12753" s="104"/>
      <c r="C12753" s="104"/>
      <c r="E12753" s="107" t="str">
        <f aca="false">IF($C12753="","",IFERROR(INDEX(المنيو!$C$2:$C$500,MATCH($C12753,المنيو!$B$2:$B$500,0)),0))</f>
        <v/>
      </c>
      <c r="F12753" s="107" t="str">
        <f aca="false">IF($C12753="","",$D12753*$E12753)</f>
        <v/>
      </c>
      <c r="G12753" s="107" t="str">
        <f aca="false">IF($C12753="","",$D12753*IFERROR(INDEX('تحليل التكلفة والسعر'!$C$2:$C$700,MATCH($C12753,'تحليل التكلفة والسعر'!$B$2:$B$700,0)),0))</f>
        <v/>
      </c>
    </row>
    <row r="12754" customFormat="false" ht="15" hidden="false" customHeight="false" outlineLevel="0" collapsed="false">
      <c r="A12754" s="103"/>
      <c r="B12754" s="104"/>
      <c r="C12754" s="104"/>
      <c r="E12754" s="107" t="str">
        <f aca="false">IF($C12754="","",IFERROR(INDEX(المنيو!$C$2:$C$500,MATCH($C12754,المنيو!$B$2:$B$500,0)),0))</f>
        <v/>
      </c>
      <c r="F12754" s="107" t="str">
        <f aca="false">IF($C12754="","",$D12754*$E12754)</f>
        <v/>
      </c>
      <c r="G12754" s="107" t="str">
        <f aca="false">IF($C12754="","",$D12754*IFERROR(INDEX('تحليل التكلفة والسعر'!$C$2:$C$700,MATCH($C12754,'تحليل التكلفة والسعر'!$B$2:$B$700,0)),0))</f>
        <v/>
      </c>
    </row>
    <row r="12755" customFormat="false" ht="15" hidden="false" customHeight="false" outlineLevel="0" collapsed="false">
      <c r="A12755" s="103"/>
      <c r="B12755" s="104"/>
      <c r="C12755" s="104"/>
      <c r="E12755" s="107" t="str">
        <f aca="false">IF($C12755="","",IFERROR(INDEX(المنيو!$C$2:$C$500,MATCH($C12755,المنيو!$B$2:$B$500,0)),0))</f>
        <v/>
      </c>
      <c r="F12755" s="107" t="str">
        <f aca="false">IF($C12755="","",$D12755*$E12755)</f>
        <v/>
      </c>
      <c r="G12755" s="107" t="str">
        <f aca="false">IF($C12755="","",$D12755*IFERROR(INDEX('تحليل التكلفة والسعر'!$C$2:$C$700,MATCH($C12755,'تحليل التكلفة والسعر'!$B$2:$B$700,0)),0))</f>
        <v/>
      </c>
    </row>
    <row r="12756" customFormat="false" ht="15" hidden="false" customHeight="false" outlineLevel="0" collapsed="false">
      <c r="A12756" s="103"/>
      <c r="B12756" s="104"/>
      <c r="C12756" s="104"/>
      <c r="E12756" s="107" t="str">
        <f aca="false">IF($C12756="","",IFERROR(INDEX(المنيو!$C$2:$C$500,MATCH($C12756,المنيو!$B$2:$B$500,0)),0))</f>
        <v/>
      </c>
      <c r="F12756" s="107" t="str">
        <f aca="false">IF($C12756="","",$D12756*$E12756)</f>
        <v/>
      </c>
      <c r="G12756" s="107" t="str">
        <f aca="false">IF($C12756="","",$D12756*IFERROR(INDEX('تحليل التكلفة والسعر'!$C$2:$C$700,MATCH($C12756,'تحليل التكلفة والسعر'!$B$2:$B$700,0)),0))</f>
        <v/>
      </c>
    </row>
    <row r="12757" customFormat="false" ht="15" hidden="false" customHeight="false" outlineLevel="0" collapsed="false">
      <c r="A12757" s="103"/>
      <c r="B12757" s="104"/>
      <c r="C12757" s="104"/>
      <c r="E12757" s="107" t="str">
        <f aca="false">IF($C12757="","",IFERROR(INDEX(المنيو!$C$2:$C$500,MATCH($C12757,المنيو!$B$2:$B$500,0)),0))</f>
        <v/>
      </c>
      <c r="F12757" s="107" t="str">
        <f aca="false">IF($C12757="","",$D12757*$E12757)</f>
        <v/>
      </c>
      <c r="G12757" s="107" t="str">
        <f aca="false">IF($C12757="","",$D12757*IFERROR(INDEX('تحليل التكلفة والسعر'!$C$2:$C$700,MATCH($C12757,'تحليل التكلفة والسعر'!$B$2:$B$700,0)),0))</f>
        <v/>
      </c>
    </row>
    <row r="12758" customFormat="false" ht="15" hidden="false" customHeight="false" outlineLevel="0" collapsed="false">
      <c r="A12758" s="103"/>
      <c r="B12758" s="104"/>
      <c r="C12758" s="104"/>
      <c r="E12758" s="107" t="str">
        <f aca="false">IF($C12758="","",IFERROR(INDEX(المنيو!$C$2:$C$500,MATCH($C12758,المنيو!$B$2:$B$500,0)),0))</f>
        <v/>
      </c>
      <c r="F12758" s="107" t="str">
        <f aca="false">IF($C12758="","",$D12758*$E12758)</f>
        <v/>
      </c>
      <c r="G12758" s="107" t="str">
        <f aca="false">IF($C12758="","",$D12758*IFERROR(INDEX('تحليل التكلفة والسعر'!$C$2:$C$700,MATCH($C12758,'تحليل التكلفة والسعر'!$B$2:$B$700,0)),0))</f>
        <v/>
      </c>
    </row>
    <row r="12759" customFormat="false" ht="15" hidden="false" customHeight="false" outlineLevel="0" collapsed="false">
      <c r="A12759" s="103"/>
      <c r="B12759" s="104"/>
      <c r="C12759" s="104"/>
      <c r="E12759" s="107" t="str">
        <f aca="false">IF($C12759="","",IFERROR(INDEX(المنيو!$C$2:$C$500,MATCH($C12759,المنيو!$B$2:$B$500,0)),0))</f>
        <v/>
      </c>
      <c r="F12759" s="107" t="str">
        <f aca="false">IF($C12759="","",$D12759*$E12759)</f>
        <v/>
      </c>
      <c r="G12759" s="107" t="str">
        <f aca="false">IF($C12759="","",$D12759*IFERROR(INDEX('تحليل التكلفة والسعر'!$C$2:$C$700,MATCH($C12759,'تحليل التكلفة والسعر'!$B$2:$B$700,0)),0))</f>
        <v/>
      </c>
    </row>
    <row r="12760" customFormat="false" ht="15" hidden="false" customHeight="false" outlineLevel="0" collapsed="false">
      <c r="A12760" s="103"/>
      <c r="B12760" s="104"/>
      <c r="C12760" s="104"/>
      <c r="E12760" s="107" t="str">
        <f aca="false">IF($C12760="","",IFERROR(INDEX(المنيو!$C$2:$C$500,MATCH($C12760,المنيو!$B$2:$B$500,0)),0))</f>
        <v/>
      </c>
      <c r="F12760" s="107" t="str">
        <f aca="false">IF($C12760="","",$D12760*$E12760)</f>
        <v/>
      </c>
      <c r="G12760" s="107" t="str">
        <f aca="false">IF($C12760="","",$D12760*IFERROR(INDEX('تحليل التكلفة والسعر'!$C$2:$C$700,MATCH($C12760,'تحليل التكلفة والسعر'!$B$2:$B$700,0)),0))</f>
        <v/>
      </c>
    </row>
    <row r="12761" customFormat="false" ht="15" hidden="false" customHeight="false" outlineLevel="0" collapsed="false">
      <c r="A12761" s="103"/>
      <c r="B12761" s="104"/>
      <c r="C12761" s="104"/>
      <c r="E12761" s="107" t="str">
        <f aca="false">IF($C12761="","",IFERROR(INDEX(المنيو!$C$2:$C$500,MATCH($C12761,المنيو!$B$2:$B$500,0)),0))</f>
        <v/>
      </c>
      <c r="F12761" s="107" t="str">
        <f aca="false">IF($C12761="","",$D12761*$E12761)</f>
        <v/>
      </c>
      <c r="G12761" s="107" t="str">
        <f aca="false">IF($C12761="","",$D12761*IFERROR(INDEX('تحليل التكلفة والسعر'!$C$2:$C$700,MATCH($C12761,'تحليل التكلفة والسعر'!$B$2:$B$700,0)),0))</f>
        <v/>
      </c>
    </row>
    <row r="12762" customFormat="false" ht="15" hidden="false" customHeight="false" outlineLevel="0" collapsed="false">
      <c r="A12762" s="103"/>
      <c r="B12762" s="104"/>
      <c r="C12762" s="104"/>
      <c r="E12762" s="107" t="str">
        <f aca="false">IF($C12762="","",IFERROR(INDEX(المنيو!$C$2:$C$500,MATCH($C12762,المنيو!$B$2:$B$500,0)),0))</f>
        <v/>
      </c>
      <c r="F12762" s="107" t="str">
        <f aca="false">IF($C12762="","",$D12762*$E12762)</f>
        <v/>
      </c>
      <c r="G12762" s="107" t="str">
        <f aca="false">IF($C12762="","",$D12762*IFERROR(INDEX('تحليل التكلفة والسعر'!$C$2:$C$700,MATCH($C12762,'تحليل التكلفة والسعر'!$B$2:$B$700,0)),0))</f>
        <v/>
      </c>
    </row>
    <row r="12763" customFormat="false" ht="15" hidden="false" customHeight="false" outlineLevel="0" collapsed="false">
      <c r="A12763" s="103"/>
      <c r="B12763" s="104"/>
      <c r="C12763" s="104"/>
      <c r="E12763" s="107" t="str">
        <f aca="false">IF($C12763="","",IFERROR(INDEX(المنيو!$C$2:$C$500,MATCH($C12763,المنيو!$B$2:$B$500,0)),0))</f>
        <v/>
      </c>
      <c r="F12763" s="107" t="str">
        <f aca="false">IF($C12763="","",$D12763*$E12763)</f>
        <v/>
      </c>
      <c r="G12763" s="107" t="str">
        <f aca="false">IF($C12763="","",$D12763*IFERROR(INDEX('تحليل التكلفة والسعر'!$C$2:$C$700,MATCH($C12763,'تحليل التكلفة والسعر'!$B$2:$B$700,0)),0))</f>
        <v/>
      </c>
    </row>
    <row r="12764" customFormat="false" ht="15" hidden="false" customHeight="false" outlineLevel="0" collapsed="false">
      <c r="A12764" s="103"/>
      <c r="B12764" s="104"/>
      <c r="C12764" s="104"/>
      <c r="E12764" s="107" t="str">
        <f aca="false">IF($C12764="","",IFERROR(INDEX(المنيو!$C$2:$C$500,MATCH($C12764,المنيو!$B$2:$B$500,0)),0))</f>
        <v/>
      </c>
      <c r="F12764" s="107" t="str">
        <f aca="false">IF($C12764="","",$D12764*$E12764)</f>
        <v/>
      </c>
      <c r="G12764" s="107" t="str">
        <f aca="false">IF($C12764="","",$D12764*IFERROR(INDEX('تحليل التكلفة والسعر'!$C$2:$C$700,MATCH($C12764,'تحليل التكلفة والسعر'!$B$2:$B$700,0)),0))</f>
        <v/>
      </c>
    </row>
    <row r="12765" customFormat="false" ht="15" hidden="false" customHeight="false" outlineLevel="0" collapsed="false">
      <c r="A12765" s="103"/>
      <c r="B12765" s="104"/>
      <c r="C12765" s="104"/>
      <c r="E12765" s="107" t="str">
        <f aca="false">IF($C12765="","",IFERROR(INDEX(المنيو!$C$2:$C$500,MATCH($C12765,المنيو!$B$2:$B$500,0)),0))</f>
        <v/>
      </c>
      <c r="F12765" s="107" t="str">
        <f aca="false">IF($C12765="","",$D12765*$E12765)</f>
        <v/>
      </c>
      <c r="G12765" s="107" t="str">
        <f aca="false">IF($C12765="","",$D12765*IFERROR(INDEX('تحليل التكلفة والسعر'!$C$2:$C$700,MATCH($C12765,'تحليل التكلفة والسعر'!$B$2:$B$700,0)),0))</f>
        <v/>
      </c>
    </row>
    <row r="12766" customFormat="false" ht="15" hidden="false" customHeight="false" outlineLevel="0" collapsed="false">
      <c r="A12766" s="103"/>
      <c r="B12766" s="104"/>
      <c r="C12766" s="104"/>
      <c r="E12766" s="107" t="str">
        <f aca="false">IF($C12766="","",IFERROR(INDEX(المنيو!$C$2:$C$500,MATCH($C12766,المنيو!$B$2:$B$500,0)),0))</f>
        <v/>
      </c>
      <c r="F12766" s="107" t="str">
        <f aca="false">IF($C12766="","",$D12766*$E12766)</f>
        <v/>
      </c>
      <c r="G12766" s="107" t="str">
        <f aca="false">IF($C12766="","",$D12766*IFERROR(INDEX('تحليل التكلفة والسعر'!$C$2:$C$700,MATCH($C12766,'تحليل التكلفة والسعر'!$B$2:$B$700,0)),0))</f>
        <v/>
      </c>
    </row>
    <row r="12767" customFormat="false" ht="15" hidden="false" customHeight="false" outlineLevel="0" collapsed="false">
      <c r="A12767" s="103"/>
      <c r="B12767" s="104"/>
      <c r="C12767" s="104"/>
      <c r="E12767" s="107" t="str">
        <f aca="false">IF($C12767="","",IFERROR(INDEX(المنيو!$C$2:$C$500,MATCH($C12767,المنيو!$B$2:$B$500,0)),0))</f>
        <v/>
      </c>
      <c r="F12767" s="107" t="str">
        <f aca="false">IF($C12767="","",$D12767*$E12767)</f>
        <v/>
      </c>
      <c r="G12767" s="107" t="str">
        <f aca="false">IF($C12767="","",$D12767*IFERROR(INDEX('تحليل التكلفة والسعر'!$C$2:$C$700,MATCH($C12767,'تحليل التكلفة والسعر'!$B$2:$B$700,0)),0))</f>
        <v/>
      </c>
    </row>
    <row r="12768" customFormat="false" ht="15" hidden="false" customHeight="false" outlineLevel="0" collapsed="false">
      <c r="A12768" s="103"/>
      <c r="B12768" s="104"/>
      <c r="C12768" s="104"/>
      <c r="E12768" s="107" t="str">
        <f aca="false">IF($C12768="","",IFERROR(INDEX(المنيو!$C$2:$C$500,MATCH($C12768,المنيو!$B$2:$B$500,0)),0))</f>
        <v/>
      </c>
      <c r="F12768" s="107" t="str">
        <f aca="false">IF($C12768="","",$D12768*$E12768)</f>
        <v/>
      </c>
      <c r="G12768" s="107" t="str">
        <f aca="false">IF($C12768="","",$D12768*IFERROR(INDEX('تحليل التكلفة والسعر'!$C$2:$C$700,MATCH($C12768,'تحليل التكلفة والسعر'!$B$2:$B$700,0)),0))</f>
        <v/>
      </c>
    </row>
    <row r="12769" customFormat="false" ht="15" hidden="false" customHeight="false" outlineLevel="0" collapsed="false">
      <c r="A12769" s="103"/>
      <c r="B12769" s="104"/>
      <c r="C12769" s="104"/>
      <c r="E12769" s="107" t="str">
        <f aca="false">IF($C12769="","",IFERROR(INDEX(المنيو!$C$2:$C$500,MATCH($C12769,المنيو!$B$2:$B$500,0)),0))</f>
        <v/>
      </c>
      <c r="F12769" s="107" t="str">
        <f aca="false">IF($C12769="","",$D12769*$E12769)</f>
        <v/>
      </c>
      <c r="G12769" s="107" t="str">
        <f aca="false">IF($C12769="","",$D12769*IFERROR(INDEX('تحليل التكلفة والسعر'!$C$2:$C$700,MATCH($C12769,'تحليل التكلفة والسعر'!$B$2:$B$700,0)),0))</f>
        <v/>
      </c>
    </row>
    <row r="12770" customFormat="false" ht="15" hidden="false" customHeight="false" outlineLevel="0" collapsed="false">
      <c r="A12770" s="103"/>
      <c r="B12770" s="104"/>
      <c r="C12770" s="104"/>
      <c r="E12770" s="107" t="str">
        <f aca="false">IF($C12770="","",IFERROR(INDEX(المنيو!$C$2:$C$500,MATCH($C12770,المنيو!$B$2:$B$500,0)),0))</f>
        <v/>
      </c>
      <c r="F12770" s="107" t="str">
        <f aca="false">IF($C12770="","",$D12770*$E12770)</f>
        <v/>
      </c>
      <c r="G12770" s="107" t="str">
        <f aca="false">IF($C12770="","",$D12770*IFERROR(INDEX('تحليل التكلفة والسعر'!$C$2:$C$700,MATCH($C12770,'تحليل التكلفة والسعر'!$B$2:$B$700,0)),0))</f>
        <v/>
      </c>
    </row>
    <row r="12771" customFormat="false" ht="15" hidden="false" customHeight="false" outlineLevel="0" collapsed="false">
      <c r="A12771" s="103"/>
      <c r="B12771" s="104"/>
      <c r="C12771" s="104"/>
      <c r="E12771" s="107" t="str">
        <f aca="false">IF($C12771="","",IFERROR(INDEX(المنيو!$C$2:$C$500,MATCH($C12771,المنيو!$B$2:$B$500,0)),0))</f>
        <v/>
      </c>
      <c r="F12771" s="107" t="str">
        <f aca="false">IF($C12771="","",$D12771*$E12771)</f>
        <v/>
      </c>
      <c r="G12771" s="107" t="str">
        <f aca="false">IF($C12771="","",$D12771*IFERROR(INDEX('تحليل التكلفة والسعر'!$C$2:$C$700,MATCH($C12771,'تحليل التكلفة والسعر'!$B$2:$B$700,0)),0))</f>
        <v/>
      </c>
    </row>
    <row r="12772" customFormat="false" ht="15" hidden="false" customHeight="false" outlineLevel="0" collapsed="false">
      <c r="A12772" s="103"/>
      <c r="B12772" s="104"/>
      <c r="C12772" s="104"/>
      <c r="E12772" s="107" t="str">
        <f aca="false">IF($C12772="","",IFERROR(INDEX(المنيو!$C$2:$C$500,MATCH($C12772,المنيو!$B$2:$B$500,0)),0))</f>
        <v/>
      </c>
      <c r="F12772" s="107" t="str">
        <f aca="false">IF($C12772="","",$D12772*$E12772)</f>
        <v/>
      </c>
      <c r="G12772" s="107" t="str">
        <f aca="false">IF($C12772="","",$D12772*IFERROR(INDEX('تحليل التكلفة والسعر'!$C$2:$C$700,MATCH($C12772,'تحليل التكلفة والسعر'!$B$2:$B$700,0)),0))</f>
        <v/>
      </c>
    </row>
    <row r="12773" customFormat="false" ht="15" hidden="false" customHeight="false" outlineLevel="0" collapsed="false">
      <c r="A12773" s="103"/>
      <c r="B12773" s="104"/>
      <c r="C12773" s="104"/>
      <c r="E12773" s="107" t="str">
        <f aca="false">IF($C12773="","",IFERROR(INDEX(المنيو!$C$2:$C$500,MATCH($C12773,المنيو!$B$2:$B$500,0)),0))</f>
        <v/>
      </c>
      <c r="F12773" s="107" t="str">
        <f aca="false">IF($C12773="","",$D12773*$E12773)</f>
        <v/>
      </c>
      <c r="G12773" s="107" t="str">
        <f aca="false">IF($C12773="","",$D12773*IFERROR(INDEX('تحليل التكلفة والسعر'!$C$2:$C$700,MATCH($C12773,'تحليل التكلفة والسعر'!$B$2:$B$700,0)),0))</f>
        <v/>
      </c>
    </row>
    <row r="12774" customFormat="false" ht="15" hidden="false" customHeight="false" outlineLevel="0" collapsed="false">
      <c r="A12774" s="103"/>
      <c r="B12774" s="104"/>
      <c r="C12774" s="104"/>
      <c r="E12774" s="107" t="str">
        <f aca="false">IF($C12774="","",IFERROR(INDEX(المنيو!$C$2:$C$500,MATCH($C12774,المنيو!$B$2:$B$500,0)),0))</f>
        <v/>
      </c>
      <c r="F12774" s="107" t="str">
        <f aca="false">IF($C12774="","",$D12774*$E12774)</f>
        <v/>
      </c>
      <c r="G12774" s="107" t="str">
        <f aca="false">IF($C12774="","",$D12774*IFERROR(INDEX('تحليل التكلفة والسعر'!$C$2:$C$700,MATCH($C12774,'تحليل التكلفة والسعر'!$B$2:$B$700,0)),0))</f>
        <v/>
      </c>
    </row>
    <row r="12775" customFormat="false" ht="15" hidden="false" customHeight="false" outlineLevel="0" collapsed="false">
      <c r="A12775" s="103"/>
      <c r="B12775" s="104"/>
      <c r="C12775" s="104"/>
      <c r="E12775" s="107" t="str">
        <f aca="false">IF($C12775="","",IFERROR(INDEX(المنيو!$C$2:$C$500,MATCH($C12775,المنيو!$B$2:$B$500,0)),0))</f>
        <v/>
      </c>
      <c r="F12775" s="107" t="str">
        <f aca="false">IF($C12775="","",$D12775*$E12775)</f>
        <v/>
      </c>
      <c r="G12775" s="107" t="str">
        <f aca="false">IF($C12775="","",$D12775*IFERROR(INDEX('تحليل التكلفة والسعر'!$C$2:$C$700,MATCH($C12775,'تحليل التكلفة والسعر'!$B$2:$B$700,0)),0))</f>
        <v/>
      </c>
    </row>
    <row r="12776" customFormat="false" ht="15" hidden="false" customHeight="false" outlineLevel="0" collapsed="false">
      <c r="A12776" s="103"/>
      <c r="B12776" s="104"/>
      <c r="C12776" s="104"/>
      <c r="E12776" s="107" t="str">
        <f aca="false">IF($C12776="","",IFERROR(INDEX(المنيو!$C$2:$C$500,MATCH($C12776,المنيو!$B$2:$B$500,0)),0))</f>
        <v/>
      </c>
      <c r="F12776" s="107" t="str">
        <f aca="false">IF($C12776="","",$D12776*$E12776)</f>
        <v/>
      </c>
      <c r="G12776" s="107" t="str">
        <f aca="false">IF($C12776="","",$D12776*IFERROR(INDEX('تحليل التكلفة والسعر'!$C$2:$C$700,MATCH($C12776,'تحليل التكلفة والسعر'!$B$2:$B$700,0)),0))</f>
        <v/>
      </c>
    </row>
    <row r="12777" customFormat="false" ht="15" hidden="false" customHeight="false" outlineLevel="0" collapsed="false">
      <c r="A12777" s="103"/>
      <c r="B12777" s="104"/>
      <c r="C12777" s="104"/>
      <c r="E12777" s="107" t="str">
        <f aca="false">IF($C12777="","",IFERROR(INDEX(المنيو!$C$2:$C$500,MATCH($C12777,المنيو!$B$2:$B$500,0)),0))</f>
        <v/>
      </c>
      <c r="F12777" s="107" t="str">
        <f aca="false">IF($C12777="","",$D12777*$E12777)</f>
        <v/>
      </c>
      <c r="G12777" s="107" t="str">
        <f aca="false">IF($C12777="","",$D12777*IFERROR(INDEX('تحليل التكلفة والسعر'!$C$2:$C$700,MATCH($C12777,'تحليل التكلفة والسعر'!$B$2:$B$700,0)),0))</f>
        <v/>
      </c>
    </row>
    <row r="12778" customFormat="false" ht="15" hidden="false" customHeight="false" outlineLevel="0" collapsed="false">
      <c r="A12778" s="103"/>
      <c r="B12778" s="104"/>
      <c r="C12778" s="104"/>
      <c r="E12778" s="107" t="str">
        <f aca="false">IF($C12778="","",IFERROR(INDEX(المنيو!$C$2:$C$500,MATCH($C12778,المنيو!$B$2:$B$500,0)),0))</f>
        <v/>
      </c>
      <c r="F12778" s="107" t="str">
        <f aca="false">IF($C12778="","",$D12778*$E12778)</f>
        <v/>
      </c>
      <c r="G12778" s="107" t="str">
        <f aca="false">IF($C12778="","",$D12778*IFERROR(INDEX('تحليل التكلفة والسعر'!$C$2:$C$700,MATCH($C12778,'تحليل التكلفة والسعر'!$B$2:$B$700,0)),0))</f>
        <v/>
      </c>
    </row>
    <row r="12779" customFormat="false" ht="15" hidden="false" customHeight="false" outlineLevel="0" collapsed="false">
      <c r="A12779" s="103"/>
      <c r="B12779" s="104"/>
      <c r="C12779" s="104"/>
      <c r="E12779" s="107" t="str">
        <f aca="false">IF($C12779="","",IFERROR(INDEX(المنيو!$C$2:$C$500,MATCH($C12779,المنيو!$B$2:$B$500,0)),0))</f>
        <v/>
      </c>
      <c r="F12779" s="107" t="str">
        <f aca="false">IF($C12779="","",$D12779*$E12779)</f>
        <v/>
      </c>
      <c r="G12779" s="107" t="str">
        <f aca="false">IF($C12779="","",$D12779*IFERROR(INDEX('تحليل التكلفة والسعر'!$C$2:$C$700,MATCH($C12779,'تحليل التكلفة والسعر'!$B$2:$B$700,0)),0))</f>
        <v/>
      </c>
    </row>
    <row r="12780" customFormat="false" ht="15" hidden="false" customHeight="false" outlineLevel="0" collapsed="false">
      <c r="A12780" s="103"/>
      <c r="B12780" s="104"/>
      <c r="C12780" s="104"/>
      <c r="E12780" s="107" t="str">
        <f aca="false">IF($C12780="","",IFERROR(INDEX(المنيو!$C$2:$C$500,MATCH($C12780,المنيو!$B$2:$B$500,0)),0))</f>
        <v/>
      </c>
      <c r="F12780" s="107" t="str">
        <f aca="false">IF($C12780="","",$D12780*$E12780)</f>
        <v/>
      </c>
      <c r="G12780" s="107" t="str">
        <f aca="false">IF($C12780="","",$D12780*IFERROR(INDEX('تحليل التكلفة والسعر'!$C$2:$C$700,MATCH($C12780,'تحليل التكلفة والسعر'!$B$2:$B$700,0)),0))</f>
        <v/>
      </c>
    </row>
    <row r="12781" customFormat="false" ht="15" hidden="false" customHeight="false" outlineLevel="0" collapsed="false">
      <c r="A12781" s="103"/>
      <c r="B12781" s="104"/>
      <c r="C12781" s="104"/>
      <c r="E12781" s="107" t="str">
        <f aca="false">IF($C12781="","",IFERROR(INDEX(المنيو!$C$2:$C$500,MATCH($C12781,المنيو!$B$2:$B$500,0)),0))</f>
        <v/>
      </c>
      <c r="F12781" s="107" t="str">
        <f aca="false">IF($C12781="","",$D12781*$E12781)</f>
        <v/>
      </c>
      <c r="G12781" s="107" t="str">
        <f aca="false">IF($C12781="","",$D12781*IFERROR(INDEX('تحليل التكلفة والسعر'!$C$2:$C$700,MATCH($C12781,'تحليل التكلفة والسعر'!$B$2:$B$700,0)),0))</f>
        <v/>
      </c>
    </row>
    <row r="12782" customFormat="false" ht="15" hidden="false" customHeight="false" outlineLevel="0" collapsed="false">
      <c r="A12782" s="103"/>
      <c r="B12782" s="104"/>
      <c r="C12782" s="104"/>
      <c r="E12782" s="107" t="str">
        <f aca="false">IF($C12782="","",IFERROR(INDEX(المنيو!$C$2:$C$500,MATCH($C12782,المنيو!$B$2:$B$500,0)),0))</f>
        <v/>
      </c>
      <c r="F12782" s="107" t="str">
        <f aca="false">IF($C12782="","",$D12782*$E12782)</f>
        <v/>
      </c>
      <c r="G12782" s="107" t="str">
        <f aca="false">IF($C12782="","",$D12782*IFERROR(INDEX('تحليل التكلفة والسعر'!$C$2:$C$700,MATCH($C12782,'تحليل التكلفة والسعر'!$B$2:$B$700,0)),0))</f>
        <v/>
      </c>
    </row>
    <row r="12783" customFormat="false" ht="15" hidden="false" customHeight="false" outlineLevel="0" collapsed="false">
      <c r="A12783" s="103"/>
      <c r="B12783" s="104"/>
      <c r="C12783" s="104"/>
      <c r="E12783" s="107" t="str">
        <f aca="false">IF($C12783="","",IFERROR(INDEX(المنيو!$C$2:$C$500,MATCH($C12783,المنيو!$B$2:$B$500,0)),0))</f>
        <v/>
      </c>
      <c r="F12783" s="107" t="str">
        <f aca="false">IF($C12783="","",$D12783*$E12783)</f>
        <v/>
      </c>
      <c r="G12783" s="107" t="str">
        <f aca="false">IF($C12783="","",$D12783*IFERROR(INDEX('تحليل التكلفة والسعر'!$C$2:$C$700,MATCH($C12783,'تحليل التكلفة والسعر'!$B$2:$B$700,0)),0))</f>
        <v/>
      </c>
    </row>
    <row r="12784" customFormat="false" ht="15" hidden="false" customHeight="false" outlineLevel="0" collapsed="false">
      <c r="A12784" s="103"/>
      <c r="B12784" s="104"/>
      <c r="C12784" s="104"/>
      <c r="E12784" s="107" t="str">
        <f aca="false">IF($C12784="","",IFERROR(INDEX(المنيو!$C$2:$C$500,MATCH($C12784,المنيو!$B$2:$B$500,0)),0))</f>
        <v/>
      </c>
      <c r="F12784" s="107" t="str">
        <f aca="false">IF($C12784="","",$D12784*$E12784)</f>
        <v/>
      </c>
      <c r="G12784" s="107" t="str">
        <f aca="false">IF($C12784="","",$D12784*IFERROR(INDEX('تحليل التكلفة والسعر'!$C$2:$C$700,MATCH($C12784,'تحليل التكلفة والسعر'!$B$2:$B$700,0)),0))</f>
        <v/>
      </c>
    </row>
    <row r="12785" customFormat="false" ht="15" hidden="false" customHeight="false" outlineLevel="0" collapsed="false">
      <c r="A12785" s="103"/>
      <c r="B12785" s="104"/>
      <c r="C12785" s="104"/>
      <c r="E12785" s="107" t="str">
        <f aca="false">IF($C12785="","",IFERROR(INDEX(المنيو!$C$2:$C$500,MATCH($C12785,المنيو!$B$2:$B$500,0)),0))</f>
        <v/>
      </c>
      <c r="F12785" s="107" t="str">
        <f aca="false">IF($C12785="","",$D12785*$E12785)</f>
        <v/>
      </c>
      <c r="G12785" s="107" t="str">
        <f aca="false">IF($C12785="","",$D12785*IFERROR(INDEX('تحليل التكلفة والسعر'!$C$2:$C$700,MATCH($C12785,'تحليل التكلفة والسعر'!$B$2:$B$700,0)),0))</f>
        <v/>
      </c>
    </row>
    <row r="12786" customFormat="false" ht="15" hidden="false" customHeight="false" outlineLevel="0" collapsed="false">
      <c r="A12786" s="103"/>
      <c r="B12786" s="104"/>
      <c r="C12786" s="104"/>
      <c r="E12786" s="107" t="str">
        <f aca="false">IF($C12786="","",IFERROR(INDEX(المنيو!$C$2:$C$500,MATCH($C12786,المنيو!$B$2:$B$500,0)),0))</f>
        <v/>
      </c>
      <c r="F12786" s="107" t="str">
        <f aca="false">IF($C12786="","",$D12786*$E12786)</f>
        <v/>
      </c>
      <c r="G12786" s="107" t="str">
        <f aca="false">IF($C12786="","",$D12786*IFERROR(INDEX('تحليل التكلفة والسعر'!$C$2:$C$700,MATCH($C12786,'تحليل التكلفة والسعر'!$B$2:$B$700,0)),0))</f>
        <v/>
      </c>
    </row>
    <row r="12787" customFormat="false" ht="15" hidden="false" customHeight="false" outlineLevel="0" collapsed="false">
      <c r="A12787" s="103"/>
      <c r="B12787" s="104"/>
      <c r="C12787" s="104"/>
      <c r="E12787" s="107" t="str">
        <f aca="false">IF($C12787="","",IFERROR(INDEX(المنيو!$C$2:$C$500,MATCH($C12787,المنيو!$B$2:$B$500,0)),0))</f>
        <v/>
      </c>
      <c r="F12787" s="107" t="str">
        <f aca="false">IF($C12787="","",$D12787*$E12787)</f>
        <v/>
      </c>
      <c r="G12787" s="107" t="str">
        <f aca="false">IF($C12787="","",$D12787*IFERROR(INDEX('تحليل التكلفة والسعر'!$C$2:$C$700,MATCH($C12787,'تحليل التكلفة والسعر'!$B$2:$B$700,0)),0))</f>
        <v/>
      </c>
    </row>
    <row r="12788" customFormat="false" ht="15" hidden="false" customHeight="false" outlineLevel="0" collapsed="false">
      <c r="A12788" s="103"/>
      <c r="B12788" s="104"/>
      <c r="C12788" s="104"/>
      <c r="E12788" s="107" t="str">
        <f aca="false">IF($C12788="","",IFERROR(INDEX(المنيو!$C$2:$C$500,MATCH($C12788,المنيو!$B$2:$B$500,0)),0))</f>
        <v/>
      </c>
      <c r="F12788" s="107" t="str">
        <f aca="false">IF($C12788="","",$D12788*$E12788)</f>
        <v/>
      </c>
      <c r="G12788" s="107" t="str">
        <f aca="false">IF($C12788="","",$D12788*IFERROR(INDEX('تحليل التكلفة والسعر'!$C$2:$C$700,MATCH($C12788,'تحليل التكلفة والسعر'!$B$2:$B$700,0)),0))</f>
        <v/>
      </c>
    </row>
    <row r="12789" customFormat="false" ht="15" hidden="false" customHeight="false" outlineLevel="0" collapsed="false">
      <c r="A12789" s="103"/>
      <c r="B12789" s="104"/>
      <c r="C12789" s="104"/>
      <c r="E12789" s="107" t="str">
        <f aca="false">IF($C12789="","",IFERROR(INDEX(المنيو!$C$2:$C$500,MATCH($C12789,المنيو!$B$2:$B$500,0)),0))</f>
        <v/>
      </c>
      <c r="F12789" s="107" t="str">
        <f aca="false">IF($C12789="","",$D12789*$E12789)</f>
        <v/>
      </c>
      <c r="G12789" s="107" t="str">
        <f aca="false">IF($C12789="","",$D12789*IFERROR(INDEX('تحليل التكلفة والسعر'!$C$2:$C$700,MATCH($C12789,'تحليل التكلفة والسعر'!$B$2:$B$700,0)),0))</f>
        <v/>
      </c>
    </row>
    <row r="12790" customFormat="false" ht="15" hidden="false" customHeight="false" outlineLevel="0" collapsed="false">
      <c r="A12790" s="103"/>
      <c r="B12790" s="104"/>
      <c r="C12790" s="104"/>
      <c r="E12790" s="107" t="str">
        <f aca="false">IF($C12790="","",IFERROR(INDEX(المنيو!$C$2:$C$500,MATCH($C12790,المنيو!$B$2:$B$500,0)),0))</f>
        <v/>
      </c>
      <c r="F12790" s="107" t="str">
        <f aca="false">IF($C12790="","",$D12790*$E12790)</f>
        <v/>
      </c>
      <c r="G12790" s="107" t="str">
        <f aca="false">IF($C12790="","",$D12790*IFERROR(INDEX('تحليل التكلفة والسعر'!$C$2:$C$700,MATCH($C12790,'تحليل التكلفة والسعر'!$B$2:$B$700,0)),0))</f>
        <v/>
      </c>
    </row>
    <row r="12791" customFormat="false" ht="15" hidden="false" customHeight="false" outlineLevel="0" collapsed="false">
      <c r="A12791" s="103"/>
      <c r="B12791" s="104"/>
      <c r="C12791" s="104"/>
      <c r="E12791" s="107" t="str">
        <f aca="false">IF($C12791="","",IFERROR(INDEX(المنيو!$C$2:$C$500,MATCH($C12791,المنيو!$B$2:$B$500,0)),0))</f>
        <v/>
      </c>
      <c r="F12791" s="107" t="str">
        <f aca="false">IF($C12791="","",$D12791*$E12791)</f>
        <v/>
      </c>
      <c r="G12791" s="107" t="str">
        <f aca="false">IF($C12791="","",$D12791*IFERROR(INDEX('تحليل التكلفة والسعر'!$C$2:$C$700,MATCH($C12791,'تحليل التكلفة والسعر'!$B$2:$B$700,0)),0))</f>
        <v/>
      </c>
    </row>
    <row r="12792" customFormat="false" ht="15" hidden="false" customHeight="false" outlineLevel="0" collapsed="false">
      <c r="A12792" s="103"/>
      <c r="B12792" s="104"/>
      <c r="C12792" s="104"/>
      <c r="E12792" s="107" t="str">
        <f aca="false">IF($C12792="","",IFERROR(INDEX(المنيو!$C$2:$C$500,MATCH($C12792,المنيو!$B$2:$B$500,0)),0))</f>
        <v/>
      </c>
      <c r="F12792" s="107" t="str">
        <f aca="false">IF($C12792="","",$D12792*$E12792)</f>
        <v/>
      </c>
      <c r="G12792" s="107" t="str">
        <f aca="false">IF($C12792="","",$D12792*IFERROR(INDEX('تحليل التكلفة والسعر'!$C$2:$C$700,MATCH($C12792,'تحليل التكلفة والسعر'!$B$2:$B$700,0)),0))</f>
        <v/>
      </c>
    </row>
    <row r="12793" customFormat="false" ht="15" hidden="false" customHeight="false" outlineLevel="0" collapsed="false">
      <c r="A12793" s="103"/>
      <c r="B12793" s="104"/>
      <c r="C12793" s="104"/>
      <c r="E12793" s="107" t="str">
        <f aca="false">IF($C12793="","",IFERROR(INDEX(المنيو!$C$2:$C$500,MATCH($C12793,المنيو!$B$2:$B$500,0)),0))</f>
        <v/>
      </c>
      <c r="F12793" s="107" t="str">
        <f aca="false">IF($C12793="","",$D12793*$E12793)</f>
        <v/>
      </c>
      <c r="G12793" s="107" t="str">
        <f aca="false">IF($C12793="","",$D12793*IFERROR(INDEX('تحليل التكلفة والسعر'!$C$2:$C$700,MATCH($C12793,'تحليل التكلفة والسعر'!$B$2:$B$700,0)),0))</f>
        <v/>
      </c>
    </row>
    <row r="12794" customFormat="false" ht="15" hidden="false" customHeight="false" outlineLevel="0" collapsed="false">
      <c r="A12794" s="103"/>
      <c r="B12794" s="104"/>
      <c r="C12794" s="104"/>
      <c r="E12794" s="107" t="str">
        <f aca="false">IF($C12794="","",IFERROR(INDEX(المنيو!$C$2:$C$500,MATCH($C12794,المنيو!$B$2:$B$500,0)),0))</f>
        <v/>
      </c>
      <c r="F12794" s="107" t="str">
        <f aca="false">IF($C12794="","",$D12794*$E12794)</f>
        <v/>
      </c>
      <c r="G12794" s="107" t="str">
        <f aca="false">IF($C12794="","",$D12794*IFERROR(INDEX('تحليل التكلفة والسعر'!$C$2:$C$700,MATCH($C12794,'تحليل التكلفة والسعر'!$B$2:$B$700,0)),0))</f>
        <v/>
      </c>
    </row>
    <row r="12795" customFormat="false" ht="15" hidden="false" customHeight="false" outlineLevel="0" collapsed="false">
      <c r="A12795" s="103"/>
      <c r="B12795" s="104"/>
      <c r="C12795" s="104"/>
      <c r="E12795" s="107" t="str">
        <f aca="false">IF($C12795="","",IFERROR(INDEX(المنيو!$C$2:$C$500,MATCH($C12795,المنيو!$B$2:$B$500,0)),0))</f>
        <v/>
      </c>
      <c r="F12795" s="107" t="str">
        <f aca="false">IF($C12795="","",$D12795*$E12795)</f>
        <v/>
      </c>
      <c r="G12795" s="107" t="str">
        <f aca="false">IF($C12795="","",$D12795*IFERROR(INDEX('تحليل التكلفة والسعر'!$C$2:$C$700,MATCH($C12795,'تحليل التكلفة والسعر'!$B$2:$B$700,0)),0))</f>
        <v/>
      </c>
    </row>
    <row r="12796" customFormat="false" ht="15" hidden="false" customHeight="false" outlineLevel="0" collapsed="false">
      <c r="A12796" s="103"/>
      <c r="B12796" s="104"/>
      <c r="C12796" s="104"/>
      <c r="E12796" s="107" t="str">
        <f aca="false">IF($C12796="","",IFERROR(INDEX(المنيو!$C$2:$C$500,MATCH($C12796,المنيو!$B$2:$B$500,0)),0))</f>
        <v/>
      </c>
      <c r="F12796" s="107" t="str">
        <f aca="false">IF($C12796="","",$D12796*$E12796)</f>
        <v/>
      </c>
      <c r="G12796" s="107" t="str">
        <f aca="false">IF($C12796="","",$D12796*IFERROR(INDEX('تحليل التكلفة والسعر'!$C$2:$C$700,MATCH($C12796,'تحليل التكلفة والسعر'!$B$2:$B$700,0)),0))</f>
        <v/>
      </c>
    </row>
    <row r="12797" customFormat="false" ht="15" hidden="false" customHeight="false" outlineLevel="0" collapsed="false">
      <c r="A12797" s="103"/>
      <c r="B12797" s="104"/>
      <c r="C12797" s="104"/>
      <c r="E12797" s="107" t="str">
        <f aca="false">IF($C12797="","",IFERROR(INDEX(المنيو!$C$2:$C$500,MATCH($C12797,المنيو!$B$2:$B$500,0)),0))</f>
        <v/>
      </c>
      <c r="F12797" s="107" t="str">
        <f aca="false">IF($C12797="","",$D12797*$E12797)</f>
        <v/>
      </c>
      <c r="G12797" s="107" t="str">
        <f aca="false">IF($C12797="","",$D12797*IFERROR(INDEX('تحليل التكلفة والسعر'!$C$2:$C$700,MATCH($C12797,'تحليل التكلفة والسعر'!$B$2:$B$700,0)),0))</f>
        <v/>
      </c>
    </row>
    <row r="12798" customFormat="false" ht="15" hidden="false" customHeight="false" outlineLevel="0" collapsed="false">
      <c r="A12798" s="103"/>
      <c r="B12798" s="104"/>
      <c r="C12798" s="104"/>
      <c r="E12798" s="107" t="str">
        <f aca="false">IF($C12798="","",IFERROR(INDEX(المنيو!$C$2:$C$500,MATCH($C12798,المنيو!$B$2:$B$500,0)),0))</f>
        <v/>
      </c>
      <c r="F12798" s="107" t="str">
        <f aca="false">IF($C12798="","",$D12798*$E12798)</f>
        <v/>
      </c>
      <c r="G12798" s="107" t="str">
        <f aca="false">IF($C12798="","",$D12798*IFERROR(INDEX('تحليل التكلفة والسعر'!$C$2:$C$700,MATCH($C12798,'تحليل التكلفة والسعر'!$B$2:$B$700,0)),0))</f>
        <v/>
      </c>
    </row>
    <row r="12799" customFormat="false" ht="15" hidden="false" customHeight="false" outlineLevel="0" collapsed="false">
      <c r="A12799" s="103"/>
      <c r="B12799" s="104"/>
      <c r="C12799" s="104"/>
      <c r="E12799" s="107" t="str">
        <f aca="false">IF($C12799="","",IFERROR(INDEX(المنيو!$C$2:$C$500,MATCH($C12799,المنيو!$B$2:$B$500,0)),0))</f>
        <v/>
      </c>
      <c r="F12799" s="107" t="str">
        <f aca="false">IF($C12799="","",$D12799*$E12799)</f>
        <v/>
      </c>
      <c r="G12799" s="107" t="str">
        <f aca="false">IF($C12799="","",$D12799*IFERROR(INDEX('تحليل التكلفة والسعر'!$C$2:$C$700,MATCH($C12799,'تحليل التكلفة والسعر'!$B$2:$B$700,0)),0))</f>
        <v/>
      </c>
    </row>
    <row r="12800" customFormat="false" ht="15" hidden="false" customHeight="false" outlineLevel="0" collapsed="false">
      <c r="A12800" s="103"/>
      <c r="B12800" s="104"/>
      <c r="C12800" s="104"/>
      <c r="E12800" s="107" t="str">
        <f aca="false">IF($C12800="","",IFERROR(INDEX(المنيو!$C$2:$C$500,MATCH($C12800,المنيو!$B$2:$B$500,0)),0))</f>
        <v/>
      </c>
      <c r="F12800" s="107" t="str">
        <f aca="false">IF($C12800="","",$D12800*$E12800)</f>
        <v/>
      </c>
      <c r="G12800" s="107" t="str">
        <f aca="false">IF($C12800="","",$D12800*IFERROR(INDEX('تحليل التكلفة والسعر'!$C$2:$C$700,MATCH($C12800,'تحليل التكلفة والسعر'!$B$2:$B$700,0)),0))</f>
        <v/>
      </c>
    </row>
    <row r="12801" customFormat="false" ht="15" hidden="false" customHeight="false" outlineLevel="0" collapsed="false">
      <c r="A12801" s="103"/>
      <c r="B12801" s="104"/>
      <c r="C12801" s="104"/>
      <c r="E12801" s="107" t="str">
        <f aca="false">IF($C12801="","",IFERROR(INDEX(المنيو!$C$2:$C$500,MATCH($C12801,المنيو!$B$2:$B$500,0)),0))</f>
        <v/>
      </c>
      <c r="F12801" s="107" t="str">
        <f aca="false">IF($C12801="","",$D12801*$E12801)</f>
        <v/>
      </c>
      <c r="G12801" s="107" t="str">
        <f aca="false">IF($C12801="","",$D12801*IFERROR(INDEX('تحليل التكلفة والسعر'!$C$2:$C$700,MATCH($C12801,'تحليل التكلفة والسعر'!$B$2:$B$700,0)),0))</f>
        <v/>
      </c>
    </row>
    <row r="12802" customFormat="false" ht="15" hidden="false" customHeight="false" outlineLevel="0" collapsed="false">
      <c r="A12802" s="103"/>
      <c r="B12802" s="104"/>
      <c r="C12802" s="104"/>
      <c r="E12802" s="107" t="str">
        <f aca="false">IF($C12802="","",IFERROR(INDEX(المنيو!$C$2:$C$500,MATCH($C12802,المنيو!$B$2:$B$500,0)),0))</f>
        <v/>
      </c>
      <c r="F12802" s="107" t="str">
        <f aca="false">IF($C12802="","",$D12802*$E12802)</f>
        <v/>
      </c>
      <c r="G12802" s="107" t="str">
        <f aca="false">IF($C12802="","",$D12802*IFERROR(INDEX('تحليل التكلفة والسعر'!$C$2:$C$700,MATCH($C12802,'تحليل التكلفة والسعر'!$B$2:$B$700,0)),0))</f>
        <v/>
      </c>
    </row>
    <row r="12803" customFormat="false" ht="15" hidden="false" customHeight="false" outlineLevel="0" collapsed="false">
      <c r="A12803" s="103"/>
      <c r="B12803" s="104"/>
      <c r="C12803" s="104"/>
      <c r="E12803" s="107" t="str">
        <f aca="false">IF($C12803="","",IFERROR(INDEX(المنيو!$C$2:$C$500,MATCH($C12803,المنيو!$B$2:$B$500,0)),0))</f>
        <v/>
      </c>
      <c r="F12803" s="107" t="str">
        <f aca="false">IF($C12803="","",$D12803*$E12803)</f>
        <v/>
      </c>
      <c r="G12803" s="107" t="str">
        <f aca="false">IF($C12803="","",$D12803*IFERROR(INDEX('تحليل التكلفة والسعر'!$C$2:$C$700,MATCH($C12803,'تحليل التكلفة والسعر'!$B$2:$B$700,0)),0))</f>
        <v/>
      </c>
    </row>
    <row r="12804" customFormat="false" ht="15" hidden="false" customHeight="false" outlineLevel="0" collapsed="false">
      <c r="A12804" s="103"/>
      <c r="B12804" s="104"/>
      <c r="C12804" s="104"/>
      <c r="E12804" s="107" t="str">
        <f aca="false">IF($C12804="","",IFERROR(INDEX(المنيو!$C$2:$C$500,MATCH($C12804,المنيو!$B$2:$B$500,0)),0))</f>
        <v/>
      </c>
      <c r="F12804" s="107" t="str">
        <f aca="false">IF($C12804="","",$D12804*$E12804)</f>
        <v/>
      </c>
      <c r="G12804" s="107" t="str">
        <f aca="false">IF($C12804="","",$D12804*IFERROR(INDEX('تحليل التكلفة والسعر'!$C$2:$C$700,MATCH($C12804,'تحليل التكلفة والسعر'!$B$2:$B$700,0)),0))</f>
        <v/>
      </c>
    </row>
    <row r="12805" customFormat="false" ht="15" hidden="false" customHeight="false" outlineLevel="0" collapsed="false">
      <c r="A12805" s="103"/>
      <c r="B12805" s="104"/>
      <c r="C12805" s="104"/>
      <c r="E12805" s="107" t="str">
        <f aca="false">IF($C12805="","",IFERROR(INDEX(المنيو!$C$2:$C$500,MATCH($C12805,المنيو!$B$2:$B$500,0)),0))</f>
        <v/>
      </c>
      <c r="F12805" s="107" t="str">
        <f aca="false">IF($C12805="","",$D12805*$E12805)</f>
        <v/>
      </c>
      <c r="G12805" s="107" t="str">
        <f aca="false">IF($C12805="","",$D12805*IFERROR(INDEX('تحليل التكلفة والسعر'!$C$2:$C$700,MATCH($C12805,'تحليل التكلفة والسعر'!$B$2:$B$700,0)),0))</f>
        <v/>
      </c>
    </row>
    <row r="12806" customFormat="false" ht="15" hidden="false" customHeight="false" outlineLevel="0" collapsed="false">
      <c r="A12806" s="103"/>
      <c r="B12806" s="104"/>
      <c r="C12806" s="104"/>
      <c r="E12806" s="107" t="str">
        <f aca="false">IF($C12806="","",IFERROR(INDEX(المنيو!$C$2:$C$500,MATCH($C12806,المنيو!$B$2:$B$500,0)),0))</f>
        <v/>
      </c>
      <c r="F12806" s="107" t="str">
        <f aca="false">IF($C12806="","",$D12806*$E12806)</f>
        <v/>
      </c>
      <c r="G12806" s="107" t="str">
        <f aca="false">IF($C12806="","",$D12806*IFERROR(INDEX('تحليل التكلفة والسعر'!$C$2:$C$700,MATCH($C12806,'تحليل التكلفة والسعر'!$B$2:$B$700,0)),0))</f>
        <v/>
      </c>
    </row>
    <row r="12807" customFormat="false" ht="15" hidden="false" customHeight="false" outlineLevel="0" collapsed="false">
      <c r="A12807" s="103"/>
      <c r="B12807" s="104"/>
      <c r="C12807" s="104"/>
      <c r="E12807" s="107" t="str">
        <f aca="false">IF($C12807="","",IFERROR(INDEX(المنيو!$C$2:$C$500,MATCH($C12807,المنيو!$B$2:$B$500,0)),0))</f>
        <v/>
      </c>
      <c r="F12807" s="107" t="str">
        <f aca="false">IF($C12807="","",$D12807*$E12807)</f>
        <v/>
      </c>
      <c r="G12807" s="107" t="str">
        <f aca="false">IF($C12807="","",$D12807*IFERROR(INDEX('تحليل التكلفة والسعر'!$C$2:$C$700,MATCH($C12807,'تحليل التكلفة والسعر'!$B$2:$B$700,0)),0))</f>
        <v/>
      </c>
    </row>
    <row r="12808" customFormat="false" ht="15" hidden="false" customHeight="false" outlineLevel="0" collapsed="false">
      <c r="A12808" s="103"/>
      <c r="B12808" s="104"/>
      <c r="C12808" s="104"/>
      <c r="E12808" s="107" t="str">
        <f aca="false">IF($C12808="","",IFERROR(INDEX(المنيو!$C$2:$C$500,MATCH($C12808,المنيو!$B$2:$B$500,0)),0))</f>
        <v/>
      </c>
      <c r="F12808" s="107" t="str">
        <f aca="false">IF($C12808="","",$D12808*$E12808)</f>
        <v/>
      </c>
      <c r="G12808" s="107" t="str">
        <f aca="false">IF($C12808="","",$D12808*IFERROR(INDEX('تحليل التكلفة والسعر'!$C$2:$C$700,MATCH($C12808,'تحليل التكلفة والسعر'!$B$2:$B$700,0)),0))</f>
        <v/>
      </c>
    </row>
    <row r="12809" customFormat="false" ht="15" hidden="false" customHeight="false" outlineLevel="0" collapsed="false">
      <c r="A12809" s="103"/>
      <c r="B12809" s="104"/>
      <c r="C12809" s="104"/>
      <c r="E12809" s="107" t="str">
        <f aca="false">IF($C12809="","",IFERROR(INDEX(المنيو!$C$2:$C$500,MATCH($C12809,المنيو!$B$2:$B$500,0)),0))</f>
        <v/>
      </c>
      <c r="F12809" s="107" t="str">
        <f aca="false">IF($C12809="","",$D12809*$E12809)</f>
        <v/>
      </c>
      <c r="G12809" s="107" t="str">
        <f aca="false">IF($C12809="","",$D12809*IFERROR(INDEX('تحليل التكلفة والسعر'!$C$2:$C$700,MATCH($C12809,'تحليل التكلفة والسعر'!$B$2:$B$700,0)),0))</f>
        <v/>
      </c>
    </row>
    <row r="12810" customFormat="false" ht="15" hidden="false" customHeight="false" outlineLevel="0" collapsed="false">
      <c r="A12810" s="103"/>
      <c r="B12810" s="104"/>
      <c r="C12810" s="104"/>
      <c r="E12810" s="107" t="str">
        <f aca="false">IF($C12810="","",IFERROR(INDEX(المنيو!$C$2:$C$500,MATCH($C12810,المنيو!$B$2:$B$500,0)),0))</f>
        <v/>
      </c>
      <c r="F12810" s="107" t="str">
        <f aca="false">IF($C12810="","",$D12810*$E12810)</f>
        <v/>
      </c>
      <c r="G12810" s="107" t="str">
        <f aca="false">IF($C12810="","",$D12810*IFERROR(INDEX('تحليل التكلفة والسعر'!$C$2:$C$700,MATCH($C12810,'تحليل التكلفة والسعر'!$B$2:$B$700,0)),0))</f>
        <v/>
      </c>
    </row>
    <row r="12811" customFormat="false" ht="15" hidden="false" customHeight="false" outlineLevel="0" collapsed="false">
      <c r="A12811" s="103"/>
      <c r="B12811" s="104"/>
      <c r="C12811" s="104"/>
      <c r="E12811" s="107" t="str">
        <f aca="false">IF($C12811="","",IFERROR(INDEX(المنيو!$C$2:$C$500,MATCH($C12811,المنيو!$B$2:$B$500,0)),0))</f>
        <v/>
      </c>
      <c r="F12811" s="107" t="str">
        <f aca="false">IF($C12811="","",$D12811*$E12811)</f>
        <v/>
      </c>
      <c r="G12811" s="107" t="str">
        <f aca="false">IF($C12811="","",$D12811*IFERROR(INDEX('تحليل التكلفة والسعر'!$C$2:$C$700,MATCH($C12811,'تحليل التكلفة والسعر'!$B$2:$B$700,0)),0))</f>
        <v/>
      </c>
    </row>
    <row r="12812" customFormat="false" ht="15" hidden="false" customHeight="false" outlineLevel="0" collapsed="false">
      <c r="A12812" s="103"/>
      <c r="B12812" s="104"/>
      <c r="C12812" s="104"/>
      <c r="E12812" s="107" t="str">
        <f aca="false">IF($C12812="","",IFERROR(INDEX(المنيو!$C$2:$C$500,MATCH($C12812,المنيو!$B$2:$B$500,0)),0))</f>
        <v/>
      </c>
      <c r="F12812" s="107" t="str">
        <f aca="false">IF($C12812="","",$D12812*$E12812)</f>
        <v/>
      </c>
      <c r="G12812" s="107" t="str">
        <f aca="false">IF($C12812="","",$D12812*IFERROR(INDEX('تحليل التكلفة والسعر'!$C$2:$C$700,MATCH($C12812,'تحليل التكلفة والسعر'!$B$2:$B$700,0)),0))</f>
        <v/>
      </c>
    </row>
    <row r="12813" customFormat="false" ht="15" hidden="false" customHeight="false" outlineLevel="0" collapsed="false">
      <c r="A12813" s="103"/>
      <c r="B12813" s="104"/>
      <c r="C12813" s="104"/>
      <c r="E12813" s="107" t="str">
        <f aca="false">IF($C12813="","",IFERROR(INDEX(المنيو!$C$2:$C$500,MATCH($C12813,المنيو!$B$2:$B$500,0)),0))</f>
        <v/>
      </c>
      <c r="F12813" s="107" t="str">
        <f aca="false">IF($C12813="","",$D12813*$E12813)</f>
        <v/>
      </c>
      <c r="G12813" s="107" t="str">
        <f aca="false">IF($C12813="","",$D12813*IFERROR(INDEX('تحليل التكلفة والسعر'!$C$2:$C$700,MATCH($C12813,'تحليل التكلفة والسعر'!$B$2:$B$700,0)),0))</f>
        <v/>
      </c>
    </row>
    <row r="12814" customFormat="false" ht="15" hidden="false" customHeight="false" outlineLevel="0" collapsed="false">
      <c r="A12814" s="103"/>
      <c r="B12814" s="104"/>
      <c r="C12814" s="104"/>
      <c r="E12814" s="107" t="str">
        <f aca="false">IF($C12814="","",IFERROR(INDEX(المنيو!$C$2:$C$500,MATCH($C12814,المنيو!$B$2:$B$500,0)),0))</f>
        <v/>
      </c>
      <c r="F12814" s="107" t="str">
        <f aca="false">IF($C12814="","",$D12814*$E12814)</f>
        <v/>
      </c>
      <c r="G12814" s="107" t="str">
        <f aca="false">IF($C12814="","",$D12814*IFERROR(INDEX('تحليل التكلفة والسعر'!$C$2:$C$700,MATCH($C12814,'تحليل التكلفة والسعر'!$B$2:$B$700,0)),0))</f>
        <v/>
      </c>
    </row>
    <row r="12815" customFormat="false" ht="15" hidden="false" customHeight="false" outlineLevel="0" collapsed="false">
      <c r="A12815" s="103"/>
      <c r="B12815" s="104"/>
      <c r="C12815" s="104"/>
      <c r="E12815" s="107" t="str">
        <f aca="false">IF($C12815="","",IFERROR(INDEX(المنيو!$C$2:$C$500,MATCH($C12815,المنيو!$B$2:$B$500,0)),0))</f>
        <v/>
      </c>
      <c r="F12815" s="107" t="str">
        <f aca="false">IF($C12815="","",$D12815*$E12815)</f>
        <v/>
      </c>
      <c r="G12815" s="107" t="str">
        <f aca="false">IF($C12815="","",$D12815*IFERROR(INDEX('تحليل التكلفة والسعر'!$C$2:$C$700,MATCH($C12815,'تحليل التكلفة والسعر'!$B$2:$B$700,0)),0))</f>
        <v/>
      </c>
    </row>
    <row r="12816" customFormat="false" ht="15" hidden="false" customHeight="false" outlineLevel="0" collapsed="false">
      <c r="A12816" s="103"/>
      <c r="B12816" s="104"/>
      <c r="C12816" s="104"/>
      <c r="E12816" s="107" t="str">
        <f aca="false">IF($C12816="","",IFERROR(INDEX(المنيو!$C$2:$C$500,MATCH($C12816,المنيو!$B$2:$B$500,0)),0))</f>
        <v/>
      </c>
      <c r="F12816" s="107" t="str">
        <f aca="false">IF($C12816="","",$D12816*$E12816)</f>
        <v/>
      </c>
      <c r="G12816" s="107" t="str">
        <f aca="false">IF($C12816="","",$D12816*IFERROR(INDEX('تحليل التكلفة والسعر'!$C$2:$C$700,MATCH($C12816,'تحليل التكلفة والسعر'!$B$2:$B$700,0)),0))</f>
        <v/>
      </c>
    </row>
    <row r="12817" customFormat="false" ht="15" hidden="false" customHeight="false" outlineLevel="0" collapsed="false">
      <c r="A12817" s="103"/>
      <c r="B12817" s="104"/>
      <c r="C12817" s="104"/>
      <c r="E12817" s="107" t="str">
        <f aca="false">IF($C12817="","",IFERROR(INDEX(المنيو!$C$2:$C$500,MATCH($C12817,المنيو!$B$2:$B$500,0)),0))</f>
        <v/>
      </c>
      <c r="F12817" s="107" t="str">
        <f aca="false">IF($C12817="","",$D12817*$E12817)</f>
        <v/>
      </c>
      <c r="G12817" s="107" t="str">
        <f aca="false">IF($C12817="","",$D12817*IFERROR(INDEX('تحليل التكلفة والسعر'!$C$2:$C$700,MATCH($C12817,'تحليل التكلفة والسعر'!$B$2:$B$700,0)),0))</f>
        <v/>
      </c>
    </row>
    <row r="12818" customFormat="false" ht="15" hidden="false" customHeight="false" outlineLevel="0" collapsed="false">
      <c r="A12818" s="103"/>
      <c r="B12818" s="104"/>
      <c r="C12818" s="104"/>
      <c r="E12818" s="107" t="str">
        <f aca="false">IF($C12818="","",IFERROR(INDEX(المنيو!$C$2:$C$500,MATCH($C12818,المنيو!$B$2:$B$500,0)),0))</f>
        <v/>
      </c>
      <c r="F12818" s="107" t="str">
        <f aca="false">IF($C12818="","",$D12818*$E12818)</f>
        <v/>
      </c>
      <c r="G12818" s="107" t="str">
        <f aca="false">IF($C12818="","",$D12818*IFERROR(INDEX('تحليل التكلفة والسعر'!$C$2:$C$700,MATCH($C12818,'تحليل التكلفة والسعر'!$B$2:$B$700,0)),0))</f>
        <v/>
      </c>
    </row>
    <row r="12819" customFormat="false" ht="15" hidden="false" customHeight="false" outlineLevel="0" collapsed="false">
      <c r="A12819" s="103"/>
      <c r="B12819" s="104"/>
      <c r="C12819" s="104"/>
      <c r="E12819" s="107" t="str">
        <f aca="false">IF($C12819="","",IFERROR(INDEX(المنيو!$C$2:$C$500,MATCH($C12819,المنيو!$B$2:$B$500,0)),0))</f>
        <v/>
      </c>
      <c r="F12819" s="107" t="str">
        <f aca="false">IF($C12819="","",$D12819*$E12819)</f>
        <v/>
      </c>
      <c r="G12819" s="107" t="str">
        <f aca="false">IF($C12819="","",$D12819*IFERROR(INDEX('تحليل التكلفة والسعر'!$C$2:$C$700,MATCH($C12819,'تحليل التكلفة والسعر'!$B$2:$B$700,0)),0))</f>
        <v/>
      </c>
    </row>
    <row r="12820" customFormat="false" ht="15" hidden="false" customHeight="false" outlineLevel="0" collapsed="false">
      <c r="A12820" s="103"/>
      <c r="B12820" s="104"/>
      <c r="C12820" s="104"/>
      <c r="E12820" s="107" t="str">
        <f aca="false">IF($C12820="","",IFERROR(INDEX(المنيو!$C$2:$C$500,MATCH($C12820,المنيو!$B$2:$B$500,0)),0))</f>
        <v/>
      </c>
      <c r="F12820" s="107" t="str">
        <f aca="false">IF($C12820="","",$D12820*$E12820)</f>
        <v/>
      </c>
      <c r="G12820" s="107" t="str">
        <f aca="false">IF($C12820="","",$D12820*IFERROR(INDEX('تحليل التكلفة والسعر'!$C$2:$C$700,MATCH($C12820,'تحليل التكلفة والسعر'!$B$2:$B$700,0)),0))</f>
        <v/>
      </c>
    </row>
    <row r="12821" customFormat="false" ht="15" hidden="false" customHeight="false" outlineLevel="0" collapsed="false">
      <c r="A12821" s="103"/>
      <c r="B12821" s="104"/>
      <c r="C12821" s="104"/>
      <c r="E12821" s="107" t="str">
        <f aca="false">IF($C12821="","",IFERROR(INDEX(المنيو!$C$2:$C$500,MATCH($C12821,المنيو!$B$2:$B$500,0)),0))</f>
        <v/>
      </c>
      <c r="F12821" s="107" t="str">
        <f aca="false">IF($C12821="","",$D12821*$E12821)</f>
        <v/>
      </c>
      <c r="G12821" s="107" t="str">
        <f aca="false">IF($C12821="","",$D12821*IFERROR(INDEX('تحليل التكلفة والسعر'!$C$2:$C$700,MATCH($C12821,'تحليل التكلفة والسعر'!$B$2:$B$700,0)),0))</f>
        <v/>
      </c>
    </row>
    <row r="12822" customFormat="false" ht="15" hidden="false" customHeight="false" outlineLevel="0" collapsed="false">
      <c r="A12822" s="103"/>
      <c r="B12822" s="104"/>
      <c r="C12822" s="104"/>
      <c r="E12822" s="107" t="str">
        <f aca="false">IF($C12822="","",IFERROR(INDEX(المنيو!$C$2:$C$500,MATCH($C12822,المنيو!$B$2:$B$500,0)),0))</f>
        <v/>
      </c>
      <c r="F12822" s="107" t="str">
        <f aca="false">IF($C12822="","",$D12822*$E12822)</f>
        <v/>
      </c>
      <c r="G12822" s="107" t="str">
        <f aca="false">IF($C12822="","",$D12822*IFERROR(INDEX('تحليل التكلفة والسعر'!$C$2:$C$700,MATCH($C12822,'تحليل التكلفة والسعر'!$B$2:$B$700,0)),0))</f>
        <v/>
      </c>
    </row>
    <row r="12823" customFormat="false" ht="15" hidden="false" customHeight="false" outlineLevel="0" collapsed="false">
      <c r="A12823" s="103"/>
      <c r="B12823" s="104"/>
      <c r="C12823" s="104"/>
      <c r="E12823" s="107" t="str">
        <f aca="false">IF($C12823="","",IFERROR(INDEX(المنيو!$C$2:$C$500,MATCH($C12823,المنيو!$B$2:$B$500,0)),0))</f>
        <v/>
      </c>
      <c r="F12823" s="107" t="str">
        <f aca="false">IF($C12823="","",$D12823*$E12823)</f>
        <v/>
      </c>
      <c r="G12823" s="107" t="str">
        <f aca="false">IF($C12823="","",$D12823*IFERROR(INDEX('تحليل التكلفة والسعر'!$C$2:$C$700,MATCH($C12823,'تحليل التكلفة والسعر'!$B$2:$B$700,0)),0))</f>
        <v/>
      </c>
    </row>
    <row r="12824" customFormat="false" ht="15" hidden="false" customHeight="false" outlineLevel="0" collapsed="false">
      <c r="A12824" s="103"/>
      <c r="B12824" s="104"/>
      <c r="C12824" s="104"/>
      <c r="E12824" s="107" t="str">
        <f aca="false">IF($C12824="","",IFERROR(INDEX(المنيو!$C$2:$C$500,MATCH($C12824,المنيو!$B$2:$B$500,0)),0))</f>
        <v/>
      </c>
      <c r="F12824" s="107" t="str">
        <f aca="false">IF($C12824="","",$D12824*$E12824)</f>
        <v/>
      </c>
      <c r="G12824" s="107" t="str">
        <f aca="false">IF($C12824="","",$D12824*IFERROR(INDEX('تحليل التكلفة والسعر'!$C$2:$C$700,MATCH($C12824,'تحليل التكلفة والسعر'!$B$2:$B$700,0)),0))</f>
        <v/>
      </c>
    </row>
    <row r="12825" customFormat="false" ht="15" hidden="false" customHeight="false" outlineLevel="0" collapsed="false">
      <c r="A12825" s="103"/>
      <c r="B12825" s="104"/>
      <c r="C12825" s="104"/>
      <c r="E12825" s="107" t="str">
        <f aca="false">IF($C12825="","",IFERROR(INDEX(المنيو!$C$2:$C$500,MATCH($C12825,المنيو!$B$2:$B$500,0)),0))</f>
        <v/>
      </c>
      <c r="F12825" s="107" t="str">
        <f aca="false">IF($C12825="","",$D12825*$E12825)</f>
        <v/>
      </c>
      <c r="G12825" s="107" t="str">
        <f aca="false">IF($C12825="","",$D12825*IFERROR(INDEX('تحليل التكلفة والسعر'!$C$2:$C$700,MATCH($C12825,'تحليل التكلفة والسعر'!$B$2:$B$700,0)),0))</f>
        <v/>
      </c>
    </row>
    <row r="12826" customFormat="false" ht="15" hidden="false" customHeight="false" outlineLevel="0" collapsed="false">
      <c r="A12826" s="103"/>
      <c r="B12826" s="104"/>
      <c r="C12826" s="104"/>
      <c r="E12826" s="107" t="str">
        <f aca="false">IF($C12826="","",IFERROR(INDEX(المنيو!$C$2:$C$500,MATCH($C12826,المنيو!$B$2:$B$500,0)),0))</f>
        <v/>
      </c>
      <c r="F12826" s="107" t="str">
        <f aca="false">IF($C12826="","",$D12826*$E12826)</f>
        <v/>
      </c>
      <c r="G12826" s="107" t="str">
        <f aca="false">IF($C12826="","",$D12826*IFERROR(INDEX('تحليل التكلفة والسعر'!$C$2:$C$700,MATCH($C12826,'تحليل التكلفة والسعر'!$B$2:$B$700,0)),0))</f>
        <v/>
      </c>
    </row>
    <row r="12827" customFormat="false" ht="15" hidden="false" customHeight="false" outlineLevel="0" collapsed="false">
      <c r="A12827" s="103"/>
      <c r="B12827" s="104"/>
      <c r="C12827" s="104"/>
      <c r="E12827" s="107" t="str">
        <f aca="false">IF($C12827="","",IFERROR(INDEX(المنيو!$C$2:$C$500,MATCH($C12827,المنيو!$B$2:$B$500,0)),0))</f>
        <v/>
      </c>
      <c r="F12827" s="107" t="str">
        <f aca="false">IF($C12827="","",$D12827*$E12827)</f>
        <v/>
      </c>
      <c r="G12827" s="107" t="str">
        <f aca="false">IF($C12827="","",$D12827*IFERROR(INDEX('تحليل التكلفة والسعر'!$C$2:$C$700,MATCH($C12827,'تحليل التكلفة والسعر'!$B$2:$B$700,0)),0))</f>
        <v/>
      </c>
    </row>
    <row r="12828" customFormat="false" ht="15" hidden="false" customHeight="false" outlineLevel="0" collapsed="false">
      <c r="A12828" s="103"/>
      <c r="B12828" s="104"/>
      <c r="C12828" s="104"/>
      <c r="E12828" s="107" t="str">
        <f aca="false">IF($C12828="","",IFERROR(INDEX(المنيو!$C$2:$C$500,MATCH($C12828,المنيو!$B$2:$B$500,0)),0))</f>
        <v/>
      </c>
      <c r="F12828" s="107" t="str">
        <f aca="false">IF($C12828="","",$D12828*$E12828)</f>
        <v/>
      </c>
      <c r="G12828" s="107" t="str">
        <f aca="false">IF($C12828="","",$D12828*IFERROR(INDEX('تحليل التكلفة والسعر'!$C$2:$C$700,MATCH($C12828,'تحليل التكلفة والسعر'!$B$2:$B$700,0)),0))</f>
        <v/>
      </c>
    </row>
    <row r="12829" customFormat="false" ht="15" hidden="false" customHeight="false" outlineLevel="0" collapsed="false">
      <c r="A12829" s="103"/>
      <c r="B12829" s="104"/>
      <c r="C12829" s="104"/>
      <c r="E12829" s="107" t="str">
        <f aca="false">IF($C12829="","",IFERROR(INDEX(المنيو!$C$2:$C$500,MATCH($C12829,المنيو!$B$2:$B$500,0)),0))</f>
        <v/>
      </c>
      <c r="F12829" s="107" t="str">
        <f aca="false">IF($C12829="","",$D12829*$E12829)</f>
        <v/>
      </c>
      <c r="G12829" s="107" t="str">
        <f aca="false">IF($C12829="","",$D12829*IFERROR(INDEX('تحليل التكلفة والسعر'!$C$2:$C$700,MATCH($C12829,'تحليل التكلفة والسعر'!$B$2:$B$700,0)),0))</f>
        <v/>
      </c>
    </row>
    <row r="12830" customFormat="false" ht="15" hidden="false" customHeight="false" outlineLevel="0" collapsed="false">
      <c r="A12830" s="103"/>
      <c r="B12830" s="104"/>
      <c r="C12830" s="104"/>
      <c r="E12830" s="107" t="str">
        <f aca="false">IF($C12830="","",IFERROR(INDEX(المنيو!$C$2:$C$500,MATCH($C12830,المنيو!$B$2:$B$500,0)),0))</f>
        <v/>
      </c>
      <c r="F12830" s="107" t="str">
        <f aca="false">IF($C12830="","",$D12830*$E12830)</f>
        <v/>
      </c>
      <c r="G12830" s="107" t="str">
        <f aca="false">IF($C12830="","",$D12830*IFERROR(INDEX('تحليل التكلفة والسعر'!$C$2:$C$700,MATCH($C12830,'تحليل التكلفة والسعر'!$B$2:$B$700,0)),0))</f>
        <v/>
      </c>
    </row>
    <row r="12831" customFormat="false" ht="15" hidden="false" customHeight="false" outlineLevel="0" collapsed="false">
      <c r="A12831" s="103"/>
      <c r="B12831" s="104"/>
      <c r="C12831" s="104"/>
      <c r="E12831" s="107" t="str">
        <f aca="false">IF($C12831="","",IFERROR(INDEX(المنيو!$C$2:$C$500,MATCH($C12831,المنيو!$B$2:$B$500,0)),0))</f>
        <v/>
      </c>
      <c r="F12831" s="107" t="str">
        <f aca="false">IF($C12831="","",$D12831*$E12831)</f>
        <v/>
      </c>
      <c r="G12831" s="107" t="str">
        <f aca="false">IF($C12831="","",$D12831*IFERROR(INDEX('تحليل التكلفة والسعر'!$C$2:$C$700,MATCH($C12831,'تحليل التكلفة والسعر'!$B$2:$B$700,0)),0))</f>
        <v/>
      </c>
    </row>
    <row r="12832" customFormat="false" ht="15" hidden="false" customHeight="false" outlineLevel="0" collapsed="false">
      <c r="A12832" s="103"/>
      <c r="B12832" s="104"/>
      <c r="C12832" s="104"/>
      <c r="E12832" s="107" t="str">
        <f aca="false">IF($C12832="","",IFERROR(INDEX(المنيو!$C$2:$C$500,MATCH($C12832,المنيو!$B$2:$B$500,0)),0))</f>
        <v/>
      </c>
      <c r="F12832" s="107" t="str">
        <f aca="false">IF($C12832="","",$D12832*$E12832)</f>
        <v/>
      </c>
      <c r="G12832" s="107" t="str">
        <f aca="false">IF($C12832="","",$D12832*IFERROR(INDEX('تحليل التكلفة والسعر'!$C$2:$C$700,MATCH($C12832,'تحليل التكلفة والسعر'!$B$2:$B$700,0)),0))</f>
        <v/>
      </c>
    </row>
    <row r="12833" customFormat="false" ht="15" hidden="false" customHeight="false" outlineLevel="0" collapsed="false">
      <c r="A12833" s="103"/>
      <c r="B12833" s="104"/>
      <c r="C12833" s="104"/>
      <c r="E12833" s="107" t="str">
        <f aca="false">IF($C12833="","",IFERROR(INDEX(المنيو!$C$2:$C$500,MATCH($C12833,المنيو!$B$2:$B$500,0)),0))</f>
        <v/>
      </c>
      <c r="F12833" s="107" t="str">
        <f aca="false">IF($C12833="","",$D12833*$E12833)</f>
        <v/>
      </c>
      <c r="G12833" s="107" t="str">
        <f aca="false">IF($C12833="","",$D12833*IFERROR(INDEX('تحليل التكلفة والسعر'!$C$2:$C$700,MATCH($C12833,'تحليل التكلفة والسعر'!$B$2:$B$700,0)),0))</f>
        <v/>
      </c>
    </row>
    <row r="12834" customFormat="false" ht="15" hidden="false" customHeight="false" outlineLevel="0" collapsed="false">
      <c r="A12834" s="103"/>
      <c r="B12834" s="104"/>
      <c r="C12834" s="104"/>
      <c r="E12834" s="107" t="str">
        <f aca="false">IF($C12834="","",IFERROR(INDEX(المنيو!$C$2:$C$500,MATCH($C12834,المنيو!$B$2:$B$500,0)),0))</f>
        <v/>
      </c>
      <c r="F12834" s="107" t="str">
        <f aca="false">IF($C12834="","",$D12834*$E12834)</f>
        <v/>
      </c>
      <c r="G12834" s="107" t="str">
        <f aca="false">IF($C12834="","",$D12834*IFERROR(INDEX('تحليل التكلفة والسعر'!$C$2:$C$700,MATCH($C12834,'تحليل التكلفة والسعر'!$B$2:$B$700,0)),0))</f>
        <v/>
      </c>
    </row>
    <row r="12835" customFormat="false" ht="15" hidden="false" customHeight="false" outlineLevel="0" collapsed="false">
      <c r="A12835" s="103"/>
      <c r="B12835" s="104"/>
      <c r="C12835" s="104"/>
      <c r="E12835" s="107" t="str">
        <f aca="false">IF($C12835="","",IFERROR(INDEX(المنيو!$C$2:$C$500,MATCH($C12835,المنيو!$B$2:$B$500,0)),0))</f>
        <v/>
      </c>
      <c r="F12835" s="107" t="str">
        <f aca="false">IF($C12835="","",$D12835*$E12835)</f>
        <v/>
      </c>
      <c r="G12835" s="107" t="str">
        <f aca="false">IF($C12835="","",$D12835*IFERROR(INDEX('تحليل التكلفة والسعر'!$C$2:$C$700,MATCH($C12835,'تحليل التكلفة والسعر'!$B$2:$B$700,0)),0))</f>
        <v/>
      </c>
    </row>
    <row r="12836" customFormat="false" ht="15" hidden="false" customHeight="false" outlineLevel="0" collapsed="false">
      <c r="A12836" s="103"/>
      <c r="B12836" s="104"/>
      <c r="C12836" s="104"/>
      <c r="E12836" s="107" t="str">
        <f aca="false">IF($C12836="","",IFERROR(INDEX(المنيو!$C$2:$C$500,MATCH($C12836,المنيو!$B$2:$B$500,0)),0))</f>
        <v/>
      </c>
      <c r="F12836" s="107" t="str">
        <f aca="false">IF($C12836="","",$D12836*$E12836)</f>
        <v/>
      </c>
      <c r="G12836" s="107" t="str">
        <f aca="false">IF($C12836="","",$D12836*IFERROR(INDEX('تحليل التكلفة والسعر'!$C$2:$C$700,MATCH($C12836,'تحليل التكلفة والسعر'!$B$2:$B$700,0)),0))</f>
        <v/>
      </c>
    </row>
    <row r="12837" customFormat="false" ht="15" hidden="false" customHeight="false" outlineLevel="0" collapsed="false">
      <c r="A12837" s="103"/>
      <c r="B12837" s="104"/>
      <c r="C12837" s="104"/>
      <c r="E12837" s="107" t="str">
        <f aca="false">IF($C12837="","",IFERROR(INDEX(المنيو!$C$2:$C$500,MATCH($C12837,المنيو!$B$2:$B$500,0)),0))</f>
        <v/>
      </c>
      <c r="F12837" s="107" t="str">
        <f aca="false">IF($C12837="","",$D12837*$E12837)</f>
        <v/>
      </c>
      <c r="G12837" s="107" t="str">
        <f aca="false">IF($C12837="","",$D12837*IFERROR(INDEX('تحليل التكلفة والسعر'!$C$2:$C$700,MATCH($C12837,'تحليل التكلفة والسعر'!$B$2:$B$700,0)),0))</f>
        <v/>
      </c>
    </row>
    <row r="12838" customFormat="false" ht="15" hidden="false" customHeight="false" outlineLevel="0" collapsed="false">
      <c r="A12838" s="103"/>
      <c r="B12838" s="104"/>
      <c r="C12838" s="104"/>
      <c r="E12838" s="107" t="str">
        <f aca="false">IF($C12838="","",IFERROR(INDEX(المنيو!$C$2:$C$500,MATCH($C12838,المنيو!$B$2:$B$500,0)),0))</f>
        <v/>
      </c>
      <c r="F12838" s="107" t="str">
        <f aca="false">IF($C12838="","",$D12838*$E12838)</f>
        <v/>
      </c>
      <c r="G12838" s="107" t="str">
        <f aca="false">IF($C12838="","",$D12838*IFERROR(INDEX('تحليل التكلفة والسعر'!$C$2:$C$700,MATCH($C12838,'تحليل التكلفة والسعر'!$B$2:$B$700,0)),0))</f>
        <v/>
      </c>
    </row>
    <row r="12839" customFormat="false" ht="15" hidden="false" customHeight="false" outlineLevel="0" collapsed="false">
      <c r="A12839" s="103"/>
      <c r="B12839" s="104"/>
      <c r="C12839" s="104"/>
      <c r="E12839" s="107" t="str">
        <f aca="false">IF($C12839="","",IFERROR(INDEX(المنيو!$C$2:$C$500,MATCH($C12839,المنيو!$B$2:$B$500,0)),0))</f>
        <v/>
      </c>
      <c r="F12839" s="107" t="str">
        <f aca="false">IF($C12839="","",$D12839*$E12839)</f>
        <v/>
      </c>
      <c r="G12839" s="107" t="str">
        <f aca="false">IF($C12839="","",$D12839*IFERROR(INDEX('تحليل التكلفة والسعر'!$C$2:$C$700,MATCH($C12839,'تحليل التكلفة والسعر'!$B$2:$B$700,0)),0))</f>
        <v/>
      </c>
    </row>
    <row r="12840" customFormat="false" ht="15" hidden="false" customHeight="false" outlineLevel="0" collapsed="false">
      <c r="A12840" s="103"/>
      <c r="B12840" s="104"/>
      <c r="C12840" s="104"/>
      <c r="E12840" s="107" t="str">
        <f aca="false">IF($C12840="","",IFERROR(INDEX(المنيو!$C$2:$C$500,MATCH($C12840,المنيو!$B$2:$B$500,0)),0))</f>
        <v/>
      </c>
      <c r="F12840" s="107" t="str">
        <f aca="false">IF($C12840="","",$D12840*$E12840)</f>
        <v/>
      </c>
      <c r="G12840" s="107" t="str">
        <f aca="false">IF($C12840="","",$D12840*IFERROR(INDEX('تحليل التكلفة والسعر'!$C$2:$C$700,MATCH($C12840,'تحليل التكلفة والسعر'!$B$2:$B$700,0)),0))</f>
        <v/>
      </c>
    </row>
    <row r="12841" customFormat="false" ht="15" hidden="false" customHeight="false" outlineLevel="0" collapsed="false">
      <c r="A12841" s="103"/>
      <c r="B12841" s="104"/>
      <c r="C12841" s="104"/>
      <c r="E12841" s="107" t="str">
        <f aca="false">IF($C12841="","",IFERROR(INDEX(المنيو!$C$2:$C$500,MATCH($C12841,المنيو!$B$2:$B$500,0)),0))</f>
        <v/>
      </c>
      <c r="F12841" s="107" t="str">
        <f aca="false">IF($C12841="","",$D12841*$E12841)</f>
        <v/>
      </c>
      <c r="G12841" s="107" t="str">
        <f aca="false">IF($C12841="","",$D12841*IFERROR(INDEX('تحليل التكلفة والسعر'!$C$2:$C$700,MATCH($C12841,'تحليل التكلفة والسعر'!$B$2:$B$700,0)),0))</f>
        <v/>
      </c>
    </row>
    <row r="12842" customFormat="false" ht="15" hidden="false" customHeight="false" outlineLevel="0" collapsed="false">
      <c r="A12842" s="103"/>
      <c r="B12842" s="104"/>
      <c r="C12842" s="104"/>
      <c r="E12842" s="107" t="str">
        <f aca="false">IF($C12842="","",IFERROR(INDEX(المنيو!$C$2:$C$500,MATCH($C12842,المنيو!$B$2:$B$500,0)),0))</f>
        <v/>
      </c>
      <c r="F12842" s="107" t="str">
        <f aca="false">IF($C12842="","",$D12842*$E12842)</f>
        <v/>
      </c>
      <c r="G12842" s="107" t="str">
        <f aca="false">IF($C12842="","",$D12842*IFERROR(INDEX('تحليل التكلفة والسعر'!$C$2:$C$700,MATCH($C12842,'تحليل التكلفة والسعر'!$B$2:$B$700,0)),0))</f>
        <v/>
      </c>
    </row>
    <row r="12843" customFormat="false" ht="15" hidden="false" customHeight="false" outlineLevel="0" collapsed="false">
      <c r="A12843" s="103"/>
      <c r="B12843" s="104"/>
      <c r="C12843" s="104"/>
      <c r="E12843" s="107" t="str">
        <f aca="false">IF($C12843="","",IFERROR(INDEX(المنيو!$C$2:$C$500,MATCH($C12843,المنيو!$B$2:$B$500,0)),0))</f>
        <v/>
      </c>
      <c r="F12843" s="107" t="str">
        <f aca="false">IF($C12843="","",$D12843*$E12843)</f>
        <v/>
      </c>
      <c r="G12843" s="107" t="str">
        <f aca="false">IF($C12843="","",$D12843*IFERROR(INDEX('تحليل التكلفة والسعر'!$C$2:$C$700,MATCH($C12843,'تحليل التكلفة والسعر'!$B$2:$B$700,0)),0))</f>
        <v/>
      </c>
    </row>
    <row r="12844" customFormat="false" ht="15" hidden="false" customHeight="false" outlineLevel="0" collapsed="false">
      <c r="A12844" s="103"/>
      <c r="B12844" s="104"/>
      <c r="C12844" s="104"/>
      <c r="E12844" s="107" t="str">
        <f aca="false">IF($C12844="","",IFERROR(INDEX(المنيو!$C$2:$C$500,MATCH($C12844,المنيو!$B$2:$B$500,0)),0))</f>
        <v/>
      </c>
      <c r="F12844" s="107" t="str">
        <f aca="false">IF($C12844="","",$D12844*$E12844)</f>
        <v/>
      </c>
      <c r="G12844" s="107" t="str">
        <f aca="false">IF($C12844="","",$D12844*IFERROR(INDEX('تحليل التكلفة والسعر'!$C$2:$C$700,MATCH($C12844,'تحليل التكلفة والسعر'!$B$2:$B$700,0)),0))</f>
        <v/>
      </c>
    </row>
    <row r="12845" customFormat="false" ht="15" hidden="false" customHeight="false" outlineLevel="0" collapsed="false">
      <c r="A12845" s="103"/>
      <c r="B12845" s="104"/>
      <c r="C12845" s="104"/>
      <c r="E12845" s="107" t="str">
        <f aca="false">IF($C12845="","",IFERROR(INDEX(المنيو!$C$2:$C$500,MATCH($C12845,المنيو!$B$2:$B$500,0)),0))</f>
        <v/>
      </c>
      <c r="F12845" s="107" t="str">
        <f aca="false">IF($C12845="","",$D12845*$E12845)</f>
        <v/>
      </c>
      <c r="G12845" s="107" t="str">
        <f aca="false">IF($C12845="","",$D12845*IFERROR(INDEX('تحليل التكلفة والسعر'!$C$2:$C$700,MATCH($C12845,'تحليل التكلفة والسعر'!$B$2:$B$700,0)),0))</f>
        <v/>
      </c>
    </row>
    <row r="12846" customFormat="false" ht="15" hidden="false" customHeight="false" outlineLevel="0" collapsed="false">
      <c r="A12846" s="103"/>
      <c r="B12846" s="104"/>
      <c r="C12846" s="104"/>
      <c r="E12846" s="107" t="str">
        <f aca="false">IF($C12846="","",IFERROR(INDEX(المنيو!$C$2:$C$500,MATCH($C12846,المنيو!$B$2:$B$500,0)),0))</f>
        <v/>
      </c>
      <c r="F12846" s="107" t="str">
        <f aca="false">IF($C12846="","",$D12846*$E12846)</f>
        <v/>
      </c>
      <c r="G12846" s="107" t="str">
        <f aca="false">IF($C12846="","",$D12846*IFERROR(INDEX('تحليل التكلفة والسعر'!$C$2:$C$700,MATCH($C12846,'تحليل التكلفة والسعر'!$B$2:$B$700,0)),0))</f>
        <v/>
      </c>
    </row>
    <row r="12847" customFormat="false" ht="15" hidden="false" customHeight="false" outlineLevel="0" collapsed="false">
      <c r="A12847" s="103"/>
      <c r="B12847" s="104"/>
      <c r="C12847" s="104"/>
      <c r="E12847" s="107" t="str">
        <f aca="false">IF($C12847="","",IFERROR(INDEX(المنيو!$C$2:$C$500,MATCH($C12847,المنيو!$B$2:$B$500,0)),0))</f>
        <v/>
      </c>
      <c r="F12847" s="107" t="str">
        <f aca="false">IF($C12847="","",$D12847*$E12847)</f>
        <v/>
      </c>
      <c r="G12847" s="107" t="str">
        <f aca="false">IF($C12847="","",$D12847*IFERROR(INDEX('تحليل التكلفة والسعر'!$C$2:$C$700,MATCH($C12847,'تحليل التكلفة والسعر'!$B$2:$B$700,0)),0))</f>
        <v/>
      </c>
    </row>
    <row r="12848" customFormat="false" ht="15" hidden="false" customHeight="false" outlineLevel="0" collapsed="false">
      <c r="A12848" s="103"/>
      <c r="B12848" s="104"/>
      <c r="C12848" s="104"/>
      <c r="E12848" s="107" t="str">
        <f aca="false">IF($C12848="","",IFERROR(INDEX(المنيو!$C$2:$C$500,MATCH($C12848,المنيو!$B$2:$B$500,0)),0))</f>
        <v/>
      </c>
      <c r="F12848" s="107" t="str">
        <f aca="false">IF($C12848="","",$D12848*$E12848)</f>
        <v/>
      </c>
      <c r="G12848" s="107" t="str">
        <f aca="false">IF($C12848="","",$D12848*IFERROR(INDEX('تحليل التكلفة والسعر'!$C$2:$C$700,MATCH($C12848,'تحليل التكلفة والسعر'!$B$2:$B$700,0)),0))</f>
        <v/>
      </c>
    </row>
    <row r="12849" customFormat="false" ht="15" hidden="false" customHeight="false" outlineLevel="0" collapsed="false">
      <c r="A12849" s="103"/>
      <c r="B12849" s="104"/>
      <c r="C12849" s="104"/>
      <c r="E12849" s="107" t="str">
        <f aca="false">IF($C12849="","",IFERROR(INDEX(المنيو!$C$2:$C$500,MATCH($C12849,المنيو!$B$2:$B$500,0)),0))</f>
        <v/>
      </c>
      <c r="F12849" s="107" t="str">
        <f aca="false">IF($C12849="","",$D12849*$E12849)</f>
        <v/>
      </c>
      <c r="G12849" s="107" t="str">
        <f aca="false">IF($C12849="","",$D12849*IFERROR(INDEX('تحليل التكلفة والسعر'!$C$2:$C$700,MATCH($C12849,'تحليل التكلفة والسعر'!$B$2:$B$700,0)),0))</f>
        <v/>
      </c>
    </row>
    <row r="12850" customFormat="false" ht="15" hidden="false" customHeight="false" outlineLevel="0" collapsed="false">
      <c r="A12850" s="103"/>
      <c r="B12850" s="104"/>
      <c r="C12850" s="104"/>
      <c r="E12850" s="107" t="str">
        <f aca="false">IF($C12850="","",IFERROR(INDEX(المنيو!$C$2:$C$500,MATCH($C12850,المنيو!$B$2:$B$500,0)),0))</f>
        <v/>
      </c>
      <c r="F12850" s="107" t="str">
        <f aca="false">IF($C12850="","",$D12850*$E12850)</f>
        <v/>
      </c>
      <c r="G12850" s="107" t="str">
        <f aca="false">IF($C12850="","",$D12850*IFERROR(INDEX('تحليل التكلفة والسعر'!$C$2:$C$700,MATCH($C12850,'تحليل التكلفة والسعر'!$B$2:$B$700,0)),0))</f>
        <v/>
      </c>
    </row>
    <row r="12851" customFormat="false" ht="15" hidden="false" customHeight="false" outlineLevel="0" collapsed="false">
      <c r="A12851" s="103"/>
      <c r="B12851" s="104"/>
      <c r="C12851" s="104"/>
      <c r="E12851" s="107" t="str">
        <f aca="false">IF($C12851="","",IFERROR(INDEX(المنيو!$C$2:$C$500,MATCH($C12851,المنيو!$B$2:$B$500,0)),0))</f>
        <v/>
      </c>
      <c r="F12851" s="107" t="str">
        <f aca="false">IF($C12851="","",$D12851*$E12851)</f>
        <v/>
      </c>
      <c r="G12851" s="107" t="str">
        <f aca="false">IF($C12851="","",$D12851*IFERROR(INDEX('تحليل التكلفة والسعر'!$C$2:$C$700,MATCH($C12851,'تحليل التكلفة والسعر'!$B$2:$B$700,0)),0))</f>
        <v/>
      </c>
    </row>
    <row r="12852" customFormat="false" ht="15" hidden="false" customHeight="false" outlineLevel="0" collapsed="false">
      <c r="A12852" s="103"/>
      <c r="B12852" s="104"/>
      <c r="C12852" s="104"/>
      <c r="E12852" s="107" t="str">
        <f aca="false">IF($C12852="","",IFERROR(INDEX(المنيو!$C$2:$C$500,MATCH($C12852,المنيو!$B$2:$B$500,0)),0))</f>
        <v/>
      </c>
      <c r="F12852" s="107" t="str">
        <f aca="false">IF($C12852="","",$D12852*$E12852)</f>
        <v/>
      </c>
      <c r="G12852" s="107" t="str">
        <f aca="false">IF($C12852="","",$D12852*IFERROR(INDEX('تحليل التكلفة والسعر'!$C$2:$C$700,MATCH($C12852,'تحليل التكلفة والسعر'!$B$2:$B$700,0)),0))</f>
        <v/>
      </c>
    </row>
    <row r="12853" customFormat="false" ht="15" hidden="false" customHeight="false" outlineLevel="0" collapsed="false">
      <c r="A12853" s="103"/>
      <c r="B12853" s="104"/>
      <c r="C12853" s="104"/>
      <c r="E12853" s="107" t="str">
        <f aca="false">IF($C12853="","",IFERROR(INDEX(المنيو!$C$2:$C$500,MATCH($C12853,المنيو!$B$2:$B$500,0)),0))</f>
        <v/>
      </c>
      <c r="F12853" s="107" t="str">
        <f aca="false">IF($C12853="","",$D12853*$E12853)</f>
        <v/>
      </c>
      <c r="G12853" s="107" t="str">
        <f aca="false">IF($C12853="","",$D12853*IFERROR(INDEX('تحليل التكلفة والسعر'!$C$2:$C$700,MATCH($C12853,'تحليل التكلفة والسعر'!$B$2:$B$700,0)),0))</f>
        <v/>
      </c>
    </row>
    <row r="12854" customFormat="false" ht="15" hidden="false" customHeight="false" outlineLevel="0" collapsed="false">
      <c r="A12854" s="103"/>
      <c r="B12854" s="104"/>
      <c r="C12854" s="104"/>
      <c r="E12854" s="107" t="str">
        <f aca="false">IF($C12854="","",IFERROR(INDEX(المنيو!$C$2:$C$500,MATCH($C12854,المنيو!$B$2:$B$500,0)),0))</f>
        <v/>
      </c>
      <c r="F12854" s="107" t="str">
        <f aca="false">IF($C12854="","",$D12854*$E12854)</f>
        <v/>
      </c>
      <c r="G12854" s="107" t="str">
        <f aca="false">IF($C12854="","",$D12854*IFERROR(INDEX('تحليل التكلفة والسعر'!$C$2:$C$700,MATCH($C12854,'تحليل التكلفة والسعر'!$B$2:$B$700,0)),0))</f>
        <v/>
      </c>
    </row>
    <row r="12855" customFormat="false" ht="15" hidden="false" customHeight="false" outlineLevel="0" collapsed="false">
      <c r="A12855" s="103"/>
      <c r="B12855" s="104"/>
      <c r="C12855" s="104"/>
      <c r="E12855" s="107" t="str">
        <f aca="false">IF($C12855="","",IFERROR(INDEX(المنيو!$C$2:$C$500,MATCH($C12855,المنيو!$B$2:$B$500,0)),0))</f>
        <v/>
      </c>
      <c r="F12855" s="107" t="str">
        <f aca="false">IF($C12855="","",$D12855*$E12855)</f>
        <v/>
      </c>
      <c r="G12855" s="107" t="str">
        <f aca="false">IF($C12855="","",$D12855*IFERROR(INDEX('تحليل التكلفة والسعر'!$C$2:$C$700,MATCH($C12855,'تحليل التكلفة والسعر'!$B$2:$B$700,0)),0))</f>
        <v/>
      </c>
    </row>
    <row r="12856" customFormat="false" ht="15" hidden="false" customHeight="false" outlineLevel="0" collapsed="false">
      <c r="A12856" s="103"/>
      <c r="B12856" s="104"/>
      <c r="C12856" s="104"/>
      <c r="E12856" s="107" t="str">
        <f aca="false">IF($C12856="","",IFERROR(INDEX(المنيو!$C$2:$C$500,MATCH($C12856,المنيو!$B$2:$B$500,0)),0))</f>
        <v/>
      </c>
      <c r="F12856" s="107" t="str">
        <f aca="false">IF($C12856="","",$D12856*$E12856)</f>
        <v/>
      </c>
      <c r="G12856" s="107" t="str">
        <f aca="false">IF($C12856="","",$D12856*IFERROR(INDEX('تحليل التكلفة والسعر'!$C$2:$C$700,MATCH($C12856,'تحليل التكلفة والسعر'!$B$2:$B$700,0)),0))</f>
        <v/>
      </c>
    </row>
    <row r="12857" customFormat="false" ht="15" hidden="false" customHeight="false" outlineLevel="0" collapsed="false">
      <c r="A12857" s="103"/>
      <c r="B12857" s="104"/>
      <c r="C12857" s="104"/>
      <c r="E12857" s="107" t="str">
        <f aca="false">IF($C12857="","",IFERROR(INDEX(المنيو!$C$2:$C$500,MATCH($C12857,المنيو!$B$2:$B$500,0)),0))</f>
        <v/>
      </c>
      <c r="F12857" s="107" t="str">
        <f aca="false">IF($C12857="","",$D12857*$E12857)</f>
        <v/>
      </c>
      <c r="G12857" s="107" t="str">
        <f aca="false">IF($C12857="","",$D12857*IFERROR(INDEX('تحليل التكلفة والسعر'!$C$2:$C$700,MATCH($C12857,'تحليل التكلفة والسعر'!$B$2:$B$700,0)),0))</f>
        <v/>
      </c>
    </row>
    <row r="12858" customFormat="false" ht="15" hidden="false" customHeight="false" outlineLevel="0" collapsed="false">
      <c r="A12858" s="103"/>
      <c r="B12858" s="104"/>
      <c r="C12858" s="104"/>
      <c r="E12858" s="107" t="str">
        <f aca="false">IF($C12858="","",IFERROR(INDEX(المنيو!$C$2:$C$500,MATCH($C12858,المنيو!$B$2:$B$500,0)),0))</f>
        <v/>
      </c>
      <c r="F12858" s="107" t="str">
        <f aca="false">IF($C12858="","",$D12858*$E12858)</f>
        <v/>
      </c>
      <c r="G12858" s="107" t="str">
        <f aca="false">IF($C12858="","",$D12858*IFERROR(INDEX('تحليل التكلفة والسعر'!$C$2:$C$700,MATCH($C12858,'تحليل التكلفة والسعر'!$B$2:$B$700,0)),0))</f>
        <v/>
      </c>
    </row>
    <row r="12859" customFormat="false" ht="15" hidden="false" customHeight="false" outlineLevel="0" collapsed="false">
      <c r="A12859" s="103"/>
      <c r="B12859" s="104"/>
      <c r="C12859" s="104"/>
      <c r="E12859" s="107" t="str">
        <f aca="false">IF($C12859="","",IFERROR(INDEX(المنيو!$C$2:$C$500,MATCH($C12859,المنيو!$B$2:$B$500,0)),0))</f>
        <v/>
      </c>
      <c r="F12859" s="107" t="str">
        <f aca="false">IF($C12859="","",$D12859*$E12859)</f>
        <v/>
      </c>
      <c r="G12859" s="107" t="str">
        <f aca="false">IF($C12859="","",$D12859*IFERROR(INDEX('تحليل التكلفة والسعر'!$C$2:$C$700,MATCH($C12859,'تحليل التكلفة والسعر'!$B$2:$B$700,0)),0))</f>
        <v/>
      </c>
    </row>
    <row r="12860" customFormat="false" ht="15" hidden="false" customHeight="false" outlineLevel="0" collapsed="false">
      <c r="A12860" s="103"/>
      <c r="B12860" s="104"/>
      <c r="C12860" s="104"/>
      <c r="E12860" s="107" t="str">
        <f aca="false">IF($C12860="","",IFERROR(INDEX(المنيو!$C$2:$C$500,MATCH($C12860,المنيو!$B$2:$B$500,0)),0))</f>
        <v/>
      </c>
      <c r="F12860" s="107" t="str">
        <f aca="false">IF($C12860="","",$D12860*$E12860)</f>
        <v/>
      </c>
      <c r="G12860" s="107" t="str">
        <f aca="false">IF($C12860="","",$D12860*IFERROR(INDEX('تحليل التكلفة والسعر'!$C$2:$C$700,MATCH($C12860,'تحليل التكلفة والسعر'!$B$2:$B$700,0)),0))</f>
        <v/>
      </c>
    </row>
    <row r="12861" customFormat="false" ht="15" hidden="false" customHeight="false" outlineLevel="0" collapsed="false">
      <c r="A12861" s="103"/>
      <c r="B12861" s="104"/>
      <c r="C12861" s="104"/>
      <c r="E12861" s="107" t="str">
        <f aca="false">IF($C12861="","",IFERROR(INDEX(المنيو!$C$2:$C$500,MATCH($C12861,المنيو!$B$2:$B$500,0)),0))</f>
        <v/>
      </c>
      <c r="F12861" s="107" t="str">
        <f aca="false">IF($C12861="","",$D12861*$E12861)</f>
        <v/>
      </c>
      <c r="G12861" s="107" t="str">
        <f aca="false">IF($C12861="","",$D12861*IFERROR(INDEX('تحليل التكلفة والسعر'!$C$2:$C$700,MATCH($C12861,'تحليل التكلفة والسعر'!$B$2:$B$700,0)),0))</f>
        <v/>
      </c>
    </row>
    <row r="12862" customFormat="false" ht="15" hidden="false" customHeight="false" outlineLevel="0" collapsed="false">
      <c r="A12862" s="103"/>
      <c r="B12862" s="104"/>
      <c r="C12862" s="104"/>
      <c r="E12862" s="107" t="str">
        <f aca="false">IF($C12862="","",IFERROR(INDEX(المنيو!$C$2:$C$500,MATCH($C12862,المنيو!$B$2:$B$500,0)),0))</f>
        <v/>
      </c>
      <c r="F12862" s="107" t="str">
        <f aca="false">IF($C12862="","",$D12862*$E12862)</f>
        <v/>
      </c>
      <c r="G12862" s="107" t="str">
        <f aca="false">IF($C12862="","",$D12862*IFERROR(INDEX('تحليل التكلفة والسعر'!$C$2:$C$700,MATCH($C12862,'تحليل التكلفة والسعر'!$B$2:$B$700,0)),0))</f>
        <v/>
      </c>
    </row>
    <row r="12863" customFormat="false" ht="15" hidden="false" customHeight="false" outlineLevel="0" collapsed="false">
      <c r="A12863" s="103"/>
      <c r="B12863" s="104"/>
      <c r="C12863" s="104"/>
      <c r="E12863" s="107" t="str">
        <f aca="false">IF($C12863="","",IFERROR(INDEX(المنيو!$C$2:$C$500,MATCH($C12863,المنيو!$B$2:$B$500,0)),0))</f>
        <v/>
      </c>
      <c r="F12863" s="107" t="str">
        <f aca="false">IF($C12863="","",$D12863*$E12863)</f>
        <v/>
      </c>
      <c r="G12863" s="107" t="str">
        <f aca="false">IF($C12863="","",$D12863*IFERROR(INDEX('تحليل التكلفة والسعر'!$C$2:$C$700,MATCH($C12863,'تحليل التكلفة والسعر'!$B$2:$B$700,0)),0))</f>
        <v/>
      </c>
    </row>
    <row r="12864" customFormat="false" ht="15" hidden="false" customHeight="false" outlineLevel="0" collapsed="false">
      <c r="A12864" s="103"/>
      <c r="B12864" s="104"/>
      <c r="C12864" s="104"/>
      <c r="E12864" s="107" t="str">
        <f aca="false">IF($C12864="","",IFERROR(INDEX(المنيو!$C$2:$C$500,MATCH($C12864,المنيو!$B$2:$B$500,0)),0))</f>
        <v/>
      </c>
      <c r="F12864" s="107" t="str">
        <f aca="false">IF($C12864="","",$D12864*$E12864)</f>
        <v/>
      </c>
      <c r="G12864" s="107" t="str">
        <f aca="false">IF($C12864="","",$D12864*IFERROR(INDEX('تحليل التكلفة والسعر'!$C$2:$C$700,MATCH($C12864,'تحليل التكلفة والسعر'!$B$2:$B$700,0)),0))</f>
        <v/>
      </c>
    </row>
    <row r="12865" customFormat="false" ht="15" hidden="false" customHeight="false" outlineLevel="0" collapsed="false">
      <c r="A12865" s="103"/>
      <c r="B12865" s="104"/>
      <c r="C12865" s="104"/>
      <c r="E12865" s="107" t="str">
        <f aca="false">IF($C12865="","",IFERROR(INDEX(المنيو!$C$2:$C$500,MATCH($C12865,المنيو!$B$2:$B$500,0)),0))</f>
        <v/>
      </c>
      <c r="F12865" s="107" t="str">
        <f aca="false">IF($C12865="","",$D12865*$E12865)</f>
        <v/>
      </c>
      <c r="G12865" s="107" t="str">
        <f aca="false">IF($C12865="","",$D12865*IFERROR(INDEX('تحليل التكلفة والسعر'!$C$2:$C$700,MATCH($C12865,'تحليل التكلفة والسعر'!$B$2:$B$700,0)),0))</f>
        <v/>
      </c>
    </row>
    <row r="12866" customFormat="false" ht="15" hidden="false" customHeight="false" outlineLevel="0" collapsed="false">
      <c r="A12866" s="103"/>
      <c r="B12866" s="104"/>
      <c r="C12866" s="104"/>
      <c r="E12866" s="107" t="str">
        <f aca="false">IF($C12866="","",IFERROR(INDEX(المنيو!$C$2:$C$500,MATCH($C12866,المنيو!$B$2:$B$500,0)),0))</f>
        <v/>
      </c>
      <c r="F12866" s="107" t="str">
        <f aca="false">IF($C12866="","",$D12866*$E12866)</f>
        <v/>
      </c>
      <c r="G12866" s="107" t="str">
        <f aca="false">IF($C12866="","",$D12866*IFERROR(INDEX('تحليل التكلفة والسعر'!$C$2:$C$700,MATCH($C12866,'تحليل التكلفة والسعر'!$B$2:$B$700,0)),0))</f>
        <v/>
      </c>
    </row>
    <row r="12867" customFormat="false" ht="15" hidden="false" customHeight="false" outlineLevel="0" collapsed="false">
      <c r="A12867" s="103"/>
      <c r="B12867" s="104"/>
      <c r="C12867" s="104"/>
      <c r="E12867" s="107" t="str">
        <f aca="false">IF($C12867="","",IFERROR(INDEX(المنيو!$C$2:$C$500,MATCH($C12867,المنيو!$B$2:$B$500,0)),0))</f>
        <v/>
      </c>
      <c r="F12867" s="107" t="str">
        <f aca="false">IF($C12867="","",$D12867*$E12867)</f>
        <v/>
      </c>
      <c r="G12867" s="107" t="str">
        <f aca="false">IF($C12867="","",$D12867*IFERROR(INDEX('تحليل التكلفة والسعر'!$C$2:$C$700,MATCH($C12867,'تحليل التكلفة والسعر'!$B$2:$B$700,0)),0))</f>
        <v/>
      </c>
    </row>
    <row r="12868" customFormat="false" ht="15" hidden="false" customHeight="false" outlineLevel="0" collapsed="false">
      <c r="A12868" s="103"/>
      <c r="B12868" s="104"/>
      <c r="C12868" s="104"/>
      <c r="E12868" s="107" t="str">
        <f aca="false">IF($C12868="","",IFERROR(INDEX(المنيو!$C$2:$C$500,MATCH($C12868,المنيو!$B$2:$B$500,0)),0))</f>
        <v/>
      </c>
      <c r="F12868" s="107" t="str">
        <f aca="false">IF($C12868="","",$D12868*$E12868)</f>
        <v/>
      </c>
      <c r="G12868" s="107" t="str">
        <f aca="false">IF($C12868="","",$D12868*IFERROR(INDEX('تحليل التكلفة والسعر'!$C$2:$C$700,MATCH($C12868,'تحليل التكلفة والسعر'!$B$2:$B$700,0)),0))</f>
        <v/>
      </c>
    </row>
    <row r="12869" customFormat="false" ht="15" hidden="false" customHeight="false" outlineLevel="0" collapsed="false">
      <c r="A12869" s="103"/>
      <c r="B12869" s="104"/>
      <c r="C12869" s="104"/>
      <c r="E12869" s="107" t="str">
        <f aca="false">IF($C12869="","",IFERROR(INDEX(المنيو!$C$2:$C$500,MATCH($C12869,المنيو!$B$2:$B$500,0)),0))</f>
        <v/>
      </c>
      <c r="F12869" s="107" t="str">
        <f aca="false">IF($C12869="","",$D12869*$E12869)</f>
        <v/>
      </c>
      <c r="G12869" s="107" t="str">
        <f aca="false">IF($C12869="","",$D12869*IFERROR(INDEX('تحليل التكلفة والسعر'!$C$2:$C$700,MATCH($C12869,'تحليل التكلفة والسعر'!$B$2:$B$700,0)),0))</f>
        <v/>
      </c>
    </row>
    <row r="12870" customFormat="false" ht="15" hidden="false" customHeight="false" outlineLevel="0" collapsed="false">
      <c r="A12870" s="103"/>
      <c r="B12870" s="104"/>
      <c r="C12870" s="104"/>
      <c r="E12870" s="107" t="str">
        <f aca="false">IF($C12870="","",IFERROR(INDEX(المنيو!$C$2:$C$500,MATCH($C12870,المنيو!$B$2:$B$500,0)),0))</f>
        <v/>
      </c>
      <c r="F12870" s="107" t="str">
        <f aca="false">IF($C12870="","",$D12870*$E12870)</f>
        <v/>
      </c>
      <c r="G12870" s="107" t="str">
        <f aca="false">IF($C12870="","",$D12870*IFERROR(INDEX('تحليل التكلفة والسعر'!$C$2:$C$700,MATCH($C12870,'تحليل التكلفة والسعر'!$B$2:$B$700,0)),0))</f>
        <v/>
      </c>
    </row>
    <row r="12871" customFormat="false" ht="15" hidden="false" customHeight="false" outlineLevel="0" collapsed="false">
      <c r="A12871" s="103"/>
      <c r="B12871" s="104"/>
      <c r="C12871" s="104"/>
      <c r="E12871" s="107" t="str">
        <f aca="false">IF($C12871="","",IFERROR(INDEX(المنيو!$C$2:$C$500,MATCH($C12871,المنيو!$B$2:$B$500,0)),0))</f>
        <v/>
      </c>
      <c r="F12871" s="107" t="str">
        <f aca="false">IF($C12871="","",$D12871*$E12871)</f>
        <v/>
      </c>
      <c r="G12871" s="107" t="str">
        <f aca="false">IF($C12871="","",$D12871*IFERROR(INDEX('تحليل التكلفة والسعر'!$C$2:$C$700,MATCH($C12871,'تحليل التكلفة والسعر'!$B$2:$B$700,0)),0))</f>
        <v/>
      </c>
    </row>
    <row r="12872" customFormat="false" ht="15" hidden="false" customHeight="false" outlineLevel="0" collapsed="false">
      <c r="A12872" s="103"/>
      <c r="B12872" s="104"/>
      <c r="C12872" s="104"/>
      <c r="E12872" s="107" t="str">
        <f aca="false">IF($C12872="","",IFERROR(INDEX(المنيو!$C$2:$C$500,MATCH($C12872,المنيو!$B$2:$B$500,0)),0))</f>
        <v/>
      </c>
      <c r="F12872" s="107" t="str">
        <f aca="false">IF($C12872="","",$D12872*$E12872)</f>
        <v/>
      </c>
      <c r="G12872" s="107" t="str">
        <f aca="false">IF($C12872="","",$D12872*IFERROR(INDEX('تحليل التكلفة والسعر'!$C$2:$C$700,MATCH($C12872,'تحليل التكلفة والسعر'!$B$2:$B$700,0)),0))</f>
        <v/>
      </c>
    </row>
    <row r="12873" customFormat="false" ht="15" hidden="false" customHeight="false" outlineLevel="0" collapsed="false">
      <c r="A12873" s="103"/>
      <c r="B12873" s="104"/>
      <c r="C12873" s="104"/>
      <c r="E12873" s="107" t="str">
        <f aca="false">IF($C12873="","",IFERROR(INDEX(المنيو!$C$2:$C$500,MATCH($C12873,المنيو!$B$2:$B$500,0)),0))</f>
        <v/>
      </c>
      <c r="F12873" s="107" t="str">
        <f aca="false">IF($C12873="","",$D12873*$E12873)</f>
        <v/>
      </c>
      <c r="G12873" s="107" t="str">
        <f aca="false">IF($C12873="","",$D12873*IFERROR(INDEX('تحليل التكلفة والسعر'!$C$2:$C$700,MATCH($C12873,'تحليل التكلفة والسعر'!$B$2:$B$700,0)),0))</f>
        <v/>
      </c>
    </row>
    <row r="12874" customFormat="false" ht="15" hidden="false" customHeight="false" outlineLevel="0" collapsed="false">
      <c r="A12874" s="103"/>
      <c r="B12874" s="104"/>
      <c r="C12874" s="104"/>
      <c r="E12874" s="107" t="str">
        <f aca="false">IF($C12874="","",IFERROR(INDEX(المنيو!$C$2:$C$500,MATCH($C12874,المنيو!$B$2:$B$500,0)),0))</f>
        <v/>
      </c>
      <c r="F12874" s="107" t="str">
        <f aca="false">IF($C12874="","",$D12874*$E12874)</f>
        <v/>
      </c>
      <c r="G12874" s="107" t="str">
        <f aca="false">IF($C12874="","",$D12874*IFERROR(INDEX('تحليل التكلفة والسعر'!$C$2:$C$700,MATCH($C12874,'تحليل التكلفة والسعر'!$B$2:$B$700,0)),0))</f>
        <v/>
      </c>
    </row>
    <row r="12875" customFormat="false" ht="15" hidden="false" customHeight="false" outlineLevel="0" collapsed="false">
      <c r="A12875" s="103"/>
      <c r="B12875" s="104"/>
      <c r="C12875" s="104"/>
      <c r="E12875" s="107" t="str">
        <f aca="false">IF($C12875="","",IFERROR(INDEX(المنيو!$C$2:$C$500,MATCH($C12875,المنيو!$B$2:$B$500,0)),0))</f>
        <v/>
      </c>
      <c r="F12875" s="107" t="str">
        <f aca="false">IF($C12875="","",$D12875*$E12875)</f>
        <v/>
      </c>
      <c r="G12875" s="107" t="str">
        <f aca="false">IF($C12875="","",$D12875*IFERROR(INDEX('تحليل التكلفة والسعر'!$C$2:$C$700,MATCH($C12875,'تحليل التكلفة والسعر'!$B$2:$B$700,0)),0))</f>
        <v/>
      </c>
    </row>
    <row r="12876" customFormat="false" ht="15" hidden="false" customHeight="false" outlineLevel="0" collapsed="false">
      <c r="A12876" s="103"/>
      <c r="B12876" s="104"/>
      <c r="C12876" s="104"/>
      <c r="E12876" s="107" t="str">
        <f aca="false">IF($C12876="","",IFERROR(INDEX(المنيو!$C$2:$C$500,MATCH($C12876,المنيو!$B$2:$B$500,0)),0))</f>
        <v/>
      </c>
      <c r="F12876" s="107" t="str">
        <f aca="false">IF($C12876="","",$D12876*$E12876)</f>
        <v/>
      </c>
      <c r="G12876" s="107" t="str">
        <f aca="false">IF($C12876="","",$D12876*IFERROR(INDEX('تحليل التكلفة والسعر'!$C$2:$C$700,MATCH($C12876,'تحليل التكلفة والسعر'!$B$2:$B$700,0)),0))</f>
        <v/>
      </c>
    </row>
    <row r="12877" customFormat="false" ht="15" hidden="false" customHeight="false" outlineLevel="0" collapsed="false">
      <c r="A12877" s="103"/>
      <c r="B12877" s="104"/>
      <c r="C12877" s="104"/>
      <c r="E12877" s="107" t="str">
        <f aca="false">IF($C12877="","",IFERROR(INDEX(المنيو!$C$2:$C$500,MATCH($C12877,المنيو!$B$2:$B$500,0)),0))</f>
        <v/>
      </c>
      <c r="F12877" s="107" t="str">
        <f aca="false">IF($C12877="","",$D12877*$E12877)</f>
        <v/>
      </c>
      <c r="G12877" s="107" t="str">
        <f aca="false">IF($C12877="","",$D12877*IFERROR(INDEX('تحليل التكلفة والسعر'!$C$2:$C$700,MATCH($C12877,'تحليل التكلفة والسعر'!$B$2:$B$700,0)),0))</f>
        <v/>
      </c>
    </row>
    <row r="12878" customFormat="false" ht="15" hidden="false" customHeight="false" outlineLevel="0" collapsed="false">
      <c r="A12878" s="103"/>
      <c r="B12878" s="104"/>
      <c r="C12878" s="104"/>
      <c r="E12878" s="107" t="str">
        <f aca="false">IF($C12878="","",IFERROR(INDEX(المنيو!$C$2:$C$500,MATCH($C12878,المنيو!$B$2:$B$500,0)),0))</f>
        <v/>
      </c>
      <c r="F12878" s="107" t="str">
        <f aca="false">IF($C12878="","",$D12878*$E12878)</f>
        <v/>
      </c>
      <c r="G12878" s="107" t="str">
        <f aca="false">IF($C12878="","",$D12878*IFERROR(INDEX('تحليل التكلفة والسعر'!$C$2:$C$700,MATCH($C12878,'تحليل التكلفة والسعر'!$B$2:$B$700,0)),0))</f>
        <v/>
      </c>
    </row>
    <row r="12879" customFormat="false" ht="15" hidden="false" customHeight="false" outlineLevel="0" collapsed="false">
      <c r="A12879" s="103"/>
      <c r="B12879" s="104"/>
      <c r="C12879" s="104"/>
      <c r="E12879" s="107" t="str">
        <f aca="false">IF($C12879="","",IFERROR(INDEX(المنيو!$C$2:$C$500,MATCH($C12879,المنيو!$B$2:$B$500,0)),0))</f>
        <v/>
      </c>
      <c r="F12879" s="107" t="str">
        <f aca="false">IF($C12879="","",$D12879*$E12879)</f>
        <v/>
      </c>
      <c r="G12879" s="107" t="str">
        <f aca="false">IF($C12879="","",$D12879*IFERROR(INDEX('تحليل التكلفة والسعر'!$C$2:$C$700,MATCH($C12879,'تحليل التكلفة والسعر'!$B$2:$B$700,0)),0))</f>
        <v/>
      </c>
    </row>
    <row r="12880" customFormat="false" ht="15" hidden="false" customHeight="false" outlineLevel="0" collapsed="false">
      <c r="A12880" s="103"/>
      <c r="B12880" s="104"/>
      <c r="C12880" s="104"/>
      <c r="E12880" s="107" t="str">
        <f aca="false">IF($C12880="","",IFERROR(INDEX(المنيو!$C$2:$C$500,MATCH($C12880,المنيو!$B$2:$B$500,0)),0))</f>
        <v/>
      </c>
      <c r="F12880" s="107" t="str">
        <f aca="false">IF($C12880="","",$D12880*$E12880)</f>
        <v/>
      </c>
      <c r="G12880" s="107" t="str">
        <f aca="false">IF($C12880="","",$D12880*IFERROR(INDEX('تحليل التكلفة والسعر'!$C$2:$C$700,MATCH($C12880,'تحليل التكلفة والسعر'!$B$2:$B$700,0)),0))</f>
        <v/>
      </c>
    </row>
    <row r="12881" customFormat="false" ht="15" hidden="false" customHeight="false" outlineLevel="0" collapsed="false">
      <c r="A12881" s="103"/>
      <c r="B12881" s="104"/>
      <c r="C12881" s="104"/>
      <c r="E12881" s="107" t="str">
        <f aca="false">IF($C12881="","",IFERROR(INDEX(المنيو!$C$2:$C$500,MATCH($C12881,المنيو!$B$2:$B$500,0)),0))</f>
        <v/>
      </c>
      <c r="F12881" s="107" t="str">
        <f aca="false">IF($C12881="","",$D12881*$E12881)</f>
        <v/>
      </c>
      <c r="G12881" s="107" t="str">
        <f aca="false">IF($C12881="","",$D12881*IFERROR(INDEX('تحليل التكلفة والسعر'!$C$2:$C$700,MATCH($C12881,'تحليل التكلفة والسعر'!$B$2:$B$700,0)),0))</f>
        <v/>
      </c>
    </row>
    <row r="12882" customFormat="false" ht="15" hidden="false" customHeight="false" outlineLevel="0" collapsed="false">
      <c r="A12882" s="103"/>
      <c r="B12882" s="104"/>
      <c r="C12882" s="104"/>
      <c r="E12882" s="107" t="str">
        <f aca="false">IF($C12882="","",IFERROR(INDEX(المنيو!$C$2:$C$500,MATCH($C12882,المنيو!$B$2:$B$500,0)),0))</f>
        <v/>
      </c>
      <c r="F12882" s="107" t="str">
        <f aca="false">IF($C12882="","",$D12882*$E12882)</f>
        <v/>
      </c>
      <c r="G12882" s="107" t="str">
        <f aca="false">IF($C12882="","",$D12882*IFERROR(INDEX('تحليل التكلفة والسعر'!$C$2:$C$700,MATCH($C12882,'تحليل التكلفة والسعر'!$B$2:$B$700,0)),0))</f>
        <v/>
      </c>
    </row>
    <row r="12883" customFormat="false" ht="15" hidden="false" customHeight="false" outlineLevel="0" collapsed="false">
      <c r="A12883" s="103"/>
      <c r="B12883" s="104"/>
      <c r="C12883" s="104"/>
      <c r="E12883" s="107" t="str">
        <f aca="false">IF($C12883="","",IFERROR(INDEX(المنيو!$C$2:$C$500,MATCH($C12883,المنيو!$B$2:$B$500,0)),0))</f>
        <v/>
      </c>
      <c r="F12883" s="107" t="str">
        <f aca="false">IF($C12883="","",$D12883*$E12883)</f>
        <v/>
      </c>
      <c r="G12883" s="107" t="str">
        <f aca="false">IF($C12883="","",$D12883*IFERROR(INDEX('تحليل التكلفة والسعر'!$C$2:$C$700,MATCH($C12883,'تحليل التكلفة والسعر'!$B$2:$B$700,0)),0))</f>
        <v/>
      </c>
    </row>
    <row r="12884" customFormat="false" ht="15" hidden="false" customHeight="false" outlineLevel="0" collapsed="false">
      <c r="A12884" s="103"/>
      <c r="B12884" s="104"/>
      <c r="C12884" s="104"/>
      <c r="E12884" s="107" t="str">
        <f aca="false">IF($C12884="","",IFERROR(INDEX(المنيو!$C$2:$C$500,MATCH($C12884,المنيو!$B$2:$B$500,0)),0))</f>
        <v/>
      </c>
      <c r="F12884" s="107" t="str">
        <f aca="false">IF($C12884="","",$D12884*$E12884)</f>
        <v/>
      </c>
      <c r="G12884" s="107" t="str">
        <f aca="false">IF($C12884="","",$D12884*IFERROR(INDEX('تحليل التكلفة والسعر'!$C$2:$C$700,MATCH($C12884,'تحليل التكلفة والسعر'!$B$2:$B$700,0)),0))</f>
        <v/>
      </c>
    </row>
    <row r="12885" customFormat="false" ht="15" hidden="false" customHeight="false" outlineLevel="0" collapsed="false">
      <c r="A12885" s="103"/>
      <c r="B12885" s="104"/>
      <c r="C12885" s="104"/>
      <c r="E12885" s="107" t="str">
        <f aca="false">IF($C12885="","",IFERROR(INDEX(المنيو!$C$2:$C$500,MATCH($C12885,المنيو!$B$2:$B$500,0)),0))</f>
        <v/>
      </c>
      <c r="F12885" s="107" t="str">
        <f aca="false">IF($C12885="","",$D12885*$E12885)</f>
        <v/>
      </c>
      <c r="G12885" s="107" t="str">
        <f aca="false">IF($C12885="","",$D12885*IFERROR(INDEX('تحليل التكلفة والسعر'!$C$2:$C$700,MATCH($C12885,'تحليل التكلفة والسعر'!$B$2:$B$700,0)),0))</f>
        <v/>
      </c>
    </row>
    <row r="12886" customFormat="false" ht="15" hidden="false" customHeight="false" outlineLevel="0" collapsed="false">
      <c r="A12886" s="103"/>
      <c r="B12886" s="104"/>
      <c r="C12886" s="104"/>
      <c r="E12886" s="107" t="str">
        <f aca="false">IF($C12886="","",IFERROR(INDEX(المنيو!$C$2:$C$500,MATCH($C12886,المنيو!$B$2:$B$500,0)),0))</f>
        <v/>
      </c>
      <c r="F12886" s="107" t="str">
        <f aca="false">IF($C12886="","",$D12886*$E12886)</f>
        <v/>
      </c>
      <c r="G12886" s="107" t="str">
        <f aca="false">IF($C12886="","",$D12886*IFERROR(INDEX('تحليل التكلفة والسعر'!$C$2:$C$700,MATCH($C12886,'تحليل التكلفة والسعر'!$B$2:$B$700,0)),0))</f>
        <v/>
      </c>
    </row>
    <row r="12887" customFormat="false" ht="15" hidden="false" customHeight="false" outlineLevel="0" collapsed="false">
      <c r="A12887" s="103"/>
      <c r="B12887" s="104"/>
      <c r="C12887" s="104"/>
      <c r="E12887" s="107" t="str">
        <f aca="false">IF($C12887="","",IFERROR(INDEX(المنيو!$C$2:$C$500,MATCH($C12887,المنيو!$B$2:$B$500,0)),0))</f>
        <v/>
      </c>
      <c r="F12887" s="107" t="str">
        <f aca="false">IF($C12887="","",$D12887*$E12887)</f>
        <v/>
      </c>
      <c r="G12887" s="107" t="str">
        <f aca="false">IF($C12887="","",$D12887*IFERROR(INDEX('تحليل التكلفة والسعر'!$C$2:$C$700,MATCH($C12887,'تحليل التكلفة والسعر'!$B$2:$B$700,0)),0))</f>
        <v/>
      </c>
    </row>
    <row r="12888" customFormat="false" ht="15" hidden="false" customHeight="false" outlineLevel="0" collapsed="false">
      <c r="A12888" s="103"/>
      <c r="B12888" s="104"/>
      <c r="C12888" s="104"/>
      <c r="E12888" s="107" t="str">
        <f aca="false">IF($C12888="","",IFERROR(INDEX(المنيو!$C$2:$C$500,MATCH($C12888,المنيو!$B$2:$B$500,0)),0))</f>
        <v/>
      </c>
      <c r="F12888" s="107" t="str">
        <f aca="false">IF($C12888="","",$D12888*$E12888)</f>
        <v/>
      </c>
      <c r="G12888" s="107" t="str">
        <f aca="false">IF($C12888="","",$D12888*IFERROR(INDEX('تحليل التكلفة والسعر'!$C$2:$C$700,MATCH($C12888,'تحليل التكلفة والسعر'!$B$2:$B$700,0)),0))</f>
        <v/>
      </c>
    </row>
    <row r="12889" customFormat="false" ht="15" hidden="false" customHeight="false" outlineLevel="0" collapsed="false">
      <c r="A12889" s="103"/>
      <c r="B12889" s="104"/>
      <c r="C12889" s="104"/>
      <c r="E12889" s="107" t="str">
        <f aca="false">IF($C12889="","",IFERROR(INDEX(المنيو!$C$2:$C$500,MATCH($C12889,المنيو!$B$2:$B$500,0)),0))</f>
        <v/>
      </c>
      <c r="F12889" s="107" t="str">
        <f aca="false">IF($C12889="","",$D12889*$E12889)</f>
        <v/>
      </c>
      <c r="G12889" s="107" t="str">
        <f aca="false">IF($C12889="","",$D12889*IFERROR(INDEX('تحليل التكلفة والسعر'!$C$2:$C$700,MATCH($C12889,'تحليل التكلفة والسعر'!$B$2:$B$700,0)),0))</f>
        <v/>
      </c>
    </row>
    <row r="12890" customFormat="false" ht="15" hidden="false" customHeight="false" outlineLevel="0" collapsed="false">
      <c r="A12890" s="103"/>
      <c r="B12890" s="104"/>
      <c r="C12890" s="104"/>
      <c r="E12890" s="107" t="str">
        <f aca="false">IF($C12890="","",IFERROR(INDEX(المنيو!$C$2:$C$500,MATCH($C12890,المنيو!$B$2:$B$500,0)),0))</f>
        <v/>
      </c>
      <c r="F12890" s="107" t="str">
        <f aca="false">IF($C12890="","",$D12890*$E12890)</f>
        <v/>
      </c>
      <c r="G12890" s="107" t="str">
        <f aca="false">IF($C12890="","",$D12890*IFERROR(INDEX('تحليل التكلفة والسعر'!$C$2:$C$700,MATCH($C12890,'تحليل التكلفة والسعر'!$B$2:$B$700,0)),0))</f>
        <v/>
      </c>
    </row>
    <row r="12891" customFormat="false" ht="15" hidden="false" customHeight="false" outlineLevel="0" collapsed="false">
      <c r="A12891" s="103"/>
      <c r="B12891" s="104"/>
      <c r="C12891" s="104"/>
      <c r="E12891" s="107" t="str">
        <f aca="false">IF($C12891="","",IFERROR(INDEX(المنيو!$C$2:$C$500,MATCH($C12891,المنيو!$B$2:$B$500,0)),0))</f>
        <v/>
      </c>
      <c r="F12891" s="107" t="str">
        <f aca="false">IF($C12891="","",$D12891*$E12891)</f>
        <v/>
      </c>
      <c r="G12891" s="107" t="str">
        <f aca="false">IF($C12891="","",$D12891*IFERROR(INDEX('تحليل التكلفة والسعر'!$C$2:$C$700,MATCH($C12891,'تحليل التكلفة والسعر'!$B$2:$B$700,0)),0))</f>
        <v/>
      </c>
    </row>
    <row r="12892" customFormat="false" ht="15" hidden="false" customHeight="false" outlineLevel="0" collapsed="false">
      <c r="A12892" s="103"/>
      <c r="B12892" s="104"/>
      <c r="C12892" s="104"/>
      <c r="E12892" s="107" t="str">
        <f aca="false">IF($C12892="","",IFERROR(INDEX(المنيو!$C$2:$C$500,MATCH($C12892,المنيو!$B$2:$B$500,0)),0))</f>
        <v/>
      </c>
      <c r="F12892" s="107" t="str">
        <f aca="false">IF($C12892="","",$D12892*$E12892)</f>
        <v/>
      </c>
      <c r="G12892" s="107" t="str">
        <f aca="false">IF($C12892="","",$D12892*IFERROR(INDEX('تحليل التكلفة والسعر'!$C$2:$C$700,MATCH($C12892,'تحليل التكلفة والسعر'!$B$2:$B$700,0)),0))</f>
        <v/>
      </c>
    </row>
    <row r="12893" customFormat="false" ht="15" hidden="false" customHeight="false" outlineLevel="0" collapsed="false">
      <c r="A12893" s="103"/>
      <c r="B12893" s="104"/>
      <c r="C12893" s="104"/>
      <c r="E12893" s="107" t="str">
        <f aca="false">IF($C12893="","",IFERROR(INDEX(المنيو!$C$2:$C$500,MATCH($C12893,المنيو!$B$2:$B$500,0)),0))</f>
        <v/>
      </c>
      <c r="F12893" s="107" t="str">
        <f aca="false">IF($C12893="","",$D12893*$E12893)</f>
        <v/>
      </c>
      <c r="G12893" s="107" t="str">
        <f aca="false">IF($C12893="","",$D12893*IFERROR(INDEX('تحليل التكلفة والسعر'!$C$2:$C$700,MATCH($C12893,'تحليل التكلفة والسعر'!$B$2:$B$700,0)),0))</f>
        <v/>
      </c>
    </row>
    <row r="12894" customFormat="false" ht="15" hidden="false" customHeight="false" outlineLevel="0" collapsed="false">
      <c r="A12894" s="103"/>
      <c r="B12894" s="104"/>
      <c r="C12894" s="104"/>
      <c r="E12894" s="107" t="str">
        <f aca="false">IF($C12894="","",IFERROR(INDEX(المنيو!$C$2:$C$500,MATCH($C12894,المنيو!$B$2:$B$500,0)),0))</f>
        <v/>
      </c>
      <c r="F12894" s="107" t="str">
        <f aca="false">IF($C12894="","",$D12894*$E12894)</f>
        <v/>
      </c>
      <c r="G12894" s="107" t="str">
        <f aca="false">IF($C12894="","",$D12894*IFERROR(INDEX('تحليل التكلفة والسعر'!$C$2:$C$700,MATCH($C12894,'تحليل التكلفة والسعر'!$B$2:$B$700,0)),0))</f>
        <v/>
      </c>
    </row>
    <row r="12895" customFormat="false" ht="15" hidden="false" customHeight="false" outlineLevel="0" collapsed="false">
      <c r="A12895" s="103"/>
      <c r="B12895" s="104"/>
      <c r="C12895" s="104"/>
      <c r="E12895" s="107" t="str">
        <f aca="false">IF($C12895="","",IFERROR(INDEX(المنيو!$C$2:$C$500,MATCH($C12895,المنيو!$B$2:$B$500,0)),0))</f>
        <v/>
      </c>
      <c r="F12895" s="107" t="str">
        <f aca="false">IF($C12895="","",$D12895*$E12895)</f>
        <v/>
      </c>
      <c r="G12895" s="107" t="str">
        <f aca="false">IF($C12895="","",$D12895*IFERROR(INDEX('تحليل التكلفة والسعر'!$C$2:$C$700,MATCH($C12895,'تحليل التكلفة والسعر'!$B$2:$B$700,0)),0))</f>
        <v/>
      </c>
    </row>
    <row r="12896" customFormat="false" ht="15" hidden="false" customHeight="false" outlineLevel="0" collapsed="false">
      <c r="A12896" s="103"/>
      <c r="B12896" s="104"/>
      <c r="C12896" s="104"/>
      <c r="E12896" s="107" t="str">
        <f aca="false">IF($C12896="","",IFERROR(INDEX(المنيو!$C$2:$C$500,MATCH($C12896,المنيو!$B$2:$B$500,0)),0))</f>
        <v/>
      </c>
      <c r="F12896" s="107" t="str">
        <f aca="false">IF($C12896="","",$D12896*$E12896)</f>
        <v/>
      </c>
      <c r="G12896" s="107" t="str">
        <f aca="false">IF($C12896="","",$D12896*IFERROR(INDEX('تحليل التكلفة والسعر'!$C$2:$C$700,MATCH($C12896,'تحليل التكلفة والسعر'!$B$2:$B$700,0)),0))</f>
        <v/>
      </c>
    </row>
    <row r="12897" customFormat="false" ht="15" hidden="false" customHeight="false" outlineLevel="0" collapsed="false">
      <c r="A12897" s="103"/>
      <c r="B12897" s="104"/>
      <c r="C12897" s="104"/>
      <c r="E12897" s="107" t="str">
        <f aca="false">IF($C12897="","",IFERROR(INDEX(المنيو!$C$2:$C$500,MATCH($C12897,المنيو!$B$2:$B$500,0)),0))</f>
        <v/>
      </c>
      <c r="F12897" s="107" t="str">
        <f aca="false">IF($C12897="","",$D12897*$E12897)</f>
        <v/>
      </c>
      <c r="G12897" s="107" t="str">
        <f aca="false">IF($C12897="","",$D12897*IFERROR(INDEX('تحليل التكلفة والسعر'!$C$2:$C$700,MATCH($C12897,'تحليل التكلفة والسعر'!$B$2:$B$700,0)),0))</f>
        <v/>
      </c>
    </row>
    <row r="12898" customFormat="false" ht="15" hidden="false" customHeight="false" outlineLevel="0" collapsed="false">
      <c r="A12898" s="103"/>
      <c r="B12898" s="104"/>
      <c r="C12898" s="104"/>
      <c r="E12898" s="107" t="str">
        <f aca="false">IF($C12898="","",IFERROR(INDEX(المنيو!$C$2:$C$500,MATCH($C12898,المنيو!$B$2:$B$500,0)),0))</f>
        <v/>
      </c>
      <c r="F12898" s="107" t="str">
        <f aca="false">IF($C12898="","",$D12898*$E12898)</f>
        <v/>
      </c>
      <c r="G12898" s="107" t="str">
        <f aca="false">IF($C12898="","",$D12898*IFERROR(INDEX('تحليل التكلفة والسعر'!$C$2:$C$700,MATCH($C12898,'تحليل التكلفة والسعر'!$B$2:$B$700,0)),0))</f>
        <v/>
      </c>
    </row>
    <row r="12899" customFormat="false" ht="15" hidden="false" customHeight="false" outlineLevel="0" collapsed="false">
      <c r="A12899" s="103"/>
      <c r="B12899" s="104"/>
      <c r="C12899" s="104"/>
      <c r="E12899" s="107" t="str">
        <f aca="false">IF($C12899="","",IFERROR(INDEX(المنيو!$C$2:$C$500,MATCH($C12899,المنيو!$B$2:$B$500,0)),0))</f>
        <v/>
      </c>
      <c r="F12899" s="107" t="str">
        <f aca="false">IF($C12899="","",$D12899*$E12899)</f>
        <v/>
      </c>
      <c r="G12899" s="107" t="str">
        <f aca="false">IF($C12899="","",$D12899*IFERROR(INDEX('تحليل التكلفة والسعر'!$C$2:$C$700,MATCH($C12899,'تحليل التكلفة والسعر'!$B$2:$B$700,0)),0))</f>
        <v/>
      </c>
    </row>
    <row r="12900" customFormat="false" ht="15" hidden="false" customHeight="false" outlineLevel="0" collapsed="false">
      <c r="A12900" s="103"/>
      <c r="B12900" s="104"/>
      <c r="C12900" s="104"/>
      <c r="E12900" s="107" t="str">
        <f aca="false">IF($C12900="","",IFERROR(INDEX(المنيو!$C$2:$C$500,MATCH($C12900,المنيو!$B$2:$B$500,0)),0))</f>
        <v/>
      </c>
      <c r="F12900" s="107" t="str">
        <f aca="false">IF($C12900="","",$D12900*$E12900)</f>
        <v/>
      </c>
      <c r="G12900" s="107" t="str">
        <f aca="false">IF($C12900="","",$D12900*IFERROR(INDEX('تحليل التكلفة والسعر'!$C$2:$C$700,MATCH($C12900,'تحليل التكلفة والسعر'!$B$2:$B$700,0)),0))</f>
        <v/>
      </c>
    </row>
    <row r="12901" customFormat="false" ht="15" hidden="false" customHeight="false" outlineLevel="0" collapsed="false">
      <c r="A12901" s="103"/>
      <c r="B12901" s="104"/>
      <c r="C12901" s="104"/>
      <c r="E12901" s="107" t="str">
        <f aca="false">IF($C12901="","",IFERROR(INDEX(المنيو!$C$2:$C$500,MATCH($C12901,المنيو!$B$2:$B$500,0)),0))</f>
        <v/>
      </c>
      <c r="F12901" s="107" t="str">
        <f aca="false">IF($C12901="","",$D12901*$E12901)</f>
        <v/>
      </c>
      <c r="G12901" s="107" t="str">
        <f aca="false">IF($C12901="","",$D12901*IFERROR(INDEX('تحليل التكلفة والسعر'!$C$2:$C$700,MATCH($C12901,'تحليل التكلفة والسعر'!$B$2:$B$700,0)),0))</f>
        <v/>
      </c>
    </row>
    <row r="12902" customFormat="false" ht="15" hidden="false" customHeight="false" outlineLevel="0" collapsed="false">
      <c r="A12902" s="103"/>
      <c r="B12902" s="104"/>
      <c r="C12902" s="104"/>
      <c r="E12902" s="107" t="str">
        <f aca="false">IF($C12902="","",IFERROR(INDEX(المنيو!$C$2:$C$500,MATCH($C12902,المنيو!$B$2:$B$500,0)),0))</f>
        <v/>
      </c>
      <c r="F12902" s="107" t="str">
        <f aca="false">IF($C12902="","",$D12902*$E12902)</f>
        <v/>
      </c>
      <c r="G12902" s="107" t="str">
        <f aca="false">IF($C12902="","",$D12902*IFERROR(INDEX('تحليل التكلفة والسعر'!$C$2:$C$700,MATCH($C12902,'تحليل التكلفة والسعر'!$B$2:$B$700,0)),0))</f>
        <v/>
      </c>
    </row>
    <row r="12903" customFormat="false" ht="15" hidden="false" customHeight="false" outlineLevel="0" collapsed="false">
      <c r="A12903" s="103"/>
      <c r="B12903" s="104"/>
      <c r="C12903" s="104"/>
      <c r="E12903" s="107" t="str">
        <f aca="false">IF($C12903="","",IFERROR(INDEX(المنيو!$C$2:$C$500,MATCH($C12903,المنيو!$B$2:$B$500,0)),0))</f>
        <v/>
      </c>
      <c r="F12903" s="107" t="str">
        <f aca="false">IF($C12903="","",$D12903*$E12903)</f>
        <v/>
      </c>
      <c r="G12903" s="107" t="str">
        <f aca="false">IF($C12903="","",$D12903*IFERROR(INDEX('تحليل التكلفة والسعر'!$C$2:$C$700,MATCH($C12903,'تحليل التكلفة والسعر'!$B$2:$B$700,0)),0))</f>
        <v/>
      </c>
    </row>
    <row r="12904" customFormat="false" ht="15" hidden="false" customHeight="false" outlineLevel="0" collapsed="false">
      <c r="A12904" s="103"/>
      <c r="B12904" s="104"/>
      <c r="C12904" s="104"/>
      <c r="E12904" s="107" t="str">
        <f aca="false">IF($C12904="","",IFERROR(INDEX(المنيو!$C$2:$C$500,MATCH($C12904,المنيو!$B$2:$B$500,0)),0))</f>
        <v/>
      </c>
      <c r="F12904" s="107" t="str">
        <f aca="false">IF($C12904="","",$D12904*$E12904)</f>
        <v/>
      </c>
      <c r="G12904" s="107" t="str">
        <f aca="false">IF($C12904="","",$D12904*IFERROR(INDEX('تحليل التكلفة والسعر'!$C$2:$C$700,MATCH($C12904,'تحليل التكلفة والسعر'!$B$2:$B$700,0)),0))</f>
        <v/>
      </c>
    </row>
    <row r="12905" customFormat="false" ht="15" hidden="false" customHeight="false" outlineLevel="0" collapsed="false">
      <c r="A12905" s="103"/>
      <c r="B12905" s="104"/>
      <c r="C12905" s="104"/>
      <c r="E12905" s="107" t="str">
        <f aca="false">IF($C12905="","",IFERROR(INDEX(المنيو!$C$2:$C$500,MATCH($C12905,المنيو!$B$2:$B$500,0)),0))</f>
        <v/>
      </c>
      <c r="F12905" s="107" t="str">
        <f aca="false">IF($C12905="","",$D12905*$E12905)</f>
        <v/>
      </c>
      <c r="G12905" s="107" t="str">
        <f aca="false">IF($C12905="","",$D12905*IFERROR(INDEX('تحليل التكلفة والسعر'!$C$2:$C$700,MATCH($C12905,'تحليل التكلفة والسعر'!$B$2:$B$700,0)),0))</f>
        <v/>
      </c>
    </row>
    <row r="12906" customFormat="false" ht="15" hidden="false" customHeight="false" outlineLevel="0" collapsed="false">
      <c r="A12906" s="103"/>
      <c r="B12906" s="104"/>
      <c r="C12906" s="104"/>
      <c r="E12906" s="107" t="str">
        <f aca="false">IF($C12906="","",IFERROR(INDEX(المنيو!$C$2:$C$500,MATCH($C12906,المنيو!$B$2:$B$500,0)),0))</f>
        <v/>
      </c>
      <c r="F12906" s="107" t="str">
        <f aca="false">IF($C12906="","",$D12906*$E12906)</f>
        <v/>
      </c>
      <c r="G12906" s="107" t="str">
        <f aca="false">IF($C12906="","",$D12906*IFERROR(INDEX('تحليل التكلفة والسعر'!$C$2:$C$700,MATCH($C12906,'تحليل التكلفة والسعر'!$B$2:$B$700,0)),0))</f>
        <v/>
      </c>
    </row>
    <row r="12907" customFormat="false" ht="15" hidden="false" customHeight="false" outlineLevel="0" collapsed="false">
      <c r="A12907" s="103"/>
      <c r="B12907" s="104"/>
      <c r="C12907" s="104"/>
      <c r="E12907" s="107" t="str">
        <f aca="false">IF($C12907="","",IFERROR(INDEX(المنيو!$C$2:$C$500,MATCH($C12907,المنيو!$B$2:$B$500,0)),0))</f>
        <v/>
      </c>
      <c r="F12907" s="107" t="str">
        <f aca="false">IF($C12907="","",$D12907*$E12907)</f>
        <v/>
      </c>
      <c r="G12907" s="107" t="str">
        <f aca="false">IF($C12907="","",$D12907*IFERROR(INDEX('تحليل التكلفة والسعر'!$C$2:$C$700,MATCH($C12907,'تحليل التكلفة والسعر'!$B$2:$B$700,0)),0))</f>
        <v/>
      </c>
    </row>
    <row r="12908" customFormat="false" ht="15" hidden="false" customHeight="false" outlineLevel="0" collapsed="false">
      <c r="A12908" s="103"/>
      <c r="B12908" s="104"/>
      <c r="C12908" s="104"/>
      <c r="E12908" s="107" t="str">
        <f aca="false">IF($C12908="","",IFERROR(INDEX(المنيو!$C$2:$C$500,MATCH($C12908,المنيو!$B$2:$B$500,0)),0))</f>
        <v/>
      </c>
      <c r="F12908" s="107" t="str">
        <f aca="false">IF($C12908="","",$D12908*$E12908)</f>
        <v/>
      </c>
      <c r="G12908" s="107" t="str">
        <f aca="false">IF($C12908="","",$D12908*IFERROR(INDEX('تحليل التكلفة والسعر'!$C$2:$C$700,MATCH($C12908,'تحليل التكلفة والسعر'!$B$2:$B$700,0)),0))</f>
        <v/>
      </c>
    </row>
    <row r="12909" customFormat="false" ht="15" hidden="false" customHeight="false" outlineLevel="0" collapsed="false">
      <c r="A12909" s="103"/>
      <c r="B12909" s="104"/>
      <c r="C12909" s="104"/>
      <c r="E12909" s="107" t="str">
        <f aca="false">IF($C12909="","",IFERROR(INDEX(المنيو!$C$2:$C$500,MATCH($C12909,المنيو!$B$2:$B$500,0)),0))</f>
        <v/>
      </c>
      <c r="F12909" s="107" t="str">
        <f aca="false">IF($C12909="","",$D12909*$E12909)</f>
        <v/>
      </c>
      <c r="G12909" s="107" t="str">
        <f aca="false">IF($C12909="","",$D12909*IFERROR(INDEX('تحليل التكلفة والسعر'!$C$2:$C$700,MATCH($C12909,'تحليل التكلفة والسعر'!$B$2:$B$700,0)),0))</f>
        <v/>
      </c>
    </row>
    <row r="12910" customFormat="false" ht="15" hidden="false" customHeight="false" outlineLevel="0" collapsed="false">
      <c r="A12910" s="103"/>
      <c r="B12910" s="104"/>
      <c r="C12910" s="104"/>
      <c r="E12910" s="107" t="str">
        <f aca="false">IF($C12910="","",IFERROR(INDEX(المنيو!$C$2:$C$500,MATCH($C12910,المنيو!$B$2:$B$500,0)),0))</f>
        <v/>
      </c>
      <c r="F12910" s="107" t="str">
        <f aca="false">IF($C12910="","",$D12910*$E12910)</f>
        <v/>
      </c>
      <c r="G12910" s="107" t="str">
        <f aca="false">IF($C12910="","",$D12910*IFERROR(INDEX('تحليل التكلفة والسعر'!$C$2:$C$700,MATCH($C12910,'تحليل التكلفة والسعر'!$B$2:$B$700,0)),0))</f>
        <v/>
      </c>
    </row>
    <row r="12911" customFormat="false" ht="15" hidden="false" customHeight="false" outlineLevel="0" collapsed="false">
      <c r="A12911" s="103"/>
      <c r="B12911" s="104"/>
      <c r="C12911" s="104"/>
      <c r="E12911" s="107" t="str">
        <f aca="false">IF($C12911="","",IFERROR(INDEX(المنيو!$C$2:$C$500,MATCH($C12911,المنيو!$B$2:$B$500,0)),0))</f>
        <v/>
      </c>
      <c r="F12911" s="107" t="str">
        <f aca="false">IF($C12911="","",$D12911*$E12911)</f>
        <v/>
      </c>
      <c r="G12911" s="107" t="str">
        <f aca="false">IF($C12911="","",$D12911*IFERROR(INDEX('تحليل التكلفة والسعر'!$C$2:$C$700,MATCH($C12911,'تحليل التكلفة والسعر'!$B$2:$B$700,0)),0))</f>
        <v/>
      </c>
    </row>
    <row r="12912" customFormat="false" ht="15" hidden="false" customHeight="false" outlineLevel="0" collapsed="false">
      <c r="A12912" s="103"/>
      <c r="B12912" s="104"/>
      <c r="C12912" s="104"/>
      <c r="E12912" s="107" t="str">
        <f aca="false">IF($C12912="","",IFERROR(INDEX(المنيو!$C$2:$C$500,MATCH($C12912,المنيو!$B$2:$B$500,0)),0))</f>
        <v/>
      </c>
      <c r="F12912" s="107" t="str">
        <f aca="false">IF($C12912="","",$D12912*$E12912)</f>
        <v/>
      </c>
      <c r="G12912" s="107" t="str">
        <f aca="false">IF($C12912="","",$D12912*IFERROR(INDEX('تحليل التكلفة والسعر'!$C$2:$C$700,MATCH($C12912,'تحليل التكلفة والسعر'!$B$2:$B$700,0)),0))</f>
        <v/>
      </c>
    </row>
    <row r="12913" customFormat="false" ht="15" hidden="false" customHeight="false" outlineLevel="0" collapsed="false">
      <c r="A12913" s="103"/>
      <c r="B12913" s="104"/>
      <c r="C12913" s="104"/>
      <c r="E12913" s="107" t="str">
        <f aca="false">IF($C12913="","",IFERROR(INDEX(المنيو!$C$2:$C$500,MATCH($C12913,المنيو!$B$2:$B$500,0)),0))</f>
        <v/>
      </c>
      <c r="F12913" s="107" t="str">
        <f aca="false">IF($C12913="","",$D12913*$E12913)</f>
        <v/>
      </c>
      <c r="G12913" s="107" t="str">
        <f aca="false">IF($C12913="","",$D12913*IFERROR(INDEX('تحليل التكلفة والسعر'!$C$2:$C$700,MATCH($C12913,'تحليل التكلفة والسعر'!$B$2:$B$700,0)),0))</f>
        <v/>
      </c>
    </row>
    <row r="12914" customFormat="false" ht="15" hidden="false" customHeight="false" outlineLevel="0" collapsed="false">
      <c r="A12914" s="103"/>
      <c r="B12914" s="104"/>
      <c r="C12914" s="104"/>
      <c r="E12914" s="107" t="str">
        <f aca="false">IF($C12914="","",IFERROR(INDEX(المنيو!$C$2:$C$500,MATCH($C12914,المنيو!$B$2:$B$500,0)),0))</f>
        <v/>
      </c>
      <c r="F12914" s="107" t="str">
        <f aca="false">IF($C12914="","",$D12914*$E12914)</f>
        <v/>
      </c>
      <c r="G12914" s="107" t="str">
        <f aca="false">IF($C12914="","",$D12914*IFERROR(INDEX('تحليل التكلفة والسعر'!$C$2:$C$700,MATCH($C12914,'تحليل التكلفة والسعر'!$B$2:$B$700,0)),0))</f>
        <v/>
      </c>
    </row>
    <row r="12915" customFormat="false" ht="15" hidden="false" customHeight="false" outlineLevel="0" collapsed="false">
      <c r="A12915" s="103"/>
      <c r="B12915" s="104"/>
      <c r="C12915" s="104"/>
      <c r="E12915" s="107" t="str">
        <f aca="false">IF($C12915="","",IFERROR(INDEX(المنيو!$C$2:$C$500,MATCH($C12915,المنيو!$B$2:$B$500,0)),0))</f>
        <v/>
      </c>
      <c r="F12915" s="107" t="str">
        <f aca="false">IF($C12915="","",$D12915*$E12915)</f>
        <v/>
      </c>
      <c r="G12915" s="107" t="str">
        <f aca="false">IF($C12915="","",$D12915*IFERROR(INDEX('تحليل التكلفة والسعر'!$C$2:$C$700,MATCH($C12915,'تحليل التكلفة والسعر'!$B$2:$B$700,0)),0))</f>
        <v/>
      </c>
    </row>
    <row r="12916" customFormat="false" ht="15" hidden="false" customHeight="false" outlineLevel="0" collapsed="false">
      <c r="A12916" s="103"/>
      <c r="B12916" s="104"/>
      <c r="C12916" s="104"/>
      <c r="E12916" s="107" t="str">
        <f aca="false">IF($C12916="","",IFERROR(INDEX(المنيو!$C$2:$C$500,MATCH($C12916,المنيو!$B$2:$B$500,0)),0))</f>
        <v/>
      </c>
      <c r="F12916" s="107" t="str">
        <f aca="false">IF($C12916="","",$D12916*$E12916)</f>
        <v/>
      </c>
      <c r="G12916" s="107" t="str">
        <f aca="false">IF($C12916="","",$D12916*IFERROR(INDEX('تحليل التكلفة والسعر'!$C$2:$C$700,MATCH($C12916,'تحليل التكلفة والسعر'!$B$2:$B$700,0)),0))</f>
        <v/>
      </c>
    </row>
    <row r="12917" customFormat="false" ht="15" hidden="false" customHeight="false" outlineLevel="0" collapsed="false">
      <c r="A12917" s="103"/>
      <c r="B12917" s="104"/>
      <c r="C12917" s="104"/>
      <c r="E12917" s="107" t="str">
        <f aca="false">IF($C12917="","",IFERROR(INDEX(المنيو!$C$2:$C$500,MATCH($C12917,المنيو!$B$2:$B$500,0)),0))</f>
        <v/>
      </c>
      <c r="F12917" s="107" t="str">
        <f aca="false">IF($C12917="","",$D12917*$E12917)</f>
        <v/>
      </c>
      <c r="G12917" s="107" t="str">
        <f aca="false">IF($C12917="","",$D12917*IFERROR(INDEX('تحليل التكلفة والسعر'!$C$2:$C$700,MATCH($C12917,'تحليل التكلفة والسعر'!$B$2:$B$700,0)),0))</f>
        <v/>
      </c>
    </row>
    <row r="12918" customFormat="false" ht="15" hidden="false" customHeight="false" outlineLevel="0" collapsed="false">
      <c r="A12918" s="103"/>
      <c r="B12918" s="104"/>
      <c r="C12918" s="104"/>
      <c r="E12918" s="107" t="str">
        <f aca="false">IF($C12918="","",IFERROR(INDEX(المنيو!$C$2:$C$500,MATCH($C12918,المنيو!$B$2:$B$500,0)),0))</f>
        <v/>
      </c>
      <c r="F12918" s="107" t="str">
        <f aca="false">IF($C12918="","",$D12918*$E12918)</f>
        <v/>
      </c>
      <c r="G12918" s="107" t="str">
        <f aca="false">IF($C12918="","",$D12918*IFERROR(INDEX('تحليل التكلفة والسعر'!$C$2:$C$700,MATCH($C12918,'تحليل التكلفة والسعر'!$B$2:$B$700,0)),0))</f>
        <v/>
      </c>
    </row>
    <row r="12919" customFormat="false" ht="15" hidden="false" customHeight="false" outlineLevel="0" collapsed="false">
      <c r="A12919" s="103"/>
      <c r="B12919" s="104"/>
      <c r="C12919" s="104"/>
      <c r="E12919" s="107" t="str">
        <f aca="false">IF($C12919="","",IFERROR(INDEX(المنيو!$C$2:$C$500,MATCH($C12919,المنيو!$B$2:$B$500,0)),0))</f>
        <v/>
      </c>
      <c r="F12919" s="107" t="str">
        <f aca="false">IF($C12919="","",$D12919*$E12919)</f>
        <v/>
      </c>
      <c r="G12919" s="107" t="str">
        <f aca="false">IF($C12919="","",$D12919*IFERROR(INDEX('تحليل التكلفة والسعر'!$C$2:$C$700,MATCH($C12919,'تحليل التكلفة والسعر'!$B$2:$B$700,0)),0))</f>
        <v/>
      </c>
    </row>
    <row r="12920" customFormat="false" ht="15" hidden="false" customHeight="false" outlineLevel="0" collapsed="false">
      <c r="A12920" s="103"/>
      <c r="B12920" s="104"/>
      <c r="C12920" s="104"/>
      <c r="E12920" s="107" t="str">
        <f aca="false">IF($C12920="","",IFERROR(INDEX(المنيو!$C$2:$C$500,MATCH($C12920,المنيو!$B$2:$B$500,0)),0))</f>
        <v/>
      </c>
      <c r="F12920" s="107" t="str">
        <f aca="false">IF($C12920="","",$D12920*$E12920)</f>
        <v/>
      </c>
      <c r="G12920" s="107" t="str">
        <f aca="false">IF($C12920="","",$D12920*IFERROR(INDEX('تحليل التكلفة والسعر'!$C$2:$C$700,MATCH($C12920,'تحليل التكلفة والسعر'!$B$2:$B$700,0)),0))</f>
        <v/>
      </c>
    </row>
    <row r="12921" customFormat="false" ht="15" hidden="false" customHeight="false" outlineLevel="0" collapsed="false">
      <c r="A12921" s="103"/>
      <c r="B12921" s="104"/>
      <c r="C12921" s="104"/>
      <c r="E12921" s="107" t="str">
        <f aca="false">IF($C12921="","",IFERROR(INDEX(المنيو!$C$2:$C$500,MATCH($C12921,المنيو!$B$2:$B$500,0)),0))</f>
        <v/>
      </c>
      <c r="F12921" s="107" t="str">
        <f aca="false">IF($C12921="","",$D12921*$E12921)</f>
        <v/>
      </c>
      <c r="G12921" s="107" t="str">
        <f aca="false">IF($C12921="","",$D12921*IFERROR(INDEX('تحليل التكلفة والسعر'!$C$2:$C$700,MATCH($C12921,'تحليل التكلفة والسعر'!$B$2:$B$700,0)),0))</f>
        <v/>
      </c>
    </row>
    <row r="12922" customFormat="false" ht="15" hidden="false" customHeight="false" outlineLevel="0" collapsed="false">
      <c r="A12922" s="103"/>
      <c r="B12922" s="104"/>
      <c r="C12922" s="104"/>
      <c r="E12922" s="107" t="str">
        <f aca="false">IF($C12922="","",IFERROR(INDEX(المنيو!$C$2:$C$500,MATCH($C12922,المنيو!$B$2:$B$500,0)),0))</f>
        <v/>
      </c>
      <c r="F12922" s="107" t="str">
        <f aca="false">IF($C12922="","",$D12922*$E12922)</f>
        <v/>
      </c>
      <c r="G12922" s="107" t="str">
        <f aca="false">IF($C12922="","",$D12922*IFERROR(INDEX('تحليل التكلفة والسعر'!$C$2:$C$700,MATCH($C12922,'تحليل التكلفة والسعر'!$B$2:$B$700,0)),0))</f>
        <v/>
      </c>
    </row>
    <row r="12923" customFormat="false" ht="15" hidden="false" customHeight="false" outlineLevel="0" collapsed="false">
      <c r="A12923" s="103"/>
      <c r="B12923" s="104"/>
      <c r="C12923" s="104"/>
      <c r="E12923" s="107" t="str">
        <f aca="false">IF($C12923="","",IFERROR(INDEX(المنيو!$C$2:$C$500,MATCH($C12923,المنيو!$B$2:$B$500,0)),0))</f>
        <v/>
      </c>
      <c r="F12923" s="107" t="str">
        <f aca="false">IF($C12923="","",$D12923*$E12923)</f>
        <v/>
      </c>
      <c r="G12923" s="107" t="str">
        <f aca="false">IF($C12923="","",$D12923*IFERROR(INDEX('تحليل التكلفة والسعر'!$C$2:$C$700,MATCH($C12923,'تحليل التكلفة والسعر'!$B$2:$B$700,0)),0))</f>
        <v/>
      </c>
    </row>
    <row r="12924" customFormat="false" ht="15" hidden="false" customHeight="false" outlineLevel="0" collapsed="false">
      <c r="A12924" s="103"/>
      <c r="B12924" s="104"/>
      <c r="C12924" s="104"/>
      <c r="E12924" s="107" t="str">
        <f aca="false">IF($C12924="","",IFERROR(INDEX(المنيو!$C$2:$C$500,MATCH($C12924,المنيو!$B$2:$B$500,0)),0))</f>
        <v/>
      </c>
      <c r="F12924" s="107" t="str">
        <f aca="false">IF($C12924="","",$D12924*$E12924)</f>
        <v/>
      </c>
      <c r="G12924" s="107" t="str">
        <f aca="false">IF($C12924="","",$D12924*IFERROR(INDEX('تحليل التكلفة والسعر'!$C$2:$C$700,MATCH($C12924,'تحليل التكلفة والسعر'!$B$2:$B$700,0)),0))</f>
        <v/>
      </c>
    </row>
    <row r="12925" customFormat="false" ht="15" hidden="false" customHeight="false" outlineLevel="0" collapsed="false">
      <c r="A12925" s="103"/>
      <c r="B12925" s="104"/>
      <c r="C12925" s="104"/>
      <c r="E12925" s="107" t="str">
        <f aca="false">IF($C12925="","",IFERROR(INDEX(المنيو!$C$2:$C$500,MATCH($C12925,المنيو!$B$2:$B$500,0)),0))</f>
        <v/>
      </c>
      <c r="F12925" s="107" t="str">
        <f aca="false">IF($C12925="","",$D12925*$E12925)</f>
        <v/>
      </c>
      <c r="G12925" s="107" t="str">
        <f aca="false">IF($C12925="","",$D12925*IFERROR(INDEX('تحليل التكلفة والسعر'!$C$2:$C$700,MATCH($C12925,'تحليل التكلفة والسعر'!$B$2:$B$700,0)),0))</f>
        <v/>
      </c>
    </row>
    <row r="12926" customFormat="false" ht="15" hidden="false" customHeight="false" outlineLevel="0" collapsed="false">
      <c r="A12926" s="103"/>
      <c r="B12926" s="104"/>
      <c r="C12926" s="104"/>
      <c r="E12926" s="107" t="str">
        <f aca="false">IF($C12926="","",IFERROR(INDEX(المنيو!$C$2:$C$500,MATCH($C12926,المنيو!$B$2:$B$500,0)),0))</f>
        <v/>
      </c>
      <c r="F12926" s="107" t="str">
        <f aca="false">IF($C12926="","",$D12926*$E12926)</f>
        <v/>
      </c>
      <c r="G12926" s="107" t="str">
        <f aca="false">IF($C12926="","",$D12926*IFERROR(INDEX('تحليل التكلفة والسعر'!$C$2:$C$700,MATCH($C12926,'تحليل التكلفة والسعر'!$B$2:$B$700,0)),0))</f>
        <v/>
      </c>
    </row>
    <row r="12927" customFormat="false" ht="15" hidden="false" customHeight="false" outlineLevel="0" collapsed="false">
      <c r="A12927" s="103"/>
      <c r="B12927" s="104"/>
      <c r="C12927" s="104"/>
      <c r="E12927" s="107" t="str">
        <f aca="false">IF($C12927="","",IFERROR(INDEX(المنيو!$C$2:$C$500,MATCH($C12927,المنيو!$B$2:$B$500,0)),0))</f>
        <v/>
      </c>
      <c r="F12927" s="107" t="str">
        <f aca="false">IF($C12927="","",$D12927*$E12927)</f>
        <v/>
      </c>
      <c r="G12927" s="107" t="str">
        <f aca="false">IF($C12927="","",$D12927*IFERROR(INDEX('تحليل التكلفة والسعر'!$C$2:$C$700,MATCH($C12927,'تحليل التكلفة والسعر'!$B$2:$B$700,0)),0))</f>
        <v/>
      </c>
    </row>
    <row r="12928" customFormat="false" ht="15" hidden="false" customHeight="false" outlineLevel="0" collapsed="false">
      <c r="A12928" s="103"/>
      <c r="B12928" s="104"/>
      <c r="C12928" s="104"/>
      <c r="E12928" s="107" t="str">
        <f aca="false">IF($C12928="","",IFERROR(INDEX(المنيو!$C$2:$C$500,MATCH($C12928,المنيو!$B$2:$B$500,0)),0))</f>
        <v/>
      </c>
      <c r="F12928" s="107" t="str">
        <f aca="false">IF($C12928="","",$D12928*$E12928)</f>
        <v/>
      </c>
      <c r="G12928" s="107" t="str">
        <f aca="false">IF($C12928="","",$D12928*IFERROR(INDEX('تحليل التكلفة والسعر'!$C$2:$C$700,MATCH($C12928,'تحليل التكلفة والسعر'!$B$2:$B$700,0)),0))</f>
        <v/>
      </c>
    </row>
    <row r="12929" customFormat="false" ht="15" hidden="false" customHeight="false" outlineLevel="0" collapsed="false">
      <c r="A12929" s="103"/>
      <c r="B12929" s="104"/>
      <c r="C12929" s="104"/>
      <c r="E12929" s="107" t="str">
        <f aca="false">IF($C12929="","",IFERROR(INDEX(المنيو!$C$2:$C$500,MATCH($C12929,المنيو!$B$2:$B$500,0)),0))</f>
        <v/>
      </c>
      <c r="F12929" s="107" t="str">
        <f aca="false">IF($C12929="","",$D12929*$E12929)</f>
        <v/>
      </c>
      <c r="G12929" s="107" t="str">
        <f aca="false">IF($C12929="","",$D12929*IFERROR(INDEX('تحليل التكلفة والسعر'!$C$2:$C$700,MATCH($C12929,'تحليل التكلفة والسعر'!$B$2:$B$700,0)),0))</f>
        <v/>
      </c>
    </row>
    <row r="12930" customFormat="false" ht="15" hidden="false" customHeight="false" outlineLevel="0" collapsed="false">
      <c r="A12930" s="103"/>
      <c r="B12930" s="104"/>
      <c r="C12930" s="104"/>
      <c r="E12930" s="107" t="str">
        <f aca="false">IF($C12930="","",IFERROR(INDEX(المنيو!$C$2:$C$500,MATCH($C12930,المنيو!$B$2:$B$500,0)),0))</f>
        <v/>
      </c>
      <c r="F12930" s="107" t="str">
        <f aca="false">IF($C12930="","",$D12930*$E12930)</f>
        <v/>
      </c>
      <c r="G12930" s="107" t="str">
        <f aca="false">IF($C12930="","",$D12930*IFERROR(INDEX('تحليل التكلفة والسعر'!$C$2:$C$700,MATCH($C12930,'تحليل التكلفة والسعر'!$B$2:$B$700,0)),0))</f>
        <v/>
      </c>
    </row>
    <row r="12931" customFormat="false" ht="15" hidden="false" customHeight="false" outlineLevel="0" collapsed="false">
      <c r="A12931" s="103"/>
      <c r="B12931" s="104"/>
      <c r="C12931" s="104"/>
      <c r="E12931" s="107" t="str">
        <f aca="false">IF($C12931="","",IFERROR(INDEX(المنيو!$C$2:$C$500,MATCH($C12931,المنيو!$B$2:$B$500,0)),0))</f>
        <v/>
      </c>
      <c r="F12931" s="107" t="str">
        <f aca="false">IF($C12931="","",$D12931*$E12931)</f>
        <v/>
      </c>
      <c r="G12931" s="107" t="str">
        <f aca="false">IF($C12931="","",$D12931*IFERROR(INDEX('تحليل التكلفة والسعر'!$C$2:$C$700,MATCH($C12931,'تحليل التكلفة والسعر'!$B$2:$B$700,0)),0))</f>
        <v/>
      </c>
    </row>
    <row r="12932" customFormat="false" ht="15" hidden="false" customHeight="false" outlineLevel="0" collapsed="false">
      <c r="A12932" s="103"/>
      <c r="B12932" s="104"/>
      <c r="C12932" s="104"/>
      <c r="E12932" s="107" t="str">
        <f aca="false">IF($C12932="","",IFERROR(INDEX(المنيو!$C$2:$C$500,MATCH($C12932,المنيو!$B$2:$B$500,0)),0))</f>
        <v/>
      </c>
      <c r="F12932" s="107" t="str">
        <f aca="false">IF($C12932="","",$D12932*$E12932)</f>
        <v/>
      </c>
      <c r="G12932" s="107" t="str">
        <f aca="false">IF($C12932="","",$D12932*IFERROR(INDEX('تحليل التكلفة والسعر'!$C$2:$C$700,MATCH($C12932,'تحليل التكلفة والسعر'!$B$2:$B$700,0)),0))</f>
        <v/>
      </c>
    </row>
    <row r="12933" customFormat="false" ht="15" hidden="false" customHeight="false" outlineLevel="0" collapsed="false">
      <c r="A12933" s="103"/>
      <c r="B12933" s="104"/>
      <c r="C12933" s="104"/>
      <c r="E12933" s="107" t="str">
        <f aca="false">IF($C12933="","",IFERROR(INDEX(المنيو!$C$2:$C$500,MATCH($C12933,المنيو!$B$2:$B$500,0)),0))</f>
        <v/>
      </c>
      <c r="F12933" s="107" t="str">
        <f aca="false">IF($C12933="","",$D12933*$E12933)</f>
        <v/>
      </c>
      <c r="G12933" s="107" t="str">
        <f aca="false">IF($C12933="","",$D12933*IFERROR(INDEX('تحليل التكلفة والسعر'!$C$2:$C$700,MATCH($C12933,'تحليل التكلفة والسعر'!$B$2:$B$700,0)),0))</f>
        <v/>
      </c>
    </row>
    <row r="12934" customFormat="false" ht="15" hidden="false" customHeight="false" outlineLevel="0" collapsed="false">
      <c r="A12934" s="103"/>
      <c r="B12934" s="104"/>
      <c r="C12934" s="104"/>
      <c r="E12934" s="107" t="str">
        <f aca="false">IF($C12934="","",IFERROR(INDEX(المنيو!$C$2:$C$500,MATCH($C12934,المنيو!$B$2:$B$500,0)),0))</f>
        <v/>
      </c>
      <c r="F12934" s="107" t="str">
        <f aca="false">IF($C12934="","",$D12934*$E12934)</f>
        <v/>
      </c>
      <c r="G12934" s="107" t="str">
        <f aca="false">IF($C12934="","",$D12934*IFERROR(INDEX('تحليل التكلفة والسعر'!$C$2:$C$700,MATCH($C12934,'تحليل التكلفة والسعر'!$B$2:$B$700,0)),0))</f>
        <v/>
      </c>
    </row>
    <row r="12935" customFormat="false" ht="15" hidden="false" customHeight="false" outlineLevel="0" collapsed="false">
      <c r="A12935" s="103"/>
      <c r="B12935" s="104"/>
      <c r="C12935" s="104"/>
      <c r="E12935" s="107" t="str">
        <f aca="false">IF($C12935="","",IFERROR(INDEX(المنيو!$C$2:$C$500,MATCH($C12935,المنيو!$B$2:$B$500,0)),0))</f>
        <v/>
      </c>
      <c r="F12935" s="107" t="str">
        <f aca="false">IF($C12935="","",$D12935*$E12935)</f>
        <v/>
      </c>
      <c r="G12935" s="107" t="str">
        <f aca="false">IF($C12935="","",$D12935*IFERROR(INDEX('تحليل التكلفة والسعر'!$C$2:$C$700,MATCH($C12935,'تحليل التكلفة والسعر'!$B$2:$B$700,0)),0))</f>
        <v/>
      </c>
    </row>
    <row r="12936" customFormat="false" ht="15" hidden="false" customHeight="false" outlineLevel="0" collapsed="false">
      <c r="A12936" s="103"/>
      <c r="B12936" s="104"/>
      <c r="C12936" s="104"/>
      <c r="E12936" s="107" t="str">
        <f aca="false">IF($C12936="","",IFERROR(INDEX(المنيو!$C$2:$C$500,MATCH($C12936,المنيو!$B$2:$B$500,0)),0))</f>
        <v/>
      </c>
      <c r="F12936" s="107" t="str">
        <f aca="false">IF($C12936="","",$D12936*$E12936)</f>
        <v/>
      </c>
      <c r="G12936" s="107" t="str">
        <f aca="false">IF($C12936="","",$D12936*IFERROR(INDEX('تحليل التكلفة والسعر'!$C$2:$C$700,MATCH($C12936,'تحليل التكلفة والسعر'!$B$2:$B$700,0)),0))</f>
        <v/>
      </c>
    </row>
    <row r="12937" customFormat="false" ht="15" hidden="false" customHeight="false" outlineLevel="0" collapsed="false">
      <c r="A12937" s="103"/>
      <c r="B12937" s="104"/>
      <c r="C12937" s="104"/>
      <c r="E12937" s="107" t="str">
        <f aca="false">IF($C12937="","",IFERROR(INDEX(المنيو!$C$2:$C$500,MATCH($C12937,المنيو!$B$2:$B$500,0)),0))</f>
        <v/>
      </c>
      <c r="F12937" s="107" t="str">
        <f aca="false">IF($C12937="","",$D12937*$E12937)</f>
        <v/>
      </c>
      <c r="G12937" s="107" t="str">
        <f aca="false">IF($C12937="","",$D12937*IFERROR(INDEX('تحليل التكلفة والسعر'!$C$2:$C$700,MATCH($C12937,'تحليل التكلفة والسعر'!$B$2:$B$700,0)),0))</f>
        <v/>
      </c>
    </row>
    <row r="12938" customFormat="false" ht="15" hidden="false" customHeight="false" outlineLevel="0" collapsed="false">
      <c r="A12938" s="103"/>
      <c r="B12938" s="104"/>
      <c r="C12938" s="104"/>
      <c r="E12938" s="107" t="str">
        <f aca="false">IF($C12938="","",IFERROR(INDEX(المنيو!$C$2:$C$500,MATCH($C12938,المنيو!$B$2:$B$500,0)),0))</f>
        <v/>
      </c>
      <c r="F12938" s="107" t="str">
        <f aca="false">IF($C12938="","",$D12938*$E12938)</f>
        <v/>
      </c>
      <c r="G12938" s="107" t="str">
        <f aca="false">IF($C12938="","",$D12938*IFERROR(INDEX('تحليل التكلفة والسعر'!$C$2:$C$700,MATCH($C12938,'تحليل التكلفة والسعر'!$B$2:$B$700,0)),0))</f>
        <v/>
      </c>
    </row>
    <row r="12939" customFormat="false" ht="15" hidden="false" customHeight="false" outlineLevel="0" collapsed="false">
      <c r="A12939" s="103"/>
      <c r="B12939" s="104"/>
      <c r="C12939" s="104"/>
      <c r="E12939" s="107" t="str">
        <f aca="false">IF($C12939="","",IFERROR(INDEX(المنيو!$C$2:$C$500,MATCH($C12939,المنيو!$B$2:$B$500,0)),0))</f>
        <v/>
      </c>
      <c r="F12939" s="107" t="str">
        <f aca="false">IF($C12939="","",$D12939*$E12939)</f>
        <v/>
      </c>
      <c r="G12939" s="107" t="str">
        <f aca="false">IF($C12939="","",$D12939*IFERROR(INDEX('تحليل التكلفة والسعر'!$C$2:$C$700,MATCH($C12939,'تحليل التكلفة والسعر'!$B$2:$B$700,0)),0))</f>
        <v/>
      </c>
    </row>
    <row r="12940" customFormat="false" ht="15" hidden="false" customHeight="false" outlineLevel="0" collapsed="false">
      <c r="A12940" s="103"/>
      <c r="B12940" s="104"/>
      <c r="C12940" s="104"/>
      <c r="E12940" s="107" t="str">
        <f aca="false">IF($C12940="","",IFERROR(INDEX(المنيو!$C$2:$C$500,MATCH($C12940,المنيو!$B$2:$B$500,0)),0))</f>
        <v/>
      </c>
      <c r="F12940" s="107" t="str">
        <f aca="false">IF($C12940="","",$D12940*$E12940)</f>
        <v/>
      </c>
      <c r="G12940" s="107" t="str">
        <f aca="false">IF($C12940="","",$D12940*IFERROR(INDEX('تحليل التكلفة والسعر'!$C$2:$C$700,MATCH($C12940,'تحليل التكلفة والسعر'!$B$2:$B$700,0)),0))</f>
        <v/>
      </c>
    </row>
    <row r="12941" customFormat="false" ht="15" hidden="false" customHeight="false" outlineLevel="0" collapsed="false">
      <c r="A12941" s="103"/>
      <c r="B12941" s="104"/>
      <c r="C12941" s="104"/>
      <c r="E12941" s="107" t="str">
        <f aca="false">IF($C12941="","",IFERROR(INDEX(المنيو!$C$2:$C$500,MATCH($C12941,المنيو!$B$2:$B$500,0)),0))</f>
        <v/>
      </c>
      <c r="F12941" s="107" t="str">
        <f aca="false">IF($C12941="","",$D12941*$E12941)</f>
        <v/>
      </c>
      <c r="G12941" s="107" t="str">
        <f aca="false">IF($C12941="","",$D12941*IFERROR(INDEX('تحليل التكلفة والسعر'!$C$2:$C$700,MATCH($C12941,'تحليل التكلفة والسعر'!$B$2:$B$700,0)),0))</f>
        <v/>
      </c>
    </row>
    <row r="12942" customFormat="false" ht="15" hidden="false" customHeight="false" outlineLevel="0" collapsed="false">
      <c r="A12942" s="103"/>
      <c r="B12942" s="104"/>
      <c r="C12942" s="104"/>
      <c r="E12942" s="107" t="str">
        <f aca="false">IF($C12942="","",IFERROR(INDEX(المنيو!$C$2:$C$500,MATCH($C12942,المنيو!$B$2:$B$500,0)),0))</f>
        <v/>
      </c>
      <c r="F12942" s="107" t="str">
        <f aca="false">IF($C12942="","",$D12942*$E12942)</f>
        <v/>
      </c>
      <c r="G12942" s="107" t="str">
        <f aca="false">IF($C12942="","",$D12942*IFERROR(INDEX('تحليل التكلفة والسعر'!$C$2:$C$700,MATCH($C12942,'تحليل التكلفة والسعر'!$B$2:$B$700,0)),0))</f>
        <v/>
      </c>
    </row>
    <row r="12943" customFormat="false" ht="15" hidden="false" customHeight="false" outlineLevel="0" collapsed="false">
      <c r="A12943" s="103"/>
      <c r="B12943" s="104"/>
      <c r="C12943" s="104"/>
      <c r="E12943" s="107" t="str">
        <f aca="false">IF($C12943="","",IFERROR(INDEX(المنيو!$C$2:$C$500,MATCH($C12943,المنيو!$B$2:$B$500,0)),0))</f>
        <v/>
      </c>
      <c r="F12943" s="107" t="str">
        <f aca="false">IF($C12943="","",$D12943*$E12943)</f>
        <v/>
      </c>
      <c r="G12943" s="107" t="str">
        <f aca="false">IF($C12943="","",$D12943*IFERROR(INDEX('تحليل التكلفة والسعر'!$C$2:$C$700,MATCH($C12943,'تحليل التكلفة والسعر'!$B$2:$B$700,0)),0))</f>
        <v/>
      </c>
    </row>
    <row r="12944" customFormat="false" ht="15" hidden="false" customHeight="false" outlineLevel="0" collapsed="false">
      <c r="A12944" s="103"/>
      <c r="B12944" s="104"/>
      <c r="C12944" s="104"/>
      <c r="E12944" s="107" t="str">
        <f aca="false">IF($C12944="","",IFERROR(INDEX(المنيو!$C$2:$C$500,MATCH($C12944,المنيو!$B$2:$B$500,0)),0))</f>
        <v/>
      </c>
      <c r="F12944" s="107" t="str">
        <f aca="false">IF($C12944="","",$D12944*$E12944)</f>
        <v/>
      </c>
      <c r="G12944" s="107" t="str">
        <f aca="false">IF($C12944="","",$D12944*IFERROR(INDEX('تحليل التكلفة والسعر'!$C$2:$C$700,MATCH($C12944,'تحليل التكلفة والسعر'!$B$2:$B$700,0)),0))</f>
        <v/>
      </c>
    </row>
    <row r="12945" customFormat="false" ht="15" hidden="false" customHeight="false" outlineLevel="0" collapsed="false">
      <c r="A12945" s="103"/>
      <c r="B12945" s="104"/>
      <c r="C12945" s="104"/>
      <c r="E12945" s="107" t="str">
        <f aca="false">IF($C12945="","",IFERROR(INDEX(المنيو!$C$2:$C$500,MATCH($C12945,المنيو!$B$2:$B$500,0)),0))</f>
        <v/>
      </c>
      <c r="F12945" s="107" t="str">
        <f aca="false">IF($C12945="","",$D12945*$E12945)</f>
        <v/>
      </c>
      <c r="G12945" s="107" t="str">
        <f aca="false">IF($C12945="","",$D12945*IFERROR(INDEX('تحليل التكلفة والسعر'!$C$2:$C$700,MATCH($C12945,'تحليل التكلفة والسعر'!$B$2:$B$700,0)),0))</f>
        <v/>
      </c>
    </row>
    <row r="12946" customFormat="false" ht="15" hidden="false" customHeight="false" outlineLevel="0" collapsed="false">
      <c r="A12946" s="103"/>
      <c r="B12946" s="104"/>
      <c r="C12946" s="104"/>
      <c r="E12946" s="107" t="str">
        <f aca="false">IF($C12946="","",IFERROR(INDEX(المنيو!$C$2:$C$500,MATCH($C12946,المنيو!$B$2:$B$500,0)),0))</f>
        <v/>
      </c>
      <c r="F12946" s="107" t="str">
        <f aca="false">IF($C12946="","",$D12946*$E12946)</f>
        <v/>
      </c>
      <c r="G12946" s="107" t="str">
        <f aca="false">IF($C12946="","",$D12946*IFERROR(INDEX('تحليل التكلفة والسعر'!$C$2:$C$700,MATCH($C12946,'تحليل التكلفة والسعر'!$B$2:$B$700,0)),0))</f>
        <v/>
      </c>
    </row>
    <row r="12947" customFormat="false" ht="15" hidden="false" customHeight="false" outlineLevel="0" collapsed="false">
      <c r="A12947" s="103"/>
      <c r="B12947" s="104"/>
      <c r="C12947" s="104"/>
      <c r="E12947" s="107" t="str">
        <f aca="false">IF($C12947="","",IFERROR(INDEX(المنيو!$C$2:$C$500,MATCH($C12947,المنيو!$B$2:$B$500,0)),0))</f>
        <v/>
      </c>
      <c r="F12947" s="107" t="str">
        <f aca="false">IF($C12947="","",$D12947*$E12947)</f>
        <v/>
      </c>
      <c r="G12947" s="107" t="str">
        <f aca="false">IF($C12947="","",$D12947*IFERROR(INDEX('تحليل التكلفة والسعر'!$C$2:$C$700,MATCH($C12947,'تحليل التكلفة والسعر'!$B$2:$B$700,0)),0))</f>
        <v/>
      </c>
    </row>
    <row r="12948" customFormat="false" ht="15" hidden="false" customHeight="false" outlineLevel="0" collapsed="false">
      <c r="A12948" s="103"/>
      <c r="B12948" s="104"/>
      <c r="C12948" s="104"/>
      <c r="E12948" s="107" t="str">
        <f aca="false">IF($C12948="","",IFERROR(INDEX(المنيو!$C$2:$C$500,MATCH($C12948,المنيو!$B$2:$B$500,0)),0))</f>
        <v/>
      </c>
      <c r="F12948" s="107" t="str">
        <f aca="false">IF($C12948="","",$D12948*$E12948)</f>
        <v/>
      </c>
      <c r="G12948" s="107" t="str">
        <f aca="false">IF($C12948="","",$D12948*IFERROR(INDEX('تحليل التكلفة والسعر'!$C$2:$C$700,MATCH($C12948,'تحليل التكلفة والسعر'!$B$2:$B$700,0)),0))</f>
        <v/>
      </c>
    </row>
    <row r="12949" customFormat="false" ht="15" hidden="false" customHeight="false" outlineLevel="0" collapsed="false">
      <c r="A12949" s="103"/>
      <c r="B12949" s="104"/>
      <c r="C12949" s="104"/>
      <c r="E12949" s="107" t="str">
        <f aca="false">IF($C12949="","",IFERROR(INDEX(المنيو!$C$2:$C$500,MATCH($C12949,المنيو!$B$2:$B$500,0)),0))</f>
        <v/>
      </c>
      <c r="F12949" s="107" t="str">
        <f aca="false">IF($C12949="","",$D12949*$E12949)</f>
        <v/>
      </c>
      <c r="G12949" s="107" t="str">
        <f aca="false">IF($C12949="","",$D12949*IFERROR(INDEX('تحليل التكلفة والسعر'!$C$2:$C$700,MATCH($C12949,'تحليل التكلفة والسعر'!$B$2:$B$700,0)),0))</f>
        <v/>
      </c>
    </row>
    <row r="12950" customFormat="false" ht="15" hidden="false" customHeight="false" outlineLevel="0" collapsed="false">
      <c r="A12950" s="103"/>
      <c r="B12950" s="104"/>
      <c r="C12950" s="104"/>
      <c r="E12950" s="107" t="str">
        <f aca="false">IF($C12950="","",IFERROR(INDEX(المنيو!$C$2:$C$500,MATCH($C12950,المنيو!$B$2:$B$500,0)),0))</f>
        <v/>
      </c>
      <c r="F12950" s="107" t="str">
        <f aca="false">IF($C12950="","",$D12950*$E12950)</f>
        <v/>
      </c>
      <c r="G12950" s="107" t="str">
        <f aca="false">IF($C12950="","",$D12950*IFERROR(INDEX('تحليل التكلفة والسعر'!$C$2:$C$700,MATCH($C12950,'تحليل التكلفة والسعر'!$B$2:$B$700,0)),0))</f>
        <v/>
      </c>
    </row>
    <row r="12951" customFormat="false" ht="15" hidden="false" customHeight="false" outlineLevel="0" collapsed="false">
      <c r="A12951" s="103"/>
      <c r="B12951" s="104"/>
      <c r="C12951" s="104"/>
      <c r="E12951" s="107" t="str">
        <f aca="false">IF($C12951="","",IFERROR(INDEX(المنيو!$C$2:$C$500,MATCH($C12951,المنيو!$B$2:$B$500,0)),0))</f>
        <v/>
      </c>
      <c r="F12951" s="107" t="str">
        <f aca="false">IF($C12951="","",$D12951*$E12951)</f>
        <v/>
      </c>
      <c r="G12951" s="107" t="str">
        <f aca="false">IF($C12951="","",$D12951*IFERROR(INDEX('تحليل التكلفة والسعر'!$C$2:$C$700,MATCH($C12951,'تحليل التكلفة والسعر'!$B$2:$B$700,0)),0))</f>
        <v/>
      </c>
    </row>
    <row r="12952" customFormat="false" ht="15" hidden="false" customHeight="false" outlineLevel="0" collapsed="false">
      <c r="A12952" s="103"/>
      <c r="B12952" s="104"/>
      <c r="C12952" s="104"/>
      <c r="E12952" s="107" t="str">
        <f aca="false">IF($C12952="","",IFERROR(INDEX(المنيو!$C$2:$C$500,MATCH($C12952,المنيو!$B$2:$B$500,0)),0))</f>
        <v/>
      </c>
      <c r="F12952" s="107" t="str">
        <f aca="false">IF($C12952="","",$D12952*$E12952)</f>
        <v/>
      </c>
      <c r="G12952" s="107" t="str">
        <f aca="false">IF($C12952="","",$D12952*IFERROR(INDEX('تحليل التكلفة والسعر'!$C$2:$C$700,MATCH($C12952,'تحليل التكلفة والسعر'!$B$2:$B$700,0)),0))</f>
        <v/>
      </c>
    </row>
    <row r="12953" customFormat="false" ht="15" hidden="false" customHeight="false" outlineLevel="0" collapsed="false">
      <c r="A12953" s="103"/>
      <c r="B12953" s="104"/>
      <c r="C12953" s="104"/>
      <c r="E12953" s="107" t="str">
        <f aca="false">IF($C12953="","",IFERROR(INDEX(المنيو!$C$2:$C$500,MATCH($C12953,المنيو!$B$2:$B$500,0)),0))</f>
        <v/>
      </c>
      <c r="F12953" s="107" t="str">
        <f aca="false">IF($C12953="","",$D12953*$E12953)</f>
        <v/>
      </c>
      <c r="G12953" s="107" t="str">
        <f aca="false">IF($C12953="","",$D12953*IFERROR(INDEX('تحليل التكلفة والسعر'!$C$2:$C$700,MATCH($C12953,'تحليل التكلفة والسعر'!$B$2:$B$700,0)),0))</f>
        <v/>
      </c>
    </row>
    <row r="12954" customFormat="false" ht="15" hidden="false" customHeight="false" outlineLevel="0" collapsed="false">
      <c r="A12954" s="103"/>
      <c r="B12954" s="104"/>
      <c r="C12954" s="104"/>
      <c r="E12954" s="107" t="str">
        <f aca="false">IF($C12954="","",IFERROR(INDEX(المنيو!$C$2:$C$500,MATCH($C12954,المنيو!$B$2:$B$500,0)),0))</f>
        <v/>
      </c>
      <c r="F12954" s="107" t="str">
        <f aca="false">IF($C12954="","",$D12954*$E12954)</f>
        <v/>
      </c>
      <c r="G12954" s="107" t="str">
        <f aca="false">IF($C12954="","",$D12954*IFERROR(INDEX('تحليل التكلفة والسعر'!$C$2:$C$700,MATCH($C12954,'تحليل التكلفة والسعر'!$B$2:$B$700,0)),0))</f>
        <v/>
      </c>
    </row>
    <row r="12955" customFormat="false" ht="15" hidden="false" customHeight="false" outlineLevel="0" collapsed="false">
      <c r="A12955" s="103"/>
      <c r="B12955" s="104"/>
      <c r="C12955" s="104"/>
      <c r="E12955" s="107" t="str">
        <f aca="false">IF($C12955="","",IFERROR(INDEX(المنيو!$C$2:$C$500,MATCH($C12955,المنيو!$B$2:$B$500,0)),0))</f>
        <v/>
      </c>
      <c r="F12955" s="107" t="str">
        <f aca="false">IF($C12955="","",$D12955*$E12955)</f>
        <v/>
      </c>
      <c r="G12955" s="107" t="str">
        <f aca="false">IF($C12955="","",$D12955*IFERROR(INDEX('تحليل التكلفة والسعر'!$C$2:$C$700,MATCH($C12955,'تحليل التكلفة والسعر'!$B$2:$B$700,0)),0))</f>
        <v/>
      </c>
    </row>
    <row r="12956" customFormat="false" ht="15" hidden="false" customHeight="false" outlineLevel="0" collapsed="false">
      <c r="A12956" s="103"/>
      <c r="B12956" s="104"/>
      <c r="C12956" s="104"/>
      <c r="E12956" s="107" t="str">
        <f aca="false">IF($C12956="","",IFERROR(INDEX(المنيو!$C$2:$C$500,MATCH($C12956,المنيو!$B$2:$B$500,0)),0))</f>
        <v/>
      </c>
      <c r="F12956" s="107" t="str">
        <f aca="false">IF($C12956="","",$D12956*$E12956)</f>
        <v/>
      </c>
      <c r="G12956" s="107" t="str">
        <f aca="false">IF($C12956="","",$D12956*IFERROR(INDEX('تحليل التكلفة والسعر'!$C$2:$C$700,MATCH($C12956,'تحليل التكلفة والسعر'!$B$2:$B$700,0)),0))</f>
        <v/>
      </c>
    </row>
    <row r="12957" customFormat="false" ht="15" hidden="false" customHeight="false" outlineLevel="0" collapsed="false">
      <c r="A12957" s="103"/>
      <c r="B12957" s="104"/>
      <c r="C12957" s="104"/>
      <c r="E12957" s="107" t="str">
        <f aca="false">IF($C12957="","",IFERROR(INDEX(المنيو!$C$2:$C$500,MATCH($C12957,المنيو!$B$2:$B$500,0)),0))</f>
        <v/>
      </c>
      <c r="F12957" s="107" t="str">
        <f aca="false">IF($C12957="","",$D12957*$E12957)</f>
        <v/>
      </c>
      <c r="G12957" s="107" t="str">
        <f aca="false">IF($C12957="","",$D12957*IFERROR(INDEX('تحليل التكلفة والسعر'!$C$2:$C$700,MATCH($C12957,'تحليل التكلفة والسعر'!$B$2:$B$700,0)),0))</f>
        <v/>
      </c>
    </row>
    <row r="12958" customFormat="false" ht="15" hidden="false" customHeight="false" outlineLevel="0" collapsed="false">
      <c r="A12958" s="103"/>
      <c r="B12958" s="104"/>
      <c r="C12958" s="104"/>
      <c r="E12958" s="107" t="str">
        <f aca="false">IF($C12958="","",IFERROR(INDEX(المنيو!$C$2:$C$500,MATCH($C12958,المنيو!$B$2:$B$500,0)),0))</f>
        <v/>
      </c>
      <c r="F12958" s="107" t="str">
        <f aca="false">IF($C12958="","",$D12958*$E12958)</f>
        <v/>
      </c>
      <c r="G12958" s="107" t="str">
        <f aca="false">IF($C12958="","",$D12958*IFERROR(INDEX('تحليل التكلفة والسعر'!$C$2:$C$700,MATCH($C12958,'تحليل التكلفة والسعر'!$B$2:$B$700,0)),0))</f>
        <v/>
      </c>
    </row>
    <row r="12959" customFormat="false" ht="15" hidden="false" customHeight="false" outlineLevel="0" collapsed="false">
      <c r="A12959" s="103"/>
      <c r="B12959" s="104"/>
      <c r="C12959" s="104"/>
      <c r="E12959" s="107" t="str">
        <f aca="false">IF($C12959="","",IFERROR(INDEX(المنيو!$C$2:$C$500,MATCH($C12959,المنيو!$B$2:$B$500,0)),0))</f>
        <v/>
      </c>
      <c r="F12959" s="107" t="str">
        <f aca="false">IF($C12959="","",$D12959*$E12959)</f>
        <v/>
      </c>
      <c r="G12959" s="107" t="str">
        <f aca="false">IF($C12959="","",$D12959*IFERROR(INDEX('تحليل التكلفة والسعر'!$C$2:$C$700,MATCH($C12959,'تحليل التكلفة والسعر'!$B$2:$B$700,0)),0))</f>
        <v/>
      </c>
    </row>
    <row r="12960" customFormat="false" ht="15" hidden="false" customHeight="false" outlineLevel="0" collapsed="false">
      <c r="A12960" s="103"/>
      <c r="B12960" s="104"/>
      <c r="C12960" s="104"/>
      <c r="E12960" s="107" t="str">
        <f aca="false">IF($C12960="","",IFERROR(INDEX(المنيو!$C$2:$C$500,MATCH($C12960,المنيو!$B$2:$B$500,0)),0))</f>
        <v/>
      </c>
      <c r="F12960" s="107" t="str">
        <f aca="false">IF($C12960="","",$D12960*$E12960)</f>
        <v/>
      </c>
      <c r="G12960" s="107" t="str">
        <f aca="false">IF($C12960="","",$D12960*IFERROR(INDEX('تحليل التكلفة والسعر'!$C$2:$C$700,MATCH($C12960,'تحليل التكلفة والسعر'!$B$2:$B$700,0)),0))</f>
        <v/>
      </c>
    </row>
    <row r="12961" customFormat="false" ht="15" hidden="false" customHeight="false" outlineLevel="0" collapsed="false">
      <c r="A12961" s="103"/>
      <c r="B12961" s="104"/>
      <c r="C12961" s="104"/>
      <c r="E12961" s="107" t="str">
        <f aca="false">IF($C12961="","",IFERROR(INDEX(المنيو!$C$2:$C$500,MATCH($C12961,المنيو!$B$2:$B$500,0)),0))</f>
        <v/>
      </c>
      <c r="F12961" s="107" t="str">
        <f aca="false">IF($C12961="","",$D12961*$E12961)</f>
        <v/>
      </c>
      <c r="G12961" s="107" t="str">
        <f aca="false">IF($C12961="","",$D12961*IFERROR(INDEX('تحليل التكلفة والسعر'!$C$2:$C$700,MATCH($C12961,'تحليل التكلفة والسعر'!$B$2:$B$700,0)),0))</f>
        <v/>
      </c>
    </row>
    <row r="12962" customFormat="false" ht="15" hidden="false" customHeight="false" outlineLevel="0" collapsed="false">
      <c r="A12962" s="103"/>
      <c r="B12962" s="104"/>
      <c r="C12962" s="104"/>
      <c r="E12962" s="107" t="str">
        <f aca="false">IF($C12962="","",IFERROR(INDEX(المنيو!$C$2:$C$500,MATCH($C12962,المنيو!$B$2:$B$500,0)),0))</f>
        <v/>
      </c>
      <c r="F12962" s="107" t="str">
        <f aca="false">IF($C12962="","",$D12962*$E12962)</f>
        <v/>
      </c>
      <c r="G12962" s="107" t="str">
        <f aca="false">IF($C12962="","",$D12962*IFERROR(INDEX('تحليل التكلفة والسعر'!$C$2:$C$700,MATCH($C12962,'تحليل التكلفة والسعر'!$B$2:$B$700,0)),0))</f>
        <v/>
      </c>
    </row>
    <row r="12963" customFormat="false" ht="15" hidden="false" customHeight="false" outlineLevel="0" collapsed="false">
      <c r="A12963" s="103"/>
      <c r="B12963" s="104"/>
      <c r="C12963" s="104"/>
      <c r="E12963" s="107" t="str">
        <f aca="false">IF($C12963="","",IFERROR(INDEX(المنيو!$C$2:$C$500,MATCH($C12963,المنيو!$B$2:$B$500,0)),0))</f>
        <v/>
      </c>
      <c r="F12963" s="107" t="str">
        <f aca="false">IF($C12963="","",$D12963*$E12963)</f>
        <v/>
      </c>
      <c r="G12963" s="107" t="str">
        <f aca="false">IF($C12963="","",$D12963*IFERROR(INDEX('تحليل التكلفة والسعر'!$C$2:$C$700,MATCH($C12963,'تحليل التكلفة والسعر'!$B$2:$B$700,0)),0))</f>
        <v/>
      </c>
    </row>
    <row r="12964" customFormat="false" ht="15" hidden="false" customHeight="false" outlineLevel="0" collapsed="false">
      <c r="A12964" s="103"/>
      <c r="B12964" s="104"/>
      <c r="C12964" s="104"/>
      <c r="E12964" s="107" t="str">
        <f aca="false">IF($C12964="","",IFERROR(INDEX(المنيو!$C$2:$C$500,MATCH($C12964,المنيو!$B$2:$B$500,0)),0))</f>
        <v/>
      </c>
      <c r="F12964" s="107" t="str">
        <f aca="false">IF($C12964="","",$D12964*$E12964)</f>
        <v/>
      </c>
      <c r="G12964" s="107" t="str">
        <f aca="false">IF($C12964="","",$D12964*IFERROR(INDEX('تحليل التكلفة والسعر'!$C$2:$C$700,MATCH($C12964,'تحليل التكلفة والسعر'!$B$2:$B$700,0)),0))</f>
        <v/>
      </c>
    </row>
    <row r="12965" customFormat="false" ht="15" hidden="false" customHeight="false" outlineLevel="0" collapsed="false">
      <c r="A12965" s="103"/>
      <c r="B12965" s="104"/>
      <c r="C12965" s="104"/>
      <c r="E12965" s="107" t="str">
        <f aca="false">IF($C12965="","",IFERROR(INDEX(المنيو!$C$2:$C$500,MATCH($C12965,المنيو!$B$2:$B$500,0)),0))</f>
        <v/>
      </c>
      <c r="F12965" s="107" t="str">
        <f aca="false">IF($C12965="","",$D12965*$E12965)</f>
        <v/>
      </c>
      <c r="G12965" s="107" t="str">
        <f aca="false">IF($C12965="","",$D12965*IFERROR(INDEX('تحليل التكلفة والسعر'!$C$2:$C$700,MATCH($C12965,'تحليل التكلفة والسعر'!$B$2:$B$700,0)),0))</f>
        <v/>
      </c>
    </row>
    <row r="12966" customFormat="false" ht="15" hidden="false" customHeight="false" outlineLevel="0" collapsed="false">
      <c r="A12966" s="103"/>
      <c r="B12966" s="104"/>
      <c r="C12966" s="104"/>
      <c r="E12966" s="107" t="str">
        <f aca="false">IF($C12966="","",IFERROR(INDEX(المنيو!$C$2:$C$500,MATCH($C12966,المنيو!$B$2:$B$500,0)),0))</f>
        <v/>
      </c>
      <c r="F12966" s="107" t="str">
        <f aca="false">IF($C12966="","",$D12966*$E12966)</f>
        <v/>
      </c>
      <c r="G12966" s="107" t="str">
        <f aca="false">IF($C12966="","",$D12966*IFERROR(INDEX('تحليل التكلفة والسعر'!$C$2:$C$700,MATCH($C12966,'تحليل التكلفة والسعر'!$B$2:$B$700,0)),0))</f>
        <v/>
      </c>
    </row>
    <row r="12967" customFormat="false" ht="15" hidden="false" customHeight="false" outlineLevel="0" collapsed="false">
      <c r="A12967" s="103"/>
      <c r="B12967" s="104"/>
      <c r="C12967" s="104"/>
      <c r="E12967" s="107" t="str">
        <f aca="false">IF($C12967="","",IFERROR(INDEX(المنيو!$C$2:$C$500,MATCH($C12967,المنيو!$B$2:$B$500,0)),0))</f>
        <v/>
      </c>
      <c r="F12967" s="107" t="str">
        <f aca="false">IF($C12967="","",$D12967*$E12967)</f>
        <v/>
      </c>
      <c r="G12967" s="107" t="str">
        <f aca="false">IF($C12967="","",$D12967*IFERROR(INDEX('تحليل التكلفة والسعر'!$C$2:$C$700,MATCH($C12967,'تحليل التكلفة والسعر'!$B$2:$B$700,0)),0))</f>
        <v/>
      </c>
    </row>
    <row r="12968" customFormat="false" ht="15" hidden="false" customHeight="false" outlineLevel="0" collapsed="false">
      <c r="A12968" s="103"/>
      <c r="B12968" s="104"/>
      <c r="C12968" s="104"/>
      <c r="E12968" s="107" t="str">
        <f aca="false">IF($C12968="","",IFERROR(INDEX(المنيو!$C$2:$C$500,MATCH($C12968,المنيو!$B$2:$B$500,0)),0))</f>
        <v/>
      </c>
      <c r="F12968" s="107" t="str">
        <f aca="false">IF($C12968="","",$D12968*$E12968)</f>
        <v/>
      </c>
      <c r="G12968" s="107" t="str">
        <f aca="false">IF($C12968="","",$D12968*IFERROR(INDEX('تحليل التكلفة والسعر'!$C$2:$C$700,MATCH($C12968,'تحليل التكلفة والسعر'!$B$2:$B$700,0)),0))</f>
        <v/>
      </c>
    </row>
    <row r="12969" customFormat="false" ht="15" hidden="false" customHeight="false" outlineLevel="0" collapsed="false">
      <c r="A12969" s="103"/>
      <c r="B12969" s="104"/>
      <c r="C12969" s="104"/>
      <c r="E12969" s="107" t="str">
        <f aca="false">IF($C12969="","",IFERROR(INDEX(المنيو!$C$2:$C$500,MATCH($C12969,المنيو!$B$2:$B$500,0)),0))</f>
        <v/>
      </c>
      <c r="F12969" s="107" t="str">
        <f aca="false">IF($C12969="","",$D12969*$E12969)</f>
        <v/>
      </c>
      <c r="G12969" s="107" t="str">
        <f aca="false">IF($C12969="","",$D12969*IFERROR(INDEX('تحليل التكلفة والسعر'!$C$2:$C$700,MATCH($C12969,'تحليل التكلفة والسعر'!$B$2:$B$700,0)),0))</f>
        <v/>
      </c>
    </row>
    <row r="12970" customFormat="false" ht="15" hidden="false" customHeight="false" outlineLevel="0" collapsed="false">
      <c r="A12970" s="103"/>
      <c r="B12970" s="104"/>
      <c r="C12970" s="104"/>
      <c r="E12970" s="107" t="str">
        <f aca="false">IF($C12970="","",IFERROR(INDEX(المنيو!$C$2:$C$500,MATCH($C12970,المنيو!$B$2:$B$500,0)),0))</f>
        <v/>
      </c>
      <c r="F12970" s="107" t="str">
        <f aca="false">IF($C12970="","",$D12970*$E12970)</f>
        <v/>
      </c>
      <c r="G12970" s="107" t="str">
        <f aca="false">IF($C12970="","",$D12970*IFERROR(INDEX('تحليل التكلفة والسعر'!$C$2:$C$700,MATCH($C12970,'تحليل التكلفة والسعر'!$B$2:$B$700,0)),0))</f>
        <v/>
      </c>
    </row>
    <row r="12971" customFormat="false" ht="15" hidden="false" customHeight="false" outlineLevel="0" collapsed="false">
      <c r="A12971" s="103"/>
      <c r="B12971" s="104"/>
      <c r="C12971" s="104"/>
      <c r="E12971" s="107" t="str">
        <f aca="false">IF($C12971="","",IFERROR(INDEX(المنيو!$C$2:$C$500,MATCH($C12971,المنيو!$B$2:$B$500,0)),0))</f>
        <v/>
      </c>
      <c r="F12971" s="107" t="str">
        <f aca="false">IF($C12971="","",$D12971*$E12971)</f>
        <v/>
      </c>
      <c r="G12971" s="107" t="str">
        <f aca="false">IF($C12971="","",$D12971*IFERROR(INDEX('تحليل التكلفة والسعر'!$C$2:$C$700,MATCH($C12971,'تحليل التكلفة والسعر'!$B$2:$B$700,0)),0))</f>
        <v/>
      </c>
    </row>
    <row r="12972" customFormat="false" ht="15" hidden="false" customHeight="false" outlineLevel="0" collapsed="false">
      <c r="A12972" s="103"/>
      <c r="B12972" s="104"/>
      <c r="C12972" s="104"/>
      <c r="E12972" s="107" t="str">
        <f aca="false">IF($C12972="","",IFERROR(INDEX(المنيو!$C$2:$C$500,MATCH($C12972,المنيو!$B$2:$B$500,0)),0))</f>
        <v/>
      </c>
      <c r="F12972" s="107" t="str">
        <f aca="false">IF($C12972="","",$D12972*$E12972)</f>
        <v/>
      </c>
      <c r="G12972" s="107" t="str">
        <f aca="false">IF($C12972="","",$D12972*IFERROR(INDEX('تحليل التكلفة والسعر'!$C$2:$C$700,MATCH($C12972,'تحليل التكلفة والسعر'!$B$2:$B$700,0)),0))</f>
        <v/>
      </c>
    </row>
    <row r="12973" customFormat="false" ht="15" hidden="false" customHeight="false" outlineLevel="0" collapsed="false">
      <c r="A12973" s="103"/>
      <c r="B12973" s="104"/>
      <c r="C12973" s="104"/>
      <c r="E12973" s="107" t="str">
        <f aca="false">IF($C12973="","",IFERROR(INDEX(المنيو!$C$2:$C$500,MATCH($C12973,المنيو!$B$2:$B$500,0)),0))</f>
        <v/>
      </c>
      <c r="F12973" s="107" t="str">
        <f aca="false">IF($C12973="","",$D12973*$E12973)</f>
        <v/>
      </c>
      <c r="G12973" s="107" t="str">
        <f aca="false">IF($C12973="","",$D12973*IFERROR(INDEX('تحليل التكلفة والسعر'!$C$2:$C$700,MATCH($C12973,'تحليل التكلفة والسعر'!$B$2:$B$700,0)),0))</f>
        <v/>
      </c>
    </row>
    <row r="12974" customFormat="false" ht="15" hidden="false" customHeight="false" outlineLevel="0" collapsed="false">
      <c r="A12974" s="103"/>
      <c r="B12974" s="104"/>
      <c r="C12974" s="104"/>
      <c r="E12974" s="107" t="str">
        <f aca="false">IF($C12974="","",IFERROR(INDEX(المنيو!$C$2:$C$500,MATCH($C12974,المنيو!$B$2:$B$500,0)),0))</f>
        <v/>
      </c>
      <c r="F12974" s="107" t="str">
        <f aca="false">IF($C12974="","",$D12974*$E12974)</f>
        <v/>
      </c>
      <c r="G12974" s="107" t="str">
        <f aca="false">IF($C12974="","",$D12974*IFERROR(INDEX('تحليل التكلفة والسعر'!$C$2:$C$700,MATCH($C12974,'تحليل التكلفة والسعر'!$B$2:$B$700,0)),0))</f>
        <v/>
      </c>
    </row>
    <row r="12975" customFormat="false" ht="15" hidden="false" customHeight="false" outlineLevel="0" collapsed="false">
      <c r="A12975" s="103"/>
      <c r="B12975" s="104"/>
      <c r="C12975" s="104"/>
      <c r="E12975" s="107" t="str">
        <f aca="false">IF($C12975="","",IFERROR(INDEX(المنيو!$C$2:$C$500,MATCH($C12975,المنيو!$B$2:$B$500,0)),0))</f>
        <v/>
      </c>
      <c r="F12975" s="107" t="str">
        <f aca="false">IF($C12975="","",$D12975*$E12975)</f>
        <v/>
      </c>
      <c r="G12975" s="107" t="str">
        <f aca="false">IF($C12975="","",$D12975*IFERROR(INDEX('تحليل التكلفة والسعر'!$C$2:$C$700,MATCH($C12975,'تحليل التكلفة والسعر'!$B$2:$B$700,0)),0))</f>
        <v/>
      </c>
    </row>
    <row r="12976" customFormat="false" ht="15" hidden="false" customHeight="false" outlineLevel="0" collapsed="false">
      <c r="A12976" s="103"/>
      <c r="B12976" s="104"/>
      <c r="C12976" s="104"/>
      <c r="E12976" s="107" t="str">
        <f aca="false">IF($C12976="","",IFERROR(INDEX(المنيو!$C$2:$C$500,MATCH($C12976,المنيو!$B$2:$B$500,0)),0))</f>
        <v/>
      </c>
      <c r="F12976" s="107" t="str">
        <f aca="false">IF($C12976="","",$D12976*$E12976)</f>
        <v/>
      </c>
      <c r="G12976" s="107" t="str">
        <f aca="false">IF($C12976="","",$D12976*IFERROR(INDEX('تحليل التكلفة والسعر'!$C$2:$C$700,MATCH($C12976,'تحليل التكلفة والسعر'!$B$2:$B$700,0)),0))</f>
        <v/>
      </c>
    </row>
    <row r="12977" customFormat="false" ht="15" hidden="false" customHeight="false" outlineLevel="0" collapsed="false">
      <c r="A12977" s="103"/>
      <c r="B12977" s="104"/>
      <c r="C12977" s="104"/>
      <c r="E12977" s="107" t="str">
        <f aca="false">IF($C12977="","",IFERROR(INDEX(المنيو!$C$2:$C$500,MATCH($C12977,المنيو!$B$2:$B$500,0)),0))</f>
        <v/>
      </c>
      <c r="F12977" s="107" t="str">
        <f aca="false">IF($C12977="","",$D12977*$E12977)</f>
        <v/>
      </c>
      <c r="G12977" s="107" t="str">
        <f aca="false">IF($C12977="","",$D12977*IFERROR(INDEX('تحليل التكلفة والسعر'!$C$2:$C$700,MATCH($C12977,'تحليل التكلفة والسعر'!$B$2:$B$700,0)),0))</f>
        <v/>
      </c>
    </row>
    <row r="12978" customFormat="false" ht="15" hidden="false" customHeight="false" outlineLevel="0" collapsed="false">
      <c r="A12978" s="103"/>
      <c r="B12978" s="104"/>
      <c r="C12978" s="104"/>
      <c r="E12978" s="107" t="str">
        <f aca="false">IF($C12978="","",IFERROR(INDEX(المنيو!$C$2:$C$500,MATCH($C12978,المنيو!$B$2:$B$500,0)),0))</f>
        <v/>
      </c>
      <c r="F12978" s="107" t="str">
        <f aca="false">IF($C12978="","",$D12978*$E12978)</f>
        <v/>
      </c>
      <c r="G12978" s="107" t="str">
        <f aca="false">IF($C12978="","",$D12978*IFERROR(INDEX('تحليل التكلفة والسعر'!$C$2:$C$700,MATCH($C12978,'تحليل التكلفة والسعر'!$B$2:$B$700,0)),0))</f>
        <v/>
      </c>
    </row>
    <row r="12979" customFormat="false" ht="15" hidden="false" customHeight="false" outlineLevel="0" collapsed="false">
      <c r="A12979" s="103"/>
      <c r="B12979" s="104"/>
      <c r="C12979" s="104"/>
      <c r="E12979" s="107" t="str">
        <f aca="false">IF($C12979="","",IFERROR(INDEX(المنيو!$C$2:$C$500,MATCH($C12979,المنيو!$B$2:$B$500,0)),0))</f>
        <v/>
      </c>
      <c r="F12979" s="107" t="str">
        <f aca="false">IF($C12979="","",$D12979*$E12979)</f>
        <v/>
      </c>
      <c r="G12979" s="107" t="str">
        <f aca="false">IF($C12979="","",$D12979*IFERROR(INDEX('تحليل التكلفة والسعر'!$C$2:$C$700,MATCH($C12979,'تحليل التكلفة والسعر'!$B$2:$B$700,0)),0))</f>
        <v/>
      </c>
    </row>
    <row r="12980" customFormat="false" ht="15" hidden="false" customHeight="false" outlineLevel="0" collapsed="false">
      <c r="A12980" s="103"/>
      <c r="B12980" s="104"/>
      <c r="C12980" s="104"/>
      <c r="E12980" s="107" t="str">
        <f aca="false">IF($C12980="","",IFERROR(INDEX(المنيو!$C$2:$C$500,MATCH($C12980,المنيو!$B$2:$B$500,0)),0))</f>
        <v/>
      </c>
      <c r="F12980" s="107" t="str">
        <f aca="false">IF($C12980="","",$D12980*$E12980)</f>
        <v/>
      </c>
      <c r="G12980" s="107" t="str">
        <f aca="false">IF($C12980="","",$D12980*IFERROR(INDEX('تحليل التكلفة والسعر'!$C$2:$C$700,MATCH($C12980,'تحليل التكلفة والسعر'!$B$2:$B$700,0)),0))</f>
        <v/>
      </c>
    </row>
    <row r="12981" customFormat="false" ht="15" hidden="false" customHeight="false" outlineLevel="0" collapsed="false">
      <c r="A12981" s="103"/>
      <c r="B12981" s="104"/>
      <c r="C12981" s="104"/>
      <c r="E12981" s="107" t="str">
        <f aca="false">IF($C12981="","",IFERROR(INDEX(المنيو!$C$2:$C$500,MATCH($C12981,المنيو!$B$2:$B$500,0)),0))</f>
        <v/>
      </c>
      <c r="F12981" s="107" t="str">
        <f aca="false">IF($C12981="","",$D12981*$E12981)</f>
        <v/>
      </c>
      <c r="G12981" s="107" t="str">
        <f aca="false">IF($C12981="","",$D12981*IFERROR(INDEX('تحليل التكلفة والسعر'!$C$2:$C$700,MATCH($C12981,'تحليل التكلفة والسعر'!$B$2:$B$700,0)),0))</f>
        <v/>
      </c>
    </row>
    <row r="12982" customFormat="false" ht="15" hidden="false" customHeight="false" outlineLevel="0" collapsed="false">
      <c r="A12982" s="103"/>
      <c r="B12982" s="104"/>
      <c r="C12982" s="104"/>
      <c r="E12982" s="107" t="str">
        <f aca="false">IF($C12982="","",IFERROR(INDEX(المنيو!$C$2:$C$500,MATCH($C12982,المنيو!$B$2:$B$500,0)),0))</f>
        <v/>
      </c>
      <c r="F12982" s="107" t="str">
        <f aca="false">IF($C12982="","",$D12982*$E12982)</f>
        <v/>
      </c>
      <c r="G12982" s="107" t="str">
        <f aca="false">IF($C12982="","",$D12982*IFERROR(INDEX('تحليل التكلفة والسعر'!$C$2:$C$700,MATCH($C12982,'تحليل التكلفة والسعر'!$B$2:$B$700,0)),0))</f>
        <v/>
      </c>
    </row>
    <row r="12983" customFormat="false" ht="15" hidden="false" customHeight="false" outlineLevel="0" collapsed="false">
      <c r="A12983" s="103"/>
      <c r="B12983" s="104"/>
      <c r="C12983" s="104"/>
      <c r="E12983" s="107" t="str">
        <f aca="false">IF($C12983="","",IFERROR(INDEX(المنيو!$C$2:$C$500,MATCH($C12983,المنيو!$B$2:$B$500,0)),0))</f>
        <v/>
      </c>
      <c r="F12983" s="107" t="str">
        <f aca="false">IF($C12983="","",$D12983*$E12983)</f>
        <v/>
      </c>
      <c r="G12983" s="107" t="str">
        <f aca="false">IF($C12983="","",$D12983*IFERROR(INDEX('تحليل التكلفة والسعر'!$C$2:$C$700,MATCH($C12983,'تحليل التكلفة والسعر'!$B$2:$B$700,0)),0))</f>
        <v/>
      </c>
    </row>
    <row r="12984" customFormat="false" ht="15" hidden="false" customHeight="false" outlineLevel="0" collapsed="false">
      <c r="A12984" s="103"/>
      <c r="B12984" s="104"/>
      <c r="C12984" s="104"/>
      <c r="E12984" s="107" t="str">
        <f aca="false">IF($C12984="","",IFERROR(INDEX(المنيو!$C$2:$C$500,MATCH($C12984,المنيو!$B$2:$B$500,0)),0))</f>
        <v/>
      </c>
      <c r="F12984" s="107" t="str">
        <f aca="false">IF($C12984="","",$D12984*$E12984)</f>
        <v/>
      </c>
      <c r="G12984" s="107" t="str">
        <f aca="false">IF($C12984="","",$D12984*IFERROR(INDEX('تحليل التكلفة والسعر'!$C$2:$C$700,MATCH($C12984,'تحليل التكلفة والسعر'!$B$2:$B$700,0)),0))</f>
        <v/>
      </c>
    </row>
    <row r="12985" customFormat="false" ht="15" hidden="false" customHeight="false" outlineLevel="0" collapsed="false">
      <c r="A12985" s="103"/>
      <c r="B12985" s="104"/>
      <c r="C12985" s="104"/>
      <c r="E12985" s="107" t="str">
        <f aca="false">IF($C12985="","",IFERROR(INDEX(المنيو!$C$2:$C$500,MATCH($C12985,المنيو!$B$2:$B$500,0)),0))</f>
        <v/>
      </c>
      <c r="F12985" s="107" t="str">
        <f aca="false">IF($C12985="","",$D12985*$E12985)</f>
        <v/>
      </c>
      <c r="G12985" s="107" t="str">
        <f aca="false">IF($C12985="","",$D12985*IFERROR(INDEX('تحليل التكلفة والسعر'!$C$2:$C$700,MATCH($C12985,'تحليل التكلفة والسعر'!$B$2:$B$700,0)),0))</f>
        <v/>
      </c>
    </row>
    <row r="12986" customFormat="false" ht="15" hidden="false" customHeight="false" outlineLevel="0" collapsed="false">
      <c r="A12986" s="103"/>
      <c r="B12986" s="104"/>
      <c r="C12986" s="104"/>
      <c r="E12986" s="107" t="str">
        <f aca="false">IF($C12986="","",IFERROR(INDEX(المنيو!$C$2:$C$500,MATCH($C12986,المنيو!$B$2:$B$500,0)),0))</f>
        <v/>
      </c>
      <c r="F12986" s="107" t="str">
        <f aca="false">IF($C12986="","",$D12986*$E12986)</f>
        <v/>
      </c>
      <c r="G12986" s="107" t="str">
        <f aca="false">IF($C12986="","",$D12986*IFERROR(INDEX('تحليل التكلفة والسعر'!$C$2:$C$700,MATCH($C12986,'تحليل التكلفة والسعر'!$B$2:$B$700,0)),0))</f>
        <v/>
      </c>
    </row>
    <row r="12987" customFormat="false" ht="15" hidden="false" customHeight="false" outlineLevel="0" collapsed="false">
      <c r="A12987" s="103"/>
      <c r="B12987" s="104"/>
      <c r="C12987" s="104"/>
      <c r="E12987" s="107" t="str">
        <f aca="false">IF($C12987="","",IFERROR(INDEX(المنيو!$C$2:$C$500,MATCH($C12987,المنيو!$B$2:$B$500,0)),0))</f>
        <v/>
      </c>
      <c r="F12987" s="107" t="str">
        <f aca="false">IF($C12987="","",$D12987*$E12987)</f>
        <v/>
      </c>
      <c r="G12987" s="107" t="str">
        <f aca="false">IF($C12987="","",$D12987*IFERROR(INDEX('تحليل التكلفة والسعر'!$C$2:$C$700,MATCH($C12987,'تحليل التكلفة والسعر'!$B$2:$B$700,0)),0))</f>
        <v/>
      </c>
    </row>
    <row r="12988" customFormat="false" ht="15" hidden="false" customHeight="false" outlineLevel="0" collapsed="false">
      <c r="A12988" s="103"/>
      <c r="B12988" s="104"/>
      <c r="C12988" s="104"/>
      <c r="E12988" s="107" t="str">
        <f aca="false">IF($C12988="","",IFERROR(INDEX(المنيو!$C$2:$C$500,MATCH($C12988,المنيو!$B$2:$B$500,0)),0))</f>
        <v/>
      </c>
      <c r="F12988" s="107" t="str">
        <f aca="false">IF($C12988="","",$D12988*$E12988)</f>
        <v/>
      </c>
      <c r="G12988" s="107" t="str">
        <f aca="false">IF($C12988="","",$D12988*IFERROR(INDEX('تحليل التكلفة والسعر'!$C$2:$C$700,MATCH($C12988,'تحليل التكلفة والسعر'!$B$2:$B$700,0)),0))</f>
        <v/>
      </c>
    </row>
    <row r="12989" customFormat="false" ht="15" hidden="false" customHeight="false" outlineLevel="0" collapsed="false">
      <c r="A12989" s="103"/>
      <c r="B12989" s="104"/>
      <c r="C12989" s="104"/>
      <c r="E12989" s="107" t="str">
        <f aca="false">IF($C12989="","",IFERROR(INDEX(المنيو!$C$2:$C$500,MATCH($C12989,المنيو!$B$2:$B$500,0)),0))</f>
        <v/>
      </c>
      <c r="F12989" s="107" t="str">
        <f aca="false">IF($C12989="","",$D12989*$E12989)</f>
        <v/>
      </c>
      <c r="G12989" s="107" t="str">
        <f aca="false">IF($C12989="","",$D12989*IFERROR(INDEX('تحليل التكلفة والسعر'!$C$2:$C$700,MATCH($C12989,'تحليل التكلفة والسعر'!$B$2:$B$700,0)),0))</f>
        <v/>
      </c>
    </row>
    <row r="12990" customFormat="false" ht="15" hidden="false" customHeight="false" outlineLevel="0" collapsed="false">
      <c r="A12990" s="103"/>
      <c r="B12990" s="104"/>
      <c r="C12990" s="104"/>
      <c r="E12990" s="107" t="str">
        <f aca="false">IF($C12990="","",IFERROR(INDEX(المنيو!$C$2:$C$500,MATCH($C12990,المنيو!$B$2:$B$500,0)),0))</f>
        <v/>
      </c>
      <c r="F12990" s="107" t="str">
        <f aca="false">IF($C12990="","",$D12990*$E12990)</f>
        <v/>
      </c>
      <c r="G12990" s="107" t="str">
        <f aca="false">IF($C12990="","",$D12990*IFERROR(INDEX('تحليل التكلفة والسعر'!$C$2:$C$700,MATCH($C12990,'تحليل التكلفة والسعر'!$B$2:$B$700,0)),0))</f>
        <v/>
      </c>
    </row>
    <row r="12991" customFormat="false" ht="15" hidden="false" customHeight="false" outlineLevel="0" collapsed="false">
      <c r="A12991" s="103"/>
      <c r="B12991" s="104"/>
      <c r="C12991" s="104"/>
      <c r="E12991" s="107" t="str">
        <f aca="false">IF($C12991="","",IFERROR(INDEX(المنيو!$C$2:$C$500,MATCH($C12991,المنيو!$B$2:$B$500,0)),0))</f>
        <v/>
      </c>
      <c r="F12991" s="107" t="str">
        <f aca="false">IF($C12991="","",$D12991*$E12991)</f>
        <v/>
      </c>
      <c r="G12991" s="107" t="str">
        <f aca="false">IF($C12991="","",$D12991*IFERROR(INDEX('تحليل التكلفة والسعر'!$C$2:$C$700,MATCH($C12991,'تحليل التكلفة والسعر'!$B$2:$B$700,0)),0))</f>
        <v/>
      </c>
    </row>
    <row r="12992" customFormat="false" ht="15" hidden="false" customHeight="false" outlineLevel="0" collapsed="false">
      <c r="A12992" s="103"/>
      <c r="B12992" s="104"/>
      <c r="C12992" s="104"/>
      <c r="E12992" s="107" t="str">
        <f aca="false">IF($C12992="","",IFERROR(INDEX(المنيو!$C$2:$C$500,MATCH($C12992,المنيو!$B$2:$B$500,0)),0))</f>
        <v/>
      </c>
      <c r="F12992" s="107" t="str">
        <f aca="false">IF($C12992="","",$D12992*$E12992)</f>
        <v/>
      </c>
      <c r="G12992" s="107" t="str">
        <f aca="false">IF($C12992="","",$D12992*IFERROR(INDEX('تحليل التكلفة والسعر'!$C$2:$C$700,MATCH($C12992,'تحليل التكلفة والسعر'!$B$2:$B$700,0)),0))</f>
        <v/>
      </c>
    </row>
    <row r="12993" customFormat="false" ht="15" hidden="false" customHeight="false" outlineLevel="0" collapsed="false">
      <c r="A12993" s="103"/>
      <c r="B12993" s="104"/>
      <c r="C12993" s="104"/>
      <c r="E12993" s="107" t="str">
        <f aca="false">IF($C12993="","",IFERROR(INDEX(المنيو!$C$2:$C$500,MATCH($C12993,المنيو!$B$2:$B$500,0)),0))</f>
        <v/>
      </c>
      <c r="F12993" s="107" t="str">
        <f aca="false">IF($C12993="","",$D12993*$E12993)</f>
        <v/>
      </c>
      <c r="G12993" s="107" t="str">
        <f aca="false">IF($C12993="","",$D12993*IFERROR(INDEX('تحليل التكلفة والسعر'!$C$2:$C$700,MATCH($C12993,'تحليل التكلفة والسعر'!$B$2:$B$700,0)),0))</f>
        <v/>
      </c>
    </row>
    <row r="12994" customFormat="false" ht="15" hidden="false" customHeight="false" outlineLevel="0" collapsed="false">
      <c r="A12994" s="103"/>
      <c r="B12994" s="104"/>
      <c r="C12994" s="104"/>
      <c r="E12994" s="107" t="str">
        <f aca="false">IF($C12994="","",IFERROR(INDEX(المنيو!$C$2:$C$500,MATCH($C12994,المنيو!$B$2:$B$500,0)),0))</f>
        <v/>
      </c>
      <c r="F12994" s="107" t="str">
        <f aca="false">IF($C12994="","",$D12994*$E12994)</f>
        <v/>
      </c>
      <c r="G12994" s="107" t="str">
        <f aca="false">IF($C12994="","",$D12994*IFERROR(INDEX('تحليل التكلفة والسعر'!$C$2:$C$700,MATCH($C12994,'تحليل التكلفة والسعر'!$B$2:$B$700,0)),0))</f>
        <v/>
      </c>
    </row>
    <row r="12995" customFormat="false" ht="15" hidden="false" customHeight="false" outlineLevel="0" collapsed="false">
      <c r="A12995" s="103"/>
      <c r="B12995" s="104"/>
      <c r="C12995" s="104"/>
      <c r="E12995" s="107" t="str">
        <f aca="false">IF($C12995="","",IFERROR(INDEX(المنيو!$C$2:$C$500,MATCH($C12995,المنيو!$B$2:$B$500,0)),0))</f>
        <v/>
      </c>
      <c r="F12995" s="107" t="str">
        <f aca="false">IF($C12995="","",$D12995*$E12995)</f>
        <v/>
      </c>
      <c r="G12995" s="107" t="str">
        <f aca="false">IF($C12995="","",$D12995*IFERROR(INDEX('تحليل التكلفة والسعر'!$C$2:$C$700,MATCH($C12995,'تحليل التكلفة والسعر'!$B$2:$B$700,0)),0))</f>
        <v/>
      </c>
    </row>
    <row r="12996" customFormat="false" ht="15" hidden="false" customHeight="false" outlineLevel="0" collapsed="false">
      <c r="A12996" s="103"/>
      <c r="B12996" s="104"/>
      <c r="C12996" s="104"/>
      <c r="E12996" s="107" t="str">
        <f aca="false">IF($C12996="","",IFERROR(INDEX(المنيو!$C$2:$C$500,MATCH($C12996,المنيو!$B$2:$B$500,0)),0))</f>
        <v/>
      </c>
      <c r="F12996" s="107" t="str">
        <f aca="false">IF($C12996="","",$D12996*$E12996)</f>
        <v/>
      </c>
      <c r="G12996" s="107" t="str">
        <f aca="false">IF($C12996="","",$D12996*IFERROR(INDEX('تحليل التكلفة والسعر'!$C$2:$C$700,MATCH($C12996,'تحليل التكلفة والسعر'!$B$2:$B$700,0)),0))</f>
        <v/>
      </c>
    </row>
    <row r="12997" customFormat="false" ht="15" hidden="false" customHeight="false" outlineLevel="0" collapsed="false">
      <c r="A12997" s="103"/>
      <c r="B12997" s="104"/>
      <c r="C12997" s="104"/>
      <c r="E12997" s="107" t="str">
        <f aca="false">IF($C12997="","",IFERROR(INDEX(المنيو!$C$2:$C$500,MATCH($C12997,المنيو!$B$2:$B$500,0)),0))</f>
        <v/>
      </c>
      <c r="F12997" s="107" t="str">
        <f aca="false">IF($C12997="","",$D12997*$E12997)</f>
        <v/>
      </c>
      <c r="G12997" s="107" t="str">
        <f aca="false">IF($C12997="","",$D12997*IFERROR(INDEX('تحليل التكلفة والسعر'!$C$2:$C$700,MATCH($C12997,'تحليل التكلفة والسعر'!$B$2:$B$700,0)),0))</f>
        <v/>
      </c>
    </row>
    <row r="12998" customFormat="false" ht="15" hidden="false" customHeight="false" outlineLevel="0" collapsed="false">
      <c r="A12998" s="103"/>
      <c r="B12998" s="104"/>
      <c r="C12998" s="104"/>
      <c r="E12998" s="107" t="str">
        <f aca="false">IF($C12998="","",IFERROR(INDEX(المنيو!$C$2:$C$500,MATCH($C12998,المنيو!$B$2:$B$500,0)),0))</f>
        <v/>
      </c>
      <c r="F12998" s="107" t="str">
        <f aca="false">IF($C12998="","",$D12998*$E12998)</f>
        <v/>
      </c>
      <c r="G12998" s="107" t="str">
        <f aca="false">IF($C12998="","",$D12998*IFERROR(INDEX('تحليل التكلفة والسعر'!$C$2:$C$700,MATCH($C12998,'تحليل التكلفة والسعر'!$B$2:$B$700,0)),0))</f>
        <v/>
      </c>
    </row>
    <row r="12999" customFormat="false" ht="15" hidden="false" customHeight="false" outlineLevel="0" collapsed="false">
      <c r="A12999" s="103"/>
      <c r="B12999" s="104"/>
      <c r="C12999" s="104"/>
      <c r="E12999" s="107" t="str">
        <f aca="false">IF($C12999="","",IFERROR(INDEX(المنيو!$C$2:$C$500,MATCH($C12999,المنيو!$B$2:$B$500,0)),0))</f>
        <v/>
      </c>
      <c r="F12999" s="107" t="str">
        <f aca="false">IF($C12999="","",$D12999*$E12999)</f>
        <v/>
      </c>
      <c r="G12999" s="107" t="str">
        <f aca="false">IF($C12999="","",$D12999*IFERROR(INDEX('تحليل التكلفة والسعر'!$C$2:$C$700,MATCH($C12999,'تحليل التكلفة والسعر'!$B$2:$B$700,0)),0))</f>
        <v/>
      </c>
    </row>
    <row r="13000" customFormat="false" ht="15" hidden="false" customHeight="false" outlineLevel="0" collapsed="false">
      <c r="A13000" s="103"/>
      <c r="B13000" s="104"/>
      <c r="C13000" s="104"/>
      <c r="E13000" s="107" t="str">
        <f aca="false">IF($C13000="","",IFERROR(INDEX(المنيو!$C$2:$C$500,MATCH($C13000,المنيو!$B$2:$B$500,0)),0))</f>
        <v/>
      </c>
      <c r="F13000" s="107" t="str">
        <f aca="false">IF($C13000="","",$D13000*$E13000)</f>
        <v/>
      </c>
      <c r="G13000" s="107" t="str">
        <f aca="false">IF($C13000="","",$D13000*IFERROR(INDEX('تحليل التكلفة والسعر'!$C$2:$C$700,MATCH($C13000,'تحليل التكلفة والسعر'!$B$2:$B$700,0)),0))</f>
        <v/>
      </c>
    </row>
    <row r="13001" customFormat="false" ht="15" hidden="false" customHeight="false" outlineLevel="0" collapsed="false">
      <c r="A13001" s="103"/>
      <c r="B13001" s="104"/>
      <c r="C13001" s="104"/>
      <c r="E13001" s="107" t="str">
        <f aca="false">IF($C13001="","",IFERROR(INDEX(المنيو!$C$2:$C$500,MATCH($C13001,المنيو!$B$2:$B$500,0)),0))</f>
        <v/>
      </c>
      <c r="F13001" s="107" t="str">
        <f aca="false">IF($C13001="","",$D13001*$E13001)</f>
        <v/>
      </c>
      <c r="G13001" s="107" t="str">
        <f aca="false">IF($C13001="","",$D13001*IFERROR(INDEX('تحليل التكلفة والسعر'!$C$2:$C$700,MATCH($C13001,'تحليل التكلفة والسعر'!$B$2:$B$700,0)),0))</f>
        <v/>
      </c>
    </row>
    <row r="13002" customFormat="false" ht="15" hidden="false" customHeight="false" outlineLevel="0" collapsed="false">
      <c r="A13002" s="103"/>
      <c r="B13002" s="104"/>
      <c r="C13002" s="104"/>
      <c r="E13002" s="107" t="str">
        <f aca="false">IF($C13002="","",IFERROR(INDEX(المنيو!$C$2:$C$500,MATCH($C13002,المنيو!$B$2:$B$500,0)),0))</f>
        <v/>
      </c>
      <c r="F13002" s="107" t="str">
        <f aca="false">IF($C13002="","",$D13002*$E13002)</f>
        <v/>
      </c>
      <c r="G13002" s="107" t="str">
        <f aca="false">IF($C13002="","",$D13002*IFERROR(INDEX('تحليل التكلفة والسعر'!$C$2:$C$700,MATCH($C13002,'تحليل التكلفة والسعر'!$B$2:$B$700,0)),0))</f>
        <v/>
      </c>
    </row>
    <row r="13003" customFormat="false" ht="15" hidden="false" customHeight="false" outlineLevel="0" collapsed="false">
      <c r="A13003" s="103"/>
      <c r="B13003" s="104"/>
      <c r="C13003" s="104"/>
      <c r="E13003" s="107" t="str">
        <f aca="false">IF($C13003="","",IFERROR(INDEX(المنيو!$C$2:$C$500,MATCH($C13003,المنيو!$B$2:$B$500,0)),0))</f>
        <v/>
      </c>
      <c r="F13003" s="107" t="str">
        <f aca="false">IF($C13003="","",$D13003*$E13003)</f>
        <v/>
      </c>
      <c r="G13003" s="107" t="str">
        <f aca="false">IF($C13003="","",$D13003*IFERROR(INDEX('تحليل التكلفة والسعر'!$C$2:$C$700,MATCH($C13003,'تحليل التكلفة والسعر'!$B$2:$B$700,0)),0))</f>
        <v/>
      </c>
    </row>
    <row r="13004" customFormat="false" ht="15" hidden="false" customHeight="false" outlineLevel="0" collapsed="false">
      <c r="A13004" s="103"/>
      <c r="B13004" s="104"/>
      <c r="C13004" s="104"/>
      <c r="E13004" s="107" t="str">
        <f aca="false">IF($C13004="","",IFERROR(INDEX(المنيو!$C$2:$C$500,MATCH($C13004,المنيو!$B$2:$B$500,0)),0))</f>
        <v/>
      </c>
      <c r="F13004" s="107" t="str">
        <f aca="false">IF($C13004="","",$D13004*$E13004)</f>
        <v/>
      </c>
      <c r="G13004" s="107" t="str">
        <f aca="false">IF($C13004="","",$D13004*IFERROR(INDEX('تحليل التكلفة والسعر'!$C$2:$C$700,MATCH($C13004,'تحليل التكلفة والسعر'!$B$2:$B$700,0)),0))</f>
        <v/>
      </c>
    </row>
    <row r="13005" customFormat="false" ht="15" hidden="false" customHeight="false" outlineLevel="0" collapsed="false">
      <c r="A13005" s="103"/>
      <c r="B13005" s="104"/>
      <c r="C13005" s="104"/>
      <c r="E13005" s="107" t="str">
        <f aca="false">IF($C13005="","",IFERROR(INDEX(المنيو!$C$2:$C$500,MATCH($C13005,المنيو!$B$2:$B$500,0)),0))</f>
        <v/>
      </c>
      <c r="F13005" s="107" t="str">
        <f aca="false">IF($C13005="","",$D13005*$E13005)</f>
        <v/>
      </c>
      <c r="G13005" s="107" t="str">
        <f aca="false">IF($C13005="","",$D13005*IFERROR(INDEX('تحليل التكلفة والسعر'!$C$2:$C$700,MATCH($C13005,'تحليل التكلفة والسعر'!$B$2:$B$700,0)),0))</f>
        <v/>
      </c>
    </row>
    <row r="13006" customFormat="false" ht="15" hidden="false" customHeight="false" outlineLevel="0" collapsed="false">
      <c r="A13006" s="103"/>
      <c r="B13006" s="104"/>
      <c r="C13006" s="104"/>
      <c r="E13006" s="107" t="str">
        <f aca="false">IF($C13006="","",IFERROR(INDEX(المنيو!$C$2:$C$500,MATCH($C13006,المنيو!$B$2:$B$500,0)),0))</f>
        <v/>
      </c>
      <c r="F13006" s="107" t="str">
        <f aca="false">IF($C13006="","",$D13006*$E13006)</f>
        <v/>
      </c>
      <c r="G13006" s="107" t="str">
        <f aca="false">IF($C13006="","",$D13006*IFERROR(INDEX('تحليل التكلفة والسعر'!$C$2:$C$700,MATCH($C13006,'تحليل التكلفة والسعر'!$B$2:$B$700,0)),0))</f>
        <v/>
      </c>
    </row>
    <row r="13007" customFormat="false" ht="15" hidden="false" customHeight="false" outlineLevel="0" collapsed="false">
      <c r="A13007" s="103"/>
      <c r="B13007" s="104"/>
      <c r="C13007" s="104"/>
      <c r="E13007" s="107" t="str">
        <f aca="false">IF($C13007="","",IFERROR(INDEX(المنيو!$C$2:$C$500,MATCH($C13007,المنيو!$B$2:$B$500,0)),0))</f>
        <v/>
      </c>
      <c r="F13007" s="107" t="str">
        <f aca="false">IF($C13007="","",$D13007*$E13007)</f>
        <v/>
      </c>
      <c r="G13007" s="107" t="str">
        <f aca="false">IF($C13007="","",$D13007*IFERROR(INDEX('تحليل التكلفة والسعر'!$C$2:$C$700,MATCH($C13007,'تحليل التكلفة والسعر'!$B$2:$B$700,0)),0))</f>
        <v/>
      </c>
    </row>
    <row r="13008" customFormat="false" ht="15" hidden="false" customHeight="false" outlineLevel="0" collapsed="false">
      <c r="A13008" s="103"/>
      <c r="B13008" s="104"/>
      <c r="C13008" s="104"/>
      <c r="E13008" s="107" t="str">
        <f aca="false">IF($C13008="","",IFERROR(INDEX(المنيو!$C$2:$C$500,MATCH($C13008,المنيو!$B$2:$B$500,0)),0))</f>
        <v/>
      </c>
      <c r="F13008" s="107" t="str">
        <f aca="false">IF($C13008="","",$D13008*$E13008)</f>
        <v/>
      </c>
      <c r="G13008" s="107" t="str">
        <f aca="false">IF($C13008="","",$D13008*IFERROR(INDEX('تحليل التكلفة والسعر'!$C$2:$C$700,MATCH($C13008,'تحليل التكلفة والسعر'!$B$2:$B$700,0)),0))</f>
        <v/>
      </c>
    </row>
    <row r="13009" customFormat="false" ht="15" hidden="false" customHeight="false" outlineLevel="0" collapsed="false">
      <c r="A13009" s="103"/>
      <c r="B13009" s="104"/>
      <c r="C13009" s="104"/>
      <c r="E13009" s="107" t="str">
        <f aca="false">IF($C13009="","",IFERROR(INDEX(المنيو!$C$2:$C$500,MATCH($C13009,المنيو!$B$2:$B$500,0)),0))</f>
        <v/>
      </c>
      <c r="F13009" s="107" t="str">
        <f aca="false">IF($C13009="","",$D13009*$E13009)</f>
        <v/>
      </c>
      <c r="G13009" s="107" t="str">
        <f aca="false">IF($C13009="","",$D13009*IFERROR(INDEX('تحليل التكلفة والسعر'!$C$2:$C$700,MATCH($C13009,'تحليل التكلفة والسعر'!$B$2:$B$700,0)),0))</f>
        <v/>
      </c>
    </row>
    <row r="13010" customFormat="false" ht="15" hidden="false" customHeight="false" outlineLevel="0" collapsed="false">
      <c r="A13010" s="103"/>
      <c r="B13010" s="104"/>
      <c r="C13010" s="104"/>
      <c r="E13010" s="107" t="str">
        <f aca="false">IF($C13010="","",IFERROR(INDEX(المنيو!$C$2:$C$500,MATCH($C13010,المنيو!$B$2:$B$500,0)),0))</f>
        <v/>
      </c>
      <c r="F13010" s="107" t="str">
        <f aca="false">IF($C13010="","",$D13010*$E13010)</f>
        <v/>
      </c>
      <c r="G13010" s="107" t="str">
        <f aca="false">IF($C13010="","",$D13010*IFERROR(INDEX('تحليل التكلفة والسعر'!$C$2:$C$700,MATCH($C13010,'تحليل التكلفة والسعر'!$B$2:$B$700,0)),0))</f>
        <v/>
      </c>
    </row>
    <row r="13011" customFormat="false" ht="15" hidden="false" customHeight="false" outlineLevel="0" collapsed="false">
      <c r="A13011" s="103"/>
      <c r="B13011" s="104"/>
      <c r="C13011" s="104"/>
      <c r="E13011" s="107" t="str">
        <f aca="false">IF($C13011="","",IFERROR(INDEX(المنيو!$C$2:$C$500,MATCH($C13011,المنيو!$B$2:$B$500,0)),0))</f>
        <v/>
      </c>
      <c r="F13011" s="107" t="str">
        <f aca="false">IF($C13011="","",$D13011*$E13011)</f>
        <v/>
      </c>
      <c r="G13011" s="107" t="str">
        <f aca="false">IF($C13011="","",$D13011*IFERROR(INDEX('تحليل التكلفة والسعر'!$C$2:$C$700,MATCH($C13011,'تحليل التكلفة والسعر'!$B$2:$B$700,0)),0))</f>
        <v/>
      </c>
    </row>
    <row r="13012" customFormat="false" ht="15" hidden="false" customHeight="false" outlineLevel="0" collapsed="false">
      <c r="A13012" s="103"/>
      <c r="B13012" s="104"/>
      <c r="C13012" s="104"/>
      <c r="E13012" s="107" t="str">
        <f aca="false">IF($C13012="","",IFERROR(INDEX(المنيو!$C$2:$C$500,MATCH($C13012,المنيو!$B$2:$B$500,0)),0))</f>
        <v/>
      </c>
      <c r="F13012" s="107" t="str">
        <f aca="false">IF($C13012="","",$D13012*$E13012)</f>
        <v/>
      </c>
      <c r="G13012" s="107" t="str">
        <f aca="false">IF($C13012="","",$D13012*IFERROR(INDEX('تحليل التكلفة والسعر'!$C$2:$C$700,MATCH($C13012,'تحليل التكلفة والسعر'!$B$2:$B$700,0)),0))</f>
        <v/>
      </c>
    </row>
    <row r="13013" customFormat="false" ht="15" hidden="false" customHeight="false" outlineLevel="0" collapsed="false">
      <c r="A13013" s="103"/>
      <c r="B13013" s="104"/>
      <c r="C13013" s="104"/>
      <c r="E13013" s="107" t="str">
        <f aca="false">IF($C13013="","",IFERROR(INDEX(المنيو!$C$2:$C$500,MATCH($C13013,المنيو!$B$2:$B$500,0)),0))</f>
        <v/>
      </c>
      <c r="F13013" s="107" t="str">
        <f aca="false">IF($C13013="","",$D13013*$E13013)</f>
        <v/>
      </c>
      <c r="G13013" s="107" t="str">
        <f aca="false">IF($C13013="","",$D13013*IFERROR(INDEX('تحليل التكلفة والسعر'!$C$2:$C$700,MATCH($C13013,'تحليل التكلفة والسعر'!$B$2:$B$700,0)),0))</f>
        <v/>
      </c>
    </row>
    <row r="13014" customFormat="false" ht="15" hidden="false" customHeight="false" outlineLevel="0" collapsed="false">
      <c r="A13014" s="103"/>
      <c r="B13014" s="104"/>
      <c r="C13014" s="104"/>
      <c r="E13014" s="107" t="str">
        <f aca="false">IF($C13014="","",IFERROR(INDEX(المنيو!$C$2:$C$500,MATCH($C13014,المنيو!$B$2:$B$500,0)),0))</f>
        <v/>
      </c>
      <c r="F13014" s="107" t="str">
        <f aca="false">IF($C13014="","",$D13014*$E13014)</f>
        <v/>
      </c>
      <c r="G13014" s="107" t="str">
        <f aca="false">IF($C13014="","",$D13014*IFERROR(INDEX('تحليل التكلفة والسعر'!$C$2:$C$700,MATCH($C13014,'تحليل التكلفة والسعر'!$B$2:$B$700,0)),0))</f>
        <v/>
      </c>
    </row>
    <row r="13015" customFormat="false" ht="15" hidden="false" customHeight="false" outlineLevel="0" collapsed="false">
      <c r="A13015" s="103"/>
      <c r="B13015" s="104"/>
      <c r="C13015" s="104"/>
      <c r="E13015" s="107" t="str">
        <f aca="false">IF($C13015="","",IFERROR(INDEX(المنيو!$C$2:$C$500,MATCH($C13015,المنيو!$B$2:$B$500,0)),0))</f>
        <v/>
      </c>
      <c r="F13015" s="107" t="str">
        <f aca="false">IF($C13015="","",$D13015*$E13015)</f>
        <v/>
      </c>
      <c r="G13015" s="107" t="str">
        <f aca="false">IF($C13015="","",$D13015*IFERROR(INDEX('تحليل التكلفة والسعر'!$C$2:$C$700,MATCH($C13015,'تحليل التكلفة والسعر'!$B$2:$B$700,0)),0))</f>
        <v/>
      </c>
    </row>
    <row r="13016" customFormat="false" ht="15" hidden="false" customHeight="false" outlineLevel="0" collapsed="false">
      <c r="A13016" s="103"/>
      <c r="B13016" s="104"/>
      <c r="C13016" s="104"/>
      <c r="E13016" s="107" t="str">
        <f aca="false">IF($C13016="","",IFERROR(INDEX(المنيو!$C$2:$C$500,MATCH($C13016,المنيو!$B$2:$B$500,0)),0))</f>
        <v/>
      </c>
      <c r="F13016" s="107" t="str">
        <f aca="false">IF($C13016="","",$D13016*$E13016)</f>
        <v/>
      </c>
      <c r="G13016" s="107" t="str">
        <f aca="false">IF($C13016="","",$D13016*IFERROR(INDEX('تحليل التكلفة والسعر'!$C$2:$C$700,MATCH($C13016,'تحليل التكلفة والسعر'!$B$2:$B$700,0)),0))</f>
        <v/>
      </c>
    </row>
    <row r="13017" customFormat="false" ht="15" hidden="false" customHeight="false" outlineLevel="0" collapsed="false">
      <c r="A13017" s="103"/>
      <c r="B13017" s="104"/>
      <c r="C13017" s="104"/>
      <c r="E13017" s="107" t="str">
        <f aca="false">IF($C13017="","",IFERROR(INDEX(المنيو!$C$2:$C$500,MATCH($C13017,المنيو!$B$2:$B$500,0)),0))</f>
        <v/>
      </c>
      <c r="F13017" s="107" t="str">
        <f aca="false">IF($C13017="","",$D13017*$E13017)</f>
        <v/>
      </c>
      <c r="G13017" s="107" t="str">
        <f aca="false">IF($C13017="","",$D13017*IFERROR(INDEX('تحليل التكلفة والسعر'!$C$2:$C$700,MATCH($C13017,'تحليل التكلفة والسعر'!$B$2:$B$700,0)),0))</f>
        <v/>
      </c>
    </row>
    <row r="13018" customFormat="false" ht="15" hidden="false" customHeight="false" outlineLevel="0" collapsed="false">
      <c r="A13018" s="103"/>
      <c r="B13018" s="104"/>
      <c r="C13018" s="104"/>
      <c r="E13018" s="107" t="str">
        <f aca="false">IF($C13018="","",IFERROR(INDEX(المنيو!$C$2:$C$500,MATCH($C13018,المنيو!$B$2:$B$500,0)),0))</f>
        <v/>
      </c>
      <c r="F13018" s="107" t="str">
        <f aca="false">IF($C13018="","",$D13018*$E13018)</f>
        <v/>
      </c>
      <c r="G13018" s="107" t="str">
        <f aca="false">IF($C13018="","",$D13018*IFERROR(INDEX('تحليل التكلفة والسعر'!$C$2:$C$700,MATCH($C13018,'تحليل التكلفة والسعر'!$B$2:$B$700,0)),0))</f>
        <v/>
      </c>
    </row>
    <row r="13019" customFormat="false" ht="15" hidden="false" customHeight="false" outlineLevel="0" collapsed="false">
      <c r="A13019" s="103"/>
      <c r="B13019" s="104"/>
      <c r="C13019" s="104"/>
      <c r="E13019" s="107" t="str">
        <f aca="false">IF($C13019="","",IFERROR(INDEX(المنيو!$C$2:$C$500,MATCH($C13019,المنيو!$B$2:$B$500,0)),0))</f>
        <v/>
      </c>
      <c r="F13019" s="107" t="str">
        <f aca="false">IF($C13019="","",$D13019*$E13019)</f>
        <v/>
      </c>
      <c r="G13019" s="107" t="str">
        <f aca="false">IF($C13019="","",$D13019*IFERROR(INDEX('تحليل التكلفة والسعر'!$C$2:$C$700,MATCH($C13019,'تحليل التكلفة والسعر'!$B$2:$B$700,0)),0))</f>
        <v/>
      </c>
    </row>
    <row r="13020" customFormat="false" ht="15" hidden="false" customHeight="false" outlineLevel="0" collapsed="false">
      <c r="A13020" s="103"/>
      <c r="B13020" s="104"/>
      <c r="C13020" s="104"/>
      <c r="E13020" s="107" t="str">
        <f aca="false">IF($C13020="","",IFERROR(INDEX(المنيو!$C$2:$C$500,MATCH($C13020,المنيو!$B$2:$B$500,0)),0))</f>
        <v/>
      </c>
      <c r="F13020" s="107" t="str">
        <f aca="false">IF($C13020="","",$D13020*$E13020)</f>
        <v/>
      </c>
      <c r="G13020" s="107" t="str">
        <f aca="false">IF($C13020="","",$D13020*IFERROR(INDEX('تحليل التكلفة والسعر'!$C$2:$C$700,MATCH($C13020,'تحليل التكلفة والسعر'!$B$2:$B$700,0)),0))</f>
        <v/>
      </c>
    </row>
    <row r="13021" customFormat="false" ht="15" hidden="false" customHeight="false" outlineLevel="0" collapsed="false">
      <c r="A13021" s="103"/>
      <c r="B13021" s="104"/>
      <c r="C13021" s="104"/>
      <c r="E13021" s="107" t="str">
        <f aca="false">IF($C13021="","",IFERROR(INDEX(المنيو!$C$2:$C$500,MATCH($C13021,المنيو!$B$2:$B$500,0)),0))</f>
        <v/>
      </c>
      <c r="F13021" s="107" t="str">
        <f aca="false">IF($C13021="","",$D13021*$E13021)</f>
        <v/>
      </c>
      <c r="G13021" s="107" t="str">
        <f aca="false">IF($C13021="","",$D13021*IFERROR(INDEX('تحليل التكلفة والسعر'!$C$2:$C$700,MATCH($C13021,'تحليل التكلفة والسعر'!$B$2:$B$700,0)),0))</f>
        <v/>
      </c>
    </row>
    <row r="13022" customFormat="false" ht="15" hidden="false" customHeight="false" outlineLevel="0" collapsed="false">
      <c r="A13022" s="103"/>
      <c r="B13022" s="104"/>
      <c r="C13022" s="104"/>
      <c r="E13022" s="107" t="str">
        <f aca="false">IF($C13022="","",IFERROR(INDEX(المنيو!$C$2:$C$500,MATCH($C13022,المنيو!$B$2:$B$500,0)),0))</f>
        <v/>
      </c>
      <c r="F13022" s="107" t="str">
        <f aca="false">IF($C13022="","",$D13022*$E13022)</f>
        <v/>
      </c>
      <c r="G13022" s="107" t="str">
        <f aca="false">IF($C13022="","",$D13022*IFERROR(INDEX('تحليل التكلفة والسعر'!$C$2:$C$700,MATCH($C13022,'تحليل التكلفة والسعر'!$B$2:$B$700,0)),0))</f>
        <v/>
      </c>
    </row>
    <row r="13023" customFormat="false" ht="15" hidden="false" customHeight="false" outlineLevel="0" collapsed="false">
      <c r="A13023" s="103"/>
      <c r="B13023" s="104"/>
      <c r="C13023" s="104"/>
      <c r="E13023" s="107" t="str">
        <f aca="false">IF($C13023="","",IFERROR(INDEX(المنيو!$C$2:$C$500,MATCH($C13023,المنيو!$B$2:$B$500,0)),0))</f>
        <v/>
      </c>
      <c r="F13023" s="107" t="str">
        <f aca="false">IF($C13023="","",$D13023*$E13023)</f>
        <v/>
      </c>
      <c r="G13023" s="107" t="str">
        <f aca="false">IF($C13023="","",$D13023*IFERROR(INDEX('تحليل التكلفة والسعر'!$C$2:$C$700,MATCH($C13023,'تحليل التكلفة والسعر'!$B$2:$B$700,0)),0))</f>
        <v/>
      </c>
    </row>
    <row r="13024" customFormat="false" ht="15" hidden="false" customHeight="false" outlineLevel="0" collapsed="false">
      <c r="A13024" s="103"/>
      <c r="B13024" s="104"/>
      <c r="C13024" s="104"/>
      <c r="E13024" s="107" t="str">
        <f aca="false">IF($C13024="","",IFERROR(INDEX(المنيو!$C$2:$C$500,MATCH($C13024,المنيو!$B$2:$B$500,0)),0))</f>
        <v/>
      </c>
      <c r="F13024" s="107" t="str">
        <f aca="false">IF($C13024="","",$D13024*$E13024)</f>
        <v/>
      </c>
      <c r="G13024" s="107" t="str">
        <f aca="false">IF($C13024="","",$D13024*IFERROR(INDEX('تحليل التكلفة والسعر'!$C$2:$C$700,MATCH($C13024,'تحليل التكلفة والسعر'!$B$2:$B$700,0)),0))</f>
        <v/>
      </c>
    </row>
    <row r="13025" customFormat="false" ht="15" hidden="false" customHeight="false" outlineLevel="0" collapsed="false">
      <c r="A13025" s="103"/>
      <c r="B13025" s="104"/>
      <c r="C13025" s="104"/>
      <c r="E13025" s="107" t="str">
        <f aca="false">IF($C13025="","",IFERROR(INDEX(المنيو!$C$2:$C$500,MATCH($C13025,المنيو!$B$2:$B$500,0)),0))</f>
        <v/>
      </c>
      <c r="F13025" s="107" t="str">
        <f aca="false">IF($C13025="","",$D13025*$E13025)</f>
        <v/>
      </c>
      <c r="G13025" s="107" t="str">
        <f aca="false">IF($C13025="","",$D13025*IFERROR(INDEX('تحليل التكلفة والسعر'!$C$2:$C$700,MATCH($C13025,'تحليل التكلفة والسعر'!$B$2:$B$700,0)),0))</f>
        <v/>
      </c>
    </row>
    <row r="13026" customFormat="false" ht="15" hidden="false" customHeight="false" outlineLevel="0" collapsed="false">
      <c r="A13026" s="103"/>
      <c r="B13026" s="104"/>
      <c r="C13026" s="104"/>
      <c r="E13026" s="107" t="str">
        <f aca="false">IF($C13026="","",IFERROR(INDEX(المنيو!$C$2:$C$500,MATCH($C13026,المنيو!$B$2:$B$500,0)),0))</f>
        <v/>
      </c>
      <c r="F13026" s="107" t="str">
        <f aca="false">IF($C13026="","",$D13026*$E13026)</f>
        <v/>
      </c>
      <c r="G13026" s="107" t="str">
        <f aca="false">IF($C13026="","",$D13026*IFERROR(INDEX('تحليل التكلفة والسعر'!$C$2:$C$700,MATCH($C13026,'تحليل التكلفة والسعر'!$B$2:$B$700,0)),0))</f>
        <v/>
      </c>
    </row>
    <row r="13027" customFormat="false" ht="15" hidden="false" customHeight="false" outlineLevel="0" collapsed="false">
      <c r="A13027" s="103"/>
      <c r="B13027" s="104"/>
      <c r="C13027" s="104"/>
      <c r="E13027" s="107" t="str">
        <f aca="false">IF($C13027="","",IFERROR(INDEX(المنيو!$C$2:$C$500,MATCH($C13027,المنيو!$B$2:$B$500,0)),0))</f>
        <v/>
      </c>
      <c r="F13027" s="107" t="str">
        <f aca="false">IF($C13027="","",$D13027*$E13027)</f>
        <v/>
      </c>
      <c r="G13027" s="107" t="str">
        <f aca="false">IF($C13027="","",$D13027*IFERROR(INDEX('تحليل التكلفة والسعر'!$C$2:$C$700,MATCH($C13027,'تحليل التكلفة والسعر'!$B$2:$B$700,0)),0))</f>
        <v/>
      </c>
    </row>
    <row r="13028" customFormat="false" ht="15" hidden="false" customHeight="false" outlineLevel="0" collapsed="false">
      <c r="A13028" s="103"/>
      <c r="B13028" s="104"/>
      <c r="C13028" s="104"/>
      <c r="E13028" s="107" t="str">
        <f aca="false">IF($C13028="","",IFERROR(INDEX(المنيو!$C$2:$C$500,MATCH($C13028,المنيو!$B$2:$B$500,0)),0))</f>
        <v/>
      </c>
      <c r="F13028" s="107" t="str">
        <f aca="false">IF($C13028="","",$D13028*$E13028)</f>
        <v/>
      </c>
      <c r="G13028" s="107" t="str">
        <f aca="false">IF($C13028="","",$D13028*IFERROR(INDEX('تحليل التكلفة والسعر'!$C$2:$C$700,MATCH($C13028,'تحليل التكلفة والسعر'!$B$2:$B$700,0)),0))</f>
        <v/>
      </c>
    </row>
    <row r="13029" customFormat="false" ht="15" hidden="false" customHeight="false" outlineLevel="0" collapsed="false">
      <c r="A13029" s="103"/>
      <c r="B13029" s="104"/>
      <c r="C13029" s="104"/>
      <c r="E13029" s="107" t="str">
        <f aca="false">IF($C13029="","",IFERROR(INDEX(المنيو!$C$2:$C$500,MATCH($C13029,المنيو!$B$2:$B$500,0)),0))</f>
        <v/>
      </c>
      <c r="F13029" s="107" t="str">
        <f aca="false">IF($C13029="","",$D13029*$E13029)</f>
        <v/>
      </c>
      <c r="G13029" s="107" t="str">
        <f aca="false">IF($C13029="","",$D13029*IFERROR(INDEX('تحليل التكلفة والسعر'!$C$2:$C$700,MATCH($C13029,'تحليل التكلفة والسعر'!$B$2:$B$700,0)),0))</f>
        <v/>
      </c>
    </row>
    <row r="13030" customFormat="false" ht="15" hidden="false" customHeight="false" outlineLevel="0" collapsed="false">
      <c r="A13030" s="103"/>
      <c r="B13030" s="104"/>
      <c r="C13030" s="104"/>
      <c r="E13030" s="107" t="str">
        <f aca="false">IF($C13030="","",IFERROR(INDEX(المنيو!$C$2:$C$500,MATCH($C13030,المنيو!$B$2:$B$500,0)),0))</f>
        <v/>
      </c>
      <c r="F13030" s="107" t="str">
        <f aca="false">IF($C13030="","",$D13030*$E13030)</f>
        <v/>
      </c>
      <c r="G13030" s="107" t="str">
        <f aca="false">IF($C13030="","",$D13030*IFERROR(INDEX('تحليل التكلفة والسعر'!$C$2:$C$700,MATCH($C13030,'تحليل التكلفة والسعر'!$B$2:$B$700,0)),0))</f>
        <v/>
      </c>
    </row>
    <row r="13031" customFormat="false" ht="15" hidden="false" customHeight="false" outlineLevel="0" collapsed="false">
      <c r="A13031" s="103"/>
      <c r="B13031" s="104"/>
      <c r="C13031" s="104"/>
      <c r="E13031" s="107" t="str">
        <f aca="false">IF($C13031="","",IFERROR(INDEX(المنيو!$C$2:$C$500,MATCH($C13031,المنيو!$B$2:$B$500,0)),0))</f>
        <v/>
      </c>
      <c r="F13031" s="107" t="str">
        <f aca="false">IF($C13031="","",$D13031*$E13031)</f>
        <v/>
      </c>
      <c r="G13031" s="107" t="str">
        <f aca="false">IF($C13031="","",$D13031*IFERROR(INDEX('تحليل التكلفة والسعر'!$C$2:$C$700,MATCH($C13031,'تحليل التكلفة والسعر'!$B$2:$B$700,0)),0))</f>
        <v/>
      </c>
    </row>
    <row r="13032" customFormat="false" ht="15" hidden="false" customHeight="false" outlineLevel="0" collapsed="false">
      <c r="A13032" s="103"/>
      <c r="B13032" s="104"/>
      <c r="C13032" s="104"/>
      <c r="E13032" s="107" t="str">
        <f aca="false">IF($C13032="","",IFERROR(INDEX(المنيو!$C$2:$C$500,MATCH($C13032,المنيو!$B$2:$B$500,0)),0))</f>
        <v/>
      </c>
      <c r="F13032" s="107" t="str">
        <f aca="false">IF($C13032="","",$D13032*$E13032)</f>
        <v/>
      </c>
      <c r="G13032" s="107" t="str">
        <f aca="false">IF($C13032="","",$D13032*IFERROR(INDEX('تحليل التكلفة والسعر'!$C$2:$C$700,MATCH($C13032,'تحليل التكلفة والسعر'!$B$2:$B$700,0)),0))</f>
        <v/>
      </c>
    </row>
    <row r="13033" customFormat="false" ht="15" hidden="false" customHeight="false" outlineLevel="0" collapsed="false">
      <c r="A13033" s="103"/>
      <c r="B13033" s="104"/>
      <c r="C13033" s="104"/>
      <c r="E13033" s="107" t="str">
        <f aca="false">IF($C13033="","",IFERROR(INDEX(المنيو!$C$2:$C$500,MATCH($C13033,المنيو!$B$2:$B$500,0)),0))</f>
        <v/>
      </c>
      <c r="F13033" s="107" t="str">
        <f aca="false">IF($C13033="","",$D13033*$E13033)</f>
        <v/>
      </c>
      <c r="G13033" s="107" t="str">
        <f aca="false">IF($C13033="","",$D13033*IFERROR(INDEX('تحليل التكلفة والسعر'!$C$2:$C$700,MATCH($C13033,'تحليل التكلفة والسعر'!$B$2:$B$700,0)),0))</f>
        <v/>
      </c>
    </row>
    <row r="13034" customFormat="false" ht="15" hidden="false" customHeight="false" outlineLevel="0" collapsed="false">
      <c r="A13034" s="103"/>
      <c r="B13034" s="104"/>
      <c r="C13034" s="104"/>
      <c r="E13034" s="107" t="str">
        <f aca="false">IF($C13034="","",IFERROR(INDEX(المنيو!$C$2:$C$500,MATCH($C13034,المنيو!$B$2:$B$500,0)),0))</f>
        <v/>
      </c>
      <c r="F13034" s="107" t="str">
        <f aca="false">IF($C13034="","",$D13034*$E13034)</f>
        <v/>
      </c>
      <c r="G13034" s="107" t="str">
        <f aca="false">IF($C13034="","",$D13034*IFERROR(INDEX('تحليل التكلفة والسعر'!$C$2:$C$700,MATCH($C13034,'تحليل التكلفة والسعر'!$B$2:$B$700,0)),0))</f>
        <v/>
      </c>
    </row>
    <row r="13035" customFormat="false" ht="15" hidden="false" customHeight="false" outlineLevel="0" collapsed="false">
      <c r="A13035" s="103"/>
      <c r="B13035" s="104"/>
      <c r="C13035" s="104"/>
      <c r="E13035" s="107" t="str">
        <f aca="false">IF($C13035="","",IFERROR(INDEX(المنيو!$C$2:$C$500,MATCH($C13035,المنيو!$B$2:$B$500,0)),0))</f>
        <v/>
      </c>
      <c r="F13035" s="107" t="str">
        <f aca="false">IF($C13035="","",$D13035*$E13035)</f>
        <v/>
      </c>
      <c r="G13035" s="107" t="str">
        <f aca="false">IF($C13035="","",$D13035*IFERROR(INDEX('تحليل التكلفة والسعر'!$C$2:$C$700,MATCH($C13035,'تحليل التكلفة والسعر'!$B$2:$B$700,0)),0))</f>
        <v/>
      </c>
    </row>
    <row r="13036" customFormat="false" ht="15" hidden="false" customHeight="false" outlineLevel="0" collapsed="false">
      <c r="A13036" s="103"/>
      <c r="B13036" s="104"/>
      <c r="C13036" s="104"/>
      <c r="E13036" s="107" t="str">
        <f aca="false">IF($C13036="","",IFERROR(INDEX(المنيو!$C$2:$C$500,MATCH($C13036,المنيو!$B$2:$B$500,0)),0))</f>
        <v/>
      </c>
      <c r="F13036" s="107" t="str">
        <f aca="false">IF($C13036="","",$D13036*$E13036)</f>
        <v/>
      </c>
      <c r="G13036" s="107" t="str">
        <f aca="false">IF($C13036="","",$D13036*IFERROR(INDEX('تحليل التكلفة والسعر'!$C$2:$C$700,MATCH($C13036,'تحليل التكلفة والسعر'!$B$2:$B$700,0)),0))</f>
        <v/>
      </c>
    </row>
    <row r="13037" customFormat="false" ht="15" hidden="false" customHeight="false" outlineLevel="0" collapsed="false">
      <c r="A13037" s="103"/>
      <c r="B13037" s="104"/>
      <c r="C13037" s="104"/>
      <c r="E13037" s="107" t="str">
        <f aca="false">IF($C13037="","",IFERROR(INDEX(المنيو!$C$2:$C$500,MATCH($C13037,المنيو!$B$2:$B$500,0)),0))</f>
        <v/>
      </c>
      <c r="F13037" s="107" t="str">
        <f aca="false">IF($C13037="","",$D13037*$E13037)</f>
        <v/>
      </c>
      <c r="G13037" s="107" t="str">
        <f aca="false">IF($C13037="","",$D13037*IFERROR(INDEX('تحليل التكلفة والسعر'!$C$2:$C$700,MATCH($C13037,'تحليل التكلفة والسعر'!$B$2:$B$700,0)),0))</f>
        <v/>
      </c>
    </row>
    <row r="13038" customFormat="false" ht="15" hidden="false" customHeight="false" outlineLevel="0" collapsed="false">
      <c r="A13038" s="103"/>
      <c r="B13038" s="104"/>
      <c r="C13038" s="104"/>
      <c r="E13038" s="107" t="str">
        <f aca="false">IF($C13038="","",IFERROR(INDEX(المنيو!$C$2:$C$500,MATCH($C13038,المنيو!$B$2:$B$500,0)),0))</f>
        <v/>
      </c>
      <c r="F13038" s="107" t="str">
        <f aca="false">IF($C13038="","",$D13038*$E13038)</f>
        <v/>
      </c>
      <c r="G13038" s="107" t="str">
        <f aca="false">IF($C13038="","",$D13038*IFERROR(INDEX('تحليل التكلفة والسعر'!$C$2:$C$700,MATCH($C13038,'تحليل التكلفة والسعر'!$B$2:$B$700,0)),0))</f>
        <v/>
      </c>
    </row>
    <row r="13039" customFormat="false" ht="15" hidden="false" customHeight="false" outlineLevel="0" collapsed="false">
      <c r="A13039" s="103"/>
      <c r="B13039" s="104"/>
      <c r="C13039" s="104"/>
      <c r="E13039" s="107" t="str">
        <f aca="false">IF($C13039="","",IFERROR(INDEX(المنيو!$C$2:$C$500,MATCH($C13039,المنيو!$B$2:$B$500,0)),0))</f>
        <v/>
      </c>
      <c r="F13039" s="107" t="str">
        <f aca="false">IF($C13039="","",$D13039*$E13039)</f>
        <v/>
      </c>
      <c r="G13039" s="107" t="str">
        <f aca="false">IF($C13039="","",$D13039*IFERROR(INDEX('تحليل التكلفة والسعر'!$C$2:$C$700,MATCH($C13039,'تحليل التكلفة والسعر'!$B$2:$B$700,0)),0))</f>
        <v/>
      </c>
    </row>
    <row r="13040" customFormat="false" ht="15" hidden="false" customHeight="false" outlineLevel="0" collapsed="false">
      <c r="A13040" s="103"/>
      <c r="B13040" s="104"/>
      <c r="C13040" s="104"/>
      <c r="E13040" s="107" t="str">
        <f aca="false">IF($C13040="","",IFERROR(INDEX(المنيو!$C$2:$C$500,MATCH($C13040,المنيو!$B$2:$B$500,0)),0))</f>
        <v/>
      </c>
      <c r="F13040" s="107" t="str">
        <f aca="false">IF($C13040="","",$D13040*$E13040)</f>
        <v/>
      </c>
      <c r="G13040" s="107" t="str">
        <f aca="false">IF($C13040="","",$D13040*IFERROR(INDEX('تحليل التكلفة والسعر'!$C$2:$C$700,MATCH($C13040,'تحليل التكلفة والسعر'!$B$2:$B$700,0)),0))</f>
        <v/>
      </c>
    </row>
    <row r="13041" customFormat="false" ht="15" hidden="false" customHeight="false" outlineLevel="0" collapsed="false">
      <c r="A13041" s="103"/>
      <c r="B13041" s="104"/>
      <c r="C13041" s="104"/>
      <c r="E13041" s="107" t="str">
        <f aca="false">IF($C13041="","",IFERROR(INDEX(المنيو!$C$2:$C$500,MATCH($C13041,المنيو!$B$2:$B$500,0)),0))</f>
        <v/>
      </c>
      <c r="F13041" s="107" t="str">
        <f aca="false">IF($C13041="","",$D13041*$E13041)</f>
        <v/>
      </c>
      <c r="G13041" s="107" t="str">
        <f aca="false">IF($C13041="","",$D13041*IFERROR(INDEX('تحليل التكلفة والسعر'!$C$2:$C$700,MATCH($C13041,'تحليل التكلفة والسعر'!$B$2:$B$700,0)),0))</f>
        <v/>
      </c>
    </row>
    <row r="13042" customFormat="false" ht="15" hidden="false" customHeight="false" outlineLevel="0" collapsed="false">
      <c r="A13042" s="103"/>
      <c r="B13042" s="104"/>
      <c r="C13042" s="104"/>
      <c r="E13042" s="107" t="str">
        <f aca="false">IF($C13042="","",IFERROR(INDEX(المنيو!$C$2:$C$500,MATCH($C13042,المنيو!$B$2:$B$500,0)),0))</f>
        <v/>
      </c>
      <c r="F13042" s="107" t="str">
        <f aca="false">IF($C13042="","",$D13042*$E13042)</f>
        <v/>
      </c>
      <c r="G13042" s="107" t="str">
        <f aca="false">IF($C13042="","",$D13042*IFERROR(INDEX('تحليل التكلفة والسعر'!$C$2:$C$700,MATCH($C13042,'تحليل التكلفة والسعر'!$B$2:$B$700,0)),0))</f>
        <v/>
      </c>
    </row>
    <row r="13043" customFormat="false" ht="15" hidden="false" customHeight="false" outlineLevel="0" collapsed="false">
      <c r="A13043" s="103"/>
      <c r="B13043" s="104"/>
      <c r="C13043" s="104"/>
      <c r="E13043" s="107" t="str">
        <f aca="false">IF($C13043="","",IFERROR(INDEX(المنيو!$C$2:$C$500,MATCH($C13043,المنيو!$B$2:$B$500,0)),0))</f>
        <v/>
      </c>
      <c r="F13043" s="107" t="str">
        <f aca="false">IF($C13043="","",$D13043*$E13043)</f>
        <v/>
      </c>
      <c r="G13043" s="107" t="str">
        <f aca="false">IF($C13043="","",$D13043*IFERROR(INDEX('تحليل التكلفة والسعر'!$C$2:$C$700,MATCH($C13043,'تحليل التكلفة والسعر'!$B$2:$B$700,0)),0))</f>
        <v/>
      </c>
    </row>
    <row r="13044" customFormat="false" ht="15" hidden="false" customHeight="false" outlineLevel="0" collapsed="false">
      <c r="A13044" s="103"/>
      <c r="B13044" s="104"/>
      <c r="C13044" s="104"/>
      <c r="E13044" s="107" t="str">
        <f aca="false">IF($C13044="","",IFERROR(INDEX(المنيو!$C$2:$C$500,MATCH($C13044,المنيو!$B$2:$B$500,0)),0))</f>
        <v/>
      </c>
      <c r="F13044" s="107" t="str">
        <f aca="false">IF($C13044="","",$D13044*$E13044)</f>
        <v/>
      </c>
      <c r="G13044" s="107" t="str">
        <f aca="false">IF($C13044="","",$D13044*IFERROR(INDEX('تحليل التكلفة والسعر'!$C$2:$C$700,MATCH($C13044,'تحليل التكلفة والسعر'!$B$2:$B$700,0)),0))</f>
        <v/>
      </c>
    </row>
    <row r="13045" customFormat="false" ht="15" hidden="false" customHeight="false" outlineLevel="0" collapsed="false">
      <c r="A13045" s="103"/>
      <c r="B13045" s="104"/>
      <c r="C13045" s="104"/>
      <c r="E13045" s="107" t="str">
        <f aca="false">IF($C13045="","",IFERROR(INDEX(المنيو!$C$2:$C$500,MATCH($C13045,المنيو!$B$2:$B$500,0)),0))</f>
        <v/>
      </c>
      <c r="F13045" s="107" t="str">
        <f aca="false">IF($C13045="","",$D13045*$E13045)</f>
        <v/>
      </c>
      <c r="G13045" s="107" t="str">
        <f aca="false">IF($C13045="","",$D13045*IFERROR(INDEX('تحليل التكلفة والسعر'!$C$2:$C$700,MATCH($C13045,'تحليل التكلفة والسعر'!$B$2:$B$700,0)),0))</f>
        <v/>
      </c>
    </row>
    <row r="13046" customFormat="false" ht="15" hidden="false" customHeight="false" outlineLevel="0" collapsed="false">
      <c r="A13046" s="103"/>
      <c r="B13046" s="104"/>
      <c r="C13046" s="104"/>
      <c r="E13046" s="107" t="str">
        <f aca="false">IF($C13046="","",IFERROR(INDEX(المنيو!$C$2:$C$500,MATCH($C13046,المنيو!$B$2:$B$500,0)),0))</f>
        <v/>
      </c>
      <c r="F13046" s="107" t="str">
        <f aca="false">IF($C13046="","",$D13046*$E13046)</f>
        <v/>
      </c>
      <c r="G13046" s="107" t="str">
        <f aca="false">IF($C13046="","",$D13046*IFERROR(INDEX('تحليل التكلفة والسعر'!$C$2:$C$700,MATCH($C13046,'تحليل التكلفة والسعر'!$B$2:$B$700,0)),0))</f>
        <v/>
      </c>
    </row>
    <row r="13047" customFormat="false" ht="15" hidden="false" customHeight="false" outlineLevel="0" collapsed="false">
      <c r="A13047" s="103"/>
      <c r="B13047" s="104"/>
      <c r="C13047" s="104"/>
      <c r="E13047" s="107" t="str">
        <f aca="false">IF($C13047="","",IFERROR(INDEX(المنيو!$C$2:$C$500,MATCH($C13047,المنيو!$B$2:$B$500,0)),0))</f>
        <v/>
      </c>
      <c r="F13047" s="107" t="str">
        <f aca="false">IF($C13047="","",$D13047*$E13047)</f>
        <v/>
      </c>
      <c r="G13047" s="107" t="str">
        <f aca="false">IF($C13047="","",$D13047*IFERROR(INDEX('تحليل التكلفة والسعر'!$C$2:$C$700,MATCH($C13047,'تحليل التكلفة والسعر'!$B$2:$B$700,0)),0))</f>
        <v/>
      </c>
    </row>
    <row r="13048" customFormat="false" ht="15" hidden="false" customHeight="false" outlineLevel="0" collapsed="false">
      <c r="A13048" s="103"/>
      <c r="B13048" s="104"/>
      <c r="C13048" s="104"/>
      <c r="E13048" s="107" t="str">
        <f aca="false">IF($C13048="","",IFERROR(INDEX(المنيو!$C$2:$C$500,MATCH($C13048,المنيو!$B$2:$B$500,0)),0))</f>
        <v/>
      </c>
      <c r="F13048" s="107" t="str">
        <f aca="false">IF($C13048="","",$D13048*$E13048)</f>
        <v/>
      </c>
      <c r="G13048" s="107" t="str">
        <f aca="false">IF($C13048="","",$D13048*IFERROR(INDEX('تحليل التكلفة والسعر'!$C$2:$C$700,MATCH($C13048,'تحليل التكلفة والسعر'!$B$2:$B$700,0)),0))</f>
        <v/>
      </c>
    </row>
    <row r="13049" customFormat="false" ht="15" hidden="false" customHeight="false" outlineLevel="0" collapsed="false">
      <c r="A13049" s="103"/>
      <c r="B13049" s="104"/>
      <c r="C13049" s="104"/>
      <c r="E13049" s="107" t="str">
        <f aca="false">IF($C13049="","",IFERROR(INDEX(المنيو!$C$2:$C$500,MATCH($C13049,المنيو!$B$2:$B$500,0)),0))</f>
        <v/>
      </c>
      <c r="F13049" s="107" t="str">
        <f aca="false">IF($C13049="","",$D13049*$E13049)</f>
        <v/>
      </c>
      <c r="G13049" s="107" t="str">
        <f aca="false">IF($C13049="","",$D13049*IFERROR(INDEX('تحليل التكلفة والسعر'!$C$2:$C$700,MATCH($C13049,'تحليل التكلفة والسعر'!$B$2:$B$700,0)),0))</f>
        <v/>
      </c>
    </row>
    <row r="13050" customFormat="false" ht="15" hidden="false" customHeight="false" outlineLevel="0" collapsed="false">
      <c r="A13050" s="103"/>
      <c r="B13050" s="104"/>
      <c r="C13050" s="104"/>
      <c r="E13050" s="107" t="str">
        <f aca="false">IF($C13050="","",IFERROR(INDEX(المنيو!$C$2:$C$500,MATCH($C13050,المنيو!$B$2:$B$500,0)),0))</f>
        <v/>
      </c>
      <c r="F13050" s="107" t="str">
        <f aca="false">IF($C13050="","",$D13050*$E13050)</f>
        <v/>
      </c>
      <c r="G13050" s="107" t="str">
        <f aca="false">IF($C13050="","",$D13050*IFERROR(INDEX('تحليل التكلفة والسعر'!$C$2:$C$700,MATCH($C13050,'تحليل التكلفة والسعر'!$B$2:$B$700,0)),0))</f>
        <v/>
      </c>
    </row>
    <row r="13051" customFormat="false" ht="15" hidden="false" customHeight="false" outlineLevel="0" collapsed="false">
      <c r="A13051" s="103"/>
      <c r="B13051" s="104"/>
      <c r="C13051" s="104"/>
      <c r="E13051" s="107" t="str">
        <f aca="false">IF($C13051="","",IFERROR(INDEX(المنيو!$C$2:$C$500,MATCH($C13051,المنيو!$B$2:$B$500,0)),0))</f>
        <v/>
      </c>
      <c r="F13051" s="107" t="str">
        <f aca="false">IF($C13051="","",$D13051*$E13051)</f>
        <v/>
      </c>
      <c r="G13051" s="107" t="str">
        <f aca="false">IF($C13051="","",$D13051*IFERROR(INDEX('تحليل التكلفة والسعر'!$C$2:$C$700,MATCH($C13051,'تحليل التكلفة والسعر'!$B$2:$B$700,0)),0))</f>
        <v/>
      </c>
    </row>
    <row r="13052" customFormat="false" ht="15" hidden="false" customHeight="false" outlineLevel="0" collapsed="false">
      <c r="A13052" s="103"/>
      <c r="B13052" s="104"/>
      <c r="C13052" s="104"/>
      <c r="E13052" s="107" t="str">
        <f aca="false">IF($C13052="","",IFERROR(INDEX(المنيو!$C$2:$C$500,MATCH($C13052,المنيو!$B$2:$B$500,0)),0))</f>
        <v/>
      </c>
      <c r="F13052" s="107" t="str">
        <f aca="false">IF($C13052="","",$D13052*$E13052)</f>
        <v/>
      </c>
      <c r="G13052" s="107" t="str">
        <f aca="false">IF($C13052="","",$D13052*IFERROR(INDEX('تحليل التكلفة والسعر'!$C$2:$C$700,MATCH($C13052,'تحليل التكلفة والسعر'!$B$2:$B$700,0)),0))</f>
        <v/>
      </c>
    </row>
    <row r="13053" customFormat="false" ht="15" hidden="false" customHeight="false" outlineLevel="0" collapsed="false">
      <c r="A13053" s="103"/>
      <c r="B13053" s="104"/>
      <c r="C13053" s="104"/>
      <c r="E13053" s="107" t="str">
        <f aca="false">IF($C13053="","",IFERROR(INDEX(المنيو!$C$2:$C$500,MATCH($C13053,المنيو!$B$2:$B$500,0)),0))</f>
        <v/>
      </c>
      <c r="F13053" s="107" t="str">
        <f aca="false">IF($C13053="","",$D13053*$E13053)</f>
        <v/>
      </c>
      <c r="G13053" s="107" t="str">
        <f aca="false">IF($C13053="","",$D13053*IFERROR(INDEX('تحليل التكلفة والسعر'!$C$2:$C$700,MATCH($C13053,'تحليل التكلفة والسعر'!$B$2:$B$700,0)),0))</f>
        <v/>
      </c>
    </row>
    <row r="13054" customFormat="false" ht="15" hidden="false" customHeight="false" outlineLevel="0" collapsed="false">
      <c r="A13054" s="103"/>
      <c r="B13054" s="104"/>
      <c r="C13054" s="104"/>
      <c r="E13054" s="107" t="str">
        <f aca="false">IF($C13054="","",IFERROR(INDEX(المنيو!$C$2:$C$500,MATCH($C13054,المنيو!$B$2:$B$500,0)),0))</f>
        <v/>
      </c>
      <c r="F13054" s="107" t="str">
        <f aca="false">IF($C13054="","",$D13054*$E13054)</f>
        <v/>
      </c>
      <c r="G13054" s="107" t="str">
        <f aca="false">IF($C13054="","",$D13054*IFERROR(INDEX('تحليل التكلفة والسعر'!$C$2:$C$700,MATCH($C13054,'تحليل التكلفة والسعر'!$B$2:$B$700,0)),0))</f>
        <v/>
      </c>
    </row>
    <row r="13055" customFormat="false" ht="15" hidden="false" customHeight="false" outlineLevel="0" collapsed="false">
      <c r="A13055" s="103"/>
      <c r="B13055" s="104"/>
      <c r="C13055" s="104"/>
      <c r="E13055" s="107" t="str">
        <f aca="false">IF($C13055="","",IFERROR(INDEX(المنيو!$C$2:$C$500,MATCH($C13055,المنيو!$B$2:$B$500,0)),0))</f>
        <v/>
      </c>
      <c r="F13055" s="107" t="str">
        <f aca="false">IF($C13055="","",$D13055*$E13055)</f>
        <v/>
      </c>
      <c r="G13055" s="107" t="str">
        <f aca="false">IF($C13055="","",$D13055*IFERROR(INDEX('تحليل التكلفة والسعر'!$C$2:$C$700,MATCH($C13055,'تحليل التكلفة والسعر'!$B$2:$B$700,0)),0))</f>
        <v/>
      </c>
    </row>
    <row r="13056" customFormat="false" ht="15" hidden="false" customHeight="false" outlineLevel="0" collapsed="false">
      <c r="A13056" s="103"/>
      <c r="B13056" s="104"/>
      <c r="C13056" s="104"/>
      <c r="E13056" s="107" t="str">
        <f aca="false">IF($C13056="","",IFERROR(INDEX(المنيو!$C$2:$C$500,MATCH($C13056,المنيو!$B$2:$B$500,0)),0))</f>
        <v/>
      </c>
      <c r="F13056" s="107" t="str">
        <f aca="false">IF($C13056="","",$D13056*$E13056)</f>
        <v/>
      </c>
      <c r="G13056" s="107" t="str">
        <f aca="false">IF($C13056="","",$D13056*IFERROR(INDEX('تحليل التكلفة والسعر'!$C$2:$C$700,MATCH($C13056,'تحليل التكلفة والسعر'!$B$2:$B$700,0)),0))</f>
        <v/>
      </c>
    </row>
    <row r="13057" customFormat="false" ht="15" hidden="false" customHeight="false" outlineLevel="0" collapsed="false">
      <c r="A13057" s="103"/>
      <c r="B13057" s="104"/>
      <c r="C13057" s="104"/>
      <c r="E13057" s="107" t="str">
        <f aca="false">IF($C13057="","",IFERROR(INDEX(المنيو!$C$2:$C$500,MATCH($C13057,المنيو!$B$2:$B$500,0)),0))</f>
        <v/>
      </c>
      <c r="F13057" s="107" t="str">
        <f aca="false">IF($C13057="","",$D13057*$E13057)</f>
        <v/>
      </c>
      <c r="G13057" s="107" t="str">
        <f aca="false">IF($C13057="","",$D13057*IFERROR(INDEX('تحليل التكلفة والسعر'!$C$2:$C$700,MATCH($C13057,'تحليل التكلفة والسعر'!$B$2:$B$700,0)),0))</f>
        <v/>
      </c>
    </row>
    <row r="13058" customFormat="false" ht="15" hidden="false" customHeight="false" outlineLevel="0" collapsed="false">
      <c r="A13058" s="103"/>
      <c r="B13058" s="104"/>
      <c r="C13058" s="104"/>
      <c r="E13058" s="107" t="str">
        <f aca="false">IF($C13058="","",IFERROR(INDEX(المنيو!$C$2:$C$500,MATCH($C13058,المنيو!$B$2:$B$500,0)),0))</f>
        <v/>
      </c>
      <c r="F13058" s="107" t="str">
        <f aca="false">IF($C13058="","",$D13058*$E13058)</f>
        <v/>
      </c>
      <c r="G13058" s="107" t="str">
        <f aca="false">IF($C13058="","",$D13058*IFERROR(INDEX('تحليل التكلفة والسعر'!$C$2:$C$700,MATCH($C13058,'تحليل التكلفة والسعر'!$B$2:$B$700,0)),0))</f>
        <v/>
      </c>
    </row>
    <row r="13059" customFormat="false" ht="15" hidden="false" customHeight="false" outlineLevel="0" collapsed="false">
      <c r="A13059" s="103"/>
      <c r="B13059" s="104"/>
      <c r="C13059" s="104"/>
      <c r="E13059" s="107" t="str">
        <f aca="false">IF($C13059="","",IFERROR(INDEX(المنيو!$C$2:$C$500,MATCH($C13059,المنيو!$B$2:$B$500,0)),0))</f>
        <v/>
      </c>
      <c r="F13059" s="107" t="str">
        <f aca="false">IF($C13059="","",$D13059*$E13059)</f>
        <v/>
      </c>
      <c r="G13059" s="107" t="str">
        <f aca="false">IF($C13059="","",$D13059*IFERROR(INDEX('تحليل التكلفة والسعر'!$C$2:$C$700,MATCH($C13059,'تحليل التكلفة والسعر'!$B$2:$B$700,0)),0))</f>
        <v/>
      </c>
    </row>
    <row r="13060" customFormat="false" ht="15" hidden="false" customHeight="false" outlineLevel="0" collapsed="false">
      <c r="A13060" s="103"/>
      <c r="B13060" s="104"/>
      <c r="C13060" s="104"/>
      <c r="E13060" s="107" t="str">
        <f aca="false">IF($C13060="","",IFERROR(INDEX(المنيو!$C$2:$C$500,MATCH($C13060,المنيو!$B$2:$B$500,0)),0))</f>
        <v/>
      </c>
      <c r="F13060" s="107" t="str">
        <f aca="false">IF($C13060="","",$D13060*$E13060)</f>
        <v/>
      </c>
      <c r="G13060" s="107" t="str">
        <f aca="false">IF($C13060="","",$D13060*IFERROR(INDEX('تحليل التكلفة والسعر'!$C$2:$C$700,MATCH($C13060,'تحليل التكلفة والسعر'!$B$2:$B$700,0)),0))</f>
        <v/>
      </c>
    </row>
    <row r="13061" customFormat="false" ht="15" hidden="false" customHeight="false" outlineLevel="0" collapsed="false">
      <c r="A13061" s="103"/>
      <c r="B13061" s="104"/>
      <c r="C13061" s="104"/>
      <c r="E13061" s="107" t="str">
        <f aca="false">IF($C13061="","",IFERROR(INDEX(المنيو!$C$2:$C$500,MATCH($C13061,المنيو!$B$2:$B$500,0)),0))</f>
        <v/>
      </c>
      <c r="F13061" s="107" t="str">
        <f aca="false">IF($C13061="","",$D13061*$E13061)</f>
        <v/>
      </c>
      <c r="G13061" s="107" t="str">
        <f aca="false">IF($C13061="","",$D13061*IFERROR(INDEX('تحليل التكلفة والسعر'!$C$2:$C$700,MATCH($C13061,'تحليل التكلفة والسعر'!$B$2:$B$700,0)),0))</f>
        <v/>
      </c>
    </row>
    <row r="13062" customFormat="false" ht="15" hidden="false" customHeight="false" outlineLevel="0" collapsed="false">
      <c r="A13062" s="103"/>
      <c r="B13062" s="104"/>
      <c r="C13062" s="104"/>
      <c r="E13062" s="107" t="str">
        <f aca="false">IF($C13062="","",IFERROR(INDEX(المنيو!$C$2:$C$500,MATCH($C13062,المنيو!$B$2:$B$500,0)),0))</f>
        <v/>
      </c>
      <c r="F13062" s="107" t="str">
        <f aca="false">IF($C13062="","",$D13062*$E13062)</f>
        <v/>
      </c>
      <c r="G13062" s="107" t="str">
        <f aca="false">IF($C13062="","",$D13062*IFERROR(INDEX('تحليل التكلفة والسعر'!$C$2:$C$700,MATCH($C13062,'تحليل التكلفة والسعر'!$B$2:$B$700,0)),0))</f>
        <v/>
      </c>
    </row>
    <row r="13063" customFormat="false" ht="15" hidden="false" customHeight="false" outlineLevel="0" collapsed="false">
      <c r="A13063" s="103"/>
      <c r="B13063" s="104"/>
      <c r="C13063" s="104"/>
      <c r="E13063" s="107" t="str">
        <f aca="false">IF($C13063="","",IFERROR(INDEX(المنيو!$C$2:$C$500,MATCH($C13063,المنيو!$B$2:$B$500,0)),0))</f>
        <v/>
      </c>
      <c r="F13063" s="107" t="str">
        <f aca="false">IF($C13063="","",$D13063*$E13063)</f>
        <v/>
      </c>
      <c r="G13063" s="107" t="str">
        <f aca="false">IF($C13063="","",$D13063*IFERROR(INDEX('تحليل التكلفة والسعر'!$C$2:$C$700,MATCH($C13063,'تحليل التكلفة والسعر'!$B$2:$B$700,0)),0))</f>
        <v/>
      </c>
    </row>
    <row r="13064" customFormat="false" ht="15" hidden="false" customHeight="false" outlineLevel="0" collapsed="false">
      <c r="A13064" s="103"/>
      <c r="B13064" s="104"/>
      <c r="C13064" s="104"/>
      <c r="E13064" s="107" t="str">
        <f aca="false">IF($C13064="","",IFERROR(INDEX(المنيو!$C$2:$C$500,MATCH($C13064,المنيو!$B$2:$B$500,0)),0))</f>
        <v/>
      </c>
      <c r="F13064" s="107" t="str">
        <f aca="false">IF($C13064="","",$D13064*$E13064)</f>
        <v/>
      </c>
      <c r="G13064" s="107" t="str">
        <f aca="false">IF($C13064="","",$D13064*IFERROR(INDEX('تحليل التكلفة والسعر'!$C$2:$C$700,MATCH($C13064,'تحليل التكلفة والسعر'!$B$2:$B$700,0)),0))</f>
        <v/>
      </c>
    </row>
    <row r="13065" customFormat="false" ht="15" hidden="false" customHeight="false" outlineLevel="0" collapsed="false">
      <c r="A13065" s="103"/>
      <c r="B13065" s="104"/>
      <c r="C13065" s="104"/>
      <c r="E13065" s="107" t="str">
        <f aca="false">IF($C13065="","",IFERROR(INDEX(المنيو!$C$2:$C$500,MATCH($C13065,المنيو!$B$2:$B$500,0)),0))</f>
        <v/>
      </c>
      <c r="F13065" s="107" t="str">
        <f aca="false">IF($C13065="","",$D13065*$E13065)</f>
        <v/>
      </c>
      <c r="G13065" s="107" t="str">
        <f aca="false">IF($C13065="","",$D13065*IFERROR(INDEX('تحليل التكلفة والسعر'!$C$2:$C$700,MATCH($C13065,'تحليل التكلفة والسعر'!$B$2:$B$700,0)),0))</f>
        <v/>
      </c>
    </row>
    <row r="13066" customFormat="false" ht="15" hidden="false" customHeight="false" outlineLevel="0" collapsed="false">
      <c r="A13066" s="103"/>
      <c r="B13066" s="104"/>
      <c r="C13066" s="104"/>
      <c r="E13066" s="107" t="str">
        <f aca="false">IF($C13066="","",IFERROR(INDEX(المنيو!$C$2:$C$500,MATCH($C13066,المنيو!$B$2:$B$500,0)),0))</f>
        <v/>
      </c>
      <c r="F13066" s="107" t="str">
        <f aca="false">IF($C13066="","",$D13066*$E13066)</f>
        <v/>
      </c>
      <c r="G13066" s="107" t="str">
        <f aca="false">IF($C13066="","",$D13066*IFERROR(INDEX('تحليل التكلفة والسعر'!$C$2:$C$700,MATCH($C13066,'تحليل التكلفة والسعر'!$B$2:$B$700,0)),0))</f>
        <v/>
      </c>
    </row>
    <row r="13067" customFormat="false" ht="15" hidden="false" customHeight="false" outlineLevel="0" collapsed="false">
      <c r="A13067" s="103"/>
      <c r="B13067" s="104"/>
      <c r="C13067" s="104"/>
      <c r="E13067" s="107" t="str">
        <f aca="false">IF($C13067="","",IFERROR(INDEX(المنيو!$C$2:$C$500,MATCH($C13067,المنيو!$B$2:$B$500,0)),0))</f>
        <v/>
      </c>
      <c r="F13067" s="107" t="str">
        <f aca="false">IF($C13067="","",$D13067*$E13067)</f>
        <v/>
      </c>
      <c r="G13067" s="107" t="str">
        <f aca="false">IF($C13067="","",$D13067*IFERROR(INDEX('تحليل التكلفة والسعر'!$C$2:$C$700,MATCH($C13067,'تحليل التكلفة والسعر'!$B$2:$B$700,0)),0))</f>
        <v/>
      </c>
    </row>
    <row r="13068" customFormat="false" ht="15" hidden="false" customHeight="false" outlineLevel="0" collapsed="false">
      <c r="A13068" s="103"/>
      <c r="B13068" s="104"/>
      <c r="C13068" s="104"/>
      <c r="E13068" s="107" t="str">
        <f aca="false">IF($C13068="","",IFERROR(INDEX(المنيو!$C$2:$C$500,MATCH($C13068,المنيو!$B$2:$B$500,0)),0))</f>
        <v/>
      </c>
      <c r="F13068" s="107" t="str">
        <f aca="false">IF($C13068="","",$D13068*$E13068)</f>
        <v/>
      </c>
      <c r="G13068" s="107" t="str">
        <f aca="false">IF($C13068="","",$D13068*IFERROR(INDEX('تحليل التكلفة والسعر'!$C$2:$C$700,MATCH($C13068,'تحليل التكلفة والسعر'!$B$2:$B$700,0)),0))</f>
        <v/>
      </c>
    </row>
    <row r="13069" customFormat="false" ht="15" hidden="false" customHeight="false" outlineLevel="0" collapsed="false">
      <c r="A13069" s="103"/>
      <c r="B13069" s="104"/>
      <c r="C13069" s="104"/>
      <c r="E13069" s="107" t="str">
        <f aca="false">IF($C13069="","",IFERROR(INDEX(المنيو!$C$2:$C$500,MATCH($C13069,المنيو!$B$2:$B$500,0)),0))</f>
        <v/>
      </c>
      <c r="F13069" s="107" t="str">
        <f aca="false">IF($C13069="","",$D13069*$E13069)</f>
        <v/>
      </c>
      <c r="G13069" s="107" t="str">
        <f aca="false">IF($C13069="","",$D13069*IFERROR(INDEX('تحليل التكلفة والسعر'!$C$2:$C$700,MATCH($C13069,'تحليل التكلفة والسعر'!$B$2:$B$700,0)),0))</f>
        <v/>
      </c>
    </row>
    <row r="13070" customFormat="false" ht="15" hidden="false" customHeight="false" outlineLevel="0" collapsed="false">
      <c r="A13070" s="103"/>
      <c r="B13070" s="104"/>
      <c r="C13070" s="104"/>
      <c r="E13070" s="107" t="str">
        <f aca="false">IF($C13070="","",IFERROR(INDEX(المنيو!$C$2:$C$500,MATCH($C13070,المنيو!$B$2:$B$500,0)),0))</f>
        <v/>
      </c>
      <c r="F13070" s="107" t="str">
        <f aca="false">IF($C13070="","",$D13070*$E13070)</f>
        <v/>
      </c>
      <c r="G13070" s="107" t="str">
        <f aca="false">IF($C13070="","",$D13070*IFERROR(INDEX('تحليل التكلفة والسعر'!$C$2:$C$700,MATCH($C13070,'تحليل التكلفة والسعر'!$B$2:$B$700,0)),0))</f>
        <v/>
      </c>
    </row>
    <row r="13071" customFormat="false" ht="15" hidden="false" customHeight="false" outlineLevel="0" collapsed="false">
      <c r="A13071" s="103"/>
      <c r="B13071" s="104"/>
      <c r="C13071" s="104"/>
      <c r="E13071" s="107" t="str">
        <f aca="false">IF($C13071="","",IFERROR(INDEX(المنيو!$C$2:$C$500,MATCH($C13071,المنيو!$B$2:$B$500,0)),0))</f>
        <v/>
      </c>
      <c r="F13071" s="107" t="str">
        <f aca="false">IF($C13071="","",$D13071*$E13071)</f>
        <v/>
      </c>
      <c r="G13071" s="107" t="str">
        <f aca="false">IF($C13071="","",$D13071*IFERROR(INDEX('تحليل التكلفة والسعر'!$C$2:$C$700,MATCH($C13071,'تحليل التكلفة والسعر'!$B$2:$B$700,0)),0))</f>
        <v/>
      </c>
    </row>
    <row r="13072" customFormat="false" ht="15" hidden="false" customHeight="false" outlineLevel="0" collapsed="false">
      <c r="A13072" s="103"/>
      <c r="B13072" s="104"/>
      <c r="C13072" s="104"/>
      <c r="E13072" s="107" t="str">
        <f aca="false">IF($C13072="","",IFERROR(INDEX(المنيو!$C$2:$C$500,MATCH($C13072,المنيو!$B$2:$B$500,0)),0))</f>
        <v/>
      </c>
      <c r="F13072" s="107" t="str">
        <f aca="false">IF($C13072="","",$D13072*$E13072)</f>
        <v/>
      </c>
      <c r="G13072" s="107" t="str">
        <f aca="false">IF($C13072="","",$D13072*IFERROR(INDEX('تحليل التكلفة والسعر'!$C$2:$C$700,MATCH($C13072,'تحليل التكلفة والسعر'!$B$2:$B$700,0)),0))</f>
        <v/>
      </c>
    </row>
    <row r="13073" customFormat="false" ht="15" hidden="false" customHeight="false" outlineLevel="0" collapsed="false">
      <c r="A13073" s="103"/>
      <c r="B13073" s="104"/>
      <c r="C13073" s="104"/>
      <c r="E13073" s="107" t="str">
        <f aca="false">IF($C13073="","",IFERROR(INDEX(المنيو!$C$2:$C$500,MATCH($C13073,المنيو!$B$2:$B$500,0)),0))</f>
        <v/>
      </c>
      <c r="F13073" s="107" t="str">
        <f aca="false">IF($C13073="","",$D13073*$E13073)</f>
        <v/>
      </c>
      <c r="G13073" s="107" t="str">
        <f aca="false">IF($C13073="","",$D13073*IFERROR(INDEX('تحليل التكلفة والسعر'!$C$2:$C$700,MATCH($C13073,'تحليل التكلفة والسعر'!$B$2:$B$700,0)),0))</f>
        <v/>
      </c>
    </row>
    <row r="13074" customFormat="false" ht="15" hidden="false" customHeight="false" outlineLevel="0" collapsed="false">
      <c r="A13074" s="103"/>
      <c r="B13074" s="104"/>
      <c r="C13074" s="104"/>
      <c r="E13074" s="107" t="str">
        <f aca="false">IF($C13074="","",IFERROR(INDEX(المنيو!$C$2:$C$500,MATCH($C13074,المنيو!$B$2:$B$500,0)),0))</f>
        <v/>
      </c>
      <c r="F13074" s="107" t="str">
        <f aca="false">IF($C13074="","",$D13074*$E13074)</f>
        <v/>
      </c>
      <c r="G13074" s="107" t="str">
        <f aca="false">IF($C13074="","",$D13074*IFERROR(INDEX('تحليل التكلفة والسعر'!$C$2:$C$700,MATCH($C13074,'تحليل التكلفة والسعر'!$B$2:$B$700,0)),0))</f>
        <v/>
      </c>
    </row>
    <row r="13075" customFormat="false" ht="15" hidden="false" customHeight="false" outlineLevel="0" collapsed="false">
      <c r="A13075" s="103"/>
      <c r="B13075" s="104"/>
      <c r="C13075" s="104"/>
      <c r="E13075" s="107" t="str">
        <f aca="false">IF($C13075="","",IFERROR(INDEX(المنيو!$C$2:$C$500,MATCH($C13075,المنيو!$B$2:$B$500,0)),0))</f>
        <v/>
      </c>
      <c r="F13075" s="107" t="str">
        <f aca="false">IF($C13075="","",$D13075*$E13075)</f>
        <v/>
      </c>
      <c r="G13075" s="107" t="str">
        <f aca="false">IF($C13075="","",$D13075*IFERROR(INDEX('تحليل التكلفة والسعر'!$C$2:$C$700,MATCH($C13075,'تحليل التكلفة والسعر'!$B$2:$B$700,0)),0))</f>
        <v/>
      </c>
    </row>
    <row r="13076" customFormat="false" ht="15" hidden="false" customHeight="false" outlineLevel="0" collapsed="false">
      <c r="A13076" s="103"/>
      <c r="B13076" s="104"/>
      <c r="C13076" s="104"/>
      <c r="E13076" s="107" t="str">
        <f aca="false">IF($C13076="","",IFERROR(INDEX(المنيو!$C$2:$C$500,MATCH($C13076,المنيو!$B$2:$B$500,0)),0))</f>
        <v/>
      </c>
      <c r="F13076" s="107" t="str">
        <f aca="false">IF($C13076="","",$D13076*$E13076)</f>
        <v/>
      </c>
      <c r="G13076" s="107" t="str">
        <f aca="false">IF($C13076="","",$D13076*IFERROR(INDEX('تحليل التكلفة والسعر'!$C$2:$C$700,MATCH($C13076,'تحليل التكلفة والسعر'!$B$2:$B$700,0)),0))</f>
        <v/>
      </c>
    </row>
    <row r="13077" customFormat="false" ht="15" hidden="false" customHeight="false" outlineLevel="0" collapsed="false">
      <c r="A13077" s="103"/>
      <c r="B13077" s="104"/>
      <c r="C13077" s="104"/>
      <c r="E13077" s="107" t="str">
        <f aca="false">IF($C13077="","",IFERROR(INDEX(المنيو!$C$2:$C$500,MATCH($C13077,المنيو!$B$2:$B$500,0)),0))</f>
        <v/>
      </c>
      <c r="F13077" s="107" t="str">
        <f aca="false">IF($C13077="","",$D13077*$E13077)</f>
        <v/>
      </c>
      <c r="G13077" s="107" t="str">
        <f aca="false">IF($C13077="","",$D13077*IFERROR(INDEX('تحليل التكلفة والسعر'!$C$2:$C$700,MATCH($C13077,'تحليل التكلفة والسعر'!$B$2:$B$700,0)),0))</f>
        <v/>
      </c>
    </row>
    <row r="13078" customFormat="false" ht="15" hidden="false" customHeight="false" outlineLevel="0" collapsed="false">
      <c r="A13078" s="103"/>
      <c r="B13078" s="104"/>
      <c r="C13078" s="104"/>
      <c r="E13078" s="107" t="str">
        <f aca="false">IF($C13078="","",IFERROR(INDEX(المنيو!$C$2:$C$500,MATCH($C13078,المنيو!$B$2:$B$500,0)),0))</f>
        <v/>
      </c>
      <c r="F13078" s="107" t="str">
        <f aca="false">IF($C13078="","",$D13078*$E13078)</f>
        <v/>
      </c>
      <c r="G13078" s="107" t="str">
        <f aca="false">IF($C13078="","",$D13078*IFERROR(INDEX('تحليل التكلفة والسعر'!$C$2:$C$700,MATCH($C13078,'تحليل التكلفة والسعر'!$B$2:$B$700,0)),0))</f>
        <v/>
      </c>
    </row>
    <row r="13079" customFormat="false" ht="15" hidden="false" customHeight="false" outlineLevel="0" collapsed="false">
      <c r="A13079" s="103"/>
      <c r="B13079" s="104"/>
      <c r="C13079" s="104"/>
      <c r="E13079" s="107" t="str">
        <f aca="false">IF($C13079="","",IFERROR(INDEX(المنيو!$C$2:$C$500,MATCH($C13079,المنيو!$B$2:$B$500,0)),0))</f>
        <v/>
      </c>
      <c r="F13079" s="107" t="str">
        <f aca="false">IF($C13079="","",$D13079*$E13079)</f>
        <v/>
      </c>
      <c r="G13079" s="107" t="str">
        <f aca="false">IF($C13079="","",$D13079*IFERROR(INDEX('تحليل التكلفة والسعر'!$C$2:$C$700,MATCH($C13079,'تحليل التكلفة والسعر'!$B$2:$B$700,0)),0))</f>
        <v/>
      </c>
    </row>
    <row r="13080" customFormat="false" ht="15" hidden="false" customHeight="false" outlineLevel="0" collapsed="false">
      <c r="A13080" s="103"/>
      <c r="B13080" s="104"/>
      <c r="C13080" s="104"/>
      <c r="E13080" s="107" t="str">
        <f aca="false">IF($C13080="","",IFERROR(INDEX(المنيو!$C$2:$C$500,MATCH($C13080,المنيو!$B$2:$B$500,0)),0))</f>
        <v/>
      </c>
      <c r="F13080" s="107" t="str">
        <f aca="false">IF($C13080="","",$D13080*$E13080)</f>
        <v/>
      </c>
      <c r="G13080" s="107" t="str">
        <f aca="false">IF($C13080="","",$D13080*IFERROR(INDEX('تحليل التكلفة والسعر'!$C$2:$C$700,MATCH($C13080,'تحليل التكلفة والسعر'!$B$2:$B$700,0)),0))</f>
        <v/>
      </c>
    </row>
    <row r="13081" customFormat="false" ht="15" hidden="false" customHeight="false" outlineLevel="0" collapsed="false">
      <c r="A13081" s="103"/>
      <c r="B13081" s="104"/>
      <c r="C13081" s="104"/>
      <c r="E13081" s="107" t="str">
        <f aca="false">IF($C13081="","",IFERROR(INDEX(المنيو!$C$2:$C$500,MATCH($C13081,المنيو!$B$2:$B$500,0)),0))</f>
        <v/>
      </c>
      <c r="F13081" s="107" t="str">
        <f aca="false">IF($C13081="","",$D13081*$E13081)</f>
        <v/>
      </c>
      <c r="G13081" s="107" t="str">
        <f aca="false">IF($C13081="","",$D13081*IFERROR(INDEX('تحليل التكلفة والسعر'!$C$2:$C$700,MATCH($C13081,'تحليل التكلفة والسعر'!$B$2:$B$700,0)),0))</f>
        <v/>
      </c>
    </row>
    <row r="13082" customFormat="false" ht="15" hidden="false" customHeight="false" outlineLevel="0" collapsed="false">
      <c r="A13082" s="103"/>
      <c r="B13082" s="104"/>
      <c r="C13082" s="104"/>
      <c r="E13082" s="107" t="str">
        <f aca="false">IF($C13082="","",IFERROR(INDEX(المنيو!$C$2:$C$500,MATCH($C13082,المنيو!$B$2:$B$500,0)),0))</f>
        <v/>
      </c>
      <c r="F13082" s="107" t="str">
        <f aca="false">IF($C13082="","",$D13082*$E13082)</f>
        <v/>
      </c>
      <c r="G13082" s="107" t="str">
        <f aca="false">IF($C13082="","",$D13082*IFERROR(INDEX('تحليل التكلفة والسعر'!$C$2:$C$700,MATCH($C13082,'تحليل التكلفة والسعر'!$B$2:$B$700,0)),0))</f>
        <v/>
      </c>
    </row>
    <row r="13083" customFormat="false" ht="15" hidden="false" customHeight="false" outlineLevel="0" collapsed="false">
      <c r="A13083" s="103"/>
      <c r="B13083" s="104"/>
      <c r="C13083" s="104"/>
      <c r="E13083" s="107" t="str">
        <f aca="false">IF($C13083="","",IFERROR(INDEX(المنيو!$C$2:$C$500,MATCH($C13083,المنيو!$B$2:$B$500,0)),0))</f>
        <v/>
      </c>
      <c r="F13083" s="107" t="str">
        <f aca="false">IF($C13083="","",$D13083*$E13083)</f>
        <v/>
      </c>
      <c r="G13083" s="107" t="str">
        <f aca="false">IF($C13083="","",$D13083*IFERROR(INDEX('تحليل التكلفة والسعر'!$C$2:$C$700,MATCH($C13083,'تحليل التكلفة والسعر'!$B$2:$B$700,0)),0))</f>
        <v/>
      </c>
    </row>
    <row r="13084" customFormat="false" ht="15" hidden="false" customHeight="false" outlineLevel="0" collapsed="false">
      <c r="A13084" s="103"/>
      <c r="B13084" s="104"/>
      <c r="C13084" s="104"/>
      <c r="E13084" s="107" t="str">
        <f aca="false">IF($C13084="","",IFERROR(INDEX(المنيو!$C$2:$C$500,MATCH($C13084,المنيو!$B$2:$B$500,0)),0))</f>
        <v/>
      </c>
      <c r="F13084" s="107" t="str">
        <f aca="false">IF($C13084="","",$D13084*$E13084)</f>
        <v/>
      </c>
      <c r="G13084" s="107" t="str">
        <f aca="false">IF($C13084="","",$D13084*IFERROR(INDEX('تحليل التكلفة والسعر'!$C$2:$C$700,MATCH($C13084,'تحليل التكلفة والسعر'!$B$2:$B$700,0)),0))</f>
        <v/>
      </c>
    </row>
    <row r="13085" customFormat="false" ht="15" hidden="false" customHeight="false" outlineLevel="0" collapsed="false">
      <c r="A13085" s="103"/>
      <c r="B13085" s="104"/>
      <c r="C13085" s="104"/>
      <c r="E13085" s="107" t="str">
        <f aca="false">IF($C13085="","",IFERROR(INDEX(المنيو!$C$2:$C$500,MATCH($C13085,المنيو!$B$2:$B$500,0)),0))</f>
        <v/>
      </c>
      <c r="F13085" s="107" t="str">
        <f aca="false">IF($C13085="","",$D13085*$E13085)</f>
        <v/>
      </c>
      <c r="G13085" s="107" t="str">
        <f aca="false">IF($C13085="","",$D13085*IFERROR(INDEX('تحليل التكلفة والسعر'!$C$2:$C$700,MATCH($C13085,'تحليل التكلفة والسعر'!$B$2:$B$700,0)),0))</f>
        <v/>
      </c>
    </row>
    <row r="13086" customFormat="false" ht="15" hidden="false" customHeight="false" outlineLevel="0" collapsed="false">
      <c r="A13086" s="103"/>
      <c r="B13086" s="104"/>
      <c r="C13086" s="104"/>
      <c r="E13086" s="107" t="str">
        <f aca="false">IF($C13086="","",IFERROR(INDEX(المنيو!$C$2:$C$500,MATCH($C13086,المنيو!$B$2:$B$500,0)),0))</f>
        <v/>
      </c>
      <c r="F13086" s="107" t="str">
        <f aca="false">IF($C13086="","",$D13086*$E13086)</f>
        <v/>
      </c>
      <c r="G13086" s="107" t="str">
        <f aca="false">IF($C13086="","",$D13086*IFERROR(INDEX('تحليل التكلفة والسعر'!$C$2:$C$700,MATCH($C13086,'تحليل التكلفة والسعر'!$B$2:$B$700,0)),0))</f>
        <v/>
      </c>
    </row>
    <row r="13087" customFormat="false" ht="15" hidden="false" customHeight="false" outlineLevel="0" collapsed="false">
      <c r="A13087" s="103"/>
      <c r="B13087" s="104"/>
      <c r="C13087" s="104"/>
      <c r="E13087" s="107" t="str">
        <f aca="false">IF($C13087="","",IFERROR(INDEX(المنيو!$C$2:$C$500,MATCH($C13087,المنيو!$B$2:$B$500,0)),0))</f>
        <v/>
      </c>
      <c r="F13087" s="107" t="str">
        <f aca="false">IF($C13087="","",$D13087*$E13087)</f>
        <v/>
      </c>
      <c r="G13087" s="107" t="str">
        <f aca="false">IF($C13087="","",$D13087*IFERROR(INDEX('تحليل التكلفة والسعر'!$C$2:$C$700,MATCH($C13087,'تحليل التكلفة والسعر'!$B$2:$B$700,0)),0))</f>
        <v/>
      </c>
    </row>
    <row r="13088" customFormat="false" ht="15" hidden="false" customHeight="false" outlineLevel="0" collapsed="false">
      <c r="A13088" s="103"/>
      <c r="B13088" s="104"/>
      <c r="C13088" s="104"/>
      <c r="E13088" s="107" t="str">
        <f aca="false">IF($C13088="","",IFERROR(INDEX(المنيو!$C$2:$C$500,MATCH($C13088,المنيو!$B$2:$B$500,0)),0))</f>
        <v/>
      </c>
      <c r="F13088" s="107" t="str">
        <f aca="false">IF($C13088="","",$D13088*$E13088)</f>
        <v/>
      </c>
      <c r="G13088" s="107" t="str">
        <f aca="false">IF($C13088="","",$D13088*IFERROR(INDEX('تحليل التكلفة والسعر'!$C$2:$C$700,MATCH($C13088,'تحليل التكلفة والسعر'!$B$2:$B$700,0)),0))</f>
        <v/>
      </c>
    </row>
    <row r="13089" customFormat="false" ht="15" hidden="false" customHeight="false" outlineLevel="0" collapsed="false">
      <c r="A13089" s="103"/>
      <c r="B13089" s="104"/>
      <c r="C13089" s="104"/>
      <c r="E13089" s="107" t="str">
        <f aca="false">IF($C13089="","",IFERROR(INDEX(المنيو!$C$2:$C$500,MATCH($C13089,المنيو!$B$2:$B$500,0)),0))</f>
        <v/>
      </c>
      <c r="F13089" s="107" t="str">
        <f aca="false">IF($C13089="","",$D13089*$E13089)</f>
        <v/>
      </c>
      <c r="G13089" s="107" t="str">
        <f aca="false">IF($C13089="","",$D13089*IFERROR(INDEX('تحليل التكلفة والسعر'!$C$2:$C$700,MATCH($C13089,'تحليل التكلفة والسعر'!$B$2:$B$700,0)),0))</f>
        <v/>
      </c>
    </row>
    <row r="13090" customFormat="false" ht="15" hidden="false" customHeight="false" outlineLevel="0" collapsed="false">
      <c r="A13090" s="103"/>
      <c r="B13090" s="104"/>
      <c r="C13090" s="104"/>
      <c r="E13090" s="107" t="str">
        <f aca="false">IF($C13090="","",IFERROR(INDEX(المنيو!$C$2:$C$500,MATCH($C13090,المنيو!$B$2:$B$500,0)),0))</f>
        <v/>
      </c>
      <c r="F13090" s="107" t="str">
        <f aca="false">IF($C13090="","",$D13090*$E13090)</f>
        <v/>
      </c>
      <c r="G13090" s="107" t="str">
        <f aca="false">IF($C13090="","",$D13090*IFERROR(INDEX('تحليل التكلفة والسعر'!$C$2:$C$700,MATCH($C13090,'تحليل التكلفة والسعر'!$B$2:$B$700,0)),0))</f>
        <v/>
      </c>
    </row>
    <row r="13091" customFormat="false" ht="15" hidden="false" customHeight="false" outlineLevel="0" collapsed="false">
      <c r="A13091" s="103"/>
      <c r="B13091" s="104"/>
      <c r="C13091" s="104"/>
      <c r="E13091" s="107" t="str">
        <f aca="false">IF($C13091="","",IFERROR(INDEX(المنيو!$C$2:$C$500,MATCH($C13091,المنيو!$B$2:$B$500,0)),0))</f>
        <v/>
      </c>
      <c r="F13091" s="107" t="str">
        <f aca="false">IF($C13091="","",$D13091*$E13091)</f>
        <v/>
      </c>
      <c r="G13091" s="107" t="str">
        <f aca="false">IF($C13091="","",$D13091*IFERROR(INDEX('تحليل التكلفة والسعر'!$C$2:$C$700,MATCH($C13091,'تحليل التكلفة والسعر'!$B$2:$B$700,0)),0))</f>
        <v/>
      </c>
    </row>
    <row r="13092" customFormat="false" ht="15" hidden="false" customHeight="false" outlineLevel="0" collapsed="false">
      <c r="A13092" s="103"/>
      <c r="B13092" s="104"/>
      <c r="C13092" s="104"/>
      <c r="E13092" s="107" t="str">
        <f aca="false">IF($C13092="","",IFERROR(INDEX(المنيو!$C$2:$C$500,MATCH($C13092,المنيو!$B$2:$B$500,0)),0))</f>
        <v/>
      </c>
      <c r="F13092" s="107" t="str">
        <f aca="false">IF($C13092="","",$D13092*$E13092)</f>
        <v/>
      </c>
      <c r="G13092" s="107" t="str">
        <f aca="false">IF($C13092="","",$D13092*IFERROR(INDEX('تحليل التكلفة والسعر'!$C$2:$C$700,MATCH($C13092,'تحليل التكلفة والسعر'!$B$2:$B$700,0)),0))</f>
        <v/>
      </c>
    </row>
    <row r="13093" customFormat="false" ht="15" hidden="false" customHeight="false" outlineLevel="0" collapsed="false">
      <c r="A13093" s="103"/>
      <c r="B13093" s="104"/>
      <c r="C13093" s="104"/>
      <c r="E13093" s="107" t="str">
        <f aca="false">IF($C13093="","",IFERROR(INDEX(المنيو!$C$2:$C$500,MATCH($C13093,المنيو!$B$2:$B$500,0)),0))</f>
        <v/>
      </c>
      <c r="F13093" s="107" t="str">
        <f aca="false">IF($C13093="","",$D13093*$E13093)</f>
        <v/>
      </c>
      <c r="G13093" s="107" t="str">
        <f aca="false">IF($C13093="","",$D13093*IFERROR(INDEX('تحليل التكلفة والسعر'!$C$2:$C$700,MATCH($C13093,'تحليل التكلفة والسعر'!$B$2:$B$700,0)),0))</f>
        <v/>
      </c>
    </row>
    <row r="13094" customFormat="false" ht="15" hidden="false" customHeight="false" outlineLevel="0" collapsed="false">
      <c r="A13094" s="103"/>
      <c r="B13094" s="104"/>
      <c r="C13094" s="104"/>
      <c r="E13094" s="107" t="str">
        <f aca="false">IF($C13094="","",IFERROR(INDEX(المنيو!$C$2:$C$500,MATCH($C13094,المنيو!$B$2:$B$500,0)),0))</f>
        <v/>
      </c>
      <c r="F13094" s="107" t="str">
        <f aca="false">IF($C13094="","",$D13094*$E13094)</f>
        <v/>
      </c>
      <c r="G13094" s="107" t="str">
        <f aca="false">IF($C13094="","",$D13094*IFERROR(INDEX('تحليل التكلفة والسعر'!$C$2:$C$700,MATCH($C13094,'تحليل التكلفة والسعر'!$B$2:$B$700,0)),0))</f>
        <v/>
      </c>
    </row>
    <row r="13095" customFormat="false" ht="15" hidden="false" customHeight="false" outlineLevel="0" collapsed="false">
      <c r="A13095" s="103"/>
      <c r="B13095" s="104"/>
      <c r="C13095" s="104"/>
      <c r="E13095" s="107" t="str">
        <f aca="false">IF($C13095="","",IFERROR(INDEX(المنيو!$C$2:$C$500,MATCH($C13095,المنيو!$B$2:$B$500,0)),0))</f>
        <v/>
      </c>
      <c r="F13095" s="107" t="str">
        <f aca="false">IF($C13095="","",$D13095*$E13095)</f>
        <v/>
      </c>
      <c r="G13095" s="107" t="str">
        <f aca="false">IF($C13095="","",$D13095*IFERROR(INDEX('تحليل التكلفة والسعر'!$C$2:$C$700,MATCH($C13095,'تحليل التكلفة والسعر'!$B$2:$B$700,0)),0))</f>
        <v/>
      </c>
    </row>
    <row r="13096" customFormat="false" ht="15" hidden="false" customHeight="false" outlineLevel="0" collapsed="false">
      <c r="A13096" s="103"/>
      <c r="B13096" s="104"/>
      <c r="C13096" s="104"/>
      <c r="E13096" s="107" t="str">
        <f aca="false">IF($C13096="","",IFERROR(INDEX(المنيو!$C$2:$C$500,MATCH($C13096,المنيو!$B$2:$B$500,0)),0))</f>
        <v/>
      </c>
      <c r="F13096" s="107" t="str">
        <f aca="false">IF($C13096="","",$D13096*$E13096)</f>
        <v/>
      </c>
      <c r="G13096" s="107" t="str">
        <f aca="false">IF($C13096="","",$D13096*IFERROR(INDEX('تحليل التكلفة والسعر'!$C$2:$C$700,MATCH($C13096,'تحليل التكلفة والسعر'!$B$2:$B$700,0)),0))</f>
        <v/>
      </c>
    </row>
    <row r="13097" customFormat="false" ht="15" hidden="false" customHeight="false" outlineLevel="0" collapsed="false">
      <c r="A13097" s="103"/>
      <c r="B13097" s="104"/>
      <c r="C13097" s="104"/>
      <c r="E13097" s="107" t="str">
        <f aca="false">IF($C13097="","",IFERROR(INDEX(المنيو!$C$2:$C$500,MATCH($C13097,المنيو!$B$2:$B$500,0)),0))</f>
        <v/>
      </c>
      <c r="F13097" s="107" t="str">
        <f aca="false">IF($C13097="","",$D13097*$E13097)</f>
        <v/>
      </c>
      <c r="G13097" s="107" t="str">
        <f aca="false">IF($C13097="","",$D13097*IFERROR(INDEX('تحليل التكلفة والسعر'!$C$2:$C$700,MATCH($C13097,'تحليل التكلفة والسعر'!$B$2:$B$700,0)),0))</f>
        <v/>
      </c>
    </row>
    <row r="13098" customFormat="false" ht="15" hidden="false" customHeight="false" outlineLevel="0" collapsed="false">
      <c r="A13098" s="103"/>
      <c r="B13098" s="104"/>
      <c r="C13098" s="104"/>
      <c r="E13098" s="107" t="str">
        <f aca="false">IF($C13098="","",IFERROR(INDEX(المنيو!$C$2:$C$500,MATCH($C13098,المنيو!$B$2:$B$500,0)),0))</f>
        <v/>
      </c>
      <c r="F13098" s="107" t="str">
        <f aca="false">IF($C13098="","",$D13098*$E13098)</f>
        <v/>
      </c>
      <c r="G13098" s="107" t="str">
        <f aca="false">IF($C13098="","",$D13098*IFERROR(INDEX('تحليل التكلفة والسعر'!$C$2:$C$700,MATCH($C13098,'تحليل التكلفة والسعر'!$B$2:$B$700,0)),0))</f>
        <v/>
      </c>
    </row>
    <row r="13099" customFormat="false" ht="15" hidden="false" customHeight="false" outlineLevel="0" collapsed="false">
      <c r="A13099" s="103"/>
      <c r="B13099" s="104"/>
      <c r="C13099" s="104"/>
      <c r="E13099" s="107" t="str">
        <f aca="false">IF($C13099="","",IFERROR(INDEX(المنيو!$C$2:$C$500,MATCH($C13099,المنيو!$B$2:$B$500,0)),0))</f>
        <v/>
      </c>
      <c r="F13099" s="107" t="str">
        <f aca="false">IF($C13099="","",$D13099*$E13099)</f>
        <v/>
      </c>
      <c r="G13099" s="107" t="str">
        <f aca="false">IF($C13099="","",$D13099*IFERROR(INDEX('تحليل التكلفة والسعر'!$C$2:$C$700,MATCH($C13099,'تحليل التكلفة والسعر'!$B$2:$B$700,0)),0))</f>
        <v/>
      </c>
    </row>
    <row r="13100" customFormat="false" ht="15" hidden="false" customHeight="false" outlineLevel="0" collapsed="false">
      <c r="A13100" s="103"/>
      <c r="B13100" s="104"/>
      <c r="C13100" s="104"/>
      <c r="E13100" s="107" t="str">
        <f aca="false">IF($C13100="","",IFERROR(INDEX(المنيو!$C$2:$C$500,MATCH($C13100,المنيو!$B$2:$B$500,0)),0))</f>
        <v/>
      </c>
      <c r="F13100" s="107" t="str">
        <f aca="false">IF($C13100="","",$D13100*$E13100)</f>
        <v/>
      </c>
      <c r="G13100" s="107" t="str">
        <f aca="false">IF($C13100="","",$D13100*IFERROR(INDEX('تحليل التكلفة والسعر'!$C$2:$C$700,MATCH($C13100,'تحليل التكلفة والسعر'!$B$2:$B$700,0)),0))</f>
        <v/>
      </c>
    </row>
    <row r="13101" customFormat="false" ht="15" hidden="false" customHeight="false" outlineLevel="0" collapsed="false">
      <c r="A13101" s="103"/>
      <c r="B13101" s="104"/>
      <c r="C13101" s="104"/>
      <c r="E13101" s="107" t="str">
        <f aca="false">IF($C13101="","",IFERROR(INDEX(المنيو!$C$2:$C$500,MATCH($C13101,المنيو!$B$2:$B$500,0)),0))</f>
        <v/>
      </c>
      <c r="F13101" s="107" t="str">
        <f aca="false">IF($C13101="","",$D13101*$E13101)</f>
        <v/>
      </c>
      <c r="G13101" s="107" t="str">
        <f aca="false">IF($C13101="","",$D13101*IFERROR(INDEX('تحليل التكلفة والسعر'!$C$2:$C$700,MATCH($C13101,'تحليل التكلفة والسعر'!$B$2:$B$700,0)),0))</f>
        <v/>
      </c>
    </row>
    <row r="13102" customFormat="false" ht="15" hidden="false" customHeight="false" outlineLevel="0" collapsed="false">
      <c r="A13102" s="103"/>
      <c r="B13102" s="104"/>
      <c r="C13102" s="104"/>
      <c r="E13102" s="107" t="str">
        <f aca="false">IF($C13102="","",IFERROR(INDEX(المنيو!$C$2:$C$500,MATCH($C13102,المنيو!$B$2:$B$500,0)),0))</f>
        <v/>
      </c>
      <c r="F13102" s="107" t="str">
        <f aca="false">IF($C13102="","",$D13102*$E13102)</f>
        <v/>
      </c>
      <c r="G13102" s="107" t="str">
        <f aca="false">IF($C13102="","",$D13102*IFERROR(INDEX('تحليل التكلفة والسعر'!$C$2:$C$700,MATCH($C13102,'تحليل التكلفة والسعر'!$B$2:$B$700,0)),0))</f>
        <v/>
      </c>
    </row>
    <row r="13103" customFormat="false" ht="15" hidden="false" customHeight="false" outlineLevel="0" collapsed="false">
      <c r="A13103" s="103"/>
      <c r="B13103" s="104"/>
      <c r="C13103" s="104"/>
      <c r="E13103" s="107" t="str">
        <f aca="false">IF($C13103="","",IFERROR(INDEX(المنيو!$C$2:$C$500,MATCH($C13103,المنيو!$B$2:$B$500,0)),0))</f>
        <v/>
      </c>
      <c r="F13103" s="107" t="str">
        <f aca="false">IF($C13103="","",$D13103*$E13103)</f>
        <v/>
      </c>
      <c r="G13103" s="107" t="str">
        <f aca="false">IF($C13103="","",$D13103*IFERROR(INDEX('تحليل التكلفة والسعر'!$C$2:$C$700,MATCH($C13103,'تحليل التكلفة والسعر'!$B$2:$B$700,0)),0))</f>
        <v/>
      </c>
    </row>
    <row r="13104" customFormat="false" ht="15" hidden="false" customHeight="false" outlineLevel="0" collapsed="false">
      <c r="A13104" s="103"/>
      <c r="B13104" s="104"/>
      <c r="C13104" s="104"/>
      <c r="E13104" s="107" t="str">
        <f aca="false">IF($C13104="","",IFERROR(INDEX(المنيو!$C$2:$C$500,MATCH($C13104,المنيو!$B$2:$B$500,0)),0))</f>
        <v/>
      </c>
      <c r="F13104" s="107" t="str">
        <f aca="false">IF($C13104="","",$D13104*$E13104)</f>
        <v/>
      </c>
      <c r="G13104" s="107" t="str">
        <f aca="false">IF($C13104="","",$D13104*IFERROR(INDEX('تحليل التكلفة والسعر'!$C$2:$C$700,MATCH($C13104,'تحليل التكلفة والسعر'!$B$2:$B$700,0)),0))</f>
        <v/>
      </c>
    </row>
    <row r="13105" customFormat="false" ht="15" hidden="false" customHeight="false" outlineLevel="0" collapsed="false">
      <c r="A13105" s="103"/>
      <c r="B13105" s="104"/>
      <c r="C13105" s="104"/>
      <c r="E13105" s="107" t="str">
        <f aca="false">IF($C13105="","",IFERROR(INDEX(المنيو!$C$2:$C$500,MATCH($C13105,المنيو!$B$2:$B$500,0)),0))</f>
        <v/>
      </c>
      <c r="F13105" s="107" t="str">
        <f aca="false">IF($C13105="","",$D13105*$E13105)</f>
        <v/>
      </c>
      <c r="G13105" s="107" t="str">
        <f aca="false">IF($C13105="","",$D13105*IFERROR(INDEX('تحليل التكلفة والسعر'!$C$2:$C$700,MATCH($C13105,'تحليل التكلفة والسعر'!$B$2:$B$700,0)),0))</f>
        <v/>
      </c>
    </row>
    <row r="13106" customFormat="false" ht="15" hidden="false" customHeight="false" outlineLevel="0" collapsed="false">
      <c r="A13106" s="103"/>
      <c r="B13106" s="104"/>
      <c r="C13106" s="104"/>
      <c r="E13106" s="107" t="str">
        <f aca="false">IF($C13106="","",IFERROR(INDEX(المنيو!$C$2:$C$500,MATCH($C13106,المنيو!$B$2:$B$500,0)),0))</f>
        <v/>
      </c>
      <c r="F13106" s="107" t="str">
        <f aca="false">IF($C13106="","",$D13106*$E13106)</f>
        <v/>
      </c>
      <c r="G13106" s="107" t="str">
        <f aca="false">IF($C13106="","",$D13106*IFERROR(INDEX('تحليل التكلفة والسعر'!$C$2:$C$700,MATCH($C13106,'تحليل التكلفة والسعر'!$B$2:$B$700,0)),0))</f>
        <v/>
      </c>
    </row>
    <row r="13107" customFormat="false" ht="15" hidden="false" customHeight="false" outlineLevel="0" collapsed="false">
      <c r="A13107" s="103"/>
      <c r="B13107" s="104"/>
      <c r="C13107" s="104"/>
      <c r="E13107" s="107" t="str">
        <f aca="false">IF($C13107="","",IFERROR(INDEX(المنيو!$C$2:$C$500,MATCH($C13107,المنيو!$B$2:$B$500,0)),0))</f>
        <v/>
      </c>
      <c r="F13107" s="107" t="str">
        <f aca="false">IF($C13107="","",$D13107*$E13107)</f>
        <v/>
      </c>
      <c r="G13107" s="107" t="str">
        <f aca="false">IF($C13107="","",$D13107*IFERROR(INDEX('تحليل التكلفة والسعر'!$C$2:$C$700,MATCH($C13107,'تحليل التكلفة والسعر'!$B$2:$B$700,0)),0))</f>
        <v/>
      </c>
    </row>
    <row r="13108" customFormat="false" ht="15" hidden="false" customHeight="false" outlineLevel="0" collapsed="false">
      <c r="A13108" s="103"/>
      <c r="B13108" s="104"/>
      <c r="C13108" s="104"/>
      <c r="E13108" s="107" t="str">
        <f aca="false">IF($C13108="","",IFERROR(INDEX(المنيو!$C$2:$C$500,MATCH($C13108,المنيو!$B$2:$B$500,0)),0))</f>
        <v/>
      </c>
      <c r="F13108" s="107" t="str">
        <f aca="false">IF($C13108="","",$D13108*$E13108)</f>
        <v/>
      </c>
      <c r="G13108" s="107" t="str">
        <f aca="false">IF($C13108="","",$D13108*IFERROR(INDEX('تحليل التكلفة والسعر'!$C$2:$C$700,MATCH($C13108,'تحليل التكلفة والسعر'!$B$2:$B$700,0)),0))</f>
        <v/>
      </c>
    </row>
    <row r="13109" customFormat="false" ht="15" hidden="false" customHeight="false" outlineLevel="0" collapsed="false">
      <c r="A13109" s="103"/>
      <c r="B13109" s="104"/>
      <c r="C13109" s="104"/>
      <c r="E13109" s="107" t="str">
        <f aca="false">IF($C13109="","",IFERROR(INDEX(المنيو!$C$2:$C$500,MATCH($C13109,المنيو!$B$2:$B$500,0)),0))</f>
        <v/>
      </c>
      <c r="F13109" s="107" t="str">
        <f aca="false">IF($C13109="","",$D13109*$E13109)</f>
        <v/>
      </c>
      <c r="G13109" s="107" t="str">
        <f aca="false">IF($C13109="","",$D13109*IFERROR(INDEX('تحليل التكلفة والسعر'!$C$2:$C$700,MATCH($C13109,'تحليل التكلفة والسعر'!$B$2:$B$700,0)),0))</f>
        <v/>
      </c>
    </row>
    <row r="13110" customFormat="false" ht="15" hidden="false" customHeight="false" outlineLevel="0" collapsed="false">
      <c r="A13110" s="103"/>
      <c r="B13110" s="104"/>
      <c r="C13110" s="104"/>
      <c r="E13110" s="107" t="str">
        <f aca="false">IF($C13110="","",IFERROR(INDEX(المنيو!$C$2:$C$500,MATCH($C13110,المنيو!$B$2:$B$500,0)),0))</f>
        <v/>
      </c>
      <c r="F13110" s="107" t="str">
        <f aca="false">IF($C13110="","",$D13110*$E13110)</f>
        <v/>
      </c>
      <c r="G13110" s="107" t="str">
        <f aca="false">IF($C13110="","",$D13110*IFERROR(INDEX('تحليل التكلفة والسعر'!$C$2:$C$700,MATCH($C13110,'تحليل التكلفة والسعر'!$B$2:$B$700,0)),0))</f>
        <v/>
      </c>
    </row>
    <row r="13111" customFormat="false" ht="15" hidden="false" customHeight="false" outlineLevel="0" collapsed="false">
      <c r="A13111" s="103"/>
      <c r="B13111" s="104"/>
      <c r="C13111" s="104"/>
      <c r="E13111" s="107" t="str">
        <f aca="false">IF($C13111="","",IFERROR(INDEX(المنيو!$C$2:$C$500,MATCH($C13111,المنيو!$B$2:$B$500,0)),0))</f>
        <v/>
      </c>
      <c r="F13111" s="107" t="str">
        <f aca="false">IF($C13111="","",$D13111*$E13111)</f>
        <v/>
      </c>
      <c r="G13111" s="107" t="str">
        <f aca="false">IF($C13111="","",$D13111*IFERROR(INDEX('تحليل التكلفة والسعر'!$C$2:$C$700,MATCH($C13111,'تحليل التكلفة والسعر'!$B$2:$B$700,0)),0))</f>
        <v/>
      </c>
    </row>
    <row r="13112" customFormat="false" ht="15" hidden="false" customHeight="false" outlineLevel="0" collapsed="false">
      <c r="A13112" s="103"/>
      <c r="B13112" s="104"/>
      <c r="C13112" s="104"/>
      <c r="E13112" s="107" t="str">
        <f aca="false">IF($C13112="","",IFERROR(INDEX(المنيو!$C$2:$C$500,MATCH($C13112,المنيو!$B$2:$B$500,0)),0))</f>
        <v/>
      </c>
      <c r="F13112" s="107" t="str">
        <f aca="false">IF($C13112="","",$D13112*$E13112)</f>
        <v/>
      </c>
      <c r="G13112" s="107" t="str">
        <f aca="false">IF($C13112="","",$D13112*IFERROR(INDEX('تحليل التكلفة والسعر'!$C$2:$C$700,MATCH($C13112,'تحليل التكلفة والسعر'!$B$2:$B$700,0)),0))</f>
        <v/>
      </c>
    </row>
    <row r="13113" customFormat="false" ht="15" hidden="false" customHeight="false" outlineLevel="0" collapsed="false">
      <c r="A13113" s="103"/>
      <c r="B13113" s="104"/>
      <c r="C13113" s="104"/>
      <c r="E13113" s="107" t="str">
        <f aca="false">IF($C13113="","",IFERROR(INDEX(المنيو!$C$2:$C$500,MATCH($C13113,المنيو!$B$2:$B$500,0)),0))</f>
        <v/>
      </c>
      <c r="F13113" s="107" t="str">
        <f aca="false">IF($C13113="","",$D13113*$E13113)</f>
        <v/>
      </c>
      <c r="G13113" s="107" t="str">
        <f aca="false">IF($C13113="","",$D13113*IFERROR(INDEX('تحليل التكلفة والسعر'!$C$2:$C$700,MATCH($C13113,'تحليل التكلفة والسعر'!$B$2:$B$700,0)),0))</f>
        <v/>
      </c>
    </row>
    <row r="13114" customFormat="false" ht="15" hidden="false" customHeight="false" outlineLevel="0" collapsed="false">
      <c r="A13114" s="103"/>
      <c r="B13114" s="104"/>
      <c r="C13114" s="104"/>
      <c r="E13114" s="107" t="str">
        <f aca="false">IF($C13114="","",IFERROR(INDEX(المنيو!$C$2:$C$500,MATCH($C13114,المنيو!$B$2:$B$500,0)),0))</f>
        <v/>
      </c>
      <c r="F13114" s="107" t="str">
        <f aca="false">IF($C13114="","",$D13114*$E13114)</f>
        <v/>
      </c>
      <c r="G13114" s="107" t="str">
        <f aca="false">IF($C13114="","",$D13114*IFERROR(INDEX('تحليل التكلفة والسعر'!$C$2:$C$700,MATCH($C13114,'تحليل التكلفة والسعر'!$B$2:$B$700,0)),0))</f>
        <v/>
      </c>
    </row>
    <row r="13115" customFormat="false" ht="15" hidden="false" customHeight="false" outlineLevel="0" collapsed="false">
      <c r="A13115" s="103"/>
      <c r="B13115" s="104"/>
      <c r="C13115" s="104"/>
      <c r="E13115" s="107" t="str">
        <f aca="false">IF($C13115="","",IFERROR(INDEX(المنيو!$C$2:$C$500,MATCH($C13115,المنيو!$B$2:$B$500,0)),0))</f>
        <v/>
      </c>
      <c r="F13115" s="107" t="str">
        <f aca="false">IF($C13115="","",$D13115*$E13115)</f>
        <v/>
      </c>
      <c r="G13115" s="107" t="str">
        <f aca="false">IF($C13115="","",$D13115*IFERROR(INDEX('تحليل التكلفة والسعر'!$C$2:$C$700,MATCH($C13115,'تحليل التكلفة والسعر'!$B$2:$B$700,0)),0))</f>
        <v/>
      </c>
    </row>
    <row r="13116" customFormat="false" ht="15" hidden="false" customHeight="false" outlineLevel="0" collapsed="false">
      <c r="A13116" s="103"/>
      <c r="B13116" s="104"/>
      <c r="C13116" s="104"/>
      <c r="E13116" s="107" t="str">
        <f aca="false">IF($C13116="","",IFERROR(INDEX(المنيو!$C$2:$C$500,MATCH($C13116,المنيو!$B$2:$B$500,0)),0))</f>
        <v/>
      </c>
      <c r="F13116" s="107" t="str">
        <f aca="false">IF($C13116="","",$D13116*$E13116)</f>
        <v/>
      </c>
      <c r="G13116" s="107" t="str">
        <f aca="false">IF($C13116="","",$D13116*IFERROR(INDEX('تحليل التكلفة والسعر'!$C$2:$C$700,MATCH($C13116,'تحليل التكلفة والسعر'!$B$2:$B$700,0)),0))</f>
        <v/>
      </c>
    </row>
    <row r="13117" customFormat="false" ht="15" hidden="false" customHeight="false" outlineLevel="0" collapsed="false">
      <c r="A13117" s="103"/>
      <c r="B13117" s="104"/>
      <c r="C13117" s="104"/>
      <c r="E13117" s="107" t="str">
        <f aca="false">IF($C13117="","",IFERROR(INDEX(المنيو!$C$2:$C$500,MATCH($C13117,المنيو!$B$2:$B$500,0)),0))</f>
        <v/>
      </c>
      <c r="F13117" s="107" t="str">
        <f aca="false">IF($C13117="","",$D13117*$E13117)</f>
        <v/>
      </c>
      <c r="G13117" s="107" t="str">
        <f aca="false">IF($C13117="","",$D13117*IFERROR(INDEX('تحليل التكلفة والسعر'!$C$2:$C$700,MATCH($C13117,'تحليل التكلفة والسعر'!$B$2:$B$700,0)),0))</f>
        <v/>
      </c>
    </row>
    <row r="13118" customFormat="false" ht="15" hidden="false" customHeight="false" outlineLevel="0" collapsed="false">
      <c r="A13118" s="103"/>
      <c r="B13118" s="104"/>
      <c r="C13118" s="104"/>
      <c r="E13118" s="107" t="str">
        <f aca="false">IF($C13118="","",IFERROR(INDEX(المنيو!$C$2:$C$500,MATCH($C13118,المنيو!$B$2:$B$500,0)),0))</f>
        <v/>
      </c>
      <c r="F13118" s="107" t="str">
        <f aca="false">IF($C13118="","",$D13118*$E13118)</f>
        <v/>
      </c>
      <c r="G13118" s="107" t="str">
        <f aca="false">IF($C13118="","",$D13118*IFERROR(INDEX('تحليل التكلفة والسعر'!$C$2:$C$700,MATCH($C13118,'تحليل التكلفة والسعر'!$B$2:$B$700,0)),0))</f>
        <v/>
      </c>
    </row>
    <row r="13119" customFormat="false" ht="15" hidden="false" customHeight="false" outlineLevel="0" collapsed="false">
      <c r="A13119" s="103"/>
      <c r="B13119" s="104"/>
      <c r="C13119" s="104"/>
      <c r="E13119" s="107" t="str">
        <f aca="false">IF($C13119="","",IFERROR(INDEX(المنيو!$C$2:$C$500,MATCH($C13119,المنيو!$B$2:$B$500,0)),0))</f>
        <v/>
      </c>
      <c r="F13119" s="107" t="str">
        <f aca="false">IF($C13119="","",$D13119*$E13119)</f>
        <v/>
      </c>
      <c r="G13119" s="107" t="str">
        <f aca="false">IF($C13119="","",$D13119*IFERROR(INDEX('تحليل التكلفة والسعر'!$C$2:$C$700,MATCH($C13119,'تحليل التكلفة والسعر'!$B$2:$B$700,0)),0))</f>
        <v/>
      </c>
    </row>
    <row r="13120" customFormat="false" ht="15" hidden="false" customHeight="false" outlineLevel="0" collapsed="false">
      <c r="A13120" s="103"/>
      <c r="B13120" s="104"/>
      <c r="C13120" s="104"/>
      <c r="E13120" s="107" t="str">
        <f aca="false">IF($C13120="","",IFERROR(INDEX(المنيو!$C$2:$C$500,MATCH($C13120,المنيو!$B$2:$B$500,0)),0))</f>
        <v/>
      </c>
      <c r="F13120" s="107" t="str">
        <f aca="false">IF($C13120="","",$D13120*$E13120)</f>
        <v/>
      </c>
      <c r="G13120" s="107" t="str">
        <f aca="false">IF($C13120="","",$D13120*IFERROR(INDEX('تحليل التكلفة والسعر'!$C$2:$C$700,MATCH($C13120,'تحليل التكلفة والسعر'!$B$2:$B$700,0)),0))</f>
        <v/>
      </c>
    </row>
    <row r="13121" customFormat="false" ht="15" hidden="false" customHeight="false" outlineLevel="0" collapsed="false">
      <c r="A13121" s="103"/>
      <c r="B13121" s="104"/>
      <c r="C13121" s="104"/>
      <c r="E13121" s="107" t="str">
        <f aca="false">IF($C13121="","",IFERROR(INDEX(المنيو!$C$2:$C$500,MATCH($C13121,المنيو!$B$2:$B$500,0)),0))</f>
        <v/>
      </c>
      <c r="F13121" s="107" t="str">
        <f aca="false">IF($C13121="","",$D13121*$E13121)</f>
        <v/>
      </c>
      <c r="G13121" s="107" t="str">
        <f aca="false">IF($C13121="","",$D13121*IFERROR(INDEX('تحليل التكلفة والسعر'!$C$2:$C$700,MATCH($C13121,'تحليل التكلفة والسعر'!$B$2:$B$700,0)),0))</f>
        <v/>
      </c>
    </row>
    <row r="13122" customFormat="false" ht="15" hidden="false" customHeight="false" outlineLevel="0" collapsed="false">
      <c r="A13122" s="103"/>
      <c r="B13122" s="104"/>
      <c r="C13122" s="104"/>
      <c r="E13122" s="107" t="str">
        <f aca="false">IF($C13122="","",IFERROR(INDEX(المنيو!$C$2:$C$500,MATCH($C13122,المنيو!$B$2:$B$500,0)),0))</f>
        <v/>
      </c>
      <c r="F13122" s="107" t="str">
        <f aca="false">IF($C13122="","",$D13122*$E13122)</f>
        <v/>
      </c>
      <c r="G13122" s="107" t="str">
        <f aca="false">IF($C13122="","",$D13122*IFERROR(INDEX('تحليل التكلفة والسعر'!$C$2:$C$700,MATCH($C13122,'تحليل التكلفة والسعر'!$B$2:$B$700,0)),0))</f>
        <v/>
      </c>
    </row>
    <row r="13123" customFormat="false" ht="15" hidden="false" customHeight="false" outlineLevel="0" collapsed="false">
      <c r="A13123" s="103"/>
      <c r="B13123" s="104"/>
      <c r="C13123" s="104"/>
      <c r="E13123" s="107" t="str">
        <f aca="false">IF($C13123="","",IFERROR(INDEX(المنيو!$C$2:$C$500,MATCH($C13123,المنيو!$B$2:$B$500,0)),0))</f>
        <v/>
      </c>
      <c r="F13123" s="107" t="str">
        <f aca="false">IF($C13123="","",$D13123*$E13123)</f>
        <v/>
      </c>
      <c r="G13123" s="107" t="str">
        <f aca="false">IF($C13123="","",$D13123*IFERROR(INDEX('تحليل التكلفة والسعر'!$C$2:$C$700,MATCH($C13123,'تحليل التكلفة والسعر'!$B$2:$B$700,0)),0))</f>
        <v/>
      </c>
    </row>
    <row r="13124" customFormat="false" ht="15" hidden="false" customHeight="false" outlineLevel="0" collapsed="false">
      <c r="A13124" s="103"/>
      <c r="B13124" s="104"/>
      <c r="C13124" s="104"/>
      <c r="E13124" s="107" t="str">
        <f aca="false">IF($C13124="","",IFERROR(INDEX(المنيو!$C$2:$C$500,MATCH($C13124,المنيو!$B$2:$B$500,0)),0))</f>
        <v/>
      </c>
      <c r="F13124" s="107" t="str">
        <f aca="false">IF($C13124="","",$D13124*$E13124)</f>
        <v/>
      </c>
      <c r="G13124" s="107" t="str">
        <f aca="false">IF($C13124="","",$D13124*IFERROR(INDEX('تحليل التكلفة والسعر'!$C$2:$C$700,MATCH($C13124,'تحليل التكلفة والسعر'!$B$2:$B$700,0)),0))</f>
        <v/>
      </c>
    </row>
    <row r="13125" customFormat="false" ht="15" hidden="false" customHeight="false" outlineLevel="0" collapsed="false">
      <c r="A13125" s="103"/>
      <c r="B13125" s="104"/>
      <c r="C13125" s="104"/>
      <c r="E13125" s="107" t="str">
        <f aca="false">IF($C13125="","",IFERROR(INDEX(المنيو!$C$2:$C$500,MATCH($C13125,المنيو!$B$2:$B$500,0)),0))</f>
        <v/>
      </c>
      <c r="F13125" s="107" t="str">
        <f aca="false">IF($C13125="","",$D13125*$E13125)</f>
        <v/>
      </c>
      <c r="G13125" s="107" t="str">
        <f aca="false">IF($C13125="","",$D13125*IFERROR(INDEX('تحليل التكلفة والسعر'!$C$2:$C$700,MATCH($C13125,'تحليل التكلفة والسعر'!$B$2:$B$700,0)),0))</f>
        <v/>
      </c>
    </row>
    <row r="13126" customFormat="false" ht="15" hidden="false" customHeight="false" outlineLevel="0" collapsed="false">
      <c r="A13126" s="103"/>
      <c r="B13126" s="104"/>
      <c r="C13126" s="104"/>
      <c r="E13126" s="107" t="str">
        <f aca="false">IF($C13126="","",IFERROR(INDEX(المنيو!$C$2:$C$500,MATCH($C13126,المنيو!$B$2:$B$500,0)),0))</f>
        <v/>
      </c>
      <c r="F13126" s="107" t="str">
        <f aca="false">IF($C13126="","",$D13126*$E13126)</f>
        <v/>
      </c>
      <c r="G13126" s="107" t="str">
        <f aca="false">IF($C13126="","",$D13126*IFERROR(INDEX('تحليل التكلفة والسعر'!$C$2:$C$700,MATCH($C13126,'تحليل التكلفة والسعر'!$B$2:$B$700,0)),0))</f>
        <v/>
      </c>
    </row>
    <row r="13127" customFormat="false" ht="15" hidden="false" customHeight="false" outlineLevel="0" collapsed="false">
      <c r="A13127" s="103"/>
      <c r="B13127" s="104"/>
      <c r="C13127" s="104"/>
      <c r="E13127" s="107" t="str">
        <f aca="false">IF($C13127="","",IFERROR(INDEX(المنيو!$C$2:$C$500,MATCH($C13127,المنيو!$B$2:$B$500,0)),0))</f>
        <v/>
      </c>
      <c r="F13127" s="107" t="str">
        <f aca="false">IF($C13127="","",$D13127*$E13127)</f>
        <v/>
      </c>
      <c r="G13127" s="107" t="str">
        <f aca="false">IF($C13127="","",$D13127*IFERROR(INDEX('تحليل التكلفة والسعر'!$C$2:$C$700,MATCH($C13127,'تحليل التكلفة والسعر'!$B$2:$B$700,0)),0))</f>
        <v/>
      </c>
    </row>
    <row r="13128" customFormat="false" ht="15" hidden="false" customHeight="false" outlineLevel="0" collapsed="false">
      <c r="A13128" s="103"/>
      <c r="B13128" s="104"/>
      <c r="C13128" s="104"/>
      <c r="E13128" s="107" t="str">
        <f aca="false">IF($C13128="","",IFERROR(INDEX(المنيو!$C$2:$C$500,MATCH($C13128,المنيو!$B$2:$B$500,0)),0))</f>
        <v/>
      </c>
      <c r="F13128" s="107" t="str">
        <f aca="false">IF($C13128="","",$D13128*$E13128)</f>
        <v/>
      </c>
      <c r="G13128" s="107" t="str">
        <f aca="false">IF($C13128="","",$D13128*IFERROR(INDEX('تحليل التكلفة والسعر'!$C$2:$C$700,MATCH($C13128,'تحليل التكلفة والسعر'!$B$2:$B$700,0)),0))</f>
        <v/>
      </c>
    </row>
    <row r="13129" customFormat="false" ht="15" hidden="false" customHeight="false" outlineLevel="0" collapsed="false">
      <c r="A13129" s="103"/>
      <c r="B13129" s="104"/>
      <c r="C13129" s="104"/>
      <c r="E13129" s="107" t="str">
        <f aca="false">IF($C13129="","",IFERROR(INDEX(المنيو!$C$2:$C$500,MATCH($C13129,المنيو!$B$2:$B$500,0)),0))</f>
        <v/>
      </c>
      <c r="F13129" s="107" t="str">
        <f aca="false">IF($C13129="","",$D13129*$E13129)</f>
        <v/>
      </c>
      <c r="G13129" s="107" t="str">
        <f aca="false">IF($C13129="","",$D13129*IFERROR(INDEX('تحليل التكلفة والسعر'!$C$2:$C$700,MATCH($C13129,'تحليل التكلفة والسعر'!$B$2:$B$700,0)),0))</f>
        <v/>
      </c>
    </row>
    <row r="13130" customFormat="false" ht="15" hidden="false" customHeight="false" outlineLevel="0" collapsed="false">
      <c r="A13130" s="103"/>
      <c r="B13130" s="104"/>
      <c r="C13130" s="104"/>
      <c r="E13130" s="107" t="str">
        <f aca="false">IF($C13130="","",IFERROR(INDEX(المنيو!$C$2:$C$500,MATCH($C13130,المنيو!$B$2:$B$500,0)),0))</f>
        <v/>
      </c>
      <c r="F13130" s="107" t="str">
        <f aca="false">IF($C13130="","",$D13130*$E13130)</f>
        <v/>
      </c>
      <c r="G13130" s="107" t="str">
        <f aca="false">IF($C13130="","",$D13130*IFERROR(INDEX('تحليل التكلفة والسعر'!$C$2:$C$700,MATCH($C13130,'تحليل التكلفة والسعر'!$B$2:$B$700,0)),0))</f>
        <v/>
      </c>
    </row>
    <row r="13131" customFormat="false" ht="15" hidden="false" customHeight="false" outlineLevel="0" collapsed="false">
      <c r="A13131" s="103"/>
      <c r="B13131" s="104"/>
      <c r="C13131" s="104"/>
      <c r="E13131" s="107" t="str">
        <f aca="false">IF($C13131="","",IFERROR(INDEX(المنيو!$C$2:$C$500,MATCH($C13131,المنيو!$B$2:$B$500,0)),0))</f>
        <v/>
      </c>
      <c r="F13131" s="107" t="str">
        <f aca="false">IF($C13131="","",$D13131*$E13131)</f>
        <v/>
      </c>
      <c r="G13131" s="107" t="str">
        <f aca="false">IF($C13131="","",$D13131*IFERROR(INDEX('تحليل التكلفة والسعر'!$C$2:$C$700,MATCH($C13131,'تحليل التكلفة والسعر'!$B$2:$B$700,0)),0))</f>
        <v/>
      </c>
    </row>
    <row r="13132" customFormat="false" ht="15" hidden="false" customHeight="false" outlineLevel="0" collapsed="false">
      <c r="A13132" s="103"/>
      <c r="B13132" s="104"/>
      <c r="C13132" s="104"/>
      <c r="E13132" s="107" t="str">
        <f aca="false">IF($C13132="","",IFERROR(INDEX(المنيو!$C$2:$C$500,MATCH($C13132,المنيو!$B$2:$B$500,0)),0))</f>
        <v/>
      </c>
      <c r="F13132" s="107" t="str">
        <f aca="false">IF($C13132="","",$D13132*$E13132)</f>
        <v/>
      </c>
      <c r="G13132" s="107" t="str">
        <f aca="false">IF($C13132="","",$D13132*IFERROR(INDEX('تحليل التكلفة والسعر'!$C$2:$C$700,MATCH($C13132,'تحليل التكلفة والسعر'!$B$2:$B$700,0)),0))</f>
        <v/>
      </c>
    </row>
    <row r="13133" customFormat="false" ht="15" hidden="false" customHeight="false" outlineLevel="0" collapsed="false">
      <c r="A13133" s="103"/>
      <c r="B13133" s="104"/>
      <c r="C13133" s="104"/>
      <c r="E13133" s="107" t="str">
        <f aca="false">IF($C13133="","",IFERROR(INDEX(المنيو!$C$2:$C$500,MATCH($C13133,المنيو!$B$2:$B$500,0)),0))</f>
        <v/>
      </c>
      <c r="F13133" s="107" t="str">
        <f aca="false">IF($C13133="","",$D13133*$E13133)</f>
        <v/>
      </c>
      <c r="G13133" s="107" t="str">
        <f aca="false">IF($C13133="","",$D13133*IFERROR(INDEX('تحليل التكلفة والسعر'!$C$2:$C$700,MATCH($C13133,'تحليل التكلفة والسعر'!$B$2:$B$700,0)),0))</f>
        <v/>
      </c>
    </row>
    <row r="13134" customFormat="false" ht="15" hidden="false" customHeight="false" outlineLevel="0" collapsed="false">
      <c r="A13134" s="103"/>
      <c r="B13134" s="104"/>
      <c r="C13134" s="104"/>
      <c r="E13134" s="107" t="str">
        <f aca="false">IF($C13134="","",IFERROR(INDEX(المنيو!$C$2:$C$500,MATCH($C13134,المنيو!$B$2:$B$500,0)),0))</f>
        <v/>
      </c>
      <c r="F13134" s="107" t="str">
        <f aca="false">IF($C13134="","",$D13134*$E13134)</f>
        <v/>
      </c>
      <c r="G13134" s="107" t="str">
        <f aca="false">IF($C13134="","",$D13134*IFERROR(INDEX('تحليل التكلفة والسعر'!$C$2:$C$700,MATCH($C13134,'تحليل التكلفة والسعر'!$B$2:$B$700,0)),0))</f>
        <v/>
      </c>
    </row>
    <row r="13135" customFormat="false" ht="15" hidden="false" customHeight="false" outlineLevel="0" collapsed="false">
      <c r="A13135" s="103"/>
      <c r="B13135" s="104"/>
      <c r="C13135" s="104"/>
      <c r="E13135" s="107" t="str">
        <f aca="false">IF($C13135="","",IFERROR(INDEX(المنيو!$C$2:$C$500,MATCH($C13135,المنيو!$B$2:$B$500,0)),0))</f>
        <v/>
      </c>
      <c r="F13135" s="107" t="str">
        <f aca="false">IF($C13135="","",$D13135*$E13135)</f>
        <v/>
      </c>
      <c r="G13135" s="107" t="str">
        <f aca="false">IF($C13135="","",$D13135*IFERROR(INDEX('تحليل التكلفة والسعر'!$C$2:$C$700,MATCH($C13135,'تحليل التكلفة والسعر'!$B$2:$B$700,0)),0))</f>
        <v/>
      </c>
    </row>
    <row r="13136" customFormat="false" ht="15" hidden="false" customHeight="false" outlineLevel="0" collapsed="false">
      <c r="A13136" s="103"/>
      <c r="B13136" s="104"/>
      <c r="C13136" s="104"/>
      <c r="E13136" s="107" t="str">
        <f aca="false">IF($C13136="","",IFERROR(INDEX(المنيو!$C$2:$C$500,MATCH($C13136,المنيو!$B$2:$B$500,0)),0))</f>
        <v/>
      </c>
      <c r="F13136" s="107" t="str">
        <f aca="false">IF($C13136="","",$D13136*$E13136)</f>
        <v/>
      </c>
      <c r="G13136" s="107" t="str">
        <f aca="false">IF($C13136="","",$D13136*IFERROR(INDEX('تحليل التكلفة والسعر'!$C$2:$C$700,MATCH($C13136,'تحليل التكلفة والسعر'!$B$2:$B$700,0)),0))</f>
        <v/>
      </c>
    </row>
    <row r="13137" customFormat="false" ht="15" hidden="false" customHeight="false" outlineLevel="0" collapsed="false">
      <c r="A13137" s="103"/>
      <c r="B13137" s="104"/>
      <c r="C13137" s="104"/>
      <c r="E13137" s="107" t="str">
        <f aca="false">IF($C13137="","",IFERROR(INDEX(المنيو!$C$2:$C$500,MATCH($C13137,المنيو!$B$2:$B$500,0)),0))</f>
        <v/>
      </c>
      <c r="F13137" s="107" t="str">
        <f aca="false">IF($C13137="","",$D13137*$E13137)</f>
        <v/>
      </c>
      <c r="G13137" s="107" t="str">
        <f aca="false">IF($C13137="","",$D13137*IFERROR(INDEX('تحليل التكلفة والسعر'!$C$2:$C$700,MATCH($C13137,'تحليل التكلفة والسعر'!$B$2:$B$700,0)),0))</f>
        <v/>
      </c>
    </row>
    <row r="13138" customFormat="false" ht="15" hidden="false" customHeight="false" outlineLevel="0" collapsed="false">
      <c r="A13138" s="103"/>
      <c r="B13138" s="104"/>
      <c r="C13138" s="104"/>
      <c r="E13138" s="107" t="str">
        <f aca="false">IF($C13138="","",IFERROR(INDEX(المنيو!$C$2:$C$500,MATCH($C13138,المنيو!$B$2:$B$500,0)),0))</f>
        <v/>
      </c>
      <c r="F13138" s="107" t="str">
        <f aca="false">IF($C13138="","",$D13138*$E13138)</f>
        <v/>
      </c>
      <c r="G13138" s="107" t="str">
        <f aca="false">IF($C13138="","",$D13138*IFERROR(INDEX('تحليل التكلفة والسعر'!$C$2:$C$700,MATCH($C13138,'تحليل التكلفة والسعر'!$B$2:$B$700,0)),0))</f>
        <v/>
      </c>
    </row>
    <row r="13139" customFormat="false" ht="15" hidden="false" customHeight="false" outlineLevel="0" collapsed="false">
      <c r="A13139" s="103"/>
      <c r="B13139" s="104"/>
      <c r="C13139" s="104"/>
      <c r="E13139" s="107" t="str">
        <f aca="false">IF($C13139="","",IFERROR(INDEX(المنيو!$C$2:$C$500,MATCH($C13139,المنيو!$B$2:$B$500,0)),0))</f>
        <v/>
      </c>
      <c r="F13139" s="107" t="str">
        <f aca="false">IF($C13139="","",$D13139*$E13139)</f>
        <v/>
      </c>
      <c r="G13139" s="107" t="str">
        <f aca="false">IF($C13139="","",$D13139*IFERROR(INDEX('تحليل التكلفة والسعر'!$C$2:$C$700,MATCH($C13139,'تحليل التكلفة والسعر'!$B$2:$B$700,0)),0))</f>
        <v/>
      </c>
    </row>
    <row r="13140" customFormat="false" ht="15" hidden="false" customHeight="false" outlineLevel="0" collapsed="false">
      <c r="A13140" s="103"/>
      <c r="B13140" s="104"/>
      <c r="C13140" s="104"/>
      <c r="E13140" s="107" t="str">
        <f aca="false">IF($C13140="","",IFERROR(INDEX(المنيو!$C$2:$C$500,MATCH($C13140,المنيو!$B$2:$B$500,0)),0))</f>
        <v/>
      </c>
      <c r="F13140" s="107" t="str">
        <f aca="false">IF($C13140="","",$D13140*$E13140)</f>
        <v/>
      </c>
      <c r="G13140" s="107" t="str">
        <f aca="false">IF($C13140="","",$D13140*IFERROR(INDEX('تحليل التكلفة والسعر'!$C$2:$C$700,MATCH($C13140,'تحليل التكلفة والسعر'!$B$2:$B$700,0)),0))</f>
        <v/>
      </c>
    </row>
    <row r="13141" customFormat="false" ht="15" hidden="false" customHeight="false" outlineLevel="0" collapsed="false">
      <c r="A13141" s="103"/>
      <c r="B13141" s="104"/>
      <c r="C13141" s="104"/>
      <c r="E13141" s="107" t="str">
        <f aca="false">IF($C13141="","",IFERROR(INDEX(المنيو!$C$2:$C$500,MATCH($C13141,المنيو!$B$2:$B$500,0)),0))</f>
        <v/>
      </c>
      <c r="F13141" s="107" t="str">
        <f aca="false">IF($C13141="","",$D13141*$E13141)</f>
        <v/>
      </c>
      <c r="G13141" s="107" t="str">
        <f aca="false">IF($C13141="","",$D13141*IFERROR(INDEX('تحليل التكلفة والسعر'!$C$2:$C$700,MATCH($C13141,'تحليل التكلفة والسعر'!$B$2:$B$700,0)),0))</f>
        <v/>
      </c>
    </row>
    <row r="13142" customFormat="false" ht="15" hidden="false" customHeight="false" outlineLevel="0" collapsed="false">
      <c r="A13142" s="103"/>
      <c r="B13142" s="104"/>
      <c r="C13142" s="104"/>
      <c r="E13142" s="107" t="str">
        <f aca="false">IF($C13142="","",IFERROR(INDEX(المنيو!$C$2:$C$500,MATCH($C13142,المنيو!$B$2:$B$500,0)),0))</f>
        <v/>
      </c>
      <c r="F13142" s="107" t="str">
        <f aca="false">IF($C13142="","",$D13142*$E13142)</f>
        <v/>
      </c>
      <c r="G13142" s="107" t="str">
        <f aca="false">IF($C13142="","",$D13142*IFERROR(INDEX('تحليل التكلفة والسعر'!$C$2:$C$700,MATCH($C13142,'تحليل التكلفة والسعر'!$B$2:$B$700,0)),0))</f>
        <v/>
      </c>
    </row>
    <row r="13143" customFormat="false" ht="15" hidden="false" customHeight="false" outlineLevel="0" collapsed="false">
      <c r="A13143" s="103"/>
      <c r="B13143" s="104"/>
      <c r="C13143" s="104"/>
      <c r="E13143" s="107" t="str">
        <f aca="false">IF($C13143="","",IFERROR(INDEX(المنيو!$C$2:$C$500,MATCH($C13143,المنيو!$B$2:$B$500,0)),0))</f>
        <v/>
      </c>
      <c r="F13143" s="107" t="str">
        <f aca="false">IF($C13143="","",$D13143*$E13143)</f>
        <v/>
      </c>
      <c r="G13143" s="107" t="str">
        <f aca="false">IF($C13143="","",$D13143*IFERROR(INDEX('تحليل التكلفة والسعر'!$C$2:$C$700,MATCH($C13143,'تحليل التكلفة والسعر'!$B$2:$B$700,0)),0))</f>
        <v/>
      </c>
    </row>
    <row r="13144" customFormat="false" ht="15" hidden="false" customHeight="false" outlineLevel="0" collapsed="false">
      <c r="A13144" s="103"/>
      <c r="B13144" s="104"/>
      <c r="C13144" s="104"/>
      <c r="E13144" s="107" t="str">
        <f aca="false">IF($C13144="","",IFERROR(INDEX(المنيو!$C$2:$C$500,MATCH($C13144,المنيو!$B$2:$B$500,0)),0))</f>
        <v/>
      </c>
      <c r="F13144" s="107" t="str">
        <f aca="false">IF($C13144="","",$D13144*$E13144)</f>
        <v/>
      </c>
      <c r="G13144" s="107" t="str">
        <f aca="false">IF($C13144="","",$D13144*IFERROR(INDEX('تحليل التكلفة والسعر'!$C$2:$C$700,MATCH($C13144,'تحليل التكلفة والسعر'!$B$2:$B$700,0)),0))</f>
        <v/>
      </c>
    </row>
    <row r="13145" customFormat="false" ht="15" hidden="false" customHeight="false" outlineLevel="0" collapsed="false">
      <c r="A13145" s="103"/>
      <c r="B13145" s="104"/>
      <c r="C13145" s="104"/>
      <c r="E13145" s="107" t="str">
        <f aca="false">IF($C13145="","",IFERROR(INDEX(المنيو!$C$2:$C$500,MATCH($C13145,المنيو!$B$2:$B$500,0)),0))</f>
        <v/>
      </c>
      <c r="F13145" s="107" t="str">
        <f aca="false">IF($C13145="","",$D13145*$E13145)</f>
        <v/>
      </c>
      <c r="G13145" s="107" t="str">
        <f aca="false">IF($C13145="","",$D13145*IFERROR(INDEX('تحليل التكلفة والسعر'!$C$2:$C$700,MATCH($C13145,'تحليل التكلفة والسعر'!$B$2:$B$700,0)),0))</f>
        <v/>
      </c>
    </row>
    <row r="13146" customFormat="false" ht="15" hidden="false" customHeight="false" outlineLevel="0" collapsed="false">
      <c r="A13146" s="103"/>
      <c r="B13146" s="104"/>
      <c r="C13146" s="104"/>
      <c r="E13146" s="107" t="str">
        <f aca="false">IF($C13146="","",IFERROR(INDEX(المنيو!$C$2:$C$500,MATCH($C13146,المنيو!$B$2:$B$500,0)),0))</f>
        <v/>
      </c>
      <c r="F13146" s="107" t="str">
        <f aca="false">IF($C13146="","",$D13146*$E13146)</f>
        <v/>
      </c>
      <c r="G13146" s="107" t="str">
        <f aca="false">IF($C13146="","",$D13146*IFERROR(INDEX('تحليل التكلفة والسعر'!$C$2:$C$700,MATCH($C13146,'تحليل التكلفة والسعر'!$B$2:$B$700,0)),0))</f>
        <v/>
      </c>
    </row>
    <row r="13147" customFormat="false" ht="15" hidden="false" customHeight="false" outlineLevel="0" collapsed="false">
      <c r="A13147" s="103"/>
      <c r="B13147" s="104"/>
      <c r="C13147" s="104"/>
      <c r="E13147" s="107" t="str">
        <f aca="false">IF($C13147="","",IFERROR(INDEX(المنيو!$C$2:$C$500,MATCH($C13147,المنيو!$B$2:$B$500,0)),0))</f>
        <v/>
      </c>
      <c r="F13147" s="107" t="str">
        <f aca="false">IF($C13147="","",$D13147*$E13147)</f>
        <v/>
      </c>
      <c r="G13147" s="107" t="str">
        <f aca="false">IF($C13147="","",$D13147*IFERROR(INDEX('تحليل التكلفة والسعر'!$C$2:$C$700,MATCH($C13147,'تحليل التكلفة والسعر'!$B$2:$B$700,0)),0))</f>
        <v/>
      </c>
    </row>
    <row r="13148" customFormat="false" ht="15" hidden="false" customHeight="false" outlineLevel="0" collapsed="false">
      <c r="A13148" s="103"/>
      <c r="B13148" s="104"/>
      <c r="C13148" s="104"/>
      <c r="E13148" s="107" t="str">
        <f aca="false">IF($C13148="","",IFERROR(INDEX(المنيو!$C$2:$C$500,MATCH($C13148,المنيو!$B$2:$B$500,0)),0))</f>
        <v/>
      </c>
      <c r="F13148" s="107" t="str">
        <f aca="false">IF($C13148="","",$D13148*$E13148)</f>
        <v/>
      </c>
      <c r="G13148" s="107" t="str">
        <f aca="false">IF($C13148="","",$D13148*IFERROR(INDEX('تحليل التكلفة والسعر'!$C$2:$C$700,MATCH($C13148,'تحليل التكلفة والسعر'!$B$2:$B$700,0)),0))</f>
        <v/>
      </c>
    </row>
    <row r="13149" customFormat="false" ht="15" hidden="false" customHeight="false" outlineLevel="0" collapsed="false">
      <c r="A13149" s="103"/>
      <c r="B13149" s="104"/>
      <c r="C13149" s="104"/>
      <c r="E13149" s="107" t="str">
        <f aca="false">IF($C13149="","",IFERROR(INDEX(المنيو!$C$2:$C$500,MATCH($C13149,المنيو!$B$2:$B$500,0)),0))</f>
        <v/>
      </c>
      <c r="F13149" s="107" t="str">
        <f aca="false">IF($C13149="","",$D13149*$E13149)</f>
        <v/>
      </c>
      <c r="G13149" s="107" t="str">
        <f aca="false">IF($C13149="","",$D13149*IFERROR(INDEX('تحليل التكلفة والسعر'!$C$2:$C$700,MATCH($C13149,'تحليل التكلفة والسعر'!$B$2:$B$700,0)),0))</f>
        <v/>
      </c>
    </row>
    <row r="13150" customFormat="false" ht="15" hidden="false" customHeight="false" outlineLevel="0" collapsed="false">
      <c r="A13150" s="103"/>
      <c r="B13150" s="104"/>
      <c r="C13150" s="104"/>
      <c r="E13150" s="107" t="str">
        <f aca="false">IF($C13150="","",IFERROR(INDEX(المنيو!$C$2:$C$500,MATCH($C13150,المنيو!$B$2:$B$500,0)),0))</f>
        <v/>
      </c>
      <c r="F13150" s="107" t="str">
        <f aca="false">IF($C13150="","",$D13150*$E13150)</f>
        <v/>
      </c>
      <c r="G13150" s="107" t="str">
        <f aca="false">IF($C13150="","",$D13150*IFERROR(INDEX('تحليل التكلفة والسعر'!$C$2:$C$700,MATCH($C13150,'تحليل التكلفة والسعر'!$B$2:$B$700,0)),0))</f>
        <v/>
      </c>
    </row>
    <row r="13151" customFormat="false" ht="15" hidden="false" customHeight="false" outlineLevel="0" collapsed="false">
      <c r="A13151" s="103"/>
      <c r="B13151" s="104"/>
      <c r="C13151" s="104"/>
      <c r="E13151" s="107" t="str">
        <f aca="false">IF($C13151="","",IFERROR(INDEX(المنيو!$C$2:$C$500,MATCH($C13151,المنيو!$B$2:$B$500,0)),0))</f>
        <v/>
      </c>
      <c r="F13151" s="107" t="str">
        <f aca="false">IF($C13151="","",$D13151*$E13151)</f>
        <v/>
      </c>
      <c r="G13151" s="107" t="str">
        <f aca="false">IF($C13151="","",$D13151*IFERROR(INDEX('تحليل التكلفة والسعر'!$C$2:$C$700,MATCH($C13151,'تحليل التكلفة والسعر'!$B$2:$B$700,0)),0))</f>
        <v/>
      </c>
    </row>
    <row r="13152" customFormat="false" ht="15" hidden="false" customHeight="false" outlineLevel="0" collapsed="false">
      <c r="A13152" s="103"/>
      <c r="B13152" s="104"/>
      <c r="C13152" s="104"/>
      <c r="E13152" s="107" t="str">
        <f aca="false">IF($C13152="","",IFERROR(INDEX(المنيو!$C$2:$C$500,MATCH($C13152,المنيو!$B$2:$B$500,0)),0))</f>
        <v/>
      </c>
      <c r="F13152" s="107" t="str">
        <f aca="false">IF($C13152="","",$D13152*$E13152)</f>
        <v/>
      </c>
      <c r="G13152" s="107" t="str">
        <f aca="false">IF($C13152="","",$D13152*IFERROR(INDEX('تحليل التكلفة والسعر'!$C$2:$C$700,MATCH($C13152,'تحليل التكلفة والسعر'!$B$2:$B$700,0)),0))</f>
        <v/>
      </c>
    </row>
    <row r="13153" customFormat="false" ht="15" hidden="false" customHeight="false" outlineLevel="0" collapsed="false">
      <c r="A13153" s="103"/>
      <c r="B13153" s="104"/>
      <c r="C13153" s="104"/>
      <c r="E13153" s="107" t="str">
        <f aca="false">IF($C13153="","",IFERROR(INDEX(المنيو!$C$2:$C$500,MATCH($C13153,المنيو!$B$2:$B$500,0)),0))</f>
        <v/>
      </c>
      <c r="F13153" s="107" t="str">
        <f aca="false">IF($C13153="","",$D13153*$E13153)</f>
        <v/>
      </c>
      <c r="G13153" s="107" t="str">
        <f aca="false">IF($C13153="","",$D13153*IFERROR(INDEX('تحليل التكلفة والسعر'!$C$2:$C$700,MATCH($C13153,'تحليل التكلفة والسعر'!$B$2:$B$700,0)),0))</f>
        <v/>
      </c>
    </row>
    <row r="13154" customFormat="false" ht="15" hidden="false" customHeight="false" outlineLevel="0" collapsed="false">
      <c r="A13154" s="103"/>
      <c r="B13154" s="104"/>
      <c r="C13154" s="104"/>
      <c r="E13154" s="107" t="str">
        <f aca="false">IF($C13154="","",IFERROR(INDEX(المنيو!$C$2:$C$500,MATCH($C13154,المنيو!$B$2:$B$500,0)),0))</f>
        <v/>
      </c>
      <c r="F13154" s="107" t="str">
        <f aca="false">IF($C13154="","",$D13154*$E13154)</f>
        <v/>
      </c>
      <c r="G13154" s="107" t="str">
        <f aca="false">IF($C13154="","",$D13154*IFERROR(INDEX('تحليل التكلفة والسعر'!$C$2:$C$700,MATCH($C13154,'تحليل التكلفة والسعر'!$B$2:$B$700,0)),0))</f>
        <v/>
      </c>
    </row>
    <row r="13155" customFormat="false" ht="15" hidden="false" customHeight="false" outlineLevel="0" collapsed="false">
      <c r="A13155" s="103"/>
      <c r="B13155" s="104"/>
      <c r="C13155" s="104"/>
      <c r="E13155" s="107" t="str">
        <f aca="false">IF($C13155="","",IFERROR(INDEX(المنيو!$C$2:$C$500,MATCH($C13155,المنيو!$B$2:$B$500,0)),0))</f>
        <v/>
      </c>
      <c r="F13155" s="107" t="str">
        <f aca="false">IF($C13155="","",$D13155*$E13155)</f>
        <v/>
      </c>
      <c r="G13155" s="107" t="str">
        <f aca="false">IF($C13155="","",$D13155*IFERROR(INDEX('تحليل التكلفة والسعر'!$C$2:$C$700,MATCH($C13155,'تحليل التكلفة والسعر'!$B$2:$B$700,0)),0))</f>
        <v/>
      </c>
    </row>
    <row r="13156" customFormat="false" ht="15" hidden="false" customHeight="false" outlineLevel="0" collapsed="false">
      <c r="A13156" s="103"/>
      <c r="B13156" s="104"/>
      <c r="C13156" s="104"/>
      <c r="E13156" s="107" t="str">
        <f aca="false">IF($C13156="","",IFERROR(INDEX(المنيو!$C$2:$C$500,MATCH($C13156,المنيو!$B$2:$B$500,0)),0))</f>
        <v/>
      </c>
      <c r="F13156" s="107" t="str">
        <f aca="false">IF($C13156="","",$D13156*$E13156)</f>
        <v/>
      </c>
      <c r="G13156" s="107" t="str">
        <f aca="false">IF($C13156="","",$D13156*IFERROR(INDEX('تحليل التكلفة والسعر'!$C$2:$C$700,MATCH($C13156,'تحليل التكلفة والسعر'!$B$2:$B$700,0)),0))</f>
        <v/>
      </c>
    </row>
    <row r="13157" customFormat="false" ht="15" hidden="false" customHeight="false" outlineLevel="0" collapsed="false">
      <c r="A13157" s="103"/>
      <c r="B13157" s="104"/>
      <c r="C13157" s="104"/>
      <c r="E13157" s="107" t="str">
        <f aca="false">IF($C13157="","",IFERROR(INDEX(المنيو!$C$2:$C$500,MATCH($C13157,المنيو!$B$2:$B$500,0)),0))</f>
        <v/>
      </c>
      <c r="F13157" s="107" t="str">
        <f aca="false">IF($C13157="","",$D13157*$E13157)</f>
        <v/>
      </c>
      <c r="G13157" s="107" t="str">
        <f aca="false">IF($C13157="","",$D13157*IFERROR(INDEX('تحليل التكلفة والسعر'!$C$2:$C$700,MATCH($C13157,'تحليل التكلفة والسعر'!$B$2:$B$700,0)),0))</f>
        <v/>
      </c>
    </row>
    <row r="13158" customFormat="false" ht="15" hidden="false" customHeight="false" outlineLevel="0" collapsed="false">
      <c r="A13158" s="103"/>
      <c r="B13158" s="104"/>
      <c r="C13158" s="104"/>
      <c r="E13158" s="107" t="str">
        <f aca="false">IF($C13158="","",IFERROR(INDEX(المنيو!$C$2:$C$500,MATCH($C13158,المنيو!$B$2:$B$500,0)),0))</f>
        <v/>
      </c>
      <c r="F13158" s="107" t="str">
        <f aca="false">IF($C13158="","",$D13158*$E13158)</f>
        <v/>
      </c>
      <c r="G13158" s="107" t="str">
        <f aca="false">IF($C13158="","",$D13158*IFERROR(INDEX('تحليل التكلفة والسعر'!$C$2:$C$700,MATCH($C13158,'تحليل التكلفة والسعر'!$B$2:$B$700,0)),0))</f>
        <v/>
      </c>
    </row>
    <row r="13159" customFormat="false" ht="15" hidden="false" customHeight="false" outlineLevel="0" collapsed="false">
      <c r="A13159" s="103"/>
      <c r="B13159" s="104"/>
      <c r="C13159" s="104"/>
      <c r="E13159" s="107" t="str">
        <f aca="false">IF($C13159="","",IFERROR(INDEX(المنيو!$C$2:$C$500,MATCH($C13159,المنيو!$B$2:$B$500,0)),0))</f>
        <v/>
      </c>
      <c r="F13159" s="107" t="str">
        <f aca="false">IF($C13159="","",$D13159*$E13159)</f>
        <v/>
      </c>
      <c r="G13159" s="107" t="str">
        <f aca="false">IF($C13159="","",$D13159*IFERROR(INDEX('تحليل التكلفة والسعر'!$C$2:$C$700,MATCH($C13159,'تحليل التكلفة والسعر'!$B$2:$B$700,0)),0))</f>
        <v/>
      </c>
    </row>
    <row r="13160" customFormat="false" ht="15" hidden="false" customHeight="false" outlineLevel="0" collapsed="false">
      <c r="A13160" s="103"/>
      <c r="B13160" s="104"/>
      <c r="C13160" s="104"/>
      <c r="E13160" s="107" t="str">
        <f aca="false">IF($C13160="","",IFERROR(INDEX(المنيو!$C$2:$C$500,MATCH($C13160,المنيو!$B$2:$B$500,0)),0))</f>
        <v/>
      </c>
      <c r="F13160" s="107" t="str">
        <f aca="false">IF($C13160="","",$D13160*$E13160)</f>
        <v/>
      </c>
      <c r="G13160" s="107" t="str">
        <f aca="false">IF($C13160="","",$D13160*IFERROR(INDEX('تحليل التكلفة والسعر'!$C$2:$C$700,MATCH($C13160,'تحليل التكلفة والسعر'!$B$2:$B$700,0)),0))</f>
        <v/>
      </c>
    </row>
    <row r="13161" customFormat="false" ht="15" hidden="false" customHeight="false" outlineLevel="0" collapsed="false">
      <c r="A13161" s="103"/>
      <c r="B13161" s="104"/>
      <c r="C13161" s="104"/>
      <c r="E13161" s="107" t="str">
        <f aca="false">IF($C13161="","",IFERROR(INDEX(المنيو!$C$2:$C$500,MATCH($C13161,المنيو!$B$2:$B$500,0)),0))</f>
        <v/>
      </c>
      <c r="F13161" s="107" t="str">
        <f aca="false">IF($C13161="","",$D13161*$E13161)</f>
        <v/>
      </c>
      <c r="G13161" s="107" t="str">
        <f aca="false">IF($C13161="","",$D13161*IFERROR(INDEX('تحليل التكلفة والسعر'!$C$2:$C$700,MATCH($C13161,'تحليل التكلفة والسعر'!$B$2:$B$700,0)),0))</f>
        <v/>
      </c>
    </row>
    <row r="13162" customFormat="false" ht="15" hidden="false" customHeight="false" outlineLevel="0" collapsed="false">
      <c r="A13162" s="103"/>
      <c r="B13162" s="104"/>
      <c r="C13162" s="104"/>
      <c r="E13162" s="107" t="str">
        <f aca="false">IF($C13162="","",IFERROR(INDEX(المنيو!$C$2:$C$500,MATCH($C13162,المنيو!$B$2:$B$500,0)),0))</f>
        <v/>
      </c>
      <c r="F13162" s="107" t="str">
        <f aca="false">IF($C13162="","",$D13162*$E13162)</f>
        <v/>
      </c>
      <c r="G13162" s="107" t="str">
        <f aca="false">IF($C13162="","",$D13162*IFERROR(INDEX('تحليل التكلفة والسعر'!$C$2:$C$700,MATCH($C13162,'تحليل التكلفة والسعر'!$B$2:$B$700,0)),0))</f>
        <v/>
      </c>
    </row>
    <row r="13163" customFormat="false" ht="15" hidden="false" customHeight="false" outlineLevel="0" collapsed="false">
      <c r="A13163" s="103"/>
      <c r="B13163" s="104"/>
      <c r="C13163" s="104"/>
      <c r="E13163" s="107" t="str">
        <f aca="false">IF($C13163="","",IFERROR(INDEX(المنيو!$C$2:$C$500,MATCH($C13163,المنيو!$B$2:$B$500,0)),0))</f>
        <v/>
      </c>
      <c r="F13163" s="107" t="str">
        <f aca="false">IF($C13163="","",$D13163*$E13163)</f>
        <v/>
      </c>
      <c r="G13163" s="107" t="str">
        <f aca="false">IF($C13163="","",$D13163*IFERROR(INDEX('تحليل التكلفة والسعر'!$C$2:$C$700,MATCH($C13163,'تحليل التكلفة والسعر'!$B$2:$B$700,0)),0))</f>
        <v/>
      </c>
    </row>
    <row r="13164" customFormat="false" ht="15" hidden="false" customHeight="false" outlineLevel="0" collapsed="false">
      <c r="A13164" s="103"/>
      <c r="B13164" s="104"/>
      <c r="C13164" s="104"/>
      <c r="E13164" s="107" t="str">
        <f aca="false">IF($C13164="","",IFERROR(INDEX(المنيو!$C$2:$C$500,MATCH($C13164,المنيو!$B$2:$B$500,0)),0))</f>
        <v/>
      </c>
      <c r="F13164" s="107" t="str">
        <f aca="false">IF($C13164="","",$D13164*$E13164)</f>
        <v/>
      </c>
      <c r="G13164" s="107" t="str">
        <f aca="false">IF($C13164="","",$D13164*IFERROR(INDEX('تحليل التكلفة والسعر'!$C$2:$C$700,MATCH($C13164,'تحليل التكلفة والسعر'!$B$2:$B$700,0)),0))</f>
        <v/>
      </c>
    </row>
    <row r="13165" customFormat="false" ht="15" hidden="false" customHeight="false" outlineLevel="0" collapsed="false">
      <c r="A13165" s="103"/>
      <c r="B13165" s="104"/>
      <c r="C13165" s="104"/>
      <c r="E13165" s="107" t="str">
        <f aca="false">IF($C13165="","",IFERROR(INDEX(المنيو!$C$2:$C$500,MATCH($C13165,المنيو!$B$2:$B$500,0)),0))</f>
        <v/>
      </c>
      <c r="F13165" s="107" t="str">
        <f aca="false">IF($C13165="","",$D13165*$E13165)</f>
        <v/>
      </c>
      <c r="G13165" s="107" t="str">
        <f aca="false">IF($C13165="","",$D13165*IFERROR(INDEX('تحليل التكلفة والسعر'!$C$2:$C$700,MATCH($C13165,'تحليل التكلفة والسعر'!$B$2:$B$700,0)),0))</f>
        <v/>
      </c>
    </row>
    <row r="13166" customFormat="false" ht="15" hidden="false" customHeight="false" outlineLevel="0" collapsed="false">
      <c r="A13166" s="103"/>
      <c r="B13166" s="104"/>
      <c r="C13166" s="104"/>
      <c r="E13166" s="107" t="str">
        <f aca="false">IF($C13166="","",IFERROR(INDEX(المنيو!$C$2:$C$500,MATCH($C13166,المنيو!$B$2:$B$500,0)),0))</f>
        <v/>
      </c>
      <c r="F13166" s="107" t="str">
        <f aca="false">IF($C13166="","",$D13166*$E13166)</f>
        <v/>
      </c>
      <c r="G13166" s="107" t="str">
        <f aca="false">IF($C13166="","",$D13166*IFERROR(INDEX('تحليل التكلفة والسعر'!$C$2:$C$700,MATCH($C13166,'تحليل التكلفة والسعر'!$B$2:$B$700,0)),0))</f>
        <v/>
      </c>
    </row>
    <row r="13167" customFormat="false" ht="15" hidden="false" customHeight="false" outlineLevel="0" collapsed="false">
      <c r="A13167" s="103"/>
      <c r="B13167" s="104"/>
      <c r="C13167" s="104"/>
      <c r="E13167" s="107" t="str">
        <f aca="false">IF($C13167="","",IFERROR(INDEX(المنيو!$C$2:$C$500,MATCH($C13167,المنيو!$B$2:$B$500,0)),0))</f>
        <v/>
      </c>
      <c r="F13167" s="107" t="str">
        <f aca="false">IF($C13167="","",$D13167*$E13167)</f>
        <v/>
      </c>
      <c r="G13167" s="107" t="str">
        <f aca="false">IF($C13167="","",$D13167*IFERROR(INDEX('تحليل التكلفة والسعر'!$C$2:$C$700,MATCH($C13167,'تحليل التكلفة والسعر'!$B$2:$B$700,0)),0))</f>
        <v/>
      </c>
    </row>
    <row r="13168" customFormat="false" ht="15" hidden="false" customHeight="false" outlineLevel="0" collapsed="false">
      <c r="A13168" s="103"/>
      <c r="B13168" s="104"/>
      <c r="C13168" s="104"/>
      <c r="E13168" s="107" t="str">
        <f aca="false">IF($C13168="","",IFERROR(INDEX(المنيو!$C$2:$C$500,MATCH($C13168,المنيو!$B$2:$B$500,0)),0))</f>
        <v/>
      </c>
      <c r="F13168" s="107" t="str">
        <f aca="false">IF($C13168="","",$D13168*$E13168)</f>
        <v/>
      </c>
      <c r="G13168" s="107" t="str">
        <f aca="false">IF($C13168="","",$D13168*IFERROR(INDEX('تحليل التكلفة والسعر'!$C$2:$C$700,MATCH($C13168,'تحليل التكلفة والسعر'!$B$2:$B$700,0)),0))</f>
        <v/>
      </c>
    </row>
    <row r="13169" customFormat="false" ht="15" hidden="false" customHeight="false" outlineLevel="0" collapsed="false">
      <c r="A13169" s="103"/>
      <c r="B13169" s="104"/>
      <c r="C13169" s="104"/>
      <c r="E13169" s="107" t="str">
        <f aca="false">IF($C13169="","",IFERROR(INDEX(المنيو!$C$2:$C$500,MATCH($C13169,المنيو!$B$2:$B$500,0)),0))</f>
        <v/>
      </c>
      <c r="F13169" s="107" t="str">
        <f aca="false">IF($C13169="","",$D13169*$E13169)</f>
        <v/>
      </c>
      <c r="G13169" s="107" t="str">
        <f aca="false">IF($C13169="","",$D13169*IFERROR(INDEX('تحليل التكلفة والسعر'!$C$2:$C$700,MATCH($C13169,'تحليل التكلفة والسعر'!$B$2:$B$700,0)),0))</f>
        <v/>
      </c>
    </row>
    <row r="13170" customFormat="false" ht="15" hidden="false" customHeight="false" outlineLevel="0" collapsed="false">
      <c r="A13170" s="103"/>
      <c r="B13170" s="104"/>
      <c r="C13170" s="104"/>
      <c r="E13170" s="107" t="str">
        <f aca="false">IF($C13170="","",IFERROR(INDEX(المنيو!$C$2:$C$500,MATCH($C13170,المنيو!$B$2:$B$500,0)),0))</f>
        <v/>
      </c>
      <c r="F13170" s="107" t="str">
        <f aca="false">IF($C13170="","",$D13170*$E13170)</f>
        <v/>
      </c>
      <c r="G13170" s="107" t="str">
        <f aca="false">IF($C13170="","",$D13170*IFERROR(INDEX('تحليل التكلفة والسعر'!$C$2:$C$700,MATCH($C13170,'تحليل التكلفة والسعر'!$B$2:$B$700,0)),0))</f>
        <v/>
      </c>
    </row>
    <row r="13171" customFormat="false" ht="15" hidden="false" customHeight="false" outlineLevel="0" collapsed="false">
      <c r="A13171" s="103"/>
      <c r="B13171" s="104"/>
      <c r="C13171" s="104"/>
      <c r="E13171" s="107" t="str">
        <f aca="false">IF($C13171="","",IFERROR(INDEX(المنيو!$C$2:$C$500,MATCH($C13171,المنيو!$B$2:$B$500,0)),0))</f>
        <v/>
      </c>
      <c r="F13171" s="107" t="str">
        <f aca="false">IF($C13171="","",$D13171*$E13171)</f>
        <v/>
      </c>
      <c r="G13171" s="107" t="str">
        <f aca="false">IF($C13171="","",$D13171*IFERROR(INDEX('تحليل التكلفة والسعر'!$C$2:$C$700,MATCH($C13171,'تحليل التكلفة والسعر'!$B$2:$B$700,0)),0))</f>
        <v/>
      </c>
    </row>
    <row r="13172" customFormat="false" ht="15" hidden="false" customHeight="false" outlineLevel="0" collapsed="false">
      <c r="A13172" s="103"/>
      <c r="B13172" s="104"/>
      <c r="C13172" s="104"/>
      <c r="E13172" s="107" t="str">
        <f aca="false">IF($C13172="","",IFERROR(INDEX(المنيو!$C$2:$C$500,MATCH($C13172,المنيو!$B$2:$B$500,0)),0))</f>
        <v/>
      </c>
      <c r="F13172" s="107" t="str">
        <f aca="false">IF($C13172="","",$D13172*$E13172)</f>
        <v/>
      </c>
      <c r="G13172" s="107" t="str">
        <f aca="false">IF($C13172="","",$D13172*IFERROR(INDEX('تحليل التكلفة والسعر'!$C$2:$C$700,MATCH($C13172,'تحليل التكلفة والسعر'!$B$2:$B$700,0)),0))</f>
        <v/>
      </c>
    </row>
    <row r="13173" customFormat="false" ht="15" hidden="false" customHeight="false" outlineLevel="0" collapsed="false">
      <c r="A13173" s="103"/>
      <c r="B13173" s="104"/>
      <c r="C13173" s="104"/>
      <c r="E13173" s="107" t="str">
        <f aca="false">IF($C13173="","",IFERROR(INDEX(المنيو!$C$2:$C$500,MATCH($C13173,المنيو!$B$2:$B$500,0)),0))</f>
        <v/>
      </c>
      <c r="F13173" s="107" t="str">
        <f aca="false">IF($C13173="","",$D13173*$E13173)</f>
        <v/>
      </c>
      <c r="G13173" s="107" t="str">
        <f aca="false">IF($C13173="","",$D13173*IFERROR(INDEX('تحليل التكلفة والسعر'!$C$2:$C$700,MATCH($C13173,'تحليل التكلفة والسعر'!$B$2:$B$700,0)),0))</f>
        <v/>
      </c>
    </row>
    <row r="13174" customFormat="false" ht="15" hidden="false" customHeight="false" outlineLevel="0" collapsed="false">
      <c r="A13174" s="103"/>
      <c r="B13174" s="104"/>
      <c r="C13174" s="104"/>
      <c r="E13174" s="107" t="str">
        <f aca="false">IF($C13174="","",IFERROR(INDEX(المنيو!$C$2:$C$500,MATCH($C13174,المنيو!$B$2:$B$500,0)),0))</f>
        <v/>
      </c>
      <c r="F13174" s="107" t="str">
        <f aca="false">IF($C13174="","",$D13174*$E13174)</f>
        <v/>
      </c>
      <c r="G13174" s="107" t="str">
        <f aca="false">IF($C13174="","",$D13174*IFERROR(INDEX('تحليل التكلفة والسعر'!$C$2:$C$700,MATCH($C13174,'تحليل التكلفة والسعر'!$B$2:$B$700,0)),0))</f>
        <v/>
      </c>
    </row>
    <row r="13175" customFormat="false" ht="15" hidden="false" customHeight="false" outlineLevel="0" collapsed="false">
      <c r="A13175" s="103"/>
      <c r="B13175" s="104"/>
      <c r="C13175" s="104"/>
      <c r="E13175" s="107" t="str">
        <f aca="false">IF($C13175="","",IFERROR(INDEX(المنيو!$C$2:$C$500,MATCH($C13175,المنيو!$B$2:$B$500,0)),0))</f>
        <v/>
      </c>
      <c r="F13175" s="107" t="str">
        <f aca="false">IF($C13175="","",$D13175*$E13175)</f>
        <v/>
      </c>
      <c r="G13175" s="107" t="str">
        <f aca="false">IF($C13175="","",$D13175*IFERROR(INDEX('تحليل التكلفة والسعر'!$C$2:$C$700,MATCH($C13175,'تحليل التكلفة والسعر'!$B$2:$B$700,0)),0))</f>
        <v/>
      </c>
    </row>
    <row r="13176" customFormat="false" ht="15" hidden="false" customHeight="false" outlineLevel="0" collapsed="false">
      <c r="A13176" s="103"/>
      <c r="B13176" s="104"/>
      <c r="C13176" s="104"/>
      <c r="E13176" s="107" t="str">
        <f aca="false">IF($C13176="","",IFERROR(INDEX(المنيو!$C$2:$C$500,MATCH($C13176,المنيو!$B$2:$B$500,0)),0))</f>
        <v/>
      </c>
      <c r="F13176" s="107" t="str">
        <f aca="false">IF($C13176="","",$D13176*$E13176)</f>
        <v/>
      </c>
      <c r="G13176" s="107" t="str">
        <f aca="false">IF($C13176="","",$D13176*IFERROR(INDEX('تحليل التكلفة والسعر'!$C$2:$C$700,MATCH($C13176,'تحليل التكلفة والسعر'!$B$2:$B$700,0)),0))</f>
        <v/>
      </c>
    </row>
    <row r="13177" customFormat="false" ht="15" hidden="false" customHeight="false" outlineLevel="0" collapsed="false">
      <c r="A13177" s="103"/>
      <c r="B13177" s="104"/>
      <c r="C13177" s="104"/>
      <c r="E13177" s="107" t="str">
        <f aca="false">IF($C13177="","",IFERROR(INDEX(المنيو!$C$2:$C$500,MATCH($C13177,المنيو!$B$2:$B$500,0)),0))</f>
        <v/>
      </c>
      <c r="F13177" s="107" t="str">
        <f aca="false">IF($C13177="","",$D13177*$E13177)</f>
        <v/>
      </c>
      <c r="G13177" s="107" t="str">
        <f aca="false">IF($C13177="","",$D13177*IFERROR(INDEX('تحليل التكلفة والسعر'!$C$2:$C$700,MATCH($C13177,'تحليل التكلفة والسعر'!$B$2:$B$700,0)),0))</f>
        <v/>
      </c>
    </row>
    <row r="13178" customFormat="false" ht="15" hidden="false" customHeight="false" outlineLevel="0" collapsed="false">
      <c r="A13178" s="103"/>
      <c r="B13178" s="104"/>
      <c r="C13178" s="104"/>
      <c r="E13178" s="107" t="str">
        <f aca="false">IF($C13178="","",IFERROR(INDEX(المنيو!$C$2:$C$500,MATCH($C13178,المنيو!$B$2:$B$500,0)),0))</f>
        <v/>
      </c>
      <c r="F13178" s="107" t="str">
        <f aca="false">IF($C13178="","",$D13178*$E13178)</f>
        <v/>
      </c>
      <c r="G13178" s="107" t="str">
        <f aca="false">IF($C13178="","",$D13178*IFERROR(INDEX('تحليل التكلفة والسعر'!$C$2:$C$700,MATCH($C13178,'تحليل التكلفة والسعر'!$B$2:$B$700,0)),0))</f>
        <v/>
      </c>
    </row>
    <row r="13179" customFormat="false" ht="15" hidden="false" customHeight="false" outlineLevel="0" collapsed="false">
      <c r="A13179" s="103"/>
      <c r="B13179" s="104"/>
      <c r="C13179" s="104"/>
      <c r="E13179" s="107" t="str">
        <f aca="false">IF($C13179="","",IFERROR(INDEX(المنيو!$C$2:$C$500,MATCH($C13179,المنيو!$B$2:$B$500,0)),0))</f>
        <v/>
      </c>
      <c r="F13179" s="107" t="str">
        <f aca="false">IF($C13179="","",$D13179*$E13179)</f>
        <v/>
      </c>
      <c r="G13179" s="107" t="str">
        <f aca="false">IF($C13179="","",$D13179*IFERROR(INDEX('تحليل التكلفة والسعر'!$C$2:$C$700,MATCH($C13179,'تحليل التكلفة والسعر'!$B$2:$B$700,0)),0))</f>
        <v/>
      </c>
    </row>
    <row r="13180" customFormat="false" ht="15" hidden="false" customHeight="false" outlineLevel="0" collapsed="false">
      <c r="A13180" s="103"/>
      <c r="B13180" s="104"/>
      <c r="C13180" s="104"/>
      <c r="E13180" s="107" t="str">
        <f aca="false">IF($C13180="","",IFERROR(INDEX(المنيو!$C$2:$C$500,MATCH($C13180,المنيو!$B$2:$B$500,0)),0))</f>
        <v/>
      </c>
      <c r="F13180" s="107" t="str">
        <f aca="false">IF($C13180="","",$D13180*$E13180)</f>
        <v/>
      </c>
      <c r="G13180" s="107" t="str">
        <f aca="false">IF($C13180="","",$D13180*IFERROR(INDEX('تحليل التكلفة والسعر'!$C$2:$C$700,MATCH($C13180,'تحليل التكلفة والسعر'!$B$2:$B$700,0)),0))</f>
        <v/>
      </c>
    </row>
    <row r="13181" customFormat="false" ht="15" hidden="false" customHeight="false" outlineLevel="0" collapsed="false">
      <c r="A13181" s="103"/>
      <c r="B13181" s="104"/>
      <c r="C13181" s="104"/>
      <c r="E13181" s="107" t="str">
        <f aca="false">IF($C13181="","",IFERROR(INDEX(المنيو!$C$2:$C$500,MATCH($C13181,المنيو!$B$2:$B$500,0)),0))</f>
        <v/>
      </c>
      <c r="F13181" s="107" t="str">
        <f aca="false">IF($C13181="","",$D13181*$E13181)</f>
        <v/>
      </c>
      <c r="G13181" s="107" t="str">
        <f aca="false">IF($C13181="","",$D13181*IFERROR(INDEX('تحليل التكلفة والسعر'!$C$2:$C$700,MATCH($C13181,'تحليل التكلفة والسعر'!$B$2:$B$700,0)),0))</f>
        <v/>
      </c>
    </row>
    <row r="13182" customFormat="false" ht="15" hidden="false" customHeight="false" outlineLevel="0" collapsed="false">
      <c r="A13182" s="103"/>
      <c r="B13182" s="104"/>
      <c r="C13182" s="104"/>
      <c r="E13182" s="107" t="str">
        <f aca="false">IF($C13182="","",IFERROR(INDEX(المنيو!$C$2:$C$500,MATCH($C13182,المنيو!$B$2:$B$500,0)),0))</f>
        <v/>
      </c>
      <c r="F13182" s="107" t="str">
        <f aca="false">IF($C13182="","",$D13182*$E13182)</f>
        <v/>
      </c>
      <c r="G13182" s="107" t="str">
        <f aca="false">IF($C13182="","",$D13182*IFERROR(INDEX('تحليل التكلفة والسعر'!$C$2:$C$700,MATCH($C13182,'تحليل التكلفة والسعر'!$B$2:$B$700,0)),0))</f>
        <v/>
      </c>
    </row>
    <row r="13183" customFormat="false" ht="15" hidden="false" customHeight="false" outlineLevel="0" collapsed="false">
      <c r="A13183" s="103"/>
      <c r="B13183" s="104"/>
      <c r="C13183" s="104"/>
      <c r="E13183" s="107" t="str">
        <f aca="false">IF($C13183="","",IFERROR(INDEX(المنيو!$C$2:$C$500,MATCH($C13183,المنيو!$B$2:$B$500,0)),0))</f>
        <v/>
      </c>
      <c r="F13183" s="107" t="str">
        <f aca="false">IF($C13183="","",$D13183*$E13183)</f>
        <v/>
      </c>
      <c r="G13183" s="107" t="str">
        <f aca="false">IF($C13183="","",$D13183*IFERROR(INDEX('تحليل التكلفة والسعر'!$C$2:$C$700,MATCH($C13183,'تحليل التكلفة والسعر'!$B$2:$B$700,0)),0))</f>
        <v/>
      </c>
    </row>
    <row r="13184" customFormat="false" ht="15" hidden="false" customHeight="false" outlineLevel="0" collapsed="false">
      <c r="A13184" s="103"/>
      <c r="B13184" s="104"/>
      <c r="C13184" s="104"/>
      <c r="E13184" s="107" t="str">
        <f aca="false">IF($C13184="","",IFERROR(INDEX(المنيو!$C$2:$C$500,MATCH($C13184,المنيو!$B$2:$B$500,0)),0))</f>
        <v/>
      </c>
      <c r="F13184" s="107" t="str">
        <f aca="false">IF($C13184="","",$D13184*$E13184)</f>
        <v/>
      </c>
      <c r="G13184" s="107" t="str">
        <f aca="false">IF($C13184="","",$D13184*IFERROR(INDEX('تحليل التكلفة والسعر'!$C$2:$C$700,MATCH($C13184,'تحليل التكلفة والسعر'!$B$2:$B$700,0)),0))</f>
        <v/>
      </c>
    </row>
    <row r="13185" customFormat="false" ht="15" hidden="false" customHeight="false" outlineLevel="0" collapsed="false">
      <c r="A13185" s="103"/>
      <c r="B13185" s="104"/>
      <c r="C13185" s="104"/>
      <c r="E13185" s="107" t="str">
        <f aca="false">IF($C13185="","",IFERROR(INDEX(المنيو!$C$2:$C$500,MATCH($C13185,المنيو!$B$2:$B$500,0)),0))</f>
        <v/>
      </c>
      <c r="F13185" s="107" t="str">
        <f aca="false">IF($C13185="","",$D13185*$E13185)</f>
        <v/>
      </c>
      <c r="G13185" s="107" t="str">
        <f aca="false">IF($C13185="","",$D13185*IFERROR(INDEX('تحليل التكلفة والسعر'!$C$2:$C$700,MATCH($C13185,'تحليل التكلفة والسعر'!$B$2:$B$700,0)),0))</f>
        <v/>
      </c>
    </row>
    <row r="13186" customFormat="false" ht="15" hidden="false" customHeight="false" outlineLevel="0" collapsed="false">
      <c r="A13186" s="103"/>
      <c r="B13186" s="104"/>
      <c r="C13186" s="104"/>
      <c r="E13186" s="107" t="str">
        <f aca="false">IF($C13186="","",IFERROR(INDEX(المنيو!$C$2:$C$500,MATCH($C13186,المنيو!$B$2:$B$500,0)),0))</f>
        <v/>
      </c>
      <c r="F13186" s="107" t="str">
        <f aca="false">IF($C13186="","",$D13186*$E13186)</f>
        <v/>
      </c>
      <c r="G13186" s="107" t="str">
        <f aca="false">IF($C13186="","",$D13186*IFERROR(INDEX('تحليل التكلفة والسعر'!$C$2:$C$700,MATCH($C13186,'تحليل التكلفة والسعر'!$B$2:$B$700,0)),0))</f>
        <v/>
      </c>
    </row>
    <row r="13187" customFormat="false" ht="15" hidden="false" customHeight="false" outlineLevel="0" collapsed="false">
      <c r="A13187" s="103"/>
      <c r="B13187" s="104"/>
      <c r="C13187" s="104"/>
      <c r="E13187" s="107" t="str">
        <f aca="false">IF($C13187="","",IFERROR(INDEX(المنيو!$C$2:$C$500,MATCH($C13187,المنيو!$B$2:$B$500,0)),0))</f>
        <v/>
      </c>
      <c r="F13187" s="107" t="str">
        <f aca="false">IF($C13187="","",$D13187*$E13187)</f>
        <v/>
      </c>
      <c r="G13187" s="107" t="str">
        <f aca="false">IF($C13187="","",$D13187*IFERROR(INDEX('تحليل التكلفة والسعر'!$C$2:$C$700,MATCH($C13187,'تحليل التكلفة والسعر'!$B$2:$B$700,0)),0))</f>
        <v/>
      </c>
    </row>
    <row r="13188" customFormat="false" ht="15" hidden="false" customHeight="false" outlineLevel="0" collapsed="false">
      <c r="A13188" s="103"/>
      <c r="B13188" s="104"/>
      <c r="C13188" s="104"/>
      <c r="E13188" s="107" t="str">
        <f aca="false">IF($C13188="","",IFERROR(INDEX(المنيو!$C$2:$C$500,MATCH($C13188,المنيو!$B$2:$B$500,0)),0))</f>
        <v/>
      </c>
      <c r="F13188" s="107" t="str">
        <f aca="false">IF($C13188="","",$D13188*$E13188)</f>
        <v/>
      </c>
      <c r="G13188" s="107" t="str">
        <f aca="false">IF($C13188="","",$D13188*IFERROR(INDEX('تحليل التكلفة والسعر'!$C$2:$C$700,MATCH($C13188,'تحليل التكلفة والسعر'!$B$2:$B$700,0)),0))</f>
        <v/>
      </c>
    </row>
    <row r="13189" customFormat="false" ht="15" hidden="false" customHeight="false" outlineLevel="0" collapsed="false">
      <c r="A13189" s="103"/>
      <c r="B13189" s="104"/>
      <c r="C13189" s="104"/>
      <c r="E13189" s="107" t="str">
        <f aca="false">IF($C13189="","",IFERROR(INDEX(المنيو!$C$2:$C$500,MATCH($C13189,المنيو!$B$2:$B$500,0)),0))</f>
        <v/>
      </c>
      <c r="F13189" s="107" t="str">
        <f aca="false">IF($C13189="","",$D13189*$E13189)</f>
        <v/>
      </c>
      <c r="G13189" s="107" t="str">
        <f aca="false">IF($C13189="","",$D13189*IFERROR(INDEX('تحليل التكلفة والسعر'!$C$2:$C$700,MATCH($C13189,'تحليل التكلفة والسعر'!$B$2:$B$700,0)),0))</f>
        <v/>
      </c>
    </row>
    <row r="13190" customFormat="false" ht="15" hidden="false" customHeight="false" outlineLevel="0" collapsed="false">
      <c r="A13190" s="103"/>
      <c r="B13190" s="104"/>
      <c r="C13190" s="104"/>
      <c r="E13190" s="107" t="str">
        <f aca="false">IF($C13190="","",IFERROR(INDEX(المنيو!$C$2:$C$500,MATCH($C13190,المنيو!$B$2:$B$500,0)),0))</f>
        <v/>
      </c>
      <c r="F13190" s="107" t="str">
        <f aca="false">IF($C13190="","",$D13190*$E13190)</f>
        <v/>
      </c>
      <c r="G13190" s="107" t="str">
        <f aca="false">IF($C13190="","",$D13190*IFERROR(INDEX('تحليل التكلفة والسعر'!$C$2:$C$700,MATCH($C13190,'تحليل التكلفة والسعر'!$B$2:$B$700,0)),0))</f>
        <v/>
      </c>
    </row>
    <row r="13191" customFormat="false" ht="15" hidden="false" customHeight="false" outlineLevel="0" collapsed="false">
      <c r="A13191" s="103"/>
      <c r="B13191" s="104"/>
      <c r="C13191" s="104"/>
      <c r="E13191" s="107" t="str">
        <f aca="false">IF($C13191="","",IFERROR(INDEX(المنيو!$C$2:$C$500,MATCH($C13191,المنيو!$B$2:$B$500,0)),0))</f>
        <v/>
      </c>
      <c r="F13191" s="107" t="str">
        <f aca="false">IF($C13191="","",$D13191*$E13191)</f>
        <v/>
      </c>
      <c r="G13191" s="107" t="str">
        <f aca="false">IF($C13191="","",$D13191*IFERROR(INDEX('تحليل التكلفة والسعر'!$C$2:$C$700,MATCH($C13191,'تحليل التكلفة والسعر'!$B$2:$B$700,0)),0))</f>
        <v/>
      </c>
    </row>
    <row r="13192" customFormat="false" ht="15" hidden="false" customHeight="false" outlineLevel="0" collapsed="false">
      <c r="A13192" s="103"/>
      <c r="B13192" s="104"/>
      <c r="C13192" s="104"/>
      <c r="E13192" s="107" t="str">
        <f aca="false">IF($C13192="","",IFERROR(INDEX(المنيو!$C$2:$C$500,MATCH($C13192,المنيو!$B$2:$B$500,0)),0))</f>
        <v/>
      </c>
      <c r="F13192" s="107" t="str">
        <f aca="false">IF($C13192="","",$D13192*$E13192)</f>
        <v/>
      </c>
      <c r="G13192" s="107" t="str">
        <f aca="false">IF($C13192="","",$D13192*IFERROR(INDEX('تحليل التكلفة والسعر'!$C$2:$C$700,MATCH($C13192,'تحليل التكلفة والسعر'!$B$2:$B$700,0)),0))</f>
        <v/>
      </c>
    </row>
    <row r="13193" customFormat="false" ht="15" hidden="false" customHeight="false" outlineLevel="0" collapsed="false">
      <c r="A13193" s="103"/>
      <c r="B13193" s="104"/>
      <c r="C13193" s="104"/>
      <c r="E13193" s="107" t="str">
        <f aca="false">IF($C13193="","",IFERROR(INDEX(المنيو!$C$2:$C$500,MATCH($C13193,المنيو!$B$2:$B$500,0)),0))</f>
        <v/>
      </c>
      <c r="F13193" s="107" t="str">
        <f aca="false">IF($C13193="","",$D13193*$E13193)</f>
        <v/>
      </c>
      <c r="G13193" s="107" t="str">
        <f aca="false">IF($C13193="","",$D13193*IFERROR(INDEX('تحليل التكلفة والسعر'!$C$2:$C$700,MATCH($C13193,'تحليل التكلفة والسعر'!$B$2:$B$700,0)),0))</f>
        <v/>
      </c>
    </row>
    <row r="13194" customFormat="false" ht="15" hidden="false" customHeight="false" outlineLevel="0" collapsed="false">
      <c r="A13194" s="103"/>
      <c r="B13194" s="104"/>
      <c r="C13194" s="104"/>
      <c r="E13194" s="107" t="str">
        <f aca="false">IF($C13194="","",IFERROR(INDEX(المنيو!$C$2:$C$500,MATCH($C13194,المنيو!$B$2:$B$500,0)),0))</f>
        <v/>
      </c>
      <c r="F13194" s="107" t="str">
        <f aca="false">IF($C13194="","",$D13194*$E13194)</f>
        <v/>
      </c>
      <c r="G13194" s="107" t="str">
        <f aca="false">IF($C13194="","",$D13194*IFERROR(INDEX('تحليل التكلفة والسعر'!$C$2:$C$700,MATCH($C13194,'تحليل التكلفة والسعر'!$B$2:$B$700,0)),0))</f>
        <v/>
      </c>
    </row>
    <row r="13195" customFormat="false" ht="15" hidden="false" customHeight="false" outlineLevel="0" collapsed="false">
      <c r="A13195" s="103"/>
      <c r="B13195" s="104"/>
      <c r="C13195" s="104"/>
      <c r="E13195" s="107" t="str">
        <f aca="false">IF($C13195="","",IFERROR(INDEX(المنيو!$C$2:$C$500,MATCH($C13195,المنيو!$B$2:$B$500,0)),0))</f>
        <v/>
      </c>
      <c r="F13195" s="107" t="str">
        <f aca="false">IF($C13195="","",$D13195*$E13195)</f>
        <v/>
      </c>
      <c r="G13195" s="107" t="str">
        <f aca="false">IF($C13195="","",$D13195*IFERROR(INDEX('تحليل التكلفة والسعر'!$C$2:$C$700,MATCH($C13195,'تحليل التكلفة والسعر'!$B$2:$B$700,0)),0))</f>
        <v/>
      </c>
    </row>
    <row r="13196" customFormat="false" ht="15" hidden="false" customHeight="false" outlineLevel="0" collapsed="false">
      <c r="A13196" s="103"/>
      <c r="B13196" s="104"/>
      <c r="C13196" s="104"/>
      <c r="E13196" s="107" t="str">
        <f aca="false">IF($C13196="","",IFERROR(INDEX(المنيو!$C$2:$C$500,MATCH($C13196,المنيو!$B$2:$B$500,0)),0))</f>
        <v/>
      </c>
      <c r="F13196" s="107" t="str">
        <f aca="false">IF($C13196="","",$D13196*$E13196)</f>
        <v/>
      </c>
      <c r="G13196" s="107" t="str">
        <f aca="false">IF($C13196="","",$D13196*IFERROR(INDEX('تحليل التكلفة والسعر'!$C$2:$C$700,MATCH($C13196,'تحليل التكلفة والسعر'!$B$2:$B$700,0)),0))</f>
        <v/>
      </c>
    </row>
    <row r="13197" customFormat="false" ht="15" hidden="false" customHeight="false" outlineLevel="0" collapsed="false">
      <c r="A13197" s="103"/>
      <c r="B13197" s="104"/>
      <c r="C13197" s="104"/>
      <c r="E13197" s="107" t="str">
        <f aca="false">IF($C13197="","",IFERROR(INDEX(المنيو!$C$2:$C$500,MATCH($C13197,المنيو!$B$2:$B$500,0)),0))</f>
        <v/>
      </c>
      <c r="F13197" s="107" t="str">
        <f aca="false">IF($C13197="","",$D13197*$E13197)</f>
        <v/>
      </c>
      <c r="G13197" s="107" t="str">
        <f aca="false">IF($C13197="","",$D13197*IFERROR(INDEX('تحليل التكلفة والسعر'!$C$2:$C$700,MATCH($C13197,'تحليل التكلفة والسعر'!$B$2:$B$700,0)),0))</f>
        <v/>
      </c>
    </row>
    <row r="13198" customFormat="false" ht="15" hidden="false" customHeight="false" outlineLevel="0" collapsed="false">
      <c r="A13198" s="103"/>
      <c r="B13198" s="104"/>
      <c r="C13198" s="104"/>
      <c r="E13198" s="107" t="str">
        <f aca="false">IF($C13198="","",IFERROR(INDEX(المنيو!$C$2:$C$500,MATCH($C13198,المنيو!$B$2:$B$500,0)),0))</f>
        <v/>
      </c>
      <c r="F13198" s="107" t="str">
        <f aca="false">IF($C13198="","",$D13198*$E13198)</f>
        <v/>
      </c>
      <c r="G13198" s="107" t="str">
        <f aca="false">IF($C13198="","",$D13198*IFERROR(INDEX('تحليل التكلفة والسعر'!$C$2:$C$700,MATCH($C13198,'تحليل التكلفة والسعر'!$B$2:$B$700,0)),0))</f>
        <v/>
      </c>
    </row>
    <row r="13199" customFormat="false" ht="15" hidden="false" customHeight="false" outlineLevel="0" collapsed="false">
      <c r="A13199" s="103"/>
      <c r="B13199" s="104"/>
      <c r="C13199" s="104"/>
      <c r="E13199" s="107" t="str">
        <f aca="false">IF($C13199="","",IFERROR(INDEX(المنيو!$C$2:$C$500,MATCH($C13199,المنيو!$B$2:$B$500,0)),0))</f>
        <v/>
      </c>
      <c r="F13199" s="107" t="str">
        <f aca="false">IF($C13199="","",$D13199*$E13199)</f>
        <v/>
      </c>
      <c r="G13199" s="107" t="str">
        <f aca="false">IF($C13199="","",$D13199*IFERROR(INDEX('تحليل التكلفة والسعر'!$C$2:$C$700,MATCH($C13199,'تحليل التكلفة والسعر'!$B$2:$B$700,0)),0))</f>
        <v/>
      </c>
    </row>
    <row r="13200" customFormat="false" ht="15" hidden="false" customHeight="false" outlineLevel="0" collapsed="false">
      <c r="A13200" s="103"/>
      <c r="B13200" s="104"/>
      <c r="C13200" s="104"/>
      <c r="E13200" s="107" t="str">
        <f aca="false">IF($C13200="","",IFERROR(INDEX(المنيو!$C$2:$C$500,MATCH($C13200,المنيو!$B$2:$B$500,0)),0))</f>
        <v/>
      </c>
      <c r="F13200" s="107" t="str">
        <f aca="false">IF($C13200="","",$D13200*$E13200)</f>
        <v/>
      </c>
      <c r="G13200" s="107" t="str">
        <f aca="false">IF($C13200="","",$D13200*IFERROR(INDEX('تحليل التكلفة والسعر'!$C$2:$C$700,MATCH($C13200,'تحليل التكلفة والسعر'!$B$2:$B$700,0)),0))</f>
        <v/>
      </c>
    </row>
    <row r="13201" customFormat="false" ht="15" hidden="false" customHeight="false" outlineLevel="0" collapsed="false">
      <c r="A13201" s="103"/>
      <c r="B13201" s="104"/>
      <c r="C13201" s="104"/>
      <c r="E13201" s="107" t="str">
        <f aca="false">IF($C13201="","",IFERROR(INDEX(المنيو!$C$2:$C$500,MATCH($C13201,المنيو!$B$2:$B$500,0)),0))</f>
        <v/>
      </c>
      <c r="F13201" s="107" t="str">
        <f aca="false">IF($C13201="","",$D13201*$E13201)</f>
        <v/>
      </c>
      <c r="G13201" s="107" t="str">
        <f aca="false">IF($C13201="","",$D13201*IFERROR(INDEX('تحليل التكلفة والسعر'!$C$2:$C$700,MATCH($C13201,'تحليل التكلفة والسعر'!$B$2:$B$700,0)),0))</f>
        <v/>
      </c>
    </row>
    <row r="13202" customFormat="false" ht="15" hidden="false" customHeight="false" outlineLevel="0" collapsed="false">
      <c r="A13202" s="103"/>
      <c r="B13202" s="104"/>
      <c r="C13202" s="104"/>
      <c r="E13202" s="107" t="str">
        <f aca="false">IF($C13202="","",IFERROR(INDEX(المنيو!$C$2:$C$500,MATCH($C13202,المنيو!$B$2:$B$500,0)),0))</f>
        <v/>
      </c>
      <c r="F13202" s="107" t="str">
        <f aca="false">IF($C13202="","",$D13202*$E13202)</f>
        <v/>
      </c>
      <c r="G13202" s="107" t="str">
        <f aca="false">IF($C13202="","",$D13202*IFERROR(INDEX('تحليل التكلفة والسعر'!$C$2:$C$700,MATCH($C13202,'تحليل التكلفة والسعر'!$B$2:$B$700,0)),0))</f>
        <v/>
      </c>
    </row>
    <row r="13203" customFormat="false" ht="15" hidden="false" customHeight="false" outlineLevel="0" collapsed="false">
      <c r="A13203" s="103"/>
      <c r="B13203" s="104"/>
      <c r="C13203" s="104"/>
      <c r="E13203" s="107" t="str">
        <f aca="false">IF($C13203="","",IFERROR(INDEX(المنيو!$C$2:$C$500,MATCH($C13203,المنيو!$B$2:$B$500,0)),0))</f>
        <v/>
      </c>
      <c r="F13203" s="107" t="str">
        <f aca="false">IF($C13203="","",$D13203*$E13203)</f>
        <v/>
      </c>
      <c r="G13203" s="107" t="str">
        <f aca="false">IF($C13203="","",$D13203*IFERROR(INDEX('تحليل التكلفة والسعر'!$C$2:$C$700,MATCH($C13203,'تحليل التكلفة والسعر'!$B$2:$B$700,0)),0))</f>
        <v/>
      </c>
    </row>
    <row r="13204" customFormat="false" ht="15" hidden="false" customHeight="false" outlineLevel="0" collapsed="false">
      <c r="A13204" s="103"/>
      <c r="B13204" s="104"/>
      <c r="C13204" s="104"/>
      <c r="E13204" s="107" t="str">
        <f aca="false">IF($C13204="","",IFERROR(INDEX(المنيو!$C$2:$C$500,MATCH($C13204,المنيو!$B$2:$B$500,0)),0))</f>
        <v/>
      </c>
      <c r="F13204" s="107" t="str">
        <f aca="false">IF($C13204="","",$D13204*$E13204)</f>
        <v/>
      </c>
      <c r="G13204" s="107" t="str">
        <f aca="false">IF($C13204="","",$D13204*IFERROR(INDEX('تحليل التكلفة والسعر'!$C$2:$C$700,MATCH($C13204,'تحليل التكلفة والسعر'!$B$2:$B$700,0)),0))</f>
        <v/>
      </c>
    </row>
    <row r="13205" customFormat="false" ht="15" hidden="false" customHeight="false" outlineLevel="0" collapsed="false">
      <c r="A13205" s="103"/>
      <c r="B13205" s="104"/>
      <c r="C13205" s="104"/>
      <c r="E13205" s="107" t="str">
        <f aca="false">IF($C13205="","",IFERROR(INDEX(المنيو!$C$2:$C$500,MATCH($C13205,المنيو!$B$2:$B$500,0)),0))</f>
        <v/>
      </c>
      <c r="F13205" s="107" t="str">
        <f aca="false">IF($C13205="","",$D13205*$E13205)</f>
        <v/>
      </c>
      <c r="G13205" s="107" t="str">
        <f aca="false">IF($C13205="","",$D13205*IFERROR(INDEX('تحليل التكلفة والسعر'!$C$2:$C$700,MATCH($C13205,'تحليل التكلفة والسعر'!$B$2:$B$700,0)),0))</f>
        <v/>
      </c>
    </row>
    <row r="13206" customFormat="false" ht="15" hidden="false" customHeight="false" outlineLevel="0" collapsed="false">
      <c r="A13206" s="103"/>
      <c r="B13206" s="104"/>
      <c r="C13206" s="104"/>
      <c r="E13206" s="107" t="str">
        <f aca="false">IF($C13206="","",IFERROR(INDEX(المنيو!$C$2:$C$500,MATCH($C13206,المنيو!$B$2:$B$500,0)),0))</f>
        <v/>
      </c>
      <c r="F13206" s="107" t="str">
        <f aca="false">IF($C13206="","",$D13206*$E13206)</f>
        <v/>
      </c>
      <c r="G13206" s="107" t="str">
        <f aca="false">IF($C13206="","",$D13206*IFERROR(INDEX('تحليل التكلفة والسعر'!$C$2:$C$700,MATCH($C13206,'تحليل التكلفة والسعر'!$B$2:$B$700,0)),0))</f>
        <v/>
      </c>
    </row>
    <row r="13207" customFormat="false" ht="15" hidden="false" customHeight="false" outlineLevel="0" collapsed="false">
      <c r="A13207" s="103"/>
      <c r="B13207" s="104"/>
      <c r="C13207" s="104"/>
      <c r="E13207" s="107" t="str">
        <f aca="false">IF($C13207="","",IFERROR(INDEX(المنيو!$C$2:$C$500,MATCH($C13207,المنيو!$B$2:$B$500,0)),0))</f>
        <v/>
      </c>
      <c r="F13207" s="107" t="str">
        <f aca="false">IF($C13207="","",$D13207*$E13207)</f>
        <v/>
      </c>
      <c r="G13207" s="107" t="str">
        <f aca="false">IF($C13207="","",$D13207*IFERROR(INDEX('تحليل التكلفة والسعر'!$C$2:$C$700,MATCH($C13207,'تحليل التكلفة والسعر'!$B$2:$B$700,0)),0))</f>
        <v/>
      </c>
    </row>
    <row r="13208" customFormat="false" ht="15" hidden="false" customHeight="false" outlineLevel="0" collapsed="false">
      <c r="A13208" s="103"/>
      <c r="B13208" s="104"/>
      <c r="C13208" s="104"/>
      <c r="E13208" s="107" t="str">
        <f aca="false">IF($C13208="","",IFERROR(INDEX(المنيو!$C$2:$C$500,MATCH($C13208,المنيو!$B$2:$B$500,0)),0))</f>
        <v/>
      </c>
      <c r="F13208" s="107" t="str">
        <f aca="false">IF($C13208="","",$D13208*$E13208)</f>
        <v/>
      </c>
      <c r="G13208" s="107" t="str">
        <f aca="false">IF($C13208="","",$D13208*IFERROR(INDEX('تحليل التكلفة والسعر'!$C$2:$C$700,MATCH($C13208,'تحليل التكلفة والسعر'!$B$2:$B$700,0)),0))</f>
        <v/>
      </c>
    </row>
    <row r="13209" customFormat="false" ht="15" hidden="false" customHeight="false" outlineLevel="0" collapsed="false">
      <c r="A13209" s="103"/>
      <c r="B13209" s="104"/>
      <c r="C13209" s="104"/>
      <c r="E13209" s="107" t="str">
        <f aca="false">IF($C13209="","",IFERROR(INDEX(المنيو!$C$2:$C$500,MATCH($C13209,المنيو!$B$2:$B$500,0)),0))</f>
        <v/>
      </c>
      <c r="F13209" s="107" t="str">
        <f aca="false">IF($C13209="","",$D13209*$E13209)</f>
        <v/>
      </c>
      <c r="G13209" s="107" t="str">
        <f aca="false">IF($C13209="","",$D13209*IFERROR(INDEX('تحليل التكلفة والسعر'!$C$2:$C$700,MATCH($C13209,'تحليل التكلفة والسعر'!$B$2:$B$700,0)),0))</f>
        <v/>
      </c>
    </row>
    <row r="13210" customFormat="false" ht="15" hidden="false" customHeight="false" outlineLevel="0" collapsed="false">
      <c r="A13210" s="103"/>
      <c r="B13210" s="104"/>
      <c r="C13210" s="104"/>
      <c r="E13210" s="107" t="str">
        <f aca="false">IF($C13210="","",IFERROR(INDEX(المنيو!$C$2:$C$500,MATCH($C13210,المنيو!$B$2:$B$500,0)),0))</f>
        <v/>
      </c>
      <c r="F13210" s="107" t="str">
        <f aca="false">IF($C13210="","",$D13210*$E13210)</f>
        <v/>
      </c>
      <c r="G13210" s="107" t="str">
        <f aca="false">IF($C13210="","",$D13210*IFERROR(INDEX('تحليل التكلفة والسعر'!$C$2:$C$700,MATCH($C13210,'تحليل التكلفة والسعر'!$B$2:$B$700,0)),0))</f>
        <v/>
      </c>
    </row>
    <row r="13211" customFormat="false" ht="15" hidden="false" customHeight="false" outlineLevel="0" collapsed="false">
      <c r="A13211" s="103"/>
      <c r="B13211" s="104"/>
      <c r="C13211" s="104"/>
      <c r="E13211" s="107" t="str">
        <f aca="false">IF($C13211="","",IFERROR(INDEX(المنيو!$C$2:$C$500,MATCH($C13211,المنيو!$B$2:$B$500,0)),0))</f>
        <v/>
      </c>
      <c r="F13211" s="107" t="str">
        <f aca="false">IF($C13211="","",$D13211*$E13211)</f>
        <v/>
      </c>
      <c r="G13211" s="107" t="str">
        <f aca="false">IF($C13211="","",$D13211*IFERROR(INDEX('تحليل التكلفة والسعر'!$C$2:$C$700,MATCH($C13211,'تحليل التكلفة والسعر'!$B$2:$B$700,0)),0))</f>
        <v/>
      </c>
    </row>
    <row r="13212" customFormat="false" ht="15" hidden="false" customHeight="false" outlineLevel="0" collapsed="false">
      <c r="A13212" s="103"/>
      <c r="B13212" s="104"/>
      <c r="C13212" s="104"/>
      <c r="E13212" s="107" t="str">
        <f aca="false">IF($C13212="","",IFERROR(INDEX(المنيو!$C$2:$C$500,MATCH($C13212,المنيو!$B$2:$B$500,0)),0))</f>
        <v/>
      </c>
      <c r="F13212" s="107" t="str">
        <f aca="false">IF($C13212="","",$D13212*$E13212)</f>
        <v/>
      </c>
      <c r="G13212" s="107" t="str">
        <f aca="false">IF($C13212="","",$D13212*IFERROR(INDEX('تحليل التكلفة والسعر'!$C$2:$C$700,MATCH($C13212,'تحليل التكلفة والسعر'!$B$2:$B$700,0)),0))</f>
        <v/>
      </c>
    </row>
    <row r="13213" customFormat="false" ht="15" hidden="false" customHeight="false" outlineLevel="0" collapsed="false">
      <c r="A13213" s="103"/>
      <c r="B13213" s="104"/>
      <c r="C13213" s="104"/>
      <c r="E13213" s="107" t="str">
        <f aca="false">IF($C13213="","",IFERROR(INDEX(المنيو!$C$2:$C$500,MATCH($C13213,المنيو!$B$2:$B$500,0)),0))</f>
        <v/>
      </c>
      <c r="F13213" s="107" t="str">
        <f aca="false">IF($C13213="","",$D13213*$E13213)</f>
        <v/>
      </c>
      <c r="G13213" s="107" t="str">
        <f aca="false">IF($C13213="","",$D13213*IFERROR(INDEX('تحليل التكلفة والسعر'!$C$2:$C$700,MATCH($C13213,'تحليل التكلفة والسعر'!$B$2:$B$700,0)),0))</f>
        <v/>
      </c>
    </row>
    <row r="13214" customFormat="false" ht="15" hidden="false" customHeight="false" outlineLevel="0" collapsed="false">
      <c r="A13214" s="103"/>
      <c r="B13214" s="104"/>
      <c r="C13214" s="104"/>
      <c r="E13214" s="107" t="str">
        <f aca="false">IF($C13214="","",IFERROR(INDEX(المنيو!$C$2:$C$500,MATCH($C13214,المنيو!$B$2:$B$500,0)),0))</f>
        <v/>
      </c>
      <c r="F13214" s="107" t="str">
        <f aca="false">IF($C13214="","",$D13214*$E13214)</f>
        <v/>
      </c>
      <c r="G13214" s="107" t="str">
        <f aca="false">IF($C13214="","",$D13214*IFERROR(INDEX('تحليل التكلفة والسعر'!$C$2:$C$700,MATCH($C13214,'تحليل التكلفة والسعر'!$B$2:$B$700,0)),0))</f>
        <v/>
      </c>
    </row>
    <row r="13215" customFormat="false" ht="15" hidden="false" customHeight="false" outlineLevel="0" collapsed="false">
      <c r="A13215" s="103"/>
      <c r="B13215" s="104"/>
      <c r="C13215" s="104"/>
      <c r="E13215" s="107" t="str">
        <f aca="false">IF($C13215="","",IFERROR(INDEX(المنيو!$C$2:$C$500,MATCH($C13215,المنيو!$B$2:$B$500,0)),0))</f>
        <v/>
      </c>
      <c r="F13215" s="107" t="str">
        <f aca="false">IF($C13215="","",$D13215*$E13215)</f>
        <v/>
      </c>
      <c r="G13215" s="107" t="str">
        <f aca="false">IF($C13215="","",$D13215*IFERROR(INDEX('تحليل التكلفة والسعر'!$C$2:$C$700,MATCH($C13215,'تحليل التكلفة والسعر'!$B$2:$B$700,0)),0))</f>
        <v/>
      </c>
    </row>
    <row r="13216" customFormat="false" ht="15" hidden="false" customHeight="false" outlineLevel="0" collapsed="false">
      <c r="A13216" s="103"/>
      <c r="B13216" s="104"/>
      <c r="C13216" s="104"/>
      <c r="E13216" s="107" t="str">
        <f aca="false">IF($C13216="","",IFERROR(INDEX(المنيو!$C$2:$C$500,MATCH($C13216,المنيو!$B$2:$B$500,0)),0))</f>
        <v/>
      </c>
      <c r="F13216" s="107" t="str">
        <f aca="false">IF($C13216="","",$D13216*$E13216)</f>
        <v/>
      </c>
      <c r="G13216" s="107" t="str">
        <f aca="false">IF($C13216="","",$D13216*IFERROR(INDEX('تحليل التكلفة والسعر'!$C$2:$C$700,MATCH($C13216,'تحليل التكلفة والسعر'!$B$2:$B$700,0)),0))</f>
        <v/>
      </c>
    </row>
    <row r="13217" customFormat="false" ht="15" hidden="false" customHeight="false" outlineLevel="0" collapsed="false">
      <c r="A13217" s="103"/>
      <c r="B13217" s="104"/>
      <c r="C13217" s="104"/>
      <c r="E13217" s="107" t="str">
        <f aca="false">IF($C13217="","",IFERROR(INDEX(المنيو!$C$2:$C$500,MATCH($C13217,المنيو!$B$2:$B$500,0)),0))</f>
        <v/>
      </c>
      <c r="F13217" s="107" t="str">
        <f aca="false">IF($C13217="","",$D13217*$E13217)</f>
        <v/>
      </c>
      <c r="G13217" s="107" t="str">
        <f aca="false">IF($C13217="","",$D13217*IFERROR(INDEX('تحليل التكلفة والسعر'!$C$2:$C$700,MATCH($C13217,'تحليل التكلفة والسعر'!$B$2:$B$700,0)),0))</f>
        <v/>
      </c>
    </row>
    <row r="13218" customFormat="false" ht="15" hidden="false" customHeight="false" outlineLevel="0" collapsed="false">
      <c r="A13218" s="103"/>
      <c r="B13218" s="104"/>
      <c r="C13218" s="104"/>
      <c r="E13218" s="107" t="str">
        <f aca="false">IF($C13218="","",IFERROR(INDEX(المنيو!$C$2:$C$500,MATCH($C13218,المنيو!$B$2:$B$500,0)),0))</f>
        <v/>
      </c>
      <c r="F13218" s="107" t="str">
        <f aca="false">IF($C13218="","",$D13218*$E13218)</f>
        <v/>
      </c>
      <c r="G13218" s="107" t="str">
        <f aca="false">IF($C13218="","",$D13218*IFERROR(INDEX('تحليل التكلفة والسعر'!$C$2:$C$700,MATCH($C13218,'تحليل التكلفة والسعر'!$B$2:$B$700,0)),0))</f>
        <v/>
      </c>
    </row>
    <row r="13219" customFormat="false" ht="15" hidden="false" customHeight="false" outlineLevel="0" collapsed="false">
      <c r="A13219" s="103"/>
      <c r="B13219" s="104"/>
      <c r="C13219" s="104"/>
      <c r="E13219" s="107" t="str">
        <f aca="false">IF($C13219="","",IFERROR(INDEX(المنيو!$C$2:$C$500,MATCH($C13219,المنيو!$B$2:$B$500,0)),0))</f>
        <v/>
      </c>
      <c r="F13219" s="107" t="str">
        <f aca="false">IF($C13219="","",$D13219*$E13219)</f>
        <v/>
      </c>
      <c r="G13219" s="107" t="str">
        <f aca="false">IF($C13219="","",$D13219*IFERROR(INDEX('تحليل التكلفة والسعر'!$C$2:$C$700,MATCH($C13219,'تحليل التكلفة والسعر'!$B$2:$B$700,0)),0))</f>
        <v/>
      </c>
    </row>
    <row r="13220" customFormat="false" ht="15" hidden="false" customHeight="false" outlineLevel="0" collapsed="false">
      <c r="A13220" s="103"/>
      <c r="B13220" s="104"/>
      <c r="C13220" s="104"/>
      <c r="E13220" s="107" t="str">
        <f aca="false">IF($C13220="","",IFERROR(INDEX(المنيو!$C$2:$C$500,MATCH($C13220,المنيو!$B$2:$B$500,0)),0))</f>
        <v/>
      </c>
      <c r="F13220" s="107" t="str">
        <f aca="false">IF($C13220="","",$D13220*$E13220)</f>
        <v/>
      </c>
      <c r="G13220" s="107" t="str">
        <f aca="false">IF($C13220="","",$D13220*IFERROR(INDEX('تحليل التكلفة والسعر'!$C$2:$C$700,MATCH($C13220,'تحليل التكلفة والسعر'!$B$2:$B$700,0)),0))</f>
        <v/>
      </c>
    </row>
    <row r="13221" customFormat="false" ht="15" hidden="false" customHeight="false" outlineLevel="0" collapsed="false">
      <c r="A13221" s="103"/>
      <c r="B13221" s="104"/>
      <c r="C13221" s="104"/>
      <c r="E13221" s="107" t="str">
        <f aca="false">IF($C13221="","",IFERROR(INDEX(المنيو!$C$2:$C$500,MATCH($C13221,المنيو!$B$2:$B$500,0)),0))</f>
        <v/>
      </c>
      <c r="F13221" s="107" t="str">
        <f aca="false">IF($C13221="","",$D13221*$E13221)</f>
        <v/>
      </c>
      <c r="G13221" s="107" t="str">
        <f aca="false">IF($C13221="","",$D13221*IFERROR(INDEX('تحليل التكلفة والسعر'!$C$2:$C$700,MATCH($C13221,'تحليل التكلفة والسعر'!$B$2:$B$700,0)),0))</f>
        <v/>
      </c>
    </row>
    <row r="13222" customFormat="false" ht="15" hidden="false" customHeight="false" outlineLevel="0" collapsed="false">
      <c r="A13222" s="103"/>
      <c r="B13222" s="104"/>
      <c r="C13222" s="104"/>
      <c r="E13222" s="107" t="str">
        <f aca="false">IF($C13222="","",IFERROR(INDEX(المنيو!$C$2:$C$500,MATCH($C13222,المنيو!$B$2:$B$500,0)),0))</f>
        <v/>
      </c>
      <c r="F13222" s="107" t="str">
        <f aca="false">IF($C13222="","",$D13222*$E13222)</f>
        <v/>
      </c>
      <c r="G13222" s="107" t="str">
        <f aca="false">IF($C13222="","",$D13222*IFERROR(INDEX('تحليل التكلفة والسعر'!$C$2:$C$700,MATCH($C13222,'تحليل التكلفة والسعر'!$B$2:$B$700,0)),0))</f>
        <v/>
      </c>
    </row>
    <row r="13223" customFormat="false" ht="15" hidden="false" customHeight="false" outlineLevel="0" collapsed="false">
      <c r="A13223" s="103"/>
      <c r="B13223" s="104"/>
      <c r="C13223" s="104"/>
      <c r="E13223" s="107" t="str">
        <f aca="false">IF($C13223="","",IFERROR(INDEX(المنيو!$C$2:$C$500,MATCH($C13223,المنيو!$B$2:$B$500,0)),0))</f>
        <v/>
      </c>
      <c r="F13223" s="107" t="str">
        <f aca="false">IF($C13223="","",$D13223*$E13223)</f>
        <v/>
      </c>
      <c r="G13223" s="107" t="str">
        <f aca="false">IF($C13223="","",$D13223*IFERROR(INDEX('تحليل التكلفة والسعر'!$C$2:$C$700,MATCH($C13223,'تحليل التكلفة والسعر'!$B$2:$B$700,0)),0))</f>
        <v/>
      </c>
    </row>
    <row r="13224" customFormat="false" ht="15" hidden="false" customHeight="false" outlineLevel="0" collapsed="false">
      <c r="A13224" s="103"/>
      <c r="B13224" s="104"/>
      <c r="C13224" s="104"/>
      <c r="E13224" s="107" t="str">
        <f aca="false">IF($C13224="","",IFERROR(INDEX(المنيو!$C$2:$C$500,MATCH($C13224,المنيو!$B$2:$B$500,0)),0))</f>
        <v/>
      </c>
      <c r="F13224" s="107" t="str">
        <f aca="false">IF($C13224="","",$D13224*$E13224)</f>
        <v/>
      </c>
      <c r="G13224" s="107" t="str">
        <f aca="false">IF($C13224="","",$D13224*IFERROR(INDEX('تحليل التكلفة والسعر'!$C$2:$C$700,MATCH($C13224,'تحليل التكلفة والسعر'!$B$2:$B$700,0)),0))</f>
        <v/>
      </c>
    </row>
    <row r="13225" customFormat="false" ht="15" hidden="false" customHeight="false" outlineLevel="0" collapsed="false">
      <c r="A13225" s="103"/>
      <c r="B13225" s="104"/>
      <c r="C13225" s="104"/>
      <c r="E13225" s="107" t="str">
        <f aca="false">IF($C13225="","",IFERROR(INDEX(المنيو!$C$2:$C$500,MATCH($C13225,المنيو!$B$2:$B$500,0)),0))</f>
        <v/>
      </c>
      <c r="F13225" s="107" t="str">
        <f aca="false">IF($C13225="","",$D13225*$E13225)</f>
        <v/>
      </c>
      <c r="G13225" s="107" t="str">
        <f aca="false">IF($C13225="","",$D13225*IFERROR(INDEX('تحليل التكلفة والسعر'!$C$2:$C$700,MATCH($C13225,'تحليل التكلفة والسعر'!$B$2:$B$700,0)),0))</f>
        <v/>
      </c>
    </row>
    <row r="13226" customFormat="false" ht="15" hidden="false" customHeight="false" outlineLevel="0" collapsed="false">
      <c r="A13226" s="103"/>
      <c r="B13226" s="104"/>
      <c r="C13226" s="104"/>
      <c r="E13226" s="107" t="str">
        <f aca="false">IF($C13226="","",IFERROR(INDEX(المنيو!$C$2:$C$500,MATCH($C13226,المنيو!$B$2:$B$500,0)),0))</f>
        <v/>
      </c>
      <c r="F13226" s="107" t="str">
        <f aca="false">IF($C13226="","",$D13226*$E13226)</f>
        <v/>
      </c>
      <c r="G13226" s="107" t="str">
        <f aca="false">IF($C13226="","",$D13226*IFERROR(INDEX('تحليل التكلفة والسعر'!$C$2:$C$700,MATCH($C13226,'تحليل التكلفة والسعر'!$B$2:$B$700,0)),0))</f>
        <v/>
      </c>
    </row>
    <row r="13227" customFormat="false" ht="15" hidden="false" customHeight="false" outlineLevel="0" collapsed="false">
      <c r="A13227" s="103"/>
      <c r="B13227" s="104"/>
      <c r="C13227" s="104"/>
      <c r="E13227" s="107" t="str">
        <f aca="false">IF($C13227="","",IFERROR(INDEX(المنيو!$C$2:$C$500,MATCH($C13227,المنيو!$B$2:$B$500,0)),0))</f>
        <v/>
      </c>
      <c r="F13227" s="107" t="str">
        <f aca="false">IF($C13227="","",$D13227*$E13227)</f>
        <v/>
      </c>
      <c r="G13227" s="107" t="str">
        <f aca="false">IF($C13227="","",$D13227*IFERROR(INDEX('تحليل التكلفة والسعر'!$C$2:$C$700,MATCH($C13227,'تحليل التكلفة والسعر'!$B$2:$B$700,0)),0))</f>
        <v/>
      </c>
    </row>
    <row r="13228" customFormat="false" ht="15" hidden="false" customHeight="false" outlineLevel="0" collapsed="false">
      <c r="A13228" s="103"/>
      <c r="B13228" s="104"/>
      <c r="C13228" s="104"/>
      <c r="E13228" s="107" t="str">
        <f aca="false">IF($C13228="","",IFERROR(INDEX(المنيو!$C$2:$C$500,MATCH($C13228,المنيو!$B$2:$B$500,0)),0))</f>
        <v/>
      </c>
      <c r="F13228" s="107" t="str">
        <f aca="false">IF($C13228="","",$D13228*$E13228)</f>
        <v/>
      </c>
      <c r="G13228" s="107" t="str">
        <f aca="false">IF($C13228="","",$D13228*IFERROR(INDEX('تحليل التكلفة والسعر'!$C$2:$C$700,MATCH($C13228,'تحليل التكلفة والسعر'!$B$2:$B$700,0)),0))</f>
        <v/>
      </c>
    </row>
    <row r="13229" customFormat="false" ht="15" hidden="false" customHeight="false" outlineLevel="0" collapsed="false">
      <c r="A13229" s="103"/>
      <c r="B13229" s="104"/>
      <c r="C13229" s="104"/>
      <c r="E13229" s="107" t="str">
        <f aca="false">IF($C13229="","",IFERROR(INDEX(المنيو!$C$2:$C$500,MATCH($C13229,المنيو!$B$2:$B$500,0)),0))</f>
        <v/>
      </c>
      <c r="F13229" s="107" t="str">
        <f aca="false">IF($C13229="","",$D13229*$E13229)</f>
        <v/>
      </c>
      <c r="G13229" s="107" t="str">
        <f aca="false">IF($C13229="","",$D13229*IFERROR(INDEX('تحليل التكلفة والسعر'!$C$2:$C$700,MATCH($C13229,'تحليل التكلفة والسعر'!$B$2:$B$700,0)),0))</f>
        <v/>
      </c>
    </row>
    <row r="13230" customFormat="false" ht="15" hidden="false" customHeight="false" outlineLevel="0" collapsed="false">
      <c r="A13230" s="103"/>
      <c r="B13230" s="104"/>
      <c r="C13230" s="104"/>
      <c r="E13230" s="107" t="str">
        <f aca="false">IF($C13230="","",IFERROR(INDEX(المنيو!$C$2:$C$500,MATCH($C13230,المنيو!$B$2:$B$500,0)),0))</f>
        <v/>
      </c>
      <c r="F13230" s="107" t="str">
        <f aca="false">IF($C13230="","",$D13230*$E13230)</f>
        <v/>
      </c>
      <c r="G13230" s="107" t="str">
        <f aca="false">IF($C13230="","",$D13230*IFERROR(INDEX('تحليل التكلفة والسعر'!$C$2:$C$700,MATCH($C13230,'تحليل التكلفة والسعر'!$B$2:$B$700,0)),0))</f>
        <v/>
      </c>
    </row>
    <row r="13231" customFormat="false" ht="15" hidden="false" customHeight="false" outlineLevel="0" collapsed="false">
      <c r="A13231" s="103"/>
      <c r="B13231" s="104"/>
      <c r="C13231" s="104"/>
      <c r="E13231" s="107" t="str">
        <f aca="false">IF($C13231="","",IFERROR(INDEX(المنيو!$C$2:$C$500,MATCH($C13231,المنيو!$B$2:$B$500,0)),0))</f>
        <v/>
      </c>
      <c r="F13231" s="107" t="str">
        <f aca="false">IF($C13231="","",$D13231*$E13231)</f>
        <v/>
      </c>
      <c r="G13231" s="107" t="str">
        <f aca="false">IF($C13231="","",$D13231*IFERROR(INDEX('تحليل التكلفة والسعر'!$C$2:$C$700,MATCH($C13231,'تحليل التكلفة والسعر'!$B$2:$B$700,0)),0))</f>
        <v/>
      </c>
    </row>
    <row r="13232" customFormat="false" ht="15" hidden="false" customHeight="false" outlineLevel="0" collapsed="false">
      <c r="A13232" s="103"/>
      <c r="B13232" s="104"/>
      <c r="C13232" s="104"/>
      <c r="E13232" s="107" t="str">
        <f aca="false">IF($C13232="","",IFERROR(INDEX(المنيو!$C$2:$C$500,MATCH($C13232,المنيو!$B$2:$B$500,0)),0))</f>
        <v/>
      </c>
      <c r="F13232" s="107" t="str">
        <f aca="false">IF($C13232="","",$D13232*$E13232)</f>
        <v/>
      </c>
      <c r="G13232" s="107" t="str">
        <f aca="false">IF($C13232="","",$D13232*IFERROR(INDEX('تحليل التكلفة والسعر'!$C$2:$C$700,MATCH($C13232,'تحليل التكلفة والسعر'!$B$2:$B$700,0)),0))</f>
        <v/>
      </c>
    </row>
    <row r="13233" customFormat="false" ht="15" hidden="false" customHeight="false" outlineLevel="0" collapsed="false">
      <c r="A13233" s="103"/>
      <c r="B13233" s="104"/>
      <c r="C13233" s="104"/>
      <c r="E13233" s="107" t="str">
        <f aca="false">IF($C13233="","",IFERROR(INDEX(المنيو!$C$2:$C$500,MATCH($C13233,المنيو!$B$2:$B$500,0)),0))</f>
        <v/>
      </c>
      <c r="F13233" s="107" t="str">
        <f aca="false">IF($C13233="","",$D13233*$E13233)</f>
        <v/>
      </c>
      <c r="G13233" s="107" t="str">
        <f aca="false">IF($C13233="","",$D13233*IFERROR(INDEX('تحليل التكلفة والسعر'!$C$2:$C$700,MATCH($C13233,'تحليل التكلفة والسعر'!$B$2:$B$700,0)),0))</f>
        <v/>
      </c>
    </row>
    <row r="13234" customFormat="false" ht="15" hidden="false" customHeight="false" outlineLevel="0" collapsed="false">
      <c r="A13234" s="103"/>
      <c r="B13234" s="104"/>
      <c r="C13234" s="104"/>
      <c r="E13234" s="107" t="str">
        <f aca="false">IF($C13234="","",IFERROR(INDEX(المنيو!$C$2:$C$500,MATCH($C13234,المنيو!$B$2:$B$500,0)),0))</f>
        <v/>
      </c>
      <c r="F13234" s="107" t="str">
        <f aca="false">IF($C13234="","",$D13234*$E13234)</f>
        <v/>
      </c>
      <c r="G13234" s="107" t="str">
        <f aca="false">IF($C13234="","",$D13234*IFERROR(INDEX('تحليل التكلفة والسعر'!$C$2:$C$700,MATCH($C13234,'تحليل التكلفة والسعر'!$B$2:$B$700,0)),0))</f>
        <v/>
      </c>
    </row>
    <row r="13235" customFormat="false" ht="15" hidden="false" customHeight="false" outlineLevel="0" collapsed="false">
      <c r="A13235" s="103"/>
      <c r="B13235" s="104"/>
      <c r="C13235" s="104"/>
      <c r="E13235" s="107" t="str">
        <f aca="false">IF($C13235="","",IFERROR(INDEX(المنيو!$C$2:$C$500,MATCH($C13235,المنيو!$B$2:$B$500,0)),0))</f>
        <v/>
      </c>
      <c r="F13235" s="107" t="str">
        <f aca="false">IF($C13235="","",$D13235*$E13235)</f>
        <v/>
      </c>
      <c r="G13235" s="107" t="str">
        <f aca="false">IF($C13235="","",$D13235*IFERROR(INDEX('تحليل التكلفة والسعر'!$C$2:$C$700,MATCH($C13235,'تحليل التكلفة والسعر'!$B$2:$B$700,0)),0))</f>
        <v/>
      </c>
    </row>
    <row r="13236" customFormat="false" ht="15" hidden="false" customHeight="false" outlineLevel="0" collapsed="false">
      <c r="A13236" s="103"/>
      <c r="B13236" s="104"/>
      <c r="C13236" s="104"/>
      <c r="E13236" s="107" t="str">
        <f aca="false">IF($C13236="","",IFERROR(INDEX(المنيو!$C$2:$C$500,MATCH($C13236,المنيو!$B$2:$B$500,0)),0))</f>
        <v/>
      </c>
      <c r="F13236" s="107" t="str">
        <f aca="false">IF($C13236="","",$D13236*$E13236)</f>
        <v/>
      </c>
      <c r="G13236" s="107" t="str">
        <f aca="false">IF($C13236="","",$D13236*IFERROR(INDEX('تحليل التكلفة والسعر'!$C$2:$C$700,MATCH($C13236,'تحليل التكلفة والسعر'!$B$2:$B$700,0)),0))</f>
        <v/>
      </c>
    </row>
    <row r="13237" customFormat="false" ht="15" hidden="false" customHeight="false" outlineLevel="0" collapsed="false">
      <c r="A13237" s="103"/>
      <c r="B13237" s="104"/>
      <c r="C13237" s="104"/>
      <c r="E13237" s="107" t="str">
        <f aca="false">IF($C13237="","",IFERROR(INDEX(المنيو!$C$2:$C$500,MATCH($C13237,المنيو!$B$2:$B$500,0)),0))</f>
        <v/>
      </c>
      <c r="F13237" s="107" t="str">
        <f aca="false">IF($C13237="","",$D13237*$E13237)</f>
        <v/>
      </c>
      <c r="G13237" s="107" t="str">
        <f aca="false">IF($C13237="","",$D13237*IFERROR(INDEX('تحليل التكلفة والسعر'!$C$2:$C$700,MATCH($C13237,'تحليل التكلفة والسعر'!$B$2:$B$700,0)),0))</f>
        <v/>
      </c>
    </row>
    <row r="13238" customFormat="false" ht="15" hidden="false" customHeight="false" outlineLevel="0" collapsed="false">
      <c r="A13238" s="103"/>
      <c r="B13238" s="104"/>
      <c r="C13238" s="104"/>
      <c r="E13238" s="107" t="str">
        <f aca="false">IF($C13238="","",IFERROR(INDEX(المنيو!$C$2:$C$500,MATCH($C13238,المنيو!$B$2:$B$500,0)),0))</f>
        <v/>
      </c>
      <c r="F13238" s="107" t="str">
        <f aca="false">IF($C13238="","",$D13238*$E13238)</f>
        <v/>
      </c>
      <c r="G13238" s="107" t="str">
        <f aca="false">IF($C13238="","",$D13238*IFERROR(INDEX('تحليل التكلفة والسعر'!$C$2:$C$700,MATCH($C13238,'تحليل التكلفة والسعر'!$B$2:$B$700,0)),0))</f>
        <v/>
      </c>
    </row>
    <row r="13239" customFormat="false" ht="15" hidden="false" customHeight="false" outlineLevel="0" collapsed="false">
      <c r="A13239" s="103"/>
      <c r="B13239" s="104"/>
      <c r="C13239" s="104"/>
      <c r="E13239" s="107" t="str">
        <f aca="false">IF($C13239="","",IFERROR(INDEX(المنيو!$C$2:$C$500,MATCH($C13239,المنيو!$B$2:$B$500,0)),0))</f>
        <v/>
      </c>
      <c r="F13239" s="107" t="str">
        <f aca="false">IF($C13239="","",$D13239*$E13239)</f>
        <v/>
      </c>
      <c r="G13239" s="107" t="str">
        <f aca="false">IF($C13239="","",$D13239*IFERROR(INDEX('تحليل التكلفة والسعر'!$C$2:$C$700,MATCH($C13239,'تحليل التكلفة والسعر'!$B$2:$B$700,0)),0))</f>
        <v/>
      </c>
    </row>
    <row r="13240" customFormat="false" ht="15" hidden="false" customHeight="false" outlineLevel="0" collapsed="false">
      <c r="A13240" s="103"/>
      <c r="B13240" s="104"/>
      <c r="C13240" s="104"/>
      <c r="E13240" s="107" t="str">
        <f aca="false">IF($C13240="","",IFERROR(INDEX(المنيو!$C$2:$C$500,MATCH($C13240,المنيو!$B$2:$B$500,0)),0))</f>
        <v/>
      </c>
      <c r="F13240" s="107" t="str">
        <f aca="false">IF($C13240="","",$D13240*$E13240)</f>
        <v/>
      </c>
      <c r="G13240" s="107" t="str">
        <f aca="false">IF($C13240="","",$D13240*IFERROR(INDEX('تحليل التكلفة والسعر'!$C$2:$C$700,MATCH($C13240,'تحليل التكلفة والسعر'!$B$2:$B$700,0)),0))</f>
        <v/>
      </c>
    </row>
    <row r="13241" customFormat="false" ht="15" hidden="false" customHeight="false" outlineLevel="0" collapsed="false">
      <c r="A13241" s="103"/>
      <c r="B13241" s="104"/>
      <c r="C13241" s="104"/>
      <c r="E13241" s="107" t="str">
        <f aca="false">IF($C13241="","",IFERROR(INDEX(المنيو!$C$2:$C$500,MATCH($C13241,المنيو!$B$2:$B$500,0)),0))</f>
        <v/>
      </c>
      <c r="F13241" s="107" t="str">
        <f aca="false">IF($C13241="","",$D13241*$E13241)</f>
        <v/>
      </c>
      <c r="G13241" s="107" t="str">
        <f aca="false">IF($C13241="","",$D13241*IFERROR(INDEX('تحليل التكلفة والسعر'!$C$2:$C$700,MATCH($C13241,'تحليل التكلفة والسعر'!$B$2:$B$700,0)),0))</f>
        <v/>
      </c>
    </row>
    <row r="13242" customFormat="false" ht="15" hidden="false" customHeight="false" outlineLevel="0" collapsed="false">
      <c r="A13242" s="103"/>
      <c r="B13242" s="104"/>
      <c r="C13242" s="104"/>
      <c r="E13242" s="107" t="str">
        <f aca="false">IF($C13242="","",IFERROR(INDEX(المنيو!$C$2:$C$500,MATCH($C13242,المنيو!$B$2:$B$500,0)),0))</f>
        <v/>
      </c>
      <c r="F13242" s="107" t="str">
        <f aca="false">IF($C13242="","",$D13242*$E13242)</f>
        <v/>
      </c>
      <c r="G13242" s="107" t="str">
        <f aca="false">IF($C13242="","",$D13242*IFERROR(INDEX('تحليل التكلفة والسعر'!$C$2:$C$700,MATCH($C13242,'تحليل التكلفة والسعر'!$B$2:$B$700,0)),0))</f>
        <v/>
      </c>
    </row>
    <row r="13243" customFormat="false" ht="15" hidden="false" customHeight="false" outlineLevel="0" collapsed="false">
      <c r="A13243" s="103"/>
      <c r="B13243" s="104"/>
      <c r="C13243" s="104"/>
      <c r="E13243" s="107" t="str">
        <f aca="false">IF($C13243="","",IFERROR(INDEX(المنيو!$C$2:$C$500,MATCH($C13243,المنيو!$B$2:$B$500,0)),0))</f>
        <v/>
      </c>
      <c r="F13243" s="107" t="str">
        <f aca="false">IF($C13243="","",$D13243*$E13243)</f>
        <v/>
      </c>
      <c r="G13243" s="107" t="str">
        <f aca="false">IF($C13243="","",$D13243*IFERROR(INDEX('تحليل التكلفة والسعر'!$C$2:$C$700,MATCH($C13243,'تحليل التكلفة والسعر'!$B$2:$B$700,0)),0))</f>
        <v/>
      </c>
    </row>
    <row r="13244" customFormat="false" ht="15" hidden="false" customHeight="false" outlineLevel="0" collapsed="false">
      <c r="A13244" s="103"/>
      <c r="B13244" s="104"/>
      <c r="C13244" s="104"/>
      <c r="E13244" s="107" t="str">
        <f aca="false">IF($C13244="","",IFERROR(INDEX(المنيو!$C$2:$C$500,MATCH($C13244,المنيو!$B$2:$B$500,0)),0))</f>
        <v/>
      </c>
      <c r="F13244" s="107" t="str">
        <f aca="false">IF($C13244="","",$D13244*$E13244)</f>
        <v/>
      </c>
      <c r="G13244" s="107" t="str">
        <f aca="false">IF($C13244="","",$D13244*IFERROR(INDEX('تحليل التكلفة والسعر'!$C$2:$C$700,MATCH($C13244,'تحليل التكلفة والسعر'!$B$2:$B$700,0)),0))</f>
        <v/>
      </c>
    </row>
    <row r="13245" customFormat="false" ht="15" hidden="false" customHeight="false" outlineLevel="0" collapsed="false">
      <c r="A13245" s="103"/>
      <c r="B13245" s="104"/>
      <c r="C13245" s="104"/>
      <c r="E13245" s="107" t="str">
        <f aca="false">IF($C13245="","",IFERROR(INDEX(المنيو!$C$2:$C$500,MATCH($C13245,المنيو!$B$2:$B$500,0)),0))</f>
        <v/>
      </c>
      <c r="F13245" s="107" t="str">
        <f aca="false">IF($C13245="","",$D13245*$E13245)</f>
        <v/>
      </c>
      <c r="G13245" s="107" t="str">
        <f aca="false">IF($C13245="","",$D13245*IFERROR(INDEX('تحليل التكلفة والسعر'!$C$2:$C$700,MATCH($C13245,'تحليل التكلفة والسعر'!$B$2:$B$700,0)),0))</f>
        <v/>
      </c>
    </row>
    <row r="13246" customFormat="false" ht="15" hidden="false" customHeight="false" outlineLevel="0" collapsed="false">
      <c r="A13246" s="103"/>
      <c r="B13246" s="104"/>
      <c r="C13246" s="104"/>
      <c r="E13246" s="107" t="str">
        <f aca="false">IF($C13246="","",IFERROR(INDEX(المنيو!$C$2:$C$500,MATCH($C13246,المنيو!$B$2:$B$500,0)),0))</f>
        <v/>
      </c>
      <c r="F13246" s="107" t="str">
        <f aca="false">IF($C13246="","",$D13246*$E13246)</f>
        <v/>
      </c>
      <c r="G13246" s="107" t="str">
        <f aca="false">IF($C13246="","",$D13246*IFERROR(INDEX('تحليل التكلفة والسعر'!$C$2:$C$700,MATCH($C13246,'تحليل التكلفة والسعر'!$B$2:$B$700,0)),0))</f>
        <v/>
      </c>
    </row>
    <row r="13247" customFormat="false" ht="15" hidden="false" customHeight="false" outlineLevel="0" collapsed="false">
      <c r="A13247" s="103"/>
      <c r="B13247" s="104"/>
      <c r="C13247" s="104"/>
      <c r="E13247" s="107" t="str">
        <f aca="false">IF($C13247="","",IFERROR(INDEX(المنيو!$C$2:$C$500,MATCH($C13247,المنيو!$B$2:$B$500,0)),0))</f>
        <v/>
      </c>
      <c r="F13247" s="107" t="str">
        <f aca="false">IF($C13247="","",$D13247*$E13247)</f>
        <v/>
      </c>
      <c r="G13247" s="107" t="str">
        <f aca="false">IF($C13247="","",$D13247*IFERROR(INDEX('تحليل التكلفة والسعر'!$C$2:$C$700,MATCH($C13247,'تحليل التكلفة والسعر'!$B$2:$B$700,0)),0))</f>
        <v/>
      </c>
    </row>
    <row r="13248" customFormat="false" ht="15" hidden="false" customHeight="false" outlineLevel="0" collapsed="false">
      <c r="A13248" s="103"/>
      <c r="B13248" s="104"/>
      <c r="C13248" s="104"/>
      <c r="E13248" s="107" t="str">
        <f aca="false">IF($C13248="","",IFERROR(INDEX(المنيو!$C$2:$C$500,MATCH($C13248,المنيو!$B$2:$B$500,0)),0))</f>
        <v/>
      </c>
      <c r="F13248" s="107" t="str">
        <f aca="false">IF($C13248="","",$D13248*$E13248)</f>
        <v/>
      </c>
      <c r="G13248" s="107" t="str">
        <f aca="false">IF($C13248="","",$D13248*IFERROR(INDEX('تحليل التكلفة والسعر'!$C$2:$C$700,MATCH($C13248,'تحليل التكلفة والسعر'!$B$2:$B$700,0)),0))</f>
        <v/>
      </c>
    </row>
    <row r="13249" customFormat="false" ht="15" hidden="false" customHeight="false" outlineLevel="0" collapsed="false">
      <c r="A13249" s="103"/>
      <c r="B13249" s="104"/>
      <c r="C13249" s="104"/>
      <c r="E13249" s="107" t="str">
        <f aca="false">IF($C13249="","",IFERROR(INDEX(المنيو!$C$2:$C$500,MATCH($C13249,المنيو!$B$2:$B$500,0)),0))</f>
        <v/>
      </c>
      <c r="F13249" s="107" t="str">
        <f aca="false">IF($C13249="","",$D13249*$E13249)</f>
        <v/>
      </c>
      <c r="G13249" s="107" t="str">
        <f aca="false">IF($C13249="","",$D13249*IFERROR(INDEX('تحليل التكلفة والسعر'!$C$2:$C$700,MATCH($C13249,'تحليل التكلفة والسعر'!$B$2:$B$700,0)),0))</f>
        <v/>
      </c>
    </row>
    <row r="13250" customFormat="false" ht="15" hidden="false" customHeight="false" outlineLevel="0" collapsed="false">
      <c r="A13250" s="103"/>
      <c r="B13250" s="104"/>
      <c r="C13250" s="104"/>
      <c r="E13250" s="107" t="str">
        <f aca="false">IF($C13250="","",IFERROR(INDEX(المنيو!$C$2:$C$500,MATCH($C13250,المنيو!$B$2:$B$500,0)),0))</f>
        <v/>
      </c>
      <c r="F13250" s="107" t="str">
        <f aca="false">IF($C13250="","",$D13250*$E13250)</f>
        <v/>
      </c>
      <c r="G13250" s="107" t="str">
        <f aca="false">IF($C13250="","",$D13250*IFERROR(INDEX('تحليل التكلفة والسعر'!$C$2:$C$700,MATCH($C13250,'تحليل التكلفة والسعر'!$B$2:$B$700,0)),0))</f>
        <v/>
      </c>
    </row>
    <row r="13251" customFormat="false" ht="15" hidden="false" customHeight="false" outlineLevel="0" collapsed="false">
      <c r="A13251" s="103"/>
      <c r="B13251" s="104"/>
      <c r="C13251" s="104"/>
      <c r="E13251" s="107" t="str">
        <f aca="false">IF($C13251="","",IFERROR(INDEX(المنيو!$C$2:$C$500,MATCH($C13251,المنيو!$B$2:$B$500,0)),0))</f>
        <v/>
      </c>
      <c r="F13251" s="107" t="str">
        <f aca="false">IF($C13251="","",$D13251*$E13251)</f>
        <v/>
      </c>
      <c r="G13251" s="107" t="str">
        <f aca="false">IF($C13251="","",$D13251*IFERROR(INDEX('تحليل التكلفة والسعر'!$C$2:$C$700,MATCH($C13251,'تحليل التكلفة والسعر'!$B$2:$B$700,0)),0))</f>
        <v/>
      </c>
    </row>
    <row r="13252" customFormat="false" ht="15" hidden="false" customHeight="false" outlineLevel="0" collapsed="false">
      <c r="A13252" s="103"/>
      <c r="B13252" s="104"/>
      <c r="C13252" s="104"/>
      <c r="E13252" s="107" t="str">
        <f aca="false">IF($C13252="","",IFERROR(INDEX(المنيو!$C$2:$C$500,MATCH($C13252,المنيو!$B$2:$B$500,0)),0))</f>
        <v/>
      </c>
      <c r="F13252" s="107" t="str">
        <f aca="false">IF($C13252="","",$D13252*$E13252)</f>
        <v/>
      </c>
      <c r="G13252" s="107" t="str">
        <f aca="false">IF($C13252="","",$D13252*IFERROR(INDEX('تحليل التكلفة والسعر'!$C$2:$C$700,MATCH($C13252,'تحليل التكلفة والسعر'!$B$2:$B$700,0)),0))</f>
        <v/>
      </c>
    </row>
    <row r="13253" customFormat="false" ht="15" hidden="false" customHeight="false" outlineLevel="0" collapsed="false">
      <c r="A13253" s="103"/>
      <c r="B13253" s="104"/>
      <c r="C13253" s="104"/>
      <c r="E13253" s="107" t="str">
        <f aca="false">IF($C13253="","",IFERROR(INDEX(المنيو!$C$2:$C$500,MATCH($C13253,المنيو!$B$2:$B$500,0)),0))</f>
        <v/>
      </c>
      <c r="F13253" s="107" t="str">
        <f aca="false">IF($C13253="","",$D13253*$E13253)</f>
        <v/>
      </c>
      <c r="G13253" s="107" t="str">
        <f aca="false">IF($C13253="","",$D13253*IFERROR(INDEX('تحليل التكلفة والسعر'!$C$2:$C$700,MATCH($C13253,'تحليل التكلفة والسعر'!$B$2:$B$700,0)),0))</f>
        <v/>
      </c>
    </row>
    <row r="13254" customFormat="false" ht="15" hidden="false" customHeight="false" outlineLevel="0" collapsed="false">
      <c r="A13254" s="103"/>
      <c r="B13254" s="104"/>
      <c r="C13254" s="104"/>
      <c r="E13254" s="107" t="str">
        <f aca="false">IF($C13254="","",IFERROR(INDEX(المنيو!$C$2:$C$500,MATCH($C13254,المنيو!$B$2:$B$500,0)),0))</f>
        <v/>
      </c>
      <c r="F13254" s="107" t="str">
        <f aca="false">IF($C13254="","",$D13254*$E13254)</f>
        <v/>
      </c>
      <c r="G13254" s="107" t="str">
        <f aca="false">IF($C13254="","",$D13254*IFERROR(INDEX('تحليل التكلفة والسعر'!$C$2:$C$700,MATCH($C13254,'تحليل التكلفة والسعر'!$B$2:$B$700,0)),0))</f>
        <v/>
      </c>
    </row>
    <row r="13255" customFormat="false" ht="15" hidden="false" customHeight="false" outlineLevel="0" collapsed="false">
      <c r="A13255" s="103"/>
      <c r="B13255" s="104"/>
      <c r="C13255" s="104"/>
      <c r="E13255" s="107" t="str">
        <f aca="false">IF($C13255="","",IFERROR(INDEX(المنيو!$C$2:$C$500,MATCH($C13255,المنيو!$B$2:$B$500,0)),0))</f>
        <v/>
      </c>
      <c r="F13255" s="107" t="str">
        <f aca="false">IF($C13255="","",$D13255*$E13255)</f>
        <v/>
      </c>
      <c r="G13255" s="107" t="str">
        <f aca="false">IF($C13255="","",$D13255*IFERROR(INDEX('تحليل التكلفة والسعر'!$C$2:$C$700,MATCH($C13255,'تحليل التكلفة والسعر'!$B$2:$B$700,0)),0))</f>
        <v/>
      </c>
    </row>
    <row r="13256" customFormat="false" ht="15" hidden="false" customHeight="false" outlineLevel="0" collapsed="false">
      <c r="A13256" s="103"/>
      <c r="B13256" s="104"/>
      <c r="C13256" s="104"/>
      <c r="E13256" s="107" t="str">
        <f aca="false">IF($C13256="","",IFERROR(INDEX(المنيو!$C$2:$C$500,MATCH($C13256,المنيو!$B$2:$B$500,0)),0))</f>
        <v/>
      </c>
      <c r="F13256" s="107" t="str">
        <f aca="false">IF($C13256="","",$D13256*$E13256)</f>
        <v/>
      </c>
      <c r="G13256" s="107" t="str">
        <f aca="false">IF($C13256="","",$D13256*IFERROR(INDEX('تحليل التكلفة والسعر'!$C$2:$C$700,MATCH($C13256,'تحليل التكلفة والسعر'!$B$2:$B$700,0)),0))</f>
        <v/>
      </c>
    </row>
    <row r="13257" customFormat="false" ht="15" hidden="false" customHeight="false" outlineLevel="0" collapsed="false">
      <c r="A13257" s="103"/>
      <c r="B13257" s="104"/>
      <c r="C13257" s="104"/>
      <c r="E13257" s="107" t="str">
        <f aca="false">IF($C13257="","",IFERROR(INDEX(المنيو!$C$2:$C$500,MATCH($C13257,المنيو!$B$2:$B$500,0)),0))</f>
        <v/>
      </c>
      <c r="F13257" s="107" t="str">
        <f aca="false">IF($C13257="","",$D13257*$E13257)</f>
        <v/>
      </c>
      <c r="G13257" s="107" t="str">
        <f aca="false">IF($C13257="","",$D13257*IFERROR(INDEX('تحليل التكلفة والسعر'!$C$2:$C$700,MATCH($C13257,'تحليل التكلفة والسعر'!$B$2:$B$700,0)),0))</f>
        <v/>
      </c>
    </row>
    <row r="13258" customFormat="false" ht="15" hidden="false" customHeight="false" outlineLevel="0" collapsed="false">
      <c r="A13258" s="103"/>
      <c r="B13258" s="104"/>
      <c r="C13258" s="104"/>
      <c r="E13258" s="107" t="str">
        <f aca="false">IF($C13258="","",IFERROR(INDEX(المنيو!$C$2:$C$500,MATCH($C13258,المنيو!$B$2:$B$500,0)),0))</f>
        <v/>
      </c>
      <c r="F13258" s="107" t="str">
        <f aca="false">IF($C13258="","",$D13258*$E13258)</f>
        <v/>
      </c>
      <c r="G13258" s="107" t="str">
        <f aca="false">IF($C13258="","",$D13258*IFERROR(INDEX('تحليل التكلفة والسعر'!$C$2:$C$700,MATCH($C13258,'تحليل التكلفة والسعر'!$B$2:$B$700,0)),0))</f>
        <v/>
      </c>
    </row>
    <row r="13259" customFormat="false" ht="15" hidden="false" customHeight="false" outlineLevel="0" collapsed="false">
      <c r="A13259" s="103"/>
      <c r="B13259" s="104"/>
      <c r="C13259" s="104"/>
      <c r="E13259" s="107" t="str">
        <f aca="false">IF($C13259="","",IFERROR(INDEX(المنيو!$C$2:$C$500,MATCH($C13259,المنيو!$B$2:$B$500,0)),0))</f>
        <v/>
      </c>
      <c r="F13259" s="107" t="str">
        <f aca="false">IF($C13259="","",$D13259*$E13259)</f>
        <v/>
      </c>
      <c r="G13259" s="107" t="str">
        <f aca="false">IF($C13259="","",$D13259*IFERROR(INDEX('تحليل التكلفة والسعر'!$C$2:$C$700,MATCH($C13259,'تحليل التكلفة والسعر'!$B$2:$B$700,0)),0))</f>
        <v/>
      </c>
    </row>
    <row r="13260" customFormat="false" ht="15" hidden="false" customHeight="false" outlineLevel="0" collapsed="false">
      <c r="A13260" s="103"/>
      <c r="B13260" s="104"/>
      <c r="C13260" s="104"/>
      <c r="E13260" s="107" t="str">
        <f aca="false">IF($C13260="","",IFERROR(INDEX(المنيو!$C$2:$C$500,MATCH($C13260,المنيو!$B$2:$B$500,0)),0))</f>
        <v/>
      </c>
      <c r="F13260" s="107" t="str">
        <f aca="false">IF($C13260="","",$D13260*$E13260)</f>
        <v/>
      </c>
      <c r="G13260" s="107" t="str">
        <f aca="false">IF($C13260="","",$D13260*IFERROR(INDEX('تحليل التكلفة والسعر'!$C$2:$C$700,MATCH($C13260,'تحليل التكلفة والسعر'!$B$2:$B$700,0)),0))</f>
        <v/>
      </c>
    </row>
    <row r="13261" customFormat="false" ht="15" hidden="false" customHeight="false" outlineLevel="0" collapsed="false">
      <c r="A13261" s="103"/>
      <c r="B13261" s="104"/>
      <c r="C13261" s="104"/>
      <c r="E13261" s="107" t="str">
        <f aca="false">IF($C13261="","",IFERROR(INDEX(المنيو!$C$2:$C$500,MATCH($C13261,المنيو!$B$2:$B$500,0)),0))</f>
        <v/>
      </c>
      <c r="F13261" s="107" t="str">
        <f aca="false">IF($C13261="","",$D13261*$E13261)</f>
        <v/>
      </c>
      <c r="G13261" s="107" t="str">
        <f aca="false">IF($C13261="","",$D13261*IFERROR(INDEX('تحليل التكلفة والسعر'!$C$2:$C$700,MATCH($C13261,'تحليل التكلفة والسعر'!$B$2:$B$700,0)),0))</f>
        <v/>
      </c>
    </row>
    <row r="13262" customFormat="false" ht="15" hidden="false" customHeight="false" outlineLevel="0" collapsed="false">
      <c r="A13262" s="103"/>
      <c r="B13262" s="104"/>
      <c r="C13262" s="104"/>
      <c r="E13262" s="107" t="str">
        <f aca="false">IF($C13262="","",IFERROR(INDEX(المنيو!$C$2:$C$500,MATCH($C13262,المنيو!$B$2:$B$500,0)),0))</f>
        <v/>
      </c>
      <c r="F13262" s="107" t="str">
        <f aca="false">IF($C13262="","",$D13262*$E13262)</f>
        <v/>
      </c>
      <c r="G13262" s="107" t="str">
        <f aca="false">IF($C13262="","",$D13262*IFERROR(INDEX('تحليل التكلفة والسعر'!$C$2:$C$700,MATCH($C13262,'تحليل التكلفة والسعر'!$B$2:$B$700,0)),0))</f>
        <v/>
      </c>
    </row>
    <row r="13263" customFormat="false" ht="15" hidden="false" customHeight="false" outlineLevel="0" collapsed="false">
      <c r="A13263" s="103"/>
      <c r="B13263" s="104"/>
      <c r="C13263" s="104"/>
      <c r="E13263" s="107" t="str">
        <f aca="false">IF($C13263="","",IFERROR(INDEX(المنيو!$C$2:$C$500,MATCH($C13263,المنيو!$B$2:$B$500,0)),0))</f>
        <v/>
      </c>
      <c r="F13263" s="107" t="str">
        <f aca="false">IF($C13263="","",$D13263*$E13263)</f>
        <v/>
      </c>
      <c r="G13263" s="107" t="str">
        <f aca="false">IF($C13263="","",$D13263*IFERROR(INDEX('تحليل التكلفة والسعر'!$C$2:$C$700,MATCH($C13263,'تحليل التكلفة والسعر'!$B$2:$B$700,0)),0))</f>
        <v/>
      </c>
    </row>
    <row r="13264" customFormat="false" ht="15" hidden="false" customHeight="false" outlineLevel="0" collapsed="false">
      <c r="A13264" s="103"/>
      <c r="B13264" s="104"/>
      <c r="C13264" s="104"/>
      <c r="E13264" s="107" t="str">
        <f aca="false">IF($C13264="","",IFERROR(INDEX(المنيو!$C$2:$C$500,MATCH($C13264,المنيو!$B$2:$B$500,0)),0))</f>
        <v/>
      </c>
      <c r="F13264" s="107" t="str">
        <f aca="false">IF($C13264="","",$D13264*$E13264)</f>
        <v/>
      </c>
      <c r="G13264" s="107" t="str">
        <f aca="false">IF($C13264="","",$D13264*IFERROR(INDEX('تحليل التكلفة والسعر'!$C$2:$C$700,MATCH($C13264,'تحليل التكلفة والسعر'!$B$2:$B$700,0)),0))</f>
        <v/>
      </c>
    </row>
    <row r="13265" customFormat="false" ht="15" hidden="false" customHeight="false" outlineLevel="0" collapsed="false">
      <c r="A13265" s="103"/>
      <c r="B13265" s="104"/>
      <c r="C13265" s="104"/>
      <c r="E13265" s="107" t="str">
        <f aca="false">IF($C13265="","",IFERROR(INDEX(المنيو!$C$2:$C$500,MATCH($C13265,المنيو!$B$2:$B$500,0)),0))</f>
        <v/>
      </c>
      <c r="F13265" s="107" t="str">
        <f aca="false">IF($C13265="","",$D13265*$E13265)</f>
        <v/>
      </c>
      <c r="G13265" s="107" t="str">
        <f aca="false">IF($C13265="","",$D13265*IFERROR(INDEX('تحليل التكلفة والسعر'!$C$2:$C$700,MATCH($C13265,'تحليل التكلفة والسعر'!$B$2:$B$700,0)),0))</f>
        <v/>
      </c>
    </row>
    <row r="13266" customFormat="false" ht="15" hidden="false" customHeight="false" outlineLevel="0" collapsed="false">
      <c r="A13266" s="103"/>
      <c r="B13266" s="104"/>
      <c r="C13266" s="104"/>
      <c r="E13266" s="107" t="str">
        <f aca="false">IF($C13266="","",IFERROR(INDEX(المنيو!$C$2:$C$500,MATCH($C13266,المنيو!$B$2:$B$500,0)),0))</f>
        <v/>
      </c>
      <c r="F13266" s="107" t="str">
        <f aca="false">IF($C13266="","",$D13266*$E13266)</f>
        <v/>
      </c>
      <c r="G13266" s="107" t="str">
        <f aca="false">IF($C13266="","",$D13266*IFERROR(INDEX('تحليل التكلفة والسعر'!$C$2:$C$700,MATCH($C13266,'تحليل التكلفة والسعر'!$B$2:$B$700,0)),0))</f>
        <v/>
      </c>
    </row>
    <row r="13267" customFormat="false" ht="15" hidden="false" customHeight="false" outlineLevel="0" collapsed="false">
      <c r="A13267" s="103"/>
      <c r="B13267" s="104"/>
      <c r="C13267" s="104"/>
      <c r="E13267" s="107" t="str">
        <f aca="false">IF($C13267="","",IFERROR(INDEX(المنيو!$C$2:$C$500,MATCH($C13267,المنيو!$B$2:$B$500,0)),0))</f>
        <v/>
      </c>
      <c r="F13267" s="107" t="str">
        <f aca="false">IF($C13267="","",$D13267*$E13267)</f>
        <v/>
      </c>
      <c r="G13267" s="107" t="str">
        <f aca="false">IF($C13267="","",$D13267*IFERROR(INDEX('تحليل التكلفة والسعر'!$C$2:$C$700,MATCH($C13267,'تحليل التكلفة والسعر'!$B$2:$B$700,0)),0))</f>
        <v/>
      </c>
    </row>
    <row r="13268" customFormat="false" ht="15" hidden="false" customHeight="false" outlineLevel="0" collapsed="false">
      <c r="A13268" s="103"/>
      <c r="B13268" s="104"/>
      <c r="C13268" s="104"/>
      <c r="E13268" s="107" t="str">
        <f aca="false">IF($C13268="","",IFERROR(INDEX(المنيو!$C$2:$C$500,MATCH($C13268,المنيو!$B$2:$B$500,0)),0))</f>
        <v/>
      </c>
      <c r="F13268" s="107" t="str">
        <f aca="false">IF($C13268="","",$D13268*$E13268)</f>
        <v/>
      </c>
      <c r="G13268" s="107" t="str">
        <f aca="false">IF($C13268="","",$D13268*IFERROR(INDEX('تحليل التكلفة والسعر'!$C$2:$C$700,MATCH($C13268,'تحليل التكلفة والسعر'!$B$2:$B$700,0)),0))</f>
        <v/>
      </c>
    </row>
    <row r="13269" customFormat="false" ht="15" hidden="false" customHeight="false" outlineLevel="0" collapsed="false">
      <c r="A13269" s="103"/>
      <c r="B13269" s="104"/>
      <c r="C13269" s="104"/>
      <c r="E13269" s="107" t="str">
        <f aca="false">IF($C13269="","",IFERROR(INDEX(المنيو!$C$2:$C$500,MATCH($C13269,المنيو!$B$2:$B$500,0)),0))</f>
        <v/>
      </c>
      <c r="F13269" s="107" t="str">
        <f aca="false">IF($C13269="","",$D13269*$E13269)</f>
        <v/>
      </c>
      <c r="G13269" s="107" t="str">
        <f aca="false">IF($C13269="","",$D13269*IFERROR(INDEX('تحليل التكلفة والسعر'!$C$2:$C$700,MATCH($C13269,'تحليل التكلفة والسعر'!$B$2:$B$700,0)),0))</f>
        <v/>
      </c>
    </row>
    <row r="13270" customFormat="false" ht="15" hidden="false" customHeight="false" outlineLevel="0" collapsed="false">
      <c r="A13270" s="103"/>
      <c r="B13270" s="104"/>
      <c r="C13270" s="104"/>
      <c r="E13270" s="107" t="str">
        <f aca="false">IF($C13270="","",IFERROR(INDEX(المنيو!$C$2:$C$500,MATCH($C13270,المنيو!$B$2:$B$500,0)),0))</f>
        <v/>
      </c>
      <c r="F13270" s="107" t="str">
        <f aca="false">IF($C13270="","",$D13270*$E13270)</f>
        <v/>
      </c>
      <c r="G13270" s="107" t="str">
        <f aca="false">IF($C13270="","",$D13270*IFERROR(INDEX('تحليل التكلفة والسعر'!$C$2:$C$700,MATCH($C13270,'تحليل التكلفة والسعر'!$B$2:$B$700,0)),0))</f>
        <v/>
      </c>
    </row>
    <row r="13271" customFormat="false" ht="15" hidden="false" customHeight="false" outlineLevel="0" collapsed="false">
      <c r="A13271" s="103"/>
      <c r="B13271" s="104"/>
      <c r="C13271" s="104"/>
      <c r="E13271" s="107" t="str">
        <f aca="false">IF($C13271="","",IFERROR(INDEX(المنيو!$C$2:$C$500,MATCH($C13271,المنيو!$B$2:$B$500,0)),0))</f>
        <v/>
      </c>
      <c r="F13271" s="107" t="str">
        <f aca="false">IF($C13271="","",$D13271*$E13271)</f>
        <v/>
      </c>
      <c r="G13271" s="107" t="str">
        <f aca="false">IF($C13271="","",$D13271*IFERROR(INDEX('تحليل التكلفة والسعر'!$C$2:$C$700,MATCH($C13271,'تحليل التكلفة والسعر'!$B$2:$B$700,0)),0))</f>
        <v/>
      </c>
    </row>
    <row r="13272" customFormat="false" ht="15" hidden="false" customHeight="false" outlineLevel="0" collapsed="false">
      <c r="A13272" s="103"/>
      <c r="B13272" s="104"/>
      <c r="C13272" s="104"/>
      <c r="E13272" s="107" t="str">
        <f aca="false">IF($C13272="","",IFERROR(INDEX(المنيو!$C$2:$C$500,MATCH($C13272,المنيو!$B$2:$B$500,0)),0))</f>
        <v/>
      </c>
      <c r="F13272" s="107" t="str">
        <f aca="false">IF($C13272="","",$D13272*$E13272)</f>
        <v/>
      </c>
      <c r="G13272" s="107" t="str">
        <f aca="false">IF($C13272="","",$D13272*IFERROR(INDEX('تحليل التكلفة والسعر'!$C$2:$C$700,MATCH($C13272,'تحليل التكلفة والسعر'!$B$2:$B$700,0)),0))</f>
        <v/>
      </c>
    </row>
    <row r="13273" customFormat="false" ht="15" hidden="false" customHeight="false" outlineLevel="0" collapsed="false">
      <c r="A13273" s="103"/>
      <c r="B13273" s="104"/>
      <c r="C13273" s="104"/>
      <c r="E13273" s="107" t="str">
        <f aca="false">IF($C13273="","",IFERROR(INDEX(المنيو!$C$2:$C$500,MATCH($C13273,المنيو!$B$2:$B$500,0)),0))</f>
        <v/>
      </c>
      <c r="F13273" s="107" t="str">
        <f aca="false">IF($C13273="","",$D13273*$E13273)</f>
        <v/>
      </c>
      <c r="G13273" s="107" t="str">
        <f aca="false">IF($C13273="","",$D13273*IFERROR(INDEX('تحليل التكلفة والسعر'!$C$2:$C$700,MATCH($C13273,'تحليل التكلفة والسعر'!$B$2:$B$700,0)),0))</f>
        <v/>
      </c>
    </row>
    <row r="13274" customFormat="false" ht="15" hidden="false" customHeight="false" outlineLevel="0" collapsed="false">
      <c r="A13274" s="103"/>
      <c r="B13274" s="104"/>
      <c r="C13274" s="104"/>
      <c r="E13274" s="107" t="str">
        <f aca="false">IF($C13274="","",IFERROR(INDEX(المنيو!$C$2:$C$500,MATCH($C13274,المنيو!$B$2:$B$500,0)),0))</f>
        <v/>
      </c>
      <c r="F13274" s="107" t="str">
        <f aca="false">IF($C13274="","",$D13274*$E13274)</f>
        <v/>
      </c>
      <c r="G13274" s="107" t="str">
        <f aca="false">IF($C13274="","",$D13274*IFERROR(INDEX('تحليل التكلفة والسعر'!$C$2:$C$700,MATCH($C13274,'تحليل التكلفة والسعر'!$B$2:$B$700,0)),0))</f>
        <v/>
      </c>
    </row>
    <row r="13275" customFormat="false" ht="15" hidden="false" customHeight="false" outlineLevel="0" collapsed="false">
      <c r="A13275" s="103"/>
      <c r="B13275" s="104"/>
      <c r="C13275" s="104"/>
      <c r="E13275" s="107" t="str">
        <f aca="false">IF($C13275="","",IFERROR(INDEX(المنيو!$C$2:$C$500,MATCH($C13275,المنيو!$B$2:$B$500,0)),0))</f>
        <v/>
      </c>
      <c r="F13275" s="107" t="str">
        <f aca="false">IF($C13275="","",$D13275*$E13275)</f>
        <v/>
      </c>
      <c r="G13275" s="107" t="str">
        <f aca="false">IF($C13275="","",$D13275*IFERROR(INDEX('تحليل التكلفة والسعر'!$C$2:$C$700,MATCH($C13275,'تحليل التكلفة والسعر'!$B$2:$B$700,0)),0))</f>
        <v/>
      </c>
    </row>
    <row r="13276" customFormat="false" ht="15" hidden="false" customHeight="false" outlineLevel="0" collapsed="false">
      <c r="A13276" s="103"/>
      <c r="B13276" s="104"/>
      <c r="C13276" s="104"/>
      <c r="E13276" s="107" t="str">
        <f aca="false">IF($C13276="","",IFERROR(INDEX(المنيو!$C$2:$C$500,MATCH($C13276,المنيو!$B$2:$B$500,0)),0))</f>
        <v/>
      </c>
      <c r="F13276" s="107" t="str">
        <f aca="false">IF($C13276="","",$D13276*$E13276)</f>
        <v/>
      </c>
      <c r="G13276" s="107" t="str">
        <f aca="false">IF($C13276="","",$D13276*IFERROR(INDEX('تحليل التكلفة والسعر'!$C$2:$C$700,MATCH($C13276,'تحليل التكلفة والسعر'!$B$2:$B$700,0)),0))</f>
        <v/>
      </c>
    </row>
    <row r="13277" customFormat="false" ht="15" hidden="false" customHeight="false" outlineLevel="0" collapsed="false">
      <c r="A13277" s="103"/>
      <c r="B13277" s="104"/>
      <c r="C13277" s="104"/>
      <c r="E13277" s="107" t="str">
        <f aca="false">IF($C13277="","",IFERROR(INDEX(المنيو!$C$2:$C$500,MATCH($C13277,المنيو!$B$2:$B$500,0)),0))</f>
        <v/>
      </c>
      <c r="F13277" s="107" t="str">
        <f aca="false">IF($C13277="","",$D13277*$E13277)</f>
        <v/>
      </c>
      <c r="G13277" s="107" t="str">
        <f aca="false">IF($C13277="","",$D13277*IFERROR(INDEX('تحليل التكلفة والسعر'!$C$2:$C$700,MATCH($C13277,'تحليل التكلفة والسعر'!$B$2:$B$700,0)),0))</f>
        <v/>
      </c>
    </row>
    <row r="13278" customFormat="false" ht="15" hidden="false" customHeight="false" outlineLevel="0" collapsed="false">
      <c r="A13278" s="103"/>
      <c r="B13278" s="104"/>
      <c r="C13278" s="104"/>
      <c r="E13278" s="107" t="str">
        <f aca="false">IF($C13278="","",IFERROR(INDEX(المنيو!$C$2:$C$500,MATCH($C13278,المنيو!$B$2:$B$500,0)),0))</f>
        <v/>
      </c>
      <c r="F13278" s="107" t="str">
        <f aca="false">IF($C13278="","",$D13278*$E13278)</f>
        <v/>
      </c>
      <c r="G13278" s="107" t="str">
        <f aca="false">IF($C13278="","",$D13278*IFERROR(INDEX('تحليل التكلفة والسعر'!$C$2:$C$700,MATCH($C13278,'تحليل التكلفة والسعر'!$B$2:$B$700,0)),0))</f>
        <v/>
      </c>
    </row>
    <row r="13279" customFormat="false" ht="15" hidden="false" customHeight="false" outlineLevel="0" collapsed="false">
      <c r="A13279" s="103"/>
      <c r="B13279" s="104"/>
      <c r="C13279" s="104"/>
      <c r="E13279" s="107" t="str">
        <f aca="false">IF($C13279="","",IFERROR(INDEX(المنيو!$C$2:$C$500,MATCH($C13279,المنيو!$B$2:$B$500,0)),0))</f>
        <v/>
      </c>
      <c r="F13279" s="107" t="str">
        <f aca="false">IF($C13279="","",$D13279*$E13279)</f>
        <v/>
      </c>
      <c r="G13279" s="107" t="str">
        <f aca="false">IF($C13279="","",$D13279*IFERROR(INDEX('تحليل التكلفة والسعر'!$C$2:$C$700,MATCH($C13279,'تحليل التكلفة والسعر'!$B$2:$B$700,0)),0))</f>
        <v/>
      </c>
    </row>
    <row r="13280" customFormat="false" ht="15" hidden="false" customHeight="false" outlineLevel="0" collapsed="false">
      <c r="A13280" s="103"/>
      <c r="B13280" s="104"/>
      <c r="C13280" s="104"/>
      <c r="E13280" s="107" t="str">
        <f aca="false">IF($C13280="","",IFERROR(INDEX(المنيو!$C$2:$C$500,MATCH($C13280,المنيو!$B$2:$B$500,0)),0))</f>
        <v/>
      </c>
      <c r="F13280" s="107" t="str">
        <f aca="false">IF($C13280="","",$D13280*$E13280)</f>
        <v/>
      </c>
      <c r="G13280" s="107" t="str">
        <f aca="false">IF($C13280="","",$D13280*IFERROR(INDEX('تحليل التكلفة والسعر'!$C$2:$C$700,MATCH($C13280,'تحليل التكلفة والسعر'!$B$2:$B$700,0)),0))</f>
        <v/>
      </c>
    </row>
    <row r="13281" customFormat="false" ht="15" hidden="false" customHeight="false" outlineLevel="0" collapsed="false">
      <c r="A13281" s="103"/>
      <c r="B13281" s="104"/>
      <c r="C13281" s="104"/>
      <c r="E13281" s="107" t="str">
        <f aca="false">IF($C13281="","",IFERROR(INDEX(المنيو!$C$2:$C$500,MATCH($C13281,المنيو!$B$2:$B$500,0)),0))</f>
        <v/>
      </c>
      <c r="F13281" s="107" t="str">
        <f aca="false">IF($C13281="","",$D13281*$E13281)</f>
        <v/>
      </c>
      <c r="G13281" s="107" t="str">
        <f aca="false">IF($C13281="","",$D13281*IFERROR(INDEX('تحليل التكلفة والسعر'!$C$2:$C$700,MATCH($C13281,'تحليل التكلفة والسعر'!$B$2:$B$700,0)),0))</f>
        <v/>
      </c>
    </row>
    <row r="13282" customFormat="false" ht="15" hidden="false" customHeight="false" outlineLevel="0" collapsed="false">
      <c r="A13282" s="103"/>
      <c r="B13282" s="104"/>
      <c r="C13282" s="104"/>
      <c r="E13282" s="107" t="str">
        <f aca="false">IF($C13282="","",IFERROR(INDEX(المنيو!$C$2:$C$500,MATCH($C13282,المنيو!$B$2:$B$500,0)),0))</f>
        <v/>
      </c>
      <c r="F13282" s="107" t="str">
        <f aca="false">IF($C13282="","",$D13282*$E13282)</f>
        <v/>
      </c>
      <c r="G13282" s="107" t="str">
        <f aca="false">IF($C13282="","",$D13282*IFERROR(INDEX('تحليل التكلفة والسعر'!$C$2:$C$700,MATCH($C13282,'تحليل التكلفة والسعر'!$B$2:$B$700,0)),0))</f>
        <v/>
      </c>
    </row>
    <row r="13283" customFormat="false" ht="15" hidden="false" customHeight="false" outlineLevel="0" collapsed="false">
      <c r="A13283" s="103"/>
      <c r="B13283" s="104"/>
      <c r="C13283" s="104"/>
      <c r="E13283" s="107" t="str">
        <f aca="false">IF($C13283="","",IFERROR(INDEX(المنيو!$C$2:$C$500,MATCH($C13283,المنيو!$B$2:$B$500,0)),0))</f>
        <v/>
      </c>
      <c r="F13283" s="107" t="str">
        <f aca="false">IF($C13283="","",$D13283*$E13283)</f>
        <v/>
      </c>
      <c r="G13283" s="107" t="str">
        <f aca="false">IF($C13283="","",$D13283*IFERROR(INDEX('تحليل التكلفة والسعر'!$C$2:$C$700,MATCH($C13283,'تحليل التكلفة والسعر'!$B$2:$B$700,0)),0))</f>
        <v/>
      </c>
    </row>
    <row r="13284" customFormat="false" ht="15" hidden="false" customHeight="false" outlineLevel="0" collapsed="false">
      <c r="A13284" s="103"/>
      <c r="B13284" s="104"/>
      <c r="C13284" s="104"/>
      <c r="E13284" s="107" t="str">
        <f aca="false">IF($C13284="","",IFERROR(INDEX(المنيو!$C$2:$C$500,MATCH($C13284,المنيو!$B$2:$B$500,0)),0))</f>
        <v/>
      </c>
      <c r="F13284" s="107" t="str">
        <f aca="false">IF($C13284="","",$D13284*$E13284)</f>
        <v/>
      </c>
      <c r="G13284" s="107" t="str">
        <f aca="false">IF($C13284="","",$D13284*IFERROR(INDEX('تحليل التكلفة والسعر'!$C$2:$C$700,MATCH($C13284,'تحليل التكلفة والسعر'!$B$2:$B$700,0)),0))</f>
        <v/>
      </c>
    </row>
    <row r="13285" customFormat="false" ht="15" hidden="false" customHeight="false" outlineLevel="0" collapsed="false">
      <c r="A13285" s="103"/>
      <c r="B13285" s="104"/>
      <c r="C13285" s="104"/>
      <c r="E13285" s="107" t="str">
        <f aca="false">IF($C13285="","",IFERROR(INDEX(المنيو!$C$2:$C$500,MATCH($C13285,المنيو!$B$2:$B$500,0)),0))</f>
        <v/>
      </c>
      <c r="F13285" s="107" t="str">
        <f aca="false">IF($C13285="","",$D13285*$E13285)</f>
        <v/>
      </c>
      <c r="G13285" s="107" t="str">
        <f aca="false">IF($C13285="","",$D13285*IFERROR(INDEX('تحليل التكلفة والسعر'!$C$2:$C$700,MATCH($C13285,'تحليل التكلفة والسعر'!$B$2:$B$700,0)),0))</f>
        <v/>
      </c>
    </row>
    <row r="13286" customFormat="false" ht="15" hidden="false" customHeight="false" outlineLevel="0" collapsed="false">
      <c r="A13286" s="103"/>
      <c r="B13286" s="104"/>
      <c r="C13286" s="104"/>
      <c r="E13286" s="107" t="str">
        <f aca="false">IF($C13286="","",IFERROR(INDEX(المنيو!$C$2:$C$500,MATCH($C13286,المنيو!$B$2:$B$500,0)),0))</f>
        <v/>
      </c>
      <c r="F13286" s="107" t="str">
        <f aca="false">IF($C13286="","",$D13286*$E13286)</f>
        <v/>
      </c>
      <c r="G13286" s="107" t="str">
        <f aca="false">IF($C13286="","",$D13286*IFERROR(INDEX('تحليل التكلفة والسعر'!$C$2:$C$700,MATCH($C13286,'تحليل التكلفة والسعر'!$B$2:$B$700,0)),0))</f>
        <v/>
      </c>
    </row>
    <row r="13287" customFormat="false" ht="15" hidden="false" customHeight="false" outlineLevel="0" collapsed="false">
      <c r="A13287" s="103"/>
      <c r="B13287" s="104"/>
      <c r="C13287" s="104"/>
      <c r="E13287" s="107" t="str">
        <f aca="false">IF($C13287="","",IFERROR(INDEX(المنيو!$C$2:$C$500,MATCH($C13287,المنيو!$B$2:$B$500,0)),0))</f>
        <v/>
      </c>
      <c r="F13287" s="107" t="str">
        <f aca="false">IF($C13287="","",$D13287*$E13287)</f>
        <v/>
      </c>
      <c r="G13287" s="107" t="str">
        <f aca="false">IF($C13287="","",$D13287*IFERROR(INDEX('تحليل التكلفة والسعر'!$C$2:$C$700,MATCH($C13287,'تحليل التكلفة والسعر'!$B$2:$B$700,0)),0))</f>
        <v/>
      </c>
    </row>
    <row r="13288" customFormat="false" ht="15" hidden="false" customHeight="false" outlineLevel="0" collapsed="false">
      <c r="A13288" s="103"/>
      <c r="B13288" s="104"/>
      <c r="C13288" s="104"/>
      <c r="E13288" s="107" t="str">
        <f aca="false">IF($C13288="","",IFERROR(INDEX(المنيو!$C$2:$C$500,MATCH($C13288,المنيو!$B$2:$B$500,0)),0))</f>
        <v/>
      </c>
      <c r="F13288" s="107" t="str">
        <f aca="false">IF($C13288="","",$D13288*$E13288)</f>
        <v/>
      </c>
      <c r="G13288" s="107" t="str">
        <f aca="false">IF($C13288="","",$D13288*IFERROR(INDEX('تحليل التكلفة والسعر'!$C$2:$C$700,MATCH($C13288,'تحليل التكلفة والسعر'!$B$2:$B$700,0)),0))</f>
        <v/>
      </c>
    </row>
    <row r="13289" customFormat="false" ht="15" hidden="false" customHeight="false" outlineLevel="0" collapsed="false">
      <c r="A13289" s="103"/>
      <c r="B13289" s="104"/>
      <c r="C13289" s="104"/>
      <c r="E13289" s="107" t="str">
        <f aca="false">IF($C13289="","",IFERROR(INDEX(المنيو!$C$2:$C$500,MATCH($C13289,المنيو!$B$2:$B$500,0)),0))</f>
        <v/>
      </c>
      <c r="F13289" s="107" t="str">
        <f aca="false">IF($C13289="","",$D13289*$E13289)</f>
        <v/>
      </c>
      <c r="G13289" s="107" t="str">
        <f aca="false">IF($C13289="","",$D13289*IFERROR(INDEX('تحليل التكلفة والسعر'!$C$2:$C$700,MATCH($C13289,'تحليل التكلفة والسعر'!$B$2:$B$700,0)),0))</f>
        <v/>
      </c>
    </row>
    <row r="13290" customFormat="false" ht="15" hidden="false" customHeight="false" outlineLevel="0" collapsed="false">
      <c r="A13290" s="103"/>
      <c r="B13290" s="104"/>
      <c r="C13290" s="104"/>
      <c r="E13290" s="107" t="str">
        <f aca="false">IF($C13290="","",IFERROR(INDEX(المنيو!$C$2:$C$500,MATCH($C13290,المنيو!$B$2:$B$500,0)),0))</f>
        <v/>
      </c>
      <c r="F13290" s="107" t="str">
        <f aca="false">IF($C13290="","",$D13290*$E13290)</f>
        <v/>
      </c>
      <c r="G13290" s="107" t="str">
        <f aca="false">IF($C13290="","",$D13290*IFERROR(INDEX('تحليل التكلفة والسعر'!$C$2:$C$700,MATCH($C13290,'تحليل التكلفة والسعر'!$B$2:$B$700,0)),0))</f>
        <v/>
      </c>
    </row>
    <row r="13291" customFormat="false" ht="15" hidden="false" customHeight="false" outlineLevel="0" collapsed="false">
      <c r="A13291" s="103"/>
      <c r="B13291" s="104"/>
      <c r="C13291" s="104"/>
      <c r="E13291" s="107" t="str">
        <f aca="false">IF($C13291="","",IFERROR(INDEX(المنيو!$C$2:$C$500,MATCH($C13291,المنيو!$B$2:$B$500,0)),0))</f>
        <v/>
      </c>
      <c r="F13291" s="107" t="str">
        <f aca="false">IF($C13291="","",$D13291*$E13291)</f>
        <v/>
      </c>
      <c r="G13291" s="107" t="str">
        <f aca="false">IF($C13291="","",$D13291*IFERROR(INDEX('تحليل التكلفة والسعر'!$C$2:$C$700,MATCH($C13291,'تحليل التكلفة والسعر'!$B$2:$B$700,0)),0))</f>
        <v/>
      </c>
    </row>
    <row r="13292" customFormat="false" ht="15" hidden="false" customHeight="false" outlineLevel="0" collapsed="false">
      <c r="A13292" s="103"/>
      <c r="B13292" s="104"/>
      <c r="C13292" s="104"/>
      <c r="E13292" s="107" t="str">
        <f aca="false">IF($C13292="","",IFERROR(INDEX(المنيو!$C$2:$C$500,MATCH($C13292,المنيو!$B$2:$B$500,0)),0))</f>
        <v/>
      </c>
      <c r="F13292" s="107" t="str">
        <f aca="false">IF($C13292="","",$D13292*$E13292)</f>
        <v/>
      </c>
      <c r="G13292" s="107" t="str">
        <f aca="false">IF($C13292="","",$D13292*IFERROR(INDEX('تحليل التكلفة والسعر'!$C$2:$C$700,MATCH($C13292,'تحليل التكلفة والسعر'!$B$2:$B$700,0)),0))</f>
        <v/>
      </c>
    </row>
    <row r="13293" customFormat="false" ht="15" hidden="false" customHeight="false" outlineLevel="0" collapsed="false">
      <c r="A13293" s="103"/>
      <c r="B13293" s="104"/>
      <c r="C13293" s="104"/>
      <c r="E13293" s="107" t="str">
        <f aca="false">IF($C13293="","",IFERROR(INDEX(المنيو!$C$2:$C$500,MATCH($C13293,المنيو!$B$2:$B$500,0)),0))</f>
        <v/>
      </c>
      <c r="F13293" s="107" t="str">
        <f aca="false">IF($C13293="","",$D13293*$E13293)</f>
        <v/>
      </c>
      <c r="G13293" s="107" t="str">
        <f aca="false">IF($C13293="","",$D13293*IFERROR(INDEX('تحليل التكلفة والسعر'!$C$2:$C$700,MATCH($C13293,'تحليل التكلفة والسعر'!$B$2:$B$700,0)),0))</f>
        <v/>
      </c>
    </row>
    <row r="13294" customFormat="false" ht="15" hidden="false" customHeight="false" outlineLevel="0" collapsed="false">
      <c r="A13294" s="103"/>
      <c r="B13294" s="104"/>
      <c r="C13294" s="104"/>
      <c r="E13294" s="107" t="str">
        <f aca="false">IF($C13294="","",IFERROR(INDEX(المنيو!$C$2:$C$500,MATCH($C13294,المنيو!$B$2:$B$500,0)),0))</f>
        <v/>
      </c>
      <c r="F13294" s="107" t="str">
        <f aca="false">IF($C13294="","",$D13294*$E13294)</f>
        <v/>
      </c>
      <c r="G13294" s="107" t="str">
        <f aca="false">IF($C13294="","",$D13294*IFERROR(INDEX('تحليل التكلفة والسعر'!$C$2:$C$700,MATCH($C13294,'تحليل التكلفة والسعر'!$B$2:$B$700,0)),0))</f>
        <v/>
      </c>
    </row>
    <row r="13295" customFormat="false" ht="15" hidden="false" customHeight="false" outlineLevel="0" collapsed="false">
      <c r="A13295" s="103"/>
      <c r="B13295" s="104"/>
      <c r="C13295" s="104"/>
      <c r="E13295" s="107" t="str">
        <f aca="false">IF($C13295="","",IFERROR(INDEX(المنيو!$C$2:$C$500,MATCH($C13295,المنيو!$B$2:$B$500,0)),0))</f>
        <v/>
      </c>
      <c r="F13295" s="107" t="str">
        <f aca="false">IF($C13295="","",$D13295*$E13295)</f>
        <v/>
      </c>
      <c r="G13295" s="107" t="str">
        <f aca="false">IF($C13295="","",$D13295*IFERROR(INDEX('تحليل التكلفة والسعر'!$C$2:$C$700,MATCH($C13295,'تحليل التكلفة والسعر'!$B$2:$B$700,0)),0))</f>
        <v/>
      </c>
    </row>
    <row r="13296" customFormat="false" ht="15" hidden="false" customHeight="false" outlineLevel="0" collapsed="false">
      <c r="A13296" s="103"/>
      <c r="B13296" s="104"/>
      <c r="C13296" s="104"/>
      <c r="E13296" s="107" t="str">
        <f aca="false">IF($C13296="","",IFERROR(INDEX(المنيو!$C$2:$C$500,MATCH($C13296,المنيو!$B$2:$B$500,0)),0))</f>
        <v/>
      </c>
      <c r="F13296" s="107" t="str">
        <f aca="false">IF($C13296="","",$D13296*$E13296)</f>
        <v/>
      </c>
      <c r="G13296" s="107" t="str">
        <f aca="false">IF($C13296="","",$D13296*IFERROR(INDEX('تحليل التكلفة والسعر'!$C$2:$C$700,MATCH($C13296,'تحليل التكلفة والسعر'!$B$2:$B$700,0)),0))</f>
        <v/>
      </c>
    </row>
    <row r="13297" customFormat="false" ht="15" hidden="false" customHeight="false" outlineLevel="0" collapsed="false">
      <c r="A13297" s="103"/>
      <c r="B13297" s="104"/>
      <c r="C13297" s="104"/>
      <c r="E13297" s="107" t="str">
        <f aca="false">IF($C13297="","",IFERROR(INDEX(المنيو!$C$2:$C$500,MATCH($C13297,المنيو!$B$2:$B$500,0)),0))</f>
        <v/>
      </c>
      <c r="F13297" s="107" t="str">
        <f aca="false">IF($C13297="","",$D13297*$E13297)</f>
        <v/>
      </c>
      <c r="G13297" s="107" t="str">
        <f aca="false">IF($C13297="","",$D13297*IFERROR(INDEX('تحليل التكلفة والسعر'!$C$2:$C$700,MATCH($C13297,'تحليل التكلفة والسعر'!$B$2:$B$700,0)),0))</f>
        <v/>
      </c>
    </row>
    <row r="13298" customFormat="false" ht="15" hidden="false" customHeight="false" outlineLevel="0" collapsed="false">
      <c r="A13298" s="103"/>
      <c r="B13298" s="104"/>
      <c r="C13298" s="104"/>
      <c r="E13298" s="107" t="str">
        <f aca="false">IF($C13298="","",IFERROR(INDEX(المنيو!$C$2:$C$500,MATCH($C13298,المنيو!$B$2:$B$500,0)),0))</f>
        <v/>
      </c>
      <c r="F13298" s="107" t="str">
        <f aca="false">IF($C13298="","",$D13298*$E13298)</f>
        <v/>
      </c>
      <c r="G13298" s="107" t="str">
        <f aca="false">IF($C13298="","",$D13298*IFERROR(INDEX('تحليل التكلفة والسعر'!$C$2:$C$700,MATCH($C13298,'تحليل التكلفة والسعر'!$B$2:$B$700,0)),0))</f>
        <v/>
      </c>
    </row>
    <row r="13299" customFormat="false" ht="15" hidden="false" customHeight="false" outlineLevel="0" collapsed="false">
      <c r="A13299" s="103"/>
      <c r="B13299" s="104"/>
      <c r="C13299" s="104"/>
      <c r="E13299" s="107" t="str">
        <f aca="false">IF($C13299="","",IFERROR(INDEX(المنيو!$C$2:$C$500,MATCH($C13299,المنيو!$B$2:$B$500,0)),0))</f>
        <v/>
      </c>
      <c r="F13299" s="107" t="str">
        <f aca="false">IF($C13299="","",$D13299*$E13299)</f>
        <v/>
      </c>
      <c r="G13299" s="107" t="str">
        <f aca="false">IF($C13299="","",$D13299*IFERROR(INDEX('تحليل التكلفة والسعر'!$C$2:$C$700,MATCH($C13299,'تحليل التكلفة والسعر'!$B$2:$B$700,0)),0))</f>
        <v/>
      </c>
    </row>
    <row r="13300" customFormat="false" ht="15" hidden="false" customHeight="false" outlineLevel="0" collapsed="false">
      <c r="A13300" s="103"/>
      <c r="B13300" s="104"/>
      <c r="C13300" s="104"/>
      <c r="E13300" s="107" t="str">
        <f aca="false">IF($C13300="","",IFERROR(INDEX(المنيو!$C$2:$C$500,MATCH($C13300,المنيو!$B$2:$B$500,0)),0))</f>
        <v/>
      </c>
      <c r="F13300" s="107" t="str">
        <f aca="false">IF($C13300="","",$D13300*$E13300)</f>
        <v/>
      </c>
      <c r="G13300" s="107" t="str">
        <f aca="false">IF($C13300="","",$D13300*IFERROR(INDEX('تحليل التكلفة والسعر'!$C$2:$C$700,MATCH($C13300,'تحليل التكلفة والسعر'!$B$2:$B$700,0)),0))</f>
        <v/>
      </c>
    </row>
    <row r="13301" customFormat="false" ht="15" hidden="false" customHeight="false" outlineLevel="0" collapsed="false">
      <c r="A13301" s="103"/>
      <c r="B13301" s="104"/>
      <c r="C13301" s="104"/>
      <c r="E13301" s="107" t="str">
        <f aca="false">IF($C13301="","",IFERROR(INDEX(المنيو!$C$2:$C$500,MATCH($C13301,المنيو!$B$2:$B$500,0)),0))</f>
        <v/>
      </c>
      <c r="F13301" s="107" t="str">
        <f aca="false">IF($C13301="","",$D13301*$E13301)</f>
        <v/>
      </c>
      <c r="G13301" s="107" t="str">
        <f aca="false">IF($C13301="","",$D13301*IFERROR(INDEX('تحليل التكلفة والسعر'!$C$2:$C$700,MATCH($C13301,'تحليل التكلفة والسعر'!$B$2:$B$700,0)),0))</f>
        <v/>
      </c>
    </row>
    <row r="13302" customFormat="false" ht="15" hidden="false" customHeight="false" outlineLevel="0" collapsed="false">
      <c r="A13302" s="103"/>
      <c r="B13302" s="104"/>
      <c r="C13302" s="104"/>
      <c r="E13302" s="107" t="str">
        <f aca="false">IF($C13302="","",IFERROR(INDEX(المنيو!$C$2:$C$500,MATCH($C13302,المنيو!$B$2:$B$500,0)),0))</f>
        <v/>
      </c>
      <c r="F13302" s="107" t="str">
        <f aca="false">IF($C13302="","",$D13302*$E13302)</f>
        <v/>
      </c>
      <c r="G13302" s="107" t="str">
        <f aca="false">IF($C13302="","",$D13302*IFERROR(INDEX('تحليل التكلفة والسعر'!$C$2:$C$700,MATCH($C13302,'تحليل التكلفة والسعر'!$B$2:$B$700,0)),0))</f>
        <v/>
      </c>
    </row>
    <row r="13303" customFormat="false" ht="15" hidden="false" customHeight="false" outlineLevel="0" collapsed="false">
      <c r="A13303" s="103"/>
      <c r="B13303" s="104"/>
      <c r="C13303" s="104"/>
      <c r="E13303" s="107" t="str">
        <f aca="false">IF($C13303="","",IFERROR(INDEX(المنيو!$C$2:$C$500,MATCH($C13303,المنيو!$B$2:$B$500,0)),0))</f>
        <v/>
      </c>
      <c r="F13303" s="107" t="str">
        <f aca="false">IF($C13303="","",$D13303*$E13303)</f>
        <v/>
      </c>
      <c r="G13303" s="107" t="str">
        <f aca="false">IF($C13303="","",$D13303*IFERROR(INDEX('تحليل التكلفة والسعر'!$C$2:$C$700,MATCH($C13303,'تحليل التكلفة والسعر'!$B$2:$B$700,0)),0))</f>
        <v/>
      </c>
    </row>
    <row r="13304" customFormat="false" ht="15" hidden="false" customHeight="false" outlineLevel="0" collapsed="false">
      <c r="A13304" s="103"/>
      <c r="B13304" s="104"/>
      <c r="C13304" s="104"/>
      <c r="E13304" s="107" t="str">
        <f aca="false">IF($C13304="","",IFERROR(INDEX(المنيو!$C$2:$C$500,MATCH($C13304,المنيو!$B$2:$B$500,0)),0))</f>
        <v/>
      </c>
      <c r="F13304" s="107" t="str">
        <f aca="false">IF($C13304="","",$D13304*$E13304)</f>
        <v/>
      </c>
      <c r="G13304" s="107" t="str">
        <f aca="false">IF($C13304="","",$D13304*IFERROR(INDEX('تحليل التكلفة والسعر'!$C$2:$C$700,MATCH($C13304,'تحليل التكلفة والسعر'!$B$2:$B$700,0)),0))</f>
        <v/>
      </c>
    </row>
    <row r="13305" customFormat="false" ht="15" hidden="false" customHeight="false" outlineLevel="0" collapsed="false">
      <c r="A13305" s="103"/>
      <c r="B13305" s="104"/>
      <c r="C13305" s="104"/>
      <c r="E13305" s="107" t="str">
        <f aca="false">IF($C13305="","",IFERROR(INDEX(المنيو!$C$2:$C$500,MATCH($C13305,المنيو!$B$2:$B$500,0)),0))</f>
        <v/>
      </c>
      <c r="F13305" s="107" t="str">
        <f aca="false">IF($C13305="","",$D13305*$E13305)</f>
        <v/>
      </c>
      <c r="G13305" s="107" t="str">
        <f aca="false">IF($C13305="","",$D13305*IFERROR(INDEX('تحليل التكلفة والسعر'!$C$2:$C$700,MATCH($C13305,'تحليل التكلفة والسعر'!$B$2:$B$700,0)),0))</f>
        <v/>
      </c>
    </row>
    <row r="13306" customFormat="false" ht="15" hidden="false" customHeight="false" outlineLevel="0" collapsed="false">
      <c r="A13306" s="103"/>
      <c r="B13306" s="104"/>
      <c r="C13306" s="104"/>
      <c r="E13306" s="107" t="str">
        <f aca="false">IF($C13306="","",IFERROR(INDEX(المنيو!$C$2:$C$500,MATCH($C13306,المنيو!$B$2:$B$500,0)),0))</f>
        <v/>
      </c>
      <c r="F13306" s="107" t="str">
        <f aca="false">IF($C13306="","",$D13306*$E13306)</f>
        <v/>
      </c>
      <c r="G13306" s="107" t="str">
        <f aca="false">IF($C13306="","",$D13306*IFERROR(INDEX('تحليل التكلفة والسعر'!$C$2:$C$700,MATCH($C13306,'تحليل التكلفة والسعر'!$B$2:$B$700,0)),0))</f>
        <v/>
      </c>
    </row>
    <row r="13307" customFormat="false" ht="15" hidden="false" customHeight="false" outlineLevel="0" collapsed="false">
      <c r="A13307" s="103"/>
      <c r="B13307" s="104"/>
      <c r="C13307" s="104"/>
      <c r="E13307" s="107" t="str">
        <f aca="false">IF($C13307="","",IFERROR(INDEX(المنيو!$C$2:$C$500,MATCH($C13307,المنيو!$B$2:$B$500,0)),0))</f>
        <v/>
      </c>
      <c r="F13307" s="107" t="str">
        <f aca="false">IF($C13307="","",$D13307*$E13307)</f>
        <v/>
      </c>
      <c r="G13307" s="107" t="str">
        <f aca="false">IF($C13307="","",$D13307*IFERROR(INDEX('تحليل التكلفة والسعر'!$C$2:$C$700,MATCH($C13307,'تحليل التكلفة والسعر'!$B$2:$B$700,0)),0))</f>
        <v/>
      </c>
    </row>
    <row r="13308" customFormat="false" ht="15" hidden="false" customHeight="false" outlineLevel="0" collapsed="false">
      <c r="A13308" s="103"/>
      <c r="B13308" s="104"/>
      <c r="C13308" s="104"/>
      <c r="E13308" s="107" t="str">
        <f aca="false">IF($C13308="","",IFERROR(INDEX(المنيو!$C$2:$C$500,MATCH($C13308,المنيو!$B$2:$B$500,0)),0))</f>
        <v/>
      </c>
      <c r="F13308" s="107" t="str">
        <f aca="false">IF($C13308="","",$D13308*$E13308)</f>
        <v/>
      </c>
      <c r="G13308" s="107" t="str">
        <f aca="false">IF($C13308="","",$D13308*IFERROR(INDEX('تحليل التكلفة والسعر'!$C$2:$C$700,MATCH($C13308,'تحليل التكلفة والسعر'!$B$2:$B$700,0)),0))</f>
        <v/>
      </c>
    </row>
    <row r="13309" customFormat="false" ht="15" hidden="false" customHeight="false" outlineLevel="0" collapsed="false">
      <c r="A13309" s="103"/>
      <c r="B13309" s="104"/>
      <c r="C13309" s="104"/>
      <c r="E13309" s="107" t="str">
        <f aca="false">IF($C13309="","",IFERROR(INDEX(المنيو!$C$2:$C$500,MATCH($C13309,المنيو!$B$2:$B$500,0)),0))</f>
        <v/>
      </c>
      <c r="F13309" s="107" t="str">
        <f aca="false">IF($C13309="","",$D13309*$E13309)</f>
        <v/>
      </c>
      <c r="G13309" s="107" t="str">
        <f aca="false">IF($C13309="","",$D13309*IFERROR(INDEX('تحليل التكلفة والسعر'!$C$2:$C$700,MATCH($C13309,'تحليل التكلفة والسعر'!$B$2:$B$700,0)),0))</f>
        <v/>
      </c>
    </row>
    <row r="13310" customFormat="false" ht="15" hidden="false" customHeight="false" outlineLevel="0" collapsed="false">
      <c r="A13310" s="103"/>
      <c r="B13310" s="104"/>
      <c r="C13310" s="104"/>
      <c r="E13310" s="107" t="str">
        <f aca="false">IF($C13310="","",IFERROR(INDEX(المنيو!$C$2:$C$500,MATCH($C13310,المنيو!$B$2:$B$500,0)),0))</f>
        <v/>
      </c>
      <c r="F13310" s="107" t="str">
        <f aca="false">IF($C13310="","",$D13310*$E13310)</f>
        <v/>
      </c>
      <c r="G13310" s="107" t="str">
        <f aca="false">IF($C13310="","",$D13310*IFERROR(INDEX('تحليل التكلفة والسعر'!$C$2:$C$700,MATCH($C13310,'تحليل التكلفة والسعر'!$B$2:$B$700,0)),0))</f>
        <v/>
      </c>
    </row>
    <row r="13311" customFormat="false" ht="15" hidden="false" customHeight="false" outlineLevel="0" collapsed="false">
      <c r="A13311" s="103"/>
      <c r="B13311" s="104"/>
      <c r="C13311" s="104"/>
      <c r="E13311" s="107" t="str">
        <f aca="false">IF($C13311="","",IFERROR(INDEX(المنيو!$C$2:$C$500,MATCH($C13311,المنيو!$B$2:$B$500,0)),0))</f>
        <v/>
      </c>
      <c r="F13311" s="107" t="str">
        <f aca="false">IF($C13311="","",$D13311*$E13311)</f>
        <v/>
      </c>
      <c r="G13311" s="107" t="str">
        <f aca="false">IF($C13311="","",$D13311*IFERROR(INDEX('تحليل التكلفة والسعر'!$C$2:$C$700,MATCH($C13311,'تحليل التكلفة والسعر'!$B$2:$B$700,0)),0))</f>
        <v/>
      </c>
    </row>
    <row r="13312" customFormat="false" ht="15" hidden="false" customHeight="false" outlineLevel="0" collapsed="false">
      <c r="A13312" s="103"/>
      <c r="B13312" s="104"/>
      <c r="C13312" s="104"/>
      <c r="E13312" s="107" t="str">
        <f aca="false">IF($C13312="","",IFERROR(INDEX(المنيو!$C$2:$C$500,MATCH($C13312,المنيو!$B$2:$B$500,0)),0))</f>
        <v/>
      </c>
      <c r="F13312" s="107" t="str">
        <f aca="false">IF($C13312="","",$D13312*$E13312)</f>
        <v/>
      </c>
      <c r="G13312" s="107" t="str">
        <f aca="false">IF($C13312="","",$D13312*IFERROR(INDEX('تحليل التكلفة والسعر'!$C$2:$C$700,MATCH($C13312,'تحليل التكلفة والسعر'!$B$2:$B$700,0)),0))</f>
        <v/>
      </c>
    </row>
    <row r="13313" customFormat="false" ht="15" hidden="false" customHeight="false" outlineLevel="0" collapsed="false">
      <c r="A13313" s="103"/>
      <c r="B13313" s="104"/>
      <c r="C13313" s="104"/>
      <c r="E13313" s="107" t="str">
        <f aca="false">IF($C13313="","",IFERROR(INDEX(المنيو!$C$2:$C$500,MATCH($C13313,المنيو!$B$2:$B$500,0)),0))</f>
        <v/>
      </c>
      <c r="F13313" s="107" t="str">
        <f aca="false">IF($C13313="","",$D13313*$E13313)</f>
        <v/>
      </c>
      <c r="G13313" s="107" t="str">
        <f aca="false">IF($C13313="","",$D13313*IFERROR(INDEX('تحليل التكلفة والسعر'!$C$2:$C$700,MATCH($C13313,'تحليل التكلفة والسعر'!$B$2:$B$700,0)),0))</f>
        <v/>
      </c>
    </row>
    <row r="13314" customFormat="false" ht="15" hidden="false" customHeight="false" outlineLevel="0" collapsed="false">
      <c r="A13314" s="103"/>
      <c r="B13314" s="104"/>
      <c r="C13314" s="104"/>
      <c r="E13314" s="107" t="str">
        <f aca="false">IF($C13314="","",IFERROR(INDEX(المنيو!$C$2:$C$500,MATCH($C13314,المنيو!$B$2:$B$500,0)),0))</f>
        <v/>
      </c>
      <c r="F13314" s="107" t="str">
        <f aca="false">IF($C13314="","",$D13314*$E13314)</f>
        <v/>
      </c>
      <c r="G13314" s="107" t="str">
        <f aca="false">IF($C13314="","",$D13314*IFERROR(INDEX('تحليل التكلفة والسعر'!$C$2:$C$700,MATCH($C13314,'تحليل التكلفة والسعر'!$B$2:$B$700,0)),0))</f>
        <v/>
      </c>
    </row>
    <row r="13315" customFormat="false" ht="15" hidden="false" customHeight="false" outlineLevel="0" collapsed="false">
      <c r="A13315" s="103"/>
      <c r="B13315" s="104"/>
      <c r="C13315" s="104"/>
      <c r="E13315" s="107" t="str">
        <f aca="false">IF($C13315="","",IFERROR(INDEX(المنيو!$C$2:$C$500,MATCH($C13315,المنيو!$B$2:$B$500,0)),0))</f>
        <v/>
      </c>
      <c r="F13315" s="107" t="str">
        <f aca="false">IF($C13315="","",$D13315*$E13315)</f>
        <v/>
      </c>
      <c r="G13315" s="107" t="str">
        <f aca="false">IF($C13315="","",$D13315*IFERROR(INDEX('تحليل التكلفة والسعر'!$C$2:$C$700,MATCH($C13315,'تحليل التكلفة والسعر'!$B$2:$B$700,0)),0))</f>
        <v/>
      </c>
    </row>
    <row r="13316" customFormat="false" ht="15" hidden="false" customHeight="false" outlineLevel="0" collapsed="false">
      <c r="A13316" s="103"/>
      <c r="B13316" s="104"/>
      <c r="C13316" s="104"/>
      <c r="E13316" s="107" t="str">
        <f aca="false">IF($C13316="","",IFERROR(INDEX(المنيو!$C$2:$C$500,MATCH($C13316,المنيو!$B$2:$B$500,0)),0))</f>
        <v/>
      </c>
      <c r="F13316" s="107" t="str">
        <f aca="false">IF($C13316="","",$D13316*$E13316)</f>
        <v/>
      </c>
      <c r="G13316" s="107" t="str">
        <f aca="false">IF($C13316="","",$D13316*IFERROR(INDEX('تحليل التكلفة والسعر'!$C$2:$C$700,MATCH($C13316,'تحليل التكلفة والسعر'!$B$2:$B$700,0)),0))</f>
        <v/>
      </c>
    </row>
    <row r="13317" customFormat="false" ht="15" hidden="false" customHeight="false" outlineLevel="0" collapsed="false">
      <c r="A13317" s="103"/>
      <c r="B13317" s="104"/>
      <c r="C13317" s="104"/>
      <c r="E13317" s="107" t="str">
        <f aca="false">IF($C13317="","",IFERROR(INDEX(المنيو!$C$2:$C$500,MATCH($C13317,المنيو!$B$2:$B$500,0)),0))</f>
        <v/>
      </c>
      <c r="F13317" s="107" t="str">
        <f aca="false">IF($C13317="","",$D13317*$E13317)</f>
        <v/>
      </c>
      <c r="G13317" s="107" t="str">
        <f aca="false">IF($C13317="","",$D13317*IFERROR(INDEX('تحليل التكلفة والسعر'!$C$2:$C$700,MATCH($C13317,'تحليل التكلفة والسعر'!$B$2:$B$700,0)),0))</f>
        <v/>
      </c>
    </row>
    <row r="13318" customFormat="false" ht="15" hidden="false" customHeight="false" outlineLevel="0" collapsed="false">
      <c r="A13318" s="103"/>
      <c r="B13318" s="104"/>
      <c r="C13318" s="104"/>
      <c r="E13318" s="107" t="str">
        <f aca="false">IF($C13318="","",IFERROR(INDEX(المنيو!$C$2:$C$500,MATCH($C13318,المنيو!$B$2:$B$500,0)),0))</f>
        <v/>
      </c>
      <c r="F13318" s="107" t="str">
        <f aca="false">IF($C13318="","",$D13318*$E13318)</f>
        <v/>
      </c>
      <c r="G13318" s="107" t="str">
        <f aca="false">IF($C13318="","",$D13318*IFERROR(INDEX('تحليل التكلفة والسعر'!$C$2:$C$700,MATCH($C13318,'تحليل التكلفة والسعر'!$B$2:$B$700,0)),0))</f>
        <v/>
      </c>
    </row>
    <row r="13319" customFormat="false" ht="15" hidden="false" customHeight="false" outlineLevel="0" collapsed="false">
      <c r="A13319" s="103"/>
      <c r="B13319" s="104"/>
      <c r="C13319" s="104"/>
      <c r="E13319" s="107" t="str">
        <f aca="false">IF($C13319="","",IFERROR(INDEX(المنيو!$C$2:$C$500,MATCH($C13319,المنيو!$B$2:$B$500,0)),0))</f>
        <v/>
      </c>
      <c r="F13319" s="107" t="str">
        <f aca="false">IF($C13319="","",$D13319*$E13319)</f>
        <v/>
      </c>
      <c r="G13319" s="107" t="str">
        <f aca="false">IF($C13319="","",$D13319*IFERROR(INDEX('تحليل التكلفة والسعر'!$C$2:$C$700,MATCH($C13319,'تحليل التكلفة والسعر'!$B$2:$B$700,0)),0))</f>
        <v/>
      </c>
    </row>
    <row r="13320" customFormat="false" ht="15" hidden="false" customHeight="false" outlineLevel="0" collapsed="false">
      <c r="A13320" s="103"/>
      <c r="B13320" s="104"/>
      <c r="C13320" s="104"/>
      <c r="E13320" s="107" t="str">
        <f aca="false">IF($C13320="","",IFERROR(INDEX(المنيو!$C$2:$C$500,MATCH($C13320,المنيو!$B$2:$B$500,0)),0))</f>
        <v/>
      </c>
      <c r="F13320" s="107" t="str">
        <f aca="false">IF($C13320="","",$D13320*$E13320)</f>
        <v/>
      </c>
      <c r="G13320" s="107" t="str">
        <f aca="false">IF($C13320="","",$D13320*IFERROR(INDEX('تحليل التكلفة والسعر'!$C$2:$C$700,MATCH($C13320,'تحليل التكلفة والسعر'!$B$2:$B$700,0)),0))</f>
        <v/>
      </c>
    </row>
    <row r="13321" customFormat="false" ht="15" hidden="false" customHeight="false" outlineLevel="0" collapsed="false">
      <c r="A13321" s="103"/>
      <c r="B13321" s="104"/>
      <c r="C13321" s="104"/>
      <c r="E13321" s="107" t="str">
        <f aca="false">IF($C13321="","",IFERROR(INDEX(المنيو!$C$2:$C$500,MATCH($C13321,المنيو!$B$2:$B$500,0)),0))</f>
        <v/>
      </c>
      <c r="F13321" s="107" t="str">
        <f aca="false">IF($C13321="","",$D13321*$E13321)</f>
        <v/>
      </c>
      <c r="G13321" s="107" t="str">
        <f aca="false">IF($C13321="","",$D13321*IFERROR(INDEX('تحليل التكلفة والسعر'!$C$2:$C$700,MATCH($C13321,'تحليل التكلفة والسعر'!$B$2:$B$700,0)),0))</f>
        <v/>
      </c>
    </row>
    <row r="13322" customFormat="false" ht="15" hidden="false" customHeight="false" outlineLevel="0" collapsed="false">
      <c r="A13322" s="103"/>
      <c r="B13322" s="104"/>
      <c r="C13322" s="104"/>
      <c r="E13322" s="107" t="str">
        <f aca="false">IF($C13322="","",IFERROR(INDEX(المنيو!$C$2:$C$500,MATCH($C13322,المنيو!$B$2:$B$500,0)),0))</f>
        <v/>
      </c>
      <c r="F13322" s="107" t="str">
        <f aca="false">IF($C13322="","",$D13322*$E13322)</f>
        <v/>
      </c>
      <c r="G13322" s="107" t="str">
        <f aca="false">IF($C13322="","",$D13322*IFERROR(INDEX('تحليل التكلفة والسعر'!$C$2:$C$700,MATCH($C13322,'تحليل التكلفة والسعر'!$B$2:$B$700,0)),0))</f>
        <v/>
      </c>
    </row>
    <row r="13323" customFormat="false" ht="15" hidden="false" customHeight="false" outlineLevel="0" collapsed="false">
      <c r="A13323" s="103"/>
      <c r="B13323" s="104"/>
      <c r="C13323" s="104"/>
      <c r="E13323" s="107" t="str">
        <f aca="false">IF($C13323="","",IFERROR(INDEX(المنيو!$C$2:$C$500,MATCH($C13323,المنيو!$B$2:$B$500,0)),0))</f>
        <v/>
      </c>
      <c r="F13323" s="107" t="str">
        <f aca="false">IF($C13323="","",$D13323*$E13323)</f>
        <v/>
      </c>
      <c r="G13323" s="107" t="str">
        <f aca="false">IF($C13323="","",$D13323*IFERROR(INDEX('تحليل التكلفة والسعر'!$C$2:$C$700,MATCH($C13323,'تحليل التكلفة والسعر'!$B$2:$B$700,0)),0))</f>
        <v/>
      </c>
    </row>
    <row r="13324" customFormat="false" ht="15" hidden="false" customHeight="false" outlineLevel="0" collapsed="false">
      <c r="A13324" s="103"/>
      <c r="B13324" s="104"/>
      <c r="C13324" s="104"/>
      <c r="E13324" s="107" t="str">
        <f aca="false">IF($C13324="","",IFERROR(INDEX(المنيو!$C$2:$C$500,MATCH($C13324,المنيو!$B$2:$B$500,0)),0))</f>
        <v/>
      </c>
      <c r="F13324" s="107" t="str">
        <f aca="false">IF($C13324="","",$D13324*$E13324)</f>
        <v/>
      </c>
      <c r="G13324" s="107" t="str">
        <f aca="false">IF($C13324="","",$D13324*IFERROR(INDEX('تحليل التكلفة والسعر'!$C$2:$C$700,MATCH($C13324,'تحليل التكلفة والسعر'!$B$2:$B$700,0)),0))</f>
        <v/>
      </c>
    </row>
    <row r="13325" customFormat="false" ht="15" hidden="false" customHeight="false" outlineLevel="0" collapsed="false">
      <c r="A13325" s="103"/>
      <c r="B13325" s="104"/>
      <c r="C13325" s="104"/>
      <c r="E13325" s="107" t="str">
        <f aca="false">IF($C13325="","",IFERROR(INDEX(المنيو!$C$2:$C$500,MATCH($C13325,المنيو!$B$2:$B$500,0)),0))</f>
        <v/>
      </c>
      <c r="F13325" s="107" t="str">
        <f aca="false">IF($C13325="","",$D13325*$E13325)</f>
        <v/>
      </c>
      <c r="G13325" s="107" t="str">
        <f aca="false">IF($C13325="","",$D13325*IFERROR(INDEX('تحليل التكلفة والسعر'!$C$2:$C$700,MATCH($C13325,'تحليل التكلفة والسعر'!$B$2:$B$700,0)),0))</f>
        <v/>
      </c>
    </row>
    <row r="13326" customFormat="false" ht="15" hidden="false" customHeight="false" outlineLevel="0" collapsed="false">
      <c r="A13326" s="103"/>
      <c r="B13326" s="104"/>
      <c r="C13326" s="104"/>
      <c r="E13326" s="107" t="str">
        <f aca="false">IF($C13326="","",IFERROR(INDEX(المنيو!$C$2:$C$500,MATCH($C13326,المنيو!$B$2:$B$500,0)),0))</f>
        <v/>
      </c>
      <c r="F13326" s="107" t="str">
        <f aca="false">IF($C13326="","",$D13326*$E13326)</f>
        <v/>
      </c>
      <c r="G13326" s="107" t="str">
        <f aca="false">IF($C13326="","",$D13326*IFERROR(INDEX('تحليل التكلفة والسعر'!$C$2:$C$700,MATCH($C13326,'تحليل التكلفة والسعر'!$B$2:$B$700,0)),0))</f>
        <v/>
      </c>
    </row>
    <row r="13327" customFormat="false" ht="15" hidden="false" customHeight="false" outlineLevel="0" collapsed="false">
      <c r="A13327" s="103"/>
      <c r="B13327" s="104"/>
      <c r="C13327" s="104"/>
      <c r="E13327" s="107" t="str">
        <f aca="false">IF($C13327="","",IFERROR(INDEX(المنيو!$C$2:$C$500,MATCH($C13327,المنيو!$B$2:$B$500,0)),0))</f>
        <v/>
      </c>
      <c r="F13327" s="107" t="str">
        <f aca="false">IF($C13327="","",$D13327*$E13327)</f>
        <v/>
      </c>
      <c r="G13327" s="107" t="str">
        <f aca="false">IF($C13327="","",$D13327*IFERROR(INDEX('تحليل التكلفة والسعر'!$C$2:$C$700,MATCH($C13327,'تحليل التكلفة والسعر'!$B$2:$B$700,0)),0))</f>
        <v/>
      </c>
    </row>
    <row r="13328" customFormat="false" ht="15" hidden="false" customHeight="false" outlineLevel="0" collapsed="false">
      <c r="A13328" s="103"/>
      <c r="B13328" s="104"/>
      <c r="C13328" s="104"/>
      <c r="E13328" s="107" t="str">
        <f aca="false">IF($C13328="","",IFERROR(INDEX(المنيو!$C$2:$C$500,MATCH($C13328,المنيو!$B$2:$B$500,0)),0))</f>
        <v/>
      </c>
      <c r="F13328" s="107" t="str">
        <f aca="false">IF($C13328="","",$D13328*$E13328)</f>
        <v/>
      </c>
      <c r="G13328" s="107" t="str">
        <f aca="false">IF($C13328="","",$D13328*IFERROR(INDEX('تحليل التكلفة والسعر'!$C$2:$C$700,MATCH($C13328,'تحليل التكلفة والسعر'!$B$2:$B$700,0)),0))</f>
        <v/>
      </c>
    </row>
    <row r="13329" customFormat="false" ht="15" hidden="false" customHeight="false" outlineLevel="0" collapsed="false">
      <c r="A13329" s="103"/>
      <c r="B13329" s="104"/>
      <c r="C13329" s="104"/>
      <c r="E13329" s="107" t="str">
        <f aca="false">IF($C13329="","",IFERROR(INDEX(المنيو!$C$2:$C$500,MATCH($C13329,المنيو!$B$2:$B$500,0)),0))</f>
        <v/>
      </c>
      <c r="F13329" s="107" t="str">
        <f aca="false">IF($C13329="","",$D13329*$E13329)</f>
        <v/>
      </c>
      <c r="G13329" s="107" t="str">
        <f aca="false">IF($C13329="","",$D13329*IFERROR(INDEX('تحليل التكلفة والسعر'!$C$2:$C$700,MATCH($C13329,'تحليل التكلفة والسعر'!$B$2:$B$700,0)),0))</f>
        <v/>
      </c>
    </row>
    <row r="13330" customFormat="false" ht="15" hidden="false" customHeight="false" outlineLevel="0" collapsed="false">
      <c r="A13330" s="103"/>
      <c r="B13330" s="104"/>
      <c r="C13330" s="104"/>
      <c r="E13330" s="107" t="str">
        <f aca="false">IF($C13330="","",IFERROR(INDEX(المنيو!$C$2:$C$500,MATCH($C13330,المنيو!$B$2:$B$500,0)),0))</f>
        <v/>
      </c>
      <c r="F13330" s="107" t="str">
        <f aca="false">IF($C13330="","",$D13330*$E13330)</f>
        <v/>
      </c>
      <c r="G13330" s="107" t="str">
        <f aca="false">IF($C13330="","",$D13330*IFERROR(INDEX('تحليل التكلفة والسعر'!$C$2:$C$700,MATCH($C13330,'تحليل التكلفة والسعر'!$B$2:$B$700,0)),0))</f>
        <v/>
      </c>
    </row>
    <row r="13331" customFormat="false" ht="15" hidden="false" customHeight="false" outlineLevel="0" collapsed="false">
      <c r="A13331" s="103"/>
      <c r="B13331" s="104"/>
      <c r="C13331" s="104"/>
      <c r="E13331" s="107" t="str">
        <f aca="false">IF($C13331="","",IFERROR(INDEX(المنيو!$C$2:$C$500,MATCH($C13331,المنيو!$B$2:$B$500,0)),0))</f>
        <v/>
      </c>
      <c r="F13331" s="107" t="str">
        <f aca="false">IF($C13331="","",$D13331*$E13331)</f>
        <v/>
      </c>
      <c r="G13331" s="107" t="str">
        <f aca="false">IF($C13331="","",$D13331*IFERROR(INDEX('تحليل التكلفة والسعر'!$C$2:$C$700,MATCH($C13331,'تحليل التكلفة والسعر'!$B$2:$B$700,0)),0))</f>
        <v/>
      </c>
    </row>
    <row r="13332" customFormat="false" ht="15" hidden="false" customHeight="false" outlineLevel="0" collapsed="false">
      <c r="A13332" s="103"/>
      <c r="B13332" s="104"/>
      <c r="C13332" s="104"/>
      <c r="E13332" s="107" t="str">
        <f aca="false">IF($C13332="","",IFERROR(INDEX(المنيو!$C$2:$C$500,MATCH($C13332,المنيو!$B$2:$B$500,0)),0))</f>
        <v/>
      </c>
      <c r="F13332" s="107" t="str">
        <f aca="false">IF($C13332="","",$D13332*$E13332)</f>
        <v/>
      </c>
      <c r="G13332" s="107" t="str">
        <f aca="false">IF($C13332="","",$D13332*IFERROR(INDEX('تحليل التكلفة والسعر'!$C$2:$C$700,MATCH($C13332,'تحليل التكلفة والسعر'!$B$2:$B$700,0)),0))</f>
        <v/>
      </c>
    </row>
    <row r="13333" customFormat="false" ht="15" hidden="false" customHeight="false" outlineLevel="0" collapsed="false">
      <c r="A13333" s="103"/>
      <c r="B13333" s="104"/>
      <c r="C13333" s="104"/>
      <c r="E13333" s="107" t="str">
        <f aca="false">IF($C13333="","",IFERROR(INDEX(المنيو!$C$2:$C$500,MATCH($C13333,المنيو!$B$2:$B$500,0)),0))</f>
        <v/>
      </c>
      <c r="F13333" s="107" t="str">
        <f aca="false">IF($C13333="","",$D13333*$E13333)</f>
        <v/>
      </c>
      <c r="G13333" s="107" t="str">
        <f aca="false">IF($C13333="","",$D13333*IFERROR(INDEX('تحليل التكلفة والسعر'!$C$2:$C$700,MATCH($C13333,'تحليل التكلفة والسعر'!$B$2:$B$700,0)),0))</f>
        <v/>
      </c>
    </row>
    <row r="13334" customFormat="false" ht="15" hidden="false" customHeight="false" outlineLevel="0" collapsed="false">
      <c r="A13334" s="103"/>
      <c r="B13334" s="104"/>
      <c r="C13334" s="104"/>
      <c r="E13334" s="107" t="str">
        <f aca="false">IF($C13334="","",IFERROR(INDEX(المنيو!$C$2:$C$500,MATCH($C13334,المنيو!$B$2:$B$500,0)),0))</f>
        <v/>
      </c>
      <c r="F13334" s="107" t="str">
        <f aca="false">IF($C13334="","",$D13334*$E13334)</f>
        <v/>
      </c>
      <c r="G13334" s="107" t="str">
        <f aca="false">IF($C13334="","",$D13334*IFERROR(INDEX('تحليل التكلفة والسعر'!$C$2:$C$700,MATCH($C13334,'تحليل التكلفة والسعر'!$B$2:$B$700,0)),0))</f>
        <v/>
      </c>
    </row>
    <row r="13335" customFormat="false" ht="15" hidden="false" customHeight="false" outlineLevel="0" collapsed="false">
      <c r="A13335" s="103"/>
      <c r="B13335" s="104"/>
      <c r="C13335" s="104"/>
      <c r="E13335" s="107" t="str">
        <f aca="false">IF($C13335="","",IFERROR(INDEX(المنيو!$C$2:$C$500,MATCH($C13335,المنيو!$B$2:$B$500,0)),0))</f>
        <v/>
      </c>
      <c r="F13335" s="107" t="str">
        <f aca="false">IF($C13335="","",$D13335*$E13335)</f>
        <v/>
      </c>
      <c r="G13335" s="107" t="str">
        <f aca="false">IF($C13335="","",$D13335*IFERROR(INDEX('تحليل التكلفة والسعر'!$C$2:$C$700,MATCH($C13335,'تحليل التكلفة والسعر'!$B$2:$B$700,0)),0))</f>
        <v/>
      </c>
    </row>
    <row r="13336" customFormat="false" ht="15" hidden="false" customHeight="false" outlineLevel="0" collapsed="false">
      <c r="A13336" s="103"/>
      <c r="B13336" s="104"/>
      <c r="C13336" s="104"/>
      <c r="E13336" s="107" t="str">
        <f aca="false">IF($C13336="","",IFERROR(INDEX(المنيو!$C$2:$C$500,MATCH($C13336,المنيو!$B$2:$B$500,0)),0))</f>
        <v/>
      </c>
      <c r="F13336" s="107" t="str">
        <f aca="false">IF($C13336="","",$D13336*$E13336)</f>
        <v/>
      </c>
      <c r="G13336" s="107" t="str">
        <f aca="false">IF($C13336="","",$D13336*IFERROR(INDEX('تحليل التكلفة والسعر'!$C$2:$C$700,MATCH($C13336,'تحليل التكلفة والسعر'!$B$2:$B$700,0)),0))</f>
        <v/>
      </c>
    </row>
    <row r="13337" customFormat="false" ht="15" hidden="false" customHeight="false" outlineLevel="0" collapsed="false">
      <c r="A13337" s="103"/>
      <c r="B13337" s="104"/>
      <c r="C13337" s="104"/>
      <c r="E13337" s="107" t="str">
        <f aca="false">IF($C13337="","",IFERROR(INDEX(المنيو!$C$2:$C$500,MATCH($C13337,المنيو!$B$2:$B$500,0)),0))</f>
        <v/>
      </c>
      <c r="F13337" s="107" t="str">
        <f aca="false">IF($C13337="","",$D13337*$E13337)</f>
        <v/>
      </c>
      <c r="G13337" s="107" t="str">
        <f aca="false">IF($C13337="","",$D13337*IFERROR(INDEX('تحليل التكلفة والسعر'!$C$2:$C$700,MATCH($C13337,'تحليل التكلفة والسعر'!$B$2:$B$700,0)),0))</f>
        <v/>
      </c>
    </row>
    <row r="13338" customFormat="false" ht="15" hidden="false" customHeight="false" outlineLevel="0" collapsed="false">
      <c r="A13338" s="103"/>
      <c r="B13338" s="104"/>
      <c r="C13338" s="104"/>
      <c r="E13338" s="107" t="str">
        <f aca="false">IF($C13338="","",IFERROR(INDEX(المنيو!$C$2:$C$500,MATCH($C13338,المنيو!$B$2:$B$500,0)),0))</f>
        <v/>
      </c>
      <c r="F13338" s="107" t="str">
        <f aca="false">IF($C13338="","",$D13338*$E13338)</f>
        <v/>
      </c>
      <c r="G13338" s="107" t="str">
        <f aca="false">IF($C13338="","",$D13338*IFERROR(INDEX('تحليل التكلفة والسعر'!$C$2:$C$700,MATCH($C13338,'تحليل التكلفة والسعر'!$B$2:$B$700,0)),0))</f>
        <v/>
      </c>
    </row>
    <row r="13339" customFormat="false" ht="15" hidden="false" customHeight="false" outlineLevel="0" collapsed="false">
      <c r="A13339" s="103"/>
      <c r="B13339" s="104"/>
      <c r="C13339" s="104"/>
      <c r="E13339" s="107" t="str">
        <f aca="false">IF($C13339="","",IFERROR(INDEX(المنيو!$C$2:$C$500,MATCH($C13339,المنيو!$B$2:$B$500,0)),0))</f>
        <v/>
      </c>
      <c r="F13339" s="107" t="str">
        <f aca="false">IF($C13339="","",$D13339*$E13339)</f>
        <v/>
      </c>
      <c r="G13339" s="107" t="str">
        <f aca="false">IF($C13339="","",$D13339*IFERROR(INDEX('تحليل التكلفة والسعر'!$C$2:$C$700,MATCH($C13339,'تحليل التكلفة والسعر'!$B$2:$B$700,0)),0))</f>
        <v/>
      </c>
    </row>
    <row r="13340" customFormat="false" ht="15" hidden="false" customHeight="false" outlineLevel="0" collapsed="false">
      <c r="A13340" s="103"/>
      <c r="B13340" s="104"/>
      <c r="C13340" s="104"/>
      <c r="E13340" s="107" t="str">
        <f aca="false">IF($C13340="","",IFERROR(INDEX(المنيو!$C$2:$C$500,MATCH($C13340,المنيو!$B$2:$B$500,0)),0))</f>
        <v/>
      </c>
      <c r="F13340" s="107" t="str">
        <f aca="false">IF($C13340="","",$D13340*$E13340)</f>
        <v/>
      </c>
      <c r="G13340" s="107" t="str">
        <f aca="false">IF($C13340="","",$D13340*IFERROR(INDEX('تحليل التكلفة والسعر'!$C$2:$C$700,MATCH($C13340,'تحليل التكلفة والسعر'!$B$2:$B$700,0)),0))</f>
        <v/>
      </c>
    </row>
    <row r="13341" customFormat="false" ht="15" hidden="false" customHeight="false" outlineLevel="0" collapsed="false">
      <c r="A13341" s="103"/>
      <c r="B13341" s="104"/>
      <c r="C13341" s="104"/>
      <c r="E13341" s="107" t="str">
        <f aca="false">IF($C13341="","",IFERROR(INDEX(المنيو!$C$2:$C$500,MATCH($C13341,المنيو!$B$2:$B$500,0)),0))</f>
        <v/>
      </c>
      <c r="F13341" s="107" t="str">
        <f aca="false">IF($C13341="","",$D13341*$E13341)</f>
        <v/>
      </c>
      <c r="G13341" s="107" t="str">
        <f aca="false">IF($C13341="","",$D13341*IFERROR(INDEX('تحليل التكلفة والسعر'!$C$2:$C$700,MATCH($C13341,'تحليل التكلفة والسعر'!$B$2:$B$700,0)),0))</f>
        <v/>
      </c>
    </row>
    <row r="13342" customFormat="false" ht="15" hidden="false" customHeight="false" outlineLevel="0" collapsed="false">
      <c r="A13342" s="103"/>
      <c r="B13342" s="104"/>
      <c r="C13342" s="104"/>
      <c r="E13342" s="107" t="str">
        <f aca="false">IF($C13342="","",IFERROR(INDEX(المنيو!$C$2:$C$500,MATCH($C13342,المنيو!$B$2:$B$500,0)),0))</f>
        <v/>
      </c>
      <c r="F13342" s="107" t="str">
        <f aca="false">IF($C13342="","",$D13342*$E13342)</f>
        <v/>
      </c>
      <c r="G13342" s="107" t="str">
        <f aca="false">IF($C13342="","",$D13342*IFERROR(INDEX('تحليل التكلفة والسعر'!$C$2:$C$700,MATCH($C13342,'تحليل التكلفة والسعر'!$B$2:$B$700,0)),0))</f>
        <v/>
      </c>
    </row>
    <row r="13343" customFormat="false" ht="15" hidden="false" customHeight="false" outlineLevel="0" collapsed="false">
      <c r="A13343" s="103"/>
      <c r="B13343" s="104"/>
      <c r="C13343" s="104"/>
      <c r="E13343" s="107" t="str">
        <f aca="false">IF($C13343="","",IFERROR(INDEX(المنيو!$C$2:$C$500,MATCH($C13343,المنيو!$B$2:$B$500,0)),0))</f>
        <v/>
      </c>
      <c r="F13343" s="107" t="str">
        <f aca="false">IF($C13343="","",$D13343*$E13343)</f>
        <v/>
      </c>
      <c r="G13343" s="107" t="str">
        <f aca="false">IF($C13343="","",$D13343*IFERROR(INDEX('تحليل التكلفة والسعر'!$C$2:$C$700,MATCH($C13343,'تحليل التكلفة والسعر'!$B$2:$B$700,0)),0))</f>
        <v/>
      </c>
    </row>
    <row r="13344" customFormat="false" ht="15" hidden="false" customHeight="false" outlineLevel="0" collapsed="false">
      <c r="A13344" s="103"/>
      <c r="B13344" s="104"/>
      <c r="C13344" s="104"/>
      <c r="E13344" s="107" t="str">
        <f aca="false">IF($C13344="","",IFERROR(INDEX(المنيو!$C$2:$C$500,MATCH($C13344,المنيو!$B$2:$B$500,0)),0))</f>
        <v/>
      </c>
      <c r="F13344" s="107" t="str">
        <f aca="false">IF($C13344="","",$D13344*$E13344)</f>
        <v/>
      </c>
      <c r="G13344" s="107" t="str">
        <f aca="false">IF($C13344="","",$D13344*IFERROR(INDEX('تحليل التكلفة والسعر'!$C$2:$C$700,MATCH($C13344,'تحليل التكلفة والسعر'!$B$2:$B$700,0)),0))</f>
        <v/>
      </c>
    </row>
    <row r="13345" customFormat="false" ht="15" hidden="false" customHeight="false" outlineLevel="0" collapsed="false">
      <c r="A13345" s="103"/>
      <c r="B13345" s="104"/>
      <c r="C13345" s="104"/>
      <c r="E13345" s="107" t="str">
        <f aca="false">IF($C13345="","",IFERROR(INDEX(المنيو!$C$2:$C$500,MATCH($C13345,المنيو!$B$2:$B$500,0)),0))</f>
        <v/>
      </c>
      <c r="F13345" s="107" t="str">
        <f aca="false">IF($C13345="","",$D13345*$E13345)</f>
        <v/>
      </c>
      <c r="G13345" s="107" t="str">
        <f aca="false">IF($C13345="","",$D13345*IFERROR(INDEX('تحليل التكلفة والسعر'!$C$2:$C$700,MATCH($C13345,'تحليل التكلفة والسعر'!$B$2:$B$700,0)),0))</f>
        <v/>
      </c>
    </row>
    <row r="13346" customFormat="false" ht="15" hidden="false" customHeight="false" outlineLevel="0" collapsed="false">
      <c r="A13346" s="103"/>
      <c r="B13346" s="104"/>
      <c r="C13346" s="104"/>
      <c r="E13346" s="107" t="str">
        <f aca="false">IF($C13346="","",IFERROR(INDEX(المنيو!$C$2:$C$500,MATCH($C13346,المنيو!$B$2:$B$500,0)),0))</f>
        <v/>
      </c>
      <c r="F13346" s="107" t="str">
        <f aca="false">IF($C13346="","",$D13346*$E13346)</f>
        <v/>
      </c>
      <c r="G13346" s="107" t="str">
        <f aca="false">IF($C13346="","",$D13346*IFERROR(INDEX('تحليل التكلفة والسعر'!$C$2:$C$700,MATCH($C13346,'تحليل التكلفة والسعر'!$B$2:$B$700,0)),0))</f>
        <v/>
      </c>
    </row>
    <row r="13347" customFormat="false" ht="15" hidden="false" customHeight="false" outlineLevel="0" collapsed="false">
      <c r="A13347" s="103"/>
      <c r="B13347" s="104"/>
      <c r="C13347" s="104"/>
      <c r="E13347" s="107" t="str">
        <f aca="false">IF($C13347="","",IFERROR(INDEX(المنيو!$C$2:$C$500,MATCH($C13347,المنيو!$B$2:$B$500,0)),0))</f>
        <v/>
      </c>
      <c r="F13347" s="107" t="str">
        <f aca="false">IF($C13347="","",$D13347*$E13347)</f>
        <v/>
      </c>
      <c r="G13347" s="107" t="str">
        <f aca="false">IF($C13347="","",$D13347*IFERROR(INDEX('تحليل التكلفة والسعر'!$C$2:$C$700,MATCH($C13347,'تحليل التكلفة والسعر'!$B$2:$B$700,0)),0))</f>
        <v/>
      </c>
    </row>
    <row r="13348" customFormat="false" ht="15" hidden="false" customHeight="false" outlineLevel="0" collapsed="false">
      <c r="A13348" s="103"/>
      <c r="B13348" s="104"/>
      <c r="C13348" s="104"/>
      <c r="E13348" s="107" t="str">
        <f aca="false">IF($C13348="","",IFERROR(INDEX(المنيو!$C$2:$C$500,MATCH($C13348,المنيو!$B$2:$B$500,0)),0))</f>
        <v/>
      </c>
      <c r="F13348" s="107" t="str">
        <f aca="false">IF($C13348="","",$D13348*$E13348)</f>
        <v/>
      </c>
      <c r="G13348" s="107" t="str">
        <f aca="false">IF($C13348="","",$D13348*IFERROR(INDEX('تحليل التكلفة والسعر'!$C$2:$C$700,MATCH($C13348,'تحليل التكلفة والسعر'!$B$2:$B$700,0)),0))</f>
        <v/>
      </c>
    </row>
    <row r="13349" customFormat="false" ht="15" hidden="false" customHeight="false" outlineLevel="0" collapsed="false">
      <c r="A13349" s="103"/>
      <c r="B13349" s="104"/>
      <c r="C13349" s="104"/>
      <c r="E13349" s="107" t="str">
        <f aca="false">IF($C13349="","",IFERROR(INDEX(المنيو!$C$2:$C$500,MATCH($C13349,المنيو!$B$2:$B$500,0)),0))</f>
        <v/>
      </c>
      <c r="F13349" s="107" t="str">
        <f aca="false">IF($C13349="","",$D13349*$E13349)</f>
        <v/>
      </c>
      <c r="G13349" s="107" t="str">
        <f aca="false">IF($C13349="","",$D13349*IFERROR(INDEX('تحليل التكلفة والسعر'!$C$2:$C$700,MATCH($C13349,'تحليل التكلفة والسعر'!$B$2:$B$700,0)),0))</f>
        <v/>
      </c>
    </row>
    <row r="13350" customFormat="false" ht="15" hidden="false" customHeight="false" outlineLevel="0" collapsed="false">
      <c r="A13350" s="103"/>
      <c r="B13350" s="104"/>
      <c r="C13350" s="104"/>
      <c r="E13350" s="107" t="str">
        <f aca="false">IF($C13350="","",IFERROR(INDEX(المنيو!$C$2:$C$500,MATCH($C13350,المنيو!$B$2:$B$500,0)),0))</f>
        <v/>
      </c>
      <c r="F13350" s="107" t="str">
        <f aca="false">IF($C13350="","",$D13350*$E13350)</f>
        <v/>
      </c>
      <c r="G13350" s="107" t="str">
        <f aca="false">IF($C13350="","",$D13350*IFERROR(INDEX('تحليل التكلفة والسعر'!$C$2:$C$700,MATCH($C13350,'تحليل التكلفة والسعر'!$B$2:$B$700,0)),0))</f>
        <v/>
      </c>
    </row>
    <row r="13351" customFormat="false" ht="15" hidden="false" customHeight="false" outlineLevel="0" collapsed="false">
      <c r="A13351" s="103"/>
      <c r="B13351" s="104"/>
      <c r="C13351" s="104"/>
      <c r="E13351" s="107" t="str">
        <f aca="false">IF($C13351="","",IFERROR(INDEX(المنيو!$C$2:$C$500,MATCH($C13351,المنيو!$B$2:$B$500,0)),0))</f>
        <v/>
      </c>
      <c r="F13351" s="107" t="str">
        <f aca="false">IF($C13351="","",$D13351*$E13351)</f>
        <v/>
      </c>
      <c r="G13351" s="107" t="str">
        <f aca="false">IF($C13351="","",$D13351*IFERROR(INDEX('تحليل التكلفة والسعر'!$C$2:$C$700,MATCH($C13351,'تحليل التكلفة والسعر'!$B$2:$B$700,0)),0))</f>
        <v/>
      </c>
    </row>
    <row r="13352" customFormat="false" ht="15" hidden="false" customHeight="false" outlineLevel="0" collapsed="false">
      <c r="A13352" s="103"/>
      <c r="B13352" s="104"/>
      <c r="C13352" s="104"/>
      <c r="E13352" s="107" t="str">
        <f aca="false">IF($C13352="","",IFERROR(INDEX(المنيو!$C$2:$C$500,MATCH($C13352,المنيو!$B$2:$B$500,0)),0))</f>
        <v/>
      </c>
      <c r="F13352" s="107" t="str">
        <f aca="false">IF($C13352="","",$D13352*$E13352)</f>
        <v/>
      </c>
      <c r="G13352" s="107" t="str">
        <f aca="false">IF($C13352="","",$D13352*IFERROR(INDEX('تحليل التكلفة والسعر'!$C$2:$C$700,MATCH($C13352,'تحليل التكلفة والسعر'!$B$2:$B$700,0)),0))</f>
        <v/>
      </c>
    </row>
    <row r="13353" customFormat="false" ht="15" hidden="false" customHeight="false" outlineLevel="0" collapsed="false">
      <c r="A13353" s="103"/>
      <c r="B13353" s="104"/>
      <c r="C13353" s="104"/>
      <c r="E13353" s="107" t="str">
        <f aca="false">IF($C13353="","",IFERROR(INDEX(المنيو!$C$2:$C$500,MATCH($C13353,المنيو!$B$2:$B$500,0)),0))</f>
        <v/>
      </c>
      <c r="F13353" s="107" t="str">
        <f aca="false">IF($C13353="","",$D13353*$E13353)</f>
        <v/>
      </c>
      <c r="G13353" s="107" t="str">
        <f aca="false">IF($C13353="","",$D13353*IFERROR(INDEX('تحليل التكلفة والسعر'!$C$2:$C$700,MATCH($C13353,'تحليل التكلفة والسعر'!$B$2:$B$700,0)),0))</f>
        <v/>
      </c>
    </row>
    <row r="13354" customFormat="false" ht="15" hidden="false" customHeight="false" outlineLevel="0" collapsed="false">
      <c r="A13354" s="103"/>
      <c r="B13354" s="104"/>
      <c r="C13354" s="104"/>
      <c r="E13354" s="107" t="str">
        <f aca="false">IF($C13354="","",IFERROR(INDEX(المنيو!$C$2:$C$500,MATCH($C13354,المنيو!$B$2:$B$500,0)),0))</f>
        <v/>
      </c>
      <c r="F13354" s="107" t="str">
        <f aca="false">IF($C13354="","",$D13354*$E13354)</f>
        <v/>
      </c>
      <c r="G13354" s="107" t="str">
        <f aca="false">IF($C13354="","",$D13354*IFERROR(INDEX('تحليل التكلفة والسعر'!$C$2:$C$700,MATCH($C13354,'تحليل التكلفة والسعر'!$B$2:$B$700,0)),0))</f>
        <v/>
      </c>
    </row>
    <row r="13355" customFormat="false" ht="15" hidden="false" customHeight="false" outlineLevel="0" collapsed="false">
      <c r="A13355" s="103"/>
      <c r="B13355" s="104"/>
      <c r="C13355" s="104"/>
      <c r="E13355" s="107" t="str">
        <f aca="false">IF($C13355="","",IFERROR(INDEX(المنيو!$C$2:$C$500,MATCH($C13355,المنيو!$B$2:$B$500,0)),0))</f>
        <v/>
      </c>
      <c r="F13355" s="107" t="str">
        <f aca="false">IF($C13355="","",$D13355*$E13355)</f>
        <v/>
      </c>
      <c r="G13355" s="107" t="str">
        <f aca="false">IF($C13355="","",$D13355*IFERROR(INDEX('تحليل التكلفة والسعر'!$C$2:$C$700,MATCH($C13355,'تحليل التكلفة والسعر'!$B$2:$B$700,0)),0))</f>
        <v/>
      </c>
    </row>
    <row r="13356" customFormat="false" ht="15" hidden="false" customHeight="false" outlineLevel="0" collapsed="false">
      <c r="A13356" s="103"/>
      <c r="B13356" s="104"/>
      <c r="C13356" s="104"/>
      <c r="E13356" s="107" t="str">
        <f aca="false">IF($C13356="","",IFERROR(INDEX(المنيو!$C$2:$C$500,MATCH($C13356,المنيو!$B$2:$B$500,0)),0))</f>
        <v/>
      </c>
      <c r="F13356" s="107" t="str">
        <f aca="false">IF($C13356="","",$D13356*$E13356)</f>
        <v/>
      </c>
      <c r="G13356" s="107" t="str">
        <f aca="false">IF($C13356="","",$D13356*IFERROR(INDEX('تحليل التكلفة والسعر'!$C$2:$C$700,MATCH($C13356,'تحليل التكلفة والسعر'!$B$2:$B$700,0)),0))</f>
        <v/>
      </c>
    </row>
    <row r="13357" customFormat="false" ht="15" hidden="false" customHeight="false" outlineLevel="0" collapsed="false">
      <c r="A13357" s="103"/>
      <c r="B13357" s="104"/>
      <c r="C13357" s="104"/>
      <c r="E13357" s="107" t="str">
        <f aca="false">IF($C13357="","",IFERROR(INDEX(المنيو!$C$2:$C$500,MATCH($C13357,المنيو!$B$2:$B$500,0)),0))</f>
        <v/>
      </c>
      <c r="F13357" s="107" t="str">
        <f aca="false">IF($C13357="","",$D13357*$E13357)</f>
        <v/>
      </c>
      <c r="G13357" s="107" t="str">
        <f aca="false">IF($C13357="","",$D13357*IFERROR(INDEX('تحليل التكلفة والسعر'!$C$2:$C$700,MATCH($C13357,'تحليل التكلفة والسعر'!$B$2:$B$700,0)),0))</f>
        <v/>
      </c>
    </row>
    <row r="13358" customFormat="false" ht="15" hidden="false" customHeight="false" outlineLevel="0" collapsed="false">
      <c r="A13358" s="103"/>
      <c r="B13358" s="104"/>
      <c r="C13358" s="104"/>
      <c r="E13358" s="107" t="str">
        <f aca="false">IF($C13358="","",IFERROR(INDEX(المنيو!$C$2:$C$500,MATCH($C13358,المنيو!$B$2:$B$500,0)),0))</f>
        <v/>
      </c>
      <c r="F13358" s="107" t="str">
        <f aca="false">IF($C13358="","",$D13358*$E13358)</f>
        <v/>
      </c>
      <c r="G13358" s="107" t="str">
        <f aca="false">IF($C13358="","",$D13358*IFERROR(INDEX('تحليل التكلفة والسعر'!$C$2:$C$700,MATCH($C13358,'تحليل التكلفة والسعر'!$B$2:$B$700,0)),0))</f>
        <v/>
      </c>
    </row>
    <row r="13359" customFormat="false" ht="15" hidden="false" customHeight="false" outlineLevel="0" collapsed="false">
      <c r="A13359" s="103"/>
      <c r="B13359" s="104"/>
      <c r="C13359" s="104"/>
      <c r="E13359" s="107" t="str">
        <f aca="false">IF($C13359="","",IFERROR(INDEX(المنيو!$C$2:$C$500,MATCH($C13359,المنيو!$B$2:$B$500,0)),0))</f>
        <v/>
      </c>
      <c r="F13359" s="107" t="str">
        <f aca="false">IF($C13359="","",$D13359*$E13359)</f>
        <v/>
      </c>
      <c r="G13359" s="107" t="str">
        <f aca="false">IF($C13359="","",$D13359*IFERROR(INDEX('تحليل التكلفة والسعر'!$C$2:$C$700,MATCH($C13359,'تحليل التكلفة والسعر'!$B$2:$B$700,0)),0))</f>
        <v/>
      </c>
    </row>
    <row r="13360" customFormat="false" ht="15" hidden="false" customHeight="false" outlineLevel="0" collapsed="false">
      <c r="A13360" s="103"/>
      <c r="B13360" s="104"/>
      <c r="C13360" s="104"/>
      <c r="E13360" s="107" t="str">
        <f aca="false">IF($C13360="","",IFERROR(INDEX(المنيو!$C$2:$C$500,MATCH($C13360,المنيو!$B$2:$B$500,0)),0))</f>
        <v/>
      </c>
      <c r="F13360" s="107" t="str">
        <f aca="false">IF($C13360="","",$D13360*$E13360)</f>
        <v/>
      </c>
      <c r="G13360" s="107" t="str">
        <f aca="false">IF($C13360="","",$D13360*IFERROR(INDEX('تحليل التكلفة والسعر'!$C$2:$C$700,MATCH($C13360,'تحليل التكلفة والسعر'!$B$2:$B$700,0)),0))</f>
        <v/>
      </c>
    </row>
    <row r="13361" customFormat="false" ht="15" hidden="false" customHeight="false" outlineLevel="0" collapsed="false">
      <c r="A13361" s="103"/>
      <c r="B13361" s="104"/>
      <c r="C13361" s="104"/>
      <c r="E13361" s="107" t="str">
        <f aca="false">IF($C13361="","",IFERROR(INDEX(المنيو!$C$2:$C$500,MATCH($C13361,المنيو!$B$2:$B$500,0)),0))</f>
        <v/>
      </c>
      <c r="F13361" s="107" t="str">
        <f aca="false">IF($C13361="","",$D13361*$E13361)</f>
        <v/>
      </c>
      <c r="G13361" s="107" t="str">
        <f aca="false">IF($C13361="","",$D13361*IFERROR(INDEX('تحليل التكلفة والسعر'!$C$2:$C$700,MATCH($C13361,'تحليل التكلفة والسعر'!$B$2:$B$700,0)),0))</f>
        <v/>
      </c>
    </row>
    <row r="13362" customFormat="false" ht="15" hidden="false" customHeight="false" outlineLevel="0" collapsed="false">
      <c r="A13362" s="103"/>
      <c r="B13362" s="104"/>
      <c r="C13362" s="104"/>
      <c r="E13362" s="107" t="str">
        <f aca="false">IF($C13362="","",IFERROR(INDEX(المنيو!$C$2:$C$500,MATCH($C13362,المنيو!$B$2:$B$500,0)),0))</f>
        <v/>
      </c>
      <c r="F13362" s="107" t="str">
        <f aca="false">IF($C13362="","",$D13362*$E13362)</f>
        <v/>
      </c>
      <c r="G13362" s="107" t="str">
        <f aca="false">IF($C13362="","",$D13362*IFERROR(INDEX('تحليل التكلفة والسعر'!$C$2:$C$700,MATCH($C13362,'تحليل التكلفة والسعر'!$B$2:$B$700,0)),0))</f>
        <v/>
      </c>
    </row>
    <row r="13363" customFormat="false" ht="15" hidden="false" customHeight="false" outlineLevel="0" collapsed="false">
      <c r="A13363" s="103"/>
      <c r="B13363" s="104"/>
      <c r="C13363" s="104"/>
      <c r="E13363" s="107" t="str">
        <f aca="false">IF($C13363="","",IFERROR(INDEX(المنيو!$C$2:$C$500,MATCH($C13363,المنيو!$B$2:$B$500,0)),0))</f>
        <v/>
      </c>
      <c r="F13363" s="107" t="str">
        <f aca="false">IF($C13363="","",$D13363*$E13363)</f>
        <v/>
      </c>
      <c r="G13363" s="107" t="str">
        <f aca="false">IF($C13363="","",$D13363*IFERROR(INDEX('تحليل التكلفة والسعر'!$C$2:$C$700,MATCH($C13363,'تحليل التكلفة والسعر'!$B$2:$B$700,0)),0))</f>
        <v/>
      </c>
    </row>
    <row r="13364" customFormat="false" ht="15" hidden="false" customHeight="false" outlineLevel="0" collapsed="false">
      <c r="A13364" s="103"/>
      <c r="B13364" s="104"/>
      <c r="C13364" s="104"/>
      <c r="E13364" s="107" t="str">
        <f aca="false">IF($C13364="","",IFERROR(INDEX(المنيو!$C$2:$C$500,MATCH($C13364,المنيو!$B$2:$B$500,0)),0))</f>
        <v/>
      </c>
      <c r="F13364" s="107" t="str">
        <f aca="false">IF($C13364="","",$D13364*$E13364)</f>
        <v/>
      </c>
      <c r="G13364" s="107" t="str">
        <f aca="false">IF($C13364="","",$D13364*IFERROR(INDEX('تحليل التكلفة والسعر'!$C$2:$C$700,MATCH($C13364,'تحليل التكلفة والسعر'!$B$2:$B$700,0)),0))</f>
        <v/>
      </c>
    </row>
    <row r="13365" customFormat="false" ht="15" hidden="false" customHeight="false" outlineLevel="0" collapsed="false">
      <c r="A13365" s="103"/>
      <c r="B13365" s="104"/>
      <c r="C13365" s="104"/>
      <c r="E13365" s="107" t="str">
        <f aca="false">IF($C13365="","",IFERROR(INDEX(المنيو!$C$2:$C$500,MATCH($C13365,المنيو!$B$2:$B$500,0)),0))</f>
        <v/>
      </c>
      <c r="F13365" s="107" t="str">
        <f aca="false">IF($C13365="","",$D13365*$E13365)</f>
        <v/>
      </c>
      <c r="G13365" s="107" t="str">
        <f aca="false">IF($C13365="","",$D13365*IFERROR(INDEX('تحليل التكلفة والسعر'!$C$2:$C$700,MATCH($C13365,'تحليل التكلفة والسعر'!$B$2:$B$700,0)),0))</f>
        <v/>
      </c>
    </row>
    <row r="13366" customFormat="false" ht="15" hidden="false" customHeight="false" outlineLevel="0" collapsed="false">
      <c r="A13366" s="103"/>
      <c r="B13366" s="104"/>
      <c r="C13366" s="104"/>
      <c r="E13366" s="107" t="str">
        <f aca="false">IF($C13366="","",IFERROR(INDEX(المنيو!$C$2:$C$500,MATCH($C13366,المنيو!$B$2:$B$500,0)),0))</f>
        <v/>
      </c>
      <c r="F13366" s="107" t="str">
        <f aca="false">IF($C13366="","",$D13366*$E13366)</f>
        <v/>
      </c>
      <c r="G13366" s="107" t="str">
        <f aca="false">IF($C13366="","",$D13366*IFERROR(INDEX('تحليل التكلفة والسعر'!$C$2:$C$700,MATCH($C13366,'تحليل التكلفة والسعر'!$B$2:$B$700,0)),0))</f>
        <v/>
      </c>
    </row>
    <row r="13367" customFormat="false" ht="15" hidden="false" customHeight="false" outlineLevel="0" collapsed="false">
      <c r="A13367" s="103"/>
      <c r="B13367" s="104"/>
      <c r="C13367" s="104"/>
      <c r="E13367" s="107" t="str">
        <f aca="false">IF($C13367="","",IFERROR(INDEX(المنيو!$C$2:$C$500,MATCH($C13367,المنيو!$B$2:$B$500,0)),0))</f>
        <v/>
      </c>
      <c r="F13367" s="107" t="str">
        <f aca="false">IF($C13367="","",$D13367*$E13367)</f>
        <v/>
      </c>
      <c r="G13367" s="107" t="str">
        <f aca="false">IF($C13367="","",$D13367*IFERROR(INDEX('تحليل التكلفة والسعر'!$C$2:$C$700,MATCH($C13367,'تحليل التكلفة والسعر'!$B$2:$B$700,0)),0))</f>
        <v/>
      </c>
    </row>
    <row r="13368" customFormat="false" ht="15" hidden="false" customHeight="false" outlineLevel="0" collapsed="false">
      <c r="A13368" s="103"/>
      <c r="B13368" s="104"/>
      <c r="C13368" s="104"/>
      <c r="E13368" s="107" t="str">
        <f aca="false">IF($C13368="","",IFERROR(INDEX(المنيو!$C$2:$C$500,MATCH($C13368,المنيو!$B$2:$B$500,0)),0))</f>
        <v/>
      </c>
      <c r="F13368" s="107" t="str">
        <f aca="false">IF($C13368="","",$D13368*$E13368)</f>
        <v/>
      </c>
      <c r="G13368" s="107" t="str">
        <f aca="false">IF($C13368="","",$D13368*IFERROR(INDEX('تحليل التكلفة والسعر'!$C$2:$C$700,MATCH($C13368,'تحليل التكلفة والسعر'!$B$2:$B$700,0)),0))</f>
        <v/>
      </c>
    </row>
    <row r="13369" customFormat="false" ht="15" hidden="false" customHeight="false" outlineLevel="0" collapsed="false">
      <c r="A13369" s="103"/>
      <c r="B13369" s="104"/>
      <c r="C13369" s="104"/>
      <c r="E13369" s="107" t="str">
        <f aca="false">IF($C13369="","",IFERROR(INDEX(المنيو!$C$2:$C$500,MATCH($C13369,المنيو!$B$2:$B$500,0)),0))</f>
        <v/>
      </c>
      <c r="F13369" s="107" t="str">
        <f aca="false">IF($C13369="","",$D13369*$E13369)</f>
        <v/>
      </c>
      <c r="G13369" s="107" t="str">
        <f aca="false">IF($C13369="","",$D13369*IFERROR(INDEX('تحليل التكلفة والسعر'!$C$2:$C$700,MATCH($C13369,'تحليل التكلفة والسعر'!$B$2:$B$700,0)),0))</f>
        <v/>
      </c>
    </row>
    <row r="13370" customFormat="false" ht="15" hidden="false" customHeight="false" outlineLevel="0" collapsed="false">
      <c r="A13370" s="103"/>
      <c r="B13370" s="104"/>
      <c r="C13370" s="104"/>
      <c r="E13370" s="107" t="str">
        <f aca="false">IF($C13370="","",IFERROR(INDEX(المنيو!$C$2:$C$500,MATCH($C13370,المنيو!$B$2:$B$500,0)),0))</f>
        <v/>
      </c>
      <c r="F13370" s="107" t="str">
        <f aca="false">IF($C13370="","",$D13370*$E13370)</f>
        <v/>
      </c>
      <c r="G13370" s="107" t="str">
        <f aca="false">IF($C13370="","",$D13370*IFERROR(INDEX('تحليل التكلفة والسعر'!$C$2:$C$700,MATCH($C13370,'تحليل التكلفة والسعر'!$B$2:$B$700,0)),0))</f>
        <v/>
      </c>
    </row>
    <row r="13371" customFormat="false" ht="15" hidden="false" customHeight="false" outlineLevel="0" collapsed="false">
      <c r="A13371" s="103"/>
      <c r="B13371" s="104"/>
      <c r="C13371" s="104"/>
      <c r="E13371" s="107" t="str">
        <f aca="false">IF($C13371="","",IFERROR(INDEX(المنيو!$C$2:$C$500,MATCH($C13371,المنيو!$B$2:$B$500,0)),0))</f>
        <v/>
      </c>
      <c r="F13371" s="107" t="str">
        <f aca="false">IF($C13371="","",$D13371*$E13371)</f>
        <v/>
      </c>
      <c r="G13371" s="107" t="str">
        <f aca="false">IF($C13371="","",$D13371*IFERROR(INDEX('تحليل التكلفة والسعر'!$C$2:$C$700,MATCH($C13371,'تحليل التكلفة والسعر'!$B$2:$B$700,0)),0))</f>
        <v/>
      </c>
    </row>
    <row r="13372" customFormat="false" ht="15" hidden="false" customHeight="false" outlineLevel="0" collapsed="false">
      <c r="A13372" s="103"/>
      <c r="B13372" s="104"/>
      <c r="C13372" s="104"/>
      <c r="E13372" s="107" t="str">
        <f aca="false">IF($C13372="","",IFERROR(INDEX(المنيو!$C$2:$C$500,MATCH($C13372,المنيو!$B$2:$B$500,0)),0))</f>
        <v/>
      </c>
      <c r="F13372" s="107" t="str">
        <f aca="false">IF($C13372="","",$D13372*$E13372)</f>
        <v/>
      </c>
      <c r="G13372" s="107" t="str">
        <f aca="false">IF($C13372="","",$D13372*IFERROR(INDEX('تحليل التكلفة والسعر'!$C$2:$C$700,MATCH($C13372,'تحليل التكلفة والسعر'!$B$2:$B$700,0)),0))</f>
        <v/>
      </c>
    </row>
    <row r="13373" customFormat="false" ht="15" hidden="false" customHeight="false" outlineLevel="0" collapsed="false">
      <c r="A13373" s="103"/>
      <c r="B13373" s="104"/>
      <c r="C13373" s="104"/>
      <c r="E13373" s="107" t="str">
        <f aca="false">IF($C13373="","",IFERROR(INDEX(المنيو!$C$2:$C$500,MATCH($C13373,المنيو!$B$2:$B$500,0)),0))</f>
        <v/>
      </c>
      <c r="F13373" s="107" t="str">
        <f aca="false">IF($C13373="","",$D13373*$E13373)</f>
        <v/>
      </c>
      <c r="G13373" s="107" t="str">
        <f aca="false">IF($C13373="","",$D13373*IFERROR(INDEX('تحليل التكلفة والسعر'!$C$2:$C$700,MATCH($C13373,'تحليل التكلفة والسعر'!$B$2:$B$700,0)),0))</f>
        <v/>
      </c>
    </row>
    <row r="13374" customFormat="false" ht="15" hidden="false" customHeight="false" outlineLevel="0" collapsed="false">
      <c r="A13374" s="103"/>
      <c r="B13374" s="104"/>
      <c r="C13374" s="104"/>
      <c r="E13374" s="107" t="str">
        <f aca="false">IF($C13374="","",IFERROR(INDEX(المنيو!$C$2:$C$500,MATCH($C13374,المنيو!$B$2:$B$500,0)),0))</f>
        <v/>
      </c>
      <c r="F13374" s="107" t="str">
        <f aca="false">IF($C13374="","",$D13374*$E13374)</f>
        <v/>
      </c>
      <c r="G13374" s="107" t="str">
        <f aca="false">IF($C13374="","",$D13374*IFERROR(INDEX('تحليل التكلفة والسعر'!$C$2:$C$700,MATCH($C13374,'تحليل التكلفة والسعر'!$B$2:$B$700,0)),0))</f>
        <v/>
      </c>
    </row>
    <row r="13375" customFormat="false" ht="15" hidden="false" customHeight="false" outlineLevel="0" collapsed="false">
      <c r="A13375" s="103"/>
      <c r="B13375" s="104"/>
      <c r="C13375" s="104"/>
      <c r="E13375" s="107" t="str">
        <f aca="false">IF($C13375="","",IFERROR(INDEX(المنيو!$C$2:$C$500,MATCH($C13375,المنيو!$B$2:$B$500,0)),0))</f>
        <v/>
      </c>
      <c r="F13375" s="107" t="str">
        <f aca="false">IF($C13375="","",$D13375*$E13375)</f>
        <v/>
      </c>
      <c r="G13375" s="107" t="str">
        <f aca="false">IF($C13375="","",$D13375*IFERROR(INDEX('تحليل التكلفة والسعر'!$C$2:$C$700,MATCH($C13375,'تحليل التكلفة والسعر'!$B$2:$B$700,0)),0))</f>
        <v/>
      </c>
    </row>
    <row r="13376" customFormat="false" ht="15" hidden="false" customHeight="false" outlineLevel="0" collapsed="false">
      <c r="A13376" s="103"/>
      <c r="B13376" s="104"/>
      <c r="C13376" s="104"/>
      <c r="E13376" s="107" t="str">
        <f aca="false">IF($C13376="","",IFERROR(INDEX(المنيو!$C$2:$C$500,MATCH($C13376,المنيو!$B$2:$B$500,0)),0))</f>
        <v/>
      </c>
      <c r="F13376" s="107" t="str">
        <f aca="false">IF($C13376="","",$D13376*$E13376)</f>
        <v/>
      </c>
      <c r="G13376" s="107" t="str">
        <f aca="false">IF($C13376="","",$D13376*IFERROR(INDEX('تحليل التكلفة والسعر'!$C$2:$C$700,MATCH($C13376,'تحليل التكلفة والسعر'!$B$2:$B$700,0)),0))</f>
        <v/>
      </c>
    </row>
    <row r="13377" customFormat="false" ht="15" hidden="false" customHeight="false" outlineLevel="0" collapsed="false">
      <c r="A13377" s="103"/>
      <c r="B13377" s="104"/>
      <c r="C13377" s="104"/>
      <c r="E13377" s="107" t="str">
        <f aca="false">IF($C13377="","",IFERROR(INDEX(المنيو!$C$2:$C$500,MATCH($C13377,المنيو!$B$2:$B$500,0)),0))</f>
        <v/>
      </c>
      <c r="F13377" s="107" t="str">
        <f aca="false">IF($C13377="","",$D13377*$E13377)</f>
        <v/>
      </c>
      <c r="G13377" s="107" t="str">
        <f aca="false">IF($C13377="","",$D13377*IFERROR(INDEX('تحليل التكلفة والسعر'!$C$2:$C$700,MATCH($C13377,'تحليل التكلفة والسعر'!$B$2:$B$700,0)),0))</f>
        <v/>
      </c>
    </row>
    <row r="13378" customFormat="false" ht="15" hidden="false" customHeight="false" outlineLevel="0" collapsed="false">
      <c r="A13378" s="103"/>
      <c r="B13378" s="104"/>
      <c r="C13378" s="104"/>
      <c r="E13378" s="107" t="str">
        <f aca="false">IF($C13378="","",IFERROR(INDEX(المنيو!$C$2:$C$500,MATCH($C13378,المنيو!$B$2:$B$500,0)),0))</f>
        <v/>
      </c>
      <c r="F13378" s="107" t="str">
        <f aca="false">IF($C13378="","",$D13378*$E13378)</f>
        <v/>
      </c>
      <c r="G13378" s="107" t="str">
        <f aca="false">IF($C13378="","",$D13378*IFERROR(INDEX('تحليل التكلفة والسعر'!$C$2:$C$700,MATCH($C13378,'تحليل التكلفة والسعر'!$B$2:$B$700,0)),0))</f>
        <v/>
      </c>
    </row>
    <row r="13379" customFormat="false" ht="15" hidden="false" customHeight="false" outlineLevel="0" collapsed="false">
      <c r="A13379" s="103"/>
      <c r="B13379" s="104"/>
      <c r="C13379" s="104"/>
      <c r="E13379" s="107" t="str">
        <f aca="false">IF($C13379="","",IFERROR(INDEX(المنيو!$C$2:$C$500,MATCH($C13379,المنيو!$B$2:$B$500,0)),0))</f>
        <v/>
      </c>
      <c r="F13379" s="107" t="str">
        <f aca="false">IF($C13379="","",$D13379*$E13379)</f>
        <v/>
      </c>
      <c r="G13379" s="107" t="str">
        <f aca="false">IF($C13379="","",$D13379*IFERROR(INDEX('تحليل التكلفة والسعر'!$C$2:$C$700,MATCH($C13379,'تحليل التكلفة والسعر'!$B$2:$B$700,0)),0))</f>
        <v/>
      </c>
    </row>
    <row r="13380" customFormat="false" ht="15" hidden="false" customHeight="false" outlineLevel="0" collapsed="false">
      <c r="A13380" s="103"/>
      <c r="B13380" s="104"/>
      <c r="C13380" s="104"/>
      <c r="E13380" s="107" t="str">
        <f aca="false">IF($C13380="","",IFERROR(INDEX(المنيو!$C$2:$C$500,MATCH($C13380,المنيو!$B$2:$B$500,0)),0))</f>
        <v/>
      </c>
      <c r="F13380" s="107" t="str">
        <f aca="false">IF($C13380="","",$D13380*$E13380)</f>
        <v/>
      </c>
      <c r="G13380" s="107" t="str">
        <f aca="false">IF($C13380="","",$D13380*IFERROR(INDEX('تحليل التكلفة والسعر'!$C$2:$C$700,MATCH($C13380,'تحليل التكلفة والسعر'!$B$2:$B$700,0)),0))</f>
        <v/>
      </c>
    </row>
    <row r="13381" customFormat="false" ht="15" hidden="false" customHeight="false" outlineLevel="0" collapsed="false">
      <c r="A13381" s="103"/>
      <c r="B13381" s="104"/>
      <c r="C13381" s="104"/>
      <c r="E13381" s="107" t="str">
        <f aca="false">IF($C13381="","",IFERROR(INDEX(المنيو!$C$2:$C$500,MATCH($C13381,المنيو!$B$2:$B$500,0)),0))</f>
        <v/>
      </c>
      <c r="F13381" s="107" t="str">
        <f aca="false">IF($C13381="","",$D13381*$E13381)</f>
        <v/>
      </c>
      <c r="G13381" s="107" t="str">
        <f aca="false">IF($C13381="","",$D13381*IFERROR(INDEX('تحليل التكلفة والسعر'!$C$2:$C$700,MATCH($C13381,'تحليل التكلفة والسعر'!$B$2:$B$700,0)),0))</f>
        <v/>
      </c>
    </row>
    <row r="13382" customFormat="false" ht="15" hidden="false" customHeight="false" outlineLevel="0" collapsed="false">
      <c r="A13382" s="103"/>
      <c r="B13382" s="104"/>
      <c r="C13382" s="104"/>
      <c r="E13382" s="107" t="str">
        <f aca="false">IF($C13382="","",IFERROR(INDEX(المنيو!$C$2:$C$500,MATCH($C13382,المنيو!$B$2:$B$500,0)),0))</f>
        <v/>
      </c>
      <c r="F13382" s="107" t="str">
        <f aca="false">IF($C13382="","",$D13382*$E13382)</f>
        <v/>
      </c>
      <c r="G13382" s="107" t="str">
        <f aca="false">IF($C13382="","",$D13382*IFERROR(INDEX('تحليل التكلفة والسعر'!$C$2:$C$700,MATCH($C13382,'تحليل التكلفة والسعر'!$B$2:$B$700,0)),0))</f>
        <v/>
      </c>
    </row>
    <row r="13383" customFormat="false" ht="15" hidden="false" customHeight="false" outlineLevel="0" collapsed="false">
      <c r="A13383" s="103"/>
      <c r="B13383" s="104"/>
      <c r="C13383" s="104"/>
      <c r="E13383" s="107" t="str">
        <f aca="false">IF($C13383="","",IFERROR(INDEX(المنيو!$C$2:$C$500,MATCH($C13383,المنيو!$B$2:$B$500,0)),0))</f>
        <v/>
      </c>
      <c r="F13383" s="107" t="str">
        <f aca="false">IF($C13383="","",$D13383*$E13383)</f>
        <v/>
      </c>
      <c r="G13383" s="107" t="str">
        <f aca="false">IF($C13383="","",$D13383*IFERROR(INDEX('تحليل التكلفة والسعر'!$C$2:$C$700,MATCH($C13383,'تحليل التكلفة والسعر'!$B$2:$B$700,0)),0))</f>
        <v/>
      </c>
    </row>
    <row r="13384" customFormat="false" ht="15" hidden="false" customHeight="false" outlineLevel="0" collapsed="false">
      <c r="A13384" s="103"/>
      <c r="B13384" s="104"/>
      <c r="C13384" s="104"/>
      <c r="E13384" s="107" t="str">
        <f aca="false">IF($C13384="","",IFERROR(INDEX(المنيو!$C$2:$C$500,MATCH($C13384,المنيو!$B$2:$B$500,0)),0))</f>
        <v/>
      </c>
      <c r="F13384" s="107" t="str">
        <f aca="false">IF($C13384="","",$D13384*$E13384)</f>
        <v/>
      </c>
      <c r="G13384" s="107" t="str">
        <f aca="false">IF($C13384="","",$D13384*IFERROR(INDEX('تحليل التكلفة والسعر'!$C$2:$C$700,MATCH($C13384,'تحليل التكلفة والسعر'!$B$2:$B$700,0)),0))</f>
        <v/>
      </c>
    </row>
    <row r="13385" customFormat="false" ht="15" hidden="false" customHeight="false" outlineLevel="0" collapsed="false">
      <c r="A13385" s="103"/>
      <c r="B13385" s="104"/>
      <c r="C13385" s="104"/>
      <c r="E13385" s="107" t="str">
        <f aca="false">IF($C13385="","",IFERROR(INDEX(المنيو!$C$2:$C$500,MATCH($C13385,المنيو!$B$2:$B$500,0)),0))</f>
        <v/>
      </c>
      <c r="F13385" s="107" t="str">
        <f aca="false">IF($C13385="","",$D13385*$E13385)</f>
        <v/>
      </c>
      <c r="G13385" s="107" t="str">
        <f aca="false">IF($C13385="","",$D13385*IFERROR(INDEX('تحليل التكلفة والسعر'!$C$2:$C$700,MATCH($C13385,'تحليل التكلفة والسعر'!$B$2:$B$700,0)),0))</f>
        <v/>
      </c>
    </row>
    <row r="13386" customFormat="false" ht="15" hidden="false" customHeight="false" outlineLevel="0" collapsed="false">
      <c r="A13386" s="103"/>
      <c r="B13386" s="104"/>
      <c r="C13386" s="104"/>
      <c r="E13386" s="107" t="str">
        <f aca="false">IF($C13386="","",IFERROR(INDEX(المنيو!$C$2:$C$500,MATCH($C13386,المنيو!$B$2:$B$500,0)),0))</f>
        <v/>
      </c>
      <c r="F13386" s="107" t="str">
        <f aca="false">IF($C13386="","",$D13386*$E13386)</f>
        <v/>
      </c>
      <c r="G13386" s="107" t="str">
        <f aca="false">IF($C13386="","",$D13386*IFERROR(INDEX('تحليل التكلفة والسعر'!$C$2:$C$700,MATCH($C13386,'تحليل التكلفة والسعر'!$B$2:$B$700,0)),0))</f>
        <v/>
      </c>
    </row>
    <row r="13387" customFormat="false" ht="15" hidden="false" customHeight="false" outlineLevel="0" collapsed="false">
      <c r="A13387" s="103"/>
      <c r="B13387" s="104"/>
      <c r="C13387" s="104"/>
      <c r="E13387" s="107" t="str">
        <f aca="false">IF($C13387="","",IFERROR(INDEX(المنيو!$C$2:$C$500,MATCH($C13387,المنيو!$B$2:$B$500,0)),0))</f>
        <v/>
      </c>
      <c r="F13387" s="107" t="str">
        <f aca="false">IF($C13387="","",$D13387*$E13387)</f>
        <v/>
      </c>
      <c r="G13387" s="107" t="str">
        <f aca="false">IF($C13387="","",$D13387*IFERROR(INDEX('تحليل التكلفة والسعر'!$C$2:$C$700,MATCH($C13387,'تحليل التكلفة والسعر'!$B$2:$B$700,0)),0))</f>
        <v/>
      </c>
    </row>
    <row r="13388" customFormat="false" ht="15" hidden="false" customHeight="false" outlineLevel="0" collapsed="false">
      <c r="A13388" s="103"/>
      <c r="B13388" s="104"/>
      <c r="C13388" s="104"/>
      <c r="E13388" s="107" t="str">
        <f aca="false">IF($C13388="","",IFERROR(INDEX(المنيو!$C$2:$C$500,MATCH($C13388,المنيو!$B$2:$B$500,0)),0))</f>
        <v/>
      </c>
      <c r="F13388" s="107" t="str">
        <f aca="false">IF($C13388="","",$D13388*$E13388)</f>
        <v/>
      </c>
      <c r="G13388" s="107" t="str">
        <f aca="false">IF($C13388="","",$D13388*IFERROR(INDEX('تحليل التكلفة والسعر'!$C$2:$C$700,MATCH($C13388,'تحليل التكلفة والسعر'!$B$2:$B$700,0)),0))</f>
        <v/>
      </c>
    </row>
    <row r="13389" customFormat="false" ht="15" hidden="false" customHeight="false" outlineLevel="0" collapsed="false">
      <c r="A13389" s="103"/>
      <c r="B13389" s="104"/>
      <c r="C13389" s="104"/>
      <c r="E13389" s="107" t="str">
        <f aca="false">IF($C13389="","",IFERROR(INDEX(المنيو!$C$2:$C$500,MATCH($C13389,المنيو!$B$2:$B$500,0)),0))</f>
        <v/>
      </c>
      <c r="F13389" s="107" t="str">
        <f aca="false">IF($C13389="","",$D13389*$E13389)</f>
        <v/>
      </c>
      <c r="G13389" s="107" t="str">
        <f aca="false">IF($C13389="","",$D13389*IFERROR(INDEX('تحليل التكلفة والسعر'!$C$2:$C$700,MATCH($C13389,'تحليل التكلفة والسعر'!$B$2:$B$700,0)),0))</f>
        <v/>
      </c>
    </row>
    <row r="13390" customFormat="false" ht="15" hidden="false" customHeight="false" outlineLevel="0" collapsed="false">
      <c r="A13390" s="103"/>
      <c r="B13390" s="104"/>
      <c r="C13390" s="104"/>
      <c r="E13390" s="107" t="str">
        <f aca="false">IF($C13390="","",IFERROR(INDEX(المنيو!$C$2:$C$500,MATCH($C13390,المنيو!$B$2:$B$500,0)),0))</f>
        <v/>
      </c>
      <c r="F13390" s="107" t="str">
        <f aca="false">IF($C13390="","",$D13390*$E13390)</f>
        <v/>
      </c>
      <c r="G13390" s="107" t="str">
        <f aca="false">IF($C13390="","",$D13390*IFERROR(INDEX('تحليل التكلفة والسعر'!$C$2:$C$700,MATCH($C13390,'تحليل التكلفة والسعر'!$B$2:$B$700,0)),0))</f>
        <v/>
      </c>
    </row>
    <row r="13391" customFormat="false" ht="15" hidden="false" customHeight="false" outlineLevel="0" collapsed="false">
      <c r="A13391" s="103"/>
      <c r="B13391" s="104"/>
      <c r="C13391" s="104"/>
      <c r="E13391" s="107" t="str">
        <f aca="false">IF($C13391="","",IFERROR(INDEX(المنيو!$C$2:$C$500,MATCH($C13391,المنيو!$B$2:$B$500,0)),0))</f>
        <v/>
      </c>
      <c r="F13391" s="107" t="str">
        <f aca="false">IF($C13391="","",$D13391*$E13391)</f>
        <v/>
      </c>
      <c r="G13391" s="107" t="str">
        <f aca="false">IF($C13391="","",$D13391*IFERROR(INDEX('تحليل التكلفة والسعر'!$C$2:$C$700,MATCH($C13391,'تحليل التكلفة والسعر'!$B$2:$B$700,0)),0))</f>
        <v/>
      </c>
    </row>
    <row r="13392" customFormat="false" ht="15" hidden="false" customHeight="false" outlineLevel="0" collapsed="false">
      <c r="A13392" s="103"/>
      <c r="B13392" s="104"/>
      <c r="C13392" s="104"/>
      <c r="E13392" s="107" t="str">
        <f aca="false">IF($C13392="","",IFERROR(INDEX(المنيو!$C$2:$C$500,MATCH($C13392,المنيو!$B$2:$B$500,0)),0))</f>
        <v/>
      </c>
      <c r="F13392" s="107" t="str">
        <f aca="false">IF($C13392="","",$D13392*$E13392)</f>
        <v/>
      </c>
      <c r="G13392" s="107" t="str">
        <f aca="false">IF($C13392="","",$D13392*IFERROR(INDEX('تحليل التكلفة والسعر'!$C$2:$C$700,MATCH($C13392,'تحليل التكلفة والسعر'!$B$2:$B$700,0)),0))</f>
        <v/>
      </c>
    </row>
    <row r="13393" customFormat="false" ht="15" hidden="false" customHeight="false" outlineLevel="0" collapsed="false">
      <c r="A13393" s="103"/>
      <c r="B13393" s="104"/>
      <c r="C13393" s="104"/>
      <c r="E13393" s="107" t="str">
        <f aca="false">IF($C13393="","",IFERROR(INDEX(المنيو!$C$2:$C$500,MATCH($C13393,المنيو!$B$2:$B$500,0)),0))</f>
        <v/>
      </c>
      <c r="F13393" s="107" t="str">
        <f aca="false">IF($C13393="","",$D13393*$E13393)</f>
        <v/>
      </c>
      <c r="G13393" s="107" t="str">
        <f aca="false">IF($C13393="","",$D13393*IFERROR(INDEX('تحليل التكلفة والسعر'!$C$2:$C$700,MATCH($C13393,'تحليل التكلفة والسعر'!$B$2:$B$700,0)),0))</f>
        <v/>
      </c>
    </row>
    <row r="13394" customFormat="false" ht="15" hidden="false" customHeight="false" outlineLevel="0" collapsed="false">
      <c r="A13394" s="103"/>
      <c r="B13394" s="104"/>
      <c r="C13394" s="104"/>
      <c r="E13394" s="107" t="str">
        <f aca="false">IF($C13394="","",IFERROR(INDEX(المنيو!$C$2:$C$500,MATCH($C13394,المنيو!$B$2:$B$500,0)),0))</f>
        <v/>
      </c>
      <c r="F13394" s="107" t="str">
        <f aca="false">IF($C13394="","",$D13394*$E13394)</f>
        <v/>
      </c>
      <c r="G13394" s="107" t="str">
        <f aca="false">IF($C13394="","",$D13394*IFERROR(INDEX('تحليل التكلفة والسعر'!$C$2:$C$700,MATCH($C13394,'تحليل التكلفة والسعر'!$B$2:$B$700,0)),0))</f>
        <v/>
      </c>
    </row>
    <row r="13395" customFormat="false" ht="15" hidden="false" customHeight="false" outlineLevel="0" collapsed="false">
      <c r="A13395" s="103"/>
      <c r="B13395" s="104"/>
      <c r="C13395" s="104"/>
      <c r="E13395" s="107" t="str">
        <f aca="false">IF($C13395="","",IFERROR(INDEX(المنيو!$C$2:$C$500,MATCH($C13395,المنيو!$B$2:$B$500,0)),0))</f>
        <v/>
      </c>
      <c r="F13395" s="107" t="str">
        <f aca="false">IF($C13395="","",$D13395*$E13395)</f>
        <v/>
      </c>
      <c r="G13395" s="107" t="str">
        <f aca="false">IF($C13395="","",$D13395*IFERROR(INDEX('تحليل التكلفة والسعر'!$C$2:$C$700,MATCH($C13395,'تحليل التكلفة والسعر'!$B$2:$B$700,0)),0))</f>
        <v/>
      </c>
    </row>
    <row r="13396" customFormat="false" ht="15" hidden="false" customHeight="false" outlineLevel="0" collapsed="false">
      <c r="A13396" s="103"/>
      <c r="B13396" s="104"/>
      <c r="C13396" s="104"/>
      <c r="E13396" s="107" t="str">
        <f aca="false">IF($C13396="","",IFERROR(INDEX(المنيو!$C$2:$C$500,MATCH($C13396,المنيو!$B$2:$B$500,0)),0))</f>
        <v/>
      </c>
      <c r="F13396" s="107" t="str">
        <f aca="false">IF($C13396="","",$D13396*$E13396)</f>
        <v/>
      </c>
      <c r="G13396" s="107" t="str">
        <f aca="false">IF($C13396="","",$D13396*IFERROR(INDEX('تحليل التكلفة والسعر'!$C$2:$C$700,MATCH($C13396,'تحليل التكلفة والسعر'!$B$2:$B$700,0)),0))</f>
        <v/>
      </c>
    </row>
    <row r="13397" customFormat="false" ht="15" hidden="false" customHeight="false" outlineLevel="0" collapsed="false">
      <c r="A13397" s="103"/>
      <c r="B13397" s="104"/>
      <c r="C13397" s="104"/>
      <c r="E13397" s="107" t="str">
        <f aca="false">IF($C13397="","",IFERROR(INDEX(المنيو!$C$2:$C$500,MATCH($C13397,المنيو!$B$2:$B$500,0)),0))</f>
        <v/>
      </c>
      <c r="F13397" s="107" t="str">
        <f aca="false">IF($C13397="","",$D13397*$E13397)</f>
        <v/>
      </c>
      <c r="G13397" s="107" t="str">
        <f aca="false">IF($C13397="","",$D13397*IFERROR(INDEX('تحليل التكلفة والسعر'!$C$2:$C$700,MATCH($C13397,'تحليل التكلفة والسعر'!$B$2:$B$700,0)),0))</f>
        <v/>
      </c>
    </row>
    <row r="13398" customFormat="false" ht="15" hidden="false" customHeight="false" outlineLevel="0" collapsed="false">
      <c r="A13398" s="103"/>
      <c r="B13398" s="104"/>
      <c r="C13398" s="104"/>
      <c r="E13398" s="107" t="str">
        <f aca="false">IF($C13398="","",IFERROR(INDEX(المنيو!$C$2:$C$500,MATCH($C13398,المنيو!$B$2:$B$500,0)),0))</f>
        <v/>
      </c>
      <c r="F13398" s="107" t="str">
        <f aca="false">IF($C13398="","",$D13398*$E13398)</f>
        <v/>
      </c>
      <c r="G13398" s="107" t="str">
        <f aca="false">IF($C13398="","",$D13398*IFERROR(INDEX('تحليل التكلفة والسعر'!$C$2:$C$700,MATCH($C13398,'تحليل التكلفة والسعر'!$B$2:$B$700,0)),0))</f>
        <v/>
      </c>
    </row>
    <row r="13399" customFormat="false" ht="15" hidden="false" customHeight="false" outlineLevel="0" collapsed="false">
      <c r="A13399" s="103"/>
      <c r="B13399" s="104"/>
      <c r="C13399" s="104"/>
      <c r="E13399" s="107" t="str">
        <f aca="false">IF($C13399="","",IFERROR(INDEX(المنيو!$C$2:$C$500,MATCH($C13399,المنيو!$B$2:$B$500,0)),0))</f>
        <v/>
      </c>
      <c r="F13399" s="107" t="str">
        <f aca="false">IF($C13399="","",$D13399*$E13399)</f>
        <v/>
      </c>
      <c r="G13399" s="107" t="str">
        <f aca="false">IF($C13399="","",$D13399*IFERROR(INDEX('تحليل التكلفة والسعر'!$C$2:$C$700,MATCH($C13399,'تحليل التكلفة والسعر'!$B$2:$B$700,0)),0))</f>
        <v/>
      </c>
    </row>
    <row r="13400" customFormat="false" ht="15" hidden="false" customHeight="false" outlineLevel="0" collapsed="false">
      <c r="A13400" s="103"/>
      <c r="B13400" s="104"/>
      <c r="C13400" s="104"/>
      <c r="E13400" s="107" t="str">
        <f aca="false">IF($C13400="","",IFERROR(INDEX(المنيو!$C$2:$C$500,MATCH($C13400,المنيو!$B$2:$B$500,0)),0))</f>
        <v/>
      </c>
      <c r="F13400" s="107" t="str">
        <f aca="false">IF($C13400="","",$D13400*$E13400)</f>
        <v/>
      </c>
      <c r="G13400" s="107" t="str">
        <f aca="false">IF($C13400="","",$D13400*IFERROR(INDEX('تحليل التكلفة والسعر'!$C$2:$C$700,MATCH($C13400,'تحليل التكلفة والسعر'!$B$2:$B$700,0)),0))</f>
        <v/>
      </c>
    </row>
    <row r="13401" customFormat="false" ht="15" hidden="false" customHeight="false" outlineLevel="0" collapsed="false">
      <c r="A13401" s="103"/>
      <c r="B13401" s="104"/>
      <c r="C13401" s="104"/>
      <c r="E13401" s="107" t="str">
        <f aca="false">IF($C13401="","",IFERROR(INDEX(المنيو!$C$2:$C$500,MATCH($C13401,المنيو!$B$2:$B$500,0)),0))</f>
        <v/>
      </c>
      <c r="F13401" s="107" t="str">
        <f aca="false">IF($C13401="","",$D13401*$E13401)</f>
        <v/>
      </c>
      <c r="G13401" s="107" t="str">
        <f aca="false">IF($C13401="","",$D13401*IFERROR(INDEX('تحليل التكلفة والسعر'!$C$2:$C$700,MATCH($C13401,'تحليل التكلفة والسعر'!$B$2:$B$700,0)),0))</f>
        <v/>
      </c>
    </row>
    <row r="13402" customFormat="false" ht="15" hidden="false" customHeight="false" outlineLevel="0" collapsed="false">
      <c r="A13402" s="103"/>
      <c r="B13402" s="104"/>
      <c r="C13402" s="104"/>
      <c r="E13402" s="107" t="str">
        <f aca="false">IF($C13402="","",IFERROR(INDEX(المنيو!$C$2:$C$500,MATCH($C13402,المنيو!$B$2:$B$500,0)),0))</f>
        <v/>
      </c>
      <c r="F13402" s="107" t="str">
        <f aca="false">IF($C13402="","",$D13402*$E13402)</f>
        <v/>
      </c>
      <c r="G13402" s="107" t="str">
        <f aca="false">IF($C13402="","",$D13402*IFERROR(INDEX('تحليل التكلفة والسعر'!$C$2:$C$700,MATCH($C13402,'تحليل التكلفة والسعر'!$B$2:$B$700,0)),0))</f>
        <v/>
      </c>
    </row>
    <row r="13403" customFormat="false" ht="15" hidden="false" customHeight="false" outlineLevel="0" collapsed="false">
      <c r="A13403" s="103"/>
      <c r="B13403" s="104"/>
      <c r="C13403" s="104"/>
      <c r="E13403" s="107" t="str">
        <f aca="false">IF($C13403="","",IFERROR(INDEX(المنيو!$C$2:$C$500,MATCH($C13403,المنيو!$B$2:$B$500,0)),0))</f>
        <v/>
      </c>
      <c r="F13403" s="107" t="str">
        <f aca="false">IF($C13403="","",$D13403*$E13403)</f>
        <v/>
      </c>
      <c r="G13403" s="107" t="str">
        <f aca="false">IF($C13403="","",$D13403*IFERROR(INDEX('تحليل التكلفة والسعر'!$C$2:$C$700,MATCH($C13403,'تحليل التكلفة والسعر'!$B$2:$B$700,0)),0))</f>
        <v/>
      </c>
    </row>
    <row r="13404" customFormat="false" ht="15" hidden="false" customHeight="false" outlineLevel="0" collapsed="false">
      <c r="A13404" s="103"/>
      <c r="B13404" s="104"/>
      <c r="C13404" s="104"/>
      <c r="E13404" s="107" t="str">
        <f aca="false">IF($C13404="","",IFERROR(INDEX(المنيو!$C$2:$C$500,MATCH($C13404,المنيو!$B$2:$B$500,0)),0))</f>
        <v/>
      </c>
      <c r="F13404" s="107" t="str">
        <f aca="false">IF($C13404="","",$D13404*$E13404)</f>
        <v/>
      </c>
      <c r="G13404" s="107" t="str">
        <f aca="false">IF($C13404="","",$D13404*IFERROR(INDEX('تحليل التكلفة والسعر'!$C$2:$C$700,MATCH($C13404,'تحليل التكلفة والسعر'!$B$2:$B$700,0)),0))</f>
        <v/>
      </c>
    </row>
    <row r="13405" customFormat="false" ht="15" hidden="false" customHeight="false" outlineLevel="0" collapsed="false">
      <c r="A13405" s="103"/>
      <c r="B13405" s="104"/>
      <c r="C13405" s="104"/>
      <c r="E13405" s="107" t="str">
        <f aca="false">IF($C13405="","",IFERROR(INDEX(المنيو!$C$2:$C$500,MATCH($C13405,المنيو!$B$2:$B$500,0)),0))</f>
        <v/>
      </c>
      <c r="F13405" s="107" t="str">
        <f aca="false">IF($C13405="","",$D13405*$E13405)</f>
        <v/>
      </c>
      <c r="G13405" s="107" t="str">
        <f aca="false">IF($C13405="","",$D13405*IFERROR(INDEX('تحليل التكلفة والسعر'!$C$2:$C$700,MATCH($C13405,'تحليل التكلفة والسعر'!$B$2:$B$700,0)),0))</f>
        <v/>
      </c>
    </row>
    <row r="13406" customFormat="false" ht="15" hidden="false" customHeight="false" outlineLevel="0" collapsed="false">
      <c r="A13406" s="103"/>
      <c r="B13406" s="104"/>
      <c r="C13406" s="104"/>
      <c r="E13406" s="107" t="str">
        <f aca="false">IF($C13406="","",IFERROR(INDEX(المنيو!$C$2:$C$500,MATCH($C13406,المنيو!$B$2:$B$500,0)),0))</f>
        <v/>
      </c>
      <c r="F13406" s="107" t="str">
        <f aca="false">IF($C13406="","",$D13406*$E13406)</f>
        <v/>
      </c>
      <c r="G13406" s="107" t="str">
        <f aca="false">IF($C13406="","",$D13406*IFERROR(INDEX('تحليل التكلفة والسعر'!$C$2:$C$700,MATCH($C13406,'تحليل التكلفة والسعر'!$B$2:$B$700,0)),0))</f>
        <v/>
      </c>
    </row>
    <row r="13407" customFormat="false" ht="15" hidden="false" customHeight="false" outlineLevel="0" collapsed="false">
      <c r="A13407" s="103"/>
      <c r="B13407" s="104"/>
      <c r="C13407" s="104"/>
      <c r="E13407" s="107" t="str">
        <f aca="false">IF($C13407="","",IFERROR(INDEX(المنيو!$C$2:$C$500,MATCH($C13407,المنيو!$B$2:$B$500,0)),0))</f>
        <v/>
      </c>
      <c r="F13407" s="107" t="str">
        <f aca="false">IF($C13407="","",$D13407*$E13407)</f>
        <v/>
      </c>
      <c r="G13407" s="107" t="str">
        <f aca="false">IF($C13407="","",$D13407*IFERROR(INDEX('تحليل التكلفة والسعر'!$C$2:$C$700,MATCH($C13407,'تحليل التكلفة والسعر'!$B$2:$B$700,0)),0))</f>
        <v/>
      </c>
    </row>
    <row r="13408" customFormat="false" ht="15" hidden="false" customHeight="false" outlineLevel="0" collapsed="false">
      <c r="A13408" s="103"/>
      <c r="B13408" s="104"/>
      <c r="C13408" s="104"/>
      <c r="E13408" s="107" t="str">
        <f aca="false">IF($C13408="","",IFERROR(INDEX(المنيو!$C$2:$C$500,MATCH($C13408,المنيو!$B$2:$B$500,0)),0))</f>
        <v/>
      </c>
      <c r="F13408" s="107" t="str">
        <f aca="false">IF($C13408="","",$D13408*$E13408)</f>
        <v/>
      </c>
      <c r="G13408" s="107" t="str">
        <f aca="false">IF($C13408="","",$D13408*IFERROR(INDEX('تحليل التكلفة والسعر'!$C$2:$C$700,MATCH($C13408,'تحليل التكلفة والسعر'!$B$2:$B$700,0)),0))</f>
        <v/>
      </c>
    </row>
    <row r="13409" customFormat="false" ht="15" hidden="false" customHeight="false" outlineLevel="0" collapsed="false">
      <c r="A13409" s="103"/>
      <c r="B13409" s="104"/>
      <c r="C13409" s="104"/>
      <c r="E13409" s="107" t="str">
        <f aca="false">IF($C13409="","",IFERROR(INDEX(المنيو!$C$2:$C$500,MATCH($C13409,المنيو!$B$2:$B$500,0)),0))</f>
        <v/>
      </c>
      <c r="F13409" s="107" t="str">
        <f aca="false">IF($C13409="","",$D13409*$E13409)</f>
        <v/>
      </c>
      <c r="G13409" s="107" t="str">
        <f aca="false">IF($C13409="","",$D13409*IFERROR(INDEX('تحليل التكلفة والسعر'!$C$2:$C$700,MATCH($C13409,'تحليل التكلفة والسعر'!$B$2:$B$700,0)),0))</f>
        <v/>
      </c>
    </row>
    <row r="13410" customFormat="false" ht="15" hidden="false" customHeight="false" outlineLevel="0" collapsed="false">
      <c r="A13410" s="103"/>
      <c r="B13410" s="104"/>
      <c r="C13410" s="104"/>
      <c r="E13410" s="107" t="str">
        <f aca="false">IF($C13410="","",IFERROR(INDEX(المنيو!$C$2:$C$500,MATCH($C13410,المنيو!$B$2:$B$500,0)),0))</f>
        <v/>
      </c>
      <c r="F13410" s="107" t="str">
        <f aca="false">IF($C13410="","",$D13410*$E13410)</f>
        <v/>
      </c>
      <c r="G13410" s="107" t="str">
        <f aca="false">IF($C13410="","",$D13410*IFERROR(INDEX('تحليل التكلفة والسعر'!$C$2:$C$700,MATCH($C13410,'تحليل التكلفة والسعر'!$B$2:$B$700,0)),0))</f>
        <v/>
      </c>
    </row>
    <row r="13411" customFormat="false" ht="15" hidden="false" customHeight="false" outlineLevel="0" collapsed="false">
      <c r="A13411" s="103"/>
      <c r="B13411" s="104"/>
      <c r="C13411" s="104"/>
      <c r="E13411" s="107" t="str">
        <f aca="false">IF($C13411="","",IFERROR(INDEX(المنيو!$C$2:$C$500,MATCH($C13411,المنيو!$B$2:$B$500,0)),0))</f>
        <v/>
      </c>
      <c r="F13411" s="107" t="str">
        <f aca="false">IF($C13411="","",$D13411*$E13411)</f>
        <v/>
      </c>
      <c r="G13411" s="107" t="str">
        <f aca="false">IF($C13411="","",$D13411*IFERROR(INDEX('تحليل التكلفة والسعر'!$C$2:$C$700,MATCH($C13411,'تحليل التكلفة والسعر'!$B$2:$B$700,0)),0))</f>
        <v/>
      </c>
    </row>
    <row r="13412" customFormat="false" ht="15" hidden="false" customHeight="false" outlineLevel="0" collapsed="false">
      <c r="A13412" s="103"/>
      <c r="B13412" s="104"/>
      <c r="C13412" s="104"/>
      <c r="E13412" s="107" t="str">
        <f aca="false">IF($C13412="","",IFERROR(INDEX(المنيو!$C$2:$C$500,MATCH($C13412,المنيو!$B$2:$B$500,0)),0))</f>
        <v/>
      </c>
      <c r="F13412" s="107" t="str">
        <f aca="false">IF($C13412="","",$D13412*$E13412)</f>
        <v/>
      </c>
      <c r="G13412" s="107" t="str">
        <f aca="false">IF($C13412="","",$D13412*IFERROR(INDEX('تحليل التكلفة والسعر'!$C$2:$C$700,MATCH($C13412,'تحليل التكلفة والسعر'!$B$2:$B$700,0)),0))</f>
        <v/>
      </c>
    </row>
    <row r="13413" customFormat="false" ht="15" hidden="false" customHeight="false" outlineLevel="0" collapsed="false">
      <c r="A13413" s="103"/>
      <c r="B13413" s="104"/>
      <c r="C13413" s="104"/>
      <c r="E13413" s="107" t="str">
        <f aca="false">IF($C13413="","",IFERROR(INDEX(المنيو!$C$2:$C$500,MATCH($C13413,المنيو!$B$2:$B$500,0)),0))</f>
        <v/>
      </c>
      <c r="F13413" s="107" t="str">
        <f aca="false">IF($C13413="","",$D13413*$E13413)</f>
        <v/>
      </c>
      <c r="G13413" s="107" t="str">
        <f aca="false">IF($C13413="","",$D13413*IFERROR(INDEX('تحليل التكلفة والسعر'!$C$2:$C$700,MATCH($C13413,'تحليل التكلفة والسعر'!$B$2:$B$700,0)),0))</f>
        <v/>
      </c>
    </row>
    <row r="13414" customFormat="false" ht="15" hidden="false" customHeight="false" outlineLevel="0" collapsed="false">
      <c r="A13414" s="103"/>
      <c r="B13414" s="104"/>
      <c r="C13414" s="104"/>
      <c r="E13414" s="107" t="str">
        <f aca="false">IF($C13414="","",IFERROR(INDEX(المنيو!$C$2:$C$500,MATCH($C13414,المنيو!$B$2:$B$500,0)),0))</f>
        <v/>
      </c>
      <c r="F13414" s="107" t="str">
        <f aca="false">IF($C13414="","",$D13414*$E13414)</f>
        <v/>
      </c>
      <c r="G13414" s="107" t="str">
        <f aca="false">IF($C13414="","",$D13414*IFERROR(INDEX('تحليل التكلفة والسعر'!$C$2:$C$700,MATCH($C13414,'تحليل التكلفة والسعر'!$B$2:$B$700,0)),0))</f>
        <v/>
      </c>
    </row>
    <row r="13415" customFormat="false" ht="15" hidden="false" customHeight="false" outlineLevel="0" collapsed="false">
      <c r="A13415" s="103"/>
      <c r="B13415" s="104"/>
      <c r="C13415" s="104"/>
      <c r="E13415" s="107" t="str">
        <f aca="false">IF($C13415="","",IFERROR(INDEX(المنيو!$C$2:$C$500,MATCH($C13415,المنيو!$B$2:$B$500,0)),0))</f>
        <v/>
      </c>
      <c r="F13415" s="107" t="str">
        <f aca="false">IF($C13415="","",$D13415*$E13415)</f>
        <v/>
      </c>
      <c r="G13415" s="107" t="str">
        <f aca="false">IF($C13415="","",$D13415*IFERROR(INDEX('تحليل التكلفة والسعر'!$C$2:$C$700,MATCH($C13415,'تحليل التكلفة والسعر'!$B$2:$B$700,0)),0))</f>
        <v/>
      </c>
    </row>
    <row r="13416" customFormat="false" ht="15" hidden="false" customHeight="false" outlineLevel="0" collapsed="false">
      <c r="A13416" s="103"/>
      <c r="B13416" s="104"/>
      <c r="C13416" s="104"/>
      <c r="E13416" s="107" t="str">
        <f aca="false">IF($C13416="","",IFERROR(INDEX(المنيو!$C$2:$C$500,MATCH($C13416,المنيو!$B$2:$B$500,0)),0))</f>
        <v/>
      </c>
      <c r="F13416" s="107" t="str">
        <f aca="false">IF($C13416="","",$D13416*$E13416)</f>
        <v/>
      </c>
      <c r="G13416" s="107" t="str">
        <f aca="false">IF($C13416="","",$D13416*IFERROR(INDEX('تحليل التكلفة والسعر'!$C$2:$C$700,MATCH($C13416,'تحليل التكلفة والسعر'!$B$2:$B$700,0)),0))</f>
        <v/>
      </c>
    </row>
    <row r="13417" customFormat="false" ht="15" hidden="false" customHeight="false" outlineLevel="0" collapsed="false">
      <c r="A13417" s="103"/>
      <c r="B13417" s="104"/>
      <c r="C13417" s="104"/>
      <c r="E13417" s="107" t="str">
        <f aca="false">IF($C13417="","",IFERROR(INDEX(المنيو!$C$2:$C$500,MATCH($C13417,المنيو!$B$2:$B$500,0)),0))</f>
        <v/>
      </c>
      <c r="F13417" s="107" t="str">
        <f aca="false">IF($C13417="","",$D13417*$E13417)</f>
        <v/>
      </c>
      <c r="G13417" s="107" t="str">
        <f aca="false">IF($C13417="","",$D13417*IFERROR(INDEX('تحليل التكلفة والسعر'!$C$2:$C$700,MATCH($C13417,'تحليل التكلفة والسعر'!$B$2:$B$700,0)),0))</f>
        <v/>
      </c>
    </row>
    <row r="13418" customFormat="false" ht="15" hidden="false" customHeight="false" outlineLevel="0" collapsed="false">
      <c r="A13418" s="103"/>
      <c r="B13418" s="104"/>
      <c r="C13418" s="104"/>
      <c r="E13418" s="107" t="str">
        <f aca="false">IF($C13418="","",IFERROR(INDEX(المنيو!$C$2:$C$500,MATCH($C13418,المنيو!$B$2:$B$500,0)),0))</f>
        <v/>
      </c>
      <c r="F13418" s="107" t="str">
        <f aca="false">IF($C13418="","",$D13418*$E13418)</f>
        <v/>
      </c>
      <c r="G13418" s="107" t="str">
        <f aca="false">IF($C13418="","",$D13418*IFERROR(INDEX('تحليل التكلفة والسعر'!$C$2:$C$700,MATCH($C13418,'تحليل التكلفة والسعر'!$B$2:$B$700,0)),0))</f>
        <v/>
      </c>
    </row>
    <row r="13419" customFormat="false" ht="15" hidden="false" customHeight="false" outlineLevel="0" collapsed="false">
      <c r="A13419" s="103"/>
      <c r="B13419" s="104"/>
      <c r="C13419" s="104"/>
      <c r="E13419" s="107" t="str">
        <f aca="false">IF($C13419="","",IFERROR(INDEX(المنيو!$C$2:$C$500,MATCH($C13419,المنيو!$B$2:$B$500,0)),0))</f>
        <v/>
      </c>
      <c r="F13419" s="107" t="str">
        <f aca="false">IF($C13419="","",$D13419*$E13419)</f>
        <v/>
      </c>
      <c r="G13419" s="107" t="str">
        <f aca="false">IF($C13419="","",$D13419*IFERROR(INDEX('تحليل التكلفة والسعر'!$C$2:$C$700,MATCH($C13419,'تحليل التكلفة والسعر'!$B$2:$B$700,0)),0))</f>
        <v/>
      </c>
    </row>
    <row r="13420" customFormat="false" ht="15" hidden="false" customHeight="false" outlineLevel="0" collapsed="false">
      <c r="A13420" s="103"/>
      <c r="B13420" s="104"/>
      <c r="C13420" s="104"/>
      <c r="E13420" s="107" t="str">
        <f aca="false">IF($C13420="","",IFERROR(INDEX(المنيو!$C$2:$C$500,MATCH($C13420,المنيو!$B$2:$B$500,0)),0))</f>
        <v/>
      </c>
      <c r="F13420" s="107" t="str">
        <f aca="false">IF($C13420="","",$D13420*$E13420)</f>
        <v/>
      </c>
      <c r="G13420" s="107" t="str">
        <f aca="false">IF($C13420="","",$D13420*IFERROR(INDEX('تحليل التكلفة والسعر'!$C$2:$C$700,MATCH($C13420,'تحليل التكلفة والسعر'!$B$2:$B$700,0)),0))</f>
        <v/>
      </c>
    </row>
    <row r="13421" customFormat="false" ht="15" hidden="false" customHeight="false" outlineLevel="0" collapsed="false">
      <c r="A13421" s="103"/>
      <c r="B13421" s="104"/>
      <c r="C13421" s="104"/>
      <c r="E13421" s="107" t="str">
        <f aca="false">IF($C13421="","",IFERROR(INDEX(المنيو!$C$2:$C$500,MATCH($C13421,المنيو!$B$2:$B$500,0)),0))</f>
        <v/>
      </c>
      <c r="F13421" s="107" t="str">
        <f aca="false">IF($C13421="","",$D13421*$E13421)</f>
        <v/>
      </c>
      <c r="G13421" s="107" t="str">
        <f aca="false">IF($C13421="","",$D13421*IFERROR(INDEX('تحليل التكلفة والسعر'!$C$2:$C$700,MATCH($C13421,'تحليل التكلفة والسعر'!$B$2:$B$700,0)),0))</f>
        <v/>
      </c>
    </row>
    <row r="13422" customFormat="false" ht="15" hidden="false" customHeight="false" outlineLevel="0" collapsed="false">
      <c r="A13422" s="103"/>
      <c r="B13422" s="104"/>
      <c r="C13422" s="104"/>
      <c r="E13422" s="107" t="str">
        <f aca="false">IF($C13422="","",IFERROR(INDEX(المنيو!$C$2:$C$500,MATCH($C13422,المنيو!$B$2:$B$500,0)),0))</f>
        <v/>
      </c>
      <c r="F13422" s="107" t="str">
        <f aca="false">IF($C13422="","",$D13422*$E13422)</f>
        <v/>
      </c>
      <c r="G13422" s="107" t="str">
        <f aca="false">IF($C13422="","",$D13422*IFERROR(INDEX('تحليل التكلفة والسعر'!$C$2:$C$700,MATCH($C13422,'تحليل التكلفة والسعر'!$B$2:$B$700,0)),0))</f>
        <v/>
      </c>
    </row>
    <row r="13423" customFormat="false" ht="15" hidden="false" customHeight="false" outlineLevel="0" collapsed="false">
      <c r="A13423" s="103"/>
      <c r="B13423" s="104"/>
      <c r="C13423" s="104"/>
      <c r="E13423" s="107" t="str">
        <f aca="false">IF($C13423="","",IFERROR(INDEX(المنيو!$C$2:$C$500,MATCH($C13423,المنيو!$B$2:$B$500,0)),0))</f>
        <v/>
      </c>
      <c r="F13423" s="107" t="str">
        <f aca="false">IF($C13423="","",$D13423*$E13423)</f>
        <v/>
      </c>
      <c r="G13423" s="107" t="str">
        <f aca="false">IF($C13423="","",$D13423*IFERROR(INDEX('تحليل التكلفة والسعر'!$C$2:$C$700,MATCH($C13423,'تحليل التكلفة والسعر'!$B$2:$B$700,0)),0))</f>
        <v/>
      </c>
    </row>
    <row r="13424" customFormat="false" ht="15" hidden="false" customHeight="false" outlineLevel="0" collapsed="false">
      <c r="A13424" s="103"/>
      <c r="B13424" s="104"/>
      <c r="C13424" s="104"/>
      <c r="E13424" s="107" t="str">
        <f aca="false">IF($C13424="","",IFERROR(INDEX(المنيو!$C$2:$C$500,MATCH($C13424,المنيو!$B$2:$B$500,0)),0))</f>
        <v/>
      </c>
      <c r="F13424" s="107" t="str">
        <f aca="false">IF($C13424="","",$D13424*$E13424)</f>
        <v/>
      </c>
      <c r="G13424" s="107" t="str">
        <f aca="false">IF($C13424="","",$D13424*IFERROR(INDEX('تحليل التكلفة والسعر'!$C$2:$C$700,MATCH($C13424,'تحليل التكلفة والسعر'!$B$2:$B$700,0)),0))</f>
        <v/>
      </c>
    </row>
    <row r="13425" customFormat="false" ht="15" hidden="false" customHeight="false" outlineLevel="0" collapsed="false">
      <c r="A13425" s="103"/>
      <c r="B13425" s="104"/>
      <c r="C13425" s="104"/>
      <c r="E13425" s="107" t="str">
        <f aca="false">IF($C13425="","",IFERROR(INDEX(المنيو!$C$2:$C$500,MATCH($C13425,المنيو!$B$2:$B$500,0)),0))</f>
        <v/>
      </c>
      <c r="F13425" s="107" t="str">
        <f aca="false">IF($C13425="","",$D13425*$E13425)</f>
        <v/>
      </c>
      <c r="G13425" s="107" t="str">
        <f aca="false">IF($C13425="","",$D13425*IFERROR(INDEX('تحليل التكلفة والسعر'!$C$2:$C$700,MATCH($C13425,'تحليل التكلفة والسعر'!$B$2:$B$700,0)),0))</f>
        <v/>
      </c>
    </row>
    <row r="13426" customFormat="false" ht="15" hidden="false" customHeight="false" outlineLevel="0" collapsed="false">
      <c r="A13426" s="103"/>
      <c r="B13426" s="104"/>
      <c r="C13426" s="104"/>
      <c r="E13426" s="107" t="str">
        <f aca="false">IF($C13426="","",IFERROR(INDEX(المنيو!$C$2:$C$500,MATCH($C13426,المنيو!$B$2:$B$500,0)),0))</f>
        <v/>
      </c>
      <c r="F13426" s="107" t="str">
        <f aca="false">IF($C13426="","",$D13426*$E13426)</f>
        <v/>
      </c>
      <c r="G13426" s="107" t="str">
        <f aca="false">IF($C13426="","",$D13426*IFERROR(INDEX('تحليل التكلفة والسعر'!$C$2:$C$700,MATCH($C13426,'تحليل التكلفة والسعر'!$B$2:$B$700,0)),0))</f>
        <v/>
      </c>
    </row>
    <row r="13427" customFormat="false" ht="15" hidden="false" customHeight="false" outlineLevel="0" collapsed="false">
      <c r="A13427" s="103"/>
      <c r="B13427" s="104"/>
      <c r="C13427" s="104"/>
      <c r="E13427" s="107" t="str">
        <f aca="false">IF($C13427="","",IFERROR(INDEX(المنيو!$C$2:$C$500,MATCH($C13427,المنيو!$B$2:$B$500,0)),0))</f>
        <v/>
      </c>
      <c r="F13427" s="107" t="str">
        <f aca="false">IF($C13427="","",$D13427*$E13427)</f>
        <v/>
      </c>
      <c r="G13427" s="107" t="str">
        <f aca="false">IF($C13427="","",$D13427*IFERROR(INDEX('تحليل التكلفة والسعر'!$C$2:$C$700,MATCH($C13427,'تحليل التكلفة والسعر'!$B$2:$B$700,0)),0))</f>
        <v/>
      </c>
    </row>
    <row r="13428" customFormat="false" ht="15" hidden="false" customHeight="false" outlineLevel="0" collapsed="false">
      <c r="A13428" s="103"/>
      <c r="B13428" s="104"/>
      <c r="C13428" s="104"/>
      <c r="E13428" s="107" t="str">
        <f aca="false">IF($C13428="","",IFERROR(INDEX(المنيو!$C$2:$C$500,MATCH($C13428,المنيو!$B$2:$B$500,0)),0))</f>
        <v/>
      </c>
      <c r="F13428" s="107" t="str">
        <f aca="false">IF($C13428="","",$D13428*$E13428)</f>
        <v/>
      </c>
      <c r="G13428" s="107" t="str">
        <f aca="false">IF($C13428="","",$D13428*IFERROR(INDEX('تحليل التكلفة والسعر'!$C$2:$C$700,MATCH($C13428,'تحليل التكلفة والسعر'!$B$2:$B$700,0)),0))</f>
        <v/>
      </c>
    </row>
    <row r="13429" customFormat="false" ht="15" hidden="false" customHeight="false" outlineLevel="0" collapsed="false">
      <c r="A13429" s="103"/>
      <c r="B13429" s="104"/>
      <c r="C13429" s="104"/>
      <c r="E13429" s="107" t="str">
        <f aca="false">IF($C13429="","",IFERROR(INDEX(المنيو!$C$2:$C$500,MATCH($C13429,المنيو!$B$2:$B$500,0)),0))</f>
        <v/>
      </c>
      <c r="F13429" s="107" t="str">
        <f aca="false">IF($C13429="","",$D13429*$E13429)</f>
        <v/>
      </c>
      <c r="G13429" s="107" t="str">
        <f aca="false">IF($C13429="","",$D13429*IFERROR(INDEX('تحليل التكلفة والسعر'!$C$2:$C$700,MATCH($C13429,'تحليل التكلفة والسعر'!$B$2:$B$700,0)),0))</f>
        <v/>
      </c>
    </row>
    <row r="13430" customFormat="false" ht="15" hidden="false" customHeight="false" outlineLevel="0" collapsed="false">
      <c r="A13430" s="103"/>
      <c r="B13430" s="104"/>
      <c r="C13430" s="104"/>
      <c r="E13430" s="107" t="str">
        <f aca="false">IF($C13430="","",IFERROR(INDEX(المنيو!$C$2:$C$500,MATCH($C13430,المنيو!$B$2:$B$500,0)),0))</f>
        <v/>
      </c>
      <c r="F13430" s="107" t="str">
        <f aca="false">IF($C13430="","",$D13430*$E13430)</f>
        <v/>
      </c>
      <c r="G13430" s="107" t="str">
        <f aca="false">IF($C13430="","",$D13430*IFERROR(INDEX('تحليل التكلفة والسعر'!$C$2:$C$700,MATCH($C13430,'تحليل التكلفة والسعر'!$B$2:$B$700,0)),0))</f>
        <v/>
      </c>
    </row>
    <row r="13431" customFormat="false" ht="15" hidden="false" customHeight="false" outlineLevel="0" collapsed="false">
      <c r="A13431" s="103"/>
      <c r="B13431" s="104"/>
      <c r="C13431" s="104"/>
      <c r="E13431" s="107" t="str">
        <f aca="false">IF($C13431="","",IFERROR(INDEX(المنيو!$C$2:$C$500,MATCH($C13431,المنيو!$B$2:$B$500,0)),0))</f>
        <v/>
      </c>
      <c r="F13431" s="107" t="str">
        <f aca="false">IF($C13431="","",$D13431*$E13431)</f>
        <v/>
      </c>
      <c r="G13431" s="107" t="str">
        <f aca="false">IF($C13431="","",$D13431*IFERROR(INDEX('تحليل التكلفة والسعر'!$C$2:$C$700,MATCH($C13431,'تحليل التكلفة والسعر'!$B$2:$B$700,0)),0))</f>
        <v/>
      </c>
    </row>
    <row r="13432" customFormat="false" ht="15" hidden="false" customHeight="false" outlineLevel="0" collapsed="false">
      <c r="A13432" s="103"/>
      <c r="B13432" s="104"/>
      <c r="C13432" s="104"/>
      <c r="E13432" s="107" t="str">
        <f aca="false">IF($C13432="","",IFERROR(INDEX(المنيو!$C$2:$C$500,MATCH($C13432,المنيو!$B$2:$B$500,0)),0))</f>
        <v/>
      </c>
      <c r="F13432" s="107" t="str">
        <f aca="false">IF($C13432="","",$D13432*$E13432)</f>
        <v/>
      </c>
      <c r="G13432" s="107" t="str">
        <f aca="false">IF($C13432="","",$D13432*IFERROR(INDEX('تحليل التكلفة والسعر'!$C$2:$C$700,MATCH($C13432,'تحليل التكلفة والسعر'!$B$2:$B$700,0)),0))</f>
        <v/>
      </c>
    </row>
    <row r="13433" customFormat="false" ht="15" hidden="false" customHeight="false" outlineLevel="0" collapsed="false">
      <c r="A13433" s="103"/>
      <c r="B13433" s="104"/>
      <c r="C13433" s="104"/>
      <c r="E13433" s="107" t="str">
        <f aca="false">IF($C13433="","",IFERROR(INDEX(المنيو!$C$2:$C$500,MATCH($C13433,المنيو!$B$2:$B$500,0)),0))</f>
        <v/>
      </c>
      <c r="F13433" s="107" t="str">
        <f aca="false">IF($C13433="","",$D13433*$E13433)</f>
        <v/>
      </c>
      <c r="G13433" s="107" t="str">
        <f aca="false">IF($C13433="","",$D13433*IFERROR(INDEX('تحليل التكلفة والسعر'!$C$2:$C$700,MATCH($C13433,'تحليل التكلفة والسعر'!$B$2:$B$700,0)),0))</f>
        <v/>
      </c>
    </row>
    <row r="13434" customFormat="false" ht="15" hidden="false" customHeight="false" outlineLevel="0" collapsed="false">
      <c r="A13434" s="103"/>
      <c r="B13434" s="104"/>
      <c r="C13434" s="104"/>
      <c r="E13434" s="107" t="str">
        <f aca="false">IF($C13434="","",IFERROR(INDEX(المنيو!$C$2:$C$500,MATCH($C13434,المنيو!$B$2:$B$500,0)),0))</f>
        <v/>
      </c>
      <c r="F13434" s="107" t="str">
        <f aca="false">IF($C13434="","",$D13434*$E13434)</f>
        <v/>
      </c>
      <c r="G13434" s="107" t="str">
        <f aca="false">IF($C13434="","",$D13434*IFERROR(INDEX('تحليل التكلفة والسعر'!$C$2:$C$700,MATCH($C13434,'تحليل التكلفة والسعر'!$B$2:$B$700,0)),0))</f>
        <v/>
      </c>
    </row>
    <row r="13435" customFormat="false" ht="15" hidden="false" customHeight="false" outlineLevel="0" collapsed="false">
      <c r="A13435" s="103"/>
      <c r="B13435" s="104"/>
      <c r="C13435" s="104"/>
      <c r="E13435" s="107" t="str">
        <f aca="false">IF($C13435="","",IFERROR(INDEX(المنيو!$C$2:$C$500,MATCH($C13435,المنيو!$B$2:$B$500,0)),0))</f>
        <v/>
      </c>
      <c r="F13435" s="107" t="str">
        <f aca="false">IF($C13435="","",$D13435*$E13435)</f>
        <v/>
      </c>
      <c r="G13435" s="107" t="str">
        <f aca="false">IF($C13435="","",$D13435*IFERROR(INDEX('تحليل التكلفة والسعر'!$C$2:$C$700,MATCH($C13435,'تحليل التكلفة والسعر'!$B$2:$B$700,0)),0))</f>
        <v/>
      </c>
    </row>
    <row r="13436" customFormat="false" ht="15" hidden="false" customHeight="false" outlineLevel="0" collapsed="false">
      <c r="A13436" s="103"/>
      <c r="B13436" s="104"/>
      <c r="C13436" s="104"/>
      <c r="E13436" s="107" t="str">
        <f aca="false">IF($C13436="","",IFERROR(INDEX(المنيو!$C$2:$C$500,MATCH($C13436,المنيو!$B$2:$B$500,0)),0))</f>
        <v/>
      </c>
      <c r="F13436" s="107" t="str">
        <f aca="false">IF($C13436="","",$D13436*$E13436)</f>
        <v/>
      </c>
      <c r="G13436" s="107" t="str">
        <f aca="false">IF($C13436="","",$D13436*IFERROR(INDEX('تحليل التكلفة والسعر'!$C$2:$C$700,MATCH($C13436,'تحليل التكلفة والسعر'!$B$2:$B$700,0)),0))</f>
        <v/>
      </c>
    </row>
    <row r="13437" customFormat="false" ht="15" hidden="false" customHeight="false" outlineLevel="0" collapsed="false">
      <c r="A13437" s="103"/>
      <c r="B13437" s="104"/>
      <c r="C13437" s="104"/>
      <c r="E13437" s="107" t="str">
        <f aca="false">IF($C13437="","",IFERROR(INDEX(المنيو!$C$2:$C$500,MATCH($C13437,المنيو!$B$2:$B$500,0)),0))</f>
        <v/>
      </c>
      <c r="F13437" s="107" t="str">
        <f aca="false">IF($C13437="","",$D13437*$E13437)</f>
        <v/>
      </c>
      <c r="G13437" s="107" t="str">
        <f aca="false">IF($C13437="","",$D13437*IFERROR(INDEX('تحليل التكلفة والسعر'!$C$2:$C$700,MATCH($C13437,'تحليل التكلفة والسعر'!$B$2:$B$700,0)),0))</f>
        <v/>
      </c>
    </row>
    <row r="13438" customFormat="false" ht="15" hidden="false" customHeight="false" outlineLevel="0" collapsed="false">
      <c r="A13438" s="103"/>
      <c r="B13438" s="104"/>
      <c r="C13438" s="104"/>
      <c r="E13438" s="107" t="str">
        <f aca="false">IF($C13438="","",IFERROR(INDEX(المنيو!$C$2:$C$500,MATCH($C13438,المنيو!$B$2:$B$500,0)),0))</f>
        <v/>
      </c>
      <c r="F13438" s="107" t="str">
        <f aca="false">IF($C13438="","",$D13438*$E13438)</f>
        <v/>
      </c>
      <c r="G13438" s="107" t="str">
        <f aca="false">IF($C13438="","",$D13438*IFERROR(INDEX('تحليل التكلفة والسعر'!$C$2:$C$700,MATCH($C13438,'تحليل التكلفة والسعر'!$B$2:$B$700,0)),0))</f>
        <v/>
      </c>
    </row>
    <row r="13439" customFormat="false" ht="15" hidden="false" customHeight="false" outlineLevel="0" collapsed="false">
      <c r="A13439" s="103"/>
      <c r="B13439" s="104"/>
      <c r="C13439" s="104"/>
      <c r="E13439" s="107" t="str">
        <f aca="false">IF($C13439="","",IFERROR(INDEX(المنيو!$C$2:$C$500,MATCH($C13439,المنيو!$B$2:$B$500,0)),0))</f>
        <v/>
      </c>
      <c r="F13439" s="107" t="str">
        <f aca="false">IF($C13439="","",$D13439*$E13439)</f>
        <v/>
      </c>
      <c r="G13439" s="107" t="str">
        <f aca="false">IF($C13439="","",$D13439*IFERROR(INDEX('تحليل التكلفة والسعر'!$C$2:$C$700,MATCH($C13439,'تحليل التكلفة والسعر'!$B$2:$B$700,0)),0))</f>
        <v/>
      </c>
    </row>
    <row r="13440" customFormat="false" ht="15" hidden="false" customHeight="false" outlineLevel="0" collapsed="false">
      <c r="A13440" s="103"/>
      <c r="B13440" s="104"/>
      <c r="C13440" s="104"/>
      <c r="E13440" s="107" t="str">
        <f aca="false">IF($C13440="","",IFERROR(INDEX(المنيو!$C$2:$C$500,MATCH($C13440,المنيو!$B$2:$B$500,0)),0))</f>
        <v/>
      </c>
      <c r="F13440" s="107" t="str">
        <f aca="false">IF($C13440="","",$D13440*$E13440)</f>
        <v/>
      </c>
      <c r="G13440" s="107" t="str">
        <f aca="false">IF($C13440="","",$D13440*IFERROR(INDEX('تحليل التكلفة والسعر'!$C$2:$C$700,MATCH($C13440,'تحليل التكلفة والسعر'!$B$2:$B$700,0)),0))</f>
        <v/>
      </c>
    </row>
    <row r="13441" customFormat="false" ht="15" hidden="false" customHeight="false" outlineLevel="0" collapsed="false">
      <c r="A13441" s="103"/>
      <c r="B13441" s="104"/>
      <c r="C13441" s="104"/>
      <c r="E13441" s="107" t="str">
        <f aca="false">IF($C13441="","",IFERROR(INDEX(المنيو!$C$2:$C$500,MATCH($C13441,المنيو!$B$2:$B$500,0)),0))</f>
        <v/>
      </c>
      <c r="F13441" s="107" t="str">
        <f aca="false">IF($C13441="","",$D13441*$E13441)</f>
        <v/>
      </c>
      <c r="G13441" s="107" t="str">
        <f aca="false">IF($C13441="","",$D13441*IFERROR(INDEX('تحليل التكلفة والسعر'!$C$2:$C$700,MATCH($C13441,'تحليل التكلفة والسعر'!$B$2:$B$700,0)),0))</f>
        <v/>
      </c>
    </row>
    <row r="13442" customFormat="false" ht="15" hidden="false" customHeight="false" outlineLevel="0" collapsed="false">
      <c r="A13442" s="103"/>
      <c r="B13442" s="104"/>
      <c r="C13442" s="104"/>
      <c r="E13442" s="107" t="str">
        <f aca="false">IF($C13442="","",IFERROR(INDEX(المنيو!$C$2:$C$500,MATCH($C13442,المنيو!$B$2:$B$500,0)),0))</f>
        <v/>
      </c>
      <c r="F13442" s="107" t="str">
        <f aca="false">IF($C13442="","",$D13442*$E13442)</f>
        <v/>
      </c>
      <c r="G13442" s="107" t="str">
        <f aca="false">IF($C13442="","",$D13442*IFERROR(INDEX('تحليل التكلفة والسعر'!$C$2:$C$700,MATCH($C13442,'تحليل التكلفة والسعر'!$B$2:$B$700,0)),0))</f>
        <v/>
      </c>
    </row>
    <row r="13443" customFormat="false" ht="15" hidden="false" customHeight="false" outlineLevel="0" collapsed="false">
      <c r="A13443" s="103"/>
      <c r="B13443" s="104"/>
      <c r="C13443" s="104"/>
      <c r="E13443" s="107" t="str">
        <f aca="false">IF($C13443="","",IFERROR(INDEX(المنيو!$C$2:$C$500,MATCH($C13443,المنيو!$B$2:$B$500,0)),0))</f>
        <v/>
      </c>
      <c r="F13443" s="107" t="str">
        <f aca="false">IF($C13443="","",$D13443*$E13443)</f>
        <v/>
      </c>
      <c r="G13443" s="107" t="str">
        <f aca="false">IF($C13443="","",$D13443*IFERROR(INDEX('تحليل التكلفة والسعر'!$C$2:$C$700,MATCH($C13443,'تحليل التكلفة والسعر'!$B$2:$B$700,0)),0))</f>
        <v/>
      </c>
    </row>
    <row r="13444" customFormat="false" ht="15" hidden="false" customHeight="false" outlineLevel="0" collapsed="false">
      <c r="A13444" s="103"/>
      <c r="B13444" s="104"/>
      <c r="C13444" s="104"/>
      <c r="E13444" s="107" t="str">
        <f aca="false">IF($C13444="","",IFERROR(INDEX(المنيو!$C$2:$C$500,MATCH($C13444,المنيو!$B$2:$B$500,0)),0))</f>
        <v/>
      </c>
      <c r="F13444" s="107" t="str">
        <f aca="false">IF($C13444="","",$D13444*$E13444)</f>
        <v/>
      </c>
      <c r="G13444" s="107" t="str">
        <f aca="false">IF($C13444="","",$D13444*IFERROR(INDEX('تحليل التكلفة والسعر'!$C$2:$C$700,MATCH($C13444,'تحليل التكلفة والسعر'!$B$2:$B$700,0)),0))</f>
        <v/>
      </c>
    </row>
    <row r="13445" customFormat="false" ht="15" hidden="false" customHeight="false" outlineLevel="0" collapsed="false">
      <c r="A13445" s="103"/>
      <c r="B13445" s="104"/>
      <c r="C13445" s="104"/>
      <c r="E13445" s="107" t="str">
        <f aca="false">IF($C13445="","",IFERROR(INDEX(المنيو!$C$2:$C$500,MATCH($C13445,المنيو!$B$2:$B$500,0)),0))</f>
        <v/>
      </c>
      <c r="F13445" s="107" t="str">
        <f aca="false">IF($C13445="","",$D13445*$E13445)</f>
        <v/>
      </c>
      <c r="G13445" s="107" t="str">
        <f aca="false">IF($C13445="","",$D13445*IFERROR(INDEX('تحليل التكلفة والسعر'!$C$2:$C$700,MATCH($C13445,'تحليل التكلفة والسعر'!$B$2:$B$700,0)),0))</f>
        <v/>
      </c>
    </row>
    <row r="13446" customFormat="false" ht="15" hidden="false" customHeight="false" outlineLevel="0" collapsed="false">
      <c r="A13446" s="103"/>
      <c r="B13446" s="104"/>
      <c r="C13446" s="104"/>
      <c r="E13446" s="107" t="str">
        <f aca="false">IF($C13446="","",IFERROR(INDEX(المنيو!$C$2:$C$500,MATCH($C13446,المنيو!$B$2:$B$500,0)),0))</f>
        <v/>
      </c>
      <c r="F13446" s="107" t="str">
        <f aca="false">IF($C13446="","",$D13446*$E13446)</f>
        <v/>
      </c>
      <c r="G13446" s="107" t="str">
        <f aca="false">IF($C13446="","",$D13446*IFERROR(INDEX('تحليل التكلفة والسعر'!$C$2:$C$700,MATCH($C13446,'تحليل التكلفة والسعر'!$B$2:$B$700,0)),0))</f>
        <v/>
      </c>
    </row>
    <row r="13447" customFormat="false" ht="15" hidden="false" customHeight="false" outlineLevel="0" collapsed="false">
      <c r="A13447" s="103"/>
      <c r="B13447" s="104"/>
      <c r="C13447" s="104"/>
      <c r="E13447" s="107" t="str">
        <f aca="false">IF($C13447="","",IFERROR(INDEX(المنيو!$C$2:$C$500,MATCH($C13447,المنيو!$B$2:$B$500,0)),0))</f>
        <v/>
      </c>
      <c r="F13447" s="107" t="str">
        <f aca="false">IF($C13447="","",$D13447*$E13447)</f>
        <v/>
      </c>
      <c r="G13447" s="107" t="str">
        <f aca="false">IF($C13447="","",$D13447*IFERROR(INDEX('تحليل التكلفة والسعر'!$C$2:$C$700,MATCH($C13447,'تحليل التكلفة والسعر'!$B$2:$B$700,0)),0))</f>
        <v/>
      </c>
    </row>
    <row r="13448" customFormat="false" ht="15" hidden="false" customHeight="false" outlineLevel="0" collapsed="false">
      <c r="A13448" s="103"/>
      <c r="B13448" s="104"/>
      <c r="C13448" s="104"/>
      <c r="E13448" s="107" t="str">
        <f aca="false">IF($C13448="","",IFERROR(INDEX(المنيو!$C$2:$C$500,MATCH($C13448,المنيو!$B$2:$B$500,0)),0))</f>
        <v/>
      </c>
      <c r="F13448" s="107" t="str">
        <f aca="false">IF($C13448="","",$D13448*$E13448)</f>
        <v/>
      </c>
      <c r="G13448" s="107" t="str">
        <f aca="false">IF($C13448="","",$D13448*IFERROR(INDEX('تحليل التكلفة والسعر'!$C$2:$C$700,MATCH($C13448,'تحليل التكلفة والسعر'!$B$2:$B$700,0)),0))</f>
        <v/>
      </c>
    </row>
    <row r="13449" customFormat="false" ht="15" hidden="false" customHeight="false" outlineLevel="0" collapsed="false">
      <c r="A13449" s="103"/>
      <c r="B13449" s="104"/>
      <c r="C13449" s="104"/>
      <c r="E13449" s="107" t="str">
        <f aca="false">IF($C13449="","",IFERROR(INDEX(المنيو!$C$2:$C$500,MATCH($C13449,المنيو!$B$2:$B$500,0)),0))</f>
        <v/>
      </c>
      <c r="F13449" s="107" t="str">
        <f aca="false">IF($C13449="","",$D13449*$E13449)</f>
        <v/>
      </c>
      <c r="G13449" s="107" t="str">
        <f aca="false">IF($C13449="","",$D13449*IFERROR(INDEX('تحليل التكلفة والسعر'!$C$2:$C$700,MATCH($C13449,'تحليل التكلفة والسعر'!$B$2:$B$700,0)),0))</f>
        <v/>
      </c>
    </row>
    <row r="13450" customFormat="false" ht="15" hidden="false" customHeight="false" outlineLevel="0" collapsed="false">
      <c r="A13450" s="103"/>
      <c r="B13450" s="104"/>
      <c r="C13450" s="104"/>
      <c r="E13450" s="107" t="str">
        <f aca="false">IF($C13450="","",IFERROR(INDEX(المنيو!$C$2:$C$500,MATCH($C13450,المنيو!$B$2:$B$500,0)),0))</f>
        <v/>
      </c>
      <c r="F13450" s="107" t="str">
        <f aca="false">IF($C13450="","",$D13450*$E13450)</f>
        <v/>
      </c>
      <c r="G13450" s="107" t="str">
        <f aca="false">IF($C13450="","",$D13450*IFERROR(INDEX('تحليل التكلفة والسعر'!$C$2:$C$700,MATCH($C13450,'تحليل التكلفة والسعر'!$B$2:$B$700,0)),0))</f>
        <v/>
      </c>
    </row>
    <row r="13451" customFormat="false" ht="15" hidden="false" customHeight="false" outlineLevel="0" collapsed="false">
      <c r="A13451" s="103"/>
      <c r="B13451" s="104"/>
      <c r="C13451" s="104"/>
      <c r="E13451" s="107" t="str">
        <f aca="false">IF($C13451="","",IFERROR(INDEX(المنيو!$C$2:$C$500,MATCH($C13451,المنيو!$B$2:$B$500,0)),0))</f>
        <v/>
      </c>
      <c r="F13451" s="107" t="str">
        <f aca="false">IF($C13451="","",$D13451*$E13451)</f>
        <v/>
      </c>
      <c r="G13451" s="107" t="str">
        <f aca="false">IF($C13451="","",$D13451*IFERROR(INDEX('تحليل التكلفة والسعر'!$C$2:$C$700,MATCH($C13451,'تحليل التكلفة والسعر'!$B$2:$B$700,0)),0))</f>
        <v/>
      </c>
    </row>
    <row r="13452" customFormat="false" ht="15" hidden="false" customHeight="false" outlineLevel="0" collapsed="false">
      <c r="A13452" s="103"/>
      <c r="B13452" s="104"/>
      <c r="C13452" s="104"/>
      <c r="E13452" s="107" t="str">
        <f aca="false">IF($C13452="","",IFERROR(INDEX(المنيو!$C$2:$C$500,MATCH($C13452,المنيو!$B$2:$B$500,0)),0))</f>
        <v/>
      </c>
      <c r="F13452" s="107" t="str">
        <f aca="false">IF($C13452="","",$D13452*$E13452)</f>
        <v/>
      </c>
      <c r="G13452" s="107" t="str">
        <f aca="false">IF($C13452="","",$D13452*IFERROR(INDEX('تحليل التكلفة والسعر'!$C$2:$C$700,MATCH($C13452,'تحليل التكلفة والسعر'!$B$2:$B$700,0)),0))</f>
        <v/>
      </c>
    </row>
    <row r="13453" customFormat="false" ht="15" hidden="false" customHeight="false" outlineLevel="0" collapsed="false">
      <c r="A13453" s="103"/>
      <c r="B13453" s="104"/>
      <c r="C13453" s="104"/>
      <c r="E13453" s="107" t="str">
        <f aca="false">IF($C13453="","",IFERROR(INDEX(المنيو!$C$2:$C$500,MATCH($C13453,المنيو!$B$2:$B$500,0)),0))</f>
        <v/>
      </c>
      <c r="F13453" s="107" t="str">
        <f aca="false">IF($C13453="","",$D13453*$E13453)</f>
        <v/>
      </c>
      <c r="G13453" s="107" t="str">
        <f aca="false">IF($C13453="","",$D13453*IFERROR(INDEX('تحليل التكلفة والسعر'!$C$2:$C$700,MATCH($C13453,'تحليل التكلفة والسعر'!$B$2:$B$700,0)),0))</f>
        <v/>
      </c>
    </row>
    <row r="13454" customFormat="false" ht="15" hidden="false" customHeight="false" outlineLevel="0" collapsed="false">
      <c r="A13454" s="103"/>
      <c r="B13454" s="104"/>
      <c r="C13454" s="104"/>
      <c r="E13454" s="107" t="str">
        <f aca="false">IF($C13454="","",IFERROR(INDEX(المنيو!$C$2:$C$500,MATCH($C13454,المنيو!$B$2:$B$500,0)),0))</f>
        <v/>
      </c>
      <c r="F13454" s="107" t="str">
        <f aca="false">IF($C13454="","",$D13454*$E13454)</f>
        <v/>
      </c>
      <c r="G13454" s="107" t="str">
        <f aca="false">IF($C13454="","",$D13454*IFERROR(INDEX('تحليل التكلفة والسعر'!$C$2:$C$700,MATCH($C13454,'تحليل التكلفة والسعر'!$B$2:$B$700,0)),0))</f>
        <v/>
      </c>
    </row>
    <row r="13455" customFormat="false" ht="15" hidden="false" customHeight="false" outlineLevel="0" collapsed="false">
      <c r="A13455" s="103"/>
      <c r="B13455" s="104"/>
      <c r="C13455" s="104"/>
      <c r="E13455" s="107" t="str">
        <f aca="false">IF($C13455="","",IFERROR(INDEX(المنيو!$C$2:$C$500,MATCH($C13455,المنيو!$B$2:$B$500,0)),0))</f>
        <v/>
      </c>
      <c r="F13455" s="107" t="str">
        <f aca="false">IF($C13455="","",$D13455*$E13455)</f>
        <v/>
      </c>
      <c r="G13455" s="107" t="str">
        <f aca="false">IF($C13455="","",$D13455*IFERROR(INDEX('تحليل التكلفة والسعر'!$C$2:$C$700,MATCH($C13455,'تحليل التكلفة والسعر'!$B$2:$B$700,0)),0))</f>
        <v/>
      </c>
    </row>
    <row r="13456" customFormat="false" ht="15" hidden="false" customHeight="false" outlineLevel="0" collapsed="false">
      <c r="A13456" s="103"/>
      <c r="B13456" s="104"/>
      <c r="C13456" s="104"/>
      <c r="E13456" s="107" t="str">
        <f aca="false">IF($C13456="","",IFERROR(INDEX(المنيو!$C$2:$C$500,MATCH($C13456,المنيو!$B$2:$B$500,0)),0))</f>
        <v/>
      </c>
      <c r="F13456" s="107" t="str">
        <f aca="false">IF($C13456="","",$D13456*$E13456)</f>
        <v/>
      </c>
      <c r="G13456" s="107" t="str">
        <f aca="false">IF($C13456="","",$D13456*IFERROR(INDEX('تحليل التكلفة والسعر'!$C$2:$C$700,MATCH($C13456,'تحليل التكلفة والسعر'!$B$2:$B$700,0)),0))</f>
        <v/>
      </c>
    </row>
    <row r="13457" customFormat="false" ht="15" hidden="false" customHeight="false" outlineLevel="0" collapsed="false">
      <c r="A13457" s="103"/>
      <c r="B13457" s="104"/>
      <c r="C13457" s="104"/>
      <c r="E13457" s="107" t="str">
        <f aca="false">IF($C13457="","",IFERROR(INDEX(المنيو!$C$2:$C$500,MATCH($C13457,المنيو!$B$2:$B$500,0)),0))</f>
        <v/>
      </c>
      <c r="F13457" s="107" t="str">
        <f aca="false">IF($C13457="","",$D13457*$E13457)</f>
        <v/>
      </c>
      <c r="G13457" s="107" t="str">
        <f aca="false">IF($C13457="","",$D13457*IFERROR(INDEX('تحليل التكلفة والسعر'!$C$2:$C$700,MATCH($C13457,'تحليل التكلفة والسعر'!$B$2:$B$700,0)),0))</f>
        <v/>
      </c>
    </row>
    <row r="13458" customFormat="false" ht="15" hidden="false" customHeight="false" outlineLevel="0" collapsed="false">
      <c r="A13458" s="103"/>
      <c r="B13458" s="104"/>
      <c r="C13458" s="104"/>
      <c r="E13458" s="107" t="str">
        <f aca="false">IF($C13458="","",IFERROR(INDEX(المنيو!$C$2:$C$500,MATCH($C13458,المنيو!$B$2:$B$500,0)),0))</f>
        <v/>
      </c>
      <c r="F13458" s="107" t="str">
        <f aca="false">IF($C13458="","",$D13458*$E13458)</f>
        <v/>
      </c>
      <c r="G13458" s="107" t="str">
        <f aca="false">IF($C13458="","",$D13458*IFERROR(INDEX('تحليل التكلفة والسعر'!$C$2:$C$700,MATCH($C13458,'تحليل التكلفة والسعر'!$B$2:$B$700,0)),0))</f>
        <v/>
      </c>
    </row>
    <row r="13459" customFormat="false" ht="15" hidden="false" customHeight="false" outlineLevel="0" collapsed="false">
      <c r="A13459" s="103"/>
      <c r="B13459" s="104"/>
      <c r="C13459" s="104"/>
      <c r="E13459" s="107" t="str">
        <f aca="false">IF($C13459="","",IFERROR(INDEX(المنيو!$C$2:$C$500,MATCH($C13459,المنيو!$B$2:$B$500,0)),0))</f>
        <v/>
      </c>
      <c r="F13459" s="107" t="str">
        <f aca="false">IF($C13459="","",$D13459*$E13459)</f>
        <v/>
      </c>
      <c r="G13459" s="107" t="str">
        <f aca="false">IF($C13459="","",$D13459*IFERROR(INDEX('تحليل التكلفة والسعر'!$C$2:$C$700,MATCH($C13459,'تحليل التكلفة والسعر'!$B$2:$B$700,0)),0))</f>
        <v/>
      </c>
    </row>
    <row r="13460" customFormat="false" ht="15" hidden="false" customHeight="false" outlineLevel="0" collapsed="false">
      <c r="A13460" s="103"/>
      <c r="B13460" s="104"/>
      <c r="C13460" s="104"/>
      <c r="E13460" s="107" t="str">
        <f aca="false">IF($C13460="","",IFERROR(INDEX(المنيو!$C$2:$C$500,MATCH($C13460,المنيو!$B$2:$B$500,0)),0))</f>
        <v/>
      </c>
      <c r="F13460" s="107" t="str">
        <f aca="false">IF($C13460="","",$D13460*$E13460)</f>
        <v/>
      </c>
      <c r="G13460" s="107" t="str">
        <f aca="false">IF($C13460="","",$D13460*IFERROR(INDEX('تحليل التكلفة والسعر'!$C$2:$C$700,MATCH($C13460,'تحليل التكلفة والسعر'!$B$2:$B$700,0)),0))</f>
        <v/>
      </c>
    </row>
    <row r="13461" customFormat="false" ht="15" hidden="false" customHeight="false" outlineLevel="0" collapsed="false">
      <c r="A13461" s="103"/>
      <c r="B13461" s="104"/>
      <c r="C13461" s="104"/>
      <c r="E13461" s="107" t="str">
        <f aca="false">IF($C13461="","",IFERROR(INDEX(المنيو!$C$2:$C$500,MATCH($C13461,المنيو!$B$2:$B$500,0)),0))</f>
        <v/>
      </c>
      <c r="F13461" s="107" t="str">
        <f aca="false">IF($C13461="","",$D13461*$E13461)</f>
        <v/>
      </c>
      <c r="G13461" s="107" t="str">
        <f aca="false">IF($C13461="","",$D13461*IFERROR(INDEX('تحليل التكلفة والسعر'!$C$2:$C$700,MATCH($C13461,'تحليل التكلفة والسعر'!$B$2:$B$700,0)),0))</f>
        <v/>
      </c>
    </row>
    <row r="13462" customFormat="false" ht="15" hidden="false" customHeight="false" outlineLevel="0" collapsed="false">
      <c r="A13462" s="103"/>
      <c r="B13462" s="104"/>
      <c r="C13462" s="104"/>
      <c r="E13462" s="107" t="str">
        <f aca="false">IF($C13462="","",IFERROR(INDEX(المنيو!$C$2:$C$500,MATCH($C13462,المنيو!$B$2:$B$500,0)),0))</f>
        <v/>
      </c>
      <c r="F13462" s="107" t="str">
        <f aca="false">IF($C13462="","",$D13462*$E13462)</f>
        <v/>
      </c>
      <c r="G13462" s="107" t="str">
        <f aca="false">IF($C13462="","",$D13462*IFERROR(INDEX('تحليل التكلفة والسعر'!$C$2:$C$700,MATCH($C13462,'تحليل التكلفة والسعر'!$B$2:$B$700,0)),0))</f>
        <v/>
      </c>
    </row>
    <row r="13463" customFormat="false" ht="15" hidden="false" customHeight="false" outlineLevel="0" collapsed="false">
      <c r="A13463" s="103"/>
      <c r="B13463" s="104"/>
      <c r="C13463" s="104"/>
      <c r="E13463" s="107" t="str">
        <f aca="false">IF($C13463="","",IFERROR(INDEX(المنيو!$C$2:$C$500,MATCH($C13463,المنيو!$B$2:$B$500,0)),0))</f>
        <v/>
      </c>
      <c r="F13463" s="107" t="str">
        <f aca="false">IF($C13463="","",$D13463*$E13463)</f>
        <v/>
      </c>
      <c r="G13463" s="107" t="str">
        <f aca="false">IF($C13463="","",$D13463*IFERROR(INDEX('تحليل التكلفة والسعر'!$C$2:$C$700,MATCH($C13463,'تحليل التكلفة والسعر'!$B$2:$B$700,0)),0))</f>
        <v/>
      </c>
    </row>
    <row r="13464" customFormat="false" ht="15" hidden="false" customHeight="false" outlineLevel="0" collapsed="false">
      <c r="A13464" s="103"/>
      <c r="B13464" s="104"/>
      <c r="C13464" s="104"/>
      <c r="E13464" s="107" t="str">
        <f aca="false">IF($C13464="","",IFERROR(INDEX(المنيو!$C$2:$C$500,MATCH($C13464,المنيو!$B$2:$B$500,0)),0))</f>
        <v/>
      </c>
      <c r="F13464" s="107" t="str">
        <f aca="false">IF($C13464="","",$D13464*$E13464)</f>
        <v/>
      </c>
      <c r="G13464" s="107" t="str">
        <f aca="false">IF($C13464="","",$D13464*IFERROR(INDEX('تحليل التكلفة والسعر'!$C$2:$C$700,MATCH($C13464,'تحليل التكلفة والسعر'!$B$2:$B$700,0)),0))</f>
        <v/>
      </c>
    </row>
    <row r="13465" customFormat="false" ht="15" hidden="false" customHeight="false" outlineLevel="0" collapsed="false">
      <c r="A13465" s="103"/>
      <c r="B13465" s="104"/>
      <c r="C13465" s="104"/>
      <c r="E13465" s="107" t="str">
        <f aca="false">IF($C13465="","",IFERROR(INDEX(المنيو!$C$2:$C$500,MATCH($C13465,المنيو!$B$2:$B$500,0)),0))</f>
        <v/>
      </c>
      <c r="F13465" s="107" t="str">
        <f aca="false">IF($C13465="","",$D13465*$E13465)</f>
        <v/>
      </c>
      <c r="G13465" s="107" t="str">
        <f aca="false">IF($C13465="","",$D13465*IFERROR(INDEX('تحليل التكلفة والسعر'!$C$2:$C$700,MATCH($C13465,'تحليل التكلفة والسعر'!$B$2:$B$700,0)),0))</f>
        <v/>
      </c>
    </row>
    <row r="13466" customFormat="false" ht="15" hidden="false" customHeight="false" outlineLevel="0" collapsed="false">
      <c r="A13466" s="103"/>
      <c r="B13466" s="104"/>
      <c r="C13466" s="104"/>
      <c r="E13466" s="107" t="str">
        <f aca="false">IF($C13466="","",IFERROR(INDEX(المنيو!$C$2:$C$500,MATCH($C13466,المنيو!$B$2:$B$500,0)),0))</f>
        <v/>
      </c>
      <c r="F13466" s="107" t="str">
        <f aca="false">IF($C13466="","",$D13466*$E13466)</f>
        <v/>
      </c>
      <c r="G13466" s="107" t="str">
        <f aca="false">IF($C13466="","",$D13466*IFERROR(INDEX('تحليل التكلفة والسعر'!$C$2:$C$700,MATCH($C13466,'تحليل التكلفة والسعر'!$B$2:$B$700,0)),0))</f>
        <v/>
      </c>
    </row>
    <row r="13467" customFormat="false" ht="15" hidden="false" customHeight="false" outlineLevel="0" collapsed="false">
      <c r="A13467" s="103"/>
      <c r="B13467" s="104"/>
      <c r="C13467" s="104"/>
      <c r="E13467" s="107" t="str">
        <f aca="false">IF($C13467="","",IFERROR(INDEX(المنيو!$C$2:$C$500,MATCH($C13467,المنيو!$B$2:$B$500,0)),0))</f>
        <v/>
      </c>
      <c r="F13467" s="107" t="str">
        <f aca="false">IF($C13467="","",$D13467*$E13467)</f>
        <v/>
      </c>
      <c r="G13467" s="107" t="str">
        <f aca="false">IF($C13467="","",$D13467*IFERROR(INDEX('تحليل التكلفة والسعر'!$C$2:$C$700,MATCH($C13467,'تحليل التكلفة والسعر'!$B$2:$B$700,0)),0))</f>
        <v/>
      </c>
    </row>
    <row r="13468" customFormat="false" ht="15" hidden="false" customHeight="false" outlineLevel="0" collapsed="false">
      <c r="A13468" s="103"/>
      <c r="B13468" s="104"/>
      <c r="C13468" s="104"/>
      <c r="E13468" s="107" t="str">
        <f aca="false">IF($C13468="","",IFERROR(INDEX(المنيو!$C$2:$C$500,MATCH($C13468,المنيو!$B$2:$B$500,0)),0))</f>
        <v/>
      </c>
      <c r="F13468" s="107" t="str">
        <f aca="false">IF($C13468="","",$D13468*$E13468)</f>
        <v/>
      </c>
      <c r="G13468" s="107" t="str">
        <f aca="false">IF($C13468="","",$D13468*IFERROR(INDEX('تحليل التكلفة والسعر'!$C$2:$C$700,MATCH($C13468,'تحليل التكلفة والسعر'!$B$2:$B$700,0)),0))</f>
        <v/>
      </c>
    </row>
    <row r="13469" customFormat="false" ht="15" hidden="false" customHeight="false" outlineLevel="0" collapsed="false">
      <c r="A13469" s="103"/>
      <c r="B13469" s="104"/>
      <c r="C13469" s="104"/>
      <c r="E13469" s="107" t="str">
        <f aca="false">IF($C13469="","",IFERROR(INDEX(المنيو!$C$2:$C$500,MATCH($C13469,المنيو!$B$2:$B$500,0)),0))</f>
        <v/>
      </c>
      <c r="F13469" s="107" t="str">
        <f aca="false">IF($C13469="","",$D13469*$E13469)</f>
        <v/>
      </c>
      <c r="G13469" s="107" t="str">
        <f aca="false">IF($C13469="","",$D13469*IFERROR(INDEX('تحليل التكلفة والسعر'!$C$2:$C$700,MATCH($C13469,'تحليل التكلفة والسعر'!$B$2:$B$700,0)),0))</f>
        <v/>
      </c>
    </row>
    <row r="13470" customFormat="false" ht="15" hidden="false" customHeight="false" outlineLevel="0" collapsed="false">
      <c r="A13470" s="103"/>
      <c r="B13470" s="104"/>
      <c r="C13470" s="104"/>
      <c r="E13470" s="107" t="str">
        <f aca="false">IF($C13470="","",IFERROR(INDEX(المنيو!$C$2:$C$500,MATCH($C13470,المنيو!$B$2:$B$500,0)),0))</f>
        <v/>
      </c>
      <c r="F13470" s="107" t="str">
        <f aca="false">IF($C13470="","",$D13470*$E13470)</f>
        <v/>
      </c>
      <c r="G13470" s="107" t="str">
        <f aca="false">IF($C13470="","",$D13470*IFERROR(INDEX('تحليل التكلفة والسعر'!$C$2:$C$700,MATCH($C13470,'تحليل التكلفة والسعر'!$B$2:$B$700,0)),0))</f>
        <v/>
      </c>
    </row>
    <row r="13471" customFormat="false" ht="15" hidden="false" customHeight="false" outlineLevel="0" collapsed="false">
      <c r="A13471" s="103"/>
      <c r="B13471" s="104"/>
      <c r="C13471" s="104"/>
      <c r="E13471" s="107" t="str">
        <f aca="false">IF($C13471="","",IFERROR(INDEX(المنيو!$C$2:$C$500,MATCH($C13471,المنيو!$B$2:$B$500,0)),0))</f>
        <v/>
      </c>
      <c r="F13471" s="107" t="str">
        <f aca="false">IF($C13471="","",$D13471*$E13471)</f>
        <v/>
      </c>
      <c r="G13471" s="107" t="str">
        <f aca="false">IF($C13471="","",$D13471*IFERROR(INDEX('تحليل التكلفة والسعر'!$C$2:$C$700,MATCH($C13471,'تحليل التكلفة والسعر'!$B$2:$B$700,0)),0))</f>
        <v/>
      </c>
    </row>
    <row r="13472" customFormat="false" ht="15" hidden="false" customHeight="false" outlineLevel="0" collapsed="false">
      <c r="A13472" s="103"/>
      <c r="B13472" s="104"/>
      <c r="C13472" s="104"/>
      <c r="E13472" s="107" t="str">
        <f aca="false">IF($C13472="","",IFERROR(INDEX(المنيو!$C$2:$C$500,MATCH($C13472,المنيو!$B$2:$B$500,0)),0))</f>
        <v/>
      </c>
      <c r="F13472" s="107" t="str">
        <f aca="false">IF($C13472="","",$D13472*$E13472)</f>
        <v/>
      </c>
      <c r="G13472" s="107" t="str">
        <f aca="false">IF($C13472="","",$D13472*IFERROR(INDEX('تحليل التكلفة والسعر'!$C$2:$C$700,MATCH($C13472,'تحليل التكلفة والسعر'!$B$2:$B$700,0)),0))</f>
        <v/>
      </c>
    </row>
    <row r="13473" customFormat="false" ht="15" hidden="false" customHeight="false" outlineLevel="0" collapsed="false">
      <c r="A13473" s="103"/>
      <c r="B13473" s="104"/>
      <c r="C13473" s="104"/>
      <c r="E13473" s="107" t="str">
        <f aca="false">IF($C13473="","",IFERROR(INDEX(المنيو!$C$2:$C$500,MATCH($C13473,المنيو!$B$2:$B$500,0)),0))</f>
        <v/>
      </c>
      <c r="F13473" s="107" t="str">
        <f aca="false">IF($C13473="","",$D13473*$E13473)</f>
        <v/>
      </c>
      <c r="G13473" s="107" t="str">
        <f aca="false">IF($C13473="","",$D13473*IFERROR(INDEX('تحليل التكلفة والسعر'!$C$2:$C$700,MATCH($C13473,'تحليل التكلفة والسعر'!$B$2:$B$700,0)),0))</f>
        <v/>
      </c>
    </row>
    <row r="13474" customFormat="false" ht="15" hidden="false" customHeight="false" outlineLevel="0" collapsed="false">
      <c r="A13474" s="103"/>
      <c r="B13474" s="104"/>
      <c r="C13474" s="104"/>
      <c r="E13474" s="107" t="str">
        <f aca="false">IF($C13474="","",IFERROR(INDEX(المنيو!$C$2:$C$500,MATCH($C13474,المنيو!$B$2:$B$500,0)),0))</f>
        <v/>
      </c>
      <c r="F13474" s="107" t="str">
        <f aca="false">IF($C13474="","",$D13474*$E13474)</f>
        <v/>
      </c>
      <c r="G13474" s="107" t="str">
        <f aca="false">IF($C13474="","",$D13474*IFERROR(INDEX('تحليل التكلفة والسعر'!$C$2:$C$700,MATCH($C13474,'تحليل التكلفة والسعر'!$B$2:$B$700,0)),0))</f>
        <v/>
      </c>
    </row>
    <row r="13475" customFormat="false" ht="15" hidden="false" customHeight="false" outlineLevel="0" collapsed="false">
      <c r="A13475" s="103"/>
      <c r="B13475" s="104"/>
      <c r="C13475" s="104"/>
      <c r="E13475" s="107" t="str">
        <f aca="false">IF($C13475="","",IFERROR(INDEX(المنيو!$C$2:$C$500,MATCH($C13475,المنيو!$B$2:$B$500,0)),0))</f>
        <v/>
      </c>
      <c r="F13475" s="107" t="str">
        <f aca="false">IF($C13475="","",$D13475*$E13475)</f>
        <v/>
      </c>
      <c r="G13475" s="107" t="str">
        <f aca="false">IF($C13475="","",$D13475*IFERROR(INDEX('تحليل التكلفة والسعر'!$C$2:$C$700,MATCH($C13475,'تحليل التكلفة والسعر'!$B$2:$B$700,0)),0))</f>
        <v/>
      </c>
    </row>
    <row r="13476" customFormat="false" ht="15" hidden="false" customHeight="false" outlineLevel="0" collapsed="false">
      <c r="A13476" s="103"/>
      <c r="B13476" s="104"/>
      <c r="C13476" s="104"/>
      <c r="E13476" s="107" t="str">
        <f aca="false">IF($C13476="","",IFERROR(INDEX(المنيو!$C$2:$C$500,MATCH($C13476,المنيو!$B$2:$B$500,0)),0))</f>
        <v/>
      </c>
      <c r="F13476" s="107" t="str">
        <f aca="false">IF($C13476="","",$D13476*$E13476)</f>
        <v/>
      </c>
      <c r="G13476" s="107" t="str">
        <f aca="false">IF($C13476="","",$D13476*IFERROR(INDEX('تحليل التكلفة والسعر'!$C$2:$C$700,MATCH($C13476,'تحليل التكلفة والسعر'!$B$2:$B$700,0)),0))</f>
        <v/>
      </c>
    </row>
    <row r="13477" customFormat="false" ht="15" hidden="false" customHeight="false" outlineLevel="0" collapsed="false">
      <c r="A13477" s="103"/>
      <c r="B13477" s="104"/>
      <c r="C13477" s="104"/>
      <c r="E13477" s="107" t="str">
        <f aca="false">IF($C13477="","",IFERROR(INDEX(المنيو!$C$2:$C$500,MATCH($C13477,المنيو!$B$2:$B$500,0)),0))</f>
        <v/>
      </c>
      <c r="F13477" s="107" t="str">
        <f aca="false">IF($C13477="","",$D13477*$E13477)</f>
        <v/>
      </c>
      <c r="G13477" s="107" t="str">
        <f aca="false">IF($C13477="","",$D13477*IFERROR(INDEX('تحليل التكلفة والسعر'!$C$2:$C$700,MATCH($C13477,'تحليل التكلفة والسعر'!$B$2:$B$700,0)),0))</f>
        <v/>
      </c>
    </row>
    <row r="13478" customFormat="false" ht="15" hidden="false" customHeight="false" outlineLevel="0" collapsed="false">
      <c r="A13478" s="103"/>
      <c r="B13478" s="104"/>
      <c r="C13478" s="104"/>
      <c r="E13478" s="107" t="str">
        <f aca="false">IF($C13478="","",IFERROR(INDEX(المنيو!$C$2:$C$500,MATCH($C13478,المنيو!$B$2:$B$500,0)),0))</f>
        <v/>
      </c>
      <c r="F13478" s="107" t="str">
        <f aca="false">IF($C13478="","",$D13478*$E13478)</f>
        <v/>
      </c>
      <c r="G13478" s="107" t="str">
        <f aca="false">IF($C13478="","",$D13478*IFERROR(INDEX('تحليل التكلفة والسعر'!$C$2:$C$700,MATCH($C13478,'تحليل التكلفة والسعر'!$B$2:$B$700,0)),0))</f>
        <v/>
      </c>
    </row>
    <row r="13479" customFormat="false" ht="15" hidden="false" customHeight="false" outlineLevel="0" collapsed="false">
      <c r="A13479" s="103"/>
      <c r="B13479" s="104"/>
      <c r="C13479" s="104"/>
      <c r="E13479" s="107" t="str">
        <f aca="false">IF($C13479="","",IFERROR(INDEX(المنيو!$C$2:$C$500,MATCH($C13479,المنيو!$B$2:$B$500,0)),0))</f>
        <v/>
      </c>
      <c r="F13479" s="107" t="str">
        <f aca="false">IF($C13479="","",$D13479*$E13479)</f>
        <v/>
      </c>
      <c r="G13479" s="107" t="str">
        <f aca="false">IF($C13479="","",$D13479*IFERROR(INDEX('تحليل التكلفة والسعر'!$C$2:$C$700,MATCH($C13479,'تحليل التكلفة والسعر'!$B$2:$B$700,0)),0))</f>
        <v/>
      </c>
    </row>
    <row r="13480" customFormat="false" ht="15" hidden="false" customHeight="false" outlineLevel="0" collapsed="false">
      <c r="A13480" s="103"/>
      <c r="B13480" s="104"/>
      <c r="C13480" s="104"/>
      <c r="E13480" s="107" t="str">
        <f aca="false">IF($C13480="","",IFERROR(INDEX(المنيو!$C$2:$C$500,MATCH($C13480,المنيو!$B$2:$B$500,0)),0))</f>
        <v/>
      </c>
      <c r="F13480" s="107" t="str">
        <f aca="false">IF($C13480="","",$D13480*$E13480)</f>
        <v/>
      </c>
      <c r="G13480" s="107" t="str">
        <f aca="false">IF($C13480="","",$D13480*IFERROR(INDEX('تحليل التكلفة والسعر'!$C$2:$C$700,MATCH($C13480,'تحليل التكلفة والسعر'!$B$2:$B$700,0)),0))</f>
        <v/>
      </c>
    </row>
    <row r="13481" customFormat="false" ht="15" hidden="false" customHeight="false" outlineLevel="0" collapsed="false">
      <c r="A13481" s="103"/>
      <c r="B13481" s="104"/>
      <c r="C13481" s="104"/>
      <c r="E13481" s="107" t="str">
        <f aca="false">IF($C13481="","",IFERROR(INDEX(المنيو!$C$2:$C$500,MATCH($C13481,المنيو!$B$2:$B$500,0)),0))</f>
        <v/>
      </c>
      <c r="F13481" s="107" t="str">
        <f aca="false">IF($C13481="","",$D13481*$E13481)</f>
        <v/>
      </c>
      <c r="G13481" s="107" t="str">
        <f aca="false">IF($C13481="","",$D13481*IFERROR(INDEX('تحليل التكلفة والسعر'!$C$2:$C$700,MATCH($C13481,'تحليل التكلفة والسعر'!$B$2:$B$700,0)),0))</f>
        <v/>
      </c>
    </row>
    <row r="13482" customFormat="false" ht="15" hidden="false" customHeight="false" outlineLevel="0" collapsed="false">
      <c r="A13482" s="103"/>
      <c r="B13482" s="104"/>
      <c r="C13482" s="104"/>
      <c r="E13482" s="107" t="str">
        <f aca="false">IF($C13482="","",IFERROR(INDEX(المنيو!$C$2:$C$500,MATCH($C13482,المنيو!$B$2:$B$500,0)),0))</f>
        <v/>
      </c>
      <c r="F13482" s="107" t="str">
        <f aca="false">IF($C13482="","",$D13482*$E13482)</f>
        <v/>
      </c>
      <c r="G13482" s="107" t="str">
        <f aca="false">IF($C13482="","",$D13482*IFERROR(INDEX('تحليل التكلفة والسعر'!$C$2:$C$700,MATCH($C13482,'تحليل التكلفة والسعر'!$B$2:$B$700,0)),0))</f>
        <v/>
      </c>
    </row>
    <row r="13483" customFormat="false" ht="15" hidden="false" customHeight="false" outlineLevel="0" collapsed="false">
      <c r="A13483" s="103"/>
      <c r="B13483" s="104"/>
      <c r="C13483" s="104"/>
      <c r="E13483" s="107" t="str">
        <f aca="false">IF($C13483="","",IFERROR(INDEX(المنيو!$C$2:$C$500,MATCH($C13483,المنيو!$B$2:$B$500,0)),0))</f>
        <v/>
      </c>
      <c r="F13483" s="107" t="str">
        <f aca="false">IF($C13483="","",$D13483*$E13483)</f>
        <v/>
      </c>
      <c r="G13483" s="107" t="str">
        <f aca="false">IF($C13483="","",$D13483*IFERROR(INDEX('تحليل التكلفة والسعر'!$C$2:$C$700,MATCH($C13483,'تحليل التكلفة والسعر'!$B$2:$B$700,0)),0))</f>
        <v/>
      </c>
    </row>
    <row r="13484" customFormat="false" ht="15" hidden="false" customHeight="false" outlineLevel="0" collapsed="false">
      <c r="A13484" s="103"/>
      <c r="B13484" s="104"/>
      <c r="C13484" s="104"/>
      <c r="E13484" s="107" t="str">
        <f aca="false">IF($C13484="","",IFERROR(INDEX(المنيو!$C$2:$C$500,MATCH($C13484,المنيو!$B$2:$B$500,0)),0))</f>
        <v/>
      </c>
      <c r="F13484" s="107" t="str">
        <f aca="false">IF($C13484="","",$D13484*$E13484)</f>
        <v/>
      </c>
      <c r="G13484" s="107" t="str">
        <f aca="false">IF($C13484="","",$D13484*IFERROR(INDEX('تحليل التكلفة والسعر'!$C$2:$C$700,MATCH($C13484,'تحليل التكلفة والسعر'!$B$2:$B$700,0)),0))</f>
        <v/>
      </c>
    </row>
    <row r="13485" customFormat="false" ht="15" hidden="false" customHeight="false" outlineLevel="0" collapsed="false">
      <c r="A13485" s="103"/>
      <c r="B13485" s="104"/>
      <c r="C13485" s="104"/>
      <c r="E13485" s="107" t="str">
        <f aca="false">IF($C13485="","",IFERROR(INDEX(المنيو!$C$2:$C$500,MATCH($C13485,المنيو!$B$2:$B$500,0)),0))</f>
        <v/>
      </c>
      <c r="F13485" s="107" t="str">
        <f aca="false">IF($C13485="","",$D13485*$E13485)</f>
        <v/>
      </c>
      <c r="G13485" s="107" t="str">
        <f aca="false">IF($C13485="","",$D13485*IFERROR(INDEX('تحليل التكلفة والسعر'!$C$2:$C$700,MATCH($C13485,'تحليل التكلفة والسعر'!$B$2:$B$700,0)),0))</f>
        <v/>
      </c>
    </row>
    <row r="13486" customFormat="false" ht="15" hidden="false" customHeight="false" outlineLevel="0" collapsed="false">
      <c r="A13486" s="103"/>
      <c r="B13486" s="104"/>
      <c r="C13486" s="104"/>
      <c r="E13486" s="107" t="str">
        <f aca="false">IF($C13486="","",IFERROR(INDEX(المنيو!$C$2:$C$500,MATCH($C13486,المنيو!$B$2:$B$500,0)),0))</f>
        <v/>
      </c>
      <c r="F13486" s="107" t="str">
        <f aca="false">IF($C13486="","",$D13486*$E13486)</f>
        <v/>
      </c>
      <c r="G13486" s="107" t="str">
        <f aca="false">IF($C13486="","",$D13486*IFERROR(INDEX('تحليل التكلفة والسعر'!$C$2:$C$700,MATCH($C13486,'تحليل التكلفة والسعر'!$B$2:$B$700,0)),0))</f>
        <v/>
      </c>
    </row>
    <row r="13487" customFormat="false" ht="15" hidden="false" customHeight="false" outlineLevel="0" collapsed="false">
      <c r="A13487" s="103"/>
      <c r="B13487" s="104"/>
      <c r="C13487" s="104"/>
      <c r="E13487" s="107" t="str">
        <f aca="false">IF($C13487="","",IFERROR(INDEX(المنيو!$C$2:$C$500,MATCH($C13487,المنيو!$B$2:$B$500,0)),0))</f>
        <v/>
      </c>
      <c r="F13487" s="107" t="str">
        <f aca="false">IF($C13487="","",$D13487*$E13487)</f>
        <v/>
      </c>
      <c r="G13487" s="107" t="str">
        <f aca="false">IF($C13487="","",$D13487*IFERROR(INDEX('تحليل التكلفة والسعر'!$C$2:$C$700,MATCH($C13487,'تحليل التكلفة والسعر'!$B$2:$B$700,0)),0))</f>
        <v/>
      </c>
    </row>
    <row r="13488" customFormat="false" ht="15" hidden="false" customHeight="false" outlineLevel="0" collapsed="false">
      <c r="A13488" s="103"/>
      <c r="B13488" s="104"/>
      <c r="C13488" s="104"/>
      <c r="E13488" s="107" t="str">
        <f aca="false">IF($C13488="","",IFERROR(INDEX(المنيو!$C$2:$C$500,MATCH($C13488,المنيو!$B$2:$B$500,0)),0))</f>
        <v/>
      </c>
      <c r="F13488" s="107" t="str">
        <f aca="false">IF($C13488="","",$D13488*$E13488)</f>
        <v/>
      </c>
      <c r="G13488" s="107" t="str">
        <f aca="false">IF($C13488="","",$D13488*IFERROR(INDEX('تحليل التكلفة والسعر'!$C$2:$C$700,MATCH($C13488,'تحليل التكلفة والسعر'!$B$2:$B$700,0)),0))</f>
        <v/>
      </c>
    </row>
    <row r="13489" customFormat="false" ht="15" hidden="false" customHeight="false" outlineLevel="0" collapsed="false">
      <c r="A13489" s="103"/>
      <c r="B13489" s="104"/>
      <c r="C13489" s="104"/>
      <c r="E13489" s="107" t="str">
        <f aca="false">IF($C13489="","",IFERROR(INDEX(المنيو!$C$2:$C$500,MATCH($C13489,المنيو!$B$2:$B$500,0)),0))</f>
        <v/>
      </c>
      <c r="F13489" s="107" t="str">
        <f aca="false">IF($C13489="","",$D13489*$E13489)</f>
        <v/>
      </c>
      <c r="G13489" s="107" t="str">
        <f aca="false">IF($C13489="","",$D13489*IFERROR(INDEX('تحليل التكلفة والسعر'!$C$2:$C$700,MATCH($C13489,'تحليل التكلفة والسعر'!$B$2:$B$700,0)),0))</f>
        <v/>
      </c>
    </row>
    <row r="13490" customFormat="false" ht="15" hidden="false" customHeight="false" outlineLevel="0" collapsed="false">
      <c r="A13490" s="103"/>
      <c r="B13490" s="104"/>
      <c r="C13490" s="104"/>
      <c r="E13490" s="107" t="str">
        <f aca="false">IF($C13490="","",IFERROR(INDEX(المنيو!$C$2:$C$500,MATCH($C13490,المنيو!$B$2:$B$500,0)),0))</f>
        <v/>
      </c>
      <c r="F13490" s="107" t="str">
        <f aca="false">IF($C13490="","",$D13490*$E13490)</f>
        <v/>
      </c>
      <c r="G13490" s="107" t="str">
        <f aca="false">IF($C13490="","",$D13490*IFERROR(INDEX('تحليل التكلفة والسعر'!$C$2:$C$700,MATCH($C13490,'تحليل التكلفة والسعر'!$B$2:$B$700,0)),0))</f>
        <v/>
      </c>
    </row>
    <row r="13491" customFormat="false" ht="15" hidden="false" customHeight="false" outlineLevel="0" collapsed="false">
      <c r="A13491" s="103"/>
      <c r="B13491" s="104"/>
      <c r="C13491" s="104"/>
      <c r="E13491" s="107" t="str">
        <f aca="false">IF($C13491="","",IFERROR(INDEX(المنيو!$C$2:$C$500,MATCH($C13491,المنيو!$B$2:$B$500,0)),0))</f>
        <v/>
      </c>
      <c r="F13491" s="107" t="str">
        <f aca="false">IF($C13491="","",$D13491*$E13491)</f>
        <v/>
      </c>
      <c r="G13491" s="107" t="str">
        <f aca="false">IF($C13491="","",$D13491*IFERROR(INDEX('تحليل التكلفة والسعر'!$C$2:$C$700,MATCH($C13491,'تحليل التكلفة والسعر'!$B$2:$B$700,0)),0))</f>
        <v/>
      </c>
    </row>
    <row r="13492" customFormat="false" ht="15" hidden="false" customHeight="false" outlineLevel="0" collapsed="false">
      <c r="A13492" s="103"/>
      <c r="B13492" s="104"/>
      <c r="C13492" s="104"/>
      <c r="E13492" s="107" t="str">
        <f aca="false">IF($C13492="","",IFERROR(INDEX(المنيو!$C$2:$C$500,MATCH($C13492,المنيو!$B$2:$B$500,0)),0))</f>
        <v/>
      </c>
      <c r="F13492" s="107" t="str">
        <f aca="false">IF($C13492="","",$D13492*$E13492)</f>
        <v/>
      </c>
      <c r="G13492" s="107" t="str">
        <f aca="false">IF($C13492="","",$D13492*IFERROR(INDEX('تحليل التكلفة والسعر'!$C$2:$C$700,MATCH($C13492,'تحليل التكلفة والسعر'!$B$2:$B$700,0)),0))</f>
        <v/>
      </c>
    </row>
    <row r="13493" customFormat="false" ht="15" hidden="false" customHeight="false" outlineLevel="0" collapsed="false">
      <c r="A13493" s="103"/>
      <c r="B13493" s="104"/>
      <c r="C13493" s="104"/>
      <c r="E13493" s="107" t="str">
        <f aca="false">IF($C13493="","",IFERROR(INDEX(المنيو!$C$2:$C$500,MATCH($C13493,المنيو!$B$2:$B$500,0)),0))</f>
        <v/>
      </c>
      <c r="F13493" s="107" t="str">
        <f aca="false">IF($C13493="","",$D13493*$E13493)</f>
        <v/>
      </c>
      <c r="G13493" s="107" t="str">
        <f aca="false">IF($C13493="","",$D13493*IFERROR(INDEX('تحليل التكلفة والسعر'!$C$2:$C$700,MATCH($C13493,'تحليل التكلفة والسعر'!$B$2:$B$700,0)),0))</f>
        <v/>
      </c>
    </row>
    <row r="13494" customFormat="false" ht="15" hidden="false" customHeight="false" outlineLevel="0" collapsed="false">
      <c r="A13494" s="103"/>
      <c r="B13494" s="104"/>
      <c r="C13494" s="104"/>
      <c r="E13494" s="107" t="str">
        <f aca="false">IF($C13494="","",IFERROR(INDEX(المنيو!$C$2:$C$500,MATCH($C13494,المنيو!$B$2:$B$500,0)),0))</f>
        <v/>
      </c>
      <c r="F13494" s="107" t="str">
        <f aca="false">IF($C13494="","",$D13494*$E13494)</f>
        <v/>
      </c>
      <c r="G13494" s="107" t="str">
        <f aca="false">IF($C13494="","",$D13494*IFERROR(INDEX('تحليل التكلفة والسعر'!$C$2:$C$700,MATCH($C13494,'تحليل التكلفة والسعر'!$B$2:$B$700,0)),0))</f>
        <v/>
      </c>
    </row>
    <row r="13495" customFormat="false" ht="15" hidden="false" customHeight="false" outlineLevel="0" collapsed="false">
      <c r="A13495" s="103"/>
      <c r="B13495" s="104"/>
      <c r="C13495" s="104"/>
      <c r="E13495" s="107" t="str">
        <f aca="false">IF($C13495="","",IFERROR(INDEX(المنيو!$C$2:$C$500,MATCH($C13495,المنيو!$B$2:$B$500,0)),0))</f>
        <v/>
      </c>
      <c r="F13495" s="107" t="str">
        <f aca="false">IF($C13495="","",$D13495*$E13495)</f>
        <v/>
      </c>
      <c r="G13495" s="107" t="str">
        <f aca="false">IF($C13495="","",$D13495*IFERROR(INDEX('تحليل التكلفة والسعر'!$C$2:$C$700,MATCH($C13495,'تحليل التكلفة والسعر'!$B$2:$B$700,0)),0))</f>
        <v/>
      </c>
    </row>
    <row r="13496" customFormat="false" ht="15" hidden="false" customHeight="false" outlineLevel="0" collapsed="false">
      <c r="A13496" s="103"/>
      <c r="B13496" s="104"/>
      <c r="C13496" s="104"/>
      <c r="E13496" s="107" t="str">
        <f aca="false">IF($C13496="","",IFERROR(INDEX(المنيو!$C$2:$C$500,MATCH($C13496,المنيو!$B$2:$B$500,0)),0))</f>
        <v/>
      </c>
      <c r="F13496" s="107" t="str">
        <f aca="false">IF($C13496="","",$D13496*$E13496)</f>
        <v/>
      </c>
      <c r="G13496" s="107" t="str">
        <f aca="false">IF($C13496="","",$D13496*IFERROR(INDEX('تحليل التكلفة والسعر'!$C$2:$C$700,MATCH($C13496,'تحليل التكلفة والسعر'!$B$2:$B$700,0)),0))</f>
        <v/>
      </c>
    </row>
    <row r="13497" customFormat="false" ht="15" hidden="false" customHeight="false" outlineLevel="0" collapsed="false">
      <c r="A13497" s="103"/>
      <c r="B13497" s="104"/>
      <c r="C13497" s="104"/>
      <c r="E13497" s="107" t="str">
        <f aca="false">IF($C13497="","",IFERROR(INDEX(المنيو!$C$2:$C$500,MATCH($C13497,المنيو!$B$2:$B$500,0)),0))</f>
        <v/>
      </c>
      <c r="F13497" s="107" t="str">
        <f aca="false">IF($C13497="","",$D13497*$E13497)</f>
        <v/>
      </c>
      <c r="G13497" s="107" t="str">
        <f aca="false">IF($C13497="","",$D13497*IFERROR(INDEX('تحليل التكلفة والسعر'!$C$2:$C$700,MATCH($C13497,'تحليل التكلفة والسعر'!$B$2:$B$700,0)),0))</f>
        <v/>
      </c>
    </row>
    <row r="13498" customFormat="false" ht="15" hidden="false" customHeight="false" outlineLevel="0" collapsed="false">
      <c r="A13498" s="103"/>
      <c r="B13498" s="104"/>
      <c r="C13498" s="104"/>
      <c r="E13498" s="107" t="str">
        <f aca="false">IF($C13498="","",IFERROR(INDEX(المنيو!$C$2:$C$500,MATCH($C13498,المنيو!$B$2:$B$500,0)),0))</f>
        <v/>
      </c>
      <c r="F13498" s="107" t="str">
        <f aca="false">IF($C13498="","",$D13498*$E13498)</f>
        <v/>
      </c>
      <c r="G13498" s="107" t="str">
        <f aca="false">IF($C13498="","",$D13498*IFERROR(INDEX('تحليل التكلفة والسعر'!$C$2:$C$700,MATCH($C13498,'تحليل التكلفة والسعر'!$B$2:$B$700,0)),0))</f>
        <v/>
      </c>
    </row>
    <row r="13499" customFormat="false" ht="15" hidden="false" customHeight="false" outlineLevel="0" collapsed="false">
      <c r="A13499" s="103"/>
      <c r="B13499" s="104"/>
      <c r="C13499" s="104"/>
      <c r="E13499" s="107" t="str">
        <f aca="false">IF($C13499="","",IFERROR(INDEX(المنيو!$C$2:$C$500,MATCH($C13499,المنيو!$B$2:$B$500,0)),0))</f>
        <v/>
      </c>
      <c r="F13499" s="107" t="str">
        <f aca="false">IF($C13499="","",$D13499*$E13499)</f>
        <v/>
      </c>
      <c r="G13499" s="107" t="str">
        <f aca="false">IF($C13499="","",$D13499*IFERROR(INDEX('تحليل التكلفة والسعر'!$C$2:$C$700,MATCH($C13499,'تحليل التكلفة والسعر'!$B$2:$B$700,0)),0))</f>
        <v/>
      </c>
    </row>
    <row r="13500" customFormat="false" ht="15" hidden="false" customHeight="false" outlineLevel="0" collapsed="false">
      <c r="A13500" s="103"/>
      <c r="B13500" s="104"/>
      <c r="C13500" s="104"/>
      <c r="E13500" s="107" t="str">
        <f aca="false">IF($C13500="","",IFERROR(INDEX(المنيو!$C$2:$C$500,MATCH($C13500,المنيو!$B$2:$B$500,0)),0))</f>
        <v/>
      </c>
      <c r="F13500" s="107" t="str">
        <f aca="false">IF($C13500="","",$D13500*$E13500)</f>
        <v/>
      </c>
      <c r="G13500" s="107" t="str">
        <f aca="false">IF($C13500="","",$D13500*IFERROR(INDEX('تحليل التكلفة والسعر'!$C$2:$C$700,MATCH($C13500,'تحليل التكلفة والسعر'!$B$2:$B$700,0)),0))</f>
        <v/>
      </c>
    </row>
    <row r="13501" customFormat="false" ht="15" hidden="false" customHeight="false" outlineLevel="0" collapsed="false">
      <c r="A13501" s="103"/>
      <c r="B13501" s="104"/>
      <c r="C13501" s="104"/>
      <c r="E13501" s="107" t="str">
        <f aca="false">IF($C13501="","",IFERROR(INDEX(المنيو!$C$2:$C$500,MATCH($C13501,المنيو!$B$2:$B$500,0)),0))</f>
        <v/>
      </c>
      <c r="F13501" s="107" t="str">
        <f aca="false">IF($C13501="","",$D13501*$E13501)</f>
        <v/>
      </c>
      <c r="G13501" s="107" t="str">
        <f aca="false">IF($C13501="","",$D13501*IFERROR(INDEX('تحليل التكلفة والسعر'!$C$2:$C$700,MATCH($C13501,'تحليل التكلفة والسعر'!$B$2:$B$700,0)),0))</f>
        <v/>
      </c>
    </row>
    <row r="13502" customFormat="false" ht="15" hidden="false" customHeight="false" outlineLevel="0" collapsed="false">
      <c r="A13502" s="103"/>
      <c r="B13502" s="104"/>
      <c r="C13502" s="104"/>
      <c r="E13502" s="107" t="str">
        <f aca="false">IF($C13502="","",IFERROR(INDEX(المنيو!$C$2:$C$500,MATCH($C13502,المنيو!$B$2:$B$500,0)),0))</f>
        <v/>
      </c>
      <c r="F13502" s="107" t="str">
        <f aca="false">IF($C13502="","",$D13502*$E13502)</f>
        <v/>
      </c>
      <c r="G13502" s="107" t="str">
        <f aca="false">IF($C13502="","",$D13502*IFERROR(INDEX('تحليل التكلفة والسعر'!$C$2:$C$700,MATCH($C13502,'تحليل التكلفة والسعر'!$B$2:$B$700,0)),0))</f>
        <v/>
      </c>
    </row>
    <row r="13503" customFormat="false" ht="15" hidden="false" customHeight="false" outlineLevel="0" collapsed="false">
      <c r="A13503" s="103"/>
      <c r="B13503" s="104"/>
      <c r="C13503" s="104"/>
      <c r="E13503" s="107" t="str">
        <f aca="false">IF($C13503="","",IFERROR(INDEX(المنيو!$C$2:$C$500,MATCH($C13503,المنيو!$B$2:$B$500,0)),0))</f>
        <v/>
      </c>
      <c r="F13503" s="107" t="str">
        <f aca="false">IF($C13503="","",$D13503*$E13503)</f>
        <v/>
      </c>
      <c r="G13503" s="107" t="str">
        <f aca="false">IF($C13503="","",$D13503*IFERROR(INDEX('تحليل التكلفة والسعر'!$C$2:$C$700,MATCH($C13503,'تحليل التكلفة والسعر'!$B$2:$B$700,0)),0))</f>
        <v/>
      </c>
    </row>
    <row r="13504" customFormat="false" ht="15" hidden="false" customHeight="false" outlineLevel="0" collapsed="false">
      <c r="A13504" s="103"/>
      <c r="B13504" s="104"/>
      <c r="C13504" s="104"/>
      <c r="E13504" s="107" t="str">
        <f aca="false">IF($C13504="","",IFERROR(INDEX(المنيو!$C$2:$C$500,MATCH($C13504,المنيو!$B$2:$B$500,0)),0))</f>
        <v/>
      </c>
      <c r="F13504" s="107" t="str">
        <f aca="false">IF($C13504="","",$D13504*$E13504)</f>
        <v/>
      </c>
      <c r="G13504" s="107" t="str">
        <f aca="false">IF($C13504="","",$D13504*IFERROR(INDEX('تحليل التكلفة والسعر'!$C$2:$C$700,MATCH($C13504,'تحليل التكلفة والسعر'!$B$2:$B$700,0)),0))</f>
        <v/>
      </c>
    </row>
    <row r="13505" customFormat="false" ht="15" hidden="false" customHeight="false" outlineLevel="0" collapsed="false">
      <c r="A13505" s="103"/>
      <c r="B13505" s="104"/>
      <c r="C13505" s="104"/>
      <c r="E13505" s="107" t="str">
        <f aca="false">IF($C13505="","",IFERROR(INDEX(المنيو!$C$2:$C$500,MATCH($C13505,المنيو!$B$2:$B$500,0)),0))</f>
        <v/>
      </c>
      <c r="F13505" s="107" t="str">
        <f aca="false">IF($C13505="","",$D13505*$E13505)</f>
        <v/>
      </c>
      <c r="G13505" s="107" t="str">
        <f aca="false">IF($C13505="","",$D13505*IFERROR(INDEX('تحليل التكلفة والسعر'!$C$2:$C$700,MATCH($C13505,'تحليل التكلفة والسعر'!$B$2:$B$700,0)),0))</f>
        <v/>
      </c>
    </row>
    <row r="13506" customFormat="false" ht="15" hidden="false" customHeight="false" outlineLevel="0" collapsed="false">
      <c r="A13506" s="103"/>
      <c r="B13506" s="104"/>
      <c r="C13506" s="104"/>
      <c r="E13506" s="107" t="str">
        <f aca="false">IF($C13506="","",IFERROR(INDEX(المنيو!$C$2:$C$500,MATCH($C13506,المنيو!$B$2:$B$500,0)),0))</f>
        <v/>
      </c>
      <c r="F13506" s="107" t="str">
        <f aca="false">IF($C13506="","",$D13506*$E13506)</f>
        <v/>
      </c>
      <c r="G13506" s="107" t="str">
        <f aca="false">IF($C13506="","",$D13506*IFERROR(INDEX('تحليل التكلفة والسعر'!$C$2:$C$700,MATCH($C13506,'تحليل التكلفة والسعر'!$B$2:$B$700,0)),0))</f>
        <v/>
      </c>
    </row>
    <row r="13507" customFormat="false" ht="15" hidden="false" customHeight="false" outlineLevel="0" collapsed="false">
      <c r="A13507" s="103"/>
      <c r="B13507" s="104"/>
      <c r="C13507" s="104"/>
      <c r="E13507" s="107" t="str">
        <f aca="false">IF($C13507="","",IFERROR(INDEX(المنيو!$C$2:$C$500,MATCH($C13507,المنيو!$B$2:$B$500,0)),0))</f>
        <v/>
      </c>
      <c r="F13507" s="107" t="str">
        <f aca="false">IF($C13507="","",$D13507*$E13507)</f>
        <v/>
      </c>
      <c r="G13507" s="107" t="str">
        <f aca="false">IF($C13507="","",$D13507*IFERROR(INDEX('تحليل التكلفة والسعر'!$C$2:$C$700,MATCH($C13507,'تحليل التكلفة والسعر'!$B$2:$B$700,0)),0))</f>
        <v/>
      </c>
    </row>
    <row r="13508" customFormat="false" ht="15" hidden="false" customHeight="false" outlineLevel="0" collapsed="false">
      <c r="A13508" s="103"/>
      <c r="B13508" s="104"/>
      <c r="C13508" s="104"/>
      <c r="E13508" s="107" t="str">
        <f aca="false">IF($C13508="","",IFERROR(INDEX(المنيو!$C$2:$C$500,MATCH($C13508,المنيو!$B$2:$B$500,0)),0))</f>
        <v/>
      </c>
      <c r="F13508" s="107" t="str">
        <f aca="false">IF($C13508="","",$D13508*$E13508)</f>
        <v/>
      </c>
      <c r="G13508" s="107" t="str">
        <f aca="false">IF($C13508="","",$D13508*IFERROR(INDEX('تحليل التكلفة والسعر'!$C$2:$C$700,MATCH($C13508,'تحليل التكلفة والسعر'!$B$2:$B$700,0)),0))</f>
        <v/>
      </c>
    </row>
    <row r="13509" customFormat="false" ht="15" hidden="false" customHeight="false" outlineLevel="0" collapsed="false">
      <c r="A13509" s="103"/>
      <c r="B13509" s="104"/>
      <c r="C13509" s="104"/>
      <c r="E13509" s="107" t="str">
        <f aca="false">IF($C13509="","",IFERROR(INDEX(المنيو!$C$2:$C$500,MATCH($C13509,المنيو!$B$2:$B$500,0)),0))</f>
        <v/>
      </c>
      <c r="F13509" s="107" t="str">
        <f aca="false">IF($C13509="","",$D13509*$E13509)</f>
        <v/>
      </c>
      <c r="G13509" s="107" t="str">
        <f aca="false">IF($C13509="","",$D13509*IFERROR(INDEX('تحليل التكلفة والسعر'!$C$2:$C$700,MATCH($C13509,'تحليل التكلفة والسعر'!$B$2:$B$700,0)),0))</f>
        <v/>
      </c>
    </row>
    <row r="13510" customFormat="false" ht="15" hidden="false" customHeight="false" outlineLevel="0" collapsed="false">
      <c r="A13510" s="103"/>
      <c r="B13510" s="104"/>
      <c r="C13510" s="104"/>
      <c r="E13510" s="107" t="str">
        <f aca="false">IF($C13510="","",IFERROR(INDEX(المنيو!$C$2:$C$500,MATCH($C13510,المنيو!$B$2:$B$500,0)),0))</f>
        <v/>
      </c>
      <c r="F13510" s="107" t="str">
        <f aca="false">IF($C13510="","",$D13510*$E13510)</f>
        <v/>
      </c>
      <c r="G13510" s="107" t="str">
        <f aca="false">IF($C13510="","",$D13510*IFERROR(INDEX('تحليل التكلفة والسعر'!$C$2:$C$700,MATCH($C13510,'تحليل التكلفة والسعر'!$B$2:$B$700,0)),0))</f>
        <v/>
      </c>
    </row>
    <row r="13511" customFormat="false" ht="15" hidden="false" customHeight="false" outlineLevel="0" collapsed="false">
      <c r="A13511" s="103"/>
      <c r="B13511" s="104"/>
      <c r="C13511" s="104"/>
      <c r="E13511" s="107" t="str">
        <f aca="false">IF($C13511="","",IFERROR(INDEX(المنيو!$C$2:$C$500,MATCH($C13511,المنيو!$B$2:$B$500,0)),0))</f>
        <v/>
      </c>
      <c r="F13511" s="107" t="str">
        <f aca="false">IF($C13511="","",$D13511*$E13511)</f>
        <v/>
      </c>
      <c r="G13511" s="107" t="str">
        <f aca="false">IF($C13511="","",$D13511*IFERROR(INDEX('تحليل التكلفة والسعر'!$C$2:$C$700,MATCH($C13511,'تحليل التكلفة والسعر'!$B$2:$B$700,0)),0))</f>
        <v/>
      </c>
    </row>
    <row r="13512" customFormat="false" ht="15" hidden="false" customHeight="false" outlineLevel="0" collapsed="false">
      <c r="A13512" s="103"/>
      <c r="B13512" s="104"/>
      <c r="C13512" s="104"/>
      <c r="E13512" s="107" t="str">
        <f aca="false">IF($C13512="","",IFERROR(INDEX(المنيو!$C$2:$C$500,MATCH($C13512,المنيو!$B$2:$B$500,0)),0))</f>
        <v/>
      </c>
      <c r="F13512" s="107" t="str">
        <f aca="false">IF($C13512="","",$D13512*$E13512)</f>
        <v/>
      </c>
      <c r="G13512" s="107" t="str">
        <f aca="false">IF($C13512="","",$D13512*IFERROR(INDEX('تحليل التكلفة والسعر'!$C$2:$C$700,MATCH($C13512,'تحليل التكلفة والسعر'!$B$2:$B$700,0)),0))</f>
        <v/>
      </c>
    </row>
    <row r="13513" customFormat="false" ht="15" hidden="false" customHeight="false" outlineLevel="0" collapsed="false">
      <c r="A13513" s="103"/>
      <c r="B13513" s="104"/>
      <c r="C13513" s="104"/>
      <c r="E13513" s="107" t="str">
        <f aca="false">IF($C13513="","",IFERROR(INDEX(المنيو!$C$2:$C$500,MATCH($C13513,المنيو!$B$2:$B$500,0)),0))</f>
        <v/>
      </c>
      <c r="F13513" s="107" t="str">
        <f aca="false">IF($C13513="","",$D13513*$E13513)</f>
        <v/>
      </c>
      <c r="G13513" s="107" t="str">
        <f aca="false">IF($C13513="","",$D13513*IFERROR(INDEX('تحليل التكلفة والسعر'!$C$2:$C$700,MATCH($C13513,'تحليل التكلفة والسعر'!$B$2:$B$700,0)),0))</f>
        <v/>
      </c>
    </row>
    <row r="13514" customFormat="false" ht="15" hidden="false" customHeight="false" outlineLevel="0" collapsed="false">
      <c r="A13514" s="103"/>
      <c r="B13514" s="104"/>
      <c r="C13514" s="104"/>
      <c r="E13514" s="107" t="str">
        <f aca="false">IF($C13514="","",IFERROR(INDEX(المنيو!$C$2:$C$500,MATCH($C13514,المنيو!$B$2:$B$500,0)),0))</f>
        <v/>
      </c>
      <c r="F13514" s="107" t="str">
        <f aca="false">IF($C13514="","",$D13514*$E13514)</f>
        <v/>
      </c>
      <c r="G13514" s="107" t="str">
        <f aca="false">IF($C13514="","",$D13514*IFERROR(INDEX('تحليل التكلفة والسعر'!$C$2:$C$700,MATCH($C13514,'تحليل التكلفة والسعر'!$B$2:$B$700,0)),0))</f>
        <v/>
      </c>
    </row>
    <row r="13515" customFormat="false" ht="15" hidden="false" customHeight="false" outlineLevel="0" collapsed="false">
      <c r="A13515" s="103"/>
      <c r="B13515" s="104"/>
      <c r="C13515" s="104"/>
      <c r="E13515" s="107" t="str">
        <f aca="false">IF($C13515="","",IFERROR(INDEX(المنيو!$C$2:$C$500,MATCH($C13515,المنيو!$B$2:$B$500,0)),0))</f>
        <v/>
      </c>
      <c r="F13515" s="107" t="str">
        <f aca="false">IF($C13515="","",$D13515*$E13515)</f>
        <v/>
      </c>
      <c r="G13515" s="107" t="str">
        <f aca="false">IF($C13515="","",$D13515*IFERROR(INDEX('تحليل التكلفة والسعر'!$C$2:$C$700,MATCH($C13515,'تحليل التكلفة والسعر'!$B$2:$B$700,0)),0))</f>
        <v/>
      </c>
    </row>
    <row r="13516" customFormat="false" ht="15" hidden="false" customHeight="false" outlineLevel="0" collapsed="false">
      <c r="A13516" s="103"/>
      <c r="B13516" s="104"/>
      <c r="C13516" s="104"/>
      <c r="E13516" s="107" t="str">
        <f aca="false">IF($C13516="","",IFERROR(INDEX(المنيو!$C$2:$C$500,MATCH($C13516,المنيو!$B$2:$B$500,0)),0))</f>
        <v/>
      </c>
      <c r="F13516" s="107" t="str">
        <f aca="false">IF($C13516="","",$D13516*$E13516)</f>
        <v/>
      </c>
      <c r="G13516" s="107" t="str">
        <f aca="false">IF($C13516="","",$D13516*IFERROR(INDEX('تحليل التكلفة والسعر'!$C$2:$C$700,MATCH($C13516,'تحليل التكلفة والسعر'!$B$2:$B$700,0)),0))</f>
        <v/>
      </c>
    </row>
    <row r="13517" customFormat="false" ht="15" hidden="false" customHeight="false" outlineLevel="0" collapsed="false">
      <c r="A13517" s="103"/>
      <c r="B13517" s="104"/>
      <c r="C13517" s="104"/>
      <c r="E13517" s="107" t="str">
        <f aca="false">IF($C13517="","",IFERROR(INDEX(المنيو!$C$2:$C$500,MATCH($C13517,المنيو!$B$2:$B$500,0)),0))</f>
        <v/>
      </c>
      <c r="F13517" s="107" t="str">
        <f aca="false">IF($C13517="","",$D13517*$E13517)</f>
        <v/>
      </c>
      <c r="G13517" s="107" t="str">
        <f aca="false">IF($C13517="","",$D13517*IFERROR(INDEX('تحليل التكلفة والسعر'!$C$2:$C$700,MATCH($C13517,'تحليل التكلفة والسعر'!$B$2:$B$700,0)),0))</f>
        <v/>
      </c>
    </row>
    <row r="13518" customFormat="false" ht="15" hidden="false" customHeight="false" outlineLevel="0" collapsed="false">
      <c r="A13518" s="103"/>
      <c r="B13518" s="104"/>
      <c r="C13518" s="104"/>
      <c r="E13518" s="107" t="str">
        <f aca="false">IF($C13518="","",IFERROR(INDEX(المنيو!$C$2:$C$500,MATCH($C13518,المنيو!$B$2:$B$500,0)),0))</f>
        <v/>
      </c>
      <c r="F13518" s="107" t="str">
        <f aca="false">IF($C13518="","",$D13518*$E13518)</f>
        <v/>
      </c>
      <c r="G13518" s="107" t="str">
        <f aca="false">IF($C13518="","",$D13518*IFERROR(INDEX('تحليل التكلفة والسعر'!$C$2:$C$700,MATCH($C13518,'تحليل التكلفة والسعر'!$B$2:$B$700,0)),0))</f>
        <v/>
      </c>
    </row>
    <row r="13519" customFormat="false" ht="15" hidden="false" customHeight="false" outlineLevel="0" collapsed="false">
      <c r="A13519" s="103"/>
      <c r="B13519" s="104"/>
      <c r="C13519" s="104"/>
      <c r="E13519" s="107" t="str">
        <f aca="false">IF($C13519="","",IFERROR(INDEX(المنيو!$C$2:$C$500,MATCH($C13519,المنيو!$B$2:$B$500,0)),0))</f>
        <v/>
      </c>
      <c r="F13519" s="107" t="str">
        <f aca="false">IF($C13519="","",$D13519*$E13519)</f>
        <v/>
      </c>
      <c r="G13519" s="107" t="str">
        <f aca="false">IF($C13519="","",$D13519*IFERROR(INDEX('تحليل التكلفة والسعر'!$C$2:$C$700,MATCH($C13519,'تحليل التكلفة والسعر'!$B$2:$B$700,0)),0))</f>
        <v/>
      </c>
    </row>
    <row r="13520" customFormat="false" ht="15" hidden="false" customHeight="false" outlineLevel="0" collapsed="false">
      <c r="A13520" s="103"/>
      <c r="B13520" s="104"/>
      <c r="C13520" s="104"/>
      <c r="E13520" s="107" t="str">
        <f aca="false">IF($C13520="","",IFERROR(INDEX(المنيو!$C$2:$C$500,MATCH($C13520,المنيو!$B$2:$B$500,0)),0))</f>
        <v/>
      </c>
      <c r="F13520" s="107" t="str">
        <f aca="false">IF($C13520="","",$D13520*$E13520)</f>
        <v/>
      </c>
      <c r="G13520" s="107" t="str">
        <f aca="false">IF($C13520="","",$D13520*IFERROR(INDEX('تحليل التكلفة والسعر'!$C$2:$C$700,MATCH($C13520,'تحليل التكلفة والسعر'!$B$2:$B$700,0)),0))</f>
        <v/>
      </c>
    </row>
    <row r="13521" customFormat="false" ht="15" hidden="false" customHeight="false" outlineLevel="0" collapsed="false">
      <c r="A13521" s="103"/>
      <c r="B13521" s="104"/>
      <c r="C13521" s="104"/>
      <c r="E13521" s="107" t="str">
        <f aca="false">IF($C13521="","",IFERROR(INDEX(المنيو!$C$2:$C$500,MATCH($C13521,المنيو!$B$2:$B$500,0)),0))</f>
        <v/>
      </c>
      <c r="F13521" s="107" t="str">
        <f aca="false">IF($C13521="","",$D13521*$E13521)</f>
        <v/>
      </c>
      <c r="G13521" s="107" t="str">
        <f aca="false">IF($C13521="","",$D13521*IFERROR(INDEX('تحليل التكلفة والسعر'!$C$2:$C$700,MATCH($C13521,'تحليل التكلفة والسعر'!$B$2:$B$700,0)),0))</f>
        <v/>
      </c>
    </row>
    <row r="13522" customFormat="false" ht="15" hidden="false" customHeight="false" outlineLevel="0" collapsed="false">
      <c r="A13522" s="103"/>
      <c r="B13522" s="104"/>
      <c r="C13522" s="104"/>
      <c r="E13522" s="107" t="str">
        <f aca="false">IF($C13522="","",IFERROR(INDEX(المنيو!$C$2:$C$500,MATCH($C13522,المنيو!$B$2:$B$500,0)),0))</f>
        <v/>
      </c>
      <c r="F13522" s="107" t="str">
        <f aca="false">IF($C13522="","",$D13522*$E13522)</f>
        <v/>
      </c>
      <c r="G13522" s="107" t="str">
        <f aca="false">IF($C13522="","",$D13522*IFERROR(INDEX('تحليل التكلفة والسعر'!$C$2:$C$700,MATCH($C13522,'تحليل التكلفة والسعر'!$B$2:$B$700,0)),0))</f>
        <v/>
      </c>
    </row>
    <row r="13523" customFormat="false" ht="15" hidden="false" customHeight="false" outlineLevel="0" collapsed="false">
      <c r="A13523" s="103"/>
      <c r="B13523" s="104"/>
      <c r="C13523" s="104"/>
      <c r="E13523" s="107" t="str">
        <f aca="false">IF($C13523="","",IFERROR(INDEX(المنيو!$C$2:$C$500,MATCH($C13523,المنيو!$B$2:$B$500,0)),0))</f>
        <v/>
      </c>
      <c r="F13523" s="107" t="str">
        <f aca="false">IF($C13523="","",$D13523*$E13523)</f>
        <v/>
      </c>
      <c r="G13523" s="107" t="str">
        <f aca="false">IF($C13523="","",$D13523*IFERROR(INDEX('تحليل التكلفة والسعر'!$C$2:$C$700,MATCH($C13523,'تحليل التكلفة والسعر'!$B$2:$B$700,0)),0))</f>
        <v/>
      </c>
    </row>
    <row r="13524" customFormat="false" ht="15" hidden="false" customHeight="false" outlineLevel="0" collapsed="false">
      <c r="A13524" s="103"/>
      <c r="B13524" s="104"/>
      <c r="C13524" s="104"/>
      <c r="E13524" s="107" t="str">
        <f aca="false">IF($C13524="","",IFERROR(INDEX(المنيو!$C$2:$C$500,MATCH($C13524,المنيو!$B$2:$B$500,0)),0))</f>
        <v/>
      </c>
      <c r="F13524" s="107" t="str">
        <f aca="false">IF($C13524="","",$D13524*$E13524)</f>
        <v/>
      </c>
      <c r="G13524" s="107" t="str">
        <f aca="false">IF($C13524="","",$D13524*IFERROR(INDEX('تحليل التكلفة والسعر'!$C$2:$C$700,MATCH($C13524,'تحليل التكلفة والسعر'!$B$2:$B$700,0)),0))</f>
        <v/>
      </c>
    </row>
    <row r="13525" customFormat="false" ht="15" hidden="false" customHeight="false" outlineLevel="0" collapsed="false">
      <c r="A13525" s="103"/>
      <c r="B13525" s="104"/>
      <c r="C13525" s="104"/>
      <c r="E13525" s="107" t="str">
        <f aca="false">IF($C13525="","",IFERROR(INDEX(المنيو!$C$2:$C$500,MATCH($C13525,المنيو!$B$2:$B$500,0)),0))</f>
        <v/>
      </c>
      <c r="F13525" s="107" t="str">
        <f aca="false">IF($C13525="","",$D13525*$E13525)</f>
        <v/>
      </c>
      <c r="G13525" s="107" t="str">
        <f aca="false">IF($C13525="","",$D13525*IFERROR(INDEX('تحليل التكلفة والسعر'!$C$2:$C$700,MATCH($C13525,'تحليل التكلفة والسعر'!$B$2:$B$700,0)),0))</f>
        <v/>
      </c>
    </row>
    <row r="13526" customFormat="false" ht="15" hidden="false" customHeight="false" outlineLevel="0" collapsed="false">
      <c r="A13526" s="103"/>
      <c r="B13526" s="104"/>
      <c r="C13526" s="104"/>
      <c r="E13526" s="107" t="str">
        <f aca="false">IF($C13526="","",IFERROR(INDEX(المنيو!$C$2:$C$500,MATCH($C13526,المنيو!$B$2:$B$500,0)),0))</f>
        <v/>
      </c>
      <c r="F13526" s="107" t="str">
        <f aca="false">IF($C13526="","",$D13526*$E13526)</f>
        <v/>
      </c>
      <c r="G13526" s="107" t="str">
        <f aca="false">IF($C13526="","",$D13526*IFERROR(INDEX('تحليل التكلفة والسعر'!$C$2:$C$700,MATCH($C13526,'تحليل التكلفة والسعر'!$B$2:$B$700,0)),0))</f>
        <v/>
      </c>
    </row>
    <row r="13527" customFormat="false" ht="15" hidden="false" customHeight="false" outlineLevel="0" collapsed="false">
      <c r="A13527" s="103"/>
      <c r="B13527" s="104"/>
      <c r="C13527" s="104"/>
      <c r="E13527" s="107" t="str">
        <f aca="false">IF($C13527="","",IFERROR(INDEX(المنيو!$C$2:$C$500,MATCH($C13527,المنيو!$B$2:$B$500,0)),0))</f>
        <v/>
      </c>
      <c r="F13527" s="107" t="str">
        <f aca="false">IF($C13527="","",$D13527*$E13527)</f>
        <v/>
      </c>
      <c r="G13527" s="107" t="str">
        <f aca="false">IF($C13527="","",$D13527*IFERROR(INDEX('تحليل التكلفة والسعر'!$C$2:$C$700,MATCH($C13527,'تحليل التكلفة والسعر'!$B$2:$B$700,0)),0))</f>
        <v/>
      </c>
    </row>
    <row r="13528" customFormat="false" ht="15" hidden="false" customHeight="false" outlineLevel="0" collapsed="false">
      <c r="A13528" s="103"/>
      <c r="B13528" s="104"/>
      <c r="C13528" s="104"/>
      <c r="E13528" s="107" t="str">
        <f aca="false">IF($C13528="","",IFERROR(INDEX(المنيو!$C$2:$C$500,MATCH($C13528,المنيو!$B$2:$B$500,0)),0))</f>
        <v/>
      </c>
      <c r="F13528" s="107" t="str">
        <f aca="false">IF($C13528="","",$D13528*$E13528)</f>
        <v/>
      </c>
      <c r="G13528" s="107" t="str">
        <f aca="false">IF($C13528="","",$D13528*IFERROR(INDEX('تحليل التكلفة والسعر'!$C$2:$C$700,MATCH($C13528,'تحليل التكلفة والسعر'!$B$2:$B$700,0)),0))</f>
        <v/>
      </c>
    </row>
    <row r="13529" customFormat="false" ht="15" hidden="false" customHeight="false" outlineLevel="0" collapsed="false">
      <c r="A13529" s="103"/>
      <c r="B13529" s="104"/>
      <c r="C13529" s="104"/>
      <c r="E13529" s="107" t="str">
        <f aca="false">IF($C13529="","",IFERROR(INDEX(المنيو!$C$2:$C$500,MATCH($C13529,المنيو!$B$2:$B$500,0)),0))</f>
        <v/>
      </c>
      <c r="F13529" s="107" t="str">
        <f aca="false">IF($C13529="","",$D13529*$E13529)</f>
        <v/>
      </c>
      <c r="G13529" s="107" t="str">
        <f aca="false">IF($C13529="","",$D13529*IFERROR(INDEX('تحليل التكلفة والسعر'!$C$2:$C$700,MATCH($C13529,'تحليل التكلفة والسعر'!$B$2:$B$700,0)),0))</f>
        <v/>
      </c>
    </row>
    <row r="13530" customFormat="false" ht="15" hidden="false" customHeight="false" outlineLevel="0" collapsed="false">
      <c r="A13530" s="103"/>
      <c r="B13530" s="104"/>
      <c r="C13530" s="104"/>
      <c r="E13530" s="107" t="str">
        <f aca="false">IF($C13530="","",IFERROR(INDEX(المنيو!$C$2:$C$500,MATCH($C13530,المنيو!$B$2:$B$500,0)),0))</f>
        <v/>
      </c>
      <c r="F13530" s="107" t="str">
        <f aca="false">IF($C13530="","",$D13530*$E13530)</f>
        <v/>
      </c>
      <c r="G13530" s="107" t="str">
        <f aca="false">IF($C13530="","",$D13530*IFERROR(INDEX('تحليل التكلفة والسعر'!$C$2:$C$700,MATCH($C13530,'تحليل التكلفة والسعر'!$B$2:$B$700,0)),0))</f>
        <v/>
      </c>
    </row>
    <row r="13531" customFormat="false" ht="15" hidden="false" customHeight="false" outlineLevel="0" collapsed="false">
      <c r="A13531" s="103"/>
      <c r="B13531" s="104"/>
      <c r="C13531" s="104"/>
      <c r="E13531" s="107" t="str">
        <f aca="false">IF($C13531="","",IFERROR(INDEX(المنيو!$C$2:$C$500,MATCH($C13531,المنيو!$B$2:$B$500,0)),0))</f>
        <v/>
      </c>
      <c r="F13531" s="107" t="str">
        <f aca="false">IF($C13531="","",$D13531*$E13531)</f>
        <v/>
      </c>
      <c r="G13531" s="107" t="str">
        <f aca="false">IF($C13531="","",$D13531*IFERROR(INDEX('تحليل التكلفة والسعر'!$C$2:$C$700,MATCH($C13531,'تحليل التكلفة والسعر'!$B$2:$B$700,0)),0))</f>
        <v/>
      </c>
    </row>
    <row r="13532" customFormat="false" ht="15" hidden="false" customHeight="false" outlineLevel="0" collapsed="false">
      <c r="A13532" s="103"/>
      <c r="B13532" s="104"/>
      <c r="C13532" s="104"/>
      <c r="E13532" s="107" t="str">
        <f aca="false">IF($C13532="","",IFERROR(INDEX(المنيو!$C$2:$C$500,MATCH($C13532,المنيو!$B$2:$B$500,0)),0))</f>
        <v/>
      </c>
      <c r="F13532" s="107" t="str">
        <f aca="false">IF($C13532="","",$D13532*$E13532)</f>
        <v/>
      </c>
      <c r="G13532" s="107" t="str">
        <f aca="false">IF($C13532="","",$D13532*IFERROR(INDEX('تحليل التكلفة والسعر'!$C$2:$C$700,MATCH($C13532,'تحليل التكلفة والسعر'!$B$2:$B$700,0)),0))</f>
        <v/>
      </c>
    </row>
    <row r="13533" customFormat="false" ht="15" hidden="false" customHeight="false" outlineLevel="0" collapsed="false">
      <c r="A13533" s="103"/>
      <c r="B13533" s="104"/>
      <c r="C13533" s="104"/>
      <c r="E13533" s="107" t="str">
        <f aca="false">IF($C13533="","",IFERROR(INDEX(المنيو!$C$2:$C$500,MATCH($C13533,المنيو!$B$2:$B$500,0)),0))</f>
        <v/>
      </c>
      <c r="F13533" s="107" t="str">
        <f aca="false">IF($C13533="","",$D13533*$E13533)</f>
        <v/>
      </c>
      <c r="G13533" s="107" t="str">
        <f aca="false">IF($C13533="","",$D13533*IFERROR(INDEX('تحليل التكلفة والسعر'!$C$2:$C$700,MATCH($C13533,'تحليل التكلفة والسعر'!$B$2:$B$700,0)),0))</f>
        <v/>
      </c>
    </row>
    <row r="13534" customFormat="false" ht="15" hidden="false" customHeight="false" outlineLevel="0" collapsed="false">
      <c r="A13534" s="103"/>
      <c r="B13534" s="104"/>
      <c r="C13534" s="104"/>
      <c r="E13534" s="107" t="str">
        <f aca="false">IF($C13534="","",IFERROR(INDEX(المنيو!$C$2:$C$500,MATCH($C13534,المنيو!$B$2:$B$500,0)),0))</f>
        <v/>
      </c>
      <c r="F13534" s="107" t="str">
        <f aca="false">IF($C13534="","",$D13534*$E13534)</f>
        <v/>
      </c>
      <c r="G13534" s="107" t="str">
        <f aca="false">IF($C13534="","",$D13534*IFERROR(INDEX('تحليل التكلفة والسعر'!$C$2:$C$700,MATCH($C13534,'تحليل التكلفة والسعر'!$B$2:$B$700,0)),0))</f>
        <v/>
      </c>
    </row>
    <row r="13535" customFormat="false" ht="15" hidden="false" customHeight="false" outlineLevel="0" collapsed="false">
      <c r="A13535" s="103"/>
      <c r="B13535" s="104"/>
      <c r="C13535" s="104"/>
      <c r="E13535" s="107" t="str">
        <f aca="false">IF($C13535="","",IFERROR(INDEX(المنيو!$C$2:$C$500,MATCH($C13535,المنيو!$B$2:$B$500,0)),0))</f>
        <v/>
      </c>
      <c r="F13535" s="107" t="str">
        <f aca="false">IF($C13535="","",$D13535*$E13535)</f>
        <v/>
      </c>
      <c r="G13535" s="107" t="str">
        <f aca="false">IF($C13535="","",$D13535*IFERROR(INDEX('تحليل التكلفة والسعر'!$C$2:$C$700,MATCH($C13535,'تحليل التكلفة والسعر'!$B$2:$B$700,0)),0))</f>
        <v/>
      </c>
    </row>
    <row r="13536" customFormat="false" ht="15" hidden="false" customHeight="false" outlineLevel="0" collapsed="false">
      <c r="A13536" s="103"/>
      <c r="B13536" s="104"/>
      <c r="C13536" s="104"/>
      <c r="E13536" s="107" t="str">
        <f aca="false">IF($C13536="","",IFERROR(INDEX(المنيو!$C$2:$C$500,MATCH($C13536,المنيو!$B$2:$B$500,0)),0))</f>
        <v/>
      </c>
      <c r="F13536" s="107" t="str">
        <f aca="false">IF($C13536="","",$D13536*$E13536)</f>
        <v/>
      </c>
      <c r="G13536" s="107" t="str">
        <f aca="false">IF($C13536="","",$D13536*IFERROR(INDEX('تحليل التكلفة والسعر'!$C$2:$C$700,MATCH($C13536,'تحليل التكلفة والسعر'!$B$2:$B$700,0)),0))</f>
        <v/>
      </c>
    </row>
    <row r="13537" customFormat="false" ht="15" hidden="false" customHeight="false" outlineLevel="0" collapsed="false">
      <c r="A13537" s="103"/>
      <c r="B13537" s="104"/>
      <c r="C13537" s="104"/>
      <c r="E13537" s="107" t="str">
        <f aca="false">IF($C13537="","",IFERROR(INDEX(المنيو!$C$2:$C$500,MATCH($C13537,المنيو!$B$2:$B$500,0)),0))</f>
        <v/>
      </c>
      <c r="F13537" s="107" t="str">
        <f aca="false">IF($C13537="","",$D13537*$E13537)</f>
        <v/>
      </c>
      <c r="G13537" s="107" t="str">
        <f aca="false">IF($C13537="","",$D13537*IFERROR(INDEX('تحليل التكلفة والسعر'!$C$2:$C$700,MATCH($C13537,'تحليل التكلفة والسعر'!$B$2:$B$700,0)),0))</f>
        <v/>
      </c>
    </row>
    <row r="13538" customFormat="false" ht="15" hidden="false" customHeight="false" outlineLevel="0" collapsed="false">
      <c r="A13538" s="103"/>
      <c r="B13538" s="104"/>
      <c r="C13538" s="104"/>
      <c r="E13538" s="107" t="str">
        <f aca="false">IF($C13538="","",IFERROR(INDEX(المنيو!$C$2:$C$500,MATCH($C13538,المنيو!$B$2:$B$500,0)),0))</f>
        <v/>
      </c>
      <c r="F13538" s="107" t="str">
        <f aca="false">IF($C13538="","",$D13538*$E13538)</f>
        <v/>
      </c>
      <c r="G13538" s="107" t="str">
        <f aca="false">IF($C13538="","",$D13538*IFERROR(INDEX('تحليل التكلفة والسعر'!$C$2:$C$700,MATCH($C13538,'تحليل التكلفة والسعر'!$B$2:$B$700,0)),0))</f>
        <v/>
      </c>
    </row>
    <row r="13539" customFormat="false" ht="15" hidden="false" customHeight="false" outlineLevel="0" collapsed="false">
      <c r="A13539" s="103"/>
      <c r="B13539" s="104"/>
      <c r="C13539" s="104"/>
      <c r="E13539" s="107" t="str">
        <f aca="false">IF($C13539="","",IFERROR(INDEX(المنيو!$C$2:$C$500,MATCH($C13539,المنيو!$B$2:$B$500,0)),0))</f>
        <v/>
      </c>
      <c r="F13539" s="107" t="str">
        <f aca="false">IF($C13539="","",$D13539*$E13539)</f>
        <v/>
      </c>
      <c r="G13539" s="107" t="str">
        <f aca="false">IF($C13539="","",$D13539*IFERROR(INDEX('تحليل التكلفة والسعر'!$C$2:$C$700,MATCH($C13539,'تحليل التكلفة والسعر'!$B$2:$B$700,0)),0))</f>
        <v/>
      </c>
    </row>
    <row r="13540" customFormat="false" ht="15" hidden="false" customHeight="false" outlineLevel="0" collapsed="false">
      <c r="A13540" s="103"/>
      <c r="B13540" s="104"/>
      <c r="C13540" s="104"/>
      <c r="E13540" s="107" t="str">
        <f aca="false">IF($C13540="","",IFERROR(INDEX(المنيو!$C$2:$C$500,MATCH($C13540,المنيو!$B$2:$B$500,0)),0))</f>
        <v/>
      </c>
      <c r="F13540" s="107" t="str">
        <f aca="false">IF($C13540="","",$D13540*$E13540)</f>
        <v/>
      </c>
      <c r="G13540" s="107" t="str">
        <f aca="false">IF($C13540="","",$D13540*IFERROR(INDEX('تحليل التكلفة والسعر'!$C$2:$C$700,MATCH($C13540,'تحليل التكلفة والسعر'!$B$2:$B$700,0)),0))</f>
        <v/>
      </c>
    </row>
    <row r="13541" customFormat="false" ht="15" hidden="false" customHeight="false" outlineLevel="0" collapsed="false">
      <c r="A13541" s="103"/>
      <c r="B13541" s="104"/>
      <c r="C13541" s="104"/>
      <c r="E13541" s="107" t="str">
        <f aca="false">IF($C13541="","",IFERROR(INDEX(المنيو!$C$2:$C$500,MATCH($C13541,المنيو!$B$2:$B$500,0)),0))</f>
        <v/>
      </c>
      <c r="F13541" s="107" t="str">
        <f aca="false">IF($C13541="","",$D13541*$E13541)</f>
        <v/>
      </c>
      <c r="G13541" s="107" t="str">
        <f aca="false">IF($C13541="","",$D13541*IFERROR(INDEX('تحليل التكلفة والسعر'!$C$2:$C$700,MATCH($C13541,'تحليل التكلفة والسعر'!$B$2:$B$700,0)),0))</f>
        <v/>
      </c>
    </row>
    <row r="13542" customFormat="false" ht="15" hidden="false" customHeight="false" outlineLevel="0" collapsed="false">
      <c r="A13542" s="103"/>
      <c r="B13542" s="104"/>
      <c r="C13542" s="104"/>
      <c r="E13542" s="107" t="str">
        <f aca="false">IF($C13542="","",IFERROR(INDEX(المنيو!$C$2:$C$500,MATCH($C13542,المنيو!$B$2:$B$500,0)),0))</f>
        <v/>
      </c>
      <c r="F13542" s="107" t="str">
        <f aca="false">IF($C13542="","",$D13542*$E13542)</f>
        <v/>
      </c>
      <c r="G13542" s="107" t="str">
        <f aca="false">IF($C13542="","",$D13542*IFERROR(INDEX('تحليل التكلفة والسعر'!$C$2:$C$700,MATCH($C13542,'تحليل التكلفة والسعر'!$B$2:$B$700,0)),0))</f>
        <v/>
      </c>
    </row>
    <row r="13543" customFormat="false" ht="15" hidden="false" customHeight="false" outlineLevel="0" collapsed="false">
      <c r="A13543" s="103"/>
      <c r="B13543" s="104"/>
      <c r="C13543" s="104"/>
      <c r="E13543" s="107" t="str">
        <f aca="false">IF($C13543="","",IFERROR(INDEX(المنيو!$C$2:$C$500,MATCH($C13543,المنيو!$B$2:$B$500,0)),0))</f>
        <v/>
      </c>
      <c r="F13543" s="107" t="str">
        <f aca="false">IF($C13543="","",$D13543*$E13543)</f>
        <v/>
      </c>
      <c r="G13543" s="107" t="str">
        <f aca="false">IF($C13543="","",$D13543*IFERROR(INDEX('تحليل التكلفة والسعر'!$C$2:$C$700,MATCH($C13543,'تحليل التكلفة والسعر'!$B$2:$B$700,0)),0))</f>
        <v/>
      </c>
    </row>
    <row r="13544" customFormat="false" ht="15" hidden="false" customHeight="false" outlineLevel="0" collapsed="false">
      <c r="A13544" s="103"/>
      <c r="B13544" s="104"/>
      <c r="C13544" s="104"/>
      <c r="E13544" s="107" t="str">
        <f aca="false">IF($C13544="","",IFERROR(INDEX(المنيو!$C$2:$C$500,MATCH($C13544,المنيو!$B$2:$B$500,0)),0))</f>
        <v/>
      </c>
      <c r="F13544" s="107" t="str">
        <f aca="false">IF($C13544="","",$D13544*$E13544)</f>
        <v/>
      </c>
      <c r="G13544" s="107" t="str">
        <f aca="false">IF($C13544="","",$D13544*IFERROR(INDEX('تحليل التكلفة والسعر'!$C$2:$C$700,MATCH($C13544,'تحليل التكلفة والسعر'!$B$2:$B$700,0)),0))</f>
        <v/>
      </c>
    </row>
    <row r="13545" customFormat="false" ht="15" hidden="false" customHeight="false" outlineLevel="0" collapsed="false">
      <c r="A13545" s="103"/>
      <c r="B13545" s="104"/>
      <c r="C13545" s="104"/>
      <c r="E13545" s="107" t="str">
        <f aca="false">IF($C13545="","",IFERROR(INDEX(المنيو!$C$2:$C$500,MATCH($C13545,المنيو!$B$2:$B$500,0)),0))</f>
        <v/>
      </c>
      <c r="F13545" s="107" t="str">
        <f aca="false">IF($C13545="","",$D13545*$E13545)</f>
        <v/>
      </c>
      <c r="G13545" s="107" t="str">
        <f aca="false">IF($C13545="","",$D13545*IFERROR(INDEX('تحليل التكلفة والسعر'!$C$2:$C$700,MATCH($C13545,'تحليل التكلفة والسعر'!$B$2:$B$700,0)),0))</f>
        <v/>
      </c>
    </row>
    <row r="13546" customFormat="false" ht="15" hidden="false" customHeight="false" outlineLevel="0" collapsed="false">
      <c r="A13546" s="103"/>
      <c r="B13546" s="104"/>
      <c r="C13546" s="104"/>
      <c r="E13546" s="107" t="str">
        <f aca="false">IF($C13546="","",IFERROR(INDEX(المنيو!$C$2:$C$500,MATCH($C13546,المنيو!$B$2:$B$500,0)),0))</f>
        <v/>
      </c>
      <c r="F13546" s="107" t="str">
        <f aca="false">IF($C13546="","",$D13546*$E13546)</f>
        <v/>
      </c>
      <c r="G13546" s="107" t="str">
        <f aca="false">IF($C13546="","",$D13546*IFERROR(INDEX('تحليل التكلفة والسعر'!$C$2:$C$700,MATCH($C13546,'تحليل التكلفة والسعر'!$B$2:$B$700,0)),0))</f>
        <v/>
      </c>
    </row>
    <row r="13547" customFormat="false" ht="15" hidden="false" customHeight="false" outlineLevel="0" collapsed="false">
      <c r="A13547" s="103"/>
      <c r="B13547" s="104"/>
      <c r="C13547" s="104"/>
      <c r="E13547" s="107" t="str">
        <f aca="false">IF($C13547="","",IFERROR(INDEX(المنيو!$C$2:$C$500,MATCH($C13547,المنيو!$B$2:$B$500,0)),0))</f>
        <v/>
      </c>
      <c r="F13547" s="107" t="str">
        <f aca="false">IF($C13547="","",$D13547*$E13547)</f>
        <v/>
      </c>
      <c r="G13547" s="107" t="str">
        <f aca="false">IF($C13547="","",$D13547*IFERROR(INDEX('تحليل التكلفة والسعر'!$C$2:$C$700,MATCH($C13547,'تحليل التكلفة والسعر'!$B$2:$B$700,0)),0))</f>
        <v/>
      </c>
    </row>
    <row r="13548" customFormat="false" ht="15" hidden="false" customHeight="false" outlineLevel="0" collapsed="false">
      <c r="A13548" s="103"/>
      <c r="B13548" s="104"/>
      <c r="C13548" s="104"/>
      <c r="E13548" s="107" t="str">
        <f aca="false">IF($C13548="","",IFERROR(INDEX(المنيو!$C$2:$C$500,MATCH($C13548,المنيو!$B$2:$B$500,0)),0))</f>
        <v/>
      </c>
      <c r="F13548" s="107" t="str">
        <f aca="false">IF($C13548="","",$D13548*$E13548)</f>
        <v/>
      </c>
      <c r="G13548" s="107" t="str">
        <f aca="false">IF($C13548="","",$D13548*IFERROR(INDEX('تحليل التكلفة والسعر'!$C$2:$C$700,MATCH($C13548,'تحليل التكلفة والسعر'!$B$2:$B$700,0)),0))</f>
        <v/>
      </c>
    </row>
    <row r="13549" customFormat="false" ht="15" hidden="false" customHeight="false" outlineLevel="0" collapsed="false">
      <c r="A13549" s="103"/>
      <c r="B13549" s="104"/>
      <c r="C13549" s="104"/>
      <c r="E13549" s="107" t="str">
        <f aca="false">IF($C13549="","",IFERROR(INDEX(المنيو!$C$2:$C$500,MATCH($C13549,المنيو!$B$2:$B$500,0)),0))</f>
        <v/>
      </c>
      <c r="F13549" s="107" t="str">
        <f aca="false">IF($C13549="","",$D13549*$E13549)</f>
        <v/>
      </c>
      <c r="G13549" s="107" t="str">
        <f aca="false">IF($C13549="","",$D13549*IFERROR(INDEX('تحليل التكلفة والسعر'!$C$2:$C$700,MATCH($C13549,'تحليل التكلفة والسعر'!$B$2:$B$700,0)),0))</f>
        <v/>
      </c>
    </row>
    <row r="13550" customFormat="false" ht="15" hidden="false" customHeight="false" outlineLevel="0" collapsed="false">
      <c r="A13550" s="103"/>
      <c r="B13550" s="104"/>
      <c r="C13550" s="104"/>
      <c r="E13550" s="107" t="str">
        <f aca="false">IF($C13550="","",IFERROR(INDEX(المنيو!$C$2:$C$500,MATCH($C13550,المنيو!$B$2:$B$500,0)),0))</f>
        <v/>
      </c>
      <c r="F13550" s="107" t="str">
        <f aca="false">IF($C13550="","",$D13550*$E13550)</f>
        <v/>
      </c>
      <c r="G13550" s="107" t="str">
        <f aca="false">IF($C13550="","",$D13550*IFERROR(INDEX('تحليل التكلفة والسعر'!$C$2:$C$700,MATCH($C13550,'تحليل التكلفة والسعر'!$B$2:$B$700,0)),0))</f>
        <v/>
      </c>
    </row>
    <row r="13551" customFormat="false" ht="15" hidden="false" customHeight="false" outlineLevel="0" collapsed="false">
      <c r="A13551" s="103"/>
      <c r="B13551" s="104"/>
      <c r="C13551" s="104"/>
      <c r="E13551" s="107" t="str">
        <f aca="false">IF($C13551="","",IFERROR(INDEX(المنيو!$C$2:$C$500,MATCH($C13551,المنيو!$B$2:$B$500,0)),0))</f>
        <v/>
      </c>
      <c r="F13551" s="107" t="str">
        <f aca="false">IF($C13551="","",$D13551*$E13551)</f>
        <v/>
      </c>
      <c r="G13551" s="107" t="str">
        <f aca="false">IF($C13551="","",$D13551*IFERROR(INDEX('تحليل التكلفة والسعر'!$C$2:$C$700,MATCH($C13551,'تحليل التكلفة والسعر'!$B$2:$B$700,0)),0))</f>
        <v/>
      </c>
    </row>
    <row r="13552" customFormat="false" ht="15" hidden="false" customHeight="false" outlineLevel="0" collapsed="false">
      <c r="A13552" s="103"/>
      <c r="B13552" s="104"/>
      <c r="C13552" s="104"/>
      <c r="E13552" s="107" t="str">
        <f aca="false">IF($C13552="","",IFERROR(INDEX(المنيو!$C$2:$C$500,MATCH($C13552,المنيو!$B$2:$B$500,0)),0))</f>
        <v/>
      </c>
      <c r="F13552" s="107" t="str">
        <f aca="false">IF($C13552="","",$D13552*$E13552)</f>
        <v/>
      </c>
      <c r="G13552" s="107" t="str">
        <f aca="false">IF($C13552="","",$D13552*IFERROR(INDEX('تحليل التكلفة والسعر'!$C$2:$C$700,MATCH($C13552,'تحليل التكلفة والسعر'!$B$2:$B$700,0)),0))</f>
        <v/>
      </c>
    </row>
    <row r="13553" customFormat="false" ht="15" hidden="false" customHeight="false" outlineLevel="0" collapsed="false">
      <c r="A13553" s="103"/>
      <c r="B13553" s="104"/>
      <c r="C13553" s="104"/>
      <c r="E13553" s="107" t="str">
        <f aca="false">IF($C13553="","",IFERROR(INDEX(المنيو!$C$2:$C$500,MATCH($C13553,المنيو!$B$2:$B$500,0)),0))</f>
        <v/>
      </c>
      <c r="F13553" s="107" t="str">
        <f aca="false">IF($C13553="","",$D13553*$E13553)</f>
        <v/>
      </c>
      <c r="G13553" s="107" t="str">
        <f aca="false">IF($C13553="","",$D13553*IFERROR(INDEX('تحليل التكلفة والسعر'!$C$2:$C$700,MATCH($C13553,'تحليل التكلفة والسعر'!$B$2:$B$700,0)),0))</f>
        <v/>
      </c>
    </row>
    <row r="13554" customFormat="false" ht="15" hidden="false" customHeight="false" outlineLevel="0" collapsed="false">
      <c r="A13554" s="103"/>
      <c r="B13554" s="104"/>
      <c r="C13554" s="104"/>
      <c r="E13554" s="107" t="str">
        <f aca="false">IF($C13554="","",IFERROR(INDEX(المنيو!$C$2:$C$500,MATCH($C13554,المنيو!$B$2:$B$500,0)),0))</f>
        <v/>
      </c>
      <c r="F13554" s="107" t="str">
        <f aca="false">IF($C13554="","",$D13554*$E13554)</f>
        <v/>
      </c>
      <c r="G13554" s="107" t="str">
        <f aca="false">IF($C13554="","",$D13554*IFERROR(INDEX('تحليل التكلفة والسعر'!$C$2:$C$700,MATCH($C13554,'تحليل التكلفة والسعر'!$B$2:$B$700,0)),0))</f>
        <v/>
      </c>
    </row>
    <row r="13555" customFormat="false" ht="15" hidden="false" customHeight="false" outlineLevel="0" collapsed="false">
      <c r="A13555" s="103"/>
      <c r="B13555" s="104"/>
      <c r="C13555" s="104"/>
      <c r="E13555" s="107" t="str">
        <f aca="false">IF($C13555="","",IFERROR(INDEX(المنيو!$C$2:$C$500,MATCH($C13555,المنيو!$B$2:$B$500,0)),0))</f>
        <v/>
      </c>
      <c r="F13555" s="107" t="str">
        <f aca="false">IF($C13555="","",$D13555*$E13555)</f>
        <v/>
      </c>
      <c r="G13555" s="107" t="str">
        <f aca="false">IF($C13555="","",$D13555*IFERROR(INDEX('تحليل التكلفة والسعر'!$C$2:$C$700,MATCH($C13555,'تحليل التكلفة والسعر'!$B$2:$B$700,0)),0))</f>
        <v/>
      </c>
    </row>
    <row r="13556" customFormat="false" ht="15" hidden="false" customHeight="false" outlineLevel="0" collapsed="false">
      <c r="A13556" s="103"/>
      <c r="B13556" s="104"/>
      <c r="C13556" s="104"/>
      <c r="E13556" s="107" t="str">
        <f aca="false">IF($C13556="","",IFERROR(INDEX(المنيو!$C$2:$C$500,MATCH($C13556,المنيو!$B$2:$B$500,0)),0))</f>
        <v/>
      </c>
      <c r="F13556" s="107" t="str">
        <f aca="false">IF($C13556="","",$D13556*$E13556)</f>
        <v/>
      </c>
      <c r="G13556" s="107" t="str">
        <f aca="false">IF($C13556="","",$D13556*IFERROR(INDEX('تحليل التكلفة والسعر'!$C$2:$C$700,MATCH($C13556,'تحليل التكلفة والسعر'!$B$2:$B$700,0)),0))</f>
        <v/>
      </c>
    </row>
    <row r="13557" customFormat="false" ht="15" hidden="false" customHeight="false" outlineLevel="0" collapsed="false">
      <c r="A13557" s="103"/>
      <c r="B13557" s="104"/>
      <c r="C13557" s="104"/>
      <c r="E13557" s="107" t="str">
        <f aca="false">IF($C13557="","",IFERROR(INDEX(المنيو!$C$2:$C$500,MATCH($C13557,المنيو!$B$2:$B$500,0)),0))</f>
        <v/>
      </c>
      <c r="F13557" s="107" t="str">
        <f aca="false">IF($C13557="","",$D13557*$E13557)</f>
        <v/>
      </c>
      <c r="G13557" s="107" t="str">
        <f aca="false">IF($C13557="","",$D13557*IFERROR(INDEX('تحليل التكلفة والسعر'!$C$2:$C$700,MATCH($C13557,'تحليل التكلفة والسعر'!$B$2:$B$700,0)),0))</f>
        <v/>
      </c>
    </row>
    <row r="13558" customFormat="false" ht="15" hidden="false" customHeight="false" outlineLevel="0" collapsed="false">
      <c r="A13558" s="103"/>
      <c r="B13558" s="104"/>
      <c r="C13558" s="104"/>
      <c r="E13558" s="107" t="str">
        <f aca="false">IF($C13558="","",IFERROR(INDEX(المنيو!$C$2:$C$500,MATCH($C13558,المنيو!$B$2:$B$500,0)),0))</f>
        <v/>
      </c>
      <c r="F13558" s="107" t="str">
        <f aca="false">IF($C13558="","",$D13558*$E13558)</f>
        <v/>
      </c>
      <c r="G13558" s="107" t="str">
        <f aca="false">IF($C13558="","",$D13558*IFERROR(INDEX('تحليل التكلفة والسعر'!$C$2:$C$700,MATCH($C13558,'تحليل التكلفة والسعر'!$B$2:$B$700,0)),0))</f>
        <v/>
      </c>
    </row>
    <row r="13559" customFormat="false" ht="15" hidden="false" customHeight="false" outlineLevel="0" collapsed="false">
      <c r="A13559" s="103"/>
      <c r="B13559" s="104"/>
      <c r="C13559" s="104"/>
      <c r="E13559" s="107" t="str">
        <f aca="false">IF($C13559="","",IFERROR(INDEX(المنيو!$C$2:$C$500,MATCH($C13559,المنيو!$B$2:$B$500,0)),0))</f>
        <v/>
      </c>
      <c r="F13559" s="107" t="str">
        <f aca="false">IF($C13559="","",$D13559*$E13559)</f>
        <v/>
      </c>
      <c r="G13559" s="107" t="str">
        <f aca="false">IF($C13559="","",$D13559*IFERROR(INDEX('تحليل التكلفة والسعر'!$C$2:$C$700,MATCH($C13559,'تحليل التكلفة والسعر'!$B$2:$B$700,0)),0))</f>
        <v/>
      </c>
    </row>
    <row r="13560" customFormat="false" ht="15" hidden="false" customHeight="false" outlineLevel="0" collapsed="false">
      <c r="A13560" s="103"/>
      <c r="B13560" s="104"/>
      <c r="C13560" s="104"/>
      <c r="E13560" s="107" t="str">
        <f aca="false">IF($C13560="","",IFERROR(INDEX(المنيو!$C$2:$C$500,MATCH($C13560,المنيو!$B$2:$B$500,0)),0))</f>
        <v/>
      </c>
      <c r="F13560" s="107" t="str">
        <f aca="false">IF($C13560="","",$D13560*$E13560)</f>
        <v/>
      </c>
      <c r="G13560" s="107" t="str">
        <f aca="false">IF($C13560="","",$D13560*IFERROR(INDEX('تحليل التكلفة والسعر'!$C$2:$C$700,MATCH($C13560,'تحليل التكلفة والسعر'!$B$2:$B$700,0)),0))</f>
        <v/>
      </c>
    </row>
    <row r="13561" customFormat="false" ht="15" hidden="false" customHeight="false" outlineLevel="0" collapsed="false">
      <c r="A13561" s="103"/>
      <c r="B13561" s="104"/>
      <c r="C13561" s="104"/>
      <c r="E13561" s="107" t="str">
        <f aca="false">IF($C13561="","",IFERROR(INDEX(المنيو!$C$2:$C$500,MATCH($C13561,المنيو!$B$2:$B$500,0)),0))</f>
        <v/>
      </c>
      <c r="F13561" s="107" t="str">
        <f aca="false">IF($C13561="","",$D13561*$E13561)</f>
        <v/>
      </c>
      <c r="G13561" s="107" t="str">
        <f aca="false">IF($C13561="","",$D13561*IFERROR(INDEX('تحليل التكلفة والسعر'!$C$2:$C$700,MATCH($C13561,'تحليل التكلفة والسعر'!$B$2:$B$700,0)),0))</f>
        <v/>
      </c>
    </row>
    <row r="13562" customFormat="false" ht="15" hidden="false" customHeight="false" outlineLevel="0" collapsed="false">
      <c r="A13562" s="103"/>
      <c r="B13562" s="104"/>
      <c r="C13562" s="104"/>
      <c r="E13562" s="107" t="str">
        <f aca="false">IF($C13562="","",IFERROR(INDEX(المنيو!$C$2:$C$500,MATCH($C13562,المنيو!$B$2:$B$500,0)),0))</f>
        <v/>
      </c>
      <c r="F13562" s="107" t="str">
        <f aca="false">IF($C13562="","",$D13562*$E13562)</f>
        <v/>
      </c>
      <c r="G13562" s="107" t="str">
        <f aca="false">IF($C13562="","",$D13562*IFERROR(INDEX('تحليل التكلفة والسعر'!$C$2:$C$700,MATCH($C13562,'تحليل التكلفة والسعر'!$B$2:$B$700,0)),0))</f>
        <v/>
      </c>
    </row>
    <row r="13563" customFormat="false" ht="15" hidden="false" customHeight="false" outlineLevel="0" collapsed="false">
      <c r="A13563" s="103"/>
      <c r="B13563" s="104"/>
      <c r="C13563" s="104"/>
      <c r="E13563" s="107" t="str">
        <f aca="false">IF($C13563="","",IFERROR(INDEX(المنيو!$C$2:$C$500,MATCH($C13563,المنيو!$B$2:$B$500,0)),0))</f>
        <v/>
      </c>
      <c r="F13563" s="107" t="str">
        <f aca="false">IF($C13563="","",$D13563*$E13563)</f>
        <v/>
      </c>
      <c r="G13563" s="107" t="str">
        <f aca="false">IF($C13563="","",$D13563*IFERROR(INDEX('تحليل التكلفة والسعر'!$C$2:$C$700,MATCH($C13563,'تحليل التكلفة والسعر'!$B$2:$B$700,0)),0))</f>
        <v/>
      </c>
    </row>
    <row r="13564" customFormat="false" ht="15" hidden="false" customHeight="false" outlineLevel="0" collapsed="false">
      <c r="A13564" s="103"/>
      <c r="B13564" s="104"/>
      <c r="C13564" s="104"/>
      <c r="E13564" s="107" t="str">
        <f aca="false">IF($C13564="","",IFERROR(INDEX(المنيو!$C$2:$C$500,MATCH($C13564,المنيو!$B$2:$B$500,0)),0))</f>
        <v/>
      </c>
      <c r="F13564" s="107" t="str">
        <f aca="false">IF($C13564="","",$D13564*$E13564)</f>
        <v/>
      </c>
      <c r="G13564" s="107" t="str">
        <f aca="false">IF($C13564="","",$D13564*IFERROR(INDEX('تحليل التكلفة والسعر'!$C$2:$C$700,MATCH($C13564,'تحليل التكلفة والسعر'!$B$2:$B$700,0)),0))</f>
        <v/>
      </c>
    </row>
    <row r="13565" customFormat="false" ht="15" hidden="false" customHeight="false" outlineLevel="0" collapsed="false">
      <c r="A13565" s="103"/>
      <c r="B13565" s="104"/>
      <c r="C13565" s="104"/>
      <c r="E13565" s="107" t="str">
        <f aca="false">IF($C13565="","",IFERROR(INDEX(المنيو!$C$2:$C$500,MATCH($C13565,المنيو!$B$2:$B$500,0)),0))</f>
        <v/>
      </c>
      <c r="F13565" s="107" t="str">
        <f aca="false">IF($C13565="","",$D13565*$E13565)</f>
        <v/>
      </c>
      <c r="G13565" s="107" t="str">
        <f aca="false">IF($C13565="","",$D13565*IFERROR(INDEX('تحليل التكلفة والسعر'!$C$2:$C$700,MATCH($C13565,'تحليل التكلفة والسعر'!$B$2:$B$700,0)),0))</f>
        <v/>
      </c>
    </row>
    <row r="13566" customFormat="false" ht="15" hidden="false" customHeight="false" outlineLevel="0" collapsed="false">
      <c r="A13566" s="103"/>
      <c r="B13566" s="104"/>
      <c r="C13566" s="104"/>
      <c r="E13566" s="107" t="str">
        <f aca="false">IF($C13566="","",IFERROR(INDEX(المنيو!$C$2:$C$500,MATCH($C13566,المنيو!$B$2:$B$500,0)),0))</f>
        <v/>
      </c>
      <c r="F13566" s="107" t="str">
        <f aca="false">IF($C13566="","",$D13566*$E13566)</f>
        <v/>
      </c>
      <c r="G13566" s="107" t="str">
        <f aca="false">IF($C13566="","",$D13566*IFERROR(INDEX('تحليل التكلفة والسعر'!$C$2:$C$700,MATCH($C13566,'تحليل التكلفة والسعر'!$B$2:$B$700,0)),0))</f>
        <v/>
      </c>
    </row>
    <row r="13567" customFormat="false" ht="15" hidden="false" customHeight="false" outlineLevel="0" collapsed="false">
      <c r="A13567" s="103"/>
      <c r="B13567" s="104"/>
      <c r="C13567" s="104"/>
      <c r="E13567" s="107" t="str">
        <f aca="false">IF($C13567="","",IFERROR(INDEX(المنيو!$C$2:$C$500,MATCH($C13567,المنيو!$B$2:$B$500,0)),0))</f>
        <v/>
      </c>
      <c r="F13567" s="107" t="str">
        <f aca="false">IF($C13567="","",$D13567*$E13567)</f>
        <v/>
      </c>
      <c r="G13567" s="107" t="str">
        <f aca="false">IF($C13567="","",$D13567*IFERROR(INDEX('تحليل التكلفة والسعر'!$C$2:$C$700,MATCH($C13567,'تحليل التكلفة والسعر'!$B$2:$B$700,0)),0))</f>
        <v/>
      </c>
    </row>
    <row r="13568" customFormat="false" ht="15" hidden="false" customHeight="false" outlineLevel="0" collapsed="false">
      <c r="A13568" s="103"/>
      <c r="B13568" s="104"/>
      <c r="C13568" s="104"/>
      <c r="E13568" s="107" t="str">
        <f aca="false">IF($C13568="","",IFERROR(INDEX(المنيو!$C$2:$C$500,MATCH($C13568,المنيو!$B$2:$B$500,0)),0))</f>
        <v/>
      </c>
      <c r="F13568" s="107" t="str">
        <f aca="false">IF($C13568="","",$D13568*$E13568)</f>
        <v/>
      </c>
      <c r="G13568" s="107" t="str">
        <f aca="false">IF($C13568="","",$D13568*IFERROR(INDEX('تحليل التكلفة والسعر'!$C$2:$C$700,MATCH($C13568,'تحليل التكلفة والسعر'!$B$2:$B$700,0)),0))</f>
        <v/>
      </c>
    </row>
    <row r="13569" customFormat="false" ht="15" hidden="false" customHeight="false" outlineLevel="0" collapsed="false">
      <c r="A13569" s="103"/>
      <c r="B13569" s="104"/>
      <c r="C13569" s="104"/>
      <c r="E13569" s="107" t="str">
        <f aca="false">IF($C13569="","",IFERROR(INDEX(المنيو!$C$2:$C$500,MATCH($C13569,المنيو!$B$2:$B$500,0)),0))</f>
        <v/>
      </c>
      <c r="F13569" s="107" t="str">
        <f aca="false">IF($C13569="","",$D13569*$E13569)</f>
        <v/>
      </c>
      <c r="G13569" s="107" t="str">
        <f aca="false">IF($C13569="","",$D13569*IFERROR(INDEX('تحليل التكلفة والسعر'!$C$2:$C$700,MATCH($C13569,'تحليل التكلفة والسعر'!$B$2:$B$700,0)),0))</f>
        <v/>
      </c>
    </row>
    <row r="13570" customFormat="false" ht="15" hidden="false" customHeight="false" outlineLevel="0" collapsed="false">
      <c r="A13570" s="103"/>
      <c r="B13570" s="104"/>
      <c r="C13570" s="104"/>
      <c r="E13570" s="107" t="str">
        <f aca="false">IF($C13570="","",IFERROR(INDEX(المنيو!$C$2:$C$500,MATCH($C13570,المنيو!$B$2:$B$500,0)),0))</f>
        <v/>
      </c>
      <c r="F13570" s="107" t="str">
        <f aca="false">IF($C13570="","",$D13570*$E13570)</f>
        <v/>
      </c>
      <c r="G13570" s="107" t="str">
        <f aca="false">IF($C13570="","",$D13570*IFERROR(INDEX('تحليل التكلفة والسعر'!$C$2:$C$700,MATCH($C13570,'تحليل التكلفة والسعر'!$B$2:$B$700,0)),0))</f>
        <v/>
      </c>
    </row>
    <row r="13571" customFormat="false" ht="15" hidden="false" customHeight="false" outlineLevel="0" collapsed="false">
      <c r="A13571" s="103"/>
      <c r="B13571" s="104"/>
      <c r="C13571" s="104"/>
      <c r="E13571" s="107" t="str">
        <f aca="false">IF($C13571="","",IFERROR(INDEX(المنيو!$C$2:$C$500,MATCH($C13571,المنيو!$B$2:$B$500,0)),0))</f>
        <v/>
      </c>
      <c r="F13571" s="107" t="str">
        <f aca="false">IF($C13571="","",$D13571*$E13571)</f>
        <v/>
      </c>
      <c r="G13571" s="107" t="str">
        <f aca="false">IF($C13571="","",$D13571*IFERROR(INDEX('تحليل التكلفة والسعر'!$C$2:$C$700,MATCH($C13571,'تحليل التكلفة والسعر'!$B$2:$B$700,0)),0))</f>
        <v/>
      </c>
    </row>
    <row r="13572" customFormat="false" ht="15" hidden="false" customHeight="false" outlineLevel="0" collapsed="false">
      <c r="A13572" s="103"/>
      <c r="B13572" s="104"/>
      <c r="C13572" s="104"/>
      <c r="E13572" s="107" t="str">
        <f aca="false">IF($C13572="","",IFERROR(INDEX(المنيو!$C$2:$C$500,MATCH($C13572,المنيو!$B$2:$B$500,0)),0))</f>
        <v/>
      </c>
      <c r="F13572" s="107" t="str">
        <f aca="false">IF($C13572="","",$D13572*$E13572)</f>
        <v/>
      </c>
      <c r="G13572" s="107" t="str">
        <f aca="false">IF($C13572="","",$D13572*IFERROR(INDEX('تحليل التكلفة والسعر'!$C$2:$C$700,MATCH($C13572,'تحليل التكلفة والسعر'!$B$2:$B$700,0)),0))</f>
        <v/>
      </c>
    </row>
    <row r="13573" customFormat="false" ht="15" hidden="false" customHeight="false" outlineLevel="0" collapsed="false">
      <c r="A13573" s="103"/>
      <c r="B13573" s="104"/>
      <c r="C13573" s="104"/>
      <c r="E13573" s="107" t="str">
        <f aca="false">IF($C13573="","",IFERROR(INDEX(المنيو!$C$2:$C$500,MATCH($C13573,المنيو!$B$2:$B$500,0)),0))</f>
        <v/>
      </c>
      <c r="F13573" s="107" t="str">
        <f aca="false">IF($C13573="","",$D13573*$E13573)</f>
        <v/>
      </c>
      <c r="G13573" s="107" t="str">
        <f aca="false">IF($C13573="","",$D13573*IFERROR(INDEX('تحليل التكلفة والسعر'!$C$2:$C$700,MATCH($C13573,'تحليل التكلفة والسعر'!$B$2:$B$700,0)),0))</f>
        <v/>
      </c>
    </row>
    <row r="13574" customFormat="false" ht="15" hidden="false" customHeight="false" outlineLevel="0" collapsed="false">
      <c r="A13574" s="103"/>
      <c r="B13574" s="104"/>
      <c r="C13574" s="104"/>
      <c r="E13574" s="107" t="str">
        <f aca="false">IF($C13574="","",IFERROR(INDEX(المنيو!$C$2:$C$500,MATCH($C13574,المنيو!$B$2:$B$500,0)),0))</f>
        <v/>
      </c>
      <c r="F13574" s="107" t="str">
        <f aca="false">IF($C13574="","",$D13574*$E13574)</f>
        <v/>
      </c>
      <c r="G13574" s="107" t="str">
        <f aca="false">IF($C13574="","",$D13574*IFERROR(INDEX('تحليل التكلفة والسعر'!$C$2:$C$700,MATCH($C13574,'تحليل التكلفة والسعر'!$B$2:$B$700,0)),0))</f>
        <v/>
      </c>
    </row>
    <row r="13575" customFormat="false" ht="15" hidden="false" customHeight="false" outlineLevel="0" collapsed="false">
      <c r="A13575" s="103"/>
      <c r="B13575" s="104"/>
      <c r="C13575" s="104"/>
      <c r="E13575" s="107" t="str">
        <f aca="false">IF($C13575="","",IFERROR(INDEX(المنيو!$C$2:$C$500,MATCH($C13575,المنيو!$B$2:$B$500,0)),0))</f>
        <v/>
      </c>
      <c r="F13575" s="107" t="str">
        <f aca="false">IF($C13575="","",$D13575*$E13575)</f>
        <v/>
      </c>
      <c r="G13575" s="107" t="str">
        <f aca="false">IF($C13575="","",$D13575*IFERROR(INDEX('تحليل التكلفة والسعر'!$C$2:$C$700,MATCH($C13575,'تحليل التكلفة والسعر'!$B$2:$B$700,0)),0))</f>
        <v/>
      </c>
    </row>
    <row r="13576" customFormat="false" ht="15" hidden="false" customHeight="false" outlineLevel="0" collapsed="false">
      <c r="A13576" s="103"/>
      <c r="B13576" s="104"/>
      <c r="C13576" s="104"/>
      <c r="E13576" s="107" t="str">
        <f aca="false">IF($C13576="","",IFERROR(INDEX(المنيو!$C$2:$C$500,MATCH($C13576,المنيو!$B$2:$B$500,0)),0))</f>
        <v/>
      </c>
      <c r="F13576" s="107" t="str">
        <f aca="false">IF($C13576="","",$D13576*$E13576)</f>
        <v/>
      </c>
      <c r="G13576" s="107" t="str">
        <f aca="false">IF($C13576="","",$D13576*IFERROR(INDEX('تحليل التكلفة والسعر'!$C$2:$C$700,MATCH($C13576,'تحليل التكلفة والسعر'!$B$2:$B$700,0)),0))</f>
        <v/>
      </c>
    </row>
    <row r="13577" customFormat="false" ht="15" hidden="false" customHeight="false" outlineLevel="0" collapsed="false">
      <c r="A13577" s="103"/>
      <c r="B13577" s="104"/>
      <c r="C13577" s="104"/>
      <c r="E13577" s="107" t="str">
        <f aca="false">IF($C13577="","",IFERROR(INDEX(المنيو!$C$2:$C$500,MATCH($C13577,المنيو!$B$2:$B$500,0)),0))</f>
        <v/>
      </c>
      <c r="F13577" s="107" t="str">
        <f aca="false">IF($C13577="","",$D13577*$E13577)</f>
        <v/>
      </c>
      <c r="G13577" s="107" t="str">
        <f aca="false">IF($C13577="","",$D13577*IFERROR(INDEX('تحليل التكلفة والسعر'!$C$2:$C$700,MATCH($C13577,'تحليل التكلفة والسعر'!$B$2:$B$700,0)),0))</f>
        <v/>
      </c>
    </row>
    <row r="13578" customFormat="false" ht="15" hidden="false" customHeight="false" outlineLevel="0" collapsed="false">
      <c r="A13578" s="103"/>
      <c r="B13578" s="104"/>
      <c r="C13578" s="104"/>
      <c r="E13578" s="107" t="str">
        <f aca="false">IF($C13578="","",IFERROR(INDEX(المنيو!$C$2:$C$500,MATCH($C13578,المنيو!$B$2:$B$500,0)),0))</f>
        <v/>
      </c>
      <c r="F13578" s="107" t="str">
        <f aca="false">IF($C13578="","",$D13578*$E13578)</f>
        <v/>
      </c>
      <c r="G13578" s="107" t="str">
        <f aca="false">IF($C13578="","",$D13578*IFERROR(INDEX('تحليل التكلفة والسعر'!$C$2:$C$700,MATCH($C13578,'تحليل التكلفة والسعر'!$B$2:$B$700,0)),0))</f>
        <v/>
      </c>
    </row>
    <row r="13579" customFormat="false" ht="15" hidden="false" customHeight="false" outlineLevel="0" collapsed="false">
      <c r="A13579" s="103"/>
      <c r="B13579" s="104"/>
      <c r="C13579" s="104"/>
      <c r="E13579" s="107" t="str">
        <f aca="false">IF($C13579="","",IFERROR(INDEX(المنيو!$C$2:$C$500,MATCH($C13579,المنيو!$B$2:$B$500,0)),0))</f>
        <v/>
      </c>
      <c r="F13579" s="107" t="str">
        <f aca="false">IF($C13579="","",$D13579*$E13579)</f>
        <v/>
      </c>
      <c r="G13579" s="107" t="str">
        <f aca="false">IF($C13579="","",$D13579*IFERROR(INDEX('تحليل التكلفة والسعر'!$C$2:$C$700,MATCH($C13579,'تحليل التكلفة والسعر'!$B$2:$B$700,0)),0))</f>
        <v/>
      </c>
    </row>
    <row r="13580" customFormat="false" ht="15" hidden="false" customHeight="false" outlineLevel="0" collapsed="false">
      <c r="A13580" s="103"/>
      <c r="B13580" s="104"/>
      <c r="C13580" s="104"/>
      <c r="E13580" s="107" t="str">
        <f aca="false">IF($C13580="","",IFERROR(INDEX(المنيو!$C$2:$C$500,MATCH($C13580,المنيو!$B$2:$B$500,0)),0))</f>
        <v/>
      </c>
      <c r="F13580" s="107" t="str">
        <f aca="false">IF($C13580="","",$D13580*$E13580)</f>
        <v/>
      </c>
      <c r="G13580" s="107" t="str">
        <f aca="false">IF($C13580="","",$D13580*IFERROR(INDEX('تحليل التكلفة والسعر'!$C$2:$C$700,MATCH($C13580,'تحليل التكلفة والسعر'!$B$2:$B$700,0)),0))</f>
        <v/>
      </c>
    </row>
    <row r="13581" customFormat="false" ht="15" hidden="false" customHeight="false" outlineLevel="0" collapsed="false">
      <c r="A13581" s="103"/>
      <c r="B13581" s="104"/>
      <c r="C13581" s="104"/>
      <c r="E13581" s="107" t="str">
        <f aca="false">IF($C13581="","",IFERROR(INDEX(المنيو!$C$2:$C$500,MATCH($C13581,المنيو!$B$2:$B$500,0)),0))</f>
        <v/>
      </c>
      <c r="F13581" s="107" t="str">
        <f aca="false">IF($C13581="","",$D13581*$E13581)</f>
        <v/>
      </c>
      <c r="G13581" s="107" t="str">
        <f aca="false">IF($C13581="","",$D13581*IFERROR(INDEX('تحليل التكلفة والسعر'!$C$2:$C$700,MATCH($C13581,'تحليل التكلفة والسعر'!$B$2:$B$700,0)),0))</f>
        <v/>
      </c>
    </row>
    <row r="13582" customFormat="false" ht="15" hidden="false" customHeight="false" outlineLevel="0" collapsed="false">
      <c r="A13582" s="103"/>
      <c r="B13582" s="104"/>
      <c r="C13582" s="104"/>
      <c r="E13582" s="107" t="str">
        <f aca="false">IF($C13582="","",IFERROR(INDEX(المنيو!$C$2:$C$500,MATCH($C13582,المنيو!$B$2:$B$500,0)),0))</f>
        <v/>
      </c>
      <c r="F13582" s="107" t="str">
        <f aca="false">IF($C13582="","",$D13582*$E13582)</f>
        <v/>
      </c>
      <c r="G13582" s="107" t="str">
        <f aca="false">IF($C13582="","",$D13582*IFERROR(INDEX('تحليل التكلفة والسعر'!$C$2:$C$700,MATCH($C13582,'تحليل التكلفة والسعر'!$B$2:$B$700,0)),0))</f>
        <v/>
      </c>
    </row>
    <row r="13583" customFormat="false" ht="15" hidden="false" customHeight="false" outlineLevel="0" collapsed="false">
      <c r="A13583" s="103"/>
      <c r="B13583" s="104"/>
      <c r="C13583" s="104"/>
      <c r="E13583" s="107" t="str">
        <f aca="false">IF($C13583="","",IFERROR(INDEX(المنيو!$C$2:$C$500,MATCH($C13583,المنيو!$B$2:$B$500,0)),0))</f>
        <v/>
      </c>
      <c r="F13583" s="107" t="str">
        <f aca="false">IF($C13583="","",$D13583*$E13583)</f>
        <v/>
      </c>
      <c r="G13583" s="107" t="str">
        <f aca="false">IF($C13583="","",$D13583*IFERROR(INDEX('تحليل التكلفة والسعر'!$C$2:$C$700,MATCH($C13583,'تحليل التكلفة والسعر'!$B$2:$B$700,0)),0))</f>
        <v/>
      </c>
    </row>
    <row r="13584" customFormat="false" ht="15" hidden="false" customHeight="false" outlineLevel="0" collapsed="false">
      <c r="A13584" s="103"/>
      <c r="B13584" s="104"/>
      <c r="C13584" s="104"/>
      <c r="E13584" s="107" t="str">
        <f aca="false">IF($C13584="","",IFERROR(INDEX(المنيو!$C$2:$C$500,MATCH($C13584,المنيو!$B$2:$B$500,0)),0))</f>
        <v/>
      </c>
      <c r="F13584" s="107" t="str">
        <f aca="false">IF($C13584="","",$D13584*$E13584)</f>
        <v/>
      </c>
      <c r="G13584" s="107" t="str">
        <f aca="false">IF($C13584="","",$D13584*IFERROR(INDEX('تحليل التكلفة والسعر'!$C$2:$C$700,MATCH($C13584,'تحليل التكلفة والسعر'!$B$2:$B$700,0)),0))</f>
        <v/>
      </c>
    </row>
    <row r="13585" customFormat="false" ht="15" hidden="false" customHeight="false" outlineLevel="0" collapsed="false">
      <c r="A13585" s="103"/>
      <c r="B13585" s="104"/>
      <c r="C13585" s="104"/>
      <c r="E13585" s="107" t="str">
        <f aca="false">IF($C13585="","",IFERROR(INDEX(المنيو!$C$2:$C$500,MATCH($C13585,المنيو!$B$2:$B$500,0)),0))</f>
        <v/>
      </c>
      <c r="F13585" s="107" t="str">
        <f aca="false">IF($C13585="","",$D13585*$E13585)</f>
        <v/>
      </c>
      <c r="G13585" s="107" t="str">
        <f aca="false">IF($C13585="","",$D13585*IFERROR(INDEX('تحليل التكلفة والسعر'!$C$2:$C$700,MATCH($C13585,'تحليل التكلفة والسعر'!$B$2:$B$700,0)),0))</f>
        <v/>
      </c>
    </row>
    <row r="13586" customFormat="false" ht="15" hidden="false" customHeight="false" outlineLevel="0" collapsed="false">
      <c r="A13586" s="103"/>
      <c r="B13586" s="104"/>
      <c r="C13586" s="104"/>
      <c r="E13586" s="107" t="str">
        <f aca="false">IF($C13586="","",IFERROR(INDEX(المنيو!$C$2:$C$500,MATCH($C13586,المنيو!$B$2:$B$500,0)),0))</f>
        <v/>
      </c>
      <c r="F13586" s="107" t="str">
        <f aca="false">IF($C13586="","",$D13586*$E13586)</f>
        <v/>
      </c>
      <c r="G13586" s="107" t="str">
        <f aca="false">IF($C13586="","",$D13586*IFERROR(INDEX('تحليل التكلفة والسعر'!$C$2:$C$700,MATCH($C13586,'تحليل التكلفة والسعر'!$B$2:$B$700,0)),0))</f>
        <v/>
      </c>
    </row>
    <row r="13587" customFormat="false" ht="15" hidden="false" customHeight="false" outlineLevel="0" collapsed="false">
      <c r="A13587" s="103"/>
      <c r="B13587" s="104"/>
      <c r="C13587" s="104"/>
      <c r="E13587" s="107" t="str">
        <f aca="false">IF($C13587="","",IFERROR(INDEX(المنيو!$C$2:$C$500,MATCH($C13587,المنيو!$B$2:$B$500,0)),0))</f>
        <v/>
      </c>
      <c r="F13587" s="107" t="str">
        <f aca="false">IF($C13587="","",$D13587*$E13587)</f>
        <v/>
      </c>
      <c r="G13587" s="107" t="str">
        <f aca="false">IF($C13587="","",$D13587*IFERROR(INDEX('تحليل التكلفة والسعر'!$C$2:$C$700,MATCH($C13587,'تحليل التكلفة والسعر'!$B$2:$B$700,0)),0))</f>
        <v/>
      </c>
    </row>
    <row r="13588" customFormat="false" ht="15" hidden="false" customHeight="false" outlineLevel="0" collapsed="false">
      <c r="A13588" s="103"/>
      <c r="B13588" s="104"/>
      <c r="C13588" s="104"/>
      <c r="E13588" s="107" t="str">
        <f aca="false">IF($C13588="","",IFERROR(INDEX(المنيو!$C$2:$C$500,MATCH($C13588,المنيو!$B$2:$B$500,0)),0))</f>
        <v/>
      </c>
      <c r="F13588" s="107" t="str">
        <f aca="false">IF($C13588="","",$D13588*$E13588)</f>
        <v/>
      </c>
      <c r="G13588" s="107" t="str">
        <f aca="false">IF($C13588="","",$D13588*IFERROR(INDEX('تحليل التكلفة والسعر'!$C$2:$C$700,MATCH($C13588,'تحليل التكلفة والسعر'!$B$2:$B$700,0)),0))</f>
        <v/>
      </c>
    </row>
    <row r="13589" customFormat="false" ht="15" hidden="false" customHeight="false" outlineLevel="0" collapsed="false">
      <c r="A13589" s="103"/>
      <c r="B13589" s="104"/>
      <c r="C13589" s="104"/>
      <c r="E13589" s="107" t="str">
        <f aca="false">IF($C13589="","",IFERROR(INDEX(المنيو!$C$2:$C$500,MATCH($C13589,المنيو!$B$2:$B$500,0)),0))</f>
        <v/>
      </c>
      <c r="F13589" s="107" t="str">
        <f aca="false">IF($C13589="","",$D13589*$E13589)</f>
        <v/>
      </c>
      <c r="G13589" s="107" t="str">
        <f aca="false">IF($C13589="","",$D13589*IFERROR(INDEX('تحليل التكلفة والسعر'!$C$2:$C$700,MATCH($C13589,'تحليل التكلفة والسعر'!$B$2:$B$700,0)),0))</f>
        <v/>
      </c>
    </row>
    <row r="13590" customFormat="false" ht="15" hidden="false" customHeight="false" outlineLevel="0" collapsed="false">
      <c r="A13590" s="103"/>
      <c r="B13590" s="104"/>
      <c r="C13590" s="104"/>
      <c r="E13590" s="107" t="str">
        <f aca="false">IF($C13590="","",IFERROR(INDEX(المنيو!$C$2:$C$500,MATCH($C13590,المنيو!$B$2:$B$500,0)),0))</f>
        <v/>
      </c>
      <c r="F13590" s="107" t="str">
        <f aca="false">IF($C13590="","",$D13590*$E13590)</f>
        <v/>
      </c>
      <c r="G13590" s="107" t="str">
        <f aca="false">IF($C13590="","",$D13590*IFERROR(INDEX('تحليل التكلفة والسعر'!$C$2:$C$700,MATCH($C13590,'تحليل التكلفة والسعر'!$B$2:$B$700,0)),0))</f>
        <v/>
      </c>
    </row>
    <row r="13591" customFormat="false" ht="15" hidden="false" customHeight="false" outlineLevel="0" collapsed="false">
      <c r="A13591" s="103"/>
      <c r="B13591" s="104"/>
      <c r="C13591" s="104"/>
      <c r="E13591" s="107" t="str">
        <f aca="false">IF($C13591="","",IFERROR(INDEX(المنيو!$C$2:$C$500,MATCH($C13591,المنيو!$B$2:$B$500,0)),0))</f>
        <v/>
      </c>
      <c r="F13591" s="107" t="str">
        <f aca="false">IF($C13591="","",$D13591*$E13591)</f>
        <v/>
      </c>
      <c r="G13591" s="107" t="str">
        <f aca="false">IF($C13591="","",$D13591*IFERROR(INDEX('تحليل التكلفة والسعر'!$C$2:$C$700,MATCH($C13591,'تحليل التكلفة والسعر'!$B$2:$B$700,0)),0))</f>
        <v/>
      </c>
    </row>
    <row r="13592" customFormat="false" ht="15" hidden="false" customHeight="false" outlineLevel="0" collapsed="false">
      <c r="A13592" s="103"/>
      <c r="B13592" s="104"/>
      <c r="C13592" s="104"/>
      <c r="E13592" s="107" t="str">
        <f aca="false">IF($C13592="","",IFERROR(INDEX(المنيو!$C$2:$C$500,MATCH($C13592,المنيو!$B$2:$B$500,0)),0))</f>
        <v/>
      </c>
      <c r="F13592" s="107" t="str">
        <f aca="false">IF($C13592="","",$D13592*$E13592)</f>
        <v/>
      </c>
      <c r="G13592" s="107" t="str">
        <f aca="false">IF($C13592="","",$D13592*IFERROR(INDEX('تحليل التكلفة والسعر'!$C$2:$C$700,MATCH($C13592,'تحليل التكلفة والسعر'!$B$2:$B$700,0)),0))</f>
        <v/>
      </c>
    </row>
    <row r="13593" customFormat="false" ht="15" hidden="false" customHeight="false" outlineLevel="0" collapsed="false">
      <c r="A13593" s="103"/>
      <c r="B13593" s="104"/>
      <c r="C13593" s="104"/>
      <c r="E13593" s="107" t="str">
        <f aca="false">IF($C13593="","",IFERROR(INDEX(المنيو!$C$2:$C$500,MATCH($C13593,المنيو!$B$2:$B$500,0)),0))</f>
        <v/>
      </c>
      <c r="F13593" s="107" t="str">
        <f aca="false">IF($C13593="","",$D13593*$E13593)</f>
        <v/>
      </c>
      <c r="G13593" s="107" t="str">
        <f aca="false">IF($C13593="","",$D13593*IFERROR(INDEX('تحليل التكلفة والسعر'!$C$2:$C$700,MATCH($C13593,'تحليل التكلفة والسعر'!$B$2:$B$700,0)),0))</f>
        <v/>
      </c>
    </row>
    <row r="13594" customFormat="false" ht="15" hidden="false" customHeight="false" outlineLevel="0" collapsed="false">
      <c r="A13594" s="103"/>
      <c r="B13594" s="104"/>
      <c r="C13594" s="104"/>
      <c r="E13594" s="107" t="str">
        <f aca="false">IF($C13594="","",IFERROR(INDEX(المنيو!$C$2:$C$500,MATCH($C13594,المنيو!$B$2:$B$500,0)),0))</f>
        <v/>
      </c>
      <c r="F13594" s="107" t="str">
        <f aca="false">IF($C13594="","",$D13594*$E13594)</f>
        <v/>
      </c>
      <c r="G13594" s="107" t="str">
        <f aca="false">IF($C13594="","",$D13594*IFERROR(INDEX('تحليل التكلفة والسعر'!$C$2:$C$700,MATCH($C13594,'تحليل التكلفة والسعر'!$B$2:$B$700,0)),0))</f>
        <v/>
      </c>
    </row>
    <row r="13595" customFormat="false" ht="15" hidden="false" customHeight="false" outlineLevel="0" collapsed="false">
      <c r="A13595" s="103"/>
      <c r="B13595" s="104"/>
      <c r="C13595" s="104"/>
      <c r="E13595" s="107" t="str">
        <f aca="false">IF($C13595="","",IFERROR(INDEX(المنيو!$C$2:$C$500,MATCH($C13595,المنيو!$B$2:$B$500,0)),0))</f>
        <v/>
      </c>
      <c r="F13595" s="107" t="str">
        <f aca="false">IF($C13595="","",$D13595*$E13595)</f>
        <v/>
      </c>
      <c r="G13595" s="107" t="str">
        <f aca="false">IF($C13595="","",$D13595*IFERROR(INDEX('تحليل التكلفة والسعر'!$C$2:$C$700,MATCH($C13595,'تحليل التكلفة والسعر'!$B$2:$B$700,0)),0))</f>
        <v/>
      </c>
    </row>
    <row r="13596" customFormat="false" ht="15" hidden="false" customHeight="false" outlineLevel="0" collapsed="false">
      <c r="A13596" s="103"/>
      <c r="B13596" s="104"/>
      <c r="C13596" s="104"/>
      <c r="E13596" s="107" t="str">
        <f aca="false">IF($C13596="","",IFERROR(INDEX(المنيو!$C$2:$C$500,MATCH($C13596,المنيو!$B$2:$B$500,0)),0))</f>
        <v/>
      </c>
      <c r="F13596" s="107" t="str">
        <f aca="false">IF($C13596="","",$D13596*$E13596)</f>
        <v/>
      </c>
      <c r="G13596" s="107" t="str">
        <f aca="false">IF($C13596="","",$D13596*IFERROR(INDEX('تحليل التكلفة والسعر'!$C$2:$C$700,MATCH($C13596,'تحليل التكلفة والسعر'!$B$2:$B$700,0)),0))</f>
        <v/>
      </c>
    </row>
    <row r="13597" customFormat="false" ht="15" hidden="false" customHeight="false" outlineLevel="0" collapsed="false">
      <c r="A13597" s="103"/>
      <c r="B13597" s="104"/>
      <c r="C13597" s="104"/>
      <c r="E13597" s="107" t="str">
        <f aca="false">IF($C13597="","",IFERROR(INDEX(المنيو!$C$2:$C$500,MATCH($C13597,المنيو!$B$2:$B$500,0)),0))</f>
        <v/>
      </c>
      <c r="F13597" s="107" t="str">
        <f aca="false">IF($C13597="","",$D13597*$E13597)</f>
        <v/>
      </c>
      <c r="G13597" s="107" t="str">
        <f aca="false">IF($C13597="","",$D13597*IFERROR(INDEX('تحليل التكلفة والسعر'!$C$2:$C$700,MATCH($C13597,'تحليل التكلفة والسعر'!$B$2:$B$700,0)),0))</f>
        <v/>
      </c>
    </row>
    <row r="13598" customFormat="false" ht="15" hidden="false" customHeight="false" outlineLevel="0" collapsed="false">
      <c r="A13598" s="103"/>
      <c r="B13598" s="104"/>
      <c r="C13598" s="104"/>
      <c r="E13598" s="107" t="str">
        <f aca="false">IF($C13598="","",IFERROR(INDEX(المنيو!$C$2:$C$500,MATCH($C13598,المنيو!$B$2:$B$500,0)),0))</f>
        <v/>
      </c>
      <c r="F13598" s="107" t="str">
        <f aca="false">IF($C13598="","",$D13598*$E13598)</f>
        <v/>
      </c>
      <c r="G13598" s="107" t="str">
        <f aca="false">IF($C13598="","",$D13598*IFERROR(INDEX('تحليل التكلفة والسعر'!$C$2:$C$700,MATCH($C13598,'تحليل التكلفة والسعر'!$B$2:$B$700,0)),0))</f>
        <v/>
      </c>
    </row>
    <row r="13599" customFormat="false" ht="15" hidden="false" customHeight="false" outlineLevel="0" collapsed="false">
      <c r="A13599" s="103"/>
      <c r="B13599" s="104"/>
      <c r="C13599" s="104"/>
      <c r="E13599" s="107" t="str">
        <f aca="false">IF($C13599="","",IFERROR(INDEX(المنيو!$C$2:$C$500,MATCH($C13599,المنيو!$B$2:$B$500,0)),0))</f>
        <v/>
      </c>
      <c r="F13599" s="107" t="str">
        <f aca="false">IF($C13599="","",$D13599*$E13599)</f>
        <v/>
      </c>
      <c r="G13599" s="107" t="str">
        <f aca="false">IF($C13599="","",$D13599*IFERROR(INDEX('تحليل التكلفة والسعر'!$C$2:$C$700,MATCH($C13599,'تحليل التكلفة والسعر'!$B$2:$B$700,0)),0))</f>
        <v/>
      </c>
    </row>
    <row r="13600" customFormat="false" ht="15" hidden="false" customHeight="false" outlineLevel="0" collapsed="false">
      <c r="A13600" s="103"/>
      <c r="B13600" s="104"/>
      <c r="C13600" s="104"/>
      <c r="E13600" s="107" t="str">
        <f aca="false">IF($C13600="","",IFERROR(INDEX(المنيو!$C$2:$C$500,MATCH($C13600,المنيو!$B$2:$B$500,0)),0))</f>
        <v/>
      </c>
      <c r="F13600" s="107" t="str">
        <f aca="false">IF($C13600="","",$D13600*$E13600)</f>
        <v/>
      </c>
      <c r="G13600" s="107" t="str">
        <f aca="false">IF($C13600="","",$D13600*IFERROR(INDEX('تحليل التكلفة والسعر'!$C$2:$C$700,MATCH($C13600,'تحليل التكلفة والسعر'!$B$2:$B$700,0)),0))</f>
        <v/>
      </c>
    </row>
    <row r="13601" customFormat="false" ht="15" hidden="false" customHeight="false" outlineLevel="0" collapsed="false">
      <c r="A13601" s="103"/>
      <c r="B13601" s="104"/>
      <c r="C13601" s="104"/>
      <c r="E13601" s="107" t="str">
        <f aca="false">IF($C13601="","",IFERROR(INDEX(المنيو!$C$2:$C$500,MATCH($C13601,المنيو!$B$2:$B$500,0)),0))</f>
        <v/>
      </c>
      <c r="F13601" s="107" t="str">
        <f aca="false">IF($C13601="","",$D13601*$E13601)</f>
        <v/>
      </c>
      <c r="G13601" s="107" t="str">
        <f aca="false">IF($C13601="","",$D13601*IFERROR(INDEX('تحليل التكلفة والسعر'!$C$2:$C$700,MATCH($C13601,'تحليل التكلفة والسعر'!$B$2:$B$700,0)),0))</f>
        <v/>
      </c>
    </row>
    <row r="13602" customFormat="false" ht="15" hidden="false" customHeight="false" outlineLevel="0" collapsed="false">
      <c r="A13602" s="103"/>
      <c r="B13602" s="104"/>
      <c r="C13602" s="104"/>
      <c r="E13602" s="107" t="str">
        <f aca="false">IF($C13602="","",IFERROR(INDEX(المنيو!$C$2:$C$500,MATCH($C13602,المنيو!$B$2:$B$500,0)),0))</f>
        <v/>
      </c>
      <c r="F13602" s="107" t="str">
        <f aca="false">IF($C13602="","",$D13602*$E13602)</f>
        <v/>
      </c>
      <c r="G13602" s="107" t="str">
        <f aca="false">IF($C13602="","",$D13602*IFERROR(INDEX('تحليل التكلفة والسعر'!$C$2:$C$700,MATCH($C13602,'تحليل التكلفة والسعر'!$B$2:$B$700,0)),0))</f>
        <v/>
      </c>
    </row>
    <row r="13603" customFormat="false" ht="15" hidden="false" customHeight="false" outlineLevel="0" collapsed="false">
      <c r="A13603" s="103"/>
      <c r="B13603" s="104"/>
      <c r="C13603" s="104"/>
      <c r="E13603" s="107" t="str">
        <f aca="false">IF($C13603="","",IFERROR(INDEX(المنيو!$C$2:$C$500,MATCH($C13603,المنيو!$B$2:$B$500,0)),0))</f>
        <v/>
      </c>
      <c r="F13603" s="107" t="str">
        <f aca="false">IF($C13603="","",$D13603*$E13603)</f>
        <v/>
      </c>
      <c r="G13603" s="107" t="str">
        <f aca="false">IF($C13603="","",$D13603*IFERROR(INDEX('تحليل التكلفة والسعر'!$C$2:$C$700,MATCH($C13603,'تحليل التكلفة والسعر'!$B$2:$B$700,0)),0))</f>
        <v/>
      </c>
    </row>
    <row r="13604" customFormat="false" ht="15" hidden="false" customHeight="false" outlineLevel="0" collapsed="false">
      <c r="A13604" s="103"/>
      <c r="B13604" s="104"/>
      <c r="C13604" s="104"/>
      <c r="E13604" s="107" t="str">
        <f aca="false">IF($C13604="","",IFERROR(INDEX(المنيو!$C$2:$C$500,MATCH($C13604,المنيو!$B$2:$B$500,0)),0))</f>
        <v/>
      </c>
      <c r="F13604" s="107" t="str">
        <f aca="false">IF($C13604="","",$D13604*$E13604)</f>
        <v/>
      </c>
      <c r="G13604" s="107" t="str">
        <f aca="false">IF($C13604="","",$D13604*IFERROR(INDEX('تحليل التكلفة والسعر'!$C$2:$C$700,MATCH($C13604,'تحليل التكلفة والسعر'!$B$2:$B$700,0)),0))</f>
        <v/>
      </c>
    </row>
    <row r="13605" customFormat="false" ht="15" hidden="false" customHeight="false" outlineLevel="0" collapsed="false">
      <c r="A13605" s="103"/>
      <c r="B13605" s="104"/>
      <c r="C13605" s="104"/>
      <c r="E13605" s="107" t="str">
        <f aca="false">IF($C13605="","",IFERROR(INDEX(المنيو!$C$2:$C$500,MATCH($C13605,المنيو!$B$2:$B$500,0)),0))</f>
        <v/>
      </c>
      <c r="F13605" s="107" t="str">
        <f aca="false">IF($C13605="","",$D13605*$E13605)</f>
        <v/>
      </c>
      <c r="G13605" s="107" t="str">
        <f aca="false">IF($C13605="","",$D13605*IFERROR(INDEX('تحليل التكلفة والسعر'!$C$2:$C$700,MATCH($C13605,'تحليل التكلفة والسعر'!$B$2:$B$700,0)),0))</f>
        <v/>
      </c>
    </row>
    <row r="13606" customFormat="false" ht="15" hidden="false" customHeight="false" outlineLevel="0" collapsed="false">
      <c r="A13606" s="103"/>
      <c r="B13606" s="104"/>
      <c r="C13606" s="104"/>
      <c r="E13606" s="107" t="str">
        <f aca="false">IF($C13606="","",IFERROR(INDEX(المنيو!$C$2:$C$500,MATCH($C13606,المنيو!$B$2:$B$500,0)),0))</f>
        <v/>
      </c>
      <c r="F13606" s="107" t="str">
        <f aca="false">IF($C13606="","",$D13606*$E13606)</f>
        <v/>
      </c>
      <c r="G13606" s="107" t="str">
        <f aca="false">IF($C13606="","",$D13606*IFERROR(INDEX('تحليل التكلفة والسعر'!$C$2:$C$700,MATCH($C13606,'تحليل التكلفة والسعر'!$B$2:$B$700,0)),0))</f>
        <v/>
      </c>
    </row>
    <row r="13607" customFormat="false" ht="15" hidden="false" customHeight="false" outlineLevel="0" collapsed="false">
      <c r="A13607" s="103"/>
      <c r="B13607" s="104"/>
      <c r="C13607" s="104"/>
      <c r="E13607" s="107" t="str">
        <f aca="false">IF($C13607="","",IFERROR(INDEX(المنيو!$C$2:$C$500,MATCH($C13607,المنيو!$B$2:$B$500,0)),0))</f>
        <v/>
      </c>
      <c r="F13607" s="107" t="str">
        <f aca="false">IF($C13607="","",$D13607*$E13607)</f>
        <v/>
      </c>
      <c r="G13607" s="107" t="str">
        <f aca="false">IF($C13607="","",$D13607*IFERROR(INDEX('تحليل التكلفة والسعر'!$C$2:$C$700,MATCH($C13607,'تحليل التكلفة والسعر'!$B$2:$B$700,0)),0))</f>
        <v/>
      </c>
    </row>
    <row r="13608" customFormat="false" ht="15" hidden="false" customHeight="false" outlineLevel="0" collapsed="false">
      <c r="A13608" s="103"/>
      <c r="B13608" s="104"/>
      <c r="C13608" s="104"/>
      <c r="E13608" s="107" t="str">
        <f aca="false">IF($C13608="","",IFERROR(INDEX(المنيو!$C$2:$C$500,MATCH($C13608,المنيو!$B$2:$B$500,0)),0))</f>
        <v/>
      </c>
      <c r="F13608" s="107" t="str">
        <f aca="false">IF($C13608="","",$D13608*$E13608)</f>
        <v/>
      </c>
      <c r="G13608" s="107" t="str">
        <f aca="false">IF($C13608="","",$D13608*IFERROR(INDEX('تحليل التكلفة والسعر'!$C$2:$C$700,MATCH($C13608,'تحليل التكلفة والسعر'!$B$2:$B$700,0)),0))</f>
        <v/>
      </c>
    </row>
    <row r="13609" customFormat="false" ht="15" hidden="false" customHeight="false" outlineLevel="0" collapsed="false">
      <c r="A13609" s="103"/>
      <c r="B13609" s="104"/>
      <c r="C13609" s="104"/>
      <c r="E13609" s="107" t="str">
        <f aca="false">IF($C13609="","",IFERROR(INDEX(المنيو!$C$2:$C$500,MATCH($C13609,المنيو!$B$2:$B$500,0)),0))</f>
        <v/>
      </c>
      <c r="F13609" s="107" t="str">
        <f aca="false">IF($C13609="","",$D13609*$E13609)</f>
        <v/>
      </c>
      <c r="G13609" s="107" t="str">
        <f aca="false">IF($C13609="","",$D13609*IFERROR(INDEX('تحليل التكلفة والسعر'!$C$2:$C$700,MATCH($C13609,'تحليل التكلفة والسعر'!$B$2:$B$700,0)),0))</f>
        <v/>
      </c>
    </row>
    <row r="13610" customFormat="false" ht="15" hidden="false" customHeight="false" outlineLevel="0" collapsed="false">
      <c r="A13610" s="103"/>
      <c r="B13610" s="104"/>
      <c r="C13610" s="104"/>
      <c r="E13610" s="107" t="str">
        <f aca="false">IF($C13610="","",IFERROR(INDEX(المنيو!$C$2:$C$500,MATCH($C13610,المنيو!$B$2:$B$500,0)),0))</f>
        <v/>
      </c>
      <c r="F13610" s="107" t="str">
        <f aca="false">IF($C13610="","",$D13610*$E13610)</f>
        <v/>
      </c>
      <c r="G13610" s="107" t="str">
        <f aca="false">IF($C13610="","",$D13610*IFERROR(INDEX('تحليل التكلفة والسعر'!$C$2:$C$700,MATCH($C13610,'تحليل التكلفة والسعر'!$B$2:$B$700,0)),0))</f>
        <v/>
      </c>
    </row>
    <row r="13611" customFormat="false" ht="15" hidden="false" customHeight="false" outlineLevel="0" collapsed="false">
      <c r="A13611" s="103"/>
      <c r="B13611" s="104"/>
      <c r="C13611" s="104"/>
      <c r="E13611" s="107" t="str">
        <f aca="false">IF($C13611="","",IFERROR(INDEX(المنيو!$C$2:$C$500,MATCH($C13611,المنيو!$B$2:$B$500,0)),0))</f>
        <v/>
      </c>
      <c r="F13611" s="107" t="str">
        <f aca="false">IF($C13611="","",$D13611*$E13611)</f>
        <v/>
      </c>
      <c r="G13611" s="107" t="str">
        <f aca="false">IF($C13611="","",$D13611*IFERROR(INDEX('تحليل التكلفة والسعر'!$C$2:$C$700,MATCH($C13611,'تحليل التكلفة والسعر'!$B$2:$B$700,0)),0))</f>
        <v/>
      </c>
    </row>
    <row r="13612" customFormat="false" ht="15" hidden="false" customHeight="false" outlineLevel="0" collapsed="false">
      <c r="A13612" s="103"/>
      <c r="B13612" s="104"/>
      <c r="C13612" s="104"/>
      <c r="E13612" s="107" t="str">
        <f aca="false">IF($C13612="","",IFERROR(INDEX(المنيو!$C$2:$C$500,MATCH($C13612,المنيو!$B$2:$B$500,0)),0))</f>
        <v/>
      </c>
      <c r="F13612" s="107" t="str">
        <f aca="false">IF($C13612="","",$D13612*$E13612)</f>
        <v/>
      </c>
      <c r="G13612" s="107" t="str">
        <f aca="false">IF($C13612="","",$D13612*IFERROR(INDEX('تحليل التكلفة والسعر'!$C$2:$C$700,MATCH($C13612,'تحليل التكلفة والسعر'!$B$2:$B$700,0)),0))</f>
        <v/>
      </c>
    </row>
    <row r="13613" customFormat="false" ht="15" hidden="false" customHeight="false" outlineLevel="0" collapsed="false">
      <c r="A13613" s="103"/>
      <c r="B13613" s="104"/>
      <c r="C13613" s="104"/>
      <c r="E13613" s="107" t="str">
        <f aca="false">IF($C13613="","",IFERROR(INDEX(المنيو!$C$2:$C$500,MATCH($C13613,المنيو!$B$2:$B$500,0)),0))</f>
        <v/>
      </c>
      <c r="F13613" s="107" t="str">
        <f aca="false">IF($C13613="","",$D13613*$E13613)</f>
        <v/>
      </c>
      <c r="G13613" s="107" t="str">
        <f aca="false">IF($C13613="","",$D13613*IFERROR(INDEX('تحليل التكلفة والسعر'!$C$2:$C$700,MATCH($C13613,'تحليل التكلفة والسعر'!$B$2:$B$700,0)),0))</f>
        <v/>
      </c>
    </row>
    <row r="13614" customFormat="false" ht="15" hidden="false" customHeight="false" outlineLevel="0" collapsed="false">
      <c r="A13614" s="103"/>
      <c r="B13614" s="104"/>
      <c r="C13614" s="104"/>
      <c r="E13614" s="107" t="str">
        <f aca="false">IF($C13614="","",IFERROR(INDEX(المنيو!$C$2:$C$500,MATCH($C13614,المنيو!$B$2:$B$500,0)),0))</f>
        <v/>
      </c>
      <c r="F13614" s="107" t="str">
        <f aca="false">IF($C13614="","",$D13614*$E13614)</f>
        <v/>
      </c>
      <c r="G13614" s="107" t="str">
        <f aca="false">IF($C13614="","",$D13614*IFERROR(INDEX('تحليل التكلفة والسعر'!$C$2:$C$700,MATCH($C13614,'تحليل التكلفة والسعر'!$B$2:$B$700,0)),0))</f>
        <v/>
      </c>
    </row>
    <row r="13615" customFormat="false" ht="15" hidden="false" customHeight="false" outlineLevel="0" collapsed="false">
      <c r="A13615" s="103"/>
      <c r="B13615" s="104"/>
      <c r="C13615" s="104"/>
      <c r="E13615" s="107" t="str">
        <f aca="false">IF($C13615="","",IFERROR(INDEX(المنيو!$C$2:$C$500,MATCH($C13615,المنيو!$B$2:$B$500,0)),0))</f>
        <v/>
      </c>
      <c r="F13615" s="107" t="str">
        <f aca="false">IF($C13615="","",$D13615*$E13615)</f>
        <v/>
      </c>
      <c r="G13615" s="107" t="str">
        <f aca="false">IF($C13615="","",$D13615*IFERROR(INDEX('تحليل التكلفة والسعر'!$C$2:$C$700,MATCH($C13615,'تحليل التكلفة والسعر'!$B$2:$B$700,0)),0))</f>
        <v/>
      </c>
    </row>
    <row r="13616" customFormat="false" ht="15" hidden="false" customHeight="false" outlineLevel="0" collapsed="false">
      <c r="A13616" s="103"/>
      <c r="B13616" s="104"/>
      <c r="C13616" s="104"/>
      <c r="E13616" s="107" t="str">
        <f aca="false">IF($C13616="","",IFERROR(INDEX(المنيو!$C$2:$C$500,MATCH($C13616,المنيو!$B$2:$B$500,0)),0))</f>
        <v/>
      </c>
      <c r="F13616" s="107" t="str">
        <f aca="false">IF($C13616="","",$D13616*$E13616)</f>
        <v/>
      </c>
      <c r="G13616" s="107" t="str">
        <f aca="false">IF($C13616="","",$D13616*IFERROR(INDEX('تحليل التكلفة والسعر'!$C$2:$C$700,MATCH($C13616,'تحليل التكلفة والسعر'!$B$2:$B$700,0)),0))</f>
        <v/>
      </c>
    </row>
    <row r="13617" customFormat="false" ht="15" hidden="false" customHeight="false" outlineLevel="0" collapsed="false">
      <c r="A13617" s="103"/>
      <c r="B13617" s="104"/>
      <c r="C13617" s="104"/>
      <c r="E13617" s="107" t="str">
        <f aca="false">IF($C13617="","",IFERROR(INDEX(المنيو!$C$2:$C$500,MATCH($C13617,المنيو!$B$2:$B$500,0)),0))</f>
        <v/>
      </c>
      <c r="F13617" s="107" t="str">
        <f aca="false">IF($C13617="","",$D13617*$E13617)</f>
        <v/>
      </c>
      <c r="G13617" s="107" t="str">
        <f aca="false">IF($C13617="","",$D13617*IFERROR(INDEX('تحليل التكلفة والسعر'!$C$2:$C$700,MATCH($C13617,'تحليل التكلفة والسعر'!$B$2:$B$700,0)),0))</f>
        <v/>
      </c>
    </row>
    <row r="13618" customFormat="false" ht="15" hidden="false" customHeight="false" outlineLevel="0" collapsed="false">
      <c r="A13618" s="103"/>
      <c r="B13618" s="104"/>
      <c r="C13618" s="104"/>
      <c r="E13618" s="107" t="str">
        <f aca="false">IF($C13618="","",IFERROR(INDEX(المنيو!$C$2:$C$500,MATCH($C13618,المنيو!$B$2:$B$500,0)),0))</f>
        <v/>
      </c>
      <c r="F13618" s="107" t="str">
        <f aca="false">IF($C13618="","",$D13618*$E13618)</f>
        <v/>
      </c>
      <c r="G13618" s="107" t="str">
        <f aca="false">IF($C13618="","",$D13618*IFERROR(INDEX('تحليل التكلفة والسعر'!$C$2:$C$700,MATCH($C13618,'تحليل التكلفة والسعر'!$B$2:$B$700,0)),0))</f>
        <v/>
      </c>
    </row>
    <row r="13619" customFormat="false" ht="15" hidden="false" customHeight="false" outlineLevel="0" collapsed="false">
      <c r="A13619" s="103"/>
      <c r="B13619" s="104"/>
      <c r="C13619" s="104"/>
      <c r="E13619" s="107" t="str">
        <f aca="false">IF($C13619="","",IFERROR(INDEX(المنيو!$C$2:$C$500,MATCH($C13619,المنيو!$B$2:$B$500,0)),0))</f>
        <v/>
      </c>
      <c r="F13619" s="107" t="str">
        <f aca="false">IF($C13619="","",$D13619*$E13619)</f>
        <v/>
      </c>
      <c r="G13619" s="107" t="str">
        <f aca="false">IF($C13619="","",$D13619*IFERROR(INDEX('تحليل التكلفة والسعر'!$C$2:$C$700,MATCH($C13619,'تحليل التكلفة والسعر'!$B$2:$B$700,0)),0))</f>
        <v/>
      </c>
    </row>
    <row r="13620" customFormat="false" ht="15" hidden="false" customHeight="false" outlineLevel="0" collapsed="false">
      <c r="A13620" s="103"/>
      <c r="B13620" s="104"/>
      <c r="C13620" s="104"/>
      <c r="E13620" s="107" t="str">
        <f aca="false">IF($C13620="","",IFERROR(INDEX(المنيو!$C$2:$C$500,MATCH($C13620,المنيو!$B$2:$B$500,0)),0))</f>
        <v/>
      </c>
      <c r="F13620" s="107" t="str">
        <f aca="false">IF($C13620="","",$D13620*$E13620)</f>
        <v/>
      </c>
      <c r="G13620" s="107" t="str">
        <f aca="false">IF($C13620="","",$D13620*IFERROR(INDEX('تحليل التكلفة والسعر'!$C$2:$C$700,MATCH($C13620,'تحليل التكلفة والسعر'!$B$2:$B$700,0)),0))</f>
        <v/>
      </c>
    </row>
    <row r="13621" customFormat="false" ht="15" hidden="false" customHeight="false" outlineLevel="0" collapsed="false">
      <c r="A13621" s="103"/>
      <c r="B13621" s="104"/>
      <c r="C13621" s="104"/>
      <c r="E13621" s="107" t="str">
        <f aca="false">IF($C13621="","",IFERROR(INDEX(المنيو!$C$2:$C$500,MATCH($C13621,المنيو!$B$2:$B$500,0)),0))</f>
        <v/>
      </c>
      <c r="F13621" s="107" t="str">
        <f aca="false">IF($C13621="","",$D13621*$E13621)</f>
        <v/>
      </c>
      <c r="G13621" s="107" t="str">
        <f aca="false">IF($C13621="","",$D13621*IFERROR(INDEX('تحليل التكلفة والسعر'!$C$2:$C$700,MATCH($C13621,'تحليل التكلفة والسعر'!$B$2:$B$700,0)),0))</f>
        <v/>
      </c>
    </row>
    <row r="13622" customFormat="false" ht="15" hidden="false" customHeight="false" outlineLevel="0" collapsed="false">
      <c r="A13622" s="103"/>
      <c r="B13622" s="104"/>
      <c r="C13622" s="104"/>
      <c r="E13622" s="107" t="str">
        <f aca="false">IF($C13622="","",IFERROR(INDEX(المنيو!$C$2:$C$500,MATCH($C13622,المنيو!$B$2:$B$500,0)),0))</f>
        <v/>
      </c>
      <c r="F13622" s="107" t="str">
        <f aca="false">IF($C13622="","",$D13622*$E13622)</f>
        <v/>
      </c>
      <c r="G13622" s="107" t="str">
        <f aca="false">IF($C13622="","",$D13622*IFERROR(INDEX('تحليل التكلفة والسعر'!$C$2:$C$700,MATCH($C13622,'تحليل التكلفة والسعر'!$B$2:$B$700,0)),0))</f>
        <v/>
      </c>
    </row>
    <row r="13623" customFormat="false" ht="15" hidden="false" customHeight="false" outlineLevel="0" collapsed="false">
      <c r="A13623" s="103"/>
      <c r="B13623" s="104"/>
      <c r="C13623" s="104"/>
      <c r="E13623" s="107" t="str">
        <f aca="false">IF($C13623="","",IFERROR(INDEX(المنيو!$C$2:$C$500,MATCH($C13623,المنيو!$B$2:$B$500,0)),0))</f>
        <v/>
      </c>
      <c r="F13623" s="107" t="str">
        <f aca="false">IF($C13623="","",$D13623*$E13623)</f>
        <v/>
      </c>
      <c r="G13623" s="107" t="str">
        <f aca="false">IF($C13623="","",$D13623*IFERROR(INDEX('تحليل التكلفة والسعر'!$C$2:$C$700,MATCH($C13623,'تحليل التكلفة والسعر'!$B$2:$B$700,0)),0))</f>
        <v/>
      </c>
    </row>
    <row r="13624" customFormat="false" ht="15" hidden="false" customHeight="false" outlineLevel="0" collapsed="false">
      <c r="A13624" s="103"/>
      <c r="B13624" s="104"/>
      <c r="C13624" s="104"/>
      <c r="E13624" s="107" t="str">
        <f aca="false">IF($C13624="","",IFERROR(INDEX(المنيو!$C$2:$C$500,MATCH($C13624,المنيو!$B$2:$B$500,0)),0))</f>
        <v/>
      </c>
      <c r="F13624" s="107" t="str">
        <f aca="false">IF($C13624="","",$D13624*$E13624)</f>
        <v/>
      </c>
      <c r="G13624" s="107" t="str">
        <f aca="false">IF($C13624="","",$D13624*IFERROR(INDEX('تحليل التكلفة والسعر'!$C$2:$C$700,MATCH($C13624,'تحليل التكلفة والسعر'!$B$2:$B$700,0)),0))</f>
        <v/>
      </c>
    </row>
    <row r="13625" customFormat="false" ht="15" hidden="false" customHeight="false" outlineLevel="0" collapsed="false">
      <c r="A13625" s="103"/>
      <c r="B13625" s="104"/>
      <c r="C13625" s="104"/>
      <c r="E13625" s="107" t="str">
        <f aca="false">IF($C13625="","",IFERROR(INDEX(المنيو!$C$2:$C$500,MATCH($C13625,المنيو!$B$2:$B$500,0)),0))</f>
        <v/>
      </c>
      <c r="F13625" s="107" t="str">
        <f aca="false">IF($C13625="","",$D13625*$E13625)</f>
        <v/>
      </c>
      <c r="G13625" s="107" t="str">
        <f aca="false">IF($C13625="","",$D13625*IFERROR(INDEX('تحليل التكلفة والسعر'!$C$2:$C$700,MATCH($C13625,'تحليل التكلفة والسعر'!$B$2:$B$700,0)),0))</f>
        <v/>
      </c>
    </row>
    <row r="13626" customFormat="false" ht="15" hidden="false" customHeight="false" outlineLevel="0" collapsed="false">
      <c r="A13626" s="103"/>
      <c r="B13626" s="104"/>
      <c r="C13626" s="104"/>
      <c r="E13626" s="107" t="str">
        <f aca="false">IF($C13626="","",IFERROR(INDEX(المنيو!$C$2:$C$500,MATCH($C13626,المنيو!$B$2:$B$500,0)),0))</f>
        <v/>
      </c>
      <c r="F13626" s="107" t="str">
        <f aca="false">IF($C13626="","",$D13626*$E13626)</f>
        <v/>
      </c>
      <c r="G13626" s="107" t="str">
        <f aca="false">IF($C13626="","",$D13626*IFERROR(INDEX('تحليل التكلفة والسعر'!$C$2:$C$700,MATCH($C13626,'تحليل التكلفة والسعر'!$B$2:$B$700,0)),0))</f>
        <v/>
      </c>
    </row>
    <row r="13627" customFormat="false" ht="15" hidden="false" customHeight="false" outlineLevel="0" collapsed="false">
      <c r="A13627" s="103"/>
      <c r="B13627" s="104"/>
      <c r="C13627" s="104"/>
      <c r="E13627" s="107" t="str">
        <f aca="false">IF($C13627="","",IFERROR(INDEX(المنيو!$C$2:$C$500,MATCH($C13627,المنيو!$B$2:$B$500,0)),0))</f>
        <v/>
      </c>
      <c r="F13627" s="107" t="str">
        <f aca="false">IF($C13627="","",$D13627*$E13627)</f>
        <v/>
      </c>
      <c r="G13627" s="107" t="str">
        <f aca="false">IF($C13627="","",$D13627*IFERROR(INDEX('تحليل التكلفة والسعر'!$C$2:$C$700,MATCH($C13627,'تحليل التكلفة والسعر'!$B$2:$B$700,0)),0))</f>
        <v/>
      </c>
    </row>
    <row r="13628" customFormat="false" ht="15" hidden="false" customHeight="false" outlineLevel="0" collapsed="false">
      <c r="A13628" s="103"/>
      <c r="B13628" s="104"/>
      <c r="C13628" s="104"/>
      <c r="E13628" s="107" t="str">
        <f aca="false">IF($C13628="","",IFERROR(INDEX(المنيو!$C$2:$C$500,MATCH($C13628,المنيو!$B$2:$B$500,0)),0))</f>
        <v/>
      </c>
      <c r="F13628" s="107" t="str">
        <f aca="false">IF($C13628="","",$D13628*$E13628)</f>
        <v/>
      </c>
      <c r="G13628" s="107" t="str">
        <f aca="false">IF($C13628="","",$D13628*IFERROR(INDEX('تحليل التكلفة والسعر'!$C$2:$C$700,MATCH($C13628,'تحليل التكلفة والسعر'!$B$2:$B$700,0)),0))</f>
        <v/>
      </c>
    </row>
    <row r="13629" customFormat="false" ht="15" hidden="false" customHeight="false" outlineLevel="0" collapsed="false">
      <c r="A13629" s="103"/>
      <c r="B13629" s="104"/>
      <c r="C13629" s="104"/>
      <c r="E13629" s="107" t="str">
        <f aca="false">IF($C13629="","",IFERROR(INDEX(المنيو!$C$2:$C$500,MATCH($C13629,المنيو!$B$2:$B$500,0)),0))</f>
        <v/>
      </c>
      <c r="F13629" s="107" t="str">
        <f aca="false">IF($C13629="","",$D13629*$E13629)</f>
        <v/>
      </c>
      <c r="G13629" s="107" t="str">
        <f aca="false">IF($C13629="","",$D13629*IFERROR(INDEX('تحليل التكلفة والسعر'!$C$2:$C$700,MATCH($C13629,'تحليل التكلفة والسعر'!$B$2:$B$700,0)),0))</f>
        <v/>
      </c>
    </row>
    <row r="13630" customFormat="false" ht="15" hidden="false" customHeight="false" outlineLevel="0" collapsed="false">
      <c r="A13630" s="103"/>
      <c r="B13630" s="104"/>
      <c r="C13630" s="104"/>
      <c r="E13630" s="107" t="str">
        <f aca="false">IF($C13630="","",IFERROR(INDEX(المنيو!$C$2:$C$500,MATCH($C13630,المنيو!$B$2:$B$500,0)),0))</f>
        <v/>
      </c>
      <c r="F13630" s="107" t="str">
        <f aca="false">IF($C13630="","",$D13630*$E13630)</f>
        <v/>
      </c>
      <c r="G13630" s="107" t="str">
        <f aca="false">IF($C13630="","",$D13630*IFERROR(INDEX('تحليل التكلفة والسعر'!$C$2:$C$700,MATCH($C13630,'تحليل التكلفة والسعر'!$B$2:$B$700,0)),0))</f>
        <v/>
      </c>
    </row>
    <row r="13631" customFormat="false" ht="15" hidden="false" customHeight="false" outlineLevel="0" collapsed="false">
      <c r="A13631" s="103"/>
      <c r="B13631" s="104"/>
      <c r="C13631" s="104"/>
      <c r="E13631" s="107" t="str">
        <f aca="false">IF($C13631="","",IFERROR(INDEX(المنيو!$C$2:$C$500,MATCH($C13631,المنيو!$B$2:$B$500,0)),0))</f>
        <v/>
      </c>
      <c r="F13631" s="107" t="str">
        <f aca="false">IF($C13631="","",$D13631*$E13631)</f>
        <v/>
      </c>
      <c r="G13631" s="107" t="str">
        <f aca="false">IF($C13631="","",$D13631*IFERROR(INDEX('تحليل التكلفة والسعر'!$C$2:$C$700,MATCH($C13631,'تحليل التكلفة والسعر'!$B$2:$B$700,0)),0))</f>
        <v/>
      </c>
    </row>
    <row r="13632" customFormat="false" ht="15" hidden="false" customHeight="false" outlineLevel="0" collapsed="false">
      <c r="A13632" s="103"/>
      <c r="B13632" s="104"/>
      <c r="C13632" s="104"/>
      <c r="E13632" s="107" t="str">
        <f aca="false">IF($C13632="","",IFERROR(INDEX(المنيو!$C$2:$C$500,MATCH($C13632,المنيو!$B$2:$B$500,0)),0))</f>
        <v/>
      </c>
      <c r="F13632" s="107" t="str">
        <f aca="false">IF($C13632="","",$D13632*$E13632)</f>
        <v/>
      </c>
      <c r="G13632" s="107" t="str">
        <f aca="false">IF($C13632="","",$D13632*IFERROR(INDEX('تحليل التكلفة والسعر'!$C$2:$C$700,MATCH($C13632,'تحليل التكلفة والسعر'!$B$2:$B$700,0)),0))</f>
        <v/>
      </c>
    </row>
    <row r="13633" customFormat="false" ht="15" hidden="false" customHeight="false" outlineLevel="0" collapsed="false">
      <c r="A13633" s="103"/>
      <c r="B13633" s="104"/>
      <c r="C13633" s="104"/>
      <c r="E13633" s="107" t="str">
        <f aca="false">IF($C13633="","",IFERROR(INDEX(المنيو!$C$2:$C$500,MATCH($C13633,المنيو!$B$2:$B$500,0)),0))</f>
        <v/>
      </c>
      <c r="F13633" s="107" t="str">
        <f aca="false">IF($C13633="","",$D13633*$E13633)</f>
        <v/>
      </c>
      <c r="G13633" s="107" t="str">
        <f aca="false">IF($C13633="","",$D13633*IFERROR(INDEX('تحليل التكلفة والسعر'!$C$2:$C$700,MATCH($C13633,'تحليل التكلفة والسعر'!$B$2:$B$700,0)),0))</f>
        <v/>
      </c>
    </row>
    <row r="13634" customFormat="false" ht="15" hidden="false" customHeight="false" outlineLevel="0" collapsed="false">
      <c r="A13634" s="103"/>
      <c r="B13634" s="104"/>
      <c r="C13634" s="104"/>
      <c r="E13634" s="107" t="str">
        <f aca="false">IF($C13634="","",IFERROR(INDEX(المنيو!$C$2:$C$500,MATCH($C13634,المنيو!$B$2:$B$500,0)),0))</f>
        <v/>
      </c>
      <c r="F13634" s="107" t="str">
        <f aca="false">IF($C13634="","",$D13634*$E13634)</f>
        <v/>
      </c>
      <c r="G13634" s="107" t="str">
        <f aca="false">IF($C13634="","",$D13634*IFERROR(INDEX('تحليل التكلفة والسعر'!$C$2:$C$700,MATCH($C13634,'تحليل التكلفة والسعر'!$B$2:$B$700,0)),0))</f>
        <v/>
      </c>
    </row>
    <row r="13635" customFormat="false" ht="15" hidden="false" customHeight="false" outlineLevel="0" collapsed="false">
      <c r="A13635" s="103"/>
      <c r="B13635" s="104"/>
      <c r="C13635" s="104"/>
      <c r="E13635" s="107" t="str">
        <f aca="false">IF($C13635="","",IFERROR(INDEX(المنيو!$C$2:$C$500,MATCH($C13635,المنيو!$B$2:$B$500,0)),0))</f>
        <v/>
      </c>
      <c r="F13635" s="107" t="str">
        <f aca="false">IF($C13635="","",$D13635*$E13635)</f>
        <v/>
      </c>
      <c r="G13635" s="107" t="str">
        <f aca="false">IF($C13635="","",$D13635*IFERROR(INDEX('تحليل التكلفة والسعر'!$C$2:$C$700,MATCH($C13635,'تحليل التكلفة والسعر'!$B$2:$B$700,0)),0))</f>
        <v/>
      </c>
    </row>
    <row r="13636" customFormat="false" ht="15" hidden="false" customHeight="false" outlineLevel="0" collapsed="false">
      <c r="A13636" s="103"/>
      <c r="B13636" s="104"/>
      <c r="C13636" s="104"/>
      <c r="E13636" s="107" t="str">
        <f aca="false">IF($C13636="","",IFERROR(INDEX(المنيو!$C$2:$C$500,MATCH($C13636,المنيو!$B$2:$B$500,0)),0))</f>
        <v/>
      </c>
      <c r="F13636" s="107" t="str">
        <f aca="false">IF($C13636="","",$D13636*$E13636)</f>
        <v/>
      </c>
      <c r="G13636" s="107" t="str">
        <f aca="false">IF($C13636="","",$D13636*IFERROR(INDEX('تحليل التكلفة والسعر'!$C$2:$C$700,MATCH($C13636,'تحليل التكلفة والسعر'!$B$2:$B$700,0)),0))</f>
        <v/>
      </c>
    </row>
    <row r="13637" customFormat="false" ht="15" hidden="false" customHeight="false" outlineLevel="0" collapsed="false">
      <c r="A13637" s="103"/>
      <c r="B13637" s="104"/>
      <c r="C13637" s="104"/>
      <c r="E13637" s="107" t="str">
        <f aca="false">IF($C13637="","",IFERROR(INDEX(المنيو!$C$2:$C$500,MATCH($C13637,المنيو!$B$2:$B$500,0)),0))</f>
        <v/>
      </c>
      <c r="F13637" s="107" t="str">
        <f aca="false">IF($C13637="","",$D13637*$E13637)</f>
        <v/>
      </c>
      <c r="G13637" s="107" t="str">
        <f aca="false">IF($C13637="","",$D13637*IFERROR(INDEX('تحليل التكلفة والسعر'!$C$2:$C$700,MATCH($C13637,'تحليل التكلفة والسعر'!$B$2:$B$700,0)),0))</f>
        <v/>
      </c>
    </row>
    <row r="13638" customFormat="false" ht="15" hidden="false" customHeight="false" outlineLevel="0" collapsed="false">
      <c r="A13638" s="103"/>
      <c r="B13638" s="104"/>
      <c r="C13638" s="104"/>
      <c r="E13638" s="107" t="str">
        <f aca="false">IF($C13638="","",IFERROR(INDEX(المنيو!$C$2:$C$500,MATCH($C13638,المنيو!$B$2:$B$500,0)),0))</f>
        <v/>
      </c>
      <c r="F13638" s="107" t="str">
        <f aca="false">IF($C13638="","",$D13638*$E13638)</f>
        <v/>
      </c>
      <c r="G13638" s="107" t="str">
        <f aca="false">IF($C13638="","",$D13638*IFERROR(INDEX('تحليل التكلفة والسعر'!$C$2:$C$700,MATCH($C13638,'تحليل التكلفة والسعر'!$B$2:$B$700,0)),0))</f>
        <v/>
      </c>
    </row>
    <row r="13639" customFormat="false" ht="15" hidden="false" customHeight="false" outlineLevel="0" collapsed="false">
      <c r="A13639" s="103"/>
      <c r="B13639" s="104"/>
      <c r="C13639" s="104"/>
      <c r="E13639" s="107" t="str">
        <f aca="false">IF($C13639="","",IFERROR(INDEX(المنيو!$C$2:$C$500,MATCH($C13639,المنيو!$B$2:$B$500,0)),0))</f>
        <v/>
      </c>
      <c r="F13639" s="107" t="str">
        <f aca="false">IF($C13639="","",$D13639*$E13639)</f>
        <v/>
      </c>
      <c r="G13639" s="107" t="str">
        <f aca="false">IF($C13639="","",$D13639*IFERROR(INDEX('تحليل التكلفة والسعر'!$C$2:$C$700,MATCH($C13639,'تحليل التكلفة والسعر'!$B$2:$B$700,0)),0))</f>
        <v/>
      </c>
    </row>
    <row r="13640" customFormat="false" ht="15" hidden="false" customHeight="false" outlineLevel="0" collapsed="false">
      <c r="A13640" s="103"/>
      <c r="B13640" s="104"/>
      <c r="C13640" s="104"/>
      <c r="E13640" s="107" t="str">
        <f aca="false">IF($C13640="","",IFERROR(INDEX(المنيو!$C$2:$C$500,MATCH($C13640,المنيو!$B$2:$B$500,0)),0))</f>
        <v/>
      </c>
      <c r="F13640" s="107" t="str">
        <f aca="false">IF($C13640="","",$D13640*$E13640)</f>
        <v/>
      </c>
      <c r="G13640" s="107" t="str">
        <f aca="false">IF($C13640="","",$D13640*IFERROR(INDEX('تحليل التكلفة والسعر'!$C$2:$C$700,MATCH($C13640,'تحليل التكلفة والسعر'!$B$2:$B$700,0)),0))</f>
        <v/>
      </c>
    </row>
    <row r="13641" customFormat="false" ht="15" hidden="false" customHeight="false" outlineLevel="0" collapsed="false">
      <c r="A13641" s="103"/>
      <c r="B13641" s="104"/>
      <c r="C13641" s="104"/>
      <c r="E13641" s="107" t="str">
        <f aca="false">IF($C13641="","",IFERROR(INDEX(المنيو!$C$2:$C$500,MATCH($C13641,المنيو!$B$2:$B$500,0)),0))</f>
        <v/>
      </c>
      <c r="F13641" s="107" t="str">
        <f aca="false">IF($C13641="","",$D13641*$E13641)</f>
        <v/>
      </c>
      <c r="G13641" s="107" t="str">
        <f aca="false">IF($C13641="","",$D13641*IFERROR(INDEX('تحليل التكلفة والسعر'!$C$2:$C$700,MATCH($C13641,'تحليل التكلفة والسعر'!$B$2:$B$700,0)),0))</f>
        <v/>
      </c>
    </row>
    <row r="13642" customFormat="false" ht="15" hidden="false" customHeight="false" outlineLevel="0" collapsed="false">
      <c r="A13642" s="103"/>
      <c r="B13642" s="104"/>
      <c r="C13642" s="104"/>
      <c r="E13642" s="107" t="str">
        <f aca="false">IF($C13642="","",IFERROR(INDEX(المنيو!$C$2:$C$500,MATCH($C13642,المنيو!$B$2:$B$500,0)),0))</f>
        <v/>
      </c>
      <c r="F13642" s="107" t="str">
        <f aca="false">IF($C13642="","",$D13642*$E13642)</f>
        <v/>
      </c>
      <c r="G13642" s="107" t="str">
        <f aca="false">IF($C13642="","",$D13642*IFERROR(INDEX('تحليل التكلفة والسعر'!$C$2:$C$700,MATCH($C13642,'تحليل التكلفة والسعر'!$B$2:$B$700,0)),0))</f>
        <v/>
      </c>
    </row>
    <row r="13643" customFormat="false" ht="15" hidden="false" customHeight="false" outlineLevel="0" collapsed="false">
      <c r="A13643" s="103"/>
      <c r="B13643" s="104"/>
      <c r="C13643" s="104"/>
      <c r="E13643" s="107" t="str">
        <f aca="false">IF($C13643="","",IFERROR(INDEX(المنيو!$C$2:$C$500,MATCH($C13643,المنيو!$B$2:$B$500,0)),0))</f>
        <v/>
      </c>
      <c r="F13643" s="107" t="str">
        <f aca="false">IF($C13643="","",$D13643*$E13643)</f>
        <v/>
      </c>
      <c r="G13643" s="107" t="str">
        <f aca="false">IF($C13643="","",$D13643*IFERROR(INDEX('تحليل التكلفة والسعر'!$C$2:$C$700,MATCH($C13643,'تحليل التكلفة والسعر'!$B$2:$B$700,0)),0))</f>
        <v/>
      </c>
    </row>
    <row r="13644" customFormat="false" ht="15" hidden="false" customHeight="false" outlineLevel="0" collapsed="false">
      <c r="A13644" s="103"/>
      <c r="B13644" s="104"/>
      <c r="C13644" s="104"/>
      <c r="E13644" s="107" t="str">
        <f aca="false">IF($C13644="","",IFERROR(INDEX(المنيو!$C$2:$C$500,MATCH($C13644,المنيو!$B$2:$B$500,0)),0))</f>
        <v/>
      </c>
      <c r="F13644" s="107" t="str">
        <f aca="false">IF($C13644="","",$D13644*$E13644)</f>
        <v/>
      </c>
      <c r="G13644" s="107" t="str">
        <f aca="false">IF($C13644="","",$D13644*IFERROR(INDEX('تحليل التكلفة والسعر'!$C$2:$C$700,MATCH($C13644,'تحليل التكلفة والسعر'!$B$2:$B$700,0)),0))</f>
        <v/>
      </c>
    </row>
    <row r="13645" customFormat="false" ht="15" hidden="false" customHeight="false" outlineLevel="0" collapsed="false">
      <c r="A13645" s="103"/>
      <c r="B13645" s="104"/>
      <c r="C13645" s="104"/>
      <c r="E13645" s="107" t="str">
        <f aca="false">IF($C13645="","",IFERROR(INDEX(المنيو!$C$2:$C$500,MATCH($C13645,المنيو!$B$2:$B$500,0)),0))</f>
        <v/>
      </c>
      <c r="F13645" s="107" t="str">
        <f aca="false">IF($C13645="","",$D13645*$E13645)</f>
        <v/>
      </c>
      <c r="G13645" s="107" t="str">
        <f aca="false">IF($C13645="","",$D13645*IFERROR(INDEX('تحليل التكلفة والسعر'!$C$2:$C$700,MATCH($C13645,'تحليل التكلفة والسعر'!$B$2:$B$700,0)),0))</f>
        <v/>
      </c>
    </row>
    <row r="13646" customFormat="false" ht="15" hidden="false" customHeight="false" outlineLevel="0" collapsed="false">
      <c r="A13646" s="103"/>
      <c r="B13646" s="104"/>
      <c r="C13646" s="104"/>
      <c r="E13646" s="107" t="str">
        <f aca="false">IF($C13646="","",IFERROR(INDEX(المنيو!$C$2:$C$500,MATCH($C13646,المنيو!$B$2:$B$500,0)),0))</f>
        <v/>
      </c>
      <c r="F13646" s="107" t="str">
        <f aca="false">IF($C13646="","",$D13646*$E13646)</f>
        <v/>
      </c>
      <c r="G13646" s="107" t="str">
        <f aca="false">IF($C13646="","",$D13646*IFERROR(INDEX('تحليل التكلفة والسعر'!$C$2:$C$700,MATCH($C13646,'تحليل التكلفة والسعر'!$B$2:$B$700,0)),0))</f>
        <v/>
      </c>
    </row>
    <row r="13647" customFormat="false" ht="15" hidden="false" customHeight="false" outlineLevel="0" collapsed="false">
      <c r="A13647" s="103"/>
      <c r="B13647" s="104"/>
      <c r="C13647" s="104"/>
      <c r="E13647" s="107" t="str">
        <f aca="false">IF($C13647="","",IFERROR(INDEX(المنيو!$C$2:$C$500,MATCH($C13647,المنيو!$B$2:$B$500,0)),0))</f>
        <v/>
      </c>
      <c r="F13647" s="107" t="str">
        <f aca="false">IF($C13647="","",$D13647*$E13647)</f>
        <v/>
      </c>
      <c r="G13647" s="107" t="str">
        <f aca="false">IF($C13647="","",$D13647*IFERROR(INDEX('تحليل التكلفة والسعر'!$C$2:$C$700,MATCH($C13647,'تحليل التكلفة والسعر'!$B$2:$B$700,0)),0))</f>
        <v/>
      </c>
    </row>
    <row r="13648" customFormat="false" ht="15" hidden="false" customHeight="false" outlineLevel="0" collapsed="false">
      <c r="A13648" s="103"/>
      <c r="B13648" s="104"/>
      <c r="C13648" s="104"/>
      <c r="E13648" s="107" t="str">
        <f aca="false">IF($C13648="","",IFERROR(INDEX(المنيو!$C$2:$C$500,MATCH($C13648,المنيو!$B$2:$B$500,0)),0))</f>
        <v/>
      </c>
      <c r="F13648" s="107" t="str">
        <f aca="false">IF($C13648="","",$D13648*$E13648)</f>
        <v/>
      </c>
      <c r="G13648" s="107" t="str">
        <f aca="false">IF($C13648="","",$D13648*IFERROR(INDEX('تحليل التكلفة والسعر'!$C$2:$C$700,MATCH($C13648,'تحليل التكلفة والسعر'!$B$2:$B$700,0)),0))</f>
        <v/>
      </c>
    </row>
    <row r="13649" customFormat="false" ht="15" hidden="false" customHeight="false" outlineLevel="0" collapsed="false">
      <c r="A13649" s="103"/>
      <c r="B13649" s="104"/>
      <c r="C13649" s="104"/>
      <c r="E13649" s="107" t="str">
        <f aca="false">IF($C13649="","",IFERROR(INDEX(المنيو!$C$2:$C$500,MATCH($C13649,المنيو!$B$2:$B$500,0)),0))</f>
        <v/>
      </c>
      <c r="F13649" s="107" t="str">
        <f aca="false">IF($C13649="","",$D13649*$E13649)</f>
        <v/>
      </c>
      <c r="G13649" s="107" t="str">
        <f aca="false">IF($C13649="","",$D13649*IFERROR(INDEX('تحليل التكلفة والسعر'!$C$2:$C$700,MATCH($C13649,'تحليل التكلفة والسعر'!$B$2:$B$700,0)),0))</f>
        <v/>
      </c>
    </row>
    <row r="13650" customFormat="false" ht="15" hidden="false" customHeight="false" outlineLevel="0" collapsed="false">
      <c r="A13650" s="103"/>
      <c r="B13650" s="104"/>
      <c r="C13650" s="104"/>
      <c r="E13650" s="107" t="str">
        <f aca="false">IF($C13650="","",IFERROR(INDEX(المنيو!$C$2:$C$500,MATCH($C13650,المنيو!$B$2:$B$500,0)),0))</f>
        <v/>
      </c>
      <c r="F13650" s="107" t="str">
        <f aca="false">IF($C13650="","",$D13650*$E13650)</f>
        <v/>
      </c>
      <c r="G13650" s="107" t="str">
        <f aca="false">IF($C13650="","",$D13650*IFERROR(INDEX('تحليل التكلفة والسعر'!$C$2:$C$700,MATCH($C13650,'تحليل التكلفة والسعر'!$B$2:$B$700,0)),0))</f>
        <v/>
      </c>
    </row>
    <row r="13651" customFormat="false" ht="15" hidden="false" customHeight="false" outlineLevel="0" collapsed="false">
      <c r="A13651" s="103"/>
      <c r="B13651" s="104"/>
      <c r="C13651" s="104"/>
      <c r="E13651" s="107" t="str">
        <f aca="false">IF($C13651="","",IFERROR(INDEX(المنيو!$C$2:$C$500,MATCH($C13651,المنيو!$B$2:$B$500,0)),0))</f>
        <v/>
      </c>
      <c r="F13651" s="107" t="str">
        <f aca="false">IF($C13651="","",$D13651*$E13651)</f>
        <v/>
      </c>
      <c r="G13651" s="107" t="str">
        <f aca="false">IF($C13651="","",$D13651*IFERROR(INDEX('تحليل التكلفة والسعر'!$C$2:$C$700,MATCH($C13651,'تحليل التكلفة والسعر'!$B$2:$B$700,0)),0))</f>
        <v/>
      </c>
    </row>
    <row r="13652" customFormat="false" ht="15" hidden="false" customHeight="false" outlineLevel="0" collapsed="false">
      <c r="A13652" s="103"/>
      <c r="B13652" s="104"/>
      <c r="C13652" s="104"/>
      <c r="E13652" s="107" t="str">
        <f aca="false">IF($C13652="","",IFERROR(INDEX(المنيو!$C$2:$C$500,MATCH($C13652,المنيو!$B$2:$B$500,0)),0))</f>
        <v/>
      </c>
      <c r="F13652" s="107" t="str">
        <f aca="false">IF($C13652="","",$D13652*$E13652)</f>
        <v/>
      </c>
      <c r="G13652" s="107" t="str">
        <f aca="false">IF($C13652="","",$D13652*IFERROR(INDEX('تحليل التكلفة والسعر'!$C$2:$C$700,MATCH($C13652,'تحليل التكلفة والسعر'!$B$2:$B$700,0)),0))</f>
        <v/>
      </c>
    </row>
    <row r="13653" customFormat="false" ht="15" hidden="false" customHeight="false" outlineLevel="0" collapsed="false">
      <c r="A13653" s="103"/>
      <c r="B13653" s="104"/>
      <c r="C13653" s="104"/>
      <c r="E13653" s="107" t="str">
        <f aca="false">IF($C13653="","",IFERROR(INDEX(المنيو!$C$2:$C$500,MATCH($C13653,المنيو!$B$2:$B$500,0)),0))</f>
        <v/>
      </c>
      <c r="F13653" s="107" t="str">
        <f aca="false">IF($C13653="","",$D13653*$E13653)</f>
        <v/>
      </c>
      <c r="G13653" s="107" t="str">
        <f aca="false">IF($C13653="","",$D13653*IFERROR(INDEX('تحليل التكلفة والسعر'!$C$2:$C$700,MATCH($C13653,'تحليل التكلفة والسعر'!$B$2:$B$700,0)),0))</f>
        <v/>
      </c>
    </row>
    <row r="13654" customFormat="false" ht="15" hidden="false" customHeight="false" outlineLevel="0" collapsed="false">
      <c r="A13654" s="103"/>
      <c r="B13654" s="104"/>
      <c r="C13654" s="104"/>
      <c r="E13654" s="107" t="str">
        <f aca="false">IF($C13654="","",IFERROR(INDEX(المنيو!$C$2:$C$500,MATCH($C13654,المنيو!$B$2:$B$500,0)),0))</f>
        <v/>
      </c>
      <c r="F13654" s="107" t="str">
        <f aca="false">IF($C13654="","",$D13654*$E13654)</f>
        <v/>
      </c>
      <c r="G13654" s="107" t="str">
        <f aca="false">IF($C13654="","",$D13654*IFERROR(INDEX('تحليل التكلفة والسعر'!$C$2:$C$700,MATCH($C13654,'تحليل التكلفة والسعر'!$B$2:$B$700,0)),0))</f>
        <v/>
      </c>
    </row>
    <row r="13655" customFormat="false" ht="15" hidden="false" customHeight="false" outlineLevel="0" collapsed="false">
      <c r="A13655" s="103"/>
      <c r="B13655" s="104"/>
      <c r="C13655" s="104"/>
      <c r="E13655" s="107" t="str">
        <f aca="false">IF($C13655="","",IFERROR(INDEX(المنيو!$C$2:$C$500,MATCH($C13655,المنيو!$B$2:$B$500,0)),0))</f>
        <v/>
      </c>
      <c r="F13655" s="107" t="str">
        <f aca="false">IF($C13655="","",$D13655*$E13655)</f>
        <v/>
      </c>
      <c r="G13655" s="107" t="str">
        <f aca="false">IF($C13655="","",$D13655*IFERROR(INDEX('تحليل التكلفة والسعر'!$C$2:$C$700,MATCH($C13655,'تحليل التكلفة والسعر'!$B$2:$B$700,0)),0))</f>
        <v/>
      </c>
    </row>
    <row r="13656" customFormat="false" ht="15" hidden="false" customHeight="false" outlineLevel="0" collapsed="false">
      <c r="A13656" s="103"/>
      <c r="B13656" s="104"/>
      <c r="C13656" s="104"/>
      <c r="E13656" s="107" t="str">
        <f aca="false">IF($C13656="","",IFERROR(INDEX(المنيو!$C$2:$C$500,MATCH($C13656,المنيو!$B$2:$B$500,0)),0))</f>
        <v/>
      </c>
      <c r="F13656" s="107" t="str">
        <f aca="false">IF($C13656="","",$D13656*$E13656)</f>
        <v/>
      </c>
      <c r="G13656" s="107" t="str">
        <f aca="false">IF($C13656="","",$D13656*IFERROR(INDEX('تحليل التكلفة والسعر'!$C$2:$C$700,MATCH($C13656,'تحليل التكلفة والسعر'!$B$2:$B$700,0)),0))</f>
        <v/>
      </c>
    </row>
    <row r="13657" customFormat="false" ht="15" hidden="false" customHeight="false" outlineLevel="0" collapsed="false">
      <c r="A13657" s="103"/>
      <c r="B13657" s="104"/>
      <c r="C13657" s="104"/>
      <c r="E13657" s="107" t="str">
        <f aca="false">IF($C13657="","",IFERROR(INDEX(المنيو!$C$2:$C$500,MATCH($C13657,المنيو!$B$2:$B$500,0)),0))</f>
        <v/>
      </c>
      <c r="F13657" s="107" t="str">
        <f aca="false">IF($C13657="","",$D13657*$E13657)</f>
        <v/>
      </c>
      <c r="G13657" s="107" t="str">
        <f aca="false">IF($C13657="","",$D13657*IFERROR(INDEX('تحليل التكلفة والسعر'!$C$2:$C$700,MATCH($C13657,'تحليل التكلفة والسعر'!$B$2:$B$700,0)),0))</f>
        <v/>
      </c>
    </row>
    <row r="13658" customFormat="false" ht="15" hidden="false" customHeight="false" outlineLevel="0" collapsed="false">
      <c r="A13658" s="103"/>
      <c r="B13658" s="104"/>
      <c r="C13658" s="104"/>
      <c r="E13658" s="107" t="str">
        <f aca="false">IF($C13658="","",IFERROR(INDEX(المنيو!$C$2:$C$500,MATCH($C13658,المنيو!$B$2:$B$500,0)),0))</f>
        <v/>
      </c>
      <c r="F13658" s="107" t="str">
        <f aca="false">IF($C13658="","",$D13658*$E13658)</f>
        <v/>
      </c>
      <c r="G13658" s="107" t="str">
        <f aca="false">IF($C13658="","",$D13658*IFERROR(INDEX('تحليل التكلفة والسعر'!$C$2:$C$700,MATCH($C13658,'تحليل التكلفة والسعر'!$B$2:$B$700,0)),0))</f>
        <v/>
      </c>
    </row>
    <row r="13659" customFormat="false" ht="15" hidden="false" customHeight="false" outlineLevel="0" collapsed="false">
      <c r="A13659" s="103"/>
      <c r="B13659" s="104"/>
      <c r="C13659" s="104"/>
      <c r="E13659" s="107" t="str">
        <f aca="false">IF($C13659="","",IFERROR(INDEX(المنيو!$C$2:$C$500,MATCH($C13659,المنيو!$B$2:$B$500,0)),0))</f>
        <v/>
      </c>
      <c r="F13659" s="107" t="str">
        <f aca="false">IF($C13659="","",$D13659*$E13659)</f>
        <v/>
      </c>
      <c r="G13659" s="107" t="str">
        <f aca="false">IF($C13659="","",$D13659*IFERROR(INDEX('تحليل التكلفة والسعر'!$C$2:$C$700,MATCH($C13659,'تحليل التكلفة والسعر'!$B$2:$B$700,0)),0))</f>
        <v/>
      </c>
    </row>
    <row r="13660" customFormat="false" ht="15" hidden="false" customHeight="false" outlineLevel="0" collapsed="false">
      <c r="A13660" s="103"/>
      <c r="B13660" s="104"/>
      <c r="C13660" s="104"/>
      <c r="E13660" s="107" t="str">
        <f aca="false">IF($C13660="","",IFERROR(INDEX(المنيو!$C$2:$C$500,MATCH($C13660,المنيو!$B$2:$B$500,0)),0))</f>
        <v/>
      </c>
      <c r="F13660" s="107" t="str">
        <f aca="false">IF($C13660="","",$D13660*$E13660)</f>
        <v/>
      </c>
      <c r="G13660" s="107" t="str">
        <f aca="false">IF($C13660="","",$D13660*IFERROR(INDEX('تحليل التكلفة والسعر'!$C$2:$C$700,MATCH($C13660,'تحليل التكلفة والسعر'!$B$2:$B$700,0)),0))</f>
        <v/>
      </c>
    </row>
    <row r="13661" customFormat="false" ht="15" hidden="false" customHeight="false" outlineLevel="0" collapsed="false">
      <c r="A13661" s="103"/>
      <c r="B13661" s="104"/>
      <c r="C13661" s="104"/>
      <c r="E13661" s="107" t="str">
        <f aca="false">IF($C13661="","",IFERROR(INDEX(المنيو!$C$2:$C$500,MATCH($C13661,المنيو!$B$2:$B$500,0)),0))</f>
        <v/>
      </c>
      <c r="F13661" s="107" t="str">
        <f aca="false">IF($C13661="","",$D13661*$E13661)</f>
        <v/>
      </c>
      <c r="G13661" s="107" t="str">
        <f aca="false">IF($C13661="","",$D13661*IFERROR(INDEX('تحليل التكلفة والسعر'!$C$2:$C$700,MATCH($C13661,'تحليل التكلفة والسعر'!$B$2:$B$700,0)),0))</f>
        <v/>
      </c>
    </row>
    <row r="13662" customFormat="false" ht="15" hidden="false" customHeight="false" outlineLevel="0" collapsed="false">
      <c r="A13662" s="103"/>
      <c r="B13662" s="104"/>
      <c r="C13662" s="104"/>
      <c r="E13662" s="107" t="str">
        <f aca="false">IF($C13662="","",IFERROR(INDEX(المنيو!$C$2:$C$500,MATCH($C13662,المنيو!$B$2:$B$500,0)),0))</f>
        <v/>
      </c>
      <c r="F13662" s="107" t="str">
        <f aca="false">IF($C13662="","",$D13662*$E13662)</f>
        <v/>
      </c>
      <c r="G13662" s="107" t="str">
        <f aca="false">IF($C13662="","",$D13662*IFERROR(INDEX('تحليل التكلفة والسعر'!$C$2:$C$700,MATCH($C13662,'تحليل التكلفة والسعر'!$B$2:$B$700,0)),0))</f>
        <v/>
      </c>
    </row>
    <row r="13663" customFormat="false" ht="15" hidden="false" customHeight="false" outlineLevel="0" collapsed="false">
      <c r="A13663" s="103"/>
      <c r="B13663" s="104"/>
      <c r="C13663" s="104"/>
      <c r="E13663" s="107" t="str">
        <f aca="false">IF($C13663="","",IFERROR(INDEX(المنيو!$C$2:$C$500,MATCH($C13663,المنيو!$B$2:$B$500,0)),0))</f>
        <v/>
      </c>
      <c r="F13663" s="107" t="str">
        <f aca="false">IF($C13663="","",$D13663*$E13663)</f>
        <v/>
      </c>
      <c r="G13663" s="107" t="str">
        <f aca="false">IF($C13663="","",$D13663*IFERROR(INDEX('تحليل التكلفة والسعر'!$C$2:$C$700,MATCH($C13663,'تحليل التكلفة والسعر'!$B$2:$B$700,0)),0))</f>
        <v/>
      </c>
    </row>
    <row r="13664" customFormat="false" ht="15" hidden="false" customHeight="false" outlineLevel="0" collapsed="false">
      <c r="A13664" s="103"/>
      <c r="B13664" s="104"/>
      <c r="C13664" s="104"/>
      <c r="E13664" s="107" t="str">
        <f aca="false">IF($C13664="","",IFERROR(INDEX(المنيو!$C$2:$C$500,MATCH($C13664,المنيو!$B$2:$B$500,0)),0))</f>
        <v/>
      </c>
      <c r="F13664" s="107" t="str">
        <f aca="false">IF($C13664="","",$D13664*$E13664)</f>
        <v/>
      </c>
      <c r="G13664" s="107" t="str">
        <f aca="false">IF($C13664="","",$D13664*IFERROR(INDEX('تحليل التكلفة والسعر'!$C$2:$C$700,MATCH($C13664,'تحليل التكلفة والسعر'!$B$2:$B$700,0)),0))</f>
        <v/>
      </c>
    </row>
    <row r="13665" customFormat="false" ht="15" hidden="false" customHeight="false" outlineLevel="0" collapsed="false">
      <c r="A13665" s="103"/>
      <c r="B13665" s="104"/>
      <c r="C13665" s="104"/>
      <c r="E13665" s="107" t="str">
        <f aca="false">IF($C13665="","",IFERROR(INDEX(المنيو!$C$2:$C$500,MATCH($C13665,المنيو!$B$2:$B$500,0)),0))</f>
        <v/>
      </c>
      <c r="F13665" s="107" t="str">
        <f aca="false">IF($C13665="","",$D13665*$E13665)</f>
        <v/>
      </c>
      <c r="G13665" s="107" t="str">
        <f aca="false">IF($C13665="","",$D13665*IFERROR(INDEX('تحليل التكلفة والسعر'!$C$2:$C$700,MATCH($C13665,'تحليل التكلفة والسعر'!$B$2:$B$700,0)),0))</f>
        <v/>
      </c>
    </row>
    <row r="13666" customFormat="false" ht="15" hidden="false" customHeight="false" outlineLevel="0" collapsed="false">
      <c r="A13666" s="103"/>
      <c r="B13666" s="104"/>
      <c r="C13666" s="104"/>
      <c r="E13666" s="107" t="str">
        <f aca="false">IF($C13666="","",IFERROR(INDEX(المنيو!$C$2:$C$500,MATCH($C13666,المنيو!$B$2:$B$500,0)),0))</f>
        <v/>
      </c>
      <c r="F13666" s="107" t="str">
        <f aca="false">IF($C13666="","",$D13666*$E13666)</f>
        <v/>
      </c>
      <c r="G13666" s="107" t="str">
        <f aca="false">IF($C13666="","",$D13666*IFERROR(INDEX('تحليل التكلفة والسعر'!$C$2:$C$700,MATCH($C13666,'تحليل التكلفة والسعر'!$B$2:$B$700,0)),0))</f>
        <v/>
      </c>
    </row>
    <row r="13667" customFormat="false" ht="15" hidden="false" customHeight="false" outlineLevel="0" collapsed="false">
      <c r="A13667" s="103"/>
      <c r="B13667" s="104"/>
      <c r="C13667" s="104"/>
      <c r="E13667" s="107" t="str">
        <f aca="false">IF($C13667="","",IFERROR(INDEX(المنيو!$C$2:$C$500,MATCH($C13667,المنيو!$B$2:$B$500,0)),0))</f>
        <v/>
      </c>
      <c r="F13667" s="107" t="str">
        <f aca="false">IF($C13667="","",$D13667*$E13667)</f>
        <v/>
      </c>
      <c r="G13667" s="107" t="str">
        <f aca="false">IF($C13667="","",$D13667*IFERROR(INDEX('تحليل التكلفة والسعر'!$C$2:$C$700,MATCH($C13667,'تحليل التكلفة والسعر'!$B$2:$B$700,0)),0))</f>
        <v/>
      </c>
    </row>
    <row r="13668" customFormat="false" ht="15" hidden="false" customHeight="false" outlineLevel="0" collapsed="false">
      <c r="A13668" s="103"/>
      <c r="B13668" s="104"/>
      <c r="C13668" s="104"/>
      <c r="E13668" s="107" t="str">
        <f aca="false">IF($C13668="","",IFERROR(INDEX(المنيو!$C$2:$C$500,MATCH($C13668,المنيو!$B$2:$B$500,0)),0))</f>
        <v/>
      </c>
      <c r="F13668" s="107" t="str">
        <f aca="false">IF($C13668="","",$D13668*$E13668)</f>
        <v/>
      </c>
      <c r="G13668" s="107" t="str">
        <f aca="false">IF($C13668="","",$D13668*IFERROR(INDEX('تحليل التكلفة والسعر'!$C$2:$C$700,MATCH($C13668,'تحليل التكلفة والسعر'!$B$2:$B$700,0)),0))</f>
        <v/>
      </c>
    </row>
    <row r="13669" customFormat="false" ht="15" hidden="false" customHeight="false" outlineLevel="0" collapsed="false">
      <c r="A13669" s="103"/>
      <c r="B13669" s="104"/>
      <c r="C13669" s="104"/>
      <c r="E13669" s="107" t="str">
        <f aca="false">IF($C13669="","",IFERROR(INDEX(المنيو!$C$2:$C$500,MATCH($C13669,المنيو!$B$2:$B$500,0)),0))</f>
        <v/>
      </c>
      <c r="F13669" s="107" t="str">
        <f aca="false">IF($C13669="","",$D13669*$E13669)</f>
        <v/>
      </c>
      <c r="G13669" s="107" t="str">
        <f aca="false">IF($C13669="","",$D13669*IFERROR(INDEX('تحليل التكلفة والسعر'!$C$2:$C$700,MATCH($C13669,'تحليل التكلفة والسعر'!$B$2:$B$700,0)),0))</f>
        <v/>
      </c>
    </row>
    <row r="13670" customFormat="false" ht="15" hidden="false" customHeight="false" outlineLevel="0" collapsed="false">
      <c r="A13670" s="103"/>
      <c r="B13670" s="104"/>
      <c r="C13670" s="104"/>
      <c r="E13670" s="107" t="str">
        <f aca="false">IF($C13670="","",IFERROR(INDEX(المنيو!$C$2:$C$500,MATCH($C13670,المنيو!$B$2:$B$500,0)),0))</f>
        <v/>
      </c>
      <c r="F13670" s="107" t="str">
        <f aca="false">IF($C13670="","",$D13670*$E13670)</f>
        <v/>
      </c>
      <c r="G13670" s="107" t="str">
        <f aca="false">IF($C13670="","",$D13670*IFERROR(INDEX('تحليل التكلفة والسعر'!$C$2:$C$700,MATCH($C13670,'تحليل التكلفة والسعر'!$B$2:$B$700,0)),0))</f>
        <v/>
      </c>
    </row>
    <row r="13671" customFormat="false" ht="15" hidden="false" customHeight="false" outlineLevel="0" collapsed="false">
      <c r="A13671" s="103"/>
      <c r="B13671" s="104"/>
      <c r="C13671" s="104"/>
      <c r="E13671" s="107" t="str">
        <f aca="false">IF($C13671="","",IFERROR(INDEX(المنيو!$C$2:$C$500,MATCH($C13671,المنيو!$B$2:$B$500,0)),0))</f>
        <v/>
      </c>
      <c r="F13671" s="107" t="str">
        <f aca="false">IF($C13671="","",$D13671*$E13671)</f>
        <v/>
      </c>
      <c r="G13671" s="107" t="str">
        <f aca="false">IF($C13671="","",$D13671*IFERROR(INDEX('تحليل التكلفة والسعر'!$C$2:$C$700,MATCH($C13671,'تحليل التكلفة والسعر'!$B$2:$B$700,0)),0))</f>
        <v/>
      </c>
    </row>
    <row r="13672" customFormat="false" ht="15" hidden="false" customHeight="false" outlineLevel="0" collapsed="false">
      <c r="A13672" s="103"/>
      <c r="B13672" s="104"/>
      <c r="C13672" s="104"/>
      <c r="E13672" s="107" t="str">
        <f aca="false">IF($C13672="","",IFERROR(INDEX(المنيو!$C$2:$C$500,MATCH($C13672,المنيو!$B$2:$B$500,0)),0))</f>
        <v/>
      </c>
      <c r="F13672" s="107" t="str">
        <f aca="false">IF($C13672="","",$D13672*$E13672)</f>
        <v/>
      </c>
      <c r="G13672" s="107" t="str">
        <f aca="false">IF($C13672="","",$D13672*IFERROR(INDEX('تحليل التكلفة والسعر'!$C$2:$C$700,MATCH($C13672,'تحليل التكلفة والسعر'!$B$2:$B$700,0)),0))</f>
        <v/>
      </c>
    </row>
    <row r="13673" customFormat="false" ht="15" hidden="false" customHeight="false" outlineLevel="0" collapsed="false">
      <c r="A13673" s="103"/>
      <c r="B13673" s="104"/>
      <c r="C13673" s="104"/>
      <c r="E13673" s="107" t="str">
        <f aca="false">IF($C13673="","",IFERROR(INDEX(المنيو!$C$2:$C$500,MATCH($C13673,المنيو!$B$2:$B$500,0)),0))</f>
        <v/>
      </c>
      <c r="F13673" s="107" t="str">
        <f aca="false">IF($C13673="","",$D13673*$E13673)</f>
        <v/>
      </c>
      <c r="G13673" s="107" t="str">
        <f aca="false">IF($C13673="","",$D13673*IFERROR(INDEX('تحليل التكلفة والسعر'!$C$2:$C$700,MATCH($C13673,'تحليل التكلفة والسعر'!$B$2:$B$700,0)),0))</f>
        <v/>
      </c>
    </row>
    <row r="13674" customFormat="false" ht="15" hidden="false" customHeight="false" outlineLevel="0" collapsed="false">
      <c r="A13674" s="103"/>
      <c r="B13674" s="104"/>
      <c r="C13674" s="104"/>
      <c r="E13674" s="107" t="str">
        <f aca="false">IF($C13674="","",IFERROR(INDEX(المنيو!$C$2:$C$500,MATCH($C13674,المنيو!$B$2:$B$500,0)),0))</f>
        <v/>
      </c>
      <c r="F13674" s="107" t="str">
        <f aca="false">IF($C13674="","",$D13674*$E13674)</f>
        <v/>
      </c>
      <c r="G13674" s="107" t="str">
        <f aca="false">IF($C13674="","",$D13674*IFERROR(INDEX('تحليل التكلفة والسعر'!$C$2:$C$700,MATCH($C13674,'تحليل التكلفة والسعر'!$B$2:$B$700,0)),0))</f>
        <v/>
      </c>
    </row>
    <row r="13675" customFormat="false" ht="15" hidden="false" customHeight="false" outlineLevel="0" collapsed="false">
      <c r="A13675" s="103"/>
      <c r="B13675" s="104"/>
      <c r="C13675" s="104"/>
      <c r="E13675" s="107" t="str">
        <f aca="false">IF($C13675="","",IFERROR(INDEX(المنيو!$C$2:$C$500,MATCH($C13675,المنيو!$B$2:$B$500,0)),0))</f>
        <v/>
      </c>
      <c r="F13675" s="107" t="str">
        <f aca="false">IF($C13675="","",$D13675*$E13675)</f>
        <v/>
      </c>
      <c r="G13675" s="107" t="str">
        <f aca="false">IF($C13675="","",$D13675*IFERROR(INDEX('تحليل التكلفة والسعر'!$C$2:$C$700,MATCH($C13675,'تحليل التكلفة والسعر'!$B$2:$B$700,0)),0))</f>
        <v/>
      </c>
    </row>
    <row r="13676" customFormat="false" ht="15" hidden="false" customHeight="false" outlineLevel="0" collapsed="false">
      <c r="A13676" s="103"/>
      <c r="B13676" s="104"/>
      <c r="C13676" s="104"/>
      <c r="E13676" s="107" t="str">
        <f aca="false">IF($C13676="","",IFERROR(INDEX(المنيو!$C$2:$C$500,MATCH($C13676,المنيو!$B$2:$B$500,0)),0))</f>
        <v/>
      </c>
      <c r="F13676" s="107" t="str">
        <f aca="false">IF($C13676="","",$D13676*$E13676)</f>
        <v/>
      </c>
      <c r="G13676" s="107" t="str">
        <f aca="false">IF($C13676="","",$D13676*IFERROR(INDEX('تحليل التكلفة والسعر'!$C$2:$C$700,MATCH($C13676,'تحليل التكلفة والسعر'!$B$2:$B$700,0)),0))</f>
        <v/>
      </c>
    </row>
    <row r="13677" customFormat="false" ht="15" hidden="false" customHeight="false" outlineLevel="0" collapsed="false">
      <c r="A13677" s="103"/>
      <c r="B13677" s="104"/>
      <c r="C13677" s="104"/>
      <c r="E13677" s="107" t="str">
        <f aca="false">IF($C13677="","",IFERROR(INDEX(المنيو!$C$2:$C$500,MATCH($C13677,المنيو!$B$2:$B$500,0)),0))</f>
        <v/>
      </c>
      <c r="F13677" s="107" t="str">
        <f aca="false">IF($C13677="","",$D13677*$E13677)</f>
        <v/>
      </c>
      <c r="G13677" s="107" t="str">
        <f aca="false">IF($C13677="","",$D13677*IFERROR(INDEX('تحليل التكلفة والسعر'!$C$2:$C$700,MATCH($C13677,'تحليل التكلفة والسعر'!$B$2:$B$700,0)),0))</f>
        <v/>
      </c>
    </row>
    <row r="13678" customFormat="false" ht="15" hidden="false" customHeight="false" outlineLevel="0" collapsed="false">
      <c r="A13678" s="103"/>
      <c r="B13678" s="104"/>
      <c r="C13678" s="104"/>
      <c r="E13678" s="107" t="str">
        <f aca="false">IF($C13678="","",IFERROR(INDEX(المنيو!$C$2:$C$500,MATCH($C13678,المنيو!$B$2:$B$500,0)),0))</f>
        <v/>
      </c>
      <c r="F13678" s="107" t="str">
        <f aca="false">IF($C13678="","",$D13678*$E13678)</f>
        <v/>
      </c>
      <c r="G13678" s="107" t="str">
        <f aca="false">IF($C13678="","",$D13678*IFERROR(INDEX('تحليل التكلفة والسعر'!$C$2:$C$700,MATCH($C13678,'تحليل التكلفة والسعر'!$B$2:$B$700,0)),0))</f>
        <v/>
      </c>
    </row>
    <row r="13679" customFormat="false" ht="15" hidden="false" customHeight="false" outlineLevel="0" collapsed="false">
      <c r="A13679" s="103"/>
      <c r="B13679" s="104"/>
      <c r="C13679" s="104"/>
      <c r="E13679" s="107" t="str">
        <f aca="false">IF($C13679="","",IFERROR(INDEX(المنيو!$C$2:$C$500,MATCH($C13679,المنيو!$B$2:$B$500,0)),0))</f>
        <v/>
      </c>
      <c r="F13679" s="107" t="str">
        <f aca="false">IF($C13679="","",$D13679*$E13679)</f>
        <v/>
      </c>
      <c r="G13679" s="107" t="str">
        <f aca="false">IF($C13679="","",$D13679*IFERROR(INDEX('تحليل التكلفة والسعر'!$C$2:$C$700,MATCH($C13679,'تحليل التكلفة والسعر'!$B$2:$B$700,0)),0))</f>
        <v/>
      </c>
    </row>
    <row r="13680" customFormat="false" ht="15" hidden="false" customHeight="false" outlineLevel="0" collapsed="false">
      <c r="A13680" s="103"/>
      <c r="B13680" s="104"/>
      <c r="C13680" s="104"/>
      <c r="E13680" s="107" t="str">
        <f aca="false">IF($C13680="","",IFERROR(INDEX(المنيو!$C$2:$C$500,MATCH($C13680,المنيو!$B$2:$B$500,0)),0))</f>
        <v/>
      </c>
      <c r="F13680" s="107" t="str">
        <f aca="false">IF($C13680="","",$D13680*$E13680)</f>
        <v/>
      </c>
      <c r="G13680" s="107" t="str">
        <f aca="false">IF($C13680="","",$D13680*IFERROR(INDEX('تحليل التكلفة والسعر'!$C$2:$C$700,MATCH($C13680,'تحليل التكلفة والسعر'!$B$2:$B$700,0)),0))</f>
        <v/>
      </c>
    </row>
    <row r="13681" customFormat="false" ht="15" hidden="false" customHeight="false" outlineLevel="0" collapsed="false">
      <c r="A13681" s="103"/>
      <c r="B13681" s="104"/>
      <c r="C13681" s="104"/>
      <c r="E13681" s="107" t="str">
        <f aca="false">IF($C13681="","",IFERROR(INDEX(المنيو!$C$2:$C$500,MATCH($C13681,المنيو!$B$2:$B$500,0)),0))</f>
        <v/>
      </c>
      <c r="F13681" s="107" t="str">
        <f aca="false">IF($C13681="","",$D13681*$E13681)</f>
        <v/>
      </c>
      <c r="G13681" s="107" t="str">
        <f aca="false">IF($C13681="","",$D13681*IFERROR(INDEX('تحليل التكلفة والسعر'!$C$2:$C$700,MATCH($C13681,'تحليل التكلفة والسعر'!$B$2:$B$700,0)),0))</f>
        <v/>
      </c>
    </row>
    <row r="13682" customFormat="false" ht="15" hidden="false" customHeight="false" outlineLevel="0" collapsed="false">
      <c r="A13682" s="103"/>
      <c r="B13682" s="104"/>
      <c r="C13682" s="104"/>
      <c r="E13682" s="107" t="str">
        <f aca="false">IF($C13682="","",IFERROR(INDEX(المنيو!$C$2:$C$500,MATCH($C13682,المنيو!$B$2:$B$500,0)),0))</f>
        <v/>
      </c>
      <c r="F13682" s="107" t="str">
        <f aca="false">IF($C13682="","",$D13682*$E13682)</f>
        <v/>
      </c>
      <c r="G13682" s="107" t="str">
        <f aca="false">IF($C13682="","",$D13682*IFERROR(INDEX('تحليل التكلفة والسعر'!$C$2:$C$700,MATCH($C13682,'تحليل التكلفة والسعر'!$B$2:$B$700,0)),0))</f>
        <v/>
      </c>
    </row>
    <row r="13683" customFormat="false" ht="15" hidden="false" customHeight="false" outlineLevel="0" collapsed="false">
      <c r="A13683" s="103"/>
      <c r="B13683" s="104"/>
      <c r="C13683" s="104"/>
      <c r="E13683" s="107" t="str">
        <f aca="false">IF($C13683="","",IFERROR(INDEX(المنيو!$C$2:$C$500,MATCH($C13683,المنيو!$B$2:$B$500,0)),0))</f>
        <v/>
      </c>
      <c r="F13683" s="107" t="str">
        <f aca="false">IF($C13683="","",$D13683*$E13683)</f>
        <v/>
      </c>
      <c r="G13683" s="107" t="str">
        <f aca="false">IF($C13683="","",$D13683*IFERROR(INDEX('تحليل التكلفة والسعر'!$C$2:$C$700,MATCH($C13683,'تحليل التكلفة والسعر'!$B$2:$B$700,0)),0))</f>
        <v/>
      </c>
    </row>
    <row r="13684" customFormat="false" ht="15" hidden="false" customHeight="false" outlineLevel="0" collapsed="false">
      <c r="A13684" s="103"/>
      <c r="B13684" s="104"/>
      <c r="C13684" s="104"/>
      <c r="E13684" s="107" t="str">
        <f aca="false">IF($C13684="","",IFERROR(INDEX(المنيو!$C$2:$C$500,MATCH($C13684,المنيو!$B$2:$B$500,0)),0))</f>
        <v/>
      </c>
      <c r="F13684" s="107" t="str">
        <f aca="false">IF($C13684="","",$D13684*$E13684)</f>
        <v/>
      </c>
      <c r="G13684" s="107" t="str">
        <f aca="false">IF($C13684="","",$D13684*IFERROR(INDEX('تحليل التكلفة والسعر'!$C$2:$C$700,MATCH($C13684,'تحليل التكلفة والسعر'!$B$2:$B$700,0)),0))</f>
        <v/>
      </c>
    </row>
    <row r="13685" customFormat="false" ht="15" hidden="false" customHeight="false" outlineLevel="0" collapsed="false">
      <c r="A13685" s="103"/>
      <c r="B13685" s="104"/>
      <c r="C13685" s="104"/>
      <c r="E13685" s="107" t="str">
        <f aca="false">IF($C13685="","",IFERROR(INDEX(المنيو!$C$2:$C$500,MATCH($C13685,المنيو!$B$2:$B$500,0)),0))</f>
        <v/>
      </c>
      <c r="F13685" s="107" t="str">
        <f aca="false">IF($C13685="","",$D13685*$E13685)</f>
        <v/>
      </c>
      <c r="G13685" s="107" t="str">
        <f aca="false">IF($C13685="","",$D13685*IFERROR(INDEX('تحليل التكلفة والسعر'!$C$2:$C$700,MATCH($C13685,'تحليل التكلفة والسعر'!$B$2:$B$700,0)),0))</f>
        <v/>
      </c>
    </row>
    <row r="13686" customFormat="false" ht="15" hidden="false" customHeight="false" outlineLevel="0" collapsed="false">
      <c r="A13686" s="103"/>
      <c r="B13686" s="104"/>
      <c r="C13686" s="104"/>
      <c r="E13686" s="107" t="str">
        <f aca="false">IF($C13686="","",IFERROR(INDEX(المنيو!$C$2:$C$500,MATCH($C13686,المنيو!$B$2:$B$500,0)),0))</f>
        <v/>
      </c>
      <c r="F13686" s="107" t="str">
        <f aca="false">IF($C13686="","",$D13686*$E13686)</f>
        <v/>
      </c>
      <c r="G13686" s="107" t="str">
        <f aca="false">IF($C13686="","",$D13686*IFERROR(INDEX('تحليل التكلفة والسعر'!$C$2:$C$700,MATCH($C13686,'تحليل التكلفة والسعر'!$B$2:$B$700,0)),0))</f>
        <v/>
      </c>
    </row>
    <row r="13687" customFormat="false" ht="15" hidden="false" customHeight="false" outlineLevel="0" collapsed="false">
      <c r="A13687" s="103"/>
      <c r="B13687" s="104"/>
      <c r="C13687" s="104"/>
      <c r="E13687" s="107" t="str">
        <f aca="false">IF($C13687="","",IFERROR(INDEX(المنيو!$C$2:$C$500,MATCH($C13687,المنيو!$B$2:$B$500,0)),0))</f>
        <v/>
      </c>
      <c r="F13687" s="107" t="str">
        <f aca="false">IF($C13687="","",$D13687*$E13687)</f>
        <v/>
      </c>
      <c r="G13687" s="107" t="str">
        <f aca="false">IF($C13687="","",$D13687*IFERROR(INDEX('تحليل التكلفة والسعر'!$C$2:$C$700,MATCH($C13687,'تحليل التكلفة والسعر'!$B$2:$B$700,0)),0))</f>
        <v/>
      </c>
    </row>
    <row r="13688" customFormat="false" ht="15" hidden="false" customHeight="false" outlineLevel="0" collapsed="false">
      <c r="A13688" s="103"/>
      <c r="B13688" s="104"/>
      <c r="C13688" s="104"/>
      <c r="E13688" s="107" t="str">
        <f aca="false">IF($C13688="","",IFERROR(INDEX(المنيو!$C$2:$C$500,MATCH($C13688,المنيو!$B$2:$B$500,0)),0))</f>
        <v/>
      </c>
      <c r="F13688" s="107" t="str">
        <f aca="false">IF($C13688="","",$D13688*$E13688)</f>
        <v/>
      </c>
      <c r="G13688" s="107" t="str">
        <f aca="false">IF($C13688="","",$D13688*IFERROR(INDEX('تحليل التكلفة والسعر'!$C$2:$C$700,MATCH($C13688,'تحليل التكلفة والسعر'!$B$2:$B$700,0)),0))</f>
        <v/>
      </c>
    </row>
    <row r="13689" customFormat="false" ht="15" hidden="false" customHeight="false" outlineLevel="0" collapsed="false">
      <c r="A13689" s="103"/>
      <c r="B13689" s="104"/>
      <c r="C13689" s="104"/>
      <c r="E13689" s="107" t="str">
        <f aca="false">IF($C13689="","",IFERROR(INDEX(المنيو!$C$2:$C$500,MATCH($C13689,المنيو!$B$2:$B$500,0)),0))</f>
        <v/>
      </c>
      <c r="F13689" s="107" t="str">
        <f aca="false">IF($C13689="","",$D13689*$E13689)</f>
        <v/>
      </c>
      <c r="G13689" s="107" t="str">
        <f aca="false">IF($C13689="","",$D13689*IFERROR(INDEX('تحليل التكلفة والسعر'!$C$2:$C$700,MATCH($C13689,'تحليل التكلفة والسعر'!$B$2:$B$700,0)),0))</f>
        <v/>
      </c>
    </row>
    <row r="13690" customFormat="false" ht="15" hidden="false" customHeight="false" outlineLevel="0" collapsed="false">
      <c r="A13690" s="103"/>
      <c r="B13690" s="104"/>
      <c r="C13690" s="104"/>
      <c r="E13690" s="107" t="str">
        <f aca="false">IF($C13690="","",IFERROR(INDEX(المنيو!$C$2:$C$500,MATCH($C13690,المنيو!$B$2:$B$500,0)),0))</f>
        <v/>
      </c>
      <c r="F13690" s="107" t="str">
        <f aca="false">IF($C13690="","",$D13690*$E13690)</f>
        <v/>
      </c>
      <c r="G13690" s="107" t="str">
        <f aca="false">IF($C13690="","",$D13690*IFERROR(INDEX('تحليل التكلفة والسعر'!$C$2:$C$700,MATCH($C13690,'تحليل التكلفة والسعر'!$B$2:$B$700,0)),0))</f>
        <v/>
      </c>
    </row>
    <row r="13691" customFormat="false" ht="15" hidden="false" customHeight="false" outlineLevel="0" collapsed="false">
      <c r="A13691" s="103"/>
      <c r="B13691" s="104"/>
      <c r="C13691" s="104"/>
      <c r="E13691" s="107" t="str">
        <f aca="false">IF($C13691="","",IFERROR(INDEX(المنيو!$C$2:$C$500,MATCH($C13691,المنيو!$B$2:$B$500,0)),0))</f>
        <v/>
      </c>
      <c r="F13691" s="107" t="str">
        <f aca="false">IF($C13691="","",$D13691*$E13691)</f>
        <v/>
      </c>
      <c r="G13691" s="107" t="str">
        <f aca="false">IF($C13691="","",$D13691*IFERROR(INDEX('تحليل التكلفة والسعر'!$C$2:$C$700,MATCH($C13691,'تحليل التكلفة والسعر'!$B$2:$B$700,0)),0))</f>
        <v/>
      </c>
    </row>
    <row r="13692" customFormat="false" ht="15" hidden="false" customHeight="false" outlineLevel="0" collapsed="false">
      <c r="A13692" s="103"/>
      <c r="B13692" s="104"/>
      <c r="C13692" s="104"/>
      <c r="E13692" s="107" t="str">
        <f aca="false">IF($C13692="","",IFERROR(INDEX(المنيو!$C$2:$C$500,MATCH($C13692,المنيو!$B$2:$B$500,0)),0))</f>
        <v/>
      </c>
      <c r="F13692" s="107" t="str">
        <f aca="false">IF($C13692="","",$D13692*$E13692)</f>
        <v/>
      </c>
      <c r="G13692" s="107" t="str">
        <f aca="false">IF($C13692="","",$D13692*IFERROR(INDEX('تحليل التكلفة والسعر'!$C$2:$C$700,MATCH($C13692,'تحليل التكلفة والسعر'!$B$2:$B$700,0)),0))</f>
        <v/>
      </c>
    </row>
    <row r="13693" customFormat="false" ht="15" hidden="false" customHeight="false" outlineLevel="0" collapsed="false">
      <c r="A13693" s="103"/>
      <c r="B13693" s="104"/>
      <c r="C13693" s="104"/>
      <c r="E13693" s="107" t="str">
        <f aca="false">IF($C13693="","",IFERROR(INDEX(المنيو!$C$2:$C$500,MATCH($C13693,المنيو!$B$2:$B$500,0)),0))</f>
        <v/>
      </c>
      <c r="F13693" s="107" t="str">
        <f aca="false">IF($C13693="","",$D13693*$E13693)</f>
        <v/>
      </c>
      <c r="G13693" s="107" t="str">
        <f aca="false">IF($C13693="","",$D13693*IFERROR(INDEX('تحليل التكلفة والسعر'!$C$2:$C$700,MATCH($C13693,'تحليل التكلفة والسعر'!$B$2:$B$700,0)),0))</f>
        <v/>
      </c>
    </row>
    <row r="13694" customFormat="false" ht="15" hidden="false" customHeight="false" outlineLevel="0" collapsed="false">
      <c r="A13694" s="103"/>
      <c r="B13694" s="104"/>
      <c r="C13694" s="104"/>
      <c r="E13694" s="107" t="str">
        <f aca="false">IF($C13694="","",IFERROR(INDEX(المنيو!$C$2:$C$500,MATCH($C13694,المنيو!$B$2:$B$500,0)),0))</f>
        <v/>
      </c>
      <c r="F13694" s="107" t="str">
        <f aca="false">IF($C13694="","",$D13694*$E13694)</f>
        <v/>
      </c>
      <c r="G13694" s="107" t="str">
        <f aca="false">IF($C13694="","",$D13694*IFERROR(INDEX('تحليل التكلفة والسعر'!$C$2:$C$700,MATCH($C13694,'تحليل التكلفة والسعر'!$B$2:$B$700,0)),0))</f>
        <v/>
      </c>
    </row>
    <row r="13695" customFormat="false" ht="15" hidden="false" customHeight="false" outlineLevel="0" collapsed="false">
      <c r="A13695" s="103"/>
      <c r="B13695" s="104"/>
      <c r="C13695" s="104"/>
      <c r="E13695" s="107" t="str">
        <f aca="false">IF($C13695="","",IFERROR(INDEX(المنيو!$C$2:$C$500,MATCH($C13695,المنيو!$B$2:$B$500,0)),0))</f>
        <v/>
      </c>
      <c r="F13695" s="107" t="str">
        <f aca="false">IF($C13695="","",$D13695*$E13695)</f>
        <v/>
      </c>
      <c r="G13695" s="107" t="str">
        <f aca="false">IF($C13695="","",$D13695*IFERROR(INDEX('تحليل التكلفة والسعر'!$C$2:$C$700,MATCH($C13695,'تحليل التكلفة والسعر'!$B$2:$B$700,0)),0))</f>
        <v/>
      </c>
    </row>
    <row r="13696" customFormat="false" ht="15" hidden="false" customHeight="false" outlineLevel="0" collapsed="false">
      <c r="A13696" s="103"/>
      <c r="B13696" s="104"/>
      <c r="C13696" s="104"/>
      <c r="E13696" s="107" t="str">
        <f aca="false">IF($C13696="","",IFERROR(INDEX(المنيو!$C$2:$C$500,MATCH($C13696,المنيو!$B$2:$B$500,0)),0))</f>
        <v/>
      </c>
      <c r="F13696" s="107" t="str">
        <f aca="false">IF($C13696="","",$D13696*$E13696)</f>
        <v/>
      </c>
      <c r="G13696" s="107" t="str">
        <f aca="false">IF($C13696="","",$D13696*IFERROR(INDEX('تحليل التكلفة والسعر'!$C$2:$C$700,MATCH($C13696,'تحليل التكلفة والسعر'!$B$2:$B$700,0)),0))</f>
        <v/>
      </c>
    </row>
    <row r="13697" customFormat="false" ht="15" hidden="false" customHeight="false" outlineLevel="0" collapsed="false">
      <c r="A13697" s="103"/>
      <c r="B13697" s="104"/>
      <c r="C13697" s="104"/>
      <c r="E13697" s="107" t="str">
        <f aca="false">IF($C13697="","",IFERROR(INDEX(المنيو!$C$2:$C$500,MATCH($C13697,المنيو!$B$2:$B$500,0)),0))</f>
        <v/>
      </c>
      <c r="F13697" s="107" t="str">
        <f aca="false">IF($C13697="","",$D13697*$E13697)</f>
        <v/>
      </c>
      <c r="G13697" s="107" t="str">
        <f aca="false">IF($C13697="","",$D13697*IFERROR(INDEX('تحليل التكلفة والسعر'!$C$2:$C$700,MATCH($C13697,'تحليل التكلفة والسعر'!$B$2:$B$700,0)),0))</f>
        <v/>
      </c>
    </row>
    <row r="13698" customFormat="false" ht="15" hidden="false" customHeight="false" outlineLevel="0" collapsed="false">
      <c r="A13698" s="103"/>
      <c r="B13698" s="104"/>
      <c r="C13698" s="104"/>
      <c r="E13698" s="107" t="str">
        <f aca="false">IF($C13698="","",IFERROR(INDEX(المنيو!$C$2:$C$500,MATCH($C13698,المنيو!$B$2:$B$500,0)),0))</f>
        <v/>
      </c>
      <c r="F13698" s="107" t="str">
        <f aca="false">IF($C13698="","",$D13698*$E13698)</f>
        <v/>
      </c>
      <c r="G13698" s="107" t="str">
        <f aca="false">IF($C13698="","",$D13698*IFERROR(INDEX('تحليل التكلفة والسعر'!$C$2:$C$700,MATCH($C13698,'تحليل التكلفة والسعر'!$B$2:$B$700,0)),0))</f>
        <v/>
      </c>
    </row>
    <row r="13699" customFormat="false" ht="15" hidden="false" customHeight="false" outlineLevel="0" collapsed="false">
      <c r="A13699" s="103"/>
      <c r="B13699" s="104"/>
      <c r="C13699" s="104"/>
      <c r="E13699" s="107" t="str">
        <f aca="false">IF($C13699="","",IFERROR(INDEX(المنيو!$C$2:$C$500,MATCH($C13699,المنيو!$B$2:$B$500,0)),0))</f>
        <v/>
      </c>
      <c r="F13699" s="107" t="str">
        <f aca="false">IF($C13699="","",$D13699*$E13699)</f>
        <v/>
      </c>
      <c r="G13699" s="107" t="str">
        <f aca="false">IF($C13699="","",$D13699*IFERROR(INDEX('تحليل التكلفة والسعر'!$C$2:$C$700,MATCH($C13699,'تحليل التكلفة والسعر'!$B$2:$B$700,0)),0))</f>
        <v/>
      </c>
    </row>
    <row r="13700" customFormat="false" ht="15" hidden="false" customHeight="false" outlineLevel="0" collapsed="false">
      <c r="A13700" s="103"/>
      <c r="B13700" s="104"/>
      <c r="C13700" s="104"/>
      <c r="E13700" s="107" t="str">
        <f aca="false">IF($C13700="","",IFERROR(INDEX(المنيو!$C$2:$C$500,MATCH($C13700,المنيو!$B$2:$B$500,0)),0))</f>
        <v/>
      </c>
      <c r="F13700" s="107" t="str">
        <f aca="false">IF($C13700="","",$D13700*$E13700)</f>
        <v/>
      </c>
      <c r="G13700" s="107" t="str">
        <f aca="false">IF($C13700="","",$D13700*IFERROR(INDEX('تحليل التكلفة والسعر'!$C$2:$C$700,MATCH($C13700,'تحليل التكلفة والسعر'!$B$2:$B$700,0)),0))</f>
        <v/>
      </c>
    </row>
    <row r="13701" customFormat="false" ht="15" hidden="false" customHeight="false" outlineLevel="0" collapsed="false">
      <c r="A13701" s="103"/>
      <c r="B13701" s="104"/>
      <c r="C13701" s="104"/>
      <c r="E13701" s="107" t="str">
        <f aca="false">IF($C13701="","",IFERROR(INDEX(المنيو!$C$2:$C$500,MATCH($C13701,المنيو!$B$2:$B$500,0)),0))</f>
        <v/>
      </c>
      <c r="F13701" s="107" t="str">
        <f aca="false">IF($C13701="","",$D13701*$E13701)</f>
        <v/>
      </c>
      <c r="G13701" s="107" t="str">
        <f aca="false">IF($C13701="","",$D13701*IFERROR(INDEX('تحليل التكلفة والسعر'!$C$2:$C$700,MATCH($C13701,'تحليل التكلفة والسعر'!$B$2:$B$700,0)),0))</f>
        <v/>
      </c>
    </row>
    <row r="13702" customFormat="false" ht="15" hidden="false" customHeight="false" outlineLevel="0" collapsed="false">
      <c r="A13702" s="103"/>
      <c r="B13702" s="104"/>
      <c r="C13702" s="104"/>
      <c r="E13702" s="107" t="str">
        <f aca="false">IF($C13702="","",IFERROR(INDEX(المنيو!$C$2:$C$500,MATCH($C13702,المنيو!$B$2:$B$500,0)),0))</f>
        <v/>
      </c>
      <c r="F13702" s="107" t="str">
        <f aca="false">IF($C13702="","",$D13702*$E13702)</f>
        <v/>
      </c>
      <c r="G13702" s="107" t="str">
        <f aca="false">IF($C13702="","",$D13702*IFERROR(INDEX('تحليل التكلفة والسعر'!$C$2:$C$700,MATCH($C13702,'تحليل التكلفة والسعر'!$B$2:$B$700,0)),0))</f>
        <v/>
      </c>
    </row>
    <row r="13703" customFormat="false" ht="15" hidden="false" customHeight="false" outlineLevel="0" collapsed="false">
      <c r="A13703" s="103"/>
      <c r="B13703" s="104"/>
      <c r="C13703" s="104"/>
      <c r="E13703" s="107" t="str">
        <f aca="false">IF($C13703="","",IFERROR(INDEX(المنيو!$C$2:$C$500,MATCH($C13703,المنيو!$B$2:$B$500,0)),0))</f>
        <v/>
      </c>
      <c r="F13703" s="107" t="str">
        <f aca="false">IF($C13703="","",$D13703*$E13703)</f>
        <v/>
      </c>
      <c r="G13703" s="107" t="str">
        <f aca="false">IF($C13703="","",$D13703*IFERROR(INDEX('تحليل التكلفة والسعر'!$C$2:$C$700,MATCH($C13703,'تحليل التكلفة والسعر'!$B$2:$B$700,0)),0))</f>
        <v/>
      </c>
    </row>
    <row r="13704" customFormat="false" ht="15" hidden="false" customHeight="false" outlineLevel="0" collapsed="false">
      <c r="A13704" s="103"/>
      <c r="B13704" s="104"/>
      <c r="C13704" s="104"/>
      <c r="E13704" s="107" t="str">
        <f aca="false">IF($C13704="","",IFERROR(INDEX(المنيو!$C$2:$C$500,MATCH($C13704,المنيو!$B$2:$B$500,0)),0))</f>
        <v/>
      </c>
      <c r="F13704" s="107" t="str">
        <f aca="false">IF($C13704="","",$D13704*$E13704)</f>
        <v/>
      </c>
      <c r="G13704" s="107" t="str">
        <f aca="false">IF($C13704="","",$D13704*IFERROR(INDEX('تحليل التكلفة والسعر'!$C$2:$C$700,MATCH($C13704,'تحليل التكلفة والسعر'!$B$2:$B$700,0)),0))</f>
        <v/>
      </c>
    </row>
    <row r="13705" customFormat="false" ht="15" hidden="false" customHeight="false" outlineLevel="0" collapsed="false">
      <c r="A13705" s="103"/>
      <c r="B13705" s="104"/>
      <c r="C13705" s="104"/>
      <c r="E13705" s="107" t="str">
        <f aca="false">IF($C13705="","",IFERROR(INDEX(المنيو!$C$2:$C$500,MATCH($C13705,المنيو!$B$2:$B$500,0)),0))</f>
        <v/>
      </c>
      <c r="F13705" s="107" t="str">
        <f aca="false">IF($C13705="","",$D13705*$E13705)</f>
        <v/>
      </c>
      <c r="G13705" s="107" t="str">
        <f aca="false">IF($C13705="","",$D13705*IFERROR(INDEX('تحليل التكلفة والسعر'!$C$2:$C$700,MATCH($C13705,'تحليل التكلفة والسعر'!$B$2:$B$700,0)),0))</f>
        <v/>
      </c>
    </row>
    <row r="13706" customFormat="false" ht="15" hidden="false" customHeight="false" outlineLevel="0" collapsed="false">
      <c r="A13706" s="103"/>
      <c r="B13706" s="104"/>
      <c r="C13706" s="104"/>
      <c r="E13706" s="107" t="str">
        <f aca="false">IF($C13706="","",IFERROR(INDEX(المنيو!$C$2:$C$500,MATCH($C13706,المنيو!$B$2:$B$500,0)),0))</f>
        <v/>
      </c>
      <c r="F13706" s="107" t="str">
        <f aca="false">IF($C13706="","",$D13706*$E13706)</f>
        <v/>
      </c>
      <c r="G13706" s="107" t="str">
        <f aca="false">IF($C13706="","",$D13706*IFERROR(INDEX('تحليل التكلفة والسعر'!$C$2:$C$700,MATCH($C13706,'تحليل التكلفة والسعر'!$B$2:$B$700,0)),0))</f>
        <v/>
      </c>
    </row>
    <row r="13707" customFormat="false" ht="15" hidden="false" customHeight="false" outlineLevel="0" collapsed="false">
      <c r="A13707" s="103"/>
      <c r="B13707" s="104"/>
      <c r="C13707" s="104"/>
      <c r="E13707" s="107" t="str">
        <f aca="false">IF($C13707="","",IFERROR(INDEX(المنيو!$C$2:$C$500,MATCH($C13707,المنيو!$B$2:$B$500,0)),0))</f>
        <v/>
      </c>
      <c r="F13707" s="107" t="str">
        <f aca="false">IF($C13707="","",$D13707*$E13707)</f>
        <v/>
      </c>
      <c r="G13707" s="107" t="str">
        <f aca="false">IF($C13707="","",$D13707*IFERROR(INDEX('تحليل التكلفة والسعر'!$C$2:$C$700,MATCH($C13707,'تحليل التكلفة والسعر'!$B$2:$B$700,0)),0))</f>
        <v/>
      </c>
    </row>
    <row r="13708" customFormat="false" ht="15" hidden="false" customHeight="false" outlineLevel="0" collapsed="false">
      <c r="A13708" s="103"/>
      <c r="B13708" s="104"/>
      <c r="C13708" s="104"/>
      <c r="E13708" s="107" t="str">
        <f aca="false">IF($C13708="","",IFERROR(INDEX(المنيو!$C$2:$C$500,MATCH($C13708,المنيو!$B$2:$B$500,0)),0))</f>
        <v/>
      </c>
      <c r="F13708" s="107" t="str">
        <f aca="false">IF($C13708="","",$D13708*$E13708)</f>
        <v/>
      </c>
      <c r="G13708" s="107" t="str">
        <f aca="false">IF($C13708="","",$D13708*IFERROR(INDEX('تحليل التكلفة والسعر'!$C$2:$C$700,MATCH($C13708,'تحليل التكلفة والسعر'!$B$2:$B$700,0)),0))</f>
        <v/>
      </c>
    </row>
    <row r="13709" customFormat="false" ht="15" hidden="false" customHeight="false" outlineLevel="0" collapsed="false">
      <c r="A13709" s="103"/>
      <c r="B13709" s="104"/>
      <c r="C13709" s="104"/>
      <c r="E13709" s="107" t="str">
        <f aca="false">IF($C13709="","",IFERROR(INDEX(المنيو!$C$2:$C$500,MATCH($C13709,المنيو!$B$2:$B$500,0)),0))</f>
        <v/>
      </c>
      <c r="F13709" s="107" t="str">
        <f aca="false">IF($C13709="","",$D13709*$E13709)</f>
        <v/>
      </c>
      <c r="G13709" s="107" t="str">
        <f aca="false">IF($C13709="","",$D13709*IFERROR(INDEX('تحليل التكلفة والسعر'!$C$2:$C$700,MATCH($C13709,'تحليل التكلفة والسعر'!$B$2:$B$700,0)),0))</f>
        <v/>
      </c>
    </row>
    <row r="13710" customFormat="false" ht="15" hidden="false" customHeight="false" outlineLevel="0" collapsed="false">
      <c r="A13710" s="103"/>
      <c r="B13710" s="104"/>
      <c r="C13710" s="104"/>
      <c r="E13710" s="107" t="str">
        <f aca="false">IF($C13710="","",IFERROR(INDEX(المنيو!$C$2:$C$500,MATCH($C13710,المنيو!$B$2:$B$500,0)),0))</f>
        <v/>
      </c>
      <c r="F13710" s="107" t="str">
        <f aca="false">IF($C13710="","",$D13710*$E13710)</f>
        <v/>
      </c>
      <c r="G13710" s="107" t="str">
        <f aca="false">IF($C13710="","",$D13710*IFERROR(INDEX('تحليل التكلفة والسعر'!$C$2:$C$700,MATCH($C13710,'تحليل التكلفة والسعر'!$B$2:$B$700,0)),0))</f>
        <v/>
      </c>
    </row>
    <row r="13711" customFormat="false" ht="15" hidden="false" customHeight="false" outlineLevel="0" collapsed="false">
      <c r="A13711" s="103"/>
      <c r="B13711" s="104"/>
      <c r="C13711" s="104"/>
      <c r="E13711" s="107" t="str">
        <f aca="false">IF($C13711="","",IFERROR(INDEX(المنيو!$C$2:$C$500,MATCH($C13711,المنيو!$B$2:$B$500,0)),0))</f>
        <v/>
      </c>
      <c r="F13711" s="107" t="str">
        <f aca="false">IF($C13711="","",$D13711*$E13711)</f>
        <v/>
      </c>
      <c r="G13711" s="107" t="str">
        <f aca="false">IF($C13711="","",$D13711*IFERROR(INDEX('تحليل التكلفة والسعر'!$C$2:$C$700,MATCH($C13711,'تحليل التكلفة والسعر'!$B$2:$B$700,0)),0))</f>
        <v/>
      </c>
    </row>
    <row r="13712" customFormat="false" ht="15" hidden="false" customHeight="false" outlineLevel="0" collapsed="false">
      <c r="A13712" s="103"/>
      <c r="B13712" s="104"/>
      <c r="C13712" s="104"/>
      <c r="E13712" s="107" t="str">
        <f aca="false">IF($C13712="","",IFERROR(INDEX(المنيو!$C$2:$C$500,MATCH($C13712,المنيو!$B$2:$B$500,0)),0))</f>
        <v/>
      </c>
      <c r="F13712" s="107" t="str">
        <f aca="false">IF($C13712="","",$D13712*$E13712)</f>
        <v/>
      </c>
      <c r="G13712" s="107" t="str">
        <f aca="false">IF($C13712="","",$D13712*IFERROR(INDEX('تحليل التكلفة والسعر'!$C$2:$C$700,MATCH($C13712,'تحليل التكلفة والسعر'!$B$2:$B$700,0)),0))</f>
        <v/>
      </c>
    </row>
    <row r="13713" customFormat="false" ht="15" hidden="false" customHeight="false" outlineLevel="0" collapsed="false">
      <c r="A13713" s="103"/>
      <c r="B13713" s="104"/>
      <c r="C13713" s="104"/>
      <c r="E13713" s="107" t="str">
        <f aca="false">IF($C13713="","",IFERROR(INDEX(المنيو!$C$2:$C$500,MATCH($C13713,المنيو!$B$2:$B$500,0)),0))</f>
        <v/>
      </c>
      <c r="F13713" s="107" t="str">
        <f aca="false">IF($C13713="","",$D13713*$E13713)</f>
        <v/>
      </c>
      <c r="G13713" s="107" t="str">
        <f aca="false">IF($C13713="","",$D13713*IFERROR(INDEX('تحليل التكلفة والسعر'!$C$2:$C$700,MATCH($C13713,'تحليل التكلفة والسعر'!$B$2:$B$700,0)),0))</f>
        <v/>
      </c>
    </row>
    <row r="13714" customFormat="false" ht="15" hidden="false" customHeight="false" outlineLevel="0" collapsed="false">
      <c r="A13714" s="103"/>
      <c r="B13714" s="104"/>
      <c r="C13714" s="104"/>
      <c r="E13714" s="107" t="str">
        <f aca="false">IF($C13714="","",IFERROR(INDEX(المنيو!$C$2:$C$500,MATCH($C13714,المنيو!$B$2:$B$500,0)),0))</f>
        <v/>
      </c>
      <c r="F13714" s="107" t="str">
        <f aca="false">IF($C13714="","",$D13714*$E13714)</f>
        <v/>
      </c>
      <c r="G13714" s="107" t="str">
        <f aca="false">IF($C13714="","",$D13714*IFERROR(INDEX('تحليل التكلفة والسعر'!$C$2:$C$700,MATCH($C13714,'تحليل التكلفة والسعر'!$B$2:$B$700,0)),0))</f>
        <v/>
      </c>
    </row>
    <row r="13715" customFormat="false" ht="15" hidden="false" customHeight="false" outlineLevel="0" collapsed="false">
      <c r="A13715" s="103"/>
      <c r="B13715" s="104"/>
      <c r="C13715" s="104"/>
      <c r="E13715" s="107" t="str">
        <f aca="false">IF($C13715="","",IFERROR(INDEX(المنيو!$C$2:$C$500,MATCH($C13715,المنيو!$B$2:$B$500,0)),0))</f>
        <v/>
      </c>
      <c r="F13715" s="107" t="str">
        <f aca="false">IF($C13715="","",$D13715*$E13715)</f>
        <v/>
      </c>
      <c r="G13715" s="107" t="str">
        <f aca="false">IF($C13715="","",$D13715*IFERROR(INDEX('تحليل التكلفة والسعر'!$C$2:$C$700,MATCH($C13715,'تحليل التكلفة والسعر'!$B$2:$B$700,0)),0))</f>
        <v/>
      </c>
    </row>
    <row r="13716" customFormat="false" ht="15" hidden="false" customHeight="false" outlineLevel="0" collapsed="false">
      <c r="A13716" s="103"/>
      <c r="B13716" s="104"/>
      <c r="C13716" s="104"/>
      <c r="E13716" s="107" t="str">
        <f aca="false">IF($C13716="","",IFERROR(INDEX(المنيو!$C$2:$C$500,MATCH($C13716,المنيو!$B$2:$B$500,0)),0))</f>
        <v/>
      </c>
      <c r="F13716" s="107" t="str">
        <f aca="false">IF($C13716="","",$D13716*$E13716)</f>
        <v/>
      </c>
      <c r="G13716" s="107" t="str">
        <f aca="false">IF($C13716="","",$D13716*IFERROR(INDEX('تحليل التكلفة والسعر'!$C$2:$C$700,MATCH($C13716,'تحليل التكلفة والسعر'!$B$2:$B$700,0)),0))</f>
        <v/>
      </c>
    </row>
    <row r="13717" customFormat="false" ht="15" hidden="false" customHeight="false" outlineLevel="0" collapsed="false">
      <c r="A13717" s="103"/>
      <c r="B13717" s="104"/>
      <c r="C13717" s="104"/>
      <c r="E13717" s="107" t="str">
        <f aca="false">IF($C13717="","",IFERROR(INDEX(المنيو!$C$2:$C$500,MATCH($C13717,المنيو!$B$2:$B$500,0)),0))</f>
        <v/>
      </c>
      <c r="F13717" s="107" t="str">
        <f aca="false">IF($C13717="","",$D13717*$E13717)</f>
        <v/>
      </c>
      <c r="G13717" s="107" t="str">
        <f aca="false">IF($C13717="","",$D13717*IFERROR(INDEX('تحليل التكلفة والسعر'!$C$2:$C$700,MATCH($C13717,'تحليل التكلفة والسعر'!$B$2:$B$700,0)),0))</f>
        <v/>
      </c>
    </row>
    <row r="13718" customFormat="false" ht="15" hidden="false" customHeight="false" outlineLevel="0" collapsed="false">
      <c r="A13718" s="103"/>
      <c r="B13718" s="104"/>
      <c r="C13718" s="104"/>
      <c r="E13718" s="107" t="str">
        <f aca="false">IF($C13718="","",IFERROR(INDEX(المنيو!$C$2:$C$500,MATCH($C13718,المنيو!$B$2:$B$500,0)),0))</f>
        <v/>
      </c>
      <c r="F13718" s="107" t="str">
        <f aca="false">IF($C13718="","",$D13718*$E13718)</f>
        <v/>
      </c>
      <c r="G13718" s="107" t="str">
        <f aca="false">IF($C13718="","",$D13718*IFERROR(INDEX('تحليل التكلفة والسعر'!$C$2:$C$700,MATCH($C13718,'تحليل التكلفة والسعر'!$B$2:$B$700,0)),0))</f>
        <v/>
      </c>
    </row>
    <row r="13719" customFormat="false" ht="15" hidden="false" customHeight="false" outlineLevel="0" collapsed="false">
      <c r="A13719" s="103"/>
      <c r="B13719" s="104"/>
      <c r="C13719" s="104"/>
      <c r="E13719" s="107" t="str">
        <f aca="false">IF($C13719="","",IFERROR(INDEX(المنيو!$C$2:$C$500,MATCH($C13719,المنيو!$B$2:$B$500,0)),0))</f>
        <v/>
      </c>
      <c r="F13719" s="107" t="str">
        <f aca="false">IF($C13719="","",$D13719*$E13719)</f>
        <v/>
      </c>
      <c r="G13719" s="107" t="str">
        <f aca="false">IF($C13719="","",$D13719*IFERROR(INDEX('تحليل التكلفة والسعر'!$C$2:$C$700,MATCH($C13719,'تحليل التكلفة والسعر'!$B$2:$B$700,0)),0))</f>
        <v/>
      </c>
    </row>
    <row r="13720" customFormat="false" ht="15" hidden="false" customHeight="false" outlineLevel="0" collapsed="false">
      <c r="A13720" s="103"/>
      <c r="B13720" s="104"/>
      <c r="C13720" s="104"/>
      <c r="E13720" s="107" t="str">
        <f aca="false">IF($C13720="","",IFERROR(INDEX(المنيو!$C$2:$C$500,MATCH($C13720,المنيو!$B$2:$B$500,0)),0))</f>
        <v/>
      </c>
      <c r="F13720" s="107" t="str">
        <f aca="false">IF($C13720="","",$D13720*$E13720)</f>
        <v/>
      </c>
      <c r="G13720" s="107" t="str">
        <f aca="false">IF($C13720="","",$D13720*IFERROR(INDEX('تحليل التكلفة والسعر'!$C$2:$C$700,MATCH($C13720,'تحليل التكلفة والسعر'!$B$2:$B$700,0)),0))</f>
        <v/>
      </c>
    </row>
    <row r="13721" customFormat="false" ht="15" hidden="false" customHeight="false" outlineLevel="0" collapsed="false">
      <c r="A13721" s="103"/>
      <c r="B13721" s="104"/>
      <c r="C13721" s="104"/>
      <c r="E13721" s="107" t="str">
        <f aca="false">IF($C13721="","",IFERROR(INDEX(المنيو!$C$2:$C$500,MATCH($C13721,المنيو!$B$2:$B$500,0)),0))</f>
        <v/>
      </c>
      <c r="F13721" s="107" t="str">
        <f aca="false">IF($C13721="","",$D13721*$E13721)</f>
        <v/>
      </c>
      <c r="G13721" s="107" t="str">
        <f aca="false">IF($C13721="","",$D13721*IFERROR(INDEX('تحليل التكلفة والسعر'!$C$2:$C$700,MATCH($C13721,'تحليل التكلفة والسعر'!$B$2:$B$700,0)),0))</f>
        <v/>
      </c>
    </row>
    <row r="13722" customFormat="false" ht="15" hidden="false" customHeight="false" outlineLevel="0" collapsed="false">
      <c r="A13722" s="103"/>
      <c r="B13722" s="104"/>
      <c r="C13722" s="104"/>
      <c r="E13722" s="107" t="str">
        <f aca="false">IF($C13722="","",IFERROR(INDEX(المنيو!$C$2:$C$500,MATCH($C13722,المنيو!$B$2:$B$500,0)),0))</f>
        <v/>
      </c>
      <c r="F13722" s="107" t="str">
        <f aca="false">IF($C13722="","",$D13722*$E13722)</f>
        <v/>
      </c>
      <c r="G13722" s="107" t="str">
        <f aca="false">IF($C13722="","",$D13722*IFERROR(INDEX('تحليل التكلفة والسعر'!$C$2:$C$700,MATCH($C13722,'تحليل التكلفة والسعر'!$B$2:$B$700,0)),0))</f>
        <v/>
      </c>
    </row>
    <row r="13723" customFormat="false" ht="15" hidden="false" customHeight="false" outlineLevel="0" collapsed="false">
      <c r="A13723" s="103"/>
      <c r="B13723" s="104"/>
      <c r="C13723" s="104"/>
      <c r="E13723" s="107" t="str">
        <f aca="false">IF($C13723="","",IFERROR(INDEX(المنيو!$C$2:$C$500,MATCH($C13723,المنيو!$B$2:$B$500,0)),0))</f>
        <v/>
      </c>
      <c r="F13723" s="107" t="str">
        <f aca="false">IF($C13723="","",$D13723*$E13723)</f>
        <v/>
      </c>
      <c r="G13723" s="107" t="str">
        <f aca="false">IF($C13723="","",$D13723*IFERROR(INDEX('تحليل التكلفة والسعر'!$C$2:$C$700,MATCH($C13723,'تحليل التكلفة والسعر'!$B$2:$B$700,0)),0))</f>
        <v/>
      </c>
    </row>
    <row r="13724" customFormat="false" ht="15" hidden="false" customHeight="false" outlineLevel="0" collapsed="false">
      <c r="A13724" s="103"/>
      <c r="B13724" s="104"/>
      <c r="C13724" s="104"/>
      <c r="E13724" s="107" t="str">
        <f aca="false">IF($C13724="","",IFERROR(INDEX(المنيو!$C$2:$C$500,MATCH($C13724,المنيو!$B$2:$B$500,0)),0))</f>
        <v/>
      </c>
      <c r="F13724" s="107" t="str">
        <f aca="false">IF($C13724="","",$D13724*$E13724)</f>
        <v/>
      </c>
      <c r="G13724" s="107" t="str">
        <f aca="false">IF($C13724="","",$D13724*IFERROR(INDEX('تحليل التكلفة والسعر'!$C$2:$C$700,MATCH($C13724,'تحليل التكلفة والسعر'!$B$2:$B$700,0)),0))</f>
        <v/>
      </c>
    </row>
    <row r="13725" customFormat="false" ht="15" hidden="false" customHeight="false" outlineLevel="0" collapsed="false">
      <c r="A13725" s="103"/>
      <c r="B13725" s="104"/>
      <c r="C13725" s="104"/>
      <c r="E13725" s="107" t="str">
        <f aca="false">IF($C13725="","",IFERROR(INDEX(المنيو!$C$2:$C$500,MATCH($C13725,المنيو!$B$2:$B$500,0)),0))</f>
        <v/>
      </c>
      <c r="F13725" s="107" t="str">
        <f aca="false">IF($C13725="","",$D13725*$E13725)</f>
        <v/>
      </c>
      <c r="G13725" s="107" t="str">
        <f aca="false">IF($C13725="","",$D13725*IFERROR(INDEX('تحليل التكلفة والسعر'!$C$2:$C$700,MATCH($C13725,'تحليل التكلفة والسعر'!$B$2:$B$700,0)),0))</f>
        <v/>
      </c>
    </row>
    <row r="13726" customFormat="false" ht="15" hidden="false" customHeight="false" outlineLevel="0" collapsed="false">
      <c r="A13726" s="103"/>
      <c r="B13726" s="104"/>
      <c r="C13726" s="104"/>
      <c r="E13726" s="107" t="str">
        <f aca="false">IF($C13726="","",IFERROR(INDEX(المنيو!$C$2:$C$500,MATCH($C13726,المنيو!$B$2:$B$500,0)),0))</f>
        <v/>
      </c>
      <c r="F13726" s="107" t="str">
        <f aca="false">IF($C13726="","",$D13726*$E13726)</f>
        <v/>
      </c>
      <c r="G13726" s="107" t="str">
        <f aca="false">IF($C13726="","",$D13726*IFERROR(INDEX('تحليل التكلفة والسعر'!$C$2:$C$700,MATCH($C13726,'تحليل التكلفة والسعر'!$B$2:$B$700,0)),0))</f>
        <v/>
      </c>
    </row>
    <row r="13727" customFormat="false" ht="15" hidden="false" customHeight="false" outlineLevel="0" collapsed="false">
      <c r="A13727" s="103"/>
      <c r="B13727" s="104"/>
      <c r="C13727" s="104"/>
      <c r="E13727" s="107" t="str">
        <f aca="false">IF($C13727="","",IFERROR(INDEX(المنيو!$C$2:$C$500,MATCH($C13727,المنيو!$B$2:$B$500,0)),0))</f>
        <v/>
      </c>
      <c r="F13727" s="107" t="str">
        <f aca="false">IF($C13727="","",$D13727*$E13727)</f>
        <v/>
      </c>
      <c r="G13727" s="107" t="str">
        <f aca="false">IF($C13727="","",$D13727*IFERROR(INDEX('تحليل التكلفة والسعر'!$C$2:$C$700,MATCH($C13727,'تحليل التكلفة والسعر'!$B$2:$B$700,0)),0))</f>
        <v/>
      </c>
    </row>
    <row r="13728" customFormat="false" ht="15" hidden="false" customHeight="false" outlineLevel="0" collapsed="false">
      <c r="A13728" s="103"/>
      <c r="B13728" s="104"/>
      <c r="C13728" s="104"/>
      <c r="E13728" s="107" t="str">
        <f aca="false">IF($C13728="","",IFERROR(INDEX(المنيو!$C$2:$C$500,MATCH($C13728,المنيو!$B$2:$B$500,0)),0))</f>
        <v/>
      </c>
      <c r="F13728" s="107" t="str">
        <f aca="false">IF($C13728="","",$D13728*$E13728)</f>
        <v/>
      </c>
      <c r="G13728" s="107" t="str">
        <f aca="false">IF($C13728="","",$D13728*IFERROR(INDEX('تحليل التكلفة والسعر'!$C$2:$C$700,MATCH($C13728,'تحليل التكلفة والسعر'!$B$2:$B$700,0)),0))</f>
        <v/>
      </c>
    </row>
    <row r="13729" customFormat="false" ht="15" hidden="false" customHeight="false" outlineLevel="0" collapsed="false">
      <c r="A13729" s="103"/>
      <c r="B13729" s="104"/>
      <c r="C13729" s="104"/>
      <c r="E13729" s="107" t="str">
        <f aca="false">IF($C13729="","",IFERROR(INDEX(المنيو!$C$2:$C$500,MATCH($C13729,المنيو!$B$2:$B$500,0)),0))</f>
        <v/>
      </c>
      <c r="F13729" s="107" t="str">
        <f aca="false">IF($C13729="","",$D13729*$E13729)</f>
        <v/>
      </c>
      <c r="G13729" s="107" t="str">
        <f aca="false">IF($C13729="","",$D13729*IFERROR(INDEX('تحليل التكلفة والسعر'!$C$2:$C$700,MATCH($C13729,'تحليل التكلفة والسعر'!$B$2:$B$700,0)),0))</f>
        <v/>
      </c>
    </row>
    <row r="13730" customFormat="false" ht="15" hidden="false" customHeight="false" outlineLevel="0" collapsed="false">
      <c r="A13730" s="103"/>
      <c r="B13730" s="104"/>
      <c r="C13730" s="104"/>
      <c r="E13730" s="107" t="str">
        <f aca="false">IF($C13730="","",IFERROR(INDEX(المنيو!$C$2:$C$500,MATCH($C13730,المنيو!$B$2:$B$500,0)),0))</f>
        <v/>
      </c>
      <c r="F13730" s="107" t="str">
        <f aca="false">IF($C13730="","",$D13730*$E13730)</f>
        <v/>
      </c>
      <c r="G13730" s="107" t="str">
        <f aca="false">IF($C13730="","",$D13730*IFERROR(INDEX('تحليل التكلفة والسعر'!$C$2:$C$700,MATCH($C13730,'تحليل التكلفة والسعر'!$B$2:$B$700,0)),0))</f>
        <v/>
      </c>
    </row>
    <row r="13731" customFormat="false" ht="15" hidden="false" customHeight="false" outlineLevel="0" collapsed="false">
      <c r="A13731" s="103"/>
      <c r="B13731" s="104"/>
      <c r="C13731" s="104"/>
      <c r="E13731" s="107" t="str">
        <f aca="false">IF($C13731="","",IFERROR(INDEX(المنيو!$C$2:$C$500,MATCH($C13731,المنيو!$B$2:$B$500,0)),0))</f>
        <v/>
      </c>
      <c r="F13731" s="107" t="str">
        <f aca="false">IF($C13731="","",$D13731*$E13731)</f>
        <v/>
      </c>
      <c r="G13731" s="107" t="str">
        <f aca="false">IF($C13731="","",$D13731*IFERROR(INDEX('تحليل التكلفة والسعر'!$C$2:$C$700,MATCH($C13731,'تحليل التكلفة والسعر'!$B$2:$B$700,0)),0))</f>
        <v/>
      </c>
    </row>
    <row r="13732" customFormat="false" ht="15" hidden="false" customHeight="false" outlineLevel="0" collapsed="false">
      <c r="A13732" s="103"/>
      <c r="B13732" s="104"/>
      <c r="C13732" s="104"/>
      <c r="E13732" s="107" t="str">
        <f aca="false">IF($C13732="","",IFERROR(INDEX(المنيو!$C$2:$C$500,MATCH($C13732,المنيو!$B$2:$B$500,0)),0))</f>
        <v/>
      </c>
      <c r="F13732" s="107" t="str">
        <f aca="false">IF($C13732="","",$D13732*$E13732)</f>
        <v/>
      </c>
      <c r="G13732" s="107" t="str">
        <f aca="false">IF($C13732="","",$D13732*IFERROR(INDEX('تحليل التكلفة والسعر'!$C$2:$C$700,MATCH($C13732,'تحليل التكلفة والسعر'!$B$2:$B$700,0)),0))</f>
        <v/>
      </c>
    </row>
    <row r="13733" customFormat="false" ht="15" hidden="false" customHeight="false" outlineLevel="0" collapsed="false">
      <c r="A13733" s="103"/>
      <c r="B13733" s="104"/>
      <c r="C13733" s="104"/>
      <c r="E13733" s="107" t="str">
        <f aca="false">IF($C13733="","",IFERROR(INDEX(المنيو!$C$2:$C$500,MATCH($C13733,المنيو!$B$2:$B$500,0)),0))</f>
        <v/>
      </c>
      <c r="F13733" s="107" t="str">
        <f aca="false">IF($C13733="","",$D13733*$E13733)</f>
        <v/>
      </c>
      <c r="G13733" s="107" t="str">
        <f aca="false">IF($C13733="","",$D13733*IFERROR(INDEX('تحليل التكلفة والسعر'!$C$2:$C$700,MATCH($C13733,'تحليل التكلفة والسعر'!$B$2:$B$700,0)),0))</f>
        <v/>
      </c>
    </row>
    <row r="13734" customFormat="false" ht="15" hidden="false" customHeight="false" outlineLevel="0" collapsed="false">
      <c r="A13734" s="103"/>
      <c r="B13734" s="104"/>
      <c r="C13734" s="104"/>
      <c r="E13734" s="107" t="str">
        <f aca="false">IF($C13734="","",IFERROR(INDEX(المنيو!$C$2:$C$500,MATCH($C13734,المنيو!$B$2:$B$500,0)),0))</f>
        <v/>
      </c>
      <c r="F13734" s="107" t="str">
        <f aca="false">IF($C13734="","",$D13734*$E13734)</f>
        <v/>
      </c>
      <c r="G13734" s="107" t="str">
        <f aca="false">IF($C13734="","",$D13734*IFERROR(INDEX('تحليل التكلفة والسعر'!$C$2:$C$700,MATCH($C13734,'تحليل التكلفة والسعر'!$B$2:$B$700,0)),0))</f>
        <v/>
      </c>
    </row>
    <row r="13735" customFormat="false" ht="15" hidden="false" customHeight="false" outlineLevel="0" collapsed="false">
      <c r="A13735" s="103"/>
      <c r="B13735" s="104"/>
      <c r="C13735" s="104"/>
      <c r="E13735" s="107" t="str">
        <f aca="false">IF($C13735="","",IFERROR(INDEX(المنيو!$C$2:$C$500,MATCH($C13735,المنيو!$B$2:$B$500,0)),0))</f>
        <v/>
      </c>
      <c r="F13735" s="107" t="str">
        <f aca="false">IF($C13735="","",$D13735*$E13735)</f>
        <v/>
      </c>
      <c r="G13735" s="107" t="str">
        <f aca="false">IF($C13735="","",$D13735*IFERROR(INDEX('تحليل التكلفة والسعر'!$C$2:$C$700,MATCH($C13735,'تحليل التكلفة والسعر'!$B$2:$B$700,0)),0))</f>
        <v/>
      </c>
    </row>
    <row r="13736" customFormat="false" ht="15" hidden="false" customHeight="false" outlineLevel="0" collapsed="false">
      <c r="A13736" s="103"/>
      <c r="B13736" s="104"/>
      <c r="C13736" s="104"/>
      <c r="E13736" s="107" t="str">
        <f aca="false">IF($C13736="","",IFERROR(INDEX(المنيو!$C$2:$C$500,MATCH($C13736,المنيو!$B$2:$B$500,0)),0))</f>
        <v/>
      </c>
      <c r="F13736" s="107" t="str">
        <f aca="false">IF($C13736="","",$D13736*$E13736)</f>
        <v/>
      </c>
      <c r="G13736" s="107" t="str">
        <f aca="false">IF($C13736="","",$D13736*IFERROR(INDEX('تحليل التكلفة والسعر'!$C$2:$C$700,MATCH($C13736,'تحليل التكلفة والسعر'!$B$2:$B$700,0)),0))</f>
        <v/>
      </c>
    </row>
    <row r="13737" customFormat="false" ht="15" hidden="false" customHeight="false" outlineLevel="0" collapsed="false">
      <c r="A13737" s="103"/>
      <c r="B13737" s="104"/>
      <c r="C13737" s="104"/>
      <c r="E13737" s="107" t="str">
        <f aca="false">IF($C13737="","",IFERROR(INDEX(المنيو!$C$2:$C$500,MATCH($C13737,المنيو!$B$2:$B$500,0)),0))</f>
        <v/>
      </c>
      <c r="F13737" s="107" t="str">
        <f aca="false">IF($C13737="","",$D13737*$E13737)</f>
        <v/>
      </c>
      <c r="G13737" s="107" t="str">
        <f aca="false">IF($C13737="","",$D13737*IFERROR(INDEX('تحليل التكلفة والسعر'!$C$2:$C$700,MATCH($C13737,'تحليل التكلفة والسعر'!$B$2:$B$700,0)),0))</f>
        <v/>
      </c>
    </row>
    <row r="13738" customFormat="false" ht="15" hidden="false" customHeight="false" outlineLevel="0" collapsed="false">
      <c r="A13738" s="103"/>
      <c r="B13738" s="104"/>
      <c r="C13738" s="104"/>
      <c r="E13738" s="107" t="str">
        <f aca="false">IF($C13738="","",IFERROR(INDEX(المنيو!$C$2:$C$500,MATCH($C13738,المنيو!$B$2:$B$500,0)),0))</f>
        <v/>
      </c>
      <c r="F13738" s="107" t="str">
        <f aca="false">IF($C13738="","",$D13738*$E13738)</f>
        <v/>
      </c>
      <c r="G13738" s="107" t="str">
        <f aca="false">IF($C13738="","",$D13738*IFERROR(INDEX('تحليل التكلفة والسعر'!$C$2:$C$700,MATCH($C13738,'تحليل التكلفة والسعر'!$B$2:$B$700,0)),0))</f>
        <v/>
      </c>
    </row>
    <row r="13739" customFormat="false" ht="15" hidden="false" customHeight="false" outlineLevel="0" collapsed="false">
      <c r="A13739" s="103"/>
      <c r="B13739" s="104"/>
      <c r="C13739" s="104"/>
      <c r="E13739" s="107" t="str">
        <f aca="false">IF($C13739="","",IFERROR(INDEX(المنيو!$C$2:$C$500,MATCH($C13739,المنيو!$B$2:$B$500,0)),0))</f>
        <v/>
      </c>
      <c r="F13739" s="107" t="str">
        <f aca="false">IF($C13739="","",$D13739*$E13739)</f>
        <v/>
      </c>
      <c r="G13739" s="107" t="str">
        <f aca="false">IF($C13739="","",$D13739*IFERROR(INDEX('تحليل التكلفة والسعر'!$C$2:$C$700,MATCH($C13739,'تحليل التكلفة والسعر'!$B$2:$B$700,0)),0))</f>
        <v/>
      </c>
    </row>
    <row r="13740" customFormat="false" ht="15" hidden="false" customHeight="false" outlineLevel="0" collapsed="false">
      <c r="A13740" s="103"/>
      <c r="B13740" s="104"/>
      <c r="C13740" s="104"/>
      <c r="E13740" s="107" t="str">
        <f aca="false">IF($C13740="","",IFERROR(INDEX(المنيو!$C$2:$C$500,MATCH($C13740,المنيو!$B$2:$B$500,0)),0))</f>
        <v/>
      </c>
      <c r="F13740" s="107" t="str">
        <f aca="false">IF($C13740="","",$D13740*$E13740)</f>
        <v/>
      </c>
      <c r="G13740" s="107" t="str">
        <f aca="false">IF($C13740="","",$D13740*IFERROR(INDEX('تحليل التكلفة والسعر'!$C$2:$C$700,MATCH($C13740,'تحليل التكلفة والسعر'!$B$2:$B$700,0)),0))</f>
        <v/>
      </c>
    </row>
    <row r="13741" customFormat="false" ht="15" hidden="false" customHeight="false" outlineLevel="0" collapsed="false">
      <c r="A13741" s="103"/>
      <c r="B13741" s="104"/>
      <c r="C13741" s="104"/>
      <c r="E13741" s="107" t="str">
        <f aca="false">IF($C13741="","",IFERROR(INDEX(المنيو!$C$2:$C$500,MATCH($C13741,المنيو!$B$2:$B$500,0)),0))</f>
        <v/>
      </c>
      <c r="F13741" s="107" t="str">
        <f aca="false">IF($C13741="","",$D13741*$E13741)</f>
        <v/>
      </c>
      <c r="G13741" s="107" t="str">
        <f aca="false">IF($C13741="","",$D13741*IFERROR(INDEX('تحليل التكلفة والسعر'!$C$2:$C$700,MATCH($C13741,'تحليل التكلفة والسعر'!$B$2:$B$700,0)),0))</f>
        <v/>
      </c>
    </row>
    <row r="13742" customFormat="false" ht="15" hidden="false" customHeight="false" outlineLevel="0" collapsed="false">
      <c r="A13742" s="103"/>
      <c r="B13742" s="104"/>
      <c r="C13742" s="104"/>
      <c r="E13742" s="107" t="str">
        <f aca="false">IF($C13742="","",IFERROR(INDEX(المنيو!$C$2:$C$500,MATCH($C13742,المنيو!$B$2:$B$500,0)),0))</f>
        <v/>
      </c>
      <c r="F13742" s="107" t="str">
        <f aca="false">IF($C13742="","",$D13742*$E13742)</f>
        <v/>
      </c>
      <c r="G13742" s="107" t="str">
        <f aca="false">IF($C13742="","",$D13742*IFERROR(INDEX('تحليل التكلفة والسعر'!$C$2:$C$700,MATCH($C13742,'تحليل التكلفة والسعر'!$B$2:$B$700,0)),0))</f>
        <v/>
      </c>
    </row>
    <row r="13743" customFormat="false" ht="15" hidden="false" customHeight="false" outlineLevel="0" collapsed="false">
      <c r="A13743" s="103"/>
      <c r="B13743" s="104"/>
      <c r="C13743" s="104"/>
      <c r="E13743" s="107" t="str">
        <f aca="false">IF($C13743="","",IFERROR(INDEX(المنيو!$C$2:$C$500,MATCH($C13743,المنيو!$B$2:$B$500,0)),0))</f>
        <v/>
      </c>
      <c r="F13743" s="107" t="str">
        <f aca="false">IF($C13743="","",$D13743*$E13743)</f>
        <v/>
      </c>
      <c r="G13743" s="107" t="str">
        <f aca="false">IF($C13743="","",$D13743*IFERROR(INDEX('تحليل التكلفة والسعر'!$C$2:$C$700,MATCH($C13743,'تحليل التكلفة والسعر'!$B$2:$B$700,0)),0))</f>
        <v/>
      </c>
    </row>
    <row r="13744" customFormat="false" ht="15" hidden="false" customHeight="false" outlineLevel="0" collapsed="false">
      <c r="A13744" s="103"/>
      <c r="B13744" s="104"/>
      <c r="C13744" s="104"/>
      <c r="E13744" s="107" t="str">
        <f aca="false">IF($C13744="","",IFERROR(INDEX(المنيو!$C$2:$C$500,MATCH($C13744,المنيو!$B$2:$B$500,0)),0))</f>
        <v/>
      </c>
      <c r="F13744" s="107" t="str">
        <f aca="false">IF($C13744="","",$D13744*$E13744)</f>
        <v/>
      </c>
      <c r="G13744" s="107" t="str">
        <f aca="false">IF($C13744="","",$D13744*IFERROR(INDEX('تحليل التكلفة والسعر'!$C$2:$C$700,MATCH($C13744,'تحليل التكلفة والسعر'!$B$2:$B$700,0)),0))</f>
        <v/>
      </c>
    </row>
    <row r="13745" customFormat="false" ht="15" hidden="false" customHeight="false" outlineLevel="0" collapsed="false">
      <c r="A13745" s="103"/>
      <c r="B13745" s="104"/>
      <c r="C13745" s="104"/>
      <c r="E13745" s="107" t="str">
        <f aca="false">IF($C13745="","",IFERROR(INDEX(المنيو!$C$2:$C$500,MATCH($C13745,المنيو!$B$2:$B$500,0)),0))</f>
        <v/>
      </c>
      <c r="F13745" s="107" t="str">
        <f aca="false">IF($C13745="","",$D13745*$E13745)</f>
        <v/>
      </c>
      <c r="G13745" s="107" t="str">
        <f aca="false">IF($C13745="","",$D13745*IFERROR(INDEX('تحليل التكلفة والسعر'!$C$2:$C$700,MATCH($C13745,'تحليل التكلفة والسعر'!$B$2:$B$700,0)),0))</f>
        <v/>
      </c>
    </row>
    <row r="13746" customFormat="false" ht="15" hidden="false" customHeight="false" outlineLevel="0" collapsed="false">
      <c r="A13746" s="103"/>
      <c r="B13746" s="104"/>
      <c r="C13746" s="104"/>
      <c r="E13746" s="107" t="str">
        <f aca="false">IF($C13746="","",IFERROR(INDEX(المنيو!$C$2:$C$500,MATCH($C13746,المنيو!$B$2:$B$500,0)),0))</f>
        <v/>
      </c>
      <c r="F13746" s="107" t="str">
        <f aca="false">IF($C13746="","",$D13746*$E13746)</f>
        <v/>
      </c>
      <c r="G13746" s="107" t="str">
        <f aca="false">IF($C13746="","",$D13746*IFERROR(INDEX('تحليل التكلفة والسعر'!$C$2:$C$700,MATCH($C13746,'تحليل التكلفة والسعر'!$B$2:$B$700,0)),0))</f>
        <v/>
      </c>
    </row>
    <row r="13747" customFormat="false" ht="15" hidden="false" customHeight="false" outlineLevel="0" collapsed="false">
      <c r="A13747" s="103"/>
      <c r="B13747" s="104"/>
      <c r="C13747" s="104"/>
      <c r="E13747" s="107" t="str">
        <f aca="false">IF($C13747="","",IFERROR(INDEX(المنيو!$C$2:$C$500,MATCH($C13747,المنيو!$B$2:$B$500,0)),0))</f>
        <v/>
      </c>
      <c r="F13747" s="107" t="str">
        <f aca="false">IF($C13747="","",$D13747*$E13747)</f>
        <v/>
      </c>
      <c r="G13747" s="107" t="str">
        <f aca="false">IF($C13747="","",$D13747*IFERROR(INDEX('تحليل التكلفة والسعر'!$C$2:$C$700,MATCH($C13747,'تحليل التكلفة والسعر'!$B$2:$B$700,0)),0))</f>
        <v/>
      </c>
    </row>
    <row r="13748" customFormat="false" ht="15" hidden="false" customHeight="false" outlineLevel="0" collapsed="false">
      <c r="A13748" s="103"/>
      <c r="B13748" s="104"/>
      <c r="C13748" s="104"/>
      <c r="E13748" s="107" t="str">
        <f aca="false">IF($C13748="","",IFERROR(INDEX(المنيو!$C$2:$C$500,MATCH($C13748,المنيو!$B$2:$B$500,0)),0))</f>
        <v/>
      </c>
      <c r="F13748" s="107" t="str">
        <f aca="false">IF($C13748="","",$D13748*$E13748)</f>
        <v/>
      </c>
      <c r="G13748" s="107" t="str">
        <f aca="false">IF($C13748="","",$D13748*IFERROR(INDEX('تحليل التكلفة والسعر'!$C$2:$C$700,MATCH($C13748,'تحليل التكلفة والسعر'!$B$2:$B$700,0)),0))</f>
        <v/>
      </c>
    </row>
    <row r="13749" customFormat="false" ht="15" hidden="false" customHeight="false" outlineLevel="0" collapsed="false">
      <c r="A13749" s="103"/>
      <c r="B13749" s="104"/>
      <c r="C13749" s="104"/>
      <c r="E13749" s="107" t="str">
        <f aca="false">IF($C13749="","",IFERROR(INDEX(المنيو!$C$2:$C$500,MATCH($C13749,المنيو!$B$2:$B$500,0)),0))</f>
        <v/>
      </c>
      <c r="F13749" s="107" t="str">
        <f aca="false">IF($C13749="","",$D13749*$E13749)</f>
        <v/>
      </c>
      <c r="G13749" s="107" t="str">
        <f aca="false">IF($C13749="","",$D13749*IFERROR(INDEX('تحليل التكلفة والسعر'!$C$2:$C$700,MATCH($C13749,'تحليل التكلفة والسعر'!$B$2:$B$700,0)),0))</f>
        <v/>
      </c>
    </row>
    <row r="13750" customFormat="false" ht="15" hidden="false" customHeight="false" outlineLevel="0" collapsed="false">
      <c r="A13750" s="103"/>
      <c r="B13750" s="104"/>
      <c r="C13750" s="104"/>
      <c r="E13750" s="107" t="str">
        <f aca="false">IF($C13750="","",IFERROR(INDEX(المنيو!$C$2:$C$500,MATCH($C13750,المنيو!$B$2:$B$500,0)),0))</f>
        <v/>
      </c>
      <c r="F13750" s="107" t="str">
        <f aca="false">IF($C13750="","",$D13750*$E13750)</f>
        <v/>
      </c>
      <c r="G13750" s="107" t="str">
        <f aca="false">IF($C13750="","",$D13750*IFERROR(INDEX('تحليل التكلفة والسعر'!$C$2:$C$700,MATCH($C13750,'تحليل التكلفة والسعر'!$B$2:$B$700,0)),0))</f>
        <v/>
      </c>
    </row>
    <row r="13751" customFormat="false" ht="15" hidden="false" customHeight="false" outlineLevel="0" collapsed="false">
      <c r="A13751" s="103"/>
      <c r="B13751" s="104"/>
      <c r="C13751" s="104"/>
      <c r="E13751" s="107" t="str">
        <f aca="false">IF($C13751="","",IFERROR(INDEX(المنيو!$C$2:$C$500,MATCH($C13751,المنيو!$B$2:$B$500,0)),0))</f>
        <v/>
      </c>
      <c r="F13751" s="107" t="str">
        <f aca="false">IF($C13751="","",$D13751*$E13751)</f>
        <v/>
      </c>
      <c r="G13751" s="107" t="str">
        <f aca="false">IF($C13751="","",$D13751*IFERROR(INDEX('تحليل التكلفة والسعر'!$C$2:$C$700,MATCH($C13751,'تحليل التكلفة والسعر'!$B$2:$B$700,0)),0))</f>
        <v/>
      </c>
    </row>
    <row r="13752" customFormat="false" ht="15" hidden="false" customHeight="false" outlineLevel="0" collapsed="false">
      <c r="A13752" s="103"/>
      <c r="B13752" s="104"/>
      <c r="C13752" s="104"/>
      <c r="E13752" s="107" t="str">
        <f aca="false">IF($C13752="","",IFERROR(INDEX(المنيو!$C$2:$C$500,MATCH($C13752,المنيو!$B$2:$B$500,0)),0))</f>
        <v/>
      </c>
      <c r="F13752" s="107" t="str">
        <f aca="false">IF($C13752="","",$D13752*$E13752)</f>
        <v/>
      </c>
      <c r="G13752" s="107" t="str">
        <f aca="false">IF($C13752="","",$D13752*IFERROR(INDEX('تحليل التكلفة والسعر'!$C$2:$C$700,MATCH($C13752,'تحليل التكلفة والسعر'!$B$2:$B$700,0)),0))</f>
        <v/>
      </c>
    </row>
    <row r="13753" customFormat="false" ht="15" hidden="false" customHeight="false" outlineLevel="0" collapsed="false">
      <c r="A13753" s="103"/>
      <c r="B13753" s="104"/>
      <c r="C13753" s="104"/>
      <c r="E13753" s="107" t="str">
        <f aca="false">IF($C13753="","",IFERROR(INDEX(المنيو!$C$2:$C$500,MATCH($C13753,المنيو!$B$2:$B$500,0)),0))</f>
        <v/>
      </c>
      <c r="F13753" s="107" t="str">
        <f aca="false">IF($C13753="","",$D13753*$E13753)</f>
        <v/>
      </c>
      <c r="G13753" s="107" t="str">
        <f aca="false">IF($C13753="","",$D13753*IFERROR(INDEX('تحليل التكلفة والسعر'!$C$2:$C$700,MATCH($C13753,'تحليل التكلفة والسعر'!$B$2:$B$700,0)),0))</f>
        <v/>
      </c>
    </row>
    <row r="13754" customFormat="false" ht="15" hidden="false" customHeight="false" outlineLevel="0" collapsed="false">
      <c r="A13754" s="103"/>
      <c r="B13754" s="104"/>
      <c r="C13754" s="104"/>
      <c r="E13754" s="107" t="str">
        <f aca="false">IF($C13754="","",IFERROR(INDEX(المنيو!$C$2:$C$500,MATCH($C13754,المنيو!$B$2:$B$500,0)),0))</f>
        <v/>
      </c>
      <c r="F13754" s="107" t="str">
        <f aca="false">IF($C13754="","",$D13754*$E13754)</f>
        <v/>
      </c>
      <c r="G13754" s="107" t="str">
        <f aca="false">IF($C13754="","",$D13754*IFERROR(INDEX('تحليل التكلفة والسعر'!$C$2:$C$700,MATCH($C13754,'تحليل التكلفة والسعر'!$B$2:$B$700,0)),0))</f>
        <v/>
      </c>
    </row>
    <row r="13755" customFormat="false" ht="15" hidden="false" customHeight="false" outlineLevel="0" collapsed="false">
      <c r="A13755" s="103"/>
      <c r="B13755" s="104"/>
      <c r="C13755" s="104"/>
      <c r="E13755" s="107" t="str">
        <f aca="false">IF($C13755="","",IFERROR(INDEX(المنيو!$C$2:$C$500,MATCH($C13755,المنيو!$B$2:$B$500,0)),0))</f>
        <v/>
      </c>
      <c r="F13755" s="107" t="str">
        <f aca="false">IF($C13755="","",$D13755*$E13755)</f>
        <v/>
      </c>
      <c r="G13755" s="107" t="str">
        <f aca="false">IF($C13755="","",$D13755*IFERROR(INDEX('تحليل التكلفة والسعر'!$C$2:$C$700,MATCH($C13755,'تحليل التكلفة والسعر'!$B$2:$B$700,0)),0))</f>
        <v/>
      </c>
    </row>
    <row r="13756" customFormat="false" ht="15" hidden="false" customHeight="false" outlineLevel="0" collapsed="false">
      <c r="A13756" s="103"/>
      <c r="B13756" s="104"/>
      <c r="C13756" s="104"/>
      <c r="E13756" s="107" t="str">
        <f aca="false">IF($C13756="","",IFERROR(INDEX(المنيو!$C$2:$C$500,MATCH($C13756,المنيو!$B$2:$B$500,0)),0))</f>
        <v/>
      </c>
      <c r="F13756" s="107" t="str">
        <f aca="false">IF($C13756="","",$D13756*$E13756)</f>
        <v/>
      </c>
      <c r="G13756" s="107" t="str">
        <f aca="false">IF($C13756="","",$D13756*IFERROR(INDEX('تحليل التكلفة والسعر'!$C$2:$C$700,MATCH($C13756,'تحليل التكلفة والسعر'!$B$2:$B$700,0)),0))</f>
        <v/>
      </c>
    </row>
    <row r="13757" customFormat="false" ht="15" hidden="false" customHeight="false" outlineLevel="0" collapsed="false">
      <c r="A13757" s="103"/>
      <c r="B13757" s="104"/>
      <c r="C13757" s="104"/>
      <c r="E13757" s="107" t="str">
        <f aca="false">IF($C13757="","",IFERROR(INDEX(المنيو!$C$2:$C$500,MATCH($C13757,المنيو!$B$2:$B$500,0)),0))</f>
        <v/>
      </c>
      <c r="F13757" s="107" t="str">
        <f aca="false">IF($C13757="","",$D13757*$E13757)</f>
        <v/>
      </c>
      <c r="G13757" s="107" t="str">
        <f aca="false">IF($C13757="","",$D13757*IFERROR(INDEX('تحليل التكلفة والسعر'!$C$2:$C$700,MATCH($C13757,'تحليل التكلفة والسعر'!$B$2:$B$700,0)),0))</f>
        <v/>
      </c>
    </row>
    <row r="13758" customFormat="false" ht="15" hidden="false" customHeight="false" outlineLevel="0" collapsed="false">
      <c r="A13758" s="103"/>
      <c r="B13758" s="104"/>
      <c r="C13758" s="104"/>
      <c r="E13758" s="107" t="str">
        <f aca="false">IF($C13758="","",IFERROR(INDEX(المنيو!$C$2:$C$500,MATCH($C13758,المنيو!$B$2:$B$500,0)),0))</f>
        <v/>
      </c>
      <c r="F13758" s="107" t="str">
        <f aca="false">IF($C13758="","",$D13758*$E13758)</f>
        <v/>
      </c>
      <c r="G13758" s="107" t="str">
        <f aca="false">IF($C13758="","",$D13758*IFERROR(INDEX('تحليل التكلفة والسعر'!$C$2:$C$700,MATCH($C13758,'تحليل التكلفة والسعر'!$B$2:$B$700,0)),0))</f>
        <v/>
      </c>
    </row>
    <row r="13759" customFormat="false" ht="15" hidden="false" customHeight="false" outlineLevel="0" collapsed="false">
      <c r="A13759" s="103"/>
      <c r="B13759" s="104"/>
      <c r="C13759" s="104"/>
      <c r="E13759" s="107" t="str">
        <f aca="false">IF($C13759="","",IFERROR(INDEX(المنيو!$C$2:$C$500,MATCH($C13759,المنيو!$B$2:$B$500,0)),0))</f>
        <v/>
      </c>
      <c r="F13759" s="107" t="str">
        <f aca="false">IF($C13759="","",$D13759*$E13759)</f>
        <v/>
      </c>
      <c r="G13759" s="107" t="str">
        <f aca="false">IF($C13759="","",$D13759*IFERROR(INDEX('تحليل التكلفة والسعر'!$C$2:$C$700,MATCH($C13759,'تحليل التكلفة والسعر'!$B$2:$B$700,0)),0))</f>
        <v/>
      </c>
    </row>
    <row r="13760" customFormat="false" ht="15" hidden="false" customHeight="false" outlineLevel="0" collapsed="false">
      <c r="A13760" s="103"/>
      <c r="B13760" s="104"/>
      <c r="C13760" s="104"/>
      <c r="E13760" s="107" t="str">
        <f aca="false">IF($C13760="","",IFERROR(INDEX(المنيو!$C$2:$C$500,MATCH($C13760,المنيو!$B$2:$B$500,0)),0))</f>
        <v/>
      </c>
      <c r="F13760" s="107" t="str">
        <f aca="false">IF($C13760="","",$D13760*$E13760)</f>
        <v/>
      </c>
      <c r="G13760" s="107" t="str">
        <f aca="false">IF($C13760="","",$D13760*IFERROR(INDEX('تحليل التكلفة والسعر'!$C$2:$C$700,MATCH($C13760,'تحليل التكلفة والسعر'!$B$2:$B$700,0)),0))</f>
        <v/>
      </c>
    </row>
    <row r="13761" customFormat="false" ht="15" hidden="false" customHeight="false" outlineLevel="0" collapsed="false">
      <c r="A13761" s="103"/>
      <c r="B13761" s="104"/>
      <c r="C13761" s="104"/>
      <c r="E13761" s="107" t="str">
        <f aca="false">IF($C13761="","",IFERROR(INDEX(المنيو!$C$2:$C$500,MATCH($C13761,المنيو!$B$2:$B$500,0)),0))</f>
        <v/>
      </c>
      <c r="F13761" s="107" t="str">
        <f aca="false">IF($C13761="","",$D13761*$E13761)</f>
        <v/>
      </c>
      <c r="G13761" s="107" t="str">
        <f aca="false">IF($C13761="","",$D13761*IFERROR(INDEX('تحليل التكلفة والسعر'!$C$2:$C$700,MATCH($C13761,'تحليل التكلفة والسعر'!$B$2:$B$700,0)),0))</f>
        <v/>
      </c>
    </row>
    <row r="13762" customFormat="false" ht="15" hidden="false" customHeight="false" outlineLevel="0" collapsed="false">
      <c r="A13762" s="103"/>
      <c r="B13762" s="104"/>
      <c r="C13762" s="104"/>
      <c r="E13762" s="107" t="str">
        <f aca="false">IF($C13762="","",IFERROR(INDEX(المنيو!$C$2:$C$500,MATCH($C13762,المنيو!$B$2:$B$500,0)),0))</f>
        <v/>
      </c>
      <c r="F13762" s="107" t="str">
        <f aca="false">IF($C13762="","",$D13762*$E13762)</f>
        <v/>
      </c>
      <c r="G13762" s="107" t="str">
        <f aca="false">IF($C13762="","",$D13762*IFERROR(INDEX('تحليل التكلفة والسعر'!$C$2:$C$700,MATCH($C13762,'تحليل التكلفة والسعر'!$B$2:$B$700,0)),0))</f>
        <v/>
      </c>
    </row>
    <row r="13763" customFormat="false" ht="15" hidden="false" customHeight="false" outlineLevel="0" collapsed="false">
      <c r="A13763" s="103"/>
      <c r="B13763" s="104"/>
      <c r="C13763" s="104"/>
      <c r="E13763" s="107" t="str">
        <f aca="false">IF($C13763="","",IFERROR(INDEX(المنيو!$C$2:$C$500,MATCH($C13763,المنيو!$B$2:$B$500,0)),0))</f>
        <v/>
      </c>
      <c r="F13763" s="107" t="str">
        <f aca="false">IF($C13763="","",$D13763*$E13763)</f>
        <v/>
      </c>
      <c r="G13763" s="107" t="str">
        <f aca="false">IF($C13763="","",$D13763*IFERROR(INDEX('تحليل التكلفة والسعر'!$C$2:$C$700,MATCH($C13763,'تحليل التكلفة والسعر'!$B$2:$B$700,0)),0))</f>
        <v/>
      </c>
    </row>
    <row r="13764" customFormat="false" ht="15" hidden="false" customHeight="false" outlineLevel="0" collapsed="false">
      <c r="A13764" s="103"/>
      <c r="B13764" s="104"/>
      <c r="C13764" s="104"/>
      <c r="E13764" s="107" t="str">
        <f aca="false">IF($C13764="","",IFERROR(INDEX(المنيو!$C$2:$C$500,MATCH($C13764,المنيو!$B$2:$B$500,0)),0))</f>
        <v/>
      </c>
      <c r="F13764" s="107" t="str">
        <f aca="false">IF($C13764="","",$D13764*$E13764)</f>
        <v/>
      </c>
      <c r="G13764" s="107" t="str">
        <f aca="false">IF($C13764="","",$D13764*IFERROR(INDEX('تحليل التكلفة والسعر'!$C$2:$C$700,MATCH($C13764,'تحليل التكلفة والسعر'!$B$2:$B$700,0)),0))</f>
        <v/>
      </c>
    </row>
    <row r="13765" customFormat="false" ht="15" hidden="false" customHeight="false" outlineLevel="0" collapsed="false">
      <c r="A13765" s="103"/>
      <c r="B13765" s="104"/>
      <c r="C13765" s="104"/>
      <c r="E13765" s="107" t="str">
        <f aca="false">IF($C13765="","",IFERROR(INDEX(المنيو!$C$2:$C$500,MATCH($C13765,المنيو!$B$2:$B$500,0)),0))</f>
        <v/>
      </c>
      <c r="F13765" s="107" t="str">
        <f aca="false">IF($C13765="","",$D13765*$E13765)</f>
        <v/>
      </c>
      <c r="G13765" s="107" t="str">
        <f aca="false">IF($C13765="","",$D13765*IFERROR(INDEX('تحليل التكلفة والسعر'!$C$2:$C$700,MATCH($C13765,'تحليل التكلفة والسعر'!$B$2:$B$700,0)),0))</f>
        <v/>
      </c>
    </row>
    <row r="13766" customFormat="false" ht="15" hidden="false" customHeight="false" outlineLevel="0" collapsed="false">
      <c r="A13766" s="103"/>
      <c r="B13766" s="104"/>
      <c r="C13766" s="104"/>
      <c r="E13766" s="107" t="str">
        <f aca="false">IF($C13766="","",IFERROR(INDEX(المنيو!$C$2:$C$500,MATCH($C13766,المنيو!$B$2:$B$500,0)),0))</f>
        <v/>
      </c>
      <c r="F13766" s="107" t="str">
        <f aca="false">IF($C13766="","",$D13766*$E13766)</f>
        <v/>
      </c>
      <c r="G13766" s="107" t="str">
        <f aca="false">IF($C13766="","",$D13766*IFERROR(INDEX('تحليل التكلفة والسعر'!$C$2:$C$700,MATCH($C13766,'تحليل التكلفة والسعر'!$B$2:$B$700,0)),0))</f>
        <v/>
      </c>
    </row>
    <row r="13767" customFormat="false" ht="15" hidden="false" customHeight="false" outlineLevel="0" collapsed="false">
      <c r="A13767" s="103"/>
      <c r="B13767" s="104"/>
      <c r="C13767" s="104"/>
      <c r="E13767" s="107" t="str">
        <f aca="false">IF($C13767="","",IFERROR(INDEX(المنيو!$C$2:$C$500,MATCH($C13767,المنيو!$B$2:$B$500,0)),0))</f>
        <v/>
      </c>
      <c r="F13767" s="107" t="str">
        <f aca="false">IF($C13767="","",$D13767*$E13767)</f>
        <v/>
      </c>
      <c r="G13767" s="107" t="str">
        <f aca="false">IF($C13767="","",$D13767*IFERROR(INDEX('تحليل التكلفة والسعر'!$C$2:$C$700,MATCH($C13767,'تحليل التكلفة والسعر'!$B$2:$B$700,0)),0))</f>
        <v/>
      </c>
    </row>
    <row r="13768" customFormat="false" ht="15" hidden="false" customHeight="false" outlineLevel="0" collapsed="false">
      <c r="A13768" s="103"/>
      <c r="B13768" s="104"/>
      <c r="C13768" s="104"/>
      <c r="E13768" s="107" t="str">
        <f aca="false">IF($C13768="","",IFERROR(INDEX(المنيو!$C$2:$C$500,MATCH($C13768,المنيو!$B$2:$B$500,0)),0))</f>
        <v/>
      </c>
      <c r="F13768" s="107" t="str">
        <f aca="false">IF($C13768="","",$D13768*$E13768)</f>
        <v/>
      </c>
      <c r="G13768" s="107" t="str">
        <f aca="false">IF($C13768="","",$D13768*IFERROR(INDEX('تحليل التكلفة والسعر'!$C$2:$C$700,MATCH($C13768,'تحليل التكلفة والسعر'!$B$2:$B$700,0)),0))</f>
        <v/>
      </c>
    </row>
    <row r="13769" customFormat="false" ht="15" hidden="false" customHeight="false" outlineLevel="0" collapsed="false">
      <c r="A13769" s="103"/>
      <c r="B13769" s="104"/>
      <c r="C13769" s="104"/>
      <c r="E13769" s="107" t="str">
        <f aca="false">IF($C13769="","",IFERROR(INDEX(المنيو!$C$2:$C$500,MATCH($C13769,المنيو!$B$2:$B$500,0)),0))</f>
        <v/>
      </c>
      <c r="F13769" s="107" t="str">
        <f aca="false">IF($C13769="","",$D13769*$E13769)</f>
        <v/>
      </c>
      <c r="G13769" s="107" t="str">
        <f aca="false">IF($C13769="","",$D13769*IFERROR(INDEX('تحليل التكلفة والسعر'!$C$2:$C$700,MATCH($C13769,'تحليل التكلفة والسعر'!$B$2:$B$700,0)),0))</f>
        <v/>
      </c>
    </row>
    <row r="13770" customFormat="false" ht="15" hidden="false" customHeight="false" outlineLevel="0" collapsed="false">
      <c r="A13770" s="103"/>
      <c r="B13770" s="104"/>
      <c r="C13770" s="104"/>
      <c r="E13770" s="107" t="str">
        <f aca="false">IF($C13770="","",IFERROR(INDEX(المنيو!$C$2:$C$500,MATCH($C13770,المنيو!$B$2:$B$500,0)),0))</f>
        <v/>
      </c>
      <c r="F13770" s="107" t="str">
        <f aca="false">IF($C13770="","",$D13770*$E13770)</f>
        <v/>
      </c>
      <c r="G13770" s="107" t="str">
        <f aca="false">IF($C13770="","",$D13770*IFERROR(INDEX('تحليل التكلفة والسعر'!$C$2:$C$700,MATCH($C13770,'تحليل التكلفة والسعر'!$B$2:$B$700,0)),0))</f>
        <v/>
      </c>
    </row>
    <row r="13771" customFormat="false" ht="15" hidden="false" customHeight="false" outlineLevel="0" collapsed="false">
      <c r="A13771" s="103"/>
      <c r="B13771" s="104"/>
      <c r="C13771" s="104"/>
      <c r="E13771" s="107" t="str">
        <f aca="false">IF($C13771="","",IFERROR(INDEX(المنيو!$C$2:$C$500,MATCH($C13771,المنيو!$B$2:$B$500,0)),0))</f>
        <v/>
      </c>
      <c r="F13771" s="107" t="str">
        <f aca="false">IF($C13771="","",$D13771*$E13771)</f>
        <v/>
      </c>
      <c r="G13771" s="107" t="str">
        <f aca="false">IF($C13771="","",$D13771*IFERROR(INDEX('تحليل التكلفة والسعر'!$C$2:$C$700,MATCH($C13771,'تحليل التكلفة والسعر'!$B$2:$B$700,0)),0))</f>
        <v/>
      </c>
    </row>
    <row r="13772" customFormat="false" ht="15" hidden="false" customHeight="false" outlineLevel="0" collapsed="false">
      <c r="A13772" s="103"/>
      <c r="B13772" s="104"/>
      <c r="C13772" s="104"/>
      <c r="E13772" s="107" t="str">
        <f aca="false">IF($C13772="","",IFERROR(INDEX(المنيو!$C$2:$C$500,MATCH($C13772,المنيو!$B$2:$B$500,0)),0))</f>
        <v/>
      </c>
      <c r="F13772" s="107" t="str">
        <f aca="false">IF($C13772="","",$D13772*$E13772)</f>
        <v/>
      </c>
      <c r="G13772" s="107" t="str">
        <f aca="false">IF($C13772="","",$D13772*IFERROR(INDEX('تحليل التكلفة والسعر'!$C$2:$C$700,MATCH($C13772,'تحليل التكلفة والسعر'!$B$2:$B$700,0)),0))</f>
        <v/>
      </c>
    </row>
    <row r="13773" customFormat="false" ht="15" hidden="false" customHeight="false" outlineLevel="0" collapsed="false">
      <c r="A13773" s="103"/>
      <c r="B13773" s="104"/>
      <c r="C13773" s="104"/>
      <c r="E13773" s="107" t="str">
        <f aca="false">IF($C13773="","",IFERROR(INDEX(المنيو!$C$2:$C$500,MATCH($C13773,المنيو!$B$2:$B$500,0)),0))</f>
        <v/>
      </c>
      <c r="F13773" s="107" t="str">
        <f aca="false">IF($C13773="","",$D13773*$E13773)</f>
        <v/>
      </c>
      <c r="G13773" s="107" t="str">
        <f aca="false">IF($C13773="","",$D13773*IFERROR(INDEX('تحليل التكلفة والسعر'!$C$2:$C$700,MATCH($C13773,'تحليل التكلفة والسعر'!$B$2:$B$700,0)),0))</f>
        <v/>
      </c>
    </row>
    <row r="13774" customFormat="false" ht="15" hidden="false" customHeight="false" outlineLevel="0" collapsed="false">
      <c r="A13774" s="103"/>
      <c r="B13774" s="104"/>
      <c r="C13774" s="104"/>
      <c r="E13774" s="107" t="str">
        <f aca="false">IF($C13774="","",IFERROR(INDEX(المنيو!$C$2:$C$500,MATCH($C13774,المنيو!$B$2:$B$500,0)),0))</f>
        <v/>
      </c>
      <c r="F13774" s="107" t="str">
        <f aca="false">IF($C13774="","",$D13774*$E13774)</f>
        <v/>
      </c>
      <c r="G13774" s="107" t="str">
        <f aca="false">IF($C13774="","",$D13774*IFERROR(INDEX('تحليل التكلفة والسعر'!$C$2:$C$700,MATCH($C13774,'تحليل التكلفة والسعر'!$B$2:$B$700,0)),0))</f>
        <v/>
      </c>
    </row>
    <row r="13775" customFormat="false" ht="15" hidden="false" customHeight="false" outlineLevel="0" collapsed="false">
      <c r="A13775" s="103"/>
      <c r="B13775" s="104"/>
      <c r="C13775" s="104"/>
      <c r="E13775" s="107" t="str">
        <f aca="false">IF($C13775="","",IFERROR(INDEX(المنيو!$C$2:$C$500,MATCH($C13775,المنيو!$B$2:$B$500,0)),0))</f>
        <v/>
      </c>
      <c r="F13775" s="107" t="str">
        <f aca="false">IF($C13775="","",$D13775*$E13775)</f>
        <v/>
      </c>
      <c r="G13775" s="107" t="str">
        <f aca="false">IF($C13775="","",$D13775*IFERROR(INDEX('تحليل التكلفة والسعر'!$C$2:$C$700,MATCH($C13775,'تحليل التكلفة والسعر'!$B$2:$B$700,0)),0))</f>
        <v/>
      </c>
    </row>
    <row r="13776" customFormat="false" ht="15" hidden="false" customHeight="false" outlineLevel="0" collapsed="false">
      <c r="A13776" s="103"/>
      <c r="B13776" s="104"/>
      <c r="C13776" s="104"/>
      <c r="E13776" s="107" t="str">
        <f aca="false">IF($C13776="","",IFERROR(INDEX(المنيو!$C$2:$C$500,MATCH($C13776,المنيو!$B$2:$B$500,0)),0))</f>
        <v/>
      </c>
      <c r="F13776" s="107" t="str">
        <f aca="false">IF($C13776="","",$D13776*$E13776)</f>
        <v/>
      </c>
      <c r="G13776" s="107" t="str">
        <f aca="false">IF($C13776="","",$D13776*IFERROR(INDEX('تحليل التكلفة والسعر'!$C$2:$C$700,MATCH($C13776,'تحليل التكلفة والسعر'!$B$2:$B$700,0)),0))</f>
        <v/>
      </c>
    </row>
    <row r="13777" customFormat="false" ht="15" hidden="false" customHeight="false" outlineLevel="0" collapsed="false">
      <c r="A13777" s="103"/>
      <c r="B13777" s="104"/>
      <c r="C13777" s="104"/>
      <c r="E13777" s="107" t="str">
        <f aca="false">IF($C13777="","",IFERROR(INDEX(المنيو!$C$2:$C$500,MATCH($C13777,المنيو!$B$2:$B$500,0)),0))</f>
        <v/>
      </c>
      <c r="F13777" s="107" t="str">
        <f aca="false">IF($C13777="","",$D13777*$E13777)</f>
        <v/>
      </c>
      <c r="G13777" s="107" t="str">
        <f aca="false">IF($C13777="","",$D13777*IFERROR(INDEX('تحليل التكلفة والسعر'!$C$2:$C$700,MATCH($C13777,'تحليل التكلفة والسعر'!$B$2:$B$700,0)),0))</f>
        <v/>
      </c>
    </row>
    <row r="13778" customFormat="false" ht="15" hidden="false" customHeight="false" outlineLevel="0" collapsed="false">
      <c r="A13778" s="103"/>
      <c r="B13778" s="104"/>
      <c r="C13778" s="104"/>
      <c r="E13778" s="107" t="str">
        <f aca="false">IF($C13778="","",IFERROR(INDEX(المنيو!$C$2:$C$500,MATCH($C13778,المنيو!$B$2:$B$500,0)),0))</f>
        <v/>
      </c>
      <c r="F13778" s="107" t="str">
        <f aca="false">IF($C13778="","",$D13778*$E13778)</f>
        <v/>
      </c>
      <c r="G13778" s="107" t="str">
        <f aca="false">IF($C13778="","",$D13778*IFERROR(INDEX('تحليل التكلفة والسعر'!$C$2:$C$700,MATCH($C13778,'تحليل التكلفة والسعر'!$B$2:$B$700,0)),0))</f>
        <v/>
      </c>
    </row>
    <row r="13779" customFormat="false" ht="15" hidden="false" customHeight="false" outlineLevel="0" collapsed="false">
      <c r="A13779" s="103"/>
      <c r="B13779" s="104"/>
      <c r="C13779" s="104"/>
      <c r="E13779" s="107" t="str">
        <f aca="false">IF($C13779="","",IFERROR(INDEX(المنيو!$C$2:$C$500,MATCH($C13779,المنيو!$B$2:$B$500,0)),0))</f>
        <v/>
      </c>
      <c r="F13779" s="107" t="str">
        <f aca="false">IF($C13779="","",$D13779*$E13779)</f>
        <v/>
      </c>
      <c r="G13779" s="107" t="str">
        <f aca="false">IF($C13779="","",$D13779*IFERROR(INDEX('تحليل التكلفة والسعر'!$C$2:$C$700,MATCH($C13779,'تحليل التكلفة والسعر'!$B$2:$B$700,0)),0))</f>
        <v/>
      </c>
    </row>
    <row r="13780" customFormat="false" ht="15" hidden="false" customHeight="false" outlineLevel="0" collapsed="false">
      <c r="A13780" s="103"/>
      <c r="B13780" s="104"/>
      <c r="C13780" s="104"/>
      <c r="E13780" s="107" t="str">
        <f aca="false">IF($C13780="","",IFERROR(INDEX(المنيو!$C$2:$C$500,MATCH($C13780,المنيو!$B$2:$B$500,0)),0))</f>
        <v/>
      </c>
      <c r="F13780" s="107" t="str">
        <f aca="false">IF($C13780="","",$D13780*$E13780)</f>
        <v/>
      </c>
      <c r="G13780" s="107" t="str">
        <f aca="false">IF($C13780="","",$D13780*IFERROR(INDEX('تحليل التكلفة والسعر'!$C$2:$C$700,MATCH($C13780,'تحليل التكلفة والسعر'!$B$2:$B$700,0)),0))</f>
        <v/>
      </c>
    </row>
    <row r="13781" customFormat="false" ht="15" hidden="false" customHeight="false" outlineLevel="0" collapsed="false">
      <c r="A13781" s="103"/>
      <c r="B13781" s="104"/>
      <c r="C13781" s="104"/>
      <c r="E13781" s="107" t="str">
        <f aca="false">IF($C13781="","",IFERROR(INDEX(المنيو!$C$2:$C$500,MATCH($C13781,المنيو!$B$2:$B$500,0)),0))</f>
        <v/>
      </c>
      <c r="F13781" s="107" t="str">
        <f aca="false">IF($C13781="","",$D13781*$E13781)</f>
        <v/>
      </c>
      <c r="G13781" s="107" t="str">
        <f aca="false">IF($C13781="","",$D13781*IFERROR(INDEX('تحليل التكلفة والسعر'!$C$2:$C$700,MATCH($C13781,'تحليل التكلفة والسعر'!$B$2:$B$700,0)),0))</f>
        <v/>
      </c>
    </row>
    <row r="13782" customFormat="false" ht="15" hidden="false" customHeight="false" outlineLevel="0" collapsed="false">
      <c r="A13782" s="103"/>
      <c r="B13782" s="104"/>
      <c r="C13782" s="104"/>
      <c r="E13782" s="107" t="str">
        <f aca="false">IF($C13782="","",IFERROR(INDEX(المنيو!$C$2:$C$500,MATCH($C13782,المنيو!$B$2:$B$500,0)),0))</f>
        <v/>
      </c>
      <c r="F13782" s="107" t="str">
        <f aca="false">IF($C13782="","",$D13782*$E13782)</f>
        <v/>
      </c>
      <c r="G13782" s="107" t="str">
        <f aca="false">IF($C13782="","",$D13782*IFERROR(INDEX('تحليل التكلفة والسعر'!$C$2:$C$700,MATCH($C13782,'تحليل التكلفة والسعر'!$B$2:$B$700,0)),0))</f>
        <v/>
      </c>
    </row>
    <row r="13783" customFormat="false" ht="15" hidden="false" customHeight="false" outlineLevel="0" collapsed="false">
      <c r="A13783" s="103"/>
      <c r="B13783" s="104"/>
      <c r="C13783" s="104"/>
      <c r="E13783" s="107" t="str">
        <f aca="false">IF($C13783="","",IFERROR(INDEX(المنيو!$C$2:$C$500,MATCH($C13783,المنيو!$B$2:$B$500,0)),0))</f>
        <v/>
      </c>
      <c r="F13783" s="107" t="str">
        <f aca="false">IF($C13783="","",$D13783*$E13783)</f>
        <v/>
      </c>
      <c r="G13783" s="107" t="str">
        <f aca="false">IF($C13783="","",$D13783*IFERROR(INDEX('تحليل التكلفة والسعر'!$C$2:$C$700,MATCH($C13783,'تحليل التكلفة والسعر'!$B$2:$B$700,0)),0))</f>
        <v/>
      </c>
    </row>
    <row r="13784" customFormat="false" ht="15" hidden="false" customHeight="false" outlineLevel="0" collapsed="false">
      <c r="A13784" s="103"/>
      <c r="B13784" s="104"/>
      <c r="C13784" s="104"/>
      <c r="E13784" s="107" t="str">
        <f aca="false">IF($C13784="","",IFERROR(INDEX(المنيو!$C$2:$C$500,MATCH($C13784,المنيو!$B$2:$B$500,0)),0))</f>
        <v/>
      </c>
      <c r="F13784" s="107" t="str">
        <f aca="false">IF($C13784="","",$D13784*$E13784)</f>
        <v/>
      </c>
      <c r="G13784" s="107" t="str">
        <f aca="false">IF($C13784="","",$D13784*IFERROR(INDEX('تحليل التكلفة والسعر'!$C$2:$C$700,MATCH($C13784,'تحليل التكلفة والسعر'!$B$2:$B$700,0)),0))</f>
        <v/>
      </c>
    </row>
    <row r="13785" customFormat="false" ht="15" hidden="false" customHeight="false" outlineLevel="0" collapsed="false">
      <c r="A13785" s="103"/>
      <c r="B13785" s="104"/>
      <c r="C13785" s="104"/>
      <c r="E13785" s="107" t="str">
        <f aca="false">IF($C13785="","",IFERROR(INDEX(المنيو!$C$2:$C$500,MATCH($C13785,المنيو!$B$2:$B$500,0)),0))</f>
        <v/>
      </c>
      <c r="F13785" s="107" t="str">
        <f aca="false">IF($C13785="","",$D13785*$E13785)</f>
        <v/>
      </c>
      <c r="G13785" s="107" t="str">
        <f aca="false">IF($C13785="","",$D13785*IFERROR(INDEX('تحليل التكلفة والسعر'!$C$2:$C$700,MATCH($C13785,'تحليل التكلفة والسعر'!$B$2:$B$700,0)),0))</f>
        <v/>
      </c>
    </row>
    <row r="13786" customFormat="false" ht="15" hidden="false" customHeight="false" outlineLevel="0" collapsed="false">
      <c r="A13786" s="103"/>
      <c r="B13786" s="104"/>
      <c r="C13786" s="104"/>
      <c r="E13786" s="107" t="str">
        <f aca="false">IF($C13786="","",IFERROR(INDEX(المنيو!$C$2:$C$500,MATCH($C13786,المنيو!$B$2:$B$500,0)),0))</f>
        <v/>
      </c>
      <c r="F13786" s="107" t="str">
        <f aca="false">IF($C13786="","",$D13786*$E13786)</f>
        <v/>
      </c>
      <c r="G13786" s="107" t="str">
        <f aca="false">IF($C13786="","",$D13786*IFERROR(INDEX('تحليل التكلفة والسعر'!$C$2:$C$700,MATCH($C13786,'تحليل التكلفة والسعر'!$B$2:$B$700,0)),0))</f>
        <v/>
      </c>
    </row>
    <row r="13787" customFormat="false" ht="15" hidden="false" customHeight="false" outlineLevel="0" collapsed="false">
      <c r="A13787" s="103"/>
      <c r="B13787" s="104"/>
      <c r="C13787" s="104"/>
      <c r="E13787" s="107" t="str">
        <f aca="false">IF($C13787="","",IFERROR(INDEX(المنيو!$C$2:$C$500,MATCH($C13787,المنيو!$B$2:$B$500,0)),0))</f>
        <v/>
      </c>
      <c r="F13787" s="107" t="str">
        <f aca="false">IF($C13787="","",$D13787*$E13787)</f>
        <v/>
      </c>
      <c r="G13787" s="107" t="str">
        <f aca="false">IF($C13787="","",$D13787*IFERROR(INDEX('تحليل التكلفة والسعر'!$C$2:$C$700,MATCH($C13787,'تحليل التكلفة والسعر'!$B$2:$B$700,0)),0))</f>
        <v/>
      </c>
    </row>
    <row r="13788" customFormat="false" ht="15" hidden="false" customHeight="false" outlineLevel="0" collapsed="false">
      <c r="A13788" s="103"/>
      <c r="B13788" s="104"/>
      <c r="C13788" s="104"/>
      <c r="E13788" s="107" t="str">
        <f aca="false">IF($C13788="","",IFERROR(INDEX(المنيو!$C$2:$C$500,MATCH($C13788,المنيو!$B$2:$B$500,0)),0))</f>
        <v/>
      </c>
      <c r="F13788" s="107" t="str">
        <f aca="false">IF($C13788="","",$D13788*$E13788)</f>
        <v/>
      </c>
      <c r="G13788" s="107" t="str">
        <f aca="false">IF($C13788="","",$D13788*IFERROR(INDEX('تحليل التكلفة والسعر'!$C$2:$C$700,MATCH($C13788,'تحليل التكلفة والسعر'!$B$2:$B$700,0)),0))</f>
        <v/>
      </c>
    </row>
    <row r="13789" customFormat="false" ht="15" hidden="false" customHeight="false" outlineLevel="0" collapsed="false">
      <c r="A13789" s="103"/>
      <c r="B13789" s="104"/>
      <c r="C13789" s="104"/>
      <c r="E13789" s="107" t="str">
        <f aca="false">IF($C13789="","",IFERROR(INDEX(المنيو!$C$2:$C$500,MATCH($C13789,المنيو!$B$2:$B$500,0)),0))</f>
        <v/>
      </c>
      <c r="F13789" s="107" t="str">
        <f aca="false">IF($C13789="","",$D13789*$E13789)</f>
        <v/>
      </c>
      <c r="G13789" s="107" t="str">
        <f aca="false">IF($C13789="","",$D13789*IFERROR(INDEX('تحليل التكلفة والسعر'!$C$2:$C$700,MATCH($C13789,'تحليل التكلفة والسعر'!$B$2:$B$700,0)),0))</f>
        <v/>
      </c>
    </row>
    <row r="13790" customFormat="false" ht="15" hidden="false" customHeight="false" outlineLevel="0" collapsed="false">
      <c r="A13790" s="103"/>
      <c r="B13790" s="104"/>
      <c r="C13790" s="104"/>
      <c r="E13790" s="107" t="str">
        <f aca="false">IF($C13790="","",IFERROR(INDEX(المنيو!$C$2:$C$500,MATCH($C13790,المنيو!$B$2:$B$500,0)),0))</f>
        <v/>
      </c>
      <c r="F13790" s="107" t="str">
        <f aca="false">IF($C13790="","",$D13790*$E13790)</f>
        <v/>
      </c>
      <c r="G13790" s="107" t="str">
        <f aca="false">IF($C13790="","",$D13790*IFERROR(INDEX('تحليل التكلفة والسعر'!$C$2:$C$700,MATCH($C13790,'تحليل التكلفة والسعر'!$B$2:$B$700,0)),0))</f>
        <v/>
      </c>
    </row>
    <row r="13791" customFormat="false" ht="15" hidden="false" customHeight="false" outlineLevel="0" collapsed="false">
      <c r="A13791" s="103"/>
      <c r="B13791" s="104"/>
      <c r="C13791" s="104"/>
      <c r="E13791" s="107" t="str">
        <f aca="false">IF($C13791="","",IFERROR(INDEX(المنيو!$C$2:$C$500,MATCH($C13791,المنيو!$B$2:$B$500,0)),0))</f>
        <v/>
      </c>
      <c r="F13791" s="107" t="str">
        <f aca="false">IF($C13791="","",$D13791*$E13791)</f>
        <v/>
      </c>
      <c r="G13791" s="107" t="str">
        <f aca="false">IF($C13791="","",$D13791*IFERROR(INDEX('تحليل التكلفة والسعر'!$C$2:$C$700,MATCH($C13791,'تحليل التكلفة والسعر'!$B$2:$B$700,0)),0))</f>
        <v/>
      </c>
    </row>
    <row r="13792" customFormat="false" ht="15" hidden="false" customHeight="false" outlineLevel="0" collapsed="false">
      <c r="A13792" s="103"/>
      <c r="B13792" s="104"/>
      <c r="C13792" s="104"/>
      <c r="E13792" s="107" t="str">
        <f aca="false">IF($C13792="","",IFERROR(INDEX(المنيو!$C$2:$C$500,MATCH($C13792,المنيو!$B$2:$B$500,0)),0))</f>
        <v/>
      </c>
      <c r="F13792" s="107" t="str">
        <f aca="false">IF($C13792="","",$D13792*$E13792)</f>
        <v/>
      </c>
      <c r="G13792" s="107" t="str">
        <f aca="false">IF($C13792="","",$D13792*IFERROR(INDEX('تحليل التكلفة والسعر'!$C$2:$C$700,MATCH($C13792,'تحليل التكلفة والسعر'!$B$2:$B$700,0)),0))</f>
        <v/>
      </c>
    </row>
    <row r="13793" customFormat="false" ht="15" hidden="false" customHeight="false" outlineLevel="0" collapsed="false">
      <c r="A13793" s="103"/>
      <c r="B13793" s="104"/>
      <c r="C13793" s="104"/>
      <c r="E13793" s="107" t="str">
        <f aca="false">IF($C13793="","",IFERROR(INDEX(المنيو!$C$2:$C$500,MATCH($C13793,المنيو!$B$2:$B$500,0)),0))</f>
        <v/>
      </c>
      <c r="F13793" s="107" t="str">
        <f aca="false">IF($C13793="","",$D13793*$E13793)</f>
        <v/>
      </c>
      <c r="G13793" s="107" t="str">
        <f aca="false">IF($C13793="","",$D13793*IFERROR(INDEX('تحليل التكلفة والسعر'!$C$2:$C$700,MATCH($C13793,'تحليل التكلفة والسعر'!$B$2:$B$700,0)),0))</f>
        <v/>
      </c>
    </row>
    <row r="13794" customFormat="false" ht="15" hidden="false" customHeight="false" outlineLevel="0" collapsed="false">
      <c r="A13794" s="103"/>
      <c r="B13794" s="104"/>
      <c r="C13794" s="104"/>
      <c r="E13794" s="107" t="str">
        <f aca="false">IF($C13794="","",IFERROR(INDEX(المنيو!$C$2:$C$500,MATCH($C13794,المنيو!$B$2:$B$500,0)),0))</f>
        <v/>
      </c>
      <c r="F13794" s="107" t="str">
        <f aca="false">IF($C13794="","",$D13794*$E13794)</f>
        <v/>
      </c>
      <c r="G13794" s="107" t="str">
        <f aca="false">IF($C13794="","",$D13794*IFERROR(INDEX('تحليل التكلفة والسعر'!$C$2:$C$700,MATCH($C13794,'تحليل التكلفة والسعر'!$B$2:$B$700,0)),0))</f>
        <v/>
      </c>
    </row>
    <row r="13795" customFormat="false" ht="15" hidden="false" customHeight="false" outlineLevel="0" collapsed="false">
      <c r="A13795" s="103"/>
      <c r="B13795" s="104"/>
      <c r="C13795" s="104"/>
      <c r="E13795" s="107" t="str">
        <f aca="false">IF($C13795="","",IFERROR(INDEX(المنيو!$C$2:$C$500,MATCH($C13795,المنيو!$B$2:$B$500,0)),0))</f>
        <v/>
      </c>
      <c r="F13795" s="107" t="str">
        <f aca="false">IF($C13795="","",$D13795*$E13795)</f>
        <v/>
      </c>
      <c r="G13795" s="107" t="str">
        <f aca="false">IF($C13795="","",$D13795*IFERROR(INDEX('تحليل التكلفة والسعر'!$C$2:$C$700,MATCH($C13795,'تحليل التكلفة والسعر'!$B$2:$B$700,0)),0))</f>
        <v/>
      </c>
    </row>
    <row r="13796" customFormat="false" ht="15" hidden="false" customHeight="false" outlineLevel="0" collapsed="false">
      <c r="A13796" s="103"/>
      <c r="B13796" s="104"/>
      <c r="C13796" s="104"/>
      <c r="E13796" s="107" t="str">
        <f aca="false">IF($C13796="","",IFERROR(INDEX(المنيو!$C$2:$C$500,MATCH($C13796,المنيو!$B$2:$B$500,0)),0))</f>
        <v/>
      </c>
      <c r="F13796" s="107" t="str">
        <f aca="false">IF($C13796="","",$D13796*$E13796)</f>
        <v/>
      </c>
      <c r="G13796" s="107" t="str">
        <f aca="false">IF($C13796="","",$D13796*IFERROR(INDEX('تحليل التكلفة والسعر'!$C$2:$C$700,MATCH($C13796,'تحليل التكلفة والسعر'!$B$2:$B$700,0)),0))</f>
        <v/>
      </c>
    </row>
    <row r="13797" customFormat="false" ht="15" hidden="false" customHeight="false" outlineLevel="0" collapsed="false">
      <c r="A13797" s="103"/>
      <c r="B13797" s="104"/>
      <c r="C13797" s="104"/>
      <c r="E13797" s="107" t="str">
        <f aca="false">IF($C13797="","",IFERROR(INDEX(المنيو!$C$2:$C$500,MATCH($C13797,المنيو!$B$2:$B$500,0)),0))</f>
        <v/>
      </c>
      <c r="F13797" s="107" t="str">
        <f aca="false">IF($C13797="","",$D13797*$E13797)</f>
        <v/>
      </c>
      <c r="G13797" s="107" t="str">
        <f aca="false">IF($C13797="","",$D13797*IFERROR(INDEX('تحليل التكلفة والسعر'!$C$2:$C$700,MATCH($C13797,'تحليل التكلفة والسعر'!$B$2:$B$700,0)),0))</f>
        <v/>
      </c>
    </row>
    <row r="13798" customFormat="false" ht="15" hidden="false" customHeight="false" outlineLevel="0" collapsed="false">
      <c r="A13798" s="103"/>
      <c r="B13798" s="104"/>
      <c r="C13798" s="104"/>
      <c r="E13798" s="107" t="str">
        <f aca="false">IF($C13798="","",IFERROR(INDEX(المنيو!$C$2:$C$500,MATCH($C13798,المنيو!$B$2:$B$500,0)),0))</f>
        <v/>
      </c>
      <c r="F13798" s="107" t="str">
        <f aca="false">IF($C13798="","",$D13798*$E13798)</f>
        <v/>
      </c>
      <c r="G13798" s="107" t="str">
        <f aca="false">IF($C13798="","",$D13798*IFERROR(INDEX('تحليل التكلفة والسعر'!$C$2:$C$700,MATCH($C13798,'تحليل التكلفة والسعر'!$B$2:$B$700,0)),0))</f>
        <v/>
      </c>
    </row>
    <row r="13799" customFormat="false" ht="15" hidden="false" customHeight="false" outlineLevel="0" collapsed="false">
      <c r="A13799" s="103"/>
      <c r="B13799" s="104"/>
      <c r="C13799" s="104"/>
      <c r="E13799" s="107" t="str">
        <f aca="false">IF($C13799="","",IFERROR(INDEX(المنيو!$C$2:$C$500,MATCH($C13799,المنيو!$B$2:$B$500,0)),0))</f>
        <v/>
      </c>
      <c r="F13799" s="107" t="str">
        <f aca="false">IF($C13799="","",$D13799*$E13799)</f>
        <v/>
      </c>
      <c r="G13799" s="107" t="str">
        <f aca="false">IF($C13799="","",$D13799*IFERROR(INDEX('تحليل التكلفة والسعر'!$C$2:$C$700,MATCH($C13799,'تحليل التكلفة والسعر'!$B$2:$B$700,0)),0))</f>
        <v/>
      </c>
    </row>
    <row r="13800" customFormat="false" ht="15" hidden="false" customHeight="false" outlineLevel="0" collapsed="false">
      <c r="A13800" s="103"/>
      <c r="B13800" s="104"/>
      <c r="C13800" s="104"/>
      <c r="E13800" s="107" t="str">
        <f aca="false">IF($C13800="","",IFERROR(INDEX(المنيو!$C$2:$C$500,MATCH($C13800,المنيو!$B$2:$B$500,0)),0))</f>
        <v/>
      </c>
      <c r="F13800" s="107" t="str">
        <f aca="false">IF($C13800="","",$D13800*$E13800)</f>
        <v/>
      </c>
      <c r="G13800" s="107" t="str">
        <f aca="false">IF($C13800="","",$D13800*IFERROR(INDEX('تحليل التكلفة والسعر'!$C$2:$C$700,MATCH($C13800,'تحليل التكلفة والسعر'!$B$2:$B$700,0)),0))</f>
        <v/>
      </c>
    </row>
    <row r="13801" customFormat="false" ht="15" hidden="false" customHeight="false" outlineLevel="0" collapsed="false">
      <c r="A13801" s="103"/>
      <c r="B13801" s="104"/>
      <c r="C13801" s="104"/>
      <c r="E13801" s="107" t="str">
        <f aca="false">IF($C13801="","",IFERROR(INDEX(المنيو!$C$2:$C$500,MATCH($C13801,المنيو!$B$2:$B$500,0)),0))</f>
        <v/>
      </c>
      <c r="F13801" s="107" t="str">
        <f aca="false">IF($C13801="","",$D13801*$E13801)</f>
        <v/>
      </c>
      <c r="G13801" s="107" t="str">
        <f aca="false">IF($C13801="","",$D13801*IFERROR(INDEX('تحليل التكلفة والسعر'!$C$2:$C$700,MATCH($C13801,'تحليل التكلفة والسعر'!$B$2:$B$700,0)),0))</f>
        <v/>
      </c>
    </row>
    <row r="13802" customFormat="false" ht="15" hidden="false" customHeight="false" outlineLevel="0" collapsed="false">
      <c r="A13802" s="103"/>
      <c r="B13802" s="104"/>
      <c r="C13802" s="104"/>
      <c r="E13802" s="107" t="str">
        <f aca="false">IF($C13802="","",IFERROR(INDEX(المنيو!$C$2:$C$500,MATCH($C13802,المنيو!$B$2:$B$500,0)),0))</f>
        <v/>
      </c>
      <c r="F13802" s="107" t="str">
        <f aca="false">IF($C13802="","",$D13802*$E13802)</f>
        <v/>
      </c>
      <c r="G13802" s="107" t="str">
        <f aca="false">IF($C13802="","",$D13802*IFERROR(INDEX('تحليل التكلفة والسعر'!$C$2:$C$700,MATCH($C13802,'تحليل التكلفة والسعر'!$B$2:$B$700,0)),0))</f>
        <v/>
      </c>
    </row>
    <row r="13803" customFormat="false" ht="15" hidden="false" customHeight="false" outlineLevel="0" collapsed="false">
      <c r="A13803" s="103"/>
      <c r="B13803" s="104"/>
      <c r="C13803" s="104"/>
      <c r="E13803" s="107" t="str">
        <f aca="false">IF($C13803="","",IFERROR(INDEX(المنيو!$C$2:$C$500,MATCH($C13803,المنيو!$B$2:$B$500,0)),0))</f>
        <v/>
      </c>
      <c r="F13803" s="107" t="str">
        <f aca="false">IF($C13803="","",$D13803*$E13803)</f>
        <v/>
      </c>
      <c r="G13803" s="107" t="str">
        <f aca="false">IF($C13803="","",$D13803*IFERROR(INDEX('تحليل التكلفة والسعر'!$C$2:$C$700,MATCH($C13803,'تحليل التكلفة والسعر'!$B$2:$B$700,0)),0))</f>
        <v/>
      </c>
    </row>
    <row r="13804" customFormat="false" ht="15" hidden="false" customHeight="false" outlineLevel="0" collapsed="false">
      <c r="A13804" s="103"/>
      <c r="B13804" s="104"/>
      <c r="C13804" s="104"/>
      <c r="E13804" s="107" t="str">
        <f aca="false">IF($C13804="","",IFERROR(INDEX(المنيو!$C$2:$C$500,MATCH($C13804,المنيو!$B$2:$B$500,0)),0))</f>
        <v/>
      </c>
      <c r="F13804" s="107" t="str">
        <f aca="false">IF($C13804="","",$D13804*$E13804)</f>
        <v/>
      </c>
      <c r="G13804" s="107" t="str">
        <f aca="false">IF($C13804="","",$D13804*IFERROR(INDEX('تحليل التكلفة والسعر'!$C$2:$C$700,MATCH($C13804,'تحليل التكلفة والسعر'!$B$2:$B$700,0)),0))</f>
        <v/>
      </c>
    </row>
    <row r="13805" customFormat="false" ht="15" hidden="false" customHeight="false" outlineLevel="0" collapsed="false">
      <c r="A13805" s="103"/>
      <c r="B13805" s="104"/>
      <c r="C13805" s="104"/>
      <c r="E13805" s="107" t="str">
        <f aca="false">IF($C13805="","",IFERROR(INDEX(المنيو!$C$2:$C$500,MATCH($C13805,المنيو!$B$2:$B$500,0)),0))</f>
        <v/>
      </c>
      <c r="F13805" s="107" t="str">
        <f aca="false">IF($C13805="","",$D13805*$E13805)</f>
        <v/>
      </c>
      <c r="G13805" s="107" t="str">
        <f aca="false">IF($C13805="","",$D13805*IFERROR(INDEX('تحليل التكلفة والسعر'!$C$2:$C$700,MATCH($C13805,'تحليل التكلفة والسعر'!$B$2:$B$700,0)),0))</f>
        <v/>
      </c>
    </row>
    <row r="13806" customFormat="false" ht="15" hidden="false" customHeight="false" outlineLevel="0" collapsed="false">
      <c r="A13806" s="103"/>
      <c r="B13806" s="104"/>
      <c r="C13806" s="104"/>
      <c r="E13806" s="107" t="str">
        <f aca="false">IF($C13806="","",IFERROR(INDEX(المنيو!$C$2:$C$500,MATCH($C13806,المنيو!$B$2:$B$500,0)),0))</f>
        <v/>
      </c>
      <c r="F13806" s="107" t="str">
        <f aca="false">IF($C13806="","",$D13806*$E13806)</f>
        <v/>
      </c>
      <c r="G13806" s="107" t="str">
        <f aca="false">IF($C13806="","",$D13806*IFERROR(INDEX('تحليل التكلفة والسعر'!$C$2:$C$700,MATCH($C13806,'تحليل التكلفة والسعر'!$B$2:$B$700,0)),0))</f>
        <v/>
      </c>
    </row>
    <row r="13807" customFormat="false" ht="15" hidden="false" customHeight="false" outlineLevel="0" collapsed="false">
      <c r="A13807" s="103"/>
      <c r="B13807" s="104"/>
      <c r="C13807" s="104"/>
      <c r="E13807" s="107" t="str">
        <f aca="false">IF($C13807="","",IFERROR(INDEX(المنيو!$C$2:$C$500,MATCH($C13807,المنيو!$B$2:$B$500,0)),0))</f>
        <v/>
      </c>
      <c r="F13807" s="107" t="str">
        <f aca="false">IF($C13807="","",$D13807*$E13807)</f>
        <v/>
      </c>
      <c r="G13807" s="107" t="str">
        <f aca="false">IF($C13807="","",$D13807*IFERROR(INDEX('تحليل التكلفة والسعر'!$C$2:$C$700,MATCH($C13807,'تحليل التكلفة والسعر'!$B$2:$B$700,0)),0))</f>
        <v/>
      </c>
    </row>
    <row r="13808" customFormat="false" ht="15" hidden="false" customHeight="false" outlineLevel="0" collapsed="false">
      <c r="A13808" s="103"/>
      <c r="B13808" s="104"/>
      <c r="C13808" s="104"/>
      <c r="E13808" s="107" t="str">
        <f aca="false">IF($C13808="","",IFERROR(INDEX(المنيو!$C$2:$C$500,MATCH($C13808,المنيو!$B$2:$B$500,0)),0))</f>
        <v/>
      </c>
      <c r="F13808" s="107" t="str">
        <f aca="false">IF($C13808="","",$D13808*$E13808)</f>
        <v/>
      </c>
      <c r="G13808" s="107" t="str">
        <f aca="false">IF($C13808="","",$D13808*IFERROR(INDEX('تحليل التكلفة والسعر'!$C$2:$C$700,MATCH($C13808,'تحليل التكلفة والسعر'!$B$2:$B$700,0)),0))</f>
        <v/>
      </c>
    </row>
    <row r="13809" customFormat="false" ht="15" hidden="false" customHeight="false" outlineLevel="0" collapsed="false">
      <c r="A13809" s="103"/>
      <c r="B13809" s="104"/>
      <c r="C13809" s="104"/>
      <c r="E13809" s="107" t="str">
        <f aca="false">IF($C13809="","",IFERROR(INDEX(المنيو!$C$2:$C$500,MATCH($C13809,المنيو!$B$2:$B$500,0)),0))</f>
        <v/>
      </c>
      <c r="F13809" s="107" t="str">
        <f aca="false">IF($C13809="","",$D13809*$E13809)</f>
        <v/>
      </c>
      <c r="G13809" s="107" t="str">
        <f aca="false">IF($C13809="","",$D13809*IFERROR(INDEX('تحليل التكلفة والسعر'!$C$2:$C$700,MATCH($C13809,'تحليل التكلفة والسعر'!$B$2:$B$700,0)),0))</f>
        <v/>
      </c>
    </row>
    <row r="13810" customFormat="false" ht="15" hidden="false" customHeight="false" outlineLevel="0" collapsed="false">
      <c r="A13810" s="103"/>
      <c r="B13810" s="104"/>
      <c r="C13810" s="104"/>
      <c r="E13810" s="107" t="str">
        <f aca="false">IF($C13810="","",IFERROR(INDEX(المنيو!$C$2:$C$500,MATCH($C13810,المنيو!$B$2:$B$500,0)),0))</f>
        <v/>
      </c>
      <c r="F13810" s="107" t="str">
        <f aca="false">IF($C13810="","",$D13810*$E13810)</f>
        <v/>
      </c>
      <c r="G13810" s="107" t="str">
        <f aca="false">IF($C13810="","",$D13810*IFERROR(INDEX('تحليل التكلفة والسعر'!$C$2:$C$700,MATCH($C13810,'تحليل التكلفة والسعر'!$B$2:$B$700,0)),0))</f>
        <v/>
      </c>
    </row>
    <row r="13811" customFormat="false" ht="15" hidden="false" customHeight="false" outlineLevel="0" collapsed="false">
      <c r="A13811" s="103"/>
      <c r="B13811" s="104"/>
      <c r="C13811" s="104"/>
      <c r="E13811" s="107" t="str">
        <f aca="false">IF($C13811="","",IFERROR(INDEX(المنيو!$C$2:$C$500,MATCH($C13811,المنيو!$B$2:$B$500,0)),0))</f>
        <v/>
      </c>
      <c r="F13811" s="107" t="str">
        <f aca="false">IF($C13811="","",$D13811*$E13811)</f>
        <v/>
      </c>
      <c r="G13811" s="107" t="str">
        <f aca="false">IF($C13811="","",$D13811*IFERROR(INDEX('تحليل التكلفة والسعر'!$C$2:$C$700,MATCH($C13811,'تحليل التكلفة والسعر'!$B$2:$B$700,0)),0))</f>
        <v/>
      </c>
    </row>
    <row r="13812" customFormat="false" ht="15" hidden="false" customHeight="false" outlineLevel="0" collapsed="false">
      <c r="A13812" s="103"/>
      <c r="B13812" s="104"/>
      <c r="C13812" s="104"/>
      <c r="E13812" s="107" t="str">
        <f aca="false">IF($C13812="","",IFERROR(INDEX(المنيو!$C$2:$C$500,MATCH($C13812,المنيو!$B$2:$B$500,0)),0))</f>
        <v/>
      </c>
      <c r="F13812" s="107" t="str">
        <f aca="false">IF($C13812="","",$D13812*$E13812)</f>
        <v/>
      </c>
      <c r="G13812" s="107" t="str">
        <f aca="false">IF($C13812="","",$D13812*IFERROR(INDEX('تحليل التكلفة والسعر'!$C$2:$C$700,MATCH($C13812,'تحليل التكلفة والسعر'!$B$2:$B$700,0)),0))</f>
        <v/>
      </c>
    </row>
    <row r="13813" customFormat="false" ht="15" hidden="false" customHeight="false" outlineLevel="0" collapsed="false">
      <c r="A13813" s="103"/>
      <c r="B13813" s="104"/>
      <c r="C13813" s="104"/>
      <c r="E13813" s="107" t="str">
        <f aca="false">IF($C13813="","",IFERROR(INDEX(المنيو!$C$2:$C$500,MATCH($C13813,المنيو!$B$2:$B$500,0)),0))</f>
        <v/>
      </c>
      <c r="F13813" s="107" t="str">
        <f aca="false">IF($C13813="","",$D13813*$E13813)</f>
        <v/>
      </c>
      <c r="G13813" s="107" t="str">
        <f aca="false">IF($C13813="","",$D13813*IFERROR(INDEX('تحليل التكلفة والسعر'!$C$2:$C$700,MATCH($C13813,'تحليل التكلفة والسعر'!$B$2:$B$700,0)),0))</f>
        <v/>
      </c>
    </row>
    <row r="13814" customFormat="false" ht="15" hidden="false" customHeight="false" outlineLevel="0" collapsed="false">
      <c r="A13814" s="103"/>
      <c r="B13814" s="104"/>
      <c r="C13814" s="104"/>
      <c r="E13814" s="107" t="str">
        <f aca="false">IF($C13814="","",IFERROR(INDEX(المنيو!$C$2:$C$500,MATCH($C13814,المنيو!$B$2:$B$500,0)),0))</f>
        <v/>
      </c>
      <c r="F13814" s="107" t="str">
        <f aca="false">IF($C13814="","",$D13814*$E13814)</f>
        <v/>
      </c>
      <c r="G13814" s="107" t="str">
        <f aca="false">IF($C13814="","",$D13814*IFERROR(INDEX('تحليل التكلفة والسعر'!$C$2:$C$700,MATCH($C13814,'تحليل التكلفة والسعر'!$B$2:$B$700,0)),0))</f>
        <v/>
      </c>
    </row>
    <row r="13815" customFormat="false" ht="15" hidden="false" customHeight="false" outlineLevel="0" collapsed="false">
      <c r="A13815" s="103"/>
      <c r="B13815" s="104"/>
      <c r="C13815" s="104"/>
      <c r="E13815" s="107" t="str">
        <f aca="false">IF($C13815="","",IFERROR(INDEX(المنيو!$C$2:$C$500,MATCH($C13815,المنيو!$B$2:$B$500,0)),0))</f>
        <v/>
      </c>
      <c r="F13815" s="107" t="str">
        <f aca="false">IF($C13815="","",$D13815*$E13815)</f>
        <v/>
      </c>
      <c r="G13815" s="107" t="str">
        <f aca="false">IF($C13815="","",$D13815*IFERROR(INDEX('تحليل التكلفة والسعر'!$C$2:$C$700,MATCH($C13815,'تحليل التكلفة والسعر'!$B$2:$B$700,0)),0))</f>
        <v/>
      </c>
    </row>
    <row r="13816" customFormat="false" ht="15" hidden="false" customHeight="false" outlineLevel="0" collapsed="false">
      <c r="A13816" s="103"/>
      <c r="B13816" s="104"/>
      <c r="C13816" s="104"/>
      <c r="E13816" s="107" t="str">
        <f aca="false">IF($C13816="","",IFERROR(INDEX(المنيو!$C$2:$C$500,MATCH($C13816,المنيو!$B$2:$B$500,0)),0))</f>
        <v/>
      </c>
      <c r="F13816" s="107" t="str">
        <f aca="false">IF($C13816="","",$D13816*$E13816)</f>
        <v/>
      </c>
      <c r="G13816" s="107" t="str">
        <f aca="false">IF($C13816="","",$D13816*IFERROR(INDEX('تحليل التكلفة والسعر'!$C$2:$C$700,MATCH($C13816,'تحليل التكلفة والسعر'!$B$2:$B$700,0)),0))</f>
        <v/>
      </c>
    </row>
    <row r="13817" customFormat="false" ht="15" hidden="false" customHeight="false" outlineLevel="0" collapsed="false">
      <c r="A13817" s="103"/>
      <c r="B13817" s="104"/>
      <c r="C13817" s="104"/>
      <c r="E13817" s="107" t="str">
        <f aca="false">IF($C13817="","",IFERROR(INDEX(المنيو!$C$2:$C$500,MATCH($C13817,المنيو!$B$2:$B$500,0)),0))</f>
        <v/>
      </c>
      <c r="F13817" s="107" t="str">
        <f aca="false">IF($C13817="","",$D13817*$E13817)</f>
        <v/>
      </c>
      <c r="G13817" s="107" t="str">
        <f aca="false">IF($C13817="","",$D13817*IFERROR(INDEX('تحليل التكلفة والسعر'!$C$2:$C$700,MATCH($C13817,'تحليل التكلفة والسعر'!$B$2:$B$700,0)),0))</f>
        <v/>
      </c>
    </row>
    <row r="13818" customFormat="false" ht="15" hidden="false" customHeight="false" outlineLevel="0" collapsed="false">
      <c r="A13818" s="103"/>
      <c r="B13818" s="104"/>
      <c r="C13818" s="104"/>
      <c r="E13818" s="107" t="str">
        <f aca="false">IF($C13818="","",IFERROR(INDEX(المنيو!$C$2:$C$500,MATCH($C13818,المنيو!$B$2:$B$500,0)),0))</f>
        <v/>
      </c>
      <c r="F13818" s="107" t="str">
        <f aca="false">IF($C13818="","",$D13818*$E13818)</f>
        <v/>
      </c>
      <c r="G13818" s="107" t="str">
        <f aca="false">IF($C13818="","",$D13818*IFERROR(INDEX('تحليل التكلفة والسعر'!$C$2:$C$700,MATCH($C13818,'تحليل التكلفة والسعر'!$B$2:$B$700,0)),0))</f>
        <v/>
      </c>
    </row>
    <row r="13819" customFormat="false" ht="15" hidden="false" customHeight="false" outlineLevel="0" collapsed="false">
      <c r="A13819" s="103"/>
      <c r="B13819" s="104"/>
      <c r="C13819" s="104"/>
      <c r="E13819" s="107" t="str">
        <f aca="false">IF($C13819="","",IFERROR(INDEX(المنيو!$C$2:$C$500,MATCH($C13819,المنيو!$B$2:$B$500,0)),0))</f>
        <v/>
      </c>
      <c r="F13819" s="107" t="str">
        <f aca="false">IF($C13819="","",$D13819*$E13819)</f>
        <v/>
      </c>
      <c r="G13819" s="107" t="str">
        <f aca="false">IF($C13819="","",$D13819*IFERROR(INDEX('تحليل التكلفة والسعر'!$C$2:$C$700,MATCH($C13819,'تحليل التكلفة والسعر'!$B$2:$B$700,0)),0))</f>
        <v/>
      </c>
    </row>
    <row r="13820" customFormat="false" ht="15" hidden="false" customHeight="false" outlineLevel="0" collapsed="false">
      <c r="A13820" s="103"/>
      <c r="B13820" s="104"/>
      <c r="C13820" s="104"/>
      <c r="E13820" s="107" t="str">
        <f aca="false">IF($C13820="","",IFERROR(INDEX(المنيو!$C$2:$C$500,MATCH($C13820,المنيو!$B$2:$B$500,0)),0))</f>
        <v/>
      </c>
      <c r="F13820" s="107" t="str">
        <f aca="false">IF($C13820="","",$D13820*$E13820)</f>
        <v/>
      </c>
      <c r="G13820" s="107" t="str">
        <f aca="false">IF($C13820="","",$D13820*IFERROR(INDEX('تحليل التكلفة والسعر'!$C$2:$C$700,MATCH($C13820,'تحليل التكلفة والسعر'!$B$2:$B$700,0)),0))</f>
        <v/>
      </c>
    </row>
    <row r="13821" customFormat="false" ht="15" hidden="false" customHeight="false" outlineLevel="0" collapsed="false">
      <c r="A13821" s="103"/>
      <c r="B13821" s="104"/>
      <c r="C13821" s="104"/>
      <c r="E13821" s="107" t="str">
        <f aca="false">IF($C13821="","",IFERROR(INDEX(المنيو!$C$2:$C$500,MATCH($C13821,المنيو!$B$2:$B$500,0)),0))</f>
        <v/>
      </c>
      <c r="F13821" s="107" t="str">
        <f aca="false">IF($C13821="","",$D13821*$E13821)</f>
        <v/>
      </c>
      <c r="G13821" s="107" t="str">
        <f aca="false">IF($C13821="","",$D13821*IFERROR(INDEX('تحليل التكلفة والسعر'!$C$2:$C$700,MATCH($C13821,'تحليل التكلفة والسعر'!$B$2:$B$700,0)),0))</f>
        <v/>
      </c>
    </row>
    <row r="13822" customFormat="false" ht="15" hidden="false" customHeight="false" outlineLevel="0" collapsed="false">
      <c r="A13822" s="103"/>
      <c r="B13822" s="104"/>
      <c r="C13822" s="104"/>
      <c r="E13822" s="107" t="str">
        <f aca="false">IF($C13822="","",IFERROR(INDEX(المنيو!$C$2:$C$500,MATCH($C13822,المنيو!$B$2:$B$500,0)),0))</f>
        <v/>
      </c>
      <c r="F13822" s="107" t="str">
        <f aca="false">IF($C13822="","",$D13822*$E13822)</f>
        <v/>
      </c>
      <c r="G13822" s="107" t="str">
        <f aca="false">IF($C13822="","",$D13822*IFERROR(INDEX('تحليل التكلفة والسعر'!$C$2:$C$700,MATCH($C13822,'تحليل التكلفة والسعر'!$B$2:$B$700,0)),0))</f>
        <v/>
      </c>
    </row>
    <row r="13823" customFormat="false" ht="15" hidden="false" customHeight="false" outlineLevel="0" collapsed="false">
      <c r="A13823" s="103"/>
      <c r="B13823" s="104"/>
      <c r="C13823" s="104"/>
      <c r="E13823" s="107" t="str">
        <f aca="false">IF($C13823="","",IFERROR(INDEX(المنيو!$C$2:$C$500,MATCH($C13823,المنيو!$B$2:$B$500,0)),0))</f>
        <v/>
      </c>
      <c r="F13823" s="107" t="str">
        <f aca="false">IF($C13823="","",$D13823*$E13823)</f>
        <v/>
      </c>
      <c r="G13823" s="107" t="str">
        <f aca="false">IF($C13823="","",$D13823*IFERROR(INDEX('تحليل التكلفة والسعر'!$C$2:$C$700,MATCH($C13823,'تحليل التكلفة والسعر'!$B$2:$B$700,0)),0))</f>
        <v/>
      </c>
    </row>
    <row r="13824" customFormat="false" ht="15" hidden="false" customHeight="false" outlineLevel="0" collapsed="false">
      <c r="A13824" s="103"/>
      <c r="B13824" s="104"/>
      <c r="C13824" s="104"/>
      <c r="E13824" s="107" t="str">
        <f aca="false">IF($C13824="","",IFERROR(INDEX(المنيو!$C$2:$C$500,MATCH($C13824,المنيو!$B$2:$B$500,0)),0))</f>
        <v/>
      </c>
      <c r="F13824" s="107" t="str">
        <f aca="false">IF($C13824="","",$D13824*$E13824)</f>
        <v/>
      </c>
      <c r="G13824" s="107" t="str">
        <f aca="false">IF($C13824="","",$D13824*IFERROR(INDEX('تحليل التكلفة والسعر'!$C$2:$C$700,MATCH($C13824,'تحليل التكلفة والسعر'!$B$2:$B$700,0)),0))</f>
        <v/>
      </c>
    </row>
    <row r="13825" customFormat="false" ht="15" hidden="false" customHeight="false" outlineLevel="0" collapsed="false">
      <c r="A13825" s="103"/>
      <c r="B13825" s="104"/>
      <c r="C13825" s="104"/>
      <c r="E13825" s="107" t="str">
        <f aca="false">IF($C13825="","",IFERROR(INDEX(المنيو!$C$2:$C$500,MATCH($C13825,المنيو!$B$2:$B$500,0)),0))</f>
        <v/>
      </c>
      <c r="F13825" s="107" t="str">
        <f aca="false">IF($C13825="","",$D13825*$E13825)</f>
        <v/>
      </c>
      <c r="G13825" s="107" t="str">
        <f aca="false">IF($C13825="","",$D13825*IFERROR(INDEX('تحليل التكلفة والسعر'!$C$2:$C$700,MATCH($C13825,'تحليل التكلفة والسعر'!$B$2:$B$700,0)),0))</f>
        <v/>
      </c>
    </row>
    <row r="13826" customFormat="false" ht="15" hidden="false" customHeight="false" outlineLevel="0" collapsed="false">
      <c r="A13826" s="103"/>
      <c r="B13826" s="104"/>
      <c r="C13826" s="104"/>
      <c r="E13826" s="107" t="str">
        <f aca="false">IF($C13826="","",IFERROR(INDEX(المنيو!$C$2:$C$500,MATCH($C13826,المنيو!$B$2:$B$500,0)),0))</f>
        <v/>
      </c>
      <c r="F13826" s="107" t="str">
        <f aca="false">IF($C13826="","",$D13826*$E13826)</f>
        <v/>
      </c>
      <c r="G13826" s="107" t="str">
        <f aca="false">IF($C13826="","",$D13826*IFERROR(INDEX('تحليل التكلفة والسعر'!$C$2:$C$700,MATCH($C13826,'تحليل التكلفة والسعر'!$B$2:$B$700,0)),0))</f>
        <v/>
      </c>
    </row>
    <row r="13827" customFormat="false" ht="15" hidden="false" customHeight="false" outlineLevel="0" collapsed="false">
      <c r="A13827" s="103"/>
      <c r="B13827" s="104"/>
      <c r="C13827" s="104"/>
      <c r="E13827" s="107" t="str">
        <f aca="false">IF($C13827="","",IFERROR(INDEX(المنيو!$C$2:$C$500,MATCH($C13827,المنيو!$B$2:$B$500,0)),0))</f>
        <v/>
      </c>
      <c r="F13827" s="107" t="str">
        <f aca="false">IF($C13827="","",$D13827*$E13827)</f>
        <v/>
      </c>
      <c r="G13827" s="107" t="str">
        <f aca="false">IF($C13827="","",$D13827*IFERROR(INDEX('تحليل التكلفة والسعر'!$C$2:$C$700,MATCH($C13827,'تحليل التكلفة والسعر'!$B$2:$B$700,0)),0))</f>
        <v/>
      </c>
    </row>
    <row r="13828" customFormat="false" ht="15" hidden="false" customHeight="false" outlineLevel="0" collapsed="false">
      <c r="A13828" s="103"/>
      <c r="B13828" s="104"/>
      <c r="C13828" s="104"/>
      <c r="E13828" s="107" t="str">
        <f aca="false">IF($C13828="","",IFERROR(INDEX(المنيو!$C$2:$C$500,MATCH($C13828,المنيو!$B$2:$B$500,0)),0))</f>
        <v/>
      </c>
      <c r="F13828" s="107" t="str">
        <f aca="false">IF($C13828="","",$D13828*$E13828)</f>
        <v/>
      </c>
      <c r="G13828" s="107" t="str">
        <f aca="false">IF($C13828="","",$D13828*IFERROR(INDEX('تحليل التكلفة والسعر'!$C$2:$C$700,MATCH($C13828,'تحليل التكلفة والسعر'!$B$2:$B$700,0)),0))</f>
        <v/>
      </c>
    </row>
    <row r="13829" customFormat="false" ht="15" hidden="false" customHeight="false" outlineLevel="0" collapsed="false">
      <c r="A13829" s="103"/>
      <c r="B13829" s="104"/>
      <c r="C13829" s="104"/>
      <c r="E13829" s="107" t="str">
        <f aca="false">IF($C13829="","",IFERROR(INDEX(المنيو!$C$2:$C$500,MATCH($C13829,المنيو!$B$2:$B$500,0)),0))</f>
        <v/>
      </c>
      <c r="F13829" s="107" t="str">
        <f aca="false">IF($C13829="","",$D13829*$E13829)</f>
        <v/>
      </c>
      <c r="G13829" s="107" t="str">
        <f aca="false">IF($C13829="","",$D13829*IFERROR(INDEX('تحليل التكلفة والسعر'!$C$2:$C$700,MATCH($C13829,'تحليل التكلفة والسعر'!$B$2:$B$700,0)),0))</f>
        <v/>
      </c>
    </row>
    <row r="13830" customFormat="false" ht="15" hidden="false" customHeight="false" outlineLevel="0" collapsed="false">
      <c r="A13830" s="103"/>
      <c r="B13830" s="104"/>
      <c r="C13830" s="104"/>
      <c r="E13830" s="107" t="str">
        <f aca="false">IF($C13830="","",IFERROR(INDEX(المنيو!$C$2:$C$500,MATCH($C13830,المنيو!$B$2:$B$500,0)),0))</f>
        <v/>
      </c>
      <c r="F13830" s="107" t="str">
        <f aca="false">IF($C13830="","",$D13830*$E13830)</f>
        <v/>
      </c>
      <c r="G13830" s="107" t="str">
        <f aca="false">IF($C13830="","",$D13830*IFERROR(INDEX('تحليل التكلفة والسعر'!$C$2:$C$700,MATCH($C13830,'تحليل التكلفة والسعر'!$B$2:$B$700,0)),0))</f>
        <v/>
      </c>
    </row>
    <row r="13831" customFormat="false" ht="15" hidden="false" customHeight="false" outlineLevel="0" collapsed="false">
      <c r="A13831" s="103"/>
      <c r="B13831" s="104"/>
      <c r="C13831" s="104"/>
      <c r="E13831" s="107" t="str">
        <f aca="false">IF($C13831="","",IFERROR(INDEX(المنيو!$C$2:$C$500,MATCH($C13831,المنيو!$B$2:$B$500,0)),0))</f>
        <v/>
      </c>
      <c r="F13831" s="107" t="str">
        <f aca="false">IF($C13831="","",$D13831*$E13831)</f>
        <v/>
      </c>
      <c r="G13831" s="107" t="str">
        <f aca="false">IF($C13831="","",$D13831*IFERROR(INDEX('تحليل التكلفة والسعر'!$C$2:$C$700,MATCH($C13831,'تحليل التكلفة والسعر'!$B$2:$B$700,0)),0))</f>
        <v/>
      </c>
    </row>
    <row r="13832" customFormat="false" ht="15" hidden="false" customHeight="false" outlineLevel="0" collapsed="false">
      <c r="A13832" s="103"/>
      <c r="B13832" s="104"/>
      <c r="C13832" s="104"/>
      <c r="E13832" s="107" t="str">
        <f aca="false">IF($C13832="","",IFERROR(INDEX(المنيو!$C$2:$C$500,MATCH($C13832,المنيو!$B$2:$B$500,0)),0))</f>
        <v/>
      </c>
      <c r="F13832" s="107" t="str">
        <f aca="false">IF($C13832="","",$D13832*$E13832)</f>
        <v/>
      </c>
      <c r="G13832" s="107" t="str">
        <f aca="false">IF($C13832="","",$D13832*IFERROR(INDEX('تحليل التكلفة والسعر'!$C$2:$C$700,MATCH($C13832,'تحليل التكلفة والسعر'!$B$2:$B$700,0)),0))</f>
        <v/>
      </c>
    </row>
    <row r="13833" customFormat="false" ht="15" hidden="false" customHeight="false" outlineLevel="0" collapsed="false">
      <c r="A13833" s="103"/>
      <c r="B13833" s="104"/>
      <c r="C13833" s="104"/>
      <c r="E13833" s="107" t="str">
        <f aca="false">IF($C13833="","",IFERROR(INDEX(المنيو!$C$2:$C$500,MATCH($C13833,المنيو!$B$2:$B$500,0)),0))</f>
        <v/>
      </c>
      <c r="F13833" s="107" t="str">
        <f aca="false">IF($C13833="","",$D13833*$E13833)</f>
        <v/>
      </c>
      <c r="G13833" s="107" t="str">
        <f aca="false">IF($C13833="","",$D13833*IFERROR(INDEX('تحليل التكلفة والسعر'!$C$2:$C$700,MATCH($C13833,'تحليل التكلفة والسعر'!$B$2:$B$700,0)),0))</f>
        <v/>
      </c>
    </row>
    <row r="13834" customFormat="false" ht="15" hidden="false" customHeight="false" outlineLevel="0" collapsed="false">
      <c r="A13834" s="103"/>
      <c r="B13834" s="104"/>
      <c r="C13834" s="104"/>
      <c r="E13834" s="107" t="str">
        <f aca="false">IF($C13834="","",IFERROR(INDEX(المنيو!$C$2:$C$500,MATCH($C13834,المنيو!$B$2:$B$500,0)),0))</f>
        <v/>
      </c>
      <c r="F13834" s="107" t="str">
        <f aca="false">IF($C13834="","",$D13834*$E13834)</f>
        <v/>
      </c>
      <c r="G13834" s="107" t="str">
        <f aca="false">IF($C13834="","",$D13834*IFERROR(INDEX('تحليل التكلفة والسعر'!$C$2:$C$700,MATCH($C13834,'تحليل التكلفة والسعر'!$B$2:$B$700,0)),0))</f>
        <v/>
      </c>
    </row>
    <row r="13835" customFormat="false" ht="15" hidden="false" customHeight="false" outlineLevel="0" collapsed="false">
      <c r="A13835" s="103"/>
      <c r="B13835" s="104"/>
      <c r="C13835" s="104"/>
      <c r="E13835" s="107" t="str">
        <f aca="false">IF($C13835="","",IFERROR(INDEX(المنيو!$C$2:$C$500,MATCH($C13835,المنيو!$B$2:$B$500,0)),0))</f>
        <v/>
      </c>
      <c r="F13835" s="107" t="str">
        <f aca="false">IF($C13835="","",$D13835*$E13835)</f>
        <v/>
      </c>
      <c r="G13835" s="107" t="str">
        <f aca="false">IF($C13835="","",$D13835*IFERROR(INDEX('تحليل التكلفة والسعر'!$C$2:$C$700,MATCH($C13835,'تحليل التكلفة والسعر'!$B$2:$B$700,0)),0))</f>
        <v/>
      </c>
    </row>
    <row r="13836" customFormat="false" ht="15" hidden="false" customHeight="false" outlineLevel="0" collapsed="false">
      <c r="A13836" s="103"/>
      <c r="B13836" s="104"/>
      <c r="C13836" s="104"/>
      <c r="E13836" s="107" t="str">
        <f aca="false">IF($C13836="","",IFERROR(INDEX(المنيو!$C$2:$C$500,MATCH($C13836,المنيو!$B$2:$B$500,0)),0))</f>
        <v/>
      </c>
      <c r="F13836" s="107" t="str">
        <f aca="false">IF($C13836="","",$D13836*$E13836)</f>
        <v/>
      </c>
      <c r="G13836" s="107" t="str">
        <f aca="false">IF($C13836="","",$D13836*IFERROR(INDEX('تحليل التكلفة والسعر'!$C$2:$C$700,MATCH($C13836,'تحليل التكلفة والسعر'!$B$2:$B$700,0)),0))</f>
        <v/>
      </c>
    </row>
    <row r="13837" customFormat="false" ht="15" hidden="false" customHeight="false" outlineLevel="0" collapsed="false">
      <c r="A13837" s="103"/>
      <c r="B13837" s="104"/>
      <c r="C13837" s="104"/>
      <c r="E13837" s="107" t="str">
        <f aca="false">IF($C13837="","",IFERROR(INDEX(المنيو!$C$2:$C$500,MATCH($C13837,المنيو!$B$2:$B$500,0)),0))</f>
        <v/>
      </c>
      <c r="F13837" s="107" t="str">
        <f aca="false">IF($C13837="","",$D13837*$E13837)</f>
        <v/>
      </c>
      <c r="G13837" s="107" t="str">
        <f aca="false">IF($C13837="","",$D13837*IFERROR(INDEX('تحليل التكلفة والسعر'!$C$2:$C$700,MATCH($C13837,'تحليل التكلفة والسعر'!$B$2:$B$700,0)),0))</f>
        <v/>
      </c>
    </row>
    <row r="13838" customFormat="false" ht="15" hidden="false" customHeight="false" outlineLevel="0" collapsed="false">
      <c r="A13838" s="103"/>
      <c r="B13838" s="104"/>
      <c r="C13838" s="104"/>
      <c r="E13838" s="107" t="str">
        <f aca="false">IF($C13838="","",IFERROR(INDEX(المنيو!$C$2:$C$500,MATCH($C13838,المنيو!$B$2:$B$500,0)),0))</f>
        <v/>
      </c>
      <c r="F13838" s="107" t="str">
        <f aca="false">IF($C13838="","",$D13838*$E13838)</f>
        <v/>
      </c>
      <c r="G13838" s="107" t="str">
        <f aca="false">IF($C13838="","",$D13838*IFERROR(INDEX('تحليل التكلفة والسعر'!$C$2:$C$700,MATCH($C13838,'تحليل التكلفة والسعر'!$B$2:$B$700,0)),0))</f>
        <v/>
      </c>
    </row>
    <row r="13839" customFormat="false" ht="15" hidden="false" customHeight="false" outlineLevel="0" collapsed="false">
      <c r="A13839" s="103"/>
      <c r="B13839" s="104"/>
      <c r="C13839" s="104"/>
      <c r="E13839" s="107" t="str">
        <f aca="false">IF($C13839="","",IFERROR(INDEX(المنيو!$C$2:$C$500,MATCH($C13839,المنيو!$B$2:$B$500,0)),0))</f>
        <v/>
      </c>
      <c r="F13839" s="107" t="str">
        <f aca="false">IF($C13839="","",$D13839*$E13839)</f>
        <v/>
      </c>
      <c r="G13839" s="107" t="str">
        <f aca="false">IF($C13839="","",$D13839*IFERROR(INDEX('تحليل التكلفة والسعر'!$C$2:$C$700,MATCH($C13839,'تحليل التكلفة والسعر'!$B$2:$B$700,0)),0))</f>
        <v/>
      </c>
    </row>
    <row r="13840" customFormat="false" ht="15" hidden="false" customHeight="false" outlineLevel="0" collapsed="false">
      <c r="A13840" s="103"/>
      <c r="B13840" s="104"/>
      <c r="C13840" s="104"/>
      <c r="E13840" s="107" t="str">
        <f aca="false">IF($C13840="","",IFERROR(INDEX(المنيو!$C$2:$C$500,MATCH($C13840,المنيو!$B$2:$B$500,0)),0))</f>
        <v/>
      </c>
      <c r="F13840" s="107" t="str">
        <f aca="false">IF($C13840="","",$D13840*$E13840)</f>
        <v/>
      </c>
      <c r="G13840" s="107" t="str">
        <f aca="false">IF($C13840="","",$D13840*IFERROR(INDEX('تحليل التكلفة والسعر'!$C$2:$C$700,MATCH($C13840,'تحليل التكلفة والسعر'!$B$2:$B$700,0)),0))</f>
        <v/>
      </c>
    </row>
    <row r="13841" customFormat="false" ht="15" hidden="false" customHeight="false" outlineLevel="0" collapsed="false">
      <c r="A13841" s="103"/>
      <c r="B13841" s="104"/>
      <c r="C13841" s="104"/>
      <c r="E13841" s="107" t="str">
        <f aca="false">IF($C13841="","",IFERROR(INDEX(المنيو!$C$2:$C$500,MATCH($C13841,المنيو!$B$2:$B$500,0)),0))</f>
        <v/>
      </c>
      <c r="F13841" s="107" t="str">
        <f aca="false">IF($C13841="","",$D13841*$E13841)</f>
        <v/>
      </c>
      <c r="G13841" s="107" t="str">
        <f aca="false">IF($C13841="","",$D13841*IFERROR(INDEX('تحليل التكلفة والسعر'!$C$2:$C$700,MATCH($C13841,'تحليل التكلفة والسعر'!$B$2:$B$700,0)),0))</f>
        <v/>
      </c>
    </row>
    <row r="13842" customFormat="false" ht="15" hidden="false" customHeight="false" outlineLevel="0" collapsed="false">
      <c r="A13842" s="103"/>
      <c r="B13842" s="104"/>
      <c r="C13842" s="104"/>
      <c r="E13842" s="107" t="str">
        <f aca="false">IF($C13842="","",IFERROR(INDEX(المنيو!$C$2:$C$500,MATCH($C13842,المنيو!$B$2:$B$500,0)),0))</f>
        <v/>
      </c>
      <c r="F13842" s="107" t="str">
        <f aca="false">IF($C13842="","",$D13842*$E13842)</f>
        <v/>
      </c>
      <c r="G13842" s="107" t="str">
        <f aca="false">IF($C13842="","",$D13842*IFERROR(INDEX('تحليل التكلفة والسعر'!$C$2:$C$700,MATCH($C13842,'تحليل التكلفة والسعر'!$B$2:$B$700,0)),0))</f>
        <v/>
      </c>
    </row>
    <row r="13843" customFormat="false" ht="15" hidden="false" customHeight="false" outlineLevel="0" collapsed="false">
      <c r="A13843" s="103"/>
      <c r="B13843" s="104"/>
      <c r="C13843" s="104"/>
      <c r="E13843" s="107" t="str">
        <f aca="false">IF($C13843="","",IFERROR(INDEX(المنيو!$C$2:$C$500,MATCH($C13843,المنيو!$B$2:$B$500,0)),0))</f>
        <v/>
      </c>
      <c r="F13843" s="107" t="str">
        <f aca="false">IF($C13843="","",$D13843*$E13843)</f>
        <v/>
      </c>
      <c r="G13843" s="107" t="str">
        <f aca="false">IF($C13843="","",$D13843*IFERROR(INDEX('تحليل التكلفة والسعر'!$C$2:$C$700,MATCH($C13843,'تحليل التكلفة والسعر'!$B$2:$B$700,0)),0))</f>
        <v/>
      </c>
    </row>
    <row r="13844" customFormat="false" ht="15" hidden="false" customHeight="false" outlineLevel="0" collapsed="false">
      <c r="A13844" s="103"/>
      <c r="B13844" s="104"/>
      <c r="C13844" s="104"/>
      <c r="E13844" s="107" t="str">
        <f aca="false">IF($C13844="","",IFERROR(INDEX(المنيو!$C$2:$C$500,MATCH($C13844,المنيو!$B$2:$B$500,0)),0))</f>
        <v/>
      </c>
      <c r="F13844" s="107" t="str">
        <f aca="false">IF($C13844="","",$D13844*$E13844)</f>
        <v/>
      </c>
      <c r="G13844" s="107" t="str">
        <f aca="false">IF($C13844="","",$D13844*IFERROR(INDEX('تحليل التكلفة والسعر'!$C$2:$C$700,MATCH($C13844,'تحليل التكلفة والسعر'!$B$2:$B$700,0)),0))</f>
        <v/>
      </c>
    </row>
    <row r="13845" customFormat="false" ht="15" hidden="false" customHeight="false" outlineLevel="0" collapsed="false">
      <c r="A13845" s="103"/>
      <c r="B13845" s="104"/>
      <c r="C13845" s="104"/>
      <c r="E13845" s="107" t="str">
        <f aca="false">IF($C13845="","",IFERROR(INDEX(المنيو!$C$2:$C$500,MATCH($C13845,المنيو!$B$2:$B$500,0)),0))</f>
        <v/>
      </c>
      <c r="F13845" s="107" t="str">
        <f aca="false">IF($C13845="","",$D13845*$E13845)</f>
        <v/>
      </c>
      <c r="G13845" s="107" t="str">
        <f aca="false">IF($C13845="","",$D13845*IFERROR(INDEX('تحليل التكلفة والسعر'!$C$2:$C$700,MATCH($C13845,'تحليل التكلفة والسعر'!$B$2:$B$700,0)),0))</f>
        <v/>
      </c>
    </row>
    <row r="13846" customFormat="false" ht="15" hidden="false" customHeight="false" outlineLevel="0" collapsed="false">
      <c r="A13846" s="103"/>
      <c r="B13846" s="104"/>
      <c r="C13846" s="104"/>
      <c r="E13846" s="107" t="str">
        <f aca="false">IF($C13846="","",IFERROR(INDEX(المنيو!$C$2:$C$500,MATCH($C13846,المنيو!$B$2:$B$500,0)),0))</f>
        <v/>
      </c>
      <c r="F13846" s="107" t="str">
        <f aca="false">IF($C13846="","",$D13846*$E13846)</f>
        <v/>
      </c>
      <c r="G13846" s="107" t="str">
        <f aca="false">IF($C13846="","",$D13846*IFERROR(INDEX('تحليل التكلفة والسعر'!$C$2:$C$700,MATCH($C13846,'تحليل التكلفة والسعر'!$B$2:$B$700,0)),0))</f>
        <v/>
      </c>
    </row>
    <row r="13847" customFormat="false" ht="15" hidden="false" customHeight="false" outlineLevel="0" collapsed="false">
      <c r="A13847" s="103"/>
      <c r="B13847" s="104"/>
      <c r="C13847" s="104"/>
      <c r="E13847" s="107" t="str">
        <f aca="false">IF($C13847="","",IFERROR(INDEX(المنيو!$C$2:$C$500,MATCH($C13847,المنيو!$B$2:$B$500,0)),0))</f>
        <v/>
      </c>
      <c r="F13847" s="107" t="str">
        <f aca="false">IF($C13847="","",$D13847*$E13847)</f>
        <v/>
      </c>
      <c r="G13847" s="107" t="str">
        <f aca="false">IF($C13847="","",$D13847*IFERROR(INDEX('تحليل التكلفة والسعر'!$C$2:$C$700,MATCH($C13847,'تحليل التكلفة والسعر'!$B$2:$B$700,0)),0))</f>
        <v/>
      </c>
    </row>
    <row r="13848" customFormat="false" ht="15" hidden="false" customHeight="false" outlineLevel="0" collapsed="false">
      <c r="A13848" s="103"/>
      <c r="B13848" s="104"/>
      <c r="C13848" s="104"/>
      <c r="E13848" s="107" t="str">
        <f aca="false">IF($C13848="","",IFERROR(INDEX(المنيو!$C$2:$C$500,MATCH($C13848,المنيو!$B$2:$B$500,0)),0))</f>
        <v/>
      </c>
      <c r="F13848" s="107" t="str">
        <f aca="false">IF($C13848="","",$D13848*$E13848)</f>
        <v/>
      </c>
      <c r="G13848" s="107" t="str">
        <f aca="false">IF($C13848="","",$D13848*IFERROR(INDEX('تحليل التكلفة والسعر'!$C$2:$C$700,MATCH($C13848,'تحليل التكلفة والسعر'!$B$2:$B$700,0)),0))</f>
        <v/>
      </c>
    </row>
    <row r="13849" customFormat="false" ht="15" hidden="false" customHeight="false" outlineLevel="0" collapsed="false">
      <c r="A13849" s="103"/>
      <c r="B13849" s="104"/>
      <c r="C13849" s="104"/>
      <c r="E13849" s="107" t="str">
        <f aca="false">IF($C13849="","",IFERROR(INDEX(المنيو!$C$2:$C$500,MATCH($C13849,المنيو!$B$2:$B$500,0)),0))</f>
        <v/>
      </c>
      <c r="F13849" s="107" t="str">
        <f aca="false">IF($C13849="","",$D13849*$E13849)</f>
        <v/>
      </c>
      <c r="G13849" s="107" t="str">
        <f aca="false">IF($C13849="","",$D13849*IFERROR(INDEX('تحليل التكلفة والسعر'!$C$2:$C$700,MATCH($C13849,'تحليل التكلفة والسعر'!$B$2:$B$700,0)),0))</f>
        <v/>
      </c>
    </row>
    <row r="13850" customFormat="false" ht="15" hidden="false" customHeight="false" outlineLevel="0" collapsed="false">
      <c r="A13850" s="103"/>
      <c r="B13850" s="104"/>
      <c r="C13850" s="104"/>
      <c r="E13850" s="107" t="str">
        <f aca="false">IF($C13850="","",IFERROR(INDEX(المنيو!$C$2:$C$500,MATCH($C13850,المنيو!$B$2:$B$500,0)),0))</f>
        <v/>
      </c>
      <c r="F13850" s="107" t="str">
        <f aca="false">IF($C13850="","",$D13850*$E13850)</f>
        <v/>
      </c>
      <c r="G13850" s="107" t="str">
        <f aca="false">IF($C13850="","",$D13850*IFERROR(INDEX('تحليل التكلفة والسعر'!$C$2:$C$700,MATCH($C13850,'تحليل التكلفة والسعر'!$B$2:$B$700,0)),0))</f>
        <v/>
      </c>
    </row>
    <row r="13851" customFormat="false" ht="15" hidden="false" customHeight="false" outlineLevel="0" collapsed="false">
      <c r="A13851" s="103"/>
      <c r="B13851" s="104"/>
      <c r="C13851" s="104"/>
      <c r="E13851" s="107" t="str">
        <f aca="false">IF($C13851="","",IFERROR(INDEX(المنيو!$C$2:$C$500,MATCH($C13851,المنيو!$B$2:$B$500,0)),0))</f>
        <v/>
      </c>
      <c r="F13851" s="107" t="str">
        <f aca="false">IF($C13851="","",$D13851*$E13851)</f>
        <v/>
      </c>
      <c r="G13851" s="107" t="str">
        <f aca="false">IF($C13851="","",$D13851*IFERROR(INDEX('تحليل التكلفة والسعر'!$C$2:$C$700,MATCH($C13851,'تحليل التكلفة والسعر'!$B$2:$B$700,0)),0))</f>
        <v/>
      </c>
    </row>
    <row r="13852" customFormat="false" ht="15" hidden="false" customHeight="false" outlineLevel="0" collapsed="false">
      <c r="A13852" s="103"/>
      <c r="B13852" s="104"/>
      <c r="C13852" s="104"/>
      <c r="E13852" s="107" t="str">
        <f aca="false">IF($C13852="","",IFERROR(INDEX(المنيو!$C$2:$C$500,MATCH($C13852,المنيو!$B$2:$B$500,0)),0))</f>
        <v/>
      </c>
      <c r="F13852" s="107" t="str">
        <f aca="false">IF($C13852="","",$D13852*$E13852)</f>
        <v/>
      </c>
      <c r="G13852" s="107" t="str">
        <f aca="false">IF($C13852="","",$D13852*IFERROR(INDEX('تحليل التكلفة والسعر'!$C$2:$C$700,MATCH($C13852,'تحليل التكلفة والسعر'!$B$2:$B$700,0)),0))</f>
        <v/>
      </c>
    </row>
    <row r="13853" customFormat="false" ht="15" hidden="false" customHeight="false" outlineLevel="0" collapsed="false">
      <c r="A13853" s="103"/>
      <c r="B13853" s="104"/>
      <c r="C13853" s="104"/>
      <c r="E13853" s="107" t="str">
        <f aca="false">IF($C13853="","",IFERROR(INDEX(المنيو!$C$2:$C$500,MATCH($C13853,المنيو!$B$2:$B$500,0)),0))</f>
        <v/>
      </c>
      <c r="F13853" s="107" t="str">
        <f aca="false">IF($C13853="","",$D13853*$E13853)</f>
        <v/>
      </c>
      <c r="G13853" s="107" t="str">
        <f aca="false">IF($C13853="","",$D13853*IFERROR(INDEX('تحليل التكلفة والسعر'!$C$2:$C$700,MATCH($C13853,'تحليل التكلفة والسعر'!$B$2:$B$700,0)),0))</f>
        <v/>
      </c>
    </row>
    <row r="13854" customFormat="false" ht="15" hidden="false" customHeight="false" outlineLevel="0" collapsed="false">
      <c r="A13854" s="103"/>
      <c r="B13854" s="104"/>
      <c r="C13854" s="104"/>
      <c r="E13854" s="107" t="str">
        <f aca="false">IF($C13854="","",IFERROR(INDEX(المنيو!$C$2:$C$500,MATCH($C13854,المنيو!$B$2:$B$500,0)),0))</f>
        <v/>
      </c>
      <c r="F13854" s="107" t="str">
        <f aca="false">IF($C13854="","",$D13854*$E13854)</f>
        <v/>
      </c>
      <c r="G13854" s="107" t="str">
        <f aca="false">IF($C13854="","",$D13854*IFERROR(INDEX('تحليل التكلفة والسعر'!$C$2:$C$700,MATCH($C13854,'تحليل التكلفة والسعر'!$B$2:$B$700,0)),0))</f>
        <v/>
      </c>
    </row>
    <row r="13855" customFormat="false" ht="15" hidden="false" customHeight="false" outlineLevel="0" collapsed="false">
      <c r="A13855" s="103"/>
      <c r="B13855" s="104"/>
      <c r="C13855" s="104"/>
      <c r="E13855" s="107" t="str">
        <f aca="false">IF($C13855="","",IFERROR(INDEX(المنيو!$C$2:$C$500,MATCH($C13855,المنيو!$B$2:$B$500,0)),0))</f>
        <v/>
      </c>
      <c r="F13855" s="107" t="str">
        <f aca="false">IF($C13855="","",$D13855*$E13855)</f>
        <v/>
      </c>
      <c r="G13855" s="107" t="str">
        <f aca="false">IF($C13855="","",$D13855*IFERROR(INDEX('تحليل التكلفة والسعر'!$C$2:$C$700,MATCH($C13855,'تحليل التكلفة والسعر'!$B$2:$B$700,0)),0))</f>
        <v/>
      </c>
    </row>
    <row r="13856" customFormat="false" ht="15" hidden="false" customHeight="false" outlineLevel="0" collapsed="false">
      <c r="A13856" s="103"/>
      <c r="B13856" s="104"/>
      <c r="C13856" s="104"/>
      <c r="E13856" s="107" t="str">
        <f aca="false">IF($C13856="","",IFERROR(INDEX(المنيو!$C$2:$C$500,MATCH($C13856,المنيو!$B$2:$B$500,0)),0))</f>
        <v/>
      </c>
      <c r="F13856" s="107" t="str">
        <f aca="false">IF($C13856="","",$D13856*$E13856)</f>
        <v/>
      </c>
      <c r="G13856" s="107" t="str">
        <f aca="false">IF($C13856="","",$D13856*IFERROR(INDEX('تحليل التكلفة والسعر'!$C$2:$C$700,MATCH($C13856,'تحليل التكلفة والسعر'!$B$2:$B$700,0)),0))</f>
        <v/>
      </c>
    </row>
    <row r="13857" customFormat="false" ht="15" hidden="false" customHeight="false" outlineLevel="0" collapsed="false">
      <c r="A13857" s="103"/>
      <c r="B13857" s="104"/>
      <c r="C13857" s="104"/>
      <c r="E13857" s="107" t="str">
        <f aca="false">IF($C13857="","",IFERROR(INDEX(المنيو!$C$2:$C$500,MATCH($C13857,المنيو!$B$2:$B$500,0)),0))</f>
        <v/>
      </c>
      <c r="F13857" s="107" t="str">
        <f aca="false">IF($C13857="","",$D13857*$E13857)</f>
        <v/>
      </c>
      <c r="G13857" s="107" t="str">
        <f aca="false">IF($C13857="","",$D13857*IFERROR(INDEX('تحليل التكلفة والسعر'!$C$2:$C$700,MATCH($C13857,'تحليل التكلفة والسعر'!$B$2:$B$700,0)),0))</f>
        <v/>
      </c>
    </row>
    <row r="13858" customFormat="false" ht="15" hidden="false" customHeight="false" outlineLevel="0" collapsed="false">
      <c r="A13858" s="103"/>
      <c r="B13858" s="104"/>
      <c r="C13858" s="104"/>
      <c r="E13858" s="107" t="str">
        <f aca="false">IF($C13858="","",IFERROR(INDEX(المنيو!$C$2:$C$500,MATCH($C13858,المنيو!$B$2:$B$500,0)),0))</f>
        <v/>
      </c>
      <c r="F13858" s="107" t="str">
        <f aca="false">IF($C13858="","",$D13858*$E13858)</f>
        <v/>
      </c>
      <c r="G13858" s="107" t="str">
        <f aca="false">IF($C13858="","",$D13858*IFERROR(INDEX('تحليل التكلفة والسعر'!$C$2:$C$700,MATCH($C13858,'تحليل التكلفة والسعر'!$B$2:$B$700,0)),0))</f>
        <v/>
      </c>
    </row>
    <row r="13859" customFormat="false" ht="15" hidden="false" customHeight="false" outlineLevel="0" collapsed="false">
      <c r="A13859" s="103"/>
      <c r="B13859" s="104"/>
      <c r="C13859" s="104"/>
      <c r="E13859" s="107" t="str">
        <f aca="false">IF($C13859="","",IFERROR(INDEX(المنيو!$C$2:$C$500,MATCH($C13859,المنيو!$B$2:$B$500,0)),0))</f>
        <v/>
      </c>
      <c r="F13859" s="107" t="str">
        <f aca="false">IF($C13859="","",$D13859*$E13859)</f>
        <v/>
      </c>
      <c r="G13859" s="107" t="str">
        <f aca="false">IF($C13859="","",$D13859*IFERROR(INDEX('تحليل التكلفة والسعر'!$C$2:$C$700,MATCH($C13859,'تحليل التكلفة والسعر'!$B$2:$B$700,0)),0))</f>
        <v/>
      </c>
    </row>
    <row r="13860" customFormat="false" ht="15" hidden="false" customHeight="false" outlineLevel="0" collapsed="false">
      <c r="A13860" s="103"/>
      <c r="B13860" s="104"/>
      <c r="C13860" s="104"/>
      <c r="E13860" s="107" t="str">
        <f aca="false">IF($C13860="","",IFERROR(INDEX(المنيو!$C$2:$C$500,MATCH($C13860,المنيو!$B$2:$B$500,0)),0))</f>
        <v/>
      </c>
      <c r="F13860" s="107" t="str">
        <f aca="false">IF($C13860="","",$D13860*$E13860)</f>
        <v/>
      </c>
      <c r="G13860" s="107" t="str">
        <f aca="false">IF($C13860="","",$D13860*IFERROR(INDEX('تحليل التكلفة والسعر'!$C$2:$C$700,MATCH($C13860,'تحليل التكلفة والسعر'!$B$2:$B$700,0)),0))</f>
        <v/>
      </c>
    </row>
    <row r="13861" customFormat="false" ht="15" hidden="false" customHeight="false" outlineLevel="0" collapsed="false">
      <c r="A13861" s="103"/>
      <c r="B13861" s="104"/>
      <c r="C13861" s="104"/>
      <c r="E13861" s="107" t="str">
        <f aca="false">IF($C13861="","",IFERROR(INDEX(المنيو!$C$2:$C$500,MATCH($C13861,المنيو!$B$2:$B$500,0)),0))</f>
        <v/>
      </c>
      <c r="F13861" s="107" t="str">
        <f aca="false">IF($C13861="","",$D13861*$E13861)</f>
        <v/>
      </c>
      <c r="G13861" s="107" t="str">
        <f aca="false">IF($C13861="","",$D13861*IFERROR(INDEX('تحليل التكلفة والسعر'!$C$2:$C$700,MATCH($C13861,'تحليل التكلفة والسعر'!$B$2:$B$700,0)),0))</f>
        <v/>
      </c>
    </row>
    <row r="13862" customFormat="false" ht="15" hidden="false" customHeight="false" outlineLevel="0" collapsed="false">
      <c r="A13862" s="103"/>
      <c r="B13862" s="104"/>
      <c r="C13862" s="104"/>
      <c r="E13862" s="107" t="str">
        <f aca="false">IF($C13862="","",IFERROR(INDEX(المنيو!$C$2:$C$500,MATCH($C13862,المنيو!$B$2:$B$500,0)),0))</f>
        <v/>
      </c>
      <c r="F13862" s="107" t="str">
        <f aca="false">IF($C13862="","",$D13862*$E13862)</f>
        <v/>
      </c>
      <c r="G13862" s="107" t="str">
        <f aca="false">IF($C13862="","",$D13862*IFERROR(INDEX('تحليل التكلفة والسعر'!$C$2:$C$700,MATCH($C13862,'تحليل التكلفة والسعر'!$B$2:$B$700,0)),0))</f>
        <v/>
      </c>
    </row>
    <row r="13863" customFormat="false" ht="15" hidden="false" customHeight="false" outlineLevel="0" collapsed="false">
      <c r="A13863" s="103"/>
      <c r="B13863" s="104"/>
      <c r="C13863" s="104"/>
      <c r="E13863" s="107" t="str">
        <f aca="false">IF($C13863="","",IFERROR(INDEX(المنيو!$C$2:$C$500,MATCH($C13863,المنيو!$B$2:$B$500,0)),0))</f>
        <v/>
      </c>
      <c r="F13863" s="107" t="str">
        <f aca="false">IF($C13863="","",$D13863*$E13863)</f>
        <v/>
      </c>
      <c r="G13863" s="107" t="str">
        <f aca="false">IF($C13863="","",$D13863*IFERROR(INDEX('تحليل التكلفة والسعر'!$C$2:$C$700,MATCH($C13863,'تحليل التكلفة والسعر'!$B$2:$B$700,0)),0))</f>
        <v/>
      </c>
    </row>
    <row r="13864" customFormat="false" ht="15" hidden="false" customHeight="false" outlineLevel="0" collapsed="false">
      <c r="A13864" s="103"/>
      <c r="B13864" s="104"/>
      <c r="C13864" s="104"/>
      <c r="E13864" s="107" t="str">
        <f aca="false">IF($C13864="","",IFERROR(INDEX(المنيو!$C$2:$C$500,MATCH($C13864,المنيو!$B$2:$B$500,0)),0))</f>
        <v/>
      </c>
      <c r="F13864" s="107" t="str">
        <f aca="false">IF($C13864="","",$D13864*$E13864)</f>
        <v/>
      </c>
      <c r="G13864" s="107" t="str">
        <f aca="false">IF($C13864="","",$D13864*IFERROR(INDEX('تحليل التكلفة والسعر'!$C$2:$C$700,MATCH($C13864,'تحليل التكلفة والسعر'!$B$2:$B$700,0)),0))</f>
        <v/>
      </c>
    </row>
    <row r="13865" customFormat="false" ht="15" hidden="false" customHeight="false" outlineLevel="0" collapsed="false">
      <c r="A13865" s="103"/>
      <c r="B13865" s="104"/>
      <c r="C13865" s="104"/>
      <c r="E13865" s="107" t="str">
        <f aca="false">IF($C13865="","",IFERROR(INDEX(المنيو!$C$2:$C$500,MATCH($C13865,المنيو!$B$2:$B$500,0)),0))</f>
        <v/>
      </c>
      <c r="F13865" s="107" t="str">
        <f aca="false">IF($C13865="","",$D13865*$E13865)</f>
        <v/>
      </c>
      <c r="G13865" s="107" t="str">
        <f aca="false">IF($C13865="","",$D13865*IFERROR(INDEX('تحليل التكلفة والسعر'!$C$2:$C$700,MATCH($C13865,'تحليل التكلفة والسعر'!$B$2:$B$700,0)),0))</f>
        <v/>
      </c>
    </row>
    <row r="13866" customFormat="false" ht="15" hidden="false" customHeight="false" outlineLevel="0" collapsed="false">
      <c r="A13866" s="103"/>
      <c r="B13866" s="104"/>
      <c r="C13866" s="104"/>
      <c r="E13866" s="107" t="str">
        <f aca="false">IF($C13866="","",IFERROR(INDEX(المنيو!$C$2:$C$500,MATCH($C13866,المنيو!$B$2:$B$500,0)),0))</f>
        <v/>
      </c>
      <c r="F13866" s="107" t="str">
        <f aca="false">IF($C13866="","",$D13866*$E13866)</f>
        <v/>
      </c>
      <c r="G13866" s="107" t="str">
        <f aca="false">IF($C13866="","",$D13866*IFERROR(INDEX('تحليل التكلفة والسعر'!$C$2:$C$700,MATCH($C13866,'تحليل التكلفة والسعر'!$B$2:$B$700,0)),0))</f>
        <v/>
      </c>
    </row>
    <row r="13867" customFormat="false" ht="15" hidden="false" customHeight="false" outlineLevel="0" collapsed="false">
      <c r="A13867" s="103"/>
      <c r="B13867" s="104"/>
      <c r="C13867" s="104"/>
      <c r="E13867" s="107" t="str">
        <f aca="false">IF($C13867="","",IFERROR(INDEX(المنيو!$C$2:$C$500,MATCH($C13867,المنيو!$B$2:$B$500,0)),0))</f>
        <v/>
      </c>
      <c r="F13867" s="107" t="str">
        <f aca="false">IF($C13867="","",$D13867*$E13867)</f>
        <v/>
      </c>
      <c r="G13867" s="107" t="str">
        <f aca="false">IF($C13867="","",$D13867*IFERROR(INDEX('تحليل التكلفة والسعر'!$C$2:$C$700,MATCH($C13867,'تحليل التكلفة والسعر'!$B$2:$B$700,0)),0))</f>
        <v/>
      </c>
    </row>
    <row r="13868" customFormat="false" ht="15" hidden="false" customHeight="false" outlineLevel="0" collapsed="false">
      <c r="A13868" s="103"/>
      <c r="B13868" s="104"/>
      <c r="C13868" s="104"/>
      <c r="E13868" s="107" t="str">
        <f aca="false">IF($C13868="","",IFERROR(INDEX(المنيو!$C$2:$C$500,MATCH($C13868,المنيو!$B$2:$B$500,0)),0))</f>
        <v/>
      </c>
      <c r="F13868" s="107" t="str">
        <f aca="false">IF($C13868="","",$D13868*$E13868)</f>
        <v/>
      </c>
      <c r="G13868" s="107" t="str">
        <f aca="false">IF($C13868="","",$D13868*IFERROR(INDEX('تحليل التكلفة والسعر'!$C$2:$C$700,MATCH($C13868,'تحليل التكلفة والسعر'!$B$2:$B$700,0)),0))</f>
        <v/>
      </c>
    </row>
    <row r="13869" customFormat="false" ht="15" hidden="false" customHeight="false" outlineLevel="0" collapsed="false">
      <c r="A13869" s="103"/>
      <c r="B13869" s="104"/>
      <c r="C13869" s="104"/>
      <c r="E13869" s="107" t="str">
        <f aca="false">IF($C13869="","",IFERROR(INDEX(المنيو!$C$2:$C$500,MATCH($C13869,المنيو!$B$2:$B$500,0)),0))</f>
        <v/>
      </c>
      <c r="F13869" s="107" t="str">
        <f aca="false">IF($C13869="","",$D13869*$E13869)</f>
        <v/>
      </c>
      <c r="G13869" s="107" t="str">
        <f aca="false">IF($C13869="","",$D13869*IFERROR(INDEX('تحليل التكلفة والسعر'!$C$2:$C$700,MATCH($C13869,'تحليل التكلفة والسعر'!$B$2:$B$700,0)),0))</f>
        <v/>
      </c>
    </row>
    <row r="13870" customFormat="false" ht="15" hidden="false" customHeight="false" outlineLevel="0" collapsed="false">
      <c r="A13870" s="103"/>
      <c r="B13870" s="104"/>
      <c r="C13870" s="104"/>
      <c r="E13870" s="107" t="str">
        <f aca="false">IF($C13870="","",IFERROR(INDEX(المنيو!$C$2:$C$500,MATCH($C13870,المنيو!$B$2:$B$500,0)),0))</f>
        <v/>
      </c>
      <c r="F13870" s="107" t="str">
        <f aca="false">IF($C13870="","",$D13870*$E13870)</f>
        <v/>
      </c>
      <c r="G13870" s="107" t="str">
        <f aca="false">IF($C13870="","",$D13870*IFERROR(INDEX('تحليل التكلفة والسعر'!$C$2:$C$700,MATCH($C13870,'تحليل التكلفة والسعر'!$B$2:$B$700,0)),0))</f>
        <v/>
      </c>
    </row>
    <row r="13871" customFormat="false" ht="15" hidden="false" customHeight="false" outlineLevel="0" collapsed="false">
      <c r="A13871" s="103"/>
      <c r="B13871" s="104"/>
      <c r="C13871" s="104"/>
      <c r="E13871" s="107" t="str">
        <f aca="false">IF($C13871="","",IFERROR(INDEX(المنيو!$C$2:$C$500,MATCH($C13871,المنيو!$B$2:$B$500,0)),0))</f>
        <v/>
      </c>
      <c r="F13871" s="107" t="str">
        <f aca="false">IF($C13871="","",$D13871*$E13871)</f>
        <v/>
      </c>
      <c r="G13871" s="107" t="str">
        <f aca="false">IF($C13871="","",$D13871*IFERROR(INDEX('تحليل التكلفة والسعر'!$C$2:$C$700,MATCH($C13871,'تحليل التكلفة والسعر'!$B$2:$B$700,0)),0))</f>
        <v/>
      </c>
    </row>
    <row r="13872" customFormat="false" ht="15" hidden="false" customHeight="false" outlineLevel="0" collapsed="false">
      <c r="A13872" s="103"/>
      <c r="B13872" s="104"/>
      <c r="C13872" s="104"/>
      <c r="E13872" s="107" t="str">
        <f aca="false">IF($C13872="","",IFERROR(INDEX(المنيو!$C$2:$C$500,MATCH($C13872,المنيو!$B$2:$B$500,0)),0))</f>
        <v/>
      </c>
      <c r="F13872" s="107" t="str">
        <f aca="false">IF($C13872="","",$D13872*$E13872)</f>
        <v/>
      </c>
      <c r="G13872" s="107" t="str">
        <f aca="false">IF($C13872="","",$D13872*IFERROR(INDEX('تحليل التكلفة والسعر'!$C$2:$C$700,MATCH($C13872,'تحليل التكلفة والسعر'!$B$2:$B$700,0)),0))</f>
        <v/>
      </c>
    </row>
    <row r="13873" customFormat="false" ht="15" hidden="false" customHeight="false" outlineLevel="0" collapsed="false">
      <c r="A13873" s="103"/>
      <c r="B13873" s="104"/>
      <c r="C13873" s="104"/>
      <c r="E13873" s="107" t="str">
        <f aca="false">IF($C13873="","",IFERROR(INDEX(المنيو!$C$2:$C$500,MATCH($C13873,المنيو!$B$2:$B$500,0)),0))</f>
        <v/>
      </c>
      <c r="F13873" s="107" t="str">
        <f aca="false">IF($C13873="","",$D13873*$E13873)</f>
        <v/>
      </c>
      <c r="G13873" s="107" t="str">
        <f aca="false">IF($C13873="","",$D13873*IFERROR(INDEX('تحليل التكلفة والسعر'!$C$2:$C$700,MATCH($C13873,'تحليل التكلفة والسعر'!$B$2:$B$700,0)),0))</f>
        <v/>
      </c>
    </row>
    <row r="13874" customFormat="false" ht="15" hidden="false" customHeight="false" outlineLevel="0" collapsed="false">
      <c r="A13874" s="103"/>
      <c r="B13874" s="104"/>
      <c r="C13874" s="104"/>
      <c r="E13874" s="107" t="str">
        <f aca="false">IF($C13874="","",IFERROR(INDEX(المنيو!$C$2:$C$500,MATCH($C13874,المنيو!$B$2:$B$500,0)),0))</f>
        <v/>
      </c>
      <c r="F13874" s="107" t="str">
        <f aca="false">IF($C13874="","",$D13874*$E13874)</f>
        <v/>
      </c>
      <c r="G13874" s="107" t="str">
        <f aca="false">IF($C13874="","",$D13874*IFERROR(INDEX('تحليل التكلفة والسعر'!$C$2:$C$700,MATCH($C13874,'تحليل التكلفة والسعر'!$B$2:$B$700,0)),0))</f>
        <v/>
      </c>
    </row>
    <row r="13875" customFormat="false" ht="15" hidden="false" customHeight="false" outlineLevel="0" collapsed="false">
      <c r="A13875" s="103"/>
      <c r="B13875" s="104"/>
      <c r="C13875" s="104"/>
      <c r="E13875" s="107" t="str">
        <f aca="false">IF($C13875="","",IFERROR(INDEX(المنيو!$C$2:$C$500,MATCH($C13875,المنيو!$B$2:$B$500,0)),0))</f>
        <v/>
      </c>
      <c r="F13875" s="107" t="str">
        <f aca="false">IF($C13875="","",$D13875*$E13875)</f>
        <v/>
      </c>
      <c r="G13875" s="107" t="str">
        <f aca="false">IF($C13875="","",$D13875*IFERROR(INDEX('تحليل التكلفة والسعر'!$C$2:$C$700,MATCH($C13875,'تحليل التكلفة والسعر'!$B$2:$B$700,0)),0))</f>
        <v/>
      </c>
    </row>
    <row r="13876" customFormat="false" ht="15" hidden="false" customHeight="false" outlineLevel="0" collapsed="false">
      <c r="A13876" s="103"/>
      <c r="B13876" s="104"/>
      <c r="C13876" s="104"/>
      <c r="E13876" s="107" t="str">
        <f aca="false">IF($C13876="","",IFERROR(INDEX(المنيو!$C$2:$C$500,MATCH($C13876,المنيو!$B$2:$B$500,0)),0))</f>
        <v/>
      </c>
      <c r="F13876" s="107" t="str">
        <f aca="false">IF($C13876="","",$D13876*$E13876)</f>
        <v/>
      </c>
      <c r="G13876" s="107" t="str">
        <f aca="false">IF($C13876="","",$D13876*IFERROR(INDEX('تحليل التكلفة والسعر'!$C$2:$C$700,MATCH($C13876,'تحليل التكلفة والسعر'!$B$2:$B$700,0)),0))</f>
        <v/>
      </c>
    </row>
    <row r="13877" customFormat="false" ht="15" hidden="false" customHeight="false" outlineLevel="0" collapsed="false">
      <c r="A13877" s="103"/>
      <c r="B13877" s="104"/>
      <c r="C13877" s="104"/>
      <c r="E13877" s="107" t="str">
        <f aca="false">IF($C13877="","",IFERROR(INDEX(المنيو!$C$2:$C$500,MATCH($C13877,المنيو!$B$2:$B$500,0)),0))</f>
        <v/>
      </c>
      <c r="F13877" s="107" t="str">
        <f aca="false">IF($C13877="","",$D13877*$E13877)</f>
        <v/>
      </c>
      <c r="G13877" s="107" t="str">
        <f aca="false">IF($C13877="","",$D13877*IFERROR(INDEX('تحليل التكلفة والسعر'!$C$2:$C$700,MATCH($C13877,'تحليل التكلفة والسعر'!$B$2:$B$700,0)),0))</f>
        <v/>
      </c>
    </row>
    <row r="13878" customFormat="false" ht="15" hidden="false" customHeight="false" outlineLevel="0" collapsed="false">
      <c r="A13878" s="103"/>
      <c r="B13878" s="104"/>
      <c r="C13878" s="104"/>
      <c r="E13878" s="107" t="str">
        <f aca="false">IF($C13878="","",IFERROR(INDEX(المنيو!$C$2:$C$500,MATCH($C13878,المنيو!$B$2:$B$500,0)),0))</f>
        <v/>
      </c>
      <c r="F13878" s="107" t="str">
        <f aca="false">IF($C13878="","",$D13878*$E13878)</f>
        <v/>
      </c>
      <c r="G13878" s="107" t="str">
        <f aca="false">IF($C13878="","",$D13878*IFERROR(INDEX('تحليل التكلفة والسعر'!$C$2:$C$700,MATCH($C13878,'تحليل التكلفة والسعر'!$B$2:$B$700,0)),0))</f>
        <v/>
      </c>
    </row>
    <row r="13879" customFormat="false" ht="15" hidden="false" customHeight="false" outlineLevel="0" collapsed="false">
      <c r="A13879" s="103"/>
      <c r="B13879" s="104"/>
      <c r="C13879" s="104"/>
      <c r="E13879" s="107" t="str">
        <f aca="false">IF($C13879="","",IFERROR(INDEX(المنيو!$C$2:$C$500,MATCH($C13879,المنيو!$B$2:$B$500,0)),0))</f>
        <v/>
      </c>
      <c r="F13879" s="107" t="str">
        <f aca="false">IF($C13879="","",$D13879*$E13879)</f>
        <v/>
      </c>
      <c r="G13879" s="107" t="str">
        <f aca="false">IF($C13879="","",$D13879*IFERROR(INDEX('تحليل التكلفة والسعر'!$C$2:$C$700,MATCH($C13879,'تحليل التكلفة والسعر'!$B$2:$B$700,0)),0))</f>
        <v/>
      </c>
    </row>
    <row r="13880" customFormat="false" ht="15" hidden="false" customHeight="false" outlineLevel="0" collapsed="false">
      <c r="A13880" s="103"/>
      <c r="B13880" s="104"/>
      <c r="C13880" s="104"/>
      <c r="E13880" s="107" t="str">
        <f aca="false">IF($C13880="","",IFERROR(INDEX(المنيو!$C$2:$C$500,MATCH($C13880,المنيو!$B$2:$B$500,0)),0))</f>
        <v/>
      </c>
      <c r="F13880" s="107" t="str">
        <f aca="false">IF($C13880="","",$D13880*$E13880)</f>
        <v/>
      </c>
      <c r="G13880" s="107" t="str">
        <f aca="false">IF($C13880="","",$D13880*IFERROR(INDEX('تحليل التكلفة والسعر'!$C$2:$C$700,MATCH($C13880,'تحليل التكلفة والسعر'!$B$2:$B$700,0)),0))</f>
        <v/>
      </c>
    </row>
    <row r="13881" customFormat="false" ht="15" hidden="false" customHeight="false" outlineLevel="0" collapsed="false">
      <c r="A13881" s="103"/>
      <c r="B13881" s="104"/>
      <c r="C13881" s="104"/>
      <c r="E13881" s="107" t="str">
        <f aca="false">IF($C13881="","",IFERROR(INDEX(المنيو!$C$2:$C$500,MATCH($C13881,المنيو!$B$2:$B$500,0)),0))</f>
        <v/>
      </c>
      <c r="F13881" s="107" t="str">
        <f aca="false">IF($C13881="","",$D13881*$E13881)</f>
        <v/>
      </c>
      <c r="G13881" s="107" t="str">
        <f aca="false">IF($C13881="","",$D13881*IFERROR(INDEX('تحليل التكلفة والسعر'!$C$2:$C$700,MATCH($C13881,'تحليل التكلفة والسعر'!$B$2:$B$700,0)),0))</f>
        <v/>
      </c>
    </row>
    <row r="13882" customFormat="false" ht="15" hidden="false" customHeight="false" outlineLevel="0" collapsed="false">
      <c r="A13882" s="103"/>
      <c r="B13882" s="104"/>
      <c r="C13882" s="104"/>
      <c r="E13882" s="107" t="str">
        <f aca="false">IF($C13882="","",IFERROR(INDEX(المنيو!$C$2:$C$500,MATCH($C13882,المنيو!$B$2:$B$500,0)),0))</f>
        <v/>
      </c>
      <c r="F13882" s="107" t="str">
        <f aca="false">IF($C13882="","",$D13882*$E13882)</f>
        <v/>
      </c>
      <c r="G13882" s="107" t="str">
        <f aca="false">IF($C13882="","",$D13882*IFERROR(INDEX('تحليل التكلفة والسعر'!$C$2:$C$700,MATCH($C13882,'تحليل التكلفة والسعر'!$B$2:$B$700,0)),0))</f>
        <v/>
      </c>
    </row>
    <row r="13883" customFormat="false" ht="15" hidden="false" customHeight="false" outlineLevel="0" collapsed="false">
      <c r="A13883" s="103"/>
      <c r="B13883" s="104"/>
      <c r="C13883" s="104"/>
      <c r="E13883" s="107" t="str">
        <f aca="false">IF($C13883="","",IFERROR(INDEX(المنيو!$C$2:$C$500,MATCH($C13883,المنيو!$B$2:$B$500,0)),0))</f>
        <v/>
      </c>
      <c r="F13883" s="107" t="str">
        <f aca="false">IF($C13883="","",$D13883*$E13883)</f>
        <v/>
      </c>
      <c r="G13883" s="107" t="str">
        <f aca="false">IF($C13883="","",$D13883*IFERROR(INDEX('تحليل التكلفة والسعر'!$C$2:$C$700,MATCH($C13883,'تحليل التكلفة والسعر'!$B$2:$B$700,0)),0))</f>
        <v/>
      </c>
    </row>
    <row r="13884" customFormat="false" ht="15" hidden="false" customHeight="false" outlineLevel="0" collapsed="false">
      <c r="A13884" s="103"/>
      <c r="B13884" s="104"/>
      <c r="C13884" s="104"/>
      <c r="E13884" s="107" t="str">
        <f aca="false">IF($C13884="","",IFERROR(INDEX(المنيو!$C$2:$C$500,MATCH($C13884,المنيو!$B$2:$B$500,0)),0))</f>
        <v/>
      </c>
      <c r="F13884" s="107" t="str">
        <f aca="false">IF($C13884="","",$D13884*$E13884)</f>
        <v/>
      </c>
      <c r="G13884" s="107" t="str">
        <f aca="false">IF($C13884="","",$D13884*IFERROR(INDEX('تحليل التكلفة والسعر'!$C$2:$C$700,MATCH($C13884,'تحليل التكلفة والسعر'!$B$2:$B$700,0)),0))</f>
        <v/>
      </c>
    </row>
    <row r="13885" customFormat="false" ht="15" hidden="false" customHeight="false" outlineLevel="0" collapsed="false">
      <c r="A13885" s="103"/>
      <c r="B13885" s="104"/>
      <c r="C13885" s="104"/>
      <c r="E13885" s="107" t="str">
        <f aca="false">IF($C13885="","",IFERROR(INDEX(المنيو!$C$2:$C$500,MATCH($C13885,المنيو!$B$2:$B$500,0)),0))</f>
        <v/>
      </c>
      <c r="F13885" s="107" t="str">
        <f aca="false">IF($C13885="","",$D13885*$E13885)</f>
        <v/>
      </c>
      <c r="G13885" s="107" t="str">
        <f aca="false">IF($C13885="","",$D13885*IFERROR(INDEX('تحليل التكلفة والسعر'!$C$2:$C$700,MATCH($C13885,'تحليل التكلفة والسعر'!$B$2:$B$700,0)),0))</f>
        <v/>
      </c>
    </row>
    <row r="13886" customFormat="false" ht="15" hidden="false" customHeight="false" outlineLevel="0" collapsed="false">
      <c r="A13886" s="103"/>
      <c r="B13886" s="104"/>
      <c r="C13886" s="104"/>
      <c r="E13886" s="107" t="str">
        <f aca="false">IF($C13886="","",IFERROR(INDEX(المنيو!$C$2:$C$500,MATCH($C13886,المنيو!$B$2:$B$500,0)),0))</f>
        <v/>
      </c>
      <c r="F13886" s="107" t="str">
        <f aca="false">IF($C13886="","",$D13886*$E13886)</f>
        <v/>
      </c>
      <c r="G13886" s="107" t="str">
        <f aca="false">IF($C13886="","",$D13886*IFERROR(INDEX('تحليل التكلفة والسعر'!$C$2:$C$700,MATCH($C13886,'تحليل التكلفة والسعر'!$B$2:$B$700,0)),0))</f>
        <v/>
      </c>
    </row>
    <row r="13887" customFormat="false" ht="15" hidden="false" customHeight="false" outlineLevel="0" collapsed="false">
      <c r="A13887" s="103"/>
      <c r="B13887" s="104"/>
      <c r="C13887" s="104"/>
      <c r="E13887" s="107" t="str">
        <f aca="false">IF($C13887="","",IFERROR(INDEX(المنيو!$C$2:$C$500,MATCH($C13887,المنيو!$B$2:$B$500,0)),0))</f>
        <v/>
      </c>
      <c r="F13887" s="107" t="str">
        <f aca="false">IF($C13887="","",$D13887*$E13887)</f>
        <v/>
      </c>
      <c r="G13887" s="107" t="str">
        <f aca="false">IF($C13887="","",$D13887*IFERROR(INDEX('تحليل التكلفة والسعر'!$C$2:$C$700,MATCH($C13887,'تحليل التكلفة والسعر'!$B$2:$B$700,0)),0))</f>
        <v/>
      </c>
    </row>
    <row r="13888" customFormat="false" ht="15" hidden="false" customHeight="false" outlineLevel="0" collapsed="false">
      <c r="A13888" s="103"/>
      <c r="B13888" s="104"/>
      <c r="C13888" s="104"/>
      <c r="E13888" s="107" t="str">
        <f aca="false">IF($C13888="","",IFERROR(INDEX(المنيو!$C$2:$C$500,MATCH($C13888,المنيو!$B$2:$B$500,0)),0))</f>
        <v/>
      </c>
      <c r="F13888" s="107" t="str">
        <f aca="false">IF($C13888="","",$D13888*$E13888)</f>
        <v/>
      </c>
      <c r="G13888" s="107" t="str">
        <f aca="false">IF($C13888="","",$D13888*IFERROR(INDEX('تحليل التكلفة والسعر'!$C$2:$C$700,MATCH($C13888,'تحليل التكلفة والسعر'!$B$2:$B$700,0)),0))</f>
        <v/>
      </c>
    </row>
    <row r="13889" customFormat="false" ht="15" hidden="false" customHeight="false" outlineLevel="0" collapsed="false">
      <c r="A13889" s="103"/>
      <c r="B13889" s="104"/>
      <c r="C13889" s="104"/>
      <c r="E13889" s="107" t="str">
        <f aca="false">IF($C13889="","",IFERROR(INDEX(المنيو!$C$2:$C$500,MATCH($C13889,المنيو!$B$2:$B$500,0)),0))</f>
        <v/>
      </c>
      <c r="F13889" s="107" t="str">
        <f aca="false">IF($C13889="","",$D13889*$E13889)</f>
        <v/>
      </c>
      <c r="G13889" s="107" t="str">
        <f aca="false">IF($C13889="","",$D13889*IFERROR(INDEX('تحليل التكلفة والسعر'!$C$2:$C$700,MATCH($C13889,'تحليل التكلفة والسعر'!$B$2:$B$700,0)),0))</f>
        <v/>
      </c>
    </row>
    <row r="13890" customFormat="false" ht="15" hidden="false" customHeight="false" outlineLevel="0" collapsed="false">
      <c r="A13890" s="103"/>
      <c r="B13890" s="104"/>
      <c r="C13890" s="104"/>
      <c r="E13890" s="107" t="str">
        <f aca="false">IF($C13890="","",IFERROR(INDEX(المنيو!$C$2:$C$500,MATCH($C13890,المنيو!$B$2:$B$500,0)),0))</f>
        <v/>
      </c>
      <c r="F13890" s="107" t="str">
        <f aca="false">IF($C13890="","",$D13890*$E13890)</f>
        <v/>
      </c>
      <c r="G13890" s="107" t="str">
        <f aca="false">IF($C13890="","",$D13890*IFERROR(INDEX('تحليل التكلفة والسعر'!$C$2:$C$700,MATCH($C13890,'تحليل التكلفة والسعر'!$B$2:$B$700,0)),0))</f>
        <v/>
      </c>
    </row>
    <row r="13891" customFormat="false" ht="15" hidden="false" customHeight="false" outlineLevel="0" collapsed="false">
      <c r="A13891" s="103"/>
      <c r="B13891" s="104"/>
      <c r="C13891" s="104"/>
      <c r="E13891" s="107" t="str">
        <f aca="false">IF($C13891="","",IFERROR(INDEX(المنيو!$C$2:$C$500,MATCH($C13891,المنيو!$B$2:$B$500,0)),0))</f>
        <v/>
      </c>
      <c r="F13891" s="107" t="str">
        <f aca="false">IF($C13891="","",$D13891*$E13891)</f>
        <v/>
      </c>
      <c r="G13891" s="107" t="str">
        <f aca="false">IF($C13891="","",$D13891*IFERROR(INDEX('تحليل التكلفة والسعر'!$C$2:$C$700,MATCH($C13891,'تحليل التكلفة والسعر'!$B$2:$B$700,0)),0))</f>
        <v/>
      </c>
    </row>
    <row r="13892" customFormat="false" ht="15" hidden="false" customHeight="false" outlineLevel="0" collapsed="false">
      <c r="A13892" s="103"/>
      <c r="B13892" s="104"/>
      <c r="C13892" s="104"/>
      <c r="E13892" s="107" t="str">
        <f aca="false">IF($C13892="","",IFERROR(INDEX(المنيو!$C$2:$C$500,MATCH($C13892,المنيو!$B$2:$B$500,0)),0))</f>
        <v/>
      </c>
      <c r="F13892" s="107" t="str">
        <f aca="false">IF($C13892="","",$D13892*$E13892)</f>
        <v/>
      </c>
      <c r="G13892" s="107" t="str">
        <f aca="false">IF($C13892="","",$D13892*IFERROR(INDEX('تحليل التكلفة والسعر'!$C$2:$C$700,MATCH($C13892,'تحليل التكلفة والسعر'!$B$2:$B$700,0)),0))</f>
        <v/>
      </c>
    </row>
    <row r="13893" customFormat="false" ht="15" hidden="false" customHeight="false" outlineLevel="0" collapsed="false">
      <c r="A13893" s="103"/>
      <c r="B13893" s="104"/>
      <c r="C13893" s="104"/>
      <c r="E13893" s="107" t="str">
        <f aca="false">IF($C13893="","",IFERROR(INDEX(المنيو!$C$2:$C$500,MATCH($C13893,المنيو!$B$2:$B$500,0)),0))</f>
        <v/>
      </c>
      <c r="F13893" s="107" t="str">
        <f aca="false">IF($C13893="","",$D13893*$E13893)</f>
        <v/>
      </c>
      <c r="G13893" s="107" t="str">
        <f aca="false">IF($C13893="","",$D13893*IFERROR(INDEX('تحليل التكلفة والسعر'!$C$2:$C$700,MATCH($C13893,'تحليل التكلفة والسعر'!$B$2:$B$700,0)),0))</f>
        <v/>
      </c>
    </row>
    <row r="13894" customFormat="false" ht="15" hidden="false" customHeight="false" outlineLevel="0" collapsed="false">
      <c r="A13894" s="103"/>
      <c r="B13894" s="104"/>
      <c r="C13894" s="104"/>
      <c r="E13894" s="107" t="str">
        <f aca="false">IF($C13894="","",IFERROR(INDEX(المنيو!$C$2:$C$500,MATCH($C13894,المنيو!$B$2:$B$500,0)),0))</f>
        <v/>
      </c>
      <c r="F13894" s="107" t="str">
        <f aca="false">IF($C13894="","",$D13894*$E13894)</f>
        <v/>
      </c>
      <c r="G13894" s="107" t="str">
        <f aca="false">IF($C13894="","",$D13894*IFERROR(INDEX('تحليل التكلفة والسعر'!$C$2:$C$700,MATCH($C13894,'تحليل التكلفة والسعر'!$B$2:$B$700,0)),0))</f>
        <v/>
      </c>
    </row>
    <row r="13895" customFormat="false" ht="15" hidden="false" customHeight="false" outlineLevel="0" collapsed="false">
      <c r="A13895" s="103"/>
      <c r="B13895" s="104"/>
      <c r="C13895" s="104"/>
      <c r="E13895" s="107" t="str">
        <f aca="false">IF($C13895="","",IFERROR(INDEX(المنيو!$C$2:$C$500,MATCH($C13895,المنيو!$B$2:$B$500,0)),0))</f>
        <v/>
      </c>
      <c r="F13895" s="107" t="str">
        <f aca="false">IF($C13895="","",$D13895*$E13895)</f>
        <v/>
      </c>
      <c r="G13895" s="107" t="str">
        <f aca="false">IF($C13895="","",$D13895*IFERROR(INDEX('تحليل التكلفة والسعر'!$C$2:$C$700,MATCH($C13895,'تحليل التكلفة والسعر'!$B$2:$B$700,0)),0))</f>
        <v/>
      </c>
    </row>
    <row r="13896" customFormat="false" ht="15" hidden="false" customHeight="false" outlineLevel="0" collapsed="false">
      <c r="A13896" s="103"/>
      <c r="B13896" s="104"/>
      <c r="C13896" s="104"/>
      <c r="E13896" s="107" t="str">
        <f aca="false">IF($C13896="","",IFERROR(INDEX(المنيو!$C$2:$C$500,MATCH($C13896,المنيو!$B$2:$B$500,0)),0))</f>
        <v/>
      </c>
      <c r="F13896" s="107" t="str">
        <f aca="false">IF($C13896="","",$D13896*$E13896)</f>
        <v/>
      </c>
      <c r="G13896" s="107" t="str">
        <f aca="false">IF($C13896="","",$D13896*IFERROR(INDEX('تحليل التكلفة والسعر'!$C$2:$C$700,MATCH($C13896,'تحليل التكلفة والسعر'!$B$2:$B$700,0)),0))</f>
        <v/>
      </c>
    </row>
    <row r="13897" customFormat="false" ht="15" hidden="false" customHeight="false" outlineLevel="0" collapsed="false">
      <c r="A13897" s="103"/>
      <c r="B13897" s="104"/>
      <c r="C13897" s="104"/>
      <c r="E13897" s="107" t="str">
        <f aca="false">IF($C13897="","",IFERROR(INDEX(المنيو!$C$2:$C$500,MATCH($C13897,المنيو!$B$2:$B$500,0)),0))</f>
        <v/>
      </c>
      <c r="F13897" s="107" t="str">
        <f aca="false">IF($C13897="","",$D13897*$E13897)</f>
        <v/>
      </c>
      <c r="G13897" s="107" t="str">
        <f aca="false">IF($C13897="","",$D13897*IFERROR(INDEX('تحليل التكلفة والسعر'!$C$2:$C$700,MATCH($C13897,'تحليل التكلفة والسعر'!$B$2:$B$700,0)),0))</f>
        <v/>
      </c>
    </row>
    <row r="13898" customFormat="false" ht="15" hidden="false" customHeight="false" outlineLevel="0" collapsed="false">
      <c r="A13898" s="103"/>
      <c r="B13898" s="104"/>
      <c r="C13898" s="104"/>
      <c r="E13898" s="107" t="str">
        <f aca="false">IF($C13898="","",IFERROR(INDEX(المنيو!$C$2:$C$500,MATCH($C13898,المنيو!$B$2:$B$500,0)),0))</f>
        <v/>
      </c>
      <c r="F13898" s="107" t="str">
        <f aca="false">IF($C13898="","",$D13898*$E13898)</f>
        <v/>
      </c>
      <c r="G13898" s="107" t="str">
        <f aca="false">IF($C13898="","",$D13898*IFERROR(INDEX('تحليل التكلفة والسعر'!$C$2:$C$700,MATCH($C13898,'تحليل التكلفة والسعر'!$B$2:$B$700,0)),0))</f>
        <v/>
      </c>
    </row>
    <row r="13899" customFormat="false" ht="15" hidden="false" customHeight="false" outlineLevel="0" collapsed="false">
      <c r="A13899" s="103"/>
      <c r="B13899" s="104"/>
      <c r="C13899" s="104"/>
      <c r="E13899" s="107" t="str">
        <f aca="false">IF($C13899="","",IFERROR(INDEX(المنيو!$C$2:$C$500,MATCH($C13899,المنيو!$B$2:$B$500,0)),0))</f>
        <v/>
      </c>
      <c r="F13899" s="107" t="str">
        <f aca="false">IF($C13899="","",$D13899*$E13899)</f>
        <v/>
      </c>
      <c r="G13899" s="107" t="str">
        <f aca="false">IF($C13899="","",$D13899*IFERROR(INDEX('تحليل التكلفة والسعر'!$C$2:$C$700,MATCH($C13899,'تحليل التكلفة والسعر'!$B$2:$B$700,0)),0))</f>
        <v/>
      </c>
    </row>
    <row r="13900" customFormat="false" ht="15" hidden="false" customHeight="false" outlineLevel="0" collapsed="false">
      <c r="A13900" s="103"/>
      <c r="B13900" s="104"/>
      <c r="C13900" s="104"/>
      <c r="E13900" s="107" t="str">
        <f aca="false">IF($C13900="","",IFERROR(INDEX(المنيو!$C$2:$C$500,MATCH($C13900,المنيو!$B$2:$B$500,0)),0))</f>
        <v/>
      </c>
      <c r="F13900" s="107" t="str">
        <f aca="false">IF($C13900="","",$D13900*$E13900)</f>
        <v/>
      </c>
      <c r="G13900" s="107" t="str">
        <f aca="false">IF($C13900="","",$D13900*IFERROR(INDEX('تحليل التكلفة والسعر'!$C$2:$C$700,MATCH($C13900,'تحليل التكلفة والسعر'!$B$2:$B$700,0)),0))</f>
        <v/>
      </c>
    </row>
    <row r="13901" customFormat="false" ht="15" hidden="false" customHeight="false" outlineLevel="0" collapsed="false">
      <c r="A13901" s="103"/>
      <c r="B13901" s="104"/>
      <c r="C13901" s="104"/>
      <c r="E13901" s="107" t="str">
        <f aca="false">IF($C13901="","",IFERROR(INDEX(المنيو!$C$2:$C$500,MATCH($C13901,المنيو!$B$2:$B$500,0)),0))</f>
        <v/>
      </c>
      <c r="F13901" s="107" t="str">
        <f aca="false">IF($C13901="","",$D13901*$E13901)</f>
        <v/>
      </c>
      <c r="G13901" s="107" t="str">
        <f aca="false">IF($C13901="","",$D13901*IFERROR(INDEX('تحليل التكلفة والسعر'!$C$2:$C$700,MATCH($C13901,'تحليل التكلفة والسعر'!$B$2:$B$700,0)),0))</f>
        <v/>
      </c>
    </row>
    <row r="13902" customFormat="false" ht="15" hidden="false" customHeight="false" outlineLevel="0" collapsed="false">
      <c r="A13902" s="103"/>
      <c r="B13902" s="104"/>
      <c r="C13902" s="104"/>
      <c r="E13902" s="107" t="str">
        <f aca="false">IF($C13902="","",IFERROR(INDEX(المنيو!$C$2:$C$500,MATCH($C13902,المنيو!$B$2:$B$500,0)),0))</f>
        <v/>
      </c>
      <c r="F13902" s="107" t="str">
        <f aca="false">IF($C13902="","",$D13902*$E13902)</f>
        <v/>
      </c>
      <c r="G13902" s="107" t="str">
        <f aca="false">IF($C13902="","",$D13902*IFERROR(INDEX('تحليل التكلفة والسعر'!$C$2:$C$700,MATCH($C13902,'تحليل التكلفة والسعر'!$B$2:$B$700,0)),0))</f>
        <v/>
      </c>
    </row>
    <row r="13903" customFormat="false" ht="15" hidden="false" customHeight="false" outlineLevel="0" collapsed="false">
      <c r="A13903" s="103"/>
      <c r="B13903" s="104"/>
      <c r="C13903" s="104"/>
      <c r="E13903" s="107" t="str">
        <f aca="false">IF($C13903="","",IFERROR(INDEX(المنيو!$C$2:$C$500,MATCH($C13903,المنيو!$B$2:$B$500,0)),0))</f>
        <v/>
      </c>
      <c r="F13903" s="107" t="str">
        <f aca="false">IF($C13903="","",$D13903*$E13903)</f>
        <v/>
      </c>
      <c r="G13903" s="107" t="str">
        <f aca="false">IF($C13903="","",$D13903*IFERROR(INDEX('تحليل التكلفة والسعر'!$C$2:$C$700,MATCH($C13903,'تحليل التكلفة والسعر'!$B$2:$B$700,0)),0))</f>
        <v/>
      </c>
    </row>
    <row r="13904" customFormat="false" ht="15" hidden="false" customHeight="false" outlineLevel="0" collapsed="false">
      <c r="A13904" s="103"/>
      <c r="B13904" s="104"/>
      <c r="C13904" s="104"/>
      <c r="E13904" s="107" t="str">
        <f aca="false">IF($C13904="","",IFERROR(INDEX(المنيو!$C$2:$C$500,MATCH($C13904,المنيو!$B$2:$B$500,0)),0))</f>
        <v/>
      </c>
      <c r="F13904" s="107" t="str">
        <f aca="false">IF($C13904="","",$D13904*$E13904)</f>
        <v/>
      </c>
      <c r="G13904" s="107" t="str">
        <f aca="false">IF($C13904="","",$D13904*IFERROR(INDEX('تحليل التكلفة والسعر'!$C$2:$C$700,MATCH($C13904,'تحليل التكلفة والسعر'!$B$2:$B$700,0)),0))</f>
        <v/>
      </c>
    </row>
    <row r="13905" customFormat="false" ht="15" hidden="false" customHeight="false" outlineLevel="0" collapsed="false">
      <c r="A13905" s="103"/>
      <c r="B13905" s="104"/>
      <c r="C13905" s="104"/>
      <c r="E13905" s="107" t="str">
        <f aca="false">IF($C13905="","",IFERROR(INDEX(المنيو!$C$2:$C$500,MATCH($C13905,المنيو!$B$2:$B$500,0)),0))</f>
        <v/>
      </c>
      <c r="F13905" s="107" t="str">
        <f aca="false">IF($C13905="","",$D13905*$E13905)</f>
        <v/>
      </c>
      <c r="G13905" s="107" t="str">
        <f aca="false">IF($C13905="","",$D13905*IFERROR(INDEX('تحليل التكلفة والسعر'!$C$2:$C$700,MATCH($C13905,'تحليل التكلفة والسعر'!$B$2:$B$700,0)),0))</f>
        <v/>
      </c>
    </row>
    <row r="13906" customFormat="false" ht="15" hidden="false" customHeight="false" outlineLevel="0" collapsed="false">
      <c r="A13906" s="103"/>
      <c r="B13906" s="104"/>
      <c r="C13906" s="104"/>
      <c r="E13906" s="107" t="str">
        <f aca="false">IF($C13906="","",IFERROR(INDEX(المنيو!$C$2:$C$500,MATCH($C13906,المنيو!$B$2:$B$500,0)),0))</f>
        <v/>
      </c>
      <c r="F13906" s="107" t="str">
        <f aca="false">IF($C13906="","",$D13906*$E13906)</f>
        <v/>
      </c>
      <c r="G13906" s="107" t="str">
        <f aca="false">IF($C13906="","",$D13906*IFERROR(INDEX('تحليل التكلفة والسعر'!$C$2:$C$700,MATCH($C13906,'تحليل التكلفة والسعر'!$B$2:$B$700,0)),0))</f>
        <v/>
      </c>
    </row>
    <row r="13907" customFormat="false" ht="15" hidden="false" customHeight="false" outlineLevel="0" collapsed="false">
      <c r="A13907" s="103"/>
      <c r="B13907" s="104"/>
      <c r="C13907" s="104"/>
      <c r="E13907" s="107" t="str">
        <f aca="false">IF($C13907="","",IFERROR(INDEX(المنيو!$C$2:$C$500,MATCH($C13907,المنيو!$B$2:$B$500,0)),0))</f>
        <v/>
      </c>
      <c r="F13907" s="107" t="str">
        <f aca="false">IF($C13907="","",$D13907*$E13907)</f>
        <v/>
      </c>
      <c r="G13907" s="107" t="str">
        <f aca="false">IF($C13907="","",$D13907*IFERROR(INDEX('تحليل التكلفة والسعر'!$C$2:$C$700,MATCH($C13907,'تحليل التكلفة والسعر'!$B$2:$B$700,0)),0))</f>
        <v/>
      </c>
    </row>
    <row r="13908" customFormat="false" ht="15" hidden="false" customHeight="false" outlineLevel="0" collapsed="false">
      <c r="A13908" s="103"/>
      <c r="B13908" s="104"/>
      <c r="C13908" s="104"/>
      <c r="E13908" s="107" t="str">
        <f aca="false">IF($C13908="","",IFERROR(INDEX(المنيو!$C$2:$C$500,MATCH($C13908,المنيو!$B$2:$B$500,0)),0))</f>
        <v/>
      </c>
      <c r="F13908" s="107" t="str">
        <f aca="false">IF($C13908="","",$D13908*$E13908)</f>
        <v/>
      </c>
      <c r="G13908" s="107" t="str">
        <f aca="false">IF($C13908="","",$D13908*IFERROR(INDEX('تحليل التكلفة والسعر'!$C$2:$C$700,MATCH($C13908,'تحليل التكلفة والسعر'!$B$2:$B$700,0)),0))</f>
        <v/>
      </c>
    </row>
    <row r="13909" customFormat="false" ht="15" hidden="false" customHeight="false" outlineLevel="0" collapsed="false">
      <c r="A13909" s="103"/>
      <c r="B13909" s="104"/>
      <c r="C13909" s="104"/>
      <c r="E13909" s="107" t="str">
        <f aca="false">IF($C13909="","",IFERROR(INDEX(المنيو!$C$2:$C$500,MATCH($C13909,المنيو!$B$2:$B$500,0)),0))</f>
        <v/>
      </c>
      <c r="F13909" s="107" t="str">
        <f aca="false">IF($C13909="","",$D13909*$E13909)</f>
        <v/>
      </c>
      <c r="G13909" s="107" t="str">
        <f aca="false">IF($C13909="","",$D13909*IFERROR(INDEX('تحليل التكلفة والسعر'!$C$2:$C$700,MATCH($C13909,'تحليل التكلفة والسعر'!$B$2:$B$700,0)),0))</f>
        <v/>
      </c>
    </row>
    <row r="13910" customFormat="false" ht="15" hidden="false" customHeight="false" outlineLevel="0" collapsed="false">
      <c r="A13910" s="103"/>
      <c r="B13910" s="104"/>
      <c r="C13910" s="104"/>
      <c r="E13910" s="107" t="str">
        <f aca="false">IF($C13910="","",IFERROR(INDEX(المنيو!$C$2:$C$500,MATCH($C13910,المنيو!$B$2:$B$500,0)),0))</f>
        <v/>
      </c>
      <c r="F13910" s="107" t="str">
        <f aca="false">IF($C13910="","",$D13910*$E13910)</f>
        <v/>
      </c>
      <c r="G13910" s="107" t="str">
        <f aca="false">IF($C13910="","",$D13910*IFERROR(INDEX('تحليل التكلفة والسعر'!$C$2:$C$700,MATCH($C13910,'تحليل التكلفة والسعر'!$B$2:$B$700,0)),0))</f>
        <v/>
      </c>
    </row>
    <row r="13911" customFormat="false" ht="15" hidden="false" customHeight="false" outlineLevel="0" collapsed="false">
      <c r="A13911" s="103"/>
      <c r="B13911" s="104"/>
      <c r="C13911" s="104"/>
      <c r="E13911" s="107" t="str">
        <f aca="false">IF($C13911="","",IFERROR(INDEX(المنيو!$C$2:$C$500,MATCH($C13911,المنيو!$B$2:$B$500,0)),0))</f>
        <v/>
      </c>
      <c r="F13911" s="107" t="str">
        <f aca="false">IF($C13911="","",$D13911*$E13911)</f>
        <v/>
      </c>
      <c r="G13911" s="107" t="str">
        <f aca="false">IF($C13911="","",$D13911*IFERROR(INDEX('تحليل التكلفة والسعر'!$C$2:$C$700,MATCH($C13911,'تحليل التكلفة والسعر'!$B$2:$B$700,0)),0))</f>
        <v/>
      </c>
    </row>
    <row r="13912" customFormat="false" ht="15" hidden="false" customHeight="false" outlineLevel="0" collapsed="false">
      <c r="A13912" s="103"/>
      <c r="B13912" s="104"/>
      <c r="C13912" s="104"/>
      <c r="E13912" s="107" t="str">
        <f aca="false">IF($C13912="","",IFERROR(INDEX(المنيو!$C$2:$C$500,MATCH($C13912,المنيو!$B$2:$B$500,0)),0))</f>
        <v/>
      </c>
      <c r="F13912" s="107" t="str">
        <f aca="false">IF($C13912="","",$D13912*$E13912)</f>
        <v/>
      </c>
      <c r="G13912" s="107" t="str">
        <f aca="false">IF($C13912="","",$D13912*IFERROR(INDEX('تحليل التكلفة والسعر'!$C$2:$C$700,MATCH($C13912,'تحليل التكلفة والسعر'!$B$2:$B$700,0)),0))</f>
        <v/>
      </c>
    </row>
    <row r="13913" customFormat="false" ht="15" hidden="false" customHeight="false" outlineLevel="0" collapsed="false">
      <c r="A13913" s="103"/>
      <c r="B13913" s="104"/>
      <c r="C13913" s="104"/>
      <c r="E13913" s="107" t="str">
        <f aca="false">IF($C13913="","",IFERROR(INDEX(المنيو!$C$2:$C$500,MATCH($C13913,المنيو!$B$2:$B$500,0)),0))</f>
        <v/>
      </c>
      <c r="F13913" s="107" t="str">
        <f aca="false">IF($C13913="","",$D13913*$E13913)</f>
        <v/>
      </c>
      <c r="G13913" s="107" t="str">
        <f aca="false">IF($C13913="","",$D13913*IFERROR(INDEX('تحليل التكلفة والسعر'!$C$2:$C$700,MATCH($C13913,'تحليل التكلفة والسعر'!$B$2:$B$700,0)),0))</f>
        <v/>
      </c>
    </row>
    <row r="13914" customFormat="false" ht="15" hidden="false" customHeight="false" outlineLevel="0" collapsed="false">
      <c r="A13914" s="103"/>
      <c r="B13914" s="104"/>
      <c r="C13914" s="104"/>
      <c r="E13914" s="107" t="str">
        <f aca="false">IF($C13914="","",IFERROR(INDEX(المنيو!$C$2:$C$500,MATCH($C13914,المنيو!$B$2:$B$500,0)),0))</f>
        <v/>
      </c>
      <c r="F13914" s="107" t="str">
        <f aca="false">IF($C13914="","",$D13914*$E13914)</f>
        <v/>
      </c>
      <c r="G13914" s="107" t="str">
        <f aca="false">IF($C13914="","",$D13914*IFERROR(INDEX('تحليل التكلفة والسعر'!$C$2:$C$700,MATCH($C13914,'تحليل التكلفة والسعر'!$B$2:$B$700,0)),0))</f>
        <v/>
      </c>
    </row>
    <row r="13915" customFormat="false" ht="15" hidden="false" customHeight="false" outlineLevel="0" collapsed="false">
      <c r="A13915" s="103"/>
      <c r="B13915" s="104"/>
      <c r="C13915" s="104"/>
      <c r="E13915" s="107" t="str">
        <f aca="false">IF($C13915="","",IFERROR(INDEX(المنيو!$C$2:$C$500,MATCH($C13915,المنيو!$B$2:$B$500,0)),0))</f>
        <v/>
      </c>
      <c r="F13915" s="107" t="str">
        <f aca="false">IF($C13915="","",$D13915*$E13915)</f>
        <v/>
      </c>
      <c r="G13915" s="107" t="str">
        <f aca="false">IF($C13915="","",$D13915*IFERROR(INDEX('تحليل التكلفة والسعر'!$C$2:$C$700,MATCH($C13915,'تحليل التكلفة والسعر'!$B$2:$B$700,0)),0))</f>
        <v/>
      </c>
    </row>
    <row r="13916" customFormat="false" ht="15" hidden="false" customHeight="false" outlineLevel="0" collapsed="false">
      <c r="A13916" s="103"/>
      <c r="B13916" s="104"/>
      <c r="C13916" s="104"/>
      <c r="E13916" s="107" t="str">
        <f aca="false">IF($C13916="","",IFERROR(INDEX(المنيو!$C$2:$C$500,MATCH($C13916,المنيو!$B$2:$B$500,0)),0))</f>
        <v/>
      </c>
      <c r="F13916" s="107" t="str">
        <f aca="false">IF($C13916="","",$D13916*$E13916)</f>
        <v/>
      </c>
      <c r="G13916" s="107" t="str">
        <f aca="false">IF($C13916="","",$D13916*IFERROR(INDEX('تحليل التكلفة والسعر'!$C$2:$C$700,MATCH($C13916,'تحليل التكلفة والسعر'!$B$2:$B$700,0)),0))</f>
        <v/>
      </c>
    </row>
    <row r="13917" customFormat="false" ht="15" hidden="false" customHeight="false" outlineLevel="0" collapsed="false">
      <c r="A13917" s="103"/>
      <c r="B13917" s="104"/>
      <c r="C13917" s="104"/>
      <c r="E13917" s="107" t="str">
        <f aca="false">IF($C13917="","",IFERROR(INDEX(المنيو!$C$2:$C$500,MATCH($C13917,المنيو!$B$2:$B$500,0)),0))</f>
        <v/>
      </c>
      <c r="F13917" s="107" t="str">
        <f aca="false">IF($C13917="","",$D13917*$E13917)</f>
        <v/>
      </c>
      <c r="G13917" s="107" t="str">
        <f aca="false">IF($C13917="","",$D13917*IFERROR(INDEX('تحليل التكلفة والسعر'!$C$2:$C$700,MATCH($C13917,'تحليل التكلفة والسعر'!$B$2:$B$700,0)),0))</f>
        <v/>
      </c>
    </row>
    <row r="13918" customFormat="false" ht="15" hidden="false" customHeight="false" outlineLevel="0" collapsed="false">
      <c r="A13918" s="103"/>
      <c r="B13918" s="104"/>
      <c r="C13918" s="104"/>
      <c r="E13918" s="107" t="str">
        <f aca="false">IF($C13918="","",IFERROR(INDEX(المنيو!$C$2:$C$500,MATCH($C13918,المنيو!$B$2:$B$500,0)),0))</f>
        <v/>
      </c>
      <c r="F13918" s="107" t="str">
        <f aca="false">IF($C13918="","",$D13918*$E13918)</f>
        <v/>
      </c>
      <c r="G13918" s="107" t="str">
        <f aca="false">IF($C13918="","",$D13918*IFERROR(INDEX('تحليل التكلفة والسعر'!$C$2:$C$700,MATCH($C13918,'تحليل التكلفة والسعر'!$B$2:$B$700,0)),0))</f>
        <v/>
      </c>
    </row>
    <row r="13919" customFormat="false" ht="15" hidden="false" customHeight="false" outlineLevel="0" collapsed="false">
      <c r="A13919" s="103"/>
      <c r="B13919" s="104"/>
      <c r="C13919" s="104"/>
      <c r="E13919" s="107" t="str">
        <f aca="false">IF($C13919="","",IFERROR(INDEX(المنيو!$C$2:$C$500,MATCH($C13919,المنيو!$B$2:$B$500,0)),0))</f>
        <v/>
      </c>
      <c r="F13919" s="107" t="str">
        <f aca="false">IF($C13919="","",$D13919*$E13919)</f>
        <v/>
      </c>
      <c r="G13919" s="107" t="str">
        <f aca="false">IF($C13919="","",$D13919*IFERROR(INDEX('تحليل التكلفة والسعر'!$C$2:$C$700,MATCH($C13919,'تحليل التكلفة والسعر'!$B$2:$B$700,0)),0))</f>
        <v/>
      </c>
    </row>
    <row r="13920" customFormat="false" ht="15" hidden="false" customHeight="false" outlineLevel="0" collapsed="false">
      <c r="A13920" s="103"/>
      <c r="B13920" s="104"/>
      <c r="C13920" s="104"/>
      <c r="E13920" s="107" t="str">
        <f aca="false">IF($C13920="","",IFERROR(INDEX(المنيو!$C$2:$C$500,MATCH($C13920,المنيو!$B$2:$B$500,0)),0))</f>
        <v/>
      </c>
      <c r="F13920" s="107" t="str">
        <f aca="false">IF($C13920="","",$D13920*$E13920)</f>
        <v/>
      </c>
      <c r="G13920" s="107" t="str">
        <f aca="false">IF($C13920="","",$D13920*IFERROR(INDEX('تحليل التكلفة والسعر'!$C$2:$C$700,MATCH($C13920,'تحليل التكلفة والسعر'!$B$2:$B$700,0)),0))</f>
        <v/>
      </c>
    </row>
    <row r="13921" customFormat="false" ht="15" hidden="false" customHeight="false" outlineLevel="0" collapsed="false">
      <c r="A13921" s="103"/>
      <c r="B13921" s="104"/>
      <c r="C13921" s="104"/>
      <c r="E13921" s="107" t="str">
        <f aca="false">IF($C13921="","",IFERROR(INDEX(المنيو!$C$2:$C$500,MATCH($C13921,المنيو!$B$2:$B$500,0)),0))</f>
        <v/>
      </c>
      <c r="F13921" s="107" t="str">
        <f aca="false">IF($C13921="","",$D13921*$E13921)</f>
        <v/>
      </c>
      <c r="G13921" s="107" t="str">
        <f aca="false">IF($C13921="","",$D13921*IFERROR(INDEX('تحليل التكلفة والسعر'!$C$2:$C$700,MATCH($C13921,'تحليل التكلفة والسعر'!$B$2:$B$700,0)),0))</f>
        <v/>
      </c>
    </row>
    <row r="13922" customFormat="false" ht="15" hidden="false" customHeight="false" outlineLevel="0" collapsed="false">
      <c r="A13922" s="103"/>
      <c r="B13922" s="104"/>
      <c r="C13922" s="104"/>
      <c r="E13922" s="107" t="str">
        <f aca="false">IF($C13922="","",IFERROR(INDEX(المنيو!$C$2:$C$500,MATCH($C13922,المنيو!$B$2:$B$500,0)),0))</f>
        <v/>
      </c>
      <c r="F13922" s="107" t="str">
        <f aca="false">IF($C13922="","",$D13922*$E13922)</f>
        <v/>
      </c>
      <c r="G13922" s="107" t="str">
        <f aca="false">IF($C13922="","",$D13922*IFERROR(INDEX('تحليل التكلفة والسعر'!$C$2:$C$700,MATCH($C13922,'تحليل التكلفة والسعر'!$B$2:$B$700,0)),0))</f>
        <v/>
      </c>
    </row>
    <row r="13923" customFormat="false" ht="15" hidden="false" customHeight="false" outlineLevel="0" collapsed="false">
      <c r="A13923" s="103"/>
      <c r="B13923" s="104"/>
      <c r="C13923" s="104"/>
      <c r="E13923" s="107" t="str">
        <f aca="false">IF($C13923="","",IFERROR(INDEX(المنيو!$C$2:$C$500,MATCH($C13923,المنيو!$B$2:$B$500,0)),0))</f>
        <v/>
      </c>
      <c r="F13923" s="107" t="str">
        <f aca="false">IF($C13923="","",$D13923*$E13923)</f>
        <v/>
      </c>
      <c r="G13923" s="107" t="str">
        <f aca="false">IF($C13923="","",$D13923*IFERROR(INDEX('تحليل التكلفة والسعر'!$C$2:$C$700,MATCH($C13923,'تحليل التكلفة والسعر'!$B$2:$B$700,0)),0))</f>
        <v/>
      </c>
    </row>
    <row r="13924" customFormat="false" ht="15" hidden="false" customHeight="false" outlineLevel="0" collapsed="false">
      <c r="A13924" s="103"/>
      <c r="B13924" s="104"/>
      <c r="C13924" s="104"/>
      <c r="E13924" s="107" t="str">
        <f aca="false">IF($C13924="","",IFERROR(INDEX(المنيو!$C$2:$C$500,MATCH($C13924,المنيو!$B$2:$B$500,0)),0))</f>
        <v/>
      </c>
      <c r="F13924" s="107" t="str">
        <f aca="false">IF($C13924="","",$D13924*$E13924)</f>
        <v/>
      </c>
      <c r="G13924" s="107" t="str">
        <f aca="false">IF($C13924="","",$D13924*IFERROR(INDEX('تحليل التكلفة والسعر'!$C$2:$C$700,MATCH($C13924,'تحليل التكلفة والسعر'!$B$2:$B$700,0)),0))</f>
        <v/>
      </c>
    </row>
    <row r="13925" customFormat="false" ht="15" hidden="false" customHeight="false" outlineLevel="0" collapsed="false">
      <c r="A13925" s="103"/>
      <c r="B13925" s="104"/>
      <c r="C13925" s="104"/>
      <c r="E13925" s="107" t="str">
        <f aca="false">IF($C13925="","",IFERROR(INDEX(المنيو!$C$2:$C$500,MATCH($C13925,المنيو!$B$2:$B$500,0)),0))</f>
        <v/>
      </c>
      <c r="F13925" s="107" t="str">
        <f aca="false">IF($C13925="","",$D13925*$E13925)</f>
        <v/>
      </c>
      <c r="G13925" s="107" t="str">
        <f aca="false">IF($C13925="","",$D13925*IFERROR(INDEX('تحليل التكلفة والسعر'!$C$2:$C$700,MATCH($C13925,'تحليل التكلفة والسعر'!$B$2:$B$700,0)),0))</f>
        <v/>
      </c>
    </row>
    <row r="13926" customFormat="false" ht="15" hidden="false" customHeight="false" outlineLevel="0" collapsed="false">
      <c r="A13926" s="103"/>
      <c r="B13926" s="104"/>
      <c r="C13926" s="104"/>
      <c r="E13926" s="107" t="str">
        <f aca="false">IF($C13926="","",IFERROR(INDEX(المنيو!$C$2:$C$500,MATCH($C13926,المنيو!$B$2:$B$500,0)),0))</f>
        <v/>
      </c>
      <c r="F13926" s="107" t="str">
        <f aca="false">IF($C13926="","",$D13926*$E13926)</f>
        <v/>
      </c>
      <c r="G13926" s="107" t="str">
        <f aca="false">IF($C13926="","",$D13926*IFERROR(INDEX('تحليل التكلفة والسعر'!$C$2:$C$700,MATCH($C13926,'تحليل التكلفة والسعر'!$B$2:$B$700,0)),0))</f>
        <v/>
      </c>
    </row>
    <row r="13927" customFormat="false" ht="15" hidden="false" customHeight="false" outlineLevel="0" collapsed="false">
      <c r="A13927" s="103"/>
      <c r="B13927" s="104"/>
      <c r="C13927" s="104"/>
      <c r="E13927" s="107" t="str">
        <f aca="false">IF($C13927="","",IFERROR(INDEX(المنيو!$C$2:$C$500,MATCH($C13927,المنيو!$B$2:$B$500,0)),0))</f>
        <v/>
      </c>
      <c r="F13927" s="107" t="str">
        <f aca="false">IF($C13927="","",$D13927*$E13927)</f>
        <v/>
      </c>
      <c r="G13927" s="107" t="str">
        <f aca="false">IF($C13927="","",$D13927*IFERROR(INDEX('تحليل التكلفة والسعر'!$C$2:$C$700,MATCH($C13927,'تحليل التكلفة والسعر'!$B$2:$B$700,0)),0))</f>
        <v/>
      </c>
    </row>
    <row r="13928" customFormat="false" ht="15" hidden="false" customHeight="false" outlineLevel="0" collapsed="false">
      <c r="A13928" s="103"/>
      <c r="B13928" s="104"/>
      <c r="C13928" s="104"/>
      <c r="E13928" s="107" t="str">
        <f aca="false">IF($C13928="","",IFERROR(INDEX(المنيو!$C$2:$C$500,MATCH($C13928,المنيو!$B$2:$B$500,0)),0))</f>
        <v/>
      </c>
      <c r="F13928" s="107" t="str">
        <f aca="false">IF($C13928="","",$D13928*$E13928)</f>
        <v/>
      </c>
      <c r="G13928" s="107" t="str">
        <f aca="false">IF($C13928="","",$D13928*IFERROR(INDEX('تحليل التكلفة والسعر'!$C$2:$C$700,MATCH($C13928,'تحليل التكلفة والسعر'!$B$2:$B$700,0)),0))</f>
        <v/>
      </c>
    </row>
    <row r="13929" customFormat="false" ht="15" hidden="false" customHeight="false" outlineLevel="0" collapsed="false">
      <c r="A13929" s="103"/>
      <c r="B13929" s="104"/>
      <c r="C13929" s="104"/>
      <c r="E13929" s="107" t="str">
        <f aca="false">IF($C13929="","",IFERROR(INDEX(المنيو!$C$2:$C$500,MATCH($C13929,المنيو!$B$2:$B$500,0)),0))</f>
        <v/>
      </c>
      <c r="F13929" s="107" t="str">
        <f aca="false">IF($C13929="","",$D13929*$E13929)</f>
        <v/>
      </c>
      <c r="G13929" s="107" t="str">
        <f aca="false">IF($C13929="","",$D13929*IFERROR(INDEX('تحليل التكلفة والسعر'!$C$2:$C$700,MATCH($C13929,'تحليل التكلفة والسعر'!$B$2:$B$700,0)),0))</f>
        <v/>
      </c>
    </row>
    <row r="13930" customFormat="false" ht="15" hidden="false" customHeight="false" outlineLevel="0" collapsed="false">
      <c r="A13930" s="103"/>
      <c r="B13930" s="104"/>
      <c r="C13930" s="104"/>
      <c r="E13930" s="107" t="str">
        <f aca="false">IF($C13930="","",IFERROR(INDEX(المنيو!$C$2:$C$500,MATCH($C13930,المنيو!$B$2:$B$500,0)),0))</f>
        <v/>
      </c>
      <c r="F13930" s="107" t="str">
        <f aca="false">IF($C13930="","",$D13930*$E13930)</f>
        <v/>
      </c>
      <c r="G13930" s="107" t="str">
        <f aca="false">IF($C13930="","",$D13930*IFERROR(INDEX('تحليل التكلفة والسعر'!$C$2:$C$700,MATCH($C13930,'تحليل التكلفة والسعر'!$B$2:$B$700,0)),0))</f>
        <v/>
      </c>
    </row>
    <row r="13931" customFormat="false" ht="15" hidden="false" customHeight="false" outlineLevel="0" collapsed="false">
      <c r="A13931" s="103"/>
      <c r="B13931" s="104"/>
      <c r="C13931" s="104"/>
      <c r="E13931" s="107" t="str">
        <f aca="false">IF($C13931="","",IFERROR(INDEX(المنيو!$C$2:$C$500,MATCH($C13931,المنيو!$B$2:$B$500,0)),0))</f>
        <v/>
      </c>
      <c r="F13931" s="107" t="str">
        <f aca="false">IF($C13931="","",$D13931*$E13931)</f>
        <v/>
      </c>
      <c r="G13931" s="107" t="str">
        <f aca="false">IF($C13931="","",$D13931*IFERROR(INDEX('تحليل التكلفة والسعر'!$C$2:$C$700,MATCH($C13931,'تحليل التكلفة والسعر'!$B$2:$B$700,0)),0))</f>
        <v/>
      </c>
    </row>
    <row r="13932" customFormat="false" ht="15" hidden="false" customHeight="false" outlineLevel="0" collapsed="false">
      <c r="A13932" s="103"/>
      <c r="B13932" s="104"/>
      <c r="C13932" s="104"/>
      <c r="E13932" s="107" t="str">
        <f aca="false">IF($C13932="","",IFERROR(INDEX(المنيو!$C$2:$C$500,MATCH($C13932,المنيو!$B$2:$B$500,0)),0))</f>
        <v/>
      </c>
      <c r="F13932" s="107" t="str">
        <f aca="false">IF($C13932="","",$D13932*$E13932)</f>
        <v/>
      </c>
      <c r="G13932" s="107" t="str">
        <f aca="false">IF($C13932="","",$D13932*IFERROR(INDEX('تحليل التكلفة والسعر'!$C$2:$C$700,MATCH($C13932,'تحليل التكلفة والسعر'!$B$2:$B$700,0)),0))</f>
        <v/>
      </c>
    </row>
    <row r="13933" customFormat="false" ht="15" hidden="false" customHeight="false" outlineLevel="0" collapsed="false">
      <c r="A13933" s="103"/>
      <c r="B13933" s="104"/>
      <c r="C13933" s="104"/>
      <c r="E13933" s="107" t="str">
        <f aca="false">IF($C13933="","",IFERROR(INDEX(المنيو!$C$2:$C$500,MATCH($C13933,المنيو!$B$2:$B$500,0)),0))</f>
        <v/>
      </c>
      <c r="F13933" s="107" t="str">
        <f aca="false">IF($C13933="","",$D13933*$E13933)</f>
        <v/>
      </c>
      <c r="G13933" s="107" t="str">
        <f aca="false">IF($C13933="","",$D13933*IFERROR(INDEX('تحليل التكلفة والسعر'!$C$2:$C$700,MATCH($C13933,'تحليل التكلفة والسعر'!$B$2:$B$700,0)),0))</f>
        <v/>
      </c>
    </row>
    <row r="13934" customFormat="false" ht="15" hidden="false" customHeight="false" outlineLevel="0" collapsed="false">
      <c r="A13934" s="103"/>
      <c r="B13934" s="104"/>
      <c r="C13934" s="104"/>
      <c r="E13934" s="107" t="str">
        <f aca="false">IF($C13934="","",IFERROR(INDEX(المنيو!$C$2:$C$500,MATCH($C13934,المنيو!$B$2:$B$500,0)),0))</f>
        <v/>
      </c>
      <c r="F13934" s="107" t="str">
        <f aca="false">IF($C13934="","",$D13934*$E13934)</f>
        <v/>
      </c>
      <c r="G13934" s="107" t="str">
        <f aca="false">IF($C13934="","",$D13934*IFERROR(INDEX('تحليل التكلفة والسعر'!$C$2:$C$700,MATCH($C13934,'تحليل التكلفة والسعر'!$B$2:$B$700,0)),0))</f>
        <v/>
      </c>
    </row>
    <row r="13935" customFormat="false" ht="15" hidden="false" customHeight="false" outlineLevel="0" collapsed="false">
      <c r="A13935" s="103"/>
      <c r="B13935" s="104"/>
      <c r="C13935" s="104"/>
      <c r="E13935" s="107" t="str">
        <f aca="false">IF($C13935="","",IFERROR(INDEX(المنيو!$C$2:$C$500,MATCH($C13935,المنيو!$B$2:$B$500,0)),0))</f>
        <v/>
      </c>
      <c r="F13935" s="107" t="str">
        <f aca="false">IF($C13935="","",$D13935*$E13935)</f>
        <v/>
      </c>
      <c r="G13935" s="107" t="str">
        <f aca="false">IF($C13935="","",$D13935*IFERROR(INDEX('تحليل التكلفة والسعر'!$C$2:$C$700,MATCH($C13935,'تحليل التكلفة والسعر'!$B$2:$B$700,0)),0))</f>
        <v/>
      </c>
    </row>
    <row r="13936" customFormat="false" ht="15" hidden="false" customHeight="false" outlineLevel="0" collapsed="false">
      <c r="A13936" s="103"/>
      <c r="B13936" s="104"/>
      <c r="C13936" s="104"/>
      <c r="E13936" s="107" t="str">
        <f aca="false">IF($C13936="","",IFERROR(INDEX(المنيو!$C$2:$C$500,MATCH($C13936,المنيو!$B$2:$B$500,0)),0))</f>
        <v/>
      </c>
      <c r="F13936" s="107" t="str">
        <f aca="false">IF($C13936="","",$D13936*$E13936)</f>
        <v/>
      </c>
      <c r="G13936" s="107" t="str">
        <f aca="false">IF($C13936="","",$D13936*IFERROR(INDEX('تحليل التكلفة والسعر'!$C$2:$C$700,MATCH($C13936,'تحليل التكلفة والسعر'!$B$2:$B$700,0)),0))</f>
        <v/>
      </c>
    </row>
    <row r="13937" customFormat="false" ht="15" hidden="false" customHeight="false" outlineLevel="0" collapsed="false">
      <c r="A13937" s="103"/>
      <c r="B13937" s="104"/>
      <c r="C13937" s="104"/>
      <c r="E13937" s="107" t="str">
        <f aca="false">IF($C13937="","",IFERROR(INDEX(المنيو!$C$2:$C$500,MATCH($C13937,المنيو!$B$2:$B$500,0)),0))</f>
        <v/>
      </c>
      <c r="F13937" s="107" t="str">
        <f aca="false">IF($C13937="","",$D13937*$E13937)</f>
        <v/>
      </c>
      <c r="G13937" s="107" t="str">
        <f aca="false">IF($C13937="","",$D13937*IFERROR(INDEX('تحليل التكلفة والسعر'!$C$2:$C$700,MATCH($C13937,'تحليل التكلفة والسعر'!$B$2:$B$700,0)),0))</f>
        <v/>
      </c>
    </row>
    <row r="13938" customFormat="false" ht="15" hidden="false" customHeight="false" outlineLevel="0" collapsed="false">
      <c r="A13938" s="103"/>
      <c r="B13938" s="104"/>
      <c r="C13938" s="104"/>
      <c r="E13938" s="107" t="str">
        <f aca="false">IF($C13938="","",IFERROR(INDEX(المنيو!$C$2:$C$500,MATCH($C13938,المنيو!$B$2:$B$500,0)),0))</f>
        <v/>
      </c>
      <c r="F13938" s="107" t="str">
        <f aca="false">IF($C13938="","",$D13938*$E13938)</f>
        <v/>
      </c>
      <c r="G13938" s="107" t="str">
        <f aca="false">IF($C13938="","",$D13938*IFERROR(INDEX('تحليل التكلفة والسعر'!$C$2:$C$700,MATCH($C13938,'تحليل التكلفة والسعر'!$B$2:$B$700,0)),0))</f>
        <v/>
      </c>
    </row>
    <row r="13939" customFormat="false" ht="15" hidden="false" customHeight="false" outlineLevel="0" collapsed="false">
      <c r="A13939" s="103"/>
      <c r="B13939" s="104"/>
      <c r="C13939" s="104"/>
      <c r="E13939" s="107" t="str">
        <f aca="false">IF($C13939="","",IFERROR(INDEX(المنيو!$C$2:$C$500,MATCH($C13939,المنيو!$B$2:$B$500,0)),0))</f>
        <v/>
      </c>
      <c r="F13939" s="107" t="str">
        <f aca="false">IF($C13939="","",$D13939*$E13939)</f>
        <v/>
      </c>
      <c r="G13939" s="107" t="str">
        <f aca="false">IF($C13939="","",$D13939*IFERROR(INDEX('تحليل التكلفة والسعر'!$C$2:$C$700,MATCH($C13939,'تحليل التكلفة والسعر'!$B$2:$B$700,0)),0))</f>
        <v/>
      </c>
    </row>
    <row r="13940" customFormat="false" ht="15" hidden="false" customHeight="false" outlineLevel="0" collapsed="false">
      <c r="A13940" s="103"/>
      <c r="B13940" s="104"/>
      <c r="C13940" s="104"/>
      <c r="E13940" s="107" t="str">
        <f aca="false">IF($C13940="","",IFERROR(INDEX(المنيو!$C$2:$C$500,MATCH($C13940,المنيو!$B$2:$B$500,0)),0))</f>
        <v/>
      </c>
      <c r="F13940" s="107" t="str">
        <f aca="false">IF($C13940="","",$D13940*$E13940)</f>
        <v/>
      </c>
      <c r="G13940" s="107" t="str">
        <f aca="false">IF($C13940="","",$D13940*IFERROR(INDEX('تحليل التكلفة والسعر'!$C$2:$C$700,MATCH($C13940,'تحليل التكلفة والسعر'!$B$2:$B$700,0)),0))</f>
        <v/>
      </c>
    </row>
    <row r="13941" customFormat="false" ht="15" hidden="false" customHeight="false" outlineLevel="0" collapsed="false">
      <c r="A13941" s="103"/>
      <c r="B13941" s="104"/>
      <c r="C13941" s="104"/>
      <c r="E13941" s="107" t="str">
        <f aca="false">IF($C13941="","",IFERROR(INDEX(المنيو!$C$2:$C$500,MATCH($C13941,المنيو!$B$2:$B$500,0)),0))</f>
        <v/>
      </c>
      <c r="F13941" s="107" t="str">
        <f aca="false">IF($C13941="","",$D13941*$E13941)</f>
        <v/>
      </c>
      <c r="G13941" s="107" t="str">
        <f aca="false">IF($C13941="","",$D13941*IFERROR(INDEX('تحليل التكلفة والسعر'!$C$2:$C$700,MATCH($C13941,'تحليل التكلفة والسعر'!$B$2:$B$700,0)),0))</f>
        <v/>
      </c>
    </row>
    <row r="13942" customFormat="false" ht="15" hidden="false" customHeight="false" outlineLevel="0" collapsed="false">
      <c r="A13942" s="103"/>
      <c r="B13942" s="104"/>
      <c r="C13942" s="104"/>
      <c r="E13942" s="107" t="str">
        <f aca="false">IF($C13942="","",IFERROR(INDEX(المنيو!$C$2:$C$500,MATCH($C13942,المنيو!$B$2:$B$500,0)),0))</f>
        <v/>
      </c>
      <c r="F13942" s="107" t="str">
        <f aca="false">IF($C13942="","",$D13942*$E13942)</f>
        <v/>
      </c>
      <c r="G13942" s="107" t="str">
        <f aca="false">IF($C13942="","",$D13942*IFERROR(INDEX('تحليل التكلفة والسعر'!$C$2:$C$700,MATCH($C13942,'تحليل التكلفة والسعر'!$B$2:$B$700,0)),0))</f>
        <v/>
      </c>
    </row>
    <row r="13943" customFormat="false" ht="15" hidden="false" customHeight="false" outlineLevel="0" collapsed="false">
      <c r="A13943" s="103"/>
      <c r="B13943" s="104"/>
      <c r="C13943" s="104"/>
      <c r="E13943" s="107" t="str">
        <f aca="false">IF($C13943="","",IFERROR(INDEX(المنيو!$C$2:$C$500,MATCH($C13943,المنيو!$B$2:$B$500,0)),0))</f>
        <v/>
      </c>
      <c r="F13943" s="107" t="str">
        <f aca="false">IF($C13943="","",$D13943*$E13943)</f>
        <v/>
      </c>
      <c r="G13943" s="107" t="str">
        <f aca="false">IF($C13943="","",$D13943*IFERROR(INDEX('تحليل التكلفة والسعر'!$C$2:$C$700,MATCH($C13943,'تحليل التكلفة والسعر'!$B$2:$B$700,0)),0))</f>
        <v/>
      </c>
    </row>
    <row r="13944" customFormat="false" ht="15" hidden="false" customHeight="false" outlineLevel="0" collapsed="false">
      <c r="A13944" s="103"/>
      <c r="B13944" s="104"/>
      <c r="C13944" s="104"/>
      <c r="E13944" s="107" t="str">
        <f aca="false">IF($C13944="","",IFERROR(INDEX(المنيو!$C$2:$C$500,MATCH($C13944,المنيو!$B$2:$B$500,0)),0))</f>
        <v/>
      </c>
      <c r="F13944" s="107" t="str">
        <f aca="false">IF($C13944="","",$D13944*$E13944)</f>
        <v/>
      </c>
      <c r="G13944" s="107" t="str">
        <f aca="false">IF($C13944="","",$D13944*IFERROR(INDEX('تحليل التكلفة والسعر'!$C$2:$C$700,MATCH($C13944,'تحليل التكلفة والسعر'!$B$2:$B$700,0)),0))</f>
        <v/>
      </c>
    </row>
    <row r="13945" customFormat="false" ht="15" hidden="false" customHeight="false" outlineLevel="0" collapsed="false">
      <c r="A13945" s="103"/>
      <c r="B13945" s="104"/>
      <c r="C13945" s="104"/>
      <c r="E13945" s="107" t="str">
        <f aca="false">IF($C13945="","",IFERROR(INDEX(المنيو!$C$2:$C$500,MATCH($C13945,المنيو!$B$2:$B$500,0)),0))</f>
        <v/>
      </c>
      <c r="F13945" s="107" t="str">
        <f aca="false">IF($C13945="","",$D13945*$E13945)</f>
        <v/>
      </c>
      <c r="G13945" s="107" t="str">
        <f aca="false">IF($C13945="","",$D13945*IFERROR(INDEX('تحليل التكلفة والسعر'!$C$2:$C$700,MATCH($C13945,'تحليل التكلفة والسعر'!$B$2:$B$700,0)),0))</f>
        <v/>
      </c>
    </row>
    <row r="13946" customFormat="false" ht="15" hidden="false" customHeight="false" outlineLevel="0" collapsed="false">
      <c r="A13946" s="103"/>
      <c r="B13946" s="104"/>
      <c r="C13946" s="104"/>
      <c r="E13946" s="107" t="str">
        <f aca="false">IF($C13946="","",IFERROR(INDEX(المنيو!$C$2:$C$500,MATCH($C13946,المنيو!$B$2:$B$500,0)),0))</f>
        <v/>
      </c>
      <c r="F13946" s="107" t="str">
        <f aca="false">IF($C13946="","",$D13946*$E13946)</f>
        <v/>
      </c>
      <c r="G13946" s="107" t="str">
        <f aca="false">IF($C13946="","",$D13946*IFERROR(INDEX('تحليل التكلفة والسعر'!$C$2:$C$700,MATCH($C13946,'تحليل التكلفة والسعر'!$B$2:$B$700,0)),0))</f>
        <v/>
      </c>
    </row>
    <row r="13947" customFormat="false" ht="15" hidden="false" customHeight="false" outlineLevel="0" collapsed="false">
      <c r="A13947" s="103"/>
      <c r="B13947" s="104"/>
      <c r="C13947" s="104"/>
      <c r="E13947" s="107" t="str">
        <f aca="false">IF($C13947="","",IFERROR(INDEX(المنيو!$C$2:$C$500,MATCH($C13947,المنيو!$B$2:$B$500,0)),0))</f>
        <v/>
      </c>
      <c r="F13947" s="107" t="str">
        <f aca="false">IF($C13947="","",$D13947*$E13947)</f>
        <v/>
      </c>
      <c r="G13947" s="107" t="str">
        <f aca="false">IF($C13947="","",$D13947*IFERROR(INDEX('تحليل التكلفة والسعر'!$C$2:$C$700,MATCH($C13947,'تحليل التكلفة والسعر'!$B$2:$B$700,0)),0))</f>
        <v/>
      </c>
    </row>
    <row r="13948" customFormat="false" ht="15" hidden="false" customHeight="false" outlineLevel="0" collapsed="false">
      <c r="A13948" s="103"/>
      <c r="B13948" s="104"/>
      <c r="C13948" s="104"/>
      <c r="E13948" s="107" t="str">
        <f aca="false">IF($C13948="","",IFERROR(INDEX(المنيو!$C$2:$C$500,MATCH($C13948,المنيو!$B$2:$B$500,0)),0))</f>
        <v/>
      </c>
      <c r="F13948" s="107" t="str">
        <f aca="false">IF($C13948="","",$D13948*$E13948)</f>
        <v/>
      </c>
      <c r="G13948" s="107" t="str">
        <f aca="false">IF($C13948="","",$D13948*IFERROR(INDEX('تحليل التكلفة والسعر'!$C$2:$C$700,MATCH($C13948,'تحليل التكلفة والسعر'!$B$2:$B$700,0)),0))</f>
        <v/>
      </c>
    </row>
    <row r="13949" customFormat="false" ht="15" hidden="false" customHeight="false" outlineLevel="0" collapsed="false">
      <c r="A13949" s="103"/>
      <c r="B13949" s="104"/>
      <c r="C13949" s="104"/>
      <c r="E13949" s="107" t="str">
        <f aca="false">IF($C13949="","",IFERROR(INDEX(المنيو!$C$2:$C$500,MATCH($C13949,المنيو!$B$2:$B$500,0)),0))</f>
        <v/>
      </c>
      <c r="F13949" s="107" t="str">
        <f aca="false">IF($C13949="","",$D13949*$E13949)</f>
        <v/>
      </c>
      <c r="G13949" s="107" t="str">
        <f aca="false">IF($C13949="","",$D13949*IFERROR(INDEX('تحليل التكلفة والسعر'!$C$2:$C$700,MATCH($C13949,'تحليل التكلفة والسعر'!$B$2:$B$700,0)),0))</f>
        <v/>
      </c>
    </row>
    <row r="13950" customFormat="false" ht="15" hidden="false" customHeight="false" outlineLevel="0" collapsed="false">
      <c r="A13950" s="103"/>
      <c r="B13950" s="104"/>
      <c r="C13950" s="104"/>
      <c r="E13950" s="107" t="str">
        <f aca="false">IF($C13950="","",IFERROR(INDEX(المنيو!$C$2:$C$500,MATCH($C13950,المنيو!$B$2:$B$500,0)),0))</f>
        <v/>
      </c>
      <c r="F13950" s="107" t="str">
        <f aca="false">IF($C13950="","",$D13950*$E13950)</f>
        <v/>
      </c>
      <c r="G13950" s="107" t="str">
        <f aca="false">IF($C13950="","",$D13950*IFERROR(INDEX('تحليل التكلفة والسعر'!$C$2:$C$700,MATCH($C13950,'تحليل التكلفة والسعر'!$B$2:$B$700,0)),0))</f>
        <v/>
      </c>
    </row>
    <row r="13951" customFormat="false" ht="15" hidden="false" customHeight="false" outlineLevel="0" collapsed="false">
      <c r="A13951" s="103"/>
      <c r="B13951" s="104"/>
      <c r="C13951" s="104"/>
      <c r="E13951" s="107" t="str">
        <f aca="false">IF($C13951="","",IFERROR(INDEX(المنيو!$C$2:$C$500,MATCH($C13951,المنيو!$B$2:$B$500,0)),0))</f>
        <v/>
      </c>
      <c r="F13951" s="107" t="str">
        <f aca="false">IF($C13951="","",$D13951*$E13951)</f>
        <v/>
      </c>
      <c r="G13951" s="107" t="str">
        <f aca="false">IF($C13951="","",$D13951*IFERROR(INDEX('تحليل التكلفة والسعر'!$C$2:$C$700,MATCH($C13951,'تحليل التكلفة والسعر'!$B$2:$B$700,0)),0))</f>
        <v/>
      </c>
    </row>
    <row r="13952" customFormat="false" ht="15" hidden="false" customHeight="false" outlineLevel="0" collapsed="false">
      <c r="A13952" s="103"/>
      <c r="B13952" s="104"/>
      <c r="C13952" s="104"/>
      <c r="E13952" s="107" t="str">
        <f aca="false">IF($C13952="","",IFERROR(INDEX(المنيو!$C$2:$C$500,MATCH($C13952,المنيو!$B$2:$B$500,0)),0))</f>
        <v/>
      </c>
      <c r="F13952" s="107" t="str">
        <f aca="false">IF($C13952="","",$D13952*$E13952)</f>
        <v/>
      </c>
      <c r="G13952" s="107" t="str">
        <f aca="false">IF($C13952="","",$D13952*IFERROR(INDEX('تحليل التكلفة والسعر'!$C$2:$C$700,MATCH($C13952,'تحليل التكلفة والسعر'!$B$2:$B$700,0)),0))</f>
        <v/>
      </c>
    </row>
    <row r="13953" customFormat="false" ht="15" hidden="false" customHeight="false" outlineLevel="0" collapsed="false">
      <c r="A13953" s="103"/>
      <c r="B13953" s="104"/>
      <c r="C13953" s="104"/>
      <c r="E13953" s="107" t="str">
        <f aca="false">IF($C13953="","",IFERROR(INDEX(المنيو!$C$2:$C$500,MATCH($C13953,المنيو!$B$2:$B$500,0)),0))</f>
        <v/>
      </c>
      <c r="F13953" s="107" t="str">
        <f aca="false">IF($C13953="","",$D13953*$E13953)</f>
        <v/>
      </c>
      <c r="G13953" s="107" t="str">
        <f aca="false">IF($C13953="","",$D13953*IFERROR(INDEX('تحليل التكلفة والسعر'!$C$2:$C$700,MATCH($C13953,'تحليل التكلفة والسعر'!$B$2:$B$700,0)),0))</f>
        <v/>
      </c>
    </row>
    <row r="13954" customFormat="false" ht="15" hidden="false" customHeight="false" outlineLevel="0" collapsed="false">
      <c r="A13954" s="103"/>
      <c r="B13954" s="104"/>
      <c r="C13954" s="104"/>
      <c r="E13954" s="107" t="str">
        <f aca="false">IF($C13954="","",IFERROR(INDEX(المنيو!$C$2:$C$500,MATCH($C13954,المنيو!$B$2:$B$500,0)),0))</f>
        <v/>
      </c>
      <c r="F13954" s="107" t="str">
        <f aca="false">IF($C13954="","",$D13954*$E13954)</f>
        <v/>
      </c>
      <c r="G13954" s="107" t="str">
        <f aca="false">IF($C13954="","",$D13954*IFERROR(INDEX('تحليل التكلفة والسعر'!$C$2:$C$700,MATCH($C13954,'تحليل التكلفة والسعر'!$B$2:$B$700,0)),0))</f>
        <v/>
      </c>
    </row>
    <row r="13955" customFormat="false" ht="15" hidden="false" customHeight="false" outlineLevel="0" collapsed="false">
      <c r="A13955" s="103"/>
      <c r="B13955" s="104"/>
      <c r="C13955" s="104"/>
      <c r="E13955" s="107" t="str">
        <f aca="false">IF($C13955="","",IFERROR(INDEX(المنيو!$C$2:$C$500,MATCH($C13955,المنيو!$B$2:$B$500,0)),0))</f>
        <v/>
      </c>
      <c r="F13955" s="107" t="str">
        <f aca="false">IF($C13955="","",$D13955*$E13955)</f>
        <v/>
      </c>
      <c r="G13955" s="107" t="str">
        <f aca="false">IF($C13955="","",$D13955*IFERROR(INDEX('تحليل التكلفة والسعر'!$C$2:$C$700,MATCH($C13955,'تحليل التكلفة والسعر'!$B$2:$B$700,0)),0))</f>
        <v/>
      </c>
    </row>
    <row r="13956" customFormat="false" ht="15" hidden="false" customHeight="false" outlineLevel="0" collapsed="false">
      <c r="A13956" s="103"/>
      <c r="B13956" s="104"/>
      <c r="C13956" s="104"/>
      <c r="E13956" s="107" t="str">
        <f aca="false">IF($C13956="","",IFERROR(INDEX(المنيو!$C$2:$C$500,MATCH($C13956,المنيو!$B$2:$B$500,0)),0))</f>
        <v/>
      </c>
      <c r="F13956" s="107" t="str">
        <f aca="false">IF($C13956="","",$D13956*$E13956)</f>
        <v/>
      </c>
      <c r="G13956" s="107" t="str">
        <f aca="false">IF($C13956="","",$D13956*IFERROR(INDEX('تحليل التكلفة والسعر'!$C$2:$C$700,MATCH($C13956,'تحليل التكلفة والسعر'!$B$2:$B$700,0)),0))</f>
        <v/>
      </c>
    </row>
    <row r="13957" customFormat="false" ht="15" hidden="false" customHeight="false" outlineLevel="0" collapsed="false">
      <c r="A13957" s="103"/>
      <c r="B13957" s="104"/>
      <c r="C13957" s="104"/>
      <c r="E13957" s="107" t="str">
        <f aca="false">IF($C13957="","",IFERROR(INDEX(المنيو!$C$2:$C$500,MATCH($C13957,المنيو!$B$2:$B$500,0)),0))</f>
        <v/>
      </c>
      <c r="F13957" s="107" t="str">
        <f aca="false">IF($C13957="","",$D13957*$E13957)</f>
        <v/>
      </c>
      <c r="G13957" s="107" t="str">
        <f aca="false">IF($C13957="","",$D13957*IFERROR(INDEX('تحليل التكلفة والسعر'!$C$2:$C$700,MATCH($C13957,'تحليل التكلفة والسعر'!$B$2:$B$700,0)),0))</f>
        <v/>
      </c>
    </row>
    <row r="13958" customFormat="false" ht="15" hidden="false" customHeight="false" outlineLevel="0" collapsed="false">
      <c r="A13958" s="103"/>
      <c r="B13958" s="104"/>
      <c r="C13958" s="104"/>
      <c r="E13958" s="107" t="str">
        <f aca="false">IF($C13958="","",IFERROR(INDEX(المنيو!$C$2:$C$500,MATCH($C13958,المنيو!$B$2:$B$500,0)),0))</f>
        <v/>
      </c>
      <c r="F13958" s="107" t="str">
        <f aca="false">IF($C13958="","",$D13958*$E13958)</f>
        <v/>
      </c>
      <c r="G13958" s="107" t="str">
        <f aca="false">IF($C13958="","",$D13958*IFERROR(INDEX('تحليل التكلفة والسعر'!$C$2:$C$700,MATCH($C13958,'تحليل التكلفة والسعر'!$B$2:$B$700,0)),0))</f>
        <v/>
      </c>
    </row>
    <row r="13959" customFormat="false" ht="15" hidden="false" customHeight="false" outlineLevel="0" collapsed="false">
      <c r="A13959" s="103"/>
      <c r="B13959" s="104"/>
      <c r="C13959" s="104"/>
      <c r="E13959" s="107" t="str">
        <f aca="false">IF($C13959="","",IFERROR(INDEX(المنيو!$C$2:$C$500,MATCH($C13959,المنيو!$B$2:$B$500,0)),0))</f>
        <v/>
      </c>
      <c r="F13959" s="107" t="str">
        <f aca="false">IF($C13959="","",$D13959*$E13959)</f>
        <v/>
      </c>
      <c r="G13959" s="107" t="str">
        <f aca="false">IF($C13959="","",$D13959*IFERROR(INDEX('تحليل التكلفة والسعر'!$C$2:$C$700,MATCH($C13959,'تحليل التكلفة والسعر'!$B$2:$B$700,0)),0))</f>
        <v/>
      </c>
    </row>
    <row r="13960" customFormat="false" ht="15" hidden="false" customHeight="false" outlineLevel="0" collapsed="false">
      <c r="A13960" s="103"/>
      <c r="B13960" s="104"/>
      <c r="C13960" s="104"/>
      <c r="E13960" s="107" t="str">
        <f aca="false">IF($C13960="","",IFERROR(INDEX(المنيو!$C$2:$C$500,MATCH($C13960,المنيو!$B$2:$B$500,0)),0))</f>
        <v/>
      </c>
      <c r="F13960" s="107" t="str">
        <f aca="false">IF($C13960="","",$D13960*$E13960)</f>
        <v/>
      </c>
      <c r="G13960" s="107" t="str">
        <f aca="false">IF($C13960="","",$D13960*IFERROR(INDEX('تحليل التكلفة والسعر'!$C$2:$C$700,MATCH($C13960,'تحليل التكلفة والسعر'!$B$2:$B$700,0)),0))</f>
        <v/>
      </c>
    </row>
    <row r="13961" customFormat="false" ht="15" hidden="false" customHeight="false" outlineLevel="0" collapsed="false">
      <c r="A13961" s="103"/>
      <c r="B13961" s="104"/>
      <c r="C13961" s="104"/>
      <c r="E13961" s="107" t="str">
        <f aca="false">IF($C13961="","",IFERROR(INDEX(المنيو!$C$2:$C$500,MATCH($C13961,المنيو!$B$2:$B$500,0)),0))</f>
        <v/>
      </c>
      <c r="F13961" s="107" t="str">
        <f aca="false">IF($C13961="","",$D13961*$E13961)</f>
        <v/>
      </c>
      <c r="G13961" s="107" t="str">
        <f aca="false">IF($C13961="","",$D13961*IFERROR(INDEX('تحليل التكلفة والسعر'!$C$2:$C$700,MATCH($C13961,'تحليل التكلفة والسعر'!$B$2:$B$700,0)),0))</f>
        <v/>
      </c>
    </row>
    <row r="13962" customFormat="false" ht="15" hidden="false" customHeight="false" outlineLevel="0" collapsed="false">
      <c r="A13962" s="103"/>
      <c r="B13962" s="104"/>
      <c r="C13962" s="104"/>
      <c r="E13962" s="107" t="str">
        <f aca="false">IF($C13962="","",IFERROR(INDEX(المنيو!$C$2:$C$500,MATCH($C13962,المنيو!$B$2:$B$500,0)),0))</f>
        <v/>
      </c>
      <c r="F13962" s="107" t="str">
        <f aca="false">IF($C13962="","",$D13962*$E13962)</f>
        <v/>
      </c>
      <c r="G13962" s="107" t="str">
        <f aca="false">IF($C13962="","",$D13962*IFERROR(INDEX('تحليل التكلفة والسعر'!$C$2:$C$700,MATCH($C13962,'تحليل التكلفة والسعر'!$B$2:$B$700,0)),0))</f>
        <v/>
      </c>
    </row>
    <row r="13963" customFormat="false" ht="15" hidden="false" customHeight="false" outlineLevel="0" collapsed="false">
      <c r="A13963" s="103"/>
      <c r="B13963" s="104"/>
      <c r="C13963" s="104"/>
      <c r="E13963" s="107" t="str">
        <f aca="false">IF($C13963="","",IFERROR(INDEX(المنيو!$C$2:$C$500,MATCH($C13963,المنيو!$B$2:$B$500,0)),0))</f>
        <v/>
      </c>
      <c r="F13963" s="107" t="str">
        <f aca="false">IF($C13963="","",$D13963*$E13963)</f>
        <v/>
      </c>
      <c r="G13963" s="107" t="str">
        <f aca="false">IF($C13963="","",$D13963*IFERROR(INDEX('تحليل التكلفة والسعر'!$C$2:$C$700,MATCH($C13963,'تحليل التكلفة والسعر'!$B$2:$B$700,0)),0))</f>
        <v/>
      </c>
    </row>
    <row r="13964" customFormat="false" ht="15" hidden="false" customHeight="false" outlineLevel="0" collapsed="false">
      <c r="A13964" s="103"/>
      <c r="B13964" s="104"/>
      <c r="C13964" s="104"/>
      <c r="E13964" s="107" t="str">
        <f aca="false">IF($C13964="","",IFERROR(INDEX(المنيو!$C$2:$C$500,MATCH($C13964,المنيو!$B$2:$B$500,0)),0))</f>
        <v/>
      </c>
      <c r="F13964" s="107" t="str">
        <f aca="false">IF($C13964="","",$D13964*$E13964)</f>
        <v/>
      </c>
      <c r="G13964" s="107" t="str">
        <f aca="false">IF($C13964="","",$D13964*IFERROR(INDEX('تحليل التكلفة والسعر'!$C$2:$C$700,MATCH($C13964,'تحليل التكلفة والسعر'!$B$2:$B$700,0)),0))</f>
        <v/>
      </c>
    </row>
    <row r="13965" customFormat="false" ht="15" hidden="false" customHeight="false" outlineLevel="0" collapsed="false">
      <c r="A13965" s="103"/>
      <c r="B13965" s="104"/>
      <c r="C13965" s="104"/>
      <c r="E13965" s="107" t="str">
        <f aca="false">IF($C13965="","",IFERROR(INDEX(المنيو!$C$2:$C$500,MATCH($C13965,المنيو!$B$2:$B$500,0)),0))</f>
        <v/>
      </c>
      <c r="F13965" s="107" t="str">
        <f aca="false">IF($C13965="","",$D13965*$E13965)</f>
        <v/>
      </c>
      <c r="G13965" s="107" t="str">
        <f aca="false">IF($C13965="","",$D13965*IFERROR(INDEX('تحليل التكلفة والسعر'!$C$2:$C$700,MATCH($C13965,'تحليل التكلفة والسعر'!$B$2:$B$700,0)),0))</f>
        <v/>
      </c>
    </row>
    <row r="13966" customFormat="false" ht="15" hidden="false" customHeight="false" outlineLevel="0" collapsed="false">
      <c r="A13966" s="103"/>
      <c r="B13966" s="104"/>
      <c r="C13966" s="104"/>
      <c r="E13966" s="107" t="str">
        <f aca="false">IF($C13966="","",IFERROR(INDEX(المنيو!$C$2:$C$500,MATCH($C13966,المنيو!$B$2:$B$500,0)),0))</f>
        <v/>
      </c>
      <c r="F13966" s="107" t="str">
        <f aca="false">IF($C13966="","",$D13966*$E13966)</f>
        <v/>
      </c>
      <c r="G13966" s="107" t="str">
        <f aca="false">IF($C13966="","",$D13966*IFERROR(INDEX('تحليل التكلفة والسعر'!$C$2:$C$700,MATCH($C13966,'تحليل التكلفة والسعر'!$B$2:$B$700,0)),0))</f>
        <v/>
      </c>
    </row>
    <row r="13967" customFormat="false" ht="15" hidden="false" customHeight="false" outlineLevel="0" collapsed="false">
      <c r="A13967" s="103"/>
      <c r="B13967" s="104"/>
      <c r="C13967" s="104"/>
      <c r="E13967" s="107" t="str">
        <f aca="false">IF($C13967="","",IFERROR(INDEX(المنيو!$C$2:$C$500,MATCH($C13967,المنيو!$B$2:$B$500,0)),0))</f>
        <v/>
      </c>
      <c r="F13967" s="107" t="str">
        <f aca="false">IF($C13967="","",$D13967*$E13967)</f>
        <v/>
      </c>
      <c r="G13967" s="107" t="str">
        <f aca="false">IF($C13967="","",$D13967*IFERROR(INDEX('تحليل التكلفة والسعر'!$C$2:$C$700,MATCH($C13967,'تحليل التكلفة والسعر'!$B$2:$B$700,0)),0))</f>
        <v/>
      </c>
    </row>
    <row r="13968" customFormat="false" ht="15" hidden="false" customHeight="false" outlineLevel="0" collapsed="false">
      <c r="A13968" s="103"/>
      <c r="B13968" s="104"/>
      <c r="C13968" s="104"/>
      <c r="E13968" s="107" t="str">
        <f aca="false">IF($C13968="","",IFERROR(INDEX(المنيو!$C$2:$C$500,MATCH($C13968,المنيو!$B$2:$B$500,0)),0))</f>
        <v/>
      </c>
      <c r="F13968" s="107" t="str">
        <f aca="false">IF($C13968="","",$D13968*$E13968)</f>
        <v/>
      </c>
      <c r="G13968" s="107" t="str">
        <f aca="false">IF($C13968="","",$D13968*IFERROR(INDEX('تحليل التكلفة والسعر'!$C$2:$C$700,MATCH($C13968,'تحليل التكلفة والسعر'!$B$2:$B$700,0)),0))</f>
        <v/>
      </c>
    </row>
    <row r="13969" customFormat="false" ht="15" hidden="false" customHeight="false" outlineLevel="0" collapsed="false">
      <c r="A13969" s="103"/>
      <c r="B13969" s="104"/>
      <c r="C13969" s="104"/>
      <c r="E13969" s="107" t="str">
        <f aca="false">IF($C13969="","",IFERROR(INDEX(المنيو!$C$2:$C$500,MATCH($C13969,المنيو!$B$2:$B$500,0)),0))</f>
        <v/>
      </c>
      <c r="F13969" s="107" t="str">
        <f aca="false">IF($C13969="","",$D13969*$E13969)</f>
        <v/>
      </c>
      <c r="G13969" s="107" t="str">
        <f aca="false">IF($C13969="","",$D13969*IFERROR(INDEX('تحليل التكلفة والسعر'!$C$2:$C$700,MATCH($C13969,'تحليل التكلفة والسعر'!$B$2:$B$700,0)),0))</f>
        <v/>
      </c>
    </row>
    <row r="13970" customFormat="false" ht="15" hidden="false" customHeight="false" outlineLevel="0" collapsed="false">
      <c r="A13970" s="103"/>
      <c r="B13970" s="104"/>
      <c r="C13970" s="104"/>
      <c r="E13970" s="107" t="str">
        <f aca="false">IF($C13970="","",IFERROR(INDEX(المنيو!$C$2:$C$500,MATCH($C13970,المنيو!$B$2:$B$500,0)),0))</f>
        <v/>
      </c>
      <c r="F13970" s="107" t="str">
        <f aca="false">IF($C13970="","",$D13970*$E13970)</f>
        <v/>
      </c>
      <c r="G13970" s="107" t="str">
        <f aca="false">IF($C13970="","",$D13970*IFERROR(INDEX('تحليل التكلفة والسعر'!$C$2:$C$700,MATCH($C13970,'تحليل التكلفة والسعر'!$B$2:$B$700,0)),0))</f>
        <v/>
      </c>
    </row>
    <row r="13971" customFormat="false" ht="15" hidden="false" customHeight="false" outlineLevel="0" collapsed="false">
      <c r="A13971" s="103"/>
      <c r="B13971" s="104"/>
      <c r="C13971" s="104"/>
      <c r="E13971" s="107" t="str">
        <f aca="false">IF($C13971="","",IFERROR(INDEX(المنيو!$C$2:$C$500,MATCH($C13971,المنيو!$B$2:$B$500,0)),0))</f>
        <v/>
      </c>
      <c r="F13971" s="107" t="str">
        <f aca="false">IF($C13971="","",$D13971*$E13971)</f>
        <v/>
      </c>
      <c r="G13971" s="107" t="str">
        <f aca="false">IF($C13971="","",$D13971*IFERROR(INDEX('تحليل التكلفة والسعر'!$C$2:$C$700,MATCH($C13971,'تحليل التكلفة والسعر'!$B$2:$B$700,0)),0))</f>
        <v/>
      </c>
    </row>
    <row r="13972" customFormat="false" ht="15" hidden="false" customHeight="false" outlineLevel="0" collapsed="false">
      <c r="A13972" s="103"/>
      <c r="B13972" s="104"/>
      <c r="C13972" s="104"/>
      <c r="E13972" s="107" t="str">
        <f aca="false">IF($C13972="","",IFERROR(INDEX(المنيو!$C$2:$C$500,MATCH($C13972,المنيو!$B$2:$B$500,0)),0))</f>
        <v/>
      </c>
      <c r="F13972" s="107" t="str">
        <f aca="false">IF($C13972="","",$D13972*$E13972)</f>
        <v/>
      </c>
      <c r="G13972" s="107" t="str">
        <f aca="false">IF($C13972="","",$D13972*IFERROR(INDEX('تحليل التكلفة والسعر'!$C$2:$C$700,MATCH($C13972,'تحليل التكلفة والسعر'!$B$2:$B$700,0)),0))</f>
        <v/>
      </c>
    </row>
    <row r="13973" customFormat="false" ht="15" hidden="false" customHeight="false" outlineLevel="0" collapsed="false">
      <c r="A13973" s="103"/>
      <c r="B13973" s="104"/>
      <c r="C13973" s="104"/>
      <c r="E13973" s="107" t="str">
        <f aca="false">IF($C13973="","",IFERROR(INDEX(المنيو!$C$2:$C$500,MATCH($C13973,المنيو!$B$2:$B$500,0)),0))</f>
        <v/>
      </c>
      <c r="F13973" s="107" t="str">
        <f aca="false">IF($C13973="","",$D13973*$E13973)</f>
        <v/>
      </c>
      <c r="G13973" s="107" t="str">
        <f aca="false">IF($C13973="","",$D13973*IFERROR(INDEX('تحليل التكلفة والسعر'!$C$2:$C$700,MATCH($C13973,'تحليل التكلفة والسعر'!$B$2:$B$700,0)),0))</f>
        <v/>
      </c>
    </row>
    <row r="13974" customFormat="false" ht="15" hidden="false" customHeight="false" outlineLevel="0" collapsed="false">
      <c r="A13974" s="103"/>
      <c r="B13974" s="104"/>
      <c r="C13974" s="104"/>
      <c r="E13974" s="107" t="str">
        <f aca="false">IF($C13974="","",IFERROR(INDEX(المنيو!$C$2:$C$500,MATCH($C13974,المنيو!$B$2:$B$500,0)),0))</f>
        <v/>
      </c>
      <c r="F13974" s="107" t="str">
        <f aca="false">IF($C13974="","",$D13974*$E13974)</f>
        <v/>
      </c>
      <c r="G13974" s="107" t="str">
        <f aca="false">IF($C13974="","",$D13974*IFERROR(INDEX('تحليل التكلفة والسعر'!$C$2:$C$700,MATCH($C13974,'تحليل التكلفة والسعر'!$B$2:$B$700,0)),0))</f>
        <v/>
      </c>
    </row>
    <row r="13975" customFormat="false" ht="15" hidden="false" customHeight="false" outlineLevel="0" collapsed="false">
      <c r="A13975" s="103"/>
      <c r="B13975" s="104"/>
      <c r="C13975" s="104"/>
      <c r="E13975" s="107" t="str">
        <f aca="false">IF($C13975="","",IFERROR(INDEX(المنيو!$C$2:$C$500,MATCH($C13975,المنيو!$B$2:$B$500,0)),0))</f>
        <v/>
      </c>
      <c r="F13975" s="107" t="str">
        <f aca="false">IF($C13975="","",$D13975*$E13975)</f>
        <v/>
      </c>
      <c r="G13975" s="107" t="str">
        <f aca="false">IF($C13975="","",$D13975*IFERROR(INDEX('تحليل التكلفة والسعر'!$C$2:$C$700,MATCH($C13975,'تحليل التكلفة والسعر'!$B$2:$B$700,0)),0))</f>
        <v/>
      </c>
    </row>
    <row r="13976" customFormat="false" ht="15" hidden="false" customHeight="false" outlineLevel="0" collapsed="false">
      <c r="A13976" s="103"/>
      <c r="B13976" s="104"/>
      <c r="C13976" s="104"/>
      <c r="E13976" s="107" t="str">
        <f aca="false">IF($C13976="","",IFERROR(INDEX(المنيو!$C$2:$C$500,MATCH($C13976,المنيو!$B$2:$B$500,0)),0))</f>
        <v/>
      </c>
      <c r="F13976" s="107" t="str">
        <f aca="false">IF($C13976="","",$D13976*$E13976)</f>
        <v/>
      </c>
      <c r="G13976" s="107" t="str">
        <f aca="false">IF($C13976="","",$D13976*IFERROR(INDEX('تحليل التكلفة والسعر'!$C$2:$C$700,MATCH($C13976,'تحليل التكلفة والسعر'!$B$2:$B$700,0)),0))</f>
        <v/>
      </c>
    </row>
    <row r="13977" customFormat="false" ht="15" hidden="false" customHeight="false" outlineLevel="0" collapsed="false">
      <c r="A13977" s="103"/>
      <c r="B13977" s="104"/>
      <c r="C13977" s="104"/>
      <c r="E13977" s="107" t="str">
        <f aca="false">IF($C13977="","",IFERROR(INDEX(المنيو!$C$2:$C$500,MATCH($C13977,المنيو!$B$2:$B$500,0)),0))</f>
        <v/>
      </c>
      <c r="F13977" s="107" t="str">
        <f aca="false">IF($C13977="","",$D13977*$E13977)</f>
        <v/>
      </c>
      <c r="G13977" s="107" t="str">
        <f aca="false">IF($C13977="","",$D13977*IFERROR(INDEX('تحليل التكلفة والسعر'!$C$2:$C$700,MATCH($C13977,'تحليل التكلفة والسعر'!$B$2:$B$700,0)),0))</f>
        <v/>
      </c>
    </row>
    <row r="13978" customFormat="false" ht="15" hidden="false" customHeight="false" outlineLevel="0" collapsed="false">
      <c r="A13978" s="103"/>
      <c r="B13978" s="104"/>
      <c r="C13978" s="104"/>
      <c r="E13978" s="107" t="str">
        <f aca="false">IF($C13978="","",IFERROR(INDEX(المنيو!$C$2:$C$500,MATCH($C13978,المنيو!$B$2:$B$500,0)),0))</f>
        <v/>
      </c>
      <c r="F13978" s="107" t="str">
        <f aca="false">IF($C13978="","",$D13978*$E13978)</f>
        <v/>
      </c>
      <c r="G13978" s="107" t="str">
        <f aca="false">IF($C13978="","",$D13978*IFERROR(INDEX('تحليل التكلفة والسعر'!$C$2:$C$700,MATCH($C13978,'تحليل التكلفة والسعر'!$B$2:$B$700,0)),0))</f>
        <v/>
      </c>
    </row>
    <row r="13979" customFormat="false" ht="15" hidden="false" customHeight="false" outlineLevel="0" collapsed="false">
      <c r="A13979" s="103"/>
      <c r="B13979" s="104"/>
      <c r="C13979" s="104"/>
      <c r="E13979" s="107" t="str">
        <f aca="false">IF($C13979="","",IFERROR(INDEX(المنيو!$C$2:$C$500,MATCH($C13979,المنيو!$B$2:$B$500,0)),0))</f>
        <v/>
      </c>
      <c r="F13979" s="107" t="str">
        <f aca="false">IF($C13979="","",$D13979*$E13979)</f>
        <v/>
      </c>
      <c r="G13979" s="107" t="str">
        <f aca="false">IF($C13979="","",$D13979*IFERROR(INDEX('تحليل التكلفة والسعر'!$C$2:$C$700,MATCH($C13979,'تحليل التكلفة والسعر'!$B$2:$B$700,0)),0))</f>
        <v/>
      </c>
    </row>
    <row r="13980" customFormat="false" ht="15" hidden="false" customHeight="false" outlineLevel="0" collapsed="false">
      <c r="A13980" s="103"/>
      <c r="B13980" s="104"/>
      <c r="C13980" s="104"/>
      <c r="E13980" s="107" t="str">
        <f aca="false">IF($C13980="","",IFERROR(INDEX(المنيو!$C$2:$C$500,MATCH($C13980,المنيو!$B$2:$B$500,0)),0))</f>
        <v/>
      </c>
      <c r="F13980" s="107" t="str">
        <f aca="false">IF($C13980="","",$D13980*$E13980)</f>
        <v/>
      </c>
      <c r="G13980" s="107" t="str">
        <f aca="false">IF($C13980="","",$D13980*IFERROR(INDEX('تحليل التكلفة والسعر'!$C$2:$C$700,MATCH($C13980,'تحليل التكلفة والسعر'!$B$2:$B$700,0)),0))</f>
        <v/>
      </c>
    </row>
    <row r="13981" customFormat="false" ht="15" hidden="false" customHeight="false" outlineLevel="0" collapsed="false">
      <c r="A13981" s="103"/>
      <c r="B13981" s="104"/>
      <c r="C13981" s="104"/>
      <c r="E13981" s="107" t="str">
        <f aca="false">IF($C13981="","",IFERROR(INDEX(المنيو!$C$2:$C$500,MATCH($C13981,المنيو!$B$2:$B$500,0)),0))</f>
        <v/>
      </c>
      <c r="F13981" s="107" t="str">
        <f aca="false">IF($C13981="","",$D13981*$E13981)</f>
        <v/>
      </c>
      <c r="G13981" s="107" t="str">
        <f aca="false">IF($C13981="","",$D13981*IFERROR(INDEX('تحليل التكلفة والسعر'!$C$2:$C$700,MATCH($C13981,'تحليل التكلفة والسعر'!$B$2:$B$700,0)),0))</f>
        <v/>
      </c>
    </row>
    <row r="13982" customFormat="false" ht="15" hidden="false" customHeight="false" outlineLevel="0" collapsed="false">
      <c r="A13982" s="103"/>
      <c r="B13982" s="104"/>
      <c r="C13982" s="104"/>
      <c r="E13982" s="107" t="str">
        <f aca="false">IF($C13982="","",IFERROR(INDEX(المنيو!$C$2:$C$500,MATCH($C13982,المنيو!$B$2:$B$500,0)),0))</f>
        <v/>
      </c>
      <c r="F13982" s="107" t="str">
        <f aca="false">IF($C13982="","",$D13982*$E13982)</f>
        <v/>
      </c>
      <c r="G13982" s="107" t="str">
        <f aca="false">IF($C13982="","",$D13982*IFERROR(INDEX('تحليل التكلفة والسعر'!$C$2:$C$700,MATCH($C13982,'تحليل التكلفة والسعر'!$B$2:$B$700,0)),0))</f>
        <v/>
      </c>
    </row>
    <row r="13983" customFormat="false" ht="15" hidden="false" customHeight="false" outlineLevel="0" collapsed="false">
      <c r="A13983" s="103"/>
      <c r="B13983" s="104"/>
      <c r="C13983" s="104"/>
      <c r="E13983" s="107" t="str">
        <f aca="false">IF($C13983="","",IFERROR(INDEX(المنيو!$C$2:$C$500,MATCH($C13983,المنيو!$B$2:$B$500,0)),0))</f>
        <v/>
      </c>
      <c r="F13983" s="107" t="str">
        <f aca="false">IF($C13983="","",$D13983*$E13983)</f>
        <v/>
      </c>
      <c r="G13983" s="107" t="str">
        <f aca="false">IF($C13983="","",$D13983*IFERROR(INDEX('تحليل التكلفة والسعر'!$C$2:$C$700,MATCH($C13983,'تحليل التكلفة والسعر'!$B$2:$B$700,0)),0))</f>
        <v/>
      </c>
    </row>
    <row r="13984" customFormat="false" ht="15" hidden="false" customHeight="false" outlineLevel="0" collapsed="false">
      <c r="A13984" s="103"/>
      <c r="B13984" s="104"/>
      <c r="C13984" s="104"/>
      <c r="E13984" s="107" t="str">
        <f aca="false">IF($C13984="","",IFERROR(INDEX(المنيو!$C$2:$C$500,MATCH($C13984,المنيو!$B$2:$B$500,0)),0))</f>
        <v/>
      </c>
      <c r="F13984" s="107" t="str">
        <f aca="false">IF($C13984="","",$D13984*$E13984)</f>
        <v/>
      </c>
      <c r="G13984" s="107" t="str">
        <f aca="false">IF($C13984="","",$D13984*IFERROR(INDEX('تحليل التكلفة والسعر'!$C$2:$C$700,MATCH($C13984,'تحليل التكلفة والسعر'!$B$2:$B$700,0)),0))</f>
        <v/>
      </c>
    </row>
    <row r="13985" customFormat="false" ht="15" hidden="false" customHeight="false" outlineLevel="0" collapsed="false">
      <c r="A13985" s="103"/>
      <c r="B13985" s="104"/>
      <c r="C13985" s="104"/>
      <c r="E13985" s="107" t="str">
        <f aca="false">IF($C13985="","",IFERROR(INDEX(المنيو!$C$2:$C$500,MATCH($C13985,المنيو!$B$2:$B$500,0)),0))</f>
        <v/>
      </c>
      <c r="F13985" s="107" t="str">
        <f aca="false">IF($C13985="","",$D13985*$E13985)</f>
        <v/>
      </c>
      <c r="G13985" s="107" t="str">
        <f aca="false">IF($C13985="","",$D13985*IFERROR(INDEX('تحليل التكلفة والسعر'!$C$2:$C$700,MATCH($C13985,'تحليل التكلفة والسعر'!$B$2:$B$700,0)),0))</f>
        <v/>
      </c>
    </row>
    <row r="13986" customFormat="false" ht="15" hidden="false" customHeight="false" outlineLevel="0" collapsed="false">
      <c r="A13986" s="103"/>
      <c r="B13986" s="104"/>
      <c r="C13986" s="104"/>
      <c r="E13986" s="107" t="str">
        <f aca="false">IF($C13986="","",IFERROR(INDEX(المنيو!$C$2:$C$500,MATCH($C13986,المنيو!$B$2:$B$500,0)),0))</f>
        <v/>
      </c>
      <c r="F13986" s="107" t="str">
        <f aca="false">IF($C13986="","",$D13986*$E13986)</f>
        <v/>
      </c>
      <c r="G13986" s="107" t="str">
        <f aca="false">IF($C13986="","",$D13986*IFERROR(INDEX('تحليل التكلفة والسعر'!$C$2:$C$700,MATCH($C13986,'تحليل التكلفة والسعر'!$B$2:$B$700,0)),0))</f>
        <v/>
      </c>
    </row>
    <row r="13987" customFormat="false" ht="15" hidden="false" customHeight="false" outlineLevel="0" collapsed="false">
      <c r="A13987" s="103"/>
      <c r="B13987" s="104"/>
      <c r="C13987" s="104"/>
      <c r="E13987" s="107" t="str">
        <f aca="false">IF($C13987="","",IFERROR(INDEX(المنيو!$C$2:$C$500,MATCH($C13987,المنيو!$B$2:$B$500,0)),0))</f>
        <v/>
      </c>
      <c r="F13987" s="107" t="str">
        <f aca="false">IF($C13987="","",$D13987*$E13987)</f>
        <v/>
      </c>
      <c r="G13987" s="107" t="str">
        <f aca="false">IF($C13987="","",$D13987*IFERROR(INDEX('تحليل التكلفة والسعر'!$C$2:$C$700,MATCH($C13987,'تحليل التكلفة والسعر'!$B$2:$B$700,0)),0))</f>
        <v/>
      </c>
    </row>
    <row r="13988" customFormat="false" ht="15" hidden="false" customHeight="false" outlineLevel="0" collapsed="false">
      <c r="A13988" s="103"/>
      <c r="B13988" s="104"/>
      <c r="C13988" s="104"/>
      <c r="E13988" s="107" t="str">
        <f aca="false">IF($C13988="","",IFERROR(INDEX(المنيو!$C$2:$C$500,MATCH($C13988,المنيو!$B$2:$B$500,0)),0))</f>
        <v/>
      </c>
      <c r="F13988" s="107" t="str">
        <f aca="false">IF($C13988="","",$D13988*$E13988)</f>
        <v/>
      </c>
      <c r="G13988" s="107" t="str">
        <f aca="false">IF($C13988="","",$D13988*IFERROR(INDEX('تحليل التكلفة والسعر'!$C$2:$C$700,MATCH($C13988,'تحليل التكلفة والسعر'!$B$2:$B$700,0)),0))</f>
        <v/>
      </c>
    </row>
    <row r="13989" customFormat="false" ht="15" hidden="false" customHeight="false" outlineLevel="0" collapsed="false">
      <c r="A13989" s="103"/>
      <c r="B13989" s="104"/>
      <c r="C13989" s="104"/>
      <c r="E13989" s="107" t="str">
        <f aca="false">IF($C13989="","",IFERROR(INDEX(المنيو!$C$2:$C$500,MATCH($C13989,المنيو!$B$2:$B$500,0)),0))</f>
        <v/>
      </c>
      <c r="F13989" s="107" t="str">
        <f aca="false">IF($C13989="","",$D13989*$E13989)</f>
        <v/>
      </c>
      <c r="G13989" s="107" t="str">
        <f aca="false">IF($C13989="","",$D13989*IFERROR(INDEX('تحليل التكلفة والسعر'!$C$2:$C$700,MATCH($C13989,'تحليل التكلفة والسعر'!$B$2:$B$700,0)),0))</f>
        <v/>
      </c>
    </row>
    <row r="13990" customFormat="false" ht="15" hidden="false" customHeight="false" outlineLevel="0" collapsed="false">
      <c r="A13990" s="103"/>
      <c r="B13990" s="104"/>
      <c r="C13990" s="104"/>
      <c r="E13990" s="107" t="str">
        <f aca="false">IF($C13990="","",IFERROR(INDEX(المنيو!$C$2:$C$500,MATCH($C13990,المنيو!$B$2:$B$500,0)),0))</f>
        <v/>
      </c>
      <c r="F13990" s="107" t="str">
        <f aca="false">IF($C13990="","",$D13990*$E13990)</f>
        <v/>
      </c>
      <c r="G13990" s="107" t="str">
        <f aca="false">IF($C13990="","",$D13990*IFERROR(INDEX('تحليل التكلفة والسعر'!$C$2:$C$700,MATCH($C13990,'تحليل التكلفة والسعر'!$B$2:$B$700,0)),0))</f>
        <v/>
      </c>
    </row>
    <row r="13991" customFormat="false" ht="15" hidden="false" customHeight="false" outlineLevel="0" collapsed="false">
      <c r="A13991" s="103"/>
      <c r="B13991" s="104"/>
      <c r="C13991" s="104"/>
      <c r="E13991" s="107" t="str">
        <f aca="false">IF($C13991="","",IFERROR(INDEX(المنيو!$C$2:$C$500,MATCH($C13991,المنيو!$B$2:$B$500,0)),0))</f>
        <v/>
      </c>
      <c r="F13991" s="107" t="str">
        <f aca="false">IF($C13991="","",$D13991*$E13991)</f>
        <v/>
      </c>
      <c r="G13991" s="107" t="str">
        <f aca="false">IF($C13991="","",$D13991*IFERROR(INDEX('تحليل التكلفة والسعر'!$C$2:$C$700,MATCH($C13991,'تحليل التكلفة والسعر'!$B$2:$B$700,0)),0))</f>
        <v/>
      </c>
    </row>
    <row r="13992" customFormat="false" ht="15" hidden="false" customHeight="false" outlineLevel="0" collapsed="false">
      <c r="A13992" s="103"/>
      <c r="B13992" s="104"/>
      <c r="C13992" s="104"/>
      <c r="E13992" s="107" t="str">
        <f aca="false">IF($C13992="","",IFERROR(INDEX(المنيو!$C$2:$C$500,MATCH($C13992,المنيو!$B$2:$B$500,0)),0))</f>
        <v/>
      </c>
      <c r="F13992" s="107" t="str">
        <f aca="false">IF($C13992="","",$D13992*$E13992)</f>
        <v/>
      </c>
      <c r="G13992" s="107" t="str">
        <f aca="false">IF($C13992="","",$D13992*IFERROR(INDEX('تحليل التكلفة والسعر'!$C$2:$C$700,MATCH($C13992,'تحليل التكلفة والسعر'!$B$2:$B$700,0)),0))</f>
        <v/>
      </c>
    </row>
    <row r="13993" customFormat="false" ht="15" hidden="false" customHeight="false" outlineLevel="0" collapsed="false">
      <c r="A13993" s="103"/>
      <c r="B13993" s="104"/>
      <c r="C13993" s="104"/>
      <c r="E13993" s="107" t="str">
        <f aca="false">IF($C13993="","",IFERROR(INDEX(المنيو!$C$2:$C$500,MATCH($C13993,المنيو!$B$2:$B$500,0)),0))</f>
        <v/>
      </c>
      <c r="F13993" s="107" t="str">
        <f aca="false">IF($C13993="","",$D13993*$E13993)</f>
        <v/>
      </c>
      <c r="G13993" s="107" t="str">
        <f aca="false">IF($C13993="","",$D13993*IFERROR(INDEX('تحليل التكلفة والسعر'!$C$2:$C$700,MATCH($C13993,'تحليل التكلفة والسعر'!$B$2:$B$700,0)),0))</f>
        <v/>
      </c>
    </row>
    <row r="13994" customFormat="false" ht="15" hidden="false" customHeight="false" outlineLevel="0" collapsed="false">
      <c r="A13994" s="103"/>
      <c r="B13994" s="104"/>
      <c r="C13994" s="104"/>
      <c r="E13994" s="107" t="str">
        <f aca="false">IF($C13994="","",IFERROR(INDEX(المنيو!$C$2:$C$500,MATCH($C13994,المنيو!$B$2:$B$500,0)),0))</f>
        <v/>
      </c>
      <c r="F13994" s="107" t="str">
        <f aca="false">IF($C13994="","",$D13994*$E13994)</f>
        <v/>
      </c>
      <c r="G13994" s="107" t="str">
        <f aca="false">IF($C13994="","",$D13994*IFERROR(INDEX('تحليل التكلفة والسعر'!$C$2:$C$700,MATCH($C13994,'تحليل التكلفة والسعر'!$B$2:$B$700,0)),0))</f>
        <v/>
      </c>
    </row>
    <row r="13995" customFormat="false" ht="15" hidden="false" customHeight="false" outlineLevel="0" collapsed="false">
      <c r="A13995" s="103"/>
      <c r="B13995" s="104"/>
      <c r="C13995" s="104"/>
      <c r="E13995" s="107" t="str">
        <f aca="false">IF($C13995="","",IFERROR(INDEX(المنيو!$C$2:$C$500,MATCH($C13995,المنيو!$B$2:$B$500,0)),0))</f>
        <v/>
      </c>
      <c r="F13995" s="107" t="str">
        <f aca="false">IF($C13995="","",$D13995*$E13995)</f>
        <v/>
      </c>
      <c r="G13995" s="107" t="str">
        <f aca="false">IF($C13995="","",$D13995*IFERROR(INDEX('تحليل التكلفة والسعر'!$C$2:$C$700,MATCH($C13995,'تحليل التكلفة والسعر'!$B$2:$B$700,0)),0))</f>
        <v/>
      </c>
    </row>
    <row r="13996" customFormat="false" ht="15" hidden="false" customHeight="false" outlineLevel="0" collapsed="false">
      <c r="A13996" s="103"/>
      <c r="B13996" s="104"/>
      <c r="C13996" s="104"/>
      <c r="E13996" s="107" t="str">
        <f aca="false">IF($C13996="","",IFERROR(INDEX(المنيو!$C$2:$C$500,MATCH($C13996,المنيو!$B$2:$B$500,0)),0))</f>
        <v/>
      </c>
      <c r="F13996" s="107" t="str">
        <f aca="false">IF($C13996="","",$D13996*$E13996)</f>
        <v/>
      </c>
      <c r="G13996" s="107" t="str">
        <f aca="false">IF($C13996="","",$D13996*IFERROR(INDEX('تحليل التكلفة والسعر'!$C$2:$C$700,MATCH($C13996,'تحليل التكلفة والسعر'!$B$2:$B$700,0)),0))</f>
        <v/>
      </c>
    </row>
    <row r="13997" customFormat="false" ht="15" hidden="false" customHeight="false" outlineLevel="0" collapsed="false">
      <c r="A13997" s="103"/>
      <c r="B13997" s="104"/>
      <c r="C13997" s="104"/>
      <c r="E13997" s="107" t="str">
        <f aca="false">IF($C13997="","",IFERROR(INDEX(المنيو!$C$2:$C$500,MATCH($C13997,المنيو!$B$2:$B$500,0)),0))</f>
        <v/>
      </c>
      <c r="F13997" s="107" t="str">
        <f aca="false">IF($C13997="","",$D13997*$E13997)</f>
        <v/>
      </c>
      <c r="G13997" s="107" t="str">
        <f aca="false">IF($C13997="","",$D13997*IFERROR(INDEX('تحليل التكلفة والسعر'!$C$2:$C$700,MATCH($C13997,'تحليل التكلفة والسعر'!$B$2:$B$700,0)),0))</f>
        <v/>
      </c>
    </row>
    <row r="13998" customFormat="false" ht="15" hidden="false" customHeight="false" outlineLevel="0" collapsed="false">
      <c r="A13998" s="103"/>
      <c r="B13998" s="104"/>
      <c r="C13998" s="104"/>
      <c r="E13998" s="107" t="str">
        <f aca="false">IF($C13998="","",IFERROR(INDEX(المنيو!$C$2:$C$500,MATCH($C13998,المنيو!$B$2:$B$500,0)),0))</f>
        <v/>
      </c>
      <c r="F13998" s="107" t="str">
        <f aca="false">IF($C13998="","",$D13998*$E13998)</f>
        <v/>
      </c>
      <c r="G13998" s="107" t="str">
        <f aca="false">IF($C13998="","",$D13998*IFERROR(INDEX('تحليل التكلفة والسعر'!$C$2:$C$700,MATCH($C13998,'تحليل التكلفة والسعر'!$B$2:$B$700,0)),0))</f>
        <v/>
      </c>
    </row>
    <row r="13999" customFormat="false" ht="15" hidden="false" customHeight="false" outlineLevel="0" collapsed="false">
      <c r="A13999" s="103"/>
      <c r="B13999" s="104"/>
      <c r="C13999" s="104"/>
      <c r="E13999" s="107" t="str">
        <f aca="false">IF($C13999="","",IFERROR(INDEX(المنيو!$C$2:$C$500,MATCH($C13999,المنيو!$B$2:$B$500,0)),0))</f>
        <v/>
      </c>
      <c r="F13999" s="107" t="str">
        <f aca="false">IF($C13999="","",$D13999*$E13999)</f>
        <v/>
      </c>
      <c r="G13999" s="107" t="str">
        <f aca="false">IF($C13999="","",$D13999*IFERROR(INDEX('تحليل التكلفة والسعر'!$C$2:$C$700,MATCH($C13999,'تحليل التكلفة والسعر'!$B$2:$B$700,0)),0))</f>
        <v/>
      </c>
    </row>
    <row r="14000" customFormat="false" ht="15" hidden="false" customHeight="false" outlineLevel="0" collapsed="false">
      <c r="A14000" s="103"/>
      <c r="B14000" s="104"/>
      <c r="C14000" s="104"/>
      <c r="E14000" s="107" t="str">
        <f aca="false">IF($C14000="","",IFERROR(INDEX(المنيو!$C$2:$C$500,MATCH($C14000,المنيو!$B$2:$B$500,0)),0))</f>
        <v/>
      </c>
      <c r="F14000" s="107" t="str">
        <f aca="false">IF($C14000="","",$D14000*$E14000)</f>
        <v/>
      </c>
      <c r="G14000" s="107" t="str">
        <f aca="false">IF($C14000="","",$D14000*IFERROR(INDEX('تحليل التكلفة والسعر'!$C$2:$C$700,MATCH($C14000,'تحليل التكلفة والسعر'!$B$2:$B$700,0)),0))</f>
        <v/>
      </c>
    </row>
    <row r="14001" customFormat="false" ht="15" hidden="false" customHeight="false" outlineLevel="0" collapsed="false">
      <c r="A14001" s="103"/>
      <c r="B14001" s="104"/>
      <c r="C14001" s="104"/>
      <c r="E14001" s="107" t="str">
        <f aca="false">IF($C14001="","",IFERROR(INDEX(المنيو!$C$2:$C$500,MATCH($C14001,المنيو!$B$2:$B$500,0)),0))</f>
        <v/>
      </c>
      <c r="F14001" s="107" t="str">
        <f aca="false">IF($C14001="","",$D14001*$E14001)</f>
        <v/>
      </c>
      <c r="G14001" s="107" t="str">
        <f aca="false">IF($C14001="","",$D14001*IFERROR(INDEX('تحليل التكلفة والسعر'!$C$2:$C$700,MATCH($C14001,'تحليل التكلفة والسعر'!$B$2:$B$700,0)),0))</f>
        <v/>
      </c>
    </row>
  </sheetData>
  <dataValidations count="2">
    <dataValidation allowBlank="true" errorStyle="stop" operator="between" showDropDown="false" showErrorMessage="false" showInputMessage="false" sqref="B2:B14001" type="list">
      <formula1>'إعدادات المخزون'!$A$15:$A$18</formula1>
      <formula2>0</formula2>
    </dataValidation>
    <dataValidation allowBlank="true" errorStyle="stop" operator="between" showDropDown="false" showErrorMessage="false" showInputMessage="false" sqref="C2:C14001" type="list">
      <formula1>المنيو!$B$2:$B$190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0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38"/>
    <col collapsed="false" customWidth="true" hidden="false" outlineLevel="0" max="4" min="4" style="0" width="16"/>
    <col collapsed="false" customWidth="true" hidden="false" outlineLevel="0" max="5" min="5" style="0" width="14"/>
    <col collapsed="false" customWidth="true" hidden="false" outlineLevel="0" max="6" min="6" style="0" width="12"/>
    <col collapsed="false" customWidth="true" hidden="false" outlineLevel="0" max="7" min="7" style="0" width="34"/>
    <col collapsed="false" customWidth="true" hidden="false" outlineLevel="0" max="8" min="8" style="0" width="14"/>
  </cols>
  <sheetData>
    <row r="1" customFormat="false" ht="33.75" hidden="false" customHeight="true" outlineLevel="0" collapsed="false">
      <c r="A1" s="18" t="s">
        <v>66</v>
      </c>
      <c r="B1" s="18" t="s">
        <v>605</v>
      </c>
      <c r="C1" s="18" t="s">
        <v>59</v>
      </c>
      <c r="D1" s="18" t="s">
        <v>772</v>
      </c>
      <c r="E1" s="18" t="s">
        <v>773</v>
      </c>
      <c r="F1" s="18" t="s">
        <v>774</v>
      </c>
      <c r="G1" s="18" t="s">
        <v>665</v>
      </c>
      <c r="H1" s="18" t="s">
        <v>775</v>
      </c>
    </row>
    <row r="2" customFormat="false" ht="15" hidden="false" customHeight="false" outlineLevel="0" collapsed="false">
      <c r="A2" s="103" t="n">
        <v>46296</v>
      </c>
      <c r="B2" s="104" t="s">
        <v>32</v>
      </c>
      <c r="C2" s="104" t="s">
        <v>122</v>
      </c>
      <c r="D2" s="105" t="n">
        <v>100</v>
      </c>
      <c r="E2" s="105" t="n">
        <v>330</v>
      </c>
      <c r="F2" s="107" t="n">
        <f aca="false">IF(OR($C2="",$D2=0),"",$E2/$D2)</f>
        <v>3.3</v>
      </c>
      <c r="G2" s="104" t="s">
        <v>776</v>
      </c>
      <c r="H2" s="0" t="str">
        <f aca="false">IF($C2="","",IF(COUNTIF('مواد المخزون'!$A$2:$A$90,$C2)&gt;0,"نعم","لا (خارج الجرد)"))</f>
        <v>نعم</v>
      </c>
    </row>
    <row r="3" customFormat="false" ht="15" hidden="false" customHeight="false" outlineLevel="0" collapsed="false">
      <c r="A3" s="103" t="n">
        <v>46296</v>
      </c>
      <c r="B3" s="104" t="s">
        <v>32</v>
      </c>
      <c r="C3" s="104" t="s">
        <v>125</v>
      </c>
      <c r="D3" s="105" t="n">
        <v>600</v>
      </c>
      <c r="E3" s="105" t="n">
        <v>480</v>
      </c>
      <c r="F3" s="107" t="n">
        <f aca="false">IF(OR($C3="",$D3=0),"",$E3/$D3)</f>
        <v>0.8</v>
      </c>
      <c r="G3" s="104" t="s">
        <v>776</v>
      </c>
      <c r="H3" s="0" t="str">
        <f aca="false">IF($C3="","",IF(COUNTIF('مواد المخزون'!$A$2:$A$90,$C3)&gt;0,"نعم","لا (خارج الجرد)"))</f>
        <v>نعم</v>
      </c>
    </row>
    <row r="4" customFormat="false" ht="15" hidden="false" customHeight="false" outlineLevel="0" collapsed="false">
      <c r="A4" s="103" t="n">
        <v>46296</v>
      </c>
      <c r="B4" s="104" t="s">
        <v>32</v>
      </c>
      <c r="C4" s="104" t="s">
        <v>127</v>
      </c>
      <c r="D4" s="105" t="n">
        <v>100</v>
      </c>
      <c r="E4" s="105" t="n">
        <v>50</v>
      </c>
      <c r="F4" s="107" t="n">
        <f aca="false">IF(OR($C4="",$D4=0),"",$E4/$D4)</f>
        <v>0.5</v>
      </c>
      <c r="G4" s="104" t="s">
        <v>776</v>
      </c>
      <c r="H4" s="0" t="str">
        <f aca="false">IF($C4="","",IF(COUNTIF('مواد المخزون'!$A$2:$A$90,$C4)&gt;0,"نعم","لا (خارج الجرد)"))</f>
        <v>لا (خارج الجرد)</v>
      </c>
    </row>
    <row r="5" customFormat="false" ht="15" hidden="false" customHeight="false" outlineLevel="0" collapsed="false">
      <c r="A5" s="103" t="n">
        <v>46296</v>
      </c>
      <c r="B5" s="104" t="s">
        <v>32</v>
      </c>
      <c r="C5" s="104" t="s">
        <v>129</v>
      </c>
      <c r="D5" s="105" t="n">
        <v>0.5</v>
      </c>
      <c r="E5" s="105" t="n">
        <v>75</v>
      </c>
      <c r="F5" s="107" t="n">
        <f aca="false">IF(OR($C5="",$D5=0),"",$E5/$D5)</f>
        <v>150</v>
      </c>
      <c r="G5" s="104" t="s">
        <v>776</v>
      </c>
      <c r="H5" s="0" t="str">
        <f aca="false">IF($C5="","",IF(COUNTIF('مواد المخزون'!$A$2:$A$90,$C5)&gt;0,"نعم","لا (خارج الجرد)"))</f>
        <v>لا (خارج الجرد)</v>
      </c>
    </row>
    <row r="6" customFormat="false" ht="15" hidden="false" customHeight="false" outlineLevel="0" collapsed="false">
      <c r="A6" s="103" t="n">
        <v>46296</v>
      </c>
      <c r="B6" s="104" t="s">
        <v>32</v>
      </c>
      <c r="C6" s="104" t="s">
        <v>131</v>
      </c>
      <c r="D6" s="105" t="n">
        <v>4</v>
      </c>
      <c r="E6" s="105" t="n">
        <v>320</v>
      </c>
      <c r="F6" s="107" t="n">
        <f aca="false">IF(OR($C6="",$D6=0),"",$E6/$D6)</f>
        <v>80</v>
      </c>
      <c r="G6" s="104" t="s">
        <v>776</v>
      </c>
      <c r="H6" s="0" t="str">
        <f aca="false">IF($C6="","",IF(COUNTIF('مواد المخزون'!$A$2:$A$90,$C6)&gt;0,"نعم","لا (خارج الجرد)"))</f>
        <v>لا (خارج الجرد)</v>
      </c>
    </row>
    <row r="7" customFormat="false" ht="15" hidden="false" customHeight="false" outlineLevel="0" collapsed="false">
      <c r="A7" s="103" t="n">
        <v>46296</v>
      </c>
      <c r="B7" s="104" t="s">
        <v>32</v>
      </c>
      <c r="C7" s="104" t="s">
        <v>322</v>
      </c>
      <c r="D7" s="105" t="n">
        <v>2.5</v>
      </c>
      <c r="E7" s="105" t="n">
        <v>500</v>
      </c>
      <c r="F7" s="107" t="n">
        <f aca="false">IF(OR($C7="",$D7=0),"",$E7/$D7)</f>
        <v>200</v>
      </c>
      <c r="G7" s="104" t="s">
        <v>776</v>
      </c>
      <c r="H7" s="0" t="str">
        <f aca="false">IF($C7="","",IF(COUNTIF('مواد المخزون'!$A$2:$A$90,$C7)&gt;0,"نعم","لا (خارج الجرد)"))</f>
        <v>نعم</v>
      </c>
    </row>
    <row r="8" customFormat="false" ht="15" hidden="false" customHeight="false" outlineLevel="0" collapsed="false">
      <c r="A8" s="103" t="n">
        <v>46296</v>
      </c>
      <c r="B8" s="104" t="s">
        <v>32</v>
      </c>
      <c r="C8" s="104" t="s">
        <v>133</v>
      </c>
      <c r="D8" s="105" t="n">
        <v>25</v>
      </c>
      <c r="E8" s="105" t="n">
        <v>1750</v>
      </c>
      <c r="F8" s="107" t="n">
        <f aca="false">IF(OR($C8="",$D8=0),"",$E8/$D8)</f>
        <v>70</v>
      </c>
      <c r="G8" s="104" t="s">
        <v>776</v>
      </c>
      <c r="H8" s="0" t="str">
        <f aca="false">IF($C8="","",IF(COUNTIF('مواد المخزون'!$A$2:$A$90,$C8)&gt;0,"نعم","لا (خارج الجرد)"))</f>
        <v>نعم</v>
      </c>
    </row>
    <row r="9" customFormat="false" ht="15" hidden="false" customHeight="false" outlineLevel="0" collapsed="false">
      <c r="A9" s="103" t="n">
        <v>46296</v>
      </c>
      <c r="B9" s="104" t="s">
        <v>32</v>
      </c>
      <c r="C9" s="104" t="s">
        <v>136</v>
      </c>
      <c r="D9" s="105" t="n">
        <v>32</v>
      </c>
      <c r="E9" s="105" t="n">
        <v>2240</v>
      </c>
      <c r="F9" s="107" t="n">
        <f aca="false">IF(OR($C9="",$D9=0),"",$E9/$D9)</f>
        <v>70</v>
      </c>
      <c r="G9" s="104" t="s">
        <v>776</v>
      </c>
      <c r="H9" s="0" t="str">
        <f aca="false">IF($C9="","",IF(COUNTIF('مواد المخزون'!$A$2:$A$90,$C9)&gt;0,"نعم","لا (خارج الجرد)"))</f>
        <v>نعم</v>
      </c>
    </row>
    <row r="10" customFormat="false" ht="15" hidden="false" customHeight="false" outlineLevel="0" collapsed="false">
      <c r="A10" s="103" t="n">
        <v>46296</v>
      </c>
      <c r="B10" s="104" t="s">
        <v>32</v>
      </c>
      <c r="C10" s="104" t="s">
        <v>138</v>
      </c>
      <c r="D10" s="105" t="n">
        <v>1</v>
      </c>
      <c r="E10" s="105" t="n">
        <v>60</v>
      </c>
      <c r="F10" s="107" t="n">
        <f aca="false">IF(OR($C10="",$D10=0),"",$E10/$D10)</f>
        <v>60</v>
      </c>
      <c r="G10" s="104" t="s">
        <v>776</v>
      </c>
      <c r="H10" s="0" t="str">
        <f aca="false">IF($C10="","",IF(COUNTIF('مواد المخزون'!$A$2:$A$90,$C10)&gt;0,"نعم","لا (خارج الجرد)"))</f>
        <v>لا (خارج الجرد)</v>
      </c>
    </row>
    <row r="11" customFormat="false" ht="15" hidden="false" customHeight="false" outlineLevel="0" collapsed="false">
      <c r="A11" s="103" t="n">
        <v>46296</v>
      </c>
      <c r="B11" s="104" t="s">
        <v>32</v>
      </c>
      <c r="C11" s="104" t="s">
        <v>777</v>
      </c>
      <c r="D11" s="105" t="n">
        <v>165</v>
      </c>
      <c r="E11" s="105" t="n">
        <v>2970</v>
      </c>
      <c r="F11" s="107" t="n">
        <f aca="false">IF(OR($C11="",$D11=0),"",$E11/$D11)</f>
        <v>18</v>
      </c>
      <c r="G11" s="104" t="s">
        <v>776</v>
      </c>
      <c r="H11" s="0" t="str">
        <f aca="false">IF($C11="","",IF(COUNTIF('مواد المخزون'!$A$2:$A$90,$C11)&gt;0,"نعم","لا (خارج الجرد)"))</f>
        <v>نعم</v>
      </c>
    </row>
    <row r="12" customFormat="false" ht="15" hidden="false" customHeight="false" outlineLevel="0" collapsed="false">
      <c r="A12" s="103" t="n">
        <v>46296</v>
      </c>
      <c r="B12" s="104" t="s">
        <v>32</v>
      </c>
      <c r="C12" s="104" t="s">
        <v>142</v>
      </c>
      <c r="D12" s="105" t="n">
        <v>520</v>
      </c>
      <c r="E12" s="105" t="n">
        <v>18200</v>
      </c>
      <c r="F12" s="107" t="n">
        <f aca="false">IF(OR($C12="",$D12=0),"",$E12/$D12)</f>
        <v>35</v>
      </c>
      <c r="G12" s="104" t="s">
        <v>776</v>
      </c>
      <c r="H12" s="0" t="str">
        <f aca="false">IF($C12="","",IF(COUNTIF('مواد المخزون'!$A$2:$A$90,$C12)&gt;0,"نعم","لا (خارج الجرد)"))</f>
        <v>نعم</v>
      </c>
    </row>
    <row r="13" customFormat="false" ht="15" hidden="false" customHeight="false" outlineLevel="0" collapsed="false">
      <c r="A13" s="103" t="n">
        <v>46296</v>
      </c>
      <c r="B13" s="104" t="s">
        <v>32</v>
      </c>
      <c r="C13" s="104" t="s">
        <v>144</v>
      </c>
      <c r="D13" s="105" t="n">
        <v>60</v>
      </c>
      <c r="E13" s="105" t="n">
        <v>2760</v>
      </c>
      <c r="F13" s="107" t="n">
        <f aca="false">IF(OR($C13="",$D13=0),"",$E13/$D13)</f>
        <v>46</v>
      </c>
      <c r="G13" s="104" t="s">
        <v>776</v>
      </c>
      <c r="H13" s="0" t="str">
        <f aca="false">IF($C13="","",IF(COUNTIF('مواد المخزون'!$A$2:$A$90,$C13)&gt;0,"نعم","لا (خارج الجرد)"))</f>
        <v>نعم</v>
      </c>
    </row>
    <row r="14" customFormat="false" ht="15" hidden="false" customHeight="false" outlineLevel="0" collapsed="false">
      <c r="A14" s="103" t="n">
        <v>46296</v>
      </c>
      <c r="B14" s="104" t="s">
        <v>32</v>
      </c>
      <c r="C14" s="104" t="s">
        <v>146</v>
      </c>
      <c r="D14" s="105" t="n">
        <v>100</v>
      </c>
      <c r="E14" s="105" t="n">
        <v>565</v>
      </c>
      <c r="F14" s="107" t="n">
        <f aca="false">IF(OR($C14="",$D14=0),"",$E14/$D14)</f>
        <v>5.65</v>
      </c>
      <c r="G14" s="104" t="s">
        <v>776</v>
      </c>
      <c r="H14" s="0" t="str">
        <f aca="false">IF($C14="","",IF(COUNTIF('مواد المخزون'!$A$2:$A$90,$C14)&gt;0,"نعم","لا (خارج الجرد)"))</f>
        <v>نعم</v>
      </c>
    </row>
    <row r="15" customFormat="false" ht="15" hidden="false" customHeight="false" outlineLevel="0" collapsed="false">
      <c r="A15" s="103" t="n">
        <v>46296</v>
      </c>
      <c r="B15" s="104" t="s">
        <v>32</v>
      </c>
      <c r="C15" s="104" t="s">
        <v>148</v>
      </c>
      <c r="D15" s="105" t="n">
        <v>570</v>
      </c>
      <c r="E15" s="105" t="n">
        <v>5130</v>
      </c>
      <c r="F15" s="107" t="n">
        <f aca="false">IF(OR($C15="",$D15=0),"",$E15/$D15)</f>
        <v>9</v>
      </c>
      <c r="G15" s="104" t="s">
        <v>776</v>
      </c>
      <c r="H15" s="0" t="str">
        <f aca="false">IF($C15="","",IF(COUNTIF('مواد المخزون'!$A$2:$A$90,$C15)&gt;0,"نعم","لا (خارج الجرد)"))</f>
        <v>نعم</v>
      </c>
    </row>
    <row r="16" customFormat="false" ht="15" hidden="false" customHeight="false" outlineLevel="0" collapsed="false">
      <c r="A16" s="103" t="n">
        <v>46296</v>
      </c>
      <c r="B16" s="104" t="s">
        <v>32</v>
      </c>
      <c r="C16" s="104" t="s">
        <v>150</v>
      </c>
      <c r="D16" s="105" t="n">
        <v>30</v>
      </c>
      <c r="E16" s="105" t="n">
        <v>2850</v>
      </c>
      <c r="F16" s="107" t="n">
        <f aca="false">IF(OR($C16="",$D16=0),"",$E16/$D16)</f>
        <v>95</v>
      </c>
      <c r="G16" s="104" t="s">
        <v>776</v>
      </c>
      <c r="H16" s="0" t="str">
        <f aca="false">IF($C16="","",IF(COUNTIF('مواد المخزون'!$A$2:$A$90,$C16)&gt;0,"نعم","لا (خارج الجرد)"))</f>
        <v>نعم</v>
      </c>
    </row>
    <row r="17" customFormat="false" ht="15" hidden="false" customHeight="false" outlineLevel="0" collapsed="false">
      <c r="A17" s="103" t="n">
        <v>46296</v>
      </c>
      <c r="B17" s="104" t="s">
        <v>32</v>
      </c>
      <c r="C17" s="104" t="s">
        <v>152</v>
      </c>
      <c r="D17" s="105" t="n">
        <v>550</v>
      </c>
      <c r="E17" s="105" t="n">
        <v>18700</v>
      </c>
      <c r="F17" s="107" t="n">
        <f aca="false">IF(OR($C17="",$D17=0),"",$E17/$D17)</f>
        <v>34</v>
      </c>
      <c r="G17" s="104" t="s">
        <v>776</v>
      </c>
      <c r="H17" s="0" t="str">
        <f aca="false">IF($C17="","",IF(COUNTIF('مواد المخزون'!$A$2:$A$90,$C17)&gt;0,"نعم","لا (خارج الجرد)"))</f>
        <v>نعم</v>
      </c>
    </row>
    <row r="18" customFormat="false" ht="15" hidden="false" customHeight="false" outlineLevel="0" collapsed="false">
      <c r="A18" s="103" t="n">
        <v>46296</v>
      </c>
      <c r="B18" s="104" t="s">
        <v>32</v>
      </c>
      <c r="C18" s="104" t="s">
        <v>154</v>
      </c>
      <c r="D18" s="105" t="n">
        <v>80</v>
      </c>
      <c r="E18" s="105" t="n">
        <v>3600</v>
      </c>
      <c r="F18" s="107" t="n">
        <f aca="false">IF(OR($C18="",$D18=0),"",$E18/$D18)</f>
        <v>45</v>
      </c>
      <c r="G18" s="104" t="s">
        <v>776</v>
      </c>
      <c r="H18" s="0" t="str">
        <f aca="false">IF($C18="","",IF(COUNTIF('مواد المخزون'!$A$2:$A$90,$C18)&gt;0,"نعم","لا (خارج الجرد)"))</f>
        <v>نعم</v>
      </c>
    </row>
    <row r="19" customFormat="false" ht="15" hidden="false" customHeight="false" outlineLevel="0" collapsed="false">
      <c r="A19" s="103" t="n">
        <v>46296</v>
      </c>
      <c r="B19" s="104" t="s">
        <v>32</v>
      </c>
      <c r="C19" s="104" t="s">
        <v>156</v>
      </c>
      <c r="D19" s="105" t="n">
        <v>53</v>
      </c>
      <c r="E19" s="105" t="n">
        <v>1484</v>
      </c>
      <c r="F19" s="107" t="n">
        <f aca="false">IF(OR($C19="",$D19=0),"",$E19/$D19)</f>
        <v>28</v>
      </c>
      <c r="G19" s="104" t="s">
        <v>776</v>
      </c>
      <c r="H19" s="0" t="str">
        <f aca="false">IF($C19="","",IF(COUNTIF('مواد المخزون'!$A$2:$A$90,$C19)&gt;0,"نعم","لا (خارج الجرد)"))</f>
        <v>نعم</v>
      </c>
    </row>
    <row r="20" customFormat="false" ht="15" hidden="false" customHeight="false" outlineLevel="0" collapsed="false">
      <c r="A20" s="103" t="n">
        <v>46296</v>
      </c>
      <c r="B20" s="104" t="s">
        <v>32</v>
      </c>
      <c r="C20" s="104" t="s">
        <v>156</v>
      </c>
      <c r="D20" s="105" t="n">
        <v>14</v>
      </c>
      <c r="E20" s="105" t="n">
        <v>305</v>
      </c>
      <c r="F20" s="107" t="n">
        <f aca="false">IF(OR($C20="",$D20=0),"",$E20/$D20)</f>
        <v>21.7857142857143</v>
      </c>
      <c r="G20" s="104" t="s">
        <v>776</v>
      </c>
      <c r="H20" s="0" t="str">
        <f aca="false">IF($C20="","",IF(COUNTIF('مواد المخزون'!$A$2:$A$90,$C20)&gt;0,"نعم","لا (خارج الجرد)"))</f>
        <v>نعم</v>
      </c>
    </row>
    <row r="21" customFormat="false" ht="15" hidden="false" customHeight="false" outlineLevel="0" collapsed="false">
      <c r="A21" s="103" t="n">
        <v>46296</v>
      </c>
      <c r="B21" s="104" t="s">
        <v>32</v>
      </c>
      <c r="C21" s="104" t="s">
        <v>778</v>
      </c>
      <c r="D21" s="105" t="n">
        <v>1</v>
      </c>
      <c r="E21" s="105" t="n">
        <v>345</v>
      </c>
      <c r="F21" s="107" t="n">
        <f aca="false">IF(OR($C21="",$D21=0),"",$E21/$D21)</f>
        <v>345</v>
      </c>
      <c r="G21" s="104" t="s">
        <v>776</v>
      </c>
      <c r="H21" s="0" t="str">
        <f aca="false">IF($C21="","",IF(COUNTIF('مواد المخزون'!$A$2:$A$90,$C21)&gt;0,"نعم","لا (خارج الجرد)"))</f>
        <v>لا (خارج الجرد)</v>
      </c>
    </row>
    <row r="22" customFormat="false" ht="15" hidden="false" customHeight="false" outlineLevel="0" collapsed="false">
      <c r="A22" s="103" t="n">
        <v>46296</v>
      </c>
      <c r="B22" s="104" t="s">
        <v>32</v>
      </c>
      <c r="C22" s="104" t="s">
        <v>158</v>
      </c>
      <c r="D22" s="105" t="n">
        <v>243</v>
      </c>
      <c r="E22" s="105" t="n">
        <v>8339</v>
      </c>
      <c r="F22" s="107" t="n">
        <f aca="false">IF(OR($C22="",$D22=0),"",$E22/$D22)</f>
        <v>34.3168724279835</v>
      </c>
      <c r="G22" s="104" t="s">
        <v>776</v>
      </c>
      <c r="H22" s="0" t="str">
        <f aca="false">IF($C22="","",IF(COUNTIF('مواد المخزون'!$A$2:$A$90,$C22)&gt;0,"نعم","لا (خارج الجرد)"))</f>
        <v>نعم</v>
      </c>
    </row>
    <row r="23" customFormat="false" ht="15" hidden="false" customHeight="false" outlineLevel="0" collapsed="false">
      <c r="A23" s="103" t="n">
        <v>46296</v>
      </c>
      <c r="B23" s="104" t="s">
        <v>32</v>
      </c>
      <c r="C23" s="104" t="s">
        <v>160</v>
      </c>
      <c r="D23" s="105" t="n">
        <v>57</v>
      </c>
      <c r="E23" s="105" t="n">
        <v>2850</v>
      </c>
      <c r="F23" s="107" t="n">
        <f aca="false">IF(OR($C23="",$D23=0),"",$E23/$D23)</f>
        <v>50</v>
      </c>
      <c r="G23" s="104" t="s">
        <v>776</v>
      </c>
      <c r="H23" s="0" t="str">
        <f aca="false">IF($C23="","",IF(COUNTIF('مواد المخزون'!$A$2:$A$90,$C23)&gt;0,"نعم","لا (خارج الجرد)"))</f>
        <v>نعم</v>
      </c>
    </row>
    <row r="24" customFormat="false" ht="15" hidden="false" customHeight="false" outlineLevel="0" collapsed="false">
      <c r="A24" s="103" t="n">
        <v>46296</v>
      </c>
      <c r="B24" s="104" t="s">
        <v>32</v>
      </c>
      <c r="C24" s="104" t="s">
        <v>162</v>
      </c>
      <c r="D24" s="105" t="n">
        <v>100</v>
      </c>
      <c r="E24" s="105" t="n">
        <v>3000</v>
      </c>
      <c r="F24" s="107" t="n">
        <f aca="false">IF(OR($C24="",$D24=0),"",$E24/$D24)</f>
        <v>30</v>
      </c>
      <c r="G24" s="104" t="s">
        <v>776</v>
      </c>
      <c r="H24" s="0" t="str">
        <f aca="false">IF($C24="","",IF(COUNTIF('مواد المخزون'!$A$2:$A$90,$C24)&gt;0,"نعم","لا (خارج الجرد)"))</f>
        <v>نعم</v>
      </c>
    </row>
    <row r="25" customFormat="false" ht="15" hidden="false" customHeight="false" outlineLevel="0" collapsed="false">
      <c r="A25" s="103" t="n">
        <v>46296</v>
      </c>
      <c r="B25" s="104" t="s">
        <v>32</v>
      </c>
      <c r="C25" s="104" t="s">
        <v>166</v>
      </c>
      <c r="D25" s="105" t="n">
        <v>30</v>
      </c>
      <c r="E25" s="105" t="n">
        <v>750</v>
      </c>
      <c r="F25" s="107" t="n">
        <f aca="false">IF(OR($C25="",$D25=0),"",$E25/$D25)</f>
        <v>25</v>
      </c>
      <c r="G25" s="104" t="s">
        <v>776</v>
      </c>
      <c r="H25" s="0" t="str">
        <f aca="false">IF($C25="","",IF(COUNTIF('مواد المخزون'!$A$2:$A$90,$C25)&gt;0,"نعم","لا (خارج الجرد)"))</f>
        <v>نعم</v>
      </c>
    </row>
    <row r="26" customFormat="false" ht="15" hidden="false" customHeight="false" outlineLevel="0" collapsed="false">
      <c r="A26" s="103" t="n">
        <v>46296</v>
      </c>
      <c r="B26" s="104" t="s">
        <v>32</v>
      </c>
      <c r="C26" s="104" t="s">
        <v>168</v>
      </c>
      <c r="D26" s="105" t="n">
        <v>10</v>
      </c>
      <c r="E26" s="105" t="n">
        <v>210</v>
      </c>
      <c r="F26" s="107" t="n">
        <f aca="false">IF(OR($C26="",$D26=0),"",$E26/$D26)</f>
        <v>21</v>
      </c>
      <c r="G26" s="104" t="s">
        <v>776</v>
      </c>
      <c r="H26" s="0" t="str">
        <f aca="false">IF($C26="","",IF(COUNTIF('مواد المخزون'!$A$2:$A$90,$C26)&gt;0,"نعم","لا (خارج الجرد)"))</f>
        <v>نعم</v>
      </c>
    </row>
    <row r="27" customFormat="false" ht="15" hidden="false" customHeight="false" outlineLevel="0" collapsed="false">
      <c r="A27" s="103" t="n">
        <v>46296</v>
      </c>
      <c r="B27" s="104" t="s">
        <v>32</v>
      </c>
      <c r="C27" s="104" t="s">
        <v>170</v>
      </c>
      <c r="D27" s="105" t="n">
        <v>40</v>
      </c>
      <c r="E27" s="105" t="n">
        <v>920</v>
      </c>
      <c r="F27" s="107" t="n">
        <f aca="false">IF(OR($C27="",$D27=0),"",$E27/$D27)</f>
        <v>23</v>
      </c>
      <c r="G27" s="104" t="s">
        <v>776</v>
      </c>
      <c r="H27" s="0" t="str">
        <f aca="false">IF($C27="","",IF(COUNTIF('مواد المخزون'!$A$2:$A$90,$C27)&gt;0,"نعم","لا (خارج الجرد)"))</f>
        <v>نعم</v>
      </c>
    </row>
    <row r="28" customFormat="false" ht="15" hidden="false" customHeight="false" outlineLevel="0" collapsed="false">
      <c r="A28" s="103" t="n">
        <v>46296</v>
      </c>
      <c r="B28" s="104" t="s">
        <v>32</v>
      </c>
      <c r="C28" s="104" t="s">
        <v>172</v>
      </c>
      <c r="D28" s="105" t="n">
        <v>705</v>
      </c>
      <c r="E28" s="105" t="n">
        <v>14100</v>
      </c>
      <c r="F28" s="107" t="n">
        <f aca="false">IF(OR($C28="",$D28=0),"",$E28/$D28)</f>
        <v>20</v>
      </c>
      <c r="G28" s="104" t="s">
        <v>776</v>
      </c>
      <c r="H28" s="0" t="str">
        <f aca="false">IF($C28="","",IF(COUNTIF('مواد المخزون'!$A$2:$A$90,$C28)&gt;0,"نعم","لا (خارج الجرد)"))</f>
        <v>نعم</v>
      </c>
    </row>
    <row r="29" customFormat="false" ht="15" hidden="false" customHeight="false" outlineLevel="0" collapsed="false">
      <c r="A29" s="103" t="n">
        <v>46296</v>
      </c>
      <c r="B29" s="104" t="s">
        <v>32</v>
      </c>
      <c r="C29" s="104" t="s">
        <v>174</v>
      </c>
      <c r="D29" s="105" t="n">
        <v>120</v>
      </c>
      <c r="E29" s="105" t="n">
        <v>3480</v>
      </c>
      <c r="F29" s="107" t="n">
        <f aca="false">IF(OR($C29="",$D29=0),"",$E29/$D29)</f>
        <v>29</v>
      </c>
      <c r="G29" s="104" t="s">
        <v>776</v>
      </c>
      <c r="H29" s="0" t="str">
        <f aca="false">IF($C29="","",IF(COUNTIF('مواد المخزون'!$A$2:$A$90,$C29)&gt;0,"نعم","لا (خارج الجرد)"))</f>
        <v>نعم</v>
      </c>
    </row>
    <row r="30" customFormat="false" ht="15" hidden="false" customHeight="false" outlineLevel="0" collapsed="false">
      <c r="A30" s="103" t="n">
        <v>46296</v>
      </c>
      <c r="B30" s="104" t="s">
        <v>32</v>
      </c>
      <c r="C30" s="104" t="s">
        <v>176</v>
      </c>
      <c r="D30" s="105" t="n">
        <v>1005</v>
      </c>
      <c r="E30" s="105" t="n">
        <v>17587.5</v>
      </c>
      <c r="F30" s="107" t="n">
        <f aca="false">IF(OR($C30="",$D30=0),"",$E30/$D30)</f>
        <v>17.5</v>
      </c>
      <c r="G30" s="104" t="s">
        <v>776</v>
      </c>
      <c r="H30" s="0" t="str">
        <f aca="false">IF($C30="","",IF(COUNTIF('مواد المخزون'!$A$2:$A$90,$C30)&gt;0,"نعم","لا (خارج الجرد)"))</f>
        <v>نعم</v>
      </c>
    </row>
    <row r="31" customFormat="false" ht="15" hidden="false" customHeight="false" outlineLevel="0" collapsed="false">
      <c r="A31" s="103" t="n">
        <v>46296</v>
      </c>
      <c r="B31" s="104" t="s">
        <v>32</v>
      </c>
      <c r="C31" s="104" t="s">
        <v>178</v>
      </c>
      <c r="D31" s="105" t="n">
        <v>70</v>
      </c>
      <c r="E31" s="105" t="n">
        <v>1750</v>
      </c>
      <c r="F31" s="107" t="n">
        <f aca="false">IF(OR($C31="",$D31=0),"",$E31/$D31)</f>
        <v>25</v>
      </c>
      <c r="G31" s="104" t="s">
        <v>776</v>
      </c>
      <c r="H31" s="0" t="str">
        <f aca="false">IF($C31="","",IF(COUNTIF('مواد المخزون'!$A$2:$A$90,$C31)&gt;0,"نعم","لا (خارج الجرد)"))</f>
        <v>نعم</v>
      </c>
    </row>
    <row r="32" customFormat="false" ht="15" hidden="false" customHeight="false" outlineLevel="0" collapsed="false">
      <c r="A32" s="103" t="n">
        <v>46296</v>
      </c>
      <c r="B32" s="104" t="s">
        <v>32</v>
      </c>
      <c r="C32" s="104" t="s">
        <v>180</v>
      </c>
      <c r="D32" s="105" t="n">
        <v>1.5</v>
      </c>
      <c r="E32" s="105" t="n">
        <v>150</v>
      </c>
      <c r="F32" s="107" t="n">
        <f aca="false">IF(OR($C32="",$D32=0),"",$E32/$D32)</f>
        <v>100</v>
      </c>
      <c r="G32" s="104" t="s">
        <v>776</v>
      </c>
      <c r="H32" s="0" t="str">
        <f aca="false">IF($C32="","",IF(COUNTIF('مواد المخزون'!$A$2:$A$90,$C32)&gt;0,"نعم","لا (خارج الجرد)"))</f>
        <v>نعم</v>
      </c>
    </row>
    <row r="33" customFormat="false" ht="15" hidden="false" customHeight="false" outlineLevel="0" collapsed="false">
      <c r="A33" s="103" t="n">
        <v>46296</v>
      </c>
      <c r="B33" s="104" t="s">
        <v>32</v>
      </c>
      <c r="C33" s="104" t="s">
        <v>185</v>
      </c>
      <c r="D33" s="105" t="n">
        <v>1.5</v>
      </c>
      <c r="E33" s="105" t="n">
        <v>150</v>
      </c>
      <c r="F33" s="107" t="n">
        <f aca="false">IF(OR($C33="",$D33=0),"",$E33/$D33)</f>
        <v>100</v>
      </c>
      <c r="G33" s="104" t="s">
        <v>776</v>
      </c>
      <c r="H33" s="0" t="str">
        <f aca="false">IF($C33="","",IF(COUNTIF('مواد المخزون'!$A$2:$A$90,$C33)&gt;0,"نعم","لا (خارج الجرد)"))</f>
        <v>نعم</v>
      </c>
    </row>
    <row r="34" customFormat="false" ht="15" hidden="false" customHeight="false" outlineLevel="0" collapsed="false">
      <c r="A34" s="103" t="n">
        <v>46296</v>
      </c>
      <c r="B34" s="104" t="s">
        <v>32</v>
      </c>
      <c r="C34" s="104" t="s">
        <v>186</v>
      </c>
      <c r="D34" s="105" t="n">
        <v>30</v>
      </c>
      <c r="E34" s="105" t="n">
        <v>1230</v>
      </c>
      <c r="F34" s="107" t="n">
        <f aca="false">IF(OR($C34="",$D34=0),"",$E34/$D34)</f>
        <v>41</v>
      </c>
      <c r="G34" s="104" t="s">
        <v>776</v>
      </c>
      <c r="H34" s="0" t="str">
        <f aca="false">IF($C34="","",IF(COUNTIF('مواد المخزون'!$A$2:$A$90,$C34)&gt;0,"نعم","لا (خارج الجرد)"))</f>
        <v>نعم</v>
      </c>
    </row>
    <row r="35" customFormat="false" ht="15" hidden="false" customHeight="false" outlineLevel="0" collapsed="false">
      <c r="A35" s="103" t="n">
        <v>46296</v>
      </c>
      <c r="B35" s="104" t="s">
        <v>32</v>
      </c>
      <c r="C35" s="104" t="s">
        <v>190</v>
      </c>
      <c r="D35" s="105" t="n">
        <v>2</v>
      </c>
      <c r="E35" s="105" t="n">
        <v>36</v>
      </c>
      <c r="F35" s="107" t="n">
        <f aca="false">IF(OR($C35="",$D35=0),"",$E35/$D35)</f>
        <v>18</v>
      </c>
      <c r="G35" s="104" t="s">
        <v>776</v>
      </c>
      <c r="H35" s="0" t="str">
        <f aca="false">IF($C35="","",IF(COUNTIF('مواد المخزون'!$A$2:$A$90,$C35)&gt;0,"نعم","لا (خارج الجرد)"))</f>
        <v>نعم</v>
      </c>
    </row>
    <row r="36" customFormat="false" ht="15" hidden="false" customHeight="false" outlineLevel="0" collapsed="false">
      <c r="A36" s="103" t="n">
        <v>46296</v>
      </c>
      <c r="B36" s="104" t="s">
        <v>32</v>
      </c>
      <c r="C36" s="104" t="s">
        <v>192</v>
      </c>
      <c r="D36" s="105" t="n">
        <v>2</v>
      </c>
      <c r="E36" s="105" t="n">
        <v>1460</v>
      </c>
      <c r="F36" s="107" t="n">
        <f aca="false">IF(OR($C36="",$D36=0),"",$E36/$D36)</f>
        <v>730</v>
      </c>
      <c r="G36" s="104" t="s">
        <v>776</v>
      </c>
      <c r="H36" s="0" t="str">
        <f aca="false">IF($C36="","",IF(COUNTIF('مواد المخزون'!$A$2:$A$90,$C36)&gt;0,"نعم","لا (خارج الجرد)"))</f>
        <v>نعم</v>
      </c>
    </row>
    <row r="37" customFormat="false" ht="15" hidden="false" customHeight="false" outlineLevel="0" collapsed="false">
      <c r="A37" s="103" t="n">
        <v>46296</v>
      </c>
      <c r="B37" s="104" t="s">
        <v>32</v>
      </c>
      <c r="C37" s="104" t="s">
        <v>195</v>
      </c>
      <c r="D37" s="105" t="n">
        <v>13</v>
      </c>
      <c r="E37" s="105" t="n">
        <v>390</v>
      </c>
      <c r="F37" s="107" t="n">
        <f aca="false">IF(OR($C37="",$D37=0),"",$E37/$D37)</f>
        <v>30</v>
      </c>
      <c r="G37" s="104" t="s">
        <v>776</v>
      </c>
      <c r="H37" s="0" t="str">
        <f aca="false">IF($C37="","",IF(COUNTIF('مواد المخزون'!$A$2:$A$90,$C37)&gt;0,"نعم","لا (خارج الجرد)"))</f>
        <v>لا (خارج الجرد)</v>
      </c>
    </row>
    <row r="38" customFormat="false" ht="15" hidden="false" customHeight="false" outlineLevel="0" collapsed="false">
      <c r="A38" s="103" t="n">
        <v>46296</v>
      </c>
      <c r="B38" s="104" t="s">
        <v>32</v>
      </c>
      <c r="C38" s="104" t="s">
        <v>742</v>
      </c>
      <c r="D38" s="105" t="n">
        <v>1</v>
      </c>
      <c r="E38" s="105" t="n">
        <v>45</v>
      </c>
      <c r="F38" s="107" t="n">
        <f aca="false">IF(OR($C38="",$D38=0),"",$E38/$D38)</f>
        <v>45</v>
      </c>
      <c r="G38" s="104" t="s">
        <v>776</v>
      </c>
      <c r="H38" s="0" t="str">
        <f aca="false">IF($C38="","",IF(COUNTIF('مواد المخزون'!$A$2:$A$90,$C38)&gt;0,"نعم","لا (خارج الجرد)"))</f>
        <v>نعم</v>
      </c>
    </row>
    <row r="39" customFormat="false" ht="15" hidden="false" customHeight="false" outlineLevel="0" collapsed="false">
      <c r="A39" s="103" t="n">
        <v>46296</v>
      </c>
      <c r="B39" s="104" t="s">
        <v>32</v>
      </c>
      <c r="C39" s="104" t="s">
        <v>202</v>
      </c>
      <c r="D39" s="105" t="n">
        <v>7</v>
      </c>
      <c r="E39" s="105" t="n">
        <v>135</v>
      </c>
      <c r="F39" s="107" t="n">
        <f aca="false">IF(OR($C39="",$D39=0),"",$E39/$D39)</f>
        <v>19.2857142857143</v>
      </c>
      <c r="G39" s="104" t="s">
        <v>776</v>
      </c>
      <c r="H39" s="0" t="str">
        <f aca="false">IF($C39="","",IF(COUNTIF('مواد المخزون'!$A$2:$A$90,$C39)&gt;0,"نعم","لا (خارج الجرد)"))</f>
        <v>نعم</v>
      </c>
    </row>
    <row r="40" customFormat="false" ht="15" hidden="false" customHeight="false" outlineLevel="0" collapsed="false">
      <c r="A40" s="103" t="n">
        <v>46296</v>
      </c>
      <c r="B40" s="104" t="s">
        <v>32</v>
      </c>
      <c r="C40" s="104" t="s">
        <v>779</v>
      </c>
      <c r="D40" s="105" t="n">
        <v>0.675</v>
      </c>
      <c r="E40" s="105" t="n">
        <v>40.5</v>
      </c>
      <c r="F40" s="107" t="n">
        <f aca="false">IF(OR($C40="",$D40=0),"",$E40/$D40)</f>
        <v>60</v>
      </c>
      <c r="G40" s="104" t="s">
        <v>776</v>
      </c>
      <c r="H40" s="0" t="str">
        <f aca="false">IF($C40="","",IF(COUNTIF('مواد المخزون'!$A$2:$A$90,$C40)&gt;0,"نعم","لا (خارج الجرد)"))</f>
        <v>لا (خارج الجرد)</v>
      </c>
    </row>
    <row r="41" customFormat="false" ht="15" hidden="false" customHeight="false" outlineLevel="0" collapsed="false">
      <c r="A41" s="103" t="n">
        <v>46296</v>
      </c>
      <c r="B41" s="104" t="s">
        <v>32</v>
      </c>
      <c r="C41" s="104" t="s">
        <v>208</v>
      </c>
      <c r="D41" s="105" t="n">
        <v>7</v>
      </c>
      <c r="E41" s="105" t="n">
        <v>1200</v>
      </c>
      <c r="F41" s="107" t="n">
        <f aca="false">IF(OR($C41="",$D41=0),"",$E41/$D41)</f>
        <v>171.428571428571</v>
      </c>
      <c r="G41" s="104" t="s">
        <v>776</v>
      </c>
      <c r="H41" s="0" t="str">
        <f aca="false">IF($C41="","",IF(COUNTIF('مواد المخزون'!$A$2:$A$90,$C41)&gt;0,"نعم","لا (خارج الجرد)"))</f>
        <v>لا (خارج الجرد)</v>
      </c>
    </row>
    <row r="42" customFormat="false" ht="15" hidden="false" customHeight="false" outlineLevel="0" collapsed="false">
      <c r="A42" s="103" t="n">
        <v>46296</v>
      </c>
      <c r="B42" s="104" t="s">
        <v>32</v>
      </c>
      <c r="C42" s="104" t="s">
        <v>208</v>
      </c>
      <c r="D42" s="105" t="n">
        <v>1</v>
      </c>
      <c r="E42" s="105" t="n">
        <v>250</v>
      </c>
      <c r="F42" s="107" t="n">
        <f aca="false">IF(OR($C42="",$D42=0),"",$E42/$D42)</f>
        <v>250</v>
      </c>
      <c r="G42" s="104" t="s">
        <v>776</v>
      </c>
      <c r="H42" s="0" t="str">
        <f aca="false">IF($C42="","",IF(COUNTIF('مواد المخزون'!$A$2:$A$90,$C42)&gt;0,"نعم","لا (خارج الجرد)"))</f>
        <v>لا (خارج الجرد)</v>
      </c>
    </row>
    <row r="43" customFormat="false" ht="15" hidden="false" customHeight="false" outlineLevel="0" collapsed="false">
      <c r="A43" s="103" t="n">
        <v>46296</v>
      </c>
      <c r="B43" s="104" t="s">
        <v>32</v>
      </c>
      <c r="C43" s="104" t="s">
        <v>211</v>
      </c>
      <c r="D43" s="105" t="n">
        <v>100</v>
      </c>
      <c r="E43" s="105" t="n">
        <v>900</v>
      </c>
      <c r="F43" s="107" t="n">
        <f aca="false">IF(OR($C43="",$D43=0),"",$E43/$D43)</f>
        <v>9</v>
      </c>
      <c r="G43" s="104" t="s">
        <v>776</v>
      </c>
      <c r="H43" s="0" t="str">
        <f aca="false">IF($C43="","",IF(COUNTIF('مواد المخزون'!$A$2:$A$90,$C43)&gt;0,"نعم","لا (خارج الجرد)"))</f>
        <v>نعم</v>
      </c>
    </row>
    <row r="44" customFormat="false" ht="15" hidden="false" customHeight="false" outlineLevel="0" collapsed="false">
      <c r="A44" s="103" t="n">
        <v>46296</v>
      </c>
      <c r="B44" s="104" t="s">
        <v>32</v>
      </c>
      <c r="C44" s="104" t="s">
        <v>214</v>
      </c>
      <c r="D44" s="105" t="n">
        <v>0.5</v>
      </c>
      <c r="E44" s="105" t="n">
        <v>100</v>
      </c>
      <c r="F44" s="107" t="n">
        <f aca="false">IF(OR($C44="",$D44=0),"",$E44/$D44)</f>
        <v>200</v>
      </c>
      <c r="G44" s="104" t="s">
        <v>776</v>
      </c>
      <c r="H44" s="0" t="str">
        <f aca="false">IF($C44="","",IF(COUNTIF('مواد المخزون'!$A$2:$A$90,$C44)&gt;0,"نعم","لا (خارج الجرد)"))</f>
        <v>نعم</v>
      </c>
    </row>
    <row r="45" customFormat="false" ht="15" hidden="false" customHeight="false" outlineLevel="0" collapsed="false">
      <c r="A45" s="103" t="n">
        <v>46296</v>
      </c>
      <c r="B45" s="104" t="s">
        <v>32</v>
      </c>
      <c r="C45" s="104" t="s">
        <v>216</v>
      </c>
      <c r="D45" s="105" t="n">
        <v>4</v>
      </c>
      <c r="E45" s="105" t="n">
        <v>60</v>
      </c>
      <c r="F45" s="107" t="n">
        <f aca="false">IF(OR($C45="",$D45=0),"",$E45/$D45)</f>
        <v>15</v>
      </c>
      <c r="G45" s="104" t="s">
        <v>776</v>
      </c>
      <c r="H45" s="0" t="str">
        <f aca="false">IF($C45="","",IF(COUNTIF('مواد المخزون'!$A$2:$A$90,$C45)&gt;0,"نعم","لا (خارج الجرد)"))</f>
        <v>لا (خارج الجرد)</v>
      </c>
    </row>
    <row r="46" customFormat="false" ht="15" hidden="false" customHeight="false" outlineLevel="0" collapsed="false">
      <c r="A46" s="103" t="n">
        <v>46296</v>
      </c>
      <c r="B46" s="104" t="s">
        <v>32</v>
      </c>
      <c r="C46" s="104" t="s">
        <v>218</v>
      </c>
      <c r="D46" s="105" t="n">
        <v>45</v>
      </c>
      <c r="E46" s="105" t="n">
        <v>925</v>
      </c>
      <c r="F46" s="107" t="n">
        <f aca="false">IF(OR($C46="",$D46=0),"",$E46/$D46)</f>
        <v>20.5555555555556</v>
      </c>
      <c r="G46" s="104" t="s">
        <v>776</v>
      </c>
      <c r="H46" s="0" t="str">
        <f aca="false">IF($C46="","",IF(COUNTIF('مواد المخزون'!$A$2:$A$90,$C46)&gt;0,"نعم","لا (خارج الجرد)"))</f>
        <v>نعم</v>
      </c>
    </row>
    <row r="47" customFormat="false" ht="15" hidden="false" customHeight="false" outlineLevel="0" collapsed="false">
      <c r="A47" s="103" t="n">
        <v>46296</v>
      </c>
      <c r="B47" s="104" t="s">
        <v>32</v>
      </c>
      <c r="C47" s="104" t="s">
        <v>220</v>
      </c>
      <c r="D47" s="105" t="n">
        <v>10</v>
      </c>
      <c r="E47" s="105" t="n">
        <v>1200</v>
      </c>
      <c r="F47" s="107" t="n">
        <f aca="false">IF(OR($C47="",$D47=0),"",$E47/$D47)</f>
        <v>120</v>
      </c>
      <c r="G47" s="104" t="s">
        <v>776</v>
      </c>
      <c r="H47" s="0" t="str">
        <f aca="false">IF($C47="","",IF(COUNTIF('مواد المخزون'!$A$2:$A$90,$C47)&gt;0,"نعم","لا (خارج الجرد)"))</f>
        <v>نعم</v>
      </c>
    </row>
    <row r="48" customFormat="false" ht="15" hidden="false" customHeight="false" outlineLevel="0" collapsed="false">
      <c r="A48" s="103" t="n">
        <v>46296</v>
      </c>
      <c r="B48" s="104" t="s">
        <v>32</v>
      </c>
      <c r="C48" s="104" t="s">
        <v>221</v>
      </c>
      <c r="D48" s="105" t="n">
        <v>0.5</v>
      </c>
      <c r="E48" s="105" t="n">
        <v>110</v>
      </c>
      <c r="F48" s="107" t="n">
        <f aca="false">IF(OR($C48="",$D48=0),"",$E48/$D48)</f>
        <v>220</v>
      </c>
      <c r="G48" s="104" t="s">
        <v>776</v>
      </c>
      <c r="H48" s="0" t="str">
        <f aca="false">IF($C48="","",IF(COUNTIF('مواد المخزون'!$A$2:$A$90,$C48)&gt;0,"نعم","لا (خارج الجرد)"))</f>
        <v>نعم</v>
      </c>
    </row>
    <row r="49" customFormat="false" ht="15" hidden="false" customHeight="false" outlineLevel="0" collapsed="false">
      <c r="A49" s="103" t="n">
        <v>46296</v>
      </c>
      <c r="B49" s="104" t="s">
        <v>32</v>
      </c>
      <c r="C49" s="104" t="s">
        <v>780</v>
      </c>
      <c r="D49" s="105" t="n">
        <v>0.425</v>
      </c>
      <c r="E49" s="105" t="n">
        <v>106.25</v>
      </c>
      <c r="F49" s="107" t="n">
        <f aca="false">IF(OR($C49="",$D49=0),"",$E49/$D49)</f>
        <v>250</v>
      </c>
      <c r="G49" s="104" t="s">
        <v>776</v>
      </c>
      <c r="H49" s="0" t="str">
        <f aca="false">IF($C49="","",IF(COUNTIF('مواد المخزون'!$A$2:$A$90,$C49)&gt;0,"نعم","لا (خارج الجرد)"))</f>
        <v>لا (خارج الجرد)</v>
      </c>
    </row>
    <row r="50" customFormat="false" ht="15" hidden="false" customHeight="false" outlineLevel="0" collapsed="false">
      <c r="A50" s="103" t="n">
        <v>46296</v>
      </c>
      <c r="B50" s="104" t="s">
        <v>32</v>
      </c>
      <c r="C50" s="104" t="s">
        <v>223</v>
      </c>
      <c r="D50" s="105" t="n">
        <v>20</v>
      </c>
      <c r="E50" s="105" t="n">
        <v>1500</v>
      </c>
      <c r="F50" s="107" t="n">
        <f aca="false">IF(OR($C50="",$D50=0),"",$E50/$D50)</f>
        <v>75</v>
      </c>
      <c r="G50" s="104" t="s">
        <v>776</v>
      </c>
      <c r="H50" s="0" t="str">
        <f aca="false">IF($C50="","",IF(COUNTIF('مواد المخزون'!$A$2:$A$90,$C50)&gt;0,"نعم","لا (خارج الجرد)"))</f>
        <v>لا (خارج الجرد)</v>
      </c>
    </row>
    <row r="51" customFormat="false" ht="15" hidden="false" customHeight="false" outlineLevel="0" collapsed="false">
      <c r="A51" s="103" t="n">
        <v>46296</v>
      </c>
      <c r="B51" s="104" t="s">
        <v>32</v>
      </c>
      <c r="C51" s="104" t="s">
        <v>225</v>
      </c>
      <c r="D51" s="105" t="n">
        <v>26</v>
      </c>
      <c r="E51" s="105" t="n">
        <v>1950</v>
      </c>
      <c r="F51" s="107" t="n">
        <f aca="false">IF(OR($C51="",$D51=0),"",$E51/$D51)</f>
        <v>75</v>
      </c>
      <c r="G51" s="104" t="s">
        <v>776</v>
      </c>
      <c r="H51" s="0" t="str">
        <f aca="false">IF($C51="","",IF(COUNTIF('مواد المخزون'!$A$2:$A$90,$C51)&gt;0,"نعم","لا (خارج الجرد)"))</f>
        <v>لا (خارج الجرد)</v>
      </c>
    </row>
    <row r="52" customFormat="false" ht="15" hidden="false" customHeight="false" outlineLevel="0" collapsed="false">
      <c r="A52" s="103" t="n">
        <v>46296</v>
      </c>
      <c r="B52" s="104" t="s">
        <v>32</v>
      </c>
      <c r="C52" s="104" t="s">
        <v>227</v>
      </c>
      <c r="D52" s="105" t="n">
        <v>15</v>
      </c>
      <c r="E52" s="105" t="n">
        <v>1425</v>
      </c>
      <c r="F52" s="107" t="n">
        <f aca="false">IF(OR($C52="",$D52=0),"",$E52/$D52)</f>
        <v>95</v>
      </c>
      <c r="G52" s="104" t="s">
        <v>776</v>
      </c>
      <c r="H52" s="0" t="str">
        <f aca="false">IF($C52="","",IF(COUNTIF('مواد المخزون'!$A$2:$A$90,$C52)&gt;0,"نعم","لا (خارج الجرد)"))</f>
        <v>نعم</v>
      </c>
    </row>
    <row r="53" customFormat="false" ht="15" hidden="false" customHeight="false" outlineLevel="0" collapsed="false">
      <c r="A53" s="103" t="n">
        <v>46296</v>
      </c>
      <c r="B53" s="104" t="s">
        <v>32</v>
      </c>
      <c r="C53" s="104" t="s">
        <v>229</v>
      </c>
      <c r="D53" s="105" t="n">
        <v>25</v>
      </c>
      <c r="E53" s="105" t="n">
        <v>750</v>
      </c>
      <c r="F53" s="107" t="n">
        <f aca="false">IF(OR($C53="",$D53=0),"",$E53/$D53)</f>
        <v>30</v>
      </c>
      <c r="G53" s="104" t="s">
        <v>776</v>
      </c>
      <c r="H53" s="0" t="str">
        <f aca="false">IF($C53="","",IF(COUNTIF('مواد المخزون'!$A$2:$A$90,$C53)&gt;0,"نعم","لا (خارج الجرد)"))</f>
        <v>نعم</v>
      </c>
    </row>
    <row r="54" customFormat="false" ht="15" hidden="false" customHeight="false" outlineLevel="0" collapsed="false">
      <c r="A54" s="103" t="n">
        <v>46296</v>
      </c>
      <c r="B54" s="104" t="s">
        <v>32</v>
      </c>
      <c r="C54" s="104" t="s">
        <v>229</v>
      </c>
      <c r="D54" s="105" t="n">
        <v>4</v>
      </c>
      <c r="E54" s="105" t="n">
        <v>200</v>
      </c>
      <c r="F54" s="107" t="n">
        <f aca="false">IF(OR($C54="",$D54=0),"",$E54/$D54)</f>
        <v>50</v>
      </c>
      <c r="G54" s="104" t="s">
        <v>776</v>
      </c>
      <c r="H54" s="0" t="str">
        <f aca="false">IF($C54="","",IF(COUNTIF('مواد المخزون'!$A$2:$A$90,$C54)&gt;0,"نعم","لا (خارج الجرد)"))</f>
        <v>نعم</v>
      </c>
    </row>
    <row r="55" customFormat="false" ht="15" hidden="false" customHeight="false" outlineLevel="0" collapsed="false">
      <c r="A55" s="103" t="n">
        <v>46296</v>
      </c>
      <c r="B55" s="104" t="s">
        <v>32</v>
      </c>
      <c r="C55" s="104" t="s">
        <v>230</v>
      </c>
      <c r="D55" s="105" t="n">
        <v>3</v>
      </c>
      <c r="E55" s="105" t="n">
        <v>21.3</v>
      </c>
      <c r="F55" s="107" t="n">
        <f aca="false">IF(OR($C55="",$D55=0),"",$E55/$D55)</f>
        <v>7.1</v>
      </c>
      <c r="G55" s="104" t="s">
        <v>776</v>
      </c>
      <c r="H55" s="0" t="str">
        <f aca="false">IF($C55="","",IF(COUNTIF('مواد المخزون'!$A$2:$A$90,$C55)&gt;0,"نعم","لا (خارج الجرد)"))</f>
        <v>لا (خارج الجرد)</v>
      </c>
    </row>
    <row r="56" customFormat="false" ht="15" hidden="false" customHeight="false" outlineLevel="0" collapsed="false">
      <c r="A56" s="103" t="n">
        <v>46296</v>
      </c>
      <c r="B56" s="104" t="s">
        <v>32</v>
      </c>
      <c r="C56" s="104" t="s">
        <v>232</v>
      </c>
      <c r="D56" s="105" t="n">
        <v>5</v>
      </c>
      <c r="E56" s="105" t="n">
        <v>1900</v>
      </c>
      <c r="F56" s="107" t="n">
        <f aca="false">IF(OR($C56="",$D56=0),"",$E56/$D56)</f>
        <v>380</v>
      </c>
      <c r="G56" s="104" t="s">
        <v>776</v>
      </c>
      <c r="H56" s="0" t="str">
        <f aca="false">IF($C56="","",IF(COUNTIF('مواد المخزون'!$A$2:$A$90,$C56)&gt;0,"نعم","لا (خارج الجرد)"))</f>
        <v>نعم</v>
      </c>
    </row>
    <row r="57" customFormat="false" ht="15" hidden="false" customHeight="false" outlineLevel="0" collapsed="false">
      <c r="A57" s="103" t="n">
        <v>46296</v>
      </c>
      <c r="B57" s="104" t="s">
        <v>32</v>
      </c>
      <c r="C57" s="104" t="s">
        <v>239</v>
      </c>
      <c r="D57" s="105" t="n">
        <v>3</v>
      </c>
      <c r="E57" s="105" t="n">
        <v>405</v>
      </c>
      <c r="F57" s="107" t="n">
        <f aca="false">IF(OR($C57="",$D57=0),"",$E57/$D57)</f>
        <v>135</v>
      </c>
      <c r="G57" s="104" t="s">
        <v>776</v>
      </c>
      <c r="H57" s="0" t="str">
        <f aca="false">IF($C57="","",IF(COUNTIF('مواد المخزون'!$A$2:$A$90,$C57)&gt;0,"نعم","لا (خارج الجرد)"))</f>
        <v>نعم</v>
      </c>
    </row>
    <row r="58" customFormat="false" ht="15" hidden="false" customHeight="false" outlineLevel="0" collapsed="false">
      <c r="A58" s="103" t="n">
        <v>46296</v>
      </c>
      <c r="B58" s="104" t="s">
        <v>32</v>
      </c>
      <c r="C58" s="104" t="s">
        <v>241</v>
      </c>
      <c r="D58" s="105" t="n">
        <v>0.1</v>
      </c>
      <c r="E58" s="105" t="n">
        <v>11</v>
      </c>
      <c r="F58" s="107" t="n">
        <f aca="false">IF(OR($C58="",$D58=0),"",$E58/$D58)</f>
        <v>110</v>
      </c>
      <c r="G58" s="104" t="s">
        <v>776</v>
      </c>
      <c r="H58" s="0" t="str">
        <f aca="false">IF($C58="","",IF(COUNTIF('مواد المخزون'!$A$2:$A$90,$C58)&gt;0,"نعم","لا (خارج الجرد)"))</f>
        <v>لا (خارج الجرد)</v>
      </c>
    </row>
    <row r="59" customFormat="false" ht="15" hidden="false" customHeight="false" outlineLevel="0" collapsed="false">
      <c r="A59" s="103" t="n">
        <v>46296</v>
      </c>
      <c r="B59" s="104" t="s">
        <v>32</v>
      </c>
      <c r="C59" s="104" t="s">
        <v>241</v>
      </c>
      <c r="D59" s="105" t="n">
        <v>0.091</v>
      </c>
      <c r="E59" s="105" t="n">
        <v>10</v>
      </c>
      <c r="F59" s="107" t="n">
        <f aca="false">IF(OR($C59="",$D59=0),"",$E59/$D59)</f>
        <v>109.89010989011</v>
      </c>
      <c r="G59" s="104" t="s">
        <v>776</v>
      </c>
      <c r="H59" s="0" t="str">
        <f aca="false">IF($C59="","",IF(COUNTIF('مواد المخزون'!$A$2:$A$90,$C59)&gt;0,"نعم","لا (خارج الجرد)"))</f>
        <v>لا (خارج الجرد)</v>
      </c>
    </row>
    <row r="60" customFormat="false" ht="15" hidden="false" customHeight="false" outlineLevel="0" collapsed="false">
      <c r="A60" s="103" t="n">
        <v>46296</v>
      </c>
      <c r="B60" s="104" t="s">
        <v>32</v>
      </c>
      <c r="C60" s="104" t="s">
        <v>243</v>
      </c>
      <c r="D60" s="105" t="n">
        <v>2000</v>
      </c>
      <c r="E60" s="105" t="n">
        <v>600</v>
      </c>
      <c r="F60" s="107" t="n">
        <f aca="false">IF(OR($C60="",$D60=0),"",$E60/$D60)</f>
        <v>0.3</v>
      </c>
      <c r="G60" s="104" t="s">
        <v>776</v>
      </c>
      <c r="H60" s="0" t="str">
        <f aca="false">IF($C60="","",IF(COUNTIF('مواد المخزون'!$A$2:$A$90,$C60)&gt;0,"نعم","لا (خارج الجرد)"))</f>
        <v>نعم</v>
      </c>
    </row>
    <row r="61" customFormat="false" ht="15" hidden="false" customHeight="false" outlineLevel="0" collapsed="false">
      <c r="A61" s="103" t="n">
        <v>46296</v>
      </c>
      <c r="B61" s="104" t="s">
        <v>32</v>
      </c>
      <c r="C61" s="104" t="s">
        <v>245</v>
      </c>
      <c r="D61" s="105" t="n">
        <v>25</v>
      </c>
      <c r="E61" s="105" t="n">
        <v>3250</v>
      </c>
      <c r="F61" s="107" t="n">
        <f aca="false">IF(OR($C61="",$D61=0),"",$E61/$D61)</f>
        <v>130</v>
      </c>
      <c r="G61" s="104" t="s">
        <v>776</v>
      </c>
      <c r="H61" s="0" t="str">
        <f aca="false">IF($C61="","",IF(COUNTIF('مواد المخزون'!$A$2:$A$90,$C61)&gt;0,"نعم","لا (خارج الجرد)"))</f>
        <v>نعم</v>
      </c>
    </row>
    <row r="62" customFormat="false" ht="15" hidden="false" customHeight="false" outlineLevel="0" collapsed="false">
      <c r="A62" s="103" t="n">
        <v>46296</v>
      </c>
      <c r="B62" s="104" t="s">
        <v>32</v>
      </c>
      <c r="C62" s="104" t="s">
        <v>245</v>
      </c>
      <c r="D62" s="105" t="n">
        <v>4</v>
      </c>
      <c r="E62" s="105" t="n">
        <v>335</v>
      </c>
      <c r="F62" s="107" t="n">
        <f aca="false">IF(OR($C62="",$D62=0),"",$E62/$D62)</f>
        <v>83.75</v>
      </c>
      <c r="G62" s="104" t="s">
        <v>776</v>
      </c>
      <c r="H62" s="0" t="str">
        <f aca="false">IF($C62="","",IF(COUNTIF('مواد المخزون'!$A$2:$A$90,$C62)&gt;0,"نعم","لا (خارج الجرد)"))</f>
        <v>نعم</v>
      </c>
    </row>
    <row r="63" customFormat="false" ht="15" hidden="false" customHeight="false" outlineLevel="0" collapsed="false">
      <c r="A63" s="103" t="n">
        <v>46296</v>
      </c>
      <c r="B63" s="104" t="s">
        <v>32</v>
      </c>
      <c r="C63" s="104" t="s">
        <v>247</v>
      </c>
      <c r="D63" s="105" t="n">
        <v>4</v>
      </c>
      <c r="E63" s="105" t="n">
        <v>400</v>
      </c>
      <c r="F63" s="107" t="n">
        <f aca="false">IF(OR($C63="",$D63=0),"",$E63/$D63)</f>
        <v>100</v>
      </c>
      <c r="G63" s="104" t="s">
        <v>776</v>
      </c>
      <c r="H63" s="0" t="str">
        <f aca="false">IF($C63="","",IF(COUNTIF('مواد المخزون'!$A$2:$A$90,$C63)&gt;0,"نعم","لا (خارج الجرد)"))</f>
        <v>نعم</v>
      </c>
    </row>
    <row r="64" customFormat="false" ht="15" hidden="false" customHeight="false" outlineLevel="0" collapsed="false">
      <c r="A64" s="103" t="n">
        <v>46296</v>
      </c>
      <c r="B64" s="104" t="s">
        <v>32</v>
      </c>
      <c r="C64" s="104" t="s">
        <v>248</v>
      </c>
      <c r="D64" s="105" t="n">
        <v>40</v>
      </c>
      <c r="E64" s="105" t="n">
        <v>480</v>
      </c>
      <c r="F64" s="107" t="n">
        <f aca="false">IF(OR($C64="",$D64=0),"",$E64/$D64)</f>
        <v>12</v>
      </c>
      <c r="G64" s="104" t="s">
        <v>776</v>
      </c>
      <c r="H64" s="0" t="str">
        <f aca="false">IF($C64="","",IF(COUNTIF('مواد المخزون'!$A$2:$A$90,$C64)&gt;0,"نعم","لا (خارج الجرد)"))</f>
        <v>لا (خارج الجرد)</v>
      </c>
    </row>
    <row r="65" customFormat="false" ht="15" hidden="false" customHeight="false" outlineLevel="0" collapsed="false">
      <c r="A65" s="103" t="n">
        <v>46296</v>
      </c>
      <c r="B65" s="104" t="s">
        <v>32</v>
      </c>
      <c r="C65" s="104" t="s">
        <v>250</v>
      </c>
      <c r="D65" s="105" t="n">
        <v>26</v>
      </c>
      <c r="E65" s="105" t="n">
        <v>832</v>
      </c>
      <c r="F65" s="107" t="n">
        <f aca="false">IF(OR($C65="",$D65=0),"",$E65/$D65)</f>
        <v>32</v>
      </c>
      <c r="G65" s="104" t="s">
        <v>776</v>
      </c>
      <c r="H65" s="0" t="str">
        <f aca="false">IF($C65="","",IF(COUNTIF('مواد المخزون'!$A$2:$A$90,$C65)&gt;0,"نعم","لا (خارج الجرد)"))</f>
        <v>نعم</v>
      </c>
    </row>
    <row r="66" customFormat="false" ht="15" hidden="false" customHeight="false" outlineLevel="0" collapsed="false">
      <c r="A66" s="103" t="n">
        <v>46296</v>
      </c>
      <c r="B66" s="104" t="s">
        <v>32</v>
      </c>
      <c r="C66" s="104" t="s">
        <v>252</v>
      </c>
      <c r="D66" s="105" t="n">
        <v>13.5</v>
      </c>
      <c r="E66" s="105" t="n">
        <v>945</v>
      </c>
      <c r="F66" s="107" t="n">
        <f aca="false">IF(OR($C66="",$D66=0),"",$E66/$D66)</f>
        <v>70</v>
      </c>
      <c r="G66" s="104" t="s">
        <v>776</v>
      </c>
      <c r="H66" s="0" t="str">
        <f aca="false">IF($C66="","",IF(COUNTIF('مواد المخزون'!$A$2:$A$90,$C66)&gt;0,"نعم","لا (خارج الجرد)"))</f>
        <v>نعم</v>
      </c>
    </row>
    <row r="67" customFormat="false" ht="15" hidden="false" customHeight="false" outlineLevel="0" collapsed="false">
      <c r="A67" s="103" t="n">
        <v>46296</v>
      </c>
      <c r="B67" s="104" t="s">
        <v>32</v>
      </c>
      <c r="C67" s="104" t="s">
        <v>254</v>
      </c>
      <c r="D67" s="105" t="n">
        <v>5</v>
      </c>
      <c r="E67" s="105" t="n">
        <v>700</v>
      </c>
      <c r="F67" s="107" t="n">
        <f aca="false">IF(OR($C67="",$D67=0),"",$E67/$D67)</f>
        <v>140</v>
      </c>
      <c r="G67" s="104" t="s">
        <v>776</v>
      </c>
      <c r="H67" s="0" t="str">
        <f aca="false">IF($C67="","",IF(COUNTIF('مواد المخزون'!$A$2:$A$90,$C67)&gt;0,"نعم","لا (خارج الجرد)"))</f>
        <v>نعم</v>
      </c>
    </row>
    <row r="68" customFormat="false" ht="15" hidden="false" customHeight="false" outlineLevel="0" collapsed="false">
      <c r="A68" s="103" t="n">
        <v>46296</v>
      </c>
      <c r="B68" s="104" t="s">
        <v>32</v>
      </c>
      <c r="C68" s="104" t="s">
        <v>256</v>
      </c>
      <c r="D68" s="105" t="n">
        <v>10</v>
      </c>
      <c r="E68" s="105" t="n">
        <v>1050</v>
      </c>
      <c r="F68" s="107" t="n">
        <f aca="false">IF(OR($C68="",$D68=0),"",$E68/$D68)</f>
        <v>105</v>
      </c>
      <c r="G68" s="104" t="s">
        <v>776</v>
      </c>
      <c r="H68" s="0" t="str">
        <f aca="false">IF($C68="","",IF(COUNTIF('مواد المخزون'!$A$2:$A$90,$C68)&gt;0,"نعم","لا (خارج الجرد)"))</f>
        <v>نعم</v>
      </c>
    </row>
    <row r="69" customFormat="false" ht="15" hidden="false" customHeight="false" outlineLevel="0" collapsed="false">
      <c r="A69" s="103" t="n">
        <v>46296</v>
      </c>
      <c r="B69" s="104" t="s">
        <v>32</v>
      </c>
      <c r="C69" s="104" t="s">
        <v>258</v>
      </c>
      <c r="D69" s="105" t="n">
        <v>15</v>
      </c>
      <c r="E69" s="105" t="n">
        <v>2100</v>
      </c>
      <c r="F69" s="107" t="n">
        <f aca="false">IF(OR($C69="",$D69=0),"",$E69/$D69)</f>
        <v>140</v>
      </c>
      <c r="G69" s="104" t="s">
        <v>776</v>
      </c>
      <c r="H69" s="0" t="str">
        <f aca="false">IF($C69="","",IF(COUNTIF('مواد المخزون'!$A$2:$A$90,$C69)&gt;0,"نعم","لا (خارج الجرد)"))</f>
        <v>نعم</v>
      </c>
    </row>
    <row r="70" customFormat="false" ht="15" hidden="false" customHeight="false" outlineLevel="0" collapsed="false">
      <c r="A70" s="103" t="n">
        <v>46296</v>
      </c>
      <c r="B70" s="104" t="s">
        <v>32</v>
      </c>
      <c r="C70" s="104" t="s">
        <v>260</v>
      </c>
      <c r="D70" s="105" t="n">
        <v>135</v>
      </c>
      <c r="E70" s="105" t="n">
        <v>2835</v>
      </c>
      <c r="F70" s="107" t="n">
        <f aca="false">IF(OR($C70="",$D70=0),"",$E70/$D70)</f>
        <v>21</v>
      </c>
      <c r="G70" s="104" t="s">
        <v>776</v>
      </c>
      <c r="H70" s="0" t="str">
        <f aca="false">IF($C70="","",IF(COUNTIF('مواد المخزون'!$A$2:$A$90,$C70)&gt;0,"نعم","لا (خارج الجرد)"))</f>
        <v>نعم</v>
      </c>
    </row>
    <row r="71" customFormat="false" ht="15" hidden="false" customHeight="false" outlineLevel="0" collapsed="false">
      <c r="A71" s="103" t="n">
        <v>46296</v>
      </c>
      <c r="B71" s="104" t="s">
        <v>32</v>
      </c>
      <c r="C71" s="104" t="s">
        <v>262</v>
      </c>
      <c r="D71" s="105" t="n">
        <v>161.5</v>
      </c>
      <c r="E71" s="105" t="n">
        <v>3553</v>
      </c>
      <c r="F71" s="107" t="n">
        <f aca="false">IF(OR($C71="",$D71=0),"",$E71/$D71)</f>
        <v>22</v>
      </c>
      <c r="G71" s="104" t="s">
        <v>776</v>
      </c>
      <c r="H71" s="0" t="str">
        <f aca="false">IF($C71="","",IF(COUNTIF('مواد المخزون'!$A$2:$A$90,$C71)&gt;0,"نعم","لا (خارج الجرد)"))</f>
        <v>نعم</v>
      </c>
    </row>
    <row r="72" customFormat="false" ht="15" hidden="false" customHeight="false" outlineLevel="0" collapsed="false">
      <c r="A72" s="103" t="n">
        <v>46296</v>
      </c>
      <c r="B72" s="104" t="s">
        <v>32</v>
      </c>
      <c r="C72" s="104" t="s">
        <v>264</v>
      </c>
      <c r="D72" s="105" t="n">
        <v>1945</v>
      </c>
      <c r="E72" s="105" t="n">
        <v>7780</v>
      </c>
      <c r="F72" s="107" t="n">
        <f aca="false">IF(OR($C72="",$D72=0),"",$E72/$D72)</f>
        <v>4</v>
      </c>
      <c r="G72" s="104" t="s">
        <v>776</v>
      </c>
      <c r="H72" s="0" t="str">
        <f aca="false">IF($C72="","",IF(COUNTIF('مواد المخزون'!$A$2:$A$90,$C72)&gt;0,"نعم","لا (خارج الجرد)"))</f>
        <v>نعم</v>
      </c>
    </row>
    <row r="73" customFormat="false" ht="15" hidden="false" customHeight="false" outlineLevel="0" collapsed="false">
      <c r="A73" s="103" t="n">
        <v>46296</v>
      </c>
      <c r="B73" s="104" t="s">
        <v>32</v>
      </c>
      <c r="C73" s="104" t="s">
        <v>266</v>
      </c>
      <c r="D73" s="105" t="n">
        <v>2</v>
      </c>
      <c r="E73" s="105" t="n">
        <v>280</v>
      </c>
      <c r="F73" s="107" t="n">
        <f aca="false">IF(OR($C73="",$D73=0),"",$E73/$D73)</f>
        <v>140</v>
      </c>
      <c r="G73" s="104" t="s">
        <v>776</v>
      </c>
      <c r="H73" s="0" t="str">
        <f aca="false">IF($C73="","",IF(COUNTIF('مواد المخزون'!$A$2:$A$90,$C73)&gt;0,"نعم","لا (خارج الجرد)"))</f>
        <v>نعم</v>
      </c>
    </row>
    <row r="74" customFormat="false" ht="15" hidden="false" customHeight="false" outlineLevel="0" collapsed="false">
      <c r="A74" s="103" t="n">
        <v>46296</v>
      </c>
      <c r="B74" s="104" t="s">
        <v>32</v>
      </c>
      <c r="C74" s="104" t="s">
        <v>346</v>
      </c>
      <c r="D74" s="105" t="n">
        <v>10</v>
      </c>
      <c r="E74" s="105" t="n">
        <v>80</v>
      </c>
      <c r="F74" s="107" t="n">
        <f aca="false">IF(OR($C74="",$D74=0),"",$E74/$D74)</f>
        <v>8</v>
      </c>
      <c r="G74" s="104" t="s">
        <v>776</v>
      </c>
      <c r="H74" s="0" t="str">
        <f aca="false">IF($C74="","",IF(COUNTIF('مواد المخزون'!$A$2:$A$90,$C74)&gt;0,"نعم","لا (خارج الجرد)"))</f>
        <v>نعم</v>
      </c>
    </row>
    <row r="75" customFormat="false" ht="15" hidden="false" customHeight="false" outlineLevel="0" collapsed="false">
      <c r="A75" s="103" t="n">
        <v>46296</v>
      </c>
      <c r="B75" s="104" t="s">
        <v>32</v>
      </c>
      <c r="C75" s="104" t="s">
        <v>270</v>
      </c>
      <c r="D75" s="105" t="n">
        <v>450</v>
      </c>
      <c r="E75" s="105" t="n">
        <v>2025</v>
      </c>
      <c r="F75" s="107" t="n">
        <f aca="false">IF(OR($C75="",$D75=0),"",$E75/$D75)</f>
        <v>4.5</v>
      </c>
      <c r="G75" s="104" t="s">
        <v>776</v>
      </c>
      <c r="H75" s="0" t="str">
        <f aca="false">IF($C75="","",IF(COUNTIF('مواد المخزون'!$A$2:$A$90,$C75)&gt;0,"نعم","لا (خارج الجرد)"))</f>
        <v>نعم</v>
      </c>
    </row>
    <row r="76" customFormat="false" ht="15" hidden="false" customHeight="false" outlineLevel="0" collapsed="false">
      <c r="A76" s="103" t="n">
        <v>46296</v>
      </c>
      <c r="B76" s="104" t="s">
        <v>32</v>
      </c>
      <c r="C76" s="104" t="s">
        <v>274</v>
      </c>
      <c r="D76" s="105" t="n">
        <v>50</v>
      </c>
      <c r="E76" s="105" t="n">
        <v>85</v>
      </c>
      <c r="F76" s="107" t="n">
        <f aca="false">IF(OR($C76="",$D76=0),"",$E76/$D76)</f>
        <v>1.7</v>
      </c>
      <c r="G76" s="104" t="s">
        <v>776</v>
      </c>
      <c r="H76" s="0" t="str">
        <f aca="false">IF($C76="","",IF(COUNTIF('مواد المخزون'!$A$2:$A$90,$C76)&gt;0,"نعم","لا (خارج الجرد)"))</f>
        <v>نعم</v>
      </c>
    </row>
    <row r="77" customFormat="false" ht="15" hidden="false" customHeight="false" outlineLevel="0" collapsed="false">
      <c r="A77" s="103" t="n">
        <v>46296</v>
      </c>
      <c r="B77" s="104" t="s">
        <v>32</v>
      </c>
      <c r="C77" s="104" t="s">
        <v>276</v>
      </c>
      <c r="D77" s="105" t="n">
        <v>50</v>
      </c>
      <c r="E77" s="105" t="n">
        <v>100</v>
      </c>
      <c r="F77" s="107" t="n">
        <f aca="false">IF(OR($C77="",$D77=0),"",$E77/$D77)</f>
        <v>2</v>
      </c>
      <c r="G77" s="104" t="s">
        <v>776</v>
      </c>
      <c r="H77" s="0" t="str">
        <f aca="false">IF($C77="","",IF(COUNTIF('مواد المخزون'!$A$2:$A$90,$C77)&gt;0,"نعم","لا (خارج الجرد)"))</f>
        <v>نعم</v>
      </c>
    </row>
    <row r="78" customFormat="false" ht="15" hidden="false" customHeight="false" outlineLevel="0" collapsed="false">
      <c r="A78" s="103" t="n">
        <v>46296</v>
      </c>
      <c r="B78" s="104" t="s">
        <v>32</v>
      </c>
      <c r="C78" s="104" t="s">
        <v>278</v>
      </c>
      <c r="D78" s="105" t="n">
        <v>100</v>
      </c>
      <c r="E78" s="105" t="n">
        <v>310</v>
      </c>
      <c r="F78" s="107" t="n">
        <f aca="false">IF(OR($C78="",$D78=0),"",$E78/$D78)</f>
        <v>3.1</v>
      </c>
      <c r="G78" s="104" t="s">
        <v>776</v>
      </c>
      <c r="H78" s="0" t="str">
        <f aca="false">IF($C78="","",IF(COUNTIF('مواد المخزون'!$A$2:$A$90,$C78)&gt;0,"نعم","لا (خارج الجرد)"))</f>
        <v>نعم</v>
      </c>
    </row>
    <row r="79" customFormat="false" ht="15" hidden="false" customHeight="false" outlineLevel="0" collapsed="false">
      <c r="A79" s="103" t="n">
        <v>46296</v>
      </c>
      <c r="B79" s="104" t="s">
        <v>32</v>
      </c>
      <c r="C79" s="104" t="s">
        <v>781</v>
      </c>
      <c r="D79" s="105" t="n">
        <v>0.25</v>
      </c>
      <c r="E79" s="105" t="n">
        <v>100</v>
      </c>
      <c r="F79" s="107" t="n">
        <f aca="false">IF(OR($C79="",$D79=0),"",$E79/$D79)</f>
        <v>400</v>
      </c>
      <c r="G79" s="104" t="s">
        <v>776</v>
      </c>
      <c r="H79" s="0" t="str">
        <f aca="false">IF($C79="","",IF(COUNTIF('مواد المخزون'!$A$2:$A$90,$C79)&gt;0,"نعم","لا (خارج الجرد)"))</f>
        <v>لا (خارج الجرد)</v>
      </c>
    </row>
    <row r="80" customFormat="false" ht="15" hidden="false" customHeight="false" outlineLevel="0" collapsed="false">
      <c r="A80" s="103" t="n">
        <v>46296</v>
      </c>
      <c r="B80" s="104" t="s">
        <v>32</v>
      </c>
      <c r="C80" s="104" t="s">
        <v>284</v>
      </c>
      <c r="D80" s="105" t="n">
        <v>70.5</v>
      </c>
      <c r="E80" s="105" t="n">
        <v>1903.5</v>
      </c>
      <c r="F80" s="107" t="n">
        <f aca="false">IF(OR($C80="",$D80=0),"",$E80/$D80)</f>
        <v>27</v>
      </c>
      <c r="G80" s="104" t="s">
        <v>776</v>
      </c>
      <c r="H80" s="0" t="str">
        <f aca="false">IF($C80="","",IF(COUNTIF('مواد المخزون'!$A$2:$A$90,$C80)&gt;0,"نعم","لا (خارج الجرد)"))</f>
        <v>نعم</v>
      </c>
    </row>
    <row r="81" customFormat="false" ht="15" hidden="false" customHeight="false" outlineLevel="0" collapsed="false">
      <c r="A81" s="103" t="n">
        <v>46296</v>
      </c>
      <c r="B81" s="104" t="s">
        <v>32</v>
      </c>
      <c r="C81" s="104" t="s">
        <v>288</v>
      </c>
      <c r="D81" s="105" t="n">
        <v>564</v>
      </c>
      <c r="E81" s="105" t="n">
        <v>3948</v>
      </c>
      <c r="F81" s="107" t="n">
        <f aca="false">IF(OR($C81="",$D81=0),"",$E81/$D81)</f>
        <v>7</v>
      </c>
      <c r="G81" s="104" t="s">
        <v>776</v>
      </c>
      <c r="H81" s="0" t="str">
        <f aca="false">IF($C81="","",IF(COUNTIF('مواد المخزون'!$A$2:$A$90,$C81)&gt;0,"نعم","لا (خارج الجرد)"))</f>
        <v>نعم</v>
      </c>
    </row>
    <row r="82" customFormat="false" ht="15" hidden="false" customHeight="false" outlineLevel="0" collapsed="false">
      <c r="A82" s="103" t="n">
        <v>46296</v>
      </c>
      <c r="B82" s="104" t="s">
        <v>32</v>
      </c>
      <c r="C82" s="104" t="s">
        <v>290</v>
      </c>
      <c r="D82" s="105" t="n">
        <v>4000</v>
      </c>
      <c r="E82" s="105" t="n">
        <v>1200</v>
      </c>
      <c r="F82" s="107" t="n">
        <f aca="false">IF(OR($C82="",$D82=0),"",$E82/$D82)</f>
        <v>0.3</v>
      </c>
      <c r="G82" s="104" t="s">
        <v>776</v>
      </c>
      <c r="H82" s="0" t="str">
        <f aca="false">IF($C82="","",IF(COUNTIF('مواد المخزون'!$A$2:$A$90,$C82)&gt;0,"نعم","لا (خارج الجرد)"))</f>
        <v>نعم</v>
      </c>
    </row>
    <row r="83" customFormat="false" ht="15" hidden="false" customHeight="false" outlineLevel="0" collapsed="false">
      <c r="A83" s="103" t="n">
        <v>46296</v>
      </c>
      <c r="B83" s="104" t="s">
        <v>32</v>
      </c>
      <c r="C83" s="104" t="s">
        <v>291</v>
      </c>
      <c r="D83" s="105" t="n">
        <v>14.4</v>
      </c>
      <c r="E83" s="105" t="n">
        <v>1296</v>
      </c>
      <c r="F83" s="107" t="n">
        <f aca="false">IF(OR($C83="",$D83=0),"",$E83/$D83)</f>
        <v>90</v>
      </c>
      <c r="G83" s="104" t="s">
        <v>776</v>
      </c>
      <c r="H83" s="0" t="str">
        <f aca="false">IF($C83="","",IF(COUNTIF('مواد المخزون'!$A$2:$A$90,$C83)&gt;0,"نعم","لا (خارج الجرد)"))</f>
        <v>نعم</v>
      </c>
    </row>
    <row r="84" customFormat="false" ht="15" hidden="false" customHeight="false" outlineLevel="0" collapsed="false">
      <c r="A84" s="103" t="n">
        <v>46296</v>
      </c>
      <c r="B84" s="104" t="s">
        <v>32</v>
      </c>
      <c r="C84" s="104" t="s">
        <v>293</v>
      </c>
      <c r="D84" s="105" t="n">
        <v>1200</v>
      </c>
      <c r="E84" s="105" t="n">
        <v>600</v>
      </c>
      <c r="F84" s="107" t="n">
        <f aca="false">IF(OR($C84="",$D84=0),"",$E84/$D84)</f>
        <v>0.5</v>
      </c>
      <c r="G84" s="104" t="s">
        <v>776</v>
      </c>
      <c r="H84" s="0" t="str">
        <f aca="false">IF($C84="","",IF(COUNTIF('مواد المخزون'!$A$2:$A$90,$C84)&gt;0,"نعم","لا (خارج الجرد)"))</f>
        <v>نعم</v>
      </c>
    </row>
    <row r="85" customFormat="false" ht="15" hidden="false" customHeight="false" outlineLevel="0" collapsed="false">
      <c r="A85" s="103" t="n">
        <v>46296</v>
      </c>
      <c r="B85" s="104" t="s">
        <v>32</v>
      </c>
      <c r="C85" s="104" t="s">
        <v>295</v>
      </c>
      <c r="D85" s="105" t="n">
        <v>3</v>
      </c>
      <c r="E85" s="105" t="n">
        <v>1260</v>
      </c>
      <c r="F85" s="107" t="n">
        <f aca="false">IF(OR($C85="",$D85=0),"",$E85/$D85)</f>
        <v>420</v>
      </c>
      <c r="G85" s="104" t="s">
        <v>776</v>
      </c>
      <c r="H85" s="0" t="str">
        <f aca="false">IF($C85="","",IF(COUNTIF('مواد المخزون'!$A$2:$A$90,$C85)&gt;0,"نعم","لا (خارج الجرد)"))</f>
        <v>نعم</v>
      </c>
    </row>
    <row r="86" customFormat="false" ht="15" hidden="false" customHeight="false" outlineLevel="0" collapsed="false">
      <c r="A86" s="103" t="n">
        <v>46296</v>
      </c>
      <c r="B86" s="104" t="s">
        <v>32</v>
      </c>
      <c r="C86" s="104" t="s">
        <v>782</v>
      </c>
      <c r="D86" s="105" t="n">
        <v>20</v>
      </c>
      <c r="E86" s="105" t="n">
        <v>160</v>
      </c>
      <c r="F86" s="107" t="n">
        <f aca="false">IF(OR($C86="",$D86=0),"",$E86/$D86)</f>
        <v>8</v>
      </c>
      <c r="G86" s="104" t="s">
        <v>776</v>
      </c>
      <c r="H86" s="0" t="str">
        <f aca="false">IF($C86="","",IF(COUNTIF('مواد المخزون'!$A$2:$A$90,$C86)&gt;0,"نعم","لا (خارج الجرد)"))</f>
        <v>لا (خارج الجرد)</v>
      </c>
    </row>
    <row r="87" customFormat="false" ht="15" hidden="false" customHeight="false" outlineLevel="0" collapsed="false">
      <c r="A87" s="103" t="n">
        <v>46296</v>
      </c>
      <c r="B87" s="104" t="s">
        <v>32</v>
      </c>
      <c r="C87" s="104" t="s">
        <v>298</v>
      </c>
      <c r="D87" s="105" t="n">
        <v>110</v>
      </c>
      <c r="E87" s="105" t="n">
        <v>2360</v>
      </c>
      <c r="F87" s="107" t="n">
        <f aca="false">IF(OR($C87="",$D87=0),"",$E87/$D87)</f>
        <v>21.4545454545455</v>
      </c>
      <c r="G87" s="104" t="s">
        <v>776</v>
      </c>
      <c r="H87" s="0" t="str">
        <f aca="false">IF($C87="","",IF(COUNTIF('مواد المخزون'!$A$2:$A$90,$C87)&gt;0,"نعم","لا (خارج الجرد)"))</f>
        <v>نعم</v>
      </c>
    </row>
    <row r="88" customFormat="false" ht="15" hidden="false" customHeight="false" outlineLevel="0" collapsed="false">
      <c r="A88" s="103" t="n">
        <v>46296</v>
      </c>
      <c r="B88" s="104" t="s">
        <v>32</v>
      </c>
      <c r="C88" s="104" t="s">
        <v>300</v>
      </c>
      <c r="D88" s="105" t="n">
        <v>12</v>
      </c>
      <c r="E88" s="105" t="n">
        <v>72</v>
      </c>
      <c r="F88" s="107" t="n">
        <f aca="false">IF(OR($C88="",$D88=0),"",$E88/$D88)</f>
        <v>6</v>
      </c>
      <c r="G88" s="104" t="s">
        <v>776</v>
      </c>
      <c r="H88" s="0" t="str">
        <f aca="false">IF($C88="","",IF(COUNTIF('مواد المخزون'!$A$2:$A$90,$C88)&gt;0,"نعم","لا (خارج الجرد)"))</f>
        <v>نعم</v>
      </c>
    </row>
    <row r="89" customFormat="false" ht="15" hidden="false" customHeight="false" outlineLevel="0" collapsed="false">
      <c r="A89" s="103" t="n">
        <v>46296</v>
      </c>
      <c r="B89" s="104" t="s">
        <v>32</v>
      </c>
      <c r="C89" s="104" t="s">
        <v>302</v>
      </c>
      <c r="D89" s="105" t="n">
        <v>1</v>
      </c>
      <c r="E89" s="105" t="n">
        <v>135</v>
      </c>
      <c r="F89" s="107" t="n">
        <f aca="false">IF(OR($C89="",$D89=0),"",$E89/$D89)</f>
        <v>135</v>
      </c>
      <c r="G89" s="104" t="s">
        <v>776</v>
      </c>
      <c r="H89" s="0" t="str">
        <f aca="false">IF($C89="","",IF(COUNTIF('مواد المخزون'!$A$2:$A$90,$C89)&gt;0,"نعم","لا (خارج الجرد)"))</f>
        <v>نعم</v>
      </c>
    </row>
    <row r="90" customFormat="false" ht="15" hidden="false" customHeight="false" outlineLevel="0" collapsed="false">
      <c r="A90" s="103" t="n">
        <v>46296</v>
      </c>
      <c r="B90" s="104" t="s">
        <v>32</v>
      </c>
      <c r="C90" s="104" t="s">
        <v>783</v>
      </c>
      <c r="D90" s="105" t="n">
        <v>5</v>
      </c>
      <c r="E90" s="105" t="n">
        <v>60</v>
      </c>
      <c r="F90" s="107" t="n">
        <f aca="false">IF(OR($C90="",$D90=0),"",$E90/$D90)</f>
        <v>12</v>
      </c>
      <c r="G90" s="104" t="s">
        <v>776</v>
      </c>
      <c r="H90" s="0" t="str">
        <f aca="false">IF($C90="","",IF(COUNTIF('مواد المخزون'!$A$2:$A$90,$C90)&gt;0,"نعم","لا (خارج الجرد)"))</f>
        <v>لا (خارج الجرد)</v>
      </c>
    </row>
    <row r="91" customFormat="false" ht="15" hidden="false" customHeight="false" outlineLevel="0" collapsed="false">
      <c r="A91" s="103" t="n">
        <v>46296</v>
      </c>
      <c r="B91" s="104" t="s">
        <v>32</v>
      </c>
      <c r="C91" s="104" t="s">
        <v>309</v>
      </c>
      <c r="D91" s="105" t="n">
        <v>10</v>
      </c>
      <c r="E91" s="105" t="n">
        <v>240</v>
      </c>
      <c r="F91" s="107" t="n">
        <f aca="false">IF(OR($C91="",$D91=0),"",$E91/$D91)</f>
        <v>24</v>
      </c>
      <c r="G91" s="104" t="s">
        <v>776</v>
      </c>
      <c r="H91" s="0" t="str">
        <f aca="false">IF($C91="","",IF(COUNTIF('مواد المخزون'!$A$2:$A$90,$C91)&gt;0,"نعم","لا (خارج الجرد)"))</f>
        <v>نعم</v>
      </c>
    </row>
    <row r="92" customFormat="false" ht="15" hidden="false" customHeight="false" outlineLevel="0" collapsed="false">
      <c r="A92" s="103" t="n">
        <v>46296</v>
      </c>
      <c r="B92" s="104" t="s">
        <v>32</v>
      </c>
      <c r="C92" s="104" t="s">
        <v>317</v>
      </c>
      <c r="D92" s="105" t="n">
        <v>1</v>
      </c>
      <c r="E92" s="105" t="n">
        <v>610</v>
      </c>
      <c r="F92" s="107" t="n">
        <f aca="false">IF(OR($C92="",$D92=0),"",$E92/$D92)</f>
        <v>610</v>
      </c>
      <c r="G92" s="104" t="s">
        <v>776</v>
      </c>
      <c r="H92" s="0" t="str">
        <f aca="false">IF($C92="","",IF(COUNTIF('مواد المخزون'!$A$2:$A$90,$C92)&gt;0,"نعم","لا (خارج الجرد)"))</f>
        <v>نعم</v>
      </c>
    </row>
    <row r="93" customFormat="false" ht="15" hidden="false" customHeight="false" outlineLevel="0" collapsed="false">
      <c r="A93" s="103" t="n">
        <v>46296</v>
      </c>
      <c r="B93" s="104" t="s">
        <v>32</v>
      </c>
      <c r="C93" s="104" t="s">
        <v>784</v>
      </c>
      <c r="D93" s="105" t="n">
        <v>1</v>
      </c>
      <c r="E93" s="105" t="n">
        <v>120</v>
      </c>
      <c r="F93" s="107" t="n">
        <f aca="false">IF(OR($C93="",$D93=0),"",$E93/$D93)</f>
        <v>120</v>
      </c>
      <c r="G93" s="104" t="s">
        <v>776</v>
      </c>
      <c r="H93" s="0" t="str">
        <f aca="false">IF($C93="","",IF(COUNTIF('مواد المخزون'!$A$2:$A$90,$C93)&gt;0,"نعم","لا (خارج الجرد)"))</f>
        <v>نعم</v>
      </c>
    </row>
    <row r="94" customFormat="false" ht="15" hidden="false" customHeight="false" outlineLevel="0" collapsed="false">
      <c r="A94" s="103" t="n">
        <v>46296</v>
      </c>
      <c r="B94" s="104" t="s">
        <v>33</v>
      </c>
      <c r="C94" s="104" t="s">
        <v>125</v>
      </c>
      <c r="D94" s="105" t="n">
        <v>400</v>
      </c>
      <c r="E94" s="105" t="n">
        <v>320</v>
      </c>
      <c r="F94" s="107" t="n">
        <f aca="false">IF(OR($C94="",$D94=0),"",$E94/$D94)</f>
        <v>0.8</v>
      </c>
      <c r="G94" s="104" t="s">
        <v>776</v>
      </c>
      <c r="H94" s="0" t="str">
        <f aca="false">IF($C94="","",IF(COUNTIF('مواد المخزون'!$A$2:$A$90,$C94)&gt;0,"نعم","لا (خارج الجرد)"))</f>
        <v>نعم</v>
      </c>
    </row>
    <row r="95" customFormat="false" ht="15" hidden="false" customHeight="false" outlineLevel="0" collapsed="false">
      <c r="A95" s="103" t="n">
        <v>46296</v>
      </c>
      <c r="B95" s="104" t="s">
        <v>33</v>
      </c>
      <c r="C95" s="104" t="s">
        <v>785</v>
      </c>
      <c r="D95" s="105" t="n">
        <v>0.5</v>
      </c>
      <c r="E95" s="105" t="n">
        <v>50</v>
      </c>
      <c r="F95" s="107" t="n">
        <f aca="false">IF(OR($C95="",$D95=0),"",$E95/$D95)</f>
        <v>100</v>
      </c>
      <c r="G95" s="104" t="s">
        <v>776</v>
      </c>
      <c r="H95" s="0" t="str">
        <f aca="false">IF($C95="","",IF(COUNTIF('مواد المخزون'!$A$2:$A$90,$C95)&gt;0,"نعم","لا (خارج الجرد)"))</f>
        <v>لا (خارج الجرد)</v>
      </c>
    </row>
    <row r="96" customFormat="false" ht="15" hidden="false" customHeight="false" outlineLevel="0" collapsed="false">
      <c r="A96" s="103" t="n">
        <v>46296</v>
      </c>
      <c r="B96" s="104" t="s">
        <v>33</v>
      </c>
      <c r="C96" s="104" t="s">
        <v>786</v>
      </c>
      <c r="D96" s="105" t="n">
        <v>0.75</v>
      </c>
      <c r="E96" s="105" t="n">
        <v>90</v>
      </c>
      <c r="F96" s="107" t="n">
        <f aca="false">IF(OR($C96="",$D96=0),"",$E96/$D96)</f>
        <v>120</v>
      </c>
      <c r="G96" s="104" t="s">
        <v>776</v>
      </c>
      <c r="H96" s="0" t="str">
        <f aca="false">IF($C96="","",IF(COUNTIF('مواد المخزون'!$A$2:$A$90,$C96)&gt;0,"نعم","لا (خارج الجرد)"))</f>
        <v>لا (خارج الجرد)</v>
      </c>
    </row>
    <row r="97" customFormat="false" ht="15" hidden="false" customHeight="false" outlineLevel="0" collapsed="false">
      <c r="A97" s="103" t="n">
        <v>46296</v>
      </c>
      <c r="B97" s="104" t="s">
        <v>33</v>
      </c>
      <c r="C97" s="104" t="s">
        <v>131</v>
      </c>
      <c r="D97" s="105" t="n">
        <v>1</v>
      </c>
      <c r="E97" s="105" t="n">
        <v>80</v>
      </c>
      <c r="F97" s="107" t="n">
        <f aca="false">IF(OR($C97="",$D97=0),"",$E97/$D97)</f>
        <v>80</v>
      </c>
      <c r="G97" s="104" t="s">
        <v>776</v>
      </c>
      <c r="H97" s="0" t="str">
        <f aca="false">IF($C97="","",IF(COUNTIF('مواد المخزون'!$A$2:$A$90,$C97)&gt;0,"نعم","لا (خارج الجرد)"))</f>
        <v>لا (خارج الجرد)</v>
      </c>
    </row>
    <row r="98" customFormat="false" ht="15" hidden="false" customHeight="false" outlineLevel="0" collapsed="false">
      <c r="A98" s="103" t="n">
        <v>46296</v>
      </c>
      <c r="B98" s="104" t="s">
        <v>33</v>
      </c>
      <c r="C98" s="104" t="s">
        <v>133</v>
      </c>
      <c r="D98" s="105" t="n">
        <v>25</v>
      </c>
      <c r="E98" s="105" t="n">
        <v>1750</v>
      </c>
      <c r="F98" s="107" t="n">
        <f aca="false">IF(OR($C98="",$D98=0),"",$E98/$D98)</f>
        <v>70</v>
      </c>
      <c r="G98" s="104" t="s">
        <v>776</v>
      </c>
      <c r="H98" s="0" t="str">
        <f aca="false">IF($C98="","",IF(COUNTIF('مواد المخزون'!$A$2:$A$90,$C98)&gt;0,"نعم","لا (خارج الجرد)"))</f>
        <v>نعم</v>
      </c>
    </row>
    <row r="99" customFormat="false" ht="15" hidden="false" customHeight="false" outlineLevel="0" collapsed="false">
      <c r="A99" s="103" t="n">
        <v>46296</v>
      </c>
      <c r="B99" s="104" t="s">
        <v>33</v>
      </c>
      <c r="C99" s="104" t="s">
        <v>136</v>
      </c>
      <c r="D99" s="105" t="n">
        <v>25</v>
      </c>
      <c r="E99" s="105" t="n">
        <v>1750</v>
      </c>
      <c r="F99" s="107" t="n">
        <f aca="false">IF(OR($C99="",$D99=0),"",$E99/$D99)</f>
        <v>70</v>
      </c>
      <c r="G99" s="104" t="s">
        <v>776</v>
      </c>
      <c r="H99" s="0" t="str">
        <f aca="false">IF($C99="","",IF(COUNTIF('مواد المخزون'!$A$2:$A$90,$C99)&gt;0,"نعم","لا (خارج الجرد)"))</f>
        <v>نعم</v>
      </c>
    </row>
    <row r="100" customFormat="false" ht="15" hidden="false" customHeight="false" outlineLevel="0" collapsed="false">
      <c r="A100" s="103" t="n">
        <v>46296</v>
      </c>
      <c r="B100" s="104" t="s">
        <v>33</v>
      </c>
      <c r="C100" s="104" t="s">
        <v>138</v>
      </c>
      <c r="D100" s="105" t="n">
        <v>2</v>
      </c>
      <c r="E100" s="105" t="n">
        <v>120</v>
      </c>
      <c r="F100" s="107" t="n">
        <f aca="false">IF(OR($C100="",$D100=0),"",$E100/$D100)</f>
        <v>60</v>
      </c>
      <c r="G100" s="104" t="s">
        <v>776</v>
      </c>
      <c r="H100" s="0" t="str">
        <f aca="false">IF($C100="","",IF(COUNTIF('مواد المخزون'!$A$2:$A$90,$C100)&gt;0,"نعم","لا (خارج الجرد)"))</f>
        <v>لا (خارج الجرد)</v>
      </c>
    </row>
    <row r="101" customFormat="false" ht="15" hidden="false" customHeight="false" outlineLevel="0" collapsed="false">
      <c r="A101" s="103" t="n">
        <v>46296</v>
      </c>
      <c r="B101" s="104" t="s">
        <v>33</v>
      </c>
      <c r="C101" s="104" t="s">
        <v>777</v>
      </c>
      <c r="D101" s="105" t="n">
        <v>215</v>
      </c>
      <c r="E101" s="105" t="n">
        <v>3870</v>
      </c>
      <c r="F101" s="107" t="n">
        <f aca="false">IF(OR($C101="",$D101=0),"",$E101/$D101)</f>
        <v>18</v>
      </c>
      <c r="G101" s="104" t="s">
        <v>776</v>
      </c>
      <c r="H101" s="0" t="str">
        <f aca="false">IF($C101="","",IF(COUNTIF('مواد المخزون'!$A$2:$A$90,$C101)&gt;0,"نعم","لا (خارج الجرد)"))</f>
        <v>نعم</v>
      </c>
    </row>
    <row r="102" customFormat="false" ht="15" hidden="false" customHeight="false" outlineLevel="0" collapsed="false">
      <c r="A102" s="103" t="n">
        <v>46296</v>
      </c>
      <c r="B102" s="104" t="s">
        <v>33</v>
      </c>
      <c r="C102" s="104" t="s">
        <v>142</v>
      </c>
      <c r="D102" s="105" t="n">
        <v>410</v>
      </c>
      <c r="E102" s="105" t="n">
        <v>14350</v>
      </c>
      <c r="F102" s="107" t="n">
        <f aca="false">IF(OR($C102="",$D102=0),"",$E102/$D102)</f>
        <v>35</v>
      </c>
      <c r="G102" s="104" t="s">
        <v>776</v>
      </c>
      <c r="H102" s="0" t="str">
        <f aca="false">IF($C102="","",IF(COUNTIF('مواد المخزون'!$A$2:$A$90,$C102)&gt;0,"نعم","لا (خارج الجرد)"))</f>
        <v>نعم</v>
      </c>
    </row>
    <row r="103" customFormat="false" ht="15" hidden="false" customHeight="false" outlineLevel="0" collapsed="false">
      <c r="A103" s="103" t="n">
        <v>46296</v>
      </c>
      <c r="B103" s="104" t="s">
        <v>33</v>
      </c>
      <c r="C103" s="104" t="s">
        <v>144</v>
      </c>
      <c r="D103" s="105" t="n">
        <v>60</v>
      </c>
      <c r="E103" s="105" t="n">
        <v>2760</v>
      </c>
      <c r="F103" s="107" t="n">
        <f aca="false">IF(OR($C103="",$D103=0),"",$E103/$D103)</f>
        <v>46</v>
      </c>
      <c r="G103" s="104" t="s">
        <v>776</v>
      </c>
      <c r="H103" s="0" t="str">
        <f aca="false">IF($C103="","",IF(COUNTIF('مواد المخزون'!$A$2:$A$90,$C103)&gt;0,"نعم","لا (خارج الجرد)"))</f>
        <v>نعم</v>
      </c>
    </row>
    <row r="104" customFormat="false" ht="15" hidden="false" customHeight="false" outlineLevel="0" collapsed="false">
      <c r="A104" s="103" t="n">
        <v>46296</v>
      </c>
      <c r="B104" s="104" t="s">
        <v>33</v>
      </c>
      <c r="C104" s="104" t="s">
        <v>146</v>
      </c>
      <c r="D104" s="105" t="n">
        <v>75</v>
      </c>
      <c r="E104" s="105" t="n">
        <v>422.5</v>
      </c>
      <c r="F104" s="107" t="n">
        <f aca="false">IF(OR($C104="",$D104=0),"",$E104/$D104)</f>
        <v>5.63333333333333</v>
      </c>
      <c r="G104" s="104" t="s">
        <v>776</v>
      </c>
      <c r="H104" s="0" t="str">
        <f aca="false">IF($C104="","",IF(COUNTIF('مواد المخزون'!$A$2:$A$90,$C104)&gt;0,"نعم","لا (خارج الجرد)"))</f>
        <v>نعم</v>
      </c>
    </row>
    <row r="105" customFormat="false" ht="15" hidden="false" customHeight="false" outlineLevel="0" collapsed="false">
      <c r="A105" s="103" t="n">
        <v>46296</v>
      </c>
      <c r="B105" s="104" t="s">
        <v>33</v>
      </c>
      <c r="C105" s="104" t="s">
        <v>148</v>
      </c>
      <c r="D105" s="105" t="n">
        <v>600</v>
      </c>
      <c r="E105" s="105" t="n">
        <v>5400</v>
      </c>
      <c r="F105" s="107" t="n">
        <f aca="false">IF(OR($C105="",$D105=0),"",$E105/$D105)</f>
        <v>9</v>
      </c>
      <c r="G105" s="104" t="s">
        <v>776</v>
      </c>
      <c r="H105" s="0" t="str">
        <f aca="false">IF($C105="","",IF(COUNTIF('مواد المخزون'!$A$2:$A$90,$C105)&gt;0,"نعم","لا (خارج الجرد)"))</f>
        <v>نعم</v>
      </c>
    </row>
    <row r="106" customFormat="false" ht="15" hidden="false" customHeight="false" outlineLevel="0" collapsed="false">
      <c r="A106" s="103" t="n">
        <v>46296</v>
      </c>
      <c r="B106" s="104" t="s">
        <v>33</v>
      </c>
      <c r="C106" s="104" t="s">
        <v>150</v>
      </c>
      <c r="D106" s="105" t="n">
        <v>11</v>
      </c>
      <c r="E106" s="105" t="n">
        <v>1045</v>
      </c>
      <c r="F106" s="107" t="n">
        <f aca="false">IF(OR($C106="",$D106=0),"",$E106/$D106)</f>
        <v>95</v>
      </c>
      <c r="G106" s="104" t="s">
        <v>776</v>
      </c>
      <c r="H106" s="0" t="str">
        <f aca="false">IF($C106="","",IF(COUNTIF('مواد المخزون'!$A$2:$A$90,$C106)&gt;0,"نعم","لا (خارج الجرد)"))</f>
        <v>نعم</v>
      </c>
    </row>
    <row r="107" customFormat="false" ht="15" hidden="false" customHeight="false" outlineLevel="0" collapsed="false">
      <c r="A107" s="103" t="n">
        <v>46296</v>
      </c>
      <c r="B107" s="104" t="s">
        <v>33</v>
      </c>
      <c r="C107" s="104" t="s">
        <v>152</v>
      </c>
      <c r="D107" s="105" t="n">
        <v>480</v>
      </c>
      <c r="E107" s="105" t="n">
        <v>16320</v>
      </c>
      <c r="F107" s="107" t="n">
        <f aca="false">IF(OR($C107="",$D107=0),"",$E107/$D107)</f>
        <v>34</v>
      </c>
      <c r="G107" s="104" t="s">
        <v>776</v>
      </c>
      <c r="H107" s="0" t="str">
        <f aca="false">IF($C107="","",IF(COUNTIF('مواد المخزون'!$A$2:$A$90,$C107)&gt;0,"نعم","لا (خارج الجرد)"))</f>
        <v>نعم</v>
      </c>
    </row>
    <row r="108" customFormat="false" ht="15" hidden="false" customHeight="false" outlineLevel="0" collapsed="false">
      <c r="A108" s="103" t="n">
        <v>46296</v>
      </c>
      <c r="B108" s="104" t="s">
        <v>33</v>
      </c>
      <c r="C108" s="104" t="s">
        <v>154</v>
      </c>
      <c r="D108" s="105" t="n">
        <v>90</v>
      </c>
      <c r="E108" s="105" t="n">
        <v>4050</v>
      </c>
      <c r="F108" s="107" t="n">
        <f aca="false">IF(OR($C108="",$D108=0),"",$E108/$D108)</f>
        <v>45</v>
      </c>
      <c r="G108" s="104" t="s">
        <v>776</v>
      </c>
      <c r="H108" s="0" t="str">
        <f aca="false">IF($C108="","",IF(COUNTIF('مواد المخزون'!$A$2:$A$90,$C108)&gt;0,"نعم","لا (خارج الجرد)"))</f>
        <v>نعم</v>
      </c>
    </row>
    <row r="109" customFormat="false" ht="15" hidden="false" customHeight="false" outlineLevel="0" collapsed="false">
      <c r="A109" s="103" t="n">
        <v>46296</v>
      </c>
      <c r="B109" s="104" t="s">
        <v>33</v>
      </c>
      <c r="C109" s="104" t="s">
        <v>156</v>
      </c>
      <c r="D109" s="105" t="n">
        <v>40</v>
      </c>
      <c r="E109" s="105" t="n">
        <v>1120</v>
      </c>
      <c r="F109" s="107" t="n">
        <f aca="false">IF(OR($C109="",$D109=0),"",$E109/$D109)</f>
        <v>28</v>
      </c>
      <c r="G109" s="104" t="s">
        <v>776</v>
      </c>
      <c r="H109" s="0" t="str">
        <f aca="false">IF($C109="","",IF(COUNTIF('مواد المخزون'!$A$2:$A$90,$C109)&gt;0,"نعم","لا (خارج الجرد)"))</f>
        <v>نعم</v>
      </c>
    </row>
    <row r="110" customFormat="false" ht="15" hidden="false" customHeight="false" outlineLevel="0" collapsed="false">
      <c r="A110" s="103" t="n">
        <v>46296</v>
      </c>
      <c r="B110" s="104" t="s">
        <v>33</v>
      </c>
      <c r="C110" s="104" t="s">
        <v>158</v>
      </c>
      <c r="D110" s="105" t="n">
        <v>158</v>
      </c>
      <c r="E110" s="105" t="n">
        <v>5334</v>
      </c>
      <c r="F110" s="107" t="n">
        <f aca="false">IF(OR($C110="",$D110=0),"",$E110/$D110)</f>
        <v>33.7594936708861</v>
      </c>
      <c r="G110" s="104" t="s">
        <v>776</v>
      </c>
      <c r="H110" s="0" t="str">
        <f aca="false">IF($C110="","",IF(COUNTIF('مواد المخزون'!$A$2:$A$90,$C110)&gt;0,"نعم","لا (خارج الجرد)"))</f>
        <v>نعم</v>
      </c>
    </row>
    <row r="111" customFormat="false" ht="15" hidden="false" customHeight="false" outlineLevel="0" collapsed="false">
      <c r="A111" s="103" t="n">
        <v>46296</v>
      </c>
      <c r="B111" s="104" t="s">
        <v>33</v>
      </c>
      <c r="C111" s="104" t="s">
        <v>160</v>
      </c>
      <c r="D111" s="105" t="n">
        <v>40</v>
      </c>
      <c r="E111" s="105" t="n">
        <v>2000</v>
      </c>
      <c r="F111" s="107" t="n">
        <f aca="false">IF(OR($C111="",$D111=0),"",$E111/$D111)</f>
        <v>50</v>
      </c>
      <c r="G111" s="104" t="s">
        <v>776</v>
      </c>
      <c r="H111" s="0" t="str">
        <f aca="false">IF($C111="","",IF(COUNTIF('مواد المخزون'!$A$2:$A$90,$C111)&gt;0,"نعم","لا (خارج الجرد)"))</f>
        <v>نعم</v>
      </c>
    </row>
    <row r="112" customFormat="false" ht="15" hidden="false" customHeight="false" outlineLevel="0" collapsed="false">
      <c r="A112" s="103" t="n">
        <v>46296</v>
      </c>
      <c r="B112" s="104" t="s">
        <v>33</v>
      </c>
      <c r="C112" s="104" t="s">
        <v>162</v>
      </c>
      <c r="D112" s="105" t="n">
        <v>60</v>
      </c>
      <c r="E112" s="105" t="n">
        <v>1800</v>
      </c>
      <c r="F112" s="107" t="n">
        <f aca="false">IF(OR($C112="",$D112=0),"",$E112/$D112)</f>
        <v>30</v>
      </c>
      <c r="G112" s="104" t="s">
        <v>776</v>
      </c>
      <c r="H112" s="0" t="str">
        <f aca="false">IF($C112="","",IF(COUNTIF('مواد المخزون'!$A$2:$A$90,$C112)&gt;0,"نعم","لا (خارج الجرد)"))</f>
        <v>نعم</v>
      </c>
    </row>
    <row r="113" customFormat="false" ht="15" hidden="false" customHeight="false" outlineLevel="0" collapsed="false">
      <c r="A113" s="103" t="n">
        <v>46296</v>
      </c>
      <c r="B113" s="104" t="s">
        <v>33</v>
      </c>
      <c r="C113" s="104" t="s">
        <v>168</v>
      </c>
      <c r="D113" s="105" t="n">
        <v>10</v>
      </c>
      <c r="E113" s="105" t="n">
        <v>210</v>
      </c>
      <c r="F113" s="107" t="n">
        <f aca="false">IF(OR($C113="",$D113=0),"",$E113/$D113)</f>
        <v>21</v>
      </c>
      <c r="G113" s="104" t="s">
        <v>776</v>
      </c>
      <c r="H113" s="0" t="str">
        <f aca="false">IF($C113="","",IF(COUNTIF('مواد المخزون'!$A$2:$A$90,$C113)&gt;0,"نعم","لا (خارج الجرد)"))</f>
        <v>نعم</v>
      </c>
    </row>
    <row r="114" customFormat="false" ht="15" hidden="false" customHeight="false" outlineLevel="0" collapsed="false">
      <c r="A114" s="103" t="n">
        <v>46296</v>
      </c>
      <c r="B114" s="104" t="s">
        <v>33</v>
      </c>
      <c r="C114" s="104" t="s">
        <v>170</v>
      </c>
      <c r="D114" s="105" t="n">
        <v>16</v>
      </c>
      <c r="E114" s="105" t="n">
        <v>368</v>
      </c>
      <c r="F114" s="107" t="n">
        <f aca="false">IF(OR($C114="",$D114=0),"",$E114/$D114)</f>
        <v>23</v>
      </c>
      <c r="G114" s="104" t="s">
        <v>776</v>
      </c>
      <c r="H114" s="0" t="str">
        <f aca="false">IF($C114="","",IF(COUNTIF('مواد المخزون'!$A$2:$A$90,$C114)&gt;0,"نعم","لا (خارج الجرد)"))</f>
        <v>نعم</v>
      </c>
    </row>
    <row r="115" customFormat="false" ht="15" hidden="false" customHeight="false" outlineLevel="0" collapsed="false">
      <c r="A115" s="103" t="n">
        <v>46296</v>
      </c>
      <c r="B115" s="104" t="s">
        <v>33</v>
      </c>
      <c r="C115" s="104" t="s">
        <v>172</v>
      </c>
      <c r="D115" s="105" t="n">
        <v>555</v>
      </c>
      <c r="E115" s="105" t="n">
        <v>11100</v>
      </c>
      <c r="F115" s="107" t="n">
        <f aca="false">IF(OR($C115="",$D115=0),"",$E115/$D115)</f>
        <v>20</v>
      </c>
      <c r="G115" s="104" t="s">
        <v>776</v>
      </c>
      <c r="H115" s="0" t="str">
        <f aca="false">IF($C115="","",IF(COUNTIF('مواد المخزون'!$A$2:$A$90,$C115)&gt;0,"نعم","لا (خارج الجرد)"))</f>
        <v>نعم</v>
      </c>
    </row>
    <row r="116" customFormat="false" ht="15" hidden="false" customHeight="false" outlineLevel="0" collapsed="false">
      <c r="A116" s="103" t="n">
        <v>46296</v>
      </c>
      <c r="B116" s="104" t="s">
        <v>33</v>
      </c>
      <c r="C116" s="104" t="s">
        <v>174</v>
      </c>
      <c r="D116" s="105" t="n">
        <v>110</v>
      </c>
      <c r="E116" s="105" t="n">
        <v>3190</v>
      </c>
      <c r="F116" s="107" t="n">
        <f aca="false">IF(OR($C116="",$D116=0),"",$E116/$D116)</f>
        <v>29</v>
      </c>
      <c r="G116" s="104" t="s">
        <v>776</v>
      </c>
      <c r="H116" s="0" t="str">
        <f aca="false">IF($C116="","",IF(COUNTIF('مواد المخزون'!$A$2:$A$90,$C116)&gt;0,"نعم","لا (خارج الجرد)"))</f>
        <v>نعم</v>
      </c>
    </row>
    <row r="117" customFormat="false" ht="15" hidden="false" customHeight="false" outlineLevel="0" collapsed="false">
      <c r="A117" s="103" t="n">
        <v>46296</v>
      </c>
      <c r="B117" s="104" t="s">
        <v>33</v>
      </c>
      <c r="C117" s="104" t="s">
        <v>176</v>
      </c>
      <c r="D117" s="105" t="n">
        <v>810</v>
      </c>
      <c r="E117" s="105" t="n">
        <v>14175</v>
      </c>
      <c r="F117" s="107" t="n">
        <f aca="false">IF(OR($C117="",$D117=0),"",$E117/$D117)</f>
        <v>17.5</v>
      </c>
      <c r="G117" s="104" t="s">
        <v>776</v>
      </c>
      <c r="H117" s="0" t="str">
        <f aca="false">IF($C117="","",IF(COUNTIF('مواد المخزون'!$A$2:$A$90,$C117)&gt;0,"نعم","لا (خارج الجرد)"))</f>
        <v>نعم</v>
      </c>
    </row>
    <row r="118" customFormat="false" ht="15" hidden="false" customHeight="false" outlineLevel="0" collapsed="false">
      <c r="A118" s="103" t="n">
        <v>46296</v>
      </c>
      <c r="B118" s="104" t="s">
        <v>33</v>
      </c>
      <c r="C118" s="104" t="s">
        <v>178</v>
      </c>
      <c r="D118" s="105" t="n">
        <v>200</v>
      </c>
      <c r="E118" s="105" t="n">
        <v>5000</v>
      </c>
      <c r="F118" s="107" t="n">
        <f aca="false">IF(OR($C118="",$D118=0),"",$E118/$D118)</f>
        <v>25</v>
      </c>
      <c r="G118" s="104" t="s">
        <v>776</v>
      </c>
      <c r="H118" s="0" t="str">
        <f aca="false">IF($C118="","",IF(COUNTIF('مواد المخزون'!$A$2:$A$90,$C118)&gt;0,"نعم","لا (خارج الجرد)"))</f>
        <v>نعم</v>
      </c>
    </row>
    <row r="119" customFormat="false" ht="15" hidden="false" customHeight="false" outlineLevel="0" collapsed="false">
      <c r="A119" s="103" t="n">
        <v>46296</v>
      </c>
      <c r="B119" s="104" t="s">
        <v>33</v>
      </c>
      <c r="C119" s="104" t="s">
        <v>186</v>
      </c>
      <c r="D119" s="105" t="n">
        <v>20</v>
      </c>
      <c r="E119" s="105" t="n">
        <v>820</v>
      </c>
      <c r="F119" s="107" t="n">
        <f aca="false">IF(OR($C119="",$D119=0),"",$E119/$D119)</f>
        <v>41</v>
      </c>
      <c r="G119" s="104" t="s">
        <v>776</v>
      </c>
      <c r="H119" s="0" t="str">
        <f aca="false">IF($C119="","",IF(COUNTIF('مواد المخزون'!$A$2:$A$90,$C119)&gt;0,"نعم","لا (خارج الجرد)"))</f>
        <v>نعم</v>
      </c>
    </row>
    <row r="120" customFormat="false" ht="15" hidden="false" customHeight="false" outlineLevel="0" collapsed="false">
      <c r="A120" s="103" t="n">
        <v>46296</v>
      </c>
      <c r="B120" s="104" t="s">
        <v>33</v>
      </c>
      <c r="C120" s="104" t="s">
        <v>190</v>
      </c>
      <c r="D120" s="105" t="n">
        <v>4</v>
      </c>
      <c r="E120" s="105" t="n">
        <v>72</v>
      </c>
      <c r="F120" s="107" t="n">
        <f aca="false">IF(OR($C120="",$D120=0),"",$E120/$D120)</f>
        <v>18</v>
      </c>
      <c r="G120" s="104" t="s">
        <v>776</v>
      </c>
      <c r="H120" s="0" t="str">
        <f aca="false">IF($C120="","",IF(COUNTIF('مواد المخزون'!$A$2:$A$90,$C120)&gt;0,"نعم","لا (خارج الجرد)"))</f>
        <v>نعم</v>
      </c>
    </row>
    <row r="121" customFormat="false" ht="15" hidden="false" customHeight="false" outlineLevel="0" collapsed="false">
      <c r="A121" s="103" t="n">
        <v>46296</v>
      </c>
      <c r="B121" s="104" t="s">
        <v>33</v>
      </c>
      <c r="C121" s="104" t="s">
        <v>192</v>
      </c>
      <c r="D121" s="105" t="n">
        <v>1</v>
      </c>
      <c r="E121" s="105" t="n">
        <v>730</v>
      </c>
      <c r="F121" s="107" t="n">
        <f aca="false">IF(OR($C121="",$D121=0),"",$E121/$D121)</f>
        <v>730</v>
      </c>
      <c r="G121" s="104" t="s">
        <v>776</v>
      </c>
      <c r="H121" s="0" t="str">
        <f aca="false">IF($C121="","",IF(COUNTIF('مواد المخزون'!$A$2:$A$90,$C121)&gt;0,"نعم","لا (خارج الجرد)"))</f>
        <v>نعم</v>
      </c>
    </row>
    <row r="122" customFormat="false" ht="15" hidden="false" customHeight="false" outlineLevel="0" collapsed="false">
      <c r="A122" s="103" t="n">
        <v>46296</v>
      </c>
      <c r="B122" s="104" t="s">
        <v>33</v>
      </c>
      <c r="C122" s="104" t="s">
        <v>195</v>
      </c>
      <c r="D122" s="105" t="n">
        <v>12</v>
      </c>
      <c r="E122" s="105" t="n">
        <v>360</v>
      </c>
      <c r="F122" s="107" t="n">
        <f aca="false">IF(OR($C122="",$D122=0),"",$E122/$D122)</f>
        <v>30</v>
      </c>
      <c r="G122" s="104" t="s">
        <v>776</v>
      </c>
      <c r="H122" s="0" t="str">
        <f aca="false">IF($C122="","",IF(COUNTIF('مواد المخزون'!$A$2:$A$90,$C122)&gt;0,"نعم","لا (خارج الجرد)"))</f>
        <v>لا (خارج الجرد)</v>
      </c>
    </row>
    <row r="123" customFormat="false" ht="15" hidden="false" customHeight="false" outlineLevel="0" collapsed="false">
      <c r="A123" s="103" t="n">
        <v>46296</v>
      </c>
      <c r="B123" s="104" t="s">
        <v>33</v>
      </c>
      <c r="C123" s="104" t="s">
        <v>742</v>
      </c>
      <c r="D123" s="105" t="n">
        <v>1</v>
      </c>
      <c r="E123" s="105" t="n">
        <v>45</v>
      </c>
      <c r="F123" s="107" t="n">
        <f aca="false">IF(OR($C123="",$D123=0),"",$E123/$D123)</f>
        <v>45</v>
      </c>
      <c r="G123" s="104" t="s">
        <v>776</v>
      </c>
      <c r="H123" s="0" t="str">
        <f aca="false">IF($C123="","",IF(COUNTIF('مواد المخزون'!$A$2:$A$90,$C123)&gt;0,"نعم","لا (خارج الجرد)"))</f>
        <v>نعم</v>
      </c>
    </row>
    <row r="124" customFormat="false" ht="15" hidden="false" customHeight="false" outlineLevel="0" collapsed="false">
      <c r="A124" s="103" t="n">
        <v>46296</v>
      </c>
      <c r="B124" s="104" t="s">
        <v>33</v>
      </c>
      <c r="C124" s="104" t="s">
        <v>202</v>
      </c>
      <c r="D124" s="105" t="n">
        <v>8</v>
      </c>
      <c r="E124" s="105" t="n">
        <v>125</v>
      </c>
      <c r="F124" s="107" t="n">
        <f aca="false">IF(OR($C124="",$D124=0),"",$E124/$D124)</f>
        <v>15.625</v>
      </c>
      <c r="G124" s="104" t="s">
        <v>776</v>
      </c>
      <c r="H124" s="0" t="str">
        <f aca="false">IF($C124="","",IF(COUNTIF('مواد المخزون'!$A$2:$A$90,$C124)&gt;0,"نعم","لا (خارج الجرد)"))</f>
        <v>نعم</v>
      </c>
    </row>
    <row r="125" customFormat="false" ht="15" hidden="false" customHeight="false" outlineLevel="0" collapsed="false">
      <c r="A125" s="103" t="n">
        <v>46296</v>
      </c>
      <c r="B125" s="104" t="s">
        <v>33</v>
      </c>
      <c r="C125" s="104" t="s">
        <v>204</v>
      </c>
      <c r="D125" s="105" t="n">
        <v>1</v>
      </c>
      <c r="E125" s="105" t="n">
        <v>30</v>
      </c>
      <c r="F125" s="107" t="n">
        <f aca="false">IF(OR($C125="",$D125=0),"",$E125/$D125)</f>
        <v>30</v>
      </c>
      <c r="G125" s="104" t="s">
        <v>776</v>
      </c>
      <c r="H125" s="0" t="str">
        <f aca="false">IF($C125="","",IF(COUNTIF('مواد المخزون'!$A$2:$A$90,$C125)&gt;0,"نعم","لا (خارج الجرد)"))</f>
        <v>نعم</v>
      </c>
    </row>
    <row r="126" customFormat="false" ht="15" hidden="false" customHeight="false" outlineLevel="0" collapsed="false">
      <c r="A126" s="103" t="n">
        <v>46296</v>
      </c>
      <c r="B126" s="104" t="s">
        <v>33</v>
      </c>
      <c r="C126" s="104" t="s">
        <v>787</v>
      </c>
      <c r="D126" s="105" t="n">
        <v>2</v>
      </c>
      <c r="E126" s="105" t="n">
        <v>10</v>
      </c>
      <c r="F126" s="107" t="n">
        <f aca="false">IF(OR($C126="",$D126=0),"",$E126/$D126)</f>
        <v>5</v>
      </c>
      <c r="G126" s="104" t="s">
        <v>776</v>
      </c>
      <c r="H126" s="0" t="str">
        <f aca="false">IF($C126="","",IF(COUNTIF('مواد المخزون'!$A$2:$A$90,$C126)&gt;0,"نعم","لا (خارج الجرد)"))</f>
        <v>لا (خارج الجرد)</v>
      </c>
    </row>
    <row r="127" customFormat="false" ht="15" hidden="false" customHeight="false" outlineLevel="0" collapsed="false">
      <c r="A127" s="103" t="n">
        <v>46296</v>
      </c>
      <c r="B127" s="104" t="s">
        <v>33</v>
      </c>
      <c r="C127" s="104" t="s">
        <v>779</v>
      </c>
      <c r="D127" s="105" t="n">
        <v>0.25</v>
      </c>
      <c r="E127" s="105" t="n">
        <v>15</v>
      </c>
      <c r="F127" s="107" t="n">
        <f aca="false">IF(OR($C127="",$D127=0),"",$E127/$D127)</f>
        <v>60</v>
      </c>
      <c r="G127" s="104" t="s">
        <v>776</v>
      </c>
      <c r="H127" s="0" t="str">
        <f aca="false">IF($C127="","",IF(COUNTIF('مواد المخزون'!$A$2:$A$90,$C127)&gt;0,"نعم","لا (خارج الجرد)"))</f>
        <v>لا (خارج الجرد)</v>
      </c>
    </row>
    <row r="128" customFormat="false" ht="15" hidden="false" customHeight="false" outlineLevel="0" collapsed="false">
      <c r="A128" s="103" t="n">
        <v>46296</v>
      </c>
      <c r="B128" s="104" t="s">
        <v>33</v>
      </c>
      <c r="C128" s="104" t="s">
        <v>779</v>
      </c>
      <c r="D128" s="105" t="n">
        <v>0.25</v>
      </c>
      <c r="E128" s="105" t="n">
        <v>20</v>
      </c>
      <c r="F128" s="107" t="n">
        <f aca="false">IF(OR($C128="",$D128=0),"",$E128/$D128)</f>
        <v>80</v>
      </c>
      <c r="G128" s="104" t="s">
        <v>776</v>
      </c>
      <c r="H128" s="0" t="str">
        <f aca="false">IF($C128="","",IF(COUNTIF('مواد المخزون'!$A$2:$A$90,$C128)&gt;0,"نعم","لا (خارج الجرد)"))</f>
        <v>لا (خارج الجرد)</v>
      </c>
    </row>
    <row r="129" customFormat="false" ht="15" hidden="false" customHeight="false" outlineLevel="0" collapsed="false">
      <c r="A129" s="103" t="n">
        <v>46296</v>
      </c>
      <c r="B129" s="104" t="s">
        <v>33</v>
      </c>
      <c r="C129" s="104" t="s">
        <v>208</v>
      </c>
      <c r="D129" s="105" t="n">
        <v>5</v>
      </c>
      <c r="E129" s="105" t="n">
        <v>870</v>
      </c>
      <c r="F129" s="107" t="n">
        <f aca="false">IF(OR($C129="",$D129=0),"",$E129/$D129)</f>
        <v>174</v>
      </c>
      <c r="G129" s="104" t="s">
        <v>776</v>
      </c>
      <c r="H129" s="0" t="str">
        <f aca="false">IF($C129="","",IF(COUNTIF('مواد المخزون'!$A$2:$A$90,$C129)&gt;0,"نعم","لا (خارج الجرد)"))</f>
        <v>لا (خارج الجرد)</v>
      </c>
    </row>
    <row r="130" customFormat="false" ht="15" hidden="false" customHeight="false" outlineLevel="0" collapsed="false">
      <c r="A130" s="103" t="n">
        <v>46296</v>
      </c>
      <c r="B130" s="104" t="s">
        <v>33</v>
      </c>
      <c r="C130" s="104" t="s">
        <v>211</v>
      </c>
      <c r="D130" s="105" t="n">
        <v>100</v>
      </c>
      <c r="E130" s="105" t="n">
        <v>900</v>
      </c>
      <c r="F130" s="107" t="n">
        <f aca="false">IF(OR($C130="",$D130=0),"",$E130/$D130)</f>
        <v>9</v>
      </c>
      <c r="G130" s="104" t="s">
        <v>776</v>
      </c>
      <c r="H130" s="0" t="str">
        <f aca="false">IF($C130="","",IF(COUNTIF('مواد المخزون'!$A$2:$A$90,$C130)&gt;0,"نعم","لا (خارج الجرد)"))</f>
        <v>نعم</v>
      </c>
    </row>
    <row r="131" customFormat="false" ht="15" hidden="false" customHeight="false" outlineLevel="0" collapsed="false">
      <c r="A131" s="103" t="n">
        <v>46296</v>
      </c>
      <c r="B131" s="104" t="s">
        <v>33</v>
      </c>
      <c r="C131" s="104" t="s">
        <v>216</v>
      </c>
      <c r="D131" s="105" t="n">
        <v>5</v>
      </c>
      <c r="E131" s="105" t="n">
        <v>75</v>
      </c>
      <c r="F131" s="107" t="n">
        <f aca="false">IF(OR($C131="",$D131=0),"",$E131/$D131)</f>
        <v>15</v>
      </c>
      <c r="G131" s="104" t="s">
        <v>776</v>
      </c>
      <c r="H131" s="0" t="str">
        <f aca="false">IF($C131="","",IF(COUNTIF('مواد المخزون'!$A$2:$A$90,$C131)&gt;0,"نعم","لا (خارج الجرد)"))</f>
        <v>لا (خارج الجرد)</v>
      </c>
    </row>
    <row r="132" customFormat="false" ht="15" hidden="false" customHeight="false" outlineLevel="0" collapsed="false">
      <c r="A132" s="103" t="n">
        <v>46296</v>
      </c>
      <c r="B132" s="104" t="s">
        <v>33</v>
      </c>
      <c r="C132" s="104" t="s">
        <v>217</v>
      </c>
      <c r="D132" s="105" t="n">
        <v>5</v>
      </c>
      <c r="E132" s="105" t="n">
        <v>150</v>
      </c>
      <c r="F132" s="107" t="n">
        <f aca="false">IF(OR($C132="",$D132=0),"",$E132/$D132)</f>
        <v>30</v>
      </c>
      <c r="G132" s="104" t="s">
        <v>776</v>
      </c>
      <c r="H132" s="0" t="str">
        <f aca="false">IF($C132="","",IF(COUNTIF('مواد المخزون'!$A$2:$A$90,$C132)&gt;0,"نعم","لا (خارج الجرد)"))</f>
        <v>نعم</v>
      </c>
    </row>
    <row r="133" customFormat="false" ht="15" hidden="false" customHeight="false" outlineLevel="0" collapsed="false">
      <c r="A133" s="103" t="n">
        <v>46296</v>
      </c>
      <c r="B133" s="104" t="s">
        <v>33</v>
      </c>
      <c r="C133" s="104" t="s">
        <v>218</v>
      </c>
      <c r="D133" s="105" t="n">
        <v>25</v>
      </c>
      <c r="E133" s="105" t="n">
        <v>500</v>
      </c>
      <c r="F133" s="107" t="n">
        <f aca="false">IF(OR($C133="",$D133=0),"",$E133/$D133)</f>
        <v>20</v>
      </c>
      <c r="G133" s="104" t="s">
        <v>776</v>
      </c>
      <c r="H133" s="0" t="str">
        <f aca="false">IF($C133="","",IF(COUNTIF('مواد المخزون'!$A$2:$A$90,$C133)&gt;0,"نعم","لا (خارج الجرد)"))</f>
        <v>نعم</v>
      </c>
    </row>
    <row r="134" customFormat="false" ht="15" hidden="false" customHeight="false" outlineLevel="0" collapsed="false">
      <c r="A134" s="103" t="n">
        <v>46296</v>
      </c>
      <c r="B134" s="104" t="s">
        <v>33</v>
      </c>
      <c r="C134" s="104" t="s">
        <v>220</v>
      </c>
      <c r="D134" s="105" t="n">
        <v>10</v>
      </c>
      <c r="E134" s="105" t="n">
        <v>1200</v>
      </c>
      <c r="F134" s="107" t="n">
        <f aca="false">IF(OR($C134="",$D134=0),"",$E134/$D134)</f>
        <v>120</v>
      </c>
      <c r="G134" s="104" t="s">
        <v>776</v>
      </c>
      <c r="H134" s="0" t="str">
        <f aca="false">IF($C134="","",IF(COUNTIF('مواد المخزون'!$A$2:$A$90,$C134)&gt;0,"نعم","لا (خارج الجرد)"))</f>
        <v>نعم</v>
      </c>
    </row>
    <row r="135" customFormat="false" ht="15" hidden="false" customHeight="false" outlineLevel="0" collapsed="false">
      <c r="A135" s="103" t="n">
        <v>46296</v>
      </c>
      <c r="B135" s="104" t="s">
        <v>33</v>
      </c>
      <c r="C135" s="104" t="s">
        <v>221</v>
      </c>
      <c r="D135" s="105" t="n">
        <v>0.5</v>
      </c>
      <c r="E135" s="105" t="n">
        <v>110</v>
      </c>
      <c r="F135" s="107" t="n">
        <f aca="false">IF(OR($C135="",$D135=0),"",$E135/$D135)</f>
        <v>220</v>
      </c>
      <c r="G135" s="104" t="s">
        <v>776</v>
      </c>
      <c r="H135" s="0" t="str">
        <f aca="false">IF($C135="","",IF(COUNTIF('مواد المخزون'!$A$2:$A$90,$C135)&gt;0,"نعم","لا (خارج الجرد)"))</f>
        <v>نعم</v>
      </c>
    </row>
    <row r="136" customFormat="false" ht="15" hidden="false" customHeight="false" outlineLevel="0" collapsed="false">
      <c r="A136" s="103" t="n">
        <v>46296</v>
      </c>
      <c r="B136" s="104" t="s">
        <v>33</v>
      </c>
      <c r="C136" s="104" t="s">
        <v>223</v>
      </c>
      <c r="D136" s="105" t="n">
        <v>20</v>
      </c>
      <c r="E136" s="105" t="n">
        <v>1400</v>
      </c>
      <c r="F136" s="107" t="n">
        <f aca="false">IF(OR($C136="",$D136=0),"",$E136/$D136)</f>
        <v>70</v>
      </c>
      <c r="G136" s="104" t="s">
        <v>776</v>
      </c>
      <c r="H136" s="0" t="str">
        <f aca="false">IF($C136="","",IF(COUNTIF('مواد المخزون'!$A$2:$A$90,$C136)&gt;0,"نعم","لا (خارج الجرد)"))</f>
        <v>لا (خارج الجرد)</v>
      </c>
    </row>
    <row r="137" customFormat="false" ht="15" hidden="false" customHeight="false" outlineLevel="0" collapsed="false">
      <c r="A137" s="103" t="n">
        <v>46296</v>
      </c>
      <c r="B137" s="104" t="s">
        <v>33</v>
      </c>
      <c r="C137" s="104" t="s">
        <v>225</v>
      </c>
      <c r="D137" s="105" t="n">
        <v>20</v>
      </c>
      <c r="E137" s="105" t="n">
        <v>1500</v>
      </c>
      <c r="F137" s="107" t="n">
        <f aca="false">IF(OR($C137="",$D137=0),"",$E137/$D137)</f>
        <v>75</v>
      </c>
      <c r="G137" s="104" t="s">
        <v>776</v>
      </c>
      <c r="H137" s="0" t="str">
        <f aca="false">IF($C137="","",IF(COUNTIF('مواد المخزون'!$A$2:$A$90,$C137)&gt;0,"نعم","لا (خارج الجرد)"))</f>
        <v>لا (خارج الجرد)</v>
      </c>
    </row>
    <row r="138" customFormat="false" ht="15" hidden="false" customHeight="false" outlineLevel="0" collapsed="false">
      <c r="A138" s="103" t="n">
        <v>46296</v>
      </c>
      <c r="B138" s="104" t="s">
        <v>33</v>
      </c>
      <c r="C138" s="104" t="s">
        <v>227</v>
      </c>
      <c r="D138" s="105" t="n">
        <v>20</v>
      </c>
      <c r="E138" s="105" t="n">
        <v>1900</v>
      </c>
      <c r="F138" s="107" t="n">
        <f aca="false">IF(OR($C138="",$D138=0),"",$E138/$D138)</f>
        <v>95</v>
      </c>
      <c r="G138" s="104" t="s">
        <v>776</v>
      </c>
      <c r="H138" s="0" t="str">
        <f aca="false">IF($C138="","",IF(COUNTIF('مواد المخزون'!$A$2:$A$90,$C138)&gt;0,"نعم","لا (خارج الجرد)"))</f>
        <v>نعم</v>
      </c>
    </row>
    <row r="139" customFormat="false" ht="15" hidden="false" customHeight="false" outlineLevel="0" collapsed="false">
      <c r="A139" s="103" t="n">
        <v>46296</v>
      </c>
      <c r="B139" s="104" t="s">
        <v>33</v>
      </c>
      <c r="C139" s="104" t="s">
        <v>229</v>
      </c>
      <c r="D139" s="105" t="n">
        <v>64</v>
      </c>
      <c r="E139" s="105" t="n">
        <v>1920</v>
      </c>
      <c r="F139" s="107" t="n">
        <f aca="false">IF(OR($C139="",$D139=0),"",$E139/$D139)</f>
        <v>30</v>
      </c>
      <c r="G139" s="104" t="s">
        <v>776</v>
      </c>
      <c r="H139" s="0" t="str">
        <f aca="false">IF($C139="","",IF(COUNTIF('مواد المخزون'!$A$2:$A$90,$C139)&gt;0,"نعم","لا (خارج الجرد)"))</f>
        <v>نعم</v>
      </c>
    </row>
    <row r="140" customFormat="false" ht="15" hidden="false" customHeight="false" outlineLevel="0" collapsed="false">
      <c r="A140" s="103" t="n">
        <v>46296</v>
      </c>
      <c r="B140" s="104" t="s">
        <v>33</v>
      </c>
      <c r="C140" s="104" t="s">
        <v>229</v>
      </c>
      <c r="D140" s="105" t="n">
        <v>4</v>
      </c>
      <c r="E140" s="105" t="n">
        <v>160</v>
      </c>
      <c r="F140" s="107" t="n">
        <f aca="false">IF(OR($C140="",$D140=0),"",$E140/$D140)</f>
        <v>40</v>
      </c>
      <c r="G140" s="104" t="s">
        <v>776</v>
      </c>
      <c r="H140" s="0" t="str">
        <f aca="false">IF($C140="","",IF(COUNTIF('مواد المخزون'!$A$2:$A$90,$C140)&gt;0,"نعم","لا (خارج الجرد)"))</f>
        <v>نعم</v>
      </c>
    </row>
    <row r="141" customFormat="false" ht="15" hidden="false" customHeight="false" outlineLevel="0" collapsed="false">
      <c r="A141" s="103" t="n">
        <v>46296</v>
      </c>
      <c r="B141" s="104" t="s">
        <v>33</v>
      </c>
      <c r="C141" s="104" t="s">
        <v>230</v>
      </c>
      <c r="D141" s="105" t="n">
        <v>3</v>
      </c>
      <c r="E141" s="105" t="n">
        <v>21.3</v>
      </c>
      <c r="F141" s="107" t="n">
        <f aca="false">IF(OR($C141="",$D141=0),"",$E141/$D141)</f>
        <v>7.1</v>
      </c>
      <c r="G141" s="104" t="s">
        <v>776</v>
      </c>
      <c r="H141" s="0" t="str">
        <f aca="false">IF($C141="","",IF(COUNTIF('مواد المخزون'!$A$2:$A$90,$C141)&gt;0,"نعم","لا (خارج الجرد)"))</f>
        <v>لا (خارج الجرد)</v>
      </c>
    </row>
    <row r="142" customFormat="false" ht="15" hidden="false" customHeight="false" outlineLevel="0" collapsed="false">
      <c r="A142" s="103" t="n">
        <v>46296</v>
      </c>
      <c r="B142" s="104" t="s">
        <v>33</v>
      </c>
      <c r="C142" s="104" t="s">
        <v>232</v>
      </c>
      <c r="D142" s="105" t="n">
        <v>4</v>
      </c>
      <c r="E142" s="105" t="n">
        <v>1520</v>
      </c>
      <c r="F142" s="107" t="n">
        <f aca="false">IF(OR($C142="",$D142=0),"",$E142/$D142)</f>
        <v>380</v>
      </c>
      <c r="G142" s="104" t="s">
        <v>776</v>
      </c>
      <c r="H142" s="0" t="str">
        <f aca="false">IF($C142="","",IF(COUNTIF('مواد المخزون'!$A$2:$A$90,$C142)&gt;0,"نعم","لا (خارج الجرد)"))</f>
        <v>نعم</v>
      </c>
    </row>
    <row r="143" customFormat="false" ht="15" hidden="false" customHeight="false" outlineLevel="0" collapsed="false">
      <c r="A143" s="103" t="n">
        <v>46296</v>
      </c>
      <c r="B143" s="104" t="s">
        <v>33</v>
      </c>
      <c r="C143" s="104" t="s">
        <v>234</v>
      </c>
      <c r="D143" s="105" t="n">
        <v>1</v>
      </c>
      <c r="E143" s="105" t="n">
        <v>530</v>
      </c>
      <c r="F143" s="107" t="n">
        <f aca="false">IF(OR($C143="",$D143=0),"",$E143/$D143)</f>
        <v>530</v>
      </c>
      <c r="G143" s="104" t="s">
        <v>776</v>
      </c>
      <c r="H143" s="0" t="str">
        <f aca="false">IF($C143="","",IF(COUNTIF('مواد المخزون'!$A$2:$A$90,$C143)&gt;0,"نعم","لا (خارج الجرد)"))</f>
        <v>نعم</v>
      </c>
    </row>
    <row r="144" customFormat="false" ht="15" hidden="false" customHeight="false" outlineLevel="0" collapsed="false">
      <c r="A144" s="103" t="n">
        <v>46296</v>
      </c>
      <c r="B144" s="104" t="s">
        <v>33</v>
      </c>
      <c r="C144" s="104" t="s">
        <v>788</v>
      </c>
      <c r="D144" s="105" t="n">
        <v>1</v>
      </c>
      <c r="E144" s="105" t="n">
        <v>135</v>
      </c>
      <c r="F144" s="107" t="n">
        <f aca="false">IF(OR($C144="",$D144=0),"",$E144/$D144)</f>
        <v>135</v>
      </c>
      <c r="G144" s="104" t="s">
        <v>776</v>
      </c>
      <c r="H144" s="0" t="str">
        <f aca="false">IF($C144="","",IF(COUNTIF('مواد المخزون'!$A$2:$A$90,$C144)&gt;0,"نعم","لا (خارج الجرد)"))</f>
        <v>لا (خارج الجرد)</v>
      </c>
    </row>
    <row r="145" customFormat="false" ht="15" hidden="false" customHeight="false" outlineLevel="0" collapsed="false">
      <c r="A145" s="103" t="n">
        <v>46296</v>
      </c>
      <c r="B145" s="104" t="s">
        <v>33</v>
      </c>
      <c r="C145" s="104" t="s">
        <v>789</v>
      </c>
      <c r="D145" s="105" t="n">
        <v>1</v>
      </c>
      <c r="E145" s="105" t="n">
        <v>20</v>
      </c>
      <c r="F145" s="107" t="n">
        <f aca="false">IF(OR($C145="",$D145=0),"",$E145/$D145)</f>
        <v>20</v>
      </c>
      <c r="G145" s="104" t="s">
        <v>776</v>
      </c>
      <c r="H145" s="0" t="str">
        <f aca="false">IF($C145="","",IF(COUNTIF('مواد المخزون'!$A$2:$A$90,$C145)&gt;0,"نعم","لا (خارج الجرد)"))</f>
        <v>لا (خارج الجرد)</v>
      </c>
    </row>
    <row r="146" customFormat="false" ht="15" hidden="false" customHeight="false" outlineLevel="0" collapsed="false">
      <c r="A146" s="103" t="n">
        <v>46296</v>
      </c>
      <c r="B146" s="104" t="s">
        <v>33</v>
      </c>
      <c r="C146" s="104" t="s">
        <v>245</v>
      </c>
      <c r="D146" s="105" t="n">
        <v>25</v>
      </c>
      <c r="E146" s="105" t="n">
        <v>3250</v>
      </c>
      <c r="F146" s="107" t="n">
        <f aca="false">IF(OR($C146="",$D146=0),"",$E146/$D146)</f>
        <v>130</v>
      </c>
      <c r="G146" s="104" t="s">
        <v>776</v>
      </c>
      <c r="H146" s="0" t="str">
        <f aca="false">IF($C146="","",IF(COUNTIF('مواد المخزون'!$A$2:$A$90,$C146)&gt;0,"نعم","لا (خارج الجرد)"))</f>
        <v>نعم</v>
      </c>
    </row>
    <row r="147" customFormat="false" ht="15" hidden="false" customHeight="false" outlineLevel="0" collapsed="false">
      <c r="A147" s="103" t="n">
        <v>46296</v>
      </c>
      <c r="B147" s="104" t="s">
        <v>33</v>
      </c>
      <c r="C147" s="104" t="s">
        <v>248</v>
      </c>
      <c r="D147" s="105" t="n">
        <v>40</v>
      </c>
      <c r="E147" s="105" t="n">
        <v>480</v>
      </c>
      <c r="F147" s="107" t="n">
        <f aca="false">IF(OR($C147="",$D147=0),"",$E147/$D147)</f>
        <v>12</v>
      </c>
      <c r="G147" s="104" t="s">
        <v>776</v>
      </c>
      <c r="H147" s="0" t="str">
        <f aca="false">IF($C147="","",IF(COUNTIF('مواد المخزون'!$A$2:$A$90,$C147)&gt;0,"نعم","لا (خارج الجرد)"))</f>
        <v>لا (خارج الجرد)</v>
      </c>
    </row>
    <row r="148" customFormat="false" ht="15" hidden="false" customHeight="false" outlineLevel="0" collapsed="false">
      <c r="A148" s="103" t="n">
        <v>46296</v>
      </c>
      <c r="B148" s="104" t="s">
        <v>33</v>
      </c>
      <c r="C148" s="104" t="s">
        <v>250</v>
      </c>
      <c r="D148" s="105" t="n">
        <v>26</v>
      </c>
      <c r="E148" s="105" t="n">
        <v>832</v>
      </c>
      <c r="F148" s="107" t="n">
        <f aca="false">IF(OR($C148="",$D148=0),"",$E148/$D148)</f>
        <v>32</v>
      </c>
      <c r="G148" s="104" t="s">
        <v>776</v>
      </c>
      <c r="H148" s="0" t="str">
        <f aca="false">IF($C148="","",IF(COUNTIF('مواد المخزون'!$A$2:$A$90,$C148)&gt;0,"نعم","لا (خارج الجرد)"))</f>
        <v>نعم</v>
      </c>
    </row>
    <row r="149" customFormat="false" ht="15" hidden="false" customHeight="false" outlineLevel="0" collapsed="false">
      <c r="A149" s="103" t="n">
        <v>46296</v>
      </c>
      <c r="B149" s="104" t="s">
        <v>33</v>
      </c>
      <c r="C149" s="104" t="s">
        <v>252</v>
      </c>
      <c r="D149" s="105" t="n">
        <v>9</v>
      </c>
      <c r="E149" s="105" t="n">
        <v>630</v>
      </c>
      <c r="F149" s="107" t="n">
        <f aca="false">IF(OR($C149="",$D149=0),"",$E149/$D149)</f>
        <v>70</v>
      </c>
      <c r="G149" s="104" t="s">
        <v>776</v>
      </c>
      <c r="H149" s="0" t="str">
        <f aca="false">IF($C149="","",IF(COUNTIF('مواد المخزون'!$A$2:$A$90,$C149)&gt;0,"نعم","لا (خارج الجرد)"))</f>
        <v>نعم</v>
      </c>
    </row>
    <row r="150" customFormat="false" ht="15" hidden="false" customHeight="false" outlineLevel="0" collapsed="false">
      <c r="A150" s="103" t="n">
        <v>46296</v>
      </c>
      <c r="B150" s="104" t="s">
        <v>33</v>
      </c>
      <c r="C150" s="104" t="s">
        <v>254</v>
      </c>
      <c r="D150" s="105" t="n">
        <v>5</v>
      </c>
      <c r="E150" s="105" t="n">
        <v>700</v>
      </c>
      <c r="F150" s="107" t="n">
        <f aca="false">IF(OR($C150="",$D150=0),"",$E150/$D150)</f>
        <v>140</v>
      </c>
      <c r="G150" s="104" t="s">
        <v>776</v>
      </c>
      <c r="H150" s="0" t="str">
        <f aca="false">IF($C150="","",IF(COUNTIF('مواد المخزون'!$A$2:$A$90,$C150)&gt;0,"نعم","لا (خارج الجرد)"))</f>
        <v>نعم</v>
      </c>
    </row>
    <row r="151" customFormat="false" ht="15" hidden="false" customHeight="false" outlineLevel="0" collapsed="false">
      <c r="A151" s="103" t="n">
        <v>46296</v>
      </c>
      <c r="B151" s="104" t="s">
        <v>33</v>
      </c>
      <c r="C151" s="104" t="s">
        <v>256</v>
      </c>
      <c r="D151" s="105" t="n">
        <v>10</v>
      </c>
      <c r="E151" s="105" t="n">
        <v>1050</v>
      </c>
      <c r="F151" s="107" t="n">
        <f aca="false">IF(OR($C151="",$D151=0),"",$E151/$D151)</f>
        <v>105</v>
      </c>
      <c r="G151" s="104" t="s">
        <v>776</v>
      </c>
      <c r="H151" s="0" t="str">
        <f aca="false">IF($C151="","",IF(COUNTIF('مواد المخزون'!$A$2:$A$90,$C151)&gt;0,"نعم","لا (خارج الجرد)"))</f>
        <v>نعم</v>
      </c>
    </row>
    <row r="152" customFormat="false" ht="15" hidden="false" customHeight="false" outlineLevel="0" collapsed="false">
      <c r="A152" s="103" t="n">
        <v>46296</v>
      </c>
      <c r="B152" s="104" t="s">
        <v>33</v>
      </c>
      <c r="C152" s="104" t="s">
        <v>258</v>
      </c>
      <c r="D152" s="105" t="n">
        <v>10</v>
      </c>
      <c r="E152" s="105" t="n">
        <v>1400</v>
      </c>
      <c r="F152" s="107" t="n">
        <f aca="false">IF(OR($C152="",$D152=0),"",$E152/$D152)</f>
        <v>140</v>
      </c>
      <c r="G152" s="104" t="s">
        <v>776</v>
      </c>
      <c r="H152" s="0" t="str">
        <f aca="false">IF($C152="","",IF(COUNTIF('مواد المخزون'!$A$2:$A$90,$C152)&gt;0,"نعم","لا (خارج الجرد)"))</f>
        <v>نعم</v>
      </c>
    </row>
    <row r="153" customFormat="false" ht="15" hidden="false" customHeight="false" outlineLevel="0" collapsed="false">
      <c r="A153" s="103" t="n">
        <v>46296</v>
      </c>
      <c r="B153" s="104" t="s">
        <v>33</v>
      </c>
      <c r="C153" s="104" t="s">
        <v>260</v>
      </c>
      <c r="D153" s="105" t="n">
        <v>99</v>
      </c>
      <c r="E153" s="105" t="n">
        <v>2079</v>
      </c>
      <c r="F153" s="107" t="n">
        <f aca="false">IF(OR($C153="",$D153=0),"",$E153/$D153)</f>
        <v>21</v>
      </c>
      <c r="G153" s="104" t="s">
        <v>776</v>
      </c>
      <c r="H153" s="0" t="str">
        <f aca="false">IF($C153="","",IF(COUNTIF('مواد المخزون'!$A$2:$A$90,$C153)&gt;0,"نعم","لا (خارج الجرد)"))</f>
        <v>نعم</v>
      </c>
    </row>
    <row r="154" customFormat="false" ht="15" hidden="false" customHeight="false" outlineLevel="0" collapsed="false">
      <c r="A154" s="103" t="n">
        <v>46296</v>
      </c>
      <c r="B154" s="104" t="s">
        <v>33</v>
      </c>
      <c r="C154" s="104" t="s">
        <v>262</v>
      </c>
      <c r="D154" s="105" t="n">
        <v>135</v>
      </c>
      <c r="E154" s="105" t="n">
        <v>2970</v>
      </c>
      <c r="F154" s="107" t="n">
        <f aca="false">IF(OR($C154="",$D154=0),"",$E154/$D154)</f>
        <v>22</v>
      </c>
      <c r="G154" s="104" t="s">
        <v>776</v>
      </c>
      <c r="H154" s="0" t="str">
        <f aca="false">IF($C154="","",IF(COUNTIF('مواد المخزون'!$A$2:$A$90,$C154)&gt;0,"نعم","لا (خارج الجرد)"))</f>
        <v>نعم</v>
      </c>
    </row>
    <row r="155" customFormat="false" ht="15" hidden="false" customHeight="false" outlineLevel="0" collapsed="false">
      <c r="A155" s="103" t="n">
        <v>46296</v>
      </c>
      <c r="B155" s="104" t="s">
        <v>33</v>
      </c>
      <c r="C155" s="104" t="s">
        <v>264</v>
      </c>
      <c r="D155" s="105" t="n">
        <v>1400</v>
      </c>
      <c r="E155" s="105" t="n">
        <v>5600</v>
      </c>
      <c r="F155" s="107" t="n">
        <f aca="false">IF(OR($C155="",$D155=0),"",$E155/$D155)</f>
        <v>4</v>
      </c>
      <c r="G155" s="104" t="s">
        <v>776</v>
      </c>
      <c r="H155" s="0" t="str">
        <f aca="false">IF($C155="","",IF(COUNTIF('مواد المخزون'!$A$2:$A$90,$C155)&gt;0,"نعم","لا (خارج الجرد)"))</f>
        <v>نعم</v>
      </c>
    </row>
    <row r="156" customFormat="false" ht="15" hidden="false" customHeight="false" outlineLevel="0" collapsed="false">
      <c r="A156" s="103" t="n">
        <v>46296</v>
      </c>
      <c r="B156" s="104" t="s">
        <v>33</v>
      </c>
      <c r="C156" s="104" t="s">
        <v>790</v>
      </c>
      <c r="D156" s="105" t="n">
        <v>280</v>
      </c>
      <c r="E156" s="105" t="n">
        <v>1120</v>
      </c>
      <c r="F156" s="107" t="n">
        <f aca="false">IF(OR($C156="",$D156=0),"",$E156/$D156)</f>
        <v>4</v>
      </c>
      <c r="G156" s="104" t="s">
        <v>776</v>
      </c>
      <c r="H156" s="0" t="str">
        <f aca="false">IF($C156="","",IF(COUNTIF('مواد المخزون'!$A$2:$A$90,$C156)&gt;0,"نعم","لا (خارج الجرد)"))</f>
        <v>لا (خارج الجرد)</v>
      </c>
    </row>
    <row r="157" customFormat="false" ht="15" hidden="false" customHeight="false" outlineLevel="0" collapsed="false">
      <c r="A157" s="103" t="n">
        <v>46296</v>
      </c>
      <c r="B157" s="104" t="s">
        <v>33</v>
      </c>
      <c r="C157" s="104" t="s">
        <v>276</v>
      </c>
      <c r="D157" s="105" t="n">
        <v>50</v>
      </c>
      <c r="E157" s="105" t="n">
        <v>100</v>
      </c>
      <c r="F157" s="107" t="n">
        <f aca="false">IF(OR($C157="",$D157=0),"",$E157/$D157)</f>
        <v>2</v>
      </c>
      <c r="G157" s="104" t="s">
        <v>776</v>
      </c>
      <c r="H157" s="0" t="str">
        <f aca="false">IF($C157="","",IF(COUNTIF('مواد المخزون'!$A$2:$A$90,$C157)&gt;0,"نعم","لا (خارج الجرد)"))</f>
        <v>نعم</v>
      </c>
    </row>
    <row r="158" customFormat="false" ht="15" hidden="false" customHeight="false" outlineLevel="0" collapsed="false">
      <c r="A158" s="103" t="n">
        <v>46296</v>
      </c>
      <c r="B158" s="104" t="s">
        <v>33</v>
      </c>
      <c r="C158" s="104" t="s">
        <v>278</v>
      </c>
      <c r="D158" s="105" t="n">
        <v>50</v>
      </c>
      <c r="E158" s="105" t="n">
        <v>155</v>
      </c>
      <c r="F158" s="107" t="n">
        <f aca="false">IF(OR($C158="",$D158=0),"",$E158/$D158)</f>
        <v>3.1</v>
      </c>
      <c r="G158" s="104" t="s">
        <v>776</v>
      </c>
      <c r="H158" s="0" t="str">
        <f aca="false">IF($C158="","",IF(COUNTIF('مواد المخزون'!$A$2:$A$90,$C158)&gt;0,"نعم","لا (خارج الجرد)"))</f>
        <v>نعم</v>
      </c>
    </row>
    <row r="159" customFormat="false" ht="15" hidden="false" customHeight="false" outlineLevel="0" collapsed="false">
      <c r="A159" s="103" t="n">
        <v>46296</v>
      </c>
      <c r="B159" s="104" t="s">
        <v>33</v>
      </c>
      <c r="C159" s="104" t="s">
        <v>284</v>
      </c>
      <c r="D159" s="105" t="n">
        <v>69</v>
      </c>
      <c r="E159" s="105" t="n">
        <v>1863</v>
      </c>
      <c r="F159" s="107" t="n">
        <f aca="false">IF(OR($C159="",$D159=0),"",$E159/$D159)</f>
        <v>27</v>
      </c>
      <c r="G159" s="104" t="s">
        <v>776</v>
      </c>
      <c r="H159" s="0" t="str">
        <f aca="false">IF($C159="","",IF(COUNTIF('مواد المخزون'!$A$2:$A$90,$C159)&gt;0,"نعم","لا (خارج الجرد)"))</f>
        <v>نعم</v>
      </c>
    </row>
    <row r="160" customFormat="false" ht="15" hidden="false" customHeight="false" outlineLevel="0" collapsed="false">
      <c r="A160" s="103" t="n">
        <v>46296</v>
      </c>
      <c r="B160" s="104" t="s">
        <v>33</v>
      </c>
      <c r="C160" s="104" t="s">
        <v>288</v>
      </c>
      <c r="D160" s="105" t="n">
        <v>576</v>
      </c>
      <c r="E160" s="105" t="n">
        <v>4032</v>
      </c>
      <c r="F160" s="107" t="n">
        <f aca="false">IF(OR($C160="",$D160=0),"",$E160/$D160)</f>
        <v>7</v>
      </c>
      <c r="G160" s="104" t="s">
        <v>776</v>
      </c>
      <c r="H160" s="0" t="str">
        <f aca="false">IF($C160="","",IF(COUNTIF('مواد المخزون'!$A$2:$A$90,$C160)&gt;0,"نعم","لا (خارج الجرد)"))</f>
        <v>نعم</v>
      </c>
    </row>
    <row r="161" customFormat="false" ht="15" hidden="false" customHeight="false" outlineLevel="0" collapsed="false">
      <c r="A161" s="103" t="n">
        <v>46296</v>
      </c>
      <c r="B161" s="104" t="s">
        <v>33</v>
      </c>
      <c r="C161" s="104" t="s">
        <v>290</v>
      </c>
      <c r="D161" s="105" t="n">
        <v>5000</v>
      </c>
      <c r="E161" s="105" t="n">
        <v>1500</v>
      </c>
      <c r="F161" s="107" t="n">
        <f aca="false">IF(OR($C161="",$D161=0),"",$E161/$D161)</f>
        <v>0.3</v>
      </c>
      <c r="G161" s="104" t="s">
        <v>776</v>
      </c>
      <c r="H161" s="0" t="str">
        <f aca="false">IF($C161="","",IF(COUNTIF('مواد المخزون'!$A$2:$A$90,$C161)&gt;0,"نعم","لا (خارج الجرد)"))</f>
        <v>نعم</v>
      </c>
    </row>
    <row r="162" customFormat="false" ht="15" hidden="false" customHeight="false" outlineLevel="0" collapsed="false">
      <c r="A162" s="103" t="n">
        <v>46296</v>
      </c>
      <c r="B162" s="104" t="s">
        <v>33</v>
      </c>
      <c r="C162" s="104" t="s">
        <v>291</v>
      </c>
      <c r="D162" s="105" t="n">
        <v>14.4</v>
      </c>
      <c r="E162" s="105" t="n">
        <v>1296</v>
      </c>
      <c r="F162" s="107" t="n">
        <f aca="false">IF(OR($C162="",$D162=0),"",$E162/$D162)</f>
        <v>90</v>
      </c>
      <c r="G162" s="104" t="s">
        <v>776</v>
      </c>
      <c r="H162" s="0" t="str">
        <f aca="false">IF($C162="","",IF(COUNTIF('مواد المخزون'!$A$2:$A$90,$C162)&gt;0,"نعم","لا (خارج الجرد)"))</f>
        <v>نعم</v>
      </c>
    </row>
    <row r="163" customFormat="false" ht="15" hidden="false" customHeight="false" outlineLevel="0" collapsed="false">
      <c r="A163" s="103" t="n">
        <v>46296</v>
      </c>
      <c r="B163" s="104" t="s">
        <v>33</v>
      </c>
      <c r="C163" s="104" t="s">
        <v>293</v>
      </c>
      <c r="D163" s="105" t="n">
        <v>600</v>
      </c>
      <c r="E163" s="105" t="n">
        <v>300</v>
      </c>
      <c r="F163" s="107" t="n">
        <f aca="false">IF(OR($C163="",$D163=0),"",$E163/$D163)</f>
        <v>0.5</v>
      </c>
      <c r="G163" s="104" t="s">
        <v>776</v>
      </c>
      <c r="H163" s="0" t="str">
        <f aca="false">IF($C163="","",IF(COUNTIF('مواد المخزون'!$A$2:$A$90,$C163)&gt;0,"نعم","لا (خارج الجرد)"))</f>
        <v>نعم</v>
      </c>
    </row>
    <row r="164" customFormat="false" ht="15" hidden="false" customHeight="false" outlineLevel="0" collapsed="false">
      <c r="A164" s="103" t="n">
        <v>46296</v>
      </c>
      <c r="B164" s="104" t="s">
        <v>33</v>
      </c>
      <c r="C164" s="104" t="s">
        <v>295</v>
      </c>
      <c r="D164" s="105" t="n">
        <v>3</v>
      </c>
      <c r="E164" s="105" t="n">
        <v>1260</v>
      </c>
      <c r="F164" s="107" t="n">
        <f aca="false">IF(OR($C164="",$D164=0),"",$E164/$D164)</f>
        <v>420</v>
      </c>
      <c r="G164" s="104" t="s">
        <v>776</v>
      </c>
      <c r="H164" s="0" t="str">
        <f aca="false">IF($C164="","",IF(COUNTIF('مواد المخزون'!$A$2:$A$90,$C164)&gt;0,"نعم","لا (خارج الجرد)"))</f>
        <v>نعم</v>
      </c>
    </row>
    <row r="165" customFormat="false" ht="15" hidden="false" customHeight="false" outlineLevel="0" collapsed="false">
      <c r="A165" s="103" t="n">
        <v>46296</v>
      </c>
      <c r="B165" s="104" t="s">
        <v>33</v>
      </c>
      <c r="C165" s="104" t="s">
        <v>782</v>
      </c>
      <c r="D165" s="105" t="n">
        <v>10</v>
      </c>
      <c r="E165" s="105" t="n">
        <v>80</v>
      </c>
      <c r="F165" s="107" t="n">
        <f aca="false">IF(OR($C165="",$D165=0),"",$E165/$D165)</f>
        <v>8</v>
      </c>
      <c r="G165" s="104" t="s">
        <v>776</v>
      </c>
      <c r="H165" s="0" t="str">
        <f aca="false">IF($C165="","",IF(COUNTIF('مواد المخزون'!$A$2:$A$90,$C165)&gt;0,"نعم","لا (خارج الجرد)"))</f>
        <v>لا (خارج الجرد)</v>
      </c>
    </row>
    <row r="166" customFormat="false" ht="15" hidden="false" customHeight="false" outlineLevel="0" collapsed="false">
      <c r="A166" s="103" t="n">
        <v>46296</v>
      </c>
      <c r="B166" s="104" t="s">
        <v>33</v>
      </c>
      <c r="C166" s="104" t="s">
        <v>298</v>
      </c>
      <c r="D166" s="105" t="n">
        <v>120</v>
      </c>
      <c r="E166" s="105" t="n">
        <v>2460</v>
      </c>
      <c r="F166" s="107" t="n">
        <f aca="false">IF(OR($C166="",$D166=0),"",$E166/$D166)</f>
        <v>20.5</v>
      </c>
      <c r="G166" s="104" t="s">
        <v>776</v>
      </c>
      <c r="H166" s="0" t="str">
        <f aca="false">IF($C166="","",IF(COUNTIF('مواد المخزون'!$A$2:$A$90,$C166)&gt;0,"نعم","لا (خارج الجرد)"))</f>
        <v>نعم</v>
      </c>
    </row>
    <row r="167" customFormat="false" ht="15" hidden="false" customHeight="false" outlineLevel="0" collapsed="false">
      <c r="A167" s="103" t="n">
        <v>46296</v>
      </c>
      <c r="B167" s="104" t="s">
        <v>33</v>
      </c>
      <c r="C167" s="104" t="s">
        <v>302</v>
      </c>
      <c r="D167" s="105" t="n">
        <v>1</v>
      </c>
      <c r="E167" s="105" t="n">
        <v>135</v>
      </c>
      <c r="F167" s="107" t="n">
        <f aca="false">IF(OR($C167="",$D167=0),"",$E167/$D167)</f>
        <v>135</v>
      </c>
      <c r="G167" s="104" t="s">
        <v>776</v>
      </c>
      <c r="H167" s="0" t="str">
        <f aca="false">IF($C167="","",IF(COUNTIF('مواد المخزون'!$A$2:$A$90,$C167)&gt;0,"نعم","لا (خارج الجرد)"))</f>
        <v>نعم</v>
      </c>
    </row>
    <row r="168" customFormat="false" ht="15" hidden="false" customHeight="false" outlineLevel="0" collapsed="false">
      <c r="A168" s="103" t="n">
        <v>46296</v>
      </c>
      <c r="B168" s="104" t="s">
        <v>33</v>
      </c>
      <c r="C168" s="104" t="s">
        <v>303</v>
      </c>
      <c r="D168" s="105" t="n">
        <v>3</v>
      </c>
      <c r="E168" s="105" t="n">
        <v>16.5</v>
      </c>
      <c r="F168" s="107" t="n">
        <f aca="false">IF(OR($C168="",$D168=0),"",$E168/$D168)</f>
        <v>5.5</v>
      </c>
      <c r="G168" s="104" t="s">
        <v>776</v>
      </c>
      <c r="H168" s="0" t="str">
        <f aca="false">IF($C168="","",IF(COUNTIF('مواد المخزون'!$A$2:$A$90,$C168)&gt;0,"نعم","لا (خارج الجرد)"))</f>
        <v>لا (خارج الجرد)</v>
      </c>
    </row>
    <row r="169" customFormat="false" ht="15" hidden="false" customHeight="false" outlineLevel="0" collapsed="false">
      <c r="A169" s="103" t="n">
        <v>46296</v>
      </c>
      <c r="B169" s="104" t="s">
        <v>33</v>
      </c>
      <c r="C169" s="104" t="s">
        <v>791</v>
      </c>
      <c r="D169" s="105" t="n">
        <v>5</v>
      </c>
      <c r="E169" s="105" t="n">
        <v>200</v>
      </c>
      <c r="F169" s="107" t="n">
        <f aca="false">IF(OR($C169="",$D169=0),"",$E169/$D169)</f>
        <v>40</v>
      </c>
      <c r="G169" s="104" t="s">
        <v>776</v>
      </c>
      <c r="H169" s="0" t="str">
        <f aca="false">IF($C169="","",IF(COUNTIF('مواد المخزون'!$A$2:$A$90,$C169)&gt;0,"نعم","لا (خارج الجرد)"))</f>
        <v>لا (خارج الجرد)</v>
      </c>
    </row>
    <row r="170" customFormat="false" ht="15" hidden="false" customHeight="false" outlineLevel="0" collapsed="false">
      <c r="A170" s="103" t="n">
        <v>46296</v>
      </c>
      <c r="B170" s="104" t="s">
        <v>33</v>
      </c>
      <c r="C170" s="104" t="s">
        <v>792</v>
      </c>
      <c r="D170" s="105" t="n">
        <v>0.25</v>
      </c>
      <c r="E170" s="105" t="n">
        <v>22.5</v>
      </c>
      <c r="F170" s="107" t="n">
        <f aca="false">IF(OR($C170="",$D170=0),"",$E170/$D170)</f>
        <v>90</v>
      </c>
      <c r="G170" s="104" t="s">
        <v>776</v>
      </c>
      <c r="H170" s="0" t="str">
        <f aca="false">IF($C170="","",IF(COUNTIF('مواد المخزون'!$A$2:$A$90,$C170)&gt;0,"نعم","لا (خارج الجرد)"))</f>
        <v>لا (خارج الجرد)</v>
      </c>
    </row>
    <row r="171" customFormat="false" ht="15" hidden="false" customHeight="false" outlineLevel="0" collapsed="false">
      <c r="A171" s="103" t="n">
        <v>46296</v>
      </c>
      <c r="B171" s="104" t="s">
        <v>33</v>
      </c>
      <c r="C171" s="104" t="s">
        <v>307</v>
      </c>
      <c r="D171" s="105" t="n">
        <v>2</v>
      </c>
      <c r="E171" s="105" t="n">
        <v>500</v>
      </c>
      <c r="F171" s="107" t="n">
        <f aca="false">IF(OR($C171="",$D171=0),"",$E171/$D171)</f>
        <v>250</v>
      </c>
      <c r="G171" s="104" t="s">
        <v>776</v>
      </c>
      <c r="H171" s="0" t="str">
        <f aca="false">IF($C171="","",IF(COUNTIF('مواد المخزون'!$A$2:$A$90,$C171)&gt;0,"نعم","لا (خارج الجرد)"))</f>
        <v>نعم</v>
      </c>
    </row>
    <row r="172" customFormat="false" ht="15" hidden="false" customHeight="false" outlineLevel="0" collapsed="false">
      <c r="A172" s="103" t="n">
        <v>46296</v>
      </c>
      <c r="B172" s="104" t="s">
        <v>33</v>
      </c>
      <c r="C172" s="104" t="s">
        <v>783</v>
      </c>
      <c r="D172" s="105" t="n">
        <v>9</v>
      </c>
      <c r="E172" s="105" t="n">
        <v>108</v>
      </c>
      <c r="F172" s="107" t="n">
        <f aca="false">IF(OR($C172="",$D172=0),"",$E172/$D172)</f>
        <v>12</v>
      </c>
      <c r="G172" s="104" t="s">
        <v>776</v>
      </c>
      <c r="H172" s="0" t="str">
        <f aca="false">IF($C172="","",IF(COUNTIF('مواد المخزون'!$A$2:$A$90,$C172)&gt;0,"نعم","لا (خارج الجرد)"))</f>
        <v>لا (خارج الجرد)</v>
      </c>
    </row>
    <row r="173" customFormat="false" ht="15" hidden="false" customHeight="false" outlineLevel="0" collapsed="false">
      <c r="A173" s="103" t="n">
        <v>46296</v>
      </c>
      <c r="B173" s="104" t="s">
        <v>33</v>
      </c>
      <c r="C173" s="104" t="s">
        <v>309</v>
      </c>
      <c r="D173" s="105" t="n">
        <v>10</v>
      </c>
      <c r="E173" s="105" t="n">
        <v>240</v>
      </c>
      <c r="F173" s="107" t="n">
        <f aca="false">IF(OR($C173="",$D173=0),"",$E173/$D173)</f>
        <v>24</v>
      </c>
      <c r="G173" s="104" t="s">
        <v>776</v>
      </c>
      <c r="H173" s="0" t="str">
        <f aca="false">IF($C173="","",IF(COUNTIF('مواد المخزون'!$A$2:$A$90,$C173)&gt;0,"نعم","لا (خارج الجرد)"))</f>
        <v>نعم</v>
      </c>
    </row>
    <row r="174" customFormat="false" ht="15" hidden="false" customHeight="false" outlineLevel="0" collapsed="false">
      <c r="A174" s="103" t="n">
        <v>46296</v>
      </c>
      <c r="B174" s="104" t="s">
        <v>33</v>
      </c>
      <c r="C174" s="104" t="s">
        <v>354</v>
      </c>
      <c r="D174" s="105" t="n">
        <v>1</v>
      </c>
      <c r="E174" s="105" t="n">
        <v>8</v>
      </c>
      <c r="F174" s="107" t="n">
        <f aca="false">IF(OR($C174="",$D174=0),"",$E174/$D174)</f>
        <v>8</v>
      </c>
      <c r="G174" s="104" t="s">
        <v>776</v>
      </c>
      <c r="H174" s="0" t="str">
        <f aca="false">IF($C174="","",IF(COUNTIF('مواد المخزون'!$A$2:$A$90,$C174)&gt;0,"نعم","لا (خارج الجرد)"))</f>
        <v>نعم</v>
      </c>
    </row>
    <row r="175" customFormat="false" ht="15" hidden="false" customHeight="false" outlineLevel="0" collapsed="false">
      <c r="A175" s="103" t="n">
        <v>46296</v>
      </c>
      <c r="B175" s="104" t="s">
        <v>33</v>
      </c>
      <c r="C175" s="104" t="s">
        <v>317</v>
      </c>
      <c r="D175" s="105" t="n">
        <v>1</v>
      </c>
      <c r="E175" s="105" t="n">
        <v>610</v>
      </c>
      <c r="F175" s="107" t="n">
        <f aca="false">IF(OR($C175="",$D175=0),"",$E175/$D175)</f>
        <v>610</v>
      </c>
      <c r="G175" s="104" t="s">
        <v>776</v>
      </c>
      <c r="H175" s="0" t="str">
        <f aca="false">IF($C175="","",IF(COUNTIF('مواد المخزون'!$A$2:$A$90,$C175)&gt;0,"نعم","لا (خارج الجرد)"))</f>
        <v>نعم</v>
      </c>
    </row>
    <row r="176" customFormat="false" ht="15" hidden="false" customHeight="false" outlineLevel="0" collapsed="false">
      <c r="A176" s="103" t="n">
        <v>46296</v>
      </c>
      <c r="B176" s="104" t="s">
        <v>33</v>
      </c>
      <c r="C176" s="104" t="s">
        <v>784</v>
      </c>
      <c r="D176" s="105" t="n">
        <v>1</v>
      </c>
      <c r="E176" s="105" t="n">
        <v>120</v>
      </c>
      <c r="F176" s="107" t="n">
        <f aca="false">IF(OR($C176="",$D176=0),"",$E176/$D176)</f>
        <v>120</v>
      </c>
      <c r="G176" s="104" t="s">
        <v>776</v>
      </c>
      <c r="H176" s="0" t="str">
        <f aca="false">IF($C176="","",IF(COUNTIF('مواد المخزون'!$A$2:$A$90,$C176)&gt;0,"نعم","لا (خارج الجرد)"))</f>
        <v>نعم</v>
      </c>
    </row>
    <row r="177" customFormat="false" ht="15" hidden="false" customHeight="false" outlineLevel="0" collapsed="false">
      <c r="A177" s="103" t="n">
        <v>46296</v>
      </c>
      <c r="B177" s="104" t="s">
        <v>34</v>
      </c>
      <c r="C177" s="104" t="s">
        <v>125</v>
      </c>
      <c r="D177" s="105" t="n">
        <v>1000</v>
      </c>
      <c r="E177" s="105" t="n">
        <v>800</v>
      </c>
      <c r="F177" s="107" t="n">
        <f aca="false">IF(OR($C177="",$D177=0),"",$E177/$D177)</f>
        <v>0.8</v>
      </c>
      <c r="G177" s="104" t="s">
        <v>776</v>
      </c>
      <c r="H177" s="0" t="str">
        <f aca="false">IF($C177="","",IF(COUNTIF('مواد المخزون'!$A$2:$A$90,$C177)&gt;0,"نعم","لا (خارج الجرد)"))</f>
        <v>نعم</v>
      </c>
    </row>
    <row r="178" customFormat="false" ht="15" hidden="false" customHeight="false" outlineLevel="0" collapsed="false">
      <c r="A178" s="103" t="n">
        <v>46296</v>
      </c>
      <c r="B178" s="104" t="s">
        <v>34</v>
      </c>
      <c r="C178" s="104" t="s">
        <v>131</v>
      </c>
      <c r="D178" s="105" t="n">
        <v>2</v>
      </c>
      <c r="E178" s="105" t="n">
        <v>160</v>
      </c>
      <c r="F178" s="107" t="n">
        <f aca="false">IF(OR($C178="",$D178=0),"",$E178/$D178)</f>
        <v>80</v>
      </c>
      <c r="G178" s="104" t="s">
        <v>776</v>
      </c>
      <c r="H178" s="0" t="str">
        <f aca="false">IF($C178="","",IF(COUNTIF('مواد المخزون'!$A$2:$A$90,$C178)&gt;0,"نعم","لا (خارج الجرد)"))</f>
        <v>لا (خارج الجرد)</v>
      </c>
    </row>
    <row r="179" customFormat="false" ht="15" hidden="false" customHeight="false" outlineLevel="0" collapsed="false">
      <c r="A179" s="103" t="n">
        <v>46296</v>
      </c>
      <c r="B179" s="104" t="s">
        <v>34</v>
      </c>
      <c r="C179" s="104" t="s">
        <v>133</v>
      </c>
      <c r="D179" s="105" t="n">
        <v>25</v>
      </c>
      <c r="E179" s="105" t="n">
        <v>1750</v>
      </c>
      <c r="F179" s="107" t="n">
        <f aca="false">IF(OR($C179="",$D179=0),"",$E179/$D179)</f>
        <v>70</v>
      </c>
      <c r="G179" s="104" t="s">
        <v>776</v>
      </c>
      <c r="H179" s="0" t="str">
        <f aca="false">IF($C179="","",IF(COUNTIF('مواد المخزون'!$A$2:$A$90,$C179)&gt;0,"نعم","لا (خارج الجرد)"))</f>
        <v>نعم</v>
      </c>
    </row>
    <row r="180" customFormat="false" ht="15" hidden="false" customHeight="false" outlineLevel="0" collapsed="false">
      <c r="A180" s="103" t="n">
        <v>46296</v>
      </c>
      <c r="B180" s="104" t="s">
        <v>34</v>
      </c>
      <c r="C180" s="104" t="s">
        <v>136</v>
      </c>
      <c r="D180" s="105" t="n">
        <v>25</v>
      </c>
      <c r="E180" s="105" t="n">
        <v>1750</v>
      </c>
      <c r="F180" s="107" t="n">
        <f aca="false">IF(OR($C180="",$D180=0),"",$E180/$D180)</f>
        <v>70</v>
      </c>
      <c r="G180" s="104" t="s">
        <v>776</v>
      </c>
      <c r="H180" s="0" t="str">
        <f aca="false">IF($C180="","",IF(COUNTIF('مواد المخزون'!$A$2:$A$90,$C180)&gt;0,"نعم","لا (خارج الجرد)"))</f>
        <v>نعم</v>
      </c>
    </row>
    <row r="181" customFormat="false" ht="15" hidden="false" customHeight="false" outlineLevel="0" collapsed="false">
      <c r="A181" s="103" t="n">
        <v>46296</v>
      </c>
      <c r="B181" s="104" t="s">
        <v>34</v>
      </c>
      <c r="C181" s="104" t="s">
        <v>138</v>
      </c>
      <c r="D181" s="105" t="n">
        <v>3</v>
      </c>
      <c r="E181" s="105" t="n">
        <v>180</v>
      </c>
      <c r="F181" s="107" t="n">
        <f aca="false">IF(OR($C181="",$D181=0),"",$E181/$D181)</f>
        <v>60</v>
      </c>
      <c r="G181" s="104" t="s">
        <v>776</v>
      </c>
      <c r="H181" s="0" t="str">
        <f aca="false">IF($C181="","",IF(COUNTIF('مواد المخزون'!$A$2:$A$90,$C181)&gt;0,"نعم","لا (خارج الجرد)"))</f>
        <v>لا (خارج الجرد)</v>
      </c>
    </row>
    <row r="182" customFormat="false" ht="15" hidden="false" customHeight="false" outlineLevel="0" collapsed="false">
      <c r="A182" s="103" t="n">
        <v>46296</v>
      </c>
      <c r="B182" s="104" t="s">
        <v>34</v>
      </c>
      <c r="C182" s="104" t="s">
        <v>777</v>
      </c>
      <c r="D182" s="105" t="n">
        <v>249</v>
      </c>
      <c r="E182" s="105" t="n">
        <v>4482</v>
      </c>
      <c r="F182" s="107" t="n">
        <f aca="false">IF(OR($C182="",$D182=0),"",$E182/$D182)</f>
        <v>18</v>
      </c>
      <c r="G182" s="104" t="s">
        <v>776</v>
      </c>
      <c r="H182" s="0" t="str">
        <f aca="false">IF($C182="","",IF(COUNTIF('مواد المخزون'!$A$2:$A$90,$C182)&gt;0,"نعم","لا (خارج الجرد)"))</f>
        <v>نعم</v>
      </c>
    </row>
    <row r="183" customFormat="false" ht="15" hidden="false" customHeight="false" outlineLevel="0" collapsed="false">
      <c r="A183" s="103" t="n">
        <v>46296</v>
      </c>
      <c r="B183" s="104" t="s">
        <v>34</v>
      </c>
      <c r="C183" s="104" t="s">
        <v>142</v>
      </c>
      <c r="D183" s="105" t="n">
        <v>470</v>
      </c>
      <c r="E183" s="105" t="n">
        <v>16450</v>
      </c>
      <c r="F183" s="107" t="n">
        <f aca="false">IF(OR($C183="",$D183=0),"",$E183/$D183)</f>
        <v>35</v>
      </c>
      <c r="G183" s="104" t="s">
        <v>776</v>
      </c>
      <c r="H183" s="0" t="str">
        <f aca="false">IF($C183="","",IF(COUNTIF('مواد المخزون'!$A$2:$A$90,$C183)&gt;0,"نعم","لا (خارج الجرد)"))</f>
        <v>نعم</v>
      </c>
    </row>
    <row r="184" customFormat="false" ht="15" hidden="false" customHeight="false" outlineLevel="0" collapsed="false">
      <c r="A184" s="103" t="n">
        <v>46296</v>
      </c>
      <c r="B184" s="104" t="s">
        <v>34</v>
      </c>
      <c r="C184" s="104" t="s">
        <v>144</v>
      </c>
      <c r="D184" s="105" t="n">
        <v>80</v>
      </c>
      <c r="E184" s="105" t="n">
        <v>3680</v>
      </c>
      <c r="F184" s="107" t="n">
        <f aca="false">IF(OR($C184="",$D184=0),"",$E184/$D184)</f>
        <v>46</v>
      </c>
      <c r="G184" s="104" t="s">
        <v>776</v>
      </c>
      <c r="H184" s="0" t="str">
        <f aca="false">IF($C184="","",IF(COUNTIF('مواد المخزون'!$A$2:$A$90,$C184)&gt;0,"نعم","لا (خارج الجرد)"))</f>
        <v>نعم</v>
      </c>
    </row>
    <row r="185" customFormat="false" ht="15" hidden="false" customHeight="false" outlineLevel="0" collapsed="false">
      <c r="A185" s="103" t="n">
        <v>46296</v>
      </c>
      <c r="B185" s="104" t="s">
        <v>34</v>
      </c>
      <c r="C185" s="104" t="s">
        <v>146</v>
      </c>
      <c r="D185" s="105" t="n">
        <v>225</v>
      </c>
      <c r="E185" s="105" t="n">
        <v>1272.5</v>
      </c>
      <c r="F185" s="107" t="n">
        <f aca="false">IF(OR($C185="",$D185=0),"",$E185/$D185)</f>
        <v>5.65555555555556</v>
      </c>
      <c r="G185" s="104" t="s">
        <v>776</v>
      </c>
      <c r="H185" s="0" t="str">
        <f aca="false">IF($C185="","",IF(COUNTIF('مواد المخزون'!$A$2:$A$90,$C185)&gt;0,"نعم","لا (خارج الجرد)"))</f>
        <v>نعم</v>
      </c>
    </row>
    <row r="186" customFormat="false" ht="15" hidden="false" customHeight="false" outlineLevel="0" collapsed="false">
      <c r="A186" s="103" t="n">
        <v>46296</v>
      </c>
      <c r="B186" s="104" t="s">
        <v>34</v>
      </c>
      <c r="C186" s="104" t="s">
        <v>148</v>
      </c>
      <c r="D186" s="105" t="n">
        <v>600</v>
      </c>
      <c r="E186" s="105" t="n">
        <v>5400</v>
      </c>
      <c r="F186" s="107" t="n">
        <f aca="false">IF(OR($C186="",$D186=0),"",$E186/$D186)</f>
        <v>9</v>
      </c>
      <c r="G186" s="104" t="s">
        <v>776</v>
      </c>
      <c r="H186" s="0" t="str">
        <f aca="false">IF($C186="","",IF(COUNTIF('مواد المخزون'!$A$2:$A$90,$C186)&gt;0,"نعم","لا (خارج الجرد)"))</f>
        <v>نعم</v>
      </c>
    </row>
    <row r="187" customFormat="false" ht="15" hidden="false" customHeight="false" outlineLevel="0" collapsed="false">
      <c r="A187" s="103" t="n">
        <v>46296</v>
      </c>
      <c r="B187" s="104" t="s">
        <v>34</v>
      </c>
      <c r="C187" s="104" t="s">
        <v>150</v>
      </c>
      <c r="D187" s="105" t="n">
        <v>10</v>
      </c>
      <c r="E187" s="105" t="n">
        <v>950</v>
      </c>
      <c r="F187" s="107" t="n">
        <f aca="false">IF(OR($C187="",$D187=0),"",$E187/$D187)</f>
        <v>95</v>
      </c>
      <c r="G187" s="104" t="s">
        <v>776</v>
      </c>
      <c r="H187" s="0" t="str">
        <f aca="false">IF($C187="","",IF(COUNTIF('مواد المخزون'!$A$2:$A$90,$C187)&gt;0,"نعم","لا (خارج الجرد)"))</f>
        <v>نعم</v>
      </c>
    </row>
    <row r="188" customFormat="false" ht="15" hidden="false" customHeight="false" outlineLevel="0" collapsed="false">
      <c r="A188" s="103" t="n">
        <v>46296</v>
      </c>
      <c r="B188" s="104" t="s">
        <v>34</v>
      </c>
      <c r="C188" s="104" t="s">
        <v>152</v>
      </c>
      <c r="D188" s="105" t="n">
        <v>541</v>
      </c>
      <c r="E188" s="105" t="n">
        <v>18394</v>
      </c>
      <c r="F188" s="107" t="n">
        <f aca="false">IF(OR($C188="",$D188=0),"",$E188/$D188)</f>
        <v>34</v>
      </c>
      <c r="G188" s="104" t="s">
        <v>776</v>
      </c>
      <c r="H188" s="0" t="str">
        <f aca="false">IF($C188="","",IF(COUNTIF('مواد المخزون'!$A$2:$A$90,$C188)&gt;0,"نعم","لا (خارج الجرد)"))</f>
        <v>نعم</v>
      </c>
    </row>
    <row r="189" customFormat="false" ht="15" hidden="false" customHeight="false" outlineLevel="0" collapsed="false">
      <c r="A189" s="103" t="n">
        <v>46296</v>
      </c>
      <c r="B189" s="104" t="s">
        <v>34</v>
      </c>
      <c r="C189" s="104" t="s">
        <v>154</v>
      </c>
      <c r="D189" s="105" t="n">
        <v>100</v>
      </c>
      <c r="E189" s="105" t="n">
        <v>4500</v>
      </c>
      <c r="F189" s="107" t="n">
        <f aca="false">IF(OR($C189="",$D189=0),"",$E189/$D189)</f>
        <v>45</v>
      </c>
      <c r="G189" s="104" t="s">
        <v>776</v>
      </c>
      <c r="H189" s="0" t="str">
        <f aca="false">IF($C189="","",IF(COUNTIF('مواد المخزون'!$A$2:$A$90,$C189)&gt;0,"نعم","لا (خارج الجرد)"))</f>
        <v>نعم</v>
      </c>
    </row>
    <row r="190" customFormat="false" ht="15" hidden="false" customHeight="false" outlineLevel="0" collapsed="false">
      <c r="A190" s="103" t="n">
        <v>46296</v>
      </c>
      <c r="B190" s="104" t="s">
        <v>34</v>
      </c>
      <c r="C190" s="104" t="s">
        <v>156</v>
      </c>
      <c r="D190" s="105" t="n">
        <v>50</v>
      </c>
      <c r="E190" s="105" t="n">
        <v>1400</v>
      </c>
      <c r="F190" s="107" t="n">
        <f aca="false">IF(OR($C190="",$D190=0),"",$E190/$D190)</f>
        <v>28</v>
      </c>
      <c r="G190" s="104" t="s">
        <v>776</v>
      </c>
      <c r="H190" s="0" t="str">
        <f aca="false">IF($C190="","",IF(COUNTIF('مواد المخزون'!$A$2:$A$90,$C190)&gt;0,"نعم","لا (خارج الجرد)"))</f>
        <v>نعم</v>
      </c>
    </row>
    <row r="191" customFormat="false" ht="15" hidden="false" customHeight="false" outlineLevel="0" collapsed="false">
      <c r="A191" s="103" t="n">
        <v>46296</v>
      </c>
      <c r="B191" s="104" t="s">
        <v>34</v>
      </c>
      <c r="C191" s="104" t="s">
        <v>156</v>
      </c>
      <c r="D191" s="105" t="n">
        <v>14</v>
      </c>
      <c r="E191" s="105" t="n">
        <v>303</v>
      </c>
      <c r="F191" s="107" t="n">
        <f aca="false">IF(OR($C191="",$D191=0),"",$E191/$D191)</f>
        <v>21.6428571428571</v>
      </c>
      <c r="G191" s="104" t="s">
        <v>776</v>
      </c>
      <c r="H191" s="0" t="str">
        <f aca="false">IF($C191="","",IF(COUNTIF('مواد المخزون'!$A$2:$A$90,$C191)&gt;0,"نعم","لا (خارج الجرد)"))</f>
        <v>نعم</v>
      </c>
    </row>
    <row r="192" customFormat="false" ht="15" hidden="false" customHeight="false" outlineLevel="0" collapsed="false">
      <c r="A192" s="103" t="n">
        <v>46296</v>
      </c>
      <c r="B192" s="104" t="s">
        <v>34</v>
      </c>
      <c r="C192" s="104" t="s">
        <v>158</v>
      </c>
      <c r="D192" s="105" t="n">
        <v>210</v>
      </c>
      <c r="E192" s="105" t="n">
        <v>7090</v>
      </c>
      <c r="F192" s="107" t="n">
        <f aca="false">IF(OR($C192="",$D192=0),"",$E192/$D192)</f>
        <v>33.7619047619048</v>
      </c>
      <c r="G192" s="104" t="s">
        <v>776</v>
      </c>
      <c r="H192" s="0" t="str">
        <f aca="false">IF($C192="","",IF(COUNTIF('مواد المخزون'!$A$2:$A$90,$C192)&gt;0,"نعم","لا (خارج الجرد)"))</f>
        <v>نعم</v>
      </c>
    </row>
    <row r="193" customFormat="false" ht="15" hidden="false" customHeight="false" outlineLevel="0" collapsed="false">
      <c r="A193" s="103" t="n">
        <v>46296</v>
      </c>
      <c r="B193" s="104" t="s">
        <v>34</v>
      </c>
      <c r="C193" s="104" t="s">
        <v>160</v>
      </c>
      <c r="D193" s="105" t="n">
        <v>40</v>
      </c>
      <c r="E193" s="105" t="n">
        <v>2000</v>
      </c>
      <c r="F193" s="107" t="n">
        <f aca="false">IF(OR($C193="",$D193=0),"",$E193/$D193)</f>
        <v>50</v>
      </c>
      <c r="G193" s="104" t="s">
        <v>776</v>
      </c>
      <c r="H193" s="0" t="str">
        <f aca="false">IF($C193="","",IF(COUNTIF('مواد المخزون'!$A$2:$A$90,$C193)&gt;0,"نعم","لا (خارج الجرد)"))</f>
        <v>نعم</v>
      </c>
    </row>
    <row r="194" customFormat="false" ht="15" hidden="false" customHeight="false" outlineLevel="0" collapsed="false">
      <c r="A194" s="103" t="n">
        <v>46296</v>
      </c>
      <c r="B194" s="104" t="s">
        <v>34</v>
      </c>
      <c r="C194" s="104" t="s">
        <v>162</v>
      </c>
      <c r="D194" s="105" t="n">
        <v>120</v>
      </c>
      <c r="E194" s="105" t="n">
        <v>3600</v>
      </c>
      <c r="F194" s="107" t="n">
        <f aca="false">IF(OR($C194="",$D194=0),"",$E194/$D194)</f>
        <v>30</v>
      </c>
      <c r="G194" s="104" t="s">
        <v>776</v>
      </c>
      <c r="H194" s="0" t="str">
        <f aca="false">IF($C194="","",IF(COUNTIF('مواد المخزون'!$A$2:$A$90,$C194)&gt;0,"نعم","لا (خارج الجرد)"))</f>
        <v>نعم</v>
      </c>
    </row>
    <row r="195" customFormat="false" ht="15" hidden="false" customHeight="false" outlineLevel="0" collapsed="false">
      <c r="A195" s="103" t="n">
        <v>46296</v>
      </c>
      <c r="B195" s="104" t="s">
        <v>34</v>
      </c>
      <c r="C195" s="104" t="s">
        <v>168</v>
      </c>
      <c r="D195" s="105" t="n">
        <v>20</v>
      </c>
      <c r="E195" s="105" t="n">
        <v>420</v>
      </c>
      <c r="F195" s="107" t="n">
        <f aca="false">IF(OR($C195="",$D195=0),"",$E195/$D195)</f>
        <v>21</v>
      </c>
      <c r="G195" s="104" t="s">
        <v>776</v>
      </c>
      <c r="H195" s="0" t="str">
        <f aca="false">IF($C195="","",IF(COUNTIF('مواد المخزون'!$A$2:$A$90,$C195)&gt;0,"نعم","لا (خارج الجرد)"))</f>
        <v>نعم</v>
      </c>
    </row>
    <row r="196" customFormat="false" ht="15" hidden="false" customHeight="false" outlineLevel="0" collapsed="false">
      <c r="A196" s="103" t="n">
        <v>46296</v>
      </c>
      <c r="B196" s="104" t="s">
        <v>34</v>
      </c>
      <c r="C196" s="104" t="s">
        <v>170</v>
      </c>
      <c r="D196" s="105" t="n">
        <v>30</v>
      </c>
      <c r="E196" s="105" t="n">
        <v>690</v>
      </c>
      <c r="F196" s="107" t="n">
        <f aca="false">IF(OR($C196="",$D196=0),"",$E196/$D196)</f>
        <v>23</v>
      </c>
      <c r="G196" s="104" t="s">
        <v>776</v>
      </c>
      <c r="H196" s="0" t="str">
        <f aca="false">IF($C196="","",IF(COUNTIF('مواد المخزون'!$A$2:$A$90,$C196)&gt;0,"نعم","لا (خارج الجرد)"))</f>
        <v>نعم</v>
      </c>
    </row>
    <row r="197" customFormat="false" ht="15" hidden="false" customHeight="false" outlineLevel="0" collapsed="false">
      <c r="A197" s="103" t="n">
        <v>46296</v>
      </c>
      <c r="B197" s="104" t="s">
        <v>34</v>
      </c>
      <c r="C197" s="104" t="s">
        <v>172</v>
      </c>
      <c r="D197" s="105" t="n">
        <v>780</v>
      </c>
      <c r="E197" s="105" t="n">
        <v>15600</v>
      </c>
      <c r="F197" s="107" t="n">
        <f aca="false">IF(OR($C197="",$D197=0),"",$E197/$D197)</f>
        <v>20</v>
      </c>
      <c r="G197" s="104" t="s">
        <v>776</v>
      </c>
      <c r="H197" s="0" t="str">
        <f aca="false">IF($C197="","",IF(COUNTIF('مواد المخزون'!$A$2:$A$90,$C197)&gt;0,"نعم","لا (خارج الجرد)"))</f>
        <v>نعم</v>
      </c>
    </row>
    <row r="198" customFormat="false" ht="15" hidden="false" customHeight="false" outlineLevel="0" collapsed="false">
      <c r="A198" s="103" t="n">
        <v>46296</v>
      </c>
      <c r="B198" s="104" t="s">
        <v>34</v>
      </c>
      <c r="C198" s="104" t="s">
        <v>176</v>
      </c>
      <c r="D198" s="105" t="n">
        <v>1320</v>
      </c>
      <c r="E198" s="105" t="n">
        <v>23100</v>
      </c>
      <c r="F198" s="107" t="n">
        <f aca="false">IF(OR($C198="",$D198=0),"",$E198/$D198)</f>
        <v>17.5</v>
      </c>
      <c r="G198" s="104" t="s">
        <v>776</v>
      </c>
      <c r="H198" s="0" t="str">
        <f aca="false">IF($C198="","",IF(COUNTIF('مواد المخزون'!$A$2:$A$90,$C198)&gt;0,"نعم","لا (خارج الجرد)"))</f>
        <v>نعم</v>
      </c>
    </row>
    <row r="199" customFormat="false" ht="15" hidden="false" customHeight="false" outlineLevel="0" collapsed="false">
      <c r="A199" s="103" t="n">
        <v>46296</v>
      </c>
      <c r="B199" s="104" t="s">
        <v>34</v>
      </c>
      <c r="C199" s="104" t="s">
        <v>186</v>
      </c>
      <c r="D199" s="105" t="n">
        <v>20</v>
      </c>
      <c r="E199" s="105" t="n">
        <v>820</v>
      </c>
      <c r="F199" s="107" t="n">
        <f aca="false">IF(OR($C199="",$D199=0),"",$E199/$D199)</f>
        <v>41</v>
      </c>
      <c r="G199" s="104" t="s">
        <v>776</v>
      </c>
      <c r="H199" s="0" t="str">
        <f aca="false">IF($C199="","",IF(COUNTIF('مواد المخزون'!$A$2:$A$90,$C199)&gt;0,"نعم","لا (خارج الجرد)"))</f>
        <v>نعم</v>
      </c>
    </row>
    <row r="200" customFormat="false" ht="15" hidden="false" customHeight="false" outlineLevel="0" collapsed="false">
      <c r="A200" s="103" t="n">
        <v>46296</v>
      </c>
      <c r="B200" s="104" t="s">
        <v>34</v>
      </c>
      <c r="C200" s="104" t="s">
        <v>195</v>
      </c>
      <c r="D200" s="105" t="n">
        <v>12</v>
      </c>
      <c r="E200" s="105" t="n">
        <v>360</v>
      </c>
      <c r="F200" s="107" t="n">
        <f aca="false">IF(OR($C200="",$D200=0),"",$E200/$D200)</f>
        <v>30</v>
      </c>
      <c r="G200" s="104" t="s">
        <v>776</v>
      </c>
      <c r="H200" s="0" t="str">
        <f aca="false">IF($C200="","",IF(COUNTIF('مواد المخزون'!$A$2:$A$90,$C200)&gt;0,"نعم","لا (خارج الجرد)"))</f>
        <v>لا (خارج الجرد)</v>
      </c>
    </row>
    <row r="201" customFormat="false" ht="15" hidden="false" customHeight="false" outlineLevel="0" collapsed="false">
      <c r="A201" s="103" t="n">
        <v>46296</v>
      </c>
      <c r="B201" s="104" t="s">
        <v>34</v>
      </c>
      <c r="C201" s="104" t="s">
        <v>202</v>
      </c>
      <c r="D201" s="105" t="n">
        <v>1</v>
      </c>
      <c r="E201" s="105" t="n">
        <v>15</v>
      </c>
      <c r="F201" s="107" t="n">
        <f aca="false">IF(OR($C201="",$D201=0),"",$E201/$D201)</f>
        <v>15</v>
      </c>
      <c r="G201" s="104" t="s">
        <v>776</v>
      </c>
      <c r="H201" s="0" t="str">
        <f aca="false">IF($C201="","",IF(COUNTIF('مواد المخزون'!$A$2:$A$90,$C201)&gt;0,"نعم","لا (خارج الجرد)"))</f>
        <v>نعم</v>
      </c>
    </row>
    <row r="202" customFormat="false" ht="15" hidden="false" customHeight="false" outlineLevel="0" collapsed="false">
      <c r="A202" s="103" t="n">
        <v>46296</v>
      </c>
      <c r="B202" s="104" t="s">
        <v>34</v>
      </c>
      <c r="C202" s="104" t="s">
        <v>208</v>
      </c>
      <c r="D202" s="105" t="n">
        <v>7</v>
      </c>
      <c r="E202" s="105" t="n">
        <v>1200</v>
      </c>
      <c r="F202" s="107" t="n">
        <f aca="false">IF(OR($C202="",$D202=0),"",$E202/$D202)</f>
        <v>171.428571428571</v>
      </c>
      <c r="G202" s="104" t="s">
        <v>776</v>
      </c>
      <c r="H202" s="0" t="str">
        <f aca="false">IF($C202="","",IF(COUNTIF('مواد المخزون'!$A$2:$A$90,$C202)&gt;0,"نعم","لا (خارج الجرد)"))</f>
        <v>لا (خارج الجرد)</v>
      </c>
    </row>
    <row r="203" customFormat="false" ht="15" hidden="false" customHeight="false" outlineLevel="0" collapsed="false">
      <c r="A203" s="103" t="n">
        <v>46296</v>
      </c>
      <c r="B203" s="104" t="s">
        <v>34</v>
      </c>
      <c r="C203" s="104" t="s">
        <v>208</v>
      </c>
      <c r="D203" s="105" t="n">
        <v>1</v>
      </c>
      <c r="E203" s="105" t="n">
        <v>300</v>
      </c>
      <c r="F203" s="107" t="n">
        <f aca="false">IF(OR($C203="",$D203=0),"",$E203/$D203)</f>
        <v>300</v>
      </c>
      <c r="G203" s="104" t="s">
        <v>776</v>
      </c>
      <c r="H203" s="0" t="str">
        <f aca="false">IF($C203="","",IF(COUNTIF('مواد المخزون'!$A$2:$A$90,$C203)&gt;0,"نعم","لا (خارج الجرد)"))</f>
        <v>لا (خارج الجرد)</v>
      </c>
    </row>
    <row r="204" customFormat="false" ht="15" hidden="false" customHeight="false" outlineLevel="0" collapsed="false">
      <c r="A204" s="103" t="n">
        <v>46296</v>
      </c>
      <c r="B204" s="104" t="s">
        <v>34</v>
      </c>
      <c r="C204" s="104" t="s">
        <v>214</v>
      </c>
      <c r="D204" s="105" t="n">
        <v>1.5</v>
      </c>
      <c r="E204" s="105" t="n">
        <v>300</v>
      </c>
      <c r="F204" s="107" t="n">
        <f aca="false">IF(OR($C204="",$D204=0),"",$E204/$D204)</f>
        <v>200</v>
      </c>
      <c r="G204" s="104" t="s">
        <v>776</v>
      </c>
      <c r="H204" s="0" t="str">
        <f aca="false">IF($C204="","",IF(COUNTIF('مواد المخزون'!$A$2:$A$90,$C204)&gt;0,"نعم","لا (خارج الجرد)"))</f>
        <v>نعم</v>
      </c>
    </row>
    <row r="205" customFormat="false" ht="15" hidden="false" customHeight="false" outlineLevel="0" collapsed="false">
      <c r="A205" s="103" t="n">
        <v>46296</v>
      </c>
      <c r="B205" s="104" t="s">
        <v>34</v>
      </c>
      <c r="C205" s="104" t="s">
        <v>220</v>
      </c>
      <c r="D205" s="105" t="n">
        <v>9</v>
      </c>
      <c r="E205" s="105" t="n">
        <v>1080</v>
      </c>
      <c r="F205" s="107" t="n">
        <f aca="false">IF(OR($C205="",$D205=0),"",$E205/$D205)</f>
        <v>120</v>
      </c>
      <c r="G205" s="104" t="s">
        <v>776</v>
      </c>
      <c r="H205" s="0" t="str">
        <f aca="false">IF($C205="","",IF(COUNTIF('مواد المخزون'!$A$2:$A$90,$C205)&gt;0,"نعم","لا (خارج الجرد)"))</f>
        <v>نعم</v>
      </c>
    </row>
    <row r="206" customFormat="false" ht="15" hidden="false" customHeight="false" outlineLevel="0" collapsed="false">
      <c r="A206" s="103" t="n">
        <v>46296</v>
      </c>
      <c r="B206" s="104" t="s">
        <v>34</v>
      </c>
      <c r="C206" s="104" t="s">
        <v>221</v>
      </c>
      <c r="D206" s="105" t="n">
        <v>1.5</v>
      </c>
      <c r="E206" s="105" t="n">
        <v>330</v>
      </c>
      <c r="F206" s="107" t="n">
        <f aca="false">IF(OR($C206="",$D206=0),"",$E206/$D206)</f>
        <v>220</v>
      </c>
      <c r="G206" s="104" t="s">
        <v>776</v>
      </c>
      <c r="H206" s="0" t="str">
        <f aca="false">IF($C206="","",IF(COUNTIF('مواد المخزون'!$A$2:$A$90,$C206)&gt;0,"نعم","لا (خارج الجرد)"))</f>
        <v>نعم</v>
      </c>
    </row>
    <row r="207" customFormat="false" ht="15" hidden="false" customHeight="false" outlineLevel="0" collapsed="false">
      <c r="A207" s="103" t="n">
        <v>46296</v>
      </c>
      <c r="B207" s="104" t="s">
        <v>34</v>
      </c>
      <c r="C207" s="104" t="s">
        <v>225</v>
      </c>
      <c r="D207" s="105" t="n">
        <v>24</v>
      </c>
      <c r="E207" s="105" t="n">
        <v>1800</v>
      </c>
      <c r="F207" s="107" t="n">
        <f aca="false">IF(OR($C207="",$D207=0),"",$E207/$D207)</f>
        <v>75</v>
      </c>
      <c r="G207" s="104" t="s">
        <v>776</v>
      </c>
      <c r="H207" s="0" t="str">
        <f aca="false">IF($C207="","",IF(COUNTIF('مواد المخزون'!$A$2:$A$90,$C207)&gt;0,"نعم","لا (خارج الجرد)"))</f>
        <v>لا (خارج الجرد)</v>
      </c>
    </row>
    <row r="208" customFormat="false" ht="15" hidden="false" customHeight="false" outlineLevel="0" collapsed="false">
      <c r="A208" s="103" t="n">
        <v>46296</v>
      </c>
      <c r="B208" s="104" t="s">
        <v>34</v>
      </c>
      <c r="C208" s="104" t="s">
        <v>227</v>
      </c>
      <c r="D208" s="105" t="n">
        <v>25</v>
      </c>
      <c r="E208" s="105" t="n">
        <v>2375</v>
      </c>
      <c r="F208" s="107" t="n">
        <f aca="false">IF(OR($C208="",$D208=0),"",$E208/$D208)</f>
        <v>95</v>
      </c>
      <c r="G208" s="104" t="s">
        <v>776</v>
      </c>
      <c r="H208" s="0" t="str">
        <f aca="false">IF($C208="","",IF(COUNTIF('مواد المخزون'!$A$2:$A$90,$C208)&gt;0,"نعم","لا (خارج الجرد)"))</f>
        <v>نعم</v>
      </c>
    </row>
    <row r="209" customFormat="false" ht="15" hidden="false" customHeight="false" outlineLevel="0" collapsed="false">
      <c r="A209" s="103" t="n">
        <v>46296</v>
      </c>
      <c r="B209" s="104" t="s">
        <v>34</v>
      </c>
      <c r="C209" s="104" t="s">
        <v>229</v>
      </c>
      <c r="D209" s="105" t="n">
        <v>85</v>
      </c>
      <c r="E209" s="105" t="n">
        <v>2550</v>
      </c>
      <c r="F209" s="107" t="n">
        <f aca="false">IF(OR($C209="",$D209=0),"",$E209/$D209)</f>
        <v>30</v>
      </c>
      <c r="G209" s="104" t="s">
        <v>776</v>
      </c>
      <c r="H209" s="0" t="str">
        <f aca="false">IF($C209="","",IF(COUNTIF('مواد المخزون'!$A$2:$A$90,$C209)&gt;0,"نعم","لا (خارج الجرد)"))</f>
        <v>نعم</v>
      </c>
    </row>
    <row r="210" customFormat="false" ht="15" hidden="false" customHeight="false" outlineLevel="0" collapsed="false">
      <c r="A210" s="103" t="n">
        <v>46296</v>
      </c>
      <c r="B210" s="104" t="s">
        <v>34</v>
      </c>
      <c r="C210" s="104" t="s">
        <v>342</v>
      </c>
      <c r="D210" s="105" t="n">
        <v>300</v>
      </c>
      <c r="E210" s="105" t="n">
        <v>90</v>
      </c>
      <c r="F210" s="107" t="n">
        <f aca="false">IF(OR($C210="",$D210=0),"",$E210/$D210)</f>
        <v>0.3</v>
      </c>
      <c r="G210" s="104" t="s">
        <v>776</v>
      </c>
      <c r="H210" s="0" t="str">
        <f aca="false">IF($C210="","",IF(COUNTIF('مواد المخزون'!$A$2:$A$90,$C210)&gt;0,"نعم","لا (خارج الجرد)"))</f>
        <v>نعم</v>
      </c>
    </row>
    <row r="211" customFormat="false" ht="15" hidden="false" customHeight="false" outlineLevel="0" collapsed="false">
      <c r="A211" s="103" t="n">
        <v>46296</v>
      </c>
      <c r="B211" s="104" t="s">
        <v>34</v>
      </c>
      <c r="C211" s="104" t="s">
        <v>230</v>
      </c>
      <c r="D211" s="105" t="n">
        <v>3</v>
      </c>
      <c r="E211" s="105" t="n">
        <v>21.3</v>
      </c>
      <c r="F211" s="107" t="n">
        <f aca="false">IF(OR($C211="",$D211=0),"",$E211/$D211)</f>
        <v>7.1</v>
      </c>
      <c r="G211" s="104" t="s">
        <v>776</v>
      </c>
      <c r="H211" s="0" t="str">
        <f aca="false">IF($C211="","",IF(COUNTIF('مواد المخزون'!$A$2:$A$90,$C211)&gt;0,"نعم","لا (خارج الجرد)"))</f>
        <v>لا (خارج الجرد)</v>
      </c>
    </row>
    <row r="212" customFormat="false" ht="15" hidden="false" customHeight="false" outlineLevel="0" collapsed="false">
      <c r="A212" s="103" t="n">
        <v>46296</v>
      </c>
      <c r="B212" s="104" t="s">
        <v>34</v>
      </c>
      <c r="C212" s="104" t="s">
        <v>793</v>
      </c>
      <c r="D212" s="105" t="n">
        <v>0.5</v>
      </c>
      <c r="E212" s="105" t="n">
        <v>60</v>
      </c>
      <c r="F212" s="107" t="n">
        <f aca="false">IF(OR($C212="",$D212=0),"",$E212/$D212)</f>
        <v>120</v>
      </c>
      <c r="G212" s="104" t="s">
        <v>776</v>
      </c>
      <c r="H212" s="0" t="str">
        <f aca="false">IF($C212="","",IF(COUNTIF('مواد المخزون'!$A$2:$A$90,$C212)&gt;0,"نعم","لا (خارج الجرد)"))</f>
        <v>لا (خارج الجرد)</v>
      </c>
    </row>
    <row r="213" customFormat="false" ht="15" hidden="false" customHeight="false" outlineLevel="0" collapsed="false">
      <c r="A213" s="103" t="n">
        <v>46296</v>
      </c>
      <c r="B213" s="104" t="s">
        <v>34</v>
      </c>
      <c r="C213" s="104" t="s">
        <v>232</v>
      </c>
      <c r="D213" s="105" t="n">
        <v>2</v>
      </c>
      <c r="E213" s="105" t="n">
        <v>760</v>
      </c>
      <c r="F213" s="107" t="n">
        <f aca="false">IF(OR($C213="",$D213=0),"",$E213/$D213)</f>
        <v>380</v>
      </c>
      <c r="G213" s="104" t="s">
        <v>776</v>
      </c>
      <c r="H213" s="0" t="str">
        <f aca="false">IF($C213="","",IF(COUNTIF('مواد المخزون'!$A$2:$A$90,$C213)&gt;0,"نعم","لا (خارج الجرد)"))</f>
        <v>نعم</v>
      </c>
    </row>
    <row r="214" customFormat="false" ht="15" hidden="false" customHeight="false" outlineLevel="0" collapsed="false">
      <c r="A214" s="103" t="n">
        <v>46296</v>
      </c>
      <c r="B214" s="104" t="s">
        <v>34</v>
      </c>
      <c r="C214" s="104" t="s">
        <v>237</v>
      </c>
      <c r="D214" s="105" t="n">
        <v>1</v>
      </c>
      <c r="E214" s="105" t="n">
        <v>110</v>
      </c>
      <c r="F214" s="107" t="n">
        <f aca="false">IF(OR($C214="",$D214=0),"",$E214/$D214)</f>
        <v>110</v>
      </c>
      <c r="G214" s="104" t="s">
        <v>776</v>
      </c>
      <c r="H214" s="0" t="str">
        <f aca="false">IF($C214="","",IF(COUNTIF('مواد المخزون'!$A$2:$A$90,$C214)&gt;0,"نعم","لا (خارج الجرد)"))</f>
        <v>لا (خارج الجرد)</v>
      </c>
    </row>
    <row r="215" customFormat="false" ht="15" hidden="false" customHeight="false" outlineLevel="0" collapsed="false">
      <c r="A215" s="103" t="n">
        <v>46296</v>
      </c>
      <c r="B215" s="104" t="s">
        <v>34</v>
      </c>
      <c r="C215" s="104" t="s">
        <v>239</v>
      </c>
      <c r="D215" s="105" t="n">
        <v>1</v>
      </c>
      <c r="E215" s="105" t="n">
        <v>135</v>
      </c>
      <c r="F215" s="107" t="n">
        <f aca="false">IF(OR($C215="",$D215=0),"",$E215/$D215)</f>
        <v>135</v>
      </c>
      <c r="G215" s="104" t="s">
        <v>776</v>
      </c>
      <c r="H215" s="0" t="str">
        <f aca="false">IF($C215="","",IF(COUNTIF('مواد المخزون'!$A$2:$A$90,$C215)&gt;0,"نعم","لا (خارج الجرد)"))</f>
        <v>نعم</v>
      </c>
    </row>
    <row r="216" customFormat="false" ht="15" hidden="false" customHeight="false" outlineLevel="0" collapsed="false">
      <c r="A216" s="103" t="n">
        <v>46296</v>
      </c>
      <c r="B216" s="104" t="s">
        <v>34</v>
      </c>
      <c r="C216" s="104" t="s">
        <v>241</v>
      </c>
      <c r="D216" s="105" t="n">
        <v>0.1</v>
      </c>
      <c r="E216" s="105" t="n">
        <v>11</v>
      </c>
      <c r="F216" s="107" t="n">
        <f aca="false">IF(OR($C216="",$D216=0),"",$E216/$D216)</f>
        <v>110</v>
      </c>
      <c r="G216" s="104" t="s">
        <v>776</v>
      </c>
      <c r="H216" s="0" t="str">
        <f aca="false">IF($C216="","",IF(COUNTIF('مواد المخزون'!$A$2:$A$90,$C216)&gt;0,"نعم","لا (خارج الجرد)"))</f>
        <v>لا (خارج الجرد)</v>
      </c>
    </row>
    <row r="217" customFormat="false" ht="15" hidden="false" customHeight="false" outlineLevel="0" collapsed="false">
      <c r="A217" s="103" t="n">
        <v>46296</v>
      </c>
      <c r="B217" s="104" t="s">
        <v>34</v>
      </c>
      <c r="C217" s="104" t="s">
        <v>243</v>
      </c>
      <c r="D217" s="105" t="n">
        <v>4000</v>
      </c>
      <c r="E217" s="105" t="n">
        <v>1200</v>
      </c>
      <c r="F217" s="107" t="n">
        <f aca="false">IF(OR($C217="",$D217=0),"",$E217/$D217)</f>
        <v>0.3</v>
      </c>
      <c r="G217" s="104" t="s">
        <v>776</v>
      </c>
      <c r="H217" s="0" t="str">
        <f aca="false">IF($C217="","",IF(COUNTIF('مواد المخزون'!$A$2:$A$90,$C217)&gt;0,"نعم","لا (خارج الجرد)"))</f>
        <v>نعم</v>
      </c>
    </row>
    <row r="218" customFormat="false" ht="15" hidden="false" customHeight="false" outlineLevel="0" collapsed="false">
      <c r="A218" s="103" t="n">
        <v>46296</v>
      </c>
      <c r="B218" s="104" t="s">
        <v>34</v>
      </c>
      <c r="C218" s="104" t="s">
        <v>245</v>
      </c>
      <c r="D218" s="105" t="n">
        <v>25</v>
      </c>
      <c r="E218" s="105" t="n">
        <v>3250</v>
      </c>
      <c r="F218" s="107" t="n">
        <f aca="false">IF(OR($C218="",$D218=0),"",$E218/$D218)</f>
        <v>130</v>
      </c>
      <c r="G218" s="104" t="s">
        <v>776</v>
      </c>
      <c r="H218" s="0" t="str">
        <f aca="false">IF($C218="","",IF(COUNTIF('مواد المخزون'!$A$2:$A$90,$C218)&gt;0,"نعم","لا (خارج الجرد)"))</f>
        <v>نعم</v>
      </c>
    </row>
    <row r="219" customFormat="false" ht="15" hidden="false" customHeight="false" outlineLevel="0" collapsed="false">
      <c r="A219" s="103" t="n">
        <v>46296</v>
      </c>
      <c r="B219" s="104" t="s">
        <v>34</v>
      </c>
      <c r="C219" s="104" t="s">
        <v>247</v>
      </c>
      <c r="D219" s="105" t="n">
        <v>4</v>
      </c>
      <c r="E219" s="105" t="n">
        <v>400</v>
      </c>
      <c r="F219" s="107" t="n">
        <f aca="false">IF(OR($C219="",$D219=0),"",$E219/$D219)</f>
        <v>100</v>
      </c>
      <c r="G219" s="104" t="s">
        <v>776</v>
      </c>
      <c r="H219" s="0" t="str">
        <f aca="false">IF($C219="","",IF(COUNTIF('مواد المخزون'!$A$2:$A$90,$C219)&gt;0,"نعم","لا (خارج الجرد)"))</f>
        <v>نعم</v>
      </c>
    </row>
    <row r="220" customFormat="false" ht="15" hidden="false" customHeight="false" outlineLevel="0" collapsed="false">
      <c r="A220" s="103" t="n">
        <v>46296</v>
      </c>
      <c r="B220" s="104" t="s">
        <v>34</v>
      </c>
      <c r="C220" s="104" t="s">
        <v>248</v>
      </c>
      <c r="D220" s="105" t="n">
        <v>50</v>
      </c>
      <c r="E220" s="105" t="n">
        <v>600</v>
      </c>
      <c r="F220" s="107" t="n">
        <f aca="false">IF(OR($C220="",$D220=0),"",$E220/$D220)</f>
        <v>12</v>
      </c>
      <c r="G220" s="104" t="s">
        <v>776</v>
      </c>
      <c r="H220" s="0" t="str">
        <f aca="false">IF($C220="","",IF(COUNTIF('مواد المخزون'!$A$2:$A$90,$C220)&gt;0,"نعم","لا (خارج الجرد)"))</f>
        <v>لا (خارج الجرد)</v>
      </c>
    </row>
    <row r="221" customFormat="false" ht="15" hidden="false" customHeight="false" outlineLevel="0" collapsed="false">
      <c r="A221" s="103" t="n">
        <v>46296</v>
      </c>
      <c r="B221" s="104" t="s">
        <v>34</v>
      </c>
      <c r="C221" s="104" t="s">
        <v>250</v>
      </c>
      <c r="D221" s="105" t="n">
        <v>21</v>
      </c>
      <c r="E221" s="105" t="n">
        <v>672</v>
      </c>
      <c r="F221" s="107" t="n">
        <f aca="false">IF(OR($C221="",$D221=0),"",$E221/$D221)</f>
        <v>32</v>
      </c>
      <c r="G221" s="104" t="s">
        <v>776</v>
      </c>
      <c r="H221" s="0" t="str">
        <f aca="false">IF($C221="","",IF(COUNTIF('مواد المخزون'!$A$2:$A$90,$C221)&gt;0,"نعم","لا (خارج الجرد)"))</f>
        <v>نعم</v>
      </c>
    </row>
    <row r="222" customFormat="false" ht="15" hidden="false" customHeight="false" outlineLevel="0" collapsed="false">
      <c r="A222" s="103" t="n">
        <v>46296</v>
      </c>
      <c r="B222" s="104" t="s">
        <v>34</v>
      </c>
      <c r="C222" s="104" t="s">
        <v>252</v>
      </c>
      <c r="D222" s="105" t="n">
        <v>9</v>
      </c>
      <c r="E222" s="105" t="n">
        <v>630</v>
      </c>
      <c r="F222" s="107" t="n">
        <f aca="false">IF(OR($C222="",$D222=0),"",$E222/$D222)</f>
        <v>70</v>
      </c>
      <c r="G222" s="104" t="s">
        <v>776</v>
      </c>
      <c r="H222" s="0" t="str">
        <f aca="false">IF($C222="","",IF(COUNTIF('مواد المخزون'!$A$2:$A$90,$C222)&gt;0,"نعم","لا (خارج الجرد)"))</f>
        <v>نعم</v>
      </c>
    </row>
    <row r="223" customFormat="false" ht="15" hidden="false" customHeight="false" outlineLevel="0" collapsed="false">
      <c r="A223" s="103" t="n">
        <v>46296</v>
      </c>
      <c r="B223" s="104" t="s">
        <v>34</v>
      </c>
      <c r="C223" s="104" t="s">
        <v>254</v>
      </c>
      <c r="D223" s="105" t="n">
        <v>9</v>
      </c>
      <c r="E223" s="105" t="n">
        <v>1260</v>
      </c>
      <c r="F223" s="107" t="n">
        <f aca="false">IF(OR($C223="",$D223=0),"",$E223/$D223)</f>
        <v>140</v>
      </c>
      <c r="G223" s="104" t="s">
        <v>776</v>
      </c>
      <c r="H223" s="0" t="str">
        <f aca="false">IF($C223="","",IF(COUNTIF('مواد المخزون'!$A$2:$A$90,$C223)&gt;0,"نعم","لا (خارج الجرد)"))</f>
        <v>نعم</v>
      </c>
    </row>
    <row r="224" customFormat="false" ht="15" hidden="false" customHeight="false" outlineLevel="0" collapsed="false">
      <c r="A224" s="103" t="n">
        <v>46296</v>
      </c>
      <c r="B224" s="104" t="s">
        <v>34</v>
      </c>
      <c r="C224" s="104" t="s">
        <v>256</v>
      </c>
      <c r="D224" s="105" t="n">
        <v>15</v>
      </c>
      <c r="E224" s="105" t="n">
        <v>1575</v>
      </c>
      <c r="F224" s="107" t="n">
        <f aca="false">IF(OR($C224="",$D224=0),"",$E224/$D224)</f>
        <v>105</v>
      </c>
      <c r="G224" s="104" t="s">
        <v>776</v>
      </c>
      <c r="H224" s="0" t="str">
        <f aca="false">IF($C224="","",IF(COUNTIF('مواد المخزون'!$A$2:$A$90,$C224)&gt;0,"نعم","لا (خارج الجرد)"))</f>
        <v>نعم</v>
      </c>
    </row>
    <row r="225" customFormat="false" ht="15" hidden="false" customHeight="false" outlineLevel="0" collapsed="false">
      <c r="A225" s="103" t="n">
        <v>46296</v>
      </c>
      <c r="B225" s="104" t="s">
        <v>34</v>
      </c>
      <c r="C225" s="104" t="s">
        <v>258</v>
      </c>
      <c r="D225" s="105" t="n">
        <v>20</v>
      </c>
      <c r="E225" s="105" t="n">
        <v>2800</v>
      </c>
      <c r="F225" s="107" t="n">
        <f aca="false">IF(OR($C225="",$D225=0),"",$E225/$D225)</f>
        <v>140</v>
      </c>
      <c r="G225" s="104" t="s">
        <v>776</v>
      </c>
      <c r="H225" s="0" t="str">
        <f aca="false">IF($C225="","",IF(COUNTIF('مواد المخزون'!$A$2:$A$90,$C225)&gt;0,"نعم","لا (خارج الجرد)"))</f>
        <v>نعم</v>
      </c>
    </row>
    <row r="226" customFormat="false" ht="15" hidden="false" customHeight="false" outlineLevel="0" collapsed="false">
      <c r="A226" s="103" t="n">
        <v>46296</v>
      </c>
      <c r="B226" s="104" t="s">
        <v>34</v>
      </c>
      <c r="C226" s="104" t="s">
        <v>260</v>
      </c>
      <c r="D226" s="105" t="n">
        <v>133</v>
      </c>
      <c r="E226" s="105" t="n">
        <v>2793</v>
      </c>
      <c r="F226" s="107" t="n">
        <f aca="false">IF(OR($C226="",$D226=0),"",$E226/$D226)</f>
        <v>21</v>
      </c>
      <c r="G226" s="104" t="s">
        <v>776</v>
      </c>
      <c r="H226" s="0" t="str">
        <f aca="false">IF($C226="","",IF(COUNTIF('مواد المخزون'!$A$2:$A$90,$C226)&gt;0,"نعم","لا (خارج الجرد)"))</f>
        <v>نعم</v>
      </c>
    </row>
    <row r="227" customFormat="false" ht="15" hidden="false" customHeight="false" outlineLevel="0" collapsed="false">
      <c r="A227" s="103" t="n">
        <v>46296</v>
      </c>
      <c r="B227" s="104" t="s">
        <v>34</v>
      </c>
      <c r="C227" s="104" t="s">
        <v>262</v>
      </c>
      <c r="D227" s="105" t="n">
        <v>159.5</v>
      </c>
      <c r="E227" s="105" t="n">
        <v>3509</v>
      </c>
      <c r="F227" s="107" t="n">
        <f aca="false">IF(OR($C227="",$D227=0),"",$E227/$D227)</f>
        <v>22</v>
      </c>
      <c r="G227" s="104" t="s">
        <v>776</v>
      </c>
      <c r="H227" s="0" t="str">
        <f aca="false">IF($C227="","",IF(COUNTIF('مواد المخزون'!$A$2:$A$90,$C227)&gt;0,"نعم","لا (خارج الجرد)"))</f>
        <v>نعم</v>
      </c>
    </row>
    <row r="228" customFormat="false" ht="15" hidden="false" customHeight="false" outlineLevel="0" collapsed="false">
      <c r="A228" s="103" t="n">
        <v>46296</v>
      </c>
      <c r="B228" s="104" t="s">
        <v>34</v>
      </c>
      <c r="C228" s="104" t="s">
        <v>264</v>
      </c>
      <c r="D228" s="105" t="n">
        <v>1943</v>
      </c>
      <c r="E228" s="105" t="n">
        <v>7772</v>
      </c>
      <c r="F228" s="107" t="n">
        <f aca="false">IF(OR($C228="",$D228=0),"",$E228/$D228)</f>
        <v>4</v>
      </c>
      <c r="G228" s="104" t="s">
        <v>776</v>
      </c>
      <c r="H228" s="0" t="str">
        <f aca="false">IF($C228="","",IF(COUNTIF('مواد المخزون'!$A$2:$A$90,$C228)&gt;0,"نعم","لا (خارج الجرد)"))</f>
        <v>نعم</v>
      </c>
    </row>
    <row r="229" customFormat="false" ht="15" hidden="false" customHeight="false" outlineLevel="0" collapsed="false">
      <c r="A229" s="103" t="n">
        <v>46296</v>
      </c>
      <c r="B229" s="104" t="s">
        <v>34</v>
      </c>
      <c r="C229" s="104" t="s">
        <v>266</v>
      </c>
      <c r="D229" s="105" t="n">
        <v>1</v>
      </c>
      <c r="E229" s="105" t="n">
        <v>140</v>
      </c>
      <c r="F229" s="107" t="n">
        <f aca="false">IF(OR($C229="",$D229=0),"",$E229/$D229)</f>
        <v>140</v>
      </c>
      <c r="G229" s="104" t="s">
        <v>776</v>
      </c>
      <c r="H229" s="0" t="str">
        <f aca="false">IF($C229="","",IF(COUNTIF('مواد المخزون'!$A$2:$A$90,$C229)&gt;0,"نعم","لا (خارج الجرد)"))</f>
        <v>نعم</v>
      </c>
    </row>
    <row r="230" customFormat="false" ht="15" hidden="false" customHeight="false" outlineLevel="0" collapsed="false">
      <c r="A230" s="103" t="n">
        <v>46296</v>
      </c>
      <c r="B230" s="104" t="s">
        <v>34</v>
      </c>
      <c r="C230" s="104" t="s">
        <v>794</v>
      </c>
      <c r="D230" s="105" t="n">
        <v>2</v>
      </c>
      <c r="E230" s="105" t="n">
        <v>40</v>
      </c>
      <c r="F230" s="107" t="n">
        <f aca="false">IF(OR($C230="",$D230=0),"",$E230/$D230)</f>
        <v>20</v>
      </c>
      <c r="G230" s="104" t="s">
        <v>776</v>
      </c>
      <c r="H230" s="0" t="str">
        <f aca="false">IF($C230="","",IF(COUNTIF('مواد المخزون'!$A$2:$A$90,$C230)&gt;0,"نعم","لا (خارج الجرد)"))</f>
        <v>لا (خارج الجرد)</v>
      </c>
    </row>
    <row r="231" customFormat="false" ht="15" hidden="false" customHeight="false" outlineLevel="0" collapsed="false">
      <c r="A231" s="103" t="n">
        <v>46296</v>
      </c>
      <c r="B231" s="104" t="s">
        <v>34</v>
      </c>
      <c r="C231" s="104" t="s">
        <v>274</v>
      </c>
      <c r="D231" s="105" t="n">
        <v>50</v>
      </c>
      <c r="E231" s="105" t="n">
        <v>85</v>
      </c>
      <c r="F231" s="107" t="n">
        <f aca="false">IF(OR($C231="",$D231=0),"",$E231/$D231)</f>
        <v>1.7</v>
      </c>
      <c r="G231" s="104" t="s">
        <v>776</v>
      </c>
      <c r="H231" s="0" t="str">
        <f aca="false">IF($C231="","",IF(COUNTIF('مواد المخزون'!$A$2:$A$90,$C231)&gt;0,"نعم","لا (خارج الجرد)"))</f>
        <v>نعم</v>
      </c>
    </row>
    <row r="232" customFormat="false" ht="15" hidden="false" customHeight="false" outlineLevel="0" collapsed="false">
      <c r="A232" s="103" t="n">
        <v>46296</v>
      </c>
      <c r="B232" s="104" t="s">
        <v>34</v>
      </c>
      <c r="C232" s="104" t="s">
        <v>278</v>
      </c>
      <c r="D232" s="105" t="n">
        <v>50</v>
      </c>
      <c r="E232" s="105" t="n">
        <v>155</v>
      </c>
      <c r="F232" s="107" t="n">
        <f aca="false">IF(OR($C232="",$D232=0),"",$E232/$D232)</f>
        <v>3.1</v>
      </c>
      <c r="G232" s="104" t="s">
        <v>776</v>
      </c>
      <c r="H232" s="0" t="str">
        <f aca="false">IF($C232="","",IF(COUNTIF('مواد المخزون'!$A$2:$A$90,$C232)&gt;0,"نعم","لا (خارج الجرد)"))</f>
        <v>نعم</v>
      </c>
    </row>
    <row r="233" customFormat="false" ht="15" hidden="false" customHeight="false" outlineLevel="0" collapsed="false">
      <c r="A233" s="103" t="n">
        <v>46296</v>
      </c>
      <c r="B233" s="104" t="s">
        <v>34</v>
      </c>
      <c r="C233" s="104" t="s">
        <v>781</v>
      </c>
      <c r="D233" s="105" t="n">
        <v>0.75</v>
      </c>
      <c r="E233" s="105" t="n">
        <v>300</v>
      </c>
      <c r="F233" s="107" t="n">
        <f aca="false">IF(OR($C233="",$D233=0),"",$E233/$D233)</f>
        <v>400</v>
      </c>
      <c r="G233" s="104" t="s">
        <v>776</v>
      </c>
      <c r="H233" s="0" t="str">
        <f aca="false">IF($C233="","",IF(COUNTIF('مواد المخزون'!$A$2:$A$90,$C233)&gt;0,"نعم","لا (خارج الجرد)"))</f>
        <v>لا (خارج الجرد)</v>
      </c>
    </row>
    <row r="234" customFormat="false" ht="15" hidden="false" customHeight="false" outlineLevel="0" collapsed="false">
      <c r="A234" s="103" t="n">
        <v>46296</v>
      </c>
      <c r="B234" s="104" t="s">
        <v>34</v>
      </c>
      <c r="C234" s="104" t="s">
        <v>284</v>
      </c>
      <c r="D234" s="105" t="n">
        <v>74.5</v>
      </c>
      <c r="E234" s="105" t="n">
        <v>2011.5</v>
      </c>
      <c r="F234" s="107" t="n">
        <f aca="false">IF(OR($C234="",$D234=0),"",$E234/$D234)</f>
        <v>27</v>
      </c>
      <c r="G234" s="104" t="s">
        <v>776</v>
      </c>
      <c r="H234" s="0" t="str">
        <f aca="false">IF($C234="","",IF(COUNTIF('مواد المخزون'!$A$2:$A$90,$C234)&gt;0,"نعم","لا (خارج الجرد)"))</f>
        <v>نعم</v>
      </c>
    </row>
    <row r="235" customFormat="false" ht="15" hidden="false" customHeight="false" outlineLevel="0" collapsed="false">
      <c r="A235" s="103" t="n">
        <v>46296</v>
      </c>
      <c r="B235" s="104" t="s">
        <v>34</v>
      </c>
      <c r="C235" s="104" t="s">
        <v>288</v>
      </c>
      <c r="D235" s="105" t="n">
        <v>576</v>
      </c>
      <c r="E235" s="105" t="n">
        <v>4032</v>
      </c>
      <c r="F235" s="107" t="n">
        <f aca="false">IF(OR($C235="",$D235=0),"",$E235/$D235)</f>
        <v>7</v>
      </c>
      <c r="G235" s="104" t="s">
        <v>776</v>
      </c>
      <c r="H235" s="0" t="str">
        <f aca="false">IF($C235="","",IF(COUNTIF('مواد المخزون'!$A$2:$A$90,$C235)&gt;0,"نعم","لا (خارج الجرد)"))</f>
        <v>نعم</v>
      </c>
    </row>
    <row r="236" customFormat="false" ht="15" hidden="false" customHeight="false" outlineLevel="0" collapsed="false">
      <c r="A236" s="103" t="n">
        <v>46296</v>
      </c>
      <c r="B236" s="104" t="s">
        <v>34</v>
      </c>
      <c r="C236" s="104" t="s">
        <v>290</v>
      </c>
      <c r="D236" s="105" t="n">
        <v>4000</v>
      </c>
      <c r="E236" s="105" t="n">
        <v>1200</v>
      </c>
      <c r="F236" s="107" t="n">
        <f aca="false">IF(OR($C236="",$D236=0),"",$E236/$D236)</f>
        <v>0.3</v>
      </c>
      <c r="G236" s="104" t="s">
        <v>776</v>
      </c>
      <c r="H236" s="0" t="str">
        <f aca="false">IF($C236="","",IF(COUNTIF('مواد المخزون'!$A$2:$A$90,$C236)&gt;0,"نعم","لا (خارج الجرد)"))</f>
        <v>نعم</v>
      </c>
    </row>
    <row r="237" customFormat="false" ht="15" hidden="false" customHeight="false" outlineLevel="0" collapsed="false">
      <c r="A237" s="103" t="n">
        <v>46296</v>
      </c>
      <c r="B237" s="104" t="s">
        <v>34</v>
      </c>
      <c r="C237" s="104" t="s">
        <v>291</v>
      </c>
      <c r="D237" s="105" t="n">
        <v>7.2</v>
      </c>
      <c r="E237" s="105" t="n">
        <v>648</v>
      </c>
      <c r="F237" s="107" t="n">
        <f aca="false">IF(OR($C237="",$D237=0),"",$E237/$D237)</f>
        <v>90</v>
      </c>
      <c r="G237" s="104" t="s">
        <v>776</v>
      </c>
      <c r="H237" s="0" t="str">
        <f aca="false">IF($C237="","",IF(COUNTIF('مواد المخزون'!$A$2:$A$90,$C237)&gt;0,"نعم","لا (خارج الجرد)"))</f>
        <v>نعم</v>
      </c>
    </row>
    <row r="238" customFormat="false" ht="15" hidden="false" customHeight="false" outlineLevel="0" collapsed="false">
      <c r="A238" s="103" t="n">
        <v>46296</v>
      </c>
      <c r="B238" s="104" t="s">
        <v>34</v>
      </c>
      <c r="C238" s="104" t="s">
        <v>293</v>
      </c>
      <c r="D238" s="105" t="n">
        <v>3300</v>
      </c>
      <c r="E238" s="105" t="n">
        <v>1650</v>
      </c>
      <c r="F238" s="107" t="n">
        <f aca="false">IF(OR($C238="",$D238=0),"",$E238/$D238)</f>
        <v>0.5</v>
      </c>
      <c r="G238" s="104" t="s">
        <v>776</v>
      </c>
      <c r="H238" s="0" t="str">
        <f aca="false">IF($C238="","",IF(COUNTIF('مواد المخزون'!$A$2:$A$90,$C238)&gt;0,"نعم","لا (خارج الجرد)"))</f>
        <v>نعم</v>
      </c>
    </row>
    <row r="239" customFormat="false" ht="15" hidden="false" customHeight="false" outlineLevel="0" collapsed="false">
      <c r="A239" s="103" t="n">
        <v>46296</v>
      </c>
      <c r="B239" s="104" t="s">
        <v>34</v>
      </c>
      <c r="C239" s="104" t="s">
        <v>297</v>
      </c>
      <c r="D239" s="105" t="n">
        <v>400</v>
      </c>
      <c r="E239" s="105" t="n">
        <v>800</v>
      </c>
      <c r="F239" s="107" t="n">
        <f aca="false">IF(OR($C239="",$D239=0),"",$E239/$D239)</f>
        <v>2</v>
      </c>
      <c r="G239" s="104" t="s">
        <v>776</v>
      </c>
      <c r="H239" s="0" t="str">
        <f aca="false">IF($C239="","",IF(COUNTIF('مواد المخزون'!$A$2:$A$90,$C239)&gt;0,"نعم","لا (خارج الجرد)"))</f>
        <v>نعم</v>
      </c>
    </row>
    <row r="240" customFormat="false" ht="15" hidden="false" customHeight="false" outlineLevel="0" collapsed="false">
      <c r="A240" s="103" t="n">
        <v>46296</v>
      </c>
      <c r="B240" s="104" t="s">
        <v>34</v>
      </c>
      <c r="C240" s="104" t="s">
        <v>782</v>
      </c>
      <c r="D240" s="105" t="n">
        <v>20</v>
      </c>
      <c r="E240" s="105" t="n">
        <v>160</v>
      </c>
      <c r="F240" s="107" t="n">
        <f aca="false">IF(OR($C240="",$D240=0),"",$E240/$D240)</f>
        <v>8</v>
      </c>
      <c r="G240" s="104" t="s">
        <v>776</v>
      </c>
      <c r="H240" s="0" t="str">
        <f aca="false">IF($C240="","",IF(COUNTIF('مواد المخزون'!$A$2:$A$90,$C240)&gt;0,"نعم","لا (خارج الجرد)"))</f>
        <v>لا (خارج الجرد)</v>
      </c>
    </row>
    <row r="241" customFormat="false" ht="15" hidden="false" customHeight="false" outlineLevel="0" collapsed="false">
      <c r="A241" s="103" t="n">
        <v>46296</v>
      </c>
      <c r="B241" s="104" t="s">
        <v>34</v>
      </c>
      <c r="C241" s="104" t="s">
        <v>298</v>
      </c>
      <c r="D241" s="105" t="n">
        <v>100</v>
      </c>
      <c r="E241" s="105" t="n">
        <v>2000</v>
      </c>
      <c r="F241" s="107" t="n">
        <f aca="false">IF(OR($C241="",$D241=0),"",$E241/$D241)</f>
        <v>20</v>
      </c>
      <c r="G241" s="104" t="s">
        <v>776</v>
      </c>
      <c r="H241" s="0" t="str">
        <f aca="false">IF($C241="","",IF(COUNTIF('مواد المخزون'!$A$2:$A$90,$C241)&gt;0,"نعم","لا (خارج الجرد)"))</f>
        <v>نعم</v>
      </c>
    </row>
    <row r="242" customFormat="false" ht="15" hidden="false" customHeight="false" outlineLevel="0" collapsed="false">
      <c r="A242" s="103" t="n">
        <v>46296</v>
      </c>
      <c r="B242" s="104" t="s">
        <v>34</v>
      </c>
      <c r="C242" s="104" t="s">
        <v>302</v>
      </c>
      <c r="D242" s="105" t="n">
        <v>1</v>
      </c>
      <c r="E242" s="105" t="n">
        <v>135</v>
      </c>
      <c r="F242" s="107" t="n">
        <f aca="false">IF(OR($C242="",$D242=0),"",$E242/$D242)</f>
        <v>135</v>
      </c>
      <c r="G242" s="104" t="s">
        <v>776</v>
      </c>
      <c r="H242" s="0" t="str">
        <f aca="false">IF($C242="","",IF(COUNTIF('مواد المخزون'!$A$2:$A$90,$C242)&gt;0,"نعم","لا (خارج الجرد)"))</f>
        <v>نعم</v>
      </c>
    </row>
    <row r="243" customFormat="false" ht="15" hidden="false" customHeight="false" outlineLevel="0" collapsed="false">
      <c r="A243" s="103" t="n">
        <v>46296</v>
      </c>
      <c r="B243" s="104" t="s">
        <v>34</v>
      </c>
      <c r="C243" s="104" t="s">
        <v>303</v>
      </c>
      <c r="D243" s="105" t="n">
        <v>3</v>
      </c>
      <c r="E243" s="105" t="n">
        <v>16.5</v>
      </c>
      <c r="F243" s="107" t="n">
        <f aca="false">IF(OR($C243="",$D243=0),"",$E243/$D243)</f>
        <v>5.5</v>
      </c>
      <c r="G243" s="104" t="s">
        <v>776</v>
      </c>
      <c r="H243" s="0" t="str">
        <f aca="false">IF($C243="","",IF(COUNTIF('مواد المخزون'!$A$2:$A$90,$C243)&gt;0,"نعم","لا (خارج الجرد)"))</f>
        <v>لا (خارج الجرد)</v>
      </c>
    </row>
    <row r="244" customFormat="false" ht="15" hidden="false" customHeight="false" outlineLevel="0" collapsed="false">
      <c r="A244" s="103" t="n">
        <v>46296</v>
      </c>
      <c r="B244" s="104" t="s">
        <v>34</v>
      </c>
      <c r="C244" s="104" t="s">
        <v>791</v>
      </c>
      <c r="D244" s="105" t="n">
        <v>5</v>
      </c>
      <c r="E244" s="105" t="n">
        <v>200</v>
      </c>
      <c r="F244" s="107" t="n">
        <f aca="false">IF(OR($C244="",$D244=0),"",$E244/$D244)</f>
        <v>40</v>
      </c>
      <c r="G244" s="104" t="s">
        <v>776</v>
      </c>
      <c r="H244" s="0" t="str">
        <f aca="false">IF($C244="","",IF(COUNTIF('مواد المخزون'!$A$2:$A$90,$C244)&gt;0,"نعم","لا (خارج الجرد)"))</f>
        <v>لا (خارج الجرد)</v>
      </c>
    </row>
    <row r="245" customFormat="false" ht="15" hidden="false" customHeight="false" outlineLevel="0" collapsed="false">
      <c r="A245" s="103" t="n">
        <v>46296</v>
      </c>
      <c r="B245" s="104" t="s">
        <v>34</v>
      </c>
      <c r="C245" s="104" t="s">
        <v>795</v>
      </c>
      <c r="D245" s="105" t="n">
        <v>0.25</v>
      </c>
      <c r="E245" s="105" t="n">
        <v>42.88</v>
      </c>
      <c r="F245" s="107" t="n">
        <f aca="false">IF(OR($C245="",$D245=0),"",$E245/$D245)</f>
        <v>171.52</v>
      </c>
      <c r="G245" s="104" t="s">
        <v>776</v>
      </c>
      <c r="H245" s="0" t="str">
        <f aca="false">IF($C245="","",IF(COUNTIF('مواد المخزون'!$A$2:$A$90,$C245)&gt;0,"نعم","لا (خارج الجرد)"))</f>
        <v>لا (خارج الجرد)</v>
      </c>
    </row>
    <row r="246" customFormat="false" ht="15" hidden="false" customHeight="false" outlineLevel="0" collapsed="false">
      <c r="A246" s="103" t="n">
        <v>46296</v>
      </c>
      <c r="B246" s="104" t="s">
        <v>34</v>
      </c>
      <c r="C246" s="104" t="s">
        <v>305</v>
      </c>
      <c r="D246" s="105" t="n">
        <v>1</v>
      </c>
      <c r="E246" s="105" t="n">
        <v>25</v>
      </c>
      <c r="F246" s="107" t="n">
        <f aca="false">IF(OR($C246="",$D246=0),"",$E246/$D246)</f>
        <v>25</v>
      </c>
      <c r="G246" s="104" t="s">
        <v>776</v>
      </c>
      <c r="H246" s="0" t="str">
        <f aca="false">IF($C246="","",IF(COUNTIF('مواد المخزون'!$A$2:$A$90,$C246)&gt;0,"نعم","لا (خارج الجرد)"))</f>
        <v>لا (خارج الجرد)</v>
      </c>
    </row>
    <row r="247" customFormat="false" ht="15" hidden="false" customHeight="false" outlineLevel="0" collapsed="false">
      <c r="A247" s="103" t="n">
        <v>46296</v>
      </c>
      <c r="B247" s="104" t="s">
        <v>34</v>
      </c>
      <c r="C247" s="104" t="s">
        <v>307</v>
      </c>
      <c r="D247" s="105" t="n">
        <v>3.82</v>
      </c>
      <c r="E247" s="105" t="n">
        <v>380</v>
      </c>
      <c r="F247" s="107" t="n">
        <f aca="false">IF(OR($C247="",$D247=0),"",$E247/$D247)</f>
        <v>99.4764397905759</v>
      </c>
      <c r="G247" s="104" t="s">
        <v>776</v>
      </c>
      <c r="H247" s="0" t="str">
        <f aca="false">IF($C247="","",IF(COUNTIF('مواد المخزون'!$A$2:$A$90,$C247)&gt;0,"نعم","لا (خارج الجرد)"))</f>
        <v>نعم</v>
      </c>
    </row>
    <row r="248" customFormat="false" ht="15" hidden="false" customHeight="false" outlineLevel="0" collapsed="false">
      <c r="A248" s="103" t="n">
        <v>46296</v>
      </c>
      <c r="B248" s="104" t="s">
        <v>34</v>
      </c>
      <c r="C248" s="104" t="s">
        <v>783</v>
      </c>
      <c r="D248" s="105" t="n">
        <v>5</v>
      </c>
      <c r="E248" s="105" t="n">
        <v>60</v>
      </c>
      <c r="F248" s="107" t="n">
        <f aca="false">IF(OR($C248="",$D248=0),"",$E248/$D248)</f>
        <v>12</v>
      </c>
      <c r="G248" s="104" t="s">
        <v>776</v>
      </c>
      <c r="H248" s="0" t="str">
        <f aca="false">IF($C248="","",IF(COUNTIF('مواد المخزون'!$A$2:$A$90,$C248)&gt;0,"نعم","لا (خارج الجرد)"))</f>
        <v>لا (خارج الجرد)</v>
      </c>
    </row>
    <row r="249" customFormat="false" ht="15" hidden="false" customHeight="false" outlineLevel="0" collapsed="false">
      <c r="A249" s="103" t="n">
        <v>46296</v>
      </c>
      <c r="B249" s="104" t="s">
        <v>34</v>
      </c>
      <c r="C249" s="104" t="s">
        <v>309</v>
      </c>
      <c r="D249" s="105" t="n">
        <v>10</v>
      </c>
      <c r="E249" s="105" t="n">
        <v>240</v>
      </c>
      <c r="F249" s="107" t="n">
        <f aca="false">IF(OR($C249="",$D249=0),"",$E249/$D249)</f>
        <v>24</v>
      </c>
      <c r="G249" s="104" t="s">
        <v>776</v>
      </c>
      <c r="H249" s="0" t="str">
        <f aca="false">IF($C249="","",IF(COUNTIF('مواد المخزون'!$A$2:$A$90,$C249)&gt;0,"نعم","لا (خارج الجرد)"))</f>
        <v>نعم</v>
      </c>
    </row>
    <row r="250" customFormat="false" ht="15" hidden="false" customHeight="false" outlineLevel="0" collapsed="false">
      <c r="A250" s="103"/>
      <c r="B250" s="104"/>
      <c r="C250" s="104"/>
      <c r="F250" s="107" t="str">
        <f aca="false">IF(OR($C250="",$D250=0),"",$E250/$D250)</f>
        <v/>
      </c>
      <c r="H250" s="0" t="str">
        <f aca="false">IF($C250="","",IF(COUNTIF('مواد المخزون'!$A$2:$A$90,$C250)&gt;0,"نعم","لا (خارج الجرد)"))</f>
        <v/>
      </c>
    </row>
    <row r="251" customFormat="false" ht="15" hidden="false" customHeight="false" outlineLevel="0" collapsed="false">
      <c r="A251" s="103"/>
      <c r="B251" s="104"/>
      <c r="C251" s="104"/>
      <c r="F251" s="107" t="str">
        <f aca="false">IF(OR($C251="",$D251=0),"",$E251/$D251)</f>
        <v/>
      </c>
      <c r="H251" s="0" t="str">
        <f aca="false">IF($C251="","",IF(COUNTIF('مواد المخزون'!$A$2:$A$90,$C251)&gt;0,"نعم","لا (خارج الجرد)"))</f>
        <v/>
      </c>
    </row>
    <row r="252" customFormat="false" ht="15" hidden="false" customHeight="false" outlineLevel="0" collapsed="false">
      <c r="A252" s="103"/>
      <c r="B252" s="104"/>
      <c r="C252" s="104"/>
      <c r="F252" s="107" t="str">
        <f aca="false">IF(OR($C252="",$D252=0),"",$E252/$D252)</f>
        <v/>
      </c>
      <c r="H252" s="0" t="str">
        <f aca="false">IF($C252="","",IF(COUNTIF('مواد المخزون'!$A$2:$A$90,$C252)&gt;0,"نعم","لا (خارج الجرد)"))</f>
        <v/>
      </c>
    </row>
    <row r="253" customFormat="false" ht="15" hidden="false" customHeight="false" outlineLevel="0" collapsed="false">
      <c r="A253" s="103"/>
      <c r="B253" s="104"/>
      <c r="C253" s="104"/>
      <c r="F253" s="107" t="str">
        <f aca="false">IF(OR($C253="",$D253=0),"",$E253/$D253)</f>
        <v/>
      </c>
      <c r="H253" s="0" t="str">
        <f aca="false">IF($C253="","",IF(COUNTIF('مواد المخزون'!$A$2:$A$90,$C253)&gt;0,"نعم","لا (خارج الجرد)"))</f>
        <v/>
      </c>
    </row>
    <row r="254" customFormat="false" ht="15" hidden="false" customHeight="false" outlineLevel="0" collapsed="false">
      <c r="A254" s="103"/>
      <c r="B254" s="104"/>
      <c r="C254" s="104"/>
      <c r="F254" s="107" t="str">
        <f aca="false">IF(OR($C254="",$D254=0),"",$E254/$D254)</f>
        <v/>
      </c>
      <c r="H254" s="0" t="str">
        <f aca="false">IF($C254="","",IF(COUNTIF('مواد المخزون'!$A$2:$A$90,$C254)&gt;0,"نعم","لا (خارج الجرد)"))</f>
        <v/>
      </c>
    </row>
    <row r="255" customFormat="false" ht="15" hidden="false" customHeight="false" outlineLevel="0" collapsed="false">
      <c r="A255" s="103"/>
      <c r="B255" s="104"/>
      <c r="C255" s="104"/>
      <c r="F255" s="107" t="str">
        <f aca="false">IF(OR($C255="",$D255=0),"",$E255/$D255)</f>
        <v/>
      </c>
      <c r="H255" s="0" t="str">
        <f aca="false">IF($C255="","",IF(COUNTIF('مواد المخزون'!$A$2:$A$90,$C255)&gt;0,"نعم","لا (خارج الجرد)"))</f>
        <v/>
      </c>
    </row>
    <row r="256" customFormat="false" ht="15" hidden="false" customHeight="false" outlineLevel="0" collapsed="false">
      <c r="A256" s="103"/>
      <c r="B256" s="104"/>
      <c r="C256" s="104"/>
      <c r="F256" s="107" t="str">
        <f aca="false">IF(OR($C256="",$D256=0),"",$E256/$D256)</f>
        <v/>
      </c>
      <c r="H256" s="0" t="str">
        <f aca="false">IF($C256="","",IF(COUNTIF('مواد المخزون'!$A$2:$A$90,$C256)&gt;0,"نعم","لا (خارج الجرد)"))</f>
        <v/>
      </c>
    </row>
    <row r="257" customFormat="false" ht="15" hidden="false" customHeight="false" outlineLevel="0" collapsed="false">
      <c r="A257" s="103"/>
      <c r="B257" s="104"/>
      <c r="C257" s="104"/>
      <c r="F257" s="107" t="str">
        <f aca="false">IF(OR($C257="",$D257=0),"",$E257/$D257)</f>
        <v/>
      </c>
      <c r="H257" s="0" t="str">
        <f aca="false">IF($C257="","",IF(COUNTIF('مواد المخزون'!$A$2:$A$90,$C257)&gt;0,"نعم","لا (خارج الجرد)"))</f>
        <v/>
      </c>
    </row>
    <row r="258" customFormat="false" ht="15" hidden="false" customHeight="false" outlineLevel="0" collapsed="false">
      <c r="A258" s="103"/>
      <c r="B258" s="104"/>
      <c r="C258" s="104"/>
      <c r="F258" s="107" t="str">
        <f aca="false">IF(OR($C258="",$D258=0),"",$E258/$D258)</f>
        <v/>
      </c>
      <c r="H258" s="0" t="str">
        <f aca="false">IF($C258="","",IF(COUNTIF('مواد المخزون'!$A$2:$A$90,$C258)&gt;0,"نعم","لا (خارج الجرد)"))</f>
        <v/>
      </c>
    </row>
    <row r="259" customFormat="false" ht="15" hidden="false" customHeight="false" outlineLevel="0" collapsed="false">
      <c r="A259" s="103"/>
      <c r="B259" s="104"/>
      <c r="C259" s="104"/>
      <c r="F259" s="107" t="str">
        <f aca="false">IF(OR($C259="",$D259=0),"",$E259/$D259)</f>
        <v/>
      </c>
      <c r="H259" s="0" t="str">
        <f aca="false">IF($C259="","",IF(COUNTIF('مواد المخزون'!$A$2:$A$90,$C259)&gt;0,"نعم","لا (خارج الجرد)"))</f>
        <v/>
      </c>
    </row>
    <row r="260" customFormat="false" ht="15" hidden="false" customHeight="false" outlineLevel="0" collapsed="false">
      <c r="A260" s="103"/>
      <c r="B260" s="104"/>
      <c r="C260" s="104"/>
      <c r="F260" s="107" t="str">
        <f aca="false">IF(OR($C260="",$D260=0),"",$E260/$D260)</f>
        <v/>
      </c>
      <c r="H260" s="0" t="str">
        <f aca="false">IF($C260="","",IF(COUNTIF('مواد المخزون'!$A$2:$A$90,$C260)&gt;0,"نعم","لا (خارج الجرد)"))</f>
        <v/>
      </c>
    </row>
    <row r="261" customFormat="false" ht="15" hidden="false" customHeight="false" outlineLevel="0" collapsed="false">
      <c r="A261" s="103"/>
      <c r="B261" s="104"/>
      <c r="C261" s="104"/>
      <c r="F261" s="107" t="str">
        <f aca="false">IF(OR($C261="",$D261=0),"",$E261/$D261)</f>
        <v/>
      </c>
      <c r="H261" s="0" t="str">
        <f aca="false">IF($C261="","",IF(COUNTIF('مواد المخزون'!$A$2:$A$90,$C261)&gt;0,"نعم","لا (خارج الجرد)"))</f>
        <v/>
      </c>
    </row>
    <row r="262" customFormat="false" ht="15" hidden="false" customHeight="false" outlineLevel="0" collapsed="false">
      <c r="A262" s="103"/>
      <c r="B262" s="104"/>
      <c r="C262" s="104"/>
      <c r="F262" s="107" t="str">
        <f aca="false">IF(OR($C262="",$D262=0),"",$E262/$D262)</f>
        <v/>
      </c>
      <c r="H262" s="0" t="str">
        <f aca="false">IF($C262="","",IF(COUNTIF('مواد المخزون'!$A$2:$A$90,$C262)&gt;0,"نعم","لا (خارج الجرد)"))</f>
        <v/>
      </c>
    </row>
    <row r="263" customFormat="false" ht="15" hidden="false" customHeight="false" outlineLevel="0" collapsed="false">
      <c r="A263" s="103"/>
      <c r="B263" s="104"/>
      <c r="C263" s="104"/>
      <c r="F263" s="107" t="str">
        <f aca="false">IF(OR($C263="",$D263=0),"",$E263/$D263)</f>
        <v/>
      </c>
      <c r="H263" s="0" t="str">
        <f aca="false">IF($C263="","",IF(COUNTIF('مواد المخزون'!$A$2:$A$90,$C263)&gt;0,"نعم","لا (خارج الجرد)"))</f>
        <v/>
      </c>
    </row>
    <row r="264" customFormat="false" ht="15" hidden="false" customHeight="false" outlineLevel="0" collapsed="false">
      <c r="A264" s="103"/>
      <c r="B264" s="104"/>
      <c r="C264" s="104"/>
      <c r="F264" s="107" t="str">
        <f aca="false">IF(OR($C264="",$D264=0),"",$E264/$D264)</f>
        <v/>
      </c>
      <c r="H264" s="0" t="str">
        <f aca="false">IF($C264="","",IF(COUNTIF('مواد المخزون'!$A$2:$A$90,$C264)&gt;0,"نعم","لا (خارج الجرد)"))</f>
        <v/>
      </c>
    </row>
    <row r="265" customFormat="false" ht="15" hidden="false" customHeight="false" outlineLevel="0" collapsed="false">
      <c r="A265" s="103"/>
      <c r="B265" s="104"/>
      <c r="C265" s="104"/>
      <c r="F265" s="107" t="str">
        <f aca="false">IF(OR($C265="",$D265=0),"",$E265/$D265)</f>
        <v/>
      </c>
      <c r="H265" s="0" t="str">
        <f aca="false">IF($C265="","",IF(COUNTIF('مواد المخزون'!$A$2:$A$90,$C265)&gt;0,"نعم","لا (خارج الجرد)"))</f>
        <v/>
      </c>
    </row>
    <row r="266" customFormat="false" ht="15" hidden="false" customHeight="false" outlineLevel="0" collapsed="false">
      <c r="A266" s="103"/>
      <c r="B266" s="104"/>
      <c r="C266" s="104"/>
      <c r="F266" s="107" t="str">
        <f aca="false">IF(OR($C266="",$D266=0),"",$E266/$D266)</f>
        <v/>
      </c>
      <c r="H266" s="0" t="str">
        <f aca="false">IF($C266="","",IF(COUNTIF('مواد المخزون'!$A$2:$A$90,$C266)&gt;0,"نعم","لا (خارج الجرد)"))</f>
        <v/>
      </c>
    </row>
    <row r="267" customFormat="false" ht="15" hidden="false" customHeight="false" outlineLevel="0" collapsed="false">
      <c r="A267" s="103"/>
      <c r="B267" s="104"/>
      <c r="C267" s="104"/>
      <c r="F267" s="107" t="str">
        <f aca="false">IF(OR($C267="",$D267=0),"",$E267/$D267)</f>
        <v/>
      </c>
      <c r="H267" s="0" t="str">
        <f aca="false">IF($C267="","",IF(COUNTIF('مواد المخزون'!$A$2:$A$90,$C267)&gt;0,"نعم","لا (خارج الجرد)"))</f>
        <v/>
      </c>
    </row>
    <row r="268" customFormat="false" ht="15" hidden="false" customHeight="false" outlineLevel="0" collapsed="false">
      <c r="A268" s="103"/>
      <c r="B268" s="104"/>
      <c r="C268" s="104"/>
      <c r="F268" s="107" t="str">
        <f aca="false">IF(OR($C268="",$D268=0),"",$E268/$D268)</f>
        <v/>
      </c>
      <c r="H268" s="0" t="str">
        <f aca="false">IF($C268="","",IF(COUNTIF('مواد المخزون'!$A$2:$A$90,$C268)&gt;0,"نعم","لا (خارج الجرد)"))</f>
        <v/>
      </c>
    </row>
    <row r="269" customFormat="false" ht="15" hidden="false" customHeight="false" outlineLevel="0" collapsed="false">
      <c r="A269" s="103"/>
      <c r="B269" s="104"/>
      <c r="C269" s="104"/>
      <c r="F269" s="107" t="str">
        <f aca="false">IF(OR($C269="",$D269=0),"",$E269/$D269)</f>
        <v/>
      </c>
      <c r="H269" s="0" t="str">
        <f aca="false">IF($C269="","",IF(COUNTIF('مواد المخزون'!$A$2:$A$90,$C269)&gt;0,"نعم","لا (خارج الجرد)"))</f>
        <v/>
      </c>
    </row>
    <row r="270" customFormat="false" ht="15" hidden="false" customHeight="false" outlineLevel="0" collapsed="false">
      <c r="A270" s="103"/>
      <c r="B270" s="104"/>
      <c r="C270" s="104"/>
      <c r="F270" s="107" t="str">
        <f aca="false">IF(OR($C270="",$D270=0),"",$E270/$D270)</f>
        <v/>
      </c>
      <c r="H270" s="0" t="str">
        <f aca="false">IF($C270="","",IF(COUNTIF('مواد المخزون'!$A$2:$A$90,$C270)&gt;0,"نعم","لا (خارج الجرد)"))</f>
        <v/>
      </c>
    </row>
    <row r="271" customFormat="false" ht="15" hidden="false" customHeight="false" outlineLevel="0" collapsed="false">
      <c r="A271" s="103"/>
      <c r="B271" s="104"/>
      <c r="C271" s="104"/>
      <c r="F271" s="107" t="str">
        <f aca="false">IF(OR($C271="",$D271=0),"",$E271/$D271)</f>
        <v/>
      </c>
      <c r="H271" s="0" t="str">
        <f aca="false">IF($C271="","",IF(COUNTIF('مواد المخزون'!$A$2:$A$90,$C271)&gt;0,"نعم","لا (خارج الجرد)"))</f>
        <v/>
      </c>
    </row>
    <row r="272" customFormat="false" ht="15" hidden="false" customHeight="false" outlineLevel="0" collapsed="false">
      <c r="A272" s="103"/>
      <c r="B272" s="104"/>
      <c r="C272" s="104"/>
      <c r="F272" s="107" t="str">
        <f aca="false">IF(OR($C272="",$D272=0),"",$E272/$D272)</f>
        <v/>
      </c>
      <c r="H272" s="0" t="str">
        <f aca="false">IF($C272="","",IF(COUNTIF('مواد المخزون'!$A$2:$A$90,$C272)&gt;0,"نعم","لا (خارج الجرد)"))</f>
        <v/>
      </c>
    </row>
    <row r="273" customFormat="false" ht="15" hidden="false" customHeight="false" outlineLevel="0" collapsed="false">
      <c r="A273" s="103"/>
      <c r="B273" s="104"/>
      <c r="C273" s="104"/>
      <c r="F273" s="107" t="str">
        <f aca="false">IF(OR($C273="",$D273=0),"",$E273/$D273)</f>
        <v/>
      </c>
      <c r="H273" s="0" t="str">
        <f aca="false">IF($C273="","",IF(COUNTIF('مواد المخزون'!$A$2:$A$90,$C273)&gt;0,"نعم","لا (خارج الجرد)"))</f>
        <v/>
      </c>
    </row>
    <row r="274" customFormat="false" ht="15" hidden="false" customHeight="false" outlineLevel="0" collapsed="false">
      <c r="A274" s="103"/>
      <c r="B274" s="104"/>
      <c r="C274" s="104"/>
      <c r="F274" s="107" t="str">
        <f aca="false">IF(OR($C274="",$D274=0),"",$E274/$D274)</f>
        <v/>
      </c>
      <c r="H274" s="0" t="str">
        <f aca="false">IF($C274="","",IF(COUNTIF('مواد المخزون'!$A$2:$A$90,$C274)&gt;0,"نعم","لا (خارج الجرد)"))</f>
        <v/>
      </c>
    </row>
    <row r="275" customFormat="false" ht="15" hidden="false" customHeight="false" outlineLevel="0" collapsed="false">
      <c r="A275" s="103"/>
      <c r="B275" s="104"/>
      <c r="C275" s="104"/>
      <c r="F275" s="107" t="str">
        <f aca="false">IF(OR($C275="",$D275=0),"",$E275/$D275)</f>
        <v/>
      </c>
      <c r="H275" s="0" t="str">
        <f aca="false">IF($C275="","",IF(COUNTIF('مواد المخزون'!$A$2:$A$90,$C275)&gt;0,"نعم","لا (خارج الجرد)"))</f>
        <v/>
      </c>
    </row>
    <row r="276" customFormat="false" ht="15" hidden="false" customHeight="false" outlineLevel="0" collapsed="false">
      <c r="A276" s="103"/>
      <c r="B276" s="104"/>
      <c r="C276" s="104"/>
      <c r="F276" s="107" t="str">
        <f aca="false">IF(OR($C276="",$D276=0),"",$E276/$D276)</f>
        <v/>
      </c>
      <c r="H276" s="0" t="str">
        <f aca="false">IF($C276="","",IF(COUNTIF('مواد المخزون'!$A$2:$A$90,$C276)&gt;0,"نعم","لا (خارج الجرد)"))</f>
        <v/>
      </c>
    </row>
    <row r="277" customFormat="false" ht="15" hidden="false" customHeight="false" outlineLevel="0" collapsed="false">
      <c r="A277" s="103"/>
      <c r="B277" s="104"/>
      <c r="C277" s="104"/>
      <c r="F277" s="107" t="str">
        <f aca="false">IF(OR($C277="",$D277=0),"",$E277/$D277)</f>
        <v/>
      </c>
      <c r="H277" s="0" t="str">
        <f aca="false">IF($C277="","",IF(COUNTIF('مواد المخزون'!$A$2:$A$90,$C277)&gt;0,"نعم","لا (خارج الجرد)"))</f>
        <v/>
      </c>
    </row>
    <row r="278" customFormat="false" ht="15" hidden="false" customHeight="false" outlineLevel="0" collapsed="false">
      <c r="A278" s="103"/>
      <c r="B278" s="104"/>
      <c r="C278" s="104"/>
      <c r="F278" s="107" t="str">
        <f aca="false">IF(OR($C278="",$D278=0),"",$E278/$D278)</f>
        <v/>
      </c>
      <c r="H278" s="0" t="str">
        <f aca="false">IF($C278="","",IF(COUNTIF('مواد المخزون'!$A$2:$A$90,$C278)&gt;0,"نعم","لا (خارج الجرد)"))</f>
        <v/>
      </c>
    </row>
    <row r="279" customFormat="false" ht="15" hidden="false" customHeight="false" outlineLevel="0" collapsed="false">
      <c r="A279" s="103"/>
      <c r="B279" s="104"/>
      <c r="C279" s="104"/>
      <c r="F279" s="107" t="str">
        <f aca="false">IF(OR($C279="",$D279=0),"",$E279/$D279)</f>
        <v/>
      </c>
      <c r="H279" s="0" t="str">
        <f aca="false">IF($C279="","",IF(COUNTIF('مواد المخزون'!$A$2:$A$90,$C279)&gt;0,"نعم","لا (خارج الجرد)"))</f>
        <v/>
      </c>
    </row>
    <row r="280" customFormat="false" ht="15" hidden="false" customHeight="false" outlineLevel="0" collapsed="false">
      <c r="A280" s="103"/>
      <c r="B280" s="104"/>
      <c r="C280" s="104"/>
      <c r="F280" s="107" t="str">
        <f aca="false">IF(OR($C280="",$D280=0),"",$E280/$D280)</f>
        <v/>
      </c>
      <c r="H280" s="0" t="str">
        <f aca="false">IF($C280="","",IF(COUNTIF('مواد المخزون'!$A$2:$A$90,$C280)&gt;0,"نعم","لا (خارج الجرد)"))</f>
        <v/>
      </c>
    </row>
    <row r="281" customFormat="false" ht="15" hidden="false" customHeight="false" outlineLevel="0" collapsed="false">
      <c r="A281" s="103"/>
      <c r="B281" s="104"/>
      <c r="C281" s="104"/>
      <c r="F281" s="107" t="str">
        <f aca="false">IF(OR($C281="",$D281=0),"",$E281/$D281)</f>
        <v/>
      </c>
      <c r="H281" s="0" t="str">
        <f aca="false">IF($C281="","",IF(COUNTIF('مواد المخزون'!$A$2:$A$90,$C281)&gt;0,"نعم","لا (خارج الجرد)"))</f>
        <v/>
      </c>
    </row>
    <row r="282" customFormat="false" ht="15" hidden="false" customHeight="false" outlineLevel="0" collapsed="false">
      <c r="A282" s="103"/>
      <c r="B282" s="104"/>
      <c r="C282" s="104"/>
      <c r="F282" s="107" t="str">
        <f aca="false">IF(OR($C282="",$D282=0),"",$E282/$D282)</f>
        <v/>
      </c>
      <c r="H282" s="0" t="str">
        <f aca="false">IF($C282="","",IF(COUNTIF('مواد المخزون'!$A$2:$A$90,$C282)&gt;0,"نعم","لا (خارج الجرد)"))</f>
        <v/>
      </c>
    </row>
    <row r="283" customFormat="false" ht="15" hidden="false" customHeight="false" outlineLevel="0" collapsed="false">
      <c r="A283" s="103"/>
      <c r="B283" s="104"/>
      <c r="C283" s="104"/>
      <c r="F283" s="107" t="str">
        <f aca="false">IF(OR($C283="",$D283=0),"",$E283/$D283)</f>
        <v/>
      </c>
      <c r="H283" s="0" t="str">
        <f aca="false">IF($C283="","",IF(COUNTIF('مواد المخزون'!$A$2:$A$90,$C283)&gt;0,"نعم","لا (خارج الجرد)"))</f>
        <v/>
      </c>
    </row>
    <row r="284" customFormat="false" ht="15" hidden="false" customHeight="false" outlineLevel="0" collapsed="false">
      <c r="A284" s="103"/>
      <c r="B284" s="104"/>
      <c r="C284" s="104"/>
      <c r="F284" s="107" t="str">
        <f aca="false">IF(OR($C284="",$D284=0),"",$E284/$D284)</f>
        <v/>
      </c>
      <c r="H284" s="0" t="str">
        <f aca="false">IF($C284="","",IF(COUNTIF('مواد المخزون'!$A$2:$A$90,$C284)&gt;0,"نعم","لا (خارج الجرد)"))</f>
        <v/>
      </c>
    </row>
    <row r="285" customFormat="false" ht="15" hidden="false" customHeight="false" outlineLevel="0" collapsed="false">
      <c r="A285" s="103"/>
      <c r="B285" s="104"/>
      <c r="C285" s="104"/>
      <c r="F285" s="107" t="str">
        <f aca="false">IF(OR($C285="",$D285=0),"",$E285/$D285)</f>
        <v/>
      </c>
      <c r="H285" s="0" t="str">
        <f aca="false">IF($C285="","",IF(COUNTIF('مواد المخزون'!$A$2:$A$90,$C285)&gt;0,"نعم","لا (خارج الجرد)"))</f>
        <v/>
      </c>
    </row>
    <row r="286" customFormat="false" ht="15" hidden="false" customHeight="false" outlineLevel="0" collapsed="false">
      <c r="A286" s="103"/>
      <c r="B286" s="104"/>
      <c r="C286" s="104"/>
      <c r="F286" s="107" t="str">
        <f aca="false">IF(OR($C286="",$D286=0),"",$E286/$D286)</f>
        <v/>
      </c>
      <c r="H286" s="0" t="str">
        <f aca="false">IF($C286="","",IF(COUNTIF('مواد المخزون'!$A$2:$A$90,$C286)&gt;0,"نعم","لا (خارج الجرد)"))</f>
        <v/>
      </c>
    </row>
    <row r="287" customFormat="false" ht="15" hidden="false" customHeight="false" outlineLevel="0" collapsed="false">
      <c r="A287" s="103"/>
      <c r="B287" s="104"/>
      <c r="C287" s="104"/>
      <c r="F287" s="107" t="str">
        <f aca="false">IF(OR($C287="",$D287=0),"",$E287/$D287)</f>
        <v/>
      </c>
      <c r="H287" s="0" t="str">
        <f aca="false">IF($C287="","",IF(COUNTIF('مواد المخزون'!$A$2:$A$90,$C287)&gt;0,"نعم","لا (خارج الجرد)"))</f>
        <v/>
      </c>
    </row>
    <row r="288" customFormat="false" ht="15" hidden="false" customHeight="false" outlineLevel="0" collapsed="false">
      <c r="A288" s="103"/>
      <c r="B288" s="104"/>
      <c r="C288" s="104"/>
      <c r="F288" s="107" t="str">
        <f aca="false">IF(OR($C288="",$D288=0),"",$E288/$D288)</f>
        <v/>
      </c>
      <c r="H288" s="0" t="str">
        <f aca="false">IF($C288="","",IF(COUNTIF('مواد المخزون'!$A$2:$A$90,$C288)&gt;0,"نعم","لا (خارج الجرد)"))</f>
        <v/>
      </c>
    </row>
    <row r="289" customFormat="false" ht="15" hidden="false" customHeight="false" outlineLevel="0" collapsed="false">
      <c r="A289" s="103"/>
      <c r="B289" s="104"/>
      <c r="C289" s="104"/>
      <c r="F289" s="107" t="str">
        <f aca="false">IF(OR($C289="",$D289=0),"",$E289/$D289)</f>
        <v/>
      </c>
      <c r="H289" s="0" t="str">
        <f aca="false">IF($C289="","",IF(COUNTIF('مواد المخزون'!$A$2:$A$90,$C289)&gt;0,"نعم","لا (خارج الجرد)"))</f>
        <v/>
      </c>
    </row>
    <row r="290" customFormat="false" ht="15" hidden="false" customHeight="false" outlineLevel="0" collapsed="false">
      <c r="A290" s="103"/>
      <c r="B290" s="104"/>
      <c r="C290" s="104"/>
      <c r="F290" s="107" t="str">
        <f aca="false">IF(OR($C290="",$D290=0),"",$E290/$D290)</f>
        <v/>
      </c>
      <c r="H290" s="0" t="str">
        <f aca="false">IF($C290="","",IF(COUNTIF('مواد المخزون'!$A$2:$A$90,$C290)&gt;0,"نعم","لا (خارج الجرد)"))</f>
        <v/>
      </c>
    </row>
    <row r="291" customFormat="false" ht="15" hidden="false" customHeight="false" outlineLevel="0" collapsed="false">
      <c r="A291" s="103"/>
      <c r="B291" s="104"/>
      <c r="C291" s="104"/>
      <c r="F291" s="107" t="str">
        <f aca="false">IF(OR($C291="",$D291=0),"",$E291/$D291)</f>
        <v/>
      </c>
      <c r="H291" s="0" t="str">
        <f aca="false">IF($C291="","",IF(COUNTIF('مواد المخزون'!$A$2:$A$90,$C291)&gt;0,"نعم","لا (خارج الجرد)"))</f>
        <v/>
      </c>
    </row>
    <row r="292" customFormat="false" ht="15" hidden="false" customHeight="false" outlineLevel="0" collapsed="false">
      <c r="A292" s="103"/>
      <c r="B292" s="104"/>
      <c r="C292" s="104"/>
      <c r="F292" s="107" t="str">
        <f aca="false">IF(OR($C292="",$D292=0),"",$E292/$D292)</f>
        <v/>
      </c>
      <c r="H292" s="0" t="str">
        <f aca="false">IF($C292="","",IF(COUNTIF('مواد المخزون'!$A$2:$A$90,$C292)&gt;0,"نعم","لا (خارج الجرد)"))</f>
        <v/>
      </c>
    </row>
    <row r="293" customFormat="false" ht="15" hidden="false" customHeight="false" outlineLevel="0" collapsed="false">
      <c r="A293" s="103"/>
      <c r="B293" s="104"/>
      <c r="C293" s="104"/>
      <c r="F293" s="107" t="str">
        <f aca="false">IF(OR($C293="",$D293=0),"",$E293/$D293)</f>
        <v/>
      </c>
      <c r="H293" s="0" t="str">
        <f aca="false">IF($C293="","",IF(COUNTIF('مواد المخزون'!$A$2:$A$90,$C293)&gt;0,"نعم","لا (خارج الجرد)"))</f>
        <v/>
      </c>
    </row>
    <row r="294" customFormat="false" ht="15" hidden="false" customHeight="false" outlineLevel="0" collapsed="false">
      <c r="A294" s="103"/>
      <c r="B294" s="104"/>
      <c r="C294" s="104"/>
      <c r="F294" s="107" t="str">
        <f aca="false">IF(OR($C294="",$D294=0),"",$E294/$D294)</f>
        <v/>
      </c>
      <c r="H294" s="0" t="str">
        <f aca="false">IF($C294="","",IF(COUNTIF('مواد المخزون'!$A$2:$A$90,$C294)&gt;0,"نعم","لا (خارج الجرد)"))</f>
        <v/>
      </c>
    </row>
    <row r="295" customFormat="false" ht="15" hidden="false" customHeight="false" outlineLevel="0" collapsed="false">
      <c r="A295" s="103"/>
      <c r="B295" s="104"/>
      <c r="C295" s="104"/>
      <c r="F295" s="107" t="str">
        <f aca="false">IF(OR($C295="",$D295=0),"",$E295/$D295)</f>
        <v/>
      </c>
      <c r="H295" s="0" t="str">
        <f aca="false">IF($C295="","",IF(COUNTIF('مواد المخزون'!$A$2:$A$90,$C295)&gt;0,"نعم","لا (خارج الجرد)"))</f>
        <v/>
      </c>
    </row>
    <row r="296" customFormat="false" ht="15" hidden="false" customHeight="false" outlineLevel="0" collapsed="false">
      <c r="A296" s="103"/>
      <c r="B296" s="104"/>
      <c r="C296" s="104"/>
      <c r="F296" s="107" t="str">
        <f aca="false">IF(OR($C296="",$D296=0),"",$E296/$D296)</f>
        <v/>
      </c>
      <c r="H296" s="0" t="str">
        <f aca="false">IF($C296="","",IF(COUNTIF('مواد المخزون'!$A$2:$A$90,$C296)&gt;0,"نعم","لا (خارج الجرد)"))</f>
        <v/>
      </c>
    </row>
    <row r="297" customFormat="false" ht="15" hidden="false" customHeight="false" outlineLevel="0" collapsed="false">
      <c r="A297" s="103"/>
      <c r="B297" s="104"/>
      <c r="C297" s="104"/>
      <c r="F297" s="107" t="str">
        <f aca="false">IF(OR($C297="",$D297=0),"",$E297/$D297)</f>
        <v/>
      </c>
      <c r="H297" s="0" t="str">
        <f aca="false">IF($C297="","",IF(COUNTIF('مواد المخزون'!$A$2:$A$90,$C297)&gt;0,"نعم","لا (خارج الجرد)"))</f>
        <v/>
      </c>
    </row>
    <row r="298" customFormat="false" ht="15" hidden="false" customHeight="false" outlineLevel="0" collapsed="false">
      <c r="A298" s="103"/>
      <c r="B298" s="104"/>
      <c r="C298" s="104"/>
      <c r="F298" s="107" t="str">
        <f aca="false">IF(OR($C298="",$D298=0),"",$E298/$D298)</f>
        <v/>
      </c>
      <c r="H298" s="0" t="str">
        <f aca="false">IF($C298="","",IF(COUNTIF('مواد المخزون'!$A$2:$A$90,$C298)&gt;0,"نعم","لا (خارج الجرد)"))</f>
        <v/>
      </c>
    </row>
    <row r="299" customFormat="false" ht="15" hidden="false" customHeight="false" outlineLevel="0" collapsed="false">
      <c r="A299" s="103"/>
      <c r="B299" s="104"/>
      <c r="C299" s="104"/>
      <c r="F299" s="107" t="str">
        <f aca="false">IF(OR($C299="",$D299=0),"",$E299/$D299)</f>
        <v/>
      </c>
      <c r="H299" s="0" t="str">
        <f aca="false">IF($C299="","",IF(COUNTIF('مواد المخزون'!$A$2:$A$90,$C299)&gt;0,"نعم","لا (خارج الجرد)"))</f>
        <v/>
      </c>
    </row>
    <row r="300" customFormat="false" ht="15" hidden="false" customHeight="false" outlineLevel="0" collapsed="false">
      <c r="A300" s="103"/>
      <c r="B300" s="104"/>
      <c r="C300" s="104"/>
      <c r="F300" s="107" t="str">
        <f aca="false">IF(OR($C300="",$D300=0),"",$E300/$D300)</f>
        <v/>
      </c>
      <c r="H300" s="0" t="str">
        <f aca="false">IF($C300="","",IF(COUNTIF('مواد المخزون'!$A$2:$A$90,$C300)&gt;0,"نعم","لا (خارج الجرد)"))</f>
        <v/>
      </c>
    </row>
    <row r="301" customFormat="false" ht="15" hidden="false" customHeight="false" outlineLevel="0" collapsed="false">
      <c r="A301" s="103"/>
      <c r="B301" s="104"/>
      <c r="C301" s="104"/>
      <c r="F301" s="107" t="str">
        <f aca="false">IF(OR($C301="",$D301=0),"",$E301/$D301)</f>
        <v/>
      </c>
      <c r="H301" s="0" t="str">
        <f aca="false">IF($C301="","",IF(COUNTIF('مواد المخزون'!$A$2:$A$90,$C301)&gt;0,"نعم","لا (خارج الجرد)"))</f>
        <v/>
      </c>
    </row>
    <row r="302" customFormat="false" ht="15" hidden="false" customHeight="false" outlineLevel="0" collapsed="false">
      <c r="A302" s="103"/>
      <c r="B302" s="104"/>
      <c r="C302" s="104"/>
      <c r="F302" s="107" t="str">
        <f aca="false">IF(OR($C302="",$D302=0),"",$E302/$D302)</f>
        <v/>
      </c>
      <c r="H302" s="0" t="str">
        <f aca="false">IF($C302="","",IF(COUNTIF('مواد المخزون'!$A$2:$A$90,$C302)&gt;0,"نعم","لا (خارج الجرد)"))</f>
        <v/>
      </c>
    </row>
    <row r="303" customFormat="false" ht="15" hidden="false" customHeight="false" outlineLevel="0" collapsed="false">
      <c r="A303" s="103"/>
      <c r="B303" s="104"/>
      <c r="C303" s="104"/>
      <c r="F303" s="107" t="str">
        <f aca="false">IF(OR($C303="",$D303=0),"",$E303/$D303)</f>
        <v/>
      </c>
      <c r="H303" s="0" t="str">
        <f aca="false">IF($C303="","",IF(COUNTIF('مواد المخزون'!$A$2:$A$90,$C303)&gt;0,"نعم","لا (خارج الجرد)"))</f>
        <v/>
      </c>
    </row>
    <row r="304" customFormat="false" ht="15" hidden="false" customHeight="false" outlineLevel="0" collapsed="false">
      <c r="A304" s="103"/>
      <c r="B304" s="104"/>
      <c r="C304" s="104"/>
      <c r="F304" s="107" t="str">
        <f aca="false">IF(OR($C304="",$D304=0),"",$E304/$D304)</f>
        <v/>
      </c>
      <c r="H304" s="0" t="str">
        <f aca="false">IF($C304="","",IF(COUNTIF('مواد المخزون'!$A$2:$A$90,$C304)&gt;0,"نعم","لا (خارج الجرد)"))</f>
        <v/>
      </c>
    </row>
    <row r="305" customFormat="false" ht="15" hidden="false" customHeight="false" outlineLevel="0" collapsed="false">
      <c r="A305" s="103"/>
      <c r="B305" s="104"/>
      <c r="C305" s="104"/>
      <c r="F305" s="107" t="str">
        <f aca="false">IF(OR($C305="",$D305=0),"",$E305/$D305)</f>
        <v/>
      </c>
      <c r="H305" s="0" t="str">
        <f aca="false">IF($C305="","",IF(COUNTIF('مواد المخزون'!$A$2:$A$90,$C305)&gt;0,"نعم","لا (خارج الجرد)"))</f>
        <v/>
      </c>
    </row>
    <row r="306" customFormat="false" ht="15" hidden="false" customHeight="false" outlineLevel="0" collapsed="false">
      <c r="A306" s="103"/>
      <c r="B306" s="104"/>
      <c r="C306" s="104"/>
      <c r="F306" s="107" t="str">
        <f aca="false">IF(OR($C306="",$D306=0),"",$E306/$D306)</f>
        <v/>
      </c>
      <c r="H306" s="0" t="str">
        <f aca="false">IF($C306="","",IF(COUNTIF('مواد المخزون'!$A$2:$A$90,$C306)&gt;0,"نعم","لا (خارج الجرد)"))</f>
        <v/>
      </c>
    </row>
    <row r="307" customFormat="false" ht="15" hidden="false" customHeight="false" outlineLevel="0" collapsed="false">
      <c r="A307" s="103"/>
      <c r="B307" s="104"/>
      <c r="C307" s="104"/>
      <c r="F307" s="107" t="str">
        <f aca="false">IF(OR($C307="",$D307=0),"",$E307/$D307)</f>
        <v/>
      </c>
      <c r="H307" s="0" t="str">
        <f aca="false">IF($C307="","",IF(COUNTIF('مواد المخزون'!$A$2:$A$90,$C307)&gt;0,"نعم","لا (خارج الجرد)"))</f>
        <v/>
      </c>
    </row>
    <row r="308" customFormat="false" ht="15" hidden="false" customHeight="false" outlineLevel="0" collapsed="false">
      <c r="A308" s="103"/>
      <c r="B308" s="104"/>
      <c r="C308" s="104"/>
      <c r="F308" s="107" t="str">
        <f aca="false">IF(OR($C308="",$D308=0),"",$E308/$D308)</f>
        <v/>
      </c>
      <c r="H308" s="0" t="str">
        <f aca="false">IF($C308="","",IF(COUNTIF('مواد المخزون'!$A$2:$A$90,$C308)&gt;0,"نعم","لا (خارج الجرد)"))</f>
        <v/>
      </c>
    </row>
    <row r="309" customFormat="false" ht="15" hidden="false" customHeight="false" outlineLevel="0" collapsed="false">
      <c r="A309" s="103"/>
      <c r="B309" s="104"/>
      <c r="C309" s="104"/>
      <c r="F309" s="107" t="str">
        <f aca="false">IF(OR($C309="",$D309=0),"",$E309/$D309)</f>
        <v/>
      </c>
      <c r="H309" s="0" t="str">
        <f aca="false">IF($C309="","",IF(COUNTIF('مواد المخزون'!$A$2:$A$90,$C309)&gt;0,"نعم","لا (خارج الجرد)"))</f>
        <v/>
      </c>
    </row>
    <row r="310" customFormat="false" ht="15" hidden="false" customHeight="false" outlineLevel="0" collapsed="false">
      <c r="A310" s="103"/>
      <c r="B310" s="104"/>
      <c r="C310" s="104"/>
      <c r="F310" s="107" t="str">
        <f aca="false">IF(OR($C310="",$D310=0),"",$E310/$D310)</f>
        <v/>
      </c>
      <c r="H310" s="0" t="str">
        <f aca="false">IF($C310="","",IF(COUNTIF('مواد المخزون'!$A$2:$A$90,$C310)&gt;0,"نعم","لا (خارج الجرد)"))</f>
        <v/>
      </c>
    </row>
    <row r="311" customFormat="false" ht="15" hidden="false" customHeight="false" outlineLevel="0" collapsed="false">
      <c r="A311" s="103"/>
      <c r="B311" s="104"/>
      <c r="C311" s="104"/>
      <c r="F311" s="107" t="str">
        <f aca="false">IF(OR($C311="",$D311=0),"",$E311/$D311)</f>
        <v/>
      </c>
      <c r="H311" s="0" t="str">
        <f aca="false">IF($C311="","",IF(COUNTIF('مواد المخزون'!$A$2:$A$90,$C311)&gt;0,"نعم","لا (خارج الجرد)"))</f>
        <v/>
      </c>
    </row>
    <row r="312" customFormat="false" ht="15" hidden="false" customHeight="false" outlineLevel="0" collapsed="false">
      <c r="A312" s="103"/>
      <c r="B312" s="104"/>
      <c r="C312" s="104"/>
      <c r="F312" s="107" t="str">
        <f aca="false">IF(OR($C312="",$D312=0),"",$E312/$D312)</f>
        <v/>
      </c>
      <c r="H312" s="0" t="str">
        <f aca="false">IF($C312="","",IF(COUNTIF('مواد المخزون'!$A$2:$A$90,$C312)&gt;0,"نعم","لا (خارج الجرد)"))</f>
        <v/>
      </c>
    </row>
    <row r="313" customFormat="false" ht="15" hidden="false" customHeight="false" outlineLevel="0" collapsed="false">
      <c r="A313" s="103"/>
      <c r="B313" s="104"/>
      <c r="C313" s="104"/>
      <c r="F313" s="107" t="str">
        <f aca="false">IF(OR($C313="",$D313=0),"",$E313/$D313)</f>
        <v/>
      </c>
      <c r="H313" s="0" t="str">
        <f aca="false">IF($C313="","",IF(COUNTIF('مواد المخزون'!$A$2:$A$90,$C313)&gt;0,"نعم","لا (خارج الجرد)"))</f>
        <v/>
      </c>
    </row>
    <row r="314" customFormat="false" ht="15" hidden="false" customHeight="false" outlineLevel="0" collapsed="false">
      <c r="A314" s="103"/>
      <c r="B314" s="104"/>
      <c r="C314" s="104"/>
      <c r="F314" s="107" t="str">
        <f aca="false">IF(OR($C314="",$D314=0),"",$E314/$D314)</f>
        <v/>
      </c>
      <c r="H314" s="0" t="str">
        <f aca="false">IF($C314="","",IF(COUNTIF('مواد المخزون'!$A$2:$A$90,$C314)&gt;0,"نعم","لا (خارج الجرد)"))</f>
        <v/>
      </c>
    </row>
    <row r="315" customFormat="false" ht="15" hidden="false" customHeight="false" outlineLevel="0" collapsed="false">
      <c r="A315" s="103"/>
      <c r="B315" s="104"/>
      <c r="C315" s="104"/>
      <c r="F315" s="107" t="str">
        <f aca="false">IF(OR($C315="",$D315=0),"",$E315/$D315)</f>
        <v/>
      </c>
      <c r="H315" s="0" t="str">
        <f aca="false">IF($C315="","",IF(COUNTIF('مواد المخزون'!$A$2:$A$90,$C315)&gt;0,"نعم","لا (خارج الجرد)"))</f>
        <v/>
      </c>
    </row>
    <row r="316" customFormat="false" ht="15" hidden="false" customHeight="false" outlineLevel="0" collapsed="false">
      <c r="A316" s="103"/>
      <c r="B316" s="104"/>
      <c r="C316" s="104"/>
      <c r="F316" s="107" t="str">
        <f aca="false">IF(OR($C316="",$D316=0),"",$E316/$D316)</f>
        <v/>
      </c>
      <c r="H316" s="0" t="str">
        <f aca="false">IF($C316="","",IF(COUNTIF('مواد المخزون'!$A$2:$A$90,$C316)&gt;0,"نعم","لا (خارج الجرد)"))</f>
        <v/>
      </c>
    </row>
    <row r="317" customFormat="false" ht="15" hidden="false" customHeight="false" outlineLevel="0" collapsed="false">
      <c r="A317" s="103"/>
      <c r="B317" s="104"/>
      <c r="C317" s="104"/>
      <c r="F317" s="107" t="str">
        <f aca="false">IF(OR($C317="",$D317=0),"",$E317/$D317)</f>
        <v/>
      </c>
      <c r="H317" s="0" t="str">
        <f aca="false">IF($C317="","",IF(COUNTIF('مواد المخزون'!$A$2:$A$90,$C317)&gt;0,"نعم","لا (خارج الجرد)"))</f>
        <v/>
      </c>
    </row>
    <row r="318" customFormat="false" ht="15" hidden="false" customHeight="false" outlineLevel="0" collapsed="false">
      <c r="A318" s="103"/>
      <c r="B318" s="104"/>
      <c r="C318" s="104"/>
      <c r="F318" s="107" t="str">
        <f aca="false">IF(OR($C318="",$D318=0),"",$E318/$D318)</f>
        <v/>
      </c>
      <c r="H318" s="0" t="str">
        <f aca="false">IF($C318="","",IF(COUNTIF('مواد المخزون'!$A$2:$A$90,$C318)&gt;0,"نعم","لا (خارج الجرد)"))</f>
        <v/>
      </c>
    </row>
    <row r="319" customFormat="false" ht="15" hidden="false" customHeight="false" outlineLevel="0" collapsed="false">
      <c r="A319" s="103"/>
      <c r="B319" s="104"/>
      <c r="C319" s="104"/>
      <c r="F319" s="107" t="str">
        <f aca="false">IF(OR($C319="",$D319=0),"",$E319/$D319)</f>
        <v/>
      </c>
      <c r="H319" s="0" t="str">
        <f aca="false">IF($C319="","",IF(COUNTIF('مواد المخزون'!$A$2:$A$90,$C319)&gt;0,"نعم","لا (خارج الجرد)"))</f>
        <v/>
      </c>
    </row>
    <row r="320" customFormat="false" ht="15" hidden="false" customHeight="false" outlineLevel="0" collapsed="false">
      <c r="A320" s="103"/>
      <c r="B320" s="104"/>
      <c r="C320" s="104"/>
      <c r="F320" s="107" t="str">
        <f aca="false">IF(OR($C320="",$D320=0),"",$E320/$D320)</f>
        <v/>
      </c>
      <c r="H320" s="0" t="str">
        <f aca="false">IF($C320="","",IF(COUNTIF('مواد المخزون'!$A$2:$A$90,$C320)&gt;0,"نعم","لا (خارج الجرد)"))</f>
        <v/>
      </c>
    </row>
    <row r="321" customFormat="false" ht="15" hidden="false" customHeight="false" outlineLevel="0" collapsed="false">
      <c r="A321" s="103"/>
      <c r="B321" s="104"/>
      <c r="C321" s="104"/>
      <c r="F321" s="107" t="str">
        <f aca="false">IF(OR($C321="",$D321=0),"",$E321/$D321)</f>
        <v/>
      </c>
      <c r="H321" s="0" t="str">
        <f aca="false">IF($C321="","",IF(COUNTIF('مواد المخزون'!$A$2:$A$90,$C321)&gt;0,"نعم","لا (خارج الجرد)"))</f>
        <v/>
      </c>
    </row>
    <row r="322" customFormat="false" ht="15" hidden="false" customHeight="false" outlineLevel="0" collapsed="false">
      <c r="A322" s="103"/>
      <c r="B322" s="104"/>
      <c r="C322" s="104"/>
      <c r="F322" s="107" t="str">
        <f aca="false">IF(OR($C322="",$D322=0),"",$E322/$D322)</f>
        <v/>
      </c>
      <c r="H322" s="0" t="str">
        <f aca="false">IF($C322="","",IF(COUNTIF('مواد المخزون'!$A$2:$A$90,$C322)&gt;0,"نعم","لا (خارج الجرد)"))</f>
        <v/>
      </c>
    </row>
    <row r="323" customFormat="false" ht="15" hidden="false" customHeight="false" outlineLevel="0" collapsed="false">
      <c r="A323" s="103"/>
      <c r="B323" s="104"/>
      <c r="C323" s="104"/>
      <c r="F323" s="107" t="str">
        <f aca="false">IF(OR($C323="",$D323=0),"",$E323/$D323)</f>
        <v/>
      </c>
      <c r="H323" s="0" t="str">
        <f aca="false">IF($C323="","",IF(COUNTIF('مواد المخزون'!$A$2:$A$90,$C323)&gt;0,"نعم","لا (خارج الجرد)"))</f>
        <v/>
      </c>
    </row>
    <row r="324" customFormat="false" ht="15" hidden="false" customHeight="false" outlineLevel="0" collapsed="false">
      <c r="A324" s="103"/>
      <c r="B324" s="104"/>
      <c r="C324" s="104"/>
      <c r="F324" s="107" t="str">
        <f aca="false">IF(OR($C324="",$D324=0),"",$E324/$D324)</f>
        <v/>
      </c>
      <c r="H324" s="0" t="str">
        <f aca="false">IF($C324="","",IF(COUNTIF('مواد المخزون'!$A$2:$A$90,$C324)&gt;0,"نعم","لا (خارج الجرد)"))</f>
        <v/>
      </c>
    </row>
    <row r="325" customFormat="false" ht="15" hidden="false" customHeight="false" outlineLevel="0" collapsed="false">
      <c r="A325" s="103"/>
      <c r="B325" s="104"/>
      <c r="C325" s="104"/>
      <c r="F325" s="107" t="str">
        <f aca="false">IF(OR($C325="",$D325=0),"",$E325/$D325)</f>
        <v/>
      </c>
      <c r="H325" s="0" t="str">
        <f aca="false">IF($C325="","",IF(COUNTIF('مواد المخزون'!$A$2:$A$90,$C325)&gt;0,"نعم","لا (خارج الجرد)"))</f>
        <v/>
      </c>
    </row>
    <row r="326" customFormat="false" ht="15" hidden="false" customHeight="false" outlineLevel="0" collapsed="false">
      <c r="A326" s="103"/>
      <c r="B326" s="104"/>
      <c r="C326" s="104"/>
      <c r="F326" s="107" t="str">
        <f aca="false">IF(OR($C326="",$D326=0),"",$E326/$D326)</f>
        <v/>
      </c>
      <c r="H326" s="0" t="str">
        <f aca="false">IF($C326="","",IF(COUNTIF('مواد المخزون'!$A$2:$A$90,$C326)&gt;0,"نعم","لا (خارج الجرد)"))</f>
        <v/>
      </c>
    </row>
    <row r="327" customFormat="false" ht="15" hidden="false" customHeight="false" outlineLevel="0" collapsed="false">
      <c r="A327" s="103"/>
      <c r="B327" s="104"/>
      <c r="C327" s="104"/>
      <c r="F327" s="107" t="str">
        <f aca="false">IF(OR($C327="",$D327=0),"",$E327/$D327)</f>
        <v/>
      </c>
      <c r="H327" s="0" t="str">
        <f aca="false">IF($C327="","",IF(COUNTIF('مواد المخزون'!$A$2:$A$90,$C327)&gt;0,"نعم","لا (خارج الجرد)"))</f>
        <v/>
      </c>
    </row>
    <row r="328" customFormat="false" ht="15" hidden="false" customHeight="false" outlineLevel="0" collapsed="false">
      <c r="A328" s="103"/>
      <c r="B328" s="104"/>
      <c r="C328" s="104"/>
      <c r="F328" s="107" t="str">
        <f aca="false">IF(OR($C328="",$D328=0),"",$E328/$D328)</f>
        <v/>
      </c>
      <c r="H328" s="0" t="str">
        <f aca="false">IF($C328="","",IF(COUNTIF('مواد المخزون'!$A$2:$A$90,$C328)&gt;0,"نعم","لا (خارج الجرد)"))</f>
        <v/>
      </c>
    </row>
    <row r="329" customFormat="false" ht="15" hidden="false" customHeight="false" outlineLevel="0" collapsed="false">
      <c r="A329" s="103"/>
      <c r="B329" s="104"/>
      <c r="C329" s="104"/>
      <c r="F329" s="107" t="str">
        <f aca="false">IF(OR($C329="",$D329=0),"",$E329/$D329)</f>
        <v/>
      </c>
      <c r="H329" s="0" t="str">
        <f aca="false">IF($C329="","",IF(COUNTIF('مواد المخزون'!$A$2:$A$90,$C329)&gt;0,"نعم","لا (خارج الجرد)"))</f>
        <v/>
      </c>
    </row>
    <row r="330" customFormat="false" ht="15" hidden="false" customHeight="false" outlineLevel="0" collapsed="false">
      <c r="A330" s="103"/>
      <c r="B330" s="104"/>
      <c r="C330" s="104"/>
      <c r="F330" s="107" t="str">
        <f aca="false">IF(OR($C330="",$D330=0),"",$E330/$D330)</f>
        <v/>
      </c>
      <c r="H330" s="0" t="str">
        <f aca="false">IF($C330="","",IF(COUNTIF('مواد المخزون'!$A$2:$A$90,$C330)&gt;0,"نعم","لا (خارج الجرد)"))</f>
        <v/>
      </c>
    </row>
    <row r="331" customFormat="false" ht="15" hidden="false" customHeight="false" outlineLevel="0" collapsed="false">
      <c r="A331" s="103"/>
      <c r="B331" s="104"/>
      <c r="C331" s="104"/>
      <c r="F331" s="107" t="str">
        <f aca="false">IF(OR($C331="",$D331=0),"",$E331/$D331)</f>
        <v/>
      </c>
      <c r="H331" s="0" t="str">
        <f aca="false">IF($C331="","",IF(COUNTIF('مواد المخزون'!$A$2:$A$90,$C331)&gt;0,"نعم","لا (خارج الجرد)"))</f>
        <v/>
      </c>
    </row>
    <row r="332" customFormat="false" ht="15" hidden="false" customHeight="false" outlineLevel="0" collapsed="false">
      <c r="A332" s="103"/>
      <c r="B332" s="104"/>
      <c r="C332" s="104"/>
      <c r="F332" s="107" t="str">
        <f aca="false">IF(OR($C332="",$D332=0),"",$E332/$D332)</f>
        <v/>
      </c>
      <c r="H332" s="0" t="str">
        <f aca="false">IF($C332="","",IF(COUNTIF('مواد المخزون'!$A$2:$A$90,$C332)&gt;0,"نعم","لا (خارج الجرد)"))</f>
        <v/>
      </c>
    </row>
    <row r="333" customFormat="false" ht="15" hidden="false" customHeight="false" outlineLevel="0" collapsed="false">
      <c r="A333" s="103"/>
      <c r="B333" s="104"/>
      <c r="C333" s="104"/>
      <c r="F333" s="107" t="str">
        <f aca="false">IF(OR($C333="",$D333=0),"",$E333/$D333)</f>
        <v/>
      </c>
      <c r="H333" s="0" t="str">
        <f aca="false">IF($C333="","",IF(COUNTIF('مواد المخزون'!$A$2:$A$90,$C333)&gt;0,"نعم","لا (خارج الجرد)"))</f>
        <v/>
      </c>
    </row>
    <row r="334" customFormat="false" ht="15" hidden="false" customHeight="false" outlineLevel="0" collapsed="false">
      <c r="A334" s="103"/>
      <c r="B334" s="104"/>
      <c r="C334" s="104"/>
      <c r="F334" s="107" t="str">
        <f aca="false">IF(OR($C334="",$D334=0),"",$E334/$D334)</f>
        <v/>
      </c>
      <c r="H334" s="0" t="str">
        <f aca="false">IF($C334="","",IF(COUNTIF('مواد المخزون'!$A$2:$A$90,$C334)&gt;0,"نعم","لا (خارج الجرد)"))</f>
        <v/>
      </c>
    </row>
    <row r="335" customFormat="false" ht="15" hidden="false" customHeight="false" outlineLevel="0" collapsed="false">
      <c r="A335" s="103"/>
      <c r="B335" s="104"/>
      <c r="C335" s="104"/>
      <c r="F335" s="107" t="str">
        <f aca="false">IF(OR($C335="",$D335=0),"",$E335/$D335)</f>
        <v/>
      </c>
      <c r="H335" s="0" t="str">
        <f aca="false">IF($C335="","",IF(COUNTIF('مواد المخزون'!$A$2:$A$90,$C335)&gt;0,"نعم","لا (خارج الجرد)"))</f>
        <v/>
      </c>
    </row>
    <row r="336" customFormat="false" ht="15" hidden="false" customHeight="false" outlineLevel="0" collapsed="false">
      <c r="A336" s="103"/>
      <c r="B336" s="104"/>
      <c r="C336" s="104"/>
      <c r="F336" s="107" t="str">
        <f aca="false">IF(OR($C336="",$D336=0),"",$E336/$D336)</f>
        <v/>
      </c>
      <c r="H336" s="0" t="str">
        <f aca="false">IF($C336="","",IF(COUNTIF('مواد المخزون'!$A$2:$A$90,$C336)&gt;0,"نعم","لا (خارج الجرد)"))</f>
        <v/>
      </c>
    </row>
    <row r="337" customFormat="false" ht="15" hidden="false" customHeight="false" outlineLevel="0" collapsed="false">
      <c r="A337" s="103"/>
      <c r="B337" s="104"/>
      <c r="C337" s="104"/>
      <c r="F337" s="107" t="str">
        <f aca="false">IF(OR($C337="",$D337=0),"",$E337/$D337)</f>
        <v/>
      </c>
      <c r="H337" s="0" t="str">
        <f aca="false">IF($C337="","",IF(COUNTIF('مواد المخزون'!$A$2:$A$90,$C337)&gt;0,"نعم","لا (خارج الجرد)"))</f>
        <v/>
      </c>
    </row>
    <row r="338" customFormat="false" ht="15" hidden="false" customHeight="false" outlineLevel="0" collapsed="false">
      <c r="A338" s="103"/>
      <c r="B338" s="104"/>
      <c r="C338" s="104"/>
      <c r="F338" s="107" t="str">
        <f aca="false">IF(OR($C338="",$D338=0),"",$E338/$D338)</f>
        <v/>
      </c>
      <c r="H338" s="0" t="str">
        <f aca="false">IF($C338="","",IF(COUNTIF('مواد المخزون'!$A$2:$A$90,$C338)&gt;0,"نعم","لا (خارج الجرد)"))</f>
        <v/>
      </c>
    </row>
    <row r="339" customFormat="false" ht="15" hidden="false" customHeight="false" outlineLevel="0" collapsed="false">
      <c r="A339" s="103"/>
      <c r="B339" s="104"/>
      <c r="C339" s="104"/>
      <c r="F339" s="107" t="str">
        <f aca="false">IF(OR($C339="",$D339=0),"",$E339/$D339)</f>
        <v/>
      </c>
      <c r="H339" s="0" t="str">
        <f aca="false">IF($C339="","",IF(COUNTIF('مواد المخزون'!$A$2:$A$90,$C339)&gt;0,"نعم","لا (خارج الجرد)"))</f>
        <v/>
      </c>
    </row>
    <row r="340" customFormat="false" ht="15" hidden="false" customHeight="false" outlineLevel="0" collapsed="false">
      <c r="A340" s="103"/>
      <c r="B340" s="104"/>
      <c r="C340" s="104"/>
      <c r="F340" s="107" t="str">
        <f aca="false">IF(OR($C340="",$D340=0),"",$E340/$D340)</f>
        <v/>
      </c>
      <c r="H340" s="0" t="str">
        <f aca="false">IF($C340="","",IF(COUNTIF('مواد المخزون'!$A$2:$A$90,$C340)&gt;0,"نعم","لا (خارج الجرد)"))</f>
        <v/>
      </c>
    </row>
    <row r="341" customFormat="false" ht="15" hidden="false" customHeight="false" outlineLevel="0" collapsed="false">
      <c r="A341" s="103"/>
      <c r="B341" s="104"/>
      <c r="C341" s="104"/>
      <c r="F341" s="107" t="str">
        <f aca="false">IF(OR($C341="",$D341=0),"",$E341/$D341)</f>
        <v/>
      </c>
      <c r="H341" s="0" t="str">
        <f aca="false">IF($C341="","",IF(COUNTIF('مواد المخزون'!$A$2:$A$90,$C341)&gt;0,"نعم","لا (خارج الجرد)"))</f>
        <v/>
      </c>
    </row>
    <row r="342" customFormat="false" ht="15" hidden="false" customHeight="false" outlineLevel="0" collapsed="false">
      <c r="A342" s="103"/>
      <c r="B342" s="104"/>
      <c r="C342" s="104"/>
      <c r="F342" s="107" t="str">
        <f aca="false">IF(OR($C342="",$D342=0),"",$E342/$D342)</f>
        <v/>
      </c>
      <c r="H342" s="0" t="str">
        <f aca="false">IF($C342="","",IF(COUNTIF('مواد المخزون'!$A$2:$A$90,$C342)&gt;0,"نعم","لا (خارج الجرد)"))</f>
        <v/>
      </c>
    </row>
    <row r="343" customFormat="false" ht="15" hidden="false" customHeight="false" outlineLevel="0" collapsed="false">
      <c r="A343" s="103"/>
      <c r="B343" s="104"/>
      <c r="C343" s="104"/>
      <c r="F343" s="107" t="str">
        <f aca="false">IF(OR($C343="",$D343=0),"",$E343/$D343)</f>
        <v/>
      </c>
      <c r="H343" s="0" t="str">
        <f aca="false">IF($C343="","",IF(COUNTIF('مواد المخزون'!$A$2:$A$90,$C343)&gt;0,"نعم","لا (خارج الجرد)"))</f>
        <v/>
      </c>
    </row>
    <row r="344" customFormat="false" ht="15" hidden="false" customHeight="false" outlineLevel="0" collapsed="false">
      <c r="A344" s="103"/>
      <c r="B344" s="104"/>
      <c r="C344" s="104"/>
      <c r="F344" s="107" t="str">
        <f aca="false">IF(OR($C344="",$D344=0),"",$E344/$D344)</f>
        <v/>
      </c>
      <c r="H344" s="0" t="str">
        <f aca="false">IF($C344="","",IF(COUNTIF('مواد المخزون'!$A$2:$A$90,$C344)&gt;0,"نعم","لا (خارج الجرد)"))</f>
        <v/>
      </c>
    </row>
    <row r="345" customFormat="false" ht="15" hidden="false" customHeight="false" outlineLevel="0" collapsed="false">
      <c r="A345" s="103"/>
      <c r="B345" s="104"/>
      <c r="C345" s="104"/>
      <c r="F345" s="107" t="str">
        <f aca="false">IF(OR($C345="",$D345=0),"",$E345/$D345)</f>
        <v/>
      </c>
      <c r="H345" s="0" t="str">
        <f aca="false">IF($C345="","",IF(COUNTIF('مواد المخزون'!$A$2:$A$90,$C345)&gt;0,"نعم","لا (خارج الجرد)"))</f>
        <v/>
      </c>
    </row>
    <row r="346" customFormat="false" ht="15" hidden="false" customHeight="false" outlineLevel="0" collapsed="false">
      <c r="A346" s="103"/>
      <c r="B346" s="104"/>
      <c r="C346" s="104"/>
      <c r="F346" s="107" t="str">
        <f aca="false">IF(OR($C346="",$D346=0),"",$E346/$D346)</f>
        <v/>
      </c>
      <c r="H346" s="0" t="str">
        <f aca="false">IF($C346="","",IF(COUNTIF('مواد المخزون'!$A$2:$A$90,$C346)&gt;0,"نعم","لا (خارج الجرد)"))</f>
        <v/>
      </c>
    </row>
    <row r="347" customFormat="false" ht="15" hidden="false" customHeight="false" outlineLevel="0" collapsed="false">
      <c r="A347" s="103"/>
      <c r="B347" s="104"/>
      <c r="C347" s="104"/>
      <c r="F347" s="107" t="str">
        <f aca="false">IF(OR($C347="",$D347=0),"",$E347/$D347)</f>
        <v/>
      </c>
      <c r="H347" s="0" t="str">
        <f aca="false">IF($C347="","",IF(COUNTIF('مواد المخزون'!$A$2:$A$90,$C347)&gt;0,"نعم","لا (خارج الجرد)"))</f>
        <v/>
      </c>
    </row>
    <row r="348" customFormat="false" ht="15" hidden="false" customHeight="false" outlineLevel="0" collapsed="false">
      <c r="A348" s="103"/>
      <c r="B348" s="104"/>
      <c r="C348" s="104"/>
      <c r="F348" s="107" t="str">
        <f aca="false">IF(OR($C348="",$D348=0),"",$E348/$D348)</f>
        <v/>
      </c>
      <c r="H348" s="0" t="str">
        <f aca="false">IF($C348="","",IF(COUNTIF('مواد المخزون'!$A$2:$A$90,$C348)&gt;0,"نعم","لا (خارج الجرد)"))</f>
        <v/>
      </c>
    </row>
    <row r="349" customFormat="false" ht="15" hidden="false" customHeight="false" outlineLevel="0" collapsed="false">
      <c r="A349" s="103"/>
      <c r="B349" s="104"/>
      <c r="C349" s="104"/>
      <c r="F349" s="107" t="str">
        <f aca="false">IF(OR($C349="",$D349=0),"",$E349/$D349)</f>
        <v/>
      </c>
      <c r="H349" s="0" t="str">
        <f aca="false">IF($C349="","",IF(COUNTIF('مواد المخزون'!$A$2:$A$90,$C349)&gt;0,"نعم","لا (خارج الجرد)"))</f>
        <v/>
      </c>
    </row>
    <row r="350" customFormat="false" ht="15" hidden="false" customHeight="false" outlineLevel="0" collapsed="false">
      <c r="A350" s="103"/>
      <c r="B350" s="104"/>
      <c r="C350" s="104"/>
      <c r="F350" s="107" t="str">
        <f aca="false">IF(OR($C350="",$D350=0),"",$E350/$D350)</f>
        <v/>
      </c>
      <c r="H350" s="0" t="str">
        <f aca="false">IF($C350="","",IF(COUNTIF('مواد المخزون'!$A$2:$A$90,$C350)&gt;0,"نعم","لا (خارج الجرد)"))</f>
        <v/>
      </c>
    </row>
    <row r="351" customFormat="false" ht="15" hidden="false" customHeight="false" outlineLevel="0" collapsed="false">
      <c r="A351" s="103"/>
      <c r="B351" s="104"/>
      <c r="C351" s="104"/>
      <c r="F351" s="107" t="str">
        <f aca="false">IF(OR($C351="",$D351=0),"",$E351/$D351)</f>
        <v/>
      </c>
      <c r="H351" s="0" t="str">
        <f aca="false">IF($C351="","",IF(COUNTIF('مواد المخزون'!$A$2:$A$90,$C351)&gt;0,"نعم","لا (خارج الجرد)"))</f>
        <v/>
      </c>
    </row>
    <row r="352" customFormat="false" ht="15" hidden="false" customHeight="false" outlineLevel="0" collapsed="false">
      <c r="A352" s="103"/>
      <c r="B352" s="104"/>
      <c r="C352" s="104"/>
      <c r="F352" s="107" t="str">
        <f aca="false">IF(OR($C352="",$D352=0),"",$E352/$D352)</f>
        <v/>
      </c>
      <c r="H352" s="0" t="str">
        <f aca="false">IF($C352="","",IF(COUNTIF('مواد المخزون'!$A$2:$A$90,$C352)&gt;0,"نعم","لا (خارج الجرد)"))</f>
        <v/>
      </c>
    </row>
    <row r="353" customFormat="false" ht="15" hidden="false" customHeight="false" outlineLevel="0" collapsed="false">
      <c r="A353" s="103"/>
      <c r="B353" s="104"/>
      <c r="C353" s="104"/>
      <c r="F353" s="107" t="str">
        <f aca="false">IF(OR($C353="",$D353=0),"",$E353/$D353)</f>
        <v/>
      </c>
      <c r="H353" s="0" t="str">
        <f aca="false">IF($C353="","",IF(COUNTIF('مواد المخزون'!$A$2:$A$90,$C353)&gt;0,"نعم","لا (خارج الجرد)"))</f>
        <v/>
      </c>
    </row>
    <row r="354" customFormat="false" ht="15" hidden="false" customHeight="false" outlineLevel="0" collapsed="false">
      <c r="A354" s="103"/>
      <c r="B354" s="104"/>
      <c r="C354" s="104"/>
      <c r="F354" s="107" t="str">
        <f aca="false">IF(OR($C354="",$D354=0),"",$E354/$D354)</f>
        <v/>
      </c>
      <c r="H354" s="0" t="str">
        <f aca="false">IF($C354="","",IF(COUNTIF('مواد المخزون'!$A$2:$A$90,$C354)&gt;0,"نعم","لا (خارج الجرد)"))</f>
        <v/>
      </c>
    </row>
    <row r="355" customFormat="false" ht="15" hidden="false" customHeight="false" outlineLevel="0" collapsed="false">
      <c r="A355" s="103"/>
      <c r="B355" s="104"/>
      <c r="C355" s="104"/>
      <c r="F355" s="107" t="str">
        <f aca="false">IF(OR($C355="",$D355=0),"",$E355/$D355)</f>
        <v/>
      </c>
      <c r="H355" s="0" t="str">
        <f aca="false">IF($C355="","",IF(COUNTIF('مواد المخزون'!$A$2:$A$90,$C355)&gt;0,"نعم","لا (خارج الجرد)"))</f>
        <v/>
      </c>
    </row>
    <row r="356" customFormat="false" ht="15" hidden="false" customHeight="false" outlineLevel="0" collapsed="false">
      <c r="A356" s="103"/>
      <c r="B356" s="104"/>
      <c r="C356" s="104"/>
      <c r="F356" s="107" t="str">
        <f aca="false">IF(OR($C356="",$D356=0),"",$E356/$D356)</f>
        <v/>
      </c>
      <c r="H356" s="0" t="str">
        <f aca="false">IF($C356="","",IF(COUNTIF('مواد المخزون'!$A$2:$A$90,$C356)&gt;0,"نعم","لا (خارج الجرد)"))</f>
        <v/>
      </c>
    </row>
    <row r="357" customFormat="false" ht="15" hidden="false" customHeight="false" outlineLevel="0" collapsed="false">
      <c r="A357" s="103"/>
      <c r="B357" s="104"/>
      <c r="C357" s="104"/>
      <c r="F357" s="107" t="str">
        <f aca="false">IF(OR($C357="",$D357=0),"",$E357/$D357)</f>
        <v/>
      </c>
      <c r="H357" s="0" t="str">
        <f aca="false">IF($C357="","",IF(COUNTIF('مواد المخزون'!$A$2:$A$90,$C357)&gt;0,"نعم","لا (خارج الجرد)"))</f>
        <v/>
      </c>
    </row>
    <row r="358" customFormat="false" ht="15" hidden="false" customHeight="false" outlineLevel="0" collapsed="false">
      <c r="A358" s="103"/>
      <c r="B358" s="104"/>
      <c r="C358" s="104"/>
      <c r="F358" s="107" t="str">
        <f aca="false">IF(OR($C358="",$D358=0),"",$E358/$D358)</f>
        <v/>
      </c>
      <c r="H358" s="0" t="str">
        <f aca="false">IF($C358="","",IF(COUNTIF('مواد المخزون'!$A$2:$A$90,$C358)&gt;0,"نعم","لا (خارج الجرد)"))</f>
        <v/>
      </c>
    </row>
    <row r="359" customFormat="false" ht="15" hidden="false" customHeight="false" outlineLevel="0" collapsed="false">
      <c r="A359" s="103"/>
      <c r="B359" s="104"/>
      <c r="C359" s="104"/>
      <c r="F359" s="107" t="str">
        <f aca="false">IF(OR($C359="",$D359=0),"",$E359/$D359)</f>
        <v/>
      </c>
      <c r="H359" s="0" t="str">
        <f aca="false">IF($C359="","",IF(COUNTIF('مواد المخزون'!$A$2:$A$90,$C359)&gt;0,"نعم","لا (خارج الجرد)"))</f>
        <v/>
      </c>
    </row>
    <row r="360" customFormat="false" ht="15" hidden="false" customHeight="false" outlineLevel="0" collapsed="false">
      <c r="A360" s="103"/>
      <c r="B360" s="104"/>
      <c r="C360" s="104"/>
      <c r="F360" s="107" t="str">
        <f aca="false">IF(OR($C360="",$D360=0),"",$E360/$D360)</f>
        <v/>
      </c>
      <c r="H360" s="0" t="str">
        <f aca="false">IF($C360="","",IF(COUNTIF('مواد المخزون'!$A$2:$A$90,$C360)&gt;0,"نعم","لا (خارج الجرد)"))</f>
        <v/>
      </c>
    </row>
    <row r="361" customFormat="false" ht="15" hidden="false" customHeight="false" outlineLevel="0" collapsed="false">
      <c r="A361" s="103"/>
      <c r="B361" s="104"/>
      <c r="C361" s="104"/>
      <c r="F361" s="107" t="str">
        <f aca="false">IF(OR($C361="",$D361=0),"",$E361/$D361)</f>
        <v/>
      </c>
      <c r="H361" s="0" t="str">
        <f aca="false">IF($C361="","",IF(COUNTIF('مواد المخزون'!$A$2:$A$90,$C361)&gt;0,"نعم","لا (خارج الجرد)"))</f>
        <v/>
      </c>
    </row>
    <row r="362" customFormat="false" ht="15" hidden="false" customHeight="false" outlineLevel="0" collapsed="false">
      <c r="A362" s="103"/>
      <c r="B362" s="104"/>
      <c r="C362" s="104"/>
      <c r="F362" s="107" t="str">
        <f aca="false">IF(OR($C362="",$D362=0),"",$E362/$D362)</f>
        <v/>
      </c>
      <c r="H362" s="0" t="str">
        <f aca="false">IF($C362="","",IF(COUNTIF('مواد المخزون'!$A$2:$A$90,$C362)&gt;0,"نعم","لا (خارج الجرد)"))</f>
        <v/>
      </c>
    </row>
    <row r="363" customFormat="false" ht="15" hidden="false" customHeight="false" outlineLevel="0" collapsed="false">
      <c r="A363" s="103"/>
      <c r="B363" s="104"/>
      <c r="C363" s="104"/>
      <c r="F363" s="107" t="str">
        <f aca="false">IF(OR($C363="",$D363=0),"",$E363/$D363)</f>
        <v/>
      </c>
      <c r="H363" s="0" t="str">
        <f aca="false">IF($C363="","",IF(COUNTIF('مواد المخزون'!$A$2:$A$90,$C363)&gt;0,"نعم","لا (خارج الجرد)"))</f>
        <v/>
      </c>
    </row>
    <row r="364" customFormat="false" ht="15" hidden="false" customHeight="false" outlineLevel="0" collapsed="false">
      <c r="A364" s="103"/>
      <c r="B364" s="104"/>
      <c r="C364" s="104"/>
      <c r="F364" s="107" t="str">
        <f aca="false">IF(OR($C364="",$D364=0),"",$E364/$D364)</f>
        <v/>
      </c>
      <c r="H364" s="0" t="str">
        <f aca="false">IF($C364="","",IF(COUNTIF('مواد المخزون'!$A$2:$A$90,$C364)&gt;0,"نعم","لا (خارج الجرد)"))</f>
        <v/>
      </c>
    </row>
    <row r="365" customFormat="false" ht="15" hidden="false" customHeight="false" outlineLevel="0" collapsed="false">
      <c r="A365" s="103"/>
      <c r="B365" s="104"/>
      <c r="C365" s="104"/>
      <c r="F365" s="107" t="str">
        <f aca="false">IF(OR($C365="",$D365=0),"",$E365/$D365)</f>
        <v/>
      </c>
      <c r="H365" s="0" t="str">
        <f aca="false">IF($C365="","",IF(COUNTIF('مواد المخزون'!$A$2:$A$90,$C365)&gt;0,"نعم","لا (خارج الجرد)"))</f>
        <v/>
      </c>
    </row>
    <row r="366" customFormat="false" ht="15" hidden="false" customHeight="false" outlineLevel="0" collapsed="false">
      <c r="A366" s="103"/>
      <c r="B366" s="104"/>
      <c r="C366" s="104"/>
      <c r="F366" s="107" t="str">
        <f aca="false">IF(OR($C366="",$D366=0),"",$E366/$D366)</f>
        <v/>
      </c>
      <c r="H366" s="0" t="str">
        <f aca="false">IF($C366="","",IF(COUNTIF('مواد المخزون'!$A$2:$A$90,$C366)&gt;0,"نعم","لا (خارج الجرد)"))</f>
        <v/>
      </c>
    </row>
    <row r="367" customFormat="false" ht="15" hidden="false" customHeight="false" outlineLevel="0" collapsed="false">
      <c r="A367" s="103"/>
      <c r="B367" s="104"/>
      <c r="C367" s="104"/>
      <c r="F367" s="107" t="str">
        <f aca="false">IF(OR($C367="",$D367=0),"",$E367/$D367)</f>
        <v/>
      </c>
      <c r="H367" s="0" t="str">
        <f aca="false">IF($C367="","",IF(COUNTIF('مواد المخزون'!$A$2:$A$90,$C367)&gt;0,"نعم","لا (خارج الجرد)"))</f>
        <v/>
      </c>
    </row>
    <row r="368" customFormat="false" ht="15" hidden="false" customHeight="false" outlineLevel="0" collapsed="false">
      <c r="A368" s="103"/>
      <c r="B368" s="104"/>
      <c r="C368" s="104"/>
      <c r="F368" s="107" t="str">
        <f aca="false">IF(OR($C368="",$D368=0),"",$E368/$D368)</f>
        <v/>
      </c>
      <c r="H368" s="0" t="str">
        <f aca="false">IF($C368="","",IF(COUNTIF('مواد المخزون'!$A$2:$A$90,$C368)&gt;0,"نعم","لا (خارج الجرد)"))</f>
        <v/>
      </c>
    </row>
    <row r="369" customFormat="false" ht="15" hidden="false" customHeight="false" outlineLevel="0" collapsed="false">
      <c r="A369" s="103"/>
      <c r="B369" s="104"/>
      <c r="C369" s="104"/>
      <c r="F369" s="107" t="str">
        <f aca="false">IF(OR($C369="",$D369=0),"",$E369/$D369)</f>
        <v/>
      </c>
      <c r="H369" s="0" t="str">
        <f aca="false">IF($C369="","",IF(COUNTIF('مواد المخزون'!$A$2:$A$90,$C369)&gt;0,"نعم","لا (خارج الجرد)"))</f>
        <v/>
      </c>
    </row>
    <row r="370" customFormat="false" ht="15" hidden="false" customHeight="false" outlineLevel="0" collapsed="false">
      <c r="A370" s="103"/>
      <c r="B370" s="104"/>
      <c r="C370" s="104"/>
      <c r="F370" s="107" t="str">
        <f aca="false">IF(OR($C370="",$D370=0),"",$E370/$D370)</f>
        <v/>
      </c>
      <c r="H370" s="0" t="str">
        <f aca="false">IF($C370="","",IF(COUNTIF('مواد المخزون'!$A$2:$A$90,$C370)&gt;0,"نعم","لا (خارج الجرد)"))</f>
        <v/>
      </c>
    </row>
    <row r="371" customFormat="false" ht="15" hidden="false" customHeight="false" outlineLevel="0" collapsed="false">
      <c r="A371" s="103"/>
      <c r="B371" s="104"/>
      <c r="C371" s="104"/>
      <c r="F371" s="107" t="str">
        <f aca="false">IF(OR($C371="",$D371=0),"",$E371/$D371)</f>
        <v/>
      </c>
      <c r="H371" s="0" t="str">
        <f aca="false">IF($C371="","",IF(COUNTIF('مواد المخزون'!$A$2:$A$90,$C371)&gt;0,"نعم","لا (خارج الجرد)"))</f>
        <v/>
      </c>
    </row>
    <row r="372" customFormat="false" ht="15" hidden="false" customHeight="false" outlineLevel="0" collapsed="false">
      <c r="A372" s="103"/>
      <c r="B372" s="104"/>
      <c r="C372" s="104"/>
      <c r="F372" s="107" t="str">
        <f aca="false">IF(OR($C372="",$D372=0),"",$E372/$D372)</f>
        <v/>
      </c>
      <c r="H372" s="0" t="str">
        <f aca="false">IF($C372="","",IF(COUNTIF('مواد المخزون'!$A$2:$A$90,$C372)&gt;0,"نعم","لا (خارج الجرد)"))</f>
        <v/>
      </c>
    </row>
    <row r="373" customFormat="false" ht="15" hidden="false" customHeight="false" outlineLevel="0" collapsed="false">
      <c r="A373" s="103"/>
      <c r="B373" s="104"/>
      <c r="C373" s="104"/>
      <c r="F373" s="107" t="str">
        <f aca="false">IF(OR($C373="",$D373=0),"",$E373/$D373)</f>
        <v/>
      </c>
      <c r="H373" s="0" t="str">
        <f aca="false">IF($C373="","",IF(COUNTIF('مواد المخزون'!$A$2:$A$90,$C373)&gt;0,"نعم","لا (خارج الجرد)"))</f>
        <v/>
      </c>
    </row>
    <row r="374" customFormat="false" ht="15" hidden="false" customHeight="false" outlineLevel="0" collapsed="false">
      <c r="A374" s="103"/>
      <c r="B374" s="104"/>
      <c r="C374" s="104"/>
      <c r="F374" s="107" t="str">
        <f aca="false">IF(OR($C374="",$D374=0),"",$E374/$D374)</f>
        <v/>
      </c>
      <c r="H374" s="0" t="str">
        <f aca="false">IF($C374="","",IF(COUNTIF('مواد المخزون'!$A$2:$A$90,$C374)&gt;0,"نعم","لا (خارج الجرد)"))</f>
        <v/>
      </c>
    </row>
    <row r="375" customFormat="false" ht="15" hidden="false" customHeight="false" outlineLevel="0" collapsed="false">
      <c r="A375" s="103"/>
      <c r="B375" s="104"/>
      <c r="C375" s="104"/>
      <c r="F375" s="107" t="str">
        <f aca="false">IF(OR($C375="",$D375=0),"",$E375/$D375)</f>
        <v/>
      </c>
      <c r="H375" s="0" t="str">
        <f aca="false">IF($C375="","",IF(COUNTIF('مواد المخزون'!$A$2:$A$90,$C375)&gt;0,"نعم","لا (خارج الجرد)"))</f>
        <v/>
      </c>
    </row>
    <row r="376" customFormat="false" ht="15" hidden="false" customHeight="false" outlineLevel="0" collapsed="false">
      <c r="A376" s="103"/>
      <c r="B376" s="104"/>
      <c r="C376" s="104"/>
      <c r="F376" s="107" t="str">
        <f aca="false">IF(OR($C376="",$D376=0),"",$E376/$D376)</f>
        <v/>
      </c>
      <c r="H376" s="0" t="str">
        <f aca="false">IF($C376="","",IF(COUNTIF('مواد المخزون'!$A$2:$A$90,$C376)&gt;0,"نعم","لا (خارج الجرد)"))</f>
        <v/>
      </c>
    </row>
    <row r="377" customFormat="false" ht="15" hidden="false" customHeight="false" outlineLevel="0" collapsed="false">
      <c r="A377" s="103"/>
      <c r="B377" s="104"/>
      <c r="C377" s="104"/>
      <c r="F377" s="107" t="str">
        <f aca="false">IF(OR($C377="",$D377=0),"",$E377/$D377)</f>
        <v/>
      </c>
      <c r="H377" s="0" t="str">
        <f aca="false">IF($C377="","",IF(COUNTIF('مواد المخزون'!$A$2:$A$90,$C377)&gt;0,"نعم","لا (خارج الجرد)"))</f>
        <v/>
      </c>
    </row>
    <row r="378" customFormat="false" ht="15" hidden="false" customHeight="false" outlineLevel="0" collapsed="false">
      <c r="A378" s="103"/>
      <c r="B378" s="104"/>
      <c r="C378" s="104"/>
      <c r="F378" s="107" t="str">
        <f aca="false">IF(OR($C378="",$D378=0),"",$E378/$D378)</f>
        <v/>
      </c>
      <c r="H378" s="0" t="str">
        <f aca="false">IF($C378="","",IF(COUNTIF('مواد المخزون'!$A$2:$A$90,$C378)&gt;0,"نعم","لا (خارج الجرد)"))</f>
        <v/>
      </c>
    </row>
    <row r="379" customFormat="false" ht="15" hidden="false" customHeight="false" outlineLevel="0" collapsed="false">
      <c r="A379" s="103"/>
      <c r="B379" s="104"/>
      <c r="C379" s="104"/>
      <c r="F379" s="107" t="str">
        <f aca="false">IF(OR($C379="",$D379=0),"",$E379/$D379)</f>
        <v/>
      </c>
      <c r="H379" s="0" t="str">
        <f aca="false">IF($C379="","",IF(COUNTIF('مواد المخزون'!$A$2:$A$90,$C379)&gt;0,"نعم","لا (خارج الجرد)"))</f>
        <v/>
      </c>
    </row>
    <row r="380" customFormat="false" ht="15" hidden="false" customHeight="false" outlineLevel="0" collapsed="false">
      <c r="A380" s="103"/>
      <c r="B380" s="104"/>
      <c r="C380" s="104"/>
      <c r="F380" s="107" t="str">
        <f aca="false">IF(OR($C380="",$D380=0),"",$E380/$D380)</f>
        <v/>
      </c>
      <c r="H380" s="0" t="str">
        <f aca="false">IF($C380="","",IF(COUNTIF('مواد المخزون'!$A$2:$A$90,$C380)&gt;0,"نعم","لا (خارج الجرد)"))</f>
        <v/>
      </c>
    </row>
    <row r="381" customFormat="false" ht="15" hidden="false" customHeight="false" outlineLevel="0" collapsed="false">
      <c r="A381" s="103"/>
      <c r="B381" s="104"/>
      <c r="C381" s="104"/>
      <c r="F381" s="107" t="str">
        <f aca="false">IF(OR($C381="",$D381=0),"",$E381/$D381)</f>
        <v/>
      </c>
      <c r="H381" s="0" t="str">
        <f aca="false">IF($C381="","",IF(COUNTIF('مواد المخزون'!$A$2:$A$90,$C381)&gt;0,"نعم","لا (خارج الجرد)"))</f>
        <v/>
      </c>
    </row>
    <row r="382" customFormat="false" ht="15" hidden="false" customHeight="false" outlineLevel="0" collapsed="false">
      <c r="A382" s="103"/>
      <c r="B382" s="104"/>
      <c r="C382" s="104"/>
      <c r="F382" s="107" t="str">
        <f aca="false">IF(OR($C382="",$D382=0),"",$E382/$D382)</f>
        <v/>
      </c>
      <c r="H382" s="0" t="str">
        <f aca="false">IF($C382="","",IF(COUNTIF('مواد المخزون'!$A$2:$A$90,$C382)&gt;0,"نعم","لا (خارج الجرد)"))</f>
        <v/>
      </c>
    </row>
    <row r="383" customFormat="false" ht="15" hidden="false" customHeight="false" outlineLevel="0" collapsed="false">
      <c r="A383" s="103"/>
      <c r="B383" s="104"/>
      <c r="C383" s="104"/>
      <c r="F383" s="107" t="str">
        <f aca="false">IF(OR($C383="",$D383=0),"",$E383/$D383)</f>
        <v/>
      </c>
      <c r="H383" s="0" t="str">
        <f aca="false">IF($C383="","",IF(COUNTIF('مواد المخزون'!$A$2:$A$90,$C383)&gt;0,"نعم","لا (خارج الجرد)"))</f>
        <v/>
      </c>
    </row>
    <row r="384" customFormat="false" ht="15" hidden="false" customHeight="false" outlineLevel="0" collapsed="false">
      <c r="A384" s="103"/>
      <c r="B384" s="104"/>
      <c r="C384" s="104"/>
      <c r="F384" s="107" t="str">
        <f aca="false">IF(OR($C384="",$D384=0),"",$E384/$D384)</f>
        <v/>
      </c>
      <c r="H384" s="0" t="str">
        <f aca="false">IF($C384="","",IF(COUNTIF('مواد المخزون'!$A$2:$A$90,$C384)&gt;0,"نعم","لا (خارج الجرد)"))</f>
        <v/>
      </c>
    </row>
    <row r="385" customFormat="false" ht="15" hidden="false" customHeight="false" outlineLevel="0" collapsed="false">
      <c r="A385" s="103"/>
      <c r="B385" s="104"/>
      <c r="C385" s="104"/>
      <c r="F385" s="107" t="str">
        <f aca="false">IF(OR($C385="",$D385=0),"",$E385/$D385)</f>
        <v/>
      </c>
      <c r="H385" s="0" t="str">
        <f aca="false">IF($C385="","",IF(COUNTIF('مواد المخزون'!$A$2:$A$90,$C385)&gt;0,"نعم","لا (خارج الجرد)"))</f>
        <v/>
      </c>
    </row>
    <row r="386" customFormat="false" ht="15" hidden="false" customHeight="false" outlineLevel="0" collapsed="false">
      <c r="A386" s="103"/>
      <c r="B386" s="104"/>
      <c r="C386" s="104"/>
      <c r="F386" s="107" t="str">
        <f aca="false">IF(OR($C386="",$D386=0),"",$E386/$D386)</f>
        <v/>
      </c>
      <c r="H386" s="0" t="str">
        <f aca="false">IF($C386="","",IF(COUNTIF('مواد المخزون'!$A$2:$A$90,$C386)&gt;0,"نعم","لا (خارج الجرد)"))</f>
        <v/>
      </c>
    </row>
    <row r="387" customFormat="false" ht="15" hidden="false" customHeight="false" outlineLevel="0" collapsed="false">
      <c r="A387" s="103"/>
      <c r="B387" s="104"/>
      <c r="C387" s="104"/>
      <c r="F387" s="107" t="str">
        <f aca="false">IF(OR($C387="",$D387=0),"",$E387/$D387)</f>
        <v/>
      </c>
      <c r="H387" s="0" t="str">
        <f aca="false">IF($C387="","",IF(COUNTIF('مواد المخزون'!$A$2:$A$90,$C387)&gt;0,"نعم","لا (خارج الجرد)"))</f>
        <v/>
      </c>
    </row>
    <row r="388" customFormat="false" ht="15" hidden="false" customHeight="false" outlineLevel="0" collapsed="false">
      <c r="A388" s="103"/>
      <c r="B388" s="104"/>
      <c r="C388" s="104"/>
      <c r="F388" s="107" t="str">
        <f aca="false">IF(OR($C388="",$D388=0),"",$E388/$D388)</f>
        <v/>
      </c>
      <c r="H388" s="0" t="str">
        <f aca="false">IF($C388="","",IF(COUNTIF('مواد المخزون'!$A$2:$A$90,$C388)&gt;0,"نعم","لا (خارج الجرد)"))</f>
        <v/>
      </c>
    </row>
    <row r="389" customFormat="false" ht="15" hidden="false" customHeight="false" outlineLevel="0" collapsed="false">
      <c r="A389" s="103"/>
      <c r="B389" s="104"/>
      <c r="C389" s="104"/>
      <c r="F389" s="107" t="str">
        <f aca="false">IF(OR($C389="",$D389=0),"",$E389/$D389)</f>
        <v/>
      </c>
      <c r="H389" s="0" t="str">
        <f aca="false">IF($C389="","",IF(COUNTIF('مواد المخزون'!$A$2:$A$90,$C389)&gt;0,"نعم","لا (خارج الجرد)"))</f>
        <v/>
      </c>
    </row>
    <row r="390" customFormat="false" ht="15" hidden="false" customHeight="false" outlineLevel="0" collapsed="false">
      <c r="A390" s="103"/>
      <c r="B390" s="104"/>
      <c r="C390" s="104"/>
      <c r="F390" s="107" t="str">
        <f aca="false">IF(OR($C390="",$D390=0),"",$E390/$D390)</f>
        <v/>
      </c>
      <c r="H390" s="0" t="str">
        <f aca="false">IF($C390="","",IF(COUNTIF('مواد المخزون'!$A$2:$A$90,$C390)&gt;0,"نعم","لا (خارج الجرد)"))</f>
        <v/>
      </c>
    </row>
    <row r="391" customFormat="false" ht="15" hidden="false" customHeight="false" outlineLevel="0" collapsed="false">
      <c r="A391" s="103"/>
      <c r="B391" s="104"/>
      <c r="C391" s="104"/>
      <c r="F391" s="107" t="str">
        <f aca="false">IF(OR($C391="",$D391=0),"",$E391/$D391)</f>
        <v/>
      </c>
      <c r="H391" s="0" t="str">
        <f aca="false">IF($C391="","",IF(COUNTIF('مواد المخزون'!$A$2:$A$90,$C391)&gt;0,"نعم","لا (خارج الجرد)"))</f>
        <v/>
      </c>
    </row>
    <row r="392" customFormat="false" ht="15" hidden="false" customHeight="false" outlineLevel="0" collapsed="false">
      <c r="A392" s="103"/>
      <c r="B392" s="104"/>
      <c r="C392" s="104"/>
      <c r="F392" s="107" t="str">
        <f aca="false">IF(OR($C392="",$D392=0),"",$E392/$D392)</f>
        <v/>
      </c>
      <c r="H392" s="0" t="str">
        <f aca="false">IF($C392="","",IF(COUNTIF('مواد المخزون'!$A$2:$A$90,$C392)&gt;0,"نعم","لا (خارج الجرد)"))</f>
        <v/>
      </c>
    </row>
    <row r="393" customFormat="false" ht="15" hidden="false" customHeight="false" outlineLevel="0" collapsed="false">
      <c r="A393" s="103"/>
      <c r="B393" s="104"/>
      <c r="C393" s="104"/>
      <c r="F393" s="107" t="str">
        <f aca="false">IF(OR($C393="",$D393=0),"",$E393/$D393)</f>
        <v/>
      </c>
      <c r="H393" s="0" t="str">
        <f aca="false">IF($C393="","",IF(COUNTIF('مواد المخزون'!$A$2:$A$90,$C393)&gt;0,"نعم","لا (خارج الجرد)"))</f>
        <v/>
      </c>
    </row>
    <row r="394" customFormat="false" ht="15" hidden="false" customHeight="false" outlineLevel="0" collapsed="false">
      <c r="A394" s="103"/>
      <c r="B394" s="104"/>
      <c r="C394" s="104"/>
      <c r="F394" s="107" t="str">
        <f aca="false">IF(OR($C394="",$D394=0),"",$E394/$D394)</f>
        <v/>
      </c>
      <c r="H394" s="0" t="str">
        <f aca="false">IF($C394="","",IF(COUNTIF('مواد المخزون'!$A$2:$A$90,$C394)&gt;0,"نعم","لا (خارج الجرد)"))</f>
        <v/>
      </c>
    </row>
    <row r="395" customFormat="false" ht="15" hidden="false" customHeight="false" outlineLevel="0" collapsed="false">
      <c r="A395" s="103"/>
      <c r="B395" s="104"/>
      <c r="C395" s="104"/>
      <c r="F395" s="107" t="str">
        <f aca="false">IF(OR($C395="",$D395=0),"",$E395/$D395)</f>
        <v/>
      </c>
      <c r="H395" s="0" t="str">
        <f aca="false">IF($C395="","",IF(COUNTIF('مواد المخزون'!$A$2:$A$90,$C395)&gt;0,"نعم","لا (خارج الجرد)"))</f>
        <v/>
      </c>
    </row>
    <row r="396" customFormat="false" ht="15" hidden="false" customHeight="false" outlineLevel="0" collapsed="false">
      <c r="A396" s="103"/>
      <c r="B396" s="104"/>
      <c r="C396" s="104"/>
      <c r="F396" s="107" t="str">
        <f aca="false">IF(OR($C396="",$D396=0),"",$E396/$D396)</f>
        <v/>
      </c>
      <c r="H396" s="0" t="str">
        <f aca="false">IF($C396="","",IF(COUNTIF('مواد المخزون'!$A$2:$A$90,$C396)&gt;0,"نعم","لا (خارج الجرد)"))</f>
        <v/>
      </c>
    </row>
    <row r="397" customFormat="false" ht="15" hidden="false" customHeight="false" outlineLevel="0" collapsed="false">
      <c r="A397" s="103"/>
      <c r="B397" s="104"/>
      <c r="C397" s="104"/>
      <c r="F397" s="107" t="str">
        <f aca="false">IF(OR($C397="",$D397=0),"",$E397/$D397)</f>
        <v/>
      </c>
      <c r="H397" s="0" t="str">
        <f aca="false">IF($C397="","",IF(COUNTIF('مواد المخزون'!$A$2:$A$90,$C397)&gt;0,"نعم","لا (خارج الجرد)"))</f>
        <v/>
      </c>
    </row>
    <row r="398" customFormat="false" ht="15" hidden="false" customHeight="false" outlineLevel="0" collapsed="false">
      <c r="A398" s="103"/>
      <c r="B398" s="104"/>
      <c r="C398" s="104"/>
      <c r="F398" s="107" t="str">
        <f aca="false">IF(OR($C398="",$D398=0),"",$E398/$D398)</f>
        <v/>
      </c>
      <c r="H398" s="0" t="str">
        <f aca="false">IF($C398="","",IF(COUNTIF('مواد المخزون'!$A$2:$A$90,$C398)&gt;0,"نعم","لا (خارج الجرد)"))</f>
        <v/>
      </c>
    </row>
    <row r="399" customFormat="false" ht="15" hidden="false" customHeight="false" outlineLevel="0" collapsed="false">
      <c r="A399" s="103"/>
      <c r="B399" s="104"/>
      <c r="C399" s="104"/>
      <c r="F399" s="107" t="str">
        <f aca="false">IF(OR($C399="",$D399=0),"",$E399/$D399)</f>
        <v/>
      </c>
      <c r="H399" s="0" t="str">
        <f aca="false">IF($C399="","",IF(COUNTIF('مواد المخزون'!$A$2:$A$90,$C399)&gt;0,"نعم","لا (خارج الجرد)"))</f>
        <v/>
      </c>
    </row>
    <row r="400" customFormat="false" ht="15" hidden="false" customHeight="false" outlineLevel="0" collapsed="false">
      <c r="A400" s="103"/>
      <c r="B400" s="104"/>
      <c r="C400" s="104"/>
      <c r="F400" s="107" t="str">
        <f aca="false">IF(OR($C400="",$D400=0),"",$E400/$D400)</f>
        <v/>
      </c>
      <c r="H400" s="0" t="str">
        <f aca="false">IF($C400="","",IF(COUNTIF('مواد المخزون'!$A$2:$A$90,$C400)&gt;0,"نعم","لا (خارج الجرد)"))</f>
        <v/>
      </c>
    </row>
    <row r="401" customFormat="false" ht="15" hidden="false" customHeight="false" outlineLevel="0" collapsed="false">
      <c r="A401" s="103"/>
      <c r="B401" s="104"/>
      <c r="C401" s="104"/>
      <c r="F401" s="107" t="str">
        <f aca="false">IF(OR($C401="",$D401=0),"",$E401/$D401)</f>
        <v/>
      </c>
      <c r="H401" s="0" t="str">
        <f aca="false">IF($C401="","",IF(COUNTIF('مواد المخزون'!$A$2:$A$90,$C401)&gt;0,"نعم","لا (خارج الجرد)"))</f>
        <v/>
      </c>
    </row>
    <row r="402" customFormat="false" ht="15" hidden="false" customHeight="false" outlineLevel="0" collapsed="false">
      <c r="A402" s="103"/>
      <c r="B402" s="104"/>
      <c r="C402" s="104"/>
      <c r="F402" s="107" t="str">
        <f aca="false">IF(OR($C402="",$D402=0),"",$E402/$D402)</f>
        <v/>
      </c>
      <c r="H402" s="0" t="str">
        <f aca="false">IF($C402="","",IF(COUNTIF('مواد المخزون'!$A$2:$A$90,$C402)&gt;0,"نعم","لا (خارج الجرد)"))</f>
        <v/>
      </c>
    </row>
    <row r="403" customFormat="false" ht="15" hidden="false" customHeight="false" outlineLevel="0" collapsed="false">
      <c r="A403" s="103"/>
      <c r="B403" s="104"/>
      <c r="C403" s="104"/>
      <c r="F403" s="107" t="str">
        <f aca="false">IF(OR($C403="",$D403=0),"",$E403/$D403)</f>
        <v/>
      </c>
      <c r="H403" s="0" t="str">
        <f aca="false">IF($C403="","",IF(COUNTIF('مواد المخزون'!$A$2:$A$90,$C403)&gt;0,"نعم","لا (خارج الجرد)"))</f>
        <v/>
      </c>
    </row>
    <row r="404" customFormat="false" ht="15" hidden="false" customHeight="false" outlineLevel="0" collapsed="false">
      <c r="A404" s="103"/>
      <c r="B404" s="104"/>
      <c r="C404" s="104"/>
      <c r="F404" s="107" t="str">
        <f aca="false">IF(OR($C404="",$D404=0),"",$E404/$D404)</f>
        <v/>
      </c>
      <c r="H404" s="0" t="str">
        <f aca="false">IF($C404="","",IF(COUNTIF('مواد المخزون'!$A$2:$A$90,$C404)&gt;0,"نعم","لا (خارج الجرد)"))</f>
        <v/>
      </c>
    </row>
    <row r="405" customFormat="false" ht="15" hidden="false" customHeight="false" outlineLevel="0" collapsed="false">
      <c r="A405" s="103"/>
      <c r="B405" s="104"/>
      <c r="C405" s="104"/>
      <c r="F405" s="107" t="str">
        <f aca="false">IF(OR($C405="",$D405=0),"",$E405/$D405)</f>
        <v/>
      </c>
      <c r="H405" s="0" t="str">
        <f aca="false">IF($C405="","",IF(COUNTIF('مواد المخزون'!$A$2:$A$90,$C405)&gt;0,"نعم","لا (خارج الجرد)"))</f>
        <v/>
      </c>
    </row>
    <row r="406" customFormat="false" ht="15" hidden="false" customHeight="false" outlineLevel="0" collapsed="false">
      <c r="A406" s="103"/>
      <c r="B406" s="104"/>
      <c r="C406" s="104"/>
      <c r="F406" s="107" t="str">
        <f aca="false">IF(OR($C406="",$D406=0),"",$E406/$D406)</f>
        <v/>
      </c>
      <c r="H406" s="0" t="str">
        <f aca="false">IF($C406="","",IF(COUNTIF('مواد المخزون'!$A$2:$A$90,$C406)&gt;0,"نعم","لا (خارج الجرد)"))</f>
        <v/>
      </c>
    </row>
    <row r="407" customFormat="false" ht="15" hidden="false" customHeight="false" outlineLevel="0" collapsed="false">
      <c r="A407" s="103"/>
      <c r="B407" s="104"/>
      <c r="C407" s="104"/>
      <c r="F407" s="107" t="str">
        <f aca="false">IF(OR($C407="",$D407=0),"",$E407/$D407)</f>
        <v/>
      </c>
      <c r="H407" s="0" t="str">
        <f aca="false">IF($C407="","",IF(COUNTIF('مواد المخزون'!$A$2:$A$90,$C407)&gt;0,"نعم","لا (خارج الجرد)"))</f>
        <v/>
      </c>
    </row>
    <row r="408" customFormat="false" ht="15" hidden="false" customHeight="false" outlineLevel="0" collapsed="false">
      <c r="A408" s="103"/>
      <c r="B408" s="104"/>
      <c r="C408" s="104"/>
      <c r="F408" s="107" t="str">
        <f aca="false">IF(OR($C408="",$D408=0),"",$E408/$D408)</f>
        <v/>
      </c>
      <c r="H408" s="0" t="str">
        <f aca="false">IF($C408="","",IF(COUNTIF('مواد المخزون'!$A$2:$A$90,$C408)&gt;0,"نعم","لا (خارج الجرد)"))</f>
        <v/>
      </c>
    </row>
    <row r="409" customFormat="false" ht="15" hidden="false" customHeight="false" outlineLevel="0" collapsed="false">
      <c r="A409" s="103"/>
      <c r="B409" s="104"/>
      <c r="C409" s="104"/>
      <c r="F409" s="107" t="str">
        <f aca="false">IF(OR($C409="",$D409=0),"",$E409/$D409)</f>
        <v/>
      </c>
      <c r="H409" s="0" t="str">
        <f aca="false">IF($C409="","",IF(COUNTIF('مواد المخزون'!$A$2:$A$90,$C409)&gt;0,"نعم","لا (خارج الجرد)"))</f>
        <v/>
      </c>
    </row>
    <row r="410" customFormat="false" ht="15" hidden="false" customHeight="false" outlineLevel="0" collapsed="false">
      <c r="A410" s="103"/>
      <c r="B410" s="104"/>
      <c r="C410" s="104"/>
      <c r="F410" s="107" t="str">
        <f aca="false">IF(OR($C410="",$D410=0),"",$E410/$D410)</f>
        <v/>
      </c>
      <c r="H410" s="0" t="str">
        <f aca="false">IF($C410="","",IF(COUNTIF('مواد المخزون'!$A$2:$A$90,$C410)&gt;0,"نعم","لا (خارج الجرد)"))</f>
        <v/>
      </c>
    </row>
    <row r="411" customFormat="false" ht="15" hidden="false" customHeight="false" outlineLevel="0" collapsed="false">
      <c r="A411" s="103"/>
      <c r="B411" s="104"/>
      <c r="C411" s="104"/>
      <c r="F411" s="107" t="str">
        <f aca="false">IF(OR($C411="",$D411=0),"",$E411/$D411)</f>
        <v/>
      </c>
      <c r="H411" s="0" t="str">
        <f aca="false">IF($C411="","",IF(COUNTIF('مواد المخزون'!$A$2:$A$90,$C411)&gt;0,"نعم","لا (خارج الجرد)"))</f>
        <v/>
      </c>
    </row>
    <row r="412" customFormat="false" ht="15" hidden="false" customHeight="false" outlineLevel="0" collapsed="false">
      <c r="A412" s="103"/>
      <c r="B412" s="104"/>
      <c r="C412" s="104"/>
      <c r="F412" s="107" t="str">
        <f aca="false">IF(OR($C412="",$D412=0),"",$E412/$D412)</f>
        <v/>
      </c>
      <c r="H412" s="0" t="str">
        <f aca="false">IF($C412="","",IF(COUNTIF('مواد المخزون'!$A$2:$A$90,$C412)&gt;0,"نعم","لا (خارج الجرد)"))</f>
        <v/>
      </c>
    </row>
    <row r="413" customFormat="false" ht="15" hidden="false" customHeight="false" outlineLevel="0" collapsed="false">
      <c r="A413" s="103"/>
      <c r="B413" s="104"/>
      <c r="C413" s="104"/>
      <c r="F413" s="107" t="str">
        <f aca="false">IF(OR($C413="",$D413=0),"",$E413/$D413)</f>
        <v/>
      </c>
      <c r="H413" s="0" t="str">
        <f aca="false">IF($C413="","",IF(COUNTIF('مواد المخزون'!$A$2:$A$90,$C413)&gt;0,"نعم","لا (خارج الجرد)"))</f>
        <v/>
      </c>
    </row>
    <row r="414" customFormat="false" ht="15" hidden="false" customHeight="false" outlineLevel="0" collapsed="false">
      <c r="A414" s="103"/>
      <c r="B414" s="104"/>
      <c r="C414" s="104"/>
      <c r="F414" s="107" t="str">
        <f aca="false">IF(OR($C414="",$D414=0),"",$E414/$D414)</f>
        <v/>
      </c>
      <c r="H414" s="0" t="str">
        <f aca="false">IF($C414="","",IF(COUNTIF('مواد المخزون'!$A$2:$A$90,$C414)&gt;0,"نعم","لا (خارج الجرد)"))</f>
        <v/>
      </c>
    </row>
    <row r="415" customFormat="false" ht="15" hidden="false" customHeight="false" outlineLevel="0" collapsed="false">
      <c r="A415" s="103"/>
      <c r="B415" s="104"/>
      <c r="C415" s="104"/>
      <c r="F415" s="107" t="str">
        <f aca="false">IF(OR($C415="",$D415=0),"",$E415/$D415)</f>
        <v/>
      </c>
      <c r="H415" s="0" t="str">
        <f aca="false">IF($C415="","",IF(COUNTIF('مواد المخزون'!$A$2:$A$90,$C415)&gt;0,"نعم","لا (خارج الجرد)"))</f>
        <v/>
      </c>
    </row>
    <row r="416" customFormat="false" ht="15" hidden="false" customHeight="false" outlineLevel="0" collapsed="false">
      <c r="A416" s="103"/>
      <c r="B416" s="104"/>
      <c r="C416" s="104"/>
      <c r="F416" s="107" t="str">
        <f aca="false">IF(OR($C416="",$D416=0),"",$E416/$D416)</f>
        <v/>
      </c>
      <c r="H416" s="0" t="str">
        <f aca="false">IF($C416="","",IF(COUNTIF('مواد المخزون'!$A$2:$A$90,$C416)&gt;0,"نعم","لا (خارج الجرد)"))</f>
        <v/>
      </c>
    </row>
    <row r="417" customFormat="false" ht="15" hidden="false" customHeight="false" outlineLevel="0" collapsed="false">
      <c r="A417" s="103"/>
      <c r="B417" s="104"/>
      <c r="C417" s="104"/>
      <c r="F417" s="107" t="str">
        <f aca="false">IF(OR($C417="",$D417=0),"",$E417/$D417)</f>
        <v/>
      </c>
      <c r="H417" s="0" t="str">
        <f aca="false">IF($C417="","",IF(COUNTIF('مواد المخزون'!$A$2:$A$90,$C417)&gt;0,"نعم","لا (خارج الجرد)"))</f>
        <v/>
      </c>
    </row>
    <row r="418" customFormat="false" ht="15" hidden="false" customHeight="false" outlineLevel="0" collapsed="false">
      <c r="A418" s="103"/>
      <c r="B418" s="104"/>
      <c r="C418" s="104"/>
      <c r="F418" s="107" t="str">
        <f aca="false">IF(OR($C418="",$D418=0),"",$E418/$D418)</f>
        <v/>
      </c>
      <c r="H418" s="0" t="str">
        <f aca="false">IF($C418="","",IF(COUNTIF('مواد المخزون'!$A$2:$A$90,$C418)&gt;0,"نعم","لا (خارج الجرد)"))</f>
        <v/>
      </c>
    </row>
    <row r="419" customFormat="false" ht="15" hidden="false" customHeight="false" outlineLevel="0" collapsed="false">
      <c r="A419" s="103"/>
      <c r="B419" s="104"/>
      <c r="C419" s="104"/>
      <c r="F419" s="107" t="str">
        <f aca="false">IF(OR($C419="",$D419=0),"",$E419/$D419)</f>
        <v/>
      </c>
      <c r="H419" s="0" t="str">
        <f aca="false">IF($C419="","",IF(COUNTIF('مواد المخزون'!$A$2:$A$90,$C419)&gt;0,"نعم","لا (خارج الجرد)"))</f>
        <v/>
      </c>
    </row>
    <row r="420" customFormat="false" ht="15" hidden="false" customHeight="false" outlineLevel="0" collapsed="false">
      <c r="A420" s="103"/>
      <c r="B420" s="104"/>
      <c r="C420" s="104"/>
      <c r="F420" s="107" t="str">
        <f aca="false">IF(OR($C420="",$D420=0),"",$E420/$D420)</f>
        <v/>
      </c>
      <c r="H420" s="0" t="str">
        <f aca="false">IF($C420="","",IF(COUNTIF('مواد المخزون'!$A$2:$A$90,$C420)&gt;0,"نعم","لا (خارج الجرد)"))</f>
        <v/>
      </c>
    </row>
    <row r="421" customFormat="false" ht="15" hidden="false" customHeight="false" outlineLevel="0" collapsed="false">
      <c r="A421" s="103"/>
      <c r="B421" s="104"/>
      <c r="C421" s="104"/>
      <c r="F421" s="107" t="str">
        <f aca="false">IF(OR($C421="",$D421=0),"",$E421/$D421)</f>
        <v/>
      </c>
      <c r="H421" s="0" t="str">
        <f aca="false">IF($C421="","",IF(COUNTIF('مواد المخزون'!$A$2:$A$90,$C421)&gt;0,"نعم","لا (خارج الجرد)"))</f>
        <v/>
      </c>
    </row>
    <row r="422" customFormat="false" ht="15" hidden="false" customHeight="false" outlineLevel="0" collapsed="false">
      <c r="A422" s="103"/>
      <c r="B422" s="104"/>
      <c r="C422" s="104"/>
      <c r="F422" s="107" t="str">
        <f aca="false">IF(OR($C422="",$D422=0),"",$E422/$D422)</f>
        <v/>
      </c>
      <c r="H422" s="0" t="str">
        <f aca="false">IF($C422="","",IF(COUNTIF('مواد المخزون'!$A$2:$A$90,$C422)&gt;0,"نعم","لا (خارج الجرد)"))</f>
        <v/>
      </c>
    </row>
    <row r="423" customFormat="false" ht="15" hidden="false" customHeight="false" outlineLevel="0" collapsed="false">
      <c r="A423" s="103"/>
      <c r="B423" s="104"/>
      <c r="C423" s="104"/>
      <c r="F423" s="107" t="str">
        <f aca="false">IF(OR($C423="",$D423=0),"",$E423/$D423)</f>
        <v/>
      </c>
      <c r="H423" s="0" t="str">
        <f aca="false">IF($C423="","",IF(COUNTIF('مواد المخزون'!$A$2:$A$90,$C423)&gt;0,"نعم","لا (خارج الجرد)"))</f>
        <v/>
      </c>
    </row>
    <row r="424" customFormat="false" ht="15" hidden="false" customHeight="false" outlineLevel="0" collapsed="false">
      <c r="A424" s="103"/>
      <c r="B424" s="104"/>
      <c r="C424" s="104"/>
      <c r="F424" s="107" t="str">
        <f aca="false">IF(OR($C424="",$D424=0),"",$E424/$D424)</f>
        <v/>
      </c>
      <c r="H424" s="0" t="str">
        <f aca="false">IF($C424="","",IF(COUNTIF('مواد المخزون'!$A$2:$A$90,$C424)&gt;0,"نعم","لا (خارج الجرد)"))</f>
        <v/>
      </c>
    </row>
    <row r="425" customFormat="false" ht="15" hidden="false" customHeight="false" outlineLevel="0" collapsed="false">
      <c r="A425" s="103"/>
      <c r="B425" s="104"/>
      <c r="C425" s="104"/>
      <c r="F425" s="107" t="str">
        <f aca="false">IF(OR($C425="",$D425=0),"",$E425/$D425)</f>
        <v/>
      </c>
      <c r="H425" s="0" t="str">
        <f aca="false">IF($C425="","",IF(COUNTIF('مواد المخزون'!$A$2:$A$90,$C425)&gt;0,"نعم","لا (خارج الجرد)"))</f>
        <v/>
      </c>
    </row>
    <row r="426" customFormat="false" ht="15" hidden="false" customHeight="false" outlineLevel="0" collapsed="false">
      <c r="A426" s="103"/>
      <c r="B426" s="104"/>
      <c r="C426" s="104"/>
      <c r="F426" s="107" t="str">
        <f aca="false">IF(OR($C426="",$D426=0),"",$E426/$D426)</f>
        <v/>
      </c>
      <c r="H426" s="0" t="str">
        <f aca="false">IF($C426="","",IF(COUNTIF('مواد المخزون'!$A$2:$A$90,$C426)&gt;0,"نعم","لا (خارج الجرد)"))</f>
        <v/>
      </c>
    </row>
    <row r="427" customFormat="false" ht="15" hidden="false" customHeight="false" outlineLevel="0" collapsed="false">
      <c r="A427" s="103"/>
      <c r="B427" s="104"/>
      <c r="C427" s="104"/>
      <c r="F427" s="107" t="str">
        <f aca="false">IF(OR($C427="",$D427=0),"",$E427/$D427)</f>
        <v/>
      </c>
      <c r="H427" s="0" t="str">
        <f aca="false">IF($C427="","",IF(COUNTIF('مواد المخزون'!$A$2:$A$90,$C427)&gt;0,"نعم","لا (خارج الجرد)"))</f>
        <v/>
      </c>
    </row>
    <row r="428" customFormat="false" ht="15" hidden="false" customHeight="false" outlineLevel="0" collapsed="false">
      <c r="A428" s="103"/>
      <c r="B428" s="104"/>
      <c r="C428" s="104"/>
      <c r="F428" s="107" t="str">
        <f aca="false">IF(OR($C428="",$D428=0),"",$E428/$D428)</f>
        <v/>
      </c>
      <c r="H428" s="0" t="str">
        <f aca="false">IF($C428="","",IF(COUNTIF('مواد المخزون'!$A$2:$A$90,$C428)&gt;0,"نعم","لا (خارج الجرد)"))</f>
        <v/>
      </c>
    </row>
    <row r="429" customFormat="false" ht="15" hidden="false" customHeight="false" outlineLevel="0" collapsed="false">
      <c r="A429" s="103"/>
      <c r="B429" s="104"/>
      <c r="C429" s="104"/>
      <c r="F429" s="107" t="str">
        <f aca="false">IF(OR($C429="",$D429=0),"",$E429/$D429)</f>
        <v/>
      </c>
      <c r="H429" s="0" t="str">
        <f aca="false">IF($C429="","",IF(COUNTIF('مواد المخزون'!$A$2:$A$90,$C429)&gt;0,"نعم","لا (خارج الجرد)"))</f>
        <v/>
      </c>
    </row>
    <row r="430" customFormat="false" ht="15" hidden="false" customHeight="false" outlineLevel="0" collapsed="false">
      <c r="A430" s="103"/>
      <c r="B430" s="104"/>
      <c r="C430" s="104"/>
      <c r="F430" s="107" t="str">
        <f aca="false">IF(OR($C430="",$D430=0),"",$E430/$D430)</f>
        <v/>
      </c>
      <c r="H430" s="0" t="str">
        <f aca="false">IF($C430="","",IF(COUNTIF('مواد المخزون'!$A$2:$A$90,$C430)&gt;0,"نعم","لا (خارج الجرد)"))</f>
        <v/>
      </c>
    </row>
    <row r="431" customFormat="false" ht="15" hidden="false" customHeight="false" outlineLevel="0" collapsed="false">
      <c r="A431" s="103"/>
      <c r="B431" s="104"/>
      <c r="C431" s="104"/>
      <c r="F431" s="107" t="str">
        <f aca="false">IF(OR($C431="",$D431=0),"",$E431/$D431)</f>
        <v/>
      </c>
      <c r="H431" s="0" t="str">
        <f aca="false">IF($C431="","",IF(COUNTIF('مواد المخزون'!$A$2:$A$90,$C431)&gt;0,"نعم","لا (خارج الجرد)"))</f>
        <v/>
      </c>
    </row>
    <row r="432" customFormat="false" ht="15" hidden="false" customHeight="false" outlineLevel="0" collapsed="false">
      <c r="A432" s="103"/>
      <c r="B432" s="104"/>
      <c r="C432" s="104"/>
      <c r="F432" s="107" t="str">
        <f aca="false">IF(OR($C432="",$D432=0),"",$E432/$D432)</f>
        <v/>
      </c>
      <c r="H432" s="0" t="str">
        <f aca="false">IF($C432="","",IF(COUNTIF('مواد المخزون'!$A$2:$A$90,$C432)&gt;0,"نعم","لا (خارج الجرد)"))</f>
        <v/>
      </c>
    </row>
    <row r="433" customFormat="false" ht="15" hidden="false" customHeight="false" outlineLevel="0" collapsed="false">
      <c r="A433" s="103"/>
      <c r="B433" s="104"/>
      <c r="C433" s="104"/>
      <c r="F433" s="107" t="str">
        <f aca="false">IF(OR($C433="",$D433=0),"",$E433/$D433)</f>
        <v/>
      </c>
      <c r="H433" s="0" t="str">
        <f aca="false">IF($C433="","",IF(COUNTIF('مواد المخزون'!$A$2:$A$90,$C433)&gt;0,"نعم","لا (خارج الجرد)"))</f>
        <v/>
      </c>
    </row>
    <row r="434" customFormat="false" ht="15" hidden="false" customHeight="false" outlineLevel="0" collapsed="false">
      <c r="A434" s="103"/>
      <c r="B434" s="104"/>
      <c r="C434" s="104"/>
      <c r="F434" s="107" t="str">
        <f aca="false">IF(OR($C434="",$D434=0),"",$E434/$D434)</f>
        <v/>
      </c>
      <c r="H434" s="0" t="str">
        <f aca="false">IF($C434="","",IF(COUNTIF('مواد المخزون'!$A$2:$A$90,$C434)&gt;0,"نعم","لا (خارج الجرد)"))</f>
        <v/>
      </c>
    </row>
    <row r="435" customFormat="false" ht="15" hidden="false" customHeight="false" outlineLevel="0" collapsed="false">
      <c r="A435" s="103"/>
      <c r="B435" s="104"/>
      <c r="C435" s="104"/>
      <c r="F435" s="107" t="str">
        <f aca="false">IF(OR($C435="",$D435=0),"",$E435/$D435)</f>
        <v/>
      </c>
      <c r="H435" s="0" t="str">
        <f aca="false">IF($C435="","",IF(COUNTIF('مواد المخزون'!$A$2:$A$90,$C435)&gt;0,"نعم","لا (خارج الجرد)"))</f>
        <v/>
      </c>
    </row>
    <row r="436" customFormat="false" ht="15" hidden="false" customHeight="false" outlineLevel="0" collapsed="false">
      <c r="A436" s="103"/>
      <c r="B436" s="104"/>
      <c r="C436" s="104"/>
      <c r="F436" s="107" t="str">
        <f aca="false">IF(OR($C436="",$D436=0),"",$E436/$D436)</f>
        <v/>
      </c>
      <c r="H436" s="0" t="str">
        <f aca="false">IF($C436="","",IF(COUNTIF('مواد المخزون'!$A$2:$A$90,$C436)&gt;0,"نعم","لا (خارج الجرد)"))</f>
        <v/>
      </c>
    </row>
    <row r="437" customFormat="false" ht="15" hidden="false" customHeight="false" outlineLevel="0" collapsed="false">
      <c r="A437" s="103"/>
      <c r="B437" s="104"/>
      <c r="C437" s="104"/>
      <c r="F437" s="107" t="str">
        <f aca="false">IF(OR($C437="",$D437=0),"",$E437/$D437)</f>
        <v/>
      </c>
      <c r="H437" s="0" t="str">
        <f aca="false">IF($C437="","",IF(COUNTIF('مواد المخزون'!$A$2:$A$90,$C437)&gt;0,"نعم","لا (خارج الجرد)"))</f>
        <v/>
      </c>
    </row>
    <row r="438" customFormat="false" ht="15" hidden="false" customHeight="false" outlineLevel="0" collapsed="false">
      <c r="A438" s="103"/>
      <c r="B438" s="104"/>
      <c r="C438" s="104"/>
      <c r="F438" s="107" t="str">
        <f aca="false">IF(OR($C438="",$D438=0),"",$E438/$D438)</f>
        <v/>
      </c>
      <c r="H438" s="0" t="str">
        <f aca="false">IF($C438="","",IF(COUNTIF('مواد المخزون'!$A$2:$A$90,$C438)&gt;0,"نعم","لا (خارج الجرد)"))</f>
        <v/>
      </c>
    </row>
    <row r="439" customFormat="false" ht="15" hidden="false" customHeight="false" outlineLevel="0" collapsed="false">
      <c r="A439" s="103"/>
      <c r="B439" s="104"/>
      <c r="C439" s="104"/>
      <c r="F439" s="107" t="str">
        <f aca="false">IF(OR($C439="",$D439=0),"",$E439/$D439)</f>
        <v/>
      </c>
      <c r="H439" s="0" t="str">
        <f aca="false">IF($C439="","",IF(COUNTIF('مواد المخزون'!$A$2:$A$90,$C439)&gt;0,"نعم","لا (خارج الجرد)"))</f>
        <v/>
      </c>
    </row>
    <row r="440" customFormat="false" ht="15" hidden="false" customHeight="false" outlineLevel="0" collapsed="false">
      <c r="A440" s="103"/>
      <c r="B440" s="104"/>
      <c r="C440" s="104"/>
      <c r="F440" s="107" t="str">
        <f aca="false">IF(OR($C440="",$D440=0),"",$E440/$D440)</f>
        <v/>
      </c>
      <c r="H440" s="0" t="str">
        <f aca="false">IF($C440="","",IF(COUNTIF('مواد المخزون'!$A$2:$A$90,$C440)&gt;0,"نعم","لا (خارج الجرد)"))</f>
        <v/>
      </c>
    </row>
    <row r="441" customFormat="false" ht="15" hidden="false" customHeight="false" outlineLevel="0" collapsed="false">
      <c r="A441" s="103"/>
      <c r="B441" s="104"/>
      <c r="C441" s="104"/>
      <c r="F441" s="107" t="str">
        <f aca="false">IF(OR($C441="",$D441=0),"",$E441/$D441)</f>
        <v/>
      </c>
      <c r="H441" s="0" t="str">
        <f aca="false">IF($C441="","",IF(COUNTIF('مواد المخزون'!$A$2:$A$90,$C441)&gt;0,"نعم","لا (خارج الجرد)"))</f>
        <v/>
      </c>
    </row>
    <row r="442" customFormat="false" ht="15" hidden="false" customHeight="false" outlineLevel="0" collapsed="false">
      <c r="A442" s="103"/>
      <c r="B442" s="104"/>
      <c r="C442" s="104"/>
      <c r="F442" s="107" t="str">
        <f aca="false">IF(OR($C442="",$D442=0),"",$E442/$D442)</f>
        <v/>
      </c>
      <c r="H442" s="0" t="str">
        <f aca="false">IF($C442="","",IF(COUNTIF('مواد المخزون'!$A$2:$A$90,$C442)&gt;0,"نعم","لا (خارج الجرد)"))</f>
        <v/>
      </c>
    </row>
    <row r="443" customFormat="false" ht="15" hidden="false" customHeight="false" outlineLevel="0" collapsed="false">
      <c r="A443" s="103"/>
      <c r="B443" s="104"/>
      <c r="C443" s="104"/>
      <c r="F443" s="107" t="str">
        <f aca="false">IF(OR($C443="",$D443=0),"",$E443/$D443)</f>
        <v/>
      </c>
      <c r="H443" s="0" t="str">
        <f aca="false">IF($C443="","",IF(COUNTIF('مواد المخزون'!$A$2:$A$90,$C443)&gt;0,"نعم","لا (خارج الجرد)"))</f>
        <v/>
      </c>
    </row>
    <row r="444" customFormat="false" ht="15" hidden="false" customHeight="false" outlineLevel="0" collapsed="false">
      <c r="A444" s="103"/>
      <c r="B444" s="104"/>
      <c r="C444" s="104"/>
      <c r="F444" s="107" t="str">
        <f aca="false">IF(OR($C444="",$D444=0),"",$E444/$D444)</f>
        <v/>
      </c>
      <c r="H444" s="0" t="str">
        <f aca="false">IF($C444="","",IF(COUNTIF('مواد المخزون'!$A$2:$A$90,$C444)&gt;0,"نعم","لا (خارج الجرد)"))</f>
        <v/>
      </c>
    </row>
    <row r="445" customFormat="false" ht="15" hidden="false" customHeight="false" outlineLevel="0" collapsed="false">
      <c r="A445" s="103"/>
      <c r="B445" s="104"/>
      <c r="C445" s="104"/>
      <c r="F445" s="107" t="str">
        <f aca="false">IF(OR($C445="",$D445=0),"",$E445/$D445)</f>
        <v/>
      </c>
      <c r="H445" s="0" t="str">
        <f aca="false">IF($C445="","",IF(COUNTIF('مواد المخزون'!$A$2:$A$90,$C445)&gt;0,"نعم","لا (خارج الجرد)"))</f>
        <v/>
      </c>
    </row>
    <row r="446" customFormat="false" ht="15" hidden="false" customHeight="false" outlineLevel="0" collapsed="false">
      <c r="A446" s="103"/>
      <c r="B446" s="104"/>
      <c r="C446" s="104"/>
      <c r="F446" s="107" t="str">
        <f aca="false">IF(OR($C446="",$D446=0),"",$E446/$D446)</f>
        <v/>
      </c>
      <c r="H446" s="0" t="str">
        <f aca="false">IF($C446="","",IF(COUNTIF('مواد المخزون'!$A$2:$A$90,$C446)&gt;0,"نعم","لا (خارج الجرد)"))</f>
        <v/>
      </c>
    </row>
    <row r="447" customFormat="false" ht="15" hidden="false" customHeight="false" outlineLevel="0" collapsed="false">
      <c r="A447" s="103"/>
      <c r="B447" s="104"/>
      <c r="C447" s="104"/>
      <c r="F447" s="107" t="str">
        <f aca="false">IF(OR($C447="",$D447=0),"",$E447/$D447)</f>
        <v/>
      </c>
      <c r="H447" s="0" t="str">
        <f aca="false">IF($C447="","",IF(COUNTIF('مواد المخزون'!$A$2:$A$90,$C447)&gt;0,"نعم","لا (خارج الجرد)"))</f>
        <v/>
      </c>
    </row>
    <row r="448" customFormat="false" ht="15" hidden="false" customHeight="false" outlineLevel="0" collapsed="false">
      <c r="A448" s="103"/>
      <c r="B448" s="104"/>
      <c r="C448" s="104"/>
      <c r="F448" s="107" t="str">
        <f aca="false">IF(OR($C448="",$D448=0),"",$E448/$D448)</f>
        <v/>
      </c>
      <c r="H448" s="0" t="str">
        <f aca="false">IF($C448="","",IF(COUNTIF('مواد المخزون'!$A$2:$A$90,$C448)&gt;0,"نعم","لا (خارج الجرد)"))</f>
        <v/>
      </c>
    </row>
    <row r="449" customFormat="false" ht="15" hidden="false" customHeight="false" outlineLevel="0" collapsed="false">
      <c r="A449" s="103"/>
      <c r="B449" s="104"/>
      <c r="C449" s="104"/>
      <c r="F449" s="107" t="str">
        <f aca="false">IF(OR($C449="",$D449=0),"",$E449/$D449)</f>
        <v/>
      </c>
      <c r="H449" s="0" t="str">
        <f aca="false">IF($C449="","",IF(COUNTIF('مواد المخزون'!$A$2:$A$90,$C449)&gt;0,"نعم","لا (خارج الجرد)"))</f>
        <v/>
      </c>
    </row>
    <row r="450" customFormat="false" ht="15" hidden="false" customHeight="false" outlineLevel="0" collapsed="false">
      <c r="A450" s="103"/>
      <c r="B450" s="104"/>
      <c r="C450" s="104"/>
      <c r="F450" s="107" t="str">
        <f aca="false">IF(OR($C450="",$D450=0),"",$E450/$D450)</f>
        <v/>
      </c>
      <c r="H450" s="0" t="str">
        <f aca="false">IF($C450="","",IF(COUNTIF('مواد المخزون'!$A$2:$A$90,$C450)&gt;0,"نعم","لا (خارج الجرد)"))</f>
        <v/>
      </c>
    </row>
    <row r="451" customFormat="false" ht="15" hidden="false" customHeight="false" outlineLevel="0" collapsed="false">
      <c r="A451" s="103"/>
      <c r="B451" s="104"/>
      <c r="C451" s="104"/>
      <c r="F451" s="107" t="str">
        <f aca="false">IF(OR($C451="",$D451=0),"",$E451/$D451)</f>
        <v/>
      </c>
      <c r="H451" s="0" t="str">
        <f aca="false">IF($C451="","",IF(COUNTIF('مواد المخزون'!$A$2:$A$90,$C451)&gt;0,"نعم","لا (خارج الجرد)"))</f>
        <v/>
      </c>
    </row>
    <row r="452" customFormat="false" ht="15" hidden="false" customHeight="false" outlineLevel="0" collapsed="false">
      <c r="A452" s="103"/>
      <c r="B452" s="104"/>
      <c r="C452" s="104"/>
      <c r="F452" s="107" t="str">
        <f aca="false">IF(OR($C452="",$D452=0),"",$E452/$D452)</f>
        <v/>
      </c>
      <c r="H452" s="0" t="str">
        <f aca="false">IF($C452="","",IF(COUNTIF('مواد المخزون'!$A$2:$A$90,$C452)&gt;0,"نعم","لا (خارج الجرد)"))</f>
        <v/>
      </c>
    </row>
    <row r="453" customFormat="false" ht="15" hidden="false" customHeight="false" outlineLevel="0" collapsed="false">
      <c r="A453" s="103"/>
      <c r="B453" s="104"/>
      <c r="C453" s="104"/>
      <c r="F453" s="107" t="str">
        <f aca="false">IF(OR($C453="",$D453=0),"",$E453/$D453)</f>
        <v/>
      </c>
      <c r="H453" s="0" t="str">
        <f aca="false">IF($C453="","",IF(COUNTIF('مواد المخزون'!$A$2:$A$90,$C453)&gt;0,"نعم","لا (خارج الجرد)"))</f>
        <v/>
      </c>
    </row>
    <row r="454" customFormat="false" ht="15" hidden="false" customHeight="false" outlineLevel="0" collapsed="false">
      <c r="A454" s="103"/>
      <c r="B454" s="104"/>
      <c r="C454" s="104"/>
      <c r="F454" s="107" t="str">
        <f aca="false">IF(OR($C454="",$D454=0),"",$E454/$D454)</f>
        <v/>
      </c>
      <c r="H454" s="0" t="str">
        <f aca="false">IF($C454="","",IF(COUNTIF('مواد المخزون'!$A$2:$A$90,$C454)&gt;0,"نعم","لا (خارج الجرد)"))</f>
        <v/>
      </c>
    </row>
    <row r="455" customFormat="false" ht="15" hidden="false" customHeight="false" outlineLevel="0" collapsed="false">
      <c r="A455" s="103"/>
      <c r="B455" s="104"/>
      <c r="C455" s="104"/>
      <c r="F455" s="107" t="str">
        <f aca="false">IF(OR($C455="",$D455=0),"",$E455/$D455)</f>
        <v/>
      </c>
      <c r="H455" s="0" t="str">
        <f aca="false">IF($C455="","",IF(COUNTIF('مواد المخزون'!$A$2:$A$90,$C455)&gt;0,"نعم","لا (خارج الجرد)"))</f>
        <v/>
      </c>
    </row>
    <row r="456" customFormat="false" ht="15" hidden="false" customHeight="false" outlineLevel="0" collapsed="false">
      <c r="A456" s="103"/>
      <c r="B456" s="104"/>
      <c r="C456" s="104"/>
      <c r="F456" s="107" t="str">
        <f aca="false">IF(OR($C456="",$D456=0),"",$E456/$D456)</f>
        <v/>
      </c>
      <c r="H456" s="0" t="str">
        <f aca="false">IF($C456="","",IF(COUNTIF('مواد المخزون'!$A$2:$A$90,$C456)&gt;0,"نعم","لا (خارج الجرد)"))</f>
        <v/>
      </c>
    </row>
    <row r="457" customFormat="false" ht="15" hidden="false" customHeight="false" outlineLevel="0" collapsed="false">
      <c r="A457" s="103"/>
      <c r="B457" s="104"/>
      <c r="C457" s="104"/>
      <c r="F457" s="107" t="str">
        <f aca="false">IF(OR($C457="",$D457=0),"",$E457/$D457)</f>
        <v/>
      </c>
      <c r="H457" s="0" t="str">
        <f aca="false">IF($C457="","",IF(COUNTIF('مواد المخزون'!$A$2:$A$90,$C457)&gt;0,"نعم","لا (خارج الجرد)"))</f>
        <v/>
      </c>
    </row>
    <row r="458" customFormat="false" ht="15" hidden="false" customHeight="false" outlineLevel="0" collapsed="false">
      <c r="A458" s="103"/>
      <c r="B458" s="104"/>
      <c r="C458" s="104"/>
      <c r="F458" s="107" t="str">
        <f aca="false">IF(OR($C458="",$D458=0),"",$E458/$D458)</f>
        <v/>
      </c>
      <c r="H458" s="0" t="str">
        <f aca="false">IF($C458="","",IF(COUNTIF('مواد المخزون'!$A$2:$A$90,$C458)&gt;0,"نعم","لا (خارج الجرد)"))</f>
        <v/>
      </c>
    </row>
    <row r="459" customFormat="false" ht="15" hidden="false" customHeight="false" outlineLevel="0" collapsed="false">
      <c r="A459" s="103"/>
      <c r="B459" s="104"/>
      <c r="C459" s="104"/>
      <c r="F459" s="107" t="str">
        <f aca="false">IF(OR($C459="",$D459=0),"",$E459/$D459)</f>
        <v/>
      </c>
      <c r="H459" s="0" t="str">
        <f aca="false">IF($C459="","",IF(COUNTIF('مواد المخزون'!$A$2:$A$90,$C459)&gt;0,"نعم","لا (خارج الجرد)"))</f>
        <v/>
      </c>
    </row>
    <row r="460" customFormat="false" ht="15" hidden="false" customHeight="false" outlineLevel="0" collapsed="false">
      <c r="A460" s="103"/>
      <c r="B460" s="104"/>
      <c r="C460" s="104"/>
      <c r="F460" s="107" t="str">
        <f aca="false">IF(OR($C460="",$D460=0),"",$E460/$D460)</f>
        <v/>
      </c>
      <c r="H460" s="0" t="str">
        <f aca="false">IF($C460="","",IF(COUNTIF('مواد المخزون'!$A$2:$A$90,$C460)&gt;0,"نعم","لا (خارج الجرد)"))</f>
        <v/>
      </c>
    </row>
    <row r="461" customFormat="false" ht="15" hidden="false" customHeight="false" outlineLevel="0" collapsed="false">
      <c r="A461" s="103"/>
      <c r="B461" s="104"/>
      <c r="C461" s="104"/>
      <c r="F461" s="107" t="str">
        <f aca="false">IF(OR($C461="",$D461=0),"",$E461/$D461)</f>
        <v/>
      </c>
      <c r="H461" s="0" t="str">
        <f aca="false">IF($C461="","",IF(COUNTIF('مواد المخزون'!$A$2:$A$90,$C461)&gt;0,"نعم","لا (خارج الجرد)"))</f>
        <v/>
      </c>
    </row>
    <row r="462" customFormat="false" ht="15" hidden="false" customHeight="false" outlineLevel="0" collapsed="false">
      <c r="A462" s="103"/>
      <c r="B462" s="104"/>
      <c r="C462" s="104"/>
      <c r="F462" s="107" t="str">
        <f aca="false">IF(OR($C462="",$D462=0),"",$E462/$D462)</f>
        <v/>
      </c>
      <c r="H462" s="0" t="str">
        <f aca="false">IF($C462="","",IF(COUNTIF('مواد المخزون'!$A$2:$A$90,$C462)&gt;0,"نعم","لا (خارج الجرد)"))</f>
        <v/>
      </c>
    </row>
    <row r="463" customFormat="false" ht="15" hidden="false" customHeight="false" outlineLevel="0" collapsed="false">
      <c r="A463" s="103"/>
      <c r="B463" s="104"/>
      <c r="C463" s="104"/>
      <c r="F463" s="107" t="str">
        <f aca="false">IF(OR($C463="",$D463=0),"",$E463/$D463)</f>
        <v/>
      </c>
      <c r="H463" s="0" t="str">
        <f aca="false">IF($C463="","",IF(COUNTIF('مواد المخزون'!$A$2:$A$90,$C463)&gt;0,"نعم","لا (خارج الجرد)"))</f>
        <v/>
      </c>
    </row>
    <row r="464" customFormat="false" ht="15" hidden="false" customHeight="false" outlineLevel="0" collapsed="false">
      <c r="A464" s="103"/>
      <c r="B464" s="104"/>
      <c r="C464" s="104"/>
      <c r="F464" s="107" t="str">
        <f aca="false">IF(OR($C464="",$D464=0),"",$E464/$D464)</f>
        <v/>
      </c>
      <c r="H464" s="0" t="str">
        <f aca="false">IF($C464="","",IF(COUNTIF('مواد المخزون'!$A$2:$A$90,$C464)&gt;0,"نعم","لا (خارج الجرد)"))</f>
        <v/>
      </c>
    </row>
    <row r="465" customFormat="false" ht="15" hidden="false" customHeight="false" outlineLevel="0" collapsed="false">
      <c r="A465" s="103"/>
      <c r="B465" s="104"/>
      <c r="C465" s="104"/>
      <c r="F465" s="107" t="str">
        <f aca="false">IF(OR($C465="",$D465=0),"",$E465/$D465)</f>
        <v/>
      </c>
      <c r="H465" s="0" t="str">
        <f aca="false">IF($C465="","",IF(COUNTIF('مواد المخزون'!$A$2:$A$90,$C465)&gt;0,"نعم","لا (خارج الجرد)"))</f>
        <v/>
      </c>
    </row>
    <row r="466" customFormat="false" ht="15" hidden="false" customHeight="false" outlineLevel="0" collapsed="false">
      <c r="A466" s="103"/>
      <c r="B466" s="104"/>
      <c r="C466" s="104"/>
      <c r="F466" s="107" t="str">
        <f aca="false">IF(OR($C466="",$D466=0),"",$E466/$D466)</f>
        <v/>
      </c>
      <c r="H466" s="0" t="str">
        <f aca="false">IF($C466="","",IF(COUNTIF('مواد المخزون'!$A$2:$A$90,$C466)&gt;0,"نعم","لا (خارج الجرد)"))</f>
        <v/>
      </c>
    </row>
    <row r="467" customFormat="false" ht="15" hidden="false" customHeight="false" outlineLevel="0" collapsed="false">
      <c r="A467" s="103"/>
      <c r="B467" s="104"/>
      <c r="C467" s="104"/>
      <c r="F467" s="107" t="str">
        <f aca="false">IF(OR($C467="",$D467=0),"",$E467/$D467)</f>
        <v/>
      </c>
      <c r="H467" s="0" t="str">
        <f aca="false">IF($C467="","",IF(COUNTIF('مواد المخزون'!$A$2:$A$90,$C467)&gt;0,"نعم","لا (خارج الجرد)"))</f>
        <v/>
      </c>
    </row>
    <row r="468" customFormat="false" ht="15" hidden="false" customHeight="false" outlineLevel="0" collapsed="false">
      <c r="A468" s="103"/>
      <c r="B468" s="104"/>
      <c r="C468" s="104"/>
      <c r="F468" s="107" t="str">
        <f aca="false">IF(OR($C468="",$D468=0),"",$E468/$D468)</f>
        <v/>
      </c>
      <c r="H468" s="0" t="str">
        <f aca="false">IF($C468="","",IF(COUNTIF('مواد المخزون'!$A$2:$A$90,$C468)&gt;0,"نعم","لا (خارج الجرد)"))</f>
        <v/>
      </c>
    </row>
    <row r="469" customFormat="false" ht="15" hidden="false" customHeight="false" outlineLevel="0" collapsed="false">
      <c r="A469" s="103"/>
      <c r="B469" s="104"/>
      <c r="C469" s="104"/>
      <c r="F469" s="107" t="str">
        <f aca="false">IF(OR($C469="",$D469=0),"",$E469/$D469)</f>
        <v/>
      </c>
      <c r="H469" s="0" t="str">
        <f aca="false">IF($C469="","",IF(COUNTIF('مواد المخزون'!$A$2:$A$90,$C469)&gt;0,"نعم","لا (خارج الجرد)"))</f>
        <v/>
      </c>
    </row>
    <row r="470" customFormat="false" ht="15" hidden="false" customHeight="false" outlineLevel="0" collapsed="false">
      <c r="A470" s="103"/>
      <c r="B470" s="104"/>
      <c r="C470" s="104"/>
      <c r="F470" s="107" t="str">
        <f aca="false">IF(OR($C470="",$D470=0),"",$E470/$D470)</f>
        <v/>
      </c>
      <c r="H470" s="0" t="str">
        <f aca="false">IF($C470="","",IF(COUNTIF('مواد المخزون'!$A$2:$A$90,$C470)&gt;0,"نعم","لا (خارج الجرد)"))</f>
        <v/>
      </c>
    </row>
    <row r="471" customFormat="false" ht="15" hidden="false" customHeight="false" outlineLevel="0" collapsed="false">
      <c r="A471" s="103"/>
      <c r="B471" s="104"/>
      <c r="C471" s="104"/>
      <c r="F471" s="107" t="str">
        <f aca="false">IF(OR($C471="",$D471=0),"",$E471/$D471)</f>
        <v/>
      </c>
      <c r="H471" s="0" t="str">
        <f aca="false">IF($C471="","",IF(COUNTIF('مواد المخزون'!$A$2:$A$90,$C471)&gt;0,"نعم","لا (خارج الجرد)"))</f>
        <v/>
      </c>
    </row>
    <row r="472" customFormat="false" ht="15" hidden="false" customHeight="false" outlineLevel="0" collapsed="false">
      <c r="A472" s="103"/>
      <c r="B472" s="104"/>
      <c r="C472" s="104"/>
      <c r="F472" s="107" t="str">
        <f aca="false">IF(OR($C472="",$D472=0),"",$E472/$D472)</f>
        <v/>
      </c>
      <c r="H472" s="0" t="str">
        <f aca="false">IF($C472="","",IF(COUNTIF('مواد المخزون'!$A$2:$A$90,$C472)&gt;0,"نعم","لا (خارج الجرد)"))</f>
        <v/>
      </c>
    </row>
    <row r="473" customFormat="false" ht="15" hidden="false" customHeight="false" outlineLevel="0" collapsed="false">
      <c r="A473" s="103"/>
      <c r="B473" s="104"/>
      <c r="C473" s="104"/>
      <c r="F473" s="107" t="str">
        <f aca="false">IF(OR($C473="",$D473=0),"",$E473/$D473)</f>
        <v/>
      </c>
      <c r="H473" s="0" t="str">
        <f aca="false">IF($C473="","",IF(COUNTIF('مواد المخزون'!$A$2:$A$90,$C473)&gt;0,"نعم","لا (خارج الجرد)"))</f>
        <v/>
      </c>
    </row>
    <row r="474" customFormat="false" ht="15" hidden="false" customHeight="false" outlineLevel="0" collapsed="false">
      <c r="A474" s="103"/>
      <c r="B474" s="104"/>
      <c r="C474" s="104"/>
      <c r="F474" s="107" t="str">
        <f aca="false">IF(OR($C474="",$D474=0),"",$E474/$D474)</f>
        <v/>
      </c>
      <c r="H474" s="0" t="str">
        <f aca="false">IF($C474="","",IF(COUNTIF('مواد المخزون'!$A$2:$A$90,$C474)&gt;0,"نعم","لا (خارج الجرد)"))</f>
        <v/>
      </c>
    </row>
    <row r="475" customFormat="false" ht="15" hidden="false" customHeight="false" outlineLevel="0" collapsed="false">
      <c r="A475" s="103"/>
      <c r="B475" s="104"/>
      <c r="C475" s="104"/>
      <c r="F475" s="107" t="str">
        <f aca="false">IF(OR($C475="",$D475=0),"",$E475/$D475)</f>
        <v/>
      </c>
      <c r="H475" s="0" t="str">
        <f aca="false">IF($C475="","",IF(COUNTIF('مواد المخزون'!$A$2:$A$90,$C475)&gt;0,"نعم","لا (خارج الجرد)"))</f>
        <v/>
      </c>
    </row>
    <row r="476" customFormat="false" ht="15" hidden="false" customHeight="false" outlineLevel="0" collapsed="false">
      <c r="A476" s="103"/>
      <c r="B476" s="104"/>
      <c r="C476" s="104"/>
      <c r="F476" s="107" t="str">
        <f aca="false">IF(OR($C476="",$D476=0),"",$E476/$D476)</f>
        <v/>
      </c>
      <c r="H476" s="0" t="str">
        <f aca="false">IF($C476="","",IF(COUNTIF('مواد المخزون'!$A$2:$A$90,$C476)&gt;0,"نعم","لا (خارج الجرد)"))</f>
        <v/>
      </c>
    </row>
    <row r="477" customFormat="false" ht="15" hidden="false" customHeight="false" outlineLevel="0" collapsed="false">
      <c r="A477" s="103"/>
      <c r="B477" s="104"/>
      <c r="C477" s="104"/>
      <c r="F477" s="107" t="str">
        <f aca="false">IF(OR($C477="",$D477=0),"",$E477/$D477)</f>
        <v/>
      </c>
      <c r="H477" s="0" t="str">
        <f aca="false">IF($C477="","",IF(COUNTIF('مواد المخزون'!$A$2:$A$90,$C477)&gt;0,"نعم","لا (خارج الجرد)"))</f>
        <v/>
      </c>
    </row>
    <row r="478" customFormat="false" ht="15" hidden="false" customHeight="false" outlineLevel="0" collapsed="false">
      <c r="A478" s="103"/>
      <c r="B478" s="104"/>
      <c r="C478" s="104"/>
      <c r="F478" s="107" t="str">
        <f aca="false">IF(OR($C478="",$D478=0),"",$E478/$D478)</f>
        <v/>
      </c>
      <c r="H478" s="0" t="str">
        <f aca="false">IF($C478="","",IF(COUNTIF('مواد المخزون'!$A$2:$A$90,$C478)&gt;0,"نعم","لا (خارج الجرد)"))</f>
        <v/>
      </c>
    </row>
    <row r="479" customFormat="false" ht="15" hidden="false" customHeight="false" outlineLevel="0" collapsed="false">
      <c r="A479" s="103"/>
      <c r="B479" s="104"/>
      <c r="C479" s="104"/>
      <c r="F479" s="107" t="str">
        <f aca="false">IF(OR($C479="",$D479=0),"",$E479/$D479)</f>
        <v/>
      </c>
      <c r="H479" s="0" t="str">
        <f aca="false">IF($C479="","",IF(COUNTIF('مواد المخزون'!$A$2:$A$90,$C479)&gt;0,"نعم","لا (خارج الجرد)"))</f>
        <v/>
      </c>
    </row>
    <row r="480" customFormat="false" ht="15" hidden="false" customHeight="false" outlineLevel="0" collapsed="false">
      <c r="A480" s="103"/>
      <c r="B480" s="104"/>
      <c r="C480" s="104"/>
      <c r="F480" s="107" t="str">
        <f aca="false">IF(OR($C480="",$D480=0),"",$E480/$D480)</f>
        <v/>
      </c>
      <c r="H480" s="0" t="str">
        <f aca="false">IF($C480="","",IF(COUNTIF('مواد المخزون'!$A$2:$A$90,$C480)&gt;0,"نعم","لا (خارج الجرد)"))</f>
        <v/>
      </c>
    </row>
    <row r="481" customFormat="false" ht="15" hidden="false" customHeight="false" outlineLevel="0" collapsed="false">
      <c r="A481" s="103"/>
      <c r="B481" s="104"/>
      <c r="C481" s="104"/>
      <c r="F481" s="107" t="str">
        <f aca="false">IF(OR($C481="",$D481=0),"",$E481/$D481)</f>
        <v/>
      </c>
      <c r="H481" s="0" t="str">
        <f aca="false">IF($C481="","",IF(COUNTIF('مواد المخزون'!$A$2:$A$90,$C481)&gt;0,"نعم","لا (خارج الجرد)"))</f>
        <v/>
      </c>
    </row>
    <row r="482" customFormat="false" ht="15" hidden="false" customHeight="false" outlineLevel="0" collapsed="false">
      <c r="A482" s="103"/>
      <c r="B482" s="104"/>
      <c r="C482" s="104"/>
      <c r="F482" s="107" t="str">
        <f aca="false">IF(OR($C482="",$D482=0),"",$E482/$D482)</f>
        <v/>
      </c>
      <c r="H482" s="0" t="str">
        <f aca="false">IF($C482="","",IF(COUNTIF('مواد المخزون'!$A$2:$A$90,$C482)&gt;0,"نعم","لا (خارج الجرد)"))</f>
        <v/>
      </c>
    </row>
    <row r="483" customFormat="false" ht="15" hidden="false" customHeight="false" outlineLevel="0" collapsed="false">
      <c r="A483" s="103"/>
      <c r="B483" s="104"/>
      <c r="C483" s="104"/>
      <c r="F483" s="107" t="str">
        <f aca="false">IF(OR($C483="",$D483=0),"",$E483/$D483)</f>
        <v/>
      </c>
      <c r="H483" s="0" t="str">
        <f aca="false">IF($C483="","",IF(COUNTIF('مواد المخزون'!$A$2:$A$90,$C483)&gt;0,"نعم","لا (خارج الجرد)"))</f>
        <v/>
      </c>
    </row>
    <row r="484" customFormat="false" ht="15" hidden="false" customHeight="false" outlineLevel="0" collapsed="false">
      <c r="A484" s="103"/>
      <c r="B484" s="104"/>
      <c r="C484" s="104"/>
      <c r="F484" s="107" t="str">
        <f aca="false">IF(OR($C484="",$D484=0),"",$E484/$D484)</f>
        <v/>
      </c>
      <c r="H484" s="0" t="str">
        <f aca="false">IF($C484="","",IF(COUNTIF('مواد المخزون'!$A$2:$A$90,$C484)&gt;0,"نعم","لا (خارج الجرد)"))</f>
        <v/>
      </c>
    </row>
    <row r="485" customFormat="false" ht="15" hidden="false" customHeight="false" outlineLevel="0" collapsed="false">
      <c r="A485" s="103"/>
      <c r="B485" s="104"/>
      <c r="C485" s="104"/>
      <c r="F485" s="107" t="str">
        <f aca="false">IF(OR($C485="",$D485=0),"",$E485/$D485)</f>
        <v/>
      </c>
      <c r="H485" s="0" t="str">
        <f aca="false">IF($C485="","",IF(COUNTIF('مواد المخزون'!$A$2:$A$90,$C485)&gt;0,"نعم","لا (خارج الجرد)"))</f>
        <v/>
      </c>
    </row>
    <row r="486" customFormat="false" ht="15" hidden="false" customHeight="false" outlineLevel="0" collapsed="false">
      <c r="A486" s="103"/>
      <c r="B486" s="104"/>
      <c r="C486" s="104"/>
      <c r="F486" s="107" t="str">
        <f aca="false">IF(OR($C486="",$D486=0),"",$E486/$D486)</f>
        <v/>
      </c>
      <c r="H486" s="0" t="str">
        <f aca="false">IF($C486="","",IF(COUNTIF('مواد المخزون'!$A$2:$A$90,$C486)&gt;0,"نعم","لا (خارج الجرد)"))</f>
        <v/>
      </c>
    </row>
    <row r="487" customFormat="false" ht="15" hidden="false" customHeight="false" outlineLevel="0" collapsed="false">
      <c r="A487" s="103"/>
      <c r="B487" s="104"/>
      <c r="C487" s="104"/>
      <c r="F487" s="107" t="str">
        <f aca="false">IF(OR($C487="",$D487=0),"",$E487/$D487)</f>
        <v/>
      </c>
      <c r="H487" s="0" t="str">
        <f aca="false">IF($C487="","",IF(COUNTIF('مواد المخزون'!$A$2:$A$90,$C487)&gt;0,"نعم","لا (خارج الجرد)"))</f>
        <v/>
      </c>
    </row>
    <row r="488" customFormat="false" ht="15" hidden="false" customHeight="false" outlineLevel="0" collapsed="false">
      <c r="A488" s="103"/>
      <c r="B488" s="104"/>
      <c r="C488" s="104"/>
      <c r="F488" s="107" t="str">
        <f aca="false">IF(OR($C488="",$D488=0),"",$E488/$D488)</f>
        <v/>
      </c>
      <c r="H488" s="0" t="str">
        <f aca="false">IF($C488="","",IF(COUNTIF('مواد المخزون'!$A$2:$A$90,$C488)&gt;0,"نعم","لا (خارج الجرد)"))</f>
        <v/>
      </c>
    </row>
    <row r="489" customFormat="false" ht="15" hidden="false" customHeight="false" outlineLevel="0" collapsed="false">
      <c r="A489" s="103"/>
      <c r="B489" s="104"/>
      <c r="C489" s="104"/>
      <c r="F489" s="107" t="str">
        <f aca="false">IF(OR($C489="",$D489=0),"",$E489/$D489)</f>
        <v/>
      </c>
      <c r="H489" s="0" t="str">
        <f aca="false">IF($C489="","",IF(COUNTIF('مواد المخزون'!$A$2:$A$90,$C489)&gt;0,"نعم","لا (خارج الجرد)"))</f>
        <v/>
      </c>
    </row>
    <row r="490" customFormat="false" ht="15" hidden="false" customHeight="false" outlineLevel="0" collapsed="false">
      <c r="A490" s="103"/>
      <c r="B490" s="104"/>
      <c r="C490" s="104"/>
      <c r="F490" s="107" t="str">
        <f aca="false">IF(OR($C490="",$D490=0),"",$E490/$D490)</f>
        <v/>
      </c>
      <c r="H490" s="0" t="str">
        <f aca="false">IF($C490="","",IF(COUNTIF('مواد المخزون'!$A$2:$A$90,$C490)&gt;0,"نعم","لا (خارج الجرد)"))</f>
        <v/>
      </c>
    </row>
    <row r="491" customFormat="false" ht="15" hidden="false" customHeight="false" outlineLevel="0" collapsed="false">
      <c r="A491" s="103"/>
      <c r="B491" s="104"/>
      <c r="C491" s="104"/>
      <c r="F491" s="107" t="str">
        <f aca="false">IF(OR($C491="",$D491=0),"",$E491/$D491)</f>
        <v/>
      </c>
      <c r="H491" s="0" t="str">
        <f aca="false">IF($C491="","",IF(COUNTIF('مواد المخزون'!$A$2:$A$90,$C491)&gt;0,"نعم","لا (خارج الجرد)"))</f>
        <v/>
      </c>
    </row>
    <row r="492" customFormat="false" ht="15" hidden="false" customHeight="false" outlineLevel="0" collapsed="false">
      <c r="A492" s="103"/>
      <c r="B492" s="104"/>
      <c r="C492" s="104"/>
      <c r="F492" s="107" t="str">
        <f aca="false">IF(OR($C492="",$D492=0),"",$E492/$D492)</f>
        <v/>
      </c>
      <c r="H492" s="0" t="str">
        <f aca="false">IF($C492="","",IF(COUNTIF('مواد المخزون'!$A$2:$A$90,$C492)&gt;0,"نعم","لا (خارج الجرد)"))</f>
        <v/>
      </c>
    </row>
    <row r="493" customFormat="false" ht="15" hidden="false" customHeight="false" outlineLevel="0" collapsed="false">
      <c r="A493" s="103"/>
      <c r="B493" s="104"/>
      <c r="C493" s="104"/>
      <c r="F493" s="107" t="str">
        <f aca="false">IF(OR($C493="",$D493=0),"",$E493/$D493)</f>
        <v/>
      </c>
      <c r="H493" s="0" t="str">
        <f aca="false">IF($C493="","",IF(COUNTIF('مواد المخزون'!$A$2:$A$90,$C493)&gt;0,"نعم","لا (خارج الجرد)"))</f>
        <v/>
      </c>
    </row>
    <row r="494" customFormat="false" ht="15" hidden="false" customHeight="false" outlineLevel="0" collapsed="false">
      <c r="A494" s="103"/>
      <c r="B494" s="104"/>
      <c r="C494" s="104"/>
      <c r="F494" s="107" t="str">
        <f aca="false">IF(OR($C494="",$D494=0),"",$E494/$D494)</f>
        <v/>
      </c>
      <c r="H494" s="0" t="str">
        <f aca="false">IF($C494="","",IF(COUNTIF('مواد المخزون'!$A$2:$A$90,$C494)&gt;0,"نعم","لا (خارج الجرد)"))</f>
        <v/>
      </c>
    </row>
    <row r="495" customFormat="false" ht="15" hidden="false" customHeight="false" outlineLevel="0" collapsed="false">
      <c r="A495" s="103"/>
      <c r="B495" s="104"/>
      <c r="C495" s="104"/>
      <c r="F495" s="107" t="str">
        <f aca="false">IF(OR($C495="",$D495=0),"",$E495/$D495)</f>
        <v/>
      </c>
      <c r="H495" s="0" t="str">
        <f aca="false">IF($C495="","",IF(COUNTIF('مواد المخزون'!$A$2:$A$90,$C495)&gt;0,"نعم","لا (خارج الجرد)"))</f>
        <v/>
      </c>
    </row>
    <row r="496" customFormat="false" ht="15" hidden="false" customHeight="false" outlineLevel="0" collapsed="false">
      <c r="A496" s="103"/>
      <c r="B496" s="104"/>
      <c r="C496" s="104"/>
      <c r="F496" s="107" t="str">
        <f aca="false">IF(OR($C496="",$D496=0),"",$E496/$D496)</f>
        <v/>
      </c>
      <c r="H496" s="0" t="str">
        <f aca="false">IF($C496="","",IF(COUNTIF('مواد المخزون'!$A$2:$A$90,$C496)&gt;0,"نعم","لا (خارج الجرد)"))</f>
        <v/>
      </c>
    </row>
    <row r="497" customFormat="false" ht="15" hidden="false" customHeight="false" outlineLevel="0" collapsed="false">
      <c r="A497" s="103"/>
      <c r="B497" s="104"/>
      <c r="C497" s="104"/>
      <c r="F497" s="107" t="str">
        <f aca="false">IF(OR($C497="",$D497=0),"",$E497/$D497)</f>
        <v/>
      </c>
      <c r="H497" s="0" t="str">
        <f aca="false">IF($C497="","",IF(COUNTIF('مواد المخزون'!$A$2:$A$90,$C497)&gt;0,"نعم","لا (خارج الجرد)"))</f>
        <v/>
      </c>
    </row>
    <row r="498" customFormat="false" ht="15" hidden="false" customHeight="false" outlineLevel="0" collapsed="false">
      <c r="A498" s="103"/>
      <c r="B498" s="104"/>
      <c r="C498" s="104"/>
      <c r="F498" s="107" t="str">
        <f aca="false">IF(OR($C498="",$D498=0),"",$E498/$D498)</f>
        <v/>
      </c>
      <c r="H498" s="0" t="str">
        <f aca="false">IF($C498="","",IF(COUNTIF('مواد المخزون'!$A$2:$A$90,$C498)&gt;0,"نعم","لا (خارج الجرد)"))</f>
        <v/>
      </c>
    </row>
    <row r="499" customFormat="false" ht="15" hidden="false" customHeight="false" outlineLevel="0" collapsed="false">
      <c r="A499" s="103"/>
      <c r="B499" s="104"/>
      <c r="C499" s="104"/>
      <c r="F499" s="107" t="str">
        <f aca="false">IF(OR($C499="",$D499=0),"",$E499/$D499)</f>
        <v/>
      </c>
      <c r="H499" s="0" t="str">
        <f aca="false">IF($C499="","",IF(COUNTIF('مواد المخزون'!$A$2:$A$90,$C499)&gt;0,"نعم","لا (خارج الجرد)"))</f>
        <v/>
      </c>
    </row>
    <row r="500" customFormat="false" ht="15" hidden="false" customHeight="false" outlineLevel="0" collapsed="false">
      <c r="A500" s="103"/>
      <c r="B500" s="104"/>
      <c r="C500" s="104"/>
      <c r="F500" s="107" t="str">
        <f aca="false">IF(OR($C500="",$D500=0),"",$E500/$D500)</f>
        <v/>
      </c>
      <c r="H500" s="0" t="str">
        <f aca="false">IF($C500="","",IF(COUNTIF('مواد المخزون'!$A$2:$A$90,$C500)&gt;0,"نعم","لا (خارج الجرد)"))</f>
        <v/>
      </c>
    </row>
    <row r="501" customFormat="false" ht="15" hidden="false" customHeight="false" outlineLevel="0" collapsed="false">
      <c r="A501" s="103"/>
      <c r="B501" s="104"/>
      <c r="C501" s="104"/>
      <c r="F501" s="107" t="str">
        <f aca="false">IF(OR($C501="",$D501=0),"",$E501/$D501)</f>
        <v/>
      </c>
      <c r="H501" s="0" t="str">
        <f aca="false">IF($C501="","",IF(COUNTIF('مواد المخزون'!$A$2:$A$90,$C501)&gt;0,"نعم","لا (خارج الجرد)"))</f>
        <v/>
      </c>
    </row>
    <row r="502" customFormat="false" ht="15" hidden="false" customHeight="false" outlineLevel="0" collapsed="false">
      <c r="A502" s="103"/>
      <c r="B502" s="104"/>
      <c r="C502" s="104"/>
      <c r="F502" s="107" t="str">
        <f aca="false">IF(OR($C502="",$D502=0),"",$E502/$D502)</f>
        <v/>
      </c>
      <c r="H502" s="0" t="str">
        <f aca="false">IF($C502="","",IF(COUNTIF('مواد المخزون'!$A$2:$A$90,$C502)&gt;0,"نعم","لا (خارج الجرد)"))</f>
        <v/>
      </c>
    </row>
    <row r="503" customFormat="false" ht="15" hidden="false" customHeight="false" outlineLevel="0" collapsed="false">
      <c r="A503" s="103"/>
      <c r="B503" s="104"/>
      <c r="C503" s="104"/>
      <c r="F503" s="107" t="str">
        <f aca="false">IF(OR($C503="",$D503=0),"",$E503/$D503)</f>
        <v/>
      </c>
      <c r="H503" s="0" t="str">
        <f aca="false">IF($C503="","",IF(COUNTIF('مواد المخزون'!$A$2:$A$90,$C503)&gt;0,"نعم","لا (خارج الجرد)"))</f>
        <v/>
      </c>
    </row>
    <row r="504" customFormat="false" ht="15" hidden="false" customHeight="false" outlineLevel="0" collapsed="false">
      <c r="A504" s="103"/>
      <c r="B504" s="104"/>
      <c r="C504" s="104"/>
      <c r="F504" s="107" t="str">
        <f aca="false">IF(OR($C504="",$D504=0),"",$E504/$D504)</f>
        <v/>
      </c>
      <c r="H504" s="0" t="str">
        <f aca="false">IF($C504="","",IF(COUNTIF('مواد المخزون'!$A$2:$A$90,$C504)&gt;0,"نعم","لا (خارج الجرد)"))</f>
        <v/>
      </c>
    </row>
    <row r="505" customFormat="false" ht="15" hidden="false" customHeight="false" outlineLevel="0" collapsed="false">
      <c r="A505" s="103"/>
      <c r="B505" s="104"/>
      <c r="C505" s="104"/>
      <c r="F505" s="107" t="str">
        <f aca="false">IF(OR($C505="",$D505=0),"",$E505/$D505)</f>
        <v/>
      </c>
      <c r="H505" s="0" t="str">
        <f aca="false">IF($C505="","",IF(COUNTIF('مواد المخزون'!$A$2:$A$90,$C505)&gt;0,"نعم","لا (خارج الجرد)"))</f>
        <v/>
      </c>
    </row>
    <row r="506" customFormat="false" ht="15" hidden="false" customHeight="false" outlineLevel="0" collapsed="false">
      <c r="A506" s="103"/>
      <c r="B506" s="104"/>
      <c r="C506" s="104"/>
      <c r="F506" s="107" t="str">
        <f aca="false">IF(OR($C506="",$D506=0),"",$E506/$D506)</f>
        <v/>
      </c>
      <c r="H506" s="0" t="str">
        <f aca="false">IF($C506="","",IF(COUNTIF('مواد المخزون'!$A$2:$A$90,$C506)&gt;0,"نعم","لا (خارج الجرد)"))</f>
        <v/>
      </c>
    </row>
    <row r="507" customFormat="false" ht="15" hidden="false" customHeight="false" outlineLevel="0" collapsed="false">
      <c r="A507" s="103"/>
      <c r="B507" s="104"/>
      <c r="C507" s="104"/>
      <c r="F507" s="107" t="str">
        <f aca="false">IF(OR($C507="",$D507=0),"",$E507/$D507)</f>
        <v/>
      </c>
      <c r="H507" s="0" t="str">
        <f aca="false">IF($C507="","",IF(COUNTIF('مواد المخزون'!$A$2:$A$90,$C507)&gt;0,"نعم","لا (خارج الجرد)"))</f>
        <v/>
      </c>
    </row>
    <row r="508" customFormat="false" ht="15" hidden="false" customHeight="false" outlineLevel="0" collapsed="false">
      <c r="A508" s="103"/>
      <c r="B508" s="104"/>
      <c r="C508" s="104"/>
      <c r="F508" s="107" t="str">
        <f aca="false">IF(OR($C508="",$D508=0),"",$E508/$D508)</f>
        <v/>
      </c>
      <c r="H508" s="0" t="str">
        <f aca="false">IF($C508="","",IF(COUNTIF('مواد المخزون'!$A$2:$A$90,$C508)&gt;0,"نعم","لا (خارج الجرد)"))</f>
        <v/>
      </c>
    </row>
    <row r="509" customFormat="false" ht="15" hidden="false" customHeight="false" outlineLevel="0" collapsed="false">
      <c r="A509" s="103"/>
      <c r="B509" s="104"/>
      <c r="C509" s="104"/>
      <c r="F509" s="107" t="str">
        <f aca="false">IF(OR($C509="",$D509=0),"",$E509/$D509)</f>
        <v/>
      </c>
      <c r="H509" s="0" t="str">
        <f aca="false">IF($C509="","",IF(COUNTIF('مواد المخزون'!$A$2:$A$90,$C509)&gt;0,"نعم","لا (خارج الجرد)"))</f>
        <v/>
      </c>
    </row>
    <row r="510" customFormat="false" ht="15" hidden="false" customHeight="false" outlineLevel="0" collapsed="false">
      <c r="A510" s="103"/>
      <c r="B510" s="104"/>
      <c r="C510" s="104"/>
      <c r="F510" s="107" t="str">
        <f aca="false">IF(OR($C510="",$D510=0),"",$E510/$D510)</f>
        <v/>
      </c>
      <c r="H510" s="0" t="str">
        <f aca="false">IF($C510="","",IF(COUNTIF('مواد المخزون'!$A$2:$A$90,$C510)&gt;0,"نعم","لا (خارج الجرد)"))</f>
        <v/>
      </c>
    </row>
    <row r="511" customFormat="false" ht="15" hidden="false" customHeight="false" outlineLevel="0" collapsed="false">
      <c r="A511" s="103"/>
      <c r="B511" s="104"/>
      <c r="C511" s="104"/>
      <c r="F511" s="107" t="str">
        <f aca="false">IF(OR($C511="",$D511=0),"",$E511/$D511)</f>
        <v/>
      </c>
      <c r="H511" s="0" t="str">
        <f aca="false">IF($C511="","",IF(COUNTIF('مواد المخزون'!$A$2:$A$90,$C511)&gt;0,"نعم","لا (خارج الجرد)"))</f>
        <v/>
      </c>
    </row>
    <row r="512" customFormat="false" ht="15" hidden="false" customHeight="false" outlineLevel="0" collapsed="false">
      <c r="A512" s="103"/>
      <c r="B512" s="104"/>
      <c r="C512" s="104"/>
      <c r="F512" s="107" t="str">
        <f aca="false">IF(OR($C512="",$D512=0),"",$E512/$D512)</f>
        <v/>
      </c>
      <c r="H512" s="0" t="str">
        <f aca="false">IF($C512="","",IF(COUNTIF('مواد المخزون'!$A$2:$A$90,$C512)&gt;0,"نعم","لا (خارج الجرد)"))</f>
        <v/>
      </c>
    </row>
    <row r="513" customFormat="false" ht="15" hidden="false" customHeight="false" outlineLevel="0" collapsed="false">
      <c r="A513" s="103"/>
      <c r="B513" s="104"/>
      <c r="C513" s="104"/>
      <c r="F513" s="107" t="str">
        <f aca="false">IF(OR($C513="",$D513=0),"",$E513/$D513)</f>
        <v/>
      </c>
      <c r="H513" s="0" t="str">
        <f aca="false">IF($C513="","",IF(COUNTIF('مواد المخزون'!$A$2:$A$90,$C513)&gt;0,"نعم","لا (خارج الجرد)"))</f>
        <v/>
      </c>
    </row>
    <row r="514" customFormat="false" ht="15" hidden="false" customHeight="false" outlineLevel="0" collapsed="false">
      <c r="A514" s="103"/>
      <c r="B514" s="104"/>
      <c r="C514" s="104"/>
      <c r="F514" s="107" t="str">
        <f aca="false">IF(OR($C514="",$D514=0),"",$E514/$D514)</f>
        <v/>
      </c>
      <c r="H514" s="0" t="str">
        <f aca="false">IF($C514="","",IF(COUNTIF('مواد المخزون'!$A$2:$A$90,$C514)&gt;0,"نعم","لا (خارج الجرد)"))</f>
        <v/>
      </c>
    </row>
    <row r="515" customFormat="false" ht="15" hidden="false" customHeight="false" outlineLevel="0" collapsed="false">
      <c r="A515" s="103"/>
      <c r="B515" s="104"/>
      <c r="C515" s="104"/>
      <c r="F515" s="107" t="str">
        <f aca="false">IF(OR($C515="",$D515=0),"",$E515/$D515)</f>
        <v/>
      </c>
      <c r="H515" s="0" t="str">
        <f aca="false">IF($C515="","",IF(COUNTIF('مواد المخزون'!$A$2:$A$90,$C515)&gt;0,"نعم","لا (خارج الجرد)"))</f>
        <v/>
      </c>
    </row>
    <row r="516" customFormat="false" ht="15" hidden="false" customHeight="false" outlineLevel="0" collapsed="false">
      <c r="A516" s="103"/>
      <c r="B516" s="104"/>
      <c r="C516" s="104"/>
      <c r="F516" s="107" t="str">
        <f aca="false">IF(OR($C516="",$D516=0),"",$E516/$D516)</f>
        <v/>
      </c>
      <c r="H516" s="0" t="str">
        <f aca="false">IF($C516="","",IF(COUNTIF('مواد المخزون'!$A$2:$A$90,$C516)&gt;0,"نعم","لا (خارج الجرد)"))</f>
        <v/>
      </c>
    </row>
    <row r="517" customFormat="false" ht="15" hidden="false" customHeight="false" outlineLevel="0" collapsed="false">
      <c r="A517" s="103"/>
      <c r="B517" s="104"/>
      <c r="C517" s="104"/>
      <c r="F517" s="107" t="str">
        <f aca="false">IF(OR($C517="",$D517=0),"",$E517/$D517)</f>
        <v/>
      </c>
      <c r="H517" s="0" t="str">
        <f aca="false">IF($C517="","",IF(COUNTIF('مواد المخزون'!$A$2:$A$90,$C517)&gt;0,"نعم","لا (خارج الجرد)"))</f>
        <v/>
      </c>
    </row>
    <row r="518" customFormat="false" ht="15" hidden="false" customHeight="false" outlineLevel="0" collapsed="false">
      <c r="A518" s="103"/>
      <c r="B518" s="104"/>
      <c r="C518" s="104"/>
      <c r="F518" s="107" t="str">
        <f aca="false">IF(OR($C518="",$D518=0),"",$E518/$D518)</f>
        <v/>
      </c>
      <c r="H518" s="0" t="str">
        <f aca="false">IF($C518="","",IF(COUNTIF('مواد المخزون'!$A$2:$A$90,$C518)&gt;0,"نعم","لا (خارج الجرد)"))</f>
        <v/>
      </c>
    </row>
    <row r="519" customFormat="false" ht="15" hidden="false" customHeight="false" outlineLevel="0" collapsed="false">
      <c r="A519" s="103"/>
      <c r="B519" s="104"/>
      <c r="C519" s="104"/>
      <c r="F519" s="107" t="str">
        <f aca="false">IF(OR($C519="",$D519=0),"",$E519/$D519)</f>
        <v/>
      </c>
      <c r="H519" s="0" t="str">
        <f aca="false">IF($C519="","",IF(COUNTIF('مواد المخزون'!$A$2:$A$90,$C519)&gt;0,"نعم","لا (خارج الجرد)"))</f>
        <v/>
      </c>
    </row>
    <row r="520" customFormat="false" ht="15" hidden="false" customHeight="false" outlineLevel="0" collapsed="false">
      <c r="A520" s="103"/>
      <c r="B520" s="104"/>
      <c r="C520" s="104"/>
      <c r="F520" s="107" t="str">
        <f aca="false">IF(OR($C520="",$D520=0),"",$E520/$D520)</f>
        <v/>
      </c>
      <c r="H520" s="0" t="str">
        <f aca="false">IF($C520="","",IF(COUNTIF('مواد المخزون'!$A$2:$A$90,$C520)&gt;0,"نعم","لا (خارج الجرد)"))</f>
        <v/>
      </c>
    </row>
    <row r="521" customFormat="false" ht="15" hidden="false" customHeight="false" outlineLevel="0" collapsed="false">
      <c r="A521" s="103"/>
      <c r="B521" s="104"/>
      <c r="C521" s="104"/>
      <c r="F521" s="107" t="str">
        <f aca="false">IF(OR($C521="",$D521=0),"",$E521/$D521)</f>
        <v/>
      </c>
      <c r="H521" s="0" t="str">
        <f aca="false">IF($C521="","",IF(COUNTIF('مواد المخزون'!$A$2:$A$90,$C521)&gt;0,"نعم","لا (خارج الجرد)"))</f>
        <v/>
      </c>
    </row>
    <row r="522" customFormat="false" ht="15" hidden="false" customHeight="false" outlineLevel="0" collapsed="false">
      <c r="A522" s="103"/>
      <c r="B522" s="104"/>
      <c r="C522" s="104"/>
      <c r="F522" s="107" t="str">
        <f aca="false">IF(OR($C522="",$D522=0),"",$E522/$D522)</f>
        <v/>
      </c>
      <c r="H522" s="0" t="str">
        <f aca="false">IF($C522="","",IF(COUNTIF('مواد المخزون'!$A$2:$A$90,$C522)&gt;0,"نعم","لا (خارج الجرد)"))</f>
        <v/>
      </c>
    </row>
    <row r="523" customFormat="false" ht="15" hidden="false" customHeight="false" outlineLevel="0" collapsed="false">
      <c r="A523" s="103"/>
      <c r="B523" s="104"/>
      <c r="C523" s="104"/>
      <c r="F523" s="107" t="str">
        <f aca="false">IF(OR($C523="",$D523=0),"",$E523/$D523)</f>
        <v/>
      </c>
      <c r="H523" s="0" t="str">
        <f aca="false">IF($C523="","",IF(COUNTIF('مواد المخزون'!$A$2:$A$90,$C523)&gt;0,"نعم","لا (خارج الجرد)"))</f>
        <v/>
      </c>
    </row>
    <row r="524" customFormat="false" ht="15" hidden="false" customHeight="false" outlineLevel="0" collapsed="false">
      <c r="A524" s="103"/>
      <c r="B524" s="104"/>
      <c r="C524" s="104"/>
      <c r="F524" s="107" t="str">
        <f aca="false">IF(OR($C524="",$D524=0),"",$E524/$D524)</f>
        <v/>
      </c>
      <c r="H524" s="0" t="str">
        <f aca="false">IF($C524="","",IF(COUNTIF('مواد المخزون'!$A$2:$A$90,$C524)&gt;0,"نعم","لا (خارج الجرد)"))</f>
        <v/>
      </c>
    </row>
    <row r="525" customFormat="false" ht="15" hidden="false" customHeight="false" outlineLevel="0" collapsed="false">
      <c r="A525" s="103"/>
      <c r="B525" s="104"/>
      <c r="C525" s="104"/>
      <c r="F525" s="107" t="str">
        <f aca="false">IF(OR($C525="",$D525=0),"",$E525/$D525)</f>
        <v/>
      </c>
      <c r="H525" s="0" t="str">
        <f aca="false">IF($C525="","",IF(COUNTIF('مواد المخزون'!$A$2:$A$90,$C525)&gt;0,"نعم","لا (خارج الجرد)"))</f>
        <v/>
      </c>
    </row>
    <row r="526" customFormat="false" ht="15" hidden="false" customHeight="false" outlineLevel="0" collapsed="false">
      <c r="A526" s="103"/>
      <c r="B526" s="104"/>
      <c r="C526" s="104"/>
      <c r="F526" s="107" t="str">
        <f aca="false">IF(OR($C526="",$D526=0),"",$E526/$D526)</f>
        <v/>
      </c>
      <c r="H526" s="0" t="str">
        <f aca="false">IF($C526="","",IF(COUNTIF('مواد المخزون'!$A$2:$A$90,$C526)&gt;0,"نعم","لا (خارج الجرد)"))</f>
        <v/>
      </c>
    </row>
    <row r="527" customFormat="false" ht="15" hidden="false" customHeight="false" outlineLevel="0" collapsed="false">
      <c r="A527" s="103"/>
      <c r="B527" s="104"/>
      <c r="C527" s="104"/>
      <c r="F527" s="107" t="str">
        <f aca="false">IF(OR($C527="",$D527=0),"",$E527/$D527)</f>
        <v/>
      </c>
      <c r="H527" s="0" t="str">
        <f aca="false">IF($C527="","",IF(COUNTIF('مواد المخزون'!$A$2:$A$90,$C527)&gt;0,"نعم","لا (خارج الجرد)"))</f>
        <v/>
      </c>
    </row>
    <row r="528" customFormat="false" ht="15" hidden="false" customHeight="false" outlineLevel="0" collapsed="false">
      <c r="A528" s="103"/>
      <c r="B528" s="104"/>
      <c r="C528" s="104"/>
      <c r="F528" s="107" t="str">
        <f aca="false">IF(OR($C528="",$D528=0),"",$E528/$D528)</f>
        <v/>
      </c>
      <c r="H528" s="0" t="str">
        <f aca="false">IF($C528="","",IF(COUNTIF('مواد المخزون'!$A$2:$A$90,$C528)&gt;0,"نعم","لا (خارج الجرد)"))</f>
        <v/>
      </c>
    </row>
    <row r="529" customFormat="false" ht="15" hidden="false" customHeight="false" outlineLevel="0" collapsed="false">
      <c r="A529" s="103"/>
      <c r="B529" s="104"/>
      <c r="C529" s="104"/>
      <c r="F529" s="107" t="str">
        <f aca="false">IF(OR($C529="",$D529=0),"",$E529/$D529)</f>
        <v/>
      </c>
      <c r="H529" s="0" t="str">
        <f aca="false">IF($C529="","",IF(COUNTIF('مواد المخزون'!$A$2:$A$90,$C529)&gt;0,"نعم","لا (خارج الجرد)"))</f>
        <v/>
      </c>
    </row>
    <row r="530" customFormat="false" ht="15" hidden="false" customHeight="false" outlineLevel="0" collapsed="false">
      <c r="A530" s="103"/>
      <c r="B530" s="104"/>
      <c r="C530" s="104"/>
      <c r="F530" s="107" t="str">
        <f aca="false">IF(OR($C530="",$D530=0),"",$E530/$D530)</f>
        <v/>
      </c>
      <c r="H530" s="0" t="str">
        <f aca="false">IF($C530="","",IF(COUNTIF('مواد المخزون'!$A$2:$A$90,$C530)&gt;0,"نعم","لا (خارج الجرد)"))</f>
        <v/>
      </c>
    </row>
    <row r="531" customFormat="false" ht="15" hidden="false" customHeight="false" outlineLevel="0" collapsed="false">
      <c r="A531" s="103"/>
      <c r="B531" s="104"/>
      <c r="C531" s="104"/>
      <c r="F531" s="107" t="str">
        <f aca="false">IF(OR($C531="",$D531=0),"",$E531/$D531)</f>
        <v/>
      </c>
      <c r="H531" s="0" t="str">
        <f aca="false">IF($C531="","",IF(COUNTIF('مواد المخزون'!$A$2:$A$90,$C531)&gt;0,"نعم","لا (خارج الجرد)"))</f>
        <v/>
      </c>
    </row>
    <row r="532" customFormat="false" ht="15" hidden="false" customHeight="false" outlineLevel="0" collapsed="false">
      <c r="A532" s="103"/>
      <c r="B532" s="104"/>
      <c r="C532" s="104"/>
      <c r="F532" s="107" t="str">
        <f aca="false">IF(OR($C532="",$D532=0),"",$E532/$D532)</f>
        <v/>
      </c>
      <c r="H532" s="0" t="str">
        <f aca="false">IF($C532="","",IF(COUNTIF('مواد المخزون'!$A$2:$A$90,$C532)&gt;0,"نعم","لا (خارج الجرد)"))</f>
        <v/>
      </c>
    </row>
    <row r="533" customFormat="false" ht="15" hidden="false" customHeight="false" outlineLevel="0" collapsed="false">
      <c r="A533" s="103"/>
      <c r="B533" s="104"/>
      <c r="C533" s="104"/>
      <c r="F533" s="107" t="str">
        <f aca="false">IF(OR($C533="",$D533=0),"",$E533/$D533)</f>
        <v/>
      </c>
      <c r="H533" s="0" t="str">
        <f aca="false">IF($C533="","",IF(COUNTIF('مواد المخزون'!$A$2:$A$90,$C533)&gt;0,"نعم","لا (خارج الجرد)"))</f>
        <v/>
      </c>
    </row>
    <row r="534" customFormat="false" ht="15" hidden="false" customHeight="false" outlineLevel="0" collapsed="false">
      <c r="A534" s="103"/>
      <c r="B534" s="104"/>
      <c r="C534" s="104"/>
      <c r="F534" s="107" t="str">
        <f aca="false">IF(OR($C534="",$D534=0),"",$E534/$D534)</f>
        <v/>
      </c>
      <c r="H534" s="0" t="str">
        <f aca="false">IF($C534="","",IF(COUNTIF('مواد المخزون'!$A$2:$A$90,$C534)&gt;0,"نعم","لا (خارج الجرد)"))</f>
        <v/>
      </c>
    </row>
    <row r="535" customFormat="false" ht="15" hidden="false" customHeight="false" outlineLevel="0" collapsed="false">
      <c r="A535" s="103"/>
      <c r="B535" s="104"/>
      <c r="C535" s="104"/>
      <c r="F535" s="107" t="str">
        <f aca="false">IF(OR($C535="",$D535=0),"",$E535/$D535)</f>
        <v/>
      </c>
      <c r="H535" s="0" t="str">
        <f aca="false">IF($C535="","",IF(COUNTIF('مواد المخزون'!$A$2:$A$90,$C535)&gt;0,"نعم","لا (خارج الجرد)"))</f>
        <v/>
      </c>
    </row>
    <row r="536" customFormat="false" ht="15" hidden="false" customHeight="false" outlineLevel="0" collapsed="false">
      <c r="A536" s="103"/>
      <c r="B536" s="104"/>
      <c r="C536" s="104"/>
      <c r="F536" s="107" t="str">
        <f aca="false">IF(OR($C536="",$D536=0),"",$E536/$D536)</f>
        <v/>
      </c>
      <c r="H536" s="0" t="str">
        <f aca="false">IF($C536="","",IF(COUNTIF('مواد المخزون'!$A$2:$A$90,$C536)&gt;0,"نعم","لا (خارج الجرد)"))</f>
        <v/>
      </c>
    </row>
    <row r="537" customFormat="false" ht="15" hidden="false" customHeight="false" outlineLevel="0" collapsed="false">
      <c r="A537" s="103"/>
      <c r="B537" s="104"/>
      <c r="C537" s="104"/>
      <c r="F537" s="107" t="str">
        <f aca="false">IF(OR($C537="",$D537=0),"",$E537/$D537)</f>
        <v/>
      </c>
      <c r="H537" s="0" t="str">
        <f aca="false">IF($C537="","",IF(COUNTIF('مواد المخزون'!$A$2:$A$90,$C537)&gt;0,"نعم","لا (خارج الجرد)"))</f>
        <v/>
      </c>
    </row>
    <row r="538" customFormat="false" ht="15" hidden="false" customHeight="false" outlineLevel="0" collapsed="false">
      <c r="A538" s="103"/>
      <c r="B538" s="104"/>
      <c r="C538" s="104"/>
      <c r="F538" s="107" t="str">
        <f aca="false">IF(OR($C538="",$D538=0),"",$E538/$D538)</f>
        <v/>
      </c>
      <c r="H538" s="0" t="str">
        <f aca="false">IF($C538="","",IF(COUNTIF('مواد المخزون'!$A$2:$A$90,$C538)&gt;0,"نعم","لا (خارج الجرد)"))</f>
        <v/>
      </c>
    </row>
    <row r="539" customFormat="false" ht="15" hidden="false" customHeight="false" outlineLevel="0" collapsed="false">
      <c r="A539" s="103"/>
      <c r="B539" s="104"/>
      <c r="C539" s="104"/>
      <c r="F539" s="107" t="str">
        <f aca="false">IF(OR($C539="",$D539=0),"",$E539/$D539)</f>
        <v/>
      </c>
      <c r="H539" s="0" t="str">
        <f aca="false">IF($C539="","",IF(COUNTIF('مواد المخزون'!$A$2:$A$90,$C539)&gt;0,"نعم","لا (خارج الجرد)"))</f>
        <v/>
      </c>
    </row>
    <row r="540" customFormat="false" ht="15" hidden="false" customHeight="false" outlineLevel="0" collapsed="false">
      <c r="A540" s="103"/>
      <c r="B540" s="104"/>
      <c r="C540" s="104"/>
      <c r="F540" s="107" t="str">
        <f aca="false">IF(OR($C540="",$D540=0),"",$E540/$D540)</f>
        <v/>
      </c>
      <c r="H540" s="0" t="str">
        <f aca="false">IF($C540="","",IF(COUNTIF('مواد المخزون'!$A$2:$A$90,$C540)&gt;0,"نعم","لا (خارج الجرد)"))</f>
        <v/>
      </c>
    </row>
    <row r="541" customFormat="false" ht="15" hidden="false" customHeight="false" outlineLevel="0" collapsed="false">
      <c r="A541" s="103"/>
      <c r="B541" s="104"/>
      <c r="C541" s="104"/>
      <c r="F541" s="107" t="str">
        <f aca="false">IF(OR($C541="",$D541=0),"",$E541/$D541)</f>
        <v/>
      </c>
      <c r="H541" s="0" t="str">
        <f aca="false">IF($C541="","",IF(COUNTIF('مواد المخزون'!$A$2:$A$90,$C541)&gt;0,"نعم","لا (خارج الجرد)"))</f>
        <v/>
      </c>
    </row>
    <row r="542" customFormat="false" ht="15" hidden="false" customHeight="false" outlineLevel="0" collapsed="false">
      <c r="A542" s="103"/>
      <c r="B542" s="104"/>
      <c r="C542" s="104"/>
      <c r="F542" s="107" t="str">
        <f aca="false">IF(OR($C542="",$D542=0),"",$E542/$D542)</f>
        <v/>
      </c>
      <c r="H542" s="0" t="str">
        <f aca="false">IF($C542="","",IF(COUNTIF('مواد المخزون'!$A$2:$A$90,$C542)&gt;0,"نعم","لا (خارج الجرد)"))</f>
        <v/>
      </c>
    </row>
    <row r="543" customFormat="false" ht="15" hidden="false" customHeight="false" outlineLevel="0" collapsed="false">
      <c r="A543" s="103"/>
      <c r="B543" s="104"/>
      <c r="C543" s="104"/>
      <c r="F543" s="107" t="str">
        <f aca="false">IF(OR($C543="",$D543=0),"",$E543/$D543)</f>
        <v/>
      </c>
      <c r="H543" s="0" t="str">
        <f aca="false">IF($C543="","",IF(COUNTIF('مواد المخزون'!$A$2:$A$90,$C543)&gt;0,"نعم","لا (خارج الجرد)"))</f>
        <v/>
      </c>
    </row>
    <row r="544" customFormat="false" ht="15" hidden="false" customHeight="false" outlineLevel="0" collapsed="false">
      <c r="A544" s="103"/>
      <c r="B544" s="104"/>
      <c r="C544" s="104"/>
      <c r="F544" s="107" t="str">
        <f aca="false">IF(OR($C544="",$D544=0),"",$E544/$D544)</f>
        <v/>
      </c>
      <c r="H544" s="0" t="str">
        <f aca="false">IF($C544="","",IF(COUNTIF('مواد المخزون'!$A$2:$A$90,$C544)&gt;0,"نعم","لا (خارج الجرد)"))</f>
        <v/>
      </c>
    </row>
    <row r="545" customFormat="false" ht="15" hidden="false" customHeight="false" outlineLevel="0" collapsed="false">
      <c r="A545" s="103"/>
      <c r="B545" s="104"/>
      <c r="C545" s="104"/>
      <c r="F545" s="107" t="str">
        <f aca="false">IF(OR($C545="",$D545=0),"",$E545/$D545)</f>
        <v/>
      </c>
      <c r="H545" s="0" t="str">
        <f aca="false">IF($C545="","",IF(COUNTIF('مواد المخزون'!$A$2:$A$90,$C545)&gt;0,"نعم","لا (خارج الجرد)"))</f>
        <v/>
      </c>
    </row>
    <row r="546" customFormat="false" ht="15" hidden="false" customHeight="false" outlineLevel="0" collapsed="false">
      <c r="A546" s="103"/>
      <c r="B546" s="104"/>
      <c r="C546" s="104"/>
      <c r="F546" s="107" t="str">
        <f aca="false">IF(OR($C546="",$D546=0),"",$E546/$D546)</f>
        <v/>
      </c>
      <c r="H546" s="0" t="str">
        <f aca="false">IF($C546="","",IF(COUNTIF('مواد المخزون'!$A$2:$A$90,$C546)&gt;0,"نعم","لا (خارج الجرد)"))</f>
        <v/>
      </c>
    </row>
    <row r="547" customFormat="false" ht="15" hidden="false" customHeight="false" outlineLevel="0" collapsed="false">
      <c r="A547" s="103"/>
      <c r="B547" s="104"/>
      <c r="C547" s="104"/>
      <c r="F547" s="107" t="str">
        <f aca="false">IF(OR($C547="",$D547=0),"",$E547/$D547)</f>
        <v/>
      </c>
      <c r="H547" s="0" t="str">
        <f aca="false">IF($C547="","",IF(COUNTIF('مواد المخزون'!$A$2:$A$90,$C547)&gt;0,"نعم","لا (خارج الجرد)"))</f>
        <v/>
      </c>
    </row>
    <row r="548" customFormat="false" ht="15" hidden="false" customHeight="false" outlineLevel="0" collapsed="false">
      <c r="A548" s="103"/>
      <c r="B548" s="104"/>
      <c r="C548" s="104"/>
      <c r="F548" s="107" t="str">
        <f aca="false">IF(OR($C548="",$D548=0),"",$E548/$D548)</f>
        <v/>
      </c>
      <c r="H548" s="0" t="str">
        <f aca="false">IF($C548="","",IF(COUNTIF('مواد المخزون'!$A$2:$A$90,$C548)&gt;0,"نعم","لا (خارج الجرد)"))</f>
        <v/>
      </c>
    </row>
    <row r="549" customFormat="false" ht="15" hidden="false" customHeight="false" outlineLevel="0" collapsed="false">
      <c r="A549" s="103"/>
      <c r="B549" s="104"/>
      <c r="C549" s="104"/>
      <c r="F549" s="107" t="str">
        <f aca="false">IF(OR($C549="",$D549=0),"",$E549/$D549)</f>
        <v/>
      </c>
      <c r="H549" s="0" t="str">
        <f aca="false">IF($C549="","",IF(COUNTIF('مواد المخزون'!$A$2:$A$90,$C549)&gt;0,"نعم","لا (خارج الجرد)"))</f>
        <v/>
      </c>
    </row>
    <row r="550" customFormat="false" ht="15" hidden="false" customHeight="false" outlineLevel="0" collapsed="false">
      <c r="A550" s="103"/>
      <c r="B550" s="104"/>
      <c r="C550" s="104"/>
      <c r="F550" s="107" t="str">
        <f aca="false">IF(OR($C550="",$D550=0),"",$E550/$D550)</f>
        <v/>
      </c>
      <c r="H550" s="0" t="str">
        <f aca="false">IF($C550="","",IF(COUNTIF('مواد المخزون'!$A$2:$A$90,$C550)&gt;0,"نعم","لا (خارج الجرد)"))</f>
        <v/>
      </c>
    </row>
    <row r="551" customFormat="false" ht="15" hidden="false" customHeight="false" outlineLevel="0" collapsed="false">
      <c r="A551" s="103"/>
      <c r="B551" s="104"/>
      <c r="C551" s="104"/>
      <c r="F551" s="107" t="str">
        <f aca="false">IF(OR($C551="",$D551=0),"",$E551/$D551)</f>
        <v/>
      </c>
      <c r="H551" s="0" t="str">
        <f aca="false">IF($C551="","",IF(COUNTIF('مواد المخزون'!$A$2:$A$90,$C551)&gt;0,"نعم","لا (خارج الجرد)"))</f>
        <v/>
      </c>
    </row>
    <row r="552" customFormat="false" ht="15" hidden="false" customHeight="false" outlineLevel="0" collapsed="false">
      <c r="A552" s="103"/>
      <c r="B552" s="104"/>
      <c r="C552" s="104"/>
      <c r="F552" s="107" t="str">
        <f aca="false">IF(OR($C552="",$D552=0),"",$E552/$D552)</f>
        <v/>
      </c>
      <c r="H552" s="0" t="str">
        <f aca="false">IF($C552="","",IF(COUNTIF('مواد المخزون'!$A$2:$A$90,$C552)&gt;0,"نعم","لا (خارج الجرد)"))</f>
        <v/>
      </c>
    </row>
    <row r="553" customFormat="false" ht="15" hidden="false" customHeight="false" outlineLevel="0" collapsed="false">
      <c r="A553" s="103"/>
      <c r="B553" s="104"/>
      <c r="C553" s="104"/>
      <c r="F553" s="107" t="str">
        <f aca="false">IF(OR($C553="",$D553=0),"",$E553/$D553)</f>
        <v/>
      </c>
      <c r="H553" s="0" t="str">
        <f aca="false">IF($C553="","",IF(COUNTIF('مواد المخزون'!$A$2:$A$90,$C553)&gt;0,"نعم","لا (خارج الجرد)"))</f>
        <v/>
      </c>
    </row>
    <row r="554" customFormat="false" ht="15" hidden="false" customHeight="false" outlineLevel="0" collapsed="false">
      <c r="A554" s="103"/>
      <c r="B554" s="104"/>
      <c r="C554" s="104"/>
      <c r="F554" s="107" t="str">
        <f aca="false">IF(OR($C554="",$D554=0),"",$E554/$D554)</f>
        <v/>
      </c>
      <c r="H554" s="0" t="str">
        <f aca="false">IF($C554="","",IF(COUNTIF('مواد المخزون'!$A$2:$A$90,$C554)&gt;0,"نعم","لا (خارج الجرد)"))</f>
        <v/>
      </c>
    </row>
    <row r="555" customFormat="false" ht="15" hidden="false" customHeight="false" outlineLevel="0" collapsed="false">
      <c r="A555" s="103"/>
      <c r="B555" s="104"/>
      <c r="C555" s="104"/>
      <c r="F555" s="107" t="str">
        <f aca="false">IF(OR($C555="",$D555=0),"",$E555/$D555)</f>
        <v/>
      </c>
      <c r="H555" s="0" t="str">
        <f aca="false">IF($C555="","",IF(COUNTIF('مواد المخزون'!$A$2:$A$90,$C555)&gt;0,"نعم","لا (خارج الجرد)"))</f>
        <v/>
      </c>
    </row>
    <row r="556" customFormat="false" ht="15" hidden="false" customHeight="false" outlineLevel="0" collapsed="false">
      <c r="A556" s="103"/>
      <c r="B556" s="104"/>
      <c r="C556" s="104"/>
      <c r="F556" s="107" t="str">
        <f aca="false">IF(OR($C556="",$D556=0),"",$E556/$D556)</f>
        <v/>
      </c>
      <c r="H556" s="0" t="str">
        <f aca="false">IF($C556="","",IF(COUNTIF('مواد المخزون'!$A$2:$A$90,$C556)&gt;0,"نعم","لا (خارج الجرد)"))</f>
        <v/>
      </c>
    </row>
    <row r="557" customFormat="false" ht="15" hidden="false" customHeight="false" outlineLevel="0" collapsed="false">
      <c r="A557" s="103"/>
      <c r="B557" s="104"/>
      <c r="C557" s="104"/>
      <c r="F557" s="107" t="str">
        <f aca="false">IF(OR($C557="",$D557=0),"",$E557/$D557)</f>
        <v/>
      </c>
      <c r="H557" s="0" t="str">
        <f aca="false">IF($C557="","",IF(COUNTIF('مواد المخزون'!$A$2:$A$90,$C557)&gt;0,"نعم","لا (خارج الجرد)"))</f>
        <v/>
      </c>
    </row>
    <row r="558" customFormat="false" ht="15" hidden="false" customHeight="false" outlineLevel="0" collapsed="false">
      <c r="A558" s="103"/>
      <c r="B558" s="104"/>
      <c r="C558" s="104"/>
      <c r="F558" s="107" t="str">
        <f aca="false">IF(OR($C558="",$D558=0),"",$E558/$D558)</f>
        <v/>
      </c>
      <c r="H558" s="0" t="str">
        <f aca="false">IF($C558="","",IF(COUNTIF('مواد المخزون'!$A$2:$A$90,$C558)&gt;0,"نعم","لا (خارج الجرد)"))</f>
        <v/>
      </c>
    </row>
    <row r="559" customFormat="false" ht="15" hidden="false" customHeight="false" outlineLevel="0" collapsed="false">
      <c r="A559" s="103"/>
      <c r="B559" s="104"/>
      <c r="C559" s="104"/>
      <c r="F559" s="107" t="str">
        <f aca="false">IF(OR($C559="",$D559=0),"",$E559/$D559)</f>
        <v/>
      </c>
      <c r="H559" s="0" t="str">
        <f aca="false">IF($C559="","",IF(COUNTIF('مواد المخزون'!$A$2:$A$90,$C559)&gt;0,"نعم","لا (خارج الجرد)"))</f>
        <v/>
      </c>
    </row>
    <row r="560" customFormat="false" ht="15" hidden="false" customHeight="false" outlineLevel="0" collapsed="false">
      <c r="A560" s="103"/>
      <c r="B560" s="104"/>
      <c r="C560" s="104"/>
      <c r="F560" s="107" t="str">
        <f aca="false">IF(OR($C560="",$D560=0),"",$E560/$D560)</f>
        <v/>
      </c>
      <c r="H560" s="0" t="str">
        <f aca="false">IF($C560="","",IF(COUNTIF('مواد المخزون'!$A$2:$A$90,$C560)&gt;0,"نعم","لا (خارج الجرد)"))</f>
        <v/>
      </c>
    </row>
    <row r="561" customFormat="false" ht="15" hidden="false" customHeight="false" outlineLevel="0" collapsed="false">
      <c r="A561" s="103"/>
      <c r="B561" s="104"/>
      <c r="C561" s="104"/>
      <c r="F561" s="107" t="str">
        <f aca="false">IF(OR($C561="",$D561=0),"",$E561/$D561)</f>
        <v/>
      </c>
      <c r="H561" s="0" t="str">
        <f aca="false">IF($C561="","",IF(COUNTIF('مواد المخزون'!$A$2:$A$90,$C561)&gt;0,"نعم","لا (خارج الجرد)"))</f>
        <v/>
      </c>
    </row>
    <row r="562" customFormat="false" ht="15" hidden="false" customHeight="false" outlineLevel="0" collapsed="false">
      <c r="A562" s="103"/>
      <c r="B562" s="104"/>
      <c r="C562" s="104"/>
      <c r="F562" s="107" t="str">
        <f aca="false">IF(OR($C562="",$D562=0),"",$E562/$D562)</f>
        <v/>
      </c>
      <c r="H562" s="0" t="str">
        <f aca="false">IF($C562="","",IF(COUNTIF('مواد المخزون'!$A$2:$A$90,$C562)&gt;0,"نعم","لا (خارج الجرد)"))</f>
        <v/>
      </c>
    </row>
    <row r="563" customFormat="false" ht="15" hidden="false" customHeight="false" outlineLevel="0" collapsed="false">
      <c r="A563" s="103"/>
      <c r="B563" s="104"/>
      <c r="C563" s="104"/>
      <c r="F563" s="107" t="str">
        <f aca="false">IF(OR($C563="",$D563=0),"",$E563/$D563)</f>
        <v/>
      </c>
      <c r="H563" s="0" t="str">
        <f aca="false">IF($C563="","",IF(COUNTIF('مواد المخزون'!$A$2:$A$90,$C563)&gt;0,"نعم","لا (خارج الجرد)"))</f>
        <v/>
      </c>
    </row>
    <row r="564" customFormat="false" ht="15" hidden="false" customHeight="false" outlineLevel="0" collapsed="false">
      <c r="A564" s="103"/>
      <c r="B564" s="104"/>
      <c r="C564" s="104"/>
      <c r="F564" s="107" t="str">
        <f aca="false">IF(OR($C564="",$D564=0),"",$E564/$D564)</f>
        <v/>
      </c>
      <c r="H564" s="0" t="str">
        <f aca="false">IF($C564="","",IF(COUNTIF('مواد المخزون'!$A$2:$A$90,$C564)&gt;0,"نعم","لا (خارج الجرد)"))</f>
        <v/>
      </c>
    </row>
    <row r="565" customFormat="false" ht="15" hidden="false" customHeight="false" outlineLevel="0" collapsed="false">
      <c r="A565" s="103"/>
      <c r="B565" s="104"/>
      <c r="C565" s="104"/>
      <c r="F565" s="107" t="str">
        <f aca="false">IF(OR($C565="",$D565=0),"",$E565/$D565)</f>
        <v/>
      </c>
      <c r="H565" s="0" t="str">
        <f aca="false">IF($C565="","",IF(COUNTIF('مواد المخزون'!$A$2:$A$90,$C565)&gt;0,"نعم","لا (خارج الجرد)"))</f>
        <v/>
      </c>
    </row>
    <row r="566" customFormat="false" ht="15" hidden="false" customHeight="false" outlineLevel="0" collapsed="false">
      <c r="A566" s="103"/>
      <c r="B566" s="104"/>
      <c r="C566" s="104"/>
      <c r="F566" s="107" t="str">
        <f aca="false">IF(OR($C566="",$D566=0),"",$E566/$D566)</f>
        <v/>
      </c>
      <c r="H566" s="0" t="str">
        <f aca="false">IF($C566="","",IF(COUNTIF('مواد المخزون'!$A$2:$A$90,$C566)&gt;0,"نعم","لا (خارج الجرد)"))</f>
        <v/>
      </c>
    </row>
    <row r="567" customFormat="false" ht="15" hidden="false" customHeight="false" outlineLevel="0" collapsed="false">
      <c r="A567" s="103"/>
      <c r="B567" s="104"/>
      <c r="C567" s="104"/>
      <c r="F567" s="107" t="str">
        <f aca="false">IF(OR($C567="",$D567=0),"",$E567/$D567)</f>
        <v/>
      </c>
      <c r="H567" s="0" t="str">
        <f aca="false">IF($C567="","",IF(COUNTIF('مواد المخزون'!$A$2:$A$90,$C567)&gt;0,"نعم","لا (خارج الجرد)"))</f>
        <v/>
      </c>
    </row>
    <row r="568" customFormat="false" ht="15" hidden="false" customHeight="false" outlineLevel="0" collapsed="false">
      <c r="A568" s="103"/>
      <c r="B568" s="104"/>
      <c r="C568" s="104"/>
      <c r="F568" s="107" t="str">
        <f aca="false">IF(OR($C568="",$D568=0),"",$E568/$D568)</f>
        <v/>
      </c>
      <c r="H568" s="0" t="str">
        <f aca="false">IF($C568="","",IF(COUNTIF('مواد المخزون'!$A$2:$A$90,$C568)&gt;0,"نعم","لا (خارج الجرد)"))</f>
        <v/>
      </c>
    </row>
    <row r="569" customFormat="false" ht="15" hidden="false" customHeight="false" outlineLevel="0" collapsed="false">
      <c r="A569" s="103"/>
      <c r="B569" s="104"/>
      <c r="C569" s="104"/>
      <c r="F569" s="107" t="str">
        <f aca="false">IF(OR($C569="",$D569=0),"",$E569/$D569)</f>
        <v/>
      </c>
      <c r="H569" s="0" t="str">
        <f aca="false">IF($C569="","",IF(COUNTIF('مواد المخزون'!$A$2:$A$90,$C569)&gt;0,"نعم","لا (خارج الجرد)"))</f>
        <v/>
      </c>
    </row>
    <row r="570" customFormat="false" ht="15" hidden="false" customHeight="false" outlineLevel="0" collapsed="false">
      <c r="A570" s="103"/>
      <c r="B570" s="104"/>
      <c r="C570" s="104"/>
      <c r="F570" s="107" t="str">
        <f aca="false">IF(OR($C570="",$D570=0),"",$E570/$D570)</f>
        <v/>
      </c>
      <c r="H570" s="0" t="str">
        <f aca="false">IF($C570="","",IF(COUNTIF('مواد المخزون'!$A$2:$A$90,$C570)&gt;0,"نعم","لا (خارج الجرد)"))</f>
        <v/>
      </c>
    </row>
    <row r="571" customFormat="false" ht="15" hidden="false" customHeight="false" outlineLevel="0" collapsed="false">
      <c r="A571" s="103"/>
      <c r="B571" s="104"/>
      <c r="C571" s="104"/>
      <c r="F571" s="107" t="str">
        <f aca="false">IF(OR($C571="",$D571=0),"",$E571/$D571)</f>
        <v/>
      </c>
      <c r="H571" s="0" t="str">
        <f aca="false">IF($C571="","",IF(COUNTIF('مواد المخزون'!$A$2:$A$90,$C571)&gt;0,"نعم","لا (خارج الجرد)"))</f>
        <v/>
      </c>
    </row>
    <row r="572" customFormat="false" ht="15" hidden="false" customHeight="false" outlineLevel="0" collapsed="false">
      <c r="A572" s="103"/>
      <c r="B572" s="104"/>
      <c r="C572" s="104"/>
      <c r="F572" s="107" t="str">
        <f aca="false">IF(OR($C572="",$D572=0),"",$E572/$D572)</f>
        <v/>
      </c>
      <c r="H572" s="0" t="str">
        <f aca="false">IF($C572="","",IF(COUNTIF('مواد المخزون'!$A$2:$A$90,$C572)&gt;0,"نعم","لا (خارج الجرد)"))</f>
        <v/>
      </c>
    </row>
    <row r="573" customFormat="false" ht="15" hidden="false" customHeight="false" outlineLevel="0" collapsed="false">
      <c r="A573" s="103"/>
      <c r="B573" s="104"/>
      <c r="C573" s="104"/>
      <c r="F573" s="107" t="str">
        <f aca="false">IF(OR($C573="",$D573=0),"",$E573/$D573)</f>
        <v/>
      </c>
      <c r="H573" s="0" t="str">
        <f aca="false">IF($C573="","",IF(COUNTIF('مواد المخزون'!$A$2:$A$90,$C573)&gt;0,"نعم","لا (خارج الجرد)"))</f>
        <v/>
      </c>
    </row>
    <row r="574" customFormat="false" ht="15" hidden="false" customHeight="false" outlineLevel="0" collapsed="false">
      <c r="A574" s="103"/>
      <c r="B574" s="104"/>
      <c r="C574" s="104"/>
      <c r="F574" s="107" t="str">
        <f aca="false">IF(OR($C574="",$D574=0),"",$E574/$D574)</f>
        <v/>
      </c>
      <c r="H574" s="0" t="str">
        <f aca="false">IF($C574="","",IF(COUNTIF('مواد المخزون'!$A$2:$A$90,$C574)&gt;0,"نعم","لا (خارج الجرد)"))</f>
        <v/>
      </c>
    </row>
    <row r="575" customFormat="false" ht="15" hidden="false" customHeight="false" outlineLevel="0" collapsed="false">
      <c r="A575" s="103"/>
      <c r="B575" s="104"/>
      <c r="C575" s="104"/>
      <c r="F575" s="107" t="str">
        <f aca="false">IF(OR($C575="",$D575=0),"",$E575/$D575)</f>
        <v/>
      </c>
      <c r="H575" s="0" t="str">
        <f aca="false">IF($C575="","",IF(COUNTIF('مواد المخزون'!$A$2:$A$90,$C575)&gt;0,"نعم","لا (خارج الجرد)"))</f>
        <v/>
      </c>
    </row>
    <row r="576" customFormat="false" ht="15" hidden="false" customHeight="false" outlineLevel="0" collapsed="false">
      <c r="A576" s="103"/>
      <c r="B576" s="104"/>
      <c r="C576" s="104"/>
      <c r="F576" s="107" t="str">
        <f aca="false">IF(OR($C576="",$D576=0),"",$E576/$D576)</f>
        <v/>
      </c>
      <c r="H576" s="0" t="str">
        <f aca="false">IF($C576="","",IF(COUNTIF('مواد المخزون'!$A$2:$A$90,$C576)&gt;0,"نعم","لا (خارج الجرد)"))</f>
        <v/>
      </c>
    </row>
    <row r="577" customFormat="false" ht="15" hidden="false" customHeight="false" outlineLevel="0" collapsed="false">
      <c r="A577" s="103"/>
      <c r="B577" s="104"/>
      <c r="C577" s="104"/>
      <c r="F577" s="107" t="str">
        <f aca="false">IF(OR($C577="",$D577=0),"",$E577/$D577)</f>
        <v/>
      </c>
      <c r="H577" s="0" t="str">
        <f aca="false">IF($C577="","",IF(COUNTIF('مواد المخزون'!$A$2:$A$90,$C577)&gt;0,"نعم","لا (خارج الجرد)"))</f>
        <v/>
      </c>
    </row>
    <row r="578" customFormat="false" ht="15" hidden="false" customHeight="false" outlineLevel="0" collapsed="false">
      <c r="A578" s="103"/>
      <c r="B578" s="104"/>
      <c r="C578" s="104"/>
      <c r="F578" s="107" t="str">
        <f aca="false">IF(OR($C578="",$D578=0),"",$E578/$D578)</f>
        <v/>
      </c>
      <c r="H578" s="0" t="str">
        <f aca="false">IF($C578="","",IF(COUNTIF('مواد المخزون'!$A$2:$A$90,$C578)&gt;0,"نعم","لا (خارج الجرد)"))</f>
        <v/>
      </c>
    </row>
    <row r="579" customFormat="false" ht="15" hidden="false" customHeight="false" outlineLevel="0" collapsed="false">
      <c r="A579" s="103"/>
      <c r="B579" s="104"/>
      <c r="C579" s="104"/>
      <c r="F579" s="107" t="str">
        <f aca="false">IF(OR($C579="",$D579=0),"",$E579/$D579)</f>
        <v/>
      </c>
      <c r="H579" s="0" t="str">
        <f aca="false">IF($C579="","",IF(COUNTIF('مواد المخزون'!$A$2:$A$90,$C579)&gt;0,"نعم","لا (خارج الجرد)"))</f>
        <v/>
      </c>
    </row>
    <row r="580" customFormat="false" ht="15" hidden="false" customHeight="false" outlineLevel="0" collapsed="false">
      <c r="A580" s="103"/>
      <c r="B580" s="104"/>
      <c r="C580" s="104"/>
      <c r="F580" s="107" t="str">
        <f aca="false">IF(OR($C580="",$D580=0),"",$E580/$D580)</f>
        <v/>
      </c>
      <c r="H580" s="0" t="str">
        <f aca="false">IF($C580="","",IF(COUNTIF('مواد المخزون'!$A$2:$A$90,$C580)&gt;0,"نعم","لا (خارج الجرد)"))</f>
        <v/>
      </c>
    </row>
    <row r="581" customFormat="false" ht="15" hidden="false" customHeight="false" outlineLevel="0" collapsed="false">
      <c r="A581" s="103"/>
      <c r="B581" s="104"/>
      <c r="C581" s="104"/>
      <c r="F581" s="107" t="str">
        <f aca="false">IF(OR($C581="",$D581=0),"",$E581/$D581)</f>
        <v/>
      </c>
      <c r="H581" s="0" t="str">
        <f aca="false">IF($C581="","",IF(COUNTIF('مواد المخزون'!$A$2:$A$90,$C581)&gt;0,"نعم","لا (خارج الجرد)"))</f>
        <v/>
      </c>
    </row>
    <row r="582" customFormat="false" ht="15" hidden="false" customHeight="false" outlineLevel="0" collapsed="false">
      <c r="A582" s="103"/>
      <c r="B582" s="104"/>
      <c r="C582" s="104"/>
      <c r="F582" s="107" t="str">
        <f aca="false">IF(OR($C582="",$D582=0),"",$E582/$D582)</f>
        <v/>
      </c>
      <c r="H582" s="0" t="str">
        <f aca="false">IF($C582="","",IF(COUNTIF('مواد المخزون'!$A$2:$A$90,$C582)&gt;0,"نعم","لا (خارج الجرد)"))</f>
        <v/>
      </c>
    </row>
    <row r="583" customFormat="false" ht="15" hidden="false" customHeight="false" outlineLevel="0" collapsed="false">
      <c r="A583" s="103"/>
      <c r="B583" s="104"/>
      <c r="C583" s="104"/>
      <c r="F583" s="107" t="str">
        <f aca="false">IF(OR($C583="",$D583=0),"",$E583/$D583)</f>
        <v/>
      </c>
      <c r="H583" s="0" t="str">
        <f aca="false">IF($C583="","",IF(COUNTIF('مواد المخزون'!$A$2:$A$90,$C583)&gt;0,"نعم","لا (خارج الجرد)"))</f>
        <v/>
      </c>
    </row>
    <row r="584" customFormat="false" ht="15" hidden="false" customHeight="false" outlineLevel="0" collapsed="false">
      <c r="A584" s="103"/>
      <c r="B584" s="104"/>
      <c r="C584" s="104"/>
      <c r="F584" s="107" t="str">
        <f aca="false">IF(OR($C584="",$D584=0),"",$E584/$D584)</f>
        <v/>
      </c>
      <c r="H584" s="0" t="str">
        <f aca="false">IF($C584="","",IF(COUNTIF('مواد المخزون'!$A$2:$A$90,$C584)&gt;0,"نعم","لا (خارج الجرد)"))</f>
        <v/>
      </c>
    </row>
    <row r="585" customFormat="false" ht="15" hidden="false" customHeight="false" outlineLevel="0" collapsed="false">
      <c r="A585" s="103"/>
      <c r="B585" s="104"/>
      <c r="C585" s="104"/>
      <c r="F585" s="107" t="str">
        <f aca="false">IF(OR($C585="",$D585=0),"",$E585/$D585)</f>
        <v/>
      </c>
      <c r="H585" s="0" t="str">
        <f aca="false">IF($C585="","",IF(COUNTIF('مواد المخزون'!$A$2:$A$90,$C585)&gt;0,"نعم","لا (خارج الجرد)"))</f>
        <v/>
      </c>
    </row>
    <row r="586" customFormat="false" ht="15" hidden="false" customHeight="false" outlineLevel="0" collapsed="false">
      <c r="A586" s="103"/>
      <c r="B586" s="104"/>
      <c r="C586" s="104"/>
      <c r="F586" s="107" t="str">
        <f aca="false">IF(OR($C586="",$D586=0),"",$E586/$D586)</f>
        <v/>
      </c>
      <c r="H586" s="0" t="str">
        <f aca="false">IF($C586="","",IF(COUNTIF('مواد المخزون'!$A$2:$A$90,$C586)&gt;0,"نعم","لا (خارج الجرد)"))</f>
        <v/>
      </c>
    </row>
    <row r="587" customFormat="false" ht="15" hidden="false" customHeight="false" outlineLevel="0" collapsed="false">
      <c r="A587" s="103"/>
      <c r="B587" s="104"/>
      <c r="C587" s="104"/>
      <c r="F587" s="107" t="str">
        <f aca="false">IF(OR($C587="",$D587=0),"",$E587/$D587)</f>
        <v/>
      </c>
      <c r="H587" s="0" t="str">
        <f aca="false">IF($C587="","",IF(COUNTIF('مواد المخزون'!$A$2:$A$90,$C587)&gt;0,"نعم","لا (خارج الجرد)"))</f>
        <v/>
      </c>
    </row>
    <row r="588" customFormat="false" ht="15" hidden="false" customHeight="false" outlineLevel="0" collapsed="false">
      <c r="A588" s="103"/>
      <c r="B588" s="104"/>
      <c r="C588" s="104"/>
      <c r="F588" s="107" t="str">
        <f aca="false">IF(OR($C588="",$D588=0),"",$E588/$D588)</f>
        <v/>
      </c>
      <c r="H588" s="0" t="str">
        <f aca="false">IF($C588="","",IF(COUNTIF('مواد المخزون'!$A$2:$A$90,$C588)&gt;0,"نعم","لا (خارج الجرد)"))</f>
        <v/>
      </c>
    </row>
    <row r="589" customFormat="false" ht="15" hidden="false" customHeight="false" outlineLevel="0" collapsed="false">
      <c r="A589" s="103"/>
      <c r="B589" s="104"/>
      <c r="C589" s="104"/>
      <c r="F589" s="107" t="str">
        <f aca="false">IF(OR($C589="",$D589=0),"",$E589/$D589)</f>
        <v/>
      </c>
      <c r="H589" s="0" t="str">
        <f aca="false">IF($C589="","",IF(COUNTIF('مواد المخزون'!$A$2:$A$90,$C589)&gt;0,"نعم","لا (خارج الجرد)"))</f>
        <v/>
      </c>
    </row>
    <row r="590" customFormat="false" ht="15" hidden="false" customHeight="false" outlineLevel="0" collapsed="false">
      <c r="A590" s="103"/>
      <c r="B590" s="104"/>
      <c r="C590" s="104"/>
      <c r="F590" s="107" t="str">
        <f aca="false">IF(OR($C590="",$D590=0),"",$E590/$D590)</f>
        <v/>
      </c>
      <c r="H590" s="0" t="str">
        <f aca="false">IF($C590="","",IF(COUNTIF('مواد المخزون'!$A$2:$A$90,$C590)&gt;0,"نعم","لا (خارج الجرد)"))</f>
        <v/>
      </c>
    </row>
    <row r="591" customFormat="false" ht="15" hidden="false" customHeight="false" outlineLevel="0" collapsed="false">
      <c r="A591" s="103"/>
      <c r="B591" s="104"/>
      <c r="C591" s="104"/>
      <c r="F591" s="107" t="str">
        <f aca="false">IF(OR($C591="",$D591=0),"",$E591/$D591)</f>
        <v/>
      </c>
      <c r="H591" s="0" t="str">
        <f aca="false">IF($C591="","",IF(COUNTIF('مواد المخزون'!$A$2:$A$90,$C591)&gt;0,"نعم","لا (خارج الجرد)"))</f>
        <v/>
      </c>
    </row>
    <row r="592" customFormat="false" ht="15" hidden="false" customHeight="false" outlineLevel="0" collapsed="false">
      <c r="A592" s="103"/>
      <c r="B592" s="104"/>
      <c r="C592" s="104"/>
      <c r="F592" s="107" t="str">
        <f aca="false">IF(OR($C592="",$D592=0),"",$E592/$D592)</f>
        <v/>
      </c>
      <c r="H592" s="0" t="str">
        <f aca="false">IF($C592="","",IF(COUNTIF('مواد المخزون'!$A$2:$A$90,$C592)&gt;0,"نعم","لا (خارج الجرد)"))</f>
        <v/>
      </c>
    </row>
    <row r="593" customFormat="false" ht="15" hidden="false" customHeight="false" outlineLevel="0" collapsed="false">
      <c r="A593" s="103"/>
      <c r="B593" s="104"/>
      <c r="C593" s="104"/>
      <c r="F593" s="107" t="str">
        <f aca="false">IF(OR($C593="",$D593=0),"",$E593/$D593)</f>
        <v/>
      </c>
      <c r="H593" s="0" t="str">
        <f aca="false">IF($C593="","",IF(COUNTIF('مواد المخزون'!$A$2:$A$90,$C593)&gt;0,"نعم","لا (خارج الجرد)"))</f>
        <v/>
      </c>
    </row>
    <row r="594" customFormat="false" ht="15" hidden="false" customHeight="false" outlineLevel="0" collapsed="false">
      <c r="A594" s="103"/>
      <c r="B594" s="104"/>
      <c r="C594" s="104"/>
      <c r="F594" s="107" t="str">
        <f aca="false">IF(OR($C594="",$D594=0),"",$E594/$D594)</f>
        <v/>
      </c>
      <c r="H594" s="0" t="str">
        <f aca="false">IF($C594="","",IF(COUNTIF('مواد المخزون'!$A$2:$A$90,$C594)&gt;0,"نعم","لا (خارج الجرد)"))</f>
        <v/>
      </c>
    </row>
    <row r="595" customFormat="false" ht="15" hidden="false" customHeight="false" outlineLevel="0" collapsed="false">
      <c r="A595" s="103"/>
      <c r="B595" s="104"/>
      <c r="C595" s="104"/>
      <c r="F595" s="107" t="str">
        <f aca="false">IF(OR($C595="",$D595=0),"",$E595/$D595)</f>
        <v/>
      </c>
      <c r="H595" s="0" t="str">
        <f aca="false">IF($C595="","",IF(COUNTIF('مواد المخزون'!$A$2:$A$90,$C595)&gt;0,"نعم","لا (خارج الجرد)"))</f>
        <v/>
      </c>
    </row>
    <row r="596" customFormat="false" ht="15" hidden="false" customHeight="false" outlineLevel="0" collapsed="false">
      <c r="A596" s="103"/>
      <c r="B596" s="104"/>
      <c r="C596" s="104"/>
      <c r="F596" s="107" t="str">
        <f aca="false">IF(OR($C596="",$D596=0),"",$E596/$D596)</f>
        <v/>
      </c>
      <c r="H596" s="0" t="str">
        <f aca="false">IF($C596="","",IF(COUNTIF('مواد المخزون'!$A$2:$A$90,$C596)&gt;0,"نعم","لا (خارج الجرد)"))</f>
        <v/>
      </c>
    </row>
    <row r="597" customFormat="false" ht="15" hidden="false" customHeight="false" outlineLevel="0" collapsed="false">
      <c r="A597" s="103"/>
      <c r="B597" s="104"/>
      <c r="C597" s="104"/>
      <c r="F597" s="107" t="str">
        <f aca="false">IF(OR($C597="",$D597=0),"",$E597/$D597)</f>
        <v/>
      </c>
      <c r="H597" s="0" t="str">
        <f aca="false">IF($C597="","",IF(COUNTIF('مواد المخزون'!$A$2:$A$90,$C597)&gt;0,"نعم","لا (خارج الجرد)"))</f>
        <v/>
      </c>
    </row>
    <row r="598" customFormat="false" ht="15" hidden="false" customHeight="false" outlineLevel="0" collapsed="false">
      <c r="A598" s="103"/>
      <c r="B598" s="104"/>
      <c r="C598" s="104"/>
      <c r="F598" s="107" t="str">
        <f aca="false">IF(OR($C598="",$D598=0),"",$E598/$D598)</f>
        <v/>
      </c>
      <c r="H598" s="0" t="str">
        <f aca="false">IF($C598="","",IF(COUNTIF('مواد المخزون'!$A$2:$A$90,$C598)&gt;0,"نعم","لا (خارج الجرد)"))</f>
        <v/>
      </c>
    </row>
    <row r="599" customFormat="false" ht="15" hidden="false" customHeight="false" outlineLevel="0" collapsed="false">
      <c r="A599" s="103"/>
      <c r="B599" s="104"/>
      <c r="C599" s="104"/>
      <c r="F599" s="107" t="str">
        <f aca="false">IF(OR($C599="",$D599=0),"",$E599/$D599)</f>
        <v/>
      </c>
      <c r="H599" s="0" t="str">
        <f aca="false">IF($C599="","",IF(COUNTIF('مواد المخزون'!$A$2:$A$90,$C599)&gt;0,"نعم","لا (خارج الجرد)"))</f>
        <v/>
      </c>
    </row>
    <row r="600" customFormat="false" ht="15" hidden="false" customHeight="false" outlineLevel="0" collapsed="false">
      <c r="A600" s="103"/>
      <c r="B600" s="104"/>
      <c r="C600" s="104"/>
      <c r="F600" s="107" t="str">
        <f aca="false">IF(OR($C600="",$D600=0),"",$E600/$D600)</f>
        <v/>
      </c>
      <c r="H600" s="0" t="str">
        <f aca="false">IF($C600="","",IF(COUNTIF('مواد المخزون'!$A$2:$A$90,$C600)&gt;0,"نعم","لا (خارج الجرد)"))</f>
        <v/>
      </c>
    </row>
    <row r="601" customFormat="false" ht="15" hidden="false" customHeight="false" outlineLevel="0" collapsed="false">
      <c r="A601" s="103"/>
      <c r="B601" s="104"/>
      <c r="C601" s="104"/>
      <c r="F601" s="107" t="str">
        <f aca="false">IF(OR($C601="",$D601=0),"",$E601/$D601)</f>
        <v/>
      </c>
      <c r="H601" s="0" t="str">
        <f aca="false">IF($C601="","",IF(COUNTIF('مواد المخزون'!$A$2:$A$90,$C601)&gt;0,"نعم","لا (خارج الجرد)"))</f>
        <v/>
      </c>
    </row>
    <row r="602" customFormat="false" ht="15" hidden="false" customHeight="false" outlineLevel="0" collapsed="false">
      <c r="A602" s="103"/>
      <c r="B602" s="104"/>
      <c r="C602" s="104"/>
      <c r="F602" s="107" t="str">
        <f aca="false">IF(OR($C602="",$D602=0),"",$E602/$D602)</f>
        <v/>
      </c>
      <c r="H602" s="0" t="str">
        <f aca="false">IF($C602="","",IF(COUNTIF('مواد المخزون'!$A$2:$A$90,$C602)&gt;0,"نعم","لا (خارج الجرد)"))</f>
        <v/>
      </c>
    </row>
    <row r="603" customFormat="false" ht="15" hidden="false" customHeight="false" outlineLevel="0" collapsed="false">
      <c r="A603" s="103"/>
      <c r="B603" s="104"/>
      <c r="C603" s="104"/>
      <c r="F603" s="107" t="str">
        <f aca="false">IF(OR($C603="",$D603=0),"",$E603/$D603)</f>
        <v/>
      </c>
      <c r="H603" s="0" t="str">
        <f aca="false">IF($C603="","",IF(COUNTIF('مواد المخزون'!$A$2:$A$90,$C603)&gt;0,"نعم","لا (خارج الجرد)"))</f>
        <v/>
      </c>
    </row>
    <row r="604" customFormat="false" ht="15" hidden="false" customHeight="false" outlineLevel="0" collapsed="false">
      <c r="A604" s="103"/>
      <c r="B604" s="104"/>
      <c r="C604" s="104"/>
      <c r="F604" s="107" t="str">
        <f aca="false">IF(OR($C604="",$D604=0),"",$E604/$D604)</f>
        <v/>
      </c>
      <c r="H604" s="0" t="str">
        <f aca="false">IF($C604="","",IF(COUNTIF('مواد المخزون'!$A$2:$A$90,$C604)&gt;0,"نعم","لا (خارج الجرد)"))</f>
        <v/>
      </c>
    </row>
    <row r="605" customFormat="false" ht="15" hidden="false" customHeight="false" outlineLevel="0" collapsed="false">
      <c r="A605" s="103"/>
      <c r="B605" s="104"/>
      <c r="C605" s="104"/>
      <c r="F605" s="107" t="str">
        <f aca="false">IF(OR($C605="",$D605=0),"",$E605/$D605)</f>
        <v/>
      </c>
      <c r="H605" s="0" t="str">
        <f aca="false">IF($C605="","",IF(COUNTIF('مواد المخزون'!$A$2:$A$90,$C605)&gt;0,"نعم","لا (خارج الجرد)"))</f>
        <v/>
      </c>
    </row>
    <row r="606" customFormat="false" ht="15" hidden="false" customHeight="false" outlineLevel="0" collapsed="false">
      <c r="A606" s="103"/>
      <c r="B606" s="104"/>
      <c r="C606" s="104"/>
      <c r="F606" s="107" t="str">
        <f aca="false">IF(OR($C606="",$D606=0),"",$E606/$D606)</f>
        <v/>
      </c>
      <c r="H606" s="0" t="str">
        <f aca="false">IF($C606="","",IF(COUNTIF('مواد المخزون'!$A$2:$A$90,$C606)&gt;0,"نعم","لا (خارج الجرد)"))</f>
        <v/>
      </c>
    </row>
    <row r="607" customFormat="false" ht="15" hidden="false" customHeight="false" outlineLevel="0" collapsed="false">
      <c r="A607" s="103"/>
      <c r="B607" s="104"/>
      <c r="C607" s="104"/>
      <c r="F607" s="107" t="str">
        <f aca="false">IF(OR($C607="",$D607=0),"",$E607/$D607)</f>
        <v/>
      </c>
      <c r="H607" s="0" t="str">
        <f aca="false">IF($C607="","",IF(COUNTIF('مواد المخزون'!$A$2:$A$90,$C607)&gt;0,"نعم","لا (خارج الجرد)"))</f>
        <v/>
      </c>
    </row>
    <row r="608" customFormat="false" ht="15" hidden="false" customHeight="false" outlineLevel="0" collapsed="false">
      <c r="A608" s="103"/>
      <c r="B608" s="104"/>
      <c r="C608" s="104"/>
      <c r="F608" s="107" t="str">
        <f aca="false">IF(OR($C608="",$D608=0),"",$E608/$D608)</f>
        <v/>
      </c>
      <c r="H608" s="0" t="str">
        <f aca="false">IF($C608="","",IF(COUNTIF('مواد المخزون'!$A$2:$A$90,$C608)&gt;0,"نعم","لا (خارج الجرد)"))</f>
        <v/>
      </c>
    </row>
    <row r="609" customFormat="false" ht="15" hidden="false" customHeight="false" outlineLevel="0" collapsed="false">
      <c r="A609" s="103"/>
      <c r="B609" s="104"/>
      <c r="C609" s="104"/>
      <c r="F609" s="107" t="str">
        <f aca="false">IF(OR($C609="",$D609=0),"",$E609/$D609)</f>
        <v/>
      </c>
      <c r="H609" s="0" t="str">
        <f aca="false">IF($C609="","",IF(COUNTIF('مواد المخزون'!$A$2:$A$90,$C609)&gt;0,"نعم","لا (خارج الجرد)"))</f>
        <v/>
      </c>
    </row>
    <row r="610" customFormat="false" ht="15" hidden="false" customHeight="false" outlineLevel="0" collapsed="false">
      <c r="A610" s="103"/>
      <c r="B610" s="104"/>
      <c r="C610" s="104"/>
      <c r="F610" s="107" t="str">
        <f aca="false">IF(OR($C610="",$D610=0),"",$E610/$D610)</f>
        <v/>
      </c>
      <c r="H610" s="0" t="str">
        <f aca="false">IF($C610="","",IF(COUNTIF('مواد المخزون'!$A$2:$A$90,$C610)&gt;0,"نعم","لا (خارج الجرد)"))</f>
        <v/>
      </c>
    </row>
    <row r="611" customFormat="false" ht="15" hidden="false" customHeight="false" outlineLevel="0" collapsed="false">
      <c r="A611" s="103"/>
      <c r="B611" s="104"/>
      <c r="C611" s="104"/>
      <c r="F611" s="107" t="str">
        <f aca="false">IF(OR($C611="",$D611=0),"",$E611/$D611)</f>
        <v/>
      </c>
      <c r="H611" s="0" t="str">
        <f aca="false">IF($C611="","",IF(COUNTIF('مواد المخزون'!$A$2:$A$90,$C611)&gt;0,"نعم","لا (خارج الجرد)"))</f>
        <v/>
      </c>
    </row>
    <row r="612" customFormat="false" ht="15" hidden="false" customHeight="false" outlineLevel="0" collapsed="false">
      <c r="A612" s="103"/>
      <c r="B612" s="104"/>
      <c r="C612" s="104"/>
      <c r="F612" s="107" t="str">
        <f aca="false">IF(OR($C612="",$D612=0),"",$E612/$D612)</f>
        <v/>
      </c>
      <c r="H612" s="0" t="str">
        <f aca="false">IF($C612="","",IF(COUNTIF('مواد المخزون'!$A$2:$A$90,$C612)&gt;0,"نعم","لا (خارج الجرد)"))</f>
        <v/>
      </c>
    </row>
    <row r="613" customFormat="false" ht="15" hidden="false" customHeight="false" outlineLevel="0" collapsed="false">
      <c r="A613" s="103"/>
      <c r="B613" s="104"/>
      <c r="C613" s="104"/>
      <c r="F613" s="107" t="str">
        <f aca="false">IF(OR($C613="",$D613=0),"",$E613/$D613)</f>
        <v/>
      </c>
      <c r="H613" s="0" t="str">
        <f aca="false">IF($C613="","",IF(COUNTIF('مواد المخزون'!$A$2:$A$90,$C613)&gt;0,"نعم","لا (خارج الجرد)"))</f>
        <v/>
      </c>
    </row>
    <row r="614" customFormat="false" ht="15" hidden="false" customHeight="false" outlineLevel="0" collapsed="false">
      <c r="A614" s="103"/>
      <c r="B614" s="104"/>
      <c r="C614" s="104"/>
      <c r="F614" s="107" t="str">
        <f aca="false">IF(OR($C614="",$D614=0),"",$E614/$D614)</f>
        <v/>
      </c>
      <c r="H614" s="0" t="str">
        <f aca="false">IF($C614="","",IF(COUNTIF('مواد المخزون'!$A$2:$A$90,$C614)&gt;0,"نعم","لا (خارج الجرد)"))</f>
        <v/>
      </c>
    </row>
    <row r="615" customFormat="false" ht="15" hidden="false" customHeight="false" outlineLevel="0" collapsed="false">
      <c r="A615" s="103"/>
      <c r="B615" s="104"/>
      <c r="C615" s="104"/>
      <c r="F615" s="107" t="str">
        <f aca="false">IF(OR($C615="",$D615=0),"",$E615/$D615)</f>
        <v/>
      </c>
      <c r="H615" s="0" t="str">
        <f aca="false">IF($C615="","",IF(COUNTIF('مواد المخزون'!$A$2:$A$90,$C615)&gt;0,"نعم","لا (خارج الجرد)"))</f>
        <v/>
      </c>
    </row>
    <row r="616" customFormat="false" ht="15" hidden="false" customHeight="false" outlineLevel="0" collapsed="false">
      <c r="A616" s="103"/>
      <c r="B616" s="104"/>
      <c r="C616" s="104"/>
      <c r="F616" s="107" t="str">
        <f aca="false">IF(OR($C616="",$D616=0),"",$E616/$D616)</f>
        <v/>
      </c>
      <c r="H616" s="0" t="str">
        <f aca="false">IF($C616="","",IF(COUNTIF('مواد المخزون'!$A$2:$A$90,$C616)&gt;0,"نعم","لا (خارج الجرد)"))</f>
        <v/>
      </c>
    </row>
    <row r="617" customFormat="false" ht="15" hidden="false" customHeight="false" outlineLevel="0" collapsed="false">
      <c r="A617" s="103"/>
      <c r="B617" s="104"/>
      <c r="C617" s="104"/>
      <c r="F617" s="107" t="str">
        <f aca="false">IF(OR($C617="",$D617=0),"",$E617/$D617)</f>
        <v/>
      </c>
      <c r="H617" s="0" t="str">
        <f aca="false">IF($C617="","",IF(COUNTIF('مواد المخزون'!$A$2:$A$90,$C617)&gt;0,"نعم","لا (خارج الجرد)"))</f>
        <v/>
      </c>
    </row>
    <row r="618" customFormat="false" ht="15" hidden="false" customHeight="false" outlineLevel="0" collapsed="false">
      <c r="A618" s="103"/>
      <c r="B618" s="104"/>
      <c r="C618" s="104"/>
      <c r="F618" s="107" t="str">
        <f aca="false">IF(OR($C618="",$D618=0),"",$E618/$D618)</f>
        <v/>
      </c>
      <c r="H618" s="0" t="str">
        <f aca="false">IF($C618="","",IF(COUNTIF('مواد المخزون'!$A$2:$A$90,$C618)&gt;0,"نعم","لا (خارج الجرد)"))</f>
        <v/>
      </c>
    </row>
    <row r="619" customFormat="false" ht="15" hidden="false" customHeight="false" outlineLevel="0" collapsed="false">
      <c r="A619" s="103"/>
      <c r="B619" s="104"/>
      <c r="C619" s="104"/>
      <c r="F619" s="107" t="str">
        <f aca="false">IF(OR($C619="",$D619=0),"",$E619/$D619)</f>
        <v/>
      </c>
      <c r="H619" s="0" t="str">
        <f aca="false">IF($C619="","",IF(COUNTIF('مواد المخزون'!$A$2:$A$90,$C619)&gt;0,"نعم","لا (خارج الجرد)"))</f>
        <v/>
      </c>
    </row>
    <row r="620" customFormat="false" ht="15" hidden="false" customHeight="false" outlineLevel="0" collapsed="false">
      <c r="A620" s="103"/>
      <c r="B620" s="104"/>
      <c r="C620" s="104"/>
      <c r="F620" s="107" t="str">
        <f aca="false">IF(OR($C620="",$D620=0),"",$E620/$D620)</f>
        <v/>
      </c>
      <c r="H620" s="0" t="str">
        <f aca="false">IF($C620="","",IF(COUNTIF('مواد المخزون'!$A$2:$A$90,$C620)&gt;0,"نعم","لا (خارج الجرد)"))</f>
        <v/>
      </c>
    </row>
    <row r="621" customFormat="false" ht="15" hidden="false" customHeight="false" outlineLevel="0" collapsed="false">
      <c r="A621" s="103"/>
      <c r="B621" s="104"/>
      <c r="C621" s="104"/>
      <c r="F621" s="107" t="str">
        <f aca="false">IF(OR($C621="",$D621=0),"",$E621/$D621)</f>
        <v/>
      </c>
      <c r="H621" s="0" t="str">
        <f aca="false">IF($C621="","",IF(COUNTIF('مواد المخزون'!$A$2:$A$90,$C621)&gt;0,"نعم","لا (خارج الجرد)"))</f>
        <v/>
      </c>
    </row>
    <row r="622" customFormat="false" ht="15" hidden="false" customHeight="false" outlineLevel="0" collapsed="false">
      <c r="A622" s="103"/>
      <c r="B622" s="104"/>
      <c r="C622" s="104"/>
      <c r="F622" s="107" t="str">
        <f aca="false">IF(OR($C622="",$D622=0),"",$E622/$D622)</f>
        <v/>
      </c>
      <c r="H622" s="0" t="str">
        <f aca="false">IF($C622="","",IF(COUNTIF('مواد المخزون'!$A$2:$A$90,$C622)&gt;0,"نعم","لا (خارج الجرد)"))</f>
        <v/>
      </c>
    </row>
    <row r="623" customFormat="false" ht="15" hidden="false" customHeight="false" outlineLevel="0" collapsed="false">
      <c r="A623" s="103"/>
      <c r="B623" s="104"/>
      <c r="C623" s="104"/>
      <c r="F623" s="107" t="str">
        <f aca="false">IF(OR($C623="",$D623=0),"",$E623/$D623)</f>
        <v/>
      </c>
      <c r="H623" s="0" t="str">
        <f aca="false">IF($C623="","",IF(COUNTIF('مواد المخزون'!$A$2:$A$90,$C623)&gt;0,"نعم","لا (خارج الجرد)"))</f>
        <v/>
      </c>
    </row>
    <row r="624" customFormat="false" ht="15" hidden="false" customHeight="false" outlineLevel="0" collapsed="false">
      <c r="A624" s="103"/>
      <c r="B624" s="104"/>
      <c r="C624" s="104"/>
      <c r="F624" s="107" t="str">
        <f aca="false">IF(OR($C624="",$D624=0),"",$E624/$D624)</f>
        <v/>
      </c>
      <c r="H624" s="0" t="str">
        <f aca="false">IF($C624="","",IF(COUNTIF('مواد المخزون'!$A$2:$A$90,$C624)&gt;0,"نعم","لا (خارج الجرد)"))</f>
        <v/>
      </c>
    </row>
    <row r="625" customFormat="false" ht="15" hidden="false" customHeight="false" outlineLevel="0" collapsed="false">
      <c r="A625" s="103"/>
      <c r="B625" s="104"/>
      <c r="C625" s="104"/>
      <c r="F625" s="107" t="str">
        <f aca="false">IF(OR($C625="",$D625=0),"",$E625/$D625)</f>
        <v/>
      </c>
      <c r="H625" s="0" t="str">
        <f aca="false">IF($C625="","",IF(COUNTIF('مواد المخزون'!$A$2:$A$90,$C625)&gt;0,"نعم","لا (خارج الجرد)"))</f>
        <v/>
      </c>
    </row>
    <row r="626" customFormat="false" ht="15" hidden="false" customHeight="false" outlineLevel="0" collapsed="false">
      <c r="A626" s="103"/>
      <c r="B626" s="104"/>
      <c r="C626" s="104"/>
      <c r="F626" s="107" t="str">
        <f aca="false">IF(OR($C626="",$D626=0),"",$E626/$D626)</f>
        <v/>
      </c>
      <c r="H626" s="0" t="str">
        <f aca="false">IF($C626="","",IF(COUNTIF('مواد المخزون'!$A$2:$A$90,$C626)&gt;0,"نعم","لا (خارج الجرد)"))</f>
        <v/>
      </c>
    </row>
    <row r="627" customFormat="false" ht="15" hidden="false" customHeight="false" outlineLevel="0" collapsed="false">
      <c r="A627" s="103"/>
      <c r="B627" s="104"/>
      <c r="C627" s="104"/>
      <c r="F627" s="107" t="str">
        <f aca="false">IF(OR($C627="",$D627=0),"",$E627/$D627)</f>
        <v/>
      </c>
      <c r="H627" s="0" t="str">
        <f aca="false">IF($C627="","",IF(COUNTIF('مواد المخزون'!$A$2:$A$90,$C627)&gt;0,"نعم","لا (خارج الجرد)"))</f>
        <v/>
      </c>
    </row>
    <row r="628" customFormat="false" ht="15" hidden="false" customHeight="false" outlineLevel="0" collapsed="false">
      <c r="A628" s="103"/>
      <c r="B628" s="104"/>
      <c r="C628" s="104"/>
      <c r="F628" s="107" t="str">
        <f aca="false">IF(OR($C628="",$D628=0),"",$E628/$D628)</f>
        <v/>
      </c>
      <c r="H628" s="0" t="str">
        <f aca="false">IF($C628="","",IF(COUNTIF('مواد المخزون'!$A$2:$A$90,$C628)&gt;0,"نعم","لا (خارج الجرد)"))</f>
        <v/>
      </c>
    </row>
    <row r="629" customFormat="false" ht="15" hidden="false" customHeight="false" outlineLevel="0" collapsed="false">
      <c r="A629" s="103"/>
      <c r="B629" s="104"/>
      <c r="C629" s="104"/>
      <c r="F629" s="107" t="str">
        <f aca="false">IF(OR($C629="",$D629=0),"",$E629/$D629)</f>
        <v/>
      </c>
      <c r="H629" s="0" t="str">
        <f aca="false">IF($C629="","",IF(COUNTIF('مواد المخزون'!$A$2:$A$90,$C629)&gt;0,"نعم","لا (خارج الجرد)"))</f>
        <v/>
      </c>
    </row>
    <row r="630" customFormat="false" ht="15" hidden="false" customHeight="false" outlineLevel="0" collapsed="false">
      <c r="A630" s="103"/>
      <c r="B630" s="104"/>
      <c r="C630" s="104"/>
      <c r="F630" s="107" t="str">
        <f aca="false">IF(OR($C630="",$D630=0),"",$E630/$D630)</f>
        <v/>
      </c>
      <c r="H630" s="0" t="str">
        <f aca="false">IF($C630="","",IF(COUNTIF('مواد المخزون'!$A$2:$A$90,$C630)&gt;0,"نعم","لا (خارج الجرد)"))</f>
        <v/>
      </c>
    </row>
    <row r="631" customFormat="false" ht="15" hidden="false" customHeight="false" outlineLevel="0" collapsed="false">
      <c r="A631" s="103"/>
      <c r="B631" s="104"/>
      <c r="C631" s="104"/>
      <c r="F631" s="107" t="str">
        <f aca="false">IF(OR($C631="",$D631=0),"",$E631/$D631)</f>
        <v/>
      </c>
      <c r="H631" s="0" t="str">
        <f aca="false">IF($C631="","",IF(COUNTIF('مواد المخزون'!$A$2:$A$90,$C631)&gt;0,"نعم","لا (خارج الجرد)"))</f>
        <v/>
      </c>
    </row>
    <row r="632" customFormat="false" ht="15" hidden="false" customHeight="false" outlineLevel="0" collapsed="false">
      <c r="A632" s="103"/>
      <c r="B632" s="104"/>
      <c r="C632" s="104"/>
      <c r="F632" s="107" t="str">
        <f aca="false">IF(OR($C632="",$D632=0),"",$E632/$D632)</f>
        <v/>
      </c>
      <c r="H632" s="0" t="str">
        <f aca="false">IF($C632="","",IF(COUNTIF('مواد المخزون'!$A$2:$A$90,$C632)&gt;0,"نعم","لا (خارج الجرد)"))</f>
        <v/>
      </c>
    </row>
    <row r="633" customFormat="false" ht="15" hidden="false" customHeight="false" outlineLevel="0" collapsed="false">
      <c r="A633" s="103"/>
      <c r="B633" s="104"/>
      <c r="C633" s="104"/>
      <c r="F633" s="107" t="str">
        <f aca="false">IF(OR($C633="",$D633=0),"",$E633/$D633)</f>
        <v/>
      </c>
      <c r="H633" s="0" t="str">
        <f aca="false">IF($C633="","",IF(COUNTIF('مواد المخزون'!$A$2:$A$90,$C633)&gt;0,"نعم","لا (خارج الجرد)"))</f>
        <v/>
      </c>
    </row>
    <row r="634" customFormat="false" ht="15" hidden="false" customHeight="false" outlineLevel="0" collapsed="false">
      <c r="A634" s="103"/>
      <c r="B634" s="104"/>
      <c r="C634" s="104"/>
      <c r="F634" s="107" t="str">
        <f aca="false">IF(OR($C634="",$D634=0),"",$E634/$D634)</f>
        <v/>
      </c>
      <c r="H634" s="0" t="str">
        <f aca="false">IF($C634="","",IF(COUNTIF('مواد المخزون'!$A$2:$A$90,$C634)&gt;0,"نعم","لا (خارج الجرد)"))</f>
        <v/>
      </c>
    </row>
    <row r="635" customFormat="false" ht="15" hidden="false" customHeight="false" outlineLevel="0" collapsed="false">
      <c r="A635" s="103"/>
      <c r="B635" s="104"/>
      <c r="C635" s="104"/>
      <c r="F635" s="107" t="str">
        <f aca="false">IF(OR($C635="",$D635=0),"",$E635/$D635)</f>
        <v/>
      </c>
      <c r="H635" s="0" t="str">
        <f aca="false">IF($C635="","",IF(COUNTIF('مواد المخزون'!$A$2:$A$90,$C635)&gt;0,"نعم","لا (خارج الجرد)"))</f>
        <v/>
      </c>
    </row>
    <row r="636" customFormat="false" ht="15" hidden="false" customHeight="false" outlineLevel="0" collapsed="false">
      <c r="A636" s="103"/>
      <c r="B636" s="104"/>
      <c r="C636" s="104"/>
      <c r="F636" s="107" t="str">
        <f aca="false">IF(OR($C636="",$D636=0),"",$E636/$D636)</f>
        <v/>
      </c>
      <c r="H636" s="0" t="str">
        <f aca="false">IF($C636="","",IF(COUNTIF('مواد المخزون'!$A$2:$A$90,$C636)&gt;0,"نعم","لا (خارج الجرد)"))</f>
        <v/>
      </c>
    </row>
    <row r="637" customFormat="false" ht="15" hidden="false" customHeight="false" outlineLevel="0" collapsed="false">
      <c r="A637" s="103"/>
      <c r="B637" s="104"/>
      <c r="C637" s="104"/>
      <c r="F637" s="107" t="str">
        <f aca="false">IF(OR($C637="",$D637=0),"",$E637/$D637)</f>
        <v/>
      </c>
      <c r="H637" s="0" t="str">
        <f aca="false">IF($C637="","",IF(COUNTIF('مواد المخزون'!$A$2:$A$90,$C637)&gt;0,"نعم","لا (خارج الجرد)"))</f>
        <v/>
      </c>
    </row>
    <row r="638" customFormat="false" ht="15" hidden="false" customHeight="false" outlineLevel="0" collapsed="false">
      <c r="A638" s="103"/>
      <c r="B638" s="104"/>
      <c r="C638" s="104"/>
      <c r="F638" s="107" t="str">
        <f aca="false">IF(OR($C638="",$D638=0),"",$E638/$D638)</f>
        <v/>
      </c>
      <c r="H638" s="0" t="str">
        <f aca="false">IF($C638="","",IF(COUNTIF('مواد المخزون'!$A$2:$A$90,$C638)&gt;0,"نعم","لا (خارج الجرد)"))</f>
        <v/>
      </c>
    </row>
    <row r="639" customFormat="false" ht="15" hidden="false" customHeight="false" outlineLevel="0" collapsed="false">
      <c r="A639" s="103"/>
      <c r="B639" s="104"/>
      <c r="C639" s="104"/>
      <c r="F639" s="107" t="str">
        <f aca="false">IF(OR($C639="",$D639=0),"",$E639/$D639)</f>
        <v/>
      </c>
      <c r="H639" s="0" t="str">
        <f aca="false">IF($C639="","",IF(COUNTIF('مواد المخزون'!$A$2:$A$90,$C639)&gt;0,"نعم","لا (خارج الجرد)"))</f>
        <v/>
      </c>
    </row>
    <row r="640" customFormat="false" ht="15" hidden="false" customHeight="false" outlineLevel="0" collapsed="false">
      <c r="A640" s="103"/>
      <c r="B640" s="104"/>
      <c r="C640" s="104"/>
      <c r="F640" s="107" t="str">
        <f aca="false">IF(OR($C640="",$D640=0),"",$E640/$D640)</f>
        <v/>
      </c>
      <c r="H640" s="0" t="str">
        <f aca="false">IF($C640="","",IF(COUNTIF('مواد المخزون'!$A$2:$A$90,$C640)&gt;0,"نعم","لا (خارج الجرد)"))</f>
        <v/>
      </c>
    </row>
    <row r="641" customFormat="false" ht="15" hidden="false" customHeight="false" outlineLevel="0" collapsed="false">
      <c r="A641" s="103"/>
      <c r="B641" s="104"/>
      <c r="C641" s="104"/>
      <c r="F641" s="107" t="str">
        <f aca="false">IF(OR($C641="",$D641=0),"",$E641/$D641)</f>
        <v/>
      </c>
      <c r="H641" s="0" t="str">
        <f aca="false">IF($C641="","",IF(COUNTIF('مواد المخزون'!$A$2:$A$90,$C641)&gt;0,"نعم","لا (خارج الجرد)"))</f>
        <v/>
      </c>
    </row>
    <row r="642" customFormat="false" ht="15" hidden="false" customHeight="false" outlineLevel="0" collapsed="false">
      <c r="A642" s="103"/>
      <c r="B642" s="104"/>
      <c r="C642" s="104"/>
      <c r="F642" s="107" t="str">
        <f aca="false">IF(OR($C642="",$D642=0),"",$E642/$D642)</f>
        <v/>
      </c>
      <c r="H642" s="0" t="str">
        <f aca="false">IF($C642="","",IF(COUNTIF('مواد المخزون'!$A$2:$A$90,$C642)&gt;0,"نعم","لا (خارج الجرد)"))</f>
        <v/>
      </c>
    </row>
    <row r="643" customFormat="false" ht="15" hidden="false" customHeight="false" outlineLevel="0" collapsed="false">
      <c r="A643" s="103"/>
      <c r="B643" s="104"/>
      <c r="C643" s="104"/>
      <c r="F643" s="107" t="str">
        <f aca="false">IF(OR($C643="",$D643=0),"",$E643/$D643)</f>
        <v/>
      </c>
      <c r="H643" s="0" t="str">
        <f aca="false">IF($C643="","",IF(COUNTIF('مواد المخزون'!$A$2:$A$90,$C643)&gt;0,"نعم","لا (خارج الجرد)"))</f>
        <v/>
      </c>
    </row>
    <row r="644" customFormat="false" ht="15" hidden="false" customHeight="false" outlineLevel="0" collapsed="false">
      <c r="A644" s="103"/>
      <c r="B644" s="104"/>
      <c r="C644" s="104"/>
      <c r="F644" s="107" t="str">
        <f aca="false">IF(OR($C644="",$D644=0),"",$E644/$D644)</f>
        <v/>
      </c>
      <c r="H644" s="0" t="str">
        <f aca="false">IF($C644="","",IF(COUNTIF('مواد المخزون'!$A$2:$A$90,$C644)&gt;0,"نعم","لا (خارج الجرد)"))</f>
        <v/>
      </c>
    </row>
    <row r="645" customFormat="false" ht="15" hidden="false" customHeight="false" outlineLevel="0" collapsed="false">
      <c r="A645" s="103"/>
      <c r="B645" s="104"/>
      <c r="C645" s="104"/>
      <c r="F645" s="107" t="str">
        <f aca="false">IF(OR($C645="",$D645=0),"",$E645/$D645)</f>
        <v/>
      </c>
      <c r="H645" s="0" t="str">
        <f aca="false">IF($C645="","",IF(COUNTIF('مواد المخزون'!$A$2:$A$90,$C645)&gt;0,"نعم","لا (خارج الجرد)"))</f>
        <v/>
      </c>
    </row>
    <row r="646" customFormat="false" ht="15" hidden="false" customHeight="false" outlineLevel="0" collapsed="false">
      <c r="A646" s="103"/>
      <c r="B646" s="104"/>
      <c r="C646" s="104"/>
      <c r="F646" s="107" t="str">
        <f aca="false">IF(OR($C646="",$D646=0),"",$E646/$D646)</f>
        <v/>
      </c>
      <c r="H646" s="0" t="str">
        <f aca="false">IF($C646="","",IF(COUNTIF('مواد المخزون'!$A$2:$A$90,$C646)&gt;0,"نعم","لا (خارج الجرد)"))</f>
        <v/>
      </c>
    </row>
    <row r="647" customFormat="false" ht="15" hidden="false" customHeight="false" outlineLevel="0" collapsed="false">
      <c r="A647" s="103"/>
      <c r="B647" s="104"/>
      <c r="C647" s="104"/>
      <c r="F647" s="107" t="str">
        <f aca="false">IF(OR($C647="",$D647=0),"",$E647/$D647)</f>
        <v/>
      </c>
      <c r="H647" s="0" t="str">
        <f aca="false">IF($C647="","",IF(COUNTIF('مواد المخزون'!$A$2:$A$90,$C647)&gt;0,"نعم","لا (خارج الجرد)"))</f>
        <v/>
      </c>
    </row>
    <row r="648" customFormat="false" ht="15" hidden="false" customHeight="false" outlineLevel="0" collapsed="false">
      <c r="A648" s="103"/>
      <c r="B648" s="104"/>
      <c r="C648" s="104"/>
      <c r="F648" s="107" t="str">
        <f aca="false">IF(OR($C648="",$D648=0),"",$E648/$D648)</f>
        <v/>
      </c>
      <c r="H648" s="0" t="str">
        <f aca="false">IF($C648="","",IF(COUNTIF('مواد المخزون'!$A$2:$A$90,$C648)&gt;0,"نعم","لا (خارج الجرد)"))</f>
        <v/>
      </c>
    </row>
    <row r="649" customFormat="false" ht="15" hidden="false" customHeight="false" outlineLevel="0" collapsed="false">
      <c r="A649" s="103"/>
      <c r="B649" s="104"/>
      <c r="C649" s="104"/>
      <c r="F649" s="107" t="str">
        <f aca="false">IF(OR($C649="",$D649=0),"",$E649/$D649)</f>
        <v/>
      </c>
      <c r="H649" s="0" t="str">
        <f aca="false">IF($C649="","",IF(COUNTIF('مواد المخزون'!$A$2:$A$90,$C649)&gt;0,"نعم","لا (خارج الجرد)"))</f>
        <v/>
      </c>
    </row>
    <row r="650" customFormat="false" ht="15" hidden="false" customHeight="false" outlineLevel="0" collapsed="false">
      <c r="A650" s="103"/>
      <c r="B650" s="104"/>
      <c r="C650" s="104"/>
      <c r="F650" s="107" t="str">
        <f aca="false">IF(OR($C650="",$D650=0),"",$E650/$D650)</f>
        <v/>
      </c>
      <c r="H650" s="0" t="str">
        <f aca="false">IF($C650="","",IF(COUNTIF('مواد المخزون'!$A$2:$A$90,$C650)&gt;0,"نعم","لا (خارج الجرد)"))</f>
        <v/>
      </c>
    </row>
    <row r="651" customFormat="false" ht="15" hidden="false" customHeight="false" outlineLevel="0" collapsed="false">
      <c r="A651" s="103"/>
      <c r="B651" s="104"/>
      <c r="C651" s="104"/>
      <c r="F651" s="107" t="str">
        <f aca="false">IF(OR($C651="",$D651=0),"",$E651/$D651)</f>
        <v/>
      </c>
      <c r="H651" s="0" t="str">
        <f aca="false">IF($C651="","",IF(COUNTIF('مواد المخزون'!$A$2:$A$90,$C651)&gt;0,"نعم","لا (خارج الجرد)"))</f>
        <v/>
      </c>
    </row>
    <row r="652" customFormat="false" ht="15" hidden="false" customHeight="false" outlineLevel="0" collapsed="false">
      <c r="A652" s="103"/>
      <c r="B652" s="104"/>
      <c r="C652" s="104"/>
      <c r="F652" s="107" t="str">
        <f aca="false">IF(OR($C652="",$D652=0),"",$E652/$D652)</f>
        <v/>
      </c>
      <c r="H652" s="0" t="str">
        <f aca="false">IF($C652="","",IF(COUNTIF('مواد المخزون'!$A$2:$A$90,$C652)&gt;0,"نعم","لا (خارج الجرد)"))</f>
        <v/>
      </c>
    </row>
    <row r="653" customFormat="false" ht="15" hidden="false" customHeight="false" outlineLevel="0" collapsed="false">
      <c r="A653" s="103"/>
      <c r="B653" s="104"/>
      <c r="C653" s="104"/>
      <c r="F653" s="107" t="str">
        <f aca="false">IF(OR($C653="",$D653=0),"",$E653/$D653)</f>
        <v/>
      </c>
      <c r="H653" s="0" t="str">
        <f aca="false">IF($C653="","",IF(COUNTIF('مواد المخزون'!$A$2:$A$90,$C653)&gt;0,"نعم","لا (خارج الجرد)"))</f>
        <v/>
      </c>
    </row>
    <row r="654" customFormat="false" ht="15" hidden="false" customHeight="false" outlineLevel="0" collapsed="false">
      <c r="A654" s="103"/>
      <c r="B654" s="104"/>
      <c r="C654" s="104"/>
      <c r="F654" s="107" t="str">
        <f aca="false">IF(OR($C654="",$D654=0),"",$E654/$D654)</f>
        <v/>
      </c>
      <c r="H654" s="0" t="str">
        <f aca="false">IF($C654="","",IF(COUNTIF('مواد المخزون'!$A$2:$A$90,$C654)&gt;0,"نعم","لا (خارج الجرد)"))</f>
        <v/>
      </c>
    </row>
    <row r="655" customFormat="false" ht="15" hidden="false" customHeight="false" outlineLevel="0" collapsed="false">
      <c r="A655" s="103"/>
      <c r="B655" s="104"/>
      <c r="C655" s="104"/>
      <c r="F655" s="107" t="str">
        <f aca="false">IF(OR($C655="",$D655=0),"",$E655/$D655)</f>
        <v/>
      </c>
      <c r="H655" s="0" t="str">
        <f aca="false">IF($C655="","",IF(COUNTIF('مواد المخزون'!$A$2:$A$90,$C655)&gt;0,"نعم","لا (خارج الجرد)"))</f>
        <v/>
      </c>
    </row>
    <row r="656" customFormat="false" ht="15" hidden="false" customHeight="false" outlineLevel="0" collapsed="false">
      <c r="A656" s="103"/>
      <c r="B656" s="104"/>
      <c r="C656" s="104"/>
      <c r="F656" s="107" t="str">
        <f aca="false">IF(OR($C656="",$D656=0),"",$E656/$D656)</f>
        <v/>
      </c>
      <c r="H656" s="0" t="str">
        <f aca="false">IF($C656="","",IF(COUNTIF('مواد المخزون'!$A$2:$A$90,$C656)&gt;0,"نعم","لا (خارج الجرد)"))</f>
        <v/>
      </c>
    </row>
    <row r="657" customFormat="false" ht="15" hidden="false" customHeight="false" outlineLevel="0" collapsed="false">
      <c r="A657" s="103"/>
      <c r="B657" s="104"/>
      <c r="C657" s="104"/>
      <c r="F657" s="107" t="str">
        <f aca="false">IF(OR($C657="",$D657=0),"",$E657/$D657)</f>
        <v/>
      </c>
      <c r="H657" s="0" t="str">
        <f aca="false">IF($C657="","",IF(COUNTIF('مواد المخزون'!$A$2:$A$90,$C657)&gt;0,"نعم","لا (خارج الجرد)"))</f>
        <v/>
      </c>
    </row>
    <row r="658" customFormat="false" ht="15" hidden="false" customHeight="false" outlineLevel="0" collapsed="false">
      <c r="A658" s="103"/>
      <c r="B658" s="104"/>
      <c r="C658" s="104"/>
      <c r="F658" s="107" t="str">
        <f aca="false">IF(OR($C658="",$D658=0),"",$E658/$D658)</f>
        <v/>
      </c>
      <c r="H658" s="0" t="str">
        <f aca="false">IF($C658="","",IF(COUNTIF('مواد المخزون'!$A$2:$A$90,$C658)&gt;0,"نعم","لا (خارج الجرد)"))</f>
        <v/>
      </c>
    </row>
    <row r="659" customFormat="false" ht="15" hidden="false" customHeight="false" outlineLevel="0" collapsed="false">
      <c r="A659" s="103"/>
      <c r="B659" s="104"/>
      <c r="C659" s="104"/>
      <c r="F659" s="107" t="str">
        <f aca="false">IF(OR($C659="",$D659=0),"",$E659/$D659)</f>
        <v/>
      </c>
      <c r="H659" s="0" t="str">
        <f aca="false">IF($C659="","",IF(COUNTIF('مواد المخزون'!$A$2:$A$90,$C659)&gt;0,"نعم","لا (خارج الجرد)"))</f>
        <v/>
      </c>
    </row>
    <row r="660" customFormat="false" ht="15" hidden="false" customHeight="false" outlineLevel="0" collapsed="false">
      <c r="A660" s="103"/>
      <c r="B660" s="104"/>
      <c r="C660" s="104"/>
      <c r="F660" s="107" t="str">
        <f aca="false">IF(OR($C660="",$D660=0),"",$E660/$D660)</f>
        <v/>
      </c>
      <c r="H660" s="0" t="str">
        <f aca="false">IF($C660="","",IF(COUNTIF('مواد المخزون'!$A$2:$A$90,$C660)&gt;0,"نعم","لا (خارج الجرد)"))</f>
        <v/>
      </c>
    </row>
    <row r="661" customFormat="false" ht="15" hidden="false" customHeight="false" outlineLevel="0" collapsed="false">
      <c r="A661" s="103"/>
      <c r="B661" s="104"/>
      <c r="C661" s="104"/>
      <c r="F661" s="107" t="str">
        <f aca="false">IF(OR($C661="",$D661=0),"",$E661/$D661)</f>
        <v/>
      </c>
      <c r="H661" s="0" t="str">
        <f aca="false">IF($C661="","",IF(COUNTIF('مواد المخزون'!$A$2:$A$90,$C661)&gt;0,"نعم","لا (خارج الجرد)"))</f>
        <v/>
      </c>
    </row>
    <row r="662" customFormat="false" ht="15" hidden="false" customHeight="false" outlineLevel="0" collapsed="false">
      <c r="A662" s="103"/>
      <c r="B662" s="104"/>
      <c r="C662" s="104"/>
      <c r="F662" s="107" t="str">
        <f aca="false">IF(OR($C662="",$D662=0),"",$E662/$D662)</f>
        <v/>
      </c>
      <c r="H662" s="0" t="str">
        <f aca="false">IF($C662="","",IF(COUNTIF('مواد المخزون'!$A$2:$A$90,$C662)&gt;0,"نعم","لا (خارج الجرد)"))</f>
        <v/>
      </c>
    </row>
    <row r="663" customFormat="false" ht="15" hidden="false" customHeight="false" outlineLevel="0" collapsed="false">
      <c r="A663" s="103"/>
      <c r="B663" s="104"/>
      <c r="C663" s="104"/>
      <c r="F663" s="107" t="str">
        <f aca="false">IF(OR($C663="",$D663=0),"",$E663/$D663)</f>
        <v/>
      </c>
      <c r="H663" s="0" t="str">
        <f aca="false">IF($C663="","",IF(COUNTIF('مواد المخزون'!$A$2:$A$90,$C663)&gt;0,"نعم","لا (خارج الجرد)"))</f>
        <v/>
      </c>
    </row>
    <row r="664" customFormat="false" ht="15" hidden="false" customHeight="false" outlineLevel="0" collapsed="false">
      <c r="A664" s="103"/>
      <c r="B664" s="104"/>
      <c r="C664" s="104"/>
      <c r="F664" s="107" t="str">
        <f aca="false">IF(OR($C664="",$D664=0),"",$E664/$D664)</f>
        <v/>
      </c>
      <c r="H664" s="0" t="str">
        <f aca="false">IF($C664="","",IF(COUNTIF('مواد المخزون'!$A$2:$A$90,$C664)&gt;0,"نعم","لا (خارج الجرد)"))</f>
        <v/>
      </c>
    </row>
    <row r="665" customFormat="false" ht="15" hidden="false" customHeight="false" outlineLevel="0" collapsed="false">
      <c r="A665" s="103"/>
      <c r="B665" s="104"/>
      <c r="C665" s="104"/>
      <c r="F665" s="107" t="str">
        <f aca="false">IF(OR($C665="",$D665=0),"",$E665/$D665)</f>
        <v/>
      </c>
      <c r="H665" s="0" t="str">
        <f aca="false">IF($C665="","",IF(COUNTIF('مواد المخزون'!$A$2:$A$90,$C665)&gt;0,"نعم","لا (خارج الجرد)"))</f>
        <v/>
      </c>
    </row>
    <row r="666" customFormat="false" ht="15" hidden="false" customHeight="false" outlineLevel="0" collapsed="false">
      <c r="A666" s="103"/>
      <c r="B666" s="104"/>
      <c r="C666" s="104"/>
      <c r="F666" s="107" t="str">
        <f aca="false">IF(OR($C666="",$D666=0),"",$E666/$D666)</f>
        <v/>
      </c>
      <c r="H666" s="0" t="str">
        <f aca="false">IF($C666="","",IF(COUNTIF('مواد المخزون'!$A$2:$A$90,$C666)&gt;0,"نعم","لا (خارج الجرد)"))</f>
        <v/>
      </c>
    </row>
    <row r="667" customFormat="false" ht="15" hidden="false" customHeight="false" outlineLevel="0" collapsed="false">
      <c r="A667" s="103"/>
      <c r="B667" s="104"/>
      <c r="C667" s="104"/>
      <c r="F667" s="107" t="str">
        <f aca="false">IF(OR($C667="",$D667=0),"",$E667/$D667)</f>
        <v/>
      </c>
      <c r="H667" s="0" t="str">
        <f aca="false">IF($C667="","",IF(COUNTIF('مواد المخزون'!$A$2:$A$90,$C667)&gt;0,"نعم","لا (خارج الجرد)"))</f>
        <v/>
      </c>
    </row>
    <row r="668" customFormat="false" ht="15" hidden="false" customHeight="false" outlineLevel="0" collapsed="false">
      <c r="A668" s="103"/>
      <c r="B668" s="104"/>
      <c r="C668" s="104"/>
      <c r="F668" s="107" t="str">
        <f aca="false">IF(OR($C668="",$D668=0),"",$E668/$D668)</f>
        <v/>
      </c>
      <c r="H668" s="0" t="str">
        <f aca="false">IF($C668="","",IF(COUNTIF('مواد المخزون'!$A$2:$A$90,$C668)&gt;0,"نعم","لا (خارج الجرد)"))</f>
        <v/>
      </c>
    </row>
    <row r="669" customFormat="false" ht="15" hidden="false" customHeight="false" outlineLevel="0" collapsed="false">
      <c r="A669" s="103"/>
      <c r="B669" s="104"/>
      <c r="C669" s="104"/>
      <c r="F669" s="107" t="str">
        <f aca="false">IF(OR($C669="",$D669=0),"",$E669/$D669)</f>
        <v/>
      </c>
      <c r="H669" s="0" t="str">
        <f aca="false">IF($C669="","",IF(COUNTIF('مواد المخزون'!$A$2:$A$90,$C669)&gt;0,"نعم","لا (خارج الجرد)"))</f>
        <v/>
      </c>
    </row>
    <row r="670" customFormat="false" ht="15" hidden="false" customHeight="false" outlineLevel="0" collapsed="false">
      <c r="A670" s="103"/>
      <c r="B670" s="104"/>
      <c r="C670" s="104"/>
      <c r="F670" s="107" t="str">
        <f aca="false">IF(OR($C670="",$D670=0),"",$E670/$D670)</f>
        <v/>
      </c>
      <c r="H670" s="0" t="str">
        <f aca="false">IF($C670="","",IF(COUNTIF('مواد المخزون'!$A$2:$A$90,$C670)&gt;0,"نعم","لا (خارج الجرد)"))</f>
        <v/>
      </c>
    </row>
    <row r="671" customFormat="false" ht="15" hidden="false" customHeight="false" outlineLevel="0" collapsed="false">
      <c r="A671" s="103"/>
      <c r="B671" s="104"/>
      <c r="C671" s="104"/>
      <c r="F671" s="107" t="str">
        <f aca="false">IF(OR($C671="",$D671=0),"",$E671/$D671)</f>
        <v/>
      </c>
      <c r="H671" s="0" t="str">
        <f aca="false">IF($C671="","",IF(COUNTIF('مواد المخزون'!$A$2:$A$90,$C671)&gt;0,"نعم","لا (خارج الجرد)"))</f>
        <v/>
      </c>
    </row>
    <row r="672" customFormat="false" ht="15" hidden="false" customHeight="false" outlineLevel="0" collapsed="false">
      <c r="A672" s="103"/>
      <c r="B672" s="104"/>
      <c r="C672" s="104"/>
      <c r="F672" s="107" t="str">
        <f aca="false">IF(OR($C672="",$D672=0),"",$E672/$D672)</f>
        <v/>
      </c>
      <c r="H672" s="0" t="str">
        <f aca="false">IF($C672="","",IF(COUNTIF('مواد المخزون'!$A$2:$A$90,$C672)&gt;0,"نعم","لا (خارج الجرد)"))</f>
        <v/>
      </c>
    </row>
    <row r="673" customFormat="false" ht="15" hidden="false" customHeight="false" outlineLevel="0" collapsed="false">
      <c r="A673" s="103"/>
      <c r="B673" s="104"/>
      <c r="C673" s="104"/>
      <c r="F673" s="107" t="str">
        <f aca="false">IF(OR($C673="",$D673=0),"",$E673/$D673)</f>
        <v/>
      </c>
      <c r="H673" s="0" t="str">
        <f aca="false">IF($C673="","",IF(COUNTIF('مواد المخزون'!$A$2:$A$90,$C673)&gt;0,"نعم","لا (خارج الجرد)"))</f>
        <v/>
      </c>
    </row>
    <row r="674" customFormat="false" ht="15" hidden="false" customHeight="false" outlineLevel="0" collapsed="false">
      <c r="A674" s="103"/>
      <c r="B674" s="104"/>
      <c r="C674" s="104"/>
      <c r="F674" s="107" t="str">
        <f aca="false">IF(OR($C674="",$D674=0),"",$E674/$D674)</f>
        <v/>
      </c>
      <c r="H674" s="0" t="str">
        <f aca="false">IF($C674="","",IF(COUNTIF('مواد المخزون'!$A$2:$A$90,$C674)&gt;0,"نعم","لا (خارج الجرد)"))</f>
        <v/>
      </c>
    </row>
    <row r="675" customFormat="false" ht="15" hidden="false" customHeight="false" outlineLevel="0" collapsed="false">
      <c r="A675" s="103"/>
      <c r="B675" s="104"/>
      <c r="C675" s="104"/>
      <c r="F675" s="107" t="str">
        <f aca="false">IF(OR($C675="",$D675=0),"",$E675/$D675)</f>
        <v/>
      </c>
      <c r="H675" s="0" t="str">
        <f aca="false">IF($C675="","",IF(COUNTIF('مواد المخزون'!$A$2:$A$90,$C675)&gt;0,"نعم","لا (خارج الجرد)"))</f>
        <v/>
      </c>
    </row>
    <row r="676" customFormat="false" ht="15" hidden="false" customHeight="false" outlineLevel="0" collapsed="false">
      <c r="A676" s="103"/>
      <c r="B676" s="104"/>
      <c r="C676" s="104"/>
      <c r="F676" s="107" t="str">
        <f aca="false">IF(OR($C676="",$D676=0),"",$E676/$D676)</f>
        <v/>
      </c>
      <c r="H676" s="0" t="str">
        <f aca="false">IF($C676="","",IF(COUNTIF('مواد المخزون'!$A$2:$A$90,$C676)&gt;0,"نعم","لا (خارج الجرد)"))</f>
        <v/>
      </c>
    </row>
    <row r="677" customFormat="false" ht="15" hidden="false" customHeight="false" outlineLevel="0" collapsed="false">
      <c r="A677" s="103"/>
      <c r="B677" s="104"/>
      <c r="C677" s="104"/>
      <c r="F677" s="107" t="str">
        <f aca="false">IF(OR($C677="",$D677=0),"",$E677/$D677)</f>
        <v/>
      </c>
      <c r="H677" s="0" t="str">
        <f aca="false">IF($C677="","",IF(COUNTIF('مواد المخزون'!$A$2:$A$90,$C677)&gt;0,"نعم","لا (خارج الجرد)"))</f>
        <v/>
      </c>
    </row>
    <row r="678" customFormat="false" ht="15" hidden="false" customHeight="false" outlineLevel="0" collapsed="false">
      <c r="A678" s="103"/>
      <c r="B678" s="104"/>
      <c r="C678" s="104"/>
      <c r="F678" s="107" t="str">
        <f aca="false">IF(OR($C678="",$D678=0),"",$E678/$D678)</f>
        <v/>
      </c>
      <c r="H678" s="0" t="str">
        <f aca="false">IF($C678="","",IF(COUNTIF('مواد المخزون'!$A$2:$A$90,$C678)&gt;0,"نعم","لا (خارج الجرد)"))</f>
        <v/>
      </c>
    </row>
    <row r="679" customFormat="false" ht="15" hidden="false" customHeight="false" outlineLevel="0" collapsed="false">
      <c r="A679" s="103"/>
      <c r="B679" s="104"/>
      <c r="C679" s="104"/>
      <c r="F679" s="107" t="str">
        <f aca="false">IF(OR($C679="",$D679=0),"",$E679/$D679)</f>
        <v/>
      </c>
      <c r="H679" s="0" t="str">
        <f aca="false">IF($C679="","",IF(COUNTIF('مواد المخزون'!$A$2:$A$90,$C679)&gt;0,"نعم","لا (خارج الجرد)"))</f>
        <v/>
      </c>
    </row>
    <row r="680" customFormat="false" ht="15" hidden="false" customHeight="false" outlineLevel="0" collapsed="false">
      <c r="A680" s="103"/>
      <c r="B680" s="104"/>
      <c r="C680" s="104"/>
      <c r="F680" s="107" t="str">
        <f aca="false">IF(OR($C680="",$D680=0),"",$E680/$D680)</f>
        <v/>
      </c>
      <c r="H680" s="0" t="str">
        <f aca="false">IF($C680="","",IF(COUNTIF('مواد المخزون'!$A$2:$A$90,$C680)&gt;0,"نعم","لا (خارج الجرد)"))</f>
        <v/>
      </c>
    </row>
    <row r="681" customFormat="false" ht="15" hidden="false" customHeight="false" outlineLevel="0" collapsed="false">
      <c r="A681" s="103"/>
      <c r="B681" s="104"/>
      <c r="C681" s="104"/>
      <c r="F681" s="107" t="str">
        <f aca="false">IF(OR($C681="",$D681=0),"",$E681/$D681)</f>
        <v/>
      </c>
      <c r="H681" s="0" t="str">
        <f aca="false">IF($C681="","",IF(COUNTIF('مواد المخزون'!$A$2:$A$90,$C681)&gt;0,"نعم","لا (خارج الجرد)"))</f>
        <v/>
      </c>
    </row>
    <row r="682" customFormat="false" ht="15" hidden="false" customHeight="false" outlineLevel="0" collapsed="false">
      <c r="A682" s="103"/>
      <c r="B682" s="104"/>
      <c r="C682" s="104"/>
      <c r="F682" s="107" t="str">
        <f aca="false">IF(OR($C682="",$D682=0),"",$E682/$D682)</f>
        <v/>
      </c>
      <c r="H682" s="0" t="str">
        <f aca="false">IF($C682="","",IF(COUNTIF('مواد المخزون'!$A$2:$A$90,$C682)&gt;0,"نعم","لا (خارج الجرد)"))</f>
        <v/>
      </c>
    </row>
    <row r="683" customFormat="false" ht="15" hidden="false" customHeight="false" outlineLevel="0" collapsed="false">
      <c r="A683" s="103"/>
      <c r="B683" s="104"/>
      <c r="C683" s="104"/>
      <c r="F683" s="107" t="str">
        <f aca="false">IF(OR($C683="",$D683=0),"",$E683/$D683)</f>
        <v/>
      </c>
      <c r="H683" s="0" t="str">
        <f aca="false">IF($C683="","",IF(COUNTIF('مواد المخزون'!$A$2:$A$90,$C683)&gt;0,"نعم","لا (خارج الجرد)"))</f>
        <v/>
      </c>
    </row>
    <row r="684" customFormat="false" ht="15" hidden="false" customHeight="false" outlineLevel="0" collapsed="false">
      <c r="A684" s="103"/>
      <c r="B684" s="104"/>
      <c r="C684" s="104"/>
      <c r="F684" s="107" t="str">
        <f aca="false">IF(OR($C684="",$D684=0),"",$E684/$D684)</f>
        <v/>
      </c>
      <c r="H684" s="0" t="str">
        <f aca="false">IF($C684="","",IF(COUNTIF('مواد المخزون'!$A$2:$A$90,$C684)&gt;0,"نعم","لا (خارج الجرد)"))</f>
        <v/>
      </c>
    </row>
    <row r="685" customFormat="false" ht="15" hidden="false" customHeight="false" outlineLevel="0" collapsed="false">
      <c r="A685" s="103"/>
      <c r="B685" s="104"/>
      <c r="C685" s="104"/>
      <c r="F685" s="107" t="str">
        <f aca="false">IF(OR($C685="",$D685=0),"",$E685/$D685)</f>
        <v/>
      </c>
      <c r="H685" s="0" t="str">
        <f aca="false">IF($C685="","",IF(COUNTIF('مواد المخزون'!$A$2:$A$90,$C685)&gt;0,"نعم","لا (خارج الجرد)"))</f>
        <v/>
      </c>
    </row>
    <row r="686" customFormat="false" ht="15" hidden="false" customHeight="false" outlineLevel="0" collapsed="false">
      <c r="A686" s="103"/>
      <c r="B686" s="104"/>
      <c r="C686" s="104"/>
      <c r="F686" s="107" t="str">
        <f aca="false">IF(OR($C686="",$D686=0),"",$E686/$D686)</f>
        <v/>
      </c>
      <c r="H686" s="0" t="str">
        <f aca="false">IF($C686="","",IF(COUNTIF('مواد المخزون'!$A$2:$A$90,$C686)&gt;0,"نعم","لا (خارج الجرد)"))</f>
        <v/>
      </c>
    </row>
    <row r="687" customFormat="false" ht="15" hidden="false" customHeight="false" outlineLevel="0" collapsed="false">
      <c r="A687" s="103"/>
      <c r="B687" s="104"/>
      <c r="C687" s="104"/>
      <c r="F687" s="107" t="str">
        <f aca="false">IF(OR($C687="",$D687=0),"",$E687/$D687)</f>
        <v/>
      </c>
      <c r="H687" s="0" t="str">
        <f aca="false">IF($C687="","",IF(COUNTIF('مواد المخزون'!$A$2:$A$90,$C687)&gt;0,"نعم","لا (خارج الجرد)"))</f>
        <v/>
      </c>
    </row>
    <row r="688" customFormat="false" ht="15" hidden="false" customHeight="false" outlineLevel="0" collapsed="false">
      <c r="A688" s="103"/>
      <c r="B688" s="104"/>
      <c r="C688" s="104"/>
      <c r="F688" s="107" t="str">
        <f aca="false">IF(OR($C688="",$D688=0),"",$E688/$D688)</f>
        <v/>
      </c>
      <c r="H688" s="0" t="str">
        <f aca="false">IF($C688="","",IF(COUNTIF('مواد المخزون'!$A$2:$A$90,$C688)&gt;0,"نعم","لا (خارج الجرد)"))</f>
        <v/>
      </c>
    </row>
    <row r="689" customFormat="false" ht="15" hidden="false" customHeight="false" outlineLevel="0" collapsed="false">
      <c r="A689" s="103"/>
      <c r="B689" s="104"/>
      <c r="C689" s="104"/>
      <c r="F689" s="107" t="str">
        <f aca="false">IF(OR($C689="",$D689=0),"",$E689/$D689)</f>
        <v/>
      </c>
      <c r="H689" s="0" t="str">
        <f aca="false">IF($C689="","",IF(COUNTIF('مواد المخزون'!$A$2:$A$90,$C689)&gt;0,"نعم","لا (خارج الجرد)"))</f>
        <v/>
      </c>
    </row>
    <row r="690" customFormat="false" ht="15" hidden="false" customHeight="false" outlineLevel="0" collapsed="false">
      <c r="A690" s="103"/>
      <c r="B690" s="104"/>
      <c r="C690" s="104"/>
      <c r="F690" s="107" t="str">
        <f aca="false">IF(OR($C690="",$D690=0),"",$E690/$D690)</f>
        <v/>
      </c>
      <c r="H690" s="0" t="str">
        <f aca="false">IF($C690="","",IF(COUNTIF('مواد المخزون'!$A$2:$A$90,$C690)&gt;0,"نعم","لا (خارج الجرد)"))</f>
        <v/>
      </c>
    </row>
    <row r="691" customFormat="false" ht="15" hidden="false" customHeight="false" outlineLevel="0" collapsed="false">
      <c r="A691" s="103"/>
      <c r="B691" s="104"/>
      <c r="C691" s="104"/>
      <c r="F691" s="107" t="str">
        <f aca="false">IF(OR($C691="",$D691=0),"",$E691/$D691)</f>
        <v/>
      </c>
      <c r="H691" s="0" t="str">
        <f aca="false">IF($C691="","",IF(COUNTIF('مواد المخزون'!$A$2:$A$90,$C691)&gt;0,"نعم","لا (خارج الجرد)"))</f>
        <v/>
      </c>
    </row>
    <row r="692" customFormat="false" ht="15" hidden="false" customHeight="false" outlineLevel="0" collapsed="false">
      <c r="A692" s="103"/>
      <c r="B692" s="104"/>
      <c r="C692" s="104"/>
      <c r="F692" s="107" t="str">
        <f aca="false">IF(OR($C692="",$D692=0),"",$E692/$D692)</f>
        <v/>
      </c>
      <c r="H692" s="0" t="str">
        <f aca="false">IF($C692="","",IF(COUNTIF('مواد المخزون'!$A$2:$A$90,$C692)&gt;0,"نعم","لا (خارج الجرد)"))</f>
        <v/>
      </c>
    </row>
    <row r="693" customFormat="false" ht="15" hidden="false" customHeight="false" outlineLevel="0" collapsed="false">
      <c r="A693" s="103"/>
      <c r="B693" s="104"/>
      <c r="C693" s="104"/>
      <c r="F693" s="107" t="str">
        <f aca="false">IF(OR($C693="",$D693=0),"",$E693/$D693)</f>
        <v/>
      </c>
      <c r="H693" s="0" t="str">
        <f aca="false">IF($C693="","",IF(COUNTIF('مواد المخزون'!$A$2:$A$90,$C693)&gt;0,"نعم","لا (خارج الجرد)"))</f>
        <v/>
      </c>
    </row>
    <row r="694" customFormat="false" ht="15" hidden="false" customHeight="false" outlineLevel="0" collapsed="false">
      <c r="A694" s="103"/>
      <c r="B694" s="104"/>
      <c r="C694" s="104"/>
      <c r="F694" s="107" t="str">
        <f aca="false">IF(OR($C694="",$D694=0),"",$E694/$D694)</f>
        <v/>
      </c>
      <c r="H694" s="0" t="str">
        <f aca="false">IF($C694="","",IF(COUNTIF('مواد المخزون'!$A$2:$A$90,$C694)&gt;0,"نعم","لا (خارج الجرد)"))</f>
        <v/>
      </c>
    </row>
    <row r="695" customFormat="false" ht="15" hidden="false" customHeight="false" outlineLevel="0" collapsed="false">
      <c r="A695" s="103"/>
      <c r="B695" s="104"/>
      <c r="C695" s="104"/>
      <c r="F695" s="107" t="str">
        <f aca="false">IF(OR($C695="",$D695=0),"",$E695/$D695)</f>
        <v/>
      </c>
      <c r="H695" s="0" t="str">
        <f aca="false">IF($C695="","",IF(COUNTIF('مواد المخزون'!$A$2:$A$90,$C695)&gt;0,"نعم","لا (خارج الجرد)"))</f>
        <v/>
      </c>
    </row>
    <row r="696" customFormat="false" ht="15" hidden="false" customHeight="false" outlineLevel="0" collapsed="false">
      <c r="A696" s="103"/>
      <c r="B696" s="104"/>
      <c r="C696" s="104"/>
      <c r="F696" s="107" t="str">
        <f aca="false">IF(OR($C696="",$D696=0),"",$E696/$D696)</f>
        <v/>
      </c>
      <c r="H696" s="0" t="str">
        <f aca="false">IF($C696="","",IF(COUNTIF('مواد المخزون'!$A$2:$A$90,$C696)&gt;0,"نعم","لا (خارج الجرد)"))</f>
        <v/>
      </c>
    </row>
    <row r="697" customFormat="false" ht="15" hidden="false" customHeight="false" outlineLevel="0" collapsed="false">
      <c r="A697" s="103"/>
      <c r="B697" s="104"/>
      <c r="C697" s="104"/>
      <c r="F697" s="107" t="str">
        <f aca="false">IF(OR($C697="",$D697=0),"",$E697/$D697)</f>
        <v/>
      </c>
      <c r="H697" s="0" t="str">
        <f aca="false">IF($C697="","",IF(COUNTIF('مواد المخزون'!$A$2:$A$90,$C697)&gt;0,"نعم","لا (خارج الجرد)"))</f>
        <v/>
      </c>
    </row>
    <row r="698" customFormat="false" ht="15" hidden="false" customHeight="false" outlineLevel="0" collapsed="false">
      <c r="A698" s="103"/>
      <c r="B698" s="104"/>
      <c r="C698" s="104"/>
      <c r="F698" s="107" t="str">
        <f aca="false">IF(OR($C698="",$D698=0),"",$E698/$D698)</f>
        <v/>
      </c>
      <c r="H698" s="0" t="str">
        <f aca="false">IF($C698="","",IF(COUNTIF('مواد المخزون'!$A$2:$A$90,$C698)&gt;0,"نعم","لا (خارج الجرد)"))</f>
        <v/>
      </c>
    </row>
    <row r="699" customFormat="false" ht="15" hidden="false" customHeight="false" outlineLevel="0" collapsed="false">
      <c r="A699" s="103"/>
      <c r="B699" s="104"/>
      <c r="C699" s="104"/>
      <c r="F699" s="107" t="str">
        <f aca="false">IF(OR($C699="",$D699=0),"",$E699/$D699)</f>
        <v/>
      </c>
      <c r="H699" s="0" t="str">
        <f aca="false">IF($C699="","",IF(COUNTIF('مواد المخزون'!$A$2:$A$90,$C699)&gt;0,"نعم","لا (خارج الجرد)"))</f>
        <v/>
      </c>
    </row>
    <row r="700" customFormat="false" ht="15" hidden="false" customHeight="false" outlineLevel="0" collapsed="false">
      <c r="A700" s="103"/>
      <c r="B700" s="104"/>
      <c r="C700" s="104"/>
      <c r="F700" s="107" t="str">
        <f aca="false">IF(OR($C700="",$D700=0),"",$E700/$D700)</f>
        <v/>
      </c>
      <c r="H700" s="0" t="str">
        <f aca="false">IF($C700="","",IF(COUNTIF('مواد المخزون'!$A$2:$A$90,$C700)&gt;0,"نعم","لا (خارج الجرد)"))</f>
        <v/>
      </c>
    </row>
    <row r="701" customFormat="false" ht="15" hidden="false" customHeight="false" outlineLevel="0" collapsed="false">
      <c r="A701" s="103"/>
      <c r="B701" s="104"/>
      <c r="C701" s="104"/>
      <c r="F701" s="107" t="str">
        <f aca="false">IF(OR($C701="",$D701=0),"",$E701/$D701)</f>
        <v/>
      </c>
      <c r="H701" s="0" t="str">
        <f aca="false">IF($C701="","",IF(COUNTIF('مواد المخزون'!$A$2:$A$90,$C701)&gt;0,"نعم","لا (خارج الجرد)"))</f>
        <v/>
      </c>
    </row>
    <row r="702" customFormat="false" ht="15" hidden="false" customHeight="false" outlineLevel="0" collapsed="false">
      <c r="A702" s="103"/>
      <c r="B702" s="104"/>
      <c r="C702" s="104"/>
      <c r="F702" s="107" t="str">
        <f aca="false">IF(OR($C702="",$D702=0),"",$E702/$D702)</f>
        <v/>
      </c>
      <c r="H702" s="0" t="str">
        <f aca="false">IF($C702="","",IF(COUNTIF('مواد المخزون'!$A$2:$A$90,$C702)&gt;0,"نعم","لا (خارج الجرد)"))</f>
        <v/>
      </c>
    </row>
    <row r="703" customFormat="false" ht="15" hidden="false" customHeight="false" outlineLevel="0" collapsed="false">
      <c r="A703" s="103"/>
      <c r="B703" s="104"/>
      <c r="C703" s="104"/>
      <c r="F703" s="107" t="str">
        <f aca="false">IF(OR($C703="",$D703=0),"",$E703/$D703)</f>
        <v/>
      </c>
      <c r="H703" s="0" t="str">
        <f aca="false">IF($C703="","",IF(COUNTIF('مواد المخزون'!$A$2:$A$90,$C703)&gt;0,"نعم","لا (خارج الجرد)"))</f>
        <v/>
      </c>
    </row>
    <row r="704" customFormat="false" ht="15" hidden="false" customHeight="false" outlineLevel="0" collapsed="false">
      <c r="A704" s="103"/>
      <c r="B704" s="104"/>
      <c r="C704" s="104"/>
      <c r="F704" s="107" t="str">
        <f aca="false">IF(OR($C704="",$D704=0),"",$E704/$D704)</f>
        <v/>
      </c>
      <c r="H704" s="0" t="str">
        <f aca="false">IF($C704="","",IF(COUNTIF('مواد المخزون'!$A$2:$A$90,$C704)&gt;0,"نعم","لا (خارج الجرد)"))</f>
        <v/>
      </c>
    </row>
    <row r="705" customFormat="false" ht="15" hidden="false" customHeight="false" outlineLevel="0" collapsed="false">
      <c r="A705" s="103"/>
      <c r="B705" s="104"/>
      <c r="C705" s="104"/>
      <c r="F705" s="107" t="str">
        <f aca="false">IF(OR($C705="",$D705=0),"",$E705/$D705)</f>
        <v/>
      </c>
      <c r="H705" s="0" t="str">
        <f aca="false">IF($C705="","",IF(COUNTIF('مواد المخزون'!$A$2:$A$90,$C705)&gt;0,"نعم","لا (خارج الجرد)"))</f>
        <v/>
      </c>
    </row>
    <row r="706" customFormat="false" ht="15" hidden="false" customHeight="false" outlineLevel="0" collapsed="false">
      <c r="A706" s="103"/>
      <c r="B706" s="104"/>
      <c r="C706" s="104"/>
      <c r="F706" s="107" t="str">
        <f aca="false">IF(OR($C706="",$D706=0),"",$E706/$D706)</f>
        <v/>
      </c>
      <c r="H706" s="0" t="str">
        <f aca="false">IF($C706="","",IF(COUNTIF('مواد المخزون'!$A$2:$A$90,$C706)&gt;0,"نعم","لا (خارج الجرد)"))</f>
        <v/>
      </c>
    </row>
    <row r="707" customFormat="false" ht="15" hidden="false" customHeight="false" outlineLevel="0" collapsed="false">
      <c r="A707" s="103"/>
      <c r="B707" s="104"/>
      <c r="C707" s="104"/>
      <c r="F707" s="107" t="str">
        <f aca="false">IF(OR($C707="",$D707=0),"",$E707/$D707)</f>
        <v/>
      </c>
      <c r="H707" s="0" t="str">
        <f aca="false">IF($C707="","",IF(COUNTIF('مواد المخزون'!$A$2:$A$90,$C707)&gt;0,"نعم","لا (خارج الجرد)"))</f>
        <v/>
      </c>
    </row>
    <row r="708" customFormat="false" ht="15" hidden="false" customHeight="false" outlineLevel="0" collapsed="false">
      <c r="A708" s="103"/>
      <c r="B708" s="104"/>
      <c r="C708" s="104"/>
      <c r="F708" s="107" t="str">
        <f aca="false">IF(OR($C708="",$D708=0),"",$E708/$D708)</f>
        <v/>
      </c>
      <c r="H708" s="0" t="str">
        <f aca="false">IF($C708="","",IF(COUNTIF('مواد المخزون'!$A$2:$A$90,$C708)&gt;0,"نعم","لا (خارج الجرد)"))</f>
        <v/>
      </c>
    </row>
    <row r="709" customFormat="false" ht="15" hidden="false" customHeight="false" outlineLevel="0" collapsed="false">
      <c r="A709" s="103"/>
      <c r="B709" s="104"/>
      <c r="C709" s="104"/>
      <c r="F709" s="107" t="str">
        <f aca="false">IF(OR($C709="",$D709=0),"",$E709/$D709)</f>
        <v/>
      </c>
      <c r="H709" s="0" t="str">
        <f aca="false">IF($C709="","",IF(COUNTIF('مواد المخزون'!$A$2:$A$90,$C709)&gt;0,"نعم","لا (خارج الجرد)"))</f>
        <v/>
      </c>
    </row>
    <row r="710" customFormat="false" ht="15" hidden="false" customHeight="false" outlineLevel="0" collapsed="false">
      <c r="A710" s="103"/>
      <c r="B710" s="104"/>
      <c r="C710" s="104"/>
      <c r="F710" s="107" t="str">
        <f aca="false">IF(OR($C710="",$D710=0),"",$E710/$D710)</f>
        <v/>
      </c>
      <c r="H710" s="0" t="str">
        <f aca="false">IF($C710="","",IF(COUNTIF('مواد المخزون'!$A$2:$A$90,$C710)&gt;0,"نعم","لا (خارج الجرد)"))</f>
        <v/>
      </c>
    </row>
    <row r="711" customFormat="false" ht="15" hidden="false" customHeight="false" outlineLevel="0" collapsed="false">
      <c r="A711" s="103"/>
      <c r="B711" s="104"/>
      <c r="C711" s="104"/>
      <c r="F711" s="107" t="str">
        <f aca="false">IF(OR($C711="",$D711=0),"",$E711/$D711)</f>
        <v/>
      </c>
      <c r="H711" s="0" t="str">
        <f aca="false">IF($C711="","",IF(COUNTIF('مواد المخزون'!$A$2:$A$90,$C711)&gt;0,"نعم","لا (خارج الجرد)"))</f>
        <v/>
      </c>
    </row>
    <row r="712" customFormat="false" ht="15" hidden="false" customHeight="false" outlineLevel="0" collapsed="false">
      <c r="A712" s="103"/>
      <c r="B712" s="104"/>
      <c r="C712" s="104"/>
      <c r="F712" s="107" t="str">
        <f aca="false">IF(OR($C712="",$D712=0),"",$E712/$D712)</f>
        <v/>
      </c>
      <c r="H712" s="0" t="str">
        <f aca="false">IF($C712="","",IF(COUNTIF('مواد المخزون'!$A$2:$A$90,$C712)&gt;0,"نعم","لا (خارج الجرد)"))</f>
        <v/>
      </c>
    </row>
    <row r="713" customFormat="false" ht="15" hidden="false" customHeight="false" outlineLevel="0" collapsed="false">
      <c r="A713" s="103"/>
      <c r="B713" s="104"/>
      <c r="C713" s="104"/>
      <c r="F713" s="107" t="str">
        <f aca="false">IF(OR($C713="",$D713=0),"",$E713/$D713)</f>
        <v/>
      </c>
      <c r="H713" s="0" t="str">
        <f aca="false">IF($C713="","",IF(COUNTIF('مواد المخزون'!$A$2:$A$90,$C713)&gt;0,"نعم","لا (خارج الجرد)"))</f>
        <v/>
      </c>
    </row>
    <row r="714" customFormat="false" ht="15" hidden="false" customHeight="false" outlineLevel="0" collapsed="false">
      <c r="A714" s="103"/>
      <c r="B714" s="104"/>
      <c r="C714" s="104"/>
      <c r="F714" s="107" t="str">
        <f aca="false">IF(OR($C714="",$D714=0),"",$E714/$D714)</f>
        <v/>
      </c>
      <c r="H714" s="0" t="str">
        <f aca="false">IF($C714="","",IF(COUNTIF('مواد المخزون'!$A$2:$A$90,$C714)&gt;0,"نعم","لا (خارج الجرد)"))</f>
        <v/>
      </c>
    </row>
    <row r="715" customFormat="false" ht="15" hidden="false" customHeight="false" outlineLevel="0" collapsed="false">
      <c r="A715" s="103"/>
      <c r="B715" s="104"/>
      <c r="C715" s="104"/>
      <c r="F715" s="107" t="str">
        <f aca="false">IF(OR($C715="",$D715=0),"",$E715/$D715)</f>
        <v/>
      </c>
      <c r="H715" s="0" t="str">
        <f aca="false">IF($C715="","",IF(COUNTIF('مواد المخزون'!$A$2:$A$90,$C715)&gt;0,"نعم","لا (خارج الجرد)"))</f>
        <v/>
      </c>
    </row>
    <row r="716" customFormat="false" ht="15" hidden="false" customHeight="false" outlineLevel="0" collapsed="false">
      <c r="A716" s="103"/>
      <c r="B716" s="104"/>
      <c r="C716" s="104"/>
      <c r="F716" s="107" t="str">
        <f aca="false">IF(OR($C716="",$D716=0),"",$E716/$D716)</f>
        <v/>
      </c>
      <c r="H716" s="0" t="str">
        <f aca="false">IF($C716="","",IF(COUNTIF('مواد المخزون'!$A$2:$A$90,$C716)&gt;0,"نعم","لا (خارج الجرد)"))</f>
        <v/>
      </c>
    </row>
    <row r="717" customFormat="false" ht="15" hidden="false" customHeight="false" outlineLevel="0" collapsed="false">
      <c r="A717" s="103"/>
      <c r="B717" s="104"/>
      <c r="C717" s="104"/>
      <c r="F717" s="107" t="str">
        <f aca="false">IF(OR($C717="",$D717=0),"",$E717/$D717)</f>
        <v/>
      </c>
      <c r="H717" s="0" t="str">
        <f aca="false">IF($C717="","",IF(COUNTIF('مواد المخزون'!$A$2:$A$90,$C717)&gt;0,"نعم","لا (خارج الجرد)"))</f>
        <v/>
      </c>
    </row>
    <row r="718" customFormat="false" ht="15" hidden="false" customHeight="false" outlineLevel="0" collapsed="false">
      <c r="A718" s="103"/>
      <c r="B718" s="104"/>
      <c r="C718" s="104"/>
      <c r="F718" s="107" t="str">
        <f aca="false">IF(OR($C718="",$D718=0),"",$E718/$D718)</f>
        <v/>
      </c>
      <c r="H718" s="0" t="str">
        <f aca="false">IF($C718="","",IF(COUNTIF('مواد المخزون'!$A$2:$A$90,$C718)&gt;0,"نعم","لا (خارج الجرد)"))</f>
        <v/>
      </c>
    </row>
    <row r="719" customFormat="false" ht="15" hidden="false" customHeight="false" outlineLevel="0" collapsed="false">
      <c r="A719" s="103"/>
      <c r="B719" s="104"/>
      <c r="C719" s="104"/>
      <c r="F719" s="107" t="str">
        <f aca="false">IF(OR($C719="",$D719=0),"",$E719/$D719)</f>
        <v/>
      </c>
      <c r="H719" s="0" t="str">
        <f aca="false">IF($C719="","",IF(COUNTIF('مواد المخزون'!$A$2:$A$90,$C719)&gt;0,"نعم","لا (خارج الجرد)"))</f>
        <v/>
      </c>
    </row>
    <row r="720" customFormat="false" ht="15" hidden="false" customHeight="false" outlineLevel="0" collapsed="false">
      <c r="A720" s="103"/>
      <c r="B720" s="104"/>
      <c r="C720" s="104"/>
      <c r="F720" s="107" t="str">
        <f aca="false">IF(OR($C720="",$D720=0),"",$E720/$D720)</f>
        <v/>
      </c>
      <c r="H720" s="0" t="str">
        <f aca="false">IF($C720="","",IF(COUNTIF('مواد المخزون'!$A$2:$A$90,$C720)&gt;0,"نعم","لا (خارج الجرد)"))</f>
        <v/>
      </c>
    </row>
    <row r="721" customFormat="false" ht="15" hidden="false" customHeight="false" outlineLevel="0" collapsed="false">
      <c r="A721" s="103"/>
      <c r="B721" s="104"/>
      <c r="C721" s="104"/>
      <c r="F721" s="107" t="str">
        <f aca="false">IF(OR($C721="",$D721=0),"",$E721/$D721)</f>
        <v/>
      </c>
      <c r="H721" s="0" t="str">
        <f aca="false">IF($C721="","",IF(COUNTIF('مواد المخزون'!$A$2:$A$90,$C721)&gt;0,"نعم","لا (خارج الجرد)"))</f>
        <v/>
      </c>
    </row>
    <row r="722" customFormat="false" ht="15" hidden="false" customHeight="false" outlineLevel="0" collapsed="false">
      <c r="A722" s="103"/>
      <c r="B722" s="104"/>
      <c r="C722" s="104"/>
      <c r="F722" s="107" t="str">
        <f aca="false">IF(OR($C722="",$D722=0),"",$E722/$D722)</f>
        <v/>
      </c>
      <c r="H722" s="0" t="str">
        <f aca="false">IF($C722="","",IF(COUNTIF('مواد المخزون'!$A$2:$A$90,$C722)&gt;0,"نعم","لا (خارج الجرد)"))</f>
        <v/>
      </c>
    </row>
    <row r="723" customFormat="false" ht="15" hidden="false" customHeight="false" outlineLevel="0" collapsed="false">
      <c r="A723" s="103"/>
      <c r="B723" s="104"/>
      <c r="C723" s="104"/>
      <c r="F723" s="107" t="str">
        <f aca="false">IF(OR($C723="",$D723=0),"",$E723/$D723)</f>
        <v/>
      </c>
      <c r="H723" s="0" t="str">
        <f aca="false">IF($C723="","",IF(COUNTIF('مواد المخزون'!$A$2:$A$90,$C723)&gt;0,"نعم","لا (خارج الجرد)"))</f>
        <v/>
      </c>
    </row>
    <row r="724" customFormat="false" ht="15" hidden="false" customHeight="false" outlineLevel="0" collapsed="false">
      <c r="A724" s="103"/>
      <c r="B724" s="104"/>
      <c r="C724" s="104"/>
      <c r="F724" s="107" t="str">
        <f aca="false">IF(OR($C724="",$D724=0),"",$E724/$D724)</f>
        <v/>
      </c>
      <c r="H724" s="0" t="str">
        <f aca="false">IF($C724="","",IF(COUNTIF('مواد المخزون'!$A$2:$A$90,$C724)&gt;0,"نعم","لا (خارج الجرد)"))</f>
        <v/>
      </c>
    </row>
    <row r="725" customFormat="false" ht="15" hidden="false" customHeight="false" outlineLevel="0" collapsed="false">
      <c r="A725" s="103"/>
      <c r="B725" s="104"/>
      <c r="C725" s="104"/>
      <c r="F725" s="107" t="str">
        <f aca="false">IF(OR($C725="",$D725=0),"",$E725/$D725)</f>
        <v/>
      </c>
      <c r="H725" s="0" t="str">
        <f aca="false">IF($C725="","",IF(COUNTIF('مواد المخزون'!$A$2:$A$90,$C725)&gt;0,"نعم","لا (خارج الجرد)"))</f>
        <v/>
      </c>
    </row>
    <row r="726" customFormat="false" ht="15" hidden="false" customHeight="false" outlineLevel="0" collapsed="false">
      <c r="A726" s="103"/>
      <c r="B726" s="104"/>
      <c r="C726" s="104"/>
      <c r="F726" s="107" t="str">
        <f aca="false">IF(OR($C726="",$D726=0),"",$E726/$D726)</f>
        <v/>
      </c>
      <c r="H726" s="0" t="str">
        <f aca="false">IF($C726="","",IF(COUNTIF('مواد المخزون'!$A$2:$A$90,$C726)&gt;0,"نعم","لا (خارج الجرد)"))</f>
        <v/>
      </c>
    </row>
    <row r="727" customFormat="false" ht="15" hidden="false" customHeight="false" outlineLevel="0" collapsed="false">
      <c r="A727" s="103"/>
      <c r="B727" s="104"/>
      <c r="C727" s="104"/>
      <c r="F727" s="107" t="str">
        <f aca="false">IF(OR($C727="",$D727=0),"",$E727/$D727)</f>
        <v/>
      </c>
      <c r="H727" s="0" t="str">
        <f aca="false">IF($C727="","",IF(COUNTIF('مواد المخزون'!$A$2:$A$90,$C727)&gt;0,"نعم","لا (خارج الجرد)"))</f>
        <v/>
      </c>
    </row>
    <row r="728" customFormat="false" ht="15" hidden="false" customHeight="false" outlineLevel="0" collapsed="false">
      <c r="A728" s="103"/>
      <c r="B728" s="104"/>
      <c r="C728" s="104"/>
      <c r="F728" s="107" t="str">
        <f aca="false">IF(OR($C728="",$D728=0),"",$E728/$D728)</f>
        <v/>
      </c>
      <c r="H728" s="0" t="str">
        <f aca="false">IF($C728="","",IF(COUNTIF('مواد المخزون'!$A$2:$A$90,$C728)&gt;0,"نعم","لا (خارج الجرد)"))</f>
        <v/>
      </c>
    </row>
    <row r="729" customFormat="false" ht="15" hidden="false" customHeight="false" outlineLevel="0" collapsed="false">
      <c r="A729" s="103"/>
      <c r="B729" s="104"/>
      <c r="C729" s="104"/>
      <c r="F729" s="107" t="str">
        <f aca="false">IF(OR($C729="",$D729=0),"",$E729/$D729)</f>
        <v/>
      </c>
      <c r="H729" s="0" t="str">
        <f aca="false">IF($C729="","",IF(COUNTIF('مواد المخزون'!$A$2:$A$90,$C729)&gt;0,"نعم","لا (خارج الجرد)"))</f>
        <v/>
      </c>
    </row>
    <row r="730" customFormat="false" ht="15" hidden="false" customHeight="false" outlineLevel="0" collapsed="false">
      <c r="A730" s="103"/>
      <c r="B730" s="104"/>
      <c r="C730" s="104"/>
      <c r="F730" s="107" t="str">
        <f aca="false">IF(OR($C730="",$D730=0),"",$E730/$D730)</f>
        <v/>
      </c>
      <c r="H730" s="0" t="str">
        <f aca="false">IF($C730="","",IF(COUNTIF('مواد المخزون'!$A$2:$A$90,$C730)&gt;0,"نعم","لا (خارج الجرد)"))</f>
        <v/>
      </c>
    </row>
    <row r="731" customFormat="false" ht="15" hidden="false" customHeight="false" outlineLevel="0" collapsed="false">
      <c r="A731" s="103"/>
      <c r="B731" s="104"/>
      <c r="C731" s="104"/>
      <c r="F731" s="107" t="str">
        <f aca="false">IF(OR($C731="",$D731=0),"",$E731/$D731)</f>
        <v/>
      </c>
      <c r="H731" s="0" t="str">
        <f aca="false">IF($C731="","",IF(COUNTIF('مواد المخزون'!$A$2:$A$90,$C731)&gt;0,"نعم","لا (خارج الجرد)"))</f>
        <v/>
      </c>
    </row>
    <row r="732" customFormat="false" ht="15" hidden="false" customHeight="false" outlineLevel="0" collapsed="false">
      <c r="A732" s="103"/>
      <c r="B732" s="104"/>
      <c r="C732" s="104"/>
      <c r="F732" s="107" t="str">
        <f aca="false">IF(OR($C732="",$D732=0),"",$E732/$D732)</f>
        <v/>
      </c>
      <c r="H732" s="0" t="str">
        <f aca="false">IF($C732="","",IF(COUNTIF('مواد المخزون'!$A$2:$A$90,$C732)&gt;0,"نعم","لا (خارج الجرد)"))</f>
        <v/>
      </c>
    </row>
    <row r="733" customFormat="false" ht="15" hidden="false" customHeight="false" outlineLevel="0" collapsed="false">
      <c r="A733" s="103"/>
      <c r="B733" s="104"/>
      <c r="C733" s="104"/>
      <c r="F733" s="107" t="str">
        <f aca="false">IF(OR($C733="",$D733=0),"",$E733/$D733)</f>
        <v/>
      </c>
      <c r="H733" s="0" t="str">
        <f aca="false">IF($C733="","",IF(COUNTIF('مواد المخزون'!$A$2:$A$90,$C733)&gt;0,"نعم","لا (خارج الجرد)"))</f>
        <v/>
      </c>
    </row>
    <row r="734" customFormat="false" ht="15" hidden="false" customHeight="false" outlineLevel="0" collapsed="false">
      <c r="A734" s="103"/>
      <c r="B734" s="104"/>
      <c r="C734" s="104"/>
      <c r="F734" s="107" t="str">
        <f aca="false">IF(OR($C734="",$D734=0),"",$E734/$D734)</f>
        <v/>
      </c>
      <c r="H734" s="0" t="str">
        <f aca="false">IF($C734="","",IF(COUNTIF('مواد المخزون'!$A$2:$A$90,$C734)&gt;0,"نعم","لا (خارج الجرد)"))</f>
        <v/>
      </c>
    </row>
    <row r="735" customFormat="false" ht="15" hidden="false" customHeight="false" outlineLevel="0" collapsed="false">
      <c r="A735" s="103"/>
      <c r="B735" s="104"/>
      <c r="C735" s="104"/>
      <c r="F735" s="107" t="str">
        <f aca="false">IF(OR($C735="",$D735=0),"",$E735/$D735)</f>
        <v/>
      </c>
      <c r="H735" s="0" t="str">
        <f aca="false">IF($C735="","",IF(COUNTIF('مواد المخزون'!$A$2:$A$90,$C735)&gt;0,"نعم","لا (خارج الجرد)"))</f>
        <v/>
      </c>
    </row>
    <row r="736" customFormat="false" ht="15" hidden="false" customHeight="false" outlineLevel="0" collapsed="false">
      <c r="A736" s="103"/>
      <c r="B736" s="104"/>
      <c r="C736" s="104"/>
      <c r="F736" s="107" t="str">
        <f aca="false">IF(OR($C736="",$D736=0),"",$E736/$D736)</f>
        <v/>
      </c>
      <c r="H736" s="0" t="str">
        <f aca="false">IF($C736="","",IF(COUNTIF('مواد المخزون'!$A$2:$A$90,$C736)&gt;0,"نعم","لا (خارج الجرد)"))</f>
        <v/>
      </c>
    </row>
    <row r="737" customFormat="false" ht="15" hidden="false" customHeight="false" outlineLevel="0" collapsed="false">
      <c r="A737" s="103"/>
      <c r="B737" s="104"/>
      <c r="C737" s="104"/>
      <c r="F737" s="107" t="str">
        <f aca="false">IF(OR($C737="",$D737=0),"",$E737/$D737)</f>
        <v/>
      </c>
      <c r="H737" s="0" t="str">
        <f aca="false">IF($C737="","",IF(COUNTIF('مواد المخزون'!$A$2:$A$90,$C737)&gt;0,"نعم","لا (خارج الجرد)"))</f>
        <v/>
      </c>
    </row>
    <row r="738" customFormat="false" ht="15" hidden="false" customHeight="false" outlineLevel="0" collapsed="false">
      <c r="A738" s="103"/>
      <c r="B738" s="104"/>
      <c r="C738" s="104"/>
      <c r="F738" s="107" t="str">
        <f aca="false">IF(OR($C738="",$D738=0),"",$E738/$D738)</f>
        <v/>
      </c>
      <c r="H738" s="0" t="str">
        <f aca="false">IF($C738="","",IF(COUNTIF('مواد المخزون'!$A$2:$A$90,$C738)&gt;0,"نعم","لا (خارج الجرد)"))</f>
        <v/>
      </c>
    </row>
    <row r="739" customFormat="false" ht="15" hidden="false" customHeight="false" outlineLevel="0" collapsed="false">
      <c r="A739" s="103"/>
      <c r="B739" s="104"/>
      <c r="C739" s="104"/>
      <c r="F739" s="107" t="str">
        <f aca="false">IF(OR($C739="",$D739=0),"",$E739/$D739)</f>
        <v/>
      </c>
      <c r="H739" s="0" t="str">
        <f aca="false">IF($C739="","",IF(COUNTIF('مواد المخزون'!$A$2:$A$90,$C739)&gt;0,"نعم","لا (خارج الجرد)"))</f>
        <v/>
      </c>
    </row>
    <row r="740" customFormat="false" ht="15" hidden="false" customHeight="false" outlineLevel="0" collapsed="false">
      <c r="A740" s="103"/>
      <c r="B740" s="104"/>
      <c r="C740" s="104"/>
      <c r="F740" s="107" t="str">
        <f aca="false">IF(OR($C740="",$D740=0),"",$E740/$D740)</f>
        <v/>
      </c>
      <c r="H740" s="0" t="str">
        <f aca="false">IF($C740="","",IF(COUNTIF('مواد المخزون'!$A$2:$A$90,$C740)&gt;0,"نعم","لا (خارج الجرد)"))</f>
        <v/>
      </c>
    </row>
    <row r="741" customFormat="false" ht="15" hidden="false" customHeight="false" outlineLevel="0" collapsed="false">
      <c r="A741" s="103"/>
      <c r="B741" s="104"/>
      <c r="C741" s="104"/>
      <c r="F741" s="107" t="str">
        <f aca="false">IF(OR($C741="",$D741=0),"",$E741/$D741)</f>
        <v/>
      </c>
      <c r="H741" s="0" t="str">
        <f aca="false">IF($C741="","",IF(COUNTIF('مواد المخزون'!$A$2:$A$90,$C741)&gt;0,"نعم","لا (خارج الجرد)"))</f>
        <v/>
      </c>
    </row>
    <row r="742" customFormat="false" ht="15" hidden="false" customHeight="false" outlineLevel="0" collapsed="false">
      <c r="A742" s="103"/>
      <c r="B742" s="104"/>
      <c r="C742" s="104"/>
      <c r="F742" s="107" t="str">
        <f aca="false">IF(OR($C742="",$D742=0),"",$E742/$D742)</f>
        <v/>
      </c>
      <c r="H742" s="0" t="str">
        <f aca="false">IF($C742="","",IF(COUNTIF('مواد المخزون'!$A$2:$A$90,$C742)&gt;0,"نعم","لا (خارج الجرد)"))</f>
        <v/>
      </c>
    </row>
    <row r="743" customFormat="false" ht="15" hidden="false" customHeight="false" outlineLevel="0" collapsed="false">
      <c r="A743" s="103"/>
      <c r="B743" s="104"/>
      <c r="C743" s="104"/>
      <c r="F743" s="107" t="str">
        <f aca="false">IF(OR($C743="",$D743=0),"",$E743/$D743)</f>
        <v/>
      </c>
      <c r="H743" s="0" t="str">
        <f aca="false">IF($C743="","",IF(COUNTIF('مواد المخزون'!$A$2:$A$90,$C743)&gt;0,"نعم","لا (خارج الجرد)"))</f>
        <v/>
      </c>
    </row>
    <row r="744" customFormat="false" ht="15" hidden="false" customHeight="false" outlineLevel="0" collapsed="false">
      <c r="A744" s="103"/>
      <c r="B744" s="104"/>
      <c r="C744" s="104"/>
      <c r="F744" s="107" t="str">
        <f aca="false">IF(OR($C744="",$D744=0),"",$E744/$D744)</f>
        <v/>
      </c>
      <c r="H744" s="0" t="str">
        <f aca="false">IF($C744="","",IF(COUNTIF('مواد المخزون'!$A$2:$A$90,$C744)&gt;0,"نعم","لا (خارج الجرد)"))</f>
        <v/>
      </c>
    </row>
    <row r="745" customFormat="false" ht="15" hidden="false" customHeight="false" outlineLevel="0" collapsed="false">
      <c r="A745" s="103"/>
      <c r="B745" s="104"/>
      <c r="C745" s="104"/>
      <c r="F745" s="107" t="str">
        <f aca="false">IF(OR($C745="",$D745=0),"",$E745/$D745)</f>
        <v/>
      </c>
      <c r="H745" s="0" t="str">
        <f aca="false">IF($C745="","",IF(COUNTIF('مواد المخزون'!$A$2:$A$90,$C745)&gt;0,"نعم","لا (خارج الجرد)"))</f>
        <v/>
      </c>
    </row>
    <row r="746" customFormat="false" ht="15" hidden="false" customHeight="false" outlineLevel="0" collapsed="false">
      <c r="A746" s="103"/>
      <c r="B746" s="104"/>
      <c r="C746" s="104"/>
      <c r="F746" s="107" t="str">
        <f aca="false">IF(OR($C746="",$D746=0),"",$E746/$D746)</f>
        <v/>
      </c>
      <c r="H746" s="0" t="str">
        <f aca="false">IF($C746="","",IF(COUNTIF('مواد المخزون'!$A$2:$A$90,$C746)&gt;0,"نعم","لا (خارج الجرد)"))</f>
        <v/>
      </c>
    </row>
    <row r="747" customFormat="false" ht="15" hidden="false" customHeight="false" outlineLevel="0" collapsed="false">
      <c r="A747" s="103"/>
      <c r="B747" s="104"/>
      <c r="C747" s="104"/>
      <c r="F747" s="107" t="str">
        <f aca="false">IF(OR($C747="",$D747=0),"",$E747/$D747)</f>
        <v/>
      </c>
      <c r="H747" s="0" t="str">
        <f aca="false">IF($C747="","",IF(COUNTIF('مواد المخزون'!$A$2:$A$90,$C747)&gt;0,"نعم","لا (خارج الجرد)"))</f>
        <v/>
      </c>
    </row>
    <row r="748" customFormat="false" ht="15" hidden="false" customHeight="false" outlineLevel="0" collapsed="false">
      <c r="A748" s="103"/>
      <c r="B748" s="104"/>
      <c r="C748" s="104"/>
      <c r="F748" s="107" t="str">
        <f aca="false">IF(OR($C748="",$D748=0),"",$E748/$D748)</f>
        <v/>
      </c>
      <c r="H748" s="0" t="str">
        <f aca="false">IF($C748="","",IF(COUNTIF('مواد المخزون'!$A$2:$A$90,$C748)&gt;0,"نعم","لا (خارج الجرد)"))</f>
        <v/>
      </c>
    </row>
    <row r="749" customFormat="false" ht="15" hidden="false" customHeight="false" outlineLevel="0" collapsed="false">
      <c r="A749" s="103"/>
      <c r="B749" s="104"/>
      <c r="C749" s="104"/>
      <c r="F749" s="107" t="str">
        <f aca="false">IF(OR($C749="",$D749=0),"",$E749/$D749)</f>
        <v/>
      </c>
      <c r="H749" s="0" t="str">
        <f aca="false">IF($C749="","",IF(COUNTIF('مواد المخزون'!$A$2:$A$90,$C749)&gt;0,"نعم","لا (خارج الجرد)"))</f>
        <v/>
      </c>
    </row>
    <row r="750" customFormat="false" ht="15" hidden="false" customHeight="false" outlineLevel="0" collapsed="false">
      <c r="A750" s="103"/>
      <c r="B750" s="104"/>
      <c r="C750" s="104"/>
      <c r="F750" s="107" t="str">
        <f aca="false">IF(OR($C750="",$D750=0),"",$E750/$D750)</f>
        <v/>
      </c>
      <c r="H750" s="0" t="str">
        <f aca="false">IF($C750="","",IF(COUNTIF('مواد المخزون'!$A$2:$A$90,$C750)&gt;0,"نعم","لا (خارج الجرد)"))</f>
        <v/>
      </c>
    </row>
    <row r="751" customFormat="false" ht="15" hidden="false" customHeight="false" outlineLevel="0" collapsed="false">
      <c r="A751" s="103"/>
      <c r="B751" s="104"/>
      <c r="C751" s="104"/>
      <c r="F751" s="107" t="str">
        <f aca="false">IF(OR($C751="",$D751=0),"",$E751/$D751)</f>
        <v/>
      </c>
      <c r="H751" s="0" t="str">
        <f aca="false">IF($C751="","",IF(COUNTIF('مواد المخزون'!$A$2:$A$90,$C751)&gt;0,"نعم","لا (خارج الجرد)"))</f>
        <v/>
      </c>
    </row>
    <row r="752" customFormat="false" ht="15" hidden="false" customHeight="false" outlineLevel="0" collapsed="false">
      <c r="A752" s="103"/>
      <c r="B752" s="104"/>
      <c r="C752" s="104"/>
      <c r="F752" s="107" t="str">
        <f aca="false">IF(OR($C752="",$D752=0),"",$E752/$D752)</f>
        <v/>
      </c>
      <c r="H752" s="0" t="str">
        <f aca="false">IF($C752="","",IF(COUNTIF('مواد المخزون'!$A$2:$A$90,$C752)&gt;0,"نعم","لا (خارج الجرد)"))</f>
        <v/>
      </c>
    </row>
    <row r="753" customFormat="false" ht="15" hidden="false" customHeight="false" outlineLevel="0" collapsed="false">
      <c r="A753" s="103"/>
      <c r="B753" s="104"/>
      <c r="C753" s="104"/>
      <c r="F753" s="107" t="str">
        <f aca="false">IF(OR($C753="",$D753=0),"",$E753/$D753)</f>
        <v/>
      </c>
      <c r="H753" s="0" t="str">
        <f aca="false">IF($C753="","",IF(COUNTIF('مواد المخزون'!$A$2:$A$90,$C753)&gt;0,"نعم","لا (خارج الجرد)"))</f>
        <v/>
      </c>
    </row>
    <row r="754" customFormat="false" ht="15" hidden="false" customHeight="false" outlineLevel="0" collapsed="false">
      <c r="A754" s="103"/>
      <c r="B754" s="104"/>
      <c r="C754" s="104"/>
      <c r="F754" s="107" t="str">
        <f aca="false">IF(OR($C754="",$D754=0),"",$E754/$D754)</f>
        <v/>
      </c>
      <c r="H754" s="0" t="str">
        <f aca="false">IF($C754="","",IF(COUNTIF('مواد المخزون'!$A$2:$A$90,$C754)&gt;0,"نعم","لا (خارج الجرد)"))</f>
        <v/>
      </c>
    </row>
    <row r="755" customFormat="false" ht="15" hidden="false" customHeight="false" outlineLevel="0" collapsed="false">
      <c r="A755" s="103"/>
      <c r="B755" s="104"/>
      <c r="C755" s="104"/>
      <c r="F755" s="107" t="str">
        <f aca="false">IF(OR($C755="",$D755=0),"",$E755/$D755)</f>
        <v/>
      </c>
      <c r="H755" s="0" t="str">
        <f aca="false">IF($C755="","",IF(COUNTIF('مواد المخزون'!$A$2:$A$90,$C755)&gt;0,"نعم","لا (خارج الجرد)"))</f>
        <v/>
      </c>
    </row>
    <row r="756" customFormat="false" ht="15" hidden="false" customHeight="false" outlineLevel="0" collapsed="false">
      <c r="A756" s="103"/>
      <c r="B756" s="104"/>
      <c r="C756" s="104"/>
      <c r="F756" s="107" t="str">
        <f aca="false">IF(OR($C756="",$D756=0),"",$E756/$D756)</f>
        <v/>
      </c>
      <c r="H756" s="0" t="str">
        <f aca="false">IF($C756="","",IF(COUNTIF('مواد المخزون'!$A$2:$A$90,$C756)&gt;0,"نعم","لا (خارج الجرد)"))</f>
        <v/>
      </c>
    </row>
    <row r="757" customFormat="false" ht="15" hidden="false" customHeight="false" outlineLevel="0" collapsed="false">
      <c r="A757" s="103"/>
      <c r="B757" s="104"/>
      <c r="C757" s="104"/>
      <c r="F757" s="107" t="str">
        <f aca="false">IF(OR($C757="",$D757=0),"",$E757/$D757)</f>
        <v/>
      </c>
      <c r="H757" s="0" t="str">
        <f aca="false">IF($C757="","",IF(COUNTIF('مواد المخزون'!$A$2:$A$90,$C757)&gt;0,"نعم","لا (خارج الجرد)"))</f>
        <v/>
      </c>
    </row>
    <row r="758" customFormat="false" ht="15" hidden="false" customHeight="false" outlineLevel="0" collapsed="false">
      <c r="A758" s="103"/>
      <c r="B758" s="104"/>
      <c r="C758" s="104"/>
      <c r="F758" s="107" t="str">
        <f aca="false">IF(OR($C758="",$D758=0),"",$E758/$D758)</f>
        <v/>
      </c>
      <c r="H758" s="0" t="str">
        <f aca="false">IF($C758="","",IF(COUNTIF('مواد المخزون'!$A$2:$A$90,$C758)&gt;0,"نعم","لا (خارج الجرد)"))</f>
        <v/>
      </c>
    </row>
    <row r="759" customFormat="false" ht="15" hidden="false" customHeight="false" outlineLevel="0" collapsed="false">
      <c r="A759" s="103"/>
      <c r="B759" s="104"/>
      <c r="C759" s="104"/>
      <c r="F759" s="107" t="str">
        <f aca="false">IF(OR($C759="",$D759=0),"",$E759/$D759)</f>
        <v/>
      </c>
      <c r="H759" s="0" t="str">
        <f aca="false">IF($C759="","",IF(COUNTIF('مواد المخزون'!$A$2:$A$90,$C759)&gt;0,"نعم","لا (خارج الجرد)"))</f>
        <v/>
      </c>
    </row>
    <row r="760" customFormat="false" ht="15" hidden="false" customHeight="false" outlineLevel="0" collapsed="false">
      <c r="A760" s="103"/>
      <c r="B760" s="104"/>
      <c r="C760" s="104"/>
      <c r="F760" s="107" t="str">
        <f aca="false">IF(OR($C760="",$D760=0),"",$E760/$D760)</f>
        <v/>
      </c>
      <c r="H760" s="0" t="str">
        <f aca="false">IF($C760="","",IF(COUNTIF('مواد المخزون'!$A$2:$A$90,$C760)&gt;0,"نعم","لا (خارج الجرد)"))</f>
        <v/>
      </c>
    </row>
    <row r="761" customFormat="false" ht="15" hidden="false" customHeight="false" outlineLevel="0" collapsed="false">
      <c r="A761" s="103"/>
      <c r="B761" s="104"/>
      <c r="C761" s="104"/>
      <c r="F761" s="107" t="str">
        <f aca="false">IF(OR($C761="",$D761=0),"",$E761/$D761)</f>
        <v/>
      </c>
      <c r="H761" s="0" t="str">
        <f aca="false">IF($C761="","",IF(COUNTIF('مواد المخزون'!$A$2:$A$90,$C761)&gt;0,"نعم","لا (خارج الجرد)"))</f>
        <v/>
      </c>
    </row>
    <row r="762" customFormat="false" ht="15" hidden="false" customHeight="false" outlineLevel="0" collapsed="false">
      <c r="A762" s="103"/>
      <c r="B762" s="104"/>
      <c r="C762" s="104"/>
      <c r="F762" s="107" t="str">
        <f aca="false">IF(OR($C762="",$D762=0),"",$E762/$D762)</f>
        <v/>
      </c>
      <c r="H762" s="0" t="str">
        <f aca="false">IF($C762="","",IF(COUNTIF('مواد المخزون'!$A$2:$A$90,$C762)&gt;0,"نعم","لا (خارج الجرد)"))</f>
        <v/>
      </c>
    </row>
    <row r="763" customFormat="false" ht="15" hidden="false" customHeight="false" outlineLevel="0" collapsed="false">
      <c r="A763" s="103"/>
      <c r="B763" s="104"/>
      <c r="C763" s="104"/>
      <c r="F763" s="107" t="str">
        <f aca="false">IF(OR($C763="",$D763=0),"",$E763/$D763)</f>
        <v/>
      </c>
      <c r="H763" s="0" t="str">
        <f aca="false">IF($C763="","",IF(COUNTIF('مواد المخزون'!$A$2:$A$90,$C763)&gt;0,"نعم","لا (خارج الجرد)"))</f>
        <v/>
      </c>
    </row>
    <row r="764" customFormat="false" ht="15" hidden="false" customHeight="false" outlineLevel="0" collapsed="false">
      <c r="A764" s="103"/>
      <c r="B764" s="104"/>
      <c r="C764" s="104"/>
      <c r="F764" s="107" t="str">
        <f aca="false">IF(OR($C764="",$D764=0),"",$E764/$D764)</f>
        <v/>
      </c>
      <c r="H764" s="0" t="str">
        <f aca="false">IF($C764="","",IF(COUNTIF('مواد المخزون'!$A$2:$A$90,$C764)&gt;0,"نعم","لا (خارج الجرد)"))</f>
        <v/>
      </c>
    </row>
    <row r="765" customFormat="false" ht="15" hidden="false" customHeight="false" outlineLevel="0" collapsed="false">
      <c r="A765" s="103"/>
      <c r="B765" s="104"/>
      <c r="C765" s="104"/>
      <c r="F765" s="107" t="str">
        <f aca="false">IF(OR($C765="",$D765=0),"",$E765/$D765)</f>
        <v/>
      </c>
      <c r="H765" s="0" t="str">
        <f aca="false">IF($C765="","",IF(COUNTIF('مواد المخزون'!$A$2:$A$90,$C765)&gt;0,"نعم","لا (خارج الجرد)"))</f>
        <v/>
      </c>
    </row>
    <row r="766" customFormat="false" ht="15" hidden="false" customHeight="false" outlineLevel="0" collapsed="false">
      <c r="A766" s="103"/>
      <c r="B766" s="104"/>
      <c r="C766" s="104"/>
      <c r="F766" s="107" t="str">
        <f aca="false">IF(OR($C766="",$D766=0),"",$E766/$D766)</f>
        <v/>
      </c>
      <c r="H766" s="0" t="str">
        <f aca="false">IF($C766="","",IF(COUNTIF('مواد المخزون'!$A$2:$A$90,$C766)&gt;0,"نعم","لا (خارج الجرد)"))</f>
        <v/>
      </c>
    </row>
    <row r="767" customFormat="false" ht="15" hidden="false" customHeight="false" outlineLevel="0" collapsed="false">
      <c r="A767" s="103"/>
      <c r="B767" s="104"/>
      <c r="C767" s="104"/>
      <c r="F767" s="107" t="str">
        <f aca="false">IF(OR($C767="",$D767=0),"",$E767/$D767)</f>
        <v/>
      </c>
      <c r="H767" s="0" t="str">
        <f aca="false">IF($C767="","",IF(COUNTIF('مواد المخزون'!$A$2:$A$90,$C767)&gt;0,"نعم","لا (خارج الجرد)"))</f>
        <v/>
      </c>
    </row>
    <row r="768" customFormat="false" ht="15" hidden="false" customHeight="false" outlineLevel="0" collapsed="false">
      <c r="A768" s="103"/>
      <c r="B768" s="104"/>
      <c r="C768" s="104"/>
      <c r="F768" s="107" t="str">
        <f aca="false">IF(OR($C768="",$D768=0),"",$E768/$D768)</f>
        <v/>
      </c>
      <c r="H768" s="0" t="str">
        <f aca="false">IF($C768="","",IF(COUNTIF('مواد المخزون'!$A$2:$A$90,$C768)&gt;0,"نعم","لا (خارج الجرد)"))</f>
        <v/>
      </c>
    </row>
    <row r="769" customFormat="false" ht="15" hidden="false" customHeight="false" outlineLevel="0" collapsed="false">
      <c r="A769" s="103"/>
      <c r="B769" s="104"/>
      <c r="C769" s="104"/>
      <c r="F769" s="107" t="str">
        <f aca="false">IF(OR($C769="",$D769=0),"",$E769/$D769)</f>
        <v/>
      </c>
      <c r="H769" s="0" t="str">
        <f aca="false">IF($C769="","",IF(COUNTIF('مواد المخزون'!$A$2:$A$90,$C769)&gt;0,"نعم","لا (خارج الجرد)"))</f>
        <v/>
      </c>
    </row>
    <row r="770" customFormat="false" ht="15" hidden="false" customHeight="false" outlineLevel="0" collapsed="false">
      <c r="A770" s="103"/>
      <c r="B770" s="104"/>
      <c r="C770" s="104"/>
      <c r="F770" s="107" t="str">
        <f aca="false">IF(OR($C770="",$D770=0),"",$E770/$D770)</f>
        <v/>
      </c>
      <c r="H770" s="0" t="str">
        <f aca="false">IF($C770="","",IF(COUNTIF('مواد المخزون'!$A$2:$A$90,$C770)&gt;0,"نعم","لا (خارج الجرد)"))</f>
        <v/>
      </c>
    </row>
    <row r="771" customFormat="false" ht="15" hidden="false" customHeight="false" outlineLevel="0" collapsed="false">
      <c r="A771" s="103"/>
      <c r="B771" s="104"/>
      <c r="C771" s="104"/>
      <c r="F771" s="107" t="str">
        <f aca="false">IF(OR($C771="",$D771=0),"",$E771/$D771)</f>
        <v/>
      </c>
      <c r="H771" s="0" t="str">
        <f aca="false">IF($C771="","",IF(COUNTIF('مواد المخزون'!$A$2:$A$90,$C771)&gt;0,"نعم","لا (خارج الجرد)"))</f>
        <v/>
      </c>
    </row>
    <row r="772" customFormat="false" ht="15" hidden="false" customHeight="false" outlineLevel="0" collapsed="false">
      <c r="A772" s="103"/>
      <c r="B772" s="104"/>
      <c r="C772" s="104"/>
      <c r="F772" s="107" t="str">
        <f aca="false">IF(OR($C772="",$D772=0),"",$E772/$D772)</f>
        <v/>
      </c>
      <c r="H772" s="0" t="str">
        <f aca="false">IF($C772="","",IF(COUNTIF('مواد المخزون'!$A$2:$A$90,$C772)&gt;0,"نعم","لا (خارج الجرد)"))</f>
        <v/>
      </c>
    </row>
    <row r="773" customFormat="false" ht="15" hidden="false" customHeight="false" outlineLevel="0" collapsed="false">
      <c r="A773" s="103"/>
      <c r="B773" s="104"/>
      <c r="C773" s="104"/>
      <c r="F773" s="107" t="str">
        <f aca="false">IF(OR($C773="",$D773=0),"",$E773/$D773)</f>
        <v/>
      </c>
      <c r="H773" s="0" t="str">
        <f aca="false">IF($C773="","",IF(COUNTIF('مواد المخزون'!$A$2:$A$90,$C773)&gt;0,"نعم","لا (خارج الجرد)"))</f>
        <v/>
      </c>
    </row>
    <row r="774" customFormat="false" ht="15" hidden="false" customHeight="false" outlineLevel="0" collapsed="false">
      <c r="A774" s="103"/>
      <c r="B774" s="104"/>
      <c r="C774" s="104"/>
      <c r="F774" s="107" t="str">
        <f aca="false">IF(OR($C774="",$D774=0),"",$E774/$D774)</f>
        <v/>
      </c>
      <c r="H774" s="0" t="str">
        <f aca="false">IF($C774="","",IF(COUNTIF('مواد المخزون'!$A$2:$A$90,$C774)&gt;0,"نعم","لا (خارج الجرد)"))</f>
        <v/>
      </c>
    </row>
    <row r="775" customFormat="false" ht="15" hidden="false" customHeight="false" outlineLevel="0" collapsed="false">
      <c r="A775" s="103"/>
      <c r="B775" s="104"/>
      <c r="C775" s="104"/>
      <c r="F775" s="107" t="str">
        <f aca="false">IF(OR($C775="",$D775=0),"",$E775/$D775)</f>
        <v/>
      </c>
      <c r="H775" s="0" t="str">
        <f aca="false">IF($C775="","",IF(COUNTIF('مواد المخزون'!$A$2:$A$90,$C775)&gt;0,"نعم","لا (خارج الجرد)"))</f>
        <v/>
      </c>
    </row>
    <row r="776" customFormat="false" ht="15" hidden="false" customHeight="false" outlineLevel="0" collapsed="false">
      <c r="A776" s="103"/>
      <c r="B776" s="104"/>
      <c r="C776" s="104"/>
      <c r="F776" s="107" t="str">
        <f aca="false">IF(OR($C776="",$D776=0),"",$E776/$D776)</f>
        <v/>
      </c>
      <c r="H776" s="0" t="str">
        <f aca="false">IF($C776="","",IF(COUNTIF('مواد المخزون'!$A$2:$A$90,$C776)&gt;0,"نعم","لا (خارج الجرد)"))</f>
        <v/>
      </c>
    </row>
    <row r="777" customFormat="false" ht="15" hidden="false" customHeight="false" outlineLevel="0" collapsed="false">
      <c r="A777" s="103"/>
      <c r="B777" s="104"/>
      <c r="C777" s="104"/>
      <c r="F777" s="107" t="str">
        <f aca="false">IF(OR($C777="",$D777=0),"",$E777/$D777)</f>
        <v/>
      </c>
      <c r="H777" s="0" t="str">
        <f aca="false">IF($C777="","",IF(COUNTIF('مواد المخزون'!$A$2:$A$90,$C777)&gt;0,"نعم","لا (خارج الجرد)"))</f>
        <v/>
      </c>
    </row>
    <row r="778" customFormat="false" ht="15" hidden="false" customHeight="false" outlineLevel="0" collapsed="false">
      <c r="A778" s="103"/>
      <c r="B778" s="104"/>
      <c r="C778" s="104"/>
      <c r="F778" s="107" t="str">
        <f aca="false">IF(OR($C778="",$D778=0),"",$E778/$D778)</f>
        <v/>
      </c>
      <c r="H778" s="0" t="str">
        <f aca="false">IF($C778="","",IF(COUNTIF('مواد المخزون'!$A$2:$A$90,$C778)&gt;0,"نعم","لا (خارج الجرد)"))</f>
        <v/>
      </c>
    </row>
    <row r="779" customFormat="false" ht="15" hidden="false" customHeight="false" outlineLevel="0" collapsed="false">
      <c r="A779" s="103"/>
      <c r="B779" s="104"/>
      <c r="C779" s="104"/>
      <c r="F779" s="107" t="str">
        <f aca="false">IF(OR($C779="",$D779=0),"",$E779/$D779)</f>
        <v/>
      </c>
      <c r="H779" s="0" t="str">
        <f aca="false">IF($C779="","",IF(COUNTIF('مواد المخزون'!$A$2:$A$90,$C779)&gt;0,"نعم","لا (خارج الجرد)"))</f>
        <v/>
      </c>
    </row>
    <row r="780" customFormat="false" ht="15" hidden="false" customHeight="false" outlineLevel="0" collapsed="false">
      <c r="A780" s="103"/>
      <c r="B780" s="104"/>
      <c r="C780" s="104"/>
      <c r="F780" s="107" t="str">
        <f aca="false">IF(OR($C780="",$D780=0),"",$E780/$D780)</f>
        <v/>
      </c>
      <c r="H780" s="0" t="str">
        <f aca="false">IF($C780="","",IF(COUNTIF('مواد المخزون'!$A$2:$A$90,$C780)&gt;0,"نعم","لا (خارج الجرد)"))</f>
        <v/>
      </c>
    </row>
    <row r="781" customFormat="false" ht="15" hidden="false" customHeight="false" outlineLevel="0" collapsed="false">
      <c r="A781" s="103"/>
      <c r="B781" s="104"/>
      <c r="C781" s="104"/>
      <c r="F781" s="107" t="str">
        <f aca="false">IF(OR($C781="",$D781=0),"",$E781/$D781)</f>
        <v/>
      </c>
      <c r="H781" s="0" t="str">
        <f aca="false">IF($C781="","",IF(COUNTIF('مواد المخزون'!$A$2:$A$90,$C781)&gt;0,"نعم","لا (خارج الجرد)"))</f>
        <v/>
      </c>
    </row>
    <row r="782" customFormat="false" ht="15" hidden="false" customHeight="false" outlineLevel="0" collapsed="false">
      <c r="A782" s="103"/>
      <c r="B782" s="104"/>
      <c r="C782" s="104"/>
      <c r="F782" s="107" t="str">
        <f aca="false">IF(OR($C782="",$D782=0),"",$E782/$D782)</f>
        <v/>
      </c>
      <c r="H782" s="0" t="str">
        <f aca="false">IF($C782="","",IF(COUNTIF('مواد المخزون'!$A$2:$A$90,$C782)&gt;0,"نعم","لا (خارج الجرد)"))</f>
        <v/>
      </c>
    </row>
    <row r="783" customFormat="false" ht="15" hidden="false" customHeight="false" outlineLevel="0" collapsed="false">
      <c r="A783" s="103"/>
      <c r="B783" s="104"/>
      <c r="C783" s="104"/>
      <c r="F783" s="107" t="str">
        <f aca="false">IF(OR($C783="",$D783=0),"",$E783/$D783)</f>
        <v/>
      </c>
      <c r="H783" s="0" t="str">
        <f aca="false">IF($C783="","",IF(COUNTIF('مواد المخزون'!$A$2:$A$90,$C783)&gt;0,"نعم","لا (خارج الجرد)"))</f>
        <v/>
      </c>
    </row>
    <row r="784" customFormat="false" ht="15" hidden="false" customHeight="false" outlineLevel="0" collapsed="false">
      <c r="A784" s="103"/>
      <c r="B784" s="104"/>
      <c r="C784" s="104"/>
      <c r="F784" s="107" t="str">
        <f aca="false">IF(OR($C784="",$D784=0),"",$E784/$D784)</f>
        <v/>
      </c>
      <c r="H784" s="0" t="str">
        <f aca="false">IF($C784="","",IF(COUNTIF('مواد المخزون'!$A$2:$A$90,$C784)&gt;0,"نعم","لا (خارج الجرد)"))</f>
        <v/>
      </c>
    </row>
    <row r="785" customFormat="false" ht="15" hidden="false" customHeight="false" outlineLevel="0" collapsed="false">
      <c r="A785" s="103"/>
      <c r="B785" s="104"/>
      <c r="C785" s="104"/>
      <c r="F785" s="107" t="str">
        <f aca="false">IF(OR($C785="",$D785=0),"",$E785/$D785)</f>
        <v/>
      </c>
      <c r="H785" s="0" t="str">
        <f aca="false">IF($C785="","",IF(COUNTIF('مواد المخزون'!$A$2:$A$90,$C785)&gt;0,"نعم","لا (خارج الجرد)"))</f>
        <v/>
      </c>
    </row>
    <row r="786" customFormat="false" ht="15" hidden="false" customHeight="false" outlineLevel="0" collapsed="false">
      <c r="A786" s="103"/>
      <c r="B786" s="104"/>
      <c r="C786" s="104"/>
      <c r="F786" s="107" t="str">
        <f aca="false">IF(OR($C786="",$D786=0),"",$E786/$D786)</f>
        <v/>
      </c>
      <c r="H786" s="0" t="str">
        <f aca="false">IF($C786="","",IF(COUNTIF('مواد المخزون'!$A$2:$A$90,$C786)&gt;0,"نعم","لا (خارج الجرد)"))</f>
        <v/>
      </c>
    </row>
    <row r="787" customFormat="false" ht="15" hidden="false" customHeight="false" outlineLevel="0" collapsed="false">
      <c r="A787" s="103"/>
      <c r="B787" s="104"/>
      <c r="C787" s="104"/>
      <c r="F787" s="107" t="str">
        <f aca="false">IF(OR($C787="",$D787=0),"",$E787/$D787)</f>
        <v/>
      </c>
      <c r="H787" s="0" t="str">
        <f aca="false">IF($C787="","",IF(COUNTIF('مواد المخزون'!$A$2:$A$90,$C787)&gt;0,"نعم","لا (خارج الجرد)"))</f>
        <v/>
      </c>
    </row>
    <row r="788" customFormat="false" ht="15" hidden="false" customHeight="false" outlineLevel="0" collapsed="false">
      <c r="A788" s="103"/>
      <c r="B788" s="104"/>
      <c r="C788" s="104"/>
      <c r="F788" s="107" t="str">
        <f aca="false">IF(OR($C788="",$D788=0),"",$E788/$D788)</f>
        <v/>
      </c>
      <c r="H788" s="0" t="str">
        <f aca="false">IF($C788="","",IF(COUNTIF('مواد المخزون'!$A$2:$A$90,$C788)&gt;0,"نعم","لا (خارج الجرد)"))</f>
        <v/>
      </c>
    </row>
    <row r="789" customFormat="false" ht="15" hidden="false" customHeight="false" outlineLevel="0" collapsed="false">
      <c r="A789" s="103"/>
      <c r="B789" s="104"/>
      <c r="C789" s="104"/>
      <c r="F789" s="107" t="str">
        <f aca="false">IF(OR($C789="",$D789=0),"",$E789/$D789)</f>
        <v/>
      </c>
      <c r="H789" s="0" t="str">
        <f aca="false">IF($C789="","",IF(COUNTIF('مواد المخزون'!$A$2:$A$90,$C789)&gt;0,"نعم","لا (خارج الجرد)"))</f>
        <v/>
      </c>
    </row>
    <row r="790" customFormat="false" ht="15" hidden="false" customHeight="false" outlineLevel="0" collapsed="false">
      <c r="A790" s="103"/>
      <c r="B790" s="104"/>
      <c r="C790" s="104"/>
      <c r="F790" s="107" t="str">
        <f aca="false">IF(OR($C790="",$D790=0),"",$E790/$D790)</f>
        <v/>
      </c>
      <c r="H790" s="0" t="str">
        <f aca="false">IF($C790="","",IF(COUNTIF('مواد المخزون'!$A$2:$A$90,$C790)&gt;0,"نعم","لا (خارج الجرد)"))</f>
        <v/>
      </c>
    </row>
    <row r="791" customFormat="false" ht="15" hidden="false" customHeight="false" outlineLevel="0" collapsed="false">
      <c r="A791" s="103"/>
      <c r="B791" s="104"/>
      <c r="C791" s="104"/>
      <c r="F791" s="107" t="str">
        <f aca="false">IF(OR($C791="",$D791=0),"",$E791/$D791)</f>
        <v/>
      </c>
      <c r="H791" s="0" t="str">
        <f aca="false">IF($C791="","",IF(COUNTIF('مواد المخزون'!$A$2:$A$90,$C791)&gt;0,"نعم","لا (خارج الجرد)"))</f>
        <v/>
      </c>
    </row>
    <row r="792" customFormat="false" ht="15" hidden="false" customHeight="false" outlineLevel="0" collapsed="false">
      <c r="A792" s="103"/>
      <c r="B792" s="104"/>
      <c r="C792" s="104"/>
      <c r="F792" s="107" t="str">
        <f aca="false">IF(OR($C792="",$D792=0),"",$E792/$D792)</f>
        <v/>
      </c>
      <c r="H792" s="0" t="str">
        <f aca="false">IF($C792="","",IF(COUNTIF('مواد المخزون'!$A$2:$A$90,$C792)&gt;0,"نعم","لا (خارج الجرد)"))</f>
        <v/>
      </c>
    </row>
    <row r="793" customFormat="false" ht="15" hidden="false" customHeight="false" outlineLevel="0" collapsed="false">
      <c r="A793" s="103"/>
      <c r="B793" s="104"/>
      <c r="C793" s="104"/>
      <c r="F793" s="107" t="str">
        <f aca="false">IF(OR($C793="",$D793=0),"",$E793/$D793)</f>
        <v/>
      </c>
      <c r="H793" s="0" t="str">
        <f aca="false">IF($C793="","",IF(COUNTIF('مواد المخزون'!$A$2:$A$90,$C793)&gt;0,"نعم","لا (خارج الجرد)"))</f>
        <v/>
      </c>
    </row>
    <row r="794" customFormat="false" ht="15" hidden="false" customHeight="false" outlineLevel="0" collapsed="false">
      <c r="A794" s="103"/>
      <c r="B794" s="104"/>
      <c r="C794" s="104"/>
      <c r="F794" s="107" t="str">
        <f aca="false">IF(OR($C794="",$D794=0),"",$E794/$D794)</f>
        <v/>
      </c>
      <c r="H794" s="0" t="str">
        <f aca="false">IF($C794="","",IF(COUNTIF('مواد المخزون'!$A$2:$A$90,$C794)&gt;0,"نعم","لا (خارج الجرد)"))</f>
        <v/>
      </c>
    </row>
    <row r="795" customFormat="false" ht="15" hidden="false" customHeight="false" outlineLevel="0" collapsed="false">
      <c r="A795" s="103"/>
      <c r="B795" s="104"/>
      <c r="C795" s="104"/>
      <c r="F795" s="107" t="str">
        <f aca="false">IF(OR($C795="",$D795=0),"",$E795/$D795)</f>
        <v/>
      </c>
      <c r="H795" s="0" t="str">
        <f aca="false">IF($C795="","",IF(COUNTIF('مواد المخزون'!$A$2:$A$90,$C795)&gt;0,"نعم","لا (خارج الجرد)"))</f>
        <v/>
      </c>
    </row>
    <row r="796" customFormat="false" ht="15" hidden="false" customHeight="false" outlineLevel="0" collapsed="false">
      <c r="A796" s="103"/>
      <c r="B796" s="104"/>
      <c r="C796" s="104"/>
      <c r="F796" s="107" t="str">
        <f aca="false">IF(OR($C796="",$D796=0),"",$E796/$D796)</f>
        <v/>
      </c>
      <c r="H796" s="0" t="str">
        <f aca="false">IF($C796="","",IF(COUNTIF('مواد المخزون'!$A$2:$A$90,$C796)&gt;0,"نعم","لا (خارج الجرد)"))</f>
        <v/>
      </c>
    </row>
    <row r="797" customFormat="false" ht="15" hidden="false" customHeight="false" outlineLevel="0" collapsed="false">
      <c r="A797" s="103"/>
      <c r="B797" s="104"/>
      <c r="C797" s="104"/>
      <c r="F797" s="107" t="str">
        <f aca="false">IF(OR($C797="",$D797=0),"",$E797/$D797)</f>
        <v/>
      </c>
      <c r="H797" s="0" t="str">
        <f aca="false">IF($C797="","",IF(COUNTIF('مواد المخزون'!$A$2:$A$90,$C797)&gt;0,"نعم","لا (خارج الجرد)"))</f>
        <v/>
      </c>
    </row>
    <row r="798" customFormat="false" ht="15" hidden="false" customHeight="false" outlineLevel="0" collapsed="false">
      <c r="A798" s="103"/>
      <c r="B798" s="104"/>
      <c r="C798" s="104"/>
      <c r="F798" s="107" t="str">
        <f aca="false">IF(OR($C798="",$D798=0),"",$E798/$D798)</f>
        <v/>
      </c>
      <c r="H798" s="0" t="str">
        <f aca="false">IF($C798="","",IF(COUNTIF('مواد المخزون'!$A$2:$A$90,$C798)&gt;0,"نعم","لا (خارج الجرد)"))</f>
        <v/>
      </c>
    </row>
    <row r="799" customFormat="false" ht="15" hidden="false" customHeight="false" outlineLevel="0" collapsed="false">
      <c r="A799" s="103"/>
      <c r="B799" s="104"/>
      <c r="C799" s="104"/>
      <c r="F799" s="107" t="str">
        <f aca="false">IF(OR($C799="",$D799=0),"",$E799/$D799)</f>
        <v/>
      </c>
      <c r="H799" s="0" t="str">
        <f aca="false">IF($C799="","",IF(COUNTIF('مواد المخزون'!$A$2:$A$90,$C799)&gt;0,"نعم","لا (خارج الجرد)"))</f>
        <v/>
      </c>
    </row>
    <row r="800" customFormat="false" ht="15" hidden="false" customHeight="false" outlineLevel="0" collapsed="false">
      <c r="A800" s="103"/>
      <c r="B800" s="104"/>
      <c r="C800" s="104"/>
      <c r="F800" s="107" t="str">
        <f aca="false">IF(OR($C800="",$D800=0),"",$E800/$D800)</f>
        <v/>
      </c>
      <c r="H800" s="0" t="str">
        <f aca="false">IF($C800="","",IF(COUNTIF('مواد المخزون'!$A$2:$A$90,$C800)&gt;0,"نعم","لا (خارج الجرد)"))</f>
        <v/>
      </c>
    </row>
    <row r="801" customFormat="false" ht="15" hidden="false" customHeight="false" outlineLevel="0" collapsed="false">
      <c r="A801" s="103"/>
      <c r="B801" s="104"/>
      <c r="C801" s="104"/>
      <c r="F801" s="107" t="str">
        <f aca="false">IF(OR($C801="",$D801=0),"",$E801/$D801)</f>
        <v/>
      </c>
      <c r="H801" s="0" t="str">
        <f aca="false">IF($C801="","",IF(COUNTIF('مواد المخزون'!$A$2:$A$90,$C801)&gt;0,"نعم","لا (خارج الجرد)"))</f>
        <v/>
      </c>
    </row>
    <row r="802" customFormat="false" ht="15" hidden="false" customHeight="false" outlineLevel="0" collapsed="false">
      <c r="A802" s="103"/>
      <c r="B802" s="104"/>
      <c r="C802" s="104"/>
      <c r="F802" s="107" t="str">
        <f aca="false">IF(OR($C802="",$D802=0),"",$E802/$D802)</f>
        <v/>
      </c>
      <c r="H802" s="0" t="str">
        <f aca="false">IF($C802="","",IF(COUNTIF('مواد المخزون'!$A$2:$A$90,$C802)&gt;0,"نعم","لا (خارج الجرد)"))</f>
        <v/>
      </c>
    </row>
    <row r="803" customFormat="false" ht="15" hidden="false" customHeight="false" outlineLevel="0" collapsed="false">
      <c r="A803" s="103"/>
      <c r="B803" s="104"/>
      <c r="C803" s="104"/>
      <c r="F803" s="107" t="str">
        <f aca="false">IF(OR($C803="",$D803=0),"",$E803/$D803)</f>
        <v/>
      </c>
      <c r="H803" s="0" t="str">
        <f aca="false">IF($C803="","",IF(COUNTIF('مواد المخزون'!$A$2:$A$90,$C803)&gt;0,"نعم","لا (خارج الجرد)"))</f>
        <v/>
      </c>
    </row>
    <row r="804" customFormat="false" ht="15" hidden="false" customHeight="false" outlineLevel="0" collapsed="false">
      <c r="A804" s="103"/>
      <c r="B804" s="104"/>
      <c r="C804" s="104"/>
      <c r="F804" s="107" t="str">
        <f aca="false">IF(OR($C804="",$D804=0),"",$E804/$D804)</f>
        <v/>
      </c>
      <c r="H804" s="0" t="str">
        <f aca="false">IF($C804="","",IF(COUNTIF('مواد المخزون'!$A$2:$A$90,$C804)&gt;0,"نعم","لا (خارج الجرد)"))</f>
        <v/>
      </c>
    </row>
    <row r="805" customFormat="false" ht="15" hidden="false" customHeight="false" outlineLevel="0" collapsed="false">
      <c r="A805" s="103"/>
      <c r="B805" s="104"/>
      <c r="C805" s="104"/>
      <c r="F805" s="107" t="str">
        <f aca="false">IF(OR($C805="",$D805=0),"",$E805/$D805)</f>
        <v/>
      </c>
      <c r="H805" s="0" t="str">
        <f aca="false">IF($C805="","",IF(COUNTIF('مواد المخزون'!$A$2:$A$90,$C805)&gt;0,"نعم","لا (خارج الجرد)"))</f>
        <v/>
      </c>
    </row>
    <row r="806" customFormat="false" ht="15" hidden="false" customHeight="false" outlineLevel="0" collapsed="false">
      <c r="A806" s="103"/>
      <c r="B806" s="104"/>
      <c r="C806" s="104"/>
      <c r="F806" s="107" t="str">
        <f aca="false">IF(OR($C806="",$D806=0),"",$E806/$D806)</f>
        <v/>
      </c>
      <c r="H806" s="0" t="str">
        <f aca="false">IF($C806="","",IF(COUNTIF('مواد المخزون'!$A$2:$A$90,$C806)&gt;0,"نعم","لا (خارج الجرد)"))</f>
        <v/>
      </c>
    </row>
    <row r="807" customFormat="false" ht="15" hidden="false" customHeight="false" outlineLevel="0" collapsed="false">
      <c r="A807" s="103"/>
      <c r="B807" s="104"/>
      <c r="C807" s="104"/>
      <c r="F807" s="107" t="str">
        <f aca="false">IF(OR($C807="",$D807=0),"",$E807/$D807)</f>
        <v/>
      </c>
      <c r="H807" s="0" t="str">
        <f aca="false">IF($C807="","",IF(COUNTIF('مواد المخزون'!$A$2:$A$90,$C807)&gt;0,"نعم","لا (خارج الجرد)"))</f>
        <v/>
      </c>
    </row>
    <row r="808" customFormat="false" ht="15" hidden="false" customHeight="false" outlineLevel="0" collapsed="false">
      <c r="A808" s="103"/>
      <c r="B808" s="104"/>
      <c r="C808" s="104"/>
      <c r="F808" s="107" t="str">
        <f aca="false">IF(OR($C808="",$D808=0),"",$E808/$D808)</f>
        <v/>
      </c>
      <c r="H808" s="0" t="str">
        <f aca="false">IF($C808="","",IF(COUNTIF('مواد المخزون'!$A$2:$A$90,$C808)&gt;0,"نعم","لا (خارج الجرد)"))</f>
        <v/>
      </c>
    </row>
    <row r="809" customFormat="false" ht="15" hidden="false" customHeight="false" outlineLevel="0" collapsed="false">
      <c r="A809" s="103"/>
      <c r="B809" s="104"/>
      <c r="C809" s="104"/>
      <c r="F809" s="107" t="str">
        <f aca="false">IF(OR($C809="",$D809=0),"",$E809/$D809)</f>
        <v/>
      </c>
      <c r="H809" s="0" t="str">
        <f aca="false">IF($C809="","",IF(COUNTIF('مواد المخزون'!$A$2:$A$90,$C809)&gt;0,"نعم","لا (خارج الجرد)"))</f>
        <v/>
      </c>
    </row>
    <row r="810" customFormat="false" ht="15" hidden="false" customHeight="false" outlineLevel="0" collapsed="false">
      <c r="A810" s="103"/>
      <c r="B810" s="104"/>
      <c r="C810" s="104"/>
      <c r="F810" s="107" t="str">
        <f aca="false">IF(OR($C810="",$D810=0),"",$E810/$D810)</f>
        <v/>
      </c>
      <c r="H810" s="0" t="str">
        <f aca="false">IF($C810="","",IF(COUNTIF('مواد المخزون'!$A$2:$A$90,$C810)&gt;0,"نعم","لا (خارج الجرد)"))</f>
        <v/>
      </c>
    </row>
    <row r="811" customFormat="false" ht="15" hidden="false" customHeight="false" outlineLevel="0" collapsed="false">
      <c r="A811" s="103"/>
      <c r="B811" s="104"/>
      <c r="C811" s="104"/>
      <c r="F811" s="107" t="str">
        <f aca="false">IF(OR($C811="",$D811=0),"",$E811/$D811)</f>
        <v/>
      </c>
      <c r="H811" s="0" t="str">
        <f aca="false">IF($C811="","",IF(COUNTIF('مواد المخزون'!$A$2:$A$90,$C811)&gt;0,"نعم","لا (خارج الجرد)"))</f>
        <v/>
      </c>
    </row>
    <row r="812" customFormat="false" ht="15" hidden="false" customHeight="false" outlineLevel="0" collapsed="false">
      <c r="A812" s="103"/>
      <c r="B812" s="104"/>
      <c r="C812" s="104"/>
      <c r="F812" s="107" t="str">
        <f aca="false">IF(OR($C812="",$D812=0),"",$E812/$D812)</f>
        <v/>
      </c>
      <c r="H812" s="0" t="str">
        <f aca="false">IF($C812="","",IF(COUNTIF('مواد المخزون'!$A$2:$A$90,$C812)&gt;0,"نعم","لا (خارج الجرد)"))</f>
        <v/>
      </c>
    </row>
    <row r="813" customFormat="false" ht="15" hidden="false" customHeight="false" outlineLevel="0" collapsed="false">
      <c r="A813" s="103"/>
      <c r="B813" s="104"/>
      <c r="C813" s="104"/>
      <c r="F813" s="107" t="str">
        <f aca="false">IF(OR($C813="",$D813=0),"",$E813/$D813)</f>
        <v/>
      </c>
      <c r="H813" s="0" t="str">
        <f aca="false">IF($C813="","",IF(COUNTIF('مواد المخزون'!$A$2:$A$90,$C813)&gt;0,"نعم","لا (خارج الجرد)"))</f>
        <v/>
      </c>
    </row>
    <row r="814" customFormat="false" ht="15" hidden="false" customHeight="false" outlineLevel="0" collapsed="false">
      <c r="A814" s="103"/>
      <c r="B814" s="104"/>
      <c r="C814" s="104"/>
      <c r="F814" s="107" t="str">
        <f aca="false">IF(OR($C814="",$D814=0),"",$E814/$D814)</f>
        <v/>
      </c>
      <c r="H814" s="0" t="str">
        <f aca="false">IF($C814="","",IF(COUNTIF('مواد المخزون'!$A$2:$A$90,$C814)&gt;0,"نعم","لا (خارج الجرد)"))</f>
        <v/>
      </c>
    </row>
    <row r="815" customFormat="false" ht="15" hidden="false" customHeight="false" outlineLevel="0" collapsed="false">
      <c r="A815" s="103"/>
      <c r="B815" s="104"/>
      <c r="C815" s="104"/>
      <c r="F815" s="107" t="str">
        <f aca="false">IF(OR($C815="",$D815=0),"",$E815/$D815)</f>
        <v/>
      </c>
      <c r="H815" s="0" t="str">
        <f aca="false">IF($C815="","",IF(COUNTIF('مواد المخزون'!$A$2:$A$90,$C815)&gt;0,"نعم","لا (خارج الجرد)"))</f>
        <v/>
      </c>
    </row>
    <row r="816" customFormat="false" ht="15" hidden="false" customHeight="false" outlineLevel="0" collapsed="false">
      <c r="A816" s="103"/>
      <c r="B816" s="104"/>
      <c r="C816" s="104"/>
      <c r="F816" s="107" t="str">
        <f aca="false">IF(OR($C816="",$D816=0),"",$E816/$D816)</f>
        <v/>
      </c>
      <c r="H816" s="0" t="str">
        <f aca="false">IF($C816="","",IF(COUNTIF('مواد المخزون'!$A$2:$A$90,$C816)&gt;0,"نعم","لا (خارج الجرد)"))</f>
        <v/>
      </c>
    </row>
    <row r="817" customFormat="false" ht="15" hidden="false" customHeight="false" outlineLevel="0" collapsed="false">
      <c r="A817" s="103"/>
      <c r="B817" s="104"/>
      <c r="C817" s="104"/>
      <c r="F817" s="107" t="str">
        <f aca="false">IF(OR($C817="",$D817=0),"",$E817/$D817)</f>
        <v/>
      </c>
      <c r="H817" s="0" t="str">
        <f aca="false">IF($C817="","",IF(COUNTIF('مواد المخزون'!$A$2:$A$90,$C817)&gt;0,"نعم","لا (خارج الجرد)"))</f>
        <v/>
      </c>
    </row>
    <row r="818" customFormat="false" ht="15" hidden="false" customHeight="false" outlineLevel="0" collapsed="false">
      <c r="A818" s="103"/>
      <c r="B818" s="104"/>
      <c r="C818" s="104"/>
      <c r="F818" s="107" t="str">
        <f aca="false">IF(OR($C818="",$D818=0),"",$E818/$D818)</f>
        <v/>
      </c>
      <c r="H818" s="0" t="str">
        <f aca="false">IF($C818="","",IF(COUNTIF('مواد المخزون'!$A$2:$A$90,$C818)&gt;0,"نعم","لا (خارج الجرد)"))</f>
        <v/>
      </c>
    </row>
    <row r="819" customFormat="false" ht="15" hidden="false" customHeight="false" outlineLevel="0" collapsed="false">
      <c r="A819" s="103"/>
      <c r="B819" s="104"/>
      <c r="C819" s="104"/>
      <c r="F819" s="107" t="str">
        <f aca="false">IF(OR($C819="",$D819=0),"",$E819/$D819)</f>
        <v/>
      </c>
      <c r="H819" s="0" t="str">
        <f aca="false">IF($C819="","",IF(COUNTIF('مواد المخزون'!$A$2:$A$90,$C819)&gt;0,"نعم","لا (خارج الجرد)"))</f>
        <v/>
      </c>
    </row>
    <row r="820" customFormat="false" ht="15" hidden="false" customHeight="false" outlineLevel="0" collapsed="false">
      <c r="A820" s="103"/>
      <c r="B820" s="104"/>
      <c r="C820" s="104"/>
      <c r="F820" s="107" t="str">
        <f aca="false">IF(OR($C820="",$D820=0),"",$E820/$D820)</f>
        <v/>
      </c>
      <c r="H820" s="0" t="str">
        <f aca="false">IF($C820="","",IF(COUNTIF('مواد المخزون'!$A$2:$A$90,$C820)&gt;0,"نعم","لا (خارج الجرد)"))</f>
        <v/>
      </c>
    </row>
    <row r="821" customFormat="false" ht="15" hidden="false" customHeight="false" outlineLevel="0" collapsed="false">
      <c r="A821" s="103"/>
      <c r="B821" s="104"/>
      <c r="C821" s="104"/>
      <c r="F821" s="107" t="str">
        <f aca="false">IF(OR($C821="",$D821=0),"",$E821/$D821)</f>
        <v/>
      </c>
      <c r="H821" s="0" t="str">
        <f aca="false">IF($C821="","",IF(COUNTIF('مواد المخزون'!$A$2:$A$90,$C821)&gt;0,"نعم","لا (خارج الجرد)"))</f>
        <v/>
      </c>
    </row>
    <row r="822" customFormat="false" ht="15" hidden="false" customHeight="false" outlineLevel="0" collapsed="false">
      <c r="A822" s="103"/>
      <c r="B822" s="104"/>
      <c r="C822" s="104"/>
      <c r="F822" s="107" t="str">
        <f aca="false">IF(OR($C822="",$D822=0),"",$E822/$D822)</f>
        <v/>
      </c>
      <c r="H822" s="0" t="str">
        <f aca="false">IF($C822="","",IF(COUNTIF('مواد المخزون'!$A$2:$A$90,$C822)&gt;0,"نعم","لا (خارج الجرد)"))</f>
        <v/>
      </c>
    </row>
    <row r="823" customFormat="false" ht="15" hidden="false" customHeight="false" outlineLevel="0" collapsed="false">
      <c r="A823" s="103"/>
      <c r="B823" s="104"/>
      <c r="C823" s="104"/>
      <c r="F823" s="107" t="str">
        <f aca="false">IF(OR($C823="",$D823=0),"",$E823/$D823)</f>
        <v/>
      </c>
      <c r="H823" s="0" t="str">
        <f aca="false">IF($C823="","",IF(COUNTIF('مواد المخزون'!$A$2:$A$90,$C823)&gt;0,"نعم","لا (خارج الجرد)"))</f>
        <v/>
      </c>
    </row>
    <row r="824" customFormat="false" ht="15" hidden="false" customHeight="false" outlineLevel="0" collapsed="false">
      <c r="A824" s="103"/>
      <c r="B824" s="104"/>
      <c r="C824" s="104"/>
      <c r="F824" s="107" t="str">
        <f aca="false">IF(OR($C824="",$D824=0),"",$E824/$D824)</f>
        <v/>
      </c>
      <c r="H824" s="0" t="str">
        <f aca="false">IF($C824="","",IF(COUNTIF('مواد المخزون'!$A$2:$A$90,$C824)&gt;0,"نعم","لا (خارج الجرد)"))</f>
        <v/>
      </c>
    </row>
    <row r="825" customFormat="false" ht="15" hidden="false" customHeight="false" outlineLevel="0" collapsed="false">
      <c r="A825" s="103"/>
      <c r="B825" s="104"/>
      <c r="C825" s="104"/>
      <c r="F825" s="107" t="str">
        <f aca="false">IF(OR($C825="",$D825=0),"",$E825/$D825)</f>
        <v/>
      </c>
      <c r="H825" s="0" t="str">
        <f aca="false">IF($C825="","",IF(COUNTIF('مواد المخزون'!$A$2:$A$90,$C825)&gt;0,"نعم","لا (خارج الجرد)"))</f>
        <v/>
      </c>
    </row>
    <row r="826" customFormat="false" ht="15" hidden="false" customHeight="false" outlineLevel="0" collapsed="false">
      <c r="A826" s="103"/>
      <c r="B826" s="104"/>
      <c r="C826" s="104"/>
      <c r="F826" s="107" t="str">
        <f aca="false">IF(OR($C826="",$D826=0),"",$E826/$D826)</f>
        <v/>
      </c>
      <c r="H826" s="0" t="str">
        <f aca="false">IF($C826="","",IF(COUNTIF('مواد المخزون'!$A$2:$A$90,$C826)&gt;0,"نعم","لا (خارج الجرد)"))</f>
        <v/>
      </c>
    </row>
    <row r="827" customFormat="false" ht="15" hidden="false" customHeight="false" outlineLevel="0" collapsed="false">
      <c r="A827" s="103"/>
      <c r="B827" s="104"/>
      <c r="C827" s="104"/>
      <c r="F827" s="107" t="str">
        <f aca="false">IF(OR($C827="",$D827=0),"",$E827/$D827)</f>
        <v/>
      </c>
      <c r="H827" s="0" t="str">
        <f aca="false">IF($C827="","",IF(COUNTIF('مواد المخزون'!$A$2:$A$90,$C827)&gt;0,"نعم","لا (خارج الجرد)"))</f>
        <v/>
      </c>
    </row>
    <row r="828" customFormat="false" ht="15" hidden="false" customHeight="false" outlineLevel="0" collapsed="false">
      <c r="A828" s="103"/>
      <c r="B828" s="104"/>
      <c r="C828" s="104"/>
      <c r="F828" s="107" t="str">
        <f aca="false">IF(OR($C828="",$D828=0),"",$E828/$D828)</f>
        <v/>
      </c>
      <c r="H828" s="0" t="str">
        <f aca="false">IF($C828="","",IF(COUNTIF('مواد المخزون'!$A$2:$A$90,$C828)&gt;0,"نعم","لا (خارج الجرد)"))</f>
        <v/>
      </c>
    </row>
    <row r="829" customFormat="false" ht="15" hidden="false" customHeight="false" outlineLevel="0" collapsed="false">
      <c r="A829" s="103"/>
      <c r="B829" s="104"/>
      <c r="C829" s="104"/>
      <c r="F829" s="107" t="str">
        <f aca="false">IF(OR($C829="",$D829=0),"",$E829/$D829)</f>
        <v/>
      </c>
      <c r="H829" s="0" t="str">
        <f aca="false">IF($C829="","",IF(COUNTIF('مواد المخزون'!$A$2:$A$90,$C829)&gt;0,"نعم","لا (خارج الجرد)"))</f>
        <v/>
      </c>
    </row>
    <row r="830" customFormat="false" ht="15" hidden="false" customHeight="false" outlineLevel="0" collapsed="false">
      <c r="A830" s="103"/>
      <c r="B830" s="104"/>
      <c r="C830" s="104"/>
      <c r="F830" s="107" t="str">
        <f aca="false">IF(OR($C830="",$D830=0),"",$E830/$D830)</f>
        <v/>
      </c>
      <c r="H830" s="0" t="str">
        <f aca="false">IF($C830="","",IF(COUNTIF('مواد المخزون'!$A$2:$A$90,$C830)&gt;0,"نعم","لا (خارج الجرد)"))</f>
        <v/>
      </c>
    </row>
    <row r="831" customFormat="false" ht="15" hidden="false" customHeight="false" outlineLevel="0" collapsed="false">
      <c r="A831" s="103"/>
      <c r="B831" s="104"/>
      <c r="C831" s="104"/>
      <c r="F831" s="107" t="str">
        <f aca="false">IF(OR($C831="",$D831=0),"",$E831/$D831)</f>
        <v/>
      </c>
      <c r="H831" s="0" t="str">
        <f aca="false">IF($C831="","",IF(COUNTIF('مواد المخزون'!$A$2:$A$90,$C831)&gt;0,"نعم","لا (خارج الجرد)"))</f>
        <v/>
      </c>
    </row>
    <row r="832" customFormat="false" ht="15" hidden="false" customHeight="false" outlineLevel="0" collapsed="false">
      <c r="A832" s="103"/>
      <c r="B832" s="104"/>
      <c r="C832" s="104"/>
      <c r="F832" s="107" t="str">
        <f aca="false">IF(OR($C832="",$D832=0),"",$E832/$D832)</f>
        <v/>
      </c>
      <c r="H832" s="0" t="str">
        <f aca="false">IF($C832="","",IF(COUNTIF('مواد المخزون'!$A$2:$A$90,$C832)&gt;0,"نعم","لا (خارج الجرد)"))</f>
        <v/>
      </c>
    </row>
    <row r="833" customFormat="false" ht="15" hidden="false" customHeight="false" outlineLevel="0" collapsed="false">
      <c r="A833" s="103"/>
      <c r="B833" s="104"/>
      <c r="C833" s="104"/>
      <c r="F833" s="107" t="str">
        <f aca="false">IF(OR($C833="",$D833=0),"",$E833/$D833)</f>
        <v/>
      </c>
      <c r="H833" s="0" t="str">
        <f aca="false">IF($C833="","",IF(COUNTIF('مواد المخزون'!$A$2:$A$90,$C833)&gt;0,"نعم","لا (خارج الجرد)"))</f>
        <v/>
      </c>
    </row>
    <row r="834" customFormat="false" ht="15" hidden="false" customHeight="false" outlineLevel="0" collapsed="false">
      <c r="A834" s="103"/>
      <c r="B834" s="104"/>
      <c r="C834" s="104"/>
      <c r="F834" s="107" t="str">
        <f aca="false">IF(OR($C834="",$D834=0),"",$E834/$D834)</f>
        <v/>
      </c>
      <c r="H834" s="0" t="str">
        <f aca="false">IF($C834="","",IF(COUNTIF('مواد المخزون'!$A$2:$A$90,$C834)&gt;0,"نعم","لا (خارج الجرد)"))</f>
        <v/>
      </c>
    </row>
    <row r="835" customFormat="false" ht="15" hidden="false" customHeight="false" outlineLevel="0" collapsed="false">
      <c r="A835" s="103"/>
      <c r="B835" s="104"/>
      <c r="C835" s="104"/>
      <c r="F835" s="107" t="str">
        <f aca="false">IF(OR($C835="",$D835=0),"",$E835/$D835)</f>
        <v/>
      </c>
      <c r="H835" s="0" t="str">
        <f aca="false">IF($C835="","",IF(COUNTIF('مواد المخزون'!$A$2:$A$90,$C835)&gt;0,"نعم","لا (خارج الجرد)"))</f>
        <v/>
      </c>
    </row>
    <row r="836" customFormat="false" ht="15" hidden="false" customHeight="false" outlineLevel="0" collapsed="false">
      <c r="A836" s="103"/>
      <c r="B836" s="104"/>
      <c r="C836" s="104"/>
      <c r="F836" s="107" t="str">
        <f aca="false">IF(OR($C836="",$D836=0),"",$E836/$D836)</f>
        <v/>
      </c>
      <c r="H836" s="0" t="str">
        <f aca="false">IF($C836="","",IF(COUNTIF('مواد المخزون'!$A$2:$A$90,$C836)&gt;0,"نعم","لا (خارج الجرد)"))</f>
        <v/>
      </c>
    </row>
    <row r="837" customFormat="false" ht="15" hidden="false" customHeight="false" outlineLevel="0" collapsed="false">
      <c r="A837" s="103"/>
      <c r="B837" s="104"/>
      <c r="C837" s="104"/>
      <c r="F837" s="107" t="str">
        <f aca="false">IF(OR($C837="",$D837=0),"",$E837/$D837)</f>
        <v/>
      </c>
      <c r="H837" s="0" t="str">
        <f aca="false">IF($C837="","",IF(COUNTIF('مواد المخزون'!$A$2:$A$90,$C837)&gt;0,"نعم","لا (خارج الجرد)"))</f>
        <v/>
      </c>
    </row>
    <row r="838" customFormat="false" ht="15" hidden="false" customHeight="false" outlineLevel="0" collapsed="false">
      <c r="A838" s="103"/>
      <c r="B838" s="104"/>
      <c r="C838" s="104"/>
      <c r="F838" s="107" t="str">
        <f aca="false">IF(OR($C838="",$D838=0),"",$E838/$D838)</f>
        <v/>
      </c>
      <c r="H838" s="0" t="str">
        <f aca="false">IF($C838="","",IF(COUNTIF('مواد المخزون'!$A$2:$A$90,$C838)&gt;0,"نعم","لا (خارج الجرد)"))</f>
        <v/>
      </c>
    </row>
    <row r="839" customFormat="false" ht="15" hidden="false" customHeight="false" outlineLevel="0" collapsed="false">
      <c r="A839" s="103"/>
      <c r="B839" s="104"/>
      <c r="C839" s="104"/>
      <c r="F839" s="107" t="str">
        <f aca="false">IF(OR($C839="",$D839=0),"",$E839/$D839)</f>
        <v/>
      </c>
      <c r="H839" s="0" t="str">
        <f aca="false">IF($C839="","",IF(COUNTIF('مواد المخزون'!$A$2:$A$90,$C839)&gt;0,"نعم","لا (خارج الجرد)"))</f>
        <v/>
      </c>
    </row>
    <row r="840" customFormat="false" ht="15" hidden="false" customHeight="false" outlineLevel="0" collapsed="false">
      <c r="A840" s="103"/>
      <c r="B840" s="104"/>
      <c r="C840" s="104"/>
      <c r="F840" s="107" t="str">
        <f aca="false">IF(OR($C840="",$D840=0),"",$E840/$D840)</f>
        <v/>
      </c>
      <c r="H840" s="0" t="str">
        <f aca="false">IF($C840="","",IF(COUNTIF('مواد المخزون'!$A$2:$A$90,$C840)&gt;0,"نعم","لا (خارج الجرد)"))</f>
        <v/>
      </c>
    </row>
    <row r="841" customFormat="false" ht="15" hidden="false" customHeight="false" outlineLevel="0" collapsed="false">
      <c r="A841" s="103"/>
      <c r="B841" s="104"/>
      <c r="C841" s="104"/>
      <c r="F841" s="107" t="str">
        <f aca="false">IF(OR($C841="",$D841=0),"",$E841/$D841)</f>
        <v/>
      </c>
      <c r="H841" s="0" t="str">
        <f aca="false">IF($C841="","",IF(COUNTIF('مواد المخزون'!$A$2:$A$90,$C841)&gt;0,"نعم","لا (خارج الجرد)"))</f>
        <v/>
      </c>
    </row>
    <row r="842" customFormat="false" ht="15" hidden="false" customHeight="false" outlineLevel="0" collapsed="false">
      <c r="A842" s="103"/>
      <c r="B842" s="104"/>
      <c r="C842" s="104"/>
      <c r="F842" s="107" t="str">
        <f aca="false">IF(OR($C842="",$D842=0),"",$E842/$D842)</f>
        <v/>
      </c>
      <c r="H842" s="0" t="str">
        <f aca="false">IF($C842="","",IF(COUNTIF('مواد المخزون'!$A$2:$A$90,$C842)&gt;0,"نعم","لا (خارج الجرد)"))</f>
        <v/>
      </c>
    </row>
    <row r="843" customFormat="false" ht="15" hidden="false" customHeight="false" outlineLevel="0" collapsed="false">
      <c r="A843" s="103"/>
      <c r="B843" s="104"/>
      <c r="C843" s="104"/>
      <c r="F843" s="107" t="str">
        <f aca="false">IF(OR($C843="",$D843=0),"",$E843/$D843)</f>
        <v/>
      </c>
      <c r="H843" s="0" t="str">
        <f aca="false">IF($C843="","",IF(COUNTIF('مواد المخزون'!$A$2:$A$90,$C843)&gt;0,"نعم","لا (خارج الجرد)"))</f>
        <v/>
      </c>
    </row>
    <row r="844" customFormat="false" ht="15" hidden="false" customHeight="false" outlineLevel="0" collapsed="false">
      <c r="A844" s="103"/>
      <c r="B844" s="104"/>
      <c r="C844" s="104"/>
      <c r="F844" s="107" t="str">
        <f aca="false">IF(OR($C844="",$D844=0),"",$E844/$D844)</f>
        <v/>
      </c>
      <c r="H844" s="0" t="str">
        <f aca="false">IF($C844="","",IF(COUNTIF('مواد المخزون'!$A$2:$A$90,$C844)&gt;0,"نعم","لا (خارج الجرد)"))</f>
        <v/>
      </c>
    </row>
    <row r="845" customFormat="false" ht="15" hidden="false" customHeight="false" outlineLevel="0" collapsed="false">
      <c r="A845" s="103"/>
      <c r="B845" s="104"/>
      <c r="C845" s="104"/>
      <c r="F845" s="107" t="str">
        <f aca="false">IF(OR($C845="",$D845=0),"",$E845/$D845)</f>
        <v/>
      </c>
      <c r="H845" s="0" t="str">
        <f aca="false">IF($C845="","",IF(COUNTIF('مواد المخزون'!$A$2:$A$90,$C845)&gt;0,"نعم","لا (خارج الجرد)"))</f>
        <v/>
      </c>
    </row>
    <row r="846" customFormat="false" ht="15" hidden="false" customHeight="false" outlineLevel="0" collapsed="false">
      <c r="A846" s="103"/>
      <c r="B846" s="104"/>
      <c r="C846" s="104"/>
      <c r="F846" s="107" t="str">
        <f aca="false">IF(OR($C846="",$D846=0),"",$E846/$D846)</f>
        <v/>
      </c>
      <c r="H846" s="0" t="str">
        <f aca="false">IF($C846="","",IF(COUNTIF('مواد المخزون'!$A$2:$A$90,$C846)&gt;0,"نعم","لا (خارج الجرد)"))</f>
        <v/>
      </c>
    </row>
    <row r="847" customFormat="false" ht="15" hidden="false" customHeight="false" outlineLevel="0" collapsed="false">
      <c r="A847" s="103"/>
      <c r="B847" s="104"/>
      <c r="C847" s="104"/>
      <c r="F847" s="107" t="str">
        <f aca="false">IF(OR($C847="",$D847=0),"",$E847/$D847)</f>
        <v/>
      </c>
      <c r="H847" s="0" t="str">
        <f aca="false">IF($C847="","",IF(COUNTIF('مواد المخزون'!$A$2:$A$90,$C847)&gt;0,"نعم","لا (خارج الجرد)"))</f>
        <v/>
      </c>
    </row>
    <row r="848" customFormat="false" ht="15" hidden="false" customHeight="false" outlineLevel="0" collapsed="false">
      <c r="A848" s="103"/>
      <c r="B848" s="104"/>
      <c r="C848" s="104"/>
      <c r="F848" s="107" t="str">
        <f aca="false">IF(OR($C848="",$D848=0),"",$E848/$D848)</f>
        <v/>
      </c>
      <c r="H848" s="0" t="str">
        <f aca="false">IF($C848="","",IF(COUNTIF('مواد المخزون'!$A$2:$A$90,$C848)&gt;0,"نعم","لا (خارج الجرد)"))</f>
        <v/>
      </c>
    </row>
    <row r="849" customFormat="false" ht="15" hidden="false" customHeight="false" outlineLevel="0" collapsed="false">
      <c r="A849" s="103"/>
      <c r="B849" s="104"/>
      <c r="C849" s="104"/>
      <c r="F849" s="107" t="str">
        <f aca="false">IF(OR($C849="",$D849=0),"",$E849/$D849)</f>
        <v/>
      </c>
      <c r="H849" s="0" t="str">
        <f aca="false">IF($C849="","",IF(COUNTIF('مواد المخزون'!$A$2:$A$90,$C849)&gt;0,"نعم","لا (خارج الجرد)"))</f>
        <v/>
      </c>
    </row>
    <row r="850" customFormat="false" ht="15" hidden="false" customHeight="false" outlineLevel="0" collapsed="false">
      <c r="A850" s="103"/>
      <c r="B850" s="104"/>
      <c r="C850" s="104"/>
      <c r="F850" s="107" t="str">
        <f aca="false">IF(OR($C850="",$D850=0),"",$E850/$D850)</f>
        <v/>
      </c>
      <c r="H850" s="0" t="str">
        <f aca="false">IF($C850="","",IF(COUNTIF('مواد المخزون'!$A$2:$A$90,$C850)&gt;0,"نعم","لا (خارج الجرد)"))</f>
        <v/>
      </c>
    </row>
    <row r="851" customFormat="false" ht="15" hidden="false" customHeight="false" outlineLevel="0" collapsed="false">
      <c r="A851" s="103"/>
      <c r="B851" s="104"/>
      <c r="C851" s="104"/>
      <c r="F851" s="107" t="str">
        <f aca="false">IF(OR($C851="",$D851=0),"",$E851/$D851)</f>
        <v/>
      </c>
      <c r="H851" s="0" t="str">
        <f aca="false">IF($C851="","",IF(COUNTIF('مواد المخزون'!$A$2:$A$90,$C851)&gt;0,"نعم","لا (خارج الجرد)"))</f>
        <v/>
      </c>
    </row>
    <row r="852" customFormat="false" ht="15" hidden="false" customHeight="false" outlineLevel="0" collapsed="false">
      <c r="A852" s="103"/>
      <c r="B852" s="104"/>
      <c r="C852" s="104"/>
      <c r="F852" s="107" t="str">
        <f aca="false">IF(OR($C852="",$D852=0),"",$E852/$D852)</f>
        <v/>
      </c>
      <c r="H852" s="0" t="str">
        <f aca="false">IF($C852="","",IF(COUNTIF('مواد المخزون'!$A$2:$A$90,$C852)&gt;0,"نعم","لا (خارج الجرد)"))</f>
        <v/>
      </c>
    </row>
    <row r="853" customFormat="false" ht="15" hidden="false" customHeight="false" outlineLevel="0" collapsed="false">
      <c r="A853" s="103"/>
      <c r="B853" s="104"/>
      <c r="C853" s="104"/>
      <c r="F853" s="107" t="str">
        <f aca="false">IF(OR($C853="",$D853=0),"",$E853/$D853)</f>
        <v/>
      </c>
      <c r="H853" s="0" t="str">
        <f aca="false">IF($C853="","",IF(COUNTIF('مواد المخزون'!$A$2:$A$90,$C853)&gt;0,"نعم","لا (خارج الجرد)"))</f>
        <v/>
      </c>
    </row>
    <row r="854" customFormat="false" ht="15" hidden="false" customHeight="false" outlineLevel="0" collapsed="false">
      <c r="A854" s="103"/>
      <c r="B854" s="104"/>
      <c r="C854" s="104"/>
      <c r="F854" s="107" t="str">
        <f aca="false">IF(OR($C854="",$D854=0),"",$E854/$D854)</f>
        <v/>
      </c>
      <c r="H854" s="0" t="str">
        <f aca="false">IF($C854="","",IF(COUNTIF('مواد المخزون'!$A$2:$A$90,$C854)&gt;0,"نعم","لا (خارج الجرد)"))</f>
        <v/>
      </c>
    </row>
    <row r="855" customFormat="false" ht="15" hidden="false" customHeight="false" outlineLevel="0" collapsed="false">
      <c r="A855" s="103"/>
      <c r="B855" s="104"/>
      <c r="C855" s="104"/>
      <c r="F855" s="107" t="str">
        <f aca="false">IF(OR($C855="",$D855=0),"",$E855/$D855)</f>
        <v/>
      </c>
      <c r="H855" s="0" t="str">
        <f aca="false">IF($C855="","",IF(COUNTIF('مواد المخزون'!$A$2:$A$90,$C855)&gt;0,"نعم","لا (خارج الجرد)"))</f>
        <v/>
      </c>
    </row>
    <row r="856" customFormat="false" ht="15" hidden="false" customHeight="false" outlineLevel="0" collapsed="false">
      <c r="A856" s="103"/>
      <c r="B856" s="104"/>
      <c r="C856" s="104"/>
      <c r="F856" s="107" t="str">
        <f aca="false">IF(OR($C856="",$D856=0),"",$E856/$D856)</f>
        <v/>
      </c>
      <c r="H856" s="0" t="str">
        <f aca="false">IF($C856="","",IF(COUNTIF('مواد المخزون'!$A$2:$A$90,$C856)&gt;0,"نعم","لا (خارج الجرد)"))</f>
        <v/>
      </c>
    </row>
    <row r="857" customFormat="false" ht="15" hidden="false" customHeight="false" outlineLevel="0" collapsed="false">
      <c r="A857" s="103"/>
      <c r="B857" s="104"/>
      <c r="C857" s="104"/>
      <c r="F857" s="107" t="str">
        <f aca="false">IF(OR($C857="",$D857=0),"",$E857/$D857)</f>
        <v/>
      </c>
      <c r="H857" s="0" t="str">
        <f aca="false">IF($C857="","",IF(COUNTIF('مواد المخزون'!$A$2:$A$90,$C857)&gt;0,"نعم","لا (خارج الجرد)"))</f>
        <v/>
      </c>
    </row>
    <row r="858" customFormat="false" ht="15" hidden="false" customHeight="false" outlineLevel="0" collapsed="false">
      <c r="A858" s="103"/>
      <c r="B858" s="104"/>
      <c r="C858" s="104"/>
      <c r="F858" s="107" t="str">
        <f aca="false">IF(OR($C858="",$D858=0),"",$E858/$D858)</f>
        <v/>
      </c>
      <c r="H858" s="0" t="str">
        <f aca="false">IF($C858="","",IF(COUNTIF('مواد المخزون'!$A$2:$A$90,$C858)&gt;0,"نعم","لا (خارج الجرد)"))</f>
        <v/>
      </c>
    </row>
    <row r="859" customFormat="false" ht="15" hidden="false" customHeight="false" outlineLevel="0" collapsed="false">
      <c r="A859" s="103"/>
      <c r="B859" s="104"/>
      <c r="C859" s="104"/>
      <c r="F859" s="107" t="str">
        <f aca="false">IF(OR($C859="",$D859=0),"",$E859/$D859)</f>
        <v/>
      </c>
      <c r="H859" s="0" t="str">
        <f aca="false">IF($C859="","",IF(COUNTIF('مواد المخزون'!$A$2:$A$90,$C859)&gt;0,"نعم","لا (خارج الجرد)"))</f>
        <v/>
      </c>
    </row>
    <row r="860" customFormat="false" ht="15" hidden="false" customHeight="false" outlineLevel="0" collapsed="false">
      <c r="A860" s="103"/>
      <c r="B860" s="104"/>
      <c r="C860" s="104"/>
      <c r="F860" s="107" t="str">
        <f aca="false">IF(OR($C860="",$D860=0),"",$E860/$D860)</f>
        <v/>
      </c>
      <c r="H860" s="0" t="str">
        <f aca="false">IF($C860="","",IF(COUNTIF('مواد المخزون'!$A$2:$A$90,$C860)&gt;0,"نعم","لا (خارج الجرد)"))</f>
        <v/>
      </c>
    </row>
    <row r="861" customFormat="false" ht="15" hidden="false" customHeight="false" outlineLevel="0" collapsed="false">
      <c r="A861" s="103"/>
      <c r="B861" s="104"/>
      <c r="C861" s="104"/>
      <c r="F861" s="107" t="str">
        <f aca="false">IF(OR($C861="",$D861=0),"",$E861/$D861)</f>
        <v/>
      </c>
      <c r="H861" s="0" t="str">
        <f aca="false">IF($C861="","",IF(COUNTIF('مواد المخزون'!$A$2:$A$90,$C861)&gt;0,"نعم","لا (خارج الجرد)"))</f>
        <v/>
      </c>
    </row>
    <row r="862" customFormat="false" ht="15" hidden="false" customHeight="false" outlineLevel="0" collapsed="false">
      <c r="A862" s="103"/>
      <c r="B862" s="104"/>
      <c r="C862" s="104"/>
      <c r="F862" s="107" t="str">
        <f aca="false">IF(OR($C862="",$D862=0),"",$E862/$D862)</f>
        <v/>
      </c>
      <c r="H862" s="0" t="str">
        <f aca="false">IF($C862="","",IF(COUNTIF('مواد المخزون'!$A$2:$A$90,$C862)&gt;0,"نعم","لا (خارج الجرد)"))</f>
        <v/>
      </c>
    </row>
    <row r="863" customFormat="false" ht="15" hidden="false" customHeight="false" outlineLevel="0" collapsed="false">
      <c r="A863" s="103"/>
      <c r="B863" s="104"/>
      <c r="C863" s="104"/>
      <c r="F863" s="107" t="str">
        <f aca="false">IF(OR($C863="",$D863=0),"",$E863/$D863)</f>
        <v/>
      </c>
      <c r="H863" s="0" t="str">
        <f aca="false">IF($C863="","",IF(COUNTIF('مواد المخزون'!$A$2:$A$90,$C863)&gt;0,"نعم","لا (خارج الجرد)"))</f>
        <v/>
      </c>
    </row>
    <row r="864" customFormat="false" ht="15" hidden="false" customHeight="false" outlineLevel="0" collapsed="false">
      <c r="A864" s="103"/>
      <c r="B864" s="104"/>
      <c r="C864" s="104"/>
      <c r="F864" s="107" t="str">
        <f aca="false">IF(OR($C864="",$D864=0),"",$E864/$D864)</f>
        <v/>
      </c>
      <c r="H864" s="0" t="str">
        <f aca="false">IF($C864="","",IF(COUNTIF('مواد المخزون'!$A$2:$A$90,$C864)&gt;0,"نعم","لا (خارج الجرد)"))</f>
        <v/>
      </c>
    </row>
    <row r="865" customFormat="false" ht="15" hidden="false" customHeight="false" outlineLevel="0" collapsed="false">
      <c r="A865" s="103"/>
      <c r="B865" s="104"/>
      <c r="C865" s="104"/>
      <c r="F865" s="107" t="str">
        <f aca="false">IF(OR($C865="",$D865=0),"",$E865/$D865)</f>
        <v/>
      </c>
      <c r="H865" s="0" t="str">
        <f aca="false">IF($C865="","",IF(COUNTIF('مواد المخزون'!$A$2:$A$90,$C865)&gt;0,"نعم","لا (خارج الجرد)"))</f>
        <v/>
      </c>
    </row>
    <row r="866" customFormat="false" ht="15" hidden="false" customHeight="false" outlineLevel="0" collapsed="false">
      <c r="A866" s="103"/>
      <c r="B866" s="104"/>
      <c r="C866" s="104"/>
      <c r="F866" s="107" t="str">
        <f aca="false">IF(OR($C866="",$D866=0),"",$E866/$D866)</f>
        <v/>
      </c>
      <c r="H866" s="0" t="str">
        <f aca="false">IF($C866="","",IF(COUNTIF('مواد المخزون'!$A$2:$A$90,$C866)&gt;0,"نعم","لا (خارج الجرد)"))</f>
        <v/>
      </c>
    </row>
    <row r="867" customFormat="false" ht="15" hidden="false" customHeight="false" outlineLevel="0" collapsed="false">
      <c r="A867" s="103"/>
      <c r="B867" s="104"/>
      <c r="C867" s="104"/>
      <c r="F867" s="107" t="str">
        <f aca="false">IF(OR($C867="",$D867=0),"",$E867/$D867)</f>
        <v/>
      </c>
      <c r="H867" s="0" t="str">
        <f aca="false">IF($C867="","",IF(COUNTIF('مواد المخزون'!$A$2:$A$90,$C867)&gt;0,"نعم","لا (خارج الجرد)"))</f>
        <v/>
      </c>
    </row>
    <row r="868" customFormat="false" ht="15" hidden="false" customHeight="false" outlineLevel="0" collapsed="false">
      <c r="A868" s="103"/>
      <c r="B868" s="104"/>
      <c r="C868" s="104"/>
      <c r="F868" s="107" t="str">
        <f aca="false">IF(OR($C868="",$D868=0),"",$E868/$D868)</f>
        <v/>
      </c>
      <c r="H868" s="0" t="str">
        <f aca="false">IF($C868="","",IF(COUNTIF('مواد المخزون'!$A$2:$A$90,$C868)&gt;0,"نعم","لا (خارج الجرد)"))</f>
        <v/>
      </c>
    </row>
    <row r="869" customFormat="false" ht="15" hidden="false" customHeight="false" outlineLevel="0" collapsed="false">
      <c r="A869" s="103"/>
      <c r="B869" s="104"/>
      <c r="C869" s="104"/>
      <c r="F869" s="107" t="str">
        <f aca="false">IF(OR($C869="",$D869=0),"",$E869/$D869)</f>
        <v/>
      </c>
      <c r="H869" s="0" t="str">
        <f aca="false">IF($C869="","",IF(COUNTIF('مواد المخزون'!$A$2:$A$90,$C869)&gt;0,"نعم","لا (خارج الجرد)"))</f>
        <v/>
      </c>
    </row>
    <row r="870" customFormat="false" ht="15" hidden="false" customHeight="false" outlineLevel="0" collapsed="false">
      <c r="A870" s="103"/>
      <c r="B870" s="104"/>
      <c r="C870" s="104"/>
      <c r="F870" s="107" t="str">
        <f aca="false">IF(OR($C870="",$D870=0),"",$E870/$D870)</f>
        <v/>
      </c>
      <c r="H870" s="0" t="str">
        <f aca="false">IF($C870="","",IF(COUNTIF('مواد المخزون'!$A$2:$A$90,$C870)&gt;0,"نعم","لا (خارج الجرد)"))</f>
        <v/>
      </c>
    </row>
    <row r="871" customFormat="false" ht="15" hidden="false" customHeight="false" outlineLevel="0" collapsed="false">
      <c r="A871" s="103"/>
      <c r="B871" s="104"/>
      <c r="C871" s="104"/>
      <c r="F871" s="107" t="str">
        <f aca="false">IF(OR($C871="",$D871=0),"",$E871/$D871)</f>
        <v/>
      </c>
      <c r="H871" s="0" t="str">
        <f aca="false">IF($C871="","",IF(COUNTIF('مواد المخزون'!$A$2:$A$90,$C871)&gt;0,"نعم","لا (خارج الجرد)"))</f>
        <v/>
      </c>
    </row>
    <row r="872" customFormat="false" ht="15" hidden="false" customHeight="false" outlineLevel="0" collapsed="false">
      <c r="A872" s="103"/>
      <c r="B872" s="104"/>
      <c r="C872" s="104"/>
      <c r="F872" s="107" t="str">
        <f aca="false">IF(OR($C872="",$D872=0),"",$E872/$D872)</f>
        <v/>
      </c>
      <c r="H872" s="0" t="str">
        <f aca="false">IF($C872="","",IF(COUNTIF('مواد المخزون'!$A$2:$A$90,$C872)&gt;0,"نعم","لا (خارج الجرد)"))</f>
        <v/>
      </c>
    </row>
    <row r="873" customFormat="false" ht="15" hidden="false" customHeight="false" outlineLevel="0" collapsed="false">
      <c r="A873" s="103"/>
      <c r="B873" s="104"/>
      <c r="C873" s="104"/>
      <c r="F873" s="107" t="str">
        <f aca="false">IF(OR($C873="",$D873=0),"",$E873/$D873)</f>
        <v/>
      </c>
      <c r="H873" s="0" t="str">
        <f aca="false">IF($C873="","",IF(COUNTIF('مواد المخزون'!$A$2:$A$90,$C873)&gt;0,"نعم","لا (خارج الجرد)"))</f>
        <v/>
      </c>
    </row>
    <row r="874" customFormat="false" ht="15" hidden="false" customHeight="false" outlineLevel="0" collapsed="false">
      <c r="A874" s="103"/>
      <c r="B874" s="104"/>
      <c r="C874" s="104"/>
      <c r="F874" s="107" t="str">
        <f aca="false">IF(OR($C874="",$D874=0),"",$E874/$D874)</f>
        <v/>
      </c>
      <c r="H874" s="0" t="str">
        <f aca="false">IF($C874="","",IF(COUNTIF('مواد المخزون'!$A$2:$A$90,$C874)&gt;0,"نعم","لا (خارج الجرد)"))</f>
        <v/>
      </c>
    </row>
    <row r="875" customFormat="false" ht="15" hidden="false" customHeight="false" outlineLevel="0" collapsed="false">
      <c r="A875" s="103"/>
      <c r="B875" s="104"/>
      <c r="C875" s="104"/>
      <c r="F875" s="107" t="str">
        <f aca="false">IF(OR($C875="",$D875=0),"",$E875/$D875)</f>
        <v/>
      </c>
      <c r="H875" s="0" t="str">
        <f aca="false">IF($C875="","",IF(COUNTIF('مواد المخزون'!$A$2:$A$90,$C875)&gt;0,"نعم","لا (خارج الجرد)"))</f>
        <v/>
      </c>
    </row>
    <row r="876" customFormat="false" ht="15" hidden="false" customHeight="false" outlineLevel="0" collapsed="false">
      <c r="A876" s="103"/>
      <c r="B876" s="104"/>
      <c r="C876" s="104"/>
      <c r="F876" s="107" t="str">
        <f aca="false">IF(OR($C876="",$D876=0),"",$E876/$D876)</f>
        <v/>
      </c>
      <c r="H876" s="0" t="str">
        <f aca="false">IF($C876="","",IF(COUNTIF('مواد المخزون'!$A$2:$A$90,$C876)&gt;0,"نعم","لا (خارج الجرد)"))</f>
        <v/>
      </c>
    </row>
    <row r="877" customFormat="false" ht="15" hidden="false" customHeight="false" outlineLevel="0" collapsed="false">
      <c r="A877" s="103"/>
      <c r="B877" s="104"/>
      <c r="C877" s="104"/>
      <c r="F877" s="107" t="str">
        <f aca="false">IF(OR($C877="",$D877=0),"",$E877/$D877)</f>
        <v/>
      </c>
      <c r="H877" s="0" t="str">
        <f aca="false">IF($C877="","",IF(COUNTIF('مواد المخزون'!$A$2:$A$90,$C877)&gt;0,"نعم","لا (خارج الجرد)"))</f>
        <v/>
      </c>
    </row>
    <row r="878" customFormat="false" ht="15" hidden="false" customHeight="false" outlineLevel="0" collapsed="false">
      <c r="A878" s="103"/>
      <c r="B878" s="104"/>
      <c r="C878" s="104"/>
      <c r="F878" s="107" t="str">
        <f aca="false">IF(OR($C878="",$D878=0),"",$E878/$D878)</f>
        <v/>
      </c>
      <c r="H878" s="0" t="str">
        <f aca="false">IF($C878="","",IF(COUNTIF('مواد المخزون'!$A$2:$A$90,$C878)&gt;0,"نعم","لا (خارج الجرد)"))</f>
        <v/>
      </c>
    </row>
    <row r="879" customFormat="false" ht="15" hidden="false" customHeight="false" outlineLevel="0" collapsed="false">
      <c r="A879" s="103"/>
      <c r="B879" s="104"/>
      <c r="C879" s="104"/>
      <c r="F879" s="107" t="str">
        <f aca="false">IF(OR($C879="",$D879=0),"",$E879/$D879)</f>
        <v/>
      </c>
      <c r="H879" s="0" t="str">
        <f aca="false">IF($C879="","",IF(COUNTIF('مواد المخزون'!$A$2:$A$90,$C879)&gt;0,"نعم","لا (خارج الجرد)"))</f>
        <v/>
      </c>
    </row>
    <row r="880" customFormat="false" ht="15" hidden="false" customHeight="false" outlineLevel="0" collapsed="false">
      <c r="A880" s="103"/>
      <c r="B880" s="104"/>
      <c r="C880" s="104"/>
      <c r="F880" s="107" t="str">
        <f aca="false">IF(OR($C880="",$D880=0),"",$E880/$D880)</f>
        <v/>
      </c>
      <c r="H880" s="0" t="str">
        <f aca="false">IF($C880="","",IF(COUNTIF('مواد المخزون'!$A$2:$A$90,$C880)&gt;0,"نعم","لا (خارج الجرد)"))</f>
        <v/>
      </c>
    </row>
    <row r="881" customFormat="false" ht="15" hidden="false" customHeight="false" outlineLevel="0" collapsed="false">
      <c r="A881" s="103"/>
      <c r="B881" s="104"/>
      <c r="C881" s="104"/>
      <c r="F881" s="107" t="str">
        <f aca="false">IF(OR($C881="",$D881=0),"",$E881/$D881)</f>
        <v/>
      </c>
      <c r="H881" s="0" t="str">
        <f aca="false">IF($C881="","",IF(COUNTIF('مواد المخزون'!$A$2:$A$90,$C881)&gt;0,"نعم","لا (خارج الجرد)"))</f>
        <v/>
      </c>
    </row>
    <row r="882" customFormat="false" ht="15" hidden="false" customHeight="false" outlineLevel="0" collapsed="false">
      <c r="A882" s="103"/>
      <c r="B882" s="104"/>
      <c r="C882" s="104"/>
      <c r="F882" s="107" t="str">
        <f aca="false">IF(OR($C882="",$D882=0),"",$E882/$D882)</f>
        <v/>
      </c>
      <c r="H882" s="0" t="str">
        <f aca="false">IF($C882="","",IF(COUNTIF('مواد المخزون'!$A$2:$A$90,$C882)&gt;0,"نعم","لا (خارج الجرد)"))</f>
        <v/>
      </c>
    </row>
    <row r="883" customFormat="false" ht="15" hidden="false" customHeight="false" outlineLevel="0" collapsed="false">
      <c r="A883" s="103"/>
      <c r="B883" s="104"/>
      <c r="C883" s="104"/>
      <c r="F883" s="107" t="str">
        <f aca="false">IF(OR($C883="",$D883=0),"",$E883/$D883)</f>
        <v/>
      </c>
      <c r="H883" s="0" t="str">
        <f aca="false">IF($C883="","",IF(COUNTIF('مواد المخزون'!$A$2:$A$90,$C883)&gt;0,"نعم","لا (خارج الجرد)"))</f>
        <v/>
      </c>
    </row>
    <row r="884" customFormat="false" ht="15" hidden="false" customHeight="false" outlineLevel="0" collapsed="false">
      <c r="A884" s="103"/>
      <c r="B884" s="104"/>
      <c r="C884" s="104"/>
      <c r="F884" s="107" t="str">
        <f aca="false">IF(OR($C884="",$D884=0),"",$E884/$D884)</f>
        <v/>
      </c>
      <c r="H884" s="0" t="str">
        <f aca="false">IF($C884="","",IF(COUNTIF('مواد المخزون'!$A$2:$A$90,$C884)&gt;0,"نعم","لا (خارج الجرد)"))</f>
        <v/>
      </c>
    </row>
    <row r="885" customFormat="false" ht="15" hidden="false" customHeight="false" outlineLevel="0" collapsed="false">
      <c r="A885" s="103"/>
      <c r="B885" s="104"/>
      <c r="C885" s="104"/>
      <c r="F885" s="107" t="str">
        <f aca="false">IF(OR($C885="",$D885=0),"",$E885/$D885)</f>
        <v/>
      </c>
      <c r="H885" s="0" t="str">
        <f aca="false">IF($C885="","",IF(COUNTIF('مواد المخزون'!$A$2:$A$90,$C885)&gt;0,"نعم","لا (خارج الجرد)"))</f>
        <v/>
      </c>
    </row>
    <row r="886" customFormat="false" ht="15" hidden="false" customHeight="false" outlineLevel="0" collapsed="false">
      <c r="A886" s="103"/>
      <c r="B886" s="104"/>
      <c r="C886" s="104"/>
      <c r="F886" s="107" t="str">
        <f aca="false">IF(OR($C886="",$D886=0),"",$E886/$D886)</f>
        <v/>
      </c>
      <c r="H886" s="0" t="str">
        <f aca="false">IF($C886="","",IF(COUNTIF('مواد المخزون'!$A$2:$A$90,$C886)&gt;0,"نعم","لا (خارج الجرد)"))</f>
        <v/>
      </c>
    </row>
    <row r="887" customFormat="false" ht="15" hidden="false" customHeight="false" outlineLevel="0" collapsed="false">
      <c r="A887" s="103"/>
      <c r="B887" s="104"/>
      <c r="C887" s="104"/>
      <c r="F887" s="107" t="str">
        <f aca="false">IF(OR($C887="",$D887=0),"",$E887/$D887)</f>
        <v/>
      </c>
      <c r="H887" s="0" t="str">
        <f aca="false">IF($C887="","",IF(COUNTIF('مواد المخزون'!$A$2:$A$90,$C887)&gt;0,"نعم","لا (خارج الجرد)"))</f>
        <v/>
      </c>
    </row>
    <row r="888" customFormat="false" ht="15" hidden="false" customHeight="false" outlineLevel="0" collapsed="false">
      <c r="A888" s="103"/>
      <c r="B888" s="104"/>
      <c r="C888" s="104"/>
      <c r="F888" s="107" t="str">
        <f aca="false">IF(OR($C888="",$D888=0),"",$E888/$D888)</f>
        <v/>
      </c>
      <c r="H888" s="0" t="str">
        <f aca="false">IF($C888="","",IF(COUNTIF('مواد المخزون'!$A$2:$A$90,$C888)&gt;0,"نعم","لا (خارج الجرد)"))</f>
        <v/>
      </c>
    </row>
    <row r="889" customFormat="false" ht="15" hidden="false" customHeight="false" outlineLevel="0" collapsed="false">
      <c r="A889" s="103"/>
      <c r="B889" s="104"/>
      <c r="C889" s="104"/>
      <c r="F889" s="107" t="str">
        <f aca="false">IF(OR($C889="",$D889=0),"",$E889/$D889)</f>
        <v/>
      </c>
      <c r="H889" s="0" t="str">
        <f aca="false">IF($C889="","",IF(COUNTIF('مواد المخزون'!$A$2:$A$90,$C889)&gt;0,"نعم","لا (خارج الجرد)"))</f>
        <v/>
      </c>
    </row>
    <row r="890" customFormat="false" ht="15" hidden="false" customHeight="false" outlineLevel="0" collapsed="false">
      <c r="A890" s="103"/>
      <c r="B890" s="104"/>
      <c r="C890" s="104"/>
      <c r="F890" s="107" t="str">
        <f aca="false">IF(OR($C890="",$D890=0),"",$E890/$D890)</f>
        <v/>
      </c>
      <c r="H890" s="0" t="str">
        <f aca="false">IF($C890="","",IF(COUNTIF('مواد المخزون'!$A$2:$A$90,$C890)&gt;0,"نعم","لا (خارج الجرد)"))</f>
        <v/>
      </c>
    </row>
    <row r="891" customFormat="false" ht="15" hidden="false" customHeight="false" outlineLevel="0" collapsed="false">
      <c r="A891" s="103"/>
      <c r="B891" s="104"/>
      <c r="C891" s="104"/>
      <c r="F891" s="107" t="str">
        <f aca="false">IF(OR($C891="",$D891=0),"",$E891/$D891)</f>
        <v/>
      </c>
      <c r="H891" s="0" t="str">
        <f aca="false">IF($C891="","",IF(COUNTIF('مواد المخزون'!$A$2:$A$90,$C891)&gt;0,"نعم","لا (خارج الجرد)"))</f>
        <v/>
      </c>
    </row>
    <row r="892" customFormat="false" ht="15" hidden="false" customHeight="false" outlineLevel="0" collapsed="false">
      <c r="A892" s="103"/>
      <c r="B892" s="104"/>
      <c r="C892" s="104"/>
      <c r="F892" s="107" t="str">
        <f aca="false">IF(OR($C892="",$D892=0),"",$E892/$D892)</f>
        <v/>
      </c>
      <c r="H892" s="0" t="str">
        <f aca="false">IF($C892="","",IF(COUNTIF('مواد المخزون'!$A$2:$A$90,$C892)&gt;0,"نعم","لا (خارج الجرد)"))</f>
        <v/>
      </c>
    </row>
    <row r="893" customFormat="false" ht="15" hidden="false" customHeight="false" outlineLevel="0" collapsed="false">
      <c r="A893" s="103"/>
      <c r="B893" s="104"/>
      <c r="C893" s="104"/>
      <c r="F893" s="107" t="str">
        <f aca="false">IF(OR($C893="",$D893=0),"",$E893/$D893)</f>
        <v/>
      </c>
      <c r="H893" s="0" t="str">
        <f aca="false">IF($C893="","",IF(COUNTIF('مواد المخزون'!$A$2:$A$90,$C893)&gt;0,"نعم","لا (خارج الجرد)"))</f>
        <v/>
      </c>
    </row>
    <row r="894" customFormat="false" ht="15" hidden="false" customHeight="false" outlineLevel="0" collapsed="false">
      <c r="A894" s="103"/>
      <c r="B894" s="104"/>
      <c r="C894" s="104"/>
      <c r="F894" s="107" t="str">
        <f aca="false">IF(OR($C894="",$D894=0),"",$E894/$D894)</f>
        <v/>
      </c>
      <c r="H894" s="0" t="str">
        <f aca="false">IF($C894="","",IF(COUNTIF('مواد المخزون'!$A$2:$A$90,$C894)&gt;0,"نعم","لا (خارج الجرد)"))</f>
        <v/>
      </c>
    </row>
    <row r="895" customFormat="false" ht="15" hidden="false" customHeight="false" outlineLevel="0" collapsed="false">
      <c r="A895" s="103"/>
      <c r="B895" s="104"/>
      <c r="C895" s="104"/>
      <c r="F895" s="107" t="str">
        <f aca="false">IF(OR($C895="",$D895=0),"",$E895/$D895)</f>
        <v/>
      </c>
      <c r="H895" s="0" t="str">
        <f aca="false">IF($C895="","",IF(COUNTIF('مواد المخزون'!$A$2:$A$90,$C895)&gt;0,"نعم","لا (خارج الجرد)"))</f>
        <v/>
      </c>
    </row>
    <row r="896" customFormat="false" ht="15" hidden="false" customHeight="false" outlineLevel="0" collapsed="false">
      <c r="A896" s="103"/>
      <c r="B896" s="104"/>
      <c r="C896" s="104"/>
      <c r="F896" s="107" t="str">
        <f aca="false">IF(OR($C896="",$D896=0),"",$E896/$D896)</f>
        <v/>
      </c>
      <c r="H896" s="0" t="str">
        <f aca="false">IF($C896="","",IF(COUNTIF('مواد المخزون'!$A$2:$A$90,$C896)&gt;0,"نعم","لا (خارج الجرد)"))</f>
        <v/>
      </c>
    </row>
    <row r="897" customFormat="false" ht="15" hidden="false" customHeight="false" outlineLevel="0" collapsed="false">
      <c r="A897" s="103"/>
      <c r="B897" s="104"/>
      <c r="C897" s="104"/>
      <c r="F897" s="107" t="str">
        <f aca="false">IF(OR($C897="",$D897=0),"",$E897/$D897)</f>
        <v/>
      </c>
      <c r="H897" s="0" t="str">
        <f aca="false">IF($C897="","",IF(COUNTIF('مواد المخزون'!$A$2:$A$90,$C897)&gt;0,"نعم","لا (خارج الجرد)"))</f>
        <v/>
      </c>
    </row>
    <row r="898" customFormat="false" ht="15" hidden="false" customHeight="false" outlineLevel="0" collapsed="false">
      <c r="A898" s="103"/>
      <c r="B898" s="104"/>
      <c r="C898" s="104"/>
      <c r="F898" s="107" t="str">
        <f aca="false">IF(OR($C898="",$D898=0),"",$E898/$D898)</f>
        <v/>
      </c>
      <c r="H898" s="0" t="str">
        <f aca="false">IF($C898="","",IF(COUNTIF('مواد المخزون'!$A$2:$A$90,$C898)&gt;0,"نعم","لا (خارج الجرد)"))</f>
        <v/>
      </c>
    </row>
    <row r="899" customFormat="false" ht="15" hidden="false" customHeight="false" outlineLevel="0" collapsed="false">
      <c r="A899" s="103"/>
      <c r="B899" s="104"/>
      <c r="C899" s="104"/>
      <c r="F899" s="107" t="str">
        <f aca="false">IF(OR($C899="",$D899=0),"",$E899/$D899)</f>
        <v/>
      </c>
      <c r="H899" s="0" t="str">
        <f aca="false">IF($C899="","",IF(COUNTIF('مواد المخزون'!$A$2:$A$90,$C899)&gt;0,"نعم","لا (خارج الجرد)"))</f>
        <v/>
      </c>
    </row>
    <row r="900" customFormat="false" ht="15" hidden="false" customHeight="false" outlineLevel="0" collapsed="false">
      <c r="A900" s="103"/>
      <c r="B900" s="104"/>
      <c r="C900" s="104"/>
      <c r="F900" s="107" t="str">
        <f aca="false">IF(OR($C900="",$D900=0),"",$E900/$D900)</f>
        <v/>
      </c>
      <c r="H900" s="0" t="str">
        <f aca="false">IF($C900="","",IF(COUNTIF('مواد المخزون'!$A$2:$A$90,$C900)&gt;0,"نعم","لا (خارج الجرد)"))</f>
        <v/>
      </c>
    </row>
    <row r="901" customFormat="false" ht="15" hidden="false" customHeight="false" outlineLevel="0" collapsed="false">
      <c r="A901" s="103"/>
      <c r="B901" s="104"/>
      <c r="C901" s="104"/>
      <c r="F901" s="107" t="str">
        <f aca="false">IF(OR($C901="",$D901=0),"",$E901/$D901)</f>
        <v/>
      </c>
      <c r="H901" s="0" t="str">
        <f aca="false">IF($C901="","",IF(COUNTIF('مواد المخزون'!$A$2:$A$90,$C901)&gt;0,"نعم","لا (خارج الجرد)"))</f>
        <v/>
      </c>
    </row>
    <row r="902" customFormat="false" ht="15" hidden="false" customHeight="false" outlineLevel="0" collapsed="false">
      <c r="A902" s="103"/>
      <c r="B902" s="104"/>
      <c r="C902" s="104"/>
      <c r="F902" s="107" t="str">
        <f aca="false">IF(OR($C902="",$D902=0),"",$E902/$D902)</f>
        <v/>
      </c>
      <c r="H902" s="0" t="str">
        <f aca="false">IF($C902="","",IF(COUNTIF('مواد المخزون'!$A$2:$A$90,$C902)&gt;0,"نعم","لا (خارج الجرد)"))</f>
        <v/>
      </c>
    </row>
    <row r="903" customFormat="false" ht="15" hidden="false" customHeight="false" outlineLevel="0" collapsed="false">
      <c r="A903" s="103"/>
      <c r="B903" s="104"/>
      <c r="C903" s="104"/>
      <c r="F903" s="107" t="str">
        <f aca="false">IF(OR($C903="",$D903=0),"",$E903/$D903)</f>
        <v/>
      </c>
      <c r="H903" s="0" t="str">
        <f aca="false">IF($C903="","",IF(COUNTIF('مواد المخزون'!$A$2:$A$90,$C903)&gt;0,"نعم","لا (خارج الجرد)"))</f>
        <v/>
      </c>
    </row>
    <row r="904" customFormat="false" ht="15" hidden="false" customHeight="false" outlineLevel="0" collapsed="false">
      <c r="A904" s="103"/>
      <c r="B904" s="104"/>
      <c r="C904" s="104"/>
      <c r="F904" s="107" t="str">
        <f aca="false">IF(OR($C904="",$D904=0),"",$E904/$D904)</f>
        <v/>
      </c>
      <c r="H904" s="0" t="str">
        <f aca="false">IF($C904="","",IF(COUNTIF('مواد المخزون'!$A$2:$A$90,$C904)&gt;0,"نعم","لا (خارج الجرد)"))</f>
        <v/>
      </c>
    </row>
    <row r="905" customFormat="false" ht="15" hidden="false" customHeight="false" outlineLevel="0" collapsed="false">
      <c r="A905" s="103"/>
      <c r="B905" s="104"/>
      <c r="C905" s="104"/>
      <c r="F905" s="107" t="str">
        <f aca="false">IF(OR($C905="",$D905=0),"",$E905/$D905)</f>
        <v/>
      </c>
      <c r="H905" s="0" t="str">
        <f aca="false">IF($C905="","",IF(COUNTIF('مواد المخزون'!$A$2:$A$90,$C905)&gt;0,"نعم","لا (خارج الجرد)"))</f>
        <v/>
      </c>
    </row>
    <row r="906" customFormat="false" ht="15" hidden="false" customHeight="false" outlineLevel="0" collapsed="false">
      <c r="A906" s="103"/>
      <c r="B906" s="104"/>
      <c r="C906" s="104"/>
      <c r="F906" s="107" t="str">
        <f aca="false">IF(OR($C906="",$D906=0),"",$E906/$D906)</f>
        <v/>
      </c>
      <c r="H906" s="0" t="str">
        <f aca="false">IF($C906="","",IF(COUNTIF('مواد المخزون'!$A$2:$A$90,$C906)&gt;0,"نعم","لا (خارج الجرد)"))</f>
        <v/>
      </c>
    </row>
    <row r="907" customFormat="false" ht="15" hidden="false" customHeight="false" outlineLevel="0" collapsed="false">
      <c r="A907" s="103"/>
      <c r="B907" s="104"/>
      <c r="C907" s="104"/>
      <c r="F907" s="107" t="str">
        <f aca="false">IF(OR($C907="",$D907=0),"",$E907/$D907)</f>
        <v/>
      </c>
      <c r="H907" s="0" t="str">
        <f aca="false">IF($C907="","",IF(COUNTIF('مواد المخزون'!$A$2:$A$90,$C907)&gt;0,"نعم","لا (خارج الجرد)"))</f>
        <v/>
      </c>
    </row>
    <row r="908" customFormat="false" ht="15" hidden="false" customHeight="false" outlineLevel="0" collapsed="false">
      <c r="A908" s="103"/>
      <c r="B908" s="104"/>
      <c r="C908" s="104"/>
      <c r="F908" s="107" t="str">
        <f aca="false">IF(OR($C908="",$D908=0),"",$E908/$D908)</f>
        <v/>
      </c>
      <c r="H908" s="0" t="str">
        <f aca="false">IF($C908="","",IF(COUNTIF('مواد المخزون'!$A$2:$A$90,$C908)&gt;0,"نعم","لا (خارج الجرد)"))</f>
        <v/>
      </c>
    </row>
    <row r="909" customFormat="false" ht="15" hidden="false" customHeight="false" outlineLevel="0" collapsed="false">
      <c r="A909" s="103"/>
      <c r="B909" s="104"/>
      <c r="C909" s="104"/>
      <c r="F909" s="107" t="str">
        <f aca="false">IF(OR($C909="",$D909=0),"",$E909/$D909)</f>
        <v/>
      </c>
      <c r="H909" s="0" t="str">
        <f aca="false">IF($C909="","",IF(COUNTIF('مواد المخزون'!$A$2:$A$90,$C909)&gt;0,"نعم","لا (خارج الجرد)"))</f>
        <v/>
      </c>
    </row>
    <row r="910" customFormat="false" ht="15" hidden="false" customHeight="false" outlineLevel="0" collapsed="false">
      <c r="A910" s="103"/>
      <c r="B910" s="104"/>
      <c r="C910" s="104"/>
      <c r="F910" s="107" t="str">
        <f aca="false">IF(OR($C910="",$D910=0),"",$E910/$D910)</f>
        <v/>
      </c>
      <c r="H910" s="0" t="str">
        <f aca="false">IF($C910="","",IF(COUNTIF('مواد المخزون'!$A$2:$A$90,$C910)&gt;0,"نعم","لا (خارج الجرد)"))</f>
        <v/>
      </c>
    </row>
    <row r="911" customFormat="false" ht="15" hidden="false" customHeight="false" outlineLevel="0" collapsed="false">
      <c r="A911" s="103"/>
      <c r="B911" s="104"/>
      <c r="C911" s="104"/>
      <c r="F911" s="107" t="str">
        <f aca="false">IF(OR($C911="",$D911=0),"",$E911/$D911)</f>
        <v/>
      </c>
      <c r="H911" s="0" t="str">
        <f aca="false">IF($C911="","",IF(COUNTIF('مواد المخزون'!$A$2:$A$90,$C911)&gt;0,"نعم","لا (خارج الجرد)"))</f>
        <v/>
      </c>
    </row>
    <row r="912" customFormat="false" ht="15" hidden="false" customHeight="false" outlineLevel="0" collapsed="false">
      <c r="A912" s="103"/>
      <c r="B912" s="104"/>
      <c r="C912" s="104"/>
      <c r="F912" s="107" t="str">
        <f aca="false">IF(OR($C912="",$D912=0),"",$E912/$D912)</f>
        <v/>
      </c>
      <c r="H912" s="0" t="str">
        <f aca="false">IF($C912="","",IF(COUNTIF('مواد المخزون'!$A$2:$A$90,$C912)&gt;0,"نعم","لا (خارج الجرد)"))</f>
        <v/>
      </c>
    </row>
    <row r="913" customFormat="false" ht="15" hidden="false" customHeight="false" outlineLevel="0" collapsed="false">
      <c r="A913" s="103"/>
      <c r="B913" s="104"/>
      <c r="C913" s="104"/>
      <c r="F913" s="107" t="str">
        <f aca="false">IF(OR($C913="",$D913=0),"",$E913/$D913)</f>
        <v/>
      </c>
      <c r="H913" s="0" t="str">
        <f aca="false">IF($C913="","",IF(COUNTIF('مواد المخزون'!$A$2:$A$90,$C913)&gt;0,"نعم","لا (خارج الجرد)"))</f>
        <v/>
      </c>
    </row>
    <row r="914" customFormat="false" ht="15" hidden="false" customHeight="false" outlineLevel="0" collapsed="false">
      <c r="A914" s="103"/>
      <c r="B914" s="104"/>
      <c r="C914" s="104"/>
      <c r="F914" s="107" t="str">
        <f aca="false">IF(OR($C914="",$D914=0),"",$E914/$D914)</f>
        <v/>
      </c>
      <c r="H914" s="0" t="str">
        <f aca="false">IF($C914="","",IF(COUNTIF('مواد المخزون'!$A$2:$A$90,$C914)&gt;0,"نعم","لا (خارج الجرد)"))</f>
        <v/>
      </c>
    </row>
    <row r="915" customFormat="false" ht="15" hidden="false" customHeight="false" outlineLevel="0" collapsed="false">
      <c r="A915" s="103"/>
      <c r="B915" s="104"/>
      <c r="C915" s="104"/>
      <c r="F915" s="107" t="str">
        <f aca="false">IF(OR($C915="",$D915=0),"",$E915/$D915)</f>
        <v/>
      </c>
      <c r="H915" s="0" t="str">
        <f aca="false">IF($C915="","",IF(COUNTIF('مواد المخزون'!$A$2:$A$90,$C915)&gt;0,"نعم","لا (خارج الجرد)"))</f>
        <v/>
      </c>
    </row>
    <row r="916" customFormat="false" ht="15" hidden="false" customHeight="false" outlineLevel="0" collapsed="false">
      <c r="A916" s="103"/>
      <c r="B916" s="104"/>
      <c r="C916" s="104"/>
      <c r="F916" s="107" t="str">
        <f aca="false">IF(OR($C916="",$D916=0),"",$E916/$D916)</f>
        <v/>
      </c>
      <c r="H916" s="0" t="str">
        <f aca="false">IF($C916="","",IF(COUNTIF('مواد المخزون'!$A$2:$A$90,$C916)&gt;0,"نعم","لا (خارج الجرد)"))</f>
        <v/>
      </c>
    </row>
    <row r="917" customFormat="false" ht="15" hidden="false" customHeight="false" outlineLevel="0" collapsed="false">
      <c r="A917" s="103"/>
      <c r="B917" s="104"/>
      <c r="C917" s="104"/>
      <c r="F917" s="107" t="str">
        <f aca="false">IF(OR($C917="",$D917=0),"",$E917/$D917)</f>
        <v/>
      </c>
      <c r="H917" s="0" t="str">
        <f aca="false">IF($C917="","",IF(COUNTIF('مواد المخزون'!$A$2:$A$90,$C917)&gt;0,"نعم","لا (خارج الجرد)"))</f>
        <v/>
      </c>
    </row>
    <row r="918" customFormat="false" ht="15" hidden="false" customHeight="false" outlineLevel="0" collapsed="false">
      <c r="A918" s="103"/>
      <c r="B918" s="104"/>
      <c r="C918" s="104"/>
      <c r="F918" s="107" t="str">
        <f aca="false">IF(OR($C918="",$D918=0),"",$E918/$D918)</f>
        <v/>
      </c>
      <c r="H918" s="0" t="str">
        <f aca="false">IF($C918="","",IF(COUNTIF('مواد المخزون'!$A$2:$A$90,$C918)&gt;0,"نعم","لا (خارج الجرد)"))</f>
        <v/>
      </c>
    </row>
    <row r="919" customFormat="false" ht="15" hidden="false" customHeight="false" outlineLevel="0" collapsed="false">
      <c r="A919" s="103"/>
      <c r="B919" s="104"/>
      <c r="C919" s="104"/>
      <c r="F919" s="107" t="str">
        <f aca="false">IF(OR($C919="",$D919=0),"",$E919/$D919)</f>
        <v/>
      </c>
      <c r="H919" s="0" t="str">
        <f aca="false">IF($C919="","",IF(COUNTIF('مواد المخزون'!$A$2:$A$90,$C919)&gt;0,"نعم","لا (خارج الجرد)"))</f>
        <v/>
      </c>
    </row>
    <row r="920" customFormat="false" ht="15" hidden="false" customHeight="false" outlineLevel="0" collapsed="false">
      <c r="A920" s="103"/>
      <c r="B920" s="104"/>
      <c r="C920" s="104"/>
      <c r="F920" s="107" t="str">
        <f aca="false">IF(OR($C920="",$D920=0),"",$E920/$D920)</f>
        <v/>
      </c>
      <c r="H920" s="0" t="str">
        <f aca="false">IF($C920="","",IF(COUNTIF('مواد المخزون'!$A$2:$A$90,$C920)&gt;0,"نعم","لا (خارج الجرد)"))</f>
        <v/>
      </c>
    </row>
    <row r="921" customFormat="false" ht="15" hidden="false" customHeight="false" outlineLevel="0" collapsed="false">
      <c r="A921" s="103"/>
      <c r="B921" s="104"/>
      <c r="C921" s="104"/>
      <c r="F921" s="107" t="str">
        <f aca="false">IF(OR($C921="",$D921=0),"",$E921/$D921)</f>
        <v/>
      </c>
      <c r="H921" s="0" t="str">
        <f aca="false">IF($C921="","",IF(COUNTIF('مواد المخزون'!$A$2:$A$90,$C921)&gt;0,"نعم","لا (خارج الجرد)"))</f>
        <v/>
      </c>
    </row>
    <row r="922" customFormat="false" ht="15" hidden="false" customHeight="false" outlineLevel="0" collapsed="false">
      <c r="A922" s="103"/>
      <c r="B922" s="104"/>
      <c r="C922" s="104"/>
      <c r="F922" s="107" t="str">
        <f aca="false">IF(OR($C922="",$D922=0),"",$E922/$D922)</f>
        <v/>
      </c>
      <c r="H922" s="0" t="str">
        <f aca="false">IF($C922="","",IF(COUNTIF('مواد المخزون'!$A$2:$A$90,$C922)&gt;0,"نعم","لا (خارج الجرد)"))</f>
        <v/>
      </c>
    </row>
    <row r="923" customFormat="false" ht="15" hidden="false" customHeight="false" outlineLevel="0" collapsed="false">
      <c r="A923" s="103"/>
      <c r="B923" s="104"/>
      <c r="C923" s="104"/>
      <c r="F923" s="107" t="str">
        <f aca="false">IF(OR($C923="",$D923=0),"",$E923/$D923)</f>
        <v/>
      </c>
      <c r="H923" s="0" t="str">
        <f aca="false">IF($C923="","",IF(COUNTIF('مواد المخزون'!$A$2:$A$90,$C923)&gt;0,"نعم","لا (خارج الجرد)"))</f>
        <v/>
      </c>
    </row>
    <row r="924" customFormat="false" ht="15" hidden="false" customHeight="false" outlineLevel="0" collapsed="false">
      <c r="A924" s="103"/>
      <c r="B924" s="104"/>
      <c r="C924" s="104"/>
      <c r="F924" s="107" t="str">
        <f aca="false">IF(OR($C924="",$D924=0),"",$E924/$D924)</f>
        <v/>
      </c>
      <c r="H924" s="0" t="str">
        <f aca="false">IF($C924="","",IF(COUNTIF('مواد المخزون'!$A$2:$A$90,$C924)&gt;0,"نعم","لا (خارج الجرد)"))</f>
        <v/>
      </c>
    </row>
    <row r="925" customFormat="false" ht="15" hidden="false" customHeight="false" outlineLevel="0" collapsed="false">
      <c r="A925" s="103"/>
      <c r="B925" s="104"/>
      <c r="C925" s="104"/>
      <c r="F925" s="107" t="str">
        <f aca="false">IF(OR($C925="",$D925=0),"",$E925/$D925)</f>
        <v/>
      </c>
      <c r="H925" s="0" t="str">
        <f aca="false">IF($C925="","",IF(COUNTIF('مواد المخزون'!$A$2:$A$90,$C925)&gt;0,"نعم","لا (خارج الجرد)"))</f>
        <v/>
      </c>
    </row>
    <row r="926" customFormat="false" ht="15" hidden="false" customHeight="false" outlineLevel="0" collapsed="false">
      <c r="A926" s="103"/>
      <c r="B926" s="104"/>
      <c r="C926" s="104"/>
      <c r="F926" s="107" t="str">
        <f aca="false">IF(OR($C926="",$D926=0),"",$E926/$D926)</f>
        <v/>
      </c>
      <c r="H926" s="0" t="str">
        <f aca="false">IF($C926="","",IF(COUNTIF('مواد المخزون'!$A$2:$A$90,$C926)&gt;0,"نعم","لا (خارج الجرد)"))</f>
        <v/>
      </c>
    </row>
    <row r="927" customFormat="false" ht="15" hidden="false" customHeight="false" outlineLevel="0" collapsed="false">
      <c r="A927" s="103"/>
      <c r="B927" s="104"/>
      <c r="C927" s="104"/>
      <c r="F927" s="107" t="str">
        <f aca="false">IF(OR($C927="",$D927=0),"",$E927/$D927)</f>
        <v/>
      </c>
      <c r="H927" s="0" t="str">
        <f aca="false">IF($C927="","",IF(COUNTIF('مواد المخزون'!$A$2:$A$90,$C927)&gt;0,"نعم","لا (خارج الجرد)"))</f>
        <v/>
      </c>
    </row>
    <row r="928" customFormat="false" ht="15" hidden="false" customHeight="false" outlineLevel="0" collapsed="false">
      <c r="A928" s="103"/>
      <c r="B928" s="104"/>
      <c r="C928" s="104"/>
      <c r="F928" s="107" t="str">
        <f aca="false">IF(OR($C928="",$D928=0),"",$E928/$D928)</f>
        <v/>
      </c>
      <c r="H928" s="0" t="str">
        <f aca="false">IF($C928="","",IF(COUNTIF('مواد المخزون'!$A$2:$A$90,$C928)&gt;0,"نعم","لا (خارج الجرد)"))</f>
        <v/>
      </c>
    </row>
    <row r="929" customFormat="false" ht="15" hidden="false" customHeight="false" outlineLevel="0" collapsed="false">
      <c r="A929" s="103"/>
      <c r="B929" s="104"/>
      <c r="C929" s="104"/>
      <c r="F929" s="107" t="str">
        <f aca="false">IF(OR($C929="",$D929=0),"",$E929/$D929)</f>
        <v/>
      </c>
      <c r="H929" s="0" t="str">
        <f aca="false">IF($C929="","",IF(COUNTIF('مواد المخزون'!$A$2:$A$90,$C929)&gt;0,"نعم","لا (خارج الجرد)"))</f>
        <v/>
      </c>
    </row>
    <row r="930" customFormat="false" ht="15" hidden="false" customHeight="false" outlineLevel="0" collapsed="false">
      <c r="A930" s="103"/>
      <c r="B930" s="104"/>
      <c r="C930" s="104"/>
      <c r="F930" s="107" t="str">
        <f aca="false">IF(OR($C930="",$D930=0),"",$E930/$D930)</f>
        <v/>
      </c>
      <c r="H930" s="0" t="str">
        <f aca="false">IF($C930="","",IF(COUNTIF('مواد المخزون'!$A$2:$A$90,$C930)&gt;0,"نعم","لا (خارج الجرد)"))</f>
        <v/>
      </c>
    </row>
    <row r="931" customFormat="false" ht="15" hidden="false" customHeight="false" outlineLevel="0" collapsed="false">
      <c r="A931" s="103"/>
      <c r="B931" s="104"/>
      <c r="C931" s="104"/>
      <c r="F931" s="107" t="str">
        <f aca="false">IF(OR($C931="",$D931=0),"",$E931/$D931)</f>
        <v/>
      </c>
      <c r="H931" s="0" t="str">
        <f aca="false">IF($C931="","",IF(COUNTIF('مواد المخزون'!$A$2:$A$90,$C931)&gt;0,"نعم","لا (خارج الجرد)"))</f>
        <v/>
      </c>
    </row>
    <row r="932" customFormat="false" ht="15" hidden="false" customHeight="false" outlineLevel="0" collapsed="false">
      <c r="A932" s="103"/>
      <c r="B932" s="104"/>
      <c r="C932" s="104"/>
      <c r="F932" s="107" t="str">
        <f aca="false">IF(OR($C932="",$D932=0),"",$E932/$D932)</f>
        <v/>
      </c>
      <c r="H932" s="0" t="str">
        <f aca="false">IF($C932="","",IF(COUNTIF('مواد المخزون'!$A$2:$A$90,$C932)&gt;0,"نعم","لا (خارج الجرد)"))</f>
        <v/>
      </c>
    </row>
    <row r="933" customFormat="false" ht="15" hidden="false" customHeight="false" outlineLevel="0" collapsed="false">
      <c r="A933" s="103"/>
      <c r="B933" s="104"/>
      <c r="C933" s="104"/>
      <c r="F933" s="107" t="str">
        <f aca="false">IF(OR($C933="",$D933=0),"",$E933/$D933)</f>
        <v/>
      </c>
      <c r="H933" s="0" t="str">
        <f aca="false">IF($C933="","",IF(COUNTIF('مواد المخزون'!$A$2:$A$90,$C933)&gt;0,"نعم","لا (خارج الجرد)"))</f>
        <v/>
      </c>
    </row>
    <row r="934" customFormat="false" ht="15" hidden="false" customHeight="false" outlineLevel="0" collapsed="false">
      <c r="A934" s="103"/>
      <c r="B934" s="104"/>
      <c r="C934" s="104"/>
      <c r="F934" s="107" t="str">
        <f aca="false">IF(OR($C934="",$D934=0),"",$E934/$D934)</f>
        <v/>
      </c>
      <c r="H934" s="0" t="str">
        <f aca="false">IF($C934="","",IF(COUNTIF('مواد المخزون'!$A$2:$A$90,$C934)&gt;0,"نعم","لا (خارج الجرد)"))</f>
        <v/>
      </c>
    </row>
    <row r="935" customFormat="false" ht="15" hidden="false" customHeight="false" outlineLevel="0" collapsed="false">
      <c r="A935" s="103"/>
      <c r="B935" s="104"/>
      <c r="C935" s="104"/>
      <c r="F935" s="107" t="str">
        <f aca="false">IF(OR($C935="",$D935=0),"",$E935/$D935)</f>
        <v/>
      </c>
      <c r="H935" s="0" t="str">
        <f aca="false">IF($C935="","",IF(COUNTIF('مواد المخزون'!$A$2:$A$90,$C935)&gt;0,"نعم","لا (خارج الجرد)"))</f>
        <v/>
      </c>
    </row>
    <row r="936" customFormat="false" ht="15" hidden="false" customHeight="false" outlineLevel="0" collapsed="false">
      <c r="A936" s="103"/>
      <c r="B936" s="104"/>
      <c r="C936" s="104"/>
      <c r="F936" s="107" t="str">
        <f aca="false">IF(OR($C936="",$D936=0),"",$E936/$D936)</f>
        <v/>
      </c>
      <c r="H936" s="0" t="str">
        <f aca="false">IF($C936="","",IF(COUNTIF('مواد المخزون'!$A$2:$A$90,$C936)&gt;0,"نعم","لا (خارج الجرد)"))</f>
        <v/>
      </c>
    </row>
    <row r="937" customFormat="false" ht="15" hidden="false" customHeight="false" outlineLevel="0" collapsed="false">
      <c r="A937" s="103"/>
      <c r="B937" s="104"/>
      <c r="C937" s="104"/>
      <c r="F937" s="107" t="str">
        <f aca="false">IF(OR($C937="",$D937=0),"",$E937/$D937)</f>
        <v/>
      </c>
      <c r="H937" s="0" t="str">
        <f aca="false">IF($C937="","",IF(COUNTIF('مواد المخزون'!$A$2:$A$90,$C937)&gt;0,"نعم","لا (خارج الجرد)"))</f>
        <v/>
      </c>
    </row>
    <row r="938" customFormat="false" ht="15" hidden="false" customHeight="false" outlineLevel="0" collapsed="false">
      <c r="A938" s="103"/>
      <c r="B938" s="104"/>
      <c r="C938" s="104"/>
      <c r="F938" s="107" t="str">
        <f aca="false">IF(OR($C938="",$D938=0),"",$E938/$D938)</f>
        <v/>
      </c>
      <c r="H938" s="0" t="str">
        <f aca="false">IF($C938="","",IF(COUNTIF('مواد المخزون'!$A$2:$A$90,$C938)&gt;0,"نعم","لا (خارج الجرد)"))</f>
        <v/>
      </c>
    </row>
    <row r="939" customFormat="false" ht="15" hidden="false" customHeight="false" outlineLevel="0" collapsed="false">
      <c r="A939" s="103"/>
      <c r="B939" s="104"/>
      <c r="C939" s="104"/>
      <c r="F939" s="107" t="str">
        <f aca="false">IF(OR($C939="",$D939=0),"",$E939/$D939)</f>
        <v/>
      </c>
      <c r="H939" s="0" t="str">
        <f aca="false">IF($C939="","",IF(COUNTIF('مواد المخزون'!$A$2:$A$90,$C939)&gt;0,"نعم","لا (خارج الجرد)"))</f>
        <v/>
      </c>
    </row>
    <row r="940" customFormat="false" ht="15" hidden="false" customHeight="false" outlineLevel="0" collapsed="false">
      <c r="A940" s="103"/>
      <c r="B940" s="104"/>
      <c r="C940" s="104"/>
      <c r="F940" s="107" t="str">
        <f aca="false">IF(OR($C940="",$D940=0),"",$E940/$D940)</f>
        <v/>
      </c>
      <c r="H940" s="0" t="str">
        <f aca="false">IF($C940="","",IF(COUNTIF('مواد المخزون'!$A$2:$A$90,$C940)&gt;0,"نعم","لا (خارج الجرد)"))</f>
        <v/>
      </c>
    </row>
    <row r="941" customFormat="false" ht="15" hidden="false" customHeight="false" outlineLevel="0" collapsed="false">
      <c r="A941" s="103"/>
      <c r="B941" s="104"/>
      <c r="C941" s="104"/>
      <c r="F941" s="107" t="str">
        <f aca="false">IF(OR($C941="",$D941=0),"",$E941/$D941)</f>
        <v/>
      </c>
      <c r="H941" s="0" t="str">
        <f aca="false">IF($C941="","",IF(COUNTIF('مواد المخزون'!$A$2:$A$90,$C941)&gt;0,"نعم","لا (خارج الجرد)"))</f>
        <v/>
      </c>
    </row>
    <row r="942" customFormat="false" ht="15" hidden="false" customHeight="false" outlineLevel="0" collapsed="false">
      <c r="A942" s="103"/>
      <c r="B942" s="104"/>
      <c r="C942" s="104"/>
      <c r="F942" s="107" t="str">
        <f aca="false">IF(OR($C942="",$D942=0),"",$E942/$D942)</f>
        <v/>
      </c>
      <c r="H942" s="0" t="str">
        <f aca="false">IF($C942="","",IF(COUNTIF('مواد المخزون'!$A$2:$A$90,$C942)&gt;0,"نعم","لا (خارج الجرد)"))</f>
        <v/>
      </c>
    </row>
    <row r="943" customFormat="false" ht="15" hidden="false" customHeight="false" outlineLevel="0" collapsed="false">
      <c r="A943" s="103"/>
      <c r="B943" s="104"/>
      <c r="C943" s="104"/>
      <c r="F943" s="107" t="str">
        <f aca="false">IF(OR($C943="",$D943=0),"",$E943/$D943)</f>
        <v/>
      </c>
      <c r="H943" s="0" t="str">
        <f aca="false">IF($C943="","",IF(COUNTIF('مواد المخزون'!$A$2:$A$90,$C943)&gt;0,"نعم","لا (خارج الجرد)"))</f>
        <v/>
      </c>
    </row>
    <row r="944" customFormat="false" ht="15" hidden="false" customHeight="false" outlineLevel="0" collapsed="false">
      <c r="A944" s="103"/>
      <c r="B944" s="104"/>
      <c r="C944" s="104"/>
      <c r="F944" s="107" t="str">
        <f aca="false">IF(OR($C944="",$D944=0),"",$E944/$D944)</f>
        <v/>
      </c>
      <c r="H944" s="0" t="str">
        <f aca="false">IF($C944="","",IF(COUNTIF('مواد المخزون'!$A$2:$A$90,$C944)&gt;0,"نعم","لا (خارج الجرد)"))</f>
        <v/>
      </c>
    </row>
    <row r="945" customFormat="false" ht="15" hidden="false" customHeight="false" outlineLevel="0" collapsed="false">
      <c r="A945" s="103"/>
      <c r="B945" s="104"/>
      <c r="C945" s="104"/>
      <c r="F945" s="107" t="str">
        <f aca="false">IF(OR($C945="",$D945=0),"",$E945/$D945)</f>
        <v/>
      </c>
      <c r="H945" s="0" t="str">
        <f aca="false">IF($C945="","",IF(COUNTIF('مواد المخزون'!$A$2:$A$90,$C945)&gt;0,"نعم","لا (خارج الجرد)"))</f>
        <v/>
      </c>
    </row>
    <row r="946" customFormat="false" ht="15" hidden="false" customHeight="false" outlineLevel="0" collapsed="false">
      <c r="A946" s="103"/>
      <c r="B946" s="104"/>
      <c r="C946" s="104"/>
      <c r="F946" s="107" t="str">
        <f aca="false">IF(OR($C946="",$D946=0),"",$E946/$D946)</f>
        <v/>
      </c>
      <c r="H946" s="0" t="str">
        <f aca="false">IF($C946="","",IF(COUNTIF('مواد المخزون'!$A$2:$A$90,$C946)&gt;0,"نعم","لا (خارج الجرد)"))</f>
        <v/>
      </c>
    </row>
    <row r="947" customFormat="false" ht="15" hidden="false" customHeight="false" outlineLevel="0" collapsed="false">
      <c r="A947" s="103"/>
      <c r="B947" s="104"/>
      <c r="C947" s="104"/>
      <c r="F947" s="107" t="str">
        <f aca="false">IF(OR($C947="",$D947=0),"",$E947/$D947)</f>
        <v/>
      </c>
      <c r="H947" s="0" t="str">
        <f aca="false">IF($C947="","",IF(COUNTIF('مواد المخزون'!$A$2:$A$90,$C947)&gt;0,"نعم","لا (خارج الجرد)"))</f>
        <v/>
      </c>
    </row>
    <row r="948" customFormat="false" ht="15" hidden="false" customHeight="false" outlineLevel="0" collapsed="false">
      <c r="A948" s="103"/>
      <c r="B948" s="104"/>
      <c r="C948" s="104"/>
      <c r="F948" s="107" t="str">
        <f aca="false">IF(OR($C948="",$D948=0),"",$E948/$D948)</f>
        <v/>
      </c>
      <c r="H948" s="0" t="str">
        <f aca="false">IF($C948="","",IF(COUNTIF('مواد المخزون'!$A$2:$A$90,$C948)&gt;0,"نعم","لا (خارج الجرد)"))</f>
        <v/>
      </c>
    </row>
    <row r="949" customFormat="false" ht="15" hidden="false" customHeight="false" outlineLevel="0" collapsed="false">
      <c r="A949" s="103"/>
      <c r="B949" s="104"/>
      <c r="C949" s="104"/>
      <c r="F949" s="107" t="str">
        <f aca="false">IF(OR($C949="",$D949=0),"",$E949/$D949)</f>
        <v/>
      </c>
      <c r="H949" s="0" t="str">
        <f aca="false">IF($C949="","",IF(COUNTIF('مواد المخزون'!$A$2:$A$90,$C949)&gt;0,"نعم","لا (خارج الجرد)"))</f>
        <v/>
      </c>
    </row>
    <row r="950" customFormat="false" ht="15" hidden="false" customHeight="false" outlineLevel="0" collapsed="false">
      <c r="A950" s="103"/>
      <c r="B950" s="104"/>
      <c r="C950" s="104"/>
      <c r="F950" s="107" t="str">
        <f aca="false">IF(OR($C950="",$D950=0),"",$E950/$D950)</f>
        <v/>
      </c>
      <c r="H950" s="0" t="str">
        <f aca="false">IF($C950="","",IF(COUNTIF('مواد المخزون'!$A$2:$A$90,$C950)&gt;0,"نعم","لا (خارج الجرد)"))</f>
        <v/>
      </c>
    </row>
    <row r="951" customFormat="false" ht="15" hidden="false" customHeight="false" outlineLevel="0" collapsed="false">
      <c r="A951" s="103"/>
      <c r="B951" s="104"/>
      <c r="C951" s="104"/>
      <c r="F951" s="107" t="str">
        <f aca="false">IF(OR($C951="",$D951=0),"",$E951/$D951)</f>
        <v/>
      </c>
      <c r="H951" s="0" t="str">
        <f aca="false">IF($C951="","",IF(COUNTIF('مواد المخزون'!$A$2:$A$90,$C951)&gt;0,"نعم","لا (خارج الجرد)"))</f>
        <v/>
      </c>
    </row>
    <row r="952" customFormat="false" ht="15" hidden="false" customHeight="false" outlineLevel="0" collapsed="false">
      <c r="A952" s="103"/>
      <c r="B952" s="104"/>
      <c r="C952" s="104"/>
      <c r="F952" s="107" t="str">
        <f aca="false">IF(OR($C952="",$D952=0),"",$E952/$D952)</f>
        <v/>
      </c>
      <c r="H952" s="0" t="str">
        <f aca="false">IF($C952="","",IF(COUNTIF('مواد المخزون'!$A$2:$A$90,$C952)&gt;0,"نعم","لا (خارج الجرد)"))</f>
        <v/>
      </c>
    </row>
    <row r="953" customFormat="false" ht="15" hidden="false" customHeight="false" outlineLevel="0" collapsed="false">
      <c r="A953" s="103"/>
      <c r="B953" s="104"/>
      <c r="C953" s="104"/>
      <c r="F953" s="107" t="str">
        <f aca="false">IF(OR($C953="",$D953=0),"",$E953/$D953)</f>
        <v/>
      </c>
      <c r="H953" s="0" t="str">
        <f aca="false">IF($C953="","",IF(COUNTIF('مواد المخزون'!$A$2:$A$90,$C953)&gt;0,"نعم","لا (خارج الجرد)"))</f>
        <v/>
      </c>
    </row>
    <row r="954" customFormat="false" ht="15" hidden="false" customHeight="false" outlineLevel="0" collapsed="false">
      <c r="A954" s="103"/>
      <c r="B954" s="104"/>
      <c r="C954" s="104"/>
      <c r="F954" s="107" t="str">
        <f aca="false">IF(OR($C954="",$D954=0),"",$E954/$D954)</f>
        <v/>
      </c>
      <c r="H954" s="0" t="str">
        <f aca="false">IF($C954="","",IF(COUNTIF('مواد المخزون'!$A$2:$A$90,$C954)&gt;0,"نعم","لا (خارج الجرد)"))</f>
        <v/>
      </c>
    </row>
    <row r="955" customFormat="false" ht="15" hidden="false" customHeight="false" outlineLevel="0" collapsed="false">
      <c r="A955" s="103"/>
      <c r="B955" s="104"/>
      <c r="C955" s="104"/>
      <c r="F955" s="107" t="str">
        <f aca="false">IF(OR($C955="",$D955=0),"",$E955/$D955)</f>
        <v/>
      </c>
      <c r="H955" s="0" t="str">
        <f aca="false">IF($C955="","",IF(COUNTIF('مواد المخزون'!$A$2:$A$90,$C955)&gt;0,"نعم","لا (خارج الجرد)"))</f>
        <v/>
      </c>
    </row>
    <row r="956" customFormat="false" ht="15" hidden="false" customHeight="false" outlineLevel="0" collapsed="false">
      <c r="A956" s="103"/>
      <c r="B956" s="104"/>
      <c r="C956" s="104"/>
      <c r="F956" s="107" t="str">
        <f aca="false">IF(OR($C956="",$D956=0),"",$E956/$D956)</f>
        <v/>
      </c>
      <c r="H956" s="0" t="str">
        <f aca="false">IF($C956="","",IF(COUNTIF('مواد المخزون'!$A$2:$A$90,$C956)&gt;0,"نعم","لا (خارج الجرد)"))</f>
        <v/>
      </c>
    </row>
    <row r="957" customFormat="false" ht="15" hidden="false" customHeight="false" outlineLevel="0" collapsed="false">
      <c r="A957" s="103"/>
      <c r="B957" s="104"/>
      <c r="C957" s="104"/>
      <c r="F957" s="107" t="str">
        <f aca="false">IF(OR($C957="",$D957=0),"",$E957/$D957)</f>
        <v/>
      </c>
      <c r="H957" s="0" t="str">
        <f aca="false">IF($C957="","",IF(COUNTIF('مواد المخزون'!$A$2:$A$90,$C957)&gt;0,"نعم","لا (خارج الجرد)"))</f>
        <v/>
      </c>
    </row>
    <row r="958" customFormat="false" ht="15" hidden="false" customHeight="false" outlineLevel="0" collapsed="false">
      <c r="A958" s="103"/>
      <c r="B958" s="104"/>
      <c r="C958" s="104"/>
      <c r="F958" s="107" t="str">
        <f aca="false">IF(OR($C958="",$D958=0),"",$E958/$D958)</f>
        <v/>
      </c>
      <c r="H958" s="0" t="str">
        <f aca="false">IF($C958="","",IF(COUNTIF('مواد المخزون'!$A$2:$A$90,$C958)&gt;0,"نعم","لا (خارج الجرد)"))</f>
        <v/>
      </c>
    </row>
    <row r="959" customFormat="false" ht="15" hidden="false" customHeight="false" outlineLevel="0" collapsed="false">
      <c r="A959" s="103"/>
      <c r="B959" s="104"/>
      <c r="C959" s="104"/>
      <c r="F959" s="107" t="str">
        <f aca="false">IF(OR($C959="",$D959=0),"",$E959/$D959)</f>
        <v/>
      </c>
      <c r="H959" s="0" t="str">
        <f aca="false">IF($C959="","",IF(COUNTIF('مواد المخزون'!$A$2:$A$90,$C959)&gt;0,"نعم","لا (خارج الجرد)"))</f>
        <v/>
      </c>
    </row>
    <row r="960" customFormat="false" ht="15" hidden="false" customHeight="false" outlineLevel="0" collapsed="false">
      <c r="A960" s="103"/>
      <c r="B960" s="104"/>
      <c r="C960" s="104"/>
      <c r="F960" s="107" t="str">
        <f aca="false">IF(OR($C960="",$D960=0),"",$E960/$D960)</f>
        <v/>
      </c>
      <c r="H960" s="0" t="str">
        <f aca="false">IF($C960="","",IF(COUNTIF('مواد المخزون'!$A$2:$A$90,$C960)&gt;0,"نعم","لا (خارج الجرد)"))</f>
        <v/>
      </c>
    </row>
    <row r="961" customFormat="false" ht="15" hidden="false" customHeight="false" outlineLevel="0" collapsed="false">
      <c r="A961" s="103"/>
      <c r="B961" s="104"/>
      <c r="C961" s="104"/>
      <c r="F961" s="107" t="str">
        <f aca="false">IF(OR($C961="",$D961=0),"",$E961/$D961)</f>
        <v/>
      </c>
      <c r="H961" s="0" t="str">
        <f aca="false">IF($C961="","",IF(COUNTIF('مواد المخزون'!$A$2:$A$90,$C961)&gt;0,"نعم","لا (خارج الجرد)"))</f>
        <v/>
      </c>
    </row>
    <row r="962" customFormat="false" ht="15" hidden="false" customHeight="false" outlineLevel="0" collapsed="false">
      <c r="A962" s="103"/>
      <c r="B962" s="104"/>
      <c r="C962" s="104"/>
      <c r="F962" s="107" t="str">
        <f aca="false">IF(OR($C962="",$D962=0),"",$E962/$D962)</f>
        <v/>
      </c>
      <c r="H962" s="0" t="str">
        <f aca="false">IF($C962="","",IF(COUNTIF('مواد المخزون'!$A$2:$A$90,$C962)&gt;0,"نعم","لا (خارج الجرد)"))</f>
        <v/>
      </c>
    </row>
    <row r="963" customFormat="false" ht="15" hidden="false" customHeight="false" outlineLevel="0" collapsed="false">
      <c r="A963" s="103"/>
      <c r="B963" s="104"/>
      <c r="C963" s="104"/>
      <c r="F963" s="107" t="str">
        <f aca="false">IF(OR($C963="",$D963=0),"",$E963/$D963)</f>
        <v/>
      </c>
      <c r="H963" s="0" t="str">
        <f aca="false">IF($C963="","",IF(COUNTIF('مواد المخزون'!$A$2:$A$90,$C963)&gt;0,"نعم","لا (خارج الجرد)"))</f>
        <v/>
      </c>
    </row>
    <row r="964" customFormat="false" ht="15" hidden="false" customHeight="false" outlineLevel="0" collapsed="false">
      <c r="A964" s="103"/>
      <c r="B964" s="104"/>
      <c r="C964" s="104"/>
      <c r="F964" s="107" t="str">
        <f aca="false">IF(OR($C964="",$D964=0),"",$E964/$D964)</f>
        <v/>
      </c>
      <c r="H964" s="0" t="str">
        <f aca="false">IF($C964="","",IF(COUNTIF('مواد المخزون'!$A$2:$A$90,$C964)&gt;0,"نعم","لا (خارج الجرد)"))</f>
        <v/>
      </c>
    </row>
    <row r="965" customFormat="false" ht="15" hidden="false" customHeight="false" outlineLevel="0" collapsed="false">
      <c r="A965" s="103"/>
      <c r="B965" s="104"/>
      <c r="C965" s="104"/>
      <c r="F965" s="107" t="str">
        <f aca="false">IF(OR($C965="",$D965=0),"",$E965/$D965)</f>
        <v/>
      </c>
      <c r="H965" s="0" t="str">
        <f aca="false">IF($C965="","",IF(COUNTIF('مواد المخزون'!$A$2:$A$90,$C965)&gt;0,"نعم","لا (خارج الجرد)"))</f>
        <v/>
      </c>
    </row>
    <row r="966" customFormat="false" ht="15" hidden="false" customHeight="false" outlineLevel="0" collapsed="false">
      <c r="A966" s="103"/>
      <c r="B966" s="104"/>
      <c r="C966" s="104"/>
      <c r="F966" s="107" t="str">
        <f aca="false">IF(OR($C966="",$D966=0),"",$E966/$D966)</f>
        <v/>
      </c>
      <c r="H966" s="0" t="str">
        <f aca="false">IF($C966="","",IF(COUNTIF('مواد المخزون'!$A$2:$A$90,$C966)&gt;0,"نعم","لا (خارج الجرد)"))</f>
        <v/>
      </c>
    </row>
    <row r="967" customFormat="false" ht="15" hidden="false" customHeight="false" outlineLevel="0" collapsed="false">
      <c r="A967" s="103"/>
      <c r="B967" s="104"/>
      <c r="C967" s="104"/>
      <c r="F967" s="107" t="str">
        <f aca="false">IF(OR($C967="",$D967=0),"",$E967/$D967)</f>
        <v/>
      </c>
      <c r="H967" s="0" t="str">
        <f aca="false">IF($C967="","",IF(COUNTIF('مواد المخزون'!$A$2:$A$90,$C967)&gt;0,"نعم","لا (خارج الجرد)"))</f>
        <v/>
      </c>
    </row>
    <row r="968" customFormat="false" ht="15" hidden="false" customHeight="false" outlineLevel="0" collapsed="false">
      <c r="A968" s="103"/>
      <c r="B968" s="104"/>
      <c r="C968" s="104"/>
      <c r="F968" s="107" t="str">
        <f aca="false">IF(OR($C968="",$D968=0),"",$E968/$D968)</f>
        <v/>
      </c>
      <c r="H968" s="0" t="str">
        <f aca="false">IF($C968="","",IF(COUNTIF('مواد المخزون'!$A$2:$A$90,$C968)&gt;0,"نعم","لا (خارج الجرد)"))</f>
        <v/>
      </c>
    </row>
    <row r="969" customFormat="false" ht="15" hidden="false" customHeight="false" outlineLevel="0" collapsed="false">
      <c r="A969" s="103"/>
      <c r="B969" s="104"/>
      <c r="C969" s="104"/>
      <c r="F969" s="107" t="str">
        <f aca="false">IF(OR($C969="",$D969=0),"",$E969/$D969)</f>
        <v/>
      </c>
      <c r="H969" s="0" t="str">
        <f aca="false">IF($C969="","",IF(COUNTIF('مواد المخزون'!$A$2:$A$90,$C969)&gt;0,"نعم","لا (خارج الجرد)"))</f>
        <v/>
      </c>
    </row>
    <row r="970" customFormat="false" ht="15" hidden="false" customHeight="false" outlineLevel="0" collapsed="false">
      <c r="A970" s="103"/>
      <c r="B970" s="104"/>
      <c r="C970" s="104"/>
      <c r="F970" s="107" t="str">
        <f aca="false">IF(OR($C970="",$D970=0),"",$E970/$D970)</f>
        <v/>
      </c>
      <c r="H970" s="0" t="str">
        <f aca="false">IF($C970="","",IF(COUNTIF('مواد المخزون'!$A$2:$A$90,$C970)&gt;0,"نعم","لا (خارج الجرد)"))</f>
        <v/>
      </c>
    </row>
    <row r="971" customFormat="false" ht="15" hidden="false" customHeight="false" outlineLevel="0" collapsed="false">
      <c r="A971" s="103"/>
      <c r="B971" s="104"/>
      <c r="C971" s="104"/>
      <c r="F971" s="107" t="str">
        <f aca="false">IF(OR($C971="",$D971=0),"",$E971/$D971)</f>
        <v/>
      </c>
      <c r="H971" s="0" t="str">
        <f aca="false">IF($C971="","",IF(COUNTIF('مواد المخزون'!$A$2:$A$90,$C971)&gt;0,"نعم","لا (خارج الجرد)"))</f>
        <v/>
      </c>
    </row>
    <row r="972" customFormat="false" ht="15" hidden="false" customHeight="false" outlineLevel="0" collapsed="false">
      <c r="A972" s="103"/>
      <c r="B972" s="104"/>
      <c r="C972" s="104"/>
      <c r="F972" s="107" t="str">
        <f aca="false">IF(OR($C972="",$D972=0),"",$E972/$D972)</f>
        <v/>
      </c>
      <c r="H972" s="0" t="str">
        <f aca="false">IF($C972="","",IF(COUNTIF('مواد المخزون'!$A$2:$A$90,$C972)&gt;0,"نعم","لا (خارج الجرد)"))</f>
        <v/>
      </c>
    </row>
    <row r="973" customFormat="false" ht="15" hidden="false" customHeight="false" outlineLevel="0" collapsed="false">
      <c r="A973" s="103"/>
      <c r="B973" s="104"/>
      <c r="C973" s="104"/>
      <c r="F973" s="107" t="str">
        <f aca="false">IF(OR($C973="",$D973=0),"",$E973/$D973)</f>
        <v/>
      </c>
      <c r="H973" s="0" t="str">
        <f aca="false">IF($C973="","",IF(COUNTIF('مواد المخزون'!$A$2:$A$90,$C973)&gt;0,"نعم","لا (خارج الجرد)"))</f>
        <v/>
      </c>
    </row>
    <row r="974" customFormat="false" ht="15" hidden="false" customHeight="false" outlineLevel="0" collapsed="false">
      <c r="A974" s="103"/>
      <c r="B974" s="104"/>
      <c r="C974" s="104"/>
      <c r="F974" s="107" t="str">
        <f aca="false">IF(OR($C974="",$D974=0),"",$E974/$D974)</f>
        <v/>
      </c>
      <c r="H974" s="0" t="str">
        <f aca="false">IF($C974="","",IF(COUNTIF('مواد المخزون'!$A$2:$A$90,$C974)&gt;0,"نعم","لا (خارج الجرد)"))</f>
        <v/>
      </c>
    </row>
    <row r="975" customFormat="false" ht="15" hidden="false" customHeight="false" outlineLevel="0" collapsed="false">
      <c r="A975" s="103"/>
      <c r="B975" s="104"/>
      <c r="C975" s="104"/>
      <c r="F975" s="107" t="str">
        <f aca="false">IF(OR($C975="",$D975=0),"",$E975/$D975)</f>
        <v/>
      </c>
      <c r="H975" s="0" t="str">
        <f aca="false">IF($C975="","",IF(COUNTIF('مواد المخزون'!$A$2:$A$90,$C975)&gt;0,"نعم","لا (خارج الجرد)"))</f>
        <v/>
      </c>
    </row>
    <row r="976" customFormat="false" ht="15" hidden="false" customHeight="false" outlineLevel="0" collapsed="false">
      <c r="A976" s="103"/>
      <c r="B976" s="104"/>
      <c r="C976" s="104"/>
      <c r="F976" s="107" t="str">
        <f aca="false">IF(OR($C976="",$D976=0),"",$E976/$D976)</f>
        <v/>
      </c>
      <c r="H976" s="0" t="str">
        <f aca="false">IF($C976="","",IF(COUNTIF('مواد المخزون'!$A$2:$A$90,$C976)&gt;0,"نعم","لا (خارج الجرد)"))</f>
        <v/>
      </c>
    </row>
    <row r="977" customFormat="false" ht="15" hidden="false" customHeight="false" outlineLevel="0" collapsed="false">
      <c r="A977" s="103"/>
      <c r="B977" s="104"/>
      <c r="C977" s="104"/>
      <c r="F977" s="107" t="str">
        <f aca="false">IF(OR($C977="",$D977=0),"",$E977/$D977)</f>
        <v/>
      </c>
      <c r="H977" s="0" t="str">
        <f aca="false">IF($C977="","",IF(COUNTIF('مواد المخزون'!$A$2:$A$90,$C977)&gt;0,"نعم","لا (خارج الجرد)"))</f>
        <v/>
      </c>
    </row>
    <row r="978" customFormat="false" ht="15" hidden="false" customHeight="false" outlineLevel="0" collapsed="false">
      <c r="A978" s="103"/>
      <c r="B978" s="104"/>
      <c r="C978" s="104"/>
      <c r="F978" s="107" t="str">
        <f aca="false">IF(OR($C978="",$D978=0),"",$E978/$D978)</f>
        <v/>
      </c>
      <c r="H978" s="0" t="str">
        <f aca="false">IF($C978="","",IF(COUNTIF('مواد المخزون'!$A$2:$A$90,$C978)&gt;0,"نعم","لا (خارج الجرد)"))</f>
        <v/>
      </c>
    </row>
    <row r="979" customFormat="false" ht="15" hidden="false" customHeight="false" outlineLevel="0" collapsed="false">
      <c r="A979" s="103"/>
      <c r="B979" s="104"/>
      <c r="C979" s="104"/>
      <c r="F979" s="107" t="str">
        <f aca="false">IF(OR($C979="",$D979=0),"",$E979/$D979)</f>
        <v/>
      </c>
      <c r="H979" s="0" t="str">
        <f aca="false">IF($C979="","",IF(COUNTIF('مواد المخزون'!$A$2:$A$90,$C979)&gt;0,"نعم","لا (خارج الجرد)"))</f>
        <v/>
      </c>
    </row>
    <row r="980" customFormat="false" ht="15" hidden="false" customHeight="false" outlineLevel="0" collapsed="false">
      <c r="A980" s="103"/>
      <c r="B980" s="104"/>
      <c r="C980" s="104"/>
      <c r="F980" s="107" t="str">
        <f aca="false">IF(OR($C980="",$D980=0),"",$E980/$D980)</f>
        <v/>
      </c>
      <c r="H980" s="0" t="str">
        <f aca="false">IF($C980="","",IF(COUNTIF('مواد المخزون'!$A$2:$A$90,$C980)&gt;0,"نعم","لا (خارج الجرد)"))</f>
        <v/>
      </c>
    </row>
    <row r="981" customFormat="false" ht="15" hidden="false" customHeight="false" outlineLevel="0" collapsed="false">
      <c r="A981" s="103"/>
      <c r="B981" s="104"/>
      <c r="C981" s="104"/>
      <c r="F981" s="107" t="str">
        <f aca="false">IF(OR($C981="",$D981=0),"",$E981/$D981)</f>
        <v/>
      </c>
      <c r="H981" s="0" t="str">
        <f aca="false">IF($C981="","",IF(COUNTIF('مواد المخزون'!$A$2:$A$90,$C981)&gt;0,"نعم","لا (خارج الجرد)"))</f>
        <v/>
      </c>
    </row>
    <row r="982" customFormat="false" ht="15" hidden="false" customHeight="false" outlineLevel="0" collapsed="false">
      <c r="A982" s="103"/>
      <c r="B982" s="104"/>
      <c r="C982" s="104"/>
      <c r="F982" s="107" t="str">
        <f aca="false">IF(OR($C982="",$D982=0),"",$E982/$D982)</f>
        <v/>
      </c>
      <c r="H982" s="0" t="str">
        <f aca="false">IF($C982="","",IF(COUNTIF('مواد المخزون'!$A$2:$A$90,$C982)&gt;0,"نعم","لا (خارج الجرد)"))</f>
        <v/>
      </c>
    </row>
    <row r="983" customFormat="false" ht="15" hidden="false" customHeight="false" outlineLevel="0" collapsed="false">
      <c r="A983" s="103"/>
      <c r="B983" s="104"/>
      <c r="C983" s="104"/>
      <c r="F983" s="107" t="str">
        <f aca="false">IF(OR($C983="",$D983=0),"",$E983/$D983)</f>
        <v/>
      </c>
      <c r="H983" s="0" t="str">
        <f aca="false">IF($C983="","",IF(COUNTIF('مواد المخزون'!$A$2:$A$90,$C983)&gt;0,"نعم","لا (خارج الجرد)"))</f>
        <v/>
      </c>
    </row>
    <row r="984" customFormat="false" ht="15" hidden="false" customHeight="false" outlineLevel="0" collapsed="false">
      <c r="A984" s="103"/>
      <c r="B984" s="104"/>
      <c r="C984" s="104"/>
      <c r="F984" s="107" t="str">
        <f aca="false">IF(OR($C984="",$D984=0),"",$E984/$D984)</f>
        <v/>
      </c>
      <c r="H984" s="0" t="str">
        <f aca="false">IF($C984="","",IF(COUNTIF('مواد المخزون'!$A$2:$A$90,$C984)&gt;0,"نعم","لا (خارج الجرد)"))</f>
        <v/>
      </c>
    </row>
    <row r="985" customFormat="false" ht="15" hidden="false" customHeight="false" outlineLevel="0" collapsed="false">
      <c r="A985" s="103"/>
      <c r="B985" s="104"/>
      <c r="C985" s="104"/>
      <c r="F985" s="107" t="str">
        <f aca="false">IF(OR($C985="",$D985=0),"",$E985/$D985)</f>
        <v/>
      </c>
      <c r="H985" s="0" t="str">
        <f aca="false">IF($C985="","",IF(COUNTIF('مواد المخزون'!$A$2:$A$90,$C985)&gt;0,"نعم","لا (خارج الجرد)"))</f>
        <v/>
      </c>
    </row>
    <row r="986" customFormat="false" ht="15" hidden="false" customHeight="false" outlineLevel="0" collapsed="false">
      <c r="A986" s="103"/>
      <c r="B986" s="104"/>
      <c r="C986" s="104"/>
      <c r="F986" s="107" t="str">
        <f aca="false">IF(OR($C986="",$D986=0),"",$E986/$D986)</f>
        <v/>
      </c>
      <c r="H986" s="0" t="str">
        <f aca="false">IF($C986="","",IF(COUNTIF('مواد المخزون'!$A$2:$A$90,$C986)&gt;0,"نعم","لا (خارج الجرد)"))</f>
        <v/>
      </c>
    </row>
    <row r="987" customFormat="false" ht="15" hidden="false" customHeight="false" outlineLevel="0" collapsed="false">
      <c r="A987" s="103"/>
      <c r="B987" s="104"/>
      <c r="C987" s="104"/>
      <c r="F987" s="107" t="str">
        <f aca="false">IF(OR($C987="",$D987=0),"",$E987/$D987)</f>
        <v/>
      </c>
      <c r="H987" s="0" t="str">
        <f aca="false">IF($C987="","",IF(COUNTIF('مواد المخزون'!$A$2:$A$90,$C987)&gt;0,"نعم","لا (خارج الجرد)"))</f>
        <v/>
      </c>
    </row>
    <row r="988" customFormat="false" ht="15" hidden="false" customHeight="false" outlineLevel="0" collapsed="false">
      <c r="A988" s="103"/>
      <c r="B988" s="104"/>
      <c r="C988" s="104"/>
      <c r="F988" s="107" t="str">
        <f aca="false">IF(OR($C988="",$D988=0),"",$E988/$D988)</f>
        <v/>
      </c>
      <c r="H988" s="0" t="str">
        <f aca="false">IF($C988="","",IF(COUNTIF('مواد المخزون'!$A$2:$A$90,$C988)&gt;0,"نعم","لا (خارج الجرد)"))</f>
        <v/>
      </c>
    </row>
    <row r="989" customFormat="false" ht="15" hidden="false" customHeight="false" outlineLevel="0" collapsed="false">
      <c r="A989" s="103"/>
      <c r="B989" s="104"/>
      <c r="C989" s="104"/>
      <c r="F989" s="107" t="str">
        <f aca="false">IF(OR($C989="",$D989=0),"",$E989/$D989)</f>
        <v/>
      </c>
      <c r="H989" s="0" t="str">
        <f aca="false">IF($C989="","",IF(COUNTIF('مواد المخزون'!$A$2:$A$90,$C989)&gt;0,"نعم","لا (خارج الجرد)"))</f>
        <v/>
      </c>
    </row>
    <row r="990" customFormat="false" ht="15" hidden="false" customHeight="false" outlineLevel="0" collapsed="false">
      <c r="A990" s="103"/>
      <c r="B990" s="104"/>
      <c r="C990" s="104"/>
      <c r="F990" s="107" t="str">
        <f aca="false">IF(OR($C990="",$D990=0),"",$E990/$D990)</f>
        <v/>
      </c>
      <c r="H990" s="0" t="str">
        <f aca="false">IF($C990="","",IF(COUNTIF('مواد المخزون'!$A$2:$A$90,$C990)&gt;0,"نعم","لا (خارج الجرد)"))</f>
        <v/>
      </c>
    </row>
    <row r="991" customFormat="false" ht="15" hidden="false" customHeight="false" outlineLevel="0" collapsed="false">
      <c r="A991" s="103"/>
      <c r="B991" s="104"/>
      <c r="C991" s="104"/>
      <c r="F991" s="107" t="str">
        <f aca="false">IF(OR($C991="",$D991=0),"",$E991/$D991)</f>
        <v/>
      </c>
      <c r="H991" s="0" t="str">
        <f aca="false">IF($C991="","",IF(COUNTIF('مواد المخزون'!$A$2:$A$90,$C991)&gt;0,"نعم","لا (خارج الجرد)"))</f>
        <v/>
      </c>
    </row>
    <row r="992" customFormat="false" ht="15" hidden="false" customHeight="false" outlineLevel="0" collapsed="false">
      <c r="A992" s="103"/>
      <c r="B992" s="104"/>
      <c r="C992" s="104"/>
      <c r="F992" s="107" t="str">
        <f aca="false">IF(OR($C992="",$D992=0),"",$E992/$D992)</f>
        <v/>
      </c>
      <c r="H992" s="0" t="str">
        <f aca="false">IF($C992="","",IF(COUNTIF('مواد المخزون'!$A$2:$A$90,$C992)&gt;0,"نعم","لا (خارج الجرد)"))</f>
        <v/>
      </c>
    </row>
    <row r="993" customFormat="false" ht="15" hidden="false" customHeight="false" outlineLevel="0" collapsed="false">
      <c r="A993" s="103"/>
      <c r="B993" s="104"/>
      <c r="C993" s="104"/>
      <c r="F993" s="107" t="str">
        <f aca="false">IF(OR($C993="",$D993=0),"",$E993/$D993)</f>
        <v/>
      </c>
      <c r="H993" s="0" t="str">
        <f aca="false">IF($C993="","",IF(COUNTIF('مواد المخزون'!$A$2:$A$90,$C993)&gt;0,"نعم","لا (خارج الجرد)"))</f>
        <v/>
      </c>
    </row>
    <row r="994" customFormat="false" ht="15" hidden="false" customHeight="false" outlineLevel="0" collapsed="false">
      <c r="A994" s="103"/>
      <c r="B994" s="104"/>
      <c r="C994" s="104"/>
      <c r="F994" s="107" t="str">
        <f aca="false">IF(OR($C994="",$D994=0),"",$E994/$D994)</f>
        <v/>
      </c>
      <c r="H994" s="0" t="str">
        <f aca="false">IF($C994="","",IF(COUNTIF('مواد المخزون'!$A$2:$A$90,$C994)&gt;0,"نعم","لا (خارج الجرد)"))</f>
        <v/>
      </c>
    </row>
    <row r="995" customFormat="false" ht="15" hidden="false" customHeight="false" outlineLevel="0" collapsed="false">
      <c r="A995" s="103"/>
      <c r="B995" s="104"/>
      <c r="C995" s="104"/>
      <c r="F995" s="107" t="str">
        <f aca="false">IF(OR($C995="",$D995=0),"",$E995/$D995)</f>
        <v/>
      </c>
      <c r="H995" s="0" t="str">
        <f aca="false">IF($C995="","",IF(COUNTIF('مواد المخزون'!$A$2:$A$90,$C995)&gt;0,"نعم","لا (خارج الجرد)"))</f>
        <v/>
      </c>
    </row>
    <row r="996" customFormat="false" ht="15" hidden="false" customHeight="false" outlineLevel="0" collapsed="false">
      <c r="A996" s="103"/>
      <c r="B996" s="104"/>
      <c r="C996" s="104"/>
      <c r="F996" s="107" t="str">
        <f aca="false">IF(OR($C996="",$D996=0),"",$E996/$D996)</f>
        <v/>
      </c>
      <c r="H996" s="0" t="str">
        <f aca="false">IF($C996="","",IF(COUNTIF('مواد المخزون'!$A$2:$A$90,$C996)&gt;0,"نعم","لا (خارج الجرد)"))</f>
        <v/>
      </c>
    </row>
    <row r="997" customFormat="false" ht="15" hidden="false" customHeight="false" outlineLevel="0" collapsed="false">
      <c r="A997" s="103"/>
      <c r="B997" s="104"/>
      <c r="C997" s="104"/>
      <c r="F997" s="107" t="str">
        <f aca="false">IF(OR($C997="",$D997=0),"",$E997/$D997)</f>
        <v/>
      </c>
      <c r="H997" s="0" t="str">
        <f aca="false">IF($C997="","",IF(COUNTIF('مواد المخزون'!$A$2:$A$90,$C997)&gt;0,"نعم","لا (خارج الجرد)"))</f>
        <v/>
      </c>
    </row>
    <row r="998" customFormat="false" ht="15" hidden="false" customHeight="false" outlineLevel="0" collapsed="false">
      <c r="A998" s="103"/>
      <c r="B998" s="104"/>
      <c r="C998" s="104"/>
      <c r="F998" s="107" t="str">
        <f aca="false">IF(OR($C998="",$D998=0),"",$E998/$D998)</f>
        <v/>
      </c>
      <c r="H998" s="0" t="str">
        <f aca="false">IF($C998="","",IF(COUNTIF('مواد المخزون'!$A$2:$A$90,$C998)&gt;0,"نعم","لا (خارج الجرد)"))</f>
        <v/>
      </c>
    </row>
    <row r="999" customFormat="false" ht="15" hidden="false" customHeight="false" outlineLevel="0" collapsed="false">
      <c r="A999" s="103"/>
      <c r="B999" s="104"/>
      <c r="C999" s="104"/>
      <c r="F999" s="107" t="str">
        <f aca="false">IF(OR($C999="",$D999=0),"",$E999/$D999)</f>
        <v/>
      </c>
      <c r="H999" s="0" t="str">
        <f aca="false">IF($C999="","",IF(COUNTIF('مواد المخزون'!$A$2:$A$90,$C999)&gt;0,"نعم","لا (خارج الجرد)"))</f>
        <v/>
      </c>
    </row>
    <row r="1000" customFormat="false" ht="15" hidden="false" customHeight="false" outlineLevel="0" collapsed="false">
      <c r="A1000" s="103"/>
      <c r="B1000" s="104"/>
      <c r="C1000" s="104"/>
      <c r="F1000" s="107" t="str">
        <f aca="false">IF(OR($C1000="",$D1000=0),"",$E1000/$D1000)</f>
        <v/>
      </c>
      <c r="H1000" s="0" t="str">
        <f aca="false">IF($C1000="","",IF(COUNTIF('مواد المخزون'!$A$2:$A$90,$C1000)&gt;0,"نعم","لا (خارج الجرد)"))</f>
        <v/>
      </c>
    </row>
    <row r="1001" customFormat="false" ht="15" hidden="false" customHeight="false" outlineLevel="0" collapsed="false">
      <c r="A1001" s="103"/>
      <c r="B1001" s="104"/>
      <c r="C1001" s="104"/>
      <c r="F1001" s="107" t="str">
        <f aca="false">IF(OR($C1001="",$D1001=0),"",$E1001/$D1001)</f>
        <v/>
      </c>
      <c r="H1001" s="0" t="str">
        <f aca="false">IF($C1001="","",IF(COUNTIF('مواد المخزون'!$A$2:$A$90,$C1001)&gt;0,"نعم","لا (خارج الجرد)"))</f>
        <v/>
      </c>
    </row>
    <row r="1002" customFormat="false" ht="15" hidden="false" customHeight="false" outlineLevel="0" collapsed="false">
      <c r="A1002" s="103"/>
      <c r="B1002" s="104"/>
      <c r="C1002" s="104"/>
      <c r="F1002" s="107" t="str">
        <f aca="false">IF(OR($C1002="",$D1002=0),"",$E1002/$D1002)</f>
        <v/>
      </c>
      <c r="H1002" s="0" t="str">
        <f aca="false">IF($C1002="","",IF(COUNTIF('مواد المخزون'!$A$2:$A$90,$C1002)&gt;0,"نعم","لا (خارج الجرد)"))</f>
        <v/>
      </c>
    </row>
    <row r="1003" customFormat="false" ht="15" hidden="false" customHeight="false" outlineLevel="0" collapsed="false">
      <c r="A1003" s="103"/>
      <c r="B1003" s="104"/>
      <c r="C1003" s="104"/>
      <c r="F1003" s="107" t="str">
        <f aca="false">IF(OR($C1003="",$D1003=0),"",$E1003/$D1003)</f>
        <v/>
      </c>
      <c r="H1003" s="0" t="str">
        <f aca="false">IF($C1003="","",IF(COUNTIF('مواد المخزون'!$A$2:$A$90,$C1003)&gt;0,"نعم","لا (خارج الجرد)"))</f>
        <v/>
      </c>
    </row>
    <row r="1004" customFormat="false" ht="15" hidden="false" customHeight="false" outlineLevel="0" collapsed="false">
      <c r="A1004" s="103"/>
      <c r="B1004" s="104"/>
      <c r="C1004" s="104"/>
      <c r="F1004" s="107" t="str">
        <f aca="false">IF(OR($C1004="",$D1004=0),"",$E1004/$D1004)</f>
        <v/>
      </c>
      <c r="H1004" s="0" t="str">
        <f aca="false">IF($C1004="","",IF(COUNTIF('مواد المخزون'!$A$2:$A$90,$C1004)&gt;0,"نعم","لا (خارج الجرد)"))</f>
        <v/>
      </c>
    </row>
    <row r="1005" customFormat="false" ht="15" hidden="false" customHeight="false" outlineLevel="0" collapsed="false">
      <c r="A1005" s="103"/>
      <c r="B1005" s="104"/>
      <c r="C1005" s="104"/>
      <c r="F1005" s="107" t="str">
        <f aca="false">IF(OR($C1005="",$D1005=0),"",$E1005/$D1005)</f>
        <v/>
      </c>
      <c r="H1005" s="0" t="str">
        <f aca="false">IF($C1005="","",IF(COUNTIF('مواد المخزون'!$A$2:$A$90,$C1005)&gt;0,"نعم","لا (خارج الجرد)"))</f>
        <v/>
      </c>
    </row>
    <row r="1006" customFormat="false" ht="15" hidden="false" customHeight="false" outlineLevel="0" collapsed="false">
      <c r="A1006" s="103"/>
      <c r="B1006" s="104"/>
      <c r="C1006" s="104"/>
      <c r="F1006" s="107" t="str">
        <f aca="false">IF(OR($C1006="",$D1006=0),"",$E1006/$D1006)</f>
        <v/>
      </c>
      <c r="H1006" s="0" t="str">
        <f aca="false">IF($C1006="","",IF(COUNTIF('مواد المخزون'!$A$2:$A$90,$C1006)&gt;0,"نعم","لا (خارج الجرد)"))</f>
        <v/>
      </c>
    </row>
    <row r="1007" customFormat="false" ht="15" hidden="false" customHeight="false" outlineLevel="0" collapsed="false">
      <c r="A1007" s="103"/>
      <c r="B1007" s="104"/>
      <c r="C1007" s="104"/>
      <c r="F1007" s="107" t="str">
        <f aca="false">IF(OR($C1007="",$D1007=0),"",$E1007/$D1007)</f>
        <v/>
      </c>
      <c r="H1007" s="0" t="str">
        <f aca="false">IF($C1007="","",IF(COUNTIF('مواد المخزون'!$A$2:$A$90,$C1007)&gt;0,"نعم","لا (خارج الجرد)"))</f>
        <v/>
      </c>
    </row>
    <row r="1008" customFormat="false" ht="15" hidden="false" customHeight="false" outlineLevel="0" collapsed="false">
      <c r="A1008" s="103"/>
      <c r="B1008" s="104"/>
      <c r="C1008" s="104"/>
      <c r="F1008" s="107" t="str">
        <f aca="false">IF(OR($C1008="",$D1008=0),"",$E1008/$D1008)</f>
        <v/>
      </c>
      <c r="H1008" s="0" t="str">
        <f aca="false">IF($C1008="","",IF(COUNTIF('مواد المخزون'!$A$2:$A$90,$C1008)&gt;0,"نعم","لا (خارج الجرد)"))</f>
        <v/>
      </c>
    </row>
    <row r="1009" customFormat="false" ht="15" hidden="false" customHeight="false" outlineLevel="0" collapsed="false">
      <c r="A1009" s="103"/>
      <c r="B1009" s="104"/>
      <c r="C1009" s="104"/>
      <c r="F1009" s="107" t="str">
        <f aca="false">IF(OR($C1009="",$D1009=0),"",$E1009/$D1009)</f>
        <v/>
      </c>
      <c r="H1009" s="0" t="str">
        <f aca="false">IF($C1009="","",IF(COUNTIF('مواد المخزون'!$A$2:$A$90,$C1009)&gt;0,"نعم","لا (خارج الجرد)"))</f>
        <v/>
      </c>
    </row>
    <row r="1010" customFormat="false" ht="15" hidden="false" customHeight="false" outlineLevel="0" collapsed="false">
      <c r="A1010" s="103"/>
      <c r="B1010" s="104"/>
      <c r="C1010" s="104"/>
      <c r="F1010" s="107" t="str">
        <f aca="false">IF(OR($C1010="",$D1010=0),"",$E1010/$D1010)</f>
        <v/>
      </c>
      <c r="H1010" s="0" t="str">
        <f aca="false">IF($C1010="","",IF(COUNTIF('مواد المخزون'!$A$2:$A$90,$C1010)&gt;0,"نعم","لا (خارج الجرد)"))</f>
        <v/>
      </c>
    </row>
    <row r="1011" customFormat="false" ht="15" hidden="false" customHeight="false" outlineLevel="0" collapsed="false">
      <c r="A1011" s="103"/>
      <c r="B1011" s="104"/>
      <c r="C1011" s="104"/>
      <c r="F1011" s="107" t="str">
        <f aca="false">IF(OR($C1011="",$D1011=0),"",$E1011/$D1011)</f>
        <v/>
      </c>
      <c r="H1011" s="0" t="str">
        <f aca="false">IF($C1011="","",IF(COUNTIF('مواد المخزون'!$A$2:$A$90,$C1011)&gt;0,"نعم","لا (خارج الجرد)"))</f>
        <v/>
      </c>
    </row>
    <row r="1012" customFormat="false" ht="15" hidden="false" customHeight="false" outlineLevel="0" collapsed="false">
      <c r="A1012" s="103"/>
      <c r="B1012" s="104"/>
      <c r="C1012" s="104"/>
      <c r="F1012" s="107" t="str">
        <f aca="false">IF(OR($C1012="",$D1012=0),"",$E1012/$D1012)</f>
        <v/>
      </c>
      <c r="H1012" s="0" t="str">
        <f aca="false">IF($C1012="","",IF(COUNTIF('مواد المخزون'!$A$2:$A$90,$C1012)&gt;0,"نعم","لا (خارج الجرد)"))</f>
        <v/>
      </c>
    </row>
    <row r="1013" customFormat="false" ht="15" hidden="false" customHeight="false" outlineLevel="0" collapsed="false">
      <c r="A1013" s="103"/>
      <c r="B1013" s="104"/>
      <c r="C1013" s="104"/>
      <c r="F1013" s="107" t="str">
        <f aca="false">IF(OR($C1013="",$D1013=0),"",$E1013/$D1013)</f>
        <v/>
      </c>
      <c r="H1013" s="0" t="str">
        <f aca="false">IF($C1013="","",IF(COUNTIF('مواد المخزون'!$A$2:$A$90,$C1013)&gt;0,"نعم","لا (خارج الجرد)"))</f>
        <v/>
      </c>
    </row>
    <row r="1014" customFormat="false" ht="15" hidden="false" customHeight="false" outlineLevel="0" collapsed="false">
      <c r="A1014" s="103"/>
      <c r="B1014" s="104"/>
      <c r="C1014" s="104"/>
      <c r="F1014" s="107" t="str">
        <f aca="false">IF(OR($C1014="",$D1014=0),"",$E1014/$D1014)</f>
        <v/>
      </c>
      <c r="H1014" s="0" t="str">
        <f aca="false">IF($C1014="","",IF(COUNTIF('مواد المخزون'!$A$2:$A$90,$C1014)&gt;0,"نعم","لا (خارج الجرد)"))</f>
        <v/>
      </c>
    </row>
    <row r="1015" customFormat="false" ht="15" hidden="false" customHeight="false" outlineLevel="0" collapsed="false">
      <c r="A1015" s="103"/>
      <c r="B1015" s="104"/>
      <c r="C1015" s="104"/>
      <c r="F1015" s="107" t="str">
        <f aca="false">IF(OR($C1015="",$D1015=0),"",$E1015/$D1015)</f>
        <v/>
      </c>
      <c r="H1015" s="0" t="str">
        <f aca="false">IF($C1015="","",IF(COUNTIF('مواد المخزون'!$A$2:$A$90,$C1015)&gt;0,"نعم","لا (خارج الجرد)"))</f>
        <v/>
      </c>
    </row>
    <row r="1016" customFormat="false" ht="15" hidden="false" customHeight="false" outlineLevel="0" collapsed="false">
      <c r="A1016" s="103"/>
      <c r="B1016" s="104"/>
      <c r="C1016" s="104"/>
      <c r="F1016" s="107" t="str">
        <f aca="false">IF(OR($C1016="",$D1016=0),"",$E1016/$D1016)</f>
        <v/>
      </c>
      <c r="H1016" s="0" t="str">
        <f aca="false">IF($C1016="","",IF(COUNTIF('مواد المخزون'!$A$2:$A$90,$C1016)&gt;0,"نعم","لا (خارج الجرد)"))</f>
        <v/>
      </c>
    </row>
    <row r="1017" customFormat="false" ht="15" hidden="false" customHeight="false" outlineLevel="0" collapsed="false">
      <c r="A1017" s="103"/>
      <c r="B1017" s="104"/>
      <c r="C1017" s="104"/>
      <c r="F1017" s="107" t="str">
        <f aca="false">IF(OR($C1017="",$D1017=0),"",$E1017/$D1017)</f>
        <v/>
      </c>
      <c r="H1017" s="0" t="str">
        <f aca="false">IF($C1017="","",IF(COUNTIF('مواد المخزون'!$A$2:$A$90,$C1017)&gt;0,"نعم","لا (خارج الجرد)"))</f>
        <v/>
      </c>
    </row>
    <row r="1018" customFormat="false" ht="15" hidden="false" customHeight="false" outlineLevel="0" collapsed="false">
      <c r="A1018" s="103"/>
      <c r="B1018" s="104"/>
      <c r="C1018" s="104"/>
      <c r="F1018" s="107" t="str">
        <f aca="false">IF(OR($C1018="",$D1018=0),"",$E1018/$D1018)</f>
        <v/>
      </c>
      <c r="H1018" s="0" t="str">
        <f aca="false">IF($C1018="","",IF(COUNTIF('مواد المخزون'!$A$2:$A$90,$C1018)&gt;0,"نعم","لا (خارج الجرد)"))</f>
        <v/>
      </c>
    </row>
    <row r="1019" customFormat="false" ht="15" hidden="false" customHeight="false" outlineLevel="0" collapsed="false">
      <c r="A1019" s="103"/>
      <c r="B1019" s="104"/>
      <c r="C1019" s="104"/>
      <c r="F1019" s="107" t="str">
        <f aca="false">IF(OR($C1019="",$D1019=0),"",$E1019/$D1019)</f>
        <v/>
      </c>
      <c r="H1019" s="0" t="str">
        <f aca="false">IF($C1019="","",IF(COUNTIF('مواد المخزون'!$A$2:$A$90,$C1019)&gt;0,"نعم","لا (خارج الجرد)"))</f>
        <v/>
      </c>
    </row>
    <row r="1020" customFormat="false" ht="15" hidden="false" customHeight="false" outlineLevel="0" collapsed="false">
      <c r="A1020" s="103"/>
      <c r="B1020" s="104"/>
      <c r="C1020" s="104"/>
      <c r="F1020" s="107" t="str">
        <f aca="false">IF(OR($C1020="",$D1020=0),"",$E1020/$D1020)</f>
        <v/>
      </c>
      <c r="H1020" s="0" t="str">
        <f aca="false">IF($C1020="","",IF(COUNTIF('مواد المخزون'!$A$2:$A$90,$C1020)&gt;0,"نعم","لا (خارج الجرد)"))</f>
        <v/>
      </c>
    </row>
    <row r="1021" customFormat="false" ht="15" hidden="false" customHeight="false" outlineLevel="0" collapsed="false">
      <c r="A1021" s="103"/>
      <c r="B1021" s="104"/>
      <c r="C1021" s="104"/>
      <c r="F1021" s="107" t="str">
        <f aca="false">IF(OR($C1021="",$D1021=0),"",$E1021/$D1021)</f>
        <v/>
      </c>
      <c r="H1021" s="0" t="str">
        <f aca="false">IF($C1021="","",IF(COUNTIF('مواد المخزون'!$A$2:$A$90,$C1021)&gt;0,"نعم","لا (خارج الجرد)"))</f>
        <v/>
      </c>
    </row>
    <row r="1022" customFormat="false" ht="15" hidden="false" customHeight="false" outlineLevel="0" collapsed="false">
      <c r="A1022" s="103"/>
      <c r="B1022" s="104"/>
      <c r="C1022" s="104"/>
      <c r="F1022" s="107" t="str">
        <f aca="false">IF(OR($C1022="",$D1022=0),"",$E1022/$D1022)</f>
        <v/>
      </c>
      <c r="H1022" s="0" t="str">
        <f aca="false">IF($C1022="","",IF(COUNTIF('مواد المخزون'!$A$2:$A$90,$C1022)&gt;0,"نعم","لا (خارج الجرد)"))</f>
        <v/>
      </c>
    </row>
    <row r="1023" customFormat="false" ht="15" hidden="false" customHeight="false" outlineLevel="0" collapsed="false">
      <c r="A1023" s="103"/>
      <c r="B1023" s="104"/>
      <c r="C1023" s="104"/>
      <c r="F1023" s="107" t="str">
        <f aca="false">IF(OR($C1023="",$D1023=0),"",$E1023/$D1023)</f>
        <v/>
      </c>
      <c r="H1023" s="0" t="str">
        <f aca="false">IF($C1023="","",IF(COUNTIF('مواد المخزون'!$A$2:$A$90,$C1023)&gt;0,"نعم","لا (خارج الجرد)"))</f>
        <v/>
      </c>
    </row>
    <row r="1024" customFormat="false" ht="15" hidden="false" customHeight="false" outlineLevel="0" collapsed="false">
      <c r="A1024" s="103"/>
      <c r="B1024" s="104"/>
      <c r="C1024" s="104"/>
      <c r="F1024" s="107" t="str">
        <f aca="false">IF(OR($C1024="",$D1024=0),"",$E1024/$D1024)</f>
        <v/>
      </c>
      <c r="H1024" s="0" t="str">
        <f aca="false">IF($C1024="","",IF(COUNTIF('مواد المخزون'!$A$2:$A$90,$C1024)&gt;0,"نعم","لا (خارج الجرد)"))</f>
        <v/>
      </c>
    </row>
    <row r="1025" customFormat="false" ht="15" hidden="false" customHeight="false" outlineLevel="0" collapsed="false">
      <c r="A1025" s="103"/>
      <c r="B1025" s="104"/>
      <c r="C1025" s="104"/>
      <c r="F1025" s="107" t="str">
        <f aca="false">IF(OR($C1025="",$D1025=0),"",$E1025/$D1025)</f>
        <v/>
      </c>
      <c r="H1025" s="0" t="str">
        <f aca="false">IF($C1025="","",IF(COUNTIF('مواد المخزون'!$A$2:$A$90,$C1025)&gt;0,"نعم","لا (خارج الجرد)"))</f>
        <v/>
      </c>
    </row>
    <row r="1026" customFormat="false" ht="15" hidden="false" customHeight="false" outlineLevel="0" collapsed="false">
      <c r="A1026" s="103"/>
      <c r="B1026" s="104"/>
      <c r="C1026" s="104"/>
      <c r="F1026" s="107" t="str">
        <f aca="false">IF(OR($C1026="",$D1026=0),"",$E1026/$D1026)</f>
        <v/>
      </c>
      <c r="H1026" s="0" t="str">
        <f aca="false">IF($C1026="","",IF(COUNTIF('مواد المخزون'!$A$2:$A$90,$C1026)&gt;0,"نعم","لا (خارج الجرد)"))</f>
        <v/>
      </c>
    </row>
    <row r="1027" customFormat="false" ht="15" hidden="false" customHeight="false" outlineLevel="0" collapsed="false">
      <c r="A1027" s="103"/>
      <c r="B1027" s="104"/>
      <c r="C1027" s="104"/>
      <c r="F1027" s="107" t="str">
        <f aca="false">IF(OR($C1027="",$D1027=0),"",$E1027/$D1027)</f>
        <v/>
      </c>
      <c r="H1027" s="0" t="str">
        <f aca="false">IF($C1027="","",IF(COUNTIF('مواد المخزون'!$A$2:$A$90,$C1027)&gt;0,"نعم","لا (خارج الجرد)"))</f>
        <v/>
      </c>
    </row>
    <row r="1028" customFormat="false" ht="15" hidden="false" customHeight="false" outlineLevel="0" collapsed="false">
      <c r="A1028" s="103"/>
      <c r="B1028" s="104"/>
      <c r="C1028" s="104"/>
      <c r="F1028" s="107" t="str">
        <f aca="false">IF(OR($C1028="",$D1028=0),"",$E1028/$D1028)</f>
        <v/>
      </c>
      <c r="H1028" s="0" t="str">
        <f aca="false">IF($C1028="","",IF(COUNTIF('مواد المخزون'!$A$2:$A$90,$C1028)&gt;0,"نعم","لا (خارج الجرد)"))</f>
        <v/>
      </c>
    </row>
    <row r="1029" customFormat="false" ht="15" hidden="false" customHeight="false" outlineLevel="0" collapsed="false">
      <c r="A1029" s="103"/>
      <c r="B1029" s="104"/>
      <c r="C1029" s="104"/>
      <c r="F1029" s="107" t="str">
        <f aca="false">IF(OR($C1029="",$D1029=0),"",$E1029/$D1029)</f>
        <v/>
      </c>
      <c r="H1029" s="0" t="str">
        <f aca="false">IF($C1029="","",IF(COUNTIF('مواد المخزون'!$A$2:$A$90,$C1029)&gt;0,"نعم","لا (خارج الجرد)"))</f>
        <v/>
      </c>
    </row>
    <row r="1030" customFormat="false" ht="15" hidden="false" customHeight="false" outlineLevel="0" collapsed="false">
      <c r="A1030" s="103"/>
      <c r="B1030" s="104"/>
      <c r="C1030" s="104"/>
      <c r="F1030" s="107" t="str">
        <f aca="false">IF(OR($C1030="",$D1030=0),"",$E1030/$D1030)</f>
        <v/>
      </c>
      <c r="H1030" s="0" t="str">
        <f aca="false">IF($C1030="","",IF(COUNTIF('مواد المخزون'!$A$2:$A$90,$C1030)&gt;0,"نعم","لا (خارج الجرد)"))</f>
        <v/>
      </c>
    </row>
    <row r="1031" customFormat="false" ht="15" hidden="false" customHeight="false" outlineLevel="0" collapsed="false">
      <c r="A1031" s="103"/>
      <c r="B1031" s="104"/>
      <c r="C1031" s="104"/>
      <c r="F1031" s="107" t="str">
        <f aca="false">IF(OR($C1031="",$D1031=0),"",$E1031/$D1031)</f>
        <v/>
      </c>
      <c r="H1031" s="0" t="str">
        <f aca="false">IF($C1031="","",IF(COUNTIF('مواد المخزون'!$A$2:$A$90,$C1031)&gt;0,"نعم","لا (خارج الجرد)"))</f>
        <v/>
      </c>
    </row>
    <row r="1032" customFormat="false" ht="15" hidden="false" customHeight="false" outlineLevel="0" collapsed="false">
      <c r="A1032" s="103"/>
      <c r="B1032" s="104"/>
      <c r="C1032" s="104"/>
      <c r="F1032" s="107" t="str">
        <f aca="false">IF(OR($C1032="",$D1032=0),"",$E1032/$D1032)</f>
        <v/>
      </c>
      <c r="H1032" s="0" t="str">
        <f aca="false">IF($C1032="","",IF(COUNTIF('مواد المخزون'!$A$2:$A$90,$C1032)&gt;0,"نعم","لا (خارج الجرد)"))</f>
        <v/>
      </c>
    </row>
    <row r="1033" customFormat="false" ht="15" hidden="false" customHeight="false" outlineLevel="0" collapsed="false">
      <c r="A1033" s="103"/>
      <c r="B1033" s="104"/>
      <c r="C1033" s="104"/>
      <c r="F1033" s="107" t="str">
        <f aca="false">IF(OR($C1033="",$D1033=0),"",$E1033/$D1033)</f>
        <v/>
      </c>
      <c r="H1033" s="0" t="str">
        <f aca="false">IF($C1033="","",IF(COUNTIF('مواد المخزون'!$A$2:$A$90,$C1033)&gt;0,"نعم","لا (خارج الجرد)"))</f>
        <v/>
      </c>
    </row>
    <row r="1034" customFormat="false" ht="15" hidden="false" customHeight="false" outlineLevel="0" collapsed="false">
      <c r="A1034" s="103"/>
      <c r="B1034" s="104"/>
      <c r="C1034" s="104"/>
      <c r="F1034" s="107" t="str">
        <f aca="false">IF(OR($C1034="",$D1034=0),"",$E1034/$D1034)</f>
        <v/>
      </c>
      <c r="H1034" s="0" t="str">
        <f aca="false">IF($C1034="","",IF(COUNTIF('مواد المخزون'!$A$2:$A$90,$C1034)&gt;0,"نعم","لا (خارج الجرد)"))</f>
        <v/>
      </c>
    </row>
    <row r="1035" customFormat="false" ht="15" hidden="false" customHeight="false" outlineLevel="0" collapsed="false">
      <c r="A1035" s="103"/>
      <c r="B1035" s="104"/>
      <c r="C1035" s="104"/>
      <c r="F1035" s="107" t="str">
        <f aca="false">IF(OR($C1035="",$D1035=0),"",$E1035/$D1035)</f>
        <v/>
      </c>
      <c r="H1035" s="0" t="str">
        <f aca="false">IF($C1035="","",IF(COUNTIF('مواد المخزون'!$A$2:$A$90,$C1035)&gt;0,"نعم","لا (خارج الجرد)"))</f>
        <v/>
      </c>
    </row>
    <row r="1036" customFormat="false" ht="15" hidden="false" customHeight="false" outlineLevel="0" collapsed="false">
      <c r="A1036" s="103"/>
      <c r="B1036" s="104"/>
      <c r="C1036" s="104"/>
      <c r="F1036" s="107" t="str">
        <f aca="false">IF(OR($C1036="",$D1036=0),"",$E1036/$D1036)</f>
        <v/>
      </c>
      <c r="H1036" s="0" t="str">
        <f aca="false">IF($C1036="","",IF(COUNTIF('مواد المخزون'!$A$2:$A$90,$C1036)&gt;0,"نعم","لا (خارج الجرد)"))</f>
        <v/>
      </c>
    </row>
    <row r="1037" customFormat="false" ht="15" hidden="false" customHeight="false" outlineLevel="0" collapsed="false">
      <c r="A1037" s="103"/>
      <c r="B1037" s="104"/>
      <c r="C1037" s="104"/>
      <c r="F1037" s="107" t="str">
        <f aca="false">IF(OR($C1037="",$D1037=0),"",$E1037/$D1037)</f>
        <v/>
      </c>
      <c r="H1037" s="0" t="str">
        <f aca="false">IF($C1037="","",IF(COUNTIF('مواد المخزون'!$A$2:$A$90,$C1037)&gt;0,"نعم","لا (خارج الجرد)"))</f>
        <v/>
      </c>
    </row>
    <row r="1038" customFormat="false" ht="15" hidden="false" customHeight="false" outlineLevel="0" collapsed="false">
      <c r="A1038" s="103"/>
      <c r="B1038" s="104"/>
      <c r="C1038" s="104"/>
      <c r="F1038" s="107" t="str">
        <f aca="false">IF(OR($C1038="",$D1038=0),"",$E1038/$D1038)</f>
        <v/>
      </c>
      <c r="H1038" s="0" t="str">
        <f aca="false">IF($C1038="","",IF(COUNTIF('مواد المخزون'!$A$2:$A$90,$C1038)&gt;0,"نعم","لا (خارج الجرد)"))</f>
        <v/>
      </c>
    </row>
    <row r="1039" customFormat="false" ht="15" hidden="false" customHeight="false" outlineLevel="0" collapsed="false">
      <c r="A1039" s="103"/>
      <c r="B1039" s="104"/>
      <c r="C1039" s="104"/>
      <c r="F1039" s="107" t="str">
        <f aca="false">IF(OR($C1039="",$D1039=0),"",$E1039/$D1039)</f>
        <v/>
      </c>
      <c r="H1039" s="0" t="str">
        <f aca="false">IF($C1039="","",IF(COUNTIF('مواد المخزون'!$A$2:$A$90,$C1039)&gt;0,"نعم","لا (خارج الجرد)"))</f>
        <v/>
      </c>
    </row>
    <row r="1040" customFormat="false" ht="15" hidden="false" customHeight="false" outlineLevel="0" collapsed="false">
      <c r="A1040" s="103"/>
      <c r="B1040" s="104"/>
      <c r="C1040" s="104"/>
      <c r="F1040" s="107" t="str">
        <f aca="false">IF(OR($C1040="",$D1040=0),"",$E1040/$D1040)</f>
        <v/>
      </c>
      <c r="H1040" s="0" t="str">
        <f aca="false">IF($C1040="","",IF(COUNTIF('مواد المخزون'!$A$2:$A$90,$C1040)&gt;0,"نعم","لا (خارج الجرد)"))</f>
        <v/>
      </c>
    </row>
    <row r="1041" customFormat="false" ht="15" hidden="false" customHeight="false" outlineLevel="0" collapsed="false">
      <c r="A1041" s="103"/>
      <c r="B1041" s="104"/>
      <c r="C1041" s="104"/>
      <c r="F1041" s="107" t="str">
        <f aca="false">IF(OR($C1041="",$D1041=0),"",$E1041/$D1041)</f>
        <v/>
      </c>
      <c r="H1041" s="0" t="str">
        <f aca="false">IF($C1041="","",IF(COUNTIF('مواد المخزون'!$A$2:$A$90,$C1041)&gt;0,"نعم","لا (خارج الجرد)"))</f>
        <v/>
      </c>
    </row>
    <row r="1042" customFormat="false" ht="15" hidden="false" customHeight="false" outlineLevel="0" collapsed="false">
      <c r="A1042" s="103"/>
      <c r="B1042" s="104"/>
      <c r="C1042" s="104"/>
      <c r="F1042" s="107" t="str">
        <f aca="false">IF(OR($C1042="",$D1042=0),"",$E1042/$D1042)</f>
        <v/>
      </c>
      <c r="H1042" s="0" t="str">
        <f aca="false">IF($C1042="","",IF(COUNTIF('مواد المخزون'!$A$2:$A$90,$C1042)&gt;0,"نعم","لا (خارج الجرد)"))</f>
        <v/>
      </c>
    </row>
    <row r="1043" customFormat="false" ht="15" hidden="false" customHeight="false" outlineLevel="0" collapsed="false">
      <c r="A1043" s="103"/>
      <c r="B1043" s="104"/>
      <c r="C1043" s="104"/>
      <c r="F1043" s="107" t="str">
        <f aca="false">IF(OR($C1043="",$D1043=0),"",$E1043/$D1043)</f>
        <v/>
      </c>
      <c r="H1043" s="0" t="str">
        <f aca="false">IF($C1043="","",IF(COUNTIF('مواد المخزون'!$A$2:$A$90,$C1043)&gt;0,"نعم","لا (خارج الجرد)"))</f>
        <v/>
      </c>
    </row>
    <row r="1044" customFormat="false" ht="15" hidden="false" customHeight="false" outlineLevel="0" collapsed="false">
      <c r="A1044" s="103"/>
      <c r="B1044" s="104"/>
      <c r="C1044" s="104"/>
      <c r="F1044" s="107" t="str">
        <f aca="false">IF(OR($C1044="",$D1044=0),"",$E1044/$D1044)</f>
        <v/>
      </c>
      <c r="H1044" s="0" t="str">
        <f aca="false">IF($C1044="","",IF(COUNTIF('مواد المخزون'!$A$2:$A$90,$C1044)&gt;0,"نعم","لا (خارج الجرد)"))</f>
        <v/>
      </c>
    </row>
    <row r="1045" customFormat="false" ht="15" hidden="false" customHeight="false" outlineLevel="0" collapsed="false">
      <c r="A1045" s="103"/>
      <c r="B1045" s="104"/>
      <c r="C1045" s="104"/>
      <c r="F1045" s="107" t="str">
        <f aca="false">IF(OR($C1045="",$D1045=0),"",$E1045/$D1045)</f>
        <v/>
      </c>
      <c r="H1045" s="0" t="str">
        <f aca="false">IF($C1045="","",IF(COUNTIF('مواد المخزون'!$A$2:$A$90,$C1045)&gt;0,"نعم","لا (خارج الجرد)"))</f>
        <v/>
      </c>
    </row>
    <row r="1046" customFormat="false" ht="15" hidden="false" customHeight="false" outlineLevel="0" collapsed="false">
      <c r="A1046" s="103"/>
      <c r="B1046" s="104"/>
      <c r="C1046" s="104"/>
      <c r="F1046" s="107" t="str">
        <f aca="false">IF(OR($C1046="",$D1046=0),"",$E1046/$D1046)</f>
        <v/>
      </c>
      <c r="H1046" s="0" t="str">
        <f aca="false">IF($C1046="","",IF(COUNTIF('مواد المخزون'!$A$2:$A$90,$C1046)&gt;0,"نعم","لا (خارج الجرد)"))</f>
        <v/>
      </c>
    </row>
    <row r="1047" customFormat="false" ht="15" hidden="false" customHeight="false" outlineLevel="0" collapsed="false">
      <c r="A1047" s="103"/>
      <c r="B1047" s="104"/>
      <c r="C1047" s="104"/>
      <c r="F1047" s="107" t="str">
        <f aca="false">IF(OR($C1047="",$D1047=0),"",$E1047/$D1047)</f>
        <v/>
      </c>
      <c r="H1047" s="0" t="str">
        <f aca="false">IF($C1047="","",IF(COUNTIF('مواد المخزون'!$A$2:$A$90,$C1047)&gt;0,"نعم","لا (خارج الجرد)"))</f>
        <v/>
      </c>
    </row>
    <row r="1048" customFormat="false" ht="15" hidden="false" customHeight="false" outlineLevel="0" collapsed="false">
      <c r="A1048" s="103"/>
      <c r="B1048" s="104"/>
      <c r="C1048" s="104"/>
      <c r="F1048" s="107" t="str">
        <f aca="false">IF(OR($C1048="",$D1048=0),"",$E1048/$D1048)</f>
        <v/>
      </c>
      <c r="H1048" s="0" t="str">
        <f aca="false">IF($C1048="","",IF(COUNTIF('مواد المخزون'!$A$2:$A$90,$C1048)&gt;0,"نعم","لا (خارج الجرد)"))</f>
        <v/>
      </c>
    </row>
    <row r="1049" customFormat="false" ht="15" hidden="false" customHeight="false" outlineLevel="0" collapsed="false">
      <c r="A1049" s="103"/>
      <c r="B1049" s="104"/>
      <c r="C1049" s="104"/>
      <c r="F1049" s="107" t="str">
        <f aca="false">IF(OR($C1049="",$D1049=0),"",$E1049/$D1049)</f>
        <v/>
      </c>
      <c r="H1049" s="0" t="str">
        <f aca="false">IF($C1049="","",IF(COUNTIF('مواد المخزون'!$A$2:$A$90,$C1049)&gt;0,"نعم","لا (خارج الجرد)"))</f>
        <v/>
      </c>
    </row>
    <row r="1050" customFormat="false" ht="15" hidden="false" customHeight="false" outlineLevel="0" collapsed="false">
      <c r="A1050" s="103"/>
      <c r="B1050" s="104"/>
      <c r="C1050" s="104"/>
      <c r="F1050" s="107" t="str">
        <f aca="false">IF(OR($C1050="",$D1050=0),"",$E1050/$D1050)</f>
        <v/>
      </c>
      <c r="H1050" s="0" t="str">
        <f aca="false">IF($C1050="","",IF(COUNTIF('مواد المخزون'!$A$2:$A$90,$C1050)&gt;0,"نعم","لا (خارج الجرد)"))</f>
        <v/>
      </c>
    </row>
    <row r="1051" customFormat="false" ht="15" hidden="false" customHeight="false" outlineLevel="0" collapsed="false">
      <c r="A1051" s="103"/>
      <c r="B1051" s="104"/>
      <c r="C1051" s="104"/>
      <c r="F1051" s="107" t="str">
        <f aca="false">IF(OR($C1051="",$D1051=0),"",$E1051/$D1051)</f>
        <v/>
      </c>
      <c r="H1051" s="0" t="str">
        <f aca="false">IF($C1051="","",IF(COUNTIF('مواد المخزون'!$A$2:$A$90,$C1051)&gt;0,"نعم","لا (خارج الجرد)"))</f>
        <v/>
      </c>
    </row>
    <row r="1052" customFormat="false" ht="15" hidden="false" customHeight="false" outlineLevel="0" collapsed="false">
      <c r="A1052" s="103"/>
      <c r="B1052" s="104"/>
      <c r="C1052" s="104"/>
      <c r="F1052" s="107" t="str">
        <f aca="false">IF(OR($C1052="",$D1052=0),"",$E1052/$D1052)</f>
        <v/>
      </c>
      <c r="H1052" s="0" t="str">
        <f aca="false">IF($C1052="","",IF(COUNTIF('مواد المخزون'!$A$2:$A$90,$C1052)&gt;0,"نعم","لا (خارج الجرد)"))</f>
        <v/>
      </c>
    </row>
    <row r="1053" customFormat="false" ht="15" hidden="false" customHeight="false" outlineLevel="0" collapsed="false">
      <c r="A1053" s="103"/>
      <c r="B1053" s="104"/>
      <c r="C1053" s="104"/>
      <c r="F1053" s="107" t="str">
        <f aca="false">IF(OR($C1053="",$D1053=0),"",$E1053/$D1053)</f>
        <v/>
      </c>
      <c r="H1053" s="0" t="str">
        <f aca="false">IF($C1053="","",IF(COUNTIF('مواد المخزون'!$A$2:$A$90,$C1053)&gt;0,"نعم","لا (خارج الجرد)"))</f>
        <v/>
      </c>
    </row>
    <row r="1054" customFormat="false" ht="15" hidden="false" customHeight="false" outlineLevel="0" collapsed="false">
      <c r="A1054" s="103"/>
      <c r="B1054" s="104"/>
      <c r="C1054" s="104"/>
      <c r="F1054" s="107" t="str">
        <f aca="false">IF(OR($C1054="",$D1054=0),"",$E1054/$D1054)</f>
        <v/>
      </c>
      <c r="H1054" s="0" t="str">
        <f aca="false">IF($C1054="","",IF(COUNTIF('مواد المخزون'!$A$2:$A$90,$C1054)&gt;0,"نعم","لا (خارج الجرد)"))</f>
        <v/>
      </c>
    </row>
    <row r="1055" customFormat="false" ht="15" hidden="false" customHeight="false" outlineLevel="0" collapsed="false">
      <c r="A1055" s="103"/>
      <c r="B1055" s="104"/>
      <c r="C1055" s="104"/>
      <c r="F1055" s="107" t="str">
        <f aca="false">IF(OR($C1055="",$D1055=0),"",$E1055/$D1055)</f>
        <v/>
      </c>
      <c r="H1055" s="0" t="str">
        <f aca="false">IF($C1055="","",IF(COUNTIF('مواد المخزون'!$A$2:$A$90,$C1055)&gt;0,"نعم","لا (خارج الجرد)"))</f>
        <v/>
      </c>
    </row>
    <row r="1056" customFormat="false" ht="15" hidden="false" customHeight="false" outlineLevel="0" collapsed="false">
      <c r="A1056" s="103"/>
      <c r="B1056" s="104"/>
      <c r="C1056" s="104"/>
      <c r="F1056" s="107" t="str">
        <f aca="false">IF(OR($C1056="",$D1056=0),"",$E1056/$D1056)</f>
        <v/>
      </c>
      <c r="H1056" s="0" t="str">
        <f aca="false">IF($C1056="","",IF(COUNTIF('مواد المخزون'!$A$2:$A$90,$C1056)&gt;0,"نعم","لا (خارج الجرد)"))</f>
        <v/>
      </c>
    </row>
    <row r="1057" customFormat="false" ht="15" hidden="false" customHeight="false" outlineLevel="0" collapsed="false">
      <c r="A1057" s="103"/>
      <c r="B1057" s="104"/>
      <c r="C1057" s="104"/>
      <c r="F1057" s="107" t="str">
        <f aca="false">IF(OR($C1057="",$D1057=0),"",$E1057/$D1057)</f>
        <v/>
      </c>
      <c r="H1057" s="0" t="str">
        <f aca="false">IF($C1057="","",IF(COUNTIF('مواد المخزون'!$A$2:$A$90,$C1057)&gt;0,"نعم","لا (خارج الجرد)"))</f>
        <v/>
      </c>
    </row>
    <row r="1058" customFormat="false" ht="15" hidden="false" customHeight="false" outlineLevel="0" collapsed="false">
      <c r="A1058" s="103"/>
      <c r="B1058" s="104"/>
      <c r="C1058" s="104"/>
      <c r="F1058" s="107" t="str">
        <f aca="false">IF(OR($C1058="",$D1058=0),"",$E1058/$D1058)</f>
        <v/>
      </c>
      <c r="H1058" s="0" t="str">
        <f aca="false">IF($C1058="","",IF(COUNTIF('مواد المخزون'!$A$2:$A$90,$C1058)&gt;0,"نعم","لا (خارج الجرد)"))</f>
        <v/>
      </c>
    </row>
    <row r="1059" customFormat="false" ht="15" hidden="false" customHeight="false" outlineLevel="0" collapsed="false">
      <c r="A1059" s="103"/>
      <c r="B1059" s="104"/>
      <c r="C1059" s="104"/>
      <c r="F1059" s="107" t="str">
        <f aca="false">IF(OR($C1059="",$D1059=0),"",$E1059/$D1059)</f>
        <v/>
      </c>
      <c r="H1059" s="0" t="str">
        <f aca="false">IF($C1059="","",IF(COUNTIF('مواد المخزون'!$A$2:$A$90,$C1059)&gt;0,"نعم","لا (خارج الجرد)"))</f>
        <v/>
      </c>
    </row>
    <row r="1060" customFormat="false" ht="15" hidden="false" customHeight="false" outlineLevel="0" collapsed="false">
      <c r="A1060" s="103"/>
      <c r="B1060" s="104"/>
      <c r="C1060" s="104"/>
      <c r="F1060" s="107" t="str">
        <f aca="false">IF(OR($C1060="",$D1060=0),"",$E1060/$D1060)</f>
        <v/>
      </c>
      <c r="H1060" s="0" t="str">
        <f aca="false">IF($C1060="","",IF(COUNTIF('مواد المخزون'!$A$2:$A$90,$C1060)&gt;0,"نعم","لا (خارج الجرد)"))</f>
        <v/>
      </c>
    </row>
    <row r="1061" customFormat="false" ht="15" hidden="false" customHeight="false" outlineLevel="0" collapsed="false">
      <c r="A1061" s="103"/>
      <c r="B1061" s="104"/>
      <c r="C1061" s="104"/>
      <c r="F1061" s="107" t="str">
        <f aca="false">IF(OR($C1061="",$D1061=0),"",$E1061/$D1061)</f>
        <v/>
      </c>
      <c r="H1061" s="0" t="str">
        <f aca="false">IF($C1061="","",IF(COUNTIF('مواد المخزون'!$A$2:$A$90,$C1061)&gt;0,"نعم","لا (خارج الجرد)"))</f>
        <v/>
      </c>
    </row>
    <row r="1062" customFormat="false" ht="15" hidden="false" customHeight="false" outlineLevel="0" collapsed="false">
      <c r="A1062" s="103"/>
      <c r="B1062" s="104"/>
      <c r="C1062" s="104"/>
      <c r="F1062" s="107" t="str">
        <f aca="false">IF(OR($C1062="",$D1062=0),"",$E1062/$D1062)</f>
        <v/>
      </c>
      <c r="H1062" s="0" t="str">
        <f aca="false">IF($C1062="","",IF(COUNTIF('مواد المخزون'!$A$2:$A$90,$C1062)&gt;0,"نعم","لا (خارج الجرد)"))</f>
        <v/>
      </c>
    </row>
    <row r="1063" customFormat="false" ht="15" hidden="false" customHeight="false" outlineLevel="0" collapsed="false">
      <c r="A1063" s="103"/>
      <c r="B1063" s="104"/>
      <c r="C1063" s="104"/>
      <c r="F1063" s="107" t="str">
        <f aca="false">IF(OR($C1063="",$D1063=0),"",$E1063/$D1063)</f>
        <v/>
      </c>
      <c r="H1063" s="0" t="str">
        <f aca="false">IF($C1063="","",IF(COUNTIF('مواد المخزون'!$A$2:$A$90,$C1063)&gt;0,"نعم","لا (خارج الجرد)"))</f>
        <v/>
      </c>
    </row>
    <row r="1064" customFormat="false" ht="15" hidden="false" customHeight="false" outlineLevel="0" collapsed="false">
      <c r="A1064" s="103"/>
      <c r="B1064" s="104"/>
      <c r="C1064" s="104"/>
      <c r="F1064" s="107" t="str">
        <f aca="false">IF(OR($C1064="",$D1064=0),"",$E1064/$D1064)</f>
        <v/>
      </c>
      <c r="H1064" s="0" t="str">
        <f aca="false">IF($C1064="","",IF(COUNTIF('مواد المخزون'!$A$2:$A$90,$C1064)&gt;0,"نعم","لا (خارج الجرد)"))</f>
        <v/>
      </c>
    </row>
    <row r="1065" customFormat="false" ht="15" hidden="false" customHeight="false" outlineLevel="0" collapsed="false">
      <c r="A1065" s="103"/>
      <c r="B1065" s="104"/>
      <c r="C1065" s="104"/>
      <c r="F1065" s="107" t="str">
        <f aca="false">IF(OR($C1065="",$D1065=0),"",$E1065/$D1065)</f>
        <v/>
      </c>
      <c r="H1065" s="0" t="str">
        <f aca="false">IF($C1065="","",IF(COUNTIF('مواد المخزون'!$A$2:$A$90,$C1065)&gt;0,"نعم","لا (خارج الجرد)"))</f>
        <v/>
      </c>
    </row>
    <row r="1066" customFormat="false" ht="15" hidden="false" customHeight="false" outlineLevel="0" collapsed="false">
      <c r="A1066" s="103"/>
      <c r="B1066" s="104"/>
      <c r="C1066" s="104"/>
      <c r="F1066" s="107" t="str">
        <f aca="false">IF(OR($C1066="",$D1066=0),"",$E1066/$D1066)</f>
        <v/>
      </c>
      <c r="H1066" s="0" t="str">
        <f aca="false">IF($C1066="","",IF(COUNTIF('مواد المخزون'!$A$2:$A$90,$C1066)&gt;0,"نعم","لا (خارج الجرد)"))</f>
        <v/>
      </c>
    </row>
    <row r="1067" customFormat="false" ht="15" hidden="false" customHeight="false" outlineLevel="0" collapsed="false">
      <c r="A1067" s="103"/>
      <c r="B1067" s="104"/>
      <c r="C1067" s="104"/>
      <c r="F1067" s="107" t="str">
        <f aca="false">IF(OR($C1067="",$D1067=0),"",$E1067/$D1067)</f>
        <v/>
      </c>
      <c r="H1067" s="0" t="str">
        <f aca="false">IF($C1067="","",IF(COUNTIF('مواد المخزون'!$A$2:$A$90,$C1067)&gt;0,"نعم","لا (خارج الجرد)"))</f>
        <v/>
      </c>
    </row>
    <row r="1068" customFormat="false" ht="15" hidden="false" customHeight="false" outlineLevel="0" collapsed="false">
      <c r="A1068" s="103"/>
      <c r="B1068" s="104"/>
      <c r="C1068" s="104"/>
      <c r="F1068" s="107" t="str">
        <f aca="false">IF(OR($C1068="",$D1068=0),"",$E1068/$D1068)</f>
        <v/>
      </c>
      <c r="H1068" s="0" t="str">
        <f aca="false">IF($C1068="","",IF(COUNTIF('مواد المخزون'!$A$2:$A$90,$C1068)&gt;0,"نعم","لا (خارج الجرد)"))</f>
        <v/>
      </c>
    </row>
    <row r="1069" customFormat="false" ht="15" hidden="false" customHeight="false" outlineLevel="0" collapsed="false">
      <c r="A1069" s="103"/>
      <c r="B1069" s="104"/>
      <c r="C1069" s="104"/>
      <c r="F1069" s="107" t="str">
        <f aca="false">IF(OR($C1069="",$D1069=0),"",$E1069/$D1069)</f>
        <v/>
      </c>
      <c r="H1069" s="0" t="str">
        <f aca="false">IF($C1069="","",IF(COUNTIF('مواد المخزون'!$A$2:$A$90,$C1069)&gt;0,"نعم","لا (خارج الجرد)"))</f>
        <v/>
      </c>
    </row>
    <row r="1070" customFormat="false" ht="15" hidden="false" customHeight="false" outlineLevel="0" collapsed="false">
      <c r="A1070" s="103"/>
      <c r="B1070" s="104"/>
      <c r="C1070" s="104"/>
      <c r="F1070" s="107" t="str">
        <f aca="false">IF(OR($C1070="",$D1070=0),"",$E1070/$D1070)</f>
        <v/>
      </c>
      <c r="H1070" s="0" t="str">
        <f aca="false">IF($C1070="","",IF(COUNTIF('مواد المخزون'!$A$2:$A$90,$C1070)&gt;0,"نعم","لا (خارج الجرد)"))</f>
        <v/>
      </c>
    </row>
    <row r="1071" customFormat="false" ht="15" hidden="false" customHeight="false" outlineLevel="0" collapsed="false">
      <c r="A1071" s="103"/>
      <c r="B1071" s="104"/>
      <c r="C1071" s="104"/>
      <c r="F1071" s="107" t="str">
        <f aca="false">IF(OR($C1071="",$D1071=0),"",$E1071/$D1071)</f>
        <v/>
      </c>
      <c r="H1071" s="0" t="str">
        <f aca="false">IF($C1071="","",IF(COUNTIF('مواد المخزون'!$A$2:$A$90,$C1071)&gt;0,"نعم","لا (خارج الجرد)"))</f>
        <v/>
      </c>
    </row>
    <row r="1072" customFormat="false" ht="15" hidden="false" customHeight="false" outlineLevel="0" collapsed="false">
      <c r="A1072" s="103"/>
      <c r="B1072" s="104"/>
      <c r="C1072" s="104"/>
      <c r="F1072" s="107" t="str">
        <f aca="false">IF(OR($C1072="",$D1072=0),"",$E1072/$D1072)</f>
        <v/>
      </c>
      <c r="H1072" s="0" t="str">
        <f aca="false">IF($C1072="","",IF(COUNTIF('مواد المخزون'!$A$2:$A$90,$C1072)&gt;0,"نعم","لا (خارج الجرد)"))</f>
        <v/>
      </c>
    </row>
    <row r="1073" customFormat="false" ht="15" hidden="false" customHeight="false" outlineLevel="0" collapsed="false">
      <c r="A1073" s="103"/>
      <c r="B1073" s="104"/>
      <c r="C1073" s="104"/>
      <c r="F1073" s="107" t="str">
        <f aca="false">IF(OR($C1073="",$D1073=0),"",$E1073/$D1073)</f>
        <v/>
      </c>
      <c r="H1073" s="0" t="str">
        <f aca="false">IF($C1073="","",IF(COUNTIF('مواد المخزون'!$A$2:$A$90,$C1073)&gt;0,"نعم","لا (خارج الجرد)"))</f>
        <v/>
      </c>
    </row>
    <row r="1074" customFormat="false" ht="15" hidden="false" customHeight="false" outlineLevel="0" collapsed="false">
      <c r="A1074" s="103"/>
      <c r="B1074" s="104"/>
      <c r="C1074" s="104"/>
      <c r="F1074" s="107" t="str">
        <f aca="false">IF(OR($C1074="",$D1074=0),"",$E1074/$D1074)</f>
        <v/>
      </c>
      <c r="H1074" s="0" t="str">
        <f aca="false">IF($C1074="","",IF(COUNTIF('مواد المخزون'!$A$2:$A$90,$C1074)&gt;0,"نعم","لا (خارج الجرد)"))</f>
        <v/>
      </c>
    </row>
    <row r="1075" customFormat="false" ht="15" hidden="false" customHeight="false" outlineLevel="0" collapsed="false">
      <c r="A1075" s="103"/>
      <c r="B1075" s="104"/>
      <c r="C1075" s="104"/>
      <c r="F1075" s="107" t="str">
        <f aca="false">IF(OR($C1075="",$D1075=0),"",$E1075/$D1075)</f>
        <v/>
      </c>
      <c r="H1075" s="0" t="str">
        <f aca="false">IF($C1075="","",IF(COUNTIF('مواد المخزون'!$A$2:$A$90,$C1075)&gt;0,"نعم","لا (خارج الجرد)"))</f>
        <v/>
      </c>
    </row>
    <row r="1076" customFormat="false" ht="15" hidden="false" customHeight="false" outlineLevel="0" collapsed="false">
      <c r="A1076" s="103"/>
      <c r="B1076" s="104"/>
      <c r="C1076" s="104"/>
      <c r="F1076" s="107" t="str">
        <f aca="false">IF(OR($C1076="",$D1076=0),"",$E1076/$D1076)</f>
        <v/>
      </c>
      <c r="H1076" s="0" t="str">
        <f aca="false">IF($C1076="","",IF(COUNTIF('مواد المخزون'!$A$2:$A$90,$C1076)&gt;0,"نعم","لا (خارج الجرد)"))</f>
        <v/>
      </c>
    </row>
    <row r="1077" customFormat="false" ht="15" hidden="false" customHeight="false" outlineLevel="0" collapsed="false">
      <c r="A1077" s="103"/>
      <c r="B1077" s="104"/>
      <c r="C1077" s="104"/>
      <c r="F1077" s="107" t="str">
        <f aca="false">IF(OR($C1077="",$D1077=0),"",$E1077/$D1077)</f>
        <v/>
      </c>
      <c r="H1077" s="0" t="str">
        <f aca="false">IF($C1077="","",IF(COUNTIF('مواد المخزون'!$A$2:$A$90,$C1077)&gt;0,"نعم","لا (خارج الجرد)"))</f>
        <v/>
      </c>
    </row>
    <row r="1078" customFormat="false" ht="15" hidden="false" customHeight="false" outlineLevel="0" collapsed="false">
      <c r="A1078" s="103"/>
      <c r="B1078" s="104"/>
      <c r="C1078" s="104"/>
      <c r="F1078" s="107" t="str">
        <f aca="false">IF(OR($C1078="",$D1078=0),"",$E1078/$D1078)</f>
        <v/>
      </c>
      <c r="H1078" s="0" t="str">
        <f aca="false">IF($C1078="","",IF(COUNTIF('مواد المخزون'!$A$2:$A$90,$C1078)&gt;0,"نعم","لا (خارج الجرد)"))</f>
        <v/>
      </c>
    </row>
    <row r="1079" customFormat="false" ht="15" hidden="false" customHeight="false" outlineLevel="0" collapsed="false">
      <c r="A1079" s="103"/>
      <c r="B1079" s="104"/>
      <c r="C1079" s="104"/>
      <c r="F1079" s="107" t="str">
        <f aca="false">IF(OR($C1079="",$D1079=0),"",$E1079/$D1079)</f>
        <v/>
      </c>
      <c r="H1079" s="0" t="str">
        <f aca="false">IF($C1079="","",IF(COUNTIF('مواد المخزون'!$A$2:$A$90,$C1079)&gt;0,"نعم","لا (خارج الجرد)"))</f>
        <v/>
      </c>
    </row>
    <row r="1080" customFormat="false" ht="15" hidden="false" customHeight="false" outlineLevel="0" collapsed="false">
      <c r="A1080" s="103"/>
      <c r="B1080" s="104"/>
      <c r="C1080" s="104"/>
      <c r="F1080" s="107" t="str">
        <f aca="false">IF(OR($C1080="",$D1080=0),"",$E1080/$D1080)</f>
        <v/>
      </c>
      <c r="H1080" s="0" t="str">
        <f aca="false">IF($C1080="","",IF(COUNTIF('مواد المخزون'!$A$2:$A$90,$C1080)&gt;0,"نعم","لا (خارج الجرد)"))</f>
        <v/>
      </c>
    </row>
    <row r="1081" customFormat="false" ht="15" hidden="false" customHeight="false" outlineLevel="0" collapsed="false">
      <c r="A1081" s="103"/>
      <c r="B1081" s="104"/>
      <c r="C1081" s="104"/>
      <c r="F1081" s="107" t="str">
        <f aca="false">IF(OR($C1081="",$D1081=0),"",$E1081/$D1081)</f>
        <v/>
      </c>
      <c r="H1081" s="0" t="str">
        <f aca="false">IF($C1081="","",IF(COUNTIF('مواد المخزون'!$A$2:$A$90,$C1081)&gt;0,"نعم","لا (خارج الجرد)"))</f>
        <v/>
      </c>
    </row>
    <row r="1082" customFormat="false" ht="15" hidden="false" customHeight="false" outlineLevel="0" collapsed="false">
      <c r="A1082" s="103"/>
      <c r="B1082" s="104"/>
      <c r="C1082" s="104"/>
      <c r="F1082" s="107" t="str">
        <f aca="false">IF(OR($C1082="",$D1082=0),"",$E1082/$D1082)</f>
        <v/>
      </c>
      <c r="H1082" s="0" t="str">
        <f aca="false">IF($C1082="","",IF(COUNTIF('مواد المخزون'!$A$2:$A$90,$C1082)&gt;0,"نعم","لا (خارج الجرد)"))</f>
        <v/>
      </c>
    </row>
    <row r="1083" customFormat="false" ht="15" hidden="false" customHeight="false" outlineLevel="0" collapsed="false">
      <c r="A1083" s="103"/>
      <c r="B1083" s="104"/>
      <c r="C1083" s="104"/>
      <c r="F1083" s="107" t="str">
        <f aca="false">IF(OR($C1083="",$D1083=0),"",$E1083/$D1083)</f>
        <v/>
      </c>
      <c r="H1083" s="0" t="str">
        <f aca="false">IF($C1083="","",IF(COUNTIF('مواد المخزون'!$A$2:$A$90,$C1083)&gt;0,"نعم","لا (خارج الجرد)"))</f>
        <v/>
      </c>
    </row>
    <row r="1084" customFormat="false" ht="15" hidden="false" customHeight="false" outlineLevel="0" collapsed="false">
      <c r="A1084" s="103"/>
      <c r="B1084" s="104"/>
      <c r="C1084" s="104"/>
      <c r="F1084" s="107" t="str">
        <f aca="false">IF(OR($C1084="",$D1084=0),"",$E1084/$D1084)</f>
        <v/>
      </c>
      <c r="H1084" s="0" t="str">
        <f aca="false">IF($C1084="","",IF(COUNTIF('مواد المخزون'!$A$2:$A$90,$C1084)&gt;0,"نعم","لا (خارج الجرد)"))</f>
        <v/>
      </c>
    </row>
    <row r="1085" customFormat="false" ht="15" hidden="false" customHeight="false" outlineLevel="0" collapsed="false">
      <c r="A1085" s="103"/>
      <c r="B1085" s="104"/>
      <c r="C1085" s="104"/>
      <c r="F1085" s="107" t="str">
        <f aca="false">IF(OR($C1085="",$D1085=0),"",$E1085/$D1085)</f>
        <v/>
      </c>
      <c r="H1085" s="0" t="str">
        <f aca="false">IF($C1085="","",IF(COUNTIF('مواد المخزون'!$A$2:$A$90,$C1085)&gt;0,"نعم","لا (خارج الجرد)"))</f>
        <v/>
      </c>
    </row>
    <row r="1086" customFormat="false" ht="15" hidden="false" customHeight="false" outlineLevel="0" collapsed="false">
      <c r="A1086" s="103"/>
      <c r="B1086" s="104"/>
      <c r="C1086" s="104"/>
      <c r="F1086" s="107" t="str">
        <f aca="false">IF(OR($C1086="",$D1086=0),"",$E1086/$D1086)</f>
        <v/>
      </c>
      <c r="H1086" s="0" t="str">
        <f aca="false">IF($C1086="","",IF(COUNTIF('مواد المخزون'!$A$2:$A$90,$C1086)&gt;0,"نعم","لا (خارج الجرد)"))</f>
        <v/>
      </c>
    </row>
    <row r="1087" customFormat="false" ht="15" hidden="false" customHeight="false" outlineLevel="0" collapsed="false">
      <c r="A1087" s="103"/>
      <c r="B1087" s="104"/>
      <c r="C1087" s="104"/>
      <c r="F1087" s="107" t="str">
        <f aca="false">IF(OR($C1087="",$D1087=0),"",$E1087/$D1087)</f>
        <v/>
      </c>
      <c r="H1087" s="0" t="str">
        <f aca="false">IF($C1087="","",IF(COUNTIF('مواد المخزون'!$A$2:$A$90,$C1087)&gt;0,"نعم","لا (خارج الجرد)"))</f>
        <v/>
      </c>
    </row>
    <row r="1088" customFormat="false" ht="15" hidden="false" customHeight="false" outlineLevel="0" collapsed="false">
      <c r="A1088" s="103"/>
      <c r="B1088" s="104"/>
      <c r="C1088" s="104"/>
      <c r="F1088" s="107" t="str">
        <f aca="false">IF(OR($C1088="",$D1088=0),"",$E1088/$D1088)</f>
        <v/>
      </c>
      <c r="H1088" s="0" t="str">
        <f aca="false">IF($C1088="","",IF(COUNTIF('مواد المخزون'!$A$2:$A$90,$C1088)&gt;0,"نعم","لا (خارج الجرد)"))</f>
        <v/>
      </c>
    </row>
    <row r="1089" customFormat="false" ht="15" hidden="false" customHeight="false" outlineLevel="0" collapsed="false">
      <c r="A1089" s="103"/>
      <c r="B1089" s="104"/>
      <c r="C1089" s="104"/>
      <c r="F1089" s="107" t="str">
        <f aca="false">IF(OR($C1089="",$D1089=0),"",$E1089/$D1089)</f>
        <v/>
      </c>
      <c r="H1089" s="0" t="str">
        <f aca="false">IF($C1089="","",IF(COUNTIF('مواد المخزون'!$A$2:$A$90,$C1089)&gt;0,"نعم","لا (خارج الجرد)"))</f>
        <v/>
      </c>
    </row>
    <row r="1090" customFormat="false" ht="15" hidden="false" customHeight="false" outlineLevel="0" collapsed="false">
      <c r="A1090" s="103"/>
      <c r="B1090" s="104"/>
      <c r="C1090" s="104"/>
      <c r="F1090" s="107" t="str">
        <f aca="false">IF(OR($C1090="",$D1090=0),"",$E1090/$D1090)</f>
        <v/>
      </c>
      <c r="H1090" s="0" t="str">
        <f aca="false">IF($C1090="","",IF(COUNTIF('مواد المخزون'!$A$2:$A$90,$C1090)&gt;0,"نعم","لا (خارج الجرد)"))</f>
        <v/>
      </c>
    </row>
    <row r="1091" customFormat="false" ht="15" hidden="false" customHeight="false" outlineLevel="0" collapsed="false">
      <c r="A1091" s="103"/>
      <c r="B1091" s="104"/>
      <c r="C1091" s="104"/>
      <c r="F1091" s="107" t="str">
        <f aca="false">IF(OR($C1091="",$D1091=0),"",$E1091/$D1091)</f>
        <v/>
      </c>
      <c r="H1091" s="0" t="str">
        <f aca="false">IF($C1091="","",IF(COUNTIF('مواد المخزون'!$A$2:$A$90,$C1091)&gt;0,"نعم","لا (خارج الجرد)"))</f>
        <v/>
      </c>
    </row>
    <row r="1092" customFormat="false" ht="15" hidden="false" customHeight="false" outlineLevel="0" collapsed="false">
      <c r="A1092" s="103"/>
      <c r="B1092" s="104"/>
      <c r="C1092" s="104"/>
      <c r="F1092" s="107" t="str">
        <f aca="false">IF(OR($C1092="",$D1092=0),"",$E1092/$D1092)</f>
        <v/>
      </c>
      <c r="H1092" s="0" t="str">
        <f aca="false">IF($C1092="","",IF(COUNTIF('مواد المخزون'!$A$2:$A$90,$C1092)&gt;0,"نعم","لا (خارج الجرد)"))</f>
        <v/>
      </c>
    </row>
    <row r="1093" customFormat="false" ht="15" hidden="false" customHeight="false" outlineLevel="0" collapsed="false">
      <c r="A1093" s="103"/>
      <c r="B1093" s="104"/>
      <c r="C1093" s="104"/>
      <c r="F1093" s="107" t="str">
        <f aca="false">IF(OR($C1093="",$D1093=0),"",$E1093/$D1093)</f>
        <v/>
      </c>
      <c r="H1093" s="0" t="str">
        <f aca="false">IF($C1093="","",IF(COUNTIF('مواد المخزون'!$A$2:$A$90,$C1093)&gt;0,"نعم","لا (خارج الجرد)"))</f>
        <v/>
      </c>
    </row>
    <row r="1094" customFormat="false" ht="15" hidden="false" customHeight="false" outlineLevel="0" collapsed="false">
      <c r="A1094" s="103"/>
      <c r="B1094" s="104"/>
      <c r="C1094" s="104"/>
      <c r="F1094" s="107" t="str">
        <f aca="false">IF(OR($C1094="",$D1094=0),"",$E1094/$D1094)</f>
        <v/>
      </c>
      <c r="H1094" s="0" t="str">
        <f aca="false">IF($C1094="","",IF(COUNTIF('مواد المخزون'!$A$2:$A$90,$C1094)&gt;0,"نعم","لا (خارج الجرد)"))</f>
        <v/>
      </c>
    </row>
    <row r="1095" customFormat="false" ht="15" hidden="false" customHeight="false" outlineLevel="0" collapsed="false">
      <c r="A1095" s="103"/>
      <c r="B1095" s="104"/>
      <c r="C1095" s="104"/>
      <c r="F1095" s="107" t="str">
        <f aca="false">IF(OR($C1095="",$D1095=0),"",$E1095/$D1095)</f>
        <v/>
      </c>
      <c r="H1095" s="0" t="str">
        <f aca="false">IF($C1095="","",IF(COUNTIF('مواد المخزون'!$A$2:$A$90,$C1095)&gt;0,"نعم","لا (خارج الجرد)"))</f>
        <v/>
      </c>
    </row>
    <row r="1096" customFormat="false" ht="15" hidden="false" customHeight="false" outlineLevel="0" collapsed="false">
      <c r="A1096" s="103"/>
      <c r="B1096" s="104"/>
      <c r="C1096" s="104"/>
      <c r="F1096" s="107" t="str">
        <f aca="false">IF(OR($C1096="",$D1096=0),"",$E1096/$D1096)</f>
        <v/>
      </c>
      <c r="H1096" s="0" t="str">
        <f aca="false">IF($C1096="","",IF(COUNTIF('مواد المخزون'!$A$2:$A$90,$C1096)&gt;0,"نعم","لا (خارج الجرد)"))</f>
        <v/>
      </c>
    </row>
    <row r="1097" customFormat="false" ht="15" hidden="false" customHeight="false" outlineLevel="0" collapsed="false">
      <c r="A1097" s="103"/>
      <c r="B1097" s="104"/>
      <c r="C1097" s="104"/>
      <c r="F1097" s="107" t="str">
        <f aca="false">IF(OR($C1097="",$D1097=0),"",$E1097/$D1097)</f>
        <v/>
      </c>
      <c r="H1097" s="0" t="str">
        <f aca="false">IF($C1097="","",IF(COUNTIF('مواد المخزون'!$A$2:$A$90,$C1097)&gt;0,"نعم","لا (خارج الجرد)"))</f>
        <v/>
      </c>
    </row>
    <row r="1098" customFormat="false" ht="15" hidden="false" customHeight="false" outlineLevel="0" collapsed="false">
      <c r="A1098" s="103"/>
      <c r="B1098" s="104"/>
      <c r="C1098" s="104"/>
      <c r="F1098" s="107" t="str">
        <f aca="false">IF(OR($C1098="",$D1098=0),"",$E1098/$D1098)</f>
        <v/>
      </c>
      <c r="H1098" s="0" t="str">
        <f aca="false">IF($C1098="","",IF(COUNTIF('مواد المخزون'!$A$2:$A$90,$C1098)&gt;0,"نعم","لا (خارج الجرد)"))</f>
        <v/>
      </c>
    </row>
    <row r="1099" customFormat="false" ht="15" hidden="false" customHeight="false" outlineLevel="0" collapsed="false">
      <c r="A1099" s="103"/>
      <c r="B1099" s="104"/>
      <c r="C1099" s="104"/>
      <c r="F1099" s="107" t="str">
        <f aca="false">IF(OR($C1099="",$D1099=0),"",$E1099/$D1099)</f>
        <v/>
      </c>
      <c r="H1099" s="0" t="str">
        <f aca="false">IF($C1099="","",IF(COUNTIF('مواد المخزون'!$A$2:$A$90,$C1099)&gt;0,"نعم","لا (خارج الجرد)"))</f>
        <v/>
      </c>
    </row>
    <row r="1100" customFormat="false" ht="15" hidden="false" customHeight="false" outlineLevel="0" collapsed="false">
      <c r="A1100" s="103"/>
      <c r="B1100" s="104"/>
      <c r="C1100" s="104"/>
      <c r="F1100" s="107" t="str">
        <f aca="false">IF(OR($C1100="",$D1100=0),"",$E1100/$D1100)</f>
        <v/>
      </c>
      <c r="H1100" s="0" t="str">
        <f aca="false">IF($C1100="","",IF(COUNTIF('مواد المخزون'!$A$2:$A$90,$C1100)&gt;0,"نعم","لا (خارج الجرد)"))</f>
        <v/>
      </c>
    </row>
    <row r="1101" customFormat="false" ht="15" hidden="false" customHeight="false" outlineLevel="0" collapsed="false">
      <c r="A1101" s="103"/>
      <c r="B1101" s="104"/>
      <c r="C1101" s="104"/>
      <c r="F1101" s="107" t="str">
        <f aca="false">IF(OR($C1101="",$D1101=0),"",$E1101/$D1101)</f>
        <v/>
      </c>
      <c r="H1101" s="0" t="str">
        <f aca="false">IF($C1101="","",IF(COUNTIF('مواد المخزون'!$A$2:$A$90,$C1101)&gt;0,"نعم","لا (خارج الجرد)"))</f>
        <v/>
      </c>
    </row>
    <row r="1102" customFormat="false" ht="15" hidden="false" customHeight="false" outlineLevel="0" collapsed="false">
      <c r="A1102" s="103"/>
      <c r="B1102" s="104"/>
      <c r="C1102" s="104"/>
      <c r="F1102" s="107" t="str">
        <f aca="false">IF(OR($C1102="",$D1102=0),"",$E1102/$D1102)</f>
        <v/>
      </c>
      <c r="H1102" s="0" t="str">
        <f aca="false">IF($C1102="","",IF(COUNTIF('مواد المخزون'!$A$2:$A$90,$C1102)&gt;0,"نعم","لا (خارج الجرد)"))</f>
        <v/>
      </c>
    </row>
    <row r="1103" customFormat="false" ht="15" hidden="false" customHeight="false" outlineLevel="0" collapsed="false">
      <c r="A1103" s="103"/>
      <c r="B1103" s="104"/>
      <c r="C1103" s="104"/>
      <c r="F1103" s="107" t="str">
        <f aca="false">IF(OR($C1103="",$D1103=0),"",$E1103/$D1103)</f>
        <v/>
      </c>
      <c r="H1103" s="0" t="str">
        <f aca="false">IF($C1103="","",IF(COUNTIF('مواد المخزون'!$A$2:$A$90,$C1103)&gt;0,"نعم","لا (خارج الجرد)"))</f>
        <v/>
      </c>
    </row>
    <row r="1104" customFormat="false" ht="15" hidden="false" customHeight="false" outlineLevel="0" collapsed="false">
      <c r="A1104" s="103"/>
      <c r="B1104" s="104"/>
      <c r="C1104" s="104"/>
      <c r="F1104" s="107" t="str">
        <f aca="false">IF(OR($C1104="",$D1104=0),"",$E1104/$D1104)</f>
        <v/>
      </c>
      <c r="H1104" s="0" t="str">
        <f aca="false">IF($C1104="","",IF(COUNTIF('مواد المخزون'!$A$2:$A$90,$C1104)&gt;0,"نعم","لا (خارج الجرد)"))</f>
        <v/>
      </c>
    </row>
    <row r="1105" customFormat="false" ht="15" hidden="false" customHeight="false" outlineLevel="0" collapsed="false">
      <c r="A1105" s="103"/>
      <c r="B1105" s="104"/>
      <c r="C1105" s="104"/>
      <c r="F1105" s="107" t="str">
        <f aca="false">IF(OR($C1105="",$D1105=0),"",$E1105/$D1105)</f>
        <v/>
      </c>
      <c r="H1105" s="0" t="str">
        <f aca="false">IF($C1105="","",IF(COUNTIF('مواد المخزون'!$A$2:$A$90,$C1105)&gt;0,"نعم","لا (خارج الجرد)"))</f>
        <v/>
      </c>
    </row>
    <row r="1106" customFormat="false" ht="15" hidden="false" customHeight="false" outlineLevel="0" collapsed="false">
      <c r="A1106" s="103"/>
      <c r="B1106" s="104"/>
      <c r="C1106" s="104"/>
      <c r="F1106" s="107" t="str">
        <f aca="false">IF(OR($C1106="",$D1106=0),"",$E1106/$D1106)</f>
        <v/>
      </c>
      <c r="H1106" s="0" t="str">
        <f aca="false">IF($C1106="","",IF(COUNTIF('مواد المخزون'!$A$2:$A$90,$C1106)&gt;0,"نعم","لا (خارج الجرد)"))</f>
        <v/>
      </c>
    </row>
    <row r="1107" customFormat="false" ht="15" hidden="false" customHeight="false" outlineLevel="0" collapsed="false">
      <c r="A1107" s="103"/>
      <c r="B1107" s="104"/>
      <c r="C1107" s="104"/>
      <c r="F1107" s="107" t="str">
        <f aca="false">IF(OR($C1107="",$D1107=0),"",$E1107/$D1107)</f>
        <v/>
      </c>
      <c r="H1107" s="0" t="str">
        <f aca="false">IF($C1107="","",IF(COUNTIF('مواد المخزون'!$A$2:$A$90,$C1107)&gt;0,"نعم","لا (خارج الجرد)"))</f>
        <v/>
      </c>
    </row>
    <row r="1108" customFormat="false" ht="15" hidden="false" customHeight="false" outlineLevel="0" collapsed="false">
      <c r="A1108" s="103"/>
      <c r="B1108" s="104"/>
      <c r="C1108" s="104"/>
      <c r="F1108" s="107" t="str">
        <f aca="false">IF(OR($C1108="",$D1108=0),"",$E1108/$D1108)</f>
        <v/>
      </c>
      <c r="H1108" s="0" t="str">
        <f aca="false">IF($C1108="","",IF(COUNTIF('مواد المخزون'!$A$2:$A$90,$C1108)&gt;0,"نعم","لا (خارج الجرد)"))</f>
        <v/>
      </c>
    </row>
    <row r="1109" customFormat="false" ht="15" hidden="false" customHeight="false" outlineLevel="0" collapsed="false">
      <c r="A1109" s="103"/>
      <c r="B1109" s="104"/>
      <c r="C1109" s="104"/>
      <c r="F1109" s="107" t="str">
        <f aca="false">IF(OR($C1109="",$D1109=0),"",$E1109/$D1109)</f>
        <v/>
      </c>
      <c r="H1109" s="0" t="str">
        <f aca="false">IF($C1109="","",IF(COUNTIF('مواد المخزون'!$A$2:$A$90,$C1109)&gt;0,"نعم","لا (خارج الجرد)"))</f>
        <v/>
      </c>
    </row>
    <row r="1110" customFormat="false" ht="15" hidden="false" customHeight="false" outlineLevel="0" collapsed="false">
      <c r="A1110" s="103"/>
      <c r="B1110" s="104"/>
      <c r="C1110" s="104"/>
      <c r="F1110" s="107" t="str">
        <f aca="false">IF(OR($C1110="",$D1110=0),"",$E1110/$D1110)</f>
        <v/>
      </c>
      <c r="H1110" s="0" t="str">
        <f aca="false">IF($C1110="","",IF(COUNTIF('مواد المخزون'!$A$2:$A$90,$C1110)&gt;0,"نعم","لا (خارج الجرد)"))</f>
        <v/>
      </c>
    </row>
    <row r="1111" customFormat="false" ht="15" hidden="false" customHeight="false" outlineLevel="0" collapsed="false">
      <c r="A1111" s="103"/>
      <c r="B1111" s="104"/>
      <c r="C1111" s="104"/>
      <c r="F1111" s="107" t="str">
        <f aca="false">IF(OR($C1111="",$D1111=0),"",$E1111/$D1111)</f>
        <v/>
      </c>
      <c r="H1111" s="0" t="str">
        <f aca="false">IF($C1111="","",IF(COUNTIF('مواد المخزون'!$A$2:$A$90,$C1111)&gt;0,"نعم","لا (خارج الجرد)"))</f>
        <v/>
      </c>
    </row>
    <row r="1112" customFormat="false" ht="15" hidden="false" customHeight="false" outlineLevel="0" collapsed="false">
      <c r="A1112" s="103"/>
      <c r="B1112" s="104"/>
      <c r="C1112" s="104"/>
      <c r="F1112" s="107" t="str">
        <f aca="false">IF(OR($C1112="",$D1112=0),"",$E1112/$D1112)</f>
        <v/>
      </c>
      <c r="H1112" s="0" t="str">
        <f aca="false">IF($C1112="","",IF(COUNTIF('مواد المخزون'!$A$2:$A$90,$C1112)&gt;0,"نعم","لا (خارج الجرد)"))</f>
        <v/>
      </c>
    </row>
    <row r="1113" customFormat="false" ht="15" hidden="false" customHeight="false" outlineLevel="0" collapsed="false">
      <c r="A1113" s="103"/>
      <c r="B1113" s="104"/>
      <c r="C1113" s="104"/>
      <c r="F1113" s="107" t="str">
        <f aca="false">IF(OR($C1113="",$D1113=0),"",$E1113/$D1113)</f>
        <v/>
      </c>
      <c r="H1113" s="0" t="str">
        <f aca="false">IF($C1113="","",IF(COUNTIF('مواد المخزون'!$A$2:$A$90,$C1113)&gt;0,"نعم","لا (خارج الجرد)"))</f>
        <v/>
      </c>
    </row>
    <row r="1114" customFormat="false" ht="15" hidden="false" customHeight="false" outlineLevel="0" collapsed="false">
      <c r="A1114" s="103"/>
      <c r="B1114" s="104"/>
      <c r="C1114" s="104"/>
      <c r="F1114" s="107" t="str">
        <f aca="false">IF(OR($C1114="",$D1114=0),"",$E1114/$D1114)</f>
        <v/>
      </c>
      <c r="H1114" s="0" t="str">
        <f aca="false">IF($C1114="","",IF(COUNTIF('مواد المخزون'!$A$2:$A$90,$C1114)&gt;0,"نعم","لا (خارج الجرد)"))</f>
        <v/>
      </c>
    </row>
    <row r="1115" customFormat="false" ht="15" hidden="false" customHeight="false" outlineLevel="0" collapsed="false">
      <c r="A1115" s="103"/>
      <c r="B1115" s="104"/>
      <c r="C1115" s="104"/>
      <c r="F1115" s="107" t="str">
        <f aca="false">IF(OR($C1115="",$D1115=0),"",$E1115/$D1115)</f>
        <v/>
      </c>
      <c r="H1115" s="0" t="str">
        <f aca="false">IF($C1115="","",IF(COUNTIF('مواد المخزون'!$A$2:$A$90,$C1115)&gt;0,"نعم","لا (خارج الجرد)"))</f>
        <v/>
      </c>
    </row>
    <row r="1116" customFormat="false" ht="15" hidden="false" customHeight="false" outlineLevel="0" collapsed="false">
      <c r="A1116" s="103"/>
      <c r="B1116" s="104"/>
      <c r="C1116" s="104"/>
      <c r="F1116" s="107" t="str">
        <f aca="false">IF(OR($C1116="",$D1116=0),"",$E1116/$D1116)</f>
        <v/>
      </c>
      <c r="H1116" s="0" t="str">
        <f aca="false">IF($C1116="","",IF(COUNTIF('مواد المخزون'!$A$2:$A$90,$C1116)&gt;0,"نعم","لا (خارج الجرد)"))</f>
        <v/>
      </c>
    </row>
    <row r="1117" customFormat="false" ht="15" hidden="false" customHeight="false" outlineLevel="0" collapsed="false">
      <c r="A1117" s="103"/>
      <c r="B1117" s="104"/>
      <c r="C1117" s="104"/>
      <c r="F1117" s="107" t="str">
        <f aca="false">IF(OR($C1117="",$D1117=0),"",$E1117/$D1117)</f>
        <v/>
      </c>
      <c r="H1117" s="0" t="str">
        <f aca="false">IF($C1117="","",IF(COUNTIF('مواد المخزون'!$A$2:$A$90,$C1117)&gt;0,"نعم","لا (خارج الجرد)"))</f>
        <v/>
      </c>
    </row>
    <row r="1118" customFormat="false" ht="15" hidden="false" customHeight="false" outlineLevel="0" collapsed="false">
      <c r="A1118" s="103"/>
      <c r="B1118" s="104"/>
      <c r="C1118" s="104"/>
      <c r="F1118" s="107" t="str">
        <f aca="false">IF(OR($C1118="",$D1118=0),"",$E1118/$D1118)</f>
        <v/>
      </c>
      <c r="H1118" s="0" t="str">
        <f aca="false">IF($C1118="","",IF(COUNTIF('مواد المخزون'!$A$2:$A$90,$C1118)&gt;0,"نعم","لا (خارج الجرد)"))</f>
        <v/>
      </c>
    </row>
    <row r="1119" customFormat="false" ht="15" hidden="false" customHeight="false" outlineLevel="0" collapsed="false">
      <c r="A1119" s="103"/>
      <c r="B1119" s="104"/>
      <c r="C1119" s="104"/>
      <c r="F1119" s="107" t="str">
        <f aca="false">IF(OR($C1119="",$D1119=0),"",$E1119/$D1119)</f>
        <v/>
      </c>
      <c r="H1119" s="0" t="str">
        <f aca="false">IF($C1119="","",IF(COUNTIF('مواد المخزون'!$A$2:$A$90,$C1119)&gt;0,"نعم","لا (خارج الجرد)"))</f>
        <v/>
      </c>
    </row>
    <row r="1120" customFormat="false" ht="15" hidden="false" customHeight="false" outlineLevel="0" collapsed="false">
      <c r="A1120" s="103"/>
      <c r="B1120" s="104"/>
      <c r="C1120" s="104"/>
      <c r="F1120" s="107" t="str">
        <f aca="false">IF(OR($C1120="",$D1120=0),"",$E1120/$D1120)</f>
        <v/>
      </c>
      <c r="H1120" s="0" t="str">
        <f aca="false">IF($C1120="","",IF(COUNTIF('مواد المخزون'!$A$2:$A$90,$C1120)&gt;0,"نعم","لا (خارج الجرد)"))</f>
        <v/>
      </c>
    </row>
    <row r="1121" customFormat="false" ht="15" hidden="false" customHeight="false" outlineLevel="0" collapsed="false">
      <c r="A1121" s="103"/>
      <c r="B1121" s="104"/>
      <c r="C1121" s="104"/>
      <c r="F1121" s="107" t="str">
        <f aca="false">IF(OR($C1121="",$D1121=0),"",$E1121/$D1121)</f>
        <v/>
      </c>
      <c r="H1121" s="0" t="str">
        <f aca="false">IF($C1121="","",IF(COUNTIF('مواد المخزون'!$A$2:$A$90,$C1121)&gt;0,"نعم","لا (خارج الجرد)"))</f>
        <v/>
      </c>
    </row>
    <row r="1122" customFormat="false" ht="15" hidden="false" customHeight="false" outlineLevel="0" collapsed="false">
      <c r="A1122" s="103"/>
      <c r="B1122" s="104"/>
      <c r="C1122" s="104"/>
      <c r="F1122" s="107" t="str">
        <f aca="false">IF(OR($C1122="",$D1122=0),"",$E1122/$D1122)</f>
        <v/>
      </c>
      <c r="H1122" s="0" t="str">
        <f aca="false">IF($C1122="","",IF(COUNTIF('مواد المخزون'!$A$2:$A$90,$C1122)&gt;0,"نعم","لا (خارج الجرد)"))</f>
        <v/>
      </c>
    </row>
    <row r="1123" customFormat="false" ht="15" hidden="false" customHeight="false" outlineLevel="0" collapsed="false">
      <c r="A1123" s="103"/>
      <c r="B1123" s="104"/>
      <c r="C1123" s="104"/>
      <c r="F1123" s="107" t="str">
        <f aca="false">IF(OR($C1123="",$D1123=0),"",$E1123/$D1123)</f>
        <v/>
      </c>
      <c r="H1123" s="0" t="str">
        <f aca="false">IF($C1123="","",IF(COUNTIF('مواد المخزون'!$A$2:$A$90,$C1123)&gt;0,"نعم","لا (خارج الجرد)"))</f>
        <v/>
      </c>
    </row>
    <row r="1124" customFormat="false" ht="15" hidden="false" customHeight="false" outlineLevel="0" collapsed="false">
      <c r="A1124" s="103"/>
      <c r="B1124" s="104"/>
      <c r="C1124" s="104"/>
      <c r="F1124" s="107" t="str">
        <f aca="false">IF(OR($C1124="",$D1124=0),"",$E1124/$D1124)</f>
        <v/>
      </c>
      <c r="H1124" s="0" t="str">
        <f aca="false">IF($C1124="","",IF(COUNTIF('مواد المخزون'!$A$2:$A$90,$C1124)&gt;0,"نعم","لا (خارج الجرد)"))</f>
        <v/>
      </c>
    </row>
    <row r="1125" customFormat="false" ht="15" hidden="false" customHeight="false" outlineLevel="0" collapsed="false">
      <c r="A1125" s="103"/>
      <c r="B1125" s="104"/>
      <c r="C1125" s="104"/>
      <c r="F1125" s="107" t="str">
        <f aca="false">IF(OR($C1125="",$D1125=0),"",$E1125/$D1125)</f>
        <v/>
      </c>
      <c r="H1125" s="0" t="str">
        <f aca="false">IF($C1125="","",IF(COUNTIF('مواد المخزون'!$A$2:$A$90,$C1125)&gt;0,"نعم","لا (خارج الجرد)"))</f>
        <v/>
      </c>
    </row>
    <row r="1126" customFormat="false" ht="15" hidden="false" customHeight="false" outlineLevel="0" collapsed="false">
      <c r="A1126" s="103"/>
      <c r="B1126" s="104"/>
      <c r="C1126" s="104"/>
      <c r="F1126" s="107" t="str">
        <f aca="false">IF(OR($C1126="",$D1126=0),"",$E1126/$D1126)</f>
        <v/>
      </c>
      <c r="H1126" s="0" t="str">
        <f aca="false">IF($C1126="","",IF(COUNTIF('مواد المخزون'!$A$2:$A$90,$C1126)&gt;0,"نعم","لا (خارج الجرد)"))</f>
        <v/>
      </c>
    </row>
    <row r="1127" customFormat="false" ht="15" hidden="false" customHeight="false" outlineLevel="0" collapsed="false">
      <c r="A1127" s="103"/>
      <c r="B1127" s="104"/>
      <c r="C1127" s="104"/>
      <c r="F1127" s="107" t="str">
        <f aca="false">IF(OR($C1127="",$D1127=0),"",$E1127/$D1127)</f>
        <v/>
      </c>
      <c r="H1127" s="0" t="str">
        <f aca="false">IF($C1127="","",IF(COUNTIF('مواد المخزون'!$A$2:$A$90,$C1127)&gt;0,"نعم","لا (خارج الجرد)"))</f>
        <v/>
      </c>
    </row>
    <row r="1128" customFormat="false" ht="15" hidden="false" customHeight="false" outlineLevel="0" collapsed="false">
      <c r="A1128" s="103"/>
      <c r="B1128" s="104"/>
      <c r="C1128" s="104"/>
      <c r="F1128" s="107" t="str">
        <f aca="false">IF(OR($C1128="",$D1128=0),"",$E1128/$D1128)</f>
        <v/>
      </c>
      <c r="H1128" s="0" t="str">
        <f aca="false">IF($C1128="","",IF(COUNTIF('مواد المخزون'!$A$2:$A$90,$C1128)&gt;0,"نعم","لا (خارج الجرد)"))</f>
        <v/>
      </c>
    </row>
    <row r="1129" customFormat="false" ht="15" hidden="false" customHeight="false" outlineLevel="0" collapsed="false">
      <c r="A1129" s="103"/>
      <c r="B1129" s="104"/>
      <c r="C1129" s="104"/>
      <c r="F1129" s="107" t="str">
        <f aca="false">IF(OR($C1129="",$D1129=0),"",$E1129/$D1129)</f>
        <v/>
      </c>
      <c r="H1129" s="0" t="str">
        <f aca="false">IF($C1129="","",IF(COUNTIF('مواد المخزون'!$A$2:$A$90,$C1129)&gt;0,"نعم","لا (خارج الجرد)"))</f>
        <v/>
      </c>
    </row>
    <row r="1130" customFormat="false" ht="15" hidden="false" customHeight="false" outlineLevel="0" collapsed="false">
      <c r="A1130" s="103"/>
      <c r="B1130" s="104"/>
      <c r="C1130" s="104"/>
      <c r="F1130" s="107" t="str">
        <f aca="false">IF(OR($C1130="",$D1130=0),"",$E1130/$D1130)</f>
        <v/>
      </c>
      <c r="H1130" s="0" t="str">
        <f aca="false">IF($C1130="","",IF(COUNTIF('مواد المخزون'!$A$2:$A$90,$C1130)&gt;0,"نعم","لا (خارج الجرد)"))</f>
        <v/>
      </c>
    </row>
    <row r="1131" customFormat="false" ht="15" hidden="false" customHeight="false" outlineLevel="0" collapsed="false">
      <c r="A1131" s="103"/>
      <c r="B1131" s="104"/>
      <c r="C1131" s="104"/>
      <c r="F1131" s="107" t="str">
        <f aca="false">IF(OR($C1131="",$D1131=0),"",$E1131/$D1131)</f>
        <v/>
      </c>
      <c r="H1131" s="0" t="str">
        <f aca="false">IF($C1131="","",IF(COUNTIF('مواد المخزون'!$A$2:$A$90,$C1131)&gt;0,"نعم","لا (خارج الجرد)"))</f>
        <v/>
      </c>
    </row>
    <row r="1132" customFormat="false" ht="15" hidden="false" customHeight="false" outlineLevel="0" collapsed="false">
      <c r="A1132" s="103"/>
      <c r="B1132" s="104"/>
      <c r="C1132" s="104"/>
      <c r="F1132" s="107" t="str">
        <f aca="false">IF(OR($C1132="",$D1132=0),"",$E1132/$D1132)</f>
        <v/>
      </c>
      <c r="H1132" s="0" t="str">
        <f aca="false">IF($C1132="","",IF(COUNTIF('مواد المخزون'!$A$2:$A$90,$C1132)&gt;0,"نعم","لا (خارج الجرد)"))</f>
        <v/>
      </c>
    </row>
    <row r="1133" customFormat="false" ht="15" hidden="false" customHeight="false" outlineLevel="0" collapsed="false">
      <c r="A1133" s="103"/>
      <c r="B1133" s="104"/>
      <c r="C1133" s="104"/>
      <c r="F1133" s="107" t="str">
        <f aca="false">IF(OR($C1133="",$D1133=0),"",$E1133/$D1133)</f>
        <v/>
      </c>
      <c r="H1133" s="0" t="str">
        <f aca="false">IF($C1133="","",IF(COUNTIF('مواد المخزون'!$A$2:$A$90,$C1133)&gt;0,"نعم","لا (خارج الجرد)"))</f>
        <v/>
      </c>
    </row>
    <row r="1134" customFormat="false" ht="15" hidden="false" customHeight="false" outlineLevel="0" collapsed="false">
      <c r="A1134" s="103"/>
      <c r="B1134" s="104"/>
      <c r="C1134" s="104"/>
      <c r="F1134" s="107" t="str">
        <f aca="false">IF(OR($C1134="",$D1134=0),"",$E1134/$D1134)</f>
        <v/>
      </c>
      <c r="H1134" s="0" t="str">
        <f aca="false">IF($C1134="","",IF(COUNTIF('مواد المخزون'!$A$2:$A$90,$C1134)&gt;0,"نعم","لا (خارج الجرد)"))</f>
        <v/>
      </c>
    </row>
    <row r="1135" customFormat="false" ht="15" hidden="false" customHeight="false" outlineLevel="0" collapsed="false">
      <c r="A1135" s="103"/>
      <c r="B1135" s="104"/>
      <c r="C1135" s="104"/>
      <c r="F1135" s="107" t="str">
        <f aca="false">IF(OR($C1135="",$D1135=0),"",$E1135/$D1135)</f>
        <v/>
      </c>
      <c r="H1135" s="0" t="str">
        <f aca="false">IF($C1135="","",IF(COUNTIF('مواد المخزون'!$A$2:$A$90,$C1135)&gt;0,"نعم","لا (خارج الجرد)"))</f>
        <v/>
      </c>
    </row>
    <row r="1136" customFormat="false" ht="15" hidden="false" customHeight="false" outlineLevel="0" collapsed="false">
      <c r="A1136" s="103"/>
      <c r="B1136" s="104"/>
      <c r="C1136" s="104"/>
      <c r="F1136" s="107" t="str">
        <f aca="false">IF(OR($C1136="",$D1136=0),"",$E1136/$D1136)</f>
        <v/>
      </c>
      <c r="H1136" s="0" t="str">
        <f aca="false">IF($C1136="","",IF(COUNTIF('مواد المخزون'!$A$2:$A$90,$C1136)&gt;0,"نعم","لا (خارج الجرد)"))</f>
        <v/>
      </c>
    </row>
    <row r="1137" customFormat="false" ht="15" hidden="false" customHeight="false" outlineLevel="0" collapsed="false">
      <c r="A1137" s="103"/>
      <c r="B1137" s="104"/>
      <c r="C1137" s="104"/>
      <c r="F1137" s="107" t="str">
        <f aca="false">IF(OR($C1137="",$D1137=0),"",$E1137/$D1137)</f>
        <v/>
      </c>
      <c r="H1137" s="0" t="str">
        <f aca="false">IF($C1137="","",IF(COUNTIF('مواد المخزون'!$A$2:$A$90,$C1137)&gt;0,"نعم","لا (خارج الجرد)"))</f>
        <v/>
      </c>
    </row>
    <row r="1138" customFormat="false" ht="15" hidden="false" customHeight="false" outlineLevel="0" collapsed="false">
      <c r="A1138" s="103"/>
      <c r="B1138" s="104"/>
      <c r="C1138" s="104"/>
      <c r="F1138" s="107" t="str">
        <f aca="false">IF(OR($C1138="",$D1138=0),"",$E1138/$D1138)</f>
        <v/>
      </c>
      <c r="H1138" s="0" t="str">
        <f aca="false">IF($C1138="","",IF(COUNTIF('مواد المخزون'!$A$2:$A$90,$C1138)&gt;0,"نعم","لا (خارج الجرد)"))</f>
        <v/>
      </c>
    </row>
    <row r="1139" customFormat="false" ht="15" hidden="false" customHeight="false" outlineLevel="0" collapsed="false">
      <c r="A1139" s="103"/>
      <c r="B1139" s="104"/>
      <c r="C1139" s="104"/>
      <c r="F1139" s="107" t="str">
        <f aca="false">IF(OR($C1139="",$D1139=0),"",$E1139/$D1139)</f>
        <v/>
      </c>
      <c r="H1139" s="0" t="str">
        <f aca="false">IF($C1139="","",IF(COUNTIF('مواد المخزون'!$A$2:$A$90,$C1139)&gt;0,"نعم","لا (خارج الجرد)"))</f>
        <v/>
      </c>
    </row>
    <row r="1140" customFormat="false" ht="15" hidden="false" customHeight="false" outlineLevel="0" collapsed="false">
      <c r="A1140" s="103"/>
      <c r="B1140" s="104"/>
      <c r="C1140" s="104"/>
      <c r="F1140" s="107" t="str">
        <f aca="false">IF(OR($C1140="",$D1140=0),"",$E1140/$D1140)</f>
        <v/>
      </c>
      <c r="H1140" s="0" t="str">
        <f aca="false">IF($C1140="","",IF(COUNTIF('مواد المخزون'!$A$2:$A$90,$C1140)&gt;0,"نعم","لا (خارج الجرد)"))</f>
        <v/>
      </c>
    </row>
    <row r="1141" customFormat="false" ht="15" hidden="false" customHeight="false" outlineLevel="0" collapsed="false">
      <c r="A1141" s="103"/>
      <c r="B1141" s="104"/>
      <c r="C1141" s="104"/>
      <c r="F1141" s="107" t="str">
        <f aca="false">IF(OR($C1141="",$D1141=0),"",$E1141/$D1141)</f>
        <v/>
      </c>
      <c r="H1141" s="0" t="str">
        <f aca="false">IF($C1141="","",IF(COUNTIF('مواد المخزون'!$A$2:$A$90,$C1141)&gt;0,"نعم","لا (خارج الجرد)"))</f>
        <v/>
      </c>
    </row>
    <row r="1142" customFormat="false" ht="15" hidden="false" customHeight="false" outlineLevel="0" collapsed="false">
      <c r="A1142" s="103"/>
      <c r="B1142" s="104"/>
      <c r="C1142" s="104"/>
      <c r="F1142" s="107" t="str">
        <f aca="false">IF(OR($C1142="",$D1142=0),"",$E1142/$D1142)</f>
        <v/>
      </c>
      <c r="H1142" s="0" t="str">
        <f aca="false">IF($C1142="","",IF(COUNTIF('مواد المخزون'!$A$2:$A$90,$C1142)&gt;0,"نعم","لا (خارج الجرد)"))</f>
        <v/>
      </c>
    </row>
    <row r="1143" customFormat="false" ht="15" hidden="false" customHeight="false" outlineLevel="0" collapsed="false">
      <c r="A1143" s="103"/>
      <c r="B1143" s="104"/>
      <c r="C1143" s="104"/>
      <c r="F1143" s="107" t="str">
        <f aca="false">IF(OR($C1143="",$D1143=0),"",$E1143/$D1143)</f>
        <v/>
      </c>
      <c r="H1143" s="0" t="str">
        <f aca="false">IF($C1143="","",IF(COUNTIF('مواد المخزون'!$A$2:$A$90,$C1143)&gt;0,"نعم","لا (خارج الجرد)"))</f>
        <v/>
      </c>
    </row>
    <row r="1144" customFormat="false" ht="15" hidden="false" customHeight="false" outlineLevel="0" collapsed="false">
      <c r="A1144" s="103"/>
      <c r="B1144" s="104"/>
      <c r="C1144" s="104"/>
      <c r="F1144" s="107" t="str">
        <f aca="false">IF(OR($C1144="",$D1144=0),"",$E1144/$D1144)</f>
        <v/>
      </c>
      <c r="H1144" s="0" t="str">
        <f aca="false">IF($C1144="","",IF(COUNTIF('مواد المخزون'!$A$2:$A$90,$C1144)&gt;0,"نعم","لا (خارج الجرد)"))</f>
        <v/>
      </c>
    </row>
    <row r="1145" customFormat="false" ht="15" hidden="false" customHeight="false" outlineLevel="0" collapsed="false">
      <c r="A1145" s="103"/>
      <c r="B1145" s="104"/>
      <c r="C1145" s="104"/>
      <c r="F1145" s="107" t="str">
        <f aca="false">IF(OR($C1145="",$D1145=0),"",$E1145/$D1145)</f>
        <v/>
      </c>
      <c r="H1145" s="0" t="str">
        <f aca="false">IF($C1145="","",IF(COUNTIF('مواد المخزون'!$A$2:$A$90,$C1145)&gt;0,"نعم","لا (خارج الجرد)"))</f>
        <v/>
      </c>
    </row>
    <row r="1146" customFormat="false" ht="15" hidden="false" customHeight="false" outlineLevel="0" collapsed="false">
      <c r="A1146" s="103"/>
      <c r="B1146" s="104"/>
      <c r="C1146" s="104"/>
      <c r="F1146" s="107" t="str">
        <f aca="false">IF(OR($C1146="",$D1146=0),"",$E1146/$D1146)</f>
        <v/>
      </c>
      <c r="H1146" s="0" t="str">
        <f aca="false">IF($C1146="","",IF(COUNTIF('مواد المخزون'!$A$2:$A$90,$C1146)&gt;0,"نعم","لا (خارج الجرد)"))</f>
        <v/>
      </c>
    </row>
    <row r="1147" customFormat="false" ht="15" hidden="false" customHeight="false" outlineLevel="0" collapsed="false">
      <c r="A1147" s="103"/>
      <c r="B1147" s="104"/>
      <c r="C1147" s="104"/>
      <c r="F1147" s="107" t="str">
        <f aca="false">IF(OR($C1147="",$D1147=0),"",$E1147/$D1147)</f>
        <v/>
      </c>
      <c r="H1147" s="0" t="str">
        <f aca="false">IF($C1147="","",IF(COUNTIF('مواد المخزون'!$A$2:$A$90,$C1147)&gt;0,"نعم","لا (خارج الجرد)"))</f>
        <v/>
      </c>
    </row>
    <row r="1148" customFormat="false" ht="15" hidden="false" customHeight="false" outlineLevel="0" collapsed="false">
      <c r="A1148" s="103"/>
      <c r="B1148" s="104"/>
      <c r="C1148" s="104"/>
      <c r="F1148" s="107" t="str">
        <f aca="false">IF(OR($C1148="",$D1148=0),"",$E1148/$D1148)</f>
        <v/>
      </c>
      <c r="H1148" s="0" t="str">
        <f aca="false">IF($C1148="","",IF(COUNTIF('مواد المخزون'!$A$2:$A$90,$C1148)&gt;0,"نعم","لا (خارج الجرد)"))</f>
        <v/>
      </c>
    </row>
    <row r="1149" customFormat="false" ht="15" hidden="false" customHeight="false" outlineLevel="0" collapsed="false">
      <c r="A1149" s="103"/>
      <c r="B1149" s="104"/>
      <c r="C1149" s="104"/>
      <c r="F1149" s="107" t="str">
        <f aca="false">IF(OR($C1149="",$D1149=0),"",$E1149/$D1149)</f>
        <v/>
      </c>
      <c r="H1149" s="0" t="str">
        <f aca="false">IF($C1149="","",IF(COUNTIF('مواد المخزون'!$A$2:$A$90,$C1149)&gt;0,"نعم","لا (خارج الجرد)"))</f>
        <v/>
      </c>
    </row>
    <row r="1150" customFormat="false" ht="15" hidden="false" customHeight="false" outlineLevel="0" collapsed="false">
      <c r="A1150" s="103"/>
      <c r="B1150" s="104"/>
      <c r="C1150" s="104"/>
      <c r="F1150" s="107" t="str">
        <f aca="false">IF(OR($C1150="",$D1150=0),"",$E1150/$D1150)</f>
        <v/>
      </c>
      <c r="H1150" s="0" t="str">
        <f aca="false">IF($C1150="","",IF(COUNTIF('مواد المخزون'!$A$2:$A$90,$C1150)&gt;0,"نعم","لا (خارج الجرد)"))</f>
        <v/>
      </c>
    </row>
    <row r="1151" customFormat="false" ht="15" hidden="false" customHeight="false" outlineLevel="0" collapsed="false">
      <c r="A1151" s="103"/>
      <c r="B1151" s="104"/>
      <c r="C1151" s="104"/>
      <c r="F1151" s="107" t="str">
        <f aca="false">IF(OR($C1151="",$D1151=0),"",$E1151/$D1151)</f>
        <v/>
      </c>
      <c r="H1151" s="0" t="str">
        <f aca="false">IF($C1151="","",IF(COUNTIF('مواد المخزون'!$A$2:$A$90,$C1151)&gt;0,"نعم","لا (خارج الجرد)"))</f>
        <v/>
      </c>
    </row>
    <row r="1152" customFormat="false" ht="15" hidden="false" customHeight="false" outlineLevel="0" collapsed="false">
      <c r="A1152" s="103"/>
      <c r="B1152" s="104"/>
      <c r="C1152" s="104"/>
      <c r="F1152" s="107" t="str">
        <f aca="false">IF(OR($C1152="",$D1152=0),"",$E1152/$D1152)</f>
        <v/>
      </c>
      <c r="H1152" s="0" t="str">
        <f aca="false">IF($C1152="","",IF(COUNTIF('مواد المخزون'!$A$2:$A$90,$C1152)&gt;0,"نعم","لا (خارج الجرد)"))</f>
        <v/>
      </c>
    </row>
    <row r="1153" customFormat="false" ht="15" hidden="false" customHeight="false" outlineLevel="0" collapsed="false">
      <c r="A1153" s="103"/>
      <c r="B1153" s="104"/>
      <c r="C1153" s="104"/>
      <c r="F1153" s="107" t="str">
        <f aca="false">IF(OR($C1153="",$D1153=0),"",$E1153/$D1153)</f>
        <v/>
      </c>
      <c r="H1153" s="0" t="str">
        <f aca="false">IF($C1153="","",IF(COUNTIF('مواد المخزون'!$A$2:$A$90,$C1153)&gt;0,"نعم","لا (خارج الجرد)"))</f>
        <v/>
      </c>
    </row>
    <row r="1154" customFormat="false" ht="15" hidden="false" customHeight="false" outlineLevel="0" collapsed="false">
      <c r="A1154" s="103"/>
      <c r="B1154" s="104"/>
      <c r="C1154" s="104"/>
      <c r="F1154" s="107" t="str">
        <f aca="false">IF(OR($C1154="",$D1154=0),"",$E1154/$D1154)</f>
        <v/>
      </c>
      <c r="H1154" s="0" t="str">
        <f aca="false">IF($C1154="","",IF(COUNTIF('مواد المخزون'!$A$2:$A$90,$C1154)&gt;0,"نعم","لا (خارج الجرد)"))</f>
        <v/>
      </c>
    </row>
    <row r="1155" customFormat="false" ht="15" hidden="false" customHeight="false" outlineLevel="0" collapsed="false">
      <c r="A1155" s="103"/>
      <c r="B1155" s="104"/>
      <c r="C1155" s="104"/>
      <c r="F1155" s="107" t="str">
        <f aca="false">IF(OR($C1155="",$D1155=0),"",$E1155/$D1155)</f>
        <v/>
      </c>
      <c r="H1155" s="0" t="str">
        <f aca="false">IF($C1155="","",IF(COUNTIF('مواد المخزون'!$A$2:$A$90,$C1155)&gt;0,"نعم","لا (خارج الجرد)"))</f>
        <v/>
      </c>
    </row>
    <row r="1156" customFormat="false" ht="15" hidden="false" customHeight="false" outlineLevel="0" collapsed="false">
      <c r="A1156" s="103"/>
      <c r="B1156" s="104"/>
      <c r="C1156" s="104"/>
      <c r="F1156" s="107" t="str">
        <f aca="false">IF(OR($C1156="",$D1156=0),"",$E1156/$D1156)</f>
        <v/>
      </c>
      <c r="H1156" s="0" t="str">
        <f aca="false">IF($C1156="","",IF(COUNTIF('مواد المخزون'!$A$2:$A$90,$C1156)&gt;0,"نعم","لا (خارج الجرد)"))</f>
        <v/>
      </c>
    </row>
    <row r="1157" customFormat="false" ht="15" hidden="false" customHeight="false" outlineLevel="0" collapsed="false">
      <c r="A1157" s="103"/>
      <c r="B1157" s="104"/>
      <c r="C1157" s="104"/>
      <c r="F1157" s="107" t="str">
        <f aca="false">IF(OR($C1157="",$D1157=0),"",$E1157/$D1157)</f>
        <v/>
      </c>
      <c r="H1157" s="0" t="str">
        <f aca="false">IF($C1157="","",IF(COUNTIF('مواد المخزون'!$A$2:$A$90,$C1157)&gt;0,"نعم","لا (خارج الجرد)"))</f>
        <v/>
      </c>
    </row>
    <row r="1158" customFormat="false" ht="15" hidden="false" customHeight="false" outlineLevel="0" collapsed="false">
      <c r="A1158" s="103"/>
      <c r="B1158" s="104"/>
      <c r="C1158" s="104"/>
      <c r="F1158" s="107" t="str">
        <f aca="false">IF(OR($C1158="",$D1158=0),"",$E1158/$D1158)</f>
        <v/>
      </c>
      <c r="H1158" s="0" t="str">
        <f aca="false">IF($C1158="","",IF(COUNTIF('مواد المخزون'!$A$2:$A$90,$C1158)&gt;0,"نعم","لا (خارج الجرد)"))</f>
        <v/>
      </c>
    </row>
    <row r="1159" customFormat="false" ht="15" hidden="false" customHeight="false" outlineLevel="0" collapsed="false">
      <c r="A1159" s="103"/>
      <c r="B1159" s="104"/>
      <c r="C1159" s="104"/>
      <c r="F1159" s="107" t="str">
        <f aca="false">IF(OR($C1159="",$D1159=0),"",$E1159/$D1159)</f>
        <v/>
      </c>
      <c r="H1159" s="0" t="str">
        <f aca="false">IF($C1159="","",IF(COUNTIF('مواد المخزون'!$A$2:$A$90,$C1159)&gt;0,"نعم","لا (خارج الجرد)"))</f>
        <v/>
      </c>
    </row>
    <row r="1160" customFormat="false" ht="15" hidden="false" customHeight="false" outlineLevel="0" collapsed="false">
      <c r="A1160" s="103"/>
      <c r="B1160" s="104"/>
      <c r="C1160" s="104"/>
      <c r="F1160" s="107" t="str">
        <f aca="false">IF(OR($C1160="",$D1160=0),"",$E1160/$D1160)</f>
        <v/>
      </c>
      <c r="H1160" s="0" t="str">
        <f aca="false">IF($C1160="","",IF(COUNTIF('مواد المخزون'!$A$2:$A$90,$C1160)&gt;0,"نعم","لا (خارج الجرد)"))</f>
        <v/>
      </c>
    </row>
    <row r="1161" customFormat="false" ht="15" hidden="false" customHeight="false" outlineLevel="0" collapsed="false">
      <c r="A1161" s="103"/>
      <c r="B1161" s="104"/>
      <c r="C1161" s="104"/>
      <c r="F1161" s="107" t="str">
        <f aca="false">IF(OR($C1161="",$D1161=0),"",$E1161/$D1161)</f>
        <v/>
      </c>
      <c r="H1161" s="0" t="str">
        <f aca="false">IF($C1161="","",IF(COUNTIF('مواد المخزون'!$A$2:$A$90,$C1161)&gt;0,"نعم","لا (خارج الجرد)"))</f>
        <v/>
      </c>
    </row>
    <row r="1162" customFormat="false" ht="15" hidden="false" customHeight="false" outlineLevel="0" collapsed="false">
      <c r="A1162" s="103"/>
      <c r="B1162" s="104"/>
      <c r="C1162" s="104"/>
      <c r="F1162" s="107" t="str">
        <f aca="false">IF(OR($C1162="",$D1162=0),"",$E1162/$D1162)</f>
        <v/>
      </c>
      <c r="H1162" s="0" t="str">
        <f aca="false">IF($C1162="","",IF(COUNTIF('مواد المخزون'!$A$2:$A$90,$C1162)&gt;0,"نعم","لا (خارج الجرد)"))</f>
        <v/>
      </c>
    </row>
    <row r="1163" customFormat="false" ht="15" hidden="false" customHeight="false" outlineLevel="0" collapsed="false">
      <c r="A1163" s="103"/>
      <c r="B1163" s="104"/>
      <c r="C1163" s="104"/>
      <c r="F1163" s="107" t="str">
        <f aca="false">IF(OR($C1163="",$D1163=0),"",$E1163/$D1163)</f>
        <v/>
      </c>
      <c r="H1163" s="0" t="str">
        <f aca="false">IF($C1163="","",IF(COUNTIF('مواد المخزون'!$A$2:$A$90,$C1163)&gt;0,"نعم","لا (خارج الجرد)"))</f>
        <v/>
      </c>
    </row>
    <row r="1164" customFormat="false" ht="15" hidden="false" customHeight="false" outlineLevel="0" collapsed="false">
      <c r="A1164" s="103"/>
      <c r="B1164" s="104"/>
      <c r="C1164" s="104"/>
      <c r="F1164" s="107" t="str">
        <f aca="false">IF(OR($C1164="",$D1164=0),"",$E1164/$D1164)</f>
        <v/>
      </c>
      <c r="H1164" s="0" t="str">
        <f aca="false">IF($C1164="","",IF(COUNTIF('مواد المخزون'!$A$2:$A$90,$C1164)&gt;0,"نعم","لا (خارج الجرد)"))</f>
        <v/>
      </c>
    </row>
    <row r="1165" customFormat="false" ht="15" hidden="false" customHeight="false" outlineLevel="0" collapsed="false">
      <c r="A1165" s="103"/>
      <c r="B1165" s="104"/>
      <c r="C1165" s="104"/>
      <c r="F1165" s="107" t="str">
        <f aca="false">IF(OR($C1165="",$D1165=0),"",$E1165/$D1165)</f>
        <v/>
      </c>
      <c r="H1165" s="0" t="str">
        <f aca="false">IF($C1165="","",IF(COUNTIF('مواد المخزون'!$A$2:$A$90,$C1165)&gt;0,"نعم","لا (خارج الجرد)"))</f>
        <v/>
      </c>
    </row>
    <row r="1166" customFormat="false" ht="15" hidden="false" customHeight="false" outlineLevel="0" collapsed="false">
      <c r="A1166" s="103"/>
      <c r="B1166" s="104"/>
      <c r="C1166" s="104"/>
      <c r="F1166" s="107" t="str">
        <f aca="false">IF(OR($C1166="",$D1166=0),"",$E1166/$D1166)</f>
        <v/>
      </c>
      <c r="H1166" s="0" t="str">
        <f aca="false">IF($C1166="","",IF(COUNTIF('مواد المخزون'!$A$2:$A$90,$C1166)&gt;0,"نعم","لا (خارج الجرد)"))</f>
        <v/>
      </c>
    </row>
    <row r="1167" customFormat="false" ht="15" hidden="false" customHeight="false" outlineLevel="0" collapsed="false">
      <c r="A1167" s="103"/>
      <c r="B1167" s="104"/>
      <c r="C1167" s="104"/>
      <c r="F1167" s="107" t="str">
        <f aca="false">IF(OR($C1167="",$D1167=0),"",$E1167/$D1167)</f>
        <v/>
      </c>
      <c r="H1167" s="0" t="str">
        <f aca="false">IF($C1167="","",IF(COUNTIF('مواد المخزون'!$A$2:$A$90,$C1167)&gt;0,"نعم","لا (خارج الجرد)"))</f>
        <v/>
      </c>
    </row>
    <row r="1168" customFormat="false" ht="15" hidden="false" customHeight="false" outlineLevel="0" collapsed="false">
      <c r="A1168" s="103"/>
      <c r="B1168" s="104"/>
      <c r="C1168" s="104"/>
      <c r="F1168" s="107" t="str">
        <f aca="false">IF(OR($C1168="",$D1168=0),"",$E1168/$D1168)</f>
        <v/>
      </c>
      <c r="H1168" s="0" t="str">
        <f aca="false">IF($C1168="","",IF(COUNTIF('مواد المخزون'!$A$2:$A$90,$C1168)&gt;0,"نعم","لا (خارج الجرد)"))</f>
        <v/>
      </c>
    </row>
    <row r="1169" customFormat="false" ht="15" hidden="false" customHeight="false" outlineLevel="0" collapsed="false">
      <c r="A1169" s="103"/>
      <c r="B1169" s="104"/>
      <c r="C1169" s="104"/>
      <c r="F1169" s="107" t="str">
        <f aca="false">IF(OR($C1169="",$D1169=0),"",$E1169/$D1169)</f>
        <v/>
      </c>
      <c r="H1169" s="0" t="str">
        <f aca="false">IF($C1169="","",IF(COUNTIF('مواد المخزون'!$A$2:$A$90,$C1169)&gt;0,"نعم","لا (خارج الجرد)"))</f>
        <v/>
      </c>
    </row>
    <row r="1170" customFormat="false" ht="15" hidden="false" customHeight="false" outlineLevel="0" collapsed="false">
      <c r="A1170" s="103"/>
      <c r="B1170" s="104"/>
      <c r="C1170" s="104"/>
      <c r="F1170" s="107" t="str">
        <f aca="false">IF(OR($C1170="",$D1170=0),"",$E1170/$D1170)</f>
        <v/>
      </c>
      <c r="H1170" s="0" t="str">
        <f aca="false">IF($C1170="","",IF(COUNTIF('مواد المخزون'!$A$2:$A$90,$C1170)&gt;0,"نعم","لا (خارج الجرد)"))</f>
        <v/>
      </c>
    </row>
    <row r="1171" customFormat="false" ht="15" hidden="false" customHeight="false" outlineLevel="0" collapsed="false">
      <c r="A1171" s="103"/>
      <c r="B1171" s="104"/>
      <c r="C1171" s="104"/>
      <c r="F1171" s="107" t="str">
        <f aca="false">IF(OR($C1171="",$D1171=0),"",$E1171/$D1171)</f>
        <v/>
      </c>
      <c r="H1171" s="0" t="str">
        <f aca="false">IF($C1171="","",IF(COUNTIF('مواد المخزون'!$A$2:$A$90,$C1171)&gt;0,"نعم","لا (خارج الجرد)"))</f>
        <v/>
      </c>
    </row>
    <row r="1172" customFormat="false" ht="15" hidden="false" customHeight="false" outlineLevel="0" collapsed="false">
      <c r="A1172" s="103"/>
      <c r="B1172" s="104"/>
      <c r="C1172" s="104"/>
      <c r="F1172" s="107" t="str">
        <f aca="false">IF(OR($C1172="",$D1172=0),"",$E1172/$D1172)</f>
        <v/>
      </c>
      <c r="H1172" s="0" t="str">
        <f aca="false">IF($C1172="","",IF(COUNTIF('مواد المخزون'!$A$2:$A$90,$C1172)&gt;0,"نعم","لا (خارج الجرد)"))</f>
        <v/>
      </c>
    </row>
    <row r="1173" customFormat="false" ht="15" hidden="false" customHeight="false" outlineLevel="0" collapsed="false">
      <c r="A1173" s="103"/>
      <c r="B1173" s="104"/>
      <c r="C1173" s="104"/>
      <c r="F1173" s="107" t="str">
        <f aca="false">IF(OR($C1173="",$D1173=0),"",$E1173/$D1173)</f>
        <v/>
      </c>
      <c r="H1173" s="0" t="str">
        <f aca="false">IF($C1173="","",IF(COUNTIF('مواد المخزون'!$A$2:$A$90,$C1173)&gt;0,"نعم","لا (خارج الجرد)"))</f>
        <v/>
      </c>
    </row>
    <row r="1174" customFormat="false" ht="15" hidden="false" customHeight="false" outlineLevel="0" collapsed="false">
      <c r="A1174" s="103"/>
      <c r="B1174" s="104"/>
      <c r="C1174" s="104"/>
      <c r="F1174" s="107" t="str">
        <f aca="false">IF(OR($C1174="",$D1174=0),"",$E1174/$D1174)</f>
        <v/>
      </c>
      <c r="H1174" s="0" t="str">
        <f aca="false">IF($C1174="","",IF(COUNTIF('مواد المخزون'!$A$2:$A$90,$C1174)&gt;0,"نعم","لا (خارج الجرد)"))</f>
        <v/>
      </c>
    </row>
    <row r="1175" customFormat="false" ht="15" hidden="false" customHeight="false" outlineLevel="0" collapsed="false">
      <c r="A1175" s="103"/>
      <c r="B1175" s="104"/>
      <c r="C1175" s="104"/>
      <c r="F1175" s="107" t="str">
        <f aca="false">IF(OR($C1175="",$D1175=0),"",$E1175/$D1175)</f>
        <v/>
      </c>
      <c r="H1175" s="0" t="str">
        <f aca="false">IF($C1175="","",IF(COUNTIF('مواد المخزون'!$A$2:$A$90,$C1175)&gt;0,"نعم","لا (خارج الجرد)"))</f>
        <v/>
      </c>
    </row>
    <row r="1176" customFormat="false" ht="15" hidden="false" customHeight="false" outlineLevel="0" collapsed="false">
      <c r="A1176" s="103"/>
      <c r="B1176" s="104"/>
      <c r="C1176" s="104"/>
      <c r="F1176" s="107" t="str">
        <f aca="false">IF(OR($C1176="",$D1176=0),"",$E1176/$D1176)</f>
        <v/>
      </c>
      <c r="H1176" s="0" t="str">
        <f aca="false">IF($C1176="","",IF(COUNTIF('مواد المخزون'!$A$2:$A$90,$C1176)&gt;0,"نعم","لا (خارج الجرد)"))</f>
        <v/>
      </c>
    </row>
    <row r="1177" customFormat="false" ht="15" hidden="false" customHeight="false" outlineLevel="0" collapsed="false">
      <c r="A1177" s="103"/>
      <c r="B1177" s="104"/>
      <c r="C1177" s="104"/>
      <c r="F1177" s="107" t="str">
        <f aca="false">IF(OR($C1177="",$D1177=0),"",$E1177/$D1177)</f>
        <v/>
      </c>
      <c r="H1177" s="0" t="str">
        <f aca="false">IF($C1177="","",IF(COUNTIF('مواد المخزون'!$A$2:$A$90,$C1177)&gt;0,"نعم","لا (خارج الجرد)"))</f>
        <v/>
      </c>
    </row>
    <row r="1178" customFormat="false" ht="15" hidden="false" customHeight="false" outlineLevel="0" collapsed="false">
      <c r="A1178" s="103"/>
      <c r="B1178" s="104"/>
      <c r="C1178" s="104"/>
      <c r="F1178" s="107" t="str">
        <f aca="false">IF(OR($C1178="",$D1178=0),"",$E1178/$D1178)</f>
        <v/>
      </c>
      <c r="H1178" s="0" t="str">
        <f aca="false">IF($C1178="","",IF(COUNTIF('مواد المخزون'!$A$2:$A$90,$C1178)&gt;0,"نعم","لا (خارج الجرد)"))</f>
        <v/>
      </c>
    </row>
    <row r="1179" customFormat="false" ht="15" hidden="false" customHeight="false" outlineLevel="0" collapsed="false">
      <c r="A1179" s="103"/>
      <c r="B1179" s="104"/>
      <c r="C1179" s="104"/>
      <c r="F1179" s="107" t="str">
        <f aca="false">IF(OR($C1179="",$D1179=0),"",$E1179/$D1179)</f>
        <v/>
      </c>
      <c r="H1179" s="0" t="str">
        <f aca="false">IF($C1179="","",IF(COUNTIF('مواد المخزون'!$A$2:$A$90,$C1179)&gt;0,"نعم","لا (خارج الجرد)"))</f>
        <v/>
      </c>
    </row>
    <row r="1180" customFormat="false" ht="15" hidden="false" customHeight="false" outlineLevel="0" collapsed="false">
      <c r="A1180" s="103"/>
      <c r="B1180" s="104"/>
      <c r="C1180" s="104"/>
      <c r="F1180" s="107" t="str">
        <f aca="false">IF(OR($C1180="",$D1180=0),"",$E1180/$D1180)</f>
        <v/>
      </c>
      <c r="H1180" s="0" t="str">
        <f aca="false">IF($C1180="","",IF(COUNTIF('مواد المخزون'!$A$2:$A$90,$C1180)&gt;0,"نعم","لا (خارج الجرد)"))</f>
        <v/>
      </c>
    </row>
    <row r="1181" customFormat="false" ht="15" hidden="false" customHeight="false" outlineLevel="0" collapsed="false">
      <c r="A1181" s="103"/>
      <c r="B1181" s="104"/>
      <c r="C1181" s="104"/>
      <c r="F1181" s="107" t="str">
        <f aca="false">IF(OR($C1181="",$D1181=0),"",$E1181/$D1181)</f>
        <v/>
      </c>
      <c r="H1181" s="0" t="str">
        <f aca="false">IF($C1181="","",IF(COUNTIF('مواد المخزون'!$A$2:$A$90,$C1181)&gt;0,"نعم","لا (خارج الجرد)"))</f>
        <v/>
      </c>
    </row>
    <row r="1182" customFormat="false" ht="15" hidden="false" customHeight="false" outlineLevel="0" collapsed="false">
      <c r="A1182" s="103"/>
      <c r="B1182" s="104"/>
      <c r="C1182" s="104"/>
      <c r="F1182" s="107" t="str">
        <f aca="false">IF(OR($C1182="",$D1182=0),"",$E1182/$D1182)</f>
        <v/>
      </c>
      <c r="H1182" s="0" t="str">
        <f aca="false">IF($C1182="","",IF(COUNTIF('مواد المخزون'!$A$2:$A$90,$C1182)&gt;0,"نعم","لا (خارج الجرد)"))</f>
        <v/>
      </c>
    </row>
    <row r="1183" customFormat="false" ht="15" hidden="false" customHeight="false" outlineLevel="0" collapsed="false">
      <c r="A1183" s="103"/>
      <c r="B1183" s="104"/>
      <c r="C1183" s="104"/>
      <c r="F1183" s="107" t="str">
        <f aca="false">IF(OR($C1183="",$D1183=0),"",$E1183/$D1183)</f>
        <v/>
      </c>
      <c r="H1183" s="0" t="str">
        <f aca="false">IF($C1183="","",IF(COUNTIF('مواد المخزون'!$A$2:$A$90,$C1183)&gt;0,"نعم","لا (خارج الجرد)"))</f>
        <v/>
      </c>
    </row>
    <row r="1184" customFormat="false" ht="15" hidden="false" customHeight="false" outlineLevel="0" collapsed="false">
      <c r="A1184" s="103"/>
      <c r="B1184" s="104"/>
      <c r="C1184" s="104"/>
      <c r="F1184" s="107" t="str">
        <f aca="false">IF(OR($C1184="",$D1184=0),"",$E1184/$D1184)</f>
        <v/>
      </c>
      <c r="H1184" s="0" t="str">
        <f aca="false">IF($C1184="","",IF(COUNTIF('مواد المخزون'!$A$2:$A$90,$C1184)&gt;0,"نعم","لا (خارج الجرد)"))</f>
        <v/>
      </c>
    </row>
    <row r="1185" customFormat="false" ht="15" hidden="false" customHeight="false" outlineLevel="0" collapsed="false">
      <c r="A1185" s="103"/>
      <c r="B1185" s="104"/>
      <c r="C1185" s="104"/>
      <c r="F1185" s="107" t="str">
        <f aca="false">IF(OR($C1185="",$D1185=0),"",$E1185/$D1185)</f>
        <v/>
      </c>
      <c r="H1185" s="0" t="str">
        <f aca="false">IF($C1185="","",IF(COUNTIF('مواد المخزون'!$A$2:$A$90,$C1185)&gt;0,"نعم","لا (خارج الجرد)"))</f>
        <v/>
      </c>
    </row>
    <row r="1186" customFormat="false" ht="15" hidden="false" customHeight="false" outlineLevel="0" collapsed="false">
      <c r="A1186" s="103"/>
      <c r="B1186" s="104"/>
      <c r="C1186" s="104"/>
      <c r="F1186" s="107" t="str">
        <f aca="false">IF(OR($C1186="",$D1186=0),"",$E1186/$D1186)</f>
        <v/>
      </c>
      <c r="H1186" s="0" t="str">
        <f aca="false">IF($C1186="","",IF(COUNTIF('مواد المخزون'!$A$2:$A$90,$C1186)&gt;0,"نعم","لا (خارج الجرد)"))</f>
        <v/>
      </c>
    </row>
    <row r="1187" customFormat="false" ht="15" hidden="false" customHeight="false" outlineLevel="0" collapsed="false">
      <c r="A1187" s="103"/>
      <c r="B1187" s="104"/>
      <c r="C1187" s="104"/>
      <c r="F1187" s="107" t="str">
        <f aca="false">IF(OR($C1187="",$D1187=0),"",$E1187/$D1187)</f>
        <v/>
      </c>
      <c r="H1187" s="0" t="str">
        <f aca="false">IF($C1187="","",IF(COUNTIF('مواد المخزون'!$A$2:$A$90,$C1187)&gt;0,"نعم","لا (خارج الجرد)"))</f>
        <v/>
      </c>
    </row>
    <row r="1188" customFormat="false" ht="15" hidden="false" customHeight="false" outlineLevel="0" collapsed="false">
      <c r="A1188" s="103"/>
      <c r="B1188" s="104"/>
      <c r="C1188" s="104"/>
      <c r="F1188" s="107" t="str">
        <f aca="false">IF(OR($C1188="",$D1188=0),"",$E1188/$D1188)</f>
        <v/>
      </c>
      <c r="H1188" s="0" t="str">
        <f aca="false">IF($C1188="","",IF(COUNTIF('مواد المخزون'!$A$2:$A$90,$C1188)&gt;0,"نعم","لا (خارج الجرد)"))</f>
        <v/>
      </c>
    </row>
    <row r="1189" customFormat="false" ht="15" hidden="false" customHeight="false" outlineLevel="0" collapsed="false">
      <c r="A1189" s="103"/>
      <c r="B1189" s="104"/>
      <c r="C1189" s="104"/>
      <c r="F1189" s="107" t="str">
        <f aca="false">IF(OR($C1189="",$D1189=0),"",$E1189/$D1189)</f>
        <v/>
      </c>
      <c r="H1189" s="0" t="str">
        <f aca="false">IF($C1189="","",IF(COUNTIF('مواد المخزون'!$A$2:$A$90,$C1189)&gt;0,"نعم","لا (خارج الجرد)"))</f>
        <v/>
      </c>
    </row>
    <row r="1190" customFormat="false" ht="15" hidden="false" customHeight="false" outlineLevel="0" collapsed="false">
      <c r="A1190" s="103"/>
      <c r="B1190" s="104"/>
      <c r="C1190" s="104"/>
      <c r="F1190" s="107" t="str">
        <f aca="false">IF(OR($C1190="",$D1190=0),"",$E1190/$D1190)</f>
        <v/>
      </c>
      <c r="H1190" s="0" t="str">
        <f aca="false">IF($C1190="","",IF(COUNTIF('مواد المخزون'!$A$2:$A$90,$C1190)&gt;0,"نعم","لا (خارج الجرد)"))</f>
        <v/>
      </c>
    </row>
    <row r="1191" customFormat="false" ht="15" hidden="false" customHeight="false" outlineLevel="0" collapsed="false">
      <c r="A1191" s="103"/>
      <c r="B1191" s="104"/>
      <c r="C1191" s="104"/>
      <c r="F1191" s="107" t="str">
        <f aca="false">IF(OR($C1191="",$D1191=0),"",$E1191/$D1191)</f>
        <v/>
      </c>
      <c r="H1191" s="0" t="str">
        <f aca="false">IF($C1191="","",IF(COUNTIF('مواد المخزون'!$A$2:$A$90,$C1191)&gt;0,"نعم","لا (خارج الجرد)"))</f>
        <v/>
      </c>
    </row>
    <row r="1192" customFormat="false" ht="15" hidden="false" customHeight="false" outlineLevel="0" collapsed="false">
      <c r="A1192" s="103"/>
      <c r="B1192" s="104"/>
      <c r="C1192" s="104"/>
      <c r="F1192" s="107" t="str">
        <f aca="false">IF(OR($C1192="",$D1192=0),"",$E1192/$D1192)</f>
        <v/>
      </c>
      <c r="H1192" s="0" t="str">
        <f aca="false">IF($C1192="","",IF(COUNTIF('مواد المخزون'!$A$2:$A$90,$C1192)&gt;0,"نعم","لا (خارج الجرد)"))</f>
        <v/>
      </c>
    </row>
    <row r="1193" customFormat="false" ht="15" hidden="false" customHeight="false" outlineLevel="0" collapsed="false">
      <c r="A1193" s="103"/>
      <c r="B1193" s="104"/>
      <c r="C1193" s="104"/>
      <c r="F1193" s="107" t="str">
        <f aca="false">IF(OR($C1193="",$D1193=0),"",$E1193/$D1193)</f>
        <v/>
      </c>
      <c r="H1193" s="0" t="str">
        <f aca="false">IF($C1193="","",IF(COUNTIF('مواد المخزون'!$A$2:$A$90,$C1193)&gt;0,"نعم","لا (خارج الجرد)"))</f>
        <v/>
      </c>
    </row>
    <row r="1194" customFormat="false" ht="15" hidden="false" customHeight="false" outlineLevel="0" collapsed="false">
      <c r="A1194" s="103"/>
      <c r="B1194" s="104"/>
      <c r="C1194" s="104"/>
      <c r="F1194" s="107" t="str">
        <f aca="false">IF(OR($C1194="",$D1194=0),"",$E1194/$D1194)</f>
        <v/>
      </c>
      <c r="H1194" s="0" t="str">
        <f aca="false">IF($C1194="","",IF(COUNTIF('مواد المخزون'!$A$2:$A$90,$C1194)&gt;0,"نعم","لا (خارج الجرد)"))</f>
        <v/>
      </c>
    </row>
    <row r="1195" customFormat="false" ht="15" hidden="false" customHeight="false" outlineLevel="0" collapsed="false">
      <c r="A1195" s="103"/>
      <c r="B1195" s="104"/>
      <c r="C1195" s="104"/>
      <c r="F1195" s="107" t="str">
        <f aca="false">IF(OR($C1195="",$D1195=0),"",$E1195/$D1195)</f>
        <v/>
      </c>
      <c r="H1195" s="0" t="str">
        <f aca="false">IF($C1195="","",IF(COUNTIF('مواد المخزون'!$A$2:$A$90,$C1195)&gt;0,"نعم","لا (خارج الجرد)"))</f>
        <v/>
      </c>
    </row>
    <row r="1196" customFormat="false" ht="15" hidden="false" customHeight="false" outlineLevel="0" collapsed="false">
      <c r="A1196" s="103"/>
      <c r="B1196" s="104"/>
      <c r="C1196" s="104"/>
      <c r="F1196" s="107" t="str">
        <f aca="false">IF(OR($C1196="",$D1196=0),"",$E1196/$D1196)</f>
        <v/>
      </c>
      <c r="H1196" s="0" t="str">
        <f aca="false">IF($C1196="","",IF(COUNTIF('مواد المخزون'!$A$2:$A$90,$C1196)&gt;0,"نعم","لا (خارج الجرد)"))</f>
        <v/>
      </c>
    </row>
    <row r="1197" customFormat="false" ht="15" hidden="false" customHeight="false" outlineLevel="0" collapsed="false">
      <c r="A1197" s="103"/>
      <c r="B1197" s="104"/>
      <c r="C1197" s="104"/>
      <c r="F1197" s="107" t="str">
        <f aca="false">IF(OR($C1197="",$D1197=0),"",$E1197/$D1197)</f>
        <v/>
      </c>
      <c r="H1197" s="0" t="str">
        <f aca="false">IF($C1197="","",IF(COUNTIF('مواد المخزون'!$A$2:$A$90,$C1197)&gt;0,"نعم","لا (خارج الجرد)"))</f>
        <v/>
      </c>
    </row>
    <row r="1198" customFormat="false" ht="15" hidden="false" customHeight="false" outlineLevel="0" collapsed="false">
      <c r="A1198" s="103"/>
      <c r="B1198" s="104"/>
      <c r="C1198" s="104"/>
      <c r="F1198" s="107" t="str">
        <f aca="false">IF(OR($C1198="",$D1198=0),"",$E1198/$D1198)</f>
        <v/>
      </c>
      <c r="H1198" s="0" t="str">
        <f aca="false">IF($C1198="","",IF(COUNTIF('مواد المخزون'!$A$2:$A$90,$C1198)&gt;0,"نعم","لا (خارج الجرد)"))</f>
        <v/>
      </c>
    </row>
    <row r="1199" customFormat="false" ht="15" hidden="false" customHeight="false" outlineLevel="0" collapsed="false">
      <c r="A1199" s="103"/>
      <c r="B1199" s="104"/>
      <c r="C1199" s="104"/>
      <c r="F1199" s="107" t="str">
        <f aca="false">IF(OR($C1199="",$D1199=0),"",$E1199/$D1199)</f>
        <v/>
      </c>
      <c r="H1199" s="0" t="str">
        <f aca="false">IF($C1199="","",IF(COUNTIF('مواد المخزون'!$A$2:$A$90,$C1199)&gt;0,"نعم","لا (خارج الجرد)"))</f>
        <v/>
      </c>
    </row>
    <row r="1200" customFormat="false" ht="15" hidden="false" customHeight="false" outlineLevel="0" collapsed="false">
      <c r="A1200" s="103"/>
      <c r="B1200" s="104"/>
      <c r="C1200" s="104"/>
      <c r="F1200" s="107" t="str">
        <f aca="false">IF(OR($C1200="",$D1200=0),"",$E1200/$D1200)</f>
        <v/>
      </c>
      <c r="H1200" s="0" t="str">
        <f aca="false">IF($C1200="","",IF(COUNTIF('مواد المخزون'!$A$2:$A$90,$C1200)&gt;0,"نعم","لا (خارج الجرد)"))</f>
        <v/>
      </c>
    </row>
    <row r="1201" customFormat="false" ht="15" hidden="false" customHeight="false" outlineLevel="0" collapsed="false">
      <c r="A1201" s="103"/>
      <c r="B1201" s="104"/>
      <c r="C1201" s="104"/>
      <c r="F1201" s="107" t="str">
        <f aca="false">IF(OR($C1201="",$D1201=0),"",$E1201/$D1201)</f>
        <v/>
      </c>
      <c r="H1201" s="0" t="str">
        <f aca="false">IF($C1201="","",IF(COUNTIF('مواد المخزون'!$A$2:$A$90,$C1201)&gt;0,"نعم","لا (خارج الجرد)"))</f>
        <v/>
      </c>
    </row>
    <row r="1202" customFormat="false" ht="15" hidden="false" customHeight="false" outlineLevel="0" collapsed="false">
      <c r="A1202" s="103"/>
      <c r="B1202" s="104"/>
      <c r="C1202" s="104"/>
      <c r="F1202" s="107" t="str">
        <f aca="false">IF(OR($C1202="",$D1202=0),"",$E1202/$D1202)</f>
        <v/>
      </c>
      <c r="H1202" s="0" t="str">
        <f aca="false">IF($C1202="","",IF(COUNTIF('مواد المخزون'!$A$2:$A$90,$C1202)&gt;0,"نعم","لا (خارج الجرد)"))</f>
        <v/>
      </c>
    </row>
    <row r="1203" customFormat="false" ht="15" hidden="false" customHeight="false" outlineLevel="0" collapsed="false">
      <c r="A1203" s="103"/>
      <c r="B1203" s="104"/>
      <c r="C1203" s="104"/>
      <c r="F1203" s="107" t="str">
        <f aca="false">IF(OR($C1203="",$D1203=0),"",$E1203/$D1203)</f>
        <v/>
      </c>
      <c r="H1203" s="0" t="str">
        <f aca="false">IF($C1203="","",IF(COUNTIF('مواد المخزون'!$A$2:$A$90,$C1203)&gt;0,"نعم","لا (خارج الجرد)"))</f>
        <v/>
      </c>
    </row>
    <row r="1204" customFormat="false" ht="15" hidden="false" customHeight="false" outlineLevel="0" collapsed="false">
      <c r="A1204" s="103"/>
      <c r="B1204" s="104"/>
      <c r="C1204" s="104"/>
      <c r="F1204" s="107" t="str">
        <f aca="false">IF(OR($C1204="",$D1204=0),"",$E1204/$D1204)</f>
        <v/>
      </c>
      <c r="H1204" s="0" t="str">
        <f aca="false">IF($C1204="","",IF(COUNTIF('مواد المخزون'!$A$2:$A$90,$C1204)&gt;0,"نعم","لا (خارج الجرد)"))</f>
        <v/>
      </c>
    </row>
    <row r="1205" customFormat="false" ht="15" hidden="false" customHeight="false" outlineLevel="0" collapsed="false">
      <c r="A1205" s="103"/>
      <c r="B1205" s="104"/>
      <c r="C1205" s="104"/>
      <c r="F1205" s="107" t="str">
        <f aca="false">IF(OR($C1205="",$D1205=0),"",$E1205/$D1205)</f>
        <v/>
      </c>
      <c r="H1205" s="0" t="str">
        <f aca="false">IF($C1205="","",IF(COUNTIF('مواد المخزون'!$A$2:$A$90,$C1205)&gt;0,"نعم","لا (خارج الجرد)"))</f>
        <v/>
      </c>
    </row>
    <row r="1206" customFormat="false" ht="15" hidden="false" customHeight="false" outlineLevel="0" collapsed="false">
      <c r="A1206" s="103"/>
      <c r="B1206" s="104"/>
      <c r="C1206" s="104"/>
      <c r="F1206" s="107" t="str">
        <f aca="false">IF(OR($C1206="",$D1206=0),"",$E1206/$D1206)</f>
        <v/>
      </c>
      <c r="H1206" s="0" t="str">
        <f aca="false">IF($C1206="","",IF(COUNTIF('مواد المخزون'!$A$2:$A$90,$C1206)&gt;0,"نعم","لا (خارج الجرد)"))</f>
        <v/>
      </c>
    </row>
    <row r="1207" customFormat="false" ht="15" hidden="false" customHeight="false" outlineLevel="0" collapsed="false">
      <c r="A1207" s="103"/>
      <c r="B1207" s="104"/>
      <c r="C1207" s="104"/>
      <c r="F1207" s="107" t="str">
        <f aca="false">IF(OR($C1207="",$D1207=0),"",$E1207/$D1207)</f>
        <v/>
      </c>
      <c r="H1207" s="0" t="str">
        <f aca="false">IF($C1207="","",IF(COUNTIF('مواد المخزون'!$A$2:$A$90,$C1207)&gt;0,"نعم","لا (خارج الجرد)"))</f>
        <v/>
      </c>
    </row>
    <row r="1208" customFormat="false" ht="15" hidden="false" customHeight="false" outlineLevel="0" collapsed="false">
      <c r="A1208" s="103"/>
      <c r="B1208" s="104"/>
      <c r="C1208" s="104"/>
      <c r="F1208" s="107" t="str">
        <f aca="false">IF(OR($C1208="",$D1208=0),"",$E1208/$D1208)</f>
        <v/>
      </c>
      <c r="H1208" s="0" t="str">
        <f aca="false">IF($C1208="","",IF(COUNTIF('مواد المخزون'!$A$2:$A$90,$C1208)&gt;0,"نعم","لا (خارج الجرد)"))</f>
        <v/>
      </c>
    </row>
    <row r="1209" customFormat="false" ht="15" hidden="false" customHeight="false" outlineLevel="0" collapsed="false">
      <c r="A1209" s="103"/>
      <c r="B1209" s="104"/>
      <c r="C1209" s="104"/>
      <c r="F1209" s="107" t="str">
        <f aca="false">IF(OR($C1209="",$D1209=0),"",$E1209/$D1209)</f>
        <v/>
      </c>
      <c r="H1209" s="0" t="str">
        <f aca="false">IF($C1209="","",IF(COUNTIF('مواد المخزون'!$A$2:$A$90,$C1209)&gt;0,"نعم","لا (خارج الجرد)"))</f>
        <v/>
      </c>
    </row>
    <row r="1210" customFormat="false" ht="15" hidden="false" customHeight="false" outlineLevel="0" collapsed="false">
      <c r="A1210" s="103"/>
      <c r="B1210" s="104"/>
      <c r="C1210" s="104"/>
      <c r="F1210" s="107" t="str">
        <f aca="false">IF(OR($C1210="",$D1210=0),"",$E1210/$D1210)</f>
        <v/>
      </c>
      <c r="H1210" s="0" t="str">
        <f aca="false">IF($C1210="","",IF(COUNTIF('مواد المخزون'!$A$2:$A$90,$C1210)&gt;0,"نعم","لا (خارج الجرد)"))</f>
        <v/>
      </c>
    </row>
    <row r="1211" customFormat="false" ht="15" hidden="false" customHeight="false" outlineLevel="0" collapsed="false">
      <c r="A1211" s="103"/>
      <c r="B1211" s="104"/>
      <c r="C1211" s="104"/>
      <c r="F1211" s="107" t="str">
        <f aca="false">IF(OR($C1211="",$D1211=0),"",$E1211/$D1211)</f>
        <v/>
      </c>
      <c r="H1211" s="0" t="str">
        <f aca="false">IF($C1211="","",IF(COUNTIF('مواد المخزون'!$A$2:$A$90,$C1211)&gt;0,"نعم","لا (خارج الجرد)"))</f>
        <v/>
      </c>
    </row>
    <row r="1212" customFormat="false" ht="15" hidden="false" customHeight="false" outlineLevel="0" collapsed="false">
      <c r="A1212" s="103"/>
      <c r="B1212" s="104"/>
      <c r="C1212" s="104"/>
      <c r="F1212" s="107" t="str">
        <f aca="false">IF(OR($C1212="",$D1212=0),"",$E1212/$D1212)</f>
        <v/>
      </c>
      <c r="H1212" s="0" t="str">
        <f aca="false">IF($C1212="","",IF(COUNTIF('مواد المخزون'!$A$2:$A$90,$C1212)&gt;0,"نعم","لا (خارج الجرد)"))</f>
        <v/>
      </c>
    </row>
    <row r="1213" customFormat="false" ht="15" hidden="false" customHeight="false" outlineLevel="0" collapsed="false">
      <c r="A1213" s="103"/>
      <c r="B1213" s="104"/>
      <c r="C1213" s="104"/>
      <c r="F1213" s="107" t="str">
        <f aca="false">IF(OR($C1213="",$D1213=0),"",$E1213/$D1213)</f>
        <v/>
      </c>
      <c r="H1213" s="0" t="str">
        <f aca="false">IF($C1213="","",IF(COUNTIF('مواد المخزون'!$A$2:$A$90,$C1213)&gt;0,"نعم","لا (خارج الجرد)"))</f>
        <v/>
      </c>
    </row>
    <row r="1214" customFormat="false" ht="15" hidden="false" customHeight="false" outlineLevel="0" collapsed="false">
      <c r="A1214" s="103"/>
      <c r="B1214" s="104"/>
      <c r="C1214" s="104"/>
      <c r="F1214" s="107" t="str">
        <f aca="false">IF(OR($C1214="",$D1214=0),"",$E1214/$D1214)</f>
        <v/>
      </c>
      <c r="H1214" s="0" t="str">
        <f aca="false">IF($C1214="","",IF(COUNTIF('مواد المخزون'!$A$2:$A$90,$C1214)&gt;0,"نعم","لا (خارج الجرد)"))</f>
        <v/>
      </c>
    </row>
    <row r="1215" customFormat="false" ht="15" hidden="false" customHeight="false" outlineLevel="0" collapsed="false">
      <c r="A1215" s="103"/>
      <c r="B1215" s="104"/>
      <c r="C1215" s="104"/>
      <c r="F1215" s="107" t="str">
        <f aca="false">IF(OR($C1215="",$D1215=0),"",$E1215/$D1215)</f>
        <v/>
      </c>
      <c r="H1215" s="0" t="str">
        <f aca="false">IF($C1215="","",IF(COUNTIF('مواد المخزون'!$A$2:$A$90,$C1215)&gt;0,"نعم","لا (خارج الجرد)"))</f>
        <v/>
      </c>
    </row>
    <row r="1216" customFormat="false" ht="15" hidden="false" customHeight="false" outlineLevel="0" collapsed="false">
      <c r="A1216" s="103"/>
      <c r="B1216" s="104"/>
      <c r="C1216" s="104"/>
      <c r="F1216" s="107" t="str">
        <f aca="false">IF(OR($C1216="",$D1216=0),"",$E1216/$D1216)</f>
        <v/>
      </c>
      <c r="H1216" s="0" t="str">
        <f aca="false">IF($C1216="","",IF(COUNTIF('مواد المخزون'!$A$2:$A$90,$C1216)&gt;0,"نعم","لا (خارج الجرد)"))</f>
        <v/>
      </c>
    </row>
    <row r="1217" customFormat="false" ht="15" hidden="false" customHeight="false" outlineLevel="0" collapsed="false">
      <c r="A1217" s="103"/>
      <c r="B1217" s="104"/>
      <c r="C1217" s="104"/>
      <c r="F1217" s="107" t="str">
        <f aca="false">IF(OR($C1217="",$D1217=0),"",$E1217/$D1217)</f>
        <v/>
      </c>
      <c r="H1217" s="0" t="str">
        <f aca="false">IF($C1217="","",IF(COUNTIF('مواد المخزون'!$A$2:$A$90,$C1217)&gt;0,"نعم","لا (خارج الجرد)"))</f>
        <v/>
      </c>
    </row>
    <row r="1218" customFormat="false" ht="15" hidden="false" customHeight="false" outlineLevel="0" collapsed="false">
      <c r="A1218" s="103"/>
      <c r="B1218" s="104"/>
      <c r="C1218" s="104"/>
      <c r="F1218" s="107" t="str">
        <f aca="false">IF(OR($C1218="",$D1218=0),"",$E1218/$D1218)</f>
        <v/>
      </c>
      <c r="H1218" s="0" t="str">
        <f aca="false">IF($C1218="","",IF(COUNTIF('مواد المخزون'!$A$2:$A$90,$C1218)&gt;0,"نعم","لا (خارج الجرد)"))</f>
        <v/>
      </c>
    </row>
    <row r="1219" customFormat="false" ht="15" hidden="false" customHeight="false" outlineLevel="0" collapsed="false">
      <c r="A1219" s="103"/>
      <c r="B1219" s="104"/>
      <c r="C1219" s="104"/>
      <c r="F1219" s="107" t="str">
        <f aca="false">IF(OR($C1219="",$D1219=0),"",$E1219/$D1219)</f>
        <v/>
      </c>
      <c r="H1219" s="0" t="str">
        <f aca="false">IF($C1219="","",IF(COUNTIF('مواد المخزون'!$A$2:$A$90,$C1219)&gt;0,"نعم","لا (خارج الجرد)"))</f>
        <v/>
      </c>
    </row>
    <row r="1220" customFormat="false" ht="15" hidden="false" customHeight="false" outlineLevel="0" collapsed="false">
      <c r="A1220" s="103"/>
      <c r="B1220" s="104"/>
      <c r="C1220" s="104"/>
      <c r="F1220" s="107" t="str">
        <f aca="false">IF(OR($C1220="",$D1220=0),"",$E1220/$D1220)</f>
        <v/>
      </c>
      <c r="H1220" s="0" t="str">
        <f aca="false">IF($C1220="","",IF(COUNTIF('مواد المخزون'!$A$2:$A$90,$C1220)&gt;0,"نعم","لا (خارج الجرد)"))</f>
        <v/>
      </c>
    </row>
    <row r="1221" customFormat="false" ht="15" hidden="false" customHeight="false" outlineLevel="0" collapsed="false">
      <c r="A1221" s="103"/>
      <c r="B1221" s="104"/>
      <c r="C1221" s="104"/>
      <c r="F1221" s="107" t="str">
        <f aca="false">IF(OR($C1221="",$D1221=0),"",$E1221/$D1221)</f>
        <v/>
      </c>
      <c r="H1221" s="0" t="str">
        <f aca="false">IF($C1221="","",IF(COUNTIF('مواد المخزون'!$A$2:$A$90,$C1221)&gt;0,"نعم","لا (خارج الجرد)"))</f>
        <v/>
      </c>
    </row>
    <row r="1222" customFormat="false" ht="15" hidden="false" customHeight="false" outlineLevel="0" collapsed="false">
      <c r="A1222" s="103"/>
      <c r="B1222" s="104"/>
      <c r="C1222" s="104"/>
      <c r="F1222" s="107" t="str">
        <f aca="false">IF(OR($C1222="",$D1222=0),"",$E1222/$D1222)</f>
        <v/>
      </c>
      <c r="H1222" s="0" t="str">
        <f aca="false">IF($C1222="","",IF(COUNTIF('مواد المخزون'!$A$2:$A$90,$C1222)&gt;0,"نعم","لا (خارج الجرد)"))</f>
        <v/>
      </c>
    </row>
    <row r="1223" customFormat="false" ht="15" hidden="false" customHeight="false" outlineLevel="0" collapsed="false">
      <c r="A1223" s="103"/>
      <c r="B1223" s="104"/>
      <c r="C1223" s="104"/>
      <c r="F1223" s="107" t="str">
        <f aca="false">IF(OR($C1223="",$D1223=0),"",$E1223/$D1223)</f>
        <v/>
      </c>
      <c r="H1223" s="0" t="str">
        <f aca="false">IF($C1223="","",IF(COUNTIF('مواد المخزون'!$A$2:$A$90,$C1223)&gt;0,"نعم","لا (خارج الجرد)"))</f>
        <v/>
      </c>
    </row>
    <row r="1224" customFormat="false" ht="15" hidden="false" customHeight="false" outlineLevel="0" collapsed="false">
      <c r="A1224" s="103"/>
      <c r="B1224" s="104"/>
      <c r="C1224" s="104"/>
      <c r="F1224" s="107" t="str">
        <f aca="false">IF(OR($C1224="",$D1224=0),"",$E1224/$D1224)</f>
        <v/>
      </c>
      <c r="H1224" s="0" t="str">
        <f aca="false">IF($C1224="","",IF(COUNTIF('مواد المخزون'!$A$2:$A$90,$C1224)&gt;0,"نعم","لا (خارج الجرد)"))</f>
        <v/>
      </c>
    </row>
    <row r="1225" customFormat="false" ht="15" hidden="false" customHeight="false" outlineLevel="0" collapsed="false">
      <c r="A1225" s="103"/>
      <c r="B1225" s="104"/>
      <c r="C1225" s="104"/>
      <c r="F1225" s="107" t="str">
        <f aca="false">IF(OR($C1225="",$D1225=0),"",$E1225/$D1225)</f>
        <v/>
      </c>
      <c r="H1225" s="0" t="str">
        <f aca="false">IF($C1225="","",IF(COUNTIF('مواد المخزون'!$A$2:$A$90,$C1225)&gt;0,"نعم","لا (خارج الجرد)"))</f>
        <v/>
      </c>
    </row>
    <row r="1226" customFormat="false" ht="15" hidden="false" customHeight="false" outlineLevel="0" collapsed="false">
      <c r="A1226" s="103"/>
      <c r="B1226" s="104"/>
      <c r="C1226" s="104"/>
      <c r="F1226" s="107" t="str">
        <f aca="false">IF(OR($C1226="",$D1226=0),"",$E1226/$D1226)</f>
        <v/>
      </c>
      <c r="H1226" s="0" t="str">
        <f aca="false">IF($C1226="","",IF(COUNTIF('مواد المخزون'!$A$2:$A$90,$C1226)&gt;0,"نعم","لا (خارج الجرد)"))</f>
        <v/>
      </c>
    </row>
    <row r="1227" customFormat="false" ht="15" hidden="false" customHeight="false" outlineLevel="0" collapsed="false">
      <c r="A1227" s="103"/>
      <c r="B1227" s="104"/>
      <c r="C1227" s="104"/>
      <c r="F1227" s="107" t="str">
        <f aca="false">IF(OR($C1227="",$D1227=0),"",$E1227/$D1227)</f>
        <v/>
      </c>
      <c r="H1227" s="0" t="str">
        <f aca="false">IF($C1227="","",IF(COUNTIF('مواد المخزون'!$A$2:$A$90,$C1227)&gt;0,"نعم","لا (خارج الجرد)"))</f>
        <v/>
      </c>
    </row>
    <row r="1228" customFormat="false" ht="15" hidden="false" customHeight="false" outlineLevel="0" collapsed="false">
      <c r="A1228" s="103"/>
      <c r="B1228" s="104"/>
      <c r="C1228" s="104"/>
      <c r="F1228" s="107" t="str">
        <f aca="false">IF(OR($C1228="",$D1228=0),"",$E1228/$D1228)</f>
        <v/>
      </c>
      <c r="H1228" s="0" t="str">
        <f aca="false">IF($C1228="","",IF(COUNTIF('مواد المخزون'!$A$2:$A$90,$C1228)&gt;0,"نعم","لا (خارج الجرد)"))</f>
        <v/>
      </c>
    </row>
    <row r="1229" customFormat="false" ht="15" hidden="false" customHeight="false" outlineLevel="0" collapsed="false">
      <c r="A1229" s="103"/>
      <c r="B1229" s="104"/>
      <c r="C1229" s="104"/>
      <c r="F1229" s="107" t="str">
        <f aca="false">IF(OR($C1229="",$D1229=0),"",$E1229/$D1229)</f>
        <v/>
      </c>
      <c r="H1229" s="0" t="str">
        <f aca="false">IF($C1229="","",IF(COUNTIF('مواد المخزون'!$A$2:$A$90,$C1229)&gt;0,"نعم","لا (خارج الجرد)"))</f>
        <v/>
      </c>
    </row>
    <row r="1230" customFormat="false" ht="15" hidden="false" customHeight="false" outlineLevel="0" collapsed="false">
      <c r="A1230" s="103"/>
      <c r="B1230" s="104"/>
      <c r="C1230" s="104"/>
      <c r="F1230" s="107" t="str">
        <f aca="false">IF(OR($C1230="",$D1230=0),"",$E1230/$D1230)</f>
        <v/>
      </c>
      <c r="H1230" s="0" t="str">
        <f aca="false">IF($C1230="","",IF(COUNTIF('مواد المخزون'!$A$2:$A$90,$C1230)&gt;0,"نعم","لا (خارج الجرد)"))</f>
        <v/>
      </c>
    </row>
    <row r="1231" customFormat="false" ht="15" hidden="false" customHeight="false" outlineLevel="0" collapsed="false">
      <c r="A1231" s="103"/>
      <c r="B1231" s="104"/>
      <c r="C1231" s="104"/>
      <c r="F1231" s="107" t="str">
        <f aca="false">IF(OR($C1231="",$D1231=0),"",$E1231/$D1231)</f>
        <v/>
      </c>
      <c r="H1231" s="0" t="str">
        <f aca="false">IF($C1231="","",IF(COUNTIF('مواد المخزون'!$A$2:$A$90,$C1231)&gt;0,"نعم","لا (خارج الجرد)"))</f>
        <v/>
      </c>
    </row>
    <row r="1232" customFormat="false" ht="15" hidden="false" customHeight="false" outlineLevel="0" collapsed="false">
      <c r="A1232" s="103"/>
      <c r="B1232" s="104"/>
      <c r="C1232" s="104"/>
      <c r="F1232" s="107" t="str">
        <f aca="false">IF(OR($C1232="",$D1232=0),"",$E1232/$D1232)</f>
        <v/>
      </c>
      <c r="H1232" s="0" t="str">
        <f aca="false">IF($C1232="","",IF(COUNTIF('مواد المخزون'!$A$2:$A$90,$C1232)&gt;0,"نعم","لا (خارج الجرد)"))</f>
        <v/>
      </c>
    </row>
    <row r="1233" customFormat="false" ht="15" hidden="false" customHeight="false" outlineLevel="0" collapsed="false">
      <c r="A1233" s="103"/>
      <c r="B1233" s="104"/>
      <c r="C1233" s="104"/>
      <c r="F1233" s="107" t="str">
        <f aca="false">IF(OR($C1233="",$D1233=0),"",$E1233/$D1233)</f>
        <v/>
      </c>
      <c r="H1233" s="0" t="str">
        <f aca="false">IF($C1233="","",IF(COUNTIF('مواد المخزون'!$A$2:$A$90,$C1233)&gt;0,"نعم","لا (خارج الجرد)"))</f>
        <v/>
      </c>
    </row>
    <row r="1234" customFormat="false" ht="15" hidden="false" customHeight="false" outlineLevel="0" collapsed="false">
      <c r="A1234" s="103"/>
      <c r="B1234" s="104"/>
      <c r="C1234" s="104"/>
      <c r="F1234" s="107" t="str">
        <f aca="false">IF(OR($C1234="",$D1234=0),"",$E1234/$D1234)</f>
        <v/>
      </c>
      <c r="H1234" s="0" t="str">
        <f aca="false">IF($C1234="","",IF(COUNTIF('مواد المخزون'!$A$2:$A$90,$C1234)&gt;0,"نعم","لا (خارج الجرد)"))</f>
        <v/>
      </c>
    </row>
    <row r="1235" customFormat="false" ht="15" hidden="false" customHeight="false" outlineLevel="0" collapsed="false">
      <c r="A1235" s="103"/>
      <c r="B1235" s="104"/>
      <c r="C1235" s="104"/>
      <c r="F1235" s="107" t="str">
        <f aca="false">IF(OR($C1235="",$D1235=0),"",$E1235/$D1235)</f>
        <v/>
      </c>
      <c r="H1235" s="0" t="str">
        <f aca="false">IF($C1235="","",IF(COUNTIF('مواد المخزون'!$A$2:$A$90,$C1235)&gt;0,"نعم","لا (خارج الجرد)"))</f>
        <v/>
      </c>
    </row>
    <row r="1236" customFormat="false" ht="15" hidden="false" customHeight="false" outlineLevel="0" collapsed="false">
      <c r="A1236" s="103"/>
      <c r="B1236" s="104"/>
      <c r="C1236" s="104"/>
      <c r="F1236" s="107" t="str">
        <f aca="false">IF(OR($C1236="",$D1236=0),"",$E1236/$D1236)</f>
        <v/>
      </c>
      <c r="H1236" s="0" t="str">
        <f aca="false">IF($C1236="","",IF(COUNTIF('مواد المخزون'!$A$2:$A$90,$C1236)&gt;0,"نعم","لا (خارج الجرد)"))</f>
        <v/>
      </c>
    </row>
    <row r="1237" customFormat="false" ht="15" hidden="false" customHeight="false" outlineLevel="0" collapsed="false">
      <c r="A1237" s="103"/>
      <c r="B1237" s="104"/>
      <c r="C1237" s="104"/>
      <c r="F1237" s="107" t="str">
        <f aca="false">IF(OR($C1237="",$D1237=0),"",$E1237/$D1237)</f>
        <v/>
      </c>
      <c r="H1237" s="0" t="str">
        <f aca="false">IF($C1237="","",IF(COUNTIF('مواد المخزون'!$A$2:$A$90,$C1237)&gt;0,"نعم","لا (خارج الجرد)"))</f>
        <v/>
      </c>
    </row>
    <row r="1238" customFormat="false" ht="15" hidden="false" customHeight="false" outlineLevel="0" collapsed="false">
      <c r="A1238" s="103"/>
      <c r="B1238" s="104"/>
      <c r="C1238" s="104"/>
      <c r="F1238" s="107" t="str">
        <f aca="false">IF(OR($C1238="",$D1238=0),"",$E1238/$D1238)</f>
        <v/>
      </c>
      <c r="H1238" s="0" t="str">
        <f aca="false">IF($C1238="","",IF(COUNTIF('مواد المخزون'!$A$2:$A$90,$C1238)&gt;0,"نعم","لا (خارج الجرد)"))</f>
        <v/>
      </c>
    </row>
    <row r="1239" customFormat="false" ht="15" hidden="false" customHeight="false" outlineLevel="0" collapsed="false">
      <c r="A1239" s="103"/>
      <c r="B1239" s="104"/>
      <c r="C1239" s="104"/>
      <c r="F1239" s="107" t="str">
        <f aca="false">IF(OR($C1239="",$D1239=0),"",$E1239/$D1239)</f>
        <v/>
      </c>
      <c r="H1239" s="0" t="str">
        <f aca="false">IF($C1239="","",IF(COUNTIF('مواد المخزون'!$A$2:$A$90,$C1239)&gt;0,"نعم","لا (خارج الجرد)"))</f>
        <v/>
      </c>
    </row>
    <row r="1240" customFormat="false" ht="15" hidden="false" customHeight="false" outlineLevel="0" collapsed="false">
      <c r="A1240" s="103"/>
      <c r="B1240" s="104"/>
      <c r="C1240" s="104"/>
      <c r="F1240" s="107" t="str">
        <f aca="false">IF(OR($C1240="",$D1240=0),"",$E1240/$D1240)</f>
        <v/>
      </c>
      <c r="H1240" s="0" t="str">
        <f aca="false">IF($C1240="","",IF(COUNTIF('مواد المخزون'!$A$2:$A$90,$C1240)&gt;0,"نعم","لا (خارج الجرد)"))</f>
        <v/>
      </c>
    </row>
    <row r="1241" customFormat="false" ht="15" hidden="false" customHeight="false" outlineLevel="0" collapsed="false">
      <c r="A1241" s="103"/>
      <c r="B1241" s="104"/>
      <c r="C1241" s="104"/>
      <c r="F1241" s="107" t="str">
        <f aca="false">IF(OR($C1241="",$D1241=0),"",$E1241/$D1241)</f>
        <v/>
      </c>
      <c r="H1241" s="0" t="str">
        <f aca="false">IF($C1241="","",IF(COUNTIF('مواد المخزون'!$A$2:$A$90,$C1241)&gt;0,"نعم","لا (خارج الجرد)"))</f>
        <v/>
      </c>
    </row>
    <row r="1242" customFormat="false" ht="15" hidden="false" customHeight="false" outlineLevel="0" collapsed="false">
      <c r="A1242" s="103"/>
      <c r="B1242" s="104"/>
      <c r="C1242" s="104"/>
      <c r="F1242" s="107" t="str">
        <f aca="false">IF(OR($C1242="",$D1242=0),"",$E1242/$D1242)</f>
        <v/>
      </c>
      <c r="H1242" s="0" t="str">
        <f aca="false">IF($C1242="","",IF(COUNTIF('مواد المخزون'!$A$2:$A$90,$C1242)&gt;0,"نعم","لا (خارج الجرد)"))</f>
        <v/>
      </c>
    </row>
    <row r="1243" customFormat="false" ht="15" hidden="false" customHeight="false" outlineLevel="0" collapsed="false">
      <c r="A1243" s="103"/>
      <c r="B1243" s="104"/>
      <c r="C1243" s="104"/>
      <c r="F1243" s="107" t="str">
        <f aca="false">IF(OR($C1243="",$D1243=0),"",$E1243/$D1243)</f>
        <v/>
      </c>
      <c r="H1243" s="0" t="str">
        <f aca="false">IF($C1243="","",IF(COUNTIF('مواد المخزون'!$A$2:$A$90,$C1243)&gt;0,"نعم","لا (خارج الجرد)"))</f>
        <v/>
      </c>
    </row>
    <row r="1244" customFormat="false" ht="15" hidden="false" customHeight="false" outlineLevel="0" collapsed="false">
      <c r="A1244" s="103"/>
      <c r="B1244" s="104"/>
      <c r="C1244" s="104"/>
      <c r="F1244" s="107" t="str">
        <f aca="false">IF(OR($C1244="",$D1244=0),"",$E1244/$D1244)</f>
        <v/>
      </c>
      <c r="H1244" s="0" t="str">
        <f aca="false">IF($C1244="","",IF(COUNTIF('مواد المخزون'!$A$2:$A$90,$C1244)&gt;0,"نعم","لا (خارج الجرد)"))</f>
        <v/>
      </c>
    </row>
    <row r="1245" customFormat="false" ht="15" hidden="false" customHeight="false" outlineLevel="0" collapsed="false">
      <c r="A1245" s="103"/>
      <c r="B1245" s="104"/>
      <c r="C1245" s="104"/>
      <c r="F1245" s="107" t="str">
        <f aca="false">IF(OR($C1245="",$D1245=0),"",$E1245/$D1245)</f>
        <v/>
      </c>
      <c r="H1245" s="0" t="str">
        <f aca="false">IF($C1245="","",IF(COUNTIF('مواد المخزون'!$A$2:$A$90,$C1245)&gt;0,"نعم","لا (خارج الجرد)"))</f>
        <v/>
      </c>
    </row>
    <row r="1246" customFormat="false" ht="15" hidden="false" customHeight="false" outlineLevel="0" collapsed="false">
      <c r="A1246" s="103"/>
      <c r="B1246" s="104"/>
      <c r="C1246" s="104"/>
      <c r="F1246" s="107" t="str">
        <f aca="false">IF(OR($C1246="",$D1246=0),"",$E1246/$D1246)</f>
        <v/>
      </c>
      <c r="H1246" s="0" t="str">
        <f aca="false">IF($C1246="","",IF(COUNTIF('مواد المخزون'!$A$2:$A$90,$C1246)&gt;0,"نعم","لا (خارج الجرد)"))</f>
        <v/>
      </c>
    </row>
    <row r="1247" customFormat="false" ht="15" hidden="false" customHeight="false" outlineLevel="0" collapsed="false">
      <c r="A1247" s="103"/>
      <c r="B1247" s="104"/>
      <c r="C1247" s="104"/>
      <c r="F1247" s="107" t="str">
        <f aca="false">IF(OR($C1247="",$D1247=0),"",$E1247/$D1247)</f>
        <v/>
      </c>
      <c r="H1247" s="0" t="str">
        <f aca="false">IF($C1247="","",IF(COUNTIF('مواد المخزون'!$A$2:$A$90,$C1247)&gt;0,"نعم","لا (خارج الجرد)"))</f>
        <v/>
      </c>
    </row>
    <row r="1248" customFormat="false" ht="15" hidden="false" customHeight="false" outlineLevel="0" collapsed="false">
      <c r="A1248" s="103"/>
      <c r="B1248" s="104"/>
      <c r="C1248" s="104"/>
      <c r="F1248" s="107" t="str">
        <f aca="false">IF(OR($C1248="",$D1248=0),"",$E1248/$D1248)</f>
        <v/>
      </c>
      <c r="H1248" s="0" t="str">
        <f aca="false">IF($C1248="","",IF(COUNTIF('مواد المخزون'!$A$2:$A$90,$C1248)&gt;0,"نعم","لا (خارج الجرد)"))</f>
        <v/>
      </c>
    </row>
    <row r="1249" customFormat="false" ht="15" hidden="false" customHeight="false" outlineLevel="0" collapsed="false">
      <c r="A1249" s="103"/>
      <c r="B1249" s="104"/>
      <c r="C1249" s="104"/>
      <c r="F1249" s="107" t="str">
        <f aca="false">IF(OR($C1249="",$D1249=0),"",$E1249/$D1249)</f>
        <v/>
      </c>
      <c r="H1249" s="0" t="str">
        <f aca="false">IF($C1249="","",IF(COUNTIF('مواد المخزون'!$A$2:$A$90,$C1249)&gt;0,"نعم","لا (خارج الجرد)"))</f>
        <v/>
      </c>
    </row>
    <row r="1250" customFormat="false" ht="15" hidden="false" customHeight="false" outlineLevel="0" collapsed="false">
      <c r="A1250" s="103"/>
      <c r="B1250" s="104"/>
      <c r="C1250" s="104"/>
      <c r="F1250" s="107" t="str">
        <f aca="false">IF(OR($C1250="",$D1250=0),"",$E1250/$D1250)</f>
        <v/>
      </c>
      <c r="H1250" s="0" t="str">
        <f aca="false">IF($C1250="","",IF(COUNTIF('مواد المخزون'!$A$2:$A$90,$C1250)&gt;0,"نعم","لا (خارج الجرد)"))</f>
        <v/>
      </c>
    </row>
    <row r="1251" customFormat="false" ht="15" hidden="false" customHeight="false" outlineLevel="0" collapsed="false">
      <c r="A1251" s="103"/>
      <c r="B1251" s="104"/>
      <c r="C1251" s="104"/>
      <c r="F1251" s="107" t="str">
        <f aca="false">IF(OR($C1251="",$D1251=0),"",$E1251/$D1251)</f>
        <v/>
      </c>
      <c r="H1251" s="0" t="str">
        <f aca="false">IF($C1251="","",IF(COUNTIF('مواد المخزون'!$A$2:$A$90,$C1251)&gt;0,"نعم","لا (خارج الجرد)"))</f>
        <v/>
      </c>
    </row>
    <row r="1252" customFormat="false" ht="15" hidden="false" customHeight="false" outlineLevel="0" collapsed="false">
      <c r="A1252" s="103"/>
      <c r="B1252" s="104"/>
      <c r="C1252" s="104"/>
      <c r="F1252" s="107" t="str">
        <f aca="false">IF(OR($C1252="",$D1252=0),"",$E1252/$D1252)</f>
        <v/>
      </c>
      <c r="H1252" s="0" t="str">
        <f aca="false">IF($C1252="","",IF(COUNTIF('مواد المخزون'!$A$2:$A$90,$C1252)&gt;0,"نعم","لا (خارج الجرد)"))</f>
        <v/>
      </c>
    </row>
    <row r="1253" customFormat="false" ht="15" hidden="false" customHeight="false" outlineLevel="0" collapsed="false">
      <c r="A1253" s="103"/>
      <c r="B1253" s="104"/>
      <c r="C1253" s="104"/>
      <c r="F1253" s="107" t="str">
        <f aca="false">IF(OR($C1253="",$D1253=0),"",$E1253/$D1253)</f>
        <v/>
      </c>
      <c r="H1253" s="0" t="str">
        <f aca="false">IF($C1253="","",IF(COUNTIF('مواد المخزون'!$A$2:$A$90,$C1253)&gt;0,"نعم","لا (خارج الجرد)"))</f>
        <v/>
      </c>
    </row>
    <row r="1254" customFormat="false" ht="15" hidden="false" customHeight="false" outlineLevel="0" collapsed="false">
      <c r="A1254" s="103"/>
      <c r="B1254" s="104"/>
      <c r="C1254" s="104"/>
      <c r="F1254" s="107" t="str">
        <f aca="false">IF(OR($C1254="",$D1254=0),"",$E1254/$D1254)</f>
        <v/>
      </c>
      <c r="H1254" s="0" t="str">
        <f aca="false">IF($C1254="","",IF(COUNTIF('مواد المخزون'!$A$2:$A$90,$C1254)&gt;0,"نعم","لا (خارج الجرد)"))</f>
        <v/>
      </c>
    </row>
    <row r="1255" customFormat="false" ht="15" hidden="false" customHeight="false" outlineLevel="0" collapsed="false">
      <c r="A1255" s="103"/>
      <c r="B1255" s="104"/>
      <c r="C1255" s="104"/>
      <c r="F1255" s="107" t="str">
        <f aca="false">IF(OR($C1255="",$D1255=0),"",$E1255/$D1255)</f>
        <v/>
      </c>
      <c r="H1255" s="0" t="str">
        <f aca="false">IF($C1255="","",IF(COUNTIF('مواد المخزون'!$A$2:$A$90,$C1255)&gt;0,"نعم","لا (خارج الجرد)"))</f>
        <v/>
      </c>
    </row>
    <row r="1256" customFormat="false" ht="15" hidden="false" customHeight="false" outlineLevel="0" collapsed="false">
      <c r="A1256" s="103"/>
      <c r="B1256" s="104"/>
      <c r="C1256" s="104"/>
      <c r="F1256" s="107" t="str">
        <f aca="false">IF(OR($C1256="",$D1256=0),"",$E1256/$D1256)</f>
        <v/>
      </c>
      <c r="H1256" s="0" t="str">
        <f aca="false">IF($C1256="","",IF(COUNTIF('مواد المخزون'!$A$2:$A$90,$C1256)&gt;0,"نعم","لا (خارج الجرد)"))</f>
        <v/>
      </c>
    </row>
    <row r="1257" customFormat="false" ht="15" hidden="false" customHeight="false" outlineLevel="0" collapsed="false">
      <c r="A1257" s="103"/>
      <c r="B1257" s="104"/>
      <c r="C1257" s="104"/>
      <c r="F1257" s="107" t="str">
        <f aca="false">IF(OR($C1257="",$D1257=0),"",$E1257/$D1257)</f>
        <v/>
      </c>
      <c r="H1257" s="0" t="str">
        <f aca="false">IF($C1257="","",IF(COUNTIF('مواد المخزون'!$A$2:$A$90,$C1257)&gt;0,"نعم","لا (خارج الجرد)"))</f>
        <v/>
      </c>
    </row>
    <row r="1258" customFormat="false" ht="15" hidden="false" customHeight="false" outlineLevel="0" collapsed="false">
      <c r="A1258" s="103"/>
      <c r="B1258" s="104"/>
      <c r="C1258" s="104"/>
      <c r="F1258" s="107" t="str">
        <f aca="false">IF(OR($C1258="",$D1258=0),"",$E1258/$D1258)</f>
        <v/>
      </c>
      <c r="H1258" s="0" t="str">
        <f aca="false">IF($C1258="","",IF(COUNTIF('مواد المخزون'!$A$2:$A$90,$C1258)&gt;0,"نعم","لا (خارج الجرد)"))</f>
        <v/>
      </c>
    </row>
    <row r="1259" customFormat="false" ht="15" hidden="false" customHeight="false" outlineLevel="0" collapsed="false">
      <c r="A1259" s="103"/>
      <c r="B1259" s="104"/>
      <c r="C1259" s="104"/>
      <c r="F1259" s="107" t="str">
        <f aca="false">IF(OR($C1259="",$D1259=0),"",$E1259/$D1259)</f>
        <v/>
      </c>
      <c r="H1259" s="0" t="str">
        <f aca="false">IF($C1259="","",IF(COUNTIF('مواد المخزون'!$A$2:$A$90,$C1259)&gt;0,"نعم","لا (خارج الجرد)"))</f>
        <v/>
      </c>
    </row>
    <row r="1260" customFormat="false" ht="15" hidden="false" customHeight="false" outlineLevel="0" collapsed="false">
      <c r="A1260" s="103"/>
      <c r="B1260" s="104"/>
      <c r="C1260" s="104"/>
      <c r="F1260" s="107" t="str">
        <f aca="false">IF(OR($C1260="",$D1260=0),"",$E1260/$D1260)</f>
        <v/>
      </c>
      <c r="H1260" s="0" t="str">
        <f aca="false">IF($C1260="","",IF(COUNTIF('مواد المخزون'!$A$2:$A$90,$C1260)&gt;0,"نعم","لا (خارج الجرد)"))</f>
        <v/>
      </c>
    </row>
    <row r="1261" customFormat="false" ht="15" hidden="false" customHeight="false" outlineLevel="0" collapsed="false">
      <c r="A1261" s="103"/>
      <c r="B1261" s="104"/>
      <c r="C1261" s="104"/>
      <c r="F1261" s="107" t="str">
        <f aca="false">IF(OR($C1261="",$D1261=0),"",$E1261/$D1261)</f>
        <v/>
      </c>
      <c r="H1261" s="0" t="str">
        <f aca="false">IF($C1261="","",IF(COUNTIF('مواد المخزون'!$A$2:$A$90,$C1261)&gt;0,"نعم","لا (خارج الجرد)"))</f>
        <v/>
      </c>
    </row>
    <row r="1262" customFormat="false" ht="15" hidden="false" customHeight="false" outlineLevel="0" collapsed="false">
      <c r="A1262" s="103"/>
      <c r="B1262" s="104"/>
      <c r="C1262" s="104"/>
      <c r="F1262" s="107" t="str">
        <f aca="false">IF(OR($C1262="",$D1262=0),"",$E1262/$D1262)</f>
        <v/>
      </c>
      <c r="H1262" s="0" t="str">
        <f aca="false">IF($C1262="","",IF(COUNTIF('مواد المخزون'!$A$2:$A$90,$C1262)&gt;0,"نعم","لا (خارج الجرد)"))</f>
        <v/>
      </c>
    </row>
    <row r="1263" customFormat="false" ht="15" hidden="false" customHeight="false" outlineLevel="0" collapsed="false">
      <c r="A1263" s="103"/>
      <c r="B1263" s="104"/>
      <c r="C1263" s="104"/>
      <c r="F1263" s="107" t="str">
        <f aca="false">IF(OR($C1263="",$D1263=0),"",$E1263/$D1263)</f>
        <v/>
      </c>
      <c r="H1263" s="0" t="str">
        <f aca="false">IF($C1263="","",IF(COUNTIF('مواد المخزون'!$A$2:$A$90,$C1263)&gt;0,"نعم","لا (خارج الجرد)"))</f>
        <v/>
      </c>
    </row>
    <row r="1264" customFormat="false" ht="15" hidden="false" customHeight="false" outlineLevel="0" collapsed="false">
      <c r="A1264" s="103"/>
      <c r="B1264" s="104"/>
      <c r="C1264" s="104"/>
      <c r="F1264" s="107" t="str">
        <f aca="false">IF(OR($C1264="",$D1264=0),"",$E1264/$D1264)</f>
        <v/>
      </c>
      <c r="H1264" s="0" t="str">
        <f aca="false">IF($C1264="","",IF(COUNTIF('مواد المخزون'!$A$2:$A$90,$C1264)&gt;0,"نعم","لا (خارج الجرد)"))</f>
        <v/>
      </c>
    </row>
    <row r="1265" customFormat="false" ht="15" hidden="false" customHeight="false" outlineLevel="0" collapsed="false">
      <c r="A1265" s="103"/>
      <c r="B1265" s="104"/>
      <c r="C1265" s="104"/>
      <c r="F1265" s="107" t="str">
        <f aca="false">IF(OR($C1265="",$D1265=0),"",$E1265/$D1265)</f>
        <v/>
      </c>
      <c r="H1265" s="0" t="str">
        <f aca="false">IF($C1265="","",IF(COUNTIF('مواد المخزون'!$A$2:$A$90,$C1265)&gt;0,"نعم","لا (خارج الجرد)"))</f>
        <v/>
      </c>
    </row>
    <row r="1266" customFormat="false" ht="15" hidden="false" customHeight="false" outlineLevel="0" collapsed="false">
      <c r="A1266" s="103"/>
      <c r="B1266" s="104"/>
      <c r="C1266" s="104"/>
      <c r="F1266" s="107" t="str">
        <f aca="false">IF(OR($C1266="",$D1266=0),"",$E1266/$D1266)</f>
        <v/>
      </c>
      <c r="H1266" s="0" t="str">
        <f aca="false">IF($C1266="","",IF(COUNTIF('مواد المخزون'!$A$2:$A$90,$C1266)&gt;0,"نعم","لا (خارج الجرد)"))</f>
        <v/>
      </c>
    </row>
    <row r="1267" customFormat="false" ht="15" hidden="false" customHeight="false" outlineLevel="0" collapsed="false">
      <c r="A1267" s="103"/>
      <c r="B1267" s="104"/>
      <c r="C1267" s="104"/>
      <c r="F1267" s="107" t="str">
        <f aca="false">IF(OR($C1267="",$D1267=0),"",$E1267/$D1267)</f>
        <v/>
      </c>
      <c r="H1267" s="0" t="str">
        <f aca="false">IF($C1267="","",IF(COUNTIF('مواد المخزون'!$A$2:$A$90,$C1267)&gt;0,"نعم","لا (خارج الجرد)"))</f>
        <v/>
      </c>
    </row>
    <row r="1268" customFormat="false" ht="15" hidden="false" customHeight="false" outlineLevel="0" collapsed="false">
      <c r="A1268" s="103"/>
      <c r="B1268" s="104"/>
      <c r="C1268" s="104"/>
      <c r="F1268" s="107" t="str">
        <f aca="false">IF(OR($C1268="",$D1268=0),"",$E1268/$D1268)</f>
        <v/>
      </c>
      <c r="H1268" s="0" t="str">
        <f aca="false">IF($C1268="","",IF(COUNTIF('مواد المخزون'!$A$2:$A$90,$C1268)&gt;0,"نعم","لا (خارج الجرد)"))</f>
        <v/>
      </c>
    </row>
    <row r="1269" customFormat="false" ht="15" hidden="false" customHeight="false" outlineLevel="0" collapsed="false">
      <c r="A1269" s="103"/>
      <c r="B1269" s="104"/>
      <c r="C1269" s="104"/>
      <c r="F1269" s="107" t="str">
        <f aca="false">IF(OR($C1269="",$D1269=0),"",$E1269/$D1269)</f>
        <v/>
      </c>
      <c r="H1269" s="0" t="str">
        <f aca="false">IF($C1269="","",IF(COUNTIF('مواد المخزون'!$A$2:$A$90,$C1269)&gt;0,"نعم","لا (خارج الجرد)"))</f>
        <v/>
      </c>
    </row>
    <row r="1270" customFormat="false" ht="15" hidden="false" customHeight="false" outlineLevel="0" collapsed="false">
      <c r="A1270" s="103"/>
      <c r="B1270" s="104"/>
      <c r="C1270" s="104"/>
      <c r="F1270" s="107" t="str">
        <f aca="false">IF(OR($C1270="",$D1270=0),"",$E1270/$D1270)</f>
        <v/>
      </c>
      <c r="H1270" s="0" t="str">
        <f aca="false">IF($C1270="","",IF(COUNTIF('مواد المخزون'!$A$2:$A$90,$C1270)&gt;0,"نعم","لا (خارج الجرد)"))</f>
        <v/>
      </c>
    </row>
    <row r="1271" customFormat="false" ht="15" hidden="false" customHeight="false" outlineLevel="0" collapsed="false">
      <c r="A1271" s="103"/>
      <c r="B1271" s="104"/>
      <c r="C1271" s="104"/>
      <c r="F1271" s="107" t="str">
        <f aca="false">IF(OR($C1271="",$D1271=0),"",$E1271/$D1271)</f>
        <v/>
      </c>
      <c r="H1271" s="0" t="str">
        <f aca="false">IF($C1271="","",IF(COUNTIF('مواد المخزون'!$A$2:$A$90,$C1271)&gt;0,"نعم","لا (خارج الجرد)"))</f>
        <v/>
      </c>
    </row>
    <row r="1272" customFormat="false" ht="15" hidden="false" customHeight="false" outlineLevel="0" collapsed="false">
      <c r="A1272" s="103"/>
      <c r="B1272" s="104"/>
      <c r="C1272" s="104"/>
      <c r="F1272" s="107" t="str">
        <f aca="false">IF(OR($C1272="",$D1272=0),"",$E1272/$D1272)</f>
        <v/>
      </c>
      <c r="H1272" s="0" t="str">
        <f aca="false">IF($C1272="","",IF(COUNTIF('مواد المخزون'!$A$2:$A$90,$C1272)&gt;0,"نعم","لا (خارج الجرد)"))</f>
        <v/>
      </c>
    </row>
    <row r="1273" customFormat="false" ht="15" hidden="false" customHeight="false" outlineLevel="0" collapsed="false">
      <c r="A1273" s="103"/>
      <c r="B1273" s="104"/>
      <c r="C1273" s="104"/>
      <c r="F1273" s="107" t="str">
        <f aca="false">IF(OR($C1273="",$D1273=0),"",$E1273/$D1273)</f>
        <v/>
      </c>
      <c r="H1273" s="0" t="str">
        <f aca="false">IF($C1273="","",IF(COUNTIF('مواد المخزون'!$A$2:$A$90,$C1273)&gt;0,"نعم","لا (خارج الجرد)"))</f>
        <v/>
      </c>
    </row>
    <row r="1274" customFormat="false" ht="15" hidden="false" customHeight="false" outlineLevel="0" collapsed="false">
      <c r="A1274" s="103"/>
      <c r="B1274" s="104"/>
      <c r="C1274" s="104"/>
      <c r="F1274" s="107" t="str">
        <f aca="false">IF(OR($C1274="",$D1274=0),"",$E1274/$D1274)</f>
        <v/>
      </c>
      <c r="H1274" s="0" t="str">
        <f aca="false">IF($C1274="","",IF(COUNTIF('مواد المخزون'!$A$2:$A$90,$C1274)&gt;0,"نعم","لا (خارج الجرد)"))</f>
        <v/>
      </c>
    </row>
    <row r="1275" customFormat="false" ht="15" hidden="false" customHeight="false" outlineLevel="0" collapsed="false">
      <c r="A1275" s="103"/>
      <c r="B1275" s="104"/>
      <c r="C1275" s="104"/>
      <c r="F1275" s="107" t="str">
        <f aca="false">IF(OR($C1275="",$D1275=0),"",$E1275/$D1275)</f>
        <v/>
      </c>
      <c r="H1275" s="0" t="str">
        <f aca="false">IF($C1275="","",IF(COUNTIF('مواد المخزون'!$A$2:$A$90,$C1275)&gt;0,"نعم","لا (خارج الجرد)"))</f>
        <v/>
      </c>
    </row>
    <row r="1276" customFormat="false" ht="15" hidden="false" customHeight="false" outlineLevel="0" collapsed="false">
      <c r="A1276" s="103"/>
      <c r="B1276" s="104"/>
      <c r="C1276" s="104"/>
      <c r="F1276" s="107" t="str">
        <f aca="false">IF(OR($C1276="",$D1276=0),"",$E1276/$D1276)</f>
        <v/>
      </c>
      <c r="H1276" s="0" t="str">
        <f aca="false">IF($C1276="","",IF(COUNTIF('مواد المخزون'!$A$2:$A$90,$C1276)&gt;0,"نعم","لا (خارج الجرد)"))</f>
        <v/>
      </c>
    </row>
    <row r="1277" customFormat="false" ht="15" hidden="false" customHeight="false" outlineLevel="0" collapsed="false">
      <c r="A1277" s="103"/>
      <c r="B1277" s="104"/>
      <c r="C1277" s="104"/>
      <c r="F1277" s="107" t="str">
        <f aca="false">IF(OR($C1277="",$D1277=0),"",$E1277/$D1277)</f>
        <v/>
      </c>
      <c r="H1277" s="0" t="str">
        <f aca="false">IF($C1277="","",IF(COUNTIF('مواد المخزون'!$A$2:$A$90,$C1277)&gt;0,"نعم","لا (خارج الجرد)"))</f>
        <v/>
      </c>
    </row>
    <row r="1278" customFormat="false" ht="15" hidden="false" customHeight="false" outlineLevel="0" collapsed="false">
      <c r="A1278" s="103"/>
      <c r="B1278" s="104"/>
      <c r="C1278" s="104"/>
      <c r="F1278" s="107" t="str">
        <f aca="false">IF(OR($C1278="",$D1278=0),"",$E1278/$D1278)</f>
        <v/>
      </c>
      <c r="H1278" s="0" t="str">
        <f aca="false">IF($C1278="","",IF(COUNTIF('مواد المخزون'!$A$2:$A$90,$C1278)&gt;0,"نعم","لا (خارج الجرد)"))</f>
        <v/>
      </c>
    </row>
    <row r="1279" customFormat="false" ht="15" hidden="false" customHeight="false" outlineLevel="0" collapsed="false">
      <c r="A1279" s="103"/>
      <c r="B1279" s="104"/>
      <c r="C1279" s="104"/>
      <c r="F1279" s="107" t="str">
        <f aca="false">IF(OR($C1279="",$D1279=0),"",$E1279/$D1279)</f>
        <v/>
      </c>
      <c r="H1279" s="0" t="str">
        <f aca="false">IF($C1279="","",IF(COUNTIF('مواد المخزون'!$A$2:$A$90,$C1279)&gt;0,"نعم","لا (خارج الجرد)"))</f>
        <v/>
      </c>
    </row>
    <row r="1280" customFormat="false" ht="15" hidden="false" customHeight="false" outlineLevel="0" collapsed="false">
      <c r="A1280" s="103"/>
      <c r="B1280" s="104"/>
      <c r="C1280" s="104"/>
      <c r="F1280" s="107" t="str">
        <f aca="false">IF(OR($C1280="",$D1280=0),"",$E1280/$D1280)</f>
        <v/>
      </c>
      <c r="H1280" s="0" t="str">
        <f aca="false">IF($C1280="","",IF(COUNTIF('مواد المخزون'!$A$2:$A$90,$C1280)&gt;0,"نعم","لا (خارج الجرد)"))</f>
        <v/>
      </c>
    </row>
    <row r="1281" customFormat="false" ht="15" hidden="false" customHeight="false" outlineLevel="0" collapsed="false">
      <c r="A1281" s="103"/>
      <c r="B1281" s="104"/>
      <c r="C1281" s="104"/>
      <c r="F1281" s="107" t="str">
        <f aca="false">IF(OR($C1281="",$D1281=0),"",$E1281/$D1281)</f>
        <v/>
      </c>
      <c r="H1281" s="0" t="str">
        <f aca="false">IF($C1281="","",IF(COUNTIF('مواد المخزون'!$A$2:$A$90,$C1281)&gt;0,"نعم","لا (خارج الجرد)"))</f>
        <v/>
      </c>
    </row>
    <row r="1282" customFormat="false" ht="15" hidden="false" customHeight="false" outlineLevel="0" collapsed="false">
      <c r="A1282" s="103"/>
      <c r="B1282" s="104"/>
      <c r="C1282" s="104"/>
      <c r="F1282" s="107" t="str">
        <f aca="false">IF(OR($C1282="",$D1282=0),"",$E1282/$D1282)</f>
        <v/>
      </c>
      <c r="H1282" s="0" t="str">
        <f aca="false">IF($C1282="","",IF(COUNTIF('مواد المخزون'!$A$2:$A$90,$C1282)&gt;0,"نعم","لا (خارج الجرد)"))</f>
        <v/>
      </c>
    </row>
    <row r="1283" customFormat="false" ht="15" hidden="false" customHeight="false" outlineLevel="0" collapsed="false">
      <c r="A1283" s="103"/>
      <c r="B1283" s="104"/>
      <c r="C1283" s="104"/>
      <c r="F1283" s="107" t="str">
        <f aca="false">IF(OR($C1283="",$D1283=0),"",$E1283/$D1283)</f>
        <v/>
      </c>
      <c r="H1283" s="0" t="str">
        <f aca="false">IF($C1283="","",IF(COUNTIF('مواد المخزون'!$A$2:$A$90,$C1283)&gt;0,"نعم","لا (خارج الجرد)"))</f>
        <v/>
      </c>
    </row>
    <row r="1284" customFormat="false" ht="15" hidden="false" customHeight="false" outlineLevel="0" collapsed="false">
      <c r="A1284" s="103"/>
      <c r="B1284" s="104"/>
      <c r="C1284" s="104"/>
      <c r="F1284" s="107" t="str">
        <f aca="false">IF(OR($C1284="",$D1284=0),"",$E1284/$D1284)</f>
        <v/>
      </c>
      <c r="H1284" s="0" t="str">
        <f aca="false">IF($C1284="","",IF(COUNTIF('مواد المخزون'!$A$2:$A$90,$C1284)&gt;0,"نعم","لا (خارج الجرد)"))</f>
        <v/>
      </c>
    </row>
    <row r="1285" customFormat="false" ht="15" hidden="false" customHeight="false" outlineLevel="0" collapsed="false">
      <c r="A1285" s="103"/>
      <c r="B1285" s="104"/>
      <c r="C1285" s="104"/>
      <c r="F1285" s="107" t="str">
        <f aca="false">IF(OR($C1285="",$D1285=0),"",$E1285/$D1285)</f>
        <v/>
      </c>
      <c r="H1285" s="0" t="str">
        <f aca="false">IF($C1285="","",IF(COUNTIF('مواد المخزون'!$A$2:$A$90,$C1285)&gt;0,"نعم","لا (خارج الجرد)"))</f>
        <v/>
      </c>
    </row>
    <row r="1286" customFormat="false" ht="15" hidden="false" customHeight="false" outlineLevel="0" collapsed="false">
      <c r="A1286" s="103"/>
      <c r="B1286" s="104"/>
      <c r="C1286" s="104"/>
      <c r="F1286" s="107" t="str">
        <f aca="false">IF(OR($C1286="",$D1286=0),"",$E1286/$D1286)</f>
        <v/>
      </c>
      <c r="H1286" s="0" t="str">
        <f aca="false">IF($C1286="","",IF(COUNTIF('مواد المخزون'!$A$2:$A$90,$C1286)&gt;0,"نعم","لا (خارج الجرد)"))</f>
        <v/>
      </c>
    </row>
    <row r="1287" customFormat="false" ht="15" hidden="false" customHeight="false" outlineLevel="0" collapsed="false">
      <c r="A1287" s="103"/>
      <c r="B1287" s="104"/>
      <c r="C1287" s="104"/>
      <c r="F1287" s="107" t="str">
        <f aca="false">IF(OR($C1287="",$D1287=0),"",$E1287/$D1287)</f>
        <v/>
      </c>
      <c r="H1287" s="0" t="str">
        <f aca="false">IF($C1287="","",IF(COUNTIF('مواد المخزون'!$A$2:$A$90,$C1287)&gt;0,"نعم","لا (خارج الجرد)"))</f>
        <v/>
      </c>
    </row>
    <row r="1288" customFormat="false" ht="15" hidden="false" customHeight="false" outlineLevel="0" collapsed="false">
      <c r="A1288" s="103"/>
      <c r="B1288" s="104"/>
      <c r="C1288" s="104"/>
      <c r="F1288" s="107" t="str">
        <f aca="false">IF(OR($C1288="",$D1288=0),"",$E1288/$D1288)</f>
        <v/>
      </c>
      <c r="H1288" s="0" t="str">
        <f aca="false">IF($C1288="","",IF(COUNTIF('مواد المخزون'!$A$2:$A$90,$C1288)&gt;0,"نعم","لا (خارج الجرد)"))</f>
        <v/>
      </c>
    </row>
    <row r="1289" customFormat="false" ht="15" hidden="false" customHeight="false" outlineLevel="0" collapsed="false">
      <c r="A1289" s="103"/>
      <c r="B1289" s="104"/>
      <c r="C1289" s="104"/>
      <c r="F1289" s="107" t="str">
        <f aca="false">IF(OR($C1289="",$D1289=0),"",$E1289/$D1289)</f>
        <v/>
      </c>
      <c r="H1289" s="0" t="str">
        <f aca="false">IF($C1289="","",IF(COUNTIF('مواد المخزون'!$A$2:$A$90,$C1289)&gt;0,"نعم","لا (خارج الجرد)"))</f>
        <v/>
      </c>
    </row>
    <row r="1290" customFormat="false" ht="15" hidden="false" customHeight="false" outlineLevel="0" collapsed="false">
      <c r="A1290" s="103"/>
      <c r="B1290" s="104"/>
      <c r="C1290" s="104"/>
      <c r="F1290" s="107" t="str">
        <f aca="false">IF(OR($C1290="",$D1290=0),"",$E1290/$D1290)</f>
        <v/>
      </c>
      <c r="H1290" s="0" t="str">
        <f aca="false">IF($C1290="","",IF(COUNTIF('مواد المخزون'!$A$2:$A$90,$C1290)&gt;0,"نعم","لا (خارج الجرد)"))</f>
        <v/>
      </c>
    </row>
    <row r="1291" customFormat="false" ht="15" hidden="false" customHeight="false" outlineLevel="0" collapsed="false">
      <c r="A1291" s="103"/>
      <c r="B1291" s="104"/>
      <c r="C1291" s="104"/>
      <c r="F1291" s="107" t="str">
        <f aca="false">IF(OR($C1291="",$D1291=0),"",$E1291/$D1291)</f>
        <v/>
      </c>
      <c r="H1291" s="0" t="str">
        <f aca="false">IF($C1291="","",IF(COUNTIF('مواد المخزون'!$A$2:$A$90,$C1291)&gt;0,"نعم","لا (خارج الجرد)"))</f>
        <v/>
      </c>
    </row>
    <row r="1292" customFormat="false" ht="15" hidden="false" customHeight="false" outlineLevel="0" collapsed="false">
      <c r="A1292" s="103"/>
      <c r="B1292" s="104"/>
      <c r="C1292" s="104"/>
      <c r="F1292" s="107" t="str">
        <f aca="false">IF(OR($C1292="",$D1292=0),"",$E1292/$D1292)</f>
        <v/>
      </c>
      <c r="H1292" s="0" t="str">
        <f aca="false">IF($C1292="","",IF(COUNTIF('مواد المخزون'!$A$2:$A$90,$C1292)&gt;0,"نعم","لا (خارج الجرد)"))</f>
        <v/>
      </c>
    </row>
    <row r="1293" customFormat="false" ht="15" hidden="false" customHeight="false" outlineLevel="0" collapsed="false">
      <c r="A1293" s="103"/>
      <c r="B1293" s="104"/>
      <c r="C1293" s="104"/>
      <c r="F1293" s="107" t="str">
        <f aca="false">IF(OR($C1293="",$D1293=0),"",$E1293/$D1293)</f>
        <v/>
      </c>
      <c r="H1293" s="0" t="str">
        <f aca="false">IF($C1293="","",IF(COUNTIF('مواد المخزون'!$A$2:$A$90,$C1293)&gt;0,"نعم","لا (خارج الجرد)"))</f>
        <v/>
      </c>
    </row>
    <row r="1294" customFormat="false" ht="15" hidden="false" customHeight="false" outlineLevel="0" collapsed="false">
      <c r="A1294" s="103"/>
      <c r="B1294" s="104"/>
      <c r="C1294" s="104"/>
      <c r="F1294" s="107" t="str">
        <f aca="false">IF(OR($C1294="",$D1294=0),"",$E1294/$D1294)</f>
        <v/>
      </c>
      <c r="H1294" s="0" t="str">
        <f aca="false">IF($C1294="","",IF(COUNTIF('مواد المخزون'!$A$2:$A$90,$C1294)&gt;0,"نعم","لا (خارج الجرد)"))</f>
        <v/>
      </c>
    </row>
    <row r="1295" customFormat="false" ht="15" hidden="false" customHeight="false" outlineLevel="0" collapsed="false">
      <c r="A1295" s="103"/>
      <c r="B1295" s="104"/>
      <c r="C1295" s="104"/>
      <c r="F1295" s="107" t="str">
        <f aca="false">IF(OR($C1295="",$D1295=0),"",$E1295/$D1295)</f>
        <v/>
      </c>
      <c r="H1295" s="0" t="str">
        <f aca="false">IF($C1295="","",IF(COUNTIF('مواد المخزون'!$A$2:$A$90,$C1295)&gt;0,"نعم","لا (خارج الجرد)"))</f>
        <v/>
      </c>
    </row>
    <row r="1296" customFormat="false" ht="15" hidden="false" customHeight="false" outlineLevel="0" collapsed="false">
      <c r="A1296" s="103"/>
      <c r="B1296" s="104"/>
      <c r="C1296" s="104"/>
      <c r="F1296" s="107" t="str">
        <f aca="false">IF(OR($C1296="",$D1296=0),"",$E1296/$D1296)</f>
        <v/>
      </c>
      <c r="H1296" s="0" t="str">
        <f aca="false">IF($C1296="","",IF(COUNTIF('مواد المخزون'!$A$2:$A$90,$C1296)&gt;0,"نعم","لا (خارج الجرد)"))</f>
        <v/>
      </c>
    </row>
    <row r="1297" customFormat="false" ht="15" hidden="false" customHeight="false" outlineLevel="0" collapsed="false">
      <c r="A1297" s="103"/>
      <c r="B1297" s="104"/>
      <c r="C1297" s="104"/>
      <c r="F1297" s="107" t="str">
        <f aca="false">IF(OR($C1297="",$D1297=0),"",$E1297/$D1297)</f>
        <v/>
      </c>
      <c r="H1297" s="0" t="str">
        <f aca="false">IF($C1297="","",IF(COUNTIF('مواد المخزون'!$A$2:$A$90,$C1297)&gt;0,"نعم","لا (خارج الجرد)"))</f>
        <v/>
      </c>
    </row>
    <row r="1298" customFormat="false" ht="15" hidden="false" customHeight="false" outlineLevel="0" collapsed="false">
      <c r="A1298" s="103"/>
      <c r="B1298" s="104"/>
      <c r="C1298" s="104"/>
      <c r="F1298" s="107" t="str">
        <f aca="false">IF(OR($C1298="",$D1298=0),"",$E1298/$D1298)</f>
        <v/>
      </c>
      <c r="H1298" s="0" t="str">
        <f aca="false">IF($C1298="","",IF(COUNTIF('مواد المخزون'!$A$2:$A$90,$C1298)&gt;0,"نعم","لا (خارج الجرد)"))</f>
        <v/>
      </c>
    </row>
    <row r="1299" customFormat="false" ht="15" hidden="false" customHeight="false" outlineLevel="0" collapsed="false">
      <c r="A1299" s="103"/>
      <c r="B1299" s="104"/>
      <c r="C1299" s="104"/>
      <c r="F1299" s="107" t="str">
        <f aca="false">IF(OR($C1299="",$D1299=0),"",$E1299/$D1299)</f>
        <v/>
      </c>
      <c r="H1299" s="0" t="str">
        <f aca="false">IF($C1299="","",IF(COUNTIF('مواد المخزون'!$A$2:$A$90,$C1299)&gt;0,"نعم","لا (خارج الجرد)"))</f>
        <v/>
      </c>
    </row>
    <row r="1300" customFormat="false" ht="15" hidden="false" customHeight="false" outlineLevel="0" collapsed="false">
      <c r="A1300" s="103"/>
      <c r="B1300" s="104"/>
      <c r="C1300" s="104"/>
      <c r="F1300" s="107" t="str">
        <f aca="false">IF(OR($C1300="",$D1300=0),"",$E1300/$D1300)</f>
        <v/>
      </c>
      <c r="H1300" s="0" t="str">
        <f aca="false">IF($C1300="","",IF(COUNTIF('مواد المخزون'!$A$2:$A$90,$C1300)&gt;0,"نعم","لا (خارج الجرد)"))</f>
        <v/>
      </c>
    </row>
    <row r="1301" customFormat="false" ht="15" hidden="false" customHeight="false" outlineLevel="0" collapsed="false">
      <c r="A1301" s="103"/>
      <c r="B1301" s="104"/>
      <c r="C1301" s="104"/>
      <c r="F1301" s="107" t="str">
        <f aca="false">IF(OR($C1301="",$D1301=0),"",$E1301/$D1301)</f>
        <v/>
      </c>
      <c r="H1301" s="0" t="str">
        <f aca="false">IF($C1301="","",IF(COUNTIF('مواد المخزون'!$A$2:$A$90,$C1301)&gt;0,"نعم","لا (خارج الجرد)"))</f>
        <v/>
      </c>
    </row>
    <row r="1302" customFormat="false" ht="15" hidden="false" customHeight="false" outlineLevel="0" collapsed="false">
      <c r="A1302" s="103"/>
      <c r="B1302" s="104"/>
      <c r="C1302" s="104"/>
      <c r="F1302" s="107" t="str">
        <f aca="false">IF(OR($C1302="",$D1302=0),"",$E1302/$D1302)</f>
        <v/>
      </c>
      <c r="H1302" s="0" t="str">
        <f aca="false">IF($C1302="","",IF(COUNTIF('مواد المخزون'!$A$2:$A$90,$C1302)&gt;0,"نعم","لا (خارج الجرد)"))</f>
        <v/>
      </c>
    </row>
    <row r="1303" customFormat="false" ht="15" hidden="false" customHeight="false" outlineLevel="0" collapsed="false">
      <c r="A1303" s="103"/>
      <c r="B1303" s="104"/>
      <c r="C1303" s="104"/>
      <c r="F1303" s="107" t="str">
        <f aca="false">IF(OR($C1303="",$D1303=0),"",$E1303/$D1303)</f>
        <v/>
      </c>
      <c r="H1303" s="0" t="str">
        <f aca="false">IF($C1303="","",IF(COUNTIF('مواد المخزون'!$A$2:$A$90,$C1303)&gt;0,"نعم","لا (خارج الجرد)"))</f>
        <v/>
      </c>
    </row>
    <row r="1304" customFormat="false" ht="15" hidden="false" customHeight="false" outlineLevel="0" collapsed="false">
      <c r="A1304" s="103"/>
      <c r="B1304" s="104"/>
      <c r="C1304" s="104"/>
      <c r="F1304" s="107" t="str">
        <f aca="false">IF(OR($C1304="",$D1304=0),"",$E1304/$D1304)</f>
        <v/>
      </c>
      <c r="H1304" s="0" t="str">
        <f aca="false">IF($C1304="","",IF(COUNTIF('مواد المخزون'!$A$2:$A$90,$C1304)&gt;0,"نعم","لا (خارج الجرد)"))</f>
        <v/>
      </c>
    </row>
    <row r="1305" customFormat="false" ht="15" hidden="false" customHeight="false" outlineLevel="0" collapsed="false">
      <c r="A1305" s="103"/>
      <c r="B1305" s="104"/>
      <c r="C1305" s="104"/>
      <c r="F1305" s="107" t="str">
        <f aca="false">IF(OR($C1305="",$D1305=0),"",$E1305/$D1305)</f>
        <v/>
      </c>
      <c r="H1305" s="0" t="str">
        <f aca="false">IF($C1305="","",IF(COUNTIF('مواد المخزون'!$A$2:$A$90,$C1305)&gt;0,"نعم","لا (خارج الجرد)"))</f>
        <v/>
      </c>
    </row>
    <row r="1306" customFormat="false" ht="15" hidden="false" customHeight="false" outlineLevel="0" collapsed="false">
      <c r="A1306" s="103"/>
      <c r="B1306" s="104"/>
      <c r="C1306" s="104"/>
      <c r="F1306" s="107" t="str">
        <f aca="false">IF(OR($C1306="",$D1306=0),"",$E1306/$D1306)</f>
        <v/>
      </c>
      <c r="H1306" s="0" t="str">
        <f aca="false">IF($C1306="","",IF(COUNTIF('مواد المخزون'!$A$2:$A$90,$C1306)&gt;0,"نعم","لا (خارج الجرد)"))</f>
        <v/>
      </c>
    </row>
    <row r="1307" customFormat="false" ht="15" hidden="false" customHeight="false" outlineLevel="0" collapsed="false">
      <c r="A1307" s="103"/>
      <c r="B1307" s="104"/>
      <c r="C1307" s="104"/>
      <c r="F1307" s="107" t="str">
        <f aca="false">IF(OR($C1307="",$D1307=0),"",$E1307/$D1307)</f>
        <v/>
      </c>
      <c r="H1307" s="0" t="str">
        <f aca="false">IF($C1307="","",IF(COUNTIF('مواد المخزون'!$A$2:$A$90,$C1307)&gt;0,"نعم","لا (خارج الجرد)"))</f>
        <v/>
      </c>
    </row>
    <row r="1308" customFormat="false" ht="15" hidden="false" customHeight="false" outlineLevel="0" collapsed="false">
      <c r="A1308" s="103"/>
      <c r="B1308" s="104"/>
      <c r="C1308" s="104"/>
      <c r="F1308" s="107" t="str">
        <f aca="false">IF(OR($C1308="",$D1308=0),"",$E1308/$D1308)</f>
        <v/>
      </c>
      <c r="H1308" s="0" t="str">
        <f aca="false">IF($C1308="","",IF(COUNTIF('مواد المخزون'!$A$2:$A$90,$C1308)&gt;0,"نعم","لا (خارج الجرد)"))</f>
        <v/>
      </c>
    </row>
    <row r="1309" customFormat="false" ht="15" hidden="false" customHeight="false" outlineLevel="0" collapsed="false">
      <c r="A1309" s="103"/>
      <c r="B1309" s="104"/>
      <c r="C1309" s="104"/>
      <c r="F1309" s="107" t="str">
        <f aca="false">IF(OR($C1309="",$D1309=0),"",$E1309/$D1309)</f>
        <v/>
      </c>
      <c r="H1309" s="0" t="str">
        <f aca="false">IF($C1309="","",IF(COUNTIF('مواد المخزون'!$A$2:$A$90,$C1309)&gt;0,"نعم","لا (خارج الجرد)"))</f>
        <v/>
      </c>
    </row>
    <row r="1310" customFormat="false" ht="15" hidden="false" customHeight="false" outlineLevel="0" collapsed="false">
      <c r="A1310" s="103"/>
      <c r="B1310" s="104"/>
      <c r="C1310" s="104"/>
      <c r="F1310" s="107" t="str">
        <f aca="false">IF(OR($C1310="",$D1310=0),"",$E1310/$D1310)</f>
        <v/>
      </c>
      <c r="H1310" s="0" t="str">
        <f aca="false">IF($C1310="","",IF(COUNTIF('مواد المخزون'!$A$2:$A$90,$C1310)&gt;0,"نعم","لا (خارج الجرد)"))</f>
        <v/>
      </c>
    </row>
    <row r="1311" customFormat="false" ht="15" hidden="false" customHeight="false" outlineLevel="0" collapsed="false">
      <c r="A1311" s="103"/>
      <c r="B1311" s="104"/>
      <c r="C1311" s="104"/>
      <c r="F1311" s="107" t="str">
        <f aca="false">IF(OR($C1311="",$D1311=0),"",$E1311/$D1311)</f>
        <v/>
      </c>
      <c r="H1311" s="0" t="str">
        <f aca="false">IF($C1311="","",IF(COUNTIF('مواد المخزون'!$A$2:$A$90,$C1311)&gt;0,"نعم","لا (خارج الجرد)"))</f>
        <v/>
      </c>
    </row>
    <row r="1312" customFormat="false" ht="15" hidden="false" customHeight="false" outlineLevel="0" collapsed="false">
      <c r="A1312" s="103"/>
      <c r="B1312" s="104"/>
      <c r="C1312" s="104"/>
      <c r="F1312" s="107" t="str">
        <f aca="false">IF(OR($C1312="",$D1312=0),"",$E1312/$D1312)</f>
        <v/>
      </c>
      <c r="H1312" s="0" t="str">
        <f aca="false">IF($C1312="","",IF(COUNTIF('مواد المخزون'!$A$2:$A$90,$C1312)&gt;0,"نعم","لا (خارج الجرد)"))</f>
        <v/>
      </c>
    </row>
    <row r="1313" customFormat="false" ht="15" hidden="false" customHeight="false" outlineLevel="0" collapsed="false">
      <c r="A1313" s="103"/>
      <c r="B1313" s="104"/>
      <c r="C1313" s="104"/>
      <c r="F1313" s="107" t="str">
        <f aca="false">IF(OR($C1313="",$D1313=0),"",$E1313/$D1313)</f>
        <v/>
      </c>
      <c r="H1313" s="0" t="str">
        <f aca="false">IF($C1313="","",IF(COUNTIF('مواد المخزون'!$A$2:$A$90,$C1313)&gt;0,"نعم","لا (خارج الجرد)"))</f>
        <v/>
      </c>
    </row>
    <row r="1314" customFormat="false" ht="15" hidden="false" customHeight="false" outlineLevel="0" collapsed="false">
      <c r="A1314" s="103"/>
      <c r="B1314" s="104"/>
      <c r="C1314" s="104"/>
      <c r="F1314" s="107" t="str">
        <f aca="false">IF(OR($C1314="",$D1314=0),"",$E1314/$D1314)</f>
        <v/>
      </c>
      <c r="H1314" s="0" t="str">
        <f aca="false">IF($C1314="","",IF(COUNTIF('مواد المخزون'!$A$2:$A$90,$C1314)&gt;0,"نعم","لا (خارج الجرد)"))</f>
        <v/>
      </c>
    </row>
    <row r="1315" customFormat="false" ht="15" hidden="false" customHeight="false" outlineLevel="0" collapsed="false">
      <c r="A1315" s="103"/>
      <c r="B1315" s="104"/>
      <c r="C1315" s="104"/>
      <c r="F1315" s="107" t="str">
        <f aca="false">IF(OR($C1315="",$D1315=0),"",$E1315/$D1315)</f>
        <v/>
      </c>
      <c r="H1315" s="0" t="str">
        <f aca="false">IF($C1315="","",IF(COUNTIF('مواد المخزون'!$A$2:$A$90,$C1315)&gt;0,"نعم","لا (خارج الجرد)"))</f>
        <v/>
      </c>
    </row>
    <row r="1316" customFormat="false" ht="15" hidden="false" customHeight="false" outlineLevel="0" collapsed="false">
      <c r="A1316" s="103"/>
      <c r="B1316" s="104"/>
      <c r="C1316" s="104"/>
      <c r="F1316" s="107" t="str">
        <f aca="false">IF(OR($C1316="",$D1316=0),"",$E1316/$D1316)</f>
        <v/>
      </c>
      <c r="H1316" s="0" t="str">
        <f aca="false">IF($C1316="","",IF(COUNTIF('مواد المخزون'!$A$2:$A$90,$C1316)&gt;0,"نعم","لا (خارج الجرد)"))</f>
        <v/>
      </c>
    </row>
    <row r="1317" customFormat="false" ht="15" hidden="false" customHeight="false" outlineLevel="0" collapsed="false">
      <c r="A1317" s="103"/>
      <c r="B1317" s="104"/>
      <c r="C1317" s="104"/>
      <c r="F1317" s="107" t="str">
        <f aca="false">IF(OR($C1317="",$D1317=0),"",$E1317/$D1317)</f>
        <v/>
      </c>
      <c r="H1317" s="0" t="str">
        <f aca="false">IF($C1317="","",IF(COUNTIF('مواد المخزون'!$A$2:$A$90,$C1317)&gt;0,"نعم","لا (خارج الجرد)"))</f>
        <v/>
      </c>
    </row>
    <row r="1318" customFormat="false" ht="15" hidden="false" customHeight="false" outlineLevel="0" collapsed="false">
      <c r="A1318" s="103"/>
      <c r="B1318" s="104"/>
      <c r="C1318" s="104"/>
      <c r="F1318" s="107" t="str">
        <f aca="false">IF(OR($C1318="",$D1318=0),"",$E1318/$D1318)</f>
        <v/>
      </c>
      <c r="H1318" s="0" t="str">
        <f aca="false">IF($C1318="","",IF(COUNTIF('مواد المخزون'!$A$2:$A$90,$C1318)&gt;0,"نعم","لا (خارج الجرد)"))</f>
        <v/>
      </c>
    </row>
    <row r="1319" customFormat="false" ht="15" hidden="false" customHeight="false" outlineLevel="0" collapsed="false">
      <c r="A1319" s="103"/>
      <c r="B1319" s="104"/>
      <c r="C1319" s="104"/>
      <c r="F1319" s="107" t="str">
        <f aca="false">IF(OR($C1319="",$D1319=0),"",$E1319/$D1319)</f>
        <v/>
      </c>
      <c r="H1319" s="0" t="str">
        <f aca="false">IF($C1319="","",IF(COUNTIF('مواد المخزون'!$A$2:$A$90,$C1319)&gt;0,"نعم","لا (خارج الجرد)"))</f>
        <v/>
      </c>
    </row>
    <row r="1320" customFormat="false" ht="15" hidden="false" customHeight="false" outlineLevel="0" collapsed="false">
      <c r="A1320" s="103"/>
      <c r="B1320" s="104"/>
      <c r="C1320" s="104"/>
      <c r="F1320" s="107" t="str">
        <f aca="false">IF(OR($C1320="",$D1320=0),"",$E1320/$D1320)</f>
        <v/>
      </c>
      <c r="H1320" s="0" t="str">
        <f aca="false">IF($C1320="","",IF(COUNTIF('مواد المخزون'!$A$2:$A$90,$C1320)&gt;0,"نعم","لا (خارج الجرد)"))</f>
        <v/>
      </c>
    </row>
    <row r="1321" customFormat="false" ht="15" hidden="false" customHeight="false" outlineLevel="0" collapsed="false">
      <c r="A1321" s="103"/>
      <c r="B1321" s="104"/>
      <c r="C1321" s="104"/>
      <c r="F1321" s="107" t="str">
        <f aca="false">IF(OR($C1321="",$D1321=0),"",$E1321/$D1321)</f>
        <v/>
      </c>
      <c r="H1321" s="0" t="str">
        <f aca="false">IF($C1321="","",IF(COUNTIF('مواد المخزون'!$A$2:$A$90,$C1321)&gt;0,"نعم","لا (خارج الجرد)"))</f>
        <v/>
      </c>
    </row>
    <row r="1322" customFormat="false" ht="15" hidden="false" customHeight="false" outlineLevel="0" collapsed="false">
      <c r="A1322" s="103"/>
      <c r="B1322" s="104"/>
      <c r="C1322" s="104"/>
      <c r="F1322" s="107" t="str">
        <f aca="false">IF(OR($C1322="",$D1322=0),"",$E1322/$D1322)</f>
        <v/>
      </c>
      <c r="H1322" s="0" t="str">
        <f aca="false">IF($C1322="","",IF(COUNTIF('مواد المخزون'!$A$2:$A$90,$C1322)&gt;0,"نعم","لا (خارج الجرد)"))</f>
        <v/>
      </c>
    </row>
    <row r="1323" customFormat="false" ht="15" hidden="false" customHeight="false" outlineLevel="0" collapsed="false">
      <c r="A1323" s="103"/>
      <c r="B1323" s="104"/>
      <c r="C1323" s="104"/>
      <c r="F1323" s="107" t="str">
        <f aca="false">IF(OR($C1323="",$D1323=0),"",$E1323/$D1323)</f>
        <v/>
      </c>
      <c r="H1323" s="0" t="str">
        <f aca="false">IF($C1323="","",IF(COUNTIF('مواد المخزون'!$A$2:$A$90,$C1323)&gt;0,"نعم","لا (خارج الجرد)"))</f>
        <v/>
      </c>
    </row>
    <row r="1324" customFormat="false" ht="15" hidden="false" customHeight="false" outlineLevel="0" collapsed="false">
      <c r="A1324" s="103"/>
      <c r="B1324" s="104"/>
      <c r="C1324" s="104"/>
      <c r="F1324" s="107" t="str">
        <f aca="false">IF(OR($C1324="",$D1324=0),"",$E1324/$D1324)</f>
        <v/>
      </c>
      <c r="H1324" s="0" t="str">
        <f aca="false">IF($C1324="","",IF(COUNTIF('مواد المخزون'!$A$2:$A$90,$C1324)&gt;0,"نعم","لا (خارج الجرد)"))</f>
        <v/>
      </c>
    </row>
    <row r="1325" customFormat="false" ht="15" hidden="false" customHeight="false" outlineLevel="0" collapsed="false">
      <c r="A1325" s="103"/>
      <c r="B1325" s="104"/>
      <c r="C1325" s="104"/>
      <c r="F1325" s="107" t="str">
        <f aca="false">IF(OR($C1325="",$D1325=0),"",$E1325/$D1325)</f>
        <v/>
      </c>
      <c r="H1325" s="0" t="str">
        <f aca="false">IF($C1325="","",IF(COUNTIF('مواد المخزون'!$A$2:$A$90,$C1325)&gt;0,"نعم","لا (خارج الجرد)"))</f>
        <v/>
      </c>
    </row>
    <row r="1326" customFormat="false" ht="15" hidden="false" customHeight="false" outlineLevel="0" collapsed="false">
      <c r="A1326" s="103"/>
      <c r="B1326" s="104"/>
      <c r="C1326" s="104"/>
      <c r="F1326" s="107" t="str">
        <f aca="false">IF(OR($C1326="",$D1326=0),"",$E1326/$D1326)</f>
        <v/>
      </c>
      <c r="H1326" s="0" t="str">
        <f aca="false">IF($C1326="","",IF(COUNTIF('مواد المخزون'!$A$2:$A$90,$C1326)&gt;0,"نعم","لا (خارج الجرد)"))</f>
        <v/>
      </c>
    </row>
    <row r="1327" customFormat="false" ht="15" hidden="false" customHeight="false" outlineLevel="0" collapsed="false">
      <c r="A1327" s="103"/>
      <c r="B1327" s="104"/>
      <c r="C1327" s="104"/>
      <c r="F1327" s="107" t="str">
        <f aca="false">IF(OR($C1327="",$D1327=0),"",$E1327/$D1327)</f>
        <v/>
      </c>
      <c r="H1327" s="0" t="str">
        <f aca="false">IF($C1327="","",IF(COUNTIF('مواد المخزون'!$A$2:$A$90,$C1327)&gt;0,"نعم","لا (خارج الجرد)"))</f>
        <v/>
      </c>
    </row>
    <row r="1328" customFormat="false" ht="15" hidden="false" customHeight="false" outlineLevel="0" collapsed="false">
      <c r="A1328" s="103"/>
      <c r="B1328" s="104"/>
      <c r="C1328" s="104"/>
      <c r="F1328" s="107" t="str">
        <f aca="false">IF(OR($C1328="",$D1328=0),"",$E1328/$D1328)</f>
        <v/>
      </c>
      <c r="H1328" s="0" t="str">
        <f aca="false">IF($C1328="","",IF(COUNTIF('مواد المخزون'!$A$2:$A$90,$C1328)&gt;0,"نعم","لا (خارج الجرد)"))</f>
        <v/>
      </c>
    </row>
    <row r="1329" customFormat="false" ht="15" hidden="false" customHeight="false" outlineLevel="0" collapsed="false">
      <c r="A1329" s="103"/>
      <c r="B1329" s="104"/>
      <c r="C1329" s="104"/>
      <c r="F1329" s="107" t="str">
        <f aca="false">IF(OR($C1329="",$D1329=0),"",$E1329/$D1329)</f>
        <v/>
      </c>
      <c r="H1329" s="0" t="str">
        <f aca="false">IF($C1329="","",IF(COUNTIF('مواد المخزون'!$A$2:$A$90,$C1329)&gt;0,"نعم","لا (خارج الجرد)"))</f>
        <v/>
      </c>
    </row>
    <row r="1330" customFormat="false" ht="15" hidden="false" customHeight="false" outlineLevel="0" collapsed="false">
      <c r="A1330" s="103"/>
      <c r="B1330" s="104"/>
      <c r="C1330" s="104"/>
      <c r="F1330" s="107" t="str">
        <f aca="false">IF(OR($C1330="",$D1330=0),"",$E1330/$D1330)</f>
        <v/>
      </c>
      <c r="H1330" s="0" t="str">
        <f aca="false">IF($C1330="","",IF(COUNTIF('مواد المخزون'!$A$2:$A$90,$C1330)&gt;0,"نعم","لا (خارج الجرد)"))</f>
        <v/>
      </c>
    </row>
    <row r="1331" customFormat="false" ht="15" hidden="false" customHeight="false" outlineLevel="0" collapsed="false">
      <c r="A1331" s="103"/>
      <c r="B1331" s="104"/>
      <c r="C1331" s="104"/>
      <c r="F1331" s="107" t="str">
        <f aca="false">IF(OR($C1331="",$D1331=0),"",$E1331/$D1331)</f>
        <v/>
      </c>
      <c r="H1331" s="0" t="str">
        <f aca="false">IF($C1331="","",IF(COUNTIF('مواد المخزون'!$A$2:$A$90,$C1331)&gt;0,"نعم","لا (خارج الجرد)"))</f>
        <v/>
      </c>
    </row>
    <row r="1332" customFormat="false" ht="15" hidden="false" customHeight="false" outlineLevel="0" collapsed="false">
      <c r="A1332" s="103"/>
      <c r="B1332" s="104"/>
      <c r="C1332" s="104"/>
      <c r="F1332" s="107" t="str">
        <f aca="false">IF(OR($C1332="",$D1332=0),"",$E1332/$D1332)</f>
        <v/>
      </c>
      <c r="H1332" s="0" t="str">
        <f aca="false">IF($C1332="","",IF(COUNTIF('مواد المخزون'!$A$2:$A$90,$C1332)&gt;0,"نعم","لا (خارج الجرد)"))</f>
        <v/>
      </c>
    </row>
    <row r="1333" customFormat="false" ht="15" hidden="false" customHeight="false" outlineLevel="0" collapsed="false">
      <c r="A1333" s="103"/>
      <c r="B1333" s="104"/>
      <c r="C1333" s="104"/>
      <c r="F1333" s="107" t="str">
        <f aca="false">IF(OR($C1333="",$D1333=0),"",$E1333/$D1333)</f>
        <v/>
      </c>
      <c r="H1333" s="0" t="str">
        <f aca="false">IF($C1333="","",IF(COUNTIF('مواد المخزون'!$A$2:$A$90,$C1333)&gt;0,"نعم","لا (خارج الجرد)"))</f>
        <v/>
      </c>
    </row>
    <row r="1334" customFormat="false" ht="15" hidden="false" customHeight="false" outlineLevel="0" collapsed="false">
      <c r="A1334" s="103"/>
      <c r="B1334" s="104"/>
      <c r="C1334" s="104"/>
      <c r="F1334" s="107" t="str">
        <f aca="false">IF(OR($C1334="",$D1334=0),"",$E1334/$D1334)</f>
        <v/>
      </c>
      <c r="H1334" s="0" t="str">
        <f aca="false">IF($C1334="","",IF(COUNTIF('مواد المخزون'!$A$2:$A$90,$C1334)&gt;0,"نعم","لا (خارج الجرد)"))</f>
        <v/>
      </c>
    </row>
    <row r="1335" customFormat="false" ht="15" hidden="false" customHeight="false" outlineLevel="0" collapsed="false">
      <c r="A1335" s="103"/>
      <c r="B1335" s="104"/>
      <c r="C1335" s="104"/>
      <c r="F1335" s="107" t="str">
        <f aca="false">IF(OR($C1335="",$D1335=0),"",$E1335/$D1335)</f>
        <v/>
      </c>
      <c r="H1335" s="0" t="str">
        <f aca="false">IF($C1335="","",IF(COUNTIF('مواد المخزون'!$A$2:$A$90,$C1335)&gt;0,"نعم","لا (خارج الجرد)"))</f>
        <v/>
      </c>
    </row>
    <row r="1336" customFormat="false" ht="15" hidden="false" customHeight="false" outlineLevel="0" collapsed="false">
      <c r="A1336" s="103"/>
      <c r="B1336" s="104"/>
      <c r="C1336" s="104"/>
      <c r="F1336" s="107" t="str">
        <f aca="false">IF(OR($C1336="",$D1336=0),"",$E1336/$D1336)</f>
        <v/>
      </c>
      <c r="H1336" s="0" t="str">
        <f aca="false">IF($C1336="","",IF(COUNTIF('مواد المخزون'!$A$2:$A$90,$C1336)&gt;0,"نعم","لا (خارج الجرد)"))</f>
        <v/>
      </c>
    </row>
    <row r="1337" customFormat="false" ht="15" hidden="false" customHeight="false" outlineLevel="0" collapsed="false">
      <c r="A1337" s="103"/>
      <c r="B1337" s="104"/>
      <c r="C1337" s="104"/>
      <c r="F1337" s="107" t="str">
        <f aca="false">IF(OR($C1337="",$D1337=0),"",$E1337/$D1337)</f>
        <v/>
      </c>
      <c r="H1337" s="0" t="str">
        <f aca="false">IF($C1337="","",IF(COUNTIF('مواد المخزون'!$A$2:$A$90,$C1337)&gt;0,"نعم","لا (خارج الجرد)"))</f>
        <v/>
      </c>
    </row>
    <row r="1338" customFormat="false" ht="15" hidden="false" customHeight="false" outlineLevel="0" collapsed="false">
      <c r="A1338" s="103"/>
      <c r="B1338" s="104"/>
      <c r="C1338" s="104"/>
      <c r="F1338" s="107" t="str">
        <f aca="false">IF(OR($C1338="",$D1338=0),"",$E1338/$D1338)</f>
        <v/>
      </c>
      <c r="H1338" s="0" t="str">
        <f aca="false">IF($C1338="","",IF(COUNTIF('مواد المخزون'!$A$2:$A$90,$C1338)&gt;0,"نعم","لا (خارج الجرد)"))</f>
        <v/>
      </c>
    </row>
    <row r="1339" customFormat="false" ht="15" hidden="false" customHeight="false" outlineLevel="0" collapsed="false">
      <c r="A1339" s="103"/>
      <c r="B1339" s="104"/>
      <c r="C1339" s="104"/>
      <c r="F1339" s="107" t="str">
        <f aca="false">IF(OR($C1339="",$D1339=0),"",$E1339/$D1339)</f>
        <v/>
      </c>
      <c r="H1339" s="0" t="str">
        <f aca="false">IF($C1339="","",IF(COUNTIF('مواد المخزون'!$A$2:$A$90,$C1339)&gt;0,"نعم","لا (خارج الجرد)"))</f>
        <v/>
      </c>
    </row>
    <row r="1340" customFormat="false" ht="15" hidden="false" customHeight="false" outlineLevel="0" collapsed="false">
      <c r="A1340" s="103"/>
      <c r="B1340" s="104"/>
      <c r="C1340" s="104"/>
      <c r="F1340" s="107" t="str">
        <f aca="false">IF(OR($C1340="",$D1340=0),"",$E1340/$D1340)</f>
        <v/>
      </c>
      <c r="H1340" s="0" t="str">
        <f aca="false">IF($C1340="","",IF(COUNTIF('مواد المخزون'!$A$2:$A$90,$C1340)&gt;0,"نعم","لا (خارج الجرد)"))</f>
        <v/>
      </c>
    </row>
    <row r="1341" customFormat="false" ht="15" hidden="false" customHeight="false" outlineLevel="0" collapsed="false">
      <c r="A1341" s="103"/>
      <c r="B1341" s="104"/>
      <c r="C1341" s="104"/>
      <c r="F1341" s="107" t="str">
        <f aca="false">IF(OR($C1341="",$D1341=0),"",$E1341/$D1341)</f>
        <v/>
      </c>
      <c r="H1341" s="0" t="str">
        <f aca="false">IF($C1341="","",IF(COUNTIF('مواد المخزون'!$A$2:$A$90,$C1341)&gt;0,"نعم","لا (خارج الجرد)"))</f>
        <v/>
      </c>
    </row>
    <row r="1342" customFormat="false" ht="15" hidden="false" customHeight="false" outlineLevel="0" collapsed="false">
      <c r="A1342" s="103"/>
      <c r="B1342" s="104"/>
      <c r="C1342" s="104"/>
      <c r="F1342" s="107" t="str">
        <f aca="false">IF(OR($C1342="",$D1342=0),"",$E1342/$D1342)</f>
        <v/>
      </c>
      <c r="H1342" s="0" t="str">
        <f aca="false">IF($C1342="","",IF(COUNTIF('مواد المخزون'!$A$2:$A$90,$C1342)&gt;0,"نعم","لا (خارج الجرد)"))</f>
        <v/>
      </c>
    </row>
    <row r="1343" customFormat="false" ht="15" hidden="false" customHeight="false" outlineLevel="0" collapsed="false">
      <c r="A1343" s="103"/>
      <c r="B1343" s="104"/>
      <c r="C1343" s="104"/>
      <c r="F1343" s="107" t="str">
        <f aca="false">IF(OR($C1343="",$D1343=0),"",$E1343/$D1343)</f>
        <v/>
      </c>
      <c r="H1343" s="0" t="str">
        <f aca="false">IF($C1343="","",IF(COUNTIF('مواد المخزون'!$A$2:$A$90,$C1343)&gt;0,"نعم","لا (خارج الجرد)"))</f>
        <v/>
      </c>
    </row>
    <row r="1344" customFormat="false" ht="15" hidden="false" customHeight="false" outlineLevel="0" collapsed="false">
      <c r="A1344" s="103"/>
      <c r="B1344" s="104"/>
      <c r="C1344" s="104"/>
      <c r="F1344" s="107" t="str">
        <f aca="false">IF(OR($C1344="",$D1344=0),"",$E1344/$D1344)</f>
        <v/>
      </c>
      <c r="H1344" s="0" t="str">
        <f aca="false">IF($C1344="","",IF(COUNTIF('مواد المخزون'!$A$2:$A$90,$C1344)&gt;0,"نعم","لا (خارج الجرد)"))</f>
        <v/>
      </c>
    </row>
    <row r="1345" customFormat="false" ht="15" hidden="false" customHeight="false" outlineLevel="0" collapsed="false">
      <c r="A1345" s="103"/>
      <c r="B1345" s="104"/>
      <c r="C1345" s="104"/>
      <c r="F1345" s="107" t="str">
        <f aca="false">IF(OR($C1345="",$D1345=0),"",$E1345/$D1345)</f>
        <v/>
      </c>
      <c r="H1345" s="0" t="str">
        <f aca="false">IF($C1345="","",IF(COUNTIF('مواد المخزون'!$A$2:$A$90,$C1345)&gt;0,"نعم","لا (خارج الجرد)"))</f>
        <v/>
      </c>
    </row>
    <row r="1346" customFormat="false" ht="15" hidden="false" customHeight="false" outlineLevel="0" collapsed="false">
      <c r="A1346" s="103"/>
      <c r="B1346" s="104"/>
      <c r="C1346" s="104"/>
      <c r="F1346" s="107" t="str">
        <f aca="false">IF(OR($C1346="",$D1346=0),"",$E1346/$D1346)</f>
        <v/>
      </c>
      <c r="H1346" s="0" t="str">
        <f aca="false">IF($C1346="","",IF(COUNTIF('مواد المخزون'!$A$2:$A$90,$C1346)&gt;0,"نعم","لا (خارج الجرد)"))</f>
        <v/>
      </c>
    </row>
    <row r="1347" customFormat="false" ht="15" hidden="false" customHeight="false" outlineLevel="0" collapsed="false">
      <c r="A1347" s="103"/>
      <c r="B1347" s="104"/>
      <c r="C1347" s="104"/>
      <c r="F1347" s="107" t="str">
        <f aca="false">IF(OR($C1347="",$D1347=0),"",$E1347/$D1347)</f>
        <v/>
      </c>
      <c r="H1347" s="0" t="str">
        <f aca="false">IF($C1347="","",IF(COUNTIF('مواد المخزون'!$A$2:$A$90,$C1347)&gt;0,"نعم","لا (خارج الجرد)"))</f>
        <v/>
      </c>
    </row>
    <row r="1348" customFormat="false" ht="15" hidden="false" customHeight="false" outlineLevel="0" collapsed="false">
      <c r="A1348" s="103"/>
      <c r="B1348" s="104"/>
      <c r="C1348" s="104"/>
      <c r="F1348" s="107" t="str">
        <f aca="false">IF(OR($C1348="",$D1348=0),"",$E1348/$D1348)</f>
        <v/>
      </c>
      <c r="H1348" s="0" t="str">
        <f aca="false">IF($C1348="","",IF(COUNTIF('مواد المخزون'!$A$2:$A$90,$C1348)&gt;0,"نعم","لا (خارج الجرد)"))</f>
        <v/>
      </c>
    </row>
    <row r="1349" customFormat="false" ht="15" hidden="false" customHeight="false" outlineLevel="0" collapsed="false">
      <c r="A1349" s="103"/>
      <c r="B1349" s="104"/>
      <c r="C1349" s="104"/>
      <c r="F1349" s="107" t="str">
        <f aca="false">IF(OR($C1349="",$D1349=0),"",$E1349/$D1349)</f>
        <v/>
      </c>
      <c r="H1349" s="0" t="str">
        <f aca="false">IF($C1349="","",IF(COUNTIF('مواد المخزون'!$A$2:$A$90,$C1349)&gt;0,"نعم","لا (خارج الجرد)"))</f>
        <v/>
      </c>
    </row>
    <row r="1350" customFormat="false" ht="15" hidden="false" customHeight="false" outlineLevel="0" collapsed="false">
      <c r="A1350" s="103"/>
      <c r="B1350" s="104"/>
      <c r="C1350" s="104"/>
      <c r="F1350" s="107" t="str">
        <f aca="false">IF(OR($C1350="",$D1350=0),"",$E1350/$D1350)</f>
        <v/>
      </c>
      <c r="H1350" s="0" t="str">
        <f aca="false">IF($C1350="","",IF(COUNTIF('مواد المخزون'!$A$2:$A$90,$C1350)&gt;0,"نعم","لا (خارج الجرد)"))</f>
        <v/>
      </c>
    </row>
    <row r="1351" customFormat="false" ht="15" hidden="false" customHeight="false" outlineLevel="0" collapsed="false">
      <c r="A1351" s="103"/>
      <c r="B1351" s="104"/>
      <c r="C1351" s="104"/>
      <c r="F1351" s="107" t="str">
        <f aca="false">IF(OR($C1351="",$D1351=0),"",$E1351/$D1351)</f>
        <v/>
      </c>
      <c r="H1351" s="0" t="str">
        <f aca="false">IF($C1351="","",IF(COUNTIF('مواد المخزون'!$A$2:$A$90,$C1351)&gt;0,"نعم","لا (خارج الجرد)"))</f>
        <v/>
      </c>
    </row>
    <row r="1352" customFormat="false" ht="15" hidden="false" customHeight="false" outlineLevel="0" collapsed="false">
      <c r="A1352" s="103"/>
      <c r="B1352" s="104"/>
      <c r="C1352" s="104"/>
      <c r="F1352" s="107" t="str">
        <f aca="false">IF(OR($C1352="",$D1352=0),"",$E1352/$D1352)</f>
        <v/>
      </c>
      <c r="H1352" s="0" t="str">
        <f aca="false">IF($C1352="","",IF(COUNTIF('مواد المخزون'!$A$2:$A$90,$C1352)&gt;0,"نعم","لا (خارج الجرد)"))</f>
        <v/>
      </c>
    </row>
    <row r="1353" customFormat="false" ht="15" hidden="false" customHeight="false" outlineLevel="0" collapsed="false">
      <c r="A1353" s="103"/>
      <c r="B1353" s="104"/>
      <c r="C1353" s="104"/>
      <c r="F1353" s="107" t="str">
        <f aca="false">IF(OR($C1353="",$D1353=0),"",$E1353/$D1353)</f>
        <v/>
      </c>
      <c r="H1353" s="0" t="str">
        <f aca="false">IF($C1353="","",IF(COUNTIF('مواد المخزون'!$A$2:$A$90,$C1353)&gt;0,"نعم","لا (خارج الجرد)"))</f>
        <v/>
      </c>
    </row>
    <row r="1354" customFormat="false" ht="15" hidden="false" customHeight="false" outlineLevel="0" collapsed="false">
      <c r="A1354" s="103"/>
      <c r="B1354" s="104"/>
      <c r="C1354" s="104"/>
      <c r="F1354" s="107" t="str">
        <f aca="false">IF(OR($C1354="",$D1354=0),"",$E1354/$D1354)</f>
        <v/>
      </c>
      <c r="H1354" s="0" t="str">
        <f aca="false">IF($C1354="","",IF(COUNTIF('مواد المخزون'!$A$2:$A$90,$C1354)&gt;0,"نعم","لا (خارج الجرد)"))</f>
        <v/>
      </c>
    </row>
    <row r="1355" customFormat="false" ht="15" hidden="false" customHeight="false" outlineLevel="0" collapsed="false">
      <c r="A1355" s="103"/>
      <c r="B1355" s="104"/>
      <c r="C1355" s="104"/>
      <c r="F1355" s="107" t="str">
        <f aca="false">IF(OR($C1355="",$D1355=0),"",$E1355/$D1355)</f>
        <v/>
      </c>
      <c r="H1355" s="0" t="str">
        <f aca="false">IF($C1355="","",IF(COUNTIF('مواد المخزون'!$A$2:$A$90,$C1355)&gt;0,"نعم","لا (خارج الجرد)"))</f>
        <v/>
      </c>
    </row>
    <row r="1356" customFormat="false" ht="15" hidden="false" customHeight="false" outlineLevel="0" collapsed="false">
      <c r="A1356" s="103"/>
      <c r="B1356" s="104"/>
      <c r="C1356" s="104"/>
      <c r="F1356" s="107" t="str">
        <f aca="false">IF(OR($C1356="",$D1356=0),"",$E1356/$D1356)</f>
        <v/>
      </c>
      <c r="H1356" s="0" t="str">
        <f aca="false">IF($C1356="","",IF(COUNTIF('مواد المخزون'!$A$2:$A$90,$C1356)&gt;0,"نعم","لا (خارج الجرد)"))</f>
        <v/>
      </c>
    </row>
    <row r="1357" customFormat="false" ht="15" hidden="false" customHeight="false" outlineLevel="0" collapsed="false">
      <c r="A1357" s="103"/>
      <c r="B1357" s="104"/>
      <c r="C1357" s="104"/>
      <c r="F1357" s="107" t="str">
        <f aca="false">IF(OR($C1357="",$D1357=0),"",$E1357/$D1357)</f>
        <v/>
      </c>
      <c r="H1357" s="0" t="str">
        <f aca="false">IF($C1357="","",IF(COUNTIF('مواد المخزون'!$A$2:$A$90,$C1357)&gt;0,"نعم","لا (خارج الجرد)"))</f>
        <v/>
      </c>
    </row>
    <row r="1358" customFormat="false" ht="15" hidden="false" customHeight="false" outlineLevel="0" collapsed="false">
      <c r="A1358" s="103"/>
      <c r="B1358" s="104"/>
      <c r="C1358" s="104"/>
      <c r="F1358" s="107" t="str">
        <f aca="false">IF(OR($C1358="",$D1358=0),"",$E1358/$D1358)</f>
        <v/>
      </c>
      <c r="H1358" s="0" t="str">
        <f aca="false">IF($C1358="","",IF(COUNTIF('مواد المخزون'!$A$2:$A$90,$C1358)&gt;0,"نعم","لا (خارج الجرد)"))</f>
        <v/>
      </c>
    </row>
    <row r="1359" customFormat="false" ht="15" hidden="false" customHeight="false" outlineLevel="0" collapsed="false">
      <c r="A1359" s="103"/>
      <c r="B1359" s="104"/>
      <c r="C1359" s="104"/>
      <c r="F1359" s="107" t="str">
        <f aca="false">IF(OR($C1359="",$D1359=0),"",$E1359/$D1359)</f>
        <v/>
      </c>
      <c r="H1359" s="0" t="str">
        <f aca="false">IF($C1359="","",IF(COUNTIF('مواد المخزون'!$A$2:$A$90,$C1359)&gt;0,"نعم","لا (خارج الجرد)"))</f>
        <v/>
      </c>
    </row>
    <row r="1360" customFormat="false" ht="15" hidden="false" customHeight="false" outlineLevel="0" collapsed="false">
      <c r="A1360" s="103"/>
      <c r="B1360" s="104"/>
      <c r="C1360" s="104"/>
      <c r="F1360" s="107" t="str">
        <f aca="false">IF(OR($C1360="",$D1360=0),"",$E1360/$D1360)</f>
        <v/>
      </c>
      <c r="H1360" s="0" t="str">
        <f aca="false">IF($C1360="","",IF(COUNTIF('مواد المخزون'!$A$2:$A$90,$C1360)&gt;0,"نعم","لا (خارج الجرد)"))</f>
        <v/>
      </c>
    </row>
    <row r="1361" customFormat="false" ht="15" hidden="false" customHeight="false" outlineLevel="0" collapsed="false">
      <c r="A1361" s="103"/>
      <c r="B1361" s="104"/>
      <c r="C1361" s="104"/>
      <c r="F1361" s="107" t="str">
        <f aca="false">IF(OR($C1361="",$D1361=0),"",$E1361/$D1361)</f>
        <v/>
      </c>
      <c r="H1361" s="0" t="str">
        <f aca="false">IF($C1361="","",IF(COUNTIF('مواد المخزون'!$A$2:$A$90,$C1361)&gt;0,"نعم","لا (خارج الجرد)"))</f>
        <v/>
      </c>
    </row>
    <row r="1362" customFormat="false" ht="15" hidden="false" customHeight="false" outlineLevel="0" collapsed="false">
      <c r="A1362" s="103"/>
      <c r="B1362" s="104"/>
      <c r="C1362" s="104"/>
      <c r="F1362" s="107" t="str">
        <f aca="false">IF(OR($C1362="",$D1362=0),"",$E1362/$D1362)</f>
        <v/>
      </c>
      <c r="H1362" s="0" t="str">
        <f aca="false">IF($C1362="","",IF(COUNTIF('مواد المخزون'!$A$2:$A$90,$C1362)&gt;0,"نعم","لا (خارج الجرد)"))</f>
        <v/>
      </c>
    </row>
    <row r="1363" customFormat="false" ht="15" hidden="false" customHeight="false" outlineLevel="0" collapsed="false">
      <c r="A1363" s="103"/>
      <c r="B1363" s="104"/>
      <c r="C1363" s="104"/>
      <c r="F1363" s="107" t="str">
        <f aca="false">IF(OR($C1363="",$D1363=0),"",$E1363/$D1363)</f>
        <v/>
      </c>
      <c r="H1363" s="0" t="str">
        <f aca="false">IF($C1363="","",IF(COUNTIF('مواد المخزون'!$A$2:$A$90,$C1363)&gt;0,"نعم","لا (خارج الجرد)"))</f>
        <v/>
      </c>
    </row>
    <row r="1364" customFormat="false" ht="15" hidden="false" customHeight="false" outlineLevel="0" collapsed="false">
      <c r="A1364" s="103"/>
      <c r="B1364" s="104"/>
      <c r="C1364" s="104"/>
      <c r="F1364" s="107" t="str">
        <f aca="false">IF(OR($C1364="",$D1364=0),"",$E1364/$D1364)</f>
        <v/>
      </c>
      <c r="H1364" s="0" t="str">
        <f aca="false">IF($C1364="","",IF(COUNTIF('مواد المخزون'!$A$2:$A$90,$C1364)&gt;0,"نعم","لا (خارج الجرد)"))</f>
        <v/>
      </c>
    </row>
    <row r="1365" customFormat="false" ht="15" hidden="false" customHeight="false" outlineLevel="0" collapsed="false">
      <c r="A1365" s="103"/>
      <c r="B1365" s="104"/>
      <c r="C1365" s="104"/>
      <c r="F1365" s="107" t="str">
        <f aca="false">IF(OR($C1365="",$D1365=0),"",$E1365/$D1365)</f>
        <v/>
      </c>
      <c r="H1365" s="0" t="str">
        <f aca="false">IF($C1365="","",IF(COUNTIF('مواد المخزون'!$A$2:$A$90,$C1365)&gt;0,"نعم","لا (خارج الجرد)"))</f>
        <v/>
      </c>
    </row>
    <row r="1366" customFormat="false" ht="15" hidden="false" customHeight="false" outlineLevel="0" collapsed="false">
      <c r="A1366" s="103"/>
      <c r="B1366" s="104"/>
      <c r="C1366" s="104"/>
      <c r="F1366" s="107" t="str">
        <f aca="false">IF(OR($C1366="",$D1366=0),"",$E1366/$D1366)</f>
        <v/>
      </c>
      <c r="H1366" s="0" t="str">
        <f aca="false">IF($C1366="","",IF(COUNTIF('مواد المخزون'!$A$2:$A$90,$C1366)&gt;0,"نعم","لا (خارج الجرد)"))</f>
        <v/>
      </c>
    </row>
    <row r="1367" customFormat="false" ht="15" hidden="false" customHeight="false" outlineLevel="0" collapsed="false">
      <c r="A1367" s="103"/>
      <c r="B1367" s="104"/>
      <c r="C1367" s="104"/>
      <c r="F1367" s="107" t="str">
        <f aca="false">IF(OR($C1367="",$D1367=0),"",$E1367/$D1367)</f>
        <v/>
      </c>
      <c r="H1367" s="0" t="str">
        <f aca="false">IF($C1367="","",IF(COUNTIF('مواد المخزون'!$A$2:$A$90,$C1367)&gt;0,"نعم","لا (خارج الجرد)"))</f>
        <v/>
      </c>
    </row>
    <row r="1368" customFormat="false" ht="15" hidden="false" customHeight="false" outlineLevel="0" collapsed="false">
      <c r="A1368" s="103"/>
      <c r="B1368" s="104"/>
      <c r="C1368" s="104"/>
      <c r="F1368" s="107" t="str">
        <f aca="false">IF(OR($C1368="",$D1368=0),"",$E1368/$D1368)</f>
        <v/>
      </c>
      <c r="H1368" s="0" t="str">
        <f aca="false">IF($C1368="","",IF(COUNTIF('مواد المخزون'!$A$2:$A$90,$C1368)&gt;0,"نعم","لا (خارج الجرد)"))</f>
        <v/>
      </c>
    </row>
    <row r="1369" customFormat="false" ht="15" hidden="false" customHeight="false" outlineLevel="0" collapsed="false">
      <c r="A1369" s="103"/>
      <c r="B1369" s="104"/>
      <c r="C1369" s="104"/>
      <c r="F1369" s="107" t="str">
        <f aca="false">IF(OR($C1369="",$D1369=0),"",$E1369/$D1369)</f>
        <v/>
      </c>
      <c r="H1369" s="0" t="str">
        <f aca="false">IF($C1369="","",IF(COUNTIF('مواد المخزون'!$A$2:$A$90,$C1369)&gt;0,"نعم","لا (خارج الجرد)"))</f>
        <v/>
      </c>
    </row>
    <row r="1370" customFormat="false" ht="15" hidden="false" customHeight="false" outlineLevel="0" collapsed="false">
      <c r="A1370" s="103"/>
      <c r="B1370" s="104"/>
      <c r="C1370" s="104"/>
      <c r="F1370" s="107" t="str">
        <f aca="false">IF(OR($C1370="",$D1370=0),"",$E1370/$D1370)</f>
        <v/>
      </c>
      <c r="H1370" s="0" t="str">
        <f aca="false">IF($C1370="","",IF(COUNTIF('مواد المخزون'!$A$2:$A$90,$C1370)&gt;0,"نعم","لا (خارج الجرد)"))</f>
        <v/>
      </c>
    </row>
    <row r="1371" customFormat="false" ht="15" hidden="false" customHeight="false" outlineLevel="0" collapsed="false">
      <c r="A1371" s="103"/>
      <c r="B1371" s="104"/>
      <c r="C1371" s="104"/>
      <c r="F1371" s="107" t="str">
        <f aca="false">IF(OR($C1371="",$D1371=0),"",$E1371/$D1371)</f>
        <v/>
      </c>
      <c r="H1371" s="0" t="str">
        <f aca="false">IF($C1371="","",IF(COUNTIF('مواد المخزون'!$A$2:$A$90,$C1371)&gt;0,"نعم","لا (خارج الجرد)"))</f>
        <v/>
      </c>
    </row>
    <row r="1372" customFormat="false" ht="15" hidden="false" customHeight="false" outlineLevel="0" collapsed="false">
      <c r="A1372" s="103"/>
      <c r="B1372" s="104"/>
      <c r="C1372" s="104"/>
      <c r="F1372" s="107" t="str">
        <f aca="false">IF(OR($C1372="",$D1372=0),"",$E1372/$D1372)</f>
        <v/>
      </c>
      <c r="H1372" s="0" t="str">
        <f aca="false">IF($C1372="","",IF(COUNTIF('مواد المخزون'!$A$2:$A$90,$C1372)&gt;0,"نعم","لا (خارج الجرد)"))</f>
        <v/>
      </c>
    </row>
    <row r="1373" customFormat="false" ht="15" hidden="false" customHeight="false" outlineLevel="0" collapsed="false">
      <c r="A1373" s="103"/>
      <c r="B1373" s="104"/>
      <c r="C1373" s="104"/>
      <c r="F1373" s="107" t="str">
        <f aca="false">IF(OR($C1373="",$D1373=0),"",$E1373/$D1373)</f>
        <v/>
      </c>
      <c r="H1373" s="0" t="str">
        <f aca="false">IF($C1373="","",IF(COUNTIF('مواد المخزون'!$A$2:$A$90,$C1373)&gt;0,"نعم","لا (خارج الجرد)"))</f>
        <v/>
      </c>
    </row>
    <row r="1374" customFormat="false" ht="15" hidden="false" customHeight="false" outlineLevel="0" collapsed="false">
      <c r="A1374" s="103"/>
      <c r="B1374" s="104"/>
      <c r="C1374" s="104"/>
      <c r="F1374" s="107" t="str">
        <f aca="false">IF(OR($C1374="",$D1374=0),"",$E1374/$D1374)</f>
        <v/>
      </c>
      <c r="H1374" s="0" t="str">
        <f aca="false">IF($C1374="","",IF(COUNTIF('مواد المخزون'!$A$2:$A$90,$C1374)&gt;0,"نعم","لا (خارج الجرد)"))</f>
        <v/>
      </c>
    </row>
    <row r="1375" customFormat="false" ht="15" hidden="false" customHeight="false" outlineLevel="0" collapsed="false">
      <c r="A1375" s="103"/>
      <c r="B1375" s="104"/>
      <c r="C1375" s="104"/>
      <c r="F1375" s="107" t="str">
        <f aca="false">IF(OR($C1375="",$D1375=0),"",$E1375/$D1375)</f>
        <v/>
      </c>
      <c r="H1375" s="0" t="str">
        <f aca="false">IF($C1375="","",IF(COUNTIF('مواد المخزون'!$A$2:$A$90,$C1375)&gt;0,"نعم","لا (خارج الجرد)"))</f>
        <v/>
      </c>
    </row>
    <row r="1376" customFormat="false" ht="15" hidden="false" customHeight="false" outlineLevel="0" collapsed="false">
      <c r="A1376" s="103"/>
      <c r="B1376" s="104"/>
      <c r="C1376" s="104"/>
      <c r="F1376" s="107" t="str">
        <f aca="false">IF(OR($C1376="",$D1376=0),"",$E1376/$D1376)</f>
        <v/>
      </c>
      <c r="H1376" s="0" t="str">
        <f aca="false">IF($C1376="","",IF(COUNTIF('مواد المخزون'!$A$2:$A$90,$C1376)&gt;0,"نعم","لا (خارج الجرد)"))</f>
        <v/>
      </c>
    </row>
    <row r="1377" customFormat="false" ht="15" hidden="false" customHeight="false" outlineLevel="0" collapsed="false">
      <c r="A1377" s="103"/>
      <c r="B1377" s="104"/>
      <c r="C1377" s="104"/>
      <c r="F1377" s="107" t="str">
        <f aca="false">IF(OR($C1377="",$D1377=0),"",$E1377/$D1377)</f>
        <v/>
      </c>
      <c r="H1377" s="0" t="str">
        <f aca="false">IF($C1377="","",IF(COUNTIF('مواد المخزون'!$A$2:$A$90,$C1377)&gt;0,"نعم","لا (خارج الجرد)"))</f>
        <v/>
      </c>
    </row>
    <row r="1378" customFormat="false" ht="15" hidden="false" customHeight="false" outlineLevel="0" collapsed="false">
      <c r="A1378" s="103"/>
      <c r="B1378" s="104"/>
      <c r="C1378" s="104"/>
      <c r="F1378" s="107" t="str">
        <f aca="false">IF(OR($C1378="",$D1378=0),"",$E1378/$D1378)</f>
        <v/>
      </c>
      <c r="H1378" s="0" t="str">
        <f aca="false">IF($C1378="","",IF(COUNTIF('مواد المخزون'!$A$2:$A$90,$C1378)&gt;0,"نعم","لا (خارج الجرد)"))</f>
        <v/>
      </c>
    </row>
    <row r="1379" customFormat="false" ht="15" hidden="false" customHeight="false" outlineLevel="0" collapsed="false">
      <c r="A1379" s="103"/>
      <c r="B1379" s="104"/>
      <c r="C1379" s="104"/>
      <c r="F1379" s="107" t="str">
        <f aca="false">IF(OR($C1379="",$D1379=0),"",$E1379/$D1379)</f>
        <v/>
      </c>
      <c r="H1379" s="0" t="str">
        <f aca="false">IF($C1379="","",IF(COUNTIF('مواد المخزون'!$A$2:$A$90,$C1379)&gt;0,"نعم","لا (خارج الجرد)"))</f>
        <v/>
      </c>
    </row>
    <row r="1380" customFormat="false" ht="15" hidden="false" customHeight="false" outlineLevel="0" collapsed="false">
      <c r="A1380" s="103"/>
      <c r="B1380" s="104"/>
      <c r="C1380" s="104"/>
      <c r="F1380" s="107" t="str">
        <f aca="false">IF(OR($C1380="",$D1380=0),"",$E1380/$D1380)</f>
        <v/>
      </c>
      <c r="H1380" s="0" t="str">
        <f aca="false">IF($C1380="","",IF(COUNTIF('مواد المخزون'!$A$2:$A$90,$C1380)&gt;0,"نعم","لا (خارج الجرد)"))</f>
        <v/>
      </c>
    </row>
    <row r="1381" customFormat="false" ht="15" hidden="false" customHeight="false" outlineLevel="0" collapsed="false">
      <c r="A1381" s="103"/>
      <c r="B1381" s="104"/>
      <c r="C1381" s="104"/>
      <c r="F1381" s="107" t="str">
        <f aca="false">IF(OR($C1381="",$D1381=0),"",$E1381/$D1381)</f>
        <v/>
      </c>
      <c r="H1381" s="0" t="str">
        <f aca="false">IF($C1381="","",IF(COUNTIF('مواد المخزون'!$A$2:$A$90,$C1381)&gt;0,"نعم","لا (خارج الجرد)"))</f>
        <v/>
      </c>
    </row>
    <row r="1382" customFormat="false" ht="15" hidden="false" customHeight="false" outlineLevel="0" collapsed="false">
      <c r="A1382" s="103"/>
      <c r="B1382" s="104"/>
      <c r="C1382" s="104"/>
      <c r="F1382" s="107" t="str">
        <f aca="false">IF(OR($C1382="",$D1382=0),"",$E1382/$D1382)</f>
        <v/>
      </c>
      <c r="H1382" s="0" t="str">
        <f aca="false">IF($C1382="","",IF(COUNTIF('مواد المخزون'!$A$2:$A$90,$C1382)&gt;0,"نعم","لا (خارج الجرد)"))</f>
        <v/>
      </c>
    </row>
    <row r="1383" customFormat="false" ht="15" hidden="false" customHeight="false" outlineLevel="0" collapsed="false">
      <c r="A1383" s="103"/>
      <c r="B1383" s="104"/>
      <c r="C1383" s="104"/>
      <c r="F1383" s="107" t="str">
        <f aca="false">IF(OR($C1383="",$D1383=0),"",$E1383/$D1383)</f>
        <v/>
      </c>
      <c r="H1383" s="0" t="str">
        <f aca="false">IF($C1383="","",IF(COUNTIF('مواد المخزون'!$A$2:$A$90,$C1383)&gt;0,"نعم","لا (خارج الجرد)"))</f>
        <v/>
      </c>
    </row>
    <row r="1384" customFormat="false" ht="15" hidden="false" customHeight="false" outlineLevel="0" collapsed="false">
      <c r="A1384" s="103"/>
      <c r="B1384" s="104"/>
      <c r="C1384" s="104"/>
      <c r="F1384" s="107" t="str">
        <f aca="false">IF(OR($C1384="",$D1384=0),"",$E1384/$D1384)</f>
        <v/>
      </c>
      <c r="H1384" s="0" t="str">
        <f aca="false">IF($C1384="","",IF(COUNTIF('مواد المخزون'!$A$2:$A$90,$C1384)&gt;0,"نعم","لا (خارج الجرد)"))</f>
        <v/>
      </c>
    </row>
    <row r="1385" customFormat="false" ht="15" hidden="false" customHeight="false" outlineLevel="0" collapsed="false">
      <c r="A1385" s="103"/>
      <c r="B1385" s="104"/>
      <c r="C1385" s="104"/>
      <c r="F1385" s="107" t="str">
        <f aca="false">IF(OR($C1385="",$D1385=0),"",$E1385/$D1385)</f>
        <v/>
      </c>
      <c r="H1385" s="0" t="str">
        <f aca="false">IF($C1385="","",IF(COUNTIF('مواد المخزون'!$A$2:$A$90,$C1385)&gt;0,"نعم","لا (خارج الجرد)"))</f>
        <v/>
      </c>
    </row>
    <row r="1386" customFormat="false" ht="15" hidden="false" customHeight="false" outlineLevel="0" collapsed="false">
      <c r="A1386" s="103"/>
      <c r="B1386" s="104"/>
      <c r="C1386" s="104"/>
      <c r="F1386" s="107" t="str">
        <f aca="false">IF(OR($C1386="",$D1386=0),"",$E1386/$D1386)</f>
        <v/>
      </c>
      <c r="H1386" s="0" t="str">
        <f aca="false">IF($C1386="","",IF(COUNTIF('مواد المخزون'!$A$2:$A$90,$C1386)&gt;0,"نعم","لا (خارج الجرد)"))</f>
        <v/>
      </c>
    </row>
    <row r="1387" customFormat="false" ht="15" hidden="false" customHeight="false" outlineLevel="0" collapsed="false">
      <c r="A1387" s="103"/>
      <c r="B1387" s="104"/>
      <c r="C1387" s="104"/>
      <c r="F1387" s="107" t="str">
        <f aca="false">IF(OR($C1387="",$D1387=0),"",$E1387/$D1387)</f>
        <v/>
      </c>
      <c r="H1387" s="0" t="str">
        <f aca="false">IF($C1387="","",IF(COUNTIF('مواد المخزون'!$A$2:$A$90,$C1387)&gt;0,"نعم","لا (خارج الجرد)"))</f>
        <v/>
      </c>
    </row>
    <row r="1388" customFormat="false" ht="15" hidden="false" customHeight="false" outlineLevel="0" collapsed="false">
      <c r="A1388" s="103"/>
      <c r="B1388" s="104"/>
      <c r="C1388" s="104"/>
      <c r="F1388" s="107" t="str">
        <f aca="false">IF(OR($C1388="",$D1388=0),"",$E1388/$D1388)</f>
        <v/>
      </c>
      <c r="H1388" s="0" t="str">
        <f aca="false">IF($C1388="","",IF(COUNTIF('مواد المخزون'!$A$2:$A$90,$C1388)&gt;0,"نعم","لا (خارج الجرد)"))</f>
        <v/>
      </c>
    </row>
    <row r="1389" customFormat="false" ht="15" hidden="false" customHeight="false" outlineLevel="0" collapsed="false">
      <c r="A1389" s="103"/>
      <c r="B1389" s="104"/>
      <c r="C1389" s="104"/>
      <c r="F1389" s="107" t="str">
        <f aca="false">IF(OR($C1389="",$D1389=0),"",$E1389/$D1389)</f>
        <v/>
      </c>
      <c r="H1389" s="0" t="str">
        <f aca="false">IF($C1389="","",IF(COUNTIF('مواد المخزون'!$A$2:$A$90,$C1389)&gt;0,"نعم","لا (خارج الجرد)"))</f>
        <v/>
      </c>
    </row>
    <row r="1390" customFormat="false" ht="15" hidden="false" customHeight="false" outlineLevel="0" collapsed="false">
      <c r="A1390" s="103"/>
      <c r="B1390" s="104"/>
      <c r="C1390" s="104"/>
      <c r="F1390" s="107" t="str">
        <f aca="false">IF(OR($C1390="",$D1390=0),"",$E1390/$D1390)</f>
        <v/>
      </c>
      <c r="H1390" s="0" t="str">
        <f aca="false">IF($C1390="","",IF(COUNTIF('مواد المخزون'!$A$2:$A$90,$C1390)&gt;0,"نعم","لا (خارج الجرد)"))</f>
        <v/>
      </c>
    </row>
    <row r="1391" customFormat="false" ht="15" hidden="false" customHeight="false" outlineLevel="0" collapsed="false">
      <c r="A1391" s="103"/>
      <c r="B1391" s="104"/>
      <c r="C1391" s="104"/>
      <c r="F1391" s="107" t="str">
        <f aca="false">IF(OR($C1391="",$D1391=0),"",$E1391/$D1391)</f>
        <v/>
      </c>
      <c r="H1391" s="0" t="str">
        <f aca="false">IF($C1391="","",IF(COUNTIF('مواد المخزون'!$A$2:$A$90,$C1391)&gt;0,"نعم","لا (خارج الجرد)"))</f>
        <v/>
      </c>
    </row>
    <row r="1392" customFormat="false" ht="15" hidden="false" customHeight="false" outlineLevel="0" collapsed="false">
      <c r="A1392" s="103"/>
      <c r="B1392" s="104"/>
      <c r="C1392" s="104"/>
      <c r="F1392" s="107" t="str">
        <f aca="false">IF(OR($C1392="",$D1392=0),"",$E1392/$D1392)</f>
        <v/>
      </c>
      <c r="H1392" s="0" t="str">
        <f aca="false">IF($C1392="","",IF(COUNTIF('مواد المخزون'!$A$2:$A$90,$C1392)&gt;0,"نعم","لا (خارج الجرد)"))</f>
        <v/>
      </c>
    </row>
    <row r="1393" customFormat="false" ht="15" hidden="false" customHeight="false" outlineLevel="0" collapsed="false">
      <c r="A1393" s="103"/>
      <c r="B1393" s="104"/>
      <c r="C1393" s="104"/>
      <c r="F1393" s="107" t="str">
        <f aca="false">IF(OR($C1393="",$D1393=0),"",$E1393/$D1393)</f>
        <v/>
      </c>
      <c r="H1393" s="0" t="str">
        <f aca="false">IF($C1393="","",IF(COUNTIF('مواد المخزون'!$A$2:$A$90,$C1393)&gt;0,"نعم","لا (خارج الجرد)"))</f>
        <v/>
      </c>
    </row>
    <row r="1394" customFormat="false" ht="15" hidden="false" customHeight="false" outlineLevel="0" collapsed="false">
      <c r="A1394" s="103"/>
      <c r="B1394" s="104"/>
      <c r="C1394" s="104"/>
      <c r="F1394" s="107" t="str">
        <f aca="false">IF(OR($C1394="",$D1394=0),"",$E1394/$D1394)</f>
        <v/>
      </c>
      <c r="H1394" s="0" t="str">
        <f aca="false">IF($C1394="","",IF(COUNTIF('مواد المخزون'!$A$2:$A$90,$C1394)&gt;0,"نعم","لا (خارج الجرد)"))</f>
        <v/>
      </c>
    </row>
    <row r="1395" customFormat="false" ht="15" hidden="false" customHeight="false" outlineLevel="0" collapsed="false">
      <c r="A1395" s="103"/>
      <c r="B1395" s="104"/>
      <c r="C1395" s="104"/>
      <c r="F1395" s="107" t="str">
        <f aca="false">IF(OR($C1395="",$D1395=0),"",$E1395/$D1395)</f>
        <v/>
      </c>
      <c r="H1395" s="0" t="str">
        <f aca="false">IF($C1395="","",IF(COUNTIF('مواد المخزون'!$A$2:$A$90,$C1395)&gt;0,"نعم","لا (خارج الجرد)"))</f>
        <v/>
      </c>
    </row>
    <row r="1396" customFormat="false" ht="15" hidden="false" customHeight="false" outlineLevel="0" collapsed="false">
      <c r="A1396" s="103"/>
      <c r="B1396" s="104"/>
      <c r="C1396" s="104"/>
      <c r="F1396" s="107" t="str">
        <f aca="false">IF(OR($C1396="",$D1396=0),"",$E1396/$D1396)</f>
        <v/>
      </c>
      <c r="H1396" s="0" t="str">
        <f aca="false">IF($C1396="","",IF(COUNTIF('مواد المخزون'!$A$2:$A$90,$C1396)&gt;0,"نعم","لا (خارج الجرد)"))</f>
        <v/>
      </c>
    </row>
    <row r="1397" customFormat="false" ht="15" hidden="false" customHeight="false" outlineLevel="0" collapsed="false">
      <c r="A1397" s="103"/>
      <c r="B1397" s="104"/>
      <c r="C1397" s="104"/>
      <c r="F1397" s="107" t="str">
        <f aca="false">IF(OR($C1397="",$D1397=0),"",$E1397/$D1397)</f>
        <v/>
      </c>
      <c r="H1397" s="0" t="str">
        <f aca="false">IF($C1397="","",IF(COUNTIF('مواد المخزون'!$A$2:$A$90,$C1397)&gt;0,"نعم","لا (خارج الجرد)"))</f>
        <v/>
      </c>
    </row>
    <row r="1398" customFormat="false" ht="15" hidden="false" customHeight="false" outlineLevel="0" collapsed="false">
      <c r="A1398" s="103"/>
      <c r="B1398" s="104"/>
      <c r="C1398" s="104"/>
      <c r="F1398" s="107" t="str">
        <f aca="false">IF(OR($C1398="",$D1398=0),"",$E1398/$D1398)</f>
        <v/>
      </c>
      <c r="H1398" s="0" t="str">
        <f aca="false">IF($C1398="","",IF(COUNTIF('مواد المخزون'!$A$2:$A$90,$C1398)&gt;0,"نعم","لا (خارج الجرد)"))</f>
        <v/>
      </c>
    </row>
    <row r="1399" customFormat="false" ht="15" hidden="false" customHeight="false" outlineLevel="0" collapsed="false">
      <c r="A1399" s="103"/>
      <c r="B1399" s="104"/>
      <c r="C1399" s="104"/>
      <c r="F1399" s="107" t="str">
        <f aca="false">IF(OR($C1399="",$D1399=0),"",$E1399/$D1399)</f>
        <v/>
      </c>
      <c r="H1399" s="0" t="str">
        <f aca="false">IF($C1399="","",IF(COUNTIF('مواد المخزون'!$A$2:$A$90,$C1399)&gt;0,"نعم","لا (خارج الجرد)"))</f>
        <v/>
      </c>
    </row>
    <row r="1400" customFormat="false" ht="15" hidden="false" customHeight="false" outlineLevel="0" collapsed="false">
      <c r="A1400" s="103"/>
      <c r="B1400" s="104"/>
      <c r="C1400" s="104"/>
      <c r="F1400" s="107" t="str">
        <f aca="false">IF(OR($C1400="",$D1400=0),"",$E1400/$D1400)</f>
        <v/>
      </c>
      <c r="H1400" s="0" t="str">
        <f aca="false">IF($C1400="","",IF(COUNTIF('مواد المخزون'!$A$2:$A$90,$C1400)&gt;0,"نعم","لا (خارج الجرد)"))</f>
        <v/>
      </c>
    </row>
    <row r="1401" customFormat="false" ht="15" hidden="false" customHeight="false" outlineLevel="0" collapsed="false">
      <c r="A1401" s="103"/>
      <c r="B1401" s="104"/>
      <c r="C1401" s="104"/>
      <c r="F1401" s="107" t="str">
        <f aca="false">IF(OR($C1401="",$D1401=0),"",$E1401/$D1401)</f>
        <v/>
      </c>
      <c r="H1401" s="0" t="str">
        <f aca="false">IF($C1401="","",IF(COUNTIF('مواد المخزون'!$A$2:$A$90,$C1401)&gt;0,"نعم","لا (خارج الجرد)"))</f>
        <v/>
      </c>
    </row>
    <row r="1402" customFormat="false" ht="15" hidden="false" customHeight="false" outlineLevel="0" collapsed="false">
      <c r="A1402" s="103"/>
      <c r="B1402" s="104"/>
      <c r="C1402" s="104"/>
      <c r="F1402" s="107" t="str">
        <f aca="false">IF(OR($C1402="",$D1402=0),"",$E1402/$D1402)</f>
        <v/>
      </c>
      <c r="H1402" s="0" t="str">
        <f aca="false">IF($C1402="","",IF(COUNTIF('مواد المخزون'!$A$2:$A$90,$C1402)&gt;0,"نعم","لا (خارج الجرد)"))</f>
        <v/>
      </c>
    </row>
    <row r="1403" customFormat="false" ht="15" hidden="false" customHeight="false" outlineLevel="0" collapsed="false">
      <c r="A1403" s="103"/>
      <c r="B1403" s="104"/>
      <c r="C1403" s="104"/>
      <c r="F1403" s="107" t="str">
        <f aca="false">IF(OR($C1403="",$D1403=0),"",$E1403/$D1403)</f>
        <v/>
      </c>
      <c r="H1403" s="0" t="str">
        <f aca="false">IF($C1403="","",IF(COUNTIF('مواد المخزون'!$A$2:$A$90,$C1403)&gt;0,"نعم","لا (خارج الجرد)"))</f>
        <v/>
      </c>
    </row>
    <row r="1404" customFormat="false" ht="15" hidden="false" customHeight="false" outlineLevel="0" collapsed="false">
      <c r="A1404" s="103"/>
      <c r="B1404" s="104"/>
      <c r="C1404" s="104"/>
      <c r="F1404" s="107" t="str">
        <f aca="false">IF(OR($C1404="",$D1404=0),"",$E1404/$D1404)</f>
        <v/>
      </c>
      <c r="H1404" s="0" t="str">
        <f aca="false">IF($C1404="","",IF(COUNTIF('مواد المخزون'!$A$2:$A$90,$C1404)&gt;0,"نعم","لا (خارج الجرد)"))</f>
        <v/>
      </c>
    </row>
    <row r="1405" customFormat="false" ht="15" hidden="false" customHeight="false" outlineLevel="0" collapsed="false">
      <c r="A1405" s="103"/>
      <c r="B1405" s="104"/>
      <c r="C1405" s="104"/>
      <c r="F1405" s="107" t="str">
        <f aca="false">IF(OR($C1405="",$D1405=0),"",$E1405/$D1405)</f>
        <v/>
      </c>
      <c r="H1405" s="0" t="str">
        <f aca="false">IF($C1405="","",IF(COUNTIF('مواد المخزون'!$A$2:$A$90,$C1405)&gt;0,"نعم","لا (خارج الجرد)"))</f>
        <v/>
      </c>
    </row>
    <row r="1406" customFormat="false" ht="15" hidden="false" customHeight="false" outlineLevel="0" collapsed="false">
      <c r="A1406" s="103"/>
      <c r="B1406" s="104"/>
      <c r="C1406" s="104"/>
      <c r="F1406" s="107" t="str">
        <f aca="false">IF(OR($C1406="",$D1406=0),"",$E1406/$D1406)</f>
        <v/>
      </c>
      <c r="H1406" s="0" t="str">
        <f aca="false">IF($C1406="","",IF(COUNTIF('مواد المخزون'!$A$2:$A$90,$C1406)&gt;0,"نعم","لا (خارج الجرد)"))</f>
        <v/>
      </c>
    </row>
    <row r="1407" customFormat="false" ht="15" hidden="false" customHeight="false" outlineLevel="0" collapsed="false">
      <c r="A1407" s="103"/>
      <c r="B1407" s="104"/>
      <c r="C1407" s="104"/>
      <c r="F1407" s="107" t="str">
        <f aca="false">IF(OR($C1407="",$D1407=0),"",$E1407/$D1407)</f>
        <v/>
      </c>
      <c r="H1407" s="0" t="str">
        <f aca="false">IF($C1407="","",IF(COUNTIF('مواد المخزون'!$A$2:$A$90,$C1407)&gt;0,"نعم","لا (خارج الجرد)"))</f>
        <v/>
      </c>
    </row>
    <row r="1408" customFormat="false" ht="15" hidden="false" customHeight="false" outlineLevel="0" collapsed="false">
      <c r="A1408" s="103"/>
      <c r="B1408" s="104"/>
      <c r="C1408" s="104"/>
      <c r="F1408" s="107" t="str">
        <f aca="false">IF(OR($C1408="",$D1408=0),"",$E1408/$D1408)</f>
        <v/>
      </c>
      <c r="H1408" s="0" t="str">
        <f aca="false">IF($C1408="","",IF(COUNTIF('مواد المخزون'!$A$2:$A$90,$C1408)&gt;0,"نعم","لا (خارج الجرد)"))</f>
        <v/>
      </c>
    </row>
    <row r="1409" customFormat="false" ht="15" hidden="false" customHeight="false" outlineLevel="0" collapsed="false">
      <c r="A1409" s="103"/>
      <c r="B1409" s="104"/>
      <c r="C1409" s="104"/>
      <c r="F1409" s="107" t="str">
        <f aca="false">IF(OR($C1409="",$D1409=0),"",$E1409/$D1409)</f>
        <v/>
      </c>
      <c r="H1409" s="0" t="str">
        <f aca="false">IF($C1409="","",IF(COUNTIF('مواد المخزون'!$A$2:$A$90,$C1409)&gt;0,"نعم","لا (خارج الجرد)"))</f>
        <v/>
      </c>
    </row>
    <row r="1410" customFormat="false" ht="15" hidden="false" customHeight="false" outlineLevel="0" collapsed="false">
      <c r="A1410" s="103"/>
      <c r="B1410" s="104"/>
      <c r="C1410" s="104"/>
      <c r="F1410" s="107" t="str">
        <f aca="false">IF(OR($C1410="",$D1410=0),"",$E1410/$D1410)</f>
        <v/>
      </c>
      <c r="H1410" s="0" t="str">
        <f aca="false">IF($C1410="","",IF(COUNTIF('مواد المخزون'!$A$2:$A$90,$C1410)&gt;0,"نعم","لا (خارج الجرد)"))</f>
        <v/>
      </c>
    </row>
    <row r="1411" customFormat="false" ht="15" hidden="false" customHeight="false" outlineLevel="0" collapsed="false">
      <c r="A1411" s="103"/>
      <c r="B1411" s="104"/>
      <c r="C1411" s="104"/>
      <c r="F1411" s="107" t="str">
        <f aca="false">IF(OR($C1411="",$D1411=0),"",$E1411/$D1411)</f>
        <v/>
      </c>
      <c r="H1411" s="0" t="str">
        <f aca="false">IF($C1411="","",IF(COUNTIF('مواد المخزون'!$A$2:$A$90,$C1411)&gt;0,"نعم","لا (خارج الجرد)"))</f>
        <v/>
      </c>
    </row>
    <row r="1412" customFormat="false" ht="15" hidden="false" customHeight="false" outlineLevel="0" collapsed="false">
      <c r="A1412" s="103"/>
      <c r="B1412" s="104"/>
      <c r="C1412" s="104"/>
      <c r="F1412" s="107" t="str">
        <f aca="false">IF(OR($C1412="",$D1412=0),"",$E1412/$D1412)</f>
        <v/>
      </c>
      <c r="H1412" s="0" t="str">
        <f aca="false">IF($C1412="","",IF(COUNTIF('مواد المخزون'!$A$2:$A$90,$C1412)&gt;0,"نعم","لا (خارج الجرد)"))</f>
        <v/>
      </c>
    </row>
    <row r="1413" customFormat="false" ht="15" hidden="false" customHeight="false" outlineLevel="0" collapsed="false">
      <c r="A1413" s="103"/>
      <c r="B1413" s="104"/>
      <c r="C1413" s="104"/>
      <c r="F1413" s="107" t="str">
        <f aca="false">IF(OR($C1413="",$D1413=0),"",$E1413/$D1413)</f>
        <v/>
      </c>
      <c r="H1413" s="0" t="str">
        <f aca="false">IF($C1413="","",IF(COUNTIF('مواد المخزون'!$A$2:$A$90,$C1413)&gt;0,"نعم","لا (خارج الجرد)"))</f>
        <v/>
      </c>
    </row>
    <row r="1414" customFormat="false" ht="15" hidden="false" customHeight="false" outlineLevel="0" collapsed="false">
      <c r="A1414" s="103"/>
      <c r="B1414" s="104"/>
      <c r="C1414" s="104"/>
      <c r="F1414" s="107" t="str">
        <f aca="false">IF(OR($C1414="",$D1414=0),"",$E1414/$D1414)</f>
        <v/>
      </c>
      <c r="H1414" s="0" t="str">
        <f aca="false">IF($C1414="","",IF(COUNTIF('مواد المخزون'!$A$2:$A$90,$C1414)&gt;0,"نعم","لا (خارج الجرد)"))</f>
        <v/>
      </c>
    </row>
    <row r="1415" customFormat="false" ht="15" hidden="false" customHeight="false" outlineLevel="0" collapsed="false">
      <c r="A1415" s="103"/>
      <c r="B1415" s="104"/>
      <c r="C1415" s="104"/>
      <c r="F1415" s="107" t="str">
        <f aca="false">IF(OR($C1415="",$D1415=0),"",$E1415/$D1415)</f>
        <v/>
      </c>
      <c r="H1415" s="0" t="str">
        <f aca="false">IF($C1415="","",IF(COUNTIF('مواد المخزون'!$A$2:$A$90,$C1415)&gt;0,"نعم","لا (خارج الجرد)"))</f>
        <v/>
      </c>
    </row>
    <row r="1416" customFormat="false" ht="15" hidden="false" customHeight="false" outlineLevel="0" collapsed="false">
      <c r="A1416" s="103"/>
      <c r="B1416" s="104"/>
      <c r="C1416" s="104"/>
      <c r="F1416" s="107" t="str">
        <f aca="false">IF(OR($C1416="",$D1416=0),"",$E1416/$D1416)</f>
        <v/>
      </c>
      <c r="H1416" s="0" t="str">
        <f aca="false">IF($C1416="","",IF(COUNTIF('مواد المخزون'!$A$2:$A$90,$C1416)&gt;0,"نعم","لا (خارج الجرد)"))</f>
        <v/>
      </c>
    </row>
    <row r="1417" customFormat="false" ht="15" hidden="false" customHeight="false" outlineLevel="0" collapsed="false">
      <c r="A1417" s="103"/>
      <c r="B1417" s="104"/>
      <c r="C1417" s="104"/>
      <c r="F1417" s="107" t="str">
        <f aca="false">IF(OR($C1417="",$D1417=0),"",$E1417/$D1417)</f>
        <v/>
      </c>
      <c r="H1417" s="0" t="str">
        <f aca="false">IF($C1417="","",IF(COUNTIF('مواد المخزون'!$A$2:$A$90,$C1417)&gt;0,"نعم","لا (خارج الجرد)"))</f>
        <v/>
      </c>
    </row>
    <row r="1418" customFormat="false" ht="15" hidden="false" customHeight="false" outlineLevel="0" collapsed="false">
      <c r="A1418" s="103"/>
      <c r="B1418" s="104"/>
      <c r="C1418" s="104"/>
      <c r="F1418" s="107" t="str">
        <f aca="false">IF(OR($C1418="",$D1418=0),"",$E1418/$D1418)</f>
        <v/>
      </c>
      <c r="H1418" s="0" t="str">
        <f aca="false">IF($C1418="","",IF(COUNTIF('مواد المخزون'!$A$2:$A$90,$C1418)&gt;0,"نعم","لا (خارج الجرد)"))</f>
        <v/>
      </c>
    </row>
    <row r="1419" customFormat="false" ht="15" hidden="false" customHeight="false" outlineLevel="0" collapsed="false">
      <c r="A1419" s="103"/>
      <c r="B1419" s="104"/>
      <c r="C1419" s="104"/>
      <c r="F1419" s="107" t="str">
        <f aca="false">IF(OR($C1419="",$D1419=0),"",$E1419/$D1419)</f>
        <v/>
      </c>
      <c r="H1419" s="0" t="str">
        <f aca="false">IF($C1419="","",IF(COUNTIF('مواد المخزون'!$A$2:$A$90,$C1419)&gt;0,"نعم","لا (خارج الجرد)"))</f>
        <v/>
      </c>
    </row>
    <row r="1420" customFormat="false" ht="15" hidden="false" customHeight="false" outlineLevel="0" collapsed="false">
      <c r="A1420" s="103"/>
      <c r="B1420" s="104"/>
      <c r="C1420" s="104"/>
      <c r="F1420" s="107" t="str">
        <f aca="false">IF(OR($C1420="",$D1420=0),"",$E1420/$D1420)</f>
        <v/>
      </c>
      <c r="H1420" s="0" t="str">
        <f aca="false">IF($C1420="","",IF(COUNTIF('مواد المخزون'!$A$2:$A$90,$C1420)&gt;0,"نعم","لا (خارج الجرد)"))</f>
        <v/>
      </c>
    </row>
    <row r="1421" customFormat="false" ht="15" hidden="false" customHeight="false" outlineLevel="0" collapsed="false">
      <c r="A1421" s="103"/>
      <c r="B1421" s="104"/>
      <c r="C1421" s="104"/>
      <c r="F1421" s="107" t="str">
        <f aca="false">IF(OR($C1421="",$D1421=0),"",$E1421/$D1421)</f>
        <v/>
      </c>
      <c r="H1421" s="0" t="str">
        <f aca="false">IF($C1421="","",IF(COUNTIF('مواد المخزون'!$A$2:$A$90,$C1421)&gt;0,"نعم","لا (خارج الجرد)"))</f>
        <v/>
      </c>
    </row>
    <row r="1422" customFormat="false" ht="15" hidden="false" customHeight="false" outlineLevel="0" collapsed="false">
      <c r="A1422" s="103"/>
      <c r="B1422" s="104"/>
      <c r="C1422" s="104"/>
      <c r="F1422" s="107" t="str">
        <f aca="false">IF(OR($C1422="",$D1422=0),"",$E1422/$D1422)</f>
        <v/>
      </c>
      <c r="H1422" s="0" t="str">
        <f aca="false">IF($C1422="","",IF(COUNTIF('مواد المخزون'!$A$2:$A$90,$C1422)&gt;0,"نعم","لا (خارج الجرد)"))</f>
        <v/>
      </c>
    </row>
    <row r="1423" customFormat="false" ht="15" hidden="false" customHeight="false" outlineLevel="0" collapsed="false">
      <c r="A1423" s="103"/>
      <c r="B1423" s="104"/>
      <c r="C1423" s="104"/>
      <c r="F1423" s="107" t="str">
        <f aca="false">IF(OR($C1423="",$D1423=0),"",$E1423/$D1423)</f>
        <v/>
      </c>
      <c r="H1423" s="0" t="str">
        <f aca="false">IF($C1423="","",IF(COUNTIF('مواد المخزون'!$A$2:$A$90,$C1423)&gt;0,"نعم","لا (خارج الجرد)"))</f>
        <v/>
      </c>
    </row>
    <row r="1424" customFormat="false" ht="15" hidden="false" customHeight="false" outlineLevel="0" collapsed="false">
      <c r="A1424" s="103"/>
      <c r="B1424" s="104"/>
      <c r="C1424" s="104"/>
      <c r="F1424" s="107" t="str">
        <f aca="false">IF(OR($C1424="",$D1424=0),"",$E1424/$D1424)</f>
        <v/>
      </c>
      <c r="H1424" s="0" t="str">
        <f aca="false">IF($C1424="","",IF(COUNTIF('مواد المخزون'!$A$2:$A$90,$C1424)&gt;0,"نعم","لا (خارج الجرد)"))</f>
        <v/>
      </c>
    </row>
    <row r="1425" customFormat="false" ht="15" hidden="false" customHeight="false" outlineLevel="0" collapsed="false">
      <c r="A1425" s="103"/>
      <c r="B1425" s="104"/>
      <c r="C1425" s="104"/>
      <c r="F1425" s="107" t="str">
        <f aca="false">IF(OR($C1425="",$D1425=0),"",$E1425/$D1425)</f>
        <v/>
      </c>
      <c r="H1425" s="0" t="str">
        <f aca="false">IF($C1425="","",IF(COUNTIF('مواد المخزون'!$A$2:$A$90,$C1425)&gt;0,"نعم","لا (خارج الجرد)"))</f>
        <v/>
      </c>
    </row>
    <row r="1426" customFormat="false" ht="15" hidden="false" customHeight="false" outlineLevel="0" collapsed="false">
      <c r="A1426" s="103"/>
      <c r="B1426" s="104"/>
      <c r="C1426" s="104"/>
      <c r="F1426" s="107" t="str">
        <f aca="false">IF(OR($C1426="",$D1426=0),"",$E1426/$D1426)</f>
        <v/>
      </c>
      <c r="H1426" s="0" t="str">
        <f aca="false">IF($C1426="","",IF(COUNTIF('مواد المخزون'!$A$2:$A$90,$C1426)&gt;0,"نعم","لا (خارج الجرد)"))</f>
        <v/>
      </c>
    </row>
    <row r="1427" customFormat="false" ht="15" hidden="false" customHeight="false" outlineLevel="0" collapsed="false">
      <c r="A1427" s="103"/>
      <c r="B1427" s="104"/>
      <c r="C1427" s="104"/>
      <c r="F1427" s="107" t="str">
        <f aca="false">IF(OR($C1427="",$D1427=0),"",$E1427/$D1427)</f>
        <v/>
      </c>
      <c r="H1427" s="0" t="str">
        <f aca="false">IF($C1427="","",IF(COUNTIF('مواد المخزون'!$A$2:$A$90,$C1427)&gt;0,"نعم","لا (خارج الجرد)"))</f>
        <v/>
      </c>
    </row>
    <row r="1428" customFormat="false" ht="15" hidden="false" customHeight="false" outlineLevel="0" collapsed="false">
      <c r="A1428" s="103"/>
      <c r="B1428" s="104"/>
      <c r="C1428" s="104"/>
      <c r="F1428" s="107" t="str">
        <f aca="false">IF(OR($C1428="",$D1428=0),"",$E1428/$D1428)</f>
        <v/>
      </c>
      <c r="H1428" s="0" t="str">
        <f aca="false">IF($C1428="","",IF(COUNTIF('مواد المخزون'!$A$2:$A$90,$C1428)&gt;0,"نعم","لا (خارج الجرد)"))</f>
        <v/>
      </c>
    </row>
    <row r="1429" customFormat="false" ht="15" hidden="false" customHeight="false" outlineLevel="0" collapsed="false">
      <c r="A1429" s="103"/>
      <c r="B1429" s="104"/>
      <c r="C1429" s="104"/>
      <c r="F1429" s="107" t="str">
        <f aca="false">IF(OR($C1429="",$D1429=0),"",$E1429/$D1429)</f>
        <v/>
      </c>
      <c r="H1429" s="0" t="str">
        <f aca="false">IF($C1429="","",IF(COUNTIF('مواد المخزون'!$A$2:$A$90,$C1429)&gt;0,"نعم","لا (خارج الجرد)"))</f>
        <v/>
      </c>
    </row>
    <row r="1430" customFormat="false" ht="15" hidden="false" customHeight="false" outlineLevel="0" collapsed="false">
      <c r="A1430" s="103"/>
      <c r="B1430" s="104"/>
      <c r="C1430" s="104"/>
      <c r="F1430" s="107" t="str">
        <f aca="false">IF(OR($C1430="",$D1430=0),"",$E1430/$D1430)</f>
        <v/>
      </c>
      <c r="H1430" s="0" t="str">
        <f aca="false">IF($C1430="","",IF(COUNTIF('مواد المخزون'!$A$2:$A$90,$C1430)&gt;0,"نعم","لا (خارج الجرد)"))</f>
        <v/>
      </c>
    </row>
    <row r="1431" customFormat="false" ht="15" hidden="false" customHeight="false" outlineLevel="0" collapsed="false">
      <c r="A1431" s="103"/>
      <c r="B1431" s="104"/>
      <c r="C1431" s="104"/>
      <c r="F1431" s="107" t="str">
        <f aca="false">IF(OR($C1431="",$D1431=0),"",$E1431/$D1431)</f>
        <v/>
      </c>
      <c r="H1431" s="0" t="str">
        <f aca="false">IF($C1431="","",IF(COUNTIF('مواد المخزون'!$A$2:$A$90,$C1431)&gt;0,"نعم","لا (خارج الجرد)"))</f>
        <v/>
      </c>
    </row>
    <row r="1432" customFormat="false" ht="15" hidden="false" customHeight="false" outlineLevel="0" collapsed="false">
      <c r="A1432" s="103"/>
      <c r="B1432" s="104"/>
      <c r="C1432" s="104"/>
      <c r="F1432" s="107" t="str">
        <f aca="false">IF(OR($C1432="",$D1432=0),"",$E1432/$D1432)</f>
        <v/>
      </c>
      <c r="H1432" s="0" t="str">
        <f aca="false">IF($C1432="","",IF(COUNTIF('مواد المخزون'!$A$2:$A$90,$C1432)&gt;0,"نعم","لا (خارج الجرد)"))</f>
        <v/>
      </c>
    </row>
    <row r="1433" customFormat="false" ht="15" hidden="false" customHeight="false" outlineLevel="0" collapsed="false">
      <c r="A1433" s="103"/>
      <c r="B1433" s="104"/>
      <c r="C1433" s="104"/>
      <c r="F1433" s="107" t="str">
        <f aca="false">IF(OR($C1433="",$D1433=0),"",$E1433/$D1433)</f>
        <v/>
      </c>
      <c r="H1433" s="0" t="str">
        <f aca="false">IF($C1433="","",IF(COUNTIF('مواد المخزون'!$A$2:$A$90,$C1433)&gt;0,"نعم","لا (خارج الجرد)"))</f>
        <v/>
      </c>
    </row>
    <row r="1434" customFormat="false" ht="15" hidden="false" customHeight="false" outlineLevel="0" collapsed="false">
      <c r="A1434" s="103"/>
      <c r="B1434" s="104"/>
      <c r="C1434" s="104"/>
      <c r="F1434" s="107" t="str">
        <f aca="false">IF(OR($C1434="",$D1434=0),"",$E1434/$D1434)</f>
        <v/>
      </c>
      <c r="H1434" s="0" t="str">
        <f aca="false">IF($C1434="","",IF(COUNTIF('مواد المخزون'!$A$2:$A$90,$C1434)&gt;0,"نعم","لا (خارج الجرد)"))</f>
        <v/>
      </c>
    </row>
    <row r="1435" customFormat="false" ht="15" hidden="false" customHeight="false" outlineLevel="0" collapsed="false">
      <c r="A1435" s="103"/>
      <c r="B1435" s="104"/>
      <c r="C1435" s="104"/>
      <c r="F1435" s="107" t="str">
        <f aca="false">IF(OR($C1435="",$D1435=0),"",$E1435/$D1435)</f>
        <v/>
      </c>
      <c r="H1435" s="0" t="str">
        <f aca="false">IF($C1435="","",IF(COUNTIF('مواد المخزون'!$A$2:$A$90,$C1435)&gt;0,"نعم","لا (خارج الجرد)"))</f>
        <v/>
      </c>
    </row>
    <row r="1436" customFormat="false" ht="15" hidden="false" customHeight="false" outlineLevel="0" collapsed="false">
      <c r="A1436" s="103"/>
      <c r="B1436" s="104"/>
      <c r="C1436" s="104"/>
      <c r="F1436" s="107" t="str">
        <f aca="false">IF(OR($C1436="",$D1436=0),"",$E1436/$D1436)</f>
        <v/>
      </c>
      <c r="H1436" s="0" t="str">
        <f aca="false">IF($C1436="","",IF(COUNTIF('مواد المخزون'!$A$2:$A$90,$C1436)&gt;0,"نعم","لا (خارج الجرد)"))</f>
        <v/>
      </c>
    </row>
    <row r="1437" customFormat="false" ht="15" hidden="false" customHeight="false" outlineLevel="0" collapsed="false">
      <c r="A1437" s="103"/>
      <c r="B1437" s="104"/>
      <c r="C1437" s="104"/>
      <c r="F1437" s="107" t="str">
        <f aca="false">IF(OR($C1437="",$D1437=0),"",$E1437/$D1437)</f>
        <v/>
      </c>
      <c r="H1437" s="0" t="str">
        <f aca="false">IF($C1437="","",IF(COUNTIF('مواد المخزون'!$A$2:$A$90,$C1437)&gt;0,"نعم","لا (خارج الجرد)"))</f>
        <v/>
      </c>
    </row>
    <row r="1438" customFormat="false" ht="15" hidden="false" customHeight="false" outlineLevel="0" collapsed="false">
      <c r="A1438" s="103"/>
      <c r="B1438" s="104"/>
      <c r="C1438" s="104"/>
      <c r="F1438" s="107" t="str">
        <f aca="false">IF(OR($C1438="",$D1438=0),"",$E1438/$D1438)</f>
        <v/>
      </c>
      <c r="H1438" s="0" t="str">
        <f aca="false">IF($C1438="","",IF(COUNTIF('مواد المخزون'!$A$2:$A$90,$C1438)&gt;0,"نعم","لا (خارج الجرد)"))</f>
        <v/>
      </c>
    </row>
    <row r="1439" customFormat="false" ht="15" hidden="false" customHeight="false" outlineLevel="0" collapsed="false">
      <c r="A1439" s="103"/>
      <c r="B1439" s="104"/>
      <c r="C1439" s="104"/>
      <c r="F1439" s="107" t="str">
        <f aca="false">IF(OR($C1439="",$D1439=0),"",$E1439/$D1439)</f>
        <v/>
      </c>
      <c r="H1439" s="0" t="str">
        <f aca="false">IF($C1439="","",IF(COUNTIF('مواد المخزون'!$A$2:$A$90,$C1439)&gt;0,"نعم","لا (خارج الجرد)"))</f>
        <v/>
      </c>
    </row>
    <row r="1440" customFormat="false" ht="15" hidden="false" customHeight="false" outlineLevel="0" collapsed="false">
      <c r="A1440" s="103"/>
      <c r="B1440" s="104"/>
      <c r="C1440" s="104"/>
      <c r="F1440" s="107" t="str">
        <f aca="false">IF(OR($C1440="",$D1440=0),"",$E1440/$D1440)</f>
        <v/>
      </c>
      <c r="H1440" s="0" t="str">
        <f aca="false">IF($C1440="","",IF(COUNTIF('مواد المخزون'!$A$2:$A$90,$C1440)&gt;0,"نعم","لا (خارج الجرد)"))</f>
        <v/>
      </c>
    </row>
    <row r="1441" customFormat="false" ht="15" hidden="false" customHeight="false" outlineLevel="0" collapsed="false">
      <c r="A1441" s="103"/>
      <c r="B1441" s="104"/>
      <c r="C1441" s="104"/>
      <c r="F1441" s="107" t="str">
        <f aca="false">IF(OR($C1441="",$D1441=0),"",$E1441/$D1441)</f>
        <v/>
      </c>
      <c r="H1441" s="0" t="str">
        <f aca="false">IF($C1441="","",IF(COUNTIF('مواد المخزون'!$A$2:$A$90,$C1441)&gt;0,"نعم","لا (خارج الجرد)"))</f>
        <v/>
      </c>
    </row>
    <row r="1442" customFormat="false" ht="15" hidden="false" customHeight="false" outlineLevel="0" collapsed="false">
      <c r="A1442" s="103"/>
      <c r="B1442" s="104"/>
      <c r="C1442" s="104"/>
      <c r="F1442" s="107" t="str">
        <f aca="false">IF(OR($C1442="",$D1442=0),"",$E1442/$D1442)</f>
        <v/>
      </c>
      <c r="H1442" s="0" t="str">
        <f aca="false">IF($C1442="","",IF(COUNTIF('مواد المخزون'!$A$2:$A$90,$C1442)&gt;0,"نعم","لا (خارج الجرد)"))</f>
        <v/>
      </c>
    </row>
    <row r="1443" customFormat="false" ht="15" hidden="false" customHeight="false" outlineLevel="0" collapsed="false">
      <c r="A1443" s="103"/>
      <c r="B1443" s="104"/>
      <c r="C1443" s="104"/>
      <c r="F1443" s="107" t="str">
        <f aca="false">IF(OR($C1443="",$D1443=0),"",$E1443/$D1443)</f>
        <v/>
      </c>
      <c r="H1443" s="0" t="str">
        <f aca="false">IF($C1443="","",IF(COUNTIF('مواد المخزون'!$A$2:$A$90,$C1443)&gt;0,"نعم","لا (خارج الجرد)"))</f>
        <v/>
      </c>
    </row>
    <row r="1444" customFormat="false" ht="15" hidden="false" customHeight="false" outlineLevel="0" collapsed="false">
      <c r="A1444" s="103"/>
      <c r="B1444" s="104"/>
      <c r="C1444" s="104"/>
      <c r="F1444" s="107" t="str">
        <f aca="false">IF(OR($C1444="",$D1444=0),"",$E1444/$D1444)</f>
        <v/>
      </c>
      <c r="H1444" s="0" t="str">
        <f aca="false">IF($C1444="","",IF(COUNTIF('مواد المخزون'!$A$2:$A$90,$C1444)&gt;0,"نعم","لا (خارج الجرد)"))</f>
        <v/>
      </c>
    </row>
    <row r="1445" customFormat="false" ht="15" hidden="false" customHeight="false" outlineLevel="0" collapsed="false">
      <c r="A1445" s="103"/>
      <c r="B1445" s="104"/>
      <c r="C1445" s="104"/>
      <c r="F1445" s="107" t="str">
        <f aca="false">IF(OR($C1445="",$D1445=0),"",$E1445/$D1445)</f>
        <v/>
      </c>
      <c r="H1445" s="0" t="str">
        <f aca="false">IF($C1445="","",IF(COUNTIF('مواد المخزون'!$A$2:$A$90,$C1445)&gt;0,"نعم","لا (خارج الجرد)"))</f>
        <v/>
      </c>
    </row>
    <row r="1446" customFormat="false" ht="15" hidden="false" customHeight="false" outlineLevel="0" collapsed="false">
      <c r="A1446" s="103"/>
      <c r="B1446" s="104"/>
      <c r="C1446" s="104"/>
      <c r="F1446" s="107" t="str">
        <f aca="false">IF(OR($C1446="",$D1446=0),"",$E1446/$D1446)</f>
        <v/>
      </c>
      <c r="H1446" s="0" t="str">
        <f aca="false">IF($C1446="","",IF(COUNTIF('مواد المخزون'!$A$2:$A$90,$C1446)&gt;0,"نعم","لا (خارج الجرد)"))</f>
        <v/>
      </c>
    </row>
    <row r="1447" customFormat="false" ht="15" hidden="false" customHeight="false" outlineLevel="0" collapsed="false">
      <c r="A1447" s="103"/>
      <c r="B1447" s="104"/>
      <c r="C1447" s="104"/>
      <c r="F1447" s="107" t="str">
        <f aca="false">IF(OR($C1447="",$D1447=0),"",$E1447/$D1447)</f>
        <v/>
      </c>
      <c r="H1447" s="0" t="str">
        <f aca="false">IF($C1447="","",IF(COUNTIF('مواد المخزون'!$A$2:$A$90,$C1447)&gt;0,"نعم","لا (خارج الجرد)"))</f>
        <v/>
      </c>
    </row>
    <row r="1448" customFormat="false" ht="15" hidden="false" customHeight="false" outlineLevel="0" collapsed="false">
      <c r="A1448" s="103"/>
      <c r="B1448" s="104"/>
      <c r="C1448" s="104"/>
      <c r="F1448" s="107" t="str">
        <f aca="false">IF(OR($C1448="",$D1448=0),"",$E1448/$D1448)</f>
        <v/>
      </c>
      <c r="H1448" s="0" t="str">
        <f aca="false">IF($C1448="","",IF(COUNTIF('مواد المخزون'!$A$2:$A$90,$C1448)&gt;0,"نعم","لا (خارج الجرد)"))</f>
        <v/>
      </c>
    </row>
    <row r="1449" customFormat="false" ht="15" hidden="false" customHeight="false" outlineLevel="0" collapsed="false">
      <c r="A1449" s="103"/>
      <c r="B1449" s="104"/>
      <c r="C1449" s="104"/>
      <c r="F1449" s="107" t="str">
        <f aca="false">IF(OR($C1449="",$D1449=0),"",$E1449/$D1449)</f>
        <v/>
      </c>
      <c r="H1449" s="0" t="str">
        <f aca="false">IF($C1449="","",IF(COUNTIF('مواد المخزون'!$A$2:$A$90,$C1449)&gt;0,"نعم","لا (خارج الجرد)"))</f>
        <v/>
      </c>
    </row>
    <row r="1450" customFormat="false" ht="15" hidden="false" customHeight="false" outlineLevel="0" collapsed="false">
      <c r="A1450" s="103"/>
      <c r="B1450" s="104"/>
      <c r="C1450" s="104"/>
      <c r="F1450" s="107" t="str">
        <f aca="false">IF(OR($C1450="",$D1450=0),"",$E1450/$D1450)</f>
        <v/>
      </c>
      <c r="H1450" s="0" t="str">
        <f aca="false">IF($C1450="","",IF(COUNTIF('مواد المخزون'!$A$2:$A$90,$C1450)&gt;0,"نعم","لا (خارج الجرد)"))</f>
        <v/>
      </c>
    </row>
    <row r="1451" customFormat="false" ht="15" hidden="false" customHeight="false" outlineLevel="0" collapsed="false">
      <c r="A1451" s="103"/>
      <c r="B1451" s="104"/>
      <c r="C1451" s="104"/>
      <c r="F1451" s="107" t="str">
        <f aca="false">IF(OR($C1451="",$D1451=0),"",$E1451/$D1451)</f>
        <v/>
      </c>
      <c r="H1451" s="0" t="str">
        <f aca="false">IF($C1451="","",IF(COUNTIF('مواد المخزون'!$A$2:$A$90,$C1451)&gt;0,"نعم","لا (خارج الجرد)"))</f>
        <v/>
      </c>
    </row>
    <row r="1452" customFormat="false" ht="15" hidden="false" customHeight="false" outlineLevel="0" collapsed="false">
      <c r="A1452" s="103"/>
      <c r="B1452" s="104"/>
      <c r="C1452" s="104"/>
      <c r="F1452" s="107" t="str">
        <f aca="false">IF(OR($C1452="",$D1452=0),"",$E1452/$D1452)</f>
        <v/>
      </c>
      <c r="H1452" s="0" t="str">
        <f aca="false">IF($C1452="","",IF(COUNTIF('مواد المخزون'!$A$2:$A$90,$C1452)&gt;0,"نعم","لا (خارج الجرد)"))</f>
        <v/>
      </c>
    </row>
    <row r="1453" customFormat="false" ht="15" hidden="false" customHeight="false" outlineLevel="0" collapsed="false">
      <c r="A1453" s="103"/>
      <c r="B1453" s="104"/>
      <c r="C1453" s="104"/>
      <c r="F1453" s="107" t="str">
        <f aca="false">IF(OR($C1453="",$D1453=0),"",$E1453/$D1453)</f>
        <v/>
      </c>
      <c r="H1453" s="0" t="str">
        <f aca="false">IF($C1453="","",IF(COUNTIF('مواد المخزون'!$A$2:$A$90,$C1453)&gt;0,"نعم","لا (خارج الجرد)"))</f>
        <v/>
      </c>
    </row>
    <row r="1454" customFormat="false" ht="15" hidden="false" customHeight="false" outlineLevel="0" collapsed="false">
      <c r="A1454" s="103"/>
      <c r="B1454" s="104"/>
      <c r="C1454" s="104"/>
      <c r="F1454" s="107" t="str">
        <f aca="false">IF(OR($C1454="",$D1454=0),"",$E1454/$D1454)</f>
        <v/>
      </c>
      <c r="H1454" s="0" t="str">
        <f aca="false">IF($C1454="","",IF(COUNTIF('مواد المخزون'!$A$2:$A$90,$C1454)&gt;0,"نعم","لا (خارج الجرد)"))</f>
        <v/>
      </c>
    </row>
    <row r="1455" customFormat="false" ht="15" hidden="false" customHeight="false" outlineLevel="0" collapsed="false">
      <c r="A1455" s="103"/>
      <c r="B1455" s="104"/>
      <c r="C1455" s="104"/>
      <c r="F1455" s="107" t="str">
        <f aca="false">IF(OR($C1455="",$D1455=0),"",$E1455/$D1455)</f>
        <v/>
      </c>
      <c r="H1455" s="0" t="str">
        <f aca="false">IF($C1455="","",IF(COUNTIF('مواد المخزون'!$A$2:$A$90,$C1455)&gt;0,"نعم","لا (خارج الجرد)"))</f>
        <v/>
      </c>
    </row>
    <row r="1456" customFormat="false" ht="15" hidden="false" customHeight="false" outlineLevel="0" collapsed="false">
      <c r="A1456" s="103"/>
      <c r="B1456" s="104"/>
      <c r="C1456" s="104"/>
      <c r="F1456" s="107" t="str">
        <f aca="false">IF(OR($C1456="",$D1456=0),"",$E1456/$D1456)</f>
        <v/>
      </c>
      <c r="H1456" s="0" t="str">
        <f aca="false">IF($C1456="","",IF(COUNTIF('مواد المخزون'!$A$2:$A$90,$C1456)&gt;0,"نعم","لا (خارج الجرد)"))</f>
        <v/>
      </c>
    </row>
    <row r="1457" customFormat="false" ht="15" hidden="false" customHeight="false" outlineLevel="0" collapsed="false">
      <c r="A1457" s="103"/>
      <c r="B1457" s="104"/>
      <c r="C1457" s="104"/>
      <c r="F1457" s="107" t="str">
        <f aca="false">IF(OR($C1457="",$D1457=0),"",$E1457/$D1457)</f>
        <v/>
      </c>
      <c r="H1457" s="0" t="str">
        <f aca="false">IF($C1457="","",IF(COUNTIF('مواد المخزون'!$A$2:$A$90,$C1457)&gt;0,"نعم","لا (خارج الجرد)"))</f>
        <v/>
      </c>
    </row>
    <row r="1458" customFormat="false" ht="15" hidden="false" customHeight="false" outlineLevel="0" collapsed="false">
      <c r="A1458" s="103"/>
      <c r="B1458" s="104"/>
      <c r="C1458" s="104"/>
      <c r="F1458" s="107" t="str">
        <f aca="false">IF(OR($C1458="",$D1458=0),"",$E1458/$D1458)</f>
        <v/>
      </c>
      <c r="H1458" s="0" t="str">
        <f aca="false">IF($C1458="","",IF(COUNTIF('مواد المخزون'!$A$2:$A$90,$C1458)&gt;0,"نعم","لا (خارج الجرد)"))</f>
        <v/>
      </c>
    </row>
    <row r="1459" customFormat="false" ht="15" hidden="false" customHeight="false" outlineLevel="0" collapsed="false">
      <c r="A1459" s="103"/>
      <c r="B1459" s="104"/>
      <c r="C1459" s="104"/>
      <c r="F1459" s="107" t="str">
        <f aca="false">IF(OR($C1459="",$D1459=0),"",$E1459/$D1459)</f>
        <v/>
      </c>
      <c r="H1459" s="0" t="str">
        <f aca="false">IF($C1459="","",IF(COUNTIF('مواد المخزون'!$A$2:$A$90,$C1459)&gt;0,"نعم","لا (خارج الجرد)"))</f>
        <v/>
      </c>
    </row>
    <row r="1460" customFormat="false" ht="15" hidden="false" customHeight="false" outlineLevel="0" collapsed="false">
      <c r="A1460" s="103"/>
      <c r="B1460" s="104"/>
      <c r="C1460" s="104"/>
      <c r="F1460" s="107" t="str">
        <f aca="false">IF(OR($C1460="",$D1460=0),"",$E1460/$D1460)</f>
        <v/>
      </c>
      <c r="H1460" s="0" t="str">
        <f aca="false">IF($C1460="","",IF(COUNTIF('مواد المخزون'!$A$2:$A$90,$C1460)&gt;0,"نعم","لا (خارج الجرد)"))</f>
        <v/>
      </c>
    </row>
    <row r="1461" customFormat="false" ht="15" hidden="false" customHeight="false" outlineLevel="0" collapsed="false">
      <c r="A1461" s="103"/>
      <c r="B1461" s="104"/>
      <c r="C1461" s="104"/>
      <c r="F1461" s="107" t="str">
        <f aca="false">IF(OR($C1461="",$D1461=0),"",$E1461/$D1461)</f>
        <v/>
      </c>
      <c r="H1461" s="0" t="str">
        <f aca="false">IF($C1461="","",IF(COUNTIF('مواد المخزون'!$A$2:$A$90,$C1461)&gt;0,"نعم","لا (خارج الجرد)"))</f>
        <v/>
      </c>
    </row>
    <row r="1462" customFormat="false" ht="15" hidden="false" customHeight="false" outlineLevel="0" collapsed="false">
      <c r="A1462" s="103"/>
      <c r="B1462" s="104"/>
      <c r="C1462" s="104"/>
      <c r="F1462" s="107" t="str">
        <f aca="false">IF(OR($C1462="",$D1462=0),"",$E1462/$D1462)</f>
        <v/>
      </c>
      <c r="H1462" s="0" t="str">
        <f aca="false">IF($C1462="","",IF(COUNTIF('مواد المخزون'!$A$2:$A$90,$C1462)&gt;0,"نعم","لا (خارج الجرد)"))</f>
        <v/>
      </c>
    </row>
    <row r="1463" customFormat="false" ht="15" hidden="false" customHeight="false" outlineLevel="0" collapsed="false">
      <c r="A1463" s="103"/>
      <c r="B1463" s="104"/>
      <c r="C1463" s="104"/>
      <c r="F1463" s="107" t="str">
        <f aca="false">IF(OR($C1463="",$D1463=0),"",$E1463/$D1463)</f>
        <v/>
      </c>
      <c r="H1463" s="0" t="str">
        <f aca="false">IF($C1463="","",IF(COUNTIF('مواد المخزون'!$A$2:$A$90,$C1463)&gt;0,"نعم","لا (خارج الجرد)"))</f>
        <v/>
      </c>
    </row>
    <row r="1464" customFormat="false" ht="15" hidden="false" customHeight="false" outlineLevel="0" collapsed="false">
      <c r="A1464" s="103"/>
      <c r="B1464" s="104"/>
      <c r="C1464" s="104"/>
      <c r="F1464" s="107" t="str">
        <f aca="false">IF(OR($C1464="",$D1464=0),"",$E1464/$D1464)</f>
        <v/>
      </c>
      <c r="H1464" s="0" t="str">
        <f aca="false">IF($C1464="","",IF(COUNTIF('مواد المخزون'!$A$2:$A$90,$C1464)&gt;0,"نعم","لا (خارج الجرد)"))</f>
        <v/>
      </c>
    </row>
    <row r="1465" customFormat="false" ht="15" hidden="false" customHeight="false" outlineLevel="0" collapsed="false">
      <c r="A1465" s="103"/>
      <c r="B1465" s="104"/>
      <c r="C1465" s="104"/>
      <c r="F1465" s="107" t="str">
        <f aca="false">IF(OR($C1465="",$D1465=0),"",$E1465/$D1465)</f>
        <v/>
      </c>
      <c r="H1465" s="0" t="str">
        <f aca="false">IF($C1465="","",IF(COUNTIF('مواد المخزون'!$A$2:$A$90,$C1465)&gt;0,"نعم","لا (خارج الجرد)"))</f>
        <v/>
      </c>
    </row>
    <row r="1466" customFormat="false" ht="15" hidden="false" customHeight="false" outlineLevel="0" collapsed="false">
      <c r="A1466" s="103"/>
      <c r="B1466" s="104"/>
      <c r="C1466" s="104"/>
      <c r="F1466" s="107" t="str">
        <f aca="false">IF(OR($C1466="",$D1466=0),"",$E1466/$D1466)</f>
        <v/>
      </c>
      <c r="H1466" s="0" t="str">
        <f aca="false">IF($C1466="","",IF(COUNTIF('مواد المخزون'!$A$2:$A$90,$C1466)&gt;0,"نعم","لا (خارج الجرد)"))</f>
        <v/>
      </c>
    </row>
    <row r="1467" customFormat="false" ht="15" hidden="false" customHeight="false" outlineLevel="0" collapsed="false">
      <c r="A1467" s="103"/>
      <c r="B1467" s="104"/>
      <c r="C1467" s="104"/>
      <c r="F1467" s="107" t="str">
        <f aca="false">IF(OR($C1467="",$D1467=0),"",$E1467/$D1467)</f>
        <v/>
      </c>
      <c r="H1467" s="0" t="str">
        <f aca="false">IF($C1467="","",IF(COUNTIF('مواد المخزون'!$A$2:$A$90,$C1467)&gt;0,"نعم","لا (خارج الجرد)"))</f>
        <v/>
      </c>
    </row>
    <row r="1468" customFormat="false" ht="15" hidden="false" customHeight="false" outlineLevel="0" collapsed="false">
      <c r="A1468" s="103"/>
      <c r="B1468" s="104"/>
      <c r="C1468" s="104"/>
      <c r="F1468" s="107" t="str">
        <f aca="false">IF(OR($C1468="",$D1468=0),"",$E1468/$D1468)</f>
        <v/>
      </c>
      <c r="H1468" s="0" t="str">
        <f aca="false">IF($C1468="","",IF(COUNTIF('مواد المخزون'!$A$2:$A$90,$C1468)&gt;0,"نعم","لا (خارج الجرد)"))</f>
        <v/>
      </c>
    </row>
    <row r="1469" customFormat="false" ht="15" hidden="false" customHeight="false" outlineLevel="0" collapsed="false">
      <c r="A1469" s="103"/>
      <c r="B1469" s="104"/>
      <c r="C1469" s="104"/>
      <c r="F1469" s="107" t="str">
        <f aca="false">IF(OR($C1469="",$D1469=0),"",$E1469/$D1469)</f>
        <v/>
      </c>
      <c r="H1469" s="0" t="str">
        <f aca="false">IF($C1469="","",IF(COUNTIF('مواد المخزون'!$A$2:$A$90,$C1469)&gt;0,"نعم","لا (خارج الجرد)"))</f>
        <v/>
      </c>
    </row>
    <row r="1470" customFormat="false" ht="15" hidden="false" customHeight="false" outlineLevel="0" collapsed="false">
      <c r="A1470" s="103"/>
      <c r="B1470" s="104"/>
      <c r="C1470" s="104"/>
      <c r="F1470" s="107" t="str">
        <f aca="false">IF(OR($C1470="",$D1470=0),"",$E1470/$D1470)</f>
        <v/>
      </c>
      <c r="H1470" s="0" t="str">
        <f aca="false">IF($C1470="","",IF(COUNTIF('مواد المخزون'!$A$2:$A$90,$C1470)&gt;0,"نعم","لا (خارج الجرد)"))</f>
        <v/>
      </c>
    </row>
    <row r="1471" customFormat="false" ht="15" hidden="false" customHeight="false" outlineLevel="0" collapsed="false">
      <c r="A1471" s="103"/>
      <c r="B1471" s="104"/>
      <c r="C1471" s="104"/>
      <c r="F1471" s="107" t="str">
        <f aca="false">IF(OR($C1471="",$D1471=0),"",$E1471/$D1471)</f>
        <v/>
      </c>
      <c r="H1471" s="0" t="str">
        <f aca="false">IF($C1471="","",IF(COUNTIF('مواد المخزون'!$A$2:$A$90,$C1471)&gt;0,"نعم","لا (خارج الجرد)"))</f>
        <v/>
      </c>
    </row>
    <row r="1472" customFormat="false" ht="15" hidden="false" customHeight="false" outlineLevel="0" collapsed="false">
      <c r="A1472" s="103"/>
      <c r="B1472" s="104"/>
      <c r="C1472" s="104"/>
      <c r="F1472" s="107" t="str">
        <f aca="false">IF(OR($C1472="",$D1472=0),"",$E1472/$D1472)</f>
        <v/>
      </c>
      <c r="H1472" s="0" t="str">
        <f aca="false">IF($C1472="","",IF(COUNTIF('مواد المخزون'!$A$2:$A$90,$C1472)&gt;0,"نعم","لا (خارج الجرد)"))</f>
        <v/>
      </c>
    </row>
    <row r="1473" customFormat="false" ht="15" hidden="false" customHeight="false" outlineLevel="0" collapsed="false">
      <c r="A1473" s="103"/>
      <c r="B1473" s="104"/>
      <c r="C1473" s="104"/>
      <c r="F1473" s="107" t="str">
        <f aca="false">IF(OR($C1473="",$D1473=0),"",$E1473/$D1473)</f>
        <v/>
      </c>
      <c r="H1473" s="0" t="str">
        <f aca="false">IF($C1473="","",IF(COUNTIF('مواد المخزون'!$A$2:$A$90,$C1473)&gt;0,"نعم","لا (خارج الجرد)"))</f>
        <v/>
      </c>
    </row>
    <row r="1474" customFormat="false" ht="15" hidden="false" customHeight="false" outlineLevel="0" collapsed="false">
      <c r="A1474" s="103"/>
      <c r="B1474" s="104"/>
      <c r="C1474" s="104"/>
      <c r="F1474" s="107" t="str">
        <f aca="false">IF(OR($C1474="",$D1474=0),"",$E1474/$D1474)</f>
        <v/>
      </c>
      <c r="H1474" s="0" t="str">
        <f aca="false">IF($C1474="","",IF(COUNTIF('مواد المخزون'!$A$2:$A$90,$C1474)&gt;0,"نعم","لا (خارج الجرد)"))</f>
        <v/>
      </c>
    </row>
    <row r="1475" customFormat="false" ht="15" hidden="false" customHeight="false" outlineLevel="0" collapsed="false">
      <c r="A1475" s="103"/>
      <c r="B1475" s="104"/>
      <c r="C1475" s="104"/>
      <c r="F1475" s="107" t="str">
        <f aca="false">IF(OR($C1475="",$D1475=0),"",$E1475/$D1475)</f>
        <v/>
      </c>
      <c r="H1475" s="0" t="str">
        <f aca="false">IF($C1475="","",IF(COUNTIF('مواد المخزون'!$A$2:$A$90,$C1475)&gt;0,"نعم","لا (خارج الجرد)"))</f>
        <v/>
      </c>
    </row>
    <row r="1476" customFormat="false" ht="15" hidden="false" customHeight="false" outlineLevel="0" collapsed="false">
      <c r="A1476" s="103"/>
      <c r="B1476" s="104"/>
      <c r="C1476" s="104"/>
      <c r="F1476" s="107" t="str">
        <f aca="false">IF(OR($C1476="",$D1476=0),"",$E1476/$D1476)</f>
        <v/>
      </c>
      <c r="H1476" s="0" t="str">
        <f aca="false">IF($C1476="","",IF(COUNTIF('مواد المخزون'!$A$2:$A$90,$C1476)&gt;0,"نعم","لا (خارج الجرد)"))</f>
        <v/>
      </c>
    </row>
    <row r="1477" customFormat="false" ht="15" hidden="false" customHeight="false" outlineLevel="0" collapsed="false">
      <c r="A1477" s="103"/>
      <c r="B1477" s="104"/>
      <c r="C1477" s="104"/>
      <c r="F1477" s="107" t="str">
        <f aca="false">IF(OR($C1477="",$D1477=0),"",$E1477/$D1477)</f>
        <v/>
      </c>
      <c r="H1477" s="0" t="str">
        <f aca="false">IF($C1477="","",IF(COUNTIF('مواد المخزون'!$A$2:$A$90,$C1477)&gt;0,"نعم","لا (خارج الجرد)"))</f>
        <v/>
      </c>
    </row>
    <row r="1478" customFormat="false" ht="15" hidden="false" customHeight="false" outlineLevel="0" collapsed="false">
      <c r="A1478" s="103"/>
      <c r="B1478" s="104"/>
      <c r="C1478" s="104"/>
      <c r="F1478" s="107" t="str">
        <f aca="false">IF(OR($C1478="",$D1478=0),"",$E1478/$D1478)</f>
        <v/>
      </c>
      <c r="H1478" s="0" t="str">
        <f aca="false">IF($C1478="","",IF(COUNTIF('مواد المخزون'!$A$2:$A$90,$C1478)&gt;0,"نعم","لا (خارج الجرد)"))</f>
        <v/>
      </c>
    </row>
    <row r="1479" customFormat="false" ht="15" hidden="false" customHeight="false" outlineLevel="0" collapsed="false">
      <c r="A1479" s="103"/>
      <c r="B1479" s="104"/>
      <c r="C1479" s="104"/>
      <c r="F1479" s="107" t="str">
        <f aca="false">IF(OR($C1479="",$D1479=0),"",$E1479/$D1479)</f>
        <v/>
      </c>
      <c r="H1479" s="0" t="str">
        <f aca="false">IF($C1479="","",IF(COUNTIF('مواد المخزون'!$A$2:$A$90,$C1479)&gt;0,"نعم","لا (خارج الجرد)"))</f>
        <v/>
      </c>
    </row>
    <row r="1480" customFormat="false" ht="15" hidden="false" customHeight="false" outlineLevel="0" collapsed="false">
      <c r="A1480" s="103"/>
      <c r="B1480" s="104"/>
      <c r="C1480" s="104"/>
      <c r="F1480" s="107" t="str">
        <f aca="false">IF(OR($C1480="",$D1480=0),"",$E1480/$D1480)</f>
        <v/>
      </c>
      <c r="H1480" s="0" t="str">
        <f aca="false">IF($C1480="","",IF(COUNTIF('مواد المخزون'!$A$2:$A$90,$C1480)&gt;0,"نعم","لا (خارج الجرد)"))</f>
        <v/>
      </c>
    </row>
    <row r="1481" customFormat="false" ht="15" hidden="false" customHeight="false" outlineLevel="0" collapsed="false">
      <c r="A1481" s="103"/>
      <c r="B1481" s="104"/>
      <c r="C1481" s="104"/>
      <c r="F1481" s="107" t="str">
        <f aca="false">IF(OR($C1481="",$D1481=0),"",$E1481/$D1481)</f>
        <v/>
      </c>
      <c r="H1481" s="0" t="str">
        <f aca="false">IF($C1481="","",IF(COUNTIF('مواد المخزون'!$A$2:$A$90,$C1481)&gt;0,"نعم","لا (خارج الجرد)"))</f>
        <v/>
      </c>
    </row>
    <row r="1482" customFormat="false" ht="15" hidden="false" customHeight="false" outlineLevel="0" collapsed="false">
      <c r="A1482" s="103"/>
      <c r="B1482" s="104"/>
      <c r="C1482" s="104"/>
      <c r="F1482" s="107" t="str">
        <f aca="false">IF(OR($C1482="",$D1482=0),"",$E1482/$D1482)</f>
        <v/>
      </c>
      <c r="H1482" s="0" t="str">
        <f aca="false">IF($C1482="","",IF(COUNTIF('مواد المخزون'!$A$2:$A$90,$C1482)&gt;0,"نعم","لا (خارج الجرد)"))</f>
        <v/>
      </c>
    </row>
    <row r="1483" customFormat="false" ht="15" hidden="false" customHeight="false" outlineLevel="0" collapsed="false">
      <c r="A1483" s="103"/>
      <c r="B1483" s="104"/>
      <c r="C1483" s="104"/>
      <c r="F1483" s="107" t="str">
        <f aca="false">IF(OR($C1483="",$D1483=0),"",$E1483/$D1483)</f>
        <v/>
      </c>
      <c r="H1483" s="0" t="str">
        <f aca="false">IF($C1483="","",IF(COUNTIF('مواد المخزون'!$A$2:$A$90,$C1483)&gt;0,"نعم","لا (خارج الجرد)"))</f>
        <v/>
      </c>
    </row>
    <row r="1484" customFormat="false" ht="15" hidden="false" customHeight="false" outlineLevel="0" collapsed="false">
      <c r="A1484" s="103"/>
      <c r="B1484" s="104"/>
      <c r="C1484" s="104"/>
      <c r="F1484" s="107" t="str">
        <f aca="false">IF(OR($C1484="",$D1484=0),"",$E1484/$D1484)</f>
        <v/>
      </c>
      <c r="H1484" s="0" t="str">
        <f aca="false">IF($C1484="","",IF(COUNTIF('مواد المخزون'!$A$2:$A$90,$C1484)&gt;0,"نعم","لا (خارج الجرد)"))</f>
        <v/>
      </c>
    </row>
    <row r="1485" customFormat="false" ht="15" hidden="false" customHeight="false" outlineLevel="0" collapsed="false">
      <c r="A1485" s="103"/>
      <c r="B1485" s="104"/>
      <c r="C1485" s="104"/>
      <c r="F1485" s="107" t="str">
        <f aca="false">IF(OR($C1485="",$D1485=0),"",$E1485/$D1485)</f>
        <v/>
      </c>
      <c r="H1485" s="0" t="str">
        <f aca="false">IF($C1485="","",IF(COUNTIF('مواد المخزون'!$A$2:$A$90,$C1485)&gt;0,"نعم","لا (خارج الجرد)"))</f>
        <v/>
      </c>
    </row>
    <row r="1486" customFormat="false" ht="15" hidden="false" customHeight="false" outlineLevel="0" collapsed="false">
      <c r="A1486" s="103"/>
      <c r="B1486" s="104"/>
      <c r="C1486" s="104"/>
      <c r="F1486" s="107" t="str">
        <f aca="false">IF(OR($C1486="",$D1486=0),"",$E1486/$D1486)</f>
        <v/>
      </c>
      <c r="H1486" s="0" t="str">
        <f aca="false">IF($C1486="","",IF(COUNTIF('مواد المخزون'!$A$2:$A$90,$C1486)&gt;0,"نعم","لا (خارج الجرد)"))</f>
        <v/>
      </c>
    </row>
    <row r="1487" customFormat="false" ht="15" hidden="false" customHeight="false" outlineLevel="0" collapsed="false">
      <c r="A1487" s="103"/>
      <c r="B1487" s="104"/>
      <c r="C1487" s="104"/>
      <c r="F1487" s="107" t="str">
        <f aca="false">IF(OR($C1487="",$D1487=0),"",$E1487/$D1487)</f>
        <v/>
      </c>
      <c r="H1487" s="0" t="str">
        <f aca="false">IF($C1487="","",IF(COUNTIF('مواد المخزون'!$A$2:$A$90,$C1487)&gt;0,"نعم","لا (خارج الجرد)"))</f>
        <v/>
      </c>
    </row>
    <row r="1488" customFormat="false" ht="15" hidden="false" customHeight="false" outlineLevel="0" collapsed="false">
      <c r="A1488" s="103"/>
      <c r="B1488" s="104"/>
      <c r="C1488" s="104"/>
      <c r="F1488" s="107" t="str">
        <f aca="false">IF(OR($C1488="",$D1488=0),"",$E1488/$D1488)</f>
        <v/>
      </c>
      <c r="H1488" s="0" t="str">
        <f aca="false">IF($C1488="","",IF(COUNTIF('مواد المخزون'!$A$2:$A$90,$C1488)&gt;0,"نعم","لا (خارج الجرد)"))</f>
        <v/>
      </c>
    </row>
    <row r="1489" customFormat="false" ht="15" hidden="false" customHeight="false" outlineLevel="0" collapsed="false">
      <c r="A1489" s="103"/>
      <c r="B1489" s="104"/>
      <c r="C1489" s="104"/>
      <c r="F1489" s="107" t="str">
        <f aca="false">IF(OR($C1489="",$D1489=0),"",$E1489/$D1489)</f>
        <v/>
      </c>
      <c r="H1489" s="0" t="str">
        <f aca="false">IF($C1489="","",IF(COUNTIF('مواد المخزون'!$A$2:$A$90,$C1489)&gt;0,"نعم","لا (خارج الجرد)"))</f>
        <v/>
      </c>
    </row>
    <row r="1490" customFormat="false" ht="15" hidden="false" customHeight="false" outlineLevel="0" collapsed="false">
      <c r="A1490" s="103"/>
      <c r="B1490" s="104"/>
      <c r="C1490" s="104"/>
      <c r="F1490" s="107" t="str">
        <f aca="false">IF(OR($C1490="",$D1490=0),"",$E1490/$D1490)</f>
        <v/>
      </c>
      <c r="H1490" s="0" t="str">
        <f aca="false">IF($C1490="","",IF(COUNTIF('مواد المخزون'!$A$2:$A$90,$C1490)&gt;0,"نعم","لا (خارج الجرد)"))</f>
        <v/>
      </c>
    </row>
    <row r="1491" customFormat="false" ht="15" hidden="false" customHeight="false" outlineLevel="0" collapsed="false">
      <c r="A1491" s="103"/>
      <c r="B1491" s="104"/>
      <c r="C1491" s="104"/>
      <c r="F1491" s="107" t="str">
        <f aca="false">IF(OR($C1491="",$D1491=0),"",$E1491/$D1491)</f>
        <v/>
      </c>
      <c r="H1491" s="0" t="str">
        <f aca="false">IF($C1491="","",IF(COUNTIF('مواد المخزون'!$A$2:$A$90,$C1491)&gt;0,"نعم","لا (خارج الجرد)"))</f>
        <v/>
      </c>
    </row>
    <row r="1492" customFormat="false" ht="15" hidden="false" customHeight="false" outlineLevel="0" collapsed="false">
      <c r="A1492" s="103"/>
      <c r="B1492" s="104"/>
      <c r="C1492" s="104"/>
      <c r="F1492" s="107" t="str">
        <f aca="false">IF(OR($C1492="",$D1492=0),"",$E1492/$D1492)</f>
        <v/>
      </c>
      <c r="H1492" s="0" t="str">
        <f aca="false">IF($C1492="","",IF(COUNTIF('مواد المخزون'!$A$2:$A$90,$C1492)&gt;0,"نعم","لا (خارج الجرد)"))</f>
        <v/>
      </c>
    </row>
    <row r="1493" customFormat="false" ht="15" hidden="false" customHeight="false" outlineLevel="0" collapsed="false">
      <c r="A1493" s="103"/>
      <c r="B1493" s="104"/>
      <c r="C1493" s="104"/>
      <c r="F1493" s="107" t="str">
        <f aca="false">IF(OR($C1493="",$D1493=0),"",$E1493/$D1493)</f>
        <v/>
      </c>
      <c r="H1493" s="0" t="str">
        <f aca="false">IF($C1493="","",IF(COUNTIF('مواد المخزون'!$A$2:$A$90,$C1493)&gt;0,"نعم","لا (خارج الجرد)"))</f>
        <v/>
      </c>
    </row>
    <row r="1494" customFormat="false" ht="15" hidden="false" customHeight="false" outlineLevel="0" collapsed="false">
      <c r="A1494" s="103"/>
      <c r="B1494" s="104"/>
      <c r="C1494" s="104"/>
      <c r="F1494" s="107" t="str">
        <f aca="false">IF(OR($C1494="",$D1494=0),"",$E1494/$D1494)</f>
        <v/>
      </c>
      <c r="H1494" s="0" t="str">
        <f aca="false">IF($C1494="","",IF(COUNTIF('مواد المخزون'!$A$2:$A$90,$C1494)&gt;0,"نعم","لا (خارج الجرد)"))</f>
        <v/>
      </c>
    </row>
    <row r="1495" customFormat="false" ht="15" hidden="false" customHeight="false" outlineLevel="0" collapsed="false">
      <c r="A1495" s="103"/>
      <c r="B1495" s="104"/>
      <c r="C1495" s="104"/>
      <c r="F1495" s="107" t="str">
        <f aca="false">IF(OR($C1495="",$D1495=0),"",$E1495/$D1495)</f>
        <v/>
      </c>
      <c r="H1495" s="0" t="str">
        <f aca="false">IF($C1495="","",IF(COUNTIF('مواد المخزون'!$A$2:$A$90,$C1495)&gt;0,"نعم","لا (خارج الجرد)"))</f>
        <v/>
      </c>
    </row>
    <row r="1496" customFormat="false" ht="15" hidden="false" customHeight="false" outlineLevel="0" collapsed="false">
      <c r="A1496" s="103"/>
      <c r="B1496" s="104"/>
      <c r="C1496" s="104"/>
      <c r="F1496" s="107" t="str">
        <f aca="false">IF(OR($C1496="",$D1496=0),"",$E1496/$D1496)</f>
        <v/>
      </c>
      <c r="H1496" s="0" t="str">
        <f aca="false">IF($C1496="","",IF(COUNTIF('مواد المخزون'!$A$2:$A$90,$C1496)&gt;0,"نعم","لا (خارج الجرد)"))</f>
        <v/>
      </c>
    </row>
    <row r="1497" customFormat="false" ht="15" hidden="false" customHeight="false" outlineLevel="0" collapsed="false">
      <c r="A1497" s="103"/>
      <c r="B1497" s="104"/>
      <c r="C1497" s="104"/>
      <c r="F1497" s="107" t="str">
        <f aca="false">IF(OR($C1497="",$D1497=0),"",$E1497/$D1497)</f>
        <v/>
      </c>
      <c r="H1497" s="0" t="str">
        <f aca="false">IF($C1497="","",IF(COUNTIF('مواد المخزون'!$A$2:$A$90,$C1497)&gt;0,"نعم","لا (خارج الجرد)"))</f>
        <v/>
      </c>
    </row>
    <row r="1498" customFormat="false" ht="15" hidden="false" customHeight="false" outlineLevel="0" collapsed="false">
      <c r="A1498" s="103"/>
      <c r="B1498" s="104"/>
      <c r="C1498" s="104"/>
      <c r="F1498" s="107" t="str">
        <f aca="false">IF(OR($C1498="",$D1498=0),"",$E1498/$D1498)</f>
        <v/>
      </c>
      <c r="H1498" s="0" t="str">
        <f aca="false">IF($C1498="","",IF(COUNTIF('مواد المخزون'!$A$2:$A$90,$C1498)&gt;0,"نعم","لا (خارج الجرد)"))</f>
        <v/>
      </c>
    </row>
    <row r="1499" customFormat="false" ht="15" hidden="false" customHeight="false" outlineLevel="0" collapsed="false">
      <c r="A1499" s="103"/>
      <c r="B1499" s="104"/>
      <c r="C1499" s="104"/>
      <c r="F1499" s="107" t="str">
        <f aca="false">IF(OR($C1499="",$D1499=0),"",$E1499/$D1499)</f>
        <v/>
      </c>
      <c r="H1499" s="0" t="str">
        <f aca="false">IF($C1499="","",IF(COUNTIF('مواد المخزون'!$A$2:$A$90,$C1499)&gt;0,"نعم","لا (خارج الجرد)"))</f>
        <v/>
      </c>
    </row>
    <row r="1500" customFormat="false" ht="15" hidden="false" customHeight="false" outlineLevel="0" collapsed="false">
      <c r="A1500" s="103"/>
      <c r="B1500" s="104"/>
      <c r="C1500" s="104"/>
      <c r="F1500" s="107" t="str">
        <f aca="false">IF(OR($C1500="",$D1500=0),"",$E1500/$D1500)</f>
        <v/>
      </c>
      <c r="H1500" s="0" t="str">
        <f aca="false">IF($C1500="","",IF(COUNTIF('مواد المخزون'!$A$2:$A$90,$C1500)&gt;0,"نعم","لا (خارج الجرد)"))</f>
        <v/>
      </c>
    </row>
    <row r="1501" customFormat="false" ht="15" hidden="false" customHeight="false" outlineLevel="0" collapsed="false">
      <c r="A1501" s="103"/>
      <c r="B1501" s="104"/>
      <c r="C1501" s="104"/>
      <c r="F1501" s="107" t="str">
        <f aca="false">IF(OR($C1501="",$D1501=0),"",$E1501/$D1501)</f>
        <v/>
      </c>
      <c r="H1501" s="0" t="str">
        <f aca="false">IF($C1501="","",IF(COUNTIF('مواد المخزون'!$A$2:$A$90,$C1501)&gt;0,"نعم","لا (خارج الجرد)"))</f>
        <v/>
      </c>
    </row>
    <row r="1502" customFormat="false" ht="15" hidden="false" customHeight="false" outlineLevel="0" collapsed="false">
      <c r="A1502" s="103"/>
      <c r="B1502" s="104"/>
      <c r="C1502" s="104"/>
      <c r="F1502" s="107" t="str">
        <f aca="false">IF(OR($C1502="",$D1502=0),"",$E1502/$D1502)</f>
        <v/>
      </c>
      <c r="H1502" s="0" t="str">
        <f aca="false">IF($C1502="","",IF(COUNTIF('مواد المخزون'!$A$2:$A$90,$C1502)&gt;0,"نعم","لا (خارج الجرد)"))</f>
        <v/>
      </c>
    </row>
    <row r="1503" customFormat="false" ht="15" hidden="false" customHeight="false" outlineLevel="0" collapsed="false">
      <c r="A1503" s="103"/>
      <c r="B1503" s="104"/>
      <c r="C1503" s="104"/>
      <c r="F1503" s="107" t="str">
        <f aca="false">IF(OR($C1503="",$D1503=0),"",$E1503/$D1503)</f>
        <v/>
      </c>
      <c r="H1503" s="0" t="str">
        <f aca="false">IF($C1503="","",IF(COUNTIF('مواد المخزون'!$A$2:$A$90,$C1503)&gt;0,"نعم","لا (خارج الجرد)"))</f>
        <v/>
      </c>
    </row>
    <row r="1504" customFormat="false" ht="15" hidden="false" customHeight="false" outlineLevel="0" collapsed="false">
      <c r="A1504" s="103"/>
      <c r="B1504" s="104"/>
      <c r="C1504" s="104"/>
      <c r="F1504" s="107" t="str">
        <f aca="false">IF(OR($C1504="",$D1504=0),"",$E1504/$D1504)</f>
        <v/>
      </c>
      <c r="H1504" s="0" t="str">
        <f aca="false">IF($C1504="","",IF(COUNTIF('مواد المخزون'!$A$2:$A$90,$C1504)&gt;0,"نعم","لا (خارج الجرد)"))</f>
        <v/>
      </c>
    </row>
    <row r="1505" customFormat="false" ht="15" hidden="false" customHeight="false" outlineLevel="0" collapsed="false">
      <c r="A1505" s="103"/>
      <c r="B1505" s="104"/>
      <c r="C1505" s="104"/>
      <c r="F1505" s="107" t="str">
        <f aca="false">IF(OR($C1505="",$D1505=0),"",$E1505/$D1505)</f>
        <v/>
      </c>
      <c r="H1505" s="0" t="str">
        <f aca="false">IF($C1505="","",IF(COUNTIF('مواد المخزون'!$A$2:$A$90,$C1505)&gt;0,"نعم","لا (خارج الجرد)"))</f>
        <v/>
      </c>
    </row>
    <row r="1506" customFormat="false" ht="15" hidden="false" customHeight="false" outlineLevel="0" collapsed="false">
      <c r="A1506" s="103"/>
      <c r="B1506" s="104"/>
      <c r="C1506" s="104"/>
      <c r="F1506" s="107" t="str">
        <f aca="false">IF(OR($C1506="",$D1506=0),"",$E1506/$D1506)</f>
        <v/>
      </c>
      <c r="H1506" s="0" t="str">
        <f aca="false">IF($C1506="","",IF(COUNTIF('مواد المخزون'!$A$2:$A$90,$C1506)&gt;0,"نعم","لا (خارج الجرد)"))</f>
        <v/>
      </c>
    </row>
    <row r="1507" customFormat="false" ht="15" hidden="false" customHeight="false" outlineLevel="0" collapsed="false">
      <c r="A1507" s="103"/>
      <c r="B1507" s="104"/>
      <c r="C1507" s="104"/>
      <c r="F1507" s="107" t="str">
        <f aca="false">IF(OR($C1507="",$D1507=0),"",$E1507/$D1507)</f>
        <v/>
      </c>
      <c r="H1507" s="0" t="str">
        <f aca="false">IF($C1507="","",IF(COUNTIF('مواد المخزون'!$A$2:$A$90,$C1507)&gt;0,"نعم","لا (خارج الجرد)"))</f>
        <v/>
      </c>
    </row>
    <row r="1508" customFormat="false" ht="15" hidden="false" customHeight="false" outlineLevel="0" collapsed="false">
      <c r="A1508" s="103"/>
      <c r="B1508" s="104"/>
      <c r="C1508" s="104"/>
      <c r="F1508" s="107" t="str">
        <f aca="false">IF(OR($C1508="",$D1508=0),"",$E1508/$D1508)</f>
        <v/>
      </c>
      <c r="H1508" s="0" t="str">
        <f aca="false">IF($C1508="","",IF(COUNTIF('مواد المخزون'!$A$2:$A$90,$C1508)&gt;0,"نعم","لا (خارج الجرد)"))</f>
        <v/>
      </c>
    </row>
    <row r="1509" customFormat="false" ht="15" hidden="false" customHeight="false" outlineLevel="0" collapsed="false">
      <c r="A1509" s="103"/>
      <c r="B1509" s="104"/>
      <c r="C1509" s="104"/>
      <c r="F1509" s="107" t="str">
        <f aca="false">IF(OR($C1509="",$D1509=0),"",$E1509/$D1509)</f>
        <v/>
      </c>
      <c r="H1509" s="0" t="str">
        <f aca="false">IF($C1509="","",IF(COUNTIF('مواد المخزون'!$A$2:$A$90,$C1509)&gt;0,"نعم","لا (خارج الجرد)"))</f>
        <v/>
      </c>
    </row>
    <row r="1510" customFormat="false" ht="15" hidden="false" customHeight="false" outlineLevel="0" collapsed="false">
      <c r="A1510" s="103"/>
      <c r="B1510" s="104"/>
      <c r="C1510" s="104"/>
      <c r="F1510" s="107" t="str">
        <f aca="false">IF(OR($C1510="",$D1510=0),"",$E1510/$D1510)</f>
        <v/>
      </c>
      <c r="H1510" s="0" t="str">
        <f aca="false">IF($C1510="","",IF(COUNTIF('مواد المخزون'!$A$2:$A$90,$C1510)&gt;0,"نعم","لا (خارج الجرد)"))</f>
        <v/>
      </c>
    </row>
    <row r="1511" customFormat="false" ht="15" hidden="false" customHeight="false" outlineLevel="0" collapsed="false">
      <c r="A1511" s="103"/>
      <c r="B1511" s="104"/>
      <c r="C1511" s="104"/>
      <c r="F1511" s="107" t="str">
        <f aca="false">IF(OR($C1511="",$D1511=0),"",$E1511/$D1511)</f>
        <v/>
      </c>
      <c r="H1511" s="0" t="str">
        <f aca="false">IF($C1511="","",IF(COUNTIF('مواد المخزون'!$A$2:$A$90,$C1511)&gt;0,"نعم","لا (خارج الجرد)"))</f>
        <v/>
      </c>
    </row>
    <row r="1512" customFormat="false" ht="15" hidden="false" customHeight="false" outlineLevel="0" collapsed="false">
      <c r="A1512" s="103"/>
      <c r="B1512" s="104"/>
      <c r="C1512" s="104"/>
      <c r="F1512" s="107" t="str">
        <f aca="false">IF(OR($C1512="",$D1512=0),"",$E1512/$D1512)</f>
        <v/>
      </c>
      <c r="H1512" s="0" t="str">
        <f aca="false">IF($C1512="","",IF(COUNTIF('مواد المخزون'!$A$2:$A$90,$C1512)&gt;0,"نعم","لا (خارج الجرد)"))</f>
        <v/>
      </c>
    </row>
    <row r="1513" customFormat="false" ht="15" hidden="false" customHeight="false" outlineLevel="0" collapsed="false">
      <c r="A1513" s="103"/>
      <c r="B1513" s="104"/>
      <c r="C1513" s="104"/>
      <c r="F1513" s="107" t="str">
        <f aca="false">IF(OR($C1513="",$D1513=0),"",$E1513/$D1513)</f>
        <v/>
      </c>
      <c r="H1513" s="0" t="str">
        <f aca="false">IF($C1513="","",IF(COUNTIF('مواد المخزون'!$A$2:$A$90,$C1513)&gt;0,"نعم","لا (خارج الجرد)"))</f>
        <v/>
      </c>
    </row>
    <row r="1514" customFormat="false" ht="15" hidden="false" customHeight="false" outlineLevel="0" collapsed="false">
      <c r="A1514" s="103"/>
      <c r="B1514" s="104"/>
      <c r="C1514" s="104"/>
      <c r="F1514" s="107" t="str">
        <f aca="false">IF(OR($C1514="",$D1514=0),"",$E1514/$D1514)</f>
        <v/>
      </c>
      <c r="H1514" s="0" t="str">
        <f aca="false">IF($C1514="","",IF(COUNTIF('مواد المخزون'!$A$2:$A$90,$C1514)&gt;0,"نعم","لا (خارج الجرد)"))</f>
        <v/>
      </c>
    </row>
    <row r="1515" customFormat="false" ht="15" hidden="false" customHeight="false" outlineLevel="0" collapsed="false">
      <c r="A1515" s="103"/>
      <c r="B1515" s="104"/>
      <c r="C1515" s="104"/>
      <c r="F1515" s="107" t="str">
        <f aca="false">IF(OR($C1515="",$D1515=0),"",$E1515/$D1515)</f>
        <v/>
      </c>
      <c r="H1515" s="0" t="str">
        <f aca="false">IF($C1515="","",IF(COUNTIF('مواد المخزون'!$A$2:$A$90,$C1515)&gt;0,"نعم","لا (خارج الجرد)"))</f>
        <v/>
      </c>
    </row>
    <row r="1516" customFormat="false" ht="15" hidden="false" customHeight="false" outlineLevel="0" collapsed="false">
      <c r="A1516" s="103"/>
      <c r="B1516" s="104"/>
      <c r="C1516" s="104"/>
      <c r="F1516" s="107" t="str">
        <f aca="false">IF(OR($C1516="",$D1516=0),"",$E1516/$D1516)</f>
        <v/>
      </c>
      <c r="H1516" s="0" t="str">
        <f aca="false">IF($C1516="","",IF(COUNTIF('مواد المخزون'!$A$2:$A$90,$C1516)&gt;0,"نعم","لا (خارج الجرد)"))</f>
        <v/>
      </c>
    </row>
    <row r="1517" customFormat="false" ht="15" hidden="false" customHeight="false" outlineLevel="0" collapsed="false">
      <c r="A1517" s="103"/>
      <c r="B1517" s="104"/>
      <c r="C1517" s="104"/>
      <c r="F1517" s="107" t="str">
        <f aca="false">IF(OR($C1517="",$D1517=0),"",$E1517/$D1517)</f>
        <v/>
      </c>
      <c r="H1517" s="0" t="str">
        <f aca="false">IF($C1517="","",IF(COUNTIF('مواد المخزون'!$A$2:$A$90,$C1517)&gt;0,"نعم","لا (خارج الجرد)"))</f>
        <v/>
      </c>
    </row>
    <row r="1518" customFormat="false" ht="15" hidden="false" customHeight="false" outlineLevel="0" collapsed="false">
      <c r="A1518" s="103"/>
      <c r="B1518" s="104"/>
      <c r="C1518" s="104"/>
      <c r="F1518" s="107" t="str">
        <f aca="false">IF(OR($C1518="",$D1518=0),"",$E1518/$D1518)</f>
        <v/>
      </c>
      <c r="H1518" s="0" t="str">
        <f aca="false">IF($C1518="","",IF(COUNTIF('مواد المخزون'!$A$2:$A$90,$C1518)&gt;0,"نعم","لا (خارج الجرد)"))</f>
        <v/>
      </c>
    </row>
    <row r="1519" customFormat="false" ht="15" hidden="false" customHeight="false" outlineLevel="0" collapsed="false">
      <c r="A1519" s="103"/>
      <c r="B1519" s="104"/>
      <c r="C1519" s="104"/>
      <c r="F1519" s="107" t="str">
        <f aca="false">IF(OR($C1519="",$D1519=0),"",$E1519/$D1519)</f>
        <v/>
      </c>
      <c r="H1519" s="0" t="str">
        <f aca="false">IF($C1519="","",IF(COUNTIF('مواد المخزون'!$A$2:$A$90,$C1519)&gt;0,"نعم","لا (خارج الجرد)"))</f>
        <v/>
      </c>
    </row>
    <row r="1520" customFormat="false" ht="15" hidden="false" customHeight="false" outlineLevel="0" collapsed="false">
      <c r="A1520" s="103"/>
      <c r="B1520" s="104"/>
      <c r="C1520" s="104"/>
      <c r="F1520" s="107" t="str">
        <f aca="false">IF(OR($C1520="",$D1520=0),"",$E1520/$D1520)</f>
        <v/>
      </c>
      <c r="H1520" s="0" t="str">
        <f aca="false">IF($C1520="","",IF(COUNTIF('مواد المخزون'!$A$2:$A$90,$C1520)&gt;0,"نعم","لا (خارج الجرد)"))</f>
        <v/>
      </c>
    </row>
    <row r="1521" customFormat="false" ht="15" hidden="false" customHeight="false" outlineLevel="0" collapsed="false">
      <c r="A1521" s="103"/>
      <c r="B1521" s="104"/>
      <c r="C1521" s="104"/>
      <c r="F1521" s="107" t="str">
        <f aca="false">IF(OR($C1521="",$D1521=0),"",$E1521/$D1521)</f>
        <v/>
      </c>
      <c r="H1521" s="0" t="str">
        <f aca="false">IF($C1521="","",IF(COUNTIF('مواد المخزون'!$A$2:$A$90,$C1521)&gt;0,"نعم","لا (خارج الجرد)"))</f>
        <v/>
      </c>
    </row>
    <row r="1522" customFormat="false" ht="15" hidden="false" customHeight="false" outlineLevel="0" collapsed="false">
      <c r="A1522" s="103"/>
      <c r="B1522" s="104"/>
      <c r="C1522" s="104"/>
      <c r="F1522" s="107" t="str">
        <f aca="false">IF(OR($C1522="",$D1522=0),"",$E1522/$D1522)</f>
        <v/>
      </c>
      <c r="H1522" s="0" t="str">
        <f aca="false">IF($C1522="","",IF(COUNTIF('مواد المخزون'!$A$2:$A$90,$C1522)&gt;0,"نعم","لا (خارج الجرد)"))</f>
        <v/>
      </c>
    </row>
    <row r="1523" customFormat="false" ht="15" hidden="false" customHeight="false" outlineLevel="0" collapsed="false">
      <c r="A1523" s="103"/>
      <c r="B1523" s="104"/>
      <c r="C1523" s="104"/>
      <c r="F1523" s="107" t="str">
        <f aca="false">IF(OR($C1523="",$D1523=0),"",$E1523/$D1523)</f>
        <v/>
      </c>
      <c r="H1523" s="0" t="str">
        <f aca="false">IF($C1523="","",IF(COUNTIF('مواد المخزون'!$A$2:$A$90,$C1523)&gt;0,"نعم","لا (خارج الجرد)"))</f>
        <v/>
      </c>
    </row>
    <row r="1524" customFormat="false" ht="15" hidden="false" customHeight="false" outlineLevel="0" collapsed="false">
      <c r="A1524" s="103"/>
      <c r="B1524" s="104"/>
      <c r="C1524" s="104"/>
      <c r="F1524" s="107" t="str">
        <f aca="false">IF(OR($C1524="",$D1524=0),"",$E1524/$D1524)</f>
        <v/>
      </c>
      <c r="H1524" s="0" t="str">
        <f aca="false">IF($C1524="","",IF(COUNTIF('مواد المخزون'!$A$2:$A$90,$C1524)&gt;0,"نعم","لا (خارج الجرد)"))</f>
        <v/>
      </c>
    </row>
    <row r="1525" customFormat="false" ht="15" hidden="false" customHeight="false" outlineLevel="0" collapsed="false">
      <c r="A1525" s="103"/>
      <c r="B1525" s="104"/>
      <c r="C1525" s="104"/>
      <c r="F1525" s="107" t="str">
        <f aca="false">IF(OR($C1525="",$D1525=0),"",$E1525/$D1525)</f>
        <v/>
      </c>
      <c r="H1525" s="0" t="str">
        <f aca="false">IF($C1525="","",IF(COUNTIF('مواد المخزون'!$A$2:$A$90,$C1525)&gt;0,"نعم","لا (خارج الجرد)"))</f>
        <v/>
      </c>
    </row>
    <row r="1526" customFormat="false" ht="15" hidden="false" customHeight="false" outlineLevel="0" collapsed="false">
      <c r="A1526" s="103"/>
      <c r="B1526" s="104"/>
      <c r="C1526" s="104"/>
      <c r="F1526" s="107" t="str">
        <f aca="false">IF(OR($C1526="",$D1526=0),"",$E1526/$D1526)</f>
        <v/>
      </c>
      <c r="H1526" s="0" t="str">
        <f aca="false">IF($C1526="","",IF(COUNTIF('مواد المخزون'!$A$2:$A$90,$C1526)&gt;0,"نعم","لا (خارج الجرد)"))</f>
        <v/>
      </c>
    </row>
    <row r="1527" customFormat="false" ht="15" hidden="false" customHeight="false" outlineLevel="0" collapsed="false">
      <c r="A1527" s="103"/>
      <c r="B1527" s="104"/>
      <c r="C1527" s="104"/>
      <c r="F1527" s="107" t="str">
        <f aca="false">IF(OR($C1527="",$D1527=0),"",$E1527/$D1527)</f>
        <v/>
      </c>
      <c r="H1527" s="0" t="str">
        <f aca="false">IF($C1527="","",IF(COUNTIF('مواد المخزون'!$A$2:$A$90,$C1527)&gt;0,"نعم","لا (خارج الجرد)"))</f>
        <v/>
      </c>
    </row>
    <row r="1528" customFormat="false" ht="15" hidden="false" customHeight="false" outlineLevel="0" collapsed="false">
      <c r="A1528" s="103"/>
      <c r="B1528" s="104"/>
      <c r="C1528" s="104"/>
      <c r="F1528" s="107" t="str">
        <f aca="false">IF(OR($C1528="",$D1528=0),"",$E1528/$D1528)</f>
        <v/>
      </c>
      <c r="H1528" s="0" t="str">
        <f aca="false">IF($C1528="","",IF(COUNTIF('مواد المخزون'!$A$2:$A$90,$C1528)&gt;0,"نعم","لا (خارج الجرد)"))</f>
        <v/>
      </c>
    </row>
    <row r="1529" customFormat="false" ht="15" hidden="false" customHeight="false" outlineLevel="0" collapsed="false">
      <c r="A1529" s="103"/>
      <c r="B1529" s="104"/>
      <c r="C1529" s="104"/>
      <c r="F1529" s="107" t="str">
        <f aca="false">IF(OR($C1529="",$D1529=0),"",$E1529/$D1529)</f>
        <v/>
      </c>
      <c r="H1529" s="0" t="str">
        <f aca="false">IF($C1529="","",IF(COUNTIF('مواد المخزون'!$A$2:$A$90,$C1529)&gt;0,"نعم","لا (خارج الجرد)"))</f>
        <v/>
      </c>
    </row>
    <row r="1530" customFormat="false" ht="15" hidden="false" customHeight="false" outlineLevel="0" collapsed="false">
      <c r="A1530" s="103"/>
      <c r="B1530" s="104"/>
      <c r="C1530" s="104"/>
      <c r="F1530" s="107" t="str">
        <f aca="false">IF(OR($C1530="",$D1530=0),"",$E1530/$D1530)</f>
        <v/>
      </c>
      <c r="H1530" s="0" t="str">
        <f aca="false">IF($C1530="","",IF(COUNTIF('مواد المخزون'!$A$2:$A$90,$C1530)&gt;0,"نعم","لا (خارج الجرد)"))</f>
        <v/>
      </c>
    </row>
    <row r="1531" customFormat="false" ht="15" hidden="false" customHeight="false" outlineLevel="0" collapsed="false">
      <c r="A1531" s="103"/>
      <c r="B1531" s="104"/>
      <c r="C1531" s="104"/>
      <c r="F1531" s="107" t="str">
        <f aca="false">IF(OR($C1531="",$D1531=0),"",$E1531/$D1531)</f>
        <v/>
      </c>
      <c r="H1531" s="0" t="str">
        <f aca="false">IF($C1531="","",IF(COUNTIF('مواد المخزون'!$A$2:$A$90,$C1531)&gt;0,"نعم","لا (خارج الجرد)"))</f>
        <v/>
      </c>
    </row>
    <row r="1532" customFormat="false" ht="15" hidden="false" customHeight="false" outlineLevel="0" collapsed="false">
      <c r="A1532" s="103"/>
      <c r="B1532" s="104"/>
      <c r="C1532" s="104"/>
      <c r="F1532" s="107" t="str">
        <f aca="false">IF(OR($C1532="",$D1532=0),"",$E1532/$D1532)</f>
        <v/>
      </c>
      <c r="H1532" s="0" t="str">
        <f aca="false">IF($C1532="","",IF(COUNTIF('مواد المخزون'!$A$2:$A$90,$C1532)&gt;0,"نعم","لا (خارج الجرد)"))</f>
        <v/>
      </c>
    </row>
    <row r="1533" customFormat="false" ht="15" hidden="false" customHeight="false" outlineLevel="0" collapsed="false">
      <c r="A1533" s="103"/>
      <c r="B1533" s="104"/>
      <c r="C1533" s="104"/>
      <c r="F1533" s="107" t="str">
        <f aca="false">IF(OR($C1533="",$D1533=0),"",$E1533/$D1533)</f>
        <v/>
      </c>
      <c r="H1533" s="0" t="str">
        <f aca="false">IF($C1533="","",IF(COUNTIF('مواد المخزون'!$A$2:$A$90,$C1533)&gt;0,"نعم","لا (خارج الجرد)"))</f>
        <v/>
      </c>
    </row>
    <row r="1534" customFormat="false" ht="15" hidden="false" customHeight="false" outlineLevel="0" collapsed="false">
      <c r="A1534" s="103"/>
      <c r="B1534" s="104"/>
      <c r="C1534" s="104"/>
      <c r="F1534" s="107" t="str">
        <f aca="false">IF(OR($C1534="",$D1534=0),"",$E1534/$D1534)</f>
        <v/>
      </c>
      <c r="H1534" s="0" t="str">
        <f aca="false">IF($C1534="","",IF(COUNTIF('مواد المخزون'!$A$2:$A$90,$C1534)&gt;0,"نعم","لا (خارج الجرد)"))</f>
        <v/>
      </c>
    </row>
    <row r="1535" customFormat="false" ht="15" hidden="false" customHeight="false" outlineLevel="0" collapsed="false">
      <c r="A1535" s="103"/>
      <c r="B1535" s="104"/>
      <c r="C1535" s="104"/>
      <c r="F1535" s="107" t="str">
        <f aca="false">IF(OR($C1535="",$D1535=0),"",$E1535/$D1535)</f>
        <v/>
      </c>
      <c r="H1535" s="0" t="str">
        <f aca="false">IF($C1535="","",IF(COUNTIF('مواد المخزون'!$A$2:$A$90,$C1535)&gt;0,"نعم","لا (خارج الجرد)"))</f>
        <v/>
      </c>
    </row>
    <row r="1536" customFormat="false" ht="15" hidden="false" customHeight="false" outlineLevel="0" collapsed="false">
      <c r="A1536" s="103"/>
      <c r="B1536" s="104"/>
      <c r="C1536" s="104"/>
      <c r="F1536" s="107" t="str">
        <f aca="false">IF(OR($C1536="",$D1536=0),"",$E1536/$D1536)</f>
        <v/>
      </c>
      <c r="H1536" s="0" t="str">
        <f aca="false">IF($C1536="","",IF(COUNTIF('مواد المخزون'!$A$2:$A$90,$C1536)&gt;0,"نعم","لا (خارج الجرد)"))</f>
        <v/>
      </c>
    </row>
    <row r="1537" customFormat="false" ht="15" hidden="false" customHeight="false" outlineLevel="0" collapsed="false">
      <c r="A1537" s="103"/>
      <c r="B1537" s="104"/>
      <c r="C1537" s="104"/>
      <c r="F1537" s="107" t="str">
        <f aca="false">IF(OR($C1537="",$D1537=0),"",$E1537/$D1537)</f>
        <v/>
      </c>
      <c r="H1537" s="0" t="str">
        <f aca="false">IF($C1537="","",IF(COUNTIF('مواد المخزون'!$A$2:$A$90,$C1537)&gt;0,"نعم","لا (خارج الجرد)"))</f>
        <v/>
      </c>
    </row>
    <row r="1538" customFormat="false" ht="15" hidden="false" customHeight="false" outlineLevel="0" collapsed="false">
      <c r="A1538" s="103"/>
      <c r="B1538" s="104"/>
      <c r="C1538" s="104"/>
      <c r="F1538" s="107" t="str">
        <f aca="false">IF(OR($C1538="",$D1538=0),"",$E1538/$D1538)</f>
        <v/>
      </c>
      <c r="H1538" s="0" t="str">
        <f aca="false">IF($C1538="","",IF(COUNTIF('مواد المخزون'!$A$2:$A$90,$C1538)&gt;0,"نعم","لا (خارج الجرد)"))</f>
        <v/>
      </c>
    </row>
    <row r="1539" customFormat="false" ht="15" hidden="false" customHeight="false" outlineLevel="0" collapsed="false">
      <c r="A1539" s="103"/>
      <c r="B1539" s="104"/>
      <c r="C1539" s="104"/>
      <c r="F1539" s="107" t="str">
        <f aca="false">IF(OR($C1539="",$D1539=0),"",$E1539/$D1539)</f>
        <v/>
      </c>
      <c r="H1539" s="0" t="str">
        <f aca="false">IF($C1539="","",IF(COUNTIF('مواد المخزون'!$A$2:$A$90,$C1539)&gt;0,"نعم","لا (خارج الجرد)"))</f>
        <v/>
      </c>
    </row>
    <row r="1540" customFormat="false" ht="15" hidden="false" customHeight="false" outlineLevel="0" collapsed="false">
      <c r="A1540" s="103"/>
      <c r="B1540" s="104"/>
      <c r="C1540" s="104"/>
      <c r="F1540" s="107" t="str">
        <f aca="false">IF(OR($C1540="",$D1540=0),"",$E1540/$D1540)</f>
        <v/>
      </c>
      <c r="H1540" s="0" t="str">
        <f aca="false">IF($C1540="","",IF(COUNTIF('مواد المخزون'!$A$2:$A$90,$C1540)&gt;0,"نعم","لا (خارج الجرد)"))</f>
        <v/>
      </c>
    </row>
    <row r="1541" customFormat="false" ht="15" hidden="false" customHeight="false" outlineLevel="0" collapsed="false">
      <c r="A1541" s="103"/>
      <c r="B1541" s="104"/>
      <c r="C1541" s="104"/>
      <c r="F1541" s="107" t="str">
        <f aca="false">IF(OR($C1541="",$D1541=0),"",$E1541/$D1541)</f>
        <v/>
      </c>
      <c r="H1541" s="0" t="str">
        <f aca="false">IF($C1541="","",IF(COUNTIF('مواد المخزون'!$A$2:$A$90,$C1541)&gt;0,"نعم","لا (خارج الجرد)"))</f>
        <v/>
      </c>
    </row>
    <row r="1542" customFormat="false" ht="15" hidden="false" customHeight="false" outlineLevel="0" collapsed="false">
      <c r="A1542" s="103"/>
      <c r="B1542" s="104"/>
      <c r="C1542" s="104"/>
      <c r="F1542" s="107" t="str">
        <f aca="false">IF(OR($C1542="",$D1542=0),"",$E1542/$D1542)</f>
        <v/>
      </c>
      <c r="H1542" s="0" t="str">
        <f aca="false">IF($C1542="","",IF(COUNTIF('مواد المخزون'!$A$2:$A$90,$C1542)&gt;0,"نعم","لا (خارج الجرد)"))</f>
        <v/>
      </c>
    </row>
    <row r="1543" customFormat="false" ht="15" hidden="false" customHeight="false" outlineLevel="0" collapsed="false">
      <c r="A1543" s="103"/>
      <c r="B1543" s="104"/>
      <c r="C1543" s="104"/>
      <c r="F1543" s="107" t="str">
        <f aca="false">IF(OR($C1543="",$D1543=0),"",$E1543/$D1543)</f>
        <v/>
      </c>
      <c r="H1543" s="0" t="str">
        <f aca="false">IF($C1543="","",IF(COUNTIF('مواد المخزون'!$A$2:$A$90,$C1543)&gt;0,"نعم","لا (خارج الجرد)"))</f>
        <v/>
      </c>
    </row>
    <row r="1544" customFormat="false" ht="15" hidden="false" customHeight="false" outlineLevel="0" collapsed="false">
      <c r="A1544" s="103"/>
      <c r="B1544" s="104"/>
      <c r="C1544" s="104"/>
      <c r="F1544" s="107" t="str">
        <f aca="false">IF(OR($C1544="",$D1544=0),"",$E1544/$D1544)</f>
        <v/>
      </c>
      <c r="H1544" s="0" t="str">
        <f aca="false">IF($C1544="","",IF(COUNTIF('مواد المخزون'!$A$2:$A$90,$C1544)&gt;0,"نعم","لا (خارج الجرد)"))</f>
        <v/>
      </c>
    </row>
    <row r="1545" customFormat="false" ht="15" hidden="false" customHeight="false" outlineLevel="0" collapsed="false">
      <c r="A1545" s="103"/>
      <c r="B1545" s="104"/>
      <c r="C1545" s="104"/>
      <c r="F1545" s="107" t="str">
        <f aca="false">IF(OR($C1545="",$D1545=0),"",$E1545/$D1545)</f>
        <v/>
      </c>
      <c r="H1545" s="0" t="str">
        <f aca="false">IF($C1545="","",IF(COUNTIF('مواد المخزون'!$A$2:$A$90,$C1545)&gt;0,"نعم","لا (خارج الجرد)"))</f>
        <v/>
      </c>
    </row>
    <row r="1546" customFormat="false" ht="15" hidden="false" customHeight="false" outlineLevel="0" collapsed="false">
      <c r="A1546" s="103"/>
      <c r="B1546" s="104"/>
      <c r="C1546" s="104"/>
      <c r="F1546" s="107" t="str">
        <f aca="false">IF(OR($C1546="",$D1546=0),"",$E1546/$D1546)</f>
        <v/>
      </c>
      <c r="H1546" s="0" t="str">
        <f aca="false">IF($C1546="","",IF(COUNTIF('مواد المخزون'!$A$2:$A$90,$C1546)&gt;0,"نعم","لا (خارج الجرد)"))</f>
        <v/>
      </c>
    </row>
    <row r="1547" customFormat="false" ht="15" hidden="false" customHeight="false" outlineLevel="0" collapsed="false">
      <c r="A1547" s="103"/>
      <c r="B1547" s="104"/>
      <c r="C1547" s="104"/>
      <c r="F1547" s="107" t="str">
        <f aca="false">IF(OR($C1547="",$D1547=0),"",$E1547/$D1547)</f>
        <v/>
      </c>
      <c r="H1547" s="0" t="str">
        <f aca="false">IF($C1547="","",IF(COUNTIF('مواد المخزون'!$A$2:$A$90,$C1547)&gt;0,"نعم","لا (خارج الجرد)"))</f>
        <v/>
      </c>
    </row>
    <row r="1548" customFormat="false" ht="15" hidden="false" customHeight="false" outlineLevel="0" collapsed="false">
      <c r="A1548" s="103"/>
      <c r="B1548" s="104"/>
      <c r="C1548" s="104"/>
      <c r="F1548" s="107" t="str">
        <f aca="false">IF(OR($C1548="",$D1548=0),"",$E1548/$D1548)</f>
        <v/>
      </c>
      <c r="H1548" s="0" t="str">
        <f aca="false">IF($C1548="","",IF(COUNTIF('مواد المخزون'!$A$2:$A$90,$C1548)&gt;0,"نعم","لا (خارج الجرد)"))</f>
        <v/>
      </c>
    </row>
    <row r="1549" customFormat="false" ht="15" hidden="false" customHeight="false" outlineLevel="0" collapsed="false">
      <c r="A1549" s="103"/>
      <c r="B1549" s="104"/>
      <c r="C1549" s="104"/>
      <c r="F1549" s="107" t="str">
        <f aca="false">IF(OR($C1549="",$D1549=0),"",$E1549/$D1549)</f>
        <v/>
      </c>
      <c r="H1549" s="0" t="str">
        <f aca="false">IF($C1549="","",IF(COUNTIF('مواد المخزون'!$A$2:$A$90,$C1549)&gt;0,"نعم","لا (خارج الجرد)"))</f>
        <v/>
      </c>
    </row>
    <row r="1550" customFormat="false" ht="15" hidden="false" customHeight="false" outlineLevel="0" collapsed="false">
      <c r="A1550" s="103"/>
      <c r="B1550" s="104"/>
      <c r="C1550" s="104"/>
      <c r="F1550" s="107" t="str">
        <f aca="false">IF(OR($C1550="",$D1550=0),"",$E1550/$D1550)</f>
        <v/>
      </c>
      <c r="H1550" s="0" t="str">
        <f aca="false">IF($C1550="","",IF(COUNTIF('مواد المخزون'!$A$2:$A$90,$C1550)&gt;0,"نعم","لا (خارج الجرد)"))</f>
        <v/>
      </c>
    </row>
    <row r="1551" customFormat="false" ht="15" hidden="false" customHeight="false" outlineLevel="0" collapsed="false">
      <c r="A1551" s="103"/>
      <c r="B1551" s="104"/>
      <c r="C1551" s="104"/>
      <c r="F1551" s="107" t="str">
        <f aca="false">IF(OR($C1551="",$D1551=0),"",$E1551/$D1551)</f>
        <v/>
      </c>
      <c r="H1551" s="0" t="str">
        <f aca="false">IF($C1551="","",IF(COUNTIF('مواد المخزون'!$A$2:$A$90,$C1551)&gt;0,"نعم","لا (خارج الجرد)"))</f>
        <v/>
      </c>
    </row>
    <row r="1552" customFormat="false" ht="15" hidden="false" customHeight="false" outlineLevel="0" collapsed="false">
      <c r="A1552" s="103"/>
      <c r="B1552" s="104"/>
      <c r="C1552" s="104"/>
      <c r="F1552" s="107" t="str">
        <f aca="false">IF(OR($C1552="",$D1552=0),"",$E1552/$D1552)</f>
        <v/>
      </c>
      <c r="H1552" s="0" t="str">
        <f aca="false">IF($C1552="","",IF(COUNTIF('مواد المخزون'!$A$2:$A$90,$C1552)&gt;0,"نعم","لا (خارج الجرد)"))</f>
        <v/>
      </c>
    </row>
    <row r="1553" customFormat="false" ht="15" hidden="false" customHeight="false" outlineLevel="0" collapsed="false">
      <c r="A1553" s="103"/>
      <c r="B1553" s="104"/>
      <c r="C1553" s="104"/>
      <c r="F1553" s="107" t="str">
        <f aca="false">IF(OR($C1553="",$D1553=0),"",$E1553/$D1553)</f>
        <v/>
      </c>
      <c r="H1553" s="0" t="str">
        <f aca="false">IF($C1553="","",IF(COUNTIF('مواد المخزون'!$A$2:$A$90,$C1553)&gt;0,"نعم","لا (خارج الجرد)"))</f>
        <v/>
      </c>
    </row>
    <row r="1554" customFormat="false" ht="15" hidden="false" customHeight="false" outlineLevel="0" collapsed="false">
      <c r="A1554" s="103"/>
      <c r="B1554" s="104"/>
      <c r="C1554" s="104"/>
      <c r="F1554" s="107" t="str">
        <f aca="false">IF(OR($C1554="",$D1554=0),"",$E1554/$D1554)</f>
        <v/>
      </c>
      <c r="H1554" s="0" t="str">
        <f aca="false">IF($C1554="","",IF(COUNTIF('مواد المخزون'!$A$2:$A$90,$C1554)&gt;0,"نعم","لا (خارج الجرد)"))</f>
        <v/>
      </c>
    </row>
    <row r="1555" customFormat="false" ht="15" hidden="false" customHeight="false" outlineLevel="0" collapsed="false">
      <c r="A1555" s="103"/>
      <c r="B1555" s="104"/>
      <c r="C1555" s="104"/>
      <c r="F1555" s="107" t="str">
        <f aca="false">IF(OR($C1555="",$D1555=0),"",$E1555/$D1555)</f>
        <v/>
      </c>
      <c r="H1555" s="0" t="str">
        <f aca="false">IF($C1555="","",IF(COUNTIF('مواد المخزون'!$A$2:$A$90,$C1555)&gt;0,"نعم","لا (خارج الجرد)"))</f>
        <v/>
      </c>
    </row>
    <row r="1556" customFormat="false" ht="15" hidden="false" customHeight="false" outlineLevel="0" collapsed="false">
      <c r="A1556" s="103"/>
      <c r="B1556" s="104"/>
      <c r="C1556" s="104"/>
      <c r="F1556" s="107" t="str">
        <f aca="false">IF(OR($C1556="",$D1556=0),"",$E1556/$D1556)</f>
        <v/>
      </c>
      <c r="H1556" s="0" t="str">
        <f aca="false">IF($C1556="","",IF(COUNTIF('مواد المخزون'!$A$2:$A$90,$C1556)&gt;0,"نعم","لا (خارج الجرد)"))</f>
        <v/>
      </c>
    </row>
    <row r="1557" customFormat="false" ht="15" hidden="false" customHeight="false" outlineLevel="0" collapsed="false">
      <c r="A1557" s="103"/>
      <c r="B1557" s="104"/>
      <c r="C1557" s="104"/>
      <c r="F1557" s="107" t="str">
        <f aca="false">IF(OR($C1557="",$D1557=0),"",$E1557/$D1557)</f>
        <v/>
      </c>
      <c r="H1557" s="0" t="str">
        <f aca="false">IF($C1557="","",IF(COUNTIF('مواد المخزون'!$A$2:$A$90,$C1557)&gt;0,"نعم","لا (خارج الجرد)"))</f>
        <v/>
      </c>
    </row>
    <row r="1558" customFormat="false" ht="15" hidden="false" customHeight="false" outlineLevel="0" collapsed="false">
      <c r="A1558" s="103"/>
      <c r="B1558" s="104"/>
      <c r="C1558" s="104"/>
      <c r="F1558" s="107" t="str">
        <f aca="false">IF(OR($C1558="",$D1558=0),"",$E1558/$D1558)</f>
        <v/>
      </c>
      <c r="H1558" s="0" t="str">
        <f aca="false">IF($C1558="","",IF(COUNTIF('مواد المخزون'!$A$2:$A$90,$C1558)&gt;0,"نعم","لا (خارج الجرد)"))</f>
        <v/>
      </c>
    </row>
    <row r="1559" customFormat="false" ht="15" hidden="false" customHeight="false" outlineLevel="0" collapsed="false">
      <c r="A1559" s="103"/>
      <c r="B1559" s="104"/>
      <c r="C1559" s="104"/>
      <c r="F1559" s="107" t="str">
        <f aca="false">IF(OR($C1559="",$D1559=0),"",$E1559/$D1559)</f>
        <v/>
      </c>
      <c r="H1559" s="0" t="str">
        <f aca="false">IF($C1559="","",IF(COUNTIF('مواد المخزون'!$A$2:$A$90,$C1559)&gt;0,"نعم","لا (خارج الجرد)"))</f>
        <v/>
      </c>
    </row>
    <row r="1560" customFormat="false" ht="15" hidden="false" customHeight="false" outlineLevel="0" collapsed="false">
      <c r="A1560" s="103"/>
      <c r="B1560" s="104"/>
      <c r="C1560" s="104"/>
      <c r="F1560" s="107" t="str">
        <f aca="false">IF(OR($C1560="",$D1560=0),"",$E1560/$D1560)</f>
        <v/>
      </c>
      <c r="H1560" s="0" t="str">
        <f aca="false">IF($C1560="","",IF(COUNTIF('مواد المخزون'!$A$2:$A$90,$C1560)&gt;0,"نعم","لا (خارج الجرد)"))</f>
        <v/>
      </c>
    </row>
    <row r="1561" customFormat="false" ht="15" hidden="false" customHeight="false" outlineLevel="0" collapsed="false">
      <c r="A1561" s="103"/>
      <c r="B1561" s="104"/>
      <c r="C1561" s="104"/>
      <c r="F1561" s="107" t="str">
        <f aca="false">IF(OR($C1561="",$D1561=0),"",$E1561/$D1561)</f>
        <v/>
      </c>
      <c r="H1561" s="0" t="str">
        <f aca="false">IF($C1561="","",IF(COUNTIF('مواد المخزون'!$A$2:$A$90,$C1561)&gt;0,"نعم","لا (خارج الجرد)"))</f>
        <v/>
      </c>
    </row>
    <row r="1562" customFormat="false" ht="15" hidden="false" customHeight="false" outlineLevel="0" collapsed="false">
      <c r="A1562" s="103"/>
      <c r="B1562" s="104"/>
      <c r="C1562" s="104"/>
      <c r="F1562" s="107" t="str">
        <f aca="false">IF(OR($C1562="",$D1562=0),"",$E1562/$D1562)</f>
        <v/>
      </c>
      <c r="H1562" s="0" t="str">
        <f aca="false">IF($C1562="","",IF(COUNTIF('مواد المخزون'!$A$2:$A$90,$C1562)&gt;0,"نعم","لا (خارج الجرد)"))</f>
        <v/>
      </c>
    </row>
    <row r="1563" customFormat="false" ht="15" hidden="false" customHeight="false" outlineLevel="0" collapsed="false">
      <c r="A1563" s="103"/>
      <c r="B1563" s="104"/>
      <c r="C1563" s="104"/>
      <c r="F1563" s="107" t="str">
        <f aca="false">IF(OR($C1563="",$D1563=0),"",$E1563/$D1563)</f>
        <v/>
      </c>
      <c r="H1563" s="0" t="str">
        <f aca="false">IF($C1563="","",IF(COUNTIF('مواد المخزون'!$A$2:$A$90,$C1563)&gt;0,"نعم","لا (خارج الجرد)"))</f>
        <v/>
      </c>
    </row>
    <row r="1564" customFormat="false" ht="15" hidden="false" customHeight="false" outlineLevel="0" collapsed="false">
      <c r="A1564" s="103"/>
      <c r="B1564" s="104"/>
      <c r="C1564" s="104"/>
      <c r="F1564" s="107" t="str">
        <f aca="false">IF(OR($C1564="",$D1564=0),"",$E1564/$D1564)</f>
        <v/>
      </c>
      <c r="H1564" s="0" t="str">
        <f aca="false">IF($C1564="","",IF(COUNTIF('مواد المخزون'!$A$2:$A$90,$C1564)&gt;0,"نعم","لا (خارج الجرد)"))</f>
        <v/>
      </c>
    </row>
    <row r="1565" customFormat="false" ht="15" hidden="false" customHeight="false" outlineLevel="0" collapsed="false">
      <c r="A1565" s="103"/>
      <c r="B1565" s="104"/>
      <c r="C1565" s="104"/>
      <c r="F1565" s="107" t="str">
        <f aca="false">IF(OR($C1565="",$D1565=0),"",$E1565/$D1565)</f>
        <v/>
      </c>
      <c r="H1565" s="0" t="str">
        <f aca="false">IF($C1565="","",IF(COUNTIF('مواد المخزون'!$A$2:$A$90,$C1565)&gt;0,"نعم","لا (خارج الجرد)"))</f>
        <v/>
      </c>
    </row>
    <row r="1566" customFormat="false" ht="15" hidden="false" customHeight="false" outlineLevel="0" collapsed="false">
      <c r="A1566" s="103"/>
      <c r="B1566" s="104"/>
      <c r="C1566" s="104"/>
      <c r="F1566" s="107" t="str">
        <f aca="false">IF(OR($C1566="",$D1566=0),"",$E1566/$D1566)</f>
        <v/>
      </c>
      <c r="H1566" s="0" t="str">
        <f aca="false">IF($C1566="","",IF(COUNTIF('مواد المخزون'!$A$2:$A$90,$C1566)&gt;0,"نعم","لا (خارج الجرد)"))</f>
        <v/>
      </c>
    </row>
    <row r="1567" customFormat="false" ht="15" hidden="false" customHeight="false" outlineLevel="0" collapsed="false">
      <c r="A1567" s="103"/>
      <c r="B1567" s="104"/>
      <c r="C1567" s="104"/>
      <c r="F1567" s="107" t="str">
        <f aca="false">IF(OR($C1567="",$D1567=0),"",$E1567/$D1567)</f>
        <v/>
      </c>
      <c r="H1567" s="0" t="str">
        <f aca="false">IF($C1567="","",IF(COUNTIF('مواد المخزون'!$A$2:$A$90,$C1567)&gt;0,"نعم","لا (خارج الجرد)"))</f>
        <v/>
      </c>
    </row>
    <row r="1568" customFormat="false" ht="15" hidden="false" customHeight="false" outlineLevel="0" collapsed="false">
      <c r="A1568" s="103"/>
      <c r="B1568" s="104"/>
      <c r="C1568" s="104"/>
      <c r="F1568" s="107" t="str">
        <f aca="false">IF(OR($C1568="",$D1568=0),"",$E1568/$D1568)</f>
        <v/>
      </c>
      <c r="H1568" s="0" t="str">
        <f aca="false">IF($C1568="","",IF(COUNTIF('مواد المخزون'!$A$2:$A$90,$C1568)&gt;0,"نعم","لا (خارج الجرد)"))</f>
        <v/>
      </c>
    </row>
    <row r="1569" customFormat="false" ht="15" hidden="false" customHeight="false" outlineLevel="0" collapsed="false">
      <c r="A1569" s="103"/>
      <c r="B1569" s="104"/>
      <c r="C1569" s="104"/>
      <c r="F1569" s="107" t="str">
        <f aca="false">IF(OR($C1569="",$D1569=0),"",$E1569/$D1569)</f>
        <v/>
      </c>
      <c r="H1569" s="0" t="str">
        <f aca="false">IF($C1569="","",IF(COUNTIF('مواد المخزون'!$A$2:$A$90,$C1569)&gt;0,"نعم","لا (خارج الجرد)"))</f>
        <v/>
      </c>
    </row>
    <row r="1570" customFormat="false" ht="15" hidden="false" customHeight="false" outlineLevel="0" collapsed="false">
      <c r="A1570" s="103"/>
      <c r="B1570" s="104"/>
      <c r="C1570" s="104"/>
      <c r="F1570" s="107" t="str">
        <f aca="false">IF(OR($C1570="",$D1570=0),"",$E1570/$D1570)</f>
        <v/>
      </c>
      <c r="H1570" s="0" t="str">
        <f aca="false">IF($C1570="","",IF(COUNTIF('مواد المخزون'!$A$2:$A$90,$C1570)&gt;0,"نعم","لا (خارج الجرد)"))</f>
        <v/>
      </c>
    </row>
    <row r="1571" customFormat="false" ht="15" hidden="false" customHeight="false" outlineLevel="0" collapsed="false">
      <c r="A1571" s="103"/>
      <c r="B1571" s="104"/>
      <c r="C1571" s="104"/>
      <c r="F1571" s="107" t="str">
        <f aca="false">IF(OR($C1571="",$D1571=0),"",$E1571/$D1571)</f>
        <v/>
      </c>
      <c r="H1571" s="0" t="str">
        <f aca="false">IF($C1571="","",IF(COUNTIF('مواد المخزون'!$A$2:$A$90,$C1571)&gt;0,"نعم","لا (خارج الجرد)"))</f>
        <v/>
      </c>
    </row>
    <row r="1572" customFormat="false" ht="15" hidden="false" customHeight="false" outlineLevel="0" collapsed="false">
      <c r="A1572" s="103"/>
      <c r="B1572" s="104"/>
      <c r="C1572" s="104"/>
      <c r="F1572" s="107" t="str">
        <f aca="false">IF(OR($C1572="",$D1572=0),"",$E1572/$D1572)</f>
        <v/>
      </c>
      <c r="H1572" s="0" t="str">
        <f aca="false">IF($C1572="","",IF(COUNTIF('مواد المخزون'!$A$2:$A$90,$C1572)&gt;0,"نعم","لا (خارج الجرد)"))</f>
        <v/>
      </c>
    </row>
    <row r="1573" customFormat="false" ht="15" hidden="false" customHeight="false" outlineLevel="0" collapsed="false">
      <c r="A1573" s="103"/>
      <c r="B1573" s="104"/>
      <c r="C1573" s="104"/>
      <c r="F1573" s="107" t="str">
        <f aca="false">IF(OR($C1573="",$D1573=0),"",$E1573/$D1573)</f>
        <v/>
      </c>
      <c r="H1573" s="0" t="str">
        <f aca="false">IF($C1573="","",IF(COUNTIF('مواد المخزون'!$A$2:$A$90,$C1573)&gt;0,"نعم","لا (خارج الجرد)"))</f>
        <v/>
      </c>
    </row>
    <row r="1574" customFormat="false" ht="15" hidden="false" customHeight="false" outlineLevel="0" collapsed="false">
      <c r="A1574" s="103"/>
      <c r="B1574" s="104"/>
      <c r="C1574" s="104"/>
      <c r="F1574" s="107" t="str">
        <f aca="false">IF(OR($C1574="",$D1574=0),"",$E1574/$D1574)</f>
        <v/>
      </c>
      <c r="H1574" s="0" t="str">
        <f aca="false">IF($C1574="","",IF(COUNTIF('مواد المخزون'!$A$2:$A$90,$C1574)&gt;0,"نعم","لا (خارج الجرد)"))</f>
        <v/>
      </c>
    </row>
    <row r="1575" customFormat="false" ht="15" hidden="false" customHeight="false" outlineLevel="0" collapsed="false">
      <c r="A1575" s="103"/>
      <c r="B1575" s="104"/>
      <c r="C1575" s="104"/>
      <c r="F1575" s="107" t="str">
        <f aca="false">IF(OR($C1575="",$D1575=0),"",$E1575/$D1575)</f>
        <v/>
      </c>
      <c r="H1575" s="0" t="str">
        <f aca="false">IF($C1575="","",IF(COUNTIF('مواد المخزون'!$A$2:$A$90,$C1575)&gt;0,"نعم","لا (خارج الجرد)"))</f>
        <v/>
      </c>
    </row>
    <row r="1576" customFormat="false" ht="15" hidden="false" customHeight="false" outlineLevel="0" collapsed="false">
      <c r="A1576" s="103"/>
      <c r="B1576" s="104"/>
      <c r="C1576" s="104"/>
      <c r="F1576" s="107" t="str">
        <f aca="false">IF(OR($C1576="",$D1576=0),"",$E1576/$D1576)</f>
        <v/>
      </c>
      <c r="H1576" s="0" t="str">
        <f aca="false">IF($C1576="","",IF(COUNTIF('مواد المخزون'!$A$2:$A$90,$C1576)&gt;0,"نعم","لا (خارج الجرد)"))</f>
        <v/>
      </c>
    </row>
    <row r="1577" customFormat="false" ht="15" hidden="false" customHeight="false" outlineLevel="0" collapsed="false">
      <c r="A1577" s="103"/>
      <c r="B1577" s="104"/>
      <c r="C1577" s="104"/>
      <c r="F1577" s="107" t="str">
        <f aca="false">IF(OR($C1577="",$D1577=0),"",$E1577/$D1577)</f>
        <v/>
      </c>
      <c r="H1577" s="0" t="str">
        <f aca="false">IF($C1577="","",IF(COUNTIF('مواد المخزون'!$A$2:$A$90,$C1577)&gt;0,"نعم","لا (خارج الجرد)"))</f>
        <v/>
      </c>
    </row>
    <row r="1578" customFormat="false" ht="15" hidden="false" customHeight="false" outlineLevel="0" collapsed="false">
      <c r="A1578" s="103"/>
      <c r="B1578" s="104"/>
      <c r="C1578" s="104"/>
      <c r="F1578" s="107" t="str">
        <f aca="false">IF(OR($C1578="",$D1578=0),"",$E1578/$D1578)</f>
        <v/>
      </c>
      <c r="H1578" s="0" t="str">
        <f aca="false">IF($C1578="","",IF(COUNTIF('مواد المخزون'!$A$2:$A$90,$C1578)&gt;0,"نعم","لا (خارج الجرد)"))</f>
        <v/>
      </c>
    </row>
    <row r="1579" customFormat="false" ht="15" hidden="false" customHeight="false" outlineLevel="0" collapsed="false">
      <c r="A1579" s="103"/>
      <c r="B1579" s="104"/>
      <c r="C1579" s="104"/>
      <c r="F1579" s="107" t="str">
        <f aca="false">IF(OR($C1579="",$D1579=0),"",$E1579/$D1579)</f>
        <v/>
      </c>
      <c r="H1579" s="0" t="str">
        <f aca="false">IF($C1579="","",IF(COUNTIF('مواد المخزون'!$A$2:$A$90,$C1579)&gt;0,"نعم","لا (خارج الجرد)"))</f>
        <v/>
      </c>
    </row>
    <row r="1580" customFormat="false" ht="15" hidden="false" customHeight="false" outlineLevel="0" collapsed="false">
      <c r="A1580" s="103"/>
      <c r="B1580" s="104"/>
      <c r="C1580" s="104"/>
      <c r="F1580" s="107" t="str">
        <f aca="false">IF(OR($C1580="",$D1580=0),"",$E1580/$D1580)</f>
        <v/>
      </c>
      <c r="H1580" s="0" t="str">
        <f aca="false">IF($C1580="","",IF(COUNTIF('مواد المخزون'!$A$2:$A$90,$C1580)&gt;0,"نعم","لا (خارج الجرد)"))</f>
        <v/>
      </c>
    </row>
    <row r="1581" customFormat="false" ht="15" hidden="false" customHeight="false" outlineLevel="0" collapsed="false">
      <c r="A1581" s="103"/>
      <c r="B1581" s="104"/>
      <c r="C1581" s="104"/>
      <c r="F1581" s="107" t="str">
        <f aca="false">IF(OR($C1581="",$D1581=0),"",$E1581/$D1581)</f>
        <v/>
      </c>
      <c r="H1581" s="0" t="str">
        <f aca="false">IF($C1581="","",IF(COUNTIF('مواد المخزون'!$A$2:$A$90,$C1581)&gt;0,"نعم","لا (خارج الجرد)"))</f>
        <v/>
      </c>
    </row>
    <row r="1582" customFormat="false" ht="15" hidden="false" customHeight="false" outlineLevel="0" collapsed="false">
      <c r="A1582" s="103"/>
      <c r="B1582" s="104"/>
      <c r="C1582" s="104"/>
      <c r="F1582" s="107" t="str">
        <f aca="false">IF(OR($C1582="",$D1582=0),"",$E1582/$D1582)</f>
        <v/>
      </c>
      <c r="H1582" s="0" t="str">
        <f aca="false">IF($C1582="","",IF(COUNTIF('مواد المخزون'!$A$2:$A$90,$C1582)&gt;0,"نعم","لا (خارج الجرد)"))</f>
        <v/>
      </c>
    </row>
    <row r="1583" customFormat="false" ht="15" hidden="false" customHeight="false" outlineLevel="0" collapsed="false">
      <c r="A1583" s="103"/>
      <c r="B1583" s="104"/>
      <c r="C1583" s="104"/>
      <c r="F1583" s="107" t="str">
        <f aca="false">IF(OR($C1583="",$D1583=0),"",$E1583/$D1583)</f>
        <v/>
      </c>
      <c r="H1583" s="0" t="str">
        <f aca="false">IF($C1583="","",IF(COUNTIF('مواد المخزون'!$A$2:$A$90,$C1583)&gt;0,"نعم","لا (خارج الجرد)"))</f>
        <v/>
      </c>
    </row>
    <row r="1584" customFormat="false" ht="15" hidden="false" customHeight="false" outlineLevel="0" collapsed="false">
      <c r="A1584" s="103"/>
      <c r="B1584" s="104"/>
      <c r="C1584" s="104"/>
      <c r="F1584" s="107" t="str">
        <f aca="false">IF(OR($C1584="",$D1584=0),"",$E1584/$D1584)</f>
        <v/>
      </c>
      <c r="H1584" s="0" t="str">
        <f aca="false">IF($C1584="","",IF(COUNTIF('مواد المخزون'!$A$2:$A$90,$C1584)&gt;0,"نعم","لا (خارج الجرد)"))</f>
        <v/>
      </c>
    </row>
    <row r="1585" customFormat="false" ht="15" hidden="false" customHeight="false" outlineLevel="0" collapsed="false">
      <c r="A1585" s="103"/>
      <c r="B1585" s="104"/>
      <c r="C1585" s="104"/>
      <c r="F1585" s="107" t="str">
        <f aca="false">IF(OR($C1585="",$D1585=0),"",$E1585/$D1585)</f>
        <v/>
      </c>
      <c r="H1585" s="0" t="str">
        <f aca="false">IF($C1585="","",IF(COUNTIF('مواد المخزون'!$A$2:$A$90,$C1585)&gt;0,"نعم","لا (خارج الجرد)"))</f>
        <v/>
      </c>
    </row>
    <row r="1586" customFormat="false" ht="15" hidden="false" customHeight="false" outlineLevel="0" collapsed="false">
      <c r="A1586" s="103"/>
      <c r="B1586" s="104"/>
      <c r="C1586" s="104"/>
      <c r="F1586" s="107" t="str">
        <f aca="false">IF(OR($C1586="",$D1586=0),"",$E1586/$D1586)</f>
        <v/>
      </c>
      <c r="H1586" s="0" t="str">
        <f aca="false">IF($C1586="","",IF(COUNTIF('مواد المخزون'!$A$2:$A$90,$C1586)&gt;0,"نعم","لا (خارج الجرد)"))</f>
        <v/>
      </c>
    </row>
    <row r="1587" customFormat="false" ht="15" hidden="false" customHeight="false" outlineLevel="0" collapsed="false">
      <c r="A1587" s="103"/>
      <c r="B1587" s="104"/>
      <c r="C1587" s="104"/>
      <c r="F1587" s="107" t="str">
        <f aca="false">IF(OR($C1587="",$D1587=0),"",$E1587/$D1587)</f>
        <v/>
      </c>
      <c r="H1587" s="0" t="str">
        <f aca="false">IF($C1587="","",IF(COUNTIF('مواد المخزون'!$A$2:$A$90,$C1587)&gt;0,"نعم","لا (خارج الجرد)"))</f>
        <v/>
      </c>
    </row>
    <row r="1588" customFormat="false" ht="15" hidden="false" customHeight="false" outlineLevel="0" collapsed="false">
      <c r="A1588" s="103"/>
      <c r="B1588" s="104"/>
      <c r="C1588" s="104"/>
      <c r="F1588" s="107" t="str">
        <f aca="false">IF(OR($C1588="",$D1588=0),"",$E1588/$D1588)</f>
        <v/>
      </c>
      <c r="H1588" s="0" t="str">
        <f aca="false">IF($C1588="","",IF(COUNTIF('مواد المخزون'!$A$2:$A$90,$C1588)&gt;0,"نعم","لا (خارج الجرد)"))</f>
        <v/>
      </c>
    </row>
    <row r="1589" customFormat="false" ht="15" hidden="false" customHeight="false" outlineLevel="0" collapsed="false">
      <c r="A1589" s="103"/>
      <c r="B1589" s="104"/>
      <c r="C1589" s="104"/>
      <c r="F1589" s="107" t="str">
        <f aca="false">IF(OR($C1589="",$D1589=0),"",$E1589/$D1589)</f>
        <v/>
      </c>
      <c r="H1589" s="0" t="str">
        <f aca="false">IF($C1589="","",IF(COUNTIF('مواد المخزون'!$A$2:$A$90,$C1589)&gt;0,"نعم","لا (خارج الجرد)"))</f>
        <v/>
      </c>
    </row>
    <row r="1590" customFormat="false" ht="15" hidden="false" customHeight="false" outlineLevel="0" collapsed="false">
      <c r="A1590" s="103"/>
      <c r="B1590" s="104"/>
      <c r="C1590" s="104"/>
      <c r="F1590" s="107" t="str">
        <f aca="false">IF(OR($C1590="",$D1590=0),"",$E1590/$D1590)</f>
        <v/>
      </c>
      <c r="H1590" s="0" t="str">
        <f aca="false">IF($C1590="","",IF(COUNTIF('مواد المخزون'!$A$2:$A$90,$C1590)&gt;0,"نعم","لا (خارج الجرد)"))</f>
        <v/>
      </c>
    </row>
    <row r="1591" customFormat="false" ht="15" hidden="false" customHeight="false" outlineLevel="0" collapsed="false">
      <c r="A1591" s="103"/>
      <c r="B1591" s="104"/>
      <c r="C1591" s="104"/>
      <c r="F1591" s="107" t="str">
        <f aca="false">IF(OR($C1591="",$D1591=0),"",$E1591/$D1591)</f>
        <v/>
      </c>
      <c r="H1591" s="0" t="str">
        <f aca="false">IF($C1591="","",IF(COUNTIF('مواد المخزون'!$A$2:$A$90,$C1591)&gt;0,"نعم","لا (خارج الجرد)"))</f>
        <v/>
      </c>
    </row>
    <row r="1592" customFormat="false" ht="15" hidden="false" customHeight="false" outlineLevel="0" collapsed="false">
      <c r="A1592" s="103"/>
      <c r="B1592" s="104"/>
      <c r="C1592" s="104"/>
      <c r="F1592" s="107" t="str">
        <f aca="false">IF(OR($C1592="",$D1592=0),"",$E1592/$D1592)</f>
        <v/>
      </c>
      <c r="H1592" s="0" t="str">
        <f aca="false">IF($C1592="","",IF(COUNTIF('مواد المخزون'!$A$2:$A$90,$C1592)&gt;0,"نعم","لا (خارج الجرد)"))</f>
        <v/>
      </c>
    </row>
    <row r="1593" customFormat="false" ht="15" hidden="false" customHeight="false" outlineLevel="0" collapsed="false">
      <c r="A1593" s="103"/>
      <c r="B1593" s="104"/>
      <c r="C1593" s="104"/>
      <c r="F1593" s="107" t="str">
        <f aca="false">IF(OR($C1593="",$D1593=0),"",$E1593/$D1593)</f>
        <v/>
      </c>
      <c r="H1593" s="0" t="str">
        <f aca="false">IF($C1593="","",IF(COUNTIF('مواد المخزون'!$A$2:$A$90,$C1593)&gt;0,"نعم","لا (خارج الجرد)"))</f>
        <v/>
      </c>
    </row>
    <row r="1594" customFormat="false" ht="15" hidden="false" customHeight="false" outlineLevel="0" collapsed="false">
      <c r="A1594" s="103"/>
      <c r="B1594" s="104"/>
      <c r="C1594" s="104"/>
      <c r="F1594" s="107" t="str">
        <f aca="false">IF(OR($C1594="",$D1594=0),"",$E1594/$D1594)</f>
        <v/>
      </c>
      <c r="H1594" s="0" t="str">
        <f aca="false">IF($C1594="","",IF(COUNTIF('مواد المخزون'!$A$2:$A$90,$C1594)&gt;0,"نعم","لا (خارج الجرد)"))</f>
        <v/>
      </c>
    </row>
    <row r="1595" customFormat="false" ht="15" hidden="false" customHeight="false" outlineLevel="0" collapsed="false">
      <c r="A1595" s="103"/>
      <c r="B1595" s="104"/>
      <c r="C1595" s="104"/>
      <c r="F1595" s="107" t="str">
        <f aca="false">IF(OR($C1595="",$D1595=0),"",$E1595/$D1595)</f>
        <v/>
      </c>
      <c r="H1595" s="0" t="str">
        <f aca="false">IF($C1595="","",IF(COUNTIF('مواد المخزون'!$A$2:$A$90,$C1595)&gt;0,"نعم","لا (خارج الجرد)"))</f>
        <v/>
      </c>
    </row>
    <row r="1596" customFormat="false" ht="15" hidden="false" customHeight="false" outlineLevel="0" collapsed="false">
      <c r="A1596" s="103"/>
      <c r="B1596" s="104"/>
      <c r="C1596" s="104"/>
      <c r="F1596" s="107" t="str">
        <f aca="false">IF(OR($C1596="",$D1596=0),"",$E1596/$D1596)</f>
        <v/>
      </c>
      <c r="H1596" s="0" t="str">
        <f aca="false">IF($C1596="","",IF(COUNTIF('مواد المخزون'!$A$2:$A$90,$C1596)&gt;0,"نعم","لا (خارج الجرد)"))</f>
        <v/>
      </c>
    </row>
    <row r="1597" customFormat="false" ht="15" hidden="false" customHeight="false" outlineLevel="0" collapsed="false">
      <c r="A1597" s="103"/>
      <c r="B1597" s="104"/>
      <c r="C1597" s="104"/>
      <c r="F1597" s="107" t="str">
        <f aca="false">IF(OR($C1597="",$D1597=0),"",$E1597/$D1597)</f>
        <v/>
      </c>
      <c r="H1597" s="0" t="str">
        <f aca="false">IF($C1597="","",IF(COUNTIF('مواد المخزون'!$A$2:$A$90,$C1597)&gt;0,"نعم","لا (خارج الجرد)"))</f>
        <v/>
      </c>
    </row>
    <row r="1598" customFormat="false" ht="15" hidden="false" customHeight="false" outlineLevel="0" collapsed="false">
      <c r="A1598" s="103"/>
      <c r="B1598" s="104"/>
      <c r="C1598" s="104"/>
      <c r="F1598" s="107" t="str">
        <f aca="false">IF(OR($C1598="",$D1598=0),"",$E1598/$D1598)</f>
        <v/>
      </c>
      <c r="H1598" s="0" t="str">
        <f aca="false">IF($C1598="","",IF(COUNTIF('مواد المخزون'!$A$2:$A$90,$C1598)&gt;0,"نعم","لا (خارج الجرد)"))</f>
        <v/>
      </c>
    </row>
    <row r="1599" customFormat="false" ht="15" hidden="false" customHeight="false" outlineLevel="0" collapsed="false">
      <c r="A1599" s="103"/>
      <c r="B1599" s="104"/>
      <c r="C1599" s="104"/>
      <c r="F1599" s="107" t="str">
        <f aca="false">IF(OR($C1599="",$D1599=0),"",$E1599/$D1599)</f>
        <v/>
      </c>
      <c r="H1599" s="0" t="str">
        <f aca="false">IF($C1599="","",IF(COUNTIF('مواد المخزون'!$A$2:$A$90,$C1599)&gt;0,"نعم","لا (خارج الجرد)"))</f>
        <v/>
      </c>
    </row>
    <row r="1600" customFormat="false" ht="15" hidden="false" customHeight="false" outlineLevel="0" collapsed="false">
      <c r="A1600" s="103"/>
      <c r="B1600" s="104"/>
      <c r="C1600" s="104"/>
      <c r="F1600" s="107" t="str">
        <f aca="false">IF(OR($C1600="",$D1600=0),"",$E1600/$D1600)</f>
        <v/>
      </c>
      <c r="H1600" s="0" t="str">
        <f aca="false">IF($C1600="","",IF(COUNTIF('مواد المخزون'!$A$2:$A$90,$C1600)&gt;0,"نعم","لا (خارج الجرد)"))</f>
        <v/>
      </c>
    </row>
    <row r="1601" customFormat="false" ht="15" hidden="false" customHeight="false" outlineLevel="0" collapsed="false">
      <c r="A1601" s="103"/>
      <c r="B1601" s="104"/>
      <c r="C1601" s="104"/>
      <c r="F1601" s="107" t="str">
        <f aca="false">IF(OR($C1601="",$D1601=0),"",$E1601/$D1601)</f>
        <v/>
      </c>
      <c r="H1601" s="0" t="str">
        <f aca="false">IF($C1601="","",IF(COUNTIF('مواد المخزون'!$A$2:$A$90,$C1601)&gt;0,"نعم","لا (خارج الجرد)"))</f>
        <v/>
      </c>
    </row>
    <row r="1602" customFormat="false" ht="15" hidden="false" customHeight="false" outlineLevel="0" collapsed="false">
      <c r="A1602" s="103"/>
      <c r="B1602" s="104"/>
      <c r="C1602" s="104"/>
      <c r="F1602" s="107" t="str">
        <f aca="false">IF(OR($C1602="",$D1602=0),"",$E1602/$D1602)</f>
        <v/>
      </c>
      <c r="H1602" s="0" t="str">
        <f aca="false">IF($C1602="","",IF(COUNTIF('مواد المخزون'!$A$2:$A$90,$C1602)&gt;0,"نعم","لا (خارج الجرد)"))</f>
        <v/>
      </c>
    </row>
    <row r="1603" customFormat="false" ht="15" hidden="false" customHeight="false" outlineLevel="0" collapsed="false">
      <c r="A1603" s="103"/>
      <c r="B1603" s="104"/>
      <c r="C1603" s="104"/>
      <c r="F1603" s="107" t="str">
        <f aca="false">IF(OR($C1603="",$D1603=0),"",$E1603/$D1603)</f>
        <v/>
      </c>
      <c r="H1603" s="0" t="str">
        <f aca="false">IF($C1603="","",IF(COUNTIF('مواد المخزون'!$A$2:$A$90,$C1603)&gt;0,"نعم","لا (خارج الجرد)"))</f>
        <v/>
      </c>
    </row>
    <row r="1604" customFormat="false" ht="15" hidden="false" customHeight="false" outlineLevel="0" collapsed="false">
      <c r="A1604" s="103"/>
      <c r="B1604" s="104"/>
      <c r="C1604" s="104"/>
      <c r="F1604" s="107" t="str">
        <f aca="false">IF(OR($C1604="",$D1604=0),"",$E1604/$D1604)</f>
        <v/>
      </c>
      <c r="H1604" s="0" t="str">
        <f aca="false">IF($C1604="","",IF(COUNTIF('مواد المخزون'!$A$2:$A$90,$C1604)&gt;0,"نعم","لا (خارج الجرد)"))</f>
        <v/>
      </c>
    </row>
    <row r="1605" customFormat="false" ht="15" hidden="false" customHeight="false" outlineLevel="0" collapsed="false">
      <c r="A1605" s="103"/>
      <c r="B1605" s="104"/>
      <c r="C1605" s="104"/>
      <c r="F1605" s="107" t="str">
        <f aca="false">IF(OR($C1605="",$D1605=0),"",$E1605/$D1605)</f>
        <v/>
      </c>
      <c r="H1605" s="0" t="str">
        <f aca="false">IF($C1605="","",IF(COUNTIF('مواد المخزون'!$A$2:$A$90,$C1605)&gt;0,"نعم","لا (خارج الجرد)"))</f>
        <v/>
      </c>
    </row>
    <row r="1606" customFormat="false" ht="15" hidden="false" customHeight="false" outlineLevel="0" collapsed="false">
      <c r="A1606" s="103"/>
      <c r="B1606" s="104"/>
      <c r="C1606" s="104"/>
      <c r="F1606" s="107" t="str">
        <f aca="false">IF(OR($C1606="",$D1606=0),"",$E1606/$D1606)</f>
        <v/>
      </c>
      <c r="H1606" s="0" t="str">
        <f aca="false">IF($C1606="","",IF(COUNTIF('مواد المخزون'!$A$2:$A$90,$C1606)&gt;0,"نعم","لا (خارج الجرد)"))</f>
        <v/>
      </c>
    </row>
    <row r="1607" customFormat="false" ht="15" hidden="false" customHeight="false" outlineLevel="0" collapsed="false">
      <c r="A1607" s="103"/>
      <c r="B1607" s="104"/>
      <c r="C1607" s="104"/>
      <c r="F1607" s="107" t="str">
        <f aca="false">IF(OR($C1607="",$D1607=0),"",$E1607/$D1607)</f>
        <v/>
      </c>
      <c r="H1607" s="0" t="str">
        <f aca="false">IF($C1607="","",IF(COUNTIF('مواد المخزون'!$A$2:$A$90,$C1607)&gt;0,"نعم","لا (خارج الجرد)"))</f>
        <v/>
      </c>
    </row>
    <row r="1608" customFormat="false" ht="15" hidden="false" customHeight="false" outlineLevel="0" collapsed="false">
      <c r="A1608" s="103"/>
      <c r="B1608" s="104"/>
      <c r="C1608" s="104"/>
      <c r="F1608" s="107" t="str">
        <f aca="false">IF(OR($C1608="",$D1608=0),"",$E1608/$D1608)</f>
        <v/>
      </c>
      <c r="H1608" s="0" t="str">
        <f aca="false">IF($C1608="","",IF(COUNTIF('مواد المخزون'!$A$2:$A$90,$C1608)&gt;0,"نعم","لا (خارج الجرد)"))</f>
        <v/>
      </c>
    </row>
    <row r="1609" customFormat="false" ht="15" hidden="false" customHeight="false" outlineLevel="0" collapsed="false">
      <c r="A1609" s="103"/>
      <c r="B1609" s="104"/>
      <c r="C1609" s="104"/>
      <c r="F1609" s="107" t="str">
        <f aca="false">IF(OR($C1609="",$D1609=0),"",$E1609/$D1609)</f>
        <v/>
      </c>
      <c r="H1609" s="0" t="str">
        <f aca="false">IF($C1609="","",IF(COUNTIF('مواد المخزون'!$A$2:$A$90,$C1609)&gt;0,"نعم","لا (خارج الجرد)"))</f>
        <v/>
      </c>
    </row>
    <row r="1610" customFormat="false" ht="15" hidden="false" customHeight="false" outlineLevel="0" collapsed="false">
      <c r="A1610" s="103"/>
      <c r="B1610" s="104"/>
      <c r="C1610" s="104"/>
      <c r="F1610" s="107" t="str">
        <f aca="false">IF(OR($C1610="",$D1610=0),"",$E1610/$D1610)</f>
        <v/>
      </c>
      <c r="H1610" s="0" t="str">
        <f aca="false">IF($C1610="","",IF(COUNTIF('مواد المخزون'!$A$2:$A$90,$C1610)&gt;0,"نعم","لا (خارج الجرد)"))</f>
        <v/>
      </c>
    </row>
    <row r="1611" customFormat="false" ht="15" hidden="false" customHeight="false" outlineLevel="0" collapsed="false">
      <c r="A1611" s="103"/>
      <c r="B1611" s="104"/>
      <c r="C1611" s="104"/>
      <c r="F1611" s="107" t="str">
        <f aca="false">IF(OR($C1611="",$D1611=0),"",$E1611/$D1611)</f>
        <v/>
      </c>
      <c r="H1611" s="0" t="str">
        <f aca="false">IF($C1611="","",IF(COUNTIF('مواد المخزون'!$A$2:$A$90,$C1611)&gt;0,"نعم","لا (خارج الجرد)"))</f>
        <v/>
      </c>
    </row>
    <row r="1612" customFormat="false" ht="15" hidden="false" customHeight="false" outlineLevel="0" collapsed="false">
      <c r="A1612" s="103"/>
      <c r="B1612" s="104"/>
      <c r="C1612" s="104"/>
      <c r="F1612" s="107" t="str">
        <f aca="false">IF(OR($C1612="",$D1612=0),"",$E1612/$D1612)</f>
        <v/>
      </c>
      <c r="H1612" s="0" t="str">
        <f aca="false">IF($C1612="","",IF(COUNTIF('مواد المخزون'!$A$2:$A$90,$C1612)&gt;0,"نعم","لا (خارج الجرد)"))</f>
        <v/>
      </c>
    </row>
    <row r="1613" customFormat="false" ht="15" hidden="false" customHeight="false" outlineLevel="0" collapsed="false">
      <c r="A1613" s="103"/>
      <c r="B1613" s="104"/>
      <c r="C1613" s="104"/>
      <c r="F1613" s="107" t="str">
        <f aca="false">IF(OR($C1613="",$D1613=0),"",$E1613/$D1613)</f>
        <v/>
      </c>
      <c r="H1613" s="0" t="str">
        <f aca="false">IF($C1613="","",IF(COUNTIF('مواد المخزون'!$A$2:$A$90,$C1613)&gt;0,"نعم","لا (خارج الجرد)"))</f>
        <v/>
      </c>
    </row>
    <row r="1614" customFormat="false" ht="15" hidden="false" customHeight="false" outlineLevel="0" collapsed="false">
      <c r="A1614" s="103"/>
      <c r="B1614" s="104"/>
      <c r="C1614" s="104"/>
      <c r="F1614" s="107" t="str">
        <f aca="false">IF(OR($C1614="",$D1614=0),"",$E1614/$D1614)</f>
        <v/>
      </c>
      <c r="H1614" s="0" t="str">
        <f aca="false">IF($C1614="","",IF(COUNTIF('مواد المخزون'!$A$2:$A$90,$C1614)&gt;0,"نعم","لا (خارج الجرد)"))</f>
        <v/>
      </c>
    </row>
    <row r="1615" customFormat="false" ht="15" hidden="false" customHeight="false" outlineLevel="0" collapsed="false">
      <c r="A1615" s="103"/>
      <c r="B1615" s="104"/>
      <c r="C1615" s="104"/>
      <c r="F1615" s="107" t="str">
        <f aca="false">IF(OR($C1615="",$D1615=0),"",$E1615/$D1615)</f>
        <v/>
      </c>
      <c r="H1615" s="0" t="str">
        <f aca="false">IF($C1615="","",IF(COUNTIF('مواد المخزون'!$A$2:$A$90,$C1615)&gt;0,"نعم","لا (خارج الجرد)"))</f>
        <v/>
      </c>
    </row>
    <row r="1616" customFormat="false" ht="15" hidden="false" customHeight="false" outlineLevel="0" collapsed="false">
      <c r="A1616" s="103"/>
      <c r="B1616" s="104"/>
      <c r="C1616" s="104"/>
      <c r="F1616" s="107" t="str">
        <f aca="false">IF(OR($C1616="",$D1616=0),"",$E1616/$D1616)</f>
        <v/>
      </c>
      <c r="H1616" s="0" t="str">
        <f aca="false">IF($C1616="","",IF(COUNTIF('مواد المخزون'!$A$2:$A$90,$C1616)&gt;0,"نعم","لا (خارج الجرد)"))</f>
        <v/>
      </c>
    </row>
    <row r="1617" customFormat="false" ht="15" hidden="false" customHeight="false" outlineLevel="0" collapsed="false">
      <c r="A1617" s="103"/>
      <c r="B1617" s="104"/>
      <c r="C1617" s="104"/>
      <c r="F1617" s="107" t="str">
        <f aca="false">IF(OR($C1617="",$D1617=0),"",$E1617/$D1617)</f>
        <v/>
      </c>
      <c r="H1617" s="0" t="str">
        <f aca="false">IF($C1617="","",IF(COUNTIF('مواد المخزون'!$A$2:$A$90,$C1617)&gt;0,"نعم","لا (خارج الجرد)"))</f>
        <v/>
      </c>
    </row>
    <row r="1618" customFormat="false" ht="15" hidden="false" customHeight="false" outlineLevel="0" collapsed="false">
      <c r="A1618" s="103"/>
      <c r="B1618" s="104"/>
      <c r="C1618" s="104"/>
      <c r="F1618" s="107" t="str">
        <f aca="false">IF(OR($C1618="",$D1618=0),"",$E1618/$D1618)</f>
        <v/>
      </c>
      <c r="H1618" s="0" t="str">
        <f aca="false">IF($C1618="","",IF(COUNTIF('مواد المخزون'!$A$2:$A$90,$C1618)&gt;0,"نعم","لا (خارج الجرد)"))</f>
        <v/>
      </c>
    </row>
    <row r="1619" customFormat="false" ht="15" hidden="false" customHeight="false" outlineLevel="0" collapsed="false">
      <c r="A1619" s="103"/>
      <c r="B1619" s="104"/>
      <c r="C1619" s="104"/>
      <c r="F1619" s="107" t="str">
        <f aca="false">IF(OR($C1619="",$D1619=0),"",$E1619/$D1619)</f>
        <v/>
      </c>
      <c r="H1619" s="0" t="str">
        <f aca="false">IF($C1619="","",IF(COUNTIF('مواد المخزون'!$A$2:$A$90,$C1619)&gt;0,"نعم","لا (خارج الجرد)"))</f>
        <v/>
      </c>
    </row>
    <row r="1620" customFormat="false" ht="15" hidden="false" customHeight="false" outlineLevel="0" collapsed="false">
      <c r="A1620" s="103"/>
      <c r="B1620" s="104"/>
      <c r="C1620" s="104"/>
      <c r="F1620" s="107" t="str">
        <f aca="false">IF(OR($C1620="",$D1620=0),"",$E1620/$D1620)</f>
        <v/>
      </c>
      <c r="H1620" s="0" t="str">
        <f aca="false">IF($C1620="","",IF(COUNTIF('مواد المخزون'!$A$2:$A$90,$C1620)&gt;0,"نعم","لا (خارج الجرد)"))</f>
        <v/>
      </c>
    </row>
    <row r="1621" customFormat="false" ht="15" hidden="false" customHeight="false" outlineLevel="0" collapsed="false">
      <c r="A1621" s="103"/>
      <c r="B1621" s="104"/>
      <c r="C1621" s="104"/>
      <c r="F1621" s="107" t="str">
        <f aca="false">IF(OR($C1621="",$D1621=0),"",$E1621/$D1621)</f>
        <v/>
      </c>
      <c r="H1621" s="0" t="str">
        <f aca="false">IF($C1621="","",IF(COUNTIF('مواد المخزون'!$A$2:$A$90,$C1621)&gt;0,"نعم","لا (خارج الجرد)"))</f>
        <v/>
      </c>
    </row>
    <row r="1622" customFormat="false" ht="15" hidden="false" customHeight="false" outlineLevel="0" collapsed="false">
      <c r="A1622" s="103"/>
      <c r="B1622" s="104"/>
      <c r="C1622" s="104"/>
      <c r="F1622" s="107" t="str">
        <f aca="false">IF(OR($C1622="",$D1622=0),"",$E1622/$D1622)</f>
        <v/>
      </c>
      <c r="H1622" s="0" t="str">
        <f aca="false">IF($C1622="","",IF(COUNTIF('مواد المخزون'!$A$2:$A$90,$C1622)&gt;0,"نعم","لا (خارج الجرد)"))</f>
        <v/>
      </c>
    </row>
    <row r="1623" customFormat="false" ht="15" hidden="false" customHeight="false" outlineLevel="0" collapsed="false">
      <c r="A1623" s="103"/>
      <c r="B1623" s="104"/>
      <c r="C1623" s="104"/>
      <c r="F1623" s="107" t="str">
        <f aca="false">IF(OR($C1623="",$D1623=0),"",$E1623/$D1623)</f>
        <v/>
      </c>
      <c r="H1623" s="0" t="str">
        <f aca="false">IF($C1623="","",IF(COUNTIF('مواد المخزون'!$A$2:$A$90,$C1623)&gt;0,"نعم","لا (خارج الجرد)"))</f>
        <v/>
      </c>
    </row>
    <row r="1624" customFormat="false" ht="15" hidden="false" customHeight="false" outlineLevel="0" collapsed="false">
      <c r="A1624" s="103"/>
      <c r="B1624" s="104"/>
      <c r="C1624" s="104"/>
      <c r="F1624" s="107" t="str">
        <f aca="false">IF(OR($C1624="",$D1624=0),"",$E1624/$D1624)</f>
        <v/>
      </c>
      <c r="H1624" s="0" t="str">
        <f aca="false">IF($C1624="","",IF(COUNTIF('مواد المخزون'!$A$2:$A$90,$C1624)&gt;0,"نعم","لا (خارج الجرد)"))</f>
        <v/>
      </c>
    </row>
    <row r="1625" customFormat="false" ht="15" hidden="false" customHeight="false" outlineLevel="0" collapsed="false">
      <c r="A1625" s="103"/>
      <c r="B1625" s="104"/>
      <c r="C1625" s="104"/>
      <c r="F1625" s="107" t="str">
        <f aca="false">IF(OR($C1625="",$D1625=0),"",$E1625/$D1625)</f>
        <v/>
      </c>
      <c r="H1625" s="0" t="str">
        <f aca="false">IF($C1625="","",IF(COUNTIF('مواد المخزون'!$A$2:$A$90,$C1625)&gt;0,"نعم","لا (خارج الجرد)"))</f>
        <v/>
      </c>
    </row>
    <row r="1626" customFormat="false" ht="15" hidden="false" customHeight="false" outlineLevel="0" collapsed="false">
      <c r="A1626" s="103"/>
      <c r="B1626" s="104"/>
      <c r="C1626" s="104"/>
      <c r="F1626" s="107" t="str">
        <f aca="false">IF(OR($C1626="",$D1626=0),"",$E1626/$D1626)</f>
        <v/>
      </c>
      <c r="H1626" s="0" t="str">
        <f aca="false">IF($C1626="","",IF(COUNTIF('مواد المخزون'!$A$2:$A$90,$C1626)&gt;0,"نعم","لا (خارج الجرد)"))</f>
        <v/>
      </c>
    </row>
    <row r="1627" customFormat="false" ht="15" hidden="false" customHeight="false" outlineLevel="0" collapsed="false">
      <c r="A1627" s="103"/>
      <c r="B1627" s="104"/>
      <c r="C1627" s="104"/>
      <c r="F1627" s="107" t="str">
        <f aca="false">IF(OR($C1627="",$D1627=0),"",$E1627/$D1627)</f>
        <v/>
      </c>
      <c r="H1627" s="0" t="str">
        <f aca="false">IF($C1627="","",IF(COUNTIF('مواد المخزون'!$A$2:$A$90,$C1627)&gt;0,"نعم","لا (خارج الجرد)"))</f>
        <v/>
      </c>
    </row>
    <row r="1628" customFormat="false" ht="15" hidden="false" customHeight="false" outlineLevel="0" collapsed="false">
      <c r="A1628" s="103"/>
      <c r="B1628" s="104"/>
      <c r="C1628" s="104"/>
      <c r="F1628" s="107" t="str">
        <f aca="false">IF(OR($C1628="",$D1628=0),"",$E1628/$D1628)</f>
        <v/>
      </c>
      <c r="H1628" s="0" t="str">
        <f aca="false">IF($C1628="","",IF(COUNTIF('مواد المخزون'!$A$2:$A$90,$C1628)&gt;0,"نعم","لا (خارج الجرد)"))</f>
        <v/>
      </c>
    </row>
    <row r="1629" customFormat="false" ht="15" hidden="false" customHeight="false" outlineLevel="0" collapsed="false">
      <c r="A1629" s="103"/>
      <c r="B1629" s="104"/>
      <c r="C1629" s="104"/>
      <c r="F1629" s="107" t="str">
        <f aca="false">IF(OR($C1629="",$D1629=0),"",$E1629/$D1629)</f>
        <v/>
      </c>
      <c r="H1629" s="0" t="str">
        <f aca="false">IF($C1629="","",IF(COUNTIF('مواد المخزون'!$A$2:$A$90,$C1629)&gt;0,"نعم","لا (خارج الجرد)"))</f>
        <v/>
      </c>
    </row>
    <row r="1630" customFormat="false" ht="15" hidden="false" customHeight="false" outlineLevel="0" collapsed="false">
      <c r="A1630" s="103"/>
      <c r="B1630" s="104"/>
      <c r="C1630" s="104"/>
      <c r="F1630" s="107" t="str">
        <f aca="false">IF(OR($C1630="",$D1630=0),"",$E1630/$D1630)</f>
        <v/>
      </c>
      <c r="H1630" s="0" t="str">
        <f aca="false">IF($C1630="","",IF(COUNTIF('مواد المخزون'!$A$2:$A$90,$C1630)&gt;0,"نعم","لا (خارج الجرد)"))</f>
        <v/>
      </c>
    </row>
    <row r="1631" customFormat="false" ht="15" hidden="false" customHeight="false" outlineLevel="0" collapsed="false">
      <c r="A1631" s="103"/>
      <c r="B1631" s="104"/>
      <c r="C1631" s="104"/>
      <c r="F1631" s="107" t="str">
        <f aca="false">IF(OR($C1631="",$D1631=0),"",$E1631/$D1631)</f>
        <v/>
      </c>
      <c r="H1631" s="0" t="str">
        <f aca="false">IF($C1631="","",IF(COUNTIF('مواد المخزون'!$A$2:$A$90,$C1631)&gt;0,"نعم","لا (خارج الجرد)"))</f>
        <v/>
      </c>
    </row>
    <row r="1632" customFormat="false" ht="15" hidden="false" customHeight="false" outlineLevel="0" collapsed="false">
      <c r="A1632" s="103"/>
      <c r="B1632" s="104"/>
      <c r="C1632" s="104"/>
      <c r="F1632" s="107" t="str">
        <f aca="false">IF(OR($C1632="",$D1632=0),"",$E1632/$D1632)</f>
        <v/>
      </c>
      <c r="H1632" s="0" t="str">
        <f aca="false">IF($C1632="","",IF(COUNTIF('مواد المخزون'!$A$2:$A$90,$C1632)&gt;0,"نعم","لا (خارج الجرد)"))</f>
        <v/>
      </c>
    </row>
    <row r="1633" customFormat="false" ht="15" hidden="false" customHeight="false" outlineLevel="0" collapsed="false">
      <c r="A1633" s="103"/>
      <c r="B1633" s="104"/>
      <c r="C1633" s="104"/>
      <c r="F1633" s="107" t="str">
        <f aca="false">IF(OR($C1633="",$D1633=0),"",$E1633/$D1633)</f>
        <v/>
      </c>
      <c r="H1633" s="0" t="str">
        <f aca="false">IF($C1633="","",IF(COUNTIF('مواد المخزون'!$A$2:$A$90,$C1633)&gt;0,"نعم","لا (خارج الجرد)"))</f>
        <v/>
      </c>
    </row>
    <row r="1634" customFormat="false" ht="15" hidden="false" customHeight="false" outlineLevel="0" collapsed="false">
      <c r="A1634" s="103"/>
      <c r="B1634" s="104"/>
      <c r="C1634" s="104"/>
      <c r="F1634" s="107" t="str">
        <f aca="false">IF(OR($C1634="",$D1634=0),"",$E1634/$D1634)</f>
        <v/>
      </c>
      <c r="H1634" s="0" t="str">
        <f aca="false">IF($C1634="","",IF(COUNTIF('مواد المخزون'!$A$2:$A$90,$C1634)&gt;0,"نعم","لا (خارج الجرد)"))</f>
        <v/>
      </c>
    </row>
    <row r="1635" customFormat="false" ht="15" hidden="false" customHeight="false" outlineLevel="0" collapsed="false">
      <c r="A1635" s="103"/>
      <c r="B1635" s="104"/>
      <c r="C1635" s="104"/>
      <c r="F1635" s="107" t="str">
        <f aca="false">IF(OR($C1635="",$D1635=0),"",$E1635/$D1635)</f>
        <v/>
      </c>
      <c r="H1635" s="0" t="str">
        <f aca="false">IF($C1635="","",IF(COUNTIF('مواد المخزون'!$A$2:$A$90,$C1635)&gt;0,"نعم","لا (خارج الجرد)"))</f>
        <v/>
      </c>
    </row>
    <row r="1636" customFormat="false" ht="15" hidden="false" customHeight="false" outlineLevel="0" collapsed="false">
      <c r="A1636" s="103"/>
      <c r="B1636" s="104"/>
      <c r="C1636" s="104"/>
      <c r="F1636" s="107" t="str">
        <f aca="false">IF(OR($C1636="",$D1636=0),"",$E1636/$D1636)</f>
        <v/>
      </c>
      <c r="H1636" s="0" t="str">
        <f aca="false">IF($C1636="","",IF(COUNTIF('مواد المخزون'!$A$2:$A$90,$C1636)&gt;0,"نعم","لا (خارج الجرد)"))</f>
        <v/>
      </c>
    </row>
    <row r="1637" customFormat="false" ht="15" hidden="false" customHeight="false" outlineLevel="0" collapsed="false">
      <c r="A1637" s="103"/>
      <c r="B1637" s="104"/>
      <c r="C1637" s="104"/>
      <c r="F1637" s="107" t="str">
        <f aca="false">IF(OR($C1637="",$D1637=0),"",$E1637/$D1637)</f>
        <v/>
      </c>
      <c r="H1637" s="0" t="str">
        <f aca="false">IF($C1637="","",IF(COUNTIF('مواد المخزون'!$A$2:$A$90,$C1637)&gt;0,"نعم","لا (خارج الجرد)"))</f>
        <v/>
      </c>
    </row>
    <row r="1638" customFormat="false" ht="15" hidden="false" customHeight="false" outlineLevel="0" collapsed="false">
      <c r="A1638" s="103"/>
      <c r="B1638" s="104"/>
      <c r="C1638" s="104"/>
      <c r="F1638" s="107" t="str">
        <f aca="false">IF(OR($C1638="",$D1638=0),"",$E1638/$D1638)</f>
        <v/>
      </c>
      <c r="H1638" s="0" t="str">
        <f aca="false">IF($C1638="","",IF(COUNTIF('مواد المخزون'!$A$2:$A$90,$C1638)&gt;0,"نعم","لا (خارج الجرد)"))</f>
        <v/>
      </c>
    </row>
    <row r="1639" customFormat="false" ht="15" hidden="false" customHeight="false" outlineLevel="0" collapsed="false">
      <c r="A1639" s="103"/>
      <c r="B1639" s="104"/>
      <c r="C1639" s="104"/>
      <c r="F1639" s="107" t="str">
        <f aca="false">IF(OR($C1639="",$D1639=0),"",$E1639/$D1639)</f>
        <v/>
      </c>
      <c r="H1639" s="0" t="str">
        <f aca="false">IF($C1639="","",IF(COUNTIF('مواد المخزون'!$A$2:$A$90,$C1639)&gt;0,"نعم","لا (خارج الجرد)"))</f>
        <v/>
      </c>
    </row>
    <row r="1640" customFormat="false" ht="15" hidden="false" customHeight="false" outlineLevel="0" collapsed="false">
      <c r="A1640" s="103"/>
      <c r="B1640" s="104"/>
      <c r="C1640" s="104"/>
      <c r="F1640" s="107" t="str">
        <f aca="false">IF(OR($C1640="",$D1640=0),"",$E1640/$D1640)</f>
        <v/>
      </c>
      <c r="H1640" s="0" t="str">
        <f aca="false">IF($C1640="","",IF(COUNTIF('مواد المخزون'!$A$2:$A$90,$C1640)&gt;0,"نعم","لا (خارج الجرد)"))</f>
        <v/>
      </c>
    </row>
    <row r="1641" customFormat="false" ht="15" hidden="false" customHeight="false" outlineLevel="0" collapsed="false">
      <c r="A1641" s="103"/>
      <c r="B1641" s="104"/>
      <c r="C1641" s="104"/>
      <c r="F1641" s="107" t="str">
        <f aca="false">IF(OR($C1641="",$D1641=0),"",$E1641/$D1641)</f>
        <v/>
      </c>
      <c r="H1641" s="0" t="str">
        <f aca="false">IF($C1641="","",IF(COUNTIF('مواد المخزون'!$A$2:$A$90,$C1641)&gt;0,"نعم","لا (خارج الجرد)"))</f>
        <v/>
      </c>
    </row>
    <row r="1642" customFormat="false" ht="15" hidden="false" customHeight="false" outlineLevel="0" collapsed="false">
      <c r="A1642" s="103"/>
      <c r="B1642" s="104"/>
      <c r="C1642" s="104"/>
      <c r="F1642" s="107" t="str">
        <f aca="false">IF(OR($C1642="",$D1642=0),"",$E1642/$D1642)</f>
        <v/>
      </c>
      <c r="H1642" s="0" t="str">
        <f aca="false">IF($C1642="","",IF(COUNTIF('مواد المخزون'!$A$2:$A$90,$C1642)&gt;0,"نعم","لا (خارج الجرد)"))</f>
        <v/>
      </c>
    </row>
    <row r="1643" customFormat="false" ht="15" hidden="false" customHeight="false" outlineLevel="0" collapsed="false">
      <c r="A1643" s="103"/>
      <c r="B1643" s="104"/>
      <c r="C1643" s="104"/>
      <c r="F1643" s="107" t="str">
        <f aca="false">IF(OR($C1643="",$D1643=0),"",$E1643/$D1643)</f>
        <v/>
      </c>
      <c r="H1643" s="0" t="str">
        <f aca="false">IF($C1643="","",IF(COUNTIF('مواد المخزون'!$A$2:$A$90,$C1643)&gt;0,"نعم","لا (خارج الجرد)"))</f>
        <v/>
      </c>
    </row>
    <row r="1644" customFormat="false" ht="15" hidden="false" customHeight="false" outlineLevel="0" collapsed="false">
      <c r="A1644" s="103"/>
      <c r="B1644" s="104"/>
      <c r="C1644" s="104"/>
      <c r="F1644" s="107" t="str">
        <f aca="false">IF(OR($C1644="",$D1644=0),"",$E1644/$D1644)</f>
        <v/>
      </c>
      <c r="H1644" s="0" t="str">
        <f aca="false">IF($C1644="","",IF(COUNTIF('مواد المخزون'!$A$2:$A$90,$C1644)&gt;0,"نعم","لا (خارج الجرد)"))</f>
        <v/>
      </c>
    </row>
    <row r="1645" customFormat="false" ht="15" hidden="false" customHeight="false" outlineLevel="0" collapsed="false">
      <c r="A1645" s="103"/>
      <c r="B1645" s="104"/>
      <c r="C1645" s="104"/>
      <c r="F1645" s="107" t="str">
        <f aca="false">IF(OR($C1645="",$D1645=0),"",$E1645/$D1645)</f>
        <v/>
      </c>
      <c r="H1645" s="0" t="str">
        <f aca="false">IF($C1645="","",IF(COUNTIF('مواد المخزون'!$A$2:$A$90,$C1645)&gt;0,"نعم","لا (خارج الجرد)"))</f>
        <v/>
      </c>
    </row>
    <row r="1646" customFormat="false" ht="15" hidden="false" customHeight="false" outlineLevel="0" collapsed="false">
      <c r="A1646" s="103"/>
      <c r="B1646" s="104"/>
      <c r="C1646" s="104"/>
      <c r="F1646" s="107" t="str">
        <f aca="false">IF(OR($C1646="",$D1646=0),"",$E1646/$D1646)</f>
        <v/>
      </c>
      <c r="H1646" s="0" t="str">
        <f aca="false">IF($C1646="","",IF(COUNTIF('مواد المخزون'!$A$2:$A$90,$C1646)&gt;0,"نعم","لا (خارج الجرد)"))</f>
        <v/>
      </c>
    </row>
    <row r="1647" customFormat="false" ht="15" hidden="false" customHeight="false" outlineLevel="0" collapsed="false">
      <c r="A1647" s="103"/>
      <c r="B1647" s="104"/>
      <c r="C1647" s="104"/>
      <c r="F1647" s="107" t="str">
        <f aca="false">IF(OR($C1647="",$D1647=0),"",$E1647/$D1647)</f>
        <v/>
      </c>
      <c r="H1647" s="0" t="str">
        <f aca="false">IF($C1647="","",IF(COUNTIF('مواد المخزون'!$A$2:$A$90,$C1647)&gt;0,"نعم","لا (خارج الجرد)"))</f>
        <v/>
      </c>
    </row>
    <row r="1648" customFormat="false" ht="15" hidden="false" customHeight="false" outlineLevel="0" collapsed="false">
      <c r="A1648" s="103"/>
      <c r="B1648" s="104"/>
      <c r="C1648" s="104"/>
      <c r="F1648" s="107" t="str">
        <f aca="false">IF(OR($C1648="",$D1648=0),"",$E1648/$D1648)</f>
        <v/>
      </c>
      <c r="H1648" s="0" t="str">
        <f aca="false">IF($C1648="","",IF(COUNTIF('مواد المخزون'!$A$2:$A$90,$C1648)&gt;0,"نعم","لا (خارج الجرد)"))</f>
        <v/>
      </c>
    </row>
    <row r="1649" customFormat="false" ht="15" hidden="false" customHeight="false" outlineLevel="0" collapsed="false">
      <c r="A1649" s="103"/>
      <c r="B1649" s="104"/>
      <c r="C1649" s="104"/>
      <c r="F1649" s="107" t="str">
        <f aca="false">IF(OR($C1649="",$D1649=0),"",$E1649/$D1649)</f>
        <v/>
      </c>
      <c r="H1649" s="0" t="str">
        <f aca="false">IF($C1649="","",IF(COUNTIF('مواد المخزون'!$A$2:$A$90,$C1649)&gt;0,"نعم","لا (خارج الجرد)"))</f>
        <v/>
      </c>
    </row>
    <row r="1650" customFormat="false" ht="15" hidden="false" customHeight="false" outlineLevel="0" collapsed="false">
      <c r="A1650" s="103"/>
      <c r="B1650" s="104"/>
      <c r="C1650" s="104"/>
      <c r="F1650" s="107" t="str">
        <f aca="false">IF(OR($C1650="",$D1650=0),"",$E1650/$D1650)</f>
        <v/>
      </c>
      <c r="H1650" s="0" t="str">
        <f aca="false">IF($C1650="","",IF(COUNTIF('مواد المخزون'!$A$2:$A$90,$C1650)&gt;0,"نعم","لا (خارج الجرد)"))</f>
        <v/>
      </c>
    </row>
    <row r="1651" customFormat="false" ht="15" hidden="false" customHeight="false" outlineLevel="0" collapsed="false">
      <c r="A1651" s="103"/>
      <c r="B1651" s="104"/>
      <c r="C1651" s="104"/>
      <c r="F1651" s="107" t="str">
        <f aca="false">IF(OR($C1651="",$D1651=0),"",$E1651/$D1651)</f>
        <v/>
      </c>
      <c r="H1651" s="0" t="str">
        <f aca="false">IF($C1651="","",IF(COUNTIF('مواد المخزون'!$A$2:$A$90,$C1651)&gt;0,"نعم","لا (خارج الجرد)"))</f>
        <v/>
      </c>
    </row>
    <row r="1652" customFormat="false" ht="15" hidden="false" customHeight="false" outlineLevel="0" collapsed="false">
      <c r="A1652" s="103"/>
      <c r="B1652" s="104"/>
      <c r="C1652" s="104"/>
      <c r="F1652" s="107" t="str">
        <f aca="false">IF(OR($C1652="",$D1652=0),"",$E1652/$D1652)</f>
        <v/>
      </c>
      <c r="H1652" s="0" t="str">
        <f aca="false">IF($C1652="","",IF(COUNTIF('مواد المخزون'!$A$2:$A$90,$C1652)&gt;0,"نعم","لا (خارج الجرد)"))</f>
        <v/>
      </c>
    </row>
    <row r="1653" customFormat="false" ht="15" hidden="false" customHeight="false" outlineLevel="0" collapsed="false">
      <c r="A1653" s="103"/>
      <c r="B1653" s="104"/>
      <c r="C1653" s="104"/>
      <c r="F1653" s="107" t="str">
        <f aca="false">IF(OR($C1653="",$D1653=0),"",$E1653/$D1653)</f>
        <v/>
      </c>
      <c r="H1653" s="0" t="str">
        <f aca="false">IF($C1653="","",IF(COUNTIF('مواد المخزون'!$A$2:$A$90,$C1653)&gt;0,"نعم","لا (خارج الجرد)"))</f>
        <v/>
      </c>
    </row>
    <row r="1654" customFormat="false" ht="15" hidden="false" customHeight="false" outlineLevel="0" collapsed="false">
      <c r="A1654" s="103"/>
      <c r="B1654" s="104"/>
      <c r="C1654" s="104"/>
      <c r="F1654" s="107" t="str">
        <f aca="false">IF(OR($C1654="",$D1654=0),"",$E1654/$D1654)</f>
        <v/>
      </c>
      <c r="H1654" s="0" t="str">
        <f aca="false">IF($C1654="","",IF(COUNTIF('مواد المخزون'!$A$2:$A$90,$C1654)&gt;0,"نعم","لا (خارج الجرد)"))</f>
        <v/>
      </c>
    </row>
    <row r="1655" customFormat="false" ht="15" hidden="false" customHeight="false" outlineLevel="0" collapsed="false">
      <c r="A1655" s="103"/>
      <c r="B1655" s="104"/>
      <c r="C1655" s="104"/>
      <c r="F1655" s="107" t="str">
        <f aca="false">IF(OR($C1655="",$D1655=0),"",$E1655/$D1655)</f>
        <v/>
      </c>
      <c r="H1655" s="0" t="str">
        <f aca="false">IF($C1655="","",IF(COUNTIF('مواد المخزون'!$A$2:$A$90,$C1655)&gt;0,"نعم","لا (خارج الجرد)"))</f>
        <v/>
      </c>
    </row>
    <row r="1656" customFormat="false" ht="15" hidden="false" customHeight="false" outlineLevel="0" collapsed="false">
      <c r="A1656" s="103"/>
      <c r="B1656" s="104"/>
      <c r="C1656" s="104"/>
      <c r="F1656" s="107" t="str">
        <f aca="false">IF(OR($C1656="",$D1656=0),"",$E1656/$D1656)</f>
        <v/>
      </c>
      <c r="H1656" s="0" t="str">
        <f aca="false">IF($C1656="","",IF(COUNTIF('مواد المخزون'!$A$2:$A$90,$C1656)&gt;0,"نعم","لا (خارج الجرد)"))</f>
        <v/>
      </c>
    </row>
    <row r="1657" customFormat="false" ht="15" hidden="false" customHeight="false" outlineLevel="0" collapsed="false">
      <c r="A1657" s="103"/>
      <c r="B1657" s="104"/>
      <c r="C1657" s="104"/>
      <c r="F1657" s="107" t="str">
        <f aca="false">IF(OR($C1657="",$D1657=0),"",$E1657/$D1657)</f>
        <v/>
      </c>
      <c r="H1657" s="0" t="str">
        <f aca="false">IF($C1657="","",IF(COUNTIF('مواد المخزون'!$A$2:$A$90,$C1657)&gt;0,"نعم","لا (خارج الجرد)"))</f>
        <v/>
      </c>
    </row>
    <row r="1658" customFormat="false" ht="15" hidden="false" customHeight="false" outlineLevel="0" collapsed="false">
      <c r="A1658" s="103"/>
      <c r="B1658" s="104"/>
      <c r="C1658" s="104"/>
      <c r="F1658" s="107" t="str">
        <f aca="false">IF(OR($C1658="",$D1658=0),"",$E1658/$D1658)</f>
        <v/>
      </c>
      <c r="H1658" s="0" t="str">
        <f aca="false">IF($C1658="","",IF(COUNTIF('مواد المخزون'!$A$2:$A$90,$C1658)&gt;0,"نعم","لا (خارج الجرد)"))</f>
        <v/>
      </c>
    </row>
    <row r="1659" customFormat="false" ht="15" hidden="false" customHeight="false" outlineLevel="0" collapsed="false">
      <c r="A1659" s="103"/>
      <c r="B1659" s="104"/>
      <c r="C1659" s="104"/>
      <c r="F1659" s="107" t="str">
        <f aca="false">IF(OR($C1659="",$D1659=0),"",$E1659/$D1659)</f>
        <v/>
      </c>
      <c r="H1659" s="0" t="str">
        <f aca="false">IF($C1659="","",IF(COUNTIF('مواد المخزون'!$A$2:$A$90,$C1659)&gt;0,"نعم","لا (خارج الجرد)"))</f>
        <v/>
      </c>
    </row>
    <row r="1660" customFormat="false" ht="15" hidden="false" customHeight="false" outlineLevel="0" collapsed="false">
      <c r="A1660" s="103"/>
      <c r="B1660" s="104"/>
      <c r="C1660" s="104"/>
      <c r="F1660" s="107" t="str">
        <f aca="false">IF(OR($C1660="",$D1660=0),"",$E1660/$D1660)</f>
        <v/>
      </c>
      <c r="H1660" s="0" t="str">
        <f aca="false">IF($C1660="","",IF(COUNTIF('مواد المخزون'!$A$2:$A$90,$C1660)&gt;0,"نعم","لا (خارج الجرد)"))</f>
        <v/>
      </c>
    </row>
    <row r="1661" customFormat="false" ht="15" hidden="false" customHeight="false" outlineLevel="0" collapsed="false">
      <c r="A1661" s="103"/>
      <c r="B1661" s="104"/>
      <c r="C1661" s="104"/>
      <c r="F1661" s="107" t="str">
        <f aca="false">IF(OR($C1661="",$D1661=0),"",$E1661/$D1661)</f>
        <v/>
      </c>
      <c r="H1661" s="0" t="str">
        <f aca="false">IF($C1661="","",IF(COUNTIF('مواد المخزون'!$A$2:$A$90,$C1661)&gt;0,"نعم","لا (خارج الجرد)"))</f>
        <v/>
      </c>
    </row>
    <row r="1662" customFormat="false" ht="15" hidden="false" customHeight="false" outlineLevel="0" collapsed="false">
      <c r="A1662" s="103"/>
      <c r="B1662" s="104"/>
      <c r="C1662" s="104"/>
      <c r="F1662" s="107" t="str">
        <f aca="false">IF(OR($C1662="",$D1662=0),"",$E1662/$D1662)</f>
        <v/>
      </c>
      <c r="H1662" s="0" t="str">
        <f aca="false">IF($C1662="","",IF(COUNTIF('مواد المخزون'!$A$2:$A$90,$C1662)&gt;0,"نعم","لا (خارج الجرد)"))</f>
        <v/>
      </c>
    </row>
    <row r="1663" customFormat="false" ht="15" hidden="false" customHeight="false" outlineLevel="0" collapsed="false">
      <c r="A1663" s="103"/>
      <c r="B1663" s="104"/>
      <c r="C1663" s="104"/>
      <c r="F1663" s="107" t="str">
        <f aca="false">IF(OR($C1663="",$D1663=0),"",$E1663/$D1663)</f>
        <v/>
      </c>
      <c r="H1663" s="0" t="str">
        <f aca="false">IF($C1663="","",IF(COUNTIF('مواد المخزون'!$A$2:$A$90,$C1663)&gt;0,"نعم","لا (خارج الجرد)"))</f>
        <v/>
      </c>
    </row>
    <row r="1664" customFormat="false" ht="15" hidden="false" customHeight="false" outlineLevel="0" collapsed="false">
      <c r="A1664" s="103"/>
      <c r="B1664" s="104"/>
      <c r="C1664" s="104"/>
      <c r="F1664" s="107" t="str">
        <f aca="false">IF(OR($C1664="",$D1664=0),"",$E1664/$D1664)</f>
        <v/>
      </c>
      <c r="H1664" s="0" t="str">
        <f aca="false">IF($C1664="","",IF(COUNTIF('مواد المخزون'!$A$2:$A$90,$C1664)&gt;0,"نعم","لا (خارج الجرد)"))</f>
        <v/>
      </c>
    </row>
    <row r="1665" customFormat="false" ht="15" hidden="false" customHeight="false" outlineLevel="0" collapsed="false">
      <c r="A1665" s="103"/>
      <c r="B1665" s="104"/>
      <c r="C1665" s="104"/>
      <c r="F1665" s="107" t="str">
        <f aca="false">IF(OR($C1665="",$D1665=0),"",$E1665/$D1665)</f>
        <v/>
      </c>
      <c r="H1665" s="0" t="str">
        <f aca="false">IF($C1665="","",IF(COUNTIF('مواد المخزون'!$A$2:$A$90,$C1665)&gt;0,"نعم","لا (خارج الجرد)"))</f>
        <v/>
      </c>
    </row>
    <row r="1666" customFormat="false" ht="15" hidden="false" customHeight="false" outlineLevel="0" collapsed="false">
      <c r="A1666" s="103"/>
      <c r="B1666" s="104"/>
      <c r="C1666" s="104"/>
      <c r="F1666" s="107" t="str">
        <f aca="false">IF(OR($C1666="",$D1666=0),"",$E1666/$D1666)</f>
        <v/>
      </c>
      <c r="H1666" s="0" t="str">
        <f aca="false">IF($C1666="","",IF(COUNTIF('مواد المخزون'!$A$2:$A$90,$C1666)&gt;0,"نعم","لا (خارج الجرد)"))</f>
        <v/>
      </c>
    </row>
    <row r="1667" customFormat="false" ht="15" hidden="false" customHeight="false" outlineLevel="0" collapsed="false">
      <c r="A1667" s="103"/>
      <c r="B1667" s="104"/>
      <c r="C1667" s="104"/>
      <c r="F1667" s="107" t="str">
        <f aca="false">IF(OR($C1667="",$D1667=0),"",$E1667/$D1667)</f>
        <v/>
      </c>
      <c r="H1667" s="0" t="str">
        <f aca="false">IF($C1667="","",IF(COUNTIF('مواد المخزون'!$A$2:$A$90,$C1667)&gt;0,"نعم","لا (خارج الجرد)"))</f>
        <v/>
      </c>
    </row>
    <row r="1668" customFormat="false" ht="15" hidden="false" customHeight="false" outlineLevel="0" collapsed="false">
      <c r="A1668" s="103"/>
      <c r="B1668" s="104"/>
      <c r="C1668" s="104"/>
      <c r="F1668" s="107" t="str">
        <f aca="false">IF(OR($C1668="",$D1668=0),"",$E1668/$D1668)</f>
        <v/>
      </c>
      <c r="H1668" s="0" t="str">
        <f aca="false">IF($C1668="","",IF(COUNTIF('مواد المخزون'!$A$2:$A$90,$C1668)&gt;0,"نعم","لا (خارج الجرد)"))</f>
        <v/>
      </c>
    </row>
    <row r="1669" customFormat="false" ht="15" hidden="false" customHeight="false" outlineLevel="0" collapsed="false">
      <c r="A1669" s="103"/>
      <c r="B1669" s="104"/>
      <c r="C1669" s="104"/>
      <c r="F1669" s="107" t="str">
        <f aca="false">IF(OR($C1669="",$D1669=0),"",$E1669/$D1669)</f>
        <v/>
      </c>
      <c r="H1669" s="0" t="str">
        <f aca="false">IF($C1669="","",IF(COUNTIF('مواد المخزون'!$A$2:$A$90,$C1669)&gt;0,"نعم","لا (خارج الجرد)"))</f>
        <v/>
      </c>
    </row>
    <row r="1670" customFormat="false" ht="15" hidden="false" customHeight="false" outlineLevel="0" collapsed="false">
      <c r="A1670" s="103"/>
      <c r="B1670" s="104"/>
      <c r="C1670" s="104"/>
      <c r="F1670" s="107" t="str">
        <f aca="false">IF(OR($C1670="",$D1670=0),"",$E1670/$D1670)</f>
        <v/>
      </c>
      <c r="H1670" s="0" t="str">
        <f aca="false">IF($C1670="","",IF(COUNTIF('مواد المخزون'!$A$2:$A$90,$C1670)&gt;0,"نعم","لا (خارج الجرد)"))</f>
        <v/>
      </c>
    </row>
    <row r="1671" customFormat="false" ht="15" hidden="false" customHeight="false" outlineLevel="0" collapsed="false">
      <c r="A1671" s="103"/>
      <c r="B1671" s="104"/>
      <c r="C1671" s="104"/>
      <c r="F1671" s="107" t="str">
        <f aca="false">IF(OR($C1671="",$D1671=0),"",$E1671/$D1671)</f>
        <v/>
      </c>
      <c r="H1671" s="0" t="str">
        <f aca="false">IF($C1671="","",IF(COUNTIF('مواد المخزون'!$A$2:$A$90,$C1671)&gt;0,"نعم","لا (خارج الجرد)"))</f>
        <v/>
      </c>
    </row>
    <row r="1672" customFormat="false" ht="15" hidden="false" customHeight="false" outlineLevel="0" collapsed="false">
      <c r="A1672" s="103"/>
      <c r="B1672" s="104"/>
      <c r="C1672" s="104"/>
      <c r="F1672" s="107" t="str">
        <f aca="false">IF(OR($C1672="",$D1672=0),"",$E1672/$D1672)</f>
        <v/>
      </c>
      <c r="H1672" s="0" t="str">
        <f aca="false">IF($C1672="","",IF(COUNTIF('مواد المخزون'!$A$2:$A$90,$C1672)&gt;0,"نعم","لا (خارج الجرد)"))</f>
        <v/>
      </c>
    </row>
    <row r="1673" customFormat="false" ht="15" hidden="false" customHeight="false" outlineLevel="0" collapsed="false">
      <c r="A1673" s="103"/>
      <c r="B1673" s="104"/>
      <c r="C1673" s="104"/>
      <c r="F1673" s="107" t="str">
        <f aca="false">IF(OR($C1673="",$D1673=0),"",$E1673/$D1673)</f>
        <v/>
      </c>
      <c r="H1673" s="0" t="str">
        <f aca="false">IF($C1673="","",IF(COUNTIF('مواد المخزون'!$A$2:$A$90,$C1673)&gt;0,"نعم","لا (خارج الجرد)"))</f>
        <v/>
      </c>
    </row>
    <row r="1674" customFormat="false" ht="15" hidden="false" customHeight="false" outlineLevel="0" collapsed="false">
      <c r="A1674" s="103"/>
      <c r="B1674" s="104"/>
      <c r="C1674" s="104"/>
      <c r="F1674" s="107" t="str">
        <f aca="false">IF(OR($C1674="",$D1674=0),"",$E1674/$D1674)</f>
        <v/>
      </c>
      <c r="H1674" s="0" t="str">
        <f aca="false">IF($C1674="","",IF(COUNTIF('مواد المخزون'!$A$2:$A$90,$C1674)&gt;0,"نعم","لا (خارج الجرد)"))</f>
        <v/>
      </c>
    </row>
    <row r="1675" customFormat="false" ht="15" hidden="false" customHeight="false" outlineLevel="0" collapsed="false">
      <c r="A1675" s="103"/>
      <c r="B1675" s="104"/>
      <c r="C1675" s="104"/>
      <c r="F1675" s="107" t="str">
        <f aca="false">IF(OR($C1675="",$D1675=0),"",$E1675/$D1675)</f>
        <v/>
      </c>
      <c r="H1675" s="0" t="str">
        <f aca="false">IF($C1675="","",IF(COUNTIF('مواد المخزون'!$A$2:$A$90,$C1675)&gt;0,"نعم","لا (خارج الجرد)"))</f>
        <v/>
      </c>
    </row>
    <row r="1676" customFormat="false" ht="15" hidden="false" customHeight="false" outlineLevel="0" collapsed="false">
      <c r="A1676" s="103"/>
      <c r="B1676" s="104"/>
      <c r="C1676" s="104"/>
      <c r="F1676" s="107" t="str">
        <f aca="false">IF(OR($C1676="",$D1676=0),"",$E1676/$D1676)</f>
        <v/>
      </c>
      <c r="H1676" s="0" t="str">
        <f aca="false">IF($C1676="","",IF(COUNTIF('مواد المخزون'!$A$2:$A$90,$C1676)&gt;0,"نعم","لا (خارج الجرد)"))</f>
        <v/>
      </c>
    </row>
    <row r="1677" customFormat="false" ht="15" hidden="false" customHeight="false" outlineLevel="0" collapsed="false">
      <c r="A1677" s="103"/>
      <c r="B1677" s="104"/>
      <c r="C1677" s="104"/>
      <c r="F1677" s="107" t="str">
        <f aca="false">IF(OR($C1677="",$D1677=0),"",$E1677/$D1677)</f>
        <v/>
      </c>
      <c r="H1677" s="0" t="str">
        <f aca="false">IF($C1677="","",IF(COUNTIF('مواد المخزون'!$A$2:$A$90,$C1677)&gt;0,"نعم","لا (خارج الجرد)"))</f>
        <v/>
      </c>
    </row>
    <row r="1678" customFormat="false" ht="15" hidden="false" customHeight="false" outlineLevel="0" collapsed="false">
      <c r="A1678" s="103"/>
      <c r="B1678" s="104"/>
      <c r="C1678" s="104"/>
      <c r="F1678" s="107" t="str">
        <f aca="false">IF(OR($C1678="",$D1678=0),"",$E1678/$D1678)</f>
        <v/>
      </c>
      <c r="H1678" s="0" t="str">
        <f aca="false">IF($C1678="","",IF(COUNTIF('مواد المخزون'!$A$2:$A$90,$C1678)&gt;0,"نعم","لا (خارج الجرد)"))</f>
        <v/>
      </c>
    </row>
    <row r="1679" customFormat="false" ht="15" hidden="false" customHeight="false" outlineLevel="0" collapsed="false">
      <c r="A1679" s="103"/>
      <c r="B1679" s="104"/>
      <c r="C1679" s="104"/>
      <c r="F1679" s="107" t="str">
        <f aca="false">IF(OR($C1679="",$D1679=0),"",$E1679/$D1679)</f>
        <v/>
      </c>
      <c r="H1679" s="0" t="str">
        <f aca="false">IF($C1679="","",IF(COUNTIF('مواد المخزون'!$A$2:$A$90,$C1679)&gt;0,"نعم","لا (خارج الجرد)"))</f>
        <v/>
      </c>
    </row>
    <row r="1680" customFormat="false" ht="15" hidden="false" customHeight="false" outlineLevel="0" collapsed="false">
      <c r="A1680" s="103"/>
      <c r="B1680" s="104"/>
      <c r="C1680" s="104"/>
      <c r="F1680" s="107" t="str">
        <f aca="false">IF(OR($C1680="",$D1680=0),"",$E1680/$D1680)</f>
        <v/>
      </c>
      <c r="H1680" s="0" t="str">
        <f aca="false">IF($C1680="","",IF(COUNTIF('مواد المخزون'!$A$2:$A$90,$C1680)&gt;0,"نعم","لا (خارج الجرد)"))</f>
        <v/>
      </c>
    </row>
    <row r="1681" customFormat="false" ht="15" hidden="false" customHeight="false" outlineLevel="0" collapsed="false">
      <c r="A1681" s="103"/>
      <c r="B1681" s="104"/>
      <c r="C1681" s="104"/>
      <c r="F1681" s="107" t="str">
        <f aca="false">IF(OR($C1681="",$D1681=0),"",$E1681/$D1681)</f>
        <v/>
      </c>
      <c r="H1681" s="0" t="str">
        <f aca="false">IF($C1681="","",IF(COUNTIF('مواد المخزون'!$A$2:$A$90,$C1681)&gt;0,"نعم","لا (خارج الجرد)"))</f>
        <v/>
      </c>
    </row>
    <row r="1682" customFormat="false" ht="15" hidden="false" customHeight="false" outlineLevel="0" collapsed="false">
      <c r="A1682" s="103"/>
      <c r="B1682" s="104"/>
      <c r="C1682" s="104"/>
      <c r="F1682" s="107" t="str">
        <f aca="false">IF(OR($C1682="",$D1682=0),"",$E1682/$D1682)</f>
        <v/>
      </c>
      <c r="H1682" s="0" t="str">
        <f aca="false">IF($C1682="","",IF(COUNTIF('مواد المخزون'!$A$2:$A$90,$C1682)&gt;0,"نعم","لا (خارج الجرد)"))</f>
        <v/>
      </c>
    </row>
    <row r="1683" customFormat="false" ht="15" hidden="false" customHeight="false" outlineLevel="0" collapsed="false">
      <c r="A1683" s="103"/>
      <c r="B1683" s="104"/>
      <c r="C1683" s="104"/>
      <c r="F1683" s="107" t="str">
        <f aca="false">IF(OR($C1683="",$D1683=0),"",$E1683/$D1683)</f>
        <v/>
      </c>
      <c r="H1683" s="0" t="str">
        <f aca="false">IF($C1683="","",IF(COUNTIF('مواد المخزون'!$A$2:$A$90,$C1683)&gt;0,"نعم","لا (خارج الجرد)"))</f>
        <v/>
      </c>
    </row>
    <row r="1684" customFormat="false" ht="15" hidden="false" customHeight="false" outlineLevel="0" collapsed="false">
      <c r="A1684" s="103"/>
      <c r="B1684" s="104"/>
      <c r="C1684" s="104"/>
      <c r="F1684" s="107" t="str">
        <f aca="false">IF(OR($C1684="",$D1684=0),"",$E1684/$D1684)</f>
        <v/>
      </c>
      <c r="H1684" s="0" t="str">
        <f aca="false">IF($C1684="","",IF(COUNTIF('مواد المخزون'!$A$2:$A$90,$C1684)&gt;0,"نعم","لا (خارج الجرد)"))</f>
        <v/>
      </c>
    </row>
    <row r="1685" customFormat="false" ht="15" hidden="false" customHeight="false" outlineLevel="0" collapsed="false">
      <c r="A1685" s="103"/>
      <c r="B1685" s="104"/>
      <c r="C1685" s="104"/>
      <c r="F1685" s="107" t="str">
        <f aca="false">IF(OR($C1685="",$D1685=0),"",$E1685/$D1685)</f>
        <v/>
      </c>
      <c r="H1685" s="0" t="str">
        <f aca="false">IF($C1685="","",IF(COUNTIF('مواد المخزون'!$A$2:$A$90,$C1685)&gt;0,"نعم","لا (خارج الجرد)"))</f>
        <v/>
      </c>
    </row>
    <row r="1686" customFormat="false" ht="15" hidden="false" customHeight="false" outlineLevel="0" collapsed="false">
      <c r="A1686" s="103"/>
      <c r="B1686" s="104"/>
      <c r="C1686" s="104"/>
      <c r="F1686" s="107" t="str">
        <f aca="false">IF(OR($C1686="",$D1686=0),"",$E1686/$D1686)</f>
        <v/>
      </c>
      <c r="H1686" s="0" t="str">
        <f aca="false">IF($C1686="","",IF(COUNTIF('مواد المخزون'!$A$2:$A$90,$C1686)&gt;0,"نعم","لا (خارج الجرد)"))</f>
        <v/>
      </c>
    </row>
    <row r="1687" customFormat="false" ht="15" hidden="false" customHeight="false" outlineLevel="0" collapsed="false">
      <c r="A1687" s="103"/>
      <c r="B1687" s="104"/>
      <c r="C1687" s="104"/>
      <c r="F1687" s="107" t="str">
        <f aca="false">IF(OR($C1687="",$D1687=0),"",$E1687/$D1687)</f>
        <v/>
      </c>
      <c r="H1687" s="0" t="str">
        <f aca="false">IF($C1687="","",IF(COUNTIF('مواد المخزون'!$A$2:$A$90,$C1687)&gt;0,"نعم","لا (خارج الجرد)"))</f>
        <v/>
      </c>
    </row>
    <row r="1688" customFormat="false" ht="15" hidden="false" customHeight="false" outlineLevel="0" collapsed="false">
      <c r="A1688" s="103"/>
      <c r="B1688" s="104"/>
      <c r="C1688" s="104"/>
      <c r="F1688" s="107" t="str">
        <f aca="false">IF(OR($C1688="",$D1688=0),"",$E1688/$D1688)</f>
        <v/>
      </c>
      <c r="H1688" s="0" t="str">
        <f aca="false">IF($C1688="","",IF(COUNTIF('مواد المخزون'!$A$2:$A$90,$C1688)&gt;0,"نعم","لا (خارج الجرد)"))</f>
        <v/>
      </c>
    </row>
    <row r="1689" customFormat="false" ht="15" hidden="false" customHeight="false" outlineLevel="0" collapsed="false">
      <c r="A1689" s="103"/>
      <c r="B1689" s="104"/>
      <c r="C1689" s="104"/>
      <c r="F1689" s="107" t="str">
        <f aca="false">IF(OR($C1689="",$D1689=0),"",$E1689/$D1689)</f>
        <v/>
      </c>
      <c r="H1689" s="0" t="str">
        <f aca="false">IF($C1689="","",IF(COUNTIF('مواد المخزون'!$A$2:$A$90,$C1689)&gt;0,"نعم","لا (خارج الجرد)"))</f>
        <v/>
      </c>
    </row>
    <row r="1690" customFormat="false" ht="15" hidden="false" customHeight="false" outlineLevel="0" collapsed="false">
      <c r="A1690" s="103"/>
      <c r="B1690" s="104"/>
      <c r="C1690" s="104"/>
      <c r="F1690" s="107" t="str">
        <f aca="false">IF(OR($C1690="",$D1690=0),"",$E1690/$D1690)</f>
        <v/>
      </c>
      <c r="H1690" s="0" t="str">
        <f aca="false">IF($C1690="","",IF(COUNTIF('مواد المخزون'!$A$2:$A$90,$C1690)&gt;0,"نعم","لا (خارج الجرد)"))</f>
        <v/>
      </c>
    </row>
    <row r="1691" customFormat="false" ht="15" hidden="false" customHeight="false" outlineLevel="0" collapsed="false">
      <c r="A1691" s="103"/>
      <c r="B1691" s="104"/>
      <c r="C1691" s="104"/>
      <c r="F1691" s="107" t="str">
        <f aca="false">IF(OR($C1691="",$D1691=0),"",$E1691/$D1691)</f>
        <v/>
      </c>
      <c r="H1691" s="0" t="str">
        <f aca="false">IF($C1691="","",IF(COUNTIF('مواد المخزون'!$A$2:$A$90,$C1691)&gt;0,"نعم","لا (خارج الجرد)"))</f>
        <v/>
      </c>
    </row>
    <row r="1692" customFormat="false" ht="15" hidden="false" customHeight="false" outlineLevel="0" collapsed="false">
      <c r="A1692" s="103"/>
      <c r="B1692" s="104"/>
      <c r="C1692" s="104"/>
      <c r="F1692" s="107" t="str">
        <f aca="false">IF(OR($C1692="",$D1692=0),"",$E1692/$D1692)</f>
        <v/>
      </c>
      <c r="H1692" s="0" t="str">
        <f aca="false">IF($C1692="","",IF(COUNTIF('مواد المخزون'!$A$2:$A$90,$C1692)&gt;0,"نعم","لا (خارج الجرد)"))</f>
        <v/>
      </c>
    </row>
    <row r="1693" customFormat="false" ht="15" hidden="false" customHeight="false" outlineLevel="0" collapsed="false">
      <c r="A1693" s="103"/>
      <c r="B1693" s="104"/>
      <c r="C1693" s="104"/>
      <c r="F1693" s="107" t="str">
        <f aca="false">IF(OR($C1693="",$D1693=0),"",$E1693/$D1693)</f>
        <v/>
      </c>
      <c r="H1693" s="0" t="str">
        <f aca="false">IF($C1693="","",IF(COUNTIF('مواد المخزون'!$A$2:$A$90,$C1693)&gt;0,"نعم","لا (خارج الجرد)"))</f>
        <v/>
      </c>
    </row>
    <row r="1694" customFormat="false" ht="15" hidden="false" customHeight="false" outlineLevel="0" collapsed="false">
      <c r="A1694" s="103"/>
      <c r="B1694" s="104"/>
      <c r="C1694" s="104"/>
      <c r="F1694" s="107" t="str">
        <f aca="false">IF(OR($C1694="",$D1694=0),"",$E1694/$D1694)</f>
        <v/>
      </c>
      <c r="H1694" s="0" t="str">
        <f aca="false">IF($C1694="","",IF(COUNTIF('مواد المخزون'!$A$2:$A$90,$C1694)&gt;0,"نعم","لا (خارج الجرد)"))</f>
        <v/>
      </c>
    </row>
    <row r="1695" customFormat="false" ht="15" hidden="false" customHeight="false" outlineLevel="0" collapsed="false">
      <c r="A1695" s="103"/>
      <c r="B1695" s="104"/>
      <c r="C1695" s="104"/>
      <c r="F1695" s="107" t="str">
        <f aca="false">IF(OR($C1695="",$D1695=0),"",$E1695/$D1695)</f>
        <v/>
      </c>
      <c r="H1695" s="0" t="str">
        <f aca="false">IF($C1695="","",IF(COUNTIF('مواد المخزون'!$A$2:$A$90,$C1695)&gt;0,"نعم","لا (خارج الجرد)"))</f>
        <v/>
      </c>
    </row>
    <row r="1696" customFormat="false" ht="15" hidden="false" customHeight="false" outlineLevel="0" collapsed="false">
      <c r="A1696" s="103"/>
      <c r="B1696" s="104"/>
      <c r="C1696" s="104"/>
      <c r="F1696" s="107" t="str">
        <f aca="false">IF(OR($C1696="",$D1696=0),"",$E1696/$D1696)</f>
        <v/>
      </c>
      <c r="H1696" s="0" t="str">
        <f aca="false">IF($C1696="","",IF(COUNTIF('مواد المخزون'!$A$2:$A$90,$C1696)&gt;0,"نعم","لا (خارج الجرد)"))</f>
        <v/>
      </c>
    </row>
    <row r="1697" customFormat="false" ht="15" hidden="false" customHeight="false" outlineLevel="0" collapsed="false">
      <c r="A1697" s="103"/>
      <c r="B1697" s="104"/>
      <c r="C1697" s="104"/>
      <c r="F1697" s="107" t="str">
        <f aca="false">IF(OR($C1697="",$D1697=0),"",$E1697/$D1697)</f>
        <v/>
      </c>
      <c r="H1697" s="0" t="str">
        <f aca="false">IF($C1697="","",IF(COUNTIF('مواد المخزون'!$A$2:$A$90,$C1697)&gt;0,"نعم","لا (خارج الجرد)"))</f>
        <v/>
      </c>
    </row>
    <row r="1698" customFormat="false" ht="15" hidden="false" customHeight="false" outlineLevel="0" collapsed="false">
      <c r="A1698" s="103"/>
      <c r="B1698" s="104"/>
      <c r="C1698" s="104"/>
      <c r="F1698" s="107" t="str">
        <f aca="false">IF(OR($C1698="",$D1698=0),"",$E1698/$D1698)</f>
        <v/>
      </c>
      <c r="H1698" s="0" t="str">
        <f aca="false">IF($C1698="","",IF(COUNTIF('مواد المخزون'!$A$2:$A$90,$C1698)&gt;0,"نعم","لا (خارج الجرد)"))</f>
        <v/>
      </c>
    </row>
    <row r="1699" customFormat="false" ht="15" hidden="false" customHeight="false" outlineLevel="0" collapsed="false">
      <c r="A1699" s="103"/>
      <c r="B1699" s="104"/>
      <c r="C1699" s="104"/>
      <c r="F1699" s="107" t="str">
        <f aca="false">IF(OR($C1699="",$D1699=0),"",$E1699/$D1699)</f>
        <v/>
      </c>
      <c r="H1699" s="0" t="str">
        <f aca="false">IF($C1699="","",IF(COUNTIF('مواد المخزون'!$A$2:$A$90,$C1699)&gt;0,"نعم","لا (خارج الجرد)"))</f>
        <v/>
      </c>
    </row>
    <row r="1700" customFormat="false" ht="15" hidden="false" customHeight="false" outlineLevel="0" collapsed="false">
      <c r="A1700" s="103"/>
      <c r="B1700" s="104"/>
      <c r="C1700" s="104"/>
      <c r="F1700" s="107" t="str">
        <f aca="false">IF(OR($C1700="",$D1700=0),"",$E1700/$D1700)</f>
        <v/>
      </c>
      <c r="H1700" s="0" t="str">
        <f aca="false">IF($C1700="","",IF(COUNTIF('مواد المخزون'!$A$2:$A$90,$C1700)&gt;0,"نعم","لا (خارج الجرد)"))</f>
        <v/>
      </c>
    </row>
    <row r="1701" customFormat="false" ht="15" hidden="false" customHeight="false" outlineLevel="0" collapsed="false">
      <c r="A1701" s="103"/>
      <c r="B1701" s="104"/>
      <c r="C1701" s="104"/>
      <c r="F1701" s="107" t="str">
        <f aca="false">IF(OR($C1701="",$D1701=0),"",$E1701/$D1701)</f>
        <v/>
      </c>
      <c r="H1701" s="0" t="str">
        <f aca="false">IF($C1701="","",IF(COUNTIF('مواد المخزون'!$A$2:$A$90,$C1701)&gt;0,"نعم","لا (خارج الجرد)"))</f>
        <v/>
      </c>
    </row>
    <row r="1702" customFormat="false" ht="15" hidden="false" customHeight="false" outlineLevel="0" collapsed="false">
      <c r="A1702" s="103"/>
      <c r="B1702" s="104"/>
      <c r="C1702" s="104"/>
      <c r="F1702" s="107" t="str">
        <f aca="false">IF(OR($C1702="",$D1702=0),"",$E1702/$D1702)</f>
        <v/>
      </c>
      <c r="H1702" s="0" t="str">
        <f aca="false">IF($C1702="","",IF(COUNTIF('مواد المخزون'!$A$2:$A$90,$C1702)&gt;0,"نعم","لا (خارج الجرد)"))</f>
        <v/>
      </c>
    </row>
    <row r="1703" customFormat="false" ht="15" hidden="false" customHeight="false" outlineLevel="0" collapsed="false">
      <c r="A1703" s="103"/>
      <c r="B1703" s="104"/>
      <c r="C1703" s="104"/>
      <c r="F1703" s="107" t="str">
        <f aca="false">IF(OR($C1703="",$D1703=0),"",$E1703/$D1703)</f>
        <v/>
      </c>
      <c r="H1703" s="0" t="str">
        <f aca="false">IF($C1703="","",IF(COUNTIF('مواد المخزون'!$A$2:$A$90,$C1703)&gt;0,"نعم","لا (خارج الجرد)"))</f>
        <v/>
      </c>
    </row>
    <row r="1704" customFormat="false" ht="15" hidden="false" customHeight="false" outlineLevel="0" collapsed="false">
      <c r="A1704" s="103"/>
      <c r="B1704" s="104"/>
      <c r="C1704" s="104"/>
      <c r="F1704" s="107" t="str">
        <f aca="false">IF(OR($C1704="",$D1704=0),"",$E1704/$D1704)</f>
        <v/>
      </c>
      <c r="H1704" s="0" t="str">
        <f aca="false">IF($C1704="","",IF(COUNTIF('مواد المخزون'!$A$2:$A$90,$C1704)&gt;0,"نعم","لا (خارج الجرد)"))</f>
        <v/>
      </c>
    </row>
    <row r="1705" customFormat="false" ht="15" hidden="false" customHeight="false" outlineLevel="0" collapsed="false">
      <c r="A1705" s="103"/>
      <c r="B1705" s="104"/>
      <c r="C1705" s="104"/>
      <c r="F1705" s="107" t="str">
        <f aca="false">IF(OR($C1705="",$D1705=0),"",$E1705/$D1705)</f>
        <v/>
      </c>
      <c r="H1705" s="0" t="str">
        <f aca="false">IF($C1705="","",IF(COUNTIF('مواد المخزون'!$A$2:$A$90,$C1705)&gt;0,"نعم","لا (خارج الجرد)"))</f>
        <v/>
      </c>
    </row>
    <row r="1706" customFormat="false" ht="15" hidden="false" customHeight="false" outlineLevel="0" collapsed="false">
      <c r="A1706" s="103"/>
      <c r="B1706" s="104"/>
      <c r="C1706" s="104"/>
      <c r="F1706" s="107" t="str">
        <f aca="false">IF(OR($C1706="",$D1706=0),"",$E1706/$D1706)</f>
        <v/>
      </c>
      <c r="H1706" s="0" t="str">
        <f aca="false">IF($C1706="","",IF(COUNTIF('مواد المخزون'!$A$2:$A$90,$C1706)&gt;0,"نعم","لا (خارج الجرد)"))</f>
        <v/>
      </c>
    </row>
    <row r="1707" customFormat="false" ht="15" hidden="false" customHeight="false" outlineLevel="0" collapsed="false">
      <c r="A1707" s="103"/>
      <c r="B1707" s="104"/>
      <c r="C1707" s="104"/>
      <c r="F1707" s="107" t="str">
        <f aca="false">IF(OR($C1707="",$D1707=0),"",$E1707/$D1707)</f>
        <v/>
      </c>
      <c r="H1707" s="0" t="str">
        <f aca="false">IF($C1707="","",IF(COUNTIF('مواد المخزون'!$A$2:$A$90,$C1707)&gt;0,"نعم","لا (خارج الجرد)"))</f>
        <v/>
      </c>
    </row>
    <row r="1708" customFormat="false" ht="15" hidden="false" customHeight="false" outlineLevel="0" collapsed="false">
      <c r="A1708" s="103"/>
      <c r="B1708" s="104"/>
      <c r="C1708" s="104"/>
      <c r="F1708" s="107" t="str">
        <f aca="false">IF(OR($C1708="",$D1708=0),"",$E1708/$D1708)</f>
        <v/>
      </c>
      <c r="H1708" s="0" t="str">
        <f aca="false">IF($C1708="","",IF(COUNTIF('مواد المخزون'!$A$2:$A$90,$C1708)&gt;0,"نعم","لا (خارج الجرد)"))</f>
        <v/>
      </c>
    </row>
    <row r="1709" customFormat="false" ht="15" hidden="false" customHeight="false" outlineLevel="0" collapsed="false">
      <c r="A1709" s="103"/>
      <c r="B1709" s="104"/>
      <c r="C1709" s="104"/>
      <c r="F1709" s="107" t="str">
        <f aca="false">IF(OR($C1709="",$D1709=0),"",$E1709/$D1709)</f>
        <v/>
      </c>
      <c r="H1709" s="0" t="str">
        <f aca="false">IF($C1709="","",IF(COUNTIF('مواد المخزون'!$A$2:$A$90,$C1709)&gt;0,"نعم","لا (خارج الجرد)"))</f>
        <v/>
      </c>
    </row>
    <row r="1710" customFormat="false" ht="15" hidden="false" customHeight="false" outlineLevel="0" collapsed="false">
      <c r="A1710" s="103"/>
      <c r="B1710" s="104"/>
      <c r="C1710" s="104"/>
      <c r="F1710" s="107" t="str">
        <f aca="false">IF(OR($C1710="",$D1710=0),"",$E1710/$D1710)</f>
        <v/>
      </c>
      <c r="H1710" s="0" t="str">
        <f aca="false">IF($C1710="","",IF(COUNTIF('مواد المخزون'!$A$2:$A$90,$C1710)&gt;0,"نعم","لا (خارج الجرد)"))</f>
        <v/>
      </c>
    </row>
    <row r="1711" customFormat="false" ht="15" hidden="false" customHeight="false" outlineLevel="0" collapsed="false">
      <c r="A1711" s="103"/>
      <c r="B1711" s="104"/>
      <c r="C1711" s="104"/>
      <c r="F1711" s="107" t="str">
        <f aca="false">IF(OR($C1711="",$D1711=0),"",$E1711/$D1711)</f>
        <v/>
      </c>
      <c r="H1711" s="0" t="str">
        <f aca="false">IF($C1711="","",IF(COUNTIF('مواد المخزون'!$A$2:$A$90,$C1711)&gt;0,"نعم","لا (خارج الجرد)"))</f>
        <v/>
      </c>
    </row>
    <row r="1712" customFormat="false" ht="15" hidden="false" customHeight="false" outlineLevel="0" collapsed="false">
      <c r="A1712" s="103"/>
      <c r="B1712" s="104"/>
      <c r="C1712" s="104"/>
      <c r="F1712" s="107" t="str">
        <f aca="false">IF(OR($C1712="",$D1712=0),"",$E1712/$D1712)</f>
        <v/>
      </c>
      <c r="H1712" s="0" t="str">
        <f aca="false">IF($C1712="","",IF(COUNTIF('مواد المخزون'!$A$2:$A$90,$C1712)&gt;0,"نعم","لا (خارج الجرد)"))</f>
        <v/>
      </c>
    </row>
    <row r="1713" customFormat="false" ht="15" hidden="false" customHeight="false" outlineLevel="0" collapsed="false">
      <c r="A1713" s="103"/>
      <c r="B1713" s="104"/>
      <c r="C1713" s="104"/>
      <c r="F1713" s="107" t="str">
        <f aca="false">IF(OR($C1713="",$D1713=0),"",$E1713/$D1713)</f>
        <v/>
      </c>
      <c r="H1713" s="0" t="str">
        <f aca="false">IF($C1713="","",IF(COUNTIF('مواد المخزون'!$A$2:$A$90,$C1713)&gt;0,"نعم","لا (خارج الجرد)"))</f>
        <v/>
      </c>
    </row>
    <row r="1714" customFormat="false" ht="15" hidden="false" customHeight="false" outlineLevel="0" collapsed="false">
      <c r="A1714" s="103"/>
      <c r="B1714" s="104"/>
      <c r="C1714" s="104"/>
      <c r="F1714" s="107" t="str">
        <f aca="false">IF(OR($C1714="",$D1714=0),"",$E1714/$D1714)</f>
        <v/>
      </c>
      <c r="H1714" s="0" t="str">
        <f aca="false">IF($C1714="","",IF(COUNTIF('مواد المخزون'!$A$2:$A$90,$C1714)&gt;0,"نعم","لا (خارج الجرد)"))</f>
        <v/>
      </c>
    </row>
    <row r="1715" customFormat="false" ht="15" hidden="false" customHeight="false" outlineLevel="0" collapsed="false">
      <c r="A1715" s="103"/>
      <c r="B1715" s="104"/>
      <c r="C1715" s="104"/>
      <c r="F1715" s="107" t="str">
        <f aca="false">IF(OR($C1715="",$D1715=0),"",$E1715/$D1715)</f>
        <v/>
      </c>
      <c r="H1715" s="0" t="str">
        <f aca="false">IF($C1715="","",IF(COUNTIF('مواد المخزون'!$A$2:$A$90,$C1715)&gt;0,"نعم","لا (خارج الجرد)"))</f>
        <v/>
      </c>
    </row>
    <row r="1716" customFormat="false" ht="15" hidden="false" customHeight="false" outlineLevel="0" collapsed="false">
      <c r="A1716" s="103"/>
      <c r="B1716" s="104"/>
      <c r="C1716" s="104"/>
      <c r="F1716" s="107" t="str">
        <f aca="false">IF(OR($C1716="",$D1716=0),"",$E1716/$D1716)</f>
        <v/>
      </c>
      <c r="H1716" s="0" t="str">
        <f aca="false">IF($C1716="","",IF(COUNTIF('مواد المخزون'!$A$2:$A$90,$C1716)&gt;0,"نعم","لا (خارج الجرد)"))</f>
        <v/>
      </c>
    </row>
    <row r="1717" customFormat="false" ht="15" hidden="false" customHeight="false" outlineLevel="0" collapsed="false">
      <c r="A1717" s="103"/>
      <c r="B1717" s="104"/>
      <c r="C1717" s="104"/>
      <c r="F1717" s="107" t="str">
        <f aca="false">IF(OR($C1717="",$D1717=0),"",$E1717/$D1717)</f>
        <v/>
      </c>
      <c r="H1717" s="0" t="str">
        <f aca="false">IF($C1717="","",IF(COUNTIF('مواد المخزون'!$A$2:$A$90,$C1717)&gt;0,"نعم","لا (خارج الجرد)"))</f>
        <v/>
      </c>
    </row>
    <row r="1718" customFormat="false" ht="15" hidden="false" customHeight="false" outlineLevel="0" collapsed="false">
      <c r="A1718" s="103"/>
      <c r="B1718" s="104"/>
      <c r="C1718" s="104"/>
      <c r="F1718" s="107" t="str">
        <f aca="false">IF(OR($C1718="",$D1718=0),"",$E1718/$D1718)</f>
        <v/>
      </c>
      <c r="H1718" s="0" t="str">
        <f aca="false">IF($C1718="","",IF(COUNTIF('مواد المخزون'!$A$2:$A$90,$C1718)&gt;0,"نعم","لا (خارج الجرد)"))</f>
        <v/>
      </c>
    </row>
    <row r="1719" customFormat="false" ht="15" hidden="false" customHeight="false" outlineLevel="0" collapsed="false">
      <c r="A1719" s="103"/>
      <c r="B1719" s="104"/>
      <c r="C1719" s="104"/>
      <c r="F1719" s="107" t="str">
        <f aca="false">IF(OR($C1719="",$D1719=0),"",$E1719/$D1719)</f>
        <v/>
      </c>
      <c r="H1719" s="0" t="str">
        <f aca="false">IF($C1719="","",IF(COUNTIF('مواد المخزون'!$A$2:$A$90,$C1719)&gt;0,"نعم","لا (خارج الجرد)"))</f>
        <v/>
      </c>
    </row>
    <row r="1720" customFormat="false" ht="15" hidden="false" customHeight="false" outlineLevel="0" collapsed="false">
      <c r="A1720" s="103"/>
      <c r="B1720" s="104"/>
      <c r="C1720" s="104"/>
      <c r="F1720" s="107" t="str">
        <f aca="false">IF(OR($C1720="",$D1720=0),"",$E1720/$D1720)</f>
        <v/>
      </c>
      <c r="H1720" s="0" t="str">
        <f aca="false">IF($C1720="","",IF(COUNTIF('مواد المخزون'!$A$2:$A$90,$C1720)&gt;0,"نعم","لا (خارج الجرد)"))</f>
        <v/>
      </c>
    </row>
    <row r="1721" customFormat="false" ht="15" hidden="false" customHeight="false" outlineLevel="0" collapsed="false">
      <c r="A1721" s="103"/>
      <c r="B1721" s="104"/>
      <c r="C1721" s="104"/>
      <c r="F1721" s="107" t="str">
        <f aca="false">IF(OR($C1721="",$D1721=0),"",$E1721/$D1721)</f>
        <v/>
      </c>
      <c r="H1721" s="0" t="str">
        <f aca="false">IF($C1721="","",IF(COUNTIF('مواد المخزون'!$A$2:$A$90,$C1721)&gt;0,"نعم","لا (خارج الجرد)"))</f>
        <v/>
      </c>
    </row>
    <row r="1722" customFormat="false" ht="15" hidden="false" customHeight="false" outlineLevel="0" collapsed="false">
      <c r="A1722" s="103"/>
      <c r="B1722" s="104"/>
      <c r="C1722" s="104"/>
      <c r="F1722" s="107" t="str">
        <f aca="false">IF(OR($C1722="",$D1722=0),"",$E1722/$D1722)</f>
        <v/>
      </c>
      <c r="H1722" s="0" t="str">
        <f aca="false">IF($C1722="","",IF(COUNTIF('مواد المخزون'!$A$2:$A$90,$C1722)&gt;0,"نعم","لا (خارج الجرد)"))</f>
        <v/>
      </c>
    </row>
    <row r="1723" customFormat="false" ht="15" hidden="false" customHeight="false" outlineLevel="0" collapsed="false">
      <c r="A1723" s="103"/>
      <c r="B1723" s="104"/>
      <c r="C1723" s="104"/>
      <c r="F1723" s="107" t="str">
        <f aca="false">IF(OR($C1723="",$D1723=0),"",$E1723/$D1723)</f>
        <v/>
      </c>
      <c r="H1723" s="0" t="str">
        <f aca="false">IF($C1723="","",IF(COUNTIF('مواد المخزون'!$A$2:$A$90,$C1723)&gt;0,"نعم","لا (خارج الجرد)"))</f>
        <v/>
      </c>
    </row>
    <row r="1724" customFormat="false" ht="15" hidden="false" customHeight="false" outlineLevel="0" collapsed="false">
      <c r="A1724" s="103"/>
      <c r="B1724" s="104"/>
      <c r="C1724" s="104"/>
      <c r="F1724" s="107" t="str">
        <f aca="false">IF(OR($C1724="",$D1724=0),"",$E1724/$D1724)</f>
        <v/>
      </c>
      <c r="H1724" s="0" t="str">
        <f aca="false">IF($C1724="","",IF(COUNTIF('مواد المخزون'!$A$2:$A$90,$C1724)&gt;0,"نعم","لا (خارج الجرد)"))</f>
        <v/>
      </c>
    </row>
    <row r="1725" customFormat="false" ht="15" hidden="false" customHeight="false" outlineLevel="0" collapsed="false">
      <c r="A1725" s="103"/>
      <c r="B1725" s="104"/>
      <c r="C1725" s="104"/>
      <c r="F1725" s="107" t="str">
        <f aca="false">IF(OR($C1725="",$D1725=0),"",$E1725/$D1725)</f>
        <v/>
      </c>
      <c r="H1725" s="0" t="str">
        <f aca="false">IF($C1725="","",IF(COUNTIF('مواد المخزون'!$A$2:$A$90,$C1725)&gt;0,"نعم","لا (خارج الجرد)"))</f>
        <v/>
      </c>
    </row>
    <row r="1726" customFormat="false" ht="15" hidden="false" customHeight="false" outlineLevel="0" collapsed="false">
      <c r="A1726" s="103"/>
      <c r="B1726" s="104"/>
      <c r="C1726" s="104"/>
      <c r="F1726" s="107" t="str">
        <f aca="false">IF(OR($C1726="",$D1726=0),"",$E1726/$D1726)</f>
        <v/>
      </c>
      <c r="H1726" s="0" t="str">
        <f aca="false">IF($C1726="","",IF(COUNTIF('مواد المخزون'!$A$2:$A$90,$C1726)&gt;0,"نعم","لا (خارج الجرد)"))</f>
        <v/>
      </c>
    </row>
    <row r="1727" customFormat="false" ht="15" hidden="false" customHeight="false" outlineLevel="0" collapsed="false">
      <c r="A1727" s="103"/>
      <c r="B1727" s="104"/>
      <c r="C1727" s="104"/>
      <c r="F1727" s="107" t="str">
        <f aca="false">IF(OR($C1727="",$D1727=0),"",$E1727/$D1727)</f>
        <v/>
      </c>
      <c r="H1727" s="0" t="str">
        <f aca="false">IF($C1727="","",IF(COUNTIF('مواد المخزون'!$A$2:$A$90,$C1727)&gt;0,"نعم","لا (خارج الجرد)"))</f>
        <v/>
      </c>
    </row>
    <row r="1728" customFormat="false" ht="15" hidden="false" customHeight="false" outlineLevel="0" collapsed="false">
      <c r="A1728" s="103"/>
      <c r="B1728" s="104"/>
      <c r="C1728" s="104"/>
      <c r="F1728" s="107" t="str">
        <f aca="false">IF(OR($C1728="",$D1728=0),"",$E1728/$D1728)</f>
        <v/>
      </c>
      <c r="H1728" s="0" t="str">
        <f aca="false">IF($C1728="","",IF(COUNTIF('مواد المخزون'!$A$2:$A$90,$C1728)&gt;0,"نعم","لا (خارج الجرد)"))</f>
        <v/>
      </c>
    </row>
    <row r="1729" customFormat="false" ht="15" hidden="false" customHeight="false" outlineLevel="0" collapsed="false">
      <c r="A1729" s="103"/>
      <c r="B1729" s="104"/>
      <c r="C1729" s="104"/>
      <c r="F1729" s="107" t="str">
        <f aca="false">IF(OR($C1729="",$D1729=0),"",$E1729/$D1729)</f>
        <v/>
      </c>
      <c r="H1729" s="0" t="str">
        <f aca="false">IF($C1729="","",IF(COUNTIF('مواد المخزون'!$A$2:$A$90,$C1729)&gt;0,"نعم","لا (خارج الجرد)"))</f>
        <v/>
      </c>
    </row>
    <row r="1730" customFormat="false" ht="15" hidden="false" customHeight="false" outlineLevel="0" collapsed="false">
      <c r="A1730" s="103"/>
      <c r="B1730" s="104"/>
      <c r="C1730" s="104"/>
      <c r="F1730" s="107" t="str">
        <f aca="false">IF(OR($C1730="",$D1730=0),"",$E1730/$D1730)</f>
        <v/>
      </c>
      <c r="H1730" s="0" t="str">
        <f aca="false">IF($C1730="","",IF(COUNTIF('مواد المخزون'!$A$2:$A$90,$C1730)&gt;0,"نعم","لا (خارج الجرد)"))</f>
        <v/>
      </c>
    </row>
    <row r="1731" customFormat="false" ht="15" hidden="false" customHeight="false" outlineLevel="0" collapsed="false">
      <c r="A1731" s="103"/>
      <c r="B1731" s="104"/>
      <c r="C1731" s="104"/>
      <c r="F1731" s="107" t="str">
        <f aca="false">IF(OR($C1731="",$D1731=0),"",$E1731/$D1731)</f>
        <v/>
      </c>
      <c r="H1731" s="0" t="str">
        <f aca="false">IF($C1731="","",IF(COUNTIF('مواد المخزون'!$A$2:$A$90,$C1731)&gt;0,"نعم","لا (خارج الجرد)"))</f>
        <v/>
      </c>
    </row>
    <row r="1732" customFormat="false" ht="15" hidden="false" customHeight="false" outlineLevel="0" collapsed="false">
      <c r="A1732" s="103"/>
      <c r="B1732" s="104"/>
      <c r="C1732" s="104"/>
      <c r="F1732" s="107" t="str">
        <f aca="false">IF(OR($C1732="",$D1732=0),"",$E1732/$D1732)</f>
        <v/>
      </c>
      <c r="H1732" s="0" t="str">
        <f aca="false">IF($C1732="","",IF(COUNTIF('مواد المخزون'!$A$2:$A$90,$C1732)&gt;0,"نعم","لا (خارج الجرد)"))</f>
        <v/>
      </c>
    </row>
    <row r="1733" customFormat="false" ht="15" hidden="false" customHeight="false" outlineLevel="0" collapsed="false">
      <c r="A1733" s="103"/>
      <c r="B1733" s="104"/>
      <c r="C1733" s="104"/>
      <c r="F1733" s="107" t="str">
        <f aca="false">IF(OR($C1733="",$D1733=0),"",$E1733/$D1733)</f>
        <v/>
      </c>
      <c r="H1733" s="0" t="str">
        <f aca="false">IF($C1733="","",IF(COUNTIF('مواد المخزون'!$A$2:$A$90,$C1733)&gt;0,"نعم","لا (خارج الجرد)"))</f>
        <v/>
      </c>
    </row>
    <row r="1734" customFormat="false" ht="15" hidden="false" customHeight="false" outlineLevel="0" collapsed="false">
      <c r="A1734" s="103"/>
      <c r="B1734" s="104"/>
      <c r="C1734" s="104"/>
      <c r="F1734" s="107" t="str">
        <f aca="false">IF(OR($C1734="",$D1734=0),"",$E1734/$D1734)</f>
        <v/>
      </c>
      <c r="H1734" s="0" t="str">
        <f aca="false">IF($C1734="","",IF(COUNTIF('مواد المخزون'!$A$2:$A$90,$C1734)&gt;0,"نعم","لا (خارج الجرد)"))</f>
        <v/>
      </c>
    </row>
    <row r="1735" customFormat="false" ht="15" hidden="false" customHeight="false" outlineLevel="0" collapsed="false">
      <c r="A1735" s="103"/>
      <c r="B1735" s="104"/>
      <c r="C1735" s="104"/>
      <c r="F1735" s="107" t="str">
        <f aca="false">IF(OR($C1735="",$D1735=0),"",$E1735/$D1735)</f>
        <v/>
      </c>
      <c r="H1735" s="0" t="str">
        <f aca="false">IF($C1735="","",IF(COUNTIF('مواد المخزون'!$A$2:$A$90,$C1735)&gt;0,"نعم","لا (خارج الجرد)"))</f>
        <v/>
      </c>
    </row>
    <row r="1736" customFormat="false" ht="15" hidden="false" customHeight="false" outlineLevel="0" collapsed="false">
      <c r="A1736" s="103"/>
      <c r="B1736" s="104"/>
      <c r="C1736" s="104"/>
      <c r="F1736" s="107" t="str">
        <f aca="false">IF(OR($C1736="",$D1736=0),"",$E1736/$D1736)</f>
        <v/>
      </c>
      <c r="H1736" s="0" t="str">
        <f aca="false">IF($C1736="","",IF(COUNTIF('مواد المخزون'!$A$2:$A$90,$C1736)&gt;0,"نعم","لا (خارج الجرد)"))</f>
        <v/>
      </c>
    </row>
    <row r="1737" customFormat="false" ht="15" hidden="false" customHeight="false" outlineLevel="0" collapsed="false">
      <c r="A1737" s="103"/>
      <c r="B1737" s="104"/>
      <c r="C1737" s="104"/>
      <c r="F1737" s="107" t="str">
        <f aca="false">IF(OR($C1737="",$D1737=0),"",$E1737/$D1737)</f>
        <v/>
      </c>
      <c r="H1737" s="0" t="str">
        <f aca="false">IF($C1737="","",IF(COUNTIF('مواد المخزون'!$A$2:$A$90,$C1737)&gt;0,"نعم","لا (خارج الجرد)"))</f>
        <v/>
      </c>
    </row>
    <row r="1738" customFormat="false" ht="15" hidden="false" customHeight="false" outlineLevel="0" collapsed="false">
      <c r="A1738" s="103"/>
      <c r="B1738" s="104"/>
      <c r="C1738" s="104"/>
      <c r="F1738" s="107" t="str">
        <f aca="false">IF(OR($C1738="",$D1738=0),"",$E1738/$D1738)</f>
        <v/>
      </c>
      <c r="H1738" s="0" t="str">
        <f aca="false">IF($C1738="","",IF(COUNTIF('مواد المخزون'!$A$2:$A$90,$C1738)&gt;0,"نعم","لا (خارج الجرد)"))</f>
        <v/>
      </c>
    </row>
    <row r="1739" customFormat="false" ht="15" hidden="false" customHeight="false" outlineLevel="0" collapsed="false">
      <c r="A1739" s="103"/>
      <c r="B1739" s="104"/>
      <c r="C1739" s="104"/>
      <c r="F1739" s="107" t="str">
        <f aca="false">IF(OR($C1739="",$D1739=0),"",$E1739/$D1739)</f>
        <v/>
      </c>
      <c r="H1739" s="0" t="str">
        <f aca="false">IF($C1739="","",IF(COUNTIF('مواد المخزون'!$A$2:$A$90,$C1739)&gt;0,"نعم","لا (خارج الجرد)"))</f>
        <v/>
      </c>
    </row>
    <row r="1740" customFormat="false" ht="15" hidden="false" customHeight="false" outlineLevel="0" collapsed="false">
      <c r="A1740" s="103"/>
      <c r="B1740" s="104"/>
      <c r="C1740" s="104"/>
      <c r="F1740" s="107" t="str">
        <f aca="false">IF(OR($C1740="",$D1740=0),"",$E1740/$D1740)</f>
        <v/>
      </c>
      <c r="H1740" s="0" t="str">
        <f aca="false">IF($C1740="","",IF(COUNTIF('مواد المخزون'!$A$2:$A$90,$C1740)&gt;0,"نعم","لا (خارج الجرد)"))</f>
        <v/>
      </c>
    </row>
    <row r="1741" customFormat="false" ht="15" hidden="false" customHeight="false" outlineLevel="0" collapsed="false">
      <c r="A1741" s="103"/>
      <c r="B1741" s="104"/>
      <c r="C1741" s="104"/>
      <c r="F1741" s="107" t="str">
        <f aca="false">IF(OR($C1741="",$D1741=0),"",$E1741/$D1741)</f>
        <v/>
      </c>
      <c r="H1741" s="0" t="str">
        <f aca="false">IF($C1741="","",IF(COUNTIF('مواد المخزون'!$A$2:$A$90,$C1741)&gt;0,"نعم","لا (خارج الجرد)"))</f>
        <v/>
      </c>
    </row>
    <row r="1742" customFormat="false" ht="15" hidden="false" customHeight="false" outlineLevel="0" collapsed="false">
      <c r="A1742" s="103"/>
      <c r="B1742" s="104"/>
      <c r="C1742" s="104"/>
      <c r="F1742" s="107" t="str">
        <f aca="false">IF(OR($C1742="",$D1742=0),"",$E1742/$D1742)</f>
        <v/>
      </c>
      <c r="H1742" s="0" t="str">
        <f aca="false">IF($C1742="","",IF(COUNTIF('مواد المخزون'!$A$2:$A$90,$C1742)&gt;0,"نعم","لا (خارج الجرد)"))</f>
        <v/>
      </c>
    </row>
    <row r="1743" customFormat="false" ht="15" hidden="false" customHeight="false" outlineLevel="0" collapsed="false">
      <c r="A1743" s="103"/>
      <c r="B1743" s="104"/>
      <c r="C1743" s="104"/>
      <c r="F1743" s="107" t="str">
        <f aca="false">IF(OR($C1743="",$D1743=0),"",$E1743/$D1743)</f>
        <v/>
      </c>
      <c r="H1743" s="0" t="str">
        <f aca="false">IF($C1743="","",IF(COUNTIF('مواد المخزون'!$A$2:$A$90,$C1743)&gt;0,"نعم","لا (خارج الجرد)"))</f>
        <v/>
      </c>
    </row>
    <row r="1744" customFormat="false" ht="15" hidden="false" customHeight="false" outlineLevel="0" collapsed="false">
      <c r="A1744" s="103"/>
      <c r="B1744" s="104"/>
      <c r="C1744" s="104"/>
      <c r="F1744" s="107" t="str">
        <f aca="false">IF(OR($C1744="",$D1744=0),"",$E1744/$D1744)</f>
        <v/>
      </c>
      <c r="H1744" s="0" t="str">
        <f aca="false">IF($C1744="","",IF(COUNTIF('مواد المخزون'!$A$2:$A$90,$C1744)&gt;0,"نعم","لا (خارج الجرد)"))</f>
        <v/>
      </c>
    </row>
    <row r="1745" customFormat="false" ht="15" hidden="false" customHeight="false" outlineLevel="0" collapsed="false">
      <c r="A1745" s="103"/>
      <c r="B1745" s="104"/>
      <c r="C1745" s="104"/>
      <c r="F1745" s="107" t="str">
        <f aca="false">IF(OR($C1745="",$D1745=0),"",$E1745/$D1745)</f>
        <v/>
      </c>
      <c r="H1745" s="0" t="str">
        <f aca="false">IF($C1745="","",IF(COUNTIF('مواد المخزون'!$A$2:$A$90,$C1745)&gt;0,"نعم","لا (خارج الجرد)"))</f>
        <v/>
      </c>
    </row>
    <row r="1746" customFormat="false" ht="15" hidden="false" customHeight="false" outlineLevel="0" collapsed="false">
      <c r="A1746" s="103"/>
      <c r="B1746" s="104"/>
      <c r="C1746" s="104"/>
      <c r="F1746" s="107" t="str">
        <f aca="false">IF(OR($C1746="",$D1746=0),"",$E1746/$D1746)</f>
        <v/>
      </c>
      <c r="H1746" s="0" t="str">
        <f aca="false">IF($C1746="","",IF(COUNTIF('مواد المخزون'!$A$2:$A$90,$C1746)&gt;0,"نعم","لا (خارج الجرد)"))</f>
        <v/>
      </c>
    </row>
    <row r="1747" customFormat="false" ht="15" hidden="false" customHeight="false" outlineLevel="0" collapsed="false">
      <c r="A1747" s="103"/>
      <c r="B1747" s="104"/>
      <c r="C1747" s="104"/>
      <c r="F1747" s="107" t="str">
        <f aca="false">IF(OR($C1747="",$D1747=0),"",$E1747/$D1747)</f>
        <v/>
      </c>
      <c r="H1747" s="0" t="str">
        <f aca="false">IF($C1747="","",IF(COUNTIF('مواد المخزون'!$A$2:$A$90,$C1747)&gt;0,"نعم","لا (خارج الجرد)"))</f>
        <v/>
      </c>
    </row>
    <row r="1748" customFormat="false" ht="15" hidden="false" customHeight="false" outlineLevel="0" collapsed="false">
      <c r="A1748" s="103"/>
      <c r="B1748" s="104"/>
      <c r="C1748" s="104"/>
      <c r="F1748" s="107" t="str">
        <f aca="false">IF(OR($C1748="",$D1748=0),"",$E1748/$D1748)</f>
        <v/>
      </c>
      <c r="H1748" s="0" t="str">
        <f aca="false">IF($C1748="","",IF(COUNTIF('مواد المخزون'!$A$2:$A$90,$C1748)&gt;0,"نعم","لا (خارج الجرد)"))</f>
        <v/>
      </c>
    </row>
    <row r="1749" customFormat="false" ht="15" hidden="false" customHeight="false" outlineLevel="0" collapsed="false">
      <c r="A1749" s="103"/>
      <c r="B1749" s="104"/>
      <c r="C1749" s="104"/>
      <c r="F1749" s="107" t="str">
        <f aca="false">IF(OR($C1749="",$D1749=0),"",$E1749/$D1749)</f>
        <v/>
      </c>
      <c r="H1749" s="0" t="str">
        <f aca="false">IF($C1749="","",IF(COUNTIF('مواد المخزون'!$A$2:$A$90,$C1749)&gt;0,"نعم","لا (خارج الجرد)"))</f>
        <v/>
      </c>
    </row>
    <row r="1750" customFormat="false" ht="15" hidden="false" customHeight="false" outlineLevel="0" collapsed="false">
      <c r="A1750" s="103"/>
      <c r="B1750" s="104"/>
      <c r="C1750" s="104"/>
      <c r="F1750" s="107" t="str">
        <f aca="false">IF(OR($C1750="",$D1750=0),"",$E1750/$D1750)</f>
        <v/>
      </c>
      <c r="H1750" s="0" t="str">
        <f aca="false">IF($C1750="","",IF(COUNTIF('مواد المخزون'!$A$2:$A$90,$C1750)&gt;0,"نعم","لا (خارج الجرد)"))</f>
        <v/>
      </c>
    </row>
    <row r="1751" customFormat="false" ht="15" hidden="false" customHeight="false" outlineLevel="0" collapsed="false">
      <c r="A1751" s="103"/>
      <c r="B1751" s="104"/>
      <c r="C1751" s="104"/>
      <c r="F1751" s="107" t="str">
        <f aca="false">IF(OR($C1751="",$D1751=0),"",$E1751/$D1751)</f>
        <v/>
      </c>
      <c r="H1751" s="0" t="str">
        <f aca="false">IF($C1751="","",IF(COUNTIF('مواد المخزون'!$A$2:$A$90,$C1751)&gt;0,"نعم","لا (خارج الجرد)"))</f>
        <v/>
      </c>
    </row>
    <row r="1752" customFormat="false" ht="15" hidden="false" customHeight="false" outlineLevel="0" collapsed="false">
      <c r="A1752" s="103"/>
      <c r="B1752" s="104"/>
      <c r="C1752" s="104"/>
      <c r="F1752" s="107" t="str">
        <f aca="false">IF(OR($C1752="",$D1752=0),"",$E1752/$D1752)</f>
        <v/>
      </c>
      <c r="H1752" s="0" t="str">
        <f aca="false">IF($C1752="","",IF(COUNTIF('مواد المخزون'!$A$2:$A$90,$C1752)&gt;0,"نعم","لا (خارج الجرد)"))</f>
        <v/>
      </c>
    </row>
    <row r="1753" customFormat="false" ht="15" hidden="false" customHeight="false" outlineLevel="0" collapsed="false">
      <c r="A1753" s="103"/>
      <c r="B1753" s="104"/>
      <c r="C1753" s="104"/>
      <c r="F1753" s="107" t="str">
        <f aca="false">IF(OR($C1753="",$D1753=0),"",$E1753/$D1753)</f>
        <v/>
      </c>
      <c r="H1753" s="0" t="str">
        <f aca="false">IF($C1753="","",IF(COUNTIF('مواد المخزون'!$A$2:$A$90,$C1753)&gt;0,"نعم","لا (خارج الجرد)"))</f>
        <v/>
      </c>
    </row>
    <row r="1754" customFormat="false" ht="15" hidden="false" customHeight="false" outlineLevel="0" collapsed="false">
      <c r="A1754" s="103"/>
      <c r="B1754" s="104"/>
      <c r="C1754" s="104"/>
      <c r="F1754" s="107" t="str">
        <f aca="false">IF(OR($C1754="",$D1754=0),"",$E1754/$D1754)</f>
        <v/>
      </c>
      <c r="H1754" s="0" t="str">
        <f aca="false">IF($C1754="","",IF(COUNTIF('مواد المخزون'!$A$2:$A$90,$C1754)&gt;0,"نعم","لا (خارج الجرد)"))</f>
        <v/>
      </c>
    </row>
    <row r="1755" customFormat="false" ht="15" hidden="false" customHeight="false" outlineLevel="0" collapsed="false">
      <c r="A1755" s="103"/>
      <c r="B1755" s="104"/>
      <c r="C1755" s="104"/>
      <c r="F1755" s="107" t="str">
        <f aca="false">IF(OR($C1755="",$D1755=0),"",$E1755/$D1755)</f>
        <v/>
      </c>
      <c r="H1755" s="0" t="str">
        <f aca="false">IF($C1755="","",IF(COUNTIF('مواد المخزون'!$A$2:$A$90,$C1755)&gt;0,"نعم","لا (خارج الجرد)"))</f>
        <v/>
      </c>
    </row>
    <row r="1756" customFormat="false" ht="15" hidden="false" customHeight="false" outlineLevel="0" collapsed="false">
      <c r="A1756" s="103"/>
      <c r="B1756" s="104"/>
      <c r="C1756" s="104"/>
      <c r="F1756" s="107" t="str">
        <f aca="false">IF(OR($C1756="",$D1756=0),"",$E1756/$D1756)</f>
        <v/>
      </c>
      <c r="H1756" s="0" t="str">
        <f aca="false">IF($C1756="","",IF(COUNTIF('مواد المخزون'!$A$2:$A$90,$C1756)&gt;0,"نعم","لا (خارج الجرد)"))</f>
        <v/>
      </c>
    </row>
    <row r="1757" customFormat="false" ht="15" hidden="false" customHeight="false" outlineLevel="0" collapsed="false">
      <c r="A1757" s="103"/>
      <c r="B1757" s="104"/>
      <c r="C1757" s="104"/>
      <c r="F1757" s="107" t="str">
        <f aca="false">IF(OR($C1757="",$D1757=0),"",$E1757/$D1757)</f>
        <v/>
      </c>
      <c r="H1757" s="0" t="str">
        <f aca="false">IF($C1757="","",IF(COUNTIF('مواد المخزون'!$A$2:$A$90,$C1757)&gt;0,"نعم","لا (خارج الجرد)"))</f>
        <v/>
      </c>
    </row>
    <row r="1758" customFormat="false" ht="15" hidden="false" customHeight="false" outlineLevel="0" collapsed="false">
      <c r="A1758" s="103"/>
      <c r="B1758" s="104"/>
      <c r="C1758" s="104"/>
      <c r="F1758" s="107" t="str">
        <f aca="false">IF(OR($C1758="",$D1758=0),"",$E1758/$D1758)</f>
        <v/>
      </c>
      <c r="H1758" s="0" t="str">
        <f aca="false">IF($C1758="","",IF(COUNTIF('مواد المخزون'!$A$2:$A$90,$C1758)&gt;0,"نعم","لا (خارج الجرد)"))</f>
        <v/>
      </c>
    </row>
    <row r="1759" customFormat="false" ht="15" hidden="false" customHeight="false" outlineLevel="0" collapsed="false">
      <c r="A1759" s="103"/>
      <c r="B1759" s="104"/>
      <c r="C1759" s="104"/>
      <c r="F1759" s="107" t="str">
        <f aca="false">IF(OR($C1759="",$D1759=0),"",$E1759/$D1759)</f>
        <v/>
      </c>
      <c r="H1759" s="0" t="str">
        <f aca="false">IF($C1759="","",IF(COUNTIF('مواد المخزون'!$A$2:$A$90,$C1759)&gt;0,"نعم","لا (خارج الجرد)"))</f>
        <v/>
      </c>
    </row>
    <row r="1760" customFormat="false" ht="15" hidden="false" customHeight="false" outlineLevel="0" collapsed="false">
      <c r="A1760" s="103"/>
      <c r="B1760" s="104"/>
      <c r="C1760" s="104"/>
      <c r="F1760" s="107" t="str">
        <f aca="false">IF(OR($C1760="",$D1760=0),"",$E1760/$D1760)</f>
        <v/>
      </c>
      <c r="H1760" s="0" t="str">
        <f aca="false">IF($C1760="","",IF(COUNTIF('مواد المخزون'!$A$2:$A$90,$C1760)&gt;0,"نعم","لا (خارج الجرد)"))</f>
        <v/>
      </c>
    </row>
    <row r="1761" customFormat="false" ht="15" hidden="false" customHeight="false" outlineLevel="0" collapsed="false">
      <c r="A1761" s="103"/>
      <c r="B1761" s="104"/>
      <c r="C1761" s="104"/>
      <c r="F1761" s="107" t="str">
        <f aca="false">IF(OR($C1761="",$D1761=0),"",$E1761/$D1761)</f>
        <v/>
      </c>
      <c r="H1761" s="0" t="str">
        <f aca="false">IF($C1761="","",IF(COUNTIF('مواد المخزون'!$A$2:$A$90,$C1761)&gt;0,"نعم","لا (خارج الجرد)"))</f>
        <v/>
      </c>
    </row>
    <row r="1762" customFormat="false" ht="15" hidden="false" customHeight="false" outlineLevel="0" collapsed="false">
      <c r="A1762" s="103"/>
      <c r="B1762" s="104"/>
      <c r="C1762" s="104"/>
      <c r="F1762" s="107" t="str">
        <f aca="false">IF(OR($C1762="",$D1762=0),"",$E1762/$D1762)</f>
        <v/>
      </c>
      <c r="H1762" s="0" t="str">
        <f aca="false">IF($C1762="","",IF(COUNTIF('مواد المخزون'!$A$2:$A$90,$C1762)&gt;0,"نعم","لا (خارج الجرد)"))</f>
        <v/>
      </c>
    </row>
    <row r="1763" customFormat="false" ht="15" hidden="false" customHeight="false" outlineLevel="0" collapsed="false">
      <c r="A1763" s="103"/>
      <c r="B1763" s="104"/>
      <c r="C1763" s="104"/>
      <c r="F1763" s="107" t="str">
        <f aca="false">IF(OR($C1763="",$D1763=0),"",$E1763/$D1763)</f>
        <v/>
      </c>
      <c r="H1763" s="0" t="str">
        <f aca="false">IF($C1763="","",IF(COUNTIF('مواد المخزون'!$A$2:$A$90,$C1763)&gt;0,"نعم","لا (خارج الجرد)"))</f>
        <v/>
      </c>
    </row>
    <row r="1764" customFormat="false" ht="15" hidden="false" customHeight="false" outlineLevel="0" collapsed="false">
      <c r="A1764" s="103"/>
      <c r="B1764" s="104"/>
      <c r="C1764" s="104"/>
      <c r="F1764" s="107" t="str">
        <f aca="false">IF(OR($C1764="",$D1764=0),"",$E1764/$D1764)</f>
        <v/>
      </c>
      <c r="H1764" s="0" t="str">
        <f aca="false">IF($C1764="","",IF(COUNTIF('مواد المخزون'!$A$2:$A$90,$C1764)&gt;0,"نعم","لا (خارج الجرد)"))</f>
        <v/>
      </c>
    </row>
    <row r="1765" customFormat="false" ht="15" hidden="false" customHeight="false" outlineLevel="0" collapsed="false">
      <c r="A1765" s="103"/>
      <c r="B1765" s="104"/>
      <c r="C1765" s="104"/>
      <c r="F1765" s="107" t="str">
        <f aca="false">IF(OR($C1765="",$D1765=0),"",$E1765/$D1765)</f>
        <v/>
      </c>
      <c r="H1765" s="0" t="str">
        <f aca="false">IF($C1765="","",IF(COUNTIF('مواد المخزون'!$A$2:$A$90,$C1765)&gt;0,"نعم","لا (خارج الجرد)"))</f>
        <v/>
      </c>
    </row>
    <row r="1766" customFormat="false" ht="15" hidden="false" customHeight="false" outlineLevel="0" collapsed="false">
      <c r="A1766" s="103"/>
      <c r="B1766" s="104"/>
      <c r="C1766" s="104"/>
      <c r="F1766" s="107" t="str">
        <f aca="false">IF(OR($C1766="",$D1766=0),"",$E1766/$D1766)</f>
        <v/>
      </c>
      <c r="H1766" s="0" t="str">
        <f aca="false">IF($C1766="","",IF(COUNTIF('مواد المخزون'!$A$2:$A$90,$C1766)&gt;0,"نعم","لا (خارج الجرد)"))</f>
        <v/>
      </c>
    </row>
    <row r="1767" customFormat="false" ht="15" hidden="false" customHeight="false" outlineLevel="0" collapsed="false">
      <c r="A1767" s="103"/>
      <c r="B1767" s="104"/>
      <c r="C1767" s="104"/>
      <c r="F1767" s="107" t="str">
        <f aca="false">IF(OR($C1767="",$D1767=0),"",$E1767/$D1767)</f>
        <v/>
      </c>
      <c r="H1767" s="0" t="str">
        <f aca="false">IF($C1767="","",IF(COUNTIF('مواد المخزون'!$A$2:$A$90,$C1767)&gt;0,"نعم","لا (خارج الجرد)"))</f>
        <v/>
      </c>
    </row>
    <row r="1768" customFormat="false" ht="15" hidden="false" customHeight="false" outlineLevel="0" collapsed="false">
      <c r="A1768" s="103"/>
      <c r="B1768" s="104"/>
      <c r="C1768" s="104"/>
      <c r="F1768" s="107" t="str">
        <f aca="false">IF(OR($C1768="",$D1768=0),"",$E1768/$D1768)</f>
        <v/>
      </c>
      <c r="H1768" s="0" t="str">
        <f aca="false">IF($C1768="","",IF(COUNTIF('مواد المخزون'!$A$2:$A$90,$C1768)&gt;0,"نعم","لا (خارج الجرد)"))</f>
        <v/>
      </c>
    </row>
    <row r="1769" customFormat="false" ht="15" hidden="false" customHeight="false" outlineLevel="0" collapsed="false">
      <c r="A1769" s="103"/>
      <c r="B1769" s="104"/>
      <c r="C1769" s="104"/>
      <c r="F1769" s="107" t="str">
        <f aca="false">IF(OR($C1769="",$D1769=0),"",$E1769/$D1769)</f>
        <v/>
      </c>
      <c r="H1769" s="0" t="str">
        <f aca="false">IF($C1769="","",IF(COUNTIF('مواد المخزون'!$A$2:$A$90,$C1769)&gt;0,"نعم","لا (خارج الجرد)"))</f>
        <v/>
      </c>
    </row>
    <row r="1770" customFormat="false" ht="15" hidden="false" customHeight="false" outlineLevel="0" collapsed="false">
      <c r="A1770" s="103"/>
      <c r="B1770" s="104"/>
      <c r="C1770" s="104"/>
      <c r="F1770" s="107" t="str">
        <f aca="false">IF(OR($C1770="",$D1770=0),"",$E1770/$D1770)</f>
        <v/>
      </c>
      <c r="H1770" s="0" t="str">
        <f aca="false">IF($C1770="","",IF(COUNTIF('مواد المخزون'!$A$2:$A$90,$C1770)&gt;0,"نعم","لا (خارج الجرد)"))</f>
        <v/>
      </c>
    </row>
    <row r="1771" customFormat="false" ht="15" hidden="false" customHeight="false" outlineLevel="0" collapsed="false">
      <c r="A1771" s="103"/>
      <c r="B1771" s="104"/>
      <c r="C1771" s="104"/>
      <c r="F1771" s="107" t="str">
        <f aca="false">IF(OR($C1771="",$D1771=0),"",$E1771/$D1771)</f>
        <v/>
      </c>
      <c r="H1771" s="0" t="str">
        <f aca="false">IF($C1771="","",IF(COUNTIF('مواد المخزون'!$A$2:$A$90,$C1771)&gt;0,"نعم","لا (خارج الجرد)"))</f>
        <v/>
      </c>
    </row>
    <row r="1772" customFormat="false" ht="15" hidden="false" customHeight="false" outlineLevel="0" collapsed="false">
      <c r="A1772" s="103"/>
      <c r="B1772" s="104"/>
      <c r="C1772" s="104"/>
      <c r="F1772" s="107" t="str">
        <f aca="false">IF(OR($C1772="",$D1772=0),"",$E1772/$D1772)</f>
        <v/>
      </c>
      <c r="H1772" s="0" t="str">
        <f aca="false">IF($C1772="","",IF(COUNTIF('مواد المخزون'!$A$2:$A$90,$C1772)&gt;0,"نعم","لا (خارج الجرد)"))</f>
        <v/>
      </c>
    </row>
    <row r="1773" customFormat="false" ht="15" hidden="false" customHeight="false" outlineLevel="0" collapsed="false">
      <c r="A1773" s="103"/>
      <c r="B1773" s="104"/>
      <c r="C1773" s="104"/>
      <c r="F1773" s="107" t="str">
        <f aca="false">IF(OR($C1773="",$D1773=0),"",$E1773/$D1773)</f>
        <v/>
      </c>
      <c r="H1773" s="0" t="str">
        <f aca="false">IF($C1773="","",IF(COUNTIF('مواد المخزون'!$A$2:$A$90,$C1773)&gt;0,"نعم","لا (خارج الجرد)"))</f>
        <v/>
      </c>
    </row>
    <row r="1774" customFormat="false" ht="15" hidden="false" customHeight="false" outlineLevel="0" collapsed="false">
      <c r="A1774" s="103"/>
      <c r="B1774" s="104"/>
      <c r="C1774" s="104"/>
      <c r="F1774" s="107" t="str">
        <f aca="false">IF(OR($C1774="",$D1774=0),"",$E1774/$D1774)</f>
        <v/>
      </c>
      <c r="H1774" s="0" t="str">
        <f aca="false">IF($C1774="","",IF(COUNTIF('مواد المخزون'!$A$2:$A$90,$C1774)&gt;0,"نعم","لا (خارج الجرد)"))</f>
        <v/>
      </c>
    </row>
    <row r="1775" customFormat="false" ht="15" hidden="false" customHeight="false" outlineLevel="0" collapsed="false">
      <c r="A1775" s="103"/>
      <c r="B1775" s="104"/>
      <c r="C1775" s="104"/>
      <c r="F1775" s="107" t="str">
        <f aca="false">IF(OR($C1775="",$D1775=0),"",$E1775/$D1775)</f>
        <v/>
      </c>
      <c r="H1775" s="0" t="str">
        <f aca="false">IF($C1775="","",IF(COUNTIF('مواد المخزون'!$A$2:$A$90,$C1775)&gt;0,"نعم","لا (خارج الجرد)"))</f>
        <v/>
      </c>
    </row>
    <row r="1776" customFormat="false" ht="15" hidden="false" customHeight="false" outlineLevel="0" collapsed="false">
      <c r="A1776" s="103"/>
      <c r="B1776" s="104"/>
      <c r="C1776" s="104"/>
      <c r="F1776" s="107" t="str">
        <f aca="false">IF(OR($C1776="",$D1776=0),"",$E1776/$D1776)</f>
        <v/>
      </c>
      <c r="H1776" s="0" t="str">
        <f aca="false">IF($C1776="","",IF(COUNTIF('مواد المخزون'!$A$2:$A$90,$C1776)&gt;0,"نعم","لا (خارج الجرد)"))</f>
        <v/>
      </c>
    </row>
    <row r="1777" customFormat="false" ht="15" hidden="false" customHeight="false" outlineLevel="0" collapsed="false">
      <c r="A1777" s="103"/>
      <c r="B1777" s="104"/>
      <c r="C1777" s="104"/>
      <c r="F1777" s="107" t="str">
        <f aca="false">IF(OR($C1777="",$D1777=0),"",$E1777/$D1777)</f>
        <v/>
      </c>
      <c r="H1777" s="0" t="str">
        <f aca="false">IF($C1777="","",IF(COUNTIF('مواد المخزون'!$A$2:$A$90,$C1777)&gt;0,"نعم","لا (خارج الجرد)"))</f>
        <v/>
      </c>
    </row>
    <row r="1778" customFormat="false" ht="15" hidden="false" customHeight="false" outlineLevel="0" collapsed="false">
      <c r="A1778" s="103"/>
      <c r="B1778" s="104"/>
      <c r="C1778" s="104"/>
      <c r="F1778" s="107" t="str">
        <f aca="false">IF(OR($C1778="",$D1778=0),"",$E1778/$D1778)</f>
        <v/>
      </c>
      <c r="H1778" s="0" t="str">
        <f aca="false">IF($C1778="","",IF(COUNTIF('مواد المخزون'!$A$2:$A$90,$C1778)&gt;0,"نعم","لا (خارج الجرد)"))</f>
        <v/>
      </c>
    </row>
    <row r="1779" customFormat="false" ht="15" hidden="false" customHeight="false" outlineLevel="0" collapsed="false">
      <c r="A1779" s="103"/>
      <c r="B1779" s="104"/>
      <c r="C1779" s="104"/>
      <c r="F1779" s="107" t="str">
        <f aca="false">IF(OR($C1779="",$D1779=0),"",$E1779/$D1779)</f>
        <v/>
      </c>
      <c r="H1779" s="0" t="str">
        <f aca="false">IF($C1779="","",IF(COUNTIF('مواد المخزون'!$A$2:$A$90,$C1779)&gt;0,"نعم","لا (خارج الجرد)"))</f>
        <v/>
      </c>
    </row>
    <row r="1780" customFormat="false" ht="15" hidden="false" customHeight="false" outlineLevel="0" collapsed="false">
      <c r="A1780" s="103"/>
      <c r="B1780" s="104"/>
      <c r="C1780" s="104"/>
      <c r="F1780" s="107" t="str">
        <f aca="false">IF(OR($C1780="",$D1780=0),"",$E1780/$D1780)</f>
        <v/>
      </c>
      <c r="H1780" s="0" t="str">
        <f aca="false">IF($C1780="","",IF(COUNTIF('مواد المخزون'!$A$2:$A$90,$C1780)&gt;0,"نعم","لا (خارج الجرد)"))</f>
        <v/>
      </c>
    </row>
    <row r="1781" customFormat="false" ht="15" hidden="false" customHeight="false" outlineLevel="0" collapsed="false">
      <c r="A1781" s="103"/>
      <c r="B1781" s="104"/>
      <c r="C1781" s="104"/>
      <c r="F1781" s="107" t="str">
        <f aca="false">IF(OR($C1781="",$D1781=0),"",$E1781/$D1781)</f>
        <v/>
      </c>
      <c r="H1781" s="0" t="str">
        <f aca="false">IF($C1781="","",IF(COUNTIF('مواد المخزون'!$A$2:$A$90,$C1781)&gt;0,"نعم","لا (خارج الجرد)"))</f>
        <v/>
      </c>
    </row>
    <row r="1782" customFormat="false" ht="15" hidden="false" customHeight="false" outlineLevel="0" collapsed="false">
      <c r="A1782" s="103"/>
      <c r="B1782" s="104"/>
      <c r="C1782" s="104"/>
      <c r="F1782" s="107" t="str">
        <f aca="false">IF(OR($C1782="",$D1782=0),"",$E1782/$D1782)</f>
        <v/>
      </c>
      <c r="H1782" s="0" t="str">
        <f aca="false">IF($C1782="","",IF(COUNTIF('مواد المخزون'!$A$2:$A$90,$C1782)&gt;0,"نعم","لا (خارج الجرد)"))</f>
        <v/>
      </c>
    </row>
    <row r="1783" customFormat="false" ht="15" hidden="false" customHeight="false" outlineLevel="0" collapsed="false">
      <c r="A1783" s="103"/>
      <c r="B1783" s="104"/>
      <c r="C1783" s="104"/>
      <c r="F1783" s="107" t="str">
        <f aca="false">IF(OR($C1783="",$D1783=0),"",$E1783/$D1783)</f>
        <v/>
      </c>
      <c r="H1783" s="0" t="str">
        <f aca="false">IF($C1783="","",IF(COUNTIF('مواد المخزون'!$A$2:$A$90,$C1783)&gt;0,"نعم","لا (خارج الجرد)"))</f>
        <v/>
      </c>
    </row>
    <row r="1784" customFormat="false" ht="15" hidden="false" customHeight="false" outlineLevel="0" collapsed="false">
      <c r="A1784" s="103"/>
      <c r="B1784" s="104"/>
      <c r="C1784" s="104"/>
      <c r="F1784" s="107" t="str">
        <f aca="false">IF(OR($C1784="",$D1784=0),"",$E1784/$D1784)</f>
        <v/>
      </c>
      <c r="H1784" s="0" t="str">
        <f aca="false">IF($C1784="","",IF(COUNTIF('مواد المخزون'!$A$2:$A$90,$C1784)&gt;0,"نعم","لا (خارج الجرد)"))</f>
        <v/>
      </c>
    </row>
    <row r="1785" customFormat="false" ht="15" hidden="false" customHeight="false" outlineLevel="0" collapsed="false">
      <c r="A1785" s="103"/>
      <c r="B1785" s="104"/>
      <c r="C1785" s="104"/>
      <c r="F1785" s="107" t="str">
        <f aca="false">IF(OR($C1785="",$D1785=0),"",$E1785/$D1785)</f>
        <v/>
      </c>
      <c r="H1785" s="0" t="str">
        <f aca="false">IF($C1785="","",IF(COUNTIF('مواد المخزون'!$A$2:$A$90,$C1785)&gt;0,"نعم","لا (خارج الجرد)"))</f>
        <v/>
      </c>
    </row>
    <row r="1786" customFormat="false" ht="15" hidden="false" customHeight="false" outlineLevel="0" collapsed="false">
      <c r="A1786" s="103"/>
      <c r="B1786" s="104"/>
      <c r="C1786" s="104"/>
      <c r="F1786" s="107" t="str">
        <f aca="false">IF(OR($C1786="",$D1786=0),"",$E1786/$D1786)</f>
        <v/>
      </c>
      <c r="H1786" s="0" t="str">
        <f aca="false">IF($C1786="","",IF(COUNTIF('مواد المخزون'!$A$2:$A$90,$C1786)&gt;0,"نعم","لا (خارج الجرد)"))</f>
        <v/>
      </c>
    </row>
    <row r="1787" customFormat="false" ht="15" hidden="false" customHeight="false" outlineLevel="0" collapsed="false">
      <c r="A1787" s="103"/>
      <c r="B1787" s="104"/>
      <c r="C1787" s="104"/>
      <c r="F1787" s="107" t="str">
        <f aca="false">IF(OR($C1787="",$D1787=0),"",$E1787/$D1787)</f>
        <v/>
      </c>
      <c r="H1787" s="0" t="str">
        <f aca="false">IF($C1787="","",IF(COUNTIF('مواد المخزون'!$A$2:$A$90,$C1787)&gt;0,"نعم","لا (خارج الجرد)"))</f>
        <v/>
      </c>
    </row>
    <row r="1788" customFormat="false" ht="15" hidden="false" customHeight="false" outlineLevel="0" collapsed="false">
      <c r="A1788" s="103"/>
      <c r="B1788" s="104"/>
      <c r="C1788" s="104"/>
      <c r="F1788" s="107" t="str">
        <f aca="false">IF(OR($C1788="",$D1788=0),"",$E1788/$D1788)</f>
        <v/>
      </c>
      <c r="H1788" s="0" t="str">
        <f aca="false">IF($C1788="","",IF(COUNTIF('مواد المخزون'!$A$2:$A$90,$C1788)&gt;0,"نعم","لا (خارج الجرد)"))</f>
        <v/>
      </c>
    </row>
    <row r="1789" customFormat="false" ht="15" hidden="false" customHeight="false" outlineLevel="0" collapsed="false">
      <c r="A1789" s="103"/>
      <c r="B1789" s="104"/>
      <c r="C1789" s="104"/>
      <c r="F1789" s="107" t="str">
        <f aca="false">IF(OR($C1789="",$D1789=0),"",$E1789/$D1789)</f>
        <v/>
      </c>
      <c r="H1789" s="0" t="str">
        <f aca="false">IF($C1789="","",IF(COUNTIF('مواد المخزون'!$A$2:$A$90,$C1789)&gt;0,"نعم","لا (خارج الجرد)"))</f>
        <v/>
      </c>
    </row>
    <row r="1790" customFormat="false" ht="15" hidden="false" customHeight="false" outlineLevel="0" collapsed="false">
      <c r="A1790" s="103"/>
      <c r="B1790" s="104"/>
      <c r="C1790" s="104"/>
      <c r="F1790" s="107" t="str">
        <f aca="false">IF(OR($C1790="",$D1790=0),"",$E1790/$D1790)</f>
        <v/>
      </c>
      <c r="H1790" s="0" t="str">
        <f aca="false">IF($C1790="","",IF(COUNTIF('مواد المخزون'!$A$2:$A$90,$C1790)&gt;0,"نعم","لا (خارج الجرد)"))</f>
        <v/>
      </c>
    </row>
    <row r="1791" customFormat="false" ht="15" hidden="false" customHeight="false" outlineLevel="0" collapsed="false">
      <c r="A1791" s="103"/>
      <c r="B1791" s="104"/>
      <c r="C1791" s="104"/>
      <c r="F1791" s="107" t="str">
        <f aca="false">IF(OR($C1791="",$D1791=0),"",$E1791/$D1791)</f>
        <v/>
      </c>
      <c r="H1791" s="0" t="str">
        <f aca="false">IF($C1791="","",IF(COUNTIF('مواد المخزون'!$A$2:$A$90,$C1791)&gt;0,"نعم","لا (خارج الجرد)"))</f>
        <v/>
      </c>
    </row>
    <row r="1792" customFormat="false" ht="15" hidden="false" customHeight="false" outlineLevel="0" collapsed="false">
      <c r="A1792" s="103"/>
      <c r="B1792" s="104"/>
      <c r="C1792" s="104"/>
      <c r="F1792" s="107" t="str">
        <f aca="false">IF(OR($C1792="",$D1792=0),"",$E1792/$D1792)</f>
        <v/>
      </c>
      <c r="H1792" s="0" t="str">
        <f aca="false">IF($C1792="","",IF(COUNTIF('مواد المخزون'!$A$2:$A$90,$C1792)&gt;0,"نعم","لا (خارج الجرد)"))</f>
        <v/>
      </c>
    </row>
    <row r="1793" customFormat="false" ht="15" hidden="false" customHeight="false" outlineLevel="0" collapsed="false">
      <c r="A1793" s="103"/>
      <c r="B1793" s="104"/>
      <c r="C1793" s="104"/>
      <c r="F1793" s="107" t="str">
        <f aca="false">IF(OR($C1793="",$D1793=0),"",$E1793/$D1793)</f>
        <v/>
      </c>
      <c r="H1793" s="0" t="str">
        <f aca="false">IF($C1793="","",IF(COUNTIF('مواد المخزون'!$A$2:$A$90,$C1793)&gt;0,"نعم","لا (خارج الجرد)"))</f>
        <v/>
      </c>
    </row>
    <row r="1794" customFormat="false" ht="15" hidden="false" customHeight="false" outlineLevel="0" collapsed="false">
      <c r="A1794" s="103"/>
      <c r="B1794" s="104"/>
      <c r="C1794" s="104"/>
      <c r="F1794" s="107" t="str">
        <f aca="false">IF(OR($C1794="",$D1794=0),"",$E1794/$D1794)</f>
        <v/>
      </c>
      <c r="H1794" s="0" t="str">
        <f aca="false">IF($C1794="","",IF(COUNTIF('مواد المخزون'!$A$2:$A$90,$C1794)&gt;0,"نعم","لا (خارج الجرد)"))</f>
        <v/>
      </c>
    </row>
    <row r="1795" customFormat="false" ht="15" hidden="false" customHeight="false" outlineLevel="0" collapsed="false">
      <c r="A1795" s="103"/>
      <c r="B1795" s="104"/>
      <c r="C1795" s="104"/>
      <c r="F1795" s="107" t="str">
        <f aca="false">IF(OR($C1795="",$D1795=0),"",$E1795/$D1795)</f>
        <v/>
      </c>
      <c r="H1795" s="0" t="str">
        <f aca="false">IF($C1795="","",IF(COUNTIF('مواد المخزون'!$A$2:$A$90,$C1795)&gt;0,"نعم","لا (خارج الجرد)"))</f>
        <v/>
      </c>
    </row>
    <row r="1796" customFormat="false" ht="15" hidden="false" customHeight="false" outlineLevel="0" collapsed="false">
      <c r="A1796" s="103"/>
      <c r="B1796" s="104"/>
      <c r="C1796" s="104"/>
      <c r="F1796" s="107" t="str">
        <f aca="false">IF(OR($C1796="",$D1796=0),"",$E1796/$D1796)</f>
        <v/>
      </c>
      <c r="H1796" s="0" t="str">
        <f aca="false">IF($C1796="","",IF(COUNTIF('مواد المخزون'!$A$2:$A$90,$C1796)&gt;0,"نعم","لا (خارج الجرد)"))</f>
        <v/>
      </c>
    </row>
    <row r="1797" customFormat="false" ht="15" hidden="false" customHeight="false" outlineLevel="0" collapsed="false">
      <c r="A1797" s="103"/>
      <c r="B1797" s="104"/>
      <c r="C1797" s="104"/>
      <c r="F1797" s="107" t="str">
        <f aca="false">IF(OR($C1797="",$D1797=0),"",$E1797/$D1797)</f>
        <v/>
      </c>
      <c r="H1797" s="0" t="str">
        <f aca="false">IF($C1797="","",IF(COUNTIF('مواد المخزون'!$A$2:$A$90,$C1797)&gt;0,"نعم","لا (خارج الجرد)"))</f>
        <v/>
      </c>
    </row>
    <row r="1798" customFormat="false" ht="15" hidden="false" customHeight="false" outlineLevel="0" collapsed="false">
      <c r="A1798" s="103"/>
      <c r="B1798" s="104"/>
      <c r="C1798" s="104"/>
      <c r="F1798" s="107" t="str">
        <f aca="false">IF(OR($C1798="",$D1798=0),"",$E1798/$D1798)</f>
        <v/>
      </c>
      <c r="H1798" s="0" t="str">
        <f aca="false">IF($C1798="","",IF(COUNTIF('مواد المخزون'!$A$2:$A$90,$C1798)&gt;0,"نعم","لا (خارج الجرد)"))</f>
        <v/>
      </c>
    </row>
    <row r="1799" customFormat="false" ht="15" hidden="false" customHeight="false" outlineLevel="0" collapsed="false">
      <c r="A1799" s="103"/>
      <c r="B1799" s="104"/>
      <c r="C1799" s="104"/>
      <c r="F1799" s="107" t="str">
        <f aca="false">IF(OR($C1799="",$D1799=0),"",$E1799/$D1799)</f>
        <v/>
      </c>
      <c r="H1799" s="0" t="str">
        <f aca="false">IF($C1799="","",IF(COUNTIF('مواد المخزون'!$A$2:$A$90,$C1799)&gt;0,"نعم","لا (خارج الجرد)"))</f>
        <v/>
      </c>
    </row>
    <row r="1800" customFormat="false" ht="15" hidden="false" customHeight="false" outlineLevel="0" collapsed="false">
      <c r="A1800" s="103"/>
      <c r="B1800" s="104"/>
      <c r="C1800" s="104"/>
      <c r="F1800" s="107" t="str">
        <f aca="false">IF(OR($C1800="",$D1800=0),"",$E1800/$D1800)</f>
        <v/>
      </c>
      <c r="H1800" s="0" t="str">
        <f aca="false">IF($C1800="","",IF(COUNTIF('مواد المخزون'!$A$2:$A$90,$C1800)&gt;0,"نعم","لا (خارج الجرد)"))</f>
        <v/>
      </c>
    </row>
    <row r="1801" customFormat="false" ht="15" hidden="false" customHeight="false" outlineLevel="0" collapsed="false">
      <c r="A1801" s="103"/>
      <c r="B1801" s="104"/>
      <c r="C1801" s="104"/>
      <c r="F1801" s="107" t="str">
        <f aca="false">IF(OR($C1801="",$D1801=0),"",$E1801/$D1801)</f>
        <v/>
      </c>
      <c r="H1801" s="0" t="str">
        <f aca="false">IF($C1801="","",IF(COUNTIF('مواد المخزون'!$A$2:$A$90,$C1801)&gt;0,"نعم","لا (خارج الجرد)"))</f>
        <v/>
      </c>
    </row>
    <row r="1802" customFormat="false" ht="15" hidden="false" customHeight="false" outlineLevel="0" collapsed="false">
      <c r="A1802" s="103"/>
      <c r="B1802" s="104"/>
      <c r="C1802" s="104"/>
      <c r="F1802" s="107" t="str">
        <f aca="false">IF(OR($C1802="",$D1802=0),"",$E1802/$D1802)</f>
        <v/>
      </c>
      <c r="H1802" s="0" t="str">
        <f aca="false">IF($C1802="","",IF(COUNTIF('مواد المخزون'!$A$2:$A$90,$C1802)&gt;0,"نعم","لا (خارج الجرد)"))</f>
        <v/>
      </c>
    </row>
    <row r="1803" customFormat="false" ht="15" hidden="false" customHeight="false" outlineLevel="0" collapsed="false">
      <c r="A1803" s="103"/>
      <c r="B1803" s="104"/>
      <c r="C1803" s="104"/>
      <c r="F1803" s="107" t="str">
        <f aca="false">IF(OR($C1803="",$D1803=0),"",$E1803/$D1803)</f>
        <v/>
      </c>
      <c r="H1803" s="0" t="str">
        <f aca="false">IF($C1803="","",IF(COUNTIF('مواد المخزون'!$A$2:$A$90,$C1803)&gt;0,"نعم","لا (خارج الجرد)"))</f>
        <v/>
      </c>
    </row>
    <row r="1804" customFormat="false" ht="15" hidden="false" customHeight="false" outlineLevel="0" collapsed="false">
      <c r="A1804" s="103"/>
      <c r="B1804" s="104"/>
      <c r="C1804" s="104"/>
      <c r="F1804" s="107" t="str">
        <f aca="false">IF(OR($C1804="",$D1804=0),"",$E1804/$D1804)</f>
        <v/>
      </c>
      <c r="H1804" s="0" t="str">
        <f aca="false">IF($C1804="","",IF(COUNTIF('مواد المخزون'!$A$2:$A$90,$C1804)&gt;0,"نعم","لا (خارج الجرد)"))</f>
        <v/>
      </c>
    </row>
    <row r="1805" customFormat="false" ht="15" hidden="false" customHeight="false" outlineLevel="0" collapsed="false">
      <c r="A1805" s="103"/>
      <c r="B1805" s="104"/>
      <c r="C1805" s="104"/>
      <c r="F1805" s="107" t="str">
        <f aca="false">IF(OR($C1805="",$D1805=0),"",$E1805/$D1805)</f>
        <v/>
      </c>
      <c r="H1805" s="0" t="str">
        <f aca="false">IF($C1805="","",IF(COUNTIF('مواد المخزون'!$A$2:$A$90,$C1805)&gt;0,"نعم","لا (خارج الجرد)"))</f>
        <v/>
      </c>
    </row>
    <row r="1806" customFormat="false" ht="15" hidden="false" customHeight="false" outlineLevel="0" collapsed="false">
      <c r="A1806" s="103"/>
      <c r="B1806" s="104"/>
      <c r="C1806" s="104"/>
      <c r="F1806" s="107" t="str">
        <f aca="false">IF(OR($C1806="",$D1806=0),"",$E1806/$D1806)</f>
        <v/>
      </c>
      <c r="H1806" s="0" t="str">
        <f aca="false">IF($C1806="","",IF(COUNTIF('مواد المخزون'!$A$2:$A$90,$C1806)&gt;0,"نعم","لا (خارج الجرد)"))</f>
        <v/>
      </c>
    </row>
    <row r="1807" customFormat="false" ht="15" hidden="false" customHeight="false" outlineLevel="0" collapsed="false">
      <c r="A1807" s="103"/>
      <c r="B1807" s="104"/>
      <c r="C1807" s="104"/>
      <c r="F1807" s="107" t="str">
        <f aca="false">IF(OR($C1807="",$D1807=0),"",$E1807/$D1807)</f>
        <v/>
      </c>
      <c r="H1807" s="0" t="str">
        <f aca="false">IF($C1807="","",IF(COUNTIF('مواد المخزون'!$A$2:$A$90,$C1807)&gt;0,"نعم","لا (خارج الجرد)"))</f>
        <v/>
      </c>
    </row>
    <row r="1808" customFormat="false" ht="15" hidden="false" customHeight="false" outlineLevel="0" collapsed="false">
      <c r="A1808" s="103"/>
      <c r="B1808" s="104"/>
      <c r="C1808" s="104"/>
      <c r="F1808" s="107" t="str">
        <f aca="false">IF(OR($C1808="",$D1808=0),"",$E1808/$D1808)</f>
        <v/>
      </c>
      <c r="H1808" s="0" t="str">
        <f aca="false">IF($C1808="","",IF(COUNTIF('مواد المخزون'!$A$2:$A$90,$C1808)&gt;0,"نعم","لا (خارج الجرد)"))</f>
        <v/>
      </c>
    </row>
    <row r="1809" customFormat="false" ht="15" hidden="false" customHeight="false" outlineLevel="0" collapsed="false">
      <c r="A1809" s="103"/>
      <c r="B1809" s="104"/>
      <c r="C1809" s="104"/>
      <c r="F1809" s="107" t="str">
        <f aca="false">IF(OR($C1809="",$D1809=0),"",$E1809/$D1809)</f>
        <v/>
      </c>
      <c r="H1809" s="0" t="str">
        <f aca="false">IF($C1809="","",IF(COUNTIF('مواد المخزون'!$A$2:$A$90,$C1809)&gt;0,"نعم","لا (خارج الجرد)"))</f>
        <v/>
      </c>
    </row>
    <row r="1810" customFormat="false" ht="15" hidden="false" customHeight="false" outlineLevel="0" collapsed="false">
      <c r="A1810" s="103"/>
      <c r="B1810" s="104"/>
      <c r="C1810" s="104"/>
      <c r="F1810" s="107" t="str">
        <f aca="false">IF(OR($C1810="",$D1810=0),"",$E1810/$D1810)</f>
        <v/>
      </c>
      <c r="H1810" s="0" t="str">
        <f aca="false">IF($C1810="","",IF(COUNTIF('مواد المخزون'!$A$2:$A$90,$C1810)&gt;0,"نعم","لا (خارج الجرد)"))</f>
        <v/>
      </c>
    </row>
    <row r="1811" customFormat="false" ht="15" hidden="false" customHeight="false" outlineLevel="0" collapsed="false">
      <c r="A1811" s="103"/>
      <c r="B1811" s="104"/>
      <c r="C1811" s="104"/>
      <c r="F1811" s="107" t="str">
        <f aca="false">IF(OR($C1811="",$D1811=0),"",$E1811/$D1811)</f>
        <v/>
      </c>
      <c r="H1811" s="0" t="str">
        <f aca="false">IF($C1811="","",IF(COUNTIF('مواد المخزون'!$A$2:$A$90,$C1811)&gt;0,"نعم","لا (خارج الجرد)"))</f>
        <v/>
      </c>
    </row>
    <row r="1812" customFormat="false" ht="15" hidden="false" customHeight="false" outlineLevel="0" collapsed="false">
      <c r="A1812" s="103"/>
      <c r="B1812" s="104"/>
      <c r="C1812" s="104"/>
      <c r="F1812" s="107" t="str">
        <f aca="false">IF(OR($C1812="",$D1812=0),"",$E1812/$D1812)</f>
        <v/>
      </c>
      <c r="H1812" s="0" t="str">
        <f aca="false">IF($C1812="","",IF(COUNTIF('مواد المخزون'!$A$2:$A$90,$C1812)&gt;0,"نعم","لا (خارج الجرد)"))</f>
        <v/>
      </c>
    </row>
    <row r="1813" customFormat="false" ht="15" hidden="false" customHeight="false" outlineLevel="0" collapsed="false">
      <c r="A1813" s="103"/>
      <c r="B1813" s="104"/>
      <c r="C1813" s="104"/>
      <c r="F1813" s="107" t="str">
        <f aca="false">IF(OR($C1813="",$D1813=0),"",$E1813/$D1813)</f>
        <v/>
      </c>
      <c r="H1813" s="0" t="str">
        <f aca="false">IF($C1813="","",IF(COUNTIF('مواد المخزون'!$A$2:$A$90,$C1813)&gt;0,"نعم","لا (خارج الجرد)"))</f>
        <v/>
      </c>
    </row>
    <row r="1814" customFormat="false" ht="15" hidden="false" customHeight="false" outlineLevel="0" collapsed="false">
      <c r="A1814" s="103"/>
      <c r="B1814" s="104"/>
      <c r="C1814" s="104"/>
      <c r="F1814" s="107" t="str">
        <f aca="false">IF(OR($C1814="",$D1814=0),"",$E1814/$D1814)</f>
        <v/>
      </c>
      <c r="H1814" s="0" t="str">
        <f aca="false">IF($C1814="","",IF(COUNTIF('مواد المخزون'!$A$2:$A$90,$C1814)&gt;0,"نعم","لا (خارج الجرد)"))</f>
        <v/>
      </c>
    </row>
    <row r="1815" customFormat="false" ht="15" hidden="false" customHeight="false" outlineLevel="0" collapsed="false">
      <c r="A1815" s="103"/>
      <c r="B1815" s="104"/>
      <c r="C1815" s="104"/>
      <c r="F1815" s="107" t="str">
        <f aca="false">IF(OR($C1815="",$D1815=0),"",$E1815/$D1815)</f>
        <v/>
      </c>
      <c r="H1815" s="0" t="str">
        <f aca="false">IF($C1815="","",IF(COUNTIF('مواد المخزون'!$A$2:$A$90,$C1815)&gt;0,"نعم","لا (خارج الجرد)"))</f>
        <v/>
      </c>
    </row>
    <row r="1816" customFormat="false" ht="15" hidden="false" customHeight="false" outlineLevel="0" collapsed="false">
      <c r="A1816" s="103"/>
      <c r="B1816" s="104"/>
      <c r="C1816" s="104"/>
      <c r="F1816" s="107" t="str">
        <f aca="false">IF(OR($C1816="",$D1816=0),"",$E1816/$D1816)</f>
        <v/>
      </c>
      <c r="H1816" s="0" t="str">
        <f aca="false">IF($C1816="","",IF(COUNTIF('مواد المخزون'!$A$2:$A$90,$C1816)&gt;0,"نعم","لا (خارج الجرد)"))</f>
        <v/>
      </c>
    </row>
    <row r="1817" customFormat="false" ht="15" hidden="false" customHeight="false" outlineLevel="0" collapsed="false">
      <c r="A1817" s="103"/>
      <c r="B1817" s="104"/>
      <c r="C1817" s="104"/>
      <c r="F1817" s="107" t="str">
        <f aca="false">IF(OR($C1817="",$D1817=0),"",$E1817/$D1817)</f>
        <v/>
      </c>
      <c r="H1817" s="0" t="str">
        <f aca="false">IF($C1817="","",IF(COUNTIF('مواد المخزون'!$A$2:$A$90,$C1817)&gt;0,"نعم","لا (خارج الجرد)"))</f>
        <v/>
      </c>
    </row>
    <row r="1818" customFormat="false" ht="15" hidden="false" customHeight="false" outlineLevel="0" collapsed="false">
      <c r="A1818" s="103"/>
      <c r="B1818" s="104"/>
      <c r="C1818" s="104"/>
      <c r="F1818" s="107" t="str">
        <f aca="false">IF(OR($C1818="",$D1818=0),"",$E1818/$D1818)</f>
        <v/>
      </c>
      <c r="H1818" s="0" t="str">
        <f aca="false">IF($C1818="","",IF(COUNTIF('مواد المخزون'!$A$2:$A$90,$C1818)&gt;0,"نعم","لا (خارج الجرد)"))</f>
        <v/>
      </c>
    </row>
    <row r="1819" customFormat="false" ht="15" hidden="false" customHeight="false" outlineLevel="0" collapsed="false">
      <c r="A1819" s="103"/>
      <c r="B1819" s="104"/>
      <c r="C1819" s="104"/>
      <c r="F1819" s="107" t="str">
        <f aca="false">IF(OR($C1819="",$D1819=0),"",$E1819/$D1819)</f>
        <v/>
      </c>
      <c r="H1819" s="0" t="str">
        <f aca="false">IF($C1819="","",IF(COUNTIF('مواد المخزون'!$A$2:$A$90,$C1819)&gt;0,"نعم","لا (خارج الجرد)"))</f>
        <v/>
      </c>
    </row>
    <row r="1820" customFormat="false" ht="15" hidden="false" customHeight="false" outlineLevel="0" collapsed="false">
      <c r="A1820" s="103"/>
      <c r="B1820" s="104"/>
      <c r="C1820" s="104"/>
      <c r="F1820" s="107" t="str">
        <f aca="false">IF(OR($C1820="",$D1820=0),"",$E1820/$D1820)</f>
        <v/>
      </c>
      <c r="H1820" s="0" t="str">
        <f aca="false">IF($C1820="","",IF(COUNTIF('مواد المخزون'!$A$2:$A$90,$C1820)&gt;0,"نعم","لا (خارج الجرد)"))</f>
        <v/>
      </c>
    </row>
    <row r="1821" customFormat="false" ht="15" hidden="false" customHeight="false" outlineLevel="0" collapsed="false">
      <c r="A1821" s="103"/>
      <c r="B1821" s="104"/>
      <c r="C1821" s="104"/>
      <c r="F1821" s="107" t="str">
        <f aca="false">IF(OR($C1821="",$D1821=0),"",$E1821/$D1821)</f>
        <v/>
      </c>
      <c r="H1821" s="0" t="str">
        <f aca="false">IF($C1821="","",IF(COUNTIF('مواد المخزون'!$A$2:$A$90,$C1821)&gt;0,"نعم","لا (خارج الجرد)"))</f>
        <v/>
      </c>
    </row>
    <row r="1822" customFormat="false" ht="15" hidden="false" customHeight="false" outlineLevel="0" collapsed="false">
      <c r="A1822" s="103"/>
      <c r="B1822" s="104"/>
      <c r="C1822" s="104"/>
      <c r="F1822" s="107" t="str">
        <f aca="false">IF(OR($C1822="",$D1822=0),"",$E1822/$D1822)</f>
        <v/>
      </c>
      <c r="H1822" s="0" t="str">
        <f aca="false">IF($C1822="","",IF(COUNTIF('مواد المخزون'!$A$2:$A$90,$C1822)&gt;0,"نعم","لا (خارج الجرد)"))</f>
        <v/>
      </c>
    </row>
    <row r="1823" customFormat="false" ht="15" hidden="false" customHeight="false" outlineLevel="0" collapsed="false">
      <c r="A1823" s="103"/>
      <c r="B1823" s="104"/>
      <c r="C1823" s="104"/>
      <c r="F1823" s="107" t="str">
        <f aca="false">IF(OR($C1823="",$D1823=0),"",$E1823/$D1823)</f>
        <v/>
      </c>
      <c r="H1823" s="0" t="str">
        <f aca="false">IF($C1823="","",IF(COUNTIF('مواد المخزون'!$A$2:$A$90,$C1823)&gt;0,"نعم","لا (خارج الجرد)"))</f>
        <v/>
      </c>
    </row>
    <row r="1824" customFormat="false" ht="15" hidden="false" customHeight="false" outlineLevel="0" collapsed="false">
      <c r="A1824" s="103"/>
      <c r="B1824" s="104"/>
      <c r="C1824" s="104"/>
      <c r="F1824" s="107" t="str">
        <f aca="false">IF(OR($C1824="",$D1824=0),"",$E1824/$D1824)</f>
        <v/>
      </c>
      <c r="H1824" s="0" t="str">
        <f aca="false">IF($C1824="","",IF(COUNTIF('مواد المخزون'!$A$2:$A$90,$C1824)&gt;0,"نعم","لا (خارج الجرد)"))</f>
        <v/>
      </c>
    </row>
    <row r="1825" customFormat="false" ht="15" hidden="false" customHeight="false" outlineLevel="0" collapsed="false">
      <c r="A1825" s="103"/>
      <c r="B1825" s="104"/>
      <c r="C1825" s="104"/>
      <c r="F1825" s="107" t="str">
        <f aca="false">IF(OR($C1825="",$D1825=0),"",$E1825/$D1825)</f>
        <v/>
      </c>
      <c r="H1825" s="0" t="str">
        <f aca="false">IF($C1825="","",IF(COUNTIF('مواد المخزون'!$A$2:$A$90,$C1825)&gt;0,"نعم","لا (خارج الجرد)"))</f>
        <v/>
      </c>
    </row>
    <row r="1826" customFormat="false" ht="15" hidden="false" customHeight="false" outlineLevel="0" collapsed="false">
      <c r="A1826" s="103"/>
      <c r="B1826" s="104"/>
      <c r="C1826" s="104"/>
      <c r="F1826" s="107" t="str">
        <f aca="false">IF(OR($C1826="",$D1826=0),"",$E1826/$D1826)</f>
        <v/>
      </c>
      <c r="H1826" s="0" t="str">
        <f aca="false">IF($C1826="","",IF(COUNTIF('مواد المخزون'!$A$2:$A$90,$C1826)&gt;0,"نعم","لا (خارج الجرد)"))</f>
        <v/>
      </c>
    </row>
    <row r="1827" customFormat="false" ht="15" hidden="false" customHeight="false" outlineLevel="0" collapsed="false">
      <c r="A1827" s="103"/>
      <c r="B1827" s="104"/>
      <c r="C1827" s="104"/>
      <c r="F1827" s="107" t="str">
        <f aca="false">IF(OR($C1827="",$D1827=0),"",$E1827/$D1827)</f>
        <v/>
      </c>
      <c r="H1827" s="0" t="str">
        <f aca="false">IF($C1827="","",IF(COUNTIF('مواد المخزون'!$A$2:$A$90,$C1827)&gt;0,"نعم","لا (خارج الجرد)"))</f>
        <v/>
      </c>
    </row>
    <row r="1828" customFormat="false" ht="15" hidden="false" customHeight="false" outlineLevel="0" collapsed="false">
      <c r="A1828" s="103"/>
      <c r="B1828" s="104"/>
      <c r="C1828" s="104"/>
      <c r="F1828" s="107" t="str">
        <f aca="false">IF(OR($C1828="",$D1828=0),"",$E1828/$D1828)</f>
        <v/>
      </c>
      <c r="H1828" s="0" t="str">
        <f aca="false">IF($C1828="","",IF(COUNTIF('مواد المخزون'!$A$2:$A$90,$C1828)&gt;0,"نعم","لا (خارج الجرد)"))</f>
        <v/>
      </c>
    </row>
    <row r="1829" customFormat="false" ht="15" hidden="false" customHeight="false" outlineLevel="0" collapsed="false">
      <c r="A1829" s="103"/>
      <c r="B1829" s="104"/>
      <c r="C1829" s="104"/>
      <c r="F1829" s="107" t="str">
        <f aca="false">IF(OR($C1829="",$D1829=0),"",$E1829/$D1829)</f>
        <v/>
      </c>
      <c r="H1829" s="0" t="str">
        <f aca="false">IF($C1829="","",IF(COUNTIF('مواد المخزون'!$A$2:$A$90,$C1829)&gt;0,"نعم","لا (خارج الجرد)"))</f>
        <v/>
      </c>
    </row>
    <row r="1830" customFormat="false" ht="15" hidden="false" customHeight="false" outlineLevel="0" collapsed="false">
      <c r="A1830" s="103"/>
      <c r="B1830" s="104"/>
      <c r="C1830" s="104"/>
      <c r="F1830" s="107" t="str">
        <f aca="false">IF(OR($C1830="",$D1830=0),"",$E1830/$D1830)</f>
        <v/>
      </c>
      <c r="H1830" s="0" t="str">
        <f aca="false">IF($C1830="","",IF(COUNTIF('مواد المخزون'!$A$2:$A$90,$C1830)&gt;0,"نعم","لا (خارج الجرد)"))</f>
        <v/>
      </c>
    </row>
    <row r="1831" customFormat="false" ht="15" hidden="false" customHeight="false" outlineLevel="0" collapsed="false">
      <c r="A1831" s="103"/>
      <c r="B1831" s="104"/>
      <c r="C1831" s="104"/>
      <c r="F1831" s="107" t="str">
        <f aca="false">IF(OR($C1831="",$D1831=0),"",$E1831/$D1831)</f>
        <v/>
      </c>
      <c r="H1831" s="0" t="str">
        <f aca="false">IF($C1831="","",IF(COUNTIF('مواد المخزون'!$A$2:$A$90,$C1831)&gt;0,"نعم","لا (خارج الجرد)"))</f>
        <v/>
      </c>
    </row>
    <row r="1832" customFormat="false" ht="15" hidden="false" customHeight="false" outlineLevel="0" collapsed="false">
      <c r="A1832" s="103"/>
      <c r="B1832" s="104"/>
      <c r="C1832" s="104"/>
      <c r="F1832" s="107" t="str">
        <f aca="false">IF(OR($C1832="",$D1832=0),"",$E1832/$D1832)</f>
        <v/>
      </c>
      <c r="H1832" s="0" t="str">
        <f aca="false">IF($C1832="","",IF(COUNTIF('مواد المخزون'!$A$2:$A$90,$C1832)&gt;0,"نعم","لا (خارج الجرد)"))</f>
        <v/>
      </c>
    </row>
    <row r="1833" customFormat="false" ht="15" hidden="false" customHeight="false" outlineLevel="0" collapsed="false">
      <c r="A1833" s="103"/>
      <c r="B1833" s="104"/>
      <c r="C1833" s="104"/>
      <c r="F1833" s="107" t="str">
        <f aca="false">IF(OR($C1833="",$D1833=0),"",$E1833/$D1833)</f>
        <v/>
      </c>
      <c r="H1833" s="0" t="str">
        <f aca="false">IF($C1833="","",IF(COUNTIF('مواد المخزون'!$A$2:$A$90,$C1833)&gt;0,"نعم","لا (خارج الجرد)"))</f>
        <v/>
      </c>
    </row>
    <row r="1834" customFormat="false" ht="15" hidden="false" customHeight="false" outlineLevel="0" collapsed="false">
      <c r="A1834" s="103"/>
      <c r="B1834" s="104"/>
      <c r="C1834" s="104"/>
      <c r="F1834" s="107" t="str">
        <f aca="false">IF(OR($C1834="",$D1834=0),"",$E1834/$D1834)</f>
        <v/>
      </c>
      <c r="H1834" s="0" t="str">
        <f aca="false">IF($C1834="","",IF(COUNTIF('مواد المخزون'!$A$2:$A$90,$C1834)&gt;0,"نعم","لا (خارج الجرد)"))</f>
        <v/>
      </c>
    </row>
    <row r="1835" customFormat="false" ht="15" hidden="false" customHeight="false" outlineLevel="0" collapsed="false">
      <c r="A1835" s="103"/>
      <c r="B1835" s="104"/>
      <c r="C1835" s="104"/>
      <c r="F1835" s="107" t="str">
        <f aca="false">IF(OR($C1835="",$D1835=0),"",$E1835/$D1835)</f>
        <v/>
      </c>
      <c r="H1835" s="0" t="str">
        <f aca="false">IF($C1835="","",IF(COUNTIF('مواد المخزون'!$A$2:$A$90,$C1835)&gt;0,"نعم","لا (خارج الجرد)"))</f>
        <v/>
      </c>
    </row>
    <row r="1836" customFormat="false" ht="15" hidden="false" customHeight="false" outlineLevel="0" collapsed="false">
      <c r="A1836" s="103"/>
      <c r="B1836" s="104"/>
      <c r="C1836" s="104"/>
      <c r="F1836" s="107" t="str">
        <f aca="false">IF(OR($C1836="",$D1836=0),"",$E1836/$D1836)</f>
        <v/>
      </c>
      <c r="H1836" s="0" t="str">
        <f aca="false">IF($C1836="","",IF(COUNTIF('مواد المخزون'!$A$2:$A$90,$C1836)&gt;0,"نعم","لا (خارج الجرد)"))</f>
        <v/>
      </c>
    </row>
    <row r="1837" customFormat="false" ht="15" hidden="false" customHeight="false" outlineLevel="0" collapsed="false">
      <c r="A1837" s="103"/>
      <c r="B1837" s="104"/>
      <c r="C1837" s="104"/>
      <c r="F1837" s="107" t="str">
        <f aca="false">IF(OR($C1837="",$D1837=0),"",$E1837/$D1837)</f>
        <v/>
      </c>
      <c r="H1837" s="0" t="str">
        <f aca="false">IF($C1837="","",IF(COUNTIF('مواد المخزون'!$A$2:$A$90,$C1837)&gt;0,"نعم","لا (خارج الجرد)"))</f>
        <v/>
      </c>
    </row>
    <row r="1838" customFormat="false" ht="15" hidden="false" customHeight="false" outlineLevel="0" collapsed="false">
      <c r="A1838" s="103"/>
      <c r="B1838" s="104"/>
      <c r="C1838" s="104"/>
      <c r="F1838" s="107" t="str">
        <f aca="false">IF(OR($C1838="",$D1838=0),"",$E1838/$D1838)</f>
        <v/>
      </c>
      <c r="H1838" s="0" t="str">
        <f aca="false">IF($C1838="","",IF(COUNTIF('مواد المخزون'!$A$2:$A$90,$C1838)&gt;0,"نعم","لا (خارج الجرد)"))</f>
        <v/>
      </c>
    </row>
    <row r="1839" customFormat="false" ht="15" hidden="false" customHeight="false" outlineLevel="0" collapsed="false">
      <c r="A1839" s="103"/>
      <c r="B1839" s="104"/>
      <c r="C1839" s="104"/>
      <c r="F1839" s="107" t="str">
        <f aca="false">IF(OR($C1839="",$D1839=0),"",$E1839/$D1839)</f>
        <v/>
      </c>
      <c r="H1839" s="0" t="str">
        <f aca="false">IF($C1839="","",IF(COUNTIF('مواد المخزون'!$A$2:$A$90,$C1839)&gt;0,"نعم","لا (خارج الجرد)"))</f>
        <v/>
      </c>
    </row>
    <row r="1840" customFormat="false" ht="15" hidden="false" customHeight="false" outlineLevel="0" collapsed="false">
      <c r="A1840" s="103"/>
      <c r="B1840" s="104"/>
      <c r="C1840" s="104"/>
      <c r="F1840" s="107" t="str">
        <f aca="false">IF(OR($C1840="",$D1840=0),"",$E1840/$D1840)</f>
        <v/>
      </c>
      <c r="H1840" s="0" t="str">
        <f aca="false">IF($C1840="","",IF(COUNTIF('مواد المخزون'!$A$2:$A$90,$C1840)&gt;0,"نعم","لا (خارج الجرد)"))</f>
        <v/>
      </c>
    </row>
    <row r="1841" customFormat="false" ht="15" hidden="false" customHeight="false" outlineLevel="0" collapsed="false">
      <c r="A1841" s="103"/>
      <c r="B1841" s="104"/>
      <c r="C1841" s="104"/>
      <c r="F1841" s="107" t="str">
        <f aca="false">IF(OR($C1841="",$D1841=0),"",$E1841/$D1841)</f>
        <v/>
      </c>
      <c r="H1841" s="0" t="str">
        <f aca="false">IF($C1841="","",IF(COUNTIF('مواد المخزون'!$A$2:$A$90,$C1841)&gt;0,"نعم","لا (خارج الجرد)"))</f>
        <v/>
      </c>
    </row>
    <row r="1842" customFormat="false" ht="15" hidden="false" customHeight="false" outlineLevel="0" collapsed="false">
      <c r="A1842" s="103"/>
      <c r="B1842" s="104"/>
      <c r="C1842" s="104"/>
      <c r="F1842" s="107" t="str">
        <f aca="false">IF(OR($C1842="",$D1842=0),"",$E1842/$D1842)</f>
        <v/>
      </c>
      <c r="H1842" s="0" t="str">
        <f aca="false">IF($C1842="","",IF(COUNTIF('مواد المخزون'!$A$2:$A$90,$C1842)&gt;0,"نعم","لا (خارج الجرد)"))</f>
        <v/>
      </c>
    </row>
    <row r="1843" customFormat="false" ht="15" hidden="false" customHeight="false" outlineLevel="0" collapsed="false">
      <c r="A1843" s="103"/>
      <c r="B1843" s="104"/>
      <c r="C1843" s="104"/>
      <c r="F1843" s="107" t="str">
        <f aca="false">IF(OR($C1843="",$D1843=0),"",$E1843/$D1843)</f>
        <v/>
      </c>
      <c r="H1843" s="0" t="str">
        <f aca="false">IF($C1843="","",IF(COUNTIF('مواد المخزون'!$A$2:$A$90,$C1843)&gt;0,"نعم","لا (خارج الجرد)"))</f>
        <v/>
      </c>
    </row>
    <row r="1844" customFormat="false" ht="15" hidden="false" customHeight="false" outlineLevel="0" collapsed="false">
      <c r="A1844" s="103"/>
      <c r="B1844" s="104"/>
      <c r="C1844" s="104"/>
      <c r="F1844" s="107" t="str">
        <f aca="false">IF(OR($C1844="",$D1844=0),"",$E1844/$D1844)</f>
        <v/>
      </c>
      <c r="H1844" s="0" t="str">
        <f aca="false">IF($C1844="","",IF(COUNTIF('مواد المخزون'!$A$2:$A$90,$C1844)&gt;0,"نعم","لا (خارج الجرد)"))</f>
        <v/>
      </c>
    </row>
    <row r="1845" customFormat="false" ht="15" hidden="false" customHeight="false" outlineLevel="0" collapsed="false">
      <c r="A1845" s="103"/>
      <c r="B1845" s="104"/>
      <c r="C1845" s="104"/>
      <c r="F1845" s="107" t="str">
        <f aca="false">IF(OR($C1845="",$D1845=0),"",$E1845/$D1845)</f>
        <v/>
      </c>
      <c r="H1845" s="0" t="str">
        <f aca="false">IF($C1845="","",IF(COUNTIF('مواد المخزون'!$A$2:$A$90,$C1845)&gt;0,"نعم","لا (خارج الجرد)"))</f>
        <v/>
      </c>
    </row>
    <row r="1846" customFormat="false" ht="15" hidden="false" customHeight="false" outlineLevel="0" collapsed="false">
      <c r="A1846" s="103"/>
      <c r="B1846" s="104"/>
      <c r="C1846" s="104"/>
      <c r="F1846" s="107" t="str">
        <f aca="false">IF(OR($C1846="",$D1846=0),"",$E1846/$D1846)</f>
        <v/>
      </c>
      <c r="H1846" s="0" t="str">
        <f aca="false">IF($C1846="","",IF(COUNTIF('مواد المخزون'!$A$2:$A$90,$C1846)&gt;0,"نعم","لا (خارج الجرد)"))</f>
        <v/>
      </c>
    </row>
    <row r="1847" customFormat="false" ht="15" hidden="false" customHeight="false" outlineLevel="0" collapsed="false">
      <c r="A1847" s="103"/>
      <c r="B1847" s="104"/>
      <c r="C1847" s="104"/>
      <c r="F1847" s="107" t="str">
        <f aca="false">IF(OR($C1847="",$D1847=0),"",$E1847/$D1847)</f>
        <v/>
      </c>
      <c r="H1847" s="0" t="str">
        <f aca="false">IF($C1847="","",IF(COUNTIF('مواد المخزون'!$A$2:$A$90,$C1847)&gt;0,"نعم","لا (خارج الجرد)"))</f>
        <v/>
      </c>
    </row>
    <row r="1848" customFormat="false" ht="15" hidden="false" customHeight="false" outlineLevel="0" collapsed="false">
      <c r="A1848" s="103"/>
      <c r="B1848" s="104"/>
      <c r="C1848" s="104"/>
      <c r="F1848" s="107" t="str">
        <f aca="false">IF(OR($C1848="",$D1848=0),"",$E1848/$D1848)</f>
        <v/>
      </c>
      <c r="H1848" s="0" t="str">
        <f aca="false">IF($C1848="","",IF(COUNTIF('مواد المخزون'!$A$2:$A$90,$C1848)&gt;0,"نعم","لا (خارج الجرد)"))</f>
        <v/>
      </c>
    </row>
    <row r="1849" customFormat="false" ht="15" hidden="false" customHeight="false" outlineLevel="0" collapsed="false">
      <c r="A1849" s="103"/>
      <c r="B1849" s="104"/>
      <c r="C1849" s="104"/>
      <c r="F1849" s="107" t="str">
        <f aca="false">IF(OR($C1849="",$D1849=0),"",$E1849/$D1849)</f>
        <v/>
      </c>
      <c r="H1849" s="0" t="str">
        <f aca="false">IF($C1849="","",IF(COUNTIF('مواد المخزون'!$A$2:$A$90,$C1849)&gt;0,"نعم","لا (خارج الجرد)"))</f>
        <v/>
      </c>
    </row>
    <row r="1850" customFormat="false" ht="15" hidden="false" customHeight="false" outlineLevel="0" collapsed="false">
      <c r="A1850" s="103"/>
      <c r="B1850" s="104"/>
      <c r="C1850" s="104"/>
      <c r="F1850" s="107" t="str">
        <f aca="false">IF(OR($C1850="",$D1850=0),"",$E1850/$D1850)</f>
        <v/>
      </c>
      <c r="H1850" s="0" t="str">
        <f aca="false">IF($C1850="","",IF(COUNTIF('مواد المخزون'!$A$2:$A$90,$C1850)&gt;0,"نعم","لا (خارج الجرد)"))</f>
        <v/>
      </c>
    </row>
    <row r="1851" customFormat="false" ht="15" hidden="false" customHeight="false" outlineLevel="0" collapsed="false">
      <c r="A1851" s="103"/>
      <c r="B1851" s="104"/>
      <c r="C1851" s="104"/>
      <c r="F1851" s="107" t="str">
        <f aca="false">IF(OR($C1851="",$D1851=0),"",$E1851/$D1851)</f>
        <v/>
      </c>
      <c r="H1851" s="0" t="str">
        <f aca="false">IF($C1851="","",IF(COUNTIF('مواد المخزون'!$A$2:$A$90,$C1851)&gt;0,"نعم","لا (خارج الجرد)"))</f>
        <v/>
      </c>
    </row>
    <row r="1852" customFormat="false" ht="15" hidden="false" customHeight="false" outlineLevel="0" collapsed="false">
      <c r="A1852" s="103"/>
      <c r="B1852" s="104"/>
      <c r="C1852" s="104"/>
      <c r="F1852" s="107" t="str">
        <f aca="false">IF(OR($C1852="",$D1852=0),"",$E1852/$D1852)</f>
        <v/>
      </c>
      <c r="H1852" s="0" t="str">
        <f aca="false">IF($C1852="","",IF(COUNTIF('مواد المخزون'!$A$2:$A$90,$C1852)&gt;0,"نعم","لا (خارج الجرد)"))</f>
        <v/>
      </c>
    </row>
    <row r="1853" customFormat="false" ht="15" hidden="false" customHeight="false" outlineLevel="0" collapsed="false">
      <c r="A1853" s="103"/>
      <c r="B1853" s="104"/>
      <c r="C1853" s="104"/>
      <c r="F1853" s="107" t="str">
        <f aca="false">IF(OR($C1853="",$D1853=0),"",$E1853/$D1853)</f>
        <v/>
      </c>
      <c r="H1853" s="0" t="str">
        <f aca="false">IF($C1853="","",IF(COUNTIF('مواد المخزون'!$A$2:$A$90,$C1853)&gt;0,"نعم","لا (خارج الجرد)"))</f>
        <v/>
      </c>
    </row>
    <row r="1854" customFormat="false" ht="15" hidden="false" customHeight="false" outlineLevel="0" collapsed="false">
      <c r="A1854" s="103"/>
      <c r="B1854" s="104"/>
      <c r="C1854" s="104"/>
      <c r="F1854" s="107" t="str">
        <f aca="false">IF(OR($C1854="",$D1854=0),"",$E1854/$D1854)</f>
        <v/>
      </c>
      <c r="H1854" s="0" t="str">
        <f aca="false">IF($C1854="","",IF(COUNTIF('مواد المخزون'!$A$2:$A$90,$C1854)&gt;0,"نعم","لا (خارج الجرد)"))</f>
        <v/>
      </c>
    </row>
    <row r="1855" customFormat="false" ht="15" hidden="false" customHeight="false" outlineLevel="0" collapsed="false">
      <c r="A1855" s="103"/>
      <c r="B1855" s="104"/>
      <c r="C1855" s="104"/>
      <c r="F1855" s="107" t="str">
        <f aca="false">IF(OR($C1855="",$D1855=0),"",$E1855/$D1855)</f>
        <v/>
      </c>
      <c r="H1855" s="0" t="str">
        <f aca="false">IF($C1855="","",IF(COUNTIF('مواد المخزون'!$A$2:$A$90,$C1855)&gt;0,"نعم","لا (خارج الجرد)"))</f>
        <v/>
      </c>
    </row>
    <row r="1856" customFormat="false" ht="15" hidden="false" customHeight="false" outlineLevel="0" collapsed="false">
      <c r="A1856" s="103"/>
      <c r="B1856" s="104"/>
      <c r="C1856" s="104"/>
      <c r="F1856" s="107" t="str">
        <f aca="false">IF(OR($C1856="",$D1856=0),"",$E1856/$D1856)</f>
        <v/>
      </c>
      <c r="H1856" s="0" t="str">
        <f aca="false">IF($C1856="","",IF(COUNTIF('مواد المخزون'!$A$2:$A$90,$C1856)&gt;0,"نعم","لا (خارج الجرد)"))</f>
        <v/>
      </c>
    </row>
    <row r="1857" customFormat="false" ht="15" hidden="false" customHeight="false" outlineLevel="0" collapsed="false">
      <c r="A1857" s="103"/>
      <c r="B1857" s="104"/>
      <c r="C1857" s="104"/>
      <c r="F1857" s="107" t="str">
        <f aca="false">IF(OR($C1857="",$D1857=0),"",$E1857/$D1857)</f>
        <v/>
      </c>
      <c r="H1857" s="0" t="str">
        <f aca="false">IF($C1857="","",IF(COUNTIF('مواد المخزون'!$A$2:$A$90,$C1857)&gt;0,"نعم","لا (خارج الجرد)"))</f>
        <v/>
      </c>
    </row>
    <row r="1858" customFormat="false" ht="15" hidden="false" customHeight="false" outlineLevel="0" collapsed="false">
      <c r="A1858" s="103"/>
      <c r="B1858" s="104"/>
      <c r="C1858" s="104"/>
      <c r="F1858" s="107" t="str">
        <f aca="false">IF(OR($C1858="",$D1858=0),"",$E1858/$D1858)</f>
        <v/>
      </c>
      <c r="H1858" s="0" t="str">
        <f aca="false">IF($C1858="","",IF(COUNTIF('مواد المخزون'!$A$2:$A$90,$C1858)&gt;0,"نعم","لا (خارج الجرد)"))</f>
        <v/>
      </c>
    </row>
    <row r="1859" customFormat="false" ht="15" hidden="false" customHeight="false" outlineLevel="0" collapsed="false">
      <c r="A1859" s="103"/>
      <c r="B1859" s="104"/>
      <c r="C1859" s="104"/>
      <c r="F1859" s="107" t="str">
        <f aca="false">IF(OR($C1859="",$D1859=0),"",$E1859/$D1859)</f>
        <v/>
      </c>
      <c r="H1859" s="0" t="str">
        <f aca="false">IF($C1859="","",IF(COUNTIF('مواد المخزون'!$A$2:$A$90,$C1859)&gt;0,"نعم","لا (خارج الجرد)"))</f>
        <v/>
      </c>
    </row>
    <row r="1860" customFormat="false" ht="15" hidden="false" customHeight="false" outlineLevel="0" collapsed="false">
      <c r="A1860" s="103"/>
      <c r="B1860" s="104"/>
      <c r="C1860" s="104"/>
      <c r="F1860" s="107" t="str">
        <f aca="false">IF(OR($C1860="",$D1860=0),"",$E1860/$D1860)</f>
        <v/>
      </c>
      <c r="H1860" s="0" t="str">
        <f aca="false">IF($C1860="","",IF(COUNTIF('مواد المخزون'!$A$2:$A$90,$C1860)&gt;0,"نعم","لا (خارج الجرد)"))</f>
        <v/>
      </c>
    </row>
    <row r="1861" customFormat="false" ht="15" hidden="false" customHeight="false" outlineLevel="0" collapsed="false">
      <c r="A1861" s="103"/>
      <c r="B1861" s="104"/>
      <c r="C1861" s="104"/>
      <c r="F1861" s="107" t="str">
        <f aca="false">IF(OR($C1861="",$D1861=0),"",$E1861/$D1861)</f>
        <v/>
      </c>
      <c r="H1861" s="0" t="str">
        <f aca="false">IF($C1861="","",IF(COUNTIF('مواد المخزون'!$A$2:$A$90,$C1861)&gt;0,"نعم","لا (خارج الجرد)"))</f>
        <v/>
      </c>
    </row>
    <row r="1862" customFormat="false" ht="15" hidden="false" customHeight="false" outlineLevel="0" collapsed="false">
      <c r="A1862" s="103"/>
      <c r="B1862" s="104"/>
      <c r="C1862" s="104"/>
      <c r="F1862" s="107" t="str">
        <f aca="false">IF(OR($C1862="",$D1862=0),"",$E1862/$D1862)</f>
        <v/>
      </c>
      <c r="H1862" s="0" t="str">
        <f aca="false">IF($C1862="","",IF(COUNTIF('مواد المخزون'!$A$2:$A$90,$C1862)&gt;0,"نعم","لا (خارج الجرد)"))</f>
        <v/>
      </c>
    </row>
    <row r="1863" customFormat="false" ht="15" hidden="false" customHeight="false" outlineLevel="0" collapsed="false">
      <c r="A1863" s="103"/>
      <c r="B1863" s="104"/>
      <c r="C1863" s="104"/>
      <c r="F1863" s="107" t="str">
        <f aca="false">IF(OR($C1863="",$D1863=0),"",$E1863/$D1863)</f>
        <v/>
      </c>
      <c r="H1863" s="0" t="str">
        <f aca="false">IF($C1863="","",IF(COUNTIF('مواد المخزون'!$A$2:$A$90,$C1863)&gt;0,"نعم","لا (خارج الجرد)"))</f>
        <v/>
      </c>
    </row>
    <row r="1864" customFormat="false" ht="15" hidden="false" customHeight="false" outlineLevel="0" collapsed="false">
      <c r="A1864" s="103"/>
      <c r="B1864" s="104"/>
      <c r="C1864" s="104"/>
      <c r="F1864" s="107" t="str">
        <f aca="false">IF(OR($C1864="",$D1864=0),"",$E1864/$D1864)</f>
        <v/>
      </c>
      <c r="H1864" s="0" t="str">
        <f aca="false">IF($C1864="","",IF(COUNTIF('مواد المخزون'!$A$2:$A$90,$C1864)&gt;0,"نعم","لا (خارج الجرد)"))</f>
        <v/>
      </c>
    </row>
    <row r="1865" customFormat="false" ht="15" hidden="false" customHeight="false" outlineLevel="0" collapsed="false">
      <c r="A1865" s="103"/>
      <c r="B1865" s="104"/>
      <c r="C1865" s="104"/>
      <c r="F1865" s="107" t="str">
        <f aca="false">IF(OR($C1865="",$D1865=0),"",$E1865/$D1865)</f>
        <v/>
      </c>
      <c r="H1865" s="0" t="str">
        <f aca="false">IF($C1865="","",IF(COUNTIF('مواد المخزون'!$A$2:$A$90,$C1865)&gt;0,"نعم","لا (خارج الجرد)"))</f>
        <v/>
      </c>
    </row>
    <row r="1866" customFormat="false" ht="15" hidden="false" customHeight="false" outlineLevel="0" collapsed="false">
      <c r="A1866" s="103"/>
      <c r="B1866" s="104"/>
      <c r="C1866" s="104"/>
      <c r="F1866" s="107" t="str">
        <f aca="false">IF(OR($C1866="",$D1866=0),"",$E1866/$D1866)</f>
        <v/>
      </c>
      <c r="H1866" s="0" t="str">
        <f aca="false">IF($C1866="","",IF(COUNTIF('مواد المخزون'!$A$2:$A$90,$C1866)&gt;0,"نعم","لا (خارج الجرد)"))</f>
        <v/>
      </c>
    </row>
    <row r="1867" customFormat="false" ht="15" hidden="false" customHeight="false" outlineLevel="0" collapsed="false">
      <c r="A1867" s="103"/>
      <c r="B1867" s="104"/>
      <c r="C1867" s="104"/>
      <c r="F1867" s="107" t="str">
        <f aca="false">IF(OR($C1867="",$D1867=0),"",$E1867/$D1867)</f>
        <v/>
      </c>
      <c r="H1867" s="0" t="str">
        <f aca="false">IF($C1867="","",IF(COUNTIF('مواد المخزون'!$A$2:$A$90,$C1867)&gt;0,"نعم","لا (خارج الجرد)"))</f>
        <v/>
      </c>
    </row>
    <row r="1868" customFormat="false" ht="15" hidden="false" customHeight="false" outlineLevel="0" collapsed="false">
      <c r="A1868" s="103"/>
      <c r="B1868" s="104"/>
      <c r="C1868" s="104"/>
      <c r="F1868" s="107" t="str">
        <f aca="false">IF(OR($C1868="",$D1868=0),"",$E1868/$D1868)</f>
        <v/>
      </c>
      <c r="H1868" s="0" t="str">
        <f aca="false">IF($C1868="","",IF(COUNTIF('مواد المخزون'!$A$2:$A$90,$C1868)&gt;0,"نعم","لا (خارج الجرد)"))</f>
        <v/>
      </c>
    </row>
    <row r="1869" customFormat="false" ht="15" hidden="false" customHeight="false" outlineLevel="0" collapsed="false">
      <c r="A1869" s="103"/>
      <c r="B1869" s="104"/>
      <c r="C1869" s="104"/>
      <c r="F1869" s="107" t="str">
        <f aca="false">IF(OR($C1869="",$D1869=0),"",$E1869/$D1869)</f>
        <v/>
      </c>
      <c r="H1869" s="0" t="str">
        <f aca="false">IF($C1869="","",IF(COUNTIF('مواد المخزون'!$A$2:$A$90,$C1869)&gt;0,"نعم","لا (خارج الجرد)"))</f>
        <v/>
      </c>
    </row>
    <row r="1870" customFormat="false" ht="15" hidden="false" customHeight="false" outlineLevel="0" collapsed="false">
      <c r="A1870" s="103"/>
      <c r="B1870" s="104"/>
      <c r="C1870" s="104"/>
      <c r="F1870" s="107" t="str">
        <f aca="false">IF(OR($C1870="",$D1870=0),"",$E1870/$D1870)</f>
        <v/>
      </c>
      <c r="H1870" s="0" t="str">
        <f aca="false">IF($C1870="","",IF(COUNTIF('مواد المخزون'!$A$2:$A$90,$C1870)&gt;0,"نعم","لا (خارج الجرد)"))</f>
        <v/>
      </c>
    </row>
    <row r="1871" customFormat="false" ht="15" hidden="false" customHeight="false" outlineLevel="0" collapsed="false">
      <c r="A1871" s="103"/>
      <c r="B1871" s="104"/>
      <c r="C1871" s="104"/>
      <c r="F1871" s="107" t="str">
        <f aca="false">IF(OR($C1871="",$D1871=0),"",$E1871/$D1871)</f>
        <v/>
      </c>
      <c r="H1871" s="0" t="str">
        <f aca="false">IF($C1871="","",IF(COUNTIF('مواد المخزون'!$A$2:$A$90,$C1871)&gt;0,"نعم","لا (خارج الجرد)"))</f>
        <v/>
      </c>
    </row>
    <row r="1872" customFormat="false" ht="15" hidden="false" customHeight="false" outlineLevel="0" collapsed="false">
      <c r="A1872" s="103"/>
      <c r="B1872" s="104"/>
      <c r="C1872" s="104"/>
      <c r="F1872" s="107" t="str">
        <f aca="false">IF(OR($C1872="",$D1872=0),"",$E1872/$D1872)</f>
        <v/>
      </c>
      <c r="H1872" s="0" t="str">
        <f aca="false">IF($C1872="","",IF(COUNTIF('مواد المخزون'!$A$2:$A$90,$C1872)&gt;0,"نعم","لا (خارج الجرد)"))</f>
        <v/>
      </c>
    </row>
    <row r="1873" customFormat="false" ht="15" hidden="false" customHeight="false" outlineLevel="0" collapsed="false">
      <c r="A1873" s="103"/>
      <c r="B1873" s="104"/>
      <c r="C1873" s="104"/>
      <c r="F1873" s="107" t="str">
        <f aca="false">IF(OR($C1873="",$D1873=0),"",$E1873/$D1873)</f>
        <v/>
      </c>
      <c r="H1873" s="0" t="str">
        <f aca="false">IF($C1873="","",IF(COUNTIF('مواد المخزون'!$A$2:$A$90,$C1873)&gt;0,"نعم","لا (خارج الجرد)"))</f>
        <v/>
      </c>
    </row>
    <row r="1874" customFormat="false" ht="15" hidden="false" customHeight="false" outlineLevel="0" collapsed="false">
      <c r="A1874" s="103"/>
      <c r="B1874" s="104"/>
      <c r="C1874" s="104"/>
      <c r="F1874" s="107" t="str">
        <f aca="false">IF(OR($C1874="",$D1874=0),"",$E1874/$D1874)</f>
        <v/>
      </c>
      <c r="H1874" s="0" t="str">
        <f aca="false">IF($C1874="","",IF(COUNTIF('مواد المخزون'!$A$2:$A$90,$C1874)&gt;0,"نعم","لا (خارج الجرد)"))</f>
        <v/>
      </c>
    </row>
    <row r="1875" customFormat="false" ht="15" hidden="false" customHeight="false" outlineLevel="0" collapsed="false">
      <c r="A1875" s="103"/>
      <c r="B1875" s="104"/>
      <c r="C1875" s="104"/>
      <c r="F1875" s="107" t="str">
        <f aca="false">IF(OR($C1875="",$D1875=0),"",$E1875/$D1875)</f>
        <v/>
      </c>
      <c r="H1875" s="0" t="str">
        <f aca="false">IF($C1875="","",IF(COUNTIF('مواد المخزون'!$A$2:$A$90,$C1875)&gt;0,"نعم","لا (خارج الجرد)"))</f>
        <v/>
      </c>
    </row>
    <row r="1876" customFormat="false" ht="15" hidden="false" customHeight="false" outlineLevel="0" collapsed="false">
      <c r="A1876" s="103"/>
      <c r="B1876" s="104"/>
      <c r="C1876" s="104"/>
      <c r="F1876" s="107" t="str">
        <f aca="false">IF(OR($C1876="",$D1876=0),"",$E1876/$D1876)</f>
        <v/>
      </c>
      <c r="H1876" s="0" t="str">
        <f aca="false">IF($C1876="","",IF(COUNTIF('مواد المخزون'!$A$2:$A$90,$C1876)&gt;0,"نعم","لا (خارج الجرد)"))</f>
        <v/>
      </c>
    </row>
    <row r="1877" customFormat="false" ht="15" hidden="false" customHeight="false" outlineLevel="0" collapsed="false">
      <c r="A1877" s="103"/>
      <c r="B1877" s="104"/>
      <c r="C1877" s="104"/>
      <c r="F1877" s="107" t="str">
        <f aca="false">IF(OR($C1877="",$D1877=0),"",$E1877/$D1877)</f>
        <v/>
      </c>
      <c r="H1877" s="0" t="str">
        <f aca="false">IF($C1877="","",IF(COUNTIF('مواد المخزون'!$A$2:$A$90,$C1877)&gt;0,"نعم","لا (خارج الجرد)"))</f>
        <v/>
      </c>
    </row>
    <row r="1878" customFormat="false" ht="15" hidden="false" customHeight="false" outlineLevel="0" collapsed="false">
      <c r="A1878" s="103"/>
      <c r="B1878" s="104"/>
      <c r="C1878" s="104"/>
      <c r="F1878" s="107" t="str">
        <f aca="false">IF(OR($C1878="",$D1878=0),"",$E1878/$D1878)</f>
        <v/>
      </c>
      <c r="H1878" s="0" t="str">
        <f aca="false">IF($C1878="","",IF(COUNTIF('مواد المخزون'!$A$2:$A$90,$C1878)&gt;0,"نعم","لا (خارج الجرد)"))</f>
        <v/>
      </c>
    </row>
    <row r="1879" customFormat="false" ht="15" hidden="false" customHeight="false" outlineLevel="0" collapsed="false">
      <c r="A1879" s="103"/>
      <c r="B1879" s="104"/>
      <c r="C1879" s="104"/>
      <c r="F1879" s="107" t="str">
        <f aca="false">IF(OR($C1879="",$D1879=0),"",$E1879/$D1879)</f>
        <v/>
      </c>
      <c r="H1879" s="0" t="str">
        <f aca="false">IF($C1879="","",IF(COUNTIF('مواد المخزون'!$A$2:$A$90,$C1879)&gt;0,"نعم","لا (خارج الجرد)"))</f>
        <v/>
      </c>
    </row>
    <row r="1880" customFormat="false" ht="15" hidden="false" customHeight="false" outlineLevel="0" collapsed="false">
      <c r="A1880" s="103"/>
      <c r="B1880" s="104"/>
      <c r="C1880" s="104"/>
      <c r="F1880" s="107" t="str">
        <f aca="false">IF(OR($C1880="",$D1880=0),"",$E1880/$D1880)</f>
        <v/>
      </c>
      <c r="H1880" s="0" t="str">
        <f aca="false">IF($C1880="","",IF(COUNTIF('مواد المخزون'!$A$2:$A$90,$C1880)&gt;0,"نعم","لا (خارج الجرد)"))</f>
        <v/>
      </c>
    </row>
    <row r="1881" customFormat="false" ht="15" hidden="false" customHeight="false" outlineLevel="0" collapsed="false">
      <c r="A1881" s="103"/>
      <c r="B1881" s="104"/>
      <c r="C1881" s="104"/>
      <c r="F1881" s="107" t="str">
        <f aca="false">IF(OR($C1881="",$D1881=0),"",$E1881/$D1881)</f>
        <v/>
      </c>
      <c r="H1881" s="0" t="str">
        <f aca="false">IF($C1881="","",IF(COUNTIF('مواد المخزون'!$A$2:$A$90,$C1881)&gt;0,"نعم","لا (خارج الجرد)"))</f>
        <v/>
      </c>
    </row>
    <row r="1882" customFormat="false" ht="15" hidden="false" customHeight="false" outlineLevel="0" collapsed="false">
      <c r="A1882" s="103"/>
      <c r="B1882" s="104"/>
      <c r="C1882" s="104"/>
      <c r="F1882" s="107" t="str">
        <f aca="false">IF(OR($C1882="",$D1882=0),"",$E1882/$D1882)</f>
        <v/>
      </c>
      <c r="H1882" s="0" t="str">
        <f aca="false">IF($C1882="","",IF(COUNTIF('مواد المخزون'!$A$2:$A$90,$C1882)&gt;0,"نعم","لا (خارج الجرد)"))</f>
        <v/>
      </c>
    </row>
    <row r="1883" customFormat="false" ht="15" hidden="false" customHeight="false" outlineLevel="0" collapsed="false">
      <c r="A1883" s="103"/>
      <c r="B1883" s="104"/>
      <c r="C1883" s="104"/>
      <c r="F1883" s="107" t="str">
        <f aca="false">IF(OR($C1883="",$D1883=0),"",$E1883/$D1883)</f>
        <v/>
      </c>
      <c r="H1883" s="0" t="str">
        <f aca="false">IF($C1883="","",IF(COUNTIF('مواد المخزون'!$A$2:$A$90,$C1883)&gt;0,"نعم","لا (خارج الجرد)"))</f>
        <v/>
      </c>
    </row>
    <row r="1884" customFormat="false" ht="15" hidden="false" customHeight="false" outlineLevel="0" collapsed="false">
      <c r="A1884" s="103"/>
      <c r="B1884" s="104"/>
      <c r="C1884" s="104"/>
      <c r="F1884" s="107" t="str">
        <f aca="false">IF(OR($C1884="",$D1884=0),"",$E1884/$D1884)</f>
        <v/>
      </c>
      <c r="H1884" s="0" t="str">
        <f aca="false">IF($C1884="","",IF(COUNTIF('مواد المخزون'!$A$2:$A$90,$C1884)&gt;0,"نعم","لا (خارج الجرد)"))</f>
        <v/>
      </c>
    </row>
    <row r="1885" customFormat="false" ht="15" hidden="false" customHeight="false" outlineLevel="0" collapsed="false">
      <c r="A1885" s="103"/>
      <c r="B1885" s="104"/>
      <c r="C1885" s="104"/>
      <c r="F1885" s="107" t="str">
        <f aca="false">IF(OR($C1885="",$D1885=0),"",$E1885/$D1885)</f>
        <v/>
      </c>
      <c r="H1885" s="0" t="str">
        <f aca="false">IF($C1885="","",IF(COUNTIF('مواد المخزون'!$A$2:$A$90,$C1885)&gt;0,"نعم","لا (خارج الجرد)"))</f>
        <v/>
      </c>
    </row>
    <row r="1886" customFormat="false" ht="15" hidden="false" customHeight="false" outlineLevel="0" collapsed="false">
      <c r="A1886" s="103"/>
      <c r="B1886" s="104"/>
      <c r="C1886" s="104"/>
      <c r="F1886" s="107" t="str">
        <f aca="false">IF(OR($C1886="",$D1886=0),"",$E1886/$D1886)</f>
        <v/>
      </c>
      <c r="H1886" s="0" t="str">
        <f aca="false">IF($C1886="","",IF(COUNTIF('مواد المخزون'!$A$2:$A$90,$C1886)&gt;0,"نعم","لا (خارج الجرد)"))</f>
        <v/>
      </c>
    </row>
    <row r="1887" customFormat="false" ht="15" hidden="false" customHeight="false" outlineLevel="0" collapsed="false">
      <c r="A1887" s="103"/>
      <c r="B1887" s="104"/>
      <c r="C1887" s="104"/>
      <c r="F1887" s="107" t="str">
        <f aca="false">IF(OR($C1887="",$D1887=0),"",$E1887/$D1887)</f>
        <v/>
      </c>
      <c r="H1887" s="0" t="str">
        <f aca="false">IF($C1887="","",IF(COUNTIF('مواد المخزون'!$A$2:$A$90,$C1887)&gt;0,"نعم","لا (خارج الجرد)"))</f>
        <v/>
      </c>
    </row>
    <row r="1888" customFormat="false" ht="15" hidden="false" customHeight="false" outlineLevel="0" collapsed="false">
      <c r="A1888" s="103"/>
      <c r="B1888" s="104"/>
      <c r="C1888" s="104"/>
      <c r="F1888" s="107" t="str">
        <f aca="false">IF(OR($C1888="",$D1888=0),"",$E1888/$D1888)</f>
        <v/>
      </c>
      <c r="H1888" s="0" t="str">
        <f aca="false">IF($C1888="","",IF(COUNTIF('مواد المخزون'!$A$2:$A$90,$C1888)&gt;0,"نعم","لا (خارج الجرد)"))</f>
        <v/>
      </c>
    </row>
    <row r="1889" customFormat="false" ht="15" hidden="false" customHeight="false" outlineLevel="0" collapsed="false">
      <c r="A1889" s="103"/>
      <c r="B1889" s="104"/>
      <c r="C1889" s="104"/>
      <c r="F1889" s="107" t="str">
        <f aca="false">IF(OR($C1889="",$D1889=0),"",$E1889/$D1889)</f>
        <v/>
      </c>
      <c r="H1889" s="0" t="str">
        <f aca="false">IF($C1889="","",IF(COUNTIF('مواد المخزون'!$A$2:$A$90,$C1889)&gt;0,"نعم","لا (خارج الجرد)"))</f>
        <v/>
      </c>
    </row>
    <row r="1890" customFormat="false" ht="15" hidden="false" customHeight="false" outlineLevel="0" collapsed="false">
      <c r="A1890" s="103"/>
      <c r="B1890" s="104"/>
      <c r="C1890" s="104"/>
      <c r="F1890" s="107" t="str">
        <f aca="false">IF(OR($C1890="",$D1890=0),"",$E1890/$D1890)</f>
        <v/>
      </c>
      <c r="H1890" s="0" t="str">
        <f aca="false">IF($C1890="","",IF(COUNTIF('مواد المخزون'!$A$2:$A$90,$C1890)&gt;0,"نعم","لا (خارج الجرد)"))</f>
        <v/>
      </c>
    </row>
    <row r="1891" customFormat="false" ht="15" hidden="false" customHeight="false" outlineLevel="0" collapsed="false">
      <c r="A1891" s="103"/>
      <c r="B1891" s="104"/>
      <c r="C1891" s="104"/>
      <c r="F1891" s="107" t="str">
        <f aca="false">IF(OR($C1891="",$D1891=0),"",$E1891/$D1891)</f>
        <v/>
      </c>
      <c r="H1891" s="0" t="str">
        <f aca="false">IF($C1891="","",IF(COUNTIF('مواد المخزون'!$A$2:$A$90,$C1891)&gt;0,"نعم","لا (خارج الجرد)"))</f>
        <v/>
      </c>
    </row>
    <row r="1892" customFormat="false" ht="15" hidden="false" customHeight="false" outlineLevel="0" collapsed="false">
      <c r="A1892" s="103"/>
      <c r="B1892" s="104"/>
      <c r="C1892" s="104"/>
      <c r="F1892" s="107" t="str">
        <f aca="false">IF(OR($C1892="",$D1892=0),"",$E1892/$D1892)</f>
        <v/>
      </c>
      <c r="H1892" s="0" t="str">
        <f aca="false">IF($C1892="","",IF(COUNTIF('مواد المخزون'!$A$2:$A$90,$C1892)&gt;0,"نعم","لا (خارج الجرد)"))</f>
        <v/>
      </c>
    </row>
    <row r="1893" customFormat="false" ht="15" hidden="false" customHeight="false" outlineLevel="0" collapsed="false">
      <c r="A1893" s="103"/>
      <c r="B1893" s="104"/>
      <c r="C1893" s="104"/>
      <c r="F1893" s="107" t="str">
        <f aca="false">IF(OR($C1893="",$D1893=0),"",$E1893/$D1893)</f>
        <v/>
      </c>
      <c r="H1893" s="0" t="str">
        <f aca="false">IF($C1893="","",IF(COUNTIF('مواد المخزون'!$A$2:$A$90,$C1893)&gt;0,"نعم","لا (خارج الجرد)"))</f>
        <v/>
      </c>
    </row>
    <row r="1894" customFormat="false" ht="15" hidden="false" customHeight="false" outlineLevel="0" collapsed="false">
      <c r="A1894" s="103"/>
      <c r="B1894" s="104"/>
      <c r="C1894" s="104"/>
      <c r="F1894" s="107" t="str">
        <f aca="false">IF(OR($C1894="",$D1894=0),"",$E1894/$D1894)</f>
        <v/>
      </c>
      <c r="H1894" s="0" t="str">
        <f aca="false">IF($C1894="","",IF(COUNTIF('مواد المخزون'!$A$2:$A$90,$C1894)&gt;0,"نعم","لا (خارج الجرد)"))</f>
        <v/>
      </c>
    </row>
    <row r="1895" customFormat="false" ht="15" hidden="false" customHeight="false" outlineLevel="0" collapsed="false">
      <c r="A1895" s="103"/>
      <c r="B1895" s="104"/>
      <c r="C1895" s="104"/>
      <c r="F1895" s="107" t="str">
        <f aca="false">IF(OR($C1895="",$D1895=0),"",$E1895/$D1895)</f>
        <v/>
      </c>
      <c r="H1895" s="0" t="str">
        <f aca="false">IF($C1895="","",IF(COUNTIF('مواد المخزون'!$A$2:$A$90,$C1895)&gt;0,"نعم","لا (خارج الجرد)"))</f>
        <v/>
      </c>
    </row>
    <row r="1896" customFormat="false" ht="15" hidden="false" customHeight="false" outlineLevel="0" collapsed="false">
      <c r="A1896" s="103"/>
      <c r="B1896" s="104"/>
      <c r="C1896" s="104"/>
      <c r="F1896" s="107" t="str">
        <f aca="false">IF(OR($C1896="",$D1896=0),"",$E1896/$D1896)</f>
        <v/>
      </c>
      <c r="H1896" s="0" t="str">
        <f aca="false">IF($C1896="","",IF(COUNTIF('مواد المخزون'!$A$2:$A$90,$C1896)&gt;0,"نعم","لا (خارج الجرد)"))</f>
        <v/>
      </c>
    </row>
    <row r="1897" customFormat="false" ht="15" hidden="false" customHeight="false" outlineLevel="0" collapsed="false">
      <c r="A1897" s="103"/>
      <c r="B1897" s="104"/>
      <c r="C1897" s="104"/>
      <c r="F1897" s="107" t="str">
        <f aca="false">IF(OR($C1897="",$D1897=0),"",$E1897/$D1897)</f>
        <v/>
      </c>
      <c r="H1897" s="0" t="str">
        <f aca="false">IF($C1897="","",IF(COUNTIF('مواد المخزون'!$A$2:$A$90,$C1897)&gt;0,"نعم","لا (خارج الجرد)"))</f>
        <v/>
      </c>
    </row>
    <row r="1898" customFormat="false" ht="15" hidden="false" customHeight="false" outlineLevel="0" collapsed="false">
      <c r="A1898" s="103"/>
      <c r="B1898" s="104"/>
      <c r="C1898" s="104"/>
      <c r="F1898" s="107" t="str">
        <f aca="false">IF(OR($C1898="",$D1898=0),"",$E1898/$D1898)</f>
        <v/>
      </c>
      <c r="H1898" s="0" t="str">
        <f aca="false">IF($C1898="","",IF(COUNTIF('مواد المخزون'!$A$2:$A$90,$C1898)&gt;0,"نعم","لا (خارج الجرد)"))</f>
        <v/>
      </c>
    </row>
    <row r="1899" customFormat="false" ht="15" hidden="false" customHeight="false" outlineLevel="0" collapsed="false">
      <c r="A1899" s="103"/>
      <c r="B1899" s="104"/>
      <c r="C1899" s="104"/>
      <c r="F1899" s="107" t="str">
        <f aca="false">IF(OR($C1899="",$D1899=0),"",$E1899/$D1899)</f>
        <v/>
      </c>
      <c r="H1899" s="0" t="str">
        <f aca="false">IF($C1899="","",IF(COUNTIF('مواد المخزون'!$A$2:$A$90,$C1899)&gt;0,"نعم","لا (خارج الجرد)"))</f>
        <v/>
      </c>
    </row>
    <row r="1900" customFormat="false" ht="15" hidden="false" customHeight="false" outlineLevel="0" collapsed="false">
      <c r="A1900" s="103"/>
      <c r="B1900" s="104"/>
      <c r="C1900" s="104"/>
      <c r="F1900" s="107" t="str">
        <f aca="false">IF(OR($C1900="",$D1900=0),"",$E1900/$D1900)</f>
        <v/>
      </c>
      <c r="H1900" s="0" t="str">
        <f aca="false">IF($C1900="","",IF(COUNTIF('مواد المخزون'!$A$2:$A$90,$C1900)&gt;0,"نعم","لا (خارج الجرد)"))</f>
        <v/>
      </c>
    </row>
    <row r="1901" customFormat="false" ht="15" hidden="false" customHeight="false" outlineLevel="0" collapsed="false">
      <c r="A1901" s="103"/>
      <c r="B1901" s="104"/>
      <c r="C1901" s="104"/>
      <c r="F1901" s="107" t="str">
        <f aca="false">IF(OR($C1901="",$D1901=0),"",$E1901/$D1901)</f>
        <v/>
      </c>
      <c r="H1901" s="0" t="str">
        <f aca="false">IF($C1901="","",IF(COUNTIF('مواد المخزون'!$A$2:$A$90,$C1901)&gt;0,"نعم","لا (خارج الجرد)"))</f>
        <v/>
      </c>
    </row>
    <row r="1902" customFormat="false" ht="15" hidden="false" customHeight="false" outlineLevel="0" collapsed="false">
      <c r="A1902" s="103"/>
      <c r="B1902" s="104"/>
      <c r="C1902" s="104"/>
      <c r="F1902" s="107" t="str">
        <f aca="false">IF(OR($C1902="",$D1902=0),"",$E1902/$D1902)</f>
        <v/>
      </c>
      <c r="H1902" s="0" t="str">
        <f aca="false">IF($C1902="","",IF(COUNTIF('مواد المخزون'!$A$2:$A$90,$C1902)&gt;0,"نعم","لا (خارج الجرد)"))</f>
        <v/>
      </c>
    </row>
    <row r="1903" customFormat="false" ht="15" hidden="false" customHeight="false" outlineLevel="0" collapsed="false">
      <c r="A1903" s="103"/>
      <c r="B1903" s="104"/>
      <c r="C1903" s="104"/>
      <c r="F1903" s="107" t="str">
        <f aca="false">IF(OR($C1903="",$D1903=0),"",$E1903/$D1903)</f>
        <v/>
      </c>
      <c r="H1903" s="0" t="str">
        <f aca="false">IF($C1903="","",IF(COUNTIF('مواد المخزون'!$A$2:$A$90,$C1903)&gt;0,"نعم","لا (خارج الجرد)"))</f>
        <v/>
      </c>
    </row>
    <row r="1904" customFormat="false" ht="15" hidden="false" customHeight="false" outlineLevel="0" collapsed="false">
      <c r="A1904" s="103"/>
      <c r="B1904" s="104"/>
      <c r="C1904" s="104"/>
      <c r="F1904" s="107" t="str">
        <f aca="false">IF(OR($C1904="",$D1904=0),"",$E1904/$D1904)</f>
        <v/>
      </c>
      <c r="H1904" s="0" t="str">
        <f aca="false">IF($C1904="","",IF(COUNTIF('مواد المخزون'!$A$2:$A$90,$C1904)&gt;0,"نعم","لا (خارج الجرد)"))</f>
        <v/>
      </c>
    </row>
    <row r="1905" customFormat="false" ht="15" hidden="false" customHeight="false" outlineLevel="0" collapsed="false">
      <c r="A1905" s="103"/>
      <c r="B1905" s="104"/>
      <c r="C1905" s="104"/>
      <c r="F1905" s="107" t="str">
        <f aca="false">IF(OR($C1905="",$D1905=0),"",$E1905/$D1905)</f>
        <v/>
      </c>
      <c r="H1905" s="0" t="str">
        <f aca="false">IF($C1905="","",IF(COUNTIF('مواد المخزون'!$A$2:$A$90,$C1905)&gt;0,"نعم","لا (خارج الجرد)"))</f>
        <v/>
      </c>
    </row>
    <row r="1906" customFormat="false" ht="15" hidden="false" customHeight="false" outlineLevel="0" collapsed="false">
      <c r="A1906" s="103"/>
      <c r="B1906" s="104"/>
      <c r="C1906" s="104"/>
      <c r="F1906" s="107" t="str">
        <f aca="false">IF(OR($C1906="",$D1906=0),"",$E1906/$D1906)</f>
        <v/>
      </c>
      <c r="H1906" s="0" t="str">
        <f aca="false">IF($C1906="","",IF(COUNTIF('مواد المخزون'!$A$2:$A$90,$C1906)&gt;0,"نعم","لا (خارج الجرد)"))</f>
        <v/>
      </c>
    </row>
    <row r="1907" customFormat="false" ht="15" hidden="false" customHeight="false" outlineLevel="0" collapsed="false">
      <c r="A1907" s="103"/>
      <c r="B1907" s="104"/>
      <c r="C1907" s="104"/>
      <c r="F1907" s="107" t="str">
        <f aca="false">IF(OR($C1907="",$D1907=0),"",$E1907/$D1907)</f>
        <v/>
      </c>
      <c r="H1907" s="0" t="str">
        <f aca="false">IF($C1907="","",IF(COUNTIF('مواد المخزون'!$A$2:$A$90,$C1907)&gt;0,"نعم","لا (خارج الجرد)"))</f>
        <v/>
      </c>
    </row>
    <row r="1908" customFormat="false" ht="15" hidden="false" customHeight="false" outlineLevel="0" collapsed="false">
      <c r="A1908" s="103"/>
      <c r="B1908" s="104"/>
      <c r="C1908" s="104"/>
      <c r="F1908" s="107" t="str">
        <f aca="false">IF(OR($C1908="",$D1908=0),"",$E1908/$D1908)</f>
        <v/>
      </c>
      <c r="H1908" s="0" t="str">
        <f aca="false">IF($C1908="","",IF(COUNTIF('مواد المخزون'!$A$2:$A$90,$C1908)&gt;0,"نعم","لا (خارج الجرد)"))</f>
        <v/>
      </c>
    </row>
    <row r="1909" customFormat="false" ht="15" hidden="false" customHeight="false" outlineLevel="0" collapsed="false">
      <c r="A1909" s="103"/>
      <c r="B1909" s="104"/>
      <c r="C1909" s="104"/>
      <c r="F1909" s="107" t="str">
        <f aca="false">IF(OR($C1909="",$D1909=0),"",$E1909/$D1909)</f>
        <v/>
      </c>
      <c r="H1909" s="0" t="str">
        <f aca="false">IF($C1909="","",IF(COUNTIF('مواد المخزون'!$A$2:$A$90,$C1909)&gt;0,"نعم","لا (خارج الجرد)"))</f>
        <v/>
      </c>
    </row>
    <row r="1910" customFormat="false" ht="15" hidden="false" customHeight="false" outlineLevel="0" collapsed="false">
      <c r="A1910" s="103"/>
      <c r="B1910" s="104"/>
      <c r="C1910" s="104"/>
      <c r="F1910" s="107" t="str">
        <f aca="false">IF(OR($C1910="",$D1910=0),"",$E1910/$D1910)</f>
        <v/>
      </c>
      <c r="H1910" s="0" t="str">
        <f aca="false">IF($C1910="","",IF(COUNTIF('مواد المخزون'!$A$2:$A$90,$C1910)&gt;0,"نعم","لا (خارج الجرد)"))</f>
        <v/>
      </c>
    </row>
    <row r="1911" customFormat="false" ht="15" hidden="false" customHeight="false" outlineLevel="0" collapsed="false">
      <c r="A1911" s="103"/>
      <c r="B1911" s="104"/>
      <c r="C1911" s="104"/>
      <c r="F1911" s="107" t="str">
        <f aca="false">IF(OR($C1911="",$D1911=0),"",$E1911/$D1911)</f>
        <v/>
      </c>
      <c r="H1911" s="0" t="str">
        <f aca="false">IF($C1911="","",IF(COUNTIF('مواد المخزون'!$A$2:$A$90,$C1911)&gt;0,"نعم","لا (خارج الجرد)"))</f>
        <v/>
      </c>
    </row>
    <row r="1912" customFormat="false" ht="15" hidden="false" customHeight="false" outlineLevel="0" collapsed="false">
      <c r="A1912" s="103"/>
      <c r="B1912" s="104"/>
      <c r="C1912" s="104"/>
      <c r="F1912" s="107" t="str">
        <f aca="false">IF(OR($C1912="",$D1912=0),"",$E1912/$D1912)</f>
        <v/>
      </c>
      <c r="H1912" s="0" t="str">
        <f aca="false">IF($C1912="","",IF(COUNTIF('مواد المخزون'!$A$2:$A$90,$C1912)&gt;0,"نعم","لا (خارج الجرد)"))</f>
        <v/>
      </c>
    </row>
    <row r="1913" customFormat="false" ht="15" hidden="false" customHeight="false" outlineLevel="0" collapsed="false">
      <c r="A1913" s="103"/>
      <c r="B1913" s="104"/>
      <c r="C1913" s="104"/>
      <c r="F1913" s="107" t="str">
        <f aca="false">IF(OR($C1913="",$D1913=0),"",$E1913/$D1913)</f>
        <v/>
      </c>
      <c r="H1913" s="0" t="str">
        <f aca="false">IF($C1913="","",IF(COUNTIF('مواد المخزون'!$A$2:$A$90,$C1913)&gt;0,"نعم","لا (خارج الجرد)"))</f>
        <v/>
      </c>
    </row>
    <row r="1914" customFormat="false" ht="15" hidden="false" customHeight="false" outlineLevel="0" collapsed="false">
      <c r="A1914" s="103"/>
      <c r="B1914" s="104"/>
      <c r="C1914" s="104"/>
      <c r="F1914" s="107" t="str">
        <f aca="false">IF(OR($C1914="",$D1914=0),"",$E1914/$D1914)</f>
        <v/>
      </c>
      <c r="H1914" s="0" t="str">
        <f aca="false">IF($C1914="","",IF(COUNTIF('مواد المخزون'!$A$2:$A$90,$C1914)&gt;0,"نعم","لا (خارج الجرد)"))</f>
        <v/>
      </c>
    </row>
    <row r="1915" customFormat="false" ht="15" hidden="false" customHeight="false" outlineLevel="0" collapsed="false">
      <c r="A1915" s="103"/>
      <c r="B1915" s="104"/>
      <c r="C1915" s="104"/>
      <c r="F1915" s="107" t="str">
        <f aca="false">IF(OR($C1915="",$D1915=0),"",$E1915/$D1915)</f>
        <v/>
      </c>
      <c r="H1915" s="0" t="str">
        <f aca="false">IF($C1915="","",IF(COUNTIF('مواد المخزون'!$A$2:$A$90,$C1915)&gt;0,"نعم","لا (خارج الجرد)"))</f>
        <v/>
      </c>
    </row>
    <row r="1916" customFormat="false" ht="15" hidden="false" customHeight="false" outlineLevel="0" collapsed="false">
      <c r="A1916" s="103"/>
      <c r="B1916" s="104"/>
      <c r="C1916" s="104"/>
      <c r="F1916" s="107" t="str">
        <f aca="false">IF(OR($C1916="",$D1916=0),"",$E1916/$D1916)</f>
        <v/>
      </c>
      <c r="H1916" s="0" t="str">
        <f aca="false">IF($C1916="","",IF(COUNTIF('مواد المخزون'!$A$2:$A$90,$C1916)&gt;0,"نعم","لا (خارج الجرد)"))</f>
        <v/>
      </c>
    </row>
    <row r="1917" customFormat="false" ht="15" hidden="false" customHeight="false" outlineLevel="0" collapsed="false">
      <c r="A1917" s="103"/>
      <c r="B1917" s="104"/>
      <c r="C1917" s="104"/>
      <c r="F1917" s="107" t="str">
        <f aca="false">IF(OR($C1917="",$D1917=0),"",$E1917/$D1917)</f>
        <v/>
      </c>
      <c r="H1917" s="0" t="str">
        <f aca="false">IF($C1917="","",IF(COUNTIF('مواد المخزون'!$A$2:$A$90,$C1917)&gt;0,"نعم","لا (خارج الجرد)"))</f>
        <v/>
      </c>
    </row>
    <row r="1918" customFormat="false" ht="15" hidden="false" customHeight="false" outlineLevel="0" collapsed="false">
      <c r="A1918" s="103"/>
      <c r="B1918" s="104"/>
      <c r="C1918" s="104"/>
      <c r="F1918" s="107" t="str">
        <f aca="false">IF(OR($C1918="",$D1918=0),"",$E1918/$D1918)</f>
        <v/>
      </c>
      <c r="H1918" s="0" t="str">
        <f aca="false">IF($C1918="","",IF(COUNTIF('مواد المخزون'!$A$2:$A$90,$C1918)&gt;0,"نعم","لا (خارج الجرد)"))</f>
        <v/>
      </c>
    </row>
    <row r="1919" customFormat="false" ht="15" hidden="false" customHeight="false" outlineLevel="0" collapsed="false">
      <c r="A1919" s="103"/>
      <c r="B1919" s="104"/>
      <c r="C1919" s="104"/>
      <c r="F1919" s="107" t="str">
        <f aca="false">IF(OR($C1919="",$D1919=0),"",$E1919/$D1919)</f>
        <v/>
      </c>
      <c r="H1919" s="0" t="str">
        <f aca="false">IF($C1919="","",IF(COUNTIF('مواد المخزون'!$A$2:$A$90,$C1919)&gt;0,"نعم","لا (خارج الجرد)"))</f>
        <v/>
      </c>
    </row>
    <row r="1920" customFormat="false" ht="15" hidden="false" customHeight="false" outlineLevel="0" collapsed="false">
      <c r="A1920" s="103"/>
      <c r="B1920" s="104"/>
      <c r="C1920" s="104"/>
      <c r="F1920" s="107" t="str">
        <f aca="false">IF(OR($C1920="",$D1920=0),"",$E1920/$D1920)</f>
        <v/>
      </c>
      <c r="H1920" s="0" t="str">
        <f aca="false">IF($C1920="","",IF(COUNTIF('مواد المخزون'!$A$2:$A$90,$C1920)&gt;0,"نعم","لا (خارج الجرد)"))</f>
        <v/>
      </c>
    </row>
    <row r="1921" customFormat="false" ht="15" hidden="false" customHeight="false" outlineLevel="0" collapsed="false">
      <c r="A1921" s="103"/>
      <c r="B1921" s="104"/>
      <c r="C1921" s="104"/>
      <c r="F1921" s="107" t="str">
        <f aca="false">IF(OR($C1921="",$D1921=0),"",$E1921/$D1921)</f>
        <v/>
      </c>
      <c r="H1921" s="0" t="str">
        <f aca="false">IF($C1921="","",IF(COUNTIF('مواد المخزون'!$A$2:$A$90,$C1921)&gt;0,"نعم","لا (خارج الجرد)"))</f>
        <v/>
      </c>
    </row>
    <row r="1922" customFormat="false" ht="15" hidden="false" customHeight="false" outlineLevel="0" collapsed="false">
      <c r="A1922" s="103"/>
      <c r="B1922" s="104"/>
      <c r="C1922" s="104"/>
      <c r="F1922" s="107" t="str">
        <f aca="false">IF(OR($C1922="",$D1922=0),"",$E1922/$D1922)</f>
        <v/>
      </c>
      <c r="H1922" s="0" t="str">
        <f aca="false">IF($C1922="","",IF(COUNTIF('مواد المخزون'!$A$2:$A$90,$C1922)&gt;0,"نعم","لا (خارج الجرد)"))</f>
        <v/>
      </c>
    </row>
    <row r="1923" customFormat="false" ht="15" hidden="false" customHeight="false" outlineLevel="0" collapsed="false">
      <c r="A1923" s="103"/>
      <c r="B1923" s="104"/>
      <c r="C1923" s="104"/>
      <c r="F1923" s="107" t="str">
        <f aca="false">IF(OR($C1923="",$D1923=0),"",$E1923/$D1923)</f>
        <v/>
      </c>
      <c r="H1923" s="0" t="str">
        <f aca="false">IF($C1923="","",IF(COUNTIF('مواد المخزون'!$A$2:$A$90,$C1923)&gt;0,"نعم","لا (خارج الجرد)"))</f>
        <v/>
      </c>
    </row>
    <row r="1924" customFormat="false" ht="15" hidden="false" customHeight="false" outlineLevel="0" collapsed="false">
      <c r="A1924" s="103"/>
      <c r="B1924" s="104"/>
      <c r="C1924" s="104"/>
      <c r="F1924" s="107" t="str">
        <f aca="false">IF(OR($C1924="",$D1924=0),"",$E1924/$D1924)</f>
        <v/>
      </c>
      <c r="H1924" s="0" t="str">
        <f aca="false">IF($C1924="","",IF(COUNTIF('مواد المخزون'!$A$2:$A$90,$C1924)&gt;0,"نعم","لا (خارج الجرد)"))</f>
        <v/>
      </c>
    </row>
    <row r="1925" customFormat="false" ht="15" hidden="false" customHeight="false" outlineLevel="0" collapsed="false">
      <c r="A1925" s="103"/>
      <c r="B1925" s="104"/>
      <c r="C1925" s="104"/>
      <c r="F1925" s="107" t="str">
        <f aca="false">IF(OR($C1925="",$D1925=0),"",$E1925/$D1925)</f>
        <v/>
      </c>
      <c r="H1925" s="0" t="str">
        <f aca="false">IF($C1925="","",IF(COUNTIF('مواد المخزون'!$A$2:$A$90,$C1925)&gt;0,"نعم","لا (خارج الجرد)"))</f>
        <v/>
      </c>
    </row>
    <row r="1926" customFormat="false" ht="15" hidden="false" customHeight="false" outlineLevel="0" collapsed="false">
      <c r="A1926" s="103"/>
      <c r="B1926" s="104"/>
      <c r="C1926" s="104"/>
      <c r="F1926" s="107" t="str">
        <f aca="false">IF(OR($C1926="",$D1926=0),"",$E1926/$D1926)</f>
        <v/>
      </c>
      <c r="H1926" s="0" t="str">
        <f aca="false">IF($C1926="","",IF(COUNTIF('مواد المخزون'!$A$2:$A$90,$C1926)&gt;0,"نعم","لا (خارج الجرد)"))</f>
        <v/>
      </c>
    </row>
    <row r="1927" customFormat="false" ht="15" hidden="false" customHeight="false" outlineLevel="0" collapsed="false">
      <c r="A1927" s="103"/>
      <c r="B1927" s="104"/>
      <c r="C1927" s="104"/>
      <c r="F1927" s="107" t="str">
        <f aca="false">IF(OR($C1927="",$D1927=0),"",$E1927/$D1927)</f>
        <v/>
      </c>
      <c r="H1927" s="0" t="str">
        <f aca="false">IF($C1927="","",IF(COUNTIF('مواد المخزون'!$A$2:$A$90,$C1927)&gt;0,"نعم","لا (خارج الجرد)"))</f>
        <v/>
      </c>
    </row>
    <row r="1928" customFormat="false" ht="15" hidden="false" customHeight="false" outlineLevel="0" collapsed="false">
      <c r="A1928" s="103"/>
      <c r="B1928" s="104"/>
      <c r="C1928" s="104"/>
      <c r="F1928" s="107" t="str">
        <f aca="false">IF(OR($C1928="",$D1928=0),"",$E1928/$D1928)</f>
        <v/>
      </c>
      <c r="H1928" s="0" t="str">
        <f aca="false">IF($C1928="","",IF(COUNTIF('مواد المخزون'!$A$2:$A$90,$C1928)&gt;0,"نعم","لا (خارج الجرد)"))</f>
        <v/>
      </c>
    </row>
    <row r="1929" customFormat="false" ht="15" hidden="false" customHeight="false" outlineLevel="0" collapsed="false">
      <c r="A1929" s="103"/>
      <c r="B1929" s="104"/>
      <c r="C1929" s="104"/>
      <c r="F1929" s="107" t="str">
        <f aca="false">IF(OR($C1929="",$D1929=0),"",$E1929/$D1929)</f>
        <v/>
      </c>
      <c r="H1929" s="0" t="str">
        <f aca="false">IF($C1929="","",IF(COUNTIF('مواد المخزون'!$A$2:$A$90,$C1929)&gt;0,"نعم","لا (خارج الجرد)"))</f>
        <v/>
      </c>
    </row>
    <row r="1930" customFormat="false" ht="15" hidden="false" customHeight="false" outlineLevel="0" collapsed="false">
      <c r="A1930" s="103"/>
      <c r="B1930" s="104"/>
      <c r="C1930" s="104"/>
      <c r="F1930" s="107" t="str">
        <f aca="false">IF(OR($C1930="",$D1930=0),"",$E1930/$D1930)</f>
        <v/>
      </c>
      <c r="H1930" s="0" t="str">
        <f aca="false">IF($C1930="","",IF(COUNTIF('مواد المخزون'!$A$2:$A$90,$C1930)&gt;0,"نعم","لا (خارج الجرد)"))</f>
        <v/>
      </c>
    </row>
    <row r="1931" customFormat="false" ht="15" hidden="false" customHeight="false" outlineLevel="0" collapsed="false">
      <c r="A1931" s="103"/>
      <c r="B1931" s="104"/>
      <c r="C1931" s="104"/>
      <c r="F1931" s="107" t="str">
        <f aca="false">IF(OR($C1931="",$D1931=0),"",$E1931/$D1931)</f>
        <v/>
      </c>
      <c r="H1931" s="0" t="str">
        <f aca="false">IF($C1931="","",IF(COUNTIF('مواد المخزون'!$A$2:$A$90,$C1931)&gt;0,"نعم","لا (خارج الجرد)"))</f>
        <v/>
      </c>
    </row>
    <row r="1932" customFormat="false" ht="15" hidden="false" customHeight="false" outlineLevel="0" collapsed="false">
      <c r="A1932" s="103"/>
      <c r="B1932" s="104"/>
      <c r="C1932" s="104"/>
      <c r="F1932" s="107" t="str">
        <f aca="false">IF(OR($C1932="",$D1932=0),"",$E1932/$D1932)</f>
        <v/>
      </c>
      <c r="H1932" s="0" t="str">
        <f aca="false">IF($C1932="","",IF(COUNTIF('مواد المخزون'!$A$2:$A$90,$C1932)&gt;0,"نعم","لا (خارج الجرد)"))</f>
        <v/>
      </c>
    </row>
    <row r="1933" customFormat="false" ht="15" hidden="false" customHeight="false" outlineLevel="0" collapsed="false">
      <c r="A1933" s="103"/>
      <c r="B1933" s="104"/>
      <c r="C1933" s="104"/>
      <c r="F1933" s="107" t="str">
        <f aca="false">IF(OR($C1933="",$D1933=0),"",$E1933/$D1933)</f>
        <v/>
      </c>
      <c r="H1933" s="0" t="str">
        <f aca="false">IF($C1933="","",IF(COUNTIF('مواد المخزون'!$A$2:$A$90,$C1933)&gt;0,"نعم","لا (خارج الجرد)"))</f>
        <v/>
      </c>
    </row>
    <row r="1934" customFormat="false" ht="15" hidden="false" customHeight="false" outlineLevel="0" collapsed="false">
      <c r="A1934" s="103"/>
      <c r="B1934" s="104"/>
      <c r="C1934" s="104"/>
      <c r="F1934" s="107" t="str">
        <f aca="false">IF(OR($C1934="",$D1934=0),"",$E1934/$D1934)</f>
        <v/>
      </c>
      <c r="H1934" s="0" t="str">
        <f aca="false">IF($C1934="","",IF(COUNTIF('مواد المخزون'!$A$2:$A$90,$C1934)&gt;0,"نعم","لا (خارج الجرد)"))</f>
        <v/>
      </c>
    </row>
    <row r="1935" customFormat="false" ht="15" hidden="false" customHeight="false" outlineLevel="0" collapsed="false">
      <c r="A1935" s="103"/>
      <c r="B1935" s="104"/>
      <c r="C1935" s="104"/>
      <c r="F1935" s="107" t="str">
        <f aca="false">IF(OR($C1935="",$D1935=0),"",$E1935/$D1935)</f>
        <v/>
      </c>
      <c r="H1935" s="0" t="str">
        <f aca="false">IF($C1935="","",IF(COUNTIF('مواد المخزون'!$A$2:$A$90,$C1935)&gt;0,"نعم","لا (خارج الجرد)"))</f>
        <v/>
      </c>
    </row>
    <row r="1936" customFormat="false" ht="15" hidden="false" customHeight="false" outlineLevel="0" collapsed="false">
      <c r="A1936" s="103"/>
      <c r="B1936" s="104"/>
      <c r="C1936" s="104"/>
      <c r="F1936" s="107" t="str">
        <f aca="false">IF(OR($C1936="",$D1936=0),"",$E1936/$D1936)</f>
        <v/>
      </c>
      <c r="H1936" s="0" t="str">
        <f aca="false">IF($C1936="","",IF(COUNTIF('مواد المخزون'!$A$2:$A$90,$C1936)&gt;0,"نعم","لا (خارج الجرد)"))</f>
        <v/>
      </c>
    </row>
    <row r="1937" customFormat="false" ht="15" hidden="false" customHeight="false" outlineLevel="0" collapsed="false">
      <c r="A1937" s="103"/>
      <c r="B1937" s="104"/>
      <c r="C1937" s="104"/>
      <c r="F1937" s="107" t="str">
        <f aca="false">IF(OR($C1937="",$D1937=0),"",$E1937/$D1937)</f>
        <v/>
      </c>
      <c r="H1937" s="0" t="str">
        <f aca="false">IF($C1937="","",IF(COUNTIF('مواد المخزون'!$A$2:$A$90,$C1937)&gt;0,"نعم","لا (خارج الجرد)"))</f>
        <v/>
      </c>
    </row>
    <row r="1938" customFormat="false" ht="15" hidden="false" customHeight="false" outlineLevel="0" collapsed="false">
      <c r="A1938" s="103"/>
      <c r="B1938" s="104"/>
      <c r="C1938" s="104"/>
      <c r="F1938" s="107" t="str">
        <f aca="false">IF(OR($C1938="",$D1938=0),"",$E1938/$D1938)</f>
        <v/>
      </c>
      <c r="H1938" s="0" t="str">
        <f aca="false">IF($C1938="","",IF(COUNTIF('مواد المخزون'!$A$2:$A$90,$C1938)&gt;0,"نعم","لا (خارج الجرد)"))</f>
        <v/>
      </c>
    </row>
    <row r="1939" customFormat="false" ht="15" hidden="false" customHeight="false" outlineLevel="0" collapsed="false">
      <c r="A1939" s="103"/>
      <c r="B1939" s="104"/>
      <c r="C1939" s="104"/>
      <c r="F1939" s="107" t="str">
        <f aca="false">IF(OR($C1939="",$D1939=0),"",$E1939/$D1939)</f>
        <v/>
      </c>
      <c r="H1939" s="0" t="str">
        <f aca="false">IF($C1939="","",IF(COUNTIF('مواد المخزون'!$A$2:$A$90,$C1939)&gt;0,"نعم","لا (خارج الجرد)"))</f>
        <v/>
      </c>
    </row>
    <row r="1940" customFormat="false" ht="15" hidden="false" customHeight="false" outlineLevel="0" collapsed="false">
      <c r="A1940" s="103"/>
      <c r="B1940" s="104"/>
      <c r="C1940" s="104"/>
      <c r="F1940" s="107" t="str">
        <f aca="false">IF(OR($C1940="",$D1940=0),"",$E1940/$D1940)</f>
        <v/>
      </c>
      <c r="H1940" s="0" t="str">
        <f aca="false">IF($C1940="","",IF(COUNTIF('مواد المخزون'!$A$2:$A$90,$C1940)&gt;0,"نعم","لا (خارج الجرد)"))</f>
        <v/>
      </c>
    </row>
    <row r="1941" customFormat="false" ht="15" hidden="false" customHeight="false" outlineLevel="0" collapsed="false">
      <c r="A1941" s="103"/>
      <c r="B1941" s="104"/>
      <c r="C1941" s="104"/>
      <c r="F1941" s="107" t="str">
        <f aca="false">IF(OR($C1941="",$D1941=0),"",$E1941/$D1941)</f>
        <v/>
      </c>
      <c r="H1941" s="0" t="str">
        <f aca="false">IF($C1941="","",IF(COUNTIF('مواد المخزون'!$A$2:$A$90,$C1941)&gt;0,"نعم","لا (خارج الجرد)"))</f>
        <v/>
      </c>
    </row>
    <row r="1942" customFormat="false" ht="15" hidden="false" customHeight="false" outlineLevel="0" collapsed="false">
      <c r="A1942" s="103"/>
      <c r="B1942" s="104"/>
      <c r="C1942" s="104"/>
      <c r="F1942" s="107" t="str">
        <f aca="false">IF(OR($C1942="",$D1942=0),"",$E1942/$D1942)</f>
        <v/>
      </c>
      <c r="H1942" s="0" t="str">
        <f aca="false">IF($C1942="","",IF(COUNTIF('مواد المخزون'!$A$2:$A$90,$C1942)&gt;0,"نعم","لا (خارج الجرد)"))</f>
        <v/>
      </c>
    </row>
    <row r="1943" customFormat="false" ht="15" hidden="false" customHeight="false" outlineLevel="0" collapsed="false">
      <c r="A1943" s="103"/>
      <c r="B1943" s="104"/>
      <c r="C1943" s="104"/>
      <c r="F1943" s="107" t="str">
        <f aca="false">IF(OR($C1943="",$D1943=0),"",$E1943/$D1943)</f>
        <v/>
      </c>
      <c r="H1943" s="0" t="str">
        <f aca="false">IF($C1943="","",IF(COUNTIF('مواد المخزون'!$A$2:$A$90,$C1943)&gt;0,"نعم","لا (خارج الجرد)"))</f>
        <v/>
      </c>
    </row>
    <row r="1944" customFormat="false" ht="15" hidden="false" customHeight="false" outlineLevel="0" collapsed="false">
      <c r="A1944" s="103"/>
      <c r="B1944" s="104"/>
      <c r="C1944" s="104"/>
      <c r="F1944" s="107" t="str">
        <f aca="false">IF(OR($C1944="",$D1944=0),"",$E1944/$D1944)</f>
        <v/>
      </c>
      <c r="H1944" s="0" t="str">
        <f aca="false">IF($C1944="","",IF(COUNTIF('مواد المخزون'!$A$2:$A$90,$C1944)&gt;0,"نعم","لا (خارج الجرد)"))</f>
        <v/>
      </c>
    </row>
    <row r="1945" customFormat="false" ht="15" hidden="false" customHeight="false" outlineLevel="0" collapsed="false">
      <c r="A1945" s="103"/>
      <c r="B1945" s="104"/>
      <c r="C1945" s="104"/>
      <c r="F1945" s="107" t="str">
        <f aca="false">IF(OR($C1945="",$D1945=0),"",$E1945/$D1945)</f>
        <v/>
      </c>
      <c r="H1945" s="0" t="str">
        <f aca="false">IF($C1945="","",IF(COUNTIF('مواد المخزون'!$A$2:$A$90,$C1945)&gt;0,"نعم","لا (خارج الجرد)"))</f>
        <v/>
      </c>
    </row>
    <row r="1946" customFormat="false" ht="15" hidden="false" customHeight="false" outlineLevel="0" collapsed="false">
      <c r="A1946" s="103"/>
      <c r="B1946" s="104"/>
      <c r="C1946" s="104"/>
      <c r="F1946" s="107" t="str">
        <f aca="false">IF(OR($C1946="",$D1946=0),"",$E1946/$D1946)</f>
        <v/>
      </c>
      <c r="H1946" s="0" t="str">
        <f aca="false">IF($C1946="","",IF(COUNTIF('مواد المخزون'!$A$2:$A$90,$C1946)&gt;0,"نعم","لا (خارج الجرد)"))</f>
        <v/>
      </c>
    </row>
    <row r="1947" customFormat="false" ht="15" hidden="false" customHeight="false" outlineLevel="0" collapsed="false">
      <c r="A1947" s="103"/>
      <c r="B1947" s="104"/>
      <c r="C1947" s="104"/>
      <c r="F1947" s="107" t="str">
        <f aca="false">IF(OR($C1947="",$D1947=0),"",$E1947/$D1947)</f>
        <v/>
      </c>
      <c r="H1947" s="0" t="str">
        <f aca="false">IF($C1947="","",IF(COUNTIF('مواد المخزون'!$A$2:$A$90,$C1947)&gt;0,"نعم","لا (خارج الجرد)"))</f>
        <v/>
      </c>
    </row>
    <row r="1948" customFormat="false" ht="15" hidden="false" customHeight="false" outlineLevel="0" collapsed="false">
      <c r="A1948" s="103"/>
      <c r="B1948" s="104"/>
      <c r="C1948" s="104"/>
      <c r="F1948" s="107" t="str">
        <f aca="false">IF(OR($C1948="",$D1948=0),"",$E1948/$D1948)</f>
        <v/>
      </c>
      <c r="H1948" s="0" t="str">
        <f aca="false">IF($C1948="","",IF(COUNTIF('مواد المخزون'!$A$2:$A$90,$C1948)&gt;0,"نعم","لا (خارج الجرد)"))</f>
        <v/>
      </c>
    </row>
    <row r="1949" customFormat="false" ht="15" hidden="false" customHeight="false" outlineLevel="0" collapsed="false">
      <c r="A1949" s="103"/>
      <c r="B1949" s="104"/>
      <c r="C1949" s="104"/>
      <c r="F1949" s="107" t="str">
        <f aca="false">IF(OR($C1949="",$D1949=0),"",$E1949/$D1949)</f>
        <v/>
      </c>
      <c r="H1949" s="0" t="str">
        <f aca="false">IF($C1949="","",IF(COUNTIF('مواد المخزون'!$A$2:$A$90,$C1949)&gt;0,"نعم","لا (خارج الجرد)"))</f>
        <v/>
      </c>
    </row>
    <row r="1950" customFormat="false" ht="15" hidden="false" customHeight="false" outlineLevel="0" collapsed="false">
      <c r="A1950" s="103"/>
      <c r="B1950" s="104"/>
      <c r="C1950" s="104"/>
      <c r="F1950" s="107" t="str">
        <f aca="false">IF(OR($C1950="",$D1950=0),"",$E1950/$D1950)</f>
        <v/>
      </c>
      <c r="H1950" s="0" t="str">
        <f aca="false">IF($C1950="","",IF(COUNTIF('مواد المخزون'!$A$2:$A$90,$C1950)&gt;0,"نعم","لا (خارج الجرد)"))</f>
        <v/>
      </c>
    </row>
    <row r="1951" customFormat="false" ht="15" hidden="false" customHeight="false" outlineLevel="0" collapsed="false">
      <c r="A1951" s="103"/>
      <c r="B1951" s="104"/>
      <c r="C1951" s="104"/>
      <c r="F1951" s="107" t="str">
        <f aca="false">IF(OR($C1951="",$D1951=0),"",$E1951/$D1951)</f>
        <v/>
      </c>
      <c r="H1951" s="0" t="str">
        <f aca="false">IF($C1951="","",IF(COUNTIF('مواد المخزون'!$A$2:$A$90,$C1951)&gt;0,"نعم","لا (خارج الجرد)"))</f>
        <v/>
      </c>
    </row>
    <row r="1952" customFormat="false" ht="15" hidden="false" customHeight="false" outlineLevel="0" collapsed="false">
      <c r="A1952" s="103"/>
      <c r="B1952" s="104"/>
      <c r="C1952" s="104"/>
      <c r="F1952" s="107" t="str">
        <f aca="false">IF(OR($C1952="",$D1952=0),"",$E1952/$D1952)</f>
        <v/>
      </c>
      <c r="H1952" s="0" t="str">
        <f aca="false">IF($C1952="","",IF(COUNTIF('مواد المخزون'!$A$2:$A$90,$C1952)&gt;0,"نعم","لا (خارج الجرد)"))</f>
        <v/>
      </c>
    </row>
    <row r="1953" customFormat="false" ht="15" hidden="false" customHeight="false" outlineLevel="0" collapsed="false">
      <c r="A1953" s="103"/>
      <c r="B1953" s="104"/>
      <c r="C1953" s="104"/>
      <c r="F1953" s="107" t="str">
        <f aca="false">IF(OR($C1953="",$D1953=0),"",$E1953/$D1953)</f>
        <v/>
      </c>
      <c r="H1953" s="0" t="str">
        <f aca="false">IF($C1953="","",IF(COUNTIF('مواد المخزون'!$A$2:$A$90,$C1953)&gt;0,"نعم","لا (خارج الجرد)"))</f>
        <v/>
      </c>
    </row>
    <row r="1954" customFormat="false" ht="15" hidden="false" customHeight="false" outlineLevel="0" collapsed="false">
      <c r="A1954" s="103"/>
      <c r="B1954" s="104"/>
      <c r="C1954" s="104"/>
      <c r="F1954" s="107" t="str">
        <f aca="false">IF(OR($C1954="",$D1954=0),"",$E1954/$D1954)</f>
        <v/>
      </c>
      <c r="H1954" s="0" t="str">
        <f aca="false">IF($C1954="","",IF(COUNTIF('مواد المخزون'!$A$2:$A$90,$C1954)&gt;0,"نعم","لا (خارج الجرد)"))</f>
        <v/>
      </c>
    </row>
    <row r="1955" customFormat="false" ht="15" hidden="false" customHeight="false" outlineLevel="0" collapsed="false">
      <c r="A1955" s="103"/>
      <c r="B1955" s="104"/>
      <c r="C1955" s="104"/>
      <c r="F1955" s="107" t="str">
        <f aca="false">IF(OR($C1955="",$D1955=0),"",$E1955/$D1955)</f>
        <v/>
      </c>
      <c r="H1955" s="0" t="str">
        <f aca="false">IF($C1955="","",IF(COUNTIF('مواد المخزون'!$A$2:$A$90,$C1955)&gt;0,"نعم","لا (خارج الجرد)"))</f>
        <v/>
      </c>
    </row>
    <row r="1956" customFormat="false" ht="15" hidden="false" customHeight="false" outlineLevel="0" collapsed="false">
      <c r="A1956" s="103"/>
      <c r="B1956" s="104"/>
      <c r="C1956" s="104"/>
      <c r="F1956" s="107" t="str">
        <f aca="false">IF(OR($C1956="",$D1956=0),"",$E1956/$D1956)</f>
        <v/>
      </c>
      <c r="H1956" s="0" t="str">
        <f aca="false">IF($C1956="","",IF(COUNTIF('مواد المخزون'!$A$2:$A$90,$C1956)&gt;0,"نعم","لا (خارج الجرد)"))</f>
        <v/>
      </c>
    </row>
    <row r="1957" customFormat="false" ht="15" hidden="false" customHeight="false" outlineLevel="0" collapsed="false">
      <c r="A1957" s="103"/>
      <c r="B1957" s="104"/>
      <c r="C1957" s="104"/>
      <c r="F1957" s="107" t="str">
        <f aca="false">IF(OR($C1957="",$D1957=0),"",$E1957/$D1957)</f>
        <v/>
      </c>
      <c r="H1957" s="0" t="str">
        <f aca="false">IF($C1957="","",IF(COUNTIF('مواد المخزون'!$A$2:$A$90,$C1957)&gt;0,"نعم","لا (خارج الجرد)"))</f>
        <v/>
      </c>
    </row>
    <row r="1958" customFormat="false" ht="15" hidden="false" customHeight="false" outlineLevel="0" collapsed="false">
      <c r="A1958" s="103"/>
      <c r="B1958" s="104"/>
      <c r="C1958" s="104"/>
      <c r="F1958" s="107" t="str">
        <f aca="false">IF(OR($C1958="",$D1958=0),"",$E1958/$D1958)</f>
        <v/>
      </c>
      <c r="H1958" s="0" t="str">
        <f aca="false">IF($C1958="","",IF(COUNTIF('مواد المخزون'!$A$2:$A$90,$C1958)&gt;0,"نعم","لا (خارج الجرد)"))</f>
        <v/>
      </c>
    </row>
    <row r="1959" customFormat="false" ht="15" hidden="false" customHeight="false" outlineLevel="0" collapsed="false">
      <c r="A1959" s="103"/>
      <c r="B1959" s="104"/>
      <c r="C1959" s="104"/>
      <c r="F1959" s="107" t="str">
        <f aca="false">IF(OR($C1959="",$D1959=0),"",$E1959/$D1959)</f>
        <v/>
      </c>
      <c r="H1959" s="0" t="str">
        <f aca="false">IF($C1959="","",IF(COUNTIF('مواد المخزون'!$A$2:$A$90,$C1959)&gt;0,"نعم","لا (خارج الجرد)"))</f>
        <v/>
      </c>
    </row>
    <row r="1960" customFormat="false" ht="15" hidden="false" customHeight="false" outlineLevel="0" collapsed="false">
      <c r="A1960" s="103"/>
      <c r="B1960" s="104"/>
      <c r="C1960" s="104"/>
      <c r="F1960" s="107" t="str">
        <f aca="false">IF(OR($C1960="",$D1960=0),"",$E1960/$D1960)</f>
        <v/>
      </c>
      <c r="H1960" s="0" t="str">
        <f aca="false">IF($C1960="","",IF(COUNTIF('مواد المخزون'!$A$2:$A$90,$C1960)&gt;0,"نعم","لا (خارج الجرد)"))</f>
        <v/>
      </c>
    </row>
    <row r="1961" customFormat="false" ht="15" hidden="false" customHeight="false" outlineLevel="0" collapsed="false">
      <c r="A1961" s="103"/>
      <c r="B1961" s="104"/>
      <c r="C1961" s="104"/>
      <c r="F1961" s="107" t="str">
        <f aca="false">IF(OR($C1961="",$D1961=0),"",$E1961/$D1961)</f>
        <v/>
      </c>
      <c r="H1961" s="0" t="str">
        <f aca="false">IF($C1961="","",IF(COUNTIF('مواد المخزون'!$A$2:$A$90,$C1961)&gt;0,"نعم","لا (خارج الجرد)"))</f>
        <v/>
      </c>
    </row>
    <row r="1962" customFormat="false" ht="15" hidden="false" customHeight="false" outlineLevel="0" collapsed="false">
      <c r="A1962" s="103"/>
      <c r="B1962" s="104"/>
      <c r="C1962" s="104"/>
      <c r="F1962" s="107" t="str">
        <f aca="false">IF(OR($C1962="",$D1962=0),"",$E1962/$D1962)</f>
        <v/>
      </c>
      <c r="H1962" s="0" t="str">
        <f aca="false">IF($C1962="","",IF(COUNTIF('مواد المخزون'!$A$2:$A$90,$C1962)&gt;0,"نعم","لا (خارج الجرد)"))</f>
        <v/>
      </c>
    </row>
    <row r="1963" customFormat="false" ht="15" hidden="false" customHeight="false" outlineLevel="0" collapsed="false">
      <c r="A1963" s="103"/>
      <c r="B1963" s="104"/>
      <c r="C1963" s="104"/>
      <c r="F1963" s="107" t="str">
        <f aca="false">IF(OR($C1963="",$D1963=0),"",$E1963/$D1963)</f>
        <v/>
      </c>
      <c r="H1963" s="0" t="str">
        <f aca="false">IF($C1963="","",IF(COUNTIF('مواد المخزون'!$A$2:$A$90,$C1963)&gt;0,"نعم","لا (خارج الجرد)"))</f>
        <v/>
      </c>
    </row>
    <row r="1964" customFormat="false" ht="15" hidden="false" customHeight="false" outlineLevel="0" collapsed="false">
      <c r="A1964" s="103"/>
      <c r="B1964" s="104"/>
      <c r="C1964" s="104"/>
      <c r="F1964" s="107" t="str">
        <f aca="false">IF(OR($C1964="",$D1964=0),"",$E1964/$D1964)</f>
        <v/>
      </c>
      <c r="H1964" s="0" t="str">
        <f aca="false">IF($C1964="","",IF(COUNTIF('مواد المخزون'!$A$2:$A$90,$C1964)&gt;0,"نعم","لا (خارج الجرد)"))</f>
        <v/>
      </c>
    </row>
    <row r="1965" customFormat="false" ht="15" hidden="false" customHeight="false" outlineLevel="0" collapsed="false">
      <c r="A1965" s="103"/>
      <c r="B1965" s="104"/>
      <c r="C1965" s="104"/>
      <c r="F1965" s="107" t="str">
        <f aca="false">IF(OR($C1965="",$D1965=0),"",$E1965/$D1965)</f>
        <v/>
      </c>
      <c r="H1965" s="0" t="str">
        <f aca="false">IF($C1965="","",IF(COUNTIF('مواد المخزون'!$A$2:$A$90,$C1965)&gt;0,"نعم","لا (خارج الجرد)"))</f>
        <v/>
      </c>
    </row>
    <row r="1966" customFormat="false" ht="15" hidden="false" customHeight="false" outlineLevel="0" collapsed="false">
      <c r="A1966" s="103"/>
      <c r="B1966" s="104"/>
      <c r="C1966" s="104"/>
      <c r="F1966" s="107" t="str">
        <f aca="false">IF(OR($C1966="",$D1966=0),"",$E1966/$D1966)</f>
        <v/>
      </c>
      <c r="H1966" s="0" t="str">
        <f aca="false">IF($C1966="","",IF(COUNTIF('مواد المخزون'!$A$2:$A$90,$C1966)&gt;0,"نعم","لا (خارج الجرد)"))</f>
        <v/>
      </c>
    </row>
    <row r="1967" customFormat="false" ht="15" hidden="false" customHeight="false" outlineLevel="0" collapsed="false">
      <c r="A1967" s="103"/>
      <c r="B1967" s="104"/>
      <c r="C1967" s="104"/>
      <c r="F1967" s="107" t="str">
        <f aca="false">IF(OR($C1967="",$D1967=0),"",$E1967/$D1967)</f>
        <v/>
      </c>
      <c r="H1967" s="0" t="str">
        <f aca="false">IF($C1967="","",IF(COUNTIF('مواد المخزون'!$A$2:$A$90,$C1967)&gt;0,"نعم","لا (خارج الجرد)"))</f>
        <v/>
      </c>
    </row>
    <row r="1968" customFormat="false" ht="15" hidden="false" customHeight="false" outlineLevel="0" collapsed="false">
      <c r="A1968" s="103"/>
      <c r="B1968" s="104"/>
      <c r="C1968" s="104"/>
      <c r="F1968" s="107" t="str">
        <f aca="false">IF(OR($C1968="",$D1968=0),"",$E1968/$D1968)</f>
        <v/>
      </c>
      <c r="H1968" s="0" t="str">
        <f aca="false">IF($C1968="","",IF(COUNTIF('مواد المخزون'!$A$2:$A$90,$C1968)&gt;0,"نعم","لا (خارج الجرد)"))</f>
        <v/>
      </c>
    </row>
    <row r="1969" customFormat="false" ht="15" hidden="false" customHeight="false" outlineLevel="0" collapsed="false">
      <c r="A1969" s="103"/>
      <c r="B1969" s="104"/>
      <c r="C1969" s="104"/>
      <c r="F1969" s="107" t="str">
        <f aca="false">IF(OR($C1969="",$D1969=0),"",$E1969/$D1969)</f>
        <v/>
      </c>
      <c r="H1969" s="0" t="str">
        <f aca="false">IF($C1969="","",IF(COUNTIF('مواد المخزون'!$A$2:$A$90,$C1969)&gt;0,"نعم","لا (خارج الجرد)"))</f>
        <v/>
      </c>
    </row>
    <row r="1970" customFormat="false" ht="15" hidden="false" customHeight="false" outlineLevel="0" collapsed="false">
      <c r="A1970" s="103"/>
      <c r="B1970" s="104"/>
      <c r="C1970" s="104"/>
      <c r="F1970" s="107" t="str">
        <f aca="false">IF(OR($C1970="",$D1970=0),"",$E1970/$D1970)</f>
        <v/>
      </c>
      <c r="H1970" s="0" t="str">
        <f aca="false">IF($C1970="","",IF(COUNTIF('مواد المخزون'!$A$2:$A$90,$C1970)&gt;0,"نعم","لا (خارج الجرد)"))</f>
        <v/>
      </c>
    </row>
    <row r="1971" customFormat="false" ht="15" hidden="false" customHeight="false" outlineLevel="0" collapsed="false">
      <c r="A1971" s="103"/>
      <c r="B1971" s="104"/>
      <c r="C1971" s="104"/>
      <c r="F1971" s="107" t="str">
        <f aca="false">IF(OR($C1971="",$D1971=0),"",$E1971/$D1971)</f>
        <v/>
      </c>
      <c r="H1971" s="0" t="str">
        <f aca="false">IF($C1971="","",IF(COUNTIF('مواد المخزون'!$A$2:$A$90,$C1971)&gt;0,"نعم","لا (خارج الجرد)"))</f>
        <v/>
      </c>
    </row>
    <row r="1972" customFormat="false" ht="15" hidden="false" customHeight="false" outlineLevel="0" collapsed="false">
      <c r="A1972" s="103"/>
      <c r="B1972" s="104"/>
      <c r="C1972" s="104"/>
      <c r="F1972" s="107" t="str">
        <f aca="false">IF(OR($C1972="",$D1972=0),"",$E1972/$D1972)</f>
        <v/>
      </c>
      <c r="H1972" s="0" t="str">
        <f aca="false">IF($C1972="","",IF(COUNTIF('مواد المخزون'!$A$2:$A$90,$C1972)&gt;0,"نعم","لا (خارج الجرد)"))</f>
        <v/>
      </c>
    </row>
    <row r="1973" customFormat="false" ht="15" hidden="false" customHeight="false" outlineLevel="0" collapsed="false">
      <c r="A1973" s="103"/>
      <c r="B1973" s="104"/>
      <c r="C1973" s="104"/>
      <c r="F1973" s="107" t="str">
        <f aca="false">IF(OR($C1973="",$D1973=0),"",$E1973/$D1973)</f>
        <v/>
      </c>
      <c r="H1973" s="0" t="str">
        <f aca="false">IF($C1973="","",IF(COUNTIF('مواد المخزون'!$A$2:$A$90,$C1973)&gt;0,"نعم","لا (خارج الجرد)"))</f>
        <v/>
      </c>
    </row>
    <row r="1974" customFormat="false" ht="15" hidden="false" customHeight="false" outlineLevel="0" collapsed="false">
      <c r="A1974" s="103"/>
      <c r="B1974" s="104"/>
      <c r="C1974" s="104"/>
      <c r="F1974" s="107" t="str">
        <f aca="false">IF(OR($C1974="",$D1974=0),"",$E1974/$D1974)</f>
        <v/>
      </c>
      <c r="H1974" s="0" t="str">
        <f aca="false">IF($C1974="","",IF(COUNTIF('مواد المخزون'!$A$2:$A$90,$C1974)&gt;0,"نعم","لا (خارج الجرد)"))</f>
        <v/>
      </c>
    </row>
    <row r="1975" customFormat="false" ht="15" hidden="false" customHeight="false" outlineLevel="0" collapsed="false">
      <c r="A1975" s="103"/>
      <c r="B1975" s="104"/>
      <c r="C1975" s="104"/>
      <c r="F1975" s="107" t="str">
        <f aca="false">IF(OR($C1975="",$D1975=0),"",$E1975/$D1975)</f>
        <v/>
      </c>
      <c r="H1975" s="0" t="str">
        <f aca="false">IF($C1975="","",IF(COUNTIF('مواد المخزون'!$A$2:$A$90,$C1975)&gt;0,"نعم","لا (خارج الجرد)"))</f>
        <v/>
      </c>
    </row>
    <row r="1976" customFormat="false" ht="15" hidden="false" customHeight="false" outlineLevel="0" collapsed="false">
      <c r="A1976" s="103"/>
      <c r="B1976" s="104"/>
      <c r="C1976" s="104"/>
      <c r="F1976" s="107" t="str">
        <f aca="false">IF(OR($C1976="",$D1976=0),"",$E1976/$D1976)</f>
        <v/>
      </c>
      <c r="H1976" s="0" t="str">
        <f aca="false">IF($C1976="","",IF(COUNTIF('مواد المخزون'!$A$2:$A$90,$C1976)&gt;0,"نعم","لا (خارج الجرد)"))</f>
        <v/>
      </c>
    </row>
    <row r="1977" customFormat="false" ht="15" hidden="false" customHeight="false" outlineLevel="0" collapsed="false">
      <c r="A1977" s="103"/>
      <c r="B1977" s="104"/>
      <c r="C1977" s="104"/>
      <c r="F1977" s="107" t="str">
        <f aca="false">IF(OR($C1977="",$D1977=0),"",$E1977/$D1977)</f>
        <v/>
      </c>
      <c r="H1977" s="0" t="str">
        <f aca="false">IF($C1977="","",IF(COUNTIF('مواد المخزون'!$A$2:$A$90,$C1977)&gt;0,"نعم","لا (خارج الجرد)"))</f>
        <v/>
      </c>
    </row>
    <row r="1978" customFormat="false" ht="15" hidden="false" customHeight="false" outlineLevel="0" collapsed="false">
      <c r="A1978" s="103"/>
      <c r="B1978" s="104"/>
      <c r="C1978" s="104"/>
      <c r="F1978" s="107" t="str">
        <f aca="false">IF(OR($C1978="",$D1978=0),"",$E1978/$D1978)</f>
        <v/>
      </c>
      <c r="H1978" s="0" t="str">
        <f aca="false">IF($C1978="","",IF(COUNTIF('مواد المخزون'!$A$2:$A$90,$C1978)&gt;0,"نعم","لا (خارج الجرد)"))</f>
        <v/>
      </c>
    </row>
    <row r="1979" customFormat="false" ht="15" hidden="false" customHeight="false" outlineLevel="0" collapsed="false">
      <c r="A1979" s="103"/>
      <c r="B1979" s="104"/>
      <c r="C1979" s="104"/>
      <c r="F1979" s="107" t="str">
        <f aca="false">IF(OR($C1979="",$D1979=0),"",$E1979/$D1979)</f>
        <v/>
      </c>
      <c r="H1979" s="0" t="str">
        <f aca="false">IF($C1979="","",IF(COUNTIF('مواد المخزون'!$A$2:$A$90,$C1979)&gt;0,"نعم","لا (خارج الجرد)"))</f>
        <v/>
      </c>
    </row>
    <row r="1980" customFormat="false" ht="15" hidden="false" customHeight="false" outlineLevel="0" collapsed="false">
      <c r="A1980" s="103"/>
      <c r="B1980" s="104"/>
      <c r="C1980" s="104"/>
      <c r="F1980" s="107" t="str">
        <f aca="false">IF(OR($C1980="",$D1980=0),"",$E1980/$D1980)</f>
        <v/>
      </c>
      <c r="H1980" s="0" t="str">
        <f aca="false">IF($C1980="","",IF(COUNTIF('مواد المخزون'!$A$2:$A$90,$C1980)&gt;0,"نعم","لا (خارج الجرد)"))</f>
        <v/>
      </c>
    </row>
    <row r="1981" customFormat="false" ht="15" hidden="false" customHeight="false" outlineLevel="0" collapsed="false">
      <c r="A1981" s="103"/>
      <c r="B1981" s="104"/>
      <c r="C1981" s="104"/>
      <c r="F1981" s="107" t="str">
        <f aca="false">IF(OR($C1981="",$D1981=0),"",$E1981/$D1981)</f>
        <v/>
      </c>
      <c r="H1981" s="0" t="str">
        <f aca="false">IF($C1981="","",IF(COUNTIF('مواد المخزون'!$A$2:$A$90,$C1981)&gt;0,"نعم","لا (خارج الجرد)"))</f>
        <v/>
      </c>
    </row>
    <row r="1982" customFormat="false" ht="15" hidden="false" customHeight="false" outlineLevel="0" collapsed="false">
      <c r="A1982" s="103"/>
      <c r="B1982" s="104"/>
      <c r="C1982" s="104"/>
      <c r="F1982" s="107" t="str">
        <f aca="false">IF(OR($C1982="",$D1982=0),"",$E1982/$D1982)</f>
        <v/>
      </c>
      <c r="H1982" s="0" t="str">
        <f aca="false">IF($C1982="","",IF(COUNTIF('مواد المخزون'!$A$2:$A$90,$C1982)&gt;0,"نعم","لا (خارج الجرد)"))</f>
        <v/>
      </c>
    </row>
    <row r="1983" customFormat="false" ht="15" hidden="false" customHeight="false" outlineLevel="0" collapsed="false">
      <c r="A1983" s="103"/>
      <c r="B1983" s="104"/>
      <c r="C1983" s="104"/>
      <c r="F1983" s="107" t="str">
        <f aca="false">IF(OR($C1983="",$D1983=0),"",$E1983/$D1983)</f>
        <v/>
      </c>
      <c r="H1983" s="0" t="str">
        <f aca="false">IF($C1983="","",IF(COUNTIF('مواد المخزون'!$A$2:$A$90,$C1983)&gt;0,"نعم","لا (خارج الجرد)"))</f>
        <v/>
      </c>
    </row>
    <row r="1984" customFormat="false" ht="15" hidden="false" customHeight="false" outlineLevel="0" collapsed="false">
      <c r="A1984" s="103"/>
      <c r="B1984" s="104"/>
      <c r="C1984" s="104"/>
      <c r="F1984" s="107" t="str">
        <f aca="false">IF(OR($C1984="",$D1984=0),"",$E1984/$D1984)</f>
        <v/>
      </c>
      <c r="H1984" s="0" t="str">
        <f aca="false">IF($C1984="","",IF(COUNTIF('مواد المخزون'!$A$2:$A$90,$C1984)&gt;0,"نعم","لا (خارج الجرد)"))</f>
        <v/>
      </c>
    </row>
    <row r="1985" customFormat="false" ht="15" hidden="false" customHeight="false" outlineLevel="0" collapsed="false">
      <c r="A1985" s="103"/>
      <c r="B1985" s="104"/>
      <c r="C1985" s="104"/>
      <c r="F1985" s="107" t="str">
        <f aca="false">IF(OR($C1985="",$D1985=0),"",$E1985/$D1985)</f>
        <v/>
      </c>
      <c r="H1985" s="0" t="str">
        <f aca="false">IF($C1985="","",IF(COUNTIF('مواد المخزون'!$A$2:$A$90,$C1985)&gt;0,"نعم","لا (خارج الجرد)"))</f>
        <v/>
      </c>
    </row>
    <row r="1986" customFormat="false" ht="15" hidden="false" customHeight="false" outlineLevel="0" collapsed="false">
      <c r="A1986" s="103"/>
      <c r="B1986" s="104"/>
      <c r="C1986" s="104"/>
      <c r="F1986" s="107" t="str">
        <f aca="false">IF(OR($C1986="",$D1986=0),"",$E1986/$D1986)</f>
        <v/>
      </c>
      <c r="H1986" s="0" t="str">
        <f aca="false">IF($C1986="","",IF(COUNTIF('مواد المخزون'!$A$2:$A$90,$C1986)&gt;0,"نعم","لا (خارج الجرد)"))</f>
        <v/>
      </c>
    </row>
    <row r="1987" customFormat="false" ht="15" hidden="false" customHeight="false" outlineLevel="0" collapsed="false">
      <c r="A1987" s="103"/>
      <c r="B1987" s="104"/>
      <c r="C1987" s="104"/>
      <c r="F1987" s="107" t="str">
        <f aca="false">IF(OR($C1987="",$D1987=0),"",$E1987/$D1987)</f>
        <v/>
      </c>
      <c r="H1987" s="0" t="str">
        <f aca="false">IF($C1987="","",IF(COUNTIF('مواد المخزون'!$A$2:$A$90,$C1987)&gt;0,"نعم","لا (خارج الجرد)"))</f>
        <v/>
      </c>
    </row>
    <row r="1988" customFormat="false" ht="15" hidden="false" customHeight="false" outlineLevel="0" collapsed="false">
      <c r="A1988" s="103"/>
      <c r="B1988" s="104"/>
      <c r="C1988" s="104"/>
      <c r="F1988" s="107" t="str">
        <f aca="false">IF(OR($C1988="",$D1988=0),"",$E1988/$D1988)</f>
        <v/>
      </c>
      <c r="H1988" s="0" t="str">
        <f aca="false">IF($C1988="","",IF(COUNTIF('مواد المخزون'!$A$2:$A$90,$C1988)&gt;0,"نعم","لا (خارج الجرد)"))</f>
        <v/>
      </c>
    </row>
    <row r="1989" customFormat="false" ht="15" hidden="false" customHeight="false" outlineLevel="0" collapsed="false">
      <c r="A1989" s="103"/>
      <c r="B1989" s="104"/>
      <c r="C1989" s="104"/>
      <c r="F1989" s="107" t="str">
        <f aca="false">IF(OR($C1989="",$D1989=0),"",$E1989/$D1989)</f>
        <v/>
      </c>
      <c r="H1989" s="0" t="str">
        <f aca="false">IF($C1989="","",IF(COUNTIF('مواد المخزون'!$A$2:$A$90,$C1989)&gt;0,"نعم","لا (خارج الجرد)"))</f>
        <v/>
      </c>
    </row>
    <row r="1990" customFormat="false" ht="15" hidden="false" customHeight="false" outlineLevel="0" collapsed="false">
      <c r="A1990" s="103"/>
      <c r="B1990" s="104"/>
      <c r="C1990" s="104"/>
      <c r="F1990" s="107" t="str">
        <f aca="false">IF(OR($C1990="",$D1990=0),"",$E1990/$D1990)</f>
        <v/>
      </c>
      <c r="H1990" s="0" t="str">
        <f aca="false">IF($C1990="","",IF(COUNTIF('مواد المخزون'!$A$2:$A$90,$C1990)&gt;0,"نعم","لا (خارج الجرد)"))</f>
        <v/>
      </c>
    </row>
    <row r="1991" customFormat="false" ht="15" hidden="false" customHeight="false" outlineLevel="0" collapsed="false">
      <c r="A1991" s="103"/>
      <c r="B1991" s="104"/>
      <c r="C1991" s="104"/>
      <c r="F1991" s="107" t="str">
        <f aca="false">IF(OR($C1991="",$D1991=0),"",$E1991/$D1991)</f>
        <v/>
      </c>
      <c r="H1991" s="0" t="str">
        <f aca="false">IF($C1991="","",IF(COUNTIF('مواد المخزون'!$A$2:$A$90,$C1991)&gt;0,"نعم","لا (خارج الجرد)"))</f>
        <v/>
      </c>
    </row>
    <row r="1992" customFormat="false" ht="15" hidden="false" customHeight="false" outlineLevel="0" collapsed="false">
      <c r="A1992" s="103"/>
      <c r="B1992" s="104"/>
      <c r="C1992" s="104"/>
      <c r="F1992" s="107" t="str">
        <f aca="false">IF(OR($C1992="",$D1992=0),"",$E1992/$D1992)</f>
        <v/>
      </c>
      <c r="H1992" s="0" t="str">
        <f aca="false">IF($C1992="","",IF(COUNTIF('مواد المخزون'!$A$2:$A$90,$C1992)&gt;0,"نعم","لا (خارج الجرد)"))</f>
        <v/>
      </c>
    </row>
    <row r="1993" customFormat="false" ht="15" hidden="false" customHeight="false" outlineLevel="0" collapsed="false">
      <c r="A1993" s="103"/>
      <c r="B1993" s="104"/>
      <c r="C1993" s="104"/>
      <c r="F1993" s="107" t="str">
        <f aca="false">IF(OR($C1993="",$D1993=0),"",$E1993/$D1993)</f>
        <v/>
      </c>
      <c r="H1993" s="0" t="str">
        <f aca="false">IF($C1993="","",IF(COUNTIF('مواد المخزون'!$A$2:$A$90,$C1993)&gt;0,"نعم","لا (خارج الجرد)"))</f>
        <v/>
      </c>
    </row>
    <row r="1994" customFormat="false" ht="15" hidden="false" customHeight="false" outlineLevel="0" collapsed="false">
      <c r="A1994" s="103"/>
      <c r="B1994" s="104"/>
      <c r="C1994" s="104"/>
      <c r="F1994" s="107" t="str">
        <f aca="false">IF(OR($C1994="",$D1994=0),"",$E1994/$D1994)</f>
        <v/>
      </c>
      <c r="H1994" s="0" t="str">
        <f aca="false">IF($C1994="","",IF(COUNTIF('مواد المخزون'!$A$2:$A$90,$C1994)&gt;0,"نعم","لا (خارج الجرد)"))</f>
        <v/>
      </c>
    </row>
    <row r="1995" customFormat="false" ht="15" hidden="false" customHeight="false" outlineLevel="0" collapsed="false">
      <c r="A1995" s="103"/>
      <c r="B1995" s="104"/>
      <c r="C1995" s="104"/>
      <c r="F1995" s="107" t="str">
        <f aca="false">IF(OR($C1995="",$D1995=0),"",$E1995/$D1995)</f>
        <v/>
      </c>
      <c r="H1995" s="0" t="str">
        <f aca="false">IF($C1995="","",IF(COUNTIF('مواد المخزون'!$A$2:$A$90,$C1995)&gt;0,"نعم","لا (خارج الجرد)"))</f>
        <v/>
      </c>
    </row>
    <row r="1996" customFormat="false" ht="15" hidden="false" customHeight="false" outlineLevel="0" collapsed="false">
      <c r="A1996" s="103"/>
      <c r="B1996" s="104"/>
      <c r="C1996" s="104"/>
      <c r="F1996" s="107" t="str">
        <f aca="false">IF(OR($C1996="",$D1996=0),"",$E1996/$D1996)</f>
        <v/>
      </c>
      <c r="H1996" s="0" t="str">
        <f aca="false">IF($C1996="","",IF(COUNTIF('مواد المخزون'!$A$2:$A$90,$C1996)&gt;0,"نعم","لا (خارج الجرد)"))</f>
        <v/>
      </c>
    </row>
    <row r="1997" customFormat="false" ht="15" hidden="false" customHeight="false" outlineLevel="0" collapsed="false">
      <c r="A1997" s="103"/>
      <c r="B1997" s="104"/>
      <c r="C1997" s="104"/>
      <c r="F1997" s="107" t="str">
        <f aca="false">IF(OR($C1997="",$D1997=0),"",$E1997/$D1997)</f>
        <v/>
      </c>
      <c r="H1997" s="0" t="str">
        <f aca="false">IF($C1997="","",IF(COUNTIF('مواد المخزون'!$A$2:$A$90,$C1997)&gt;0,"نعم","لا (خارج الجرد)"))</f>
        <v/>
      </c>
    </row>
    <row r="1998" customFormat="false" ht="15" hidden="false" customHeight="false" outlineLevel="0" collapsed="false">
      <c r="A1998" s="103"/>
      <c r="B1998" s="104"/>
      <c r="C1998" s="104"/>
      <c r="F1998" s="107" t="str">
        <f aca="false">IF(OR($C1998="",$D1998=0),"",$E1998/$D1998)</f>
        <v/>
      </c>
      <c r="H1998" s="0" t="str">
        <f aca="false">IF($C1998="","",IF(COUNTIF('مواد المخزون'!$A$2:$A$90,$C1998)&gt;0,"نعم","لا (خارج الجرد)"))</f>
        <v/>
      </c>
    </row>
    <row r="1999" customFormat="false" ht="15" hidden="false" customHeight="false" outlineLevel="0" collapsed="false">
      <c r="A1999" s="103"/>
      <c r="B1999" s="104"/>
      <c r="C1999" s="104"/>
      <c r="F1999" s="107" t="str">
        <f aca="false">IF(OR($C1999="",$D1999=0),"",$E1999/$D1999)</f>
        <v/>
      </c>
      <c r="H1999" s="0" t="str">
        <f aca="false">IF($C1999="","",IF(COUNTIF('مواد المخزون'!$A$2:$A$90,$C1999)&gt;0,"نعم","لا (خارج الجرد)"))</f>
        <v/>
      </c>
    </row>
    <row r="2000" customFormat="false" ht="15" hidden="false" customHeight="false" outlineLevel="0" collapsed="false">
      <c r="A2000" s="103"/>
      <c r="B2000" s="104"/>
      <c r="C2000" s="104"/>
      <c r="F2000" s="107" t="str">
        <f aca="false">IF(OR($C2000="",$D2000=0),"",$E2000/$D2000)</f>
        <v/>
      </c>
      <c r="H2000" s="0" t="str">
        <f aca="false">IF($C2000="","",IF(COUNTIF('مواد المخزون'!$A$2:$A$90,$C2000)&gt;0,"نعم","لا (خارج الجرد)"))</f>
        <v/>
      </c>
    </row>
    <row r="2001" customFormat="false" ht="15" hidden="false" customHeight="false" outlineLevel="0" collapsed="false">
      <c r="A2001" s="103"/>
      <c r="B2001" s="104"/>
      <c r="C2001" s="104"/>
      <c r="F2001" s="107" t="str">
        <f aca="false">IF(OR($C2001="",$D2001=0),"",$E2001/$D2001)</f>
        <v/>
      </c>
      <c r="H2001" s="0" t="str">
        <f aca="false">IF($C2001="","",IF(COUNTIF('مواد المخزون'!$A$2:$A$90,$C2001)&gt;0,"نعم","لا (خارج الجرد)"))</f>
        <v/>
      </c>
    </row>
    <row r="2002" customFormat="false" ht="15" hidden="false" customHeight="false" outlineLevel="0" collapsed="false">
      <c r="A2002" s="103"/>
      <c r="B2002" s="104"/>
      <c r="C2002" s="104"/>
      <c r="F2002" s="107" t="str">
        <f aca="false">IF(OR($C2002="",$D2002=0),"",$E2002/$D2002)</f>
        <v/>
      </c>
      <c r="H2002" s="0" t="str">
        <f aca="false">IF($C2002="","",IF(COUNTIF('مواد المخزون'!$A$2:$A$90,$C2002)&gt;0,"نعم","لا (خارج الجرد)"))</f>
        <v/>
      </c>
    </row>
    <row r="2003" customFormat="false" ht="15" hidden="false" customHeight="false" outlineLevel="0" collapsed="false">
      <c r="A2003" s="103"/>
      <c r="B2003" s="104"/>
      <c r="C2003" s="104"/>
      <c r="F2003" s="107" t="str">
        <f aca="false">IF(OR($C2003="",$D2003=0),"",$E2003/$D2003)</f>
        <v/>
      </c>
      <c r="H2003" s="0" t="str">
        <f aca="false">IF($C2003="","",IF(COUNTIF('مواد المخزون'!$A$2:$A$90,$C2003)&gt;0,"نعم","لا (خارج الجرد)"))</f>
        <v/>
      </c>
    </row>
    <row r="2004" customFormat="false" ht="15" hidden="false" customHeight="false" outlineLevel="0" collapsed="false">
      <c r="A2004" s="103"/>
      <c r="B2004" s="104"/>
      <c r="C2004" s="104"/>
      <c r="F2004" s="107" t="str">
        <f aca="false">IF(OR($C2004="",$D2004=0),"",$E2004/$D2004)</f>
        <v/>
      </c>
      <c r="H2004" s="0" t="str">
        <f aca="false">IF($C2004="","",IF(COUNTIF('مواد المخزون'!$A$2:$A$90,$C2004)&gt;0,"نعم","لا (خارج الجرد)"))</f>
        <v/>
      </c>
    </row>
    <row r="2005" customFormat="false" ht="15" hidden="false" customHeight="false" outlineLevel="0" collapsed="false">
      <c r="A2005" s="103"/>
      <c r="B2005" s="104"/>
      <c r="C2005" s="104"/>
      <c r="F2005" s="107" t="str">
        <f aca="false">IF(OR($C2005="",$D2005=0),"",$E2005/$D2005)</f>
        <v/>
      </c>
      <c r="H2005" s="0" t="str">
        <f aca="false">IF($C2005="","",IF(COUNTIF('مواد المخزون'!$A$2:$A$90,$C2005)&gt;0,"نعم","لا (خارج الجرد)"))</f>
        <v/>
      </c>
    </row>
    <row r="2006" customFormat="false" ht="15" hidden="false" customHeight="false" outlineLevel="0" collapsed="false">
      <c r="A2006" s="103"/>
      <c r="B2006" s="104"/>
      <c r="C2006" s="104"/>
      <c r="F2006" s="107" t="str">
        <f aca="false">IF(OR($C2006="",$D2006=0),"",$E2006/$D2006)</f>
        <v/>
      </c>
      <c r="H2006" s="0" t="str">
        <f aca="false">IF($C2006="","",IF(COUNTIF('مواد المخزون'!$A$2:$A$90,$C2006)&gt;0,"نعم","لا (خارج الجرد)"))</f>
        <v/>
      </c>
    </row>
    <row r="2007" customFormat="false" ht="15" hidden="false" customHeight="false" outlineLevel="0" collapsed="false">
      <c r="A2007" s="103"/>
      <c r="B2007" s="104"/>
      <c r="C2007" s="104"/>
      <c r="F2007" s="107" t="str">
        <f aca="false">IF(OR($C2007="",$D2007=0),"",$E2007/$D2007)</f>
        <v/>
      </c>
      <c r="H2007" s="0" t="str">
        <f aca="false">IF($C2007="","",IF(COUNTIF('مواد المخزون'!$A$2:$A$90,$C2007)&gt;0,"نعم","لا (خارج الجرد)"))</f>
        <v/>
      </c>
    </row>
    <row r="2008" customFormat="false" ht="15" hidden="false" customHeight="false" outlineLevel="0" collapsed="false">
      <c r="A2008" s="103"/>
      <c r="B2008" s="104"/>
      <c r="C2008" s="104"/>
      <c r="F2008" s="107" t="str">
        <f aca="false">IF(OR($C2008="",$D2008=0),"",$E2008/$D2008)</f>
        <v/>
      </c>
      <c r="H2008" s="0" t="str">
        <f aca="false">IF($C2008="","",IF(COUNTIF('مواد المخزون'!$A$2:$A$90,$C2008)&gt;0,"نعم","لا (خارج الجرد)"))</f>
        <v/>
      </c>
    </row>
    <row r="2009" customFormat="false" ht="15" hidden="false" customHeight="false" outlineLevel="0" collapsed="false">
      <c r="A2009" s="103"/>
      <c r="B2009" s="104"/>
      <c r="C2009" s="104"/>
      <c r="F2009" s="107" t="str">
        <f aca="false">IF(OR($C2009="",$D2009=0),"",$E2009/$D2009)</f>
        <v/>
      </c>
      <c r="H2009" s="0" t="str">
        <f aca="false">IF($C2009="","",IF(COUNTIF('مواد المخزون'!$A$2:$A$90,$C2009)&gt;0,"نعم","لا (خارج الجرد)"))</f>
        <v/>
      </c>
    </row>
    <row r="2010" customFormat="false" ht="15" hidden="false" customHeight="false" outlineLevel="0" collapsed="false">
      <c r="A2010" s="103"/>
      <c r="B2010" s="104"/>
      <c r="C2010" s="104"/>
      <c r="F2010" s="107" t="str">
        <f aca="false">IF(OR($C2010="",$D2010=0),"",$E2010/$D2010)</f>
        <v/>
      </c>
      <c r="H2010" s="0" t="str">
        <f aca="false">IF($C2010="","",IF(COUNTIF('مواد المخزون'!$A$2:$A$90,$C2010)&gt;0,"نعم","لا (خارج الجرد)"))</f>
        <v/>
      </c>
    </row>
    <row r="2011" customFormat="false" ht="15" hidden="false" customHeight="false" outlineLevel="0" collapsed="false">
      <c r="A2011" s="103"/>
      <c r="B2011" s="104"/>
      <c r="C2011" s="104"/>
      <c r="F2011" s="107" t="str">
        <f aca="false">IF(OR($C2011="",$D2011=0),"",$E2011/$D2011)</f>
        <v/>
      </c>
      <c r="H2011" s="0" t="str">
        <f aca="false">IF($C2011="","",IF(COUNTIF('مواد المخزون'!$A$2:$A$90,$C2011)&gt;0,"نعم","لا (خارج الجرد)"))</f>
        <v/>
      </c>
    </row>
    <row r="2012" customFormat="false" ht="15" hidden="false" customHeight="false" outlineLevel="0" collapsed="false">
      <c r="A2012" s="103"/>
      <c r="B2012" s="104"/>
      <c r="C2012" s="104"/>
      <c r="F2012" s="107" t="str">
        <f aca="false">IF(OR($C2012="",$D2012=0),"",$E2012/$D2012)</f>
        <v/>
      </c>
      <c r="H2012" s="0" t="str">
        <f aca="false">IF($C2012="","",IF(COUNTIF('مواد المخزون'!$A$2:$A$90,$C2012)&gt;0,"نعم","لا (خارج الجرد)"))</f>
        <v/>
      </c>
    </row>
    <row r="2013" customFormat="false" ht="15" hidden="false" customHeight="false" outlineLevel="0" collapsed="false">
      <c r="A2013" s="103"/>
      <c r="B2013" s="104"/>
      <c r="C2013" s="104"/>
      <c r="F2013" s="107" t="str">
        <f aca="false">IF(OR($C2013="",$D2013=0),"",$E2013/$D2013)</f>
        <v/>
      </c>
      <c r="H2013" s="0" t="str">
        <f aca="false">IF($C2013="","",IF(COUNTIF('مواد المخزون'!$A$2:$A$90,$C2013)&gt;0,"نعم","لا (خارج الجرد)"))</f>
        <v/>
      </c>
    </row>
    <row r="2014" customFormat="false" ht="15" hidden="false" customHeight="false" outlineLevel="0" collapsed="false">
      <c r="A2014" s="103"/>
      <c r="B2014" s="104"/>
      <c r="C2014" s="104"/>
      <c r="F2014" s="107" t="str">
        <f aca="false">IF(OR($C2014="",$D2014=0),"",$E2014/$D2014)</f>
        <v/>
      </c>
      <c r="H2014" s="0" t="str">
        <f aca="false">IF($C2014="","",IF(COUNTIF('مواد المخزون'!$A$2:$A$90,$C2014)&gt;0,"نعم","لا (خارج الجرد)"))</f>
        <v/>
      </c>
    </row>
    <row r="2015" customFormat="false" ht="15" hidden="false" customHeight="false" outlineLevel="0" collapsed="false">
      <c r="A2015" s="103"/>
      <c r="B2015" s="104"/>
      <c r="C2015" s="104"/>
      <c r="F2015" s="107" t="str">
        <f aca="false">IF(OR($C2015="",$D2015=0),"",$E2015/$D2015)</f>
        <v/>
      </c>
      <c r="H2015" s="0" t="str">
        <f aca="false">IF($C2015="","",IF(COUNTIF('مواد المخزون'!$A$2:$A$90,$C2015)&gt;0,"نعم","لا (خارج الجرد)"))</f>
        <v/>
      </c>
    </row>
    <row r="2016" customFormat="false" ht="15" hidden="false" customHeight="false" outlineLevel="0" collapsed="false">
      <c r="A2016" s="103"/>
      <c r="B2016" s="104"/>
      <c r="C2016" s="104"/>
      <c r="F2016" s="107" t="str">
        <f aca="false">IF(OR($C2016="",$D2016=0),"",$E2016/$D2016)</f>
        <v/>
      </c>
      <c r="H2016" s="0" t="str">
        <f aca="false">IF($C2016="","",IF(COUNTIF('مواد المخزون'!$A$2:$A$90,$C2016)&gt;0,"نعم","لا (خارج الجرد)"))</f>
        <v/>
      </c>
    </row>
    <row r="2017" customFormat="false" ht="15" hidden="false" customHeight="false" outlineLevel="0" collapsed="false">
      <c r="A2017" s="103"/>
      <c r="B2017" s="104"/>
      <c r="C2017" s="104"/>
      <c r="F2017" s="107" t="str">
        <f aca="false">IF(OR($C2017="",$D2017=0),"",$E2017/$D2017)</f>
        <v/>
      </c>
      <c r="H2017" s="0" t="str">
        <f aca="false">IF($C2017="","",IF(COUNTIF('مواد المخزون'!$A$2:$A$90,$C2017)&gt;0,"نعم","لا (خارج الجرد)"))</f>
        <v/>
      </c>
    </row>
    <row r="2018" customFormat="false" ht="15" hidden="false" customHeight="false" outlineLevel="0" collapsed="false">
      <c r="A2018" s="103"/>
      <c r="B2018" s="104"/>
      <c r="C2018" s="104"/>
      <c r="F2018" s="107" t="str">
        <f aca="false">IF(OR($C2018="",$D2018=0),"",$E2018/$D2018)</f>
        <v/>
      </c>
      <c r="H2018" s="0" t="str">
        <f aca="false">IF($C2018="","",IF(COUNTIF('مواد المخزون'!$A$2:$A$90,$C2018)&gt;0,"نعم","لا (خارج الجرد)"))</f>
        <v/>
      </c>
    </row>
    <row r="2019" customFormat="false" ht="15" hidden="false" customHeight="false" outlineLevel="0" collapsed="false">
      <c r="A2019" s="103"/>
      <c r="B2019" s="104"/>
      <c r="C2019" s="104"/>
      <c r="F2019" s="107" t="str">
        <f aca="false">IF(OR($C2019="",$D2019=0),"",$E2019/$D2019)</f>
        <v/>
      </c>
      <c r="H2019" s="0" t="str">
        <f aca="false">IF($C2019="","",IF(COUNTIF('مواد المخزون'!$A$2:$A$90,$C2019)&gt;0,"نعم","لا (خارج الجرد)"))</f>
        <v/>
      </c>
    </row>
    <row r="2020" customFormat="false" ht="15" hidden="false" customHeight="false" outlineLevel="0" collapsed="false">
      <c r="A2020" s="103"/>
      <c r="B2020" s="104"/>
      <c r="C2020" s="104"/>
      <c r="F2020" s="107" t="str">
        <f aca="false">IF(OR($C2020="",$D2020=0),"",$E2020/$D2020)</f>
        <v/>
      </c>
      <c r="H2020" s="0" t="str">
        <f aca="false">IF($C2020="","",IF(COUNTIF('مواد المخزون'!$A$2:$A$90,$C2020)&gt;0,"نعم","لا (خارج الجرد)"))</f>
        <v/>
      </c>
    </row>
    <row r="2021" customFormat="false" ht="15" hidden="false" customHeight="false" outlineLevel="0" collapsed="false">
      <c r="A2021" s="103"/>
      <c r="B2021" s="104"/>
      <c r="C2021" s="104"/>
      <c r="F2021" s="107" t="str">
        <f aca="false">IF(OR($C2021="",$D2021=0),"",$E2021/$D2021)</f>
        <v/>
      </c>
      <c r="H2021" s="0" t="str">
        <f aca="false">IF($C2021="","",IF(COUNTIF('مواد المخزون'!$A$2:$A$90,$C2021)&gt;0,"نعم","لا (خارج الجرد)"))</f>
        <v/>
      </c>
    </row>
    <row r="2022" customFormat="false" ht="15" hidden="false" customHeight="false" outlineLevel="0" collapsed="false">
      <c r="A2022" s="103"/>
      <c r="B2022" s="104"/>
      <c r="C2022" s="104"/>
      <c r="F2022" s="107" t="str">
        <f aca="false">IF(OR($C2022="",$D2022=0),"",$E2022/$D2022)</f>
        <v/>
      </c>
      <c r="H2022" s="0" t="str">
        <f aca="false">IF($C2022="","",IF(COUNTIF('مواد المخزون'!$A$2:$A$90,$C2022)&gt;0,"نعم","لا (خارج الجرد)"))</f>
        <v/>
      </c>
    </row>
    <row r="2023" customFormat="false" ht="15" hidden="false" customHeight="false" outlineLevel="0" collapsed="false">
      <c r="A2023" s="103"/>
      <c r="B2023" s="104"/>
      <c r="C2023" s="104"/>
      <c r="F2023" s="107" t="str">
        <f aca="false">IF(OR($C2023="",$D2023=0),"",$E2023/$D2023)</f>
        <v/>
      </c>
      <c r="H2023" s="0" t="str">
        <f aca="false">IF($C2023="","",IF(COUNTIF('مواد المخزون'!$A$2:$A$90,$C2023)&gt;0,"نعم","لا (خارج الجرد)"))</f>
        <v/>
      </c>
    </row>
    <row r="2024" customFormat="false" ht="15" hidden="false" customHeight="false" outlineLevel="0" collapsed="false">
      <c r="A2024" s="103"/>
      <c r="B2024" s="104"/>
      <c r="C2024" s="104"/>
      <c r="F2024" s="107" t="str">
        <f aca="false">IF(OR($C2024="",$D2024=0),"",$E2024/$D2024)</f>
        <v/>
      </c>
      <c r="H2024" s="0" t="str">
        <f aca="false">IF($C2024="","",IF(COUNTIF('مواد المخزون'!$A$2:$A$90,$C2024)&gt;0,"نعم","لا (خارج الجرد)"))</f>
        <v/>
      </c>
    </row>
    <row r="2025" customFormat="false" ht="15" hidden="false" customHeight="false" outlineLevel="0" collapsed="false">
      <c r="A2025" s="103"/>
      <c r="B2025" s="104"/>
      <c r="C2025" s="104"/>
      <c r="F2025" s="107" t="str">
        <f aca="false">IF(OR($C2025="",$D2025=0),"",$E2025/$D2025)</f>
        <v/>
      </c>
      <c r="H2025" s="0" t="str">
        <f aca="false">IF($C2025="","",IF(COUNTIF('مواد المخزون'!$A$2:$A$90,$C2025)&gt;0,"نعم","لا (خارج الجرد)"))</f>
        <v/>
      </c>
    </row>
    <row r="2026" customFormat="false" ht="15" hidden="false" customHeight="false" outlineLevel="0" collapsed="false">
      <c r="A2026" s="103"/>
      <c r="B2026" s="104"/>
      <c r="C2026" s="104"/>
      <c r="F2026" s="107" t="str">
        <f aca="false">IF(OR($C2026="",$D2026=0),"",$E2026/$D2026)</f>
        <v/>
      </c>
      <c r="H2026" s="0" t="str">
        <f aca="false">IF($C2026="","",IF(COUNTIF('مواد المخزون'!$A$2:$A$90,$C2026)&gt;0,"نعم","لا (خارج الجرد)"))</f>
        <v/>
      </c>
    </row>
    <row r="2027" customFormat="false" ht="15" hidden="false" customHeight="false" outlineLevel="0" collapsed="false">
      <c r="A2027" s="103"/>
      <c r="B2027" s="104"/>
      <c r="C2027" s="104"/>
      <c r="F2027" s="107" t="str">
        <f aca="false">IF(OR($C2027="",$D2027=0),"",$E2027/$D2027)</f>
        <v/>
      </c>
      <c r="H2027" s="0" t="str">
        <f aca="false">IF($C2027="","",IF(COUNTIF('مواد المخزون'!$A$2:$A$90,$C2027)&gt;0,"نعم","لا (خارج الجرد)"))</f>
        <v/>
      </c>
    </row>
    <row r="2028" customFormat="false" ht="15" hidden="false" customHeight="false" outlineLevel="0" collapsed="false">
      <c r="A2028" s="103"/>
      <c r="B2028" s="104"/>
      <c r="C2028" s="104"/>
      <c r="F2028" s="107" t="str">
        <f aca="false">IF(OR($C2028="",$D2028=0),"",$E2028/$D2028)</f>
        <v/>
      </c>
      <c r="H2028" s="0" t="str">
        <f aca="false">IF($C2028="","",IF(COUNTIF('مواد المخزون'!$A$2:$A$90,$C2028)&gt;0,"نعم","لا (خارج الجرد)"))</f>
        <v/>
      </c>
    </row>
    <row r="2029" customFormat="false" ht="15" hidden="false" customHeight="false" outlineLevel="0" collapsed="false">
      <c r="A2029" s="103"/>
      <c r="B2029" s="104"/>
      <c r="C2029" s="104"/>
      <c r="F2029" s="107" t="str">
        <f aca="false">IF(OR($C2029="",$D2029=0),"",$E2029/$D2029)</f>
        <v/>
      </c>
      <c r="H2029" s="0" t="str">
        <f aca="false">IF($C2029="","",IF(COUNTIF('مواد المخزون'!$A$2:$A$90,$C2029)&gt;0,"نعم","لا (خارج الجرد)"))</f>
        <v/>
      </c>
    </row>
    <row r="2030" customFormat="false" ht="15" hidden="false" customHeight="false" outlineLevel="0" collapsed="false">
      <c r="A2030" s="103"/>
      <c r="B2030" s="104"/>
      <c r="C2030" s="104"/>
      <c r="F2030" s="107" t="str">
        <f aca="false">IF(OR($C2030="",$D2030=0),"",$E2030/$D2030)</f>
        <v/>
      </c>
      <c r="H2030" s="0" t="str">
        <f aca="false">IF($C2030="","",IF(COUNTIF('مواد المخزون'!$A$2:$A$90,$C2030)&gt;0,"نعم","لا (خارج الجرد)"))</f>
        <v/>
      </c>
    </row>
    <row r="2031" customFormat="false" ht="15" hidden="false" customHeight="false" outlineLevel="0" collapsed="false">
      <c r="A2031" s="103"/>
      <c r="B2031" s="104"/>
      <c r="C2031" s="104"/>
      <c r="F2031" s="107" t="str">
        <f aca="false">IF(OR($C2031="",$D2031=0),"",$E2031/$D2031)</f>
        <v/>
      </c>
      <c r="H2031" s="0" t="str">
        <f aca="false">IF($C2031="","",IF(COUNTIF('مواد المخزون'!$A$2:$A$90,$C2031)&gt;0,"نعم","لا (خارج الجرد)"))</f>
        <v/>
      </c>
    </row>
    <row r="2032" customFormat="false" ht="15" hidden="false" customHeight="false" outlineLevel="0" collapsed="false">
      <c r="A2032" s="103"/>
      <c r="B2032" s="104"/>
      <c r="C2032" s="104"/>
      <c r="F2032" s="107" t="str">
        <f aca="false">IF(OR($C2032="",$D2032=0),"",$E2032/$D2032)</f>
        <v/>
      </c>
      <c r="H2032" s="0" t="str">
        <f aca="false">IF($C2032="","",IF(COUNTIF('مواد المخزون'!$A$2:$A$90,$C2032)&gt;0,"نعم","لا (خارج الجرد)"))</f>
        <v/>
      </c>
    </row>
    <row r="2033" customFormat="false" ht="15" hidden="false" customHeight="false" outlineLevel="0" collapsed="false">
      <c r="A2033" s="103"/>
      <c r="B2033" s="104"/>
      <c r="C2033" s="104"/>
      <c r="F2033" s="107" t="str">
        <f aca="false">IF(OR($C2033="",$D2033=0),"",$E2033/$D2033)</f>
        <v/>
      </c>
      <c r="H2033" s="0" t="str">
        <f aca="false">IF($C2033="","",IF(COUNTIF('مواد المخزون'!$A$2:$A$90,$C2033)&gt;0,"نعم","لا (خارج الجرد)"))</f>
        <v/>
      </c>
    </row>
    <row r="2034" customFormat="false" ht="15" hidden="false" customHeight="false" outlineLevel="0" collapsed="false">
      <c r="A2034" s="103"/>
      <c r="B2034" s="104"/>
      <c r="C2034" s="104"/>
      <c r="F2034" s="107" t="str">
        <f aca="false">IF(OR($C2034="",$D2034=0),"",$E2034/$D2034)</f>
        <v/>
      </c>
      <c r="H2034" s="0" t="str">
        <f aca="false">IF($C2034="","",IF(COUNTIF('مواد المخزون'!$A$2:$A$90,$C2034)&gt;0,"نعم","لا (خارج الجرد)"))</f>
        <v/>
      </c>
    </row>
    <row r="2035" customFormat="false" ht="15" hidden="false" customHeight="false" outlineLevel="0" collapsed="false">
      <c r="A2035" s="103"/>
      <c r="B2035" s="104"/>
      <c r="C2035" s="104"/>
      <c r="F2035" s="107" t="str">
        <f aca="false">IF(OR($C2035="",$D2035=0),"",$E2035/$D2035)</f>
        <v/>
      </c>
      <c r="H2035" s="0" t="str">
        <f aca="false">IF($C2035="","",IF(COUNTIF('مواد المخزون'!$A$2:$A$90,$C2035)&gt;0,"نعم","لا (خارج الجرد)"))</f>
        <v/>
      </c>
    </row>
    <row r="2036" customFormat="false" ht="15" hidden="false" customHeight="false" outlineLevel="0" collapsed="false">
      <c r="A2036" s="103"/>
      <c r="B2036" s="104"/>
      <c r="C2036" s="104"/>
      <c r="F2036" s="107" t="str">
        <f aca="false">IF(OR($C2036="",$D2036=0),"",$E2036/$D2036)</f>
        <v/>
      </c>
      <c r="H2036" s="0" t="str">
        <f aca="false">IF($C2036="","",IF(COUNTIF('مواد المخزون'!$A$2:$A$90,$C2036)&gt;0,"نعم","لا (خارج الجرد)"))</f>
        <v/>
      </c>
    </row>
    <row r="2037" customFormat="false" ht="15" hidden="false" customHeight="false" outlineLevel="0" collapsed="false">
      <c r="A2037" s="103"/>
      <c r="B2037" s="104"/>
      <c r="C2037" s="104"/>
      <c r="F2037" s="107" t="str">
        <f aca="false">IF(OR($C2037="",$D2037=0),"",$E2037/$D2037)</f>
        <v/>
      </c>
      <c r="H2037" s="0" t="str">
        <f aca="false">IF($C2037="","",IF(COUNTIF('مواد المخزون'!$A$2:$A$90,$C2037)&gt;0,"نعم","لا (خارج الجرد)"))</f>
        <v/>
      </c>
    </row>
    <row r="2038" customFormat="false" ht="15" hidden="false" customHeight="false" outlineLevel="0" collapsed="false">
      <c r="A2038" s="103"/>
      <c r="B2038" s="104"/>
      <c r="C2038" s="104"/>
      <c r="F2038" s="107" t="str">
        <f aca="false">IF(OR($C2038="",$D2038=0),"",$E2038/$D2038)</f>
        <v/>
      </c>
      <c r="H2038" s="0" t="str">
        <f aca="false">IF($C2038="","",IF(COUNTIF('مواد المخزون'!$A$2:$A$90,$C2038)&gt;0,"نعم","لا (خارج الجرد)"))</f>
        <v/>
      </c>
    </row>
    <row r="2039" customFormat="false" ht="15" hidden="false" customHeight="false" outlineLevel="0" collapsed="false">
      <c r="A2039" s="103"/>
      <c r="B2039" s="104"/>
      <c r="C2039" s="104"/>
      <c r="F2039" s="107" t="str">
        <f aca="false">IF(OR($C2039="",$D2039=0),"",$E2039/$D2039)</f>
        <v/>
      </c>
      <c r="H2039" s="0" t="str">
        <f aca="false">IF($C2039="","",IF(COUNTIF('مواد المخزون'!$A$2:$A$90,$C2039)&gt;0,"نعم","لا (خارج الجرد)"))</f>
        <v/>
      </c>
    </row>
    <row r="2040" customFormat="false" ht="15" hidden="false" customHeight="false" outlineLevel="0" collapsed="false">
      <c r="A2040" s="103"/>
      <c r="B2040" s="104"/>
      <c r="C2040" s="104"/>
      <c r="F2040" s="107" t="str">
        <f aca="false">IF(OR($C2040="",$D2040=0),"",$E2040/$D2040)</f>
        <v/>
      </c>
      <c r="H2040" s="0" t="str">
        <f aca="false">IF($C2040="","",IF(COUNTIF('مواد المخزون'!$A$2:$A$90,$C2040)&gt;0,"نعم","لا (خارج الجرد)"))</f>
        <v/>
      </c>
    </row>
    <row r="2041" customFormat="false" ht="15" hidden="false" customHeight="false" outlineLevel="0" collapsed="false">
      <c r="A2041" s="103"/>
      <c r="B2041" s="104"/>
      <c r="C2041" s="104"/>
      <c r="F2041" s="107" t="str">
        <f aca="false">IF(OR($C2041="",$D2041=0),"",$E2041/$D2041)</f>
        <v/>
      </c>
      <c r="H2041" s="0" t="str">
        <f aca="false">IF($C2041="","",IF(COUNTIF('مواد المخزون'!$A$2:$A$90,$C2041)&gt;0,"نعم","لا (خارج الجرد)"))</f>
        <v/>
      </c>
    </row>
    <row r="2042" customFormat="false" ht="15" hidden="false" customHeight="false" outlineLevel="0" collapsed="false">
      <c r="A2042" s="103"/>
      <c r="B2042" s="104"/>
      <c r="C2042" s="104"/>
      <c r="F2042" s="107" t="str">
        <f aca="false">IF(OR($C2042="",$D2042=0),"",$E2042/$D2042)</f>
        <v/>
      </c>
      <c r="H2042" s="0" t="str">
        <f aca="false">IF($C2042="","",IF(COUNTIF('مواد المخزون'!$A$2:$A$90,$C2042)&gt;0,"نعم","لا (خارج الجرد)"))</f>
        <v/>
      </c>
    </row>
    <row r="2043" customFormat="false" ht="15" hidden="false" customHeight="false" outlineLevel="0" collapsed="false">
      <c r="A2043" s="103"/>
      <c r="B2043" s="104"/>
      <c r="C2043" s="104"/>
      <c r="F2043" s="107" t="str">
        <f aca="false">IF(OR($C2043="",$D2043=0),"",$E2043/$D2043)</f>
        <v/>
      </c>
      <c r="H2043" s="0" t="str">
        <f aca="false">IF($C2043="","",IF(COUNTIF('مواد المخزون'!$A$2:$A$90,$C2043)&gt;0,"نعم","لا (خارج الجرد)"))</f>
        <v/>
      </c>
    </row>
    <row r="2044" customFormat="false" ht="15" hidden="false" customHeight="false" outlineLevel="0" collapsed="false">
      <c r="A2044" s="103"/>
      <c r="B2044" s="104"/>
      <c r="C2044" s="104"/>
      <c r="F2044" s="107" t="str">
        <f aca="false">IF(OR($C2044="",$D2044=0),"",$E2044/$D2044)</f>
        <v/>
      </c>
      <c r="H2044" s="0" t="str">
        <f aca="false">IF($C2044="","",IF(COUNTIF('مواد المخزون'!$A$2:$A$90,$C2044)&gt;0,"نعم","لا (خارج الجرد)"))</f>
        <v/>
      </c>
    </row>
    <row r="2045" customFormat="false" ht="15" hidden="false" customHeight="false" outlineLevel="0" collapsed="false">
      <c r="A2045" s="103"/>
      <c r="B2045" s="104"/>
      <c r="C2045" s="104"/>
      <c r="F2045" s="107" t="str">
        <f aca="false">IF(OR($C2045="",$D2045=0),"",$E2045/$D2045)</f>
        <v/>
      </c>
      <c r="H2045" s="0" t="str">
        <f aca="false">IF($C2045="","",IF(COUNTIF('مواد المخزون'!$A$2:$A$90,$C2045)&gt;0,"نعم","لا (خارج الجرد)"))</f>
        <v/>
      </c>
    </row>
    <row r="2046" customFormat="false" ht="15" hidden="false" customHeight="false" outlineLevel="0" collapsed="false">
      <c r="A2046" s="103"/>
      <c r="B2046" s="104"/>
      <c r="C2046" s="104"/>
      <c r="F2046" s="107" t="str">
        <f aca="false">IF(OR($C2046="",$D2046=0),"",$E2046/$D2046)</f>
        <v/>
      </c>
      <c r="H2046" s="0" t="str">
        <f aca="false">IF($C2046="","",IF(COUNTIF('مواد المخزون'!$A$2:$A$90,$C2046)&gt;0,"نعم","لا (خارج الجرد)"))</f>
        <v/>
      </c>
    </row>
    <row r="2047" customFormat="false" ht="15" hidden="false" customHeight="false" outlineLevel="0" collapsed="false">
      <c r="A2047" s="103"/>
      <c r="B2047" s="104"/>
      <c r="C2047" s="104"/>
      <c r="F2047" s="107" t="str">
        <f aca="false">IF(OR($C2047="",$D2047=0),"",$E2047/$D2047)</f>
        <v/>
      </c>
      <c r="H2047" s="0" t="str">
        <f aca="false">IF($C2047="","",IF(COUNTIF('مواد المخزون'!$A$2:$A$90,$C2047)&gt;0,"نعم","لا (خارج الجرد)"))</f>
        <v/>
      </c>
    </row>
    <row r="2048" customFormat="false" ht="15" hidden="false" customHeight="false" outlineLevel="0" collapsed="false">
      <c r="A2048" s="103"/>
      <c r="B2048" s="104"/>
      <c r="C2048" s="104"/>
      <c r="F2048" s="107" t="str">
        <f aca="false">IF(OR($C2048="",$D2048=0),"",$E2048/$D2048)</f>
        <v/>
      </c>
      <c r="H2048" s="0" t="str">
        <f aca="false">IF($C2048="","",IF(COUNTIF('مواد المخزون'!$A$2:$A$90,$C2048)&gt;0,"نعم","لا (خارج الجرد)"))</f>
        <v/>
      </c>
    </row>
    <row r="2049" customFormat="false" ht="15" hidden="false" customHeight="false" outlineLevel="0" collapsed="false">
      <c r="A2049" s="103"/>
      <c r="B2049" s="104"/>
      <c r="C2049" s="104"/>
      <c r="F2049" s="107" t="str">
        <f aca="false">IF(OR($C2049="",$D2049=0),"",$E2049/$D2049)</f>
        <v/>
      </c>
      <c r="H2049" s="0" t="str">
        <f aca="false">IF($C2049="","",IF(COUNTIF('مواد المخزون'!$A$2:$A$90,$C2049)&gt;0,"نعم","لا (خارج الجرد)"))</f>
        <v/>
      </c>
    </row>
    <row r="2050" customFormat="false" ht="15" hidden="false" customHeight="false" outlineLevel="0" collapsed="false">
      <c r="A2050" s="103"/>
      <c r="B2050" s="104"/>
      <c r="C2050" s="104"/>
      <c r="F2050" s="107" t="str">
        <f aca="false">IF(OR($C2050="",$D2050=0),"",$E2050/$D2050)</f>
        <v/>
      </c>
      <c r="H2050" s="0" t="str">
        <f aca="false">IF($C2050="","",IF(COUNTIF('مواد المخزون'!$A$2:$A$90,$C2050)&gt;0,"نعم","لا (خارج الجرد)"))</f>
        <v/>
      </c>
    </row>
    <row r="2051" customFormat="false" ht="15" hidden="false" customHeight="false" outlineLevel="0" collapsed="false">
      <c r="A2051" s="103"/>
      <c r="B2051" s="104"/>
      <c r="C2051" s="104"/>
      <c r="F2051" s="107" t="str">
        <f aca="false">IF(OR($C2051="",$D2051=0),"",$E2051/$D2051)</f>
        <v/>
      </c>
      <c r="H2051" s="0" t="str">
        <f aca="false">IF($C2051="","",IF(COUNTIF('مواد المخزون'!$A$2:$A$90,$C2051)&gt;0,"نعم","لا (خارج الجرد)"))</f>
        <v/>
      </c>
    </row>
    <row r="2052" customFormat="false" ht="15" hidden="false" customHeight="false" outlineLevel="0" collapsed="false">
      <c r="A2052" s="103"/>
      <c r="B2052" s="104"/>
      <c r="C2052" s="104"/>
      <c r="F2052" s="107" t="str">
        <f aca="false">IF(OR($C2052="",$D2052=0),"",$E2052/$D2052)</f>
        <v/>
      </c>
      <c r="H2052" s="0" t="str">
        <f aca="false">IF($C2052="","",IF(COUNTIF('مواد المخزون'!$A$2:$A$90,$C2052)&gt;0,"نعم","لا (خارج الجرد)"))</f>
        <v/>
      </c>
    </row>
    <row r="2053" customFormat="false" ht="15" hidden="false" customHeight="false" outlineLevel="0" collapsed="false">
      <c r="A2053" s="103"/>
      <c r="B2053" s="104"/>
      <c r="C2053" s="104"/>
      <c r="F2053" s="107" t="str">
        <f aca="false">IF(OR($C2053="",$D2053=0),"",$E2053/$D2053)</f>
        <v/>
      </c>
      <c r="H2053" s="0" t="str">
        <f aca="false">IF($C2053="","",IF(COUNTIF('مواد المخزون'!$A$2:$A$90,$C2053)&gt;0,"نعم","لا (خارج الجرد)"))</f>
        <v/>
      </c>
    </row>
    <row r="2054" customFormat="false" ht="15" hidden="false" customHeight="false" outlineLevel="0" collapsed="false">
      <c r="A2054" s="103"/>
      <c r="B2054" s="104"/>
      <c r="C2054" s="104"/>
      <c r="F2054" s="107" t="str">
        <f aca="false">IF(OR($C2054="",$D2054=0),"",$E2054/$D2054)</f>
        <v/>
      </c>
      <c r="H2054" s="0" t="str">
        <f aca="false">IF($C2054="","",IF(COUNTIF('مواد المخزون'!$A$2:$A$90,$C2054)&gt;0,"نعم","لا (خارج الجرد)"))</f>
        <v/>
      </c>
    </row>
    <row r="2055" customFormat="false" ht="15" hidden="false" customHeight="false" outlineLevel="0" collapsed="false">
      <c r="A2055" s="103"/>
      <c r="B2055" s="104"/>
      <c r="C2055" s="104"/>
      <c r="F2055" s="107" t="str">
        <f aca="false">IF(OR($C2055="",$D2055=0),"",$E2055/$D2055)</f>
        <v/>
      </c>
      <c r="H2055" s="0" t="str">
        <f aca="false">IF($C2055="","",IF(COUNTIF('مواد المخزون'!$A$2:$A$90,$C2055)&gt;0,"نعم","لا (خارج الجرد)"))</f>
        <v/>
      </c>
    </row>
    <row r="2056" customFormat="false" ht="15" hidden="false" customHeight="false" outlineLevel="0" collapsed="false">
      <c r="A2056" s="103"/>
      <c r="B2056" s="104"/>
      <c r="C2056" s="104"/>
      <c r="F2056" s="107" t="str">
        <f aca="false">IF(OR($C2056="",$D2056=0),"",$E2056/$D2056)</f>
        <v/>
      </c>
      <c r="H2056" s="0" t="str">
        <f aca="false">IF($C2056="","",IF(COUNTIF('مواد المخزون'!$A$2:$A$90,$C2056)&gt;0,"نعم","لا (خارج الجرد)"))</f>
        <v/>
      </c>
    </row>
    <row r="2057" customFormat="false" ht="15" hidden="false" customHeight="false" outlineLevel="0" collapsed="false">
      <c r="A2057" s="103"/>
      <c r="B2057" s="104"/>
      <c r="C2057" s="104"/>
      <c r="F2057" s="107" t="str">
        <f aca="false">IF(OR($C2057="",$D2057=0),"",$E2057/$D2057)</f>
        <v/>
      </c>
      <c r="H2057" s="0" t="str">
        <f aca="false">IF($C2057="","",IF(COUNTIF('مواد المخزون'!$A$2:$A$90,$C2057)&gt;0,"نعم","لا (خارج الجرد)"))</f>
        <v/>
      </c>
    </row>
    <row r="2058" customFormat="false" ht="15" hidden="false" customHeight="false" outlineLevel="0" collapsed="false">
      <c r="A2058" s="103"/>
      <c r="B2058" s="104"/>
      <c r="C2058" s="104"/>
      <c r="F2058" s="107" t="str">
        <f aca="false">IF(OR($C2058="",$D2058=0),"",$E2058/$D2058)</f>
        <v/>
      </c>
      <c r="H2058" s="0" t="str">
        <f aca="false">IF($C2058="","",IF(COUNTIF('مواد المخزون'!$A$2:$A$90,$C2058)&gt;0,"نعم","لا (خارج الجرد)"))</f>
        <v/>
      </c>
    </row>
    <row r="2059" customFormat="false" ht="15" hidden="false" customHeight="false" outlineLevel="0" collapsed="false">
      <c r="A2059" s="103"/>
      <c r="B2059" s="104"/>
      <c r="C2059" s="104"/>
      <c r="F2059" s="107" t="str">
        <f aca="false">IF(OR($C2059="",$D2059=0),"",$E2059/$D2059)</f>
        <v/>
      </c>
      <c r="H2059" s="0" t="str">
        <f aca="false">IF($C2059="","",IF(COUNTIF('مواد المخزون'!$A$2:$A$90,$C2059)&gt;0,"نعم","لا (خارج الجرد)"))</f>
        <v/>
      </c>
    </row>
    <row r="2060" customFormat="false" ht="15" hidden="false" customHeight="false" outlineLevel="0" collapsed="false">
      <c r="A2060" s="103"/>
      <c r="B2060" s="104"/>
      <c r="C2060" s="104"/>
      <c r="F2060" s="107" t="str">
        <f aca="false">IF(OR($C2060="",$D2060=0),"",$E2060/$D2060)</f>
        <v/>
      </c>
      <c r="H2060" s="0" t="str">
        <f aca="false">IF($C2060="","",IF(COUNTIF('مواد المخزون'!$A$2:$A$90,$C2060)&gt;0,"نعم","لا (خارج الجرد)"))</f>
        <v/>
      </c>
    </row>
    <row r="2061" customFormat="false" ht="15" hidden="false" customHeight="false" outlineLevel="0" collapsed="false">
      <c r="A2061" s="103"/>
      <c r="B2061" s="104"/>
      <c r="C2061" s="104"/>
      <c r="F2061" s="107" t="str">
        <f aca="false">IF(OR($C2061="",$D2061=0),"",$E2061/$D2061)</f>
        <v/>
      </c>
      <c r="H2061" s="0" t="str">
        <f aca="false">IF($C2061="","",IF(COUNTIF('مواد المخزون'!$A$2:$A$90,$C2061)&gt;0,"نعم","لا (خارج الجرد)"))</f>
        <v/>
      </c>
    </row>
    <row r="2062" customFormat="false" ht="15" hidden="false" customHeight="false" outlineLevel="0" collapsed="false">
      <c r="A2062" s="103"/>
      <c r="B2062" s="104"/>
      <c r="C2062" s="104"/>
      <c r="F2062" s="107" t="str">
        <f aca="false">IF(OR($C2062="",$D2062=0),"",$E2062/$D2062)</f>
        <v/>
      </c>
      <c r="H2062" s="0" t="str">
        <f aca="false">IF($C2062="","",IF(COUNTIF('مواد المخزون'!$A$2:$A$90,$C2062)&gt;0,"نعم","لا (خارج الجرد)"))</f>
        <v/>
      </c>
    </row>
    <row r="2063" customFormat="false" ht="15" hidden="false" customHeight="false" outlineLevel="0" collapsed="false">
      <c r="A2063" s="103"/>
      <c r="B2063" s="104"/>
      <c r="C2063" s="104"/>
      <c r="F2063" s="107" t="str">
        <f aca="false">IF(OR($C2063="",$D2063=0),"",$E2063/$D2063)</f>
        <v/>
      </c>
      <c r="H2063" s="0" t="str">
        <f aca="false">IF($C2063="","",IF(COUNTIF('مواد المخزون'!$A$2:$A$90,$C2063)&gt;0,"نعم","لا (خارج الجرد)"))</f>
        <v/>
      </c>
    </row>
    <row r="2064" customFormat="false" ht="15" hidden="false" customHeight="false" outlineLevel="0" collapsed="false">
      <c r="A2064" s="103"/>
      <c r="B2064" s="104"/>
      <c r="C2064" s="104"/>
      <c r="F2064" s="107" t="str">
        <f aca="false">IF(OR($C2064="",$D2064=0),"",$E2064/$D2064)</f>
        <v/>
      </c>
      <c r="H2064" s="0" t="str">
        <f aca="false">IF($C2064="","",IF(COUNTIF('مواد المخزون'!$A$2:$A$90,$C2064)&gt;0,"نعم","لا (خارج الجرد)"))</f>
        <v/>
      </c>
    </row>
    <row r="2065" customFormat="false" ht="15" hidden="false" customHeight="false" outlineLevel="0" collapsed="false">
      <c r="A2065" s="103"/>
      <c r="B2065" s="104"/>
      <c r="C2065" s="104"/>
      <c r="F2065" s="107" t="str">
        <f aca="false">IF(OR($C2065="",$D2065=0),"",$E2065/$D2065)</f>
        <v/>
      </c>
      <c r="H2065" s="0" t="str">
        <f aca="false">IF($C2065="","",IF(COUNTIF('مواد المخزون'!$A$2:$A$90,$C2065)&gt;0,"نعم","لا (خارج الجرد)"))</f>
        <v/>
      </c>
    </row>
    <row r="2066" customFormat="false" ht="15" hidden="false" customHeight="false" outlineLevel="0" collapsed="false">
      <c r="A2066" s="103"/>
      <c r="B2066" s="104"/>
      <c r="C2066" s="104"/>
      <c r="F2066" s="107" t="str">
        <f aca="false">IF(OR($C2066="",$D2066=0),"",$E2066/$D2066)</f>
        <v/>
      </c>
      <c r="H2066" s="0" t="str">
        <f aca="false">IF($C2066="","",IF(COUNTIF('مواد المخزون'!$A$2:$A$90,$C2066)&gt;0,"نعم","لا (خارج الجرد)"))</f>
        <v/>
      </c>
    </row>
    <row r="2067" customFormat="false" ht="15" hidden="false" customHeight="false" outlineLevel="0" collapsed="false">
      <c r="A2067" s="103"/>
      <c r="B2067" s="104"/>
      <c r="C2067" s="104"/>
      <c r="F2067" s="107" t="str">
        <f aca="false">IF(OR($C2067="",$D2067=0),"",$E2067/$D2067)</f>
        <v/>
      </c>
      <c r="H2067" s="0" t="str">
        <f aca="false">IF($C2067="","",IF(COUNTIF('مواد المخزون'!$A$2:$A$90,$C2067)&gt;0,"نعم","لا (خارج الجرد)"))</f>
        <v/>
      </c>
    </row>
    <row r="2068" customFormat="false" ht="15" hidden="false" customHeight="false" outlineLevel="0" collapsed="false">
      <c r="A2068" s="103"/>
      <c r="B2068" s="104"/>
      <c r="C2068" s="104"/>
      <c r="F2068" s="107" t="str">
        <f aca="false">IF(OR($C2068="",$D2068=0),"",$E2068/$D2068)</f>
        <v/>
      </c>
      <c r="H2068" s="0" t="str">
        <f aca="false">IF($C2068="","",IF(COUNTIF('مواد المخزون'!$A$2:$A$90,$C2068)&gt;0,"نعم","لا (خارج الجرد)"))</f>
        <v/>
      </c>
    </row>
    <row r="2069" customFormat="false" ht="15" hidden="false" customHeight="false" outlineLevel="0" collapsed="false">
      <c r="A2069" s="103"/>
      <c r="B2069" s="104"/>
      <c r="C2069" s="104"/>
      <c r="F2069" s="107" t="str">
        <f aca="false">IF(OR($C2069="",$D2069=0),"",$E2069/$D2069)</f>
        <v/>
      </c>
      <c r="H2069" s="0" t="str">
        <f aca="false">IF($C2069="","",IF(COUNTIF('مواد المخزون'!$A$2:$A$90,$C2069)&gt;0,"نعم","لا (خارج الجرد)"))</f>
        <v/>
      </c>
    </row>
    <row r="2070" customFormat="false" ht="15" hidden="false" customHeight="false" outlineLevel="0" collapsed="false">
      <c r="A2070" s="103"/>
      <c r="B2070" s="104"/>
      <c r="C2070" s="104"/>
      <c r="F2070" s="107" t="str">
        <f aca="false">IF(OR($C2070="",$D2070=0),"",$E2070/$D2070)</f>
        <v/>
      </c>
      <c r="H2070" s="0" t="str">
        <f aca="false">IF($C2070="","",IF(COUNTIF('مواد المخزون'!$A$2:$A$90,$C2070)&gt;0,"نعم","لا (خارج الجرد)"))</f>
        <v/>
      </c>
    </row>
    <row r="2071" customFormat="false" ht="15" hidden="false" customHeight="false" outlineLevel="0" collapsed="false">
      <c r="A2071" s="103"/>
      <c r="B2071" s="104"/>
      <c r="C2071" s="104"/>
      <c r="F2071" s="107" t="str">
        <f aca="false">IF(OR($C2071="",$D2071=0),"",$E2071/$D2071)</f>
        <v/>
      </c>
      <c r="H2071" s="0" t="str">
        <f aca="false">IF($C2071="","",IF(COUNTIF('مواد المخزون'!$A$2:$A$90,$C2071)&gt;0,"نعم","لا (خارج الجرد)"))</f>
        <v/>
      </c>
    </row>
    <row r="2072" customFormat="false" ht="15" hidden="false" customHeight="false" outlineLevel="0" collapsed="false">
      <c r="A2072" s="103"/>
      <c r="B2072" s="104"/>
      <c r="C2072" s="104"/>
      <c r="F2072" s="107" t="str">
        <f aca="false">IF(OR($C2072="",$D2072=0),"",$E2072/$D2072)</f>
        <v/>
      </c>
      <c r="H2072" s="0" t="str">
        <f aca="false">IF($C2072="","",IF(COUNTIF('مواد المخزون'!$A$2:$A$90,$C2072)&gt;0,"نعم","لا (خارج الجرد)"))</f>
        <v/>
      </c>
    </row>
    <row r="2073" customFormat="false" ht="15" hidden="false" customHeight="false" outlineLevel="0" collapsed="false">
      <c r="A2073" s="103"/>
      <c r="B2073" s="104"/>
      <c r="C2073" s="104"/>
      <c r="F2073" s="107" t="str">
        <f aca="false">IF(OR($C2073="",$D2073=0),"",$E2073/$D2073)</f>
        <v/>
      </c>
      <c r="H2073" s="0" t="str">
        <f aca="false">IF($C2073="","",IF(COUNTIF('مواد المخزون'!$A$2:$A$90,$C2073)&gt;0,"نعم","لا (خارج الجرد)"))</f>
        <v/>
      </c>
    </row>
    <row r="2074" customFormat="false" ht="15" hidden="false" customHeight="false" outlineLevel="0" collapsed="false">
      <c r="A2074" s="103"/>
      <c r="B2074" s="104"/>
      <c r="C2074" s="104"/>
      <c r="F2074" s="107" t="str">
        <f aca="false">IF(OR($C2074="",$D2074=0),"",$E2074/$D2074)</f>
        <v/>
      </c>
      <c r="H2074" s="0" t="str">
        <f aca="false">IF($C2074="","",IF(COUNTIF('مواد المخزون'!$A$2:$A$90,$C2074)&gt;0,"نعم","لا (خارج الجرد)"))</f>
        <v/>
      </c>
    </row>
    <row r="2075" customFormat="false" ht="15" hidden="false" customHeight="false" outlineLevel="0" collapsed="false">
      <c r="A2075" s="103"/>
      <c r="B2075" s="104"/>
      <c r="C2075" s="104"/>
      <c r="F2075" s="107" t="str">
        <f aca="false">IF(OR($C2075="",$D2075=0),"",$E2075/$D2075)</f>
        <v/>
      </c>
      <c r="H2075" s="0" t="str">
        <f aca="false">IF($C2075="","",IF(COUNTIF('مواد المخزون'!$A$2:$A$90,$C2075)&gt;0,"نعم","لا (خارج الجرد)"))</f>
        <v/>
      </c>
    </row>
    <row r="2076" customFormat="false" ht="15" hidden="false" customHeight="false" outlineLevel="0" collapsed="false">
      <c r="A2076" s="103"/>
      <c r="B2076" s="104"/>
      <c r="C2076" s="104"/>
      <c r="F2076" s="107" t="str">
        <f aca="false">IF(OR($C2076="",$D2076=0),"",$E2076/$D2076)</f>
        <v/>
      </c>
      <c r="H2076" s="0" t="str">
        <f aca="false">IF($C2076="","",IF(COUNTIF('مواد المخزون'!$A$2:$A$90,$C2076)&gt;0,"نعم","لا (خارج الجرد)"))</f>
        <v/>
      </c>
    </row>
    <row r="2077" customFormat="false" ht="15" hidden="false" customHeight="false" outlineLevel="0" collapsed="false">
      <c r="A2077" s="103"/>
      <c r="B2077" s="104"/>
      <c r="C2077" s="104"/>
      <c r="F2077" s="107" t="str">
        <f aca="false">IF(OR($C2077="",$D2077=0),"",$E2077/$D2077)</f>
        <v/>
      </c>
      <c r="H2077" s="0" t="str">
        <f aca="false">IF($C2077="","",IF(COUNTIF('مواد المخزون'!$A$2:$A$90,$C2077)&gt;0,"نعم","لا (خارج الجرد)"))</f>
        <v/>
      </c>
    </row>
    <row r="2078" customFormat="false" ht="15" hidden="false" customHeight="false" outlineLevel="0" collapsed="false">
      <c r="A2078" s="103"/>
      <c r="B2078" s="104"/>
      <c r="C2078" s="104"/>
      <c r="F2078" s="107" t="str">
        <f aca="false">IF(OR($C2078="",$D2078=0),"",$E2078/$D2078)</f>
        <v/>
      </c>
      <c r="H2078" s="0" t="str">
        <f aca="false">IF($C2078="","",IF(COUNTIF('مواد المخزون'!$A$2:$A$90,$C2078)&gt;0,"نعم","لا (خارج الجرد)"))</f>
        <v/>
      </c>
    </row>
    <row r="2079" customFormat="false" ht="15" hidden="false" customHeight="false" outlineLevel="0" collapsed="false">
      <c r="A2079" s="103"/>
      <c r="B2079" s="104"/>
      <c r="C2079" s="104"/>
      <c r="F2079" s="107" t="str">
        <f aca="false">IF(OR($C2079="",$D2079=0),"",$E2079/$D2079)</f>
        <v/>
      </c>
      <c r="H2079" s="0" t="str">
        <f aca="false">IF($C2079="","",IF(COUNTIF('مواد المخزون'!$A$2:$A$90,$C2079)&gt;0,"نعم","لا (خارج الجرد)"))</f>
        <v/>
      </c>
    </row>
    <row r="2080" customFormat="false" ht="15" hidden="false" customHeight="false" outlineLevel="0" collapsed="false">
      <c r="A2080" s="103"/>
      <c r="B2080" s="104"/>
      <c r="C2080" s="104"/>
      <c r="F2080" s="107" t="str">
        <f aca="false">IF(OR($C2080="",$D2080=0),"",$E2080/$D2080)</f>
        <v/>
      </c>
      <c r="H2080" s="0" t="str">
        <f aca="false">IF($C2080="","",IF(COUNTIF('مواد المخزون'!$A$2:$A$90,$C2080)&gt;0,"نعم","لا (خارج الجرد)"))</f>
        <v/>
      </c>
    </row>
    <row r="2081" customFormat="false" ht="15" hidden="false" customHeight="false" outlineLevel="0" collapsed="false">
      <c r="A2081" s="103"/>
      <c r="B2081" s="104"/>
      <c r="C2081" s="104"/>
      <c r="F2081" s="107" t="str">
        <f aca="false">IF(OR($C2081="",$D2081=0),"",$E2081/$D2081)</f>
        <v/>
      </c>
      <c r="H2081" s="0" t="str">
        <f aca="false">IF($C2081="","",IF(COUNTIF('مواد المخزون'!$A$2:$A$90,$C2081)&gt;0,"نعم","لا (خارج الجرد)"))</f>
        <v/>
      </c>
    </row>
    <row r="2082" customFormat="false" ht="15" hidden="false" customHeight="false" outlineLevel="0" collapsed="false">
      <c r="A2082" s="103"/>
      <c r="B2082" s="104"/>
      <c r="C2082" s="104"/>
      <c r="F2082" s="107" t="str">
        <f aca="false">IF(OR($C2082="",$D2082=0),"",$E2082/$D2082)</f>
        <v/>
      </c>
      <c r="H2082" s="0" t="str">
        <f aca="false">IF($C2082="","",IF(COUNTIF('مواد المخزون'!$A$2:$A$90,$C2082)&gt;0,"نعم","لا (خارج الجرد)"))</f>
        <v/>
      </c>
    </row>
    <row r="2083" customFormat="false" ht="15" hidden="false" customHeight="false" outlineLevel="0" collapsed="false">
      <c r="A2083" s="103"/>
      <c r="B2083" s="104"/>
      <c r="C2083" s="104"/>
      <c r="F2083" s="107" t="str">
        <f aca="false">IF(OR($C2083="",$D2083=0),"",$E2083/$D2083)</f>
        <v/>
      </c>
      <c r="H2083" s="0" t="str">
        <f aca="false">IF($C2083="","",IF(COUNTIF('مواد المخزون'!$A$2:$A$90,$C2083)&gt;0,"نعم","لا (خارج الجرد)"))</f>
        <v/>
      </c>
    </row>
    <row r="2084" customFormat="false" ht="15" hidden="false" customHeight="false" outlineLevel="0" collapsed="false">
      <c r="A2084" s="103"/>
      <c r="B2084" s="104"/>
      <c r="C2084" s="104"/>
      <c r="F2084" s="107" t="str">
        <f aca="false">IF(OR($C2084="",$D2084=0),"",$E2084/$D2084)</f>
        <v/>
      </c>
      <c r="H2084" s="0" t="str">
        <f aca="false">IF($C2084="","",IF(COUNTIF('مواد المخزون'!$A$2:$A$90,$C2084)&gt;0,"نعم","لا (خارج الجرد)"))</f>
        <v/>
      </c>
    </row>
    <row r="2085" customFormat="false" ht="15" hidden="false" customHeight="false" outlineLevel="0" collapsed="false">
      <c r="A2085" s="103"/>
      <c r="B2085" s="104"/>
      <c r="C2085" s="104"/>
      <c r="F2085" s="107" t="str">
        <f aca="false">IF(OR($C2085="",$D2085=0),"",$E2085/$D2085)</f>
        <v/>
      </c>
      <c r="H2085" s="0" t="str">
        <f aca="false">IF($C2085="","",IF(COUNTIF('مواد المخزون'!$A$2:$A$90,$C2085)&gt;0,"نعم","لا (خارج الجرد)"))</f>
        <v/>
      </c>
    </row>
    <row r="2086" customFormat="false" ht="15" hidden="false" customHeight="false" outlineLevel="0" collapsed="false">
      <c r="A2086" s="103"/>
      <c r="B2086" s="104"/>
      <c r="C2086" s="104"/>
      <c r="F2086" s="107" t="str">
        <f aca="false">IF(OR($C2086="",$D2086=0),"",$E2086/$D2086)</f>
        <v/>
      </c>
      <c r="H2086" s="0" t="str">
        <f aca="false">IF($C2086="","",IF(COUNTIF('مواد المخزون'!$A$2:$A$90,$C2086)&gt;0,"نعم","لا (خارج الجرد)"))</f>
        <v/>
      </c>
    </row>
    <row r="2087" customFormat="false" ht="15" hidden="false" customHeight="false" outlineLevel="0" collapsed="false">
      <c r="A2087" s="103"/>
      <c r="B2087" s="104"/>
      <c r="C2087" s="104"/>
      <c r="F2087" s="107" t="str">
        <f aca="false">IF(OR($C2087="",$D2087=0),"",$E2087/$D2087)</f>
        <v/>
      </c>
      <c r="H2087" s="0" t="str">
        <f aca="false">IF($C2087="","",IF(COUNTIF('مواد المخزون'!$A$2:$A$90,$C2087)&gt;0,"نعم","لا (خارج الجرد)"))</f>
        <v/>
      </c>
    </row>
    <row r="2088" customFormat="false" ht="15" hidden="false" customHeight="false" outlineLevel="0" collapsed="false">
      <c r="A2088" s="103"/>
      <c r="B2088" s="104"/>
      <c r="C2088" s="104"/>
      <c r="F2088" s="107" t="str">
        <f aca="false">IF(OR($C2088="",$D2088=0),"",$E2088/$D2088)</f>
        <v/>
      </c>
      <c r="H2088" s="0" t="str">
        <f aca="false">IF($C2088="","",IF(COUNTIF('مواد المخزون'!$A$2:$A$90,$C2088)&gt;0,"نعم","لا (خارج الجرد)"))</f>
        <v/>
      </c>
    </row>
    <row r="2089" customFormat="false" ht="15" hidden="false" customHeight="false" outlineLevel="0" collapsed="false">
      <c r="A2089" s="103"/>
      <c r="B2089" s="104"/>
      <c r="C2089" s="104"/>
      <c r="F2089" s="107" t="str">
        <f aca="false">IF(OR($C2089="",$D2089=0),"",$E2089/$D2089)</f>
        <v/>
      </c>
      <c r="H2089" s="0" t="str">
        <f aca="false">IF($C2089="","",IF(COUNTIF('مواد المخزون'!$A$2:$A$90,$C2089)&gt;0,"نعم","لا (خارج الجرد)"))</f>
        <v/>
      </c>
    </row>
    <row r="2090" customFormat="false" ht="15" hidden="false" customHeight="false" outlineLevel="0" collapsed="false">
      <c r="A2090" s="103"/>
      <c r="B2090" s="104"/>
      <c r="C2090" s="104"/>
      <c r="F2090" s="107" t="str">
        <f aca="false">IF(OR($C2090="",$D2090=0),"",$E2090/$D2090)</f>
        <v/>
      </c>
      <c r="H2090" s="0" t="str">
        <f aca="false">IF($C2090="","",IF(COUNTIF('مواد المخزون'!$A$2:$A$90,$C2090)&gt;0,"نعم","لا (خارج الجرد)"))</f>
        <v/>
      </c>
    </row>
    <row r="2091" customFormat="false" ht="15" hidden="false" customHeight="false" outlineLevel="0" collapsed="false">
      <c r="A2091" s="103"/>
      <c r="B2091" s="104"/>
      <c r="C2091" s="104"/>
      <c r="F2091" s="107" t="str">
        <f aca="false">IF(OR($C2091="",$D2091=0),"",$E2091/$D2091)</f>
        <v/>
      </c>
      <c r="H2091" s="0" t="str">
        <f aca="false">IF($C2091="","",IF(COUNTIF('مواد المخزون'!$A$2:$A$90,$C2091)&gt;0,"نعم","لا (خارج الجرد)"))</f>
        <v/>
      </c>
    </row>
    <row r="2092" customFormat="false" ht="15" hidden="false" customHeight="false" outlineLevel="0" collapsed="false">
      <c r="A2092" s="103"/>
      <c r="B2092" s="104"/>
      <c r="C2092" s="104"/>
      <c r="F2092" s="107" t="str">
        <f aca="false">IF(OR($C2092="",$D2092=0),"",$E2092/$D2092)</f>
        <v/>
      </c>
      <c r="H2092" s="0" t="str">
        <f aca="false">IF($C2092="","",IF(COUNTIF('مواد المخزون'!$A$2:$A$90,$C2092)&gt;0,"نعم","لا (خارج الجرد)"))</f>
        <v/>
      </c>
    </row>
    <row r="2093" customFormat="false" ht="15" hidden="false" customHeight="false" outlineLevel="0" collapsed="false">
      <c r="A2093" s="103"/>
      <c r="B2093" s="104"/>
      <c r="C2093" s="104"/>
      <c r="F2093" s="107" t="str">
        <f aca="false">IF(OR($C2093="",$D2093=0),"",$E2093/$D2093)</f>
        <v/>
      </c>
      <c r="H2093" s="0" t="str">
        <f aca="false">IF($C2093="","",IF(COUNTIF('مواد المخزون'!$A$2:$A$90,$C2093)&gt;0,"نعم","لا (خارج الجرد)"))</f>
        <v/>
      </c>
    </row>
    <row r="2094" customFormat="false" ht="15" hidden="false" customHeight="false" outlineLevel="0" collapsed="false">
      <c r="A2094" s="103"/>
      <c r="B2094" s="104"/>
      <c r="C2094" s="104"/>
      <c r="F2094" s="107" t="str">
        <f aca="false">IF(OR($C2094="",$D2094=0),"",$E2094/$D2094)</f>
        <v/>
      </c>
      <c r="H2094" s="0" t="str">
        <f aca="false">IF($C2094="","",IF(COUNTIF('مواد المخزون'!$A$2:$A$90,$C2094)&gt;0,"نعم","لا (خارج الجرد)"))</f>
        <v/>
      </c>
    </row>
    <row r="2095" customFormat="false" ht="15" hidden="false" customHeight="false" outlineLevel="0" collapsed="false">
      <c r="A2095" s="103"/>
      <c r="B2095" s="104"/>
      <c r="C2095" s="104"/>
      <c r="F2095" s="107" t="str">
        <f aca="false">IF(OR($C2095="",$D2095=0),"",$E2095/$D2095)</f>
        <v/>
      </c>
      <c r="H2095" s="0" t="str">
        <f aca="false">IF($C2095="","",IF(COUNTIF('مواد المخزون'!$A$2:$A$90,$C2095)&gt;0,"نعم","لا (خارج الجرد)"))</f>
        <v/>
      </c>
    </row>
    <row r="2096" customFormat="false" ht="15" hidden="false" customHeight="false" outlineLevel="0" collapsed="false">
      <c r="A2096" s="103"/>
      <c r="B2096" s="104"/>
      <c r="C2096" s="104"/>
      <c r="F2096" s="107" t="str">
        <f aca="false">IF(OR($C2096="",$D2096=0),"",$E2096/$D2096)</f>
        <v/>
      </c>
      <c r="H2096" s="0" t="str">
        <f aca="false">IF($C2096="","",IF(COUNTIF('مواد المخزون'!$A$2:$A$90,$C2096)&gt;0,"نعم","لا (خارج الجرد)"))</f>
        <v/>
      </c>
    </row>
    <row r="2097" customFormat="false" ht="15" hidden="false" customHeight="false" outlineLevel="0" collapsed="false">
      <c r="A2097" s="103"/>
      <c r="B2097" s="104"/>
      <c r="C2097" s="104"/>
      <c r="F2097" s="107" t="str">
        <f aca="false">IF(OR($C2097="",$D2097=0),"",$E2097/$D2097)</f>
        <v/>
      </c>
      <c r="H2097" s="0" t="str">
        <f aca="false">IF($C2097="","",IF(COUNTIF('مواد المخزون'!$A$2:$A$90,$C2097)&gt;0,"نعم","لا (خارج الجرد)"))</f>
        <v/>
      </c>
    </row>
    <row r="2098" customFormat="false" ht="15" hidden="false" customHeight="false" outlineLevel="0" collapsed="false">
      <c r="A2098" s="103"/>
      <c r="B2098" s="104"/>
      <c r="C2098" s="104"/>
      <c r="F2098" s="107" t="str">
        <f aca="false">IF(OR($C2098="",$D2098=0),"",$E2098/$D2098)</f>
        <v/>
      </c>
      <c r="H2098" s="0" t="str">
        <f aca="false">IF($C2098="","",IF(COUNTIF('مواد المخزون'!$A$2:$A$90,$C2098)&gt;0,"نعم","لا (خارج الجرد)"))</f>
        <v/>
      </c>
    </row>
    <row r="2099" customFormat="false" ht="15" hidden="false" customHeight="false" outlineLevel="0" collapsed="false">
      <c r="A2099" s="103"/>
      <c r="B2099" s="104"/>
      <c r="C2099" s="104"/>
      <c r="F2099" s="107" t="str">
        <f aca="false">IF(OR($C2099="",$D2099=0),"",$E2099/$D2099)</f>
        <v/>
      </c>
      <c r="H2099" s="0" t="str">
        <f aca="false">IF($C2099="","",IF(COUNTIF('مواد المخزون'!$A$2:$A$90,$C2099)&gt;0,"نعم","لا (خارج الجرد)"))</f>
        <v/>
      </c>
    </row>
    <row r="2100" customFormat="false" ht="15" hidden="false" customHeight="false" outlineLevel="0" collapsed="false">
      <c r="A2100" s="103"/>
      <c r="B2100" s="104"/>
      <c r="C2100" s="104"/>
      <c r="F2100" s="107" t="str">
        <f aca="false">IF(OR($C2100="",$D2100=0),"",$E2100/$D2100)</f>
        <v/>
      </c>
      <c r="H2100" s="0" t="str">
        <f aca="false">IF($C2100="","",IF(COUNTIF('مواد المخزون'!$A$2:$A$90,$C2100)&gt;0,"نعم","لا (خارج الجرد)"))</f>
        <v/>
      </c>
    </row>
    <row r="2101" customFormat="false" ht="15" hidden="false" customHeight="false" outlineLevel="0" collapsed="false">
      <c r="A2101" s="103"/>
      <c r="B2101" s="104"/>
      <c r="C2101" s="104"/>
      <c r="F2101" s="107" t="str">
        <f aca="false">IF(OR($C2101="",$D2101=0),"",$E2101/$D2101)</f>
        <v/>
      </c>
      <c r="H2101" s="0" t="str">
        <f aca="false">IF($C2101="","",IF(COUNTIF('مواد المخزون'!$A$2:$A$90,$C2101)&gt;0,"نعم","لا (خارج الجرد)"))</f>
        <v/>
      </c>
    </row>
    <row r="2102" customFormat="false" ht="15" hidden="false" customHeight="false" outlineLevel="0" collapsed="false">
      <c r="A2102" s="103"/>
      <c r="B2102" s="104"/>
      <c r="C2102" s="104"/>
      <c r="F2102" s="107" t="str">
        <f aca="false">IF(OR($C2102="",$D2102=0),"",$E2102/$D2102)</f>
        <v/>
      </c>
      <c r="H2102" s="0" t="str">
        <f aca="false">IF($C2102="","",IF(COUNTIF('مواد المخزون'!$A$2:$A$90,$C2102)&gt;0,"نعم","لا (خارج الجرد)"))</f>
        <v/>
      </c>
    </row>
    <row r="2103" customFormat="false" ht="15" hidden="false" customHeight="false" outlineLevel="0" collapsed="false">
      <c r="A2103" s="103"/>
      <c r="B2103" s="104"/>
      <c r="C2103" s="104"/>
      <c r="F2103" s="107" t="str">
        <f aca="false">IF(OR($C2103="",$D2103=0),"",$E2103/$D2103)</f>
        <v/>
      </c>
      <c r="H2103" s="0" t="str">
        <f aca="false">IF($C2103="","",IF(COUNTIF('مواد المخزون'!$A$2:$A$90,$C2103)&gt;0,"نعم","لا (خارج الجرد)"))</f>
        <v/>
      </c>
    </row>
    <row r="2104" customFormat="false" ht="15" hidden="false" customHeight="false" outlineLevel="0" collapsed="false">
      <c r="A2104" s="103"/>
      <c r="B2104" s="104"/>
      <c r="C2104" s="104"/>
      <c r="F2104" s="107" t="str">
        <f aca="false">IF(OR($C2104="",$D2104=0),"",$E2104/$D2104)</f>
        <v/>
      </c>
      <c r="H2104" s="0" t="str">
        <f aca="false">IF($C2104="","",IF(COUNTIF('مواد المخزون'!$A$2:$A$90,$C2104)&gt;0,"نعم","لا (خارج الجرد)"))</f>
        <v/>
      </c>
    </row>
    <row r="2105" customFormat="false" ht="15" hidden="false" customHeight="false" outlineLevel="0" collapsed="false">
      <c r="A2105" s="103"/>
      <c r="B2105" s="104"/>
      <c r="C2105" s="104"/>
      <c r="F2105" s="107" t="str">
        <f aca="false">IF(OR($C2105="",$D2105=0),"",$E2105/$D2105)</f>
        <v/>
      </c>
      <c r="H2105" s="0" t="str">
        <f aca="false">IF($C2105="","",IF(COUNTIF('مواد المخزون'!$A$2:$A$90,$C2105)&gt;0,"نعم","لا (خارج الجرد)"))</f>
        <v/>
      </c>
    </row>
    <row r="2106" customFormat="false" ht="15" hidden="false" customHeight="false" outlineLevel="0" collapsed="false">
      <c r="A2106" s="103"/>
      <c r="B2106" s="104"/>
      <c r="C2106" s="104"/>
      <c r="F2106" s="107" t="str">
        <f aca="false">IF(OR($C2106="",$D2106=0),"",$E2106/$D2106)</f>
        <v/>
      </c>
      <c r="H2106" s="0" t="str">
        <f aca="false">IF($C2106="","",IF(COUNTIF('مواد المخزون'!$A$2:$A$90,$C2106)&gt;0,"نعم","لا (خارج الجرد)"))</f>
        <v/>
      </c>
    </row>
    <row r="2107" customFormat="false" ht="15" hidden="false" customHeight="false" outlineLevel="0" collapsed="false">
      <c r="A2107" s="103"/>
      <c r="B2107" s="104"/>
      <c r="C2107" s="104"/>
      <c r="F2107" s="107" t="str">
        <f aca="false">IF(OR($C2107="",$D2107=0),"",$E2107/$D2107)</f>
        <v/>
      </c>
      <c r="H2107" s="0" t="str">
        <f aca="false">IF($C2107="","",IF(COUNTIF('مواد المخزون'!$A$2:$A$90,$C2107)&gt;0,"نعم","لا (خارج الجرد)"))</f>
        <v/>
      </c>
    </row>
    <row r="2108" customFormat="false" ht="15" hidden="false" customHeight="false" outlineLevel="0" collapsed="false">
      <c r="A2108" s="103"/>
      <c r="B2108" s="104"/>
      <c r="C2108" s="104"/>
      <c r="F2108" s="107" t="str">
        <f aca="false">IF(OR($C2108="",$D2108=0),"",$E2108/$D2108)</f>
        <v/>
      </c>
      <c r="H2108" s="0" t="str">
        <f aca="false">IF($C2108="","",IF(COUNTIF('مواد المخزون'!$A$2:$A$90,$C2108)&gt;0,"نعم","لا (خارج الجرد)"))</f>
        <v/>
      </c>
    </row>
    <row r="2109" customFormat="false" ht="15" hidden="false" customHeight="false" outlineLevel="0" collapsed="false">
      <c r="A2109" s="103"/>
      <c r="B2109" s="104"/>
      <c r="C2109" s="104"/>
      <c r="F2109" s="107" t="str">
        <f aca="false">IF(OR($C2109="",$D2109=0),"",$E2109/$D2109)</f>
        <v/>
      </c>
      <c r="H2109" s="0" t="str">
        <f aca="false">IF($C2109="","",IF(COUNTIF('مواد المخزون'!$A$2:$A$90,$C2109)&gt;0,"نعم","لا (خارج الجرد)"))</f>
        <v/>
      </c>
    </row>
    <row r="2110" customFormat="false" ht="15" hidden="false" customHeight="false" outlineLevel="0" collapsed="false">
      <c r="A2110" s="103"/>
      <c r="B2110" s="104"/>
      <c r="C2110" s="104"/>
      <c r="F2110" s="107" t="str">
        <f aca="false">IF(OR($C2110="",$D2110=0),"",$E2110/$D2110)</f>
        <v/>
      </c>
      <c r="H2110" s="0" t="str">
        <f aca="false">IF($C2110="","",IF(COUNTIF('مواد المخزون'!$A$2:$A$90,$C2110)&gt;0,"نعم","لا (خارج الجرد)"))</f>
        <v/>
      </c>
    </row>
    <row r="2111" customFormat="false" ht="15" hidden="false" customHeight="false" outlineLevel="0" collapsed="false">
      <c r="A2111" s="103"/>
      <c r="B2111" s="104"/>
      <c r="C2111" s="104"/>
      <c r="F2111" s="107" t="str">
        <f aca="false">IF(OR($C2111="",$D2111=0),"",$E2111/$D2111)</f>
        <v/>
      </c>
      <c r="H2111" s="0" t="str">
        <f aca="false">IF($C2111="","",IF(COUNTIF('مواد المخزون'!$A$2:$A$90,$C2111)&gt;0,"نعم","لا (خارج الجرد)"))</f>
        <v/>
      </c>
    </row>
    <row r="2112" customFormat="false" ht="15" hidden="false" customHeight="false" outlineLevel="0" collapsed="false">
      <c r="A2112" s="103"/>
      <c r="B2112" s="104"/>
      <c r="C2112" s="104"/>
      <c r="F2112" s="107" t="str">
        <f aca="false">IF(OR($C2112="",$D2112=0),"",$E2112/$D2112)</f>
        <v/>
      </c>
      <c r="H2112" s="0" t="str">
        <f aca="false">IF($C2112="","",IF(COUNTIF('مواد المخزون'!$A$2:$A$90,$C2112)&gt;0,"نعم","لا (خارج الجرد)"))</f>
        <v/>
      </c>
    </row>
    <row r="2113" customFormat="false" ht="15" hidden="false" customHeight="false" outlineLevel="0" collapsed="false">
      <c r="A2113" s="103"/>
      <c r="B2113" s="104"/>
      <c r="C2113" s="104"/>
      <c r="F2113" s="107" t="str">
        <f aca="false">IF(OR($C2113="",$D2113=0),"",$E2113/$D2113)</f>
        <v/>
      </c>
      <c r="H2113" s="0" t="str">
        <f aca="false">IF($C2113="","",IF(COUNTIF('مواد المخزون'!$A$2:$A$90,$C2113)&gt;0,"نعم","لا (خارج الجرد)"))</f>
        <v/>
      </c>
    </row>
    <row r="2114" customFormat="false" ht="15" hidden="false" customHeight="false" outlineLevel="0" collapsed="false">
      <c r="A2114" s="103"/>
      <c r="B2114" s="104"/>
      <c r="C2114" s="104"/>
      <c r="F2114" s="107" t="str">
        <f aca="false">IF(OR($C2114="",$D2114=0),"",$E2114/$D2114)</f>
        <v/>
      </c>
      <c r="H2114" s="0" t="str">
        <f aca="false">IF($C2114="","",IF(COUNTIF('مواد المخزون'!$A$2:$A$90,$C2114)&gt;0,"نعم","لا (خارج الجرد)"))</f>
        <v/>
      </c>
    </row>
    <row r="2115" customFormat="false" ht="15" hidden="false" customHeight="false" outlineLevel="0" collapsed="false">
      <c r="A2115" s="103"/>
      <c r="B2115" s="104"/>
      <c r="C2115" s="104"/>
      <c r="F2115" s="107" t="str">
        <f aca="false">IF(OR($C2115="",$D2115=0),"",$E2115/$D2115)</f>
        <v/>
      </c>
      <c r="H2115" s="0" t="str">
        <f aca="false">IF($C2115="","",IF(COUNTIF('مواد المخزون'!$A$2:$A$90,$C2115)&gt;0,"نعم","لا (خارج الجرد)"))</f>
        <v/>
      </c>
    </row>
    <row r="2116" customFormat="false" ht="15" hidden="false" customHeight="false" outlineLevel="0" collapsed="false">
      <c r="A2116" s="103"/>
      <c r="B2116" s="104"/>
      <c r="C2116" s="104"/>
      <c r="F2116" s="107" t="str">
        <f aca="false">IF(OR($C2116="",$D2116=0),"",$E2116/$D2116)</f>
        <v/>
      </c>
      <c r="H2116" s="0" t="str">
        <f aca="false">IF($C2116="","",IF(COUNTIF('مواد المخزون'!$A$2:$A$90,$C2116)&gt;0,"نعم","لا (خارج الجرد)"))</f>
        <v/>
      </c>
    </row>
    <row r="2117" customFormat="false" ht="15" hidden="false" customHeight="false" outlineLevel="0" collapsed="false">
      <c r="A2117" s="103"/>
      <c r="B2117" s="104"/>
      <c r="C2117" s="104"/>
      <c r="F2117" s="107" t="str">
        <f aca="false">IF(OR($C2117="",$D2117=0),"",$E2117/$D2117)</f>
        <v/>
      </c>
      <c r="H2117" s="0" t="str">
        <f aca="false">IF($C2117="","",IF(COUNTIF('مواد المخزون'!$A$2:$A$90,$C2117)&gt;0,"نعم","لا (خارج الجرد)"))</f>
        <v/>
      </c>
    </row>
    <row r="2118" customFormat="false" ht="15" hidden="false" customHeight="false" outlineLevel="0" collapsed="false">
      <c r="A2118" s="103"/>
      <c r="B2118" s="104"/>
      <c r="C2118" s="104"/>
      <c r="F2118" s="107" t="str">
        <f aca="false">IF(OR($C2118="",$D2118=0),"",$E2118/$D2118)</f>
        <v/>
      </c>
      <c r="H2118" s="0" t="str">
        <f aca="false">IF($C2118="","",IF(COUNTIF('مواد المخزون'!$A$2:$A$90,$C2118)&gt;0,"نعم","لا (خارج الجرد)"))</f>
        <v/>
      </c>
    </row>
    <row r="2119" customFormat="false" ht="15" hidden="false" customHeight="false" outlineLevel="0" collapsed="false">
      <c r="A2119" s="103"/>
      <c r="B2119" s="104"/>
      <c r="C2119" s="104"/>
      <c r="F2119" s="107" t="str">
        <f aca="false">IF(OR($C2119="",$D2119=0),"",$E2119/$D2119)</f>
        <v/>
      </c>
      <c r="H2119" s="0" t="str">
        <f aca="false">IF($C2119="","",IF(COUNTIF('مواد المخزون'!$A$2:$A$90,$C2119)&gt;0,"نعم","لا (خارج الجرد)"))</f>
        <v/>
      </c>
    </row>
    <row r="2120" customFormat="false" ht="15" hidden="false" customHeight="false" outlineLevel="0" collapsed="false">
      <c r="A2120" s="103"/>
      <c r="B2120" s="104"/>
      <c r="C2120" s="104"/>
      <c r="F2120" s="107" t="str">
        <f aca="false">IF(OR($C2120="",$D2120=0),"",$E2120/$D2120)</f>
        <v/>
      </c>
      <c r="H2120" s="0" t="str">
        <f aca="false">IF($C2120="","",IF(COUNTIF('مواد المخزون'!$A$2:$A$90,$C2120)&gt;0,"نعم","لا (خارج الجرد)"))</f>
        <v/>
      </c>
    </row>
    <row r="2121" customFormat="false" ht="15" hidden="false" customHeight="false" outlineLevel="0" collapsed="false">
      <c r="A2121" s="103"/>
      <c r="B2121" s="104"/>
      <c r="C2121" s="104"/>
      <c r="F2121" s="107" t="str">
        <f aca="false">IF(OR($C2121="",$D2121=0),"",$E2121/$D2121)</f>
        <v/>
      </c>
      <c r="H2121" s="0" t="str">
        <f aca="false">IF($C2121="","",IF(COUNTIF('مواد المخزون'!$A$2:$A$90,$C2121)&gt;0,"نعم","لا (خارج الجرد)"))</f>
        <v/>
      </c>
    </row>
    <row r="2122" customFormat="false" ht="15" hidden="false" customHeight="false" outlineLevel="0" collapsed="false">
      <c r="A2122" s="103"/>
      <c r="B2122" s="104"/>
      <c r="C2122" s="104"/>
      <c r="F2122" s="107" t="str">
        <f aca="false">IF(OR($C2122="",$D2122=0),"",$E2122/$D2122)</f>
        <v/>
      </c>
      <c r="H2122" s="0" t="str">
        <f aca="false">IF($C2122="","",IF(COUNTIF('مواد المخزون'!$A$2:$A$90,$C2122)&gt;0,"نعم","لا (خارج الجرد)"))</f>
        <v/>
      </c>
    </row>
    <row r="2123" customFormat="false" ht="15" hidden="false" customHeight="false" outlineLevel="0" collapsed="false">
      <c r="A2123" s="103"/>
      <c r="B2123" s="104"/>
      <c r="C2123" s="104"/>
      <c r="F2123" s="107" t="str">
        <f aca="false">IF(OR($C2123="",$D2123=0),"",$E2123/$D2123)</f>
        <v/>
      </c>
      <c r="H2123" s="0" t="str">
        <f aca="false">IF($C2123="","",IF(COUNTIF('مواد المخزون'!$A$2:$A$90,$C2123)&gt;0,"نعم","لا (خارج الجرد)"))</f>
        <v/>
      </c>
    </row>
    <row r="2124" customFormat="false" ht="15" hidden="false" customHeight="false" outlineLevel="0" collapsed="false">
      <c r="A2124" s="103"/>
      <c r="B2124" s="104"/>
      <c r="C2124" s="104"/>
      <c r="F2124" s="107" t="str">
        <f aca="false">IF(OR($C2124="",$D2124=0),"",$E2124/$D2124)</f>
        <v/>
      </c>
      <c r="H2124" s="0" t="str">
        <f aca="false">IF($C2124="","",IF(COUNTIF('مواد المخزون'!$A$2:$A$90,$C2124)&gt;0,"نعم","لا (خارج الجرد)"))</f>
        <v/>
      </c>
    </row>
    <row r="2125" customFormat="false" ht="15" hidden="false" customHeight="false" outlineLevel="0" collapsed="false">
      <c r="A2125" s="103"/>
      <c r="B2125" s="104"/>
      <c r="C2125" s="104"/>
      <c r="F2125" s="107" t="str">
        <f aca="false">IF(OR($C2125="",$D2125=0),"",$E2125/$D2125)</f>
        <v/>
      </c>
      <c r="H2125" s="0" t="str">
        <f aca="false">IF($C2125="","",IF(COUNTIF('مواد المخزون'!$A$2:$A$90,$C2125)&gt;0,"نعم","لا (خارج الجرد)"))</f>
        <v/>
      </c>
    </row>
    <row r="2126" customFormat="false" ht="15" hidden="false" customHeight="false" outlineLevel="0" collapsed="false">
      <c r="A2126" s="103"/>
      <c r="B2126" s="104"/>
      <c r="C2126" s="104"/>
      <c r="F2126" s="107" t="str">
        <f aca="false">IF(OR($C2126="",$D2126=0),"",$E2126/$D2126)</f>
        <v/>
      </c>
      <c r="H2126" s="0" t="str">
        <f aca="false">IF($C2126="","",IF(COUNTIF('مواد المخزون'!$A$2:$A$90,$C2126)&gt;0,"نعم","لا (خارج الجرد)"))</f>
        <v/>
      </c>
    </row>
    <row r="2127" customFormat="false" ht="15" hidden="false" customHeight="false" outlineLevel="0" collapsed="false">
      <c r="A2127" s="103"/>
      <c r="B2127" s="104"/>
      <c r="C2127" s="104"/>
      <c r="F2127" s="107" t="str">
        <f aca="false">IF(OR($C2127="",$D2127=0),"",$E2127/$D2127)</f>
        <v/>
      </c>
      <c r="H2127" s="0" t="str">
        <f aca="false">IF($C2127="","",IF(COUNTIF('مواد المخزون'!$A$2:$A$90,$C2127)&gt;0,"نعم","لا (خارج الجرد)"))</f>
        <v/>
      </c>
    </row>
    <row r="2128" customFormat="false" ht="15" hidden="false" customHeight="false" outlineLevel="0" collapsed="false">
      <c r="A2128" s="103"/>
      <c r="B2128" s="104"/>
      <c r="C2128" s="104"/>
      <c r="F2128" s="107" t="str">
        <f aca="false">IF(OR($C2128="",$D2128=0),"",$E2128/$D2128)</f>
        <v/>
      </c>
      <c r="H2128" s="0" t="str">
        <f aca="false">IF($C2128="","",IF(COUNTIF('مواد المخزون'!$A$2:$A$90,$C2128)&gt;0,"نعم","لا (خارج الجرد)"))</f>
        <v/>
      </c>
    </row>
    <row r="2129" customFormat="false" ht="15" hidden="false" customHeight="false" outlineLevel="0" collapsed="false">
      <c r="A2129" s="103"/>
      <c r="B2129" s="104"/>
      <c r="C2129" s="104"/>
      <c r="F2129" s="107" t="str">
        <f aca="false">IF(OR($C2129="",$D2129=0),"",$E2129/$D2129)</f>
        <v/>
      </c>
      <c r="H2129" s="0" t="str">
        <f aca="false">IF($C2129="","",IF(COUNTIF('مواد المخزون'!$A$2:$A$90,$C2129)&gt;0,"نعم","لا (خارج الجرد)"))</f>
        <v/>
      </c>
    </row>
    <row r="2130" customFormat="false" ht="15" hidden="false" customHeight="false" outlineLevel="0" collapsed="false">
      <c r="A2130" s="103"/>
      <c r="B2130" s="104"/>
      <c r="C2130" s="104"/>
      <c r="F2130" s="107" t="str">
        <f aca="false">IF(OR($C2130="",$D2130=0),"",$E2130/$D2130)</f>
        <v/>
      </c>
      <c r="H2130" s="0" t="str">
        <f aca="false">IF($C2130="","",IF(COUNTIF('مواد المخزون'!$A$2:$A$90,$C2130)&gt;0,"نعم","لا (خارج الجرد)"))</f>
        <v/>
      </c>
    </row>
    <row r="2131" customFormat="false" ht="15" hidden="false" customHeight="false" outlineLevel="0" collapsed="false">
      <c r="A2131" s="103"/>
      <c r="B2131" s="104"/>
      <c r="C2131" s="104"/>
      <c r="F2131" s="107" t="str">
        <f aca="false">IF(OR($C2131="",$D2131=0),"",$E2131/$D2131)</f>
        <v/>
      </c>
      <c r="H2131" s="0" t="str">
        <f aca="false">IF($C2131="","",IF(COUNTIF('مواد المخزون'!$A$2:$A$90,$C2131)&gt;0,"نعم","لا (خارج الجرد)"))</f>
        <v/>
      </c>
    </row>
    <row r="2132" customFormat="false" ht="15" hidden="false" customHeight="false" outlineLevel="0" collapsed="false">
      <c r="A2132" s="103"/>
      <c r="B2132" s="104"/>
      <c r="C2132" s="104"/>
      <c r="F2132" s="107" t="str">
        <f aca="false">IF(OR($C2132="",$D2132=0),"",$E2132/$D2132)</f>
        <v/>
      </c>
      <c r="H2132" s="0" t="str">
        <f aca="false">IF($C2132="","",IF(COUNTIF('مواد المخزون'!$A$2:$A$90,$C2132)&gt;0,"نعم","لا (خارج الجرد)"))</f>
        <v/>
      </c>
    </row>
    <row r="2133" customFormat="false" ht="15" hidden="false" customHeight="false" outlineLevel="0" collapsed="false">
      <c r="A2133" s="103"/>
      <c r="B2133" s="104"/>
      <c r="C2133" s="104"/>
      <c r="F2133" s="107" t="str">
        <f aca="false">IF(OR($C2133="",$D2133=0),"",$E2133/$D2133)</f>
        <v/>
      </c>
      <c r="H2133" s="0" t="str">
        <f aca="false">IF($C2133="","",IF(COUNTIF('مواد المخزون'!$A$2:$A$90,$C2133)&gt;0,"نعم","لا (خارج الجرد)"))</f>
        <v/>
      </c>
    </row>
    <row r="2134" customFormat="false" ht="15" hidden="false" customHeight="false" outlineLevel="0" collapsed="false">
      <c r="A2134" s="103"/>
      <c r="B2134" s="104"/>
      <c r="C2134" s="104"/>
      <c r="F2134" s="107" t="str">
        <f aca="false">IF(OR($C2134="",$D2134=0),"",$E2134/$D2134)</f>
        <v/>
      </c>
      <c r="H2134" s="0" t="str">
        <f aca="false">IF($C2134="","",IF(COUNTIF('مواد المخزون'!$A$2:$A$90,$C2134)&gt;0,"نعم","لا (خارج الجرد)"))</f>
        <v/>
      </c>
    </row>
    <row r="2135" customFormat="false" ht="15" hidden="false" customHeight="false" outlineLevel="0" collapsed="false">
      <c r="A2135" s="103"/>
      <c r="B2135" s="104"/>
      <c r="C2135" s="104"/>
      <c r="F2135" s="107" t="str">
        <f aca="false">IF(OR($C2135="",$D2135=0),"",$E2135/$D2135)</f>
        <v/>
      </c>
      <c r="H2135" s="0" t="str">
        <f aca="false">IF($C2135="","",IF(COUNTIF('مواد المخزون'!$A$2:$A$90,$C2135)&gt;0,"نعم","لا (خارج الجرد)"))</f>
        <v/>
      </c>
    </row>
    <row r="2136" customFormat="false" ht="15" hidden="false" customHeight="false" outlineLevel="0" collapsed="false">
      <c r="A2136" s="103"/>
      <c r="B2136" s="104"/>
      <c r="C2136" s="104"/>
      <c r="F2136" s="107" t="str">
        <f aca="false">IF(OR($C2136="",$D2136=0),"",$E2136/$D2136)</f>
        <v/>
      </c>
      <c r="H2136" s="0" t="str">
        <f aca="false">IF($C2136="","",IF(COUNTIF('مواد المخزون'!$A$2:$A$90,$C2136)&gt;0,"نعم","لا (خارج الجرد)"))</f>
        <v/>
      </c>
    </row>
    <row r="2137" customFormat="false" ht="15" hidden="false" customHeight="false" outlineLevel="0" collapsed="false">
      <c r="A2137" s="103"/>
      <c r="B2137" s="104"/>
      <c r="C2137" s="104"/>
      <c r="F2137" s="107" t="str">
        <f aca="false">IF(OR($C2137="",$D2137=0),"",$E2137/$D2137)</f>
        <v/>
      </c>
      <c r="H2137" s="0" t="str">
        <f aca="false">IF($C2137="","",IF(COUNTIF('مواد المخزون'!$A$2:$A$90,$C2137)&gt;0,"نعم","لا (خارج الجرد)"))</f>
        <v/>
      </c>
    </row>
    <row r="2138" customFormat="false" ht="15" hidden="false" customHeight="false" outlineLevel="0" collapsed="false">
      <c r="A2138" s="103"/>
      <c r="B2138" s="104"/>
      <c r="C2138" s="104"/>
      <c r="F2138" s="107" t="str">
        <f aca="false">IF(OR($C2138="",$D2138=0),"",$E2138/$D2138)</f>
        <v/>
      </c>
      <c r="H2138" s="0" t="str">
        <f aca="false">IF($C2138="","",IF(COUNTIF('مواد المخزون'!$A$2:$A$90,$C2138)&gt;0,"نعم","لا (خارج الجرد)"))</f>
        <v/>
      </c>
    </row>
    <row r="2139" customFormat="false" ht="15" hidden="false" customHeight="false" outlineLevel="0" collapsed="false">
      <c r="A2139" s="103"/>
      <c r="B2139" s="104"/>
      <c r="C2139" s="104"/>
      <c r="F2139" s="107" t="str">
        <f aca="false">IF(OR($C2139="",$D2139=0),"",$E2139/$D2139)</f>
        <v/>
      </c>
      <c r="H2139" s="0" t="str">
        <f aca="false">IF($C2139="","",IF(COUNTIF('مواد المخزون'!$A$2:$A$90,$C2139)&gt;0,"نعم","لا (خارج الجرد)"))</f>
        <v/>
      </c>
    </row>
    <row r="2140" customFormat="false" ht="15" hidden="false" customHeight="false" outlineLevel="0" collapsed="false">
      <c r="A2140" s="103"/>
      <c r="B2140" s="104"/>
      <c r="C2140" s="104"/>
      <c r="F2140" s="107" t="str">
        <f aca="false">IF(OR($C2140="",$D2140=0),"",$E2140/$D2140)</f>
        <v/>
      </c>
      <c r="H2140" s="0" t="str">
        <f aca="false">IF($C2140="","",IF(COUNTIF('مواد المخزون'!$A$2:$A$90,$C2140)&gt;0,"نعم","لا (خارج الجرد)"))</f>
        <v/>
      </c>
    </row>
    <row r="2141" customFormat="false" ht="15" hidden="false" customHeight="false" outlineLevel="0" collapsed="false">
      <c r="A2141" s="103"/>
      <c r="B2141" s="104"/>
      <c r="C2141" s="104"/>
      <c r="F2141" s="107" t="str">
        <f aca="false">IF(OR($C2141="",$D2141=0),"",$E2141/$D2141)</f>
        <v/>
      </c>
      <c r="H2141" s="0" t="str">
        <f aca="false">IF($C2141="","",IF(COUNTIF('مواد المخزون'!$A$2:$A$90,$C2141)&gt;0,"نعم","لا (خارج الجرد)"))</f>
        <v/>
      </c>
    </row>
    <row r="2142" customFormat="false" ht="15" hidden="false" customHeight="false" outlineLevel="0" collapsed="false">
      <c r="A2142" s="103"/>
      <c r="B2142" s="104"/>
      <c r="C2142" s="104"/>
      <c r="F2142" s="107" t="str">
        <f aca="false">IF(OR($C2142="",$D2142=0),"",$E2142/$D2142)</f>
        <v/>
      </c>
      <c r="H2142" s="0" t="str">
        <f aca="false">IF($C2142="","",IF(COUNTIF('مواد المخزون'!$A$2:$A$90,$C2142)&gt;0,"نعم","لا (خارج الجرد)"))</f>
        <v/>
      </c>
    </row>
    <row r="2143" customFormat="false" ht="15" hidden="false" customHeight="false" outlineLevel="0" collapsed="false">
      <c r="A2143" s="103"/>
      <c r="B2143" s="104"/>
      <c r="C2143" s="104"/>
      <c r="F2143" s="107" t="str">
        <f aca="false">IF(OR($C2143="",$D2143=0),"",$E2143/$D2143)</f>
        <v/>
      </c>
      <c r="H2143" s="0" t="str">
        <f aca="false">IF($C2143="","",IF(COUNTIF('مواد المخزون'!$A$2:$A$90,$C2143)&gt;0,"نعم","لا (خارج الجرد)"))</f>
        <v/>
      </c>
    </row>
    <row r="2144" customFormat="false" ht="15" hidden="false" customHeight="false" outlineLevel="0" collapsed="false">
      <c r="A2144" s="103"/>
      <c r="B2144" s="104"/>
      <c r="C2144" s="104"/>
      <c r="F2144" s="107" t="str">
        <f aca="false">IF(OR($C2144="",$D2144=0),"",$E2144/$D2144)</f>
        <v/>
      </c>
      <c r="H2144" s="0" t="str">
        <f aca="false">IF($C2144="","",IF(COUNTIF('مواد المخزون'!$A$2:$A$90,$C2144)&gt;0,"نعم","لا (خارج الجرد)"))</f>
        <v/>
      </c>
    </row>
    <row r="2145" customFormat="false" ht="15" hidden="false" customHeight="false" outlineLevel="0" collapsed="false">
      <c r="A2145" s="103"/>
      <c r="B2145" s="104"/>
      <c r="C2145" s="104"/>
      <c r="F2145" s="107" t="str">
        <f aca="false">IF(OR($C2145="",$D2145=0),"",$E2145/$D2145)</f>
        <v/>
      </c>
      <c r="H2145" s="0" t="str">
        <f aca="false">IF($C2145="","",IF(COUNTIF('مواد المخزون'!$A$2:$A$90,$C2145)&gt;0,"نعم","لا (خارج الجرد)"))</f>
        <v/>
      </c>
    </row>
    <row r="2146" customFormat="false" ht="15" hidden="false" customHeight="false" outlineLevel="0" collapsed="false">
      <c r="A2146" s="103"/>
      <c r="B2146" s="104"/>
      <c r="C2146" s="104"/>
      <c r="F2146" s="107" t="str">
        <f aca="false">IF(OR($C2146="",$D2146=0),"",$E2146/$D2146)</f>
        <v/>
      </c>
      <c r="H2146" s="0" t="str">
        <f aca="false">IF($C2146="","",IF(COUNTIF('مواد المخزون'!$A$2:$A$90,$C2146)&gt;0,"نعم","لا (خارج الجرد)"))</f>
        <v/>
      </c>
    </row>
    <row r="2147" customFormat="false" ht="15" hidden="false" customHeight="false" outlineLevel="0" collapsed="false">
      <c r="A2147" s="103"/>
      <c r="B2147" s="104"/>
      <c r="C2147" s="104"/>
      <c r="F2147" s="107" t="str">
        <f aca="false">IF(OR($C2147="",$D2147=0),"",$E2147/$D2147)</f>
        <v/>
      </c>
      <c r="H2147" s="0" t="str">
        <f aca="false">IF($C2147="","",IF(COUNTIF('مواد المخزون'!$A$2:$A$90,$C2147)&gt;0,"نعم","لا (خارج الجرد)"))</f>
        <v/>
      </c>
    </row>
    <row r="2148" customFormat="false" ht="15" hidden="false" customHeight="false" outlineLevel="0" collapsed="false">
      <c r="A2148" s="103"/>
      <c r="B2148" s="104"/>
      <c r="C2148" s="104"/>
      <c r="F2148" s="107" t="str">
        <f aca="false">IF(OR($C2148="",$D2148=0),"",$E2148/$D2148)</f>
        <v/>
      </c>
      <c r="H2148" s="0" t="str">
        <f aca="false">IF($C2148="","",IF(COUNTIF('مواد المخزون'!$A$2:$A$90,$C2148)&gt;0,"نعم","لا (خارج الجرد)"))</f>
        <v/>
      </c>
    </row>
    <row r="2149" customFormat="false" ht="15" hidden="false" customHeight="false" outlineLevel="0" collapsed="false">
      <c r="A2149" s="103"/>
      <c r="B2149" s="104"/>
      <c r="C2149" s="104"/>
      <c r="F2149" s="107" t="str">
        <f aca="false">IF(OR($C2149="",$D2149=0),"",$E2149/$D2149)</f>
        <v/>
      </c>
      <c r="H2149" s="0" t="str">
        <f aca="false">IF($C2149="","",IF(COUNTIF('مواد المخزون'!$A$2:$A$90,$C2149)&gt;0,"نعم","لا (خارج الجرد)"))</f>
        <v/>
      </c>
    </row>
    <row r="2150" customFormat="false" ht="15" hidden="false" customHeight="false" outlineLevel="0" collapsed="false">
      <c r="A2150" s="103"/>
      <c r="B2150" s="104"/>
      <c r="C2150" s="104"/>
      <c r="F2150" s="107" t="str">
        <f aca="false">IF(OR($C2150="",$D2150=0),"",$E2150/$D2150)</f>
        <v/>
      </c>
      <c r="H2150" s="0" t="str">
        <f aca="false">IF($C2150="","",IF(COUNTIF('مواد المخزون'!$A$2:$A$90,$C2150)&gt;0,"نعم","لا (خارج الجرد)"))</f>
        <v/>
      </c>
    </row>
    <row r="2151" customFormat="false" ht="15" hidden="false" customHeight="false" outlineLevel="0" collapsed="false">
      <c r="A2151" s="103"/>
      <c r="B2151" s="104"/>
      <c r="C2151" s="104"/>
      <c r="F2151" s="107" t="str">
        <f aca="false">IF(OR($C2151="",$D2151=0),"",$E2151/$D2151)</f>
        <v/>
      </c>
      <c r="H2151" s="0" t="str">
        <f aca="false">IF($C2151="","",IF(COUNTIF('مواد المخزون'!$A$2:$A$90,$C2151)&gt;0,"نعم","لا (خارج الجرد)"))</f>
        <v/>
      </c>
    </row>
    <row r="2152" customFormat="false" ht="15" hidden="false" customHeight="false" outlineLevel="0" collapsed="false">
      <c r="A2152" s="103"/>
      <c r="B2152" s="104"/>
      <c r="C2152" s="104"/>
      <c r="F2152" s="107" t="str">
        <f aca="false">IF(OR($C2152="",$D2152=0),"",$E2152/$D2152)</f>
        <v/>
      </c>
      <c r="H2152" s="0" t="str">
        <f aca="false">IF($C2152="","",IF(COUNTIF('مواد المخزون'!$A$2:$A$90,$C2152)&gt;0,"نعم","لا (خارج الجرد)"))</f>
        <v/>
      </c>
    </row>
    <row r="2153" customFormat="false" ht="15" hidden="false" customHeight="false" outlineLevel="0" collapsed="false">
      <c r="A2153" s="103"/>
      <c r="B2153" s="104"/>
      <c r="C2153" s="104"/>
      <c r="F2153" s="107" t="str">
        <f aca="false">IF(OR($C2153="",$D2153=0),"",$E2153/$D2153)</f>
        <v/>
      </c>
      <c r="H2153" s="0" t="str">
        <f aca="false">IF($C2153="","",IF(COUNTIF('مواد المخزون'!$A$2:$A$90,$C2153)&gt;0,"نعم","لا (خارج الجرد)"))</f>
        <v/>
      </c>
    </row>
    <row r="2154" customFormat="false" ht="15" hidden="false" customHeight="false" outlineLevel="0" collapsed="false">
      <c r="A2154" s="103"/>
      <c r="B2154" s="104"/>
      <c r="C2154" s="104"/>
      <c r="F2154" s="107" t="str">
        <f aca="false">IF(OR($C2154="",$D2154=0),"",$E2154/$D2154)</f>
        <v/>
      </c>
      <c r="H2154" s="0" t="str">
        <f aca="false">IF($C2154="","",IF(COUNTIF('مواد المخزون'!$A$2:$A$90,$C2154)&gt;0,"نعم","لا (خارج الجرد)"))</f>
        <v/>
      </c>
    </row>
    <row r="2155" customFormat="false" ht="15" hidden="false" customHeight="false" outlineLevel="0" collapsed="false">
      <c r="A2155" s="103"/>
      <c r="B2155" s="104"/>
      <c r="C2155" s="104"/>
      <c r="F2155" s="107" t="str">
        <f aca="false">IF(OR($C2155="",$D2155=0),"",$E2155/$D2155)</f>
        <v/>
      </c>
      <c r="H2155" s="0" t="str">
        <f aca="false">IF($C2155="","",IF(COUNTIF('مواد المخزون'!$A$2:$A$90,$C2155)&gt;0,"نعم","لا (خارج الجرد)"))</f>
        <v/>
      </c>
    </row>
    <row r="2156" customFormat="false" ht="15" hidden="false" customHeight="false" outlineLevel="0" collapsed="false">
      <c r="A2156" s="103"/>
      <c r="B2156" s="104"/>
      <c r="C2156" s="104"/>
      <c r="F2156" s="107" t="str">
        <f aca="false">IF(OR($C2156="",$D2156=0),"",$E2156/$D2156)</f>
        <v/>
      </c>
      <c r="H2156" s="0" t="str">
        <f aca="false">IF($C2156="","",IF(COUNTIF('مواد المخزون'!$A$2:$A$90,$C2156)&gt;0,"نعم","لا (خارج الجرد)"))</f>
        <v/>
      </c>
    </row>
    <row r="2157" customFormat="false" ht="15" hidden="false" customHeight="false" outlineLevel="0" collapsed="false">
      <c r="A2157" s="103"/>
      <c r="B2157" s="104"/>
      <c r="C2157" s="104"/>
      <c r="F2157" s="107" t="str">
        <f aca="false">IF(OR($C2157="",$D2157=0),"",$E2157/$D2157)</f>
        <v/>
      </c>
      <c r="H2157" s="0" t="str">
        <f aca="false">IF($C2157="","",IF(COUNTIF('مواد المخزون'!$A$2:$A$90,$C2157)&gt;0,"نعم","لا (خارج الجرد)"))</f>
        <v/>
      </c>
    </row>
    <row r="2158" customFormat="false" ht="15" hidden="false" customHeight="false" outlineLevel="0" collapsed="false">
      <c r="A2158" s="103"/>
      <c r="B2158" s="104"/>
      <c r="C2158" s="104"/>
      <c r="F2158" s="107" t="str">
        <f aca="false">IF(OR($C2158="",$D2158=0),"",$E2158/$D2158)</f>
        <v/>
      </c>
      <c r="H2158" s="0" t="str">
        <f aca="false">IF($C2158="","",IF(COUNTIF('مواد المخزون'!$A$2:$A$90,$C2158)&gt;0,"نعم","لا (خارج الجرد)"))</f>
        <v/>
      </c>
    </row>
    <row r="2159" customFormat="false" ht="15" hidden="false" customHeight="false" outlineLevel="0" collapsed="false">
      <c r="A2159" s="103"/>
      <c r="B2159" s="104"/>
      <c r="C2159" s="104"/>
      <c r="F2159" s="107" t="str">
        <f aca="false">IF(OR($C2159="",$D2159=0),"",$E2159/$D2159)</f>
        <v/>
      </c>
      <c r="H2159" s="0" t="str">
        <f aca="false">IF($C2159="","",IF(COUNTIF('مواد المخزون'!$A$2:$A$90,$C2159)&gt;0,"نعم","لا (خارج الجرد)"))</f>
        <v/>
      </c>
    </row>
    <row r="2160" customFormat="false" ht="15" hidden="false" customHeight="false" outlineLevel="0" collapsed="false">
      <c r="A2160" s="103"/>
      <c r="B2160" s="104"/>
      <c r="C2160" s="104"/>
      <c r="F2160" s="107" t="str">
        <f aca="false">IF(OR($C2160="",$D2160=0),"",$E2160/$D2160)</f>
        <v/>
      </c>
      <c r="H2160" s="0" t="str">
        <f aca="false">IF($C2160="","",IF(COUNTIF('مواد المخزون'!$A$2:$A$90,$C2160)&gt;0,"نعم","لا (خارج الجرد)"))</f>
        <v/>
      </c>
    </row>
    <row r="2161" customFormat="false" ht="15" hidden="false" customHeight="false" outlineLevel="0" collapsed="false">
      <c r="A2161" s="103"/>
      <c r="B2161" s="104"/>
      <c r="C2161" s="104"/>
      <c r="F2161" s="107" t="str">
        <f aca="false">IF(OR($C2161="",$D2161=0),"",$E2161/$D2161)</f>
        <v/>
      </c>
      <c r="H2161" s="0" t="str">
        <f aca="false">IF($C2161="","",IF(COUNTIF('مواد المخزون'!$A$2:$A$90,$C2161)&gt;0,"نعم","لا (خارج الجرد)"))</f>
        <v/>
      </c>
    </row>
    <row r="2162" customFormat="false" ht="15" hidden="false" customHeight="false" outlineLevel="0" collapsed="false">
      <c r="A2162" s="103"/>
      <c r="B2162" s="104"/>
      <c r="C2162" s="104"/>
      <c r="F2162" s="107" t="str">
        <f aca="false">IF(OR($C2162="",$D2162=0),"",$E2162/$D2162)</f>
        <v/>
      </c>
      <c r="H2162" s="0" t="str">
        <f aca="false">IF($C2162="","",IF(COUNTIF('مواد المخزون'!$A$2:$A$90,$C2162)&gt;0,"نعم","لا (خارج الجرد)"))</f>
        <v/>
      </c>
    </row>
    <row r="2163" customFormat="false" ht="15" hidden="false" customHeight="false" outlineLevel="0" collapsed="false">
      <c r="A2163" s="103"/>
      <c r="B2163" s="104"/>
      <c r="C2163" s="104"/>
      <c r="F2163" s="107" t="str">
        <f aca="false">IF(OR($C2163="",$D2163=0),"",$E2163/$D2163)</f>
        <v/>
      </c>
      <c r="H2163" s="0" t="str">
        <f aca="false">IF($C2163="","",IF(COUNTIF('مواد المخزون'!$A$2:$A$90,$C2163)&gt;0,"نعم","لا (خارج الجرد)"))</f>
        <v/>
      </c>
    </row>
    <row r="2164" customFormat="false" ht="15" hidden="false" customHeight="false" outlineLevel="0" collapsed="false">
      <c r="A2164" s="103"/>
      <c r="B2164" s="104"/>
      <c r="C2164" s="104"/>
      <c r="F2164" s="107" t="str">
        <f aca="false">IF(OR($C2164="",$D2164=0),"",$E2164/$D2164)</f>
        <v/>
      </c>
      <c r="H2164" s="0" t="str">
        <f aca="false">IF($C2164="","",IF(COUNTIF('مواد المخزون'!$A$2:$A$90,$C2164)&gt;0,"نعم","لا (خارج الجرد)"))</f>
        <v/>
      </c>
    </row>
    <row r="2165" customFormat="false" ht="15" hidden="false" customHeight="false" outlineLevel="0" collapsed="false">
      <c r="A2165" s="103"/>
      <c r="B2165" s="104"/>
      <c r="C2165" s="104"/>
      <c r="F2165" s="107" t="str">
        <f aca="false">IF(OR($C2165="",$D2165=0),"",$E2165/$D2165)</f>
        <v/>
      </c>
      <c r="H2165" s="0" t="str">
        <f aca="false">IF($C2165="","",IF(COUNTIF('مواد المخزون'!$A$2:$A$90,$C2165)&gt;0,"نعم","لا (خارج الجرد)"))</f>
        <v/>
      </c>
    </row>
    <row r="2166" customFormat="false" ht="15" hidden="false" customHeight="false" outlineLevel="0" collapsed="false">
      <c r="A2166" s="103"/>
      <c r="B2166" s="104"/>
      <c r="C2166" s="104"/>
      <c r="F2166" s="107" t="str">
        <f aca="false">IF(OR($C2166="",$D2166=0),"",$E2166/$D2166)</f>
        <v/>
      </c>
      <c r="H2166" s="0" t="str">
        <f aca="false">IF($C2166="","",IF(COUNTIF('مواد المخزون'!$A$2:$A$90,$C2166)&gt;0,"نعم","لا (خارج الجرد)"))</f>
        <v/>
      </c>
    </row>
    <row r="2167" customFormat="false" ht="15" hidden="false" customHeight="false" outlineLevel="0" collapsed="false">
      <c r="A2167" s="103"/>
      <c r="B2167" s="104"/>
      <c r="C2167" s="104"/>
      <c r="F2167" s="107" t="str">
        <f aca="false">IF(OR($C2167="",$D2167=0),"",$E2167/$D2167)</f>
        <v/>
      </c>
      <c r="H2167" s="0" t="str">
        <f aca="false">IF($C2167="","",IF(COUNTIF('مواد المخزون'!$A$2:$A$90,$C2167)&gt;0,"نعم","لا (خارج الجرد)"))</f>
        <v/>
      </c>
    </row>
    <row r="2168" customFormat="false" ht="15" hidden="false" customHeight="false" outlineLevel="0" collapsed="false">
      <c r="A2168" s="103"/>
      <c r="B2168" s="104"/>
      <c r="C2168" s="104"/>
      <c r="F2168" s="107" t="str">
        <f aca="false">IF(OR($C2168="",$D2168=0),"",$E2168/$D2168)</f>
        <v/>
      </c>
      <c r="H2168" s="0" t="str">
        <f aca="false">IF($C2168="","",IF(COUNTIF('مواد المخزون'!$A$2:$A$90,$C2168)&gt;0,"نعم","لا (خارج الجرد)"))</f>
        <v/>
      </c>
    </row>
    <row r="2169" customFormat="false" ht="15" hidden="false" customHeight="false" outlineLevel="0" collapsed="false">
      <c r="A2169" s="103"/>
      <c r="B2169" s="104"/>
      <c r="C2169" s="104"/>
      <c r="F2169" s="107" t="str">
        <f aca="false">IF(OR($C2169="",$D2169=0),"",$E2169/$D2169)</f>
        <v/>
      </c>
      <c r="H2169" s="0" t="str">
        <f aca="false">IF($C2169="","",IF(COUNTIF('مواد المخزون'!$A$2:$A$90,$C2169)&gt;0,"نعم","لا (خارج الجرد)"))</f>
        <v/>
      </c>
    </row>
    <row r="2170" customFormat="false" ht="15" hidden="false" customHeight="false" outlineLevel="0" collapsed="false">
      <c r="A2170" s="103"/>
      <c r="B2170" s="104"/>
      <c r="C2170" s="104"/>
      <c r="F2170" s="107" t="str">
        <f aca="false">IF(OR($C2170="",$D2170=0),"",$E2170/$D2170)</f>
        <v/>
      </c>
      <c r="H2170" s="0" t="str">
        <f aca="false">IF($C2170="","",IF(COUNTIF('مواد المخزون'!$A$2:$A$90,$C2170)&gt;0,"نعم","لا (خارج الجرد)"))</f>
        <v/>
      </c>
    </row>
    <row r="2171" customFormat="false" ht="15" hidden="false" customHeight="false" outlineLevel="0" collapsed="false">
      <c r="A2171" s="103"/>
      <c r="B2171" s="104"/>
      <c r="C2171" s="104"/>
      <c r="F2171" s="107" t="str">
        <f aca="false">IF(OR($C2171="",$D2171=0),"",$E2171/$D2171)</f>
        <v/>
      </c>
      <c r="H2171" s="0" t="str">
        <f aca="false">IF($C2171="","",IF(COUNTIF('مواد المخزون'!$A$2:$A$90,$C2171)&gt;0,"نعم","لا (خارج الجرد)"))</f>
        <v/>
      </c>
    </row>
    <row r="2172" customFormat="false" ht="15" hidden="false" customHeight="false" outlineLevel="0" collapsed="false">
      <c r="A2172" s="103"/>
      <c r="B2172" s="104"/>
      <c r="C2172" s="104"/>
      <c r="F2172" s="107" t="str">
        <f aca="false">IF(OR($C2172="",$D2172=0),"",$E2172/$D2172)</f>
        <v/>
      </c>
      <c r="H2172" s="0" t="str">
        <f aca="false">IF($C2172="","",IF(COUNTIF('مواد المخزون'!$A$2:$A$90,$C2172)&gt;0,"نعم","لا (خارج الجرد)"))</f>
        <v/>
      </c>
    </row>
    <row r="2173" customFormat="false" ht="15" hidden="false" customHeight="false" outlineLevel="0" collapsed="false">
      <c r="A2173" s="103"/>
      <c r="B2173" s="104"/>
      <c r="C2173" s="104"/>
      <c r="F2173" s="107" t="str">
        <f aca="false">IF(OR($C2173="",$D2173=0),"",$E2173/$D2173)</f>
        <v/>
      </c>
      <c r="H2173" s="0" t="str">
        <f aca="false">IF($C2173="","",IF(COUNTIF('مواد المخزون'!$A$2:$A$90,$C2173)&gt;0,"نعم","لا (خارج الجرد)"))</f>
        <v/>
      </c>
    </row>
    <row r="2174" customFormat="false" ht="15" hidden="false" customHeight="false" outlineLevel="0" collapsed="false">
      <c r="A2174" s="103"/>
      <c r="B2174" s="104"/>
      <c r="C2174" s="104"/>
      <c r="F2174" s="107" t="str">
        <f aca="false">IF(OR($C2174="",$D2174=0),"",$E2174/$D2174)</f>
        <v/>
      </c>
      <c r="H2174" s="0" t="str">
        <f aca="false">IF($C2174="","",IF(COUNTIF('مواد المخزون'!$A$2:$A$90,$C2174)&gt;0,"نعم","لا (خارج الجرد)"))</f>
        <v/>
      </c>
    </row>
    <row r="2175" customFormat="false" ht="15" hidden="false" customHeight="false" outlineLevel="0" collapsed="false">
      <c r="A2175" s="103"/>
      <c r="B2175" s="104"/>
      <c r="C2175" s="104"/>
      <c r="F2175" s="107" t="str">
        <f aca="false">IF(OR($C2175="",$D2175=0),"",$E2175/$D2175)</f>
        <v/>
      </c>
      <c r="H2175" s="0" t="str">
        <f aca="false">IF($C2175="","",IF(COUNTIF('مواد المخزون'!$A$2:$A$90,$C2175)&gt;0,"نعم","لا (خارج الجرد)"))</f>
        <v/>
      </c>
    </row>
    <row r="2176" customFormat="false" ht="15" hidden="false" customHeight="false" outlineLevel="0" collapsed="false">
      <c r="A2176" s="103"/>
      <c r="B2176" s="104"/>
      <c r="C2176" s="104"/>
      <c r="F2176" s="107" t="str">
        <f aca="false">IF(OR($C2176="",$D2176=0),"",$E2176/$D2176)</f>
        <v/>
      </c>
      <c r="H2176" s="0" t="str">
        <f aca="false">IF($C2176="","",IF(COUNTIF('مواد المخزون'!$A$2:$A$90,$C2176)&gt;0,"نعم","لا (خارج الجرد)"))</f>
        <v/>
      </c>
    </row>
    <row r="2177" customFormat="false" ht="15" hidden="false" customHeight="false" outlineLevel="0" collapsed="false">
      <c r="A2177" s="103"/>
      <c r="B2177" s="104"/>
      <c r="C2177" s="104"/>
      <c r="F2177" s="107" t="str">
        <f aca="false">IF(OR($C2177="",$D2177=0),"",$E2177/$D2177)</f>
        <v/>
      </c>
      <c r="H2177" s="0" t="str">
        <f aca="false">IF($C2177="","",IF(COUNTIF('مواد المخزون'!$A$2:$A$90,$C2177)&gt;0,"نعم","لا (خارج الجرد)"))</f>
        <v/>
      </c>
    </row>
    <row r="2178" customFormat="false" ht="15" hidden="false" customHeight="false" outlineLevel="0" collapsed="false">
      <c r="A2178" s="103"/>
      <c r="B2178" s="104"/>
      <c r="C2178" s="104"/>
      <c r="F2178" s="107" t="str">
        <f aca="false">IF(OR($C2178="",$D2178=0),"",$E2178/$D2178)</f>
        <v/>
      </c>
      <c r="H2178" s="0" t="str">
        <f aca="false">IF($C2178="","",IF(COUNTIF('مواد المخزون'!$A$2:$A$90,$C2178)&gt;0,"نعم","لا (خارج الجرد)"))</f>
        <v/>
      </c>
    </row>
    <row r="2179" customFormat="false" ht="15" hidden="false" customHeight="false" outlineLevel="0" collapsed="false">
      <c r="A2179" s="103"/>
      <c r="B2179" s="104"/>
      <c r="C2179" s="104"/>
      <c r="F2179" s="107" t="str">
        <f aca="false">IF(OR($C2179="",$D2179=0),"",$E2179/$D2179)</f>
        <v/>
      </c>
      <c r="H2179" s="0" t="str">
        <f aca="false">IF($C2179="","",IF(COUNTIF('مواد المخزون'!$A$2:$A$90,$C2179)&gt;0,"نعم","لا (خارج الجرد)"))</f>
        <v/>
      </c>
    </row>
    <row r="2180" customFormat="false" ht="15" hidden="false" customHeight="false" outlineLevel="0" collapsed="false">
      <c r="A2180" s="103"/>
      <c r="B2180" s="104"/>
      <c r="C2180" s="104"/>
      <c r="F2180" s="107" t="str">
        <f aca="false">IF(OR($C2180="",$D2180=0),"",$E2180/$D2180)</f>
        <v/>
      </c>
      <c r="H2180" s="0" t="str">
        <f aca="false">IF($C2180="","",IF(COUNTIF('مواد المخزون'!$A$2:$A$90,$C2180)&gt;0,"نعم","لا (خارج الجرد)"))</f>
        <v/>
      </c>
    </row>
    <row r="2181" customFormat="false" ht="15" hidden="false" customHeight="false" outlineLevel="0" collapsed="false">
      <c r="A2181" s="103"/>
      <c r="B2181" s="104"/>
      <c r="C2181" s="104"/>
      <c r="F2181" s="107" t="str">
        <f aca="false">IF(OR($C2181="",$D2181=0),"",$E2181/$D2181)</f>
        <v/>
      </c>
      <c r="H2181" s="0" t="str">
        <f aca="false">IF($C2181="","",IF(COUNTIF('مواد المخزون'!$A$2:$A$90,$C2181)&gt;0,"نعم","لا (خارج الجرد)"))</f>
        <v/>
      </c>
    </row>
    <row r="2182" customFormat="false" ht="15" hidden="false" customHeight="false" outlineLevel="0" collapsed="false">
      <c r="A2182" s="103"/>
      <c r="B2182" s="104"/>
      <c r="C2182" s="104"/>
      <c r="F2182" s="107" t="str">
        <f aca="false">IF(OR($C2182="",$D2182=0),"",$E2182/$D2182)</f>
        <v/>
      </c>
      <c r="H2182" s="0" t="str">
        <f aca="false">IF($C2182="","",IF(COUNTIF('مواد المخزون'!$A$2:$A$90,$C2182)&gt;0,"نعم","لا (خارج الجرد)"))</f>
        <v/>
      </c>
    </row>
    <row r="2183" customFormat="false" ht="15" hidden="false" customHeight="false" outlineLevel="0" collapsed="false">
      <c r="A2183" s="103"/>
      <c r="B2183" s="104"/>
      <c r="C2183" s="104"/>
      <c r="F2183" s="107" t="str">
        <f aca="false">IF(OR($C2183="",$D2183=0),"",$E2183/$D2183)</f>
        <v/>
      </c>
      <c r="H2183" s="0" t="str">
        <f aca="false">IF($C2183="","",IF(COUNTIF('مواد المخزون'!$A$2:$A$90,$C2183)&gt;0,"نعم","لا (خارج الجرد)"))</f>
        <v/>
      </c>
    </row>
    <row r="2184" customFormat="false" ht="15" hidden="false" customHeight="false" outlineLevel="0" collapsed="false">
      <c r="A2184" s="103"/>
      <c r="B2184" s="104"/>
      <c r="C2184" s="104"/>
      <c r="F2184" s="107" t="str">
        <f aca="false">IF(OR($C2184="",$D2184=0),"",$E2184/$D2184)</f>
        <v/>
      </c>
      <c r="H2184" s="0" t="str">
        <f aca="false">IF($C2184="","",IF(COUNTIF('مواد المخزون'!$A$2:$A$90,$C2184)&gt;0,"نعم","لا (خارج الجرد)"))</f>
        <v/>
      </c>
    </row>
    <row r="2185" customFormat="false" ht="15" hidden="false" customHeight="false" outlineLevel="0" collapsed="false">
      <c r="A2185" s="103"/>
      <c r="B2185" s="104"/>
      <c r="C2185" s="104"/>
      <c r="F2185" s="107" t="str">
        <f aca="false">IF(OR($C2185="",$D2185=0),"",$E2185/$D2185)</f>
        <v/>
      </c>
      <c r="H2185" s="0" t="str">
        <f aca="false">IF($C2185="","",IF(COUNTIF('مواد المخزون'!$A$2:$A$90,$C2185)&gt;0,"نعم","لا (خارج الجرد)"))</f>
        <v/>
      </c>
    </row>
    <row r="2186" customFormat="false" ht="15" hidden="false" customHeight="false" outlineLevel="0" collapsed="false">
      <c r="A2186" s="103"/>
      <c r="B2186" s="104"/>
      <c r="C2186" s="104"/>
      <c r="F2186" s="107" t="str">
        <f aca="false">IF(OR($C2186="",$D2186=0),"",$E2186/$D2186)</f>
        <v/>
      </c>
      <c r="H2186" s="0" t="str">
        <f aca="false">IF($C2186="","",IF(COUNTIF('مواد المخزون'!$A$2:$A$90,$C2186)&gt;0,"نعم","لا (خارج الجرد)"))</f>
        <v/>
      </c>
    </row>
    <row r="2187" customFormat="false" ht="15" hidden="false" customHeight="false" outlineLevel="0" collapsed="false">
      <c r="A2187" s="103"/>
      <c r="B2187" s="104"/>
      <c r="C2187" s="104"/>
      <c r="F2187" s="107" t="str">
        <f aca="false">IF(OR($C2187="",$D2187=0),"",$E2187/$D2187)</f>
        <v/>
      </c>
      <c r="H2187" s="0" t="str">
        <f aca="false">IF($C2187="","",IF(COUNTIF('مواد المخزون'!$A$2:$A$90,$C2187)&gt;0,"نعم","لا (خارج الجرد)"))</f>
        <v/>
      </c>
    </row>
    <row r="2188" customFormat="false" ht="15" hidden="false" customHeight="false" outlineLevel="0" collapsed="false">
      <c r="A2188" s="103"/>
      <c r="B2188" s="104"/>
      <c r="C2188" s="104"/>
      <c r="F2188" s="107" t="str">
        <f aca="false">IF(OR($C2188="",$D2188=0),"",$E2188/$D2188)</f>
        <v/>
      </c>
      <c r="H2188" s="0" t="str">
        <f aca="false">IF($C2188="","",IF(COUNTIF('مواد المخزون'!$A$2:$A$90,$C2188)&gt;0,"نعم","لا (خارج الجرد)"))</f>
        <v/>
      </c>
    </row>
    <row r="2189" customFormat="false" ht="15" hidden="false" customHeight="false" outlineLevel="0" collapsed="false">
      <c r="A2189" s="103"/>
      <c r="B2189" s="104"/>
      <c r="C2189" s="104"/>
      <c r="F2189" s="107" t="str">
        <f aca="false">IF(OR($C2189="",$D2189=0),"",$E2189/$D2189)</f>
        <v/>
      </c>
      <c r="H2189" s="0" t="str">
        <f aca="false">IF($C2189="","",IF(COUNTIF('مواد المخزون'!$A$2:$A$90,$C2189)&gt;0,"نعم","لا (خارج الجرد)"))</f>
        <v/>
      </c>
    </row>
    <row r="2190" customFormat="false" ht="15" hidden="false" customHeight="false" outlineLevel="0" collapsed="false">
      <c r="A2190" s="103"/>
      <c r="B2190" s="104"/>
      <c r="C2190" s="104"/>
      <c r="F2190" s="107" t="str">
        <f aca="false">IF(OR($C2190="",$D2190=0),"",$E2190/$D2190)</f>
        <v/>
      </c>
      <c r="H2190" s="0" t="str">
        <f aca="false">IF($C2190="","",IF(COUNTIF('مواد المخزون'!$A$2:$A$90,$C2190)&gt;0,"نعم","لا (خارج الجرد)"))</f>
        <v/>
      </c>
    </row>
    <row r="2191" customFormat="false" ht="15" hidden="false" customHeight="false" outlineLevel="0" collapsed="false">
      <c r="A2191" s="103"/>
      <c r="B2191" s="104"/>
      <c r="C2191" s="104"/>
      <c r="F2191" s="107" t="str">
        <f aca="false">IF(OR($C2191="",$D2191=0),"",$E2191/$D2191)</f>
        <v/>
      </c>
      <c r="H2191" s="0" t="str">
        <f aca="false">IF($C2191="","",IF(COUNTIF('مواد المخزون'!$A$2:$A$90,$C2191)&gt;0,"نعم","لا (خارج الجرد)"))</f>
        <v/>
      </c>
    </row>
    <row r="2192" customFormat="false" ht="15" hidden="false" customHeight="false" outlineLevel="0" collapsed="false">
      <c r="A2192" s="103"/>
      <c r="B2192" s="104"/>
      <c r="C2192" s="104"/>
      <c r="F2192" s="107" t="str">
        <f aca="false">IF(OR($C2192="",$D2192=0),"",$E2192/$D2192)</f>
        <v/>
      </c>
      <c r="H2192" s="0" t="str">
        <f aca="false">IF($C2192="","",IF(COUNTIF('مواد المخزون'!$A$2:$A$90,$C2192)&gt;0,"نعم","لا (خارج الجرد)"))</f>
        <v/>
      </c>
    </row>
    <row r="2193" customFormat="false" ht="15" hidden="false" customHeight="false" outlineLevel="0" collapsed="false">
      <c r="A2193" s="103"/>
      <c r="B2193" s="104"/>
      <c r="C2193" s="104"/>
      <c r="F2193" s="107" t="str">
        <f aca="false">IF(OR($C2193="",$D2193=0),"",$E2193/$D2193)</f>
        <v/>
      </c>
      <c r="H2193" s="0" t="str">
        <f aca="false">IF($C2193="","",IF(COUNTIF('مواد المخزون'!$A$2:$A$90,$C2193)&gt;0,"نعم","لا (خارج الجرد)"))</f>
        <v/>
      </c>
    </row>
    <row r="2194" customFormat="false" ht="15" hidden="false" customHeight="false" outlineLevel="0" collapsed="false">
      <c r="A2194" s="103"/>
      <c r="B2194" s="104"/>
      <c r="C2194" s="104"/>
      <c r="F2194" s="107" t="str">
        <f aca="false">IF(OR($C2194="",$D2194=0),"",$E2194/$D2194)</f>
        <v/>
      </c>
      <c r="H2194" s="0" t="str">
        <f aca="false">IF($C2194="","",IF(COUNTIF('مواد المخزون'!$A$2:$A$90,$C2194)&gt;0,"نعم","لا (خارج الجرد)"))</f>
        <v/>
      </c>
    </row>
    <row r="2195" customFormat="false" ht="15" hidden="false" customHeight="false" outlineLevel="0" collapsed="false">
      <c r="A2195" s="103"/>
      <c r="B2195" s="104"/>
      <c r="C2195" s="104"/>
      <c r="F2195" s="107" t="str">
        <f aca="false">IF(OR($C2195="",$D2195=0),"",$E2195/$D2195)</f>
        <v/>
      </c>
      <c r="H2195" s="0" t="str">
        <f aca="false">IF($C2195="","",IF(COUNTIF('مواد المخزون'!$A$2:$A$90,$C2195)&gt;0,"نعم","لا (خارج الجرد)"))</f>
        <v/>
      </c>
    </row>
    <row r="2196" customFormat="false" ht="15" hidden="false" customHeight="false" outlineLevel="0" collapsed="false">
      <c r="A2196" s="103"/>
      <c r="B2196" s="104"/>
      <c r="C2196" s="104"/>
      <c r="F2196" s="107" t="str">
        <f aca="false">IF(OR($C2196="",$D2196=0),"",$E2196/$D2196)</f>
        <v/>
      </c>
      <c r="H2196" s="0" t="str">
        <f aca="false">IF($C2196="","",IF(COUNTIF('مواد المخزون'!$A$2:$A$90,$C2196)&gt;0,"نعم","لا (خارج الجرد)"))</f>
        <v/>
      </c>
    </row>
    <row r="2197" customFormat="false" ht="15" hidden="false" customHeight="false" outlineLevel="0" collapsed="false">
      <c r="A2197" s="103"/>
      <c r="B2197" s="104"/>
      <c r="C2197" s="104"/>
      <c r="F2197" s="107" t="str">
        <f aca="false">IF(OR($C2197="",$D2197=0),"",$E2197/$D2197)</f>
        <v/>
      </c>
      <c r="H2197" s="0" t="str">
        <f aca="false">IF($C2197="","",IF(COUNTIF('مواد المخزون'!$A$2:$A$90,$C2197)&gt;0,"نعم","لا (خارج الجرد)"))</f>
        <v/>
      </c>
    </row>
    <row r="2198" customFormat="false" ht="15" hidden="false" customHeight="false" outlineLevel="0" collapsed="false">
      <c r="A2198" s="103"/>
      <c r="B2198" s="104"/>
      <c r="C2198" s="104"/>
      <c r="F2198" s="107" t="str">
        <f aca="false">IF(OR($C2198="",$D2198=0),"",$E2198/$D2198)</f>
        <v/>
      </c>
      <c r="H2198" s="0" t="str">
        <f aca="false">IF($C2198="","",IF(COUNTIF('مواد المخزون'!$A$2:$A$90,$C2198)&gt;0,"نعم","لا (خارج الجرد)"))</f>
        <v/>
      </c>
    </row>
    <row r="2199" customFormat="false" ht="15" hidden="false" customHeight="false" outlineLevel="0" collapsed="false">
      <c r="A2199" s="103"/>
      <c r="B2199" s="104"/>
      <c r="C2199" s="104"/>
      <c r="F2199" s="107" t="str">
        <f aca="false">IF(OR($C2199="",$D2199=0),"",$E2199/$D2199)</f>
        <v/>
      </c>
      <c r="H2199" s="0" t="str">
        <f aca="false">IF($C2199="","",IF(COUNTIF('مواد المخزون'!$A$2:$A$90,$C2199)&gt;0,"نعم","لا (خارج الجرد)"))</f>
        <v/>
      </c>
    </row>
    <row r="2200" customFormat="false" ht="15" hidden="false" customHeight="false" outlineLevel="0" collapsed="false">
      <c r="A2200" s="103"/>
      <c r="B2200" s="104"/>
      <c r="C2200" s="104"/>
      <c r="F2200" s="107" t="str">
        <f aca="false">IF(OR($C2200="",$D2200=0),"",$E2200/$D2200)</f>
        <v/>
      </c>
      <c r="H2200" s="0" t="str">
        <f aca="false">IF($C2200="","",IF(COUNTIF('مواد المخزون'!$A$2:$A$90,$C2200)&gt;0,"نعم","لا (خارج الجرد)"))</f>
        <v/>
      </c>
    </row>
    <row r="2201" customFormat="false" ht="15" hidden="false" customHeight="false" outlineLevel="0" collapsed="false">
      <c r="A2201" s="103"/>
      <c r="B2201" s="104"/>
      <c r="C2201" s="104"/>
      <c r="F2201" s="107" t="str">
        <f aca="false">IF(OR($C2201="",$D2201=0),"",$E2201/$D2201)</f>
        <v/>
      </c>
      <c r="H2201" s="0" t="str">
        <f aca="false">IF($C2201="","",IF(COUNTIF('مواد المخزون'!$A$2:$A$90,$C2201)&gt;0,"نعم","لا (خارج الجرد)"))</f>
        <v/>
      </c>
    </row>
    <row r="2202" customFormat="false" ht="15" hidden="false" customHeight="false" outlineLevel="0" collapsed="false">
      <c r="A2202" s="103"/>
      <c r="B2202" s="104"/>
      <c r="C2202" s="104"/>
      <c r="F2202" s="107" t="str">
        <f aca="false">IF(OR($C2202="",$D2202=0),"",$E2202/$D2202)</f>
        <v/>
      </c>
      <c r="H2202" s="0" t="str">
        <f aca="false">IF($C2202="","",IF(COUNTIF('مواد المخزون'!$A$2:$A$90,$C2202)&gt;0,"نعم","لا (خارج الجرد)"))</f>
        <v/>
      </c>
    </row>
    <row r="2203" customFormat="false" ht="15" hidden="false" customHeight="false" outlineLevel="0" collapsed="false">
      <c r="A2203" s="103"/>
      <c r="B2203" s="104"/>
      <c r="C2203" s="104"/>
      <c r="F2203" s="107" t="str">
        <f aca="false">IF(OR($C2203="",$D2203=0),"",$E2203/$D2203)</f>
        <v/>
      </c>
      <c r="H2203" s="0" t="str">
        <f aca="false">IF($C2203="","",IF(COUNTIF('مواد المخزون'!$A$2:$A$90,$C2203)&gt;0,"نعم","لا (خارج الجرد)"))</f>
        <v/>
      </c>
    </row>
    <row r="2204" customFormat="false" ht="15" hidden="false" customHeight="false" outlineLevel="0" collapsed="false">
      <c r="A2204" s="103"/>
      <c r="B2204" s="104"/>
      <c r="C2204" s="104"/>
      <c r="F2204" s="107" t="str">
        <f aca="false">IF(OR($C2204="",$D2204=0),"",$E2204/$D2204)</f>
        <v/>
      </c>
      <c r="H2204" s="0" t="str">
        <f aca="false">IF($C2204="","",IF(COUNTIF('مواد المخزون'!$A$2:$A$90,$C2204)&gt;0,"نعم","لا (خارج الجرد)"))</f>
        <v/>
      </c>
    </row>
    <row r="2205" customFormat="false" ht="15" hidden="false" customHeight="false" outlineLevel="0" collapsed="false">
      <c r="A2205" s="103"/>
      <c r="B2205" s="104"/>
      <c r="C2205" s="104"/>
      <c r="F2205" s="107" t="str">
        <f aca="false">IF(OR($C2205="",$D2205=0),"",$E2205/$D2205)</f>
        <v/>
      </c>
      <c r="H2205" s="0" t="str">
        <f aca="false">IF($C2205="","",IF(COUNTIF('مواد المخزون'!$A$2:$A$90,$C2205)&gt;0,"نعم","لا (خارج الجرد)"))</f>
        <v/>
      </c>
    </row>
    <row r="2206" customFormat="false" ht="15" hidden="false" customHeight="false" outlineLevel="0" collapsed="false">
      <c r="A2206" s="103"/>
      <c r="B2206" s="104"/>
      <c r="C2206" s="104"/>
      <c r="F2206" s="107" t="str">
        <f aca="false">IF(OR($C2206="",$D2206=0),"",$E2206/$D2206)</f>
        <v/>
      </c>
      <c r="H2206" s="0" t="str">
        <f aca="false">IF($C2206="","",IF(COUNTIF('مواد المخزون'!$A$2:$A$90,$C2206)&gt;0,"نعم","لا (خارج الجرد)"))</f>
        <v/>
      </c>
    </row>
    <row r="2207" customFormat="false" ht="15" hidden="false" customHeight="false" outlineLevel="0" collapsed="false">
      <c r="A2207" s="103"/>
      <c r="B2207" s="104"/>
      <c r="C2207" s="104"/>
      <c r="F2207" s="107" t="str">
        <f aca="false">IF(OR($C2207="",$D2207=0),"",$E2207/$D2207)</f>
        <v/>
      </c>
      <c r="H2207" s="0" t="str">
        <f aca="false">IF($C2207="","",IF(COUNTIF('مواد المخزون'!$A$2:$A$90,$C2207)&gt;0,"نعم","لا (خارج الجرد)"))</f>
        <v/>
      </c>
    </row>
    <row r="2208" customFormat="false" ht="15" hidden="false" customHeight="false" outlineLevel="0" collapsed="false">
      <c r="A2208" s="103"/>
      <c r="B2208" s="104"/>
      <c r="C2208" s="104"/>
      <c r="F2208" s="107" t="str">
        <f aca="false">IF(OR($C2208="",$D2208=0),"",$E2208/$D2208)</f>
        <v/>
      </c>
      <c r="H2208" s="0" t="str">
        <f aca="false">IF($C2208="","",IF(COUNTIF('مواد المخزون'!$A$2:$A$90,$C2208)&gt;0,"نعم","لا (خارج الجرد)"))</f>
        <v/>
      </c>
    </row>
    <row r="2209" customFormat="false" ht="15" hidden="false" customHeight="false" outlineLevel="0" collapsed="false">
      <c r="A2209" s="103"/>
      <c r="B2209" s="104"/>
      <c r="C2209" s="104"/>
      <c r="F2209" s="107" t="str">
        <f aca="false">IF(OR($C2209="",$D2209=0),"",$E2209/$D2209)</f>
        <v/>
      </c>
      <c r="H2209" s="0" t="str">
        <f aca="false">IF($C2209="","",IF(COUNTIF('مواد المخزون'!$A$2:$A$90,$C2209)&gt;0,"نعم","لا (خارج الجرد)"))</f>
        <v/>
      </c>
    </row>
    <row r="2210" customFormat="false" ht="15" hidden="false" customHeight="false" outlineLevel="0" collapsed="false">
      <c r="A2210" s="103"/>
      <c r="B2210" s="104"/>
      <c r="C2210" s="104"/>
      <c r="F2210" s="107" t="str">
        <f aca="false">IF(OR($C2210="",$D2210=0),"",$E2210/$D2210)</f>
        <v/>
      </c>
      <c r="H2210" s="0" t="str">
        <f aca="false">IF($C2210="","",IF(COUNTIF('مواد المخزون'!$A$2:$A$90,$C2210)&gt;0,"نعم","لا (خارج الجرد)"))</f>
        <v/>
      </c>
    </row>
    <row r="2211" customFormat="false" ht="15" hidden="false" customHeight="false" outlineLevel="0" collapsed="false">
      <c r="A2211" s="103"/>
      <c r="B2211" s="104"/>
      <c r="C2211" s="104"/>
      <c r="F2211" s="107" t="str">
        <f aca="false">IF(OR($C2211="",$D2211=0),"",$E2211/$D2211)</f>
        <v/>
      </c>
      <c r="H2211" s="0" t="str">
        <f aca="false">IF($C2211="","",IF(COUNTIF('مواد المخزون'!$A$2:$A$90,$C2211)&gt;0,"نعم","لا (خارج الجرد)"))</f>
        <v/>
      </c>
    </row>
    <row r="2212" customFormat="false" ht="15" hidden="false" customHeight="false" outlineLevel="0" collapsed="false">
      <c r="A2212" s="103"/>
      <c r="B2212" s="104"/>
      <c r="C2212" s="104"/>
      <c r="F2212" s="107" t="str">
        <f aca="false">IF(OR($C2212="",$D2212=0),"",$E2212/$D2212)</f>
        <v/>
      </c>
      <c r="H2212" s="0" t="str">
        <f aca="false">IF($C2212="","",IF(COUNTIF('مواد المخزون'!$A$2:$A$90,$C2212)&gt;0,"نعم","لا (خارج الجرد)"))</f>
        <v/>
      </c>
    </row>
    <row r="2213" customFormat="false" ht="15" hidden="false" customHeight="false" outlineLevel="0" collapsed="false">
      <c r="A2213" s="103"/>
      <c r="B2213" s="104"/>
      <c r="C2213" s="104"/>
      <c r="F2213" s="107" t="str">
        <f aca="false">IF(OR($C2213="",$D2213=0),"",$E2213/$D2213)</f>
        <v/>
      </c>
      <c r="H2213" s="0" t="str">
        <f aca="false">IF($C2213="","",IF(COUNTIF('مواد المخزون'!$A$2:$A$90,$C2213)&gt;0,"نعم","لا (خارج الجرد)"))</f>
        <v/>
      </c>
    </row>
    <row r="2214" customFormat="false" ht="15" hidden="false" customHeight="false" outlineLevel="0" collapsed="false">
      <c r="A2214" s="103"/>
      <c r="B2214" s="104"/>
      <c r="C2214" s="104"/>
      <c r="F2214" s="107" t="str">
        <f aca="false">IF(OR($C2214="",$D2214=0),"",$E2214/$D2214)</f>
        <v/>
      </c>
      <c r="H2214" s="0" t="str">
        <f aca="false">IF($C2214="","",IF(COUNTIF('مواد المخزون'!$A$2:$A$90,$C2214)&gt;0,"نعم","لا (خارج الجرد)"))</f>
        <v/>
      </c>
    </row>
    <row r="2215" customFormat="false" ht="15" hidden="false" customHeight="false" outlineLevel="0" collapsed="false">
      <c r="A2215" s="103"/>
      <c r="B2215" s="104"/>
      <c r="C2215" s="104"/>
      <c r="F2215" s="107" t="str">
        <f aca="false">IF(OR($C2215="",$D2215=0),"",$E2215/$D2215)</f>
        <v/>
      </c>
      <c r="H2215" s="0" t="str">
        <f aca="false">IF($C2215="","",IF(COUNTIF('مواد المخزون'!$A$2:$A$90,$C2215)&gt;0,"نعم","لا (خارج الجرد)"))</f>
        <v/>
      </c>
    </row>
    <row r="2216" customFormat="false" ht="15" hidden="false" customHeight="false" outlineLevel="0" collapsed="false">
      <c r="A2216" s="103"/>
      <c r="B2216" s="104"/>
      <c r="C2216" s="104"/>
      <c r="F2216" s="107" t="str">
        <f aca="false">IF(OR($C2216="",$D2216=0),"",$E2216/$D2216)</f>
        <v/>
      </c>
      <c r="H2216" s="0" t="str">
        <f aca="false">IF($C2216="","",IF(COUNTIF('مواد المخزون'!$A$2:$A$90,$C2216)&gt;0,"نعم","لا (خارج الجرد)"))</f>
        <v/>
      </c>
    </row>
    <row r="2217" customFormat="false" ht="15" hidden="false" customHeight="false" outlineLevel="0" collapsed="false">
      <c r="A2217" s="103"/>
      <c r="B2217" s="104"/>
      <c r="C2217" s="104"/>
      <c r="F2217" s="107" t="str">
        <f aca="false">IF(OR($C2217="",$D2217=0),"",$E2217/$D2217)</f>
        <v/>
      </c>
      <c r="H2217" s="0" t="str">
        <f aca="false">IF($C2217="","",IF(COUNTIF('مواد المخزون'!$A$2:$A$90,$C2217)&gt;0,"نعم","لا (خارج الجرد)"))</f>
        <v/>
      </c>
    </row>
    <row r="2218" customFormat="false" ht="15" hidden="false" customHeight="false" outlineLevel="0" collapsed="false">
      <c r="A2218" s="103"/>
      <c r="B2218" s="104"/>
      <c r="C2218" s="104"/>
      <c r="F2218" s="107" t="str">
        <f aca="false">IF(OR($C2218="",$D2218=0),"",$E2218/$D2218)</f>
        <v/>
      </c>
      <c r="H2218" s="0" t="str">
        <f aca="false">IF($C2218="","",IF(COUNTIF('مواد المخزون'!$A$2:$A$90,$C2218)&gt;0,"نعم","لا (خارج الجرد)"))</f>
        <v/>
      </c>
    </row>
    <row r="2219" customFormat="false" ht="15" hidden="false" customHeight="false" outlineLevel="0" collapsed="false">
      <c r="A2219" s="103"/>
      <c r="B2219" s="104"/>
      <c r="C2219" s="104"/>
      <c r="F2219" s="107" t="str">
        <f aca="false">IF(OR($C2219="",$D2219=0),"",$E2219/$D2219)</f>
        <v/>
      </c>
      <c r="H2219" s="0" t="str">
        <f aca="false">IF($C2219="","",IF(COUNTIF('مواد المخزون'!$A$2:$A$90,$C2219)&gt;0,"نعم","لا (خارج الجرد)"))</f>
        <v/>
      </c>
    </row>
    <row r="2220" customFormat="false" ht="15" hidden="false" customHeight="false" outlineLevel="0" collapsed="false">
      <c r="A2220" s="103"/>
      <c r="B2220" s="104"/>
      <c r="C2220" s="104"/>
      <c r="F2220" s="107" t="str">
        <f aca="false">IF(OR($C2220="",$D2220=0),"",$E2220/$D2220)</f>
        <v/>
      </c>
      <c r="H2220" s="0" t="str">
        <f aca="false">IF($C2220="","",IF(COUNTIF('مواد المخزون'!$A$2:$A$90,$C2220)&gt;0,"نعم","لا (خارج الجرد)"))</f>
        <v/>
      </c>
    </row>
    <row r="2221" customFormat="false" ht="15" hidden="false" customHeight="false" outlineLevel="0" collapsed="false">
      <c r="A2221" s="103"/>
      <c r="B2221" s="104"/>
      <c r="C2221" s="104"/>
      <c r="F2221" s="107" t="str">
        <f aca="false">IF(OR($C2221="",$D2221=0),"",$E2221/$D2221)</f>
        <v/>
      </c>
      <c r="H2221" s="0" t="str">
        <f aca="false">IF($C2221="","",IF(COUNTIF('مواد المخزون'!$A$2:$A$90,$C2221)&gt;0,"نعم","لا (خارج الجرد)"))</f>
        <v/>
      </c>
    </row>
    <row r="2222" customFormat="false" ht="15" hidden="false" customHeight="false" outlineLevel="0" collapsed="false">
      <c r="A2222" s="103"/>
      <c r="B2222" s="104"/>
      <c r="C2222" s="104"/>
      <c r="F2222" s="107" t="str">
        <f aca="false">IF(OR($C2222="",$D2222=0),"",$E2222/$D2222)</f>
        <v/>
      </c>
      <c r="H2222" s="0" t="str">
        <f aca="false">IF($C2222="","",IF(COUNTIF('مواد المخزون'!$A$2:$A$90,$C2222)&gt;0,"نعم","لا (خارج الجرد)"))</f>
        <v/>
      </c>
    </row>
    <row r="2223" customFormat="false" ht="15" hidden="false" customHeight="false" outlineLevel="0" collapsed="false">
      <c r="A2223" s="103"/>
      <c r="B2223" s="104"/>
      <c r="C2223" s="104"/>
      <c r="F2223" s="107" t="str">
        <f aca="false">IF(OR($C2223="",$D2223=0),"",$E2223/$D2223)</f>
        <v/>
      </c>
      <c r="H2223" s="0" t="str">
        <f aca="false">IF($C2223="","",IF(COUNTIF('مواد المخزون'!$A$2:$A$90,$C2223)&gt;0,"نعم","لا (خارج الجرد)"))</f>
        <v/>
      </c>
    </row>
    <row r="2224" customFormat="false" ht="15" hidden="false" customHeight="false" outlineLevel="0" collapsed="false">
      <c r="A2224" s="103"/>
      <c r="B2224" s="104"/>
      <c r="C2224" s="104"/>
      <c r="F2224" s="107" t="str">
        <f aca="false">IF(OR($C2224="",$D2224=0),"",$E2224/$D2224)</f>
        <v/>
      </c>
      <c r="H2224" s="0" t="str">
        <f aca="false">IF($C2224="","",IF(COUNTIF('مواد المخزون'!$A$2:$A$90,$C2224)&gt;0,"نعم","لا (خارج الجرد)"))</f>
        <v/>
      </c>
    </row>
    <row r="2225" customFormat="false" ht="15" hidden="false" customHeight="false" outlineLevel="0" collapsed="false">
      <c r="A2225" s="103"/>
      <c r="B2225" s="104"/>
      <c r="C2225" s="104"/>
      <c r="F2225" s="107" t="str">
        <f aca="false">IF(OR($C2225="",$D2225=0),"",$E2225/$D2225)</f>
        <v/>
      </c>
      <c r="H2225" s="0" t="str">
        <f aca="false">IF($C2225="","",IF(COUNTIF('مواد المخزون'!$A$2:$A$90,$C2225)&gt;0,"نعم","لا (خارج الجرد)"))</f>
        <v/>
      </c>
    </row>
    <row r="2226" customFormat="false" ht="15" hidden="false" customHeight="false" outlineLevel="0" collapsed="false">
      <c r="A2226" s="103"/>
      <c r="B2226" s="104"/>
      <c r="C2226" s="104"/>
      <c r="F2226" s="107" t="str">
        <f aca="false">IF(OR($C2226="",$D2226=0),"",$E2226/$D2226)</f>
        <v/>
      </c>
      <c r="H2226" s="0" t="str">
        <f aca="false">IF($C2226="","",IF(COUNTIF('مواد المخزون'!$A$2:$A$90,$C2226)&gt;0,"نعم","لا (خارج الجرد)"))</f>
        <v/>
      </c>
    </row>
    <row r="2227" customFormat="false" ht="15" hidden="false" customHeight="false" outlineLevel="0" collapsed="false">
      <c r="A2227" s="103"/>
      <c r="B2227" s="104"/>
      <c r="C2227" s="104"/>
      <c r="F2227" s="107" t="str">
        <f aca="false">IF(OR($C2227="",$D2227=0),"",$E2227/$D2227)</f>
        <v/>
      </c>
      <c r="H2227" s="0" t="str">
        <f aca="false">IF($C2227="","",IF(COUNTIF('مواد المخزون'!$A$2:$A$90,$C2227)&gt;0,"نعم","لا (خارج الجرد)"))</f>
        <v/>
      </c>
    </row>
    <row r="2228" customFormat="false" ht="15" hidden="false" customHeight="false" outlineLevel="0" collapsed="false">
      <c r="A2228" s="103"/>
      <c r="B2228" s="104"/>
      <c r="C2228" s="104"/>
      <c r="F2228" s="107" t="str">
        <f aca="false">IF(OR($C2228="",$D2228=0),"",$E2228/$D2228)</f>
        <v/>
      </c>
      <c r="H2228" s="0" t="str">
        <f aca="false">IF($C2228="","",IF(COUNTIF('مواد المخزون'!$A$2:$A$90,$C2228)&gt;0,"نعم","لا (خارج الجرد)"))</f>
        <v/>
      </c>
    </row>
    <row r="2229" customFormat="false" ht="15" hidden="false" customHeight="false" outlineLevel="0" collapsed="false">
      <c r="A2229" s="103"/>
      <c r="B2229" s="104"/>
      <c r="C2229" s="104"/>
      <c r="F2229" s="107" t="str">
        <f aca="false">IF(OR($C2229="",$D2229=0),"",$E2229/$D2229)</f>
        <v/>
      </c>
      <c r="H2229" s="0" t="str">
        <f aca="false">IF($C2229="","",IF(COUNTIF('مواد المخزون'!$A$2:$A$90,$C2229)&gt;0,"نعم","لا (خارج الجرد)"))</f>
        <v/>
      </c>
    </row>
    <row r="2230" customFormat="false" ht="15" hidden="false" customHeight="false" outlineLevel="0" collapsed="false">
      <c r="A2230" s="103"/>
      <c r="B2230" s="104"/>
      <c r="C2230" s="104"/>
      <c r="F2230" s="107" t="str">
        <f aca="false">IF(OR($C2230="",$D2230=0),"",$E2230/$D2230)</f>
        <v/>
      </c>
      <c r="H2230" s="0" t="str">
        <f aca="false">IF($C2230="","",IF(COUNTIF('مواد المخزون'!$A$2:$A$90,$C2230)&gt;0,"نعم","لا (خارج الجرد)"))</f>
        <v/>
      </c>
    </row>
    <row r="2231" customFormat="false" ht="15" hidden="false" customHeight="false" outlineLevel="0" collapsed="false">
      <c r="A2231" s="103"/>
      <c r="B2231" s="104"/>
      <c r="C2231" s="104"/>
      <c r="F2231" s="107" t="str">
        <f aca="false">IF(OR($C2231="",$D2231=0),"",$E2231/$D2231)</f>
        <v/>
      </c>
      <c r="H2231" s="0" t="str">
        <f aca="false">IF($C2231="","",IF(COUNTIF('مواد المخزون'!$A$2:$A$90,$C2231)&gt;0,"نعم","لا (خارج الجرد)"))</f>
        <v/>
      </c>
    </row>
    <row r="2232" customFormat="false" ht="15" hidden="false" customHeight="false" outlineLevel="0" collapsed="false">
      <c r="A2232" s="103"/>
      <c r="B2232" s="104"/>
      <c r="C2232" s="104"/>
      <c r="F2232" s="107" t="str">
        <f aca="false">IF(OR($C2232="",$D2232=0),"",$E2232/$D2232)</f>
        <v/>
      </c>
      <c r="H2232" s="0" t="str">
        <f aca="false">IF($C2232="","",IF(COUNTIF('مواد المخزون'!$A$2:$A$90,$C2232)&gt;0,"نعم","لا (خارج الجرد)"))</f>
        <v/>
      </c>
    </row>
    <row r="2233" customFormat="false" ht="15" hidden="false" customHeight="false" outlineLevel="0" collapsed="false">
      <c r="A2233" s="103"/>
      <c r="B2233" s="104"/>
      <c r="C2233" s="104"/>
      <c r="F2233" s="107" t="str">
        <f aca="false">IF(OR($C2233="",$D2233=0),"",$E2233/$D2233)</f>
        <v/>
      </c>
      <c r="H2233" s="0" t="str">
        <f aca="false">IF($C2233="","",IF(COUNTIF('مواد المخزون'!$A$2:$A$90,$C2233)&gt;0,"نعم","لا (خارج الجرد)"))</f>
        <v/>
      </c>
    </row>
    <row r="2234" customFormat="false" ht="15" hidden="false" customHeight="false" outlineLevel="0" collapsed="false">
      <c r="A2234" s="103"/>
      <c r="B2234" s="104"/>
      <c r="C2234" s="104"/>
      <c r="F2234" s="107" t="str">
        <f aca="false">IF(OR($C2234="",$D2234=0),"",$E2234/$D2234)</f>
        <v/>
      </c>
      <c r="H2234" s="0" t="str">
        <f aca="false">IF($C2234="","",IF(COUNTIF('مواد المخزون'!$A$2:$A$90,$C2234)&gt;0,"نعم","لا (خارج الجرد)"))</f>
        <v/>
      </c>
    </row>
    <row r="2235" customFormat="false" ht="15" hidden="false" customHeight="false" outlineLevel="0" collapsed="false">
      <c r="A2235" s="103"/>
      <c r="B2235" s="104"/>
      <c r="C2235" s="104"/>
      <c r="F2235" s="107" t="str">
        <f aca="false">IF(OR($C2235="",$D2235=0),"",$E2235/$D2235)</f>
        <v/>
      </c>
      <c r="H2235" s="0" t="str">
        <f aca="false">IF($C2235="","",IF(COUNTIF('مواد المخزون'!$A$2:$A$90,$C2235)&gt;0,"نعم","لا (خارج الجرد)"))</f>
        <v/>
      </c>
    </row>
    <row r="2236" customFormat="false" ht="15" hidden="false" customHeight="false" outlineLevel="0" collapsed="false">
      <c r="A2236" s="103"/>
      <c r="B2236" s="104"/>
      <c r="C2236" s="104"/>
      <c r="F2236" s="107" t="str">
        <f aca="false">IF(OR($C2236="",$D2236=0),"",$E2236/$D2236)</f>
        <v/>
      </c>
      <c r="H2236" s="0" t="str">
        <f aca="false">IF($C2236="","",IF(COUNTIF('مواد المخزون'!$A$2:$A$90,$C2236)&gt;0,"نعم","لا (خارج الجرد)"))</f>
        <v/>
      </c>
    </row>
    <row r="2237" customFormat="false" ht="15" hidden="false" customHeight="false" outlineLevel="0" collapsed="false">
      <c r="A2237" s="103"/>
      <c r="B2237" s="104"/>
      <c r="C2237" s="104"/>
      <c r="F2237" s="107" t="str">
        <f aca="false">IF(OR($C2237="",$D2237=0),"",$E2237/$D2237)</f>
        <v/>
      </c>
      <c r="H2237" s="0" t="str">
        <f aca="false">IF($C2237="","",IF(COUNTIF('مواد المخزون'!$A$2:$A$90,$C2237)&gt;0,"نعم","لا (خارج الجرد)"))</f>
        <v/>
      </c>
    </row>
    <row r="2238" customFormat="false" ht="15" hidden="false" customHeight="false" outlineLevel="0" collapsed="false">
      <c r="A2238" s="103"/>
      <c r="B2238" s="104"/>
      <c r="C2238" s="104"/>
      <c r="F2238" s="107" t="str">
        <f aca="false">IF(OR($C2238="",$D2238=0),"",$E2238/$D2238)</f>
        <v/>
      </c>
      <c r="H2238" s="0" t="str">
        <f aca="false">IF($C2238="","",IF(COUNTIF('مواد المخزون'!$A$2:$A$90,$C2238)&gt;0,"نعم","لا (خارج الجرد)"))</f>
        <v/>
      </c>
    </row>
    <row r="2239" customFormat="false" ht="15" hidden="false" customHeight="false" outlineLevel="0" collapsed="false">
      <c r="A2239" s="103"/>
      <c r="B2239" s="104"/>
      <c r="C2239" s="104"/>
      <c r="F2239" s="107" t="str">
        <f aca="false">IF(OR($C2239="",$D2239=0),"",$E2239/$D2239)</f>
        <v/>
      </c>
      <c r="H2239" s="0" t="str">
        <f aca="false">IF($C2239="","",IF(COUNTIF('مواد المخزون'!$A$2:$A$90,$C2239)&gt;0,"نعم","لا (خارج الجرد)"))</f>
        <v/>
      </c>
    </row>
    <row r="2240" customFormat="false" ht="15" hidden="false" customHeight="false" outlineLevel="0" collapsed="false">
      <c r="A2240" s="103"/>
      <c r="B2240" s="104"/>
      <c r="C2240" s="104"/>
      <c r="F2240" s="107" t="str">
        <f aca="false">IF(OR($C2240="",$D2240=0),"",$E2240/$D2240)</f>
        <v/>
      </c>
      <c r="H2240" s="0" t="str">
        <f aca="false">IF($C2240="","",IF(COUNTIF('مواد المخزون'!$A$2:$A$90,$C2240)&gt;0,"نعم","لا (خارج الجرد)"))</f>
        <v/>
      </c>
    </row>
    <row r="2241" customFormat="false" ht="15" hidden="false" customHeight="false" outlineLevel="0" collapsed="false">
      <c r="A2241" s="103"/>
      <c r="B2241" s="104"/>
      <c r="C2241" s="104"/>
      <c r="F2241" s="107" t="str">
        <f aca="false">IF(OR($C2241="",$D2241=0),"",$E2241/$D2241)</f>
        <v/>
      </c>
      <c r="H2241" s="0" t="str">
        <f aca="false">IF($C2241="","",IF(COUNTIF('مواد المخزون'!$A$2:$A$90,$C2241)&gt;0,"نعم","لا (خارج الجرد)"))</f>
        <v/>
      </c>
    </row>
    <row r="2242" customFormat="false" ht="15" hidden="false" customHeight="false" outlineLevel="0" collapsed="false">
      <c r="A2242" s="103"/>
      <c r="B2242" s="104"/>
      <c r="C2242" s="104"/>
      <c r="F2242" s="107" t="str">
        <f aca="false">IF(OR($C2242="",$D2242=0),"",$E2242/$D2242)</f>
        <v/>
      </c>
      <c r="H2242" s="0" t="str">
        <f aca="false">IF($C2242="","",IF(COUNTIF('مواد المخزون'!$A$2:$A$90,$C2242)&gt;0,"نعم","لا (خارج الجرد)"))</f>
        <v/>
      </c>
    </row>
    <row r="2243" customFormat="false" ht="15" hidden="false" customHeight="false" outlineLevel="0" collapsed="false">
      <c r="A2243" s="103"/>
      <c r="B2243" s="104"/>
      <c r="C2243" s="104"/>
      <c r="F2243" s="107" t="str">
        <f aca="false">IF(OR($C2243="",$D2243=0),"",$E2243/$D2243)</f>
        <v/>
      </c>
      <c r="H2243" s="0" t="str">
        <f aca="false">IF($C2243="","",IF(COUNTIF('مواد المخزون'!$A$2:$A$90,$C2243)&gt;0,"نعم","لا (خارج الجرد)"))</f>
        <v/>
      </c>
    </row>
    <row r="2244" customFormat="false" ht="15" hidden="false" customHeight="false" outlineLevel="0" collapsed="false">
      <c r="A2244" s="103"/>
      <c r="B2244" s="104"/>
      <c r="C2244" s="104"/>
      <c r="F2244" s="107" t="str">
        <f aca="false">IF(OR($C2244="",$D2244=0),"",$E2244/$D2244)</f>
        <v/>
      </c>
      <c r="H2244" s="0" t="str">
        <f aca="false">IF($C2244="","",IF(COUNTIF('مواد المخزون'!$A$2:$A$90,$C2244)&gt;0,"نعم","لا (خارج الجرد)"))</f>
        <v/>
      </c>
    </row>
    <row r="2245" customFormat="false" ht="15" hidden="false" customHeight="false" outlineLevel="0" collapsed="false">
      <c r="A2245" s="103"/>
      <c r="B2245" s="104"/>
      <c r="C2245" s="104"/>
      <c r="F2245" s="107" t="str">
        <f aca="false">IF(OR($C2245="",$D2245=0),"",$E2245/$D2245)</f>
        <v/>
      </c>
      <c r="H2245" s="0" t="str">
        <f aca="false">IF($C2245="","",IF(COUNTIF('مواد المخزون'!$A$2:$A$90,$C2245)&gt;0,"نعم","لا (خارج الجرد)"))</f>
        <v/>
      </c>
    </row>
    <row r="2246" customFormat="false" ht="15" hidden="false" customHeight="false" outlineLevel="0" collapsed="false">
      <c r="A2246" s="103"/>
      <c r="B2246" s="104"/>
      <c r="C2246" s="104"/>
      <c r="F2246" s="107" t="str">
        <f aca="false">IF(OR($C2246="",$D2246=0),"",$E2246/$D2246)</f>
        <v/>
      </c>
      <c r="H2246" s="0" t="str">
        <f aca="false">IF($C2246="","",IF(COUNTIF('مواد المخزون'!$A$2:$A$90,$C2246)&gt;0,"نعم","لا (خارج الجرد)"))</f>
        <v/>
      </c>
    </row>
    <row r="2247" customFormat="false" ht="15" hidden="false" customHeight="false" outlineLevel="0" collapsed="false">
      <c r="A2247" s="103"/>
      <c r="B2247" s="104"/>
      <c r="C2247" s="104"/>
      <c r="F2247" s="107" t="str">
        <f aca="false">IF(OR($C2247="",$D2247=0),"",$E2247/$D2247)</f>
        <v/>
      </c>
      <c r="H2247" s="0" t="str">
        <f aca="false">IF($C2247="","",IF(COUNTIF('مواد المخزون'!$A$2:$A$90,$C2247)&gt;0,"نعم","لا (خارج الجرد)"))</f>
        <v/>
      </c>
    </row>
    <row r="2248" customFormat="false" ht="15" hidden="false" customHeight="false" outlineLevel="0" collapsed="false">
      <c r="A2248" s="103"/>
      <c r="B2248" s="104"/>
      <c r="C2248" s="104"/>
      <c r="F2248" s="107" t="str">
        <f aca="false">IF(OR($C2248="",$D2248=0),"",$E2248/$D2248)</f>
        <v/>
      </c>
      <c r="H2248" s="0" t="str">
        <f aca="false">IF($C2248="","",IF(COUNTIF('مواد المخزون'!$A$2:$A$90,$C2248)&gt;0,"نعم","لا (خارج الجرد)"))</f>
        <v/>
      </c>
    </row>
    <row r="2249" customFormat="false" ht="15" hidden="false" customHeight="false" outlineLevel="0" collapsed="false">
      <c r="A2249" s="103"/>
      <c r="B2249" s="104"/>
      <c r="C2249" s="104"/>
      <c r="F2249" s="107" t="str">
        <f aca="false">IF(OR($C2249="",$D2249=0),"",$E2249/$D2249)</f>
        <v/>
      </c>
      <c r="H2249" s="0" t="str">
        <f aca="false">IF($C2249="","",IF(COUNTIF('مواد المخزون'!$A$2:$A$90,$C2249)&gt;0,"نعم","لا (خارج الجرد)"))</f>
        <v/>
      </c>
    </row>
    <row r="2250" customFormat="false" ht="15" hidden="false" customHeight="false" outlineLevel="0" collapsed="false">
      <c r="A2250" s="103"/>
      <c r="B2250" s="104"/>
      <c r="C2250" s="104"/>
      <c r="F2250" s="107" t="str">
        <f aca="false">IF(OR($C2250="",$D2250=0),"",$E2250/$D2250)</f>
        <v/>
      </c>
      <c r="H2250" s="0" t="str">
        <f aca="false">IF($C2250="","",IF(COUNTIF('مواد المخزون'!$A$2:$A$90,$C2250)&gt;0,"نعم","لا (خارج الجرد)"))</f>
        <v/>
      </c>
    </row>
    <row r="2251" customFormat="false" ht="15" hidden="false" customHeight="false" outlineLevel="0" collapsed="false">
      <c r="A2251" s="103"/>
      <c r="B2251" s="104"/>
      <c r="C2251" s="104"/>
      <c r="F2251" s="107" t="str">
        <f aca="false">IF(OR($C2251="",$D2251=0),"",$E2251/$D2251)</f>
        <v/>
      </c>
      <c r="H2251" s="0" t="str">
        <f aca="false">IF($C2251="","",IF(COUNTIF('مواد المخزون'!$A$2:$A$90,$C2251)&gt;0,"نعم","لا (خارج الجرد)"))</f>
        <v/>
      </c>
    </row>
    <row r="2252" customFormat="false" ht="15" hidden="false" customHeight="false" outlineLevel="0" collapsed="false">
      <c r="A2252" s="103"/>
      <c r="B2252" s="104"/>
      <c r="C2252" s="104"/>
      <c r="F2252" s="107" t="str">
        <f aca="false">IF(OR($C2252="",$D2252=0),"",$E2252/$D2252)</f>
        <v/>
      </c>
      <c r="H2252" s="0" t="str">
        <f aca="false">IF($C2252="","",IF(COUNTIF('مواد المخزون'!$A$2:$A$90,$C2252)&gt;0,"نعم","لا (خارج الجرد)"))</f>
        <v/>
      </c>
    </row>
    <row r="2253" customFormat="false" ht="15" hidden="false" customHeight="false" outlineLevel="0" collapsed="false">
      <c r="A2253" s="103"/>
      <c r="B2253" s="104"/>
      <c r="C2253" s="104"/>
      <c r="F2253" s="107" t="str">
        <f aca="false">IF(OR($C2253="",$D2253=0),"",$E2253/$D2253)</f>
        <v/>
      </c>
      <c r="H2253" s="0" t="str">
        <f aca="false">IF($C2253="","",IF(COUNTIF('مواد المخزون'!$A$2:$A$90,$C2253)&gt;0,"نعم","لا (خارج الجرد)"))</f>
        <v/>
      </c>
    </row>
    <row r="2254" customFormat="false" ht="15" hidden="false" customHeight="false" outlineLevel="0" collapsed="false">
      <c r="A2254" s="103"/>
      <c r="B2254" s="104"/>
      <c r="C2254" s="104"/>
      <c r="F2254" s="107" t="str">
        <f aca="false">IF(OR($C2254="",$D2254=0),"",$E2254/$D2254)</f>
        <v/>
      </c>
      <c r="H2254" s="0" t="str">
        <f aca="false">IF($C2254="","",IF(COUNTIF('مواد المخزون'!$A$2:$A$90,$C2254)&gt;0,"نعم","لا (خارج الجرد)"))</f>
        <v/>
      </c>
    </row>
    <row r="2255" customFormat="false" ht="15" hidden="false" customHeight="false" outlineLevel="0" collapsed="false">
      <c r="A2255" s="103"/>
      <c r="B2255" s="104"/>
      <c r="C2255" s="104"/>
      <c r="F2255" s="107" t="str">
        <f aca="false">IF(OR($C2255="",$D2255=0),"",$E2255/$D2255)</f>
        <v/>
      </c>
      <c r="H2255" s="0" t="str">
        <f aca="false">IF($C2255="","",IF(COUNTIF('مواد المخزون'!$A$2:$A$90,$C2255)&gt;0,"نعم","لا (خارج الجرد)"))</f>
        <v/>
      </c>
    </row>
    <row r="2256" customFormat="false" ht="15" hidden="false" customHeight="false" outlineLevel="0" collapsed="false">
      <c r="A2256" s="103"/>
      <c r="B2256" s="104"/>
      <c r="C2256" s="104"/>
      <c r="F2256" s="107" t="str">
        <f aca="false">IF(OR($C2256="",$D2256=0),"",$E2256/$D2256)</f>
        <v/>
      </c>
      <c r="H2256" s="0" t="str">
        <f aca="false">IF($C2256="","",IF(COUNTIF('مواد المخزون'!$A$2:$A$90,$C2256)&gt;0,"نعم","لا (خارج الجرد)"))</f>
        <v/>
      </c>
    </row>
    <row r="2257" customFormat="false" ht="15" hidden="false" customHeight="false" outlineLevel="0" collapsed="false">
      <c r="A2257" s="103"/>
      <c r="B2257" s="104"/>
      <c r="C2257" s="104"/>
      <c r="F2257" s="107" t="str">
        <f aca="false">IF(OR($C2257="",$D2257=0),"",$E2257/$D2257)</f>
        <v/>
      </c>
      <c r="H2257" s="0" t="str">
        <f aca="false">IF($C2257="","",IF(COUNTIF('مواد المخزون'!$A$2:$A$90,$C2257)&gt;0,"نعم","لا (خارج الجرد)"))</f>
        <v/>
      </c>
    </row>
    <row r="2258" customFormat="false" ht="15" hidden="false" customHeight="false" outlineLevel="0" collapsed="false">
      <c r="A2258" s="103"/>
      <c r="B2258" s="104"/>
      <c r="C2258" s="104"/>
      <c r="F2258" s="107" t="str">
        <f aca="false">IF(OR($C2258="",$D2258=0),"",$E2258/$D2258)</f>
        <v/>
      </c>
      <c r="H2258" s="0" t="str">
        <f aca="false">IF($C2258="","",IF(COUNTIF('مواد المخزون'!$A$2:$A$90,$C2258)&gt;0,"نعم","لا (خارج الجرد)"))</f>
        <v/>
      </c>
    </row>
    <row r="2259" customFormat="false" ht="15" hidden="false" customHeight="false" outlineLevel="0" collapsed="false">
      <c r="A2259" s="103"/>
      <c r="B2259" s="104"/>
      <c r="C2259" s="104"/>
      <c r="F2259" s="107" t="str">
        <f aca="false">IF(OR($C2259="",$D2259=0),"",$E2259/$D2259)</f>
        <v/>
      </c>
      <c r="H2259" s="0" t="str">
        <f aca="false">IF($C2259="","",IF(COUNTIF('مواد المخزون'!$A$2:$A$90,$C2259)&gt;0,"نعم","لا (خارج الجرد)"))</f>
        <v/>
      </c>
    </row>
    <row r="2260" customFormat="false" ht="15" hidden="false" customHeight="false" outlineLevel="0" collapsed="false">
      <c r="A2260" s="103"/>
      <c r="B2260" s="104"/>
      <c r="C2260" s="104"/>
      <c r="F2260" s="107" t="str">
        <f aca="false">IF(OR($C2260="",$D2260=0),"",$E2260/$D2260)</f>
        <v/>
      </c>
      <c r="H2260" s="0" t="str">
        <f aca="false">IF($C2260="","",IF(COUNTIF('مواد المخزون'!$A$2:$A$90,$C2260)&gt;0,"نعم","لا (خارج الجرد)"))</f>
        <v/>
      </c>
    </row>
    <row r="2261" customFormat="false" ht="15" hidden="false" customHeight="false" outlineLevel="0" collapsed="false">
      <c r="A2261" s="103"/>
      <c r="B2261" s="104"/>
      <c r="C2261" s="104"/>
      <c r="F2261" s="107" t="str">
        <f aca="false">IF(OR($C2261="",$D2261=0),"",$E2261/$D2261)</f>
        <v/>
      </c>
      <c r="H2261" s="0" t="str">
        <f aca="false">IF($C2261="","",IF(COUNTIF('مواد المخزون'!$A$2:$A$90,$C2261)&gt;0,"نعم","لا (خارج الجرد)"))</f>
        <v/>
      </c>
    </row>
    <row r="2262" customFormat="false" ht="15" hidden="false" customHeight="false" outlineLevel="0" collapsed="false">
      <c r="A2262" s="103"/>
      <c r="B2262" s="104"/>
      <c r="C2262" s="104"/>
      <c r="F2262" s="107" t="str">
        <f aca="false">IF(OR($C2262="",$D2262=0),"",$E2262/$D2262)</f>
        <v/>
      </c>
      <c r="H2262" s="0" t="str">
        <f aca="false">IF($C2262="","",IF(COUNTIF('مواد المخزون'!$A$2:$A$90,$C2262)&gt;0,"نعم","لا (خارج الجرد)"))</f>
        <v/>
      </c>
    </row>
    <row r="2263" customFormat="false" ht="15" hidden="false" customHeight="false" outlineLevel="0" collapsed="false">
      <c r="A2263" s="103"/>
      <c r="B2263" s="104"/>
      <c r="C2263" s="104"/>
      <c r="F2263" s="107" t="str">
        <f aca="false">IF(OR($C2263="",$D2263=0),"",$E2263/$D2263)</f>
        <v/>
      </c>
      <c r="H2263" s="0" t="str">
        <f aca="false">IF($C2263="","",IF(COUNTIF('مواد المخزون'!$A$2:$A$90,$C2263)&gt;0,"نعم","لا (خارج الجرد)"))</f>
        <v/>
      </c>
    </row>
    <row r="2264" customFormat="false" ht="15" hidden="false" customHeight="false" outlineLevel="0" collapsed="false">
      <c r="A2264" s="103"/>
      <c r="B2264" s="104"/>
      <c r="C2264" s="104"/>
      <c r="F2264" s="107" t="str">
        <f aca="false">IF(OR($C2264="",$D2264=0),"",$E2264/$D2264)</f>
        <v/>
      </c>
      <c r="H2264" s="0" t="str">
        <f aca="false">IF($C2264="","",IF(COUNTIF('مواد المخزون'!$A$2:$A$90,$C2264)&gt;0,"نعم","لا (خارج الجرد)"))</f>
        <v/>
      </c>
    </row>
    <row r="2265" customFormat="false" ht="15" hidden="false" customHeight="false" outlineLevel="0" collapsed="false">
      <c r="A2265" s="103"/>
      <c r="B2265" s="104"/>
      <c r="C2265" s="104"/>
      <c r="F2265" s="107" t="str">
        <f aca="false">IF(OR($C2265="",$D2265=0),"",$E2265/$D2265)</f>
        <v/>
      </c>
      <c r="H2265" s="0" t="str">
        <f aca="false">IF($C2265="","",IF(COUNTIF('مواد المخزون'!$A$2:$A$90,$C2265)&gt;0,"نعم","لا (خارج الجرد)"))</f>
        <v/>
      </c>
    </row>
    <row r="2266" customFormat="false" ht="15" hidden="false" customHeight="false" outlineLevel="0" collapsed="false">
      <c r="A2266" s="103"/>
      <c r="B2266" s="104"/>
      <c r="C2266" s="104"/>
      <c r="F2266" s="107" t="str">
        <f aca="false">IF(OR($C2266="",$D2266=0),"",$E2266/$D2266)</f>
        <v/>
      </c>
      <c r="H2266" s="0" t="str">
        <f aca="false">IF($C2266="","",IF(COUNTIF('مواد المخزون'!$A$2:$A$90,$C2266)&gt;0,"نعم","لا (خارج الجرد)"))</f>
        <v/>
      </c>
    </row>
    <row r="2267" customFormat="false" ht="15" hidden="false" customHeight="false" outlineLevel="0" collapsed="false">
      <c r="A2267" s="103"/>
      <c r="B2267" s="104"/>
      <c r="C2267" s="104"/>
      <c r="F2267" s="107" t="str">
        <f aca="false">IF(OR($C2267="",$D2267=0),"",$E2267/$D2267)</f>
        <v/>
      </c>
      <c r="H2267" s="0" t="str">
        <f aca="false">IF($C2267="","",IF(COUNTIF('مواد المخزون'!$A$2:$A$90,$C2267)&gt;0,"نعم","لا (خارج الجرد)"))</f>
        <v/>
      </c>
    </row>
    <row r="2268" customFormat="false" ht="15" hidden="false" customHeight="false" outlineLevel="0" collapsed="false">
      <c r="A2268" s="103"/>
      <c r="B2268" s="104"/>
      <c r="C2268" s="104"/>
      <c r="F2268" s="107" t="str">
        <f aca="false">IF(OR($C2268="",$D2268=0),"",$E2268/$D2268)</f>
        <v/>
      </c>
      <c r="H2268" s="0" t="str">
        <f aca="false">IF($C2268="","",IF(COUNTIF('مواد المخزون'!$A$2:$A$90,$C2268)&gt;0,"نعم","لا (خارج الجرد)"))</f>
        <v/>
      </c>
    </row>
    <row r="2269" customFormat="false" ht="15" hidden="false" customHeight="false" outlineLevel="0" collapsed="false">
      <c r="A2269" s="103"/>
      <c r="B2269" s="104"/>
      <c r="C2269" s="104"/>
      <c r="F2269" s="107" t="str">
        <f aca="false">IF(OR($C2269="",$D2269=0),"",$E2269/$D2269)</f>
        <v/>
      </c>
      <c r="H2269" s="0" t="str">
        <f aca="false">IF($C2269="","",IF(COUNTIF('مواد المخزون'!$A$2:$A$90,$C2269)&gt;0,"نعم","لا (خارج الجرد)"))</f>
        <v/>
      </c>
    </row>
    <row r="2270" customFormat="false" ht="15" hidden="false" customHeight="false" outlineLevel="0" collapsed="false">
      <c r="A2270" s="103"/>
      <c r="B2270" s="104"/>
      <c r="C2270" s="104"/>
      <c r="F2270" s="107" t="str">
        <f aca="false">IF(OR($C2270="",$D2270=0),"",$E2270/$D2270)</f>
        <v/>
      </c>
      <c r="H2270" s="0" t="str">
        <f aca="false">IF($C2270="","",IF(COUNTIF('مواد المخزون'!$A$2:$A$90,$C2270)&gt;0,"نعم","لا (خارج الجرد)"))</f>
        <v/>
      </c>
    </row>
    <row r="2271" customFormat="false" ht="15" hidden="false" customHeight="false" outlineLevel="0" collapsed="false">
      <c r="A2271" s="103"/>
      <c r="B2271" s="104"/>
      <c r="C2271" s="104"/>
      <c r="F2271" s="107" t="str">
        <f aca="false">IF(OR($C2271="",$D2271=0),"",$E2271/$D2271)</f>
        <v/>
      </c>
      <c r="H2271" s="0" t="str">
        <f aca="false">IF($C2271="","",IF(COUNTIF('مواد المخزون'!$A$2:$A$90,$C2271)&gt;0,"نعم","لا (خارج الجرد)"))</f>
        <v/>
      </c>
    </row>
    <row r="2272" customFormat="false" ht="15" hidden="false" customHeight="false" outlineLevel="0" collapsed="false">
      <c r="A2272" s="103"/>
      <c r="B2272" s="104"/>
      <c r="C2272" s="104"/>
      <c r="F2272" s="107" t="str">
        <f aca="false">IF(OR($C2272="",$D2272=0),"",$E2272/$D2272)</f>
        <v/>
      </c>
      <c r="H2272" s="0" t="str">
        <f aca="false">IF($C2272="","",IF(COUNTIF('مواد المخزون'!$A$2:$A$90,$C2272)&gt;0,"نعم","لا (خارج الجرد)"))</f>
        <v/>
      </c>
    </row>
    <row r="2273" customFormat="false" ht="15" hidden="false" customHeight="false" outlineLevel="0" collapsed="false">
      <c r="A2273" s="103"/>
      <c r="B2273" s="104"/>
      <c r="C2273" s="104"/>
      <c r="F2273" s="107" t="str">
        <f aca="false">IF(OR($C2273="",$D2273=0),"",$E2273/$D2273)</f>
        <v/>
      </c>
      <c r="H2273" s="0" t="str">
        <f aca="false">IF($C2273="","",IF(COUNTIF('مواد المخزون'!$A$2:$A$90,$C2273)&gt;0,"نعم","لا (خارج الجرد)"))</f>
        <v/>
      </c>
    </row>
    <row r="2274" customFormat="false" ht="15" hidden="false" customHeight="false" outlineLevel="0" collapsed="false">
      <c r="A2274" s="103"/>
      <c r="B2274" s="104"/>
      <c r="C2274" s="104"/>
      <c r="F2274" s="107" t="str">
        <f aca="false">IF(OR($C2274="",$D2274=0),"",$E2274/$D2274)</f>
        <v/>
      </c>
      <c r="H2274" s="0" t="str">
        <f aca="false">IF($C2274="","",IF(COUNTIF('مواد المخزون'!$A$2:$A$90,$C2274)&gt;0,"نعم","لا (خارج الجرد)"))</f>
        <v/>
      </c>
    </row>
    <row r="2275" customFormat="false" ht="15" hidden="false" customHeight="false" outlineLevel="0" collapsed="false">
      <c r="A2275" s="103"/>
      <c r="B2275" s="104"/>
      <c r="C2275" s="104"/>
      <c r="F2275" s="107" t="str">
        <f aca="false">IF(OR($C2275="",$D2275=0),"",$E2275/$D2275)</f>
        <v/>
      </c>
      <c r="H2275" s="0" t="str">
        <f aca="false">IF($C2275="","",IF(COUNTIF('مواد المخزون'!$A$2:$A$90,$C2275)&gt;0,"نعم","لا (خارج الجرد)"))</f>
        <v/>
      </c>
    </row>
    <row r="2276" customFormat="false" ht="15" hidden="false" customHeight="false" outlineLevel="0" collapsed="false">
      <c r="A2276" s="103"/>
      <c r="B2276" s="104"/>
      <c r="C2276" s="104"/>
      <c r="F2276" s="107" t="str">
        <f aca="false">IF(OR($C2276="",$D2276=0),"",$E2276/$D2276)</f>
        <v/>
      </c>
      <c r="H2276" s="0" t="str">
        <f aca="false">IF($C2276="","",IF(COUNTIF('مواد المخزون'!$A$2:$A$90,$C2276)&gt;0,"نعم","لا (خارج الجرد)"))</f>
        <v/>
      </c>
    </row>
    <row r="2277" customFormat="false" ht="15" hidden="false" customHeight="false" outlineLevel="0" collapsed="false">
      <c r="A2277" s="103"/>
      <c r="B2277" s="104"/>
      <c r="C2277" s="104"/>
      <c r="F2277" s="107" t="str">
        <f aca="false">IF(OR($C2277="",$D2277=0),"",$E2277/$D2277)</f>
        <v/>
      </c>
      <c r="H2277" s="0" t="str">
        <f aca="false">IF($C2277="","",IF(COUNTIF('مواد المخزون'!$A$2:$A$90,$C2277)&gt;0,"نعم","لا (خارج الجرد)"))</f>
        <v/>
      </c>
    </row>
    <row r="2278" customFormat="false" ht="15" hidden="false" customHeight="false" outlineLevel="0" collapsed="false">
      <c r="A2278" s="103"/>
      <c r="B2278" s="104"/>
      <c r="C2278" s="104"/>
      <c r="F2278" s="107" t="str">
        <f aca="false">IF(OR($C2278="",$D2278=0),"",$E2278/$D2278)</f>
        <v/>
      </c>
      <c r="H2278" s="0" t="str">
        <f aca="false">IF($C2278="","",IF(COUNTIF('مواد المخزون'!$A$2:$A$90,$C2278)&gt;0,"نعم","لا (خارج الجرد)"))</f>
        <v/>
      </c>
    </row>
    <row r="2279" customFormat="false" ht="15" hidden="false" customHeight="false" outlineLevel="0" collapsed="false">
      <c r="A2279" s="103"/>
      <c r="B2279" s="104"/>
      <c r="C2279" s="104"/>
      <c r="F2279" s="107" t="str">
        <f aca="false">IF(OR($C2279="",$D2279=0),"",$E2279/$D2279)</f>
        <v/>
      </c>
      <c r="H2279" s="0" t="str">
        <f aca="false">IF($C2279="","",IF(COUNTIF('مواد المخزون'!$A$2:$A$90,$C2279)&gt;0,"نعم","لا (خارج الجرد)"))</f>
        <v/>
      </c>
    </row>
    <row r="2280" customFormat="false" ht="15" hidden="false" customHeight="false" outlineLevel="0" collapsed="false">
      <c r="A2280" s="103"/>
      <c r="B2280" s="104"/>
      <c r="C2280" s="104"/>
      <c r="F2280" s="107" t="str">
        <f aca="false">IF(OR($C2280="",$D2280=0),"",$E2280/$D2280)</f>
        <v/>
      </c>
      <c r="H2280" s="0" t="str">
        <f aca="false">IF($C2280="","",IF(COUNTIF('مواد المخزون'!$A$2:$A$90,$C2280)&gt;0,"نعم","لا (خارج الجرد)"))</f>
        <v/>
      </c>
    </row>
    <row r="2281" customFormat="false" ht="15" hidden="false" customHeight="false" outlineLevel="0" collapsed="false">
      <c r="A2281" s="103"/>
      <c r="B2281" s="104"/>
      <c r="C2281" s="104"/>
      <c r="F2281" s="107" t="str">
        <f aca="false">IF(OR($C2281="",$D2281=0),"",$E2281/$D2281)</f>
        <v/>
      </c>
      <c r="H2281" s="0" t="str">
        <f aca="false">IF($C2281="","",IF(COUNTIF('مواد المخزون'!$A$2:$A$90,$C2281)&gt;0,"نعم","لا (خارج الجرد)"))</f>
        <v/>
      </c>
    </row>
    <row r="2282" customFormat="false" ht="15" hidden="false" customHeight="false" outlineLevel="0" collapsed="false">
      <c r="A2282" s="103"/>
      <c r="B2282" s="104"/>
      <c r="C2282" s="104"/>
      <c r="F2282" s="107" t="str">
        <f aca="false">IF(OR($C2282="",$D2282=0),"",$E2282/$D2282)</f>
        <v/>
      </c>
      <c r="H2282" s="0" t="str">
        <f aca="false">IF($C2282="","",IF(COUNTIF('مواد المخزون'!$A$2:$A$90,$C2282)&gt;0,"نعم","لا (خارج الجرد)"))</f>
        <v/>
      </c>
    </row>
    <row r="2283" customFormat="false" ht="15" hidden="false" customHeight="false" outlineLevel="0" collapsed="false">
      <c r="A2283" s="103"/>
      <c r="B2283" s="104"/>
      <c r="C2283" s="104"/>
      <c r="F2283" s="107" t="str">
        <f aca="false">IF(OR($C2283="",$D2283=0),"",$E2283/$D2283)</f>
        <v/>
      </c>
      <c r="H2283" s="0" t="str">
        <f aca="false">IF($C2283="","",IF(COUNTIF('مواد المخزون'!$A$2:$A$90,$C2283)&gt;0,"نعم","لا (خارج الجرد)"))</f>
        <v/>
      </c>
    </row>
    <row r="2284" customFormat="false" ht="15" hidden="false" customHeight="false" outlineLevel="0" collapsed="false">
      <c r="A2284" s="103"/>
      <c r="B2284" s="104"/>
      <c r="C2284" s="104"/>
      <c r="F2284" s="107" t="str">
        <f aca="false">IF(OR($C2284="",$D2284=0),"",$E2284/$D2284)</f>
        <v/>
      </c>
      <c r="H2284" s="0" t="str">
        <f aca="false">IF($C2284="","",IF(COUNTIF('مواد المخزون'!$A$2:$A$90,$C2284)&gt;0,"نعم","لا (خارج الجرد)"))</f>
        <v/>
      </c>
    </row>
    <row r="2285" customFormat="false" ht="15" hidden="false" customHeight="false" outlineLevel="0" collapsed="false">
      <c r="A2285" s="103"/>
      <c r="B2285" s="104"/>
      <c r="C2285" s="104"/>
      <c r="F2285" s="107" t="str">
        <f aca="false">IF(OR($C2285="",$D2285=0),"",$E2285/$D2285)</f>
        <v/>
      </c>
      <c r="H2285" s="0" t="str">
        <f aca="false">IF($C2285="","",IF(COUNTIF('مواد المخزون'!$A$2:$A$90,$C2285)&gt;0,"نعم","لا (خارج الجرد)"))</f>
        <v/>
      </c>
    </row>
    <row r="2286" customFormat="false" ht="15" hidden="false" customHeight="false" outlineLevel="0" collapsed="false">
      <c r="A2286" s="103"/>
      <c r="B2286" s="104"/>
      <c r="C2286" s="104"/>
      <c r="F2286" s="107" t="str">
        <f aca="false">IF(OR($C2286="",$D2286=0),"",$E2286/$D2286)</f>
        <v/>
      </c>
      <c r="H2286" s="0" t="str">
        <f aca="false">IF($C2286="","",IF(COUNTIF('مواد المخزون'!$A$2:$A$90,$C2286)&gt;0,"نعم","لا (خارج الجرد)"))</f>
        <v/>
      </c>
    </row>
    <row r="2287" customFormat="false" ht="15" hidden="false" customHeight="false" outlineLevel="0" collapsed="false">
      <c r="A2287" s="103"/>
      <c r="B2287" s="104"/>
      <c r="C2287" s="104"/>
      <c r="F2287" s="107" t="str">
        <f aca="false">IF(OR($C2287="",$D2287=0),"",$E2287/$D2287)</f>
        <v/>
      </c>
      <c r="H2287" s="0" t="str">
        <f aca="false">IF($C2287="","",IF(COUNTIF('مواد المخزون'!$A$2:$A$90,$C2287)&gt;0,"نعم","لا (خارج الجرد)"))</f>
        <v/>
      </c>
    </row>
    <row r="2288" customFormat="false" ht="15" hidden="false" customHeight="false" outlineLevel="0" collapsed="false">
      <c r="A2288" s="103"/>
      <c r="B2288" s="104"/>
      <c r="C2288" s="104"/>
      <c r="F2288" s="107" t="str">
        <f aca="false">IF(OR($C2288="",$D2288=0),"",$E2288/$D2288)</f>
        <v/>
      </c>
      <c r="H2288" s="0" t="str">
        <f aca="false">IF($C2288="","",IF(COUNTIF('مواد المخزون'!$A$2:$A$90,$C2288)&gt;0,"نعم","لا (خارج الجرد)"))</f>
        <v/>
      </c>
    </row>
    <row r="2289" customFormat="false" ht="15" hidden="false" customHeight="false" outlineLevel="0" collapsed="false">
      <c r="A2289" s="103"/>
      <c r="B2289" s="104"/>
      <c r="C2289" s="104"/>
      <c r="F2289" s="107" t="str">
        <f aca="false">IF(OR($C2289="",$D2289=0),"",$E2289/$D2289)</f>
        <v/>
      </c>
      <c r="H2289" s="0" t="str">
        <f aca="false">IF($C2289="","",IF(COUNTIF('مواد المخزون'!$A$2:$A$90,$C2289)&gt;0,"نعم","لا (خارج الجرد)"))</f>
        <v/>
      </c>
    </row>
    <row r="2290" customFormat="false" ht="15" hidden="false" customHeight="false" outlineLevel="0" collapsed="false">
      <c r="A2290" s="103"/>
      <c r="B2290" s="104"/>
      <c r="C2290" s="104"/>
      <c r="F2290" s="107" t="str">
        <f aca="false">IF(OR($C2290="",$D2290=0),"",$E2290/$D2290)</f>
        <v/>
      </c>
      <c r="H2290" s="0" t="str">
        <f aca="false">IF($C2290="","",IF(COUNTIF('مواد المخزون'!$A$2:$A$90,$C2290)&gt;0,"نعم","لا (خارج الجرد)"))</f>
        <v/>
      </c>
    </row>
    <row r="2291" customFormat="false" ht="15" hidden="false" customHeight="false" outlineLevel="0" collapsed="false">
      <c r="A2291" s="103"/>
      <c r="B2291" s="104"/>
      <c r="C2291" s="104"/>
      <c r="F2291" s="107" t="str">
        <f aca="false">IF(OR($C2291="",$D2291=0),"",$E2291/$D2291)</f>
        <v/>
      </c>
      <c r="H2291" s="0" t="str">
        <f aca="false">IF($C2291="","",IF(COUNTIF('مواد المخزون'!$A$2:$A$90,$C2291)&gt;0,"نعم","لا (خارج الجرد)"))</f>
        <v/>
      </c>
    </row>
    <row r="2292" customFormat="false" ht="15" hidden="false" customHeight="false" outlineLevel="0" collapsed="false">
      <c r="A2292" s="103"/>
      <c r="B2292" s="104"/>
      <c r="C2292" s="104"/>
      <c r="F2292" s="107" t="str">
        <f aca="false">IF(OR($C2292="",$D2292=0),"",$E2292/$D2292)</f>
        <v/>
      </c>
      <c r="H2292" s="0" t="str">
        <f aca="false">IF($C2292="","",IF(COUNTIF('مواد المخزون'!$A$2:$A$90,$C2292)&gt;0,"نعم","لا (خارج الجرد)"))</f>
        <v/>
      </c>
    </row>
    <row r="2293" customFormat="false" ht="15" hidden="false" customHeight="false" outlineLevel="0" collapsed="false">
      <c r="A2293" s="103"/>
      <c r="B2293" s="104"/>
      <c r="C2293" s="104"/>
      <c r="F2293" s="107" t="str">
        <f aca="false">IF(OR($C2293="",$D2293=0),"",$E2293/$D2293)</f>
        <v/>
      </c>
      <c r="H2293" s="0" t="str">
        <f aca="false">IF($C2293="","",IF(COUNTIF('مواد المخزون'!$A$2:$A$90,$C2293)&gt;0,"نعم","لا (خارج الجرد)"))</f>
        <v/>
      </c>
    </row>
    <row r="2294" customFormat="false" ht="15" hidden="false" customHeight="false" outlineLevel="0" collapsed="false">
      <c r="A2294" s="103"/>
      <c r="B2294" s="104"/>
      <c r="C2294" s="104"/>
      <c r="F2294" s="107" t="str">
        <f aca="false">IF(OR($C2294="",$D2294=0),"",$E2294/$D2294)</f>
        <v/>
      </c>
      <c r="H2294" s="0" t="str">
        <f aca="false">IF($C2294="","",IF(COUNTIF('مواد المخزون'!$A$2:$A$90,$C2294)&gt;0,"نعم","لا (خارج الجرد)"))</f>
        <v/>
      </c>
    </row>
    <row r="2295" customFormat="false" ht="15" hidden="false" customHeight="false" outlineLevel="0" collapsed="false">
      <c r="A2295" s="103"/>
      <c r="B2295" s="104"/>
      <c r="C2295" s="104"/>
      <c r="F2295" s="107" t="str">
        <f aca="false">IF(OR($C2295="",$D2295=0),"",$E2295/$D2295)</f>
        <v/>
      </c>
      <c r="H2295" s="0" t="str">
        <f aca="false">IF($C2295="","",IF(COUNTIF('مواد المخزون'!$A$2:$A$90,$C2295)&gt;0,"نعم","لا (خارج الجرد)"))</f>
        <v/>
      </c>
    </row>
    <row r="2296" customFormat="false" ht="15" hidden="false" customHeight="false" outlineLevel="0" collapsed="false">
      <c r="A2296" s="103"/>
      <c r="B2296" s="104"/>
      <c r="C2296" s="104"/>
      <c r="F2296" s="107" t="str">
        <f aca="false">IF(OR($C2296="",$D2296=0),"",$E2296/$D2296)</f>
        <v/>
      </c>
      <c r="H2296" s="0" t="str">
        <f aca="false">IF($C2296="","",IF(COUNTIF('مواد المخزون'!$A$2:$A$90,$C2296)&gt;0,"نعم","لا (خارج الجرد)"))</f>
        <v/>
      </c>
    </row>
    <row r="2297" customFormat="false" ht="15" hidden="false" customHeight="false" outlineLevel="0" collapsed="false">
      <c r="A2297" s="103"/>
      <c r="B2297" s="104"/>
      <c r="C2297" s="104"/>
      <c r="F2297" s="107" t="str">
        <f aca="false">IF(OR($C2297="",$D2297=0),"",$E2297/$D2297)</f>
        <v/>
      </c>
      <c r="H2297" s="0" t="str">
        <f aca="false">IF($C2297="","",IF(COUNTIF('مواد المخزون'!$A$2:$A$90,$C2297)&gt;0,"نعم","لا (خارج الجرد)"))</f>
        <v/>
      </c>
    </row>
    <row r="2298" customFormat="false" ht="15" hidden="false" customHeight="false" outlineLevel="0" collapsed="false">
      <c r="A2298" s="103"/>
      <c r="B2298" s="104"/>
      <c r="C2298" s="104"/>
      <c r="F2298" s="107" t="str">
        <f aca="false">IF(OR($C2298="",$D2298=0),"",$E2298/$D2298)</f>
        <v/>
      </c>
      <c r="H2298" s="0" t="str">
        <f aca="false">IF($C2298="","",IF(COUNTIF('مواد المخزون'!$A$2:$A$90,$C2298)&gt;0,"نعم","لا (خارج الجرد)"))</f>
        <v/>
      </c>
    </row>
    <row r="2299" customFormat="false" ht="15" hidden="false" customHeight="false" outlineLevel="0" collapsed="false">
      <c r="A2299" s="103"/>
      <c r="B2299" s="104"/>
      <c r="C2299" s="104"/>
      <c r="F2299" s="107" t="str">
        <f aca="false">IF(OR($C2299="",$D2299=0),"",$E2299/$D2299)</f>
        <v/>
      </c>
      <c r="H2299" s="0" t="str">
        <f aca="false">IF($C2299="","",IF(COUNTIF('مواد المخزون'!$A$2:$A$90,$C2299)&gt;0,"نعم","لا (خارج الجرد)"))</f>
        <v/>
      </c>
    </row>
    <row r="2300" customFormat="false" ht="15" hidden="false" customHeight="false" outlineLevel="0" collapsed="false">
      <c r="A2300" s="103"/>
      <c r="B2300" s="104"/>
      <c r="C2300" s="104"/>
      <c r="F2300" s="107" t="str">
        <f aca="false">IF(OR($C2300="",$D2300=0),"",$E2300/$D2300)</f>
        <v/>
      </c>
      <c r="H2300" s="0" t="str">
        <f aca="false">IF($C2300="","",IF(COUNTIF('مواد المخزون'!$A$2:$A$90,$C2300)&gt;0,"نعم","لا (خارج الجرد)"))</f>
        <v/>
      </c>
    </row>
    <row r="2301" customFormat="false" ht="15" hidden="false" customHeight="false" outlineLevel="0" collapsed="false">
      <c r="A2301" s="103"/>
      <c r="B2301" s="104"/>
      <c r="C2301" s="104"/>
      <c r="F2301" s="107" t="str">
        <f aca="false">IF(OR($C2301="",$D2301=0),"",$E2301/$D2301)</f>
        <v/>
      </c>
      <c r="H2301" s="0" t="str">
        <f aca="false">IF($C2301="","",IF(COUNTIF('مواد المخزون'!$A$2:$A$90,$C2301)&gt;0,"نعم","لا (خارج الجرد)"))</f>
        <v/>
      </c>
    </row>
    <row r="2302" customFormat="false" ht="15" hidden="false" customHeight="false" outlineLevel="0" collapsed="false">
      <c r="A2302" s="103"/>
      <c r="B2302" s="104"/>
      <c r="C2302" s="104"/>
      <c r="F2302" s="107" t="str">
        <f aca="false">IF(OR($C2302="",$D2302=0),"",$E2302/$D2302)</f>
        <v/>
      </c>
      <c r="H2302" s="0" t="str">
        <f aca="false">IF($C2302="","",IF(COUNTIF('مواد المخزون'!$A$2:$A$90,$C2302)&gt;0,"نعم","لا (خارج الجرد)"))</f>
        <v/>
      </c>
    </row>
    <row r="2303" customFormat="false" ht="15" hidden="false" customHeight="false" outlineLevel="0" collapsed="false">
      <c r="A2303" s="103"/>
      <c r="B2303" s="104"/>
      <c r="C2303" s="104"/>
      <c r="F2303" s="107" t="str">
        <f aca="false">IF(OR($C2303="",$D2303=0),"",$E2303/$D2303)</f>
        <v/>
      </c>
      <c r="H2303" s="0" t="str">
        <f aca="false">IF($C2303="","",IF(COUNTIF('مواد المخزون'!$A$2:$A$90,$C2303)&gt;0,"نعم","لا (خارج الجرد)"))</f>
        <v/>
      </c>
    </row>
    <row r="2304" customFormat="false" ht="15" hidden="false" customHeight="false" outlineLevel="0" collapsed="false">
      <c r="A2304" s="103"/>
      <c r="B2304" s="104"/>
      <c r="C2304" s="104"/>
      <c r="F2304" s="107" t="str">
        <f aca="false">IF(OR($C2304="",$D2304=0),"",$E2304/$D2304)</f>
        <v/>
      </c>
      <c r="H2304" s="0" t="str">
        <f aca="false">IF($C2304="","",IF(COUNTIF('مواد المخزون'!$A$2:$A$90,$C2304)&gt;0,"نعم","لا (خارج الجرد)"))</f>
        <v/>
      </c>
    </row>
    <row r="2305" customFormat="false" ht="15" hidden="false" customHeight="false" outlineLevel="0" collapsed="false">
      <c r="A2305" s="103"/>
      <c r="B2305" s="104"/>
      <c r="C2305" s="104"/>
      <c r="F2305" s="107" t="str">
        <f aca="false">IF(OR($C2305="",$D2305=0),"",$E2305/$D2305)</f>
        <v/>
      </c>
      <c r="H2305" s="0" t="str">
        <f aca="false">IF($C2305="","",IF(COUNTIF('مواد المخزون'!$A$2:$A$90,$C2305)&gt;0,"نعم","لا (خارج الجرد)"))</f>
        <v/>
      </c>
    </row>
    <row r="2306" customFormat="false" ht="15" hidden="false" customHeight="false" outlineLevel="0" collapsed="false">
      <c r="A2306" s="103"/>
      <c r="B2306" s="104"/>
      <c r="C2306" s="104"/>
      <c r="F2306" s="107" t="str">
        <f aca="false">IF(OR($C2306="",$D2306=0),"",$E2306/$D2306)</f>
        <v/>
      </c>
      <c r="H2306" s="0" t="str">
        <f aca="false">IF($C2306="","",IF(COUNTIF('مواد المخزون'!$A$2:$A$90,$C2306)&gt;0,"نعم","لا (خارج الجرد)"))</f>
        <v/>
      </c>
    </row>
    <row r="2307" customFormat="false" ht="15" hidden="false" customHeight="false" outlineLevel="0" collapsed="false">
      <c r="A2307" s="103"/>
      <c r="B2307" s="104"/>
      <c r="C2307" s="104"/>
      <c r="F2307" s="107" t="str">
        <f aca="false">IF(OR($C2307="",$D2307=0),"",$E2307/$D2307)</f>
        <v/>
      </c>
      <c r="H2307" s="0" t="str">
        <f aca="false">IF($C2307="","",IF(COUNTIF('مواد المخزون'!$A$2:$A$90,$C2307)&gt;0,"نعم","لا (خارج الجرد)"))</f>
        <v/>
      </c>
    </row>
    <row r="2308" customFormat="false" ht="15" hidden="false" customHeight="false" outlineLevel="0" collapsed="false">
      <c r="A2308" s="103"/>
      <c r="B2308" s="104"/>
      <c r="C2308" s="104"/>
      <c r="F2308" s="107" t="str">
        <f aca="false">IF(OR($C2308="",$D2308=0),"",$E2308/$D2308)</f>
        <v/>
      </c>
      <c r="H2308" s="0" t="str">
        <f aca="false">IF($C2308="","",IF(COUNTIF('مواد المخزون'!$A$2:$A$90,$C2308)&gt;0,"نعم","لا (خارج الجرد)"))</f>
        <v/>
      </c>
    </row>
    <row r="2309" customFormat="false" ht="15" hidden="false" customHeight="false" outlineLevel="0" collapsed="false">
      <c r="A2309" s="103"/>
      <c r="B2309" s="104"/>
      <c r="C2309" s="104"/>
      <c r="F2309" s="107" t="str">
        <f aca="false">IF(OR($C2309="",$D2309=0),"",$E2309/$D2309)</f>
        <v/>
      </c>
      <c r="H2309" s="0" t="str">
        <f aca="false">IF($C2309="","",IF(COUNTIF('مواد المخزون'!$A$2:$A$90,$C2309)&gt;0,"نعم","لا (خارج الجرد)"))</f>
        <v/>
      </c>
    </row>
    <row r="2310" customFormat="false" ht="15" hidden="false" customHeight="false" outlineLevel="0" collapsed="false">
      <c r="A2310" s="103"/>
      <c r="B2310" s="104"/>
      <c r="C2310" s="104"/>
      <c r="F2310" s="107" t="str">
        <f aca="false">IF(OR($C2310="",$D2310=0),"",$E2310/$D2310)</f>
        <v/>
      </c>
      <c r="H2310" s="0" t="str">
        <f aca="false">IF($C2310="","",IF(COUNTIF('مواد المخزون'!$A$2:$A$90,$C2310)&gt;0,"نعم","لا (خارج الجرد)"))</f>
        <v/>
      </c>
    </row>
    <row r="2311" customFormat="false" ht="15" hidden="false" customHeight="false" outlineLevel="0" collapsed="false">
      <c r="A2311" s="103"/>
      <c r="B2311" s="104"/>
      <c r="C2311" s="104"/>
      <c r="F2311" s="107" t="str">
        <f aca="false">IF(OR($C2311="",$D2311=0),"",$E2311/$D2311)</f>
        <v/>
      </c>
      <c r="H2311" s="0" t="str">
        <f aca="false">IF($C2311="","",IF(COUNTIF('مواد المخزون'!$A$2:$A$90,$C2311)&gt;0,"نعم","لا (خارج الجرد)"))</f>
        <v/>
      </c>
    </row>
    <row r="2312" customFormat="false" ht="15" hidden="false" customHeight="false" outlineLevel="0" collapsed="false">
      <c r="A2312" s="103"/>
      <c r="B2312" s="104"/>
      <c r="C2312" s="104"/>
      <c r="F2312" s="107" t="str">
        <f aca="false">IF(OR($C2312="",$D2312=0),"",$E2312/$D2312)</f>
        <v/>
      </c>
      <c r="H2312" s="0" t="str">
        <f aca="false">IF($C2312="","",IF(COUNTIF('مواد المخزون'!$A$2:$A$90,$C2312)&gt;0,"نعم","لا (خارج الجرد)"))</f>
        <v/>
      </c>
    </row>
    <row r="2313" customFormat="false" ht="15" hidden="false" customHeight="false" outlineLevel="0" collapsed="false">
      <c r="A2313" s="103"/>
      <c r="B2313" s="104"/>
      <c r="C2313" s="104"/>
      <c r="F2313" s="107" t="str">
        <f aca="false">IF(OR($C2313="",$D2313=0),"",$E2313/$D2313)</f>
        <v/>
      </c>
      <c r="H2313" s="0" t="str">
        <f aca="false">IF($C2313="","",IF(COUNTIF('مواد المخزون'!$A$2:$A$90,$C2313)&gt;0,"نعم","لا (خارج الجرد)"))</f>
        <v/>
      </c>
    </row>
    <row r="2314" customFormat="false" ht="15" hidden="false" customHeight="false" outlineLevel="0" collapsed="false">
      <c r="A2314" s="103"/>
      <c r="B2314" s="104"/>
      <c r="C2314" s="104"/>
      <c r="F2314" s="107" t="str">
        <f aca="false">IF(OR($C2314="",$D2314=0),"",$E2314/$D2314)</f>
        <v/>
      </c>
      <c r="H2314" s="0" t="str">
        <f aca="false">IF($C2314="","",IF(COUNTIF('مواد المخزون'!$A$2:$A$90,$C2314)&gt;0,"نعم","لا (خارج الجرد)"))</f>
        <v/>
      </c>
    </row>
    <row r="2315" customFormat="false" ht="15" hidden="false" customHeight="false" outlineLevel="0" collapsed="false">
      <c r="A2315" s="103"/>
      <c r="B2315" s="104"/>
      <c r="C2315" s="104"/>
      <c r="F2315" s="107" t="str">
        <f aca="false">IF(OR($C2315="",$D2315=0),"",$E2315/$D2315)</f>
        <v/>
      </c>
      <c r="H2315" s="0" t="str">
        <f aca="false">IF($C2315="","",IF(COUNTIF('مواد المخزون'!$A$2:$A$90,$C2315)&gt;0,"نعم","لا (خارج الجرد)"))</f>
        <v/>
      </c>
    </row>
    <row r="2316" customFormat="false" ht="15" hidden="false" customHeight="false" outlineLevel="0" collapsed="false">
      <c r="A2316" s="103"/>
      <c r="B2316" s="104"/>
      <c r="C2316" s="104"/>
      <c r="F2316" s="107" t="str">
        <f aca="false">IF(OR($C2316="",$D2316=0),"",$E2316/$D2316)</f>
        <v/>
      </c>
      <c r="H2316" s="0" t="str">
        <f aca="false">IF($C2316="","",IF(COUNTIF('مواد المخزون'!$A$2:$A$90,$C2316)&gt;0,"نعم","لا (خارج الجرد)"))</f>
        <v/>
      </c>
    </row>
    <row r="2317" customFormat="false" ht="15" hidden="false" customHeight="false" outlineLevel="0" collapsed="false">
      <c r="A2317" s="103"/>
      <c r="B2317" s="104"/>
      <c r="C2317" s="104"/>
      <c r="F2317" s="107" t="str">
        <f aca="false">IF(OR($C2317="",$D2317=0),"",$E2317/$D2317)</f>
        <v/>
      </c>
      <c r="H2317" s="0" t="str">
        <f aca="false">IF($C2317="","",IF(COUNTIF('مواد المخزون'!$A$2:$A$90,$C2317)&gt;0,"نعم","لا (خارج الجرد)"))</f>
        <v/>
      </c>
    </row>
    <row r="2318" customFormat="false" ht="15" hidden="false" customHeight="false" outlineLevel="0" collapsed="false">
      <c r="A2318" s="103"/>
      <c r="B2318" s="104"/>
      <c r="C2318" s="104"/>
      <c r="F2318" s="107" t="str">
        <f aca="false">IF(OR($C2318="",$D2318=0),"",$E2318/$D2318)</f>
        <v/>
      </c>
      <c r="H2318" s="0" t="str">
        <f aca="false">IF($C2318="","",IF(COUNTIF('مواد المخزون'!$A$2:$A$90,$C2318)&gt;0,"نعم","لا (خارج الجرد)"))</f>
        <v/>
      </c>
    </row>
    <row r="2319" customFormat="false" ht="15" hidden="false" customHeight="false" outlineLevel="0" collapsed="false">
      <c r="A2319" s="103"/>
      <c r="B2319" s="104"/>
      <c r="C2319" s="104"/>
      <c r="F2319" s="107" t="str">
        <f aca="false">IF(OR($C2319="",$D2319=0),"",$E2319/$D2319)</f>
        <v/>
      </c>
      <c r="H2319" s="0" t="str">
        <f aca="false">IF($C2319="","",IF(COUNTIF('مواد المخزون'!$A$2:$A$90,$C2319)&gt;0,"نعم","لا (خارج الجرد)"))</f>
        <v/>
      </c>
    </row>
    <row r="2320" customFormat="false" ht="15" hidden="false" customHeight="false" outlineLevel="0" collapsed="false">
      <c r="A2320" s="103"/>
      <c r="B2320" s="104"/>
      <c r="C2320" s="104"/>
      <c r="F2320" s="107" t="str">
        <f aca="false">IF(OR($C2320="",$D2320=0),"",$E2320/$D2320)</f>
        <v/>
      </c>
      <c r="H2320" s="0" t="str">
        <f aca="false">IF($C2320="","",IF(COUNTIF('مواد المخزون'!$A$2:$A$90,$C2320)&gt;0,"نعم","لا (خارج الجرد)"))</f>
        <v/>
      </c>
    </row>
    <row r="2321" customFormat="false" ht="15" hidden="false" customHeight="false" outlineLevel="0" collapsed="false">
      <c r="A2321" s="103"/>
      <c r="B2321" s="104"/>
      <c r="C2321" s="104"/>
      <c r="F2321" s="107" t="str">
        <f aca="false">IF(OR($C2321="",$D2321=0),"",$E2321/$D2321)</f>
        <v/>
      </c>
      <c r="H2321" s="0" t="str">
        <f aca="false">IF($C2321="","",IF(COUNTIF('مواد المخزون'!$A$2:$A$90,$C2321)&gt;0,"نعم","لا (خارج الجرد)"))</f>
        <v/>
      </c>
    </row>
    <row r="2322" customFormat="false" ht="15" hidden="false" customHeight="false" outlineLevel="0" collapsed="false">
      <c r="A2322" s="103"/>
      <c r="B2322" s="104"/>
      <c r="C2322" s="104"/>
      <c r="F2322" s="107" t="str">
        <f aca="false">IF(OR($C2322="",$D2322=0),"",$E2322/$D2322)</f>
        <v/>
      </c>
      <c r="H2322" s="0" t="str">
        <f aca="false">IF($C2322="","",IF(COUNTIF('مواد المخزون'!$A$2:$A$90,$C2322)&gt;0,"نعم","لا (خارج الجرد)"))</f>
        <v/>
      </c>
    </row>
    <row r="2323" customFormat="false" ht="15" hidden="false" customHeight="false" outlineLevel="0" collapsed="false">
      <c r="A2323" s="103"/>
      <c r="B2323" s="104"/>
      <c r="C2323" s="104"/>
      <c r="F2323" s="107" t="str">
        <f aca="false">IF(OR($C2323="",$D2323=0),"",$E2323/$D2323)</f>
        <v/>
      </c>
      <c r="H2323" s="0" t="str">
        <f aca="false">IF($C2323="","",IF(COUNTIF('مواد المخزون'!$A$2:$A$90,$C2323)&gt;0,"نعم","لا (خارج الجرد)"))</f>
        <v/>
      </c>
    </row>
    <row r="2324" customFormat="false" ht="15" hidden="false" customHeight="false" outlineLevel="0" collapsed="false">
      <c r="A2324" s="103"/>
      <c r="B2324" s="104"/>
      <c r="C2324" s="104"/>
      <c r="F2324" s="107" t="str">
        <f aca="false">IF(OR($C2324="",$D2324=0),"",$E2324/$D2324)</f>
        <v/>
      </c>
      <c r="H2324" s="0" t="str">
        <f aca="false">IF($C2324="","",IF(COUNTIF('مواد المخزون'!$A$2:$A$90,$C2324)&gt;0,"نعم","لا (خارج الجرد)"))</f>
        <v/>
      </c>
    </row>
    <row r="2325" customFormat="false" ht="15" hidden="false" customHeight="false" outlineLevel="0" collapsed="false">
      <c r="A2325" s="103"/>
      <c r="B2325" s="104"/>
      <c r="C2325" s="104"/>
      <c r="F2325" s="107" t="str">
        <f aca="false">IF(OR($C2325="",$D2325=0),"",$E2325/$D2325)</f>
        <v/>
      </c>
      <c r="H2325" s="0" t="str">
        <f aca="false">IF($C2325="","",IF(COUNTIF('مواد المخزون'!$A$2:$A$90,$C2325)&gt;0,"نعم","لا (خارج الجرد)"))</f>
        <v/>
      </c>
    </row>
    <row r="2326" customFormat="false" ht="15" hidden="false" customHeight="false" outlineLevel="0" collapsed="false">
      <c r="A2326" s="103"/>
      <c r="B2326" s="104"/>
      <c r="C2326" s="104"/>
      <c r="F2326" s="107" t="str">
        <f aca="false">IF(OR($C2326="",$D2326=0),"",$E2326/$D2326)</f>
        <v/>
      </c>
      <c r="H2326" s="0" t="str">
        <f aca="false">IF($C2326="","",IF(COUNTIF('مواد المخزون'!$A$2:$A$90,$C2326)&gt;0,"نعم","لا (خارج الجرد)"))</f>
        <v/>
      </c>
    </row>
    <row r="2327" customFormat="false" ht="15" hidden="false" customHeight="false" outlineLevel="0" collapsed="false">
      <c r="A2327" s="103"/>
      <c r="B2327" s="104"/>
      <c r="C2327" s="104"/>
      <c r="F2327" s="107" t="str">
        <f aca="false">IF(OR($C2327="",$D2327=0),"",$E2327/$D2327)</f>
        <v/>
      </c>
      <c r="H2327" s="0" t="str">
        <f aca="false">IF($C2327="","",IF(COUNTIF('مواد المخزون'!$A$2:$A$90,$C2327)&gt;0,"نعم","لا (خارج الجرد)"))</f>
        <v/>
      </c>
    </row>
    <row r="2328" customFormat="false" ht="15" hidden="false" customHeight="false" outlineLevel="0" collapsed="false">
      <c r="A2328" s="103"/>
      <c r="B2328" s="104"/>
      <c r="C2328" s="104"/>
      <c r="F2328" s="107" t="str">
        <f aca="false">IF(OR($C2328="",$D2328=0),"",$E2328/$D2328)</f>
        <v/>
      </c>
      <c r="H2328" s="0" t="str">
        <f aca="false">IF($C2328="","",IF(COUNTIF('مواد المخزون'!$A$2:$A$90,$C2328)&gt;0,"نعم","لا (خارج الجرد)"))</f>
        <v/>
      </c>
    </row>
    <row r="2329" customFormat="false" ht="15" hidden="false" customHeight="false" outlineLevel="0" collapsed="false">
      <c r="A2329" s="103"/>
      <c r="B2329" s="104"/>
      <c r="C2329" s="104"/>
      <c r="F2329" s="107" t="str">
        <f aca="false">IF(OR($C2329="",$D2329=0),"",$E2329/$D2329)</f>
        <v/>
      </c>
      <c r="H2329" s="0" t="str">
        <f aca="false">IF($C2329="","",IF(COUNTIF('مواد المخزون'!$A$2:$A$90,$C2329)&gt;0,"نعم","لا (خارج الجرد)"))</f>
        <v/>
      </c>
    </row>
    <row r="2330" customFormat="false" ht="15" hidden="false" customHeight="false" outlineLevel="0" collapsed="false">
      <c r="A2330" s="103"/>
      <c r="B2330" s="104"/>
      <c r="C2330" s="104"/>
      <c r="F2330" s="107" t="str">
        <f aca="false">IF(OR($C2330="",$D2330=0),"",$E2330/$D2330)</f>
        <v/>
      </c>
      <c r="H2330" s="0" t="str">
        <f aca="false">IF($C2330="","",IF(COUNTIF('مواد المخزون'!$A$2:$A$90,$C2330)&gt;0,"نعم","لا (خارج الجرد)"))</f>
        <v/>
      </c>
    </row>
    <row r="2331" customFormat="false" ht="15" hidden="false" customHeight="false" outlineLevel="0" collapsed="false">
      <c r="A2331" s="103"/>
      <c r="B2331" s="104"/>
      <c r="C2331" s="104"/>
      <c r="F2331" s="107" t="str">
        <f aca="false">IF(OR($C2331="",$D2331=0),"",$E2331/$D2331)</f>
        <v/>
      </c>
      <c r="H2331" s="0" t="str">
        <f aca="false">IF($C2331="","",IF(COUNTIF('مواد المخزون'!$A$2:$A$90,$C2331)&gt;0,"نعم","لا (خارج الجرد)"))</f>
        <v/>
      </c>
    </row>
    <row r="2332" customFormat="false" ht="15" hidden="false" customHeight="false" outlineLevel="0" collapsed="false">
      <c r="A2332" s="103"/>
      <c r="B2332" s="104"/>
      <c r="C2332" s="104"/>
      <c r="F2332" s="107" t="str">
        <f aca="false">IF(OR($C2332="",$D2332=0),"",$E2332/$D2332)</f>
        <v/>
      </c>
      <c r="H2332" s="0" t="str">
        <f aca="false">IF($C2332="","",IF(COUNTIF('مواد المخزون'!$A$2:$A$90,$C2332)&gt;0,"نعم","لا (خارج الجرد)"))</f>
        <v/>
      </c>
    </row>
    <row r="2333" customFormat="false" ht="15" hidden="false" customHeight="false" outlineLevel="0" collapsed="false">
      <c r="A2333" s="103"/>
      <c r="B2333" s="104"/>
      <c r="C2333" s="104"/>
      <c r="F2333" s="107" t="str">
        <f aca="false">IF(OR($C2333="",$D2333=0),"",$E2333/$D2333)</f>
        <v/>
      </c>
      <c r="H2333" s="0" t="str">
        <f aca="false">IF($C2333="","",IF(COUNTIF('مواد المخزون'!$A$2:$A$90,$C2333)&gt;0,"نعم","لا (خارج الجرد)"))</f>
        <v/>
      </c>
    </row>
    <row r="2334" customFormat="false" ht="15" hidden="false" customHeight="false" outlineLevel="0" collapsed="false">
      <c r="A2334" s="103"/>
      <c r="B2334" s="104"/>
      <c r="C2334" s="104"/>
      <c r="F2334" s="107" t="str">
        <f aca="false">IF(OR($C2334="",$D2334=0),"",$E2334/$D2334)</f>
        <v/>
      </c>
      <c r="H2334" s="0" t="str">
        <f aca="false">IF($C2334="","",IF(COUNTIF('مواد المخزون'!$A$2:$A$90,$C2334)&gt;0,"نعم","لا (خارج الجرد)"))</f>
        <v/>
      </c>
    </row>
    <row r="2335" customFormat="false" ht="15" hidden="false" customHeight="false" outlineLevel="0" collapsed="false">
      <c r="A2335" s="103"/>
      <c r="B2335" s="104"/>
      <c r="C2335" s="104"/>
      <c r="F2335" s="107" t="str">
        <f aca="false">IF(OR($C2335="",$D2335=0),"",$E2335/$D2335)</f>
        <v/>
      </c>
      <c r="H2335" s="0" t="str">
        <f aca="false">IF($C2335="","",IF(COUNTIF('مواد المخزون'!$A$2:$A$90,$C2335)&gt;0,"نعم","لا (خارج الجرد)"))</f>
        <v/>
      </c>
    </row>
    <row r="2336" customFormat="false" ht="15" hidden="false" customHeight="false" outlineLevel="0" collapsed="false">
      <c r="A2336" s="103"/>
      <c r="B2336" s="104"/>
      <c r="C2336" s="104"/>
      <c r="F2336" s="107" t="str">
        <f aca="false">IF(OR($C2336="",$D2336=0),"",$E2336/$D2336)</f>
        <v/>
      </c>
      <c r="H2336" s="0" t="str">
        <f aca="false">IF($C2336="","",IF(COUNTIF('مواد المخزون'!$A$2:$A$90,$C2336)&gt;0,"نعم","لا (خارج الجرد)"))</f>
        <v/>
      </c>
    </row>
    <row r="2337" customFormat="false" ht="15" hidden="false" customHeight="false" outlineLevel="0" collapsed="false">
      <c r="A2337" s="103"/>
      <c r="B2337" s="104"/>
      <c r="C2337" s="104"/>
      <c r="F2337" s="107" t="str">
        <f aca="false">IF(OR($C2337="",$D2337=0),"",$E2337/$D2337)</f>
        <v/>
      </c>
      <c r="H2337" s="0" t="str">
        <f aca="false">IF($C2337="","",IF(COUNTIF('مواد المخزون'!$A$2:$A$90,$C2337)&gt;0,"نعم","لا (خارج الجرد)"))</f>
        <v/>
      </c>
    </row>
    <row r="2338" customFormat="false" ht="15" hidden="false" customHeight="false" outlineLevel="0" collapsed="false">
      <c r="A2338" s="103"/>
      <c r="B2338" s="104"/>
      <c r="C2338" s="104"/>
      <c r="F2338" s="107" t="str">
        <f aca="false">IF(OR($C2338="",$D2338=0),"",$E2338/$D2338)</f>
        <v/>
      </c>
      <c r="H2338" s="0" t="str">
        <f aca="false">IF($C2338="","",IF(COUNTIF('مواد المخزون'!$A$2:$A$90,$C2338)&gt;0,"نعم","لا (خارج الجرد)"))</f>
        <v/>
      </c>
    </row>
    <row r="2339" customFormat="false" ht="15" hidden="false" customHeight="false" outlineLevel="0" collapsed="false">
      <c r="A2339" s="103"/>
      <c r="B2339" s="104"/>
      <c r="C2339" s="104"/>
      <c r="F2339" s="107" t="str">
        <f aca="false">IF(OR($C2339="",$D2339=0),"",$E2339/$D2339)</f>
        <v/>
      </c>
      <c r="H2339" s="0" t="str">
        <f aca="false">IF($C2339="","",IF(COUNTIF('مواد المخزون'!$A$2:$A$90,$C2339)&gt;0,"نعم","لا (خارج الجرد)"))</f>
        <v/>
      </c>
    </row>
    <row r="2340" customFormat="false" ht="15" hidden="false" customHeight="false" outlineLevel="0" collapsed="false">
      <c r="A2340" s="103"/>
      <c r="B2340" s="104"/>
      <c r="C2340" s="104"/>
      <c r="F2340" s="107" t="str">
        <f aca="false">IF(OR($C2340="",$D2340=0),"",$E2340/$D2340)</f>
        <v/>
      </c>
      <c r="H2340" s="0" t="str">
        <f aca="false">IF($C2340="","",IF(COUNTIF('مواد المخزون'!$A$2:$A$90,$C2340)&gt;0,"نعم","لا (خارج الجرد)"))</f>
        <v/>
      </c>
    </row>
    <row r="2341" customFormat="false" ht="15" hidden="false" customHeight="false" outlineLevel="0" collapsed="false">
      <c r="A2341" s="103"/>
      <c r="B2341" s="104"/>
      <c r="C2341" s="104"/>
      <c r="F2341" s="107" t="str">
        <f aca="false">IF(OR($C2341="",$D2341=0),"",$E2341/$D2341)</f>
        <v/>
      </c>
      <c r="H2341" s="0" t="str">
        <f aca="false">IF($C2341="","",IF(COUNTIF('مواد المخزون'!$A$2:$A$90,$C2341)&gt;0,"نعم","لا (خارج الجرد)"))</f>
        <v/>
      </c>
    </row>
    <row r="2342" customFormat="false" ht="15" hidden="false" customHeight="false" outlineLevel="0" collapsed="false">
      <c r="A2342" s="103"/>
      <c r="B2342" s="104"/>
      <c r="C2342" s="104"/>
      <c r="F2342" s="107" t="str">
        <f aca="false">IF(OR($C2342="",$D2342=0),"",$E2342/$D2342)</f>
        <v/>
      </c>
      <c r="H2342" s="0" t="str">
        <f aca="false">IF($C2342="","",IF(COUNTIF('مواد المخزون'!$A$2:$A$90,$C2342)&gt;0,"نعم","لا (خارج الجرد)"))</f>
        <v/>
      </c>
    </row>
    <row r="2343" customFormat="false" ht="15" hidden="false" customHeight="false" outlineLevel="0" collapsed="false">
      <c r="A2343" s="103"/>
      <c r="B2343" s="104"/>
      <c r="C2343" s="104"/>
      <c r="F2343" s="107" t="str">
        <f aca="false">IF(OR($C2343="",$D2343=0),"",$E2343/$D2343)</f>
        <v/>
      </c>
      <c r="H2343" s="0" t="str">
        <f aca="false">IF($C2343="","",IF(COUNTIF('مواد المخزون'!$A$2:$A$90,$C2343)&gt;0,"نعم","لا (خارج الجرد)"))</f>
        <v/>
      </c>
    </row>
    <row r="2344" customFormat="false" ht="15" hidden="false" customHeight="false" outlineLevel="0" collapsed="false">
      <c r="A2344" s="103"/>
      <c r="B2344" s="104"/>
      <c r="C2344" s="104"/>
      <c r="F2344" s="107" t="str">
        <f aca="false">IF(OR($C2344="",$D2344=0),"",$E2344/$D2344)</f>
        <v/>
      </c>
      <c r="H2344" s="0" t="str">
        <f aca="false">IF($C2344="","",IF(COUNTIF('مواد المخزون'!$A$2:$A$90,$C2344)&gt;0,"نعم","لا (خارج الجرد)"))</f>
        <v/>
      </c>
    </row>
    <row r="2345" customFormat="false" ht="15" hidden="false" customHeight="false" outlineLevel="0" collapsed="false">
      <c r="A2345" s="103"/>
      <c r="B2345" s="104"/>
      <c r="C2345" s="104"/>
      <c r="F2345" s="107" t="str">
        <f aca="false">IF(OR($C2345="",$D2345=0),"",$E2345/$D2345)</f>
        <v/>
      </c>
      <c r="H2345" s="0" t="str">
        <f aca="false">IF($C2345="","",IF(COUNTIF('مواد المخزون'!$A$2:$A$90,$C2345)&gt;0,"نعم","لا (خارج الجرد)"))</f>
        <v/>
      </c>
    </row>
    <row r="2346" customFormat="false" ht="15" hidden="false" customHeight="false" outlineLevel="0" collapsed="false">
      <c r="A2346" s="103"/>
      <c r="B2346" s="104"/>
      <c r="C2346" s="104"/>
      <c r="F2346" s="107" t="str">
        <f aca="false">IF(OR($C2346="",$D2346=0),"",$E2346/$D2346)</f>
        <v/>
      </c>
      <c r="H2346" s="0" t="str">
        <f aca="false">IF($C2346="","",IF(COUNTIF('مواد المخزون'!$A$2:$A$90,$C2346)&gt;0,"نعم","لا (خارج الجرد)"))</f>
        <v/>
      </c>
    </row>
    <row r="2347" customFormat="false" ht="15" hidden="false" customHeight="false" outlineLevel="0" collapsed="false">
      <c r="A2347" s="103"/>
      <c r="B2347" s="104"/>
      <c r="C2347" s="104"/>
      <c r="F2347" s="107" t="str">
        <f aca="false">IF(OR($C2347="",$D2347=0),"",$E2347/$D2347)</f>
        <v/>
      </c>
      <c r="H2347" s="0" t="str">
        <f aca="false">IF($C2347="","",IF(COUNTIF('مواد المخزون'!$A$2:$A$90,$C2347)&gt;0,"نعم","لا (خارج الجرد)"))</f>
        <v/>
      </c>
    </row>
    <row r="2348" customFormat="false" ht="15" hidden="false" customHeight="false" outlineLevel="0" collapsed="false">
      <c r="A2348" s="103"/>
      <c r="B2348" s="104"/>
      <c r="C2348" s="104"/>
      <c r="F2348" s="107" t="str">
        <f aca="false">IF(OR($C2348="",$D2348=0),"",$E2348/$D2348)</f>
        <v/>
      </c>
      <c r="H2348" s="0" t="str">
        <f aca="false">IF($C2348="","",IF(COUNTIF('مواد المخزون'!$A$2:$A$90,$C2348)&gt;0,"نعم","لا (خارج الجرد)"))</f>
        <v/>
      </c>
    </row>
    <row r="2349" customFormat="false" ht="15" hidden="false" customHeight="false" outlineLevel="0" collapsed="false">
      <c r="A2349" s="103"/>
      <c r="B2349" s="104"/>
      <c r="C2349" s="104"/>
      <c r="F2349" s="107" t="str">
        <f aca="false">IF(OR($C2349="",$D2349=0),"",$E2349/$D2349)</f>
        <v/>
      </c>
      <c r="H2349" s="0" t="str">
        <f aca="false">IF($C2349="","",IF(COUNTIF('مواد المخزون'!$A$2:$A$90,$C2349)&gt;0,"نعم","لا (خارج الجرد)"))</f>
        <v/>
      </c>
    </row>
    <row r="2350" customFormat="false" ht="15" hidden="false" customHeight="false" outlineLevel="0" collapsed="false">
      <c r="A2350" s="103"/>
      <c r="B2350" s="104"/>
      <c r="C2350" s="104"/>
      <c r="F2350" s="107" t="str">
        <f aca="false">IF(OR($C2350="",$D2350=0),"",$E2350/$D2350)</f>
        <v/>
      </c>
      <c r="H2350" s="0" t="str">
        <f aca="false">IF($C2350="","",IF(COUNTIF('مواد المخزون'!$A$2:$A$90,$C2350)&gt;0,"نعم","لا (خارج الجرد)"))</f>
        <v/>
      </c>
    </row>
    <row r="2351" customFormat="false" ht="15" hidden="false" customHeight="false" outlineLevel="0" collapsed="false">
      <c r="A2351" s="103"/>
      <c r="B2351" s="104"/>
      <c r="C2351" s="104"/>
      <c r="F2351" s="107" t="str">
        <f aca="false">IF(OR($C2351="",$D2351=0),"",$E2351/$D2351)</f>
        <v/>
      </c>
      <c r="H2351" s="0" t="str">
        <f aca="false">IF($C2351="","",IF(COUNTIF('مواد المخزون'!$A$2:$A$90,$C2351)&gt;0,"نعم","لا (خارج الجرد)"))</f>
        <v/>
      </c>
    </row>
    <row r="2352" customFormat="false" ht="15" hidden="false" customHeight="false" outlineLevel="0" collapsed="false">
      <c r="A2352" s="103"/>
      <c r="B2352" s="104"/>
      <c r="C2352" s="104"/>
      <c r="F2352" s="107" t="str">
        <f aca="false">IF(OR($C2352="",$D2352=0),"",$E2352/$D2352)</f>
        <v/>
      </c>
      <c r="H2352" s="0" t="str">
        <f aca="false">IF($C2352="","",IF(COUNTIF('مواد المخزون'!$A$2:$A$90,$C2352)&gt;0,"نعم","لا (خارج الجرد)"))</f>
        <v/>
      </c>
    </row>
    <row r="2353" customFormat="false" ht="15" hidden="false" customHeight="false" outlineLevel="0" collapsed="false">
      <c r="A2353" s="103"/>
      <c r="B2353" s="104"/>
      <c r="C2353" s="104"/>
      <c r="F2353" s="107" t="str">
        <f aca="false">IF(OR($C2353="",$D2353=0),"",$E2353/$D2353)</f>
        <v/>
      </c>
      <c r="H2353" s="0" t="str">
        <f aca="false">IF($C2353="","",IF(COUNTIF('مواد المخزون'!$A$2:$A$90,$C2353)&gt;0,"نعم","لا (خارج الجرد)"))</f>
        <v/>
      </c>
    </row>
    <row r="2354" customFormat="false" ht="15" hidden="false" customHeight="false" outlineLevel="0" collapsed="false">
      <c r="A2354" s="103"/>
      <c r="B2354" s="104"/>
      <c r="C2354" s="104"/>
      <c r="F2354" s="107" t="str">
        <f aca="false">IF(OR($C2354="",$D2354=0),"",$E2354/$D2354)</f>
        <v/>
      </c>
      <c r="H2354" s="0" t="str">
        <f aca="false">IF($C2354="","",IF(COUNTIF('مواد المخزون'!$A$2:$A$90,$C2354)&gt;0,"نعم","لا (خارج الجرد)"))</f>
        <v/>
      </c>
    </row>
    <row r="2355" customFormat="false" ht="15" hidden="false" customHeight="false" outlineLevel="0" collapsed="false">
      <c r="A2355" s="103"/>
      <c r="B2355" s="104"/>
      <c r="C2355" s="104"/>
      <c r="F2355" s="107" t="str">
        <f aca="false">IF(OR($C2355="",$D2355=0),"",$E2355/$D2355)</f>
        <v/>
      </c>
      <c r="H2355" s="0" t="str">
        <f aca="false">IF($C2355="","",IF(COUNTIF('مواد المخزون'!$A$2:$A$90,$C2355)&gt;0,"نعم","لا (خارج الجرد)"))</f>
        <v/>
      </c>
    </row>
    <row r="2356" customFormat="false" ht="15" hidden="false" customHeight="false" outlineLevel="0" collapsed="false">
      <c r="A2356" s="103"/>
      <c r="B2356" s="104"/>
      <c r="C2356" s="104"/>
      <c r="F2356" s="107" t="str">
        <f aca="false">IF(OR($C2356="",$D2356=0),"",$E2356/$D2356)</f>
        <v/>
      </c>
      <c r="H2356" s="0" t="str">
        <f aca="false">IF($C2356="","",IF(COUNTIF('مواد المخزون'!$A$2:$A$90,$C2356)&gt;0,"نعم","لا (خارج الجرد)"))</f>
        <v/>
      </c>
    </row>
    <row r="2357" customFormat="false" ht="15" hidden="false" customHeight="false" outlineLevel="0" collapsed="false">
      <c r="A2357" s="103"/>
      <c r="B2357" s="104"/>
      <c r="C2357" s="104"/>
      <c r="F2357" s="107" t="str">
        <f aca="false">IF(OR($C2357="",$D2357=0),"",$E2357/$D2357)</f>
        <v/>
      </c>
      <c r="H2357" s="0" t="str">
        <f aca="false">IF($C2357="","",IF(COUNTIF('مواد المخزون'!$A$2:$A$90,$C2357)&gt;0,"نعم","لا (خارج الجرد)"))</f>
        <v/>
      </c>
    </row>
    <row r="2358" customFormat="false" ht="15" hidden="false" customHeight="false" outlineLevel="0" collapsed="false">
      <c r="A2358" s="103"/>
      <c r="B2358" s="104"/>
      <c r="C2358" s="104"/>
      <c r="F2358" s="107" t="str">
        <f aca="false">IF(OR($C2358="",$D2358=0),"",$E2358/$D2358)</f>
        <v/>
      </c>
      <c r="H2358" s="0" t="str">
        <f aca="false">IF($C2358="","",IF(COUNTIF('مواد المخزون'!$A$2:$A$90,$C2358)&gt;0,"نعم","لا (خارج الجرد)"))</f>
        <v/>
      </c>
    </row>
    <row r="2359" customFormat="false" ht="15" hidden="false" customHeight="false" outlineLevel="0" collapsed="false">
      <c r="A2359" s="103"/>
      <c r="B2359" s="104"/>
      <c r="C2359" s="104"/>
      <c r="F2359" s="107" t="str">
        <f aca="false">IF(OR($C2359="",$D2359=0),"",$E2359/$D2359)</f>
        <v/>
      </c>
      <c r="H2359" s="0" t="str">
        <f aca="false">IF($C2359="","",IF(COUNTIF('مواد المخزون'!$A$2:$A$90,$C2359)&gt;0,"نعم","لا (خارج الجرد)"))</f>
        <v/>
      </c>
    </row>
    <row r="2360" customFormat="false" ht="15" hidden="false" customHeight="false" outlineLevel="0" collapsed="false">
      <c r="A2360" s="103"/>
      <c r="B2360" s="104"/>
      <c r="C2360" s="104"/>
      <c r="F2360" s="107" t="str">
        <f aca="false">IF(OR($C2360="",$D2360=0),"",$E2360/$D2360)</f>
        <v/>
      </c>
      <c r="H2360" s="0" t="str">
        <f aca="false">IF($C2360="","",IF(COUNTIF('مواد المخزون'!$A$2:$A$90,$C2360)&gt;0,"نعم","لا (خارج الجرد)"))</f>
        <v/>
      </c>
    </row>
    <row r="2361" customFormat="false" ht="15" hidden="false" customHeight="false" outlineLevel="0" collapsed="false">
      <c r="A2361" s="103"/>
      <c r="B2361" s="104"/>
      <c r="C2361" s="104"/>
      <c r="F2361" s="107" t="str">
        <f aca="false">IF(OR($C2361="",$D2361=0),"",$E2361/$D2361)</f>
        <v/>
      </c>
      <c r="H2361" s="0" t="str">
        <f aca="false">IF($C2361="","",IF(COUNTIF('مواد المخزون'!$A$2:$A$90,$C2361)&gt;0,"نعم","لا (خارج الجرد)"))</f>
        <v/>
      </c>
    </row>
    <row r="2362" customFormat="false" ht="15" hidden="false" customHeight="false" outlineLevel="0" collapsed="false">
      <c r="A2362" s="103"/>
      <c r="B2362" s="104"/>
      <c r="C2362" s="104"/>
      <c r="F2362" s="107" t="str">
        <f aca="false">IF(OR($C2362="",$D2362=0),"",$E2362/$D2362)</f>
        <v/>
      </c>
      <c r="H2362" s="0" t="str">
        <f aca="false">IF($C2362="","",IF(COUNTIF('مواد المخزون'!$A$2:$A$90,$C2362)&gt;0,"نعم","لا (خارج الجرد)"))</f>
        <v/>
      </c>
    </row>
    <row r="2363" customFormat="false" ht="15" hidden="false" customHeight="false" outlineLevel="0" collapsed="false">
      <c r="A2363" s="103"/>
      <c r="B2363" s="104"/>
      <c r="C2363" s="104"/>
      <c r="F2363" s="107" t="str">
        <f aca="false">IF(OR($C2363="",$D2363=0),"",$E2363/$D2363)</f>
        <v/>
      </c>
      <c r="H2363" s="0" t="str">
        <f aca="false">IF($C2363="","",IF(COUNTIF('مواد المخزون'!$A$2:$A$90,$C2363)&gt;0,"نعم","لا (خارج الجرد)"))</f>
        <v/>
      </c>
    </row>
    <row r="2364" customFormat="false" ht="15" hidden="false" customHeight="false" outlineLevel="0" collapsed="false">
      <c r="A2364" s="103"/>
      <c r="B2364" s="104"/>
      <c r="C2364" s="104"/>
      <c r="F2364" s="107" t="str">
        <f aca="false">IF(OR($C2364="",$D2364=0),"",$E2364/$D2364)</f>
        <v/>
      </c>
      <c r="H2364" s="0" t="str">
        <f aca="false">IF($C2364="","",IF(COUNTIF('مواد المخزون'!$A$2:$A$90,$C2364)&gt;0,"نعم","لا (خارج الجرد)"))</f>
        <v/>
      </c>
    </row>
    <row r="2365" customFormat="false" ht="15" hidden="false" customHeight="false" outlineLevel="0" collapsed="false">
      <c r="A2365" s="103"/>
      <c r="B2365" s="104"/>
      <c r="C2365" s="104"/>
      <c r="F2365" s="107" t="str">
        <f aca="false">IF(OR($C2365="",$D2365=0),"",$E2365/$D2365)</f>
        <v/>
      </c>
      <c r="H2365" s="0" t="str">
        <f aca="false">IF($C2365="","",IF(COUNTIF('مواد المخزون'!$A$2:$A$90,$C2365)&gt;0,"نعم","لا (خارج الجرد)"))</f>
        <v/>
      </c>
    </row>
    <row r="2366" customFormat="false" ht="15" hidden="false" customHeight="false" outlineLevel="0" collapsed="false">
      <c r="A2366" s="103"/>
      <c r="B2366" s="104"/>
      <c r="C2366" s="104"/>
      <c r="F2366" s="107" t="str">
        <f aca="false">IF(OR($C2366="",$D2366=0),"",$E2366/$D2366)</f>
        <v/>
      </c>
      <c r="H2366" s="0" t="str">
        <f aca="false">IF($C2366="","",IF(COUNTIF('مواد المخزون'!$A$2:$A$90,$C2366)&gt;0,"نعم","لا (خارج الجرد)"))</f>
        <v/>
      </c>
    </row>
    <row r="2367" customFormat="false" ht="15" hidden="false" customHeight="false" outlineLevel="0" collapsed="false">
      <c r="A2367" s="103"/>
      <c r="B2367" s="104"/>
      <c r="C2367" s="104"/>
      <c r="F2367" s="107" t="str">
        <f aca="false">IF(OR($C2367="",$D2367=0),"",$E2367/$D2367)</f>
        <v/>
      </c>
      <c r="H2367" s="0" t="str">
        <f aca="false">IF($C2367="","",IF(COUNTIF('مواد المخزون'!$A$2:$A$90,$C2367)&gt;0,"نعم","لا (خارج الجرد)"))</f>
        <v/>
      </c>
    </row>
    <row r="2368" customFormat="false" ht="15" hidden="false" customHeight="false" outlineLevel="0" collapsed="false">
      <c r="A2368" s="103"/>
      <c r="B2368" s="104"/>
      <c r="C2368" s="104"/>
      <c r="F2368" s="107" t="str">
        <f aca="false">IF(OR($C2368="",$D2368=0),"",$E2368/$D2368)</f>
        <v/>
      </c>
      <c r="H2368" s="0" t="str">
        <f aca="false">IF($C2368="","",IF(COUNTIF('مواد المخزون'!$A$2:$A$90,$C2368)&gt;0,"نعم","لا (خارج الجرد)"))</f>
        <v/>
      </c>
    </row>
    <row r="2369" customFormat="false" ht="15" hidden="false" customHeight="false" outlineLevel="0" collapsed="false">
      <c r="A2369" s="103"/>
      <c r="B2369" s="104"/>
      <c r="C2369" s="104"/>
      <c r="F2369" s="107" t="str">
        <f aca="false">IF(OR($C2369="",$D2369=0),"",$E2369/$D2369)</f>
        <v/>
      </c>
      <c r="H2369" s="0" t="str">
        <f aca="false">IF($C2369="","",IF(COUNTIF('مواد المخزون'!$A$2:$A$90,$C2369)&gt;0,"نعم","لا (خارج الجرد)"))</f>
        <v/>
      </c>
    </row>
    <row r="2370" customFormat="false" ht="15" hidden="false" customHeight="false" outlineLevel="0" collapsed="false">
      <c r="A2370" s="103"/>
      <c r="B2370" s="104"/>
      <c r="C2370" s="104"/>
      <c r="F2370" s="107" t="str">
        <f aca="false">IF(OR($C2370="",$D2370=0),"",$E2370/$D2370)</f>
        <v/>
      </c>
      <c r="H2370" s="0" t="str">
        <f aca="false">IF($C2370="","",IF(COUNTIF('مواد المخزون'!$A$2:$A$90,$C2370)&gt;0,"نعم","لا (خارج الجرد)"))</f>
        <v/>
      </c>
    </row>
    <row r="2371" customFormat="false" ht="15" hidden="false" customHeight="false" outlineLevel="0" collapsed="false">
      <c r="A2371" s="103"/>
      <c r="B2371" s="104"/>
      <c r="C2371" s="104"/>
      <c r="F2371" s="107" t="str">
        <f aca="false">IF(OR($C2371="",$D2371=0),"",$E2371/$D2371)</f>
        <v/>
      </c>
      <c r="H2371" s="0" t="str">
        <f aca="false">IF($C2371="","",IF(COUNTIF('مواد المخزون'!$A$2:$A$90,$C2371)&gt;0,"نعم","لا (خارج الجرد)"))</f>
        <v/>
      </c>
    </row>
    <row r="2372" customFormat="false" ht="15" hidden="false" customHeight="false" outlineLevel="0" collapsed="false">
      <c r="A2372" s="103"/>
      <c r="B2372" s="104"/>
      <c r="C2372" s="104"/>
      <c r="F2372" s="107" t="str">
        <f aca="false">IF(OR($C2372="",$D2372=0),"",$E2372/$D2372)</f>
        <v/>
      </c>
      <c r="H2372" s="0" t="str">
        <f aca="false">IF($C2372="","",IF(COUNTIF('مواد المخزون'!$A$2:$A$90,$C2372)&gt;0,"نعم","لا (خارج الجرد)"))</f>
        <v/>
      </c>
    </row>
    <row r="2373" customFormat="false" ht="15" hidden="false" customHeight="false" outlineLevel="0" collapsed="false">
      <c r="A2373" s="103"/>
      <c r="B2373" s="104"/>
      <c r="C2373" s="104"/>
      <c r="F2373" s="107" t="str">
        <f aca="false">IF(OR($C2373="",$D2373=0),"",$E2373/$D2373)</f>
        <v/>
      </c>
      <c r="H2373" s="0" t="str">
        <f aca="false">IF($C2373="","",IF(COUNTIF('مواد المخزون'!$A$2:$A$90,$C2373)&gt;0,"نعم","لا (خارج الجرد)"))</f>
        <v/>
      </c>
    </row>
    <row r="2374" customFormat="false" ht="15" hidden="false" customHeight="false" outlineLevel="0" collapsed="false">
      <c r="A2374" s="103"/>
      <c r="B2374" s="104"/>
      <c r="C2374" s="104"/>
      <c r="F2374" s="107" t="str">
        <f aca="false">IF(OR($C2374="",$D2374=0),"",$E2374/$D2374)</f>
        <v/>
      </c>
      <c r="H2374" s="0" t="str">
        <f aca="false">IF($C2374="","",IF(COUNTIF('مواد المخزون'!$A$2:$A$90,$C2374)&gt;0,"نعم","لا (خارج الجرد)"))</f>
        <v/>
      </c>
    </row>
    <row r="2375" customFormat="false" ht="15" hidden="false" customHeight="false" outlineLevel="0" collapsed="false">
      <c r="A2375" s="103"/>
      <c r="B2375" s="104"/>
      <c r="C2375" s="104"/>
      <c r="F2375" s="107" t="str">
        <f aca="false">IF(OR($C2375="",$D2375=0),"",$E2375/$D2375)</f>
        <v/>
      </c>
      <c r="H2375" s="0" t="str">
        <f aca="false">IF($C2375="","",IF(COUNTIF('مواد المخزون'!$A$2:$A$90,$C2375)&gt;0,"نعم","لا (خارج الجرد)"))</f>
        <v/>
      </c>
    </row>
    <row r="2376" customFormat="false" ht="15" hidden="false" customHeight="false" outlineLevel="0" collapsed="false">
      <c r="A2376" s="103"/>
      <c r="B2376" s="104"/>
      <c r="C2376" s="104"/>
      <c r="F2376" s="107" t="str">
        <f aca="false">IF(OR($C2376="",$D2376=0),"",$E2376/$D2376)</f>
        <v/>
      </c>
      <c r="H2376" s="0" t="str">
        <f aca="false">IF($C2376="","",IF(COUNTIF('مواد المخزون'!$A$2:$A$90,$C2376)&gt;0,"نعم","لا (خارج الجرد)"))</f>
        <v/>
      </c>
    </row>
    <row r="2377" customFormat="false" ht="15" hidden="false" customHeight="false" outlineLevel="0" collapsed="false">
      <c r="A2377" s="103"/>
      <c r="B2377" s="104"/>
      <c r="C2377" s="104"/>
      <c r="F2377" s="107" t="str">
        <f aca="false">IF(OR($C2377="",$D2377=0),"",$E2377/$D2377)</f>
        <v/>
      </c>
      <c r="H2377" s="0" t="str">
        <f aca="false">IF($C2377="","",IF(COUNTIF('مواد المخزون'!$A$2:$A$90,$C2377)&gt;0,"نعم","لا (خارج الجرد)"))</f>
        <v/>
      </c>
    </row>
    <row r="2378" customFormat="false" ht="15" hidden="false" customHeight="false" outlineLevel="0" collapsed="false">
      <c r="A2378" s="103"/>
      <c r="B2378" s="104"/>
      <c r="C2378" s="104"/>
      <c r="F2378" s="107" t="str">
        <f aca="false">IF(OR($C2378="",$D2378=0),"",$E2378/$D2378)</f>
        <v/>
      </c>
      <c r="H2378" s="0" t="str">
        <f aca="false">IF($C2378="","",IF(COUNTIF('مواد المخزون'!$A$2:$A$90,$C2378)&gt;0,"نعم","لا (خارج الجرد)"))</f>
        <v/>
      </c>
    </row>
    <row r="2379" customFormat="false" ht="15" hidden="false" customHeight="false" outlineLevel="0" collapsed="false">
      <c r="A2379" s="103"/>
      <c r="B2379" s="104"/>
      <c r="C2379" s="104"/>
      <c r="F2379" s="107" t="str">
        <f aca="false">IF(OR($C2379="",$D2379=0),"",$E2379/$D2379)</f>
        <v/>
      </c>
      <c r="H2379" s="0" t="str">
        <f aca="false">IF($C2379="","",IF(COUNTIF('مواد المخزون'!$A$2:$A$90,$C2379)&gt;0,"نعم","لا (خارج الجرد)"))</f>
        <v/>
      </c>
    </row>
    <row r="2380" customFormat="false" ht="15" hidden="false" customHeight="false" outlineLevel="0" collapsed="false">
      <c r="A2380" s="103"/>
      <c r="B2380" s="104"/>
      <c r="C2380" s="104"/>
      <c r="F2380" s="107" t="str">
        <f aca="false">IF(OR($C2380="",$D2380=0),"",$E2380/$D2380)</f>
        <v/>
      </c>
      <c r="H2380" s="0" t="str">
        <f aca="false">IF($C2380="","",IF(COUNTIF('مواد المخزون'!$A$2:$A$90,$C2380)&gt;0,"نعم","لا (خارج الجرد)"))</f>
        <v/>
      </c>
    </row>
    <row r="2381" customFormat="false" ht="15" hidden="false" customHeight="false" outlineLevel="0" collapsed="false">
      <c r="A2381" s="103"/>
      <c r="B2381" s="104"/>
      <c r="C2381" s="104"/>
      <c r="F2381" s="107" t="str">
        <f aca="false">IF(OR($C2381="",$D2381=0),"",$E2381/$D2381)</f>
        <v/>
      </c>
      <c r="H2381" s="0" t="str">
        <f aca="false">IF($C2381="","",IF(COUNTIF('مواد المخزون'!$A$2:$A$90,$C2381)&gt;0,"نعم","لا (خارج الجرد)"))</f>
        <v/>
      </c>
    </row>
    <row r="2382" customFormat="false" ht="15" hidden="false" customHeight="false" outlineLevel="0" collapsed="false">
      <c r="A2382" s="103"/>
      <c r="B2382" s="104"/>
      <c r="C2382" s="104"/>
      <c r="F2382" s="107" t="str">
        <f aca="false">IF(OR($C2382="",$D2382=0),"",$E2382/$D2382)</f>
        <v/>
      </c>
      <c r="H2382" s="0" t="str">
        <f aca="false">IF($C2382="","",IF(COUNTIF('مواد المخزون'!$A$2:$A$90,$C2382)&gt;0,"نعم","لا (خارج الجرد)"))</f>
        <v/>
      </c>
    </row>
    <row r="2383" customFormat="false" ht="15" hidden="false" customHeight="false" outlineLevel="0" collapsed="false">
      <c r="A2383" s="103"/>
      <c r="B2383" s="104"/>
      <c r="C2383" s="104"/>
      <c r="F2383" s="107" t="str">
        <f aca="false">IF(OR($C2383="",$D2383=0),"",$E2383/$D2383)</f>
        <v/>
      </c>
      <c r="H2383" s="0" t="str">
        <f aca="false">IF($C2383="","",IF(COUNTIF('مواد المخزون'!$A$2:$A$90,$C2383)&gt;0,"نعم","لا (خارج الجرد)"))</f>
        <v/>
      </c>
    </row>
    <row r="2384" customFormat="false" ht="15" hidden="false" customHeight="false" outlineLevel="0" collapsed="false">
      <c r="A2384" s="103"/>
      <c r="B2384" s="104"/>
      <c r="C2384" s="104"/>
      <c r="F2384" s="107" t="str">
        <f aca="false">IF(OR($C2384="",$D2384=0),"",$E2384/$D2384)</f>
        <v/>
      </c>
      <c r="H2384" s="0" t="str">
        <f aca="false">IF($C2384="","",IF(COUNTIF('مواد المخزون'!$A$2:$A$90,$C2384)&gt;0,"نعم","لا (خارج الجرد)"))</f>
        <v/>
      </c>
    </row>
    <row r="2385" customFormat="false" ht="15" hidden="false" customHeight="false" outlineLevel="0" collapsed="false">
      <c r="A2385" s="103"/>
      <c r="B2385" s="104"/>
      <c r="C2385" s="104"/>
      <c r="F2385" s="107" t="str">
        <f aca="false">IF(OR($C2385="",$D2385=0),"",$E2385/$D2385)</f>
        <v/>
      </c>
      <c r="H2385" s="0" t="str">
        <f aca="false">IF($C2385="","",IF(COUNTIF('مواد المخزون'!$A$2:$A$90,$C2385)&gt;0,"نعم","لا (خارج الجرد)"))</f>
        <v/>
      </c>
    </row>
    <row r="2386" customFormat="false" ht="15" hidden="false" customHeight="false" outlineLevel="0" collapsed="false">
      <c r="A2386" s="103"/>
      <c r="B2386" s="104"/>
      <c r="C2386" s="104"/>
      <c r="F2386" s="107" t="str">
        <f aca="false">IF(OR($C2386="",$D2386=0),"",$E2386/$D2386)</f>
        <v/>
      </c>
      <c r="H2386" s="0" t="str">
        <f aca="false">IF($C2386="","",IF(COUNTIF('مواد المخزون'!$A$2:$A$90,$C2386)&gt;0,"نعم","لا (خارج الجرد)"))</f>
        <v/>
      </c>
    </row>
    <row r="2387" customFormat="false" ht="15" hidden="false" customHeight="false" outlineLevel="0" collapsed="false">
      <c r="A2387" s="103"/>
      <c r="B2387" s="104"/>
      <c r="C2387" s="104"/>
      <c r="F2387" s="107" t="str">
        <f aca="false">IF(OR($C2387="",$D2387=0),"",$E2387/$D2387)</f>
        <v/>
      </c>
      <c r="H2387" s="0" t="str">
        <f aca="false">IF($C2387="","",IF(COUNTIF('مواد المخزون'!$A$2:$A$90,$C2387)&gt;0,"نعم","لا (خارج الجرد)"))</f>
        <v/>
      </c>
    </row>
    <row r="2388" customFormat="false" ht="15" hidden="false" customHeight="false" outlineLevel="0" collapsed="false">
      <c r="A2388" s="103"/>
      <c r="B2388" s="104"/>
      <c r="C2388" s="104"/>
      <c r="F2388" s="107" t="str">
        <f aca="false">IF(OR($C2388="",$D2388=0),"",$E2388/$D2388)</f>
        <v/>
      </c>
      <c r="H2388" s="0" t="str">
        <f aca="false">IF($C2388="","",IF(COUNTIF('مواد المخزون'!$A$2:$A$90,$C2388)&gt;0,"نعم","لا (خارج الجرد)"))</f>
        <v/>
      </c>
    </row>
    <row r="2389" customFormat="false" ht="15" hidden="false" customHeight="false" outlineLevel="0" collapsed="false">
      <c r="A2389" s="103"/>
      <c r="B2389" s="104"/>
      <c r="C2389" s="104"/>
      <c r="F2389" s="107" t="str">
        <f aca="false">IF(OR($C2389="",$D2389=0),"",$E2389/$D2389)</f>
        <v/>
      </c>
      <c r="H2389" s="0" t="str">
        <f aca="false">IF($C2389="","",IF(COUNTIF('مواد المخزون'!$A$2:$A$90,$C2389)&gt;0,"نعم","لا (خارج الجرد)"))</f>
        <v/>
      </c>
    </row>
    <row r="2390" customFormat="false" ht="15" hidden="false" customHeight="false" outlineLevel="0" collapsed="false">
      <c r="A2390" s="103"/>
      <c r="B2390" s="104"/>
      <c r="C2390" s="104"/>
      <c r="F2390" s="107" t="str">
        <f aca="false">IF(OR($C2390="",$D2390=0),"",$E2390/$D2390)</f>
        <v/>
      </c>
      <c r="H2390" s="0" t="str">
        <f aca="false">IF($C2390="","",IF(COUNTIF('مواد المخزون'!$A$2:$A$90,$C2390)&gt;0,"نعم","لا (خارج الجرد)"))</f>
        <v/>
      </c>
    </row>
    <row r="2391" customFormat="false" ht="15" hidden="false" customHeight="false" outlineLevel="0" collapsed="false">
      <c r="A2391" s="103"/>
      <c r="B2391" s="104"/>
      <c r="C2391" s="104"/>
      <c r="F2391" s="107" t="str">
        <f aca="false">IF(OR($C2391="",$D2391=0),"",$E2391/$D2391)</f>
        <v/>
      </c>
      <c r="H2391" s="0" t="str">
        <f aca="false">IF($C2391="","",IF(COUNTIF('مواد المخزون'!$A$2:$A$90,$C2391)&gt;0,"نعم","لا (خارج الجرد)"))</f>
        <v/>
      </c>
    </row>
    <row r="2392" customFormat="false" ht="15" hidden="false" customHeight="false" outlineLevel="0" collapsed="false">
      <c r="A2392" s="103"/>
      <c r="B2392" s="104"/>
      <c r="C2392" s="104"/>
      <c r="F2392" s="107" t="str">
        <f aca="false">IF(OR($C2392="",$D2392=0),"",$E2392/$D2392)</f>
        <v/>
      </c>
      <c r="H2392" s="0" t="str">
        <f aca="false">IF($C2392="","",IF(COUNTIF('مواد المخزون'!$A$2:$A$90,$C2392)&gt;0,"نعم","لا (خارج الجرد)"))</f>
        <v/>
      </c>
    </row>
    <row r="2393" customFormat="false" ht="15" hidden="false" customHeight="false" outlineLevel="0" collapsed="false">
      <c r="A2393" s="103"/>
      <c r="B2393" s="104"/>
      <c r="C2393" s="104"/>
      <c r="F2393" s="107" t="str">
        <f aca="false">IF(OR($C2393="",$D2393=0),"",$E2393/$D2393)</f>
        <v/>
      </c>
      <c r="H2393" s="0" t="str">
        <f aca="false">IF($C2393="","",IF(COUNTIF('مواد المخزون'!$A$2:$A$90,$C2393)&gt;0,"نعم","لا (خارج الجرد)"))</f>
        <v/>
      </c>
    </row>
    <row r="2394" customFormat="false" ht="15" hidden="false" customHeight="false" outlineLevel="0" collapsed="false">
      <c r="A2394" s="103"/>
      <c r="B2394" s="104"/>
      <c r="C2394" s="104"/>
      <c r="F2394" s="107" t="str">
        <f aca="false">IF(OR($C2394="",$D2394=0),"",$E2394/$D2394)</f>
        <v/>
      </c>
      <c r="H2394" s="0" t="str">
        <f aca="false">IF($C2394="","",IF(COUNTIF('مواد المخزون'!$A$2:$A$90,$C2394)&gt;0,"نعم","لا (خارج الجرد)"))</f>
        <v/>
      </c>
    </row>
    <row r="2395" customFormat="false" ht="15" hidden="false" customHeight="false" outlineLevel="0" collapsed="false">
      <c r="A2395" s="103"/>
      <c r="B2395" s="104"/>
      <c r="C2395" s="104"/>
      <c r="F2395" s="107" t="str">
        <f aca="false">IF(OR($C2395="",$D2395=0),"",$E2395/$D2395)</f>
        <v/>
      </c>
      <c r="H2395" s="0" t="str">
        <f aca="false">IF($C2395="","",IF(COUNTIF('مواد المخزون'!$A$2:$A$90,$C2395)&gt;0,"نعم","لا (خارج الجرد)"))</f>
        <v/>
      </c>
    </row>
    <row r="2396" customFormat="false" ht="15" hidden="false" customHeight="false" outlineLevel="0" collapsed="false">
      <c r="A2396" s="103"/>
      <c r="B2396" s="104"/>
      <c r="C2396" s="104"/>
      <c r="F2396" s="107" t="str">
        <f aca="false">IF(OR($C2396="",$D2396=0),"",$E2396/$D2396)</f>
        <v/>
      </c>
      <c r="H2396" s="0" t="str">
        <f aca="false">IF($C2396="","",IF(COUNTIF('مواد المخزون'!$A$2:$A$90,$C2396)&gt;0,"نعم","لا (خارج الجرد)"))</f>
        <v/>
      </c>
    </row>
    <row r="2397" customFormat="false" ht="15" hidden="false" customHeight="false" outlineLevel="0" collapsed="false">
      <c r="A2397" s="103"/>
      <c r="B2397" s="104"/>
      <c r="C2397" s="104"/>
      <c r="F2397" s="107" t="str">
        <f aca="false">IF(OR($C2397="",$D2397=0),"",$E2397/$D2397)</f>
        <v/>
      </c>
      <c r="H2397" s="0" t="str">
        <f aca="false">IF($C2397="","",IF(COUNTIF('مواد المخزون'!$A$2:$A$90,$C2397)&gt;0,"نعم","لا (خارج الجرد)"))</f>
        <v/>
      </c>
    </row>
    <row r="2398" customFormat="false" ht="15" hidden="false" customHeight="false" outlineLevel="0" collapsed="false">
      <c r="A2398" s="103"/>
      <c r="B2398" s="104"/>
      <c r="C2398" s="104"/>
      <c r="F2398" s="107" t="str">
        <f aca="false">IF(OR($C2398="",$D2398=0),"",$E2398/$D2398)</f>
        <v/>
      </c>
      <c r="H2398" s="0" t="str">
        <f aca="false">IF($C2398="","",IF(COUNTIF('مواد المخزون'!$A$2:$A$90,$C2398)&gt;0,"نعم","لا (خارج الجرد)"))</f>
        <v/>
      </c>
    </row>
    <row r="2399" customFormat="false" ht="15" hidden="false" customHeight="false" outlineLevel="0" collapsed="false">
      <c r="A2399" s="103"/>
      <c r="B2399" s="104"/>
      <c r="C2399" s="104"/>
      <c r="F2399" s="107" t="str">
        <f aca="false">IF(OR($C2399="",$D2399=0),"",$E2399/$D2399)</f>
        <v/>
      </c>
      <c r="H2399" s="0" t="str">
        <f aca="false">IF($C2399="","",IF(COUNTIF('مواد المخزون'!$A$2:$A$90,$C2399)&gt;0,"نعم","لا (خارج الجرد)"))</f>
        <v/>
      </c>
    </row>
    <row r="2400" customFormat="false" ht="15" hidden="false" customHeight="false" outlineLevel="0" collapsed="false">
      <c r="A2400" s="103"/>
      <c r="B2400" s="104"/>
      <c r="C2400" s="104"/>
      <c r="F2400" s="107" t="str">
        <f aca="false">IF(OR($C2400="",$D2400=0),"",$E2400/$D2400)</f>
        <v/>
      </c>
      <c r="H2400" s="0" t="str">
        <f aca="false">IF($C2400="","",IF(COUNTIF('مواد المخزون'!$A$2:$A$90,$C2400)&gt;0,"نعم","لا (خارج الجرد)"))</f>
        <v/>
      </c>
    </row>
    <row r="2401" customFormat="false" ht="15" hidden="false" customHeight="false" outlineLevel="0" collapsed="false">
      <c r="A2401" s="103"/>
      <c r="B2401" s="104"/>
      <c r="C2401" s="104"/>
      <c r="F2401" s="107" t="str">
        <f aca="false">IF(OR($C2401="",$D2401=0),"",$E2401/$D2401)</f>
        <v/>
      </c>
      <c r="H2401" s="0" t="str">
        <f aca="false">IF($C2401="","",IF(COUNTIF('مواد المخزون'!$A$2:$A$90,$C2401)&gt;0,"نعم","لا (خارج الجرد)"))</f>
        <v/>
      </c>
    </row>
    <row r="2402" customFormat="false" ht="15" hidden="false" customHeight="false" outlineLevel="0" collapsed="false">
      <c r="A2402" s="103"/>
      <c r="B2402" s="104"/>
      <c r="C2402" s="104"/>
      <c r="F2402" s="107" t="str">
        <f aca="false">IF(OR($C2402="",$D2402=0),"",$E2402/$D2402)</f>
        <v/>
      </c>
      <c r="H2402" s="0" t="str">
        <f aca="false">IF($C2402="","",IF(COUNTIF('مواد المخزون'!$A$2:$A$90,$C2402)&gt;0,"نعم","لا (خارج الجرد)"))</f>
        <v/>
      </c>
    </row>
    <row r="2403" customFormat="false" ht="15" hidden="false" customHeight="false" outlineLevel="0" collapsed="false">
      <c r="A2403" s="103"/>
      <c r="B2403" s="104"/>
      <c r="C2403" s="104"/>
      <c r="F2403" s="107" t="str">
        <f aca="false">IF(OR($C2403="",$D2403=0),"",$E2403/$D2403)</f>
        <v/>
      </c>
      <c r="H2403" s="0" t="str">
        <f aca="false">IF($C2403="","",IF(COUNTIF('مواد المخزون'!$A$2:$A$90,$C2403)&gt;0,"نعم","لا (خارج الجرد)"))</f>
        <v/>
      </c>
    </row>
    <row r="2404" customFormat="false" ht="15" hidden="false" customHeight="false" outlineLevel="0" collapsed="false">
      <c r="A2404" s="103"/>
      <c r="B2404" s="104"/>
      <c r="C2404" s="104"/>
      <c r="F2404" s="107" t="str">
        <f aca="false">IF(OR($C2404="",$D2404=0),"",$E2404/$D2404)</f>
        <v/>
      </c>
      <c r="H2404" s="0" t="str">
        <f aca="false">IF($C2404="","",IF(COUNTIF('مواد المخزون'!$A$2:$A$90,$C2404)&gt;0,"نعم","لا (خارج الجرد)"))</f>
        <v/>
      </c>
    </row>
    <row r="2405" customFormat="false" ht="15" hidden="false" customHeight="false" outlineLevel="0" collapsed="false">
      <c r="A2405" s="103"/>
      <c r="B2405" s="104"/>
      <c r="C2405" s="104"/>
      <c r="F2405" s="107" t="str">
        <f aca="false">IF(OR($C2405="",$D2405=0),"",$E2405/$D2405)</f>
        <v/>
      </c>
      <c r="H2405" s="0" t="str">
        <f aca="false">IF($C2405="","",IF(COUNTIF('مواد المخزون'!$A$2:$A$90,$C2405)&gt;0,"نعم","لا (خارج الجرد)"))</f>
        <v/>
      </c>
    </row>
    <row r="2406" customFormat="false" ht="15" hidden="false" customHeight="false" outlineLevel="0" collapsed="false">
      <c r="A2406" s="103"/>
      <c r="B2406" s="104"/>
      <c r="C2406" s="104"/>
      <c r="F2406" s="107" t="str">
        <f aca="false">IF(OR($C2406="",$D2406=0),"",$E2406/$D2406)</f>
        <v/>
      </c>
      <c r="H2406" s="0" t="str">
        <f aca="false">IF($C2406="","",IF(COUNTIF('مواد المخزون'!$A$2:$A$90,$C2406)&gt;0,"نعم","لا (خارج الجرد)"))</f>
        <v/>
      </c>
    </row>
    <row r="2407" customFormat="false" ht="15" hidden="false" customHeight="false" outlineLevel="0" collapsed="false">
      <c r="A2407" s="103"/>
      <c r="B2407" s="104"/>
      <c r="C2407" s="104"/>
      <c r="F2407" s="107" t="str">
        <f aca="false">IF(OR($C2407="",$D2407=0),"",$E2407/$D2407)</f>
        <v/>
      </c>
      <c r="H2407" s="0" t="str">
        <f aca="false">IF($C2407="","",IF(COUNTIF('مواد المخزون'!$A$2:$A$90,$C2407)&gt;0,"نعم","لا (خارج الجرد)"))</f>
        <v/>
      </c>
    </row>
    <row r="2408" customFormat="false" ht="15" hidden="false" customHeight="false" outlineLevel="0" collapsed="false">
      <c r="A2408" s="103"/>
      <c r="B2408" s="104"/>
      <c r="C2408" s="104"/>
      <c r="F2408" s="107" t="str">
        <f aca="false">IF(OR($C2408="",$D2408=0),"",$E2408/$D2408)</f>
        <v/>
      </c>
      <c r="H2408" s="0" t="str">
        <f aca="false">IF($C2408="","",IF(COUNTIF('مواد المخزون'!$A$2:$A$90,$C2408)&gt;0,"نعم","لا (خارج الجرد)"))</f>
        <v/>
      </c>
    </row>
    <row r="2409" customFormat="false" ht="15" hidden="false" customHeight="false" outlineLevel="0" collapsed="false">
      <c r="A2409" s="103"/>
      <c r="B2409" s="104"/>
      <c r="C2409" s="104"/>
      <c r="F2409" s="107" t="str">
        <f aca="false">IF(OR($C2409="",$D2409=0),"",$E2409/$D2409)</f>
        <v/>
      </c>
      <c r="H2409" s="0" t="str">
        <f aca="false">IF($C2409="","",IF(COUNTIF('مواد المخزون'!$A$2:$A$90,$C2409)&gt;0,"نعم","لا (خارج الجرد)"))</f>
        <v/>
      </c>
    </row>
    <row r="2410" customFormat="false" ht="15" hidden="false" customHeight="false" outlineLevel="0" collapsed="false">
      <c r="A2410" s="103"/>
      <c r="B2410" s="104"/>
      <c r="C2410" s="104"/>
      <c r="F2410" s="107" t="str">
        <f aca="false">IF(OR($C2410="",$D2410=0),"",$E2410/$D2410)</f>
        <v/>
      </c>
      <c r="H2410" s="0" t="str">
        <f aca="false">IF($C2410="","",IF(COUNTIF('مواد المخزون'!$A$2:$A$90,$C2410)&gt;0,"نعم","لا (خارج الجرد)"))</f>
        <v/>
      </c>
    </row>
    <row r="2411" customFormat="false" ht="15" hidden="false" customHeight="false" outlineLevel="0" collapsed="false">
      <c r="A2411" s="103"/>
      <c r="B2411" s="104"/>
      <c r="C2411" s="104"/>
      <c r="F2411" s="107" t="str">
        <f aca="false">IF(OR($C2411="",$D2411=0),"",$E2411/$D2411)</f>
        <v/>
      </c>
      <c r="H2411" s="0" t="str">
        <f aca="false">IF($C2411="","",IF(COUNTIF('مواد المخزون'!$A$2:$A$90,$C2411)&gt;0,"نعم","لا (خارج الجرد)"))</f>
        <v/>
      </c>
    </row>
    <row r="2412" customFormat="false" ht="15" hidden="false" customHeight="false" outlineLevel="0" collapsed="false">
      <c r="A2412" s="103"/>
      <c r="B2412" s="104"/>
      <c r="C2412" s="104"/>
      <c r="F2412" s="107" t="str">
        <f aca="false">IF(OR($C2412="",$D2412=0),"",$E2412/$D2412)</f>
        <v/>
      </c>
      <c r="H2412" s="0" t="str">
        <f aca="false">IF($C2412="","",IF(COUNTIF('مواد المخزون'!$A$2:$A$90,$C2412)&gt;0,"نعم","لا (خارج الجرد)"))</f>
        <v/>
      </c>
    </row>
    <row r="2413" customFormat="false" ht="15" hidden="false" customHeight="false" outlineLevel="0" collapsed="false">
      <c r="A2413" s="103"/>
      <c r="B2413" s="104"/>
      <c r="C2413" s="104"/>
      <c r="F2413" s="107" t="str">
        <f aca="false">IF(OR($C2413="",$D2413=0),"",$E2413/$D2413)</f>
        <v/>
      </c>
      <c r="H2413" s="0" t="str">
        <f aca="false">IF($C2413="","",IF(COUNTIF('مواد المخزون'!$A$2:$A$90,$C2413)&gt;0,"نعم","لا (خارج الجرد)"))</f>
        <v/>
      </c>
    </row>
    <row r="2414" customFormat="false" ht="15" hidden="false" customHeight="false" outlineLevel="0" collapsed="false">
      <c r="A2414" s="103"/>
      <c r="B2414" s="104"/>
      <c r="C2414" s="104"/>
      <c r="F2414" s="107" t="str">
        <f aca="false">IF(OR($C2414="",$D2414=0),"",$E2414/$D2414)</f>
        <v/>
      </c>
      <c r="H2414" s="0" t="str">
        <f aca="false">IF($C2414="","",IF(COUNTIF('مواد المخزون'!$A$2:$A$90,$C2414)&gt;0,"نعم","لا (خارج الجرد)"))</f>
        <v/>
      </c>
    </row>
    <row r="2415" customFormat="false" ht="15" hidden="false" customHeight="false" outlineLevel="0" collapsed="false">
      <c r="A2415" s="103"/>
      <c r="B2415" s="104"/>
      <c r="C2415" s="104"/>
      <c r="F2415" s="107" t="str">
        <f aca="false">IF(OR($C2415="",$D2415=0),"",$E2415/$D2415)</f>
        <v/>
      </c>
      <c r="H2415" s="0" t="str">
        <f aca="false">IF($C2415="","",IF(COUNTIF('مواد المخزون'!$A$2:$A$90,$C2415)&gt;0,"نعم","لا (خارج الجرد)"))</f>
        <v/>
      </c>
    </row>
    <row r="2416" customFormat="false" ht="15" hidden="false" customHeight="false" outlineLevel="0" collapsed="false">
      <c r="A2416" s="103"/>
      <c r="B2416" s="104"/>
      <c r="C2416" s="104"/>
      <c r="F2416" s="107" t="str">
        <f aca="false">IF(OR($C2416="",$D2416=0),"",$E2416/$D2416)</f>
        <v/>
      </c>
      <c r="H2416" s="0" t="str">
        <f aca="false">IF($C2416="","",IF(COUNTIF('مواد المخزون'!$A$2:$A$90,$C2416)&gt;0,"نعم","لا (خارج الجرد)"))</f>
        <v/>
      </c>
    </row>
    <row r="2417" customFormat="false" ht="15" hidden="false" customHeight="false" outlineLevel="0" collapsed="false">
      <c r="A2417" s="103"/>
      <c r="B2417" s="104"/>
      <c r="C2417" s="104"/>
      <c r="F2417" s="107" t="str">
        <f aca="false">IF(OR($C2417="",$D2417=0),"",$E2417/$D2417)</f>
        <v/>
      </c>
      <c r="H2417" s="0" t="str">
        <f aca="false">IF($C2417="","",IF(COUNTIF('مواد المخزون'!$A$2:$A$90,$C2417)&gt;0,"نعم","لا (خارج الجرد)"))</f>
        <v/>
      </c>
    </row>
    <row r="2418" customFormat="false" ht="15" hidden="false" customHeight="false" outlineLevel="0" collapsed="false">
      <c r="A2418" s="103"/>
      <c r="B2418" s="104"/>
      <c r="C2418" s="104"/>
      <c r="F2418" s="107" t="str">
        <f aca="false">IF(OR($C2418="",$D2418=0),"",$E2418/$D2418)</f>
        <v/>
      </c>
      <c r="H2418" s="0" t="str">
        <f aca="false">IF($C2418="","",IF(COUNTIF('مواد المخزون'!$A$2:$A$90,$C2418)&gt;0,"نعم","لا (خارج الجرد)"))</f>
        <v/>
      </c>
    </row>
    <row r="2419" customFormat="false" ht="15" hidden="false" customHeight="false" outlineLevel="0" collapsed="false">
      <c r="A2419" s="103"/>
      <c r="B2419" s="104"/>
      <c r="C2419" s="104"/>
      <c r="F2419" s="107" t="str">
        <f aca="false">IF(OR($C2419="",$D2419=0),"",$E2419/$D2419)</f>
        <v/>
      </c>
      <c r="H2419" s="0" t="str">
        <f aca="false">IF($C2419="","",IF(COUNTIF('مواد المخزون'!$A$2:$A$90,$C2419)&gt;0,"نعم","لا (خارج الجرد)"))</f>
        <v/>
      </c>
    </row>
    <row r="2420" customFormat="false" ht="15" hidden="false" customHeight="false" outlineLevel="0" collapsed="false">
      <c r="A2420" s="103"/>
      <c r="B2420" s="104"/>
      <c r="C2420" s="104"/>
      <c r="F2420" s="107" t="str">
        <f aca="false">IF(OR($C2420="",$D2420=0),"",$E2420/$D2420)</f>
        <v/>
      </c>
      <c r="H2420" s="0" t="str">
        <f aca="false">IF($C2420="","",IF(COUNTIF('مواد المخزون'!$A$2:$A$90,$C2420)&gt;0,"نعم","لا (خارج الجرد)"))</f>
        <v/>
      </c>
    </row>
    <row r="2421" customFormat="false" ht="15" hidden="false" customHeight="false" outlineLevel="0" collapsed="false">
      <c r="A2421" s="103"/>
      <c r="B2421" s="104"/>
      <c r="C2421" s="104"/>
      <c r="F2421" s="107" t="str">
        <f aca="false">IF(OR($C2421="",$D2421=0),"",$E2421/$D2421)</f>
        <v/>
      </c>
      <c r="H2421" s="0" t="str">
        <f aca="false">IF($C2421="","",IF(COUNTIF('مواد المخزون'!$A$2:$A$90,$C2421)&gt;0,"نعم","لا (خارج الجرد)"))</f>
        <v/>
      </c>
    </row>
    <row r="2422" customFormat="false" ht="15" hidden="false" customHeight="false" outlineLevel="0" collapsed="false">
      <c r="A2422" s="103"/>
      <c r="B2422" s="104"/>
      <c r="C2422" s="104"/>
      <c r="F2422" s="107" t="str">
        <f aca="false">IF(OR($C2422="",$D2422=0),"",$E2422/$D2422)</f>
        <v/>
      </c>
      <c r="H2422" s="0" t="str">
        <f aca="false">IF($C2422="","",IF(COUNTIF('مواد المخزون'!$A$2:$A$90,$C2422)&gt;0,"نعم","لا (خارج الجرد)"))</f>
        <v/>
      </c>
    </row>
    <row r="2423" customFormat="false" ht="15" hidden="false" customHeight="false" outlineLevel="0" collapsed="false">
      <c r="A2423" s="103"/>
      <c r="B2423" s="104"/>
      <c r="C2423" s="104"/>
      <c r="F2423" s="107" t="str">
        <f aca="false">IF(OR($C2423="",$D2423=0),"",$E2423/$D2423)</f>
        <v/>
      </c>
      <c r="H2423" s="0" t="str">
        <f aca="false">IF($C2423="","",IF(COUNTIF('مواد المخزون'!$A$2:$A$90,$C2423)&gt;0,"نعم","لا (خارج الجرد)"))</f>
        <v/>
      </c>
    </row>
    <row r="2424" customFormat="false" ht="15" hidden="false" customHeight="false" outlineLevel="0" collapsed="false">
      <c r="A2424" s="103"/>
      <c r="B2424" s="104"/>
      <c r="C2424" s="104"/>
      <c r="F2424" s="107" t="str">
        <f aca="false">IF(OR($C2424="",$D2424=0),"",$E2424/$D2424)</f>
        <v/>
      </c>
      <c r="H2424" s="0" t="str">
        <f aca="false">IF($C2424="","",IF(COUNTIF('مواد المخزون'!$A$2:$A$90,$C2424)&gt;0,"نعم","لا (خارج الجرد)"))</f>
        <v/>
      </c>
    </row>
    <row r="2425" customFormat="false" ht="15" hidden="false" customHeight="false" outlineLevel="0" collapsed="false">
      <c r="A2425" s="103"/>
      <c r="B2425" s="104"/>
      <c r="C2425" s="104"/>
      <c r="F2425" s="107" t="str">
        <f aca="false">IF(OR($C2425="",$D2425=0),"",$E2425/$D2425)</f>
        <v/>
      </c>
      <c r="H2425" s="0" t="str">
        <f aca="false">IF($C2425="","",IF(COUNTIF('مواد المخزون'!$A$2:$A$90,$C2425)&gt;0,"نعم","لا (خارج الجرد)"))</f>
        <v/>
      </c>
    </row>
    <row r="2426" customFormat="false" ht="15" hidden="false" customHeight="false" outlineLevel="0" collapsed="false">
      <c r="A2426" s="103"/>
      <c r="B2426" s="104"/>
      <c r="C2426" s="104"/>
      <c r="F2426" s="107" t="str">
        <f aca="false">IF(OR($C2426="",$D2426=0),"",$E2426/$D2426)</f>
        <v/>
      </c>
      <c r="H2426" s="0" t="str">
        <f aca="false">IF($C2426="","",IF(COUNTIF('مواد المخزون'!$A$2:$A$90,$C2426)&gt;0,"نعم","لا (خارج الجرد)"))</f>
        <v/>
      </c>
    </row>
    <row r="2427" customFormat="false" ht="15" hidden="false" customHeight="false" outlineLevel="0" collapsed="false">
      <c r="A2427" s="103"/>
      <c r="B2427" s="104"/>
      <c r="C2427" s="104"/>
      <c r="F2427" s="107" t="str">
        <f aca="false">IF(OR($C2427="",$D2427=0),"",$E2427/$D2427)</f>
        <v/>
      </c>
      <c r="H2427" s="0" t="str">
        <f aca="false">IF($C2427="","",IF(COUNTIF('مواد المخزون'!$A$2:$A$90,$C2427)&gt;0,"نعم","لا (خارج الجرد)"))</f>
        <v/>
      </c>
    </row>
    <row r="2428" customFormat="false" ht="15" hidden="false" customHeight="false" outlineLevel="0" collapsed="false">
      <c r="A2428" s="103"/>
      <c r="B2428" s="104"/>
      <c r="C2428" s="104"/>
      <c r="F2428" s="107" t="str">
        <f aca="false">IF(OR($C2428="",$D2428=0),"",$E2428/$D2428)</f>
        <v/>
      </c>
      <c r="H2428" s="0" t="str">
        <f aca="false">IF($C2428="","",IF(COUNTIF('مواد المخزون'!$A$2:$A$90,$C2428)&gt;0,"نعم","لا (خارج الجرد)"))</f>
        <v/>
      </c>
    </row>
    <row r="2429" customFormat="false" ht="15" hidden="false" customHeight="false" outlineLevel="0" collapsed="false">
      <c r="A2429" s="103"/>
      <c r="B2429" s="104"/>
      <c r="C2429" s="104"/>
      <c r="F2429" s="107" t="str">
        <f aca="false">IF(OR($C2429="",$D2429=0),"",$E2429/$D2429)</f>
        <v/>
      </c>
      <c r="H2429" s="0" t="str">
        <f aca="false">IF($C2429="","",IF(COUNTIF('مواد المخزون'!$A$2:$A$90,$C2429)&gt;0,"نعم","لا (خارج الجرد)"))</f>
        <v/>
      </c>
    </row>
    <row r="2430" customFormat="false" ht="15" hidden="false" customHeight="false" outlineLevel="0" collapsed="false">
      <c r="A2430" s="103"/>
      <c r="B2430" s="104"/>
      <c r="C2430" s="104"/>
      <c r="F2430" s="107" t="str">
        <f aca="false">IF(OR($C2430="",$D2430=0),"",$E2430/$D2430)</f>
        <v/>
      </c>
      <c r="H2430" s="0" t="str">
        <f aca="false">IF($C2430="","",IF(COUNTIF('مواد المخزون'!$A$2:$A$90,$C2430)&gt;0,"نعم","لا (خارج الجرد)"))</f>
        <v/>
      </c>
    </row>
    <row r="2431" customFormat="false" ht="15" hidden="false" customHeight="false" outlineLevel="0" collapsed="false">
      <c r="A2431" s="103"/>
      <c r="B2431" s="104"/>
      <c r="C2431" s="104"/>
      <c r="F2431" s="107" t="str">
        <f aca="false">IF(OR($C2431="",$D2431=0),"",$E2431/$D2431)</f>
        <v/>
      </c>
      <c r="H2431" s="0" t="str">
        <f aca="false">IF($C2431="","",IF(COUNTIF('مواد المخزون'!$A$2:$A$90,$C2431)&gt;0,"نعم","لا (خارج الجرد)"))</f>
        <v/>
      </c>
    </row>
    <row r="2432" customFormat="false" ht="15" hidden="false" customHeight="false" outlineLevel="0" collapsed="false">
      <c r="A2432" s="103"/>
      <c r="B2432" s="104"/>
      <c r="C2432" s="104"/>
      <c r="F2432" s="107" t="str">
        <f aca="false">IF(OR($C2432="",$D2432=0),"",$E2432/$D2432)</f>
        <v/>
      </c>
      <c r="H2432" s="0" t="str">
        <f aca="false">IF($C2432="","",IF(COUNTIF('مواد المخزون'!$A$2:$A$90,$C2432)&gt;0,"نعم","لا (خارج الجرد)"))</f>
        <v/>
      </c>
    </row>
    <row r="2433" customFormat="false" ht="15" hidden="false" customHeight="false" outlineLevel="0" collapsed="false">
      <c r="A2433" s="103"/>
      <c r="B2433" s="104"/>
      <c r="C2433" s="104"/>
      <c r="F2433" s="107" t="str">
        <f aca="false">IF(OR($C2433="",$D2433=0),"",$E2433/$D2433)</f>
        <v/>
      </c>
      <c r="H2433" s="0" t="str">
        <f aca="false">IF($C2433="","",IF(COUNTIF('مواد المخزون'!$A$2:$A$90,$C2433)&gt;0,"نعم","لا (خارج الجرد)"))</f>
        <v/>
      </c>
    </row>
    <row r="2434" customFormat="false" ht="15" hidden="false" customHeight="false" outlineLevel="0" collapsed="false">
      <c r="A2434" s="103"/>
      <c r="B2434" s="104"/>
      <c r="C2434" s="104"/>
      <c r="F2434" s="107" t="str">
        <f aca="false">IF(OR($C2434="",$D2434=0),"",$E2434/$D2434)</f>
        <v/>
      </c>
      <c r="H2434" s="0" t="str">
        <f aca="false">IF($C2434="","",IF(COUNTIF('مواد المخزون'!$A$2:$A$90,$C2434)&gt;0,"نعم","لا (خارج الجرد)"))</f>
        <v/>
      </c>
    </row>
    <row r="2435" customFormat="false" ht="15" hidden="false" customHeight="false" outlineLevel="0" collapsed="false">
      <c r="A2435" s="103"/>
      <c r="B2435" s="104"/>
      <c r="C2435" s="104"/>
      <c r="F2435" s="107" t="str">
        <f aca="false">IF(OR($C2435="",$D2435=0),"",$E2435/$D2435)</f>
        <v/>
      </c>
      <c r="H2435" s="0" t="str">
        <f aca="false">IF($C2435="","",IF(COUNTIF('مواد المخزون'!$A$2:$A$90,$C2435)&gt;0,"نعم","لا (خارج الجرد)"))</f>
        <v/>
      </c>
    </row>
    <row r="2436" customFormat="false" ht="15" hidden="false" customHeight="false" outlineLevel="0" collapsed="false">
      <c r="A2436" s="103"/>
      <c r="B2436" s="104"/>
      <c r="C2436" s="104"/>
      <c r="F2436" s="107" t="str">
        <f aca="false">IF(OR($C2436="",$D2436=0),"",$E2436/$D2436)</f>
        <v/>
      </c>
      <c r="H2436" s="0" t="str">
        <f aca="false">IF($C2436="","",IF(COUNTIF('مواد المخزون'!$A$2:$A$90,$C2436)&gt;0,"نعم","لا (خارج الجرد)"))</f>
        <v/>
      </c>
    </row>
    <row r="2437" customFormat="false" ht="15" hidden="false" customHeight="false" outlineLevel="0" collapsed="false">
      <c r="A2437" s="103"/>
      <c r="B2437" s="104"/>
      <c r="C2437" s="104"/>
      <c r="F2437" s="107" t="str">
        <f aca="false">IF(OR($C2437="",$D2437=0),"",$E2437/$D2437)</f>
        <v/>
      </c>
      <c r="H2437" s="0" t="str">
        <f aca="false">IF($C2437="","",IF(COUNTIF('مواد المخزون'!$A$2:$A$90,$C2437)&gt;0,"نعم","لا (خارج الجرد)"))</f>
        <v/>
      </c>
    </row>
    <row r="2438" customFormat="false" ht="15" hidden="false" customHeight="false" outlineLevel="0" collapsed="false">
      <c r="A2438" s="103"/>
      <c r="B2438" s="104"/>
      <c r="C2438" s="104"/>
      <c r="F2438" s="107" t="str">
        <f aca="false">IF(OR($C2438="",$D2438=0),"",$E2438/$D2438)</f>
        <v/>
      </c>
      <c r="H2438" s="0" t="str">
        <f aca="false">IF($C2438="","",IF(COUNTIF('مواد المخزون'!$A$2:$A$90,$C2438)&gt;0,"نعم","لا (خارج الجرد)"))</f>
        <v/>
      </c>
    </row>
    <row r="2439" customFormat="false" ht="15" hidden="false" customHeight="false" outlineLevel="0" collapsed="false">
      <c r="A2439" s="103"/>
      <c r="B2439" s="104"/>
      <c r="C2439" s="104"/>
      <c r="F2439" s="107" t="str">
        <f aca="false">IF(OR($C2439="",$D2439=0),"",$E2439/$D2439)</f>
        <v/>
      </c>
      <c r="H2439" s="0" t="str">
        <f aca="false">IF($C2439="","",IF(COUNTIF('مواد المخزون'!$A$2:$A$90,$C2439)&gt;0,"نعم","لا (خارج الجرد)"))</f>
        <v/>
      </c>
    </row>
    <row r="2440" customFormat="false" ht="15" hidden="false" customHeight="false" outlineLevel="0" collapsed="false">
      <c r="A2440" s="103"/>
      <c r="B2440" s="104"/>
      <c r="C2440" s="104"/>
      <c r="F2440" s="107" t="str">
        <f aca="false">IF(OR($C2440="",$D2440=0),"",$E2440/$D2440)</f>
        <v/>
      </c>
      <c r="H2440" s="0" t="str">
        <f aca="false">IF($C2440="","",IF(COUNTIF('مواد المخزون'!$A$2:$A$90,$C2440)&gt;0,"نعم","لا (خارج الجرد)"))</f>
        <v/>
      </c>
    </row>
    <row r="2441" customFormat="false" ht="15" hidden="false" customHeight="false" outlineLevel="0" collapsed="false">
      <c r="A2441" s="103"/>
      <c r="B2441" s="104"/>
      <c r="C2441" s="104"/>
      <c r="F2441" s="107" t="str">
        <f aca="false">IF(OR($C2441="",$D2441=0),"",$E2441/$D2441)</f>
        <v/>
      </c>
      <c r="H2441" s="0" t="str">
        <f aca="false">IF($C2441="","",IF(COUNTIF('مواد المخزون'!$A$2:$A$90,$C2441)&gt;0,"نعم","لا (خارج الجرد)"))</f>
        <v/>
      </c>
    </row>
    <row r="2442" customFormat="false" ht="15" hidden="false" customHeight="false" outlineLevel="0" collapsed="false">
      <c r="A2442" s="103"/>
      <c r="B2442" s="104"/>
      <c r="C2442" s="104"/>
      <c r="F2442" s="107" t="str">
        <f aca="false">IF(OR($C2442="",$D2442=0),"",$E2442/$D2442)</f>
        <v/>
      </c>
      <c r="H2442" s="0" t="str">
        <f aca="false">IF($C2442="","",IF(COUNTIF('مواد المخزون'!$A$2:$A$90,$C2442)&gt;0,"نعم","لا (خارج الجرد)"))</f>
        <v/>
      </c>
    </row>
    <row r="2443" customFormat="false" ht="15" hidden="false" customHeight="false" outlineLevel="0" collapsed="false">
      <c r="A2443" s="103"/>
      <c r="B2443" s="104"/>
      <c r="C2443" s="104"/>
      <c r="F2443" s="107" t="str">
        <f aca="false">IF(OR($C2443="",$D2443=0),"",$E2443/$D2443)</f>
        <v/>
      </c>
      <c r="H2443" s="0" t="str">
        <f aca="false">IF($C2443="","",IF(COUNTIF('مواد المخزون'!$A$2:$A$90,$C2443)&gt;0,"نعم","لا (خارج الجرد)"))</f>
        <v/>
      </c>
    </row>
    <row r="2444" customFormat="false" ht="15" hidden="false" customHeight="false" outlineLevel="0" collapsed="false">
      <c r="A2444" s="103"/>
      <c r="B2444" s="104"/>
      <c r="C2444" s="104"/>
      <c r="F2444" s="107" t="str">
        <f aca="false">IF(OR($C2444="",$D2444=0),"",$E2444/$D2444)</f>
        <v/>
      </c>
      <c r="H2444" s="0" t="str">
        <f aca="false">IF($C2444="","",IF(COUNTIF('مواد المخزون'!$A$2:$A$90,$C2444)&gt;0,"نعم","لا (خارج الجرد)"))</f>
        <v/>
      </c>
    </row>
    <row r="2445" customFormat="false" ht="15" hidden="false" customHeight="false" outlineLevel="0" collapsed="false">
      <c r="A2445" s="103"/>
      <c r="B2445" s="104"/>
      <c r="C2445" s="104"/>
      <c r="F2445" s="107" t="str">
        <f aca="false">IF(OR($C2445="",$D2445=0),"",$E2445/$D2445)</f>
        <v/>
      </c>
      <c r="H2445" s="0" t="str">
        <f aca="false">IF($C2445="","",IF(COUNTIF('مواد المخزون'!$A$2:$A$90,$C2445)&gt;0,"نعم","لا (خارج الجرد)"))</f>
        <v/>
      </c>
    </row>
    <row r="2446" customFormat="false" ht="15" hidden="false" customHeight="false" outlineLevel="0" collapsed="false">
      <c r="A2446" s="103"/>
      <c r="B2446" s="104"/>
      <c r="C2446" s="104"/>
      <c r="F2446" s="107" t="str">
        <f aca="false">IF(OR($C2446="",$D2446=0),"",$E2446/$D2446)</f>
        <v/>
      </c>
      <c r="H2446" s="0" t="str">
        <f aca="false">IF($C2446="","",IF(COUNTIF('مواد المخزون'!$A$2:$A$90,$C2446)&gt;0,"نعم","لا (خارج الجرد)"))</f>
        <v/>
      </c>
    </row>
    <row r="2447" customFormat="false" ht="15" hidden="false" customHeight="false" outlineLevel="0" collapsed="false">
      <c r="A2447" s="103"/>
      <c r="B2447" s="104"/>
      <c r="C2447" s="104"/>
      <c r="F2447" s="107" t="str">
        <f aca="false">IF(OR($C2447="",$D2447=0),"",$E2447/$D2447)</f>
        <v/>
      </c>
      <c r="H2447" s="0" t="str">
        <f aca="false">IF($C2447="","",IF(COUNTIF('مواد المخزون'!$A$2:$A$90,$C2447)&gt;0,"نعم","لا (خارج الجرد)"))</f>
        <v/>
      </c>
    </row>
    <row r="2448" customFormat="false" ht="15" hidden="false" customHeight="false" outlineLevel="0" collapsed="false">
      <c r="A2448" s="103"/>
      <c r="B2448" s="104"/>
      <c r="C2448" s="104"/>
      <c r="F2448" s="107" t="str">
        <f aca="false">IF(OR($C2448="",$D2448=0),"",$E2448/$D2448)</f>
        <v/>
      </c>
      <c r="H2448" s="0" t="str">
        <f aca="false">IF($C2448="","",IF(COUNTIF('مواد المخزون'!$A$2:$A$90,$C2448)&gt;0,"نعم","لا (خارج الجرد)"))</f>
        <v/>
      </c>
    </row>
    <row r="2449" customFormat="false" ht="15" hidden="false" customHeight="false" outlineLevel="0" collapsed="false">
      <c r="A2449" s="103"/>
      <c r="B2449" s="104"/>
      <c r="C2449" s="104"/>
      <c r="F2449" s="107" t="str">
        <f aca="false">IF(OR($C2449="",$D2449=0),"",$E2449/$D2449)</f>
        <v/>
      </c>
      <c r="H2449" s="0" t="str">
        <f aca="false">IF($C2449="","",IF(COUNTIF('مواد المخزون'!$A$2:$A$90,$C2449)&gt;0,"نعم","لا (خارج الجرد)"))</f>
        <v/>
      </c>
    </row>
    <row r="2450" customFormat="false" ht="15" hidden="false" customHeight="false" outlineLevel="0" collapsed="false">
      <c r="A2450" s="103"/>
      <c r="B2450" s="104"/>
      <c r="C2450" s="104"/>
      <c r="F2450" s="107" t="str">
        <f aca="false">IF(OR($C2450="",$D2450=0),"",$E2450/$D2450)</f>
        <v/>
      </c>
      <c r="H2450" s="0" t="str">
        <f aca="false">IF($C2450="","",IF(COUNTIF('مواد المخزون'!$A$2:$A$90,$C2450)&gt;0,"نعم","لا (خارج الجرد)"))</f>
        <v/>
      </c>
    </row>
    <row r="2451" customFormat="false" ht="15" hidden="false" customHeight="false" outlineLevel="0" collapsed="false">
      <c r="A2451" s="103"/>
      <c r="B2451" s="104"/>
      <c r="C2451" s="104"/>
      <c r="F2451" s="107" t="str">
        <f aca="false">IF(OR($C2451="",$D2451=0),"",$E2451/$D2451)</f>
        <v/>
      </c>
      <c r="H2451" s="0" t="str">
        <f aca="false">IF($C2451="","",IF(COUNTIF('مواد المخزون'!$A$2:$A$90,$C2451)&gt;0,"نعم","لا (خارج الجرد)"))</f>
        <v/>
      </c>
    </row>
    <row r="2452" customFormat="false" ht="15" hidden="false" customHeight="false" outlineLevel="0" collapsed="false">
      <c r="A2452" s="103"/>
      <c r="B2452" s="104"/>
      <c r="C2452" s="104"/>
      <c r="F2452" s="107" t="str">
        <f aca="false">IF(OR($C2452="",$D2452=0),"",$E2452/$D2452)</f>
        <v/>
      </c>
      <c r="H2452" s="0" t="str">
        <f aca="false">IF($C2452="","",IF(COUNTIF('مواد المخزون'!$A$2:$A$90,$C2452)&gt;0,"نعم","لا (خارج الجرد)"))</f>
        <v/>
      </c>
    </row>
    <row r="2453" customFormat="false" ht="15" hidden="false" customHeight="false" outlineLevel="0" collapsed="false">
      <c r="A2453" s="103"/>
      <c r="B2453" s="104"/>
      <c r="C2453" s="104"/>
      <c r="F2453" s="107" t="str">
        <f aca="false">IF(OR($C2453="",$D2453=0),"",$E2453/$D2453)</f>
        <v/>
      </c>
      <c r="H2453" s="0" t="str">
        <f aca="false">IF($C2453="","",IF(COUNTIF('مواد المخزون'!$A$2:$A$90,$C2453)&gt;0,"نعم","لا (خارج الجرد)"))</f>
        <v/>
      </c>
    </row>
    <row r="2454" customFormat="false" ht="15" hidden="false" customHeight="false" outlineLevel="0" collapsed="false">
      <c r="A2454" s="103"/>
      <c r="B2454" s="104"/>
      <c r="C2454" s="104"/>
      <c r="F2454" s="107" t="str">
        <f aca="false">IF(OR($C2454="",$D2454=0),"",$E2454/$D2454)</f>
        <v/>
      </c>
      <c r="H2454" s="0" t="str">
        <f aca="false">IF($C2454="","",IF(COUNTIF('مواد المخزون'!$A$2:$A$90,$C2454)&gt;0,"نعم","لا (خارج الجرد)"))</f>
        <v/>
      </c>
    </row>
    <row r="2455" customFormat="false" ht="15" hidden="false" customHeight="false" outlineLevel="0" collapsed="false">
      <c r="A2455" s="103"/>
      <c r="B2455" s="104"/>
      <c r="C2455" s="104"/>
      <c r="F2455" s="107" t="str">
        <f aca="false">IF(OR($C2455="",$D2455=0),"",$E2455/$D2455)</f>
        <v/>
      </c>
      <c r="H2455" s="0" t="str">
        <f aca="false">IF($C2455="","",IF(COUNTIF('مواد المخزون'!$A$2:$A$90,$C2455)&gt;0,"نعم","لا (خارج الجرد)"))</f>
        <v/>
      </c>
    </row>
    <row r="2456" customFormat="false" ht="15" hidden="false" customHeight="false" outlineLevel="0" collapsed="false">
      <c r="A2456" s="103"/>
      <c r="B2456" s="104"/>
      <c r="C2456" s="104"/>
      <c r="F2456" s="107" t="str">
        <f aca="false">IF(OR($C2456="",$D2456=0),"",$E2456/$D2456)</f>
        <v/>
      </c>
      <c r="H2456" s="0" t="str">
        <f aca="false">IF($C2456="","",IF(COUNTIF('مواد المخزون'!$A$2:$A$90,$C2456)&gt;0,"نعم","لا (خارج الجرد)"))</f>
        <v/>
      </c>
    </row>
    <row r="2457" customFormat="false" ht="15" hidden="false" customHeight="false" outlineLevel="0" collapsed="false">
      <c r="A2457" s="103"/>
      <c r="B2457" s="104"/>
      <c r="C2457" s="104"/>
      <c r="F2457" s="107" t="str">
        <f aca="false">IF(OR($C2457="",$D2457=0),"",$E2457/$D2457)</f>
        <v/>
      </c>
      <c r="H2457" s="0" t="str">
        <f aca="false">IF($C2457="","",IF(COUNTIF('مواد المخزون'!$A$2:$A$90,$C2457)&gt;0,"نعم","لا (خارج الجرد)"))</f>
        <v/>
      </c>
    </row>
    <row r="2458" customFormat="false" ht="15" hidden="false" customHeight="false" outlineLevel="0" collapsed="false">
      <c r="A2458" s="103"/>
      <c r="B2458" s="104"/>
      <c r="C2458" s="104"/>
      <c r="F2458" s="107" t="str">
        <f aca="false">IF(OR($C2458="",$D2458=0),"",$E2458/$D2458)</f>
        <v/>
      </c>
      <c r="H2458" s="0" t="str">
        <f aca="false">IF($C2458="","",IF(COUNTIF('مواد المخزون'!$A$2:$A$90,$C2458)&gt;0,"نعم","لا (خارج الجرد)"))</f>
        <v/>
      </c>
    </row>
    <row r="2459" customFormat="false" ht="15" hidden="false" customHeight="false" outlineLevel="0" collapsed="false">
      <c r="A2459" s="103"/>
      <c r="B2459" s="104"/>
      <c r="C2459" s="104"/>
      <c r="F2459" s="107" t="str">
        <f aca="false">IF(OR($C2459="",$D2459=0),"",$E2459/$D2459)</f>
        <v/>
      </c>
      <c r="H2459" s="0" t="str">
        <f aca="false">IF($C2459="","",IF(COUNTIF('مواد المخزون'!$A$2:$A$90,$C2459)&gt;0,"نعم","لا (خارج الجرد)"))</f>
        <v/>
      </c>
    </row>
    <row r="2460" customFormat="false" ht="15" hidden="false" customHeight="false" outlineLevel="0" collapsed="false">
      <c r="A2460" s="103"/>
      <c r="B2460" s="104"/>
      <c r="C2460" s="104"/>
      <c r="F2460" s="107" t="str">
        <f aca="false">IF(OR($C2460="",$D2460=0),"",$E2460/$D2460)</f>
        <v/>
      </c>
      <c r="H2460" s="0" t="str">
        <f aca="false">IF($C2460="","",IF(COUNTIF('مواد المخزون'!$A$2:$A$90,$C2460)&gt;0,"نعم","لا (خارج الجرد)"))</f>
        <v/>
      </c>
    </row>
    <row r="2461" customFormat="false" ht="15" hidden="false" customHeight="false" outlineLevel="0" collapsed="false">
      <c r="A2461" s="103"/>
      <c r="B2461" s="104"/>
      <c r="C2461" s="104"/>
      <c r="F2461" s="107" t="str">
        <f aca="false">IF(OR($C2461="",$D2461=0),"",$E2461/$D2461)</f>
        <v/>
      </c>
      <c r="H2461" s="0" t="str">
        <f aca="false">IF($C2461="","",IF(COUNTIF('مواد المخزون'!$A$2:$A$90,$C2461)&gt;0,"نعم","لا (خارج الجرد)"))</f>
        <v/>
      </c>
    </row>
    <row r="2462" customFormat="false" ht="15" hidden="false" customHeight="false" outlineLevel="0" collapsed="false">
      <c r="A2462" s="103"/>
      <c r="B2462" s="104"/>
      <c r="C2462" s="104"/>
      <c r="F2462" s="107" t="str">
        <f aca="false">IF(OR($C2462="",$D2462=0),"",$E2462/$D2462)</f>
        <v/>
      </c>
      <c r="H2462" s="0" t="str">
        <f aca="false">IF($C2462="","",IF(COUNTIF('مواد المخزون'!$A$2:$A$90,$C2462)&gt;0,"نعم","لا (خارج الجرد)"))</f>
        <v/>
      </c>
    </row>
    <row r="2463" customFormat="false" ht="15" hidden="false" customHeight="false" outlineLevel="0" collapsed="false">
      <c r="A2463" s="103"/>
      <c r="B2463" s="104"/>
      <c r="C2463" s="104"/>
      <c r="F2463" s="107" t="str">
        <f aca="false">IF(OR($C2463="",$D2463=0),"",$E2463/$D2463)</f>
        <v/>
      </c>
      <c r="H2463" s="0" t="str">
        <f aca="false">IF($C2463="","",IF(COUNTIF('مواد المخزون'!$A$2:$A$90,$C2463)&gt;0,"نعم","لا (خارج الجرد)"))</f>
        <v/>
      </c>
    </row>
    <row r="2464" customFormat="false" ht="15" hidden="false" customHeight="false" outlineLevel="0" collapsed="false">
      <c r="A2464" s="103"/>
      <c r="B2464" s="104"/>
      <c r="C2464" s="104"/>
      <c r="F2464" s="107" t="str">
        <f aca="false">IF(OR($C2464="",$D2464=0),"",$E2464/$D2464)</f>
        <v/>
      </c>
      <c r="H2464" s="0" t="str">
        <f aca="false">IF($C2464="","",IF(COUNTIF('مواد المخزون'!$A$2:$A$90,$C2464)&gt;0,"نعم","لا (خارج الجرد)"))</f>
        <v/>
      </c>
    </row>
    <row r="2465" customFormat="false" ht="15" hidden="false" customHeight="false" outlineLevel="0" collapsed="false">
      <c r="A2465" s="103"/>
      <c r="B2465" s="104"/>
      <c r="C2465" s="104"/>
      <c r="F2465" s="107" t="str">
        <f aca="false">IF(OR($C2465="",$D2465=0),"",$E2465/$D2465)</f>
        <v/>
      </c>
      <c r="H2465" s="0" t="str">
        <f aca="false">IF($C2465="","",IF(COUNTIF('مواد المخزون'!$A$2:$A$90,$C2465)&gt;0,"نعم","لا (خارج الجرد)"))</f>
        <v/>
      </c>
    </row>
    <row r="2466" customFormat="false" ht="15" hidden="false" customHeight="false" outlineLevel="0" collapsed="false">
      <c r="A2466" s="103"/>
      <c r="B2466" s="104"/>
      <c r="C2466" s="104"/>
      <c r="F2466" s="107" t="str">
        <f aca="false">IF(OR($C2466="",$D2466=0),"",$E2466/$D2466)</f>
        <v/>
      </c>
      <c r="H2466" s="0" t="str">
        <f aca="false">IF($C2466="","",IF(COUNTIF('مواد المخزون'!$A$2:$A$90,$C2466)&gt;0,"نعم","لا (خارج الجرد)"))</f>
        <v/>
      </c>
    </row>
    <row r="2467" customFormat="false" ht="15" hidden="false" customHeight="false" outlineLevel="0" collapsed="false">
      <c r="A2467" s="103"/>
      <c r="B2467" s="104"/>
      <c r="C2467" s="104"/>
      <c r="F2467" s="107" t="str">
        <f aca="false">IF(OR($C2467="",$D2467=0),"",$E2467/$D2467)</f>
        <v/>
      </c>
      <c r="H2467" s="0" t="str">
        <f aca="false">IF($C2467="","",IF(COUNTIF('مواد المخزون'!$A$2:$A$90,$C2467)&gt;0,"نعم","لا (خارج الجرد)"))</f>
        <v/>
      </c>
    </row>
    <row r="2468" customFormat="false" ht="15" hidden="false" customHeight="false" outlineLevel="0" collapsed="false">
      <c r="A2468" s="103"/>
      <c r="B2468" s="104"/>
      <c r="C2468" s="104"/>
      <c r="F2468" s="107" t="str">
        <f aca="false">IF(OR($C2468="",$D2468=0),"",$E2468/$D2468)</f>
        <v/>
      </c>
      <c r="H2468" s="0" t="str">
        <f aca="false">IF($C2468="","",IF(COUNTIF('مواد المخزون'!$A$2:$A$90,$C2468)&gt;0,"نعم","لا (خارج الجرد)"))</f>
        <v/>
      </c>
    </row>
    <row r="2469" customFormat="false" ht="15" hidden="false" customHeight="false" outlineLevel="0" collapsed="false">
      <c r="A2469" s="103"/>
      <c r="B2469" s="104"/>
      <c r="C2469" s="104"/>
      <c r="F2469" s="107" t="str">
        <f aca="false">IF(OR($C2469="",$D2469=0),"",$E2469/$D2469)</f>
        <v/>
      </c>
      <c r="H2469" s="0" t="str">
        <f aca="false">IF($C2469="","",IF(COUNTIF('مواد المخزون'!$A$2:$A$90,$C2469)&gt;0,"نعم","لا (خارج الجرد)"))</f>
        <v/>
      </c>
    </row>
    <row r="2470" customFormat="false" ht="15" hidden="false" customHeight="false" outlineLevel="0" collapsed="false">
      <c r="A2470" s="103"/>
      <c r="B2470" s="104"/>
      <c r="C2470" s="104"/>
      <c r="F2470" s="107" t="str">
        <f aca="false">IF(OR($C2470="",$D2470=0),"",$E2470/$D2470)</f>
        <v/>
      </c>
      <c r="H2470" s="0" t="str">
        <f aca="false">IF($C2470="","",IF(COUNTIF('مواد المخزون'!$A$2:$A$90,$C2470)&gt;0,"نعم","لا (خارج الجرد)"))</f>
        <v/>
      </c>
    </row>
    <row r="2471" customFormat="false" ht="15" hidden="false" customHeight="false" outlineLevel="0" collapsed="false">
      <c r="A2471" s="103"/>
      <c r="B2471" s="104"/>
      <c r="C2471" s="104"/>
      <c r="F2471" s="107" t="str">
        <f aca="false">IF(OR($C2471="",$D2471=0),"",$E2471/$D2471)</f>
        <v/>
      </c>
      <c r="H2471" s="0" t="str">
        <f aca="false">IF($C2471="","",IF(COUNTIF('مواد المخزون'!$A$2:$A$90,$C2471)&gt;0,"نعم","لا (خارج الجرد)"))</f>
        <v/>
      </c>
    </row>
    <row r="2472" customFormat="false" ht="15" hidden="false" customHeight="false" outlineLevel="0" collapsed="false">
      <c r="A2472" s="103"/>
      <c r="B2472" s="104"/>
      <c r="C2472" s="104"/>
      <c r="F2472" s="107" t="str">
        <f aca="false">IF(OR($C2472="",$D2472=0),"",$E2472/$D2472)</f>
        <v/>
      </c>
      <c r="H2472" s="0" t="str">
        <f aca="false">IF($C2472="","",IF(COUNTIF('مواد المخزون'!$A$2:$A$90,$C2472)&gt;0,"نعم","لا (خارج الجرد)"))</f>
        <v/>
      </c>
    </row>
    <row r="2473" customFormat="false" ht="15" hidden="false" customHeight="false" outlineLevel="0" collapsed="false">
      <c r="A2473" s="103"/>
      <c r="B2473" s="104"/>
      <c r="C2473" s="104"/>
      <c r="F2473" s="107" t="str">
        <f aca="false">IF(OR($C2473="",$D2473=0),"",$E2473/$D2473)</f>
        <v/>
      </c>
      <c r="H2473" s="0" t="str">
        <f aca="false">IF($C2473="","",IF(COUNTIF('مواد المخزون'!$A$2:$A$90,$C2473)&gt;0,"نعم","لا (خارج الجرد)"))</f>
        <v/>
      </c>
    </row>
    <row r="2474" customFormat="false" ht="15" hidden="false" customHeight="false" outlineLevel="0" collapsed="false">
      <c r="A2474" s="103"/>
      <c r="B2474" s="104"/>
      <c r="C2474" s="104"/>
      <c r="F2474" s="107" t="str">
        <f aca="false">IF(OR($C2474="",$D2474=0),"",$E2474/$D2474)</f>
        <v/>
      </c>
      <c r="H2474" s="0" t="str">
        <f aca="false">IF($C2474="","",IF(COUNTIF('مواد المخزون'!$A$2:$A$90,$C2474)&gt;0,"نعم","لا (خارج الجرد)"))</f>
        <v/>
      </c>
    </row>
    <row r="2475" customFormat="false" ht="15" hidden="false" customHeight="false" outlineLevel="0" collapsed="false">
      <c r="A2475" s="103"/>
      <c r="B2475" s="104"/>
      <c r="C2475" s="104"/>
      <c r="F2475" s="107" t="str">
        <f aca="false">IF(OR($C2475="",$D2475=0),"",$E2475/$D2475)</f>
        <v/>
      </c>
      <c r="H2475" s="0" t="str">
        <f aca="false">IF($C2475="","",IF(COUNTIF('مواد المخزون'!$A$2:$A$90,$C2475)&gt;0,"نعم","لا (خارج الجرد)"))</f>
        <v/>
      </c>
    </row>
    <row r="2476" customFormat="false" ht="15" hidden="false" customHeight="false" outlineLevel="0" collapsed="false">
      <c r="A2476" s="103"/>
      <c r="B2476" s="104"/>
      <c r="C2476" s="104"/>
      <c r="F2476" s="107" t="str">
        <f aca="false">IF(OR($C2476="",$D2476=0),"",$E2476/$D2476)</f>
        <v/>
      </c>
      <c r="H2476" s="0" t="str">
        <f aca="false">IF($C2476="","",IF(COUNTIF('مواد المخزون'!$A$2:$A$90,$C2476)&gt;0,"نعم","لا (خارج الجرد)"))</f>
        <v/>
      </c>
    </row>
    <row r="2477" customFormat="false" ht="15" hidden="false" customHeight="false" outlineLevel="0" collapsed="false">
      <c r="A2477" s="103"/>
      <c r="B2477" s="104"/>
      <c r="C2477" s="104"/>
      <c r="F2477" s="107" t="str">
        <f aca="false">IF(OR($C2477="",$D2477=0),"",$E2477/$D2477)</f>
        <v/>
      </c>
      <c r="H2477" s="0" t="str">
        <f aca="false">IF($C2477="","",IF(COUNTIF('مواد المخزون'!$A$2:$A$90,$C2477)&gt;0,"نعم","لا (خارج الجرد)"))</f>
        <v/>
      </c>
    </row>
    <row r="2478" customFormat="false" ht="15" hidden="false" customHeight="false" outlineLevel="0" collapsed="false">
      <c r="A2478" s="103"/>
      <c r="B2478" s="104"/>
      <c r="C2478" s="104"/>
      <c r="F2478" s="107" t="str">
        <f aca="false">IF(OR($C2478="",$D2478=0),"",$E2478/$D2478)</f>
        <v/>
      </c>
      <c r="H2478" s="0" t="str">
        <f aca="false">IF($C2478="","",IF(COUNTIF('مواد المخزون'!$A$2:$A$90,$C2478)&gt;0,"نعم","لا (خارج الجرد)"))</f>
        <v/>
      </c>
    </row>
    <row r="2479" customFormat="false" ht="15" hidden="false" customHeight="false" outlineLevel="0" collapsed="false">
      <c r="A2479" s="103"/>
      <c r="B2479" s="104"/>
      <c r="C2479" s="104"/>
      <c r="F2479" s="107" t="str">
        <f aca="false">IF(OR($C2479="",$D2479=0),"",$E2479/$D2479)</f>
        <v/>
      </c>
      <c r="H2479" s="0" t="str">
        <f aca="false">IF($C2479="","",IF(COUNTIF('مواد المخزون'!$A$2:$A$90,$C2479)&gt;0,"نعم","لا (خارج الجرد)"))</f>
        <v/>
      </c>
    </row>
    <row r="2480" customFormat="false" ht="15" hidden="false" customHeight="false" outlineLevel="0" collapsed="false">
      <c r="A2480" s="103"/>
      <c r="B2480" s="104"/>
      <c r="C2480" s="104"/>
      <c r="F2480" s="107" t="str">
        <f aca="false">IF(OR($C2480="",$D2480=0),"",$E2480/$D2480)</f>
        <v/>
      </c>
      <c r="H2480" s="0" t="str">
        <f aca="false">IF($C2480="","",IF(COUNTIF('مواد المخزون'!$A$2:$A$90,$C2480)&gt;0,"نعم","لا (خارج الجرد)"))</f>
        <v/>
      </c>
    </row>
    <row r="2481" customFormat="false" ht="15" hidden="false" customHeight="false" outlineLevel="0" collapsed="false">
      <c r="A2481" s="103"/>
      <c r="B2481" s="104"/>
      <c r="C2481" s="104"/>
      <c r="F2481" s="107" t="str">
        <f aca="false">IF(OR($C2481="",$D2481=0),"",$E2481/$D2481)</f>
        <v/>
      </c>
      <c r="H2481" s="0" t="str">
        <f aca="false">IF($C2481="","",IF(COUNTIF('مواد المخزون'!$A$2:$A$90,$C2481)&gt;0,"نعم","لا (خارج الجرد)"))</f>
        <v/>
      </c>
    </row>
    <row r="2482" customFormat="false" ht="15" hidden="false" customHeight="false" outlineLevel="0" collapsed="false">
      <c r="A2482" s="103"/>
      <c r="B2482" s="104"/>
      <c r="C2482" s="104"/>
      <c r="F2482" s="107" t="str">
        <f aca="false">IF(OR($C2482="",$D2482=0),"",$E2482/$D2482)</f>
        <v/>
      </c>
      <c r="H2482" s="0" t="str">
        <f aca="false">IF($C2482="","",IF(COUNTIF('مواد المخزون'!$A$2:$A$90,$C2482)&gt;0,"نعم","لا (خارج الجرد)"))</f>
        <v/>
      </c>
    </row>
    <row r="2483" customFormat="false" ht="15" hidden="false" customHeight="false" outlineLevel="0" collapsed="false">
      <c r="A2483" s="103"/>
      <c r="B2483" s="104"/>
      <c r="C2483" s="104"/>
      <c r="F2483" s="107" t="str">
        <f aca="false">IF(OR($C2483="",$D2483=0),"",$E2483/$D2483)</f>
        <v/>
      </c>
      <c r="H2483" s="0" t="str">
        <f aca="false">IF($C2483="","",IF(COUNTIF('مواد المخزون'!$A$2:$A$90,$C2483)&gt;0,"نعم","لا (خارج الجرد)"))</f>
        <v/>
      </c>
    </row>
    <row r="2484" customFormat="false" ht="15" hidden="false" customHeight="false" outlineLevel="0" collapsed="false">
      <c r="A2484" s="103"/>
      <c r="B2484" s="104"/>
      <c r="C2484" s="104"/>
      <c r="F2484" s="107" t="str">
        <f aca="false">IF(OR($C2484="",$D2484=0),"",$E2484/$D2484)</f>
        <v/>
      </c>
      <c r="H2484" s="0" t="str">
        <f aca="false">IF($C2484="","",IF(COUNTIF('مواد المخزون'!$A$2:$A$90,$C2484)&gt;0,"نعم","لا (خارج الجرد)"))</f>
        <v/>
      </c>
    </row>
    <row r="2485" customFormat="false" ht="15" hidden="false" customHeight="false" outlineLevel="0" collapsed="false">
      <c r="A2485" s="103"/>
      <c r="B2485" s="104"/>
      <c r="C2485" s="104"/>
      <c r="F2485" s="107" t="str">
        <f aca="false">IF(OR($C2485="",$D2485=0),"",$E2485/$D2485)</f>
        <v/>
      </c>
      <c r="H2485" s="0" t="str">
        <f aca="false">IF($C2485="","",IF(COUNTIF('مواد المخزون'!$A$2:$A$90,$C2485)&gt;0,"نعم","لا (خارج الجرد)"))</f>
        <v/>
      </c>
    </row>
    <row r="2486" customFormat="false" ht="15" hidden="false" customHeight="false" outlineLevel="0" collapsed="false">
      <c r="A2486" s="103"/>
      <c r="B2486" s="104"/>
      <c r="C2486" s="104"/>
      <c r="F2486" s="107" t="str">
        <f aca="false">IF(OR($C2486="",$D2486=0),"",$E2486/$D2486)</f>
        <v/>
      </c>
      <c r="H2486" s="0" t="str">
        <f aca="false">IF($C2486="","",IF(COUNTIF('مواد المخزون'!$A$2:$A$90,$C2486)&gt;0,"نعم","لا (خارج الجرد)"))</f>
        <v/>
      </c>
    </row>
    <row r="2487" customFormat="false" ht="15" hidden="false" customHeight="false" outlineLevel="0" collapsed="false">
      <c r="A2487" s="103"/>
      <c r="B2487" s="104"/>
      <c r="C2487" s="104"/>
      <c r="F2487" s="107" t="str">
        <f aca="false">IF(OR($C2487="",$D2487=0),"",$E2487/$D2487)</f>
        <v/>
      </c>
      <c r="H2487" s="0" t="str">
        <f aca="false">IF($C2487="","",IF(COUNTIF('مواد المخزون'!$A$2:$A$90,$C2487)&gt;0,"نعم","لا (خارج الجرد)"))</f>
        <v/>
      </c>
    </row>
    <row r="2488" customFormat="false" ht="15" hidden="false" customHeight="false" outlineLevel="0" collapsed="false">
      <c r="A2488" s="103"/>
      <c r="B2488" s="104"/>
      <c r="C2488" s="104"/>
      <c r="F2488" s="107" t="str">
        <f aca="false">IF(OR($C2488="",$D2488=0),"",$E2488/$D2488)</f>
        <v/>
      </c>
      <c r="H2488" s="0" t="str">
        <f aca="false">IF($C2488="","",IF(COUNTIF('مواد المخزون'!$A$2:$A$90,$C2488)&gt;0,"نعم","لا (خارج الجرد)"))</f>
        <v/>
      </c>
    </row>
    <row r="2489" customFormat="false" ht="15" hidden="false" customHeight="false" outlineLevel="0" collapsed="false">
      <c r="A2489" s="103"/>
      <c r="B2489" s="104"/>
      <c r="C2489" s="104"/>
      <c r="F2489" s="107" t="str">
        <f aca="false">IF(OR($C2489="",$D2489=0),"",$E2489/$D2489)</f>
        <v/>
      </c>
      <c r="H2489" s="0" t="str">
        <f aca="false">IF($C2489="","",IF(COUNTIF('مواد المخزون'!$A$2:$A$90,$C2489)&gt;0,"نعم","لا (خارج الجرد)"))</f>
        <v/>
      </c>
    </row>
    <row r="2490" customFormat="false" ht="15" hidden="false" customHeight="false" outlineLevel="0" collapsed="false">
      <c r="A2490" s="103"/>
      <c r="B2490" s="104"/>
      <c r="C2490" s="104"/>
      <c r="F2490" s="107" t="str">
        <f aca="false">IF(OR($C2490="",$D2490=0),"",$E2490/$D2490)</f>
        <v/>
      </c>
      <c r="H2490" s="0" t="str">
        <f aca="false">IF($C2490="","",IF(COUNTIF('مواد المخزون'!$A$2:$A$90,$C2490)&gt;0,"نعم","لا (خارج الجرد)"))</f>
        <v/>
      </c>
    </row>
    <row r="2491" customFormat="false" ht="15" hidden="false" customHeight="false" outlineLevel="0" collapsed="false">
      <c r="A2491" s="103"/>
      <c r="B2491" s="104"/>
      <c r="C2491" s="104"/>
      <c r="F2491" s="107" t="str">
        <f aca="false">IF(OR($C2491="",$D2491=0),"",$E2491/$D2491)</f>
        <v/>
      </c>
      <c r="H2491" s="0" t="str">
        <f aca="false">IF($C2491="","",IF(COUNTIF('مواد المخزون'!$A$2:$A$90,$C2491)&gt;0,"نعم","لا (خارج الجرد)"))</f>
        <v/>
      </c>
    </row>
    <row r="2492" customFormat="false" ht="15" hidden="false" customHeight="false" outlineLevel="0" collapsed="false">
      <c r="A2492" s="103"/>
      <c r="B2492" s="104"/>
      <c r="C2492" s="104"/>
      <c r="F2492" s="107" t="str">
        <f aca="false">IF(OR($C2492="",$D2492=0),"",$E2492/$D2492)</f>
        <v/>
      </c>
      <c r="H2492" s="0" t="str">
        <f aca="false">IF($C2492="","",IF(COUNTIF('مواد المخزون'!$A$2:$A$90,$C2492)&gt;0,"نعم","لا (خارج الجرد)"))</f>
        <v/>
      </c>
    </row>
    <row r="2493" customFormat="false" ht="15" hidden="false" customHeight="false" outlineLevel="0" collapsed="false">
      <c r="A2493" s="103"/>
      <c r="B2493" s="104"/>
      <c r="C2493" s="104"/>
      <c r="F2493" s="107" t="str">
        <f aca="false">IF(OR($C2493="",$D2493=0),"",$E2493/$D2493)</f>
        <v/>
      </c>
      <c r="H2493" s="0" t="str">
        <f aca="false">IF($C2493="","",IF(COUNTIF('مواد المخزون'!$A$2:$A$90,$C2493)&gt;0,"نعم","لا (خارج الجرد)"))</f>
        <v/>
      </c>
    </row>
    <row r="2494" customFormat="false" ht="15" hidden="false" customHeight="false" outlineLevel="0" collapsed="false">
      <c r="A2494" s="103"/>
      <c r="B2494" s="104"/>
      <c r="C2494" s="104"/>
      <c r="F2494" s="107" t="str">
        <f aca="false">IF(OR($C2494="",$D2494=0),"",$E2494/$D2494)</f>
        <v/>
      </c>
      <c r="H2494" s="0" t="str">
        <f aca="false">IF($C2494="","",IF(COUNTIF('مواد المخزون'!$A$2:$A$90,$C2494)&gt;0,"نعم","لا (خارج الجرد)"))</f>
        <v/>
      </c>
    </row>
    <row r="2495" customFormat="false" ht="15" hidden="false" customHeight="false" outlineLevel="0" collapsed="false">
      <c r="A2495" s="103"/>
      <c r="B2495" s="104"/>
      <c r="C2495" s="104"/>
      <c r="F2495" s="107" t="str">
        <f aca="false">IF(OR($C2495="",$D2495=0),"",$E2495/$D2495)</f>
        <v/>
      </c>
      <c r="H2495" s="0" t="str">
        <f aca="false">IF($C2495="","",IF(COUNTIF('مواد المخزون'!$A$2:$A$90,$C2495)&gt;0,"نعم","لا (خارج الجرد)"))</f>
        <v/>
      </c>
    </row>
    <row r="2496" customFormat="false" ht="15" hidden="false" customHeight="false" outlineLevel="0" collapsed="false">
      <c r="A2496" s="103"/>
      <c r="B2496" s="104"/>
      <c r="C2496" s="104"/>
      <c r="F2496" s="107" t="str">
        <f aca="false">IF(OR($C2496="",$D2496=0),"",$E2496/$D2496)</f>
        <v/>
      </c>
      <c r="H2496" s="0" t="str">
        <f aca="false">IF($C2496="","",IF(COUNTIF('مواد المخزون'!$A$2:$A$90,$C2496)&gt;0,"نعم","لا (خارج الجرد)"))</f>
        <v/>
      </c>
    </row>
    <row r="2497" customFormat="false" ht="15" hidden="false" customHeight="false" outlineLevel="0" collapsed="false">
      <c r="A2497" s="103"/>
      <c r="B2497" s="104"/>
      <c r="C2497" s="104"/>
      <c r="F2497" s="107" t="str">
        <f aca="false">IF(OR($C2497="",$D2497=0),"",$E2497/$D2497)</f>
        <v/>
      </c>
      <c r="H2497" s="0" t="str">
        <f aca="false">IF($C2497="","",IF(COUNTIF('مواد المخزون'!$A$2:$A$90,$C2497)&gt;0,"نعم","لا (خارج الجرد)"))</f>
        <v/>
      </c>
    </row>
    <row r="2498" customFormat="false" ht="15" hidden="false" customHeight="false" outlineLevel="0" collapsed="false">
      <c r="A2498" s="103"/>
      <c r="B2498" s="104"/>
      <c r="C2498" s="104"/>
      <c r="F2498" s="107" t="str">
        <f aca="false">IF(OR($C2498="",$D2498=0),"",$E2498/$D2498)</f>
        <v/>
      </c>
      <c r="H2498" s="0" t="str">
        <f aca="false">IF($C2498="","",IF(COUNTIF('مواد المخزون'!$A$2:$A$90,$C2498)&gt;0,"نعم","لا (خارج الجرد)"))</f>
        <v/>
      </c>
    </row>
    <row r="2499" customFormat="false" ht="15" hidden="false" customHeight="false" outlineLevel="0" collapsed="false">
      <c r="A2499" s="103"/>
      <c r="B2499" s="104"/>
      <c r="C2499" s="104"/>
      <c r="F2499" s="107" t="str">
        <f aca="false">IF(OR($C2499="",$D2499=0),"",$E2499/$D2499)</f>
        <v/>
      </c>
      <c r="H2499" s="0" t="str">
        <f aca="false">IF($C2499="","",IF(COUNTIF('مواد المخزون'!$A$2:$A$90,$C2499)&gt;0,"نعم","لا (خارج الجرد)"))</f>
        <v/>
      </c>
    </row>
    <row r="2500" customFormat="false" ht="15" hidden="false" customHeight="false" outlineLevel="0" collapsed="false">
      <c r="A2500" s="103"/>
      <c r="B2500" s="104"/>
      <c r="C2500" s="104"/>
      <c r="F2500" s="107" t="str">
        <f aca="false">IF(OR($C2500="",$D2500=0),"",$E2500/$D2500)</f>
        <v/>
      </c>
      <c r="H2500" s="0" t="str">
        <f aca="false">IF($C2500="","",IF(COUNTIF('مواد المخزون'!$A$2:$A$90,$C2500)&gt;0,"نعم","لا (خارج الجرد)"))</f>
        <v/>
      </c>
    </row>
    <row r="2501" customFormat="false" ht="15" hidden="false" customHeight="false" outlineLevel="0" collapsed="false">
      <c r="A2501" s="103"/>
      <c r="B2501" s="104"/>
      <c r="C2501" s="104"/>
      <c r="F2501" s="107" t="str">
        <f aca="false">IF(OR($C2501="",$D2501=0),"",$E2501/$D2501)</f>
        <v/>
      </c>
      <c r="H2501" s="0" t="str">
        <f aca="false">IF($C2501="","",IF(COUNTIF('مواد المخزون'!$A$2:$A$90,$C2501)&gt;0,"نعم","لا (خارج الجرد)"))</f>
        <v/>
      </c>
    </row>
    <row r="2502" customFormat="false" ht="15" hidden="false" customHeight="false" outlineLevel="0" collapsed="false">
      <c r="A2502" s="103"/>
      <c r="B2502" s="104"/>
      <c r="C2502" s="104"/>
      <c r="F2502" s="107" t="str">
        <f aca="false">IF(OR($C2502="",$D2502=0),"",$E2502/$D2502)</f>
        <v/>
      </c>
      <c r="H2502" s="0" t="str">
        <f aca="false">IF($C2502="","",IF(COUNTIF('مواد المخزون'!$A$2:$A$90,$C2502)&gt;0,"نعم","لا (خارج الجرد)"))</f>
        <v/>
      </c>
    </row>
    <row r="2503" customFormat="false" ht="15" hidden="false" customHeight="false" outlineLevel="0" collapsed="false">
      <c r="A2503" s="103"/>
      <c r="B2503" s="104"/>
      <c r="C2503" s="104"/>
      <c r="F2503" s="107" t="str">
        <f aca="false">IF(OR($C2503="",$D2503=0),"",$E2503/$D2503)</f>
        <v/>
      </c>
      <c r="H2503" s="0" t="str">
        <f aca="false">IF($C2503="","",IF(COUNTIF('مواد المخزون'!$A$2:$A$90,$C2503)&gt;0,"نعم","لا (خارج الجرد)"))</f>
        <v/>
      </c>
    </row>
    <row r="2504" customFormat="false" ht="15" hidden="false" customHeight="false" outlineLevel="0" collapsed="false">
      <c r="A2504" s="103"/>
      <c r="B2504" s="104"/>
      <c r="C2504" s="104"/>
      <c r="F2504" s="107" t="str">
        <f aca="false">IF(OR($C2504="",$D2504=0),"",$E2504/$D2504)</f>
        <v/>
      </c>
      <c r="H2504" s="0" t="str">
        <f aca="false">IF($C2504="","",IF(COUNTIF('مواد المخزون'!$A$2:$A$90,$C2504)&gt;0,"نعم","لا (خارج الجرد)"))</f>
        <v/>
      </c>
    </row>
    <row r="2505" customFormat="false" ht="15" hidden="false" customHeight="false" outlineLevel="0" collapsed="false">
      <c r="A2505" s="103"/>
      <c r="B2505" s="104"/>
      <c r="C2505" s="104"/>
      <c r="F2505" s="107" t="str">
        <f aca="false">IF(OR($C2505="",$D2505=0),"",$E2505/$D2505)</f>
        <v/>
      </c>
      <c r="H2505" s="0" t="str">
        <f aca="false">IF($C2505="","",IF(COUNTIF('مواد المخزون'!$A$2:$A$90,$C2505)&gt;0,"نعم","لا (خارج الجرد)"))</f>
        <v/>
      </c>
    </row>
    <row r="2506" customFormat="false" ht="15" hidden="false" customHeight="false" outlineLevel="0" collapsed="false">
      <c r="A2506" s="103"/>
      <c r="B2506" s="104"/>
      <c r="C2506" s="104"/>
      <c r="F2506" s="107" t="str">
        <f aca="false">IF(OR($C2506="",$D2506=0),"",$E2506/$D2506)</f>
        <v/>
      </c>
      <c r="H2506" s="0" t="str">
        <f aca="false">IF($C2506="","",IF(COUNTIF('مواد المخزون'!$A$2:$A$90,$C2506)&gt;0,"نعم","لا (خارج الجرد)"))</f>
        <v/>
      </c>
    </row>
    <row r="2507" customFormat="false" ht="15" hidden="false" customHeight="false" outlineLevel="0" collapsed="false">
      <c r="A2507" s="103"/>
      <c r="B2507" s="104"/>
      <c r="C2507" s="104"/>
      <c r="F2507" s="107" t="str">
        <f aca="false">IF(OR($C2507="",$D2507=0),"",$E2507/$D2507)</f>
        <v/>
      </c>
      <c r="H2507" s="0" t="str">
        <f aca="false">IF($C2507="","",IF(COUNTIF('مواد المخزون'!$A$2:$A$90,$C2507)&gt;0,"نعم","لا (خارج الجرد)"))</f>
        <v/>
      </c>
    </row>
    <row r="2508" customFormat="false" ht="15" hidden="false" customHeight="false" outlineLevel="0" collapsed="false">
      <c r="A2508" s="103"/>
      <c r="B2508" s="104"/>
      <c r="C2508" s="104"/>
      <c r="F2508" s="107" t="str">
        <f aca="false">IF(OR($C2508="",$D2508=0),"",$E2508/$D2508)</f>
        <v/>
      </c>
      <c r="H2508" s="0" t="str">
        <f aca="false">IF($C2508="","",IF(COUNTIF('مواد المخزون'!$A$2:$A$90,$C2508)&gt;0,"نعم","لا (خارج الجرد)"))</f>
        <v/>
      </c>
    </row>
    <row r="2509" customFormat="false" ht="15" hidden="false" customHeight="false" outlineLevel="0" collapsed="false">
      <c r="A2509" s="103"/>
      <c r="B2509" s="104"/>
      <c r="C2509" s="104"/>
      <c r="F2509" s="107" t="str">
        <f aca="false">IF(OR($C2509="",$D2509=0),"",$E2509/$D2509)</f>
        <v/>
      </c>
      <c r="H2509" s="0" t="str">
        <f aca="false">IF($C2509="","",IF(COUNTIF('مواد المخزون'!$A$2:$A$90,$C2509)&gt;0,"نعم","لا (خارج الجرد)"))</f>
        <v/>
      </c>
    </row>
    <row r="2510" customFormat="false" ht="15" hidden="false" customHeight="false" outlineLevel="0" collapsed="false">
      <c r="A2510" s="103"/>
      <c r="B2510" s="104"/>
      <c r="C2510" s="104"/>
      <c r="F2510" s="107" t="str">
        <f aca="false">IF(OR($C2510="",$D2510=0),"",$E2510/$D2510)</f>
        <v/>
      </c>
      <c r="H2510" s="0" t="str">
        <f aca="false">IF($C2510="","",IF(COUNTIF('مواد المخزون'!$A$2:$A$90,$C2510)&gt;0,"نعم","لا (خارج الجرد)"))</f>
        <v/>
      </c>
    </row>
    <row r="2511" customFormat="false" ht="15" hidden="false" customHeight="false" outlineLevel="0" collapsed="false">
      <c r="A2511" s="103"/>
      <c r="B2511" s="104"/>
      <c r="C2511" s="104"/>
      <c r="F2511" s="107" t="str">
        <f aca="false">IF(OR($C2511="",$D2511=0),"",$E2511/$D2511)</f>
        <v/>
      </c>
      <c r="H2511" s="0" t="str">
        <f aca="false">IF($C2511="","",IF(COUNTIF('مواد المخزون'!$A$2:$A$90,$C2511)&gt;0,"نعم","لا (خارج الجرد)"))</f>
        <v/>
      </c>
    </row>
    <row r="2512" customFormat="false" ht="15" hidden="false" customHeight="false" outlineLevel="0" collapsed="false">
      <c r="A2512" s="103"/>
      <c r="B2512" s="104"/>
      <c r="C2512" s="104"/>
      <c r="F2512" s="107" t="str">
        <f aca="false">IF(OR($C2512="",$D2512=0),"",$E2512/$D2512)</f>
        <v/>
      </c>
      <c r="H2512" s="0" t="str">
        <f aca="false">IF($C2512="","",IF(COUNTIF('مواد المخزون'!$A$2:$A$90,$C2512)&gt;0,"نعم","لا (خارج الجرد)"))</f>
        <v/>
      </c>
    </row>
    <row r="2513" customFormat="false" ht="15" hidden="false" customHeight="false" outlineLevel="0" collapsed="false">
      <c r="A2513" s="103"/>
      <c r="B2513" s="104"/>
      <c r="C2513" s="104"/>
      <c r="F2513" s="107" t="str">
        <f aca="false">IF(OR($C2513="",$D2513=0),"",$E2513/$D2513)</f>
        <v/>
      </c>
      <c r="H2513" s="0" t="str">
        <f aca="false">IF($C2513="","",IF(COUNTIF('مواد المخزون'!$A$2:$A$90,$C2513)&gt;0,"نعم","لا (خارج الجرد)"))</f>
        <v/>
      </c>
    </row>
    <row r="2514" customFormat="false" ht="15" hidden="false" customHeight="false" outlineLevel="0" collapsed="false">
      <c r="A2514" s="103"/>
      <c r="B2514" s="104"/>
      <c r="C2514" s="104"/>
      <c r="F2514" s="107" t="str">
        <f aca="false">IF(OR($C2514="",$D2514=0),"",$E2514/$D2514)</f>
        <v/>
      </c>
      <c r="H2514" s="0" t="str">
        <f aca="false">IF($C2514="","",IF(COUNTIF('مواد المخزون'!$A$2:$A$90,$C2514)&gt;0,"نعم","لا (خارج الجرد)"))</f>
        <v/>
      </c>
    </row>
    <row r="2515" customFormat="false" ht="15" hidden="false" customHeight="false" outlineLevel="0" collapsed="false">
      <c r="A2515" s="103"/>
      <c r="B2515" s="104"/>
      <c r="C2515" s="104"/>
      <c r="F2515" s="107" t="str">
        <f aca="false">IF(OR($C2515="",$D2515=0),"",$E2515/$D2515)</f>
        <v/>
      </c>
      <c r="H2515" s="0" t="str">
        <f aca="false">IF($C2515="","",IF(COUNTIF('مواد المخزون'!$A$2:$A$90,$C2515)&gt;0,"نعم","لا (خارج الجرد)"))</f>
        <v/>
      </c>
    </row>
    <row r="2516" customFormat="false" ht="15" hidden="false" customHeight="false" outlineLevel="0" collapsed="false">
      <c r="A2516" s="103"/>
      <c r="B2516" s="104"/>
      <c r="C2516" s="104"/>
      <c r="F2516" s="107" t="str">
        <f aca="false">IF(OR($C2516="",$D2516=0),"",$E2516/$D2516)</f>
        <v/>
      </c>
      <c r="H2516" s="0" t="str">
        <f aca="false">IF($C2516="","",IF(COUNTIF('مواد المخزون'!$A$2:$A$90,$C2516)&gt;0,"نعم","لا (خارج الجرد)"))</f>
        <v/>
      </c>
    </row>
    <row r="2517" customFormat="false" ht="15" hidden="false" customHeight="false" outlineLevel="0" collapsed="false">
      <c r="A2517" s="103"/>
      <c r="B2517" s="104"/>
      <c r="C2517" s="104"/>
      <c r="F2517" s="107" t="str">
        <f aca="false">IF(OR($C2517="",$D2517=0),"",$E2517/$D2517)</f>
        <v/>
      </c>
      <c r="H2517" s="0" t="str">
        <f aca="false">IF($C2517="","",IF(COUNTIF('مواد المخزون'!$A$2:$A$90,$C2517)&gt;0,"نعم","لا (خارج الجرد)"))</f>
        <v/>
      </c>
    </row>
    <row r="2518" customFormat="false" ht="15" hidden="false" customHeight="false" outlineLevel="0" collapsed="false">
      <c r="A2518" s="103"/>
      <c r="B2518" s="104"/>
      <c r="C2518" s="104"/>
      <c r="F2518" s="107" t="str">
        <f aca="false">IF(OR($C2518="",$D2518=0),"",$E2518/$D2518)</f>
        <v/>
      </c>
      <c r="H2518" s="0" t="str">
        <f aca="false">IF($C2518="","",IF(COUNTIF('مواد المخزون'!$A$2:$A$90,$C2518)&gt;0,"نعم","لا (خارج الجرد)"))</f>
        <v/>
      </c>
    </row>
    <row r="2519" customFormat="false" ht="15" hidden="false" customHeight="false" outlineLevel="0" collapsed="false">
      <c r="A2519" s="103"/>
      <c r="B2519" s="104"/>
      <c r="C2519" s="104"/>
      <c r="F2519" s="107" t="str">
        <f aca="false">IF(OR($C2519="",$D2519=0),"",$E2519/$D2519)</f>
        <v/>
      </c>
      <c r="H2519" s="0" t="str">
        <f aca="false">IF($C2519="","",IF(COUNTIF('مواد المخزون'!$A$2:$A$90,$C2519)&gt;0,"نعم","لا (خارج الجرد)"))</f>
        <v/>
      </c>
    </row>
    <row r="2520" customFormat="false" ht="15" hidden="false" customHeight="false" outlineLevel="0" collapsed="false">
      <c r="A2520" s="103"/>
      <c r="B2520" s="104"/>
      <c r="C2520" s="104"/>
      <c r="F2520" s="107" t="str">
        <f aca="false">IF(OR($C2520="",$D2520=0),"",$E2520/$D2520)</f>
        <v/>
      </c>
      <c r="H2520" s="0" t="str">
        <f aca="false">IF($C2520="","",IF(COUNTIF('مواد المخزون'!$A$2:$A$90,$C2520)&gt;0,"نعم","لا (خارج الجرد)"))</f>
        <v/>
      </c>
    </row>
    <row r="2521" customFormat="false" ht="15" hidden="false" customHeight="false" outlineLevel="0" collapsed="false">
      <c r="A2521" s="103"/>
      <c r="B2521" s="104"/>
      <c r="C2521" s="104"/>
      <c r="F2521" s="107" t="str">
        <f aca="false">IF(OR($C2521="",$D2521=0),"",$E2521/$D2521)</f>
        <v/>
      </c>
      <c r="H2521" s="0" t="str">
        <f aca="false">IF($C2521="","",IF(COUNTIF('مواد المخزون'!$A$2:$A$90,$C2521)&gt;0,"نعم","لا (خارج الجرد)"))</f>
        <v/>
      </c>
    </row>
    <row r="2522" customFormat="false" ht="15" hidden="false" customHeight="false" outlineLevel="0" collapsed="false">
      <c r="A2522" s="103"/>
      <c r="B2522" s="104"/>
      <c r="C2522" s="104"/>
      <c r="F2522" s="107" t="str">
        <f aca="false">IF(OR($C2522="",$D2522=0),"",$E2522/$D2522)</f>
        <v/>
      </c>
      <c r="H2522" s="0" t="str">
        <f aca="false">IF($C2522="","",IF(COUNTIF('مواد المخزون'!$A$2:$A$90,$C2522)&gt;0,"نعم","لا (خارج الجرد)"))</f>
        <v/>
      </c>
    </row>
    <row r="2523" customFormat="false" ht="15" hidden="false" customHeight="false" outlineLevel="0" collapsed="false">
      <c r="A2523" s="103"/>
      <c r="B2523" s="104"/>
      <c r="C2523" s="104"/>
      <c r="F2523" s="107" t="str">
        <f aca="false">IF(OR($C2523="",$D2523=0),"",$E2523/$D2523)</f>
        <v/>
      </c>
      <c r="H2523" s="0" t="str">
        <f aca="false">IF($C2523="","",IF(COUNTIF('مواد المخزون'!$A$2:$A$90,$C2523)&gt;0,"نعم","لا (خارج الجرد)"))</f>
        <v/>
      </c>
    </row>
    <row r="2524" customFormat="false" ht="15" hidden="false" customHeight="false" outlineLevel="0" collapsed="false">
      <c r="A2524" s="103"/>
      <c r="B2524" s="104"/>
      <c r="C2524" s="104"/>
      <c r="F2524" s="107" t="str">
        <f aca="false">IF(OR($C2524="",$D2524=0),"",$E2524/$D2524)</f>
        <v/>
      </c>
      <c r="H2524" s="0" t="str">
        <f aca="false">IF($C2524="","",IF(COUNTIF('مواد المخزون'!$A$2:$A$90,$C2524)&gt;0,"نعم","لا (خارج الجرد)"))</f>
        <v/>
      </c>
    </row>
    <row r="2525" customFormat="false" ht="15" hidden="false" customHeight="false" outlineLevel="0" collapsed="false">
      <c r="A2525" s="103"/>
      <c r="B2525" s="104"/>
      <c r="C2525" s="104"/>
      <c r="F2525" s="107" t="str">
        <f aca="false">IF(OR($C2525="",$D2525=0),"",$E2525/$D2525)</f>
        <v/>
      </c>
      <c r="H2525" s="0" t="str">
        <f aca="false">IF($C2525="","",IF(COUNTIF('مواد المخزون'!$A$2:$A$90,$C2525)&gt;0,"نعم","لا (خارج الجرد)"))</f>
        <v/>
      </c>
    </row>
    <row r="2526" customFormat="false" ht="15" hidden="false" customHeight="false" outlineLevel="0" collapsed="false">
      <c r="A2526" s="103"/>
      <c r="B2526" s="104"/>
      <c r="C2526" s="104"/>
      <c r="F2526" s="107" t="str">
        <f aca="false">IF(OR($C2526="",$D2526=0),"",$E2526/$D2526)</f>
        <v/>
      </c>
      <c r="H2526" s="0" t="str">
        <f aca="false">IF($C2526="","",IF(COUNTIF('مواد المخزون'!$A$2:$A$90,$C2526)&gt;0,"نعم","لا (خارج الجرد)"))</f>
        <v/>
      </c>
    </row>
    <row r="2527" customFormat="false" ht="15" hidden="false" customHeight="false" outlineLevel="0" collapsed="false">
      <c r="A2527" s="103"/>
      <c r="B2527" s="104"/>
      <c r="C2527" s="104"/>
      <c r="F2527" s="107" t="str">
        <f aca="false">IF(OR($C2527="",$D2527=0),"",$E2527/$D2527)</f>
        <v/>
      </c>
      <c r="H2527" s="0" t="str">
        <f aca="false">IF($C2527="","",IF(COUNTIF('مواد المخزون'!$A$2:$A$90,$C2527)&gt;0,"نعم","لا (خارج الجرد)"))</f>
        <v/>
      </c>
    </row>
    <row r="2528" customFormat="false" ht="15" hidden="false" customHeight="false" outlineLevel="0" collapsed="false">
      <c r="A2528" s="103"/>
      <c r="B2528" s="104"/>
      <c r="C2528" s="104"/>
      <c r="F2528" s="107" t="str">
        <f aca="false">IF(OR($C2528="",$D2528=0),"",$E2528/$D2528)</f>
        <v/>
      </c>
      <c r="H2528" s="0" t="str">
        <f aca="false">IF($C2528="","",IF(COUNTIF('مواد المخزون'!$A$2:$A$90,$C2528)&gt;0,"نعم","لا (خارج الجرد)"))</f>
        <v/>
      </c>
    </row>
    <row r="2529" customFormat="false" ht="15" hidden="false" customHeight="false" outlineLevel="0" collapsed="false">
      <c r="A2529" s="103"/>
      <c r="B2529" s="104"/>
      <c r="C2529" s="104"/>
      <c r="F2529" s="107" t="str">
        <f aca="false">IF(OR($C2529="",$D2529=0),"",$E2529/$D2529)</f>
        <v/>
      </c>
      <c r="H2529" s="0" t="str">
        <f aca="false">IF($C2529="","",IF(COUNTIF('مواد المخزون'!$A$2:$A$90,$C2529)&gt;0,"نعم","لا (خارج الجرد)"))</f>
        <v/>
      </c>
    </row>
    <row r="2530" customFormat="false" ht="15" hidden="false" customHeight="false" outlineLevel="0" collapsed="false">
      <c r="A2530" s="103"/>
      <c r="B2530" s="104"/>
      <c r="C2530" s="104"/>
      <c r="F2530" s="107" t="str">
        <f aca="false">IF(OR($C2530="",$D2530=0),"",$E2530/$D2530)</f>
        <v/>
      </c>
      <c r="H2530" s="0" t="str">
        <f aca="false">IF($C2530="","",IF(COUNTIF('مواد المخزون'!$A$2:$A$90,$C2530)&gt;0,"نعم","لا (خارج الجرد)"))</f>
        <v/>
      </c>
    </row>
    <row r="2531" customFormat="false" ht="15" hidden="false" customHeight="false" outlineLevel="0" collapsed="false">
      <c r="A2531" s="103"/>
      <c r="B2531" s="104"/>
      <c r="C2531" s="104"/>
      <c r="F2531" s="107" t="str">
        <f aca="false">IF(OR($C2531="",$D2531=0),"",$E2531/$D2531)</f>
        <v/>
      </c>
      <c r="H2531" s="0" t="str">
        <f aca="false">IF($C2531="","",IF(COUNTIF('مواد المخزون'!$A$2:$A$90,$C2531)&gt;0,"نعم","لا (خارج الجرد)"))</f>
        <v/>
      </c>
    </row>
    <row r="2532" customFormat="false" ht="15" hidden="false" customHeight="false" outlineLevel="0" collapsed="false">
      <c r="A2532" s="103"/>
      <c r="B2532" s="104"/>
      <c r="C2532" s="104"/>
      <c r="F2532" s="107" t="str">
        <f aca="false">IF(OR($C2532="",$D2532=0),"",$E2532/$D2532)</f>
        <v/>
      </c>
      <c r="H2532" s="0" t="str">
        <f aca="false">IF($C2532="","",IF(COUNTIF('مواد المخزون'!$A$2:$A$90,$C2532)&gt;0,"نعم","لا (خارج الجرد)"))</f>
        <v/>
      </c>
    </row>
    <row r="2533" customFormat="false" ht="15" hidden="false" customHeight="false" outlineLevel="0" collapsed="false">
      <c r="A2533" s="103"/>
      <c r="B2533" s="104"/>
      <c r="C2533" s="104"/>
      <c r="F2533" s="107" t="str">
        <f aca="false">IF(OR($C2533="",$D2533=0),"",$E2533/$D2533)</f>
        <v/>
      </c>
      <c r="H2533" s="0" t="str">
        <f aca="false">IF($C2533="","",IF(COUNTIF('مواد المخزون'!$A$2:$A$90,$C2533)&gt;0,"نعم","لا (خارج الجرد)"))</f>
        <v/>
      </c>
    </row>
    <row r="2534" customFormat="false" ht="15" hidden="false" customHeight="false" outlineLevel="0" collapsed="false">
      <c r="A2534" s="103"/>
      <c r="B2534" s="104"/>
      <c r="C2534" s="104"/>
      <c r="F2534" s="107" t="str">
        <f aca="false">IF(OR($C2534="",$D2534=0),"",$E2534/$D2534)</f>
        <v/>
      </c>
      <c r="H2534" s="0" t="str">
        <f aca="false">IF($C2534="","",IF(COUNTIF('مواد المخزون'!$A$2:$A$90,$C2534)&gt;0,"نعم","لا (خارج الجرد)"))</f>
        <v/>
      </c>
    </row>
    <row r="2535" customFormat="false" ht="15" hidden="false" customHeight="false" outlineLevel="0" collapsed="false">
      <c r="A2535" s="103"/>
      <c r="B2535" s="104"/>
      <c r="C2535" s="104"/>
      <c r="F2535" s="107" t="str">
        <f aca="false">IF(OR($C2535="",$D2535=0),"",$E2535/$D2535)</f>
        <v/>
      </c>
      <c r="H2535" s="0" t="str">
        <f aca="false">IF($C2535="","",IF(COUNTIF('مواد المخزون'!$A$2:$A$90,$C2535)&gt;0,"نعم","لا (خارج الجرد)"))</f>
        <v/>
      </c>
    </row>
    <row r="2536" customFormat="false" ht="15" hidden="false" customHeight="false" outlineLevel="0" collapsed="false">
      <c r="A2536" s="103"/>
      <c r="B2536" s="104"/>
      <c r="C2536" s="104"/>
      <c r="F2536" s="107" t="str">
        <f aca="false">IF(OR($C2536="",$D2536=0),"",$E2536/$D2536)</f>
        <v/>
      </c>
      <c r="H2536" s="0" t="str">
        <f aca="false">IF($C2536="","",IF(COUNTIF('مواد المخزون'!$A$2:$A$90,$C2536)&gt;0,"نعم","لا (خارج الجرد)"))</f>
        <v/>
      </c>
    </row>
    <row r="2537" customFormat="false" ht="15" hidden="false" customHeight="false" outlineLevel="0" collapsed="false">
      <c r="A2537" s="103"/>
      <c r="B2537" s="104"/>
      <c r="C2537" s="104"/>
      <c r="F2537" s="107" t="str">
        <f aca="false">IF(OR($C2537="",$D2537=0),"",$E2537/$D2537)</f>
        <v/>
      </c>
      <c r="H2537" s="0" t="str">
        <f aca="false">IF($C2537="","",IF(COUNTIF('مواد المخزون'!$A$2:$A$90,$C2537)&gt;0,"نعم","لا (خارج الجرد)"))</f>
        <v/>
      </c>
    </row>
    <row r="2538" customFormat="false" ht="15" hidden="false" customHeight="false" outlineLevel="0" collapsed="false">
      <c r="A2538" s="103"/>
      <c r="B2538" s="104"/>
      <c r="C2538" s="104"/>
      <c r="F2538" s="107" t="str">
        <f aca="false">IF(OR($C2538="",$D2538=0),"",$E2538/$D2538)</f>
        <v/>
      </c>
      <c r="H2538" s="0" t="str">
        <f aca="false">IF($C2538="","",IF(COUNTIF('مواد المخزون'!$A$2:$A$90,$C2538)&gt;0,"نعم","لا (خارج الجرد)"))</f>
        <v/>
      </c>
    </row>
    <row r="2539" customFormat="false" ht="15" hidden="false" customHeight="false" outlineLevel="0" collapsed="false">
      <c r="A2539" s="103"/>
      <c r="B2539" s="104"/>
      <c r="C2539" s="104"/>
      <c r="F2539" s="107" t="str">
        <f aca="false">IF(OR($C2539="",$D2539=0),"",$E2539/$D2539)</f>
        <v/>
      </c>
      <c r="H2539" s="0" t="str">
        <f aca="false">IF($C2539="","",IF(COUNTIF('مواد المخزون'!$A$2:$A$90,$C2539)&gt;0,"نعم","لا (خارج الجرد)"))</f>
        <v/>
      </c>
    </row>
    <row r="2540" customFormat="false" ht="15" hidden="false" customHeight="false" outlineLevel="0" collapsed="false">
      <c r="A2540" s="103"/>
      <c r="B2540" s="104"/>
      <c r="C2540" s="104"/>
      <c r="F2540" s="107" t="str">
        <f aca="false">IF(OR($C2540="",$D2540=0),"",$E2540/$D2540)</f>
        <v/>
      </c>
      <c r="H2540" s="0" t="str">
        <f aca="false">IF($C2540="","",IF(COUNTIF('مواد المخزون'!$A$2:$A$90,$C2540)&gt;0,"نعم","لا (خارج الجرد)"))</f>
        <v/>
      </c>
    </row>
    <row r="2541" customFormat="false" ht="15" hidden="false" customHeight="false" outlineLevel="0" collapsed="false">
      <c r="A2541" s="103"/>
      <c r="B2541" s="104"/>
      <c r="C2541" s="104"/>
      <c r="F2541" s="107" t="str">
        <f aca="false">IF(OR($C2541="",$D2541=0),"",$E2541/$D2541)</f>
        <v/>
      </c>
      <c r="H2541" s="0" t="str">
        <f aca="false">IF($C2541="","",IF(COUNTIF('مواد المخزون'!$A$2:$A$90,$C2541)&gt;0,"نعم","لا (خارج الجرد)"))</f>
        <v/>
      </c>
    </row>
    <row r="2542" customFormat="false" ht="15" hidden="false" customHeight="false" outlineLevel="0" collapsed="false">
      <c r="A2542" s="103"/>
      <c r="B2542" s="104"/>
      <c r="C2542" s="104"/>
      <c r="F2542" s="107" t="str">
        <f aca="false">IF(OR($C2542="",$D2542=0),"",$E2542/$D2542)</f>
        <v/>
      </c>
      <c r="H2542" s="0" t="str">
        <f aca="false">IF($C2542="","",IF(COUNTIF('مواد المخزون'!$A$2:$A$90,$C2542)&gt;0,"نعم","لا (خارج الجرد)"))</f>
        <v/>
      </c>
    </row>
    <row r="2543" customFormat="false" ht="15" hidden="false" customHeight="false" outlineLevel="0" collapsed="false">
      <c r="A2543" s="103"/>
      <c r="B2543" s="104"/>
      <c r="C2543" s="104"/>
      <c r="F2543" s="107" t="str">
        <f aca="false">IF(OR($C2543="",$D2543=0),"",$E2543/$D2543)</f>
        <v/>
      </c>
      <c r="H2543" s="0" t="str">
        <f aca="false">IF($C2543="","",IF(COUNTIF('مواد المخزون'!$A$2:$A$90,$C2543)&gt;0,"نعم","لا (خارج الجرد)"))</f>
        <v/>
      </c>
    </row>
    <row r="2544" customFormat="false" ht="15" hidden="false" customHeight="false" outlineLevel="0" collapsed="false">
      <c r="A2544" s="103"/>
      <c r="B2544" s="104"/>
      <c r="C2544" s="104"/>
      <c r="F2544" s="107" t="str">
        <f aca="false">IF(OR($C2544="",$D2544=0),"",$E2544/$D2544)</f>
        <v/>
      </c>
      <c r="H2544" s="0" t="str">
        <f aca="false">IF($C2544="","",IF(COUNTIF('مواد المخزون'!$A$2:$A$90,$C2544)&gt;0,"نعم","لا (خارج الجرد)"))</f>
        <v/>
      </c>
    </row>
    <row r="2545" customFormat="false" ht="15" hidden="false" customHeight="false" outlineLevel="0" collapsed="false">
      <c r="A2545" s="103"/>
      <c r="B2545" s="104"/>
      <c r="C2545" s="104"/>
      <c r="F2545" s="107" t="str">
        <f aca="false">IF(OR($C2545="",$D2545=0),"",$E2545/$D2545)</f>
        <v/>
      </c>
      <c r="H2545" s="0" t="str">
        <f aca="false">IF($C2545="","",IF(COUNTIF('مواد المخزون'!$A$2:$A$90,$C2545)&gt;0,"نعم","لا (خارج الجرد)"))</f>
        <v/>
      </c>
    </row>
    <row r="2546" customFormat="false" ht="15" hidden="false" customHeight="false" outlineLevel="0" collapsed="false">
      <c r="A2546" s="103"/>
      <c r="B2546" s="104"/>
      <c r="C2546" s="104"/>
      <c r="F2546" s="107" t="str">
        <f aca="false">IF(OR($C2546="",$D2546=0),"",$E2546/$D2546)</f>
        <v/>
      </c>
      <c r="H2546" s="0" t="str">
        <f aca="false">IF($C2546="","",IF(COUNTIF('مواد المخزون'!$A$2:$A$90,$C2546)&gt;0,"نعم","لا (خارج الجرد)"))</f>
        <v/>
      </c>
    </row>
    <row r="2547" customFormat="false" ht="15" hidden="false" customHeight="false" outlineLevel="0" collapsed="false">
      <c r="A2547" s="103"/>
      <c r="B2547" s="104"/>
      <c r="C2547" s="104"/>
      <c r="F2547" s="107" t="str">
        <f aca="false">IF(OR($C2547="",$D2547=0),"",$E2547/$D2547)</f>
        <v/>
      </c>
      <c r="H2547" s="0" t="str">
        <f aca="false">IF($C2547="","",IF(COUNTIF('مواد المخزون'!$A$2:$A$90,$C2547)&gt;0,"نعم","لا (خارج الجرد)"))</f>
        <v/>
      </c>
    </row>
    <row r="2548" customFormat="false" ht="15" hidden="false" customHeight="false" outlineLevel="0" collapsed="false">
      <c r="A2548" s="103"/>
      <c r="B2548" s="104"/>
      <c r="C2548" s="104"/>
      <c r="F2548" s="107" t="str">
        <f aca="false">IF(OR($C2548="",$D2548=0),"",$E2548/$D2548)</f>
        <v/>
      </c>
      <c r="H2548" s="0" t="str">
        <f aca="false">IF($C2548="","",IF(COUNTIF('مواد المخزون'!$A$2:$A$90,$C2548)&gt;0,"نعم","لا (خارج الجرد)"))</f>
        <v/>
      </c>
    </row>
    <row r="2549" customFormat="false" ht="15" hidden="false" customHeight="false" outlineLevel="0" collapsed="false">
      <c r="A2549" s="103"/>
      <c r="B2549" s="104"/>
      <c r="C2549" s="104"/>
      <c r="F2549" s="107" t="str">
        <f aca="false">IF(OR($C2549="",$D2549=0),"",$E2549/$D2549)</f>
        <v/>
      </c>
      <c r="H2549" s="0" t="str">
        <f aca="false">IF($C2549="","",IF(COUNTIF('مواد المخزون'!$A$2:$A$90,$C2549)&gt;0,"نعم","لا (خارج الجرد)"))</f>
        <v/>
      </c>
    </row>
    <row r="2550" customFormat="false" ht="15" hidden="false" customHeight="false" outlineLevel="0" collapsed="false">
      <c r="A2550" s="103"/>
      <c r="B2550" s="104"/>
      <c r="C2550" s="104"/>
      <c r="F2550" s="107" t="str">
        <f aca="false">IF(OR($C2550="",$D2550=0),"",$E2550/$D2550)</f>
        <v/>
      </c>
      <c r="H2550" s="0" t="str">
        <f aca="false">IF($C2550="","",IF(COUNTIF('مواد المخزون'!$A$2:$A$90,$C2550)&gt;0,"نعم","لا (خارج الجرد)"))</f>
        <v/>
      </c>
    </row>
    <row r="2551" customFormat="false" ht="15" hidden="false" customHeight="false" outlineLevel="0" collapsed="false">
      <c r="A2551" s="103"/>
      <c r="B2551" s="104"/>
      <c r="C2551" s="104"/>
      <c r="F2551" s="107" t="str">
        <f aca="false">IF(OR($C2551="",$D2551=0),"",$E2551/$D2551)</f>
        <v/>
      </c>
      <c r="H2551" s="0" t="str">
        <f aca="false">IF($C2551="","",IF(COUNTIF('مواد المخزون'!$A$2:$A$90,$C2551)&gt;0,"نعم","لا (خارج الجرد)"))</f>
        <v/>
      </c>
    </row>
    <row r="2552" customFormat="false" ht="15" hidden="false" customHeight="false" outlineLevel="0" collapsed="false">
      <c r="A2552" s="103"/>
      <c r="B2552" s="104"/>
      <c r="C2552" s="104"/>
      <c r="F2552" s="107" t="str">
        <f aca="false">IF(OR($C2552="",$D2552=0),"",$E2552/$D2552)</f>
        <v/>
      </c>
      <c r="H2552" s="0" t="str">
        <f aca="false">IF($C2552="","",IF(COUNTIF('مواد المخزون'!$A$2:$A$90,$C2552)&gt;0,"نعم","لا (خارج الجرد)"))</f>
        <v/>
      </c>
    </row>
    <row r="2553" customFormat="false" ht="15" hidden="false" customHeight="false" outlineLevel="0" collapsed="false">
      <c r="A2553" s="103"/>
      <c r="B2553" s="104"/>
      <c r="C2553" s="104"/>
      <c r="F2553" s="107" t="str">
        <f aca="false">IF(OR($C2553="",$D2553=0),"",$E2553/$D2553)</f>
        <v/>
      </c>
      <c r="H2553" s="0" t="str">
        <f aca="false">IF($C2553="","",IF(COUNTIF('مواد المخزون'!$A$2:$A$90,$C2553)&gt;0,"نعم","لا (خارج الجرد)"))</f>
        <v/>
      </c>
    </row>
    <row r="2554" customFormat="false" ht="15" hidden="false" customHeight="false" outlineLevel="0" collapsed="false">
      <c r="A2554" s="103"/>
      <c r="B2554" s="104"/>
      <c r="C2554" s="104"/>
      <c r="F2554" s="107" t="str">
        <f aca="false">IF(OR($C2554="",$D2554=0),"",$E2554/$D2554)</f>
        <v/>
      </c>
      <c r="H2554" s="0" t="str">
        <f aca="false">IF($C2554="","",IF(COUNTIF('مواد المخزون'!$A$2:$A$90,$C2554)&gt;0,"نعم","لا (خارج الجرد)"))</f>
        <v/>
      </c>
    </row>
    <row r="2555" customFormat="false" ht="15" hidden="false" customHeight="false" outlineLevel="0" collapsed="false">
      <c r="A2555" s="103"/>
      <c r="B2555" s="104"/>
      <c r="C2555" s="104"/>
      <c r="F2555" s="107" t="str">
        <f aca="false">IF(OR($C2555="",$D2555=0),"",$E2555/$D2555)</f>
        <v/>
      </c>
      <c r="H2555" s="0" t="str">
        <f aca="false">IF($C2555="","",IF(COUNTIF('مواد المخزون'!$A$2:$A$90,$C2555)&gt;0,"نعم","لا (خارج الجرد)"))</f>
        <v/>
      </c>
    </row>
    <row r="2556" customFormat="false" ht="15" hidden="false" customHeight="false" outlineLevel="0" collapsed="false">
      <c r="A2556" s="103"/>
      <c r="B2556" s="104"/>
      <c r="C2556" s="104"/>
      <c r="F2556" s="107" t="str">
        <f aca="false">IF(OR($C2556="",$D2556=0),"",$E2556/$D2556)</f>
        <v/>
      </c>
      <c r="H2556" s="0" t="str">
        <f aca="false">IF($C2556="","",IF(COUNTIF('مواد المخزون'!$A$2:$A$90,$C2556)&gt;0,"نعم","لا (خارج الجرد)"))</f>
        <v/>
      </c>
    </row>
    <row r="2557" customFormat="false" ht="15" hidden="false" customHeight="false" outlineLevel="0" collapsed="false">
      <c r="A2557" s="103"/>
      <c r="B2557" s="104"/>
      <c r="C2557" s="104"/>
      <c r="F2557" s="107" t="str">
        <f aca="false">IF(OR($C2557="",$D2557=0),"",$E2557/$D2557)</f>
        <v/>
      </c>
      <c r="H2557" s="0" t="str">
        <f aca="false">IF($C2557="","",IF(COUNTIF('مواد المخزون'!$A$2:$A$90,$C2557)&gt;0,"نعم","لا (خارج الجرد)"))</f>
        <v/>
      </c>
    </row>
    <row r="2558" customFormat="false" ht="15" hidden="false" customHeight="false" outlineLevel="0" collapsed="false">
      <c r="A2558" s="103"/>
      <c r="B2558" s="104"/>
      <c r="C2558" s="104"/>
      <c r="F2558" s="107" t="str">
        <f aca="false">IF(OR($C2558="",$D2558=0),"",$E2558/$D2558)</f>
        <v/>
      </c>
      <c r="H2558" s="0" t="str">
        <f aca="false">IF($C2558="","",IF(COUNTIF('مواد المخزون'!$A$2:$A$90,$C2558)&gt;0,"نعم","لا (خارج الجرد)"))</f>
        <v/>
      </c>
    </row>
    <row r="2559" customFormat="false" ht="15" hidden="false" customHeight="false" outlineLevel="0" collapsed="false">
      <c r="A2559" s="103"/>
      <c r="B2559" s="104"/>
      <c r="C2559" s="104"/>
      <c r="F2559" s="107" t="str">
        <f aca="false">IF(OR($C2559="",$D2559=0),"",$E2559/$D2559)</f>
        <v/>
      </c>
      <c r="H2559" s="0" t="str">
        <f aca="false">IF($C2559="","",IF(COUNTIF('مواد المخزون'!$A$2:$A$90,$C2559)&gt;0,"نعم","لا (خارج الجرد)"))</f>
        <v/>
      </c>
    </row>
    <row r="2560" customFormat="false" ht="15" hidden="false" customHeight="false" outlineLevel="0" collapsed="false">
      <c r="A2560" s="103"/>
      <c r="B2560" s="104"/>
      <c r="C2560" s="104"/>
      <c r="F2560" s="107" t="str">
        <f aca="false">IF(OR($C2560="",$D2560=0),"",$E2560/$D2560)</f>
        <v/>
      </c>
      <c r="H2560" s="0" t="str">
        <f aca="false">IF($C2560="","",IF(COUNTIF('مواد المخزون'!$A$2:$A$90,$C2560)&gt;0,"نعم","لا (خارج الجرد)"))</f>
        <v/>
      </c>
    </row>
    <row r="2561" customFormat="false" ht="15" hidden="false" customHeight="false" outlineLevel="0" collapsed="false">
      <c r="A2561" s="103"/>
      <c r="B2561" s="104"/>
      <c r="C2561" s="104"/>
      <c r="F2561" s="107" t="str">
        <f aca="false">IF(OR($C2561="",$D2561=0),"",$E2561/$D2561)</f>
        <v/>
      </c>
      <c r="H2561" s="0" t="str">
        <f aca="false">IF($C2561="","",IF(COUNTIF('مواد المخزون'!$A$2:$A$90,$C2561)&gt;0,"نعم","لا (خارج الجرد)"))</f>
        <v/>
      </c>
    </row>
    <row r="2562" customFormat="false" ht="15" hidden="false" customHeight="false" outlineLevel="0" collapsed="false">
      <c r="A2562" s="103"/>
      <c r="B2562" s="104"/>
      <c r="C2562" s="104"/>
      <c r="F2562" s="107" t="str">
        <f aca="false">IF(OR($C2562="",$D2562=0),"",$E2562/$D2562)</f>
        <v/>
      </c>
      <c r="H2562" s="0" t="str">
        <f aca="false">IF($C2562="","",IF(COUNTIF('مواد المخزون'!$A$2:$A$90,$C2562)&gt;0,"نعم","لا (خارج الجرد)"))</f>
        <v/>
      </c>
    </row>
    <row r="2563" customFormat="false" ht="15" hidden="false" customHeight="false" outlineLevel="0" collapsed="false">
      <c r="A2563" s="103"/>
      <c r="B2563" s="104"/>
      <c r="C2563" s="104"/>
      <c r="F2563" s="107" t="str">
        <f aca="false">IF(OR($C2563="",$D2563=0),"",$E2563/$D2563)</f>
        <v/>
      </c>
      <c r="H2563" s="0" t="str">
        <f aca="false">IF($C2563="","",IF(COUNTIF('مواد المخزون'!$A$2:$A$90,$C2563)&gt;0,"نعم","لا (خارج الجرد)"))</f>
        <v/>
      </c>
    </row>
    <row r="2564" customFormat="false" ht="15" hidden="false" customHeight="false" outlineLevel="0" collapsed="false">
      <c r="A2564" s="103"/>
      <c r="B2564" s="104"/>
      <c r="C2564" s="104"/>
      <c r="F2564" s="107" t="str">
        <f aca="false">IF(OR($C2564="",$D2564=0),"",$E2564/$D2564)</f>
        <v/>
      </c>
      <c r="H2564" s="0" t="str">
        <f aca="false">IF($C2564="","",IF(COUNTIF('مواد المخزون'!$A$2:$A$90,$C2564)&gt;0,"نعم","لا (خارج الجرد)"))</f>
        <v/>
      </c>
    </row>
    <row r="2565" customFormat="false" ht="15" hidden="false" customHeight="false" outlineLevel="0" collapsed="false">
      <c r="A2565" s="103"/>
      <c r="B2565" s="104"/>
      <c r="C2565" s="104"/>
      <c r="F2565" s="107" t="str">
        <f aca="false">IF(OR($C2565="",$D2565=0),"",$E2565/$D2565)</f>
        <v/>
      </c>
      <c r="H2565" s="0" t="str">
        <f aca="false">IF($C2565="","",IF(COUNTIF('مواد المخزون'!$A$2:$A$90,$C2565)&gt;0,"نعم","لا (خارج الجرد)"))</f>
        <v/>
      </c>
    </row>
    <row r="2566" customFormat="false" ht="15" hidden="false" customHeight="false" outlineLevel="0" collapsed="false">
      <c r="A2566" s="103"/>
      <c r="B2566" s="104"/>
      <c r="C2566" s="104"/>
      <c r="F2566" s="107" t="str">
        <f aca="false">IF(OR($C2566="",$D2566=0),"",$E2566/$D2566)</f>
        <v/>
      </c>
      <c r="H2566" s="0" t="str">
        <f aca="false">IF($C2566="","",IF(COUNTIF('مواد المخزون'!$A$2:$A$90,$C2566)&gt;0,"نعم","لا (خارج الجرد)"))</f>
        <v/>
      </c>
    </row>
    <row r="2567" customFormat="false" ht="15" hidden="false" customHeight="false" outlineLevel="0" collapsed="false">
      <c r="A2567" s="103"/>
      <c r="B2567" s="104"/>
      <c r="C2567" s="104"/>
      <c r="F2567" s="107" t="str">
        <f aca="false">IF(OR($C2567="",$D2567=0),"",$E2567/$D2567)</f>
        <v/>
      </c>
      <c r="H2567" s="0" t="str">
        <f aca="false">IF($C2567="","",IF(COUNTIF('مواد المخزون'!$A$2:$A$90,$C2567)&gt;0,"نعم","لا (خارج الجرد)"))</f>
        <v/>
      </c>
    </row>
    <row r="2568" customFormat="false" ht="15" hidden="false" customHeight="false" outlineLevel="0" collapsed="false">
      <c r="A2568" s="103"/>
      <c r="B2568" s="104"/>
      <c r="C2568" s="104"/>
      <c r="F2568" s="107" t="str">
        <f aca="false">IF(OR($C2568="",$D2568=0),"",$E2568/$D2568)</f>
        <v/>
      </c>
      <c r="H2568" s="0" t="str">
        <f aca="false">IF($C2568="","",IF(COUNTIF('مواد المخزون'!$A$2:$A$90,$C2568)&gt;0,"نعم","لا (خارج الجرد)"))</f>
        <v/>
      </c>
    </row>
    <row r="2569" customFormat="false" ht="15" hidden="false" customHeight="false" outlineLevel="0" collapsed="false">
      <c r="A2569" s="103"/>
      <c r="B2569" s="104"/>
      <c r="C2569" s="104"/>
      <c r="F2569" s="107" t="str">
        <f aca="false">IF(OR($C2569="",$D2569=0),"",$E2569/$D2569)</f>
        <v/>
      </c>
      <c r="H2569" s="0" t="str">
        <f aca="false">IF($C2569="","",IF(COUNTIF('مواد المخزون'!$A$2:$A$90,$C2569)&gt;0,"نعم","لا (خارج الجرد)"))</f>
        <v/>
      </c>
    </row>
    <row r="2570" customFormat="false" ht="15" hidden="false" customHeight="false" outlineLevel="0" collapsed="false">
      <c r="A2570" s="103"/>
      <c r="B2570" s="104"/>
      <c r="C2570" s="104"/>
      <c r="F2570" s="107" t="str">
        <f aca="false">IF(OR($C2570="",$D2570=0),"",$E2570/$D2570)</f>
        <v/>
      </c>
      <c r="H2570" s="0" t="str">
        <f aca="false">IF($C2570="","",IF(COUNTIF('مواد المخزون'!$A$2:$A$90,$C2570)&gt;0,"نعم","لا (خارج الجرد)"))</f>
        <v/>
      </c>
    </row>
    <row r="2571" customFormat="false" ht="15" hidden="false" customHeight="false" outlineLevel="0" collapsed="false">
      <c r="A2571" s="103"/>
      <c r="B2571" s="104"/>
      <c r="C2571" s="104"/>
      <c r="F2571" s="107" t="str">
        <f aca="false">IF(OR($C2571="",$D2571=0),"",$E2571/$D2571)</f>
        <v/>
      </c>
      <c r="H2571" s="0" t="str">
        <f aca="false">IF($C2571="","",IF(COUNTIF('مواد المخزون'!$A$2:$A$90,$C2571)&gt;0,"نعم","لا (خارج الجرد)"))</f>
        <v/>
      </c>
    </row>
    <row r="2572" customFormat="false" ht="15" hidden="false" customHeight="false" outlineLevel="0" collapsed="false">
      <c r="A2572" s="103"/>
      <c r="B2572" s="104"/>
      <c r="C2572" s="104"/>
      <c r="F2572" s="107" t="str">
        <f aca="false">IF(OR($C2572="",$D2572=0),"",$E2572/$D2572)</f>
        <v/>
      </c>
      <c r="H2572" s="0" t="str">
        <f aca="false">IF($C2572="","",IF(COUNTIF('مواد المخزون'!$A$2:$A$90,$C2572)&gt;0,"نعم","لا (خارج الجرد)"))</f>
        <v/>
      </c>
    </row>
    <row r="2573" customFormat="false" ht="15" hidden="false" customHeight="false" outlineLevel="0" collapsed="false">
      <c r="A2573" s="103"/>
      <c r="B2573" s="104"/>
      <c r="C2573" s="104"/>
      <c r="F2573" s="107" t="str">
        <f aca="false">IF(OR($C2573="",$D2573=0),"",$E2573/$D2573)</f>
        <v/>
      </c>
      <c r="H2573" s="0" t="str">
        <f aca="false">IF($C2573="","",IF(COUNTIF('مواد المخزون'!$A$2:$A$90,$C2573)&gt;0,"نعم","لا (خارج الجرد)"))</f>
        <v/>
      </c>
    </row>
    <row r="2574" customFormat="false" ht="15" hidden="false" customHeight="false" outlineLevel="0" collapsed="false">
      <c r="A2574" s="103"/>
      <c r="B2574" s="104"/>
      <c r="C2574" s="104"/>
      <c r="F2574" s="107" t="str">
        <f aca="false">IF(OR($C2574="",$D2574=0),"",$E2574/$D2574)</f>
        <v/>
      </c>
      <c r="H2574" s="0" t="str">
        <f aca="false">IF($C2574="","",IF(COUNTIF('مواد المخزون'!$A$2:$A$90,$C2574)&gt;0,"نعم","لا (خارج الجرد)"))</f>
        <v/>
      </c>
    </row>
    <row r="2575" customFormat="false" ht="15" hidden="false" customHeight="false" outlineLevel="0" collapsed="false">
      <c r="A2575" s="103"/>
      <c r="B2575" s="104"/>
      <c r="C2575" s="104"/>
      <c r="F2575" s="107" t="str">
        <f aca="false">IF(OR($C2575="",$D2575=0),"",$E2575/$D2575)</f>
        <v/>
      </c>
      <c r="H2575" s="0" t="str">
        <f aca="false">IF($C2575="","",IF(COUNTIF('مواد المخزون'!$A$2:$A$90,$C2575)&gt;0,"نعم","لا (خارج الجرد)"))</f>
        <v/>
      </c>
    </row>
    <row r="2576" customFormat="false" ht="15" hidden="false" customHeight="false" outlineLevel="0" collapsed="false">
      <c r="A2576" s="103"/>
      <c r="B2576" s="104"/>
      <c r="C2576" s="104"/>
      <c r="F2576" s="107" t="str">
        <f aca="false">IF(OR($C2576="",$D2576=0),"",$E2576/$D2576)</f>
        <v/>
      </c>
      <c r="H2576" s="0" t="str">
        <f aca="false">IF($C2576="","",IF(COUNTIF('مواد المخزون'!$A$2:$A$90,$C2576)&gt;0,"نعم","لا (خارج الجرد)"))</f>
        <v/>
      </c>
    </row>
    <row r="2577" customFormat="false" ht="15" hidden="false" customHeight="false" outlineLevel="0" collapsed="false">
      <c r="A2577" s="103"/>
      <c r="B2577" s="104"/>
      <c r="C2577" s="104"/>
      <c r="F2577" s="107" t="str">
        <f aca="false">IF(OR($C2577="",$D2577=0),"",$E2577/$D2577)</f>
        <v/>
      </c>
      <c r="H2577" s="0" t="str">
        <f aca="false">IF($C2577="","",IF(COUNTIF('مواد المخزون'!$A$2:$A$90,$C2577)&gt;0,"نعم","لا (خارج الجرد)"))</f>
        <v/>
      </c>
    </row>
    <row r="2578" customFormat="false" ht="15" hidden="false" customHeight="false" outlineLevel="0" collapsed="false">
      <c r="A2578" s="103"/>
      <c r="B2578" s="104"/>
      <c r="C2578" s="104"/>
      <c r="F2578" s="107" t="str">
        <f aca="false">IF(OR($C2578="",$D2578=0),"",$E2578/$D2578)</f>
        <v/>
      </c>
      <c r="H2578" s="0" t="str">
        <f aca="false">IF($C2578="","",IF(COUNTIF('مواد المخزون'!$A$2:$A$90,$C2578)&gt;0,"نعم","لا (خارج الجرد)"))</f>
        <v/>
      </c>
    </row>
    <row r="2579" customFormat="false" ht="15" hidden="false" customHeight="false" outlineLevel="0" collapsed="false">
      <c r="A2579" s="103"/>
      <c r="B2579" s="104"/>
      <c r="C2579" s="104"/>
      <c r="F2579" s="107" t="str">
        <f aca="false">IF(OR($C2579="",$D2579=0),"",$E2579/$D2579)</f>
        <v/>
      </c>
      <c r="H2579" s="0" t="str">
        <f aca="false">IF($C2579="","",IF(COUNTIF('مواد المخزون'!$A$2:$A$90,$C2579)&gt;0,"نعم","لا (خارج الجرد)"))</f>
        <v/>
      </c>
    </row>
    <row r="2580" customFormat="false" ht="15" hidden="false" customHeight="false" outlineLevel="0" collapsed="false">
      <c r="A2580" s="103"/>
      <c r="B2580" s="104"/>
      <c r="C2580" s="104"/>
      <c r="F2580" s="107" t="str">
        <f aca="false">IF(OR($C2580="",$D2580=0),"",$E2580/$D2580)</f>
        <v/>
      </c>
      <c r="H2580" s="0" t="str">
        <f aca="false">IF($C2580="","",IF(COUNTIF('مواد المخزون'!$A$2:$A$90,$C2580)&gt;0,"نعم","لا (خارج الجرد)"))</f>
        <v/>
      </c>
    </row>
    <row r="2581" customFormat="false" ht="15" hidden="false" customHeight="false" outlineLevel="0" collapsed="false">
      <c r="A2581" s="103"/>
      <c r="B2581" s="104"/>
      <c r="C2581" s="104"/>
      <c r="F2581" s="107" t="str">
        <f aca="false">IF(OR($C2581="",$D2581=0),"",$E2581/$D2581)</f>
        <v/>
      </c>
      <c r="H2581" s="0" t="str">
        <f aca="false">IF($C2581="","",IF(COUNTIF('مواد المخزون'!$A$2:$A$90,$C2581)&gt;0,"نعم","لا (خارج الجرد)"))</f>
        <v/>
      </c>
    </row>
    <row r="2582" customFormat="false" ht="15" hidden="false" customHeight="false" outlineLevel="0" collapsed="false">
      <c r="A2582" s="103"/>
      <c r="B2582" s="104"/>
      <c r="C2582" s="104"/>
      <c r="F2582" s="107" t="str">
        <f aca="false">IF(OR($C2582="",$D2582=0),"",$E2582/$D2582)</f>
        <v/>
      </c>
      <c r="H2582" s="0" t="str">
        <f aca="false">IF($C2582="","",IF(COUNTIF('مواد المخزون'!$A$2:$A$90,$C2582)&gt;0,"نعم","لا (خارج الجرد)"))</f>
        <v/>
      </c>
    </row>
    <row r="2583" customFormat="false" ht="15" hidden="false" customHeight="false" outlineLevel="0" collapsed="false">
      <c r="A2583" s="103"/>
      <c r="B2583" s="104"/>
      <c r="C2583" s="104"/>
      <c r="F2583" s="107" t="str">
        <f aca="false">IF(OR($C2583="",$D2583=0),"",$E2583/$D2583)</f>
        <v/>
      </c>
      <c r="H2583" s="0" t="str">
        <f aca="false">IF($C2583="","",IF(COUNTIF('مواد المخزون'!$A$2:$A$90,$C2583)&gt;0,"نعم","لا (خارج الجرد)"))</f>
        <v/>
      </c>
    </row>
    <row r="2584" customFormat="false" ht="15" hidden="false" customHeight="false" outlineLevel="0" collapsed="false">
      <c r="A2584" s="103"/>
      <c r="B2584" s="104"/>
      <c r="C2584" s="104"/>
      <c r="F2584" s="107" t="str">
        <f aca="false">IF(OR($C2584="",$D2584=0),"",$E2584/$D2584)</f>
        <v/>
      </c>
      <c r="H2584" s="0" t="str">
        <f aca="false">IF($C2584="","",IF(COUNTIF('مواد المخزون'!$A$2:$A$90,$C2584)&gt;0,"نعم","لا (خارج الجرد)"))</f>
        <v/>
      </c>
    </row>
    <row r="2585" customFormat="false" ht="15" hidden="false" customHeight="false" outlineLevel="0" collapsed="false">
      <c r="A2585" s="103"/>
      <c r="B2585" s="104"/>
      <c r="C2585" s="104"/>
      <c r="F2585" s="107" t="str">
        <f aca="false">IF(OR($C2585="",$D2585=0),"",$E2585/$D2585)</f>
        <v/>
      </c>
      <c r="H2585" s="0" t="str">
        <f aca="false">IF($C2585="","",IF(COUNTIF('مواد المخزون'!$A$2:$A$90,$C2585)&gt;0,"نعم","لا (خارج الجرد)"))</f>
        <v/>
      </c>
    </row>
    <row r="2586" customFormat="false" ht="15" hidden="false" customHeight="false" outlineLevel="0" collapsed="false">
      <c r="A2586" s="103"/>
      <c r="B2586" s="104"/>
      <c r="C2586" s="104"/>
      <c r="F2586" s="107" t="str">
        <f aca="false">IF(OR($C2586="",$D2586=0),"",$E2586/$D2586)</f>
        <v/>
      </c>
      <c r="H2586" s="0" t="str">
        <f aca="false">IF($C2586="","",IF(COUNTIF('مواد المخزون'!$A$2:$A$90,$C2586)&gt;0,"نعم","لا (خارج الجرد)"))</f>
        <v/>
      </c>
    </row>
    <row r="2587" customFormat="false" ht="15" hidden="false" customHeight="false" outlineLevel="0" collapsed="false">
      <c r="A2587" s="103"/>
      <c r="B2587" s="104"/>
      <c r="C2587" s="104"/>
      <c r="F2587" s="107" t="str">
        <f aca="false">IF(OR($C2587="",$D2587=0),"",$E2587/$D2587)</f>
        <v/>
      </c>
      <c r="H2587" s="0" t="str">
        <f aca="false">IF($C2587="","",IF(COUNTIF('مواد المخزون'!$A$2:$A$90,$C2587)&gt;0,"نعم","لا (خارج الجرد)"))</f>
        <v/>
      </c>
    </row>
    <row r="2588" customFormat="false" ht="15" hidden="false" customHeight="false" outlineLevel="0" collapsed="false">
      <c r="A2588" s="103"/>
      <c r="B2588" s="104"/>
      <c r="C2588" s="104"/>
      <c r="F2588" s="107" t="str">
        <f aca="false">IF(OR($C2588="",$D2588=0),"",$E2588/$D2588)</f>
        <v/>
      </c>
      <c r="H2588" s="0" t="str">
        <f aca="false">IF($C2588="","",IF(COUNTIF('مواد المخزون'!$A$2:$A$90,$C2588)&gt;0,"نعم","لا (خارج الجرد)"))</f>
        <v/>
      </c>
    </row>
    <row r="2589" customFormat="false" ht="15" hidden="false" customHeight="false" outlineLevel="0" collapsed="false">
      <c r="A2589" s="103"/>
      <c r="B2589" s="104"/>
      <c r="C2589" s="104"/>
      <c r="F2589" s="107" t="str">
        <f aca="false">IF(OR($C2589="",$D2589=0),"",$E2589/$D2589)</f>
        <v/>
      </c>
      <c r="H2589" s="0" t="str">
        <f aca="false">IF($C2589="","",IF(COUNTIF('مواد المخزون'!$A$2:$A$90,$C2589)&gt;0,"نعم","لا (خارج الجرد)"))</f>
        <v/>
      </c>
    </row>
    <row r="2590" customFormat="false" ht="15" hidden="false" customHeight="false" outlineLevel="0" collapsed="false">
      <c r="A2590" s="103"/>
      <c r="B2590" s="104"/>
      <c r="C2590" s="104"/>
      <c r="F2590" s="107" t="str">
        <f aca="false">IF(OR($C2590="",$D2590=0),"",$E2590/$D2590)</f>
        <v/>
      </c>
      <c r="H2590" s="0" t="str">
        <f aca="false">IF($C2590="","",IF(COUNTIF('مواد المخزون'!$A$2:$A$90,$C2590)&gt;0,"نعم","لا (خارج الجرد)"))</f>
        <v/>
      </c>
    </row>
    <row r="2591" customFormat="false" ht="15" hidden="false" customHeight="false" outlineLevel="0" collapsed="false">
      <c r="A2591" s="103"/>
      <c r="B2591" s="104"/>
      <c r="C2591" s="104"/>
      <c r="F2591" s="107" t="str">
        <f aca="false">IF(OR($C2591="",$D2591=0),"",$E2591/$D2591)</f>
        <v/>
      </c>
      <c r="H2591" s="0" t="str">
        <f aca="false">IF($C2591="","",IF(COUNTIF('مواد المخزون'!$A$2:$A$90,$C2591)&gt;0,"نعم","لا (خارج الجرد)"))</f>
        <v/>
      </c>
    </row>
    <row r="2592" customFormat="false" ht="15" hidden="false" customHeight="false" outlineLevel="0" collapsed="false">
      <c r="A2592" s="103"/>
      <c r="B2592" s="104"/>
      <c r="C2592" s="104"/>
      <c r="F2592" s="107" t="str">
        <f aca="false">IF(OR($C2592="",$D2592=0),"",$E2592/$D2592)</f>
        <v/>
      </c>
      <c r="H2592" s="0" t="str">
        <f aca="false">IF($C2592="","",IF(COUNTIF('مواد المخزون'!$A$2:$A$90,$C2592)&gt;0,"نعم","لا (خارج الجرد)"))</f>
        <v/>
      </c>
    </row>
    <row r="2593" customFormat="false" ht="15" hidden="false" customHeight="false" outlineLevel="0" collapsed="false">
      <c r="A2593" s="103"/>
      <c r="B2593" s="104"/>
      <c r="C2593" s="104"/>
      <c r="F2593" s="107" t="str">
        <f aca="false">IF(OR($C2593="",$D2593=0),"",$E2593/$D2593)</f>
        <v/>
      </c>
      <c r="H2593" s="0" t="str">
        <f aca="false">IF($C2593="","",IF(COUNTIF('مواد المخزون'!$A$2:$A$90,$C2593)&gt;0,"نعم","لا (خارج الجرد)"))</f>
        <v/>
      </c>
    </row>
    <row r="2594" customFormat="false" ht="15" hidden="false" customHeight="false" outlineLevel="0" collapsed="false">
      <c r="A2594" s="103"/>
      <c r="B2594" s="104"/>
      <c r="C2594" s="104"/>
      <c r="F2594" s="107" t="str">
        <f aca="false">IF(OR($C2594="",$D2594=0),"",$E2594/$D2594)</f>
        <v/>
      </c>
      <c r="H2594" s="0" t="str">
        <f aca="false">IF($C2594="","",IF(COUNTIF('مواد المخزون'!$A$2:$A$90,$C2594)&gt;0,"نعم","لا (خارج الجرد)"))</f>
        <v/>
      </c>
    </row>
    <row r="2595" customFormat="false" ht="15" hidden="false" customHeight="false" outlineLevel="0" collapsed="false">
      <c r="A2595" s="103"/>
      <c r="B2595" s="104"/>
      <c r="C2595" s="104"/>
      <c r="F2595" s="107" t="str">
        <f aca="false">IF(OR($C2595="",$D2595=0),"",$E2595/$D2595)</f>
        <v/>
      </c>
      <c r="H2595" s="0" t="str">
        <f aca="false">IF($C2595="","",IF(COUNTIF('مواد المخزون'!$A$2:$A$90,$C2595)&gt;0,"نعم","لا (خارج الجرد)"))</f>
        <v/>
      </c>
    </row>
    <row r="2596" customFormat="false" ht="15" hidden="false" customHeight="false" outlineLevel="0" collapsed="false">
      <c r="A2596" s="103"/>
      <c r="B2596" s="104"/>
      <c r="C2596" s="104"/>
      <c r="F2596" s="107" t="str">
        <f aca="false">IF(OR($C2596="",$D2596=0),"",$E2596/$D2596)</f>
        <v/>
      </c>
      <c r="H2596" s="0" t="str">
        <f aca="false">IF($C2596="","",IF(COUNTIF('مواد المخزون'!$A$2:$A$90,$C2596)&gt;0,"نعم","لا (خارج الجرد)"))</f>
        <v/>
      </c>
    </row>
    <row r="2597" customFormat="false" ht="15" hidden="false" customHeight="false" outlineLevel="0" collapsed="false">
      <c r="A2597" s="103"/>
      <c r="B2597" s="104"/>
      <c r="C2597" s="104"/>
      <c r="F2597" s="107" t="str">
        <f aca="false">IF(OR($C2597="",$D2597=0),"",$E2597/$D2597)</f>
        <v/>
      </c>
      <c r="H2597" s="0" t="str">
        <f aca="false">IF($C2597="","",IF(COUNTIF('مواد المخزون'!$A$2:$A$90,$C2597)&gt;0,"نعم","لا (خارج الجرد)"))</f>
        <v/>
      </c>
    </row>
    <row r="2598" customFormat="false" ht="15" hidden="false" customHeight="false" outlineLevel="0" collapsed="false">
      <c r="A2598" s="103"/>
      <c r="B2598" s="104"/>
      <c r="C2598" s="104"/>
      <c r="F2598" s="107" t="str">
        <f aca="false">IF(OR($C2598="",$D2598=0),"",$E2598/$D2598)</f>
        <v/>
      </c>
      <c r="H2598" s="0" t="str">
        <f aca="false">IF($C2598="","",IF(COUNTIF('مواد المخزون'!$A$2:$A$90,$C2598)&gt;0,"نعم","لا (خارج الجرد)"))</f>
        <v/>
      </c>
    </row>
    <row r="2599" customFormat="false" ht="15" hidden="false" customHeight="false" outlineLevel="0" collapsed="false">
      <c r="A2599" s="103"/>
      <c r="B2599" s="104"/>
      <c r="C2599" s="104"/>
      <c r="F2599" s="107" t="str">
        <f aca="false">IF(OR($C2599="",$D2599=0),"",$E2599/$D2599)</f>
        <v/>
      </c>
      <c r="H2599" s="0" t="str">
        <f aca="false">IF($C2599="","",IF(COUNTIF('مواد المخزون'!$A$2:$A$90,$C2599)&gt;0,"نعم","لا (خارج الجرد)"))</f>
        <v/>
      </c>
    </row>
    <row r="2600" customFormat="false" ht="15" hidden="false" customHeight="false" outlineLevel="0" collapsed="false">
      <c r="A2600" s="103"/>
      <c r="B2600" s="104"/>
      <c r="C2600" s="104"/>
      <c r="F2600" s="107" t="str">
        <f aca="false">IF(OR($C2600="",$D2600=0),"",$E2600/$D2600)</f>
        <v/>
      </c>
      <c r="H2600" s="0" t="str">
        <f aca="false">IF($C2600="","",IF(COUNTIF('مواد المخزون'!$A$2:$A$90,$C2600)&gt;0,"نعم","لا (خارج الجرد)"))</f>
        <v/>
      </c>
    </row>
    <row r="2601" customFormat="false" ht="15" hidden="false" customHeight="false" outlineLevel="0" collapsed="false">
      <c r="A2601" s="103"/>
      <c r="B2601" s="104"/>
      <c r="C2601" s="104"/>
      <c r="F2601" s="107" t="str">
        <f aca="false">IF(OR($C2601="",$D2601=0),"",$E2601/$D2601)</f>
        <v/>
      </c>
      <c r="H2601" s="0" t="str">
        <f aca="false">IF($C2601="","",IF(COUNTIF('مواد المخزون'!$A$2:$A$90,$C2601)&gt;0,"نعم","لا (خارج الجرد)"))</f>
        <v/>
      </c>
    </row>
    <row r="2602" customFormat="false" ht="15" hidden="false" customHeight="false" outlineLevel="0" collapsed="false">
      <c r="A2602" s="103"/>
      <c r="B2602" s="104"/>
      <c r="C2602" s="104"/>
      <c r="F2602" s="107" t="str">
        <f aca="false">IF(OR($C2602="",$D2602=0),"",$E2602/$D2602)</f>
        <v/>
      </c>
      <c r="H2602" s="0" t="str">
        <f aca="false">IF($C2602="","",IF(COUNTIF('مواد المخزون'!$A$2:$A$90,$C2602)&gt;0,"نعم","لا (خارج الجرد)"))</f>
        <v/>
      </c>
    </row>
    <row r="2603" customFormat="false" ht="15" hidden="false" customHeight="false" outlineLevel="0" collapsed="false">
      <c r="A2603" s="103"/>
      <c r="B2603" s="104"/>
      <c r="C2603" s="104"/>
      <c r="F2603" s="107" t="str">
        <f aca="false">IF(OR($C2603="",$D2603=0),"",$E2603/$D2603)</f>
        <v/>
      </c>
      <c r="H2603" s="0" t="str">
        <f aca="false">IF($C2603="","",IF(COUNTIF('مواد المخزون'!$A$2:$A$90,$C2603)&gt;0,"نعم","لا (خارج الجرد)"))</f>
        <v/>
      </c>
    </row>
    <row r="2604" customFormat="false" ht="15" hidden="false" customHeight="false" outlineLevel="0" collapsed="false">
      <c r="A2604" s="103"/>
      <c r="B2604" s="104"/>
      <c r="C2604" s="104"/>
      <c r="F2604" s="107" t="str">
        <f aca="false">IF(OR($C2604="",$D2604=0),"",$E2604/$D2604)</f>
        <v/>
      </c>
      <c r="H2604" s="0" t="str">
        <f aca="false">IF($C2604="","",IF(COUNTIF('مواد المخزون'!$A$2:$A$90,$C2604)&gt;0,"نعم","لا (خارج الجرد)"))</f>
        <v/>
      </c>
    </row>
    <row r="2605" customFormat="false" ht="15" hidden="false" customHeight="false" outlineLevel="0" collapsed="false">
      <c r="A2605" s="103"/>
      <c r="B2605" s="104"/>
      <c r="C2605" s="104"/>
      <c r="F2605" s="107" t="str">
        <f aca="false">IF(OR($C2605="",$D2605=0),"",$E2605/$D2605)</f>
        <v/>
      </c>
      <c r="H2605" s="0" t="str">
        <f aca="false">IF($C2605="","",IF(COUNTIF('مواد المخزون'!$A$2:$A$90,$C2605)&gt;0,"نعم","لا (خارج الجرد)"))</f>
        <v/>
      </c>
    </row>
    <row r="2606" customFormat="false" ht="15" hidden="false" customHeight="false" outlineLevel="0" collapsed="false">
      <c r="A2606" s="103"/>
      <c r="B2606" s="104"/>
      <c r="C2606" s="104"/>
      <c r="F2606" s="107" t="str">
        <f aca="false">IF(OR($C2606="",$D2606=0),"",$E2606/$D2606)</f>
        <v/>
      </c>
      <c r="H2606" s="0" t="str">
        <f aca="false">IF($C2606="","",IF(COUNTIF('مواد المخزون'!$A$2:$A$90,$C2606)&gt;0,"نعم","لا (خارج الجرد)"))</f>
        <v/>
      </c>
    </row>
    <row r="2607" customFormat="false" ht="15" hidden="false" customHeight="false" outlineLevel="0" collapsed="false">
      <c r="A2607" s="103"/>
      <c r="B2607" s="104"/>
      <c r="C2607" s="104"/>
      <c r="F2607" s="107" t="str">
        <f aca="false">IF(OR($C2607="",$D2607=0),"",$E2607/$D2607)</f>
        <v/>
      </c>
      <c r="H2607" s="0" t="str">
        <f aca="false">IF($C2607="","",IF(COUNTIF('مواد المخزون'!$A$2:$A$90,$C2607)&gt;0,"نعم","لا (خارج الجرد)"))</f>
        <v/>
      </c>
    </row>
    <row r="2608" customFormat="false" ht="15" hidden="false" customHeight="false" outlineLevel="0" collapsed="false">
      <c r="A2608" s="103"/>
      <c r="B2608" s="104"/>
      <c r="C2608" s="104"/>
      <c r="F2608" s="107" t="str">
        <f aca="false">IF(OR($C2608="",$D2608=0),"",$E2608/$D2608)</f>
        <v/>
      </c>
      <c r="H2608" s="0" t="str">
        <f aca="false">IF($C2608="","",IF(COUNTIF('مواد المخزون'!$A$2:$A$90,$C2608)&gt;0,"نعم","لا (خارج الجرد)"))</f>
        <v/>
      </c>
    </row>
    <row r="2609" customFormat="false" ht="15" hidden="false" customHeight="false" outlineLevel="0" collapsed="false">
      <c r="A2609" s="103"/>
      <c r="B2609" s="104"/>
      <c r="C2609" s="104"/>
      <c r="F2609" s="107" t="str">
        <f aca="false">IF(OR($C2609="",$D2609=0),"",$E2609/$D2609)</f>
        <v/>
      </c>
      <c r="H2609" s="0" t="str">
        <f aca="false">IF($C2609="","",IF(COUNTIF('مواد المخزون'!$A$2:$A$90,$C2609)&gt;0,"نعم","لا (خارج الجرد)"))</f>
        <v/>
      </c>
    </row>
    <row r="2610" customFormat="false" ht="15" hidden="false" customHeight="false" outlineLevel="0" collapsed="false">
      <c r="A2610" s="103"/>
      <c r="B2610" s="104"/>
      <c r="C2610" s="104"/>
      <c r="F2610" s="107" t="str">
        <f aca="false">IF(OR($C2610="",$D2610=0),"",$E2610/$D2610)</f>
        <v/>
      </c>
      <c r="H2610" s="0" t="str">
        <f aca="false">IF($C2610="","",IF(COUNTIF('مواد المخزون'!$A$2:$A$90,$C2610)&gt;0,"نعم","لا (خارج الجرد)"))</f>
        <v/>
      </c>
    </row>
    <row r="2611" customFormat="false" ht="15" hidden="false" customHeight="false" outlineLevel="0" collapsed="false">
      <c r="A2611" s="103"/>
      <c r="B2611" s="104"/>
      <c r="C2611" s="104"/>
      <c r="F2611" s="107" t="str">
        <f aca="false">IF(OR($C2611="",$D2611=0),"",$E2611/$D2611)</f>
        <v/>
      </c>
      <c r="H2611" s="0" t="str">
        <f aca="false">IF($C2611="","",IF(COUNTIF('مواد المخزون'!$A$2:$A$90,$C2611)&gt;0,"نعم","لا (خارج الجرد)"))</f>
        <v/>
      </c>
    </row>
    <row r="2612" customFormat="false" ht="15" hidden="false" customHeight="false" outlineLevel="0" collapsed="false">
      <c r="A2612" s="103"/>
      <c r="B2612" s="104"/>
      <c r="C2612" s="104"/>
      <c r="F2612" s="107" t="str">
        <f aca="false">IF(OR($C2612="",$D2612=0),"",$E2612/$D2612)</f>
        <v/>
      </c>
      <c r="H2612" s="0" t="str">
        <f aca="false">IF($C2612="","",IF(COUNTIF('مواد المخزون'!$A$2:$A$90,$C2612)&gt;0,"نعم","لا (خارج الجرد)"))</f>
        <v/>
      </c>
    </row>
    <row r="2613" customFormat="false" ht="15" hidden="false" customHeight="false" outlineLevel="0" collapsed="false">
      <c r="A2613" s="103"/>
      <c r="B2613" s="104"/>
      <c r="C2613" s="104"/>
      <c r="F2613" s="107" t="str">
        <f aca="false">IF(OR($C2613="",$D2613=0),"",$E2613/$D2613)</f>
        <v/>
      </c>
      <c r="H2613" s="0" t="str">
        <f aca="false">IF($C2613="","",IF(COUNTIF('مواد المخزون'!$A$2:$A$90,$C2613)&gt;0,"نعم","لا (خارج الجرد)"))</f>
        <v/>
      </c>
    </row>
    <row r="2614" customFormat="false" ht="15" hidden="false" customHeight="false" outlineLevel="0" collapsed="false">
      <c r="A2614" s="103"/>
      <c r="B2614" s="104"/>
      <c r="C2614" s="104"/>
      <c r="F2614" s="107" t="str">
        <f aca="false">IF(OR($C2614="",$D2614=0),"",$E2614/$D2614)</f>
        <v/>
      </c>
      <c r="H2614" s="0" t="str">
        <f aca="false">IF($C2614="","",IF(COUNTIF('مواد المخزون'!$A$2:$A$90,$C2614)&gt;0,"نعم","لا (خارج الجرد)"))</f>
        <v/>
      </c>
    </row>
    <row r="2615" customFormat="false" ht="15" hidden="false" customHeight="false" outlineLevel="0" collapsed="false">
      <c r="A2615" s="103"/>
      <c r="B2615" s="104"/>
      <c r="C2615" s="104"/>
      <c r="F2615" s="107" t="str">
        <f aca="false">IF(OR($C2615="",$D2615=0),"",$E2615/$D2615)</f>
        <v/>
      </c>
      <c r="H2615" s="0" t="str">
        <f aca="false">IF($C2615="","",IF(COUNTIF('مواد المخزون'!$A$2:$A$90,$C2615)&gt;0,"نعم","لا (خارج الجرد)"))</f>
        <v/>
      </c>
    </row>
    <row r="2616" customFormat="false" ht="15" hidden="false" customHeight="false" outlineLevel="0" collapsed="false">
      <c r="A2616" s="103"/>
      <c r="B2616" s="104"/>
      <c r="C2616" s="104"/>
      <c r="F2616" s="107" t="str">
        <f aca="false">IF(OR($C2616="",$D2616=0),"",$E2616/$D2616)</f>
        <v/>
      </c>
      <c r="H2616" s="0" t="str">
        <f aca="false">IF($C2616="","",IF(COUNTIF('مواد المخزون'!$A$2:$A$90,$C2616)&gt;0,"نعم","لا (خارج الجرد)"))</f>
        <v/>
      </c>
    </row>
    <row r="2617" customFormat="false" ht="15" hidden="false" customHeight="false" outlineLevel="0" collapsed="false">
      <c r="A2617" s="103"/>
      <c r="B2617" s="104"/>
      <c r="C2617" s="104"/>
      <c r="F2617" s="107" t="str">
        <f aca="false">IF(OR($C2617="",$D2617=0),"",$E2617/$D2617)</f>
        <v/>
      </c>
      <c r="H2617" s="0" t="str">
        <f aca="false">IF($C2617="","",IF(COUNTIF('مواد المخزون'!$A$2:$A$90,$C2617)&gt;0,"نعم","لا (خارج الجرد)"))</f>
        <v/>
      </c>
    </row>
    <row r="2618" customFormat="false" ht="15" hidden="false" customHeight="false" outlineLevel="0" collapsed="false">
      <c r="A2618" s="103"/>
      <c r="B2618" s="104"/>
      <c r="C2618" s="104"/>
      <c r="F2618" s="107" t="str">
        <f aca="false">IF(OR($C2618="",$D2618=0),"",$E2618/$D2618)</f>
        <v/>
      </c>
      <c r="H2618" s="0" t="str">
        <f aca="false">IF($C2618="","",IF(COUNTIF('مواد المخزون'!$A$2:$A$90,$C2618)&gt;0,"نعم","لا (خارج الجرد)"))</f>
        <v/>
      </c>
    </row>
    <row r="2619" customFormat="false" ht="15" hidden="false" customHeight="false" outlineLevel="0" collapsed="false">
      <c r="A2619" s="103"/>
      <c r="B2619" s="104"/>
      <c r="C2619" s="104"/>
      <c r="F2619" s="107" t="str">
        <f aca="false">IF(OR($C2619="",$D2619=0),"",$E2619/$D2619)</f>
        <v/>
      </c>
      <c r="H2619" s="0" t="str">
        <f aca="false">IF($C2619="","",IF(COUNTIF('مواد المخزون'!$A$2:$A$90,$C2619)&gt;0,"نعم","لا (خارج الجرد)"))</f>
        <v/>
      </c>
    </row>
    <row r="2620" customFormat="false" ht="15" hidden="false" customHeight="false" outlineLevel="0" collapsed="false">
      <c r="A2620" s="103"/>
      <c r="B2620" s="104"/>
      <c r="C2620" s="104"/>
      <c r="F2620" s="107" t="str">
        <f aca="false">IF(OR($C2620="",$D2620=0),"",$E2620/$D2620)</f>
        <v/>
      </c>
      <c r="H2620" s="0" t="str">
        <f aca="false">IF($C2620="","",IF(COUNTIF('مواد المخزون'!$A$2:$A$90,$C2620)&gt;0,"نعم","لا (خارج الجرد)"))</f>
        <v/>
      </c>
    </row>
    <row r="2621" customFormat="false" ht="15" hidden="false" customHeight="false" outlineLevel="0" collapsed="false">
      <c r="A2621" s="103"/>
      <c r="B2621" s="104"/>
      <c r="C2621" s="104"/>
      <c r="F2621" s="107" t="str">
        <f aca="false">IF(OR($C2621="",$D2621=0),"",$E2621/$D2621)</f>
        <v/>
      </c>
      <c r="H2621" s="0" t="str">
        <f aca="false">IF($C2621="","",IF(COUNTIF('مواد المخزون'!$A$2:$A$90,$C2621)&gt;0,"نعم","لا (خارج الجرد)"))</f>
        <v/>
      </c>
    </row>
    <row r="2622" customFormat="false" ht="15" hidden="false" customHeight="false" outlineLevel="0" collapsed="false">
      <c r="A2622" s="103"/>
      <c r="B2622" s="104"/>
      <c r="C2622" s="104"/>
      <c r="F2622" s="107" t="str">
        <f aca="false">IF(OR($C2622="",$D2622=0),"",$E2622/$D2622)</f>
        <v/>
      </c>
      <c r="H2622" s="0" t="str">
        <f aca="false">IF($C2622="","",IF(COUNTIF('مواد المخزون'!$A$2:$A$90,$C2622)&gt;0,"نعم","لا (خارج الجرد)"))</f>
        <v/>
      </c>
    </row>
    <row r="2623" customFormat="false" ht="15" hidden="false" customHeight="false" outlineLevel="0" collapsed="false">
      <c r="A2623" s="103"/>
      <c r="B2623" s="104"/>
      <c r="C2623" s="104"/>
      <c r="F2623" s="107" t="str">
        <f aca="false">IF(OR($C2623="",$D2623=0),"",$E2623/$D2623)</f>
        <v/>
      </c>
      <c r="H2623" s="0" t="str">
        <f aca="false">IF($C2623="","",IF(COUNTIF('مواد المخزون'!$A$2:$A$90,$C2623)&gt;0,"نعم","لا (خارج الجرد)"))</f>
        <v/>
      </c>
    </row>
    <row r="2624" customFormat="false" ht="15" hidden="false" customHeight="false" outlineLevel="0" collapsed="false">
      <c r="A2624" s="103"/>
      <c r="B2624" s="104"/>
      <c r="C2624" s="104"/>
      <c r="F2624" s="107" t="str">
        <f aca="false">IF(OR($C2624="",$D2624=0),"",$E2624/$D2624)</f>
        <v/>
      </c>
      <c r="H2624" s="0" t="str">
        <f aca="false">IF($C2624="","",IF(COUNTIF('مواد المخزون'!$A$2:$A$90,$C2624)&gt;0,"نعم","لا (خارج الجرد)"))</f>
        <v/>
      </c>
    </row>
    <row r="2625" customFormat="false" ht="15" hidden="false" customHeight="false" outlineLevel="0" collapsed="false">
      <c r="A2625" s="103"/>
      <c r="B2625" s="104"/>
      <c r="C2625" s="104"/>
      <c r="F2625" s="107" t="str">
        <f aca="false">IF(OR($C2625="",$D2625=0),"",$E2625/$D2625)</f>
        <v/>
      </c>
      <c r="H2625" s="0" t="str">
        <f aca="false">IF($C2625="","",IF(COUNTIF('مواد المخزون'!$A$2:$A$90,$C2625)&gt;0,"نعم","لا (خارج الجرد)"))</f>
        <v/>
      </c>
    </row>
    <row r="2626" customFormat="false" ht="15" hidden="false" customHeight="false" outlineLevel="0" collapsed="false">
      <c r="A2626" s="103"/>
      <c r="B2626" s="104"/>
      <c r="C2626" s="104"/>
      <c r="F2626" s="107" t="str">
        <f aca="false">IF(OR($C2626="",$D2626=0),"",$E2626/$D2626)</f>
        <v/>
      </c>
      <c r="H2626" s="0" t="str">
        <f aca="false">IF($C2626="","",IF(COUNTIF('مواد المخزون'!$A$2:$A$90,$C2626)&gt;0,"نعم","لا (خارج الجرد)"))</f>
        <v/>
      </c>
    </row>
    <row r="2627" customFormat="false" ht="15" hidden="false" customHeight="false" outlineLevel="0" collapsed="false">
      <c r="A2627" s="103"/>
      <c r="B2627" s="104"/>
      <c r="C2627" s="104"/>
      <c r="F2627" s="107" t="str">
        <f aca="false">IF(OR($C2627="",$D2627=0),"",$E2627/$D2627)</f>
        <v/>
      </c>
      <c r="H2627" s="0" t="str">
        <f aca="false">IF($C2627="","",IF(COUNTIF('مواد المخزون'!$A$2:$A$90,$C2627)&gt;0,"نعم","لا (خارج الجرد)"))</f>
        <v/>
      </c>
    </row>
    <row r="2628" customFormat="false" ht="15" hidden="false" customHeight="false" outlineLevel="0" collapsed="false">
      <c r="A2628" s="103"/>
      <c r="B2628" s="104"/>
      <c r="C2628" s="104"/>
      <c r="F2628" s="107" t="str">
        <f aca="false">IF(OR($C2628="",$D2628=0),"",$E2628/$D2628)</f>
        <v/>
      </c>
      <c r="H2628" s="0" t="str">
        <f aca="false">IF($C2628="","",IF(COUNTIF('مواد المخزون'!$A$2:$A$90,$C2628)&gt;0,"نعم","لا (خارج الجرد)"))</f>
        <v/>
      </c>
    </row>
    <row r="2629" customFormat="false" ht="15" hidden="false" customHeight="false" outlineLevel="0" collapsed="false">
      <c r="A2629" s="103"/>
      <c r="B2629" s="104"/>
      <c r="C2629" s="104"/>
      <c r="F2629" s="107" t="str">
        <f aca="false">IF(OR($C2629="",$D2629=0),"",$E2629/$D2629)</f>
        <v/>
      </c>
      <c r="H2629" s="0" t="str">
        <f aca="false">IF($C2629="","",IF(COUNTIF('مواد المخزون'!$A$2:$A$90,$C2629)&gt;0,"نعم","لا (خارج الجرد)"))</f>
        <v/>
      </c>
    </row>
    <row r="2630" customFormat="false" ht="15" hidden="false" customHeight="false" outlineLevel="0" collapsed="false">
      <c r="A2630" s="103"/>
      <c r="B2630" s="104"/>
      <c r="C2630" s="104"/>
      <c r="F2630" s="107" t="str">
        <f aca="false">IF(OR($C2630="",$D2630=0),"",$E2630/$D2630)</f>
        <v/>
      </c>
      <c r="H2630" s="0" t="str">
        <f aca="false">IF($C2630="","",IF(COUNTIF('مواد المخزون'!$A$2:$A$90,$C2630)&gt;0,"نعم","لا (خارج الجرد)"))</f>
        <v/>
      </c>
    </row>
    <row r="2631" customFormat="false" ht="15" hidden="false" customHeight="false" outlineLevel="0" collapsed="false">
      <c r="A2631" s="103"/>
      <c r="B2631" s="104"/>
      <c r="C2631" s="104"/>
      <c r="F2631" s="107" t="str">
        <f aca="false">IF(OR($C2631="",$D2631=0),"",$E2631/$D2631)</f>
        <v/>
      </c>
      <c r="H2631" s="0" t="str">
        <f aca="false">IF($C2631="","",IF(COUNTIF('مواد المخزون'!$A$2:$A$90,$C2631)&gt;0,"نعم","لا (خارج الجرد)"))</f>
        <v/>
      </c>
    </row>
    <row r="2632" customFormat="false" ht="15" hidden="false" customHeight="false" outlineLevel="0" collapsed="false">
      <c r="A2632" s="103"/>
      <c r="B2632" s="104"/>
      <c r="C2632" s="104"/>
      <c r="F2632" s="107" t="str">
        <f aca="false">IF(OR($C2632="",$D2632=0),"",$E2632/$D2632)</f>
        <v/>
      </c>
      <c r="H2632" s="0" t="str">
        <f aca="false">IF($C2632="","",IF(COUNTIF('مواد المخزون'!$A$2:$A$90,$C2632)&gt;0,"نعم","لا (خارج الجرد)"))</f>
        <v/>
      </c>
    </row>
    <row r="2633" customFormat="false" ht="15" hidden="false" customHeight="false" outlineLevel="0" collapsed="false">
      <c r="A2633" s="103"/>
      <c r="B2633" s="104"/>
      <c r="C2633" s="104"/>
      <c r="F2633" s="107" t="str">
        <f aca="false">IF(OR($C2633="",$D2633=0),"",$E2633/$D2633)</f>
        <v/>
      </c>
      <c r="H2633" s="0" t="str">
        <f aca="false">IF($C2633="","",IF(COUNTIF('مواد المخزون'!$A$2:$A$90,$C2633)&gt;0,"نعم","لا (خارج الجرد)"))</f>
        <v/>
      </c>
    </row>
    <row r="2634" customFormat="false" ht="15" hidden="false" customHeight="false" outlineLevel="0" collapsed="false">
      <c r="A2634" s="103"/>
      <c r="B2634" s="104"/>
      <c r="C2634" s="104"/>
      <c r="F2634" s="107" t="str">
        <f aca="false">IF(OR($C2634="",$D2634=0),"",$E2634/$D2634)</f>
        <v/>
      </c>
      <c r="H2634" s="0" t="str">
        <f aca="false">IF($C2634="","",IF(COUNTIF('مواد المخزون'!$A$2:$A$90,$C2634)&gt;0,"نعم","لا (خارج الجرد)"))</f>
        <v/>
      </c>
    </row>
    <row r="2635" customFormat="false" ht="15" hidden="false" customHeight="false" outlineLevel="0" collapsed="false">
      <c r="A2635" s="103"/>
      <c r="B2635" s="104"/>
      <c r="C2635" s="104"/>
      <c r="F2635" s="107" t="str">
        <f aca="false">IF(OR($C2635="",$D2635=0),"",$E2635/$D2635)</f>
        <v/>
      </c>
      <c r="H2635" s="0" t="str">
        <f aca="false">IF($C2635="","",IF(COUNTIF('مواد المخزون'!$A$2:$A$90,$C2635)&gt;0,"نعم","لا (خارج الجرد)"))</f>
        <v/>
      </c>
    </row>
    <row r="2636" customFormat="false" ht="15" hidden="false" customHeight="false" outlineLevel="0" collapsed="false">
      <c r="A2636" s="103"/>
      <c r="B2636" s="104"/>
      <c r="C2636" s="104"/>
      <c r="F2636" s="107" t="str">
        <f aca="false">IF(OR($C2636="",$D2636=0),"",$E2636/$D2636)</f>
        <v/>
      </c>
      <c r="H2636" s="0" t="str">
        <f aca="false">IF($C2636="","",IF(COUNTIF('مواد المخزون'!$A$2:$A$90,$C2636)&gt;0,"نعم","لا (خارج الجرد)"))</f>
        <v/>
      </c>
    </row>
    <row r="2637" customFormat="false" ht="15" hidden="false" customHeight="false" outlineLevel="0" collapsed="false">
      <c r="A2637" s="103"/>
      <c r="B2637" s="104"/>
      <c r="C2637" s="104"/>
      <c r="F2637" s="107" t="str">
        <f aca="false">IF(OR($C2637="",$D2637=0),"",$E2637/$D2637)</f>
        <v/>
      </c>
      <c r="H2637" s="0" t="str">
        <f aca="false">IF($C2637="","",IF(COUNTIF('مواد المخزون'!$A$2:$A$90,$C2637)&gt;0,"نعم","لا (خارج الجرد)"))</f>
        <v/>
      </c>
    </row>
    <row r="2638" customFormat="false" ht="15" hidden="false" customHeight="false" outlineLevel="0" collapsed="false">
      <c r="A2638" s="103"/>
      <c r="B2638" s="104"/>
      <c r="C2638" s="104"/>
      <c r="F2638" s="107" t="str">
        <f aca="false">IF(OR($C2638="",$D2638=0),"",$E2638/$D2638)</f>
        <v/>
      </c>
      <c r="H2638" s="0" t="str">
        <f aca="false">IF($C2638="","",IF(COUNTIF('مواد المخزون'!$A$2:$A$90,$C2638)&gt;0,"نعم","لا (خارج الجرد)"))</f>
        <v/>
      </c>
    </row>
    <row r="2639" customFormat="false" ht="15" hidden="false" customHeight="false" outlineLevel="0" collapsed="false">
      <c r="A2639" s="103"/>
      <c r="B2639" s="104"/>
      <c r="C2639" s="104"/>
      <c r="F2639" s="107" t="str">
        <f aca="false">IF(OR($C2639="",$D2639=0),"",$E2639/$D2639)</f>
        <v/>
      </c>
      <c r="H2639" s="0" t="str">
        <f aca="false">IF($C2639="","",IF(COUNTIF('مواد المخزون'!$A$2:$A$90,$C2639)&gt;0,"نعم","لا (خارج الجرد)"))</f>
        <v/>
      </c>
    </row>
    <row r="2640" customFormat="false" ht="15" hidden="false" customHeight="false" outlineLevel="0" collapsed="false">
      <c r="A2640" s="103"/>
      <c r="B2640" s="104"/>
      <c r="C2640" s="104"/>
      <c r="F2640" s="107" t="str">
        <f aca="false">IF(OR($C2640="",$D2640=0),"",$E2640/$D2640)</f>
        <v/>
      </c>
      <c r="H2640" s="0" t="str">
        <f aca="false">IF($C2640="","",IF(COUNTIF('مواد المخزون'!$A$2:$A$90,$C2640)&gt;0,"نعم","لا (خارج الجرد)"))</f>
        <v/>
      </c>
    </row>
    <row r="2641" customFormat="false" ht="15" hidden="false" customHeight="false" outlineLevel="0" collapsed="false">
      <c r="A2641" s="103"/>
      <c r="B2641" s="104"/>
      <c r="C2641" s="104"/>
      <c r="F2641" s="107" t="str">
        <f aca="false">IF(OR($C2641="",$D2641=0),"",$E2641/$D2641)</f>
        <v/>
      </c>
      <c r="H2641" s="0" t="str">
        <f aca="false">IF($C2641="","",IF(COUNTIF('مواد المخزون'!$A$2:$A$90,$C2641)&gt;0,"نعم","لا (خارج الجرد)"))</f>
        <v/>
      </c>
    </row>
    <row r="2642" customFormat="false" ht="15" hidden="false" customHeight="false" outlineLevel="0" collapsed="false">
      <c r="A2642" s="103"/>
      <c r="B2642" s="104"/>
      <c r="C2642" s="104"/>
      <c r="F2642" s="107" t="str">
        <f aca="false">IF(OR($C2642="",$D2642=0),"",$E2642/$D2642)</f>
        <v/>
      </c>
      <c r="H2642" s="0" t="str">
        <f aca="false">IF($C2642="","",IF(COUNTIF('مواد المخزون'!$A$2:$A$90,$C2642)&gt;0,"نعم","لا (خارج الجرد)"))</f>
        <v/>
      </c>
    </row>
    <row r="2643" customFormat="false" ht="15" hidden="false" customHeight="false" outlineLevel="0" collapsed="false">
      <c r="A2643" s="103"/>
      <c r="B2643" s="104"/>
      <c r="C2643" s="104"/>
      <c r="F2643" s="107" t="str">
        <f aca="false">IF(OR($C2643="",$D2643=0),"",$E2643/$D2643)</f>
        <v/>
      </c>
      <c r="H2643" s="0" t="str">
        <f aca="false">IF($C2643="","",IF(COUNTIF('مواد المخزون'!$A$2:$A$90,$C2643)&gt;0,"نعم","لا (خارج الجرد)"))</f>
        <v/>
      </c>
    </row>
    <row r="2644" customFormat="false" ht="15" hidden="false" customHeight="false" outlineLevel="0" collapsed="false">
      <c r="A2644" s="103"/>
      <c r="B2644" s="104"/>
      <c r="C2644" s="104"/>
      <c r="F2644" s="107" t="str">
        <f aca="false">IF(OR($C2644="",$D2644=0),"",$E2644/$D2644)</f>
        <v/>
      </c>
      <c r="H2644" s="0" t="str">
        <f aca="false">IF($C2644="","",IF(COUNTIF('مواد المخزون'!$A$2:$A$90,$C2644)&gt;0,"نعم","لا (خارج الجرد)"))</f>
        <v/>
      </c>
    </row>
    <row r="2645" customFormat="false" ht="15" hidden="false" customHeight="false" outlineLevel="0" collapsed="false">
      <c r="A2645" s="103"/>
      <c r="B2645" s="104"/>
      <c r="C2645" s="104"/>
      <c r="F2645" s="107" t="str">
        <f aca="false">IF(OR($C2645="",$D2645=0),"",$E2645/$D2645)</f>
        <v/>
      </c>
      <c r="H2645" s="0" t="str">
        <f aca="false">IF($C2645="","",IF(COUNTIF('مواد المخزون'!$A$2:$A$90,$C2645)&gt;0,"نعم","لا (خارج الجرد)"))</f>
        <v/>
      </c>
    </row>
    <row r="2646" customFormat="false" ht="15" hidden="false" customHeight="false" outlineLevel="0" collapsed="false">
      <c r="A2646" s="103"/>
      <c r="B2646" s="104"/>
      <c r="C2646" s="104"/>
      <c r="F2646" s="107" t="str">
        <f aca="false">IF(OR($C2646="",$D2646=0),"",$E2646/$D2646)</f>
        <v/>
      </c>
      <c r="H2646" s="0" t="str">
        <f aca="false">IF($C2646="","",IF(COUNTIF('مواد المخزون'!$A$2:$A$90,$C2646)&gt;0,"نعم","لا (خارج الجرد)"))</f>
        <v/>
      </c>
    </row>
    <row r="2647" customFormat="false" ht="15" hidden="false" customHeight="false" outlineLevel="0" collapsed="false">
      <c r="A2647" s="103"/>
      <c r="B2647" s="104"/>
      <c r="C2647" s="104"/>
      <c r="F2647" s="107" t="str">
        <f aca="false">IF(OR($C2647="",$D2647=0),"",$E2647/$D2647)</f>
        <v/>
      </c>
      <c r="H2647" s="0" t="str">
        <f aca="false">IF($C2647="","",IF(COUNTIF('مواد المخزون'!$A$2:$A$90,$C2647)&gt;0,"نعم","لا (خارج الجرد)"))</f>
        <v/>
      </c>
    </row>
    <row r="2648" customFormat="false" ht="15" hidden="false" customHeight="false" outlineLevel="0" collapsed="false">
      <c r="A2648" s="103"/>
      <c r="B2648" s="104"/>
      <c r="C2648" s="104"/>
      <c r="F2648" s="107" t="str">
        <f aca="false">IF(OR($C2648="",$D2648=0),"",$E2648/$D2648)</f>
        <v/>
      </c>
      <c r="H2648" s="0" t="str">
        <f aca="false">IF($C2648="","",IF(COUNTIF('مواد المخزون'!$A$2:$A$90,$C2648)&gt;0,"نعم","لا (خارج الجرد)"))</f>
        <v/>
      </c>
    </row>
    <row r="2649" customFormat="false" ht="15" hidden="false" customHeight="false" outlineLevel="0" collapsed="false">
      <c r="A2649" s="103"/>
      <c r="B2649" s="104"/>
      <c r="C2649" s="104"/>
      <c r="F2649" s="107" t="str">
        <f aca="false">IF(OR($C2649="",$D2649=0),"",$E2649/$D2649)</f>
        <v/>
      </c>
      <c r="H2649" s="0" t="str">
        <f aca="false">IF($C2649="","",IF(COUNTIF('مواد المخزون'!$A$2:$A$90,$C2649)&gt;0,"نعم","لا (خارج الجرد)"))</f>
        <v/>
      </c>
    </row>
    <row r="2650" customFormat="false" ht="15" hidden="false" customHeight="false" outlineLevel="0" collapsed="false">
      <c r="A2650" s="103"/>
      <c r="B2650" s="104"/>
      <c r="C2650" s="104"/>
      <c r="F2650" s="107" t="str">
        <f aca="false">IF(OR($C2650="",$D2650=0),"",$E2650/$D2650)</f>
        <v/>
      </c>
      <c r="H2650" s="0" t="str">
        <f aca="false">IF($C2650="","",IF(COUNTIF('مواد المخزون'!$A$2:$A$90,$C2650)&gt;0,"نعم","لا (خارج الجرد)"))</f>
        <v/>
      </c>
    </row>
    <row r="2651" customFormat="false" ht="15" hidden="false" customHeight="false" outlineLevel="0" collapsed="false">
      <c r="A2651" s="103"/>
      <c r="B2651" s="104"/>
      <c r="C2651" s="104"/>
      <c r="F2651" s="107" t="str">
        <f aca="false">IF(OR($C2651="",$D2651=0),"",$E2651/$D2651)</f>
        <v/>
      </c>
      <c r="H2651" s="0" t="str">
        <f aca="false">IF($C2651="","",IF(COUNTIF('مواد المخزون'!$A$2:$A$90,$C2651)&gt;0,"نعم","لا (خارج الجرد)"))</f>
        <v/>
      </c>
    </row>
    <row r="2652" customFormat="false" ht="15" hidden="false" customHeight="false" outlineLevel="0" collapsed="false">
      <c r="A2652" s="103"/>
      <c r="B2652" s="104"/>
      <c r="C2652" s="104"/>
      <c r="F2652" s="107" t="str">
        <f aca="false">IF(OR($C2652="",$D2652=0),"",$E2652/$D2652)</f>
        <v/>
      </c>
      <c r="H2652" s="0" t="str">
        <f aca="false">IF($C2652="","",IF(COUNTIF('مواد المخزون'!$A$2:$A$90,$C2652)&gt;0,"نعم","لا (خارج الجرد)"))</f>
        <v/>
      </c>
    </row>
    <row r="2653" customFormat="false" ht="15" hidden="false" customHeight="false" outlineLevel="0" collapsed="false">
      <c r="A2653" s="103"/>
      <c r="B2653" s="104"/>
      <c r="C2653" s="104"/>
      <c r="F2653" s="107" t="str">
        <f aca="false">IF(OR($C2653="",$D2653=0),"",$E2653/$D2653)</f>
        <v/>
      </c>
      <c r="H2653" s="0" t="str">
        <f aca="false">IF($C2653="","",IF(COUNTIF('مواد المخزون'!$A$2:$A$90,$C2653)&gt;0,"نعم","لا (خارج الجرد)"))</f>
        <v/>
      </c>
    </row>
    <row r="2654" customFormat="false" ht="15" hidden="false" customHeight="false" outlineLevel="0" collapsed="false">
      <c r="A2654" s="103"/>
      <c r="B2654" s="104"/>
      <c r="C2654" s="104"/>
      <c r="F2654" s="107" t="str">
        <f aca="false">IF(OR($C2654="",$D2654=0),"",$E2654/$D2654)</f>
        <v/>
      </c>
      <c r="H2654" s="0" t="str">
        <f aca="false">IF($C2654="","",IF(COUNTIF('مواد المخزون'!$A$2:$A$90,$C2654)&gt;0,"نعم","لا (خارج الجرد)"))</f>
        <v/>
      </c>
    </row>
    <row r="2655" customFormat="false" ht="15" hidden="false" customHeight="false" outlineLevel="0" collapsed="false">
      <c r="A2655" s="103"/>
      <c r="B2655" s="104"/>
      <c r="C2655" s="104"/>
      <c r="F2655" s="107" t="str">
        <f aca="false">IF(OR($C2655="",$D2655=0),"",$E2655/$D2655)</f>
        <v/>
      </c>
      <c r="H2655" s="0" t="str">
        <f aca="false">IF($C2655="","",IF(COUNTIF('مواد المخزون'!$A$2:$A$90,$C2655)&gt;0,"نعم","لا (خارج الجرد)"))</f>
        <v/>
      </c>
    </row>
    <row r="2656" customFormat="false" ht="15" hidden="false" customHeight="false" outlineLevel="0" collapsed="false">
      <c r="A2656" s="103"/>
      <c r="B2656" s="104"/>
      <c r="C2656" s="104"/>
      <c r="F2656" s="107" t="str">
        <f aca="false">IF(OR($C2656="",$D2656=0),"",$E2656/$D2656)</f>
        <v/>
      </c>
      <c r="H2656" s="0" t="str">
        <f aca="false">IF($C2656="","",IF(COUNTIF('مواد المخزون'!$A$2:$A$90,$C2656)&gt;0,"نعم","لا (خارج الجرد)"))</f>
        <v/>
      </c>
    </row>
    <row r="2657" customFormat="false" ht="15" hidden="false" customHeight="false" outlineLevel="0" collapsed="false">
      <c r="A2657" s="103"/>
      <c r="B2657" s="104"/>
      <c r="C2657" s="104"/>
      <c r="F2657" s="107" t="str">
        <f aca="false">IF(OR($C2657="",$D2657=0),"",$E2657/$D2657)</f>
        <v/>
      </c>
      <c r="H2657" s="0" t="str">
        <f aca="false">IF($C2657="","",IF(COUNTIF('مواد المخزون'!$A$2:$A$90,$C2657)&gt;0,"نعم","لا (خارج الجرد)"))</f>
        <v/>
      </c>
    </row>
    <row r="2658" customFormat="false" ht="15" hidden="false" customHeight="false" outlineLevel="0" collapsed="false">
      <c r="A2658" s="103"/>
      <c r="B2658" s="104"/>
      <c r="C2658" s="104"/>
      <c r="F2658" s="107" t="str">
        <f aca="false">IF(OR($C2658="",$D2658=0),"",$E2658/$D2658)</f>
        <v/>
      </c>
      <c r="H2658" s="0" t="str">
        <f aca="false">IF($C2658="","",IF(COUNTIF('مواد المخزون'!$A$2:$A$90,$C2658)&gt;0,"نعم","لا (خارج الجرد)"))</f>
        <v/>
      </c>
    </row>
    <row r="2659" customFormat="false" ht="15" hidden="false" customHeight="false" outlineLevel="0" collapsed="false">
      <c r="A2659" s="103"/>
      <c r="B2659" s="104"/>
      <c r="C2659" s="104"/>
      <c r="F2659" s="107" t="str">
        <f aca="false">IF(OR($C2659="",$D2659=0),"",$E2659/$D2659)</f>
        <v/>
      </c>
      <c r="H2659" s="0" t="str">
        <f aca="false">IF($C2659="","",IF(COUNTIF('مواد المخزون'!$A$2:$A$90,$C2659)&gt;0,"نعم","لا (خارج الجرد)"))</f>
        <v/>
      </c>
    </row>
    <row r="2660" customFormat="false" ht="15" hidden="false" customHeight="false" outlineLevel="0" collapsed="false">
      <c r="A2660" s="103"/>
      <c r="B2660" s="104"/>
      <c r="C2660" s="104"/>
      <c r="F2660" s="107" t="str">
        <f aca="false">IF(OR($C2660="",$D2660=0),"",$E2660/$D2660)</f>
        <v/>
      </c>
      <c r="H2660" s="0" t="str">
        <f aca="false">IF($C2660="","",IF(COUNTIF('مواد المخزون'!$A$2:$A$90,$C2660)&gt;0,"نعم","لا (خارج الجرد)"))</f>
        <v/>
      </c>
    </row>
    <row r="2661" customFormat="false" ht="15" hidden="false" customHeight="false" outlineLevel="0" collapsed="false">
      <c r="A2661" s="103"/>
      <c r="B2661" s="104"/>
      <c r="C2661" s="104"/>
      <c r="F2661" s="107" t="str">
        <f aca="false">IF(OR($C2661="",$D2661=0),"",$E2661/$D2661)</f>
        <v/>
      </c>
      <c r="H2661" s="0" t="str">
        <f aca="false">IF($C2661="","",IF(COUNTIF('مواد المخزون'!$A$2:$A$90,$C2661)&gt;0,"نعم","لا (خارج الجرد)"))</f>
        <v/>
      </c>
    </row>
    <row r="2662" customFormat="false" ht="15" hidden="false" customHeight="false" outlineLevel="0" collapsed="false">
      <c r="A2662" s="103"/>
      <c r="B2662" s="104"/>
      <c r="C2662" s="104"/>
      <c r="F2662" s="107" t="str">
        <f aca="false">IF(OR($C2662="",$D2662=0),"",$E2662/$D2662)</f>
        <v/>
      </c>
      <c r="H2662" s="0" t="str">
        <f aca="false">IF($C2662="","",IF(COUNTIF('مواد المخزون'!$A$2:$A$90,$C2662)&gt;0,"نعم","لا (خارج الجرد)"))</f>
        <v/>
      </c>
    </row>
    <row r="2663" customFormat="false" ht="15" hidden="false" customHeight="false" outlineLevel="0" collapsed="false">
      <c r="A2663" s="103"/>
      <c r="B2663" s="104"/>
      <c r="C2663" s="104"/>
      <c r="F2663" s="107" t="str">
        <f aca="false">IF(OR($C2663="",$D2663=0),"",$E2663/$D2663)</f>
        <v/>
      </c>
      <c r="H2663" s="0" t="str">
        <f aca="false">IF($C2663="","",IF(COUNTIF('مواد المخزون'!$A$2:$A$90,$C2663)&gt;0,"نعم","لا (خارج الجرد)"))</f>
        <v/>
      </c>
    </row>
    <row r="2664" customFormat="false" ht="15" hidden="false" customHeight="false" outlineLevel="0" collapsed="false">
      <c r="A2664" s="103"/>
      <c r="B2664" s="104"/>
      <c r="C2664" s="104"/>
      <c r="F2664" s="107" t="str">
        <f aca="false">IF(OR($C2664="",$D2664=0),"",$E2664/$D2664)</f>
        <v/>
      </c>
      <c r="H2664" s="0" t="str">
        <f aca="false">IF($C2664="","",IF(COUNTIF('مواد المخزون'!$A$2:$A$90,$C2664)&gt;0,"نعم","لا (خارج الجرد)"))</f>
        <v/>
      </c>
    </row>
    <row r="2665" customFormat="false" ht="15" hidden="false" customHeight="false" outlineLevel="0" collapsed="false">
      <c r="A2665" s="103"/>
      <c r="B2665" s="104"/>
      <c r="C2665" s="104"/>
      <c r="F2665" s="107" t="str">
        <f aca="false">IF(OR($C2665="",$D2665=0),"",$E2665/$D2665)</f>
        <v/>
      </c>
      <c r="H2665" s="0" t="str">
        <f aca="false">IF($C2665="","",IF(COUNTIF('مواد المخزون'!$A$2:$A$90,$C2665)&gt;0,"نعم","لا (خارج الجرد)"))</f>
        <v/>
      </c>
    </row>
    <row r="2666" customFormat="false" ht="15" hidden="false" customHeight="false" outlineLevel="0" collapsed="false">
      <c r="A2666" s="103"/>
      <c r="B2666" s="104"/>
      <c r="C2666" s="104"/>
      <c r="F2666" s="107" t="str">
        <f aca="false">IF(OR($C2666="",$D2666=0),"",$E2666/$D2666)</f>
        <v/>
      </c>
      <c r="H2666" s="0" t="str">
        <f aca="false">IF($C2666="","",IF(COUNTIF('مواد المخزون'!$A$2:$A$90,$C2666)&gt;0,"نعم","لا (خارج الجرد)"))</f>
        <v/>
      </c>
    </row>
    <row r="2667" customFormat="false" ht="15" hidden="false" customHeight="false" outlineLevel="0" collapsed="false">
      <c r="A2667" s="103"/>
      <c r="B2667" s="104"/>
      <c r="C2667" s="104"/>
      <c r="F2667" s="107" t="str">
        <f aca="false">IF(OR($C2667="",$D2667=0),"",$E2667/$D2667)</f>
        <v/>
      </c>
      <c r="H2667" s="0" t="str">
        <f aca="false">IF($C2667="","",IF(COUNTIF('مواد المخزون'!$A$2:$A$90,$C2667)&gt;0,"نعم","لا (خارج الجرد)"))</f>
        <v/>
      </c>
    </row>
    <row r="2668" customFormat="false" ht="15" hidden="false" customHeight="false" outlineLevel="0" collapsed="false">
      <c r="A2668" s="103"/>
      <c r="B2668" s="104"/>
      <c r="C2668" s="104"/>
      <c r="F2668" s="107" t="str">
        <f aca="false">IF(OR($C2668="",$D2668=0),"",$E2668/$D2668)</f>
        <v/>
      </c>
      <c r="H2668" s="0" t="str">
        <f aca="false">IF($C2668="","",IF(COUNTIF('مواد المخزون'!$A$2:$A$90,$C2668)&gt;0,"نعم","لا (خارج الجرد)"))</f>
        <v/>
      </c>
    </row>
    <row r="2669" customFormat="false" ht="15" hidden="false" customHeight="false" outlineLevel="0" collapsed="false">
      <c r="A2669" s="103"/>
      <c r="B2669" s="104"/>
      <c r="C2669" s="104"/>
      <c r="F2669" s="107" t="str">
        <f aca="false">IF(OR($C2669="",$D2669=0),"",$E2669/$D2669)</f>
        <v/>
      </c>
      <c r="H2669" s="0" t="str">
        <f aca="false">IF($C2669="","",IF(COUNTIF('مواد المخزون'!$A$2:$A$90,$C2669)&gt;0,"نعم","لا (خارج الجرد)"))</f>
        <v/>
      </c>
    </row>
    <row r="2670" customFormat="false" ht="15" hidden="false" customHeight="false" outlineLevel="0" collapsed="false">
      <c r="A2670" s="103"/>
      <c r="B2670" s="104"/>
      <c r="C2670" s="104"/>
      <c r="F2670" s="107" t="str">
        <f aca="false">IF(OR($C2670="",$D2670=0),"",$E2670/$D2670)</f>
        <v/>
      </c>
      <c r="H2670" s="0" t="str">
        <f aca="false">IF($C2670="","",IF(COUNTIF('مواد المخزون'!$A$2:$A$90,$C2670)&gt;0,"نعم","لا (خارج الجرد)"))</f>
        <v/>
      </c>
    </row>
    <row r="2671" customFormat="false" ht="15" hidden="false" customHeight="false" outlineLevel="0" collapsed="false">
      <c r="A2671" s="103"/>
      <c r="B2671" s="104"/>
      <c r="C2671" s="104"/>
      <c r="F2671" s="107" t="str">
        <f aca="false">IF(OR($C2671="",$D2671=0),"",$E2671/$D2671)</f>
        <v/>
      </c>
      <c r="H2671" s="0" t="str">
        <f aca="false">IF($C2671="","",IF(COUNTIF('مواد المخزون'!$A$2:$A$90,$C2671)&gt;0,"نعم","لا (خارج الجرد)"))</f>
        <v/>
      </c>
    </row>
    <row r="2672" customFormat="false" ht="15" hidden="false" customHeight="false" outlineLevel="0" collapsed="false">
      <c r="A2672" s="103"/>
      <c r="B2672" s="104"/>
      <c r="C2672" s="104"/>
      <c r="F2672" s="107" t="str">
        <f aca="false">IF(OR($C2672="",$D2672=0),"",$E2672/$D2672)</f>
        <v/>
      </c>
      <c r="H2672" s="0" t="str">
        <f aca="false">IF($C2672="","",IF(COUNTIF('مواد المخزون'!$A$2:$A$90,$C2672)&gt;0,"نعم","لا (خارج الجرد)"))</f>
        <v/>
      </c>
    </row>
    <row r="2673" customFormat="false" ht="15" hidden="false" customHeight="false" outlineLevel="0" collapsed="false">
      <c r="A2673" s="103"/>
      <c r="B2673" s="104"/>
      <c r="C2673" s="104"/>
      <c r="F2673" s="107" t="str">
        <f aca="false">IF(OR($C2673="",$D2673=0),"",$E2673/$D2673)</f>
        <v/>
      </c>
      <c r="H2673" s="0" t="str">
        <f aca="false">IF($C2673="","",IF(COUNTIF('مواد المخزون'!$A$2:$A$90,$C2673)&gt;0,"نعم","لا (خارج الجرد)"))</f>
        <v/>
      </c>
    </row>
    <row r="2674" customFormat="false" ht="15" hidden="false" customHeight="false" outlineLevel="0" collapsed="false">
      <c r="A2674" s="103"/>
      <c r="B2674" s="104"/>
      <c r="C2674" s="104"/>
      <c r="F2674" s="107" t="str">
        <f aca="false">IF(OR($C2674="",$D2674=0),"",$E2674/$D2674)</f>
        <v/>
      </c>
      <c r="H2674" s="0" t="str">
        <f aca="false">IF($C2674="","",IF(COUNTIF('مواد المخزون'!$A$2:$A$90,$C2674)&gt;0,"نعم","لا (خارج الجرد)"))</f>
        <v/>
      </c>
    </row>
    <row r="2675" customFormat="false" ht="15" hidden="false" customHeight="false" outlineLevel="0" collapsed="false">
      <c r="A2675" s="103"/>
      <c r="B2675" s="104"/>
      <c r="C2675" s="104"/>
      <c r="F2675" s="107" t="str">
        <f aca="false">IF(OR($C2675="",$D2675=0),"",$E2675/$D2675)</f>
        <v/>
      </c>
      <c r="H2675" s="0" t="str">
        <f aca="false">IF($C2675="","",IF(COUNTIF('مواد المخزون'!$A$2:$A$90,$C2675)&gt;0,"نعم","لا (خارج الجرد)"))</f>
        <v/>
      </c>
    </row>
    <row r="2676" customFormat="false" ht="15" hidden="false" customHeight="false" outlineLevel="0" collapsed="false">
      <c r="A2676" s="103"/>
      <c r="B2676" s="104"/>
      <c r="C2676" s="104"/>
      <c r="F2676" s="107" t="str">
        <f aca="false">IF(OR($C2676="",$D2676=0),"",$E2676/$D2676)</f>
        <v/>
      </c>
      <c r="H2676" s="0" t="str">
        <f aca="false">IF($C2676="","",IF(COUNTIF('مواد المخزون'!$A$2:$A$90,$C2676)&gt;0,"نعم","لا (خارج الجرد)"))</f>
        <v/>
      </c>
    </row>
    <row r="2677" customFormat="false" ht="15" hidden="false" customHeight="false" outlineLevel="0" collapsed="false">
      <c r="A2677" s="103"/>
      <c r="B2677" s="104"/>
      <c r="C2677" s="104"/>
      <c r="F2677" s="107" t="str">
        <f aca="false">IF(OR($C2677="",$D2677=0),"",$E2677/$D2677)</f>
        <v/>
      </c>
      <c r="H2677" s="0" t="str">
        <f aca="false">IF($C2677="","",IF(COUNTIF('مواد المخزون'!$A$2:$A$90,$C2677)&gt;0,"نعم","لا (خارج الجرد)"))</f>
        <v/>
      </c>
    </row>
    <row r="2678" customFormat="false" ht="15" hidden="false" customHeight="false" outlineLevel="0" collapsed="false">
      <c r="A2678" s="103"/>
      <c r="B2678" s="104"/>
      <c r="C2678" s="104"/>
      <c r="F2678" s="107" t="str">
        <f aca="false">IF(OR($C2678="",$D2678=0),"",$E2678/$D2678)</f>
        <v/>
      </c>
      <c r="H2678" s="0" t="str">
        <f aca="false">IF($C2678="","",IF(COUNTIF('مواد المخزون'!$A$2:$A$90,$C2678)&gt;0,"نعم","لا (خارج الجرد)"))</f>
        <v/>
      </c>
    </row>
    <row r="2679" customFormat="false" ht="15" hidden="false" customHeight="false" outlineLevel="0" collapsed="false">
      <c r="A2679" s="103"/>
      <c r="B2679" s="104"/>
      <c r="C2679" s="104"/>
      <c r="F2679" s="107" t="str">
        <f aca="false">IF(OR($C2679="",$D2679=0),"",$E2679/$D2679)</f>
        <v/>
      </c>
      <c r="H2679" s="0" t="str">
        <f aca="false">IF($C2679="","",IF(COUNTIF('مواد المخزون'!$A$2:$A$90,$C2679)&gt;0,"نعم","لا (خارج الجرد)"))</f>
        <v/>
      </c>
    </row>
    <row r="2680" customFormat="false" ht="15" hidden="false" customHeight="false" outlineLevel="0" collapsed="false">
      <c r="A2680" s="103"/>
      <c r="B2680" s="104"/>
      <c r="C2680" s="104"/>
      <c r="F2680" s="107" t="str">
        <f aca="false">IF(OR($C2680="",$D2680=0),"",$E2680/$D2680)</f>
        <v/>
      </c>
      <c r="H2680" s="0" t="str">
        <f aca="false">IF($C2680="","",IF(COUNTIF('مواد المخزون'!$A$2:$A$90,$C2680)&gt;0,"نعم","لا (خارج الجرد)"))</f>
        <v/>
      </c>
    </row>
    <row r="2681" customFormat="false" ht="15" hidden="false" customHeight="false" outlineLevel="0" collapsed="false">
      <c r="A2681" s="103"/>
      <c r="B2681" s="104"/>
      <c r="C2681" s="104"/>
      <c r="F2681" s="107" t="str">
        <f aca="false">IF(OR($C2681="",$D2681=0),"",$E2681/$D2681)</f>
        <v/>
      </c>
      <c r="H2681" s="0" t="str">
        <f aca="false">IF($C2681="","",IF(COUNTIF('مواد المخزون'!$A$2:$A$90,$C2681)&gt;0,"نعم","لا (خارج الجرد)"))</f>
        <v/>
      </c>
    </row>
    <row r="2682" customFormat="false" ht="15" hidden="false" customHeight="false" outlineLevel="0" collapsed="false">
      <c r="A2682" s="103"/>
      <c r="B2682" s="104"/>
      <c r="C2682" s="104"/>
      <c r="F2682" s="107" t="str">
        <f aca="false">IF(OR($C2682="",$D2682=0),"",$E2682/$D2682)</f>
        <v/>
      </c>
      <c r="H2682" s="0" t="str">
        <f aca="false">IF($C2682="","",IF(COUNTIF('مواد المخزون'!$A$2:$A$90,$C2682)&gt;0,"نعم","لا (خارج الجرد)"))</f>
        <v/>
      </c>
    </row>
    <row r="2683" customFormat="false" ht="15" hidden="false" customHeight="false" outlineLevel="0" collapsed="false">
      <c r="A2683" s="103"/>
      <c r="B2683" s="104"/>
      <c r="C2683" s="104"/>
      <c r="F2683" s="107" t="str">
        <f aca="false">IF(OR($C2683="",$D2683=0),"",$E2683/$D2683)</f>
        <v/>
      </c>
      <c r="H2683" s="0" t="str">
        <f aca="false">IF($C2683="","",IF(COUNTIF('مواد المخزون'!$A$2:$A$90,$C2683)&gt;0,"نعم","لا (خارج الجرد)"))</f>
        <v/>
      </c>
    </row>
    <row r="2684" customFormat="false" ht="15" hidden="false" customHeight="false" outlineLevel="0" collapsed="false">
      <c r="A2684" s="103"/>
      <c r="B2684" s="104"/>
      <c r="C2684" s="104"/>
      <c r="F2684" s="107" t="str">
        <f aca="false">IF(OR($C2684="",$D2684=0),"",$E2684/$D2684)</f>
        <v/>
      </c>
      <c r="H2684" s="0" t="str">
        <f aca="false">IF($C2684="","",IF(COUNTIF('مواد المخزون'!$A$2:$A$90,$C2684)&gt;0,"نعم","لا (خارج الجرد)"))</f>
        <v/>
      </c>
    </row>
    <row r="2685" customFormat="false" ht="15" hidden="false" customHeight="false" outlineLevel="0" collapsed="false">
      <c r="A2685" s="103"/>
      <c r="B2685" s="104"/>
      <c r="C2685" s="104"/>
      <c r="F2685" s="107" t="str">
        <f aca="false">IF(OR($C2685="",$D2685=0),"",$E2685/$D2685)</f>
        <v/>
      </c>
      <c r="H2685" s="0" t="str">
        <f aca="false">IF($C2685="","",IF(COUNTIF('مواد المخزون'!$A$2:$A$90,$C2685)&gt;0,"نعم","لا (خارج الجرد)"))</f>
        <v/>
      </c>
    </row>
    <row r="2686" customFormat="false" ht="15" hidden="false" customHeight="false" outlineLevel="0" collapsed="false">
      <c r="A2686" s="103"/>
      <c r="B2686" s="104"/>
      <c r="C2686" s="104"/>
      <c r="F2686" s="107" t="str">
        <f aca="false">IF(OR($C2686="",$D2686=0),"",$E2686/$D2686)</f>
        <v/>
      </c>
      <c r="H2686" s="0" t="str">
        <f aca="false">IF($C2686="","",IF(COUNTIF('مواد المخزون'!$A$2:$A$90,$C2686)&gt;0,"نعم","لا (خارج الجرد)"))</f>
        <v/>
      </c>
    </row>
    <row r="2687" customFormat="false" ht="15" hidden="false" customHeight="false" outlineLevel="0" collapsed="false">
      <c r="A2687" s="103"/>
      <c r="B2687" s="104"/>
      <c r="C2687" s="104"/>
      <c r="F2687" s="107" t="str">
        <f aca="false">IF(OR($C2687="",$D2687=0),"",$E2687/$D2687)</f>
        <v/>
      </c>
      <c r="H2687" s="0" t="str">
        <f aca="false">IF($C2687="","",IF(COUNTIF('مواد المخزون'!$A$2:$A$90,$C2687)&gt;0,"نعم","لا (خارج الجرد)"))</f>
        <v/>
      </c>
    </row>
    <row r="2688" customFormat="false" ht="15" hidden="false" customHeight="false" outlineLevel="0" collapsed="false">
      <c r="A2688" s="103"/>
      <c r="B2688" s="104"/>
      <c r="C2688" s="104"/>
      <c r="F2688" s="107" t="str">
        <f aca="false">IF(OR($C2688="",$D2688=0),"",$E2688/$D2688)</f>
        <v/>
      </c>
      <c r="H2688" s="0" t="str">
        <f aca="false">IF($C2688="","",IF(COUNTIF('مواد المخزون'!$A$2:$A$90,$C2688)&gt;0,"نعم","لا (خارج الجرد)"))</f>
        <v/>
      </c>
    </row>
    <row r="2689" customFormat="false" ht="15" hidden="false" customHeight="false" outlineLevel="0" collapsed="false">
      <c r="A2689" s="103"/>
      <c r="B2689" s="104"/>
      <c r="C2689" s="104"/>
      <c r="F2689" s="107" t="str">
        <f aca="false">IF(OR($C2689="",$D2689=0),"",$E2689/$D2689)</f>
        <v/>
      </c>
      <c r="H2689" s="0" t="str">
        <f aca="false">IF($C2689="","",IF(COUNTIF('مواد المخزون'!$A$2:$A$90,$C2689)&gt;0,"نعم","لا (خارج الجرد)"))</f>
        <v/>
      </c>
    </row>
    <row r="2690" customFormat="false" ht="15" hidden="false" customHeight="false" outlineLevel="0" collapsed="false">
      <c r="A2690" s="103"/>
      <c r="B2690" s="104"/>
      <c r="C2690" s="104"/>
      <c r="F2690" s="107" t="str">
        <f aca="false">IF(OR($C2690="",$D2690=0),"",$E2690/$D2690)</f>
        <v/>
      </c>
      <c r="H2690" s="0" t="str">
        <f aca="false">IF($C2690="","",IF(COUNTIF('مواد المخزون'!$A$2:$A$90,$C2690)&gt;0,"نعم","لا (خارج الجرد)"))</f>
        <v/>
      </c>
    </row>
    <row r="2691" customFormat="false" ht="15" hidden="false" customHeight="false" outlineLevel="0" collapsed="false">
      <c r="A2691" s="103"/>
      <c r="B2691" s="104"/>
      <c r="C2691" s="104"/>
      <c r="F2691" s="107" t="str">
        <f aca="false">IF(OR($C2691="",$D2691=0),"",$E2691/$D2691)</f>
        <v/>
      </c>
      <c r="H2691" s="0" t="str">
        <f aca="false">IF($C2691="","",IF(COUNTIF('مواد المخزون'!$A$2:$A$90,$C2691)&gt;0,"نعم","لا (خارج الجرد)"))</f>
        <v/>
      </c>
    </row>
    <row r="2692" customFormat="false" ht="15" hidden="false" customHeight="false" outlineLevel="0" collapsed="false">
      <c r="A2692" s="103"/>
      <c r="B2692" s="104"/>
      <c r="C2692" s="104"/>
      <c r="F2692" s="107" t="str">
        <f aca="false">IF(OR($C2692="",$D2692=0),"",$E2692/$D2692)</f>
        <v/>
      </c>
      <c r="H2692" s="0" t="str">
        <f aca="false">IF($C2692="","",IF(COUNTIF('مواد المخزون'!$A$2:$A$90,$C2692)&gt;0,"نعم","لا (خارج الجرد)"))</f>
        <v/>
      </c>
    </row>
    <row r="2693" customFormat="false" ht="15" hidden="false" customHeight="false" outlineLevel="0" collapsed="false">
      <c r="A2693" s="103"/>
      <c r="B2693" s="104"/>
      <c r="C2693" s="104"/>
      <c r="F2693" s="107" t="str">
        <f aca="false">IF(OR($C2693="",$D2693=0),"",$E2693/$D2693)</f>
        <v/>
      </c>
      <c r="H2693" s="0" t="str">
        <f aca="false">IF($C2693="","",IF(COUNTIF('مواد المخزون'!$A$2:$A$90,$C2693)&gt;0,"نعم","لا (خارج الجرد)"))</f>
        <v/>
      </c>
    </row>
    <row r="2694" customFormat="false" ht="15" hidden="false" customHeight="false" outlineLevel="0" collapsed="false">
      <c r="A2694" s="103"/>
      <c r="B2694" s="104"/>
      <c r="C2694" s="104"/>
      <c r="F2694" s="107" t="str">
        <f aca="false">IF(OR($C2694="",$D2694=0),"",$E2694/$D2694)</f>
        <v/>
      </c>
      <c r="H2694" s="0" t="str">
        <f aca="false">IF($C2694="","",IF(COUNTIF('مواد المخزون'!$A$2:$A$90,$C2694)&gt;0,"نعم","لا (خارج الجرد)"))</f>
        <v/>
      </c>
    </row>
    <row r="2695" customFormat="false" ht="15" hidden="false" customHeight="false" outlineLevel="0" collapsed="false">
      <c r="A2695" s="103"/>
      <c r="B2695" s="104"/>
      <c r="C2695" s="104"/>
      <c r="F2695" s="107" t="str">
        <f aca="false">IF(OR($C2695="",$D2695=0),"",$E2695/$D2695)</f>
        <v/>
      </c>
      <c r="H2695" s="0" t="str">
        <f aca="false">IF($C2695="","",IF(COUNTIF('مواد المخزون'!$A$2:$A$90,$C2695)&gt;0,"نعم","لا (خارج الجرد)"))</f>
        <v/>
      </c>
    </row>
    <row r="2696" customFormat="false" ht="15" hidden="false" customHeight="false" outlineLevel="0" collapsed="false">
      <c r="A2696" s="103"/>
      <c r="B2696" s="104"/>
      <c r="C2696" s="104"/>
      <c r="F2696" s="107" t="str">
        <f aca="false">IF(OR($C2696="",$D2696=0),"",$E2696/$D2696)</f>
        <v/>
      </c>
      <c r="H2696" s="0" t="str">
        <f aca="false">IF($C2696="","",IF(COUNTIF('مواد المخزون'!$A$2:$A$90,$C2696)&gt;0,"نعم","لا (خارج الجرد)"))</f>
        <v/>
      </c>
    </row>
    <row r="2697" customFormat="false" ht="15" hidden="false" customHeight="false" outlineLevel="0" collapsed="false">
      <c r="A2697" s="103"/>
      <c r="B2697" s="104"/>
      <c r="C2697" s="104"/>
      <c r="F2697" s="107" t="str">
        <f aca="false">IF(OR($C2697="",$D2697=0),"",$E2697/$D2697)</f>
        <v/>
      </c>
      <c r="H2697" s="0" t="str">
        <f aca="false">IF($C2697="","",IF(COUNTIF('مواد المخزون'!$A$2:$A$90,$C2697)&gt;0,"نعم","لا (خارج الجرد)"))</f>
        <v/>
      </c>
    </row>
    <row r="2698" customFormat="false" ht="15" hidden="false" customHeight="false" outlineLevel="0" collapsed="false">
      <c r="A2698" s="103"/>
      <c r="B2698" s="104"/>
      <c r="C2698" s="104"/>
      <c r="F2698" s="107" t="str">
        <f aca="false">IF(OR($C2698="",$D2698=0),"",$E2698/$D2698)</f>
        <v/>
      </c>
      <c r="H2698" s="0" t="str">
        <f aca="false">IF($C2698="","",IF(COUNTIF('مواد المخزون'!$A$2:$A$90,$C2698)&gt;0,"نعم","لا (خارج الجرد)"))</f>
        <v/>
      </c>
    </row>
    <row r="2699" customFormat="false" ht="15" hidden="false" customHeight="false" outlineLevel="0" collapsed="false">
      <c r="A2699" s="103"/>
      <c r="B2699" s="104"/>
      <c r="C2699" s="104"/>
      <c r="F2699" s="107" t="str">
        <f aca="false">IF(OR($C2699="",$D2699=0),"",$E2699/$D2699)</f>
        <v/>
      </c>
      <c r="H2699" s="0" t="str">
        <f aca="false">IF($C2699="","",IF(COUNTIF('مواد المخزون'!$A$2:$A$90,$C2699)&gt;0,"نعم","لا (خارج الجرد)"))</f>
        <v/>
      </c>
    </row>
    <row r="2700" customFormat="false" ht="15" hidden="false" customHeight="false" outlineLevel="0" collapsed="false">
      <c r="A2700" s="103"/>
      <c r="B2700" s="104"/>
      <c r="C2700" s="104"/>
      <c r="F2700" s="107" t="str">
        <f aca="false">IF(OR($C2700="",$D2700=0),"",$E2700/$D2700)</f>
        <v/>
      </c>
      <c r="H2700" s="0" t="str">
        <f aca="false">IF($C2700="","",IF(COUNTIF('مواد المخزون'!$A$2:$A$90,$C2700)&gt;0,"نعم","لا (خارج الجرد)"))</f>
        <v/>
      </c>
    </row>
    <row r="2701" customFormat="false" ht="15" hidden="false" customHeight="false" outlineLevel="0" collapsed="false">
      <c r="A2701" s="103"/>
      <c r="B2701" s="104"/>
      <c r="C2701" s="104"/>
      <c r="F2701" s="107" t="str">
        <f aca="false">IF(OR($C2701="",$D2701=0),"",$E2701/$D2701)</f>
        <v/>
      </c>
      <c r="H2701" s="0" t="str">
        <f aca="false">IF($C2701="","",IF(COUNTIF('مواد المخزون'!$A$2:$A$90,$C2701)&gt;0,"نعم","لا (خارج الجرد)"))</f>
        <v/>
      </c>
    </row>
    <row r="2702" customFormat="false" ht="15" hidden="false" customHeight="false" outlineLevel="0" collapsed="false">
      <c r="A2702" s="103"/>
      <c r="B2702" s="104"/>
      <c r="C2702" s="104"/>
      <c r="F2702" s="107" t="str">
        <f aca="false">IF(OR($C2702="",$D2702=0),"",$E2702/$D2702)</f>
        <v/>
      </c>
      <c r="H2702" s="0" t="str">
        <f aca="false">IF($C2702="","",IF(COUNTIF('مواد المخزون'!$A$2:$A$90,$C2702)&gt;0,"نعم","لا (خارج الجرد)"))</f>
        <v/>
      </c>
    </row>
    <row r="2703" customFormat="false" ht="15" hidden="false" customHeight="false" outlineLevel="0" collapsed="false">
      <c r="A2703" s="103"/>
      <c r="B2703" s="104"/>
      <c r="C2703" s="104"/>
      <c r="F2703" s="107" t="str">
        <f aca="false">IF(OR($C2703="",$D2703=0),"",$E2703/$D2703)</f>
        <v/>
      </c>
      <c r="H2703" s="0" t="str">
        <f aca="false">IF($C2703="","",IF(COUNTIF('مواد المخزون'!$A$2:$A$90,$C2703)&gt;0,"نعم","لا (خارج الجرد)"))</f>
        <v/>
      </c>
    </row>
    <row r="2704" customFormat="false" ht="15" hidden="false" customHeight="false" outlineLevel="0" collapsed="false">
      <c r="A2704" s="103"/>
      <c r="B2704" s="104"/>
      <c r="C2704" s="104"/>
      <c r="F2704" s="107" t="str">
        <f aca="false">IF(OR($C2704="",$D2704=0),"",$E2704/$D2704)</f>
        <v/>
      </c>
      <c r="H2704" s="0" t="str">
        <f aca="false">IF($C2704="","",IF(COUNTIF('مواد المخزون'!$A$2:$A$90,$C2704)&gt;0,"نعم","لا (خارج الجرد)"))</f>
        <v/>
      </c>
    </row>
    <row r="2705" customFormat="false" ht="15" hidden="false" customHeight="false" outlineLevel="0" collapsed="false">
      <c r="A2705" s="103"/>
      <c r="B2705" s="104"/>
      <c r="C2705" s="104"/>
      <c r="F2705" s="107" t="str">
        <f aca="false">IF(OR($C2705="",$D2705=0),"",$E2705/$D2705)</f>
        <v/>
      </c>
      <c r="H2705" s="0" t="str">
        <f aca="false">IF($C2705="","",IF(COUNTIF('مواد المخزون'!$A$2:$A$90,$C2705)&gt;0,"نعم","لا (خارج الجرد)"))</f>
        <v/>
      </c>
    </row>
    <row r="2706" customFormat="false" ht="15" hidden="false" customHeight="false" outlineLevel="0" collapsed="false">
      <c r="A2706" s="103"/>
      <c r="B2706" s="104"/>
      <c r="C2706" s="104"/>
      <c r="F2706" s="107" t="str">
        <f aca="false">IF(OR($C2706="",$D2706=0),"",$E2706/$D2706)</f>
        <v/>
      </c>
      <c r="H2706" s="0" t="str">
        <f aca="false">IF($C2706="","",IF(COUNTIF('مواد المخزون'!$A$2:$A$90,$C2706)&gt;0,"نعم","لا (خارج الجرد)"))</f>
        <v/>
      </c>
    </row>
    <row r="2707" customFormat="false" ht="15" hidden="false" customHeight="false" outlineLevel="0" collapsed="false">
      <c r="A2707" s="103"/>
      <c r="B2707" s="104"/>
      <c r="C2707" s="104"/>
      <c r="F2707" s="107" t="str">
        <f aca="false">IF(OR($C2707="",$D2707=0),"",$E2707/$D2707)</f>
        <v/>
      </c>
      <c r="H2707" s="0" t="str">
        <f aca="false">IF($C2707="","",IF(COUNTIF('مواد المخزون'!$A$2:$A$90,$C2707)&gt;0,"نعم","لا (خارج الجرد)"))</f>
        <v/>
      </c>
    </row>
    <row r="2708" customFormat="false" ht="15" hidden="false" customHeight="false" outlineLevel="0" collapsed="false">
      <c r="A2708" s="103"/>
      <c r="B2708" s="104"/>
      <c r="C2708" s="104"/>
      <c r="F2708" s="107" t="str">
        <f aca="false">IF(OR($C2708="",$D2708=0),"",$E2708/$D2708)</f>
        <v/>
      </c>
      <c r="H2708" s="0" t="str">
        <f aca="false">IF($C2708="","",IF(COUNTIF('مواد المخزون'!$A$2:$A$90,$C2708)&gt;0,"نعم","لا (خارج الجرد)"))</f>
        <v/>
      </c>
    </row>
    <row r="2709" customFormat="false" ht="15" hidden="false" customHeight="false" outlineLevel="0" collapsed="false">
      <c r="A2709" s="103"/>
      <c r="B2709" s="104"/>
      <c r="C2709" s="104"/>
      <c r="F2709" s="107" t="str">
        <f aca="false">IF(OR($C2709="",$D2709=0),"",$E2709/$D2709)</f>
        <v/>
      </c>
      <c r="H2709" s="0" t="str">
        <f aca="false">IF($C2709="","",IF(COUNTIF('مواد المخزون'!$A$2:$A$90,$C2709)&gt;0,"نعم","لا (خارج الجرد)"))</f>
        <v/>
      </c>
    </row>
    <row r="2710" customFormat="false" ht="15" hidden="false" customHeight="false" outlineLevel="0" collapsed="false">
      <c r="A2710" s="103"/>
      <c r="B2710" s="104"/>
      <c r="C2710" s="104"/>
      <c r="F2710" s="107" t="str">
        <f aca="false">IF(OR($C2710="",$D2710=0),"",$E2710/$D2710)</f>
        <v/>
      </c>
      <c r="H2710" s="0" t="str">
        <f aca="false">IF($C2710="","",IF(COUNTIF('مواد المخزون'!$A$2:$A$90,$C2710)&gt;0,"نعم","لا (خارج الجرد)"))</f>
        <v/>
      </c>
    </row>
    <row r="2711" customFormat="false" ht="15" hidden="false" customHeight="false" outlineLevel="0" collapsed="false">
      <c r="A2711" s="103"/>
      <c r="B2711" s="104"/>
      <c r="C2711" s="104"/>
      <c r="F2711" s="107" t="str">
        <f aca="false">IF(OR($C2711="",$D2711=0),"",$E2711/$D2711)</f>
        <v/>
      </c>
      <c r="H2711" s="0" t="str">
        <f aca="false">IF($C2711="","",IF(COUNTIF('مواد المخزون'!$A$2:$A$90,$C2711)&gt;0,"نعم","لا (خارج الجرد)"))</f>
        <v/>
      </c>
    </row>
    <row r="2712" customFormat="false" ht="15" hidden="false" customHeight="false" outlineLevel="0" collapsed="false">
      <c r="A2712" s="103"/>
      <c r="B2712" s="104"/>
      <c r="C2712" s="104"/>
      <c r="F2712" s="107" t="str">
        <f aca="false">IF(OR($C2712="",$D2712=0),"",$E2712/$D2712)</f>
        <v/>
      </c>
      <c r="H2712" s="0" t="str">
        <f aca="false">IF($C2712="","",IF(COUNTIF('مواد المخزون'!$A$2:$A$90,$C2712)&gt;0,"نعم","لا (خارج الجرد)"))</f>
        <v/>
      </c>
    </row>
    <row r="2713" customFormat="false" ht="15" hidden="false" customHeight="false" outlineLevel="0" collapsed="false">
      <c r="A2713" s="103"/>
      <c r="B2713" s="104"/>
      <c r="C2713" s="104"/>
      <c r="F2713" s="107" t="str">
        <f aca="false">IF(OR($C2713="",$D2713=0),"",$E2713/$D2713)</f>
        <v/>
      </c>
      <c r="H2713" s="0" t="str">
        <f aca="false">IF($C2713="","",IF(COUNTIF('مواد المخزون'!$A$2:$A$90,$C2713)&gt;0,"نعم","لا (خارج الجرد)"))</f>
        <v/>
      </c>
    </row>
    <row r="2714" customFormat="false" ht="15" hidden="false" customHeight="false" outlineLevel="0" collapsed="false">
      <c r="A2714" s="103"/>
      <c r="B2714" s="104"/>
      <c r="C2714" s="104"/>
      <c r="F2714" s="107" t="str">
        <f aca="false">IF(OR($C2714="",$D2714=0),"",$E2714/$D2714)</f>
        <v/>
      </c>
      <c r="H2714" s="0" t="str">
        <f aca="false">IF($C2714="","",IF(COUNTIF('مواد المخزون'!$A$2:$A$90,$C2714)&gt;0,"نعم","لا (خارج الجرد)"))</f>
        <v/>
      </c>
    </row>
    <row r="2715" customFormat="false" ht="15" hidden="false" customHeight="false" outlineLevel="0" collapsed="false">
      <c r="A2715" s="103"/>
      <c r="B2715" s="104"/>
      <c r="C2715" s="104"/>
      <c r="F2715" s="107" t="str">
        <f aca="false">IF(OR($C2715="",$D2715=0),"",$E2715/$D2715)</f>
        <v/>
      </c>
      <c r="H2715" s="0" t="str">
        <f aca="false">IF($C2715="","",IF(COUNTIF('مواد المخزون'!$A$2:$A$90,$C2715)&gt;0,"نعم","لا (خارج الجرد)"))</f>
        <v/>
      </c>
    </row>
    <row r="2716" customFormat="false" ht="15" hidden="false" customHeight="false" outlineLevel="0" collapsed="false">
      <c r="A2716" s="103"/>
      <c r="B2716" s="104"/>
      <c r="C2716" s="104"/>
      <c r="F2716" s="107" t="str">
        <f aca="false">IF(OR($C2716="",$D2716=0),"",$E2716/$D2716)</f>
        <v/>
      </c>
      <c r="H2716" s="0" t="str">
        <f aca="false">IF($C2716="","",IF(COUNTIF('مواد المخزون'!$A$2:$A$90,$C2716)&gt;0,"نعم","لا (خارج الجرد)"))</f>
        <v/>
      </c>
    </row>
    <row r="2717" customFormat="false" ht="15" hidden="false" customHeight="false" outlineLevel="0" collapsed="false">
      <c r="A2717" s="103"/>
      <c r="B2717" s="104"/>
      <c r="C2717" s="104"/>
      <c r="F2717" s="107" t="str">
        <f aca="false">IF(OR($C2717="",$D2717=0),"",$E2717/$D2717)</f>
        <v/>
      </c>
      <c r="H2717" s="0" t="str">
        <f aca="false">IF($C2717="","",IF(COUNTIF('مواد المخزون'!$A$2:$A$90,$C2717)&gt;0,"نعم","لا (خارج الجرد)"))</f>
        <v/>
      </c>
    </row>
    <row r="2718" customFormat="false" ht="15" hidden="false" customHeight="false" outlineLevel="0" collapsed="false">
      <c r="A2718" s="103"/>
      <c r="B2718" s="104"/>
      <c r="C2718" s="104"/>
      <c r="F2718" s="107" t="str">
        <f aca="false">IF(OR($C2718="",$D2718=0),"",$E2718/$D2718)</f>
        <v/>
      </c>
      <c r="H2718" s="0" t="str">
        <f aca="false">IF($C2718="","",IF(COUNTIF('مواد المخزون'!$A$2:$A$90,$C2718)&gt;0,"نعم","لا (خارج الجرد)"))</f>
        <v/>
      </c>
    </row>
    <row r="2719" customFormat="false" ht="15" hidden="false" customHeight="false" outlineLevel="0" collapsed="false">
      <c r="A2719" s="103"/>
      <c r="B2719" s="104"/>
      <c r="C2719" s="104"/>
      <c r="F2719" s="107" t="str">
        <f aca="false">IF(OR($C2719="",$D2719=0),"",$E2719/$D2719)</f>
        <v/>
      </c>
      <c r="H2719" s="0" t="str">
        <f aca="false">IF($C2719="","",IF(COUNTIF('مواد المخزون'!$A$2:$A$90,$C2719)&gt;0,"نعم","لا (خارج الجرد)"))</f>
        <v/>
      </c>
    </row>
    <row r="2720" customFormat="false" ht="15" hidden="false" customHeight="false" outlineLevel="0" collapsed="false">
      <c r="A2720" s="103"/>
      <c r="B2720" s="104"/>
      <c r="C2720" s="104"/>
      <c r="F2720" s="107" t="str">
        <f aca="false">IF(OR($C2720="",$D2720=0),"",$E2720/$D2720)</f>
        <v/>
      </c>
      <c r="H2720" s="0" t="str">
        <f aca="false">IF($C2720="","",IF(COUNTIF('مواد المخزون'!$A$2:$A$90,$C2720)&gt;0,"نعم","لا (خارج الجرد)"))</f>
        <v/>
      </c>
    </row>
    <row r="2721" customFormat="false" ht="15" hidden="false" customHeight="false" outlineLevel="0" collapsed="false">
      <c r="A2721" s="103"/>
      <c r="B2721" s="104"/>
      <c r="C2721" s="104"/>
      <c r="F2721" s="107" t="str">
        <f aca="false">IF(OR($C2721="",$D2721=0),"",$E2721/$D2721)</f>
        <v/>
      </c>
      <c r="H2721" s="0" t="str">
        <f aca="false">IF($C2721="","",IF(COUNTIF('مواد المخزون'!$A$2:$A$90,$C2721)&gt;0,"نعم","لا (خارج الجرد)"))</f>
        <v/>
      </c>
    </row>
    <row r="2722" customFormat="false" ht="15" hidden="false" customHeight="false" outlineLevel="0" collapsed="false">
      <c r="A2722" s="103"/>
      <c r="B2722" s="104"/>
      <c r="C2722" s="104"/>
      <c r="F2722" s="107" t="str">
        <f aca="false">IF(OR($C2722="",$D2722=0),"",$E2722/$D2722)</f>
        <v/>
      </c>
      <c r="H2722" s="0" t="str">
        <f aca="false">IF($C2722="","",IF(COUNTIF('مواد المخزون'!$A$2:$A$90,$C2722)&gt;0,"نعم","لا (خارج الجرد)"))</f>
        <v/>
      </c>
    </row>
    <row r="2723" customFormat="false" ht="15" hidden="false" customHeight="false" outlineLevel="0" collapsed="false">
      <c r="A2723" s="103"/>
      <c r="B2723" s="104"/>
      <c r="C2723" s="104"/>
      <c r="F2723" s="107" t="str">
        <f aca="false">IF(OR($C2723="",$D2723=0),"",$E2723/$D2723)</f>
        <v/>
      </c>
      <c r="H2723" s="0" t="str">
        <f aca="false">IF($C2723="","",IF(COUNTIF('مواد المخزون'!$A$2:$A$90,$C2723)&gt;0,"نعم","لا (خارج الجرد)"))</f>
        <v/>
      </c>
    </row>
    <row r="2724" customFormat="false" ht="15" hidden="false" customHeight="false" outlineLevel="0" collapsed="false">
      <c r="A2724" s="103"/>
      <c r="B2724" s="104"/>
      <c r="C2724" s="104"/>
      <c r="F2724" s="107" t="str">
        <f aca="false">IF(OR($C2724="",$D2724=0),"",$E2724/$D2724)</f>
        <v/>
      </c>
      <c r="H2724" s="0" t="str">
        <f aca="false">IF($C2724="","",IF(COUNTIF('مواد المخزون'!$A$2:$A$90,$C2724)&gt;0,"نعم","لا (خارج الجرد)"))</f>
        <v/>
      </c>
    </row>
    <row r="2725" customFormat="false" ht="15" hidden="false" customHeight="false" outlineLevel="0" collapsed="false">
      <c r="A2725" s="103"/>
      <c r="B2725" s="104"/>
      <c r="C2725" s="104"/>
      <c r="F2725" s="107" t="str">
        <f aca="false">IF(OR($C2725="",$D2725=0),"",$E2725/$D2725)</f>
        <v/>
      </c>
      <c r="H2725" s="0" t="str">
        <f aca="false">IF($C2725="","",IF(COUNTIF('مواد المخزون'!$A$2:$A$90,$C2725)&gt;0,"نعم","لا (خارج الجرد)"))</f>
        <v/>
      </c>
    </row>
    <row r="2726" customFormat="false" ht="15" hidden="false" customHeight="false" outlineLevel="0" collapsed="false">
      <c r="A2726" s="103"/>
      <c r="B2726" s="104"/>
      <c r="C2726" s="104"/>
      <c r="F2726" s="107" t="str">
        <f aca="false">IF(OR($C2726="",$D2726=0),"",$E2726/$D2726)</f>
        <v/>
      </c>
      <c r="H2726" s="0" t="str">
        <f aca="false">IF($C2726="","",IF(COUNTIF('مواد المخزون'!$A$2:$A$90,$C2726)&gt;0,"نعم","لا (خارج الجرد)"))</f>
        <v/>
      </c>
    </row>
    <row r="2727" customFormat="false" ht="15" hidden="false" customHeight="false" outlineLevel="0" collapsed="false">
      <c r="A2727" s="103"/>
      <c r="B2727" s="104"/>
      <c r="C2727" s="104"/>
      <c r="F2727" s="107" t="str">
        <f aca="false">IF(OR($C2727="",$D2727=0),"",$E2727/$D2727)</f>
        <v/>
      </c>
      <c r="H2727" s="0" t="str">
        <f aca="false">IF($C2727="","",IF(COUNTIF('مواد المخزون'!$A$2:$A$90,$C2727)&gt;0,"نعم","لا (خارج الجرد)"))</f>
        <v/>
      </c>
    </row>
    <row r="2728" customFormat="false" ht="15" hidden="false" customHeight="false" outlineLevel="0" collapsed="false">
      <c r="A2728" s="103"/>
      <c r="B2728" s="104"/>
      <c r="C2728" s="104"/>
      <c r="F2728" s="107" t="str">
        <f aca="false">IF(OR($C2728="",$D2728=0),"",$E2728/$D2728)</f>
        <v/>
      </c>
      <c r="H2728" s="0" t="str">
        <f aca="false">IF($C2728="","",IF(COUNTIF('مواد المخزون'!$A$2:$A$90,$C2728)&gt;0,"نعم","لا (خارج الجرد)"))</f>
        <v/>
      </c>
    </row>
    <row r="2729" customFormat="false" ht="15" hidden="false" customHeight="false" outlineLevel="0" collapsed="false">
      <c r="A2729" s="103"/>
      <c r="B2729" s="104"/>
      <c r="C2729" s="104"/>
      <c r="F2729" s="107" t="str">
        <f aca="false">IF(OR($C2729="",$D2729=0),"",$E2729/$D2729)</f>
        <v/>
      </c>
      <c r="H2729" s="0" t="str">
        <f aca="false">IF($C2729="","",IF(COUNTIF('مواد المخزون'!$A$2:$A$90,$C2729)&gt;0,"نعم","لا (خارج الجرد)"))</f>
        <v/>
      </c>
    </row>
    <row r="2730" customFormat="false" ht="15" hidden="false" customHeight="false" outlineLevel="0" collapsed="false">
      <c r="A2730" s="103"/>
      <c r="B2730" s="104"/>
      <c r="C2730" s="104"/>
      <c r="F2730" s="107" t="str">
        <f aca="false">IF(OR($C2730="",$D2730=0),"",$E2730/$D2730)</f>
        <v/>
      </c>
      <c r="H2730" s="0" t="str">
        <f aca="false">IF($C2730="","",IF(COUNTIF('مواد المخزون'!$A$2:$A$90,$C2730)&gt;0,"نعم","لا (خارج الجرد)"))</f>
        <v/>
      </c>
    </row>
    <row r="2731" customFormat="false" ht="15" hidden="false" customHeight="false" outlineLevel="0" collapsed="false">
      <c r="A2731" s="103"/>
      <c r="B2731" s="104"/>
      <c r="C2731" s="104"/>
      <c r="F2731" s="107" t="str">
        <f aca="false">IF(OR($C2731="",$D2731=0),"",$E2731/$D2731)</f>
        <v/>
      </c>
      <c r="H2731" s="0" t="str">
        <f aca="false">IF($C2731="","",IF(COUNTIF('مواد المخزون'!$A$2:$A$90,$C2731)&gt;0,"نعم","لا (خارج الجرد)"))</f>
        <v/>
      </c>
    </row>
    <row r="2732" customFormat="false" ht="15" hidden="false" customHeight="false" outlineLevel="0" collapsed="false">
      <c r="A2732" s="103"/>
      <c r="B2732" s="104"/>
      <c r="C2732" s="104"/>
      <c r="F2732" s="107" t="str">
        <f aca="false">IF(OR($C2732="",$D2732=0),"",$E2732/$D2732)</f>
        <v/>
      </c>
      <c r="H2732" s="0" t="str">
        <f aca="false">IF($C2732="","",IF(COUNTIF('مواد المخزون'!$A$2:$A$90,$C2732)&gt;0,"نعم","لا (خارج الجرد)"))</f>
        <v/>
      </c>
    </row>
    <row r="2733" customFormat="false" ht="15" hidden="false" customHeight="false" outlineLevel="0" collapsed="false">
      <c r="A2733" s="103"/>
      <c r="B2733" s="104"/>
      <c r="C2733" s="104"/>
      <c r="F2733" s="107" t="str">
        <f aca="false">IF(OR($C2733="",$D2733=0),"",$E2733/$D2733)</f>
        <v/>
      </c>
      <c r="H2733" s="0" t="str">
        <f aca="false">IF($C2733="","",IF(COUNTIF('مواد المخزون'!$A$2:$A$90,$C2733)&gt;0,"نعم","لا (خارج الجرد)"))</f>
        <v/>
      </c>
    </row>
    <row r="2734" customFormat="false" ht="15" hidden="false" customHeight="false" outlineLevel="0" collapsed="false">
      <c r="A2734" s="103"/>
      <c r="B2734" s="104"/>
      <c r="C2734" s="104"/>
      <c r="F2734" s="107" t="str">
        <f aca="false">IF(OR($C2734="",$D2734=0),"",$E2734/$D2734)</f>
        <v/>
      </c>
      <c r="H2734" s="0" t="str">
        <f aca="false">IF($C2734="","",IF(COUNTIF('مواد المخزون'!$A$2:$A$90,$C2734)&gt;0,"نعم","لا (خارج الجرد)"))</f>
        <v/>
      </c>
    </row>
    <row r="2735" customFormat="false" ht="15" hidden="false" customHeight="false" outlineLevel="0" collapsed="false">
      <c r="A2735" s="103"/>
      <c r="B2735" s="104"/>
      <c r="C2735" s="104"/>
      <c r="F2735" s="107" t="str">
        <f aca="false">IF(OR($C2735="",$D2735=0),"",$E2735/$D2735)</f>
        <v/>
      </c>
      <c r="H2735" s="0" t="str">
        <f aca="false">IF($C2735="","",IF(COUNTIF('مواد المخزون'!$A$2:$A$90,$C2735)&gt;0,"نعم","لا (خارج الجرد)"))</f>
        <v/>
      </c>
    </row>
    <row r="2736" customFormat="false" ht="15" hidden="false" customHeight="false" outlineLevel="0" collapsed="false">
      <c r="A2736" s="103"/>
      <c r="B2736" s="104"/>
      <c r="C2736" s="104"/>
      <c r="F2736" s="107" t="str">
        <f aca="false">IF(OR($C2736="",$D2736=0),"",$E2736/$D2736)</f>
        <v/>
      </c>
      <c r="H2736" s="0" t="str">
        <f aca="false">IF($C2736="","",IF(COUNTIF('مواد المخزون'!$A$2:$A$90,$C2736)&gt;0,"نعم","لا (خارج الجرد)"))</f>
        <v/>
      </c>
    </row>
    <row r="2737" customFormat="false" ht="15" hidden="false" customHeight="false" outlineLevel="0" collapsed="false">
      <c r="A2737" s="103"/>
      <c r="B2737" s="104"/>
      <c r="C2737" s="104"/>
      <c r="F2737" s="107" t="str">
        <f aca="false">IF(OR($C2737="",$D2737=0),"",$E2737/$D2737)</f>
        <v/>
      </c>
      <c r="H2737" s="0" t="str">
        <f aca="false">IF($C2737="","",IF(COUNTIF('مواد المخزون'!$A$2:$A$90,$C2737)&gt;0,"نعم","لا (خارج الجرد)"))</f>
        <v/>
      </c>
    </row>
    <row r="2738" customFormat="false" ht="15" hidden="false" customHeight="false" outlineLevel="0" collapsed="false">
      <c r="A2738" s="103"/>
      <c r="B2738" s="104"/>
      <c r="C2738" s="104"/>
      <c r="F2738" s="107" t="str">
        <f aca="false">IF(OR($C2738="",$D2738=0),"",$E2738/$D2738)</f>
        <v/>
      </c>
      <c r="H2738" s="0" t="str">
        <f aca="false">IF($C2738="","",IF(COUNTIF('مواد المخزون'!$A$2:$A$90,$C2738)&gt;0,"نعم","لا (خارج الجرد)"))</f>
        <v/>
      </c>
    </row>
    <row r="2739" customFormat="false" ht="15" hidden="false" customHeight="false" outlineLevel="0" collapsed="false">
      <c r="A2739" s="103"/>
      <c r="B2739" s="104"/>
      <c r="C2739" s="104"/>
      <c r="F2739" s="107" t="str">
        <f aca="false">IF(OR($C2739="",$D2739=0),"",$E2739/$D2739)</f>
        <v/>
      </c>
      <c r="H2739" s="0" t="str">
        <f aca="false">IF($C2739="","",IF(COUNTIF('مواد المخزون'!$A$2:$A$90,$C2739)&gt;0,"نعم","لا (خارج الجرد)"))</f>
        <v/>
      </c>
    </row>
    <row r="2740" customFormat="false" ht="15" hidden="false" customHeight="false" outlineLevel="0" collapsed="false">
      <c r="A2740" s="103"/>
      <c r="B2740" s="104"/>
      <c r="C2740" s="104"/>
      <c r="F2740" s="107" t="str">
        <f aca="false">IF(OR($C2740="",$D2740=0),"",$E2740/$D2740)</f>
        <v/>
      </c>
      <c r="H2740" s="0" t="str">
        <f aca="false">IF($C2740="","",IF(COUNTIF('مواد المخزون'!$A$2:$A$90,$C2740)&gt;0,"نعم","لا (خارج الجرد)"))</f>
        <v/>
      </c>
    </row>
    <row r="2741" customFormat="false" ht="15" hidden="false" customHeight="false" outlineLevel="0" collapsed="false">
      <c r="A2741" s="103"/>
      <c r="B2741" s="104"/>
      <c r="C2741" s="104"/>
      <c r="F2741" s="107" t="str">
        <f aca="false">IF(OR($C2741="",$D2741=0),"",$E2741/$D2741)</f>
        <v/>
      </c>
      <c r="H2741" s="0" t="str">
        <f aca="false">IF($C2741="","",IF(COUNTIF('مواد المخزون'!$A$2:$A$90,$C2741)&gt;0,"نعم","لا (خارج الجرد)"))</f>
        <v/>
      </c>
    </row>
    <row r="2742" customFormat="false" ht="15" hidden="false" customHeight="false" outlineLevel="0" collapsed="false">
      <c r="A2742" s="103"/>
      <c r="B2742" s="104"/>
      <c r="C2742" s="104"/>
      <c r="F2742" s="107" t="str">
        <f aca="false">IF(OR($C2742="",$D2742=0),"",$E2742/$D2742)</f>
        <v/>
      </c>
      <c r="H2742" s="0" t="str">
        <f aca="false">IF($C2742="","",IF(COUNTIF('مواد المخزون'!$A$2:$A$90,$C2742)&gt;0,"نعم","لا (خارج الجرد)"))</f>
        <v/>
      </c>
    </row>
    <row r="2743" customFormat="false" ht="15" hidden="false" customHeight="false" outlineLevel="0" collapsed="false">
      <c r="A2743" s="103"/>
      <c r="B2743" s="104"/>
      <c r="C2743" s="104"/>
      <c r="F2743" s="107" t="str">
        <f aca="false">IF(OR($C2743="",$D2743=0),"",$E2743/$D2743)</f>
        <v/>
      </c>
      <c r="H2743" s="0" t="str">
        <f aca="false">IF($C2743="","",IF(COUNTIF('مواد المخزون'!$A$2:$A$90,$C2743)&gt;0,"نعم","لا (خارج الجرد)"))</f>
        <v/>
      </c>
    </row>
    <row r="2744" customFormat="false" ht="15" hidden="false" customHeight="false" outlineLevel="0" collapsed="false">
      <c r="A2744" s="103"/>
      <c r="B2744" s="104"/>
      <c r="C2744" s="104"/>
      <c r="F2744" s="107" t="str">
        <f aca="false">IF(OR($C2744="",$D2744=0),"",$E2744/$D2744)</f>
        <v/>
      </c>
      <c r="H2744" s="0" t="str">
        <f aca="false">IF($C2744="","",IF(COUNTIF('مواد المخزون'!$A$2:$A$90,$C2744)&gt;0,"نعم","لا (خارج الجرد)"))</f>
        <v/>
      </c>
    </row>
    <row r="2745" customFormat="false" ht="15" hidden="false" customHeight="false" outlineLevel="0" collapsed="false">
      <c r="A2745" s="103"/>
      <c r="B2745" s="104"/>
      <c r="C2745" s="104"/>
      <c r="F2745" s="107" t="str">
        <f aca="false">IF(OR($C2745="",$D2745=0),"",$E2745/$D2745)</f>
        <v/>
      </c>
      <c r="H2745" s="0" t="str">
        <f aca="false">IF($C2745="","",IF(COUNTIF('مواد المخزون'!$A$2:$A$90,$C2745)&gt;0,"نعم","لا (خارج الجرد)"))</f>
        <v/>
      </c>
    </row>
    <row r="2746" customFormat="false" ht="15" hidden="false" customHeight="false" outlineLevel="0" collapsed="false">
      <c r="A2746" s="103"/>
      <c r="B2746" s="104"/>
      <c r="C2746" s="104"/>
      <c r="F2746" s="107" t="str">
        <f aca="false">IF(OR($C2746="",$D2746=0),"",$E2746/$D2746)</f>
        <v/>
      </c>
      <c r="H2746" s="0" t="str">
        <f aca="false">IF($C2746="","",IF(COUNTIF('مواد المخزون'!$A$2:$A$90,$C2746)&gt;0,"نعم","لا (خارج الجرد)"))</f>
        <v/>
      </c>
    </row>
    <row r="2747" customFormat="false" ht="15" hidden="false" customHeight="false" outlineLevel="0" collapsed="false">
      <c r="A2747" s="103"/>
      <c r="B2747" s="104"/>
      <c r="C2747" s="104"/>
      <c r="F2747" s="107" t="str">
        <f aca="false">IF(OR($C2747="",$D2747=0),"",$E2747/$D2747)</f>
        <v/>
      </c>
      <c r="H2747" s="0" t="str">
        <f aca="false">IF($C2747="","",IF(COUNTIF('مواد المخزون'!$A$2:$A$90,$C2747)&gt;0,"نعم","لا (خارج الجرد)"))</f>
        <v/>
      </c>
    </row>
    <row r="2748" customFormat="false" ht="15" hidden="false" customHeight="false" outlineLevel="0" collapsed="false">
      <c r="A2748" s="103"/>
      <c r="B2748" s="104"/>
      <c r="C2748" s="104"/>
      <c r="F2748" s="107" t="str">
        <f aca="false">IF(OR($C2748="",$D2748=0),"",$E2748/$D2748)</f>
        <v/>
      </c>
      <c r="H2748" s="0" t="str">
        <f aca="false">IF($C2748="","",IF(COUNTIF('مواد المخزون'!$A$2:$A$90,$C2748)&gt;0,"نعم","لا (خارج الجرد)"))</f>
        <v/>
      </c>
    </row>
    <row r="2749" customFormat="false" ht="15" hidden="false" customHeight="false" outlineLevel="0" collapsed="false">
      <c r="A2749" s="103"/>
      <c r="B2749" s="104"/>
      <c r="C2749" s="104"/>
      <c r="F2749" s="107" t="str">
        <f aca="false">IF(OR($C2749="",$D2749=0),"",$E2749/$D2749)</f>
        <v/>
      </c>
      <c r="H2749" s="0" t="str">
        <f aca="false">IF($C2749="","",IF(COUNTIF('مواد المخزون'!$A$2:$A$90,$C2749)&gt;0,"نعم","لا (خارج الجرد)"))</f>
        <v/>
      </c>
    </row>
    <row r="2750" customFormat="false" ht="15" hidden="false" customHeight="false" outlineLevel="0" collapsed="false">
      <c r="A2750" s="103"/>
      <c r="B2750" s="104"/>
      <c r="C2750" s="104"/>
      <c r="F2750" s="107" t="str">
        <f aca="false">IF(OR($C2750="",$D2750=0),"",$E2750/$D2750)</f>
        <v/>
      </c>
      <c r="H2750" s="0" t="str">
        <f aca="false">IF($C2750="","",IF(COUNTIF('مواد المخزون'!$A$2:$A$90,$C2750)&gt;0,"نعم","لا (خارج الجرد)"))</f>
        <v/>
      </c>
    </row>
    <row r="2751" customFormat="false" ht="15" hidden="false" customHeight="false" outlineLevel="0" collapsed="false">
      <c r="A2751" s="103"/>
      <c r="B2751" s="104"/>
      <c r="C2751" s="104"/>
      <c r="F2751" s="107" t="str">
        <f aca="false">IF(OR($C2751="",$D2751=0),"",$E2751/$D2751)</f>
        <v/>
      </c>
      <c r="H2751" s="0" t="str">
        <f aca="false">IF($C2751="","",IF(COUNTIF('مواد المخزون'!$A$2:$A$90,$C2751)&gt;0,"نعم","لا (خارج الجرد)"))</f>
        <v/>
      </c>
    </row>
    <row r="2752" customFormat="false" ht="15" hidden="false" customHeight="false" outlineLevel="0" collapsed="false">
      <c r="A2752" s="103"/>
      <c r="B2752" s="104"/>
      <c r="C2752" s="104"/>
      <c r="F2752" s="107" t="str">
        <f aca="false">IF(OR($C2752="",$D2752=0),"",$E2752/$D2752)</f>
        <v/>
      </c>
      <c r="H2752" s="0" t="str">
        <f aca="false">IF($C2752="","",IF(COUNTIF('مواد المخزون'!$A$2:$A$90,$C2752)&gt;0,"نعم","لا (خارج الجرد)"))</f>
        <v/>
      </c>
    </row>
    <row r="2753" customFormat="false" ht="15" hidden="false" customHeight="false" outlineLevel="0" collapsed="false">
      <c r="A2753" s="103"/>
      <c r="B2753" s="104"/>
      <c r="C2753" s="104"/>
      <c r="F2753" s="107" t="str">
        <f aca="false">IF(OR($C2753="",$D2753=0),"",$E2753/$D2753)</f>
        <v/>
      </c>
      <c r="H2753" s="0" t="str">
        <f aca="false">IF($C2753="","",IF(COUNTIF('مواد المخزون'!$A$2:$A$90,$C2753)&gt;0,"نعم","لا (خارج الجرد)"))</f>
        <v/>
      </c>
    </row>
    <row r="2754" customFormat="false" ht="15" hidden="false" customHeight="false" outlineLevel="0" collapsed="false">
      <c r="A2754" s="103"/>
      <c r="B2754" s="104"/>
      <c r="C2754" s="104"/>
      <c r="F2754" s="107" t="str">
        <f aca="false">IF(OR($C2754="",$D2754=0),"",$E2754/$D2754)</f>
        <v/>
      </c>
      <c r="H2754" s="0" t="str">
        <f aca="false">IF($C2754="","",IF(COUNTIF('مواد المخزون'!$A$2:$A$90,$C2754)&gt;0,"نعم","لا (خارج الجرد)"))</f>
        <v/>
      </c>
    </row>
    <row r="2755" customFormat="false" ht="15" hidden="false" customHeight="false" outlineLevel="0" collapsed="false">
      <c r="A2755" s="103"/>
      <c r="B2755" s="104"/>
      <c r="C2755" s="104"/>
      <c r="F2755" s="107" t="str">
        <f aca="false">IF(OR($C2755="",$D2755=0),"",$E2755/$D2755)</f>
        <v/>
      </c>
      <c r="H2755" s="0" t="str">
        <f aca="false">IF($C2755="","",IF(COUNTIF('مواد المخزون'!$A$2:$A$90,$C2755)&gt;0,"نعم","لا (خارج الجرد)"))</f>
        <v/>
      </c>
    </row>
    <row r="2756" customFormat="false" ht="15" hidden="false" customHeight="false" outlineLevel="0" collapsed="false">
      <c r="A2756" s="103"/>
      <c r="B2756" s="104"/>
      <c r="C2756" s="104"/>
      <c r="F2756" s="107" t="str">
        <f aca="false">IF(OR($C2756="",$D2756=0),"",$E2756/$D2756)</f>
        <v/>
      </c>
      <c r="H2756" s="0" t="str">
        <f aca="false">IF($C2756="","",IF(COUNTIF('مواد المخزون'!$A$2:$A$90,$C2756)&gt;0,"نعم","لا (خارج الجرد)"))</f>
        <v/>
      </c>
    </row>
    <row r="2757" customFormat="false" ht="15" hidden="false" customHeight="false" outlineLevel="0" collapsed="false">
      <c r="A2757" s="103"/>
      <c r="B2757" s="104"/>
      <c r="C2757" s="104"/>
      <c r="F2757" s="107" t="str">
        <f aca="false">IF(OR($C2757="",$D2757=0),"",$E2757/$D2757)</f>
        <v/>
      </c>
      <c r="H2757" s="0" t="str">
        <f aca="false">IF($C2757="","",IF(COUNTIF('مواد المخزون'!$A$2:$A$90,$C2757)&gt;0,"نعم","لا (خارج الجرد)"))</f>
        <v/>
      </c>
    </row>
    <row r="2758" customFormat="false" ht="15" hidden="false" customHeight="false" outlineLevel="0" collapsed="false">
      <c r="A2758" s="103"/>
      <c r="B2758" s="104"/>
      <c r="C2758" s="104"/>
      <c r="F2758" s="107" t="str">
        <f aca="false">IF(OR($C2758="",$D2758=0),"",$E2758/$D2758)</f>
        <v/>
      </c>
      <c r="H2758" s="0" t="str">
        <f aca="false">IF($C2758="","",IF(COUNTIF('مواد المخزون'!$A$2:$A$90,$C2758)&gt;0,"نعم","لا (خارج الجرد)"))</f>
        <v/>
      </c>
    </row>
    <row r="2759" customFormat="false" ht="15" hidden="false" customHeight="false" outlineLevel="0" collapsed="false">
      <c r="A2759" s="103"/>
      <c r="B2759" s="104"/>
      <c r="C2759" s="104"/>
      <c r="F2759" s="107" t="str">
        <f aca="false">IF(OR($C2759="",$D2759=0),"",$E2759/$D2759)</f>
        <v/>
      </c>
      <c r="H2759" s="0" t="str">
        <f aca="false">IF($C2759="","",IF(COUNTIF('مواد المخزون'!$A$2:$A$90,$C2759)&gt;0,"نعم","لا (خارج الجرد)"))</f>
        <v/>
      </c>
    </row>
    <row r="2760" customFormat="false" ht="15" hidden="false" customHeight="false" outlineLevel="0" collapsed="false">
      <c r="A2760" s="103"/>
      <c r="B2760" s="104"/>
      <c r="C2760" s="104"/>
      <c r="F2760" s="107" t="str">
        <f aca="false">IF(OR($C2760="",$D2760=0),"",$E2760/$D2760)</f>
        <v/>
      </c>
      <c r="H2760" s="0" t="str">
        <f aca="false">IF($C2760="","",IF(COUNTIF('مواد المخزون'!$A$2:$A$90,$C2760)&gt;0,"نعم","لا (خارج الجرد)"))</f>
        <v/>
      </c>
    </row>
    <row r="2761" customFormat="false" ht="15" hidden="false" customHeight="false" outlineLevel="0" collapsed="false">
      <c r="A2761" s="103"/>
      <c r="B2761" s="104"/>
      <c r="C2761" s="104"/>
      <c r="F2761" s="107" t="str">
        <f aca="false">IF(OR($C2761="",$D2761=0),"",$E2761/$D2761)</f>
        <v/>
      </c>
      <c r="H2761" s="0" t="str">
        <f aca="false">IF($C2761="","",IF(COUNTIF('مواد المخزون'!$A$2:$A$90,$C2761)&gt;0,"نعم","لا (خارج الجرد)"))</f>
        <v/>
      </c>
    </row>
    <row r="2762" customFormat="false" ht="15" hidden="false" customHeight="false" outlineLevel="0" collapsed="false">
      <c r="A2762" s="103"/>
      <c r="B2762" s="104"/>
      <c r="C2762" s="104"/>
      <c r="F2762" s="107" t="str">
        <f aca="false">IF(OR($C2762="",$D2762=0),"",$E2762/$D2762)</f>
        <v/>
      </c>
      <c r="H2762" s="0" t="str">
        <f aca="false">IF($C2762="","",IF(COUNTIF('مواد المخزون'!$A$2:$A$90,$C2762)&gt;0,"نعم","لا (خارج الجرد)"))</f>
        <v/>
      </c>
    </row>
    <row r="2763" customFormat="false" ht="15" hidden="false" customHeight="false" outlineLevel="0" collapsed="false">
      <c r="A2763" s="103"/>
      <c r="B2763" s="104"/>
      <c r="C2763" s="104"/>
      <c r="F2763" s="107" t="str">
        <f aca="false">IF(OR($C2763="",$D2763=0),"",$E2763/$D2763)</f>
        <v/>
      </c>
      <c r="H2763" s="0" t="str">
        <f aca="false">IF($C2763="","",IF(COUNTIF('مواد المخزون'!$A$2:$A$90,$C2763)&gt;0,"نعم","لا (خارج الجرد)"))</f>
        <v/>
      </c>
    </row>
    <row r="2764" customFormat="false" ht="15" hidden="false" customHeight="false" outlineLevel="0" collapsed="false">
      <c r="A2764" s="103"/>
      <c r="B2764" s="104"/>
      <c r="C2764" s="104"/>
      <c r="F2764" s="107" t="str">
        <f aca="false">IF(OR($C2764="",$D2764=0),"",$E2764/$D2764)</f>
        <v/>
      </c>
      <c r="H2764" s="0" t="str">
        <f aca="false">IF($C2764="","",IF(COUNTIF('مواد المخزون'!$A$2:$A$90,$C2764)&gt;0,"نعم","لا (خارج الجرد)"))</f>
        <v/>
      </c>
    </row>
    <row r="2765" customFormat="false" ht="15" hidden="false" customHeight="false" outlineLevel="0" collapsed="false">
      <c r="A2765" s="103"/>
      <c r="B2765" s="104"/>
      <c r="C2765" s="104"/>
      <c r="F2765" s="107" t="str">
        <f aca="false">IF(OR($C2765="",$D2765=0),"",$E2765/$D2765)</f>
        <v/>
      </c>
      <c r="H2765" s="0" t="str">
        <f aca="false">IF($C2765="","",IF(COUNTIF('مواد المخزون'!$A$2:$A$90,$C2765)&gt;0,"نعم","لا (خارج الجرد)"))</f>
        <v/>
      </c>
    </row>
    <row r="2766" customFormat="false" ht="15" hidden="false" customHeight="false" outlineLevel="0" collapsed="false">
      <c r="A2766" s="103"/>
      <c r="B2766" s="104"/>
      <c r="C2766" s="104"/>
      <c r="F2766" s="107" t="str">
        <f aca="false">IF(OR($C2766="",$D2766=0),"",$E2766/$D2766)</f>
        <v/>
      </c>
      <c r="H2766" s="0" t="str">
        <f aca="false">IF($C2766="","",IF(COUNTIF('مواد المخزون'!$A$2:$A$90,$C2766)&gt;0,"نعم","لا (خارج الجرد)"))</f>
        <v/>
      </c>
    </row>
    <row r="2767" customFormat="false" ht="15" hidden="false" customHeight="false" outlineLevel="0" collapsed="false">
      <c r="A2767" s="103"/>
      <c r="B2767" s="104"/>
      <c r="C2767" s="104"/>
      <c r="F2767" s="107" t="str">
        <f aca="false">IF(OR($C2767="",$D2767=0),"",$E2767/$D2767)</f>
        <v/>
      </c>
      <c r="H2767" s="0" t="str">
        <f aca="false">IF($C2767="","",IF(COUNTIF('مواد المخزون'!$A$2:$A$90,$C2767)&gt;0,"نعم","لا (خارج الجرد)"))</f>
        <v/>
      </c>
    </row>
    <row r="2768" customFormat="false" ht="15" hidden="false" customHeight="false" outlineLevel="0" collapsed="false">
      <c r="A2768" s="103"/>
      <c r="B2768" s="104"/>
      <c r="C2768" s="104"/>
      <c r="F2768" s="107" t="str">
        <f aca="false">IF(OR($C2768="",$D2768=0),"",$E2768/$D2768)</f>
        <v/>
      </c>
      <c r="H2768" s="0" t="str">
        <f aca="false">IF($C2768="","",IF(COUNTIF('مواد المخزون'!$A$2:$A$90,$C2768)&gt;0,"نعم","لا (خارج الجرد)"))</f>
        <v/>
      </c>
    </row>
    <row r="2769" customFormat="false" ht="15" hidden="false" customHeight="false" outlineLevel="0" collapsed="false">
      <c r="A2769" s="103"/>
      <c r="B2769" s="104"/>
      <c r="C2769" s="104"/>
      <c r="F2769" s="107" t="str">
        <f aca="false">IF(OR($C2769="",$D2769=0),"",$E2769/$D2769)</f>
        <v/>
      </c>
      <c r="H2769" s="0" t="str">
        <f aca="false">IF($C2769="","",IF(COUNTIF('مواد المخزون'!$A$2:$A$90,$C2769)&gt;0,"نعم","لا (خارج الجرد)"))</f>
        <v/>
      </c>
    </row>
    <row r="2770" customFormat="false" ht="15" hidden="false" customHeight="false" outlineLevel="0" collapsed="false">
      <c r="A2770" s="103"/>
      <c r="B2770" s="104"/>
      <c r="C2770" s="104"/>
      <c r="F2770" s="107" t="str">
        <f aca="false">IF(OR($C2770="",$D2770=0),"",$E2770/$D2770)</f>
        <v/>
      </c>
      <c r="H2770" s="0" t="str">
        <f aca="false">IF($C2770="","",IF(COUNTIF('مواد المخزون'!$A$2:$A$90,$C2770)&gt;0,"نعم","لا (خارج الجرد)"))</f>
        <v/>
      </c>
    </row>
    <row r="2771" customFormat="false" ht="15" hidden="false" customHeight="false" outlineLevel="0" collapsed="false">
      <c r="A2771" s="103"/>
      <c r="B2771" s="104"/>
      <c r="C2771" s="104"/>
      <c r="F2771" s="107" t="str">
        <f aca="false">IF(OR($C2771="",$D2771=0),"",$E2771/$D2771)</f>
        <v/>
      </c>
      <c r="H2771" s="0" t="str">
        <f aca="false">IF($C2771="","",IF(COUNTIF('مواد المخزون'!$A$2:$A$90,$C2771)&gt;0,"نعم","لا (خارج الجرد)"))</f>
        <v/>
      </c>
    </row>
    <row r="2772" customFormat="false" ht="15" hidden="false" customHeight="false" outlineLevel="0" collapsed="false">
      <c r="A2772" s="103"/>
      <c r="B2772" s="104"/>
      <c r="C2772" s="104"/>
      <c r="F2772" s="107" t="str">
        <f aca="false">IF(OR($C2772="",$D2772=0),"",$E2772/$D2772)</f>
        <v/>
      </c>
      <c r="H2772" s="0" t="str">
        <f aca="false">IF($C2772="","",IF(COUNTIF('مواد المخزون'!$A$2:$A$90,$C2772)&gt;0,"نعم","لا (خارج الجرد)"))</f>
        <v/>
      </c>
    </row>
    <row r="2773" customFormat="false" ht="15" hidden="false" customHeight="false" outlineLevel="0" collapsed="false">
      <c r="A2773" s="103"/>
      <c r="B2773" s="104"/>
      <c r="C2773" s="104"/>
      <c r="F2773" s="107" t="str">
        <f aca="false">IF(OR($C2773="",$D2773=0),"",$E2773/$D2773)</f>
        <v/>
      </c>
      <c r="H2773" s="0" t="str">
        <f aca="false">IF($C2773="","",IF(COUNTIF('مواد المخزون'!$A$2:$A$90,$C2773)&gt;0,"نعم","لا (خارج الجرد)"))</f>
        <v/>
      </c>
    </row>
    <row r="2774" customFormat="false" ht="15" hidden="false" customHeight="false" outlineLevel="0" collapsed="false">
      <c r="A2774" s="103"/>
      <c r="B2774" s="104"/>
      <c r="C2774" s="104"/>
      <c r="F2774" s="107" t="str">
        <f aca="false">IF(OR($C2774="",$D2774=0),"",$E2774/$D2774)</f>
        <v/>
      </c>
      <c r="H2774" s="0" t="str">
        <f aca="false">IF($C2774="","",IF(COUNTIF('مواد المخزون'!$A$2:$A$90,$C2774)&gt;0,"نعم","لا (خارج الجرد)"))</f>
        <v/>
      </c>
    </row>
    <row r="2775" customFormat="false" ht="15" hidden="false" customHeight="false" outlineLevel="0" collapsed="false">
      <c r="A2775" s="103"/>
      <c r="B2775" s="104"/>
      <c r="C2775" s="104"/>
      <c r="F2775" s="107" t="str">
        <f aca="false">IF(OR($C2775="",$D2775=0),"",$E2775/$D2775)</f>
        <v/>
      </c>
      <c r="H2775" s="0" t="str">
        <f aca="false">IF($C2775="","",IF(COUNTIF('مواد المخزون'!$A$2:$A$90,$C2775)&gt;0,"نعم","لا (خارج الجرد)"))</f>
        <v/>
      </c>
    </row>
    <row r="2776" customFormat="false" ht="15" hidden="false" customHeight="false" outlineLevel="0" collapsed="false">
      <c r="A2776" s="103"/>
      <c r="B2776" s="104"/>
      <c r="C2776" s="104"/>
      <c r="F2776" s="107" t="str">
        <f aca="false">IF(OR($C2776="",$D2776=0),"",$E2776/$D2776)</f>
        <v/>
      </c>
      <c r="H2776" s="0" t="str">
        <f aca="false">IF($C2776="","",IF(COUNTIF('مواد المخزون'!$A$2:$A$90,$C2776)&gt;0,"نعم","لا (خارج الجرد)"))</f>
        <v/>
      </c>
    </row>
    <row r="2777" customFormat="false" ht="15" hidden="false" customHeight="false" outlineLevel="0" collapsed="false">
      <c r="A2777" s="103"/>
      <c r="B2777" s="104"/>
      <c r="C2777" s="104"/>
      <c r="F2777" s="107" t="str">
        <f aca="false">IF(OR($C2777="",$D2777=0),"",$E2777/$D2777)</f>
        <v/>
      </c>
      <c r="H2777" s="0" t="str">
        <f aca="false">IF($C2777="","",IF(COUNTIF('مواد المخزون'!$A$2:$A$90,$C2777)&gt;0,"نعم","لا (خارج الجرد)"))</f>
        <v/>
      </c>
    </row>
    <row r="2778" customFormat="false" ht="15" hidden="false" customHeight="false" outlineLevel="0" collapsed="false">
      <c r="A2778" s="103"/>
      <c r="B2778" s="104"/>
      <c r="C2778" s="104"/>
      <c r="F2778" s="107" t="str">
        <f aca="false">IF(OR($C2778="",$D2778=0),"",$E2778/$D2778)</f>
        <v/>
      </c>
      <c r="H2778" s="0" t="str">
        <f aca="false">IF($C2778="","",IF(COUNTIF('مواد المخزون'!$A$2:$A$90,$C2778)&gt;0,"نعم","لا (خارج الجرد)"))</f>
        <v/>
      </c>
    </row>
    <row r="2779" customFormat="false" ht="15" hidden="false" customHeight="false" outlineLevel="0" collapsed="false">
      <c r="A2779" s="103"/>
      <c r="B2779" s="104"/>
      <c r="C2779" s="104"/>
      <c r="F2779" s="107" t="str">
        <f aca="false">IF(OR($C2779="",$D2779=0),"",$E2779/$D2779)</f>
        <v/>
      </c>
      <c r="H2779" s="0" t="str">
        <f aca="false">IF($C2779="","",IF(COUNTIF('مواد المخزون'!$A$2:$A$90,$C2779)&gt;0,"نعم","لا (خارج الجرد)"))</f>
        <v/>
      </c>
    </row>
    <row r="2780" customFormat="false" ht="15" hidden="false" customHeight="false" outlineLevel="0" collapsed="false">
      <c r="A2780" s="103"/>
      <c r="B2780" s="104"/>
      <c r="C2780" s="104"/>
      <c r="F2780" s="107" t="str">
        <f aca="false">IF(OR($C2780="",$D2780=0),"",$E2780/$D2780)</f>
        <v/>
      </c>
      <c r="H2780" s="0" t="str">
        <f aca="false">IF($C2780="","",IF(COUNTIF('مواد المخزون'!$A$2:$A$90,$C2780)&gt;0,"نعم","لا (خارج الجرد)"))</f>
        <v/>
      </c>
    </row>
    <row r="2781" customFormat="false" ht="15" hidden="false" customHeight="false" outlineLevel="0" collapsed="false">
      <c r="A2781" s="103"/>
      <c r="B2781" s="104"/>
      <c r="C2781" s="104"/>
      <c r="F2781" s="107" t="str">
        <f aca="false">IF(OR($C2781="",$D2781=0),"",$E2781/$D2781)</f>
        <v/>
      </c>
      <c r="H2781" s="0" t="str">
        <f aca="false">IF($C2781="","",IF(COUNTIF('مواد المخزون'!$A$2:$A$90,$C2781)&gt;0,"نعم","لا (خارج الجرد)"))</f>
        <v/>
      </c>
    </row>
    <row r="2782" customFormat="false" ht="15" hidden="false" customHeight="false" outlineLevel="0" collapsed="false">
      <c r="A2782" s="103"/>
      <c r="B2782" s="104"/>
      <c r="C2782" s="104"/>
      <c r="F2782" s="107" t="str">
        <f aca="false">IF(OR($C2782="",$D2782=0),"",$E2782/$D2782)</f>
        <v/>
      </c>
      <c r="H2782" s="0" t="str">
        <f aca="false">IF($C2782="","",IF(COUNTIF('مواد المخزون'!$A$2:$A$90,$C2782)&gt;0,"نعم","لا (خارج الجرد)"))</f>
        <v/>
      </c>
    </row>
    <row r="2783" customFormat="false" ht="15" hidden="false" customHeight="false" outlineLevel="0" collapsed="false">
      <c r="A2783" s="103"/>
      <c r="B2783" s="104"/>
      <c r="C2783" s="104"/>
      <c r="F2783" s="107" t="str">
        <f aca="false">IF(OR($C2783="",$D2783=0),"",$E2783/$D2783)</f>
        <v/>
      </c>
      <c r="H2783" s="0" t="str">
        <f aca="false">IF($C2783="","",IF(COUNTIF('مواد المخزون'!$A$2:$A$90,$C2783)&gt;0,"نعم","لا (خارج الجرد)"))</f>
        <v/>
      </c>
    </row>
    <row r="2784" customFormat="false" ht="15" hidden="false" customHeight="false" outlineLevel="0" collapsed="false">
      <c r="A2784" s="103"/>
      <c r="B2784" s="104"/>
      <c r="C2784" s="104"/>
      <c r="F2784" s="107" t="str">
        <f aca="false">IF(OR($C2784="",$D2784=0),"",$E2784/$D2784)</f>
        <v/>
      </c>
      <c r="H2784" s="0" t="str">
        <f aca="false">IF($C2784="","",IF(COUNTIF('مواد المخزون'!$A$2:$A$90,$C2784)&gt;0,"نعم","لا (خارج الجرد)"))</f>
        <v/>
      </c>
    </row>
    <row r="2785" customFormat="false" ht="15" hidden="false" customHeight="false" outlineLevel="0" collapsed="false">
      <c r="A2785" s="103"/>
      <c r="B2785" s="104"/>
      <c r="C2785" s="104"/>
      <c r="F2785" s="107" t="str">
        <f aca="false">IF(OR($C2785="",$D2785=0),"",$E2785/$D2785)</f>
        <v/>
      </c>
      <c r="H2785" s="0" t="str">
        <f aca="false">IF($C2785="","",IF(COUNTIF('مواد المخزون'!$A$2:$A$90,$C2785)&gt;0,"نعم","لا (خارج الجرد)"))</f>
        <v/>
      </c>
    </row>
    <row r="2786" customFormat="false" ht="15" hidden="false" customHeight="false" outlineLevel="0" collapsed="false">
      <c r="A2786" s="103"/>
      <c r="B2786" s="104"/>
      <c r="C2786" s="104"/>
      <c r="F2786" s="107" t="str">
        <f aca="false">IF(OR($C2786="",$D2786=0),"",$E2786/$D2786)</f>
        <v/>
      </c>
      <c r="H2786" s="0" t="str">
        <f aca="false">IF($C2786="","",IF(COUNTIF('مواد المخزون'!$A$2:$A$90,$C2786)&gt;0,"نعم","لا (خارج الجرد)"))</f>
        <v/>
      </c>
    </row>
    <row r="2787" customFormat="false" ht="15" hidden="false" customHeight="false" outlineLevel="0" collapsed="false">
      <c r="A2787" s="103"/>
      <c r="B2787" s="104"/>
      <c r="C2787" s="104"/>
      <c r="F2787" s="107" t="str">
        <f aca="false">IF(OR($C2787="",$D2787=0),"",$E2787/$D2787)</f>
        <v/>
      </c>
      <c r="H2787" s="0" t="str">
        <f aca="false">IF($C2787="","",IF(COUNTIF('مواد المخزون'!$A$2:$A$90,$C2787)&gt;0,"نعم","لا (خارج الجرد)"))</f>
        <v/>
      </c>
    </row>
    <row r="2788" customFormat="false" ht="15" hidden="false" customHeight="false" outlineLevel="0" collapsed="false">
      <c r="A2788" s="103"/>
      <c r="B2788" s="104"/>
      <c r="C2788" s="104"/>
      <c r="F2788" s="107" t="str">
        <f aca="false">IF(OR($C2788="",$D2788=0),"",$E2788/$D2788)</f>
        <v/>
      </c>
      <c r="H2788" s="0" t="str">
        <f aca="false">IF($C2788="","",IF(COUNTIF('مواد المخزون'!$A$2:$A$90,$C2788)&gt;0,"نعم","لا (خارج الجرد)"))</f>
        <v/>
      </c>
    </row>
    <row r="2789" customFormat="false" ht="15" hidden="false" customHeight="false" outlineLevel="0" collapsed="false">
      <c r="A2789" s="103"/>
      <c r="B2789" s="104"/>
      <c r="C2789" s="104"/>
      <c r="F2789" s="107" t="str">
        <f aca="false">IF(OR($C2789="",$D2789=0),"",$E2789/$D2789)</f>
        <v/>
      </c>
      <c r="H2789" s="0" t="str">
        <f aca="false">IF($C2789="","",IF(COUNTIF('مواد المخزون'!$A$2:$A$90,$C2789)&gt;0,"نعم","لا (خارج الجرد)"))</f>
        <v/>
      </c>
    </row>
    <row r="2790" customFormat="false" ht="15" hidden="false" customHeight="false" outlineLevel="0" collapsed="false">
      <c r="A2790" s="103"/>
      <c r="B2790" s="104"/>
      <c r="C2790" s="104"/>
      <c r="F2790" s="107" t="str">
        <f aca="false">IF(OR($C2790="",$D2790=0),"",$E2790/$D2790)</f>
        <v/>
      </c>
      <c r="H2790" s="0" t="str">
        <f aca="false">IF($C2790="","",IF(COUNTIF('مواد المخزون'!$A$2:$A$90,$C2790)&gt;0,"نعم","لا (خارج الجرد)"))</f>
        <v/>
      </c>
    </row>
    <row r="2791" customFormat="false" ht="15" hidden="false" customHeight="false" outlineLevel="0" collapsed="false">
      <c r="A2791" s="103"/>
      <c r="B2791" s="104"/>
      <c r="C2791" s="104"/>
      <c r="F2791" s="107" t="str">
        <f aca="false">IF(OR($C2791="",$D2791=0),"",$E2791/$D2791)</f>
        <v/>
      </c>
      <c r="H2791" s="0" t="str">
        <f aca="false">IF($C2791="","",IF(COUNTIF('مواد المخزون'!$A$2:$A$90,$C2791)&gt;0,"نعم","لا (خارج الجرد)"))</f>
        <v/>
      </c>
    </row>
    <row r="2792" customFormat="false" ht="15" hidden="false" customHeight="false" outlineLevel="0" collapsed="false">
      <c r="A2792" s="103"/>
      <c r="B2792" s="104"/>
      <c r="C2792" s="104"/>
      <c r="F2792" s="107" t="str">
        <f aca="false">IF(OR($C2792="",$D2792=0),"",$E2792/$D2792)</f>
        <v/>
      </c>
      <c r="H2792" s="0" t="str">
        <f aca="false">IF($C2792="","",IF(COUNTIF('مواد المخزون'!$A$2:$A$90,$C2792)&gt;0,"نعم","لا (خارج الجرد)"))</f>
        <v/>
      </c>
    </row>
    <row r="2793" customFormat="false" ht="15" hidden="false" customHeight="false" outlineLevel="0" collapsed="false">
      <c r="A2793" s="103"/>
      <c r="B2793" s="104"/>
      <c r="C2793" s="104"/>
      <c r="F2793" s="107" t="str">
        <f aca="false">IF(OR($C2793="",$D2793=0),"",$E2793/$D2793)</f>
        <v/>
      </c>
      <c r="H2793" s="0" t="str">
        <f aca="false">IF($C2793="","",IF(COUNTIF('مواد المخزون'!$A$2:$A$90,$C2793)&gt;0,"نعم","لا (خارج الجرد)"))</f>
        <v/>
      </c>
    </row>
    <row r="2794" customFormat="false" ht="15" hidden="false" customHeight="false" outlineLevel="0" collapsed="false">
      <c r="A2794" s="103"/>
      <c r="B2794" s="104"/>
      <c r="C2794" s="104"/>
      <c r="F2794" s="107" t="str">
        <f aca="false">IF(OR($C2794="",$D2794=0),"",$E2794/$D2794)</f>
        <v/>
      </c>
      <c r="H2794" s="0" t="str">
        <f aca="false">IF($C2794="","",IF(COUNTIF('مواد المخزون'!$A$2:$A$90,$C2794)&gt;0,"نعم","لا (خارج الجرد)"))</f>
        <v/>
      </c>
    </row>
    <row r="2795" customFormat="false" ht="15" hidden="false" customHeight="false" outlineLevel="0" collapsed="false">
      <c r="A2795" s="103"/>
      <c r="B2795" s="104"/>
      <c r="C2795" s="104"/>
      <c r="F2795" s="107" t="str">
        <f aca="false">IF(OR($C2795="",$D2795=0),"",$E2795/$D2795)</f>
        <v/>
      </c>
      <c r="H2795" s="0" t="str">
        <f aca="false">IF($C2795="","",IF(COUNTIF('مواد المخزون'!$A$2:$A$90,$C2795)&gt;0,"نعم","لا (خارج الجرد)"))</f>
        <v/>
      </c>
    </row>
    <row r="2796" customFormat="false" ht="15" hidden="false" customHeight="false" outlineLevel="0" collapsed="false">
      <c r="A2796" s="103"/>
      <c r="B2796" s="104"/>
      <c r="C2796" s="104"/>
      <c r="F2796" s="107" t="str">
        <f aca="false">IF(OR($C2796="",$D2796=0),"",$E2796/$D2796)</f>
        <v/>
      </c>
      <c r="H2796" s="0" t="str">
        <f aca="false">IF($C2796="","",IF(COUNTIF('مواد المخزون'!$A$2:$A$90,$C2796)&gt;0,"نعم","لا (خارج الجرد)"))</f>
        <v/>
      </c>
    </row>
    <row r="2797" customFormat="false" ht="15" hidden="false" customHeight="false" outlineLevel="0" collapsed="false">
      <c r="A2797" s="103"/>
      <c r="B2797" s="104"/>
      <c r="C2797" s="104"/>
      <c r="F2797" s="107" t="str">
        <f aca="false">IF(OR($C2797="",$D2797=0),"",$E2797/$D2797)</f>
        <v/>
      </c>
      <c r="H2797" s="0" t="str">
        <f aca="false">IF($C2797="","",IF(COUNTIF('مواد المخزون'!$A$2:$A$90,$C2797)&gt;0,"نعم","لا (خارج الجرد)"))</f>
        <v/>
      </c>
    </row>
    <row r="2798" customFormat="false" ht="15" hidden="false" customHeight="false" outlineLevel="0" collapsed="false">
      <c r="A2798" s="103"/>
      <c r="B2798" s="104"/>
      <c r="C2798" s="104"/>
      <c r="F2798" s="107" t="str">
        <f aca="false">IF(OR($C2798="",$D2798=0),"",$E2798/$D2798)</f>
        <v/>
      </c>
      <c r="H2798" s="0" t="str">
        <f aca="false">IF($C2798="","",IF(COUNTIF('مواد المخزون'!$A$2:$A$90,$C2798)&gt;0,"نعم","لا (خارج الجرد)"))</f>
        <v/>
      </c>
    </row>
    <row r="2799" customFormat="false" ht="15" hidden="false" customHeight="false" outlineLevel="0" collapsed="false">
      <c r="A2799" s="103"/>
      <c r="B2799" s="104"/>
      <c r="C2799" s="104"/>
      <c r="F2799" s="107" t="str">
        <f aca="false">IF(OR($C2799="",$D2799=0),"",$E2799/$D2799)</f>
        <v/>
      </c>
      <c r="H2799" s="0" t="str">
        <f aca="false">IF($C2799="","",IF(COUNTIF('مواد المخزون'!$A$2:$A$90,$C2799)&gt;0,"نعم","لا (خارج الجرد)"))</f>
        <v/>
      </c>
    </row>
    <row r="2800" customFormat="false" ht="15" hidden="false" customHeight="false" outlineLevel="0" collapsed="false">
      <c r="A2800" s="103"/>
      <c r="B2800" s="104"/>
      <c r="C2800" s="104"/>
      <c r="F2800" s="107" t="str">
        <f aca="false">IF(OR($C2800="",$D2800=0),"",$E2800/$D2800)</f>
        <v/>
      </c>
      <c r="H2800" s="0" t="str">
        <f aca="false">IF($C2800="","",IF(COUNTIF('مواد المخزون'!$A$2:$A$90,$C2800)&gt;0,"نعم","لا (خارج الجرد)"))</f>
        <v/>
      </c>
    </row>
    <row r="2801" customFormat="false" ht="15" hidden="false" customHeight="false" outlineLevel="0" collapsed="false">
      <c r="A2801" s="103"/>
      <c r="B2801" s="104"/>
      <c r="C2801" s="104"/>
      <c r="F2801" s="107" t="str">
        <f aca="false">IF(OR($C2801="",$D2801=0),"",$E2801/$D2801)</f>
        <v/>
      </c>
      <c r="H2801" s="0" t="str">
        <f aca="false">IF($C2801="","",IF(COUNTIF('مواد المخزون'!$A$2:$A$90,$C2801)&gt;0,"نعم","لا (خارج الجرد)"))</f>
        <v/>
      </c>
    </row>
    <row r="2802" customFormat="false" ht="15" hidden="false" customHeight="false" outlineLevel="0" collapsed="false">
      <c r="A2802" s="103"/>
      <c r="B2802" s="104"/>
      <c r="C2802" s="104"/>
      <c r="F2802" s="107" t="str">
        <f aca="false">IF(OR($C2802="",$D2802=0),"",$E2802/$D2802)</f>
        <v/>
      </c>
      <c r="H2802" s="0" t="str">
        <f aca="false">IF($C2802="","",IF(COUNTIF('مواد المخزون'!$A$2:$A$90,$C2802)&gt;0,"نعم","لا (خارج الجرد)"))</f>
        <v/>
      </c>
    </row>
    <row r="2803" customFormat="false" ht="15" hidden="false" customHeight="false" outlineLevel="0" collapsed="false">
      <c r="A2803" s="103"/>
      <c r="B2803" s="104"/>
      <c r="C2803" s="104"/>
      <c r="F2803" s="107" t="str">
        <f aca="false">IF(OR($C2803="",$D2803=0),"",$E2803/$D2803)</f>
        <v/>
      </c>
      <c r="H2803" s="0" t="str">
        <f aca="false">IF($C2803="","",IF(COUNTIF('مواد المخزون'!$A$2:$A$90,$C2803)&gt;0,"نعم","لا (خارج الجرد)"))</f>
        <v/>
      </c>
    </row>
    <row r="2804" customFormat="false" ht="15" hidden="false" customHeight="false" outlineLevel="0" collapsed="false">
      <c r="A2804" s="103"/>
      <c r="B2804" s="104"/>
      <c r="C2804" s="104"/>
      <c r="F2804" s="107" t="str">
        <f aca="false">IF(OR($C2804="",$D2804=0),"",$E2804/$D2804)</f>
        <v/>
      </c>
      <c r="H2804" s="0" t="str">
        <f aca="false">IF($C2804="","",IF(COUNTIF('مواد المخزون'!$A$2:$A$90,$C2804)&gt;0,"نعم","لا (خارج الجرد)"))</f>
        <v/>
      </c>
    </row>
    <row r="2805" customFormat="false" ht="15" hidden="false" customHeight="false" outlineLevel="0" collapsed="false">
      <c r="A2805" s="103"/>
      <c r="B2805" s="104"/>
      <c r="C2805" s="104"/>
      <c r="F2805" s="107" t="str">
        <f aca="false">IF(OR($C2805="",$D2805=0),"",$E2805/$D2805)</f>
        <v/>
      </c>
      <c r="H2805" s="0" t="str">
        <f aca="false">IF($C2805="","",IF(COUNTIF('مواد المخزون'!$A$2:$A$90,$C2805)&gt;0,"نعم","لا (خارج الجرد)"))</f>
        <v/>
      </c>
    </row>
    <row r="2806" customFormat="false" ht="15" hidden="false" customHeight="false" outlineLevel="0" collapsed="false">
      <c r="A2806" s="103"/>
      <c r="B2806" s="104"/>
      <c r="C2806" s="104"/>
      <c r="F2806" s="107" t="str">
        <f aca="false">IF(OR($C2806="",$D2806=0),"",$E2806/$D2806)</f>
        <v/>
      </c>
      <c r="H2806" s="0" t="str">
        <f aca="false">IF($C2806="","",IF(COUNTIF('مواد المخزون'!$A$2:$A$90,$C2806)&gt;0,"نعم","لا (خارج الجرد)"))</f>
        <v/>
      </c>
    </row>
    <row r="2807" customFormat="false" ht="15" hidden="false" customHeight="false" outlineLevel="0" collapsed="false">
      <c r="A2807" s="103"/>
      <c r="B2807" s="104"/>
      <c r="C2807" s="104"/>
      <c r="F2807" s="107" t="str">
        <f aca="false">IF(OR($C2807="",$D2807=0),"",$E2807/$D2807)</f>
        <v/>
      </c>
      <c r="H2807" s="0" t="str">
        <f aca="false">IF($C2807="","",IF(COUNTIF('مواد المخزون'!$A$2:$A$90,$C2807)&gt;0,"نعم","لا (خارج الجرد)"))</f>
        <v/>
      </c>
    </row>
    <row r="2808" customFormat="false" ht="15" hidden="false" customHeight="false" outlineLevel="0" collapsed="false">
      <c r="A2808" s="103"/>
      <c r="B2808" s="104"/>
      <c r="C2808" s="104"/>
      <c r="F2808" s="107" t="str">
        <f aca="false">IF(OR($C2808="",$D2808=0),"",$E2808/$D2808)</f>
        <v/>
      </c>
      <c r="H2808" s="0" t="str">
        <f aca="false">IF($C2808="","",IF(COUNTIF('مواد المخزون'!$A$2:$A$90,$C2808)&gt;0,"نعم","لا (خارج الجرد)"))</f>
        <v/>
      </c>
    </row>
    <row r="2809" customFormat="false" ht="15" hidden="false" customHeight="false" outlineLevel="0" collapsed="false">
      <c r="A2809" s="103"/>
      <c r="B2809" s="104"/>
      <c r="C2809" s="104"/>
      <c r="F2809" s="107" t="str">
        <f aca="false">IF(OR($C2809="",$D2809=0),"",$E2809/$D2809)</f>
        <v/>
      </c>
      <c r="H2809" s="0" t="str">
        <f aca="false">IF($C2809="","",IF(COUNTIF('مواد المخزون'!$A$2:$A$90,$C2809)&gt;0,"نعم","لا (خارج الجرد)"))</f>
        <v/>
      </c>
    </row>
    <row r="2810" customFormat="false" ht="15" hidden="false" customHeight="false" outlineLevel="0" collapsed="false">
      <c r="A2810" s="103"/>
      <c r="B2810" s="104"/>
      <c r="C2810" s="104"/>
      <c r="F2810" s="107" t="str">
        <f aca="false">IF(OR($C2810="",$D2810=0),"",$E2810/$D2810)</f>
        <v/>
      </c>
      <c r="H2810" s="0" t="str">
        <f aca="false">IF($C2810="","",IF(COUNTIF('مواد المخزون'!$A$2:$A$90,$C2810)&gt;0,"نعم","لا (خارج الجرد)"))</f>
        <v/>
      </c>
    </row>
    <row r="2811" customFormat="false" ht="15" hidden="false" customHeight="false" outlineLevel="0" collapsed="false">
      <c r="A2811" s="103"/>
      <c r="B2811" s="104"/>
      <c r="C2811" s="104"/>
      <c r="F2811" s="107" t="str">
        <f aca="false">IF(OR($C2811="",$D2811=0),"",$E2811/$D2811)</f>
        <v/>
      </c>
      <c r="H2811" s="0" t="str">
        <f aca="false">IF($C2811="","",IF(COUNTIF('مواد المخزون'!$A$2:$A$90,$C2811)&gt;0,"نعم","لا (خارج الجرد)"))</f>
        <v/>
      </c>
    </row>
    <row r="2812" customFormat="false" ht="15" hidden="false" customHeight="false" outlineLevel="0" collapsed="false">
      <c r="A2812" s="103"/>
      <c r="B2812" s="104"/>
      <c r="C2812" s="104"/>
      <c r="F2812" s="107" t="str">
        <f aca="false">IF(OR($C2812="",$D2812=0),"",$E2812/$D2812)</f>
        <v/>
      </c>
      <c r="H2812" s="0" t="str">
        <f aca="false">IF($C2812="","",IF(COUNTIF('مواد المخزون'!$A$2:$A$90,$C2812)&gt;0,"نعم","لا (خارج الجرد)"))</f>
        <v/>
      </c>
    </row>
    <row r="2813" customFormat="false" ht="15" hidden="false" customHeight="false" outlineLevel="0" collapsed="false">
      <c r="A2813" s="103"/>
      <c r="B2813" s="104"/>
      <c r="C2813" s="104"/>
      <c r="F2813" s="107" t="str">
        <f aca="false">IF(OR($C2813="",$D2813=0),"",$E2813/$D2813)</f>
        <v/>
      </c>
      <c r="H2813" s="0" t="str">
        <f aca="false">IF($C2813="","",IF(COUNTIF('مواد المخزون'!$A$2:$A$90,$C2813)&gt;0,"نعم","لا (خارج الجرد)"))</f>
        <v/>
      </c>
    </row>
    <row r="2814" customFormat="false" ht="15" hidden="false" customHeight="false" outlineLevel="0" collapsed="false">
      <c r="A2814" s="103"/>
      <c r="B2814" s="104"/>
      <c r="C2814" s="104"/>
      <c r="F2814" s="107" t="str">
        <f aca="false">IF(OR($C2814="",$D2814=0),"",$E2814/$D2814)</f>
        <v/>
      </c>
      <c r="H2814" s="0" t="str">
        <f aca="false">IF($C2814="","",IF(COUNTIF('مواد المخزون'!$A$2:$A$90,$C2814)&gt;0,"نعم","لا (خارج الجرد)"))</f>
        <v/>
      </c>
    </row>
    <row r="2815" customFormat="false" ht="15" hidden="false" customHeight="false" outlineLevel="0" collapsed="false">
      <c r="A2815" s="103"/>
      <c r="B2815" s="104"/>
      <c r="C2815" s="104"/>
      <c r="F2815" s="107" t="str">
        <f aca="false">IF(OR($C2815="",$D2815=0),"",$E2815/$D2815)</f>
        <v/>
      </c>
      <c r="H2815" s="0" t="str">
        <f aca="false">IF($C2815="","",IF(COUNTIF('مواد المخزون'!$A$2:$A$90,$C2815)&gt;0,"نعم","لا (خارج الجرد)"))</f>
        <v/>
      </c>
    </row>
    <row r="2816" customFormat="false" ht="15" hidden="false" customHeight="false" outlineLevel="0" collapsed="false">
      <c r="A2816" s="103"/>
      <c r="B2816" s="104"/>
      <c r="C2816" s="104"/>
      <c r="F2816" s="107" t="str">
        <f aca="false">IF(OR($C2816="",$D2816=0),"",$E2816/$D2816)</f>
        <v/>
      </c>
      <c r="H2816" s="0" t="str">
        <f aca="false">IF($C2816="","",IF(COUNTIF('مواد المخزون'!$A$2:$A$90,$C2816)&gt;0,"نعم","لا (خارج الجرد)"))</f>
        <v/>
      </c>
    </row>
    <row r="2817" customFormat="false" ht="15" hidden="false" customHeight="false" outlineLevel="0" collapsed="false">
      <c r="A2817" s="103"/>
      <c r="B2817" s="104"/>
      <c r="C2817" s="104"/>
      <c r="F2817" s="107" t="str">
        <f aca="false">IF(OR($C2817="",$D2817=0),"",$E2817/$D2817)</f>
        <v/>
      </c>
      <c r="H2817" s="0" t="str">
        <f aca="false">IF($C2817="","",IF(COUNTIF('مواد المخزون'!$A$2:$A$90,$C2817)&gt;0,"نعم","لا (خارج الجرد)"))</f>
        <v/>
      </c>
    </row>
    <row r="2818" customFormat="false" ht="15" hidden="false" customHeight="false" outlineLevel="0" collapsed="false">
      <c r="A2818" s="103"/>
      <c r="B2818" s="104"/>
      <c r="C2818" s="104"/>
      <c r="F2818" s="107" t="str">
        <f aca="false">IF(OR($C2818="",$D2818=0),"",$E2818/$D2818)</f>
        <v/>
      </c>
      <c r="H2818" s="0" t="str">
        <f aca="false">IF($C2818="","",IF(COUNTIF('مواد المخزون'!$A$2:$A$90,$C2818)&gt;0,"نعم","لا (خارج الجرد)"))</f>
        <v/>
      </c>
    </row>
    <row r="2819" customFormat="false" ht="15" hidden="false" customHeight="false" outlineLevel="0" collapsed="false">
      <c r="A2819" s="103"/>
      <c r="B2819" s="104"/>
      <c r="C2819" s="104"/>
      <c r="F2819" s="107" t="str">
        <f aca="false">IF(OR($C2819="",$D2819=0),"",$E2819/$D2819)</f>
        <v/>
      </c>
      <c r="H2819" s="0" t="str">
        <f aca="false">IF($C2819="","",IF(COUNTIF('مواد المخزون'!$A$2:$A$90,$C2819)&gt;0,"نعم","لا (خارج الجرد)"))</f>
        <v/>
      </c>
    </row>
    <row r="2820" customFormat="false" ht="15" hidden="false" customHeight="false" outlineLevel="0" collapsed="false">
      <c r="A2820" s="103"/>
      <c r="B2820" s="104"/>
      <c r="C2820" s="104"/>
      <c r="F2820" s="107" t="str">
        <f aca="false">IF(OR($C2820="",$D2820=0),"",$E2820/$D2820)</f>
        <v/>
      </c>
      <c r="H2820" s="0" t="str">
        <f aca="false">IF($C2820="","",IF(COUNTIF('مواد المخزون'!$A$2:$A$90,$C2820)&gt;0,"نعم","لا (خارج الجرد)"))</f>
        <v/>
      </c>
    </row>
    <row r="2821" customFormat="false" ht="15" hidden="false" customHeight="false" outlineLevel="0" collapsed="false">
      <c r="A2821" s="103"/>
      <c r="B2821" s="104"/>
      <c r="C2821" s="104"/>
      <c r="F2821" s="107" t="str">
        <f aca="false">IF(OR($C2821="",$D2821=0),"",$E2821/$D2821)</f>
        <v/>
      </c>
      <c r="H2821" s="0" t="str">
        <f aca="false">IF($C2821="","",IF(COUNTIF('مواد المخزون'!$A$2:$A$90,$C2821)&gt;0,"نعم","لا (خارج الجرد)"))</f>
        <v/>
      </c>
    </row>
    <row r="2822" customFormat="false" ht="15" hidden="false" customHeight="false" outlineLevel="0" collapsed="false">
      <c r="A2822" s="103"/>
      <c r="B2822" s="104"/>
      <c r="C2822" s="104"/>
      <c r="F2822" s="107" t="str">
        <f aca="false">IF(OR($C2822="",$D2822=0),"",$E2822/$D2822)</f>
        <v/>
      </c>
      <c r="H2822" s="0" t="str">
        <f aca="false">IF($C2822="","",IF(COUNTIF('مواد المخزون'!$A$2:$A$90,$C2822)&gt;0,"نعم","لا (خارج الجرد)"))</f>
        <v/>
      </c>
    </row>
    <row r="2823" customFormat="false" ht="15" hidden="false" customHeight="false" outlineLevel="0" collapsed="false">
      <c r="A2823" s="103"/>
      <c r="B2823" s="104"/>
      <c r="C2823" s="104"/>
      <c r="F2823" s="107" t="str">
        <f aca="false">IF(OR($C2823="",$D2823=0),"",$E2823/$D2823)</f>
        <v/>
      </c>
      <c r="H2823" s="0" t="str">
        <f aca="false">IF($C2823="","",IF(COUNTIF('مواد المخزون'!$A$2:$A$90,$C2823)&gt;0,"نعم","لا (خارج الجرد)"))</f>
        <v/>
      </c>
    </row>
    <row r="2824" customFormat="false" ht="15" hidden="false" customHeight="false" outlineLevel="0" collapsed="false">
      <c r="A2824" s="103"/>
      <c r="B2824" s="104"/>
      <c r="C2824" s="104"/>
      <c r="F2824" s="107" t="str">
        <f aca="false">IF(OR($C2824="",$D2824=0),"",$E2824/$D2824)</f>
        <v/>
      </c>
      <c r="H2824" s="0" t="str">
        <f aca="false">IF($C2824="","",IF(COUNTIF('مواد المخزون'!$A$2:$A$90,$C2824)&gt;0,"نعم","لا (خارج الجرد)"))</f>
        <v/>
      </c>
    </row>
    <row r="2825" customFormat="false" ht="15" hidden="false" customHeight="false" outlineLevel="0" collapsed="false">
      <c r="A2825" s="103"/>
      <c r="B2825" s="104"/>
      <c r="C2825" s="104"/>
      <c r="F2825" s="107" t="str">
        <f aca="false">IF(OR($C2825="",$D2825=0),"",$E2825/$D2825)</f>
        <v/>
      </c>
      <c r="H2825" s="0" t="str">
        <f aca="false">IF($C2825="","",IF(COUNTIF('مواد المخزون'!$A$2:$A$90,$C2825)&gt;0,"نعم","لا (خارج الجرد)"))</f>
        <v/>
      </c>
    </row>
    <row r="2826" customFormat="false" ht="15" hidden="false" customHeight="false" outlineLevel="0" collapsed="false">
      <c r="A2826" s="103"/>
      <c r="B2826" s="104"/>
      <c r="C2826" s="104"/>
      <c r="F2826" s="107" t="str">
        <f aca="false">IF(OR($C2826="",$D2826=0),"",$E2826/$D2826)</f>
        <v/>
      </c>
      <c r="H2826" s="0" t="str">
        <f aca="false">IF($C2826="","",IF(COUNTIF('مواد المخزون'!$A$2:$A$90,$C2826)&gt;0,"نعم","لا (خارج الجرد)"))</f>
        <v/>
      </c>
    </row>
    <row r="2827" customFormat="false" ht="15" hidden="false" customHeight="false" outlineLevel="0" collapsed="false">
      <c r="A2827" s="103"/>
      <c r="B2827" s="104"/>
      <c r="C2827" s="104"/>
      <c r="F2827" s="107" t="str">
        <f aca="false">IF(OR($C2827="",$D2827=0),"",$E2827/$D2827)</f>
        <v/>
      </c>
      <c r="H2827" s="0" t="str">
        <f aca="false">IF($C2827="","",IF(COUNTIF('مواد المخزون'!$A$2:$A$90,$C2827)&gt;0,"نعم","لا (خارج الجرد)"))</f>
        <v/>
      </c>
    </row>
    <row r="2828" customFormat="false" ht="15" hidden="false" customHeight="false" outlineLevel="0" collapsed="false">
      <c r="A2828" s="103"/>
      <c r="B2828" s="104"/>
      <c r="C2828" s="104"/>
      <c r="F2828" s="107" t="str">
        <f aca="false">IF(OR($C2828="",$D2828=0),"",$E2828/$D2828)</f>
        <v/>
      </c>
      <c r="H2828" s="0" t="str">
        <f aca="false">IF($C2828="","",IF(COUNTIF('مواد المخزون'!$A$2:$A$90,$C2828)&gt;0,"نعم","لا (خارج الجرد)"))</f>
        <v/>
      </c>
    </row>
    <row r="2829" customFormat="false" ht="15" hidden="false" customHeight="false" outlineLevel="0" collapsed="false">
      <c r="A2829" s="103"/>
      <c r="B2829" s="104"/>
      <c r="C2829" s="104"/>
      <c r="F2829" s="107" t="str">
        <f aca="false">IF(OR($C2829="",$D2829=0),"",$E2829/$D2829)</f>
        <v/>
      </c>
      <c r="H2829" s="0" t="str">
        <f aca="false">IF($C2829="","",IF(COUNTIF('مواد المخزون'!$A$2:$A$90,$C2829)&gt;0,"نعم","لا (خارج الجرد)"))</f>
        <v/>
      </c>
    </row>
    <row r="2830" customFormat="false" ht="15" hidden="false" customHeight="false" outlineLevel="0" collapsed="false">
      <c r="A2830" s="103"/>
      <c r="B2830" s="104"/>
      <c r="C2830" s="104"/>
      <c r="F2830" s="107" t="str">
        <f aca="false">IF(OR($C2830="",$D2830=0),"",$E2830/$D2830)</f>
        <v/>
      </c>
      <c r="H2830" s="0" t="str">
        <f aca="false">IF($C2830="","",IF(COUNTIF('مواد المخزون'!$A$2:$A$90,$C2830)&gt;0,"نعم","لا (خارج الجرد)"))</f>
        <v/>
      </c>
    </row>
    <row r="2831" customFormat="false" ht="15" hidden="false" customHeight="false" outlineLevel="0" collapsed="false">
      <c r="A2831" s="103"/>
      <c r="B2831" s="104"/>
      <c r="C2831" s="104"/>
      <c r="F2831" s="107" t="str">
        <f aca="false">IF(OR($C2831="",$D2831=0),"",$E2831/$D2831)</f>
        <v/>
      </c>
      <c r="H2831" s="0" t="str">
        <f aca="false">IF($C2831="","",IF(COUNTIF('مواد المخزون'!$A$2:$A$90,$C2831)&gt;0,"نعم","لا (خارج الجرد)"))</f>
        <v/>
      </c>
    </row>
    <row r="2832" customFormat="false" ht="15" hidden="false" customHeight="false" outlineLevel="0" collapsed="false">
      <c r="A2832" s="103"/>
      <c r="B2832" s="104"/>
      <c r="C2832" s="104"/>
      <c r="F2832" s="107" t="str">
        <f aca="false">IF(OR($C2832="",$D2832=0),"",$E2832/$D2832)</f>
        <v/>
      </c>
      <c r="H2832" s="0" t="str">
        <f aca="false">IF($C2832="","",IF(COUNTIF('مواد المخزون'!$A$2:$A$90,$C2832)&gt;0,"نعم","لا (خارج الجرد)"))</f>
        <v/>
      </c>
    </row>
    <row r="2833" customFormat="false" ht="15" hidden="false" customHeight="false" outlineLevel="0" collapsed="false">
      <c r="A2833" s="103"/>
      <c r="B2833" s="104"/>
      <c r="C2833" s="104"/>
      <c r="F2833" s="107" t="str">
        <f aca="false">IF(OR($C2833="",$D2833=0),"",$E2833/$D2833)</f>
        <v/>
      </c>
      <c r="H2833" s="0" t="str">
        <f aca="false">IF($C2833="","",IF(COUNTIF('مواد المخزون'!$A$2:$A$90,$C2833)&gt;0,"نعم","لا (خارج الجرد)"))</f>
        <v/>
      </c>
    </row>
    <row r="2834" customFormat="false" ht="15" hidden="false" customHeight="false" outlineLevel="0" collapsed="false">
      <c r="A2834" s="103"/>
      <c r="B2834" s="104"/>
      <c r="C2834" s="104"/>
      <c r="F2834" s="107" t="str">
        <f aca="false">IF(OR($C2834="",$D2834=0),"",$E2834/$D2834)</f>
        <v/>
      </c>
      <c r="H2834" s="0" t="str">
        <f aca="false">IF($C2834="","",IF(COUNTIF('مواد المخزون'!$A$2:$A$90,$C2834)&gt;0,"نعم","لا (خارج الجرد)"))</f>
        <v/>
      </c>
    </row>
    <row r="2835" customFormat="false" ht="15" hidden="false" customHeight="false" outlineLevel="0" collapsed="false">
      <c r="A2835" s="103"/>
      <c r="B2835" s="104"/>
      <c r="C2835" s="104"/>
      <c r="F2835" s="107" t="str">
        <f aca="false">IF(OR($C2835="",$D2835=0),"",$E2835/$D2835)</f>
        <v/>
      </c>
      <c r="H2835" s="0" t="str">
        <f aca="false">IF($C2835="","",IF(COUNTIF('مواد المخزون'!$A$2:$A$90,$C2835)&gt;0,"نعم","لا (خارج الجرد)"))</f>
        <v/>
      </c>
    </row>
    <row r="2836" customFormat="false" ht="15" hidden="false" customHeight="false" outlineLevel="0" collapsed="false">
      <c r="A2836" s="103"/>
      <c r="B2836" s="104"/>
      <c r="C2836" s="104"/>
      <c r="F2836" s="107" t="str">
        <f aca="false">IF(OR($C2836="",$D2836=0),"",$E2836/$D2836)</f>
        <v/>
      </c>
      <c r="H2836" s="0" t="str">
        <f aca="false">IF($C2836="","",IF(COUNTIF('مواد المخزون'!$A$2:$A$90,$C2836)&gt;0,"نعم","لا (خارج الجرد)"))</f>
        <v/>
      </c>
    </row>
    <row r="2837" customFormat="false" ht="15" hidden="false" customHeight="false" outlineLevel="0" collapsed="false">
      <c r="A2837" s="103"/>
      <c r="B2837" s="104"/>
      <c r="C2837" s="104"/>
      <c r="F2837" s="107" t="str">
        <f aca="false">IF(OR($C2837="",$D2837=0),"",$E2837/$D2837)</f>
        <v/>
      </c>
      <c r="H2837" s="0" t="str">
        <f aca="false">IF($C2837="","",IF(COUNTIF('مواد المخزون'!$A$2:$A$90,$C2837)&gt;0,"نعم","لا (خارج الجرد)"))</f>
        <v/>
      </c>
    </row>
    <row r="2838" customFormat="false" ht="15" hidden="false" customHeight="false" outlineLevel="0" collapsed="false">
      <c r="A2838" s="103"/>
      <c r="B2838" s="104"/>
      <c r="C2838" s="104"/>
      <c r="F2838" s="107" t="str">
        <f aca="false">IF(OR($C2838="",$D2838=0),"",$E2838/$D2838)</f>
        <v/>
      </c>
      <c r="H2838" s="0" t="str">
        <f aca="false">IF($C2838="","",IF(COUNTIF('مواد المخزون'!$A$2:$A$90,$C2838)&gt;0,"نعم","لا (خارج الجرد)"))</f>
        <v/>
      </c>
    </row>
    <row r="2839" customFormat="false" ht="15" hidden="false" customHeight="false" outlineLevel="0" collapsed="false">
      <c r="A2839" s="103"/>
      <c r="B2839" s="104"/>
      <c r="C2839" s="104"/>
      <c r="F2839" s="107" t="str">
        <f aca="false">IF(OR($C2839="",$D2839=0),"",$E2839/$D2839)</f>
        <v/>
      </c>
      <c r="H2839" s="0" t="str">
        <f aca="false">IF($C2839="","",IF(COUNTIF('مواد المخزون'!$A$2:$A$90,$C2839)&gt;0,"نعم","لا (خارج الجرد)"))</f>
        <v/>
      </c>
    </row>
    <row r="2840" customFormat="false" ht="15" hidden="false" customHeight="false" outlineLevel="0" collapsed="false">
      <c r="A2840" s="103"/>
      <c r="B2840" s="104"/>
      <c r="C2840" s="104"/>
      <c r="F2840" s="107" t="str">
        <f aca="false">IF(OR($C2840="",$D2840=0),"",$E2840/$D2840)</f>
        <v/>
      </c>
      <c r="H2840" s="0" t="str">
        <f aca="false">IF($C2840="","",IF(COUNTIF('مواد المخزون'!$A$2:$A$90,$C2840)&gt;0,"نعم","لا (خارج الجرد)"))</f>
        <v/>
      </c>
    </row>
    <row r="2841" customFormat="false" ht="15" hidden="false" customHeight="false" outlineLevel="0" collapsed="false">
      <c r="A2841" s="103"/>
      <c r="B2841" s="104"/>
      <c r="C2841" s="104"/>
      <c r="F2841" s="107" t="str">
        <f aca="false">IF(OR($C2841="",$D2841=0),"",$E2841/$D2841)</f>
        <v/>
      </c>
      <c r="H2841" s="0" t="str">
        <f aca="false">IF($C2841="","",IF(COUNTIF('مواد المخزون'!$A$2:$A$90,$C2841)&gt;0,"نعم","لا (خارج الجرد)"))</f>
        <v/>
      </c>
    </row>
    <row r="2842" customFormat="false" ht="15" hidden="false" customHeight="false" outlineLevel="0" collapsed="false">
      <c r="A2842" s="103"/>
      <c r="B2842" s="104"/>
      <c r="C2842" s="104"/>
      <c r="F2842" s="107" t="str">
        <f aca="false">IF(OR($C2842="",$D2842=0),"",$E2842/$D2842)</f>
        <v/>
      </c>
      <c r="H2842" s="0" t="str">
        <f aca="false">IF($C2842="","",IF(COUNTIF('مواد المخزون'!$A$2:$A$90,$C2842)&gt;0,"نعم","لا (خارج الجرد)"))</f>
        <v/>
      </c>
    </row>
    <row r="2843" customFormat="false" ht="15" hidden="false" customHeight="false" outlineLevel="0" collapsed="false">
      <c r="A2843" s="103"/>
      <c r="B2843" s="104"/>
      <c r="C2843" s="104"/>
      <c r="F2843" s="107" t="str">
        <f aca="false">IF(OR($C2843="",$D2843=0),"",$E2843/$D2843)</f>
        <v/>
      </c>
      <c r="H2843" s="0" t="str">
        <f aca="false">IF($C2843="","",IF(COUNTIF('مواد المخزون'!$A$2:$A$90,$C2843)&gt;0,"نعم","لا (خارج الجرد)"))</f>
        <v/>
      </c>
    </row>
    <row r="2844" customFormat="false" ht="15" hidden="false" customHeight="false" outlineLevel="0" collapsed="false">
      <c r="A2844" s="103"/>
      <c r="B2844" s="104"/>
      <c r="C2844" s="104"/>
      <c r="F2844" s="107" t="str">
        <f aca="false">IF(OR($C2844="",$D2844=0),"",$E2844/$D2844)</f>
        <v/>
      </c>
      <c r="H2844" s="0" t="str">
        <f aca="false">IF($C2844="","",IF(COUNTIF('مواد المخزون'!$A$2:$A$90,$C2844)&gt;0,"نعم","لا (خارج الجرد)"))</f>
        <v/>
      </c>
    </row>
    <row r="2845" customFormat="false" ht="15" hidden="false" customHeight="false" outlineLevel="0" collapsed="false">
      <c r="A2845" s="103"/>
      <c r="B2845" s="104"/>
      <c r="C2845" s="104"/>
      <c r="F2845" s="107" t="str">
        <f aca="false">IF(OR($C2845="",$D2845=0),"",$E2845/$D2845)</f>
        <v/>
      </c>
      <c r="H2845" s="0" t="str">
        <f aca="false">IF($C2845="","",IF(COUNTIF('مواد المخزون'!$A$2:$A$90,$C2845)&gt;0,"نعم","لا (خارج الجرد)"))</f>
        <v/>
      </c>
    </row>
    <row r="2846" customFormat="false" ht="15" hidden="false" customHeight="false" outlineLevel="0" collapsed="false">
      <c r="A2846" s="103"/>
      <c r="B2846" s="104"/>
      <c r="C2846" s="104"/>
      <c r="F2846" s="107" t="str">
        <f aca="false">IF(OR($C2846="",$D2846=0),"",$E2846/$D2846)</f>
        <v/>
      </c>
      <c r="H2846" s="0" t="str">
        <f aca="false">IF($C2846="","",IF(COUNTIF('مواد المخزون'!$A$2:$A$90,$C2846)&gt;0,"نعم","لا (خارج الجرد)"))</f>
        <v/>
      </c>
    </row>
    <row r="2847" customFormat="false" ht="15" hidden="false" customHeight="false" outlineLevel="0" collapsed="false">
      <c r="A2847" s="103"/>
      <c r="B2847" s="104"/>
      <c r="C2847" s="104"/>
      <c r="F2847" s="107" t="str">
        <f aca="false">IF(OR($C2847="",$D2847=0),"",$E2847/$D2847)</f>
        <v/>
      </c>
      <c r="H2847" s="0" t="str">
        <f aca="false">IF($C2847="","",IF(COUNTIF('مواد المخزون'!$A$2:$A$90,$C2847)&gt;0,"نعم","لا (خارج الجرد)"))</f>
        <v/>
      </c>
    </row>
    <row r="2848" customFormat="false" ht="15" hidden="false" customHeight="false" outlineLevel="0" collapsed="false">
      <c r="A2848" s="103"/>
      <c r="B2848" s="104"/>
      <c r="C2848" s="104"/>
      <c r="F2848" s="107" t="str">
        <f aca="false">IF(OR($C2848="",$D2848=0),"",$E2848/$D2848)</f>
        <v/>
      </c>
      <c r="H2848" s="0" t="str">
        <f aca="false">IF($C2848="","",IF(COUNTIF('مواد المخزون'!$A$2:$A$90,$C2848)&gt;0,"نعم","لا (خارج الجرد)"))</f>
        <v/>
      </c>
    </row>
    <row r="2849" customFormat="false" ht="15" hidden="false" customHeight="false" outlineLevel="0" collapsed="false">
      <c r="A2849" s="103"/>
      <c r="B2849" s="104"/>
      <c r="C2849" s="104"/>
      <c r="F2849" s="107" t="str">
        <f aca="false">IF(OR($C2849="",$D2849=0),"",$E2849/$D2849)</f>
        <v/>
      </c>
      <c r="H2849" s="0" t="str">
        <f aca="false">IF($C2849="","",IF(COUNTIF('مواد المخزون'!$A$2:$A$90,$C2849)&gt;0,"نعم","لا (خارج الجرد)"))</f>
        <v/>
      </c>
    </row>
    <row r="2850" customFormat="false" ht="15" hidden="false" customHeight="false" outlineLevel="0" collapsed="false">
      <c r="A2850" s="103"/>
      <c r="B2850" s="104"/>
      <c r="C2850" s="104"/>
      <c r="F2850" s="107" t="str">
        <f aca="false">IF(OR($C2850="",$D2850=0),"",$E2850/$D2850)</f>
        <v/>
      </c>
      <c r="H2850" s="0" t="str">
        <f aca="false">IF($C2850="","",IF(COUNTIF('مواد المخزون'!$A$2:$A$90,$C2850)&gt;0,"نعم","لا (خارج الجرد)"))</f>
        <v/>
      </c>
    </row>
    <row r="2851" customFormat="false" ht="15" hidden="false" customHeight="false" outlineLevel="0" collapsed="false">
      <c r="A2851" s="103"/>
      <c r="B2851" s="104"/>
      <c r="C2851" s="104"/>
      <c r="F2851" s="107" t="str">
        <f aca="false">IF(OR($C2851="",$D2851=0),"",$E2851/$D2851)</f>
        <v/>
      </c>
      <c r="H2851" s="0" t="str">
        <f aca="false">IF($C2851="","",IF(COUNTIF('مواد المخزون'!$A$2:$A$90,$C2851)&gt;0,"نعم","لا (خارج الجرد)"))</f>
        <v/>
      </c>
    </row>
    <row r="2852" customFormat="false" ht="15" hidden="false" customHeight="false" outlineLevel="0" collapsed="false">
      <c r="A2852" s="103"/>
      <c r="B2852" s="104"/>
      <c r="C2852" s="104"/>
      <c r="F2852" s="107" t="str">
        <f aca="false">IF(OR($C2852="",$D2852=0),"",$E2852/$D2852)</f>
        <v/>
      </c>
      <c r="H2852" s="0" t="str">
        <f aca="false">IF($C2852="","",IF(COUNTIF('مواد المخزون'!$A$2:$A$90,$C2852)&gt;0,"نعم","لا (خارج الجرد)"))</f>
        <v/>
      </c>
    </row>
    <row r="2853" customFormat="false" ht="15" hidden="false" customHeight="false" outlineLevel="0" collapsed="false">
      <c r="A2853" s="103"/>
      <c r="B2853" s="104"/>
      <c r="C2853" s="104"/>
      <c r="F2853" s="107" t="str">
        <f aca="false">IF(OR($C2853="",$D2853=0),"",$E2853/$D2853)</f>
        <v/>
      </c>
      <c r="H2853" s="0" t="str">
        <f aca="false">IF($C2853="","",IF(COUNTIF('مواد المخزون'!$A$2:$A$90,$C2853)&gt;0,"نعم","لا (خارج الجرد)"))</f>
        <v/>
      </c>
    </row>
    <row r="2854" customFormat="false" ht="15" hidden="false" customHeight="false" outlineLevel="0" collapsed="false">
      <c r="A2854" s="103"/>
      <c r="B2854" s="104"/>
      <c r="C2854" s="104"/>
      <c r="F2854" s="107" t="str">
        <f aca="false">IF(OR($C2854="",$D2854=0),"",$E2854/$D2854)</f>
        <v/>
      </c>
      <c r="H2854" s="0" t="str">
        <f aca="false">IF($C2854="","",IF(COUNTIF('مواد المخزون'!$A$2:$A$90,$C2854)&gt;0,"نعم","لا (خارج الجرد)"))</f>
        <v/>
      </c>
    </row>
    <row r="2855" customFormat="false" ht="15" hidden="false" customHeight="false" outlineLevel="0" collapsed="false">
      <c r="A2855" s="103"/>
      <c r="B2855" s="104"/>
      <c r="C2855" s="104"/>
      <c r="F2855" s="107" t="str">
        <f aca="false">IF(OR($C2855="",$D2855=0),"",$E2855/$D2855)</f>
        <v/>
      </c>
      <c r="H2855" s="0" t="str">
        <f aca="false">IF($C2855="","",IF(COUNTIF('مواد المخزون'!$A$2:$A$90,$C2855)&gt;0,"نعم","لا (خارج الجرد)"))</f>
        <v/>
      </c>
    </row>
    <row r="2856" customFormat="false" ht="15" hidden="false" customHeight="false" outlineLevel="0" collapsed="false">
      <c r="A2856" s="103"/>
      <c r="B2856" s="104"/>
      <c r="C2856" s="104"/>
      <c r="F2856" s="107" t="str">
        <f aca="false">IF(OR($C2856="",$D2856=0),"",$E2856/$D2856)</f>
        <v/>
      </c>
      <c r="H2856" s="0" t="str">
        <f aca="false">IF($C2856="","",IF(COUNTIF('مواد المخزون'!$A$2:$A$90,$C2856)&gt;0,"نعم","لا (خارج الجرد)"))</f>
        <v/>
      </c>
    </row>
    <row r="2857" customFormat="false" ht="15" hidden="false" customHeight="false" outlineLevel="0" collapsed="false">
      <c r="A2857" s="103"/>
      <c r="B2857" s="104"/>
      <c r="C2857" s="104"/>
      <c r="F2857" s="107" t="str">
        <f aca="false">IF(OR($C2857="",$D2857=0),"",$E2857/$D2857)</f>
        <v/>
      </c>
      <c r="H2857" s="0" t="str">
        <f aca="false">IF($C2857="","",IF(COUNTIF('مواد المخزون'!$A$2:$A$90,$C2857)&gt;0,"نعم","لا (خارج الجرد)"))</f>
        <v/>
      </c>
    </row>
    <row r="2858" customFormat="false" ht="15" hidden="false" customHeight="false" outlineLevel="0" collapsed="false">
      <c r="A2858" s="103"/>
      <c r="B2858" s="104"/>
      <c r="C2858" s="104"/>
      <c r="F2858" s="107" t="str">
        <f aca="false">IF(OR($C2858="",$D2858=0),"",$E2858/$D2858)</f>
        <v/>
      </c>
      <c r="H2858" s="0" t="str">
        <f aca="false">IF($C2858="","",IF(COUNTIF('مواد المخزون'!$A$2:$A$90,$C2858)&gt;0,"نعم","لا (خارج الجرد)"))</f>
        <v/>
      </c>
    </row>
    <row r="2859" customFormat="false" ht="15" hidden="false" customHeight="false" outlineLevel="0" collapsed="false">
      <c r="A2859" s="103"/>
      <c r="B2859" s="104"/>
      <c r="C2859" s="104"/>
      <c r="F2859" s="107" t="str">
        <f aca="false">IF(OR($C2859="",$D2859=0),"",$E2859/$D2859)</f>
        <v/>
      </c>
      <c r="H2859" s="0" t="str">
        <f aca="false">IF($C2859="","",IF(COUNTIF('مواد المخزون'!$A$2:$A$90,$C2859)&gt;0,"نعم","لا (خارج الجرد)"))</f>
        <v/>
      </c>
    </row>
    <row r="2860" customFormat="false" ht="15" hidden="false" customHeight="false" outlineLevel="0" collapsed="false">
      <c r="A2860" s="103"/>
      <c r="B2860" s="104"/>
      <c r="C2860" s="104"/>
      <c r="F2860" s="107" t="str">
        <f aca="false">IF(OR($C2860="",$D2860=0),"",$E2860/$D2860)</f>
        <v/>
      </c>
      <c r="H2860" s="0" t="str">
        <f aca="false">IF($C2860="","",IF(COUNTIF('مواد المخزون'!$A$2:$A$90,$C2860)&gt;0,"نعم","لا (خارج الجرد)"))</f>
        <v/>
      </c>
    </row>
    <row r="2861" customFormat="false" ht="15" hidden="false" customHeight="false" outlineLevel="0" collapsed="false">
      <c r="A2861" s="103"/>
      <c r="B2861" s="104"/>
      <c r="C2861" s="104"/>
      <c r="F2861" s="107" t="str">
        <f aca="false">IF(OR($C2861="",$D2861=0),"",$E2861/$D2861)</f>
        <v/>
      </c>
      <c r="H2861" s="0" t="str">
        <f aca="false">IF($C2861="","",IF(COUNTIF('مواد المخزون'!$A$2:$A$90,$C2861)&gt;0,"نعم","لا (خارج الجرد)"))</f>
        <v/>
      </c>
    </row>
    <row r="2862" customFormat="false" ht="15" hidden="false" customHeight="false" outlineLevel="0" collapsed="false">
      <c r="A2862" s="103"/>
      <c r="B2862" s="104"/>
      <c r="C2862" s="104"/>
      <c r="F2862" s="107" t="str">
        <f aca="false">IF(OR($C2862="",$D2862=0),"",$E2862/$D2862)</f>
        <v/>
      </c>
      <c r="H2862" s="0" t="str">
        <f aca="false">IF($C2862="","",IF(COUNTIF('مواد المخزون'!$A$2:$A$90,$C2862)&gt;0,"نعم","لا (خارج الجرد)"))</f>
        <v/>
      </c>
    </row>
    <row r="2863" customFormat="false" ht="15" hidden="false" customHeight="false" outlineLevel="0" collapsed="false">
      <c r="A2863" s="103"/>
      <c r="B2863" s="104"/>
      <c r="C2863" s="104"/>
      <c r="F2863" s="107" t="str">
        <f aca="false">IF(OR($C2863="",$D2863=0),"",$E2863/$D2863)</f>
        <v/>
      </c>
      <c r="H2863" s="0" t="str">
        <f aca="false">IF($C2863="","",IF(COUNTIF('مواد المخزون'!$A$2:$A$90,$C2863)&gt;0,"نعم","لا (خارج الجرد)"))</f>
        <v/>
      </c>
    </row>
    <row r="2864" customFormat="false" ht="15" hidden="false" customHeight="false" outlineLevel="0" collapsed="false">
      <c r="A2864" s="103"/>
      <c r="B2864" s="104"/>
      <c r="C2864" s="104"/>
      <c r="F2864" s="107" t="str">
        <f aca="false">IF(OR($C2864="",$D2864=0),"",$E2864/$D2864)</f>
        <v/>
      </c>
      <c r="H2864" s="0" t="str">
        <f aca="false">IF($C2864="","",IF(COUNTIF('مواد المخزون'!$A$2:$A$90,$C2864)&gt;0,"نعم","لا (خارج الجرد)"))</f>
        <v/>
      </c>
    </row>
    <row r="2865" customFormat="false" ht="15" hidden="false" customHeight="false" outlineLevel="0" collapsed="false">
      <c r="A2865" s="103"/>
      <c r="B2865" s="104"/>
      <c r="C2865" s="104"/>
      <c r="F2865" s="107" t="str">
        <f aca="false">IF(OR($C2865="",$D2865=0),"",$E2865/$D2865)</f>
        <v/>
      </c>
      <c r="H2865" s="0" t="str">
        <f aca="false">IF($C2865="","",IF(COUNTIF('مواد المخزون'!$A$2:$A$90,$C2865)&gt;0,"نعم","لا (خارج الجرد)"))</f>
        <v/>
      </c>
    </row>
    <row r="2866" customFormat="false" ht="15" hidden="false" customHeight="false" outlineLevel="0" collapsed="false">
      <c r="A2866" s="103"/>
      <c r="B2866" s="104"/>
      <c r="C2866" s="104"/>
      <c r="F2866" s="107" t="str">
        <f aca="false">IF(OR($C2866="",$D2866=0),"",$E2866/$D2866)</f>
        <v/>
      </c>
      <c r="H2866" s="0" t="str">
        <f aca="false">IF($C2866="","",IF(COUNTIF('مواد المخزون'!$A$2:$A$90,$C2866)&gt;0,"نعم","لا (خارج الجرد)"))</f>
        <v/>
      </c>
    </row>
    <row r="2867" customFormat="false" ht="15" hidden="false" customHeight="false" outlineLevel="0" collapsed="false">
      <c r="A2867" s="103"/>
      <c r="B2867" s="104"/>
      <c r="C2867" s="104"/>
      <c r="F2867" s="107" t="str">
        <f aca="false">IF(OR($C2867="",$D2867=0),"",$E2867/$D2867)</f>
        <v/>
      </c>
      <c r="H2867" s="0" t="str">
        <f aca="false">IF($C2867="","",IF(COUNTIF('مواد المخزون'!$A$2:$A$90,$C2867)&gt;0,"نعم","لا (خارج الجرد)"))</f>
        <v/>
      </c>
    </row>
    <row r="2868" customFormat="false" ht="15" hidden="false" customHeight="false" outlineLevel="0" collapsed="false">
      <c r="A2868" s="103"/>
      <c r="B2868" s="104"/>
      <c r="C2868" s="104"/>
      <c r="F2868" s="107" t="str">
        <f aca="false">IF(OR($C2868="",$D2868=0),"",$E2868/$D2868)</f>
        <v/>
      </c>
      <c r="H2868" s="0" t="str">
        <f aca="false">IF($C2868="","",IF(COUNTIF('مواد المخزون'!$A$2:$A$90,$C2868)&gt;0,"نعم","لا (خارج الجرد)"))</f>
        <v/>
      </c>
    </row>
    <row r="2869" customFormat="false" ht="15" hidden="false" customHeight="false" outlineLevel="0" collapsed="false">
      <c r="A2869" s="103"/>
      <c r="B2869" s="104"/>
      <c r="C2869" s="104"/>
      <c r="F2869" s="107" t="str">
        <f aca="false">IF(OR($C2869="",$D2869=0),"",$E2869/$D2869)</f>
        <v/>
      </c>
      <c r="H2869" s="0" t="str">
        <f aca="false">IF($C2869="","",IF(COUNTIF('مواد المخزون'!$A$2:$A$90,$C2869)&gt;0,"نعم","لا (خارج الجرد)"))</f>
        <v/>
      </c>
    </row>
    <row r="2870" customFormat="false" ht="15" hidden="false" customHeight="false" outlineLevel="0" collapsed="false">
      <c r="A2870" s="103"/>
      <c r="B2870" s="104"/>
      <c r="C2870" s="104"/>
      <c r="F2870" s="107" t="str">
        <f aca="false">IF(OR($C2870="",$D2870=0),"",$E2870/$D2870)</f>
        <v/>
      </c>
      <c r="H2870" s="0" t="str">
        <f aca="false">IF($C2870="","",IF(COUNTIF('مواد المخزون'!$A$2:$A$90,$C2870)&gt;0,"نعم","لا (خارج الجرد)"))</f>
        <v/>
      </c>
    </row>
    <row r="2871" customFormat="false" ht="15" hidden="false" customHeight="false" outlineLevel="0" collapsed="false">
      <c r="A2871" s="103"/>
      <c r="B2871" s="104"/>
      <c r="C2871" s="104"/>
      <c r="F2871" s="107" t="str">
        <f aca="false">IF(OR($C2871="",$D2871=0),"",$E2871/$D2871)</f>
        <v/>
      </c>
      <c r="H2871" s="0" t="str">
        <f aca="false">IF($C2871="","",IF(COUNTIF('مواد المخزون'!$A$2:$A$90,$C2871)&gt;0,"نعم","لا (خارج الجرد)"))</f>
        <v/>
      </c>
    </row>
    <row r="2872" customFormat="false" ht="15" hidden="false" customHeight="false" outlineLevel="0" collapsed="false">
      <c r="A2872" s="103"/>
      <c r="B2872" s="104"/>
      <c r="C2872" s="104"/>
      <c r="F2872" s="107" t="str">
        <f aca="false">IF(OR($C2872="",$D2872=0),"",$E2872/$D2872)</f>
        <v/>
      </c>
      <c r="H2872" s="0" t="str">
        <f aca="false">IF($C2872="","",IF(COUNTIF('مواد المخزون'!$A$2:$A$90,$C2872)&gt;0,"نعم","لا (خارج الجرد)"))</f>
        <v/>
      </c>
    </row>
    <row r="2873" customFormat="false" ht="15" hidden="false" customHeight="false" outlineLevel="0" collapsed="false">
      <c r="A2873" s="103"/>
      <c r="B2873" s="104"/>
      <c r="C2873" s="104"/>
      <c r="F2873" s="107" t="str">
        <f aca="false">IF(OR($C2873="",$D2873=0),"",$E2873/$D2873)</f>
        <v/>
      </c>
      <c r="H2873" s="0" t="str">
        <f aca="false">IF($C2873="","",IF(COUNTIF('مواد المخزون'!$A$2:$A$90,$C2873)&gt;0,"نعم","لا (خارج الجرد)"))</f>
        <v/>
      </c>
    </row>
    <row r="2874" customFormat="false" ht="15" hidden="false" customHeight="false" outlineLevel="0" collapsed="false">
      <c r="A2874" s="103"/>
      <c r="B2874" s="104"/>
      <c r="C2874" s="104"/>
      <c r="F2874" s="107" t="str">
        <f aca="false">IF(OR($C2874="",$D2874=0),"",$E2874/$D2874)</f>
        <v/>
      </c>
      <c r="H2874" s="0" t="str">
        <f aca="false">IF($C2874="","",IF(COUNTIF('مواد المخزون'!$A$2:$A$90,$C2874)&gt;0,"نعم","لا (خارج الجرد)"))</f>
        <v/>
      </c>
    </row>
    <row r="2875" customFormat="false" ht="15" hidden="false" customHeight="false" outlineLevel="0" collapsed="false">
      <c r="A2875" s="103"/>
      <c r="B2875" s="104"/>
      <c r="C2875" s="104"/>
      <c r="F2875" s="107" t="str">
        <f aca="false">IF(OR($C2875="",$D2875=0),"",$E2875/$D2875)</f>
        <v/>
      </c>
      <c r="H2875" s="0" t="str">
        <f aca="false">IF($C2875="","",IF(COUNTIF('مواد المخزون'!$A$2:$A$90,$C2875)&gt;0,"نعم","لا (خارج الجرد)"))</f>
        <v/>
      </c>
    </row>
    <row r="2876" customFormat="false" ht="15" hidden="false" customHeight="false" outlineLevel="0" collapsed="false">
      <c r="A2876" s="103"/>
      <c r="B2876" s="104"/>
      <c r="C2876" s="104"/>
      <c r="F2876" s="107" t="str">
        <f aca="false">IF(OR($C2876="",$D2876=0),"",$E2876/$D2876)</f>
        <v/>
      </c>
      <c r="H2876" s="0" t="str">
        <f aca="false">IF($C2876="","",IF(COUNTIF('مواد المخزون'!$A$2:$A$90,$C2876)&gt;0,"نعم","لا (خارج الجرد)"))</f>
        <v/>
      </c>
    </row>
    <row r="2877" customFormat="false" ht="15" hidden="false" customHeight="false" outlineLevel="0" collapsed="false">
      <c r="A2877" s="103"/>
      <c r="B2877" s="104"/>
      <c r="C2877" s="104"/>
      <c r="F2877" s="107" t="str">
        <f aca="false">IF(OR($C2877="",$D2877=0),"",$E2877/$D2877)</f>
        <v/>
      </c>
      <c r="H2877" s="0" t="str">
        <f aca="false">IF($C2877="","",IF(COUNTIF('مواد المخزون'!$A$2:$A$90,$C2877)&gt;0,"نعم","لا (خارج الجرد)"))</f>
        <v/>
      </c>
    </row>
    <row r="2878" customFormat="false" ht="15" hidden="false" customHeight="false" outlineLevel="0" collapsed="false">
      <c r="A2878" s="103"/>
      <c r="B2878" s="104"/>
      <c r="C2878" s="104"/>
      <c r="F2878" s="107" t="str">
        <f aca="false">IF(OR($C2878="",$D2878=0),"",$E2878/$D2878)</f>
        <v/>
      </c>
      <c r="H2878" s="0" t="str">
        <f aca="false">IF($C2878="","",IF(COUNTIF('مواد المخزون'!$A$2:$A$90,$C2878)&gt;0,"نعم","لا (خارج الجرد)"))</f>
        <v/>
      </c>
    </row>
    <row r="2879" customFormat="false" ht="15" hidden="false" customHeight="false" outlineLevel="0" collapsed="false">
      <c r="A2879" s="103"/>
      <c r="B2879" s="104"/>
      <c r="C2879" s="104"/>
      <c r="F2879" s="107" t="str">
        <f aca="false">IF(OR($C2879="",$D2879=0),"",$E2879/$D2879)</f>
        <v/>
      </c>
      <c r="H2879" s="0" t="str">
        <f aca="false">IF($C2879="","",IF(COUNTIF('مواد المخزون'!$A$2:$A$90,$C2879)&gt;0,"نعم","لا (خارج الجرد)"))</f>
        <v/>
      </c>
    </row>
    <row r="2880" customFormat="false" ht="15" hidden="false" customHeight="false" outlineLevel="0" collapsed="false">
      <c r="A2880" s="103"/>
      <c r="B2880" s="104"/>
      <c r="C2880" s="104"/>
      <c r="F2880" s="107" t="str">
        <f aca="false">IF(OR($C2880="",$D2880=0),"",$E2880/$D2880)</f>
        <v/>
      </c>
      <c r="H2880" s="0" t="str">
        <f aca="false">IF($C2880="","",IF(COUNTIF('مواد المخزون'!$A$2:$A$90,$C2880)&gt;0,"نعم","لا (خارج الجرد)"))</f>
        <v/>
      </c>
    </row>
    <row r="2881" customFormat="false" ht="15" hidden="false" customHeight="false" outlineLevel="0" collapsed="false">
      <c r="A2881" s="103"/>
      <c r="B2881" s="104"/>
      <c r="C2881" s="104"/>
      <c r="F2881" s="107" t="str">
        <f aca="false">IF(OR($C2881="",$D2881=0),"",$E2881/$D2881)</f>
        <v/>
      </c>
      <c r="H2881" s="0" t="str">
        <f aca="false">IF($C2881="","",IF(COUNTIF('مواد المخزون'!$A$2:$A$90,$C2881)&gt;0,"نعم","لا (خارج الجرد)"))</f>
        <v/>
      </c>
    </row>
    <row r="2882" customFormat="false" ht="15" hidden="false" customHeight="false" outlineLevel="0" collapsed="false">
      <c r="A2882" s="103"/>
      <c r="B2882" s="104"/>
      <c r="C2882" s="104"/>
      <c r="F2882" s="107" t="str">
        <f aca="false">IF(OR($C2882="",$D2882=0),"",$E2882/$D2882)</f>
        <v/>
      </c>
      <c r="H2882" s="0" t="str">
        <f aca="false">IF($C2882="","",IF(COUNTIF('مواد المخزون'!$A$2:$A$90,$C2882)&gt;0,"نعم","لا (خارج الجرد)"))</f>
        <v/>
      </c>
    </row>
    <row r="2883" customFormat="false" ht="15" hidden="false" customHeight="false" outlineLevel="0" collapsed="false">
      <c r="A2883" s="103"/>
      <c r="B2883" s="104"/>
      <c r="C2883" s="104"/>
      <c r="F2883" s="107" t="str">
        <f aca="false">IF(OR($C2883="",$D2883=0),"",$E2883/$D2883)</f>
        <v/>
      </c>
      <c r="H2883" s="0" t="str">
        <f aca="false">IF($C2883="","",IF(COUNTIF('مواد المخزون'!$A$2:$A$90,$C2883)&gt;0,"نعم","لا (خارج الجرد)"))</f>
        <v/>
      </c>
    </row>
    <row r="2884" customFormat="false" ht="15" hidden="false" customHeight="false" outlineLevel="0" collapsed="false">
      <c r="A2884" s="103"/>
      <c r="B2884" s="104"/>
      <c r="C2884" s="104"/>
      <c r="F2884" s="107" t="str">
        <f aca="false">IF(OR($C2884="",$D2884=0),"",$E2884/$D2884)</f>
        <v/>
      </c>
      <c r="H2884" s="0" t="str">
        <f aca="false">IF($C2884="","",IF(COUNTIF('مواد المخزون'!$A$2:$A$90,$C2884)&gt;0,"نعم","لا (خارج الجرد)"))</f>
        <v/>
      </c>
    </row>
    <row r="2885" customFormat="false" ht="15" hidden="false" customHeight="false" outlineLevel="0" collapsed="false">
      <c r="A2885" s="103"/>
      <c r="B2885" s="104"/>
      <c r="C2885" s="104"/>
      <c r="F2885" s="107" t="str">
        <f aca="false">IF(OR($C2885="",$D2885=0),"",$E2885/$D2885)</f>
        <v/>
      </c>
      <c r="H2885" s="0" t="str">
        <f aca="false">IF($C2885="","",IF(COUNTIF('مواد المخزون'!$A$2:$A$90,$C2885)&gt;0,"نعم","لا (خارج الجرد)"))</f>
        <v/>
      </c>
    </row>
    <row r="2886" customFormat="false" ht="15" hidden="false" customHeight="false" outlineLevel="0" collapsed="false">
      <c r="A2886" s="103"/>
      <c r="B2886" s="104"/>
      <c r="C2886" s="104"/>
      <c r="F2886" s="107" t="str">
        <f aca="false">IF(OR($C2886="",$D2886=0),"",$E2886/$D2886)</f>
        <v/>
      </c>
      <c r="H2886" s="0" t="str">
        <f aca="false">IF($C2886="","",IF(COUNTIF('مواد المخزون'!$A$2:$A$90,$C2886)&gt;0,"نعم","لا (خارج الجرد)"))</f>
        <v/>
      </c>
    </row>
    <row r="2887" customFormat="false" ht="15" hidden="false" customHeight="false" outlineLevel="0" collapsed="false">
      <c r="A2887" s="103"/>
      <c r="B2887" s="104"/>
      <c r="C2887" s="104"/>
      <c r="F2887" s="107" t="str">
        <f aca="false">IF(OR($C2887="",$D2887=0),"",$E2887/$D2887)</f>
        <v/>
      </c>
      <c r="H2887" s="0" t="str">
        <f aca="false">IF($C2887="","",IF(COUNTIF('مواد المخزون'!$A$2:$A$90,$C2887)&gt;0,"نعم","لا (خارج الجرد)"))</f>
        <v/>
      </c>
    </row>
    <row r="2888" customFormat="false" ht="15" hidden="false" customHeight="false" outlineLevel="0" collapsed="false">
      <c r="A2888" s="103"/>
      <c r="B2888" s="104"/>
      <c r="C2888" s="104"/>
      <c r="F2888" s="107" t="str">
        <f aca="false">IF(OR($C2888="",$D2888=0),"",$E2888/$D2888)</f>
        <v/>
      </c>
      <c r="H2888" s="0" t="str">
        <f aca="false">IF($C2888="","",IF(COUNTIF('مواد المخزون'!$A$2:$A$90,$C2888)&gt;0,"نعم","لا (خارج الجرد)"))</f>
        <v/>
      </c>
    </row>
    <row r="2889" customFormat="false" ht="15" hidden="false" customHeight="false" outlineLevel="0" collapsed="false">
      <c r="A2889" s="103"/>
      <c r="B2889" s="104"/>
      <c r="C2889" s="104"/>
      <c r="F2889" s="107" t="str">
        <f aca="false">IF(OR($C2889="",$D2889=0),"",$E2889/$D2889)</f>
        <v/>
      </c>
      <c r="H2889" s="0" t="str">
        <f aca="false">IF($C2889="","",IF(COUNTIF('مواد المخزون'!$A$2:$A$90,$C2889)&gt;0,"نعم","لا (خارج الجرد)"))</f>
        <v/>
      </c>
    </row>
    <row r="2890" customFormat="false" ht="15" hidden="false" customHeight="false" outlineLevel="0" collapsed="false">
      <c r="A2890" s="103"/>
      <c r="B2890" s="104"/>
      <c r="C2890" s="104"/>
      <c r="F2890" s="107" t="str">
        <f aca="false">IF(OR($C2890="",$D2890=0),"",$E2890/$D2890)</f>
        <v/>
      </c>
      <c r="H2890" s="0" t="str">
        <f aca="false">IF($C2890="","",IF(COUNTIF('مواد المخزون'!$A$2:$A$90,$C2890)&gt;0,"نعم","لا (خارج الجرد)"))</f>
        <v/>
      </c>
    </row>
    <row r="2891" customFormat="false" ht="15" hidden="false" customHeight="false" outlineLevel="0" collapsed="false">
      <c r="A2891" s="103"/>
      <c r="B2891" s="104"/>
      <c r="C2891" s="104"/>
      <c r="F2891" s="107" t="str">
        <f aca="false">IF(OR($C2891="",$D2891=0),"",$E2891/$D2891)</f>
        <v/>
      </c>
      <c r="H2891" s="0" t="str">
        <f aca="false">IF($C2891="","",IF(COUNTIF('مواد المخزون'!$A$2:$A$90,$C2891)&gt;0,"نعم","لا (خارج الجرد)"))</f>
        <v/>
      </c>
    </row>
    <row r="2892" customFormat="false" ht="15" hidden="false" customHeight="false" outlineLevel="0" collapsed="false">
      <c r="A2892" s="103"/>
      <c r="B2892" s="104"/>
      <c r="C2892" s="104"/>
      <c r="F2892" s="107" t="str">
        <f aca="false">IF(OR($C2892="",$D2892=0),"",$E2892/$D2892)</f>
        <v/>
      </c>
      <c r="H2892" s="0" t="str">
        <f aca="false">IF($C2892="","",IF(COUNTIF('مواد المخزون'!$A$2:$A$90,$C2892)&gt;0,"نعم","لا (خارج الجرد)"))</f>
        <v/>
      </c>
    </row>
    <row r="2893" customFormat="false" ht="15" hidden="false" customHeight="false" outlineLevel="0" collapsed="false">
      <c r="A2893" s="103"/>
      <c r="B2893" s="104"/>
      <c r="C2893" s="104"/>
      <c r="F2893" s="107" t="str">
        <f aca="false">IF(OR($C2893="",$D2893=0),"",$E2893/$D2893)</f>
        <v/>
      </c>
      <c r="H2893" s="0" t="str">
        <f aca="false">IF($C2893="","",IF(COUNTIF('مواد المخزون'!$A$2:$A$90,$C2893)&gt;0,"نعم","لا (خارج الجرد)"))</f>
        <v/>
      </c>
    </row>
    <row r="2894" customFormat="false" ht="15" hidden="false" customHeight="false" outlineLevel="0" collapsed="false">
      <c r="A2894" s="103"/>
      <c r="B2894" s="104"/>
      <c r="C2894" s="104"/>
      <c r="F2894" s="107" t="str">
        <f aca="false">IF(OR($C2894="",$D2894=0),"",$E2894/$D2894)</f>
        <v/>
      </c>
      <c r="H2894" s="0" t="str">
        <f aca="false">IF($C2894="","",IF(COUNTIF('مواد المخزون'!$A$2:$A$90,$C2894)&gt;0,"نعم","لا (خارج الجرد)"))</f>
        <v/>
      </c>
    </row>
    <row r="2895" customFormat="false" ht="15" hidden="false" customHeight="false" outlineLevel="0" collapsed="false">
      <c r="A2895" s="103"/>
      <c r="B2895" s="104"/>
      <c r="C2895" s="104"/>
      <c r="F2895" s="107" t="str">
        <f aca="false">IF(OR($C2895="",$D2895=0),"",$E2895/$D2895)</f>
        <v/>
      </c>
      <c r="H2895" s="0" t="str">
        <f aca="false">IF($C2895="","",IF(COUNTIF('مواد المخزون'!$A$2:$A$90,$C2895)&gt;0,"نعم","لا (خارج الجرد)"))</f>
        <v/>
      </c>
    </row>
    <row r="2896" customFormat="false" ht="15" hidden="false" customHeight="false" outlineLevel="0" collapsed="false">
      <c r="A2896" s="103"/>
      <c r="B2896" s="104"/>
      <c r="C2896" s="104"/>
      <c r="F2896" s="107" t="str">
        <f aca="false">IF(OR($C2896="",$D2896=0),"",$E2896/$D2896)</f>
        <v/>
      </c>
      <c r="H2896" s="0" t="str">
        <f aca="false">IF($C2896="","",IF(COUNTIF('مواد المخزون'!$A$2:$A$90,$C2896)&gt;0,"نعم","لا (خارج الجرد)"))</f>
        <v/>
      </c>
    </row>
    <row r="2897" customFormat="false" ht="15" hidden="false" customHeight="false" outlineLevel="0" collapsed="false">
      <c r="A2897" s="103"/>
      <c r="B2897" s="104"/>
      <c r="C2897" s="104"/>
      <c r="F2897" s="107" t="str">
        <f aca="false">IF(OR($C2897="",$D2897=0),"",$E2897/$D2897)</f>
        <v/>
      </c>
      <c r="H2897" s="0" t="str">
        <f aca="false">IF($C2897="","",IF(COUNTIF('مواد المخزون'!$A$2:$A$90,$C2897)&gt;0,"نعم","لا (خارج الجرد)"))</f>
        <v/>
      </c>
    </row>
    <row r="2898" customFormat="false" ht="15" hidden="false" customHeight="false" outlineLevel="0" collapsed="false">
      <c r="A2898" s="103"/>
      <c r="B2898" s="104"/>
      <c r="C2898" s="104"/>
      <c r="F2898" s="107" t="str">
        <f aca="false">IF(OR($C2898="",$D2898=0),"",$E2898/$D2898)</f>
        <v/>
      </c>
      <c r="H2898" s="0" t="str">
        <f aca="false">IF($C2898="","",IF(COUNTIF('مواد المخزون'!$A$2:$A$90,$C2898)&gt;0,"نعم","لا (خارج الجرد)"))</f>
        <v/>
      </c>
    </row>
    <row r="2899" customFormat="false" ht="15" hidden="false" customHeight="false" outlineLevel="0" collapsed="false">
      <c r="A2899" s="103"/>
      <c r="B2899" s="104"/>
      <c r="C2899" s="104"/>
      <c r="F2899" s="107" t="str">
        <f aca="false">IF(OR($C2899="",$D2899=0),"",$E2899/$D2899)</f>
        <v/>
      </c>
      <c r="H2899" s="0" t="str">
        <f aca="false">IF($C2899="","",IF(COUNTIF('مواد المخزون'!$A$2:$A$90,$C2899)&gt;0,"نعم","لا (خارج الجرد)"))</f>
        <v/>
      </c>
    </row>
    <row r="2900" customFormat="false" ht="15" hidden="false" customHeight="false" outlineLevel="0" collapsed="false">
      <c r="A2900" s="103"/>
      <c r="B2900" s="104"/>
      <c r="C2900" s="104"/>
      <c r="F2900" s="107" t="str">
        <f aca="false">IF(OR($C2900="",$D2900=0),"",$E2900/$D2900)</f>
        <v/>
      </c>
      <c r="H2900" s="0" t="str">
        <f aca="false">IF($C2900="","",IF(COUNTIF('مواد المخزون'!$A$2:$A$90,$C2900)&gt;0,"نعم","لا (خارج الجرد)"))</f>
        <v/>
      </c>
    </row>
    <row r="2901" customFormat="false" ht="15" hidden="false" customHeight="false" outlineLevel="0" collapsed="false">
      <c r="A2901" s="103"/>
      <c r="B2901" s="104"/>
      <c r="C2901" s="104"/>
      <c r="F2901" s="107" t="str">
        <f aca="false">IF(OR($C2901="",$D2901=0),"",$E2901/$D2901)</f>
        <v/>
      </c>
      <c r="H2901" s="0" t="str">
        <f aca="false">IF($C2901="","",IF(COUNTIF('مواد المخزون'!$A$2:$A$90,$C2901)&gt;0,"نعم","لا (خارج الجرد)"))</f>
        <v/>
      </c>
    </row>
    <row r="2902" customFormat="false" ht="15" hidden="false" customHeight="false" outlineLevel="0" collapsed="false">
      <c r="A2902" s="103"/>
      <c r="B2902" s="104"/>
      <c r="C2902" s="104"/>
      <c r="F2902" s="107" t="str">
        <f aca="false">IF(OR($C2902="",$D2902=0),"",$E2902/$D2902)</f>
        <v/>
      </c>
      <c r="H2902" s="0" t="str">
        <f aca="false">IF($C2902="","",IF(COUNTIF('مواد المخزون'!$A$2:$A$90,$C2902)&gt;0,"نعم","لا (خارج الجرد)"))</f>
        <v/>
      </c>
    </row>
    <row r="2903" customFormat="false" ht="15" hidden="false" customHeight="false" outlineLevel="0" collapsed="false">
      <c r="A2903" s="103"/>
      <c r="B2903" s="104"/>
      <c r="C2903" s="104"/>
      <c r="F2903" s="107" t="str">
        <f aca="false">IF(OR($C2903="",$D2903=0),"",$E2903/$D2903)</f>
        <v/>
      </c>
      <c r="H2903" s="0" t="str">
        <f aca="false">IF($C2903="","",IF(COUNTIF('مواد المخزون'!$A$2:$A$90,$C2903)&gt;0,"نعم","لا (خارج الجرد)"))</f>
        <v/>
      </c>
    </row>
    <row r="2904" customFormat="false" ht="15" hidden="false" customHeight="false" outlineLevel="0" collapsed="false">
      <c r="A2904" s="103"/>
      <c r="B2904" s="104"/>
      <c r="C2904" s="104"/>
      <c r="F2904" s="107" t="str">
        <f aca="false">IF(OR($C2904="",$D2904=0),"",$E2904/$D2904)</f>
        <v/>
      </c>
      <c r="H2904" s="0" t="str">
        <f aca="false">IF($C2904="","",IF(COUNTIF('مواد المخزون'!$A$2:$A$90,$C2904)&gt;0,"نعم","لا (خارج الجرد)"))</f>
        <v/>
      </c>
    </row>
    <row r="2905" customFormat="false" ht="15" hidden="false" customHeight="false" outlineLevel="0" collapsed="false">
      <c r="A2905" s="103"/>
      <c r="B2905" s="104"/>
      <c r="C2905" s="104"/>
      <c r="F2905" s="107" t="str">
        <f aca="false">IF(OR($C2905="",$D2905=0),"",$E2905/$D2905)</f>
        <v/>
      </c>
      <c r="H2905" s="0" t="str">
        <f aca="false">IF($C2905="","",IF(COUNTIF('مواد المخزون'!$A$2:$A$90,$C2905)&gt;0,"نعم","لا (خارج الجرد)"))</f>
        <v/>
      </c>
    </row>
    <row r="2906" customFormat="false" ht="15" hidden="false" customHeight="false" outlineLevel="0" collapsed="false">
      <c r="A2906" s="103"/>
      <c r="B2906" s="104"/>
      <c r="C2906" s="104"/>
      <c r="F2906" s="107" t="str">
        <f aca="false">IF(OR($C2906="",$D2906=0),"",$E2906/$D2906)</f>
        <v/>
      </c>
      <c r="H2906" s="0" t="str">
        <f aca="false">IF($C2906="","",IF(COUNTIF('مواد المخزون'!$A$2:$A$90,$C2906)&gt;0,"نعم","لا (خارج الجرد)"))</f>
        <v/>
      </c>
    </row>
    <row r="2907" customFormat="false" ht="15" hidden="false" customHeight="false" outlineLevel="0" collapsed="false">
      <c r="A2907" s="103"/>
      <c r="B2907" s="104"/>
      <c r="C2907" s="104"/>
      <c r="F2907" s="107" t="str">
        <f aca="false">IF(OR($C2907="",$D2907=0),"",$E2907/$D2907)</f>
        <v/>
      </c>
      <c r="H2907" s="0" t="str">
        <f aca="false">IF($C2907="","",IF(COUNTIF('مواد المخزون'!$A$2:$A$90,$C2907)&gt;0,"نعم","لا (خارج الجرد)"))</f>
        <v/>
      </c>
    </row>
    <row r="2908" customFormat="false" ht="15" hidden="false" customHeight="false" outlineLevel="0" collapsed="false">
      <c r="A2908" s="103"/>
      <c r="B2908" s="104"/>
      <c r="C2908" s="104"/>
      <c r="F2908" s="107" t="str">
        <f aca="false">IF(OR($C2908="",$D2908=0),"",$E2908/$D2908)</f>
        <v/>
      </c>
      <c r="H2908" s="0" t="str">
        <f aca="false">IF($C2908="","",IF(COUNTIF('مواد المخزون'!$A$2:$A$90,$C2908)&gt;0,"نعم","لا (خارج الجرد)"))</f>
        <v/>
      </c>
    </row>
    <row r="2909" customFormat="false" ht="15" hidden="false" customHeight="false" outlineLevel="0" collapsed="false">
      <c r="A2909" s="103"/>
      <c r="B2909" s="104"/>
      <c r="C2909" s="104"/>
      <c r="F2909" s="107" t="str">
        <f aca="false">IF(OR($C2909="",$D2909=0),"",$E2909/$D2909)</f>
        <v/>
      </c>
      <c r="H2909" s="0" t="str">
        <f aca="false">IF($C2909="","",IF(COUNTIF('مواد المخزون'!$A$2:$A$90,$C2909)&gt;0,"نعم","لا (خارج الجرد)"))</f>
        <v/>
      </c>
    </row>
    <row r="2910" customFormat="false" ht="15" hidden="false" customHeight="false" outlineLevel="0" collapsed="false">
      <c r="A2910" s="103"/>
      <c r="B2910" s="104"/>
      <c r="C2910" s="104"/>
      <c r="F2910" s="107" t="str">
        <f aca="false">IF(OR($C2910="",$D2910=0),"",$E2910/$D2910)</f>
        <v/>
      </c>
      <c r="H2910" s="0" t="str">
        <f aca="false">IF($C2910="","",IF(COUNTIF('مواد المخزون'!$A$2:$A$90,$C2910)&gt;0,"نعم","لا (خارج الجرد)"))</f>
        <v/>
      </c>
    </row>
    <row r="2911" customFormat="false" ht="15" hidden="false" customHeight="false" outlineLevel="0" collapsed="false">
      <c r="A2911" s="103"/>
      <c r="B2911" s="104"/>
      <c r="C2911" s="104"/>
      <c r="F2911" s="107" t="str">
        <f aca="false">IF(OR($C2911="",$D2911=0),"",$E2911/$D2911)</f>
        <v/>
      </c>
      <c r="H2911" s="0" t="str">
        <f aca="false">IF($C2911="","",IF(COUNTIF('مواد المخزون'!$A$2:$A$90,$C2911)&gt;0,"نعم","لا (خارج الجرد)"))</f>
        <v/>
      </c>
    </row>
    <row r="2912" customFormat="false" ht="15" hidden="false" customHeight="false" outlineLevel="0" collapsed="false">
      <c r="A2912" s="103"/>
      <c r="B2912" s="104"/>
      <c r="C2912" s="104"/>
      <c r="F2912" s="107" t="str">
        <f aca="false">IF(OR($C2912="",$D2912=0),"",$E2912/$D2912)</f>
        <v/>
      </c>
      <c r="H2912" s="0" t="str">
        <f aca="false">IF($C2912="","",IF(COUNTIF('مواد المخزون'!$A$2:$A$90,$C2912)&gt;0,"نعم","لا (خارج الجرد)"))</f>
        <v/>
      </c>
    </row>
    <row r="2913" customFormat="false" ht="15" hidden="false" customHeight="false" outlineLevel="0" collapsed="false">
      <c r="A2913" s="103"/>
      <c r="B2913" s="104"/>
      <c r="C2913" s="104"/>
      <c r="F2913" s="107" t="str">
        <f aca="false">IF(OR($C2913="",$D2913=0),"",$E2913/$D2913)</f>
        <v/>
      </c>
      <c r="H2913" s="0" t="str">
        <f aca="false">IF($C2913="","",IF(COUNTIF('مواد المخزون'!$A$2:$A$90,$C2913)&gt;0,"نعم","لا (خارج الجرد)"))</f>
        <v/>
      </c>
    </row>
    <row r="2914" customFormat="false" ht="15" hidden="false" customHeight="false" outlineLevel="0" collapsed="false">
      <c r="A2914" s="103"/>
      <c r="B2914" s="104"/>
      <c r="C2914" s="104"/>
      <c r="F2914" s="107" t="str">
        <f aca="false">IF(OR($C2914="",$D2914=0),"",$E2914/$D2914)</f>
        <v/>
      </c>
      <c r="H2914" s="0" t="str">
        <f aca="false">IF($C2914="","",IF(COUNTIF('مواد المخزون'!$A$2:$A$90,$C2914)&gt;0,"نعم","لا (خارج الجرد)"))</f>
        <v/>
      </c>
    </row>
    <row r="2915" customFormat="false" ht="15" hidden="false" customHeight="false" outlineLevel="0" collapsed="false">
      <c r="A2915" s="103"/>
      <c r="B2915" s="104"/>
      <c r="C2915" s="104"/>
      <c r="F2915" s="107" t="str">
        <f aca="false">IF(OR($C2915="",$D2915=0),"",$E2915/$D2915)</f>
        <v/>
      </c>
      <c r="H2915" s="0" t="str">
        <f aca="false">IF($C2915="","",IF(COUNTIF('مواد المخزون'!$A$2:$A$90,$C2915)&gt;0,"نعم","لا (خارج الجرد)"))</f>
        <v/>
      </c>
    </row>
    <row r="2916" customFormat="false" ht="15" hidden="false" customHeight="false" outlineLevel="0" collapsed="false">
      <c r="A2916" s="103"/>
      <c r="B2916" s="104"/>
      <c r="C2916" s="104"/>
      <c r="F2916" s="107" t="str">
        <f aca="false">IF(OR($C2916="",$D2916=0),"",$E2916/$D2916)</f>
        <v/>
      </c>
      <c r="H2916" s="0" t="str">
        <f aca="false">IF($C2916="","",IF(COUNTIF('مواد المخزون'!$A$2:$A$90,$C2916)&gt;0,"نعم","لا (خارج الجرد)"))</f>
        <v/>
      </c>
    </row>
    <row r="2917" customFormat="false" ht="15" hidden="false" customHeight="false" outlineLevel="0" collapsed="false">
      <c r="A2917" s="103"/>
      <c r="B2917" s="104"/>
      <c r="C2917" s="104"/>
      <c r="F2917" s="107" t="str">
        <f aca="false">IF(OR($C2917="",$D2917=0),"",$E2917/$D2917)</f>
        <v/>
      </c>
      <c r="H2917" s="0" t="str">
        <f aca="false">IF($C2917="","",IF(COUNTIF('مواد المخزون'!$A$2:$A$90,$C2917)&gt;0,"نعم","لا (خارج الجرد)"))</f>
        <v/>
      </c>
    </row>
    <row r="2918" customFormat="false" ht="15" hidden="false" customHeight="false" outlineLevel="0" collapsed="false">
      <c r="A2918" s="103"/>
      <c r="B2918" s="104"/>
      <c r="C2918" s="104"/>
      <c r="F2918" s="107" t="str">
        <f aca="false">IF(OR($C2918="",$D2918=0),"",$E2918/$D2918)</f>
        <v/>
      </c>
      <c r="H2918" s="0" t="str">
        <f aca="false">IF($C2918="","",IF(COUNTIF('مواد المخزون'!$A$2:$A$90,$C2918)&gt;0,"نعم","لا (خارج الجرد)"))</f>
        <v/>
      </c>
    </row>
    <row r="2919" customFormat="false" ht="15" hidden="false" customHeight="false" outlineLevel="0" collapsed="false">
      <c r="A2919" s="103"/>
      <c r="B2919" s="104"/>
      <c r="C2919" s="104"/>
      <c r="F2919" s="107" t="str">
        <f aca="false">IF(OR($C2919="",$D2919=0),"",$E2919/$D2919)</f>
        <v/>
      </c>
      <c r="H2919" s="0" t="str">
        <f aca="false">IF($C2919="","",IF(COUNTIF('مواد المخزون'!$A$2:$A$90,$C2919)&gt;0,"نعم","لا (خارج الجرد)"))</f>
        <v/>
      </c>
    </row>
    <row r="2920" customFormat="false" ht="15" hidden="false" customHeight="false" outlineLevel="0" collapsed="false">
      <c r="A2920" s="103"/>
      <c r="B2920" s="104"/>
      <c r="C2920" s="104"/>
      <c r="F2920" s="107" t="str">
        <f aca="false">IF(OR($C2920="",$D2920=0),"",$E2920/$D2920)</f>
        <v/>
      </c>
      <c r="H2920" s="0" t="str">
        <f aca="false">IF($C2920="","",IF(COUNTIF('مواد المخزون'!$A$2:$A$90,$C2920)&gt;0,"نعم","لا (خارج الجرد)"))</f>
        <v/>
      </c>
    </row>
    <row r="2921" customFormat="false" ht="15" hidden="false" customHeight="false" outlineLevel="0" collapsed="false">
      <c r="A2921" s="103"/>
      <c r="B2921" s="104"/>
      <c r="C2921" s="104"/>
      <c r="F2921" s="107" t="str">
        <f aca="false">IF(OR($C2921="",$D2921=0),"",$E2921/$D2921)</f>
        <v/>
      </c>
      <c r="H2921" s="0" t="str">
        <f aca="false">IF($C2921="","",IF(COUNTIF('مواد المخزون'!$A$2:$A$90,$C2921)&gt;0,"نعم","لا (خارج الجرد)"))</f>
        <v/>
      </c>
    </row>
    <row r="2922" customFormat="false" ht="15" hidden="false" customHeight="false" outlineLevel="0" collapsed="false">
      <c r="A2922" s="103"/>
      <c r="B2922" s="104"/>
      <c r="C2922" s="104"/>
      <c r="F2922" s="107" t="str">
        <f aca="false">IF(OR($C2922="",$D2922=0),"",$E2922/$D2922)</f>
        <v/>
      </c>
      <c r="H2922" s="0" t="str">
        <f aca="false">IF($C2922="","",IF(COUNTIF('مواد المخزون'!$A$2:$A$90,$C2922)&gt;0,"نعم","لا (خارج الجرد)"))</f>
        <v/>
      </c>
    </row>
    <row r="2923" customFormat="false" ht="15" hidden="false" customHeight="false" outlineLevel="0" collapsed="false">
      <c r="A2923" s="103"/>
      <c r="B2923" s="104"/>
      <c r="C2923" s="104"/>
      <c r="F2923" s="107" t="str">
        <f aca="false">IF(OR($C2923="",$D2923=0),"",$E2923/$D2923)</f>
        <v/>
      </c>
      <c r="H2923" s="0" t="str">
        <f aca="false">IF($C2923="","",IF(COUNTIF('مواد المخزون'!$A$2:$A$90,$C2923)&gt;0,"نعم","لا (خارج الجرد)"))</f>
        <v/>
      </c>
    </row>
    <row r="2924" customFormat="false" ht="15" hidden="false" customHeight="false" outlineLevel="0" collapsed="false">
      <c r="A2924" s="103"/>
      <c r="B2924" s="104"/>
      <c r="C2924" s="104"/>
      <c r="F2924" s="107" t="str">
        <f aca="false">IF(OR($C2924="",$D2924=0),"",$E2924/$D2924)</f>
        <v/>
      </c>
      <c r="H2924" s="0" t="str">
        <f aca="false">IF($C2924="","",IF(COUNTIF('مواد المخزون'!$A$2:$A$90,$C2924)&gt;0,"نعم","لا (خارج الجرد)"))</f>
        <v/>
      </c>
    </row>
    <row r="2925" customFormat="false" ht="15" hidden="false" customHeight="false" outlineLevel="0" collapsed="false">
      <c r="A2925" s="103"/>
      <c r="B2925" s="104"/>
      <c r="C2925" s="104"/>
      <c r="F2925" s="107" t="str">
        <f aca="false">IF(OR($C2925="",$D2925=0),"",$E2925/$D2925)</f>
        <v/>
      </c>
      <c r="H2925" s="0" t="str">
        <f aca="false">IF($C2925="","",IF(COUNTIF('مواد المخزون'!$A$2:$A$90,$C2925)&gt;0,"نعم","لا (خارج الجرد)"))</f>
        <v/>
      </c>
    </row>
    <row r="2926" customFormat="false" ht="15" hidden="false" customHeight="false" outlineLevel="0" collapsed="false">
      <c r="A2926" s="103"/>
      <c r="B2926" s="104"/>
      <c r="C2926" s="104"/>
      <c r="F2926" s="107" t="str">
        <f aca="false">IF(OR($C2926="",$D2926=0),"",$E2926/$D2926)</f>
        <v/>
      </c>
      <c r="H2926" s="0" t="str">
        <f aca="false">IF($C2926="","",IF(COUNTIF('مواد المخزون'!$A$2:$A$90,$C2926)&gt;0,"نعم","لا (خارج الجرد)"))</f>
        <v/>
      </c>
    </row>
    <row r="2927" customFormat="false" ht="15" hidden="false" customHeight="false" outlineLevel="0" collapsed="false">
      <c r="A2927" s="103"/>
      <c r="B2927" s="104"/>
      <c r="C2927" s="104"/>
      <c r="F2927" s="107" t="str">
        <f aca="false">IF(OR($C2927="",$D2927=0),"",$E2927/$D2927)</f>
        <v/>
      </c>
      <c r="H2927" s="0" t="str">
        <f aca="false">IF($C2927="","",IF(COUNTIF('مواد المخزون'!$A$2:$A$90,$C2927)&gt;0,"نعم","لا (خارج الجرد)"))</f>
        <v/>
      </c>
    </row>
    <row r="2928" customFormat="false" ht="15" hidden="false" customHeight="false" outlineLevel="0" collapsed="false">
      <c r="A2928" s="103"/>
      <c r="B2928" s="104"/>
      <c r="C2928" s="104"/>
      <c r="F2928" s="107" t="str">
        <f aca="false">IF(OR($C2928="",$D2928=0),"",$E2928/$D2928)</f>
        <v/>
      </c>
      <c r="H2928" s="0" t="str">
        <f aca="false">IF($C2928="","",IF(COUNTIF('مواد المخزون'!$A$2:$A$90,$C2928)&gt;0,"نعم","لا (خارج الجرد)"))</f>
        <v/>
      </c>
    </row>
    <row r="2929" customFormat="false" ht="15" hidden="false" customHeight="false" outlineLevel="0" collapsed="false">
      <c r="A2929" s="103"/>
      <c r="B2929" s="104"/>
      <c r="C2929" s="104"/>
      <c r="F2929" s="107" t="str">
        <f aca="false">IF(OR($C2929="",$D2929=0),"",$E2929/$D2929)</f>
        <v/>
      </c>
      <c r="H2929" s="0" t="str">
        <f aca="false">IF($C2929="","",IF(COUNTIF('مواد المخزون'!$A$2:$A$90,$C2929)&gt;0,"نعم","لا (خارج الجرد)"))</f>
        <v/>
      </c>
    </row>
    <row r="2930" customFormat="false" ht="15" hidden="false" customHeight="false" outlineLevel="0" collapsed="false">
      <c r="A2930" s="103"/>
      <c r="B2930" s="104"/>
      <c r="C2930" s="104"/>
      <c r="F2930" s="107" t="str">
        <f aca="false">IF(OR($C2930="",$D2930=0),"",$E2930/$D2930)</f>
        <v/>
      </c>
      <c r="H2930" s="0" t="str">
        <f aca="false">IF($C2930="","",IF(COUNTIF('مواد المخزون'!$A$2:$A$90,$C2930)&gt;0,"نعم","لا (خارج الجرد)"))</f>
        <v/>
      </c>
    </row>
    <row r="2931" customFormat="false" ht="15" hidden="false" customHeight="false" outlineLevel="0" collapsed="false">
      <c r="A2931" s="103"/>
      <c r="B2931" s="104"/>
      <c r="C2931" s="104"/>
      <c r="F2931" s="107" t="str">
        <f aca="false">IF(OR($C2931="",$D2931=0),"",$E2931/$D2931)</f>
        <v/>
      </c>
      <c r="H2931" s="0" t="str">
        <f aca="false">IF($C2931="","",IF(COUNTIF('مواد المخزون'!$A$2:$A$90,$C2931)&gt;0,"نعم","لا (خارج الجرد)"))</f>
        <v/>
      </c>
    </row>
    <row r="2932" customFormat="false" ht="15" hidden="false" customHeight="false" outlineLevel="0" collapsed="false">
      <c r="A2932" s="103"/>
      <c r="B2932" s="104"/>
      <c r="C2932" s="104"/>
      <c r="F2932" s="107" t="str">
        <f aca="false">IF(OR($C2932="",$D2932=0),"",$E2932/$D2932)</f>
        <v/>
      </c>
      <c r="H2932" s="0" t="str">
        <f aca="false">IF($C2932="","",IF(COUNTIF('مواد المخزون'!$A$2:$A$90,$C2932)&gt;0,"نعم","لا (خارج الجرد)"))</f>
        <v/>
      </c>
    </row>
    <row r="2933" customFormat="false" ht="15" hidden="false" customHeight="false" outlineLevel="0" collapsed="false">
      <c r="A2933" s="103"/>
      <c r="B2933" s="104"/>
      <c r="C2933" s="104"/>
      <c r="F2933" s="107" t="str">
        <f aca="false">IF(OR($C2933="",$D2933=0),"",$E2933/$D2933)</f>
        <v/>
      </c>
      <c r="H2933" s="0" t="str">
        <f aca="false">IF($C2933="","",IF(COUNTIF('مواد المخزون'!$A$2:$A$90,$C2933)&gt;0,"نعم","لا (خارج الجرد)"))</f>
        <v/>
      </c>
    </row>
    <row r="2934" customFormat="false" ht="15" hidden="false" customHeight="false" outlineLevel="0" collapsed="false">
      <c r="A2934" s="103"/>
      <c r="B2934" s="104"/>
      <c r="C2934" s="104"/>
      <c r="F2934" s="107" t="str">
        <f aca="false">IF(OR($C2934="",$D2934=0),"",$E2934/$D2934)</f>
        <v/>
      </c>
      <c r="H2934" s="0" t="str">
        <f aca="false">IF($C2934="","",IF(COUNTIF('مواد المخزون'!$A$2:$A$90,$C2934)&gt;0,"نعم","لا (خارج الجرد)"))</f>
        <v/>
      </c>
    </row>
    <row r="2935" customFormat="false" ht="15" hidden="false" customHeight="false" outlineLevel="0" collapsed="false">
      <c r="A2935" s="103"/>
      <c r="B2935" s="104"/>
      <c r="C2935" s="104"/>
      <c r="F2935" s="107" t="str">
        <f aca="false">IF(OR($C2935="",$D2935=0),"",$E2935/$D2935)</f>
        <v/>
      </c>
      <c r="H2935" s="0" t="str">
        <f aca="false">IF($C2935="","",IF(COUNTIF('مواد المخزون'!$A$2:$A$90,$C2935)&gt;0,"نعم","لا (خارج الجرد)"))</f>
        <v/>
      </c>
    </row>
    <row r="2936" customFormat="false" ht="15" hidden="false" customHeight="false" outlineLevel="0" collapsed="false">
      <c r="A2936" s="103"/>
      <c r="B2936" s="104"/>
      <c r="C2936" s="104"/>
      <c r="F2936" s="107" t="str">
        <f aca="false">IF(OR($C2936="",$D2936=0),"",$E2936/$D2936)</f>
        <v/>
      </c>
      <c r="H2936" s="0" t="str">
        <f aca="false">IF($C2936="","",IF(COUNTIF('مواد المخزون'!$A$2:$A$90,$C2936)&gt;0,"نعم","لا (خارج الجرد)"))</f>
        <v/>
      </c>
    </row>
    <row r="2937" customFormat="false" ht="15" hidden="false" customHeight="false" outlineLevel="0" collapsed="false">
      <c r="A2937" s="103"/>
      <c r="B2937" s="104"/>
      <c r="C2937" s="104"/>
      <c r="F2937" s="107" t="str">
        <f aca="false">IF(OR($C2937="",$D2937=0),"",$E2937/$D2937)</f>
        <v/>
      </c>
      <c r="H2937" s="0" t="str">
        <f aca="false">IF($C2937="","",IF(COUNTIF('مواد المخزون'!$A$2:$A$90,$C2937)&gt;0,"نعم","لا (خارج الجرد)"))</f>
        <v/>
      </c>
    </row>
    <row r="2938" customFormat="false" ht="15" hidden="false" customHeight="false" outlineLevel="0" collapsed="false">
      <c r="A2938" s="103"/>
      <c r="B2938" s="104"/>
      <c r="C2938" s="104"/>
      <c r="F2938" s="107" t="str">
        <f aca="false">IF(OR($C2938="",$D2938=0),"",$E2938/$D2938)</f>
        <v/>
      </c>
      <c r="H2938" s="0" t="str">
        <f aca="false">IF($C2938="","",IF(COUNTIF('مواد المخزون'!$A$2:$A$90,$C2938)&gt;0,"نعم","لا (خارج الجرد)"))</f>
        <v/>
      </c>
    </row>
    <row r="2939" customFormat="false" ht="15" hidden="false" customHeight="false" outlineLevel="0" collapsed="false">
      <c r="A2939" s="103"/>
      <c r="B2939" s="104"/>
      <c r="C2939" s="104"/>
      <c r="F2939" s="107" t="str">
        <f aca="false">IF(OR($C2939="",$D2939=0),"",$E2939/$D2939)</f>
        <v/>
      </c>
      <c r="H2939" s="0" t="str">
        <f aca="false">IF($C2939="","",IF(COUNTIF('مواد المخزون'!$A$2:$A$90,$C2939)&gt;0,"نعم","لا (خارج الجرد)"))</f>
        <v/>
      </c>
    </row>
    <row r="2940" customFormat="false" ht="15" hidden="false" customHeight="false" outlineLevel="0" collapsed="false">
      <c r="A2940" s="103"/>
      <c r="B2940" s="104"/>
      <c r="C2940" s="104"/>
      <c r="F2940" s="107" t="str">
        <f aca="false">IF(OR($C2940="",$D2940=0),"",$E2940/$D2940)</f>
        <v/>
      </c>
      <c r="H2940" s="0" t="str">
        <f aca="false">IF($C2940="","",IF(COUNTIF('مواد المخزون'!$A$2:$A$90,$C2940)&gt;0,"نعم","لا (خارج الجرد)"))</f>
        <v/>
      </c>
    </row>
    <row r="2941" customFormat="false" ht="15" hidden="false" customHeight="false" outlineLevel="0" collapsed="false">
      <c r="A2941" s="103"/>
      <c r="B2941" s="104"/>
      <c r="C2941" s="104"/>
      <c r="F2941" s="107" t="str">
        <f aca="false">IF(OR($C2941="",$D2941=0),"",$E2941/$D2941)</f>
        <v/>
      </c>
      <c r="H2941" s="0" t="str">
        <f aca="false">IF($C2941="","",IF(COUNTIF('مواد المخزون'!$A$2:$A$90,$C2941)&gt;0,"نعم","لا (خارج الجرد)"))</f>
        <v/>
      </c>
    </row>
    <row r="2942" customFormat="false" ht="15" hidden="false" customHeight="false" outlineLevel="0" collapsed="false">
      <c r="A2942" s="103"/>
      <c r="B2942" s="104"/>
      <c r="C2942" s="104"/>
      <c r="F2942" s="107" t="str">
        <f aca="false">IF(OR($C2942="",$D2942=0),"",$E2942/$D2942)</f>
        <v/>
      </c>
      <c r="H2942" s="0" t="str">
        <f aca="false">IF($C2942="","",IF(COUNTIF('مواد المخزون'!$A$2:$A$90,$C2942)&gt;0,"نعم","لا (خارج الجرد)"))</f>
        <v/>
      </c>
    </row>
    <row r="2943" customFormat="false" ht="15" hidden="false" customHeight="false" outlineLevel="0" collapsed="false">
      <c r="A2943" s="103"/>
      <c r="B2943" s="104"/>
      <c r="C2943" s="104"/>
      <c r="F2943" s="107" t="str">
        <f aca="false">IF(OR($C2943="",$D2943=0),"",$E2943/$D2943)</f>
        <v/>
      </c>
      <c r="H2943" s="0" t="str">
        <f aca="false">IF($C2943="","",IF(COUNTIF('مواد المخزون'!$A$2:$A$90,$C2943)&gt;0,"نعم","لا (خارج الجرد)"))</f>
        <v/>
      </c>
    </row>
    <row r="2944" customFormat="false" ht="15" hidden="false" customHeight="false" outlineLevel="0" collapsed="false">
      <c r="A2944" s="103"/>
      <c r="B2944" s="104"/>
      <c r="C2944" s="104"/>
      <c r="F2944" s="107" t="str">
        <f aca="false">IF(OR($C2944="",$D2944=0),"",$E2944/$D2944)</f>
        <v/>
      </c>
      <c r="H2944" s="0" t="str">
        <f aca="false">IF($C2944="","",IF(COUNTIF('مواد المخزون'!$A$2:$A$90,$C2944)&gt;0,"نعم","لا (خارج الجرد)"))</f>
        <v/>
      </c>
    </row>
    <row r="2945" customFormat="false" ht="15" hidden="false" customHeight="false" outlineLevel="0" collapsed="false">
      <c r="A2945" s="103"/>
      <c r="B2945" s="104"/>
      <c r="C2945" s="104"/>
      <c r="F2945" s="107" t="str">
        <f aca="false">IF(OR($C2945="",$D2945=0),"",$E2945/$D2945)</f>
        <v/>
      </c>
      <c r="H2945" s="0" t="str">
        <f aca="false">IF($C2945="","",IF(COUNTIF('مواد المخزون'!$A$2:$A$90,$C2945)&gt;0,"نعم","لا (خارج الجرد)"))</f>
        <v/>
      </c>
    </row>
    <row r="2946" customFormat="false" ht="15" hidden="false" customHeight="false" outlineLevel="0" collapsed="false">
      <c r="A2946" s="103"/>
      <c r="B2946" s="104"/>
      <c r="C2946" s="104"/>
      <c r="F2946" s="107" t="str">
        <f aca="false">IF(OR($C2946="",$D2946=0),"",$E2946/$D2946)</f>
        <v/>
      </c>
      <c r="H2946" s="0" t="str">
        <f aca="false">IF($C2946="","",IF(COUNTIF('مواد المخزون'!$A$2:$A$90,$C2946)&gt;0,"نعم","لا (خارج الجرد)"))</f>
        <v/>
      </c>
    </row>
    <row r="2947" customFormat="false" ht="15" hidden="false" customHeight="false" outlineLevel="0" collapsed="false">
      <c r="A2947" s="103"/>
      <c r="B2947" s="104"/>
      <c r="C2947" s="104"/>
      <c r="F2947" s="107" t="str">
        <f aca="false">IF(OR($C2947="",$D2947=0),"",$E2947/$D2947)</f>
        <v/>
      </c>
      <c r="H2947" s="0" t="str">
        <f aca="false">IF($C2947="","",IF(COUNTIF('مواد المخزون'!$A$2:$A$90,$C2947)&gt;0,"نعم","لا (خارج الجرد)"))</f>
        <v/>
      </c>
    </row>
    <row r="2948" customFormat="false" ht="15" hidden="false" customHeight="false" outlineLevel="0" collapsed="false">
      <c r="A2948" s="103"/>
      <c r="B2948" s="104"/>
      <c r="C2948" s="104"/>
      <c r="F2948" s="107" t="str">
        <f aca="false">IF(OR($C2948="",$D2948=0),"",$E2948/$D2948)</f>
        <v/>
      </c>
      <c r="H2948" s="0" t="str">
        <f aca="false">IF($C2948="","",IF(COUNTIF('مواد المخزون'!$A$2:$A$90,$C2948)&gt;0,"نعم","لا (خارج الجرد)"))</f>
        <v/>
      </c>
    </row>
    <row r="2949" customFormat="false" ht="15" hidden="false" customHeight="false" outlineLevel="0" collapsed="false">
      <c r="A2949" s="103"/>
      <c r="B2949" s="104"/>
      <c r="C2949" s="104"/>
      <c r="F2949" s="107" t="str">
        <f aca="false">IF(OR($C2949="",$D2949=0),"",$E2949/$D2949)</f>
        <v/>
      </c>
      <c r="H2949" s="0" t="str">
        <f aca="false">IF($C2949="","",IF(COUNTIF('مواد المخزون'!$A$2:$A$90,$C2949)&gt;0,"نعم","لا (خارج الجرد)"))</f>
        <v/>
      </c>
    </row>
    <row r="2950" customFormat="false" ht="15" hidden="false" customHeight="false" outlineLevel="0" collapsed="false">
      <c r="A2950" s="103"/>
      <c r="B2950" s="104"/>
      <c r="C2950" s="104"/>
      <c r="F2950" s="107" t="str">
        <f aca="false">IF(OR($C2950="",$D2950=0),"",$E2950/$D2950)</f>
        <v/>
      </c>
      <c r="H2950" s="0" t="str">
        <f aca="false">IF($C2950="","",IF(COUNTIF('مواد المخزون'!$A$2:$A$90,$C2950)&gt;0,"نعم","لا (خارج الجرد)"))</f>
        <v/>
      </c>
    </row>
    <row r="2951" customFormat="false" ht="15" hidden="false" customHeight="false" outlineLevel="0" collapsed="false">
      <c r="A2951" s="103"/>
      <c r="B2951" s="104"/>
      <c r="C2951" s="104"/>
      <c r="F2951" s="107" t="str">
        <f aca="false">IF(OR($C2951="",$D2951=0),"",$E2951/$D2951)</f>
        <v/>
      </c>
      <c r="H2951" s="0" t="str">
        <f aca="false">IF($C2951="","",IF(COUNTIF('مواد المخزون'!$A$2:$A$90,$C2951)&gt;0,"نعم","لا (خارج الجرد)"))</f>
        <v/>
      </c>
    </row>
    <row r="2952" customFormat="false" ht="15" hidden="false" customHeight="false" outlineLevel="0" collapsed="false">
      <c r="A2952" s="103"/>
      <c r="B2952" s="104"/>
      <c r="C2952" s="104"/>
      <c r="F2952" s="107" t="str">
        <f aca="false">IF(OR($C2952="",$D2952=0),"",$E2952/$D2952)</f>
        <v/>
      </c>
      <c r="H2952" s="0" t="str">
        <f aca="false">IF($C2952="","",IF(COUNTIF('مواد المخزون'!$A$2:$A$90,$C2952)&gt;0,"نعم","لا (خارج الجرد)"))</f>
        <v/>
      </c>
    </row>
    <row r="2953" customFormat="false" ht="15" hidden="false" customHeight="false" outlineLevel="0" collapsed="false">
      <c r="A2953" s="103"/>
      <c r="B2953" s="104"/>
      <c r="C2953" s="104"/>
      <c r="F2953" s="107" t="str">
        <f aca="false">IF(OR($C2953="",$D2953=0),"",$E2953/$D2953)</f>
        <v/>
      </c>
      <c r="H2953" s="0" t="str">
        <f aca="false">IF($C2953="","",IF(COUNTIF('مواد المخزون'!$A$2:$A$90,$C2953)&gt;0,"نعم","لا (خارج الجرد)"))</f>
        <v/>
      </c>
    </row>
    <row r="2954" customFormat="false" ht="15" hidden="false" customHeight="false" outlineLevel="0" collapsed="false">
      <c r="A2954" s="103"/>
      <c r="B2954" s="104"/>
      <c r="C2954" s="104"/>
      <c r="F2954" s="107" t="str">
        <f aca="false">IF(OR($C2954="",$D2954=0),"",$E2954/$D2954)</f>
        <v/>
      </c>
      <c r="H2954" s="0" t="str">
        <f aca="false">IF($C2954="","",IF(COUNTIF('مواد المخزون'!$A$2:$A$90,$C2954)&gt;0,"نعم","لا (خارج الجرد)"))</f>
        <v/>
      </c>
    </row>
    <row r="2955" customFormat="false" ht="15" hidden="false" customHeight="false" outlineLevel="0" collapsed="false">
      <c r="A2955" s="103"/>
      <c r="B2955" s="104"/>
      <c r="C2955" s="104"/>
      <c r="F2955" s="107" t="str">
        <f aca="false">IF(OR($C2955="",$D2955=0),"",$E2955/$D2955)</f>
        <v/>
      </c>
      <c r="H2955" s="0" t="str">
        <f aca="false">IF($C2955="","",IF(COUNTIF('مواد المخزون'!$A$2:$A$90,$C2955)&gt;0,"نعم","لا (خارج الجرد)"))</f>
        <v/>
      </c>
    </row>
    <row r="2956" customFormat="false" ht="15" hidden="false" customHeight="false" outlineLevel="0" collapsed="false">
      <c r="A2956" s="103"/>
      <c r="B2956" s="104"/>
      <c r="C2956" s="104"/>
      <c r="F2956" s="107" t="str">
        <f aca="false">IF(OR($C2956="",$D2956=0),"",$E2956/$D2956)</f>
        <v/>
      </c>
      <c r="H2956" s="0" t="str">
        <f aca="false">IF($C2956="","",IF(COUNTIF('مواد المخزون'!$A$2:$A$90,$C2956)&gt;0,"نعم","لا (خارج الجرد)"))</f>
        <v/>
      </c>
    </row>
    <row r="2957" customFormat="false" ht="15" hidden="false" customHeight="false" outlineLevel="0" collapsed="false">
      <c r="A2957" s="103"/>
      <c r="B2957" s="104"/>
      <c r="C2957" s="104"/>
      <c r="F2957" s="107" t="str">
        <f aca="false">IF(OR($C2957="",$D2957=0),"",$E2957/$D2957)</f>
        <v/>
      </c>
      <c r="H2957" s="0" t="str">
        <f aca="false">IF($C2957="","",IF(COUNTIF('مواد المخزون'!$A$2:$A$90,$C2957)&gt;0,"نعم","لا (خارج الجرد)"))</f>
        <v/>
      </c>
    </row>
    <row r="2958" customFormat="false" ht="15" hidden="false" customHeight="false" outlineLevel="0" collapsed="false">
      <c r="A2958" s="103"/>
      <c r="B2958" s="104"/>
      <c r="C2958" s="104"/>
      <c r="F2958" s="107" t="str">
        <f aca="false">IF(OR($C2958="",$D2958=0),"",$E2958/$D2958)</f>
        <v/>
      </c>
      <c r="H2958" s="0" t="str">
        <f aca="false">IF($C2958="","",IF(COUNTIF('مواد المخزون'!$A$2:$A$90,$C2958)&gt;0,"نعم","لا (خارج الجرد)"))</f>
        <v/>
      </c>
    </row>
    <row r="2959" customFormat="false" ht="15" hidden="false" customHeight="false" outlineLevel="0" collapsed="false">
      <c r="A2959" s="103"/>
      <c r="B2959" s="104"/>
      <c r="C2959" s="104"/>
      <c r="F2959" s="107" t="str">
        <f aca="false">IF(OR($C2959="",$D2959=0),"",$E2959/$D2959)</f>
        <v/>
      </c>
      <c r="H2959" s="0" t="str">
        <f aca="false">IF($C2959="","",IF(COUNTIF('مواد المخزون'!$A$2:$A$90,$C2959)&gt;0,"نعم","لا (خارج الجرد)"))</f>
        <v/>
      </c>
    </row>
    <row r="2960" customFormat="false" ht="15" hidden="false" customHeight="false" outlineLevel="0" collapsed="false">
      <c r="A2960" s="103"/>
      <c r="B2960" s="104"/>
      <c r="C2960" s="104"/>
      <c r="F2960" s="107" t="str">
        <f aca="false">IF(OR($C2960="",$D2960=0),"",$E2960/$D2960)</f>
        <v/>
      </c>
      <c r="H2960" s="0" t="str">
        <f aca="false">IF($C2960="","",IF(COUNTIF('مواد المخزون'!$A$2:$A$90,$C2960)&gt;0,"نعم","لا (خارج الجرد)"))</f>
        <v/>
      </c>
    </row>
    <row r="2961" customFormat="false" ht="15" hidden="false" customHeight="false" outlineLevel="0" collapsed="false">
      <c r="A2961" s="103"/>
      <c r="B2961" s="104"/>
      <c r="C2961" s="104"/>
      <c r="F2961" s="107" t="str">
        <f aca="false">IF(OR($C2961="",$D2961=0),"",$E2961/$D2961)</f>
        <v/>
      </c>
      <c r="H2961" s="0" t="str">
        <f aca="false">IF($C2961="","",IF(COUNTIF('مواد المخزون'!$A$2:$A$90,$C2961)&gt;0,"نعم","لا (خارج الجرد)"))</f>
        <v/>
      </c>
    </row>
    <row r="2962" customFormat="false" ht="15" hidden="false" customHeight="false" outlineLevel="0" collapsed="false">
      <c r="A2962" s="103"/>
      <c r="B2962" s="104"/>
      <c r="C2962" s="104"/>
      <c r="F2962" s="107" t="str">
        <f aca="false">IF(OR($C2962="",$D2962=0),"",$E2962/$D2962)</f>
        <v/>
      </c>
      <c r="H2962" s="0" t="str">
        <f aca="false">IF($C2962="","",IF(COUNTIF('مواد المخزون'!$A$2:$A$90,$C2962)&gt;0,"نعم","لا (خارج الجرد)"))</f>
        <v/>
      </c>
    </row>
    <row r="2963" customFormat="false" ht="15" hidden="false" customHeight="false" outlineLevel="0" collapsed="false">
      <c r="A2963" s="103"/>
      <c r="B2963" s="104"/>
      <c r="C2963" s="104"/>
      <c r="F2963" s="107" t="str">
        <f aca="false">IF(OR($C2963="",$D2963=0),"",$E2963/$D2963)</f>
        <v/>
      </c>
      <c r="H2963" s="0" t="str">
        <f aca="false">IF($C2963="","",IF(COUNTIF('مواد المخزون'!$A$2:$A$90,$C2963)&gt;0,"نعم","لا (خارج الجرد)"))</f>
        <v/>
      </c>
    </row>
    <row r="2964" customFormat="false" ht="15" hidden="false" customHeight="false" outlineLevel="0" collapsed="false">
      <c r="A2964" s="103"/>
      <c r="B2964" s="104"/>
      <c r="C2964" s="104"/>
      <c r="F2964" s="107" t="str">
        <f aca="false">IF(OR($C2964="",$D2964=0),"",$E2964/$D2964)</f>
        <v/>
      </c>
      <c r="H2964" s="0" t="str">
        <f aca="false">IF($C2964="","",IF(COUNTIF('مواد المخزون'!$A$2:$A$90,$C2964)&gt;0,"نعم","لا (خارج الجرد)"))</f>
        <v/>
      </c>
    </row>
    <row r="2965" customFormat="false" ht="15" hidden="false" customHeight="false" outlineLevel="0" collapsed="false">
      <c r="A2965" s="103"/>
      <c r="B2965" s="104"/>
      <c r="C2965" s="104"/>
      <c r="F2965" s="107" t="str">
        <f aca="false">IF(OR($C2965="",$D2965=0),"",$E2965/$D2965)</f>
        <v/>
      </c>
      <c r="H2965" s="0" t="str">
        <f aca="false">IF($C2965="","",IF(COUNTIF('مواد المخزون'!$A$2:$A$90,$C2965)&gt;0,"نعم","لا (خارج الجرد)"))</f>
        <v/>
      </c>
    </row>
    <row r="2966" customFormat="false" ht="15" hidden="false" customHeight="false" outlineLevel="0" collapsed="false">
      <c r="A2966" s="103"/>
      <c r="B2966" s="104"/>
      <c r="C2966" s="104"/>
      <c r="F2966" s="107" t="str">
        <f aca="false">IF(OR($C2966="",$D2966=0),"",$E2966/$D2966)</f>
        <v/>
      </c>
      <c r="H2966" s="0" t="str">
        <f aca="false">IF($C2966="","",IF(COUNTIF('مواد المخزون'!$A$2:$A$90,$C2966)&gt;0,"نعم","لا (خارج الجرد)"))</f>
        <v/>
      </c>
    </row>
    <row r="2967" customFormat="false" ht="15" hidden="false" customHeight="false" outlineLevel="0" collapsed="false">
      <c r="A2967" s="103"/>
      <c r="B2967" s="104"/>
      <c r="C2967" s="104"/>
      <c r="F2967" s="107" t="str">
        <f aca="false">IF(OR($C2967="",$D2967=0),"",$E2967/$D2967)</f>
        <v/>
      </c>
      <c r="H2967" s="0" t="str">
        <f aca="false">IF($C2967="","",IF(COUNTIF('مواد المخزون'!$A$2:$A$90,$C2967)&gt;0,"نعم","لا (خارج الجرد)"))</f>
        <v/>
      </c>
    </row>
    <row r="2968" customFormat="false" ht="15" hidden="false" customHeight="false" outlineLevel="0" collapsed="false">
      <c r="A2968" s="103"/>
      <c r="B2968" s="104"/>
      <c r="C2968" s="104"/>
      <c r="F2968" s="107" t="str">
        <f aca="false">IF(OR($C2968="",$D2968=0),"",$E2968/$D2968)</f>
        <v/>
      </c>
      <c r="H2968" s="0" t="str">
        <f aca="false">IF($C2968="","",IF(COUNTIF('مواد المخزون'!$A$2:$A$90,$C2968)&gt;0,"نعم","لا (خارج الجرد)"))</f>
        <v/>
      </c>
    </row>
    <row r="2969" customFormat="false" ht="15" hidden="false" customHeight="false" outlineLevel="0" collapsed="false">
      <c r="A2969" s="103"/>
      <c r="B2969" s="104"/>
      <c r="C2969" s="104"/>
      <c r="F2969" s="107" t="str">
        <f aca="false">IF(OR($C2969="",$D2969=0),"",$E2969/$D2969)</f>
        <v/>
      </c>
      <c r="H2969" s="0" t="str">
        <f aca="false">IF($C2969="","",IF(COUNTIF('مواد المخزون'!$A$2:$A$90,$C2969)&gt;0,"نعم","لا (خارج الجرد)"))</f>
        <v/>
      </c>
    </row>
    <row r="2970" customFormat="false" ht="15" hidden="false" customHeight="false" outlineLevel="0" collapsed="false">
      <c r="A2970" s="103"/>
      <c r="B2970" s="104"/>
      <c r="C2970" s="104"/>
      <c r="F2970" s="107" t="str">
        <f aca="false">IF(OR($C2970="",$D2970=0),"",$E2970/$D2970)</f>
        <v/>
      </c>
      <c r="H2970" s="0" t="str">
        <f aca="false">IF($C2970="","",IF(COUNTIF('مواد المخزون'!$A$2:$A$90,$C2970)&gt;0,"نعم","لا (خارج الجرد)"))</f>
        <v/>
      </c>
    </row>
    <row r="2971" customFormat="false" ht="15" hidden="false" customHeight="false" outlineLevel="0" collapsed="false">
      <c r="A2971" s="103"/>
      <c r="B2971" s="104"/>
      <c r="C2971" s="104"/>
      <c r="F2971" s="107" t="str">
        <f aca="false">IF(OR($C2971="",$D2971=0),"",$E2971/$D2971)</f>
        <v/>
      </c>
      <c r="H2971" s="0" t="str">
        <f aca="false">IF($C2971="","",IF(COUNTIF('مواد المخزون'!$A$2:$A$90,$C2971)&gt;0,"نعم","لا (خارج الجرد)"))</f>
        <v/>
      </c>
    </row>
    <row r="2972" customFormat="false" ht="15" hidden="false" customHeight="false" outlineLevel="0" collapsed="false">
      <c r="A2972" s="103"/>
      <c r="B2972" s="104"/>
      <c r="C2972" s="104"/>
      <c r="F2972" s="107" t="str">
        <f aca="false">IF(OR($C2972="",$D2972=0),"",$E2972/$D2972)</f>
        <v/>
      </c>
      <c r="H2972" s="0" t="str">
        <f aca="false">IF($C2972="","",IF(COUNTIF('مواد المخزون'!$A$2:$A$90,$C2972)&gt;0,"نعم","لا (خارج الجرد)"))</f>
        <v/>
      </c>
    </row>
    <row r="2973" customFormat="false" ht="15" hidden="false" customHeight="false" outlineLevel="0" collapsed="false">
      <c r="A2973" s="103"/>
      <c r="B2973" s="104"/>
      <c r="C2973" s="104"/>
      <c r="F2973" s="107" t="str">
        <f aca="false">IF(OR($C2973="",$D2973=0),"",$E2973/$D2973)</f>
        <v/>
      </c>
      <c r="H2973" s="0" t="str">
        <f aca="false">IF($C2973="","",IF(COUNTIF('مواد المخزون'!$A$2:$A$90,$C2973)&gt;0,"نعم","لا (خارج الجرد)"))</f>
        <v/>
      </c>
    </row>
    <row r="2974" customFormat="false" ht="15" hidden="false" customHeight="false" outlineLevel="0" collapsed="false">
      <c r="A2974" s="103"/>
      <c r="B2974" s="104"/>
      <c r="C2974" s="104"/>
      <c r="F2974" s="107" t="str">
        <f aca="false">IF(OR($C2974="",$D2974=0),"",$E2974/$D2974)</f>
        <v/>
      </c>
      <c r="H2974" s="0" t="str">
        <f aca="false">IF($C2974="","",IF(COUNTIF('مواد المخزون'!$A$2:$A$90,$C2974)&gt;0,"نعم","لا (خارج الجرد)"))</f>
        <v/>
      </c>
    </row>
    <row r="2975" customFormat="false" ht="15" hidden="false" customHeight="false" outlineLevel="0" collapsed="false">
      <c r="A2975" s="103"/>
      <c r="B2975" s="104"/>
      <c r="C2975" s="104"/>
      <c r="F2975" s="107" t="str">
        <f aca="false">IF(OR($C2975="",$D2975=0),"",$E2975/$D2975)</f>
        <v/>
      </c>
      <c r="H2975" s="0" t="str">
        <f aca="false">IF($C2975="","",IF(COUNTIF('مواد المخزون'!$A$2:$A$90,$C2975)&gt;0,"نعم","لا (خارج الجرد)"))</f>
        <v/>
      </c>
    </row>
    <row r="2976" customFormat="false" ht="15" hidden="false" customHeight="false" outlineLevel="0" collapsed="false">
      <c r="A2976" s="103"/>
      <c r="B2976" s="104"/>
      <c r="C2976" s="104"/>
      <c r="F2976" s="107" t="str">
        <f aca="false">IF(OR($C2976="",$D2976=0),"",$E2976/$D2976)</f>
        <v/>
      </c>
      <c r="H2976" s="0" t="str">
        <f aca="false">IF($C2976="","",IF(COUNTIF('مواد المخزون'!$A$2:$A$90,$C2976)&gt;0,"نعم","لا (خارج الجرد)"))</f>
        <v/>
      </c>
    </row>
    <row r="2977" customFormat="false" ht="15" hidden="false" customHeight="false" outlineLevel="0" collapsed="false">
      <c r="A2977" s="103"/>
      <c r="B2977" s="104"/>
      <c r="C2977" s="104"/>
      <c r="F2977" s="107" t="str">
        <f aca="false">IF(OR($C2977="",$D2977=0),"",$E2977/$D2977)</f>
        <v/>
      </c>
      <c r="H2977" s="0" t="str">
        <f aca="false">IF($C2977="","",IF(COUNTIF('مواد المخزون'!$A$2:$A$90,$C2977)&gt;0,"نعم","لا (خارج الجرد)"))</f>
        <v/>
      </c>
    </row>
    <row r="2978" customFormat="false" ht="15" hidden="false" customHeight="false" outlineLevel="0" collapsed="false">
      <c r="A2978" s="103"/>
      <c r="B2978" s="104"/>
      <c r="C2978" s="104"/>
      <c r="F2978" s="107" t="str">
        <f aca="false">IF(OR($C2978="",$D2978=0),"",$E2978/$D2978)</f>
        <v/>
      </c>
      <c r="H2978" s="0" t="str">
        <f aca="false">IF($C2978="","",IF(COUNTIF('مواد المخزون'!$A$2:$A$90,$C2978)&gt;0,"نعم","لا (خارج الجرد)"))</f>
        <v/>
      </c>
    </row>
    <row r="2979" customFormat="false" ht="15" hidden="false" customHeight="false" outlineLevel="0" collapsed="false">
      <c r="A2979" s="103"/>
      <c r="B2979" s="104"/>
      <c r="C2979" s="104"/>
      <c r="F2979" s="107" t="str">
        <f aca="false">IF(OR($C2979="",$D2979=0),"",$E2979/$D2979)</f>
        <v/>
      </c>
      <c r="H2979" s="0" t="str">
        <f aca="false">IF($C2979="","",IF(COUNTIF('مواد المخزون'!$A$2:$A$90,$C2979)&gt;0,"نعم","لا (خارج الجرد)"))</f>
        <v/>
      </c>
    </row>
    <row r="2980" customFormat="false" ht="15" hidden="false" customHeight="false" outlineLevel="0" collapsed="false">
      <c r="A2980" s="103"/>
      <c r="B2980" s="104"/>
      <c r="C2980" s="104"/>
      <c r="F2980" s="107" t="str">
        <f aca="false">IF(OR($C2980="",$D2980=0),"",$E2980/$D2980)</f>
        <v/>
      </c>
      <c r="H2980" s="0" t="str">
        <f aca="false">IF($C2980="","",IF(COUNTIF('مواد المخزون'!$A$2:$A$90,$C2980)&gt;0,"نعم","لا (خارج الجرد)"))</f>
        <v/>
      </c>
    </row>
    <row r="2981" customFormat="false" ht="15" hidden="false" customHeight="false" outlineLevel="0" collapsed="false">
      <c r="A2981" s="103"/>
      <c r="B2981" s="104"/>
      <c r="C2981" s="104"/>
      <c r="F2981" s="107" t="str">
        <f aca="false">IF(OR($C2981="",$D2981=0),"",$E2981/$D2981)</f>
        <v/>
      </c>
      <c r="H2981" s="0" t="str">
        <f aca="false">IF($C2981="","",IF(COUNTIF('مواد المخزون'!$A$2:$A$90,$C2981)&gt;0,"نعم","لا (خارج الجرد)"))</f>
        <v/>
      </c>
    </row>
    <row r="2982" customFormat="false" ht="15" hidden="false" customHeight="false" outlineLevel="0" collapsed="false">
      <c r="A2982" s="103"/>
      <c r="B2982" s="104"/>
      <c r="C2982" s="104"/>
      <c r="F2982" s="107" t="str">
        <f aca="false">IF(OR($C2982="",$D2982=0),"",$E2982/$D2982)</f>
        <v/>
      </c>
      <c r="H2982" s="0" t="str">
        <f aca="false">IF($C2982="","",IF(COUNTIF('مواد المخزون'!$A$2:$A$90,$C2982)&gt;0,"نعم","لا (خارج الجرد)"))</f>
        <v/>
      </c>
    </row>
    <row r="2983" customFormat="false" ht="15" hidden="false" customHeight="false" outlineLevel="0" collapsed="false">
      <c r="A2983" s="103"/>
      <c r="B2983" s="104"/>
      <c r="C2983" s="104"/>
      <c r="F2983" s="107" t="str">
        <f aca="false">IF(OR($C2983="",$D2983=0),"",$E2983/$D2983)</f>
        <v/>
      </c>
      <c r="H2983" s="0" t="str">
        <f aca="false">IF($C2983="","",IF(COUNTIF('مواد المخزون'!$A$2:$A$90,$C2983)&gt;0,"نعم","لا (خارج الجرد)"))</f>
        <v/>
      </c>
    </row>
    <row r="2984" customFormat="false" ht="15" hidden="false" customHeight="false" outlineLevel="0" collapsed="false">
      <c r="A2984" s="103"/>
      <c r="B2984" s="104"/>
      <c r="C2984" s="104"/>
      <c r="F2984" s="107" t="str">
        <f aca="false">IF(OR($C2984="",$D2984=0),"",$E2984/$D2984)</f>
        <v/>
      </c>
      <c r="H2984" s="0" t="str">
        <f aca="false">IF($C2984="","",IF(COUNTIF('مواد المخزون'!$A$2:$A$90,$C2984)&gt;0,"نعم","لا (خارج الجرد)"))</f>
        <v/>
      </c>
    </row>
    <row r="2985" customFormat="false" ht="15" hidden="false" customHeight="false" outlineLevel="0" collapsed="false">
      <c r="A2985" s="103"/>
      <c r="B2985" s="104"/>
      <c r="C2985" s="104"/>
      <c r="F2985" s="107" t="str">
        <f aca="false">IF(OR($C2985="",$D2985=0),"",$E2985/$D2985)</f>
        <v/>
      </c>
      <c r="H2985" s="0" t="str">
        <f aca="false">IF($C2985="","",IF(COUNTIF('مواد المخزون'!$A$2:$A$90,$C2985)&gt;0,"نعم","لا (خارج الجرد)"))</f>
        <v/>
      </c>
    </row>
    <row r="2986" customFormat="false" ht="15" hidden="false" customHeight="false" outlineLevel="0" collapsed="false">
      <c r="A2986" s="103"/>
      <c r="B2986" s="104"/>
      <c r="C2986" s="104"/>
      <c r="F2986" s="107" t="str">
        <f aca="false">IF(OR($C2986="",$D2986=0),"",$E2986/$D2986)</f>
        <v/>
      </c>
      <c r="H2986" s="0" t="str">
        <f aca="false">IF($C2986="","",IF(COUNTIF('مواد المخزون'!$A$2:$A$90,$C2986)&gt;0,"نعم","لا (خارج الجرد)"))</f>
        <v/>
      </c>
    </row>
    <row r="2987" customFormat="false" ht="15" hidden="false" customHeight="false" outlineLevel="0" collapsed="false">
      <c r="A2987" s="103"/>
      <c r="B2987" s="104"/>
      <c r="C2987" s="104"/>
      <c r="F2987" s="107" t="str">
        <f aca="false">IF(OR($C2987="",$D2987=0),"",$E2987/$D2987)</f>
        <v/>
      </c>
      <c r="H2987" s="0" t="str">
        <f aca="false">IF($C2987="","",IF(COUNTIF('مواد المخزون'!$A$2:$A$90,$C2987)&gt;0,"نعم","لا (خارج الجرد)"))</f>
        <v/>
      </c>
    </row>
    <row r="2988" customFormat="false" ht="15" hidden="false" customHeight="false" outlineLevel="0" collapsed="false">
      <c r="A2988" s="103"/>
      <c r="B2988" s="104"/>
      <c r="C2988" s="104"/>
      <c r="F2988" s="107" t="str">
        <f aca="false">IF(OR($C2988="",$D2988=0),"",$E2988/$D2988)</f>
        <v/>
      </c>
      <c r="H2988" s="0" t="str">
        <f aca="false">IF($C2988="","",IF(COUNTIF('مواد المخزون'!$A$2:$A$90,$C2988)&gt;0,"نعم","لا (خارج الجرد)"))</f>
        <v/>
      </c>
    </row>
    <row r="2989" customFormat="false" ht="15" hidden="false" customHeight="false" outlineLevel="0" collapsed="false">
      <c r="A2989" s="103"/>
      <c r="B2989" s="104"/>
      <c r="C2989" s="104"/>
      <c r="F2989" s="107" t="str">
        <f aca="false">IF(OR($C2989="",$D2989=0),"",$E2989/$D2989)</f>
        <v/>
      </c>
      <c r="H2989" s="0" t="str">
        <f aca="false">IF($C2989="","",IF(COUNTIF('مواد المخزون'!$A$2:$A$90,$C2989)&gt;0,"نعم","لا (خارج الجرد)"))</f>
        <v/>
      </c>
    </row>
    <row r="2990" customFormat="false" ht="15" hidden="false" customHeight="false" outlineLevel="0" collapsed="false">
      <c r="A2990" s="103"/>
      <c r="B2990" s="104"/>
      <c r="C2990" s="104"/>
      <c r="F2990" s="107" t="str">
        <f aca="false">IF(OR($C2990="",$D2990=0),"",$E2990/$D2990)</f>
        <v/>
      </c>
      <c r="H2990" s="0" t="str">
        <f aca="false">IF($C2990="","",IF(COUNTIF('مواد المخزون'!$A$2:$A$90,$C2990)&gt;0,"نعم","لا (خارج الجرد)"))</f>
        <v/>
      </c>
    </row>
    <row r="2991" customFormat="false" ht="15" hidden="false" customHeight="false" outlineLevel="0" collapsed="false">
      <c r="A2991" s="103"/>
      <c r="B2991" s="104"/>
      <c r="C2991" s="104"/>
      <c r="F2991" s="107" t="str">
        <f aca="false">IF(OR($C2991="",$D2991=0),"",$E2991/$D2991)</f>
        <v/>
      </c>
      <c r="H2991" s="0" t="str">
        <f aca="false">IF($C2991="","",IF(COUNTIF('مواد المخزون'!$A$2:$A$90,$C2991)&gt;0,"نعم","لا (خارج الجرد)"))</f>
        <v/>
      </c>
    </row>
    <row r="2992" customFormat="false" ht="15" hidden="false" customHeight="false" outlineLevel="0" collapsed="false">
      <c r="A2992" s="103"/>
      <c r="B2992" s="104"/>
      <c r="C2992" s="104"/>
      <c r="F2992" s="107" t="str">
        <f aca="false">IF(OR($C2992="",$D2992=0),"",$E2992/$D2992)</f>
        <v/>
      </c>
      <c r="H2992" s="0" t="str">
        <f aca="false">IF($C2992="","",IF(COUNTIF('مواد المخزون'!$A$2:$A$90,$C2992)&gt;0,"نعم","لا (خارج الجرد)"))</f>
        <v/>
      </c>
    </row>
    <row r="2993" customFormat="false" ht="15" hidden="false" customHeight="false" outlineLevel="0" collapsed="false">
      <c r="A2993" s="103"/>
      <c r="B2993" s="104"/>
      <c r="C2993" s="104"/>
      <c r="F2993" s="107" t="str">
        <f aca="false">IF(OR($C2993="",$D2993=0),"",$E2993/$D2993)</f>
        <v/>
      </c>
      <c r="H2993" s="0" t="str">
        <f aca="false">IF($C2993="","",IF(COUNTIF('مواد المخزون'!$A$2:$A$90,$C2993)&gt;0,"نعم","لا (خارج الجرد)"))</f>
        <v/>
      </c>
    </row>
    <row r="2994" customFormat="false" ht="15" hidden="false" customHeight="false" outlineLevel="0" collapsed="false">
      <c r="A2994" s="103"/>
      <c r="B2994" s="104"/>
      <c r="C2994" s="104"/>
      <c r="F2994" s="107" t="str">
        <f aca="false">IF(OR($C2994="",$D2994=0),"",$E2994/$D2994)</f>
        <v/>
      </c>
      <c r="H2994" s="0" t="str">
        <f aca="false">IF($C2994="","",IF(COUNTIF('مواد المخزون'!$A$2:$A$90,$C2994)&gt;0,"نعم","لا (خارج الجرد)"))</f>
        <v/>
      </c>
    </row>
    <row r="2995" customFormat="false" ht="15" hidden="false" customHeight="false" outlineLevel="0" collapsed="false">
      <c r="A2995" s="103"/>
      <c r="B2995" s="104"/>
      <c r="C2995" s="104"/>
      <c r="F2995" s="107" t="str">
        <f aca="false">IF(OR($C2995="",$D2995=0),"",$E2995/$D2995)</f>
        <v/>
      </c>
      <c r="H2995" s="0" t="str">
        <f aca="false">IF($C2995="","",IF(COUNTIF('مواد المخزون'!$A$2:$A$90,$C2995)&gt;0,"نعم","لا (خارج الجرد)"))</f>
        <v/>
      </c>
    </row>
    <row r="2996" customFormat="false" ht="15" hidden="false" customHeight="false" outlineLevel="0" collapsed="false">
      <c r="A2996" s="103"/>
      <c r="B2996" s="104"/>
      <c r="C2996" s="104"/>
      <c r="F2996" s="107" t="str">
        <f aca="false">IF(OR($C2996="",$D2996=0),"",$E2996/$D2996)</f>
        <v/>
      </c>
      <c r="H2996" s="0" t="str">
        <f aca="false">IF($C2996="","",IF(COUNTIF('مواد المخزون'!$A$2:$A$90,$C2996)&gt;0,"نعم","لا (خارج الجرد)"))</f>
        <v/>
      </c>
    </row>
    <row r="2997" customFormat="false" ht="15" hidden="false" customHeight="false" outlineLevel="0" collapsed="false">
      <c r="A2997" s="103"/>
      <c r="B2997" s="104"/>
      <c r="C2997" s="104"/>
      <c r="F2997" s="107" t="str">
        <f aca="false">IF(OR($C2997="",$D2997=0),"",$E2997/$D2997)</f>
        <v/>
      </c>
      <c r="H2997" s="0" t="str">
        <f aca="false">IF($C2997="","",IF(COUNTIF('مواد المخزون'!$A$2:$A$90,$C2997)&gt;0,"نعم","لا (خارج الجرد)"))</f>
        <v/>
      </c>
    </row>
    <row r="2998" customFormat="false" ht="15" hidden="false" customHeight="false" outlineLevel="0" collapsed="false">
      <c r="A2998" s="103"/>
      <c r="B2998" s="104"/>
      <c r="C2998" s="104"/>
      <c r="F2998" s="107" t="str">
        <f aca="false">IF(OR($C2998="",$D2998=0),"",$E2998/$D2998)</f>
        <v/>
      </c>
      <c r="H2998" s="0" t="str">
        <f aca="false">IF($C2998="","",IF(COUNTIF('مواد المخزون'!$A$2:$A$90,$C2998)&gt;0,"نعم","لا (خارج الجرد)"))</f>
        <v/>
      </c>
    </row>
    <row r="2999" customFormat="false" ht="15" hidden="false" customHeight="false" outlineLevel="0" collapsed="false">
      <c r="A2999" s="103"/>
      <c r="B2999" s="104"/>
      <c r="C2999" s="104"/>
      <c r="F2999" s="107" t="str">
        <f aca="false">IF(OR($C2999="",$D2999=0),"",$E2999/$D2999)</f>
        <v/>
      </c>
      <c r="H2999" s="0" t="str">
        <f aca="false">IF($C2999="","",IF(COUNTIF('مواد المخزون'!$A$2:$A$90,$C2999)&gt;0,"نعم","لا (خارج الجرد)"))</f>
        <v/>
      </c>
    </row>
    <row r="3000" customFormat="false" ht="15" hidden="false" customHeight="false" outlineLevel="0" collapsed="false">
      <c r="A3000" s="103"/>
      <c r="B3000" s="104"/>
      <c r="C3000" s="104"/>
      <c r="F3000" s="107" t="str">
        <f aca="false">IF(OR($C3000="",$D3000=0),"",$E3000/$D3000)</f>
        <v/>
      </c>
      <c r="H3000" s="0" t="str">
        <f aca="false">IF($C3000="","",IF(COUNTIF('مواد المخزون'!$A$2:$A$90,$C3000)&gt;0,"نعم","لا (خارج الجرد)"))</f>
        <v/>
      </c>
    </row>
    <row r="3001" customFormat="false" ht="15" hidden="false" customHeight="false" outlineLevel="0" collapsed="false">
      <c r="A3001" s="103"/>
      <c r="B3001" s="104"/>
      <c r="C3001" s="104"/>
      <c r="F3001" s="107" t="str">
        <f aca="false">IF(OR($C3001="",$D3001=0),"",$E3001/$D3001)</f>
        <v/>
      </c>
      <c r="H3001" s="0" t="str">
        <f aca="false">IF($C3001="","",IF(COUNTIF('مواد المخزون'!$A$2:$A$90,$C3001)&gt;0,"نعم","لا (خارج الجرد)"))</f>
        <v/>
      </c>
    </row>
    <row r="3002" customFormat="false" ht="15" hidden="false" customHeight="false" outlineLevel="0" collapsed="false">
      <c r="A3002" s="103"/>
      <c r="B3002" s="104"/>
      <c r="C3002" s="104"/>
      <c r="F3002" s="107" t="str">
        <f aca="false">IF(OR($C3002="",$D3002=0),"",$E3002/$D3002)</f>
        <v/>
      </c>
      <c r="H3002" s="0" t="str">
        <f aca="false">IF($C3002="","",IF(COUNTIF('مواد المخزون'!$A$2:$A$90,$C3002)&gt;0,"نعم","لا (خارج الجرد)"))</f>
        <v/>
      </c>
    </row>
    <row r="3003" customFormat="false" ht="15" hidden="false" customHeight="false" outlineLevel="0" collapsed="false">
      <c r="A3003" s="103"/>
      <c r="B3003" s="104"/>
      <c r="C3003" s="104"/>
      <c r="F3003" s="107" t="str">
        <f aca="false">IF(OR($C3003="",$D3003=0),"",$E3003/$D3003)</f>
        <v/>
      </c>
      <c r="H3003" s="0" t="str">
        <f aca="false">IF($C3003="","",IF(COUNTIF('مواد المخزون'!$A$2:$A$90,$C3003)&gt;0,"نعم","لا (خارج الجرد)"))</f>
        <v/>
      </c>
    </row>
    <row r="3004" customFormat="false" ht="15" hidden="false" customHeight="false" outlineLevel="0" collapsed="false">
      <c r="A3004" s="103"/>
      <c r="B3004" s="104"/>
      <c r="C3004" s="104"/>
      <c r="F3004" s="107" t="str">
        <f aca="false">IF(OR($C3004="",$D3004=0),"",$E3004/$D3004)</f>
        <v/>
      </c>
      <c r="H3004" s="0" t="str">
        <f aca="false">IF($C3004="","",IF(COUNTIF('مواد المخزون'!$A$2:$A$90,$C3004)&gt;0,"نعم","لا (خارج الجرد)"))</f>
        <v/>
      </c>
    </row>
    <row r="3005" customFormat="false" ht="15" hidden="false" customHeight="false" outlineLevel="0" collapsed="false">
      <c r="A3005" s="103"/>
      <c r="B3005" s="104"/>
      <c r="C3005" s="104"/>
      <c r="F3005" s="107" t="str">
        <f aca="false">IF(OR($C3005="",$D3005=0),"",$E3005/$D3005)</f>
        <v/>
      </c>
      <c r="H3005" s="0" t="str">
        <f aca="false">IF($C3005="","",IF(COUNTIF('مواد المخزون'!$A$2:$A$90,$C3005)&gt;0,"نعم","لا (خارج الجرد)"))</f>
        <v/>
      </c>
    </row>
    <row r="3006" customFormat="false" ht="15" hidden="false" customHeight="false" outlineLevel="0" collapsed="false">
      <c r="A3006" s="103"/>
      <c r="B3006" s="104"/>
      <c r="C3006" s="104"/>
      <c r="F3006" s="107" t="str">
        <f aca="false">IF(OR($C3006="",$D3006=0),"",$E3006/$D3006)</f>
        <v/>
      </c>
      <c r="H3006" s="0" t="str">
        <f aca="false">IF($C3006="","",IF(COUNTIF('مواد المخزون'!$A$2:$A$90,$C3006)&gt;0,"نعم","لا (خارج الجرد)"))</f>
        <v/>
      </c>
    </row>
    <row r="3007" customFormat="false" ht="15" hidden="false" customHeight="false" outlineLevel="0" collapsed="false">
      <c r="A3007" s="103"/>
      <c r="B3007" s="104"/>
      <c r="C3007" s="104"/>
      <c r="F3007" s="107" t="str">
        <f aca="false">IF(OR($C3007="",$D3007=0),"",$E3007/$D3007)</f>
        <v/>
      </c>
      <c r="H3007" s="0" t="str">
        <f aca="false">IF($C3007="","",IF(COUNTIF('مواد المخزون'!$A$2:$A$90,$C3007)&gt;0,"نعم","لا (خارج الجرد)"))</f>
        <v/>
      </c>
    </row>
    <row r="3008" customFormat="false" ht="15" hidden="false" customHeight="false" outlineLevel="0" collapsed="false">
      <c r="A3008" s="103"/>
      <c r="B3008" s="104"/>
      <c r="C3008" s="104"/>
      <c r="F3008" s="107" t="str">
        <f aca="false">IF(OR($C3008="",$D3008=0),"",$E3008/$D3008)</f>
        <v/>
      </c>
      <c r="H3008" s="0" t="str">
        <f aca="false">IF($C3008="","",IF(COUNTIF('مواد المخزون'!$A$2:$A$90,$C3008)&gt;0,"نعم","لا (خارج الجرد)"))</f>
        <v/>
      </c>
    </row>
    <row r="3009" customFormat="false" ht="15" hidden="false" customHeight="false" outlineLevel="0" collapsed="false">
      <c r="A3009" s="103"/>
      <c r="B3009" s="104"/>
      <c r="C3009" s="104"/>
      <c r="F3009" s="107" t="str">
        <f aca="false">IF(OR($C3009="",$D3009=0),"",$E3009/$D3009)</f>
        <v/>
      </c>
      <c r="H3009" s="0" t="str">
        <f aca="false">IF($C3009="","",IF(COUNTIF('مواد المخزون'!$A$2:$A$90,$C3009)&gt;0,"نعم","لا (خارج الجرد)"))</f>
        <v/>
      </c>
    </row>
    <row r="3010" customFormat="false" ht="15" hidden="false" customHeight="false" outlineLevel="0" collapsed="false">
      <c r="A3010" s="103"/>
      <c r="B3010" s="104"/>
      <c r="C3010" s="104"/>
      <c r="F3010" s="107" t="str">
        <f aca="false">IF(OR($C3010="",$D3010=0),"",$E3010/$D3010)</f>
        <v/>
      </c>
      <c r="H3010" s="0" t="str">
        <f aca="false">IF($C3010="","",IF(COUNTIF('مواد المخزون'!$A$2:$A$90,$C3010)&gt;0,"نعم","لا (خارج الجرد)"))</f>
        <v/>
      </c>
    </row>
    <row r="3011" customFormat="false" ht="15" hidden="false" customHeight="false" outlineLevel="0" collapsed="false">
      <c r="A3011" s="103"/>
      <c r="B3011" s="104"/>
      <c r="C3011" s="104"/>
      <c r="F3011" s="107" t="str">
        <f aca="false">IF(OR($C3011="",$D3011=0),"",$E3011/$D3011)</f>
        <v/>
      </c>
      <c r="H3011" s="0" t="str">
        <f aca="false">IF($C3011="","",IF(COUNTIF('مواد المخزون'!$A$2:$A$90,$C3011)&gt;0,"نعم","لا (خارج الجرد)"))</f>
        <v/>
      </c>
    </row>
    <row r="3012" customFormat="false" ht="15" hidden="false" customHeight="false" outlineLevel="0" collapsed="false">
      <c r="A3012" s="103"/>
      <c r="B3012" s="104"/>
      <c r="C3012" s="104"/>
      <c r="F3012" s="107" t="str">
        <f aca="false">IF(OR($C3012="",$D3012=0),"",$E3012/$D3012)</f>
        <v/>
      </c>
      <c r="H3012" s="0" t="str">
        <f aca="false">IF($C3012="","",IF(COUNTIF('مواد المخزون'!$A$2:$A$90,$C3012)&gt;0,"نعم","لا (خارج الجرد)"))</f>
        <v/>
      </c>
    </row>
    <row r="3013" customFormat="false" ht="15" hidden="false" customHeight="false" outlineLevel="0" collapsed="false">
      <c r="A3013" s="103"/>
      <c r="B3013" s="104"/>
      <c r="C3013" s="104"/>
      <c r="F3013" s="107" t="str">
        <f aca="false">IF(OR($C3013="",$D3013=0),"",$E3013/$D3013)</f>
        <v/>
      </c>
      <c r="H3013" s="0" t="str">
        <f aca="false">IF($C3013="","",IF(COUNTIF('مواد المخزون'!$A$2:$A$90,$C3013)&gt;0,"نعم","لا (خارج الجرد)"))</f>
        <v/>
      </c>
    </row>
    <row r="3014" customFormat="false" ht="15" hidden="false" customHeight="false" outlineLevel="0" collapsed="false">
      <c r="A3014" s="103"/>
      <c r="B3014" s="104"/>
      <c r="C3014" s="104"/>
      <c r="F3014" s="107" t="str">
        <f aca="false">IF(OR($C3014="",$D3014=0),"",$E3014/$D3014)</f>
        <v/>
      </c>
      <c r="H3014" s="0" t="str">
        <f aca="false">IF($C3014="","",IF(COUNTIF('مواد المخزون'!$A$2:$A$90,$C3014)&gt;0,"نعم","لا (خارج الجرد)"))</f>
        <v/>
      </c>
    </row>
    <row r="3015" customFormat="false" ht="15" hidden="false" customHeight="false" outlineLevel="0" collapsed="false">
      <c r="A3015" s="103"/>
      <c r="B3015" s="104"/>
      <c r="C3015" s="104"/>
      <c r="F3015" s="107" t="str">
        <f aca="false">IF(OR($C3015="",$D3015=0),"",$E3015/$D3015)</f>
        <v/>
      </c>
      <c r="H3015" s="0" t="str">
        <f aca="false">IF($C3015="","",IF(COUNTIF('مواد المخزون'!$A$2:$A$90,$C3015)&gt;0,"نعم","لا (خارج الجرد)"))</f>
        <v/>
      </c>
    </row>
    <row r="3016" customFormat="false" ht="15" hidden="false" customHeight="false" outlineLevel="0" collapsed="false">
      <c r="A3016" s="103"/>
      <c r="B3016" s="104"/>
      <c r="C3016" s="104"/>
      <c r="F3016" s="107" t="str">
        <f aca="false">IF(OR($C3016="",$D3016=0),"",$E3016/$D3016)</f>
        <v/>
      </c>
      <c r="H3016" s="0" t="str">
        <f aca="false">IF($C3016="","",IF(COUNTIF('مواد المخزون'!$A$2:$A$90,$C3016)&gt;0,"نعم","لا (خارج الجرد)"))</f>
        <v/>
      </c>
    </row>
    <row r="3017" customFormat="false" ht="15" hidden="false" customHeight="false" outlineLevel="0" collapsed="false">
      <c r="A3017" s="103"/>
      <c r="B3017" s="104"/>
      <c r="C3017" s="104"/>
      <c r="F3017" s="107" t="str">
        <f aca="false">IF(OR($C3017="",$D3017=0),"",$E3017/$D3017)</f>
        <v/>
      </c>
      <c r="H3017" s="0" t="str">
        <f aca="false">IF($C3017="","",IF(COUNTIF('مواد المخزون'!$A$2:$A$90,$C3017)&gt;0,"نعم","لا (خارج الجرد)"))</f>
        <v/>
      </c>
    </row>
    <row r="3018" customFormat="false" ht="15" hidden="false" customHeight="false" outlineLevel="0" collapsed="false">
      <c r="A3018" s="103"/>
      <c r="B3018" s="104"/>
      <c r="C3018" s="104"/>
      <c r="F3018" s="107" t="str">
        <f aca="false">IF(OR($C3018="",$D3018=0),"",$E3018/$D3018)</f>
        <v/>
      </c>
      <c r="H3018" s="0" t="str">
        <f aca="false">IF($C3018="","",IF(COUNTIF('مواد المخزون'!$A$2:$A$90,$C3018)&gt;0,"نعم","لا (خارج الجرد)"))</f>
        <v/>
      </c>
    </row>
    <row r="3019" customFormat="false" ht="15" hidden="false" customHeight="false" outlineLevel="0" collapsed="false">
      <c r="A3019" s="103"/>
      <c r="B3019" s="104"/>
      <c r="C3019" s="104"/>
      <c r="F3019" s="107" t="str">
        <f aca="false">IF(OR($C3019="",$D3019=0),"",$E3019/$D3019)</f>
        <v/>
      </c>
      <c r="H3019" s="0" t="str">
        <f aca="false">IF($C3019="","",IF(COUNTIF('مواد المخزون'!$A$2:$A$90,$C3019)&gt;0,"نعم","لا (خارج الجرد)"))</f>
        <v/>
      </c>
    </row>
    <row r="3020" customFormat="false" ht="15" hidden="false" customHeight="false" outlineLevel="0" collapsed="false">
      <c r="A3020" s="103"/>
      <c r="B3020" s="104"/>
      <c r="C3020" s="104"/>
      <c r="F3020" s="107" t="str">
        <f aca="false">IF(OR($C3020="",$D3020=0),"",$E3020/$D3020)</f>
        <v/>
      </c>
      <c r="H3020" s="0" t="str">
        <f aca="false">IF($C3020="","",IF(COUNTIF('مواد المخزون'!$A$2:$A$90,$C3020)&gt;0,"نعم","لا (خارج الجرد)"))</f>
        <v/>
      </c>
    </row>
    <row r="3021" customFormat="false" ht="15" hidden="false" customHeight="false" outlineLevel="0" collapsed="false">
      <c r="A3021" s="103"/>
      <c r="B3021" s="104"/>
      <c r="C3021" s="104"/>
      <c r="F3021" s="107" t="str">
        <f aca="false">IF(OR($C3021="",$D3021=0),"",$E3021/$D3021)</f>
        <v/>
      </c>
      <c r="H3021" s="0" t="str">
        <f aca="false">IF($C3021="","",IF(COUNTIF('مواد المخزون'!$A$2:$A$90,$C3021)&gt;0,"نعم","لا (خارج الجرد)"))</f>
        <v/>
      </c>
    </row>
    <row r="3022" customFormat="false" ht="15" hidden="false" customHeight="false" outlineLevel="0" collapsed="false">
      <c r="A3022" s="103"/>
      <c r="B3022" s="104"/>
      <c r="C3022" s="104"/>
      <c r="F3022" s="107" t="str">
        <f aca="false">IF(OR($C3022="",$D3022=0),"",$E3022/$D3022)</f>
        <v/>
      </c>
      <c r="H3022" s="0" t="str">
        <f aca="false">IF($C3022="","",IF(COUNTIF('مواد المخزون'!$A$2:$A$90,$C3022)&gt;0,"نعم","لا (خارج الجرد)"))</f>
        <v/>
      </c>
    </row>
    <row r="3023" customFormat="false" ht="15" hidden="false" customHeight="false" outlineLevel="0" collapsed="false">
      <c r="A3023" s="103"/>
      <c r="B3023" s="104"/>
      <c r="C3023" s="104"/>
      <c r="F3023" s="107" t="str">
        <f aca="false">IF(OR($C3023="",$D3023=0),"",$E3023/$D3023)</f>
        <v/>
      </c>
      <c r="H3023" s="0" t="str">
        <f aca="false">IF($C3023="","",IF(COUNTIF('مواد المخزون'!$A$2:$A$90,$C3023)&gt;0,"نعم","لا (خارج الجرد)"))</f>
        <v/>
      </c>
    </row>
    <row r="3024" customFormat="false" ht="15" hidden="false" customHeight="false" outlineLevel="0" collapsed="false">
      <c r="A3024" s="103"/>
      <c r="B3024" s="104"/>
      <c r="C3024" s="104"/>
      <c r="F3024" s="107" t="str">
        <f aca="false">IF(OR($C3024="",$D3024=0),"",$E3024/$D3024)</f>
        <v/>
      </c>
      <c r="H3024" s="0" t="str">
        <f aca="false">IF($C3024="","",IF(COUNTIF('مواد المخزون'!$A$2:$A$90,$C3024)&gt;0,"نعم","لا (خارج الجرد)"))</f>
        <v/>
      </c>
    </row>
    <row r="3025" customFormat="false" ht="15" hidden="false" customHeight="false" outlineLevel="0" collapsed="false">
      <c r="A3025" s="103"/>
      <c r="B3025" s="104"/>
      <c r="C3025" s="104"/>
      <c r="F3025" s="107" t="str">
        <f aca="false">IF(OR($C3025="",$D3025=0),"",$E3025/$D3025)</f>
        <v/>
      </c>
      <c r="H3025" s="0" t="str">
        <f aca="false">IF($C3025="","",IF(COUNTIF('مواد المخزون'!$A$2:$A$90,$C3025)&gt;0,"نعم","لا (خارج الجرد)"))</f>
        <v/>
      </c>
    </row>
    <row r="3026" customFormat="false" ht="15" hidden="false" customHeight="false" outlineLevel="0" collapsed="false">
      <c r="A3026" s="103"/>
      <c r="B3026" s="104"/>
      <c r="C3026" s="104"/>
      <c r="F3026" s="107" t="str">
        <f aca="false">IF(OR($C3026="",$D3026=0),"",$E3026/$D3026)</f>
        <v/>
      </c>
      <c r="H3026" s="0" t="str">
        <f aca="false">IF($C3026="","",IF(COUNTIF('مواد المخزون'!$A$2:$A$90,$C3026)&gt;0,"نعم","لا (خارج الجرد)"))</f>
        <v/>
      </c>
    </row>
    <row r="3027" customFormat="false" ht="15" hidden="false" customHeight="false" outlineLevel="0" collapsed="false">
      <c r="A3027" s="103"/>
      <c r="B3027" s="104"/>
      <c r="C3027" s="104"/>
      <c r="F3027" s="107" t="str">
        <f aca="false">IF(OR($C3027="",$D3027=0),"",$E3027/$D3027)</f>
        <v/>
      </c>
      <c r="H3027" s="0" t="str">
        <f aca="false">IF($C3027="","",IF(COUNTIF('مواد المخزون'!$A$2:$A$90,$C3027)&gt;0,"نعم","لا (خارج الجرد)"))</f>
        <v/>
      </c>
    </row>
    <row r="3028" customFormat="false" ht="15" hidden="false" customHeight="false" outlineLevel="0" collapsed="false">
      <c r="A3028" s="103"/>
      <c r="B3028" s="104"/>
      <c r="C3028" s="104"/>
      <c r="F3028" s="107" t="str">
        <f aca="false">IF(OR($C3028="",$D3028=0),"",$E3028/$D3028)</f>
        <v/>
      </c>
      <c r="H3028" s="0" t="str">
        <f aca="false">IF($C3028="","",IF(COUNTIF('مواد المخزون'!$A$2:$A$90,$C3028)&gt;0,"نعم","لا (خارج الجرد)"))</f>
        <v/>
      </c>
    </row>
    <row r="3029" customFormat="false" ht="15" hidden="false" customHeight="false" outlineLevel="0" collapsed="false">
      <c r="A3029" s="103"/>
      <c r="B3029" s="104"/>
      <c r="C3029" s="104"/>
      <c r="F3029" s="107" t="str">
        <f aca="false">IF(OR($C3029="",$D3029=0),"",$E3029/$D3029)</f>
        <v/>
      </c>
      <c r="H3029" s="0" t="str">
        <f aca="false">IF($C3029="","",IF(COUNTIF('مواد المخزون'!$A$2:$A$90,$C3029)&gt;0,"نعم","لا (خارج الجرد)"))</f>
        <v/>
      </c>
    </row>
    <row r="3030" customFormat="false" ht="15" hidden="false" customHeight="false" outlineLevel="0" collapsed="false">
      <c r="A3030" s="103"/>
      <c r="B3030" s="104"/>
      <c r="C3030" s="104"/>
      <c r="F3030" s="107" t="str">
        <f aca="false">IF(OR($C3030="",$D3030=0),"",$E3030/$D3030)</f>
        <v/>
      </c>
      <c r="H3030" s="0" t="str">
        <f aca="false">IF($C3030="","",IF(COUNTIF('مواد المخزون'!$A$2:$A$90,$C3030)&gt;0,"نعم","لا (خارج الجرد)"))</f>
        <v/>
      </c>
    </row>
    <row r="3031" customFormat="false" ht="15" hidden="false" customHeight="false" outlineLevel="0" collapsed="false">
      <c r="A3031" s="103"/>
      <c r="B3031" s="104"/>
      <c r="C3031" s="104"/>
      <c r="F3031" s="107" t="str">
        <f aca="false">IF(OR($C3031="",$D3031=0),"",$E3031/$D3031)</f>
        <v/>
      </c>
      <c r="H3031" s="0" t="str">
        <f aca="false">IF($C3031="","",IF(COUNTIF('مواد المخزون'!$A$2:$A$90,$C3031)&gt;0,"نعم","لا (خارج الجرد)"))</f>
        <v/>
      </c>
    </row>
    <row r="3032" customFormat="false" ht="15" hidden="false" customHeight="false" outlineLevel="0" collapsed="false">
      <c r="A3032" s="103"/>
      <c r="B3032" s="104"/>
      <c r="C3032" s="104"/>
      <c r="F3032" s="107" t="str">
        <f aca="false">IF(OR($C3032="",$D3032=0),"",$E3032/$D3032)</f>
        <v/>
      </c>
      <c r="H3032" s="0" t="str">
        <f aca="false">IF($C3032="","",IF(COUNTIF('مواد المخزون'!$A$2:$A$90,$C3032)&gt;0,"نعم","لا (خارج الجرد)"))</f>
        <v/>
      </c>
    </row>
    <row r="3033" customFormat="false" ht="15" hidden="false" customHeight="false" outlineLevel="0" collapsed="false">
      <c r="A3033" s="103"/>
      <c r="B3033" s="104"/>
      <c r="C3033" s="104"/>
      <c r="F3033" s="107" t="str">
        <f aca="false">IF(OR($C3033="",$D3033=0),"",$E3033/$D3033)</f>
        <v/>
      </c>
      <c r="H3033" s="0" t="str">
        <f aca="false">IF($C3033="","",IF(COUNTIF('مواد المخزون'!$A$2:$A$90,$C3033)&gt;0,"نعم","لا (خارج الجرد)"))</f>
        <v/>
      </c>
    </row>
    <row r="3034" customFormat="false" ht="15" hidden="false" customHeight="false" outlineLevel="0" collapsed="false">
      <c r="A3034" s="103"/>
      <c r="B3034" s="104"/>
      <c r="C3034" s="104"/>
      <c r="F3034" s="107" t="str">
        <f aca="false">IF(OR($C3034="",$D3034=0),"",$E3034/$D3034)</f>
        <v/>
      </c>
      <c r="H3034" s="0" t="str">
        <f aca="false">IF($C3034="","",IF(COUNTIF('مواد المخزون'!$A$2:$A$90,$C3034)&gt;0,"نعم","لا (خارج الجرد)"))</f>
        <v/>
      </c>
    </row>
    <row r="3035" customFormat="false" ht="15" hidden="false" customHeight="false" outlineLevel="0" collapsed="false">
      <c r="A3035" s="103"/>
      <c r="B3035" s="104"/>
      <c r="C3035" s="104"/>
      <c r="F3035" s="107" t="str">
        <f aca="false">IF(OR($C3035="",$D3035=0),"",$E3035/$D3035)</f>
        <v/>
      </c>
      <c r="H3035" s="0" t="str">
        <f aca="false">IF($C3035="","",IF(COUNTIF('مواد المخزون'!$A$2:$A$90,$C3035)&gt;0,"نعم","لا (خارج الجرد)"))</f>
        <v/>
      </c>
    </row>
    <row r="3036" customFormat="false" ht="15" hidden="false" customHeight="false" outlineLevel="0" collapsed="false">
      <c r="A3036" s="103"/>
      <c r="B3036" s="104"/>
      <c r="C3036" s="104"/>
      <c r="F3036" s="107" t="str">
        <f aca="false">IF(OR($C3036="",$D3036=0),"",$E3036/$D3036)</f>
        <v/>
      </c>
      <c r="H3036" s="0" t="str">
        <f aca="false">IF($C3036="","",IF(COUNTIF('مواد المخزون'!$A$2:$A$90,$C3036)&gt;0,"نعم","لا (خارج الجرد)"))</f>
        <v/>
      </c>
    </row>
    <row r="3037" customFormat="false" ht="15" hidden="false" customHeight="false" outlineLevel="0" collapsed="false">
      <c r="A3037" s="103"/>
      <c r="B3037" s="104"/>
      <c r="C3037" s="104"/>
      <c r="F3037" s="107" t="str">
        <f aca="false">IF(OR($C3037="",$D3037=0),"",$E3037/$D3037)</f>
        <v/>
      </c>
      <c r="H3037" s="0" t="str">
        <f aca="false">IF($C3037="","",IF(COUNTIF('مواد المخزون'!$A$2:$A$90,$C3037)&gt;0,"نعم","لا (خارج الجرد)"))</f>
        <v/>
      </c>
    </row>
    <row r="3038" customFormat="false" ht="15" hidden="false" customHeight="false" outlineLevel="0" collapsed="false">
      <c r="A3038" s="103"/>
      <c r="B3038" s="104"/>
      <c r="C3038" s="104"/>
      <c r="F3038" s="107" t="str">
        <f aca="false">IF(OR($C3038="",$D3038=0),"",$E3038/$D3038)</f>
        <v/>
      </c>
      <c r="H3038" s="0" t="str">
        <f aca="false">IF($C3038="","",IF(COUNTIF('مواد المخزون'!$A$2:$A$90,$C3038)&gt;0,"نعم","لا (خارج الجرد)"))</f>
        <v/>
      </c>
    </row>
    <row r="3039" customFormat="false" ht="15" hidden="false" customHeight="false" outlineLevel="0" collapsed="false">
      <c r="A3039" s="103"/>
      <c r="B3039" s="104"/>
      <c r="C3039" s="104"/>
      <c r="F3039" s="107" t="str">
        <f aca="false">IF(OR($C3039="",$D3039=0),"",$E3039/$D3039)</f>
        <v/>
      </c>
      <c r="H3039" s="0" t="str">
        <f aca="false">IF($C3039="","",IF(COUNTIF('مواد المخزون'!$A$2:$A$90,$C3039)&gt;0,"نعم","لا (خارج الجرد)"))</f>
        <v/>
      </c>
    </row>
    <row r="3040" customFormat="false" ht="15" hidden="false" customHeight="false" outlineLevel="0" collapsed="false">
      <c r="A3040" s="103"/>
      <c r="B3040" s="104"/>
      <c r="C3040" s="104"/>
      <c r="F3040" s="107" t="str">
        <f aca="false">IF(OR($C3040="",$D3040=0),"",$E3040/$D3040)</f>
        <v/>
      </c>
      <c r="H3040" s="0" t="str">
        <f aca="false">IF($C3040="","",IF(COUNTIF('مواد المخزون'!$A$2:$A$90,$C3040)&gt;0,"نعم","لا (خارج الجرد)"))</f>
        <v/>
      </c>
    </row>
    <row r="3041" customFormat="false" ht="15" hidden="false" customHeight="false" outlineLevel="0" collapsed="false">
      <c r="A3041" s="103"/>
      <c r="B3041" s="104"/>
      <c r="C3041" s="104"/>
      <c r="F3041" s="107" t="str">
        <f aca="false">IF(OR($C3041="",$D3041=0),"",$E3041/$D3041)</f>
        <v/>
      </c>
      <c r="H3041" s="0" t="str">
        <f aca="false">IF($C3041="","",IF(COUNTIF('مواد المخزون'!$A$2:$A$90,$C3041)&gt;0,"نعم","لا (خارج الجرد)"))</f>
        <v/>
      </c>
    </row>
    <row r="3042" customFormat="false" ht="15" hidden="false" customHeight="false" outlineLevel="0" collapsed="false">
      <c r="A3042" s="103"/>
      <c r="B3042" s="104"/>
      <c r="C3042" s="104"/>
      <c r="F3042" s="107" t="str">
        <f aca="false">IF(OR($C3042="",$D3042=0),"",$E3042/$D3042)</f>
        <v/>
      </c>
      <c r="H3042" s="0" t="str">
        <f aca="false">IF($C3042="","",IF(COUNTIF('مواد المخزون'!$A$2:$A$90,$C3042)&gt;0,"نعم","لا (خارج الجرد)"))</f>
        <v/>
      </c>
    </row>
    <row r="3043" customFormat="false" ht="15" hidden="false" customHeight="false" outlineLevel="0" collapsed="false">
      <c r="A3043" s="103"/>
      <c r="B3043" s="104"/>
      <c r="C3043" s="104"/>
      <c r="F3043" s="107" t="str">
        <f aca="false">IF(OR($C3043="",$D3043=0),"",$E3043/$D3043)</f>
        <v/>
      </c>
      <c r="H3043" s="0" t="str">
        <f aca="false">IF($C3043="","",IF(COUNTIF('مواد المخزون'!$A$2:$A$90,$C3043)&gt;0,"نعم","لا (خارج الجرد)"))</f>
        <v/>
      </c>
    </row>
    <row r="3044" customFormat="false" ht="15" hidden="false" customHeight="false" outlineLevel="0" collapsed="false">
      <c r="A3044" s="103"/>
      <c r="B3044" s="104"/>
      <c r="C3044" s="104"/>
      <c r="F3044" s="107" t="str">
        <f aca="false">IF(OR($C3044="",$D3044=0),"",$E3044/$D3044)</f>
        <v/>
      </c>
      <c r="H3044" s="0" t="str">
        <f aca="false">IF($C3044="","",IF(COUNTIF('مواد المخزون'!$A$2:$A$90,$C3044)&gt;0,"نعم","لا (خارج الجرد)"))</f>
        <v/>
      </c>
    </row>
    <row r="3045" customFormat="false" ht="15" hidden="false" customHeight="false" outlineLevel="0" collapsed="false">
      <c r="A3045" s="103"/>
      <c r="B3045" s="104"/>
      <c r="C3045" s="104"/>
      <c r="F3045" s="107" t="str">
        <f aca="false">IF(OR($C3045="",$D3045=0),"",$E3045/$D3045)</f>
        <v/>
      </c>
      <c r="H3045" s="0" t="str">
        <f aca="false">IF($C3045="","",IF(COUNTIF('مواد المخزون'!$A$2:$A$90,$C3045)&gt;0,"نعم","لا (خارج الجرد)"))</f>
        <v/>
      </c>
    </row>
    <row r="3046" customFormat="false" ht="15" hidden="false" customHeight="false" outlineLevel="0" collapsed="false">
      <c r="A3046" s="103"/>
      <c r="B3046" s="104"/>
      <c r="C3046" s="104"/>
      <c r="F3046" s="107" t="str">
        <f aca="false">IF(OR($C3046="",$D3046=0),"",$E3046/$D3046)</f>
        <v/>
      </c>
      <c r="H3046" s="0" t="str">
        <f aca="false">IF($C3046="","",IF(COUNTIF('مواد المخزون'!$A$2:$A$90,$C3046)&gt;0,"نعم","لا (خارج الجرد)"))</f>
        <v/>
      </c>
    </row>
    <row r="3047" customFormat="false" ht="15" hidden="false" customHeight="false" outlineLevel="0" collapsed="false">
      <c r="A3047" s="103"/>
      <c r="B3047" s="104"/>
      <c r="C3047" s="104"/>
      <c r="F3047" s="107" t="str">
        <f aca="false">IF(OR($C3047="",$D3047=0),"",$E3047/$D3047)</f>
        <v/>
      </c>
      <c r="H3047" s="0" t="str">
        <f aca="false">IF($C3047="","",IF(COUNTIF('مواد المخزون'!$A$2:$A$90,$C3047)&gt;0,"نعم","لا (خارج الجرد)"))</f>
        <v/>
      </c>
    </row>
    <row r="3048" customFormat="false" ht="15" hidden="false" customHeight="false" outlineLevel="0" collapsed="false">
      <c r="A3048" s="103"/>
      <c r="B3048" s="104"/>
      <c r="C3048" s="104"/>
      <c r="F3048" s="107" t="str">
        <f aca="false">IF(OR($C3048="",$D3048=0),"",$E3048/$D3048)</f>
        <v/>
      </c>
      <c r="H3048" s="0" t="str">
        <f aca="false">IF($C3048="","",IF(COUNTIF('مواد المخزون'!$A$2:$A$90,$C3048)&gt;0,"نعم","لا (خارج الجرد)"))</f>
        <v/>
      </c>
    </row>
    <row r="3049" customFormat="false" ht="15" hidden="false" customHeight="false" outlineLevel="0" collapsed="false">
      <c r="A3049" s="103"/>
      <c r="B3049" s="104"/>
      <c r="C3049" s="104"/>
      <c r="F3049" s="107" t="str">
        <f aca="false">IF(OR($C3049="",$D3049=0),"",$E3049/$D3049)</f>
        <v/>
      </c>
      <c r="H3049" s="0" t="str">
        <f aca="false">IF($C3049="","",IF(COUNTIF('مواد المخزون'!$A$2:$A$90,$C3049)&gt;0,"نعم","لا (خارج الجرد)"))</f>
        <v/>
      </c>
    </row>
    <row r="3050" customFormat="false" ht="15" hidden="false" customHeight="false" outlineLevel="0" collapsed="false">
      <c r="A3050" s="103"/>
      <c r="B3050" s="104"/>
      <c r="C3050" s="104"/>
      <c r="F3050" s="107" t="str">
        <f aca="false">IF(OR($C3050="",$D3050=0),"",$E3050/$D3050)</f>
        <v/>
      </c>
      <c r="H3050" s="0" t="str">
        <f aca="false">IF($C3050="","",IF(COUNTIF('مواد المخزون'!$A$2:$A$90,$C3050)&gt;0,"نعم","لا (خارج الجرد)"))</f>
        <v/>
      </c>
    </row>
    <row r="3051" customFormat="false" ht="15" hidden="false" customHeight="false" outlineLevel="0" collapsed="false">
      <c r="A3051" s="103"/>
      <c r="B3051" s="104"/>
      <c r="C3051" s="104"/>
      <c r="F3051" s="107" t="str">
        <f aca="false">IF(OR($C3051="",$D3051=0),"",$E3051/$D3051)</f>
        <v/>
      </c>
      <c r="H3051" s="0" t="str">
        <f aca="false">IF($C3051="","",IF(COUNTIF('مواد المخزون'!$A$2:$A$90,$C3051)&gt;0,"نعم","لا (خارج الجرد)"))</f>
        <v/>
      </c>
    </row>
    <row r="3052" customFormat="false" ht="15" hidden="false" customHeight="false" outlineLevel="0" collapsed="false">
      <c r="A3052" s="103"/>
      <c r="B3052" s="104"/>
      <c r="C3052" s="104"/>
      <c r="F3052" s="107" t="str">
        <f aca="false">IF(OR($C3052="",$D3052=0),"",$E3052/$D3052)</f>
        <v/>
      </c>
      <c r="H3052" s="0" t="str">
        <f aca="false">IF($C3052="","",IF(COUNTIF('مواد المخزون'!$A$2:$A$90,$C3052)&gt;0,"نعم","لا (خارج الجرد)"))</f>
        <v/>
      </c>
    </row>
    <row r="3053" customFormat="false" ht="15" hidden="false" customHeight="false" outlineLevel="0" collapsed="false">
      <c r="A3053" s="103"/>
      <c r="B3053" s="104"/>
      <c r="C3053" s="104"/>
      <c r="F3053" s="107" t="str">
        <f aca="false">IF(OR($C3053="",$D3053=0),"",$E3053/$D3053)</f>
        <v/>
      </c>
      <c r="H3053" s="0" t="str">
        <f aca="false">IF($C3053="","",IF(COUNTIF('مواد المخزون'!$A$2:$A$90,$C3053)&gt;0,"نعم","لا (خارج الجرد)"))</f>
        <v/>
      </c>
    </row>
    <row r="3054" customFormat="false" ht="15" hidden="false" customHeight="false" outlineLevel="0" collapsed="false">
      <c r="A3054" s="103"/>
      <c r="B3054" s="104"/>
      <c r="C3054" s="104"/>
      <c r="F3054" s="107" t="str">
        <f aca="false">IF(OR($C3054="",$D3054=0),"",$E3054/$D3054)</f>
        <v/>
      </c>
      <c r="H3054" s="0" t="str">
        <f aca="false">IF($C3054="","",IF(COUNTIF('مواد المخزون'!$A$2:$A$90,$C3054)&gt;0,"نعم","لا (خارج الجرد)"))</f>
        <v/>
      </c>
    </row>
    <row r="3055" customFormat="false" ht="15" hidden="false" customHeight="false" outlineLevel="0" collapsed="false">
      <c r="A3055" s="103"/>
      <c r="B3055" s="104"/>
      <c r="C3055" s="104"/>
      <c r="F3055" s="107" t="str">
        <f aca="false">IF(OR($C3055="",$D3055=0),"",$E3055/$D3055)</f>
        <v/>
      </c>
      <c r="H3055" s="0" t="str">
        <f aca="false">IF($C3055="","",IF(COUNTIF('مواد المخزون'!$A$2:$A$90,$C3055)&gt;0,"نعم","لا (خارج الجرد)"))</f>
        <v/>
      </c>
    </row>
    <row r="3056" customFormat="false" ht="15" hidden="false" customHeight="false" outlineLevel="0" collapsed="false">
      <c r="A3056" s="103"/>
      <c r="B3056" s="104"/>
      <c r="C3056" s="104"/>
      <c r="F3056" s="107" t="str">
        <f aca="false">IF(OR($C3056="",$D3056=0),"",$E3056/$D3056)</f>
        <v/>
      </c>
      <c r="H3056" s="0" t="str">
        <f aca="false">IF($C3056="","",IF(COUNTIF('مواد المخزون'!$A$2:$A$90,$C3056)&gt;0,"نعم","لا (خارج الجرد)"))</f>
        <v/>
      </c>
    </row>
    <row r="3057" customFormat="false" ht="15" hidden="false" customHeight="false" outlineLevel="0" collapsed="false">
      <c r="A3057" s="103"/>
      <c r="B3057" s="104"/>
      <c r="C3057" s="104"/>
      <c r="F3057" s="107" t="str">
        <f aca="false">IF(OR($C3057="",$D3057=0),"",$E3057/$D3057)</f>
        <v/>
      </c>
      <c r="H3057" s="0" t="str">
        <f aca="false">IF($C3057="","",IF(COUNTIF('مواد المخزون'!$A$2:$A$90,$C3057)&gt;0,"نعم","لا (خارج الجرد)"))</f>
        <v/>
      </c>
    </row>
    <row r="3058" customFormat="false" ht="15" hidden="false" customHeight="false" outlineLevel="0" collapsed="false">
      <c r="A3058" s="103"/>
      <c r="B3058" s="104"/>
      <c r="C3058" s="104"/>
      <c r="F3058" s="107" t="str">
        <f aca="false">IF(OR($C3058="",$D3058=0),"",$E3058/$D3058)</f>
        <v/>
      </c>
      <c r="H3058" s="0" t="str">
        <f aca="false">IF($C3058="","",IF(COUNTIF('مواد المخزون'!$A$2:$A$90,$C3058)&gt;0,"نعم","لا (خارج الجرد)"))</f>
        <v/>
      </c>
    </row>
    <row r="3059" customFormat="false" ht="15" hidden="false" customHeight="false" outlineLevel="0" collapsed="false">
      <c r="A3059" s="103"/>
      <c r="B3059" s="104"/>
      <c r="C3059" s="104"/>
      <c r="F3059" s="107" t="str">
        <f aca="false">IF(OR($C3059="",$D3059=0),"",$E3059/$D3059)</f>
        <v/>
      </c>
      <c r="H3059" s="0" t="str">
        <f aca="false">IF($C3059="","",IF(COUNTIF('مواد المخزون'!$A$2:$A$90,$C3059)&gt;0,"نعم","لا (خارج الجرد)"))</f>
        <v/>
      </c>
    </row>
    <row r="3060" customFormat="false" ht="15" hidden="false" customHeight="false" outlineLevel="0" collapsed="false">
      <c r="A3060" s="103"/>
      <c r="B3060" s="104"/>
      <c r="C3060" s="104"/>
      <c r="F3060" s="107" t="str">
        <f aca="false">IF(OR($C3060="",$D3060=0),"",$E3060/$D3060)</f>
        <v/>
      </c>
      <c r="H3060" s="0" t="str">
        <f aca="false">IF($C3060="","",IF(COUNTIF('مواد المخزون'!$A$2:$A$90,$C3060)&gt;0,"نعم","لا (خارج الجرد)"))</f>
        <v/>
      </c>
    </row>
    <row r="3061" customFormat="false" ht="15" hidden="false" customHeight="false" outlineLevel="0" collapsed="false">
      <c r="A3061" s="103"/>
      <c r="B3061" s="104"/>
      <c r="C3061" s="104"/>
      <c r="F3061" s="107" t="str">
        <f aca="false">IF(OR($C3061="",$D3061=0),"",$E3061/$D3061)</f>
        <v/>
      </c>
      <c r="H3061" s="0" t="str">
        <f aca="false">IF($C3061="","",IF(COUNTIF('مواد المخزون'!$A$2:$A$90,$C3061)&gt;0,"نعم","لا (خارج الجرد)"))</f>
        <v/>
      </c>
    </row>
    <row r="3062" customFormat="false" ht="15" hidden="false" customHeight="false" outlineLevel="0" collapsed="false">
      <c r="A3062" s="103"/>
      <c r="B3062" s="104"/>
      <c r="C3062" s="104"/>
      <c r="F3062" s="107" t="str">
        <f aca="false">IF(OR($C3062="",$D3062=0),"",$E3062/$D3062)</f>
        <v/>
      </c>
      <c r="H3062" s="0" t="str">
        <f aca="false">IF($C3062="","",IF(COUNTIF('مواد المخزون'!$A$2:$A$90,$C3062)&gt;0,"نعم","لا (خارج الجرد)"))</f>
        <v/>
      </c>
    </row>
    <row r="3063" customFormat="false" ht="15" hidden="false" customHeight="false" outlineLevel="0" collapsed="false">
      <c r="A3063" s="103"/>
      <c r="B3063" s="104"/>
      <c r="C3063" s="104"/>
      <c r="F3063" s="107" t="str">
        <f aca="false">IF(OR($C3063="",$D3063=0),"",$E3063/$D3063)</f>
        <v/>
      </c>
      <c r="H3063" s="0" t="str">
        <f aca="false">IF($C3063="","",IF(COUNTIF('مواد المخزون'!$A$2:$A$90,$C3063)&gt;0,"نعم","لا (خارج الجرد)"))</f>
        <v/>
      </c>
    </row>
    <row r="3064" customFormat="false" ht="15" hidden="false" customHeight="false" outlineLevel="0" collapsed="false">
      <c r="A3064" s="103"/>
      <c r="B3064" s="104"/>
      <c r="C3064" s="104"/>
      <c r="F3064" s="107" t="str">
        <f aca="false">IF(OR($C3064="",$D3064=0),"",$E3064/$D3064)</f>
        <v/>
      </c>
      <c r="H3064" s="0" t="str">
        <f aca="false">IF($C3064="","",IF(COUNTIF('مواد المخزون'!$A$2:$A$90,$C3064)&gt;0,"نعم","لا (خارج الجرد)"))</f>
        <v/>
      </c>
    </row>
    <row r="3065" customFormat="false" ht="15" hidden="false" customHeight="false" outlineLevel="0" collapsed="false">
      <c r="A3065" s="103"/>
      <c r="B3065" s="104"/>
      <c r="C3065" s="104"/>
      <c r="F3065" s="107" t="str">
        <f aca="false">IF(OR($C3065="",$D3065=0),"",$E3065/$D3065)</f>
        <v/>
      </c>
      <c r="H3065" s="0" t="str">
        <f aca="false">IF($C3065="","",IF(COUNTIF('مواد المخزون'!$A$2:$A$90,$C3065)&gt;0,"نعم","لا (خارج الجرد)"))</f>
        <v/>
      </c>
    </row>
    <row r="3066" customFormat="false" ht="15" hidden="false" customHeight="false" outlineLevel="0" collapsed="false">
      <c r="A3066" s="103"/>
      <c r="B3066" s="104"/>
      <c r="C3066" s="104"/>
      <c r="F3066" s="107" t="str">
        <f aca="false">IF(OR($C3066="",$D3066=0),"",$E3066/$D3066)</f>
        <v/>
      </c>
      <c r="H3066" s="0" t="str">
        <f aca="false">IF($C3066="","",IF(COUNTIF('مواد المخزون'!$A$2:$A$90,$C3066)&gt;0,"نعم","لا (خارج الجرد)"))</f>
        <v/>
      </c>
    </row>
    <row r="3067" customFormat="false" ht="15" hidden="false" customHeight="false" outlineLevel="0" collapsed="false">
      <c r="A3067" s="103"/>
      <c r="B3067" s="104"/>
      <c r="C3067" s="104"/>
      <c r="F3067" s="107" t="str">
        <f aca="false">IF(OR($C3067="",$D3067=0),"",$E3067/$D3067)</f>
        <v/>
      </c>
      <c r="H3067" s="0" t="str">
        <f aca="false">IF($C3067="","",IF(COUNTIF('مواد المخزون'!$A$2:$A$90,$C3067)&gt;0,"نعم","لا (خارج الجرد)"))</f>
        <v/>
      </c>
    </row>
    <row r="3068" customFormat="false" ht="15" hidden="false" customHeight="false" outlineLevel="0" collapsed="false">
      <c r="A3068" s="103"/>
      <c r="B3068" s="104"/>
      <c r="C3068" s="104"/>
      <c r="F3068" s="107" t="str">
        <f aca="false">IF(OR($C3068="",$D3068=0),"",$E3068/$D3068)</f>
        <v/>
      </c>
      <c r="H3068" s="0" t="str">
        <f aca="false">IF($C3068="","",IF(COUNTIF('مواد المخزون'!$A$2:$A$90,$C3068)&gt;0,"نعم","لا (خارج الجرد)"))</f>
        <v/>
      </c>
    </row>
    <row r="3069" customFormat="false" ht="15" hidden="false" customHeight="false" outlineLevel="0" collapsed="false">
      <c r="A3069" s="103"/>
      <c r="B3069" s="104"/>
      <c r="C3069" s="104"/>
      <c r="F3069" s="107" t="str">
        <f aca="false">IF(OR($C3069="",$D3069=0),"",$E3069/$D3069)</f>
        <v/>
      </c>
      <c r="H3069" s="0" t="str">
        <f aca="false">IF($C3069="","",IF(COUNTIF('مواد المخزون'!$A$2:$A$90,$C3069)&gt;0,"نعم","لا (خارج الجرد)"))</f>
        <v/>
      </c>
    </row>
    <row r="3070" customFormat="false" ht="15" hidden="false" customHeight="false" outlineLevel="0" collapsed="false">
      <c r="A3070" s="103"/>
      <c r="B3070" s="104"/>
      <c r="C3070" s="104"/>
      <c r="F3070" s="107" t="str">
        <f aca="false">IF(OR($C3070="",$D3070=0),"",$E3070/$D3070)</f>
        <v/>
      </c>
      <c r="H3070" s="0" t="str">
        <f aca="false">IF($C3070="","",IF(COUNTIF('مواد المخزون'!$A$2:$A$90,$C3070)&gt;0,"نعم","لا (خارج الجرد)"))</f>
        <v/>
      </c>
    </row>
    <row r="3071" customFormat="false" ht="15" hidden="false" customHeight="false" outlineLevel="0" collapsed="false">
      <c r="A3071" s="103"/>
      <c r="B3071" s="104"/>
      <c r="C3071" s="104"/>
      <c r="F3071" s="107" t="str">
        <f aca="false">IF(OR($C3071="",$D3071=0),"",$E3071/$D3071)</f>
        <v/>
      </c>
      <c r="H3071" s="0" t="str">
        <f aca="false">IF($C3071="","",IF(COUNTIF('مواد المخزون'!$A$2:$A$90,$C3071)&gt;0,"نعم","لا (خارج الجرد)"))</f>
        <v/>
      </c>
    </row>
    <row r="3072" customFormat="false" ht="15" hidden="false" customHeight="false" outlineLevel="0" collapsed="false">
      <c r="A3072" s="103"/>
      <c r="B3072" s="104"/>
      <c r="C3072" s="104"/>
      <c r="F3072" s="107" t="str">
        <f aca="false">IF(OR($C3072="",$D3072=0),"",$E3072/$D3072)</f>
        <v/>
      </c>
      <c r="H3072" s="0" t="str">
        <f aca="false">IF($C3072="","",IF(COUNTIF('مواد المخزون'!$A$2:$A$90,$C3072)&gt;0,"نعم","لا (خارج الجرد)"))</f>
        <v/>
      </c>
    </row>
    <row r="3073" customFormat="false" ht="15" hidden="false" customHeight="false" outlineLevel="0" collapsed="false">
      <c r="A3073" s="103"/>
      <c r="B3073" s="104"/>
      <c r="C3073" s="104"/>
      <c r="F3073" s="107" t="str">
        <f aca="false">IF(OR($C3073="",$D3073=0),"",$E3073/$D3073)</f>
        <v/>
      </c>
      <c r="H3073" s="0" t="str">
        <f aca="false">IF($C3073="","",IF(COUNTIF('مواد المخزون'!$A$2:$A$90,$C3073)&gt;0,"نعم","لا (خارج الجرد)"))</f>
        <v/>
      </c>
    </row>
    <row r="3074" customFormat="false" ht="15" hidden="false" customHeight="false" outlineLevel="0" collapsed="false">
      <c r="A3074" s="103"/>
      <c r="B3074" s="104"/>
      <c r="C3074" s="104"/>
      <c r="F3074" s="107" t="str">
        <f aca="false">IF(OR($C3074="",$D3074=0),"",$E3074/$D3074)</f>
        <v/>
      </c>
      <c r="H3074" s="0" t="str">
        <f aca="false">IF($C3074="","",IF(COUNTIF('مواد المخزون'!$A$2:$A$90,$C3074)&gt;0,"نعم","لا (خارج الجرد)"))</f>
        <v/>
      </c>
    </row>
    <row r="3075" customFormat="false" ht="15" hidden="false" customHeight="false" outlineLevel="0" collapsed="false">
      <c r="A3075" s="103"/>
      <c r="B3075" s="104"/>
      <c r="C3075" s="104"/>
      <c r="F3075" s="107" t="str">
        <f aca="false">IF(OR($C3075="",$D3075=0),"",$E3075/$D3075)</f>
        <v/>
      </c>
      <c r="H3075" s="0" t="str">
        <f aca="false">IF($C3075="","",IF(COUNTIF('مواد المخزون'!$A$2:$A$90,$C3075)&gt;0,"نعم","لا (خارج الجرد)"))</f>
        <v/>
      </c>
    </row>
    <row r="3076" customFormat="false" ht="15" hidden="false" customHeight="false" outlineLevel="0" collapsed="false">
      <c r="A3076" s="103"/>
      <c r="B3076" s="104"/>
      <c r="C3076" s="104"/>
      <c r="F3076" s="107" t="str">
        <f aca="false">IF(OR($C3076="",$D3076=0),"",$E3076/$D3076)</f>
        <v/>
      </c>
      <c r="H3076" s="0" t="str">
        <f aca="false">IF($C3076="","",IF(COUNTIF('مواد المخزون'!$A$2:$A$90,$C3076)&gt;0,"نعم","لا (خارج الجرد)"))</f>
        <v/>
      </c>
    </row>
    <row r="3077" customFormat="false" ht="15" hidden="false" customHeight="false" outlineLevel="0" collapsed="false">
      <c r="A3077" s="103"/>
      <c r="B3077" s="104"/>
      <c r="C3077" s="104"/>
      <c r="F3077" s="107" t="str">
        <f aca="false">IF(OR($C3077="",$D3077=0),"",$E3077/$D3077)</f>
        <v/>
      </c>
      <c r="H3077" s="0" t="str">
        <f aca="false">IF($C3077="","",IF(COUNTIF('مواد المخزون'!$A$2:$A$90,$C3077)&gt;0,"نعم","لا (خارج الجرد)"))</f>
        <v/>
      </c>
    </row>
    <row r="3078" customFormat="false" ht="15" hidden="false" customHeight="false" outlineLevel="0" collapsed="false">
      <c r="A3078" s="103"/>
      <c r="B3078" s="104"/>
      <c r="C3078" s="104"/>
      <c r="F3078" s="107" t="str">
        <f aca="false">IF(OR($C3078="",$D3078=0),"",$E3078/$D3078)</f>
        <v/>
      </c>
      <c r="H3078" s="0" t="str">
        <f aca="false">IF($C3078="","",IF(COUNTIF('مواد المخزون'!$A$2:$A$90,$C3078)&gt;0,"نعم","لا (خارج الجرد)"))</f>
        <v/>
      </c>
    </row>
    <row r="3079" customFormat="false" ht="15" hidden="false" customHeight="false" outlineLevel="0" collapsed="false">
      <c r="A3079" s="103"/>
      <c r="B3079" s="104"/>
      <c r="C3079" s="104"/>
      <c r="F3079" s="107" t="str">
        <f aca="false">IF(OR($C3079="",$D3079=0),"",$E3079/$D3079)</f>
        <v/>
      </c>
      <c r="H3079" s="0" t="str">
        <f aca="false">IF($C3079="","",IF(COUNTIF('مواد المخزون'!$A$2:$A$90,$C3079)&gt;0,"نعم","لا (خارج الجرد)"))</f>
        <v/>
      </c>
    </row>
    <row r="3080" customFormat="false" ht="15" hidden="false" customHeight="false" outlineLevel="0" collapsed="false">
      <c r="A3080" s="103"/>
      <c r="B3080" s="104"/>
      <c r="C3080" s="104"/>
      <c r="F3080" s="107" t="str">
        <f aca="false">IF(OR($C3080="",$D3080=0),"",$E3080/$D3080)</f>
        <v/>
      </c>
      <c r="H3080" s="0" t="str">
        <f aca="false">IF($C3080="","",IF(COUNTIF('مواد المخزون'!$A$2:$A$90,$C3080)&gt;0,"نعم","لا (خارج الجرد)"))</f>
        <v/>
      </c>
    </row>
    <row r="3081" customFormat="false" ht="15" hidden="false" customHeight="false" outlineLevel="0" collapsed="false">
      <c r="A3081" s="103"/>
      <c r="B3081" s="104"/>
      <c r="C3081" s="104"/>
      <c r="F3081" s="107" t="str">
        <f aca="false">IF(OR($C3081="",$D3081=0),"",$E3081/$D3081)</f>
        <v/>
      </c>
      <c r="H3081" s="0" t="str">
        <f aca="false">IF($C3081="","",IF(COUNTIF('مواد المخزون'!$A$2:$A$90,$C3081)&gt;0,"نعم","لا (خارج الجرد)"))</f>
        <v/>
      </c>
    </row>
    <row r="3082" customFormat="false" ht="15" hidden="false" customHeight="false" outlineLevel="0" collapsed="false">
      <c r="A3082" s="103"/>
      <c r="B3082" s="104"/>
      <c r="C3082" s="104"/>
      <c r="F3082" s="107" t="str">
        <f aca="false">IF(OR($C3082="",$D3082=0),"",$E3082/$D3082)</f>
        <v/>
      </c>
      <c r="H3082" s="0" t="str">
        <f aca="false">IF($C3082="","",IF(COUNTIF('مواد المخزون'!$A$2:$A$90,$C3082)&gt;0,"نعم","لا (خارج الجرد)"))</f>
        <v/>
      </c>
    </row>
    <row r="3083" customFormat="false" ht="15" hidden="false" customHeight="false" outlineLevel="0" collapsed="false">
      <c r="A3083" s="103"/>
      <c r="B3083" s="104"/>
      <c r="C3083" s="104"/>
      <c r="F3083" s="107" t="str">
        <f aca="false">IF(OR($C3083="",$D3083=0),"",$E3083/$D3083)</f>
        <v/>
      </c>
      <c r="H3083" s="0" t="str">
        <f aca="false">IF($C3083="","",IF(COUNTIF('مواد المخزون'!$A$2:$A$90,$C3083)&gt;0,"نعم","لا (خارج الجرد)"))</f>
        <v/>
      </c>
    </row>
    <row r="3084" customFormat="false" ht="15" hidden="false" customHeight="false" outlineLevel="0" collapsed="false">
      <c r="A3084" s="103"/>
      <c r="B3084" s="104"/>
      <c r="C3084" s="104"/>
      <c r="F3084" s="107" t="str">
        <f aca="false">IF(OR($C3084="",$D3084=0),"",$E3084/$D3084)</f>
        <v/>
      </c>
      <c r="H3084" s="0" t="str">
        <f aca="false">IF($C3084="","",IF(COUNTIF('مواد المخزون'!$A$2:$A$90,$C3084)&gt;0,"نعم","لا (خارج الجرد)"))</f>
        <v/>
      </c>
    </row>
    <row r="3085" customFormat="false" ht="15" hidden="false" customHeight="false" outlineLevel="0" collapsed="false">
      <c r="A3085" s="103"/>
      <c r="B3085" s="104"/>
      <c r="C3085" s="104"/>
      <c r="F3085" s="107" t="str">
        <f aca="false">IF(OR($C3085="",$D3085=0),"",$E3085/$D3085)</f>
        <v/>
      </c>
      <c r="H3085" s="0" t="str">
        <f aca="false">IF($C3085="","",IF(COUNTIF('مواد المخزون'!$A$2:$A$90,$C3085)&gt;0,"نعم","لا (خارج الجرد)"))</f>
        <v/>
      </c>
    </row>
    <row r="3086" customFormat="false" ht="15" hidden="false" customHeight="false" outlineLevel="0" collapsed="false">
      <c r="A3086" s="103"/>
      <c r="B3086" s="104"/>
      <c r="C3086" s="104"/>
      <c r="F3086" s="107" t="str">
        <f aca="false">IF(OR($C3086="",$D3086=0),"",$E3086/$D3086)</f>
        <v/>
      </c>
      <c r="H3086" s="0" t="str">
        <f aca="false">IF($C3086="","",IF(COUNTIF('مواد المخزون'!$A$2:$A$90,$C3086)&gt;0,"نعم","لا (خارج الجرد)"))</f>
        <v/>
      </c>
    </row>
    <row r="3087" customFormat="false" ht="15" hidden="false" customHeight="false" outlineLevel="0" collapsed="false">
      <c r="A3087" s="103"/>
      <c r="B3087" s="104"/>
      <c r="C3087" s="104"/>
      <c r="F3087" s="107" t="str">
        <f aca="false">IF(OR($C3087="",$D3087=0),"",$E3087/$D3087)</f>
        <v/>
      </c>
      <c r="H3087" s="0" t="str">
        <f aca="false">IF($C3087="","",IF(COUNTIF('مواد المخزون'!$A$2:$A$90,$C3087)&gt;0,"نعم","لا (خارج الجرد)"))</f>
        <v/>
      </c>
    </row>
    <row r="3088" customFormat="false" ht="15" hidden="false" customHeight="false" outlineLevel="0" collapsed="false">
      <c r="A3088" s="103"/>
      <c r="B3088" s="104"/>
      <c r="C3088" s="104"/>
      <c r="F3088" s="107" t="str">
        <f aca="false">IF(OR($C3088="",$D3088=0),"",$E3088/$D3088)</f>
        <v/>
      </c>
      <c r="H3088" s="0" t="str">
        <f aca="false">IF($C3088="","",IF(COUNTIF('مواد المخزون'!$A$2:$A$90,$C3088)&gt;0,"نعم","لا (خارج الجرد)"))</f>
        <v/>
      </c>
    </row>
    <row r="3089" customFormat="false" ht="15" hidden="false" customHeight="false" outlineLevel="0" collapsed="false">
      <c r="A3089" s="103"/>
      <c r="B3089" s="104"/>
      <c r="C3089" s="104"/>
      <c r="F3089" s="107" t="str">
        <f aca="false">IF(OR($C3089="",$D3089=0),"",$E3089/$D3089)</f>
        <v/>
      </c>
      <c r="H3089" s="0" t="str">
        <f aca="false">IF($C3089="","",IF(COUNTIF('مواد المخزون'!$A$2:$A$90,$C3089)&gt;0,"نعم","لا (خارج الجرد)"))</f>
        <v/>
      </c>
    </row>
    <row r="3090" customFormat="false" ht="15" hidden="false" customHeight="false" outlineLevel="0" collapsed="false">
      <c r="A3090" s="103"/>
      <c r="B3090" s="104"/>
      <c r="C3090" s="104"/>
      <c r="F3090" s="107" t="str">
        <f aca="false">IF(OR($C3090="",$D3090=0),"",$E3090/$D3090)</f>
        <v/>
      </c>
      <c r="H3090" s="0" t="str">
        <f aca="false">IF($C3090="","",IF(COUNTIF('مواد المخزون'!$A$2:$A$90,$C3090)&gt;0,"نعم","لا (خارج الجرد)"))</f>
        <v/>
      </c>
    </row>
    <row r="3091" customFormat="false" ht="15" hidden="false" customHeight="false" outlineLevel="0" collapsed="false">
      <c r="A3091" s="103"/>
      <c r="B3091" s="104"/>
      <c r="C3091" s="104"/>
      <c r="F3091" s="107" t="str">
        <f aca="false">IF(OR($C3091="",$D3091=0),"",$E3091/$D3091)</f>
        <v/>
      </c>
      <c r="H3091" s="0" t="str">
        <f aca="false">IF($C3091="","",IF(COUNTIF('مواد المخزون'!$A$2:$A$90,$C3091)&gt;0,"نعم","لا (خارج الجرد)"))</f>
        <v/>
      </c>
    </row>
    <row r="3092" customFormat="false" ht="15" hidden="false" customHeight="false" outlineLevel="0" collapsed="false">
      <c r="A3092" s="103"/>
      <c r="B3092" s="104"/>
      <c r="C3092" s="104"/>
      <c r="F3092" s="107" t="str">
        <f aca="false">IF(OR($C3092="",$D3092=0),"",$E3092/$D3092)</f>
        <v/>
      </c>
      <c r="H3092" s="0" t="str">
        <f aca="false">IF($C3092="","",IF(COUNTIF('مواد المخزون'!$A$2:$A$90,$C3092)&gt;0,"نعم","لا (خارج الجرد)"))</f>
        <v/>
      </c>
    </row>
    <row r="3093" customFormat="false" ht="15" hidden="false" customHeight="false" outlineLevel="0" collapsed="false">
      <c r="A3093" s="103"/>
      <c r="B3093" s="104"/>
      <c r="C3093" s="104"/>
      <c r="F3093" s="107" t="str">
        <f aca="false">IF(OR($C3093="",$D3093=0),"",$E3093/$D3093)</f>
        <v/>
      </c>
      <c r="H3093" s="0" t="str">
        <f aca="false">IF($C3093="","",IF(COUNTIF('مواد المخزون'!$A$2:$A$90,$C3093)&gt;0,"نعم","لا (خارج الجرد)"))</f>
        <v/>
      </c>
    </row>
    <row r="3094" customFormat="false" ht="15" hidden="false" customHeight="false" outlineLevel="0" collapsed="false">
      <c r="A3094" s="103"/>
      <c r="B3094" s="104"/>
      <c r="C3094" s="104"/>
      <c r="F3094" s="107" t="str">
        <f aca="false">IF(OR($C3094="",$D3094=0),"",$E3094/$D3094)</f>
        <v/>
      </c>
      <c r="H3094" s="0" t="str">
        <f aca="false">IF($C3094="","",IF(COUNTIF('مواد المخزون'!$A$2:$A$90,$C3094)&gt;0,"نعم","لا (خارج الجرد)"))</f>
        <v/>
      </c>
    </row>
    <row r="3095" customFormat="false" ht="15" hidden="false" customHeight="false" outlineLevel="0" collapsed="false">
      <c r="A3095" s="103"/>
      <c r="B3095" s="104"/>
      <c r="C3095" s="104"/>
      <c r="F3095" s="107" t="str">
        <f aca="false">IF(OR($C3095="",$D3095=0),"",$E3095/$D3095)</f>
        <v/>
      </c>
      <c r="H3095" s="0" t="str">
        <f aca="false">IF($C3095="","",IF(COUNTIF('مواد المخزون'!$A$2:$A$90,$C3095)&gt;0,"نعم","لا (خارج الجرد)"))</f>
        <v/>
      </c>
    </row>
    <row r="3096" customFormat="false" ht="15" hidden="false" customHeight="false" outlineLevel="0" collapsed="false">
      <c r="A3096" s="103"/>
      <c r="B3096" s="104"/>
      <c r="C3096" s="104"/>
      <c r="F3096" s="107" t="str">
        <f aca="false">IF(OR($C3096="",$D3096=0),"",$E3096/$D3096)</f>
        <v/>
      </c>
      <c r="H3096" s="0" t="str">
        <f aca="false">IF($C3096="","",IF(COUNTIF('مواد المخزون'!$A$2:$A$90,$C3096)&gt;0,"نعم","لا (خارج الجرد)"))</f>
        <v/>
      </c>
    </row>
    <row r="3097" customFormat="false" ht="15" hidden="false" customHeight="false" outlineLevel="0" collapsed="false">
      <c r="A3097" s="103"/>
      <c r="B3097" s="104"/>
      <c r="C3097" s="104"/>
      <c r="F3097" s="107" t="str">
        <f aca="false">IF(OR($C3097="",$D3097=0),"",$E3097/$D3097)</f>
        <v/>
      </c>
      <c r="H3097" s="0" t="str">
        <f aca="false">IF($C3097="","",IF(COUNTIF('مواد المخزون'!$A$2:$A$90,$C3097)&gt;0,"نعم","لا (خارج الجرد)"))</f>
        <v/>
      </c>
    </row>
    <row r="3098" customFormat="false" ht="15" hidden="false" customHeight="false" outlineLevel="0" collapsed="false">
      <c r="A3098" s="103"/>
      <c r="B3098" s="104"/>
      <c r="C3098" s="104"/>
      <c r="F3098" s="107" t="str">
        <f aca="false">IF(OR($C3098="",$D3098=0),"",$E3098/$D3098)</f>
        <v/>
      </c>
      <c r="H3098" s="0" t="str">
        <f aca="false">IF($C3098="","",IF(COUNTIF('مواد المخزون'!$A$2:$A$90,$C3098)&gt;0,"نعم","لا (خارج الجرد)"))</f>
        <v/>
      </c>
    </row>
    <row r="3099" customFormat="false" ht="15" hidden="false" customHeight="false" outlineLevel="0" collapsed="false">
      <c r="A3099" s="103"/>
      <c r="B3099" s="104"/>
      <c r="C3099" s="104"/>
      <c r="F3099" s="107" t="str">
        <f aca="false">IF(OR($C3099="",$D3099=0),"",$E3099/$D3099)</f>
        <v/>
      </c>
      <c r="H3099" s="0" t="str">
        <f aca="false">IF($C3099="","",IF(COUNTIF('مواد المخزون'!$A$2:$A$90,$C3099)&gt;0,"نعم","لا (خارج الجرد)"))</f>
        <v/>
      </c>
    </row>
    <row r="3100" customFormat="false" ht="15" hidden="false" customHeight="false" outlineLevel="0" collapsed="false">
      <c r="A3100" s="103"/>
      <c r="B3100" s="104"/>
      <c r="C3100" s="104"/>
      <c r="F3100" s="107" t="str">
        <f aca="false">IF(OR($C3100="",$D3100=0),"",$E3100/$D3100)</f>
        <v/>
      </c>
      <c r="H3100" s="0" t="str">
        <f aca="false">IF($C3100="","",IF(COUNTIF('مواد المخزون'!$A$2:$A$90,$C3100)&gt;0,"نعم","لا (خارج الجرد)"))</f>
        <v/>
      </c>
    </row>
    <row r="3101" customFormat="false" ht="15" hidden="false" customHeight="false" outlineLevel="0" collapsed="false">
      <c r="A3101" s="103"/>
      <c r="B3101" s="104"/>
      <c r="C3101" s="104"/>
      <c r="F3101" s="107" t="str">
        <f aca="false">IF(OR($C3101="",$D3101=0),"",$E3101/$D3101)</f>
        <v/>
      </c>
      <c r="H3101" s="0" t="str">
        <f aca="false">IF($C3101="","",IF(COUNTIF('مواد المخزون'!$A$2:$A$90,$C3101)&gt;0,"نعم","لا (خارج الجرد)"))</f>
        <v/>
      </c>
    </row>
    <row r="3102" customFormat="false" ht="15" hidden="false" customHeight="false" outlineLevel="0" collapsed="false">
      <c r="A3102" s="103"/>
      <c r="B3102" s="104"/>
      <c r="C3102" s="104"/>
      <c r="F3102" s="107" t="str">
        <f aca="false">IF(OR($C3102="",$D3102=0),"",$E3102/$D3102)</f>
        <v/>
      </c>
      <c r="H3102" s="0" t="str">
        <f aca="false">IF($C3102="","",IF(COUNTIF('مواد المخزون'!$A$2:$A$90,$C3102)&gt;0,"نعم","لا (خارج الجرد)"))</f>
        <v/>
      </c>
    </row>
    <row r="3103" customFormat="false" ht="15" hidden="false" customHeight="false" outlineLevel="0" collapsed="false">
      <c r="A3103" s="103"/>
      <c r="B3103" s="104"/>
      <c r="C3103" s="104"/>
      <c r="F3103" s="107" t="str">
        <f aca="false">IF(OR($C3103="",$D3103=0),"",$E3103/$D3103)</f>
        <v/>
      </c>
      <c r="H3103" s="0" t="str">
        <f aca="false">IF($C3103="","",IF(COUNTIF('مواد المخزون'!$A$2:$A$90,$C3103)&gt;0,"نعم","لا (خارج الجرد)"))</f>
        <v/>
      </c>
    </row>
    <row r="3104" customFormat="false" ht="15" hidden="false" customHeight="false" outlineLevel="0" collapsed="false">
      <c r="A3104" s="103"/>
      <c r="B3104" s="104"/>
      <c r="C3104" s="104"/>
      <c r="F3104" s="107" t="str">
        <f aca="false">IF(OR($C3104="",$D3104=0),"",$E3104/$D3104)</f>
        <v/>
      </c>
      <c r="H3104" s="0" t="str">
        <f aca="false">IF($C3104="","",IF(COUNTIF('مواد المخزون'!$A$2:$A$90,$C3104)&gt;0,"نعم","لا (خارج الجرد)"))</f>
        <v/>
      </c>
    </row>
    <row r="3105" customFormat="false" ht="15" hidden="false" customHeight="false" outlineLevel="0" collapsed="false">
      <c r="A3105" s="103"/>
      <c r="B3105" s="104"/>
      <c r="C3105" s="104"/>
      <c r="F3105" s="107" t="str">
        <f aca="false">IF(OR($C3105="",$D3105=0),"",$E3105/$D3105)</f>
        <v/>
      </c>
      <c r="H3105" s="0" t="str">
        <f aca="false">IF($C3105="","",IF(COUNTIF('مواد المخزون'!$A$2:$A$90,$C3105)&gt;0,"نعم","لا (خارج الجرد)"))</f>
        <v/>
      </c>
    </row>
    <row r="3106" customFormat="false" ht="15" hidden="false" customHeight="false" outlineLevel="0" collapsed="false">
      <c r="A3106" s="103"/>
      <c r="B3106" s="104"/>
      <c r="C3106" s="104"/>
      <c r="F3106" s="107" t="str">
        <f aca="false">IF(OR($C3106="",$D3106=0),"",$E3106/$D3106)</f>
        <v/>
      </c>
      <c r="H3106" s="0" t="str">
        <f aca="false">IF($C3106="","",IF(COUNTIF('مواد المخزون'!$A$2:$A$90,$C3106)&gt;0,"نعم","لا (خارج الجرد)"))</f>
        <v/>
      </c>
    </row>
    <row r="3107" customFormat="false" ht="15" hidden="false" customHeight="false" outlineLevel="0" collapsed="false">
      <c r="A3107" s="103"/>
      <c r="B3107" s="104"/>
      <c r="C3107" s="104"/>
      <c r="F3107" s="107" t="str">
        <f aca="false">IF(OR($C3107="",$D3107=0),"",$E3107/$D3107)</f>
        <v/>
      </c>
      <c r="H3107" s="0" t="str">
        <f aca="false">IF($C3107="","",IF(COUNTIF('مواد المخزون'!$A$2:$A$90,$C3107)&gt;0,"نعم","لا (خارج الجرد)"))</f>
        <v/>
      </c>
    </row>
    <row r="3108" customFormat="false" ht="15" hidden="false" customHeight="false" outlineLevel="0" collapsed="false">
      <c r="A3108" s="103"/>
      <c r="B3108" s="104"/>
      <c r="C3108" s="104"/>
      <c r="F3108" s="107" t="str">
        <f aca="false">IF(OR($C3108="",$D3108=0),"",$E3108/$D3108)</f>
        <v/>
      </c>
      <c r="H3108" s="0" t="str">
        <f aca="false">IF($C3108="","",IF(COUNTIF('مواد المخزون'!$A$2:$A$90,$C3108)&gt;0,"نعم","لا (خارج الجرد)"))</f>
        <v/>
      </c>
    </row>
    <row r="3109" customFormat="false" ht="15" hidden="false" customHeight="false" outlineLevel="0" collapsed="false">
      <c r="A3109" s="103"/>
      <c r="B3109" s="104"/>
      <c r="C3109" s="104"/>
      <c r="F3109" s="107" t="str">
        <f aca="false">IF(OR($C3109="",$D3109=0),"",$E3109/$D3109)</f>
        <v/>
      </c>
      <c r="H3109" s="0" t="str">
        <f aca="false">IF($C3109="","",IF(COUNTIF('مواد المخزون'!$A$2:$A$90,$C3109)&gt;0,"نعم","لا (خارج الجرد)"))</f>
        <v/>
      </c>
    </row>
    <row r="3110" customFormat="false" ht="15" hidden="false" customHeight="false" outlineLevel="0" collapsed="false">
      <c r="A3110" s="103"/>
      <c r="B3110" s="104"/>
      <c r="C3110" s="104"/>
      <c r="F3110" s="107" t="str">
        <f aca="false">IF(OR($C3110="",$D3110=0),"",$E3110/$D3110)</f>
        <v/>
      </c>
      <c r="H3110" s="0" t="str">
        <f aca="false">IF($C3110="","",IF(COUNTIF('مواد المخزون'!$A$2:$A$90,$C3110)&gt;0,"نعم","لا (خارج الجرد)"))</f>
        <v/>
      </c>
    </row>
    <row r="3111" customFormat="false" ht="15" hidden="false" customHeight="false" outlineLevel="0" collapsed="false">
      <c r="A3111" s="103"/>
      <c r="B3111" s="104"/>
      <c r="C3111" s="104"/>
      <c r="F3111" s="107" t="str">
        <f aca="false">IF(OR($C3111="",$D3111=0),"",$E3111/$D3111)</f>
        <v/>
      </c>
      <c r="H3111" s="0" t="str">
        <f aca="false">IF($C3111="","",IF(COUNTIF('مواد المخزون'!$A$2:$A$90,$C3111)&gt;0,"نعم","لا (خارج الجرد)"))</f>
        <v/>
      </c>
    </row>
    <row r="3112" customFormat="false" ht="15" hidden="false" customHeight="false" outlineLevel="0" collapsed="false">
      <c r="A3112" s="103"/>
      <c r="B3112" s="104"/>
      <c r="C3112" s="104"/>
      <c r="F3112" s="107" t="str">
        <f aca="false">IF(OR($C3112="",$D3112=0),"",$E3112/$D3112)</f>
        <v/>
      </c>
      <c r="H3112" s="0" t="str">
        <f aca="false">IF($C3112="","",IF(COUNTIF('مواد المخزون'!$A$2:$A$90,$C3112)&gt;0,"نعم","لا (خارج الجرد)"))</f>
        <v/>
      </c>
    </row>
    <row r="3113" customFormat="false" ht="15" hidden="false" customHeight="false" outlineLevel="0" collapsed="false">
      <c r="A3113" s="103"/>
      <c r="B3113" s="104"/>
      <c r="C3113" s="104"/>
      <c r="F3113" s="107" t="str">
        <f aca="false">IF(OR($C3113="",$D3113=0),"",$E3113/$D3113)</f>
        <v/>
      </c>
      <c r="H3113" s="0" t="str">
        <f aca="false">IF($C3113="","",IF(COUNTIF('مواد المخزون'!$A$2:$A$90,$C3113)&gt;0,"نعم","لا (خارج الجرد)"))</f>
        <v/>
      </c>
    </row>
    <row r="3114" customFormat="false" ht="15" hidden="false" customHeight="false" outlineLevel="0" collapsed="false">
      <c r="A3114" s="103"/>
      <c r="B3114" s="104"/>
      <c r="C3114" s="104"/>
      <c r="F3114" s="107" t="str">
        <f aca="false">IF(OR($C3114="",$D3114=0),"",$E3114/$D3114)</f>
        <v/>
      </c>
      <c r="H3114" s="0" t="str">
        <f aca="false">IF($C3114="","",IF(COUNTIF('مواد المخزون'!$A$2:$A$90,$C3114)&gt;0,"نعم","لا (خارج الجرد)"))</f>
        <v/>
      </c>
    </row>
    <row r="3115" customFormat="false" ht="15" hidden="false" customHeight="false" outlineLevel="0" collapsed="false">
      <c r="A3115" s="103"/>
      <c r="B3115" s="104"/>
      <c r="C3115" s="104"/>
      <c r="F3115" s="107" t="str">
        <f aca="false">IF(OR($C3115="",$D3115=0),"",$E3115/$D3115)</f>
        <v/>
      </c>
      <c r="H3115" s="0" t="str">
        <f aca="false">IF($C3115="","",IF(COUNTIF('مواد المخزون'!$A$2:$A$90,$C3115)&gt;0,"نعم","لا (خارج الجرد)"))</f>
        <v/>
      </c>
    </row>
    <row r="3116" customFormat="false" ht="15" hidden="false" customHeight="false" outlineLevel="0" collapsed="false">
      <c r="A3116" s="103"/>
      <c r="B3116" s="104"/>
      <c r="C3116" s="104"/>
      <c r="F3116" s="107" t="str">
        <f aca="false">IF(OR($C3116="",$D3116=0),"",$E3116/$D3116)</f>
        <v/>
      </c>
      <c r="H3116" s="0" t="str">
        <f aca="false">IF($C3116="","",IF(COUNTIF('مواد المخزون'!$A$2:$A$90,$C3116)&gt;0,"نعم","لا (خارج الجرد)"))</f>
        <v/>
      </c>
    </row>
    <row r="3117" customFormat="false" ht="15" hidden="false" customHeight="false" outlineLevel="0" collapsed="false">
      <c r="A3117" s="103"/>
      <c r="B3117" s="104"/>
      <c r="C3117" s="104"/>
      <c r="F3117" s="107" t="str">
        <f aca="false">IF(OR($C3117="",$D3117=0),"",$E3117/$D3117)</f>
        <v/>
      </c>
      <c r="H3117" s="0" t="str">
        <f aca="false">IF($C3117="","",IF(COUNTIF('مواد المخزون'!$A$2:$A$90,$C3117)&gt;0,"نعم","لا (خارج الجرد)"))</f>
        <v/>
      </c>
    </row>
    <row r="3118" customFormat="false" ht="15" hidden="false" customHeight="false" outlineLevel="0" collapsed="false">
      <c r="A3118" s="103"/>
      <c r="B3118" s="104"/>
      <c r="C3118" s="104"/>
      <c r="F3118" s="107" t="str">
        <f aca="false">IF(OR($C3118="",$D3118=0),"",$E3118/$D3118)</f>
        <v/>
      </c>
      <c r="H3118" s="0" t="str">
        <f aca="false">IF($C3118="","",IF(COUNTIF('مواد المخزون'!$A$2:$A$90,$C3118)&gt;0,"نعم","لا (خارج الجرد)"))</f>
        <v/>
      </c>
    </row>
    <row r="3119" customFormat="false" ht="15" hidden="false" customHeight="false" outlineLevel="0" collapsed="false">
      <c r="A3119" s="103"/>
      <c r="B3119" s="104"/>
      <c r="C3119" s="104"/>
      <c r="F3119" s="107" t="str">
        <f aca="false">IF(OR($C3119="",$D3119=0),"",$E3119/$D3119)</f>
        <v/>
      </c>
      <c r="H3119" s="0" t="str">
        <f aca="false">IF($C3119="","",IF(COUNTIF('مواد المخزون'!$A$2:$A$90,$C3119)&gt;0,"نعم","لا (خارج الجرد)"))</f>
        <v/>
      </c>
    </row>
    <row r="3120" customFormat="false" ht="15" hidden="false" customHeight="false" outlineLevel="0" collapsed="false">
      <c r="A3120" s="103"/>
      <c r="B3120" s="104"/>
      <c r="C3120" s="104"/>
      <c r="F3120" s="107" t="str">
        <f aca="false">IF(OR($C3120="",$D3120=0),"",$E3120/$D3120)</f>
        <v/>
      </c>
      <c r="H3120" s="0" t="str">
        <f aca="false">IF($C3120="","",IF(COUNTIF('مواد المخزون'!$A$2:$A$90,$C3120)&gt;0,"نعم","لا (خارج الجرد)"))</f>
        <v/>
      </c>
    </row>
    <row r="3121" customFormat="false" ht="15" hidden="false" customHeight="false" outlineLevel="0" collapsed="false">
      <c r="A3121" s="103"/>
      <c r="B3121" s="104"/>
      <c r="C3121" s="104"/>
      <c r="F3121" s="107" t="str">
        <f aca="false">IF(OR($C3121="",$D3121=0),"",$E3121/$D3121)</f>
        <v/>
      </c>
      <c r="H3121" s="0" t="str">
        <f aca="false">IF($C3121="","",IF(COUNTIF('مواد المخزون'!$A$2:$A$90,$C3121)&gt;0,"نعم","لا (خارج الجرد)"))</f>
        <v/>
      </c>
    </row>
    <row r="3122" customFormat="false" ht="15" hidden="false" customHeight="false" outlineLevel="0" collapsed="false">
      <c r="A3122" s="103"/>
      <c r="B3122" s="104"/>
      <c r="C3122" s="104"/>
      <c r="F3122" s="107" t="str">
        <f aca="false">IF(OR($C3122="",$D3122=0),"",$E3122/$D3122)</f>
        <v/>
      </c>
      <c r="H3122" s="0" t="str">
        <f aca="false">IF($C3122="","",IF(COUNTIF('مواد المخزون'!$A$2:$A$90,$C3122)&gt;0,"نعم","لا (خارج الجرد)"))</f>
        <v/>
      </c>
    </row>
    <row r="3123" customFormat="false" ht="15" hidden="false" customHeight="false" outlineLevel="0" collapsed="false">
      <c r="A3123" s="103"/>
      <c r="B3123" s="104"/>
      <c r="C3123" s="104"/>
      <c r="F3123" s="107" t="str">
        <f aca="false">IF(OR($C3123="",$D3123=0),"",$E3123/$D3123)</f>
        <v/>
      </c>
      <c r="H3123" s="0" t="str">
        <f aca="false">IF($C3123="","",IF(COUNTIF('مواد المخزون'!$A$2:$A$90,$C3123)&gt;0,"نعم","لا (خارج الجرد)"))</f>
        <v/>
      </c>
    </row>
    <row r="3124" customFormat="false" ht="15" hidden="false" customHeight="false" outlineLevel="0" collapsed="false">
      <c r="A3124" s="103"/>
      <c r="B3124" s="104"/>
      <c r="C3124" s="104"/>
      <c r="F3124" s="107" t="str">
        <f aca="false">IF(OR($C3124="",$D3124=0),"",$E3124/$D3124)</f>
        <v/>
      </c>
      <c r="H3124" s="0" t="str">
        <f aca="false">IF($C3124="","",IF(COUNTIF('مواد المخزون'!$A$2:$A$90,$C3124)&gt;0,"نعم","لا (خارج الجرد)"))</f>
        <v/>
      </c>
    </row>
    <row r="3125" customFormat="false" ht="15" hidden="false" customHeight="false" outlineLevel="0" collapsed="false">
      <c r="A3125" s="103"/>
      <c r="B3125" s="104"/>
      <c r="C3125" s="104"/>
      <c r="F3125" s="107" t="str">
        <f aca="false">IF(OR($C3125="",$D3125=0),"",$E3125/$D3125)</f>
        <v/>
      </c>
      <c r="H3125" s="0" t="str">
        <f aca="false">IF($C3125="","",IF(COUNTIF('مواد المخزون'!$A$2:$A$90,$C3125)&gt;0,"نعم","لا (خارج الجرد)"))</f>
        <v/>
      </c>
    </row>
    <row r="3126" customFormat="false" ht="15" hidden="false" customHeight="false" outlineLevel="0" collapsed="false">
      <c r="A3126" s="103"/>
      <c r="B3126" s="104"/>
      <c r="C3126" s="104"/>
      <c r="F3126" s="107" t="str">
        <f aca="false">IF(OR($C3126="",$D3126=0),"",$E3126/$D3126)</f>
        <v/>
      </c>
      <c r="H3126" s="0" t="str">
        <f aca="false">IF($C3126="","",IF(COUNTIF('مواد المخزون'!$A$2:$A$90,$C3126)&gt;0,"نعم","لا (خارج الجرد)"))</f>
        <v/>
      </c>
    </row>
    <row r="3127" customFormat="false" ht="15" hidden="false" customHeight="false" outlineLevel="0" collapsed="false">
      <c r="A3127" s="103"/>
      <c r="B3127" s="104"/>
      <c r="C3127" s="104"/>
      <c r="F3127" s="107" t="str">
        <f aca="false">IF(OR($C3127="",$D3127=0),"",$E3127/$D3127)</f>
        <v/>
      </c>
      <c r="H3127" s="0" t="str">
        <f aca="false">IF($C3127="","",IF(COUNTIF('مواد المخزون'!$A$2:$A$90,$C3127)&gt;0,"نعم","لا (خارج الجرد)"))</f>
        <v/>
      </c>
    </row>
    <row r="3128" customFormat="false" ht="15" hidden="false" customHeight="false" outlineLevel="0" collapsed="false">
      <c r="A3128" s="103"/>
      <c r="B3128" s="104"/>
      <c r="C3128" s="104"/>
      <c r="F3128" s="107" t="str">
        <f aca="false">IF(OR($C3128="",$D3128=0),"",$E3128/$D3128)</f>
        <v/>
      </c>
      <c r="H3128" s="0" t="str">
        <f aca="false">IF($C3128="","",IF(COUNTIF('مواد المخزون'!$A$2:$A$90,$C3128)&gt;0,"نعم","لا (خارج الجرد)"))</f>
        <v/>
      </c>
    </row>
    <row r="3129" customFormat="false" ht="15" hidden="false" customHeight="false" outlineLevel="0" collapsed="false">
      <c r="A3129" s="103"/>
      <c r="B3129" s="104"/>
      <c r="C3129" s="104"/>
      <c r="F3129" s="107" t="str">
        <f aca="false">IF(OR($C3129="",$D3129=0),"",$E3129/$D3129)</f>
        <v/>
      </c>
      <c r="H3129" s="0" t="str">
        <f aca="false">IF($C3129="","",IF(COUNTIF('مواد المخزون'!$A$2:$A$90,$C3129)&gt;0,"نعم","لا (خارج الجرد)"))</f>
        <v/>
      </c>
    </row>
    <row r="3130" customFormat="false" ht="15" hidden="false" customHeight="false" outlineLevel="0" collapsed="false">
      <c r="A3130" s="103"/>
      <c r="B3130" s="104"/>
      <c r="C3130" s="104"/>
      <c r="F3130" s="107" t="str">
        <f aca="false">IF(OR($C3130="",$D3130=0),"",$E3130/$D3130)</f>
        <v/>
      </c>
      <c r="H3130" s="0" t="str">
        <f aca="false">IF($C3130="","",IF(COUNTIF('مواد المخزون'!$A$2:$A$90,$C3130)&gt;0,"نعم","لا (خارج الجرد)"))</f>
        <v/>
      </c>
    </row>
    <row r="3131" customFormat="false" ht="15" hidden="false" customHeight="false" outlineLevel="0" collapsed="false">
      <c r="A3131" s="103"/>
      <c r="B3131" s="104"/>
      <c r="C3131" s="104"/>
      <c r="F3131" s="107" t="str">
        <f aca="false">IF(OR($C3131="",$D3131=0),"",$E3131/$D3131)</f>
        <v/>
      </c>
      <c r="H3131" s="0" t="str">
        <f aca="false">IF($C3131="","",IF(COUNTIF('مواد المخزون'!$A$2:$A$90,$C3131)&gt;0,"نعم","لا (خارج الجرد)"))</f>
        <v/>
      </c>
    </row>
    <row r="3132" customFormat="false" ht="15" hidden="false" customHeight="false" outlineLevel="0" collapsed="false">
      <c r="A3132" s="103"/>
      <c r="B3132" s="104"/>
      <c r="C3132" s="104"/>
      <c r="F3132" s="107" t="str">
        <f aca="false">IF(OR($C3132="",$D3132=0),"",$E3132/$D3132)</f>
        <v/>
      </c>
      <c r="H3132" s="0" t="str">
        <f aca="false">IF($C3132="","",IF(COUNTIF('مواد المخزون'!$A$2:$A$90,$C3132)&gt;0,"نعم","لا (خارج الجرد)"))</f>
        <v/>
      </c>
    </row>
    <row r="3133" customFormat="false" ht="15" hidden="false" customHeight="false" outlineLevel="0" collapsed="false">
      <c r="A3133" s="103"/>
      <c r="B3133" s="104"/>
      <c r="C3133" s="104"/>
      <c r="F3133" s="107" t="str">
        <f aca="false">IF(OR($C3133="",$D3133=0),"",$E3133/$D3133)</f>
        <v/>
      </c>
      <c r="H3133" s="0" t="str">
        <f aca="false">IF($C3133="","",IF(COUNTIF('مواد المخزون'!$A$2:$A$90,$C3133)&gt;0,"نعم","لا (خارج الجرد)"))</f>
        <v/>
      </c>
    </row>
    <row r="3134" customFormat="false" ht="15" hidden="false" customHeight="false" outlineLevel="0" collapsed="false">
      <c r="A3134" s="103"/>
      <c r="B3134" s="104"/>
      <c r="C3134" s="104"/>
      <c r="F3134" s="107" t="str">
        <f aca="false">IF(OR($C3134="",$D3134=0),"",$E3134/$D3134)</f>
        <v/>
      </c>
      <c r="H3134" s="0" t="str">
        <f aca="false">IF($C3134="","",IF(COUNTIF('مواد المخزون'!$A$2:$A$90,$C3134)&gt;0,"نعم","لا (خارج الجرد)"))</f>
        <v/>
      </c>
    </row>
    <row r="3135" customFormat="false" ht="15" hidden="false" customHeight="false" outlineLevel="0" collapsed="false">
      <c r="A3135" s="103"/>
      <c r="B3135" s="104"/>
      <c r="C3135" s="104"/>
      <c r="F3135" s="107" t="str">
        <f aca="false">IF(OR($C3135="",$D3135=0),"",$E3135/$D3135)</f>
        <v/>
      </c>
      <c r="H3135" s="0" t="str">
        <f aca="false">IF($C3135="","",IF(COUNTIF('مواد المخزون'!$A$2:$A$90,$C3135)&gt;0,"نعم","لا (خارج الجرد)"))</f>
        <v/>
      </c>
    </row>
    <row r="3136" customFormat="false" ht="15" hidden="false" customHeight="false" outlineLevel="0" collapsed="false">
      <c r="A3136" s="103"/>
      <c r="B3136" s="104"/>
      <c r="C3136" s="104"/>
      <c r="F3136" s="107" t="str">
        <f aca="false">IF(OR($C3136="",$D3136=0),"",$E3136/$D3136)</f>
        <v/>
      </c>
      <c r="H3136" s="0" t="str">
        <f aca="false">IF($C3136="","",IF(COUNTIF('مواد المخزون'!$A$2:$A$90,$C3136)&gt;0,"نعم","لا (خارج الجرد)"))</f>
        <v/>
      </c>
    </row>
    <row r="3137" customFormat="false" ht="15" hidden="false" customHeight="false" outlineLevel="0" collapsed="false">
      <c r="A3137" s="103"/>
      <c r="B3137" s="104"/>
      <c r="C3137" s="104"/>
      <c r="F3137" s="107" t="str">
        <f aca="false">IF(OR($C3137="",$D3137=0),"",$E3137/$D3137)</f>
        <v/>
      </c>
      <c r="H3137" s="0" t="str">
        <f aca="false">IF($C3137="","",IF(COUNTIF('مواد المخزون'!$A$2:$A$90,$C3137)&gt;0,"نعم","لا (خارج الجرد)"))</f>
        <v/>
      </c>
    </row>
    <row r="3138" customFormat="false" ht="15" hidden="false" customHeight="false" outlineLevel="0" collapsed="false">
      <c r="A3138" s="103"/>
      <c r="B3138" s="104"/>
      <c r="C3138" s="104"/>
      <c r="F3138" s="107" t="str">
        <f aca="false">IF(OR($C3138="",$D3138=0),"",$E3138/$D3138)</f>
        <v/>
      </c>
      <c r="H3138" s="0" t="str">
        <f aca="false">IF($C3138="","",IF(COUNTIF('مواد المخزون'!$A$2:$A$90,$C3138)&gt;0,"نعم","لا (خارج الجرد)"))</f>
        <v/>
      </c>
    </row>
    <row r="3139" customFormat="false" ht="15" hidden="false" customHeight="false" outlineLevel="0" collapsed="false">
      <c r="A3139" s="103"/>
      <c r="B3139" s="104"/>
      <c r="C3139" s="104"/>
      <c r="F3139" s="107" t="str">
        <f aca="false">IF(OR($C3139="",$D3139=0),"",$E3139/$D3139)</f>
        <v/>
      </c>
      <c r="H3139" s="0" t="str">
        <f aca="false">IF($C3139="","",IF(COUNTIF('مواد المخزون'!$A$2:$A$90,$C3139)&gt;0,"نعم","لا (خارج الجرد)"))</f>
        <v/>
      </c>
    </row>
    <row r="3140" customFormat="false" ht="15" hidden="false" customHeight="false" outlineLevel="0" collapsed="false">
      <c r="A3140" s="103"/>
      <c r="B3140" s="104"/>
      <c r="C3140" s="104"/>
      <c r="F3140" s="107" t="str">
        <f aca="false">IF(OR($C3140="",$D3140=0),"",$E3140/$D3140)</f>
        <v/>
      </c>
      <c r="H3140" s="0" t="str">
        <f aca="false">IF($C3140="","",IF(COUNTIF('مواد المخزون'!$A$2:$A$90,$C3140)&gt;0,"نعم","لا (خارج الجرد)"))</f>
        <v/>
      </c>
    </row>
    <row r="3141" customFormat="false" ht="15" hidden="false" customHeight="false" outlineLevel="0" collapsed="false">
      <c r="A3141" s="103"/>
      <c r="B3141" s="104"/>
      <c r="C3141" s="104"/>
      <c r="F3141" s="107" t="str">
        <f aca="false">IF(OR($C3141="",$D3141=0),"",$E3141/$D3141)</f>
        <v/>
      </c>
      <c r="H3141" s="0" t="str">
        <f aca="false">IF($C3141="","",IF(COUNTIF('مواد المخزون'!$A$2:$A$90,$C3141)&gt;0,"نعم","لا (خارج الجرد)"))</f>
        <v/>
      </c>
    </row>
    <row r="3142" customFormat="false" ht="15" hidden="false" customHeight="false" outlineLevel="0" collapsed="false">
      <c r="A3142" s="103"/>
      <c r="B3142" s="104"/>
      <c r="C3142" s="104"/>
      <c r="F3142" s="107" t="str">
        <f aca="false">IF(OR($C3142="",$D3142=0),"",$E3142/$D3142)</f>
        <v/>
      </c>
      <c r="H3142" s="0" t="str">
        <f aca="false">IF($C3142="","",IF(COUNTIF('مواد المخزون'!$A$2:$A$90,$C3142)&gt;0,"نعم","لا (خارج الجرد)"))</f>
        <v/>
      </c>
    </row>
    <row r="3143" customFormat="false" ht="15" hidden="false" customHeight="false" outlineLevel="0" collapsed="false">
      <c r="A3143" s="103"/>
      <c r="B3143" s="104"/>
      <c r="C3143" s="104"/>
      <c r="F3143" s="107" t="str">
        <f aca="false">IF(OR($C3143="",$D3143=0),"",$E3143/$D3143)</f>
        <v/>
      </c>
      <c r="H3143" s="0" t="str">
        <f aca="false">IF($C3143="","",IF(COUNTIF('مواد المخزون'!$A$2:$A$90,$C3143)&gt;0,"نعم","لا (خارج الجرد)"))</f>
        <v/>
      </c>
    </row>
    <row r="3144" customFormat="false" ht="15" hidden="false" customHeight="false" outlineLevel="0" collapsed="false">
      <c r="A3144" s="103"/>
      <c r="B3144" s="104"/>
      <c r="C3144" s="104"/>
      <c r="F3144" s="107" t="str">
        <f aca="false">IF(OR($C3144="",$D3144=0),"",$E3144/$D3144)</f>
        <v/>
      </c>
      <c r="H3144" s="0" t="str">
        <f aca="false">IF($C3144="","",IF(COUNTIF('مواد المخزون'!$A$2:$A$90,$C3144)&gt;0,"نعم","لا (خارج الجرد)"))</f>
        <v/>
      </c>
    </row>
    <row r="3145" customFormat="false" ht="15" hidden="false" customHeight="false" outlineLevel="0" collapsed="false">
      <c r="A3145" s="103"/>
      <c r="B3145" s="104"/>
      <c r="C3145" s="104"/>
      <c r="F3145" s="107" t="str">
        <f aca="false">IF(OR($C3145="",$D3145=0),"",$E3145/$D3145)</f>
        <v/>
      </c>
      <c r="H3145" s="0" t="str">
        <f aca="false">IF($C3145="","",IF(COUNTIF('مواد المخزون'!$A$2:$A$90,$C3145)&gt;0,"نعم","لا (خارج الجرد)"))</f>
        <v/>
      </c>
    </row>
    <row r="3146" customFormat="false" ht="15" hidden="false" customHeight="false" outlineLevel="0" collapsed="false">
      <c r="A3146" s="103"/>
      <c r="B3146" s="104"/>
      <c r="C3146" s="104"/>
      <c r="F3146" s="107" t="str">
        <f aca="false">IF(OR($C3146="",$D3146=0),"",$E3146/$D3146)</f>
        <v/>
      </c>
      <c r="H3146" s="0" t="str">
        <f aca="false">IF($C3146="","",IF(COUNTIF('مواد المخزون'!$A$2:$A$90,$C3146)&gt;0,"نعم","لا (خارج الجرد)"))</f>
        <v/>
      </c>
    </row>
    <row r="3147" customFormat="false" ht="15" hidden="false" customHeight="false" outlineLevel="0" collapsed="false">
      <c r="A3147" s="103"/>
      <c r="B3147" s="104"/>
      <c r="C3147" s="104"/>
      <c r="F3147" s="107" t="str">
        <f aca="false">IF(OR($C3147="",$D3147=0),"",$E3147/$D3147)</f>
        <v/>
      </c>
      <c r="H3147" s="0" t="str">
        <f aca="false">IF($C3147="","",IF(COUNTIF('مواد المخزون'!$A$2:$A$90,$C3147)&gt;0,"نعم","لا (خارج الجرد)"))</f>
        <v/>
      </c>
    </row>
    <row r="3148" customFormat="false" ht="15" hidden="false" customHeight="false" outlineLevel="0" collapsed="false">
      <c r="A3148" s="103"/>
      <c r="B3148" s="104"/>
      <c r="C3148" s="104"/>
      <c r="F3148" s="107" t="str">
        <f aca="false">IF(OR($C3148="",$D3148=0),"",$E3148/$D3148)</f>
        <v/>
      </c>
      <c r="H3148" s="0" t="str">
        <f aca="false">IF($C3148="","",IF(COUNTIF('مواد المخزون'!$A$2:$A$90,$C3148)&gt;0,"نعم","لا (خارج الجرد)"))</f>
        <v/>
      </c>
    </row>
    <row r="3149" customFormat="false" ht="15" hidden="false" customHeight="false" outlineLevel="0" collapsed="false">
      <c r="A3149" s="103"/>
      <c r="B3149" s="104"/>
      <c r="C3149" s="104"/>
      <c r="F3149" s="107" t="str">
        <f aca="false">IF(OR($C3149="",$D3149=0),"",$E3149/$D3149)</f>
        <v/>
      </c>
      <c r="H3149" s="0" t="str">
        <f aca="false">IF($C3149="","",IF(COUNTIF('مواد المخزون'!$A$2:$A$90,$C3149)&gt;0,"نعم","لا (خارج الجرد)"))</f>
        <v/>
      </c>
    </row>
    <row r="3150" customFormat="false" ht="15" hidden="false" customHeight="false" outlineLevel="0" collapsed="false">
      <c r="A3150" s="103"/>
      <c r="B3150" s="104"/>
      <c r="C3150" s="104"/>
      <c r="F3150" s="107" t="str">
        <f aca="false">IF(OR($C3150="",$D3150=0),"",$E3150/$D3150)</f>
        <v/>
      </c>
      <c r="H3150" s="0" t="str">
        <f aca="false">IF($C3150="","",IF(COUNTIF('مواد المخزون'!$A$2:$A$90,$C3150)&gt;0,"نعم","لا (خارج الجرد)"))</f>
        <v/>
      </c>
    </row>
    <row r="3151" customFormat="false" ht="15" hidden="false" customHeight="false" outlineLevel="0" collapsed="false">
      <c r="A3151" s="103"/>
      <c r="B3151" s="104"/>
      <c r="C3151" s="104"/>
      <c r="F3151" s="107" t="str">
        <f aca="false">IF(OR($C3151="",$D3151=0),"",$E3151/$D3151)</f>
        <v/>
      </c>
      <c r="H3151" s="0" t="str">
        <f aca="false">IF($C3151="","",IF(COUNTIF('مواد المخزون'!$A$2:$A$90,$C3151)&gt;0,"نعم","لا (خارج الجرد)"))</f>
        <v/>
      </c>
    </row>
    <row r="3152" customFormat="false" ht="15" hidden="false" customHeight="false" outlineLevel="0" collapsed="false">
      <c r="A3152" s="103"/>
      <c r="B3152" s="104"/>
      <c r="C3152" s="104"/>
      <c r="F3152" s="107" t="str">
        <f aca="false">IF(OR($C3152="",$D3152=0),"",$E3152/$D3152)</f>
        <v/>
      </c>
      <c r="H3152" s="0" t="str">
        <f aca="false">IF($C3152="","",IF(COUNTIF('مواد المخزون'!$A$2:$A$90,$C3152)&gt;0,"نعم","لا (خارج الجرد)"))</f>
        <v/>
      </c>
    </row>
    <row r="3153" customFormat="false" ht="15" hidden="false" customHeight="false" outlineLevel="0" collapsed="false">
      <c r="A3153" s="103"/>
      <c r="B3153" s="104"/>
      <c r="C3153" s="104"/>
      <c r="F3153" s="107" t="str">
        <f aca="false">IF(OR($C3153="",$D3153=0),"",$E3153/$D3153)</f>
        <v/>
      </c>
      <c r="H3153" s="0" t="str">
        <f aca="false">IF($C3153="","",IF(COUNTIF('مواد المخزون'!$A$2:$A$90,$C3153)&gt;0,"نعم","لا (خارج الجرد)"))</f>
        <v/>
      </c>
    </row>
    <row r="3154" customFormat="false" ht="15" hidden="false" customHeight="false" outlineLevel="0" collapsed="false">
      <c r="A3154" s="103"/>
      <c r="B3154" s="104"/>
      <c r="C3154" s="104"/>
      <c r="F3154" s="107" t="str">
        <f aca="false">IF(OR($C3154="",$D3154=0),"",$E3154/$D3154)</f>
        <v/>
      </c>
      <c r="H3154" s="0" t="str">
        <f aca="false">IF($C3154="","",IF(COUNTIF('مواد المخزون'!$A$2:$A$90,$C3154)&gt;0,"نعم","لا (خارج الجرد)"))</f>
        <v/>
      </c>
    </row>
    <row r="3155" customFormat="false" ht="15" hidden="false" customHeight="false" outlineLevel="0" collapsed="false">
      <c r="A3155" s="103"/>
      <c r="B3155" s="104"/>
      <c r="C3155" s="104"/>
      <c r="F3155" s="107" t="str">
        <f aca="false">IF(OR($C3155="",$D3155=0),"",$E3155/$D3155)</f>
        <v/>
      </c>
      <c r="H3155" s="0" t="str">
        <f aca="false">IF($C3155="","",IF(COUNTIF('مواد المخزون'!$A$2:$A$90,$C3155)&gt;0,"نعم","لا (خارج الجرد)"))</f>
        <v/>
      </c>
    </row>
    <row r="3156" customFormat="false" ht="15" hidden="false" customHeight="false" outlineLevel="0" collapsed="false">
      <c r="A3156" s="103"/>
      <c r="B3156" s="104"/>
      <c r="C3156" s="104"/>
      <c r="F3156" s="107" t="str">
        <f aca="false">IF(OR($C3156="",$D3156=0),"",$E3156/$D3156)</f>
        <v/>
      </c>
      <c r="H3156" s="0" t="str">
        <f aca="false">IF($C3156="","",IF(COUNTIF('مواد المخزون'!$A$2:$A$90,$C3156)&gt;0,"نعم","لا (خارج الجرد)"))</f>
        <v/>
      </c>
    </row>
    <row r="3157" customFormat="false" ht="15" hidden="false" customHeight="false" outlineLevel="0" collapsed="false">
      <c r="A3157" s="103"/>
      <c r="B3157" s="104"/>
      <c r="C3157" s="104"/>
      <c r="F3157" s="107" t="str">
        <f aca="false">IF(OR($C3157="",$D3157=0),"",$E3157/$D3157)</f>
        <v/>
      </c>
      <c r="H3157" s="0" t="str">
        <f aca="false">IF($C3157="","",IF(COUNTIF('مواد المخزون'!$A$2:$A$90,$C3157)&gt;0,"نعم","لا (خارج الجرد)"))</f>
        <v/>
      </c>
    </row>
    <row r="3158" customFormat="false" ht="15" hidden="false" customHeight="false" outlineLevel="0" collapsed="false">
      <c r="A3158" s="103"/>
      <c r="B3158" s="104"/>
      <c r="C3158" s="104"/>
      <c r="F3158" s="107" t="str">
        <f aca="false">IF(OR($C3158="",$D3158=0),"",$E3158/$D3158)</f>
        <v/>
      </c>
      <c r="H3158" s="0" t="str">
        <f aca="false">IF($C3158="","",IF(COUNTIF('مواد المخزون'!$A$2:$A$90,$C3158)&gt;0,"نعم","لا (خارج الجرد)"))</f>
        <v/>
      </c>
    </row>
    <row r="3159" customFormat="false" ht="15" hidden="false" customHeight="false" outlineLevel="0" collapsed="false">
      <c r="A3159" s="103"/>
      <c r="B3159" s="104"/>
      <c r="C3159" s="104"/>
      <c r="F3159" s="107" t="str">
        <f aca="false">IF(OR($C3159="",$D3159=0),"",$E3159/$D3159)</f>
        <v/>
      </c>
      <c r="H3159" s="0" t="str">
        <f aca="false">IF($C3159="","",IF(COUNTIF('مواد المخزون'!$A$2:$A$90,$C3159)&gt;0,"نعم","لا (خارج الجرد)"))</f>
        <v/>
      </c>
    </row>
    <row r="3160" customFormat="false" ht="15" hidden="false" customHeight="false" outlineLevel="0" collapsed="false">
      <c r="A3160" s="103"/>
      <c r="B3160" s="104"/>
      <c r="C3160" s="104"/>
      <c r="F3160" s="107" t="str">
        <f aca="false">IF(OR($C3160="",$D3160=0),"",$E3160/$D3160)</f>
        <v/>
      </c>
      <c r="H3160" s="0" t="str">
        <f aca="false">IF($C3160="","",IF(COUNTIF('مواد المخزون'!$A$2:$A$90,$C3160)&gt;0,"نعم","لا (خارج الجرد)"))</f>
        <v/>
      </c>
    </row>
    <row r="3161" customFormat="false" ht="15" hidden="false" customHeight="false" outlineLevel="0" collapsed="false">
      <c r="A3161" s="103"/>
      <c r="B3161" s="104"/>
      <c r="C3161" s="104"/>
      <c r="F3161" s="107" t="str">
        <f aca="false">IF(OR($C3161="",$D3161=0),"",$E3161/$D3161)</f>
        <v/>
      </c>
      <c r="H3161" s="0" t="str">
        <f aca="false">IF($C3161="","",IF(COUNTIF('مواد المخزون'!$A$2:$A$90,$C3161)&gt;0,"نعم","لا (خارج الجرد)"))</f>
        <v/>
      </c>
    </row>
    <row r="3162" customFormat="false" ht="15" hidden="false" customHeight="false" outlineLevel="0" collapsed="false">
      <c r="A3162" s="103"/>
      <c r="B3162" s="104"/>
      <c r="C3162" s="104"/>
      <c r="F3162" s="107" t="str">
        <f aca="false">IF(OR($C3162="",$D3162=0),"",$E3162/$D3162)</f>
        <v/>
      </c>
      <c r="H3162" s="0" t="str">
        <f aca="false">IF($C3162="","",IF(COUNTIF('مواد المخزون'!$A$2:$A$90,$C3162)&gt;0,"نعم","لا (خارج الجرد)"))</f>
        <v/>
      </c>
    </row>
    <row r="3163" customFormat="false" ht="15" hidden="false" customHeight="false" outlineLevel="0" collapsed="false">
      <c r="A3163" s="103"/>
      <c r="B3163" s="104"/>
      <c r="C3163" s="104"/>
      <c r="F3163" s="107" t="str">
        <f aca="false">IF(OR($C3163="",$D3163=0),"",$E3163/$D3163)</f>
        <v/>
      </c>
      <c r="H3163" s="0" t="str">
        <f aca="false">IF($C3163="","",IF(COUNTIF('مواد المخزون'!$A$2:$A$90,$C3163)&gt;0,"نعم","لا (خارج الجرد)"))</f>
        <v/>
      </c>
    </row>
    <row r="3164" customFormat="false" ht="15" hidden="false" customHeight="false" outlineLevel="0" collapsed="false">
      <c r="A3164" s="103"/>
      <c r="B3164" s="104"/>
      <c r="C3164" s="104"/>
      <c r="F3164" s="107" t="str">
        <f aca="false">IF(OR($C3164="",$D3164=0),"",$E3164/$D3164)</f>
        <v/>
      </c>
      <c r="H3164" s="0" t="str">
        <f aca="false">IF($C3164="","",IF(COUNTIF('مواد المخزون'!$A$2:$A$90,$C3164)&gt;0,"نعم","لا (خارج الجرد)"))</f>
        <v/>
      </c>
    </row>
    <row r="3165" customFormat="false" ht="15" hidden="false" customHeight="false" outlineLevel="0" collapsed="false">
      <c r="A3165" s="103"/>
      <c r="B3165" s="104"/>
      <c r="C3165" s="104"/>
      <c r="F3165" s="107" t="str">
        <f aca="false">IF(OR($C3165="",$D3165=0),"",$E3165/$D3165)</f>
        <v/>
      </c>
      <c r="H3165" s="0" t="str">
        <f aca="false">IF($C3165="","",IF(COUNTIF('مواد المخزون'!$A$2:$A$90,$C3165)&gt;0,"نعم","لا (خارج الجرد)"))</f>
        <v/>
      </c>
    </row>
    <row r="3166" customFormat="false" ht="15" hidden="false" customHeight="false" outlineLevel="0" collapsed="false">
      <c r="A3166" s="103"/>
      <c r="B3166" s="104"/>
      <c r="C3166" s="104"/>
      <c r="F3166" s="107" t="str">
        <f aca="false">IF(OR($C3166="",$D3166=0),"",$E3166/$D3166)</f>
        <v/>
      </c>
      <c r="H3166" s="0" t="str">
        <f aca="false">IF($C3166="","",IF(COUNTIF('مواد المخزون'!$A$2:$A$90,$C3166)&gt;0,"نعم","لا (خارج الجرد)"))</f>
        <v/>
      </c>
    </row>
    <row r="3167" customFormat="false" ht="15" hidden="false" customHeight="false" outlineLevel="0" collapsed="false">
      <c r="A3167" s="103"/>
      <c r="B3167" s="104"/>
      <c r="C3167" s="104"/>
      <c r="F3167" s="107" t="str">
        <f aca="false">IF(OR($C3167="",$D3167=0),"",$E3167/$D3167)</f>
        <v/>
      </c>
      <c r="H3167" s="0" t="str">
        <f aca="false">IF($C3167="","",IF(COUNTIF('مواد المخزون'!$A$2:$A$90,$C3167)&gt;0,"نعم","لا (خارج الجرد)"))</f>
        <v/>
      </c>
    </row>
    <row r="3168" customFormat="false" ht="15" hidden="false" customHeight="false" outlineLevel="0" collapsed="false">
      <c r="A3168" s="103"/>
      <c r="B3168" s="104"/>
      <c r="C3168" s="104"/>
      <c r="F3168" s="107" t="str">
        <f aca="false">IF(OR($C3168="",$D3168=0),"",$E3168/$D3168)</f>
        <v/>
      </c>
      <c r="H3168" s="0" t="str">
        <f aca="false">IF($C3168="","",IF(COUNTIF('مواد المخزون'!$A$2:$A$90,$C3168)&gt;0,"نعم","لا (خارج الجرد)"))</f>
        <v/>
      </c>
    </row>
    <row r="3169" customFormat="false" ht="15" hidden="false" customHeight="false" outlineLevel="0" collapsed="false">
      <c r="A3169" s="103"/>
      <c r="B3169" s="104"/>
      <c r="C3169" s="104"/>
      <c r="F3169" s="107" t="str">
        <f aca="false">IF(OR($C3169="",$D3169=0),"",$E3169/$D3169)</f>
        <v/>
      </c>
      <c r="H3169" s="0" t="str">
        <f aca="false">IF($C3169="","",IF(COUNTIF('مواد المخزون'!$A$2:$A$90,$C3169)&gt;0,"نعم","لا (خارج الجرد)"))</f>
        <v/>
      </c>
    </row>
    <row r="3170" customFormat="false" ht="15" hidden="false" customHeight="false" outlineLevel="0" collapsed="false">
      <c r="A3170" s="103"/>
      <c r="B3170" s="104"/>
      <c r="C3170" s="104"/>
      <c r="F3170" s="107" t="str">
        <f aca="false">IF(OR($C3170="",$D3170=0),"",$E3170/$D3170)</f>
        <v/>
      </c>
      <c r="H3170" s="0" t="str">
        <f aca="false">IF($C3170="","",IF(COUNTIF('مواد المخزون'!$A$2:$A$90,$C3170)&gt;0,"نعم","لا (خارج الجرد)"))</f>
        <v/>
      </c>
    </row>
    <row r="3171" customFormat="false" ht="15" hidden="false" customHeight="false" outlineLevel="0" collapsed="false">
      <c r="A3171" s="103"/>
      <c r="B3171" s="104"/>
      <c r="C3171" s="104"/>
      <c r="F3171" s="107" t="str">
        <f aca="false">IF(OR($C3171="",$D3171=0),"",$E3171/$D3171)</f>
        <v/>
      </c>
      <c r="H3171" s="0" t="str">
        <f aca="false">IF($C3171="","",IF(COUNTIF('مواد المخزون'!$A$2:$A$90,$C3171)&gt;0,"نعم","لا (خارج الجرد)"))</f>
        <v/>
      </c>
    </row>
    <row r="3172" customFormat="false" ht="15" hidden="false" customHeight="false" outlineLevel="0" collapsed="false">
      <c r="A3172" s="103"/>
      <c r="B3172" s="104"/>
      <c r="C3172" s="104"/>
      <c r="F3172" s="107" t="str">
        <f aca="false">IF(OR($C3172="",$D3172=0),"",$E3172/$D3172)</f>
        <v/>
      </c>
      <c r="H3172" s="0" t="str">
        <f aca="false">IF($C3172="","",IF(COUNTIF('مواد المخزون'!$A$2:$A$90,$C3172)&gt;0,"نعم","لا (خارج الجرد)"))</f>
        <v/>
      </c>
    </row>
    <row r="3173" customFormat="false" ht="15" hidden="false" customHeight="false" outlineLevel="0" collapsed="false">
      <c r="A3173" s="103"/>
      <c r="B3173" s="104"/>
      <c r="C3173" s="104"/>
      <c r="F3173" s="107" t="str">
        <f aca="false">IF(OR($C3173="",$D3173=0),"",$E3173/$D3173)</f>
        <v/>
      </c>
      <c r="H3173" s="0" t="str">
        <f aca="false">IF($C3173="","",IF(COUNTIF('مواد المخزون'!$A$2:$A$90,$C3173)&gt;0,"نعم","لا (خارج الجرد)"))</f>
        <v/>
      </c>
    </row>
    <row r="3174" customFormat="false" ht="15" hidden="false" customHeight="false" outlineLevel="0" collapsed="false">
      <c r="A3174" s="103"/>
      <c r="B3174" s="104"/>
      <c r="C3174" s="104"/>
      <c r="F3174" s="107" t="str">
        <f aca="false">IF(OR($C3174="",$D3174=0),"",$E3174/$D3174)</f>
        <v/>
      </c>
      <c r="H3174" s="0" t="str">
        <f aca="false">IF($C3174="","",IF(COUNTIF('مواد المخزون'!$A$2:$A$90,$C3174)&gt;0,"نعم","لا (خارج الجرد)"))</f>
        <v/>
      </c>
    </row>
    <row r="3175" customFormat="false" ht="15" hidden="false" customHeight="false" outlineLevel="0" collapsed="false">
      <c r="A3175" s="103"/>
      <c r="B3175" s="104"/>
      <c r="C3175" s="104"/>
      <c r="F3175" s="107" t="str">
        <f aca="false">IF(OR($C3175="",$D3175=0),"",$E3175/$D3175)</f>
        <v/>
      </c>
      <c r="H3175" s="0" t="str">
        <f aca="false">IF($C3175="","",IF(COUNTIF('مواد المخزون'!$A$2:$A$90,$C3175)&gt;0,"نعم","لا (خارج الجرد)"))</f>
        <v/>
      </c>
    </row>
    <row r="3176" customFormat="false" ht="15" hidden="false" customHeight="false" outlineLevel="0" collapsed="false">
      <c r="A3176" s="103"/>
      <c r="B3176" s="104"/>
      <c r="C3176" s="104"/>
      <c r="F3176" s="107" t="str">
        <f aca="false">IF(OR($C3176="",$D3176=0),"",$E3176/$D3176)</f>
        <v/>
      </c>
      <c r="H3176" s="0" t="str">
        <f aca="false">IF($C3176="","",IF(COUNTIF('مواد المخزون'!$A$2:$A$90,$C3176)&gt;0,"نعم","لا (خارج الجرد)"))</f>
        <v/>
      </c>
    </row>
    <row r="3177" customFormat="false" ht="15" hidden="false" customHeight="false" outlineLevel="0" collapsed="false">
      <c r="A3177" s="103"/>
      <c r="B3177" s="104"/>
      <c r="C3177" s="104"/>
      <c r="F3177" s="107" t="str">
        <f aca="false">IF(OR($C3177="",$D3177=0),"",$E3177/$D3177)</f>
        <v/>
      </c>
      <c r="H3177" s="0" t="str">
        <f aca="false">IF($C3177="","",IF(COUNTIF('مواد المخزون'!$A$2:$A$90,$C3177)&gt;0,"نعم","لا (خارج الجرد)"))</f>
        <v/>
      </c>
    </row>
    <row r="3178" customFormat="false" ht="15" hidden="false" customHeight="false" outlineLevel="0" collapsed="false">
      <c r="A3178" s="103"/>
      <c r="B3178" s="104"/>
      <c r="C3178" s="104"/>
      <c r="F3178" s="107" t="str">
        <f aca="false">IF(OR($C3178="",$D3178=0),"",$E3178/$D3178)</f>
        <v/>
      </c>
      <c r="H3178" s="0" t="str">
        <f aca="false">IF($C3178="","",IF(COUNTIF('مواد المخزون'!$A$2:$A$90,$C3178)&gt;0,"نعم","لا (خارج الجرد)"))</f>
        <v/>
      </c>
    </row>
    <row r="3179" customFormat="false" ht="15" hidden="false" customHeight="false" outlineLevel="0" collapsed="false">
      <c r="A3179" s="103"/>
      <c r="B3179" s="104"/>
      <c r="C3179" s="104"/>
      <c r="F3179" s="107" t="str">
        <f aca="false">IF(OR($C3179="",$D3179=0),"",$E3179/$D3179)</f>
        <v/>
      </c>
      <c r="H3179" s="0" t="str">
        <f aca="false">IF($C3179="","",IF(COUNTIF('مواد المخزون'!$A$2:$A$90,$C3179)&gt;0,"نعم","لا (خارج الجرد)"))</f>
        <v/>
      </c>
    </row>
    <row r="3180" customFormat="false" ht="15" hidden="false" customHeight="false" outlineLevel="0" collapsed="false">
      <c r="A3180" s="103"/>
      <c r="B3180" s="104"/>
      <c r="C3180" s="104"/>
      <c r="F3180" s="107" t="str">
        <f aca="false">IF(OR($C3180="",$D3180=0),"",$E3180/$D3180)</f>
        <v/>
      </c>
      <c r="H3180" s="0" t="str">
        <f aca="false">IF($C3180="","",IF(COUNTIF('مواد المخزون'!$A$2:$A$90,$C3180)&gt;0,"نعم","لا (خارج الجرد)"))</f>
        <v/>
      </c>
    </row>
    <row r="3181" customFormat="false" ht="15" hidden="false" customHeight="false" outlineLevel="0" collapsed="false">
      <c r="A3181" s="103"/>
      <c r="B3181" s="104"/>
      <c r="C3181" s="104"/>
      <c r="F3181" s="107" t="str">
        <f aca="false">IF(OR($C3181="",$D3181=0),"",$E3181/$D3181)</f>
        <v/>
      </c>
      <c r="H3181" s="0" t="str">
        <f aca="false">IF($C3181="","",IF(COUNTIF('مواد المخزون'!$A$2:$A$90,$C3181)&gt;0,"نعم","لا (خارج الجرد)"))</f>
        <v/>
      </c>
    </row>
    <row r="3182" customFormat="false" ht="15" hidden="false" customHeight="false" outlineLevel="0" collapsed="false">
      <c r="A3182" s="103"/>
      <c r="B3182" s="104"/>
      <c r="C3182" s="104"/>
      <c r="F3182" s="107" t="str">
        <f aca="false">IF(OR($C3182="",$D3182=0),"",$E3182/$D3182)</f>
        <v/>
      </c>
      <c r="H3182" s="0" t="str">
        <f aca="false">IF($C3182="","",IF(COUNTIF('مواد المخزون'!$A$2:$A$90,$C3182)&gt;0,"نعم","لا (خارج الجرد)"))</f>
        <v/>
      </c>
    </row>
    <row r="3183" customFormat="false" ht="15" hidden="false" customHeight="false" outlineLevel="0" collapsed="false">
      <c r="A3183" s="103"/>
      <c r="B3183" s="104"/>
      <c r="C3183" s="104"/>
      <c r="F3183" s="107" t="str">
        <f aca="false">IF(OR($C3183="",$D3183=0),"",$E3183/$D3183)</f>
        <v/>
      </c>
      <c r="H3183" s="0" t="str">
        <f aca="false">IF($C3183="","",IF(COUNTIF('مواد المخزون'!$A$2:$A$90,$C3183)&gt;0,"نعم","لا (خارج الجرد)"))</f>
        <v/>
      </c>
    </row>
    <row r="3184" customFormat="false" ht="15" hidden="false" customHeight="false" outlineLevel="0" collapsed="false">
      <c r="A3184" s="103"/>
      <c r="B3184" s="104"/>
      <c r="C3184" s="104"/>
      <c r="F3184" s="107" t="str">
        <f aca="false">IF(OR($C3184="",$D3184=0),"",$E3184/$D3184)</f>
        <v/>
      </c>
      <c r="H3184" s="0" t="str">
        <f aca="false">IF($C3184="","",IF(COUNTIF('مواد المخزون'!$A$2:$A$90,$C3184)&gt;0,"نعم","لا (خارج الجرد)"))</f>
        <v/>
      </c>
    </row>
    <row r="3185" customFormat="false" ht="15" hidden="false" customHeight="false" outlineLevel="0" collapsed="false">
      <c r="A3185" s="103"/>
      <c r="B3185" s="104"/>
      <c r="C3185" s="104"/>
      <c r="F3185" s="107" t="str">
        <f aca="false">IF(OR($C3185="",$D3185=0),"",$E3185/$D3185)</f>
        <v/>
      </c>
      <c r="H3185" s="0" t="str">
        <f aca="false">IF($C3185="","",IF(COUNTIF('مواد المخزون'!$A$2:$A$90,$C3185)&gt;0,"نعم","لا (خارج الجرد)"))</f>
        <v/>
      </c>
    </row>
    <row r="3186" customFormat="false" ht="15" hidden="false" customHeight="false" outlineLevel="0" collapsed="false">
      <c r="A3186" s="103"/>
      <c r="B3186" s="104"/>
      <c r="C3186" s="104"/>
      <c r="F3186" s="107" t="str">
        <f aca="false">IF(OR($C3186="",$D3186=0),"",$E3186/$D3186)</f>
        <v/>
      </c>
      <c r="H3186" s="0" t="str">
        <f aca="false">IF($C3186="","",IF(COUNTIF('مواد المخزون'!$A$2:$A$90,$C3186)&gt;0,"نعم","لا (خارج الجرد)"))</f>
        <v/>
      </c>
    </row>
    <row r="3187" customFormat="false" ht="15" hidden="false" customHeight="false" outlineLevel="0" collapsed="false">
      <c r="A3187" s="103"/>
      <c r="B3187" s="104"/>
      <c r="C3187" s="104"/>
      <c r="F3187" s="107" t="str">
        <f aca="false">IF(OR($C3187="",$D3187=0),"",$E3187/$D3187)</f>
        <v/>
      </c>
      <c r="H3187" s="0" t="str">
        <f aca="false">IF($C3187="","",IF(COUNTIF('مواد المخزون'!$A$2:$A$90,$C3187)&gt;0,"نعم","لا (خارج الجرد)"))</f>
        <v/>
      </c>
    </row>
    <row r="3188" customFormat="false" ht="15" hidden="false" customHeight="false" outlineLevel="0" collapsed="false">
      <c r="A3188" s="103"/>
      <c r="B3188" s="104"/>
      <c r="C3188" s="104"/>
      <c r="F3188" s="107" t="str">
        <f aca="false">IF(OR($C3188="",$D3188=0),"",$E3188/$D3188)</f>
        <v/>
      </c>
      <c r="H3188" s="0" t="str">
        <f aca="false">IF($C3188="","",IF(COUNTIF('مواد المخزون'!$A$2:$A$90,$C3188)&gt;0,"نعم","لا (خارج الجرد)"))</f>
        <v/>
      </c>
    </row>
    <row r="3189" customFormat="false" ht="15" hidden="false" customHeight="false" outlineLevel="0" collapsed="false">
      <c r="A3189" s="103"/>
      <c r="B3189" s="104"/>
      <c r="C3189" s="104"/>
      <c r="F3189" s="107" t="str">
        <f aca="false">IF(OR($C3189="",$D3189=0),"",$E3189/$D3189)</f>
        <v/>
      </c>
      <c r="H3189" s="0" t="str">
        <f aca="false">IF($C3189="","",IF(COUNTIF('مواد المخزون'!$A$2:$A$90,$C3189)&gt;0,"نعم","لا (خارج الجرد)"))</f>
        <v/>
      </c>
    </row>
    <row r="3190" customFormat="false" ht="15" hidden="false" customHeight="false" outlineLevel="0" collapsed="false">
      <c r="A3190" s="103"/>
      <c r="B3190" s="104"/>
      <c r="C3190" s="104"/>
      <c r="F3190" s="107" t="str">
        <f aca="false">IF(OR($C3190="",$D3190=0),"",$E3190/$D3190)</f>
        <v/>
      </c>
      <c r="H3190" s="0" t="str">
        <f aca="false">IF($C3190="","",IF(COUNTIF('مواد المخزون'!$A$2:$A$90,$C3190)&gt;0,"نعم","لا (خارج الجرد)"))</f>
        <v/>
      </c>
    </row>
    <row r="3191" customFormat="false" ht="15" hidden="false" customHeight="false" outlineLevel="0" collapsed="false">
      <c r="A3191" s="103"/>
      <c r="B3191" s="104"/>
      <c r="C3191" s="104"/>
      <c r="F3191" s="107" t="str">
        <f aca="false">IF(OR($C3191="",$D3191=0),"",$E3191/$D3191)</f>
        <v/>
      </c>
      <c r="H3191" s="0" t="str">
        <f aca="false">IF($C3191="","",IF(COUNTIF('مواد المخزون'!$A$2:$A$90,$C3191)&gt;0,"نعم","لا (خارج الجرد)"))</f>
        <v/>
      </c>
    </row>
    <row r="3192" customFormat="false" ht="15" hidden="false" customHeight="false" outlineLevel="0" collapsed="false">
      <c r="A3192" s="103"/>
      <c r="B3192" s="104"/>
      <c r="C3192" s="104"/>
      <c r="F3192" s="107" t="str">
        <f aca="false">IF(OR($C3192="",$D3192=0),"",$E3192/$D3192)</f>
        <v/>
      </c>
      <c r="H3192" s="0" t="str">
        <f aca="false">IF($C3192="","",IF(COUNTIF('مواد المخزون'!$A$2:$A$90,$C3192)&gt;0,"نعم","لا (خارج الجرد)"))</f>
        <v/>
      </c>
    </row>
    <row r="3193" customFormat="false" ht="15" hidden="false" customHeight="false" outlineLevel="0" collapsed="false">
      <c r="A3193" s="103"/>
      <c r="B3193" s="104"/>
      <c r="C3193" s="104"/>
      <c r="F3193" s="107" t="str">
        <f aca="false">IF(OR($C3193="",$D3193=0),"",$E3193/$D3193)</f>
        <v/>
      </c>
      <c r="H3193" s="0" t="str">
        <f aca="false">IF($C3193="","",IF(COUNTIF('مواد المخزون'!$A$2:$A$90,$C3193)&gt;0,"نعم","لا (خارج الجرد)"))</f>
        <v/>
      </c>
    </row>
    <row r="3194" customFormat="false" ht="15" hidden="false" customHeight="false" outlineLevel="0" collapsed="false">
      <c r="A3194" s="103"/>
      <c r="B3194" s="104"/>
      <c r="C3194" s="104"/>
      <c r="F3194" s="107" t="str">
        <f aca="false">IF(OR($C3194="",$D3194=0),"",$E3194/$D3194)</f>
        <v/>
      </c>
      <c r="H3194" s="0" t="str">
        <f aca="false">IF($C3194="","",IF(COUNTIF('مواد المخزون'!$A$2:$A$90,$C3194)&gt;0,"نعم","لا (خارج الجرد)"))</f>
        <v/>
      </c>
    </row>
    <row r="3195" customFormat="false" ht="15" hidden="false" customHeight="false" outlineLevel="0" collapsed="false">
      <c r="A3195" s="103"/>
      <c r="B3195" s="104"/>
      <c r="C3195" s="104"/>
      <c r="F3195" s="107" t="str">
        <f aca="false">IF(OR($C3195="",$D3195=0),"",$E3195/$D3195)</f>
        <v/>
      </c>
      <c r="H3195" s="0" t="str">
        <f aca="false">IF($C3195="","",IF(COUNTIF('مواد المخزون'!$A$2:$A$90,$C3195)&gt;0,"نعم","لا (خارج الجرد)"))</f>
        <v/>
      </c>
    </row>
    <row r="3196" customFormat="false" ht="15" hidden="false" customHeight="false" outlineLevel="0" collapsed="false">
      <c r="A3196" s="103"/>
      <c r="B3196" s="104"/>
      <c r="C3196" s="104"/>
      <c r="F3196" s="107" t="str">
        <f aca="false">IF(OR($C3196="",$D3196=0),"",$E3196/$D3196)</f>
        <v/>
      </c>
      <c r="H3196" s="0" t="str">
        <f aca="false">IF($C3196="","",IF(COUNTIF('مواد المخزون'!$A$2:$A$90,$C3196)&gt;0,"نعم","لا (خارج الجرد)"))</f>
        <v/>
      </c>
    </row>
    <row r="3197" customFormat="false" ht="15" hidden="false" customHeight="false" outlineLevel="0" collapsed="false">
      <c r="A3197" s="103"/>
      <c r="B3197" s="104"/>
      <c r="C3197" s="104"/>
      <c r="F3197" s="107" t="str">
        <f aca="false">IF(OR($C3197="",$D3197=0),"",$E3197/$D3197)</f>
        <v/>
      </c>
      <c r="H3197" s="0" t="str">
        <f aca="false">IF($C3197="","",IF(COUNTIF('مواد المخزون'!$A$2:$A$90,$C3197)&gt;0,"نعم","لا (خارج الجرد)"))</f>
        <v/>
      </c>
    </row>
    <row r="3198" customFormat="false" ht="15" hidden="false" customHeight="false" outlineLevel="0" collapsed="false">
      <c r="A3198" s="103"/>
      <c r="B3198" s="104"/>
      <c r="C3198" s="104"/>
      <c r="F3198" s="107" t="str">
        <f aca="false">IF(OR($C3198="",$D3198=0),"",$E3198/$D3198)</f>
        <v/>
      </c>
      <c r="H3198" s="0" t="str">
        <f aca="false">IF($C3198="","",IF(COUNTIF('مواد المخزون'!$A$2:$A$90,$C3198)&gt;0,"نعم","لا (خارج الجرد)"))</f>
        <v/>
      </c>
    </row>
    <row r="3199" customFormat="false" ht="15" hidden="false" customHeight="false" outlineLevel="0" collapsed="false">
      <c r="A3199" s="103"/>
      <c r="B3199" s="104"/>
      <c r="C3199" s="104"/>
      <c r="F3199" s="107" t="str">
        <f aca="false">IF(OR($C3199="",$D3199=0),"",$E3199/$D3199)</f>
        <v/>
      </c>
      <c r="H3199" s="0" t="str">
        <f aca="false">IF($C3199="","",IF(COUNTIF('مواد المخزون'!$A$2:$A$90,$C3199)&gt;0,"نعم","لا (خارج الجرد)"))</f>
        <v/>
      </c>
    </row>
    <row r="3200" customFormat="false" ht="15" hidden="false" customHeight="false" outlineLevel="0" collapsed="false">
      <c r="A3200" s="103"/>
      <c r="B3200" s="104"/>
      <c r="C3200" s="104"/>
      <c r="F3200" s="107" t="str">
        <f aca="false">IF(OR($C3200="",$D3200=0),"",$E3200/$D3200)</f>
        <v/>
      </c>
      <c r="H3200" s="0" t="str">
        <f aca="false">IF($C3200="","",IF(COUNTIF('مواد المخزون'!$A$2:$A$90,$C3200)&gt;0,"نعم","لا (خارج الجرد)"))</f>
        <v/>
      </c>
    </row>
    <row r="3201" customFormat="false" ht="15" hidden="false" customHeight="false" outlineLevel="0" collapsed="false">
      <c r="A3201" s="103"/>
      <c r="B3201" s="104"/>
      <c r="C3201" s="104"/>
      <c r="F3201" s="107" t="str">
        <f aca="false">IF(OR($C3201="",$D3201=0),"",$E3201/$D3201)</f>
        <v/>
      </c>
      <c r="H3201" s="0" t="str">
        <f aca="false">IF($C3201="","",IF(COUNTIF('مواد المخزون'!$A$2:$A$90,$C3201)&gt;0,"نعم","لا (خارج الجرد)"))</f>
        <v/>
      </c>
    </row>
    <row r="3202" customFormat="false" ht="15" hidden="false" customHeight="false" outlineLevel="0" collapsed="false">
      <c r="A3202" s="103"/>
      <c r="B3202" s="104"/>
      <c r="C3202" s="104"/>
      <c r="F3202" s="107" t="str">
        <f aca="false">IF(OR($C3202="",$D3202=0),"",$E3202/$D3202)</f>
        <v/>
      </c>
      <c r="H3202" s="0" t="str">
        <f aca="false">IF($C3202="","",IF(COUNTIF('مواد المخزون'!$A$2:$A$90,$C3202)&gt;0,"نعم","لا (خارج الجرد)"))</f>
        <v/>
      </c>
    </row>
    <row r="3203" customFormat="false" ht="15" hidden="false" customHeight="false" outlineLevel="0" collapsed="false">
      <c r="A3203" s="103"/>
      <c r="B3203" s="104"/>
      <c r="C3203" s="104"/>
      <c r="F3203" s="107" t="str">
        <f aca="false">IF(OR($C3203="",$D3203=0),"",$E3203/$D3203)</f>
        <v/>
      </c>
      <c r="H3203" s="0" t="str">
        <f aca="false">IF($C3203="","",IF(COUNTIF('مواد المخزون'!$A$2:$A$90,$C3203)&gt;0,"نعم","لا (خارج الجرد)"))</f>
        <v/>
      </c>
    </row>
    <row r="3204" customFormat="false" ht="15" hidden="false" customHeight="false" outlineLevel="0" collapsed="false">
      <c r="A3204" s="103"/>
      <c r="B3204" s="104"/>
      <c r="C3204" s="104"/>
      <c r="F3204" s="107" t="str">
        <f aca="false">IF(OR($C3204="",$D3204=0),"",$E3204/$D3204)</f>
        <v/>
      </c>
      <c r="H3204" s="0" t="str">
        <f aca="false">IF($C3204="","",IF(COUNTIF('مواد المخزون'!$A$2:$A$90,$C3204)&gt;0,"نعم","لا (خارج الجرد)"))</f>
        <v/>
      </c>
    </row>
    <row r="3205" customFormat="false" ht="15" hidden="false" customHeight="false" outlineLevel="0" collapsed="false">
      <c r="A3205" s="103"/>
      <c r="B3205" s="104"/>
      <c r="C3205" s="104"/>
      <c r="F3205" s="107" t="str">
        <f aca="false">IF(OR($C3205="",$D3205=0),"",$E3205/$D3205)</f>
        <v/>
      </c>
      <c r="H3205" s="0" t="str">
        <f aca="false">IF($C3205="","",IF(COUNTIF('مواد المخزون'!$A$2:$A$90,$C3205)&gt;0,"نعم","لا (خارج الجرد)"))</f>
        <v/>
      </c>
    </row>
    <row r="3206" customFormat="false" ht="15" hidden="false" customHeight="false" outlineLevel="0" collapsed="false">
      <c r="A3206" s="103"/>
      <c r="B3206" s="104"/>
      <c r="C3206" s="104"/>
      <c r="F3206" s="107" t="str">
        <f aca="false">IF(OR($C3206="",$D3206=0),"",$E3206/$D3206)</f>
        <v/>
      </c>
      <c r="H3206" s="0" t="str">
        <f aca="false">IF($C3206="","",IF(COUNTIF('مواد المخزون'!$A$2:$A$90,$C3206)&gt;0,"نعم","لا (خارج الجرد)"))</f>
        <v/>
      </c>
    </row>
    <row r="3207" customFormat="false" ht="15" hidden="false" customHeight="false" outlineLevel="0" collapsed="false">
      <c r="A3207" s="103"/>
      <c r="B3207" s="104"/>
      <c r="C3207" s="104"/>
      <c r="F3207" s="107" t="str">
        <f aca="false">IF(OR($C3207="",$D3207=0),"",$E3207/$D3207)</f>
        <v/>
      </c>
      <c r="H3207" s="0" t="str">
        <f aca="false">IF($C3207="","",IF(COUNTIF('مواد المخزون'!$A$2:$A$90,$C3207)&gt;0,"نعم","لا (خارج الجرد)"))</f>
        <v/>
      </c>
    </row>
    <row r="3208" customFormat="false" ht="15" hidden="false" customHeight="false" outlineLevel="0" collapsed="false">
      <c r="A3208" s="103"/>
      <c r="B3208" s="104"/>
      <c r="C3208" s="104"/>
      <c r="F3208" s="107" t="str">
        <f aca="false">IF(OR($C3208="",$D3208=0),"",$E3208/$D3208)</f>
        <v/>
      </c>
      <c r="H3208" s="0" t="str">
        <f aca="false">IF($C3208="","",IF(COUNTIF('مواد المخزون'!$A$2:$A$90,$C3208)&gt;0,"نعم","لا (خارج الجرد)"))</f>
        <v/>
      </c>
    </row>
    <row r="3209" customFormat="false" ht="15" hidden="false" customHeight="false" outlineLevel="0" collapsed="false">
      <c r="A3209" s="103"/>
      <c r="B3209" s="104"/>
      <c r="C3209" s="104"/>
      <c r="F3209" s="107" t="str">
        <f aca="false">IF(OR($C3209="",$D3209=0),"",$E3209/$D3209)</f>
        <v/>
      </c>
      <c r="H3209" s="0" t="str">
        <f aca="false">IF($C3209="","",IF(COUNTIF('مواد المخزون'!$A$2:$A$90,$C3209)&gt;0,"نعم","لا (خارج الجرد)"))</f>
        <v/>
      </c>
    </row>
    <row r="3210" customFormat="false" ht="15" hidden="false" customHeight="false" outlineLevel="0" collapsed="false">
      <c r="A3210" s="103"/>
      <c r="B3210" s="104"/>
      <c r="C3210" s="104"/>
      <c r="F3210" s="107" t="str">
        <f aca="false">IF(OR($C3210="",$D3210=0),"",$E3210/$D3210)</f>
        <v/>
      </c>
      <c r="H3210" s="0" t="str">
        <f aca="false">IF($C3210="","",IF(COUNTIF('مواد المخزون'!$A$2:$A$90,$C3210)&gt;0,"نعم","لا (خارج الجرد)"))</f>
        <v/>
      </c>
    </row>
    <row r="3211" customFormat="false" ht="15" hidden="false" customHeight="false" outlineLevel="0" collapsed="false">
      <c r="A3211" s="103"/>
      <c r="B3211" s="104"/>
      <c r="C3211" s="104"/>
      <c r="F3211" s="107" t="str">
        <f aca="false">IF(OR($C3211="",$D3211=0),"",$E3211/$D3211)</f>
        <v/>
      </c>
      <c r="H3211" s="0" t="str">
        <f aca="false">IF($C3211="","",IF(COUNTIF('مواد المخزون'!$A$2:$A$90,$C3211)&gt;0,"نعم","لا (خارج الجرد)"))</f>
        <v/>
      </c>
    </row>
    <row r="3212" customFormat="false" ht="15" hidden="false" customHeight="false" outlineLevel="0" collapsed="false">
      <c r="A3212" s="103"/>
      <c r="B3212" s="104"/>
      <c r="C3212" s="104"/>
      <c r="F3212" s="107" t="str">
        <f aca="false">IF(OR($C3212="",$D3212=0),"",$E3212/$D3212)</f>
        <v/>
      </c>
      <c r="H3212" s="0" t="str">
        <f aca="false">IF($C3212="","",IF(COUNTIF('مواد المخزون'!$A$2:$A$90,$C3212)&gt;0,"نعم","لا (خارج الجرد)"))</f>
        <v/>
      </c>
    </row>
    <row r="3213" customFormat="false" ht="15" hidden="false" customHeight="false" outlineLevel="0" collapsed="false">
      <c r="A3213" s="103"/>
      <c r="B3213" s="104"/>
      <c r="C3213" s="104"/>
      <c r="F3213" s="107" t="str">
        <f aca="false">IF(OR($C3213="",$D3213=0),"",$E3213/$D3213)</f>
        <v/>
      </c>
      <c r="H3213" s="0" t="str">
        <f aca="false">IF($C3213="","",IF(COUNTIF('مواد المخزون'!$A$2:$A$90,$C3213)&gt;0,"نعم","لا (خارج الجرد)"))</f>
        <v/>
      </c>
    </row>
    <row r="3214" customFormat="false" ht="15" hidden="false" customHeight="false" outlineLevel="0" collapsed="false">
      <c r="A3214" s="103"/>
      <c r="B3214" s="104"/>
      <c r="C3214" s="104"/>
      <c r="F3214" s="107" t="str">
        <f aca="false">IF(OR($C3214="",$D3214=0),"",$E3214/$D3214)</f>
        <v/>
      </c>
      <c r="H3214" s="0" t="str">
        <f aca="false">IF($C3214="","",IF(COUNTIF('مواد المخزون'!$A$2:$A$90,$C3214)&gt;0,"نعم","لا (خارج الجرد)"))</f>
        <v/>
      </c>
    </row>
    <row r="3215" customFormat="false" ht="15" hidden="false" customHeight="false" outlineLevel="0" collapsed="false">
      <c r="A3215" s="103"/>
      <c r="B3215" s="104"/>
      <c r="C3215" s="104"/>
      <c r="F3215" s="107" t="str">
        <f aca="false">IF(OR($C3215="",$D3215=0),"",$E3215/$D3215)</f>
        <v/>
      </c>
      <c r="H3215" s="0" t="str">
        <f aca="false">IF($C3215="","",IF(COUNTIF('مواد المخزون'!$A$2:$A$90,$C3215)&gt;0,"نعم","لا (خارج الجرد)"))</f>
        <v/>
      </c>
    </row>
    <row r="3216" customFormat="false" ht="15" hidden="false" customHeight="false" outlineLevel="0" collapsed="false">
      <c r="A3216" s="103"/>
      <c r="B3216" s="104"/>
      <c r="C3216" s="104"/>
      <c r="F3216" s="107" t="str">
        <f aca="false">IF(OR($C3216="",$D3216=0),"",$E3216/$D3216)</f>
        <v/>
      </c>
      <c r="H3216" s="0" t="str">
        <f aca="false">IF($C3216="","",IF(COUNTIF('مواد المخزون'!$A$2:$A$90,$C3216)&gt;0,"نعم","لا (خارج الجرد)"))</f>
        <v/>
      </c>
    </row>
    <row r="3217" customFormat="false" ht="15" hidden="false" customHeight="false" outlineLevel="0" collapsed="false">
      <c r="A3217" s="103"/>
      <c r="B3217" s="104"/>
      <c r="C3217" s="104"/>
      <c r="F3217" s="107" t="str">
        <f aca="false">IF(OR($C3217="",$D3217=0),"",$E3217/$D3217)</f>
        <v/>
      </c>
      <c r="H3217" s="0" t="str">
        <f aca="false">IF($C3217="","",IF(COUNTIF('مواد المخزون'!$A$2:$A$90,$C3217)&gt;0,"نعم","لا (خارج الجرد)"))</f>
        <v/>
      </c>
    </row>
    <row r="3218" customFormat="false" ht="15" hidden="false" customHeight="false" outlineLevel="0" collapsed="false">
      <c r="A3218" s="103"/>
      <c r="B3218" s="104"/>
      <c r="C3218" s="104"/>
      <c r="F3218" s="107" t="str">
        <f aca="false">IF(OR($C3218="",$D3218=0),"",$E3218/$D3218)</f>
        <v/>
      </c>
      <c r="H3218" s="0" t="str">
        <f aca="false">IF($C3218="","",IF(COUNTIF('مواد المخزون'!$A$2:$A$90,$C3218)&gt;0,"نعم","لا (خارج الجرد)"))</f>
        <v/>
      </c>
    </row>
    <row r="3219" customFormat="false" ht="15" hidden="false" customHeight="false" outlineLevel="0" collapsed="false">
      <c r="A3219" s="103"/>
      <c r="B3219" s="104"/>
      <c r="C3219" s="104"/>
      <c r="F3219" s="107" t="str">
        <f aca="false">IF(OR($C3219="",$D3219=0),"",$E3219/$D3219)</f>
        <v/>
      </c>
      <c r="H3219" s="0" t="str">
        <f aca="false">IF($C3219="","",IF(COUNTIF('مواد المخزون'!$A$2:$A$90,$C3219)&gt;0,"نعم","لا (خارج الجرد)"))</f>
        <v/>
      </c>
    </row>
    <row r="3220" customFormat="false" ht="15" hidden="false" customHeight="false" outlineLevel="0" collapsed="false">
      <c r="A3220" s="103"/>
      <c r="B3220" s="104"/>
      <c r="C3220" s="104"/>
      <c r="F3220" s="107" t="str">
        <f aca="false">IF(OR($C3220="",$D3220=0),"",$E3220/$D3220)</f>
        <v/>
      </c>
      <c r="H3220" s="0" t="str">
        <f aca="false">IF($C3220="","",IF(COUNTIF('مواد المخزون'!$A$2:$A$90,$C3220)&gt;0,"نعم","لا (خارج الجرد)"))</f>
        <v/>
      </c>
    </row>
    <row r="3221" customFormat="false" ht="15" hidden="false" customHeight="false" outlineLevel="0" collapsed="false">
      <c r="A3221" s="103"/>
      <c r="B3221" s="104"/>
      <c r="C3221" s="104"/>
      <c r="F3221" s="107" t="str">
        <f aca="false">IF(OR($C3221="",$D3221=0),"",$E3221/$D3221)</f>
        <v/>
      </c>
      <c r="H3221" s="0" t="str">
        <f aca="false">IF($C3221="","",IF(COUNTIF('مواد المخزون'!$A$2:$A$90,$C3221)&gt;0,"نعم","لا (خارج الجرد)"))</f>
        <v/>
      </c>
    </row>
    <row r="3222" customFormat="false" ht="15" hidden="false" customHeight="false" outlineLevel="0" collapsed="false">
      <c r="A3222" s="103"/>
      <c r="B3222" s="104"/>
      <c r="C3222" s="104"/>
      <c r="F3222" s="107" t="str">
        <f aca="false">IF(OR($C3222="",$D3222=0),"",$E3222/$D3222)</f>
        <v/>
      </c>
      <c r="H3222" s="0" t="str">
        <f aca="false">IF($C3222="","",IF(COUNTIF('مواد المخزون'!$A$2:$A$90,$C3222)&gt;0,"نعم","لا (خارج الجرد)"))</f>
        <v/>
      </c>
    </row>
    <row r="3223" customFormat="false" ht="15" hidden="false" customHeight="false" outlineLevel="0" collapsed="false">
      <c r="A3223" s="103"/>
      <c r="B3223" s="104"/>
      <c r="C3223" s="104"/>
      <c r="F3223" s="107" t="str">
        <f aca="false">IF(OR($C3223="",$D3223=0),"",$E3223/$D3223)</f>
        <v/>
      </c>
      <c r="H3223" s="0" t="str">
        <f aca="false">IF($C3223="","",IF(COUNTIF('مواد المخزون'!$A$2:$A$90,$C3223)&gt;0,"نعم","لا (خارج الجرد)"))</f>
        <v/>
      </c>
    </row>
    <row r="3224" customFormat="false" ht="15" hidden="false" customHeight="false" outlineLevel="0" collapsed="false">
      <c r="A3224" s="103"/>
      <c r="B3224" s="104"/>
      <c r="C3224" s="104"/>
      <c r="F3224" s="107" t="str">
        <f aca="false">IF(OR($C3224="",$D3224=0),"",$E3224/$D3224)</f>
        <v/>
      </c>
      <c r="H3224" s="0" t="str">
        <f aca="false">IF($C3224="","",IF(COUNTIF('مواد المخزون'!$A$2:$A$90,$C3224)&gt;0,"نعم","لا (خارج الجرد)"))</f>
        <v/>
      </c>
    </row>
    <row r="3225" customFormat="false" ht="15" hidden="false" customHeight="false" outlineLevel="0" collapsed="false">
      <c r="A3225" s="103"/>
      <c r="B3225" s="104"/>
      <c r="C3225" s="104"/>
      <c r="F3225" s="107" t="str">
        <f aca="false">IF(OR($C3225="",$D3225=0),"",$E3225/$D3225)</f>
        <v/>
      </c>
      <c r="H3225" s="0" t="str">
        <f aca="false">IF($C3225="","",IF(COUNTIF('مواد المخزون'!$A$2:$A$90,$C3225)&gt;0,"نعم","لا (خارج الجرد)"))</f>
        <v/>
      </c>
    </row>
    <row r="3226" customFormat="false" ht="15" hidden="false" customHeight="false" outlineLevel="0" collapsed="false">
      <c r="A3226" s="103"/>
      <c r="B3226" s="104"/>
      <c r="C3226" s="104"/>
      <c r="F3226" s="107" t="str">
        <f aca="false">IF(OR($C3226="",$D3226=0),"",$E3226/$D3226)</f>
        <v/>
      </c>
      <c r="H3226" s="0" t="str">
        <f aca="false">IF($C3226="","",IF(COUNTIF('مواد المخزون'!$A$2:$A$90,$C3226)&gt;0,"نعم","لا (خارج الجرد)"))</f>
        <v/>
      </c>
    </row>
    <row r="3227" customFormat="false" ht="15" hidden="false" customHeight="false" outlineLevel="0" collapsed="false">
      <c r="A3227" s="103"/>
      <c r="B3227" s="104"/>
      <c r="C3227" s="104"/>
      <c r="F3227" s="107" t="str">
        <f aca="false">IF(OR($C3227="",$D3227=0),"",$E3227/$D3227)</f>
        <v/>
      </c>
      <c r="H3227" s="0" t="str">
        <f aca="false">IF($C3227="","",IF(COUNTIF('مواد المخزون'!$A$2:$A$90,$C3227)&gt;0,"نعم","لا (خارج الجرد)"))</f>
        <v/>
      </c>
    </row>
    <row r="3228" customFormat="false" ht="15" hidden="false" customHeight="false" outlineLevel="0" collapsed="false">
      <c r="A3228" s="103"/>
      <c r="B3228" s="104"/>
      <c r="C3228" s="104"/>
      <c r="F3228" s="107" t="str">
        <f aca="false">IF(OR($C3228="",$D3228=0),"",$E3228/$D3228)</f>
        <v/>
      </c>
      <c r="H3228" s="0" t="str">
        <f aca="false">IF($C3228="","",IF(COUNTIF('مواد المخزون'!$A$2:$A$90,$C3228)&gt;0,"نعم","لا (خارج الجرد)"))</f>
        <v/>
      </c>
    </row>
    <row r="3229" customFormat="false" ht="15" hidden="false" customHeight="false" outlineLevel="0" collapsed="false">
      <c r="A3229" s="103"/>
      <c r="B3229" s="104"/>
      <c r="C3229" s="104"/>
      <c r="F3229" s="107" t="str">
        <f aca="false">IF(OR($C3229="",$D3229=0),"",$E3229/$D3229)</f>
        <v/>
      </c>
      <c r="H3229" s="0" t="str">
        <f aca="false">IF($C3229="","",IF(COUNTIF('مواد المخزون'!$A$2:$A$90,$C3229)&gt;0,"نعم","لا (خارج الجرد)"))</f>
        <v/>
      </c>
    </row>
    <row r="3230" customFormat="false" ht="15" hidden="false" customHeight="false" outlineLevel="0" collapsed="false">
      <c r="A3230" s="103"/>
      <c r="B3230" s="104"/>
      <c r="C3230" s="104"/>
      <c r="F3230" s="107" t="str">
        <f aca="false">IF(OR($C3230="",$D3230=0),"",$E3230/$D3230)</f>
        <v/>
      </c>
      <c r="H3230" s="0" t="str">
        <f aca="false">IF($C3230="","",IF(COUNTIF('مواد المخزون'!$A$2:$A$90,$C3230)&gt;0,"نعم","لا (خارج الجرد)"))</f>
        <v/>
      </c>
    </row>
    <row r="3231" customFormat="false" ht="15" hidden="false" customHeight="false" outlineLevel="0" collapsed="false">
      <c r="A3231" s="103"/>
      <c r="B3231" s="104"/>
      <c r="C3231" s="104"/>
      <c r="F3231" s="107" t="str">
        <f aca="false">IF(OR($C3231="",$D3231=0),"",$E3231/$D3231)</f>
        <v/>
      </c>
      <c r="H3231" s="0" t="str">
        <f aca="false">IF($C3231="","",IF(COUNTIF('مواد المخزون'!$A$2:$A$90,$C3231)&gt;0,"نعم","لا (خارج الجرد)"))</f>
        <v/>
      </c>
    </row>
    <row r="3232" customFormat="false" ht="15" hidden="false" customHeight="false" outlineLevel="0" collapsed="false">
      <c r="A3232" s="103"/>
      <c r="B3232" s="104"/>
      <c r="C3232" s="104"/>
      <c r="F3232" s="107" t="str">
        <f aca="false">IF(OR($C3232="",$D3232=0),"",$E3232/$D3232)</f>
        <v/>
      </c>
      <c r="H3232" s="0" t="str">
        <f aca="false">IF($C3232="","",IF(COUNTIF('مواد المخزون'!$A$2:$A$90,$C3232)&gt;0,"نعم","لا (خارج الجرد)"))</f>
        <v/>
      </c>
    </row>
    <row r="3233" customFormat="false" ht="15" hidden="false" customHeight="false" outlineLevel="0" collapsed="false">
      <c r="A3233" s="103"/>
      <c r="B3233" s="104"/>
      <c r="C3233" s="104"/>
      <c r="F3233" s="107" t="str">
        <f aca="false">IF(OR($C3233="",$D3233=0),"",$E3233/$D3233)</f>
        <v/>
      </c>
      <c r="H3233" s="0" t="str">
        <f aca="false">IF($C3233="","",IF(COUNTIF('مواد المخزون'!$A$2:$A$90,$C3233)&gt;0,"نعم","لا (خارج الجرد)"))</f>
        <v/>
      </c>
    </row>
    <row r="3234" customFormat="false" ht="15" hidden="false" customHeight="false" outlineLevel="0" collapsed="false">
      <c r="A3234" s="103"/>
      <c r="B3234" s="104"/>
      <c r="C3234" s="104"/>
      <c r="F3234" s="107" t="str">
        <f aca="false">IF(OR($C3234="",$D3234=0),"",$E3234/$D3234)</f>
        <v/>
      </c>
      <c r="H3234" s="0" t="str">
        <f aca="false">IF($C3234="","",IF(COUNTIF('مواد المخزون'!$A$2:$A$90,$C3234)&gt;0,"نعم","لا (خارج الجرد)"))</f>
        <v/>
      </c>
    </row>
    <row r="3235" customFormat="false" ht="15" hidden="false" customHeight="false" outlineLevel="0" collapsed="false">
      <c r="A3235" s="103"/>
      <c r="B3235" s="104"/>
      <c r="C3235" s="104"/>
      <c r="F3235" s="107" t="str">
        <f aca="false">IF(OR($C3235="",$D3235=0),"",$E3235/$D3235)</f>
        <v/>
      </c>
      <c r="H3235" s="0" t="str">
        <f aca="false">IF($C3235="","",IF(COUNTIF('مواد المخزون'!$A$2:$A$90,$C3235)&gt;0,"نعم","لا (خارج الجرد)"))</f>
        <v/>
      </c>
    </row>
    <row r="3236" customFormat="false" ht="15" hidden="false" customHeight="false" outlineLevel="0" collapsed="false">
      <c r="A3236" s="103"/>
      <c r="B3236" s="104"/>
      <c r="C3236" s="104"/>
      <c r="F3236" s="107" t="str">
        <f aca="false">IF(OR($C3236="",$D3236=0),"",$E3236/$D3236)</f>
        <v/>
      </c>
      <c r="H3236" s="0" t="str">
        <f aca="false">IF($C3236="","",IF(COUNTIF('مواد المخزون'!$A$2:$A$90,$C3236)&gt;0,"نعم","لا (خارج الجرد)"))</f>
        <v/>
      </c>
    </row>
    <row r="3237" customFormat="false" ht="15" hidden="false" customHeight="false" outlineLevel="0" collapsed="false">
      <c r="A3237" s="103"/>
      <c r="B3237" s="104"/>
      <c r="C3237" s="104"/>
      <c r="F3237" s="107" t="str">
        <f aca="false">IF(OR($C3237="",$D3237=0),"",$E3237/$D3237)</f>
        <v/>
      </c>
      <c r="H3237" s="0" t="str">
        <f aca="false">IF($C3237="","",IF(COUNTIF('مواد المخزون'!$A$2:$A$90,$C3237)&gt;0,"نعم","لا (خارج الجرد)"))</f>
        <v/>
      </c>
    </row>
    <row r="3238" customFormat="false" ht="15" hidden="false" customHeight="false" outlineLevel="0" collapsed="false">
      <c r="A3238" s="103"/>
      <c r="B3238" s="104"/>
      <c r="C3238" s="104"/>
      <c r="F3238" s="107" t="str">
        <f aca="false">IF(OR($C3238="",$D3238=0),"",$E3238/$D3238)</f>
        <v/>
      </c>
      <c r="H3238" s="0" t="str">
        <f aca="false">IF($C3238="","",IF(COUNTIF('مواد المخزون'!$A$2:$A$90,$C3238)&gt;0,"نعم","لا (خارج الجرد)"))</f>
        <v/>
      </c>
    </row>
    <row r="3239" customFormat="false" ht="15" hidden="false" customHeight="false" outlineLevel="0" collapsed="false">
      <c r="A3239" s="103"/>
      <c r="B3239" s="104"/>
      <c r="C3239" s="104"/>
      <c r="F3239" s="107" t="str">
        <f aca="false">IF(OR($C3239="",$D3239=0),"",$E3239/$D3239)</f>
        <v/>
      </c>
      <c r="H3239" s="0" t="str">
        <f aca="false">IF($C3239="","",IF(COUNTIF('مواد المخزون'!$A$2:$A$90,$C3239)&gt;0,"نعم","لا (خارج الجرد)"))</f>
        <v/>
      </c>
    </row>
    <row r="3240" customFormat="false" ht="15" hidden="false" customHeight="false" outlineLevel="0" collapsed="false">
      <c r="A3240" s="103"/>
      <c r="B3240" s="104"/>
      <c r="C3240" s="104"/>
      <c r="F3240" s="107" t="str">
        <f aca="false">IF(OR($C3240="",$D3240=0),"",$E3240/$D3240)</f>
        <v/>
      </c>
      <c r="H3240" s="0" t="str">
        <f aca="false">IF($C3240="","",IF(COUNTIF('مواد المخزون'!$A$2:$A$90,$C3240)&gt;0,"نعم","لا (خارج الجرد)"))</f>
        <v/>
      </c>
    </row>
    <row r="3241" customFormat="false" ht="15" hidden="false" customHeight="false" outlineLevel="0" collapsed="false">
      <c r="A3241" s="103"/>
      <c r="B3241" s="104"/>
      <c r="C3241" s="104"/>
      <c r="F3241" s="107" t="str">
        <f aca="false">IF(OR($C3241="",$D3241=0),"",$E3241/$D3241)</f>
        <v/>
      </c>
      <c r="H3241" s="0" t="str">
        <f aca="false">IF($C3241="","",IF(COUNTIF('مواد المخزون'!$A$2:$A$90,$C3241)&gt;0,"نعم","لا (خارج الجرد)"))</f>
        <v/>
      </c>
    </row>
    <row r="3242" customFormat="false" ht="15" hidden="false" customHeight="false" outlineLevel="0" collapsed="false">
      <c r="A3242" s="103"/>
      <c r="B3242" s="104"/>
      <c r="C3242" s="104"/>
      <c r="F3242" s="107" t="str">
        <f aca="false">IF(OR($C3242="",$D3242=0),"",$E3242/$D3242)</f>
        <v/>
      </c>
      <c r="H3242" s="0" t="str">
        <f aca="false">IF($C3242="","",IF(COUNTIF('مواد المخزون'!$A$2:$A$90,$C3242)&gt;0,"نعم","لا (خارج الجرد)"))</f>
        <v/>
      </c>
    </row>
    <row r="3243" customFormat="false" ht="15" hidden="false" customHeight="false" outlineLevel="0" collapsed="false">
      <c r="A3243" s="103"/>
      <c r="B3243" s="104"/>
      <c r="C3243" s="104"/>
      <c r="F3243" s="107" t="str">
        <f aca="false">IF(OR($C3243="",$D3243=0),"",$E3243/$D3243)</f>
        <v/>
      </c>
      <c r="H3243" s="0" t="str">
        <f aca="false">IF($C3243="","",IF(COUNTIF('مواد المخزون'!$A$2:$A$90,$C3243)&gt;0,"نعم","لا (خارج الجرد)"))</f>
        <v/>
      </c>
    </row>
    <row r="3244" customFormat="false" ht="15" hidden="false" customHeight="false" outlineLevel="0" collapsed="false">
      <c r="A3244" s="103"/>
      <c r="B3244" s="104"/>
      <c r="C3244" s="104"/>
      <c r="F3244" s="107" t="str">
        <f aca="false">IF(OR($C3244="",$D3244=0),"",$E3244/$D3244)</f>
        <v/>
      </c>
      <c r="H3244" s="0" t="str">
        <f aca="false">IF($C3244="","",IF(COUNTIF('مواد المخزون'!$A$2:$A$90,$C3244)&gt;0,"نعم","لا (خارج الجرد)"))</f>
        <v/>
      </c>
    </row>
    <row r="3245" customFormat="false" ht="15" hidden="false" customHeight="false" outlineLevel="0" collapsed="false">
      <c r="A3245" s="103"/>
      <c r="B3245" s="104"/>
      <c r="C3245" s="104"/>
      <c r="F3245" s="107" t="str">
        <f aca="false">IF(OR($C3245="",$D3245=0),"",$E3245/$D3245)</f>
        <v/>
      </c>
      <c r="H3245" s="0" t="str">
        <f aca="false">IF($C3245="","",IF(COUNTIF('مواد المخزون'!$A$2:$A$90,$C3245)&gt;0,"نعم","لا (خارج الجرد)"))</f>
        <v/>
      </c>
    </row>
    <row r="3246" customFormat="false" ht="15" hidden="false" customHeight="false" outlineLevel="0" collapsed="false">
      <c r="A3246" s="103"/>
      <c r="B3246" s="104"/>
      <c r="C3246" s="104"/>
      <c r="F3246" s="107" t="str">
        <f aca="false">IF(OR($C3246="",$D3246=0),"",$E3246/$D3246)</f>
        <v/>
      </c>
      <c r="H3246" s="0" t="str">
        <f aca="false">IF($C3246="","",IF(COUNTIF('مواد المخزون'!$A$2:$A$90,$C3246)&gt;0,"نعم","لا (خارج الجرد)"))</f>
        <v/>
      </c>
    </row>
    <row r="3247" customFormat="false" ht="15" hidden="false" customHeight="false" outlineLevel="0" collapsed="false">
      <c r="A3247" s="103"/>
      <c r="B3247" s="104"/>
      <c r="C3247" s="104"/>
      <c r="F3247" s="107" t="str">
        <f aca="false">IF(OR($C3247="",$D3247=0),"",$E3247/$D3247)</f>
        <v/>
      </c>
      <c r="H3247" s="0" t="str">
        <f aca="false">IF($C3247="","",IF(COUNTIF('مواد المخزون'!$A$2:$A$90,$C3247)&gt;0,"نعم","لا (خارج الجرد)"))</f>
        <v/>
      </c>
    </row>
    <row r="3248" customFormat="false" ht="15" hidden="false" customHeight="false" outlineLevel="0" collapsed="false">
      <c r="A3248" s="103"/>
      <c r="B3248" s="104"/>
      <c r="C3248" s="104"/>
      <c r="F3248" s="107" t="str">
        <f aca="false">IF(OR($C3248="",$D3248=0),"",$E3248/$D3248)</f>
        <v/>
      </c>
      <c r="H3248" s="0" t="str">
        <f aca="false">IF($C3248="","",IF(COUNTIF('مواد المخزون'!$A$2:$A$90,$C3248)&gt;0,"نعم","لا (خارج الجرد)"))</f>
        <v/>
      </c>
    </row>
    <row r="3249" customFormat="false" ht="15" hidden="false" customHeight="false" outlineLevel="0" collapsed="false">
      <c r="A3249" s="103"/>
      <c r="B3249" s="104"/>
      <c r="C3249" s="104"/>
      <c r="F3249" s="107" t="str">
        <f aca="false">IF(OR($C3249="",$D3249=0),"",$E3249/$D3249)</f>
        <v/>
      </c>
      <c r="H3249" s="0" t="str">
        <f aca="false">IF($C3249="","",IF(COUNTIF('مواد المخزون'!$A$2:$A$90,$C3249)&gt;0,"نعم","لا (خارج الجرد)"))</f>
        <v/>
      </c>
    </row>
    <row r="3250" customFormat="false" ht="15" hidden="false" customHeight="false" outlineLevel="0" collapsed="false">
      <c r="A3250" s="103"/>
      <c r="B3250" s="104"/>
      <c r="C3250" s="104"/>
      <c r="F3250" s="107" t="str">
        <f aca="false">IF(OR($C3250="",$D3250=0),"",$E3250/$D3250)</f>
        <v/>
      </c>
      <c r="H3250" s="0" t="str">
        <f aca="false">IF($C3250="","",IF(COUNTIF('مواد المخزون'!$A$2:$A$90,$C3250)&gt;0,"نعم","لا (خارج الجرد)"))</f>
        <v/>
      </c>
    </row>
    <row r="3251" customFormat="false" ht="15" hidden="false" customHeight="false" outlineLevel="0" collapsed="false">
      <c r="A3251" s="103"/>
      <c r="B3251" s="104"/>
      <c r="C3251" s="104"/>
      <c r="F3251" s="107" t="str">
        <f aca="false">IF(OR($C3251="",$D3251=0),"",$E3251/$D3251)</f>
        <v/>
      </c>
      <c r="H3251" s="0" t="str">
        <f aca="false">IF($C3251="","",IF(COUNTIF('مواد المخزون'!$A$2:$A$90,$C3251)&gt;0,"نعم","لا (خارج الجرد)"))</f>
        <v/>
      </c>
    </row>
    <row r="3252" customFormat="false" ht="15" hidden="false" customHeight="false" outlineLevel="0" collapsed="false">
      <c r="A3252" s="103"/>
      <c r="B3252" s="104"/>
      <c r="C3252" s="104"/>
      <c r="F3252" s="107" t="str">
        <f aca="false">IF(OR($C3252="",$D3252=0),"",$E3252/$D3252)</f>
        <v/>
      </c>
      <c r="H3252" s="0" t="str">
        <f aca="false">IF($C3252="","",IF(COUNTIF('مواد المخزون'!$A$2:$A$90,$C3252)&gt;0,"نعم","لا (خارج الجرد)"))</f>
        <v/>
      </c>
    </row>
    <row r="3253" customFormat="false" ht="15" hidden="false" customHeight="false" outlineLevel="0" collapsed="false">
      <c r="A3253" s="103"/>
      <c r="B3253" s="104"/>
      <c r="C3253" s="104"/>
      <c r="F3253" s="107" t="str">
        <f aca="false">IF(OR($C3253="",$D3253=0),"",$E3253/$D3253)</f>
        <v/>
      </c>
      <c r="H3253" s="0" t="str">
        <f aca="false">IF($C3253="","",IF(COUNTIF('مواد المخزون'!$A$2:$A$90,$C3253)&gt;0,"نعم","لا (خارج الجرد)"))</f>
        <v/>
      </c>
    </row>
    <row r="3254" customFormat="false" ht="15" hidden="false" customHeight="false" outlineLevel="0" collapsed="false">
      <c r="A3254" s="103"/>
      <c r="B3254" s="104"/>
      <c r="C3254" s="104"/>
      <c r="F3254" s="107" t="str">
        <f aca="false">IF(OR($C3254="",$D3254=0),"",$E3254/$D3254)</f>
        <v/>
      </c>
      <c r="H3254" s="0" t="str">
        <f aca="false">IF($C3254="","",IF(COUNTIF('مواد المخزون'!$A$2:$A$90,$C3254)&gt;0,"نعم","لا (خارج الجرد)"))</f>
        <v/>
      </c>
    </row>
    <row r="3255" customFormat="false" ht="15" hidden="false" customHeight="false" outlineLevel="0" collapsed="false">
      <c r="A3255" s="103"/>
      <c r="B3255" s="104"/>
      <c r="C3255" s="104"/>
      <c r="F3255" s="107" t="str">
        <f aca="false">IF(OR($C3255="",$D3255=0),"",$E3255/$D3255)</f>
        <v/>
      </c>
      <c r="H3255" s="0" t="str">
        <f aca="false">IF($C3255="","",IF(COUNTIF('مواد المخزون'!$A$2:$A$90,$C3255)&gt;0,"نعم","لا (خارج الجرد)"))</f>
        <v/>
      </c>
    </row>
    <row r="3256" customFormat="false" ht="15" hidden="false" customHeight="false" outlineLevel="0" collapsed="false">
      <c r="A3256" s="103"/>
      <c r="B3256" s="104"/>
      <c r="C3256" s="104"/>
      <c r="F3256" s="107" t="str">
        <f aca="false">IF(OR($C3256="",$D3256=0),"",$E3256/$D3256)</f>
        <v/>
      </c>
      <c r="H3256" s="0" t="str">
        <f aca="false">IF($C3256="","",IF(COUNTIF('مواد المخزون'!$A$2:$A$90,$C3256)&gt;0,"نعم","لا (خارج الجرد)"))</f>
        <v/>
      </c>
    </row>
    <row r="3257" customFormat="false" ht="15" hidden="false" customHeight="false" outlineLevel="0" collapsed="false">
      <c r="A3257" s="103"/>
      <c r="B3257" s="104"/>
      <c r="C3257" s="104"/>
      <c r="F3257" s="107" t="str">
        <f aca="false">IF(OR($C3257="",$D3257=0),"",$E3257/$D3257)</f>
        <v/>
      </c>
      <c r="H3257" s="0" t="str">
        <f aca="false">IF($C3257="","",IF(COUNTIF('مواد المخزون'!$A$2:$A$90,$C3257)&gt;0,"نعم","لا (خارج الجرد)"))</f>
        <v/>
      </c>
    </row>
    <row r="3258" customFormat="false" ht="15" hidden="false" customHeight="false" outlineLevel="0" collapsed="false">
      <c r="A3258" s="103"/>
      <c r="B3258" s="104"/>
      <c r="C3258" s="104"/>
      <c r="F3258" s="107" t="str">
        <f aca="false">IF(OR($C3258="",$D3258=0),"",$E3258/$D3258)</f>
        <v/>
      </c>
      <c r="H3258" s="0" t="str">
        <f aca="false">IF($C3258="","",IF(COUNTIF('مواد المخزون'!$A$2:$A$90,$C3258)&gt;0,"نعم","لا (خارج الجرد)"))</f>
        <v/>
      </c>
    </row>
    <row r="3259" customFormat="false" ht="15" hidden="false" customHeight="false" outlineLevel="0" collapsed="false">
      <c r="A3259" s="103"/>
      <c r="B3259" s="104"/>
      <c r="C3259" s="104"/>
      <c r="F3259" s="107" t="str">
        <f aca="false">IF(OR($C3259="",$D3259=0),"",$E3259/$D3259)</f>
        <v/>
      </c>
      <c r="H3259" s="0" t="str">
        <f aca="false">IF($C3259="","",IF(COUNTIF('مواد المخزون'!$A$2:$A$90,$C3259)&gt;0,"نعم","لا (خارج الجرد)"))</f>
        <v/>
      </c>
    </row>
    <row r="3260" customFormat="false" ht="15" hidden="false" customHeight="false" outlineLevel="0" collapsed="false">
      <c r="A3260" s="103"/>
      <c r="B3260" s="104"/>
      <c r="C3260" s="104"/>
      <c r="F3260" s="107" t="str">
        <f aca="false">IF(OR($C3260="",$D3260=0),"",$E3260/$D3260)</f>
        <v/>
      </c>
      <c r="H3260" s="0" t="str">
        <f aca="false">IF($C3260="","",IF(COUNTIF('مواد المخزون'!$A$2:$A$90,$C3260)&gt;0,"نعم","لا (خارج الجرد)"))</f>
        <v/>
      </c>
    </row>
    <row r="3261" customFormat="false" ht="15" hidden="false" customHeight="false" outlineLevel="0" collapsed="false">
      <c r="A3261" s="103"/>
      <c r="B3261" s="104"/>
      <c r="C3261" s="104"/>
      <c r="F3261" s="107" t="str">
        <f aca="false">IF(OR($C3261="",$D3261=0),"",$E3261/$D3261)</f>
        <v/>
      </c>
      <c r="H3261" s="0" t="str">
        <f aca="false">IF($C3261="","",IF(COUNTIF('مواد المخزون'!$A$2:$A$90,$C3261)&gt;0,"نعم","لا (خارج الجرد)"))</f>
        <v/>
      </c>
    </row>
    <row r="3262" customFormat="false" ht="15" hidden="false" customHeight="false" outlineLevel="0" collapsed="false">
      <c r="A3262" s="103"/>
      <c r="B3262" s="104"/>
      <c r="C3262" s="104"/>
      <c r="F3262" s="107" t="str">
        <f aca="false">IF(OR($C3262="",$D3262=0),"",$E3262/$D3262)</f>
        <v/>
      </c>
      <c r="H3262" s="0" t="str">
        <f aca="false">IF($C3262="","",IF(COUNTIF('مواد المخزون'!$A$2:$A$90,$C3262)&gt;0,"نعم","لا (خارج الجرد)"))</f>
        <v/>
      </c>
    </row>
    <row r="3263" customFormat="false" ht="15" hidden="false" customHeight="false" outlineLevel="0" collapsed="false">
      <c r="A3263" s="103"/>
      <c r="B3263" s="104"/>
      <c r="C3263" s="104"/>
      <c r="F3263" s="107" t="str">
        <f aca="false">IF(OR($C3263="",$D3263=0),"",$E3263/$D3263)</f>
        <v/>
      </c>
      <c r="H3263" s="0" t="str">
        <f aca="false">IF($C3263="","",IF(COUNTIF('مواد المخزون'!$A$2:$A$90,$C3263)&gt;0,"نعم","لا (خارج الجرد)"))</f>
        <v/>
      </c>
    </row>
    <row r="3264" customFormat="false" ht="15" hidden="false" customHeight="false" outlineLevel="0" collapsed="false">
      <c r="A3264" s="103"/>
      <c r="B3264" s="104"/>
      <c r="C3264" s="104"/>
      <c r="F3264" s="107" t="str">
        <f aca="false">IF(OR($C3264="",$D3264=0),"",$E3264/$D3264)</f>
        <v/>
      </c>
      <c r="H3264" s="0" t="str">
        <f aca="false">IF($C3264="","",IF(COUNTIF('مواد المخزون'!$A$2:$A$90,$C3264)&gt;0,"نعم","لا (خارج الجرد)"))</f>
        <v/>
      </c>
    </row>
    <row r="3265" customFormat="false" ht="15" hidden="false" customHeight="false" outlineLevel="0" collapsed="false">
      <c r="A3265" s="103"/>
      <c r="B3265" s="104"/>
      <c r="C3265" s="104"/>
      <c r="F3265" s="107" t="str">
        <f aca="false">IF(OR($C3265="",$D3265=0),"",$E3265/$D3265)</f>
        <v/>
      </c>
      <c r="H3265" s="0" t="str">
        <f aca="false">IF($C3265="","",IF(COUNTIF('مواد المخزون'!$A$2:$A$90,$C3265)&gt;0,"نعم","لا (خارج الجرد)"))</f>
        <v/>
      </c>
    </row>
    <row r="3266" customFormat="false" ht="15" hidden="false" customHeight="false" outlineLevel="0" collapsed="false">
      <c r="A3266" s="103"/>
      <c r="B3266" s="104"/>
      <c r="C3266" s="104"/>
      <c r="F3266" s="107" t="str">
        <f aca="false">IF(OR($C3266="",$D3266=0),"",$E3266/$D3266)</f>
        <v/>
      </c>
      <c r="H3266" s="0" t="str">
        <f aca="false">IF($C3266="","",IF(COUNTIF('مواد المخزون'!$A$2:$A$90,$C3266)&gt;0,"نعم","لا (خارج الجرد)"))</f>
        <v/>
      </c>
    </row>
    <row r="3267" customFormat="false" ht="15" hidden="false" customHeight="false" outlineLevel="0" collapsed="false">
      <c r="A3267" s="103"/>
      <c r="B3267" s="104"/>
      <c r="C3267" s="104"/>
      <c r="F3267" s="107" t="str">
        <f aca="false">IF(OR($C3267="",$D3267=0),"",$E3267/$D3267)</f>
        <v/>
      </c>
      <c r="H3267" s="0" t="str">
        <f aca="false">IF($C3267="","",IF(COUNTIF('مواد المخزون'!$A$2:$A$90,$C3267)&gt;0,"نعم","لا (خارج الجرد)"))</f>
        <v/>
      </c>
    </row>
    <row r="3268" customFormat="false" ht="15" hidden="false" customHeight="false" outlineLevel="0" collapsed="false">
      <c r="A3268" s="103"/>
      <c r="B3268" s="104"/>
      <c r="C3268" s="104"/>
      <c r="F3268" s="107" t="str">
        <f aca="false">IF(OR($C3268="",$D3268=0),"",$E3268/$D3268)</f>
        <v/>
      </c>
      <c r="H3268" s="0" t="str">
        <f aca="false">IF($C3268="","",IF(COUNTIF('مواد المخزون'!$A$2:$A$90,$C3268)&gt;0,"نعم","لا (خارج الجرد)"))</f>
        <v/>
      </c>
    </row>
    <row r="3269" customFormat="false" ht="15" hidden="false" customHeight="false" outlineLevel="0" collapsed="false">
      <c r="A3269" s="103"/>
      <c r="B3269" s="104"/>
      <c r="C3269" s="104"/>
      <c r="F3269" s="107" t="str">
        <f aca="false">IF(OR($C3269="",$D3269=0),"",$E3269/$D3269)</f>
        <v/>
      </c>
      <c r="H3269" s="0" t="str">
        <f aca="false">IF($C3269="","",IF(COUNTIF('مواد المخزون'!$A$2:$A$90,$C3269)&gt;0,"نعم","لا (خارج الجرد)"))</f>
        <v/>
      </c>
    </row>
    <row r="3270" customFormat="false" ht="15" hidden="false" customHeight="false" outlineLevel="0" collapsed="false">
      <c r="A3270" s="103"/>
      <c r="B3270" s="104"/>
      <c r="C3270" s="104"/>
      <c r="F3270" s="107" t="str">
        <f aca="false">IF(OR($C3270="",$D3270=0),"",$E3270/$D3270)</f>
        <v/>
      </c>
      <c r="H3270" s="0" t="str">
        <f aca="false">IF($C3270="","",IF(COUNTIF('مواد المخزون'!$A$2:$A$90,$C3270)&gt;0,"نعم","لا (خارج الجرد)"))</f>
        <v/>
      </c>
    </row>
    <row r="3271" customFormat="false" ht="15" hidden="false" customHeight="false" outlineLevel="0" collapsed="false">
      <c r="A3271" s="103"/>
      <c r="B3271" s="104"/>
      <c r="C3271" s="104"/>
      <c r="F3271" s="107" t="str">
        <f aca="false">IF(OR($C3271="",$D3271=0),"",$E3271/$D3271)</f>
        <v/>
      </c>
      <c r="H3271" s="0" t="str">
        <f aca="false">IF($C3271="","",IF(COUNTIF('مواد المخزون'!$A$2:$A$90,$C3271)&gt;0,"نعم","لا (خارج الجرد)"))</f>
        <v/>
      </c>
    </row>
    <row r="3272" customFormat="false" ht="15" hidden="false" customHeight="false" outlineLevel="0" collapsed="false">
      <c r="A3272" s="103"/>
      <c r="B3272" s="104"/>
      <c r="C3272" s="104"/>
      <c r="F3272" s="107" t="str">
        <f aca="false">IF(OR($C3272="",$D3272=0),"",$E3272/$D3272)</f>
        <v/>
      </c>
      <c r="H3272" s="0" t="str">
        <f aca="false">IF($C3272="","",IF(COUNTIF('مواد المخزون'!$A$2:$A$90,$C3272)&gt;0,"نعم","لا (خارج الجرد)"))</f>
        <v/>
      </c>
    </row>
    <row r="3273" customFormat="false" ht="15" hidden="false" customHeight="false" outlineLevel="0" collapsed="false">
      <c r="A3273" s="103"/>
      <c r="B3273" s="104"/>
      <c r="C3273" s="104"/>
      <c r="F3273" s="107" t="str">
        <f aca="false">IF(OR($C3273="",$D3273=0),"",$E3273/$D3273)</f>
        <v/>
      </c>
      <c r="H3273" s="0" t="str">
        <f aca="false">IF($C3273="","",IF(COUNTIF('مواد المخزون'!$A$2:$A$90,$C3273)&gt;0,"نعم","لا (خارج الجرد)"))</f>
        <v/>
      </c>
    </row>
    <row r="3274" customFormat="false" ht="15" hidden="false" customHeight="false" outlineLevel="0" collapsed="false">
      <c r="A3274" s="103"/>
      <c r="B3274" s="104"/>
      <c r="C3274" s="104"/>
      <c r="F3274" s="107" t="str">
        <f aca="false">IF(OR($C3274="",$D3274=0),"",$E3274/$D3274)</f>
        <v/>
      </c>
      <c r="H3274" s="0" t="str">
        <f aca="false">IF($C3274="","",IF(COUNTIF('مواد المخزون'!$A$2:$A$90,$C3274)&gt;0,"نعم","لا (خارج الجرد)"))</f>
        <v/>
      </c>
    </row>
    <row r="3275" customFormat="false" ht="15" hidden="false" customHeight="false" outlineLevel="0" collapsed="false">
      <c r="A3275" s="103"/>
      <c r="B3275" s="104"/>
      <c r="C3275" s="104"/>
      <c r="F3275" s="107" t="str">
        <f aca="false">IF(OR($C3275="",$D3275=0),"",$E3275/$D3275)</f>
        <v/>
      </c>
      <c r="H3275" s="0" t="str">
        <f aca="false">IF($C3275="","",IF(COUNTIF('مواد المخزون'!$A$2:$A$90,$C3275)&gt;0,"نعم","لا (خارج الجرد)"))</f>
        <v/>
      </c>
    </row>
    <row r="3276" customFormat="false" ht="15" hidden="false" customHeight="false" outlineLevel="0" collapsed="false">
      <c r="A3276" s="103"/>
      <c r="B3276" s="104"/>
      <c r="C3276" s="104"/>
      <c r="F3276" s="107" t="str">
        <f aca="false">IF(OR($C3276="",$D3276=0),"",$E3276/$D3276)</f>
        <v/>
      </c>
      <c r="H3276" s="0" t="str">
        <f aca="false">IF($C3276="","",IF(COUNTIF('مواد المخزون'!$A$2:$A$90,$C3276)&gt;0,"نعم","لا (خارج الجرد)"))</f>
        <v/>
      </c>
    </row>
    <row r="3277" customFormat="false" ht="15" hidden="false" customHeight="false" outlineLevel="0" collapsed="false">
      <c r="A3277" s="103"/>
      <c r="B3277" s="104"/>
      <c r="C3277" s="104"/>
      <c r="F3277" s="107" t="str">
        <f aca="false">IF(OR($C3277="",$D3277=0),"",$E3277/$D3277)</f>
        <v/>
      </c>
      <c r="H3277" s="0" t="str">
        <f aca="false">IF($C3277="","",IF(COUNTIF('مواد المخزون'!$A$2:$A$90,$C3277)&gt;0,"نعم","لا (خارج الجرد)"))</f>
        <v/>
      </c>
    </row>
    <row r="3278" customFormat="false" ht="15" hidden="false" customHeight="false" outlineLevel="0" collapsed="false">
      <c r="A3278" s="103"/>
      <c r="B3278" s="104"/>
      <c r="C3278" s="104"/>
      <c r="F3278" s="107" t="str">
        <f aca="false">IF(OR($C3278="",$D3278=0),"",$E3278/$D3278)</f>
        <v/>
      </c>
      <c r="H3278" s="0" t="str">
        <f aca="false">IF($C3278="","",IF(COUNTIF('مواد المخزون'!$A$2:$A$90,$C3278)&gt;0,"نعم","لا (خارج الجرد)"))</f>
        <v/>
      </c>
    </row>
    <row r="3279" customFormat="false" ht="15" hidden="false" customHeight="false" outlineLevel="0" collapsed="false">
      <c r="A3279" s="103"/>
      <c r="B3279" s="104"/>
      <c r="C3279" s="104"/>
      <c r="F3279" s="107" t="str">
        <f aca="false">IF(OR($C3279="",$D3279=0),"",$E3279/$D3279)</f>
        <v/>
      </c>
      <c r="H3279" s="0" t="str">
        <f aca="false">IF($C3279="","",IF(COUNTIF('مواد المخزون'!$A$2:$A$90,$C3279)&gt;0,"نعم","لا (خارج الجرد)"))</f>
        <v/>
      </c>
    </row>
    <row r="3280" customFormat="false" ht="15" hidden="false" customHeight="false" outlineLevel="0" collapsed="false">
      <c r="A3280" s="103"/>
      <c r="B3280" s="104"/>
      <c r="C3280" s="104"/>
      <c r="F3280" s="107" t="str">
        <f aca="false">IF(OR($C3280="",$D3280=0),"",$E3280/$D3280)</f>
        <v/>
      </c>
      <c r="H3280" s="0" t="str">
        <f aca="false">IF($C3280="","",IF(COUNTIF('مواد المخزون'!$A$2:$A$90,$C3280)&gt;0,"نعم","لا (خارج الجرد)"))</f>
        <v/>
      </c>
    </row>
    <row r="3281" customFormat="false" ht="15" hidden="false" customHeight="false" outlineLevel="0" collapsed="false">
      <c r="A3281" s="103"/>
      <c r="B3281" s="104"/>
      <c r="C3281" s="104"/>
      <c r="F3281" s="107" t="str">
        <f aca="false">IF(OR($C3281="",$D3281=0),"",$E3281/$D3281)</f>
        <v/>
      </c>
      <c r="H3281" s="0" t="str">
        <f aca="false">IF($C3281="","",IF(COUNTIF('مواد المخزون'!$A$2:$A$90,$C3281)&gt;0,"نعم","لا (خارج الجرد)"))</f>
        <v/>
      </c>
    </row>
    <row r="3282" customFormat="false" ht="15" hidden="false" customHeight="false" outlineLevel="0" collapsed="false">
      <c r="A3282" s="103"/>
      <c r="B3282" s="104"/>
      <c r="C3282" s="104"/>
      <c r="F3282" s="107" t="str">
        <f aca="false">IF(OR($C3282="",$D3282=0),"",$E3282/$D3282)</f>
        <v/>
      </c>
      <c r="H3282" s="0" t="str">
        <f aca="false">IF($C3282="","",IF(COUNTIF('مواد المخزون'!$A$2:$A$90,$C3282)&gt;0,"نعم","لا (خارج الجرد)"))</f>
        <v/>
      </c>
    </row>
    <row r="3283" customFormat="false" ht="15" hidden="false" customHeight="false" outlineLevel="0" collapsed="false">
      <c r="A3283" s="103"/>
      <c r="B3283" s="104"/>
      <c r="C3283" s="104"/>
      <c r="F3283" s="107" t="str">
        <f aca="false">IF(OR($C3283="",$D3283=0),"",$E3283/$D3283)</f>
        <v/>
      </c>
      <c r="H3283" s="0" t="str">
        <f aca="false">IF($C3283="","",IF(COUNTIF('مواد المخزون'!$A$2:$A$90,$C3283)&gt;0,"نعم","لا (خارج الجرد)"))</f>
        <v/>
      </c>
    </row>
    <row r="3284" customFormat="false" ht="15" hidden="false" customHeight="false" outlineLevel="0" collapsed="false">
      <c r="A3284" s="103"/>
      <c r="B3284" s="104"/>
      <c r="C3284" s="104"/>
      <c r="F3284" s="107" t="str">
        <f aca="false">IF(OR($C3284="",$D3284=0),"",$E3284/$D3284)</f>
        <v/>
      </c>
      <c r="H3284" s="0" t="str">
        <f aca="false">IF($C3284="","",IF(COUNTIF('مواد المخزون'!$A$2:$A$90,$C3284)&gt;0,"نعم","لا (خارج الجرد)"))</f>
        <v/>
      </c>
    </row>
    <row r="3285" customFormat="false" ht="15" hidden="false" customHeight="false" outlineLevel="0" collapsed="false">
      <c r="A3285" s="103"/>
      <c r="B3285" s="104"/>
      <c r="C3285" s="104"/>
      <c r="F3285" s="107" t="str">
        <f aca="false">IF(OR($C3285="",$D3285=0),"",$E3285/$D3285)</f>
        <v/>
      </c>
      <c r="H3285" s="0" t="str">
        <f aca="false">IF($C3285="","",IF(COUNTIF('مواد المخزون'!$A$2:$A$90,$C3285)&gt;0,"نعم","لا (خارج الجرد)"))</f>
        <v/>
      </c>
    </row>
    <row r="3286" customFormat="false" ht="15" hidden="false" customHeight="false" outlineLevel="0" collapsed="false">
      <c r="A3286" s="103"/>
      <c r="B3286" s="104"/>
      <c r="C3286" s="104"/>
      <c r="F3286" s="107" t="str">
        <f aca="false">IF(OR($C3286="",$D3286=0),"",$E3286/$D3286)</f>
        <v/>
      </c>
      <c r="H3286" s="0" t="str">
        <f aca="false">IF($C3286="","",IF(COUNTIF('مواد المخزون'!$A$2:$A$90,$C3286)&gt;0,"نعم","لا (خارج الجرد)"))</f>
        <v/>
      </c>
    </row>
    <row r="3287" customFormat="false" ht="15" hidden="false" customHeight="false" outlineLevel="0" collapsed="false">
      <c r="A3287" s="103"/>
      <c r="B3287" s="104"/>
      <c r="C3287" s="104"/>
      <c r="F3287" s="107" t="str">
        <f aca="false">IF(OR($C3287="",$D3287=0),"",$E3287/$D3287)</f>
        <v/>
      </c>
      <c r="H3287" s="0" t="str">
        <f aca="false">IF($C3287="","",IF(COUNTIF('مواد المخزون'!$A$2:$A$90,$C3287)&gt;0,"نعم","لا (خارج الجرد)"))</f>
        <v/>
      </c>
    </row>
    <row r="3288" customFormat="false" ht="15" hidden="false" customHeight="false" outlineLevel="0" collapsed="false">
      <c r="A3288" s="103"/>
      <c r="B3288" s="104"/>
      <c r="C3288" s="104"/>
      <c r="F3288" s="107" t="str">
        <f aca="false">IF(OR($C3288="",$D3288=0),"",$E3288/$D3288)</f>
        <v/>
      </c>
      <c r="H3288" s="0" t="str">
        <f aca="false">IF($C3288="","",IF(COUNTIF('مواد المخزون'!$A$2:$A$90,$C3288)&gt;0,"نعم","لا (خارج الجرد)"))</f>
        <v/>
      </c>
    </row>
    <row r="3289" customFormat="false" ht="15" hidden="false" customHeight="false" outlineLevel="0" collapsed="false">
      <c r="A3289" s="103"/>
      <c r="B3289" s="104"/>
      <c r="C3289" s="104"/>
      <c r="F3289" s="107" t="str">
        <f aca="false">IF(OR($C3289="",$D3289=0),"",$E3289/$D3289)</f>
        <v/>
      </c>
      <c r="H3289" s="0" t="str">
        <f aca="false">IF($C3289="","",IF(COUNTIF('مواد المخزون'!$A$2:$A$90,$C3289)&gt;0,"نعم","لا (خارج الجرد)"))</f>
        <v/>
      </c>
    </row>
    <row r="3290" customFormat="false" ht="15" hidden="false" customHeight="false" outlineLevel="0" collapsed="false">
      <c r="A3290" s="103"/>
      <c r="B3290" s="104"/>
      <c r="C3290" s="104"/>
      <c r="F3290" s="107" t="str">
        <f aca="false">IF(OR($C3290="",$D3290=0),"",$E3290/$D3290)</f>
        <v/>
      </c>
      <c r="H3290" s="0" t="str">
        <f aca="false">IF($C3290="","",IF(COUNTIF('مواد المخزون'!$A$2:$A$90,$C3290)&gt;0,"نعم","لا (خارج الجرد)"))</f>
        <v/>
      </c>
    </row>
    <row r="3291" customFormat="false" ht="15" hidden="false" customHeight="false" outlineLevel="0" collapsed="false">
      <c r="A3291" s="103"/>
      <c r="B3291" s="104"/>
      <c r="C3291" s="104"/>
      <c r="F3291" s="107" t="str">
        <f aca="false">IF(OR($C3291="",$D3291=0),"",$E3291/$D3291)</f>
        <v/>
      </c>
      <c r="H3291" s="0" t="str">
        <f aca="false">IF($C3291="","",IF(COUNTIF('مواد المخزون'!$A$2:$A$90,$C3291)&gt;0,"نعم","لا (خارج الجرد)"))</f>
        <v/>
      </c>
    </row>
    <row r="3292" customFormat="false" ht="15" hidden="false" customHeight="false" outlineLevel="0" collapsed="false">
      <c r="A3292" s="103"/>
      <c r="B3292" s="104"/>
      <c r="C3292" s="104"/>
      <c r="F3292" s="107" t="str">
        <f aca="false">IF(OR($C3292="",$D3292=0),"",$E3292/$D3292)</f>
        <v/>
      </c>
      <c r="H3292" s="0" t="str">
        <f aca="false">IF($C3292="","",IF(COUNTIF('مواد المخزون'!$A$2:$A$90,$C3292)&gt;0,"نعم","لا (خارج الجرد)"))</f>
        <v/>
      </c>
    </row>
    <row r="3293" customFormat="false" ht="15" hidden="false" customHeight="false" outlineLevel="0" collapsed="false">
      <c r="A3293" s="103"/>
      <c r="B3293" s="104"/>
      <c r="C3293" s="104"/>
      <c r="F3293" s="107" t="str">
        <f aca="false">IF(OR($C3293="",$D3293=0),"",$E3293/$D3293)</f>
        <v/>
      </c>
      <c r="H3293" s="0" t="str">
        <f aca="false">IF($C3293="","",IF(COUNTIF('مواد المخزون'!$A$2:$A$90,$C3293)&gt;0,"نعم","لا (خارج الجرد)"))</f>
        <v/>
      </c>
    </row>
    <row r="3294" customFormat="false" ht="15" hidden="false" customHeight="false" outlineLevel="0" collapsed="false">
      <c r="A3294" s="103"/>
      <c r="B3294" s="104"/>
      <c r="C3294" s="104"/>
      <c r="F3294" s="107" t="str">
        <f aca="false">IF(OR($C3294="",$D3294=0),"",$E3294/$D3294)</f>
        <v/>
      </c>
      <c r="H3294" s="0" t="str">
        <f aca="false">IF($C3294="","",IF(COUNTIF('مواد المخزون'!$A$2:$A$90,$C3294)&gt;0,"نعم","لا (خارج الجرد)"))</f>
        <v/>
      </c>
    </row>
    <row r="3295" customFormat="false" ht="15" hidden="false" customHeight="false" outlineLevel="0" collapsed="false">
      <c r="A3295" s="103"/>
      <c r="B3295" s="104"/>
      <c r="C3295" s="104"/>
      <c r="F3295" s="107" t="str">
        <f aca="false">IF(OR($C3295="",$D3295=0),"",$E3295/$D3295)</f>
        <v/>
      </c>
      <c r="H3295" s="0" t="str">
        <f aca="false">IF($C3295="","",IF(COUNTIF('مواد المخزون'!$A$2:$A$90,$C3295)&gt;0,"نعم","لا (خارج الجرد)"))</f>
        <v/>
      </c>
    </row>
    <row r="3296" customFormat="false" ht="15" hidden="false" customHeight="false" outlineLevel="0" collapsed="false">
      <c r="A3296" s="103"/>
      <c r="B3296" s="104"/>
      <c r="C3296" s="104"/>
      <c r="F3296" s="107" t="str">
        <f aca="false">IF(OR($C3296="",$D3296=0),"",$E3296/$D3296)</f>
        <v/>
      </c>
      <c r="H3296" s="0" t="str">
        <f aca="false">IF($C3296="","",IF(COUNTIF('مواد المخزون'!$A$2:$A$90,$C3296)&gt;0,"نعم","لا (خارج الجرد)"))</f>
        <v/>
      </c>
    </row>
    <row r="3297" customFormat="false" ht="15" hidden="false" customHeight="false" outlineLevel="0" collapsed="false">
      <c r="A3297" s="103"/>
      <c r="B3297" s="104"/>
      <c r="C3297" s="104"/>
      <c r="F3297" s="107" t="str">
        <f aca="false">IF(OR($C3297="",$D3297=0),"",$E3297/$D3297)</f>
        <v/>
      </c>
      <c r="H3297" s="0" t="str">
        <f aca="false">IF($C3297="","",IF(COUNTIF('مواد المخزون'!$A$2:$A$90,$C3297)&gt;0,"نعم","لا (خارج الجرد)"))</f>
        <v/>
      </c>
    </row>
    <row r="3298" customFormat="false" ht="15" hidden="false" customHeight="false" outlineLevel="0" collapsed="false">
      <c r="A3298" s="103"/>
      <c r="B3298" s="104"/>
      <c r="C3298" s="104"/>
      <c r="F3298" s="107" t="str">
        <f aca="false">IF(OR($C3298="",$D3298=0),"",$E3298/$D3298)</f>
        <v/>
      </c>
      <c r="H3298" s="0" t="str">
        <f aca="false">IF($C3298="","",IF(COUNTIF('مواد المخزون'!$A$2:$A$90,$C3298)&gt;0,"نعم","لا (خارج الجرد)"))</f>
        <v/>
      </c>
    </row>
    <row r="3299" customFormat="false" ht="15" hidden="false" customHeight="false" outlineLevel="0" collapsed="false">
      <c r="A3299" s="103"/>
      <c r="B3299" s="104"/>
      <c r="C3299" s="104"/>
      <c r="F3299" s="107" t="str">
        <f aca="false">IF(OR($C3299="",$D3299=0),"",$E3299/$D3299)</f>
        <v/>
      </c>
      <c r="H3299" s="0" t="str">
        <f aca="false">IF($C3299="","",IF(COUNTIF('مواد المخزون'!$A$2:$A$90,$C3299)&gt;0,"نعم","لا (خارج الجرد)"))</f>
        <v/>
      </c>
    </row>
    <row r="3300" customFormat="false" ht="15" hidden="false" customHeight="false" outlineLevel="0" collapsed="false">
      <c r="A3300" s="103"/>
      <c r="B3300" s="104"/>
      <c r="C3300" s="104"/>
      <c r="F3300" s="107" t="str">
        <f aca="false">IF(OR($C3300="",$D3300=0),"",$E3300/$D3300)</f>
        <v/>
      </c>
      <c r="H3300" s="0" t="str">
        <f aca="false">IF($C3300="","",IF(COUNTIF('مواد المخزون'!$A$2:$A$90,$C3300)&gt;0,"نعم","لا (خارج الجرد)"))</f>
        <v/>
      </c>
    </row>
    <row r="3301" customFormat="false" ht="15" hidden="false" customHeight="false" outlineLevel="0" collapsed="false">
      <c r="A3301" s="103"/>
      <c r="B3301" s="104"/>
      <c r="C3301" s="104"/>
      <c r="F3301" s="107" t="str">
        <f aca="false">IF(OR($C3301="",$D3301=0),"",$E3301/$D3301)</f>
        <v/>
      </c>
      <c r="H3301" s="0" t="str">
        <f aca="false">IF($C3301="","",IF(COUNTIF('مواد المخزون'!$A$2:$A$90,$C3301)&gt;0,"نعم","لا (خارج الجرد)"))</f>
        <v/>
      </c>
    </row>
    <row r="3302" customFormat="false" ht="15" hidden="false" customHeight="false" outlineLevel="0" collapsed="false">
      <c r="A3302" s="103"/>
      <c r="B3302" s="104"/>
      <c r="C3302" s="104"/>
      <c r="F3302" s="107" t="str">
        <f aca="false">IF(OR($C3302="",$D3302=0),"",$E3302/$D3302)</f>
        <v/>
      </c>
      <c r="H3302" s="0" t="str">
        <f aca="false">IF($C3302="","",IF(COUNTIF('مواد المخزون'!$A$2:$A$90,$C3302)&gt;0,"نعم","لا (خارج الجرد)"))</f>
        <v/>
      </c>
    </row>
    <row r="3303" customFormat="false" ht="15" hidden="false" customHeight="false" outlineLevel="0" collapsed="false">
      <c r="A3303" s="103"/>
      <c r="B3303" s="104"/>
      <c r="C3303" s="104"/>
      <c r="F3303" s="107" t="str">
        <f aca="false">IF(OR($C3303="",$D3303=0),"",$E3303/$D3303)</f>
        <v/>
      </c>
      <c r="H3303" s="0" t="str">
        <f aca="false">IF($C3303="","",IF(COUNTIF('مواد المخزون'!$A$2:$A$90,$C3303)&gt;0,"نعم","لا (خارج الجرد)"))</f>
        <v/>
      </c>
    </row>
    <row r="3304" customFormat="false" ht="15" hidden="false" customHeight="false" outlineLevel="0" collapsed="false">
      <c r="A3304" s="103"/>
      <c r="B3304" s="104"/>
      <c r="C3304" s="104"/>
      <c r="F3304" s="107" t="str">
        <f aca="false">IF(OR($C3304="",$D3304=0),"",$E3304/$D3304)</f>
        <v/>
      </c>
      <c r="H3304" s="0" t="str">
        <f aca="false">IF($C3304="","",IF(COUNTIF('مواد المخزون'!$A$2:$A$90,$C3304)&gt;0,"نعم","لا (خارج الجرد)"))</f>
        <v/>
      </c>
    </row>
    <row r="3305" customFormat="false" ht="15" hidden="false" customHeight="false" outlineLevel="0" collapsed="false">
      <c r="A3305" s="103"/>
      <c r="B3305" s="104"/>
      <c r="C3305" s="104"/>
      <c r="F3305" s="107" t="str">
        <f aca="false">IF(OR($C3305="",$D3305=0),"",$E3305/$D3305)</f>
        <v/>
      </c>
      <c r="H3305" s="0" t="str">
        <f aca="false">IF($C3305="","",IF(COUNTIF('مواد المخزون'!$A$2:$A$90,$C3305)&gt;0,"نعم","لا (خارج الجرد)"))</f>
        <v/>
      </c>
    </row>
    <row r="3306" customFormat="false" ht="15" hidden="false" customHeight="false" outlineLevel="0" collapsed="false">
      <c r="A3306" s="103"/>
      <c r="B3306" s="104"/>
      <c r="C3306" s="104"/>
      <c r="F3306" s="107" t="str">
        <f aca="false">IF(OR($C3306="",$D3306=0),"",$E3306/$D3306)</f>
        <v/>
      </c>
      <c r="H3306" s="0" t="str">
        <f aca="false">IF($C3306="","",IF(COUNTIF('مواد المخزون'!$A$2:$A$90,$C3306)&gt;0,"نعم","لا (خارج الجرد)"))</f>
        <v/>
      </c>
    </row>
    <row r="3307" customFormat="false" ht="15" hidden="false" customHeight="false" outlineLevel="0" collapsed="false">
      <c r="A3307" s="103"/>
      <c r="B3307" s="104"/>
      <c r="C3307" s="104"/>
      <c r="F3307" s="107" t="str">
        <f aca="false">IF(OR($C3307="",$D3307=0),"",$E3307/$D3307)</f>
        <v/>
      </c>
      <c r="H3307" s="0" t="str">
        <f aca="false">IF($C3307="","",IF(COUNTIF('مواد المخزون'!$A$2:$A$90,$C3307)&gt;0,"نعم","لا (خارج الجرد)"))</f>
        <v/>
      </c>
    </row>
    <row r="3308" customFormat="false" ht="15" hidden="false" customHeight="false" outlineLevel="0" collapsed="false">
      <c r="A3308" s="103"/>
      <c r="B3308" s="104"/>
      <c r="C3308" s="104"/>
      <c r="F3308" s="107" t="str">
        <f aca="false">IF(OR($C3308="",$D3308=0),"",$E3308/$D3308)</f>
        <v/>
      </c>
      <c r="H3308" s="0" t="str">
        <f aca="false">IF($C3308="","",IF(COUNTIF('مواد المخزون'!$A$2:$A$90,$C3308)&gt;0,"نعم","لا (خارج الجرد)"))</f>
        <v/>
      </c>
    </row>
    <row r="3309" customFormat="false" ht="15" hidden="false" customHeight="false" outlineLevel="0" collapsed="false">
      <c r="A3309" s="103"/>
      <c r="B3309" s="104"/>
      <c r="C3309" s="104"/>
      <c r="F3309" s="107" t="str">
        <f aca="false">IF(OR($C3309="",$D3309=0),"",$E3309/$D3309)</f>
        <v/>
      </c>
      <c r="H3309" s="0" t="str">
        <f aca="false">IF($C3309="","",IF(COUNTIF('مواد المخزون'!$A$2:$A$90,$C3309)&gt;0,"نعم","لا (خارج الجرد)"))</f>
        <v/>
      </c>
    </row>
    <row r="3310" customFormat="false" ht="15" hidden="false" customHeight="false" outlineLevel="0" collapsed="false">
      <c r="A3310" s="103"/>
      <c r="B3310" s="104"/>
      <c r="C3310" s="104"/>
      <c r="F3310" s="107" t="str">
        <f aca="false">IF(OR($C3310="",$D3310=0),"",$E3310/$D3310)</f>
        <v/>
      </c>
      <c r="H3310" s="0" t="str">
        <f aca="false">IF($C3310="","",IF(COUNTIF('مواد المخزون'!$A$2:$A$90,$C3310)&gt;0,"نعم","لا (خارج الجرد)"))</f>
        <v/>
      </c>
    </row>
    <row r="3311" customFormat="false" ht="15" hidden="false" customHeight="false" outlineLevel="0" collapsed="false">
      <c r="A3311" s="103"/>
      <c r="B3311" s="104"/>
      <c r="C3311" s="104"/>
      <c r="F3311" s="107" t="str">
        <f aca="false">IF(OR($C3311="",$D3311=0),"",$E3311/$D3311)</f>
        <v/>
      </c>
      <c r="H3311" s="0" t="str">
        <f aca="false">IF($C3311="","",IF(COUNTIF('مواد المخزون'!$A$2:$A$90,$C3311)&gt;0,"نعم","لا (خارج الجرد)"))</f>
        <v/>
      </c>
    </row>
    <row r="3312" customFormat="false" ht="15" hidden="false" customHeight="false" outlineLevel="0" collapsed="false">
      <c r="A3312" s="103"/>
      <c r="B3312" s="104"/>
      <c r="C3312" s="104"/>
      <c r="F3312" s="107" t="str">
        <f aca="false">IF(OR($C3312="",$D3312=0),"",$E3312/$D3312)</f>
        <v/>
      </c>
      <c r="H3312" s="0" t="str">
        <f aca="false">IF($C3312="","",IF(COUNTIF('مواد المخزون'!$A$2:$A$90,$C3312)&gt;0,"نعم","لا (خارج الجرد)"))</f>
        <v/>
      </c>
    </row>
    <row r="3313" customFormat="false" ht="15" hidden="false" customHeight="false" outlineLevel="0" collapsed="false">
      <c r="A3313" s="103"/>
      <c r="B3313" s="104"/>
      <c r="C3313" s="104"/>
      <c r="F3313" s="107" t="str">
        <f aca="false">IF(OR($C3313="",$D3313=0),"",$E3313/$D3313)</f>
        <v/>
      </c>
      <c r="H3313" s="0" t="str">
        <f aca="false">IF($C3313="","",IF(COUNTIF('مواد المخزون'!$A$2:$A$90,$C3313)&gt;0,"نعم","لا (خارج الجرد)"))</f>
        <v/>
      </c>
    </row>
    <row r="3314" customFormat="false" ht="15" hidden="false" customHeight="false" outlineLevel="0" collapsed="false">
      <c r="A3314" s="103"/>
      <c r="B3314" s="104"/>
      <c r="C3314" s="104"/>
      <c r="F3314" s="107" t="str">
        <f aca="false">IF(OR($C3314="",$D3314=0),"",$E3314/$D3314)</f>
        <v/>
      </c>
      <c r="H3314" s="0" t="str">
        <f aca="false">IF($C3314="","",IF(COUNTIF('مواد المخزون'!$A$2:$A$90,$C3314)&gt;0,"نعم","لا (خارج الجرد)"))</f>
        <v/>
      </c>
    </row>
    <row r="3315" customFormat="false" ht="15" hidden="false" customHeight="false" outlineLevel="0" collapsed="false">
      <c r="A3315" s="103"/>
      <c r="B3315" s="104"/>
      <c r="C3315" s="104"/>
      <c r="F3315" s="107" t="str">
        <f aca="false">IF(OR($C3315="",$D3315=0),"",$E3315/$D3315)</f>
        <v/>
      </c>
      <c r="H3315" s="0" t="str">
        <f aca="false">IF($C3315="","",IF(COUNTIF('مواد المخزون'!$A$2:$A$90,$C3315)&gt;0,"نعم","لا (خارج الجرد)"))</f>
        <v/>
      </c>
    </row>
    <row r="3316" customFormat="false" ht="15" hidden="false" customHeight="false" outlineLevel="0" collapsed="false">
      <c r="A3316" s="103"/>
      <c r="B3316" s="104"/>
      <c r="C3316" s="104"/>
      <c r="F3316" s="107" t="str">
        <f aca="false">IF(OR($C3316="",$D3316=0),"",$E3316/$D3316)</f>
        <v/>
      </c>
      <c r="H3316" s="0" t="str">
        <f aca="false">IF($C3316="","",IF(COUNTIF('مواد المخزون'!$A$2:$A$90,$C3316)&gt;0,"نعم","لا (خارج الجرد)"))</f>
        <v/>
      </c>
    </row>
    <row r="3317" customFormat="false" ht="15" hidden="false" customHeight="false" outlineLevel="0" collapsed="false">
      <c r="A3317" s="103"/>
      <c r="B3317" s="104"/>
      <c r="C3317" s="104"/>
      <c r="F3317" s="107" t="str">
        <f aca="false">IF(OR($C3317="",$D3317=0),"",$E3317/$D3317)</f>
        <v/>
      </c>
      <c r="H3317" s="0" t="str">
        <f aca="false">IF($C3317="","",IF(COUNTIF('مواد المخزون'!$A$2:$A$90,$C3317)&gt;0,"نعم","لا (خارج الجرد)"))</f>
        <v/>
      </c>
    </row>
    <row r="3318" customFormat="false" ht="15" hidden="false" customHeight="false" outlineLevel="0" collapsed="false">
      <c r="A3318" s="103"/>
      <c r="B3318" s="104"/>
      <c r="C3318" s="104"/>
      <c r="F3318" s="107" t="str">
        <f aca="false">IF(OR($C3318="",$D3318=0),"",$E3318/$D3318)</f>
        <v/>
      </c>
      <c r="H3318" s="0" t="str">
        <f aca="false">IF($C3318="","",IF(COUNTIF('مواد المخزون'!$A$2:$A$90,$C3318)&gt;0,"نعم","لا (خارج الجرد)"))</f>
        <v/>
      </c>
    </row>
    <row r="3319" customFormat="false" ht="15" hidden="false" customHeight="false" outlineLevel="0" collapsed="false">
      <c r="A3319" s="103"/>
      <c r="B3319" s="104"/>
      <c r="C3319" s="104"/>
      <c r="F3319" s="107" t="str">
        <f aca="false">IF(OR($C3319="",$D3319=0),"",$E3319/$D3319)</f>
        <v/>
      </c>
      <c r="H3319" s="0" t="str">
        <f aca="false">IF($C3319="","",IF(COUNTIF('مواد المخزون'!$A$2:$A$90,$C3319)&gt;0,"نعم","لا (خارج الجرد)"))</f>
        <v/>
      </c>
    </row>
    <row r="3320" customFormat="false" ht="15" hidden="false" customHeight="false" outlineLevel="0" collapsed="false">
      <c r="A3320" s="103"/>
      <c r="B3320" s="104"/>
      <c r="C3320" s="104"/>
      <c r="F3320" s="107" t="str">
        <f aca="false">IF(OR($C3320="",$D3320=0),"",$E3320/$D3320)</f>
        <v/>
      </c>
      <c r="H3320" s="0" t="str">
        <f aca="false">IF($C3320="","",IF(COUNTIF('مواد المخزون'!$A$2:$A$90,$C3320)&gt;0,"نعم","لا (خارج الجرد)"))</f>
        <v/>
      </c>
    </row>
    <row r="3321" customFormat="false" ht="15" hidden="false" customHeight="false" outlineLevel="0" collapsed="false">
      <c r="A3321" s="103"/>
      <c r="B3321" s="104"/>
      <c r="C3321" s="104"/>
      <c r="F3321" s="107" t="str">
        <f aca="false">IF(OR($C3321="",$D3321=0),"",$E3321/$D3321)</f>
        <v/>
      </c>
      <c r="H3321" s="0" t="str">
        <f aca="false">IF($C3321="","",IF(COUNTIF('مواد المخزون'!$A$2:$A$90,$C3321)&gt;0,"نعم","لا (خارج الجرد)"))</f>
        <v/>
      </c>
    </row>
    <row r="3322" customFormat="false" ht="15" hidden="false" customHeight="false" outlineLevel="0" collapsed="false">
      <c r="A3322" s="103"/>
      <c r="B3322" s="104"/>
      <c r="C3322" s="104"/>
      <c r="F3322" s="107" t="str">
        <f aca="false">IF(OR($C3322="",$D3322=0),"",$E3322/$D3322)</f>
        <v/>
      </c>
      <c r="H3322" s="0" t="str">
        <f aca="false">IF($C3322="","",IF(COUNTIF('مواد المخزون'!$A$2:$A$90,$C3322)&gt;0,"نعم","لا (خارج الجرد)"))</f>
        <v/>
      </c>
    </row>
    <row r="3323" customFormat="false" ht="15" hidden="false" customHeight="false" outlineLevel="0" collapsed="false">
      <c r="A3323" s="103"/>
      <c r="B3323" s="104"/>
      <c r="C3323" s="104"/>
      <c r="F3323" s="107" t="str">
        <f aca="false">IF(OR($C3323="",$D3323=0),"",$E3323/$D3323)</f>
        <v/>
      </c>
      <c r="H3323" s="0" t="str">
        <f aca="false">IF($C3323="","",IF(COUNTIF('مواد المخزون'!$A$2:$A$90,$C3323)&gt;0,"نعم","لا (خارج الجرد)"))</f>
        <v/>
      </c>
    </row>
    <row r="3324" customFormat="false" ht="15" hidden="false" customHeight="false" outlineLevel="0" collapsed="false">
      <c r="A3324" s="103"/>
      <c r="B3324" s="104"/>
      <c r="C3324" s="104"/>
      <c r="F3324" s="107" t="str">
        <f aca="false">IF(OR($C3324="",$D3324=0),"",$E3324/$D3324)</f>
        <v/>
      </c>
      <c r="H3324" s="0" t="str">
        <f aca="false">IF($C3324="","",IF(COUNTIF('مواد المخزون'!$A$2:$A$90,$C3324)&gt;0,"نعم","لا (خارج الجرد)"))</f>
        <v/>
      </c>
    </row>
    <row r="3325" customFormat="false" ht="15" hidden="false" customHeight="false" outlineLevel="0" collapsed="false">
      <c r="A3325" s="103"/>
      <c r="B3325" s="104"/>
      <c r="C3325" s="104"/>
      <c r="F3325" s="107" t="str">
        <f aca="false">IF(OR($C3325="",$D3325=0),"",$E3325/$D3325)</f>
        <v/>
      </c>
      <c r="H3325" s="0" t="str">
        <f aca="false">IF($C3325="","",IF(COUNTIF('مواد المخزون'!$A$2:$A$90,$C3325)&gt;0,"نعم","لا (خارج الجرد)"))</f>
        <v/>
      </c>
    </row>
    <row r="3326" customFormat="false" ht="15" hidden="false" customHeight="false" outlineLevel="0" collapsed="false">
      <c r="A3326" s="103"/>
      <c r="B3326" s="104"/>
      <c r="C3326" s="104"/>
      <c r="F3326" s="107" t="str">
        <f aca="false">IF(OR($C3326="",$D3326=0),"",$E3326/$D3326)</f>
        <v/>
      </c>
      <c r="H3326" s="0" t="str">
        <f aca="false">IF($C3326="","",IF(COUNTIF('مواد المخزون'!$A$2:$A$90,$C3326)&gt;0,"نعم","لا (خارج الجرد)"))</f>
        <v/>
      </c>
    </row>
    <row r="3327" customFormat="false" ht="15" hidden="false" customHeight="false" outlineLevel="0" collapsed="false">
      <c r="A3327" s="103"/>
      <c r="B3327" s="104"/>
      <c r="C3327" s="104"/>
      <c r="F3327" s="107" t="str">
        <f aca="false">IF(OR($C3327="",$D3327=0),"",$E3327/$D3327)</f>
        <v/>
      </c>
      <c r="H3327" s="0" t="str">
        <f aca="false">IF($C3327="","",IF(COUNTIF('مواد المخزون'!$A$2:$A$90,$C3327)&gt;0,"نعم","لا (خارج الجرد)"))</f>
        <v/>
      </c>
    </row>
    <row r="3328" customFormat="false" ht="15" hidden="false" customHeight="false" outlineLevel="0" collapsed="false">
      <c r="A3328" s="103"/>
      <c r="B3328" s="104"/>
      <c r="C3328" s="104"/>
      <c r="F3328" s="107" t="str">
        <f aca="false">IF(OR($C3328="",$D3328=0),"",$E3328/$D3328)</f>
        <v/>
      </c>
      <c r="H3328" s="0" t="str">
        <f aca="false">IF($C3328="","",IF(COUNTIF('مواد المخزون'!$A$2:$A$90,$C3328)&gt;0,"نعم","لا (خارج الجرد)"))</f>
        <v/>
      </c>
    </row>
    <row r="3329" customFormat="false" ht="15" hidden="false" customHeight="false" outlineLevel="0" collapsed="false">
      <c r="A3329" s="103"/>
      <c r="B3329" s="104"/>
      <c r="C3329" s="104"/>
      <c r="F3329" s="107" t="str">
        <f aca="false">IF(OR($C3329="",$D3329=0),"",$E3329/$D3329)</f>
        <v/>
      </c>
      <c r="H3329" s="0" t="str">
        <f aca="false">IF($C3329="","",IF(COUNTIF('مواد المخزون'!$A$2:$A$90,$C3329)&gt;0,"نعم","لا (خارج الجرد)"))</f>
        <v/>
      </c>
    </row>
    <row r="3330" customFormat="false" ht="15" hidden="false" customHeight="false" outlineLevel="0" collapsed="false">
      <c r="A3330" s="103"/>
      <c r="B3330" s="104"/>
      <c r="C3330" s="104"/>
      <c r="F3330" s="107" t="str">
        <f aca="false">IF(OR($C3330="",$D3330=0),"",$E3330/$D3330)</f>
        <v/>
      </c>
      <c r="H3330" s="0" t="str">
        <f aca="false">IF($C3330="","",IF(COUNTIF('مواد المخزون'!$A$2:$A$90,$C3330)&gt;0,"نعم","لا (خارج الجرد)"))</f>
        <v/>
      </c>
    </row>
    <row r="3331" customFormat="false" ht="15" hidden="false" customHeight="false" outlineLevel="0" collapsed="false">
      <c r="A3331" s="103"/>
      <c r="B3331" s="104"/>
      <c r="C3331" s="104"/>
      <c r="F3331" s="107" t="str">
        <f aca="false">IF(OR($C3331="",$D3331=0),"",$E3331/$D3331)</f>
        <v/>
      </c>
      <c r="H3331" s="0" t="str">
        <f aca="false">IF($C3331="","",IF(COUNTIF('مواد المخزون'!$A$2:$A$90,$C3331)&gt;0,"نعم","لا (خارج الجرد)"))</f>
        <v/>
      </c>
    </row>
    <row r="3332" customFormat="false" ht="15" hidden="false" customHeight="false" outlineLevel="0" collapsed="false">
      <c r="A3332" s="103"/>
      <c r="B3332" s="104"/>
      <c r="C3332" s="104"/>
      <c r="F3332" s="107" t="str">
        <f aca="false">IF(OR($C3332="",$D3332=0),"",$E3332/$D3332)</f>
        <v/>
      </c>
      <c r="H3332" s="0" t="str">
        <f aca="false">IF($C3332="","",IF(COUNTIF('مواد المخزون'!$A$2:$A$90,$C3332)&gt;0,"نعم","لا (خارج الجرد)"))</f>
        <v/>
      </c>
    </row>
    <row r="3333" customFormat="false" ht="15" hidden="false" customHeight="false" outlineLevel="0" collapsed="false">
      <c r="A3333" s="103"/>
      <c r="B3333" s="104"/>
      <c r="C3333" s="104"/>
      <c r="F3333" s="107" t="str">
        <f aca="false">IF(OR($C3333="",$D3333=0),"",$E3333/$D3333)</f>
        <v/>
      </c>
      <c r="H3333" s="0" t="str">
        <f aca="false">IF($C3333="","",IF(COUNTIF('مواد المخزون'!$A$2:$A$90,$C3333)&gt;0,"نعم","لا (خارج الجرد)"))</f>
        <v/>
      </c>
    </row>
    <row r="3334" customFormat="false" ht="15" hidden="false" customHeight="false" outlineLevel="0" collapsed="false">
      <c r="A3334" s="103"/>
      <c r="B3334" s="104"/>
      <c r="C3334" s="104"/>
      <c r="F3334" s="107" t="str">
        <f aca="false">IF(OR($C3334="",$D3334=0),"",$E3334/$D3334)</f>
        <v/>
      </c>
      <c r="H3334" s="0" t="str">
        <f aca="false">IF($C3334="","",IF(COUNTIF('مواد المخزون'!$A$2:$A$90,$C3334)&gt;0,"نعم","لا (خارج الجرد)"))</f>
        <v/>
      </c>
    </row>
    <row r="3335" customFormat="false" ht="15" hidden="false" customHeight="false" outlineLevel="0" collapsed="false">
      <c r="A3335" s="103"/>
      <c r="B3335" s="104"/>
      <c r="C3335" s="104"/>
      <c r="F3335" s="107" t="str">
        <f aca="false">IF(OR($C3335="",$D3335=0),"",$E3335/$D3335)</f>
        <v/>
      </c>
      <c r="H3335" s="0" t="str">
        <f aca="false">IF($C3335="","",IF(COUNTIF('مواد المخزون'!$A$2:$A$90,$C3335)&gt;0,"نعم","لا (خارج الجرد)"))</f>
        <v/>
      </c>
    </row>
    <row r="3336" customFormat="false" ht="15" hidden="false" customHeight="false" outlineLevel="0" collapsed="false">
      <c r="A3336" s="103"/>
      <c r="B3336" s="104"/>
      <c r="C3336" s="104"/>
      <c r="F3336" s="107" t="str">
        <f aca="false">IF(OR($C3336="",$D3336=0),"",$E3336/$D3336)</f>
        <v/>
      </c>
      <c r="H3336" s="0" t="str">
        <f aca="false">IF($C3336="","",IF(COUNTIF('مواد المخزون'!$A$2:$A$90,$C3336)&gt;0,"نعم","لا (خارج الجرد)"))</f>
        <v/>
      </c>
    </row>
    <row r="3337" customFormat="false" ht="15" hidden="false" customHeight="false" outlineLevel="0" collapsed="false">
      <c r="A3337" s="103"/>
      <c r="B3337" s="104"/>
      <c r="C3337" s="104"/>
      <c r="F3337" s="107" t="str">
        <f aca="false">IF(OR($C3337="",$D3337=0),"",$E3337/$D3337)</f>
        <v/>
      </c>
      <c r="H3337" s="0" t="str">
        <f aca="false">IF($C3337="","",IF(COUNTIF('مواد المخزون'!$A$2:$A$90,$C3337)&gt;0,"نعم","لا (خارج الجرد)"))</f>
        <v/>
      </c>
    </row>
    <row r="3338" customFormat="false" ht="15" hidden="false" customHeight="false" outlineLevel="0" collapsed="false">
      <c r="A3338" s="103"/>
      <c r="B3338" s="104"/>
      <c r="C3338" s="104"/>
      <c r="F3338" s="107" t="str">
        <f aca="false">IF(OR($C3338="",$D3338=0),"",$E3338/$D3338)</f>
        <v/>
      </c>
      <c r="H3338" s="0" t="str">
        <f aca="false">IF($C3338="","",IF(COUNTIF('مواد المخزون'!$A$2:$A$90,$C3338)&gt;0,"نعم","لا (خارج الجرد)"))</f>
        <v/>
      </c>
    </row>
    <row r="3339" customFormat="false" ht="15" hidden="false" customHeight="false" outlineLevel="0" collapsed="false">
      <c r="A3339" s="103"/>
      <c r="B3339" s="104"/>
      <c r="C3339" s="104"/>
      <c r="F3339" s="107" t="str">
        <f aca="false">IF(OR($C3339="",$D3339=0),"",$E3339/$D3339)</f>
        <v/>
      </c>
      <c r="H3339" s="0" t="str">
        <f aca="false">IF($C3339="","",IF(COUNTIF('مواد المخزون'!$A$2:$A$90,$C3339)&gt;0,"نعم","لا (خارج الجرد)"))</f>
        <v/>
      </c>
    </row>
    <row r="3340" customFormat="false" ht="15" hidden="false" customHeight="false" outlineLevel="0" collapsed="false">
      <c r="A3340" s="103"/>
      <c r="B3340" s="104"/>
      <c r="C3340" s="104"/>
      <c r="F3340" s="107" t="str">
        <f aca="false">IF(OR($C3340="",$D3340=0),"",$E3340/$D3340)</f>
        <v/>
      </c>
      <c r="H3340" s="0" t="str">
        <f aca="false">IF($C3340="","",IF(COUNTIF('مواد المخزون'!$A$2:$A$90,$C3340)&gt;0,"نعم","لا (خارج الجرد)"))</f>
        <v/>
      </c>
    </row>
    <row r="3341" customFormat="false" ht="15" hidden="false" customHeight="false" outlineLevel="0" collapsed="false">
      <c r="A3341" s="103"/>
      <c r="B3341" s="104"/>
      <c r="C3341" s="104"/>
      <c r="F3341" s="107" t="str">
        <f aca="false">IF(OR($C3341="",$D3341=0),"",$E3341/$D3341)</f>
        <v/>
      </c>
      <c r="H3341" s="0" t="str">
        <f aca="false">IF($C3341="","",IF(COUNTIF('مواد المخزون'!$A$2:$A$90,$C3341)&gt;0,"نعم","لا (خارج الجرد)"))</f>
        <v/>
      </c>
    </row>
    <row r="3342" customFormat="false" ht="15" hidden="false" customHeight="false" outlineLevel="0" collapsed="false">
      <c r="A3342" s="103"/>
      <c r="B3342" s="104"/>
      <c r="C3342" s="104"/>
      <c r="F3342" s="107" t="str">
        <f aca="false">IF(OR($C3342="",$D3342=0),"",$E3342/$D3342)</f>
        <v/>
      </c>
      <c r="H3342" s="0" t="str">
        <f aca="false">IF($C3342="","",IF(COUNTIF('مواد المخزون'!$A$2:$A$90,$C3342)&gt;0,"نعم","لا (خارج الجرد)"))</f>
        <v/>
      </c>
    </row>
    <row r="3343" customFormat="false" ht="15" hidden="false" customHeight="false" outlineLevel="0" collapsed="false">
      <c r="A3343" s="103"/>
      <c r="B3343" s="104"/>
      <c r="C3343" s="104"/>
      <c r="F3343" s="107" t="str">
        <f aca="false">IF(OR($C3343="",$D3343=0),"",$E3343/$D3343)</f>
        <v/>
      </c>
      <c r="H3343" s="0" t="str">
        <f aca="false">IF($C3343="","",IF(COUNTIF('مواد المخزون'!$A$2:$A$90,$C3343)&gt;0,"نعم","لا (خارج الجرد)"))</f>
        <v/>
      </c>
    </row>
    <row r="3344" customFormat="false" ht="15" hidden="false" customHeight="false" outlineLevel="0" collapsed="false">
      <c r="A3344" s="103"/>
      <c r="B3344" s="104"/>
      <c r="C3344" s="104"/>
      <c r="F3344" s="107" t="str">
        <f aca="false">IF(OR($C3344="",$D3344=0),"",$E3344/$D3344)</f>
        <v/>
      </c>
      <c r="H3344" s="0" t="str">
        <f aca="false">IF($C3344="","",IF(COUNTIF('مواد المخزون'!$A$2:$A$90,$C3344)&gt;0,"نعم","لا (خارج الجرد)"))</f>
        <v/>
      </c>
    </row>
    <row r="3345" customFormat="false" ht="15" hidden="false" customHeight="false" outlineLevel="0" collapsed="false">
      <c r="A3345" s="103"/>
      <c r="B3345" s="104"/>
      <c r="C3345" s="104"/>
      <c r="F3345" s="107" t="str">
        <f aca="false">IF(OR($C3345="",$D3345=0),"",$E3345/$D3345)</f>
        <v/>
      </c>
      <c r="H3345" s="0" t="str">
        <f aca="false">IF($C3345="","",IF(COUNTIF('مواد المخزون'!$A$2:$A$90,$C3345)&gt;0,"نعم","لا (خارج الجرد)"))</f>
        <v/>
      </c>
    </row>
    <row r="3346" customFormat="false" ht="15" hidden="false" customHeight="false" outlineLevel="0" collapsed="false">
      <c r="A3346" s="103"/>
      <c r="B3346" s="104"/>
      <c r="C3346" s="104"/>
      <c r="F3346" s="107" t="str">
        <f aca="false">IF(OR($C3346="",$D3346=0),"",$E3346/$D3346)</f>
        <v/>
      </c>
      <c r="H3346" s="0" t="str">
        <f aca="false">IF($C3346="","",IF(COUNTIF('مواد المخزون'!$A$2:$A$90,$C3346)&gt;0,"نعم","لا (خارج الجرد)"))</f>
        <v/>
      </c>
    </row>
    <row r="3347" customFormat="false" ht="15" hidden="false" customHeight="false" outlineLevel="0" collapsed="false">
      <c r="A3347" s="103"/>
      <c r="B3347" s="104"/>
      <c r="C3347" s="104"/>
      <c r="F3347" s="107" t="str">
        <f aca="false">IF(OR($C3347="",$D3347=0),"",$E3347/$D3347)</f>
        <v/>
      </c>
      <c r="H3347" s="0" t="str">
        <f aca="false">IF($C3347="","",IF(COUNTIF('مواد المخزون'!$A$2:$A$90,$C3347)&gt;0,"نعم","لا (خارج الجرد)"))</f>
        <v/>
      </c>
    </row>
    <row r="3348" customFormat="false" ht="15" hidden="false" customHeight="false" outlineLevel="0" collapsed="false">
      <c r="A3348" s="103"/>
      <c r="B3348" s="104"/>
      <c r="C3348" s="104"/>
      <c r="F3348" s="107" t="str">
        <f aca="false">IF(OR($C3348="",$D3348=0),"",$E3348/$D3348)</f>
        <v/>
      </c>
      <c r="H3348" s="0" t="str">
        <f aca="false">IF($C3348="","",IF(COUNTIF('مواد المخزون'!$A$2:$A$90,$C3348)&gt;0,"نعم","لا (خارج الجرد)"))</f>
        <v/>
      </c>
    </row>
    <row r="3349" customFormat="false" ht="15" hidden="false" customHeight="false" outlineLevel="0" collapsed="false">
      <c r="A3349" s="103"/>
      <c r="B3349" s="104"/>
      <c r="C3349" s="104"/>
      <c r="F3349" s="107" t="str">
        <f aca="false">IF(OR($C3349="",$D3349=0),"",$E3349/$D3349)</f>
        <v/>
      </c>
      <c r="H3349" s="0" t="str">
        <f aca="false">IF($C3349="","",IF(COUNTIF('مواد المخزون'!$A$2:$A$90,$C3349)&gt;0,"نعم","لا (خارج الجرد)"))</f>
        <v/>
      </c>
    </row>
    <row r="3350" customFormat="false" ht="15" hidden="false" customHeight="false" outlineLevel="0" collapsed="false">
      <c r="A3350" s="103"/>
      <c r="B3350" s="104"/>
      <c r="C3350" s="104"/>
      <c r="F3350" s="107" t="str">
        <f aca="false">IF(OR($C3350="",$D3350=0),"",$E3350/$D3350)</f>
        <v/>
      </c>
      <c r="H3350" s="0" t="str">
        <f aca="false">IF($C3350="","",IF(COUNTIF('مواد المخزون'!$A$2:$A$90,$C3350)&gt;0,"نعم","لا (خارج الجرد)"))</f>
        <v/>
      </c>
    </row>
    <row r="3351" customFormat="false" ht="15" hidden="false" customHeight="false" outlineLevel="0" collapsed="false">
      <c r="A3351" s="103"/>
      <c r="B3351" s="104"/>
      <c r="C3351" s="104"/>
      <c r="F3351" s="107" t="str">
        <f aca="false">IF(OR($C3351="",$D3351=0),"",$E3351/$D3351)</f>
        <v/>
      </c>
      <c r="H3351" s="0" t="str">
        <f aca="false">IF($C3351="","",IF(COUNTIF('مواد المخزون'!$A$2:$A$90,$C3351)&gt;0,"نعم","لا (خارج الجرد)"))</f>
        <v/>
      </c>
    </row>
    <row r="3352" customFormat="false" ht="15" hidden="false" customHeight="false" outlineLevel="0" collapsed="false">
      <c r="A3352" s="103"/>
      <c r="B3352" s="104"/>
      <c r="C3352" s="104"/>
      <c r="F3352" s="107" t="str">
        <f aca="false">IF(OR($C3352="",$D3352=0),"",$E3352/$D3352)</f>
        <v/>
      </c>
      <c r="H3352" s="0" t="str">
        <f aca="false">IF($C3352="","",IF(COUNTIF('مواد المخزون'!$A$2:$A$90,$C3352)&gt;0,"نعم","لا (خارج الجرد)"))</f>
        <v/>
      </c>
    </row>
    <row r="3353" customFormat="false" ht="15" hidden="false" customHeight="false" outlineLevel="0" collapsed="false">
      <c r="A3353" s="103"/>
      <c r="B3353" s="104"/>
      <c r="C3353" s="104"/>
      <c r="F3353" s="107" t="str">
        <f aca="false">IF(OR($C3353="",$D3353=0),"",$E3353/$D3353)</f>
        <v/>
      </c>
      <c r="H3353" s="0" t="str">
        <f aca="false">IF($C3353="","",IF(COUNTIF('مواد المخزون'!$A$2:$A$90,$C3353)&gt;0,"نعم","لا (خارج الجرد)"))</f>
        <v/>
      </c>
    </row>
    <row r="3354" customFormat="false" ht="15" hidden="false" customHeight="false" outlineLevel="0" collapsed="false">
      <c r="A3354" s="103"/>
      <c r="B3354" s="104"/>
      <c r="C3354" s="104"/>
      <c r="F3354" s="107" t="str">
        <f aca="false">IF(OR($C3354="",$D3354=0),"",$E3354/$D3354)</f>
        <v/>
      </c>
      <c r="H3354" s="0" t="str">
        <f aca="false">IF($C3354="","",IF(COUNTIF('مواد المخزون'!$A$2:$A$90,$C3354)&gt;0,"نعم","لا (خارج الجرد)"))</f>
        <v/>
      </c>
    </row>
    <row r="3355" customFormat="false" ht="15" hidden="false" customHeight="false" outlineLevel="0" collapsed="false">
      <c r="A3355" s="103"/>
      <c r="B3355" s="104"/>
      <c r="C3355" s="104"/>
      <c r="F3355" s="107" t="str">
        <f aca="false">IF(OR($C3355="",$D3355=0),"",$E3355/$D3355)</f>
        <v/>
      </c>
      <c r="H3355" s="0" t="str">
        <f aca="false">IF($C3355="","",IF(COUNTIF('مواد المخزون'!$A$2:$A$90,$C3355)&gt;0,"نعم","لا (خارج الجرد)"))</f>
        <v/>
      </c>
    </row>
    <row r="3356" customFormat="false" ht="15" hidden="false" customHeight="false" outlineLevel="0" collapsed="false">
      <c r="A3356" s="103"/>
      <c r="B3356" s="104"/>
      <c r="C3356" s="104"/>
      <c r="F3356" s="107" t="str">
        <f aca="false">IF(OR($C3356="",$D3356=0),"",$E3356/$D3356)</f>
        <v/>
      </c>
      <c r="H3356" s="0" t="str">
        <f aca="false">IF($C3356="","",IF(COUNTIF('مواد المخزون'!$A$2:$A$90,$C3356)&gt;0,"نعم","لا (خارج الجرد)"))</f>
        <v/>
      </c>
    </row>
    <row r="3357" customFormat="false" ht="15" hidden="false" customHeight="false" outlineLevel="0" collapsed="false">
      <c r="A3357" s="103"/>
      <c r="B3357" s="104"/>
      <c r="C3357" s="104"/>
      <c r="F3357" s="107" t="str">
        <f aca="false">IF(OR($C3357="",$D3357=0),"",$E3357/$D3357)</f>
        <v/>
      </c>
      <c r="H3357" s="0" t="str">
        <f aca="false">IF($C3357="","",IF(COUNTIF('مواد المخزون'!$A$2:$A$90,$C3357)&gt;0,"نعم","لا (خارج الجرد)"))</f>
        <v/>
      </c>
    </row>
    <row r="3358" customFormat="false" ht="15" hidden="false" customHeight="false" outlineLevel="0" collapsed="false">
      <c r="A3358" s="103"/>
      <c r="B3358" s="104"/>
      <c r="C3358" s="104"/>
      <c r="F3358" s="107" t="str">
        <f aca="false">IF(OR($C3358="",$D3358=0),"",$E3358/$D3358)</f>
        <v/>
      </c>
      <c r="H3358" s="0" t="str">
        <f aca="false">IF($C3358="","",IF(COUNTIF('مواد المخزون'!$A$2:$A$90,$C3358)&gt;0,"نعم","لا (خارج الجرد)"))</f>
        <v/>
      </c>
    </row>
    <row r="3359" customFormat="false" ht="15" hidden="false" customHeight="false" outlineLevel="0" collapsed="false">
      <c r="A3359" s="103"/>
      <c r="B3359" s="104"/>
      <c r="C3359" s="104"/>
      <c r="F3359" s="107" t="str">
        <f aca="false">IF(OR($C3359="",$D3359=0),"",$E3359/$D3359)</f>
        <v/>
      </c>
      <c r="H3359" s="0" t="str">
        <f aca="false">IF($C3359="","",IF(COUNTIF('مواد المخزون'!$A$2:$A$90,$C3359)&gt;0,"نعم","لا (خارج الجرد)"))</f>
        <v/>
      </c>
    </row>
    <row r="3360" customFormat="false" ht="15" hidden="false" customHeight="false" outlineLevel="0" collapsed="false">
      <c r="A3360" s="103"/>
      <c r="B3360" s="104"/>
      <c r="C3360" s="104"/>
      <c r="F3360" s="107" t="str">
        <f aca="false">IF(OR($C3360="",$D3360=0),"",$E3360/$D3360)</f>
        <v/>
      </c>
      <c r="H3360" s="0" t="str">
        <f aca="false">IF($C3360="","",IF(COUNTIF('مواد المخزون'!$A$2:$A$90,$C3360)&gt;0,"نعم","لا (خارج الجرد)"))</f>
        <v/>
      </c>
    </row>
    <row r="3361" customFormat="false" ht="15" hidden="false" customHeight="false" outlineLevel="0" collapsed="false">
      <c r="A3361" s="103"/>
      <c r="B3361" s="104"/>
      <c r="C3361" s="104"/>
      <c r="F3361" s="107" t="str">
        <f aca="false">IF(OR($C3361="",$D3361=0),"",$E3361/$D3361)</f>
        <v/>
      </c>
      <c r="H3361" s="0" t="str">
        <f aca="false">IF($C3361="","",IF(COUNTIF('مواد المخزون'!$A$2:$A$90,$C3361)&gt;0,"نعم","لا (خارج الجرد)"))</f>
        <v/>
      </c>
    </row>
    <row r="3362" customFormat="false" ht="15" hidden="false" customHeight="false" outlineLevel="0" collapsed="false">
      <c r="A3362" s="103"/>
      <c r="B3362" s="104"/>
      <c r="C3362" s="104"/>
      <c r="F3362" s="107" t="str">
        <f aca="false">IF(OR($C3362="",$D3362=0),"",$E3362/$D3362)</f>
        <v/>
      </c>
      <c r="H3362" s="0" t="str">
        <f aca="false">IF($C3362="","",IF(COUNTIF('مواد المخزون'!$A$2:$A$90,$C3362)&gt;0,"نعم","لا (خارج الجرد)"))</f>
        <v/>
      </c>
    </row>
    <row r="3363" customFormat="false" ht="15" hidden="false" customHeight="false" outlineLevel="0" collapsed="false">
      <c r="A3363" s="103"/>
      <c r="B3363" s="104"/>
      <c r="C3363" s="104"/>
      <c r="F3363" s="107" t="str">
        <f aca="false">IF(OR($C3363="",$D3363=0),"",$E3363/$D3363)</f>
        <v/>
      </c>
      <c r="H3363" s="0" t="str">
        <f aca="false">IF($C3363="","",IF(COUNTIF('مواد المخزون'!$A$2:$A$90,$C3363)&gt;0,"نعم","لا (خارج الجرد)"))</f>
        <v/>
      </c>
    </row>
    <row r="3364" customFormat="false" ht="15" hidden="false" customHeight="false" outlineLevel="0" collapsed="false">
      <c r="A3364" s="103"/>
      <c r="B3364" s="104"/>
      <c r="C3364" s="104"/>
      <c r="F3364" s="107" t="str">
        <f aca="false">IF(OR($C3364="",$D3364=0),"",$E3364/$D3364)</f>
        <v/>
      </c>
      <c r="H3364" s="0" t="str">
        <f aca="false">IF($C3364="","",IF(COUNTIF('مواد المخزون'!$A$2:$A$90,$C3364)&gt;0,"نعم","لا (خارج الجرد)"))</f>
        <v/>
      </c>
    </row>
    <row r="3365" customFormat="false" ht="15" hidden="false" customHeight="false" outlineLevel="0" collapsed="false">
      <c r="A3365" s="103"/>
      <c r="B3365" s="104"/>
      <c r="C3365" s="104"/>
      <c r="F3365" s="107" t="str">
        <f aca="false">IF(OR($C3365="",$D3365=0),"",$E3365/$D3365)</f>
        <v/>
      </c>
      <c r="H3365" s="0" t="str">
        <f aca="false">IF($C3365="","",IF(COUNTIF('مواد المخزون'!$A$2:$A$90,$C3365)&gt;0,"نعم","لا (خارج الجرد)"))</f>
        <v/>
      </c>
    </row>
    <row r="3366" customFormat="false" ht="15" hidden="false" customHeight="false" outlineLevel="0" collapsed="false">
      <c r="A3366" s="103"/>
      <c r="B3366" s="104"/>
      <c r="C3366" s="104"/>
      <c r="F3366" s="107" t="str">
        <f aca="false">IF(OR($C3366="",$D3366=0),"",$E3366/$D3366)</f>
        <v/>
      </c>
      <c r="H3366" s="0" t="str">
        <f aca="false">IF($C3366="","",IF(COUNTIF('مواد المخزون'!$A$2:$A$90,$C3366)&gt;0,"نعم","لا (خارج الجرد)"))</f>
        <v/>
      </c>
    </row>
    <row r="3367" customFormat="false" ht="15" hidden="false" customHeight="false" outlineLevel="0" collapsed="false">
      <c r="A3367" s="103"/>
      <c r="B3367" s="104"/>
      <c r="C3367" s="104"/>
      <c r="F3367" s="107" t="str">
        <f aca="false">IF(OR($C3367="",$D3367=0),"",$E3367/$D3367)</f>
        <v/>
      </c>
      <c r="H3367" s="0" t="str">
        <f aca="false">IF($C3367="","",IF(COUNTIF('مواد المخزون'!$A$2:$A$90,$C3367)&gt;0,"نعم","لا (خارج الجرد)"))</f>
        <v/>
      </c>
    </row>
    <row r="3368" customFormat="false" ht="15" hidden="false" customHeight="false" outlineLevel="0" collapsed="false">
      <c r="A3368" s="103"/>
      <c r="B3368" s="104"/>
      <c r="C3368" s="104"/>
      <c r="F3368" s="107" t="str">
        <f aca="false">IF(OR($C3368="",$D3368=0),"",$E3368/$D3368)</f>
        <v/>
      </c>
      <c r="H3368" s="0" t="str">
        <f aca="false">IF($C3368="","",IF(COUNTIF('مواد المخزون'!$A$2:$A$90,$C3368)&gt;0,"نعم","لا (خارج الجرد)"))</f>
        <v/>
      </c>
    </row>
    <row r="3369" customFormat="false" ht="15" hidden="false" customHeight="false" outlineLevel="0" collapsed="false">
      <c r="A3369" s="103"/>
      <c r="B3369" s="104"/>
      <c r="C3369" s="104"/>
      <c r="F3369" s="107" t="str">
        <f aca="false">IF(OR($C3369="",$D3369=0),"",$E3369/$D3369)</f>
        <v/>
      </c>
      <c r="H3369" s="0" t="str">
        <f aca="false">IF($C3369="","",IF(COUNTIF('مواد المخزون'!$A$2:$A$90,$C3369)&gt;0,"نعم","لا (خارج الجرد)"))</f>
        <v/>
      </c>
    </row>
    <row r="3370" customFormat="false" ht="15" hidden="false" customHeight="false" outlineLevel="0" collapsed="false">
      <c r="A3370" s="103"/>
      <c r="B3370" s="104"/>
      <c r="C3370" s="104"/>
      <c r="F3370" s="107" t="str">
        <f aca="false">IF(OR($C3370="",$D3370=0),"",$E3370/$D3370)</f>
        <v/>
      </c>
      <c r="H3370" s="0" t="str">
        <f aca="false">IF($C3370="","",IF(COUNTIF('مواد المخزون'!$A$2:$A$90,$C3370)&gt;0,"نعم","لا (خارج الجرد)"))</f>
        <v/>
      </c>
    </row>
    <row r="3371" customFormat="false" ht="15" hidden="false" customHeight="false" outlineLevel="0" collapsed="false">
      <c r="A3371" s="103"/>
      <c r="B3371" s="104"/>
      <c r="C3371" s="104"/>
      <c r="F3371" s="107" t="str">
        <f aca="false">IF(OR($C3371="",$D3371=0),"",$E3371/$D3371)</f>
        <v/>
      </c>
      <c r="H3371" s="0" t="str">
        <f aca="false">IF($C3371="","",IF(COUNTIF('مواد المخزون'!$A$2:$A$90,$C3371)&gt;0,"نعم","لا (خارج الجرد)"))</f>
        <v/>
      </c>
    </row>
    <row r="3372" customFormat="false" ht="15" hidden="false" customHeight="false" outlineLevel="0" collapsed="false">
      <c r="A3372" s="103"/>
      <c r="B3372" s="104"/>
      <c r="C3372" s="104"/>
      <c r="F3372" s="107" t="str">
        <f aca="false">IF(OR($C3372="",$D3372=0),"",$E3372/$D3372)</f>
        <v/>
      </c>
      <c r="H3372" s="0" t="str">
        <f aca="false">IF($C3372="","",IF(COUNTIF('مواد المخزون'!$A$2:$A$90,$C3372)&gt;0,"نعم","لا (خارج الجرد)"))</f>
        <v/>
      </c>
    </row>
    <row r="3373" customFormat="false" ht="15" hidden="false" customHeight="false" outlineLevel="0" collapsed="false">
      <c r="A3373" s="103"/>
      <c r="B3373" s="104"/>
      <c r="C3373" s="104"/>
      <c r="F3373" s="107" t="str">
        <f aca="false">IF(OR($C3373="",$D3373=0),"",$E3373/$D3373)</f>
        <v/>
      </c>
      <c r="H3373" s="0" t="str">
        <f aca="false">IF($C3373="","",IF(COUNTIF('مواد المخزون'!$A$2:$A$90,$C3373)&gt;0,"نعم","لا (خارج الجرد)"))</f>
        <v/>
      </c>
    </row>
    <row r="3374" customFormat="false" ht="15" hidden="false" customHeight="false" outlineLevel="0" collapsed="false">
      <c r="A3374" s="103"/>
      <c r="B3374" s="104"/>
      <c r="C3374" s="104"/>
      <c r="F3374" s="107" t="str">
        <f aca="false">IF(OR($C3374="",$D3374=0),"",$E3374/$D3374)</f>
        <v/>
      </c>
      <c r="H3374" s="0" t="str">
        <f aca="false">IF($C3374="","",IF(COUNTIF('مواد المخزون'!$A$2:$A$90,$C3374)&gt;0,"نعم","لا (خارج الجرد)"))</f>
        <v/>
      </c>
    </row>
    <row r="3375" customFormat="false" ht="15" hidden="false" customHeight="false" outlineLevel="0" collapsed="false">
      <c r="A3375" s="103"/>
      <c r="B3375" s="104"/>
      <c r="C3375" s="104"/>
      <c r="F3375" s="107" t="str">
        <f aca="false">IF(OR($C3375="",$D3375=0),"",$E3375/$D3375)</f>
        <v/>
      </c>
      <c r="H3375" s="0" t="str">
        <f aca="false">IF($C3375="","",IF(COUNTIF('مواد المخزون'!$A$2:$A$90,$C3375)&gt;0,"نعم","لا (خارج الجرد)"))</f>
        <v/>
      </c>
    </row>
    <row r="3376" customFormat="false" ht="15" hidden="false" customHeight="false" outlineLevel="0" collapsed="false">
      <c r="A3376" s="103"/>
      <c r="B3376" s="104"/>
      <c r="C3376" s="104"/>
      <c r="F3376" s="107" t="str">
        <f aca="false">IF(OR($C3376="",$D3376=0),"",$E3376/$D3376)</f>
        <v/>
      </c>
      <c r="H3376" s="0" t="str">
        <f aca="false">IF($C3376="","",IF(COUNTIF('مواد المخزون'!$A$2:$A$90,$C3376)&gt;0,"نعم","لا (خارج الجرد)"))</f>
        <v/>
      </c>
    </row>
    <row r="3377" customFormat="false" ht="15" hidden="false" customHeight="false" outlineLevel="0" collapsed="false">
      <c r="A3377" s="103"/>
      <c r="B3377" s="104"/>
      <c r="C3377" s="104"/>
      <c r="F3377" s="107" t="str">
        <f aca="false">IF(OR($C3377="",$D3377=0),"",$E3377/$D3377)</f>
        <v/>
      </c>
      <c r="H3377" s="0" t="str">
        <f aca="false">IF($C3377="","",IF(COUNTIF('مواد المخزون'!$A$2:$A$90,$C3377)&gt;0,"نعم","لا (خارج الجرد)"))</f>
        <v/>
      </c>
    </row>
    <row r="3378" customFormat="false" ht="15" hidden="false" customHeight="false" outlineLevel="0" collapsed="false">
      <c r="A3378" s="103"/>
      <c r="B3378" s="104"/>
      <c r="C3378" s="104"/>
      <c r="F3378" s="107" t="str">
        <f aca="false">IF(OR($C3378="",$D3378=0),"",$E3378/$D3378)</f>
        <v/>
      </c>
      <c r="H3378" s="0" t="str">
        <f aca="false">IF($C3378="","",IF(COUNTIF('مواد المخزون'!$A$2:$A$90,$C3378)&gt;0,"نعم","لا (خارج الجرد)"))</f>
        <v/>
      </c>
    </row>
    <row r="3379" customFormat="false" ht="15" hidden="false" customHeight="false" outlineLevel="0" collapsed="false">
      <c r="A3379" s="103"/>
      <c r="B3379" s="104"/>
      <c r="C3379" s="104"/>
      <c r="F3379" s="107" t="str">
        <f aca="false">IF(OR($C3379="",$D3379=0),"",$E3379/$D3379)</f>
        <v/>
      </c>
      <c r="H3379" s="0" t="str">
        <f aca="false">IF($C3379="","",IF(COUNTIF('مواد المخزون'!$A$2:$A$90,$C3379)&gt;0,"نعم","لا (خارج الجرد)"))</f>
        <v/>
      </c>
    </row>
    <row r="3380" customFormat="false" ht="15" hidden="false" customHeight="false" outlineLevel="0" collapsed="false">
      <c r="A3380" s="103"/>
      <c r="B3380" s="104"/>
      <c r="C3380" s="104"/>
      <c r="F3380" s="107" t="str">
        <f aca="false">IF(OR($C3380="",$D3380=0),"",$E3380/$D3380)</f>
        <v/>
      </c>
      <c r="H3380" s="0" t="str">
        <f aca="false">IF($C3380="","",IF(COUNTIF('مواد المخزون'!$A$2:$A$90,$C3380)&gt;0,"نعم","لا (خارج الجرد)"))</f>
        <v/>
      </c>
    </row>
    <row r="3381" customFormat="false" ht="15" hidden="false" customHeight="false" outlineLevel="0" collapsed="false">
      <c r="A3381" s="103"/>
      <c r="B3381" s="104"/>
      <c r="C3381" s="104"/>
      <c r="F3381" s="107" t="str">
        <f aca="false">IF(OR($C3381="",$D3381=0),"",$E3381/$D3381)</f>
        <v/>
      </c>
      <c r="H3381" s="0" t="str">
        <f aca="false">IF($C3381="","",IF(COUNTIF('مواد المخزون'!$A$2:$A$90,$C3381)&gt;0,"نعم","لا (خارج الجرد)"))</f>
        <v/>
      </c>
    </row>
    <row r="3382" customFormat="false" ht="15" hidden="false" customHeight="false" outlineLevel="0" collapsed="false">
      <c r="A3382" s="103"/>
      <c r="B3382" s="104"/>
      <c r="C3382" s="104"/>
      <c r="F3382" s="107" t="str">
        <f aca="false">IF(OR($C3382="",$D3382=0),"",$E3382/$D3382)</f>
        <v/>
      </c>
      <c r="H3382" s="0" t="str">
        <f aca="false">IF($C3382="","",IF(COUNTIF('مواد المخزون'!$A$2:$A$90,$C3382)&gt;0,"نعم","لا (خارج الجرد)"))</f>
        <v/>
      </c>
    </row>
    <row r="3383" customFormat="false" ht="15" hidden="false" customHeight="false" outlineLevel="0" collapsed="false">
      <c r="A3383" s="103"/>
      <c r="B3383" s="104"/>
      <c r="C3383" s="104"/>
      <c r="F3383" s="107" t="str">
        <f aca="false">IF(OR($C3383="",$D3383=0),"",$E3383/$D3383)</f>
        <v/>
      </c>
      <c r="H3383" s="0" t="str">
        <f aca="false">IF($C3383="","",IF(COUNTIF('مواد المخزون'!$A$2:$A$90,$C3383)&gt;0,"نعم","لا (خارج الجرد)"))</f>
        <v/>
      </c>
    </row>
    <row r="3384" customFormat="false" ht="15" hidden="false" customHeight="false" outlineLevel="0" collapsed="false">
      <c r="A3384" s="103"/>
      <c r="B3384" s="104"/>
      <c r="C3384" s="104"/>
      <c r="F3384" s="107" t="str">
        <f aca="false">IF(OR($C3384="",$D3384=0),"",$E3384/$D3384)</f>
        <v/>
      </c>
      <c r="H3384" s="0" t="str">
        <f aca="false">IF($C3384="","",IF(COUNTIF('مواد المخزون'!$A$2:$A$90,$C3384)&gt;0,"نعم","لا (خارج الجرد)"))</f>
        <v/>
      </c>
    </row>
    <row r="3385" customFormat="false" ht="15" hidden="false" customHeight="false" outlineLevel="0" collapsed="false">
      <c r="A3385" s="103"/>
      <c r="B3385" s="104"/>
      <c r="C3385" s="104"/>
      <c r="F3385" s="107" t="str">
        <f aca="false">IF(OR($C3385="",$D3385=0),"",$E3385/$D3385)</f>
        <v/>
      </c>
      <c r="H3385" s="0" t="str">
        <f aca="false">IF($C3385="","",IF(COUNTIF('مواد المخزون'!$A$2:$A$90,$C3385)&gt;0,"نعم","لا (خارج الجرد)"))</f>
        <v/>
      </c>
    </row>
    <row r="3386" customFormat="false" ht="15" hidden="false" customHeight="false" outlineLevel="0" collapsed="false">
      <c r="A3386" s="103"/>
      <c r="B3386" s="104"/>
      <c r="C3386" s="104"/>
      <c r="F3386" s="107" t="str">
        <f aca="false">IF(OR($C3386="",$D3386=0),"",$E3386/$D3386)</f>
        <v/>
      </c>
      <c r="H3386" s="0" t="str">
        <f aca="false">IF($C3386="","",IF(COUNTIF('مواد المخزون'!$A$2:$A$90,$C3386)&gt;0,"نعم","لا (خارج الجرد)"))</f>
        <v/>
      </c>
    </row>
    <row r="3387" customFormat="false" ht="15" hidden="false" customHeight="false" outlineLevel="0" collapsed="false">
      <c r="A3387" s="103"/>
      <c r="B3387" s="104"/>
      <c r="C3387" s="104"/>
      <c r="F3387" s="107" t="str">
        <f aca="false">IF(OR($C3387="",$D3387=0),"",$E3387/$D3387)</f>
        <v/>
      </c>
      <c r="H3387" s="0" t="str">
        <f aca="false">IF($C3387="","",IF(COUNTIF('مواد المخزون'!$A$2:$A$90,$C3387)&gt;0,"نعم","لا (خارج الجرد)"))</f>
        <v/>
      </c>
    </row>
    <row r="3388" customFormat="false" ht="15" hidden="false" customHeight="false" outlineLevel="0" collapsed="false">
      <c r="A3388" s="103"/>
      <c r="B3388" s="104"/>
      <c r="C3388" s="104"/>
      <c r="F3388" s="107" t="str">
        <f aca="false">IF(OR($C3388="",$D3388=0),"",$E3388/$D3388)</f>
        <v/>
      </c>
      <c r="H3388" s="0" t="str">
        <f aca="false">IF($C3388="","",IF(COUNTIF('مواد المخزون'!$A$2:$A$90,$C3388)&gt;0,"نعم","لا (خارج الجرد)"))</f>
        <v/>
      </c>
    </row>
    <row r="3389" customFormat="false" ht="15" hidden="false" customHeight="false" outlineLevel="0" collapsed="false">
      <c r="A3389" s="103"/>
      <c r="B3389" s="104"/>
      <c r="C3389" s="104"/>
      <c r="F3389" s="107" t="str">
        <f aca="false">IF(OR($C3389="",$D3389=0),"",$E3389/$D3389)</f>
        <v/>
      </c>
      <c r="H3389" s="0" t="str">
        <f aca="false">IF($C3389="","",IF(COUNTIF('مواد المخزون'!$A$2:$A$90,$C3389)&gt;0,"نعم","لا (خارج الجرد)"))</f>
        <v/>
      </c>
    </row>
    <row r="3390" customFormat="false" ht="15" hidden="false" customHeight="false" outlineLevel="0" collapsed="false">
      <c r="A3390" s="103"/>
      <c r="B3390" s="104"/>
      <c r="C3390" s="104"/>
      <c r="F3390" s="107" t="str">
        <f aca="false">IF(OR($C3390="",$D3390=0),"",$E3390/$D3390)</f>
        <v/>
      </c>
      <c r="H3390" s="0" t="str">
        <f aca="false">IF($C3390="","",IF(COUNTIF('مواد المخزون'!$A$2:$A$90,$C3390)&gt;0,"نعم","لا (خارج الجرد)"))</f>
        <v/>
      </c>
    </row>
    <row r="3391" customFormat="false" ht="15" hidden="false" customHeight="false" outlineLevel="0" collapsed="false">
      <c r="A3391" s="103"/>
      <c r="B3391" s="104"/>
      <c r="C3391" s="104"/>
      <c r="F3391" s="107" t="str">
        <f aca="false">IF(OR($C3391="",$D3391=0),"",$E3391/$D3391)</f>
        <v/>
      </c>
      <c r="H3391" s="0" t="str">
        <f aca="false">IF($C3391="","",IF(COUNTIF('مواد المخزون'!$A$2:$A$90,$C3391)&gt;0,"نعم","لا (خارج الجرد)"))</f>
        <v/>
      </c>
    </row>
    <row r="3392" customFormat="false" ht="15" hidden="false" customHeight="false" outlineLevel="0" collapsed="false">
      <c r="A3392" s="103"/>
      <c r="B3392" s="104"/>
      <c r="C3392" s="104"/>
      <c r="F3392" s="107" t="str">
        <f aca="false">IF(OR($C3392="",$D3392=0),"",$E3392/$D3392)</f>
        <v/>
      </c>
      <c r="H3392" s="0" t="str">
        <f aca="false">IF($C3392="","",IF(COUNTIF('مواد المخزون'!$A$2:$A$90,$C3392)&gt;0,"نعم","لا (خارج الجرد)"))</f>
        <v/>
      </c>
    </row>
    <row r="3393" customFormat="false" ht="15" hidden="false" customHeight="false" outlineLevel="0" collapsed="false">
      <c r="A3393" s="103"/>
      <c r="B3393" s="104"/>
      <c r="C3393" s="104"/>
      <c r="F3393" s="107" t="str">
        <f aca="false">IF(OR($C3393="",$D3393=0),"",$E3393/$D3393)</f>
        <v/>
      </c>
      <c r="H3393" s="0" t="str">
        <f aca="false">IF($C3393="","",IF(COUNTIF('مواد المخزون'!$A$2:$A$90,$C3393)&gt;0,"نعم","لا (خارج الجرد)"))</f>
        <v/>
      </c>
    </row>
    <row r="3394" customFormat="false" ht="15" hidden="false" customHeight="false" outlineLevel="0" collapsed="false">
      <c r="A3394" s="103"/>
      <c r="B3394" s="104"/>
      <c r="C3394" s="104"/>
      <c r="F3394" s="107" t="str">
        <f aca="false">IF(OR($C3394="",$D3394=0),"",$E3394/$D3394)</f>
        <v/>
      </c>
      <c r="H3394" s="0" t="str">
        <f aca="false">IF($C3394="","",IF(COUNTIF('مواد المخزون'!$A$2:$A$90,$C3394)&gt;0,"نعم","لا (خارج الجرد)"))</f>
        <v/>
      </c>
    </row>
    <row r="3395" customFormat="false" ht="15" hidden="false" customHeight="false" outlineLevel="0" collapsed="false">
      <c r="A3395" s="103"/>
      <c r="B3395" s="104"/>
      <c r="C3395" s="104"/>
      <c r="F3395" s="107" t="str">
        <f aca="false">IF(OR($C3395="",$D3395=0),"",$E3395/$D3395)</f>
        <v/>
      </c>
      <c r="H3395" s="0" t="str">
        <f aca="false">IF($C3395="","",IF(COUNTIF('مواد المخزون'!$A$2:$A$90,$C3395)&gt;0,"نعم","لا (خارج الجرد)"))</f>
        <v/>
      </c>
    </row>
    <row r="3396" customFormat="false" ht="15" hidden="false" customHeight="false" outlineLevel="0" collapsed="false">
      <c r="A3396" s="103"/>
      <c r="B3396" s="104"/>
      <c r="C3396" s="104"/>
      <c r="F3396" s="107" t="str">
        <f aca="false">IF(OR($C3396="",$D3396=0),"",$E3396/$D3396)</f>
        <v/>
      </c>
      <c r="H3396" s="0" t="str">
        <f aca="false">IF($C3396="","",IF(COUNTIF('مواد المخزون'!$A$2:$A$90,$C3396)&gt;0,"نعم","لا (خارج الجرد)"))</f>
        <v/>
      </c>
    </row>
    <row r="3397" customFormat="false" ht="15" hidden="false" customHeight="false" outlineLevel="0" collapsed="false">
      <c r="A3397" s="103"/>
      <c r="B3397" s="104"/>
      <c r="C3397" s="104"/>
      <c r="F3397" s="107" t="str">
        <f aca="false">IF(OR($C3397="",$D3397=0),"",$E3397/$D3397)</f>
        <v/>
      </c>
      <c r="H3397" s="0" t="str">
        <f aca="false">IF($C3397="","",IF(COUNTIF('مواد المخزون'!$A$2:$A$90,$C3397)&gt;0,"نعم","لا (خارج الجرد)"))</f>
        <v/>
      </c>
    </row>
    <row r="3398" customFormat="false" ht="15" hidden="false" customHeight="false" outlineLevel="0" collapsed="false">
      <c r="A3398" s="103"/>
      <c r="B3398" s="104"/>
      <c r="C3398" s="104"/>
      <c r="F3398" s="107" t="str">
        <f aca="false">IF(OR($C3398="",$D3398=0),"",$E3398/$D3398)</f>
        <v/>
      </c>
      <c r="H3398" s="0" t="str">
        <f aca="false">IF($C3398="","",IF(COUNTIF('مواد المخزون'!$A$2:$A$90,$C3398)&gt;0,"نعم","لا (خارج الجرد)"))</f>
        <v/>
      </c>
    </row>
    <row r="3399" customFormat="false" ht="15" hidden="false" customHeight="false" outlineLevel="0" collapsed="false">
      <c r="A3399" s="103"/>
      <c r="B3399" s="104"/>
      <c r="C3399" s="104"/>
      <c r="F3399" s="107" t="str">
        <f aca="false">IF(OR($C3399="",$D3399=0),"",$E3399/$D3399)</f>
        <v/>
      </c>
      <c r="H3399" s="0" t="str">
        <f aca="false">IF($C3399="","",IF(COUNTIF('مواد المخزون'!$A$2:$A$90,$C3399)&gt;0,"نعم","لا (خارج الجرد)"))</f>
        <v/>
      </c>
    </row>
    <row r="3400" customFormat="false" ht="15" hidden="false" customHeight="false" outlineLevel="0" collapsed="false">
      <c r="A3400" s="103"/>
      <c r="B3400" s="104"/>
      <c r="C3400" s="104"/>
      <c r="F3400" s="107" t="str">
        <f aca="false">IF(OR($C3400="",$D3400=0),"",$E3400/$D3400)</f>
        <v/>
      </c>
      <c r="H3400" s="0" t="str">
        <f aca="false">IF($C3400="","",IF(COUNTIF('مواد المخزون'!$A$2:$A$90,$C3400)&gt;0,"نعم","لا (خارج الجرد)"))</f>
        <v/>
      </c>
    </row>
    <row r="3401" customFormat="false" ht="15" hidden="false" customHeight="false" outlineLevel="0" collapsed="false">
      <c r="A3401" s="103"/>
      <c r="B3401" s="104"/>
      <c r="C3401" s="104"/>
      <c r="F3401" s="107" t="str">
        <f aca="false">IF(OR($C3401="",$D3401=0),"",$E3401/$D3401)</f>
        <v/>
      </c>
      <c r="H3401" s="0" t="str">
        <f aca="false">IF($C3401="","",IF(COUNTIF('مواد المخزون'!$A$2:$A$90,$C3401)&gt;0,"نعم","لا (خارج الجرد)"))</f>
        <v/>
      </c>
    </row>
    <row r="3402" customFormat="false" ht="15" hidden="false" customHeight="false" outlineLevel="0" collapsed="false">
      <c r="A3402" s="103"/>
      <c r="B3402" s="104"/>
      <c r="C3402" s="104"/>
      <c r="F3402" s="107" t="str">
        <f aca="false">IF(OR($C3402="",$D3402=0),"",$E3402/$D3402)</f>
        <v/>
      </c>
      <c r="H3402" s="0" t="str">
        <f aca="false">IF($C3402="","",IF(COUNTIF('مواد المخزون'!$A$2:$A$90,$C3402)&gt;0,"نعم","لا (خارج الجرد)"))</f>
        <v/>
      </c>
    </row>
    <row r="3403" customFormat="false" ht="15" hidden="false" customHeight="false" outlineLevel="0" collapsed="false">
      <c r="A3403" s="103"/>
      <c r="B3403" s="104"/>
      <c r="C3403" s="104"/>
      <c r="F3403" s="107" t="str">
        <f aca="false">IF(OR($C3403="",$D3403=0),"",$E3403/$D3403)</f>
        <v/>
      </c>
      <c r="H3403" s="0" t="str">
        <f aca="false">IF($C3403="","",IF(COUNTIF('مواد المخزون'!$A$2:$A$90,$C3403)&gt;0,"نعم","لا (خارج الجرد)"))</f>
        <v/>
      </c>
    </row>
    <row r="3404" customFormat="false" ht="15" hidden="false" customHeight="false" outlineLevel="0" collapsed="false">
      <c r="A3404" s="103"/>
      <c r="B3404" s="104"/>
      <c r="C3404" s="104"/>
      <c r="F3404" s="107" t="str">
        <f aca="false">IF(OR($C3404="",$D3404=0),"",$E3404/$D3404)</f>
        <v/>
      </c>
      <c r="H3404" s="0" t="str">
        <f aca="false">IF($C3404="","",IF(COUNTIF('مواد المخزون'!$A$2:$A$90,$C3404)&gt;0,"نعم","لا (خارج الجرد)"))</f>
        <v/>
      </c>
    </row>
    <row r="3405" customFormat="false" ht="15" hidden="false" customHeight="false" outlineLevel="0" collapsed="false">
      <c r="A3405" s="103"/>
      <c r="B3405" s="104"/>
      <c r="C3405" s="104"/>
      <c r="F3405" s="107" t="str">
        <f aca="false">IF(OR($C3405="",$D3405=0),"",$E3405/$D3405)</f>
        <v/>
      </c>
      <c r="H3405" s="0" t="str">
        <f aca="false">IF($C3405="","",IF(COUNTIF('مواد المخزون'!$A$2:$A$90,$C3405)&gt;0,"نعم","لا (خارج الجرد)"))</f>
        <v/>
      </c>
    </row>
    <row r="3406" customFormat="false" ht="15" hidden="false" customHeight="false" outlineLevel="0" collapsed="false">
      <c r="A3406" s="103"/>
      <c r="B3406" s="104"/>
      <c r="C3406" s="104"/>
      <c r="F3406" s="107" t="str">
        <f aca="false">IF(OR($C3406="",$D3406=0),"",$E3406/$D3406)</f>
        <v/>
      </c>
      <c r="H3406" s="0" t="str">
        <f aca="false">IF($C3406="","",IF(COUNTIF('مواد المخزون'!$A$2:$A$90,$C3406)&gt;0,"نعم","لا (خارج الجرد)"))</f>
        <v/>
      </c>
    </row>
    <row r="3407" customFormat="false" ht="15" hidden="false" customHeight="false" outlineLevel="0" collapsed="false">
      <c r="A3407" s="103"/>
      <c r="B3407" s="104"/>
      <c r="C3407" s="104"/>
      <c r="F3407" s="107" t="str">
        <f aca="false">IF(OR($C3407="",$D3407=0),"",$E3407/$D3407)</f>
        <v/>
      </c>
      <c r="H3407" s="0" t="str">
        <f aca="false">IF($C3407="","",IF(COUNTIF('مواد المخزون'!$A$2:$A$90,$C3407)&gt;0,"نعم","لا (خارج الجرد)"))</f>
        <v/>
      </c>
    </row>
    <row r="3408" customFormat="false" ht="15" hidden="false" customHeight="false" outlineLevel="0" collapsed="false">
      <c r="A3408" s="103"/>
      <c r="B3408" s="104"/>
      <c r="C3408" s="104"/>
      <c r="F3408" s="107" t="str">
        <f aca="false">IF(OR($C3408="",$D3408=0),"",$E3408/$D3408)</f>
        <v/>
      </c>
      <c r="H3408" s="0" t="str">
        <f aca="false">IF($C3408="","",IF(COUNTIF('مواد المخزون'!$A$2:$A$90,$C3408)&gt;0,"نعم","لا (خارج الجرد)"))</f>
        <v/>
      </c>
    </row>
    <row r="3409" customFormat="false" ht="15" hidden="false" customHeight="false" outlineLevel="0" collapsed="false">
      <c r="A3409" s="103"/>
      <c r="B3409" s="104"/>
      <c r="C3409" s="104"/>
      <c r="F3409" s="107" t="str">
        <f aca="false">IF(OR($C3409="",$D3409=0),"",$E3409/$D3409)</f>
        <v/>
      </c>
      <c r="H3409" s="0" t="str">
        <f aca="false">IF($C3409="","",IF(COUNTIF('مواد المخزون'!$A$2:$A$90,$C3409)&gt;0,"نعم","لا (خارج الجرد)"))</f>
        <v/>
      </c>
    </row>
    <row r="3410" customFormat="false" ht="15" hidden="false" customHeight="false" outlineLevel="0" collapsed="false">
      <c r="A3410" s="103"/>
      <c r="B3410" s="104"/>
      <c r="C3410" s="104"/>
      <c r="F3410" s="107" t="str">
        <f aca="false">IF(OR($C3410="",$D3410=0),"",$E3410/$D3410)</f>
        <v/>
      </c>
      <c r="H3410" s="0" t="str">
        <f aca="false">IF($C3410="","",IF(COUNTIF('مواد المخزون'!$A$2:$A$90,$C3410)&gt;0,"نعم","لا (خارج الجرد)"))</f>
        <v/>
      </c>
    </row>
    <row r="3411" customFormat="false" ht="15" hidden="false" customHeight="false" outlineLevel="0" collapsed="false">
      <c r="A3411" s="103"/>
      <c r="B3411" s="104"/>
      <c r="C3411" s="104"/>
      <c r="F3411" s="107" t="str">
        <f aca="false">IF(OR($C3411="",$D3411=0),"",$E3411/$D3411)</f>
        <v/>
      </c>
      <c r="H3411" s="0" t="str">
        <f aca="false">IF($C3411="","",IF(COUNTIF('مواد المخزون'!$A$2:$A$90,$C3411)&gt;0,"نعم","لا (خارج الجرد)"))</f>
        <v/>
      </c>
    </row>
    <row r="3412" customFormat="false" ht="15" hidden="false" customHeight="false" outlineLevel="0" collapsed="false">
      <c r="A3412" s="103"/>
      <c r="B3412" s="104"/>
      <c r="C3412" s="104"/>
      <c r="F3412" s="107" t="str">
        <f aca="false">IF(OR($C3412="",$D3412=0),"",$E3412/$D3412)</f>
        <v/>
      </c>
      <c r="H3412" s="0" t="str">
        <f aca="false">IF($C3412="","",IF(COUNTIF('مواد المخزون'!$A$2:$A$90,$C3412)&gt;0,"نعم","لا (خارج الجرد)"))</f>
        <v/>
      </c>
    </row>
    <row r="3413" customFormat="false" ht="15" hidden="false" customHeight="false" outlineLevel="0" collapsed="false">
      <c r="A3413" s="103"/>
      <c r="B3413" s="104"/>
      <c r="C3413" s="104"/>
      <c r="F3413" s="107" t="str">
        <f aca="false">IF(OR($C3413="",$D3413=0),"",$E3413/$D3413)</f>
        <v/>
      </c>
      <c r="H3413" s="0" t="str">
        <f aca="false">IF($C3413="","",IF(COUNTIF('مواد المخزون'!$A$2:$A$90,$C3413)&gt;0,"نعم","لا (خارج الجرد)"))</f>
        <v/>
      </c>
    </row>
    <row r="3414" customFormat="false" ht="15" hidden="false" customHeight="false" outlineLevel="0" collapsed="false">
      <c r="A3414" s="103"/>
      <c r="B3414" s="104"/>
      <c r="C3414" s="104"/>
      <c r="F3414" s="107" t="str">
        <f aca="false">IF(OR($C3414="",$D3414=0),"",$E3414/$D3414)</f>
        <v/>
      </c>
      <c r="H3414" s="0" t="str">
        <f aca="false">IF($C3414="","",IF(COUNTIF('مواد المخزون'!$A$2:$A$90,$C3414)&gt;0,"نعم","لا (خارج الجرد)"))</f>
        <v/>
      </c>
    </row>
    <row r="3415" customFormat="false" ht="15" hidden="false" customHeight="false" outlineLevel="0" collapsed="false">
      <c r="A3415" s="103"/>
      <c r="B3415" s="104"/>
      <c r="C3415" s="104"/>
      <c r="F3415" s="107" t="str">
        <f aca="false">IF(OR($C3415="",$D3415=0),"",$E3415/$D3415)</f>
        <v/>
      </c>
      <c r="H3415" s="0" t="str">
        <f aca="false">IF($C3415="","",IF(COUNTIF('مواد المخزون'!$A$2:$A$90,$C3415)&gt;0,"نعم","لا (خارج الجرد)"))</f>
        <v/>
      </c>
    </row>
    <row r="3416" customFormat="false" ht="15" hidden="false" customHeight="false" outlineLevel="0" collapsed="false">
      <c r="A3416" s="103"/>
      <c r="B3416" s="104"/>
      <c r="C3416" s="104"/>
      <c r="F3416" s="107" t="str">
        <f aca="false">IF(OR($C3416="",$D3416=0),"",$E3416/$D3416)</f>
        <v/>
      </c>
      <c r="H3416" s="0" t="str">
        <f aca="false">IF($C3416="","",IF(COUNTIF('مواد المخزون'!$A$2:$A$90,$C3416)&gt;0,"نعم","لا (خارج الجرد)"))</f>
        <v/>
      </c>
    </row>
    <row r="3417" customFormat="false" ht="15" hidden="false" customHeight="false" outlineLevel="0" collapsed="false">
      <c r="A3417" s="103"/>
      <c r="B3417" s="104"/>
      <c r="C3417" s="104"/>
      <c r="F3417" s="107" t="str">
        <f aca="false">IF(OR($C3417="",$D3417=0),"",$E3417/$D3417)</f>
        <v/>
      </c>
      <c r="H3417" s="0" t="str">
        <f aca="false">IF($C3417="","",IF(COUNTIF('مواد المخزون'!$A$2:$A$90,$C3417)&gt;0,"نعم","لا (خارج الجرد)"))</f>
        <v/>
      </c>
    </row>
    <row r="3418" customFormat="false" ht="15" hidden="false" customHeight="false" outlineLevel="0" collapsed="false">
      <c r="A3418" s="103"/>
      <c r="B3418" s="104"/>
      <c r="C3418" s="104"/>
      <c r="F3418" s="107" t="str">
        <f aca="false">IF(OR($C3418="",$D3418=0),"",$E3418/$D3418)</f>
        <v/>
      </c>
      <c r="H3418" s="0" t="str">
        <f aca="false">IF($C3418="","",IF(COUNTIF('مواد المخزون'!$A$2:$A$90,$C3418)&gt;0,"نعم","لا (خارج الجرد)"))</f>
        <v/>
      </c>
    </row>
    <row r="3419" customFormat="false" ht="15" hidden="false" customHeight="false" outlineLevel="0" collapsed="false">
      <c r="A3419" s="103"/>
      <c r="B3419" s="104"/>
      <c r="C3419" s="104"/>
      <c r="F3419" s="107" t="str">
        <f aca="false">IF(OR($C3419="",$D3419=0),"",$E3419/$D3419)</f>
        <v/>
      </c>
      <c r="H3419" s="0" t="str">
        <f aca="false">IF($C3419="","",IF(COUNTIF('مواد المخزون'!$A$2:$A$90,$C3419)&gt;0,"نعم","لا (خارج الجرد)"))</f>
        <v/>
      </c>
    </row>
    <row r="3420" customFormat="false" ht="15" hidden="false" customHeight="false" outlineLevel="0" collapsed="false">
      <c r="A3420" s="103"/>
      <c r="B3420" s="104"/>
      <c r="C3420" s="104"/>
      <c r="F3420" s="107" t="str">
        <f aca="false">IF(OR($C3420="",$D3420=0),"",$E3420/$D3420)</f>
        <v/>
      </c>
      <c r="H3420" s="0" t="str">
        <f aca="false">IF($C3420="","",IF(COUNTIF('مواد المخزون'!$A$2:$A$90,$C3420)&gt;0,"نعم","لا (خارج الجرد)"))</f>
        <v/>
      </c>
    </row>
    <row r="3421" customFormat="false" ht="15" hidden="false" customHeight="false" outlineLevel="0" collapsed="false">
      <c r="A3421" s="103"/>
      <c r="B3421" s="104"/>
      <c r="C3421" s="104"/>
      <c r="F3421" s="107" t="str">
        <f aca="false">IF(OR($C3421="",$D3421=0),"",$E3421/$D3421)</f>
        <v/>
      </c>
      <c r="H3421" s="0" t="str">
        <f aca="false">IF($C3421="","",IF(COUNTIF('مواد المخزون'!$A$2:$A$90,$C3421)&gt;0,"نعم","لا (خارج الجرد)"))</f>
        <v/>
      </c>
    </row>
    <row r="3422" customFormat="false" ht="15" hidden="false" customHeight="false" outlineLevel="0" collapsed="false">
      <c r="A3422" s="103"/>
      <c r="B3422" s="104"/>
      <c r="C3422" s="104"/>
      <c r="F3422" s="107" t="str">
        <f aca="false">IF(OR($C3422="",$D3422=0),"",$E3422/$D3422)</f>
        <v/>
      </c>
      <c r="H3422" s="0" t="str">
        <f aca="false">IF($C3422="","",IF(COUNTIF('مواد المخزون'!$A$2:$A$90,$C3422)&gt;0,"نعم","لا (خارج الجرد)"))</f>
        <v/>
      </c>
    </row>
    <row r="3423" customFormat="false" ht="15" hidden="false" customHeight="false" outlineLevel="0" collapsed="false">
      <c r="A3423" s="103"/>
      <c r="B3423" s="104"/>
      <c r="C3423" s="104"/>
      <c r="F3423" s="107" t="str">
        <f aca="false">IF(OR($C3423="",$D3423=0),"",$E3423/$D3423)</f>
        <v/>
      </c>
      <c r="H3423" s="0" t="str">
        <f aca="false">IF($C3423="","",IF(COUNTIF('مواد المخزون'!$A$2:$A$90,$C3423)&gt;0,"نعم","لا (خارج الجرد)"))</f>
        <v/>
      </c>
    </row>
    <row r="3424" customFormat="false" ht="15" hidden="false" customHeight="false" outlineLevel="0" collapsed="false">
      <c r="A3424" s="103"/>
      <c r="B3424" s="104"/>
      <c r="C3424" s="104"/>
      <c r="F3424" s="107" t="str">
        <f aca="false">IF(OR($C3424="",$D3424=0),"",$E3424/$D3424)</f>
        <v/>
      </c>
      <c r="H3424" s="0" t="str">
        <f aca="false">IF($C3424="","",IF(COUNTIF('مواد المخزون'!$A$2:$A$90,$C3424)&gt;0,"نعم","لا (خارج الجرد)"))</f>
        <v/>
      </c>
    </row>
    <row r="3425" customFormat="false" ht="15" hidden="false" customHeight="false" outlineLevel="0" collapsed="false">
      <c r="A3425" s="103"/>
      <c r="B3425" s="104"/>
      <c r="C3425" s="104"/>
      <c r="F3425" s="107" t="str">
        <f aca="false">IF(OR($C3425="",$D3425=0),"",$E3425/$D3425)</f>
        <v/>
      </c>
      <c r="H3425" s="0" t="str">
        <f aca="false">IF($C3425="","",IF(COUNTIF('مواد المخزون'!$A$2:$A$90,$C3425)&gt;0,"نعم","لا (خارج الجرد)"))</f>
        <v/>
      </c>
    </row>
    <row r="3426" customFormat="false" ht="15" hidden="false" customHeight="false" outlineLevel="0" collapsed="false">
      <c r="A3426" s="103"/>
      <c r="B3426" s="104"/>
      <c r="C3426" s="104"/>
      <c r="F3426" s="107" t="str">
        <f aca="false">IF(OR($C3426="",$D3426=0),"",$E3426/$D3426)</f>
        <v/>
      </c>
      <c r="H3426" s="0" t="str">
        <f aca="false">IF($C3426="","",IF(COUNTIF('مواد المخزون'!$A$2:$A$90,$C3426)&gt;0,"نعم","لا (خارج الجرد)"))</f>
        <v/>
      </c>
    </row>
    <row r="3427" customFormat="false" ht="15" hidden="false" customHeight="false" outlineLevel="0" collapsed="false">
      <c r="A3427" s="103"/>
      <c r="B3427" s="104"/>
      <c r="C3427" s="104"/>
      <c r="F3427" s="107" t="str">
        <f aca="false">IF(OR($C3427="",$D3427=0),"",$E3427/$D3427)</f>
        <v/>
      </c>
      <c r="H3427" s="0" t="str">
        <f aca="false">IF($C3427="","",IF(COUNTIF('مواد المخزون'!$A$2:$A$90,$C3427)&gt;0,"نعم","لا (خارج الجرد)"))</f>
        <v/>
      </c>
    </row>
    <row r="3428" customFormat="false" ht="15" hidden="false" customHeight="false" outlineLevel="0" collapsed="false">
      <c r="A3428" s="103"/>
      <c r="B3428" s="104"/>
      <c r="C3428" s="104"/>
      <c r="F3428" s="107" t="str">
        <f aca="false">IF(OR($C3428="",$D3428=0),"",$E3428/$D3428)</f>
        <v/>
      </c>
      <c r="H3428" s="0" t="str">
        <f aca="false">IF($C3428="","",IF(COUNTIF('مواد المخزون'!$A$2:$A$90,$C3428)&gt;0,"نعم","لا (خارج الجرد)"))</f>
        <v/>
      </c>
    </row>
    <row r="3429" customFormat="false" ht="15" hidden="false" customHeight="false" outlineLevel="0" collapsed="false">
      <c r="A3429" s="103"/>
      <c r="B3429" s="104"/>
      <c r="C3429" s="104"/>
      <c r="F3429" s="107" t="str">
        <f aca="false">IF(OR($C3429="",$D3429=0),"",$E3429/$D3429)</f>
        <v/>
      </c>
      <c r="H3429" s="0" t="str">
        <f aca="false">IF($C3429="","",IF(COUNTIF('مواد المخزون'!$A$2:$A$90,$C3429)&gt;0,"نعم","لا (خارج الجرد)"))</f>
        <v/>
      </c>
    </row>
    <row r="3430" customFormat="false" ht="15" hidden="false" customHeight="false" outlineLevel="0" collapsed="false">
      <c r="A3430" s="103"/>
      <c r="B3430" s="104"/>
      <c r="C3430" s="104"/>
      <c r="F3430" s="107" t="str">
        <f aca="false">IF(OR($C3430="",$D3430=0),"",$E3430/$D3430)</f>
        <v/>
      </c>
      <c r="H3430" s="0" t="str">
        <f aca="false">IF($C3430="","",IF(COUNTIF('مواد المخزون'!$A$2:$A$90,$C3430)&gt;0,"نعم","لا (خارج الجرد)"))</f>
        <v/>
      </c>
    </row>
    <row r="3431" customFormat="false" ht="15" hidden="false" customHeight="false" outlineLevel="0" collapsed="false">
      <c r="A3431" s="103"/>
      <c r="B3431" s="104"/>
      <c r="C3431" s="104"/>
      <c r="F3431" s="107" t="str">
        <f aca="false">IF(OR($C3431="",$D3431=0),"",$E3431/$D3431)</f>
        <v/>
      </c>
      <c r="H3431" s="0" t="str">
        <f aca="false">IF($C3431="","",IF(COUNTIF('مواد المخزون'!$A$2:$A$90,$C3431)&gt;0,"نعم","لا (خارج الجرد)"))</f>
        <v/>
      </c>
    </row>
    <row r="3432" customFormat="false" ht="15" hidden="false" customHeight="false" outlineLevel="0" collapsed="false">
      <c r="A3432" s="103"/>
      <c r="B3432" s="104"/>
      <c r="C3432" s="104"/>
      <c r="F3432" s="107" t="str">
        <f aca="false">IF(OR($C3432="",$D3432=0),"",$E3432/$D3432)</f>
        <v/>
      </c>
      <c r="H3432" s="0" t="str">
        <f aca="false">IF($C3432="","",IF(COUNTIF('مواد المخزون'!$A$2:$A$90,$C3432)&gt;0,"نعم","لا (خارج الجرد)"))</f>
        <v/>
      </c>
    </row>
    <row r="3433" customFormat="false" ht="15" hidden="false" customHeight="false" outlineLevel="0" collapsed="false">
      <c r="A3433" s="103"/>
      <c r="B3433" s="104"/>
      <c r="C3433" s="104"/>
      <c r="F3433" s="107" t="str">
        <f aca="false">IF(OR($C3433="",$D3433=0),"",$E3433/$D3433)</f>
        <v/>
      </c>
      <c r="H3433" s="0" t="str">
        <f aca="false">IF($C3433="","",IF(COUNTIF('مواد المخزون'!$A$2:$A$90,$C3433)&gt;0,"نعم","لا (خارج الجرد)"))</f>
        <v/>
      </c>
    </row>
    <row r="3434" customFormat="false" ht="15" hidden="false" customHeight="false" outlineLevel="0" collapsed="false">
      <c r="A3434" s="103"/>
      <c r="B3434" s="104"/>
      <c r="C3434" s="104"/>
      <c r="F3434" s="107" t="str">
        <f aca="false">IF(OR($C3434="",$D3434=0),"",$E3434/$D3434)</f>
        <v/>
      </c>
      <c r="H3434" s="0" t="str">
        <f aca="false">IF($C3434="","",IF(COUNTIF('مواد المخزون'!$A$2:$A$90,$C3434)&gt;0,"نعم","لا (خارج الجرد)"))</f>
        <v/>
      </c>
    </row>
    <row r="3435" customFormat="false" ht="15" hidden="false" customHeight="false" outlineLevel="0" collapsed="false">
      <c r="A3435" s="103"/>
      <c r="B3435" s="104"/>
      <c r="C3435" s="104"/>
      <c r="F3435" s="107" t="str">
        <f aca="false">IF(OR($C3435="",$D3435=0),"",$E3435/$D3435)</f>
        <v/>
      </c>
      <c r="H3435" s="0" t="str">
        <f aca="false">IF($C3435="","",IF(COUNTIF('مواد المخزون'!$A$2:$A$90,$C3435)&gt;0,"نعم","لا (خارج الجرد)"))</f>
        <v/>
      </c>
    </row>
    <row r="3436" customFormat="false" ht="15" hidden="false" customHeight="false" outlineLevel="0" collapsed="false">
      <c r="A3436" s="103"/>
      <c r="B3436" s="104"/>
      <c r="C3436" s="104"/>
      <c r="F3436" s="107" t="str">
        <f aca="false">IF(OR($C3436="",$D3436=0),"",$E3436/$D3436)</f>
        <v/>
      </c>
      <c r="H3436" s="0" t="str">
        <f aca="false">IF($C3436="","",IF(COUNTIF('مواد المخزون'!$A$2:$A$90,$C3436)&gt;0,"نعم","لا (خارج الجرد)"))</f>
        <v/>
      </c>
    </row>
    <row r="3437" customFormat="false" ht="15" hidden="false" customHeight="false" outlineLevel="0" collapsed="false">
      <c r="A3437" s="103"/>
      <c r="B3437" s="104"/>
      <c r="C3437" s="104"/>
      <c r="F3437" s="107" t="str">
        <f aca="false">IF(OR($C3437="",$D3437=0),"",$E3437/$D3437)</f>
        <v/>
      </c>
      <c r="H3437" s="0" t="str">
        <f aca="false">IF($C3437="","",IF(COUNTIF('مواد المخزون'!$A$2:$A$90,$C3437)&gt;0,"نعم","لا (خارج الجرد)"))</f>
        <v/>
      </c>
    </row>
    <row r="3438" customFormat="false" ht="15" hidden="false" customHeight="false" outlineLevel="0" collapsed="false">
      <c r="A3438" s="103"/>
      <c r="B3438" s="104"/>
      <c r="C3438" s="104"/>
      <c r="F3438" s="107" t="str">
        <f aca="false">IF(OR($C3438="",$D3438=0),"",$E3438/$D3438)</f>
        <v/>
      </c>
      <c r="H3438" s="0" t="str">
        <f aca="false">IF($C3438="","",IF(COUNTIF('مواد المخزون'!$A$2:$A$90,$C3438)&gt;0,"نعم","لا (خارج الجرد)"))</f>
        <v/>
      </c>
    </row>
    <row r="3439" customFormat="false" ht="15" hidden="false" customHeight="false" outlineLevel="0" collapsed="false">
      <c r="A3439" s="103"/>
      <c r="B3439" s="104"/>
      <c r="C3439" s="104"/>
      <c r="F3439" s="107" t="str">
        <f aca="false">IF(OR($C3439="",$D3439=0),"",$E3439/$D3439)</f>
        <v/>
      </c>
      <c r="H3439" s="0" t="str">
        <f aca="false">IF($C3439="","",IF(COUNTIF('مواد المخزون'!$A$2:$A$90,$C3439)&gt;0,"نعم","لا (خارج الجرد)"))</f>
        <v/>
      </c>
    </row>
    <row r="3440" customFormat="false" ht="15" hidden="false" customHeight="false" outlineLevel="0" collapsed="false">
      <c r="A3440" s="103"/>
      <c r="B3440" s="104"/>
      <c r="C3440" s="104"/>
      <c r="F3440" s="107" t="str">
        <f aca="false">IF(OR($C3440="",$D3440=0),"",$E3440/$D3440)</f>
        <v/>
      </c>
      <c r="H3440" s="0" t="str">
        <f aca="false">IF($C3440="","",IF(COUNTIF('مواد المخزون'!$A$2:$A$90,$C3440)&gt;0,"نعم","لا (خارج الجرد)"))</f>
        <v/>
      </c>
    </row>
    <row r="3441" customFormat="false" ht="15" hidden="false" customHeight="false" outlineLevel="0" collapsed="false">
      <c r="A3441" s="103"/>
      <c r="B3441" s="104"/>
      <c r="C3441" s="104"/>
      <c r="F3441" s="107" t="str">
        <f aca="false">IF(OR($C3441="",$D3441=0),"",$E3441/$D3441)</f>
        <v/>
      </c>
      <c r="H3441" s="0" t="str">
        <f aca="false">IF($C3441="","",IF(COUNTIF('مواد المخزون'!$A$2:$A$90,$C3441)&gt;0,"نعم","لا (خارج الجرد)"))</f>
        <v/>
      </c>
    </row>
    <row r="3442" customFormat="false" ht="15" hidden="false" customHeight="false" outlineLevel="0" collapsed="false">
      <c r="A3442" s="103"/>
      <c r="B3442" s="104"/>
      <c r="C3442" s="104"/>
      <c r="F3442" s="107" t="str">
        <f aca="false">IF(OR($C3442="",$D3442=0),"",$E3442/$D3442)</f>
        <v/>
      </c>
      <c r="H3442" s="0" t="str">
        <f aca="false">IF($C3442="","",IF(COUNTIF('مواد المخزون'!$A$2:$A$90,$C3442)&gt;0,"نعم","لا (خارج الجرد)"))</f>
        <v/>
      </c>
    </row>
    <row r="3443" customFormat="false" ht="15" hidden="false" customHeight="false" outlineLevel="0" collapsed="false">
      <c r="A3443" s="103"/>
      <c r="B3443" s="104"/>
      <c r="C3443" s="104"/>
      <c r="F3443" s="107" t="str">
        <f aca="false">IF(OR($C3443="",$D3443=0),"",$E3443/$D3443)</f>
        <v/>
      </c>
      <c r="H3443" s="0" t="str">
        <f aca="false">IF($C3443="","",IF(COUNTIF('مواد المخزون'!$A$2:$A$90,$C3443)&gt;0,"نعم","لا (خارج الجرد)"))</f>
        <v/>
      </c>
    </row>
    <row r="3444" customFormat="false" ht="15" hidden="false" customHeight="false" outlineLevel="0" collapsed="false">
      <c r="A3444" s="103"/>
      <c r="B3444" s="104"/>
      <c r="C3444" s="104"/>
      <c r="F3444" s="107" t="str">
        <f aca="false">IF(OR($C3444="",$D3444=0),"",$E3444/$D3444)</f>
        <v/>
      </c>
      <c r="H3444" s="0" t="str">
        <f aca="false">IF($C3444="","",IF(COUNTIF('مواد المخزون'!$A$2:$A$90,$C3444)&gt;0,"نعم","لا (خارج الجرد)"))</f>
        <v/>
      </c>
    </row>
    <row r="3445" customFormat="false" ht="15" hidden="false" customHeight="false" outlineLevel="0" collapsed="false">
      <c r="A3445" s="103"/>
      <c r="B3445" s="104"/>
      <c r="C3445" s="104"/>
      <c r="F3445" s="107" t="str">
        <f aca="false">IF(OR($C3445="",$D3445=0),"",$E3445/$D3445)</f>
        <v/>
      </c>
      <c r="H3445" s="0" t="str">
        <f aca="false">IF($C3445="","",IF(COUNTIF('مواد المخزون'!$A$2:$A$90,$C3445)&gt;0,"نعم","لا (خارج الجرد)"))</f>
        <v/>
      </c>
    </row>
    <row r="3446" customFormat="false" ht="15" hidden="false" customHeight="false" outlineLevel="0" collapsed="false">
      <c r="A3446" s="103"/>
      <c r="B3446" s="104"/>
      <c r="C3446" s="104"/>
      <c r="F3446" s="107" t="str">
        <f aca="false">IF(OR($C3446="",$D3446=0),"",$E3446/$D3446)</f>
        <v/>
      </c>
      <c r="H3446" s="0" t="str">
        <f aca="false">IF($C3446="","",IF(COUNTIF('مواد المخزون'!$A$2:$A$90,$C3446)&gt;0,"نعم","لا (خارج الجرد)"))</f>
        <v/>
      </c>
    </row>
    <row r="3447" customFormat="false" ht="15" hidden="false" customHeight="false" outlineLevel="0" collapsed="false">
      <c r="A3447" s="103"/>
      <c r="B3447" s="104"/>
      <c r="C3447" s="104"/>
      <c r="F3447" s="107" t="str">
        <f aca="false">IF(OR($C3447="",$D3447=0),"",$E3447/$D3447)</f>
        <v/>
      </c>
      <c r="H3447" s="0" t="str">
        <f aca="false">IF($C3447="","",IF(COUNTIF('مواد المخزون'!$A$2:$A$90,$C3447)&gt;0,"نعم","لا (خارج الجرد)"))</f>
        <v/>
      </c>
    </row>
    <row r="3448" customFormat="false" ht="15" hidden="false" customHeight="false" outlineLevel="0" collapsed="false">
      <c r="A3448" s="103"/>
      <c r="B3448" s="104"/>
      <c r="C3448" s="104"/>
      <c r="F3448" s="107" t="str">
        <f aca="false">IF(OR($C3448="",$D3448=0),"",$E3448/$D3448)</f>
        <v/>
      </c>
      <c r="H3448" s="0" t="str">
        <f aca="false">IF($C3448="","",IF(COUNTIF('مواد المخزون'!$A$2:$A$90,$C3448)&gt;0,"نعم","لا (خارج الجرد)"))</f>
        <v/>
      </c>
    </row>
    <row r="3449" customFormat="false" ht="15" hidden="false" customHeight="false" outlineLevel="0" collapsed="false">
      <c r="A3449" s="103"/>
      <c r="B3449" s="104"/>
      <c r="C3449" s="104"/>
      <c r="F3449" s="107" t="str">
        <f aca="false">IF(OR($C3449="",$D3449=0),"",$E3449/$D3449)</f>
        <v/>
      </c>
      <c r="H3449" s="0" t="str">
        <f aca="false">IF($C3449="","",IF(COUNTIF('مواد المخزون'!$A$2:$A$90,$C3449)&gt;0,"نعم","لا (خارج الجرد)"))</f>
        <v/>
      </c>
    </row>
    <row r="3450" customFormat="false" ht="15" hidden="false" customHeight="false" outlineLevel="0" collapsed="false">
      <c r="A3450" s="103"/>
      <c r="B3450" s="104"/>
      <c r="C3450" s="104"/>
      <c r="F3450" s="107" t="str">
        <f aca="false">IF(OR($C3450="",$D3450=0),"",$E3450/$D3450)</f>
        <v/>
      </c>
      <c r="H3450" s="0" t="str">
        <f aca="false">IF($C3450="","",IF(COUNTIF('مواد المخزون'!$A$2:$A$90,$C3450)&gt;0,"نعم","لا (خارج الجرد)"))</f>
        <v/>
      </c>
    </row>
    <row r="3451" customFormat="false" ht="15" hidden="false" customHeight="false" outlineLevel="0" collapsed="false">
      <c r="A3451" s="103"/>
      <c r="B3451" s="104"/>
      <c r="C3451" s="104"/>
      <c r="F3451" s="107" t="str">
        <f aca="false">IF(OR($C3451="",$D3451=0),"",$E3451/$D3451)</f>
        <v/>
      </c>
      <c r="H3451" s="0" t="str">
        <f aca="false">IF($C3451="","",IF(COUNTIF('مواد المخزون'!$A$2:$A$90,$C3451)&gt;0,"نعم","لا (خارج الجرد)"))</f>
        <v/>
      </c>
    </row>
    <row r="3452" customFormat="false" ht="15" hidden="false" customHeight="false" outlineLevel="0" collapsed="false">
      <c r="A3452" s="103"/>
      <c r="B3452" s="104"/>
      <c r="C3452" s="104"/>
      <c r="F3452" s="107" t="str">
        <f aca="false">IF(OR($C3452="",$D3452=0),"",$E3452/$D3452)</f>
        <v/>
      </c>
      <c r="H3452" s="0" t="str">
        <f aca="false">IF($C3452="","",IF(COUNTIF('مواد المخزون'!$A$2:$A$90,$C3452)&gt;0,"نعم","لا (خارج الجرد)"))</f>
        <v/>
      </c>
    </row>
    <row r="3453" customFormat="false" ht="15" hidden="false" customHeight="false" outlineLevel="0" collapsed="false">
      <c r="A3453" s="103"/>
      <c r="B3453" s="104"/>
      <c r="C3453" s="104"/>
      <c r="F3453" s="107" t="str">
        <f aca="false">IF(OR($C3453="",$D3453=0),"",$E3453/$D3453)</f>
        <v/>
      </c>
      <c r="H3453" s="0" t="str">
        <f aca="false">IF($C3453="","",IF(COUNTIF('مواد المخزون'!$A$2:$A$90,$C3453)&gt;0,"نعم","لا (خارج الجرد)"))</f>
        <v/>
      </c>
    </row>
    <row r="3454" customFormat="false" ht="15" hidden="false" customHeight="false" outlineLevel="0" collapsed="false">
      <c r="A3454" s="103"/>
      <c r="B3454" s="104"/>
      <c r="C3454" s="104"/>
      <c r="F3454" s="107" t="str">
        <f aca="false">IF(OR($C3454="",$D3454=0),"",$E3454/$D3454)</f>
        <v/>
      </c>
      <c r="H3454" s="0" t="str">
        <f aca="false">IF($C3454="","",IF(COUNTIF('مواد المخزون'!$A$2:$A$90,$C3454)&gt;0,"نعم","لا (خارج الجرد)"))</f>
        <v/>
      </c>
    </row>
    <row r="3455" customFormat="false" ht="15" hidden="false" customHeight="false" outlineLevel="0" collapsed="false">
      <c r="A3455" s="103"/>
      <c r="B3455" s="104"/>
      <c r="C3455" s="104"/>
      <c r="F3455" s="107" t="str">
        <f aca="false">IF(OR($C3455="",$D3455=0),"",$E3455/$D3455)</f>
        <v/>
      </c>
      <c r="H3455" s="0" t="str">
        <f aca="false">IF($C3455="","",IF(COUNTIF('مواد المخزون'!$A$2:$A$90,$C3455)&gt;0,"نعم","لا (خارج الجرد)"))</f>
        <v/>
      </c>
    </row>
    <row r="3456" customFormat="false" ht="15" hidden="false" customHeight="false" outlineLevel="0" collapsed="false">
      <c r="A3456" s="103"/>
      <c r="B3456" s="104"/>
      <c r="C3456" s="104"/>
      <c r="F3456" s="107" t="str">
        <f aca="false">IF(OR($C3456="",$D3456=0),"",$E3456/$D3456)</f>
        <v/>
      </c>
      <c r="H3456" s="0" t="str">
        <f aca="false">IF($C3456="","",IF(COUNTIF('مواد المخزون'!$A$2:$A$90,$C3456)&gt;0,"نعم","لا (خارج الجرد)"))</f>
        <v/>
      </c>
    </row>
    <row r="3457" customFormat="false" ht="15" hidden="false" customHeight="false" outlineLevel="0" collapsed="false">
      <c r="A3457" s="103"/>
      <c r="B3457" s="104"/>
      <c r="C3457" s="104"/>
      <c r="F3457" s="107" t="str">
        <f aca="false">IF(OR($C3457="",$D3457=0),"",$E3457/$D3457)</f>
        <v/>
      </c>
      <c r="H3457" s="0" t="str">
        <f aca="false">IF($C3457="","",IF(COUNTIF('مواد المخزون'!$A$2:$A$90,$C3457)&gt;0,"نعم","لا (خارج الجرد)"))</f>
        <v/>
      </c>
    </row>
    <row r="3458" customFormat="false" ht="15" hidden="false" customHeight="false" outlineLevel="0" collapsed="false">
      <c r="A3458" s="103"/>
      <c r="B3458" s="104"/>
      <c r="C3458" s="104"/>
      <c r="F3458" s="107" t="str">
        <f aca="false">IF(OR($C3458="",$D3458=0),"",$E3458/$D3458)</f>
        <v/>
      </c>
      <c r="H3458" s="0" t="str">
        <f aca="false">IF($C3458="","",IF(COUNTIF('مواد المخزون'!$A$2:$A$90,$C3458)&gt;0,"نعم","لا (خارج الجرد)"))</f>
        <v/>
      </c>
    </row>
    <row r="3459" customFormat="false" ht="15" hidden="false" customHeight="false" outlineLevel="0" collapsed="false">
      <c r="A3459" s="103"/>
      <c r="B3459" s="104"/>
      <c r="C3459" s="104"/>
      <c r="F3459" s="107" t="str">
        <f aca="false">IF(OR($C3459="",$D3459=0),"",$E3459/$D3459)</f>
        <v/>
      </c>
      <c r="H3459" s="0" t="str">
        <f aca="false">IF($C3459="","",IF(COUNTIF('مواد المخزون'!$A$2:$A$90,$C3459)&gt;0,"نعم","لا (خارج الجرد)"))</f>
        <v/>
      </c>
    </row>
    <row r="3460" customFormat="false" ht="15" hidden="false" customHeight="false" outlineLevel="0" collapsed="false">
      <c r="A3460" s="103"/>
      <c r="B3460" s="104"/>
      <c r="C3460" s="104"/>
      <c r="F3460" s="107" t="str">
        <f aca="false">IF(OR($C3460="",$D3460=0),"",$E3460/$D3460)</f>
        <v/>
      </c>
      <c r="H3460" s="0" t="str">
        <f aca="false">IF($C3460="","",IF(COUNTIF('مواد المخزون'!$A$2:$A$90,$C3460)&gt;0,"نعم","لا (خارج الجرد)"))</f>
        <v/>
      </c>
    </row>
    <row r="3461" customFormat="false" ht="15" hidden="false" customHeight="false" outlineLevel="0" collapsed="false">
      <c r="A3461" s="103"/>
      <c r="B3461" s="104"/>
      <c r="C3461" s="104"/>
      <c r="F3461" s="107" t="str">
        <f aca="false">IF(OR($C3461="",$D3461=0),"",$E3461/$D3461)</f>
        <v/>
      </c>
      <c r="H3461" s="0" t="str">
        <f aca="false">IF($C3461="","",IF(COUNTIF('مواد المخزون'!$A$2:$A$90,$C3461)&gt;0,"نعم","لا (خارج الجرد)"))</f>
        <v/>
      </c>
    </row>
    <row r="3462" customFormat="false" ht="15" hidden="false" customHeight="false" outlineLevel="0" collapsed="false">
      <c r="A3462" s="103"/>
      <c r="B3462" s="104"/>
      <c r="C3462" s="104"/>
      <c r="F3462" s="107" t="str">
        <f aca="false">IF(OR($C3462="",$D3462=0),"",$E3462/$D3462)</f>
        <v/>
      </c>
      <c r="H3462" s="0" t="str">
        <f aca="false">IF($C3462="","",IF(COUNTIF('مواد المخزون'!$A$2:$A$90,$C3462)&gt;0,"نعم","لا (خارج الجرد)"))</f>
        <v/>
      </c>
    </row>
    <row r="3463" customFormat="false" ht="15" hidden="false" customHeight="false" outlineLevel="0" collapsed="false">
      <c r="A3463" s="103"/>
      <c r="B3463" s="104"/>
      <c r="C3463" s="104"/>
      <c r="F3463" s="107" t="str">
        <f aca="false">IF(OR($C3463="",$D3463=0),"",$E3463/$D3463)</f>
        <v/>
      </c>
      <c r="H3463" s="0" t="str">
        <f aca="false">IF($C3463="","",IF(COUNTIF('مواد المخزون'!$A$2:$A$90,$C3463)&gt;0,"نعم","لا (خارج الجرد)"))</f>
        <v/>
      </c>
    </row>
    <row r="3464" customFormat="false" ht="15" hidden="false" customHeight="false" outlineLevel="0" collapsed="false">
      <c r="A3464" s="103"/>
      <c r="B3464" s="104"/>
      <c r="C3464" s="104"/>
      <c r="F3464" s="107" t="str">
        <f aca="false">IF(OR($C3464="",$D3464=0),"",$E3464/$D3464)</f>
        <v/>
      </c>
      <c r="H3464" s="0" t="str">
        <f aca="false">IF($C3464="","",IF(COUNTIF('مواد المخزون'!$A$2:$A$90,$C3464)&gt;0,"نعم","لا (خارج الجرد)"))</f>
        <v/>
      </c>
    </row>
    <row r="3465" customFormat="false" ht="15" hidden="false" customHeight="false" outlineLevel="0" collapsed="false">
      <c r="A3465" s="103"/>
      <c r="B3465" s="104"/>
      <c r="C3465" s="104"/>
      <c r="F3465" s="107" t="str">
        <f aca="false">IF(OR($C3465="",$D3465=0),"",$E3465/$D3465)</f>
        <v/>
      </c>
      <c r="H3465" s="0" t="str">
        <f aca="false">IF($C3465="","",IF(COUNTIF('مواد المخزون'!$A$2:$A$90,$C3465)&gt;0,"نعم","لا (خارج الجرد)"))</f>
        <v/>
      </c>
    </row>
    <row r="3466" customFormat="false" ht="15" hidden="false" customHeight="false" outlineLevel="0" collapsed="false">
      <c r="A3466" s="103"/>
      <c r="B3466" s="104"/>
      <c r="C3466" s="104"/>
      <c r="F3466" s="107" t="str">
        <f aca="false">IF(OR($C3466="",$D3466=0),"",$E3466/$D3466)</f>
        <v/>
      </c>
      <c r="H3466" s="0" t="str">
        <f aca="false">IF($C3466="","",IF(COUNTIF('مواد المخزون'!$A$2:$A$90,$C3466)&gt;0,"نعم","لا (خارج الجرد)"))</f>
        <v/>
      </c>
    </row>
    <row r="3467" customFormat="false" ht="15" hidden="false" customHeight="false" outlineLevel="0" collapsed="false">
      <c r="A3467" s="103"/>
      <c r="B3467" s="104"/>
      <c r="C3467" s="104"/>
      <c r="F3467" s="107" t="str">
        <f aca="false">IF(OR($C3467="",$D3467=0),"",$E3467/$D3467)</f>
        <v/>
      </c>
      <c r="H3467" s="0" t="str">
        <f aca="false">IF($C3467="","",IF(COUNTIF('مواد المخزون'!$A$2:$A$90,$C3467)&gt;0,"نعم","لا (خارج الجرد)"))</f>
        <v/>
      </c>
    </row>
    <row r="3468" customFormat="false" ht="15" hidden="false" customHeight="false" outlineLevel="0" collapsed="false">
      <c r="A3468" s="103"/>
      <c r="B3468" s="104"/>
      <c r="C3468" s="104"/>
      <c r="F3468" s="107" t="str">
        <f aca="false">IF(OR($C3468="",$D3468=0),"",$E3468/$D3468)</f>
        <v/>
      </c>
      <c r="H3468" s="0" t="str">
        <f aca="false">IF($C3468="","",IF(COUNTIF('مواد المخزون'!$A$2:$A$90,$C3468)&gt;0,"نعم","لا (خارج الجرد)"))</f>
        <v/>
      </c>
    </row>
    <row r="3469" customFormat="false" ht="15" hidden="false" customHeight="false" outlineLevel="0" collapsed="false">
      <c r="A3469" s="103"/>
      <c r="B3469" s="104"/>
      <c r="C3469" s="104"/>
      <c r="F3469" s="107" t="str">
        <f aca="false">IF(OR($C3469="",$D3469=0),"",$E3469/$D3469)</f>
        <v/>
      </c>
      <c r="H3469" s="0" t="str">
        <f aca="false">IF($C3469="","",IF(COUNTIF('مواد المخزون'!$A$2:$A$90,$C3469)&gt;0,"نعم","لا (خارج الجرد)"))</f>
        <v/>
      </c>
    </row>
    <row r="3470" customFormat="false" ht="15" hidden="false" customHeight="false" outlineLevel="0" collapsed="false">
      <c r="A3470" s="103"/>
      <c r="B3470" s="104"/>
      <c r="C3470" s="104"/>
      <c r="F3470" s="107" t="str">
        <f aca="false">IF(OR($C3470="",$D3470=0),"",$E3470/$D3470)</f>
        <v/>
      </c>
      <c r="H3470" s="0" t="str">
        <f aca="false">IF($C3470="","",IF(COUNTIF('مواد المخزون'!$A$2:$A$90,$C3470)&gt;0,"نعم","لا (خارج الجرد)"))</f>
        <v/>
      </c>
    </row>
    <row r="3471" customFormat="false" ht="15" hidden="false" customHeight="false" outlineLevel="0" collapsed="false">
      <c r="A3471" s="103"/>
      <c r="B3471" s="104"/>
      <c r="C3471" s="104"/>
      <c r="F3471" s="107" t="str">
        <f aca="false">IF(OR($C3471="",$D3471=0),"",$E3471/$D3471)</f>
        <v/>
      </c>
      <c r="H3471" s="0" t="str">
        <f aca="false">IF($C3471="","",IF(COUNTIF('مواد المخزون'!$A$2:$A$90,$C3471)&gt;0,"نعم","لا (خارج الجرد)"))</f>
        <v/>
      </c>
    </row>
    <row r="3472" customFormat="false" ht="15" hidden="false" customHeight="false" outlineLevel="0" collapsed="false">
      <c r="A3472" s="103"/>
      <c r="B3472" s="104"/>
      <c r="C3472" s="104"/>
      <c r="F3472" s="107" t="str">
        <f aca="false">IF(OR($C3472="",$D3472=0),"",$E3472/$D3472)</f>
        <v/>
      </c>
      <c r="H3472" s="0" t="str">
        <f aca="false">IF($C3472="","",IF(COUNTIF('مواد المخزون'!$A$2:$A$90,$C3472)&gt;0,"نعم","لا (خارج الجرد)"))</f>
        <v/>
      </c>
    </row>
    <row r="3473" customFormat="false" ht="15" hidden="false" customHeight="false" outlineLevel="0" collapsed="false">
      <c r="A3473" s="103"/>
      <c r="B3473" s="104"/>
      <c r="C3473" s="104"/>
      <c r="F3473" s="107" t="str">
        <f aca="false">IF(OR($C3473="",$D3473=0),"",$E3473/$D3473)</f>
        <v/>
      </c>
      <c r="H3473" s="0" t="str">
        <f aca="false">IF($C3473="","",IF(COUNTIF('مواد المخزون'!$A$2:$A$90,$C3473)&gt;0,"نعم","لا (خارج الجرد)"))</f>
        <v/>
      </c>
    </row>
    <row r="3474" customFormat="false" ht="15" hidden="false" customHeight="false" outlineLevel="0" collapsed="false">
      <c r="A3474" s="103"/>
      <c r="B3474" s="104"/>
      <c r="C3474" s="104"/>
      <c r="F3474" s="107" t="str">
        <f aca="false">IF(OR($C3474="",$D3474=0),"",$E3474/$D3474)</f>
        <v/>
      </c>
      <c r="H3474" s="0" t="str">
        <f aca="false">IF($C3474="","",IF(COUNTIF('مواد المخزون'!$A$2:$A$90,$C3474)&gt;0,"نعم","لا (خارج الجرد)"))</f>
        <v/>
      </c>
    </row>
    <row r="3475" customFormat="false" ht="15" hidden="false" customHeight="false" outlineLevel="0" collapsed="false">
      <c r="A3475" s="103"/>
      <c r="B3475" s="104"/>
      <c r="C3475" s="104"/>
      <c r="F3475" s="107" t="str">
        <f aca="false">IF(OR($C3475="",$D3475=0),"",$E3475/$D3475)</f>
        <v/>
      </c>
      <c r="H3475" s="0" t="str">
        <f aca="false">IF($C3475="","",IF(COUNTIF('مواد المخزون'!$A$2:$A$90,$C3475)&gt;0,"نعم","لا (خارج الجرد)"))</f>
        <v/>
      </c>
    </row>
    <row r="3476" customFormat="false" ht="15" hidden="false" customHeight="false" outlineLevel="0" collapsed="false">
      <c r="A3476" s="103"/>
      <c r="B3476" s="104"/>
      <c r="C3476" s="104"/>
      <c r="F3476" s="107" t="str">
        <f aca="false">IF(OR($C3476="",$D3476=0),"",$E3476/$D3476)</f>
        <v/>
      </c>
      <c r="H3476" s="0" t="str">
        <f aca="false">IF($C3476="","",IF(COUNTIF('مواد المخزون'!$A$2:$A$90,$C3476)&gt;0,"نعم","لا (خارج الجرد)"))</f>
        <v/>
      </c>
    </row>
    <row r="3477" customFormat="false" ht="15" hidden="false" customHeight="false" outlineLevel="0" collapsed="false">
      <c r="A3477" s="103"/>
      <c r="B3477" s="104"/>
      <c r="C3477" s="104"/>
      <c r="F3477" s="107" t="str">
        <f aca="false">IF(OR($C3477="",$D3477=0),"",$E3477/$D3477)</f>
        <v/>
      </c>
      <c r="H3477" s="0" t="str">
        <f aca="false">IF($C3477="","",IF(COUNTIF('مواد المخزون'!$A$2:$A$90,$C3477)&gt;0,"نعم","لا (خارج الجرد)"))</f>
        <v/>
      </c>
    </row>
    <row r="3478" customFormat="false" ht="15" hidden="false" customHeight="false" outlineLevel="0" collapsed="false">
      <c r="A3478" s="103"/>
      <c r="B3478" s="104"/>
      <c r="C3478" s="104"/>
      <c r="F3478" s="107" t="str">
        <f aca="false">IF(OR($C3478="",$D3478=0),"",$E3478/$D3478)</f>
        <v/>
      </c>
      <c r="H3478" s="0" t="str">
        <f aca="false">IF($C3478="","",IF(COUNTIF('مواد المخزون'!$A$2:$A$90,$C3478)&gt;0,"نعم","لا (خارج الجرد)"))</f>
        <v/>
      </c>
    </row>
    <row r="3479" customFormat="false" ht="15" hidden="false" customHeight="false" outlineLevel="0" collapsed="false">
      <c r="A3479" s="103"/>
      <c r="B3479" s="104"/>
      <c r="C3479" s="104"/>
      <c r="F3479" s="107" t="str">
        <f aca="false">IF(OR($C3479="",$D3479=0),"",$E3479/$D3479)</f>
        <v/>
      </c>
      <c r="H3479" s="0" t="str">
        <f aca="false">IF($C3479="","",IF(COUNTIF('مواد المخزون'!$A$2:$A$90,$C3479)&gt;0,"نعم","لا (خارج الجرد)"))</f>
        <v/>
      </c>
    </row>
    <row r="3480" customFormat="false" ht="15" hidden="false" customHeight="false" outlineLevel="0" collapsed="false">
      <c r="A3480" s="103"/>
      <c r="B3480" s="104"/>
      <c r="C3480" s="104"/>
      <c r="F3480" s="107" t="str">
        <f aca="false">IF(OR($C3480="",$D3480=0),"",$E3480/$D3480)</f>
        <v/>
      </c>
      <c r="H3480" s="0" t="str">
        <f aca="false">IF($C3480="","",IF(COUNTIF('مواد المخزون'!$A$2:$A$90,$C3480)&gt;0,"نعم","لا (خارج الجرد)"))</f>
        <v/>
      </c>
    </row>
    <row r="3481" customFormat="false" ht="15" hidden="false" customHeight="false" outlineLevel="0" collapsed="false">
      <c r="A3481" s="103"/>
      <c r="B3481" s="104"/>
      <c r="C3481" s="104"/>
      <c r="F3481" s="107" t="str">
        <f aca="false">IF(OR($C3481="",$D3481=0),"",$E3481/$D3481)</f>
        <v/>
      </c>
      <c r="H3481" s="0" t="str">
        <f aca="false">IF($C3481="","",IF(COUNTIF('مواد المخزون'!$A$2:$A$90,$C3481)&gt;0,"نعم","لا (خارج الجرد)"))</f>
        <v/>
      </c>
    </row>
    <row r="3482" customFormat="false" ht="15" hidden="false" customHeight="false" outlineLevel="0" collapsed="false">
      <c r="A3482" s="103"/>
      <c r="B3482" s="104"/>
      <c r="C3482" s="104"/>
      <c r="F3482" s="107" t="str">
        <f aca="false">IF(OR($C3482="",$D3482=0),"",$E3482/$D3482)</f>
        <v/>
      </c>
      <c r="H3482" s="0" t="str">
        <f aca="false">IF($C3482="","",IF(COUNTIF('مواد المخزون'!$A$2:$A$90,$C3482)&gt;0,"نعم","لا (خارج الجرد)"))</f>
        <v/>
      </c>
    </row>
    <row r="3483" customFormat="false" ht="15" hidden="false" customHeight="false" outlineLevel="0" collapsed="false">
      <c r="A3483" s="103"/>
      <c r="B3483" s="104"/>
      <c r="C3483" s="104"/>
      <c r="F3483" s="107" t="str">
        <f aca="false">IF(OR($C3483="",$D3483=0),"",$E3483/$D3483)</f>
        <v/>
      </c>
      <c r="H3483" s="0" t="str">
        <f aca="false">IF($C3483="","",IF(COUNTIF('مواد المخزون'!$A$2:$A$90,$C3483)&gt;0,"نعم","لا (خارج الجرد)"))</f>
        <v/>
      </c>
    </row>
    <row r="3484" customFormat="false" ht="15" hidden="false" customHeight="false" outlineLevel="0" collapsed="false">
      <c r="A3484" s="103"/>
      <c r="B3484" s="104"/>
      <c r="C3484" s="104"/>
      <c r="F3484" s="107" t="str">
        <f aca="false">IF(OR($C3484="",$D3484=0),"",$E3484/$D3484)</f>
        <v/>
      </c>
      <c r="H3484" s="0" t="str">
        <f aca="false">IF($C3484="","",IF(COUNTIF('مواد المخزون'!$A$2:$A$90,$C3484)&gt;0,"نعم","لا (خارج الجرد)"))</f>
        <v/>
      </c>
    </row>
    <row r="3485" customFormat="false" ht="15" hidden="false" customHeight="false" outlineLevel="0" collapsed="false">
      <c r="A3485" s="103"/>
      <c r="B3485" s="104"/>
      <c r="C3485" s="104"/>
      <c r="F3485" s="107" t="str">
        <f aca="false">IF(OR($C3485="",$D3485=0),"",$E3485/$D3485)</f>
        <v/>
      </c>
      <c r="H3485" s="0" t="str">
        <f aca="false">IF($C3485="","",IF(COUNTIF('مواد المخزون'!$A$2:$A$90,$C3485)&gt;0,"نعم","لا (خارج الجرد)"))</f>
        <v/>
      </c>
    </row>
    <row r="3486" customFormat="false" ht="15" hidden="false" customHeight="false" outlineLevel="0" collapsed="false">
      <c r="A3486" s="103"/>
      <c r="B3486" s="104"/>
      <c r="C3486" s="104"/>
      <c r="F3486" s="107" t="str">
        <f aca="false">IF(OR($C3486="",$D3486=0),"",$E3486/$D3486)</f>
        <v/>
      </c>
      <c r="H3486" s="0" t="str">
        <f aca="false">IF($C3486="","",IF(COUNTIF('مواد المخزون'!$A$2:$A$90,$C3486)&gt;0,"نعم","لا (خارج الجرد)"))</f>
        <v/>
      </c>
    </row>
    <row r="3487" customFormat="false" ht="15" hidden="false" customHeight="false" outlineLevel="0" collapsed="false">
      <c r="A3487" s="103"/>
      <c r="B3487" s="104"/>
      <c r="C3487" s="104"/>
      <c r="F3487" s="107" t="str">
        <f aca="false">IF(OR($C3487="",$D3487=0),"",$E3487/$D3487)</f>
        <v/>
      </c>
      <c r="H3487" s="0" t="str">
        <f aca="false">IF($C3487="","",IF(COUNTIF('مواد المخزون'!$A$2:$A$90,$C3487)&gt;0,"نعم","لا (خارج الجرد)"))</f>
        <v/>
      </c>
    </row>
    <row r="3488" customFormat="false" ht="15" hidden="false" customHeight="false" outlineLevel="0" collapsed="false">
      <c r="A3488" s="103"/>
      <c r="B3488" s="104"/>
      <c r="C3488" s="104"/>
      <c r="F3488" s="107" t="str">
        <f aca="false">IF(OR($C3488="",$D3488=0),"",$E3488/$D3488)</f>
        <v/>
      </c>
      <c r="H3488" s="0" t="str">
        <f aca="false">IF($C3488="","",IF(COUNTIF('مواد المخزون'!$A$2:$A$90,$C3488)&gt;0,"نعم","لا (خارج الجرد)"))</f>
        <v/>
      </c>
    </row>
    <row r="3489" customFormat="false" ht="15" hidden="false" customHeight="false" outlineLevel="0" collapsed="false">
      <c r="A3489" s="103"/>
      <c r="B3489" s="104"/>
      <c r="C3489" s="104"/>
      <c r="F3489" s="107" t="str">
        <f aca="false">IF(OR($C3489="",$D3489=0),"",$E3489/$D3489)</f>
        <v/>
      </c>
      <c r="H3489" s="0" t="str">
        <f aca="false">IF($C3489="","",IF(COUNTIF('مواد المخزون'!$A$2:$A$90,$C3489)&gt;0,"نعم","لا (خارج الجرد)"))</f>
        <v/>
      </c>
    </row>
    <row r="3490" customFormat="false" ht="15" hidden="false" customHeight="false" outlineLevel="0" collapsed="false">
      <c r="A3490" s="103"/>
      <c r="B3490" s="104"/>
      <c r="C3490" s="104"/>
      <c r="F3490" s="107" t="str">
        <f aca="false">IF(OR($C3490="",$D3490=0),"",$E3490/$D3490)</f>
        <v/>
      </c>
      <c r="H3490" s="0" t="str">
        <f aca="false">IF($C3490="","",IF(COUNTIF('مواد المخزون'!$A$2:$A$90,$C3490)&gt;0,"نعم","لا (خارج الجرد)"))</f>
        <v/>
      </c>
    </row>
    <row r="3491" customFormat="false" ht="15" hidden="false" customHeight="false" outlineLevel="0" collapsed="false">
      <c r="A3491" s="103"/>
      <c r="B3491" s="104"/>
      <c r="C3491" s="104"/>
      <c r="F3491" s="107" t="str">
        <f aca="false">IF(OR($C3491="",$D3491=0),"",$E3491/$D3491)</f>
        <v/>
      </c>
      <c r="H3491" s="0" t="str">
        <f aca="false">IF($C3491="","",IF(COUNTIF('مواد المخزون'!$A$2:$A$90,$C3491)&gt;0,"نعم","لا (خارج الجرد)"))</f>
        <v/>
      </c>
    </row>
    <row r="3492" customFormat="false" ht="15" hidden="false" customHeight="false" outlineLevel="0" collapsed="false">
      <c r="A3492" s="103"/>
      <c r="B3492" s="104"/>
      <c r="C3492" s="104"/>
      <c r="F3492" s="107" t="str">
        <f aca="false">IF(OR($C3492="",$D3492=0),"",$E3492/$D3492)</f>
        <v/>
      </c>
      <c r="H3492" s="0" t="str">
        <f aca="false">IF($C3492="","",IF(COUNTIF('مواد المخزون'!$A$2:$A$90,$C3492)&gt;0,"نعم","لا (خارج الجرد)"))</f>
        <v/>
      </c>
    </row>
    <row r="3493" customFormat="false" ht="15" hidden="false" customHeight="false" outlineLevel="0" collapsed="false">
      <c r="A3493" s="103"/>
      <c r="B3493" s="104"/>
      <c r="C3493" s="104"/>
      <c r="F3493" s="107" t="str">
        <f aca="false">IF(OR($C3493="",$D3493=0),"",$E3493/$D3493)</f>
        <v/>
      </c>
      <c r="H3493" s="0" t="str">
        <f aca="false">IF($C3493="","",IF(COUNTIF('مواد المخزون'!$A$2:$A$90,$C3493)&gt;0,"نعم","لا (خارج الجرد)"))</f>
        <v/>
      </c>
    </row>
    <row r="3494" customFormat="false" ht="15" hidden="false" customHeight="false" outlineLevel="0" collapsed="false">
      <c r="A3494" s="103"/>
      <c r="B3494" s="104"/>
      <c r="C3494" s="104"/>
      <c r="F3494" s="107" t="str">
        <f aca="false">IF(OR($C3494="",$D3494=0),"",$E3494/$D3494)</f>
        <v/>
      </c>
      <c r="H3494" s="0" t="str">
        <f aca="false">IF($C3494="","",IF(COUNTIF('مواد المخزون'!$A$2:$A$90,$C3494)&gt;0,"نعم","لا (خارج الجرد)"))</f>
        <v/>
      </c>
    </row>
    <row r="3495" customFormat="false" ht="15" hidden="false" customHeight="false" outlineLevel="0" collapsed="false">
      <c r="A3495" s="103"/>
      <c r="B3495" s="104"/>
      <c r="C3495" s="104"/>
      <c r="F3495" s="107" t="str">
        <f aca="false">IF(OR($C3495="",$D3495=0),"",$E3495/$D3495)</f>
        <v/>
      </c>
      <c r="H3495" s="0" t="str">
        <f aca="false">IF($C3495="","",IF(COUNTIF('مواد المخزون'!$A$2:$A$90,$C3495)&gt;0,"نعم","لا (خارج الجرد)"))</f>
        <v/>
      </c>
    </row>
    <row r="3496" customFormat="false" ht="15" hidden="false" customHeight="false" outlineLevel="0" collapsed="false">
      <c r="A3496" s="103"/>
      <c r="B3496" s="104"/>
      <c r="C3496" s="104"/>
      <c r="F3496" s="107" t="str">
        <f aca="false">IF(OR($C3496="",$D3496=0),"",$E3496/$D3496)</f>
        <v/>
      </c>
      <c r="H3496" s="0" t="str">
        <f aca="false">IF($C3496="","",IF(COUNTIF('مواد المخزون'!$A$2:$A$90,$C3496)&gt;0,"نعم","لا (خارج الجرد)"))</f>
        <v/>
      </c>
    </row>
    <row r="3497" customFormat="false" ht="15" hidden="false" customHeight="false" outlineLevel="0" collapsed="false">
      <c r="A3497" s="103"/>
      <c r="B3497" s="104"/>
      <c r="C3497" s="104"/>
      <c r="F3497" s="107" t="str">
        <f aca="false">IF(OR($C3497="",$D3497=0),"",$E3497/$D3497)</f>
        <v/>
      </c>
      <c r="H3497" s="0" t="str">
        <f aca="false">IF($C3497="","",IF(COUNTIF('مواد المخزون'!$A$2:$A$90,$C3497)&gt;0,"نعم","لا (خارج الجرد)"))</f>
        <v/>
      </c>
    </row>
    <row r="3498" customFormat="false" ht="15" hidden="false" customHeight="false" outlineLevel="0" collapsed="false">
      <c r="A3498" s="103"/>
      <c r="B3498" s="104"/>
      <c r="C3498" s="104"/>
      <c r="F3498" s="107" t="str">
        <f aca="false">IF(OR($C3498="",$D3498=0),"",$E3498/$D3498)</f>
        <v/>
      </c>
      <c r="H3498" s="0" t="str">
        <f aca="false">IF($C3498="","",IF(COUNTIF('مواد المخزون'!$A$2:$A$90,$C3498)&gt;0,"نعم","لا (خارج الجرد)"))</f>
        <v/>
      </c>
    </row>
    <row r="3499" customFormat="false" ht="15" hidden="false" customHeight="false" outlineLevel="0" collapsed="false">
      <c r="A3499" s="103"/>
      <c r="B3499" s="104"/>
      <c r="C3499" s="104"/>
      <c r="F3499" s="107" t="str">
        <f aca="false">IF(OR($C3499="",$D3499=0),"",$E3499/$D3499)</f>
        <v/>
      </c>
      <c r="H3499" s="0" t="str">
        <f aca="false">IF($C3499="","",IF(COUNTIF('مواد المخزون'!$A$2:$A$90,$C3499)&gt;0,"نعم","لا (خارج الجرد)"))</f>
        <v/>
      </c>
    </row>
    <row r="3500" customFormat="false" ht="15" hidden="false" customHeight="false" outlineLevel="0" collapsed="false">
      <c r="A3500" s="103"/>
      <c r="B3500" s="104"/>
      <c r="C3500" s="104"/>
      <c r="F3500" s="107" t="str">
        <f aca="false">IF(OR($C3500="",$D3500=0),"",$E3500/$D3500)</f>
        <v/>
      </c>
      <c r="H3500" s="0" t="str">
        <f aca="false">IF($C3500="","",IF(COUNTIF('مواد المخزون'!$A$2:$A$90,$C3500)&gt;0,"نعم","لا (خارج الجرد)"))</f>
        <v/>
      </c>
    </row>
    <row r="3501" customFormat="false" ht="15" hidden="false" customHeight="false" outlineLevel="0" collapsed="false">
      <c r="A3501" s="103"/>
      <c r="B3501" s="104"/>
      <c r="C3501" s="104"/>
      <c r="F3501" s="107" t="str">
        <f aca="false">IF(OR($C3501="",$D3501=0),"",$E3501/$D3501)</f>
        <v/>
      </c>
      <c r="H3501" s="0" t="str">
        <f aca="false">IF($C3501="","",IF(COUNTIF('مواد المخزون'!$A$2:$A$90,$C3501)&gt;0,"نعم","لا (خارج الجرد)"))</f>
        <v/>
      </c>
    </row>
    <row r="3502" customFormat="false" ht="15" hidden="false" customHeight="false" outlineLevel="0" collapsed="false">
      <c r="A3502" s="103"/>
      <c r="B3502" s="104"/>
      <c r="C3502" s="104"/>
      <c r="F3502" s="107" t="str">
        <f aca="false">IF(OR($C3502="",$D3502=0),"",$E3502/$D3502)</f>
        <v/>
      </c>
      <c r="H3502" s="0" t="str">
        <f aca="false">IF($C3502="","",IF(COUNTIF('مواد المخزون'!$A$2:$A$90,$C3502)&gt;0,"نعم","لا (خارج الجرد)"))</f>
        <v/>
      </c>
    </row>
    <row r="3503" customFormat="false" ht="15" hidden="false" customHeight="false" outlineLevel="0" collapsed="false">
      <c r="A3503" s="103"/>
      <c r="B3503" s="104"/>
      <c r="C3503" s="104"/>
      <c r="F3503" s="107" t="str">
        <f aca="false">IF(OR($C3503="",$D3503=0),"",$E3503/$D3503)</f>
        <v/>
      </c>
      <c r="H3503" s="0" t="str">
        <f aca="false">IF($C3503="","",IF(COUNTIF('مواد المخزون'!$A$2:$A$90,$C3503)&gt;0,"نعم","لا (خارج الجرد)"))</f>
        <v/>
      </c>
    </row>
    <row r="3504" customFormat="false" ht="15" hidden="false" customHeight="false" outlineLevel="0" collapsed="false">
      <c r="A3504" s="103"/>
      <c r="B3504" s="104"/>
      <c r="C3504" s="104"/>
      <c r="F3504" s="107" t="str">
        <f aca="false">IF(OR($C3504="",$D3504=0),"",$E3504/$D3504)</f>
        <v/>
      </c>
      <c r="H3504" s="0" t="str">
        <f aca="false">IF($C3504="","",IF(COUNTIF('مواد المخزون'!$A$2:$A$90,$C3504)&gt;0,"نعم","لا (خارج الجرد)"))</f>
        <v/>
      </c>
    </row>
    <row r="3505" customFormat="false" ht="15" hidden="false" customHeight="false" outlineLevel="0" collapsed="false">
      <c r="A3505" s="103"/>
      <c r="B3505" s="104"/>
      <c r="C3505" s="104"/>
      <c r="F3505" s="107" t="str">
        <f aca="false">IF(OR($C3505="",$D3505=0),"",$E3505/$D3505)</f>
        <v/>
      </c>
      <c r="H3505" s="0" t="str">
        <f aca="false">IF($C3505="","",IF(COUNTIF('مواد المخزون'!$A$2:$A$90,$C3505)&gt;0,"نعم","لا (خارج الجرد)"))</f>
        <v/>
      </c>
    </row>
    <row r="3506" customFormat="false" ht="15" hidden="false" customHeight="false" outlineLevel="0" collapsed="false">
      <c r="A3506" s="103"/>
      <c r="B3506" s="104"/>
      <c r="C3506" s="104"/>
      <c r="F3506" s="107" t="str">
        <f aca="false">IF(OR($C3506="",$D3506=0),"",$E3506/$D3506)</f>
        <v/>
      </c>
      <c r="H3506" s="0" t="str">
        <f aca="false">IF($C3506="","",IF(COUNTIF('مواد المخزون'!$A$2:$A$90,$C3506)&gt;0,"نعم","لا (خارج الجرد)"))</f>
        <v/>
      </c>
    </row>
    <row r="3507" customFormat="false" ht="15" hidden="false" customHeight="false" outlineLevel="0" collapsed="false">
      <c r="A3507" s="103"/>
      <c r="B3507" s="104"/>
      <c r="C3507" s="104"/>
      <c r="F3507" s="107" t="str">
        <f aca="false">IF(OR($C3507="",$D3507=0),"",$E3507/$D3507)</f>
        <v/>
      </c>
      <c r="H3507" s="0" t="str">
        <f aca="false">IF($C3507="","",IF(COUNTIF('مواد المخزون'!$A$2:$A$90,$C3507)&gt;0,"نعم","لا (خارج الجرد)"))</f>
        <v/>
      </c>
    </row>
    <row r="3508" customFormat="false" ht="15" hidden="false" customHeight="false" outlineLevel="0" collapsed="false">
      <c r="A3508" s="103"/>
      <c r="B3508" s="104"/>
      <c r="C3508" s="104"/>
      <c r="F3508" s="107" t="str">
        <f aca="false">IF(OR($C3508="",$D3508=0),"",$E3508/$D3508)</f>
        <v/>
      </c>
      <c r="H3508" s="0" t="str">
        <f aca="false">IF($C3508="","",IF(COUNTIF('مواد المخزون'!$A$2:$A$90,$C3508)&gt;0,"نعم","لا (خارج الجرد)"))</f>
        <v/>
      </c>
    </row>
    <row r="3509" customFormat="false" ht="15" hidden="false" customHeight="false" outlineLevel="0" collapsed="false">
      <c r="A3509" s="103"/>
      <c r="B3509" s="104"/>
      <c r="C3509" s="104"/>
      <c r="F3509" s="107" t="str">
        <f aca="false">IF(OR($C3509="",$D3509=0),"",$E3509/$D3509)</f>
        <v/>
      </c>
      <c r="H3509" s="0" t="str">
        <f aca="false">IF($C3509="","",IF(COUNTIF('مواد المخزون'!$A$2:$A$90,$C3509)&gt;0,"نعم","لا (خارج الجرد)"))</f>
        <v/>
      </c>
    </row>
    <row r="3510" customFormat="false" ht="15" hidden="false" customHeight="false" outlineLevel="0" collapsed="false">
      <c r="A3510" s="103"/>
      <c r="B3510" s="104"/>
      <c r="C3510" s="104"/>
      <c r="F3510" s="107" t="str">
        <f aca="false">IF(OR($C3510="",$D3510=0),"",$E3510/$D3510)</f>
        <v/>
      </c>
      <c r="H3510" s="0" t="str">
        <f aca="false">IF($C3510="","",IF(COUNTIF('مواد المخزون'!$A$2:$A$90,$C3510)&gt;0,"نعم","لا (خارج الجرد)"))</f>
        <v/>
      </c>
    </row>
    <row r="3511" customFormat="false" ht="15" hidden="false" customHeight="false" outlineLevel="0" collapsed="false">
      <c r="A3511" s="103"/>
      <c r="B3511" s="104"/>
      <c r="C3511" s="104"/>
      <c r="F3511" s="107" t="str">
        <f aca="false">IF(OR($C3511="",$D3511=0),"",$E3511/$D3511)</f>
        <v/>
      </c>
      <c r="H3511" s="0" t="str">
        <f aca="false">IF($C3511="","",IF(COUNTIF('مواد المخزون'!$A$2:$A$90,$C3511)&gt;0,"نعم","لا (خارج الجرد)"))</f>
        <v/>
      </c>
    </row>
    <row r="3512" customFormat="false" ht="15" hidden="false" customHeight="false" outlineLevel="0" collapsed="false">
      <c r="A3512" s="103"/>
      <c r="B3512" s="104"/>
      <c r="C3512" s="104"/>
      <c r="F3512" s="107" t="str">
        <f aca="false">IF(OR($C3512="",$D3512=0),"",$E3512/$D3512)</f>
        <v/>
      </c>
      <c r="H3512" s="0" t="str">
        <f aca="false">IF($C3512="","",IF(COUNTIF('مواد المخزون'!$A$2:$A$90,$C3512)&gt;0,"نعم","لا (خارج الجرد)"))</f>
        <v/>
      </c>
    </row>
    <row r="3513" customFormat="false" ht="15" hidden="false" customHeight="false" outlineLevel="0" collapsed="false">
      <c r="A3513" s="103"/>
      <c r="B3513" s="104"/>
      <c r="C3513" s="104"/>
      <c r="F3513" s="107" t="str">
        <f aca="false">IF(OR($C3513="",$D3513=0),"",$E3513/$D3513)</f>
        <v/>
      </c>
      <c r="H3513" s="0" t="str">
        <f aca="false">IF($C3513="","",IF(COUNTIF('مواد المخزون'!$A$2:$A$90,$C3513)&gt;0,"نعم","لا (خارج الجرد)"))</f>
        <v/>
      </c>
    </row>
    <row r="3514" customFormat="false" ht="15" hidden="false" customHeight="false" outlineLevel="0" collapsed="false">
      <c r="A3514" s="103"/>
      <c r="B3514" s="104"/>
      <c r="C3514" s="104"/>
      <c r="F3514" s="107" t="str">
        <f aca="false">IF(OR($C3514="",$D3514=0),"",$E3514/$D3514)</f>
        <v/>
      </c>
      <c r="H3514" s="0" t="str">
        <f aca="false">IF($C3514="","",IF(COUNTIF('مواد المخزون'!$A$2:$A$90,$C3514)&gt;0,"نعم","لا (خارج الجرد)"))</f>
        <v/>
      </c>
    </row>
    <row r="3515" customFormat="false" ht="15" hidden="false" customHeight="false" outlineLevel="0" collapsed="false">
      <c r="A3515" s="103"/>
      <c r="B3515" s="104"/>
      <c r="C3515" s="104"/>
      <c r="F3515" s="107" t="str">
        <f aca="false">IF(OR($C3515="",$D3515=0),"",$E3515/$D3515)</f>
        <v/>
      </c>
      <c r="H3515" s="0" t="str">
        <f aca="false">IF($C3515="","",IF(COUNTIF('مواد المخزون'!$A$2:$A$90,$C3515)&gt;0,"نعم","لا (خارج الجرد)"))</f>
        <v/>
      </c>
    </row>
    <row r="3516" customFormat="false" ht="15" hidden="false" customHeight="false" outlineLevel="0" collapsed="false">
      <c r="A3516" s="103"/>
      <c r="B3516" s="104"/>
      <c r="C3516" s="104"/>
      <c r="F3516" s="107" t="str">
        <f aca="false">IF(OR($C3516="",$D3516=0),"",$E3516/$D3516)</f>
        <v/>
      </c>
      <c r="H3516" s="0" t="str">
        <f aca="false">IF($C3516="","",IF(COUNTIF('مواد المخزون'!$A$2:$A$90,$C3516)&gt;0,"نعم","لا (خارج الجرد)"))</f>
        <v/>
      </c>
    </row>
    <row r="3517" customFormat="false" ht="15" hidden="false" customHeight="false" outlineLevel="0" collapsed="false">
      <c r="A3517" s="103"/>
      <c r="B3517" s="104"/>
      <c r="C3517" s="104"/>
      <c r="F3517" s="107" t="str">
        <f aca="false">IF(OR($C3517="",$D3517=0),"",$E3517/$D3517)</f>
        <v/>
      </c>
      <c r="H3517" s="0" t="str">
        <f aca="false">IF($C3517="","",IF(COUNTIF('مواد المخزون'!$A$2:$A$90,$C3517)&gt;0,"نعم","لا (خارج الجرد)"))</f>
        <v/>
      </c>
    </row>
    <row r="3518" customFormat="false" ht="15" hidden="false" customHeight="false" outlineLevel="0" collapsed="false">
      <c r="A3518" s="103"/>
      <c r="B3518" s="104"/>
      <c r="C3518" s="104"/>
      <c r="F3518" s="107" t="str">
        <f aca="false">IF(OR($C3518="",$D3518=0),"",$E3518/$D3518)</f>
        <v/>
      </c>
      <c r="H3518" s="0" t="str">
        <f aca="false">IF($C3518="","",IF(COUNTIF('مواد المخزون'!$A$2:$A$90,$C3518)&gt;0,"نعم","لا (خارج الجرد)"))</f>
        <v/>
      </c>
    </row>
    <row r="3519" customFormat="false" ht="15" hidden="false" customHeight="false" outlineLevel="0" collapsed="false">
      <c r="A3519" s="103"/>
      <c r="B3519" s="104"/>
      <c r="C3519" s="104"/>
      <c r="F3519" s="107" t="str">
        <f aca="false">IF(OR($C3519="",$D3519=0),"",$E3519/$D3519)</f>
        <v/>
      </c>
      <c r="H3519" s="0" t="str">
        <f aca="false">IF($C3519="","",IF(COUNTIF('مواد المخزون'!$A$2:$A$90,$C3519)&gt;0,"نعم","لا (خارج الجرد)"))</f>
        <v/>
      </c>
    </row>
    <row r="3520" customFormat="false" ht="15" hidden="false" customHeight="false" outlineLevel="0" collapsed="false">
      <c r="A3520" s="103"/>
      <c r="B3520" s="104"/>
      <c r="C3520" s="104"/>
      <c r="F3520" s="107" t="str">
        <f aca="false">IF(OR($C3520="",$D3520=0),"",$E3520/$D3520)</f>
        <v/>
      </c>
      <c r="H3520" s="0" t="str">
        <f aca="false">IF($C3520="","",IF(COUNTIF('مواد المخزون'!$A$2:$A$90,$C3520)&gt;0,"نعم","لا (خارج الجرد)"))</f>
        <v/>
      </c>
    </row>
    <row r="3521" customFormat="false" ht="15" hidden="false" customHeight="false" outlineLevel="0" collapsed="false">
      <c r="A3521" s="103"/>
      <c r="B3521" s="104"/>
      <c r="C3521" s="104"/>
      <c r="F3521" s="107" t="str">
        <f aca="false">IF(OR($C3521="",$D3521=0),"",$E3521/$D3521)</f>
        <v/>
      </c>
      <c r="H3521" s="0" t="str">
        <f aca="false">IF($C3521="","",IF(COUNTIF('مواد المخزون'!$A$2:$A$90,$C3521)&gt;0,"نعم","لا (خارج الجرد)"))</f>
        <v/>
      </c>
    </row>
    <row r="3522" customFormat="false" ht="15" hidden="false" customHeight="false" outlineLevel="0" collapsed="false">
      <c r="A3522" s="103"/>
      <c r="B3522" s="104"/>
      <c r="C3522" s="104"/>
      <c r="F3522" s="107" t="str">
        <f aca="false">IF(OR($C3522="",$D3522=0),"",$E3522/$D3522)</f>
        <v/>
      </c>
      <c r="H3522" s="0" t="str">
        <f aca="false">IF($C3522="","",IF(COUNTIF('مواد المخزون'!$A$2:$A$90,$C3522)&gt;0,"نعم","لا (خارج الجرد)"))</f>
        <v/>
      </c>
    </row>
    <row r="3523" customFormat="false" ht="15" hidden="false" customHeight="false" outlineLevel="0" collapsed="false">
      <c r="A3523" s="103"/>
      <c r="B3523" s="104"/>
      <c r="C3523" s="104"/>
      <c r="F3523" s="107" t="str">
        <f aca="false">IF(OR($C3523="",$D3523=0),"",$E3523/$D3523)</f>
        <v/>
      </c>
      <c r="H3523" s="0" t="str">
        <f aca="false">IF($C3523="","",IF(COUNTIF('مواد المخزون'!$A$2:$A$90,$C3523)&gt;0,"نعم","لا (خارج الجرد)"))</f>
        <v/>
      </c>
    </row>
    <row r="3524" customFormat="false" ht="15" hidden="false" customHeight="false" outlineLevel="0" collapsed="false">
      <c r="A3524" s="103"/>
      <c r="B3524" s="104"/>
      <c r="C3524" s="104"/>
      <c r="F3524" s="107" t="str">
        <f aca="false">IF(OR($C3524="",$D3524=0),"",$E3524/$D3524)</f>
        <v/>
      </c>
      <c r="H3524" s="0" t="str">
        <f aca="false">IF($C3524="","",IF(COUNTIF('مواد المخزون'!$A$2:$A$90,$C3524)&gt;0,"نعم","لا (خارج الجرد)"))</f>
        <v/>
      </c>
    </row>
    <row r="3525" customFormat="false" ht="15" hidden="false" customHeight="false" outlineLevel="0" collapsed="false">
      <c r="A3525" s="103"/>
      <c r="B3525" s="104"/>
      <c r="C3525" s="104"/>
      <c r="F3525" s="107" t="str">
        <f aca="false">IF(OR($C3525="",$D3525=0),"",$E3525/$D3525)</f>
        <v/>
      </c>
      <c r="H3525" s="0" t="str">
        <f aca="false">IF($C3525="","",IF(COUNTIF('مواد المخزون'!$A$2:$A$90,$C3525)&gt;0,"نعم","لا (خارج الجرد)"))</f>
        <v/>
      </c>
    </row>
    <row r="3526" customFormat="false" ht="15" hidden="false" customHeight="false" outlineLevel="0" collapsed="false">
      <c r="A3526" s="103"/>
      <c r="B3526" s="104"/>
      <c r="C3526" s="104"/>
      <c r="F3526" s="107" t="str">
        <f aca="false">IF(OR($C3526="",$D3526=0),"",$E3526/$D3526)</f>
        <v/>
      </c>
      <c r="H3526" s="0" t="str">
        <f aca="false">IF($C3526="","",IF(COUNTIF('مواد المخزون'!$A$2:$A$90,$C3526)&gt;0,"نعم","لا (خارج الجرد)"))</f>
        <v/>
      </c>
    </row>
    <row r="3527" customFormat="false" ht="15" hidden="false" customHeight="false" outlineLevel="0" collapsed="false">
      <c r="A3527" s="103"/>
      <c r="B3527" s="104"/>
      <c r="C3527" s="104"/>
      <c r="F3527" s="107" t="str">
        <f aca="false">IF(OR($C3527="",$D3527=0),"",$E3527/$D3527)</f>
        <v/>
      </c>
      <c r="H3527" s="0" t="str">
        <f aca="false">IF($C3527="","",IF(COUNTIF('مواد المخزون'!$A$2:$A$90,$C3527)&gt;0,"نعم","لا (خارج الجرد)"))</f>
        <v/>
      </c>
    </row>
    <row r="3528" customFormat="false" ht="15" hidden="false" customHeight="false" outlineLevel="0" collapsed="false">
      <c r="A3528" s="103"/>
      <c r="B3528" s="104"/>
      <c r="C3528" s="104"/>
      <c r="F3528" s="107" t="str">
        <f aca="false">IF(OR($C3528="",$D3528=0),"",$E3528/$D3528)</f>
        <v/>
      </c>
      <c r="H3528" s="0" t="str">
        <f aca="false">IF($C3528="","",IF(COUNTIF('مواد المخزون'!$A$2:$A$90,$C3528)&gt;0,"نعم","لا (خارج الجرد)"))</f>
        <v/>
      </c>
    </row>
    <row r="3529" customFormat="false" ht="15" hidden="false" customHeight="false" outlineLevel="0" collapsed="false">
      <c r="A3529" s="103"/>
      <c r="B3529" s="104"/>
      <c r="C3529" s="104"/>
      <c r="F3529" s="107" t="str">
        <f aca="false">IF(OR($C3529="",$D3529=0),"",$E3529/$D3529)</f>
        <v/>
      </c>
      <c r="H3529" s="0" t="str">
        <f aca="false">IF($C3529="","",IF(COUNTIF('مواد المخزون'!$A$2:$A$90,$C3529)&gt;0,"نعم","لا (خارج الجرد)"))</f>
        <v/>
      </c>
    </row>
    <row r="3530" customFormat="false" ht="15" hidden="false" customHeight="false" outlineLevel="0" collapsed="false">
      <c r="A3530" s="103"/>
      <c r="B3530" s="104"/>
      <c r="C3530" s="104"/>
      <c r="F3530" s="107" t="str">
        <f aca="false">IF(OR($C3530="",$D3530=0),"",$E3530/$D3530)</f>
        <v/>
      </c>
      <c r="H3530" s="0" t="str">
        <f aca="false">IF($C3530="","",IF(COUNTIF('مواد المخزون'!$A$2:$A$90,$C3530)&gt;0,"نعم","لا (خارج الجرد)"))</f>
        <v/>
      </c>
    </row>
    <row r="3531" customFormat="false" ht="15" hidden="false" customHeight="false" outlineLevel="0" collapsed="false">
      <c r="A3531" s="103"/>
      <c r="B3531" s="104"/>
      <c r="C3531" s="104"/>
      <c r="F3531" s="107" t="str">
        <f aca="false">IF(OR($C3531="",$D3531=0),"",$E3531/$D3531)</f>
        <v/>
      </c>
      <c r="H3531" s="0" t="str">
        <f aca="false">IF($C3531="","",IF(COUNTIF('مواد المخزون'!$A$2:$A$90,$C3531)&gt;0,"نعم","لا (خارج الجرد)"))</f>
        <v/>
      </c>
    </row>
    <row r="3532" customFormat="false" ht="15" hidden="false" customHeight="false" outlineLevel="0" collapsed="false">
      <c r="A3532" s="103"/>
      <c r="B3532" s="104"/>
      <c r="C3532" s="104"/>
      <c r="F3532" s="107" t="str">
        <f aca="false">IF(OR($C3532="",$D3532=0),"",$E3532/$D3532)</f>
        <v/>
      </c>
      <c r="H3532" s="0" t="str">
        <f aca="false">IF($C3532="","",IF(COUNTIF('مواد المخزون'!$A$2:$A$90,$C3532)&gt;0,"نعم","لا (خارج الجرد)"))</f>
        <v/>
      </c>
    </row>
    <row r="3533" customFormat="false" ht="15" hidden="false" customHeight="false" outlineLevel="0" collapsed="false">
      <c r="A3533" s="103"/>
      <c r="B3533" s="104"/>
      <c r="C3533" s="104"/>
      <c r="F3533" s="107" t="str">
        <f aca="false">IF(OR($C3533="",$D3533=0),"",$E3533/$D3533)</f>
        <v/>
      </c>
      <c r="H3533" s="0" t="str">
        <f aca="false">IF($C3533="","",IF(COUNTIF('مواد المخزون'!$A$2:$A$90,$C3533)&gt;0,"نعم","لا (خارج الجرد)"))</f>
        <v/>
      </c>
    </row>
    <row r="3534" customFormat="false" ht="15" hidden="false" customHeight="false" outlineLevel="0" collapsed="false">
      <c r="A3534" s="103"/>
      <c r="B3534" s="104"/>
      <c r="C3534" s="104"/>
      <c r="F3534" s="107" t="str">
        <f aca="false">IF(OR($C3534="",$D3534=0),"",$E3534/$D3534)</f>
        <v/>
      </c>
      <c r="H3534" s="0" t="str">
        <f aca="false">IF($C3534="","",IF(COUNTIF('مواد المخزون'!$A$2:$A$90,$C3534)&gt;0,"نعم","لا (خارج الجرد)"))</f>
        <v/>
      </c>
    </row>
    <row r="3535" customFormat="false" ht="15" hidden="false" customHeight="false" outlineLevel="0" collapsed="false">
      <c r="A3535" s="103"/>
      <c r="B3535" s="104"/>
      <c r="C3535" s="104"/>
      <c r="F3535" s="107" t="str">
        <f aca="false">IF(OR($C3535="",$D3535=0),"",$E3535/$D3535)</f>
        <v/>
      </c>
      <c r="H3535" s="0" t="str">
        <f aca="false">IF($C3535="","",IF(COUNTIF('مواد المخزون'!$A$2:$A$90,$C3535)&gt;0,"نعم","لا (خارج الجرد)"))</f>
        <v/>
      </c>
    </row>
    <row r="3536" customFormat="false" ht="15" hidden="false" customHeight="false" outlineLevel="0" collapsed="false">
      <c r="A3536" s="103"/>
      <c r="B3536" s="104"/>
      <c r="C3536" s="104"/>
      <c r="F3536" s="107" t="str">
        <f aca="false">IF(OR($C3536="",$D3536=0),"",$E3536/$D3536)</f>
        <v/>
      </c>
      <c r="H3536" s="0" t="str">
        <f aca="false">IF($C3536="","",IF(COUNTIF('مواد المخزون'!$A$2:$A$90,$C3536)&gt;0,"نعم","لا (خارج الجرد)"))</f>
        <v/>
      </c>
    </row>
    <row r="3537" customFormat="false" ht="15" hidden="false" customHeight="false" outlineLevel="0" collapsed="false">
      <c r="A3537" s="103"/>
      <c r="B3537" s="104"/>
      <c r="C3537" s="104"/>
      <c r="F3537" s="107" t="str">
        <f aca="false">IF(OR($C3537="",$D3537=0),"",$E3537/$D3537)</f>
        <v/>
      </c>
      <c r="H3537" s="0" t="str">
        <f aca="false">IF($C3537="","",IF(COUNTIF('مواد المخزون'!$A$2:$A$90,$C3537)&gt;0,"نعم","لا (خارج الجرد)"))</f>
        <v/>
      </c>
    </row>
    <row r="3538" customFormat="false" ht="15" hidden="false" customHeight="false" outlineLevel="0" collapsed="false">
      <c r="A3538" s="103"/>
      <c r="B3538" s="104"/>
      <c r="C3538" s="104"/>
      <c r="F3538" s="107" t="str">
        <f aca="false">IF(OR($C3538="",$D3538=0),"",$E3538/$D3538)</f>
        <v/>
      </c>
      <c r="H3538" s="0" t="str">
        <f aca="false">IF($C3538="","",IF(COUNTIF('مواد المخزون'!$A$2:$A$90,$C3538)&gt;0,"نعم","لا (خارج الجرد)"))</f>
        <v/>
      </c>
    </row>
    <row r="3539" customFormat="false" ht="15" hidden="false" customHeight="false" outlineLevel="0" collapsed="false">
      <c r="A3539" s="103"/>
      <c r="B3539" s="104"/>
      <c r="C3539" s="104"/>
      <c r="F3539" s="107" t="str">
        <f aca="false">IF(OR($C3539="",$D3539=0),"",$E3539/$D3539)</f>
        <v/>
      </c>
      <c r="H3539" s="0" t="str">
        <f aca="false">IF($C3539="","",IF(COUNTIF('مواد المخزون'!$A$2:$A$90,$C3539)&gt;0,"نعم","لا (خارج الجرد)"))</f>
        <v/>
      </c>
    </row>
    <row r="3540" customFormat="false" ht="15" hidden="false" customHeight="false" outlineLevel="0" collapsed="false">
      <c r="A3540" s="103"/>
      <c r="B3540" s="104"/>
      <c r="C3540" s="104"/>
      <c r="F3540" s="107" t="str">
        <f aca="false">IF(OR($C3540="",$D3540=0),"",$E3540/$D3540)</f>
        <v/>
      </c>
      <c r="H3540" s="0" t="str">
        <f aca="false">IF($C3540="","",IF(COUNTIF('مواد المخزون'!$A$2:$A$90,$C3540)&gt;0,"نعم","لا (خارج الجرد)"))</f>
        <v/>
      </c>
    </row>
    <row r="3541" customFormat="false" ht="15" hidden="false" customHeight="false" outlineLevel="0" collapsed="false">
      <c r="A3541" s="103"/>
      <c r="B3541" s="104"/>
      <c r="C3541" s="104"/>
      <c r="F3541" s="107" t="str">
        <f aca="false">IF(OR($C3541="",$D3541=0),"",$E3541/$D3541)</f>
        <v/>
      </c>
      <c r="H3541" s="0" t="str">
        <f aca="false">IF($C3541="","",IF(COUNTIF('مواد المخزون'!$A$2:$A$90,$C3541)&gt;0,"نعم","لا (خارج الجرد)"))</f>
        <v/>
      </c>
    </row>
    <row r="3542" customFormat="false" ht="15" hidden="false" customHeight="false" outlineLevel="0" collapsed="false">
      <c r="A3542" s="103"/>
      <c r="B3542" s="104"/>
      <c r="C3542" s="104"/>
      <c r="F3542" s="107" t="str">
        <f aca="false">IF(OR($C3542="",$D3542=0),"",$E3542/$D3542)</f>
        <v/>
      </c>
      <c r="H3542" s="0" t="str">
        <f aca="false">IF($C3542="","",IF(COUNTIF('مواد المخزون'!$A$2:$A$90,$C3542)&gt;0,"نعم","لا (خارج الجرد)"))</f>
        <v/>
      </c>
    </row>
    <row r="3543" customFormat="false" ht="15" hidden="false" customHeight="false" outlineLevel="0" collapsed="false">
      <c r="A3543" s="103"/>
      <c r="B3543" s="104"/>
      <c r="C3543" s="104"/>
      <c r="F3543" s="107" t="str">
        <f aca="false">IF(OR($C3543="",$D3543=0),"",$E3543/$D3543)</f>
        <v/>
      </c>
      <c r="H3543" s="0" t="str">
        <f aca="false">IF($C3543="","",IF(COUNTIF('مواد المخزون'!$A$2:$A$90,$C3543)&gt;0,"نعم","لا (خارج الجرد)"))</f>
        <v/>
      </c>
    </row>
    <row r="3544" customFormat="false" ht="15" hidden="false" customHeight="false" outlineLevel="0" collapsed="false">
      <c r="A3544" s="103"/>
      <c r="B3544" s="104"/>
      <c r="C3544" s="104"/>
      <c r="F3544" s="107" t="str">
        <f aca="false">IF(OR($C3544="",$D3544=0),"",$E3544/$D3544)</f>
        <v/>
      </c>
      <c r="H3544" s="0" t="str">
        <f aca="false">IF($C3544="","",IF(COUNTIF('مواد المخزون'!$A$2:$A$90,$C3544)&gt;0,"نعم","لا (خارج الجرد)"))</f>
        <v/>
      </c>
    </row>
    <row r="3545" customFormat="false" ht="15" hidden="false" customHeight="false" outlineLevel="0" collapsed="false">
      <c r="A3545" s="103"/>
      <c r="B3545" s="104"/>
      <c r="C3545" s="104"/>
      <c r="F3545" s="107" t="str">
        <f aca="false">IF(OR($C3545="",$D3545=0),"",$E3545/$D3545)</f>
        <v/>
      </c>
      <c r="H3545" s="0" t="str">
        <f aca="false">IF($C3545="","",IF(COUNTIF('مواد المخزون'!$A$2:$A$90,$C3545)&gt;0,"نعم","لا (خارج الجرد)"))</f>
        <v/>
      </c>
    </row>
    <row r="3546" customFormat="false" ht="15" hidden="false" customHeight="false" outlineLevel="0" collapsed="false">
      <c r="A3546" s="103"/>
      <c r="B3546" s="104"/>
      <c r="C3546" s="104"/>
      <c r="F3546" s="107" t="str">
        <f aca="false">IF(OR($C3546="",$D3546=0),"",$E3546/$D3546)</f>
        <v/>
      </c>
      <c r="H3546" s="0" t="str">
        <f aca="false">IF($C3546="","",IF(COUNTIF('مواد المخزون'!$A$2:$A$90,$C3546)&gt;0,"نعم","لا (خارج الجرد)"))</f>
        <v/>
      </c>
    </row>
    <row r="3547" customFormat="false" ht="15" hidden="false" customHeight="false" outlineLevel="0" collapsed="false">
      <c r="A3547" s="103"/>
      <c r="B3547" s="104"/>
      <c r="C3547" s="104"/>
      <c r="F3547" s="107" t="str">
        <f aca="false">IF(OR($C3547="",$D3547=0),"",$E3547/$D3547)</f>
        <v/>
      </c>
      <c r="H3547" s="0" t="str">
        <f aca="false">IF($C3547="","",IF(COUNTIF('مواد المخزون'!$A$2:$A$90,$C3547)&gt;0,"نعم","لا (خارج الجرد)"))</f>
        <v/>
      </c>
    </row>
    <row r="3548" customFormat="false" ht="15" hidden="false" customHeight="false" outlineLevel="0" collapsed="false">
      <c r="A3548" s="103"/>
      <c r="B3548" s="104"/>
      <c r="C3548" s="104"/>
      <c r="F3548" s="107" t="str">
        <f aca="false">IF(OR($C3548="",$D3548=0),"",$E3548/$D3548)</f>
        <v/>
      </c>
      <c r="H3548" s="0" t="str">
        <f aca="false">IF($C3548="","",IF(COUNTIF('مواد المخزون'!$A$2:$A$90,$C3548)&gt;0,"نعم","لا (خارج الجرد)"))</f>
        <v/>
      </c>
    </row>
    <row r="3549" customFormat="false" ht="15" hidden="false" customHeight="false" outlineLevel="0" collapsed="false">
      <c r="A3549" s="103"/>
      <c r="B3549" s="104"/>
      <c r="C3549" s="104"/>
      <c r="F3549" s="107" t="str">
        <f aca="false">IF(OR($C3549="",$D3549=0),"",$E3549/$D3549)</f>
        <v/>
      </c>
      <c r="H3549" s="0" t="str">
        <f aca="false">IF($C3549="","",IF(COUNTIF('مواد المخزون'!$A$2:$A$90,$C3549)&gt;0,"نعم","لا (خارج الجرد)"))</f>
        <v/>
      </c>
    </row>
    <row r="3550" customFormat="false" ht="15" hidden="false" customHeight="false" outlineLevel="0" collapsed="false">
      <c r="A3550" s="103"/>
      <c r="B3550" s="104"/>
      <c r="C3550" s="104"/>
      <c r="F3550" s="107" t="str">
        <f aca="false">IF(OR($C3550="",$D3550=0),"",$E3550/$D3550)</f>
        <v/>
      </c>
      <c r="H3550" s="0" t="str">
        <f aca="false">IF($C3550="","",IF(COUNTIF('مواد المخزون'!$A$2:$A$90,$C3550)&gt;0,"نعم","لا (خارج الجرد)"))</f>
        <v/>
      </c>
    </row>
    <row r="3551" customFormat="false" ht="15" hidden="false" customHeight="false" outlineLevel="0" collapsed="false">
      <c r="A3551" s="103"/>
      <c r="B3551" s="104"/>
      <c r="C3551" s="104"/>
      <c r="F3551" s="107" t="str">
        <f aca="false">IF(OR($C3551="",$D3551=0),"",$E3551/$D3551)</f>
        <v/>
      </c>
      <c r="H3551" s="0" t="str">
        <f aca="false">IF($C3551="","",IF(COUNTIF('مواد المخزون'!$A$2:$A$90,$C3551)&gt;0,"نعم","لا (خارج الجرد)"))</f>
        <v/>
      </c>
    </row>
    <row r="3552" customFormat="false" ht="15" hidden="false" customHeight="false" outlineLevel="0" collapsed="false">
      <c r="A3552" s="103"/>
      <c r="B3552" s="104"/>
      <c r="C3552" s="104"/>
      <c r="F3552" s="107" t="str">
        <f aca="false">IF(OR($C3552="",$D3552=0),"",$E3552/$D3552)</f>
        <v/>
      </c>
      <c r="H3552" s="0" t="str">
        <f aca="false">IF($C3552="","",IF(COUNTIF('مواد المخزون'!$A$2:$A$90,$C3552)&gt;0,"نعم","لا (خارج الجرد)"))</f>
        <v/>
      </c>
    </row>
    <row r="3553" customFormat="false" ht="15" hidden="false" customHeight="false" outlineLevel="0" collapsed="false">
      <c r="A3553" s="103"/>
      <c r="B3553" s="104"/>
      <c r="C3553" s="104"/>
      <c r="F3553" s="107" t="str">
        <f aca="false">IF(OR($C3553="",$D3553=0),"",$E3553/$D3553)</f>
        <v/>
      </c>
      <c r="H3553" s="0" t="str">
        <f aca="false">IF($C3553="","",IF(COUNTIF('مواد المخزون'!$A$2:$A$90,$C3553)&gt;0,"نعم","لا (خارج الجرد)"))</f>
        <v/>
      </c>
    </row>
    <row r="3554" customFormat="false" ht="15" hidden="false" customHeight="false" outlineLevel="0" collapsed="false">
      <c r="A3554" s="103"/>
      <c r="B3554" s="104"/>
      <c r="C3554" s="104"/>
      <c r="F3554" s="107" t="str">
        <f aca="false">IF(OR($C3554="",$D3554=0),"",$E3554/$D3554)</f>
        <v/>
      </c>
      <c r="H3554" s="0" t="str">
        <f aca="false">IF($C3554="","",IF(COUNTIF('مواد المخزون'!$A$2:$A$90,$C3554)&gt;0,"نعم","لا (خارج الجرد)"))</f>
        <v/>
      </c>
    </row>
    <row r="3555" customFormat="false" ht="15" hidden="false" customHeight="false" outlineLevel="0" collapsed="false">
      <c r="A3555" s="103"/>
      <c r="B3555" s="104"/>
      <c r="C3555" s="104"/>
      <c r="F3555" s="107" t="str">
        <f aca="false">IF(OR($C3555="",$D3555=0),"",$E3555/$D3555)</f>
        <v/>
      </c>
      <c r="H3555" s="0" t="str">
        <f aca="false">IF($C3555="","",IF(COUNTIF('مواد المخزون'!$A$2:$A$90,$C3555)&gt;0,"نعم","لا (خارج الجرد)"))</f>
        <v/>
      </c>
    </row>
    <row r="3556" customFormat="false" ht="15" hidden="false" customHeight="false" outlineLevel="0" collapsed="false">
      <c r="A3556" s="103"/>
      <c r="B3556" s="104"/>
      <c r="C3556" s="104"/>
      <c r="F3556" s="107" t="str">
        <f aca="false">IF(OR($C3556="",$D3556=0),"",$E3556/$D3556)</f>
        <v/>
      </c>
      <c r="H3556" s="0" t="str">
        <f aca="false">IF($C3556="","",IF(COUNTIF('مواد المخزون'!$A$2:$A$90,$C3556)&gt;0,"نعم","لا (خارج الجرد)"))</f>
        <v/>
      </c>
    </row>
    <row r="3557" customFormat="false" ht="15" hidden="false" customHeight="false" outlineLevel="0" collapsed="false">
      <c r="A3557" s="103"/>
      <c r="B3557" s="104"/>
      <c r="C3557" s="104"/>
      <c r="F3557" s="107" t="str">
        <f aca="false">IF(OR($C3557="",$D3557=0),"",$E3557/$D3557)</f>
        <v/>
      </c>
      <c r="H3557" s="0" t="str">
        <f aca="false">IF($C3557="","",IF(COUNTIF('مواد المخزون'!$A$2:$A$90,$C3557)&gt;0,"نعم","لا (خارج الجرد)"))</f>
        <v/>
      </c>
    </row>
    <row r="3558" customFormat="false" ht="15" hidden="false" customHeight="false" outlineLevel="0" collapsed="false">
      <c r="A3558" s="103"/>
      <c r="B3558" s="104"/>
      <c r="C3558" s="104"/>
      <c r="F3558" s="107" t="str">
        <f aca="false">IF(OR($C3558="",$D3558=0),"",$E3558/$D3558)</f>
        <v/>
      </c>
      <c r="H3558" s="0" t="str">
        <f aca="false">IF($C3558="","",IF(COUNTIF('مواد المخزون'!$A$2:$A$90,$C3558)&gt;0,"نعم","لا (خارج الجرد)"))</f>
        <v/>
      </c>
    </row>
    <row r="3559" customFormat="false" ht="15" hidden="false" customHeight="false" outlineLevel="0" collapsed="false">
      <c r="A3559" s="103"/>
      <c r="B3559" s="104"/>
      <c r="C3559" s="104"/>
      <c r="F3559" s="107" t="str">
        <f aca="false">IF(OR($C3559="",$D3559=0),"",$E3559/$D3559)</f>
        <v/>
      </c>
      <c r="H3559" s="0" t="str">
        <f aca="false">IF($C3559="","",IF(COUNTIF('مواد المخزون'!$A$2:$A$90,$C3559)&gt;0,"نعم","لا (خارج الجرد)"))</f>
        <v/>
      </c>
    </row>
    <row r="3560" customFormat="false" ht="15" hidden="false" customHeight="false" outlineLevel="0" collapsed="false">
      <c r="A3560" s="103"/>
      <c r="B3560" s="104"/>
      <c r="C3560" s="104"/>
      <c r="F3560" s="107" t="str">
        <f aca="false">IF(OR($C3560="",$D3560=0),"",$E3560/$D3560)</f>
        <v/>
      </c>
      <c r="H3560" s="0" t="str">
        <f aca="false">IF($C3560="","",IF(COUNTIF('مواد المخزون'!$A$2:$A$90,$C3560)&gt;0,"نعم","لا (خارج الجرد)"))</f>
        <v/>
      </c>
    </row>
    <row r="3561" customFormat="false" ht="15" hidden="false" customHeight="false" outlineLevel="0" collapsed="false">
      <c r="A3561" s="103"/>
      <c r="B3561" s="104"/>
      <c r="C3561" s="104"/>
      <c r="F3561" s="107" t="str">
        <f aca="false">IF(OR($C3561="",$D3561=0),"",$E3561/$D3561)</f>
        <v/>
      </c>
      <c r="H3561" s="0" t="str">
        <f aca="false">IF($C3561="","",IF(COUNTIF('مواد المخزون'!$A$2:$A$90,$C3561)&gt;0,"نعم","لا (خارج الجرد)"))</f>
        <v/>
      </c>
    </row>
    <row r="3562" customFormat="false" ht="15" hidden="false" customHeight="false" outlineLevel="0" collapsed="false">
      <c r="A3562" s="103"/>
      <c r="B3562" s="104"/>
      <c r="C3562" s="104"/>
      <c r="F3562" s="107" t="str">
        <f aca="false">IF(OR($C3562="",$D3562=0),"",$E3562/$D3562)</f>
        <v/>
      </c>
      <c r="H3562" s="0" t="str">
        <f aca="false">IF($C3562="","",IF(COUNTIF('مواد المخزون'!$A$2:$A$90,$C3562)&gt;0,"نعم","لا (خارج الجرد)"))</f>
        <v/>
      </c>
    </row>
    <row r="3563" customFormat="false" ht="15" hidden="false" customHeight="false" outlineLevel="0" collapsed="false">
      <c r="A3563" s="103"/>
      <c r="B3563" s="104"/>
      <c r="C3563" s="104"/>
      <c r="F3563" s="107" t="str">
        <f aca="false">IF(OR($C3563="",$D3563=0),"",$E3563/$D3563)</f>
        <v/>
      </c>
      <c r="H3563" s="0" t="str">
        <f aca="false">IF($C3563="","",IF(COUNTIF('مواد المخزون'!$A$2:$A$90,$C3563)&gt;0,"نعم","لا (خارج الجرد)"))</f>
        <v/>
      </c>
    </row>
    <row r="3564" customFormat="false" ht="15" hidden="false" customHeight="false" outlineLevel="0" collapsed="false">
      <c r="A3564" s="103"/>
      <c r="B3564" s="104"/>
      <c r="C3564" s="104"/>
      <c r="F3564" s="107" t="str">
        <f aca="false">IF(OR($C3564="",$D3564=0),"",$E3564/$D3564)</f>
        <v/>
      </c>
      <c r="H3564" s="0" t="str">
        <f aca="false">IF($C3564="","",IF(COUNTIF('مواد المخزون'!$A$2:$A$90,$C3564)&gt;0,"نعم","لا (خارج الجرد)"))</f>
        <v/>
      </c>
    </row>
    <row r="3565" customFormat="false" ht="15" hidden="false" customHeight="false" outlineLevel="0" collapsed="false">
      <c r="A3565" s="103"/>
      <c r="B3565" s="104"/>
      <c r="C3565" s="104"/>
      <c r="F3565" s="107" t="str">
        <f aca="false">IF(OR($C3565="",$D3565=0),"",$E3565/$D3565)</f>
        <v/>
      </c>
      <c r="H3565" s="0" t="str">
        <f aca="false">IF($C3565="","",IF(COUNTIF('مواد المخزون'!$A$2:$A$90,$C3565)&gt;0,"نعم","لا (خارج الجرد)"))</f>
        <v/>
      </c>
    </row>
    <row r="3566" customFormat="false" ht="15" hidden="false" customHeight="false" outlineLevel="0" collapsed="false">
      <c r="A3566" s="103"/>
      <c r="B3566" s="104"/>
      <c r="C3566" s="104"/>
      <c r="F3566" s="107" t="str">
        <f aca="false">IF(OR($C3566="",$D3566=0),"",$E3566/$D3566)</f>
        <v/>
      </c>
      <c r="H3566" s="0" t="str">
        <f aca="false">IF($C3566="","",IF(COUNTIF('مواد المخزون'!$A$2:$A$90,$C3566)&gt;0,"نعم","لا (خارج الجرد)"))</f>
        <v/>
      </c>
    </row>
    <row r="3567" customFormat="false" ht="15" hidden="false" customHeight="false" outlineLevel="0" collapsed="false">
      <c r="A3567" s="103"/>
      <c r="B3567" s="104"/>
      <c r="C3567" s="104"/>
      <c r="F3567" s="107" t="str">
        <f aca="false">IF(OR($C3567="",$D3567=0),"",$E3567/$D3567)</f>
        <v/>
      </c>
      <c r="H3567" s="0" t="str">
        <f aca="false">IF($C3567="","",IF(COUNTIF('مواد المخزون'!$A$2:$A$90,$C3567)&gt;0,"نعم","لا (خارج الجرد)"))</f>
        <v/>
      </c>
    </row>
    <row r="3568" customFormat="false" ht="15" hidden="false" customHeight="false" outlineLevel="0" collapsed="false">
      <c r="A3568" s="103"/>
      <c r="B3568" s="104"/>
      <c r="C3568" s="104"/>
      <c r="F3568" s="107" t="str">
        <f aca="false">IF(OR($C3568="",$D3568=0),"",$E3568/$D3568)</f>
        <v/>
      </c>
      <c r="H3568" s="0" t="str">
        <f aca="false">IF($C3568="","",IF(COUNTIF('مواد المخزون'!$A$2:$A$90,$C3568)&gt;0,"نعم","لا (خارج الجرد)"))</f>
        <v/>
      </c>
    </row>
    <row r="3569" customFormat="false" ht="15" hidden="false" customHeight="false" outlineLevel="0" collapsed="false">
      <c r="A3569" s="103"/>
      <c r="B3569" s="104"/>
      <c r="C3569" s="104"/>
      <c r="F3569" s="107" t="str">
        <f aca="false">IF(OR($C3569="",$D3569=0),"",$E3569/$D3569)</f>
        <v/>
      </c>
      <c r="H3569" s="0" t="str">
        <f aca="false">IF($C3569="","",IF(COUNTIF('مواد المخزون'!$A$2:$A$90,$C3569)&gt;0,"نعم","لا (خارج الجرد)"))</f>
        <v/>
      </c>
    </row>
    <row r="3570" customFormat="false" ht="15" hidden="false" customHeight="false" outlineLevel="0" collapsed="false">
      <c r="A3570" s="103"/>
      <c r="B3570" s="104"/>
      <c r="C3570" s="104"/>
      <c r="F3570" s="107" t="str">
        <f aca="false">IF(OR($C3570="",$D3570=0),"",$E3570/$D3570)</f>
        <v/>
      </c>
      <c r="H3570" s="0" t="str">
        <f aca="false">IF($C3570="","",IF(COUNTIF('مواد المخزون'!$A$2:$A$90,$C3570)&gt;0,"نعم","لا (خارج الجرد)"))</f>
        <v/>
      </c>
    </row>
    <row r="3571" customFormat="false" ht="15" hidden="false" customHeight="false" outlineLevel="0" collapsed="false">
      <c r="A3571" s="103"/>
      <c r="B3571" s="104"/>
      <c r="C3571" s="104"/>
      <c r="F3571" s="107" t="str">
        <f aca="false">IF(OR($C3571="",$D3571=0),"",$E3571/$D3571)</f>
        <v/>
      </c>
      <c r="H3571" s="0" t="str">
        <f aca="false">IF($C3571="","",IF(COUNTIF('مواد المخزون'!$A$2:$A$90,$C3571)&gt;0,"نعم","لا (خارج الجرد)"))</f>
        <v/>
      </c>
    </row>
    <row r="3572" customFormat="false" ht="15" hidden="false" customHeight="false" outlineLevel="0" collapsed="false">
      <c r="A3572" s="103"/>
      <c r="B3572" s="104"/>
      <c r="C3572" s="104"/>
      <c r="F3572" s="107" t="str">
        <f aca="false">IF(OR($C3572="",$D3572=0),"",$E3572/$D3572)</f>
        <v/>
      </c>
      <c r="H3572" s="0" t="str">
        <f aca="false">IF($C3572="","",IF(COUNTIF('مواد المخزون'!$A$2:$A$90,$C3572)&gt;0,"نعم","لا (خارج الجرد)"))</f>
        <v/>
      </c>
    </row>
    <row r="3573" customFormat="false" ht="15" hidden="false" customHeight="false" outlineLevel="0" collapsed="false">
      <c r="A3573" s="103"/>
      <c r="B3573" s="104"/>
      <c r="C3573" s="104"/>
      <c r="F3573" s="107" t="str">
        <f aca="false">IF(OR($C3573="",$D3573=0),"",$E3573/$D3573)</f>
        <v/>
      </c>
      <c r="H3573" s="0" t="str">
        <f aca="false">IF($C3573="","",IF(COUNTIF('مواد المخزون'!$A$2:$A$90,$C3573)&gt;0,"نعم","لا (خارج الجرد)"))</f>
        <v/>
      </c>
    </row>
    <row r="3574" customFormat="false" ht="15" hidden="false" customHeight="false" outlineLevel="0" collapsed="false">
      <c r="A3574" s="103"/>
      <c r="B3574" s="104"/>
      <c r="C3574" s="104"/>
      <c r="F3574" s="107" t="str">
        <f aca="false">IF(OR($C3574="",$D3574=0),"",$E3574/$D3574)</f>
        <v/>
      </c>
      <c r="H3574" s="0" t="str">
        <f aca="false">IF($C3574="","",IF(COUNTIF('مواد المخزون'!$A$2:$A$90,$C3574)&gt;0,"نعم","لا (خارج الجرد)"))</f>
        <v/>
      </c>
    </row>
    <row r="3575" customFormat="false" ht="15" hidden="false" customHeight="false" outlineLevel="0" collapsed="false">
      <c r="A3575" s="103"/>
      <c r="B3575" s="104"/>
      <c r="C3575" s="104"/>
      <c r="F3575" s="107" t="str">
        <f aca="false">IF(OR($C3575="",$D3575=0),"",$E3575/$D3575)</f>
        <v/>
      </c>
      <c r="H3575" s="0" t="str">
        <f aca="false">IF($C3575="","",IF(COUNTIF('مواد المخزون'!$A$2:$A$90,$C3575)&gt;0,"نعم","لا (خارج الجرد)"))</f>
        <v/>
      </c>
    </row>
    <row r="3576" customFormat="false" ht="15" hidden="false" customHeight="false" outlineLevel="0" collapsed="false">
      <c r="A3576" s="103"/>
      <c r="B3576" s="104"/>
      <c r="C3576" s="104"/>
      <c r="F3576" s="107" t="str">
        <f aca="false">IF(OR($C3576="",$D3576=0),"",$E3576/$D3576)</f>
        <v/>
      </c>
      <c r="H3576" s="0" t="str">
        <f aca="false">IF($C3576="","",IF(COUNTIF('مواد المخزون'!$A$2:$A$90,$C3576)&gt;0,"نعم","لا (خارج الجرد)"))</f>
        <v/>
      </c>
    </row>
    <row r="3577" customFormat="false" ht="15" hidden="false" customHeight="false" outlineLevel="0" collapsed="false">
      <c r="A3577" s="103"/>
      <c r="B3577" s="104"/>
      <c r="C3577" s="104"/>
      <c r="F3577" s="107" t="str">
        <f aca="false">IF(OR($C3577="",$D3577=0),"",$E3577/$D3577)</f>
        <v/>
      </c>
      <c r="H3577" s="0" t="str">
        <f aca="false">IF($C3577="","",IF(COUNTIF('مواد المخزون'!$A$2:$A$90,$C3577)&gt;0,"نعم","لا (خارج الجرد)"))</f>
        <v/>
      </c>
    </row>
    <row r="3578" customFormat="false" ht="15" hidden="false" customHeight="false" outlineLevel="0" collapsed="false">
      <c r="A3578" s="103"/>
      <c r="B3578" s="104"/>
      <c r="C3578" s="104"/>
      <c r="F3578" s="107" t="str">
        <f aca="false">IF(OR($C3578="",$D3578=0),"",$E3578/$D3578)</f>
        <v/>
      </c>
      <c r="H3578" s="0" t="str">
        <f aca="false">IF($C3578="","",IF(COUNTIF('مواد المخزون'!$A$2:$A$90,$C3578)&gt;0,"نعم","لا (خارج الجرد)"))</f>
        <v/>
      </c>
    </row>
    <row r="3579" customFormat="false" ht="15" hidden="false" customHeight="false" outlineLevel="0" collapsed="false">
      <c r="A3579" s="103"/>
      <c r="B3579" s="104"/>
      <c r="C3579" s="104"/>
      <c r="F3579" s="107" t="str">
        <f aca="false">IF(OR($C3579="",$D3579=0),"",$E3579/$D3579)</f>
        <v/>
      </c>
      <c r="H3579" s="0" t="str">
        <f aca="false">IF($C3579="","",IF(COUNTIF('مواد المخزون'!$A$2:$A$90,$C3579)&gt;0,"نعم","لا (خارج الجرد)"))</f>
        <v/>
      </c>
    </row>
    <row r="3580" customFormat="false" ht="15" hidden="false" customHeight="false" outlineLevel="0" collapsed="false">
      <c r="A3580" s="103"/>
      <c r="B3580" s="104"/>
      <c r="C3580" s="104"/>
      <c r="F3580" s="107" t="str">
        <f aca="false">IF(OR($C3580="",$D3580=0),"",$E3580/$D3580)</f>
        <v/>
      </c>
      <c r="H3580" s="0" t="str">
        <f aca="false">IF($C3580="","",IF(COUNTIF('مواد المخزون'!$A$2:$A$90,$C3580)&gt;0,"نعم","لا (خارج الجرد)"))</f>
        <v/>
      </c>
    </row>
    <row r="3581" customFormat="false" ht="15" hidden="false" customHeight="false" outlineLevel="0" collapsed="false">
      <c r="A3581" s="103"/>
      <c r="B3581" s="104"/>
      <c r="C3581" s="104"/>
      <c r="F3581" s="107" t="str">
        <f aca="false">IF(OR($C3581="",$D3581=0),"",$E3581/$D3581)</f>
        <v/>
      </c>
      <c r="H3581" s="0" t="str">
        <f aca="false">IF($C3581="","",IF(COUNTIF('مواد المخزون'!$A$2:$A$90,$C3581)&gt;0,"نعم","لا (خارج الجرد)"))</f>
        <v/>
      </c>
    </row>
    <row r="3582" customFormat="false" ht="15" hidden="false" customHeight="false" outlineLevel="0" collapsed="false">
      <c r="A3582" s="103"/>
      <c r="B3582" s="104"/>
      <c r="C3582" s="104"/>
      <c r="F3582" s="107" t="str">
        <f aca="false">IF(OR($C3582="",$D3582=0),"",$E3582/$D3582)</f>
        <v/>
      </c>
      <c r="H3582" s="0" t="str">
        <f aca="false">IF($C3582="","",IF(COUNTIF('مواد المخزون'!$A$2:$A$90,$C3582)&gt;0,"نعم","لا (خارج الجرد)"))</f>
        <v/>
      </c>
    </row>
    <row r="3583" customFormat="false" ht="15" hidden="false" customHeight="false" outlineLevel="0" collapsed="false">
      <c r="A3583" s="103"/>
      <c r="B3583" s="104"/>
      <c r="C3583" s="104"/>
      <c r="F3583" s="107" t="str">
        <f aca="false">IF(OR($C3583="",$D3583=0),"",$E3583/$D3583)</f>
        <v/>
      </c>
      <c r="H3583" s="0" t="str">
        <f aca="false">IF($C3583="","",IF(COUNTIF('مواد المخزون'!$A$2:$A$90,$C3583)&gt;0,"نعم","لا (خارج الجرد)"))</f>
        <v/>
      </c>
    </row>
    <row r="3584" customFormat="false" ht="15" hidden="false" customHeight="false" outlineLevel="0" collapsed="false">
      <c r="A3584" s="103"/>
      <c r="B3584" s="104"/>
      <c r="C3584" s="104"/>
      <c r="F3584" s="107" t="str">
        <f aca="false">IF(OR($C3584="",$D3584=0),"",$E3584/$D3584)</f>
        <v/>
      </c>
      <c r="H3584" s="0" t="str">
        <f aca="false">IF($C3584="","",IF(COUNTIF('مواد المخزون'!$A$2:$A$90,$C3584)&gt;0,"نعم","لا (خارج الجرد)"))</f>
        <v/>
      </c>
    </row>
    <row r="3585" customFormat="false" ht="15" hidden="false" customHeight="false" outlineLevel="0" collapsed="false">
      <c r="A3585" s="103"/>
      <c r="B3585" s="104"/>
      <c r="C3585" s="104"/>
      <c r="F3585" s="107" t="str">
        <f aca="false">IF(OR($C3585="",$D3585=0),"",$E3585/$D3585)</f>
        <v/>
      </c>
      <c r="H3585" s="0" t="str">
        <f aca="false">IF($C3585="","",IF(COUNTIF('مواد المخزون'!$A$2:$A$90,$C3585)&gt;0,"نعم","لا (خارج الجرد)"))</f>
        <v/>
      </c>
    </row>
    <row r="3586" customFormat="false" ht="15" hidden="false" customHeight="false" outlineLevel="0" collapsed="false">
      <c r="A3586" s="103"/>
      <c r="B3586" s="104"/>
      <c r="C3586" s="104"/>
      <c r="F3586" s="107" t="str">
        <f aca="false">IF(OR($C3586="",$D3586=0),"",$E3586/$D3586)</f>
        <v/>
      </c>
      <c r="H3586" s="0" t="str">
        <f aca="false">IF($C3586="","",IF(COUNTIF('مواد المخزون'!$A$2:$A$90,$C3586)&gt;0,"نعم","لا (خارج الجرد)"))</f>
        <v/>
      </c>
    </row>
    <row r="3587" customFormat="false" ht="15" hidden="false" customHeight="false" outlineLevel="0" collapsed="false">
      <c r="A3587" s="103"/>
      <c r="B3587" s="104"/>
      <c r="C3587" s="104"/>
      <c r="F3587" s="107" t="str">
        <f aca="false">IF(OR($C3587="",$D3587=0),"",$E3587/$D3587)</f>
        <v/>
      </c>
      <c r="H3587" s="0" t="str">
        <f aca="false">IF($C3587="","",IF(COUNTIF('مواد المخزون'!$A$2:$A$90,$C3587)&gt;0,"نعم","لا (خارج الجرد)"))</f>
        <v/>
      </c>
    </row>
    <row r="3588" customFormat="false" ht="15" hidden="false" customHeight="false" outlineLevel="0" collapsed="false">
      <c r="A3588" s="103"/>
      <c r="B3588" s="104"/>
      <c r="C3588" s="104"/>
      <c r="F3588" s="107" t="str">
        <f aca="false">IF(OR($C3588="",$D3588=0),"",$E3588/$D3588)</f>
        <v/>
      </c>
      <c r="H3588" s="0" t="str">
        <f aca="false">IF($C3588="","",IF(COUNTIF('مواد المخزون'!$A$2:$A$90,$C3588)&gt;0,"نعم","لا (خارج الجرد)"))</f>
        <v/>
      </c>
    </row>
    <row r="3589" customFormat="false" ht="15" hidden="false" customHeight="false" outlineLevel="0" collapsed="false">
      <c r="A3589" s="103"/>
      <c r="B3589" s="104"/>
      <c r="C3589" s="104"/>
      <c r="F3589" s="107" t="str">
        <f aca="false">IF(OR($C3589="",$D3589=0),"",$E3589/$D3589)</f>
        <v/>
      </c>
      <c r="H3589" s="0" t="str">
        <f aca="false">IF($C3589="","",IF(COUNTIF('مواد المخزون'!$A$2:$A$90,$C3589)&gt;0,"نعم","لا (خارج الجرد)"))</f>
        <v/>
      </c>
    </row>
    <row r="3590" customFormat="false" ht="15" hidden="false" customHeight="false" outlineLevel="0" collapsed="false">
      <c r="A3590" s="103"/>
      <c r="B3590" s="104"/>
      <c r="C3590" s="104"/>
      <c r="F3590" s="107" t="str">
        <f aca="false">IF(OR($C3590="",$D3590=0),"",$E3590/$D3590)</f>
        <v/>
      </c>
      <c r="H3590" s="0" t="str">
        <f aca="false">IF($C3590="","",IF(COUNTIF('مواد المخزون'!$A$2:$A$90,$C3590)&gt;0,"نعم","لا (خارج الجرد)"))</f>
        <v/>
      </c>
    </row>
    <row r="3591" customFormat="false" ht="15" hidden="false" customHeight="false" outlineLevel="0" collapsed="false">
      <c r="A3591" s="103"/>
      <c r="B3591" s="104"/>
      <c r="C3591" s="104"/>
      <c r="F3591" s="107" t="str">
        <f aca="false">IF(OR($C3591="",$D3591=0),"",$E3591/$D3591)</f>
        <v/>
      </c>
      <c r="H3591" s="0" t="str">
        <f aca="false">IF($C3591="","",IF(COUNTIF('مواد المخزون'!$A$2:$A$90,$C3591)&gt;0,"نعم","لا (خارج الجرد)"))</f>
        <v/>
      </c>
    </row>
    <row r="3592" customFormat="false" ht="15" hidden="false" customHeight="false" outlineLevel="0" collapsed="false">
      <c r="A3592" s="103"/>
      <c r="B3592" s="104"/>
      <c r="C3592" s="104"/>
      <c r="F3592" s="107" t="str">
        <f aca="false">IF(OR($C3592="",$D3592=0),"",$E3592/$D3592)</f>
        <v/>
      </c>
      <c r="H3592" s="0" t="str">
        <f aca="false">IF($C3592="","",IF(COUNTIF('مواد المخزون'!$A$2:$A$90,$C3592)&gt;0,"نعم","لا (خارج الجرد)"))</f>
        <v/>
      </c>
    </row>
    <row r="3593" customFormat="false" ht="15" hidden="false" customHeight="false" outlineLevel="0" collapsed="false">
      <c r="A3593" s="103"/>
      <c r="B3593" s="104"/>
      <c r="C3593" s="104"/>
      <c r="F3593" s="107" t="str">
        <f aca="false">IF(OR($C3593="",$D3593=0),"",$E3593/$D3593)</f>
        <v/>
      </c>
      <c r="H3593" s="0" t="str">
        <f aca="false">IF($C3593="","",IF(COUNTIF('مواد المخزون'!$A$2:$A$90,$C3593)&gt;0,"نعم","لا (خارج الجرد)"))</f>
        <v/>
      </c>
    </row>
    <row r="3594" customFormat="false" ht="15" hidden="false" customHeight="false" outlineLevel="0" collapsed="false">
      <c r="A3594" s="103"/>
      <c r="B3594" s="104"/>
      <c r="C3594" s="104"/>
      <c r="F3594" s="107" t="str">
        <f aca="false">IF(OR($C3594="",$D3594=0),"",$E3594/$D3594)</f>
        <v/>
      </c>
      <c r="H3594" s="0" t="str">
        <f aca="false">IF($C3594="","",IF(COUNTIF('مواد المخزون'!$A$2:$A$90,$C3594)&gt;0,"نعم","لا (خارج الجرد)"))</f>
        <v/>
      </c>
    </row>
    <row r="3595" customFormat="false" ht="15" hidden="false" customHeight="false" outlineLevel="0" collapsed="false">
      <c r="A3595" s="103"/>
      <c r="B3595" s="104"/>
      <c r="C3595" s="104"/>
      <c r="F3595" s="107" t="str">
        <f aca="false">IF(OR($C3595="",$D3595=0),"",$E3595/$D3595)</f>
        <v/>
      </c>
      <c r="H3595" s="0" t="str">
        <f aca="false">IF($C3595="","",IF(COUNTIF('مواد المخزون'!$A$2:$A$90,$C3595)&gt;0,"نعم","لا (خارج الجرد)"))</f>
        <v/>
      </c>
    </row>
    <row r="3596" customFormat="false" ht="15" hidden="false" customHeight="false" outlineLevel="0" collapsed="false">
      <c r="A3596" s="103"/>
      <c r="B3596" s="104"/>
      <c r="C3596" s="104"/>
      <c r="F3596" s="107" t="str">
        <f aca="false">IF(OR($C3596="",$D3596=0),"",$E3596/$D3596)</f>
        <v/>
      </c>
      <c r="H3596" s="0" t="str">
        <f aca="false">IF($C3596="","",IF(COUNTIF('مواد المخزون'!$A$2:$A$90,$C3596)&gt;0,"نعم","لا (خارج الجرد)"))</f>
        <v/>
      </c>
    </row>
    <row r="3597" customFormat="false" ht="15" hidden="false" customHeight="false" outlineLevel="0" collapsed="false">
      <c r="A3597" s="103"/>
      <c r="B3597" s="104"/>
      <c r="C3597" s="104"/>
      <c r="F3597" s="107" t="str">
        <f aca="false">IF(OR($C3597="",$D3597=0),"",$E3597/$D3597)</f>
        <v/>
      </c>
      <c r="H3597" s="0" t="str">
        <f aca="false">IF($C3597="","",IF(COUNTIF('مواد المخزون'!$A$2:$A$90,$C3597)&gt;0,"نعم","لا (خارج الجرد)"))</f>
        <v/>
      </c>
    </row>
    <row r="3598" customFormat="false" ht="15" hidden="false" customHeight="false" outlineLevel="0" collapsed="false">
      <c r="A3598" s="103"/>
      <c r="B3598" s="104"/>
      <c r="C3598" s="104"/>
      <c r="F3598" s="107" t="str">
        <f aca="false">IF(OR($C3598="",$D3598=0),"",$E3598/$D3598)</f>
        <v/>
      </c>
      <c r="H3598" s="0" t="str">
        <f aca="false">IF($C3598="","",IF(COUNTIF('مواد المخزون'!$A$2:$A$90,$C3598)&gt;0,"نعم","لا (خارج الجرد)"))</f>
        <v/>
      </c>
    </row>
    <row r="3599" customFormat="false" ht="15" hidden="false" customHeight="false" outlineLevel="0" collapsed="false">
      <c r="A3599" s="103"/>
      <c r="B3599" s="104"/>
      <c r="C3599" s="104"/>
      <c r="F3599" s="107" t="str">
        <f aca="false">IF(OR($C3599="",$D3599=0),"",$E3599/$D3599)</f>
        <v/>
      </c>
      <c r="H3599" s="0" t="str">
        <f aca="false">IF($C3599="","",IF(COUNTIF('مواد المخزون'!$A$2:$A$90,$C3599)&gt;0,"نعم","لا (خارج الجرد)"))</f>
        <v/>
      </c>
    </row>
    <row r="3600" customFormat="false" ht="15" hidden="false" customHeight="false" outlineLevel="0" collapsed="false">
      <c r="A3600" s="103"/>
      <c r="B3600" s="104"/>
      <c r="C3600" s="104"/>
      <c r="F3600" s="107" t="str">
        <f aca="false">IF(OR($C3600="",$D3600=0),"",$E3600/$D3600)</f>
        <v/>
      </c>
      <c r="H3600" s="0" t="str">
        <f aca="false">IF($C3600="","",IF(COUNTIF('مواد المخزون'!$A$2:$A$90,$C3600)&gt;0,"نعم","لا (خارج الجرد)"))</f>
        <v/>
      </c>
    </row>
    <row r="3601" customFormat="false" ht="15" hidden="false" customHeight="false" outlineLevel="0" collapsed="false">
      <c r="A3601" s="103"/>
      <c r="B3601" s="104"/>
      <c r="C3601" s="104"/>
      <c r="F3601" s="107" t="str">
        <f aca="false">IF(OR($C3601="",$D3601=0),"",$E3601/$D3601)</f>
        <v/>
      </c>
      <c r="H3601" s="0" t="str">
        <f aca="false">IF($C3601="","",IF(COUNTIF('مواد المخزون'!$A$2:$A$90,$C3601)&gt;0,"نعم","لا (خارج الجرد)"))</f>
        <v/>
      </c>
    </row>
    <row r="3602" customFormat="false" ht="15" hidden="false" customHeight="false" outlineLevel="0" collapsed="false">
      <c r="A3602" s="103"/>
      <c r="B3602" s="104"/>
      <c r="C3602" s="104"/>
      <c r="F3602" s="107" t="str">
        <f aca="false">IF(OR($C3602="",$D3602=0),"",$E3602/$D3602)</f>
        <v/>
      </c>
      <c r="H3602" s="0" t="str">
        <f aca="false">IF($C3602="","",IF(COUNTIF('مواد المخزون'!$A$2:$A$90,$C3602)&gt;0,"نعم","لا (خارج الجرد)"))</f>
        <v/>
      </c>
    </row>
    <row r="3603" customFormat="false" ht="15" hidden="false" customHeight="false" outlineLevel="0" collapsed="false">
      <c r="A3603" s="103"/>
      <c r="B3603" s="104"/>
      <c r="C3603" s="104"/>
      <c r="F3603" s="107" t="str">
        <f aca="false">IF(OR($C3603="",$D3603=0),"",$E3603/$D3603)</f>
        <v/>
      </c>
      <c r="H3603" s="0" t="str">
        <f aca="false">IF($C3603="","",IF(COUNTIF('مواد المخزون'!$A$2:$A$90,$C3603)&gt;0,"نعم","لا (خارج الجرد)"))</f>
        <v/>
      </c>
    </row>
    <row r="3604" customFormat="false" ht="15" hidden="false" customHeight="false" outlineLevel="0" collapsed="false">
      <c r="A3604" s="103"/>
      <c r="B3604" s="104"/>
      <c r="C3604" s="104"/>
      <c r="F3604" s="107" t="str">
        <f aca="false">IF(OR($C3604="",$D3604=0),"",$E3604/$D3604)</f>
        <v/>
      </c>
      <c r="H3604" s="0" t="str">
        <f aca="false">IF($C3604="","",IF(COUNTIF('مواد المخزون'!$A$2:$A$90,$C3604)&gt;0,"نعم","لا (خارج الجرد)"))</f>
        <v/>
      </c>
    </row>
    <row r="3605" customFormat="false" ht="15" hidden="false" customHeight="false" outlineLevel="0" collapsed="false">
      <c r="A3605" s="103"/>
      <c r="B3605" s="104"/>
      <c r="C3605" s="104"/>
      <c r="F3605" s="107" t="str">
        <f aca="false">IF(OR($C3605="",$D3605=0),"",$E3605/$D3605)</f>
        <v/>
      </c>
      <c r="H3605" s="0" t="str">
        <f aca="false">IF($C3605="","",IF(COUNTIF('مواد المخزون'!$A$2:$A$90,$C3605)&gt;0,"نعم","لا (خارج الجرد)"))</f>
        <v/>
      </c>
    </row>
    <row r="3606" customFormat="false" ht="15" hidden="false" customHeight="false" outlineLevel="0" collapsed="false">
      <c r="A3606" s="103"/>
      <c r="B3606" s="104"/>
      <c r="C3606" s="104"/>
      <c r="F3606" s="107" t="str">
        <f aca="false">IF(OR($C3606="",$D3606=0),"",$E3606/$D3606)</f>
        <v/>
      </c>
      <c r="H3606" s="0" t="str">
        <f aca="false">IF($C3606="","",IF(COUNTIF('مواد المخزون'!$A$2:$A$90,$C3606)&gt;0,"نعم","لا (خارج الجرد)"))</f>
        <v/>
      </c>
    </row>
    <row r="3607" customFormat="false" ht="15" hidden="false" customHeight="false" outlineLevel="0" collapsed="false">
      <c r="A3607" s="103"/>
      <c r="B3607" s="104"/>
      <c r="C3607" s="104"/>
      <c r="F3607" s="107" t="str">
        <f aca="false">IF(OR($C3607="",$D3607=0),"",$E3607/$D3607)</f>
        <v/>
      </c>
      <c r="H3607" s="0" t="str">
        <f aca="false">IF($C3607="","",IF(COUNTIF('مواد المخزون'!$A$2:$A$90,$C3607)&gt;0,"نعم","لا (خارج الجرد)"))</f>
        <v/>
      </c>
    </row>
    <row r="3608" customFormat="false" ht="15" hidden="false" customHeight="false" outlineLevel="0" collapsed="false">
      <c r="A3608" s="103"/>
      <c r="B3608" s="104"/>
      <c r="C3608" s="104"/>
      <c r="F3608" s="107" t="str">
        <f aca="false">IF(OR($C3608="",$D3608=0),"",$E3608/$D3608)</f>
        <v/>
      </c>
      <c r="H3608" s="0" t="str">
        <f aca="false">IF($C3608="","",IF(COUNTIF('مواد المخزون'!$A$2:$A$90,$C3608)&gt;0,"نعم","لا (خارج الجرد)"))</f>
        <v/>
      </c>
    </row>
    <row r="3609" customFormat="false" ht="15" hidden="false" customHeight="false" outlineLevel="0" collapsed="false">
      <c r="A3609" s="103"/>
      <c r="B3609" s="104"/>
      <c r="C3609" s="104"/>
      <c r="F3609" s="107" t="str">
        <f aca="false">IF(OR($C3609="",$D3609=0),"",$E3609/$D3609)</f>
        <v/>
      </c>
      <c r="H3609" s="0" t="str">
        <f aca="false">IF($C3609="","",IF(COUNTIF('مواد المخزون'!$A$2:$A$90,$C3609)&gt;0,"نعم","لا (خارج الجرد)"))</f>
        <v/>
      </c>
    </row>
    <row r="3610" customFormat="false" ht="15" hidden="false" customHeight="false" outlineLevel="0" collapsed="false">
      <c r="A3610" s="103"/>
      <c r="B3610" s="104"/>
      <c r="C3610" s="104"/>
      <c r="F3610" s="107" t="str">
        <f aca="false">IF(OR($C3610="",$D3610=0),"",$E3610/$D3610)</f>
        <v/>
      </c>
      <c r="H3610" s="0" t="str">
        <f aca="false">IF($C3610="","",IF(COUNTIF('مواد المخزون'!$A$2:$A$90,$C3610)&gt;0,"نعم","لا (خارج الجرد)"))</f>
        <v/>
      </c>
    </row>
    <row r="3611" customFormat="false" ht="15" hidden="false" customHeight="false" outlineLevel="0" collapsed="false">
      <c r="A3611" s="103"/>
      <c r="B3611" s="104"/>
      <c r="C3611" s="104"/>
      <c r="F3611" s="107" t="str">
        <f aca="false">IF(OR($C3611="",$D3611=0),"",$E3611/$D3611)</f>
        <v/>
      </c>
      <c r="H3611" s="0" t="str">
        <f aca="false">IF($C3611="","",IF(COUNTIF('مواد المخزون'!$A$2:$A$90,$C3611)&gt;0,"نعم","لا (خارج الجرد)"))</f>
        <v/>
      </c>
    </row>
    <row r="3612" customFormat="false" ht="15" hidden="false" customHeight="false" outlineLevel="0" collapsed="false">
      <c r="A3612" s="103"/>
      <c r="B3612" s="104"/>
      <c r="C3612" s="104"/>
      <c r="F3612" s="107" t="str">
        <f aca="false">IF(OR($C3612="",$D3612=0),"",$E3612/$D3612)</f>
        <v/>
      </c>
      <c r="H3612" s="0" t="str">
        <f aca="false">IF($C3612="","",IF(COUNTIF('مواد المخزون'!$A$2:$A$90,$C3612)&gt;0,"نعم","لا (خارج الجرد)"))</f>
        <v/>
      </c>
    </row>
    <row r="3613" customFormat="false" ht="15" hidden="false" customHeight="false" outlineLevel="0" collapsed="false">
      <c r="A3613" s="103"/>
      <c r="B3613" s="104"/>
      <c r="C3613" s="104"/>
      <c r="F3613" s="107" t="str">
        <f aca="false">IF(OR($C3613="",$D3613=0),"",$E3613/$D3613)</f>
        <v/>
      </c>
      <c r="H3613" s="0" t="str">
        <f aca="false">IF($C3613="","",IF(COUNTIF('مواد المخزون'!$A$2:$A$90,$C3613)&gt;0,"نعم","لا (خارج الجرد)"))</f>
        <v/>
      </c>
    </row>
    <row r="3614" customFormat="false" ht="15" hidden="false" customHeight="false" outlineLevel="0" collapsed="false">
      <c r="A3614" s="103"/>
      <c r="B3614" s="104"/>
      <c r="C3614" s="104"/>
      <c r="F3614" s="107" t="str">
        <f aca="false">IF(OR($C3614="",$D3614=0),"",$E3614/$D3614)</f>
        <v/>
      </c>
      <c r="H3614" s="0" t="str">
        <f aca="false">IF($C3614="","",IF(COUNTIF('مواد المخزون'!$A$2:$A$90,$C3614)&gt;0,"نعم","لا (خارج الجرد)"))</f>
        <v/>
      </c>
    </row>
    <row r="3615" customFormat="false" ht="15" hidden="false" customHeight="false" outlineLevel="0" collapsed="false">
      <c r="A3615" s="103"/>
      <c r="B3615" s="104"/>
      <c r="C3615" s="104"/>
      <c r="F3615" s="107" t="str">
        <f aca="false">IF(OR($C3615="",$D3615=0),"",$E3615/$D3615)</f>
        <v/>
      </c>
      <c r="H3615" s="0" t="str">
        <f aca="false">IF($C3615="","",IF(COUNTIF('مواد المخزون'!$A$2:$A$90,$C3615)&gt;0,"نعم","لا (خارج الجرد)"))</f>
        <v/>
      </c>
    </row>
    <row r="3616" customFormat="false" ht="15" hidden="false" customHeight="false" outlineLevel="0" collapsed="false">
      <c r="A3616" s="103"/>
      <c r="B3616" s="104"/>
      <c r="C3616" s="104"/>
      <c r="F3616" s="107" t="str">
        <f aca="false">IF(OR($C3616="",$D3616=0),"",$E3616/$D3616)</f>
        <v/>
      </c>
      <c r="H3616" s="0" t="str">
        <f aca="false">IF($C3616="","",IF(COUNTIF('مواد المخزون'!$A$2:$A$90,$C3616)&gt;0,"نعم","لا (خارج الجرد)"))</f>
        <v/>
      </c>
    </row>
    <row r="3617" customFormat="false" ht="15" hidden="false" customHeight="false" outlineLevel="0" collapsed="false">
      <c r="A3617" s="103"/>
      <c r="B3617" s="104"/>
      <c r="C3617" s="104"/>
      <c r="F3617" s="107" t="str">
        <f aca="false">IF(OR($C3617="",$D3617=0),"",$E3617/$D3617)</f>
        <v/>
      </c>
      <c r="H3617" s="0" t="str">
        <f aca="false">IF($C3617="","",IF(COUNTIF('مواد المخزون'!$A$2:$A$90,$C3617)&gt;0,"نعم","لا (خارج الجرد)"))</f>
        <v/>
      </c>
    </row>
    <row r="3618" customFormat="false" ht="15" hidden="false" customHeight="false" outlineLevel="0" collapsed="false">
      <c r="A3618" s="103"/>
      <c r="B3618" s="104"/>
      <c r="C3618" s="104"/>
      <c r="F3618" s="107" t="str">
        <f aca="false">IF(OR($C3618="",$D3618=0),"",$E3618/$D3618)</f>
        <v/>
      </c>
      <c r="H3618" s="0" t="str">
        <f aca="false">IF($C3618="","",IF(COUNTIF('مواد المخزون'!$A$2:$A$90,$C3618)&gt;0,"نعم","لا (خارج الجرد)"))</f>
        <v/>
      </c>
    </row>
    <row r="3619" customFormat="false" ht="15" hidden="false" customHeight="false" outlineLevel="0" collapsed="false">
      <c r="A3619" s="103"/>
      <c r="B3619" s="104"/>
      <c r="C3619" s="104"/>
      <c r="F3619" s="107" t="str">
        <f aca="false">IF(OR($C3619="",$D3619=0),"",$E3619/$D3619)</f>
        <v/>
      </c>
      <c r="H3619" s="0" t="str">
        <f aca="false">IF($C3619="","",IF(COUNTIF('مواد المخزون'!$A$2:$A$90,$C3619)&gt;0,"نعم","لا (خارج الجرد)"))</f>
        <v/>
      </c>
    </row>
    <row r="3620" customFormat="false" ht="15" hidden="false" customHeight="false" outlineLevel="0" collapsed="false">
      <c r="A3620" s="103"/>
      <c r="B3620" s="104"/>
      <c r="C3620" s="104"/>
      <c r="F3620" s="107" t="str">
        <f aca="false">IF(OR($C3620="",$D3620=0),"",$E3620/$D3620)</f>
        <v/>
      </c>
      <c r="H3620" s="0" t="str">
        <f aca="false">IF($C3620="","",IF(COUNTIF('مواد المخزون'!$A$2:$A$90,$C3620)&gt;0,"نعم","لا (خارج الجرد)"))</f>
        <v/>
      </c>
    </row>
    <row r="3621" customFormat="false" ht="15" hidden="false" customHeight="false" outlineLevel="0" collapsed="false">
      <c r="A3621" s="103"/>
      <c r="B3621" s="104"/>
      <c r="C3621" s="104"/>
      <c r="F3621" s="107" t="str">
        <f aca="false">IF(OR($C3621="",$D3621=0),"",$E3621/$D3621)</f>
        <v/>
      </c>
      <c r="H3621" s="0" t="str">
        <f aca="false">IF($C3621="","",IF(COUNTIF('مواد المخزون'!$A$2:$A$90,$C3621)&gt;0,"نعم","لا (خارج الجرد)"))</f>
        <v/>
      </c>
    </row>
    <row r="3622" customFormat="false" ht="15" hidden="false" customHeight="false" outlineLevel="0" collapsed="false">
      <c r="A3622" s="103"/>
      <c r="B3622" s="104"/>
      <c r="C3622" s="104"/>
      <c r="F3622" s="107" t="str">
        <f aca="false">IF(OR($C3622="",$D3622=0),"",$E3622/$D3622)</f>
        <v/>
      </c>
      <c r="H3622" s="0" t="str">
        <f aca="false">IF($C3622="","",IF(COUNTIF('مواد المخزون'!$A$2:$A$90,$C3622)&gt;0,"نعم","لا (خارج الجرد)"))</f>
        <v/>
      </c>
    </row>
    <row r="3623" customFormat="false" ht="15" hidden="false" customHeight="false" outlineLevel="0" collapsed="false">
      <c r="A3623" s="103"/>
      <c r="B3623" s="104"/>
      <c r="C3623" s="104"/>
      <c r="F3623" s="107" t="str">
        <f aca="false">IF(OR($C3623="",$D3623=0),"",$E3623/$D3623)</f>
        <v/>
      </c>
      <c r="H3623" s="0" t="str">
        <f aca="false">IF($C3623="","",IF(COUNTIF('مواد المخزون'!$A$2:$A$90,$C3623)&gt;0,"نعم","لا (خارج الجرد)"))</f>
        <v/>
      </c>
    </row>
    <row r="3624" customFormat="false" ht="15" hidden="false" customHeight="false" outlineLevel="0" collapsed="false">
      <c r="A3624" s="103"/>
      <c r="B3624" s="104"/>
      <c r="C3624" s="104"/>
      <c r="F3624" s="107" t="str">
        <f aca="false">IF(OR($C3624="",$D3624=0),"",$E3624/$D3624)</f>
        <v/>
      </c>
      <c r="H3624" s="0" t="str">
        <f aca="false">IF($C3624="","",IF(COUNTIF('مواد المخزون'!$A$2:$A$90,$C3624)&gt;0,"نعم","لا (خارج الجرد)"))</f>
        <v/>
      </c>
    </row>
    <row r="3625" customFormat="false" ht="15" hidden="false" customHeight="false" outlineLevel="0" collapsed="false">
      <c r="A3625" s="103"/>
      <c r="B3625" s="104"/>
      <c r="C3625" s="104"/>
      <c r="F3625" s="107" t="str">
        <f aca="false">IF(OR($C3625="",$D3625=0),"",$E3625/$D3625)</f>
        <v/>
      </c>
      <c r="H3625" s="0" t="str">
        <f aca="false">IF($C3625="","",IF(COUNTIF('مواد المخزون'!$A$2:$A$90,$C3625)&gt;0,"نعم","لا (خارج الجرد)"))</f>
        <v/>
      </c>
    </row>
    <row r="3626" customFormat="false" ht="15" hidden="false" customHeight="false" outlineLevel="0" collapsed="false">
      <c r="A3626" s="103"/>
      <c r="B3626" s="104"/>
      <c r="C3626" s="104"/>
      <c r="F3626" s="107" t="str">
        <f aca="false">IF(OR($C3626="",$D3626=0),"",$E3626/$D3626)</f>
        <v/>
      </c>
      <c r="H3626" s="0" t="str">
        <f aca="false">IF($C3626="","",IF(COUNTIF('مواد المخزون'!$A$2:$A$90,$C3626)&gt;0,"نعم","لا (خارج الجرد)"))</f>
        <v/>
      </c>
    </row>
    <row r="3627" customFormat="false" ht="15" hidden="false" customHeight="false" outlineLevel="0" collapsed="false">
      <c r="A3627" s="103"/>
      <c r="B3627" s="104"/>
      <c r="C3627" s="104"/>
      <c r="F3627" s="107" t="str">
        <f aca="false">IF(OR($C3627="",$D3627=0),"",$E3627/$D3627)</f>
        <v/>
      </c>
      <c r="H3627" s="0" t="str">
        <f aca="false">IF($C3627="","",IF(COUNTIF('مواد المخزون'!$A$2:$A$90,$C3627)&gt;0,"نعم","لا (خارج الجرد)"))</f>
        <v/>
      </c>
    </row>
    <row r="3628" customFormat="false" ht="15" hidden="false" customHeight="false" outlineLevel="0" collapsed="false">
      <c r="A3628" s="103"/>
      <c r="B3628" s="104"/>
      <c r="C3628" s="104"/>
      <c r="F3628" s="107" t="str">
        <f aca="false">IF(OR($C3628="",$D3628=0),"",$E3628/$D3628)</f>
        <v/>
      </c>
      <c r="H3628" s="0" t="str">
        <f aca="false">IF($C3628="","",IF(COUNTIF('مواد المخزون'!$A$2:$A$90,$C3628)&gt;0,"نعم","لا (خارج الجرد)"))</f>
        <v/>
      </c>
    </row>
    <row r="3629" customFormat="false" ht="15" hidden="false" customHeight="false" outlineLevel="0" collapsed="false">
      <c r="A3629" s="103"/>
      <c r="B3629" s="104"/>
      <c r="C3629" s="104"/>
      <c r="F3629" s="107" t="str">
        <f aca="false">IF(OR($C3629="",$D3629=0),"",$E3629/$D3629)</f>
        <v/>
      </c>
      <c r="H3629" s="0" t="str">
        <f aca="false">IF($C3629="","",IF(COUNTIF('مواد المخزون'!$A$2:$A$90,$C3629)&gt;0,"نعم","لا (خارج الجرد)"))</f>
        <v/>
      </c>
    </row>
    <row r="3630" customFormat="false" ht="15" hidden="false" customHeight="false" outlineLevel="0" collapsed="false">
      <c r="A3630" s="103"/>
      <c r="B3630" s="104"/>
      <c r="C3630" s="104"/>
      <c r="F3630" s="107" t="str">
        <f aca="false">IF(OR($C3630="",$D3630=0),"",$E3630/$D3630)</f>
        <v/>
      </c>
      <c r="H3630" s="0" t="str">
        <f aca="false">IF($C3630="","",IF(COUNTIF('مواد المخزون'!$A$2:$A$90,$C3630)&gt;0,"نعم","لا (خارج الجرد)"))</f>
        <v/>
      </c>
    </row>
    <row r="3631" customFormat="false" ht="15" hidden="false" customHeight="false" outlineLevel="0" collapsed="false">
      <c r="A3631" s="103"/>
      <c r="B3631" s="104"/>
      <c r="C3631" s="104"/>
      <c r="F3631" s="107" t="str">
        <f aca="false">IF(OR($C3631="",$D3631=0),"",$E3631/$D3631)</f>
        <v/>
      </c>
      <c r="H3631" s="0" t="str">
        <f aca="false">IF($C3631="","",IF(COUNTIF('مواد المخزون'!$A$2:$A$90,$C3631)&gt;0,"نعم","لا (خارج الجرد)"))</f>
        <v/>
      </c>
    </row>
    <row r="3632" customFormat="false" ht="15" hidden="false" customHeight="false" outlineLevel="0" collapsed="false">
      <c r="A3632" s="103"/>
      <c r="B3632" s="104"/>
      <c r="C3632" s="104"/>
      <c r="F3632" s="107" t="str">
        <f aca="false">IF(OR($C3632="",$D3632=0),"",$E3632/$D3632)</f>
        <v/>
      </c>
      <c r="H3632" s="0" t="str">
        <f aca="false">IF($C3632="","",IF(COUNTIF('مواد المخزون'!$A$2:$A$90,$C3632)&gt;0,"نعم","لا (خارج الجرد)"))</f>
        <v/>
      </c>
    </row>
    <row r="3633" customFormat="false" ht="15" hidden="false" customHeight="false" outlineLevel="0" collapsed="false">
      <c r="A3633" s="103"/>
      <c r="B3633" s="104"/>
      <c r="C3633" s="104"/>
      <c r="F3633" s="107" t="str">
        <f aca="false">IF(OR($C3633="",$D3633=0),"",$E3633/$D3633)</f>
        <v/>
      </c>
      <c r="H3633" s="0" t="str">
        <f aca="false">IF($C3633="","",IF(COUNTIF('مواد المخزون'!$A$2:$A$90,$C3633)&gt;0,"نعم","لا (خارج الجرد)"))</f>
        <v/>
      </c>
    </row>
    <row r="3634" customFormat="false" ht="15" hidden="false" customHeight="false" outlineLevel="0" collapsed="false">
      <c r="A3634" s="103"/>
      <c r="B3634" s="104"/>
      <c r="C3634" s="104"/>
      <c r="F3634" s="107" t="str">
        <f aca="false">IF(OR($C3634="",$D3634=0),"",$E3634/$D3634)</f>
        <v/>
      </c>
      <c r="H3634" s="0" t="str">
        <f aca="false">IF($C3634="","",IF(COUNTIF('مواد المخزون'!$A$2:$A$90,$C3634)&gt;0,"نعم","لا (خارج الجرد)"))</f>
        <v/>
      </c>
    </row>
    <row r="3635" customFormat="false" ht="15" hidden="false" customHeight="false" outlineLevel="0" collapsed="false">
      <c r="A3635" s="103"/>
      <c r="B3635" s="104"/>
      <c r="C3635" s="104"/>
      <c r="F3635" s="107" t="str">
        <f aca="false">IF(OR($C3635="",$D3635=0),"",$E3635/$D3635)</f>
        <v/>
      </c>
      <c r="H3635" s="0" t="str">
        <f aca="false">IF($C3635="","",IF(COUNTIF('مواد المخزون'!$A$2:$A$90,$C3635)&gt;0,"نعم","لا (خارج الجرد)"))</f>
        <v/>
      </c>
    </row>
    <row r="3636" customFormat="false" ht="15" hidden="false" customHeight="false" outlineLevel="0" collapsed="false">
      <c r="A3636" s="103"/>
      <c r="B3636" s="104"/>
      <c r="C3636" s="104"/>
      <c r="F3636" s="107" t="str">
        <f aca="false">IF(OR($C3636="",$D3636=0),"",$E3636/$D3636)</f>
        <v/>
      </c>
      <c r="H3636" s="0" t="str">
        <f aca="false">IF($C3636="","",IF(COUNTIF('مواد المخزون'!$A$2:$A$90,$C3636)&gt;0,"نعم","لا (خارج الجرد)"))</f>
        <v/>
      </c>
    </row>
    <row r="3637" customFormat="false" ht="15" hidden="false" customHeight="false" outlineLevel="0" collapsed="false">
      <c r="A3637" s="103"/>
      <c r="B3637" s="104"/>
      <c r="C3637" s="104"/>
      <c r="F3637" s="107" t="str">
        <f aca="false">IF(OR($C3637="",$D3637=0),"",$E3637/$D3637)</f>
        <v/>
      </c>
      <c r="H3637" s="0" t="str">
        <f aca="false">IF($C3637="","",IF(COUNTIF('مواد المخزون'!$A$2:$A$90,$C3637)&gt;0,"نعم","لا (خارج الجرد)"))</f>
        <v/>
      </c>
    </row>
    <row r="3638" customFormat="false" ht="15" hidden="false" customHeight="false" outlineLevel="0" collapsed="false">
      <c r="A3638" s="103"/>
      <c r="B3638" s="104"/>
      <c r="C3638" s="104"/>
      <c r="F3638" s="107" t="str">
        <f aca="false">IF(OR($C3638="",$D3638=0),"",$E3638/$D3638)</f>
        <v/>
      </c>
      <c r="H3638" s="0" t="str">
        <f aca="false">IF($C3638="","",IF(COUNTIF('مواد المخزون'!$A$2:$A$90,$C3638)&gt;0,"نعم","لا (خارج الجرد)"))</f>
        <v/>
      </c>
    </row>
    <row r="3639" customFormat="false" ht="15" hidden="false" customHeight="false" outlineLevel="0" collapsed="false">
      <c r="A3639" s="103"/>
      <c r="B3639" s="104"/>
      <c r="C3639" s="104"/>
      <c r="F3639" s="107" t="str">
        <f aca="false">IF(OR($C3639="",$D3639=0),"",$E3639/$D3639)</f>
        <v/>
      </c>
      <c r="H3639" s="0" t="str">
        <f aca="false">IF($C3639="","",IF(COUNTIF('مواد المخزون'!$A$2:$A$90,$C3639)&gt;0,"نعم","لا (خارج الجرد)"))</f>
        <v/>
      </c>
    </row>
    <row r="3640" customFormat="false" ht="15" hidden="false" customHeight="false" outlineLevel="0" collapsed="false">
      <c r="A3640" s="103"/>
      <c r="B3640" s="104"/>
      <c r="C3640" s="104"/>
      <c r="F3640" s="107" t="str">
        <f aca="false">IF(OR($C3640="",$D3640=0),"",$E3640/$D3640)</f>
        <v/>
      </c>
      <c r="H3640" s="0" t="str">
        <f aca="false">IF($C3640="","",IF(COUNTIF('مواد المخزون'!$A$2:$A$90,$C3640)&gt;0,"نعم","لا (خارج الجرد)"))</f>
        <v/>
      </c>
    </row>
    <row r="3641" customFormat="false" ht="15" hidden="false" customHeight="false" outlineLevel="0" collapsed="false">
      <c r="A3641" s="103"/>
      <c r="B3641" s="104"/>
      <c r="C3641" s="104"/>
      <c r="F3641" s="107" t="str">
        <f aca="false">IF(OR($C3641="",$D3641=0),"",$E3641/$D3641)</f>
        <v/>
      </c>
      <c r="H3641" s="0" t="str">
        <f aca="false">IF($C3641="","",IF(COUNTIF('مواد المخزون'!$A$2:$A$90,$C3641)&gt;0,"نعم","لا (خارج الجرد)"))</f>
        <v/>
      </c>
    </row>
    <row r="3642" customFormat="false" ht="15" hidden="false" customHeight="false" outlineLevel="0" collapsed="false">
      <c r="A3642" s="103"/>
      <c r="B3642" s="104"/>
      <c r="C3642" s="104"/>
      <c r="F3642" s="107" t="str">
        <f aca="false">IF(OR($C3642="",$D3642=0),"",$E3642/$D3642)</f>
        <v/>
      </c>
      <c r="H3642" s="0" t="str">
        <f aca="false">IF($C3642="","",IF(COUNTIF('مواد المخزون'!$A$2:$A$90,$C3642)&gt;0,"نعم","لا (خارج الجرد)"))</f>
        <v/>
      </c>
    </row>
    <row r="3643" customFormat="false" ht="15" hidden="false" customHeight="false" outlineLevel="0" collapsed="false">
      <c r="A3643" s="103"/>
      <c r="B3643" s="104"/>
      <c r="C3643" s="104"/>
      <c r="F3643" s="107" t="str">
        <f aca="false">IF(OR($C3643="",$D3643=0),"",$E3643/$D3643)</f>
        <v/>
      </c>
      <c r="H3643" s="0" t="str">
        <f aca="false">IF($C3643="","",IF(COUNTIF('مواد المخزون'!$A$2:$A$90,$C3643)&gt;0,"نعم","لا (خارج الجرد)"))</f>
        <v/>
      </c>
    </row>
    <row r="3644" customFormat="false" ht="15" hidden="false" customHeight="false" outlineLevel="0" collapsed="false">
      <c r="A3644" s="103"/>
      <c r="B3644" s="104"/>
      <c r="C3644" s="104"/>
      <c r="F3644" s="107" t="str">
        <f aca="false">IF(OR($C3644="",$D3644=0),"",$E3644/$D3644)</f>
        <v/>
      </c>
      <c r="H3644" s="0" t="str">
        <f aca="false">IF($C3644="","",IF(COUNTIF('مواد المخزون'!$A$2:$A$90,$C3644)&gt;0,"نعم","لا (خارج الجرد)"))</f>
        <v/>
      </c>
    </row>
    <row r="3645" customFormat="false" ht="15" hidden="false" customHeight="false" outlineLevel="0" collapsed="false">
      <c r="A3645" s="103"/>
      <c r="B3645" s="104"/>
      <c r="C3645" s="104"/>
      <c r="F3645" s="107" t="str">
        <f aca="false">IF(OR($C3645="",$D3645=0),"",$E3645/$D3645)</f>
        <v/>
      </c>
      <c r="H3645" s="0" t="str">
        <f aca="false">IF($C3645="","",IF(COUNTIF('مواد المخزون'!$A$2:$A$90,$C3645)&gt;0,"نعم","لا (خارج الجرد)"))</f>
        <v/>
      </c>
    </row>
    <row r="3646" customFormat="false" ht="15" hidden="false" customHeight="false" outlineLevel="0" collapsed="false">
      <c r="A3646" s="103"/>
      <c r="B3646" s="104"/>
      <c r="C3646" s="104"/>
      <c r="F3646" s="107" t="str">
        <f aca="false">IF(OR($C3646="",$D3646=0),"",$E3646/$D3646)</f>
        <v/>
      </c>
      <c r="H3646" s="0" t="str">
        <f aca="false">IF($C3646="","",IF(COUNTIF('مواد المخزون'!$A$2:$A$90,$C3646)&gt;0,"نعم","لا (خارج الجرد)"))</f>
        <v/>
      </c>
    </row>
    <row r="3647" customFormat="false" ht="15" hidden="false" customHeight="false" outlineLevel="0" collapsed="false">
      <c r="A3647" s="103"/>
      <c r="B3647" s="104"/>
      <c r="C3647" s="104"/>
      <c r="F3647" s="107" t="str">
        <f aca="false">IF(OR($C3647="",$D3647=0),"",$E3647/$D3647)</f>
        <v/>
      </c>
      <c r="H3647" s="0" t="str">
        <f aca="false">IF($C3647="","",IF(COUNTIF('مواد المخزون'!$A$2:$A$90,$C3647)&gt;0,"نعم","لا (خارج الجرد)"))</f>
        <v/>
      </c>
    </row>
    <row r="3648" customFormat="false" ht="15" hidden="false" customHeight="false" outlineLevel="0" collapsed="false">
      <c r="A3648" s="103"/>
      <c r="B3648" s="104"/>
      <c r="C3648" s="104"/>
      <c r="F3648" s="107" t="str">
        <f aca="false">IF(OR($C3648="",$D3648=0),"",$E3648/$D3648)</f>
        <v/>
      </c>
      <c r="H3648" s="0" t="str">
        <f aca="false">IF($C3648="","",IF(COUNTIF('مواد المخزون'!$A$2:$A$90,$C3648)&gt;0,"نعم","لا (خارج الجرد)"))</f>
        <v/>
      </c>
    </row>
    <row r="3649" customFormat="false" ht="15" hidden="false" customHeight="false" outlineLevel="0" collapsed="false">
      <c r="A3649" s="103"/>
      <c r="B3649" s="104"/>
      <c r="C3649" s="104"/>
      <c r="F3649" s="107" t="str">
        <f aca="false">IF(OR($C3649="",$D3649=0),"",$E3649/$D3649)</f>
        <v/>
      </c>
      <c r="H3649" s="0" t="str">
        <f aca="false">IF($C3649="","",IF(COUNTIF('مواد المخزون'!$A$2:$A$90,$C3649)&gt;0,"نعم","لا (خارج الجرد)"))</f>
        <v/>
      </c>
    </row>
    <row r="3650" customFormat="false" ht="15" hidden="false" customHeight="false" outlineLevel="0" collapsed="false">
      <c r="A3650" s="103"/>
      <c r="B3650" s="104"/>
      <c r="C3650" s="104"/>
      <c r="F3650" s="107" t="str">
        <f aca="false">IF(OR($C3650="",$D3650=0),"",$E3650/$D3650)</f>
        <v/>
      </c>
      <c r="H3650" s="0" t="str">
        <f aca="false">IF($C3650="","",IF(COUNTIF('مواد المخزون'!$A$2:$A$90,$C3650)&gt;0,"نعم","لا (خارج الجرد)"))</f>
        <v/>
      </c>
    </row>
    <row r="3651" customFormat="false" ht="15" hidden="false" customHeight="false" outlineLevel="0" collapsed="false">
      <c r="A3651" s="103"/>
      <c r="B3651" s="104"/>
      <c r="C3651" s="104"/>
      <c r="F3651" s="107" t="str">
        <f aca="false">IF(OR($C3651="",$D3651=0),"",$E3651/$D3651)</f>
        <v/>
      </c>
      <c r="H3651" s="0" t="str">
        <f aca="false">IF($C3651="","",IF(COUNTIF('مواد المخزون'!$A$2:$A$90,$C3651)&gt;0,"نعم","لا (خارج الجرد)"))</f>
        <v/>
      </c>
    </row>
    <row r="3652" customFormat="false" ht="15" hidden="false" customHeight="false" outlineLevel="0" collapsed="false">
      <c r="A3652" s="103"/>
      <c r="B3652" s="104"/>
      <c r="C3652" s="104"/>
      <c r="F3652" s="107" t="str">
        <f aca="false">IF(OR($C3652="",$D3652=0),"",$E3652/$D3652)</f>
        <v/>
      </c>
      <c r="H3652" s="0" t="str">
        <f aca="false">IF($C3652="","",IF(COUNTIF('مواد المخزون'!$A$2:$A$90,$C3652)&gt;0,"نعم","لا (خارج الجرد)"))</f>
        <v/>
      </c>
    </row>
    <row r="3653" customFormat="false" ht="15" hidden="false" customHeight="false" outlineLevel="0" collapsed="false">
      <c r="A3653" s="103"/>
      <c r="B3653" s="104"/>
      <c r="C3653" s="104"/>
      <c r="F3653" s="107" t="str">
        <f aca="false">IF(OR($C3653="",$D3653=0),"",$E3653/$D3653)</f>
        <v/>
      </c>
      <c r="H3653" s="0" t="str">
        <f aca="false">IF($C3653="","",IF(COUNTIF('مواد المخزون'!$A$2:$A$90,$C3653)&gt;0,"نعم","لا (خارج الجرد)"))</f>
        <v/>
      </c>
    </row>
    <row r="3654" customFormat="false" ht="15" hidden="false" customHeight="false" outlineLevel="0" collapsed="false">
      <c r="A3654" s="103"/>
      <c r="B3654" s="104"/>
      <c r="C3654" s="104"/>
      <c r="F3654" s="107" t="str">
        <f aca="false">IF(OR($C3654="",$D3654=0),"",$E3654/$D3654)</f>
        <v/>
      </c>
      <c r="H3654" s="0" t="str">
        <f aca="false">IF($C3654="","",IF(COUNTIF('مواد المخزون'!$A$2:$A$90,$C3654)&gt;0,"نعم","لا (خارج الجرد)"))</f>
        <v/>
      </c>
    </row>
    <row r="3655" customFormat="false" ht="15" hidden="false" customHeight="false" outlineLevel="0" collapsed="false">
      <c r="A3655" s="103"/>
      <c r="B3655" s="104"/>
      <c r="C3655" s="104"/>
      <c r="F3655" s="107" t="str">
        <f aca="false">IF(OR($C3655="",$D3655=0),"",$E3655/$D3655)</f>
        <v/>
      </c>
      <c r="H3655" s="0" t="str">
        <f aca="false">IF($C3655="","",IF(COUNTIF('مواد المخزون'!$A$2:$A$90,$C3655)&gt;0,"نعم","لا (خارج الجرد)"))</f>
        <v/>
      </c>
    </row>
    <row r="3656" customFormat="false" ht="15" hidden="false" customHeight="false" outlineLevel="0" collapsed="false">
      <c r="A3656" s="103"/>
      <c r="B3656" s="104"/>
      <c r="C3656" s="104"/>
      <c r="F3656" s="107" t="str">
        <f aca="false">IF(OR($C3656="",$D3656=0),"",$E3656/$D3656)</f>
        <v/>
      </c>
      <c r="H3656" s="0" t="str">
        <f aca="false">IF($C3656="","",IF(COUNTIF('مواد المخزون'!$A$2:$A$90,$C3656)&gt;0,"نعم","لا (خارج الجرد)"))</f>
        <v/>
      </c>
    </row>
    <row r="3657" customFormat="false" ht="15" hidden="false" customHeight="false" outlineLevel="0" collapsed="false">
      <c r="A3657" s="103"/>
      <c r="B3657" s="104"/>
      <c r="C3657" s="104"/>
      <c r="F3657" s="107" t="str">
        <f aca="false">IF(OR($C3657="",$D3657=0),"",$E3657/$D3657)</f>
        <v/>
      </c>
      <c r="H3657" s="0" t="str">
        <f aca="false">IF($C3657="","",IF(COUNTIF('مواد المخزون'!$A$2:$A$90,$C3657)&gt;0,"نعم","لا (خارج الجرد)"))</f>
        <v/>
      </c>
    </row>
    <row r="3658" customFormat="false" ht="15" hidden="false" customHeight="false" outlineLevel="0" collapsed="false">
      <c r="A3658" s="103"/>
      <c r="B3658" s="104"/>
      <c r="C3658" s="104"/>
      <c r="F3658" s="107" t="str">
        <f aca="false">IF(OR($C3658="",$D3658=0),"",$E3658/$D3658)</f>
        <v/>
      </c>
      <c r="H3658" s="0" t="str">
        <f aca="false">IF($C3658="","",IF(COUNTIF('مواد المخزون'!$A$2:$A$90,$C3658)&gt;0,"نعم","لا (خارج الجرد)"))</f>
        <v/>
      </c>
    </row>
    <row r="3659" customFormat="false" ht="15" hidden="false" customHeight="false" outlineLevel="0" collapsed="false">
      <c r="A3659" s="103"/>
      <c r="B3659" s="104"/>
      <c r="C3659" s="104"/>
      <c r="F3659" s="107" t="str">
        <f aca="false">IF(OR($C3659="",$D3659=0),"",$E3659/$D3659)</f>
        <v/>
      </c>
      <c r="H3659" s="0" t="str">
        <f aca="false">IF($C3659="","",IF(COUNTIF('مواد المخزون'!$A$2:$A$90,$C3659)&gt;0,"نعم","لا (خارج الجرد)"))</f>
        <v/>
      </c>
    </row>
    <row r="3660" customFormat="false" ht="15" hidden="false" customHeight="false" outlineLevel="0" collapsed="false">
      <c r="A3660" s="103"/>
      <c r="B3660" s="104"/>
      <c r="C3660" s="104"/>
      <c r="F3660" s="107" t="str">
        <f aca="false">IF(OR($C3660="",$D3660=0),"",$E3660/$D3660)</f>
        <v/>
      </c>
      <c r="H3660" s="0" t="str">
        <f aca="false">IF($C3660="","",IF(COUNTIF('مواد المخزون'!$A$2:$A$90,$C3660)&gt;0,"نعم","لا (خارج الجرد)"))</f>
        <v/>
      </c>
    </row>
    <row r="3661" customFormat="false" ht="15" hidden="false" customHeight="false" outlineLevel="0" collapsed="false">
      <c r="A3661" s="103"/>
      <c r="B3661" s="104"/>
      <c r="C3661" s="104"/>
      <c r="F3661" s="107" t="str">
        <f aca="false">IF(OR($C3661="",$D3661=0),"",$E3661/$D3661)</f>
        <v/>
      </c>
      <c r="H3661" s="0" t="str">
        <f aca="false">IF($C3661="","",IF(COUNTIF('مواد المخزون'!$A$2:$A$90,$C3661)&gt;0,"نعم","لا (خارج الجرد)"))</f>
        <v/>
      </c>
    </row>
    <row r="3662" customFormat="false" ht="15" hidden="false" customHeight="false" outlineLevel="0" collapsed="false">
      <c r="A3662" s="103"/>
      <c r="B3662" s="104"/>
      <c r="C3662" s="104"/>
      <c r="F3662" s="107" t="str">
        <f aca="false">IF(OR($C3662="",$D3662=0),"",$E3662/$D3662)</f>
        <v/>
      </c>
      <c r="H3662" s="0" t="str">
        <f aca="false">IF($C3662="","",IF(COUNTIF('مواد المخزون'!$A$2:$A$90,$C3662)&gt;0,"نعم","لا (خارج الجرد)"))</f>
        <v/>
      </c>
    </row>
    <row r="3663" customFormat="false" ht="15" hidden="false" customHeight="false" outlineLevel="0" collapsed="false">
      <c r="A3663" s="103"/>
      <c r="B3663" s="104"/>
      <c r="C3663" s="104"/>
      <c r="F3663" s="107" t="str">
        <f aca="false">IF(OR($C3663="",$D3663=0),"",$E3663/$D3663)</f>
        <v/>
      </c>
      <c r="H3663" s="0" t="str">
        <f aca="false">IF($C3663="","",IF(COUNTIF('مواد المخزون'!$A$2:$A$90,$C3663)&gt;0,"نعم","لا (خارج الجرد)"))</f>
        <v/>
      </c>
    </row>
    <row r="3664" customFormat="false" ht="15" hidden="false" customHeight="false" outlineLevel="0" collapsed="false">
      <c r="A3664" s="103"/>
      <c r="B3664" s="104"/>
      <c r="C3664" s="104"/>
      <c r="F3664" s="107" t="str">
        <f aca="false">IF(OR($C3664="",$D3664=0),"",$E3664/$D3664)</f>
        <v/>
      </c>
      <c r="H3664" s="0" t="str">
        <f aca="false">IF($C3664="","",IF(COUNTIF('مواد المخزون'!$A$2:$A$90,$C3664)&gt;0,"نعم","لا (خارج الجرد)"))</f>
        <v/>
      </c>
    </row>
    <row r="3665" customFormat="false" ht="15" hidden="false" customHeight="false" outlineLevel="0" collapsed="false">
      <c r="A3665" s="103"/>
      <c r="B3665" s="104"/>
      <c r="C3665" s="104"/>
      <c r="F3665" s="107" t="str">
        <f aca="false">IF(OR($C3665="",$D3665=0),"",$E3665/$D3665)</f>
        <v/>
      </c>
      <c r="H3665" s="0" t="str">
        <f aca="false">IF($C3665="","",IF(COUNTIF('مواد المخزون'!$A$2:$A$90,$C3665)&gt;0,"نعم","لا (خارج الجرد)"))</f>
        <v/>
      </c>
    </row>
    <row r="3666" customFormat="false" ht="15" hidden="false" customHeight="false" outlineLevel="0" collapsed="false">
      <c r="A3666" s="103"/>
      <c r="B3666" s="104"/>
      <c r="C3666" s="104"/>
      <c r="F3666" s="107" t="str">
        <f aca="false">IF(OR($C3666="",$D3666=0),"",$E3666/$D3666)</f>
        <v/>
      </c>
      <c r="H3666" s="0" t="str">
        <f aca="false">IF($C3666="","",IF(COUNTIF('مواد المخزون'!$A$2:$A$90,$C3666)&gt;0,"نعم","لا (خارج الجرد)"))</f>
        <v/>
      </c>
    </row>
    <row r="3667" customFormat="false" ht="15" hidden="false" customHeight="false" outlineLevel="0" collapsed="false">
      <c r="A3667" s="103"/>
      <c r="B3667" s="104"/>
      <c r="C3667" s="104"/>
      <c r="F3667" s="107" t="str">
        <f aca="false">IF(OR($C3667="",$D3667=0),"",$E3667/$D3667)</f>
        <v/>
      </c>
      <c r="H3667" s="0" t="str">
        <f aca="false">IF($C3667="","",IF(COUNTIF('مواد المخزون'!$A$2:$A$90,$C3667)&gt;0,"نعم","لا (خارج الجرد)"))</f>
        <v/>
      </c>
    </row>
    <row r="3668" customFormat="false" ht="15" hidden="false" customHeight="false" outlineLevel="0" collapsed="false">
      <c r="A3668" s="103"/>
      <c r="B3668" s="104"/>
      <c r="C3668" s="104"/>
      <c r="F3668" s="107" t="str">
        <f aca="false">IF(OR($C3668="",$D3668=0),"",$E3668/$D3668)</f>
        <v/>
      </c>
      <c r="H3668" s="0" t="str">
        <f aca="false">IF($C3668="","",IF(COUNTIF('مواد المخزون'!$A$2:$A$90,$C3668)&gt;0,"نعم","لا (خارج الجرد)"))</f>
        <v/>
      </c>
    </row>
    <row r="3669" customFormat="false" ht="15" hidden="false" customHeight="false" outlineLevel="0" collapsed="false">
      <c r="A3669" s="103"/>
      <c r="B3669" s="104"/>
      <c r="C3669" s="104"/>
      <c r="F3669" s="107" t="str">
        <f aca="false">IF(OR($C3669="",$D3669=0),"",$E3669/$D3669)</f>
        <v/>
      </c>
      <c r="H3669" s="0" t="str">
        <f aca="false">IF($C3669="","",IF(COUNTIF('مواد المخزون'!$A$2:$A$90,$C3669)&gt;0,"نعم","لا (خارج الجرد)"))</f>
        <v/>
      </c>
    </row>
    <row r="3670" customFormat="false" ht="15" hidden="false" customHeight="false" outlineLevel="0" collapsed="false">
      <c r="A3670" s="103"/>
      <c r="B3670" s="104"/>
      <c r="C3670" s="104"/>
      <c r="F3670" s="107" t="str">
        <f aca="false">IF(OR($C3670="",$D3670=0),"",$E3670/$D3670)</f>
        <v/>
      </c>
      <c r="H3670" s="0" t="str">
        <f aca="false">IF($C3670="","",IF(COUNTIF('مواد المخزون'!$A$2:$A$90,$C3670)&gt;0,"نعم","لا (خارج الجرد)"))</f>
        <v/>
      </c>
    </row>
    <row r="3671" customFormat="false" ht="15" hidden="false" customHeight="false" outlineLevel="0" collapsed="false">
      <c r="A3671" s="103"/>
      <c r="B3671" s="104"/>
      <c r="C3671" s="104"/>
      <c r="F3671" s="107" t="str">
        <f aca="false">IF(OR($C3671="",$D3671=0),"",$E3671/$D3671)</f>
        <v/>
      </c>
      <c r="H3671" s="0" t="str">
        <f aca="false">IF($C3671="","",IF(COUNTIF('مواد المخزون'!$A$2:$A$90,$C3671)&gt;0,"نعم","لا (خارج الجرد)"))</f>
        <v/>
      </c>
    </row>
    <row r="3672" customFormat="false" ht="15" hidden="false" customHeight="false" outlineLevel="0" collapsed="false">
      <c r="A3672" s="103"/>
      <c r="B3672" s="104"/>
      <c r="C3672" s="104"/>
      <c r="F3672" s="107" t="str">
        <f aca="false">IF(OR($C3672="",$D3672=0),"",$E3672/$D3672)</f>
        <v/>
      </c>
      <c r="H3672" s="0" t="str">
        <f aca="false">IF($C3672="","",IF(COUNTIF('مواد المخزون'!$A$2:$A$90,$C3672)&gt;0,"نعم","لا (خارج الجرد)"))</f>
        <v/>
      </c>
    </row>
    <row r="3673" customFormat="false" ht="15" hidden="false" customHeight="false" outlineLevel="0" collapsed="false">
      <c r="A3673" s="103"/>
      <c r="B3673" s="104"/>
      <c r="C3673" s="104"/>
      <c r="F3673" s="107" t="str">
        <f aca="false">IF(OR($C3673="",$D3673=0),"",$E3673/$D3673)</f>
        <v/>
      </c>
      <c r="H3673" s="0" t="str">
        <f aca="false">IF($C3673="","",IF(COUNTIF('مواد المخزون'!$A$2:$A$90,$C3673)&gt;0,"نعم","لا (خارج الجرد)"))</f>
        <v/>
      </c>
    </row>
    <row r="3674" customFormat="false" ht="15" hidden="false" customHeight="false" outlineLevel="0" collapsed="false">
      <c r="A3674" s="103"/>
      <c r="B3674" s="104"/>
      <c r="C3674" s="104"/>
      <c r="F3674" s="107" t="str">
        <f aca="false">IF(OR($C3674="",$D3674=0),"",$E3674/$D3674)</f>
        <v/>
      </c>
      <c r="H3674" s="0" t="str">
        <f aca="false">IF($C3674="","",IF(COUNTIF('مواد المخزون'!$A$2:$A$90,$C3674)&gt;0,"نعم","لا (خارج الجرد)"))</f>
        <v/>
      </c>
    </row>
    <row r="3675" customFormat="false" ht="15" hidden="false" customHeight="false" outlineLevel="0" collapsed="false">
      <c r="A3675" s="103"/>
      <c r="B3675" s="104"/>
      <c r="C3675" s="104"/>
      <c r="F3675" s="107" t="str">
        <f aca="false">IF(OR($C3675="",$D3675=0),"",$E3675/$D3675)</f>
        <v/>
      </c>
      <c r="H3675" s="0" t="str">
        <f aca="false">IF($C3675="","",IF(COUNTIF('مواد المخزون'!$A$2:$A$90,$C3675)&gt;0,"نعم","لا (خارج الجرد)"))</f>
        <v/>
      </c>
    </row>
    <row r="3676" customFormat="false" ht="15" hidden="false" customHeight="false" outlineLevel="0" collapsed="false">
      <c r="A3676" s="103"/>
      <c r="B3676" s="104"/>
      <c r="C3676" s="104"/>
      <c r="F3676" s="107" t="str">
        <f aca="false">IF(OR($C3676="",$D3676=0),"",$E3676/$D3676)</f>
        <v/>
      </c>
      <c r="H3676" s="0" t="str">
        <f aca="false">IF($C3676="","",IF(COUNTIF('مواد المخزون'!$A$2:$A$90,$C3676)&gt;0,"نعم","لا (خارج الجرد)"))</f>
        <v/>
      </c>
    </row>
    <row r="3677" customFormat="false" ht="15" hidden="false" customHeight="false" outlineLevel="0" collapsed="false">
      <c r="A3677" s="103"/>
      <c r="B3677" s="104"/>
      <c r="C3677" s="104"/>
      <c r="F3677" s="107" t="str">
        <f aca="false">IF(OR($C3677="",$D3677=0),"",$E3677/$D3677)</f>
        <v/>
      </c>
      <c r="H3677" s="0" t="str">
        <f aca="false">IF($C3677="","",IF(COUNTIF('مواد المخزون'!$A$2:$A$90,$C3677)&gt;0,"نعم","لا (خارج الجرد)"))</f>
        <v/>
      </c>
    </row>
    <row r="3678" customFormat="false" ht="15" hidden="false" customHeight="false" outlineLevel="0" collapsed="false">
      <c r="A3678" s="103"/>
      <c r="B3678" s="104"/>
      <c r="C3678" s="104"/>
      <c r="F3678" s="107" t="str">
        <f aca="false">IF(OR($C3678="",$D3678=0),"",$E3678/$D3678)</f>
        <v/>
      </c>
      <c r="H3678" s="0" t="str">
        <f aca="false">IF($C3678="","",IF(COUNTIF('مواد المخزون'!$A$2:$A$90,$C3678)&gt;0,"نعم","لا (خارج الجرد)"))</f>
        <v/>
      </c>
    </row>
    <row r="3679" customFormat="false" ht="15" hidden="false" customHeight="false" outlineLevel="0" collapsed="false">
      <c r="A3679" s="103"/>
      <c r="B3679" s="104"/>
      <c r="C3679" s="104"/>
      <c r="F3679" s="107" t="str">
        <f aca="false">IF(OR($C3679="",$D3679=0),"",$E3679/$D3679)</f>
        <v/>
      </c>
      <c r="H3679" s="0" t="str">
        <f aca="false">IF($C3679="","",IF(COUNTIF('مواد المخزون'!$A$2:$A$90,$C3679)&gt;0,"نعم","لا (خارج الجرد)"))</f>
        <v/>
      </c>
    </row>
    <row r="3680" customFormat="false" ht="15" hidden="false" customHeight="false" outlineLevel="0" collapsed="false">
      <c r="A3680" s="103"/>
      <c r="B3680" s="104"/>
      <c r="C3680" s="104"/>
      <c r="F3680" s="107" t="str">
        <f aca="false">IF(OR($C3680="",$D3680=0),"",$E3680/$D3680)</f>
        <v/>
      </c>
      <c r="H3680" s="0" t="str">
        <f aca="false">IF($C3680="","",IF(COUNTIF('مواد المخزون'!$A$2:$A$90,$C3680)&gt;0,"نعم","لا (خارج الجرد)"))</f>
        <v/>
      </c>
    </row>
    <row r="3681" customFormat="false" ht="15" hidden="false" customHeight="false" outlineLevel="0" collapsed="false">
      <c r="A3681" s="103"/>
      <c r="B3681" s="104"/>
      <c r="C3681" s="104"/>
      <c r="F3681" s="107" t="str">
        <f aca="false">IF(OR($C3681="",$D3681=0),"",$E3681/$D3681)</f>
        <v/>
      </c>
      <c r="H3681" s="0" t="str">
        <f aca="false">IF($C3681="","",IF(COUNTIF('مواد المخزون'!$A$2:$A$90,$C3681)&gt;0,"نعم","لا (خارج الجرد)"))</f>
        <v/>
      </c>
    </row>
    <row r="3682" customFormat="false" ht="15" hidden="false" customHeight="false" outlineLevel="0" collapsed="false">
      <c r="A3682" s="103"/>
      <c r="B3682" s="104"/>
      <c r="C3682" s="104"/>
      <c r="F3682" s="107" t="str">
        <f aca="false">IF(OR($C3682="",$D3682=0),"",$E3682/$D3682)</f>
        <v/>
      </c>
      <c r="H3682" s="0" t="str">
        <f aca="false">IF($C3682="","",IF(COUNTIF('مواد المخزون'!$A$2:$A$90,$C3682)&gt;0,"نعم","لا (خارج الجرد)"))</f>
        <v/>
      </c>
    </row>
    <row r="3683" customFormat="false" ht="15" hidden="false" customHeight="false" outlineLevel="0" collapsed="false">
      <c r="A3683" s="103"/>
      <c r="B3683" s="104"/>
      <c r="C3683" s="104"/>
      <c r="F3683" s="107" t="str">
        <f aca="false">IF(OR($C3683="",$D3683=0),"",$E3683/$D3683)</f>
        <v/>
      </c>
      <c r="H3683" s="0" t="str">
        <f aca="false">IF($C3683="","",IF(COUNTIF('مواد المخزون'!$A$2:$A$90,$C3683)&gt;0,"نعم","لا (خارج الجرد)"))</f>
        <v/>
      </c>
    </row>
    <row r="3684" customFormat="false" ht="15" hidden="false" customHeight="false" outlineLevel="0" collapsed="false">
      <c r="A3684" s="103"/>
      <c r="B3684" s="104"/>
      <c r="C3684" s="104"/>
      <c r="F3684" s="107" t="str">
        <f aca="false">IF(OR($C3684="",$D3684=0),"",$E3684/$D3684)</f>
        <v/>
      </c>
      <c r="H3684" s="0" t="str">
        <f aca="false">IF($C3684="","",IF(COUNTIF('مواد المخزون'!$A$2:$A$90,$C3684)&gt;0,"نعم","لا (خارج الجرد)"))</f>
        <v/>
      </c>
    </row>
    <row r="3685" customFormat="false" ht="15" hidden="false" customHeight="false" outlineLevel="0" collapsed="false">
      <c r="A3685" s="103"/>
      <c r="B3685" s="104"/>
      <c r="C3685" s="104"/>
      <c r="F3685" s="107" t="str">
        <f aca="false">IF(OR($C3685="",$D3685=0),"",$E3685/$D3685)</f>
        <v/>
      </c>
      <c r="H3685" s="0" t="str">
        <f aca="false">IF($C3685="","",IF(COUNTIF('مواد المخزون'!$A$2:$A$90,$C3685)&gt;0,"نعم","لا (خارج الجرد)"))</f>
        <v/>
      </c>
    </row>
    <row r="3686" customFormat="false" ht="15" hidden="false" customHeight="false" outlineLevel="0" collapsed="false">
      <c r="A3686" s="103"/>
      <c r="B3686" s="104"/>
      <c r="C3686" s="104"/>
      <c r="F3686" s="107" t="str">
        <f aca="false">IF(OR($C3686="",$D3686=0),"",$E3686/$D3686)</f>
        <v/>
      </c>
      <c r="H3686" s="0" t="str">
        <f aca="false">IF($C3686="","",IF(COUNTIF('مواد المخزون'!$A$2:$A$90,$C3686)&gt;0,"نعم","لا (خارج الجرد)"))</f>
        <v/>
      </c>
    </row>
    <row r="3687" customFormat="false" ht="15" hidden="false" customHeight="false" outlineLevel="0" collapsed="false">
      <c r="A3687" s="103"/>
      <c r="B3687" s="104"/>
      <c r="C3687" s="104"/>
      <c r="F3687" s="107" t="str">
        <f aca="false">IF(OR($C3687="",$D3687=0),"",$E3687/$D3687)</f>
        <v/>
      </c>
      <c r="H3687" s="0" t="str">
        <f aca="false">IF($C3687="","",IF(COUNTIF('مواد المخزون'!$A$2:$A$90,$C3687)&gt;0,"نعم","لا (خارج الجرد)"))</f>
        <v/>
      </c>
    </row>
    <row r="3688" customFormat="false" ht="15" hidden="false" customHeight="false" outlineLevel="0" collapsed="false">
      <c r="A3688" s="103"/>
      <c r="B3688" s="104"/>
      <c r="C3688" s="104"/>
      <c r="F3688" s="107" t="str">
        <f aca="false">IF(OR($C3688="",$D3688=0),"",$E3688/$D3688)</f>
        <v/>
      </c>
      <c r="H3688" s="0" t="str">
        <f aca="false">IF($C3688="","",IF(COUNTIF('مواد المخزون'!$A$2:$A$90,$C3688)&gt;0,"نعم","لا (خارج الجرد)"))</f>
        <v/>
      </c>
    </row>
    <row r="3689" customFormat="false" ht="15" hidden="false" customHeight="false" outlineLevel="0" collapsed="false">
      <c r="A3689" s="103"/>
      <c r="B3689" s="104"/>
      <c r="C3689" s="104"/>
      <c r="F3689" s="107" t="str">
        <f aca="false">IF(OR($C3689="",$D3689=0),"",$E3689/$D3689)</f>
        <v/>
      </c>
      <c r="H3689" s="0" t="str">
        <f aca="false">IF($C3689="","",IF(COUNTIF('مواد المخزون'!$A$2:$A$90,$C3689)&gt;0,"نعم","لا (خارج الجرد)"))</f>
        <v/>
      </c>
    </row>
    <row r="3690" customFormat="false" ht="15" hidden="false" customHeight="false" outlineLevel="0" collapsed="false">
      <c r="A3690" s="103"/>
      <c r="B3690" s="104"/>
      <c r="C3690" s="104"/>
      <c r="F3690" s="107" t="str">
        <f aca="false">IF(OR($C3690="",$D3690=0),"",$E3690/$D3690)</f>
        <v/>
      </c>
      <c r="H3690" s="0" t="str">
        <f aca="false">IF($C3690="","",IF(COUNTIF('مواد المخزون'!$A$2:$A$90,$C3690)&gt;0,"نعم","لا (خارج الجرد)"))</f>
        <v/>
      </c>
    </row>
    <row r="3691" customFormat="false" ht="15" hidden="false" customHeight="false" outlineLevel="0" collapsed="false">
      <c r="A3691" s="103"/>
      <c r="B3691" s="104"/>
      <c r="C3691" s="104"/>
      <c r="F3691" s="107" t="str">
        <f aca="false">IF(OR($C3691="",$D3691=0),"",$E3691/$D3691)</f>
        <v/>
      </c>
      <c r="H3691" s="0" t="str">
        <f aca="false">IF($C3691="","",IF(COUNTIF('مواد المخزون'!$A$2:$A$90,$C3691)&gt;0,"نعم","لا (خارج الجرد)"))</f>
        <v/>
      </c>
    </row>
    <row r="3692" customFormat="false" ht="15" hidden="false" customHeight="false" outlineLevel="0" collapsed="false">
      <c r="A3692" s="103"/>
      <c r="B3692" s="104"/>
      <c r="C3692" s="104"/>
      <c r="F3692" s="107" t="str">
        <f aca="false">IF(OR($C3692="",$D3692=0),"",$E3692/$D3692)</f>
        <v/>
      </c>
      <c r="H3692" s="0" t="str">
        <f aca="false">IF($C3692="","",IF(COUNTIF('مواد المخزون'!$A$2:$A$90,$C3692)&gt;0,"نعم","لا (خارج الجرد)"))</f>
        <v/>
      </c>
    </row>
    <row r="3693" customFormat="false" ht="15" hidden="false" customHeight="false" outlineLevel="0" collapsed="false">
      <c r="A3693" s="103"/>
      <c r="B3693" s="104"/>
      <c r="C3693" s="104"/>
      <c r="F3693" s="107" t="str">
        <f aca="false">IF(OR($C3693="",$D3693=0),"",$E3693/$D3693)</f>
        <v/>
      </c>
      <c r="H3693" s="0" t="str">
        <f aca="false">IF($C3693="","",IF(COUNTIF('مواد المخزون'!$A$2:$A$90,$C3693)&gt;0,"نعم","لا (خارج الجرد)"))</f>
        <v/>
      </c>
    </row>
    <row r="3694" customFormat="false" ht="15" hidden="false" customHeight="false" outlineLevel="0" collapsed="false">
      <c r="A3694" s="103"/>
      <c r="B3694" s="104"/>
      <c r="C3694" s="104"/>
      <c r="F3694" s="107" t="str">
        <f aca="false">IF(OR($C3694="",$D3694=0),"",$E3694/$D3694)</f>
        <v/>
      </c>
      <c r="H3694" s="0" t="str">
        <f aca="false">IF($C3694="","",IF(COUNTIF('مواد المخزون'!$A$2:$A$90,$C3694)&gt;0,"نعم","لا (خارج الجرد)"))</f>
        <v/>
      </c>
    </row>
    <row r="3695" customFormat="false" ht="15" hidden="false" customHeight="false" outlineLevel="0" collapsed="false">
      <c r="A3695" s="103"/>
      <c r="B3695" s="104"/>
      <c r="C3695" s="104"/>
      <c r="F3695" s="107" t="str">
        <f aca="false">IF(OR($C3695="",$D3695=0),"",$E3695/$D3695)</f>
        <v/>
      </c>
      <c r="H3695" s="0" t="str">
        <f aca="false">IF($C3695="","",IF(COUNTIF('مواد المخزون'!$A$2:$A$90,$C3695)&gt;0,"نعم","لا (خارج الجرد)"))</f>
        <v/>
      </c>
    </row>
    <row r="3696" customFormat="false" ht="15" hidden="false" customHeight="false" outlineLevel="0" collapsed="false">
      <c r="A3696" s="103"/>
      <c r="B3696" s="104"/>
      <c r="C3696" s="104"/>
      <c r="F3696" s="107" t="str">
        <f aca="false">IF(OR($C3696="",$D3696=0),"",$E3696/$D3696)</f>
        <v/>
      </c>
      <c r="H3696" s="0" t="str">
        <f aca="false">IF($C3696="","",IF(COUNTIF('مواد المخزون'!$A$2:$A$90,$C3696)&gt;0,"نعم","لا (خارج الجرد)"))</f>
        <v/>
      </c>
    </row>
    <row r="3697" customFormat="false" ht="15" hidden="false" customHeight="false" outlineLevel="0" collapsed="false">
      <c r="A3697" s="103"/>
      <c r="B3697" s="104"/>
      <c r="C3697" s="104"/>
      <c r="F3697" s="107" t="str">
        <f aca="false">IF(OR($C3697="",$D3697=0),"",$E3697/$D3697)</f>
        <v/>
      </c>
      <c r="H3697" s="0" t="str">
        <f aca="false">IF($C3697="","",IF(COUNTIF('مواد المخزون'!$A$2:$A$90,$C3697)&gt;0,"نعم","لا (خارج الجرد)"))</f>
        <v/>
      </c>
    </row>
    <row r="3698" customFormat="false" ht="15" hidden="false" customHeight="false" outlineLevel="0" collapsed="false">
      <c r="A3698" s="103"/>
      <c r="B3698" s="104"/>
      <c r="C3698" s="104"/>
      <c r="F3698" s="107" t="str">
        <f aca="false">IF(OR($C3698="",$D3698=0),"",$E3698/$D3698)</f>
        <v/>
      </c>
      <c r="H3698" s="0" t="str">
        <f aca="false">IF($C3698="","",IF(COUNTIF('مواد المخزون'!$A$2:$A$90,$C3698)&gt;0,"نعم","لا (خارج الجرد)"))</f>
        <v/>
      </c>
    </row>
    <row r="3699" customFormat="false" ht="15" hidden="false" customHeight="false" outlineLevel="0" collapsed="false">
      <c r="A3699" s="103"/>
      <c r="B3699" s="104"/>
      <c r="C3699" s="104"/>
      <c r="F3699" s="107" t="str">
        <f aca="false">IF(OR($C3699="",$D3699=0),"",$E3699/$D3699)</f>
        <v/>
      </c>
      <c r="H3699" s="0" t="str">
        <f aca="false">IF($C3699="","",IF(COUNTIF('مواد المخزون'!$A$2:$A$90,$C3699)&gt;0,"نعم","لا (خارج الجرد)"))</f>
        <v/>
      </c>
    </row>
    <row r="3700" customFormat="false" ht="15" hidden="false" customHeight="false" outlineLevel="0" collapsed="false">
      <c r="A3700" s="103"/>
      <c r="B3700" s="104"/>
      <c r="C3700" s="104"/>
      <c r="F3700" s="107" t="str">
        <f aca="false">IF(OR($C3700="",$D3700=0),"",$E3700/$D3700)</f>
        <v/>
      </c>
      <c r="H3700" s="0" t="str">
        <f aca="false">IF($C3700="","",IF(COUNTIF('مواد المخزون'!$A$2:$A$90,$C3700)&gt;0,"نعم","لا (خارج الجرد)"))</f>
        <v/>
      </c>
    </row>
    <row r="3701" customFormat="false" ht="15" hidden="false" customHeight="false" outlineLevel="0" collapsed="false">
      <c r="A3701" s="103"/>
      <c r="B3701" s="104"/>
      <c r="C3701" s="104"/>
      <c r="F3701" s="107" t="str">
        <f aca="false">IF(OR($C3701="",$D3701=0),"",$E3701/$D3701)</f>
        <v/>
      </c>
      <c r="H3701" s="0" t="str">
        <f aca="false">IF($C3701="","",IF(COUNTIF('مواد المخزون'!$A$2:$A$90,$C3701)&gt;0,"نعم","لا (خارج الجرد)"))</f>
        <v/>
      </c>
    </row>
    <row r="3702" customFormat="false" ht="15" hidden="false" customHeight="false" outlineLevel="0" collapsed="false">
      <c r="A3702" s="103"/>
      <c r="B3702" s="104"/>
      <c r="C3702" s="104"/>
      <c r="F3702" s="107" t="str">
        <f aca="false">IF(OR($C3702="",$D3702=0),"",$E3702/$D3702)</f>
        <v/>
      </c>
      <c r="H3702" s="0" t="str">
        <f aca="false">IF($C3702="","",IF(COUNTIF('مواد المخزون'!$A$2:$A$90,$C3702)&gt;0,"نعم","لا (خارج الجرد)"))</f>
        <v/>
      </c>
    </row>
    <row r="3703" customFormat="false" ht="15" hidden="false" customHeight="false" outlineLevel="0" collapsed="false">
      <c r="A3703" s="103"/>
      <c r="B3703" s="104"/>
      <c r="C3703" s="104"/>
      <c r="F3703" s="107" t="str">
        <f aca="false">IF(OR($C3703="",$D3703=0),"",$E3703/$D3703)</f>
        <v/>
      </c>
      <c r="H3703" s="0" t="str">
        <f aca="false">IF($C3703="","",IF(COUNTIF('مواد المخزون'!$A$2:$A$90,$C3703)&gt;0,"نعم","لا (خارج الجرد)"))</f>
        <v/>
      </c>
    </row>
    <row r="3704" customFormat="false" ht="15" hidden="false" customHeight="false" outlineLevel="0" collapsed="false">
      <c r="A3704" s="103"/>
      <c r="B3704" s="104"/>
      <c r="C3704" s="104"/>
      <c r="F3704" s="107" t="str">
        <f aca="false">IF(OR($C3704="",$D3704=0),"",$E3704/$D3704)</f>
        <v/>
      </c>
      <c r="H3704" s="0" t="str">
        <f aca="false">IF($C3704="","",IF(COUNTIF('مواد المخزون'!$A$2:$A$90,$C3704)&gt;0,"نعم","لا (خارج الجرد)"))</f>
        <v/>
      </c>
    </row>
    <row r="3705" customFormat="false" ht="15" hidden="false" customHeight="false" outlineLevel="0" collapsed="false">
      <c r="A3705" s="103"/>
      <c r="B3705" s="104"/>
      <c r="C3705" s="104"/>
      <c r="F3705" s="107" t="str">
        <f aca="false">IF(OR($C3705="",$D3705=0),"",$E3705/$D3705)</f>
        <v/>
      </c>
      <c r="H3705" s="0" t="str">
        <f aca="false">IF($C3705="","",IF(COUNTIF('مواد المخزون'!$A$2:$A$90,$C3705)&gt;0,"نعم","لا (خارج الجرد)"))</f>
        <v/>
      </c>
    </row>
    <row r="3706" customFormat="false" ht="15" hidden="false" customHeight="false" outlineLevel="0" collapsed="false">
      <c r="A3706" s="103"/>
      <c r="B3706" s="104"/>
      <c r="C3706" s="104"/>
      <c r="F3706" s="107" t="str">
        <f aca="false">IF(OR($C3706="",$D3706=0),"",$E3706/$D3706)</f>
        <v/>
      </c>
      <c r="H3706" s="0" t="str">
        <f aca="false">IF($C3706="","",IF(COUNTIF('مواد المخزون'!$A$2:$A$90,$C3706)&gt;0,"نعم","لا (خارج الجرد)"))</f>
        <v/>
      </c>
    </row>
    <row r="3707" customFormat="false" ht="15" hidden="false" customHeight="false" outlineLevel="0" collapsed="false">
      <c r="A3707" s="103"/>
      <c r="B3707" s="104"/>
      <c r="C3707" s="104"/>
      <c r="F3707" s="107" t="str">
        <f aca="false">IF(OR($C3707="",$D3707=0),"",$E3707/$D3707)</f>
        <v/>
      </c>
      <c r="H3707" s="0" t="str">
        <f aca="false">IF($C3707="","",IF(COUNTIF('مواد المخزون'!$A$2:$A$90,$C3707)&gt;0,"نعم","لا (خارج الجرد)"))</f>
        <v/>
      </c>
    </row>
    <row r="3708" customFormat="false" ht="15" hidden="false" customHeight="false" outlineLevel="0" collapsed="false">
      <c r="A3708" s="103"/>
      <c r="B3708" s="104"/>
      <c r="C3708" s="104"/>
      <c r="F3708" s="107" t="str">
        <f aca="false">IF(OR($C3708="",$D3708=0),"",$E3708/$D3708)</f>
        <v/>
      </c>
      <c r="H3708" s="0" t="str">
        <f aca="false">IF($C3708="","",IF(COUNTIF('مواد المخزون'!$A$2:$A$90,$C3708)&gt;0,"نعم","لا (خارج الجرد)"))</f>
        <v/>
      </c>
    </row>
    <row r="3709" customFormat="false" ht="15" hidden="false" customHeight="false" outlineLevel="0" collapsed="false">
      <c r="A3709" s="103"/>
      <c r="B3709" s="104"/>
      <c r="C3709" s="104"/>
      <c r="F3709" s="107" t="str">
        <f aca="false">IF(OR($C3709="",$D3709=0),"",$E3709/$D3709)</f>
        <v/>
      </c>
      <c r="H3709" s="0" t="str">
        <f aca="false">IF($C3709="","",IF(COUNTIF('مواد المخزون'!$A$2:$A$90,$C3709)&gt;0,"نعم","لا (خارج الجرد)"))</f>
        <v/>
      </c>
    </row>
    <row r="3710" customFormat="false" ht="15" hidden="false" customHeight="false" outlineLevel="0" collapsed="false">
      <c r="A3710" s="103"/>
      <c r="B3710" s="104"/>
      <c r="C3710" s="104"/>
      <c r="F3710" s="107" t="str">
        <f aca="false">IF(OR($C3710="",$D3710=0),"",$E3710/$D3710)</f>
        <v/>
      </c>
      <c r="H3710" s="0" t="str">
        <f aca="false">IF($C3710="","",IF(COUNTIF('مواد المخزون'!$A$2:$A$90,$C3710)&gt;0,"نعم","لا (خارج الجرد)"))</f>
        <v/>
      </c>
    </row>
    <row r="3711" customFormat="false" ht="15" hidden="false" customHeight="false" outlineLevel="0" collapsed="false">
      <c r="A3711" s="103"/>
      <c r="B3711" s="104"/>
      <c r="C3711" s="104"/>
      <c r="F3711" s="107" t="str">
        <f aca="false">IF(OR($C3711="",$D3711=0),"",$E3711/$D3711)</f>
        <v/>
      </c>
      <c r="H3711" s="0" t="str">
        <f aca="false">IF($C3711="","",IF(COUNTIF('مواد المخزون'!$A$2:$A$90,$C3711)&gt;0,"نعم","لا (خارج الجرد)"))</f>
        <v/>
      </c>
    </row>
    <row r="3712" customFormat="false" ht="15" hidden="false" customHeight="false" outlineLevel="0" collapsed="false">
      <c r="A3712" s="103"/>
      <c r="B3712" s="104"/>
      <c r="C3712" s="104"/>
      <c r="F3712" s="107" t="str">
        <f aca="false">IF(OR($C3712="",$D3712=0),"",$E3712/$D3712)</f>
        <v/>
      </c>
      <c r="H3712" s="0" t="str">
        <f aca="false">IF($C3712="","",IF(COUNTIF('مواد المخزون'!$A$2:$A$90,$C3712)&gt;0,"نعم","لا (خارج الجرد)"))</f>
        <v/>
      </c>
    </row>
    <row r="3713" customFormat="false" ht="15" hidden="false" customHeight="false" outlineLevel="0" collapsed="false">
      <c r="A3713" s="103"/>
      <c r="B3713" s="104"/>
      <c r="C3713" s="104"/>
      <c r="F3713" s="107" t="str">
        <f aca="false">IF(OR($C3713="",$D3713=0),"",$E3713/$D3713)</f>
        <v/>
      </c>
      <c r="H3713" s="0" t="str">
        <f aca="false">IF($C3713="","",IF(COUNTIF('مواد المخزون'!$A$2:$A$90,$C3713)&gt;0,"نعم","لا (خارج الجرد)"))</f>
        <v/>
      </c>
    </row>
    <row r="3714" customFormat="false" ht="15" hidden="false" customHeight="false" outlineLevel="0" collapsed="false">
      <c r="A3714" s="103"/>
      <c r="B3714" s="104"/>
      <c r="C3714" s="104"/>
      <c r="F3714" s="107" t="str">
        <f aca="false">IF(OR($C3714="",$D3714=0),"",$E3714/$D3714)</f>
        <v/>
      </c>
      <c r="H3714" s="0" t="str">
        <f aca="false">IF($C3714="","",IF(COUNTIF('مواد المخزون'!$A$2:$A$90,$C3714)&gt;0,"نعم","لا (خارج الجرد)"))</f>
        <v/>
      </c>
    </row>
    <row r="3715" customFormat="false" ht="15" hidden="false" customHeight="false" outlineLevel="0" collapsed="false">
      <c r="A3715" s="103"/>
      <c r="B3715" s="104"/>
      <c r="C3715" s="104"/>
      <c r="F3715" s="107" t="str">
        <f aca="false">IF(OR($C3715="",$D3715=0),"",$E3715/$D3715)</f>
        <v/>
      </c>
      <c r="H3715" s="0" t="str">
        <f aca="false">IF($C3715="","",IF(COUNTIF('مواد المخزون'!$A$2:$A$90,$C3715)&gt;0,"نعم","لا (خارج الجرد)"))</f>
        <v/>
      </c>
    </row>
    <row r="3716" customFormat="false" ht="15" hidden="false" customHeight="false" outlineLevel="0" collapsed="false">
      <c r="A3716" s="103"/>
      <c r="B3716" s="104"/>
      <c r="C3716" s="104"/>
      <c r="F3716" s="107" t="str">
        <f aca="false">IF(OR($C3716="",$D3716=0),"",$E3716/$D3716)</f>
        <v/>
      </c>
      <c r="H3716" s="0" t="str">
        <f aca="false">IF($C3716="","",IF(COUNTIF('مواد المخزون'!$A$2:$A$90,$C3716)&gt;0,"نعم","لا (خارج الجرد)"))</f>
        <v/>
      </c>
    </row>
    <row r="3717" customFormat="false" ht="15" hidden="false" customHeight="false" outlineLevel="0" collapsed="false">
      <c r="A3717" s="103"/>
      <c r="B3717" s="104"/>
      <c r="C3717" s="104"/>
      <c r="F3717" s="107" t="str">
        <f aca="false">IF(OR($C3717="",$D3717=0),"",$E3717/$D3717)</f>
        <v/>
      </c>
      <c r="H3717" s="0" t="str">
        <f aca="false">IF($C3717="","",IF(COUNTIF('مواد المخزون'!$A$2:$A$90,$C3717)&gt;0,"نعم","لا (خارج الجرد)"))</f>
        <v/>
      </c>
    </row>
    <row r="3718" customFormat="false" ht="15" hidden="false" customHeight="false" outlineLevel="0" collapsed="false">
      <c r="A3718" s="103"/>
      <c r="B3718" s="104"/>
      <c r="C3718" s="104"/>
      <c r="F3718" s="107" t="str">
        <f aca="false">IF(OR($C3718="",$D3718=0),"",$E3718/$D3718)</f>
        <v/>
      </c>
      <c r="H3718" s="0" t="str">
        <f aca="false">IF($C3718="","",IF(COUNTIF('مواد المخزون'!$A$2:$A$90,$C3718)&gt;0,"نعم","لا (خارج الجرد)"))</f>
        <v/>
      </c>
    </row>
    <row r="3719" customFormat="false" ht="15" hidden="false" customHeight="false" outlineLevel="0" collapsed="false">
      <c r="A3719" s="103"/>
      <c r="B3719" s="104"/>
      <c r="C3719" s="104"/>
      <c r="F3719" s="107" t="str">
        <f aca="false">IF(OR($C3719="",$D3719=0),"",$E3719/$D3719)</f>
        <v/>
      </c>
      <c r="H3719" s="0" t="str">
        <f aca="false">IF($C3719="","",IF(COUNTIF('مواد المخزون'!$A$2:$A$90,$C3719)&gt;0,"نعم","لا (خارج الجرد)"))</f>
        <v/>
      </c>
    </row>
    <row r="3720" customFormat="false" ht="15" hidden="false" customHeight="false" outlineLevel="0" collapsed="false">
      <c r="A3720" s="103"/>
      <c r="B3720" s="104"/>
      <c r="C3720" s="104"/>
      <c r="F3720" s="107" t="str">
        <f aca="false">IF(OR($C3720="",$D3720=0),"",$E3720/$D3720)</f>
        <v/>
      </c>
      <c r="H3720" s="0" t="str">
        <f aca="false">IF($C3720="","",IF(COUNTIF('مواد المخزون'!$A$2:$A$90,$C3720)&gt;0,"نعم","لا (خارج الجرد)"))</f>
        <v/>
      </c>
    </row>
    <row r="3721" customFormat="false" ht="15" hidden="false" customHeight="false" outlineLevel="0" collapsed="false">
      <c r="A3721" s="103"/>
      <c r="B3721" s="104"/>
      <c r="C3721" s="104"/>
      <c r="F3721" s="107" t="str">
        <f aca="false">IF(OR($C3721="",$D3721=0),"",$E3721/$D3721)</f>
        <v/>
      </c>
      <c r="H3721" s="0" t="str">
        <f aca="false">IF($C3721="","",IF(COUNTIF('مواد المخزون'!$A$2:$A$90,$C3721)&gt;0,"نعم","لا (خارج الجرد)"))</f>
        <v/>
      </c>
    </row>
    <row r="3722" customFormat="false" ht="15" hidden="false" customHeight="false" outlineLevel="0" collapsed="false">
      <c r="A3722" s="103"/>
      <c r="B3722" s="104"/>
      <c r="C3722" s="104"/>
      <c r="F3722" s="107" t="str">
        <f aca="false">IF(OR($C3722="",$D3722=0),"",$E3722/$D3722)</f>
        <v/>
      </c>
      <c r="H3722" s="0" t="str">
        <f aca="false">IF($C3722="","",IF(COUNTIF('مواد المخزون'!$A$2:$A$90,$C3722)&gt;0,"نعم","لا (خارج الجرد)"))</f>
        <v/>
      </c>
    </row>
    <row r="3723" customFormat="false" ht="15" hidden="false" customHeight="false" outlineLevel="0" collapsed="false">
      <c r="A3723" s="103"/>
      <c r="B3723" s="104"/>
      <c r="C3723" s="104"/>
      <c r="F3723" s="107" t="str">
        <f aca="false">IF(OR($C3723="",$D3723=0),"",$E3723/$D3723)</f>
        <v/>
      </c>
      <c r="H3723" s="0" t="str">
        <f aca="false">IF($C3723="","",IF(COUNTIF('مواد المخزون'!$A$2:$A$90,$C3723)&gt;0,"نعم","لا (خارج الجرد)"))</f>
        <v/>
      </c>
    </row>
    <row r="3724" customFormat="false" ht="15" hidden="false" customHeight="false" outlineLevel="0" collapsed="false">
      <c r="A3724" s="103"/>
      <c r="B3724" s="104"/>
      <c r="C3724" s="104"/>
      <c r="F3724" s="107" t="str">
        <f aca="false">IF(OR($C3724="",$D3724=0),"",$E3724/$D3724)</f>
        <v/>
      </c>
      <c r="H3724" s="0" t="str">
        <f aca="false">IF($C3724="","",IF(COUNTIF('مواد المخزون'!$A$2:$A$90,$C3724)&gt;0,"نعم","لا (خارج الجرد)"))</f>
        <v/>
      </c>
    </row>
    <row r="3725" customFormat="false" ht="15" hidden="false" customHeight="false" outlineLevel="0" collapsed="false">
      <c r="A3725" s="103"/>
      <c r="B3725" s="104"/>
      <c r="C3725" s="104"/>
      <c r="F3725" s="107" t="str">
        <f aca="false">IF(OR($C3725="",$D3725=0),"",$E3725/$D3725)</f>
        <v/>
      </c>
      <c r="H3725" s="0" t="str">
        <f aca="false">IF($C3725="","",IF(COUNTIF('مواد المخزون'!$A$2:$A$90,$C3725)&gt;0,"نعم","لا (خارج الجرد)"))</f>
        <v/>
      </c>
    </row>
    <row r="3726" customFormat="false" ht="15" hidden="false" customHeight="false" outlineLevel="0" collapsed="false">
      <c r="A3726" s="103"/>
      <c r="B3726" s="104"/>
      <c r="C3726" s="104"/>
      <c r="F3726" s="107" t="str">
        <f aca="false">IF(OR($C3726="",$D3726=0),"",$E3726/$D3726)</f>
        <v/>
      </c>
      <c r="H3726" s="0" t="str">
        <f aca="false">IF($C3726="","",IF(COUNTIF('مواد المخزون'!$A$2:$A$90,$C3726)&gt;0,"نعم","لا (خارج الجرد)"))</f>
        <v/>
      </c>
    </row>
    <row r="3727" customFormat="false" ht="15" hidden="false" customHeight="false" outlineLevel="0" collapsed="false">
      <c r="A3727" s="103"/>
      <c r="B3727" s="104"/>
      <c r="C3727" s="104"/>
      <c r="F3727" s="107" t="str">
        <f aca="false">IF(OR($C3727="",$D3727=0),"",$E3727/$D3727)</f>
        <v/>
      </c>
      <c r="H3727" s="0" t="str">
        <f aca="false">IF($C3727="","",IF(COUNTIF('مواد المخزون'!$A$2:$A$90,$C3727)&gt;0,"نعم","لا (خارج الجرد)"))</f>
        <v/>
      </c>
    </row>
    <row r="3728" customFormat="false" ht="15" hidden="false" customHeight="false" outlineLevel="0" collapsed="false">
      <c r="A3728" s="103"/>
      <c r="B3728" s="104"/>
      <c r="C3728" s="104"/>
      <c r="F3728" s="107" t="str">
        <f aca="false">IF(OR($C3728="",$D3728=0),"",$E3728/$D3728)</f>
        <v/>
      </c>
      <c r="H3728" s="0" t="str">
        <f aca="false">IF($C3728="","",IF(COUNTIF('مواد المخزون'!$A$2:$A$90,$C3728)&gt;0,"نعم","لا (خارج الجرد)"))</f>
        <v/>
      </c>
    </row>
    <row r="3729" customFormat="false" ht="15" hidden="false" customHeight="false" outlineLevel="0" collapsed="false">
      <c r="A3729" s="103"/>
      <c r="B3729" s="104"/>
      <c r="C3729" s="104"/>
      <c r="F3729" s="107" t="str">
        <f aca="false">IF(OR($C3729="",$D3729=0),"",$E3729/$D3729)</f>
        <v/>
      </c>
      <c r="H3729" s="0" t="str">
        <f aca="false">IF($C3729="","",IF(COUNTIF('مواد المخزون'!$A$2:$A$90,$C3729)&gt;0,"نعم","لا (خارج الجرد)"))</f>
        <v/>
      </c>
    </row>
    <row r="3730" customFormat="false" ht="15" hidden="false" customHeight="false" outlineLevel="0" collapsed="false">
      <c r="A3730" s="103"/>
      <c r="B3730" s="104"/>
      <c r="C3730" s="104"/>
      <c r="F3730" s="107" t="str">
        <f aca="false">IF(OR($C3730="",$D3730=0),"",$E3730/$D3730)</f>
        <v/>
      </c>
      <c r="H3730" s="0" t="str">
        <f aca="false">IF($C3730="","",IF(COUNTIF('مواد المخزون'!$A$2:$A$90,$C3730)&gt;0,"نعم","لا (خارج الجرد)"))</f>
        <v/>
      </c>
    </row>
    <row r="3731" customFormat="false" ht="15" hidden="false" customHeight="false" outlineLevel="0" collapsed="false">
      <c r="A3731" s="103"/>
      <c r="B3731" s="104"/>
      <c r="C3731" s="104"/>
      <c r="F3731" s="107" t="str">
        <f aca="false">IF(OR($C3731="",$D3731=0),"",$E3731/$D3731)</f>
        <v/>
      </c>
      <c r="H3731" s="0" t="str">
        <f aca="false">IF($C3731="","",IF(COUNTIF('مواد المخزون'!$A$2:$A$90,$C3731)&gt;0,"نعم","لا (خارج الجرد)"))</f>
        <v/>
      </c>
    </row>
    <row r="3732" customFormat="false" ht="15" hidden="false" customHeight="false" outlineLevel="0" collapsed="false">
      <c r="A3732" s="103"/>
      <c r="B3732" s="104"/>
      <c r="C3732" s="104"/>
      <c r="F3732" s="107" t="str">
        <f aca="false">IF(OR($C3732="",$D3732=0),"",$E3732/$D3732)</f>
        <v/>
      </c>
      <c r="H3732" s="0" t="str">
        <f aca="false">IF($C3732="","",IF(COUNTIF('مواد المخزون'!$A$2:$A$90,$C3732)&gt;0,"نعم","لا (خارج الجرد)"))</f>
        <v/>
      </c>
    </row>
    <row r="3733" customFormat="false" ht="15" hidden="false" customHeight="false" outlineLevel="0" collapsed="false">
      <c r="A3733" s="103"/>
      <c r="B3733" s="104"/>
      <c r="C3733" s="104"/>
      <c r="F3733" s="107" t="str">
        <f aca="false">IF(OR($C3733="",$D3733=0),"",$E3733/$D3733)</f>
        <v/>
      </c>
      <c r="H3733" s="0" t="str">
        <f aca="false">IF($C3733="","",IF(COUNTIF('مواد المخزون'!$A$2:$A$90,$C3733)&gt;0,"نعم","لا (خارج الجرد)"))</f>
        <v/>
      </c>
    </row>
    <row r="3734" customFormat="false" ht="15" hidden="false" customHeight="false" outlineLevel="0" collapsed="false">
      <c r="A3734" s="103"/>
      <c r="B3734" s="104"/>
      <c r="C3734" s="104"/>
      <c r="F3734" s="107" t="str">
        <f aca="false">IF(OR($C3734="",$D3734=0),"",$E3734/$D3734)</f>
        <v/>
      </c>
      <c r="H3734" s="0" t="str">
        <f aca="false">IF($C3734="","",IF(COUNTIF('مواد المخزون'!$A$2:$A$90,$C3734)&gt;0,"نعم","لا (خارج الجرد)"))</f>
        <v/>
      </c>
    </row>
    <row r="3735" customFormat="false" ht="15" hidden="false" customHeight="false" outlineLevel="0" collapsed="false">
      <c r="A3735" s="103"/>
      <c r="B3735" s="104"/>
      <c r="C3735" s="104"/>
      <c r="F3735" s="107" t="str">
        <f aca="false">IF(OR($C3735="",$D3735=0),"",$E3735/$D3735)</f>
        <v/>
      </c>
      <c r="H3735" s="0" t="str">
        <f aca="false">IF($C3735="","",IF(COUNTIF('مواد المخزون'!$A$2:$A$90,$C3735)&gt;0,"نعم","لا (خارج الجرد)"))</f>
        <v/>
      </c>
    </row>
    <row r="3736" customFormat="false" ht="15" hidden="false" customHeight="false" outlineLevel="0" collapsed="false">
      <c r="A3736" s="103"/>
      <c r="B3736" s="104"/>
      <c r="C3736" s="104"/>
      <c r="F3736" s="107" t="str">
        <f aca="false">IF(OR($C3736="",$D3736=0),"",$E3736/$D3736)</f>
        <v/>
      </c>
      <c r="H3736" s="0" t="str">
        <f aca="false">IF($C3736="","",IF(COUNTIF('مواد المخزون'!$A$2:$A$90,$C3736)&gt;0,"نعم","لا (خارج الجرد)"))</f>
        <v/>
      </c>
    </row>
    <row r="3737" customFormat="false" ht="15" hidden="false" customHeight="false" outlineLevel="0" collapsed="false">
      <c r="A3737" s="103"/>
      <c r="B3737" s="104"/>
      <c r="C3737" s="104"/>
      <c r="F3737" s="107" t="str">
        <f aca="false">IF(OR($C3737="",$D3737=0),"",$E3737/$D3737)</f>
        <v/>
      </c>
      <c r="H3737" s="0" t="str">
        <f aca="false">IF($C3737="","",IF(COUNTIF('مواد المخزون'!$A$2:$A$90,$C3737)&gt;0,"نعم","لا (خارج الجرد)"))</f>
        <v/>
      </c>
    </row>
    <row r="3738" customFormat="false" ht="15" hidden="false" customHeight="false" outlineLevel="0" collapsed="false">
      <c r="A3738" s="103"/>
      <c r="B3738" s="104"/>
      <c r="C3738" s="104"/>
      <c r="F3738" s="107" t="str">
        <f aca="false">IF(OR($C3738="",$D3738=0),"",$E3738/$D3738)</f>
        <v/>
      </c>
      <c r="H3738" s="0" t="str">
        <f aca="false">IF($C3738="","",IF(COUNTIF('مواد المخزون'!$A$2:$A$90,$C3738)&gt;0,"نعم","لا (خارج الجرد)"))</f>
        <v/>
      </c>
    </row>
    <row r="3739" customFormat="false" ht="15" hidden="false" customHeight="false" outlineLevel="0" collapsed="false">
      <c r="A3739" s="103"/>
      <c r="B3739" s="104"/>
      <c r="C3739" s="104"/>
      <c r="F3739" s="107" t="str">
        <f aca="false">IF(OR($C3739="",$D3739=0),"",$E3739/$D3739)</f>
        <v/>
      </c>
      <c r="H3739" s="0" t="str">
        <f aca="false">IF($C3739="","",IF(COUNTIF('مواد المخزون'!$A$2:$A$90,$C3739)&gt;0,"نعم","لا (خارج الجرد)"))</f>
        <v/>
      </c>
    </row>
    <row r="3740" customFormat="false" ht="15" hidden="false" customHeight="false" outlineLevel="0" collapsed="false">
      <c r="A3740" s="103"/>
      <c r="B3740" s="104"/>
      <c r="C3740" s="104"/>
      <c r="F3740" s="107" t="str">
        <f aca="false">IF(OR($C3740="",$D3740=0),"",$E3740/$D3740)</f>
        <v/>
      </c>
      <c r="H3740" s="0" t="str">
        <f aca="false">IF($C3740="","",IF(COUNTIF('مواد المخزون'!$A$2:$A$90,$C3740)&gt;0,"نعم","لا (خارج الجرد)"))</f>
        <v/>
      </c>
    </row>
    <row r="3741" customFormat="false" ht="15" hidden="false" customHeight="false" outlineLevel="0" collapsed="false">
      <c r="A3741" s="103"/>
      <c r="B3741" s="104"/>
      <c r="C3741" s="104"/>
      <c r="F3741" s="107" t="str">
        <f aca="false">IF(OR($C3741="",$D3741=0),"",$E3741/$D3741)</f>
        <v/>
      </c>
      <c r="H3741" s="0" t="str">
        <f aca="false">IF($C3741="","",IF(COUNTIF('مواد المخزون'!$A$2:$A$90,$C3741)&gt;0,"نعم","لا (خارج الجرد)"))</f>
        <v/>
      </c>
    </row>
    <row r="3742" customFormat="false" ht="15" hidden="false" customHeight="false" outlineLevel="0" collapsed="false">
      <c r="A3742" s="103"/>
      <c r="B3742" s="104"/>
      <c r="C3742" s="104"/>
      <c r="F3742" s="107" t="str">
        <f aca="false">IF(OR($C3742="",$D3742=0),"",$E3742/$D3742)</f>
        <v/>
      </c>
      <c r="H3742" s="0" t="str">
        <f aca="false">IF($C3742="","",IF(COUNTIF('مواد المخزون'!$A$2:$A$90,$C3742)&gt;0,"نعم","لا (خارج الجرد)"))</f>
        <v/>
      </c>
    </row>
    <row r="3743" customFormat="false" ht="15" hidden="false" customHeight="false" outlineLevel="0" collapsed="false">
      <c r="A3743" s="103"/>
      <c r="B3743" s="104"/>
      <c r="C3743" s="104"/>
      <c r="F3743" s="107" t="str">
        <f aca="false">IF(OR($C3743="",$D3743=0),"",$E3743/$D3743)</f>
        <v/>
      </c>
      <c r="H3743" s="0" t="str">
        <f aca="false">IF($C3743="","",IF(COUNTIF('مواد المخزون'!$A$2:$A$90,$C3743)&gt;0,"نعم","لا (خارج الجرد)"))</f>
        <v/>
      </c>
    </row>
    <row r="3744" customFormat="false" ht="15" hidden="false" customHeight="false" outlineLevel="0" collapsed="false">
      <c r="A3744" s="103"/>
      <c r="B3744" s="104"/>
      <c r="C3744" s="104"/>
      <c r="F3744" s="107" t="str">
        <f aca="false">IF(OR($C3744="",$D3744=0),"",$E3744/$D3744)</f>
        <v/>
      </c>
      <c r="H3744" s="0" t="str">
        <f aca="false">IF($C3744="","",IF(COUNTIF('مواد المخزون'!$A$2:$A$90,$C3744)&gt;0,"نعم","لا (خارج الجرد)"))</f>
        <v/>
      </c>
    </row>
    <row r="3745" customFormat="false" ht="15" hidden="false" customHeight="false" outlineLevel="0" collapsed="false">
      <c r="A3745" s="103"/>
      <c r="B3745" s="104"/>
      <c r="C3745" s="104"/>
      <c r="F3745" s="107" t="str">
        <f aca="false">IF(OR($C3745="",$D3745=0),"",$E3745/$D3745)</f>
        <v/>
      </c>
      <c r="H3745" s="0" t="str">
        <f aca="false">IF($C3745="","",IF(COUNTIF('مواد المخزون'!$A$2:$A$90,$C3745)&gt;0,"نعم","لا (خارج الجرد)"))</f>
        <v/>
      </c>
    </row>
    <row r="3746" customFormat="false" ht="15" hidden="false" customHeight="false" outlineLevel="0" collapsed="false">
      <c r="A3746" s="103"/>
      <c r="B3746" s="104"/>
      <c r="C3746" s="104"/>
      <c r="F3746" s="107" t="str">
        <f aca="false">IF(OR($C3746="",$D3746=0),"",$E3746/$D3746)</f>
        <v/>
      </c>
      <c r="H3746" s="0" t="str">
        <f aca="false">IF($C3746="","",IF(COUNTIF('مواد المخزون'!$A$2:$A$90,$C3746)&gt;0,"نعم","لا (خارج الجرد)"))</f>
        <v/>
      </c>
    </row>
    <row r="3747" customFormat="false" ht="15" hidden="false" customHeight="false" outlineLevel="0" collapsed="false">
      <c r="A3747" s="103"/>
      <c r="B3747" s="104"/>
      <c r="C3747" s="104"/>
      <c r="F3747" s="107" t="str">
        <f aca="false">IF(OR($C3747="",$D3747=0),"",$E3747/$D3747)</f>
        <v/>
      </c>
      <c r="H3747" s="0" t="str">
        <f aca="false">IF($C3747="","",IF(COUNTIF('مواد المخزون'!$A$2:$A$90,$C3747)&gt;0,"نعم","لا (خارج الجرد)"))</f>
        <v/>
      </c>
    </row>
    <row r="3748" customFormat="false" ht="15" hidden="false" customHeight="false" outlineLevel="0" collapsed="false">
      <c r="A3748" s="103"/>
      <c r="B3748" s="104"/>
      <c r="C3748" s="104"/>
      <c r="F3748" s="107" t="str">
        <f aca="false">IF(OR($C3748="",$D3748=0),"",$E3748/$D3748)</f>
        <v/>
      </c>
      <c r="H3748" s="0" t="str">
        <f aca="false">IF($C3748="","",IF(COUNTIF('مواد المخزون'!$A$2:$A$90,$C3748)&gt;0,"نعم","لا (خارج الجرد)"))</f>
        <v/>
      </c>
    </row>
    <row r="3749" customFormat="false" ht="15" hidden="false" customHeight="false" outlineLevel="0" collapsed="false">
      <c r="A3749" s="103"/>
      <c r="B3749" s="104"/>
      <c r="C3749" s="104"/>
      <c r="F3749" s="107" t="str">
        <f aca="false">IF(OR($C3749="",$D3749=0),"",$E3749/$D3749)</f>
        <v/>
      </c>
      <c r="H3749" s="0" t="str">
        <f aca="false">IF($C3749="","",IF(COUNTIF('مواد المخزون'!$A$2:$A$90,$C3749)&gt;0,"نعم","لا (خارج الجرد)"))</f>
        <v/>
      </c>
    </row>
    <row r="3750" customFormat="false" ht="15" hidden="false" customHeight="false" outlineLevel="0" collapsed="false">
      <c r="A3750" s="103"/>
      <c r="B3750" s="104"/>
      <c r="C3750" s="104"/>
      <c r="F3750" s="107" t="str">
        <f aca="false">IF(OR($C3750="",$D3750=0),"",$E3750/$D3750)</f>
        <v/>
      </c>
      <c r="H3750" s="0" t="str">
        <f aca="false">IF($C3750="","",IF(COUNTIF('مواد المخزون'!$A$2:$A$90,$C3750)&gt;0,"نعم","لا (خارج الجرد)"))</f>
        <v/>
      </c>
    </row>
    <row r="3751" customFormat="false" ht="15" hidden="false" customHeight="false" outlineLevel="0" collapsed="false">
      <c r="A3751" s="103"/>
      <c r="B3751" s="104"/>
      <c r="C3751" s="104"/>
      <c r="F3751" s="107" t="str">
        <f aca="false">IF(OR($C3751="",$D3751=0),"",$E3751/$D3751)</f>
        <v/>
      </c>
      <c r="H3751" s="0" t="str">
        <f aca="false">IF($C3751="","",IF(COUNTIF('مواد المخزون'!$A$2:$A$90,$C3751)&gt;0,"نعم","لا (خارج الجرد)"))</f>
        <v/>
      </c>
    </row>
    <row r="3752" customFormat="false" ht="15" hidden="false" customHeight="false" outlineLevel="0" collapsed="false">
      <c r="A3752" s="103"/>
      <c r="B3752" s="104"/>
      <c r="C3752" s="104"/>
      <c r="F3752" s="107" t="str">
        <f aca="false">IF(OR($C3752="",$D3752=0),"",$E3752/$D3752)</f>
        <v/>
      </c>
      <c r="H3752" s="0" t="str">
        <f aca="false">IF($C3752="","",IF(COUNTIF('مواد المخزون'!$A$2:$A$90,$C3752)&gt;0,"نعم","لا (خارج الجرد)"))</f>
        <v/>
      </c>
    </row>
    <row r="3753" customFormat="false" ht="15" hidden="false" customHeight="false" outlineLevel="0" collapsed="false">
      <c r="A3753" s="103"/>
      <c r="B3753" s="104"/>
      <c r="C3753" s="104"/>
      <c r="F3753" s="107" t="str">
        <f aca="false">IF(OR($C3753="",$D3753=0),"",$E3753/$D3753)</f>
        <v/>
      </c>
      <c r="H3753" s="0" t="str">
        <f aca="false">IF($C3753="","",IF(COUNTIF('مواد المخزون'!$A$2:$A$90,$C3753)&gt;0,"نعم","لا (خارج الجرد)"))</f>
        <v/>
      </c>
    </row>
    <row r="3754" customFormat="false" ht="15" hidden="false" customHeight="false" outlineLevel="0" collapsed="false">
      <c r="A3754" s="103"/>
      <c r="B3754" s="104"/>
      <c r="C3754" s="104"/>
      <c r="F3754" s="107" t="str">
        <f aca="false">IF(OR($C3754="",$D3754=0),"",$E3754/$D3754)</f>
        <v/>
      </c>
      <c r="H3754" s="0" t="str">
        <f aca="false">IF($C3754="","",IF(COUNTIF('مواد المخزون'!$A$2:$A$90,$C3754)&gt;0,"نعم","لا (خارج الجرد)"))</f>
        <v/>
      </c>
    </row>
    <row r="3755" customFormat="false" ht="15" hidden="false" customHeight="false" outlineLevel="0" collapsed="false">
      <c r="A3755" s="103"/>
      <c r="B3755" s="104"/>
      <c r="C3755" s="104"/>
      <c r="F3755" s="107" t="str">
        <f aca="false">IF(OR($C3755="",$D3755=0),"",$E3755/$D3755)</f>
        <v/>
      </c>
      <c r="H3755" s="0" t="str">
        <f aca="false">IF($C3755="","",IF(COUNTIF('مواد المخزون'!$A$2:$A$90,$C3755)&gt;0,"نعم","لا (خارج الجرد)"))</f>
        <v/>
      </c>
    </row>
    <row r="3756" customFormat="false" ht="15" hidden="false" customHeight="false" outlineLevel="0" collapsed="false">
      <c r="A3756" s="103"/>
      <c r="B3756" s="104"/>
      <c r="C3756" s="104"/>
      <c r="F3756" s="107" t="str">
        <f aca="false">IF(OR($C3756="",$D3756=0),"",$E3756/$D3756)</f>
        <v/>
      </c>
      <c r="H3756" s="0" t="str">
        <f aca="false">IF($C3756="","",IF(COUNTIF('مواد المخزون'!$A$2:$A$90,$C3756)&gt;0,"نعم","لا (خارج الجرد)"))</f>
        <v/>
      </c>
    </row>
    <row r="3757" customFormat="false" ht="15" hidden="false" customHeight="false" outlineLevel="0" collapsed="false">
      <c r="A3757" s="103"/>
      <c r="B3757" s="104"/>
      <c r="C3757" s="104"/>
      <c r="F3757" s="107" t="str">
        <f aca="false">IF(OR($C3757="",$D3757=0),"",$E3757/$D3757)</f>
        <v/>
      </c>
      <c r="H3757" s="0" t="str">
        <f aca="false">IF($C3757="","",IF(COUNTIF('مواد المخزون'!$A$2:$A$90,$C3757)&gt;0,"نعم","لا (خارج الجرد)"))</f>
        <v/>
      </c>
    </row>
    <row r="3758" customFormat="false" ht="15" hidden="false" customHeight="false" outlineLevel="0" collapsed="false">
      <c r="A3758" s="103"/>
      <c r="B3758" s="104"/>
      <c r="C3758" s="104"/>
      <c r="F3758" s="107" t="str">
        <f aca="false">IF(OR($C3758="",$D3758=0),"",$E3758/$D3758)</f>
        <v/>
      </c>
      <c r="H3758" s="0" t="str">
        <f aca="false">IF($C3758="","",IF(COUNTIF('مواد المخزون'!$A$2:$A$90,$C3758)&gt;0,"نعم","لا (خارج الجرد)"))</f>
        <v/>
      </c>
    </row>
    <row r="3759" customFormat="false" ht="15" hidden="false" customHeight="false" outlineLevel="0" collapsed="false">
      <c r="A3759" s="103"/>
      <c r="B3759" s="104"/>
      <c r="C3759" s="104"/>
      <c r="F3759" s="107" t="str">
        <f aca="false">IF(OR($C3759="",$D3759=0),"",$E3759/$D3759)</f>
        <v/>
      </c>
      <c r="H3759" s="0" t="str">
        <f aca="false">IF($C3759="","",IF(COUNTIF('مواد المخزون'!$A$2:$A$90,$C3759)&gt;0,"نعم","لا (خارج الجرد)"))</f>
        <v/>
      </c>
    </row>
    <row r="3760" customFormat="false" ht="15" hidden="false" customHeight="false" outlineLevel="0" collapsed="false">
      <c r="A3760" s="103"/>
      <c r="B3760" s="104"/>
      <c r="C3760" s="104"/>
      <c r="F3760" s="107" t="str">
        <f aca="false">IF(OR($C3760="",$D3760=0),"",$E3760/$D3760)</f>
        <v/>
      </c>
      <c r="H3760" s="0" t="str">
        <f aca="false">IF($C3760="","",IF(COUNTIF('مواد المخزون'!$A$2:$A$90,$C3760)&gt;0,"نعم","لا (خارج الجرد)"))</f>
        <v/>
      </c>
    </row>
    <row r="3761" customFormat="false" ht="15" hidden="false" customHeight="false" outlineLevel="0" collapsed="false">
      <c r="A3761" s="103"/>
      <c r="B3761" s="104"/>
      <c r="C3761" s="104"/>
      <c r="F3761" s="107" t="str">
        <f aca="false">IF(OR($C3761="",$D3761=0),"",$E3761/$D3761)</f>
        <v/>
      </c>
      <c r="H3761" s="0" t="str">
        <f aca="false">IF($C3761="","",IF(COUNTIF('مواد المخزون'!$A$2:$A$90,$C3761)&gt;0,"نعم","لا (خارج الجرد)"))</f>
        <v/>
      </c>
    </row>
    <row r="3762" customFormat="false" ht="15" hidden="false" customHeight="false" outlineLevel="0" collapsed="false">
      <c r="A3762" s="103"/>
      <c r="B3762" s="104"/>
      <c r="C3762" s="104"/>
      <c r="F3762" s="107" t="str">
        <f aca="false">IF(OR($C3762="",$D3762=0),"",$E3762/$D3762)</f>
        <v/>
      </c>
      <c r="H3762" s="0" t="str">
        <f aca="false">IF($C3762="","",IF(COUNTIF('مواد المخزون'!$A$2:$A$90,$C3762)&gt;0,"نعم","لا (خارج الجرد)"))</f>
        <v/>
      </c>
    </row>
    <row r="3763" customFormat="false" ht="15" hidden="false" customHeight="false" outlineLevel="0" collapsed="false">
      <c r="A3763" s="103"/>
      <c r="B3763" s="104"/>
      <c r="C3763" s="104"/>
      <c r="F3763" s="107" t="str">
        <f aca="false">IF(OR($C3763="",$D3763=0),"",$E3763/$D3763)</f>
        <v/>
      </c>
      <c r="H3763" s="0" t="str">
        <f aca="false">IF($C3763="","",IF(COUNTIF('مواد المخزون'!$A$2:$A$90,$C3763)&gt;0,"نعم","لا (خارج الجرد)"))</f>
        <v/>
      </c>
    </row>
    <row r="3764" customFormat="false" ht="15" hidden="false" customHeight="false" outlineLevel="0" collapsed="false">
      <c r="A3764" s="103"/>
      <c r="B3764" s="104"/>
      <c r="C3764" s="104"/>
      <c r="F3764" s="107" t="str">
        <f aca="false">IF(OR($C3764="",$D3764=0),"",$E3764/$D3764)</f>
        <v/>
      </c>
      <c r="H3764" s="0" t="str">
        <f aca="false">IF($C3764="","",IF(COUNTIF('مواد المخزون'!$A$2:$A$90,$C3764)&gt;0,"نعم","لا (خارج الجرد)"))</f>
        <v/>
      </c>
    </row>
    <row r="3765" customFormat="false" ht="15" hidden="false" customHeight="false" outlineLevel="0" collapsed="false">
      <c r="A3765" s="103"/>
      <c r="B3765" s="104"/>
      <c r="C3765" s="104"/>
      <c r="F3765" s="107" t="str">
        <f aca="false">IF(OR($C3765="",$D3765=0),"",$E3765/$D3765)</f>
        <v/>
      </c>
      <c r="H3765" s="0" t="str">
        <f aca="false">IF($C3765="","",IF(COUNTIF('مواد المخزون'!$A$2:$A$90,$C3765)&gt;0,"نعم","لا (خارج الجرد)"))</f>
        <v/>
      </c>
    </row>
    <row r="3766" customFormat="false" ht="15" hidden="false" customHeight="false" outlineLevel="0" collapsed="false">
      <c r="A3766" s="103"/>
      <c r="B3766" s="104"/>
      <c r="C3766" s="104"/>
      <c r="F3766" s="107" t="str">
        <f aca="false">IF(OR($C3766="",$D3766=0),"",$E3766/$D3766)</f>
        <v/>
      </c>
      <c r="H3766" s="0" t="str">
        <f aca="false">IF($C3766="","",IF(COUNTIF('مواد المخزون'!$A$2:$A$90,$C3766)&gt;0,"نعم","لا (خارج الجرد)"))</f>
        <v/>
      </c>
    </row>
    <row r="3767" customFormat="false" ht="15" hidden="false" customHeight="false" outlineLevel="0" collapsed="false">
      <c r="A3767" s="103"/>
      <c r="B3767" s="104"/>
      <c r="C3767" s="104"/>
      <c r="F3767" s="107" t="str">
        <f aca="false">IF(OR($C3767="",$D3767=0),"",$E3767/$D3767)</f>
        <v/>
      </c>
      <c r="H3767" s="0" t="str">
        <f aca="false">IF($C3767="","",IF(COUNTIF('مواد المخزون'!$A$2:$A$90,$C3767)&gt;0,"نعم","لا (خارج الجرد)"))</f>
        <v/>
      </c>
    </row>
    <row r="3768" customFormat="false" ht="15" hidden="false" customHeight="false" outlineLevel="0" collapsed="false">
      <c r="A3768" s="103"/>
      <c r="B3768" s="104"/>
      <c r="C3768" s="104"/>
      <c r="F3768" s="107" t="str">
        <f aca="false">IF(OR($C3768="",$D3768=0),"",$E3768/$D3768)</f>
        <v/>
      </c>
      <c r="H3768" s="0" t="str">
        <f aca="false">IF($C3768="","",IF(COUNTIF('مواد المخزون'!$A$2:$A$90,$C3768)&gt;0,"نعم","لا (خارج الجرد)"))</f>
        <v/>
      </c>
    </row>
    <row r="3769" customFormat="false" ht="15" hidden="false" customHeight="false" outlineLevel="0" collapsed="false">
      <c r="A3769" s="103"/>
      <c r="B3769" s="104"/>
      <c r="C3769" s="104"/>
      <c r="F3769" s="107" t="str">
        <f aca="false">IF(OR($C3769="",$D3769=0),"",$E3769/$D3769)</f>
        <v/>
      </c>
      <c r="H3769" s="0" t="str">
        <f aca="false">IF($C3769="","",IF(COUNTIF('مواد المخزون'!$A$2:$A$90,$C3769)&gt;0,"نعم","لا (خارج الجرد)"))</f>
        <v/>
      </c>
    </row>
    <row r="3770" customFormat="false" ht="15" hidden="false" customHeight="false" outlineLevel="0" collapsed="false">
      <c r="A3770" s="103"/>
      <c r="B3770" s="104"/>
      <c r="C3770" s="104"/>
      <c r="F3770" s="107" t="str">
        <f aca="false">IF(OR($C3770="",$D3770=0),"",$E3770/$D3770)</f>
        <v/>
      </c>
      <c r="H3770" s="0" t="str">
        <f aca="false">IF($C3770="","",IF(COUNTIF('مواد المخزون'!$A$2:$A$90,$C3770)&gt;0,"نعم","لا (خارج الجرد)"))</f>
        <v/>
      </c>
    </row>
    <row r="3771" customFormat="false" ht="15" hidden="false" customHeight="false" outlineLevel="0" collapsed="false">
      <c r="A3771" s="103"/>
      <c r="B3771" s="104"/>
      <c r="C3771" s="104"/>
      <c r="F3771" s="107" t="str">
        <f aca="false">IF(OR($C3771="",$D3771=0),"",$E3771/$D3771)</f>
        <v/>
      </c>
      <c r="H3771" s="0" t="str">
        <f aca="false">IF($C3771="","",IF(COUNTIF('مواد المخزون'!$A$2:$A$90,$C3771)&gt;0,"نعم","لا (خارج الجرد)"))</f>
        <v/>
      </c>
    </row>
    <row r="3772" customFormat="false" ht="15" hidden="false" customHeight="false" outlineLevel="0" collapsed="false">
      <c r="A3772" s="103"/>
      <c r="B3772" s="104"/>
      <c r="C3772" s="104"/>
      <c r="F3772" s="107" t="str">
        <f aca="false">IF(OR($C3772="",$D3772=0),"",$E3772/$D3772)</f>
        <v/>
      </c>
      <c r="H3772" s="0" t="str">
        <f aca="false">IF($C3772="","",IF(COUNTIF('مواد المخزون'!$A$2:$A$90,$C3772)&gt;0,"نعم","لا (خارج الجرد)"))</f>
        <v/>
      </c>
    </row>
    <row r="3773" customFormat="false" ht="15" hidden="false" customHeight="false" outlineLevel="0" collapsed="false">
      <c r="A3773" s="103"/>
      <c r="B3773" s="104"/>
      <c r="C3773" s="104"/>
      <c r="F3773" s="107" t="str">
        <f aca="false">IF(OR($C3773="",$D3773=0),"",$E3773/$D3773)</f>
        <v/>
      </c>
      <c r="H3773" s="0" t="str">
        <f aca="false">IF($C3773="","",IF(COUNTIF('مواد المخزون'!$A$2:$A$90,$C3773)&gt;0,"نعم","لا (خارج الجرد)"))</f>
        <v/>
      </c>
    </row>
    <row r="3774" customFormat="false" ht="15" hidden="false" customHeight="false" outlineLevel="0" collapsed="false">
      <c r="A3774" s="103"/>
      <c r="B3774" s="104"/>
      <c r="C3774" s="104"/>
      <c r="F3774" s="107" t="str">
        <f aca="false">IF(OR($C3774="",$D3774=0),"",$E3774/$D3774)</f>
        <v/>
      </c>
      <c r="H3774" s="0" t="str">
        <f aca="false">IF($C3774="","",IF(COUNTIF('مواد المخزون'!$A$2:$A$90,$C3774)&gt;0,"نعم","لا (خارج الجرد)"))</f>
        <v/>
      </c>
    </row>
    <row r="3775" customFormat="false" ht="15" hidden="false" customHeight="false" outlineLevel="0" collapsed="false">
      <c r="A3775" s="103"/>
      <c r="B3775" s="104"/>
      <c r="C3775" s="104"/>
      <c r="F3775" s="107" t="str">
        <f aca="false">IF(OR($C3775="",$D3775=0),"",$E3775/$D3775)</f>
        <v/>
      </c>
      <c r="H3775" s="0" t="str">
        <f aca="false">IF($C3775="","",IF(COUNTIF('مواد المخزون'!$A$2:$A$90,$C3775)&gt;0,"نعم","لا (خارج الجرد)"))</f>
        <v/>
      </c>
    </row>
    <row r="3776" customFormat="false" ht="15" hidden="false" customHeight="false" outlineLevel="0" collapsed="false">
      <c r="A3776" s="103"/>
      <c r="B3776" s="104"/>
      <c r="C3776" s="104"/>
      <c r="F3776" s="107" t="str">
        <f aca="false">IF(OR($C3776="",$D3776=0),"",$E3776/$D3776)</f>
        <v/>
      </c>
      <c r="H3776" s="0" t="str">
        <f aca="false">IF($C3776="","",IF(COUNTIF('مواد المخزون'!$A$2:$A$90,$C3776)&gt;0,"نعم","لا (خارج الجرد)"))</f>
        <v/>
      </c>
    </row>
    <row r="3777" customFormat="false" ht="15" hidden="false" customHeight="false" outlineLevel="0" collapsed="false">
      <c r="A3777" s="103"/>
      <c r="B3777" s="104"/>
      <c r="C3777" s="104"/>
      <c r="F3777" s="107" t="str">
        <f aca="false">IF(OR($C3777="",$D3777=0),"",$E3777/$D3777)</f>
        <v/>
      </c>
      <c r="H3777" s="0" t="str">
        <f aca="false">IF($C3777="","",IF(COUNTIF('مواد المخزون'!$A$2:$A$90,$C3777)&gt;0,"نعم","لا (خارج الجرد)"))</f>
        <v/>
      </c>
    </row>
    <row r="3778" customFormat="false" ht="15" hidden="false" customHeight="false" outlineLevel="0" collapsed="false">
      <c r="A3778" s="103"/>
      <c r="B3778" s="104"/>
      <c r="C3778" s="104"/>
      <c r="F3778" s="107" t="str">
        <f aca="false">IF(OR($C3778="",$D3778=0),"",$E3778/$D3778)</f>
        <v/>
      </c>
      <c r="H3778" s="0" t="str">
        <f aca="false">IF($C3778="","",IF(COUNTIF('مواد المخزون'!$A$2:$A$90,$C3778)&gt;0,"نعم","لا (خارج الجرد)"))</f>
        <v/>
      </c>
    </row>
    <row r="3779" customFormat="false" ht="15" hidden="false" customHeight="false" outlineLevel="0" collapsed="false">
      <c r="A3779" s="103"/>
      <c r="B3779" s="104"/>
      <c r="C3779" s="104"/>
      <c r="F3779" s="107" t="str">
        <f aca="false">IF(OR($C3779="",$D3779=0),"",$E3779/$D3779)</f>
        <v/>
      </c>
      <c r="H3779" s="0" t="str">
        <f aca="false">IF($C3779="","",IF(COUNTIF('مواد المخزون'!$A$2:$A$90,$C3779)&gt;0,"نعم","لا (خارج الجرد)"))</f>
        <v/>
      </c>
    </row>
    <row r="3780" customFormat="false" ht="15" hidden="false" customHeight="false" outlineLevel="0" collapsed="false">
      <c r="A3780" s="103"/>
      <c r="B3780" s="104"/>
      <c r="C3780" s="104"/>
      <c r="F3780" s="107" t="str">
        <f aca="false">IF(OR($C3780="",$D3780=0),"",$E3780/$D3780)</f>
        <v/>
      </c>
      <c r="H3780" s="0" t="str">
        <f aca="false">IF($C3780="","",IF(COUNTIF('مواد المخزون'!$A$2:$A$90,$C3780)&gt;0,"نعم","لا (خارج الجرد)"))</f>
        <v/>
      </c>
    </row>
    <row r="3781" customFormat="false" ht="15" hidden="false" customHeight="false" outlineLevel="0" collapsed="false">
      <c r="A3781" s="103"/>
      <c r="B3781" s="104"/>
      <c r="C3781" s="104"/>
      <c r="F3781" s="107" t="str">
        <f aca="false">IF(OR($C3781="",$D3781=0),"",$E3781/$D3781)</f>
        <v/>
      </c>
      <c r="H3781" s="0" t="str">
        <f aca="false">IF($C3781="","",IF(COUNTIF('مواد المخزون'!$A$2:$A$90,$C3781)&gt;0,"نعم","لا (خارج الجرد)"))</f>
        <v/>
      </c>
    </row>
    <row r="3782" customFormat="false" ht="15" hidden="false" customHeight="false" outlineLevel="0" collapsed="false">
      <c r="A3782" s="103"/>
      <c r="B3782" s="104"/>
      <c r="C3782" s="104"/>
      <c r="F3782" s="107" t="str">
        <f aca="false">IF(OR($C3782="",$D3782=0),"",$E3782/$D3782)</f>
        <v/>
      </c>
      <c r="H3782" s="0" t="str">
        <f aca="false">IF($C3782="","",IF(COUNTIF('مواد المخزون'!$A$2:$A$90,$C3782)&gt;0,"نعم","لا (خارج الجرد)"))</f>
        <v/>
      </c>
    </row>
    <row r="3783" customFormat="false" ht="15" hidden="false" customHeight="false" outlineLevel="0" collapsed="false">
      <c r="A3783" s="103"/>
      <c r="B3783" s="104"/>
      <c r="C3783" s="104"/>
      <c r="F3783" s="107" t="str">
        <f aca="false">IF(OR($C3783="",$D3783=0),"",$E3783/$D3783)</f>
        <v/>
      </c>
      <c r="H3783" s="0" t="str">
        <f aca="false">IF($C3783="","",IF(COUNTIF('مواد المخزون'!$A$2:$A$90,$C3783)&gt;0,"نعم","لا (خارج الجرد)"))</f>
        <v/>
      </c>
    </row>
    <row r="3784" customFormat="false" ht="15" hidden="false" customHeight="false" outlineLevel="0" collapsed="false">
      <c r="A3784" s="103"/>
      <c r="B3784" s="104"/>
      <c r="C3784" s="104"/>
      <c r="F3784" s="107" t="str">
        <f aca="false">IF(OR($C3784="",$D3784=0),"",$E3784/$D3784)</f>
        <v/>
      </c>
      <c r="H3784" s="0" t="str">
        <f aca="false">IF($C3784="","",IF(COUNTIF('مواد المخزون'!$A$2:$A$90,$C3784)&gt;0,"نعم","لا (خارج الجرد)"))</f>
        <v/>
      </c>
    </row>
    <row r="3785" customFormat="false" ht="15" hidden="false" customHeight="false" outlineLevel="0" collapsed="false">
      <c r="A3785" s="103"/>
      <c r="B3785" s="104"/>
      <c r="C3785" s="104"/>
      <c r="F3785" s="107" t="str">
        <f aca="false">IF(OR($C3785="",$D3785=0),"",$E3785/$D3785)</f>
        <v/>
      </c>
      <c r="H3785" s="0" t="str">
        <f aca="false">IF($C3785="","",IF(COUNTIF('مواد المخزون'!$A$2:$A$90,$C3785)&gt;0,"نعم","لا (خارج الجرد)"))</f>
        <v/>
      </c>
    </row>
    <row r="3786" customFormat="false" ht="15" hidden="false" customHeight="false" outlineLevel="0" collapsed="false">
      <c r="A3786" s="103"/>
      <c r="B3786" s="104"/>
      <c r="C3786" s="104"/>
      <c r="F3786" s="107" t="str">
        <f aca="false">IF(OR($C3786="",$D3786=0),"",$E3786/$D3786)</f>
        <v/>
      </c>
      <c r="H3786" s="0" t="str">
        <f aca="false">IF($C3786="","",IF(COUNTIF('مواد المخزون'!$A$2:$A$90,$C3786)&gt;0,"نعم","لا (خارج الجرد)"))</f>
        <v/>
      </c>
    </row>
    <row r="3787" customFormat="false" ht="15" hidden="false" customHeight="false" outlineLevel="0" collapsed="false">
      <c r="A3787" s="103"/>
      <c r="B3787" s="104"/>
      <c r="C3787" s="104"/>
      <c r="F3787" s="107" t="str">
        <f aca="false">IF(OR($C3787="",$D3787=0),"",$E3787/$D3787)</f>
        <v/>
      </c>
      <c r="H3787" s="0" t="str">
        <f aca="false">IF($C3787="","",IF(COUNTIF('مواد المخزون'!$A$2:$A$90,$C3787)&gt;0,"نعم","لا (خارج الجرد)"))</f>
        <v/>
      </c>
    </row>
    <row r="3788" customFormat="false" ht="15" hidden="false" customHeight="false" outlineLevel="0" collapsed="false">
      <c r="A3788" s="103"/>
      <c r="B3788" s="104"/>
      <c r="C3788" s="104"/>
      <c r="F3788" s="107" t="str">
        <f aca="false">IF(OR($C3788="",$D3788=0),"",$E3788/$D3788)</f>
        <v/>
      </c>
      <c r="H3788" s="0" t="str">
        <f aca="false">IF($C3788="","",IF(COUNTIF('مواد المخزون'!$A$2:$A$90,$C3788)&gt;0,"نعم","لا (خارج الجرد)"))</f>
        <v/>
      </c>
    </row>
    <row r="3789" customFormat="false" ht="15" hidden="false" customHeight="false" outlineLevel="0" collapsed="false">
      <c r="A3789" s="103"/>
      <c r="B3789" s="104"/>
      <c r="C3789" s="104"/>
      <c r="F3789" s="107" t="str">
        <f aca="false">IF(OR($C3789="",$D3789=0),"",$E3789/$D3789)</f>
        <v/>
      </c>
      <c r="H3789" s="0" t="str">
        <f aca="false">IF($C3789="","",IF(COUNTIF('مواد المخزون'!$A$2:$A$90,$C3789)&gt;0,"نعم","لا (خارج الجرد)"))</f>
        <v/>
      </c>
    </row>
    <row r="3790" customFormat="false" ht="15" hidden="false" customHeight="false" outlineLevel="0" collapsed="false">
      <c r="A3790" s="103"/>
      <c r="B3790" s="104"/>
      <c r="C3790" s="104"/>
      <c r="F3790" s="107" t="str">
        <f aca="false">IF(OR($C3790="",$D3790=0),"",$E3790/$D3790)</f>
        <v/>
      </c>
      <c r="H3790" s="0" t="str">
        <f aca="false">IF($C3790="","",IF(COUNTIF('مواد المخزون'!$A$2:$A$90,$C3790)&gt;0,"نعم","لا (خارج الجرد)"))</f>
        <v/>
      </c>
    </row>
    <row r="3791" customFormat="false" ht="15" hidden="false" customHeight="false" outlineLevel="0" collapsed="false">
      <c r="A3791" s="103"/>
      <c r="B3791" s="104"/>
      <c r="C3791" s="104"/>
      <c r="F3791" s="107" t="str">
        <f aca="false">IF(OR($C3791="",$D3791=0),"",$E3791/$D3791)</f>
        <v/>
      </c>
      <c r="H3791" s="0" t="str">
        <f aca="false">IF($C3791="","",IF(COUNTIF('مواد المخزون'!$A$2:$A$90,$C3791)&gt;0,"نعم","لا (خارج الجرد)"))</f>
        <v/>
      </c>
    </row>
    <row r="3792" customFormat="false" ht="15" hidden="false" customHeight="false" outlineLevel="0" collapsed="false">
      <c r="A3792" s="103"/>
      <c r="B3792" s="104"/>
      <c r="C3792" s="104"/>
      <c r="F3792" s="107" t="str">
        <f aca="false">IF(OR($C3792="",$D3792=0),"",$E3792/$D3792)</f>
        <v/>
      </c>
      <c r="H3792" s="0" t="str">
        <f aca="false">IF($C3792="","",IF(COUNTIF('مواد المخزون'!$A$2:$A$90,$C3792)&gt;0,"نعم","لا (خارج الجرد)"))</f>
        <v/>
      </c>
    </row>
    <row r="3793" customFormat="false" ht="15" hidden="false" customHeight="false" outlineLevel="0" collapsed="false">
      <c r="A3793" s="103"/>
      <c r="B3793" s="104"/>
      <c r="C3793" s="104"/>
      <c r="F3793" s="107" t="str">
        <f aca="false">IF(OR($C3793="",$D3793=0),"",$E3793/$D3793)</f>
        <v/>
      </c>
      <c r="H3793" s="0" t="str">
        <f aca="false">IF($C3793="","",IF(COUNTIF('مواد المخزون'!$A$2:$A$90,$C3793)&gt;0,"نعم","لا (خارج الجرد)"))</f>
        <v/>
      </c>
    </row>
    <row r="3794" customFormat="false" ht="15" hidden="false" customHeight="false" outlineLevel="0" collapsed="false">
      <c r="A3794" s="103"/>
      <c r="B3794" s="104"/>
      <c r="C3794" s="104"/>
      <c r="F3794" s="107" t="str">
        <f aca="false">IF(OR($C3794="",$D3794=0),"",$E3794/$D3794)</f>
        <v/>
      </c>
      <c r="H3794" s="0" t="str">
        <f aca="false">IF($C3794="","",IF(COUNTIF('مواد المخزون'!$A$2:$A$90,$C3794)&gt;0,"نعم","لا (خارج الجرد)"))</f>
        <v/>
      </c>
    </row>
    <row r="3795" customFormat="false" ht="15" hidden="false" customHeight="false" outlineLevel="0" collapsed="false">
      <c r="A3795" s="103"/>
      <c r="B3795" s="104"/>
      <c r="C3795" s="104"/>
      <c r="F3795" s="107" t="str">
        <f aca="false">IF(OR($C3795="",$D3795=0),"",$E3795/$D3795)</f>
        <v/>
      </c>
      <c r="H3795" s="0" t="str">
        <f aca="false">IF($C3795="","",IF(COUNTIF('مواد المخزون'!$A$2:$A$90,$C3795)&gt;0,"نعم","لا (خارج الجرد)"))</f>
        <v/>
      </c>
    </row>
    <row r="3796" customFormat="false" ht="15" hidden="false" customHeight="false" outlineLevel="0" collapsed="false">
      <c r="A3796" s="103"/>
      <c r="B3796" s="104"/>
      <c r="C3796" s="104"/>
      <c r="F3796" s="107" t="str">
        <f aca="false">IF(OR($C3796="",$D3796=0),"",$E3796/$D3796)</f>
        <v/>
      </c>
      <c r="H3796" s="0" t="str">
        <f aca="false">IF($C3796="","",IF(COUNTIF('مواد المخزون'!$A$2:$A$90,$C3796)&gt;0,"نعم","لا (خارج الجرد)"))</f>
        <v/>
      </c>
    </row>
    <row r="3797" customFormat="false" ht="15" hidden="false" customHeight="false" outlineLevel="0" collapsed="false">
      <c r="A3797" s="103"/>
      <c r="B3797" s="104"/>
      <c r="C3797" s="104"/>
      <c r="F3797" s="107" t="str">
        <f aca="false">IF(OR($C3797="",$D3797=0),"",$E3797/$D3797)</f>
        <v/>
      </c>
      <c r="H3797" s="0" t="str">
        <f aca="false">IF($C3797="","",IF(COUNTIF('مواد المخزون'!$A$2:$A$90,$C3797)&gt;0,"نعم","لا (خارج الجرد)"))</f>
        <v/>
      </c>
    </row>
    <row r="3798" customFormat="false" ht="15" hidden="false" customHeight="false" outlineLevel="0" collapsed="false">
      <c r="A3798" s="103"/>
      <c r="B3798" s="104"/>
      <c r="C3798" s="104"/>
      <c r="F3798" s="107" t="str">
        <f aca="false">IF(OR($C3798="",$D3798=0),"",$E3798/$D3798)</f>
        <v/>
      </c>
      <c r="H3798" s="0" t="str">
        <f aca="false">IF($C3798="","",IF(COUNTIF('مواد المخزون'!$A$2:$A$90,$C3798)&gt;0,"نعم","لا (خارج الجرد)"))</f>
        <v/>
      </c>
    </row>
    <row r="3799" customFormat="false" ht="15" hidden="false" customHeight="false" outlineLevel="0" collapsed="false">
      <c r="A3799" s="103"/>
      <c r="B3799" s="104"/>
      <c r="C3799" s="104"/>
      <c r="F3799" s="107" t="str">
        <f aca="false">IF(OR($C3799="",$D3799=0),"",$E3799/$D3799)</f>
        <v/>
      </c>
      <c r="H3799" s="0" t="str">
        <f aca="false">IF($C3799="","",IF(COUNTIF('مواد المخزون'!$A$2:$A$90,$C3799)&gt;0,"نعم","لا (خارج الجرد)"))</f>
        <v/>
      </c>
    </row>
    <row r="3800" customFormat="false" ht="15" hidden="false" customHeight="false" outlineLevel="0" collapsed="false">
      <c r="A3800" s="103"/>
      <c r="B3800" s="104"/>
      <c r="C3800" s="104"/>
      <c r="F3800" s="107" t="str">
        <f aca="false">IF(OR($C3800="",$D3800=0),"",$E3800/$D3800)</f>
        <v/>
      </c>
      <c r="H3800" s="0" t="str">
        <f aca="false">IF($C3800="","",IF(COUNTIF('مواد المخزون'!$A$2:$A$90,$C3800)&gt;0,"نعم","لا (خارج الجرد)"))</f>
        <v/>
      </c>
    </row>
    <row r="3801" customFormat="false" ht="15" hidden="false" customHeight="false" outlineLevel="0" collapsed="false">
      <c r="A3801" s="103"/>
      <c r="B3801" s="104"/>
      <c r="C3801" s="104"/>
      <c r="F3801" s="107" t="str">
        <f aca="false">IF(OR($C3801="",$D3801=0),"",$E3801/$D3801)</f>
        <v/>
      </c>
      <c r="H3801" s="0" t="str">
        <f aca="false">IF($C3801="","",IF(COUNTIF('مواد المخزون'!$A$2:$A$90,$C3801)&gt;0,"نعم","لا (خارج الجرد)"))</f>
        <v/>
      </c>
    </row>
    <row r="3802" customFormat="false" ht="15" hidden="false" customHeight="false" outlineLevel="0" collapsed="false">
      <c r="A3802" s="103"/>
      <c r="B3802" s="104"/>
      <c r="C3802" s="104"/>
      <c r="F3802" s="107" t="str">
        <f aca="false">IF(OR($C3802="",$D3802=0),"",$E3802/$D3802)</f>
        <v/>
      </c>
      <c r="H3802" s="0" t="str">
        <f aca="false">IF($C3802="","",IF(COUNTIF('مواد المخزون'!$A$2:$A$90,$C3802)&gt;0,"نعم","لا (خارج الجرد)"))</f>
        <v/>
      </c>
    </row>
    <row r="3803" customFormat="false" ht="15" hidden="false" customHeight="false" outlineLevel="0" collapsed="false">
      <c r="A3803" s="103"/>
      <c r="B3803" s="104"/>
      <c r="C3803" s="104"/>
      <c r="F3803" s="107" t="str">
        <f aca="false">IF(OR($C3803="",$D3803=0),"",$E3803/$D3803)</f>
        <v/>
      </c>
      <c r="H3803" s="0" t="str">
        <f aca="false">IF($C3803="","",IF(COUNTIF('مواد المخزون'!$A$2:$A$90,$C3803)&gt;0,"نعم","لا (خارج الجرد)"))</f>
        <v/>
      </c>
    </row>
    <row r="3804" customFormat="false" ht="15" hidden="false" customHeight="false" outlineLevel="0" collapsed="false">
      <c r="A3804" s="103"/>
      <c r="B3804" s="104"/>
      <c r="C3804" s="104"/>
      <c r="F3804" s="107" t="str">
        <f aca="false">IF(OR($C3804="",$D3804=0),"",$E3804/$D3804)</f>
        <v/>
      </c>
      <c r="H3804" s="0" t="str">
        <f aca="false">IF($C3804="","",IF(COUNTIF('مواد المخزون'!$A$2:$A$90,$C3804)&gt;0,"نعم","لا (خارج الجرد)"))</f>
        <v/>
      </c>
    </row>
    <row r="3805" customFormat="false" ht="15" hidden="false" customHeight="false" outlineLevel="0" collapsed="false">
      <c r="A3805" s="103"/>
      <c r="B3805" s="104"/>
      <c r="C3805" s="104"/>
      <c r="F3805" s="107" t="str">
        <f aca="false">IF(OR($C3805="",$D3805=0),"",$E3805/$D3805)</f>
        <v/>
      </c>
      <c r="H3805" s="0" t="str">
        <f aca="false">IF($C3805="","",IF(COUNTIF('مواد المخزون'!$A$2:$A$90,$C3805)&gt;0,"نعم","لا (خارج الجرد)"))</f>
        <v/>
      </c>
    </row>
    <row r="3806" customFormat="false" ht="15" hidden="false" customHeight="false" outlineLevel="0" collapsed="false">
      <c r="A3806" s="103"/>
      <c r="B3806" s="104"/>
      <c r="C3806" s="104"/>
      <c r="F3806" s="107" t="str">
        <f aca="false">IF(OR($C3806="",$D3806=0),"",$E3806/$D3806)</f>
        <v/>
      </c>
      <c r="H3806" s="0" t="str">
        <f aca="false">IF($C3806="","",IF(COUNTIF('مواد المخزون'!$A$2:$A$90,$C3806)&gt;0,"نعم","لا (خارج الجرد)"))</f>
        <v/>
      </c>
    </row>
    <row r="3807" customFormat="false" ht="15" hidden="false" customHeight="false" outlineLevel="0" collapsed="false">
      <c r="A3807" s="103"/>
      <c r="B3807" s="104"/>
      <c r="C3807" s="104"/>
      <c r="F3807" s="107" t="str">
        <f aca="false">IF(OR($C3807="",$D3807=0),"",$E3807/$D3807)</f>
        <v/>
      </c>
      <c r="H3807" s="0" t="str">
        <f aca="false">IF($C3807="","",IF(COUNTIF('مواد المخزون'!$A$2:$A$90,$C3807)&gt;0,"نعم","لا (خارج الجرد)"))</f>
        <v/>
      </c>
    </row>
    <row r="3808" customFormat="false" ht="15" hidden="false" customHeight="false" outlineLevel="0" collapsed="false">
      <c r="A3808" s="103"/>
      <c r="B3808" s="104"/>
      <c r="C3808" s="104"/>
      <c r="F3808" s="107" t="str">
        <f aca="false">IF(OR($C3808="",$D3808=0),"",$E3808/$D3808)</f>
        <v/>
      </c>
      <c r="H3808" s="0" t="str">
        <f aca="false">IF($C3808="","",IF(COUNTIF('مواد المخزون'!$A$2:$A$90,$C3808)&gt;0,"نعم","لا (خارج الجرد)"))</f>
        <v/>
      </c>
    </row>
    <row r="3809" customFormat="false" ht="15" hidden="false" customHeight="false" outlineLevel="0" collapsed="false">
      <c r="A3809" s="103"/>
      <c r="B3809" s="104"/>
      <c r="C3809" s="104"/>
      <c r="F3809" s="107" t="str">
        <f aca="false">IF(OR($C3809="",$D3809=0),"",$E3809/$D3809)</f>
        <v/>
      </c>
      <c r="H3809" s="0" t="str">
        <f aca="false">IF($C3809="","",IF(COUNTIF('مواد المخزون'!$A$2:$A$90,$C3809)&gt;0,"نعم","لا (خارج الجرد)"))</f>
        <v/>
      </c>
    </row>
    <row r="3810" customFormat="false" ht="15" hidden="false" customHeight="false" outlineLevel="0" collapsed="false">
      <c r="A3810" s="103"/>
      <c r="B3810" s="104"/>
      <c r="C3810" s="104"/>
      <c r="F3810" s="107" t="str">
        <f aca="false">IF(OR($C3810="",$D3810=0),"",$E3810/$D3810)</f>
        <v/>
      </c>
      <c r="H3810" s="0" t="str">
        <f aca="false">IF($C3810="","",IF(COUNTIF('مواد المخزون'!$A$2:$A$90,$C3810)&gt;0,"نعم","لا (خارج الجرد)"))</f>
        <v/>
      </c>
    </row>
    <row r="3811" customFormat="false" ht="15" hidden="false" customHeight="false" outlineLevel="0" collapsed="false">
      <c r="A3811" s="103"/>
      <c r="B3811" s="104"/>
      <c r="C3811" s="104"/>
      <c r="F3811" s="107" t="str">
        <f aca="false">IF(OR($C3811="",$D3811=0),"",$E3811/$D3811)</f>
        <v/>
      </c>
      <c r="H3811" s="0" t="str">
        <f aca="false">IF($C3811="","",IF(COUNTIF('مواد المخزون'!$A$2:$A$90,$C3811)&gt;0,"نعم","لا (خارج الجرد)"))</f>
        <v/>
      </c>
    </row>
    <row r="3812" customFormat="false" ht="15" hidden="false" customHeight="false" outlineLevel="0" collapsed="false">
      <c r="A3812" s="103"/>
      <c r="B3812" s="104"/>
      <c r="C3812" s="104"/>
      <c r="F3812" s="107" t="str">
        <f aca="false">IF(OR($C3812="",$D3812=0),"",$E3812/$D3812)</f>
        <v/>
      </c>
      <c r="H3812" s="0" t="str">
        <f aca="false">IF($C3812="","",IF(COUNTIF('مواد المخزون'!$A$2:$A$90,$C3812)&gt;0,"نعم","لا (خارج الجرد)"))</f>
        <v/>
      </c>
    </row>
    <row r="3813" customFormat="false" ht="15" hidden="false" customHeight="false" outlineLevel="0" collapsed="false">
      <c r="A3813" s="103"/>
      <c r="B3813" s="104"/>
      <c r="C3813" s="104"/>
      <c r="F3813" s="107" t="str">
        <f aca="false">IF(OR($C3813="",$D3813=0),"",$E3813/$D3813)</f>
        <v/>
      </c>
      <c r="H3813" s="0" t="str">
        <f aca="false">IF($C3813="","",IF(COUNTIF('مواد المخزون'!$A$2:$A$90,$C3813)&gt;0,"نعم","لا (خارج الجرد)"))</f>
        <v/>
      </c>
    </row>
    <row r="3814" customFormat="false" ht="15" hidden="false" customHeight="false" outlineLevel="0" collapsed="false">
      <c r="A3814" s="103"/>
      <c r="B3814" s="104"/>
      <c r="C3814" s="104"/>
      <c r="F3814" s="107" t="str">
        <f aca="false">IF(OR($C3814="",$D3814=0),"",$E3814/$D3814)</f>
        <v/>
      </c>
      <c r="H3814" s="0" t="str">
        <f aca="false">IF($C3814="","",IF(COUNTIF('مواد المخزون'!$A$2:$A$90,$C3814)&gt;0,"نعم","لا (خارج الجرد)"))</f>
        <v/>
      </c>
    </row>
    <row r="3815" customFormat="false" ht="15" hidden="false" customHeight="false" outlineLevel="0" collapsed="false">
      <c r="A3815" s="103"/>
      <c r="B3815" s="104"/>
      <c r="C3815" s="104"/>
      <c r="F3815" s="107" t="str">
        <f aca="false">IF(OR($C3815="",$D3815=0),"",$E3815/$D3815)</f>
        <v/>
      </c>
      <c r="H3815" s="0" t="str">
        <f aca="false">IF($C3815="","",IF(COUNTIF('مواد المخزون'!$A$2:$A$90,$C3815)&gt;0,"نعم","لا (خارج الجرد)"))</f>
        <v/>
      </c>
    </row>
    <row r="3816" customFormat="false" ht="15" hidden="false" customHeight="false" outlineLevel="0" collapsed="false">
      <c r="A3816" s="103"/>
      <c r="B3816" s="104"/>
      <c r="C3816" s="104"/>
      <c r="F3816" s="107" t="str">
        <f aca="false">IF(OR($C3816="",$D3816=0),"",$E3816/$D3816)</f>
        <v/>
      </c>
      <c r="H3816" s="0" t="str">
        <f aca="false">IF($C3816="","",IF(COUNTIF('مواد المخزون'!$A$2:$A$90,$C3816)&gt;0,"نعم","لا (خارج الجرد)"))</f>
        <v/>
      </c>
    </row>
    <row r="3817" customFormat="false" ht="15" hidden="false" customHeight="false" outlineLevel="0" collapsed="false">
      <c r="A3817" s="103"/>
      <c r="B3817" s="104"/>
      <c r="C3817" s="104"/>
      <c r="F3817" s="107" t="str">
        <f aca="false">IF(OR($C3817="",$D3817=0),"",$E3817/$D3817)</f>
        <v/>
      </c>
      <c r="H3817" s="0" t="str">
        <f aca="false">IF($C3817="","",IF(COUNTIF('مواد المخزون'!$A$2:$A$90,$C3817)&gt;0,"نعم","لا (خارج الجرد)"))</f>
        <v/>
      </c>
    </row>
    <row r="3818" customFormat="false" ht="15" hidden="false" customHeight="false" outlineLevel="0" collapsed="false">
      <c r="A3818" s="103"/>
      <c r="B3818" s="104"/>
      <c r="C3818" s="104"/>
      <c r="F3818" s="107" t="str">
        <f aca="false">IF(OR($C3818="",$D3818=0),"",$E3818/$D3818)</f>
        <v/>
      </c>
      <c r="H3818" s="0" t="str">
        <f aca="false">IF($C3818="","",IF(COUNTIF('مواد المخزون'!$A$2:$A$90,$C3818)&gt;0,"نعم","لا (خارج الجرد)"))</f>
        <v/>
      </c>
    </row>
    <row r="3819" customFormat="false" ht="15" hidden="false" customHeight="false" outlineLevel="0" collapsed="false">
      <c r="A3819" s="103"/>
      <c r="B3819" s="104"/>
      <c r="C3819" s="104"/>
      <c r="F3819" s="107" t="str">
        <f aca="false">IF(OR($C3819="",$D3819=0),"",$E3819/$D3819)</f>
        <v/>
      </c>
      <c r="H3819" s="0" t="str">
        <f aca="false">IF($C3819="","",IF(COUNTIF('مواد المخزون'!$A$2:$A$90,$C3819)&gt;0,"نعم","لا (خارج الجرد)"))</f>
        <v/>
      </c>
    </row>
    <row r="3820" customFormat="false" ht="15" hidden="false" customHeight="false" outlineLevel="0" collapsed="false">
      <c r="A3820" s="103"/>
      <c r="B3820" s="104"/>
      <c r="C3820" s="104"/>
      <c r="F3820" s="107" t="str">
        <f aca="false">IF(OR($C3820="",$D3820=0),"",$E3820/$D3820)</f>
        <v/>
      </c>
      <c r="H3820" s="0" t="str">
        <f aca="false">IF($C3820="","",IF(COUNTIF('مواد المخزون'!$A$2:$A$90,$C3820)&gt;0,"نعم","لا (خارج الجرد)"))</f>
        <v/>
      </c>
    </row>
    <row r="3821" customFormat="false" ht="15" hidden="false" customHeight="false" outlineLevel="0" collapsed="false">
      <c r="A3821" s="103"/>
      <c r="B3821" s="104"/>
      <c r="C3821" s="104"/>
      <c r="F3821" s="107" t="str">
        <f aca="false">IF(OR($C3821="",$D3821=0),"",$E3821/$D3821)</f>
        <v/>
      </c>
      <c r="H3821" s="0" t="str">
        <f aca="false">IF($C3821="","",IF(COUNTIF('مواد المخزون'!$A$2:$A$90,$C3821)&gt;0,"نعم","لا (خارج الجرد)"))</f>
        <v/>
      </c>
    </row>
    <row r="3822" customFormat="false" ht="15" hidden="false" customHeight="false" outlineLevel="0" collapsed="false">
      <c r="A3822" s="103"/>
      <c r="B3822" s="104"/>
      <c r="C3822" s="104"/>
      <c r="F3822" s="107" t="str">
        <f aca="false">IF(OR($C3822="",$D3822=0),"",$E3822/$D3822)</f>
        <v/>
      </c>
      <c r="H3822" s="0" t="str">
        <f aca="false">IF($C3822="","",IF(COUNTIF('مواد المخزون'!$A$2:$A$90,$C3822)&gt;0,"نعم","لا (خارج الجرد)"))</f>
        <v/>
      </c>
    </row>
    <row r="3823" customFormat="false" ht="15" hidden="false" customHeight="false" outlineLevel="0" collapsed="false">
      <c r="A3823" s="103"/>
      <c r="B3823" s="104"/>
      <c r="C3823" s="104"/>
      <c r="F3823" s="107" t="str">
        <f aca="false">IF(OR($C3823="",$D3823=0),"",$E3823/$D3823)</f>
        <v/>
      </c>
      <c r="H3823" s="0" t="str">
        <f aca="false">IF($C3823="","",IF(COUNTIF('مواد المخزون'!$A$2:$A$90,$C3823)&gt;0,"نعم","لا (خارج الجرد)"))</f>
        <v/>
      </c>
    </row>
    <row r="3824" customFormat="false" ht="15" hidden="false" customHeight="false" outlineLevel="0" collapsed="false">
      <c r="A3824" s="103"/>
      <c r="B3824" s="104"/>
      <c r="C3824" s="104"/>
      <c r="F3824" s="107" t="str">
        <f aca="false">IF(OR($C3824="",$D3824=0),"",$E3824/$D3824)</f>
        <v/>
      </c>
      <c r="H3824" s="0" t="str">
        <f aca="false">IF($C3824="","",IF(COUNTIF('مواد المخزون'!$A$2:$A$90,$C3824)&gt;0,"نعم","لا (خارج الجرد)"))</f>
        <v/>
      </c>
    </row>
    <row r="3825" customFormat="false" ht="15" hidden="false" customHeight="false" outlineLevel="0" collapsed="false">
      <c r="A3825" s="103"/>
      <c r="B3825" s="104"/>
      <c r="C3825" s="104"/>
      <c r="F3825" s="107" t="str">
        <f aca="false">IF(OR($C3825="",$D3825=0),"",$E3825/$D3825)</f>
        <v/>
      </c>
      <c r="H3825" s="0" t="str">
        <f aca="false">IF($C3825="","",IF(COUNTIF('مواد المخزون'!$A$2:$A$90,$C3825)&gt;0,"نعم","لا (خارج الجرد)"))</f>
        <v/>
      </c>
    </row>
    <row r="3826" customFormat="false" ht="15" hidden="false" customHeight="false" outlineLevel="0" collapsed="false">
      <c r="A3826" s="103"/>
      <c r="B3826" s="104"/>
      <c r="C3826" s="104"/>
      <c r="F3826" s="107" t="str">
        <f aca="false">IF(OR($C3826="",$D3826=0),"",$E3826/$D3826)</f>
        <v/>
      </c>
      <c r="H3826" s="0" t="str">
        <f aca="false">IF($C3826="","",IF(COUNTIF('مواد المخزون'!$A$2:$A$90,$C3826)&gt;0,"نعم","لا (خارج الجرد)"))</f>
        <v/>
      </c>
    </row>
    <row r="3827" customFormat="false" ht="15" hidden="false" customHeight="false" outlineLevel="0" collapsed="false">
      <c r="A3827" s="103"/>
      <c r="B3827" s="104"/>
      <c r="C3827" s="104"/>
      <c r="F3827" s="107" t="str">
        <f aca="false">IF(OR($C3827="",$D3827=0),"",$E3827/$D3827)</f>
        <v/>
      </c>
      <c r="H3827" s="0" t="str">
        <f aca="false">IF($C3827="","",IF(COUNTIF('مواد المخزون'!$A$2:$A$90,$C3827)&gt;0,"نعم","لا (خارج الجرد)"))</f>
        <v/>
      </c>
    </row>
    <row r="3828" customFormat="false" ht="15" hidden="false" customHeight="false" outlineLevel="0" collapsed="false">
      <c r="A3828" s="103"/>
      <c r="B3828" s="104"/>
      <c r="C3828" s="104"/>
      <c r="F3828" s="107" t="str">
        <f aca="false">IF(OR($C3828="",$D3828=0),"",$E3828/$D3828)</f>
        <v/>
      </c>
      <c r="H3828" s="0" t="str">
        <f aca="false">IF($C3828="","",IF(COUNTIF('مواد المخزون'!$A$2:$A$90,$C3828)&gt;0,"نعم","لا (خارج الجرد)"))</f>
        <v/>
      </c>
    </row>
    <row r="3829" customFormat="false" ht="15" hidden="false" customHeight="false" outlineLevel="0" collapsed="false">
      <c r="A3829" s="103"/>
      <c r="B3829" s="104"/>
      <c r="C3829" s="104"/>
      <c r="F3829" s="107" t="str">
        <f aca="false">IF(OR($C3829="",$D3829=0),"",$E3829/$D3829)</f>
        <v/>
      </c>
      <c r="H3829" s="0" t="str">
        <f aca="false">IF($C3829="","",IF(COUNTIF('مواد المخزون'!$A$2:$A$90,$C3829)&gt;0,"نعم","لا (خارج الجرد)"))</f>
        <v/>
      </c>
    </row>
    <row r="3830" customFormat="false" ht="15" hidden="false" customHeight="false" outlineLevel="0" collapsed="false">
      <c r="A3830" s="103"/>
      <c r="B3830" s="104"/>
      <c r="C3830" s="104"/>
      <c r="F3830" s="107" t="str">
        <f aca="false">IF(OR($C3830="",$D3830=0),"",$E3830/$D3830)</f>
        <v/>
      </c>
      <c r="H3830" s="0" t="str">
        <f aca="false">IF($C3830="","",IF(COUNTIF('مواد المخزون'!$A$2:$A$90,$C3830)&gt;0,"نعم","لا (خارج الجرد)"))</f>
        <v/>
      </c>
    </row>
    <row r="3831" customFormat="false" ht="15" hidden="false" customHeight="false" outlineLevel="0" collapsed="false">
      <c r="A3831" s="103"/>
      <c r="B3831" s="104"/>
      <c r="C3831" s="104"/>
      <c r="F3831" s="107" t="str">
        <f aca="false">IF(OR($C3831="",$D3831=0),"",$E3831/$D3831)</f>
        <v/>
      </c>
      <c r="H3831" s="0" t="str">
        <f aca="false">IF($C3831="","",IF(COUNTIF('مواد المخزون'!$A$2:$A$90,$C3831)&gt;0,"نعم","لا (خارج الجرد)"))</f>
        <v/>
      </c>
    </row>
    <row r="3832" customFormat="false" ht="15" hidden="false" customHeight="false" outlineLevel="0" collapsed="false">
      <c r="A3832" s="103"/>
      <c r="B3832" s="104"/>
      <c r="C3832" s="104"/>
      <c r="F3832" s="107" t="str">
        <f aca="false">IF(OR($C3832="",$D3832=0),"",$E3832/$D3832)</f>
        <v/>
      </c>
      <c r="H3832" s="0" t="str">
        <f aca="false">IF($C3832="","",IF(COUNTIF('مواد المخزون'!$A$2:$A$90,$C3832)&gt;0,"نعم","لا (خارج الجرد)"))</f>
        <v/>
      </c>
    </row>
    <row r="3833" customFormat="false" ht="15" hidden="false" customHeight="false" outlineLevel="0" collapsed="false">
      <c r="A3833" s="103"/>
      <c r="B3833" s="104"/>
      <c r="C3833" s="104"/>
      <c r="F3833" s="107" t="str">
        <f aca="false">IF(OR($C3833="",$D3833=0),"",$E3833/$D3833)</f>
        <v/>
      </c>
      <c r="H3833" s="0" t="str">
        <f aca="false">IF($C3833="","",IF(COUNTIF('مواد المخزون'!$A$2:$A$90,$C3833)&gt;0,"نعم","لا (خارج الجرد)"))</f>
        <v/>
      </c>
    </row>
    <row r="3834" customFormat="false" ht="15" hidden="false" customHeight="false" outlineLevel="0" collapsed="false">
      <c r="A3834" s="103"/>
      <c r="B3834" s="104"/>
      <c r="C3834" s="104"/>
      <c r="F3834" s="107" t="str">
        <f aca="false">IF(OR($C3834="",$D3834=0),"",$E3834/$D3834)</f>
        <v/>
      </c>
      <c r="H3834" s="0" t="str">
        <f aca="false">IF($C3834="","",IF(COUNTIF('مواد المخزون'!$A$2:$A$90,$C3834)&gt;0,"نعم","لا (خارج الجرد)"))</f>
        <v/>
      </c>
    </row>
    <row r="3835" customFormat="false" ht="15" hidden="false" customHeight="false" outlineLevel="0" collapsed="false">
      <c r="A3835" s="103"/>
      <c r="B3835" s="104"/>
      <c r="C3835" s="104"/>
      <c r="F3835" s="107" t="str">
        <f aca="false">IF(OR($C3835="",$D3835=0),"",$E3835/$D3835)</f>
        <v/>
      </c>
      <c r="H3835" s="0" t="str">
        <f aca="false">IF($C3835="","",IF(COUNTIF('مواد المخزون'!$A$2:$A$90,$C3835)&gt;0,"نعم","لا (خارج الجرد)"))</f>
        <v/>
      </c>
    </row>
    <row r="3836" customFormat="false" ht="15" hidden="false" customHeight="false" outlineLevel="0" collapsed="false">
      <c r="A3836" s="103"/>
      <c r="B3836" s="104"/>
      <c r="C3836" s="104"/>
      <c r="F3836" s="107" t="str">
        <f aca="false">IF(OR($C3836="",$D3836=0),"",$E3836/$D3836)</f>
        <v/>
      </c>
      <c r="H3836" s="0" t="str">
        <f aca="false">IF($C3836="","",IF(COUNTIF('مواد المخزون'!$A$2:$A$90,$C3836)&gt;0,"نعم","لا (خارج الجرد)"))</f>
        <v/>
      </c>
    </row>
    <row r="3837" customFormat="false" ht="15" hidden="false" customHeight="false" outlineLevel="0" collapsed="false">
      <c r="A3837" s="103"/>
      <c r="B3837" s="104"/>
      <c r="C3837" s="104"/>
      <c r="F3837" s="107" t="str">
        <f aca="false">IF(OR($C3837="",$D3837=0),"",$E3837/$D3837)</f>
        <v/>
      </c>
      <c r="H3837" s="0" t="str">
        <f aca="false">IF($C3837="","",IF(COUNTIF('مواد المخزون'!$A$2:$A$90,$C3837)&gt;0,"نعم","لا (خارج الجرد)"))</f>
        <v/>
      </c>
    </row>
    <row r="3838" customFormat="false" ht="15" hidden="false" customHeight="false" outlineLevel="0" collapsed="false">
      <c r="A3838" s="103"/>
      <c r="B3838" s="104"/>
      <c r="C3838" s="104"/>
      <c r="F3838" s="107" t="str">
        <f aca="false">IF(OR($C3838="",$D3838=0),"",$E3838/$D3838)</f>
        <v/>
      </c>
      <c r="H3838" s="0" t="str">
        <f aca="false">IF($C3838="","",IF(COUNTIF('مواد المخزون'!$A$2:$A$90,$C3838)&gt;0,"نعم","لا (خارج الجرد)"))</f>
        <v/>
      </c>
    </row>
    <row r="3839" customFormat="false" ht="15" hidden="false" customHeight="false" outlineLevel="0" collapsed="false">
      <c r="A3839" s="103"/>
      <c r="B3839" s="104"/>
      <c r="C3839" s="104"/>
      <c r="F3839" s="107" t="str">
        <f aca="false">IF(OR($C3839="",$D3839=0),"",$E3839/$D3839)</f>
        <v/>
      </c>
      <c r="H3839" s="0" t="str">
        <f aca="false">IF($C3839="","",IF(COUNTIF('مواد المخزون'!$A$2:$A$90,$C3839)&gt;0,"نعم","لا (خارج الجرد)"))</f>
        <v/>
      </c>
    </row>
    <row r="3840" customFormat="false" ht="15" hidden="false" customHeight="false" outlineLevel="0" collapsed="false">
      <c r="A3840" s="103"/>
      <c r="B3840" s="104"/>
      <c r="C3840" s="104"/>
      <c r="F3840" s="107" t="str">
        <f aca="false">IF(OR($C3840="",$D3840=0),"",$E3840/$D3840)</f>
        <v/>
      </c>
      <c r="H3840" s="0" t="str">
        <f aca="false">IF($C3840="","",IF(COUNTIF('مواد المخزون'!$A$2:$A$90,$C3840)&gt;0,"نعم","لا (خارج الجرد)"))</f>
        <v/>
      </c>
    </row>
    <row r="3841" customFormat="false" ht="15" hidden="false" customHeight="false" outlineLevel="0" collapsed="false">
      <c r="A3841" s="103"/>
      <c r="B3841" s="104"/>
      <c r="C3841" s="104"/>
      <c r="F3841" s="107" t="str">
        <f aca="false">IF(OR($C3841="",$D3841=0),"",$E3841/$D3841)</f>
        <v/>
      </c>
      <c r="H3841" s="0" t="str">
        <f aca="false">IF($C3841="","",IF(COUNTIF('مواد المخزون'!$A$2:$A$90,$C3841)&gt;0,"نعم","لا (خارج الجرد)"))</f>
        <v/>
      </c>
    </row>
    <row r="3842" customFormat="false" ht="15" hidden="false" customHeight="false" outlineLevel="0" collapsed="false">
      <c r="A3842" s="103"/>
      <c r="B3842" s="104"/>
      <c r="C3842" s="104"/>
      <c r="F3842" s="107" t="str">
        <f aca="false">IF(OR($C3842="",$D3842=0),"",$E3842/$D3842)</f>
        <v/>
      </c>
      <c r="H3842" s="0" t="str">
        <f aca="false">IF($C3842="","",IF(COUNTIF('مواد المخزون'!$A$2:$A$90,$C3842)&gt;0,"نعم","لا (خارج الجرد)"))</f>
        <v/>
      </c>
    </row>
    <row r="3843" customFormat="false" ht="15" hidden="false" customHeight="false" outlineLevel="0" collapsed="false">
      <c r="A3843" s="103"/>
      <c r="B3843" s="104"/>
      <c r="C3843" s="104"/>
      <c r="F3843" s="107" t="str">
        <f aca="false">IF(OR($C3843="",$D3843=0),"",$E3843/$D3843)</f>
        <v/>
      </c>
      <c r="H3843" s="0" t="str">
        <f aca="false">IF($C3843="","",IF(COUNTIF('مواد المخزون'!$A$2:$A$90,$C3843)&gt;0,"نعم","لا (خارج الجرد)"))</f>
        <v/>
      </c>
    </row>
    <row r="3844" customFormat="false" ht="15" hidden="false" customHeight="false" outlineLevel="0" collapsed="false">
      <c r="A3844" s="103"/>
      <c r="B3844" s="104"/>
      <c r="C3844" s="104"/>
      <c r="F3844" s="107" t="str">
        <f aca="false">IF(OR($C3844="",$D3844=0),"",$E3844/$D3844)</f>
        <v/>
      </c>
      <c r="H3844" s="0" t="str">
        <f aca="false">IF($C3844="","",IF(COUNTIF('مواد المخزون'!$A$2:$A$90,$C3844)&gt;0,"نعم","لا (خارج الجرد)"))</f>
        <v/>
      </c>
    </row>
    <row r="3845" customFormat="false" ht="15" hidden="false" customHeight="false" outlineLevel="0" collapsed="false">
      <c r="A3845" s="103"/>
      <c r="B3845" s="104"/>
      <c r="C3845" s="104"/>
      <c r="F3845" s="107" t="str">
        <f aca="false">IF(OR($C3845="",$D3845=0),"",$E3845/$D3845)</f>
        <v/>
      </c>
      <c r="H3845" s="0" t="str">
        <f aca="false">IF($C3845="","",IF(COUNTIF('مواد المخزون'!$A$2:$A$90,$C3845)&gt;0,"نعم","لا (خارج الجرد)"))</f>
        <v/>
      </c>
    </row>
    <row r="3846" customFormat="false" ht="15" hidden="false" customHeight="false" outlineLevel="0" collapsed="false">
      <c r="A3846" s="103"/>
      <c r="B3846" s="104"/>
      <c r="C3846" s="104"/>
      <c r="F3846" s="107" t="str">
        <f aca="false">IF(OR($C3846="",$D3846=0),"",$E3846/$D3846)</f>
        <v/>
      </c>
      <c r="H3846" s="0" t="str">
        <f aca="false">IF($C3846="","",IF(COUNTIF('مواد المخزون'!$A$2:$A$90,$C3846)&gt;0,"نعم","لا (خارج الجرد)"))</f>
        <v/>
      </c>
    </row>
    <row r="3847" customFormat="false" ht="15" hidden="false" customHeight="false" outlineLevel="0" collapsed="false">
      <c r="A3847" s="103"/>
      <c r="B3847" s="104"/>
      <c r="C3847" s="104"/>
      <c r="F3847" s="107" t="str">
        <f aca="false">IF(OR($C3847="",$D3847=0),"",$E3847/$D3847)</f>
        <v/>
      </c>
      <c r="H3847" s="0" t="str">
        <f aca="false">IF($C3847="","",IF(COUNTIF('مواد المخزون'!$A$2:$A$90,$C3847)&gt;0,"نعم","لا (خارج الجرد)"))</f>
        <v/>
      </c>
    </row>
    <row r="3848" customFormat="false" ht="15" hidden="false" customHeight="false" outlineLevel="0" collapsed="false">
      <c r="A3848" s="103"/>
      <c r="B3848" s="104"/>
      <c r="C3848" s="104"/>
      <c r="F3848" s="107" t="str">
        <f aca="false">IF(OR($C3848="",$D3848=0),"",$E3848/$D3848)</f>
        <v/>
      </c>
      <c r="H3848" s="0" t="str">
        <f aca="false">IF($C3848="","",IF(COUNTIF('مواد المخزون'!$A$2:$A$90,$C3848)&gt;0,"نعم","لا (خارج الجرد)"))</f>
        <v/>
      </c>
    </row>
    <row r="3849" customFormat="false" ht="15" hidden="false" customHeight="false" outlineLevel="0" collapsed="false">
      <c r="A3849" s="103"/>
      <c r="B3849" s="104"/>
      <c r="C3849" s="104"/>
      <c r="F3849" s="107" t="str">
        <f aca="false">IF(OR($C3849="",$D3849=0),"",$E3849/$D3849)</f>
        <v/>
      </c>
      <c r="H3849" s="0" t="str">
        <f aca="false">IF($C3849="","",IF(COUNTIF('مواد المخزون'!$A$2:$A$90,$C3849)&gt;0,"نعم","لا (خارج الجرد)"))</f>
        <v/>
      </c>
    </row>
    <row r="3850" customFormat="false" ht="15" hidden="false" customHeight="false" outlineLevel="0" collapsed="false">
      <c r="A3850" s="103"/>
      <c r="B3850" s="104"/>
      <c r="C3850" s="104"/>
      <c r="F3850" s="107" t="str">
        <f aca="false">IF(OR($C3850="",$D3850=0),"",$E3850/$D3850)</f>
        <v/>
      </c>
      <c r="H3850" s="0" t="str">
        <f aca="false">IF($C3850="","",IF(COUNTIF('مواد المخزون'!$A$2:$A$90,$C3850)&gt;0,"نعم","لا (خارج الجرد)"))</f>
        <v/>
      </c>
    </row>
    <row r="3851" customFormat="false" ht="15" hidden="false" customHeight="false" outlineLevel="0" collapsed="false">
      <c r="A3851" s="103"/>
      <c r="B3851" s="104"/>
      <c r="C3851" s="104"/>
      <c r="F3851" s="107" t="str">
        <f aca="false">IF(OR($C3851="",$D3851=0),"",$E3851/$D3851)</f>
        <v/>
      </c>
      <c r="H3851" s="0" t="str">
        <f aca="false">IF($C3851="","",IF(COUNTIF('مواد المخزون'!$A$2:$A$90,$C3851)&gt;0,"نعم","لا (خارج الجرد)"))</f>
        <v/>
      </c>
    </row>
    <row r="3852" customFormat="false" ht="15" hidden="false" customHeight="false" outlineLevel="0" collapsed="false">
      <c r="A3852" s="103"/>
      <c r="B3852" s="104"/>
      <c r="C3852" s="104"/>
      <c r="F3852" s="107" t="str">
        <f aca="false">IF(OR($C3852="",$D3852=0),"",$E3852/$D3852)</f>
        <v/>
      </c>
      <c r="H3852" s="0" t="str">
        <f aca="false">IF($C3852="","",IF(COUNTIF('مواد المخزون'!$A$2:$A$90,$C3852)&gt;0,"نعم","لا (خارج الجرد)"))</f>
        <v/>
      </c>
    </row>
    <row r="3853" customFormat="false" ht="15" hidden="false" customHeight="false" outlineLevel="0" collapsed="false">
      <c r="A3853" s="103"/>
      <c r="B3853" s="104"/>
      <c r="C3853" s="104"/>
      <c r="F3853" s="107" t="str">
        <f aca="false">IF(OR($C3853="",$D3853=0),"",$E3853/$D3853)</f>
        <v/>
      </c>
      <c r="H3853" s="0" t="str">
        <f aca="false">IF($C3853="","",IF(COUNTIF('مواد المخزون'!$A$2:$A$90,$C3853)&gt;0,"نعم","لا (خارج الجرد)"))</f>
        <v/>
      </c>
    </row>
    <row r="3854" customFormat="false" ht="15" hidden="false" customHeight="false" outlineLevel="0" collapsed="false">
      <c r="A3854" s="103"/>
      <c r="B3854" s="104"/>
      <c r="C3854" s="104"/>
      <c r="F3854" s="107" t="str">
        <f aca="false">IF(OR($C3854="",$D3854=0),"",$E3854/$D3854)</f>
        <v/>
      </c>
      <c r="H3854" s="0" t="str">
        <f aca="false">IF($C3854="","",IF(COUNTIF('مواد المخزون'!$A$2:$A$90,$C3854)&gt;0,"نعم","لا (خارج الجرد)"))</f>
        <v/>
      </c>
    </row>
    <row r="3855" customFormat="false" ht="15" hidden="false" customHeight="false" outlineLevel="0" collapsed="false">
      <c r="A3855" s="103"/>
      <c r="B3855" s="104"/>
      <c r="C3855" s="104"/>
      <c r="F3855" s="107" t="str">
        <f aca="false">IF(OR($C3855="",$D3855=0),"",$E3855/$D3855)</f>
        <v/>
      </c>
      <c r="H3855" s="0" t="str">
        <f aca="false">IF($C3855="","",IF(COUNTIF('مواد المخزون'!$A$2:$A$90,$C3855)&gt;0,"نعم","لا (خارج الجرد)"))</f>
        <v/>
      </c>
    </row>
    <row r="3856" customFormat="false" ht="15" hidden="false" customHeight="false" outlineLevel="0" collapsed="false">
      <c r="A3856" s="103"/>
      <c r="B3856" s="104"/>
      <c r="C3856" s="104"/>
      <c r="F3856" s="107" t="str">
        <f aca="false">IF(OR($C3856="",$D3856=0),"",$E3856/$D3856)</f>
        <v/>
      </c>
      <c r="H3856" s="0" t="str">
        <f aca="false">IF($C3856="","",IF(COUNTIF('مواد المخزون'!$A$2:$A$90,$C3856)&gt;0,"نعم","لا (خارج الجرد)"))</f>
        <v/>
      </c>
    </row>
    <row r="3857" customFormat="false" ht="15" hidden="false" customHeight="false" outlineLevel="0" collapsed="false">
      <c r="A3857" s="103"/>
      <c r="B3857" s="104"/>
      <c r="C3857" s="104"/>
      <c r="F3857" s="107" t="str">
        <f aca="false">IF(OR($C3857="",$D3857=0),"",$E3857/$D3857)</f>
        <v/>
      </c>
      <c r="H3857" s="0" t="str">
        <f aca="false">IF($C3857="","",IF(COUNTIF('مواد المخزون'!$A$2:$A$90,$C3857)&gt;0,"نعم","لا (خارج الجرد)"))</f>
        <v/>
      </c>
    </row>
    <row r="3858" customFormat="false" ht="15" hidden="false" customHeight="false" outlineLevel="0" collapsed="false">
      <c r="A3858" s="103"/>
      <c r="B3858" s="104"/>
      <c r="C3858" s="104"/>
      <c r="F3858" s="107" t="str">
        <f aca="false">IF(OR($C3858="",$D3858=0),"",$E3858/$D3858)</f>
        <v/>
      </c>
      <c r="H3858" s="0" t="str">
        <f aca="false">IF($C3858="","",IF(COUNTIF('مواد المخزون'!$A$2:$A$90,$C3858)&gt;0,"نعم","لا (خارج الجرد)"))</f>
        <v/>
      </c>
    </row>
    <row r="3859" customFormat="false" ht="15" hidden="false" customHeight="false" outlineLevel="0" collapsed="false">
      <c r="A3859" s="103"/>
      <c r="B3859" s="104"/>
      <c r="C3859" s="104"/>
      <c r="F3859" s="107" t="str">
        <f aca="false">IF(OR($C3859="",$D3859=0),"",$E3859/$D3859)</f>
        <v/>
      </c>
      <c r="H3859" s="0" t="str">
        <f aca="false">IF($C3859="","",IF(COUNTIF('مواد المخزون'!$A$2:$A$90,$C3859)&gt;0,"نعم","لا (خارج الجرد)"))</f>
        <v/>
      </c>
    </row>
    <row r="3860" customFormat="false" ht="15" hidden="false" customHeight="false" outlineLevel="0" collapsed="false">
      <c r="A3860" s="103"/>
      <c r="B3860" s="104"/>
      <c r="C3860" s="104"/>
      <c r="F3860" s="107" t="str">
        <f aca="false">IF(OR($C3860="",$D3860=0),"",$E3860/$D3860)</f>
        <v/>
      </c>
      <c r="H3860" s="0" t="str">
        <f aca="false">IF($C3860="","",IF(COUNTIF('مواد المخزون'!$A$2:$A$90,$C3860)&gt;0,"نعم","لا (خارج الجرد)"))</f>
        <v/>
      </c>
    </row>
    <row r="3861" customFormat="false" ht="15" hidden="false" customHeight="false" outlineLevel="0" collapsed="false">
      <c r="A3861" s="103"/>
      <c r="B3861" s="104"/>
      <c r="C3861" s="104"/>
      <c r="F3861" s="107" t="str">
        <f aca="false">IF(OR($C3861="",$D3861=0),"",$E3861/$D3861)</f>
        <v/>
      </c>
      <c r="H3861" s="0" t="str">
        <f aca="false">IF($C3861="","",IF(COUNTIF('مواد المخزون'!$A$2:$A$90,$C3861)&gt;0,"نعم","لا (خارج الجرد)"))</f>
        <v/>
      </c>
    </row>
    <row r="3862" customFormat="false" ht="15" hidden="false" customHeight="false" outlineLevel="0" collapsed="false">
      <c r="A3862" s="103"/>
      <c r="B3862" s="104"/>
      <c r="C3862" s="104"/>
      <c r="F3862" s="107" t="str">
        <f aca="false">IF(OR($C3862="",$D3862=0),"",$E3862/$D3862)</f>
        <v/>
      </c>
      <c r="H3862" s="0" t="str">
        <f aca="false">IF($C3862="","",IF(COUNTIF('مواد المخزون'!$A$2:$A$90,$C3862)&gt;0,"نعم","لا (خارج الجرد)"))</f>
        <v/>
      </c>
    </row>
    <row r="3863" customFormat="false" ht="15" hidden="false" customHeight="false" outlineLevel="0" collapsed="false">
      <c r="A3863" s="103"/>
      <c r="B3863" s="104"/>
      <c r="C3863" s="104"/>
      <c r="F3863" s="107" t="str">
        <f aca="false">IF(OR($C3863="",$D3863=0),"",$E3863/$D3863)</f>
        <v/>
      </c>
      <c r="H3863" s="0" t="str">
        <f aca="false">IF($C3863="","",IF(COUNTIF('مواد المخزون'!$A$2:$A$90,$C3863)&gt;0,"نعم","لا (خارج الجرد)"))</f>
        <v/>
      </c>
    </row>
    <row r="3864" customFormat="false" ht="15" hidden="false" customHeight="false" outlineLevel="0" collapsed="false">
      <c r="A3864" s="103"/>
      <c r="B3864" s="104"/>
      <c r="C3864" s="104"/>
      <c r="F3864" s="107" t="str">
        <f aca="false">IF(OR($C3864="",$D3864=0),"",$E3864/$D3864)</f>
        <v/>
      </c>
      <c r="H3864" s="0" t="str">
        <f aca="false">IF($C3864="","",IF(COUNTIF('مواد المخزون'!$A$2:$A$90,$C3864)&gt;0,"نعم","لا (خارج الجرد)"))</f>
        <v/>
      </c>
    </row>
    <row r="3865" customFormat="false" ht="15" hidden="false" customHeight="false" outlineLevel="0" collapsed="false">
      <c r="A3865" s="103"/>
      <c r="B3865" s="104"/>
      <c r="C3865" s="104"/>
      <c r="F3865" s="107" t="str">
        <f aca="false">IF(OR($C3865="",$D3865=0),"",$E3865/$D3865)</f>
        <v/>
      </c>
      <c r="H3865" s="0" t="str">
        <f aca="false">IF($C3865="","",IF(COUNTIF('مواد المخزون'!$A$2:$A$90,$C3865)&gt;0,"نعم","لا (خارج الجرد)"))</f>
        <v/>
      </c>
    </row>
    <row r="3866" customFormat="false" ht="15" hidden="false" customHeight="false" outlineLevel="0" collapsed="false">
      <c r="A3866" s="103"/>
      <c r="B3866" s="104"/>
      <c r="C3866" s="104"/>
      <c r="F3866" s="107" t="str">
        <f aca="false">IF(OR($C3866="",$D3866=0),"",$E3866/$D3866)</f>
        <v/>
      </c>
      <c r="H3866" s="0" t="str">
        <f aca="false">IF($C3866="","",IF(COUNTIF('مواد المخزون'!$A$2:$A$90,$C3866)&gt;0,"نعم","لا (خارج الجرد)"))</f>
        <v/>
      </c>
    </row>
    <row r="3867" customFormat="false" ht="15" hidden="false" customHeight="false" outlineLevel="0" collapsed="false">
      <c r="A3867" s="103"/>
      <c r="B3867" s="104"/>
      <c r="C3867" s="104"/>
      <c r="F3867" s="107" t="str">
        <f aca="false">IF(OR($C3867="",$D3867=0),"",$E3867/$D3867)</f>
        <v/>
      </c>
      <c r="H3867" s="0" t="str">
        <f aca="false">IF($C3867="","",IF(COUNTIF('مواد المخزون'!$A$2:$A$90,$C3867)&gt;0,"نعم","لا (خارج الجرد)"))</f>
        <v/>
      </c>
    </row>
    <row r="3868" customFormat="false" ht="15" hidden="false" customHeight="false" outlineLevel="0" collapsed="false">
      <c r="A3868" s="103"/>
      <c r="B3868" s="104"/>
      <c r="C3868" s="104"/>
      <c r="F3868" s="107" t="str">
        <f aca="false">IF(OR($C3868="",$D3868=0),"",$E3868/$D3868)</f>
        <v/>
      </c>
      <c r="H3868" s="0" t="str">
        <f aca="false">IF($C3868="","",IF(COUNTIF('مواد المخزون'!$A$2:$A$90,$C3868)&gt;0,"نعم","لا (خارج الجرد)"))</f>
        <v/>
      </c>
    </row>
    <row r="3869" customFormat="false" ht="15" hidden="false" customHeight="false" outlineLevel="0" collapsed="false">
      <c r="A3869" s="103"/>
      <c r="B3869" s="104"/>
      <c r="C3869" s="104"/>
      <c r="F3869" s="107" t="str">
        <f aca="false">IF(OR($C3869="",$D3869=0),"",$E3869/$D3869)</f>
        <v/>
      </c>
      <c r="H3869" s="0" t="str">
        <f aca="false">IF($C3869="","",IF(COUNTIF('مواد المخزون'!$A$2:$A$90,$C3869)&gt;0,"نعم","لا (خارج الجرد)"))</f>
        <v/>
      </c>
    </row>
    <row r="3870" customFormat="false" ht="15" hidden="false" customHeight="false" outlineLevel="0" collapsed="false">
      <c r="A3870" s="103"/>
      <c r="B3870" s="104"/>
      <c r="C3870" s="104"/>
      <c r="F3870" s="107" t="str">
        <f aca="false">IF(OR($C3870="",$D3870=0),"",$E3870/$D3870)</f>
        <v/>
      </c>
      <c r="H3870" s="0" t="str">
        <f aca="false">IF($C3870="","",IF(COUNTIF('مواد المخزون'!$A$2:$A$90,$C3870)&gt;0,"نعم","لا (خارج الجرد)"))</f>
        <v/>
      </c>
    </row>
    <row r="3871" customFormat="false" ht="15" hidden="false" customHeight="false" outlineLevel="0" collapsed="false">
      <c r="A3871" s="103"/>
      <c r="B3871" s="104"/>
      <c r="C3871" s="104"/>
      <c r="F3871" s="107" t="str">
        <f aca="false">IF(OR($C3871="",$D3871=0),"",$E3871/$D3871)</f>
        <v/>
      </c>
      <c r="H3871" s="0" t="str">
        <f aca="false">IF($C3871="","",IF(COUNTIF('مواد المخزون'!$A$2:$A$90,$C3871)&gt;0,"نعم","لا (خارج الجرد)"))</f>
        <v/>
      </c>
    </row>
    <row r="3872" customFormat="false" ht="15" hidden="false" customHeight="false" outlineLevel="0" collapsed="false">
      <c r="A3872" s="103"/>
      <c r="B3872" s="104"/>
      <c r="C3872" s="104"/>
      <c r="F3872" s="107" t="str">
        <f aca="false">IF(OR($C3872="",$D3872=0),"",$E3872/$D3872)</f>
        <v/>
      </c>
      <c r="H3872" s="0" t="str">
        <f aca="false">IF($C3872="","",IF(COUNTIF('مواد المخزون'!$A$2:$A$90,$C3872)&gt;0,"نعم","لا (خارج الجرد)"))</f>
        <v/>
      </c>
    </row>
    <row r="3873" customFormat="false" ht="15" hidden="false" customHeight="false" outlineLevel="0" collapsed="false">
      <c r="A3873" s="103"/>
      <c r="B3873" s="104"/>
      <c r="C3873" s="104"/>
      <c r="F3873" s="107" t="str">
        <f aca="false">IF(OR($C3873="",$D3873=0),"",$E3873/$D3873)</f>
        <v/>
      </c>
      <c r="H3873" s="0" t="str">
        <f aca="false">IF($C3873="","",IF(COUNTIF('مواد المخزون'!$A$2:$A$90,$C3873)&gt;0,"نعم","لا (خارج الجرد)"))</f>
        <v/>
      </c>
    </row>
    <row r="3874" customFormat="false" ht="15" hidden="false" customHeight="false" outlineLevel="0" collapsed="false">
      <c r="A3874" s="103"/>
      <c r="B3874" s="104"/>
      <c r="C3874" s="104"/>
      <c r="F3874" s="107" t="str">
        <f aca="false">IF(OR($C3874="",$D3874=0),"",$E3874/$D3874)</f>
        <v/>
      </c>
      <c r="H3874" s="0" t="str">
        <f aca="false">IF($C3874="","",IF(COUNTIF('مواد المخزون'!$A$2:$A$90,$C3874)&gt;0,"نعم","لا (خارج الجرد)"))</f>
        <v/>
      </c>
    </row>
    <row r="3875" customFormat="false" ht="15" hidden="false" customHeight="false" outlineLevel="0" collapsed="false">
      <c r="A3875" s="103"/>
      <c r="B3875" s="104"/>
      <c r="C3875" s="104"/>
      <c r="F3875" s="107" t="str">
        <f aca="false">IF(OR($C3875="",$D3875=0),"",$E3875/$D3875)</f>
        <v/>
      </c>
      <c r="H3875" s="0" t="str">
        <f aca="false">IF($C3875="","",IF(COUNTIF('مواد المخزون'!$A$2:$A$90,$C3875)&gt;0,"نعم","لا (خارج الجرد)"))</f>
        <v/>
      </c>
    </row>
    <row r="3876" customFormat="false" ht="15" hidden="false" customHeight="false" outlineLevel="0" collapsed="false">
      <c r="A3876" s="103"/>
      <c r="B3876" s="104"/>
      <c r="C3876" s="104"/>
      <c r="F3876" s="107" t="str">
        <f aca="false">IF(OR($C3876="",$D3876=0),"",$E3876/$D3876)</f>
        <v/>
      </c>
      <c r="H3876" s="0" t="str">
        <f aca="false">IF($C3876="","",IF(COUNTIF('مواد المخزون'!$A$2:$A$90,$C3876)&gt;0,"نعم","لا (خارج الجرد)"))</f>
        <v/>
      </c>
    </row>
    <row r="3877" customFormat="false" ht="15" hidden="false" customHeight="false" outlineLevel="0" collapsed="false">
      <c r="A3877" s="103"/>
      <c r="B3877" s="104"/>
      <c r="C3877" s="104"/>
      <c r="F3877" s="107" t="str">
        <f aca="false">IF(OR($C3877="",$D3877=0),"",$E3877/$D3877)</f>
        <v/>
      </c>
      <c r="H3877" s="0" t="str">
        <f aca="false">IF($C3877="","",IF(COUNTIF('مواد المخزون'!$A$2:$A$90,$C3877)&gt;0,"نعم","لا (خارج الجرد)"))</f>
        <v/>
      </c>
    </row>
    <row r="3878" customFormat="false" ht="15" hidden="false" customHeight="false" outlineLevel="0" collapsed="false">
      <c r="A3878" s="103"/>
      <c r="B3878" s="104"/>
      <c r="C3878" s="104"/>
      <c r="F3878" s="107" t="str">
        <f aca="false">IF(OR($C3878="",$D3878=0),"",$E3878/$D3878)</f>
        <v/>
      </c>
      <c r="H3878" s="0" t="str">
        <f aca="false">IF($C3878="","",IF(COUNTIF('مواد المخزون'!$A$2:$A$90,$C3878)&gt;0,"نعم","لا (خارج الجرد)"))</f>
        <v/>
      </c>
    </row>
    <row r="3879" customFormat="false" ht="15" hidden="false" customHeight="false" outlineLevel="0" collapsed="false">
      <c r="A3879" s="103"/>
      <c r="B3879" s="104"/>
      <c r="C3879" s="104"/>
      <c r="F3879" s="107" t="str">
        <f aca="false">IF(OR($C3879="",$D3879=0),"",$E3879/$D3879)</f>
        <v/>
      </c>
      <c r="H3879" s="0" t="str">
        <f aca="false">IF($C3879="","",IF(COUNTIF('مواد المخزون'!$A$2:$A$90,$C3879)&gt;0,"نعم","لا (خارج الجرد)"))</f>
        <v/>
      </c>
    </row>
    <row r="3880" customFormat="false" ht="15" hidden="false" customHeight="false" outlineLevel="0" collapsed="false">
      <c r="A3880" s="103"/>
      <c r="B3880" s="104"/>
      <c r="C3880" s="104"/>
      <c r="F3880" s="107" t="str">
        <f aca="false">IF(OR($C3880="",$D3880=0),"",$E3880/$D3880)</f>
        <v/>
      </c>
      <c r="H3880" s="0" t="str">
        <f aca="false">IF($C3880="","",IF(COUNTIF('مواد المخزون'!$A$2:$A$90,$C3880)&gt;0,"نعم","لا (خارج الجرد)"))</f>
        <v/>
      </c>
    </row>
    <row r="3881" customFormat="false" ht="15" hidden="false" customHeight="false" outlineLevel="0" collapsed="false">
      <c r="A3881" s="103"/>
      <c r="B3881" s="104"/>
      <c r="C3881" s="104"/>
      <c r="F3881" s="107" t="str">
        <f aca="false">IF(OR($C3881="",$D3881=0),"",$E3881/$D3881)</f>
        <v/>
      </c>
      <c r="H3881" s="0" t="str">
        <f aca="false">IF($C3881="","",IF(COUNTIF('مواد المخزون'!$A$2:$A$90,$C3881)&gt;0,"نعم","لا (خارج الجرد)"))</f>
        <v/>
      </c>
    </row>
    <row r="3882" customFormat="false" ht="15" hidden="false" customHeight="false" outlineLevel="0" collapsed="false">
      <c r="A3882" s="103"/>
      <c r="B3882" s="104"/>
      <c r="C3882" s="104"/>
      <c r="F3882" s="107" t="str">
        <f aca="false">IF(OR($C3882="",$D3882=0),"",$E3882/$D3882)</f>
        <v/>
      </c>
      <c r="H3882" s="0" t="str">
        <f aca="false">IF($C3882="","",IF(COUNTIF('مواد المخزون'!$A$2:$A$90,$C3882)&gt;0,"نعم","لا (خارج الجرد)"))</f>
        <v/>
      </c>
    </row>
    <row r="3883" customFormat="false" ht="15" hidden="false" customHeight="false" outlineLevel="0" collapsed="false">
      <c r="A3883" s="103"/>
      <c r="B3883" s="104"/>
      <c r="C3883" s="104"/>
      <c r="F3883" s="107" t="str">
        <f aca="false">IF(OR($C3883="",$D3883=0),"",$E3883/$D3883)</f>
        <v/>
      </c>
      <c r="H3883" s="0" t="str">
        <f aca="false">IF($C3883="","",IF(COUNTIF('مواد المخزون'!$A$2:$A$90,$C3883)&gt;0,"نعم","لا (خارج الجرد)"))</f>
        <v/>
      </c>
    </row>
    <row r="3884" customFormat="false" ht="15" hidden="false" customHeight="false" outlineLevel="0" collapsed="false">
      <c r="A3884" s="103"/>
      <c r="B3884" s="104"/>
      <c r="C3884" s="104"/>
      <c r="F3884" s="107" t="str">
        <f aca="false">IF(OR($C3884="",$D3884=0),"",$E3884/$D3884)</f>
        <v/>
      </c>
      <c r="H3884" s="0" t="str">
        <f aca="false">IF($C3884="","",IF(COUNTIF('مواد المخزون'!$A$2:$A$90,$C3884)&gt;0,"نعم","لا (خارج الجرد)"))</f>
        <v/>
      </c>
    </row>
    <row r="3885" customFormat="false" ht="15" hidden="false" customHeight="false" outlineLevel="0" collapsed="false">
      <c r="A3885" s="103"/>
      <c r="B3885" s="104"/>
      <c r="C3885" s="104"/>
      <c r="F3885" s="107" t="str">
        <f aca="false">IF(OR($C3885="",$D3885=0),"",$E3885/$D3885)</f>
        <v/>
      </c>
      <c r="H3885" s="0" t="str">
        <f aca="false">IF($C3885="","",IF(COUNTIF('مواد المخزون'!$A$2:$A$90,$C3885)&gt;0,"نعم","لا (خارج الجرد)"))</f>
        <v/>
      </c>
    </row>
    <row r="3886" customFormat="false" ht="15" hidden="false" customHeight="false" outlineLevel="0" collapsed="false">
      <c r="A3886" s="103"/>
      <c r="B3886" s="104"/>
      <c r="C3886" s="104"/>
      <c r="F3886" s="107" t="str">
        <f aca="false">IF(OR($C3886="",$D3886=0),"",$E3886/$D3886)</f>
        <v/>
      </c>
      <c r="H3886" s="0" t="str">
        <f aca="false">IF($C3886="","",IF(COUNTIF('مواد المخزون'!$A$2:$A$90,$C3886)&gt;0,"نعم","لا (خارج الجرد)"))</f>
        <v/>
      </c>
    </row>
    <row r="3887" customFormat="false" ht="15" hidden="false" customHeight="false" outlineLevel="0" collapsed="false">
      <c r="A3887" s="103"/>
      <c r="B3887" s="104"/>
      <c r="C3887" s="104"/>
      <c r="F3887" s="107" t="str">
        <f aca="false">IF(OR($C3887="",$D3887=0),"",$E3887/$D3887)</f>
        <v/>
      </c>
      <c r="H3887" s="0" t="str">
        <f aca="false">IF($C3887="","",IF(COUNTIF('مواد المخزون'!$A$2:$A$90,$C3887)&gt;0,"نعم","لا (خارج الجرد)"))</f>
        <v/>
      </c>
    </row>
    <row r="3888" customFormat="false" ht="15" hidden="false" customHeight="false" outlineLevel="0" collapsed="false">
      <c r="A3888" s="103"/>
      <c r="B3888" s="104"/>
      <c r="C3888" s="104"/>
      <c r="F3888" s="107" t="str">
        <f aca="false">IF(OR($C3888="",$D3888=0),"",$E3888/$D3888)</f>
        <v/>
      </c>
      <c r="H3888" s="0" t="str">
        <f aca="false">IF($C3888="","",IF(COUNTIF('مواد المخزون'!$A$2:$A$90,$C3888)&gt;0,"نعم","لا (خارج الجرد)"))</f>
        <v/>
      </c>
    </row>
    <row r="3889" customFormat="false" ht="15" hidden="false" customHeight="false" outlineLevel="0" collapsed="false">
      <c r="A3889" s="103"/>
      <c r="B3889" s="104"/>
      <c r="C3889" s="104"/>
      <c r="F3889" s="107" t="str">
        <f aca="false">IF(OR($C3889="",$D3889=0),"",$E3889/$D3889)</f>
        <v/>
      </c>
      <c r="H3889" s="0" t="str">
        <f aca="false">IF($C3889="","",IF(COUNTIF('مواد المخزون'!$A$2:$A$90,$C3889)&gt;0,"نعم","لا (خارج الجرد)"))</f>
        <v/>
      </c>
    </row>
    <row r="3890" customFormat="false" ht="15" hidden="false" customHeight="false" outlineLevel="0" collapsed="false">
      <c r="A3890" s="103"/>
      <c r="B3890" s="104"/>
      <c r="C3890" s="104"/>
      <c r="F3890" s="107" t="str">
        <f aca="false">IF(OR($C3890="",$D3890=0),"",$E3890/$D3890)</f>
        <v/>
      </c>
      <c r="H3890" s="0" t="str">
        <f aca="false">IF($C3890="","",IF(COUNTIF('مواد المخزون'!$A$2:$A$90,$C3890)&gt;0,"نعم","لا (خارج الجرد)"))</f>
        <v/>
      </c>
    </row>
    <row r="3891" customFormat="false" ht="15" hidden="false" customHeight="false" outlineLevel="0" collapsed="false">
      <c r="A3891" s="103"/>
      <c r="B3891" s="104"/>
      <c r="C3891" s="104"/>
      <c r="F3891" s="107" t="str">
        <f aca="false">IF(OR($C3891="",$D3891=0),"",$E3891/$D3891)</f>
        <v/>
      </c>
      <c r="H3891" s="0" t="str">
        <f aca="false">IF($C3891="","",IF(COUNTIF('مواد المخزون'!$A$2:$A$90,$C3891)&gt;0,"نعم","لا (خارج الجرد)"))</f>
        <v/>
      </c>
    </row>
    <row r="3892" customFormat="false" ht="15" hidden="false" customHeight="false" outlineLevel="0" collapsed="false">
      <c r="A3892" s="103"/>
      <c r="B3892" s="104"/>
      <c r="C3892" s="104"/>
      <c r="F3892" s="107" t="str">
        <f aca="false">IF(OR($C3892="",$D3892=0),"",$E3892/$D3892)</f>
        <v/>
      </c>
      <c r="H3892" s="0" t="str">
        <f aca="false">IF($C3892="","",IF(COUNTIF('مواد المخزون'!$A$2:$A$90,$C3892)&gt;0,"نعم","لا (خارج الجرد)"))</f>
        <v/>
      </c>
    </row>
    <row r="3893" customFormat="false" ht="15" hidden="false" customHeight="false" outlineLevel="0" collapsed="false">
      <c r="A3893" s="103"/>
      <c r="B3893" s="104"/>
      <c r="C3893" s="104"/>
      <c r="F3893" s="107" t="str">
        <f aca="false">IF(OR($C3893="",$D3893=0),"",$E3893/$D3893)</f>
        <v/>
      </c>
      <c r="H3893" s="0" t="str">
        <f aca="false">IF($C3893="","",IF(COUNTIF('مواد المخزون'!$A$2:$A$90,$C3893)&gt;0,"نعم","لا (خارج الجرد)"))</f>
        <v/>
      </c>
    </row>
    <row r="3894" customFormat="false" ht="15" hidden="false" customHeight="false" outlineLevel="0" collapsed="false">
      <c r="A3894" s="103"/>
      <c r="B3894" s="104"/>
      <c r="C3894" s="104"/>
      <c r="F3894" s="107" t="str">
        <f aca="false">IF(OR($C3894="",$D3894=0),"",$E3894/$D3894)</f>
        <v/>
      </c>
      <c r="H3894" s="0" t="str">
        <f aca="false">IF($C3894="","",IF(COUNTIF('مواد المخزون'!$A$2:$A$90,$C3894)&gt;0,"نعم","لا (خارج الجرد)"))</f>
        <v/>
      </c>
    </row>
    <row r="3895" customFormat="false" ht="15" hidden="false" customHeight="false" outlineLevel="0" collapsed="false">
      <c r="A3895" s="103"/>
      <c r="B3895" s="104"/>
      <c r="C3895" s="104"/>
      <c r="F3895" s="107" t="str">
        <f aca="false">IF(OR($C3895="",$D3895=0),"",$E3895/$D3895)</f>
        <v/>
      </c>
      <c r="H3895" s="0" t="str">
        <f aca="false">IF($C3895="","",IF(COUNTIF('مواد المخزون'!$A$2:$A$90,$C3895)&gt;0,"نعم","لا (خارج الجرد)"))</f>
        <v/>
      </c>
    </row>
    <row r="3896" customFormat="false" ht="15" hidden="false" customHeight="false" outlineLevel="0" collapsed="false">
      <c r="A3896" s="103"/>
      <c r="B3896" s="104"/>
      <c r="C3896" s="104"/>
      <c r="F3896" s="107" t="str">
        <f aca="false">IF(OR($C3896="",$D3896=0),"",$E3896/$D3896)</f>
        <v/>
      </c>
      <c r="H3896" s="0" t="str">
        <f aca="false">IF($C3896="","",IF(COUNTIF('مواد المخزون'!$A$2:$A$90,$C3896)&gt;0,"نعم","لا (خارج الجرد)"))</f>
        <v/>
      </c>
    </row>
    <row r="3897" customFormat="false" ht="15" hidden="false" customHeight="false" outlineLevel="0" collapsed="false">
      <c r="A3897" s="103"/>
      <c r="B3897" s="104"/>
      <c r="C3897" s="104"/>
      <c r="F3897" s="107" t="str">
        <f aca="false">IF(OR($C3897="",$D3897=0),"",$E3897/$D3897)</f>
        <v/>
      </c>
      <c r="H3897" s="0" t="str">
        <f aca="false">IF($C3897="","",IF(COUNTIF('مواد المخزون'!$A$2:$A$90,$C3897)&gt;0,"نعم","لا (خارج الجرد)"))</f>
        <v/>
      </c>
    </row>
    <row r="3898" customFormat="false" ht="15" hidden="false" customHeight="false" outlineLevel="0" collapsed="false">
      <c r="A3898" s="103"/>
      <c r="B3898" s="104"/>
      <c r="C3898" s="104"/>
      <c r="F3898" s="107" t="str">
        <f aca="false">IF(OR($C3898="",$D3898=0),"",$E3898/$D3898)</f>
        <v/>
      </c>
      <c r="H3898" s="0" t="str">
        <f aca="false">IF($C3898="","",IF(COUNTIF('مواد المخزون'!$A$2:$A$90,$C3898)&gt;0,"نعم","لا (خارج الجرد)"))</f>
        <v/>
      </c>
    </row>
    <row r="3899" customFormat="false" ht="15" hidden="false" customHeight="false" outlineLevel="0" collapsed="false">
      <c r="A3899" s="103"/>
      <c r="B3899" s="104"/>
      <c r="C3899" s="104"/>
      <c r="F3899" s="107" t="str">
        <f aca="false">IF(OR($C3899="",$D3899=0),"",$E3899/$D3899)</f>
        <v/>
      </c>
      <c r="H3899" s="0" t="str">
        <f aca="false">IF($C3899="","",IF(COUNTIF('مواد المخزون'!$A$2:$A$90,$C3899)&gt;0,"نعم","لا (خارج الجرد)"))</f>
        <v/>
      </c>
    </row>
    <row r="3900" customFormat="false" ht="15" hidden="false" customHeight="false" outlineLevel="0" collapsed="false">
      <c r="A3900" s="103"/>
      <c r="B3900" s="104"/>
      <c r="C3900" s="104"/>
      <c r="F3900" s="107" t="str">
        <f aca="false">IF(OR($C3900="",$D3900=0),"",$E3900/$D3900)</f>
        <v/>
      </c>
      <c r="H3900" s="0" t="str">
        <f aca="false">IF($C3900="","",IF(COUNTIF('مواد المخزون'!$A$2:$A$90,$C3900)&gt;0,"نعم","لا (خارج الجرد)"))</f>
        <v/>
      </c>
    </row>
    <row r="3901" customFormat="false" ht="15" hidden="false" customHeight="false" outlineLevel="0" collapsed="false">
      <c r="A3901" s="103"/>
      <c r="B3901" s="104"/>
      <c r="C3901" s="104"/>
      <c r="F3901" s="107" t="str">
        <f aca="false">IF(OR($C3901="",$D3901=0),"",$E3901/$D3901)</f>
        <v/>
      </c>
      <c r="H3901" s="0" t="str">
        <f aca="false">IF($C3901="","",IF(COUNTIF('مواد المخزون'!$A$2:$A$90,$C3901)&gt;0,"نعم","لا (خارج الجرد)"))</f>
        <v/>
      </c>
    </row>
    <row r="3902" customFormat="false" ht="15" hidden="false" customHeight="false" outlineLevel="0" collapsed="false">
      <c r="A3902" s="103"/>
      <c r="B3902" s="104"/>
      <c r="C3902" s="104"/>
      <c r="F3902" s="107" t="str">
        <f aca="false">IF(OR($C3902="",$D3902=0),"",$E3902/$D3902)</f>
        <v/>
      </c>
      <c r="H3902" s="0" t="str">
        <f aca="false">IF($C3902="","",IF(COUNTIF('مواد المخزون'!$A$2:$A$90,$C3902)&gt;0,"نعم","لا (خارج الجرد)"))</f>
        <v/>
      </c>
    </row>
    <row r="3903" customFormat="false" ht="15" hidden="false" customHeight="false" outlineLevel="0" collapsed="false">
      <c r="A3903" s="103"/>
      <c r="B3903" s="104"/>
      <c r="C3903" s="104"/>
      <c r="F3903" s="107" t="str">
        <f aca="false">IF(OR($C3903="",$D3903=0),"",$E3903/$D3903)</f>
        <v/>
      </c>
      <c r="H3903" s="0" t="str">
        <f aca="false">IF($C3903="","",IF(COUNTIF('مواد المخزون'!$A$2:$A$90,$C3903)&gt;0,"نعم","لا (خارج الجرد)"))</f>
        <v/>
      </c>
    </row>
    <row r="3904" customFormat="false" ht="15" hidden="false" customHeight="false" outlineLevel="0" collapsed="false">
      <c r="A3904" s="103"/>
      <c r="B3904" s="104"/>
      <c r="C3904" s="104"/>
      <c r="F3904" s="107" t="str">
        <f aca="false">IF(OR($C3904="",$D3904=0),"",$E3904/$D3904)</f>
        <v/>
      </c>
      <c r="H3904" s="0" t="str">
        <f aca="false">IF($C3904="","",IF(COUNTIF('مواد المخزون'!$A$2:$A$90,$C3904)&gt;0,"نعم","لا (خارج الجرد)"))</f>
        <v/>
      </c>
    </row>
    <row r="3905" customFormat="false" ht="15" hidden="false" customHeight="false" outlineLevel="0" collapsed="false">
      <c r="A3905" s="103"/>
      <c r="B3905" s="104"/>
      <c r="C3905" s="104"/>
      <c r="F3905" s="107" t="str">
        <f aca="false">IF(OR($C3905="",$D3905=0),"",$E3905/$D3905)</f>
        <v/>
      </c>
      <c r="H3905" s="0" t="str">
        <f aca="false">IF($C3905="","",IF(COUNTIF('مواد المخزون'!$A$2:$A$90,$C3905)&gt;0,"نعم","لا (خارج الجرد)"))</f>
        <v/>
      </c>
    </row>
    <row r="3906" customFormat="false" ht="15" hidden="false" customHeight="false" outlineLevel="0" collapsed="false">
      <c r="A3906" s="103"/>
      <c r="B3906" s="104"/>
      <c r="C3906" s="104"/>
      <c r="F3906" s="107" t="str">
        <f aca="false">IF(OR($C3906="",$D3906=0),"",$E3906/$D3906)</f>
        <v/>
      </c>
      <c r="H3906" s="0" t="str">
        <f aca="false">IF($C3906="","",IF(COUNTIF('مواد المخزون'!$A$2:$A$90,$C3906)&gt;0,"نعم","لا (خارج الجرد)"))</f>
        <v/>
      </c>
    </row>
    <row r="3907" customFormat="false" ht="15" hidden="false" customHeight="false" outlineLevel="0" collapsed="false">
      <c r="A3907" s="103"/>
      <c r="B3907" s="104"/>
      <c r="C3907" s="104"/>
      <c r="F3907" s="107" t="str">
        <f aca="false">IF(OR($C3907="",$D3907=0),"",$E3907/$D3907)</f>
        <v/>
      </c>
      <c r="H3907" s="0" t="str">
        <f aca="false">IF($C3907="","",IF(COUNTIF('مواد المخزون'!$A$2:$A$90,$C3907)&gt;0,"نعم","لا (خارج الجرد)"))</f>
        <v/>
      </c>
    </row>
    <row r="3908" customFormat="false" ht="15" hidden="false" customHeight="false" outlineLevel="0" collapsed="false">
      <c r="A3908" s="103"/>
      <c r="B3908" s="104"/>
      <c r="C3908" s="104"/>
      <c r="F3908" s="107" t="str">
        <f aca="false">IF(OR($C3908="",$D3908=0),"",$E3908/$D3908)</f>
        <v/>
      </c>
      <c r="H3908" s="0" t="str">
        <f aca="false">IF($C3908="","",IF(COUNTIF('مواد المخزون'!$A$2:$A$90,$C3908)&gt;0,"نعم","لا (خارج الجرد)"))</f>
        <v/>
      </c>
    </row>
    <row r="3909" customFormat="false" ht="15" hidden="false" customHeight="false" outlineLevel="0" collapsed="false">
      <c r="A3909" s="103"/>
      <c r="B3909" s="104"/>
      <c r="C3909" s="104"/>
      <c r="F3909" s="107" t="str">
        <f aca="false">IF(OR($C3909="",$D3909=0),"",$E3909/$D3909)</f>
        <v/>
      </c>
      <c r="H3909" s="0" t="str">
        <f aca="false">IF($C3909="","",IF(COUNTIF('مواد المخزون'!$A$2:$A$90,$C3909)&gt;0,"نعم","لا (خارج الجرد)"))</f>
        <v/>
      </c>
    </row>
    <row r="3910" customFormat="false" ht="15" hidden="false" customHeight="false" outlineLevel="0" collapsed="false">
      <c r="A3910" s="103"/>
      <c r="B3910" s="104"/>
      <c r="C3910" s="104"/>
      <c r="F3910" s="107" t="str">
        <f aca="false">IF(OR($C3910="",$D3910=0),"",$E3910/$D3910)</f>
        <v/>
      </c>
      <c r="H3910" s="0" t="str">
        <f aca="false">IF($C3910="","",IF(COUNTIF('مواد المخزون'!$A$2:$A$90,$C3910)&gt;0,"نعم","لا (خارج الجرد)"))</f>
        <v/>
      </c>
    </row>
    <row r="3911" customFormat="false" ht="15" hidden="false" customHeight="false" outlineLevel="0" collapsed="false">
      <c r="A3911" s="103"/>
      <c r="B3911" s="104"/>
      <c r="C3911" s="104"/>
      <c r="F3911" s="107" t="str">
        <f aca="false">IF(OR($C3911="",$D3911=0),"",$E3911/$D3911)</f>
        <v/>
      </c>
      <c r="H3911" s="0" t="str">
        <f aca="false">IF($C3911="","",IF(COUNTIF('مواد المخزون'!$A$2:$A$90,$C3911)&gt;0,"نعم","لا (خارج الجرد)"))</f>
        <v/>
      </c>
    </row>
    <row r="3912" customFormat="false" ht="15" hidden="false" customHeight="false" outlineLevel="0" collapsed="false">
      <c r="A3912" s="103"/>
      <c r="B3912" s="104"/>
      <c r="C3912" s="104"/>
      <c r="F3912" s="107" t="str">
        <f aca="false">IF(OR($C3912="",$D3912=0),"",$E3912/$D3912)</f>
        <v/>
      </c>
      <c r="H3912" s="0" t="str">
        <f aca="false">IF($C3912="","",IF(COUNTIF('مواد المخزون'!$A$2:$A$90,$C3912)&gt;0,"نعم","لا (خارج الجرد)"))</f>
        <v/>
      </c>
    </row>
    <row r="3913" customFormat="false" ht="15" hidden="false" customHeight="false" outlineLevel="0" collapsed="false">
      <c r="A3913" s="103"/>
      <c r="B3913" s="104"/>
      <c r="C3913" s="104"/>
      <c r="F3913" s="107" t="str">
        <f aca="false">IF(OR($C3913="",$D3913=0),"",$E3913/$D3913)</f>
        <v/>
      </c>
      <c r="H3913" s="0" t="str">
        <f aca="false">IF($C3913="","",IF(COUNTIF('مواد المخزون'!$A$2:$A$90,$C3913)&gt;0,"نعم","لا (خارج الجرد)"))</f>
        <v/>
      </c>
    </row>
    <row r="3914" customFormat="false" ht="15" hidden="false" customHeight="false" outlineLevel="0" collapsed="false">
      <c r="A3914" s="103"/>
      <c r="B3914" s="104"/>
      <c r="C3914" s="104"/>
      <c r="F3914" s="107" t="str">
        <f aca="false">IF(OR($C3914="",$D3914=0),"",$E3914/$D3914)</f>
        <v/>
      </c>
      <c r="H3914" s="0" t="str">
        <f aca="false">IF($C3914="","",IF(COUNTIF('مواد المخزون'!$A$2:$A$90,$C3914)&gt;0,"نعم","لا (خارج الجرد)"))</f>
        <v/>
      </c>
    </row>
    <row r="3915" customFormat="false" ht="15" hidden="false" customHeight="false" outlineLevel="0" collapsed="false">
      <c r="A3915" s="103"/>
      <c r="B3915" s="104"/>
      <c r="C3915" s="104"/>
      <c r="F3915" s="107" t="str">
        <f aca="false">IF(OR($C3915="",$D3915=0),"",$E3915/$D3915)</f>
        <v/>
      </c>
      <c r="H3915" s="0" t="str">
        <f aca="false">IF($C3915="","",IF(COUNTIF('مواد المخزون'!$A$2:$A$90,$C3915)&gt;0,"نعم","لا (خارج الجرد)"))</f>
        <v/>
      </c>
    </row>
    <row r="3916" customFormat="false" ht="15" hidden="false" customHeight="false" outlineLevel="0" collapsed="false">
      <c r="A3916" s="103"/>
      <c r="B3916" s="104"/>
      <c r="C3916" s="104"/>
      <c r="F3916" s="107" t="str">
        <f aca="false">IF(OR($C3916="",$D3916=0),"",$E3916/$D3916)</f>
        <v/>
      </c>
      <c r="H3916" s="0" t="str">
        <f aca="false">IF($C3916="","",IF(COUNTIF('مواد المخزون'!$A$2:$A$90,$C3916)&gt;0,"نعم","لا (خارج الجرد)"))</f>
        <v/>
      </c>
    </row>
    <row r="3917" customFormat="false" ht="15" hidden="false" customHeight="false" outlineLevel="0" collapsed="false">
      <c r="A3917" s="103"/>
      <c r="B3917" s="104"/>
      <c r="C3917" s="104"/>
      <c r="F3917" s="107" t="str">
        <f aca="false">IF(OR($C3917="",$D3917=0),"",$E3917/$D3917)</f>
        <v/>
      </c>
      <c r="H3917" s="0" t="str">
        <f aca="false">IF($C3917="","",IF(COUNTIF('مواد المخزون'!$A$2:$A$90,$C3917)&gt;0,"نعم","لا (خارج الجرد)"))</f>
        <v/>
      </c>
    </row>
    <row r="3918" customFormat="false" ht="15" hidden="false" customHeight="false" outlineLevel="0" collapsed="false">
      <c r="A3918" s="103"/>
      <c r="B3918" s="104"/>
      <c r="C3918" s="104"/>
      <c r="F3918" s="107" t="str">
        <f aca="false">IF(OR($C3918="",$D3918=0),"",$E3918/$D3918)</f>
        <v/>
      </c>
      <c r="H3918" s="0" t="str">
        <f aca="false">IF($C3918="","",IF(COUNTIF('مواد المخزون'!$A$2:$A$90,$C3918)&gt;0,"نعم","لا (خارج الجرد)"))</f>
        <v/>
      </c>
    </row>
    <row r="3919" customFormat="false" ht="15" hidden="false" customHeight="false" outlineLevel="0" collapsed="false">
      <c r="A3919" s="103"/>
      <c r="B3919" s="104"/>
      <c r="C3919" s="104"/>
      <c r="F3919" s="107" t="str">
        <f aca="false">IF(OR($C3919="",$D3919=0),"",$E3919/$D3919)</f>
        <v/>
      </c>
      <c r="H3919" s="0" t="str">
        <f aca="false">IF($C3919="","",IF(COUNTIF('مواد المخزون'!$A$2:$A$90,$C3919)&gt;0,"نعم","لا (خارج الجرد)"))</f>
        <v/>
      </c>
    </row>
    <row r="3920" customFormat="false" ht="15" hidden="false" customHeight="false" outlineLevel="0" collapsed="false">
      <c r="A3920" s="103"/>
      <c r="B3920" s="104"/>
      <c r="C3920" s="104"/>
      <c r="F3920" s="107" t="str">
        <f aca="false">IF(OR($C3920="",$D3920=0),"",$E3920/$D3920)</f>
        <v/>
      </c>
      <c r="H3920" s="0" t="str">
        <f aca="false">IF($C3920="","",IF(COUNTIF('مواد المخزون'!$A$2:$A$90,$C3920)&gt;0,"نعم","لا (خارج الجرد)"))</f>
        <v/>
      </c>
    </row>
    <row r="3921" customFormat="false" ht="15" hidden="false" customHeight="false" outlineLevel="0" collapsed="false">
      <c r="A3921" s="103"/>
      <c r="B3921" s="104"/>
      <c r="C3921" s="104"/>
      <c r="F3921" s="107" t="str">
        <f aca="false">IF(OR($C3921="",$D3921=0),"",$E3921/$D3921)</f>
        <v/>
      </c>
      <c r="H3921" s="0" t="str">
        <f aca="false">IF($C3921="","",IF(COUNTIF('مواد المخزون'!$A$2:$A$90,$C3921)&gt;0,"نعم","لا (خارج الجرد)"))</f>
        <v/>
      </c>
    </row>
    <row r="3922" customFormat="false" ht="15" hidden="false" customHeight="false" outlineLevel="0" collapsed="false">
      <c r="A3922" s="103"/>
      <c r="B3922" s="104"/>
      <c r="C3922" s="104"/>
      <c r="F3922" s="107" t="str">
        <f aca="false">IF(OR($C3922="",$D3922=0),"",$E3922/$D3922)</f>
        <v/>
      </c>
      <c r="H3922" s="0" t="str">
        <f aca="false">IF($C3922="","",IF(COUNTIF('مواد المخزون'!$A$2:$A$90,$C3922)&gt;0,"نعم","لا (خارج الجرد)"))</f>
        <v/>
      </c>
    </row>
    <row r="3923" customFormat="false" ht="15" hidden="false" customHeight="false" outlineLevel="0" collapsed="false">
      <c r="A3923" s="103"/>
      <c r="B3923" s="104"/>
      <c r="C3923" s="104"/>
      <c r="F3923" s="107" t="str">
        <f aca="false">IF(OR($C3923="",$D3923=0),"",$E3923/$D3923)</f>
        <v/>
      </c>
      <c r="H3923" s="0" t="str">
        <f aca="false">IF($C3923="","",IF(COUNTIF('مواد المخزون'!$A$2:$A$90,$C3923)&gt;0,"نعم","لا (خارج الجرد)"))</f>
        <v/>
      </c>
    </row>
    <row r="3924" customFormat="false" ht="15" hidden="false" customHeight="false" outlineLevel="0" collapsed="false">
      <c r="A3924" s="103"/>
      <c r="B3924" s="104"/>
      <c r="C3924" s="104"/>
      <c r="F3924" s="107" t="str">
        <f aca="false">IF(OR($C3924="",$D3924=0),"",$E3924/$D3924)</f>
        <v/>
      </c>
      <c r="H3924" s="0" t="str">
        <f aca="false">IF($C3924="","",IF(COUNTIF('مواد المخزون'!$A$2:$A$90,$C3924)&gt;0,"نعم","لا (خارج الجرد)"))</f>
        <v/>
      </c>
    </row>
    <row r="3925" customFormat="false" ht="15" hidden="false" customHeight="false" outlineLevel="0" collapsed="false">
      <c r="A3925" s="103"/>
      <c r="B3925" s="104"/>
      <c r="C3925" s="104"/>
      <c r="F3925" s="107" t="str">
        <f aca="false">IF(OR($C3925="",$D3925=0),"",$E3925/$D3925)</f>
        <v/>
      </c>
      <c r="H3925" s="0" t="str">
        <f aca="false">IF($C3925="","",IF(COUNTIF('مواد المخزون'!$A$2:$A$90,$C3925)&gt;0,"نعم","لا (خارج الجرد)"))</f>
        <v/>
      </c>
    </row>
    <row r="3926" customFormat="false" ht="15" hidden="false" customHeight="false" outlineLevel="0" collapsed="false">
      <c r="A3926" s="103"/>
      <c r="B3926" s="104"/>
      <c r="C3926" s="104"/>
      <c r="F3926" s="107" t="str">
        <f aca="false">IF(OR($C3926="",$D3926=0),"",$E3926/$D3926)</f>
        <v/>
      </c>
      <c r="H3926" s="0" t="str">
        <f aca="false">IF($C3926="","",IF(COUNTIF('مواد المخزون'!$A$2:$A$90,$C3926)&gt;0,"نعم","لا (خارج الجرد)"))</f>
        <v/>
      </c>
    </row>
    <row r="3927" customFormat="false" ht="15" hidden="false" customHeight="false" outlineLevel="0" collapsed="false">
      <c r="A3927" s="103"/>
      <c r="B3927" s="104"/>
      <c r="C3927" s="104"/>
      <c r="F3927" s="107" t="str">
        <f aca="false">IF(OR($C3927="",$D3927=0),"",$E3927/$D3927)</f>
        <v/>
      </c>
      <c r="H3927" s="0" t="str">
        <f aca="false">IF($C3927="","",IF(COUNTIF('مواد المخزون'!$A$2:$A$90,$C3927)&gt;0,"نعم","لا (خارج الجرد)"))</f>
        <v/>
      </c>
    </row>
    <row r="3928" customFormat="false" ht="15" hidden="false" customHeight="false" outlineLevel="0" collapsed="false">
      <c r="A3928" s="103"/>
      <c r="B3928" s="104"/>
      <c r="C3928" s="104"/>
      <c r="F3928" s="107" t="str">
        <f aca="false">IF(OR($C3928="",$D3928=0),"",$E3928/$D3928)</f>
        <v/>
      </c>
      <c r="H3928" s="0" t="str">
        <f aca="false">IF($C3928="","",IF(COUNTIF('مواد المخزون'!$A$2:$A$90,$C3928)&gt;0,"نعم","لا (خارج الجرد)"))</f>
        <v/>
      </c>
    </row>
    <row r="3929" customFormat="false" ht="15" hidden="false" customHeight="false" outlineLevel="0" collapsed="false">
      <c r="A3929" s="103"/>
      <c r="B3929" s="104"/>
      <c r="C3929" s="104"/>
      <c r="F3929" s="107" t="str">
        <f aca="false">IF(OR($C3929="",$D3929=0),"",$E3929/$D3929)</f>
        <v/>
      </c>
      <c r="H3929" s="0" t="str">
        <f aca="false">IF($C3929="","",IF(COUNTIF('مواد المخزون'!$A$2:$A$90,$C3929)&gt;0,"نعم","لا (خارج الجرد)"))</f>
        <v/>
      </c>
    </row>
    <row r="3930" customFormat="false" ht="15" hidden="false" customHeight="false" outlineLevel="0" collapsed="false">
      <c r="A3930" s="103"/>
      <c r="B3930" s="104"/>
      <c r="C3930" s="104"/>
      <c r="F3930" s="107" t="str">
        <f aca="false">IF(OR($C3930="",$D3930=0),"",$E3930/$D3930)</f>
        <v/>
      </c>
      <c r="H3930" s="0" t="str">
        <f aca="false">IF($C3930="","",IF(COUNTIF('مواد المخزون'!$A$2:$A$90,$C3930)&gt;0,"نعم","لا (خارج الجرد)"))</f>
        <v/>
      </c>
    </row>
    <row r="3931" customFormat="false" ht="15" hidden="false" customHeight="false" outlineLevel="0" collapsed="false">
      <c r="A3931" s="103"/>
      <c r="B3931" s="104"/>
      <c r="C3931" s="104"/>
      <c r="F3931" s="107" t="str">
        <f aca="false">IF(OR($C3931="",$D3931=0),"",$E3931/$D3931)</f>
        <v/>
      </c>
      <c r="H3931" s="0" t="str">
        <f aca="false">IF($C3931="","",IF(COUNTIF('مواد المخزون'!$A$2:$A$90,$C3931)&gt;0,"نعم","لا (خارج الجرد)"))</f>
        <v/>
      </c>
    </row>
    <row r="3932" customFormat="false" ht="15" hidden="false" customHeight="false" outlineLevel="0" collapsed="false">
      <c r="A3932" s="103"/>
      <c r="B3932" s="104"/>
      <c r="C3932" s="104"/>
      <c r="F3932" s="107" t="str">
        <f aca="false">IF(OR($C3932="",$D3932=0),"",$E3932/$D3932)</f>
        <v/>
      </c>
      <c r="H3932" s="0" t="str">
        <f aca="false">IF($C3932="","",IF(COUNTIF('مواد المخزون'!$A$2:$A$90,$C3932)&gt;0,"نعم","لا (خارج الجرد)"))</f>
        <v/>
      </c>
    </row>
    <row r="3933" customFormat="false" ht="15" hidden="false" customHeight="false" outlineLevel="0" collapsed="false">
      <c r="A3933" s="103"/>
      <c r="B3933" s="104"/>
      <c r="C3933" s="104"/>
      <c r="F3933" s="107" t="str">
        <f aca="false">IF(OR($C3933="",$D3933=0),"",$E3933/$D3933)</f>
        <v/>
      </c>
      <c r="H3933" s="0" t="str">
        <f aca="false">IF($C3933="","",IF(COUNTIF('مواد المخزون'!$A$2:$A$90,$C3933)&gt;0,"نعم","لا (خارج الجرد)"))</f>
        <v/>
      </c>
    </row>
    <row r="3934" customFormat="false" ht="15" hidden="false" customHeight="false" outlineLevel="0" collapsed="false">
      <c r="A3934" s="103"/>
      <c r="B3934" s="104"/>
      <c r="C3934" s="104"/>
      <c r="F3934" s="107" t="str">
        <f aca="false">IF(OR($C3934="",$D3934=0),"",$E3934/$D3934)</f>
        <v/>
      </c>
      <c r="H3934" s="0" t="str">
        <f aca="false">IF($C3934="","",IF(COUNTIF('مواد المخزون'!$A$2:$A$90,$C3934)&gt;0,"نعم","لا (خارج الجرد)"))</f>
        <v/>
      </c>
    </row>
    <row r="3935" customFormat="false" ht="15" hidden="false" customHeight="false" outlineLevel="0" collapsed="false">
      <c r="A3935" s="103"/>
      <c r="B3935" s="104"/>
      <c r="C3935" s="104"/>
      <c r="F3935" s="107" t="str">
        <f aca="false">IF(OR($C3935="",$D3935=0),"",$E3935/$D3935)</f>
        <v/>
      </c>
      <c r="H3935" s="0" t="str">
        <f aca="false">IF($C3935="","",IF(COUNTIF('مواد المخزون'!$A$2:$A$90,$C3935)&gt;0,"نعم","لا (خارج الجرد)"))</f>
        <v/>
      </c>
    </row>
    <row r="3936" customFormat="false" ht="15" hidden="false" customHeight="false" outlineLevel="0" collapsed="false">
      <c r="A3936" s="103"/>
      <c r="B3936" s="104"/>
      <c r="C3936" s="104"/>
      <c r="F3936" s="107" t="str">
        <f aca="false">IF(OR($C3936="",$D3936=0),"",$E3936/$D3936)</f>
        <v/>
      </c>
      <c r="H3936" s="0" t="str">
        <f aca="false">IF($C3936="","",IF(COUNTIF('مواد المخزون'!$A$2:$A$90,$C3936)&gt;0,"نعم","لا (خارج الجرد)"))</f>
        <v/>
      </c>
    </row>
    <row r="3937" customFormat="false" ht="15" hidden="false" customHeight="false" outlineLevel="0" collapsed="false">
      <c r="A3937" s="103"/>
      <c r="B3937" s="104"/>
      <c r="C3937" s="104"/>
      <c r="F3937" s="107" t="str">
        <f aca="false">IF(OR($C3937="",$D3937=0),"",$E3937/$D3937)</f>
        <v/>
      </c>
      <c r="H3937" s="0" t="str">
        <f aca="false">IF($C3937="","",IF(COUNTIF('مواد المخزون'!$A$2:$A$90,$C3937)&gt;0,"نعم","لا (خارج الجرد)"))</f>
        <v/>
      </c>
    </row>
    <row r="3938" customFormat="false" ht="15" hidden="false" customHeight="false" outlineLevel="0" collapsed="false">
      <c r="A3938" s="103"/>
      <c r="B3938" s="104"/>
      <c r="C3938" s="104"/>
      <c r="F3938" s="107" t="str">
        <f aca="false">IF(OR($C3938="",$D3938=0),"",$E3938/$D3938)</f>
        <v/>
      </c>
      <c r="H3938" s="0" t="str">
        <f aca="false">IF($C3938="","",IF(COUNTIF('مواد المخزون'!$A$2:$A$90,$C3938)&gt;0,"نعم","لا (خارج الجرد)"))</f>
        <v/>
      </c>
    </row>
    <row r="3939" customFormat="false" ht="15" hidden="false" customHeight="false" outlineLevel="0" collapsed="false">
      <c r="A3939" s="103"/>
      <c r="B3939" s="104"/>
      <c r="C3939" s="104"/>
      <c r="F3939" s="107" t="str">
        <f aca="false">IF(OR($C3939="",$D3939=0),"",$E3939/$D3939)</f>
        <v/>
      </c>
      <c r="H3939" s="0" t="str">
        <f aca="false">IF($C3939="","",IF(COUNTIF('مواد المخزون'!$A$2:$A$90,$C3939)&gt;0,"نعم","لا (خارج الجرد)"))</f>
        <v/>
      </c>
    </row>
    <row r="3940" customFormat="false" ht="15" hidden="false" customHeight="false" outlineLevel="0" collapsed="false">
      <c r="A3940" s="103"/>
      <c r="B3940" s="104"/>
      <c r="C3940" s="104"/>
      <c r="F3940" s="107" t="str">
        <f aca="false">IF(OR($C3940="",$D3940=0),"",$E3940/$D3940)</f>
        <v/>
      </c>
      <c r="H3940" s="0" t="str">
        <f aca="false">IF($C3940="","",IF(COUNTIF('مواد المخزون'!$A$2:$A$90,$C3940)&gt;0,"نعم","لا (خارج الجرد)"))</f>
        <v/>
      </c>
    </row>
    <row r="3941" customFormat="false" ht="15" hidden="false" customHeight="false" outlineLevel="0" collapsed="false">
      <c r="A3941" s="103"/>
      <c r="B3941" s="104"/>
      <c r="C3941" s="104"/>
      <c r="F3941" s="107" t="str">
        <f aca="false">IF(OR($C3941="",$D3941=0),"",$E3941/$D3941)</f>
        <v/>
      </c>
      <c r="H3941" s="0" t="str">
        <f aca="false">IF($C3941="","",IF(COUNTIF('مواد المخزون'!$A$2:$A$90,$C3941)&gt;0,"نعم","لا (خارج الجرد)"))</f>
        <v/>
      </c>
    </row>
    <row r="3942" customFormat="false" ht="15" hidden="false" customHeight="false" outlineLevel="0" collapsed="false">
      <c r="A3942" s="103"/>
      <c r="B3942" s="104"/>
      <c r="C3942" s="104"/>
      <c r="F3942" s="107" t="str">
        <f aca="false">IF(OR($C3942="",$D3942=0),"",$E3942/$D3942)</f>
        <v/>
      </c>
      <c r="H3942" s="0" t="str">
        <f aca="false">IF($C3942="","",IF(COUNTIF('مواد المخزون'!$A$2:$A$90,$C3942)&gt;0,"نعم","لا (خارج الجرد)"))</f>
        <v/>
      </c>
    </row>
    <row r="3943" customFormat="false" ht="15" hidden="false" customHeight="false" outlineLevel="0" collapsed="false">
      <c r="A3943" s="103"/>
      <c r="B3943" s="104"/>
      <c r="C3943" s="104"/>
      <c r="F3943" s="107" t="str">
        <f aca="false">IF(OR($C3943="",$D3943=0),"",$E3943/$D3943)</f>
        <v/>
      </c>
      <c r="H3943" s="0" t="str">
        <f aca="false">IF($C3943="","",IF(COUNTIF('مواد المخزون'!$A$2:$A$90,$C3943)&gt;0,"نعم","لا (خارج الجرد)"))</f>
        <v/>
      </c>
    </row>
    <row r="3944" customFormat="false" ht="15" hidden="false" customHeight="false" outlineLevel="0" collapsed="false">
      <c r="A3944" s="103"/>
      <c r="B3944" s="104"/>
      <c r="C3944" s="104"/>
      <c r="F3944" s="107" t="str">
        <f aca="false">IF(OR($C3944="",$D3944=0),"",$E3944/$D3944)</f>
        <v/>
      </c>
      <c r="H3944" s="0" t="str">
        <f aca="false">IF($C3944="","",IF(COUNTIF('مواد المخزون'!$A$2:$A$90,$C3944)&gt;0,"نعم","لا (خارج الجرد)"))</f>
        <v/>
      </c>
    </row>
    <row r="3945" customFormat="false" ht="15" hidden="false" customHeight="false" outlineLevel="0" collapsed="false">
      <c r="A3945" s="103"/>
      <c r="B3945" s="104"/>
      <c r="C3945" s="104"/>
      <c r="F3945" s="107" t="str">
        <f aca="false">IF(OR($C3945="",$D3945=0),"",$E3945/$D3945)</f>
        <v/>
      </c>
      <c r="H3945" s="0" t="str">
        <f aca="false">IF($C3945="","",IF(COUNTIF('مواد المخزون'!$A$2:$A$90,$C3945)&gt;0,"نعم","لا (خارج الجرد)"))</f>
        <v/>
      </c>
    </row>
    <row r="3946" customFormat="false" ht="15" hidden="false" customHeight="false" outlineLevel="0" collapsed="false">
      <c r="A3946" s="103"/>
      <c r="B3946" s="104"/>
      <c r="C3946" s="104"/>
      <c r="F3946" s="107" t="str">
        <f aca="false">IF(OR($C3946="",$D3946=0),"",$E3946/$D3946)</f>
        <v/>
      </c>
      <c r="H3946" s="0" t="str">
        <f aca="false">IF($C3946="","",IF(COUNTIF('مواد المخزون'!$A$2:$A$90,$C3946)&gt;0,"نعم","لا (خارج الجرد)"))</f>
        <v/>
      </c>
    </row>
    <row r="3947" customFormat="false" ht="15" hidden="false" customHeight="false" outlineLevel="0" collapsed="false">
      <c r="A3947" s="103"/>
      <c r="B3947" s="104"/>
      <c r="C3947" s="104"/>
      <c r="F3947" s="107" t="str">
        <f aca="false">IF(OR($C3947="",$D3947=0),"",$E3947/$D3947)</f>
        <v/>
      </c>
      <c r="H3947" s="0" t="str">
        <f aca="false">IF($C3947="","",IF(COUNTIF('مواد المخزون'!$A$2:$A$90,$C3947)&gt;0,"نعم","لا (خارج الجرد)"))</f>
        <v/>
      </c>
    </row>
    <row r="3948" customFormat="false" ht="15" hidden="false" customHeight="false" outlineLevel="0" collapsed="false">
      <c r="A3948" s="103"/>
      <c r="B3948" s="104"/>
      <c r="C3948" s="104"/>
      <c r="F3948" s="107" t="str">
        <f aca="false">IF(OR($C3948="",$D3948=0),"",$E3948/$D3948)</f>
        <v/>
      </c>
      <c r="H3948" s="0" t="str">
        <f aca="false">IF($C3948="","",IF(COUNTIF('مواد المخزون'!$A$2:$A$90,$C3948)&gt;0,"نعم","لا (خارج الجرد)"))</f>
        <v/>
      </c>
    </row>
    <row r="3949" customFormat="false" ht="15" hidden="false" customHeight="false" outlineLevel="0" collapsed="false">
      <c r="A3949" s="103"/>
      <c r="B3949" s="104"/>
      <c r="C3949" s="104"/>
      <c r="F3949" s="107" t="str">
        <f aca="false">IF(OR($C3949="",$D3949=0),"",$E3949/$D3949)</f>
        <v/>
      </c>
      <c r="H3949" s="0" t="str">
        <f aca="false">IF($C3949="","",IF(COUNTIF('مواد المخزون'!$A$2:$A$90,$C3949)&gt;0,"نعم","لا (خارج الجرد)"))</f>
        <v/>
      </c>
    </row>
    <row r="3950" customFormat="false" ht="15" hidden="false" customHeight="false" outlineLevel="0" collapsed="false">
      <c r="A3950" s="103"/>
      <c r="B3950" s="104"/>
      <c r="C3950" s="104"/>
      <c r="F3950" s="107" t="str">
        <f aca="false">IF(OR($C3950="",$D3950=0),"",$E3950/$D3950)</f>
        <v/>
      </c>
      <c r="H3950" s="0" t="str">
        <f aca="false">IF($C3950="","",IF(COUNTIF('مواد المخزون'!$A$2:$A$90,$C3950)&gt;0,"نعم","لا (خارج الجرد)"))</f>
        <v/>
      </c>
    </row>
    <row r="3951" customFormat="false" ht="15" hidden="false" customHeight="false" outlineLevel="0" collapsed="false">
      <c r="A3951" s="103"/>
      <c r="B3951" s="104"/>
      <c r="C3951" s="104"/>
      <c r="F3951" s="107" t="str">
        <f aca="false">IF(OR($C3951="",$D3951=0),"",$E3951/$D3951)</f>
        <v/>
      </c>
      <c r="H3951" s="0" t="str">
        <f aca="false">IF($C3951="","",IF(COUNTIF('مواد المخزون'!$A$2:$A$90,$C3951)&gt;0,"نعم","لا (خارج الجرد)"))</f>
        <v/>
      </c>
    </row>
    <row r="3952" customFormat="false" ht="15" hidden="false" customHeight="false" outlineLevel="0" collapsed="false">
      <c r="A3952" s="103"/>
      <c r="B3952" s="104"/>
      <c r="C3952" s="104"/>
      <c r="F3952" s="107" t="str">
        <f aca="false">IF(OR($C3952="",$D3952=0),"",$E3952/$D3952)</f>
        <v/>
      </c>
      <c r="H3952" s="0" t="str">
        <f aca="false">IF($C3952="","",IF(COUNTIF('مواد المخزون'!$A$2:$A$90,$C3952)&gt;0,"نعم","لا (خارج الجرد)"))</f>
        <v/>
      </c>
    </row>
    <row r="3953" customFormat="false" ht="15" hidden="false" customHeight="false" outlineLevel="0" collapsed="false">
      <c r="A3953" s="103"/>
      <c r="B3953" s="104"/>
      <c r="C3953" s="104"/>
      <c r="F3953" s="107" t="str">
        <f aca="false">IF(OR($C3953="",$D3953=0),"",$E3953/$D3953)</f>
        <v/>
      </c>
      <c r="H3953" s="0" t="str">
        <f aca="false">IF($C3953="","",IF(COUNTIF('مواد المخزون'!$A$2:$A$90,$C3953)&gt;0,"نعم","لا (خارج الجرد)"))</f>
        <v/>
      </c>
    </row>
    <row r="3954" customFormat="false" ht="15" hidden="false" customHeight="false" outlineLevel="0" collapsed="false">
      <c r="A3954" s="103"/>
      <c r="B3954" s="104"/>
      <c r="C3954" s="104"/>
      <c r="F3954" s="107" t="str">
        <f aca="false">IF(OR($C3954="",$D3954=0),"",$E3954/$D3954)</f>
        <v/>
      </c>
      <c r="H3954" s="0" t="str">
        <f aca="false">IF($C3954="","",IF(COUNTIF('مواد المخزون'!$A$2:$A$90,$C3954)&gt;0,"نعم","لا (خارج الجرد)"))</f>
        <v/>
      </c>
    </row>
    <row r="3955" customFormat="false" ht="15" hidden="false" customHeight="false" outlineLevel="0" collapsed="false">
      <c r="A3955" s="103"/>
      <c r="B3955" s="104"/>
      <c r="C3955" s="104"/>
      <c r="F3955" s="107" t="str">
        <f aca="false">IF(OR($C3955="",$D3955=0),"",$E3955/$D3955)</f>
        <v/>
      </c>
      <c r="H3955" s="0" t="str">
        <f aca="false">IF($C3955="","",IF(COUNTIF('مواد المخزون'!$A$2:$A$90,$C3955)&gt;0,"نعم","لا (خارج الجرد)"))</f>
        <v/>
      </c>
    </row>
    <row r="3956" customFormat="false" ht="15" hidden="false" customHeight="false" outlineLevel="0" collapsed="false">
      <c r="A3956" s="103"/>
      <c r="B3956" s="104"/>
      <c r="C3956" s="104"/>
      <c r="F3956" s="107" t="str">
        <f aca="false">IF(OR($C3956="",$D3956=0),"",$E3956/$D3956)</f>
        <v/>
      </c>
      <c r="H3956" s="0" t="str">
        <f aca="false">IF($C3956="","",IF(COUNTIF('مواد المخزون'!$A$2:$A$90,$C3956)&gt;0,"نعم","لا (خارج الجرد)"))</f>
        <v/>
      </c>
    </row>
    <row r="3957" customFormat="false" ht="15" hidden="false" customHeight="false" outlineLevel="0" collapsed="false">
      <c r="A3957" s="103"/>
      <c r="B3957" s="104"/>
      <c r="C3957" s="104"/>
      <c r="F3957" s="107" t="str">
        <f aca="false">IF(OR($C3957="",$D3957=0),"",$E3957/$D3957)</f>
        <v/>
      </c>
      <c r="H3957" s="0" t="str">
        <f aca="false">IF($C3957="","",IF(COUNTIF('مواد المخزون'!$A$2:$A$90,$C3957)&gt;0,"نعم","لا (خارج الجرد)"))</f>
        <v/>
      </c>
    </row>
    <row r="3958" customFormat="false" ht="15" hidden="false" customHeight="false" outlineLevel="0" collapsed="false">
      <c r="A3958" s="103"/>
      <c r="B3958" s="104"/>
      <c r="C3958" s="104"/>
      <c r="F3958" s="107" t="str">
        <f aca="false">IF(OR($C3958="",$D3958=0),"",$E3958/$D3958)</f>
        <v/>
      </c>
      <c r="H3958" s="0" t="str">
        <f aca="false">IF($C3958="","",IF(COUNTIF('مواد المخزون'!$A$2:$A$90,$C3958)&gt;0,"نعم","لا (خارج الجرد)"))</f>
        <v/>
      </c>
    </row>
    <row r="3959" customFormat="false" ht="15" hidden="false" customHeight="false" outlineLevel="0" collapsed="false">
      <c r="A3959" s="103"/>
      <c r="B3959" s="104"/>
      <c r="C3959" s="104"/>
      <c r="F3959" s="107" t="str">
        <f aca="false">IF(OR($C3959="",$D3959=0),"",$E3959/$D3959)</f>
        <v/>
      </c>
      <c r="H3959" s="0" t="str">
        <f aca="false">IF($C3959="","",IF(COUNTIF('مواد المخزون'!$A$2:$A$90,$C3959)&gt;0,"نعم","لا (خارج الجرد)"))</f>
        <v/>
      </c>
    </row>
    <row r="3960" customFormat="false" ht="15" hidden="false" customHeight="false" outlineLevel="0" collapsed="false">
      <c r="A3960" s="103"/>
      <c r="B3960" s="104"/>
      <c r="C3960" s="104"/>
      <c r="F3960" s="107" t="str">
        <f aca="false">IF(OR($C3960="",$D3960=0),"",$E3960/$D3960)</f>
        <v/>
      </c>
      <c r="H3960" s="0" t="str">
        <f aca="false">IF($C3960="","",IF(COUNTIF('مواد المخزون'!$A$2:$A$90,$C3960)&gt;0,"نعم","لا (خارج الجرد)"))</f>
        <v/>
      </c>
    </row>
    <row r="3961" customFormat="false" ht="15" hidden="false" customHeight="false" outlineLevel="0" collapsed="false">
      <c r="A3961" s="103"/>
      <c r="B3961" s="104"/>
      <c r="C3961" s="104"/>
      <c r="F3961" s="107" t="str">
        <f aca="false">IF(OR($C3961="",$D3961=0),"",$E3961/$D3961)</f>
        <v/>
      </c>
      <c r="H3961" s="0" t="str">
        <f aca="false">IF($C3961="","",IF(COUNTIF('مواد المخزون'!$A$2:$A$90,$C3961)&gt;0,"نعم","لا (خارج الجرد)"))</f>
        <v/>
      </c>
    </row>
    <row r="3962" customFormat="false" ht="15" hidden="false" customHeight="false" outlineLevel="0" collapsed="false">
      <c r="A3962" s="103"/>
      <c r="B3962" s="104"/>
      <c r="C3962" s="104"/>
      <c r="F3962" s="107" t="str">
        <f aca="false">IF(OR($C3962="",$D3962=0),"",$E3962/$D3962)</f>
        <v/>
      </c>
      <c r="H3962" s="0" t="str">
        <f aca="false">IF($C3962="","",IF(COUNTIF('مواد المخزون'!$A$2:$A$90,$C3962)&gt;0,"نعم","لا (خارج الجرد)"))</f>
        <v/>
      </c>
    </row>
    <row r="3963" customFormat="false" ht="15" hidden="false" customHeight="false" outlineLevel="0" collapsed="false">
      <c r="A3963" s="103"/>
      <c r="B3963" s="104"/>
      <c r="C3963" s="104"/>
      <c r="F3963" s="107" t="str">
        <f aca="false">IF(OR($C3963="",$D3963=0),"",$E3963/$D3963)</f>
        <v/>
      </c>
      <c r="H3963" s="0" t="str">
        <f aca="false">IF($C3963="","",IF(COUNTIF('مواد المخزون'!$A$2:$A$90,$C3963)&gt;0,"نعم","لا (خارج الجرد)"))</f>
        <v/>
      </c>
    </row>
    <row r="3964" customFormat="false" ht="15" hidden="false" customHeight="false" outlineLevel="0" collapsed="false">
      <c r="A3964" s="103"/>
      <c r="B3964" s="104"/>
      <c r="C3964" s="104"/>
      <c r="F3964" s="107" t="str">
        <f aca="false">IF(OR($C3964="",$D3964=0),"",$E3964/$D3964)</f>
        <v/>
      </c>
      <c r="H3964" s="0" t="str">
        <f aca="false">IF($C3964="","",IF(COUNTIF('مواد المخزون'!$A$2:$A$90,$C3964)&gt;0,"نعم","لا (خارج الجرد)"))</f>
        <v/>
      </c>
    </row>
    <row r="3965" customFormat="false" ht="15" hidden="false" customHeight="false" outlineLevel="0" collapsed="false">
      <c r="A3965" s="103"/>
      <c r="B3965" s="104"/>
      <c r="C3965" s="104"/>
      <c r="F3965" s="107" t="str">
        <f aca="false">IF(OR($C3965="",$D3965=0),"",$E3965/$D3965)</f>
        <v/>
      </c>
      <c r="H3965" s="0" t="str">
        <f aca="false">IF($C3965="","",IF(COUNTIF('مواد المخزون'!$A$2:$A$90,$C3965)&gt;0,"نعم","لا (خارج الجرد)"))</f>
        <v/>
      </c>
    </row>
    <row r="3966" customFormat="false" ht="15" hidden="false" customHeight="false" outlineLevel="0" collapsed="false">
      <c r="A3966" s="103"/>
      <c r="B3966" s="104"/>
      <c r="C3966" s="104"/>
      <c r="F3966" s="107" t="str">
        <f aca="false">IF(OR($C3966="",$D3966=0),"",$E3966/$D3966)</f>
        <v/>
      </c>
      <c r="H3966" s="0" t="str">
        <f aca="false">IF($C3966="","",IF(COUNTIF('مواد المخزون'!$A$2:$A$90,$C3966)&gt;0,"نعم","لا (خارج الجرد)"))</f>
        <v/>
      </c>
    </row>
    <row r="3967" customFormat="false" ht="15" hidden="false" customHeight="false" outlineLevel="0" collapsed="false">
      <c r="A3967" s="103"/>
      <c r="B3967" s="104"/>
      <c r="C3967" s="104"/>
      <c r="F3967" s="107" t="str">
        <f aca="false">IF(OR($C3967="",$D3967=0),"",$E3967/$D3967)</f>
        <v/>
      </c>
      <c r="H3967" s="0" t="str">
        <f aca="false">IF($C3967="","",IF(COUNTIF('مواد المخزون'!$A$2:$A$90,$C3967)&gt;0,"نعم","لا (خارج الجرد)"))</f>
        <v/>
      </c>
    </row>
    <row r="3968" customFormat="false" ht="15" hidden="false" customHeight="false" outlineLevel="0" collapsed="false">
      <c r="A3968" s="103"/>
      <c r="B3968" s="104"/>
      <c r="C3968" s="104"/>
      <c r="F3968" s="107" t="str">
        <f aca="false">IF(OR($C3968="",$D3968=0),"",$E3968/$D3968)</f>
        <v/>
      </c>
      <c r="H3968" s="0" t="str">
        <f aca="false">IF($C3968="","",IF(COUNTIF('مواد المخزون'!$A$2:$A$90,$C3968)&gt;0,"نعم","لا (خارج الجرد)"))</f>
        <v/>
      </c>
    </row>
    <row r="3969" customFormat="false" ht="15" hidden="false" customHeight="false" outlineLevel="0" collapsed="false">
      <c r="A3969" s="103"/>
      <c r="B3969" s="104"/>
      <c r="C3969" s="104"/>
      <c r="F3969" s="107" t="str">
        <f aca="false">IF(OR($C3969="",$D3969=0),"",$E3969/$D3969)</f>
        <v/>
      </c>
      <c r="H3969" s="0" t="str">
        <f aca="false">IF($C3969="","",IF(COUNTIF('مواد المخزون'!$A$2:$A$90,$C3969)&gt;0,"نعم","لا (خارج الجرد)"))</f>
        <v/>
      </c>
    </row>
    <row r="3970" customFormat="false" ht="15" hidden="false" customHeight="false" outlineLevel="0" collapsed="false">
      <c r="A3970" s="103"/>
      <c r="B3970" s="104"/>
      <c r="C3970" s="104"/>
      <c r="F3970" s="107" t="str">
        <f aca="false">IF(OR($C3970="",$D3970=0),"",$E3970/$D3970)</f>
        <v/>
      </c>
      <c r="H3970" s="0" t="str">
        <f aca="false">IF($C3970="","",IF(COUNTIF('مواد المخزون'!$A$2:$A$90,$C3970)&gt;0,"نعم","لا (خارج الجرد)"))</f>
        <v/>
      </c>
    </row>
    <row r="3971" customFormat="false" ht="15" hidden="false" customHeight="false" outlineLevel="0" collapsed="false">
      <c r="A3971" s="103"/>
      <c r="B3971" s="104"/>
      <c r="C3971" s="104"/>
      <c r="F3971" s="107" t="str">
        <f aca="false">IF(OR($C3971="",$D3971=0),"",$E3971/$D3971)</f>
        <v/>
      </c>
      <c r="H3971" s="0" t="str">
        <f aca="false">IF($C3971="","",IF(COUNTIF('مواد المخزون'!$A$2:$A$90,$C3971)&gt;0,"نعم","لا (خارج الجرد)"))</f>
        <v/>
      </c>
    </row>
    <row r="3972" customFormat="false" ht="15" hidden="false" customHeight="false" outlineLevel="0" collapsed="false">
      <c r="A3972" s="103"/>
      <c r="B3972" s="104"/>
      <c r="C3972" s="104"/>
      <c r="F3972" s="107" t="str">
        <f aca="false">IF(OR($C3972="",$D3972=0),"",$E3972/$D3972)</f>
        <v/>
      </c>
      <c r="H3972" s="0" t="str">
        <f aca="false">IF($C3972="","",IF(COUNTIF('مواد المخزون'!$A$2:$A$90,$C3972)&gt;0,"نعم","لا (خارج الجرد)"))</f>
        <v/>
      </c>
    </row>
    <row r="3973" customFormat="false" ht="15" hidden="false" customHeight="false" outlineLevel="0" collapsed="false">
      <c r="A3973" s="103"/>
      <c r="B3973" s="104"/>
      <c r="C3973" s="104"/>
      <c r="F3973" s="107" t="str">
        <f aca="false">IF(OR($C3973="",$D3973=0),"",$E3973/$D3973)</f>
        <v/>
      </c>
      <c r="H3973" s="0" t="str">
        <f aca="false">IF($C3973="","",IF(COUNTIF('مواد المخزون'!$A$2:$A$90,$C3973)&gt;0,"نعم","لا (خارج الجرد)"))</f>
        <v/>
      </c>
    </row>
    <row r="3974" customFormat="false" ht="15" hidden="false" customHeight="false" outlineLevel="0" collapsed="false">
      <c r="A3974" s="103"/>
      <c r="B3974" s="104"/>
      <c r="C3974" s="104"/>
      <c r="F3974" s="107" t="str">
        <f aca="false">IF(OR($C3974="",$D3974=0),"",$E3974/$D3974)</f>
        <v/>
      </c>
      <c r="H3974" s="0" t="str">
        <f aca="false">IF($C3974="","",IF(COUNTIF('مواد المخزون'!$A$2:$A$90,$C3974)&gt;0,"نعم","لا (خارج الجرد)"))</f>
        <v/>
      </c>
    </row>
    <row r="3975" customFormat="false" ht="15" hidden="false" customHeight="false" outlineLevel="0" collapsed="false">
      <c r="A3975" s="103"/>
      <c r="B3975" s="104"/>
      <c r="C3975" s="104"/>
      <c r="F3975" s="107" t="str">
        <f aca="false">IF(OR($C3975="",$D3975=0),"",$E3975/$D3975)</f>
        <v/>
      </c>
      <c r="H3975" s="0" t="str">
        <f aca="false">IF($C3975="","",IF(COUNTIF('مواد المخزون'!$A$2:$A$90,$C3975)&gt;0,"نعم","لا (خارج الجرد)"))</f>
        <v/>
      </c>
    </row>
    <row r="3976" customFormat="false" ht="15" hidden="false" customHeight="false" outlineLevel="0" collapsed="false">
      <c r="A3976" s="103"/>
      <c r="B3976" s="104"/>
      <c r="C3976" s="104"/>
      <c r="F3976" s="107" t="str">
        <f aca="false">IF(OR($C3976="",$D3976=0),"",$E3976/$D3976)</f>
        <v/>
      </c>
      <c r="H3976" s="0" t="str">
        <f aca="false">IF($C3976="","",IF(COUNTIF('مواد المخزون'!$A$2:$A$90,$C3976)&gt;0,"نعم","لا (خارج الجرد)"))</f>
        <v/>
      </c>
    </row>
    <row r="3977" customFormat="false" ht="15" hidden="false" customHeight="false" outlineLevel="0" collapsed="false">
      <c r="A3977" s="103"/>
      <c r="B3977" s="104"/>
      <c r="C3977" s="104"/>
      <c r="F3977" s="107" t="str">
        <f aca="false">IF(OR($C3977="",$D3977=0),"",$E3977/$D3977)</f>
        <v/>
      </c>
      <c r="H3977" s="0" t="str">
        <f aca="false">IF($C3977="","",IF(COUNTIF('مواد المخزون'!$A$2:$A$90,$C3977)&gt;0,"نعم","لا (خارج الجرد)"))</f>
        <v/>
      </c>
    </row>
    <row r="3978" customFormat="false" ht="15" hidden="false" customHeight="false" outlineLevel="0" collapsed="false">
      <c r="A3978" s="103"/>
      <c r="B3978" s="104"/>
      <c r="C3978" s="104"/>
      <c r="F3978" s="107" t="str">
        <f aca="false">IF(OR($C3978="",$D3978=0),"",$E3978/$D3978)</f>
        <v/>
      </c>
      <c r="H3978" s="0" t="str">
        <f aca="false">IF($C3978="","",IF(COUNTIF('مواد المخزون'!$A$2:$A$90,$C3978)&gt;0,"نعم","لا (خارج الجرد)"))</f>
        <v/>
      </c>
    </row>
    <row r="3979" customFormat="false" ht="15" hidden="false" customHeight="false" outlineLevel="0" collapsed="false">
      <c r="A3979" s="103"/>
      <c r="B3979" s="104"/>
      <c r="C3979" s="104"/>
      <c r="F3979" s="107" t="str">
        <f aca="false">IF(OR($C3979="",$D3979=0),"",$E3979/$D3979)</f>
        <v/>
      </c>
      <c r="H3979" s="0" t="str">
        <f aca="false">IF($C3979="","",IF(COUNTIF('مواد المخزون'!$A$2:$A$90,$C3979)&gt;0,"نعم","لا (خارج الجرد)"))</f>
        <v/>
      </c>
    </row>
    <row r="3980" customFormat="false" ht="15" hidden="false" customHeight="false" outlineLevel="0" collapsed="false">
      <c r="A3980" s="103"/>
      <c r="B3980" s="104"/>
      <c r="C3980" s="104"/>
      <c r="F3980" s="107" t="str">
        <f aca="false">IF(OR($C3980="",$D3980=0),"",$E3980/$D3980)</f>
        <v/>
      </c>
      <c r="H3980" s="0" t="str">
        <f aca="false">IF($C3980="","",IF(COUNTIF('مواد المخزون'!$A$2:$A$90,$C3980)&gt;0,"نعم","لا (خارج الجرد)"))</f>
        <v/>
      </c>
    </row>
    <row r="3981" customFormat="false" ht="15" hidden="false" customHeight="false" outlineLevel="0" collapsed="false">
      <c r="A3981" s="103"/>
      <c r="B3981" s="104"/>
      <c r="C3981" s="104"/>
      <c r="F3981" s="107" t="str">
        <f aca="false">IF(OR($C3981="",$D3981=0),"",$E3981/$D3981)</f>
        <v/>
      </c>
      <c r="H3981" s="0" t="str">
        <f aca="false">IF($C3981="","",IF(COUNTIF('مواد المخزون'!$A$2:$A$90,$C3981)&gt;0,"نعم","لا (خارج الجرد)"))</f>
        <v/>
      </c>
    </row>
    <row r="3982" customFormat="false" ht="15" hidden="false" customHeight="false" outlineLevel="0" collapsed="false">
      <c r="A3982" s="103"/>
      <c r="B3982" s="104"/>
      <c r="C3982" s="104"/>
      <c r="F3982" s="107" t="str">
        <f aca="false">IF(OR($C3982="",$D3982=0),"",$E3982/$D3982)</f>
        <v/>
      </c>
      <c r="H3982" s="0" t="str">
        <f aca="false">IF($C3982="","",IF(COUNTIF('مواد المخزون'!$A$2:$A$90,$C3982)&gt;0,"نعم","لا (خارج الجرد)"))</f>
        <v/>
      </c>
    </row>
    <row r="3983" customFormat="false" ht="15" hidden="false" customHeight="false" outlineLevel="0" collapsed="false">
      <c r="A3983" s="103"/>
      <c r="B3983" s="104"/>
      <c r="C3983" s="104"/>
      <c r="F3983" s="107" t="str">
        <f aca="false">IF(OR($C3983="",$D3983=0),"",$E3983/$D3983)</f>
        <v/>
      </c>
      <c r="H3983" s="0" t="str">
        <f aca="false">IF($C3983="","",IF(COUNTIF('مواد المخزون'!$A$2:$A$90,$C3983)&gt;0,"نعم","لا (خارج الجرد)"))</f>
        <v/>
      </c>
    </row>
    <row r="3984" customFormat="false" ht="15" hidden="false" customHeight="false" outlineLevel="0" collapsed="false">
      <c r="A3984" s="103"/>
      <c r="B3984" s="104"/>
      <c r="C3984" s="104"/>
      <c r="F3984" s="107" t="str">
        <f aca="false">IF(OR($C3984="",$D3984=0),"",$E3984/$D3984)</f>
        <v/>
      </c>
      <c r="H3984" s="0" t="str">
        <f aca="false">IF($C3984="","",IF(COUNTIF('مواد المخزون'!$A$2:$A$90,$C3984)&gt;0,"نعم","لا (خارج الجرد)"))</f>
        <v/>
      </c>
    </row>
    <row r="3985" customFormat="false" ht="15" hidden="false" customHeight="false" outlineLevel="0" collapsed="false">
      <c r="A3985" s="103"/>
      <c r="B3985" s="104"/>
      <c r="C3985" s="104"/>
      <c r="F3985" s="107" t="str">
        <f aca="false">IF(OR($C3985="",$D3985=0),"",$E3985/$D3985)</f>
        <v/>
      </c>
      <c r="H3985" s="0" t="str">
        <f aca="false">IF($C3985="","",IF(COUNTIF('مواد المخزون'!$A$2:$A$90,$C3985)&gt;0,"نعم","لا (خارج الجرد)"))</f>
        <v/>
      </c>
    </row>
    <row r="3986" customFormat="false" ht="15" hidden="false" customHeight="false" outlineLevel="0" collapsed="false">
      <c r="A3986" s="103"/>
      <c r="B3986" s="104"/>
      <c r="C3986" s="104"/>
      <c r="F3986" s="107" t="str">
        <f aca="false">IF(OR($C3986="",$D3986=0),"",$E3986/$D3986)</f>
        <v/>
      </c>
      <c r="H3986" s="0" t="str">
        <f aca="false">IF($C3986="","",IF(COUNTIF('مواد المخزون'!$A$2:$A$90,$C3986)&gt;0,"نعم","لا (خارج الجرد)"))</f>
        <v/>
      </c>
    </row>
    <row r="3987" customFormat="false" ht="15" hidden="false" customHeight="false" outlineLevel="0" collapsed="false">
      <c r="A3987" s="103"/>
      <c r="B3987" s="104"/>
      <c r="C3987" s="104"/>
      <c r="F3987" s="107" t="str">
        <f aca="false">IF(OR($C3987="",$D3987=0),"",$E3987/$D3987)</f>
        <v/>
      </c>
      <c r="H3987" s="0" t="str">
        <f aca="false">IF($C3987="","",IF(COUNTIF('مواد المخزون'!$A$2:$A$90,$C3987)&gt;0,"نعم","لا (خارج الجرد)"))</f>
        <v/>
      </c>
    </row>
    <row r="3988" customFormat="false" ht="15" hidden="false" customHeight="false" outlineLevel="0" collapsed="false">
      <c r="A3988" s="103"/>
      <c r="B3988" s="104"/>
      <c r="C3988" s="104"/>
      <c r="F3988" s="107" t="str">
        <f aca="false">IF(OR($C3988="",$D3988=0),"",$E3988/$D3988)</f>
        <v/>
      </c>
      <c r="H3988" s="0" t="str">
        <f aca="false">IF($C3988="","",IF(COUNTIF('مواد المخزون'!$A$2:$A$90,$C3988)&gt;0,"نعم","لا (خارج الجرد)"))</f>
        <v/>
      </c>
    </row>
    <row r="3989" customFormat="false" ht="15" hidden="false" customHeight="false" outlineLevel="0" collapsed="false">
      <c r="A3989" s="103"/>
      <c r="B3989" s="104"/>
      <c r="C3989" s="104"/>
      <c r="F3989" s="107" t="str">
        <f aca="false">IF(OR($C3989="",$D3989=0),"",$E3989/$D3989)</f>
        <v/>
      </c>
      <c r="H3989" s="0" t="str">
        <f aca="false">IF($C3989="","",IF(COUNTIF('مواد المخزون'!$A$2:$A$90,$C3989)&gt;0,"نعم","لا (خارج الجرد)"))</f>
        <v/>
      </c>
    </row>
    <row r="3990" customFormat="false" ht="15" hidden="false" customHeight="false" outlineLevel="0" collapsed="false">
      <c r="A3990" s="103"/>
      <c r="B3990" s="104"/>
      <c r="C3990" s="104"/>
      <c r="F3990" s="107" t="str">
        <f aca="false">IF(OR($C3990="",$D3990=0),"",$E3990/$D3990)</f>
        <v/>
      </c>
      <c r="H3990" s="0" t="str">
        <f aca="false">IF($C3990="","",IF(COUNTIF('مواد المخزون'!$A$2:$A$90,$C3990)&gt;0,"نعم","لا (خارج الجرد)"))</f>
        <v/>
      </c>
    </row>
    <row r="3991" customFormat="false" ht="15" hidden="false" customHeight="false" outlineLevel="0" collapsed="false">
      <c r="A3991" s="103"/>
      <c r="B3991" s="104"/>
      <c r="C3991" s="104"/>
      <c r="F3991" s="107" t="str">
        <f aca="false">IF(OR($C3991="",$D3991=0),"",$E3991/$D3991)</f>
        <v/>
      </c>
      <c r="H3991" s="0" t="str">
        <f aca="false">IF($C3991="","",IF(COUNTIF('مواد المخزون'!$A$2:$A$90,$C3991)&gt;0,"نعم","لا (خارج الجرد)"))</f>
        <v/>
      </c>
    </row>
    <row r="3992" customFormat="false" ht="15" hidden="false" customHeight="false" outlineLevel="0" collapsed="false">
      <c r="A3992" s="103"/>
      <c r="B3992" s="104"/>
      <c r="C3992" s="104"/>
      <c r="F3992" s="107" t="str">
        <f aca="false">IF(OR($C3992="",$D3992=0),"",$E3992/$D3992)</f>
        <v/>
      </c>
      <c r="H3992" s="0" t="str">
        <f aca="false">IF($C3992="","",IF(COUNTIF('مواد المخزون'!$A$2:$A$90,$C3992)&gt;0,"نعم","لا (خارج الجرد)"))</f>
        <v/>
      </c>
    </row>
    <row r="3993" customFormat="false" ht="15" hidden="false" customHeight="false" outlineLevel="0" collapsed="false">
      <c r="A3993" s="103"/>
      <c r="B3993" s="104"/>
      <c r="C3993" s="104"/>
      <c r="F3993" s="107" t="str">
        <f aca="false">IF(OR($C3993="",$D3993=0),"",$E3993/$D3993)</f>
        <v/>
      </c>
      <c r="H3993" s="0" t="str">
        <f aca="false">IF($C3993="","",IF(COUNTIF('مواد المخزون'!$A$2:$A$90,$C3993)&gt;0,"نعم","لا (خارج الجرد)"))</f>
        <v/>
      </c>
    </row>
    <row r="3994" customFormat="false" ht="15" hidden="false" customHeight="false" outlineLevel="0" collapsed="false">
      <c r="A3994" s="103"/>
      <c r="B3994" s="104"/>
      <c r="C3994" s="104"/>
      <c r="F3994" s="107" t="str">
        <f aca="false">IF(OR($C3994="",$D3994=0),"",$E3994/$D3994)</f>
        <v/>
      </c>
      <c r="H3994" s="0" t="str">
        <f aca="false">IF($C3994="","",IF(COUNTIF('مواد المخزون'!$A$2:$A$90,$C3994)&gt;0,"نعم","لا (خارج الجرد)"))</f>
        <v/>
      </c>
    </row>
    <row r="3995" customFormat="false" ht="15" hidden="false" customHeight="false" outlineLevel="0" collapsed="false">
      <c r="A3995" s="103"/>
      <c r="B3995" s="104"/>
      <c r="C3995" s="104"/>
      <c r="F3995" s="107" t="str">
        <f aca="false">IF(OR($C3995="",$D3995=0),"",$E3995/$D3995)</f>
        <v/>
      </c>
      <c r="H3995" s="0" t="str">
        <f aca="false">IF($C3995="","",IF(COUNTIF('مواد المخزون'!$A$2:$A$90,$C3995)&gt;0,"نعم","لا (خارج الجرد)"))</f>
        <v/>
      </c>
    </row>
    <row r="3996" customFormat="false" ht="15" hidden="false" customHeight="false" outlineLevel="0" collapsed="false">
      <c r="A3996" s="103"/>
      <c r="B3996" s="104"/>
      <c r="C3996" s="104"/>
      <c r="F3996" s="107" t="str">
        <f aca="false">IF(OR($C3996="",$D3996=0),"",$E3996/$D3996)</f>
        <v/>
      </c>
      <c r="H3996" s="0" t="str">
        <f aca="false">IF($C3996="","",IF(COUNTIF('مواد المخزون'!$A$2:$A$90,$C3996)&gt;0,"نعم","لا (خارج الجرد)"))</f>
        <v/>
      </c>
    </row>
    <row r="3997" customFormat="false" ht="15" hidden="false" customHeight="false" outlineLevel="0" collapsed="false">
      <c r="A3997" s="103"/>
      <c r="B3997" s="104"/>
      <c r="C3997" s="104"/>
      <c r="F3997" s="107" t="str">
        <f aca="false">IF(OR($C3997="",$D3997=0),"",$E3997/$D3997)</f>
        <v/>
      </c>
      <c r="H3997" s="0" t="str">
        <f aca="false">IF($C3997="","",IF(COUNTIF('مواد المخزون'!$A$2:$A$90,$C3997)&gt;0,"نعم","لا (خارج الجرد)"))</f>
        <v/>
      </c>
    </row>
    <row r="3998" customFormat="false" ht="15" hidden="false" customHeight="false" outlineLevel="0" collapsed="false">
      <c r="A3998" s="103"/>
      <c r="B3998" s="104"/>
      <c r="C3998" s="104"/>
      <c r="F3998" s="107" t="str">
        <f aca="false">IF(OR($C3998="",$D3998=0),"",$E3998/$D3998)</f>
        <v/>
      </c>
      <c r="H3998" s="0" t="str">
        <f aca="false">IF($C3998="","",IF(COUNTIF('مواد المخزون'!$A$2:$A$90,$C3998)&gt;0,"نعم","لا (خارج الجرد)"))</f>
        <v/>
      </c>
    </row>
    <row r="3999" customFormat="false" ht="15" hidden="false" customHeight="false" outlineLevel="0" collapsed="false">
      <c r="A3999" s="103"/>
      <c r="B3999" s="104"/>
      <c r="C3999" s="104"/>
      <c r="F3999" s="107" t="str">
        <f aca="false">IF(OR($C3999="",$D3999=0),"",$E3999/$D3999)</f>
        <v/>
      </c>
      <c r="H3999" s="0" t="str">
        <f aca="false">IF($C3999="","",IF(COUNTIF('مواد المخزون'!$A$2:$A$90,$C3999)&gt;0,"نعم","لا (خارج الجرد)"))</f>
        <v/>
      </c>
    </row>
    <row r="4000" customFormat="false" ht="15" hidden="false" customHeight="false" outlineLevel="0" collapsed="false">
      <c r="A4000" s="103"/>
      <c r="B4000" s="104"/>
      <c r="C4000" s="104"/>
      <c r="F4000" s="107" t="str">
        <f aca="false">IF(OR($C4000="",$D4000=0),"",$E4000/$D4000)</f>
        <v/>
      </c>
      <c r="H4000" s="0" t="str">
        <f aca="false">IF($C4000="","",IF(COUNTIF('مواد المخزون'!$A$2:$A$90,$C4000)&gt;0,"نعم","لا (خارج الجرد)"))</f>
        <v/>
      </c>
    </row>
    <row r="4001" customFormat="false" ht="15" hidden="false" customHeight="false" outlineLevel="0" collapsed="false">
      <c r="A4001" s="103"/>
      <c r="B4001" s="104"/>
      <c r="C4001" s="104"/>
      <c r="F4001" s="107" t="str">
        <f aca="false">IF(OR($C4001="",$D4001=0),"",$E4001/$D4001)</f>
        <v/>
      </c>
      <c r="H4001" s="0" t="str">
        <f aca="false">IF($C4001="","",IF(COUNTIF('مواد المخزون'!$A$2:$A$90,$C4001)&gt;0,"نعم","لا (خارج الجرد)"))</f>
        <v/>
      </c>
    </row>
  </sheetData>
  <dataValidations count="2">
    <dataValidation allowBlank="true" errorStyle="stop" operator="between" showDropDown="false" showErrorMessage="false" showInputMessage="false" sqref="B2:B4001" type="list">
      <formula1>'إعدادات المخزون'!$A$15:$A$18</formula1>
      <formula2>0</formula2>
    </dataValidation>
    <dataValidation allowBlank="true" errorStyle="stop" operator="between" showDropDown="false" showErrorMessage="false" showInputMessage="false" sqref="C2:C4001" type="list">
      <formula1>'مواد المخزون'!$A$2:$A$90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38"/>
    <col collapsed="false" customWidth="true" hidden="false" outlineLevel="0" max="4" min="4" style="0" width="22"/>
    <col collapsed="false" customWidth="true" hidden="false" outlineLevel="0" max="5" min="5" style="0" width="34"/>
  </cols>
  <sheetData>
    <row r="1" customFormat="false" ht="33.75" hidden="false" customHeight="true" outlineLevel="0" collapsed="false">
      <c r="A1" s="18" t="s">
        <v>66</v>
      </c>
      <c r="B1" s="18" t="s">
        <v>605</v>
      </c>
      <c r="C1" s="18" t="s">
        <v>59</v>
      </c>
      <c r="D1" s="18" t="s">
        <v>796</v>
      </c>
      <c r="E1" s="18" t="s">
        <v>665</v>
      </c>
    </row>
    <row r="2" customFormat="false" ht="15" hidden="false" customHeight="false" outlineLevel="0" collapsed="false">
      <c r="A2" s="103"/>
      <c r="B2" s="104"/>
      <c r="C2" s="104"/>
    </row>
    <row r="3" customFormat="false" ht="15" hidden="false" customHeight="false" outlineLevel="0" collapsed="false">
      <c r="A3" s="103"/>
      <c r="B3" s="104"/>
      <c r="C3" s="104"/>
    </row>
    <row r="4" customFormat="false" ht="15" hidden="false" customHeight="false" outlineLevel="0" collapsed="false">
      <c r="A4" s="103"/>
      <c r="B4" s="104"/>
      <c r="C4" s="104"/>
    </row>
    <row r="5" customFormat="false" ht="15" hidden="false" customHeight="false" outlineLevel="0" collapsed="false">
      <c r="A5" s="103"/>
      <c r="B5" s="104"/>
      <c r="C5" s="104"/>
    </row>
    <row r="6" customFormat="false" ht="15" hidden="false" customHeight="false" outlineLevel="0" collapsed="false">
      <c r="A6" s="103"/>
      <c r="B6" s="104"/>
      <c r="C6" s="104"/>
    </row>
    <row r="7" customFormat="false" ht="15" hidden="false" customHeight="false" outlineLevel="0" collapsed="false">
      <c r="A7" s="103"/>
      <c r="B7" s="104"/>
      <c r="C7" s="104"/>
    </row>
    <row r="8" customFormat="false" ht="15" hidden="false" customHeight="false" outlineLevel="0" collapsed="false">
      <c r="A8" s="103"/>
      <c r="B8" s="104"/>
      <c r="C8" s="104"/>
    </row>
    <row r="9" customFormat="false" ht="15" hidden="false" customHeight="false" outlineLevel="0" collapsed="false">
      <c r="A9" s="103"/>
      <c r="B9" s="104"/>
      <c r="C9" s="104"/>
    </row>
    <row r="10" customFormat="false" ht="15" hidden="false" customHeight="false" outlineLevel="0" collapsed="false">
      <c r="A10" s="103"/>
      <c r="B10" s="104"/>
      <c r="C10" s="104"/>
    </row>
    <row r="11" customFormat="false" ht="15" hidden="false" customHeight="false" outlineLevel="0" collapsed="false">
      <c r="A11" s="103"/>
      <c r="B11" s="104"/>
      <c r="C11" s="104"/>
    </row>
    <row r="12" customFormat="false" ht="15" hidden="false" customHeight="false" outlineLevel="0" collapsed="false">
      <c r="A12" s="103"/>
      <c r="B12" s="104"/>
      <c r="C12" s="104"/>
    </row>
    <row r="13" customFormat="false" ht="15" hidden="false" customHeight="false" outlineLevel="0" collapsed="false">
      <c r="A13" s="103"/>
      <c r="B13" s="104"/>
      <c r="C13" s="104"/>
    </row>
    <row r="14" customFormat="false" ht="15" hidden="false" customHeight="false" outlineLevel="0" collapsed="false">
      <c r="A14" s="103"/>
      <c r="B14" s="104"/>
      <c r="C14" s="104"/>
    </row>
    <row r="15" customFormat="false" ht="15" hidden="false" customHeight="false" outlineLevel="0" collapsed="false">
      <c r="A15" s="103"/>
      <c r="B15" s="104"/>
      <c r="C15" s="104"/>
    </row>
    <row r="16" customFormat="false" ht="15" hidden="false" customHeight="false" outlineLevel="0" collapsed="false">
      <c r="A16" s="103"/>
      <c r="B16" s="104"/>
      <c r="C16" s="104"/>
    </row>
    <row r="17" customFormat="false" ht="15" hidden="false" customHeight="false" outlineLevel="0" collapsed="false">
      <c r="A17" s="103"/>
      <c r="B17" s="104"/>
      <c r="C17" s="104"/>
    </row>
    <row r="18" customFormat="false" ht="15" hidden="false" customHeight="false" outlineLevel="0" collapsed="false">
      <c r="A18" s="103"/>
      <c r="B18" s="104"/>
      <c r="C18" s="104"/>
    </row>
    <row r="19" customFormat="false" ht="15" hidden="false" customHeight="false" outlineLevel="0" collapsed="false">
      <c r="A19" s="103"/>
      <c r="B19" s="104"/>
      <c r="C19" s="104"/>
    </row>
    <row r="20" customFormat="false" ht="15" hidden="false" customHeight="false" outlineLevel="0" collapsed="false">
      <c r="A20" s="103"/>
      <c r="B20" s="104"/>
      <c r="C20" s="104"/>
    </row>
    <row r="21" customFormat="false" ht="15" hidden="false" customHeight="false" outlineLevel="0" collapsed="false">
      <c r="A21" s="103"/>
      <c r="B21" s="104"/>
      <c r="C21" s="104"/>
    </row>
    <row r="22" customFormat="false" ht="15" hidden="false" customHeight="false" outlineLevel="0" collapsed="false">
      <c r="A22" s="103"/>
      <c r="B22" s="104"/>
      <c r="C22" s="104"/>
    </row>
    <row r="23" customFormat="false" ht="15" hidden="false" customHeight="false" outlineLevel="0" collapsed="false">
      <c r="A23" s="103"/>
      <c r="B23" s="104"/>
      <c r="C23" s="104"/>
    </row>
    <row r="24" customFormat="false" ht="15" hidden="false" customHeight="false" outlineLevel="0" collapsed="false">
      <c r="A24" s="103"/>
      <c r="B24" s="104"/>
      <c r="C24" s="104"/>
    </row>
    <row r="25" customFormat="false" ht="15" hidden="false" customHeight="false" outlineLevel="0" collapsed="false">
      <c r="A25" s="103"/>
      <c r="B25" s="104"/>
      <c r="C25" s="104"/>
    </row>
    <row r="26" customFormat="false" ht="15" hidden="false" customHeight="false" outlineLevel="0" collapsed="false">
      <c r="A26" s="103"/>
      <c r="B26" s="104"/>
      <c r="C26" s="104"/>
    </row>
    <row r="27" customFormat="false" ht="15" hidden="false" customHeight="false" outlineLevel="0" collapsed="false">
      <c r="A27" s="103"/>
      <c r="B27" s="104"/>
      <c r="C27" s="104"/>
    </row>
    <row r="28" customFormat="false" ht="15" hidden="false" customHeight="false" outlineLevel="0" collapsed="false">
      <c r="A28" s="103"/>
      <c r="B28" s="104"/>
      <c r="C28" s="104"/>
    </row>
    <row r="29" customFormat="false" ht="15" hidden="false" customHeight="false" outlineLevel="0" collapsed="false">
      <c r="A29" s="103"/>
      <c r="B29" s="104"/>
      <c r="C29" s="104"/>
    </row>
    <row r="30" customFormat="false" ht="15" hidden="false" customHeight="false" outlineLevel="0" collapsed="false">
      <c r="A30" s="103"/>
      <c r="B30" s="104"/>
      <c r="C30" s="104"/>
    </row>
    <row r="31" customFormat="false" ht="15" hidden="false" customHeight="false" outlineLevel="0" collapsed="false">
      <c r="A31" s="103"/>
      <c r="B31" s="104"/>
      <c r="C31" s="104"/>
    </row>
    <row r="32" customFormat="false" ht="15" hidden="false" customHeight="false" outlineLevel="0" collapsed="false">
      <c r="A32" s="103"/>
      <c r="B32" s="104"/>
      <c r="C32" s="104"/>
    </row>
    <row r="33" customFormat="false" ht="15" hidden="false" customHeight="false" outlineLevel="0" collapsed="false">
      <c r="A33" s="103"/>
      <c r="B33" s="104"/>
      <c r="C33" s="104"/>
    </row>
    <row r="34" customFormat="false" ht="15" hidden="false" customHeight="false" outlineLevel="0" collapsed="false">
      <c r="A34" s="103"/>
      <c r="B34" s="104"/>
      <c r="C34" s="104"/>
    </row>
    <row r="35" customFormat="false" ht="15" hidden="false" customHeight="false" outlineLevel="0" collapsed="false">
      <c r="A35" s="103"/>
      <c r="B35" s="104"/>
      <c r="C35" s="104"/>
    </row>
    <row r="36" customFormat="false" ht="15" hidden="false" customHeight="false" outlineLevel="0" collapsed="false">
      <c r="A36" s="103"/>
      <c r="B36" s="104"/>
      <c r="C36" s="104"/>
    </row>
    <row r="37" customFormat="false" ht="15" hidden="false" customHeight="false" outlineLevel="0" collapsed="false">
      <c r="A37" s="103"/>
      <c r="B37" s="104"/>
      <c r="C37" s="104"/>
    </row>
    <row r="38" customFormat="false" ht="15" hidden="false" customHeight="false" outlineLevel="0" collapsed="false">
      <c r="A38" s="103"/>
      <c r="B38" s="104"/>
      <c r="C38" s="104"/>
    </row>
    <row r="39" customFormat="false" ht="15" hidden="false" customHeight="false" outlineLevel="0" collapsed="false">
      <c r="A39" s="103"/>
      <c r="B39" s="104"/>
      <c r="C39" s="104"/>
    </row>
    <row r="40" customFormat="false" ht="15" hidden="false" customHeight="false" outlineLevel="0" collapsed="false">
      <c r="A40" s="103"/>
      <c r="B40" s="104"/>
      <c r="C40" s="104"/>
    </row>
    <row r="41" customFormat="false" ht="15" hidden="false" customHeight="false" outlineLevel="0" collapsed="false">
      <c r="A41" s="103"/>
      <c r="B41" s="104"/>
      <c r="C41" s="104"/>
    </row>
    <row r="42" customFormat="false" ht="15" hidden="false" customHeight="false" outlineLevel="0" collapsed="false">
      <c r="A42" s="103"/>
      <c r="B42" s="104"/>
      <c r="C42" s="104"/>
    </row>
    <row r="43" customFormat="false" ht="15" hidden="false" customHeight="false" outlineLevel="0" collapsed="false">
      <c r="A43" s="103"/>
      <c r="B43" s="104"/>
      <c r="C43" s="104"/>
    </row>
    <row r="44" customFormat="false" ht="15" hidden="false" customHeight="false" outlineLevel="0" collapsed="false">
      <c r="A44" s="103"/>
      <c r="B44" s="104"/>
      <c r="C44" s="104"/>
    </row>
    <row r="45" customFormat="false" ht="15" hidden="false" customHeight="false" outlineLevel="0" collapsed="false">
      <c r="A45" s="103"/>
      <c r="B45" s="104"/>
      <c r="C45" s="104"/>
    </row>
    <row r="46" customFormat="false" ht="15" hidden="false" customHeight="false" outlineLevel="0" collapsed="false">
      <c r="A46" s="103"/>
      <c r="B46" s="104"/>
      <c r="C46" s="104"/>
    </row>
    <row r="47" customFormat="false" ht="15" hidden="false" customHeight="false" outlineLevel="0" collapsed="false">
      <c r="A47" s="103"/>
      <c r="B47" s="104"/>
      <c r="C47" s="104"/>
    </row>
    <row r="48" customFormat="false" ht="15" hidden="false" customHeight="false" outlineLevel="0" collapsed="false">
      <c r="A48" s="103"/>
      <c r="B48" s="104"/>
      <c r="C48" s="104"/>
    </row>
    <row r="49" customFormat="false" ht="15" hidden="false" customHeight="false" outlineLevel="0" collapsed="false">
      <c r="A49" s="103"/>
      <c r="B49" s="104"/>
      <c r="C49" s="104"/>
    </row>
    <row r="50" customFormat="false" ht="15" hidden="false" customHeight="false" outlineLevel="0" collapsed="false">
      <c r="A50" s="103"/>
      <c r="B50" s="104"/>
      <c r="C50" s="104"/>
    </row>
    <row r="51" customFormat="false" ht="15" hidden="false" customHeight="false" outlineLevel="0" collapsed="false">
      <c r="A51" s="103"/>
      <c r="B51" s="104"/>
      <c r="C51" s="104"/>
    </row>
    <row r="52" customFormat="false" ht="15" hidden="false" customHeight="false" outlineLevel="0" collapsed="false">
      <c r="A52" s="103"/>
      <c r="B52" s="104"/>
      <c r="C52" s="104"/>
    </row>
    <row r="53" customFormat="false" ht="15" hidden="false" customHeight="false" outlineLevel="0" collapsed="false">
      <c r="A53" s="103"/>
      <c r="B53" s="104"/>
      <c r="C53" s="104"/>
    </row>
    <row r="54" customFormat="false" ht="15" hidden="false" customHeight="false" outlineLevel="0" collapsed="false">
      <c r="A54" s="103"/>
      <c r="B54" s="104"/>
      <c r="C54" s="104"/>
    </row>
    <row r="55" customFormat="false" ht="15" hidden="false" customHeight="false" outlineLevel="0" collapsed="false">
      <c r="A55" s="103"/>
      <c r="B55" s="104"/>
      <c r="C55" s="104"/>
    </row>
    <row r="56" customFormat="false" ht="15" hidden="false" customHeight="false" outlineLevel="0" collapsed="false">
      <c r="A56" s="103"/>
      <c r="B56" s="104"/>
      <c r="C56" s="104"/>
    </row>
    <row r="57" customFormat="false" ht="15" hidden="false" customHeight="false" outlineLevel="0" collapsed="false">
      <c r="A57" s="103"/>
      <c r="B57" s="104"/>
      <c r="C57" s="104"/>
    </row>
    <row r="58" customFormat="false" ht="15" hidden="false" customHeight="false" outlineLevel="0" collapsed="false">
      <c r="A58" s="103"/>
      <c r="B58" s="104"/>
      <c r="C58" s="104"/>
    </row>
    <row r="59" customFormat="false" ht="15" hidden="false" customHeight="false" outlineLevel="0" collapsed="false">
      <c r="A59" s="103"/>
      <c r="B59" s="104"/>
      <c r="C59" s="104"/>
    </row>
    <row r="60" customFormat="false" ht="15" hidden="false" customHeight="false" outlineLevel="0" collapsed="false">
      <c r="A60" s="103"/>
      <c r="B60" s="104"/>
      <c r="C60" s="104"/>
    </row>
    <row r="61" customFormat="false" ht="15" hidden="false" customHeight="false" outlineLevel="0" collapsed="false">
      <c r="A61" s="103"/>
      <c r="B61" s="104"/>
      <c r="C61" s="104"/>
    </row>
    <row r="62" customFormat="false" ht="15" hidden="false" customHeight="false" outlineLevel="0" collapsed="false">
      <c r="A62" s="103"/>
      <c r="B62" s="104"/>
      <c r="C62" s="104"/>
    </row>
    <row r="63" customFormat="false" ht="15" hidden="false" customHeight="false" outlineLevel="0" collapsed="false">
      <c r="A63" s="103"/>
      <c r="B63" s="104"/>
      <c r="C63" s="104"/>
    </row>
    <row r="64" customFormat="false" ht="15" hidden="false" customHeight="false" outlineLevel="0" collapsed="false">
      <c r="A64" s="103"/>
      <c r="B64" s="104"/>
      <c r="C64" s="104"/>
    </row>
    <row r="65" customFormat="false" ht="15" hidden="false" customHeight="false" outlineLevel="0" collapsed="false">
      <c r="A65" s="103"/>
      <c r="B65" s="104"/>
      <c r="C65" s="104"/>
    </row>
    <row r="66" customFormat="false" ht="15" hidden="false" customHeight="false" outlineLevel="0" collapsed="false">
      <c r="A66" s="103"/>
      <c r="B66" s="104"/>
      <c r="C66" s="104"/>
    </row>
    <row r="67" customFormat="false" ht="15" hidden="false" customHeight="false" outlineLevel="0" collapsed="false">
      <c r="A67" s="103"/>
      <c r="B67" s="104"/>
      <c r="C67" s="104"/>
    </row>
    <row r="68" customFormat="false" ht="15" hidden="false" customHeight="false" outlineLevel="0" collapsed="false">
      <c r="A68" s="103"/>
      <c r="B68" s="104"/>
      <c r="C68" s="104"/>
    </row>
    <row r="69" customFormat="false" ht="15" hidden="false" customHeight="false" outlineLevel="0" collapsed="false">
      <c r="A69" s="103"/>
      <c r="B69" s="104"/>
      <c r="C69" s="104"/>
    </row>
    <row r="70" customFormat="false" ht="15" hidden="false" customHeight="false" outlineLevel="0" collapsed="false">
      <c r="A70" s="103"/>
      <c r="B70" s="104"/>
      <c r="C70" s="104"/>
    </row>
    <row r="71" customFormat="false" ht="15" hidden="false" customHeight="false" outlineLevel="0" collapsed="false">
      <c r="A71" s="103"/>
      <c r="B71" s="104"/>
      <c r="C71" s="104"/>
    </row>
    <row r="72" customFormat="false" ht="15" hidden="false" customHeight="false" outlineLevel="0" collapsed="false">
      <c r="A72" s="103"/>
      <c r="B72" s="104"/>
      <c r="C72" s="104"/>
    </row>
    <row r="73" customFormat="false" ht="15" hidden="false" customHeight="false" outlineLevel="0" collapsed="false">
      <c r="A73" s="103"/>
      <c r="B73" s="104"/>
      <c r="C73" s="104"/>
    </row>
    <row r="74" customFormat="false" ht="15" hidden="false" customHeight="false" outlineLevel="0" collapsed="false">
      <c r="A74" s="103"/>
      <c r="B74" s="104"/>
      <c r="C74" s="104"/>
    </row>
    <row r="75" customFormat="false" ht="15" hidden="false" customHeight="false" outlineLevel="0" collapsed="false">
      <c r="A75" s="103"/>
      <c r="B75" s="104"/>
      <c r="C75" s="104"/>
    </row>
    <row r="76" customFormat="false" ht="15" hidden="false" customHeight="false" outlineLevel="0" collapsed="false">
      <c r="A76" s="103"/>
      <c r="B76" s="104"/>
      <c r="C76" s="104"/>
    </row>
    <row r="77" customFormat="false" ht="15" hidden="false" customHeight="false" outlineLevel="0" collapsed="false">
      <c r="A77" s="103"/>
      <c r="B77" s="104"/>
      <c r="C77" s="104"/>
    </row>
    <row r="78" customFormat="false" ht="15" hidden="false" customHeight="false" outlineLevel="0" collapsed="false">
      <c r="A78" s="103"/>
      <c r="B78" s="104"/>
      <c r="C78" s="104"/>
    </row>
    <row r="79" customFormat="false" ht="15" hidden="false" customHeight="false" outlineLevel="0" collapsed="false">
      <c r="A79" s="103"/>
      <c r="B79" s="104"/>
      <c r="C79" s="104"/>
    </row>
    <row r="80" customFormat="false" ht="15" hidden="false" customHeight="false" outlineLevel="0" collapsed="false">
      <c r="A80" s="103"/>
      <c r="B80" s="104"/>
      <c r="C80" s="104"/>
    </row>
    <row r="81" customFormat="false" ht="15" hidden="false" customHeight="false" outlineLevel="0" collapsed="false">
      <c r="A81" s="103"/>
      <c r="B81" s="104"/>
      <c r="C81" s="104"/>
    </row>
    <row r="82" customFormat="false" ht="15" hidden="false" customHeight="false" outlineLevel="0" collapsed="false">
      <c r="A82" s="103"/>
      <c r="B82" s="104"/>
      <c r="C82" s="104"/>
    </row>
    <row r="83" customFormat="false" ht="15" hidden="false" customHeight="false" outlineLevel="0" collapsed="false">
      <c r="A83" s="103"/>
      <c r="B83" s="104"/>
      <c r="C83" s="104"/>
    </row>
    <row r="84" customFormat="false" ht="15" hidden="false" customHeight="false" outlineLevel="0" collapsed="false">
      <c r="A84" s="103"/>
      <c r="B84" s="104"/>
      <c r="C84" s="104"/>
    </row>
    <row r="85" customFormat="false" ht="15" hidden="false" customHeight="false" outlineLevel="0" collapsed="false">
      <c r="A85" s="103"/>
      <c r="B85" s="104"/>
      <c r="C85" s="104"/>
    </row>
    <row r="86" customFormat="false" ht="15" hidden="false" customHeight="false" outlineLevel="0" collapsed="false">
      <c r="A86" s="103"/>
      <c r="B86" s="104"/>
      <c r="C86" s="104"/>
    </row>
    <row r="87" customFormat="false" ht="15" hidden="false" customHeight="false" outlineLevel="0" collapsed="false">
      <c r="A87" s="103"/>
      <c r="B87" s="104"/>
      <c r="C87" s="104"/>
    </row>
    <row r="88" customFormat="false" ht="15" hidden="false" customHeight="false" outlineLevel="0" collapsed="false">
      <c r="A88" s="103"/>
      <c r="B88" s="104"/>
      <c r="C88" s="104"/>
    </row>
    <row r="89" customFormat="false" ht="15" hidden="false" customHeight="false" outlineLevel="0" collapsed="false">
      <c r="A89" s="103"/>
      <c r="B89" s="104"/>
      <c r="C89" s="104"/>
    </row>
    <row r="90" customFormat="false" ht="15" hidden="false" customHeight="false" outlineLevel="0" collapsed="false">
      <c r="A90" s="103"/>
      <c r="B90" s="104"/>
      <c r="C90" s="104"/>
    </row>
    <row r="91" customFormat="false" ht="15" hidden="false" customHeight="false" outlineLevel="0" collapsed="false">
      <c r="A91" s="103"/>
      <c r="B91" s="104"/>
      <c r="C91" s="104"/>
    </row>
    <row r="92" customFormat="false" ht="15" hidden="false" customHeight="false" outlineLevel="0" collapsed="false">
      <c r="A92" s="103"/>
      <c r="B92" s="104"/>
      <c r="C92" s="104"/>
    </row>
    <row r="93" customFormat="false" ht="15" hidden="false" customHeight="false" outlineLevel="0" collapsed="false">
      <c r="A93" s="103"/>
      <c r="B93" s="104"/>
      <c r="C93" s="104"/>
    </row>
    <row r="94" customFormat="false" ht="15" hidden="false" customHeight="false" outlineLevel="0" collapsed="false">
      <c r="A94" s="103"/>
      <c r="B94" s="104"/>
      <c r="C94" s="104"/>
    </row>
    <row r="95" customFormat="false" ht="15" hidden="false" customHeight="false" outlineLevel="0" collapsed="false">
      <c r="A95" s="103"/>
      <c r="B95" s="104"/>
      <c r="C95" s="104"/>
    </row>
    <row r="96" customFormat="false" ht="15" hidden="false" customHeight="false" outlineLevel="0" collapsed="false">
      <c r="A96" s="103"/>
      <c r="B96" s="104"/>
      <c r="C96" s="104"/>
    </row>
    <row r="97" customFormat="false" ht="15" hidden="false" customHeight="false" outlineLevel="0" collapsed="false">
      <c r="A97" s="103"/>
      <c r="B97" s="104"/>
      <c r="C97" s="104"/>
    </row>
    <row r="98" customFormat="false" ht="15" hidden="false" customHeight="false" outlineLevel="0" collapsed="false">
      <c r="A98" s="103"/>
      <c r="B98" s="104"/>
      <c r="C98" s="104"/>
    </row>
    <row r="99" customFormat="false" ht="15" hidden="false" customHeight="false" outlineLevel="0" collapsed="false">
      <c r="A99" s="103"/>
      <c r="B99" s="104"/>
      <c r="C99" s="104"/>
    </row>
    <row r="100" customFormat="false" ht="15" hidden="false" customHeight="false" outlineLevel="0" collapsed="false">
      <c r="A100" s="103"/>
      <c r="B100" s="104"/>
      <c r="C100" s="104"/>
    </row>
    <row r="101" customFormat="false" ht="15" hidden="false" customHeight="false" outlineLevel="0" collapsed="false">
      <c r="A101" s="103"/>
      <c r="B101" s="104"/>
      <c r="C101" s="104"/>
    </row>
    <row r="102" customFormat="false" ht="15" hidden="false" customHeight="false" outlineLevel="0" collapsed="false">
      <c r="A102" s="103"/>
      <c r="B102" s="104"/>
      <c r="C102" s="104"/>
    </row>
    <row r="103" customFormat="false" ht="15" hidden="false" customHeight="false" outlineLevel="0" collapsed="false">
      <c r="A103" s="103"/>
      <c r="B103" s="104"/>
      <c r="C103" s="104"/>
    </row>
    <row r="104" customFormat="false" ht="15" hidden="false" customHeight="false" outlineLevel="0" collapsed="false">
      <c r="A104" s="103"/>
      <c r="B104" s="104"/>
      <c r="C104" s="104"/>
    </row>
    <row r="105" customFormat="false" ht="15" hidden="false" customHeight="false" outlineLevel="0" collapsed="false">
      <c r="A105" s="103"/>
      <c r="B105" s="104"/>
      <c r="C105" s="104"/>
    </row>
    <row r="106" customFormat="false" ht="15" hidden="false" customHeight="false" outlineLevel="0" collapsed="false">
      <c r="A106" s="103"/>
      <c r="B106" s="104"/>
      <c r="C106" s="104"/>
    </row>
    <row r="107" customFormat="false" ht="15" hidden="false" customHeight="false" outlineLevel="0" collapsed="false">
      <c r="A107" s="103"/>
      <c r="B107" s="104"/>
      <c r="C107" s="104"/>
    </row>
    <row r="108" customFormat="false" ht="15" hidden="false" customHeight="false" outlineLevel="0" collapsed="false">
      <c r="A108" s="103"/>
      <c r="B108" s="104"/>
      <c r="C108" s="104"/>
    </row>
    <row r="109" customFormat="false" ht="15" hidden="false" customHeight="false" outlineLevel="0" collapsed="false">
      <c r="A109" s="103"/>
      <c r="B109" s="104"/>
      <c r="C109" s="104"/>
    </row>
    <row r="110" customFormat="false" ht="15" hidden="false" customHeight="false" outlineLevel="0" collapsed="false">
      <c r="A110" s="103"/>
      <c r="B110" s="104"/>
      <c r="C110" s="104"/>
    </row>
    <row r="111" customFormat="false" ht="15" hidden="false" customHeight="false" outlineLevel="0" collapsed="false">
      <c r="A111" s="103"/>
      <c r="B111" s="104"/>
      <c r="C111" s="104"/>
    </row>
    <row r="112" customFormat="false" ht="15" hidden="false" customHeight="false" outlineLevel="0" collapsed="false">
      <c r="A112" s="103"/>
      <c r="B112" s="104"/>
      <c r="C112" s="104"/>
    </row>
    <row r="113" customFormat="false" ht="15" hidden="false" customHeight="false" outlineLevel="0" collapsed="false">
      <c r="A113" s="103"/>
      <c r="B113" s="104"/>
      <c r="C113" s="104"/>
    </row>
    <row r="114" customFormat="false" ht="15" hidden="false" customHeight="false" outlineLevel="0" collapsed="false">
      <c r="A114" s="103"/>
      <c r="B114" s="104"/>
      <c r="C114" s="104"/>
    </row>
    <row r="115" customFormat="false" ht="15" hidden="false" customHeight="false" outlineLevel="0" collapsed="false">
      <c r="A115" s="103"/>
      <c r="B115" s="104"/>
      <c r="C115" s="104"/>
    </row>
    <row r="116" customFormat="false" ht="15" hidden="false" customHeight="false" outlineLevel="0" collapsed="false">
      <c r="A116" s="103"/>
      <c r="B116" s="104"/>
      <c r="C116" s="104"/>
    </row>
    <row r="117" customFormat="false" ht="15" hidden="false" customHeight="false" outlineLevel="0" collapsed="false">
      <c r="A117" s="103"/>
      <c r="B117" s="104"/>
      <c r="C117" s="104"/>
    </row>
    <row r="118" customFormat="false" ht="15" hidden="false" customHeight="false" outlineLevel="0" collapsed="false">
      <c r="A118" s="103"/>
      <c r="B118" s="104"/>
      <c r="C118" s="104"/>
    </row>
    <row r="119" customFormat="false" ht="15" hidden="false" customHeight="false" outlineLevel="0" collapsed="false">
      <c r="A119" s="103"/>
      <c r="B119" s="104"/>
      <c r="C119" s="104"/>
    </row>
    <row r="120" customFormat="false" ht="15" hidden="false" customHeight="false" outlineLevel="0" collapsed="false">
      <c r="A120" s="103"/>
      <c r="B120" s="104"/>
      <c r="C120" s="104"/>
    </row>
    <row r="121" customFormat="false" ht="15" hidden="false" customHeight="false" outlineLevel="0" collapsed="false">
      <c r="A121" s="103"/>
      <c r="B121" s="104"/>
      <c r="C121" s="104"/>
    </row>
    <row r="122" customFormat="false" ht="15" hidden="false" customHeight="false" outlineLevel="0" collapsed="false">
      <c r="A122" s="103"/>
      <c r="B122" s="104"/>
      <c r="C122" s="104"/>
    </row>
    <row r="123" customFormat="false" ht="15" hidden="false" customHeight="false" outlineLevel="0" collapsed="false">
      <c r="A123" s="103"/>
      <c r="B123" s="104"/>
      <c r="C123" s="104"/>
    </row>
    <row r="124" customFormat="false" ht="15" hidden="false" customHeight="false" outlineLevel="0" collapsed="false">
      <c r="A124" s="103"/>
      <c r="B124" s="104"/>
      <c r="C124" s="104"/>
    </row>
    <row r="125" customFormat="false" ht="15" hidden="false" customHeight="false" outlineLevel="0" collapsed="false">
      <c r="A125" s="103"/>
      <c r="B125" s="104"/>
      <c r="C125" s="104"/>
    </row>
    <row r="126" customFormat="false" ht="15" hidden="false" customHeight="false" outlineLevel="0" collapsed="false">
      <c r="A126" s="103"/>
      <c r="B126" s="104"/>
      <c r="C126" s="104"/>
    </row>
    <row r="127" customFormat="false" ht="15" hidden="false" customHeight="false" outlineLevel="0" collapsed="false">
      <c r="A127" s="103"/>
      <c r="B127" s="104"/>
      <c r="C127" s="104"/>
    </row>
    <row r="128" customFormat="false" ht="15" hidden="false" customHeight="false" outlineLevel="0" collapsed="false">
      <c r="A128" s="103"/>
      <c r="B128" s="104"/>
      <c r="C128" s="104"/>
    </row>
    <row r="129" customFormat="false" ht="15" hidden="false" customHeight="false" outlineLevel="0" collapsed="false">
      <c r="A129" s="103"/>
      <c r="B129" s="104"/>
      <c r="C129" s="104"/>
    </row>
    <row r="130" customFormat="false" ht="15" hidden="false" customHeight="false" outlineLevel="0" collapsed="false">
      <c r="A130" s="103"/>
      <c r="B130" s="104"/>
      <c r="C130" s="104"/>
    </row>
    <row r="131" customFormat="false" ht="15" hidden="false" customHeight="false" outlineLevel="0" collapsed="false">
      <c r="A131" s="103"/>
      <c r="B131" s="104"/>
      <c r="C131" s="104"/>
    </row>
    <row r="132" customFormat="false" ht="15" hidden="false" customHeight="false" outlineLevel="0" collapsed="false">
      <c r="A132" s="103"/>
      <c r="B132" s="104"/>
      <c r="C132" s="104"/>
    </row>
    <row r="133" customFormat="false" ht="15" hidden="false" customHeight="false" outlineLevel="0" collapsed="false">
      <c r="A133" s="103"/>
      <c r="B133" s="104"/>
      <c r="C133" s="104"/>
    </row>
    <row r="134" customFormat="false" ht="15" hidden="false" customHeight="false" outlineLevel="0" collapsed="false">
      <c r="A134" s="103"/>
      <c r="B134" s="104"/>
      <c r="C134" s="104"/>
    </row>
    <row r="135" customFormat="false" ht="15" hidden="false" customHeight="false" outlineLevel="0" collapsed="false">
      <c r="A135" s="103"/>
      <c r="B135" s="104"/>
      <c r="C135" s="104"/>
    </row>
    <row r="136" customFormat="false" ht="15" hidden="false" customHeight="false" outlineLevel="0" collapsed="false">
      <c r="A136" s="103"/>
      <c r="B136" s="104"/>
      <c r="C136" s="104"/>
    </row>
    <row r="137" customFormat="false" ht="15" hidden="false" customHeight="false" outlineLevel="0" collapsed="false">
      <c r="A137" s="103"/>
      <c r="B137" s="104"/>
      <c r="C137" s="104"/>
    </row>
    <row r="138" customFormat="false" ht="15" hidden="false" customHeight="false" outlineLevel="0" collapsed="false">
      <c r="A138" s="103"/>
      <c r="B138" s="104"/>
      <c r="C138" s="104"/>
    </row>
    <row r="139" customFormat="false" ht="15" hidden="false" customHeight="false" outlineLevel="0" collapsed="false">
      <c r="A139" s="103"/>
      <c r="B139" s="104"/>
      <c r="C139" s="104"/>
    </row>
    <row r="140" customFormat="false" ht="15" hidden="false" customHeight="false" outlineLevel="0" collapsed="false">
      <c r="A140" s="103"/>
      <c r="B140" s="104"/>
      <c r="C140" s="104"/>
    </row>
    <row r="141" customFormat="false" ht="15" hidden="false" customHeight="false" outlineLevel="0" collapsed="false">
      <c r="A141" s="103"/>
      <c r="B141" s="104"/>
      <c r="C141" s="104"/>
    </row>
    <row r="142" customFormat="false" ht="15" hidden="false" customHeight="false" outlineLevel="0" collapsed="false">
      <c r="A142" s="103"/>
      <c r="B142" s="104"/>
      <c r="C142" s="104"/>
    </row>
    <row r="143" customFormat="false" ht="15" hidden="false" customHeight="false" outlineLevel="0" collapsed="false">
      <c r="A143" s="103"/>
      <c r="B143" s="104"/>
      <c r="C143" s="104"/>
    </row>
    <row r="144" customFormat="false" ht="15" hidden="false" customHeight="false" outlineLevel="0" collapsed="false">
      <c r="A144" s="103"/>
      <c r="B144" s="104"/>
      <c r="C144" s="104"/>
    </row>
    <row r="145" customFormat="false" ht="15" hidden="false" customHeight="false" outlineLevel="0" collapsed="false">
      <c r="A145" s="103"/>
      <c r="B145" s="104"/>
      <c r="C145" s="104"/>
    </row>
    <row r="146" customFormat="false" ht="15" hidden="false" customHeight="false" outlineLevel="0" collapsed="false">
      <c r="A146" s="103"/>
      <c r="B146" s="104"/>
      <c r="C146" s="104"/>
    </row>
    <row r="147" customFormat="false" ht="15" hidden="false" customHeight="false" outlineLevel="0" collapsed="false">
      <c r="A147" s="103"/>
      <c r="B147" s="104"/>
      <c r="C147" s="104"/>
    </row>
    <row r="148" customFormat="false" ht="15" hidden="false" customHeight="false" outlineLevel="0" collapsed="false">
      <c r="A148" s="103"/>
      <c r="B148" s="104"/>
      <c r="C148" s="104"/>
    </row>
    <row r="149" customFormat="false" ht="15" hidden="false" customHeight="false" outlineLevel="0" collapsed="false">
      <c r="A149" s="103"/>
      <c r="B149" s="104"/>
      <c r="C149" s="104"/>
    </row>
    <row r="150" customFormat="false" ht="15" hidden="false" customHeight="false" outlineLevel="0" collapsed="false">
      <c r="A150" s="103"/>
      <c r="B150" s="104"/>
      <c r="C150" s="104"/>
    </row>
    <row r="151" customFormat="false" ht="15" hidden="false" customHeight="false" outlineLevel="0" collapsed="false">
      <c r="A151" s="103"/>
      <c r="B151" s="104"/>
      <c r="C151" s="104"/>
    </row>
    <row r="152" customFormat="false" ht="15" hidden="false" customHeight="false" outlineLevel="0" collapsed="false">
      <c r="A152" s="103"/>
      <c r="B152" s="104"/>
      <c r="C152" s="104"/>
    </row>
    <row r="153" customFormat="false" ht="15" hidden="false" customHeight="false" outlineLevel="0" collapsed="false">
      <c r="A153" s="103"/>
      <c r="B153" s="104"/>
      <c r="C153" s="104"/>
    </row>
    <row r="154" customFormat="false" ht="15" hidden="false" customHeight="false" outlineLevel="0" collapsed="false">
      <c r="A154" s="103"/>
      <c r="B154" s="104"/>
      <c r="C154" s="104"/>
    </row>
    <row r="155" customFormat="false" ht="15" hidden="false" customHeight="false" outlineLevel="0" collapsed="false">
      <c r="A155" s="103"/>
      <c r="B155" s="104"/>
      <c r="C155" s="104"/>
    </row>
    <row r="156" customFormat="false" ht="15" hidden="false" customHeight="false" outlineLevel="0" collapsed="false">
      <c r="A156" s="103"/>
      <c r="B156" s="104"/>
      <c r="C156" s="104"/>
    </row>
    <row r="157" customFormat="false" ht="15" hidden="false" customHeight="false" outlineLevel="0" collapsed="false">
      <c r="A157" s="103"/>
      <c r="B157" s="104"/>
      <c r="C157" s="104"/>
    </row>
    <row r="158" customFormat="false" ht="15" hidden="false" customHeight="false" outlineLevel="0" collapsed="false">
      <c r="A158" s="103"/>
      <c r="B158" s="104"/>
      <c r="C158" s="104"/>
    </row>
    <row r="159" customFormat="false" ht="15" hidden="false" customHeight="false" outlineLevel="0" collapsed="false">
      <c r="A159" s="103"/>
      <c r="B159" s="104"/>
      <c r="C159" s="104"/>
    </row>
    <row r="160" customFormat="false" ht="15" hidden="false" customHeight="false" outlineLevel="0" collapsed="false">
      <c r="A160" s="103"/>
      <c r="B160" s="104"/>
      <c r="C160" s="104"/>
    </row>
    <row r="161" customFormat="false" ht="15" hidden="false" customHeight="false" outlineLevel="0" collapsed="false">
      <c r="A161" s="103"/>
      <c r="B161" s="104"/>
      <c r="C161" s="104"/>
    </row>
    <row r="162" customFormat="false" ht="15" hidden="false" customHeight="false" outlineLevel="0" collapsed="false">
      <c r="A162" s="103"/>
      <c r="B162" s="104"/>
      <c r="C162" s="104"/>
    </row>
    <row r="163" customFormat="false" ht="15" hidden="false" customHeight="false" outlineLevel="0" collapsed="false">
      <c r="A163" s="103"/>
      <c r="B163" s="104"/>
      <c r="C163" s="104"/>
    </row>
    <row r="164" customFormat="false" ht="15" hidden="false" customHeight="false" outlineLevel="0" collapsed="false">
      <c r="A164" s="103"/>
      <c r="B164" s="104"/>
      <c r="C164" s="104"/>
    </row>
    <row r="165" customFormat="false" ht="15" hidden="false" customHeight="false" outlineLevel="0" collapsed="false">
      <c r="A165" s="103"/>
      <c r="B165" s="104"/>
      <c r="C165" s="104"/>
    </row>
    <row r="166" customFormat="false" ht="15" hidden="false" customHeight="false" outlineLevel="0" collapsed="false">
      <c r="A166" s="103"/>
      <c r="B166" s="104"/>
      <c r="C166" s="104"/>
    </row>
    <row r="167" customFormat="false" ht="15" hidden="false" customHeight="false" outlineLevel="0" collapsed="false">
      <c r="A167" s="103"/>
      <c r="B167" s="104"/>
      <c r="C167" s="104"/>
    </row>
    <row r="168" customFormat="false" ht="15" hidden="false" customHeight="false" outlineLevel="0" collapsed="false">
      <c r="A168" s="103"/>
      <c r="B168" s="104"/>
      <c r="C168" s="104"/>
    </row>
    <row r="169" customFormat="false" ht="15" hidden="false" customHeight="false" outlineLevel="0" collapsed="false">
      <c r="A169" s="103"/>
      <c r="B169" s="104"/>
      <c r="C169" s="104"/>
    </row>
    <row r="170" customFormat="false" ht="15" hidden="false" customHeight="false" outlineLevel="0" collapsed="false">
      <c r="A170" s="103"/>
      <c r="B170" s="104"/>
      <c r="C170" s="104"/>
    </row>
    <row r="171" customFormat="false" ht="15" hidden="false" customHeight="false" outlineLevel="0" collapsed="false">
      <c r="A171" s="103"/>
      <c r="B171" s="104"/>
      <c r="C171" s="104"/>
    </row>
    <row r="172" customFormat="false" ht="15" hidden="false" customHeight="false" outlineLevel="0" collapsed="false">
      <c r="A172" s="103"/>
      <c r="B172" s="104"/>
      <c r="C172" s="104"/>
    </row>
    <row r="173" customFormat="false" ht="15" hidden="false" customHeight="false" outlineLevel="0" collapsed="false">
      <c r="A173" s="103"/>
      <c r="B173" s="104"/>
      <c r="C173" s="104"/>
    </row>
    <row r="174" customFormat="false" ht="15" hidden="false" customHeight="false" outlineLevel="0" collapsed="false">
      <c r="A174" s="103"/>
      <c r="B174" s="104"/>
      <c r="C174" s="104"/>
    </row>
    <row r="175" customFormat="false" ht="15" hidden="false" customHeight="false" outlineLevel="0" collapsed="false">
      <c r="A175" s="103"/>
      <c r="B175" s="104"/>
      <c r="C175" s="104"/>
    </row>
    <row r="176" customFormat="false" ht="15" hidden="false" customHeight="false" outlineLevel="0" collapsed="false">
      <c r="A176" s="103"/>
      <c r="B176" s="104"/>
      <c r="C176" s="104"/>
    </row>
    <row r="177" customFormat="false" ht="15" hidden="false" customHeight="false" outlineLevel="0" collapsed="false">
      <c r="A177" s="103"/>
      <c r="B177" s="104"/>
      <c r="C177" s="104"/>
    </row>
    <row r="178" customFormat="false" ht="15" hidden="false" customHeight="false" outlineLevel="0" collapsed="false">
      <c r="A178" s="103"/>
      <c r="B178" s="104"/>
      <c r="C178" s="104"/>
    </row>
    <row r="179" customFormat="false" ht="15" hidden="false" customHeight="false" outlineLevel="0" collapsed="false">
      <c r="A179" s="103"/>
      <c r="B179" s="104"/>
      <c r="C179" s="104"/>
    </row>
    <row r="180" customFormat="false" ht="15" hidden="false" customHeight="false" outlineLevel="0" collapsed="false">
      <c r="A180" s="103"/>
      <c r="B180" s="104"/>
      <c r="C180" s="104"/>
    </row>
    <row r="181" customFormat="false" ht="15" hidden="false" customHeight="false" outlineLevel="0" collapsed="false">
      <c r="A181" s="103"/>
      <c r="B181" s="104"/>
      <c r="C181" s="104"/>
    </row>
    <row r="182" customFormat="false" ht="15" hidden="false" customHeight="false" outlineLevel="0" collapsed="false">
      <c r="A182" s="103"/>
      <c r="B182" s="104"/>
      <c r="C182" s="104"/>
    </row>
    <row r="183" customFormat="false" ht="15" hidden="false" customHeight="false" outlineLevel="0" collapsed="false">
      <c r="A183" s="103"/>
      <c r="B183" s="104"/>
      <c r="C183" s="104"/>
    </row>
    <row r="184" customFormat="false" ht="15" hidden="false" customHeight="false" outlineLevel="0" collapsed="false">
      <c r="A184" s="103"/>
      <c r="B184" s="104"/>
      <c r="C184" s="104"/>
    </row>
    <row r="185" customFormat="false" ht="15" hidden="false" customHeight="false" outlineLevel="0" collapsed="false">
      <c r="A185" s="103"/>
      <c r="B185" s="104"/>
      <c r="C185" s="104"/>
    </row>
    <row r="186" customFormat="false" ht="15" hidden="false" customHeight="false" outlineLevel="0" collapsed="false">
      <c r="A186" s="103"/>
      <c r="B186" s="104"/>
      <c r="C186" s="104"/>
    </row>
    <row r="187" customFormat="false" ht="15" hidden="false" customHeight="false" outlineLevel="0" collapsed="false">
      <c r="A187" s="103"/>
      <c r="B187" s="104"/>
      <c r="C187" s="104"/>
    </row>
    <row r="188" customFormat="false" ht="15" hidden="false" customHeight="false" outlineLevel="0" collapsed="false">
      <c r="A188" s="103"/>
      <c r="B188" s="104"/>
      <c r="C188" s="104"/>
    </row>
    <row r="189" customFormat="false" ht="15" hidden="false" customHeight="false" outlineLevel="0" collapsed="false">
      <c r="A189" s="103"/>
      <c r="B189" s="104"/>
      <c r="C189" s="104"/>
    </row>
    <row r="190" customFormat="false" ht="15" hidden="false" customHeight="false" outlineLevel="0" collapsed="false">
      <c r="A190" s="103"/>
      <c r="B190" s="104"/>
      <c r="C190" s="104"/>
    </row>
    <row r="191" customFormat="false" ht="15" hidden="false" customHeight="false" outlineLevel="0" collapsed="false">
      <c r="A191" s="103"/>
      <c r="B191" s="104"/>
      <c r="C191" s="104"/>
    </row>
    <row r="192" customFormat="false" ht="15" hidden="false" customHeight="false" outlineLevel="0" collapsed="false">
      <c r="A192" s="103"/>
      <c r="B192" s="104"/>
      <c r="C192" s="104"/>
    </row>
    <row r="193" customFormat="false" ht="15" hidden="false" customHeight="false" outlineLevel="0" collapsed="false">
      <c r="A193" s="103"/>
      <c r="B193" s="104"/>
      <c r="C193" s="104"/>
    </row>
    <row r="194" customFormat="false" ht="15" hidden="false" customHeight="false" outlineLevel="0" collapsed="false">
      <c r="A194" s="103"/>
      <c r="B194" s="104"/>
      <c r="C194" s="104"/>
    </row>
    <row r="195" customFormat="false" ht="15" hidden="false" customHeight="false" outlineLevel="0" collapsed="false">
      <c r="A195" s="103"/>
      <c r="B195" s="104"/>
      <c r="C195" s="104"/>
    </row>
    <row r="196" customFormat="false" ht="15" hidden="false" customHeight="false" outlineLevel="0" collapsed="false">
      <c r="A196" s="103"/>
      <c r="B196" s="104"/>
      <c r="C196" s="104"/>
    </row>
    <row r="197" customFormat="false" ht="15" hidden="false" customHeight="false" outlineLevel="0" collapsed="false">
      <c r="A197" s="103"/>
      <c r="B197" s="104"/>
      <c r="C197" s="104"/>
    </row>
    <row r="198" customFormat="false" ht="15" hidden="false" customHeight="false" outlineLevel="0" collapsed="false">
      <c r="A198" s="103"/>
      <c r="B198" s="104"/>
      <c r="C198" s="104"/>
    </row>
    <row r="199" customFormat="false" ht="15" hidden="false" customHeight="false" outlineLevel="0" collapsed="false">
      <c r="A199" s="103"/>
      <c r="B199" s="104"/>
      <c r="C199" s="104"/>
    </row>
    <row r="200" customFormat="false" ht="15" hidden="false" customHeight="false" outlineLevel="0" collapsed="false">
      <c r="A200" s="103"/>
      <c r="B200" s="104"/>
      <c r="C200" s="104"/>
    </row>
    <row r="201" customFormat="false" ht="15" hidden="false" customHeight="false" outlineLevel="0" collapsed="false">
      <c r="A201" s="103"/>
      <c r="B201" s="104"/>
      <c r="C201" s="104"/>
    </row>
    <row r="202" customFormat="false" ht="15" hidden="false" customHeight="false" outlineLevel="0" collapsed="false">
      <c r="A202" s="103"/>
      <c r="B202" s="104"/>
      <c r="C202" s="104"/>
    </row>
    <row r="203" customFormat="false" ht="15" hidden="false" customHeight="false" outlineLevel="0" collapsed="false">
      <c r="A203" s="103"/>
      <c r="B203" s="104"/>
      <c r="C203" s="104"/>
    </row>
    <row r="204" customFormat="false" ht="15" hidden="false" customHeight="false" outlineLevel="0" collapsed="false">
      <c r="A204" s="103"/>
      <c r="B204" s="104"/>
      <c r="C204" s="104"/>
    </row>
    <row r="205" customFormat="false" ht="15" hidden="false" customHeight="false" outlineLevel="0" collapsed="false">
      <c r="A205" s="103"/>
      <c r="B205" s="104"/>
      <c r="C205" s="104"/>
    </row>
    <row r="206" customFormat="false" ht="15" hidden="false" customHeight="false" outlineLevel="0" collapsed="false">
      <c r="A206" s="103"/>
      <c r="B206" s="104"/>
      <c r="C206" s="104"/>
    </row>
    <row r="207" customFormat="false" ht="15" hidden="false" customHeight="false" outlineLevel="0" collapsed="false">
      <c r="A207" s="103"/>
      <c r="B207" s="104"/>
      <c r="C207" s="104"/>
    </row>
    <row r="208" customFormat="false" ht="15" hidden="false" customHeight="false" outlineLevel="0" collapsed="false">
      <c r="A208" s="103"/>
      <c r="B208" s="104"/>
      <c r="C208" s="104"/>
    </row>
    <row r="209" customFormat="false" ht="15" hidden="false" customHeight="false" outlineLevel="0" collapsed="false">
      <c r="A209" s="103"/>
      <c r="B209" s="104"/>
      <c r="C209" s="104"/>
    </row>
    <row r="210" customFormat="false" ht="15" hidden="false" customHeight="false" outlineLevel="0" collapsed="false">
      <c r="A210" s="103"/>
      <c r="B210" s="104"/>
      <c r="C210" s="104"/>
    </row>
    <row r="211" customFormat="false" ht="15" hidden="false" customHeight="false" outlineLevel="0" collapsed="false">
      <c r="A211" s="103"/>
      <c r="B211" s="104"/>
      <c r="C211" s="104"/>
    </row>
    <row r="212" customFormat="false" ht="15" hidden="false" customHeight="false" outlineLevel="0" collapsed="false">
      <c r="A212" s="103"/>
      <c r="B212" s="104"/>
      <c r="C212" s="104"/>
    </row>
    <row r="213" customFormat="false" ht="15" hidden="false" customHeight="false" outlineLevel="0" collapsed="false">
      <c r="A213" s="103"/>
      <c r="B213" s="104"/>
      <c r="C213" s="104"/>
    </row>
    <row r="214" customFormat="false" ht="15" hidden="false" customHeight="false" outlineLevel="0" collapsed="false">
      <c r="A214" s="103"/>
      <c r="B214" s="104"/>
      <c r="C214" s="104"/>
    </row>
    <row r="215" customFormat="false" ht="15" hidden="false" customHeight="false" outlineLevel="0" collapsed="false">
      <c r="A215" s="103"/>
      <c r="B215" s="104"/>
      <c r="C215" s="104"/>
    </row>
    <row r="216" customFormat="false" ht="15" hidden="false" customHeight="false" outlineLevel="0" collapsed="false">
      <c r="A216" s="103"/>
      <c r="B216" s="104"/>
      <c r="C216" s="104"/>
    </row>
    <row r="217" customFormat="false" ht="15" hidden="false" customHeight="false" outlineLevel="0" collapsed="false">
      <c r="A217" s="103"/>
      <c r="B217" s="104"/>
      <c r="C217" s="104"/>
    </row>
    <row r="218" customFormat="false" ht="15" hidden="false" customHeight="false" outlineLevel="0" collapsed="false">
      <c r="A218" s="103"/>
      <c r="B218" s="104"/>
      <c r="C218" s="104"/>
    </row>
    <row r="219" customFormat="false" ht="15" hidden="false" customHeight="false" outlineLevel="0" collapsed="false">
      <c r="A219" s="103"/>
      <c r="B219" s="104"/>
      <c r="C219" s="104"/>
    </row>
    <row r="220" customFormat="false" ht="15" hidden="false" customHeight="false" outlineLevel="0" collapsed="false">
      <c r="A220" s="103"/>
      <c r="B220" s="104"/>
      <c r="C220" s="104"/>
    </row>
    <row r="221" customFormat="false" ht="15" hidden="false" customHeight="false" outlineLevel="0" collapsed="false">
      <c r="A221" s="103"/>
      <c r="B221" s="104"/>
      <c r="C221" s="104"/>
    </row>
    <row r="222" customFormat="false" ht="15" hidden="false" customHeight="false" outlineLevel="0" collapsed="false">
      <c r="A222" s="103"/>
      <c r="B222" s="104"/>
      <c r="C222" s="104"/>
    </row>
    <row r="223" customFormat="false" ht="15" hidden="false" customHeight="false" outlineLevel="0" collapsed="false">
      <c r="A223" s="103"/>
      <c r="B223" s="104"/>
      <c r="C223" s="104"/>
    </row>
    <row r="224" customFormat="false" ht="15" hidden="false" customHeight="false" outlineLevel="0" collapsed="false">
      <c r="A224" s="103"/>
      <c r="B224" s="104"/>
      <c r="C224" s="104"/>
    </row>
    <row r="225" customFormat="false" ht="15" hidden="false" customHeight="false" outlineLevel="0" collapsed="false">
      <c r="A225" s="103"/>
      <c r="B225" s="104"/>
      <c r="C225" s="104"/>
    </row>
    <row r="226" customFormat="false" ht="15" hidden="false" customHeight="false" outlineLevel="0" collapsed="false">
      <c r="A226" s="103"/>
      <c r="B226" s="104"/>
      <c r="C226" s="104"/>
    </row>
    <row r="227" customFormat="false" ht="15" hidden="false" customHeight="false" outlineLevel="0" collapsed="false">
      <c r="A227" s="103"/>
      <c r="B227" s="104"/>
      <c r="C227" s="104"/>
    </row>
    <row r="228" customFormat="false" ht="15" hidden="false" customHeight="false" outlineLevel="0" collapsed="false">
      <c r="A228" s="103"/>
      <c r="B228" s="104"/>
      <c r="C228" s="104"/>
    </row>
    <row r="229" customFormat="false" ht="15" hidden="false" customHeight="false" outlineLevel="0" collapsed="false">
      <c r="A229" s="103"/>
      <c r="B229" s="104"/>
      <c r="C229" s="104"/>
    </row>
    <row r="230" customFormat="false" ht="15" hidden="false" customHeight="false" outlineLevel="0" collapsed="false">
      <c r="A230" s="103"/>
      <c r="B230" s="104"/>
      <c r="C230" s="104"/>
    </row>
    <row r="231" customFormat="false" ht="15" hidden="false" customHeight="false" outlineLevel="0" collapsed="false">
      <c r="A231" s="103"/>
      <c r="B231" s="104"/>
      <c r="C231" s="104"/>
    </row>
    <row r="232" customFormat="false" ht="15" hidden="false" customHeight="false" outlineLevel="0" collapsed="false">
      <c r="A232" s="103"/>
      <c r="B232" s="104"/>
      <c r="C232" s="104"/>
    </row>
    <row r="233" customFormat="false" ht="15" hidden="false" customHeight="false" outlineLevel="0" collapsed="false">
      <c r="A233" s="103"/>
      <c r="B233" s="104"/>
      <c r="C233" s="104"/>
    </row>
    <row r="234" customFormat="false" ht="15" hidden="false" customHeight="false" outlineLevel="0" collapsed="false">
      <c r="A234" s="103"/>
      <c r="B234" s="104"/>
      <c r="C234" s="104"/>
    </row>
    <row r="235" customFormat="false" ht="15" hidden="false" customHeight="false" outlineLevel="0" collapsed="false">
      <c r="A235" s="103"/>
      <c r="B235" s="104"/>
      <c r="C235" s="104"/>
    </row>
    <row r="236" customFormat="false" ht="15" hidden="false" customHeight="false" outlineLevel="0" collapsed="false">
      <c r="A236" s="103"/>
      <c r="B236" s="104"/>
      <c r="C236" s="104"/>
    </row>
    <row r="237" customFormat="false" ht="15" hidden="false" customHeight="false" outlineLevel="0" collapsed="false">
      <c r="A237" s="103"/>
      <c r="B237" s="104"/>
      <c r="C237" s="104"/>
    </row>
    <row r="238" customFormat="false" ht="15" hidden="false" customHeight="false" outlineLevel="0" collapsed="false">
      <c r="A238" s="103"/>
      <c r="B238" s="104"/>
      <c r="C238" s="104"/>
    </row>
    <row r="239" customFormat="false" ht="15" hidden="false" customHeight="false" outlineLevel="0" collapsed="false">
      <c r="A239" s="103"/>
      <c r="B239" s="104"/>
      <c r="C239" s="104"/>
    </row>
    <row r="240" customFormat="false" ht="15" hidden="false" customHeight="false" outlineLevel="0" collapsed="false">
      <c r="A240" s="103"/>
      <c r="B240" s="104"/>
      <c r="C240" s="104"/>
    </row>
    <row r="241" customFormat="false" ht="15" hidden="false" customHeight="false" outlineLevel="0" collapsed="false">
      <c r="A241" s="103"/>
      <c r="B241" s="104"/>
      <c r="C241" s="104"/>
    </row>
    <row r="242" customFormat="false" ht="15" hidden="false" customHeight="false" outlineLevel="0" collapsed="false">
      <c r="A242" s="103"/>
      <c r="B242" s="104"/>
      <c r="C242" s="104"/>
    </row>
    <row r="243" customFormat="false" ht="15" hidden="false" customHeight="false" outlineLevel="0" collapsed="false">
      <c r="A243" s="103"/>
      <c r="B243" s="104"/>
      <c r="C243" s="104"/>
    </row>
    <row r="244" customFormat="false" ht="15" hidden="false" customHeight="false" outlineLevel="0" collapsed="false">
      <c r="A244" s="103"/>
      <c r="B244" s="104"/>
      <c r="C244" s="104"/>
    </row>
    <row r="245" customFormat="false" ht="15" hidden="false" customHeight="false" outlineLevel="0" collapsed="false">
      <c r="A245" s="103"/>
      <c r="B245" s="104"/>
      <c r="C245" s="104"/>
    </row>
    <row r="246" customFormat="false" ht="15" hidden="false" customHeight="false" outlineLevel="0" collapsed="false">
      <c r="A246" s="103"/>
      <c r="B246" s="104"/>
      <c r="C246" s="104"/>
    </row>
    <row r="247" customFormat="false" ht="15" hidden="false" customHeight="false" outlineLevel="0" collapsed="false">
      <c r="A247" s="103"/>
      <c r="B247" s="104"/>
      <c r="C247" s="104"/>
    </row>
    <row r="248" customFormat="false" ht="15" hidden="false" customHeight="false" outlineLevel="0" collapsed="false">
      <c r="A248" s="103"/>
      <c r="B248" s="104"/>
      <c r="C248" s="104"/>
    </row>
    <row r="249" customFormat="false" ht="15" hidden="false" customHeight="false" outlineLevel="0" collapsed="false">
      <c r="A249" s="103"/>
      <c r="B249" s="104"/>
      <c r="C249" s="104"/>
    </row>
    <row r="250" customFormat="false" ht="15" hidden="false" customHeight="false" outlineLevel="0" collapsed="false">
      <c r="A250" s="103"/>
      <c r="B250" s="104"/>
      <c r="C250" s="104"/>
    </row>
    <row r="251" customFormat="false" ht="15" hidden="false" customHeight="false" outlineLevel="0" collapsed="false">
      <c r="A251" s="103"/>
      <c r="B251" s="104"/>
      <c r="C251" s="104"/>
    </row>
    <row r="252" customFormat="false" ht="15" hidden="false" customHeight="false" outlineLevel="0" collapsed="false">
      <c r="A252" s="103"/>
      <c r="B252" s="104"/>
      <c r="C252" s="104"/>
    </row>
    <row r="253" customFormat="false" ht="15" hidden="false" customHeight="false" outlineLevel="0" collapsed="false">
      <c r="A253" s="103"/>
      <c r="B253" s="104"/>
      <c r="C253" s="104"/>
    </row>
    <row r="254" customFormat="false" ht="15" hidden="false" customHeight="false" outlineLevel="0" collapsed="false">
      <c r="A254" s="103"/>
      <c r="B254" s="104"/>
      <c r="C254" s="104"/>
    </row>
    <row r="255" customFormat="false" ht="15" hidden="false" customHeight="false" outlineLevel="0" collapsed="false">
      <c r="A255" s="103"/>
      <c r="B255" s="104"/>
      <c r="C255" s="104"/>
    </row>
    <row r="256" customFormat="false" ht="15" hidden="false" customHeight="false" outlineLevel="0" collapsed="false">
      <c r="A256" s="103"/>
      <c r="B256" s="104"/>
      <c r="C256" s="104"/>
    </row>
    <row r="257" customFormat="false" ht="15" hidden="false" customHeight="false" outlineLevel="0" collapsed="false">
      <c r="A257" s="103"/>
      <c r="B257" s="104"/>
      <c r="C257" s="104"/>
    </row>
    <row r="258" customFormat="false" ht="15" hidden="false" customHeight="false" outlineLevel="0" collapsed="false">
      <c r="A258" s="103"/>
      <c r="B258" s="104"/>
      <c r="C258" s="104"/>
    </row>
    <row r="259" customFormat="false" ht="15" hidden="false" customHeight="false" outlineLevel="0" collapsed="false">
      <c r="A259" s="103"/>
      <c r="B259" s="104"/>
      <c r="C259" s="104"/>
    </row>
    <row r="260" customFormat="false" ht="15" hidden="false" customHeight="false" outlineLevel="0" collapsed="false">
      <c r="A260" s="103"/>
      <c r="B260" s="104"/>
      <c r="C260" s="104"/>
    </row>
    <row r="261" customFormat="false" ht="15" hidden="false" customHeight="false" outlineLevel="0" collapsed="false">
      <c r="A261" s="103"/>
      <c r="B261" s="104"/>
      <c r="C261" s="104"/>
    </row>
    <row r="262" customFormat="false" ht="15" hidden="false" customHeight="false" outlineLevel="0" collapsed="false">
      <c r="A262" s="103"/>
      <c r="B262" s="104"/>
      <c r="C262" s="104"/>
    </row>
    <row r="263" customFormat="false" ht="15" hidden="false" customHeight="false" outlineLevel="0" collapsed="false">
      <c r="A263" s="103"/>
      <c r="B263" s="104"/>
      <c r="C263" s="104"/>
    </row>
    <row r="264" customFormat="false" ht="15" hidden="false" customHeight="false" outlineLevel="0" collapsed="false">
      <c r="A264" s="103"/>
      <c r="B264" s="104"/>
      <c r="C264" s="104"/>
    </row>
    <row r="265" customFormat="false" ht="15" hidden="false" customHeight="false" outlineLevel="0" collapsed="false">
      <c r="A265" s="103"/>
      <c r="B265" s="104"/>
      <c r="C265" s="104"/>
    </row>
    <row r="266" customFormat="false" ht="15" hidden="false" customHeight="false" outlineLevel="0" collapsed="false">
      <c r="A266" s="103"/>
      <c r="B266" s="104"/>
      <c r="C266" s="104"/>
    </row>
    <row r="267" customFormat="false" ht="15" hidden="false" customHeight="false" outlineLevel="0" collapsed="false">
      <c r="A267" s="103"/>
      <c r="B267" s="104"/>
      <c r="C267" s="104"/>
    </row>
    <row r="268" customFormat="false" ht="15" hidden="false" customHeight="false" outlineLevel="0" collapsed="false">
      <c r="A268" s="103"/>
      <c r="B268" s="104"/>
      <c r="C268" s="104"/>
    </row>
    <row r="269" customFormat="false" ht="15" hidden="false" customHeight="false" outlineLevel="0" collapsed="false">
      <c r="A269" s="103"/>
      <c r="B269" s="104"/>
      <c r="C269" s="104"/>
    </row>
    <row r="270" customFormat="false" ht="15" hidden="false" customHeight="false" outlineLevel="0" collapsed="false">
      <c r="A270" s="103"/>
      <c r="B270" s="104"/>
      <c r="C270" s="104"/>
    </row>
    <row r="271" customFormat="false" ht="15" hidden="false" customHeight="false" outlineLevel="0" collapsed="false">
      <c r="A271" s="103"/>
      <c r="B271" s="104"/>
      <c r="C271" s="104"/>
    </row>
    <row r="272" customFormat="false" ht="15" hidden="false" customHeight="false" outlineLevel="0" collapsed="false">
      <c r="A272" s="103"/>
      <c r="B272" s="104"/>
      <c r="C272" s="104"/>
    </row>
    <row r="273" customFormat="false" ht="15" hidden="false" customHeight="false" outlineLevel="0" collapsed="false">
      <c r="A273" s="103"/>
      <c r="B273" s="104"/>
      <c r="C273" s="104"/>
    </row>
    <row r="274" customFormat="false" ht="15" hidden="false" customHeight="false" outlineLevel="0" collapsed="false">
      <c r="A274" s="103"/>
      <c r="B274" s="104"/>
      <c r="C274" s="104"/>
    </row>
    <row r="275" customFormat="false" ht="15" hidden="false" customHeight="false" outlineLevel="0" collapsed="false">
      <c r="A275" s="103"/>
      <c r="B275" s="104"/>
      <c r="C275" s="104"/>
    </row>
    <row r="276" customFormat="false" ht="15" hidden="false" customHeight="false" outlineLevel="0" collapsed="false">
      <c r="A276" s="103"/>
      <c r="B276" s="104"/>
      <c r="C276" s="104"/>
    </row>
    <row r="277" customFormat="false" ht="15" hidden="false" customHeight="false" outlineLevel="0" collapsed="false">
      <c r="A277" s="103"/>
      <c r="B277" s="104"/>
      <c r="C277" s="104"/>
    </row>
    <row r="278" customFormat="false" ht="15" hidden="false" customHeight="false" outlineLevel="0" collapsed="false">
      <c r="A278" s="103"/>
      <c r="B278" s="104"/>
      <c r="C278" s="104"/>
    </row>
    <row r="279" customFormat="false" ht="15" hidden="false" customHeight="false" outlineLevel="0" collapsed="false">
      <c r="A279" s="103"/>
      <c r="B279" s="104"/>
      <c r="C279" s="104"/>
    </row>
    <row r="280" customFormat="false" ht="15" hidden="false" customHeight="false" outlineLevel="0" collapsed="false">
      <c r="A280" s="103"/>
      <c r="B280" s="104"/>
      <c r="C280" s="104"/>
    </row>
    <row r="281" customFormat="false" ht="15" hidden="false" customHeight="false" outlineLevel="0" collapsed="false">
      <c r="A281" s="103"/>
      <c r="B281" s="104"/>
      <c r="C281" s="104"/>
    </row>
    <row r="282" customFormat="false" ht="15" hidden="false" customHeight="false" outlineLevel="0" collapsed="false">
      <c r="A282" s="103"/>
      <c r="B282" s="104"/>
      <c r="C282" s="104"/>
    </row>
    <row r="283" customFormat="false" ht="15" hidden="false" customHeight="false" outlineLevel="0" collapsed="false">
      <c r="A283" s="103"/>
      <c r="B283" s="104"/>
      <c r="C283" s="104"/>
    </row>
    <row r="284" customFormat="false" ht="15" hidden="false" customHeight="false" outlineLevel="0" collapsed="false">
      <c r="A284" s="103"/>
      <c r="B284" s="104"/>
      <c r="C284" s="104"/>
    </row>
    <row r="285" customFormat="false" ht="15" hidden="false" customHeight="false" outlineLevel="0" collapsed="false">
      <c r="A285" s="103"/>
      <c r="B285" s="104"/>
      <c r="C285" s="104"/>
    </row>
    <row r="286" customFormat="false" ht="15" hidden="false" customHeight="false" outlineLevel="0" collapsed="false">
      <c r="A286" s="103"/>
      <c r="B286" s="104"/>
      <c r="C286" s="104"/>
    </row>
    <row r="287" customFormat="false" ht="15" hidden="false" customHeight="false" outlineLevel="0" collapsed="false">
      <c r="A287" s="103"/>
      <c r="B287" s="104"/>
      <c r="C287" s="104"/>
    </row>
    <row r="288" customFormat="false" ht="15" hidden="false" customHeight="false" outlineLevel="0" collapsed="false">
      <c r="A288" s="103"/>
      <c r="B288" s="104"/>
      <c r="C288" s="104"/>
    </row>
    <row r="289" customFormat="false" ht="15" hidden="false" customHeight="false" outlineLevel="0" collapsed="false">
      <c r="A289" s="103"/>
      <c r="B289" s="104"/>
      <c r="C289" s="104"/>
    </row>
    <row r="290" customFormat="false" ht="15" hidden="false" customHeight="false" outlineLevel="0" collapsed="false">
      <c r="A290" s="103"/>
      <c r="B290" s="104"/>
      <c r="C290" s="104"/>
    </row>
    <row r="291" customFormat="false" ht="15" hidden="false" customHeight="false" outlineLevel="0" collapsed="false">
      <c r="A291" s="103"/>
      <c r="B291" s="104"/>
      <c r="C291" s="104"/>
    </row>
    <row r="292" customFormat="false" ht="15" hidden="false" customHeight="false" outlineLevel="0" collapsed="false">
      <c r="A292" s="103"/>
      <c r="B292" s="104"/>
      <c r="C292" s="104"/>
    </row>
    <row r="293" customFormat="false" ht="15" hidden="false" customHeight="false" outlineLevel="0" collapsed="false">
      <c r="A293" s="103"/>
      <c r="B293" s="104"/>
      <c r="C293" s="104"/>
    </row>
    <row r="294" customFormat="false" ht="15" hidden="false" customHeight="false" outlineLevel="0" collapsed="false">
      <c r="A294" s="103"/>
      <c r="B294" s="104"/>
      <c r="C294" s="104"/>
    </row>
    <row r="295" customFormat="false" ht="15" hidden="false" customHeight="false" outlineLevel="0" collapsed="false">
      <c r="A295" s="103"/>
      <c r="B295" s="104"/>
      <c r="C295" s="104"/>
    </row>
    <row r="296" customFormat="false" ht="15" hidden="false" customHeight="false" outlineLevel="0" collapsed="false">
      <c r="A296" s="103"/>
      <c r="B296" s="104"/>
      <c r="C296" s="104"/>
    </row>
    <row r="297" customFormat="false" ht="15" hidden="false" customHeight="false" outlineLevel="0" collapsed="false">
      <c r="A297" s="103"/>
      <c r="B297" s="104"/>
      <c r="C297" s="104"/>
    </row>
    <row r="298" customFormat="false" ht="15" hidden="false" customHeight="false" outlineLevel="0" collapsed="false">
      <c r="A298" s="103"/>
      <c r="B298" s="104"/>
      <c r="C298" s="104"/>
    </row>
    <row r="299" customFormat="false" ht="15" hidden="false" customHeight="false" outlineLevel="0" collapsed="false">
      <c r="A299" s="103"/>
      <c r="B299" s="104"/>
      <c r="C299" s="104"/>
    </row>
    <row r="300" customFormat="false" ht="15" hidden="false" customHeight="false" outlineLevel="0" collapsed="false">
      <c r="A300" s="103"/>
      <c r="B300" s="104"/>
      <c r="C300" s="104"/>
    </row>
    <row r="301" customFormat="false" ht="15" hidden="false" customHeight="false" outlineLevel="0" collapsed="false">
      <c r="A301" s="103"/>
      <c r="B301" s="104"/>
      <c r="C301" s="104"/>
    </row>
    <row r="302" customFormat="false" ht="15" hidden="false" customHeight="false" outlineLevel="0" collapsed="false">
      <c r="A302" s="103"/>
      <c r="B302" s="104"/>
      <c r="C302" s="104"/>
    </row>
    <row r="303" customFormat="false" ht="15" hidden="false" customHeight="false" outlineLevel="0" collapsed="false">
      <c r="A303" s="103"/>
      <c r="B303" s="104"/>
      <c r="C303" s="104"/>
    </row>
    <row r="304" customFormat="false" ht="15" hidden="false" customHeight="false" outlineLevel="0" collapsed="false">
      <c r="A304" s="103"/>
      <c r="B304" s="104"/>
      <c r="C304" s="104"/>
    </row>
    <row r="305" customFormat="false" ht="15" hidden="false" customHeight="false" outlineLevel="0" collapsed="false">
      <c r="A305" s="103"/>
      <c r="B305" s="104"/>
      <c r="C305" s="104"/>
    </row>
    <row r="306" customFormat="false" ht="15" hidden="false" customHeight="false" outlineLevel="0" collapsed="false">
      <c r="A306" s="103"/>
      <c r="B306" s="104"/>
      <c r="C306" s="104"/>
    </row>
    <row r="307" customFormat="false" ht="15" hidden="false" customHeight="false" outlineLevel="0" collapsed="false">
      <c r="A307" s="103"/>
      <c r="B307" s="104"/>
      <c r="C307" s="104"/>
    </row>
    <row r="308" customFormat="false" ht="15" hidden="false" customHeight="false" outlineLevel="0" collapsed="false">
      <c r="A308" s="103"/>
      <c r="B308" s="104"/>
      <c r="C308" s="104"/>
    </row>
    <row r="309" customFormat="false" ht="15" hidden="false" customHeight="false" outlineLevel="0" collapsed="false">
      <c r="A309" s="103"/>
      <c r="B309" s="104"/>
      <c r="C309" s="104"/>
    </row>
    <row r="310" customFormat="false" ht="15" hidden="false" customHeight="false" outlineLevel="0" collapsed="false">
      <c r="A310" s="103"/>
      <c r="B310" s="104"/>
      <c r="C310" s="104"/>
    </row>
    <row r="311" customFormat="false" ht="15" hidden="false" customHeight="false" outlineLevel="0" collapsed="false">
      <c r="A311" s="103"/>
      <c r="B311" s="104"/>
      <c r="C311" s="104"/>
    </row>
    <row r="312" customFormat="false" ht="15" hidden="false" customHeight="false" outlineLevel="0" collapsed="false">
      <c r="A312" s="103"/>
      <c r="B312" s="104"/>
      <c r="C312" s="104"/>
    </row>
    <row r="313" customFormat="false" ht="15" hidden="false" customHeight="false" outlineLevel="0" collapsed="false">
      <c r="A313" s="103"/>
      <c r="B313" s="104"/>
      <c r="C313" s="104"/>
    </row>
    <row r="314" customFormat="false" ht="15" hidden="false" customHeight="false" outlineLevel="0" collapsed="false">
      <c r="A314" s="103"/>
      <c r="B314" s="104"/>
      <c r="C314" s="104"/>
    </row>
    <row r="315" customFormat="false" ht="15" hidden="false" customHeight="false" outlineLevel="0" collapsed="false">
      <c r="A315" s="103"/>
      <c r="B315" s="104"/>
      <c r="C315" s="104"/>
    </row>
    <row r="316" customFormat="false" ht="15" hidden="false" customHeight="false" outlineLevel="0" collapsed="false">
      <c r="A316" s="103"/>
      <c r="B316" s="104"/>
      <c r="C316" s="104"/>
    </row>
    <row r="317" customFormat="false" ht="15" hidden="false" customHeight="false" outlineLevel="0" collapsed="false">
      <c r="A317" s="103"/>
      <c r="B317" s="104"/>
      <c r="C317" s="104"/>
    </row>
    <row r="318" customFormat="false" ht="15" hidden="false" customHeight="false" outlineLevel="0" collapsed="false">
      <c r="A318" s="103"/>
      <c r="B318" s="104"/>
      <c r="C318" s="104"/>
    </row>
    <row r="319" customFormat="false" ht="15" hidden="false" customHeight="false" outlineLevel="0" collapsed="false">
      <c r="A319" s="103"/>
      <c r="B319" s="104"/>
      <c r="C319" s="104"/>
    </row>
    <row r="320" customFormat="false" ht="15" hidden="false" customHeight="false" outlineLevel="0" collapsed="false">
      <c r="A320" s="103"/>
      <c r="B320" s="104"/>
      <c r="C320" s="104"/>
    </row>
    <row r="321" customFormat="false" ht="15" hidden="false" customHeight="false" outlineLevel="0" collapsed="false">
      <c r="A321" s="103"/>
      <c r="B321" s="104"/>
      <c r="C321" s="104"/>
    </row>
    <row r="322" customFormat="false" ht="15" hidden="false" customHeight="false" outlineLevel="0" collapsed="false">
      <c r="A322" s="103"/>
      <c r="B322" s="104"/>
      <c r="C322" s="104"/>
    </row>
    <row r="323" customFormat="false" ht="15" hidden="false" customHeight="false" outlineLevel="0" collapsed="false">
      <c r="A323" s="103"/>
      <c r="B323" s="104"/>
      <c r="C323" s="104"/>
    </row>
    <row r="324" customFormat="false" ht="15" hidden="false" customHeight="false" outlineLevel="0" collapsed="false">
      <c r="A324" s="103"/>
      <c r="B324" s="104"/>
      <c r="C324" s="104"/>
    </row>
    <row r="325" customFormat="false" ht="15" hidden="false" customHeight="false" outlineLevel="0" collapsed="false">
      <c r="A325" s="103"/>
      <c r="B325" s="104"/>
      <c r="C325" s="104"/>
    </row>
    <row r="326" customFormat="false" ht="15" hidden="false" customHeight="false" outlineLevel="0" collapsed="false">
      <c r="A326" s="103"/>
      <c r="B326" s="104"/>
      <c r="C326" s="104"/>
    </row>
    <row r="327" customFormat="false" ht="15" hidden="false" customHeight="false" outlineLevel="0" collapsed="false">
      <c r="A327" s="103"/>
      <c r="B327" s="104"/>
      <c r="C327" s="104"/>
    </row>
    <row r="328" customFormat="false" ht="15" hidden="false" customHeight="false" outlineLevel="0" collapsed="false">
      <c r="A328" s="103"/>
      <c r="B328" s="104"/>
      <c r="C328" s="104"/>
    </row>
    <row r="329" customFormat="false" ht="15" hidden="false" customHeight="false" outlineLevel="0" collapsed="false">
      <c r="A329" s="103"/>
      <c r="B329" s="104"/>
      <c r="C329" s="104"/>
    </row>
    <row r="330" customFormat="false" ht="15" hidden="false" customHeight="false" outlineLevel="0" collapsed="false">
      <c r="A330" s="103"/>
      <c r="B330" s="104"/>
      <c r="C330" s="104"/>
    </row>
    <row r="331" customFormat="false" ht="15" hidden="false" customHeight="false" outlineLevel="0" collapsed="false">
      <c r="A331" s="103"/>
      <c r="B331" s="104"/>
      <c r="C331" s="104"/>
    </row>
    <row r="332" customFormat="false" ht="15" hidden="false" customHeight="false" outlineLevel="0" collapsed="false">
      <c r="A332" s="103"/>
      <c r="B332" s="104"/>
      <c r="C332" s="104"/>
    </row>
    <row r="333" customFormat="false" ht="15" hidden="false" customHeight="false" outlineLevel="0" collapsed="false">
      <c r="A333" s="103"/>
      <c r="B333" s="104"/>
      <c r="C333" s="104"/>
    </row>
    <row r="334" customFormat="false" ht="15" hidden="false" customHeight="false" outlineLevel="0" collapsed="false">
      <c r="A334" s="103"/>
      <c r="B334" s="104"/>
      <c r="C334" s="104"/>
    </row>
    <row r="335" customFormat="false" ht="15" hidden="false" customHeight="false" outlineLevel="0" collapsed="false">
      <c r="A335" s="103"/>
      <c r="B335" s="104"/>
      <c r="C335" s="104"/>
    </row>
    <row r="336" customFormat="false" ht="15" hidden="false" customHeight="false" outlineLevel="0" collapsed="false">
      <c r="A336" s="103"/>
      <c r="B336" s="104"/>
      <c r="C336" s="104"/>
    </row>
    <row r="337" customFormat="false" ht="15" hidden="false" customHeight="false" outlineLevel="0" collapsed="false">
      <c r="A337" s="103"/>
      <c r="B337" s="104"/>
      <c r="C337" s="104"/>
    </row>
    <row r="338" customFormat="false" ht="15" hidden="false" customHeight="false" outlineLevel="0" collapsed="false">
      <c r="A338" s="103"/>
      <c r="B338" s="104"/>
      <c r="C338" s="104"/>
    </row>
    <row r="339" customFormat="false" ht="15" hidden="false" customHeight="false" outlineLevel="0" collapsed="false">
      <c r="A339" s="103"/>
      <c r="B339" s="104"/>
      <c r="C339" s="104"/>
    </row>
    <row r="340" customFormat="false" ht="15" hidden="false" customHeight="false" outlineLevel="0" collapsed="false">
      <c r="A340" s="103"/>
      <c r="B340" s="104"/>
      <c r="C340" s="104"/>
    </row>
    <row r="341" customFormat="false" ht="15" hidden="false" customHeight="false" outlineLevel="0" collapsed="false">
      <c r="A341" s="103"/>
      <c r="B341" s="104"/>
      <c r="C341" s="104"/>
    </row>
    <row r="342" customFormat="false" ht="15" hidden="false" customHeight="false" outlineLevel="0" collapsed="false">
      <c r="A342" s="103"/>
      <c r="B342" s="104"/>
      <c r="C342" s="104"/>
    </row>
    <row r="343" customFormat="false" ht="15" hidden="false" customHeight="false" outlineLevel="0" collapsed="false">
      <c r="A343" s="103"/>
      <c r="B343" s="104"/>
      <c r="C343" s="104"/>
    </row>
    <row r="344" customFormat="false" ht="15" hidden="false" customHeight="false" outlineLevel="0" collapsed="false">
      <c r="A344" s="103"/>
      <c r="B344" s="104"/>
      <c r="C344" s="104"/>
    </row>
    <row r="345" customFormat="false" ht="15" hidden="false" customHeight="false" outlineLevel="0" collapsed="false">
      <c r="A345" s="103"/>
      <c r="B345" s="104"/>
      <c r="C345" s="104"/>
    </row>
    <row r="346" customFormat="false" ht="15" hidden="false" customHeight="false" outlineLevel="0" collapsed="false">
      <c r="A346" s="103"/>
      <c r="B346" s="104"/>
      <c r="C346" s="104"/>
    </row>
    <row r="347" customFormat="false" ht="15" hidden="false" customHeight="false" outlineLevel="0" collapsed="false">
      <c r="A347" s="103"/>
      <c r="B347" s="104"/>
      <c r="C347" s="104"/>
    </row>
    <row r="348" customFormat="false" ht="15" hidden="false" customHeight="false" outlineLevel="0" collapsed="false">
      <c r="A348" s="103"/>
      <c r="B348" s="104"/>
      <c r="C348" s="104"/>
    </row>
    <row r="349" customFormat="false" ht="15" hidden="false" customHeight="false" outlineLevel="0" collapsed="false">
      <c r="A349" s="103"/>
      <c r="B349" s="104"/>
      <c r="C349" s="104"/>
    </row>
    <row r="350" customFormat="false" ht="15" hidden="false" customHeight="false" outlineLevel="0" collapsed="false">
      <c r="A350" s="103"/>
      <c r="B350" s="104"/>
      <c r="C350" s="104"/>
    </row>
    <row r="351" customFormat="false" ht="15" hidden="false" customHeight="false" outlineLevel="0" collapsed="false">
      <c r="A351" s="103"/>
      <c r="B351" s="104"/>
      <c r="C351" s="104"/>
    </row>
    <row r="352" customFormat="false" ht="15" hidden="false" customHeight="false" outlineLevel="0" collapsed="false">
      <c r="A352" s="103"/>
      <c r="B352" s="104"/>
      <c r="C352" s="104"/>
    </row>
    <row r="353" customFormat="false" ht="15" hidden="false" customHeight="false" outlineLevel="0" collapsed="false">
      <c r="A353" s="103"/>
      <c r="B353" s="104"/>
      <c r="C353" s="104"/>
    </row>
    <row r="354" customFormat="false" ht="15" hidden="false" customHeight="false" outlineLevel="0" collapsed="false">
      <c r="A354" s="103"/>
      <c r="B354" s="104"/>
      <c r="C354" s="104"/>
    </row>
    <row r="355" customFormat="false" ht="15" hidden="false" customHeight="false" outlineLevel="0" collapsed="false">
      <c r="A355" s="103"/>
      <c r="B355" s="104"/>
      <c r="C355" s="104"/>
    </row>
    <row r="356" customFormat="false" ht="15" hidden="false" customHeight="false" outlineLevel="0" collapsed="false">
      <c r="A356" s="103"/>
      <c r="B356" s="104"/>
      <c r="C356" s="104"/>
    </row>
    <row r="357" customFormat="false" ht="15" hidden="false" customHeight="false" outlineLevel="0" collapsed="false">
      <c r="A357" s="103"/>
      <c r="B357" s="104"/>
      <c r="C357" s="104"/>
    </row>
    <row r="358" customFormat="false" ht="15" hidden="false" customHeight="false" outlineLevel="0" collapsed="false">
      <c r="A358" s="103"/>
      <c r="B358" s="104"/>
      <c r="C358" s="104"/>
    </row>
    <row r="359" customFormat="false" ht="15" hidden="false" customHeight="false" outlineLevel="0" collapsed="false">
      <c r="A359" s="103"/>
      <c r="B359" s="104"/>
      <c r="C359" s="104"/>
    </row>
    <row r="360" customFormat="false" ht="15" hidden="false" customHeight="false" outlineLevel="0" collapsed="false">
      <c r="A360" s="103"/>
      <c r="B360" s="104"/>
      <c r="C360" s="104"/>
    </row>
    <row r="361" customFormat="false" ht="15" hidden="false" customHeight="false" outlineLevel="0" collapsed="false">
      <c r="A361" s="103"/>
      <c r="B361" s="104"/>
      <c r="C361" s="104"/>
    </row>
    <row r="362" customFormat="false" ht="15" hidden="false" customHeight="false" outlineLevel="0" collapsed="false">
      <c r="A362" s="103"/>
      <c r="B362" s="104"/>
      <c r="C362" s="104"/>
    </row>
    <row r="363" customFormat="false" ht="15" hidden="false" customHeight="false" outlineLevel="0" collapsed="false">
      <c r="A363" s="103"/>
      <c r="B363" s="104"/>
      <c r="C363" s="104"/>
    </row>
    <row r="364" customFormat="false" ht="15" hidden="false" customHeight="false" outlineLevel="0" collapsed="false">
      <c r="A364" s="103"/>
      <c r="B364" s="104"/>
      <c r="C364" s="104"/>
    </row>
    <row r="365" customFormat="false" ht="15" hidden="false" customHeight="false" outlineLevel="0" collapsed="false">
      <c r="A365" s="103"/>
      <c r="B365" s="104"/>
      <c r="C365" s="104"/>
    </row>
    <row r="366" customFormat="false" ht="15" hidden="false" customHeight="false" outlineLevel="0" collapsed="false">
      <c r="A366" s="103"/>
      <c r="B366" s="104"/>
      <c r="C366" s="104"/>
    </row>
    <row r="367" customFormat="false" ht="15" hidden="false" customHeight="false" outlineLevel="0" collapsed="false">
      <c r="A367" s="103"/>
      <c r="B367" s="104"/>
      <c r="C367" s="104"/>
    </row>
    <row r="368" customFormat="false" ht="15" hidden="false" customHeight="false" outlineLevel="0" collapsed="false">
      <c r="A368" s="103"/>
      <c r="B368" s="104"/>
      <c r="C368" s="104"/>
    </row>
    <row r="369" customFormat="false" ht="15" hidden="false" customHeight="false" outlineLevel="0" collapsed="false">
      <c r="A369" s="103"/>
      <c r="B369" s="104"/>
      <c r="C369" s="104"/>
    </row>
    <row r="370" customFormat="false" ht="15" hidden="false" customHeight="false" outlineLevel="0" collapsed="false">
      <c r="A370" s="103"/>
      <c r="B370" s="104"/>
      <c r="C370" s="104"/>
    </row>
    <row r="371" customFormat="false" ht="15" hidden="false" customHeight="false" outlineLevel="0" collapsed="false">
      <c r="A371" s="103"/>
      <c r="B371" s="104"/>
      <c r="C371" s="104"/>
    </row>
    <row r="372" customFormat="false" ht="15" hidden="false" customHeight="false" outlineLevel="0" collapsed="false">
      <c r="A372" s="103"/>
      <c r="B372" s="104"/>
      <c r="C372" s="104"/>
    </row>
    <row r="373" customFormat="false" ht="15" hidden="false" customHeight="false" outlineLevel="0" collapsed="false">
      <c r="A373" s="103"/>
      <c r="B373" s="104"/>
      <c r="C373" s="104"/>
    </row>
    <row r="374" customFormat="false" ht="15" hidden="false" customHeight="false" outlineLevel="0" collapsed="false">
      <c r="A374" s="103"/>
      <c r="B374" s="104"/>
      <c r="C374" s="104"/>
    </row>
    <row r="375" customFormat="false" ht="15" hidden="false" customHeight="false" outlineLevel="0" collapsed="false">
      <c r="A375" s="103"/>
      <c r="B375" s="104"/>
      <c r="C375" s="104"/>
    </row>
    <row r="376" customFormat="false" ht="15" hidden="false" customHeight="false" outlineLevel="0" collapsed="false">
      <c r="A376" s="103"/>
      <c r="B376" s="104"/>
      <c r="C376" s="104"/>
    </row>
    <row r="377" customFormat="false" ht="15" hidden="false" customHeight="false" outlineLevel="0" collapsed="false">
      <c r="A377" s="103"/>
      <c r="B377" s="104"/>
      <c r="C377" s="104"/>
    </row>
    <row r="378" customFormat="false" ht="15" hidden="false" customHeight="false" outlineLevel="0" collapsed="false">
      <c r="A378" s="103"/>
      <c r="B378" s="104"/>
      <c r="C378" s="104"/>
    </row>
    <row r="379" customFormat="false" ht="15" hidden="false" customHeight="false" outlineLevel="0" collapsed="false">
      <c r="A379" s="103"/>
      <c r="B379" s="104"/>
      <c r="C379" s="104"/>
    </row>
    <row r="380" customFormat="false" ht="15" hidden="false" customHeight="false" outlineLevel="0" collapsed="false">
      <c r="A380" s="103"/>
      <c r="B380" s="104"/>
      <c r="C380" s="104"/>
    </row>
    <row r="381" customFormat="false" ht="15" hidden="false" customHeight="false" outlineLevel="0" collapsed="false">
      <c r="A381" s="103"/>
      <c r="B381" s="104"/>
      <c r="C381" s="104"/>
    </row>
    <row r="382" customFormat="false" ht="15" hidden="false" customHeight="false" outlineLevel="0" collapsed="false">
      <c r="A382" s="103"/>
      <c r="B382" s="104"/>
      <c r="C382" s="104"/>
    </row>
    <row r="383" customFormat="false" ht="15" hidden="false" customHeight="false" outlineLevel="0" collapsed="false">
      <c r="A383" s="103"/>
      <c r="B383" s="104"/>
      <c r="C383" s="104"/>
    </row>
    <row r="384" customFormat="false" ht="15" hidden="false" customHeight="false" outlineLevel="0" collapsed="false">
      <c r="A384" s="103"/>
      <c r="B384" s="104"/>
      <c r="C384" s="104"/>
    </row>
    <row r="385" customFormat="false" ht="15" hidden="false" customHeight="false" outlineLevel="0" collapsed="false">
      <c r="A385" s="103"/>
      <c r="B385" s="104"/>
      <c r="C385" s="104"/>
    </row>
    <row r="386" customFormat="false" ht="15" hidden="false" customHeight="false" outlineLevel="0" collapsed="false">
      <c r="A386" s="103"/>
      <c r="B386" s="104"/>
      <c r="C386" s="104"/>
    </row>
    <row r="387" customFormat="false" ht="15" hidden="false" customHeight="false" outlineLevel="0" collapsed="false">
      <c r="A387" s="103"/>
      <c r="B387" s="104"/>
      <c r="C387" s="104"/>
    </row>
    <row r="388" customFormat="false" ht="15" hidden="false" customHeight="false" outlineLevel="0" collapsed="false">
      <c r="A388" s="103"/>
      <c r="B388" s="104"/>
      <c r="C388" s="104"/>
    </row>
    <row r="389" customFormat="false" ht="15" hidden="false" customHeight="false" outlineLevel="0" collapsed="false">
      <c r="A389" s="103"/>
      <c r="B389" s="104"/>
      <c r="C389" s="104"/>
    </row>
    <row r="390" customFormat="false" ht="15" hidden="false" customHeight="false" outlineLevel="0" collapsed="false">
      <c r="A390" s="103"/>
      <c r="B390" s="104"/>
      <c r="C390" s="104"/>
    </row>
    <row r="391" customFormat="false" ht="15" hidden="false" customHeight="false" outlineLevel="0" collapsed="false">
      <c r="A391" s="103"/>
      <c r="B391" s="104"/>
      <c r="C391" s="104"/>
    </row>
    <row r="392" customFormat="false" ht="15" hidden="false" customHeight="false" outlineLevel="0" collapsed="false">
      <c r="A392" s="103"/>
      <c r="B392" s="104"/>
      <c r="C392" s="104"/>
    </row>
    <row r="393" customFormat="false" ht="15" hidden="false" customHeight="false" outlineLevel="0" collapsed="false">
      <c r="A393" s="103"/>
      <c r="B393" s="104"/>
      <c r="C393" s="104"/>
    </row>
    <row r="394" customFormat="false" ht="15" hidden="false" customHeight="false" outlineLevel="0" collapsed="false">
      <c r="A394" s="103"/>
      <c r="B394" s="104"/>
      <c r="C394" s="104"/>
    </row>
    <row r="395" customFormat="false" ht="15" hidden="false" customHeight="false" outlineLevel="0" collapsed="false">
      <c r="A395" s="103"/>
      <c r="B395" s="104"/>
      <c r="C395" s="104"/>
    </row>
    <row r="396" customFormat="false" ht="15" hidden="false" customHeight="false" outlineLevel="0" collapsed="false">
      <c r="A396" s="103"/>
      <c r="B396" s="104"/>
      <c r="C396" s="104"/>
    </row>
    <row r="397" customFormat="false" ht="15" hidden="false" customHeight="false" outlineLevel="0" collapsed="false">
      <c r="A397" s="103"/>
      <c r="B397" s="104"/>
      <c r="C397" s="104"/>
    </row>
    <row r="398" customFormat="false" ht="15" hidden="false" customHeight="false" outlineLevel="0" collapsed="false">
      <c r="A398" s="103"/>
      <c r="B398" s="104"/>
      <c r="C398" s="104"/>
    </row>
    <row r="399" customFormat="false" ht="15" hidden="false" customHeight="false" outlineLevel="0" collapsed="false">
      <c r="A399" s="103"/>
      <c r="B399" s="104"/>
      <c r="C399" s="104"/>
    </row>
    <row r="400" customFormat="false" ht="15" hidden="false" customHeight="false" outlineLevel="0" collapsed="false">
      <c r="A400" s="103"/>
      <c r="B400" s="104"/>
      <c r="C400" s="104"/>
    </row>
    <row r="401" customFormat="false" ht="15" hidden="false" customHeight="false" outlineLevel="0" collapsed="false">
      <c r="A401" s="103"/>
      <c r="B401" s="104"/>
      <c r="C401" s="104"/>
    </row>
    <row r="402" customFormat="false" ht="15" hidden="false" customHeight="false" outlineLevel="0" collapsed="false">
      <c r="A402" s="103"/>
      <c r="B402" s="104"/>
      <c r="C402" s="104"/>
    </row>
    <row r="403" customFormat="false" ht="15" hidden="false" customHeight="false" outlineLevel="0" collapsed="false">
      <c r="A403" s="103"/>
      <c r="B403" s="104"/>
      <c r="C403" s="104"/>
    </row>
    <row r="404" customFormat="false" ht="15" hidden="false" customHeight="false" outlineLevel="0" collapsed="false">
      <c r="A404" s="103"/>
      <c r="B404" s="104"/>
      <c r="C404" s="104"/>
    </row>
    <row r="405" customFormat="false" ht="15" hidden="false" customHeight="false" outlineLevel="0" collapsed="false">
      <c r="A405" s="103"/>
      <c r="B405" s="104"/>
      <c r="C405" s="104"/>
    </row>
    <row r="406" customFormat="false" ht="15" hidden="false" customHeight="false" outlineLevel="0" collapsed="false">
      <c r="A406" s="103"/>
      <c r="B406" s="104"/>
      <c r="C406" s="104"/>
    </row>
    <row r="407" customFormat="false" ht="15" hidden="false" customHeight="false" outlineLevel="0" collapsed="false">
      <c r="A407" s="103"/>
      <c r="B407" s="104"/>
      <c r="C407" s="104"/>
    </row>
    <row r="408" customFormat="false" ht="15" hidden="false" customHeight="false" outlineLevel="0" collapsed="false">
      <c r="A408" s="103"/>
      <c r="B408" s="104"/>
      <c r="C408" s="104"/>
    </row>
    <row r="409" customFormat="false" ht="15" hidden="false" customHeight="false" outlineLevel="0" collapsed="false">
      <c r="A409" s="103"/>
      <c r="B409" s="104"/>
      <c r="C409" s="104"/>
    </row>
    <row r="410" customFormat="false" ht="15" hidden="false" customHeight="false" outlineLevel="0" collapsed="false">
      <c r="A410" s="103"/>
      <c r="B410" s="104"/>
      <c r="C410" s="104"/>
    </row>
    <row r="411" customFormat="false" ht="15" hidden="false" customHeight="false" outlineLevel="0" collapsed="false">
      <c r="A411" s="103"/>
      <c r="B411" s="104"/>
      <c r="C411" s="104"/>
    </row>
    <row r="412" customFormat="false" ht="15" hidden="false" customHeight="false" outlineLevel="0" collapsed="false">
      <c r="A412" s="103"/>
      <c r="B412" s="104"/>
      <c r="C412" s="104"/>
    </row>
    <row r="413" customFormat="false" ht="15" hidden="false" customHeight="false" outlineLevel="0" collapsed="false">
      <c r="A413" s="103"/>
      <c r="B413" s="104"/>
      <c r="C413" s="104"/>
    </row>
    <row r="414" customFormat="false" ht="15" hidden="false" customHeight="false" outlineLevel="0" collapsed="false">
      <c r="A414" s="103"/>
      <c r="B414" s="104"/>
      <c r="C414" s="104"/>
    </row>
    <row r="415" customFormat="false" ht="15" hidden="false" customHeight="false" outlineLevel="0" collapsed="false">
      <c r="A415" s="103"/>
      <c r="B415" s="104"/>
      <c r="C415" s="104"/>
    </row>
    <row r="416" customFormat="false" ht="15" hidden="false" customHeight="false" outlineLevel="0" collapsed="false">
      <c r="A416" s="103"/>
      <c r="B416" s="104"/>
      <c r="C416" s="104"/>
    </row>
    <row r="417" customFormat="false" ht="15" hidden="false" customHeight="false" outlineLevel="0" collapsed="false">
      <c r="A417" s="103"/>
      <c r="B417" s="104"/>
      <c r="C417" s="104"/>
    </row>
    <row r="418" customFormat="false" ht="15" hidden="false" customHeight="false" outlineLevel="0" collapsed="false">
      <c r="A418" s="103"/>
      <c r="B418" s="104"/>
      <c r="C418" s="104"/>
    </row>
    <row r="419" customFormat="false" ht="15" hidden="false" customHeight="false" outlineLevel="0" collapsed="false">
      <c r="A419" s="103"/>
      <c r="B419" s="104"/>
      <c r="C419" s="104"/>
    </row>
    <row r="420" customFormat="false" ht="15" hidden="false" customHeight="false" outlineLevel="0" collapsed="false">
      <c r="A420" s="103"/>
      <c r="B420" s="104"/>
      <c r="C420" s="104"/>
    </row>
    <row r="421" customFormat="false" ht="15" hidden="false" customHeight="false" outlineLevel="0" collapsed="false">
      <c r="A421" s="103"/>
      <c r="B421" s="104"/>
      <c r="C421" s="104"/>
    </row>
    <row r="422" customFormat="false" ht="15" hidden="false" customHeight="false" outlineLevel="0" collapsed="false">
      <c r="A422" s="103"/>
      <c r="B422" s="104"/>
      <c r="C422" s="104"/>
    </row>
    <row r="423" customFormat="false" ht="15" hidden="false" customHeight="false" outlineLevel="0" collapsed="false">
      <c r="A423" s="103"/>
      <c r="B423" s="104"/>
      <c r="C423" s="104"/>
    </row>
    <row r="424" customFormat="false" ht="15" hidden="false" customHeight="false" outlineLevel="0" collapsed="false">
      <c r="A424" s="103"/>
      <c r="B424" s="104"/>
      <c r="C424" s="104"/>
    </row>
    <row r="425" customFormat="false" ht="15" hidden="false" customHeight="false" outlineLevel="0" collapsed="false">
      <c r="A425" s="103"/>
      <c r="B425" s="104"/>
      <c r="C425" s="104"/>
    </row>
    <row r="426" customFormat="false" ht="15" hidden="false" customHeight="false" outlineLevel="0" collapsed="false">
      <c r="A426" s="103"/>
      <c r="B426" s="104"/>
      <c r="C426" s="104"/>
    </row>
    <row r="427" customFormat="false" ht="15" hidden="false" customHeight="false" outlineLevel="0" collapsed="false">
      <c r="A427" s="103"/>
      <c r="B427" s="104"/>
      <c r="C427" s="104"/>
    </row>
    <row r="428" customFormat="false" ht="15" hidden="false" customHeight="false" outlineLevel="0" collapsed="false">
      <c r="A428" s="103"/>
      <c r="B428" s="104"/>
      <c r="C428" s="104"/>
    </row>
    <row r="429" customFormat="false" ht="15" hidden="false" customHeight="false" outlineLevel="0" collapsed="false">
      <c r="A429" s="103"/>
      <c r="B429" s="104"/>
      <c r="C429" s="104"/>
    </row>
    <row r="430" customFormat="false" ht="15" hidden="false" customHeight="false" outlineLevel="0" collapsed="false">
      <c r="A430" s="103"/>
      <c r="B430" s="104"/>
      <c r="C430" s="104"/>
    </row>
    <row r="431" customFormat="false" ht="15" hidden="false" customHeight="false" outlineLevel="0" collapsed="false">
      <c r="A431" s="103"/>
      <c r="B431" s="104"/>
      <c r="C431" s="104"/>
    </row>
    <row r="432" customFormat="false" ht="15" hidden="false" customHeight="false" outlineLevel="0" collapsed="false">
      <c r="A432" s="103"/>
      <c r="B432" s="104"/>
      <c r="C432" s="104"/>
    </row>
    <row r="433" customFormat="false" ht="15" hidden="false" customHeight="false" outlineLevel="0" collapsed="false">
      <c r="A433" s="103"/>
      <c r="B433" s="104"/>
      <c r="C433" s="104"/>
    </row>
    <row r="434" customFormat="false" ht="15" hidden="false" customHeight="false" outlineLevel="0" collapsed="false">
      <c r="A434" s="103"/>
      <c r="B434" s="104"/>
      <c r="C434" s="104"/>
    </row>
    <row r="435" customFormat="false" ht="15" hidden="false" customHeight="false" outlineLevel="0" collapsed="false">
      <c r="A435" s="103"/>
      <c r="B435" s="104"/>
      <c r="C435" s="104"/>
    </row>
    <row r="436" customFormat="false" ht="15" hidden="false" customHeight="false" outlineLevel="0" collapsed="false">
      <c r="A436" s="103"/>
      <c r="B436" s="104"/>
      <c r="C436" s="104"/>
    </row>
    <row r="437" customFormat="false" ht="15" hidden="false" customHeight="false" outlineLevel="0" collapsed="false">
      <c r="A437" s="103"/>
      <c r="B437" s="104"/>
      <c r="C437" s="104"/>
    </row>
    <row r="438" customFormat="false" ht="15" hidden="false" customHeight="false" outlineLevel="0" collapsed="false">
      <c r="A438" s="103"/>
      <c r="B438" s="104"/>
      <c r="C438" s="104"/>
    </row>
    <row r="439" customFormat="false" ht="15" hidden="false" customHeight="false" outlineLevel="0" collapsed="false">
      <c r="A439" s="103"/>
      <c r="B439" s="104"/>
      <c r="C439" s="104"/>
    </row>
    <row r="440" customFormat="false" ht="15" hidden="false" customHeight="false" outlineLevel="0" collapsed="false">
      <c r="A440" s="103"/>
      <c r="B440" s="104"/>
      <c r="C440" s="104"/>
    </row>
    <row r="441" customFormat="false" ht="15" hidden="false" customHeight="false" outlineLevel="0" collapsed="false">
      <c r="A441" s="103"/>
      <c r="B441" s="104"/>
      <c r="C441" s="104"/>
    </row>
    <row r="442" customFormat="false" ht="15" hidden="false" customHeight="false" outlineLevel="0" collapsed="false">
      <c r="A442" s="103"/>
      <c r="B442" s="104"/>
      <c r="C442" s="104"/>
    </row>
    <row r="443" customFormat="false" ht="15" hidden="false" customHeight="false" outlineLevel="0" collapsed="false">
      <c r="A443" s="103"/>
      <c r="B443" s="104"/>
      <c r="C443" s="104"/>
    </row>
    <row r="444" customFormat="false" ht="15" hidden="false" customHeight="false" outlineLevel="0" collapsed="false">
      <c r="A444" s="103"/>
      <c r="B444" s="104"/>
      <c r="C444" s="104"/>
    </row>
    <row r="445" customFormat="false" ht="15" hidden="false" customHeight="false" outlineLevel="0" collapsed="false">
      <c r="A445" s="103"/>
      <c r="B445" s="104"/>
      <c r="C445" s="104"/>
    </row>
    <row r="446" customFormat="false" ht="15" hidden="false" customHeight="false" outlineLevel="0" collapsed="false">
      <c r="A446" s="103"/>
      <c r="B446" s="104"/>
      <c r="C446" s="104"/>
    </row>
    <row r="447" customFormat="false" ht="15" hidden="false" customHeight="false" outlineLevel="0" collapsed="false">
      <c r="A447" s="103"/>
      <c r="B447" s="104"/>
      <c r="C447" s="104"/>
    </row>
    <row r="448" customFormat="false" ht="15" hidden="false" customHeight="false" outlineLevel="0" collapsed="false">
      <c r="A448" s="103"/>
      <c r="B448" s="104"/>
      <c r="C448" s="104"/>
    </row>
    <row r="449" customFormat="false" ht="15" hidden="false" customHeight="false" outlineLevel="0" collapsed="false">
      <c r="A449" s="103"/>
      <c r="B449" s="104"/>
      <c r="C449" s="104"/>
    </row>
    <row r="450" customFormat="false" ht="15" hidden="false" customHeight="false" outlineLevel="0" collapsed="false">
      <c r="A450" s="103"/>
      <c r="B450" s="104"/>
      <c r="C450" s="104"/>
    </row>
    <row r="451" customFormat="false" ht="15" hidden="false" customHeight="false" outlineLevel="0" collapsed="false">
      <c r="A451" s="103"/>
      <c r="B451" s="104"/>
      <c r="C451" s="104"/>
    </row>
    <row r="452" customFormat="false" ht="15" hidden="false" customHeight="false" outlineLevel="0" collapsed="false">
      <c r="A452" s="103"/>
      <c r="B452" s="104"/>
      <c r="C452" s="104"/>
    </row>
    <row r="453" customFormat="false" ht="15" hidden="false" customHeight="false" outlineLevel="0" collapsed="false">
      <c r="A453" s="103"/>
      <c r="B453" s="104"/>
      <c r="C453" s="104"/>
    </row>
    <row r="454" customFormat="false" ht="15" hidden="false" customHeight="false" outlineLevel="0" collapsed="false">
      <c r="A454" s="103"/>
      <c r="B454" s="104"/>
      <c r="C454" s="104"/>
    </row>
    <row r="455" customFormat="false" ht="15" hidden="false" customHeight="false" outlineLevel="0" collapsed="false">
      <c r="A455" s="103"/>
      <c r="B455" s="104"/>
      <c r="C455" s="104"/>
    </row>
    <row r="456" customFormat="false" ht="15" hidden="false" customHeight="false" outlineLevel="0" collapsed="false">
      <c r="A456" s="103"/>
      <c r="B456" s="104"/>
      <c r="C456" s="104"/>
    </row>
    <row r="457" customFormat="false" ht="15" hidden="false" customHeight="false" outlineLevel="0" collapsed="false">
      <c r="A457" s="103"/>
      <c r="B457" s="104"/>
      <c r="C457" s="104"/>
    </row>
    <row r="458" customFormat="false" ht="15" hidden="false" customHeight="false" outlineLevel="0" collapsed="false">
      <c r="A458" s="103"/>
      <c r="B458" s="104"/>
      <c r="C458" s="104"/>
    </row>
    <row r="459" customFormat="false" ht="15" hidden="false" customHeight="false" outlineLevel="0" collapsed="false">
      <c r="A459" s="103"/>
      <c r="B459" s="104"/>
      <c r="C459" s="104"/>
    </row>
    <row r="460" customFormat="false" ht="15" hidden="false" customHeight="false" outlineLevel="0" collapsed="false">
      <c r="A460" s="103"/>
      <c r="B460" s="104"/>
      <c r="C460" s="104"/>
    </row>
    <row r="461" customFormat="false" ht="15" hidden="false" customHeight="false" outlineLevel="0" collapsed="false">
      <c r="A461" s="103"/>
      <c r="B461" s="104"/>
      <c r="C461" s="104"/>
    </row>
    <row r="462" customFormat="false" ht="15" hidden="false" customHeight="false" outlineLevel="0" collapsed="false">
      <c r="A462" s="103"/>
      <c r="B462" s="104"/>
      <c r="C462" s="104"/>
    </row>
    <row r="463" customFormat="false" ht="15" hidden="false" customHeight="false" outlineLevel="0" collapsed="false">
      <c r="A463" s="103"/>
      <c r="B463" s="104"/>
      <c r="C463" s="104"/>
    </row>
    <row r="464" customFormat="false" ht="15" hidden="false" customHeight="false" outlineLevel="0" collapsed="false">
      <c r="A464" s="103"/>
      <c r="B464" s="104"/>
      <c r="C464" s="104"/>
    </row>
    <row r="465" customFormat="false" ht="15" hidden="false" customHeight="false" outlineLevel="0" collapsed="false">
      <c r="A465" s="103"/>
      <c r="B465" s="104"/>
      <c r="C465" s="104"/>
    </row>
    <row r="466" customFormat="false" ht="15" hidden="false" customHeight="false" outlineLevel="0" collapsed="false">
      <c r="A466" s="103"/>
      <c r="B466" s="104"/>
      <c r="C466" s="104"/>
    </row>
    <row r="467" customFormat="false" ht="15" hidden="false" customHeight="false" outlineLevel="0" collapsed="false">
      <c r="A467" s="103"/>
      <c r="B467" s="104"/>
      <c r="C467" s="104"/>
    </row>
    <row r="468" customFormat="false" ht="15" hidden="false" customHeight="false" outlineLevel="0" collapsed="false">
      <c r="A468" s="103"/>
      <c r="B468" s="104"/>
      <c r="C468" s="104"/>
    </row>
    <row r="469" customFormat="false" ht="15" hidden="false" customHeight="false" outlineLevel="0" collapsed="false">
      <c r="A469" s="103"/>
      <c r="B469" s="104"/>
      <c r="C469" s="104"/>
    </row>
    <row r="470" customFormat="false" ht="15" hidden="false" customHeight="false" outlineLevel="0" collapsed="false">
      <c r="A470" s="103"/>
      <c r="B470" s="104"/>
      <c r="C470" s="104"/>
    </row>
    <row r="471" customFormat="false" ht="15" hidden="false" customHeight="false" outlineLevel="0" collapsed="false">
      <c r="A471" s="103"/>
      <c r="B471" s="104"/>
      <c r="C471" s="104"/>
    </row>
    <row r="472" customFormat="false" ht="15" hidden="false" customHeight="false" outlineLevel="0" collapsed="false">
      <c r="A472" s="103"/>
      <c r="B472" s="104"/>
      <c r="C472" s="104"/>
    </row>
    <row r="473" customFormat="false" ht="15" hidden="false" customHeight="false" outlineLevel="0" collapsed="false">
      <c r="A473" s="103"/>
      <c r="B473" s="104"/>
      <c r="C473" s="104"/>
    </row>
    <row r="474" customFormat="false" ht="15" hidden="false" customHeight="false" outlineLevel="0" collapsed="false">
      <c r="A474" s="103"/>
      <c r="B474" s="104"/>
      <c r="C474" s="104"/>
    </row>
    <row r="475" customFormat="false" ht="15" hidden="false" customHeight="false" outlineLevel="0" collapsed="false">
      <c r="A475" s="103"/>
      <c r="B475" s="104"/>
      <c r="C475" s="104"/>
    </row>
    <row r="476" customFormat="false" ht="15" hidden="false" customHeight="false" outlineLevel="0" collapsed="false">
      <c r="A476" s="103"/>
      <c r="B476" s="104"/>
      <c r="C476" s="104"/>
    </row>
    <row r="477" customFormat="false" ht="15" hidden="false" customHeight="false" outlineLevel="0" collapsed="false">
      <c r="A477" s="103"/>
      <c r="B477" s="104"/>
      <c r="C477" s="104"/>
    </row>
    <row r="478" customFormat="false" ht="15" hidden="false" customHeight="false" outlineLevel="0" collapsed="false">
      <c r="A478" s="103"/>
      <c r="B478" s="104"/>
      <c r="C478" s="104"/>
    </row>
    <row r="479" customFormat="false" ht="15" hidden="false" customHeight="false" outlineLevel="0" collapsed="false">
      <c r="A479" s="103"/>
      <c r="B479" s="104"/>
      <c r="C479" s="104"/>
    </row>
    <row r="480" customFormat="false" ht="15" hidden="false" customHeight="false" outlineLevel="0" collapsed="false">
      <c r="A480" s="103"/>
      <c r="B480" s="104"/>
      <c r="C480" s="104"/>
    </row>
    <row r="481" customFormat="false" ht="15" hidden="false" customHeight="false" outlineLevel="0" collapsed="false">
      <c r="A481" s="103"/>
      <c r="B481" s="104"/>
      <c r="C481" s="104"/>
    </row>
    <row r="482" customFormat="false" ht="15" hidden="false" customHeight="false" outlineLevel="0" collapsed="false">
      <c r="A482" s="103"/>
      <c r="B482" s="104"/>
      <c r="C482" s="104"/>
    </row>
    <row r="483" customFormat="false" ht="15" hidden="false" customHeight="false" outlineLevel="0" collapsed="false">
      <c r="A483" s="103"/>
      <c r="B483" s="104"/>
      <c r="C483" s="104"/>
    </row>
    <row r="484" customFormat="false" ht="15" hidden="false" customHeight="false" outlineLevel="0" collapsed="false">
      <c r="A484" s="103"/>
      <c r="B484" s="104"/>
      <c r="C484" s="104"/>
    </row>
    <row r="485" customFormat="false" ht="15" hidden="false" customHeight="false" outlineLevel="0" collapsed="false">
      <c r="A485" s="103"/>
      <c r="B485" s="104"/>
      <c r="C485" s="104"/>
    </row>
    <row r="486" customFormat="false" ht="15" hidden="false" customHeight="false" outlineLevel="0" collapsed="false">
      <c r="A486" s="103"/>
      <c r="B486" s="104"/>
      <c r="C486" s="104"/>
    </row>
    <row r="487" customFormat="false" ht="15" hidden="false" customHeight="false" outlineLevel="0" collapsed="false">
      <c r="A487" s="103"/>
      <c r="B487" s="104"/>
      <c r="C487" s="104"/>
    </row>
    <row r="488" customFormat="false" ht="15" hidden="false" customHeight="false" outlineLevel="0" collapsed="false">
      <c r="A488" s="103"/>
      <c r="B488" s="104"/>
      <c r="C488" s="104"/>
    </row>
    <row r="489" customFormat="false" ht="15" hidden="false" customHeight="false" outlineLevel="0" collapsed="false">
      <c r="A489" s="103"/>
      <c r="B489" s="104"/>
      <c r="C489" s="104"/>
    </row>
    <row r="490" customFormat="false" ht="15" hidden="false" customHeight="false" outlineLevel="0" collapsed="false">
      <c r="A490" s="103"/>
      <c r="B490" s="104"/>
      <c r="C490" s="104"/>
    </row>
    <row r="491" customFormat="false" ht="15" hidden="false" customHeight="false" outlineLevel="0" collapsed="false">
      <c r="A491" s="103"/>
      <c r="B491" s="104"/>
      <c r="C491" s="104"/>
    </row>
    <row r="492" customFormat="false" ht="15" hidden="false" customHeight="false" outlineLevel="0" collapsed="false">
      <c r="A492" s="103"/>
      <c r="B492" s="104"/>
      <c r="C492" s="104"/>
    </row>
    <row r="493" customFormat="false" ht="15" hidden="false" customHeight="false" outlineLevel="0" collapsed="false">
      <c r="A493" s="103"/>
      <c r="B493" s="104"/>
      <c r="C493" s="104"/>
    </row>
    <row r="494" customFormat="false" ht="15" hidden="false" customHeight="false" outlineLevel="0" collapsed="false">
      <c r="A494" s="103"/>
      <c r="B494" s="104"/>
      <c r="C494" s="104"/>
    </row>
    <row r="495" customFormat="false" ht="15" hidden="false" customHeight="false" outlineLevel="0" collapsed="false">
      <c r="A495" s="103"/>
      <c r="B495" s="104"/>
      <c r="C495" s="104"/>
    </row>
    <row r="496" customFormat="false" ht="15" hidden="false" customHeight="false" outlineLevel="0" collapsed="false">
      <c r="A496" s="103"/>
      <c r="B496" s="104"/>
      <c r="C496" s="104"/>
    </row>
    <row r="497" customFormat="false" ht="15" hidden="false" customHeight="false" outlineLevel="0" collapsed="false">
      <c r="A497" s="103"/>
      <c r="B497" s="104"/>
      <c r="C497" s="104"/>
    </row>
    <row r="498" customFormat="false" ht="15" hidden="false" customHeight="false" outlineLevel="0" collapsed="false">
      <c r="A498" s="103"/>
      <c r="B498" s="104"/>
      <c r="C498" s="104"/>
    </row>
    <row r="499" customFormat="false" ht="15" hidden="false" customHeight="false" outlineLevel="0" collapsed="false">
      <c r="A499" s="103"/>
      <c r="B499" s="104"/>
      <c r="C499" s="104"/>
    </row>
    <row r="500" customFormat="false" ht="15" hidden="false" customHeight="false" outlineLevel="0" collapsed="false">
      <c r="A500" s="103"/>
      <c r="B500" s="104"/>
      <c r="C500" s="104"/>
    </row>
    <row r="501" customFormat="false" ht="15" hidden="false" customHeight="false" outlineLevel="0" collapsed="false">
      <c r="A501" s="103"/>
      <c r="B501" s="104"/>
      <c r="C501" s="104"/>
    </row>
    <row r="502" customFormat="false" ht="15" hidden="false" customHeight="false" outlineLevel="0" collapsed="false">
      <c r="A502" s="103"/>
      <c r="B502" s="104"/>
      <c r="C502" s="104"/>
    </row>
    <row r="503" customFormat="false" ht="15" hidden="false" customHeight="false" outlineLevel="0" collapsed="false">
      <c r="A503" s="103"/>
      <c r="B503" s="104"/>
      <c r="C503" s="104"/>
    </row>
    <row r="504" customFormat="false" ht="15" hidden="false" customHeight="false" outlineLevel="0" collapsed="false">
      <c r="A504" s="103"/>
      <c r="B504" s="104"/>
      <c r="C504" s="104"/>
    </row>
    <row r="505" customFormat="false" ht="15" hidden="false" customHeight="false" outlineLevel="0" collapsed="false">
      <c r="A505" s="103"/>
      <c r="B505" s="104"/>
      <c r="C505" s="104"/>
    </row>
    <row r="506" customFormat="false" ht="15" hidden="false" customHeight="false" outlineLevel="0" collapsed="false">
      <c r="A506" s="103"/>
      <c r="B506" s="104"/>
      <c r="C506" s="104"/>
    </row>
    <row r="507" customFormat="false" ht="15" hidden="false" customHeight="false" outlineLevel="0" collapsed="false">
      <c r="A507" s="103"/>
      <c r="B507" s="104"/>
      <c r="C507" s="104"/>
    </row>
    <row r="508" customFormat="false" ht="15" hidden="false" customHeight="false" outlineLevel="0" collapsed="false">
      <c r="A508" s="103"/>
      <c r="B508" s="104"/>
      <c r="C508" s="104"/>
    </row>
    <row r="509" customFormat="false" ht="15" hidden="false" customHeight="false" outlineLevel="0" collapsed="false">
      <c r="A509" s="103"/>
      <c r="B509" s="104"/>
      <c r="C509" s="104"/>
    </row>
    <row r="510" customFormat="false" ht="15" hidden="false" customHeight="false" outlineLevel="0" collapsed="false">
      <c r="A510" s="103"/>
      <c r="B510" s="104"/>
      <c r="C510" s="104"/>
    </row>
    <row r="511" customFormat="false" ht="15" hidden="false" customHeight="false" outlineLevel="0" collapsed="false">
      <c r="A511" s="103"/>
      <c r="B511" s="104"/>
      <c r="C511" s="104"/>
    </row>
    <row r="512" customFormat="false" ht="15" hidden="false" customHeight="false" outlineLevel="0" collapsed="false">
      <c r="A512" s="103"/>
      <c r="B512" s="104"/>
      <c r="C512" s="104"/>
    </row>
    <row r="513" customFormat="false" ht="15" hidden="false" customHeight="false" outlineLevel="0" collapsed="false">
      <c r="A513" s="103"/>
      <c r="B513" s="104"/>
      <c r="C513" s="104"/>
    </row>
    <row r="514" customFormat="false" ht="15" hidden="false" customHeight="false" outlineLevel="0" collapsed="false">
      <c r="A514" s="103"/>
      <c r="B514" s="104"/>
      <c r="C514" s="104"/>
    </row>
    <row r="515" customFormat="false" ht="15" hidden="false" customHeight="false" outlineLevel="0" collapsed="false">
      <c r="A515" s="103"/>
      <c r="B515" s="104"/>
      <c r="C515" s="104"/>
    </row>
    <row r="516" customFormat="false" ht="15" hidden="false" customHeight="false" outlineLevel="0" collapsed="false">
      <c r="A516" s="103"/>
      <c r="B516" s="104"/>
      <c r="C516" s="104"/>
    </row>
    <row r="517" customFormat="false" ht="15" hidden="false" customHeight="false" outlineLevel="0" collapsed="false">
      <c r="A517" s="103"/>
      <c r="B517" s="104"/>
      <c r="C517" s="104"/>
    </row>
    <row r="518" customFormat="false" ht="15" hidden="false" customHeight="false" outlineLevel="0" collapsed="false">
      <c r="A518" s="103"/>
      <c r="B518" s="104"/>
      <c r="C518" s="104"/>
    </row>
    <row r="519" customFormat="false" ht="15" hidden="false" customHeight="false" outlineLevel="0" collapsed="false">
      <c r="A519" s="103"/>
      <c r="B519" s="104"/>
      <c r="C519" s="104"/>
    </row>
    <row r="520" customFormat="false" ht="15" hidden="false" customHeight="false" outlineLevel="0" collapsed="false">
      <c r="A520" s="103"/>
      <c r="B520" s="104"/>
      <c r="C520" s="104"/>
    </row>
    <row r="521" customFormat="false" ht="15" hidden="false" customHeight="false" outlineLevel="0" collapsed="false">
      <c r="A521" s="103"/>
      <c r="B521" s="104"/>
      <c r="C521" s="104"/>
    </row>
    <row r="522" customFormat="false" ht="15" hidden="false" customHeight="false" outlineLevel="0" collapsed="false">
      <c r="A522" s="103"/>
      <c r="B522" s="104"/>
      <c r="C522" s="104"/>
    </row>
    <row r="523" customFormat="false" ht="15" hidden="false" customHeight="false" outlineLevel="0" collapsed="false">
      <c r="A523" s="103"/>
      <c r="B523" s="104"/>
      <c r="C523" s="104"/>
    </row>
    <row r="524" customFormat="false" ht="15" hidden="false" customHeight="false" outlineLevel="0" collapsed="false">
      <c r="A524" s="103"/>
      <c r="B524" s="104"/>
      <c r="C524" s="104"/>
    </row>
    <row r="525" customFormat="false" ht="15" hidden="false" customHeight="false" outlineLevel="0" collapsed="false">
      <c r="A525" s="103"/>
      <c r="B525" s="104"/>
      <c r="C525" s="104"/>
    </row>
    <row r="526" customFormat="false" ht="15" hidden="false" customHeight="false" outlineLevel="0" collapsed="false">
      <c r="A526" s="103"/>
      <c r="B526" s="104"/>
      <c r="C526" s="104"/>
    </row>
    <row r="527" customFormat="false" ht="15" hidden="false" customHeight="false" outlineLevel="0" collapsed="false">
      <c r="A527" s="103"/>
      <c r="B527" s="104"/>
      <c r="C527" s="104"/>
    </row>
    <row r="528" customFormat="false" ht="15" hidden="false" customHeight="false" outlineLevel="0" collapsed="false">
      <c r="A528" s="103"/>
      <c r="B528" s="104"/>
      <c r="C528" s="104"/>
    </row>
    <row r="529" customFormat="false" ht="15" hidden="false" customHeight="false" outlineLevel="0" collapsed="false">
      <c r="A529" s="103"/>
      <c r="B529" s="104"/>
      <c r="C529" s="104"/>
    </row>
    <row r="530" customFormat="false" ht="15" hidden="false" customHeight="false" outlineLevel="0" collapsed="false">
      <c r="A530" s="103"/>
      <c r="B530" s="104"/>
      <c r="C530" s="104"/>
    </row>
    <row r="531" customFormat="false" ht="15" hidden="false" customHeight="false" outlineLevel="0" collapsed="false">
      <c r="A531" s="103"/>
      <c r="B531" s="104"/>
      <c r="C531" s="104"/>
    </row>
    <row r="532" customFormat="false" ht="15" hidden="false" customHeight="false" outlineLevel="0" collapsed="false">
      <c r="A532" s="103"/>
      <c r="B532" s="104"/>
      <c r="C532" s="104"/>
    </row>
    <row r="533" customFormat="false" ht="15" hidden="false" customHeight="false" outlineLevel="0" collapsed="false">
      <c r="A533" s="103"/>
      <c r="B533" s="104"/>
      <c r="C533" s="104"/>
    </row>
    <row r="534" customFormat="false" ht="15" hidden="false" customHeight="false" outlineLevel="0" collapsed="false">
      <c r="A534" s="103"/>
      <c r="B534" s="104"/>
      <c r="C534" s="104"/>
    </row>
    <row r="535" customFormat="false" ht="15" hidden="false" customHeight="false" outlineLevel="0" collapsed="false">
      <c r="A535" s="103"/>
      <c r="B535" s="104"/>
      <c r="C535" s="104"/>
    </row>
    <row r="536" customFormat="false" ht="15" hidden="false" customHeight="false" outlineLevel="0" collapsed="false">
      <c r="A536" s="103"/>
      <c r="B536" s="104"/>
      <c r="C536" s="104"/>
    </row>
    <row r="537" customFormat="false" ht="15" hidden="false" customHeight="false" outlineLevel="0" collapsed="false">
      <c r="A537" s="103"/>
      <c r="B537" s="104"/>
      <c r="C537" s="104"/>
    </row>
    <row r="538" customFormat="false" ht="15" hidden="false" customHeight="false" outlineLevel="0" collapsed="false">
      <c r="A538" s="103"/>
      <c r="B538" s="104"/>
      <c r="C538" s="104"/>
    </row>
    <row r="539" customFormat="false" ht="15" hidden="false" customHeight="false" outlineLevel="0" collapsed="false">
      <c r="A539" s="103"/>
      <c r="B539" s="104"/>
      <c r="C539" s="104"/>
    </row>
    <row r="540" customFormat="false" ht="15" hidden="false" customHeight="false" outlineLevel="0" collapsed="false">
      <c r="A540" s="103"/>
      <c r="B540" s="104"/>
      <c r="C540" s="104"/>
    </row>
    <row r="541" customFormat="false" ht="15" hidden="false" customHeight="false" outlineLevel="0" collapsed="false">
      <c r="A541" s="103"/>
      <c r="B541" s="104"/>
      <c r="C541" s="104"/>
    </row>
    <row r="542" customFormat="false" ht="15" hidden="false" customHeight="false" outlineLevel="0" collapsed="false">
      <c r="A542" s="103"/>
      <c r="B542" s="104"/>
      <c r="C542" s="104"/>
    </row>
    <row r="543" customFormat="false" ht="15" hidden="false" customHeight="false" outlineLevel="0" collapsed="false">
      <c r="A543" s="103"/>
      <c r="B543" s="104"/>
      <c r="C543" s="104"/>
    </row>
    <row r="544" customFormat="false" ht="15" hidden="false" customHeight="false" outlineLevel="0" collapsed="false">
      <c r="A544" s="103"/>
      <c r="B544" s="104"/>
      <c r="C544" s="104"/>
    </row>
    <row r="545" customFormat="false" ht="15" hidden="false" customHeight="false" outlineLevel="0" collapsed="false">
      <c r="A545" s="103"/>
      <c r="B545" s="104"/>
      <c r="C545" s="104"/>
    </row>
    <row r="546" customFormat="false" ht="15" hidden="false" customHeight="false" outlineLevel="0" collapsed="false">
      <c r="A546" s="103"/>
      <c r="B546" s="104"/>
      <c r="C546" s="104"/>
    </row>
    <row r="547" customFormat="false" ht="15" hidden="false" customHeight="false" outlineLevel="0" collapsed="false">
      <c r="A547" s="103"/>
      <c r="B547" s="104"/>
      <c r="C547" s="104"/>
    </row>
    <row r="548" customFormat="false" ht="15" hidden="false" customHeight="false" outlineLevel="0" collapsed="false">
      <c r="A548" s="103"/>
      <c r="B548" s="104"/>
      <c r="C548" s="104"/>
    </row>
    <row r="549" customFormat="false" ht="15" hidden="false" customHeight="false" outlineLevel="0" collapsed="false">
      <c r="A549" s="103"/>
      <c r="B549" s="104"/>
      <c r="C549" s="104"/>
    </row>
    <row r="550" customFormat="false" ht="15" hidden="false" customHeight="false" outlineLevel="0" collapsed="false">
      <c r="A550" s="103"/>
      <c r="B550" s="104"/>
      <c r="C550" s="104"/>
    </row>
    <row r="551" customFormat="false" ht="15" hidden="false" customHeight="false" outlineLevel="0" collapsed="false">
      <c r="A551" s="103"/>
      <c r="B551" s="104"/>
      <c r="C551" s="104"/>
    </row>
    <row r="552" customFormat="false" ht="15" hidden="false" customHeight="false" outlineLevel="0" collapsed="false">
      <c r="A552" s="103"/>
      <c r="B552" s="104"/>
      <c r="C552" s="104"/>
    </row>
    <row r="553" customFormat="false" ht="15" hidden="false" customHeight="false" outlineLevel="0" collapsed="false">
      <c r="A553" s="103"/>
      <c r="B553" s="104"/>
      <c r="C553" s="104"/>
    </row>
    <row r="554" customFormat="false" ht="15" hidden="false" customHeight="false" outlineLevel="0" collapsed="false">
      <c r="A554" s="103"/>
      <c r="B554" s="104"/>
      <c r="C554" s="104"/>
    </row>
    <row r="555" customFormat="false" ht="15" hidden="false" customHeight="false" outlineLevel="0" collapsed="false">
      <c r="A555" s="103"/>
      <c r="B555" s="104"/>
      <c r="C555" s="104"/>
    </row>
    <row r="556" customFormat="false" ht="15" hidden="false" customHeight="false" outlineLevel="0" collapsed="false">
      <c r="A556" s="103"/>
      <c r="B556" s="104"/>
      <c r="C556" s="104"/>
    </row>
    <row r="557" customFormat="false" ht="15" hidden="false" customHeight="false" outlineLevel="0" collapsed="false">
      <c r="A557" s="103"/>
      <c r="B557" s="104"/>
      <c r="C557" s="104"/>
    </row>
    <row r="558" customFormat="false" ht="15" hidden="false" customHeight="false" outlineLevel="0" collapsed="false">
      <c r="A558" s="103"/>
      <c r="B558" s="104"/>
      <c r="C558" s="104"/>
    </row>
    <row r="559" customFormat="false" ht="15" hidden="false" customHeight="false" outlineLevel="0" collapsed="false">
      <c r="A559" s="103"/>
      <c r="B559" s="104"/>
      <c r="C559" s="104"/>
    </row>
    <row r="560" customFormat="false" ht="15" hidden="false" customHeight="false" outlineLevel="0" collapsed="false">
      <c r="A560" s="103"/>
      <c r="B560" s="104"/>
      <c r="C560" s="104"/>
    </row>
    <row r="561" customFormat="false" ht="15" hidden="false" customHeight="false" outlineLevel="0" collapsed="false">
      <c r="A561" s="103"/>
      <c r="B561" s="104"/>
      <c r="C561" s="104"/>
    </row>
    <row r="562" customFormat="false" ht="15" hidden="false" customHeight="false" outlineLevel="0" collapsed="false">
      <c r="A562" s="103"/>
      <c r="B562" s="104"/>
      <c r="C562" s="104"/>
    </row>
    <row r="563" customFormat="false" ht="15" hidden="false" customHeight="false" outlineLevel="0" collapsed="false">
      <c r="A563" s="103"/>
      <c r="B563" s="104"/>
      <c r="C563" s="104"/>
    </row>
    <row r="564" customFormat="false" ht="15" hidden="false" customHeight="false" outlineLevel="0" collapsed="false">
      <c r="A564" s="103"/>
      <c r="B564" s="104"/>
      <c r="C564" s="104"/>
    </row>
    <row r="565" customFormat="false" ht="15" hidden="false" customHeight="false" outlineLevel="0" collapsed="false">
      <c r="A565" s="103"/>
      <c r="B565" s="104"/>
      <c r="C565" s="104"/>
    </row>
    <row r="566" customFormat="false" ht="15" hidden="false" customHeight="false" outlineLevel="0" collapsed="false">
      <c r="A566" s="103"/>
      <c r="B566" s="104"/>
      <c r="C566" s="104"/>
    </row>
    <row r="567" customFormat="false" ht="15" hidden="false" customHeight="false" outlineLevel="0" collapsed="false">
      <c r="A567" s="103"/>
      <c r="B567" s="104"/>
      <c r="C567" s="104"/>
    </row>
    <row r="568" customFormat="false" ht="15" hidden="false" customHeight="false" outlineLevel="0" collapsed="false">
      <c r="A568" s="103"/>
      <c r="B568" s="104"/>
      <c r="C568" s="104"/>
    </row>
    <row r="569" customFormat="false" ht="15" hidden="false" customHeight="false" outlineLevel="0" collapsed="false">
      <c r="A569" s="103"/>
      <c r="B569" s="104"/>
      <c r="C569" s="104"/>
    </row>
    <row r="570" customFormat="false" ht="15" hidden="false" customHeight="false" outlineLevel="0" collapsed="false">
      <c r="A570" s="103"/>
      <c r="B570" s="104"/>
      <c r="C570" s="104"/>
    </row>
    <row r="571" customFormat="false" ht="15" hidden="false" customHeight="false" outlineLevel="0" collapsed="false">
      <c r="A571" s="103"/>
      <c r="B571" s="104"/>
      <c r="C571" s="104"/>
    </row>
    <row r="572" customFormat="false" ht="15" hidden="false" customHeight="false" outlineLevel="0" collapsed="false">
      <c r="A572" s="103"/>
      <c r="B572" s="104"/>
      <c r="C572" s="104"/>
    </row>
    <row r="573" customFormat="false" ht="15" hidden="false" customHeight="false" outlineLevel="0" collapsed="false">
      <c r="A573" s="103"/>
      <c r="B573" s="104"/>
      <c r="C573" s="104"/>
    </row>
    <row r="574" customFormat="false" ht="15" hidden="false" customHeight="false" outlineLevel="0" collapsed="false">
      <c r="A574" s="103"/>
      <c r="B574" s="104"/>
      <c r="C574" s="104"/>
    </row>
    <row r="575" customFormat="false" ht="15" hidden="false" customHeight="false" outlineLevel="0" collapsed="false">
      <c r="A575" s="103"/>
      <c r="B575" s="104"/>
      <c r="C575" s="104"/>
    </row>
    <row r="576" customFormat="false" ht="15" hidden="false" customHeight="false" outlineLevel="0" collapsed="false">
      <c r="A576" s="103"/>
      <c r="B576" s="104"/>
      <c r="C576" s="104"/>
    </row>
    <row r="577" customFormat="false" ht="15" hidden="false" customHeight="false" outlineLevel="0" collapsed="false">
      <c r="A577" s="103"/>
      <c r="B577" s="104"/>
      <c r="C577" s="104"/>
    </row>
    <row r="578" customFormat="false" ht="15" hidden="false" customHeight="false" outlineLevel="0" collapsed="false">
      <c r="A578" s="103"/>
      <c r="B578" s="104"/>
      <c r="C578" s="104"/>
    </row>
    <row r="579" customFormat="false" ht="15" hidden="false" customHeight="false" outlineLevel="0" collapsed="false">
      <c r="A579" s="103"/>
      <c r="B579" s="104"/>
      <c r="C579" s="104"/>
    </row>
    <row r="580" customFormat="false" ht="15" hidden="false" customHeight="false" outlineLevel="0" collapsed="false">
      <c r="A580" s="103"/>
      <c r="B580" s="104"/>
      <c r="C580" s="104"/>
    </row>
    <row r="581" customFormat="false" ht="15" hidden="false" customHeight="false" outlineLevel="0" collapsed="false">
      <c r="A581" s="103"/>
      <c r="B581" s="104"/>
      <c r="C581" s="104"/>
    </row>
    <row r="582" customFormat="false" ht="15" hidden="false" customHeight="false" outlineLevel="0" collapsed="false">
      <c r="A582" s="103"/>
      <c r="B582" s="104"/>
      <c r="C582" s="104"/>
    </row>
    <row r="583" customFormat="false" ht="15" hidden="false" customHeight="false" outlineLevel="0" collapsed="false">
      <c r="A583" s="103"/>
      <c r="B583" s="104"/>
      <c r="C583" s="104"/>
    </row>
    <row r="584" customFormat="false" ht="15" hidden="false" customHeight="false" outlineLevel="0" collapsed="false">
      <c r="A584" s="103"/>
      <c r="B584" s="104"/>
      <c r="C584" s="104"/>
    </row>
    <row r="585" customFormat="false" ht="15" hidden="false" customHeight="false" outlineLevel="0" collapsed="false">
      <c r="A585" s="103"/>
      <c r="B585" s="104"/>
      <c r="C585" s="104"/>
    </row>
    <row r="586" customFormat="false" ht="15" hidden="false" customHeight="false" outlineLevel="0" collapsed="false">
      <c r="A586" s="103"/>
      <c r="B586" s="104"/>
      <c r="C586" s="104"/>
    </row>
    <row r="587" customFormat="false" ht="15" hidden="false" customHeight="false" outlineLevel="0" collapsed="false">
      <c r="A587" s="103"/>
      <c r="B587" s="104"/>
      <c r="C587" s="104"/>
    </row>
    <row r="588" customFormat="false" ht="15" hidden="false" customHeight="false" outlineLevel="0" collapsed="false">
      <c r="A588" s="103"/>
      <c r="B588" s="104"/>
      <c r="C588" s="104"/>
    </row>
    <row r="589" customFormat="false" ht="15" hidden="false" customHeight="false" outlineLevel="0" collapsed="false">
      <c r="A589" s="103"/>
      <c r="B589" s="104"/>
      <c r="C589" s="104"/>
    </row>
    <row r="590" customFormat="false" ht="15" hidden="false" customHeight="false" outlineLevel="0" collapsed="false">
      <c r="A590" s="103"/>
      <c r="B590" s="104"/>
      <c r="C590" s="104"/>
    </row>
    <row r="591" customFormat="false" ht="15" hidden="false" customHeight="false" outlineLevel="0" collapsed="false">
      <c r="A591" s="103"/>
      <c r="B591" s="104"/>
      <c r="C591" s="104"/>
    </row>
    <row r="592" customFormat="false" ht="15" hidden="false" customHeight="false" outlineLevel="0" collapsed="false">
      <c r="A592" s="103"/>
      <c r="B592" s="104"/>
      <c r="C592" s="104"/>
    </row>
    <row r="593" customFormat="false" ht="15" hidden="false" customHeight="false" outlineLevel="0" collapsed="false">
      <c r="A593" s="103"/>
      <c r="B593" s="104"/>
      <c r="C593" s="104"/>
    </row>
    <row r="594" customFormat="false" ht="15" hidden="false" customHeight="false" outlineLevel="0" collapsed="false">
      <c r="A594" s="103"/>
      <c r="B594" s="104"/>
      <c r="C594" s="104"/>
    </row>
    <row r="595" customFormat="false" ht="15" hidden="false" customHeight="false" outlineLevel="0" collapsed="false">
      <c r="A595" s="103"/>
      <c r="B595" s="104"/>
      <c r="C595" s="104"/>
    </row>
    <row r="596" customFormat="false" ht="15" hidden="false" customHeight="false" outlineLevel="0" collapsed="false">
      <c r="A596" s="103"/>
      <c r="B596" s="104"/>
      <c r="C596" s="104"/>
    </row>
    <row r="597" customFormat="false" ht="15" hidden="false" customHeight="false" outlineLevel="0" collapsed="false">
      <c r="A597" s="103"/>
      <c r="B597" s="104"/>
      <c r="C597" s="104"/>
    </row>
    <row r="598" customFormat="false" ht="15" hidden="false" customHeight="false" outlineLevel="0" collapsed="false">
      <c r="A598" s="103"/>
      <c r="B598" s="104"/>
      <c r="C598" s="104"/>
    </row>
    <row r="599" customFormat="false" ht="15" hidden="false" customHeight="false" outlineLevel="0" collapsed="false">
      <c r="A599" s="103"/>
      <c r="B599" s="104"/>
      <c r="C599" s="104"/>
    </row>
    <row r="600" customFormat="false" ht="15" hidden="false" customHeight="false" outlineLevel="0" collapsed="false">
      <c r="A600" s="103"/>
      <c r="B600" s="104"/>
      <c r="C600" s="104"/>
    </row>
    <row r="601" customFormat="false" ht="15" hidden="false" customHeight="false" outlineLevel="0" collapsed="false">
      <c r="A601" s="103"/>
      <c r="B601" s="104"/>
      <c r="C601" s="104"/>
    </row>
    <row r="602" customFormat="false" ht="15" hidden="false" customHeight="false" outlineLevel="0" collapsed="false">
      <c r="A602" s="103"/>
      <c r="B602" s="104"/>
      <c r="C602" s="104"/>
    </row>
    <row r="603" customFormat="false" ht="15" hidden="false" customHeight="false" outlineLevel="0" collapsed="false">
      <c r="A603" s="103"/>
      <c r="B603" s="104"/>
      <c r="C603" s="104"/>
    </row>
    <row r="604" customFormat="false" ht="15" hidden="false" customHeight="false" outlineLevel="0" collapsed="false">
      <c r="A604" s="103"/>
      <c r="B604" s="104"/>
      <c r="C604" s="104"/>
    </row>
    <row r="605" customFormat="false" ht="15" hidden="false" customHeight="false" outlineLevel="0" collapsed="false">
      <c r="A605" s="103"/>
      <c r="B605" s="104"/>
      <c r="C605" s="104"/>
    </row>
    <row r="606" customFormat="false" ht="15" hidden="false" customHeight="false" outlineLevel="0" collapsed="false">
      <c r="A606" s="103"/>
      <c r="B606" s="104"/>
      <c r="C606" s="104"/>
    </row>
    <row r="607" customFormat="false" ht="15" hidden="false" customHeight="false" outlineLevel="0" collapsed="false">
      <c r="A607" s="103"/>
      <c r="B607" s="104"/>
      <c r="C607" s="104"/>
    </row>
    <row r="608" customFormat="false" ht="15" hidden="false" customHeight="false" outlineLevel="0" collapsed="false">
      <c r="A608" s="103"/>
      <c r="B608" s="104"/>
      <c r="C608" s="104"/>
    </row>
    <row r="609" customFormat="false" ht="15" hidden="false" customHeight="false" outlineLevel="0" collapsed="false">
      <c r="A609" s="103"/>
      <c r="B609" s="104"/>
      <c r="C609" s="104"/>
    </row>
    <row r="610" customFormat="false" ht="15" hidden="false" customHeight="false" outlineLevel="0" collapsed="false">
      <c r="A610" s="103"/>
      <c r="B610" s="104"/>
      <c r="C610" s="104"/>
    </row>
    <row r="611" customFormat="false" ht="15" hidden="false" customHeight="false" outlineLevel="0" collapsed="false">
      <c r="A611" s="103"/>
      <c r="B611" s="104"/>
      <c r="C611" s="104"/>
    </row>
    <row r="612" customFormat="false" ht="15" hidden="false" customHeight="false" outlineLevel="0" collapsed="false">
      <c r="A612" s="103"/>
      <c r="B612" s="104"/>
      <c r="C612" s="104"/>
    </row>
    <row r="613" customFormat="false" ht="15" hidden="false" customHeight="false" outlineLevel="0" collapsed="false">
      <c r="A613" s="103"/>
      <c r="B613" s="104"/>
      <c r="C613" s="104"/>
    </row>
    <row r="614" customFormat="false" ht="15" hidden="false" customHeight="false" outlineLevel="0" collapsed="false">
      <c r="A614" s="103"/>
      <c r="B614" s="104"/>
      <c r="C614" s="104"/>
    </row>
    <row r="615" customFormat="false" ht="15" hidden="false" customHeight="false" outlineLevel="0" collapsed="false">
      <c r="A615" s="103"/>
      <c r="B615" s="104"/>
      <c r="C615" s="104"/>
    </row>
    <row r="616" customFormat="false" ht="15" hidden="false" customHeight="false" outlineLevel="0" collapsed="false">
      <c r="A616" s="103"/>
      <c r="B616" s="104"/>
      <c r="C616" s="104"/>
    </row>
    <row r="617" customFormat="false" ht="15" hidden="false" customHeight="false" outlineLevel="0" collapsed="false">
      <c r="A617" s="103"/>
      <c r="B617" s="104"/>
      <c r="C617" s="104"/>
    </row>
    <row r="618" customFormat="false" ht="15" hidden="false" customHeight="false" outlineLevel="0" collapsed="false">
      <c r="A618" s="103"/>
      <c r="B618" s="104"/>
      <c r="C618" s="104"/>
    </row>
    <row r="619" customFormat="false" ht="15" hidden="false" customHeight="false" outlineLevel="0" collapsed="false">
      <c r="A619" s="103"/>
      <c r="B619" s="104"/>
      <c r="C619" s="104"/>
    </row>
    <row r="620" customFormat="false" ht="15" hidden="false" customHeight="false" outlineLevel="0" collapsed="false">
      <c r="A620" s="103"/>
      <c r="B620" s="104"/>
      <c r="C620" s="104"/>
    </row>
    <row r="621" customFormat="false" ht="15" hidden="false" customHeight="false" outlineLevel="0" collapsed="false">
      <c r="A621" s="103"/>
      <c r="B621" s="104"/>
      <c r="C621" s="104"/>
    </row>
    <row r="622" customFormat="false" ht="15" hidden="false" customHeight="false" outlineLevel="0" collapsed="false">
      <c r="A622" s="103"/>
      <c r="B622" s="104"/>
      <c r="C622" s="104"/>
    </row>
    <row r="623" customFormat="false" ht="15" hidden="false" customHeight="false" outlineLevel="0" collapsed="false">
      <c r="A623" s="103"/>
      <c r="B623" s="104"/>
      <c r="C623" s="104"/>
    </row>
    <row r="624" customFormat="false" ht="15" hidden="false" customHeight="false" outlineLevel="0" collapsed="false">
      <c r="A624" s="103"/>
      <c r="B624" s="104"/>
      <c r="C624" s="104"/>
    </row>
    <row r="625" customFormat="false" ht="15" hidden="false" customHeight="false" outlineLevel="0" collapsed="false">
      <c r="A625" s="103"/>
      <c r="B625" s="104"/>
      <c r="C625" s="104"/>
    </row>
    <row r="626" customFormat="false" ht="15" hidden="false" customHeight="false" outlineLevel="0" collapsed="false">
      <c r="A626" s="103"/>
      <c r="B626" s="104"/>
      <c r="C626" s="104"/>
    </row>
    <row r="627" customFormat="false" ht="15" hidden="false" customHeight="false" outlineLevel="0" collapsed="false">
      <c r="A627" s="103"/>
      <c r="B627" s="104"/>
      <c r="C627" s="104"/>
    </row>
    <row r="628" customFormat="false" ht="15" hidden="false" customHeight="false" outlineLevel="0" collapsed="false">
      <c r="A628" s="103"/>
      <c r="B628" s="104"/>
      <c r="C628" s="104"/>
    </row>
    <row r="629" customFormat="false" ht="15" hidden="false" customHeight="false" outlineLevel="0" collapsed="false">
      <c r="A629" s="103"/>
      <c r="B629" s="104"/>
      <c r="C629" s="104"/>
    </row>
    <row r="630" customFormat="false" ht="15" hidden="false" customHeight="false" outlineLevel="0" collapsed="false">
      <c r="A630" s="103"/>
      <c r="B630" s="104"/>
      <c r="C630" s="104"/>
    </row>
    <row r="631" customFormat="false" ht="15" hidden="false" customHeight="false" outlineLevel="0" collapsed="false">
      <c r="A631" s="103"/>
      <c r="B631" s="104"/>
      <c r="C631" s="104"/>
    </row>
    <row r="632" customFormat="false" ht="15" hidden="false" customHeight="false" outlineLevel="0" collapsed="false">
      <c r="A632" s="103"/>
      <c r="B632" s="104"/>
      <c r="C632" s="104"/>
    </row>
    <row r="633" customFormat="false" ht="15" hidden="false" customHeight="false" outlineLevel="0" collapsed="false">
      <c r="A633" s="103"/>
      <c r="B633" s="104"/>
      <c r="C633" s="104"/>
    </row>
    <row r="634" customFormat="false" ht="15" hidden="false" customHeight="false" outlineLevel="0" collapsed="false">
      <c r="A634" s="103"/>
      <c r="B634" s="104"/>
      <c r="C634" s="104"/>
    </row>
    <row r="635" customFormat="false" ht="15" hidden="false" customHeight="false" outlineLevel="0" collapsed="false">
      <c r="A635" s="103"/>
      <c r="B635" s="104"/>
      <c r="C635" s="104"/>
    </row>
    <row r="636" customFormat="false" ht="15" hidden="false" customHeight="false" outlineLevel="0" collapsed="false">
      <c r="A636" s="103"/>
      <c r="B636" s="104"/>
      <c r="C636" s="104"/>
    </row>
    <row r="637" customFormat="false" ht="15" hidden="false" customHeight="false" outlineLevel="0" collapsed="false">
      <c r="A637" s="103"/>
      <c r="B637" s="104"/>
      <c r="C637" s="104"/>
    </row>
    <row r="638" customFormat="false" ht="15" hidden="false" customHeight="false" outlineLevel="0" collapsed="false">
      <c r="A638" s="103"/>
      <c r="B638" s="104"/>
      <c r="C638" s="104"/>
    </row>
    <row r="639" customFormat="false" ht="15" hidden="false" customHeight="false" outlineLevel="0" collapsed="false">
      <c r="A639" s="103"/>
      <c r="B639" s="104"/>
      <c r="C639" s="104"/>
    </row>
    <row r="640" customFormat="false" ht="15" hidden="false" customHeight="false" outlineLevel="0" collapsed="false">
      <c r="A640" s="103"/>
      <c r="B640" s="104"/>
      <c r="C640" s="104"/>
    </row>
    <row r="641" customFormat="false" ht="15" hidden="false" customHeight="false" outlineLevel="0" collapsed="false">
      <c r="A641" s="103"/>
      <c r="B641" s="104"/>
      <c r="C641" s="104"/>
    </row>
    <row r="642" customFormat="false" ht="15" hidden="false" customHeight="false" outlineLevel="0" collapsed="false">
      <c r="A642" s="103"/>
      <c r="B642" s="104"/>
      <c r="C642" s="104"/>
    </row>
    <row r="643" customFormat="false" ht="15" hidden="false" customHeight="false" outlineLevel="0" collapsed="false">
      <c r="A643" s="103"/>
      <c r="B643" s="104"/>
      <c r="C643" s="104"/>
    </row>
    <row r="644" customFormat="false" ht="15" hidden="false" customHeight="false" outlineLevel="0" collapsed="false">
      <c r="A644" s="103"/>
      <c r="B644" s="104"/>
      <c r="C644" s="104"/>
    </row>
    <row r="645" customFormat="false" ht="15" hidden="false" customHeight="false" outlineLevel="0" collapsed="false">
      <c r="A645" s="103"/>
      <c r="B645" s="104"/>
      <c r="C645" s="104"/>
    </row>
    <row r="646" customFormat="false" ht="15" hidden="false" customHeight="false" outlineLevel="0" collapsed="false">
      <c r="A646" s="103"/>
      <c r="B646" s="104"/>
      <c r="C646" s="104"/>
    </row>
    <row r="647" customFormat="false" ht="15" hidden="false" customHeight="false" outlineLevel="0" collapsed="false">
      <c r="A647" s="103"/>
      <c r="B647" s="104"/>
      <c r="C647" s="104"/>
    </row>
    <row r="648" customFormat="false" ht="15" hidden="false" customHeight="false" outlineLevel="0" collapsed="false">
      <c r="A648" s="103"/>
      <c r="B648" s="104"/>
      <c r="C648" s="104"/>
    </row>
    <row r="649" customFormat="false" ht="15" hidden="false" customHeight="false" outlineLevel="0" collapsed="false">
      <c r="A649" s="103"/>
      <c r="B649" s="104"/>
      <c r="C649" s="104"/>
    </row>
    <row r="650" customFormat="false" ht="15" hidden="false" customHeight="false" outlineLevel="0" collapsed="false">
      <c r="A650" s="103"/>
      <c r="B650" s="104"/>
      <c r="C650" s="104"/>
    </row>
    <row r="651" customFormat="false" ht="15" hidden="false" customHeight="false" outlineLevel="0" collapsed="false">
      <c r="A651" s="103"/>
      <c r="B651" s="104"/>
      <c r="C651" s="104"/>
    </row>
    <row r="652" customFormat="false" ht="15" hidden="false" customHeight="false" outlineLevel="0" collapsed="false">
      <c r="A652" s="103"/>
      <c r="B652" s="104"/>
      <c r="C652" s="104"/>
    </row>
    <row r="653" customFormat="false" ht="15" hidden="false" customHeight="false" outlineLevel="0" collapsed="false">
      <c r="A653" s="103"/>
      <c r="B653" s="104"/>
      <c r="C653" s="104"/>
    </row>
    <row r="654" customFormat="false" ht="15" hidden="false" customHeight="false" outlineLevel="0" collapsed="false">
      <c r="A654" s="103"/>
      <c r="B654" s="104"/>
      <c r="C654" s="104"/>
    </row>
    <row r="655" customFormat="false" ht="15" hidden="false" customHeight="false" outlineLevel="0" collapsed="false">
      <c r="A655" s="103"/>
      <c r="B655" s="104"/>
      <c r="C655" s="104"/>
    </row>
    <row r="656" customFormat="false" ht="15" hidden="false" customHeight="false" outlineLevel="0" collapsed="false">
      <c r="A656" s="103"/>
      <c r="B656" s="104"/>
      <c r="C656" s="104"/>
    </row>
    <row r="657" customFormat="false" ht="15" hidden="false" customHeight="false" outlineLevel="0" collapsed="false">
      <c r="A657" s="103"/>
      <c r="B657" s="104"/>
      <c r="C657" s="104"/>
    </row>
    <row r="658" customFormat="false" ht="15" hidden="false" customHeight="false" outlineLevel="0" collapsed="false">
      <c r="A658" s="103"/>
      <c r="B658" s="104"/>
      <c r="C658" s="104"/>
    </row>
    <row r="659" customFormat="false" ht="15" hidden="false" customHeight="false" outlineLevel="0" collapsed="false">
      <c r="A659" s="103"/>
      <c r="B659" s="104"/>
      <c r="C659" s="104"/>
    </row>
    <row r="660" customFormat="false" ht="15" hidden="false" customHeight="false" outlineLevel="0" collapsed="false">
      <c r="A660" s="103"/>
      <c r="B660" s="104"/>
      <c r="C660" s="104"/>
    </row>
    <row r="661" customFormat="false" ht="15" hidden="false" customHeight="false" outlineLevel="0" collapsed="false">
      <c r="A661" s="103"/>
      <c r="B661" s="104"/>
      <c r="C661" s="104"/>
    </row>
    <row r="662" customFormat="false" ht="15" hidden="false" customHeight="false" outlineLevel="0" collapsed="false">
      <c r="A662" s="103"/>
      <c r="B662" s="104"/>
      <c r="C662" s="104"/>
    </row>
    <row r="663" customFormat="false" ht="15" hidden="false" customHeight="false" outlineLevel="0" collapsed="false">
      <c r="A663" s="103"/>
      <c r="B663" s="104"/>
      <c r="C663" s="104"/>
    </row>
    <row r="664" customFormat="false" ht="15" hidden="false" customHeight="false" outlineLevel="0" collapsed="false">
      <c r="A664" s="103"/>
      <c r="B664" s="104"/>
      <c r="C664" s="104"/>
    </row>
    <row r="665" customFormat="false" ht="15" hidden="false" customHeight="false" outlineLevel="0" collapsed="false">
      <c r="A665" s="103"/>
      <c r="B665" s="104"/>
      <c r="C665" s="104"/>
    </row>
    <row r="666" customFormat="false" ht="15" hidden="false" customHeight="false" outlineLevel="0" collapsed="false">
      <c r="A666" s="103"/>
      <c r="B666" s="104"/>
      <c r="C666" s="104"/>
    </row>
    <row r="667" customFormat="false" ht="15" hidden="false" customHeight="false" outlineLevel="0" collapsed="false">
      <c r="A667" s="103"/>
      <c r="B667" s="104"/>
      <c r="C667" s="104"/>
    </row>
    <row r="668" customFormat="false" ht="15" hidden="false" customHeight="false" outlineLevel="0" collapsed="false">
      <c r="A668" s="103"/>
      <c r="B668" s="104"/>
      <c r="C668" s="104"/>
    </row>
    <row r="669" customFormat="false" ht="15" hidden="false" customHeight="false" outlineLevel="0" collapsed="false">
      <c r="A669" s="103"/>
      <c r="B669" s="104"/>
      <c r="C669" s="104"/>
    </row>
    <row r="670" customFormat="false" ht="15" hidden="false" customHeight="false" outlineLevel="0" collapsed="false">
      <c r="A670" s="103"/>
      <c r="B670" s="104"/>
      <c r="C670" s="104"/>
    </row>
    <row r="671" customFormat="false" ht="15" hidden="false" customHeight="false" outlineLevel="0" collapsed="false">
      <c r="A671" s="103"/>
      <c r="B671" s="104"/>
      <c r="C671" s="104"/>
    </row>
    <row r="672" customFormat="false" ht="15" hidden="false" customHeight="false" outlineLevel="0" collapsed="false">
      <c r="A672" s="103"/>
      <c r="B672" s="104"/>
      <c r="C672" s="104"/>
    </row>
    <row r="673" customFormat="false" ht="15" hidden="false" customHeight="false" outlineLevel="0" collapsed="false">
      <c r="A673" s="103"/>
      <c r="B673" s="104"/>
      <c r="C673" s="104"/>
    </row>
    <row r="674" customFormat="false" ht="15" hidden="false" customHeight="false" outlineLevel="0" collapsed="false">
      <c r="A674" s="103"/>
      <c r="B674" s="104"/>
      <c r="C674" s="104"/>
    </row>
    <row r="675" customFormat="false" ht="15" hidden="false" customHeight="false" outlineLevel="0" collapsed="false">
      <c r="A675" s="103"/>
      <c r="B675" s="104"/>
      <c r="C675" s="104"/>
    </row>
    <row r="676" customFormat="false" ht="15" hidden="false" customHeight="false" outlineLevel="0" collapsed="false">
      <c r="A676" s="103"/>
      <c r="B676" s="104"/>
      <c r="C676" s="104"/>
    </row>
    <row r="677" customFormat="false" ht="15" hidden="false" customHeight="false" outlineLevel="0" collapsed="false">
      <c r="A677" s="103"/>
      <c r="B677" s="104"/>
      <c r="C677" s="104"/>
    </row>
    <row r="678" customFormat="false" ht="15" hidden="false" customHeight="false" outlineLevel="0" collapsed="false">
      <c r="A678" s="103"/>
      <c r="B678" s="104"/>
      <c r="C678" s="104"/>
    </row>
    <row r="679" customFormat="false" ht="15" hidden="false" customHeight="false" outlineLevel="0" collapsed="false">
      <c r="A679" s="103"/>
      <c r="B679" s="104"/>
      <c r="C679" s="104"/>
    </row>
    <row r="680" customFormat="false" ht="15" hidden="false" customHeight="false" outlineLevel="0" collapsed="false">
      <c r="A680" s="103"/>
      <c r="B680" s="104"/>
      <c r="C680" s="104"/>
    </row>
    <row r="681" customFormat="false" ht="15" hidden="false" customHeight="false" outlineLevel="0" collapsed="false">
      <c r="A681" s="103"/>
      <c r="B681" s="104"/>
      <c r="C681" s="104"/>
    </row>
    <row r="682" customFormat="false" ht="15" hidden="false" customHeight="false" outlineLevel="0" collapsed="false">
      <c r="A682" s="103"/>
      <c r="B682" s="104"/>
      <c r="C682" s="104"/>
    </row>
    <row r="683" customFormat="false" ht="15" hidden="false" customHeight="false" outlineLevel="0" collapsed="false">
      <c r="A683" s="103"/>
      <c r="B683" s="104"/>
      <c r="C683" s="104"/>
    </row>
    <row r="684" customFormat="false" ht="15" hidden="false" customHeight="false" outlineLevel="0" collapsed="false">
      <c r="A684" s="103"/>
      <c r="B684" s="104"/>
      <c r="C684" s="104"/>
    </row>
    <row r="685" customFormat="false" ht="15" hidden="false" customHeight="false" outlineLevel="0" collapsed="false">
      <c r="A685" s="103"/>
      <c r="B685" s="104"/>
      <c r="C685" s="104"/>
    </row>
    <row r="686" customFormat="false" ht="15" hidden="false" customHeight="false" outlineLevel="0" collapsed="false">
      <c r="A686" s="103"/>
      <c r="B686" s="104"/>
      <c r="C686" s="104"/>
    </row>
    <row r="687" customFormat="false" ht="15" hidden="false" customHeight="false" outlineLevel="0" collapsed="false">
      <c r="A687" s="103"/>
      <c r="B687" s="104"/>
      <c r="C687" s="104"/>
    </row>
    <row r="688" customFormat="false" ht="15" hidden="false" customHeight="false" outlineLevel="0" collapsed="false">
      <c r="A688" s="103"/>
      <c r="B688" s="104"/>
      <c r="C688" s="104"/>
    </row>
    <row r="689" customFormat="false" ht="15" hidden="false" customHeight="false" outlineLevel="0" collapsed="false">
      <c r="A689" s="103"/>
      <c r="B689" s="104"/>
      <c r="C689" s="104"/>
    </row>
    <row r="690" customFormat="false" ht="15" hidden="false" customHeight="false" outlineLevel="0" collapsed="false">
      <c r="A690" s="103"/>
      <c r="B690" s="104"/>
      <c r="C690" s="104"/>
    </row>
    <row r="691" customFormat="false" ht="15" hidden="false" customHeight="false" outlineLevel="0" collapsed="false">
      <c r="A691" s="103"/>
      <c r="B691" s="104"/>
      <c r="C691" s="104"/>
    </row>
    <row r="692" customFormat="false" ht="15" hidden="false" customHeight="false" outlineLevel="0" collapsed="false">
      <c r="A692" s="103"/>
      <c r="B692" s="104"/>
      <c r="C692" s="104"/>
    </row>
    <row r="693" customFormat="false" ht="15" hidden="false" customHeight="false" outlineLevel="0" collapsed="false">
      <c r="A693" s="103"/>
      <c r="B693" s="104"/>
      <c r="C693" s="104"/>
    </row>
    <row r="694" customFormat="false" ht="15" hidden="false" customHeight="false" outlineLevel="0" collapsed="false">
      <c r="A694" s="103"/>
      <c r="B694" s="104"/>
      <c r="C694" s="104"/>
    </row>
    <row r="695" customFormat="false" ht="15" hidden="false" customHeight="false" outlineLevel="0" collapsed="false">
      <c r="A695" s="103"/>
      <c r="B695" s="104"/>
      <c r="C695" s="104"/>
    </row>
    <row r="696" customFormat="false" ht="15" hidden="false" customHeight="false" outlineLevel="0" collapsed="false">
      <c r="A696" s="103"/>
      <c r="B696" s="104"/>
      <c r="C696" s="104"/>
    </row>
    <row r="697" customFormat="false" ht="15" hidden="false" customHeight="false" outlineLevel="0" collapsed="false">
      <c r="A697" s="103"/>
      <c r="B697" s="104"/>
      <c r="C697" s="104"/>
    </row>
    <row r="698" customFormat="false" ht="15" hidden="false" customHeight="false" outlineLevel="0" collapsed="false">
      <c r="A698" s="103"/>
      <c r="B698" s="104"/>
      <c r="C698" s="104"/>
    </row>
    <row r="699" customFormat="false" ht="15" hidden="false" customHeight="false" outlineLevel="0" collapsed="false">
      <c r="A699" s="103"/>
      <c r="B699" s="104"/>
      <c r="C699" s="104"/>
    </row>
    <row r="700" customFormat="false" ht="15" hidden="false" customHeight="false" outlineLevel="0" collapsed="false">
      <c r="A700" s="103"/>
      <c r="B700" s="104"/>
      <c r="C700" s="104"/>
    </row>
    <row r="701" customFormat="false" ht="15" hidden="false" customHeight="false" outlineLevel="0" collapsed="false">
      <c r="A701" s="103"/>
      <c r="B701" s="104"/>
      <c r="C701" s="104"/>
    </row>
    <row r="702" customFormat="false" ht="15" hidden="false" customHeight="false" outlineLevel="0" collapsed="false">
      <c r="A702" s="103"/>
      <c r="B702" s="104"/>
      <c r="C702" s="104"/>
    </row>
    <row r="703" customFormat="false" ht="15" hidden="false" customHeight="false" outlineLevel="0" collapsed="false">
      <c r="A703" s="103"/>
      <c r="B703" s="104"/>
      <c r="C703" s="104"/>
    </row>
    <row r="704" customFormat="false" ht="15" hidden="false" customHeight="false" outlineLevel="0" collapsed="false">
      <c r="A704" s="103"/>
      <c r="B704" s="104"/>
      <c r="C704" s="104"/>
    </row>
    <row r="705" customFormat="false" ht="15" hidden="false" customHeight="false" outlineLevel="0" collapsed="false">
      <c r="A705" s="103"/>
      <c r="B705" s="104"/>
      <c r="C705" s="104"/>
    </row>
    <row r="706" customFormat="false" ht="15" hidden="false" customHeight="false" outlineLevel="0" collapsed="false">
      <c r="A706" s="103"/>
      <c r="B706" s="104"/>
      <c r="C706" s="104"/>
    </row>
    <row r="707" customFormat="false" ht="15" hidden="false" customHeight="false" outlineLevel="0" collapsed="false">
      <c r="A707" s="103"/>
      <c r="B707" s="104"/>
      <c r="C707" s="104"/>
    </row>
    <row r="708" customFormat="false" ht="15" hidden="false" customHeight="false" outlineLevel="0" collapsed="false">
      <c r="A708" s="103"/>
      <c r="B708" s="104"/>
      <c r="C708" s="104"/>
    </row>
    <row r="709" customFormat="false" ht="15" hidden="false" customHeight="false" outlineLevel="0" collapsed="false">
      <c r="A709" s="103"/>
      <c r="B709" s="104"/>
      <c r="C709" s="104"/>
    </row>
    <row r="710" customFormat="false" ht="15" hidden="false" customHeight="false" outlineLevel="0" collapsed="false">
      <c r="A710" s="103"/>
      <c r="B710" s="104"/>
      <c r="C710" s="104"/>
    </row>
    <row r="711" customFormat="false" ht="15" hidden="false" customHeight="false" outlineLevel="0" collapsed="false">
      <c r="A711" s="103"/>
      <c r="B711" s="104"/>
      <c r="C711" s="104"/>
    </row>
    <row r="712" customFormat="false" ht="15" hidden="false" customHeight="false" outlineLevel="0" collapsed="false">
      <c r="A712" s="103"/>
      <c r="B712" s="104"/>
      <c r="C712" s="104"/>
    </row>
    <row r="713" customFormat="false" ht="15" hidden="false" customHeight="false" outlineLevel="0" collapsed="false">
      <c r="A713" s="103"/>
      <c r="B713" s="104"/>
      <c r="C713" s="104"/>
    </row>
    <row r="714" customFormat="false" ht="15" hidden="false" customHeight="false" outlineLevel="0" collapsed="false">
      <c r="A714" s="103"/>
      <c r="B714" s="104"/>
      <c r="C714" s="104"/>
    </row>
    <row r="715" customFormat="false" ht="15" hidden="false" customHeight="false" outlineLevel="0" collapsed="false">
      <c r="A715" s="103"/>
      <c r="B715" s="104"/>
      <c r="C715" s="104"/>
    </row>
    <row r="716" customFormat="false" ht="15" hidden="false" customHeight="false" outlineLevel="0" collapsed="false">
      <c r="A716" s="103"/>
      <c r="B716" s="104"/>
      <c r="C716" s="104"/>
    </row>
    <row r="717" customFormat="false" ht="15" hidden="false" customHeight="false" outlineLevel="0" collapsed="false">
      <c r="A717" s="103"/>
      <c r="B717" s="104"/>
      <c r="C717" s="104"/>
    </row>
    <row r="718" customFormat="false" ht="15" hidden="false" customHeight="false" outlineLevel="0" collapsed="false">
      <c r="A718" s="103"/>
      <c r="B718" s="104"/>
      <c r="C718" s="104"/>
    </row>
    <row r="719" customFormat="false" ht="15" hidden="false" customHeight="false" outlineLevel="0" collapsed="false">
      <c r="A719" s="103"/>
      <c r="B719" s="104"/>
      <c r="C719" s="104"/>
    </row>
    <row r="720" customFormat="false" ht="15" hidden="false" customHeight="false" outlineLevel="0" collapsed="false">
      <c r="A720" s="103"/>
      <c r="B720" s="104"/>
      <c r="C720" s="104"/>
    </row>
    <row r="721" customFormat="false" ht="15" hidden="false" customHeight="false" outlineLevel="0" collapsed="false">
      <c r="A721" s="103"/>
      <c r="B721" s="104"/>
      <c r="C721" s="104"/>
    </row>
    <row r="722" customFormat="false" ht="15" hidden="false" customHeight="false" outlineLevel="0" collapsed="false">
      <c r="A722" s="103"/>
      <c r="B722" s="104"/>
      <c r="C722" s="104"/>
    </row>
    <row r="723" customFormat="false" ht="15" hidden="false" customHeight="false" outlineLevel="0" collapsed="false">
      <c r="A723" s="103"/>
      <c r="B723" s="104"/>
      <c r="C723" s="104"/>
    </row>
    <row r="724" customFormat="false" ht="15" hidden="false" customHeight="false" outlineLevel="0" collapsed="false">
      <c r="A724" s="103"/>
      <c r="B724" s="104"/>
      <c r="C724" s="104"/>
    </row>
    <row r="725" customFormat="false" ht="15" hidden="false" customHeight="false" outlineLevel="0" collapsed="false">
      <c r="A725" s="103"/>
      <c r="B725" s="104"/>
      <c r="C725" s="104"/>
    </row>
    <row r="726" customFormat="false" ht="15" hidden="false" customHeight="false" outlineLevel="0" collapsed="false">
      <c r="A726" s="103"/>
      <c r="B726" s="104"/>
      <c r="C726" s="104"/>
    </row>
    <row r="727" customFormat="false" ht="15" hidden="false" customHeight="false" outlineLevel="0" collapsed="false">
      <c r="A727" s="103"/>
      <c r="B727" s="104"/>
      <c r="C727" s="104"/>
    </row>
    <row r="728" customFormat="false" ht="15" hidden="false" customHeight="false" outlineLevel="0" collapsed="false">
      <c r="A728" s="103"/>
      <c r="B728" s="104"/>
      <c r="C728" s="104"/>
    </row>
    <row r="729" customFormat="false" ht="15" hidden="false" customHeight="false" outlineLevel="0" collapsed="false">
      <c r="A729" s="103"/>
      <c r="B729" s="104"/>
      <c r="C729" s="104"/>
    </row>
    <row r="730" customFormat="false" ht="15" hidden="false" customHeight="false" outlineLevel="0" collapsed="false">
      <c r="A730" s="103"/>
      <c r="B730" s="104"/>
      <c r="C730" s="104"/>
    </row>
    <row r="731" customFormat="false" ht="15" hidden="false" customHeight="false" outlineLevel="0" collapsed="false">
      <c r="A731" s="103"/>
      <c r="B731" s="104"/>
      <c r="C731" s="104"/>
    </row>
    <row r="732" customFormat="false" ht="15" hidden="false" customHeight="false" outlineLevel="0" collapsed="false">
      <c r="A732" s="103"/>
      <c r="B732" s="104"/>
      <c r="C732" s="104"/>
    </row>
    <row r="733" customFormat="false" ht="15" hidden="false" customHeight="false" outlineLevel="0" collapsed="false">
      <c r="A733" s="103"/>
      <c r="B733" s="104"/>
      <c r="C733" s="104"/>
    </row>
    <row r="734" customFormat="false" ht="15" hidden="false" customHeight="false" outlineLevel="0" collapsed="false">
      <c r="A734" s="103"/>
      <c r="B734" s="104"/>
      <c r="C734" s="104"/>
    </row>
    <row r="735" customFormat="false" ht="15" hidden="false" customHeight="false" outlineLevel="0" collapsed="false">
      <c r="A735" s="103"/>
      <c r="B735" s="104"/>
      <c r="C735" s="104"/>
    </row>
    <row r="736" customFormat="false" ht="15" hidden="false" customHeight="false" outlineLevel="0" collapsed="false">
      <c r="A736" s="103"/>
      <c r="B736" s="104"/>
      <c r="C736" s="104"/>
    </row>
    <row r="737" customFormat="false" ht="15" hidden="false" customHeight="false" outlineLevel="0" collapsed="false">
      <c r="A737" s="103"/>
      <c r="B737" s="104"/>
      <c r="C737" s="104"/>
    </row>
    <row r="738" customFormat="false" ht="15" hidden="false" customHeight="false" outlineLevel="0" collapsed="false">
      <c r="A738" s="103"/>
      <c r="B738" s="104"/>
      <c r="C738" s="104"/>
    </row>
    <row r="739" customFormat="false" ht="15" hidden="false" customHeight="false" outlineLevel="0" collapsed="false">
      <c r="A739" s="103"/>
      <c r="B739" s="104"/>
      <c r="C739" s="104"/>
    </row>
    <row r="740" customFormat="false" ht="15" hidden="false" customHeight="false" outlineLevel="0" collapsed="false">
      <c r="A740" s="103"/>
      <c r="B740" s="104"/>
      <c r="C740" s="104"/>
    </row>
    <row r="741" customFormat="false" ht="15" hidden="false" customHeight="false" outlineLevel="0" collapsed="false">
      <c r="A741" s="103"/>
      <c r="B741" s="104"/>
      <c r="C741" s="104"/>
    </row>
    <row r="742" customFormat="false" ht="15" hidden="false" customHeight="false" outlineLevel="0" collapsed="false">
      <c r="A742" s="103"/>
      <c r="B742" s="104"/>
      <c r="C742" s="104"/>
    </row>
    <row r="743" customFormat="false" ht="15" hidden="false" customHeight="false" outlineLevel="0" collapsed="false">
      <c r="A743" s="103"/>
      <c r="B743" s="104"/>
      <c r="C743" s="104"/>
    </row>
    <row r="744" customFormat="false" ht="15" hidden="false" customHeight="false" outlineLevel="0" collapsed="false">
      <c r="A744" s="103"/>
      <c r="B744" s="104"/>
      <c r="C744" s="104"/>
    </row>
    <row r="745" customFormat="false" ht="15" hidden="false" customHeight="false" outlineLevel="0" collapsed="false">
      <c r="A745" s="103"/>
      <c r="B745" s="104"/>
      <c r="C745" s="104"/>
    </row>
    <row r="746" customFormat="false" ht="15" hidden="false" customHeight="false" outlineLevel="0" collapsed="false">
      <c r="A746" s="103"/>
      <c r="B746" s="104"/>
      <c r="C746" s="104"/>
    </row>
    <row r="747" customFormat="false" ht="15" hidden="false" customHeight="false" outlineLevel="0" collapsed="false">
      <c r="A747" s="103"/>
      <c r="B747" s="104"/>
      <c r="C747" s="104"/>
    </row>
    <row r="748" customFormat="false" ht="15" hidden="false" customHeight="false" outlineLevel="0" collapsed="false">
      <c r="A748" s="103"/>
      <c r="B748" s="104"/>
      <c r="C748" s="104"/>
    </row>
    <row r="749" customFormat="false" ht="15" hidden="false" customHeight="false" outlineLevel="0" collapsed="false">
      <c r="A749" s="103"/>
      <c r="B749" s="104"/>
      <c r="C749" s="104"/>
    </row>
    <row r="750" customFormat="false" ht="15" hidden="false" customHeight="false" outlineLevel="0" collapsed="false">
      <c r="A750" s="103"/>
      <c r="B750" s="104"/>
      <c r="C750" s="104"/>
    </row>
    <row r="751" customFormat="false" ht="15" hidden="false" customHeight="false" outlineLevel="0" collapsed="false">
      <c r="A751" s="103"/>
      <c r="B751" s="104"/>
      <c r="C751" s="104"/>
    </row>
    <row r="752" customFormat="false" ht="15" hidden="false" customHeight="false" outlineLevel="0" collapsed="false">
      <c r="A752" s="103"/>
      <c r="B752" s="104"/>
      <c r="C752" s="104"/>
    </row>
    <row r="753" customFormat="false" ht="15" hidden="false" customHeight="false" outlineLevel="0" collapsed="false">
      <c r="A753" s="103"/>
      <c r="B753" s="104"/>
      <c r="C753" s="104"/>
    </row>
    <row r="754" customFormat="false" ht="15" hidden="false" customHeight="false" outlineLevel="0" collapsed="false">
      <c r="A754" s="103"/>
      <c r="B754" s="104"/>
      <c r="C754" s="104"/>
    </row>
    <row r="755" customFormat="false" ht="15" hidden="false" customHeight="false" outlineLevel="0" collapsed="false">
      <c r="A755" s="103"/>
      <c r="B755" s="104"/>
      <c r="C755" s="104"/>
    </row>
    <row r="756" customFormat="false" ht="15" hidden="false" customHeight="false" outlineLevel="0" collapsed="false">
      <c r="A756" s="103"/>
      <c r="B756" s="104"/>
      <c r="C756" s="104"/>
    </row>
    <row r="757" customFormat="false" ht="15" hidden="false" customHeight="false" outlineLevel="0" collapsed="false">
      <c r="A757" s="103"/>
      <c r="B757" s="104"/>
      <c r="C757" s="104"/>
    </row>
    <row r="758" customFormat="false" ht="15" hidden="false" customHeight="false" outlineLevel="0" collapsed="false">
      <c r="A758" s="103"/>
      <c r="B758" s="104"/>
      <c r="C758" s="104"/>
    </row>
    <row r="759" customFormat="false" ht="15" hidden="false" customHeight="false" outlineLevel="0" collapsed="false">
      <c r="A759" s="103"/>
      <c r="B759" s="104"/>
      <c r="C759" s="104"/>
    </row>
    <row r="760" customFormat="false" ht="15" hidden="false" customHeight="false" outlineLevel="0" collapsed="false">
      <c r="A760" s="103"/>
      <c r="B760" s="104"/>
      <c r="C760" s="104"/>
    </row>
    <row r="761" customFormat="false" ht="15" hidden="false" customHeight="false" outlineLevel="0" collapsed="false">
      <c r="A761" s="103"/>
      <c r="B761" s="104"/>
      <c r="C761" s="104"/>
    </row>
    <row r="762" customFormat="false" ht="15" hidden="false" customHeight="false" outlineLevel="0" collapsed="false">
      <c r="A762" s="103"/>
      <c r="B762" s="104"/>
      <c r="C762" s="104"/>
    </row>
    <row r="763" customFormat="false" ht="15" hidden="false" customHeight="false" outlineLevel="0" collapsed="false">
      <c r="A763" s="103"/>
      <c r="B763" s="104"/>
      <c r="C763" s="104"/>
    </row>
    <row r="764" customFormat="false" ht="15" hidden="false" customHeight="false" outlineLevel="0" collapsed="false">
      <c r="A764" s="103"/>
      <c r="B764" s="104"/>
      <c r="C764" s="104"/>
    </row>
    <row r="765" customFormat="false" ht="15" hidden="false" customHeight="false" outlineLevel="0" collapsed="false">
      <c r="A765" s="103"/>
      <c r="B765" s="104"/>
      <c r="C765" s="104"/>
    </row>
    <row r="766" customFormat="false" ht="15" hidden="false" customHeight="false" outlineLevel="0" collapsed="false">
      <c r="A766" s="103"/>
      <c r="B766" s="104"/>
      <c r="C766" s="104"/>
    </row>
    <row r="767" customFormat="false" ht="15" hidden="false" customHeight="false" outlineLevel="0" collapsed="false">
      <c r="A767" s="103"/>
      <c r="B767" s="104"/>
      <c r="C767" s="104"/>
    </row>
    <row r="768" customFormat="false" ht="15" hidden="false" customHeight="false" outlineLevel="0" collapsed="false">
      <c r="A768" s="103"/>
      <c r="B768" s="104"/>
      <c r="C768" s="104"/>
    </row>
    <row r="769" customFormat="false" ht="15" hidden="false" customHeight="false" outlineLevel="0" collapsed="false">
      <c r="A769" s="103"/>
      <c r="B769" s="104"/>
      <c r="C769" s="104"/>
    </row>
    <row r="770" customFormat="false" ht="15" hidden="false" customHeight="false" outlineLevel="0" collapsed="false">
      <c r="A770" s="103"/>
      <c r="B770" s="104"/>
      <c r="C770" s="104"/>
    </row>
    <row r="771" customFormat="false" ht="15" hidden="false" customHeight="false" outlineLevel="0" collapsed="false">
      <c r="A771" s="103"/>
      <c r="B771" s="104"/>
      <c r="C771" s="104"/>
    </row>
    <row r="772" customFormat="false" ht="15" hidden="false" customHeight="false" outlineLevel="0" collapsed="false">
      <c r="A772" s="103"/>
      <c r="B772" s="104"/>
      <c r="C772" s="104"/>
    </row>
    <row r="773" customFormat="false" ht="15" hidden="false" customHeight="false" outlineLevel="0" collapsed="false">
      <c r="A773" s="103"/>
      <c r="B773" s="104"/>
      <c r="C773" s="104"/>
    </row>
    <row r="774" customFormat="false" ht="15" hidden="false" customHeight="false" outlineLevel="0" collapsed="false">
      <c r="A774" s="103"/>
      <c r="B774" s="104"/>
      <c r="C774" s="104"/>
    </row>
    <row r="775" customFormat="false" ht="15" hidden="false" customHeight="false" outlineLevel="0" collapsed="false">
      <c r="A775" s="103"/>
      <c r="B775" s="104"/>
      <c r="C775" s="104"/>
    </row>
    <row r="776" customFormat="false" ht="15" hidden="false" customHeight="false" outlineLevel="0" collapsed="false">
      <c r="A776" s="103"/>
      <c r="B776" s="104"/>
      <c r="C776" s="104"/>
    </row>
    <row r="777" customFormat="false" ht="15" hidden="false" customHeight="false" outlineLevel="0" collapsed="false">
      <c r="A777" s="103"/>
      <c r="B777" s="104"/>
      <c r="C777" s="104"/>
    </row>
    <row r="778" customFormat="false" ht="15" hidden="false" customHeight="false" outlineLevel="0" collapsed="false">
      <c r="A778" s="103"/>
      <c r="B778" s="104"/>
      <c r="C778" s="104"/>
    </row>
    <row r="779" customFormat="false" ht="15" hidden="false" customHeight="false" outlineLevel="0" collapsed="false">
      <c r="A779" s="103"/>
      <c r="B779" s="104"/>
      <c r="C779" s="104"/>
    </row>
    <row r="780" customFormat="false" ht="15" hidden="false" customHeight="false" outlineLevel="0" collapsed="false">
      <c r="A780" s="103"/>
      <c r="B780" s="104"/>
      <c r="C780" s="104"/>
    </row>
    <row r="781" customFormat="false" ht="15" hidden="false" customHeight="false" outlineLevel="0" collapsed="false">
      <c r="A781" s="103"/>
      <c r="B781" s="104"/>
      <c r="C781" s="104"/>
    </row>
    <row r="782" customFormat="false" ht="15" hidden="false" customHeight="false" outlineLevel="0" collapsed="false">
      <c r="A782" s="103"/>
      <c r="B782" s="104"/>
      <c r="C782" s="104"/>
    </row>
    <row r="783" customFormat="false" ht="15" hidden="false" customHeight="false" outlineLevel="0" collapsed="false">
      <c r="A783" s="103"/>
      <c r="B783" s="104"/>
      <c r="C783" s="104"/>
    </row>
    <row r="784" customFormat="false" ht="15" hidden="false" customHeight="false" outlineLevel="0" collapsed="false">
      <c r="A784" s="103"/>
      <c r="B784" s="104"/>
      <c r="C784" s="104"/>
    </row>
    <row r="785" customFormat="false" ht="15" hidden="false" customHeight="false" outlineLevel="0" collapsed="false">
      <c r="A785" s="103"/>
      <c r="B785" s="104"/>
      <c r="C785" s="104"/>
    </row>
    <row r="786" customFormat="false" ht="15" hidden="false" customHeight="false" outlineLevel="0" collapsed="false">
      <c r="A786" s="103"/>
      <c r="B786" s="104"/>
      <c r="C786" s="104"/>
    </row>
    <row r="787" customFormat="false" ht="15" hidden="false" customHeight="false" outlineLevel="0" collapsed="false">
      <c r="A787" s="103"/>
      <c r="B787" s="104"/>
      <c r="C787" s="104"/>
    </row>
    <row r="788" customFormat="false" ht="15" hidden="false" customHeight="false" outlineLevel="0" collapsed="false">
      <c r="A788" s="103"/>
      <c r="B788" s="104"/>
      <c r="C788" s="104"/>
    </row>
    <row r="789" customFormat="false" ht="15" hidden="false" customHeight="false" outlineLevel="0" collapsed="false">
      <c r="A789" s="103"/>
      <c r="B789" s="104"/>
      <c r="C789" s="104"/>
    </row>
    <row r="790" customFormat="false" ht="15" hidden="false" customHeight="false" outlineLevel="0" collapsed="false">
      <c r="A790" s="103"/>
      <c r="B790" s="104"/>
      <c r="C790" s="104"/>
    </row>
    <row r="791" customFormat="false" ht="15" hidden="false" customHeight="false" outlineLevel="0" collapsed="false">
      <c r="A791" s="103"/>
      <c r="B791" s="104"/>
      <c r="C791" s="104"/>
    </row>
    <row r="792" customFormat="false" ht="15" hidden="false" customHeight="false" outlineLevel="0" collapsed="false">
      <c r="A792" s="103"/>
      <c r="B792" s="104"/>
      <c r="C792" s="104"/>
    </row>
    <row r="793" customFormat="false" ht="15" hidden="false" customHeight="false" outlineLevel="0" collapsed="false">
      <c r="A793" s="103"/>
      <c r="B793" s="104"/>
      <c r="C793" s="104"/>
    </row>
    <row r="794" customFormat="false" ht="15" hidden="false" customHeight="false" outlineLevel="0" collapsed="false">
      <c r="A794" s="103"/>
      <c r="B794" s="104"/>
      <c r="C794" s="104"/>
    </row>
    <row r="795" customFormat="false" ht="15" hidden="false" customHeight="false" outlineLevel="0" collapsed="false">
      <c r="A795" s="103"/>
      <c r="B795" s="104"/>
      <c r="C795" s="104"/>
    </row>
    <row r="796" customFormat="false" ht="15" hidden="false" customHeight="false" outlineLevel="0" collapsed="false">
      <c r="A796" s="103"/>
      <c r="B796" s="104"/>
      <c r="C796" s="104"/>
    </row>
    <row r="797" customFormat="false" ht="15" hidden="false" customHeight="false" outlineLevel="0" collapsed="false">
      <c r="A797" s="103"/>
      <c r="B797" s="104"/>
      <c r="C797" s="104"/>
    </row>
    <row r="798" customFormat="false" ht="15" hidden="false" customHeight="false" outlineLevel="0" collapsed="false">
      <c r="A798" s="103"/>
      <c r="B798" s="104"/>
      <c r="C798" s="104"/>
    </row>
    <row r="799" customFormat="false" ht="15" hidden="false" customHeight="false" outlineLevel="0" collapsed="false">
      <c r="A799" s="103"/>
      <c r="B799" s="104"/>
      <c r="C799" s="104"/>
    </row>
    <row r="800" customFormat="false" ht="15" hidden="false" customHeight="false" outlineLevel="0" collapsed="false">
      <c r="A800" s="103"/>
      <c r="B800" s="104"/>
      <c r="C800" s="104"/>
    </row>
    <row r="801" customFormat="false" ht="15" hidden="false" customHeight="false" outlineLevel="0" collapsed="false">
      <c r="A801" s="103"/>
      <c r="B801" s="104"/>
      <c r="C801" s="104"/>
    </row>
    <row r="802" customFormat="false" ht="15" hidden="false" customHeight="false" outlineLevel="0" collapsed="false">
      <c r="A802" s="103"/>
      <c r="B802" s="104"/>
      <c r="C802" s="104"/>
    </row>
    <row r="803" customFormat="false" ht="15" hidden="false" customHeight="false" outlineLevel="0" collapsed="false">
      <c r="A803" s="103"/>
      <c r="B803" s="104"/>
      <c r="C803" s="104"/>
    </row>
    <row r="804" customFormat="false" ht="15" hidden="false" customHeight="false" outlineLevel="0" collapsed="false">
      <c r="A804" s="103"/>
      <c r="B804" s="104"/>
      <c r="C804" s="104"/>
    </row>
    <row r="805" customFormat="false" ht="15" hidden="false" customHeight="false" outlineLevel="0" collapsed="false">
      <c r="A805" s="103"/>
      <c r="B805" s="104"/>
      <c r="C805" s="104"/>
    </row>
    <row r="806" customFormat="false" ht="15" hidden="false" customHeight="false" outlineLevel="0" collapsed="false">
      <c r="A806" s="103"/>
      <c r="B806" s="104"/>
      <c r="C806" s="104"/>
    </row>
    <row r="807" customFormat="false" ht="15" hidden="false" customHeight="false" outlineLevel="0" collapsed="false">
      <c r="A807" s="103"/>
      <c r="B807" s="104"/>
      <c r="C807" s="104"/>
    </row>
    <row r="808" customFormat="false" ht="15" hidden="false" customHeight="false" outlineLevel="0" collapsed="false">
      <c r="A808" s="103"/>
      <c r="B808" s="104"/>
      <c r="C808" s="104"/>
    </row>
    <row r="809" customFormat="false" ht="15" hidden="false" customHeight="false" outlineLevel="0" collapsed="false">
      <c r="A809" s="103"/>
      <c r="B809" s="104"/>
      <c r="C809" s="104"/>
    </row>
    <row r="810" customFormat="false" ht="15" hidden="false" customHeight="false" outlineLevel="0" collapsed="false">
      <c r="A810" s="103"/>
      <c r="B810" s="104"/>
      <c r="C810" s="104"/>
    </row>
    <row r="811" customFormat="false" ht="15" hidden="false" customHeight="false" outlineLevel="0" collapsed="false">
      <c r="A811" s="103"/>
      <c r="B811" s="104"/>
      <c r="C811" s="104"/>
    </row>
    <row r="812" customFormat="false" ht="15" hidden="false" customHeight="false" outlineLevel="0" collapsed="false">
      <c r="A812" s="103"/>
      <c r="B812" s="104"/>
      <c r="C812" s="104"/>
    </row>
    <row r="813" customFormat="false" ht="15" hidden="false" customHeight="false" outlineLevel="0" collapsed="false">
      <c r="A813" s="103"/>
      <c r="B813" s="104"/>
      <c r="C813" s="104"/>
    </row>
    <row r="814" customFormat="false" ht="15" hidden="false" customHeight="false" outlineLevel="0" collapsed="false">
      <c r="A814" s="103"/>
      <c r="B814" s="104"/>
      <c r="C814" s="104"/>
    </row>
    <row r="815" customFormat="false" ht="15" hidden="false" customHeight="false" outlineLevel="0" collapsed="false">
      <c r="A815" s="103"/>
      <c r="B815" s="104"/>
      <c r="C815" s="104"/>
    </row>
    <row r="816" customFormat="false" ht="15" hidden="false" customHeight="false" outlineLevel="0" collapsed="false">
      <c r="A816" s="103"/>
      <c r="B816" s="104"/>
      <c r="C816" s="104"/>
    </row>
    <row r="817" customFormat="false" ht="15" hidden="false" customHeight="false" outlineLevel="0" collapsed="false">
      <c r="A817" s="103"/>
      <c r="B817" s="104"/>
      <c r="C817" s="104"/>
    </row>
    <row r="818" customFormat="false" ht="15" hidden="false" customHeight="false" outlineLevel="0" collapsed="false">
      <c r="A818" s="103"/>
      <c r="B818" s="104"/>
      <c r="C818" s="104"/>
    </row>
    <row r="819" customFormat="false" ht="15" hidden="false" customHeight="false" outlineLevel="0" collapsed="false">
      <c r="A819" s="103"/>
      <c r="B819" s="104"/>
      <c r="C819" s="104"/>
    </row>
    <row r="820" customFormat="false" ht="15" hidden="false" customHeight="false" outlineLevel="0" collapsed="false">
      <c r="A820" s="103"/>
      <c r="B820" s="104"/>
      <c r="C820" s="104"/>
    </row>
    <row r="821" customFormat="false" ht="15" hidden="false" customHeight="false" outlineLevel="0" collapsed="false">
      <c r="A821" s="103"/>
      <c r="B821" s="104"/>
      <c r="C821" s="104"/>
    </row>
    <row r="822" customFormat="false" ht="15" hidden="false" customHeight="false" outlineLevel="0" collapsed="false">
      <c r="A822" s="103"/>
      <c r="B822" s="104"/>
      <c r="C822" s="104"/>
    </row>
    <row r="823" customFormat="false" ht="15" hidden="false" customHeight="false" outlineLevel="0" collapsed="false">
      <c r="A823" s="103"/>
      <c r="B823" s="104"/>
      <c r="C823" s="104"/>
    </row>
    <row r="824" customFormat="false" ht="15" hidden="false" customHeight="false" outlineLevel="0" collapsed="false">
      <c r="A824" s="103"/>
      <c r="B824" s="104"/>
      <c r="C824" s="104"/>
    </row>
    <row r="825" customFormat="false" ht="15" hidden="false" customHeight="false" outlineLevel="0" collapsed="false">
      <c r="A825" s="103"/>
      <c r="B825" s="104"/>
      <c r="C825" s="104"/>
    </row>
    <row r="826" customFormat="false" ht="15" hidden="false" customHeight="false" outlineLevel="0" collapsed="false">
      <c r="A826" s="103"/>
      <c r="B826" s="104"/>
      <c r="C826" s="104"/>
    </row>
    <row r="827" customFormat="false" ht="15" hidden="false" customHeight="false" outlineLevel="0" collapsed="false">
      <c r="A827" s="103"/>
      <c r="B827" s="104"/>
      <c r="C827" s="104"/>
    </row>
    <row r="828" customFormat="false" ht="15" hidden="false" customHeight="false" outlineLevel="0" collapsed="false">
      <c r="A828" s="103"/>
      <c r="B828" s="104"/>
      <c r="C828" s="104"/>
    </row>
    <row r="829" customFormat="false" ht="15" hidden="false" customHeight="false" outlineLevel="0" collapsed="false">
      <c r="A829" s="103"/>
      <c r="B829" s="104"/>
      <c r="C829" s="104"/>
    </row>
    <row r="830" customFormat="false" ht="15" hidden="false" customHeight="false" outlineLevel="0" collapsed="false">
      <c r="A830" s="103"/>
      <c r="B830" s="104"/>
      <c r="C830" s="104"/>
    </row>
    <row r="831" customFormat="false" ht="15" hidden="false" customHeight="false" outlineLevel="0" collapsed="false">
      <c r="A831" s="103"/>
      <c r="B831" s="104"/>
      <c r="C831" s="104"/>
    </row>
    <row r="832" customFormat="false" ht="15" hidden="false" customHeight="false" outlineLevel="0" collapsed="false">
      <c r="A832" s="103"/>
      <c r="B832" s="104"/>
      <c r="C832" s="104"/>
    </row>
    <row r="833" customFormat="false" ht="15" hidden="false" customHeight="false" outlineLevel="0" collapsed="false">
      <c r="A833" s="103"/>
      <c r="B833" s="104"/>
      <c r="C833" s="104"/>
    </row>
    <row r="834" customFormat="false" ht="15" hidden="false" customHeight="false" outlineLevel="0" collapsed="false">
      <c r="A834" s="103"/>
      <c r="B834" s="104"/>
      <c r="C834" s="104"/>
    </row>
    <row r="835" customFormat="false" ht="15" hidden="false" customHeight="false" outlineLevel="0" collapsed="false">
      <c r="A835" s="103"/>
      <c r="B835" s="104"/>
      <c r="C835" s="104"/>
    </row>
    <row r="836" customFormat="false" ht="15" hidden="false" customHeight="false" outlineLevel="0" collapsed="false">
      <c r="A836" s="103"/>
      <c r="B836" s="104"/>
      <c r="C836" s="104"/>
    </row>
    <row r="837" customFormat="false" ht="15" hidden="false" customHeight="false" outlineLevel="0" collapsed="false">
      <c r="A837" s="103"/>
      <c r="B837" s="104"/>
      <c r="C837" s="104"/>
    </row>
    <row r="838" customFormat="false" ht="15" hidden="false" customHeight="false" outlineLevel="0" collapsed="false">
      <c r="A838" s="103"/>
      <c r="B838" s="104"/>
      <c r="C838" s="104"/>
    </row>
    <row r="839" customFormat="false" ht="15" hidden="false" customHeight="false" outlineLevel="0" collapsed="false">
      <c r="A839" s="103"/>
      <c r="B839" s="104"/>
      <c r="C839" s="104"/>
    </row>
    <row r="840" customFormat="false" ht="15" hidden="false" customHeight="false" outlineLevel="0" collapsed="false">
      <c r="A840" s="103"/>
      <c r="B840" s="104"/>
      <c r="C840" s="104"/>
    </row>
    <row r="841" customFormat="false" ht="15" hidden="false" customHeight="false" outlineLevel="0" collapsed="false">
      <c r="A841" s="103"/>
      <c r="B841" s="104"/>
      <c r="C841" s="104"/>
    </row>
    <row r="842" customFormat="false" ht="15" hidden="false" customHeight="false" outlineLevel="0" collapsed="false">
      <c r="A842" s="103"/>
      <c r="B842" s="104"/>
      <c r="C842" s="104"/>
    </row>
    <row r="843" customFormat="false" ht="15" hidden="false" customHeight="false" outlineLevel="0" collapsed="false">
      <c r="A843" s="103"/>
      <c r="B843" s="104"/>
      <c r="C843" s="104"/>
    </row>
    <row r="844" customFormat="false" ht="15" hidden="false" customHeight="false" outlineLevel="0" collapsed="false">
      <c r="A844" s="103"/>
      <c r="B844" s="104"/>
      <c r="C844" s="104"/>
    </row>
    <row r="845" customFormat="false" ht="15" hidden="false" customHeight="false" outlineLevel="0" collapsed="false">
      <c r="A845" s="103"/>
      <c r="B845" s="104"/>
      <c r="C845" s="104"/>
    </row>
    <row r="846" customFormat="false" ht="15" hidden="false" customHeight="false" outlineLevel="0" collapsed="false">
      <c r="A846" s="103"/>
      <c r="B846" s="104"/>
      <c r="C846" s="104"/>
    </row>
    <row r="847" customFormat="false" ht="15" hidden="false" customHeight="false" outlineLevel="0" collapsed="false">
      <c r="A847" s="103"/>
      <c r="B847" s="104"/>
      <c r="C847" s="104"/>
    </row>
    <row r="848" customFormat="false" ht="15" hidden="false" customHeight="false" outlineLevel="0" collapsed="false">
      <c r="A848" s="103"/>
      <c r="B848" s="104"/>
      <c r="C848" s="104"/>
    </row>
    <row r="849" customFormat="false" ht="15" hidden="false" customHeight="false" outlineLevel="0" collapsed="false">
      <c r="A849" s="103"/>
      <c r="B849" s="104"/>
      <c r="C849" s="104"/>
    </row>
    <row r="850" customFormat="false" ht="15" hidden="false" customHeight="false" outlineLevel="0" collapsed="false">
      <c r="A850" s="103"/>
      <c r="B850" s="104"/>
      <c r="C850" s="104"/>
    </row>
    <row r="851" customFormat="false" ht="15" hidden="false" customHeight="false" outlineLevel="0" collapsed="false">
      <c r="A851" s="103"/>
      <c r="B851" s="104"/>
      <c r="C851" s="104"/>
    </row>
    <row r="852" customFormat="false" ht="15" hidden="false" customHeight="false" outlineLevel="0" collapsed="false">
      <c r="A852" s="103"/>
      <c r="B852" s="104"/>
      <c r="C852" s="104"/>
    </row>
    <row r="853" customFormat="false" ht="15" hidden="false" customHeight="false" outlineLevel="0" collapsed="false">
      <c r="A853" s="103"/>
      <c r="B853" s="104"/>
      <c r="C853" s="104"/>
    </row>
    <row r="854" customFormat="false" ht="15" hidden="false" customHeight="false" outlineLevel="0" collapsed="false">
      <c r="A854" s="103"/>
      <c r="B854" s="104"/>
      <c r="C854" s="104"/>
    </row>
    <row r="855" customFormat="false" ht="15" hidden="false" customHeight="false" outlineLevel="0" collapsed="false">
      <c r="A855" s="103"/>
      <c r="B855" s="104"/>
      <c r="C855" s="104"/>
    </row>
    <row r="856" customFormat="false" ht="15" hidden="false" customHeight="false" outlineLevel="0" collapsed="false">
      <c r="A856" s="103"/>
      <c r="B856" s="104"/>
      <c r="C856" s="104"/>
    </row>
    <row r="857" customFormat="false" ht="15" hidden="false" customHeight="false" outlineLevel="0" collapsed="false">
      <c r="A857" s="103"/>
      <c r="B857" s="104"/>
      <c r="C857" s="104"/>
    </row>
    <row r="858" customFormat="false" ht="15" hidden="false" customHeight="false" outlineLevel="0" collapsed="false">
      <c r="A858" s="103"/>
      <c r="B858" s="104"/>
      <c r="C858" s="104"/>
    </row>
    <row r="859" customFormat="false" ht="15" hidden="false" customHeight="false" outlineLevel="0" collapsed="false">
      <c r="A859" s="103"/>
      <c r="B859" s="104"/>
      <c r="C859" s="104"/>
    </row>
    <row r="860" customFormat="false" ht="15" hidden="false" customHeight="false" outlineLevel="0" collapsed="false">
      <c r="A860" s="103"/>
      <c r="B860" s="104"/>
      <c r="C860" s="104"/>
    </row>
    <row r="861" customFormat="false" ht="15" hidden="false" customHeight="false" outlineLevel="0" collapsed="false">
      <c r="A861" s="103"/>
      <c r="B861" s="104"/>
      <c r="C861" s="104"/>
    </row>
    <row r="862" customFormat="false" ht="15" hidden="false" customHeight="false" outlineLevel="0" collapsed="false">
      <c r="A862" s="103"/>
      <c r="B862" s="104"/>
      <c r="C862" s="104"/>
    </row>
    <row r="863" customFormat="false" ht="15" hidden="false" customHeight="false" outlineLevel="0" collapsed="false">
      <c r="A863" s="103"/>
      <c r="B863" s="104"/>
      <c r="C863" s="104"/>
    </row>
    <row r="864" customFormat="false" ht="15" hidden="false" customHeight="false" outlineLevel="0" collapsed="false">
      <c r="A864" s="103"/>
      <c r="B864" s="104"/>
      <c r="C864" s="104"/>
    </row>
    <row r="865" customFormat="false" ht="15" hidden="false" customHeight="false" outlineLevel="0" collapsed="false">
      <c r="A865" s="103"/>
      <c r="B865" s="104"/>
      <c r="C865" s="104"/>
    </row>
    <row r="866" customFormat="false" ht="15" hidden="false" customHeight="false" outlineLevel="0" collapsed="false">
      <c r="A866" s="103"/>
      <c r="B866" s="104"/>
      <c r="C866" s="104"/>
    </row>
    <row r="867" customFormat="false" ht="15" hidden="false" customHeight="false" outlineLevel="0" collapsed="false">
      <c r="A867" s="103"/>
      <c r="B867" s="104"/>
      <c r="C867" s="104"/>
    </row>
    <row r="868" customFormat="false" ht="15" hidden="false" customHeight="false" outlineLevel="0" collapsed="false">
      <c r="A868" s="103"/>
      <c r="B868" s="104"/>
      <c r="C868" s="104"/>
    </row>
    <row r="869" customFormat="false" ht="15" hidden="false" customHeight="false" outlineLevel="0" collapsed="false">
      <c r="A869" s="103"/>
      <c r="B869" s="104"/>
      <c r="C869" s="104"/>
    </row>
    <row r="870" customFormat="false" ht="15" hidden="false" customHeight="false" outlineLevel="0" collapsed="false">
      <c r="A870" s="103"/>
      <c r="B870" s="104"/>
      <c r="C870" s="104"/>
    </row>
    <row r="871" customFormat="false" ht="15" hidden="false" customHeight="false" outlineLevel="0" collapsed="false">
      <c r="A871" s="103"/>
      <c r="B871" s="104"/>
      <c r="C871" s="104"/>
    </row>
    <row r="872" customFormat="false" ht="15" hidden="false" customHeight="false" outlineLevel="0" collapsed="false">
      <c r="A872" s="103"/>
      <c r="B872" s="104"/>
      <c r="C872" s="104"/>
    </row>
    <row r="873" customFormat="false" ht="15" hidden="false" customHeight="false" outlineLevel="0" collapsed="false">
      <c r="A873" s="103"/>
      <c r="B873" s="104"/>
      <c r="C873" s="104"/>
    </row>
    <row r="874" customFormat="false" ht="15" hidden="false" customHeight="false" outlineLevel="0" collapsed="false">
      <c r="A874" s="103"/>
      <c r="B874" s="104"/>
      <c r="C874" s="104"/>
    </row>
    <row r="875" customFormat="false" ht="15" hidden="false" customHeight="false" outlineLevel="0" collapsed="false">
      <c r="A875" s="103"/>
      <c r="B875" s="104"/>
      <c r="C875" s="104"/>
    </row>
    <row r="876" customFormat="false" ht="15" hidden="false" customHeight="false" outlineLevel="0" collapsed="false">
      <c r="A876" s="103"/>
      <c r="B876" s="104"/>
      <c r="C876" s="104"/>
    </row>
    <row r="877" customFormat="false" ht="15" hidden="false" customHeight="false" outlineLevel="0" collapsed="false">
      <c r="A877" s="103"/>
      <c r="B877" s="104"/>
      <c r="C877" s="104"/>
    </row>
    <row r="878" customFormat="false" ht="15" hidden="false" customHeight="false" outlineLevel="0" collapsed="false">
      <c r="A878" s="103"/>
      <c r="B878" s="104"/>
      <c r="C878" s="104"/>
    </row>
    <row r="879" customFormat="false" ht="15" hidden="false" customHeight="false" outlineLevel="0" collapsed="false">
      <c r="A879" s="103"/>
      <c r="B879" s="104"/>
      <c r="C879" s="104"/>
    </row>
    <row r="880" customFormat="false" ht="15" hidden="false" customHeight="false" outlineLevel="0" collapsed="false">
      <c r="A880" s="103"/>
      <c r="B880" s="104"/>
      <c r="C880" s="104"/>
    </row>
    <row r="881" customFormat="false" ht="15" hidden="false" customHeight="false" outlineLevel="0" collapsed="false">
      <c r="A881" s="103"/>
      <c r="B881" s="104"/>
      <c r="C881" s="104"/>
    </row>
    <row r="882" customFormat="false" ht="15" hidden="false" customHeight="false" outlineLevel="0" collapsed="false">
      <c r="A882" s="103"/>
      <c r="B882" s="104"/>
      <c r="C882" s="104"/>
    </row>
    <row r="883" customFormat="false" ht="15" hidden="false" customHeight="false" outlineLevel="0" collapsed="false">
      <c r="A883" s="103"/>
      <c r="B883" s="104"/>
      <c r="C883" s="104"/>
    </row>
    <row r="884" customFormat="false" ht="15" hidden="false" customHeight="false" outlineLevel="0" collapsed="false">
      <c r="A884" s="103"/>
      <c r="B884" s="104"/>
      <c r="C884" s="104"/>
    </row>
    <row r="885" customFormat="false" ht="15" hidden="false" customHeight="false" outlineLevel="0" collapsed="false">
      <c r="A885" s="103"/>
      <c r="B885" s="104"/>
      <c r="C885" s="104"/>
    </row>
    <row r="886" customFormat="false" ht="15" hidden="false" customHeight="false" outlineLevel="0" collapsed="false">
      <c r="A886" s="103"/>
      <c r="B886" s="104"/>
      <c r="C886" s="104"/>
    </row>
    <row r="887" customFormat="false" ht="15" hidden="false" customHeight="false" outlineLevel="0" collapsed="false">
      <c r="A887" s="103"/>
      <c r="B887" s="104"/>
      <c r="C887" s="104"/>
    </row>
    <row r="888" customFormat="false" ht="15" hidden="false" customHeight="false" outlineLevel="0" collapsed="false">
      <c r="A888" s="103"/>
      <c r="B888" s="104"/>
      <c r="C888" s="104"/>
    </row>
    <row r="889" customFormat="false" ht="15" hidden="false" customHeight="false" outlineLevel="0" collapsed="false">
      <c r="A889" s="103"/>
      <c r="B889" s="104"/>
      <c r="C889" s="104"/>
    </row>
    <row r="890" customFormat="false" ht="15" hidden="false" customHeight="false" outlineLevel="0" collapsed="false">
      <c r="A890" s="103"/>
      <c r="B890" s="104"/>
      <c r="C890" s="104"/>
    </row>
    <row r="891" customFormat="false" ht="15" hidden="false" customHeight="false" outlineLevel="0" collapsed="false">
      <c r="A891" s="103"/>
      <c r="B891" s="104"/>
      <c r="C891" s="104"/>
    </row>
    <row r="892" customFormat="false" ht="15" hidden="false" customHeight="false" outlineLevel="0" collapsed="false">
      <c r="A892" s="103"/>
      <c r="B892" s="104"/>
      <c r="C892" s="104"/>
    </row>
    <row r="893" customFormat="false" ht="15" hidden="false" customHeight="false" outlineLevel="0" collapsed="false">
      <c r="A893" s="103"/>
      <c r="B893" s="104"/>
      <c r="C893" s="104"/>
    </row>
    <row r="894" customFormat="false" ht="15" hidden="false" customHeight="false" outlineLevel="0" collapsed="false">
      <c r="A894" s="103"/>
      <c r="B894" s="104"/>
      <c r="C894" s="104"/>
    </row>
    <row r="895" customFormat="false" ht="15" hidden="false" customHeight="false" outlineLevel="0" collapsed="false">
      <c r="A895" s="103"/>
      <c r="B895" s="104"/>
      <c r="C895" s="104"/>
    </row>
    <row r="896" customFormat="false" ht="15" hidden="false" customHeight="false" outlineLevel="0" collapsed="false">
      <c r="A896" s="103"/>
      <c r="B896" s="104"/>
      <c r="C896" s="104"/>
    </row>
    <row r="897" customFormat="false" ht="15" hidden="false" customHeight="false" outlineLevel="0" collapsed="false">
      <c r="A897" s="103"/>
      <c r="B897" s="104"/>
      <c r="C897" s="104"/>
    </row>
    <row r="898" customFormat="false" ht="15" hidden="false" customHeight="false" outlineLevel="0" collapsed="false">
      <c r="A898" s="103"/>
      <c r="B898" s="104"/>
      <c r="C898" s="104"/>
    </row>
    <row r="899" customFormat="false" ht="15" hidden="false" customHeight="false" outlineLevel="0" collapsed="false">
      <c r="A899" s="103"/>
      <c r="B899" s="104"/>
      <c r="C899" s="104"/>
    </row>
    <row r="900" customFormat="false" ht="15" hidden="false" customHeight="false" outlineLevel="0" collapsed="false">
      <c r="A900" s="103"/>
      <c r="B900" s="104"/>
      <c r="C900" s="104"/>
    </row>
    <row r="901" customFormat="false" ht="15" hidden="false" customHeight="false" outlineLevel="0" collapsed="false">
      <c r="A901" s="103"/>
      <c r="B901" s="104"/>
      <c r="C901" s="104"/>
    </row>
    <row r="902" customFormat="false" ht="15" hidden="false" customHeight="false" outlineLevel="0" collapsed="false">
      <c r="A902" s="103"/>
      <c r="B902" s="104"/>
      <c r="C902" s="104"/>
    </row>
    <row r="903" customFormat="false" ht="15" hidden="false" customHeight="false" outlineLevel="0" collapsed="false">
      <c r="A903" s="103"/>
      <c r="B903" s="104"/>
      <c r="C903" s="104"/>
    </row>
    <row r="904" customFormat="false" ht="15" hidden="false" customHeight="false" outlineLevel="0" collapsed="false">
      <c r="A904" s="103"/>
      <c r="B904" s="104"/>
      <c r="C904" s="104"/>
    </row>
    <row r="905" customFormat="false" ht="15" hidden="false" customHeight="false" outlineLevel="0" collapsed="false">
      <c r="A905" s="103"/>
      <c r="B905" s="104"/>
      <c r="C905" s="104"/>
    </row>
    <row r="906" customFormat="false" ht="15" hidden="false" customHeight="false" outlineLevel="0" collapsed="false">
      <c r="A906" s="103"/>
      <c r="B906" s="104"/>
      <c r="C906" s="104"/>
    </row>
    <row r="907" customFormat="false" ht="15" hidden="false" customHeight="false" outlineLevel="0" collapsed="false">
      <c r="A907" s="103"/>
      <c r="B907" s="104"/>
      <c r="C907" s="104"/>
    </row>
    <row r="908" customFormat="false" ht="15" hidden="false" customHeight="false" outlineLevel="0" collapsed="false">
      <c r="A908" s="103"/>
      <c r="B908" s="104"/>
      <c r="C908" s="104"/>
    </row>
    <row r="909" customFormat="false" ht="15" hidden="false" customHeight="false" outlineLevel="0" collapsed="false">
      <c r="A909" s="103"/>
      <c r="B909" s="104"/>
      <c r="C909" s="104"/>
    </row>
    <row r="910" customFormat="false" ht="15" hidden="false" customHeight="false" outlineLevel="0" collapsed="false">
      <c r="A910" s="103"/>
      <c r="B910" s="104"/>
      <c r="C910" s="104"/>
    </row>
    <row r="911" customFormat="false" ht="15" hidden="false" customHeight="false" outlineLevel="0" collapsed="false">
      <c r="A911" s="103"/>
      <c r="B911" s="104"/>
      <c r="C911" s="104"/>
    </row>
    <row r="912" customFormat="false" ht="15" hidden="false" customHeight="false" outlineLevel="0" collapsed="false">
      <c r="A912" s="103"/>
      <c r="B912" s="104"/>
      <c r="C912" s="104"/>
    </row>
    <row r="913" customFormat="false" ht="15" hidden="false" customHeight="false" outlineLevel="0" collapsed="false">
      <c r="A913" s="103"/>
      <c r="B913" s="104"/>
      <c r="C913" s="104"/>
    </row>
    <row r="914" customFormat="false" ht="15" hidden="false" customHeight="false" outlineLevel="0" collapsed="false">
      <c r="A914" s="103"/>
      <c r="B914" s="104"/>
      <c r="C914" s="104"/>
    </row>
    <row r="915" customFormat="false" ht="15" hidden="false" customHeight="false" outlineLevel="0" collapsed="false">
      <c r="A915" s="103"/>
      <c r="B915" s="104"/>
      <c r="C915" s="104"/>
    </row>
    <row r="916" customFormat="false" ht="15" hidden="false" customHeight="false" outlineLevel="0" collapsed="false">
      <c r="A916" s="103"/>
      <c r="B916" s="104"/>
      <c r="C916" s="104"/>
    </row>
    <row r="917" customFormat="false" ht="15" hidden="false" customHeight="false" outlineLevel="0" collapsed="false">
      <c r="A917" s="103"/>
      <c r="B917" s="104"/>
      <c r="C917" s="104"/>
    </row>
    <row r="918" customFormat="false" ht="15" hidden="false" customHeight="false" outlineLevel="0" collapsed="false">
      <c r="A918" s="103"/>
      <c r="B918" s="104"/>
      <c r="C918" s="104"/>
    </row>
    <row r="919" customFormat="false" ht="15" hidden="false" customHeight="false" outlineLevel="0" collapsed="false">
      <c r="A919" s="103"/>
      <c r="B919" s="104"/>
      <c r="C919" s="104"/>
    </row>
    <row r="920" customFormat="false" ht="15" hidden="false" customHeight="false" outlineLevel="0" collapsed="false">
      <c r="A920" s="103"/>
      <c r="B920" s="104"/>
      <c r="C920" s="104"/>
    </row>
    <row r="921" customFormat="false" ht="15" hidden="false" customHeight="false" outlineLevel="0" collapsed="false">
      <c r="A921" s="103"/>
      <c r="B921" s="104"/>
      <c r="C921" s="104"/>
    </row>
    <row r="922" customFormat="false" ht="15" hidden="false" customHeight="false" outlineLevel="0" collapsed="false">
      <c r="A922" s="103"/>
      <c r="B922" s="104"/>
      <c r="C922" s="104"/>
    </row>
    <row r="923" customFormat="false" ht="15" hidden="false" customHeight="false" outlineLevel="0" collapsed="false">
      <c r="A923" s="103"/>
      <c r="B923" s="104"/>
      <c r="C923" s="104"/>
    </row>
    <row r="924" customFormat="false" ht="15" hidden="false" customHeight="false" outlineLevel="0" collapsed="false">
      <c r="A924" s="103"/>
      <c r="B924" s="104"/>
      <c r="C924" s="104"/>
    </row>
    <row r="925" customFormat="false" ht="15" hidden="false" customHeight="false" outlineLevel="0" collapsed="false">
      <c r="A925" s="103"/>
      <c r="B925" s="104"/>
      <c r="C925" s="104"/>
    </row>
    <row r="926" customFormat="false" ht="15" hidden="false" customHeight="false" outlineLevel="0" collapsed="false">
      <c r="A926" s="103"/>
      <c r="B926" s="104"/>
      <c r="C926" s="104"/>
    </row>
    <row r="927" customFormat="false" ht="15" hidden="false" customHeight="false" outlineLevel="0" collapsed="false">
      <c r="A927" s="103"/>
      <c r="B927" s="104"/>
      <c r="C927" s="104"/>
    </row>
    <row r="928" customFormat="false" ht="15" hidden="false" customHeight="false" outlineLevel="0" collapsed="false">
      <c r="A928" s="103"/>
      <c r="B928" s="104"/>
      <c r="C928" s="104"/>
    </row>
    <row r="929" customFormat="false" ht="15" hidden="false" customHeight="false" outlineLevel="0" collapsed="false">
      <c r="A929" s="103"/>
      <c r="B929" s="104"/>
      <c r="C929" s="104"/>
    </row>
    <row r="930" customFormat="false" ht="15" hidden="false" customHeight="false" outlineLevel="0" collapsed="false">
      <c r="A930" s="103"/>
      <c r="B930" s="104"/>
      <c r="C930" s="104"/>
    </row>
    <row r="931" customFormat="false" ht="15" hidden="false" customHeight="false" outlineLevel="0" collapsed="false">
      <c r="A931" s="103"/>
      <c r="B931" s="104"/>
      <c r="C931" s="104"/>
    </row>
    <row r="932" customFormat="false" ht="15" hidden="false" customHeight="false" outlineLevel="0" collapsed="false">
      <c r="A932" s="103"/>
      <c r="B932" s="104"/>
      <c r="C932" s="104"/>
    </row>
    <row r="933" customFormat="false" ht="15" hidden="false" customHeight="false" outlineLevel="0" collapsed="false">
      <c r="A933" s="103"/>
      <c r="B933" s="104"/>
      <c r="C933" s="104"/>
    </row>
    <row r="934" customFormat="false" ht="15" hidden="false" customHeight="false" outlineLevel="0" collapsed="false">
      <c r="A934" s="103"/>
      <c r="B934" s="104"/>
      <c r="C934" s="104"/>
    </row>
    <row r="935" customFormat="false" ht="15" hidden="false" customHeight="false" outlineLevel="0" collapsed="false">
      <c r="A935" s="103"/>
      <c r="B935" s="104"/>
      <c r="C935" s="104"/>
    </row>
    <row r="936" customFormat="false" ht="15" hidden="false" customHeight="false" outlineLevel="0" collapsed="false">
      <c r="A936" s="103"/>
      <c r="B936" s="104"/>
      <c r="C936" s="104"/>
    </row>
    <row r="937" customFormat="false" ht="15" hidden="false" customHeight="false" outlineLevel="0" collapsed="false">
      <c r="A937" s="103"/>
      <c r="B937" s="104"/>
      <c r="C937" s="104"/>
    </row>
    <row r="938" customFormat="false" ht="15" hidden="false" customHeight="false" outlineLevel="0" collapsed="false">
      <c r="A938" s="103"/>
      <c r="B938" s="104"/>
      <c r="C938" s="104"/>
    </row>
    <row r="939" customFormat="false" ht="15" hidden="false" customHeight="false" outlineLevel="0" collapsed="false">
      <c r="A939" s="103"/>
      <c r="B939" s="104"/>
      <c r="C939" s="104"/>
    </row>
    <row r="940" customFormat="false" ht="15" hidden="false" customHeight="false" outlineLevel="0" collapsed="false">
      <c r="A940" s="103"/>
      <c r="B940" s="104"/>
      <c r="C940" s="104"/>
    </row>
    <row r="941" customFormat="false" ht="15" hidden="false" customHeight="false" outlineLevel="0" collapsed="false">
      <c r="A941" s="103"/>
      <c r="B941" s="104"/>
      <c r="C941" s="104"/>
    </row>
    <row r="942" customFormat="false" ht="15" hidden="false" customHeight="false" outlineLevel="0" collapsed="false">
      <c r="A942" s="103"/>
      <c r="B942" s="104"/>
      <c r="C942" s="104"/>
    </row>
    <row r="943" customFormat="false" ht="15" hidden="false" customHeight="false" outlineLevel="0" collapsed="false">
      <c r="A943" s="103"/>
      <c r="B943" s="104"/>
      <c r="C943" s="104"/>
    </row>
    <row r="944" customFormat="false" ht="15" hidden="false" customHeight="false" outlineLevel="0" collapsed="false">
      <c r="A944" s="103"/>
      <c r="B944" s="104"/>
      <c r="C944" s="104"/>
    </row>
    <row r="945" customFormat="false" ht="15" hidden="false" customHeight="false" outlineLevel="0" collapsed="false">
      <c r="A945" s="103"/>
      <c r="B945" s="104"/>
      <c r="C945" s="104"/>
    </row>
    <row r="946" customFormat="false" ht="15" hidden="false" customHeight="false" outlineLevel="0" collapsed="false">
      <c r="A946" s="103"/>
      <c r="B946" s="104"/>
      <c r="C946" s="104"/>
    </row>
    <row r="947" customFormat="false" ht="15" hidden="false" customHeight="false" outlineLevel="0" collapsed="false">
      <c r="A947" s="103"/>
      <c r="B947" s="104"/>
      <c r="C947" s="104"/>
    </row>
    <row r="948" customFormat="false" ht="15" hidden="false" customHeight="false" outlineLevel="0" collapsed="false">
      <c r="A948" s="103"/>
      <c r="B948" s="104"/>
      <c r="C948" s="104"/>
    </row>
    <row r="949" customFormat="false" ht="15" hidden="false" customHeight="false" outlineLevel="0" collapsed="false">
      <c r="A949" s="103"/>
      <c r="B949" s="104"/>
      <c r="C949" s="104"/>
    </row>
    <row r="950" customFormat="false" ht="15" hidden="false" customHeight="false" outlineLevel="0" collapsed="false">
      <c r="A950" s="103"/>
      <c r="B950" s="104"/>
      <c r="C950" s="104"/>
    </row>
    <row r="951" customFormat="false" ht="15" hidden="false" customHeight="false" outlineLevel="0" collapsed="false">
      <c r="A951" s="103"/>
      <c r="B951" s="104"/>
      <c r="C951" s="104"/>
    </row>
    <row r="952" customFormat="false" ht="15" hidden="false" customHeight="false" outlineLevel="0" collapsed="false">
      <c r="A952" s="103"/>
      <c r="B952" s="104"/>
      <c r="C952" s="104"/>
    </row>
    <row r="953" customFormat="false" ht="15" hidden="false" customHeight="false" outlineLevel="0" collapsed="false">
      <c r="A953" s="103"/>
      <c r="B953" s="104"/>
      <c r="C953" s="104"/>
    </row>
    <row r="954" customFormat="false" ht="15" hidden="false" customHeight="false" outlineLevel="0" collapsed="false">
      <c r="A954" s="103"/>
      <c r="B954" s="104"/>
      <c r="C954" s="104"/>
    </row>
    <row r="955" customFormat="false" ht="15" hidden="false" customHeight="false" outlineLevel="0" collapsed="false">
      <c r="A955" s="103"/>
      <c r="B955" s="104"/>
      <c r="C955" s="104"/>
    </row>
    <row r="956" customFormat="false" ht="15" hidden="false" customHeight="false" outlineLevel="0" collapsed="false">
      <c r="A956" s="103"/>
      <c r="B956" s="104"/>
      <c r="C956" s="104"/>
    </row>
    <row r="957" customFormat="false" ht="15" hidden="false" customHeight="false" outlineLevel="0" collapsed="false">
      <c r="A957" s="103"/>
      <c r="B957" s="104"/>
      <c r="C957" s="104"/>
    </row>
    <row r="958" customFormat="false" ht="15" hidden="false" customHeight="false" outlineLevel="0" collapsed="false">
      <c r="A958" s="103"/>
      <c r="B958" s="104"/>
      <c r="C958" s="104"/>
    </row>
    <row r="959" customFormat="false" ht="15" hidden="false" customHeight="false" outlineLevel="0" collapsed="false">
      <c r="A959" s="103"/>
      <c r="B959" s="104"/>
      <c r="C959" s="104"/>
    </row>
    <row r="960" customFormat="false" ht="15" hidden="false" customHeight="false" outlineLevel="0" collapsed="false">
      <c r="A960" s="103"/>
      <c r="B960" s="104"/>
      <c r="C960" s="104"/>
    </row>
    <row r="961" customFormat="false" ht="15" hidden="false" customHeight="false" outlineLevel="0" collapsed="false">
      <c r="A961" s="103"/>
      <c r="B961" s="104"/>
      <c r="C961" s="104"/>
    </row>
    <row r="962" customFormat="false" ht="15" hidden="false" customHeight="false" outlineLevel="0" collapsed="false">
      <c r="A962" s="103"/>
      <c r="B962" s="104"/>
      <c r="C962" s="104"/>
    </row>
    <row r="963" customFormat="false" ht="15" hidden="false" customHeight="false" outlineLevel="0" collapsed="false">
      <c r="A963" s="103"/>
      <c r="B963" s="104"/>
      <c r="C963" s="104"/>
    </row>
    <row r="964" customFormat="false" ht="15" hidden="false" customHeight="false" outlineLevel="0" collapsed="false">
      <c r="A964" s="103"/>
      <c r="B964" s="104"/>
      <c r="C964" s="104"/>
    </row>
    <row r="965" customFormat="false" ht="15" hidden="false" customHeight="false" outlineLevel="0" collapsed="false">
      <c r="A965" s="103"/>
      <c r="B965" s="104"/>
      <c r="C965" s="104"/>
    </row>
    <row r="966" customFormat="false" ht="15" hidden="false" customHeight="false" outlineLevel="0" collapsed="false">
      <c r="A966" s="103"/>
      <c r="B966" s="104"/>
      <c r="C966" s="104"/>
    </row>
    <row r="967" customFormat="false" ht="15" hidden="false" customHeight="false" outlineLevel="0" collapsed="false">
      <c r="A967" s="103"/>
      <c r="B967" s="104"/>
      <c r="C967" s="104"/>
    </row>
    <row r="968" customFormat="false" ht="15" hidden="false" customHeight="false" outlineLevel="0" collapsed="false">
      <c r="A968" s="103"/>
      <c r="B968" s="104"/>
      <c r="C968" s="104"/>
    </row>
    <row r="969" customFormat="false" ht="15" hidden="false" customHeight="false" outlineLevel="0" collapsed="false">
      <c r="A969" s="103"/>
      <c r="B969" s="104"/>
      <c r="C969" s="104"/>
    </row>
    <row r="970" customFormat="false" ht="15" hidden="false" customHeight="false" outlineLevel="0" collapsed="false">
      <c r="A970" s="103"/>
      <c r="B970" s="104"/>
      <c r="C970" s="104"/>
    </row>
    <row r="971" customFormat="false" ht="15" hidden="false" customHeight="false" outlineLevel="0" collapsed="false">
      <c r="A971" s="103"/>
      <c r="B971" s="104"/>
      <c r="C971" s="104"/>
    </row>
    <row r="972" customFormat="false" ht="15" hidden="false" customHeight="false" outlineLevel="0" collapsed="false">
      <c r="A972" s="103"/>
      <c r="B972" s="104"/>
      <c r="C972" s="104"/>
    </row>
    <row r="973" customFormat="false" ht="15" hidden="false" customHeight="false" outlineLevel="0" collapsed="false">
      <c r="A973" s="103"/>
      <c r="B973" s="104"/>
      <c r="C973" s="104"/>
    </row>
    <row r="974" customFormat="false" ht="15" hidden="false" customHeight="false" outlineLevel="0" collapsed="false">
      <c r="A974" s="103"/>
      <c r="B974" s="104"/>
      <c r="C974" s="104"/>
    </row>
    <row r="975" customFormat="false" ht="15" hidden="false" customHeight="false" outlineLevel="0" collapsed="false">
      <c r="A975" s="103"/>
      <c r="B975" s="104"/>
      <c r="C975" s="104"/>
    </row>
    <row r="976" customFormat="false" ht="15" hidden="false" customHeight="false" outlineLevel="0" collapsed="false">
      <c r="A976" s="103"/>
      <c r="B976" s="104"/>
      <c r="C976" s="104"/>
    </row>
    <row r="977" customFormat="false" ht="15" hidden="false" customHeight="false" outlineLevel="0" collapsed="false">
      <c r="A977" s="103"/>
      <c r="B977" s="104"/>
      <c r="C977" s="104"/>
    </row>
    <row r="978" customFormat="false" ht="15" hidden="false" customHeight="false" outlineLevel="0" collapsed="false">
      <c r="A978" s="103"/>
      <c r="B978" s="104"/>
      <c r="C978" s="104"/>
    </row>
    <row r="979" customFormat="false" ht="15" hidden="false" customHeight="false" outlineLevel="0" collapsed="false">
      <c r="A979" s="103"/>
      <c r="B979" s="104"/>
      <c r="C979" s="104"/>
    </row>
    <row r="980" customFormat="false" ht="15" hidden="false" customHeight="false" outlineLevel="0" collapsed="false">
      <c r="A980" s="103"/>
      <c r="B980" s="104"/>
      <c r="C980" s="104"/>
    </row>
    <row r="981" customFormat="false" ht="15" hidden="false" customHeight="false" outlineLevel="0" collapsed="false">
      <c r="A981" s="103"/>
      <c r="B981" s="104"/>
      <c r="C981" s="104"/>
    </row>
    <row r="982" customFormat="false" ht="15" hidden="false" customHeight="false" outlineLevel="0" collapsed="false">
      <c r="A982" s="103"/>
      <c r="B982" s="104"/>
      <c r="C982" s="104"/>
    </row>
    <row r="983" customFormat="false" ht="15" hidden="false" customHeight="false" outlineLevel="0" collapsed="false">
      <c r="A983" s="103"/>
      <c r="B983" s="104"/>
      <c r="C983" s="104"/>
    </row>
    <row r="984" customFormat="false" ht="15" hidden="false" customHeight="false" outlineLevel="0" collapsed="false">
      <c r="A984" s="103"/>
      <c r="B984" s="104"/>
      <c r="C984" s="104"/>
    </row>
    <row r="985" customFormat="false" ht="15" hidden="false" customHeight="false" outlineLevel="0" collapsed="false">
      <c r="A985" s="103"/>
      <c r="B985" s="104"/>
      <c r="C985" s="104"/>
    </row>
    <row r="986" customFormat="false" ht="15" hidden="false" customHeight="false" outlineLevel="0" collapsed="false">
      <c r="A986" s="103"/>
      <c r="B986" s="104"/>
      <c r="C986" s="104"/>
    </row>
    <row r="987" customFormat="false" ht="15" hidden="false" customHeight="false" outlineLevel="0" collapsed="false">
      <c r="A987" s="103"/>
      <c r="B987" s="104"/>
      <c r="C987" s="104"/>
    </row>
    <row r="988" customFormat="false" ht="15" hidden="false" customHeight="false" outlineLevel="0" collapsed="false">
      <c r="A988" s="103"/>
      <c r="B988" s="104"/>
      <c r="C988" s="104"/>
    </row>
    <row r="989" customFormat="false" ht="15" hidden="false" customHeight="false" outlineLevel="0" collapsed="false">
      <c r="A989" s="103"/>
      <c r="B989" s="104"/>
      <c r="C989" s="104"/>
    </row>
    <row r="990" customFormat="false" ht="15" hidden="false" customHeight="false" outlineLevel="0" collapsed="false">
      <c r="A990" s="103"/>
      <c r="B990" s="104"/>
      <c r="C990" s="104"/>
    </row>
    <row r="991" customFormat="false" ht="15" hidden="false" customHeight="false" outlineLevel="0" collapsed="false">
      <c r="A991" s="103"/>
      <c r="B991" s="104"/>
      <c r="C991" s="104"/>
    </row>
    <row r="992" customFormat="false" ht="15" hidden="false" customHeight="false" outlineLevel="0" collapsed="false">
      <c r="A992" s="103"/>
      <c r="B992" s="104"/>
      <c r="C992" s="104"/>
    </row>
    <row r="993" customFormat="false" ht="15" hidden="false" customHeight="false" outlineLevel="0" collapsed="false">
      <c r="A993" s="103"/>
      <c r="B993" s="104"/>
      <c r="C993" s="104"/>
    </row>
    <row r="994" customFormat="false" ht="15" hidden="false" customHeight="false" outlineLevel="0" collapsed="false">
      <c r="A994" s="103"/>
      <c r="B994" s="104"/>
      <c r="C994" s="104"/>
    </row>
    <row r="995" customFormat="false" ht="15" hidden="false" customHeight="false" outlineLevel="0" collapsed="false">
      <c r="A995" s="103"/>
      <c r="B995" s="104"/>
      <c r="C995" s="104"/>
    </row>
    <row r="996" customFormat="false" ht="15" hidden="false" customHeight="false" outlineLevel="0" collapsed="false">
      <c r="A996" s="103"/>
      <c r="B996" s="104"/>
      <c r="C996" s="104"/>
    </row>
    <row r="997" customFormat="false" ht="15" hidden="false" customHeight="false" outlineLevel="0" collapsed="false">
      <c r="A997" s="103"/>
      <c r="B997" s="104"/>
      <c r="C997" s="104"/>
    </row>
    <row r="998" customFormat="false" ht="15" hidden="false" customHeight="false" outlineLevel="0" collapsed="false">
      <c r="A998" s="103"/>
      <c r="B998" s="104"/>
      <c r="C998" s="104"/>
    </row>
    <row r="999" customFormat="false" ht="15" hidden="false" customHeight="false" outlineLevel="0" collapsed="false">
      <c r="A999" s="103"/>
      <c r="B999" s="104"/>
      <c r="C999" s="104"/>
    </row>
    <row r="1000" customFormat="false" ht="15" hidden="false" customHeight="false" outlineLevel="0" collapsed="false">
      <c r="A1000" s="103"/>
      <c r="B1000" s="104"/>
      <c r="C1000" s="104"/>
    </row>
    <row r="1001" customFormat="false" ht="15" hidden="false" customHeight="false" outlineLevel="0" collapsed="false">
      <c r="A1001" s="103"/>
      <c r="B1001" s="104"/>
      <c r="C1001" s="104"/>
    </row>
  </sheetData>
  <dataValidations count="2">
    <dataValidation allowBlank="true" errorStyle="stop" operator="between" showDropDown="false" showErrorMessage="false" showInputMessage="false" sqref="B2:B1001" type="list">
      <formula1>'إعدادات المخزون'!$A$15:$A$18</formula1>
      <formula2>0</formula2>
    </dataValidation>
    <dataValidation allowBlank="true" errorStyle="stop" operator="between" showDropDown="false" showErrorMessage="false" showInputMessage="false" sqref="C2:C1001" type="list">
      <formula1>'مواد المخزون'!$A$2:$A$90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38"/>
    <col collapsed="false" customWidth="true" hidden="false" outlineLevel="0" max="4" min="4" style="0" width="22"/>
    <col collapsed="false" customWidth="true" hidden="false" outlineLevel="0" max="5" min="5" style="0" width="20"/>
    <col collapsed="false" customWidth="true" hidden="false" outlineLevel="0" max="6" min="6" style="0" width="40"/>
  </cols>
  <sheetData>
    <row r="1" customFormat="false" ht="33.75" hidden="false" customHeight="true" outlineLevel="0" collapsed="false">
      <c r="A1" s="18" t="s">
        <v>66</v>
      </c>
      <c r="B1" s="18" t="s">
        <v>605</v>
      </c>
      <c r="C1" s="18" t="s">
        <v>59</v>
      </c>
      <c r="D1" s="18" t="s">
        <v>797</v>
      </c>
      <c r="E1" s="18" t="s">
        <v>772</v>
      </c>
      <c r="F1" s="18" t="s">
        <v>798</v>
      </c>
    </row>
    <row r="2" customFormat="false" ht="15" hidden="false" customHeight="false" outlineLevel="0" collapsed="false">
      <c r="A2" s="103"/>
    </row>
    <row r="3" customFormat="false" ht="15" hidden="false" customHeight="false" outlineLevel="0" collapsed="false">
      <c r="A3" s="103"/>
    </row>
    <row r="4" customFormat="false" ht="15" hidden="false" customHeight="false" outlineLevel="0" collapsed="false">
      <c r="A4" s="103"/>
    </row>
    <row r="5" customFormat="false" ht="15" hidden="false" customHeight="false" outlineLevel="0" collapsed="false">
      <c r="A5" s="103"/>
    </row>
    <row r="6" customFormat="false" ht="15" hidden="false" customHeight="false" outlineLevel="0" collapsed="false">
      <c r="A6" s="103"/>
    </row>
    <row r="7" customFormat="false" ht="15" hidden="false" customHeight="false" outlineLevel="0" collapsed="false">
      <c r="A7" s="103"/>
    </row>
    <row r="8" customFormat="false" ht="15" hidden="false" customHeight="false" outlineLevel="0" collapsed="false">
      <c r="A8" s="103"/>
    </row>
    <row r="9" customFormat="false" ht="15" hidden="false" customHeight="false" outlineLevel="0" collapsed="false">
      <c r="A9" s="103"/>
    </row>
    <row r="10" customFormat="false" ht="15" hidden="false" customHeight="false" outlineLevel="0" collapsed="false">
      <c r="A10" s="103"/>
    </row>
    <row r="11" customFormat="false" ht="15" hidden="false" customHeight="false" outlineLevel="0" collapsed="false">
      <c r="A11" s="103"/>
    </row>
    <row r="12" customFormat="false" ht="15" hidden="false" customHeight="false" outlineLevel="0" collapsed="false">
      <c r="A12" s="103"/>
    </row>
    <row r="13" customFormat="false" ht="15" hidden="false" customHeight="false" outlineLevel="0" collapsed="false">
      <c r="A13" s="103"/>
    </row>
    <row r="14" customFormat="false" ht="15" hidden="false" customHeight="false" outlineLevel="0" collapsed="false">
      <c r="A14" s="103"/>
    </row>
    <row r="15" customFormat="false" ht="15" hidden="false" customHeight="false" outlineLevel="0" collapsed="false">
      <c r="A15" s="103"/>
    </row>
    <row r="16" customFormat="false" ht="15" hidden="false" customHeight="false" outlineLevel="0" collapsed="false">
      <c r="A16" s="103"/>
    </row>
    <row r="17" customFormat="false" ht="15" hidden="false" customHeight="false" outlineLevel="0" collapsed="false">
      <c r="A17" s="103"/>
    </row>
    <row r="18" customFormat="false" ht="15" hidden="false" customHeight="false" outlineLevel="0" collapsed="false">
      <c r="A18" s="103"/>
    </row>
    <row r="19" customFormat="false" ht="15" hidden="false" customHeight="false" outlineLevel="0" collapsed="false">
      <c r="A19" s="103"/>
    </row>
    <row r="20" customFormat="false" ht="15" hidden="false" customHeight="false" outlineLevel="0" collapsed="false">
      <c r="A20" s="103"/>
    </row>
    <row r="21" customFormat="false" ht="15" hidden="false" customHeight="false" outlineLevel="0" collapsed="false">
      <c r="A21" s="103"/>
    </row>
    <row r="22" customFormat="false" ht="15" hidden="false" customHeight="false" outlineLevel="0" collapsed="false">
      <c r="A22" s="103"/>
    </row>
    <row r="23" customFormat="false" ht="15" hidden="false" customHeight="false" outlineLevel="0" collapsed="false">
      <c r="A23" s="103"/>
    </row>
    <row r="24" customFormat="false" ht="15" hidden="false" customHeight="false" outlineLevel="0" collapsed="false">
      <c r="A24" s="103"/>
    </row>
    <row r="25" customFormat="false" ht="15" hidden="false" customHeight="false" outlineLevel="0" collapsed="false">
      <c r="A25" s="103"/>
    </row>
    <row r="26" customFormat="false" ht="15" hidden="false" customHeight="false" outlineLevel="0" collapsed="false">
      <c r="A26" s="103"/>
    </row>
    <row r="27" customFormat="false" ht="15" hidden="false" customHeight="false" outlineLevel="0" collapsed="false">
      <c r="A27" s="103"/>
    </row>
    <row r="28" customFormat="false" ht="15" hidden="false" customHeight="false" outlineLevel="0" collapsed="false">
      <c r="A28" s="103"/>
    </row>
    <row r="29" customFormat="false" ht="15" hidden="false" customHeight="false" outlineLevel="0" collapsed="false">
      <c r="A29" s="103"/>
    </row>
    <row r="30" customFormat="false" ht="15" hidden="false" customHeight="false" outlineLevel="0" collapsed="false">
      <c r="A30" s="103"/>
    </row>
    <row r="31" customFormat="false" ht="15" hidden="false" customHeight="false" outlineLevel="0" collapsed="false">
      <c r="A31" s="103"/>
    </row>
    <row r="32" customFormat="false" ht="15" hidden="false" customHeight="false" outlineLevel="0" collapsed="false">
      <c r="A32" s="103"/>
    </row>
    <row r="33" customFormat="false" ht="15" hidden="false" customHeight="false" outlineLevel="0" collapsed="false">
      <c r="A33" s="103"/>
    </row>
    <row r="34" customFormat="false" ht="15" hidden="false" customHeight="false" outlineLevel="0" collapsed="false">
      <c r="A34" s="103"/>
    </row>
    <row r="35" customFormat="false" ht="15" hidden="false" customHeight="false" outlineLevel="0" collapsed="false">
      <c r="A35" s="103"/>
    </row>
    <row r="36" customFormat="false" ht="15" hidden="false" customHeight="false" outlineLevel="0" collapsed="false">
      <c r="A36" s="103"/>
    </row>
    <row r="37" customFormat="false" ht="15" hidden="false" customHeight="false" outlineLevel="0" collapsed="false">
      <c r="A37" s="103"/>
    </row>
    <row r="38" customFormat="false" ht="15" hidden="false" customHeight="false" outlineLevel="0" collapsed="false">
      <c r="A38" s="103"/>
    </row>
    <row r="39" customFormat="false" ht="15" hidden="false" customHeight="false" outlineLevel="0" collapsed="false">
      <c r="A39" s="103"/>
    </row>
    <row r="40" customFormat="false" ht="15" hidden="false" customHeight="false" outlineLevel="0" collapsed="false">
      <c r="A40" s="103"/>
    </row>
    <row r="41" customFormat="false" ht="15" hidden="false" customHeight="false" outlineLevel="0" collapsed="false">
      <c r="A41" s="103"/>
    </row>
    <row r="42" customFormat="false" ht="15" hidden="false" customHeight="false" outlineLevel="0" collapsed="false">
      <c r="A42" s="103"/>
    </row>
    <row r="43" customFormat="false" ht="15" hidden="false" customHeight="false" outlineLevel="0" collapsed="false">
      <c r="A43" s="103"/>
    </row>
    <row r="44" customFormat="false" ht="15" hidden="false" customHeight="false" outlineLevel="0" collapsed="false">
      <c r="A44" s="103"/>
    </row>
    <row r="45" customFormat="false" ht="15" hidden="false" customHeight="false" outlineLevel="0" collapsed="false">
      <c r="A45" s="103"/>
    </row>
    <row r="46" customFormat="false" ht="15" hidden="false" customHeight="false" outlineLevel="0" collapsed="false">
      <c r="A46" s="103"/>
    </row>
    <row r="47" customFormat="false" ht="15" hidden="false" customHeight="false" outlineLevel="0" collapsed="false">
      <c r="A47" s="103"/>
    </row>
    <row r="48" customFormat="false" ht="15" hidden="false" customHeight="false" outlineLevel="0" collapsed="false">
      <c r="A48" s="103"/>
    </row>
    <row r="49" customFormat="false" ht="15" hidden="false" customHeight="false" outlineLevel="0" collapsed="false">
      <c r="A49" s="103"/>
    </row>
    <row r="50" customFormat="false" ht="15" hidden="false" customHeight="false" outlineLevel="0" collapsed="false">
      <c r="A50" s="103"/>
    </row>
    <row r="51" customFormat="false" ht="15" hidden="false" customHeight="false" outlineLevel="0" collapsed="false">
      <c r="A51" s="103"/>
    </row>
    <row r="52" customFormat="false" ht="15" hidden="false" customHeight="false" outlineLevel="0" collapsed="false">
      <c r="A52" s="103"/>
    </row>
    <row r="53" customFormat="false" ht="15" hidden="false" customHeight="false" outlineLevel="0" collapsed="false">
      <c r="A53" s="103"/>
    </row>
    <row r="54" customFormat="false" ht="15" hidden="false" customHeight="false" outlineLevel="0" collapsed="false">
      <c r="A54" s="103"/>
    </row>
    <row r="55" customFormat="false" ht="15" hidden="false" customHeight="false" outlineLevel="0" collapsed="false">
      <c r="A55" s="103"/>
    </row>
    <row r="56" customFormat="false" ht="15" hidden="false" customHeight="false" outlineLevel="0" collapsed="false">
      <c r="A56" s="103"/>
    </row>
    <row r="57" customFormat="false" ht="15" hidden="false" customHeight="false" outlineLevel="0" collapsed="false">
      <c r="A57" s="103"/>
    </row>
    <row r="58" customFormat="false" ht="15" hidden="false" customHeight="false" outlineLevel="0" collapsed="false">
      <c r="A58" s="103"/>
    </row>
    <row r="59" customFormat="false" ht="15" hidden="false" customHeight="false" outlineLevel="0" collapsed="false">
      <c r="A59" s="103"/>
    </row>
    <row r="60" customFormat="false" ht="15" hidden="false" customHeight="false" outlineLevel="0" collapsed="false">
      <c r="A60" s="103"/>
    </row>
    <row r="61" customFormat="false" ht="15" hidden="false" customHeight="false" outlineLevel="0" collapsed="false">
      <c r="A61" s="103"/>
    </row>
    <row r="62" customFormat="false" ht="15" hidden="false" customHeight="false" outlineLevel="0" collapsed="false">
      <c r="A62" s="103"/>
    </row>
    <row r="63" customFormat="false" ht="15" hidden="false" customHeight="false" outlineLevel="0" collapsed="false">
      <c r="A63" s="103"/>
    </row>
    <row r="64" customFormat="false" ht="15" hidden="false" customHeight="false" outlineLevel="0" collapsed="false">
      <c r="A64" s="103"/>
    </row>
    <row r="65" customFormat="false" ht="15" hidden="false" customHeight="false" outlineLevel="0" collapsed="false">
      <c r="A65" s="103"/>
    </row>
    <row r="66" customFormat="false" ht="15" hidden="false" customHeight="false" outlineLevel="0" collapsed="false">
      <c r="A66" s="103"/>
    </row>
    <row r="67" customFormat="false" ht="15" hidden="false" customHeight="false" outlineLevel="0" collapsed="false">
      <c r="A67" s="103"/>
    </row>
    <row r="68" customFormat="false" ht="15" hidden="false" customHeight="false" outlineLevel="0" collapsed="false">
      <c r="A68" s="103"/>
    </row>
    <row r="69" customFormat="false" ht="15" hidden="false" customHeight="false" outlineLevel="0" collapsed="false">
      <c r="A69" s="103"/>
    </row>
    <row r="70" customFormat="false" ht="15" hidden="false" customHeight="false" outlineLevel="0" collapsed="false">
      <c r="A70" s="103"/>
    </row>
    <row r="71" customFormat="false" ht="15" hidden="false" customHeight="false" outlineLevel="0" collapsed="false">
      <c r="A71" s="103"/>
    </row>
    <row r="72" customFormat="false" ht="15" hidden="false" customHeight="false" outlineLevel="0" collapsed="false">
      <c r="A72" s="103"/>
    </row>
    <row r="73" customFormat="false" ht="15" hidden="false" customHeight="false" outlineLevel="0" collapsed="false">
      <c r="A73" s="103"/>
    </row>
    <row r="74" customFormat="false" ht="15" hidden="false" customHeight="false" outlineLevel="0" collapsed="false">
      <c r="A74" s="103"/>
    </row>
    <row r="75" customFormat="false" ht="15" hidden="false" customHeight="false" outlineLevel="0" collapsed="false">
      <c r="A75" s="103"/>
    </row>
    <row r="76" customFormat="false" ht="15" hidden="false" customHeight="false" outlineLevel="0" collapsed="false">
      <c r="A76" s="103"/>
    </row>
    <row r="77" customFormat="false" ht="15" hidden="false" customHeight="false" outlineLevel="0" collapsed="false">
      <c r="A77" s="103"/>
    </row>
    <row r="78" customFormat="false" ht="15" hidden="false" customHeight="false" outlineLevel="0" collapsed="false">
      <c r="A78" s="103"/>
    </row>
    <row r="79" customFormat="false" ht="15" hidden="false" customHeight="false" outlineLevel="0" collapsed="false">
      <c r="A79" s="103"/>
    </row>
    <row r="80" customFormat="false" ht="15" hidden="false" customHeight="false" outlineLevel="0" collapsed="false">
      <c r="A80" s="103"/>
    </row>
    <row r="81" customFormat="false" ht="15" hidden="false" customHeight="false" outlineLevel="0" collapsed="false">
      <c r="A81" s="103"/>
    </row>
    <row r="82" customFormat="false" ht="15" hidden="false" customHeight="false" outlineLevel="0" collapsed="false">
      <c r="A82" s="103"/>
    </row>
    <row r="83" customFormat="false" ht="15" hidden="false" customHeight="false" outlineLevel="0" collapsed="false">
      <c r="A83" s="103"/>
    </row>
    <row r="84" customFormat="false" ht="15" hidden="false" customHeight="false" outlineLevel="0" collapsed="false">
      <c r="A84" s="103"/>
    </row>
    <row r="85" customFormat="false" ht="15" hidden="false" customHeight="false" outlineLevel="0" collapsed="false">
      <c r="A85" s="103"/>
    </row>
    <row r="86" customFormat="false" ht="15" hidden="false" customHeight="false" outlineLevel="0" collapsed="false">
      <c r="A86" s="103"/>
    </row>
    <row r="87" customFormat="false" ht="15" hidden="false" customHeight="false" outlineLevel="0" collapsed="false">
      <c r="A87" s="103"/>
    </row>
    <row r="88" customFormat="false" ht="15" hidden="false" customHeight="false" outlineLevel="0" collapsed="false">
      <c r="A88" s="103"/>
    </row>
    <row r="89" customFormat="false" ht="15" hidden="false" customHeight="false" outlineLevel="0" collapsed="false">
      <c r="A89" s="103"/>
    </row>
    <row r="90" customFormat="false" ht="15" hidden="false" customHeight="false" outlineLevel="0" collapsed="false">
      <c r="A90" s="103"/>
    </row>
    <row r="91" customFormat="false" ht="15" hidden="false" customHeight="false" outlineLevel="0" collapsed="false">
      <c r="A91" s="103"/>
    </row>
    <row r="92" customFormat="false" ht="15" hidden="false" customHeight="false" outlineLevel="0" collapsed="false">
      <c r="A92" s="103"/>
    </row>
    <row r="93" customFormat="false" ht="15" hidden="false" customHeight="false" outlineLevel="0" collapsed="false">
      <c r="A93" s="103"/>
    </row>
    <row r="94" customFormat="false" ht="15" hidden="false" customHeight="false" outlineLevel="0" collapsed="false">
      <c r="A94" s="103"/>
    </row>
    <row r="95" customFormat="false" ht="15" hidden="false" customHeight="false" outlineLevel="0" collapsed="false">
      <c r="A95" s="103"/>
    </row>
    <row r="96" customFormat="false" ht="15" hidden="false" customHeight="false" outlineLevel="0" collapsed="false">
      <c r="A96" s="103"/>
    </row>
    <row r="97" customFormat="false" ht="15" hidden="false" customHeight="false" outlineLevel="0" collapsed="false">
      <c r="A97" s="103"/>
    </row>
    <row r="98" customFormat="false" ht="15" hidden="false" customHeight="false" outlineLevel="0" collapsed="false">
      <c r="A98" s="103"/>
    </row>
    <row r="99" customFormat="false" ht="15" hidden="false" customHeight="false" outlineLevel="0" collapsed="false">
      <c r="A99" s="103"/>
    </row>
    <row r="100" customFormat="false" ht="15" hidden="false" customHeight="false" outlineLevel="0" collapsed="false">
      <c r="A100" s="103"/>
    </row>
    <row r="101" customFormat="false" ht="15" hidden="false" customHeight="false" outlineLevel="0" collapsed="false">
      <c r="A101" s="103"/>
    </row>
    <row r="102" customFormat="false" ht="15" hidden="false" customHeight="false" outlineLevel="0" collapsed="false">
      <c r="A102" s="103"/>
    </row>
    <row r="103" customFormat="false" ht="15" hidden="false" customHeight="false" outlineLevel="0" collapsed="false">
      <c r="A103" s="103"/>
    </row>
    <row r="104" customFormat="false" ht="15" hidden="false" customHeight="false" outlineLevel="0" collapsed="false">
      <c r="A104" s="103"/>
    </row>
    <row r="105" customFormat="false" ht="15" hidden="false" customHeight="false" outlineLevel="0" collapsed="false">
      <c r="A105" s="103"/>
    </row>
    <row r="106" customFormat="false" ht="15" hidden="false" customHeight="false" outlineLevel="0" collapsed="false">
      <c r="A106" s="103"/>
    </row>
    <row r="107" customFormat="false" ht="15" hidden="false" customHeight="false" outlineLevel="0" collapsed="false">
      <c r="A107" s="103"/>
    </row>
    <row r="108" customFormat="false" ht="15" hidden="false" customHeight="false" outlineLevel="0" collapsed="false">
      <c r="A108" s="103"/>
    </row>
    <row r="109" customFormat="false" ht="15" hidden="false" customHeight="false" outlineLevel="0" collapsed="false">
      <c r="A109" s="103"/>
    </row>
    <row r="110" customFormat="false" ht="15" hidden="false" customHeight="false" outlineLevel="0" collapsed="false">
      <c r="A110" s="103"/>
    </row>
    <row r="111" customFormat="false" ht="15" hidden="false" customHeight="false" outlineLevel="0" collapsed="false">
      <c r="A111" s="103"/>
    </row>
    <row r="112" customFormat="false" ht="15" hidden="false" customHeight="false" outlineLevel="0" collapsed="false">
      <c r="A112" s="103"/>
    </row>
    <row r="113" customFormat="false" ht="15" hidden="false" customHeight="false" outlineLevel="0" collapsed="false">
      <c r="A113" s="103"/>
    </row>
    <row r="114" customFormat="false" ht="15" hidden="false" customHeight="false" outlineLevel="0" collapsed="false">
      <c r="A114" s="103"/>
    </row>
    <row r="115" customFormat="false" ht="15" hidden="false" customHeight="false" outlineLevel="0" collapsed="false">
      <c r="A115" s="103"/>
    </row>
    <row r="116" customFormat="false" ht="15" hidden="false" customHeight="false" outlineLevel="0" collapsed="false">
      <c r="A116" s="103"/>
    </row>
    <row r="117" customFormat="false" ht="15" hidden="false" customHeight="false" outlineLevel="0" collapsed="false">
      <c r="A117" s="103"/>
    </row>
    <row r="118" customFormat="false" ht="15" hidden="false" customHeight="false" outlineLevel="0" collapsed="false">
      <c r="A118" s="103"/>
    </row>
    <row r="119" customFormat="false" ht="15" hidden="false" customHeight="false" outlineLevel="0" collapsed="false">
      <c r="A119" s="103"/>
    </row>
    <row r="120" customFormat="false" ht="15" hidden="false" customHeight="false" outlineLevel="0" collapsed="false">
      <c r="A120" s="103"/>
    </row>
    <row r="121" customFormat="false" ht="15" hidden="false" customHeight="false" outlineLevel="0" collapsed="false">
      <c r="A121" s="103"/>
    </row>
    <row r="122" customFormat="false" ht="15" hidden="false" customHeight="false" outlineLevel="0" collapsed="false">
      <c r="A122" s="103"/>
    </row>
    <row r="123" customFormat="false" ht="15" hidden="false" customHeight="false" outlineLevel="0" collapsed="false">
      <c r="A123" s="103"/>
    </row>
    <row r="124" customFormat="false" ht="15" hidden="false" customHeight="false" outlineLevel="0" collapsed="false">
      <c r="A124" s="103"/>
    </row>
    <row r="125" customFormat="false" ht="15" hidden="false" customHeight="false" outlineLevel="0" collapsed="false">
      <c r="A125" s="103"/>
    </row>
    <row r="126" customFormat="false" ht="15" hidden="false" customHeight="false" outlineLevel="0" collapsed="false">
      <c r="A126" s="103"/>
    </row>
    <row r="127" customFormat="false" ht="15" hidden="false" customHeight="false" outlineLevel="0" collapsed="false">
      <c r="A127" s="103"/>
    </row>
    <row r="128" customFormat="false" ht="15" hidden="false" customHeight="false" outlineLevel="0" collapsed="false">
      <c r="A128" s="103"/>
    </row>
    <row r="129" customFormat="false" ht="15" hidden="false" customHeight="false" outlineLevel="0" collapsed="false">
      <c r="A129" s="103"/>
    </row>
    <row r="130" customFormat="false" ht="15" hidden="false" customHeight="false" outlineLevel="0" collapsed="false">
      <c r="A130" s="103"/>
    </row>
    <row r="131" customFormat="false" ht="15" hidden="false" customHeight="false" outlineLevel="0" collapsed="false">
      <c r="A131" s="103"/>
    </row>
    <row r="132" customFormat="false" ht="15" hidden="false" customHeight="false" outlineLevel="0" collapsed="false">
      <c r="A132" s="103"/>
    </row>
    <row r="133" customFormat="false" ht="15" hidden="false" customHeight="false" outlineLevel="0" collapsed="false">
      <c r="A133" s="103"/>
    </row>
    <row r="134" customFormat="false" ht="15" hidden="false" customHeight="false" outlineLevel="0" collapsed="false">
      <c r="A134" s="103"/>
    </row>
    <row r="135" customFormat="false" ht="15" hidden="false" customHeight="false" outlineLevel="0" collapsed="false">
      <c r="A135" s="103"/>
    </row>
    <row r="136" customFormat="false" ht="15" hidden="false" customHeight="false" outlineLevel="0" collapsed="false">
      <c r="A136" s="103"/>
    </row>
    <row r="137" customFormat="false" ht="15" hidden="false" customHeight="false" outlineLevel="0" collapsed="false">
      <c r="A137" s="103"/>
    </row>
    <row r="138" customFormat="false" ht="15" hidden="false" customHeight="false" outlineLevel="0" collapsed="false">
      <c r="A138" s="103"/>
    </row>
    <row r="139" customFormat="false" ht="15" hidden="false" customHeight="false" outlineLevel="0" collapsed="false">
      <c r="A139" s="103"/>
    </row>
    <row r="140" customFormat="false" ht="15" hidden="false" customHeight="false" outlineLevel="0" collapsed="false">
      <c r="A140" s="103"/>
    </row>
    <row r="141" customFormat="false" ht="15" hidden="false" customHeight="false" outlineLevel="0" collapsed="false">
      <c r="A141" s="103"/>
    </row>
    <row r="142" customFormat="false" ht="15" hidden="false" customHeight="false" outlineLevel="0" collapsed="false">
      <c r="A142" s="103"/>
    </row>
    <row r="143" customFormat="false" ht="15" hidden="false" customHeight="false" outlineLevel="0" collapsed="false">
      <c r="A143" s="103"/>
    </row>
    <row r="144" customFormat="false" ht="15" hidden="false" customHeight="false" outlineLevel="0" collapsed="false">
      <c r="A144" s="103"/>
    </row>
    <row r="145" customFormat="false" ht="15" hidden="false" customHeight="false" outlineLevel="0" collapsed="false">
      <c r="A145" s="103"/>
    </row>
    <row r="146" customFormat="false" ht="15" hidden="false" customHeight="false" outlineLevel="0" collapsed="false">
      <c r="A146" s="103"/>
    </row>
    <row r="147" customFormat="false" ht="15" hidden="false" customHeight="false" outlineLevel="0" collapsed="false">
      <c r="A147" s="103"/>
    </row>
    <row r="148" customFormat="false" ht="15" hidden="false" customHeight="false" outlineLevel="0" collapsed="false">
      <c r="A148" s="103"/>
    </row>
    <row r="149" customFormat="false" ht="15" hidden="false" customHeight="false" outlineLevel="0" collapsed="false">
      <c r="A149" s="103"/>
    </row>
    <row r="150" customFormat="false" ht="15" hidden="false" customHeight="false" outlineLevel="0" collapsed="false">
      <c r="A150" s="103"/>
    </row>
    <row r="151" customFormat="false" ht="15" hidden="false" customHeight="false" outlineLevel="0" collapsed="false">
      <c r="A151" s="103"/>
    </row>
    <row r="152" customFormat="false" ht="15" hidden="false" customHeight="false" outlineLevel="0" collapsed="false">
      <c r="A152" s="103"/>
    </row>
    <row r="153" customFormat="false" ht="15" hidden="false" customHeight="false" outlineLevel="0" collapsed="false">
      <c r="A153" s="103"/>
    </row>
    <row r="154" customFormat="false" ht="15" hidden="false" customHeight="false" outlineLevel="0" collapsed="false">
      <c r="A154" s="103"/>
    </row>
    <row r="155" customFormat="false" ht="15" hidden="false" customHeight="false" outlineLevel="0" collapsed="false">
      <c r="A155" s="103"/>
    </row>
    <row r="156" customFormat="false" ht="15" hidden="false" customHeight="false" outlineLevel="0" collapsed="false">
      <c r="A156" s="103"/>
    </row>
    <row r="157" customFormat="false" ht="15" hidden="false" customHeight="false" outlineLevel="0" collapsed="false">
      <c r="A157" s="103"/>
    </row>
    <row r="158" customFormat="false" ht="15" hidden="false" customHeight="false" outlineLevel="0" collapsed="false">
      <c r="A158" s="103"/>
    </row>
    <row r="159" customFormat="false" ht="15" hidden="false" customHeight="false" outlineLevel="0" collapsed="false">
      <c r="A159" s="103"/>
    </row>
    <row r="160" customFormat="false" ht="15" hidden="false" customHeight="false" outlineLevel="0" collapsed="false">
      <c r="A160" s="103"/>
    </row>
    <row r="161" customFormat="false" ht="15" hidden="false" customHeight="false" outlineLevel="0" collapsed="false">
      <c r="A161" s="103"/>
    </row>
    <row r="162" customFormat="false" ht="15" hidden="false" customHeight="false" outlineLevel="0" collapsed="false">
      <c r="A162" s="103"/>
    </row>
    <row r="163" customFormat="false" ht="15" hidden="false" customHeight="false" outlineLevel="0" collapsed="false">
      <c r="A163" s="103"/>
    </row>
    <row r="164" customFormat="false" ht="15" hidden="false" customHeight="false" outlineLevel="0" collapsed="false">
      <c r="A164" s="103"/>
    </row>
    <row r="165" customFormat="false" ht="15" hidden="false" customHeight="false" outlineLevel="0" collapsed="false">
      <c r="A165" s="103"/>
    </row>
    <row r="166" customFormat="false" ht="15" hidden="false" customHeight="false" outlineLevel="0" collapsed="false">
      <c r="A166" s="103"/>
    </row>
    <row r="167" customFormat="false" ht="15" hidden="false" customHeight="false" outlineLevel="0" collapsed="false">
      <c r="A167" s="103"/>
    </row>
    <row r="168" customFormat="false" ht="15" hidden="false" customHeight="false" outlineLevel="0" collapsed="false">
      <c r="A168" s="103"/>
    </row>
    <row r="169" customFormat="false" ht="15" hidden="false" customHeight="false" outlineLevel="0" collapsed="false">
      <c r="A169" s="103"/>
    </row>
    <row r="170" customFormat="false" ht="15" hidden="false" customHeight="false" outlineLevel="0" collapsed="false">
      <c r="A170" s="103"/>
    </row>
    <row r="171" customFormat="false" ht="15" hidden="false" customHeight="false" outlineLevel="0" collapsed="false">
      <c r="A171" s="103"/>
    </row>
    <row r="172" customFormat="false" ht="15" hidden="false" customHeight="false" outlineLevel="0" collapsed="false">
      <c r="A172" s="103"/>
    </row>
    <row r="173" customFormat="false" ht="15" hidden="false" customHeight="false" outlineLevel="0" collapsed="false">
      <c r="A173" s="103"/>
    </row>
    <row r="174" customFormat="false" ht="15" hidden="false" customHeight="false" outlineLevel="0" collapsed="false">
      <c r="A174" s="103"/>
    </row>
    <row r="175" customFormat="false" ht="15" hidden="false" customHeight="false" outlineLevel="0" collapsed="false">
      <c r="A175" s="103"/>
    </row>
    <row r="176" customFormat="false" ht="15" hidden="false" customHeight="false" outlineLevel="0" collapsed="false">
      <c r="A176" s="103"/>
    </row>
    <row r="177" customFormat="false" ht="15" hidden="false" customHeight="false" outlineLevel="0" collapsed="false">
      <c r="A177" s="103"/>
    </row>
    <row r="178" customFormat="false" ht="15" hidden="false" customHeight="false" outlineLevel="0" collapsed="false">
      <c r="A178" s="103"/>
    </row>
    <row r="179" customFormat="false" ht="15" hidden="false" customHeight="false" outlineLevel="0" collapsed="false">
      <c r="A179" s="103"/>
    </row>
    <row r="180" customFormat="false" ht="15" hidden="false" customHeight="false" outlineLevel="0" collapsed="false">
      <c r="A180" s="103"/>
    </row>
    <row r="181" customFormat="false" ht="15" hidden="false" customHeight="false" outlineLevel="0" collapsed="false">
      <c r="A181" s="103"/>
    </row>
    <row r="182" customFormat="false" ht="15" hidden="false" customHeight="false" outlineLevel="0" collapsed="false">
      <c r="A182" s="103"/>
    </row>
    <row r="183" customFormat="false" ht="15" hidden="false" customHeight="false" outlineLevel="0" collapsed="false">
      <c r="A183" s="103"/>
    </row>
    <row r="184" customFormat="false" ht="15" hidden="false" customHeight="false" outlineLevel="0" collapsed="false">
      <c r="A184" s="103"/>
    </row>
    <row r="185" customFormat="false" ht="15" hidden="false" customHeight="false" outlineLevel="0" collapsed="false">
      <c r="A185" s="103"/>
    </row>
    <row r="186" customFormat="false" ht="15" hidden="false" customHeight="false" outlineLevel="0" collapsed="false">
      <c r="A186" s="103"/>
    </row>
    <row r="187" customFormat="false" ht="15" hidden="false" customHeight="false" outlineLevel="0" collapsed="false">
      <c r="A187" s="103"/>
    </row>
    <row r="188" customFormat="false" ht="15" hidden="false" customHeight="false" outlineLevel="0" collapsed="false">
      <c r="A188" s="103"/>
    </row>
    <row r="189" customFormat="false" ht="15" hidden="false" customHeight="false" outlineLevel="0" collapsed="false">
      <c r="A189" s="103"/>
    </row>
    <row r="190" customFormat="false" ht="15" hidden="false" customHeight="false" outlineLevel="0" collapsed="false">
      <c r="A190" s="103"/>
    </row>
    <row r="191" customFormat="false" ht="15" hidden="false" customHeight="false" outlineLevel="0" collapsed="false">
      <c r="A191" s="103"/>
    </row>
    <row r="192" customFormat="false" ht="15" hidden="false" customHeight="false" outlineLevel="0" collapsed="false">
      <c r="A192" s="103"/>
    </row>
    <row r="193" customFormat="false" ht="15" hidden="false" customHeight="false" outlineLevel="0" collapsed="false">
      <c r="A193" s="103"/>
    </row>
    <row r="194" customFormat="false" ht="15" hidden="false" customHeight="false" outlineLevel="0" collapsed="false">
      <c r="A194" s="103"/>
    </row>
    <row r="195" customFormat="false" ht="15" hidden="false" customHeight="false" outlineLevel="0" collapsed="false">
      <c r="A195" s="103"/>
    </row>
    <row r="196" customFormat="false" ht="15" hidden="false" customHeight="false" outlineLevel="0" collapsed="false">
      <c r="A196" s="103"/>
    </row>
    <row r="197" customFormat="false" ht="15" hidden="false" customHeight="false" outlineLevel="0" collapsed="false">
      <c r="A197" s="103"/>
    </row>
    <row r="198" customFormat="false" ht="15" hidden="false" customHeight="false" outlineLevel="0" collapsed="false">
      <c r="A198" s="103"/>
    </row>
    <row r="199" customFormat="false" ht="15" hidden="false" customHeight="false" outlineLevel="0" collapsed="false">
      <c r="A199" s="103"/>
    </row>
    <row r="200" customFormat="false" ht="15" hidden="false" customHeight="false" outlineLevel="0" collapsed="false">
      <c r="A200" s="103"/>
    </row>
    <row r="201" customFormat="false" ht="15" hidden="false" customHeight="false" outlineLevel="0" collapsed="false">
      <c r="A201" s="103"/>
    </row>
    <row r="202" customFormat="false" ht="15" hidden="false" customHeight="false" outlineLevel="0" collapsed="false">
      <c r="A202" s="103"/>
    </row>
    <row r="203" customFormat="false" ht="15" hidden="false" customHeight="false" outlineLevel="0" collapsed="false">
      <c r="A203" s="103"/>
    </row>
    <row r="204" customFormat="false" ht="15" hidden="false" customHeight="false" outlineLevel="0" collapsed="false">
      <c r="A204" s="103"/>
    </row>
    <row r="205" customFormat="false" ht="15" hidden="false" customHeight="false" outlineLevel="0" collapsed="false">
      <c r="A205" s="103"/>
    </row>
    <row r="206" customFormat="false" ht="15" hidden="false" customHeight="false" outlineLevel="0" collapsed="false">
      <c r="A206" s="103"/>
    </row>
    <row r="207" customFormat="false" ht="15" hidden="false" customHeight="false" outlineLevel="0" collapsed="false">
      <c r="A207" s="103"/>
    </row>
    <row r="208" customFormat="false" ht="15" hidden="false" customHeight="false" outlineLevel="0" collapsed="false">
      <c r="A208" s="103"/>
    </row>
    <row r="209" customFormat="false" ht="15" hidden="false" customHeight="false" outlineLevel="0" collapsed="false">
      <c r="A209" s="103"/>
    </row>
    <row r="210" customFormat="false" ht="15" hidden="false" customHeight="false" outlineLevel="0" collapsed="false">
      <c r="A210" s="103"/>
    </row>
    <row r="211" customFormat="false" ht="15" hidden="false" customHeight="false" outlineLevel="0" collapsed="false">
      <c r="A211" s="103"/>
    </row>
    <row r="212" customFormat="false" ht="15" hidden="false" customHeight="false" outlineLevel="0" collapsed="false">
      <c r="A212" s="103"/>
    </row>
    <row r="213" customFormat="false" ht="15" hidden="false" customHeight="false" outlineLevel="0" collapsed="false">
      <c r="A213" s="103"/>
    </row>
    <row r="214" customFormat="false" ht="15" hidden="false" customHeight="false" outlineLevel="0" collapsed="false">
      <c r="A214" s="103"/>
    </row>
    <row r="215" customFormat="false" ht="15" hidden="false" customHeight="false" outlineLevel="0" collapsed="false">
      <c r="A215" s="103"/>
    </row>
    <row r="216" customFormat="false" ht="15" hidden="false" customHeight="false" outlineLevel="0" collapsed="false">
      <c r="A216" s="103"/>
    </row>
    <row r="217" customFormat="false" ht="15" hidden="false" customHeight="false" outlineLevel="0" collapsed="false">
      <c r="A217" s="103"/>
    </row>
    <row r="218" customFormat="false" ht="15" hidden="false" customHeight="false" outlineLevel="0" collapsed="false">
      <c r="A218" s="103"/>
    </row>
    <row r="219" customFormat="false" ht="15" hidden="false" customHeight="false" outlineLevel="0" collapsed="false">
      <c r="A219" s="103"/>
    </row>
    <row r="220" customFormat="false" ht="15" hidden="false" customHeight="false" outlineLevel="0" collapsed="false">
      <c r="A220" s="103"/>
    </row>
    <row r="221" customFormat="false" ht="15" hidden="false" customHeight="false" outlineLevel="0" collapsed="false">
      <c r="A221" s="103"/>
    </row>
    <row r="222" customFormat="false" ht="15" hidden="false" customHeight="false" outlineLevel="0" collapsed="false">
      <c r="A222" s="103"/>
    </row>
    <row r="223" customFormat="false" ht="15" hidden="false" customHeight="false" outlineLevel="0" collapsed="false">
      <c r="A223" s="103"/>
    </row>
    <row r="224" customFormat="false" ht="15" hidden="false" customHeight="false" outlineLevel="0" collapsed="false">
      <c r="A224" s="103"/>
    </row>
    <row r="225" customFormat="false" ht="15" hidden="false" customHeight="false" outlineLevel="0" collapsed="false">
      <c r="A225" s="103"/>
    </row>
    <row r="226" customFormat="false" ht="15" hidden="false" customHeight="false" outlineLevel="0" collapsed="false">
      <c r="A226" s="103"/>
    </row>
    <row r="227" customFormat="false" ht="15" hidden="false" customHeight="false" outlineLevel="0" collapsed="false">
      <c r="A227" s="103"/>
    </row>
    <row r="228" customFormat="false" ht="15" hidden="false" customHeight="false" outlineLevel="0" collapsed="false">
      <c r="A228" s="103"/>
    </row>
    <row r="229" customFormat="false" ht="15" hidden="false" customHeight="false" outlineLevel="0" collapsed="false">
      <c r="A229" s="103"/>
    </row>
    <row r="230" customFormat="false" ht="15" hidden="false" customHeight="false" outlineLevel="0" collapsed="false">
      <c r="A230" s="103"/>
    </row>
    <row r="231" customFormat="false" ht="15" hidden="false" customHeight="false" outlineLevel="0" collapsed="false">
      <c r="A231" s="103"/>
    </row>
    <row r="232" customFormat="false" ht="15" hidden="false" customHeight="false" outlineLevel="0" collapsed="false">
      <c r="A232" s="103"/>
    </row>
    <row r="233" customFormat="false" ht="15" hidden="false" customHeight="false" outlineLevel="0" collapsed="false">
      <c r="A233" s="103"/>
    </row>
    <row r="234" customFormat="false" ht="15" hidden="false" customHeight="false" outlineLevel="0" collapsed="false">
      <c r="A234" s="103"/>
    </row>
    <row r="235" customFormat="false" ht="15" hidden="false" customHeight="false" outlineLevel="0" collapsed="false">
      <c r="A235" s="103"/>
    </row>
    <row r="236" customFormat="false" ht="15" hidden="false" customHeight="false" outlineLevel="0" collapsed="false">
      <c r="A236" s="103"/>
    </row>
    <row r="237" customFormat="false" ht="15" hidden="false" customHeight="false" outlineLevel="0" collapsed="false">
      <c r="A237" s="103"/>
    </row>
    <row r="238" customFormat="false" ht="15" hidden="false" customHeight="false" outlineLevel="0" collapsed="false">
      <c r="A238" s="103"/>
    </row>
    <row r="239" customFormat="false" ht="15" hidden="false" customHeight="false" outlineLevel="0" collapsed="false">
      <c r="A239" s="103"/>
    </row>
    <row r="240" customFormat="false" ht="15" hidden="false" customHeight="false" outlineLevel="0" collapsed="false">
      <c r="A240" s="103"/>
    </row>
    <row r="241" customFormat="false" ht="15" hidden="false" customHeight="false" outlineLevel="0" collapsed="false">
      <c r="A241" s="103"/>
    </row>
    <row r="242" customFormat="false" ht="15" hidden="false" customHeight="false" outlineLevel="0" collapsed="false">
      <c r="A242" s="103"/>
    </row>
    <row r="243" customFormat="false" ht="15" hidden="false" customHeight="false" outlineLevel="0" collapsed="false">
      <c r="A243" s="103"/>
    </row>
    <row r="244" customFormat="false" ht="15" hidden="false" customHeight="false" outlineLevel="0" collapsed="false">
      <c r="A244" s="103"/>
    </row>
    <row r="245" customFormat="false" ht="15" hidden="false" customHeight="false" outlineLevel="0" collapsed="false">
      <c r="A245" s="103"/>
    </row>
    <row r="246" customFormat="false" ht="15" hidden="false" customHeight="false" outlineLevel="0" collapsed="false">
      <c r="A246" s="103"/>
    </row>
    <row r="247" customFormat="false" ht="15" hidden="false" customHeight="false" outlineLevel="0" collapsed="false">
      <c r="A247" s="103"/>
    </row>
    <row r="248" customFormat="false" ht="15" hidden="false" customHeight="false" outlineLevel="0" collapsed="false">
      <c r="A248" s="103"/>
    </row>
    <row r="249" customFormat="false" ht="15" hidden="false" customHeight="false" outlineLevel="0" collapsed="false">
      <c r="A249" s="103"/>
    </row>
    <row r="250" customFormat="false" ht="15" hidden="false" customHeight="false" outlineLevel="0" collapsed="false">
      <c r="A250" s="103"/>
    </row>
    <row r="251" customFormat="false" ht="15" hidden="false" customHeight="false" outlineLevel="0" collapsed="false">
      <c r="A251" s="103"/>
    </row>
    <row r="252" customFormat="false" ht="15" hidden="false" customHeight="false" outlineLevel="0" collapsed="false">
      <c r="A252" s="103"/>
    </row>
    <row r="253" customFormat="false" ht="15" hidden="false" customHeight="false" outlineLevel="0" collapsed="false">
      <c r="A253" s="103"/>
    </row>
    <row r="254" customFormat="false" ht="15" hidden="false" customHeight="false" outlineLevel="0" collapsed="false">
      <c r="A254" s="103"/>
    </row>
    <row r="255" customFormat="false" ht="15" hidden="false" customHeight="false" outlineLevel="0" collapsed="false">
      <c r="A255" s="103"/>
    </row>
    <row r="256" customFormat="false" ht="15" hidden="false" customHeight="false" outlineLevel="0" collapsed="false">
      <c r="A256" s="103"/>
    </row>
    <row r="257" customFormat="false" ht="15" hidden="false" customHeight="false" outlineLevel="0" collapsed="false">
      <c r="A257" s="103"/>
    </row>
    <row r="258" customFormat="false" ht="15" hidden="false" customHeight="false" outlineLevel="0" collapsed="false">
      <c r="A258" s="103"/>
    </row>
    <row r="259" customFormat="false" ht="15" hidden="false" customHeight="false" outlineLevel="0" collapsed="false">
      <c r="A259" s="103"/>
    </row>
    <row r="260" customFormat="false" ht="15" hidden="false" customHeight="false" outlineLevel="0" collapsed="false">
      <c r="A260" s="103"/>
    </row>
    <row r="261" customFormat="false" ht="15" hidden="false" customHeight="false" outlineLevel="0" collapsed="false">
      <c r="A261" s="103"/>
    </row>
    <row r="262" customFormat="false" ht="15" hidden="false" customHeight="false" outlineLevel="0" collapsed="false">
      <c r="A262" s="103"/>
    </row>
    <row r="263" customFormat="false" ht="15" hidden="false" customHeight="false" outlineLevel="0" collapsed="false">
      <c r="A263" s="103"/>
    </row>
    <row r="264" customFormat="false" ht="15" hidden="false" customHeight="false" outlineLevel="0" collapsed="false">
      <c r="A264" s="103"/>
    </row>
    <row r="265" customFormat="false" ht="15" hidden="false" customHeight="false" outlineLevel="0" collapsed="false">
      <c r="A265" s="103"/>
    </row>
    <row r="266" customFormat="false" ht="15" hidden="false" customHeight="false" outlineLevel="0" collapsed="false">
      <c r="A266" s="103"/>
    </row>
    <row r="267" customFormat="false" ht="15" hidden="false" customHeight="false" outlineLevel="0" collapsed="false">
      <c r="A267" s="103"/>
    </row>
    <row r="268" customFormat="false" ht="15" hidden="false" customHeight="false" outlineLevel="0" collapsed="false">
      <c r="A268" s="103"/>
    </row>
    <row r="269" customFormat="false" ht="15" hidden="false" customHeight="false" outlineLevel="0" collapsed="false">
      <c r="A269" s="103"/>
    </row>
    <row r="270" customFormat="false" ht="15" hidden="false" customHeight="false" outlineLevel="0" collapsed="false">
      <c r="A270" s="103"/>
    </row>
    <row r="271" customFormat="false" ht="15" hidden="false" customHeight="false" outlineLevel="0" collapsed="false">
      <c r="A271" s="103"/>
    </row>
    <row r="272" customFormat="false" ht="15" hidden="false" customHeight="false" outlineLevel="0" collapsed="false">
      <c r="A272" s="103"/>
    </row>
    <row r="273" customFormat="false" ht="15" hidden="false" customHeight="false" outlineLevel="0" collapsed="false">
      <c r="A273" s="103"/>
    </row>
    <row r="274" customFormat="false" ht="15" hidden="false" customHeight="false" outlineLevel="0" collapsed="false">
      <c r="A274" s="103"/>
    </row>
    <row r="275" customFormat="false" ht="15" hidden="false" customHeight="false" outlineLevel="0" collapsed="false">
      <c r="A275" s="103"/>
    </row>
    <row r="276" customFormat="false" ht="15" hidden="false" customHeight="false" outlineLevel="0" collapsed="false">
      <c r="A276" s="103"/>
    </row>
    <row r="277" customFormat="false" ht="15" hidden="false" customHeight="false" outlineLevel="0" collapsed="false">
      <c r="A277" s="103"/>
    </row>
    <row r="278" customFormat="false" ht="15" hidden="false" customHeight="false" outlineLevel="0" collapsed="false">
      <c r="A278" s="103"/>
    </row>
    <row r="279" customFormat="false" ht="15" hidden="false" customHeight="false" outlineLevel="0" collapsed="false">
      <c r="A279" s="103"/>
    </row>
    <row r="280" customFormat="false" ht="15" hidden="false" customHeight="false" outlineLevel="0" collapsed="false">
      <c r="A280" s="103"/>
    </row>
    <row r="281" customFormat="false" ht="15" hidden="false" customHeight="false" outlineLevel="0" collapsed="false">
      <c r="A281" s="103"/>
    </row>
    <row r="282" customFormat="false" ht="15" hidden="false" customHeight="false" outlineLevel="0" collapsed="false">
      <c r="A282" s="103"/>
    </row>
    <row r="283" customFormat="false" ht="15" hidden="false" customHeight="false" outlineLevel="0" collapsed="false">
      <c r="A283" s="103"/>
    </row>
    <row r="284" customFormat="false" ht="15" hidden="false" customHeight="false" outlineLevel="0" collapsed="false">
      <c r="A284" s="103"/>
    </row>
    <row r="285" customFormat="false" ht="15" hidden="false" customHeight="false" outlineLevel="0" collapsed="false">
      <c r="A285" s="103"/>
    </row>
    <row r="286" customFormat="false" ht="15" hidden="false" customHeight="false" outlineLevel="0" collapsed="false">
      <c r="A286" s="103"/>
    </row>
    <row r="287" customFormat="false" ht="15" hidden="false" customHeight="false" outlineLevel="0" collapsed="false">
      <c r="A287" s="103"/>
    </row>
    <row r="288" customFormat="false" ht="15" hidden="false" customHeight="false" outlineLevel="0" collapsed="false">
      <c r="A288" s="103"/>
    </row>
    <row r="289" customFormat="false" ht="15" hidden="false" customHeight="false" outlineLevel="0" collapsed="false">
      <c r="A289" s="103"/>
    </row>
    <row r="290" customFormat="false" ht="15" hidden="false" customHeight="false" outlineLevel="0" collapsed="false">
      <c r="A290" s="103"/>
    </row>
    <row r="291" customFormat="false" ht="15" hidden="false" customHeight="false" outlineLevel="0" collapsed="false">
      <c r="A291" s="103"/>
    </row>
    <row r="292" customFormat="false" ht="15" hidden="false" customHeight="false" outlineLevel="0" collapsed="false">
      <c r="A292" s="103"/>
    </row>
    <row r="293" customFormat="false" ht="15" hidden="false" customHeight="false" outlineLevel="0" collapsed="false">
      <c r="A293" s="103"/>
    </row>
    <row r="294" customFormat="false" ht="15" hidden="false" customHeight="false" outlineLevel="0" collapsed="false">
      <c r="A294" s="103"/>
    </row>
    <row r="295" customFormat="false" ht="15" hidden="false" customHeight="false" outlineLevel="0" collapsed="false">
      <c r="A295" s="103"/>
    </row>
    <row r="296" customFormat="false" ht="15" hidden="false" customHeight="false" outlineLevel="0" collapsed="false">
      <c r="A296" s="103"/>
    </row>
    <row r="297" customFormat="false" ht="15" hidden="false" customHeight="false" outlineLevel="0" collapsed="false">
      <c r="A297" s="103"/>
    </row>
    <row r="298" customFormat="false" ht="15" hidden="false" customHeight="false" outlineLevel="0" collapsed="false">
      <c r="A298" s="103"/>
    </row>
    <row r="299" customFormat="false" ht="15" hidden="false" customHeight="false" outlineLevel="0" collapsed="false">
      <c r="A299" s="103"/>
    </row>
    <row r="300" customFormat="false" ht="15" hidden="false" customHeight="false" outlineLevel="0" collapsed="false">
      <c r="A300" s="103"/>
    </row>
    <row r="301" customFormat="false" ht="15" hidden="false" customHeight="false" outlineLevel="0" collapsed="false">
      <c r="A301" s="103"/>
    </row>
    <row r="302" customFormat="false" ht="15" hidden="false" customHeight="false" outlineLevel="0" collapsed="false">
      <c r="A302" s="103"/>
    </row>
    <row r="303" customFormat="false" ht="15" hidden="false" customHeight="false" outlineLevel="0" collapsed="false">
      <c r="A303" s="103"/>
    </row>
    <row r="304" customFormat="false" ht="15" hidden="false" customHeight="false" outlineLevel="0" collapsed="false">
      <c r="A304" s="103"/>
    </row>
    <row r="305" customFormat="false" ht="15" hidden="false" customHeight="false" outlineLevel="0" collapsed="false">
      <c r="A305" s="103"/>
    </row>
    <row r="306" customFormat="false" ht="15" hidden="false" customHeight="false" outlineLevel="0" collapsed="false">
      <c r="A306" s="103"/>
    </row>
    <row r="307" customFormat="false" ht="15" hidden="false" customHeight="false" outlineLevel="0" collapsed="false">
      <c r="A307" s="103"/>
    </row>
    <row r="308" customFormat="false" ht="15" hidden="false" customHeight="false" outlineLevel="0" collapsed="false">
      <c r="A308" s="103"/>
    </row>
    <row r="309" customFormat="false" ht="15" hidden="false" customHeight="false" outlineLevel="0" collapsed="false">
      <c r="A309" s="103"/>
    </row>
    <row r="310" customFormat="false" ht="15" hidden="false" customHeight="false" outlineLevel="0" collapsed="false">
      <c r="A310" s="103"/>
    </row>
    <row r="311" customFormat="false" ht="15" hidden="false" customHeight="false" outlineLevel="0" collapsed="false">
      <c r="A311" s="103"/>
    </row>
    <row r="312" customFormat="false" ht="15" hidden="false" customHeight="false" outlineLevel="0" collapsed="false">
      <c r="A312" s="103"/>
    </row>
    <row r="313" customFormat="false" ht="15" hidden="false" customHeight="false" outlineLevel="0" collapsed="false">
      <c r="A313" s="103"/>
    </row>
    <row r="314" customFormat="false" ht="15" hidden="false" customHeight="false" outlineLevel="0" collapsed="false">
      <c r="A314" s="103"/>
    </row>
    <row r="315" customFormat="false" ht="15" hidden="false" customHeight="false" outlineLevel="0" collapsed="false">
      <c r="A315" s="103"/>
    </row>
    <row r="316" customFormat="false" ht="15" hidden="false" customHeight="false" outlineLevel="0" collapsed="false">
      <c r="A316" s="103"/>
    </row>
    <row r="317" customFormat="false" ht="15" hidden="false" customHeight="false" outlineLevel="0" collapsed="false">
      <c r="A317" s="103"/>
    </row>
    <row r="318" customFormat="false" ht="15" hidden="false" customHeight="false" outlineLevel="0" collapsed="false">
      <c r="A318" s="103"/>
    </row>
    <row r="319" customFormat="false" ht="15" hidden="false" customHeight="false" outlineLevel="0" collapsed="false">
      <c r="A319" s="103"/>
    </row>
    <row r="320" customFormat="false" ht="15" hidden="false" customHeight="false" outlineLevel="0" collapsed="false">
      <c r="A320" s="103"/>
    </row>
    <row r="321" customFormat="false" ht="15" hidden="false" customHeight="false" outlineLevel="0" collapsed="false">
      <c r="A321" s="103"/>
    </row>
    <row r="322" customFormat="false" ht="15" hidden="false" customHeight="false" outlineLevel="0" collapsed="false">
      <c r="A322" s="103"/>
    </row>
    <row r="323" customFormat="false" ht="15" hidden="false" customHeight="false" outlineLevel="0" collapsed="false">
      <c r="A323" s="103"/>
    </row>
    <row r="324" customFormat="false" ht="15" hidden="false" customHeight="false" outlineLevel="0" collapsed="false">
      <c r="A324" s="103"/>
    </row>
    <row r="325" customFormat="false" ht="15" hidden="false" customHeight="false" outlineLevel="0" collapsed="false">
      <c r="A325" s="103"/>
    </row>
    <row r="326" customFormat="false" ht="15" hidden="false" customHeight="false" outlineLevel="0" collapsed="false">
      <c r="A326" s="103"/>
    </row>
    <row r="327" customFormat="false" ht="15" hidden="false" customHeight="false" outlineLevel="0" collapsed="false">
      <c r="A327" s="103"/>
    </row>
    <row r="328" customFormat="false" ht="15" hidden="false" customHeight="false" outlineLevel="0" collapsed="false">
      <c r="A328" s="103"/>
    </row>
    <row r="329" customFormat="false" ht="15" hidden="false" customHeight="false" outlineLevel="0" collapsed="false">
      <c r="A329" s="103"/>
    </row>
    <row r="330" customFormat="false" ht="15" hidden="false" customHeight="false" outlineLevel="0" collapsed="false">
      <c r="A330" s="103"/>
    </row>
    <row r="331" customFormat="false" ht="15" hidden="false" customHeight="false" outlineLevel="0" collapsed="false">
      <c r="A331" s="103"/>
    </row>
    <row r="332" customFormat="false" ht="15" hidden="false" customHeight="false" outlineLevel="0" collapsed="false">
      <c r="A332" s="103"/>
    </row>
    <row r="333" customFormat="false" ht="15" hidden="false" customHeight="false" outlineLevel="0" collapsed="false">
      <c r="A333" s="103"/>
    </row>
    <row r="334" customFormat="false" ht="15" hidden="false" customHeight="false" outlineLevel="0" collapsed="false">
      <c r="A334" s="103"/>
    </row>
    <row r="335" customFormat="false" ht="15" hidden="false" customHeight="false" outlineLevel="0" collapsed="false">
      <c r="A335" s="103"/>
    </row>
    <row r="336" customFormat="false" ht="15" hidden="false" customHeight="false" outlineLevel="0" collapsed="false">
      <c r="A336" s="103"/>
    </row>
    <row r="337" customFormat="false" ht="15" hidden="false" customHeight="false" outlineLevel="0" collapsed="false">
      <c r="A337" s="103"/>
    </row>
    <row r="338" customFormat="false" ht="15" hidden="false" customHeight="false" outlineLevel="0" collapsed="false">
      <c r="A338" s="103"/>
    </row>
    <row r="339" customFormat="false" ht="15" hidden="false" customHeight="false" outlineLevel="0" collapsed="false">
      <c r="A339" s="103"/>
    </row>
    <row r="340" customFormat="false" ht="15" hidden="false" customHeight="false" outlineLevel="0" collapsed="false">
      <c r="A340" s="103"/>
    </row>
    <row r="341" customFormat="false" ht="15" hidden="false" customHeight="false" outlineLevel="0" collapsed="false">
      <c r="A341" s="103"/>
    </row>
    <row r="342" customFormat="false" ht="15" hidden="false" customHeight="false" outlineLevel="0" collapsed="false">
      <c r="A342" s="103"/>
    </row>
    <row r="343" customFormat="false" ht="15" hidden="false" customHeight="false" outlineLevel="0" collapsed="false">
      <c r="A343" s="103"/>
    </row>
    <row r="344" customFormat="false" ht="15" hidden="false" customHeight="false" outlineLevel="0" collapsed="false">
      <c r="A344" s="103"/>
    </row>
    <row r="345" customFormat="false" ht="15" hidden="false" customHeight="false" outlineLevel="0" collapsed="false">
      <c r="A345" s="103"/>
    </row>
    <row r="346" customFormat="false" ht="15" hidden="false" customHeight="false" outlineLevel="0" collapsed="false">
      <c r="A346" s="103"/>
    </row>
    <row r="347" customFormat="false" ht="15" hidden="false" customHeight="false" outlineLevel="0" collapsed="false">
      <c r="A347" s="103"/>
    </row>
    <row r="348" customFormat="false" ht="15" hidden="false" customHeight="false" outlineLevel="0" collapsed="false">
      <c r="A348" s="103"/>
    </row>
    <row r="349" customFormat="false" ht="15" hidden="false" customHeight="false" outlineLevel="0" collapsed="false">
      <c r="A349" s="103"/>
    </row>
    <row r="350" customFormat="false" ht="15" hidden="false" customHeight="false" outlineLevel="0" collapsed="false">
      <c r="A350" s="103"/>
    </row>
    <row r="351" customFormat="false" ht="15" hidden="false" customHeight="false" outlineLevel="0" collapsed="false">
      <c r="A351" s="103"/>
    </row>
    <row r="352" customFormat="false" ht="15" hidden="false" customHeight="false" outlineLevel="0" collapsed="false">
      <c r="A352" s="103"/>
    </row>
    <row r="353" customFormat="false" ht="15" hidden="false" customHeight="false" outlineLevel="0" collapsed="false">
      <c r="A353" s="103"/>
    </row>
    <row r="354" customFormat="false" ht="15" hidden="false" customHeight="false" outlineLevel="0" collapsed="false">
      <c r="A354" s="103"/>
    </row>
    <row r="355" customFormat="false" ht="15" hidden="false" customHeight="false" outlineLevel="0" collapsed="false">
      <c r="A355" s="103"/>
    </row>
    <row r="356" customFormat="false" ht="15" hidden="false" customHeight="false" outlineLevel="0" collapsed="false">
      <c r="A356" s="103"/>
    </row>
    <row r="357" customFormat="false" ht="15" hidden="false" customHeight="false" outlineLevel="0" collapsed="false">
      <c r="A357" s="103"/>
    </row>
    <row r="358" customFormat="false" ht="15" hidden="false" customHeight="false" outlineLevel="0" collapsed="false">
      <c r="A358" s="103"/>
    </row>
    <row r="359" customFormat="false" ht="15" hidden="false" customHeight="false" outlineLevel="0" collapsed="false">
      <c r="A359" s="103"/>
    </row>
    <row r="360" customFormat="false" ht="15" hidden="false" customHeight="false" outlineLevel="0" collapsed="false">
      <c r="A360" s="103"/>
    </row>
    <row r="361" customFormat="false" ht="15" hidden="false" customHeight="false" outlineLevel="0" collapsed="false">
      <c r="A361" s="103"/>
    </row>
    <row r="362" customFormat="false" ht="15" hidden="false" customHeight="false" outlineLevel="0" collapsed="false">
      <c r="A362" s="103"/>
    </row>
    <row r="363" customFormat="false" ht="15" hidden="false" customHeight="false" outlineLevel="0" collapsed="false">
      <c r="A363" s="103"/>
    </row>
    <row r="364" customFormat="false" ht="15" hidden="false" customHeight="false" outlineLevel="0" collapsed="false">
      <c r="A364" s="103"/>
    </row>
    <row r="365" customFormat="false" ht="15" hidden="false" customHeight="false" outlineLevel="0" collapsed="false">
      <c r="A365" s="103"/>
    </row>
    <row r="366" customFormat="false" ht="15" hidden="false" customHeight="false" outlineLevel="0" collapsed="false">
      <c r="A366" s="103"/>
    </row>
    <row r="367" customFormat="false" ht="15" hidden="false" customHeight="false" outlineLevel="0" collapsed="false">
      <c r="A367" s="103"/>
    </row>
    <row r="368" customFormat="false" ht="15" hidden="false" customHeight="false" outlineLevel="0" collapsed="false">
      <c r="A368" s="103"/>
    </row>
    <row r="369" customFormat="false" ht="15" hidden="false" customHeight="false" outlineLevel="0" collapsed="false">
      <c r="A369" s="103"/>
    </row>
    <row r="370" customFormat="false" ht="15" hidden="false" customHeight="false" outlineLevel="0" collapsed="false">
      <c r="A370" s="103"/>
    </row>
    <row r="371" customFormat="false" ht="15" hidden="false" customHeight="false" outlineLevel="0" collapsed="false">
      <c r="A371" s="103"/>
    </row>
    <row r="372" customFormat="false" ht="15" hidden="false" customHeight="false" outlineLevel="0" collapsed="false">
      <c r="A372" s="103"/>
    </row>
    <row r="373" customFormat="false" ht="15" hidden="false" customHeight="false" outlineLevel="0" collapsed="false">
      <c r="A373" s="103"/>
    </row>
    <row r="374" customFormat="false" ht="15" hidden="false" customHeight="false" outlineLevel="0" collapsed="false">
      <c r="A374" s="103"/>
    </row>
    <row r="375" customFormat="false" ht="15" hidden="false" customHeight="false" outlineLevel="0" collapsed="false">
      <c r="A375" s="103"/>
    </row>
    <row r="376" customFormat="false" ht="15" hidden="false" customHeight="false" outlineLevel="0" collapsed="false">
      <c r="A376" s="103"/>
    </row>
    <row r="377" customFormat="false" ht="15" hidden="false" customHeight="false" outlineLevel="0" collapsed="false">
      <c r="A377" s="103"/>
    </row>
    <row r="378" customFormat="false" ht="15" hidden="false" customHeight="false" outlineLevel="0" collapsed="false">
      <c r="A378" s="103"/>
    </row>
    <row r="379" customFormat="false" ht="15" hidden="false" customHeight="false" outlineLevel="0" collapsed="false">
      <c r="A379" s="103"/>
    </row>
    <row r="380" customFormat="false" ht="15" hidden="false" customHeight="false" outlineLevel="0" collapsed="false">
      <c r="A380" s="103"/>
    </row>
    <row r="381" customFormat="false" ht="15" hidden="false" customHeight="false" outlineLevel="0" collapsed="false">
      <c r="A381" s="103"/>
    </row>
    <row r="382" customFormat="false" ht="15" hidden="false" customHeight="false" outlineLevel="0" collapsed="false">
      <c r="A382" s="103"/>
    </row>
    <row r="383" customFormat="false" ht="15" hidden="false" customHeight="false" outlineLevel="0" collapsed="false">
      <c r="A383" s="103"/>
    </row>
    <row r="384" customFormat="false" ht="15" hidden="false" customHeight="false" outlineLevel="0" collapsed="false">
      <c r="A384" s="103"/>
    </row>
    <row r="385" customFormat="false" ht="15" hidden="false" customHeight="false" outlineLevel="0" collapsed="false">
      <c r="A385" s="103"/>
    </row>
    <row r="386" customFormat="false" ht="15" hidden="false" customHeight="false" outlineLevel="0" collapsed="false">
      <c r="A386" s="103"/>
    </row>
    <row r="387" customFormat="false" ht="15" hidden="false" customHeight="false" outlineLevel="0" collapsed="false">
      <c r="A387" s="103"/>
    </row>
    <row r="388" customFormat="false" ht="15" hidden="false" customHeight="false" outlineLevel="0" collapsed="false">
      <c r="A388" s="103"/>
    </row>
    <row r="389" customFormat="false" ht="15" hidden="false" customHeight="false" outlineLevel="0" collapsed="false">
      <c r="A389" s="103"/>
    </row>
    <row r="390" customFormat="false" ht="15" hidden="false" customHeight="false" outlineLevel="0" collapsed="false">
      <c r="A390" s="103"/>
    </row>
    <row r="391" customFormat="false" ht="15" hidden="false" customHeight="false" outlineLevel="0" collapsed="false">
      <c r="A391" s="103"/>
    </row>
    <row r="392" customFormat="false" ht="15" hidden="false" customHeight="false" outlineLevel="0" collapsed="false">
      <c r="A392" s="103"/>
    </row>
    <row r="393" customFormat="false" ht="15" hidden="false" customHeight="false" outlineLevel="0" collapsed="false">
      <c r="A393" s="103"/>
    </row>
    <row r="394" customFormat="false" ht="15" hidden="false" customHeight="false" outlineLevel="0" collapsed="false">
      <c r="A394" s="103"/>
    </row>
    <row r="395" customFormat="false" ht="15" hidden="false" customHeight="false" outlineLevel="0" collapsed="false">
      <c r="A395" s="103"/>
    </row>
    <row r="396" customFormat="false" ht="15" hidden="false" customHeight="false" outlineLevel="0" collapsed="false">
      <c r="A396" s="103"/>
    </row>
    <row r="397" customFormat="false" ht="15" hidden="false" customHeight="false" outlineLevel="0" collapsed="false">
      <c r="A397" s="103"/>
    </row>
    <row r="398" customFormat="false" ht="15" hidden="false" customHeight="false" outlineLevel="0" collapsed="false">
      <c r="A398" s="103"/>
    </row>
    <row r="399" customFormat="false" ht="15" hidden="false" customHeight="false" outlineLevel="0" collapsed="false">
      <c r="A399" s="103"/>
    </row>
    <row r="400" customFormat="false" ht="15" hidden="false" customHeight="false" outlineLevel="0" collapsed="false">
      <c r="A400" s="103"/>
    </row>
    <row r="401" customFormat="false" ht="15" hidden="false" customHeight="false" outlineLevel="0" collapsed="false">
      <c r="A401" s="103"/>
    </row>
    <row r="402" customFormat="false" ht="15" hidden="false" customHeight="false" outlineLevel="0" collapsed="false">
      <c r="A402" s="103"/>
    </row>
    <row r="403" customFormat="false" ht="15" hidden="false" customHeight="false" outlineLevel="0" collapsed="false">
      <c r="A403" s="103"/>
    </row>
    <row r="404" customFormat="false" ht="15" hidden="false" customHeight="false" outlineLevel="0" collapsed="false">
      <c r="A404" s="103"/>
    </row>
    <row r="405" customFormat="false" ht="15" hidden="false" customHeight="false" outlineLevel="0" collapsed="false">
      <c r="A405" s="103"/>
    </row>
    <row r="406" customFormat="false" ht="15" hidden="false" customHeight="false" outlineLevel="0" collapsed="false">
      <c r="A406" s="103"/>
    </row>
    <row r="407" customFormat="false" ht="15" hidden="false" customHeight="false" outlineLevel="0" collapsed="false">
      <c r="A407" s="103"/>
    </row>
    <row r="408" customFormat="false" ht="15" hidden="false" customHeight="false" outlineLevel="0" collapsed="false">
      <c r="A408" s="103"/>
    </row>
    <row r="409" customFormat="false" ht="15" hidden="false" customHeight="false" outlineLevel="0" collapsed="false">
      <c r="A409" s="103"/>
    </row>
    <row r="410" customFormat="false" ht="15" hidden="false" customHeight="false" outlineLevel="0" collapsed="false">
      <c r="A410" s="103"/>
    </row>
    <row r="411" customFormat="false" ht="15" hidden="false" customHeight="false" outlineLevel="0" collapsed="false">
      <c r="A411" s="103"/>
    </row>
    <row r="412" customFormat="false" ht="15" hidden="false" customHeight="false" outlineLevel="0" collapsed="false">
      <c r="A412" s="103"/>
    </row>
    <row r="413" customFormat="false" ht="15" hidden="false" customHeight="false" outlineLevel="0" collapsed="false">
      <c r="A413" s="103"/>
    </row>
    <row r="414" customFormat="false" ht="15" hidden="false" customHeight="false" outlineLevel="0" collapsed="false">
      <c r="A414" s="103"/>
    </row>
    <row r="415" customFormat="false" ht="15" hidden="false" customHeight="false" outlineLevel="0" collapsed="false">
      <c r="A415" s="103"/>
    </row>
    <row r="416" customFormat="false" ht="15" hidden="false" customHeight="false" outlineLevel="0" collapsed="false">
      <c r="A416" s="103"/>
    </row>
    <row r="417" customFormat="false" ht="15" hidden="false" customHeight="false" outlineLevel="0" collapsed="false">
      <c r="A417" s="103"/>
    </row>
    <row r="418" customFormat="false" ht="15" hidden="false" customHeight="false" outlineLevel="0" collapsed="false">
      <c r="A418" s="103"/>
    </row>
    <row r="419" customFormat="false" ht="15" hidden="false" customHeight="false" outlineLevel="0" collapsed="false">
      <c r="A419" s="103"/>
    </row>
    <row r="420" customFormat="false" ht="15" hidden="false" customHeight="false" outlineLevel="0" collapsed="false">
      <c r="A420" s="103"/>
    </row>
    <row r="421" customFormat="false" ht="15" hidden="false" customHeight="false" outlineLevel="0" collapsed="false">
      <c r="A421" s="103"/>
    </row>
    <row r="422" customFormat="false" ht="15" hidden="false" customHeight="false" outlineLevel="0" collapsed="false">
      <c r="A422" s="103"/>
    </row>
    <row r="423" customFormat="false" ht="15" hidden="false" customHeight="false" outlineLevel="0" collapsed="false">
      <c r="A423" s="103"/>
    </row>
    <row r="424" customFormat="false" ht="15" hidden="false" customHeight="false" outlineLevel="0" collapsed="false">
      <c r="A424" s="103"/>
    </row>
    <row r="425" customFormat="false" ht="15" hidden="false" customHeight="false" outlineLevel="0" collapsed="false">
      <c r="A425" s="103"/>
    </row>
    <row r="426" customFormat="false" ht="15" hidden="false" customHeight="false" outlineLevel="0" collapsed="false">
      <c r="A426" s="103"/>
    </row>
    <row r="427" customFormat="false" ht="15" hidden="false" customHeight="false" outlineLevel="0" collapsed="false">
      <c r="A427" s="103"/>
    </row>
    <row r="428" customFormat="false" ht="15" hidden="false" customHeight="false" outlineLevel="0" collapsed="false">
      <c r="A428" s="103"/>
    </row>
    <row r="429" customFormat="false" ht="15" hidden="false" customHeight="false" outlineLevel="0" collapsed="false">
      <c r="A429" s="103"/>
    </row>
    <row r="430" customFormat="false" ht="15" hidden="false" customHeight="false" outlineLevel="0" collapsed="false">
      <c r="A430" s="103"/>
    </row>
    <row r="431" customFormat="false" ht="15" hidden="false" customHeight="false" outlineLevel="0" collapsed="false">
      <c r="A431" s="103"/>
    </row>
    <row r="432" customFormat="false" ht="15" hidden="false" customHeight="false" outlineLevel="0" collapsed="false">
      <c r="A432" s="103"/>
    </row>
    <row r="433" customFormat="false" ht="15" hidden="false" customHeight="false" outlineLevel="0" collapsed="false">
      <c r="A433" s="103"/>
    </row>
    <row r="434" customFormat="false" ht="15" hidden="false" customHeight="false" outlineLevel="0" collapsed="false">
      <c r="A434" s="103"/>
    </row>
    <row r="435" customFormat="false" ht="15" hidden="false" customHeight="false" outlineLevel="0" collapsed="false">
      <c r="A435" s="103"/>
    </row>
    <row r="436" customFormat="false" ht="15" hidden="false" customHeight="false" outlineLevel="0" collapsed="false">
      <c r="A436" s="103"/>
    </row>
    <row r="437" customFormat="false" ht="15" hidden="false" customHeight="false" outlineLevel="0" collapsed="false">
      <c r="A437" s="103"/>
    </row>
    <row r="438" customFormat="false" ht="15" hidden="false" customHeight="false" outlineLevel="0" collapsed="false">
      <c r="A438" s="103"/>
    </row>
    <row r="439" customFormat="false" ht="15" hidden="false" customHeight="false" outlineLevel="0" collapsed="false">
      <c r="A439" s="103"/>
    </row>
    <row r="440" customFormat="false" ht="15" hidden="false" customHeight="false" outlineLevel="0" collapsed="false">
      <c r="A440" s="103"/>
    </row>
    <row r="441" customFormat="false" ht="15" hidden="false" customHeight="false" outlineLevel="0" collapsed="false">
      <c r="A441" s="103"/>
    </row>
    <row r="442" customFormat="false" ht="15" hidden="false" customHeight="false" outlineLevel="0" collapsed="false">
      <c r="A442" s="103"/>
    </row>
    <row r="443" customFormat="false" ht="15" hidden="false" customHeight="false" outlineLevel="0" collapsed="false">
      <c r="A443" s="103"/>
    </row>
    <row r="444" customFormat="false" ht="15" hidden="false" customHeight="false" outlineLevel="0" collapsed="false">
      <c r="A444" s="103"/>
    </row>
    <row r="445" customFormat="false" ht="15" hidden="false" customHeight="false" outlineLevel="0" collapsed="false">
      <c r="A445" s="103"/>
    </row>
    <row r="446" customFormat="false" ht="15" hidden="false" customHeight="false" outlineLevel="0" collapsed="false">
      <c r="A446" s="103"/>
    </row>
    <row r="447" customFormat="false" ht="15" hidden="false" customHeight="false" outlineLevel="0" collapsed="false">
      <c r="A447" s="103"/>
    </row>
    <row r="448" customFormat="false" ht="15" hidden="false" customHeight="false" outlineLevel="0" collapsed="false">
      <c r="A448" s="103"/>
    </row>
    <row r="449" customFormat="false" ht="15" hidden="false" customHeight="false" outlineLevel="0" collapsed="false">
      <c r="A449" s="103"/>
    </row>
    <row r="450" customFormat="false" ht="15" hidden="false" customHeight="false" outlineLevel="0" collapsed="false">
      <c r="A450" s="103"/>
    </row>
    <row r="451" customFormat="false" ht="15" hidden="false" customHeight="false" outlineLevel="0" collapsed="false">
      <c r="A451" s="103"/>
    </row>
    <row r="452" customFormat="false" ht="15" hidden="false" customHeight="false" outlineLevel="0" collapsed="false">
      <c r="A452" s="103"/>
    </row>
    <row r="453" customFormat="false" ht="15" hidden="false" customHeight="false" outlineLevel="0" collapsed="false">
      <c r="A453" s="103"/>
    </row>
    <row r="454" customFormat="false" ht="15" hidden="false" customHeight="false" outlineLevel="0" collapsed="false">
      <c r="A454" s="103"/>
    </row>
    <row r="455" customFormat="false" ht="15" hidden="false" customHeight="false" outlineLevel="0" collapsed="false">
      <c r="A455" s="103"/>
    </row>
    <row r="456" customFormat="false" ht="15" hidden="false" customHeight="false" outlineLevel="0" collapsed="false">
      <c r="A456" s="103"/>
    </row>
    <row r="457" customFormat="false" ht="15" hidden="false" customHeight="false" outlineLevel="0" collapsed="false">
      <c r="A457" s="103"/>
    </row>
    <row r="458" customFormat="false" ht="15" hidden="false" customHeight="false" outlineLevel="0" collapsed="false">
      <c r="A458" s="103"/>
    </row>
    <row r="459" customFormat="false" ht="15" hidden="false" customHeight="false" outlineLevel="0" collapsed="false">
      <c r="A459" s="103"/>
    </row>
    <row r="460" customFormat="false" ht="15" hidden="false" customHeight="false" outlineLevel="0" collapsed="false">
      <c r="A460" s="103"/>
    </row>
    <row r="461" customFormat="false" ht="15" hidden="false" customHeight="false" outlineLevel="0" collapsed="false">
      <c r="A461" s="103"/>
    </row>
    <row r="462" customFormat="false" ht="15" hidden="false" customHeight="false" outlineLevel="0" collapsed="false">
      <c r="A462" s="103"/>
    </row>
    <row r="463" customFormat="false" ht="15" hidden="false" customHeight="false" outlineLevel="0" collapsed="false">
      <c r="A463" s="103"/>
    </row>
    <row r="464" customFormat="false" ht="15" hidden="false" customHeight="false" outlineLevel="0" collapsed="false">
      <c r="A464" s="103"/>
    </row>
    <row r="465" customFormat="false" ht="15" hidden="false" customHeight="false" outlineLevel="0" collapsed="false">
      <c r="A465" s="103"/>
    </row>
    <row r="466" customFormat="false" ht="15" hidden="false" customHeight="false" outlineLevel="0" collapsed="false">
      <c r="A466" s="103"/>
    </row>
    <row r="467" customFormat="false" ht="15" hidden="false" customHeight="false" outlineLevel="0" collapsed="false">
      <c r="A467" s="103"/>
    </row>
    <row r="468" customFormat="false" ht="15" hidden="false" customHeight="false" outlineLevel="0" collapsed="false">
      <c r="A468" s="103"/>
    </row>
    <row r="469" customFormat="false" ht="15" hidden="false" customHeight="false" outlineLevel="0" collapsed="false">
      <c r="A469" s="103"/>
    </row>
    <row r="470" customFormat="false" ht="15" hidden="false" customHeight="false" outlineLevel="0" collapsed="false">
      <c r="A470" s="103"/>
    </row>
    <row r="471" customFormat="false" ht="15" hidden="false" customHeight="false" outlineLevel="0" collapsed="false">
      <c r="A471" s="103"/>
    </row>
    <row r="472" customFormat="false" ht="15" hidden="false" customHeight="false" outlineLevel="0" collapsed="false">
      <c r="A472" s="103"/>
    </row>
    <row r="473" customFormat="false" ht="15" hidden="false" customHeight="false" outlineLevel="0" collapsed="false">
      <c r="A473" s="103"/>
    </row>
    <row r="474" customFormat="false" ht="15" hidden="false" customHeight="false" outlineLevel="0" collapsed="false">
      <c r="A474" s="103"/>
    </row>
    <row r="475" customFormat="false" ht="15" hidden="false" customHeight="false" outlineLevel="0" collapsed="false">
      <c r="A475" s="103"/>
    </row>
    <row r="476" customFormat="false" ht="15" hidden="false" customHeight="false" outlineLevel="0" collapsed="false">
      <c r="A476" s="103"/>
    </row>
    <row r="477" customFormat="false" ht="15" hidden="false" customHeight="false" outlineLevel="0" collapsed="false">
      <c r="A477" s="103"/>
    </row>
    <row r="478" customFormat="false" ht="15" hidden="false" customHeight="false" outlineLevel="0" collapsed="false">
      <c r="A478" s="103"/>
    </row>
    <row r="479" customFormat="false" ht="15" hidden="false" customHeight="false" outlineLevel="0" collapsed="false">
      <c r="A479" s="103"/>
    </row>
    <row r="480" customFormat="false" ht="15" hidden="false" customHeight="false" outlineLevel="0" collapsed="false">
      <c r="A480" s="103"/>
    </row>
    <row r="481" customFormat="false" ht="15" hidden="false" customHeight="false" outlineLevel="0" collapsed="false">
      <c r="A481" s="103"/>
    </row>
    <row r="482" customFormat="false" ht="15" hidden="false" customHeight="false" outlineLevel="0" collapsed="false">
      <c r="A482" s="103"/>
    </row>
    <row r="483" customFormat="false" ht="15" hidden="false" customHeight="false" outlineLevel="0" collapsed="false">
      <c r="A483" s="103"/>
    </row>
    <row r="484" customFormat="false" ht="15" hidden="false" customHeight="false" outlineLevel="0" collapsed="false">
      <c r="A484" s="103"/>
    </row>
    <row r="485" customFormat="false" ht="15" hidden="false" customHeight="false" outlineLevel="0" collapsed="false">
      <c r="A485" s="103"/>
    </row>
    <row r="486" customFormat="false" ht="15" hidden="false" customHeight="false" outlineLevel="0" collapsed="false">
      <c r="A486" s="103"/>
    </row>
    <row r="487" customFormat="false" ht="15" hidden="false" customHeight="false" outlineLevel="0" collapsed="false">
      <c r="A487" s="103"/>
    </row>
    <row r="488" customFormat="false" ht="15" hidden="false" customHeight="false" outlineLevel="0" collapsed="false">
      <c r="A488" s="103"/>
    </row>
    <row r="489" customFormat="false" ht="15" hidden="false" customHeight="false" outlineLevel="0" collapsed="false">
      <c r="A489" s="103"/>
    </row>
    <row r="490" customFormat="false" ht="15" hidden="false" customHeight="false" outlineLevel="0" collapsed="false">
      <c r="A490" s="103"/>
    </row>
    <row r="491" customFormat="false" ht="15" hidden="false" customHeight="false" outlineLevel="0" collapsed="false">
      <c r="A491" s="103"/>
    </row>
    <row r="492" customFormat="false" ht="15" hidden="false" customHeight="false" outlineLevel="0" collapsed="false">
      <c r="A492" s="103"/>
    </row>
    <row r="493" customFormat="false" ht="15" hidden="false" customHeight="false" outlineLevel="0" collapsed="false">
      <c r="A493" s="103"/>
    </row>
    <row r="494" customFormat="false" ht="15" hidden="false" customHeight="false" outlineLevel="0" collapsed="false">
      <c r="A494" s="103"/>
    </row>
    <row r="495" customFormat="false" ht="15" hidden="false" customHeight="false" outlineLevel="0" collapsed="false">
      <c r="A495" s="103"/>
    </row>
    <row r="496" customFormat="false" ht="15" hidden="false" customHeight="false" outlineLevel="0" collapsed="false">
      <c r="A496" s="103"/>
    </row>
    <row r="497" customFormat="false" ht="15" hidden="false" customHeight="false" outlineLevel="0" collapsed="false">
      <c r="A497" s="103"/>
    </row>
    <row r="498" customFormat="false" ht="15" hidden="false" customHeight="false" outlineLevel="0" collapsed="false">
      <c r="A498" s="103"/>
    </row>
    <row r="499" customFormat="false" ht="15" hidden="false" customHeight="false" outlineLevel="0" collapsed="false">
      <c r="A499" s="103"/>
    </row>
    <row r="500" customFormat="false" ht="15" hidden="false" customHeight="false" outlineLevel="0" collapsed="false">
      <c r="A500" s="103"/>
    </row>
    <row r="501" customFormat="false" ht="15" hidden="false" customHeight="false" outlineLevel="0" collapsed="false">
      <c r="A501" s="103"/>
    </row>
    <row r="502" customFormat="false" ht="15" hidden="false" customHeight="false" outlineLevel="0" collapsed="false">
      <c r="A502" s="103"/>
    </row>
    <row r="503" customFormat="false" ht="15" hidden="false" customHeight="false" outlineLevel="0" collapsed="false">
      <c r="A503" s="103"/>
    </row>
    <row r="504" customFormat="false" ht="15" hidden="false" customHeight="false" outlineLevel="0" collapsed="false">
      <c r="A504" s="103"/>
    </row>
    <row r="505" customFormat="false" ht="15" hidden="false" customHeight="false" outlineLevel="0" collapsed="false">
      <c r="A505" s="103"/>
    </row>
    <row r="506" customFormat="false" ht="15" hidden="false" customHeight="false" outlineLevel="0" collapsed="false">
      <c r="A506" s="103"/>
    </row>
    <row r="507" customFormat="false" ht="15" hidden="false" customHeight="false" outlineLevel="0" collapsed="false">
      <c r="A507" s="103"/>
    </row>
    <row r="508" customFormat="false" ht="15" hidden="false" customHeight="false" outlineLevel="0" collapsed="false">
      <c r="A508" s="103"/>
    </row>
    <row r="509" customFormat="false" ht="15" hidden="false" customHeight="false" outlineLevel="0" collapsed="false">
      <c r="A509" s="103"/>
    </row>
    <row r="510" customFormat="false" ht="15" hidden="false" customHeight="false" outlineLevel="0" collapsed="false">
      <c r="A510" s="103"/>
    </row>
    <row r="511" customFormat="false" ht="15" hidden="false" customHeight="false" outlineLevel="0" collapsed="false">
      <c r="A511" s="103"/>
    </row>
    <row r="512" customFormat="false" ht="15" hidden="false" customHeight="false" outlineLevel="0" collapsed="false">
      <c r="A512" s="103"/>
    </row>
    <row r="513" customFormat="false" ht="15" hidden="false" customHeight="false" outlineLevel="0" collapsed="false">
      <c r="A513" s="103"/>
    </row>
    <row r="514" customFormat="false" ht="15" hidden="false" customHeight="false" outlineLevel="0" collapsed="false">
      <c r="A514" s="103"/>
    </row>
    <row r="515" customFormat="false" ht="15" hidden="false" customHeight="false" outlineLevel="0" collapsed="false">
      <c r="A515" s="103"/>
    </row>
    <row r="516" customFormat="false" ht="15" hidden="false" customHeight="false" outlineLevel="0" collapsed="false">
      <c r="A516" s="103"/>
    </row>
    <row r="517" customFormat="false" ht="15" hidden="false" customHeight="false" outlineLevel="0" collapsed="false">
      <c r="A517" s="103"/>
    </row>
    <row r="518" customFormat="false" ht="15" hidden="false" customHeight="false" outlineLevel="0" collapsed="false">
      <c r="A518" s="103"/>
    </row>
    <row r="519" customFormat="false" ht="15" hidden="false" customHeight="false" outlineLevel="0" collapsed="false">
      <c r="A519" s="103"/>
    </row>
    <row r="520" customFormat="false" ht="15" hidden="false" customHeight="false" outlineLevel="0" collapsed="false">
      <c r="A520" s="103"/>
    </row>
    <row r="521" customFormat="false" ht="15" hidden="false" customHeight="false" outlineLevel="0" collapsed="false">
      <c r="A521" s="103"/>
    </row>
    <row r="522" customFormat="false" ht="15" hidden="false" customHeight="false" outlineLevel="0" collapsed="false">
      <c r="A522" s="103"/>
    </row>
    <row r="523" customFormat="false" ht="15" hidden="false" customHeight="false" outlineLevel="0" collapsed="false">
      <c r="A523" s="103"/>
    </row>
    <row r="524" customFormat="false" ht="15" hidden="false" customHeight="false" outlineLevel="0" collapsed="false">
      <c r="A524" s="103"/>
    </row>
    <row r="525" customFormat="false" ht="15" hidden="false" customHeight="false" outlineLevel="0" collapsed="false">
      <c r="A525" s="103"/>
    </row>
    <row r="526" customFormat="false" ht="15" hidden="false" customHeight="false" outlineLevel="0" collapsed="false">
      <c r="A526" s="103"/>
    </row>
    <row r="527" customFormat="false" ht="15" hidden="false" customHeight="false" outlineLevel="0" collapsed="false">
      <c r="A527" s="103"/>
    </row>
    <row r="528" customFormat="false" ht="15" hidden="false" customHeight="false" outlineLevel="0" collapsed="false">
      <c r="A528" s="103"/>
    </row>
    <row r="529" customFormat="false" ht="15" hidden="false" customHeight="false" outlineLevel="0" collapsed="false">
      <c r="A529" s="103"/>
    </row>
    <row r="530" customFormat="false" ht="15" hidden="false" customHeight="false" outlineLevel="0" collapsed="false">
      <c r="A530" s="103"/>
    </row>
    <row r="531" customFormat="false" ht="15" hidden="false" customHeight="false" outlineLevel="0" collapsed="false">
      <c r="A531" s="103"/>
    </row>
    <row r="532" customFormat="false" ht="15" hidden="false" customHeight="false" outlineLevel="0" collapsed="false">
      <c r="A532" s="103"/>
    </row>
    <row r="533" customFormat="false" ht="15" hidden="false" customHeight="false" outlineLevel="0" collapsed="false">
      <c r="A533" s="103"/>
    </row>
    <row r="534" customFormat="false" ht="15" hidden="false" customHeight="false" outlineLevel="0" collapsed="false">
      <c r="A534" s="103"/>
    </row>
    <row r="535" customFormat="false" ht="15" hidden="false" customHeight="false" outlineLevel="0" collapsed="false">
      <c r="A535" s="103"/>
    </row>
    <row r="536" customFormat="false" ht="15" hidden="false" customHeight="false" outlineLevel="0" collapsed="false">
      <c r="A536" s="103"/>
    </row>
    <row r="537" customFormat="false" ht="15" hidden="false" customHeight="false" outlineLevel="0" collapsed="false">
      <c r="A537" s="103"/>
    </row>
    <row r="538" customFormat="false" ht="15" hidden="false" customHeight="false" outlineLevel="0" collapsed="false">
      <c r="A538" s="103"/>
    </row>
    <row r="539" customFormat="false" ht="15" hidden="false" customHeight="false" outlineLevel="0" collapsed="false">
      <c r="A539" s="103"/>
    </row>
    <row r="540" customFormat="false" ht="15" hidden="false" customHeight="false" outlineLevel="0" collapsed="false">
      <c r="A540" s="103"/>
    </row>
    <row r="541" customFormat="false" ht="15" hidden="false" customHeight="false" outlineLevel="0" collapsed="false">
      <c r="A541" s="103"/>
    </row>
    <row r="542" customFormat="false" ht="15" hidden="false" customHeight="false" outlineLevel="0" collapsed="false">
      <c r="A542" s="103"/>
    </row>
    <row r="543" customFormat="false" ht="15" hidden="false" customHeight="false" outlineLevel="0" collapsed="false">
      <c r="A543" s="103"/>
    </row>
    <row r="544" customFormat="false" ht="15" hidden="false" customHeight="false" outlineLevel="0" collapsed="false">
      <c r="A544" s="103"/>
    </row>
    <row r="545" customFormat="false" ht="15" hidden="false" customHeight="false" outlineLevel="0" collapsed="false">
      <c r="A545" s="103"/>
    </row>
    <row r="546" customFormat="false" ht="15" hidden="false" customHeight="false" outlineLevel="0" collapsed="false">
      <c r="A546" s="103"/>
    </row>
    <row r="547" customFormat="false" ht="15" hidden="false" customHeight="false" outlineLevel="0" collapsed="false">
      <c r="A547" s="103"/>
    </row>
    <row r="548" customFormat="false" ht="15" hidden="false" customHeight="false" outlineLevel="0" collapsed="false">
      <c r="A548" s="103"/>
    </row>
    <row r="549" customFormat="false" ht="15" hidden="false" customHeight="false" outlineLevel="0" collapsed="false">
      <c r="A549" s="103"/>
    </row>
    <row r="550" customFormat="false" ht="15" hidden="false" customHeight="false" outlineLevel="0" collapsed="false">
      <c r="A550" s="103"/>
    </row>
    <row r="551" customFormat="false" ht="15" hidden="false" customHeight="false" outlineLevel="0" collapsed="false">
      <c r="A551" s="103"/>
    </row>
    <row r="552" customFormat="false" ht="15" hidden="false" customHeight="false" outlineLevel="0" collapsed="false">
      <c r="A552" s="103"/>
    </row>
    <row r="553" customFormat="false" ht="15" hidden="false" customHeight="false" outlineLevel="0" collapsed="false">
      <c r="A553" s="103"/>
    </row>
    <row r="554" customFormat="false" ht="15" hidden="false" customHeight="false" outlineLevel="0" collapsed="false">
      <c r="A554" s="103"/>
    </row>
    <row r="555" customFormat="false" ht="15" hidden="false" customHeight="false" outlineLevel="0" collapsed="false">
      <c r="A555" s="103"/>
    </row>
    <row r="556" customFormat="false" ht="15" hidden="false" customHeight="false" outlineLevel="0" collapsed="false">
      <c r="A556" s="103"/>
    </row>
    <row r="557" customFormat="false" ht="15" hidden="false" customHeight="false" outlineLevel="0" collapsed="false">
      <c r="A557" s="103"/>
    </row>
    <row r="558" customFormat="false" ht="15" hidden="false" customHeight="false" outlineLevel="0" collapsed="false">
      <c r="A558" s="103"/>
    </row>
    <row r="559" customFormat="false" ht="15" hidden="false" customHeight="false" outlineLevel="0" collapsed="false">
      <c r="A559" s="103"/>
    </row>
    <row r="560" customFormat="false" ht="15" hidden="false" customHeight="false" outlineLevel="0" collapsed="false">
      <c r="A560" s="103"/>
    </row>
    <row r="561" customFormat="false" ht="15" hidden="false" customHeight="false" outlineLevel="0" collapsed="false">
      <c r="A561" s="103"/>
    </row>
    <row r="562" customFormat="false" ht="15" hidden="false" customHeight="false" outlineLevel="0" collapsed="false">
      <c r="A562" s="103"/>
    </row>
    <row r="563" customFormat="false" ht="15" hidden="false" customHeight="false" outlineLevel="0" collapsed="false">
      <c r="A563" s="103"/>
    </row>
    <row r="564" customFormat="false" ht="15" hidden="false" customHeight="false" outlineLevel="0" collapsed="false">
      <c r="A564" s="103"/>
    </row>
    <row r="565" customFormat="false" ht="15" hidden="false" customHeight="false" outlineLevel="0" collapsed="false">
      <c r="A565" s="103"/>
    </row>
    <row r="566" customFormat="false" ht="15" hidden="false" customHeight="false" outlineLevel="0" collapsed="false">
      <c r="A566" s="103"/>
    </row>
    <row r="567" customFormat="false" ht="15" hidden="false" customHeight="false" outlineLevel="0" collapsed="false">
      <c r="A567" s="103"/>
    </row>
    <row r="568" customFormat="false" ht="15" hidden="false" customHeight="false" outlineLevel="0" collapsed="false">
      <c r="A568" s="103"/>
    </row>
    <row r="569" customFormat="false" ht="15" hidden="false" customHeight="false" outlineLevel="0" collapsed="false">
      <c r="A569" s="103"/>
    </row>
    <row r="570" customFormat="false" ht="15" hidden="false" customHeight="false" outlineLevel="0" collapsed="false">
      <c r="A570" s="103"/>
    </row>
    <row r="571" customFormat="false" ht="15" hidden="false" customHeight="false" outlineLevel="0" collapsed="false">
      <c r="A571" s="103"/>
    </row>
    <row r="572" customFormat="false" ht="15" hidden="false" customHeight="false" outlineLevel="0" collapsed="false">
      <c r="A572" s="103"/>
    </row>
    <row r="573" customFormat="false" ht="15" hidden="false" customHeight="false" outlineLevel="0" collapsed="false">
      <c r="A573" s="103"/>
    </row>
    <row r="574" customFormat="false" ht="15" hidden="false" customHeight="false" outlineLevel="0" collapsed="false">
      <c r="A574" s="103"/>
    </row>
    <row r="575" customFormat="false" ht="15" hidden="false" customHeight="false" outlineLevel="0" collapsed="false">
      <c r="A575" s="103"/>
    </row>
    <row r="576" customFormat="false" ht="15" hidden="false" customHeight="false" outlineLevel="0" collapsed="false">
      <c r="A576" s="103"/>
    </row>
    <row r="577" customFormat="false" ht="15" hidden="false" customHeight="false" outlineLevel="0" collapsed="false">
      <c r="A577" s="103"/>
    </row>
    <row r="578" customFormat="false" ht="15" hidden="false" customHeight="false" outlineLevel="0" collapsed="false">
      <c r="A578" s="103"/>
    </row>
    <row r="579" customFormat="false" ht="15" hidden="false" customHeight="false" outlineLevel="0" collapsed="false">
      <c r="A579" s="103"/>
    </row>
    <row r="580" customFormat="false" ht="15" hidden="false" customHeight="false" outlineLevel="0" collapsed="false">
      <c r="A580" s="103"/>
    </row>
    <row r="581" customFormat="false" ht="15" hidden="false" customHeight="false" outlineLevel="0" collapsed="false">
      <c r="A581" s="103"/>
    </row>
    <row r="582" customFormat="false" ht="15" hidden="false" customHeight="false" outlineLevel="0" collapsed="false">
      <c r="A582" s="103"/>
    </row>
    <row r="583" customFormat="false" ht="15" hidden="false" customHeight="false" outlineLevel="0" collapsed="false">
      <c r="A583" s="103"/>
    </row>
    <row r="584" customFormat="false" ht="15" hidden="false" customHeight="false" outlineLevel="0" collapsed="false">
      <c r="A584" s="103"/>
    </row>
    <row r="585" customFormat="false" ht="15" hidden="false" customHeight="false" outlineLevel="0" collapsed="false">
      <c r="A585" s="103"/>
    </row>
    <row r="586" customFormat="false" ht="15" hidden="false" customHeight="false" outlineLevel="0" collapsed="false">
      <c r="A586" s="103"/>
    </row>
    <row r="587" customFormat="false" ht="15" hidden="false" customHeight="false" outlineLevel="0" collapsed="false">
      <c r="A587" s="103"/>
    </row>
    <row r="588" customFormat="false" ht="15" hidden="false" customHeight="false" outlineLevel="0" collapsed="false">
      <c r="A588" s="103"/>
    </row>
    <row r="589" customFormat="false" ht="15" hidden="false" customHeight="false" outlineLevel="0" collapsed="false">
      <c r="A589" s="103"/>
    </row>
    <row r="590" customFormat="false" ht="15" hidden="false" customHeight="false" outlineLevel="0" collapsed="false">
      <c r="A590" s="103"/>
    </row>
    <row r="591" customFormat="false" ht="15" hidden="false" customHeight="false" outlineLevel="0" collapsed="false">
      <c r="A591" s="103"/>
    </row>
    <row r="592" customFormat="false" ht="15" hidden="false" customHeight="false" outlineLevel="0" collapsed="false">
      <c r="A592" s="103"/>
    </row>
    <row r="593" customFormat="false" ht="15" hidden="false" customHeight="false" outlineLevel="0" collapsed="false">
      <c r="A593" s="103"/>
    </row>
    <row r="594" customFormat="false" ht="15" hidden="false" customHeight="false" outlineLevel="0" collapsed="false">
      <c r="A594" s="103"/>
    </row>
    <row r="595" customFormat="false" ht="15" hidden="false" customHeight="false" outlineLevel="0" collapsed="false">
      <c r="A595" s="103"/>
    </row>
    <row r="596" customFormat="false" ht="15" hidden="false" customHeight="false" outlineLevel="0" collapsed="false">
      <c r="A596" s="103"/>
    </row>
    <row r="597" customFormat="false" ht="15" hidden="false" customHeight="false" outlineLevel="0" collapsed="false">
      <c r="A597" s="103"/>
    </row>
    <row r="598" customFormat="false" ht="15" hidden="false" customHeight="false" outlineLevel="0" collapsed="false">
      <c r="A598" s="103"/>
    </row>
    <row r="599" customFormat="false" ht="15" hidden="false" customHeight="false" outlineLevel="0" collapsed="false">
      <c r="A599" s="103"/>
    </row>
    <row r="600" customFormat="false" ht="15" hidden="false" customHeight="false" outlineLevel="0" collapsed="false">
      <c r="A600" s="103"/>
    </row>
    <row r="601" customFormat="false" ht="15" hidden="false" customHeight="false" outlineLevel="0" collapsed="false">
      <c r="A601" s="103"/>
    </row>
    <row r="602" customFormat="false" ht="15" hidden="false" customHeight="false" outlineLevel="0" collapsed="false">
      <c r="A602" s="103"/>
    </row>
    <row r="603" customFormat="false" ht="15" hidden="false" customHeight="false" outlineLevel="0" collapsed="false">
      <c r="A603" s="103"/>
    </row>
    <row r="604" customFormat="false" ht="15" hidden="false" customHeight="false" outlineLevel="0" collapsed="false">
      <c r="A604" s="103"/>
    </row>
    <row r="605" customFormat="false" ht="15" hidden="false" customHeight="false" outlineLevel="0" collapsed="false">
      <c r="A605" s="103"/>
    </row>
    <row r="606" customFormat="false" ht="15" hidden="false" customHeight="false" outlineLevel="0" collapsed="false">
      <c r="A606" s="103"/>
    </row>
    <row r="607" customFormat="false" ht="15" hidden="false" customHeight="false" outlineLevel="0" collapsed="false">
      <c r="A607" s="103"/>
    </row>
    <row r="608" customFormat="false" ht="15" hidden="false" customHeight="false" outlineLevel="0" collapsed="false">
      <c r="A608" s="103"/>
    </row>
    <row r="609" customFormat="false" ht="15" hidden="false" customHeight="false" outlineLevel="0" collapsed="false">
      <c r="A609" s="103"/>
    </row>
    <row r="610" customFormat="false" ht="15" hidden="false" customHeight="false" outlineLevel="0" collapsed="false">
      <c r="A610" s="103"/>
    </row>
    <row r="611" customFormat="false" ht="15" hidden="false" customHeight="false" outlineLevel="0" collapsed="false">
      <c r="A611" s="103"/>
    </row>
    <row r="612" customFormat="false" ht="15" hidden="false" customHeight="false" outlineLevel="0" collapsed="false">
      <c r="A612" s="103"/>
    </row>
    <row r="613" customFormat="false" ht="15" hidden="false" customHeight="false" outlineLevel="0" collapsed="false">
      <c r="A613" s="103"/>
    </row>
    <row r="614" customFormat="false" ht="15" hidden="false" customHeight="false" outlineLevel="0" collapsed="false">
      <c r="A614" s="103"/>
    </row>
    <row r="615" customFormat="false" ht="15" hidden="false" customHeight="false" outlineLevel="0" collapsed="false">
      <c r="A615" s="103"/>
    </row>
    <row r="616" customFormat="false" ht="15" hidden="false" customHeight="false" outlineLevel="0" collapsed="false">
      <c r="A616" s="103"/>
    </row>
    <row r="617" customFormat="false" ht="15" hidden="false" customHeight="false" outlineLevel="0" collapsed="false">
      <c r="A617" s="103"/>
    </row>
    <row r="618" customFormat="false" ht="15" hidden="false" customHeight="false" outlineLevel="0" collapsed="false">
      <c r="A618" s="103"/>
    </row>
    <row r="619" customFormat="false" ht="15" hidden="false" customHeight="false" outlineLevel="0" collapsed="false">
      <c r="A619" s="103"/>
    </row>
    <row r="620" customFormat="false" ht="15" hidden="false" customHeight="false" outlineLevel="0" collapsed="false">
      <c r="A620" s="103"/>
    </row>
    <row r="621" customFormat="false" ht="15" hidden="false" customHeight="false" outlineLevel="0" collapsed="false">
      <c r="A621" s="103"/>
    </row>
    <row r="622" customFormat="false" ht="15" hidden="false" customHeight="false" outlineLevel="0" collapsed="false">
      <c r="A622" s="103"/>
    </row>
    <row r="623" customFormat="false" ht="15" hidden="false" customHeight="false" outlineLevel="0" collapsed="false">
      <c r="A623" s="103"/>
    </row>
    <row r="624" customFormat="false" ht="15" hidden="false" customHeight="false" outlineLevel="0" collapsed="false">
      <c r="A624" s="103"/>
    </row>
    <row r="625" customFormat="false" ht="15" hidden="false" customHeight="false" outlineLevel="0" collapsed="false">
      <c r="A625" s="103"/>
    </row>
    <row r="626" customFormat="false" ht="15" hidden="false" customHeight="false" outlineLevel="0" collapsed="false">
      <c r="A626" s="103"/>
    </row>
    <row r="627" customFormat="false" ht="15" hidden="false" customHeight="false" outlineLevel="0" collapsed="false">
      <c r="A627" s="103"/>
    </row>
    <row r="628" customFormat="false" ht="15" hidden="false" customHeight="false" outlineLevel="0" collapsed="false">
      <c r="A628" s="103"/>
    </row>
    <row r="629" customFormat="false" ht="15" hidden="false" customHeight="false" outlineLevel="0" collapsed="false">
      <c r="A629" s="103"/>
    </row>
    <row r="630" customFormat="false" ht="15" hidden="false" customHeight="false" outlineLevel="0" collapsed="false">
      <c r="A630" s="103"/>
    </row>
    <row r="631" customFormat="false" ht="15" hidden="false" customHeight="false" outlineLevel="0" collapsed="false">
      <c r="A631" s="103"/>
    </row>
    <row r="632" customFormat="false" ht="15" hidden="false" customHeight="false" outlineLevel="0" collapsed="false">
      <c r="A632" s="103"/>
    </row>
    <row r="633" customFormat="false" ht="15" hidden="false" customHeight="false" outlineLevel="0" collapsed="false">
      <c r="A633" s="103"/>
    </row>
    <row r="634" customFormat="false" ht="15" hidden="false" customHeight="false" outlineLevel="0" collapsed="false">
      <c r="A634" s="103"/>
    </row>
    <row r="635" customFormat="false" ht="15" hidden="false" customHeight="false" outlineLevel="0" collapsed="false">
      <c r="A635" s="103"/>
    </row>
    <row r="636" customFormat="false" ht="15" hidden="false" customHeight="false" outlineLevel="0" collapsed="false">
      <c r="A636" s="103"/>
    </row>
    <row r="637" customFormat="false" ht="15" hidden="false" customHeight="false" outlineLevel="0" collapsed="false">
      <c r="A637" s="103"/>
    </row>
    <row r="638" customFormat="false" ht="15" hidden="false" customHeight="false" outlineLevel="0" collapsed="false">
      <c r="A638" s="103"/>
    </row>
    <row r="639" customFormat="false" ht="15" hidden="false" customHeight="false" outlineLevel="0" collapsed="false">
      <c r="A639" s="103"/>
    </row>
    <row r="640" customFormat="false" ht="15" hidden="false" customHeight="false" outlineLevel="0" collapsed="false">
      <c r="A640" s="103"/>
    </row>
    <row r="641" customFormat="false" ht="15" hidden="false" customHeight="false" outlineLevel="0" collapsed="false">
      <c r="A641" s="103"/>
    </row>
    <row r="642" customFormat="false" ht="15" hidden="false" customHeight="false" outlineLevel="0" collapsed="false">
      <c r="A642" s="103"/>
    </row>
    <row r="643" customFormat="false" ht="15" hidden="false" customHeight="false" outlineLevel="0" collapsed="false">
      <c r="A643" s="103"/>
    </row>
    <row r="644" customFormat="false" ht="15" hidden="false" customHeight="false" outlineLevel="0" collapsed="false">
      <c r="A644" s="103"/>
    </row>
    <row r="645" customFormat="false" ht="15" hidden="false" customHeight="false" outlineLevel="0" collapsed="false">
      <c r="A645" s="103"/>
    </row>
    <row r="646" customFormat="false" ht="15" hidden="false" customHeight="false" outlineLevel="0" collapsed="false">
      <c r="A646" s="103"/>
    </row>
    <row r="647" customFormat="false" ht="15" hidden="false" customHeight="false" outlineLevel="0" collapsed="false">
      <c r="A647" s="103"/>
    </row>
    <row r="648" customFormat="false" ht="15" hidden="false" customHeight="false" outlineLevel="0" collapsed="false">
      <c r="A648" s="103"/>
    </row>
    <row r="649" customFormat="false" ht="15" hidden="false" customHeight="false" outlineLevel="0" collapsed="false">
      <c r="A649" s="103"/>
    </row>
    <row r="650" customFormat="false" ht="15" hidden="false" customHeight="false" outlineLevel="0" collapsed="false">
      <c r="A650" s="103"/>
    </row>
    <row r="651" customFormat="false" ht="15" hidden="false" customHeight="false" outlineLevel="0" collapsed="false">
      <c r="A651" s="103"/>
    </row>
    <row r="652" customFormat="false" ht="15" hidden="false" customHeight="false" outlineLevel="0" collapsed="false">
      <c r="A652" s="103"/>
    </row>
    <row r="653" customFormat="false" ht="15" hidden="false" customHeight="false" outlineLevel="0" collapsed="false">
      <c r="A653" s="103"/>
    </row>
    <row r="654" customFormat="false" ht="15" hidden="false" customHeight="false" outlineLevel="0" collapsed="false">
      <c r="A654" s="103"/>
    </row>
    <row r="655" customFormat="false" ht="15" hidden="false" customHeight="false" outlineLevel="0" collapsed="false">
      <c r="A655" s="103"/>
    </row>
    <row r="656" customFormat="false" ht="15" hidden="false" customHeight="false" outlineLevel="0" collapsed="false">
      <c r="A656" s="103"/>
    </row>
    <row r="657" customFormat="false" ht="15" hidden="false" customHeight="false" outlineLevel="0" collapsed="false">
      <c r="A657" s="103"/>
    </row>
    <row r="658" customFormat="false" ht="15" hidden="false" customHeight="false" outlineLevel="0" collapsed="false">
      <c r="A658" s="103"/>
    </row>
    <row r="659" customFormat="false" ht="15" hidden="false" customHeight="false" outlineLevel="0" collapsed="false">
      <c r="A659" s="103"/>
    </row>
    <row r="660" customFormat="false" ht="15" hidden="false" customHeight="false" outlineLevel="0" collapsed="false">
      <c r="A660" s="103"/>
    </row>
    <row r="661" customFormat="false" ht="15" hidden="false" customHeight="false" outlineLevel="0" collapsed="false">
      <c r="A661" s="103"/>
    </row>
    <row r="662" customFormat="false" ht="15" hidden="false" customHeight="false" outlineLevel="0" collapsed="false">
      <c r="A662" s="103"/>
    </row>
    <row r="663" customFormat="false" ht="15" hidden="false" customHeight="false" outlineLevel="0" collapsed="false">
      <c r="A663" s="103"/>
    </row>
    <row r="664" customFormat="false" ht="15" hidden="false" customHeight="false" outlineLevel="0" collapsed="false">
      <c r="A664" s="103"/>
    </row>
    <row r="665" customFormat="false" ht="15" hidden="false" customHeight="false" outlineLevel="0" collapsed="false">
      <c r="A665" s="103"/>
    </row>
    <row r="666" customFormat="false" ht="15" hidden="false" customHeight="false" outlineLevel="0" collapsed="false">
      <c r="A666" s="103"/>
    </row>
    <row r="667" customFormat="false" ht="15" hidden="false" customHeight="false" outlineLevel="0" collapsed="false">
      <c r="A667" s="103"/>
    </row>
    <row r="668" customFormat="false" ht="15" hidden="false" customHeight="false" outlineLevel="0" collapsed="false">
      <c r="A668" s="103"/>
    </row>
    <row r="669" customFormat="false" ht="15" hidden="false" customHeight="false" outlineLevel="0" collapsed="false">
      <c r="A669" s="103"/>
    </row>
    <row r="670" customFormat="false" ht="15" hidden="false" customHeight="false" outlineLevel="0" collapsed="false">
      <c r="A670" s="103"/>
    </row>
    <row r="671" customFormat="false" ht="15" hidden="false" customHeight="false" outlineLevel="0" collapsed="false">
      <c r="A671" s="103"/>
    </row>
    <row r="672" customFormat="false" ht="15" hidden="false" customHeight="false" outlineLevel="0" collapsed="false">
      <c r="A672" s="103"/>
    </row>
    <row r="673" customFormat="false" ht="15" hidden="false" customHeight="false" outlineLevel="0" collapsed="false">
      <c r="A673" s="103"/>
    </row>
    <row r="674" customFormat="false" ht="15" hidden="false" customHeight="false" outlineLevel="0" collapsed="false">
      <c r="A674" s="103"/>
    </row>
    <row r="675" customFormat="false" ht="15" hidden="false" customHeight="false" outlineLevel="0" collapsed="false">
      <c r="A675" s="103"/>
    </row>
    <row r="676" customFormat="false" ht="15" hidden="false" customHeight="false" outlineLevel="0" collapsed="false">
      <c r="A676" s="103"/>
    </row>
    <row r="677" customFormat="false" ht="15" hidden="false" customHeight="false" outlineLevel="0" collapsed="false">
      <c r="A677" s="103"/>
    </row>
    <row r="678" customFormat="false" ht="15" hidden="false" customHeight="false" outlineLevel="0" collapsed="false">
      <c r="A678" s="103"/>
    </row>
    <row r="679" customFormat="false" ht="15" hidden="false" customHeight="false" outlineLevel="0" collapsed="false">
      <c r="A679" s="103"/>
    </row>
    <row r="680" customFormat="false" ht="15" hidden="false" customHeight="false" outlineLevel="0" collapsed="false">
      <c r="A680" s="103"/>
    </row>
    <row r="681" customFormat="false" ht="15" hidden="false" customHeight="false" outlineLevel="0" collapsed="false">
      <c r="A681" s="103"/>
    </row>
    <row r="682" customFormat="false" ht="15" hidden="false" customHeight="false" outlineLevel="0" collapsed="false">
      <c r="A682" s="103"/>
    </row>
    <row r="683" customFormat="false" ht="15" hidden="false" customHeight="false" outlineLevel="0" collapsed="false">
      <c r="A683" s="103"/>
    </row>
    <row r="684" customFormat="false" ht="15" hidden="false" customHeight="false" outlineLevel="0" collapsed="false">
      <c r="A684" s="103"/>
    </row>
    <row r="685" customFormat="false" ht="15" hidden="false" customHeight="false" outlineLevel="0" collapsed="false">
      <c r="A685" s="103"/>
    </row>
    <row r="686" customFormat="false" ht="15" hidden="false" customHeight="false" outlineLevel="0" collapsed="false">
      <c r="A686" s="103"/>
    </row>
    <row r="687" customFormat="false" ht="15" hidden="false" customHeight="false" outlineLevel="0" collapsed="false">
      <c r="A687" s="103"/>
    </row>
    <row r="688" customFormat="false" ht="15" hidden="false" customHeight="false" outlineLevel="0" collapsed="false">
      <c r="A688" s="103"/>
    </row>
    <row r="689" customFormat="false" ht="15" hidden="false" customHeight="false" outlineLevel="0" collapsed="false">
      <c r="A689" s="103"/>
    </row>
    <row r="690" customFormat="false" ht="15" hidden="false" customHeight="false" outlineLevel="0" collapsed="false">
      <c r="A690" s="103"/>
    </row>
    <row r="691" customFormat="false" ht="15" hidden="false" customHeight="false" outlineLevel="0" collapsed="false">
      <c r="A691" s="103"/>
    </row>
    <row r="692" customFormat="false" ht="15" hidden="false" customHeight="false" outlineLevel="0" collapsed="false">
      <c r="A692" s="103"/>
    </row>
    <row r="693" customFormat="false" ht="15" hidden="false" customHeight="false" outlineLevel="0" collapsed="false">
      <c r="A693" s="103"/>
    </row>
    <row r="694" customFormat="false" ht="15" hidden="false" customHeight="false" outlineLevel="0" collapsed="false">
      <c r="A694" s="103"/>
    </row>
    <row r="695" customFormat="false" ht="15" hidden="false" customHeight="false" outlineLevel="0" collapsed="false">
      <c r="A695" s="103"/>
    </row>
    <row r="696" customFormat="false" ht="15" hidden="false" customHeight="false" outlineLevel="0" collapsed="false">
      <c r="A696" s="103"/>
    </row>
    <row r="697" customFormat="false" ht="15" hidden="false" customHeight="false" outlineLevel="0" collapsed="false">
      <c r="A697" s="103"/>
    </row>
    <row r="698" customFormat="false" ht="15" hidden="false" customHeight="false" outlineLevel="0" collapsed="false">
      <c r="A698" s="103"/>
    </row>
    <row r="699" customFormat="false" ht="15" hidden="false" customHeight="false" outlineLevel="0" collapsed="false">
      <c r="A699" s="103"/>
    </row>
    <row r="700" customFormat="false" ht="15" hidden="false" customHeight="false" outlineLevel="0" collapsed="false">
      <c r="A700" s="103"/>
    </row>
    <row r="701" customFormat="false" ht="15" hidden="false" customHeight="false" outlineLevel="0" collapsed="false">
      <c r="A701" s="103"/>
    </row>
    <row r="702" customFormat="false" ht="15" hidden="false" customHeight="false" outlineLevel="0" collapsed="false">
      <c r="A702" s="103"/>
    </row>
    <row r="703" customFormat="false" ht="15" hidden="false" customHeight="false" outlineLevel="0" collapsed="false">
      <c r="A703" s="103"/>
    </row>
    <row r="704" customFormat="false" ht="15" hidden="false" customHeight="false" outlineLevel="0" collapsed="false">
      <c r="A704" s="103"/>
    </row>
    <row r="705" customFormat="false" ht="15" hidden="false" customHeight="false" outlineLevel="0" collapsed="false">
      <c r="A705" s="103"/>
    </row>
    <row r="706" customFormat="false" ht="15" hidden="false" customHeight="false" outlineLevel="0" collapsed="false">
      <c r="A706" s="103"/>
    </row>
    <row r="707" customFormat="false" ht="15" hidden="false" customHeight="false" outlineLevel="0" collapsed="false">
      <c r="A707" s="103"/>
    </row>
    <row r="708" customFormat="false" ht="15" hidden="false" customHeight="false" outlineLevel="0" collapsed="false">
      <c r="A708" s="103"/>
    </row>
    <row r="709" customFormat="false" ht="15" hidden="false" customHeight="false" outlineLevel="0" collapsed="false">
      <c r="A709" s="103"/>
    </row>
    <row r="710" customFormat="false" ht="15" hidden="false" customHeight="false" outlineLevel="0" collapsed="false">
      <c r="A710" s="103"/>
    </row>
    <row r="711" customFormat="false" ht="15" hidden="false" customHeight="false" outlineLevel="0" collapsed="false">
      <c r="A711" s="103"/>
    </row>
    <row r="712" customFormat="false" ht="15" hidden="false" customHeight="false" outlineLevel="0" collapsed="false">
      <c r="A712" s="103"/>
    </row>
    <row r="713" customFormat="false" ht="15" hidden="false" customHeight="false" outlineLevel="0" collapsed="false">
      <c r="A713" s="103"/>
    </row>
    <row r="714" customFormat="false" ht="15" hidden="false" customHeight="false" outlineLevel="0" collapsed="false">
      <c r="A714" s="103"/>
    </row>
    <row r="715" customFormat="false" ht="15" hidden="false" customHeight="false" outlineLevel="0" collapsed="false">
      <c r="A715" s="103"/>
    </row>
    <row r="716" customFormat="false" ht="15" hidden="false" customHeight="false" outlineLevel="0" collapsed="false">
      <c r="A716" s="103"/>
    </row>
    <row r="717" customFormat="false" ht="15" hidden="false" customHeight="false" outlineLevel="0" collapsed="false">
      <c r="A717" s="103"/>
    </row>
    <row r="718" customFormat="false" ht="15" hidden="false" customHeight="false" outlineLevel="0" collapsed="false">
      <c r="A718" s="103"/>
    </row>
    <row r="719" customFormat="false" ht="15" hidden="false" customHeight="false" outlineLevel="0" collapsed="false">
      <c r="A719" s="103"/>
    </row>
    <row r="720" customFormat="false" ht="15" hidden="false" customHeight="false" outlineLevel="0" collapsed="false">
      <c r="A720" s="103"/>
    </row>
    <row r="721" customFormat="false" ht="15" hidden="false" customHeight="false" outlineLevel="0" collapsed="false">
      <c r="A721" s="103"/>
    </row>
    <row r="722" customFormat="false" ht="15" hidden="false" customHeight="false" outlineLevel="0" collapsed="false">
      <c r="A722" s="103"/>
    </row>
    <row r="723" customFormat="false" ht="15" hidden="false" customHeight="false" outlineLevel="0" collapsed="false">
      <c r="A723" s="103"/>
    </row>
    <row r="724" customFormat="false" ht="15" hidden="false" customHeight="false" outlineLevel="0" collapsed="false">
      <c r="A724" s="103"/>
    </row>
    <row r="725" customFormat="false" ht="15" hidden="false" customHeight="false" outlineLevel="0" collapsed="false">
      <c r="A725" s="103"/>
    </row>
    <row r="726" customFormat="false" ht="15" hidden="false" customHeight="false" outlineLevel="0" collapsed="false">
      <c r="A726" s="103"/>
    </row>
    <row r="727" customFormat="false" ht="15" hidden="false" customHeight="false" outlineLevel="0" collapsed="false">
      <c r="A727" s="103"/>
    </row>
    <row r="728" customFormat="false" ht="15" hidden="false" customHeight="false" outlineLevel="0" collapsed="false">
      <c r="A728" s="103"/>
    </row>
    <row r="729" customFormat="false" ht="15" hidden="false" customHeight="false" outlineLevel="0" collapsed="false">
      <c r="A729" s="103"/>
    </row>
    <row r="730" customFormat="false" ht="15" hidden="false" customHeight="false" outlineLevel="0" collapsed="false">
      <c r="A730" s="103"/>
    </row>
    <row r="731" customFormat="false" ht="15" hidden="false" customHeight="false" outlineLevel="0" collapsed="false">
      <c r="A731" s="103"/>
    </row>
    <row r="732" customFormat="false" ht="15" hidden="false" customHeight="false" outlineLevel="0" collapsed="false">
      <c r="A732" s="103"/>
    </row>
    <row r="733" customFormat="false" ht="15" hidden="false" customHeight="false" outlineLevel="0" collapsed="false">
      <c r="A733" s="103"/>
    </row>
    <row r="734" customFormat="false" ht="15" hidden="false" customHeight="false" outlineLevel="0" collapsed="false">
      <c r="A734" s="103"/>
    </row>
    <row r="735" customFormat="false" ht="15" hidden="false" customHeight="false" outlineLevel="0" collapsed="false">
      <c r="A735" s="103"/>
    </row>
    <row r="736" customFormat="false" ht="15" hidden="false" customHeight="false" outlineLevel="0" collapsed="false">
      <c r="A736" s="103"/>
    </row>
    <row r="737" customFormat="false" ht="15" hidden="false" customHeight="false" outlineLevel="0" collapsed="false">
      <c r="A737" s="103"/>
    </row>
    <row r="738" customFormat="false" ht="15" hidden="false" customHeight="false" outlineLevel="0" collapsed="false">
      <c r="A738" s="103"/>
    </row>
    <row r="739" customFormat="false" ht="15" hidden="false" customHeight="false" outlineLevel="0" collapsed="false">
      <c r="A739" s="103"/>
    </row>
    <row r="740" customFormat="false" ht="15" hidden="false" customHeight="false" outlineLevel="0" collapsed="false">
      <c r="A740" s="103"/>
    </row>
    <row r="741" customFormat="false" ht="15" hidden="false" customHeight="false" outlineLevel="0" collapsed="false">
      <c r="A741" s="103"/>
    </row>
    <row r="742" customFormat="false" ht="15" hidden="false" customHeight="false" outlineLevel="0" collapsed="false">
      <c r="A742" s="103"/>
    </row>
    <row r="743" customFormat="false" ht="15" hidden="false" customHeight="false" outlineLevel="0" collapsed="false">
      <c r="A743" s="103"/>
    </row>
    <row r="744" customFormat="false" ht="15" hidden="false" customHeight="false" outlineLevel="0" collapsed="false">
      <c r="A744" s="103"/>
    </row>
    <row r="745" customFormat="false" ht="15" hidden="false" customHeight="false" outlineLevel="0" collapsed="false">
      <c r="A745" s="103"/>
    </row>
    <row r="746" customFormat="false" ht="15" hidden="false" customHeight="false" outlineLevel="0" collapsed="false">
      <c r="A746" s="103"/>
    </row>
    <row r="747" customFormat="false" ht="15" hidden="false" customHeight="false" outlineLevel="0" collapsed="false">
      <c r="A747" s="103"/>
    </row>
    <row r="748" customFormat="false" ht="15" hidden="false" customHeight="false" outlineLevel="0" collapsed="false">
      <c r="A748" s="103"/>
    </row>
    <row r="749" customFormat="false" ht="15" hidden="false" customHeight="false" outlineLevel="0" collapsed="false">
      <c r="A749" s="103"/>
    </row>
    <row r="750" customFormat="false" ht="15" hidden="false" customHeight="false" outlineLevel="0" collapsed="false">
      <c r="A750" s="103"/>
    </row>
    <row r="751" customFormat="false" ht="15" hidden="false" customHeight="false" outlineLevel="0" collapsed="false">
      <c r="A751" s="103"/>
    </row>
    <row r="752" customFormat="false" ht="15" hidden="false" customHeight="false" outlineLevel="0" collapsed="false">
      <c r="A752" s="103"/>
    </row>
    <row r="753" customFormat="false" ht="15" hidden="false" customHeight="false" outlineLevel="0" collapsed="false">
      <c r="A753" s="103"/>
    </row>
    <row r="754" customFormat="false" ht="15" hidden="false" customHeight="false" outlineLevel="0" collapsed="false">
      <c r="A754" s="103"/>
    </row>
    <row r="755" customFormat="false" ht="15" hidden="false" customHeight="false" outlineLevel="0" collapsed="false">
      <c r="A755" s="103"/>
    </row>
    <row r="756" customFormat="false" ht="15" hidden="false" customHeight="false" outlineLevel="0" collapsed="false">
      <c r="A756" s="103"/>
    </row>
    <row r="757" customFormat="false" ht="15" hidden="false" customHeight="false" outlineLevel="0" collapsed="false">
      <c r="A757" s="103"/>
    </row>
    <row r="758" customFormat="false" ht="15" hidden="false" customHeight="false" outlineLevel="0" collapsed="false">
      <c r="A758" s="103"/>
    </row>
    <row r="759" customFormat="false" ht="15" hidden="false" customHeight="false" outlineLevel="0" collapsed="false">
      <c r="A759" s="103"/>
    </row>
    <row r="760" customFormat="false" ht="15" hidden="false" customHeight="false" outlineLevel="0" collapsed="false">
      <c r="A760" s="103"/>
    </row>
    <row r="761" customFormat="false" ht="15" hidden="false" customHeight="false" outlineLevel="0" collapsed="false">
      <c r="A761" s="103"/>
    </row>
    <row r="762" customFormat="false" ht="15" hidden="false" customHeight="false" outlineLevel="0" collapsed="false">
      <c r="A762" s="103"/>
    </row>
    <row r="763" customFormat="false" ht="15" hidden="false" customHeight="false" outlineLevel="0" collapsed="false">
      <c r="A763" s="103"/>
    </row>
    <row r="764" customFormat="false" ht="15" hidden="false" customHeight="false" outlineLevel="0" collapsed="false">
      <c r="A764" s="103"/>
    </row>
    <row r="765" customFormat="false" ht="15" hidden="false" customHeight="false" outlineLevel="0" collapsed="false">
      <c r="A765" s="103"/>
    </row>
    <row r="766" customFormat="false" ht="15" hidden="false" customHeight="false" outlineLevel="0" collapsed="false">
      <c r="A766" s="103"/>
    </row>
    <row r="767" customFormat="false" ht="15" hidden="false" customHeight="false" outlineLevel="0" collapsed="false">
      <c r="A767" s="103"/>
    </row>
    <row r="768" customFormat="false" ht="15" hidden="false" customHeight="false" outlineLevel="0" collapsed="false">
      <c r="A768" s="103"/>
    </row>
    <row r="769" customFormat="false" ht="15" hidden="false" customHeight="false" outlineLevel="0" collapsed="false">
      <c r="A769" s="103"/>
    </row>
    <row r="770" customFormat="false" ht="15" hidden="false" customHeight="false" outlineLevel="0" collapsed="false">
      <c r="A770" s="103"/>
    </row>
    <row r="771" customFormat="false" ht="15" hidden="false" customHeight="false" outlineLevel="0" collapsed="false">
      <c r="A771" s="103"/>
    </row>
    <row r="772" customFormat="false" ht="15" hidden="false" customHeight="false" outlineLevel="0" collapsed="false">
      <c r="A772" s="103"/>
    </row>
    <row r="773" customFormat="false" ht="15" hidden="false" customHeight="false" outlineLevel="0" collapsed="false">
      <c r="A773" s="103"/>
    </row>
    <row r="774" customFormat="false" ht="15" hidden="false" customHeight="false" outlineLevel="0" collapsed="false">
      <c r="A774" s="103"/>
    </row>
    <row r="775" customFormat="false" ht="15" hidden="false" customHeight="false" outlineLevel="0" collapsed="false">
      <c r="A775" s="103"/>
    </row>
    <row r="776" customFormat="false" ht="15" hidden="false" customHeight="false" outlineLevel="0" collapsed="false">
      <c r="A776" s="103"/>
    </row>
    <row r="777" customFormat="false" ht="15" hidden="false" customHeight="false" outlineLevel="0" collapsed="false">
      <c r="A777" s="103"/>
    </row>
    <row r="778" customFormat="false" ht="15" hidden="false" customHeight="false" outlineLevel="0" collapsed="false">
      <c r="A778" s="103"/>
    </row>
    <row r="779" customFormat="false" ht="15" hidden="false" customHeight="false" outlineLevel="0" collapsed="false">
      <c r="A779" s="103"/>
    </row>
    <row r="780" customFormat="false" ht="15" hidden="false" customHeight="false" outlineLevel="0" collapsed="false">
      <c r="A780" s="103"/>
    </row>
    <row r="781" customFormat="false" ht="15" hidden="false" customHeight="false" outlineLevel="0" collapsed="false">
      <c r="A781" s="103"/>
    </row>
    <row r="782" customFormat="false" ht="15" hidden="false" customHeight="false" outlineLevel="0" collapsed="false">
      <c r="A782" s="103"/>
    </row>
    <row r="783" customFormat="false" ht="15" hidden="false" customHeight="false" outlineLevel="0" collapsed="false">
      <c r="A783" s="103"/>
    </row>
    <row r="784" customFormat="false" ht="15" hidden="false" customHeight="false" outlineLevel="0" collapsed="false">
      <c r="A784" s="103"/>
    </row>
    <row r="785" customFormat="false" ht="15" hidden="false" customHeight="false" outlineLevel="0" collapsed="false">
      <c r="A785" s="103"/>
    </row>
    <row r="786" customFormat="false" ht="15" hidden="false" customHeight="false" outlineLevel="0" collapsed="false">
      <c r="A786" s="103"/>
    </row>
    <row r="787" customFormat="false" ht="15" hidden="false" customHeight="false" outlineLevel="0" collapsed="false">
      <c r="A787" s="103"/>
    </row>
    <row r="788" customFormat="false" ht="15" hidden="false" customHeight="false" outlineLevel="0" collapsed="false">
      <c r="A788" s="103"/>
    </row>
    <row r="789" customFormat="false" ht="15" hidden="false" customHeight="false" outlineLevel="0" collapsed="false">
      <c r="A789" s="103"/>
    </row>
    <row r="790" customFormat="false" ht="15" hidden="false" customHeight="false" outlineLevel="0" collapsed="false">
      <c r="A790" s="103"/>
    </row>
    <row r="791" customFormat="false" ht="15" hidden="false" customHeight="false" outlineLevel="0" collapsed="false">
      <c r="A791" s="103"/>
    </row>
    <row r="792" customFormat="false" ht="15" hidden="false" customHeight="false" outlineLevel="0" collapsed="false">
      <c r="A792" s="103"/>
    </row>
    <row r="793" customFormat="false" ht="15" hidden="false" customHeight="false" outlineLevel="0" collapsed="false">
      <c r="A793" s="103"/>
    </row>
    <row r="794" customFormat="false" ht="15" hidden="false" customHeight="false" outlineLevel="0" collapsed="false">
      <c r="A794" s="103"/>
    </row>
    <row r="795" customFormat="false" ht="15" hidden="false" customHeight="false" outlineLevel="0" collapsed="false">
      <c r="A795" s="103"/>
    </row>
    <row r="796" customFormat="false" ht="15" hidden="false" customHeight="false" outlineLevel="0" collapsed="false">
      <c r="A796" s="103"/>
    </row>
    <row r="797" customFormat="false" ht="15" hidden="false" customHeight="false" outlineLevel="0" collapsed="false">
      <c r="A797" s="103"/>
    </row>
    <row r="798" customFormat="false" ht="15" hidden="false" customHeight="false" outlineLevel="0" collapsed="false">
      <c r="A798" s="103"/>
    </row>
    <row r="799" customFormat="false" ht="15" hidden="false" customHeight="false" outlineLevel="0" collapsed="false">
      <c r="A799" s="103"/>
    </row>
    <row r="800" customFormat="false" ht="15" hidden="false" customHeight="false" outlineLevel="0" collapsed="false">
      <c r="A800" s="103"/>
    </row>
    <row r="801" customFormat="false" ht="15" hidden="false" customHeight="false" outlineLevel="0" collapsed="false">
      <c r="A801" s="103"/>
    </row>
    <row r="802" customFormat="false" ht="15" hidden="false" customHeight="false" outlineLevel="0" collapsed="false">
      <c r="A802" s="103"/>
    </row>
    <row r="803" customFormat="false" ht="15" hidden="false" customHeight="false" outlineLevel="0" collapsed="false">
      <c r="A803" s="103"/>
    </row>
    <row r="804" customFormat="false" ht="15" hidden="false" customHeight="false" outlineLevel="0" collapsed="false">
      <c r="A804" s="103"/>
    </row>
    <row r="805" customFormat="false" ht="15" hidden="false" customHeight="false" outlineLevel="0" collapsed="false">
      <c r="A805" s="103"/>
    </row>
    <row r="806" customFormat="false" ht="15" hidden="false" customHeight="false" outlineLevel="0" collapsed="false">
      <c r="A806" s="103"/>
    </row>
    <row r="807" customFormat="false" ht="15" hidden="false" customHeight="false" outlineLevel="0" collapsed="false">
      <c r="A807" s="103"/>
    </row>
    <row r="808" customFormat="false" ht="15" hidden="false" customHeight="false" outlineLevel="0" collapsed="false">
      <c r="A808" s="103"/>
    </row>
    <row r="809" customFormat="false" ht="15" hidden="false" customHeight="false" outlineLevel="0" collapsed="false">
      <c r="A809" s="103"/>
    </row>
    <row r="810" customFormat="false" ht="15" hidden="false" customHeight="false" outlineLevel="0" collapsed="false">
      <c r="A810" s="103"/>
    </row>
    <row r="811" customFormat="false" ht="15" hidden="false" customHeight="false" outlineLevel="0" collapsed="false">
      <c r="A811" s="103"/>
    </row>
    <row r="812" customFormat="false" ht="15" hidden="false" customHeight="false" outlineLevel="0" collapsed="false">
      <c r="A812" s="103"/>
    </row>
    <row r="813" customFormat="false" ht="15" hidden="false" customHeight="false" outlineLevel="0" collapsed="false">
      <c r="A813" s="103"/>
    </row>
    <row r="814" customFormat="false" ht="15" hidden="false" customHeight="false" outlineLevel="0" collapsed="false">
      <c r="A814" s="103"/>
    </row>
    <row r="815" customFormat="false" ht="15" hidden="false" customHeight="false" outlineLevel="0" collapsed="false">
      <c r="A815" s="103"/>
    </row>
    <row r="816" customFormat="false" ht="15" hidden="false" customHeight="false" outlineLevel="0" collapsed="false">
      <c r="A816" s="103"/>
    </row>
    <row r="817" customFormat="false" ht="15" hidden="false" customHeight="false" outlineLevel="0" collapsed="false">
      <c r="A817" s="103"/>
    </row>
    <row r="818" customFormat="false" ht="15" hidden="false" customHeight="false" outlineLevel="0" collapsed="false">
      <c r="A818" s="103"/>
    </row>
    <row r="819" customFormat="false" ht="15" hidden="false" customHeight="false" outlineLevel="0" collapsed="false">
      <c r="A819" s="103"/>
    </row>
    <row r="820" customFormat="false" ht="15" hidden="false" customHeight="false" outlineLevel="0" collapsed="false">
      <c r="A820" s="103"/>
    </row>
    <row r="821" customFormat="false" ht="15" hidden="false" customHeight="false" outlineLevel="0" collapsed="false">
      <c r="A821" s="103"/>
    </row>
    <row r="822" customFormat="false" ht="15" hidden="false" customHeight="false" outlineLevel="0" collapsed="false">
      <c r="A822" s="103"/>
    </row>
    <row r="823" customFormat="false" ht="15" hidden="false" customHeight="false" outlineLevel="0" collapsed="false">
      <c r="A823" s="103"/>
    </row>
    <row r="824" customFormat="false" ht="15" hidden="false" customHeight="false" outlineLevel="0" collapsed="false">
      <c r="A824" s="103"/>
    </row>
    <row r="825" customFormat="false" ht="15" hidden="false" customHeight="false" outlineLevel="0" collapsed="false">
      <c r="A825" s="103"/>
    </row>
    <row r="826" customFormat="false" ht="15" hidden="false" customHeight="false" outlineLevel="0" collapsed="false">
      <c r="A826" s="103"/>
    </row>
    <row r="827" customFormat="false" ht="15" hidden="false" customHeight="false" outlineLevel="0" collapsed="false">
      <c r="A827" s="103"/>
    </row>
    <row r="828" customFormat="false" ht="15" hidden="false" customHeight="false" outlineLevel="0" collapsed="false">
      <c r="A828" s="103"/>
    </row>
    <row r="829" customFormat="false" ht="15" hidden="false" customHeight="false" outlineLevel="0" collapsed="false">
      <c r="A829" s="103"/>
    </row>
    <row r="830" customFormat="false" ht="15" hidden="false" customHeight="false" outlineLevel="0" collapsed="false">
      <c r="A830" s="103"/>
    </row>
    <row r="831" customFormat="false" ht="15" hidden="false" customHeight="false" outlineLevel="0" collapsed="false">
      <c r="A831" s="103"/>
    </row>
    <row r="832" customFormat="false" ht="15" hidden="false" customHeight="false" outlineLevel="0" collapsed="false">
      <c r="A832" s="103"/>
    </row>
    <row r="833" customFormat="false" ht="15" hidden="false" customHeight="false" outlineLevel="0" collapsed="false">
      <c r="A833" s="103"/>
    </row>
    <row r="834" customFormat="false" ht="15" hidden="false" customHeight="false" outlineLevel="0" collapsed="false">
      <c r="A834" s="103"/>
    </row>
    <row r="835" customFormat="false" ht="15" hidden="false" customHeight="false" outlineLevel="0" collapsed="false">
      <c r="A835" s="103"/>
    </row>
    <row r="836" customFormat="false" ht="15" hidden="false" customHeight="false" outlineLevel="0" collapsed="false">
      <c r="A836" s="103"/>
    </row>
    <row r="837" customFormat="false" ht="15" hidden="false" customHeight="false" outlineLevel="0" collapsed="false">
      <c r="A837" s="103"/>
    </row>
    <row r="838" customFormat="false" ht="15" hidden="false" customHeight="false" outlineLevel="0" collapsed="false">
      <c r="A838" s="103"/>
    </row>
    <row r="839" customFormat="false" ht="15" hidden="false" customHeight="false" outlineLevel="0" collapsed="false">
      <c r="A839" s="103"/>
    </row>
    <row r="840" customFormat="false" ht="15" hidden="false" customHeight="false" outlineLevel="0" collapsed="false">
      <c r="A840" s="103"/>
    </row>
    <row r="841" customFormat="false" ht="15" hidden="false" customHeight="false" outlineLevel="0" collapsed="false">
      <c r="A841" s="103"/>
    </row>
    <row r="842" customFormat="false" ht="15" hidden="false" customHeight="false" outlineLevel="0" collapsed="false">
      <c r="A842" s="103"/>
    </row>
    <row r="843" customFormat="false" ht="15" hidden="false" customHeight="false" outlineLevel="0" collapsed="false">
      <c r="A843" s="103"/>
    </row>
    <row r="844" customFormat="false" ht="15" hidden="false" customHeight="false" outlineLevel="0" collapsed="false">
      <c r="A844" s="103"/>
    </row>
    <row r="845" customFormat="false" ht="15" hidden="false" customHeight="false" outlineLevel="0" collapsed="false">
      <c r="A845" s="103"/>
    </row>
    <row r="846" customFormat="false" ht="15" hidden="false" customHeight="false" outlineLevel="0" collapsed="false">
      <c r="A846" s="103"/>
    </row>
    <row r="847" customFormat="false" ht="15" hidden="false" customHeight="false" outlineLevel="0" collapsed="false">
      <c r="A847" s="103"/>
    </row>
    <row r="848" customFormat="false" ht="15" hidden="false" customHeight="false" outlineLevel="0" collapsed="false">
      <c r="A848" s="103"/>
    </row>
    <row r="849" customFormat="false" ht="15" hidden="false" customHeight="false" outlineLevel="0" collapsed="false">
      <c r="A849" s="103"/>
    </row>
    <row r="850" customFormat="false" ht="15" hidden="false" customHeight="false" outlineLevel="0" collapsed="false">
      <c r="A850" s="103"/>
    </row>
    <row r="851" customFormat="false" ht="15" hidden="false" customHeight="false" outlineLevel="0" collapsed="false">
      <c r="A851" s="103"/>
    </row>
    <row r="852" customFormat="false" ht="15" hidden="false" customHeight="false" outlineLevel="0" collapsed="false">
      <c r="A852" s="103"/>
    </row>
    <row r="853" customFormat="false" ht="15" hidden="false" customHeight="false" outlineLevel="0" collapsed="false">
      <c r="A853" s="103"/>
    </row>
    <row r="854" customFormat="false" ht="15" hidden="false" customHeight="false" outlineLevel="0" collapsed="false">
      <c r="A854" s="103"/>
    </row>
    <row r="855" customFormat="false" ht="15" hidden="false" customHeight="false" outlineLevel="0" collapsed="false">
      <c r="A855" s="103"/>
    </row>
    <row r="856" customFormat="false" ht="15" hidden="false" customHeight="false" outlineLevel="0" collapsed="false">
      <c r="A856" s="103"/>
    </row>
    <row r="857" customFormat="false" ht="15" hidden="false" customHeight="false" outlineLevel="0" collapsed="false">
      <c r="A857" s="103"/>
    </row>
    <row r="858" customFormat="false" ht="15" hidden="false" customHeight="false" outlineLevel="0" collapsed="false">
      <c r="A858" s="103"/>
    </row>
    <row r="859" customFormat="false" ht="15" hidden="false" customHeight="false" outlineLevel="0" collapsed="false">
      <c r="A859" s="103"/>
    </row>
    <row r="860" customFormat="false" ht="15" hidden="false" customHeight="false" outlineLevel="0" collapsed="false">
      <c r="A860" s="103"/>
    </row>
    <row r="861" customFormat="false" ht="15" hidden="false" customHeight="false" outlineLevel="0" collapsed="false">
      <c r="A861" s="103"/>
    </row>
    <row r="862" customFormat="false" ht="15" hidden="false" customHeight="false" outlineLevel="0" collapsed="false">
      <c r="A862" s="103"/>
    </row>
    <row r="863" customFormat="false" ht="15" hidden="false" customHeight="false" outlineLevel="0" collapsed="false">
      <c r="A863" s="103"/>
    </row>
    <row r="864" customFormat="false" ht="15" hidden="false" customHeight="false" outlineLevel="0" collapsed="false">
      <c r="A864" s="103"/>
    </row>
    <row r="865" customFormat="false" ht="15" hidden="false" customHeight="false" outlineLevel="0" collapsed="false">
      <c r="A865" s="103"/>
    </row>
    <row r="866" customFormat="false" ht="15" hidden="false" customHeight="false" outlineLevel="0" collapsed="false">
      <c r="A866" s="103"/>
    </row>
    <row r="867" customFormat="false" ht="15" hidden="false" customHeight="false" outlineLevel="0" collapsed="false">
      <c r="A867" s="103"/>
    </row>
    <row r="868" customFormat="false" ht="15" hidden="false" customHeight="false" outlineLevel="0" collapsed="false">
      <c r="A868" s="103"/>
    </row>
    <row r="869" customFormat="false" ht="15" hidden="false" customHeight="false" outlineLevel="0" collapsed="false">
      <c r="A869" s="103"/>
    </row>
    <row r="870" customFormat="false" ht="15" hidden="false" customHeight="false" outlineLevel="0" collapsed="false">
      <c r="A870" s="103"/>
    </row>
    <row r="871" customFormat="false" ht="15" hidden="false" customHeight="false" outlineLevel="0" collapsed="false">
      <c r="A871" s="103"/>
    </row>
    <row r="872" customFormat="false" ht="15" hidden="false" customHeight="false" outlineLevel="0" collapsed="false">
      <c r="A872" s="103"/>
    </row>
    <row r="873" customFormat="false" ht="15" hidden="false" customHeight="false" outlineLevel="0" collapsed="false">
      <c r="A873" s="103"/>
    </row>
    <row r="874" customFormat="false" ht="15" hidden="false" customHeight="false" outlineLevel="0" collapsed="false">
      <c r="A874" s="103"/>
    </row>
    <row r="875" customFormat="false" ht="15" hidden="false" customHeight="false" outlineLevel="0" collapsed="false">
      <c r="A875" s="103"/>
    </row>
    <row r="876" customFormat="false" ht="15" hidden="false" customHeight="false" outlineLevel="0" collapsed="false">
      <c r="A876" s="103"/>
    </row>
    <row r="877" customFormat="false" ht="15" hidden="false" customHeight="false" outlineLevel="0" collapsed="false">
      <c r="A877" s="103"/>
    </row>
    <row r="878" customFormat="false" ht="15" hidden="false" customHeight="false" outlineLevel="0" collapsed="false">
      <c r="A878" s="103"/>
    </row>
    <row r="879" customFormat="false" ht="15" hidden="false" customHeight="false" outlineLevel="0" collapsed="false">
      <c r="A879" s="103"/>
    </row>
    <row r="880" customFormat="false" ht="15" hidden="false" customHeight="false" outlineLevel="0" collapsed="false">
      <c r="A880" s="103"/>
    </row>
    <row r="881" customFormat="false" ht="15" hidden="false" customHeight="false" outlineLevel="0" collapsed="false">
      <c r="A881" s="103"/>
    </row>
    <row r="882" customFormat="false" ht="15" hidden="false" customHeight="false" outlineLevel="0" collapsed="false">
      <c r="A882" s="103"/>
    </row>
    <row r="883" customFormat="false" ht="15" hidden="false" customHeight="false" outlineLevel="0" collapsed="false">
      <c r="A883" s="103"/>
    </row>
    <row r="884" customFormat="false" ht="15" hidden="false" customHeight="false" outlineLevel="0" collapsed="false">
      <c r="A884" s="103"/>
    </row>
    <row r="885" customFormat="false" ht="15" hidden="false" customHeight="false" outlineLevel="0" collapsed="false">
      <c r="A885" s="103"/>
    </row>
    <row r="886" customFormat="false" ht="15" hidden="false" customHeight="false" outlineLevel="0" collapsed="false">
      <c r="A886" s="103"/>
    </row>
    <row r="887" customFormat="false" ht="15" hidden="false" customHeight="false" outlineLevel="0" collapsed="false">
      <c r="A887" s="103"/>
    </row>
    <row r="888" customFormat="false" ht="15" hidden="false" customHeight="false" outlineLevel="0" collapsed="false">
      <c r="A888" s="103"/>
    </row>
    <row r="889" customFormat="false" ht="15" hidden="false" customHeight="false" outlineLevel="0" collapsed="false">
      <c r="A889" s="103"/>
    </row>
    <row r="890" customFormat="false" ht="15" hidden="false" customHeight="false" outlineLevel="0" collapsed="false">
      <c r="A890" s="103"/>
    </row>
    <row r="891" customFormat="false" ht="15" hidden="false" customHeight="false" outlineLevel="0" collapsed="false">
      <c r="A891" s="103"/>
    </row>
    <row r="892" customFormat="false" ht="15" hidden="false" customHeight="false" outlineLevel="0" collapsed="false">
      <c r="A892" s="103"/>
    </row>
    <row r="893" customFormat="false" ht="15" hidden="false" customHeight="false" outlineLevel="0" collapsed="false">
      <c r="A893" s="103"/>
    </row>
    <row r="894" customFormat="false" ht="15" hidden="false" customHeight="false" outlineLevel="0" collapsed="false">
      <c r="A894" s="103"/>
    </row>
    <row r="895" customFormat="false" ht="15" hidden="false" customHeight="false" outlineLevel="0" collapsed="false">
      <c r="A895" s="103"/>
    </row>
    <row r="896" customFormat="false" ht="15" hidden="false" customHeight="false" outlineLevel="0" collapsed="false">
      <c r="A896" s="103"/>
    </row>
    <row r="897" customFormat="false" ht="15" hidden="false" customHeight="false" outlineLevel="0" collapsed="false">
      <c r="A897" s="103"/>
    </row>
    <row r="898" customFormat="false" ht="15" hidden="false" customHeight="false" outlineLevel="0" collapsed="false">
      <c r="A898" s="103"/>
    </row>
    <row r="899" customFormat="false" ht="15" hidden="false" customHeight="false" outlineLevel="0" collapsed="false">
      <c r="A899" s="103"/>
    </row>
    <row r="900" customFormat="false" ht="15" hidden="false" customHeight="false" outlineLevel="0" collapsed="false">
      <c r="A900" s="103"/>
    </row>
    <row r="901" customFormat="false" ht="15" hidden="false" customHeight="false" outlineLevel="0" collapsed="false">
      <c r="A901" s="103"/>
    </row>
    <row r="902" customFormat="false" ht="15" hidden="false" customHeight="false" outlineLevel="0" collapsed="false">
      <c r="A902" s="103"/>
    </row>
    <row r="903" customFormat="false" ht="15" hidden="false" customHeight="false" outlineLevel="0" collapsed="false">
      <c r="A903" s="103"/>
    </row>
    <row r="904" customFormat="false" ht="15" hidden="false" customHeight="false" outlineLevel="0" collapsed="false">
      <c r="A904" s="103"/>
    </row>
    <row r="905" customFormat="false" ht="15" hidden="false" customHeight="false" outlineLevel="0" collapsed="false">
      <c r="A905" s="103"/>
    </row>
    <row r="906" customFormat="false" ht="15" hidden="false" customHeight="false" outlineLevel="0" collapsed="false">
      <c r="A906" s="103"/>
    </row>
    <row r="907" customFormat="false" ht="15" hidden="false" customHeight="false" outlineLevel="0" collapsed="false">
      <c r="A907" s="103"/>
    </row>
    <row r="908" customFormat="false" ht="15" hidden="false" customHeight="false" outlineLevel="0" collapsed="false">
      <c r="A908" s="103"/>
    </row>
    <row r="909" customFormat="false" ht="15" hidden="false" customHeight="false" outlineLevel="0" collapsed="false">
      <c r="A909" s="103"/>
    </row>
    <row r="910" customFormat="false" ht="15" hidden="false" customHeight="false" outlineLevel="0" collapsed="false">
      <c r="A910" s="103"/>
    </row>
    <row r="911" customFormat="false" ht="15" hidden="false" customHeight="false" outlineLevel="0" collapsed="false">
      <c r="A911" s="103"/>
    </row>
    <row r="912" customFormat="false" ht="15" hidden="false" customHeight="false" outlineLevel="0" collapsed="false">
      <c r="A912" s="103"/>
    </row>
    <row r="913" customFormat="false" ht="15" hidden="false" customHeight="false" outlineLevel="0" collapsed="false">
      <c r="A913" s="103"/>
    </row>
    <row r="914" customFormat="false" ht="15" hidden="false" customHeight="false" outlineLevel="0" collapsed="false">
      <c r="A914" s="103"/>
    </row>
    <row r="915" customFormat="false" ht="15" hidden="false" customHeight="false" outlineLevel="0" collapsed="false">
      <c r="A915" s="103"/>
    </row>
    <row r="916" customFormat="false" ht="15" hidden="false" customHeight="false" outlineLevel="0" collapsed="false">
      <c r="A916" s="103"/>
    </row>
    <row r="917" customFormat="false" ht="15" hidden="false" customHeight="false" outlineLevel="0" collapsed="false">
      <c r="A917" s="103"/>
    </row>
    <row r="918" customFormat="false" ht="15" hidden="false" customHeight="false" outlineLevel="0" collapsed="false">
      <c r="A918" s="103"/>
    </row>
    <row r="919" customFormat="false" ht="15" hidden="false" customHeight="false" outlineLevel="0" collapsed="false">
      <c r="A919" s="103"/>
    </row>
    <row r="920" customFormat="false" ht="15" hidden="false" customHeight="false" outlineLevel="0" collapsed="false">
      <c r="A920" s="103"/>
    </row>
    <row r="921" customFormat="false" ht="15" hidden="false" customHeight="false" outlineLevel="0" collapsed="false">
      <c r="A921" s="103"/>
    </row>
    <row r="922" customFormat="false" ht="15" hidden="false" customHeight="false" outlineLevel="0" collapsed="false">
      <c r="A922" s="103"/>
    </row>
    <row r="923" customFormat="false" ht="15" hidden="false" customHeight="false" outlineLevel="0" collapsed="false">
      <c r="A923" s="103"/>
    </row>
    <row r="924" customFormat="false" ht="15" hidden="false" customHeight="false" outlineLevel="0" collapsed="false">
      <c r="A924" s="103"/>
    </row>
    <row r="925" customFormat="false" ht="15" hidden="false" customHeight="false" outlineLevel="0" collapsed="false">
      <c r="A925" s="103"/>
    </row>
    <row r="926" customFormat="false" ht="15" hidden="false" customHeight="false" outlineLevel="0" collapsed="false">
      <c r="A926" s="103"/>
    </row>
    <row r="927" customFormat="false" ht="15" hidden="false" customHeight="false" outlineLevel="0" collapsed="false">
      <c r="A927" s="103"/>
    </row>
    <row r="928" customFormat="false" ht="15" hidden="false" customHeight="false" outlineLevel="0" collapsed="false">
      <c r="A928" s="103"/>
    </row>
    <row r="929" customFormat="false" ht="15" hidden="false" customHeight="false" outlineLevel="0" collapsed="false">
      <c r="A929" s="103"/>
    </row>
    <row r="930" customFormat="false" ht="15" hidden="false" customHeight="false" outlineLevel="0" collapsed="false">
      <c r="A930" s="103"/>
    </row>
    <row r="931" customFormat="false" ht="15" hidden="false" customHeight="false" outlineLevel="0" collapsed="false">
      <c r="A931" s="103"/>
    </row>
    <row r="932" customFormat="false" ht="15" hidden="false" customHeight="false" outlineLevel="0" collapsed="false">
      <c r="A932" s="103"/>
    </row>
    <row r="933" customFormat="false" ht="15" hidden="false" customHeight="false" outlineLevel="0" collapsed="false">
      <c r="A933" s="103"/>
    </row>
    <row r="934" customFormat="false" ht="15" hidden="false" customHeight="false" outlineLevel="0" collapsed="false">
      <c r="A934" s="103"/>
    </row>
    <row r="935" customFormat="false" ht="15" hidden="false" customHeight="false" outlineLevel="0" collapsed="false">
      <c r="A935" s="103"/>
    </row>
    <row r="936" customFormat="false" ht="15" hidden="false" customHeight="false" outlineLevel="0" collapsed="false">
      <c r="A936" s="103"/>
    </row>
    <row r="937" customFormat="false" ht="15" hidden="false" customHeight="false" outlineLevel="0" collapsed="false">
      <c r="A937" s="103"/>
    </row>
    <row r="938" customFormat="false" ht="15" hidden="false" customHeight="false" outlineLevel="0" collapsed="false">
      <c r="A938" s="103"/>
    </row>
    <row r="939" customFormat="false" ht="15" hidden="false" customHeight="false" outlineLevel="0" collapsed="false">
      <c r="A939" s="103"/>
    </row>
    <row r="940" customFormat="false" ht="15" hidden="false" customHeight="false" outlineLevel="0" collapsed="false">
      <c r="A940" s="103"/>
    </row>
    <row r="941" customFormat="false" ht="15" hidden="false" customHeight="false" outlineLevel="0" collapsed="false">
      <c r="A941" s="103"/>
    </row>
    <row r="942" customFormat="false" ht="15" hidden="false" customHeight="false" outlineLevel="0" collapsed="false">
      <c r="A942" s="103"/>
    </row>
    <row r="943" customFormat="false" ht="15" hidden="false" customHeight="false" outlineLevel="0" collapsed="false">
      <c r="A943" s="103"/>
    </row>
    <row r="944" customFormat="false" ht="15" hidden="false" customHeight="false" outlineLevel="0" collapsed="false">
      <c r="A944" s="103"/>
    </row>
    <row r="945" customFormat="false" ht="15" hidden="false" customHeight="false" outlineLevel="0" collapsed="false">
      <c r="A945" s="103"/>
    </row>
    <row r="946" customFormat="false" ht="15" hidden="false" customHeight="false" outlineLevel="0" collapsed="false">
      <c r="A946" s="103"/>
    </row>
    <row r="947" customFormat="false" ht="15" hidden="false" customHeight="false" outlineLevel="0" collapsed="false">
      <c r="A947" s="103"/>
    </row>
    <row r="948" customFormat="false" ht="15" hidden="false" customHeight="false" outlineLevel="0" collapsed="false">
      <c r="A948" s="103"/>
    </row>
    <row r="949" customFormat="false" ht="15" hidden="false" customHeight="false" outlineLevel="0" collapsed="false">
      <c r="A949" s="103"/>
    </row>
    <row r="950" customFormat="false" ht="15" hidden="false" customHeight="false" outlineLevel="0" collapsed="false">
      <c r="A950" s="103"/>
    </row>
    <row r="951" customFormat="false" ht="15" hidden="false" customHeight="false" outlineLevel="0" collapsed="false">
      <c r="A951" s="103"/>
    </row>
    <row r="952" customFormat="false" ht="15" hidden="false" customHeight="false" outlineLevel="0" collapsed="false">
      <c r="A952" s="103"/>
    </row>
    <row r="953" customFormat="false" ht="15" hidden="false" customHeight="false" outlineLevel="0" collapsed="false">
      <c r="A953" s="103"/>
    </row>
    <row r="954" customFormat="false" ht="15" hidden="false" customHeight="false" outlineLevel="0" collapsed="false">
      <c r="A954" s="103"/>
    </row>
    <row r="955" customFormat="false" ht="15" hidden="false" customHeight="false" outlineLevel="0" collapsed="false">
      <c r="A955" s="103"/>
    </row>
    <row r="956" customFormat="false" ht="15" hidden="false" customHeight="false" outlineLevel="0" collapsed="false">
      <c r="A956" s="103"/>
    </row>
    <row r="957" customFormat="false" ht="15" hidden="false" customHeight="false" outlineLevel="0" collapsed="false">
      <c r="A957" s="103"/>
    </row>
    <row r="958" customFormat="false" ht="15" hidden="false" customHeight="false" outlineLevel="0" collapsed="false">
      <c r="A958" s="103"/>
    </row>
    <row r="959" customFormat="false" ht="15" hidden="false" customHeight="false" outlineLevel="0" collapsed="false">
      <c r="A959" s="103"/>
    </row>
    <row r="960" customFormat="false" ht="15" hidden="false" customHeight="false" outlineLevel="0" collapsed="false">
      <c r="A960" s="103"/>
    </row>
    <row r="961" customFormat="false" ht="15" hidden="false" customHeight="false" outlineLevel="0" collapsed="false">
      <c r="A961" s="103"/>
    </row>
    <row r="962" customFormat="false" ht="15" hidden="false" customHeight="false" outlineLevel="0" collapsed="false">
      <c r="A962" s="103"/>
    </row>
    <row r="963" customFormat="false" ht="15" hidden="false" customHeight="false" outlineLevel="0" collapsed="false">
      <c r="A963" s="103"/>
    </row>
    <row r="964" customFormat="false" ht="15" hidden="false" customHeight="false" outlineLevel="0" collapsed="false">
      <c r="A964" s="103"/>
    </row>
    <row r="965" customFormat="false" ht="15" hidden="false" customHeight="false" outlineLevel="0" collapsed="false">
      <c r="A965" s="103"/>
    </row>
    <row r="966" customFormat="false" ht="15" hidden="false" customHeight="false" outlineLevel="0" collapsed="false">
      <c r="A966" s="103"/>
    </row>
    <row r="967" customFormat="false" ht="15" hidden="false" customHeight="false" outlineLevel="0" collapsed="false">
      <c r="A967" s="103"/>
    </row>
    <row r="968" customFormat="false" ht="15" hidden="false" customHeight="false" outlineLevel="0" collapsed="false">
      <c r="A968" s="103"/>
    </row>
    <row r="969" customFormat="false" ht="15" hidden="false" customHeight="false" outlineLevel="0" collapsed="false">
      <c r="A969" s="103"/>
    </row>
    <row r="970" customFormat="false" ht="15" hidden="false" customHeight="false" outlineLevel="0" collapsed="false">
      <c r="A970" s="103"/>
    </row>
    <row r="971" customFormat="false" ht="15" hidden="false" customHeight="false" outlineLevel="0" collapsed="false">
      <c r="A971" s="103"/>
    </row>
    <row r="972" customFormat="false" ht="15" hidden="false" customHeight="false" outlineLevel="0" collapsed="false">
      <c r="A972" s="103"/>
    </row>
    <row r="973" customFormat="false" ht="15" hidden="false" customHeight="false" outlineLevel="0" collapsed="false">
      <c r="A973" s="103"/>
    </row>
    <row r="974" customFormat="false" ht="15" hidden="false" customHeight="false" outlineLevel="0" collapsed="false">
      <c r="A974" s="103"/>
    </row>
    <row r="975" customFormat="false" ht="15" hidden="false" customHeight="false" outlineLevel="0" collapsed="false">
      <c r="A975" s="103"/>
    </row>
    <row r="976" customFormat="false" ht="15" hidden="false" customHeight="false" outlineLevel="0" collapsed="false">
      <c r="A976" s="103"/>
    </row>
    <row r="977" customFormat="false" ht="15" hidden="false" customHeight="false" outlineLevel="0" collapsed="false">
      <c r="A977" s="103"/>
    </row>
    <row r="978" customFormat="false" ht="15" hidden="false" customHeight="false" outlineLevel="0" collapsed="false">
      <c r="A978" s="103"/>
    </row>
    <row r="979" customFormat="false" ht="15" hidden="false" customHeight="false" outlineLevel="0" collapsed="false">
      <c r="A979" s="103"/>
    </row>
    <row r="980" customFormat="false" ht="15" hidden="false" customHeight="false" outlineLevel="0" collapsed="false">
      <c r="A980" s="103"/>
    </row>
    <row r="981" customFormat="false" ht="15" hidden="false" customHeight="false" outlineLevel="0" collapsed="false">
      <c r="A981" s="103"/>
    </row>
    <row r="982" customFormat="false" ht="15" hidden="false" customHeight="false" outlineLevel="0" collapsed="false">
      <c r="A982" s="103"/>
    </row>
    <row r="983" customFormat="false" ht="15" hidden="false" customHeight="false" outlineLevel="0" collapsed="false">
      <c r="A983" s="103"/>
    </row>
    <row r="984" customFormat="false" ht="15" hidden="false" customHeight="false" outlineLevel="0" collapsed="false">
      <c r="A984" s="103"/>
    </row>
    <row r="985" customFormat="false" ht="15" hidden="false" customHeight="false" outlineLevel="0" collapsed="false">
      <c r="A985" s="103"/>
    </row>
    <row r="986" customFormat="false" ht="15" hidden="false" customHeight="false" outlineLevel="0" collapsed="false">
      <c r="A986" s="103"/>
    </row>
    <row r="987" customFormat="false" ht="15" hidden="false" customHeight="false" outlineLevel="0" collapsed="false">
      <c r="A987" s="103"/>
    </row>
    <row r="988" customFormat="false" ht="15" hidden="false" customHeight="false" outlineLevel="0" collapsed="false">
      <c r="A988" s="103"/>
    </row>
    <row r="989" customFormat="false" ht="15" hidden="false" customHeight="false" outlineLevel="0" collapsed="false">
      <c r="A989" s="103"/>
    </row>
    <row r="990" customFormat="false" ht="15" hidden="false" customHeight="false" outlineLevel="0" collapsed="false">
      <c r="A990" s="103"/>
    </row>
    <row r="991" customFormat="false" ht="15" hidden="false" customHeight="false" outlineLevel="0" collapsed="false">
      <c r="A991" s="103"/>
    </row>
    <row r="992" customFormat="false" ht="15" hidden="false" customHeight="false" outlineLevel="0" collapsed="false">
      <c r="A992" s="103"/>
    </row>
    <row r="993" customFormat="false" ht="15" hidden="false" customHeight="false" outlineLevel="0" collapsed="false">
      <c r="A993" s="103"/>
    </row>
    <row r="994" customFormat="false" ht="15" hidden="false" customHeight="false" outlineLevel="0" collapsed="false">
      <c r="A994" s="103"/>
    </row>
    <row r="995" customFormat="false" ht="15" hidden="false" customHeight="false" outlineLevel="0" collapsed="false">
      <c r="A995" s="103"/>
    </row>
    <row r="996" customFormat="false" ht="15" hidden="false" customHeight="false" outlineLevel="0" collapsed="false">
      <c r="A996" s="103"/>
    </row>
    <row r="997" customFormat="false" ht="15" hidden="false" customHeight="false" outlineLevel="0" collapsed="false">
      <c r="A997" s="103"/>
    </row>
    <row r="998" customFormat="false" ht="15" hidden="false" customHeight="false" outlineLevel="0" collapsed="false">
      <c r="A998" s="103"/>
    </row>
    <row r="999" customFormat="false" ht="15" hidden="false" customHeight="false" outlineLevel="0" collapsed="false">
      <c r="A999" s="103"/>
    </row>
    <row r="1000" customFormat="false" ht="15" hidden="false" customHeight="false" outlineLevel="0" collapsed="false">
      <c r="A1000" s="103"/>
    </row>
    <row r="1001" customFormat="false" ht="15" hidden="false" customHeight="false" outlineLevel="0" collapsed="false">
      <c r="A1001" s="103"/>
    </row>
  </sheetData>
  <dataValidations count="3">
    <dataValidation allowBlank="true" errorStyle="stop" operator="between" showDropDown="false" showErrorMessage="false" showInputMessage="false" sqref="B2:B1001" type="list">
      <formula1>'إعدادات المخزون'!$A$15:$A$18</formula1>
      <formula2>0</formula2>
    </dataValidation>
    <dataValidation allowBlank="true" errorStyle="stop" operator="between" showDropDown="false" showErrorMessage="false" showInputMessage="false" sqref="C2:C1001" type="list">
      <formula1>'مواد المخزون'!$A$2:$A$90</formula1>
      <formula2>0</formula2>
    </dataValidation>
    <dataValidation allowBlank="true" errorStyle="stop" operator="between" showDropDown="false" showErrorMessage="false" showInputMessage="false" sqref="D2:D1001" type="list">
      <formula1>'إعدادات المخزون'!$A$21:$A$24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1"/>
    <col collapsed="false" customWidth="true" hidden="false" outlineLevel="0" max="5" min="4" style="0" width="12"/>
    <col collapsed="false" customWidth="true" hidden="false" outlineLevel="0" max="7" min="6" style="0" width="11"/>
    <col collapsed="false" customWidth="true" hidden="false" outlineLevel="0" max="8" min="8" style="0" width="15"/>
    <col collapsed="false" customWidth="true" hidden="false" outlineLevel="0" max="9" min="9" style="0" width="11"/>
    <col collapsed="false" customWidth="true" hidden="false" outlineLevel="0" max="10" min="10" style="0" width="13"/>
    <col collapsed="false" customWidth="true" hidden="false" outlineLevel="0" max="11" min="11" style="0" width="9"/>
    <col collapsed="false" customWidth="true" hidden="false" outlineLevel="0" max="13" min="12" style="0" width="12"/>
    <col collapsed="false" customWidth="true" hidden="false" outlineLevel="0" max="14" min="14" style="0" width="10"/>
    <col collapsed="false" customWidth="true" hidden="false" outlineLevel="0" max="15" min="15" style="0" width="14"/>
    <col collapsed="false" customWidth="true" hidden="false" outlineLevel="0" max="18" min="16" style="0" width="11"/>
    <col collapsed="false" customWidth="true" hidden="false" outlineLevel="0" max="19" min="19" style="0" width="12"/>
    <col collapsed="false" customWidth="true" hidden="false" outlineLevel="0" max="23" min="20" style="0" width="13"/>
    <col collapsed="false" customWidth="true" hidden="true" outlineLevel="0" max="29" min="24" style="0" width="12"/>
  </cols>
  <sheetData>
    <row r="1" customFormat="false" ht="17.9" hidden="false" customHeight="false" outlineLevel="0" collapsed="false">
      <c r="A1" s="40" t="s">
        <v>799</v>
      </c>
    </row>
    <row r="2" customFormat="false" ht="15" hidden="false" customHeight="false" outlineLevel="0" collapsed="false">
      <c r="A2" s="104" t="s">
        <v>800</v>
      </c>
      <c r="B2" s="108" t="s">
        <v>32</v>
      </c>
    </row>
    <row r="3" customFormat="false" ht="15" hidden="false" customHeight="false" outlineLevel="0" collapsed="false">
      <c r="A3" s="104" t="s">
        <v>801</v>
      </c>
      <c r="B3" s="103" t="n">
        <f aca="false">'إعدادات المخزون'!$B$4</f>
        <v>46307</v>
      </c>
    </row>
    <row r="4" customFormat="false" ht="15" hidden="false" customHeight="false" outlineLevel="0" collapsed="false">
      <c r="A4" s="17" t="s">
        <v>802</v>
      </c>
    </row>
    <row r="6" customFormat="false" ht="51.75" hidden="false" customHeight="true" outlineLevel="0" collapsed="false">
      <c r="A6" s="18" t="s">
        <v>59</v>
      </c>
      <c r="B6" s="18" t="s">
        <v>687</v>
      </c>
      <c r="C6" s="18" t="s">
        <v>774</v>
      </c>
      <c r="D6" s="18" t="s">
        <v>803</v>
      </c>
      <c r="E6" s="18" t="s">
        <v>804</v>
      </c>
      <c r="F6" s="18" t="s">
        <v>805</v>
      </c>
      <c r="G6" s="18" t="s">
        <v>806</v>
      </c>
      <c r="H6" s="18" t="s">
        <v>807</v>
      </c>
      <c r="I6" s="18" t="s">
        <v>808</v>
      </c>
      <c r="J6" s="18" t="s">
        <v>809</v>
      </c>
      <c r="K6" s="18" t="s">
        <v>810</v>
      </c>
      <c r="L6" s="18" t="s">
        <v>811</v>
      </c>
      <c r="M6" s="18" t="s">
        <v>60</v>
      </c>
      <c r="N6" s="18" t="s">
        <v>812</v>
      </c>
      <c r="O6" s="18" t="s">
        <v>813</v>
      </c>
      <c r="P6" s="18" t="s">
        <v>814</v>
      </c>
      <c r="Q6" s="18" t="s">
        <v>815</v>
      </c>
      <c r="R6" s="18" t="s">
        <v>816</v>
      </c>
      <c r="S6" s="18" t="s">
        <v>817</v>
      </c>
      <c r="T6" s="18" t="s">
        <v>818</v>
      </c>
      <c r="U6" s="18" t="s">
        <v>819</v>
      </c>
      <c r="V6" s="18" t="s">
        <v>820</v>
      </c>
      <c r="W6" s="18" t="s">
        <v>821</v>
      </c>
      <c r="X6" s="18" t="s">
        <v>822</v>
      </c>
      <c r="Y6" s="18" t="s">
        <v>823</v>
      </c>
      <c r="Z6" s="18" t="s">
        <v>824</v>
      </c>
      <c r="AA6" s="18" t="s">
        <v>825</v>
      </c>
      <c r="AB6" s="18" t="s">
        <v>826</v>
      </c>
      <c r="AC6" s="18" t="s">
        <v>827</v>
      </c>
    </row>
    <row r="7" customFormat="false" ht="15" hidden="false" customHeight="false" outlineLevel="0" collapsed="false">
      <c r="A7" s="34" t="str">
        <f aca="false">'مواد المخزون'!A2</f>
        <v>اطباق سيلفر مكرونة</v>
      </c>
      <c r="B7" s="36" t="str">
        <f aca="false">'مواد المخزون'!B2</f>
        <v>قطعة</v>
      </c>
      <c r="C7" s="109" t="n">
        <f aca="false">'مواد المخزون'!E2</f>
        <v>3.3</v>
      </c>
      <c r="D7" s="110" t="n">
        <f aca="false">'جرد أول المدة'!C5</f>
        <v>165</v>
      </c>
      <c r="E7" s="110" t="n">
        <f aca="false">SUMIFS('مشتريات يومية'!$D$2:$D$4001,'مشتريات يومية'!$B$2:$B$4001,$B$2,'مشتريات يومية'!$C$2:$C$4001,$A7,'مشتريات يومية'!$A$2:$A$4001,"&gt;="&amp;'إعدادات المخزون'!$B$5,'مشتريات يومية'!$A$2:$A$4001,"&lt;="&amp;'إعدادات المخزون'!$B$4)</f>
        <v>100</v>
      </c>
      <c r="F7" s="110" t="n">
        <f aca="false">SUMIFS('هالك وتحويلات'!$E$2:$E$3001,'هالك وتحويلات'!$B$2:$B$3001,$B$2,'هالك وتحويلات'!$C$2:$C$3001,$A7,'هالك وتحويلات'!$D$2:$D$3001,"تحويل وارد",'هالك وتحويلات'!$A$2:$A$3001,"&gt;="&amp;'إعدادات المخزون'!$B$5,'هالك وتحويلات'!$A$2:$A$3001,"&lt;="&amp;'إعدادات المخزون'!$B$4)</f>
        <v>0</v>
      </c>
      <c r="G7" s="110" t="n">
        <f aca="false">SUMIFS('هالك وتحويلات'!$E$2:$E$3001,'هالك وتحويلات'!$B$2:$B$3001,$B$2,'هالك وتحويلات'!$C$2:$C$3001,$A7,'هالك وتحويلات'!$D$2:$D$3001,"تحويل صادر",'هالك وتحويلات'!$A$2:$A$3001,"&gt;="&amp;'إعدادات المخزون'!$B$5,'هالك وتحويلات'!$A$2:$A$3001,"&lt;="&amp;'إعدادات المخزون'!$B$4)</f>
        <v>0</v>
      </c>
      <c r="H7" s="110" t="n">
        <f aca="false">SUMPRODUCT('مصفوفة الاستهلاك'!$B$2:$B$190,'متجهات المبيعات'!$C$2:$C$190)/'مواد المخزون'!$D$2</f>
        <v>73.0008</v>
      </c>
      <c r="I7" s="110" t="n">
        <f aca="false">SUMIFS('هالك وتحويلات'!$E$2:$E$3001,'هالك وتحويلات'!$B$2:$B$3001,$B$2,'هالك وتحويلات'!$C$2:$C$3001,$A7,'هالك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وتحويلات'!$C$2:$C$3001,$A7,'هالك وتحويلات'!$D$2:$D$3001,"ضيافة / أكل موظفين",'هالك وتحويلات'!$A$2:$A$3001,"&gt;="&amp;'إعدادات المخزون'!$B$5,'هالك وتحويلات'!$A$2:$A$3001,"&lt;="&amp;'إعدادات المخزون'!$B$4)</f>
        <v>0</v>
      </c>
      <c r="J7" s="110" t="n">
        <f aca="false">D7+E7+F7-G7-H7-I7</f>
        <v>191.9992</v>
      </c>
      <c r="K7" s="36" t="str">
        <f aca="false">IF(COUNTIFS('جرد فعلي'!$B$2:$B$12001,$B$2,'جرد فعلي'!$C$2:$C$12001,$A7,'جرد فعلي'!$A$2:$A$12001,'إعدادات المخزون'!$B$4)&gt;0,"نعم","لا")</f>
        <v>لا</v>
      </c>
      <c r="L7" s="111" t="str">
        <f aca="false">IF(K7="نعم",SUMIFS('جرد فعلي'!$D$2:$D$12001,'جرد فعلي'!$B$2:$B$12001,$B$2,'جرد فعلي'!$C$2:$C$12001,$A7,'جرد فعلي'!$A$2:$A$12001,'إعدادات المخزون'!$B$4),"")</f>
        <v/>
      </c>
      <c r="M7" s="110" t="str">
        <f aca="false">IF(K7="نعم",L7-J7,"")</f>
        <v/>
      </c>
      <c r="N7" s="112" t="str">
        <f aca="false">IF(K7="نعم",IF(J7=0,IF(M7=0,0,SIGN(M7)),M7/ABS(J7)),"")</f>
        <v/>
      </c>
      <c r="O7" s="109" t="str">
        <f aca="false">IF(K7="نعم",M7*C7,"")</f>
        <v/>
      </c>
      <c r="P7" s="36" t="str">
        <f aca="false">IF(K7&lt;&gt;"نعم","لم يُجرد",IF(ABS(N7)&lt;='إعدادات المخزون'!$B$7,"مطابق",IF(M7&lt;0,"عجز","زيادة")))</f>
        <v>لم يُجرد</v>
      </c>
      <c r="Q7" s="110" t="n">
        <f aca="false">J7-Z7</f>
        <v>198.0826</v>
      </c>
      <c r="R7" s="110" t="str">
        <f aca="false">IF(COUNTIFS('جرد فعلي'!$B$2:$B$12001,$B$2,'جرد فعلي'!$C$2:$C$12001,$A7,'جرد فعلي'!$A$2:$A$12001,'إعدادات المخزون'!$B$4-1)&gt;0,SUMIFS('جرد فعلي'!$D$2:$D$12001,'جرد فعلي'!$B$2:$B$12001,$B$2,'جرد فعلي'!$C$2:$C$12001,$A7,'جرد فعلي'!$A$2:$A$12001,'إعدادات المخزون'!$B$4-1),"")</f>
        <v/>
      </c>
      <c r="S7" s="110" t="str">
        <f aca="false">IF(AND(K7="نعم",R7&lt;&gt;""),(L7-J7)-(R7-Q7),"")</f>
        <v/>
      </c>
      <c r="T7" s="109" t="str">
        <f aca="false">IF(S7="","",S7*C7)</f>
        <v/>
      </c>
      <c r="U7" s="110" t="n">
        <f aca="false">IF(K7="نعم",L7,J7)</f>
        <v>191.9992</v>
      </c>
      <c r="V7" s="110" t="n">
        <f aca="false">SUMPRODUCT('مصفوفة الاستهلاك'!$B$2:$B$190,'متجهات المبيعات'!$D$2:$D$190)/'مواد المخزون'!$D$2/MAX(1,MIN('إعدادات المخزون'!$B$11,'إعدادات المخزون'!$B$4-'إعدادات المخزون'!$B$5+1))</f>
        <v>6.0834</v>
      </c>
      <c r="W7" s="110" t="n">
        <f aca="false">IF(V7&lt;=0,0,ROUNDUP(MAX(0,V7*('إعدادات المخزون'!$B$8+'إعدادات المخزون'!$B$9+'إعدادات المخزون'!$B$10)-MAX(U7,0))/'مواد المخزون'!$F2,0)*'مواد المخزون'!$F2)</f>
        <v>0</v>
      </c>
      <c r="X7" s="109" t="n">
        <f aca="false">IF(AND(K7="نعم",O7&lt;0),-O7+ROW()*0.000000001,0)</f>
        <v>0</v>
      </c>
      <c r="Y7" s="109" t="n">
        <f aca="false">IF(AND(K7="نعم",O7&gt;0),O7+ROW()*0.000000001,0)</f>
        <v>0</v>
      </c>
      <c r="Z7" s="110" t="n">
        <f aca="false">SUMIFS('مشتريات يومية'!$D$2:$D$4001,'مشتريات يومية'!$B$2:$B$4001,$B$2,'مشتريات يومية'!$C$2:$C$4001,$A7,'مشتريات يومية'!$A$2:$A$4001,'إعدادات المخزون'!$B$4)+SUMIFS('هالك وتحويلات'!$E$2:$E$3001,'هالك وتحويلات'!$B$2:$B$3001,$B$2,'هالك وتحويلات'!$C$2:$C$3001,$A7,'هالك وتحويلات'!$D$2:$D$3001,"تحويل وارد",'هالك وتحويلات'!$A$2:$A$3001,'إعدادات المخزون'!$B$4)-SUMIFS('هالك وتحويلات'!$E$2:$E$3001,'هالك وتحويلات'!$B$2:$B$3001,$B$2,'هالك وتحويلات'!$C$2:$C$3001,$A7,'هالك وتحويلات'!$D$2:$D$3001,"تحويل صادر",'هالك وتحويلات'!$A$2:$A$3001,'إعدادات المخزون'!$B$4)-SUMIFS('هالك وتحويلات'!$E$2:$E$3001,'هالك وتحويلات'!$B$2:$B$3001,$B$2,'هالك وتحويلات'!$C$2:$C$3001,$A7,'هالك وتحويلات'!$D$2:$D$3001,"هالك",'هالك وتحويلات'!$A$2:$A$3001,'إعدادات المخزون'!$B$4)-SUMIFS('هالك وتحويلات'!$E$2:$E$3001,'هالك وتحويلات'!$B$2:$B$3001,$B$2,'هالك وتحويلات'!$C$2:$C$3001,$A7,'هالك وتحويلات'!$D$2:$D$3001,"ضيافة / أكل موظفين",'هالك وتحويلات'!$A$2:$A$3001,'إعدادات المخزون'!$B$4)-SUMPRODUCT('مصفوفة الاستهلاك'!$B$2:$B$190,'متجهات المبيعات'!$B$2:$B$190)/'مواد المخزون'!$D$2</f>
        <v>-6.0834</v>
      </c>
      <c r="AA7" s="109" t="n">
        <f aca="false">IF(K7="نعم",O7,0)</f>
        <v>0</v>
      </c>
      <c r="AB7" s="109" t="n">
        <f aca="false">IF(K7="نعم",J7*C7,0)</f>
        <v>0</v>
      </c>
      <c r="AC7" s="109" t="n">
        <f aca="false">IF(T7="",0,T7)</f>
        <v>0</v>
      </c>
    </row>
    <row r="8" customFormat="false" ht="15" hidden="false" customHeight="false" outlineLevel="0" collapsed="false">
      <c r="A8" s="34" t="str">
        <f aca="false">'مواد المخزون'!A3</f>
        <v>اطباق فوم كيلو</v>
      </c>
      <c r="B8" s="36" t="str">
        <f aca="false">'مواد المخزون'!B3</f>
        <v>قطعة</v>
      </c>
      <c r="C8" s="109" t="n">
        <f aca="false">'مواد المخزون'!E3</f>
        <v>0.8</v>
      </c>
      <c r="D8" s="110" t="n">
        <f aca="false">'جرد أول المدة'!C6</f>
        <v>299</v>
      </c>
      <c r="E8" s="110" t="n">
        <f aca="false">SUMIFS('مشتريات يومية'!$D$2:$D$4001,'مشتريات يومية'!$B$2:$B$4001,$B$2,'مشتريات يومية'!$C$2:$C$4001,$A8,'مشتريات يومية'!$A$2:$A$4001,"&gt;="&amp;'إعدادات المخزون'!$B$5,'مشتريات يومية'!$A$2:$A$4001,"&lt;="&amp;'إعدادات المخزون'!$B$4)</f>
        <v>600</v>
      </c>
      <c r="F8" s="110" t="n">
        <f aca="false">SUMIFS('هالك وتحويلات'!$E$2:$E$3001,'هالك وتحويلات'!$B$2:$B$3001,$B$2,'هالك وتحويلات'!$C$2:$C$3001,$A8,'هالك وتحويلات'!$D$2:$D$3001,"تحويل وارد",'هالك وتحويلات'!$A$2:$A$3001,"&gt;="&amp;'إعدادات المخزون'!$B$5,'هالك وتحويلات'!$A$2:$A$3001,"&lt;="&amp;'إعدادات المخزون'!$B$4)</f>
        <v>0</v>
      </c>
      <c r="G8" s="110" t="n">
        <f aca="false">SUMIFS('هالك وتحويلات'!$E$2:$E$3001,'هالك وتحويلات'!$B$2:$B$3001,$B$2,'هالك وتحويلات'!$C$2:$C$3001,$A8,'هالك وتحويلات'!$D$2:$D$3001,"تحويل صادر",'هالك وتحويلات'!$A$2:$A$3001,"&gt;="&amp;'إعدادات المخزون'!$B$5,'هالك وتحويلات'!$A$2:$A$3001,"&lt;="&amp;'إعدادات المخزون'!$B$4)</f>
        <v>0</v>
      </c>
      <c r="H8" s="110" t="n">
        <f aca="false">SUMPRODUCT('مصفوفة الاستهلاك'!$C$2:$C$190,'متجهات المبيعات'!$C$2:$C$190)/'مواد المخزون'!$D$3</f>
        <v>578.0004</v>
      </c>
      <c r="I8" s="110" t="n">
        <f aca="false">SUMIFS('هالك وتحويلات'!$E$2:$E$3001,'هالك وتحويلات'!$B$2:$B$3001,$B$2,'هالك وتحويلات'!$C$2:$C$3001,$A8,'هالك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وتحويلات'!$C$2:$C$3001,$A8,'هالك وتحويلات'!$D$2:$D$3001,"ضيافة / أكل موظفين",'هالك وتحويلات'!$A$2:$A$3001,"&gt;="&amp;'إعدادات المخزون'!$B$5,'هالك وتحويلات'!$A$2:$A$3001,"&lt;="&amp;'إعدادات المخزون'!$B$4)</f>
        <v>0</v>
      </c>
      <c r="J8" s="110" t="n">
        <f aca="false">D8+E8+F8-G8-H8-I8</f>
        <v>320.9996</v>
      </c>
      <c r="K8" s="36" t="str">
        <f aca="false">IF(COUNTIFS('جرد فعلي'!$B$2:$B$12001,$B$2,'جرد فعلي'!$C$2:$C$12001,$A8,'جرد فعلي'!$A$2:$A$12001,'إعدادات المخزون'!$B$4)&gt;0,"نعم","لا")</f>
        <v>لا</v>
      </c>
      <c r="L8" s="111" t="str">
        <f aca="false">IF(K8="نعم",SUMIFS('جرد فعلي'!$D$2:$D$12001,'جرد فعلي'!$B$2:$B$12001,$B$2,'جرد فعلي'!$C$2:$C$12001,$A8,'جرد فعلي'!$A$2:$A$12001,'إعدادات المخزون'!$B$4),"")</f>
        <v/>
      </c>
      <c r="M8" s="110" t="str">
        <f aca="false">IF(K8="نعم",L8-J8,"")</f>
        <v/>
      </c>
      <c r="N8" s="112" t="str">
        <f aca="false">IF(K8="نعم",IF(J8=0,IF(M8=0,0,SIGN(M8)),M8/ABS(J8)),"")</f>
        <v/>
      </c>
      <c r="O8" s="109" t="str">
        <f aca="false">IF(K8="نعم",M8*C8,"")</f>
        <v/>
      </c>
      <c r="P8" s="36" t="str">
        <f aca="false">IF(K8&lt;&gt;"نعم","لم يُجرد",IF(ABS(N8)&lt;='إعدادات المخزون'!$B$7,"مطابق",IF(M8&lt;0,"عجز","زيادة")))</f>
        <v>لم يُجرد</v>
      </c>
      <c r="Q8" s="110" t="n">
        <f aca="false">J8-Z8</f>
        <v>369.1663</v>
      </c>
      <c r="R8" s="110" t="str">
        <f aca="false">IF(COUNTIFS('جرد فعلي'!$B$2:$B$12001,$B$2,'جرد فعلي'!$C$2:$C$12001,$A8,'جرد فعلي'!$A$2:$A$12001,'إعدادات المخزون'!$B$4-1)&gt;0,SUMIFS('جرد فعلي'!$D$2:$D$12001,'جرد فعلي'!$B$2:$B$12001,$B$2,'جرد فعلي'!$C$2:$C$12001,$A8,'جرد فعلي'!$A$2:$A$12001,'إعدادات المخزون'!$B$4-1),"")</f>
        <v/>
      </c>
      <c r="S8" s="110" t="str">
        <f aca="false">IF(AND(K8="نعم",R8&lt;&gt;""),(L8-J8)-(R8-Q8),"")</f>
        <v/>
      </c>
      <c r="T8" s="109" t="str">
        <f aca="false">IF(S8="","",S8*C8)</f>
        <v/>
      </c>
      <c r="U8" s="110" t="n">
        <f aca="false">IF(K8="نعم",L8,J8)</f>
        <v>320.9996</v>
      </c>
      <c r="V8" s="110" t="n">
        <f aca="false">SUMPRODUCT('مصفوفة الاستهلاك'!$C$2:$C$190,'متجهات المبيعات'!$D$2:$D$190)/'مواد المخزون'!$D$3/MAX(1,MIN('إعدادات المخزون'!$B$11,'إعدادات المخزون'!$B$4-'إعدادات المخزون'!$B$5+1))</f>
        <v>48.1667</v>
      </c>
      <c r="W8" s="110" t="n">
        <f aca="false">IF(V8&lt;=0,0,ROUNDUP(MAX(0,V8*('إعدادات المخزون'!$B$8+'إعدادات المخزون'!$B$9+'إعدادات المخزون'!$B$10)-MAX(U8,0))/'مواد المخزون'!$F3,0)*'مواد المخزون'!$F3)</f>
        <v>0</v>
      </c>
      <c r="X8" s="109" t="n">
        <f aca="false">IF(AND(K8="نعم",O8&lt;0),-O8+ROW()*0.000000001,0)</f>
        <v>0</v>
      </c>
      <c r="Y8" s="109" t="n">
        <f aca="false">IF(AND(K8="نعم",O8&gt;0),O8+ROW()*0.000000001,0)</f>
        <v>0</v>
      </c>
      <c r="Z8" s="110" t="n">
        <f aca="false">SUMIFS('مشتريات يومية'!$D$2:$D$4001,'مشتريات يومية'!$B$2:$B$4001,$B$2,'مشتريات يومية'!$C$2:$C$4001,$A8,'مشتريات يومية'!$A$2:$A$4001,'إعدادات المخزون'!$B$4)+SUMIFS('هالك وتحويلات'!$E$2:$E$3001,'هالك وتحويلات'!$B$2:$B$3001,$B$2,'هالك وتحويلات'!$C$2:$C$3001,$A8,'هالك وتحويلات'!$D$2:$D$3001,"تحويل وارد",'هالك وتحويلات'!$A$2:$A$3001,'إعدادات المخزون'!$B$4)-SUMIFS('هالك وتحويلات'!$E$2:$E$3001,'هالك وتحويلات'!$B$2:$B$3001,$B$2,'هالك وتحويلات'!$C$2:$C$3001,$A8,'هالك وتحويلات'!$D$2:$D$3001,"تحويل صادر",'هالك وتحويلات'!$A$2:$A$3001,'إعدادات المخزون'!$B$4)-SUMIFS('هالك وتحويلات'!$E$2:$E$3001,'هالك وتحويلات'!$B$2:$B$3001,$B$2,'هالك وتحويلات'!$C$2:$C$3001,$A8,'هالك وتحويلات'!$D$2:$D$3001,"هالك",'هالك وتحويلات'!$A$2:$A$3001,'إعدادات المخزون'!$B$4)-SUMIFS('هالك وتحويلات'!$E$2:$E$3001,'هالك وتحويلات'!$B$2:$B$3001,$B$2,'هالك وتحويلات'!$C$2:$C$3001,$A8,'هالك وتحويلات'!$D$2:$D$3001,"ضيافة / أكل موظفين",'هالك وتحويلات'!$A$2:$A$3001,'إعدادات المخزون'!$B$4)-SUMPRODUCT('مصفوفة الاستهلاك'!$C$2:$C$190,'متجهات المبيعات'!$B$2:$B$190)/'مواد المخزون'!$D$3</f>
        <v>-48.1667</v>
      </c>
      <c r="AA8" s="109" t="n">
        <f aca="false">IF(K8="نعم",O8,0)</f>
        <v>0</v>
      </c>
      <c r="AB8" s="109" t="n">
        <f aca="false">IF(K8="نعم",J8*C8,0)</f>
        <v>0</v>
      </c>
      <c r="AC8" s="109" t="n">
        <f aca="false">IF(T8="",0,T8)</f>
        <v>0</v>
      </c>
    </row>
    <row r="9" customFormat="false" ht="15" hidden="false" customHeight="false" outlineLevel="0" collapsed="false">
      <c r="A9" s="34" t="str">
        <f aca="false">'مواد المخزون'!A4</f>
        <v>اكياس مطبوعة كبير</v>
      </c>
      <c r="B9" s="36" t="str">
        <f aca="false">'مواد المخزون'!B4</f>
        <v>كجم</v>
      </c>
      <c r="C9" s="109" t="n">
        <f aca="false">'مواد المخزون'!E4</f>
        <v>70</v>
      </c>
      <c r="D9" s="110" t="n">
        <f aca="false">'جرد أول المدة'!C7</f>
        <v>17</v>
      </c>
      <c r="E9" s="110" t="n">
        <f aca="false">SUMIFS('مشتريات يومية'!$D$2:$D$4001,'مشتريات يومية'!$B$2:$B$4001,$B$2,'مشتريات يومية'!$C$2:$C$4001,$A9,'مشتريات يومية'!$A$2:$A$4001,"&gt;="&amp;'إعدادات المخزون'!$B$5,'مشتريات يومية'!$A$2:$A$4001,"&lt;="&amp;'إعدادات المخزون'!$B$4)</f>
        <v>25</v>
      </c>
      <c r="F9" s="110" t="n">
        <f aca="false">SUMIFS('هالك وتحويلات'!$E$2:$E$3001,'هالك وتحويلات'!$B$2:$B$3001,$B$2,'هالك وتحويلات'!$C$2:$C$3001,$A9,'هالك وتحويلات'!$D$2:$D$3001,"تحويل وارد",'هالك وتحويلات'!$A$2:$A$3001,"&gt;="&amp;'إعدادات المخزون'!$B$5,'هالك وتحويلات'!$A$2:$A$3001,"&lt;="&amp;'إعدادات المخزون'!$B$4)</f>
        <v>0</v>
      </c>
      <c r="G9" s="110" t="n">
        <f aca="false">SUMIFS('هالك وتحويلات'!$E$2:$E$3001,'هالك وتحويلات'!$B$2:$B$3001,$B$2,'هالك وتحويلات'!$C$2:$C$3001,$A9,'هالك وتحويلات'!$D$2:$D$3001,"تحويل صادر",'هالك وتحويلات'!$A$2:$A$3001,"&gt;="&amp;'إعدادات المخزون'!$B$5,'هالك وتحويلات'!$A$2:$A$3001,"&lt;="&amp;'إعدادات المخزون'!$B$4)</f>
        <v>0</v>
      </c>
      <c r="H9" s="110" t="n">
        <f aca="false">SUMPRODUCT('مصفوفة الاستهلاك'!$D$2:$D$190,'متجهات المبيعات'!$C$2:$C$190)/'مواد المخزون'!$D$4</f>
        <v>33.02994</v>
      </c>
      <c r="I9" s="110" t="n">
        <f aca="false">SUMIFS('هالك وتحويلات'!$E$2:$E$3001,'هالك وتحويلات'!$B$2:$B$3001,$B$2,'هالك وتحويلات'!$C$2:$C$3001,$A9,'هالك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وتحويلات'!$C$2:$C$3001,$A9,'هالك وتحويلات'!$D$2:$D$3001,"ضيافة / أكل موظفين",'هالك وتحويلات'!$A$2:$A$3001,"&gt;="&amp;'إعدادات المخزون'!$B$5,'هالك وتحويلات'!$A$2:$A$3001,"&lt;="&amp;'إعدادات المخزون'!$B$4)</f>
        <v>0</v>
      </c>
      <c r="J9" s="110" t="n">
        <f aca="false">D9+E9+F9-G9-H9-I9</f>
        <v>8.97006</v>
      </c>
      <c r="K9" s="36" t="str">
        <f aca="false">IF(COUNTIFS('جرد فعلي'!$B$2:$B$12001,$B$2,'جرد فعلي'!$C$2:$C$12001,$A9,'جرد فعلي'!$A$2:$A$12001,'إعدادات المخزون'!$B$4)&gt;0,"نعم","لا")</f>
        <v>لا</v>
      </c>
      <c r="L9" s="111" t="str">
        <f aca="false">IF(K9="نعم",SUMIFS('جرد فعلي'!$D$2:$D$12001,'جرد فعلي'!$B$2:$B$12001,$B$2,'جرد فعلي'!$C$2:$C$12001,$A9,'جرد فعلي'!$A$2:$A$12001,'إعدادات المخزون'!$B$4),"")</f>
        <v/>
      </c>
      <c r="M9" s="110" t="str">
        <f aca="false">IF(K9="نعم",L9-J9,"")</f>
        <v/>
      </c>
      <c r="N9" s="112" t="str">
        <f aca="false">IF(K9="نعم",IF(J9=0,IF(M9=0,0,SIGN(M9)),M9/ABS(J9)),"")</f>
        <v/>
      </c>
      <c r="O9" s="109" t="str">
        <f aca="false">IF(K9="نعم",M9*C9,"")</f>
        <v/>
      </c>
      <c r="P9" s="36" t="str">
        <f aca="false">IF(K9&lt;&gt;"نعم","لم يُجرد",IF(ABS(N9)&lt;='إعدادات المخزون'!$B$7,"مطابق",IF(M9&lt;0,"عجز","زيادة")))</f>
        <v>لم يُجرد</v>
      </c>
      <c r="Q9" s="110" t="n">
        <f aca="false">J9-Z9</f>
        <v>11.722555</v>
      </c>
      <c r="R9" s="110" t="str">
        <f aca="false">IF(COUNTIFS('جرد فعلي'!$B$2:$B$12001,$B$2,'جرد فعلي'!$C$2:$C$12001,$A9,'جرد فعلي'!$A$2:$A$12001,'إعدادات المخزون'!$B$4-1)&gt;0,SUMIFS('جرد فعلي'!$D$2:$D$12001,'جرد فعلي'!$B$2:$B$12001,$B$2,'جرد فعلي'!$C$2:$C$12001,$A9,'جرد فعلي'!$A$2:$A$12001,'إعدادات المخزون'!$B$4-1),"")</f>
        <v/>
      </c>
      <c r="S9" s="110" t="str">
        <f aca="false">IF(AND(K9="نعم",R9&lt;&gt;""),(L9-J9)-(R9-Q9),"")</f>
        <v/>
      </c>
      <c r="T9" s="109" t="str">
        <f aca="false">IF(S9="","",S9*C9)</f>
        <v/>
      </c>
      <c r="U9" s="110" t="n">
        <f aca="false">IF(K9="نعم",L9,J9)</f>
        <v>8.97006</v>
      </c>
      <c r="V9" s="110" t="n">
        <f aca="false">SUMPRODUCT('مصفوفة الاستهلاك'!$D$2:$D$190,'متجهات المبيعات'!$D$2:$D$190)/'مواد المخزون'!$D$4/MAX(1,MIN('إعدادات المخزون'!$B$11,'إعدادات المخزون'!$B$4-'إعدادات المخزون'!$B$5+1))</f>
        <v>2.752495</v>
      </c>
      <c r="W9" s="110" t="n">
        <f aca="false">IF(V9&lt;=0,0,ROUNDUP(MAX(0,V9*('إعدادات المخزون'!$B$8+'إعدادات المخزون'!$B$9+'إعدادات المخزون'!$B$10)-MAX(U9,0))/'مواد المخزون'!$F4,0)*'مواد المخزون'!$F4)</f>
        <v>3</v>
      </c>
      <c r="X9" s="109" t="n">
        <f aca="false">IF(AND(K9="نعم",O9&lt;0),-O9+ROW()*0.000000001,0)</f>
        <v>0</v>
      </c>
      <c r="Y9" s="109" t="n">
        <f aca="false">IF(AND(K9="نعم",O9&gt;0),O9+ROW()*0.000000001,0)</f>
        <v>0</v>
      </c>
      <c r="Z9" s="110" t="n">
        <f aca="false">SUMIFS('مشتريات يومية'!$D$2:$D$4001,'مشتريات يومية'!$B$2:$B$4001,$B$2,'مشتريات يومية'!$C$2:$C$4001,$A9,'مشتريات يومية'!$A$2:$A$4001,'إعدادات المخزون'!$B$4)+SUMIFS('هالك وتحويلات'!$E$2:$E$3001,'هالك وتحويلات'!$B$2:$B$3001,$B$2,'هالك وتحويلات'!$C$2:$C$3001,$A9,'هالك وتحويلات'!$D$2:$D$3001,"تحويل وارد",'هالك وتحويلات'!$A$2:$A$3001,'إعدادات المخزون'!$B$4)-SUMIFS('هالك وتحويلات'!$E$2:$E$3001,'هالك وتحويلات'!$B$2:$B$3001,$B$2,'هالك وتحويلات'!$C$2:$C$3001,$A9,'هالك وتحويلات'!$D$2:$D$3001,"تحويل صادر",'هالك وتحويلات'!$A$2:$A$3001,'إعدادات المخزون'!$B$4)-SUMIFS('هالك وتحويلات'!$E$2:$E$3001,'هالك وتحويلات'!$B$2:$B$3001,$B$2,'هالك وتحويلات'!$C$2:$C$3001,$A9,'هالك وتحويلات'!$D$2:$D$3001,"هالك",'هالك وتحويلات'!$A$2:$A$3001,'إعدادات المخزون'!$B$4)-SUMIFS('هالك وتحويلات'!$E$2:$E$3001,'هالك وتحويلات'!$B$2:$B$3001,$B$2,'هالك وتحويلات'!$C$2:$C$3001,$A9,'هالك وتحويلات'!$D$2:$D$3001,"ضيافة / أكل موظفين",'هالك وتحويلات'!$A$2:$A$3001,'إعدادات المخزون'!$B$4)-SUMPRODUCT('مصفوفة الاستهلاك'!$D$2:$D$190,'متجهات المبيعات'!$B$2:$B$190)/'مواد المخزون'!$D$4</f>
        <v>-2.752495</v>
      </c>
      <c r="AA9" s="109" t="n">
        <f aca="false">IF(K9="نعم",O9,0)</f>
        <v>0</v>
      </c>
      <c r="AB9" s="109" t="n">
        <f aca="false">IF(K9="نعم",J9*C9,0)</f>
        <v>0</v>
      </c>
      <c r="AC9" s="109" t="n">
        <f aca="false">IF(T9="",0,T9)</f>
        <v>0</v>
      </c>
    </row>
    <row r="10" customFormat="false" ht="15" hidden="false" customHeight="false" outlineLevel="0" collapsed="false">
      <c r="A10" s="34" t="str">
        <f aca="false">'مواد المخزون'!A5</f>
        <v>اكياس مطبوعة وسط</v>
      </c>
      <c r="B10" s="36" t="str">
        <f aca="false">'مواد المخزون'!B5</f>
        <v>كجم</v>
      </c>
      <c r="C10" s="109" t="n">
        <f aca="false">'مواد المخزون'!E5</f>
        <v>70</v>
      </c>
      <c r="D10" s="110" t="n">
        <f aca="false">'جرد أول المدة'!C8</f>
        <v>10</v>
      </c>
      <c r="E10" s="110" t="n">
        <f aca="false">SUMIFS('مشتريات يومية'!$D$2:$D$4001,'مشتريات يومية'!$B$2:$B$4001,$B$2,'مشتريات يومية'!$C$2:$C$4001,$A10,'مشتريات يومية'!$A$2:$A$4001,"&gt;="&amp;'إعدادات المخزون'!$B$5,'مشتريات يومية'!$A$2:$A$4001,"&lt;="&amp;'إعدادات المخزون'!$B$4)</f>
        <v>32</v>
      </c>
      <c r="F10" s="110" t="n">
        <f aca="false">SUMIFS('هالك وتحويلات'!$E$2:$E$3001,'هالك وتحويلات'!$B$2:$B$3001,$B$2,'هالك وتحويلات'!$C$2:$C$3001,$A10,'هالك وتحويلات'!$D$2:$D$3001,"تحويل وارد",'هالك وتحويلات'!$A$2:$A$3001,"&gt;="&amp;'إعدادات المخزون'!$B$5,'هالك وتحويلات'!$A$2:$A$3001,"&lt;="&amp;'إعدادات المخزون'!$B$4)</f>
        <v>0</v>
      </c>
      <c r="G10" s="110" t="n">
        <f aca="false">SUMIFS('هالك وتحويلات'!$E$2:$E$3001,'هالك وتحويلات'!$B$2:$B$3001,$B$2,'هالك وتحويلات'!$C$2:$C$3001,$A10,'هالك وتحويلات'!$D$2:$D$3001,"تحويل صادر",'هالك وتحويلات'!$A$2:$A$3001,"&gt;="&amp;'إعدادات المخزون'!$B$5,'هالك وتحويلات'!$A$2:$A$3001,"&lt;="&amp;'إعدادات المخزون'!$B$4)</f>
        <v>0</v>
      </c>
      <c r="H10" s="110" t="n">
        <f aca="false">SUMPRODUCT('مصفوفة الاستهلاك'!$E$2:$E$190,'متجهات المبيعات'!$C$2:$C$190)/'مواد المخزون'!$D$5</f>
        <v>16.61004</v>
      </c>
      <c r="I10" s="110" t="n">
        <f aca="false">SUMIFS('هالك وتحويلات'!$E$2:$E$3001,'هالك وتحويلات'!$B$2:$B$3001,$B$2,'هالك وتحويلات'!$C$2:$C$3001,$A10,'هالك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وتحويلات'!$C$2:$C$3001,$A10,'هالك وتحويلات'!$D$2:$D$3001,"ضيافة / أكل موظفين",'هالك وتحويلات'!$A$2:$A$3001,"&gt;="&amp;'إعدادات المخزون'!$B$5,'هالك وتحويلات'!$A$2:$A$3001,"&lt;="&amp;'إعدادات المخزون'!$B$4)</f>
        <v>0</v>
      </c>
      <c r="J10" s="110" t="n">
        <f aca="false">D10+E10+F10-G10-H10-I10</f>
        <v>25.38996</v>
      </c>
      <c r="K10" s="36" t="str">
        <f aca="false">IF(COUNTIFS('جرد فعلي'!$B$2:$B$12001,$B$2,'جرد فعلي'!$C$2:$C$12001,$A10,'جرد فعلي'!$A$2:$A$12001,'إعدادات المخزون'!$B$4)&gt;0,"نعم","لا")</f>
        <v>لا</v>
      </c>
      <c r="L10" s="111" t="str">
        <f aca="false">IF(K10="نعم",SUMIFS('جرد فعلي'!$D$2:$D$12001,'جرد فعلي'!$B$2:$B$12001,$B$2,'جرد فعلي'!$C$2:$C$12001,$A10,'جرد فعلي'!$A$2:$A$12001,'إعدادات المخزون'!$B$4),"")</f>
        <v/>
      </c>
      <c r="M10" s="110" t="str">
        <f aca="false">IF(K10="نعم",L10-J10,"")</f>
        <v/>
      </c>
      <c r="N10" s="112" t="str">
        <f aca="false">IF(K10="نعم",IF(J10=0,IF(M10=0,0,SIGN(M10)),M10/ABS(J10)),"")</f>
        <v/>
      </c>
      <c r="O10" s="109" t="str">
        <f aca="false">IF(K10="نعم",M10*C10,"")</f>
        <v/>
      </c>
      <c r="P10" s="36" t="str">
        <f aca="false">IF(K10&lt;&gt;"نعم","لم يُجرد",IF(ABS(N10)&lt;='إعدادات المخزون'!$B$7,"مطابق",IF(M10&lt;0,"عجز","زيادة")))</f>
        <v>لم يُجرد</v>
      </c>
      <c r="Q10" s="110" t="n">
        <f aca="false">J10-Z10</f>
        <v>26.77413</v>
      </c>
      <c r="R10" s="110" t="str">
        <f aca="false">IF(COUNTIFS('جرد فعلي'!$B$2:$B$12001,$B$2,'جرد فعلي'!$C$2:$C$12001,$A10,'جرد فعلي'!$A$2:$A$12001,'إعدادات المخزون'!$B$4-1)&gt;0,SUMIFS('جرد فعلي'!$D$2:$D$12001,'جرد فعلي'!$B$2:$B$12001,$B$2,'جرد فعلي'!$C$2:$C$12001,$A10,'جرد فعلي'!$A$2:$A$12001,'إعدادات المخزون'!$B$4-1),"")</f>
        <v/>
      </c>
      <c r="S10" s="110" t="str">
        <f aca="false">IF(AND(K10="نعم",R10&lt;&gt;""),(L10-J10)-(R10-Q10),"")</f>
        <v/>
      </c>
      <c r="T10" s="109" t="str">
        <f aca="false">IF(S10="","",S10*C10)</f>
        <v/>
      </c>
      <c r="U10" s="110" t="n">
        <f aca="false">IF(K10="نعم",L10,J10)</f>
        <v>25.38996</v>
      </c>
      <c r="V10" s="110" t="n">
        <f aca="false">SUMPRODUCT('مصفوفة الاستهلاك'!$E$2:$E$190,'متجهات المبيعات'!$D$2:$D$190)/'مواد المخزون'!$D$5/MAX(1,MIN('إعدادات المخزون'!$B$11,'إعدادات المخزون'!$B$4-'إعدادات المخزون'!$B$5+1))</f>
        <v>1.38417</v>
      </c>
      <c r="W10" s="110" t="n">
        <f aca="false">IF(V10&lt;=0,0,ROUNDUP(MAX(0,V10*('إعدادات المخزون'!$B$8+'إعدادات المخزون'!$B$9+'إعدادات المخزون'!$B$10)-MAX(U10,0))/'مواد المخزون'!$F5,0)*'مواد المخزون'!$F5)</f>
        <v>0</v>
      </c>
      <c r="X10" s="109" t="n">
        <f aca="false">IF(AND(K10="نعم",O10&lt;0),-O10+ROW()*0.000000001,0)</f>
        <v>0</v>
      </c>
      <c r="Y10" s="109" t="n">
        <f aca="false">IF(AND(K10="نعم",O10&gt;0),O10+ROW()*0.000000001,0)</f>
        <v>0</v>
      </c>
      <c r="Z10" s="110" t="n">
        <f aca="false">SUMIFS('مشتريات يومية'!$D$2:$D$4001,'مشتريات يومية'!$B$2:$B$4001,$B$2,'مشتريات يومية'!$C$2:$C$4001,$A10,'مشتريات يومية'!$A$2:$A$4001,'إعدادات المخزون'!$B$4)+SUMIFS('هالك وتحويلات'!$E$2:$E$3001,'هالك وتحويلات'!$B$2:$B$3001,$B$2,'هالك وتحويلات'!$C$2:$C$3001,$A10,'هالك وتحويلات'!$D$2:$D$3001,"تحويل وارد",'هالك وتحويلات'!$A$2:$A$3001,'إعدادات المخزون'!$B$4)-SUMIFS('هالك وتحويلات'!$E$2:$E$3001,'هالك وتحويلات'!$B$2:$B$3001,$B$2,'هالك وتحويلات'!$C$2:$C$3001,$A10,'هالك وتحويلات'!$D$2:$D$3001,"تحويل صادر",'هالك وتحويلات'!$A$2:$A$3001,'إعدادات المخزون'!$B$4)-SUMIFS('هالك وتحويلات'!$E$2:$E$3001,'هالك وتحويلات'!$B$2:$B$3001,$B$2,'هالك وتحويلات'!$C$2:$C$3001,$A10,'هالك وتحويلات'!$D$2:$D$3001,"هالك",'هالك وتحويلات'!$A$2:$A$3001,'إعدادات المخزون'!$B$4)-SUMIFS('هالك وتحويلات'!$E$2:$E$3001,'هالك وتحويلات'!$B$2:$B$3001,$B$2,'هالك وتحويلات'!$C$2:$C$3001,$A10,'هالك وتحويلات'!$D$2:$D$3001,"ضيافة / أكل موظفين",'هالك وتحويلات'!$A$2:$A$3001,'إعدادات المخزون'!$B$4)-SUMPRODUCT('مصفوفة الاستهلاك'!$E$2:$E$190,'متجهات المبيعات'!$B$2:$B$190)/'مواد المخزون'!$D$5</f>
        <v>-1.38417</v>
      </c>
      <c r="AA10" s="109" t="n">
        <f aca="false">IF(K10="نعم",O10,0)</f>
        <v>0</v>
      </c>
      <c r="AB10" s="109" t="n">
        <f aca="false">IF(K10="نعم",J10*C10,0)</f>
        <v>0</v>
      </c>
      <c r="AC10" s="109" t="n">
        <f aca="false">IF(T10="",0,T10)</f>
        <v>0</v>
      </c>
    </row>
    <row r="11" customFormat="false" ht="15" hidden="false" customHeight="false" outlineLevel="0" collapsed="false">
      <c r="A11" s="34" t="str">
        <f aca="false">'مواد المخزون'!A6</f>
        <v>برجر 100 جرام</v>
      </c>
      <c r="B11" s="36" t="str">
        <f aca="false">'مواد المخزون'!B6</f>
        <v>قطعة</v>
      </c>
      <c r="C11" s="109" t="n">
        <f aca="false">'مواد المخزون'!E6</f>
        <v>18</v>
      </c>
      <c r="D11" s="110" t="n">
        <f aca="false">'جرد أول المدة'!C9</f>
        <v>41</v>
      </c>
      <c r="E11" s="110" t="n">
        <f aca="false">SUMIFS('مشتريات يومية'!$D$2:$D$4001,'مشتريات يومية'!$B$2:$B$4001,$B$2,'مشتريات يومية'!$C$2:$C$4001,$A11,'مشتريات يومية'!$A$2:$A$4001,"&gt;="&amp;'إعدادات المخزون'!$B$5,'مشتريات يومية'!$A$2:$A$4001,"&lt;="&amp;'إعدادات المخزون'!$B$4)</f>
        <v>165</v>
      </c>
      <c r="F11" s="110" t="n">
        <f aca="false">SUMIFS('هالك وتحويلات'!$E$2:$E$3001,'هالك وتحويلات'!$B$2:$B$3001,$B$2,'هالك وتحويلات'!$C$2:$C$3001,$A11,'هالك وتحويلات'!$D$2:$D$3001,"تحويل وارد",'هالك وتحويلات'!$A$2:$A$3001,"&gt;="&amp;'إعدادات المخزون'!$B$5,'هالك وتحويلات'!$A$2:$A$3001,"&lt;="&amp;'إعدادات المخزون'!$B$4)</f>
        <v>0</v>
      </c>
      <c r="G11" s="110" t="n">
        <f aca="false">SUMIFS('هالك وتحويلات'!$E$2:$E$3001,'هالك وتحويلات'!$B$2:$B$3001,$B$2,'هالك وتحويلات'!$C$2:$C$3001,$A11,'هالك وتحويلات'!$D$2:$D$3001,"تحويل صادر",'هالك وتحويلات'!$A$2:$A$3001,"&gt;="&amp;'إعدادات المخزون'!$B$5,'هالك وتحويلات'!$A$2:$A$3001,"&lt;="&amp;'إعدادات المخزون'!$B$4)</f>
        <v>0</v>
      </c>
      <c r="H11" s="110" t="n">
        <f aca="false">SUMPRODUCT('مصفوفة الاستهلاك'!$F$2:$F$190,'متجهات المبيعات'!$C$2:$C$190)/'مواد المخزون'!$D$6</f>
        <v>162.9996</v>
      </c>
      <c r="I11" s="110" t="n">
        <f aca="false">SUMIFS('هالك وتحويلات'!$E$2:$E$3001,'هالك وتحويلات'!$B$2:$B$3001,$B$2,'هالك وتحويلات'!$C$2:$C$3001,$A11,'هالك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وتحويلات'!$C$2:$C$3001,$A11,'هالك وتحويلات'!$D$2:$D$3001,"ضيافة / أكل موظفين",'هالك وتحويلات'!$A$2:$A$3001,"&gt;="&amp;'إعدادات المخزون'!$B$5,'هالك وتحويلات'!$A$2:$A$3001,"&lt;="&amp;'إعدادات المخزون'!$B$4)</f>
        <v>0</v>
      </c>
      <c r="J11" s="110" t="n">
        <f aca="false">D11+E11+F11-G11-H11-I11</f>
        <v>43.0004</v>
      </c>
      <c r="K11" s="36" t="str">
        <f aca="false">IF(COUNTIFS('جرد فعلي'!$B$2:$B$12001,$B$2,'جرد فعلي'!$C$2:$C$12001,$A11,'جرد فعلي'!$A$2:$A$12001,'إعدادات المخزون'!$B$4)&gt;0,"نعم","لا")</f>
        <v>لا</v>
      </c>
      <c r="L11" s="111" t="str">
        <f aca="false">IF(K11="نعم",SUMIFS('جرد فعلي'!$D$2:$D$12001,'جرد فعلي'!$B$2:$B$12001,$B$2,'جرد فعلي'!$C$2:$C$12001,$A11,'جرد فعلي'!$A$2:$A$12001,'إعدادات المخزون'!$B$4),"")</f>
        <v/>
      </c>
      <c r="M11" s="110" t="str">
        <f aca="false">IF(K11="نعم",L11-J11,"")</f>
        <v/>
      </c>
      <c r="N11" s="112" t="str">
        <f aca="false">IF(K11="نعم",IF(J11=0,IF(M11=0,0,SIGN(M11)),M11/ABS(J11)),"")</f>
        <v/>
      </c>
      <c r="O11" s="109" t="str">
        <f aca="false">IF(K11="نعم",M11*C11,"")</f>
        <v/>
      </c>
      <c r="P11" s="36" t="str">
        <f aca="false">IF(K11&lt;&gt;"نعم","لم يُجرد",IF(ABS(N11)&lt;='إعدادات المخزون'!$B$7,"مطابق",IF(M11&lt;0,"عجز","زيادة")))</f>
        <v>لم يُجرد</v>
      </c>
      <c r="Q11" s="110" t="n">
        <f aca="false">J11-Z11</f>
        <v>56.5837</v>
      </c>
      <c r="R11" s="110" t="str">
        <f aca="false">IF(COUNTIFS('جرد فعلي'!$B$2:$B$12001,$B$2,'جرد فعلي'!$C$2:$C$12001,$A11,'جرد فعلي'!$A$2:$A$12001,'إعدادات المخزون'!$B$4-1)&gt;0,SUMIFS('جرد فعلي'!$D$2:$D$12001,'جرد فعلي'!$B$2:$B$12001,$B$2,'جرد فعلي'!$C$2:$C$12001,$A11,'جرد فعلي'!$A$2:$A$12001,'إعدادات المخزون'!$B$4-1),"")</f>
        <v/>
      </c>
      <c r="S11" s="110" t="str">
        <f aca="false">IF(AND(K11="نعم",R11&lt;&gt;""),(L11-J11)-(R11-Q11),"")</f>
        <v/>
      </c>
      <c r="T11" s="109" t="str">
        <f aca="false">IF(S11="","",S11*C11)</f>
        <v/>
      </c>
      <c r="U11" s="110" t="n">
        <f aca="false">IF(K11="نعم",L11,J11)</f>
        <v>43.0004</v>
      </c>
      <c r="V11" s="110" t="n">
        <f aca="false">SUMPRODUCT('مصفوفة الاستهلاك'!$F$2:$F$190,'متجهات المبيعات'!$D$2:$D$190)/'مواد المخزون'!$D$6/MAX(1,MIN('إعدادات المخزون'!$B$11,'إعدادات المخزون'!$B$4-'إعدادات المخزون'!$B$5+1))</f>
        <v>13.5833</v>
      </c>
      <c r="W11" s="110" t="n">
        <f aca="false">IF(V11&lt;=0,0,ROUNDUP(MAX(0,V11*('إعدادات المخزون'!$B$8+'إعدادات المخزون'!$B$9+'إعدادات المخزون'!$B$10)-MAX(U11,0))/'مواد المخزون'!$F6,0)*'مواد المخزون'!$F6)</f>
        <v>12</v>
      </c>
      <c r="X11" s="109" t="n">
        <f aca="false">IF(AND(K11="نعم",O11&lt;0),-O11+ROW()*0.000000001,0)</f>
        <v>0</v>
      </c>
      <c r="Y11" s="109" t="n">
        <f aca="false">IF(AND(K11="نعم",O11&gt;0),O11+ROW()*0.000000001,0)</f>
        <v>0</v>
      </c>
      <c r="Z11" s="110" t="n">
        <f aca="false">SUMIFS('مشتريات يومية'!$D$2:$D$4001,'مشتريات يومية'!$B$2:$B$4001,$B$2,'مشتريات يومية'!$C$2:$C$4001,$A11,'مشتريات يومية'!$A$2:$A$4001,'إعدادات المخزون'!$B$4)+SUMIFS('هالك وتحويلات'!$E$2:$E$3001,'هالك وتحويلات'!$B$2:$B$3001,$B$2,'هالك وتحويلات'!$C$2:$C$3001,$A11,'هالك وتحويلات'!$D$2:$D$3001,"تحويل وارد",'هالك وتحويلات'!$A$2:$A$3001,'إعدادات المخزون'!$B$4)-SUMIFS('هالك وتحويلات'!$E$2:$E$3001,'هالك وتحويلات'!$B$2:$B$3001,$B$2,'هالك وتحويلات'!$C$2:$C$3001,$A11,'هالك وتحويلات'!$D$2:$D$3001,"تحويل صادر",'هالك وتحويلات'!$A$2:$A$3001,'إعدادات المخزون'!$B$4)-SUMIFS('هالك وتحويلات'!$E$2:$E$3001,'هالك وتحويلات'!$B$2:$B$3001,$B$2,'هالك وتحويلات'!$C$2:$C$3001,$A11,'هالك وتحويلات'!$D$2:$D$3001,"هالك",'هالك وتحويلات'!$A$2:$A$3001,'إعدادات المخزون'!$B$4)-SUMIFS('هالك وتحويلات'!$E$2:$E$3001,'هالك وتحويلات'!$B$2:$B$3001,$B$2,'هالك وتحويلات'!$C$2:$C$3001,$A11,'هالك وتحويلات'!$D$2:$D$3001,"ضيافة / أكل موظفين",'هالك وتحويلات'!$A$2:$A$3001,'إعدادات المخزون'!$B$4)-SUMPRODUCT('مصفوفة الاستهلاك'!$F$2:$F$190,'متجهات المبيعات'!$B$2:$B$190)/'مواد المخزون'!$D$6</f>
        <v>-13.5833</v>
      </c>
      <c r="AA11" s="109" t="n">
        <f aca="false">IF(K11="نعم",O11,0)</f>
        <v>0</v>
      </c>
      <c r="AB11" s="109" t="n">
        <f aca="false">IF(K11="نعم",J11*C11,0)</f>
        <v>0</v>
      </c>
      <c r="AC11" s="109" t="n">
        <f aca="false">IF(T11="",0,T11)</f>
        <v>0</v>
      </c>
    </row>
    <row r="12" customFormat="false" ht="15" hidden="false" customHeight="false" outlineLevel="0" collapsed="false">
      <c r="A12" s="34" t="str">
        <f aca="false">'مواد المخزون'!A7</f>
        <v>برسيون بسطرمة صغير</v>
      </c>
      <c r="B12" s="36" t="str">
        <f aca="false">'مواد المخزون'!B7</f>
        <v>قطعة</v>
      </c>
      <c r="C12" s="109" t="n">
        <f aca="false">'مواد المخزون'!E7</f>
        <v>35</v>
      </c>
      <c r="D12" s="110" t="n">
        <f aca="false">'جرد أول المدة'!C10</f>
        <v>55</v>
      </c>
      <c r="E12" s="110" t="n">
        <f aca="false">SUMIFS('مشتريات يومية'!$D$2:$D$4001,'مشتريات يومية'!$B$2:$B$4001,$B$2,'مشتريات يومية'!$C$2:$C$4001,$A12,'مشتريات يومية'!$A$2:$A$4001,"&gt;="&amp;'إعدادات المخزون'!$B$5,'مشتريات يومية'!$A$2:$A$4001,"&lt;="&amp;'إعدادات المخزون'!$B$4)</f>
        <v>520</v>
      </c>
      <c r="F12" s="110" t="n">
        <f aca="false">SUMIFS('هالك وتحويلات'!$E$2:$E$3001,'هالك وتحويلات'!$B$2:$B$3001,$B$2,'هالك وتحويلات'!$C$2:$C$3001,$A12,'هالك وتحويلات'!$D$2:$D$3001,"تحويل وارد",'هالك وتحويلات'!$A$2:$A$3001,"&gt;="&amp;'إعدادات المخزون'!$B$5,'هالك وتحويلات'!$A$2:$A$3001,"&lt;="&amp;'إعدادات المخزون'!$B$4)</f>
        <v>0</v>
      </c>
      <c r="G12" s="110" t="n">
        <f aca="false">SUMIFS('هالك وتحويلات'!$E$2:$E$3001,'هالك وتحويلات'!$B$2:$B$3001,$B$2,'هالك وتحويلات'!$C$2:$C$3001,$A12,'هالك وتحويلات'!$D$2:$D$3001,"تحويل صادر",'هالك وتحويلات'!$A$2:$A$3001,"&gt;="&amp;'إعدادات المخزون'!$B$5,'هالك وتحويلات'!$A$2:$A$3001,"&lt;="&amp;'إعدادات المخزون'!$B$4)</f>
        <v>0</v>
      </c>
      <c r="H12" s="110" t="n">
        <f aca="false">SUMPRODUCT('مصفوفة الاستهلاك'!$G$2:$G$190,'متجهات المبيعات'!$C$2:$C$190)/'مواد المخزون'!$D$7</f>
        <v>504.9996</v>
      </c>
      <c r="I12" s="110" t="n">
        <f aca="false">SUMIFS('هالك وتحويلات'!$E$2:$E$3001,'هالك وتحويلات'!$B$2:$B$3001,$B$2,'هالك وتحويلات'!$C$2:$C$3001,$A12,'هالك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وتحويلات'!$C$2:$C$3001,$A12,'هالك وتحويلات'!$D$2:$D$3001,"ضيافة / أكل موظفين",'هالك وتحويلات'!$A$2:$A$3001,"&gt;="&amp;'إعدادات المخزون'!$B$5,'هالك وتحويلات'!$A$2:$A$3001,"&lt;="&amp;'إعدادات المخزون'!$B$4)</f>
        <v>0</v>
      </c>
      <c r="J12" s="110" t="n">
        <f aca="false">D12+E12+F12-G12-H12-I12</f>
        <v>70.0004</v>
      </c>
      <c r="K12" s="36" t="str">
        <f aca="false">IF(COUNTIFS('جرد فعلي'!$B$2:$B$12001,$B$2,'جرد فعلي'!$C$2:$C$12001,$A12,'جرد فعلي'!$A$2:$A$12001,'إعدادات المخزون'!$B$4)&gt;0,"نعم","لا")</f>
        <v>لا</v>
      </c>
      <c r="L12" s="111" t="str">
        <f aca="false">IF(K12="نعم",SUMIFS('جرد فعلي'!$D$2:$D$12001,'جرد فعلي'!$B$2:$B$12001,$B$2,'جرد فعلي'!$C$2:$C$12001,$A12,'جرد فعلي'!$A$2:$A$12001,'إعدادات المخزون'!$B$4),"")</f>
        <v/>
      </c>
      <c r="M12" s="110" t="str">
        <f aca="false">IF(K12="نعم",L12-J12,"")</f>
        <v/>
      </c>
      <c r="N12" s="112" t="str">
        <f aca="false">IF(K12="نعم",IF(J12=0,IF(M12=0,0,SIGN(M12)),M12/ABS(J12)),"")</f>
        <v/>
      </c>
      <c r="O12" s="109" t="str">
        <f aca="false">IF(K12="نعم",M12*C12,"")</f>
        <v/>
      </c>
      <c r="P12" s="36" t="str">
        <f aca="false">IF(K12&lt;&gt;"نعم","لم يُجرد",IF(ABS(N12)&lt;='إعدادات المخزون'!$B$7,"مطابق",IF(M12&lt;0,"عجز","زيادة")))</f>
        <v>لم يُجرد</v>
      </c>
      <c r="Q12" s="110" t="n">
        <f aca="false">J12-Z12</f>
        <v>112.0837</v>
      </c>
      <c r="R12" s="110" t="str">
        <f aca="false">IF(COUNTIFS('جرد فعلي'!$B$2:$B$12001,$B$2,'جرد فعلي'!$C$2:$C$12001,$A12,'جرد فعلي'!$A$2:$A$12001,'إعدادات المخزون'!$B$4-1)&gt;0,SUMIFS('جرد فعلي'!$D$2:$D$12001,'جرد فعلي'!$B$2:$B$12001,$B$2,'جرد فعلي'!$C$2:$C$12001,$A12,'جرد فعلي'!$A$2:$A$12001,'إعدادات المخزون'!$B$4-1),"")</f>
        <v/>
      </c>
      <c r="S12" s="110" t="str">
        <f aca="false">IF(AND(K12="نعم",R12&lt;&gt;""),(L12-J12)-(R12-Q12),"")</f>
        <v/>
      </c>
      <c r="T12" s="109" t="str">
        <f aca="false">IF(S12="","",S12*C12)</f>
        <v/>
      </c>
      <c r="U12" s="110" t="n">
        <f aca="false">IF(K12="نعم",L12,J12)</f>
        <v>70.0004</v>
      </c>
      <c r="V12" s="110" t="n">
        <f aca="false">SUMPRODUCT('مصفوفة الاستهلاك'!$G$2:$G$190,'متجهات المبيعات'!$D$2:$D$190)/'مواد المخزون'!$D$7/MAX(1,MIN('إعدادات المخزون'!$B$11,'إعدادات المخزون'!$B$4-'إعدادات المخزون'!$B$5+1))</f>
        <v>42.0833</v>
      </c>
      <c r="W12" s="110" t="n">
        <f aca="false">IF(V12&lt;=0,0,ROUNDUP(MAX(0,V12*('إعدادات المخزون'!$B$8+'إعدادات المخزون'!$B$9+'إعدادات المخزون'!$B$10)-MAX(U12,0))/'مواد المخزون'!$F7,0)*'مواد المخزون'!$F7)</f>
        <v>99</v>
      </c>
      <c r="X12" s="109" t="n">
        <f aca="false">IF(AND(K12="نعم",O12&lt;0),-O12+ROW()*0.000000001,0)</f>
        <v>0</v>
      </c>
      <c r="Y12" s="109" t="n">
        <f aca="false">IF(AND(K12="نعم",O12&gt;0),O12+ROW()*0.000000001,0)</f>
        <v>0</v>
      </c>
      <c r="Z12" s="110" t="n">
        <f aca="false">SUMIFS('مشتريات يومية'!$D$2:$D$4001,'مشتريات يومية'!$B$2:$B$4001,$B$2,'مشتريات يومية'!$C$2:$C$4001,$A12,'مشتريات يومية'!$A$2:$A$4001,'إعدادات المخزون'!$B$4)+SUMIFS('هالك وتحويلات'!$E$2:$E$3001,'هالك وتحويلات'!$B$2:$B$3001,$B$2,'هالك وتحويلات'!$C$2:$C$3001,$A12,'هالك وتحويلات'!$D$2:$D$3001,"تحويل وارد",'هالك وتحويلات'!$A$2:$A$3001,'إعدادات المخزون'!$B$4)-SUMIFS('هالك وتحويلات'!$E$2:$E$3001,'هالك وتحويلات'!$B$2:$B$3001,$B$2,'هالك وتحويلات'!$C$2:$C$3001,$A12,'هالك وتحويلات'!$D$2:$D$3001,"تحويل صادر",'هالك وتحويلات'!$A$2:$A$3001,'إعدادات المخزون'!$B$4)-SUMIFS('هالك وتحويلات'!$E$2:$E$3001,'هالك وتحويلات'!$B$2:$B$3001,$B$2,'هالك وتحويلات'!$C$2:$C$3001,$A12,'هالك وتحويلات'!$D$2:$D$3001,"هالك",'هالك وتحويلات'!$A$2:$A$3001,'إعدادات المخزون'!$B$4)-SUMIFS('هالك وتحويلات'!$E$2:$E$3001,'هالك وتحويلات'!$B$2:$B$3001,$B$2,'هالك وتحويلات'!$C$2:$C$3001,$A12,'هالك وتحويلات'!$D$2:$D$3001,"ضيافة / أكل موظفين",'هالك وتحويلات'!$A$2:$A$3001,'إعدادات المخزون'!$B$4)-SUMPRODUCT('مصفوفة الاستهلاك'!$G$2:$G$190,'متجهات المبيعات'!$B$2:$B$190)/'مواد المخزون'!$D$7</f>
        <v>-42.0833</v>
      </c>
      <c r="AA12" s="109" t="n">
        <f aca="false">IF(K12="نعم",O12,0)</f>
        <v>0</v>
      </c>
      <c r="AB12" s="109" t="n">
        <f aca="false">IF(K12="نعم",J12*C12,0)</f>
        <v>0</v>
      </c>
      <c r="AC12" s="109" t="n">
        <f aca="false">IF(T12="",0,T12)</f>
        <v>0</v>
      </c>
    </row>
    <row r="13" customFormat="false" ht="15" hidden="false" customHeight="false" outlineLevel="0" collapsed="false">
      <c r="A13" s="34" t="str">
        <f aca="false">'مواد المخزون'!A8</f>
        <v>برسيون بسطرمة كبير</v>
      </c>
      <c r="B13" s="36" t="str">
        <f aca="false">'مواد المخزون'!B8</f>
        <v>قطعة</v>
      </c>
      <c r="C13" s="109" t="n">
        <f aca="false">'مواد المخزون'!E8</f>
        <v>46.6667</v>
      </c>
      <c r="D13" s="110" t="n">
        <f aca="false">'جرد أول المدة'!C11</f>
        <v>49</v>
      </c>
      <c r="E13" s="110" t="n">
        <f aca="false">SUMIFS('مشتريات يومية'!$D$2:$D$4001,'مشتريات يومية'!$B$2:$B$4001,$B$2,'مشتريات يومية'!$C$2:$C$4001,$A13,'مشتريات يومية'!$A$2:$A$4001,"&gt;="&amp;'إعدادات المخزون'!$B$5,'مشتريات يومية'!$A$2:$A$4001,"&lt;="&amp;'إعدادات المخزون'!$B$4)</f>
        <v>60</v>
      </c>
      <c r="F13" s="110" t="n">
        <f aca="false">SUMIFS('هالك وتحويلات'!$E$2:$E$3001,'هالك وتحويلات'!$B$2:$B$3001,$B$2,'هالك وتحويلات'!$C$2:$C$3001,$A13,'هالك وتحويلات'!$D$2:$D$3001,"تحويل وارد",'هالك وتحويلات'!$A$2:$A$3001,"&gt;="&amp;'إعدادات المخزون'!$B$5,'هالك وتحويلات'!$A$2:$A$3001,"&lt;="&amp;'إعدادات المخزون'!$B$4)</f>
        <v>0</v>
      </c>
      <c r="G13" s="110" t="n">
        <f aca="false">SUMIFS('هالك وتحويلات'!$E$2:$E$3001,'هالك وتحويلات'!$B$2:$B$3001,$B$2,'هالك وتحويلات'!$C$2:$C$3001,$A13,'هالك وتحويلات'!$D$2:$D$3001,"تحويل صادر",'هالك وتحويلات'!$A$2:$A$3001,"&gt;="&amp;'إعدادات المخزون'!$B$5,'هالك وتحويلات'!$A$2:$A$3001,"&lt;="&amp;'إعدادات المخزون'!$B$4)</f>
        <v>0</v>
      </c>
      <c r="H13" s="110" t="n">
        <f aca="false">SUMPRODUCT('مصفوفة الاستهلاك'!$H$2:$H$190,'متجهات المبيعات'!$C$2:$C$190)/'مواد المخزون'!$D$8</f>
        <v>53.4996</v>
      </c>
      <c r="I13" s="110" t="n">
        <f aca="false">SUMIFS('هالك وتحويلات'!$E$2:$E$3001,'هالك وتحويلات'!$B$2:$B$3001,$B$2,'هالك وتحويلات'!$C$2:$C$3001,$A13,'هالك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وتحويلات'!$C$2:$C$3001,$A13,'هالك وتحويلات'!$D$2:$D$3001,"ضيافة / أكل موظفين",'هالك وتحويلات'!$A$2:$A$3001,"&gt;="&amp;'إعدادات المخزون'!$B$5,'هالك وتحويلات'!$A$2:$A$3001,"&lt;="&amp;'إعدادات المخزون'!$B$4)</f>
        <v>0</v>
      </c>
      <c r="J13" s="110" t="n">
        <f aca="false">D13+E13+F13-G13-H13-I13</f>
        <v>55.5004</v>
      </c>
      <c r="K13" s="36" t="str">
        <f aca="false">IF(COUNTIFS('جرد فعلي'!$B$2:$B$12001,$B$2,'جرد فعلي'!$C$2:$C$12001,$A13,'جرد فعلي'!$A$2:$A$12001,'إعدادات المخزون'!$B$4)&gt;0,"نعم","لا")</f>
        <v>لا</v>
      </c>
      <c r="L13" s="111" t="str">
        <f aca="false">IF(K13="نعم",SUMIFS('جرد فعلي'!$D$2:$D$12001,'جرد فعلي'!$B$2:$B$12001,$B$2,'جرد فعلي'!$C$2:$C$12001,$A13,'جرد فعلي'!$A$2:$A$12001,'إعدادات المخزون'!$B$4),"")</f>
        <v/>
      </c>
      <c r="M13" s="110" t="str">
        <f aca="false">IF(K13="نعم",L13-J13,"")</f>
        <v/>
      </c>
      <c r="N13" s="112" t="str">
        <f aca="false">IF(K13="نعم",IF(J13=0,IF(M13=0,0,SIGN(M13)),M13/ABS(J13)),"")</f>
        <v/>
      </c>
      <c r="O13" s="109" t="str">
        <f aca="false">IF(K13="نعم",M13*C13,"")</f>
        <v/>
      </c>
      <c r="P13" s="36" t="str">
        <f aca="false">IF(K13&lt;&gt;"نعم","لم يُجرد",IF(ABS(N13)&lt;='إعدادات المخزون'!$B$7,"مطابق",IF(M13&lt;0,"عجز","زيادة")))</f>
        <v>لم يُجرد</v>
      </c>
      <c r="Q13" s="110" t="n">
        <f aca="false">J13-Z13</f>
        <v>59.9587</v>
      </c>
      <c r="R13" s="110" t="str">
        <f aca="false">IF(COUNTIFS('جرد فعلي'!$B$2:$B$12001,$B$2,'جرد فعلي'!$C$2:$C$12001,$A13,'جرد فعلي'!$A$2:$A$12001,'إعدادات المخزون'!$B$4-1)&gt;0,SUMIFS('جرد فعلي'!$D$2:$D$12001,'جرد فعلي'!$B$2:$B$12001,$B$2,'جرد فعلي'!$C$2:$C$12001,$A13,'جرد فعلي'!$A$2:$A$12001,'إعدادات المخزون'!$B$4-1),"")</f>
        <v/>
      </c>
      <c r="S13" s="110" t="str">
        <f aca="false">IF(AND(K13="نعم",R13&lt;&gt;""),(L13-J13)-(R13-Q13),"")</f>
        <v/>
      </c>
      <c r="T13" s="109" t="str">
        <f aca="false">IF(S13="","",S13*C13)</f>
        <v/>
      </c>
      <c r="U13" s="110" t="n">
        <f aca="false">IF(K13="نعم",L13,J13)</f>
        <v>55.5004</v>
      </c>
      <c r="V13" s="110" t="n">
        <f aca="false">SUMPRODUCT('مصفوفة الاستهلاك'!$H$2:$H$190,'متجهات المبيعات'!$D$2:$D$190)/'مواد المخزون'!$D$8/MAX(1,MIN('إعدادات المخزون'!$B$11,'إعدادات المخزون'!$B$4-'إعدادات المخزون'!$B$5+1))</f>
        <v>4.4583</v>
      </c>
      <c r="W13" s="110" t="n">
        <f aca="false">IF(V13&lt;=0,0,ROUNDUP(MAX(0,V13*('إعدادات المخزون'!$B$8+'إعدادات المخزون'!$B$9+'إعدادات المخزون'!$B$10)-MAX(U13,0))/'مواد المخزون'!$F8,0)*'مواد المخزون'!$F8)</f>
        <v>0</v>
      </c>
      <c r="X13" s="109" t="n">
        <f aca="false">IF(AND(K13="نعم",O13&lt;0),-O13+ROW()*0.000000001,0)</f>
        <v>0</v>
      </c>
      <c r="Y13" s="109" t="n">
        <f aca="false">IF(AND(K13="نعم",O13&gt;0),O13+ROW()*0.000000001,0)</f>
        <v>0</v>
      </c>
      <c r="Z13" s="110" t="n">
        <f aca="false">SUMIFS('مشتريات يومية'!$D$2:$D$4001,'مشتريات يومية'!$B$2:$B$4001,$B$2,'مشتريات يومية'!$C$2:$C$4001,$A13,'مشتريات يومية'!$A$2:$A$4001,'إعدادات المخزون'!$B$4)+SUMIFS('هالك وتحويلات'!$E$2:$E$3001,'هالك وتحويلات'!$B$2:$B$3001,$B$2,'هالك وتحويلات'!$C$2:$C$3001,$A13,'هالك وتحويلات'!$D$2:$D$3001,"تحويل وارد",'هالك وتحويلات'!$A$2:$A$3001,'إعدادات المخزون'!$B$4)-SUMIFS('هالك وتحويلات'!$E$2:$E$3001,'هالك وتحويلات'!$B$2:$B$3001,$B$2,'هالك وتحويلات'!$C$2:$C$3001,$A13,'هالك وتحويلات'!$D$2:$D$3001,"تحويل صادر",'هالك وتحويلات'!$A$2:$A$3001,'إعدادات المخزون'!$B$4)-SUMIFS('هالك وتحويلات'!$E$2:$E$3001,'هالك وتحويلات'!$B$2:$B$3001,$B$2,'هالك وتحويلات'!$C$2:$C$3001,$A13,'هالك وتحويلات'!$D$2:$D$3001,"هالك",'هالك وتحويلات'!$A$2:$A$3001,'إعدادات المخزون'!$B$4)-SUMIFS('هالك وتحويلات'!$E$2:$E$3001,'هالك وتحويلات'!$B$2:$B$3001,$B$2,'هالك وتحويلات'!$C$2:$C$3001,$A13,'هالك وتحويلات'!$D$2:$D$3001,"ضيافة / أكل موظفين",'هالك وتحويلات'!$A$2:$A$3001,'إعدادات المخزون'!$B$4)-SUMPRODUCT('مصفوفة الاستهلاك'!$H$2:$H$190,'متجهات المبيعات'!$B$2:$B$190)/'مواد المخزون'!$D$8</f>
        <v>-4.4583</v>
      </c>
      <c r="AA13" s="109" t="n">
        <f aca="false">IF(K13="نعم",O13,0)</f>
        <v>0</v>
      </c>
      <c r="AB13" s="109" t="n">
        <f aca="false">IF(K13="نعم",J13*C13,0)</f>
        <v>0</v>
      </c>
      <c r="AC13" s="109" t="n">
        <f aca="false">IF(T13="",0,T13)</f>
        <v>0</v>
      </c>
    </row>
    <row r="14" customFormat="false" ht="15" hidden="false" customHeight="false" outlineLevel="0" collapsed="false">
      <c r="A14" s="34" t="str">
        <f aca="false">'مواد المخزون'!A9</f>
        <v>برسيون بطاطس</v>
      </c>
      <c r="B14" s="36" t="str">
        <f aca="false">'مواد المخزون'!B9</f>
        <v>قطعة</v>
      </c>
      <c r="C14" s="109" t="n">
        <f aca="false">'مواد المخزون'!E9</f>
        <v>5.65</v>
      </c>
      <c r="D14" s="110" t="n">
        <f aca="false">'جرد أول المدة'!C12</f>
        <v>53</v>
      </c>
      <c r="E14" s="110" t="n">
        <f aca="false">SUMIFS('مشتريات يومية'!$D$2:$D$4001,'مشتريات يومية'!$B$2:$B$4001,$B$2,'مشتريات يومية'!$C$2:$C$4001,$A14,'مشتريات يومية'!$A$2:$A$4001,"&gt;="&amp;'إعدادات المخزون'!$B$5,'مشتريات يومية'!$A$2:$A$4001,"&lt;="&amp;'إعدادات المخزون'!$B$4)</f>
        <v>100</v>
      </c>
      <c r="F14" s="110" t="n">
        <f aca="false">SUMIFS('هالك وتحويلات'!$E$2:$E$3001,'هالك وتحويلات'!$B$2:$B$3001,$B$2,'هالك وتحويلات'!$C$2:$C$3001,$A14,'هالك وتحويلات'!$D$2:$D$3001,"تحويل وارد",'هالك وتحويلات'!$A$2:$A$3001,"&gt;="&amp;'إعدادات المخزون'!$B$5,'هالك وتحويلات'!$A$2:$A$3001,"&lt;="&amp;'إعدادات المخزون'!$B$4)</f>
        <v>0</v>
      </c>
      <c r="G14" s="110" t="n">
        <f aca="false">SUMIFS('هالك وتحويلات'!$E$2:$E$3001,'هالك وتحويلات'!$B$2:$B$3001,$B$2,'هالك وتحويلات'!$C$2:$C$3001,$A14,'هالك وتحويلات'!$D$2:$D$3001,"تحويل صادر",'هالك وتحويلات'!$A$2:$A$3001,"&gt;="&amp;'إعدادات المخزون'!$B$5,'هالك وتحويلات'!$A$2:$A$3001,"&lt;="&amp;'إعدادات المخزون'!$B$4)</f>
        <v>0</v>
      </c>
      <c r="H14" s="110" t="n">
        <f aca="false">SUMPRODUCT('مصفوفة الاستهلاك'!$I$2:$I$190,'متجهات المبيعات'!$C$2:$C$190)/'مواد المخزون'!$D$9</f>
        <v>41.0016</v>
      </c>
      <c r="I14" s="110" t="n">
        <f aca="false">SUMIFS('هالك وتحويلات'!$E$2:$E$3001,'هالك وتحويلات'!$B$2:$B$3001,$B$2,'هالك وتحويلات'!$C$2:$C$3001,$A14,'هالك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وتحويلات'!$C$2:$C$3001,$A14,'هالك وتحويلات'!$D$2:$D$3001,"ضيافة / أكل موظفين",'هالك وتحويلات'!$A$2:$A$3001,"&gt;="&amp;'إعدادات المخزون'!$B$5,'هالك وتحويلات'!$A$2:$A$3001,"&lt;="&amp;'إعدادات المخزون'!$B$4)</f>
        <v>0</v>
      </c>
      <c r="J14" s="110" t="n">
        <f aca="false">D14+E14+F14-G14-H14-I14</f>
        <v>111.9984</v>
      </c>
      <c r="K14" s="36" t="str">
        <f aca="false">IF(COUNTIFS('جرد فعلي'!$B$2:$B$12001,$B$2,'جرد فعلي'!$C$2:$C$12001,$A14,'جرد فعلي'!$A$2:$A$12001,'إعدادات المخزون'!$B$4)&gt;0,"نعم","لا")</f>
        <v>لا</v>
      </c>
      <c r="L14" s="111" t="str">
        <f aca="false">IF(K14="نعم",SUMIFS('جرد فعلي'!$D$2:$D$12001,'جرد فعلي'!$B$2:$B$12001,$B$2,'جرد فعلي'!$C$2:$C$12001,$A14,'جرد فعلي'!$A$2:$A$12001,'إعدادات المخزون'!$B$4),"")</f>
        <v/>
      </c>
      <c r="M14" s="110" t="str">
        <f aca="false">IF(K14="نعم",L14-J14,"")</f>
        <v/>
      </c>
      <c r="N14" s="112" t="str">
        <f aca="false">IF(K14="نعم",IF(J14=0,IF(M14=0,0,SIGN(M14)),M14/ABS(J14)),"")</f>
        <v/>
      </c>
      <c r="O14" s="109" t="str">
        <f aca="false">IF(K14="نعم",M14*C14,"")</f>
        <v/>
      </c>
      <c r="P14" s="36" t="str">
        <f aca="false">IF(K14&lt;&gt;"نعم","لم يُجرد",IF(ABS(N14)&lt;='إعدادات المخزون'!$B$7,"مطابق",IF(M14&lt;0,"عجز","زيادة")))</f>
        <v>لم يُجرد</v>
      </c>
      <c r="Q14" s="110" t="n">
        <f aca="false">J14-Z14</f>
        <v>115.4152</v>
      </c>
      <c r="R14" s="110" t="str">
        <f aca="false">IF(COUNTIFS('جرد فعلي'!$B$2:$B$12001,$B$2,'جرد فعلي'!$C$2:$C$12001,$A14,'جرد فعلي'!$A$2:$A$12001,'إعدادات المخزون'!$B$4-1)&gt;0,SUMIFS('جرد فعلي'!$D$2:$D$12001,'جرد فعلي'!$B$2:$B$12001,$B$2,'جرد فعلي'!$C$2:$C$12001,$A14,'جرد فعلي'!$A$2:$A$12001,'إعدادات المخزون'!$B$4-1),"")</f>
        <v/>
      </c>
      <c r="S14" s="110" t="str">
        <f aca="false">IF(AND(K14="نعم",R14&lt;&gt;""),(L14-J14)-(R14-Q14),"")</f>
        <v/>
      </c>
      <c r="T14" s="109" t="str">
        <f aca="false">IF(S14="","",S14*C14)</f>
        <v/>
      </c>
      <c r="U14" s="110" t="n">
        <f aca="false">IF(K14="نعم",L14,J14)</f>
        <v>111.9984</v>
      </c>
      <c r="V14" s="110" t="n">
        <f aca="false">SUMPRODUCT('مصفوفة الاستهلاك'!$I$2:$I$190,'متجهات المبيعات'!$D$2:$D$190)/'مواد المخزون'!$D$9/MAX(1,MIN('إعدادات المخزون'!$B$11,'إعدادات المخزون'!$B$4-'إعدادات المخزون'!$B$5+1))</f>
        <v>3.4168</v>
      </c>
      <c r="W14" s="110" t="n">
        <f aca="false">IF(V14&lt;=0,0,ROUNDUP(MAX(0,V14*('إعدادات المخزون'!$B$8+'إعدادات المخزون'!$B$9+'إعدادات المخزون'!$B$10)-MAX(U14,0))/'مواد المخزون'!$F9,0)*'مواد المخزون'!$F9)</f>
        <v>0</v>
      </c>
      <c r="X14" s="109" t="n">
        <f aca="false">IF(AND(K14="نعم",O14&lt;0),-O14+ROW()*0.000000001,0)</f>
        <v>0</v>
      </c>
      <c r="Y14" s="109" t="n">
        <f aca="false">IF(AND(K14="نعم",O14&gt;0),O14+ROW()*0.000000001,0)</f>
        <v>0</v>
      </c>
      <c r="Z14" s="110" t="n">
        <f aca="false">SUMIFS('مشتريات يومية'!$D$2:$D$4001,'مشتريات يومية'!$B$2:$B$4001,$B$2,'مشتريات يومية'!$C$2:$C$4001,$A14,'مشتريات يومية'!$A$2:$A$4001,'إعدادات المخزون'!$B$4)+SUMIFS('هالك وتحويلات'!$E$2:$E$3001,'هالك وتحويلات'!$B$2:$B$3001,$B$2,'هالك وتحويلات'!$C$2:$C$3001,$A14,'هالك وتحويلات'!$D$2:$D$3001,"تحويل وارد",'هالك وتحويلات'!$A$2:$A$3001,'إعدادات المخزون'!$B$4)-SUMIFS('هالك وتحويلات'!$E$2:$E$3001,'هالك وتحويلات'!$B$2:$B$3001,$B$2,'هالك وتحويلات'!$C$2:$C$3001,$A14,'هالك وتحويلات'!$D$2:$D$3001,"تحويل صادر",'هالك وتحويلات'!$A$2:$A$3001,'إعدادات المخزون'!$B$4)-SUMIFS('هالك وتحويلات'!$E$2:$E$3001,'هالك وتحويلات'!$B$2:$B$3001,$B$2,'هالك وتحويلات'!$C$2:$C$3001,$A14,'هالك وتحويلات'!$D$2:$D$3001,"هالك",'هالك وتحويلات'!$A$2:$A$3001,'إعدادات المخزون'!$B$4)-SUMIFS('هالك وتحويلات'!$E$2:$E$3001,'هالك وتحويلات'!$B$2:$B$3001,$B$2,'هالك وتحويلات'!$C$2:$C$3001,$A14,'هالك وتحويلات'!$D$2:$D$3001,"ضيافة / أكل موظفين",'هالك وتحويلات'!$A$2:$A$3001,'إعدادات المخزون'!$B$4)-SUMPRODUCT('مصفوفة الاستهلاك'!$I$2:$I$190,'متجهات المبيعات'!$B$2:$B$190)/'مواد المخزون'!$D$9</f>
        <v>-3.4168</v>
      </c>
      <c r="AA14" s="109" t="n">
        <f aca="false">IF(K14="نعم",O14,0)</f>
        <v>0</v>
      </c>
      <c r="AB14" s="109" t="n">
        <f aca="false">IF(K14="نعم",J14*C14,0)</f>
        <v>0</v>
      </c>
      <c r="AC14" s="109" t="n">
        <f aca="false">IF(T14="",0,T14)</f>
        <v>0</v>
      </c>
    </row>
    <row r="15" customFormat="false" ht="15" hidden="false" customHeight="false" outlineLevel="0" collapsed="false">
      <c r="A15" s="34" t="str">
        <f aca="false">'مواد المخزون'!A10</f>
        <v>برسيون جبنة رومي صغير</v>
      </c>
      <c r="B15" s="36" t="str">
        <f aca="false">'مواد المخزون'!B10</f>
        <v>قطعة</v>
      </c>
      <c r="C15" s="109" t="n">
        <f aca="false">'مواد المخزون'!E10</f>
        <v>9</v>
      </c>
      <c r="D15" s="110" t="n">
        <f aca="false">'جرد أول المدة'!C13</f>
        <v>12</v>
      </c>
      <c r="E15" s="110" t="n">
        <f aca="false">SUMIFS('مشتريات يومية'!$D$2:$D$4001,'مشتريات يومية'!$B$2:$B$4001,$B$2,'مشتريات يومية'!$C$2:$C$4001,$A15,'مشتريات يومية'!$A$2:$A$4001,"&gt;="&amp;'إعدادات المخزون'!$B$5,'مشتريات يومية'!$A$2:$A$4001,"&lt;="&amp;'إعدادات المخزون'!$B$4)</f>
        <v>570</v>
      </c>
      <c r="F15" s="110" t="n">
        <f aca="false">SUMIFS('هالك وتحويلات'!$E$2:$E$3001,'هالك وتحويلات'!$B$2:$B$3001,$B$2,'هالك وتحويلات'!$C$2:$C$3001,$A15,'هالك وتحويلات'!$D$2:$D$3001,"تحويل وارد",'هالك وتحويلات'!$A$2:$A$3001,"&gt;="&amp;'إعدادات المخزون'!$B$5,'هالك وتحويلات'!$A$2:$A$3001,"&lt;="&amp;'إعدادات المخزون'!$B$4)</f>
        <v>0</v>
      </c>
      <c r="G15" s="110" t="n">
        <f aca="false">SUMIFS('هالك وتحويلات'!$E$2:$E$3001,'هالك وتحويلات'!$B$2:$B$3001,$B$2,'هالك وتحويلات'!$C$2:$C$3001,$A15,'هالك وتحويلات'!$D$2:$D$3001,"تحويل صادر",'هالك وتحويلات'!$A$2:$A$3001,"&gt;="&amp;'إعدادات المخزون'!$B$5,'هالك وتحويلات'!$A$2:$A$3001,"&lt;="&amp;'إعدادات المخزون'!$B$4)</f>
        <v>0</v>
      </c>
      <c r="H15" s="110" t="n">
        <f aca="false">SUMPRODUCT('مصفوفة الاستهلاك'!$J$2:$J$190,'متجهات المبيعات'!$C$2:$C$190)/'مواد المخزون'!$D$10</f>
        <v>581.502</v>
      </c>
      <c r="I15" s="110" t="n">
        <f aca="false">SUMIFS('هالك وتحويلات'!$E$2:$E$3001,'هالك وتحويلات'!$B$2:$B$3001,$B$2,'هالك وتحويلات'!$C$2:$C$3001,$A15,'هالك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وتحويلات'!$C$2:$C$3001,$A15,'هالك وتحويلات'!$D$2:$D$3001,"ضيافة / أكل موظفين",'هالك وتحويلات'!$A$2:$A$3001,"&gt;="&amp;'إعدادات المخزون'!$B$5,'هالك وتحويلات'!$A$2:$A$3001,"&lt;="&amp;'إعدادات المخزون'!$B$4)</f>
        <v>0</v>
      </c>
      <c r="J15" s="110" t="n">
        <f aca="false">D15+E15+F15-G15-H15-I15</f>
        <v>0.497999999999934</v>
      </c>
      <c r="K15" s="36" t="str">
        <f aca="false">IF(COUNTIFS('جرد فعلي'!$B$2:$B$12001,$B$2,'جرد فعلي'!$C$2:$C$12001,$A15,'جرد فعلي'!$A$2:$A$12001,'إعدادات المخزون'!$B$4)&gt;0,"نعم","لا")</f>
        <v>لا</v>
      </c>
      <c r="L15" s="111" t="str">
        <f aca="false">IF(K15="نعم",SUMIFS('جرد فعلي'!$D$2:$D$12001,'جرد فعلي'!$B$2:$B$12001,$B$2,'جرد فعلي'!$C$2:$C$12001,$A15,'جرد فعلي'!$A$2:$A$12001,'إعدادات المخزون'!$B$4),"")</f>
        <v/>
      </c>
      <c r="M15" s="110" t="str">
        <f aca="false">IF(K15="نعم",L15-J15,"")</f>
        <v/>
      </c>
      <c r="N15" s="112" t="str">
        <f aca="false">IF(K15="نعم",IF(J15=0,IF(M15=0,0,SIGN(M15)),M15/ABS(J15)),"")</f>
        <v/>
      </c>
      <c r="O15" s="109" t="str">
        <f aca="false">IF(K15="نعم",M15*C15,"")</f>
        <v/>
      </c>
      <c r="P15" s="36" t="str">
        <f aca="false">IF(K15&lt;&gt;"نعم","لم يُجرد",IF(ABS(N15)&lt;='إعدادات المخزون'!$B$7,"مطابق",IF(M15&lt;0,"عجز","زيادة")))</f>
        <v>لم يُجرد</v>
      </c>
      <c r="Q15" s="110" t="n">
        <f aca="false">J15-Z15</f>
        <v>48.9564999999999</v>
      </c>
      <c r="R15" s="110" t="str">
        <f aca="false">IF(COUNTIFS('جرد فعلي'!$B$2:$B$12001,$B$2,'جرد فعلي'!$C$2:$C$12001,$A15,'جرد فعلي'!$A$2:$A$12001,'إعدادات المخزون'!$B$4-1)&gt;0,SUMIFS('جرد فعلي'!$D$2:$D$12001,'جرد فعلي'!$B$2:$B$12001,$B$2,'جرد فعلي'!$C$2:$C$12001,$A15,'جرد فعلي'!$A$2:$A$12001,'إعدادات المخزون'!$B$4-1),"")</f>
        <v/>
      </c>
      <c r="S15" s="110" t="str">
        <f aca="false">IF(AND(K15="نعم",R15&lt;&gt;""),(L15-J15)-(R15-Q15),"")</f>
        <v/>
      </c>
      <c r="T15" s="109" t="str">
        <f aca="false">IF(S15="","",S15*C15)</f>
        <v/>
      </c>
      <c r="U15" s="110" t="n">
        <f aca="false">IF(K15="نعم",L15,J15)</f>
        <v>0.497999999999934</v>
      </c>
      <c r="V15" s="110" t="n">
        <f aca="false">SUMPRODUCT('مصفوفة الاستهلاك'!$J$2:$J$190,'متجهات المبيعات'!$D$2:$D$190)/'مواد المخزون'!$D$10/MAX(1,MIN('إعدادات المخزون'!$B$11,'إعدادات المخزون'!$B$4-'إعدادات المخزون'!$B$5+1))</f>
        <v>48.4585</v>
      </c>
      <c r="W15" s="110" t="n">
        <f aca="false">IF(V15&lt;=0,0,ROUNDUP(MAX(0,V15*('إعدادات المخزون'!$B$8+'إعدادات المخزون'!$B$9+'إعدادات المخزون'!$B$10)-MAX(U15,0))/'مواد المخزون'!$F10,0)*'مواد المخزون'!$F10)</f>
        <v>194</v>
      </c>
      <c r="X15" s="109" t="n">
        <f aca="false">IF(AND(K15="نعم",O15&lt;0),-O15+ROW()*0.000000001,0)</f>
        <v>0</v>
      </c>
      <c r="Y15" s="109" t="n">
        <f aca="false">IF(AND(K15="نعم",O15&gt;0),O15+ROW()*0.000000001,0)</f>
        <v>0</v>
      </c>
      <c r="Z15" s="110" t="n">
        <f aca="false">SUMIFS('مشتريات يومية'!$D$2:$D$4001,'مشتريات يومية'!$B$2:$B$4001,$B$2,'مشتريات يومية'!$C$2:$C$4001,$A15,'مشتريات يومية'!$A$2:$A$4001,'إعدادات المخزون'!$B$4)+SUMIFS('هالك وتحويلات'!$E$2:$E$3001,'هالك وتحويلات'!$B$2:$B$3001,$B$2,'هالك وتحويلات'!$C$2:$C$3001,$A15,'هالك وتحويلات'!$D$2:$D$3001,"تحويل وارد",'هالك وتحويلات'!$A$2:$A$3001,'إعدادات المخزون'!$B$4)-SUMIFS('هالك وتحويلات'!$E$2:$E$3001,'هالك وتحويلات'!$B$2:$B$3001,$B$2,'هالك وتحويلات'!$C$2:$C$3001,$A15,'هالك وتحويلات'!$D$2:$D$3001,"تحويل صادر",'هالك وتحويلات'!$A$2:$A$3001,'إعدادات المخزون'!$B$4)-SUMIFS('هالك وتحويلات'!$E$2:$E$3001,'هالك وتحويلات'!$B$2:$B$3001,$B$2,'هالك وتحويلات'!$C$2:$C$3001,$A15,'هالك وتحويلات'!$D$2:$D$3001,"هالك",'هالك وتحويلات'!$A$2:$A$3001,'إعدادات المخزون'!$B$4)-SUMIFS('هالك وتحويلات'!$E$2:$E$3001,'هالك وتحويلات'!$B$2:$B$3001,$B$2,'هالك وتحويلات'!$C$2:$C$3001,$A15,'هالك وتحويلات'!$D$2:$D$3001,"ضيافة / أكل موظفين",'هالك وتحويلات'!$A$2:$A$3001,'إعدادات المخزون'!$B$4)-SUMPRODUCT('مصفوفة الاستهلاك'!$J$2:$J$190,'متجهات المبيعات'!$B$2:$B$190)/'مواد المخزون'!$D$10</f>
        <v>-48.4585</v>
      </c>
      <c r="AA15" s="109" t="n">
        <f aca="false">IF(K15="نعم",O15,0)</f>
        <v>0</v>
      </c>
      <c r="AB15" s="109" t="n">
        <f aca="false">IF(K15="نعم",J15*C15,0)</f>
        <v>0</v>
      </c>
      <c r="AC15" s="109" t="n">
        <f aca="false">IF(T15="",0,T15)</f>
        <v>0</v>
      </c>
    </row>
    <row r="16" customFormat="false" ht="15" hidden="false" customHeight="false" outlineLevel="0" collapsed="false">
      <c r="A16" s="34" t="str">
        <f aca="false">'مواد المخزون'!A11</f>
        <v>برسيون جمبري صغير</v>
      </c>
      <c r="B16" s="36" t="str">
        <f aca="false">'مواد المخزون'!B11</f>
        <v>قطعة</v>
      </c>
      <c r="C16" s="109" t="n">
        <f aca="false">'مواد المخزون'!E11</f>
        <v>95</v>
      </c>
      <c r="D16" s="110" t="n">
        <f aca="false">'جرد أول المدة'!C14</f>
        <v>10</v>
      </c>
      <c r="E16" s="110" t="n">
        <f aca="false">SUMIFS('مشتريات يومية'!$D$2:$D$4001,'مشتريات يومية'!$B$2:$B$4001,$B$2,'مشتريات يومية'!$C$2:$C$4001,$A16,'مشتريات يومية'!$A$2:$A$4001,"&gt;="&amp;'إعدادات المخزون'!$B$5,'مشتريات يومية'!$A$2:$A$4001,"&lt;="&amp;'إعدادات المخزون'!$B$4)</f>
        <v>30</v>
      </c>
      <c r="F16" s="110" t="n">
        <f aca="false">SUMIFS('هالك وتحويلات'!$E$2:$E$3001,'هالك وتحويلات'!$B$2:$B$3001,$B$2,'هالك وتحويلات'!$C$2:$C$3001,$A16,'هالك وتحويلات'!$D$2:$D$3001,"تحويل وارد",'هالك وتحويلات'!$A$2:$A$3001,"&gt;="&amp;'إعدادات المخزون'!$B$5,'هالك وتحويلات'!$A$2:$A$3001,"&lt;="&amp;'إعدادات المخزون'!$B$4)</f>
        <v>0</v>
      </c>
      <c r="G16" s="110" t="n">
        <f aca="false">SUMIFS('هالك وتحويلات'!$E$2:$E$3001,'هالك وتحويلات'!$B$2:$B$3001,$B$2,'هالك وتحويلات'!$C$2:$C$3001,$A16,'هالك وتحويلات'!$D$2:$D$3001,"تحويل صادر",'هالك وتحويلات'!$A$2:$A$3001,"&gt;="&amp;'إعدادات المخزون'!$B$5,'هالك وتحويلات'!$A$2:$A$3001,"&lt;="&amp;'إعدادات المخزون'!$B$4)</f>
        <v>0</v>
      </c>
      <c r="H16" s="110" t="n">
        <f aca="false">SUMPRODUCT('مصفوفة الاستهلاك'!$K$2:$K$190,'متجهات المبيعات'!$C$2:$C$190)/'مواد المخزون'!$D$11</f>
        <v>22.5006</v>
      </c>
      <c r="I16" s="110" t="n">
        <f aca="false">SUMIFS('هالك وتحويلات'!$E$2:$E$3001,'هالك وتحويلات'!$B$2:$B$3001,$B$2,'هالك وتحويلات'!$C$2:$C$3001,$A16,'هالك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وتحويلات'!$C$2:$C$3001,$A16,'هالك وتحويلات'!$D$2:$D$3001,"ضيافة / أكل موظفين",'هالك وتحويلات'!$A$2:$A$3001,"&gt;="&amp;'إعدادات المخزون'!$B$5,'هالك وتحويلات'!$A$2:$A$3001,"&lt;="&amp;'إعدادات المخزون'!$B$4)</f>
        <v>0</v>
      </c>
      <c r="J16" s="110" t="n">
        <f aca="false">D16+E16+F16-G16-H16-I16</f>
        <v>17.4994</v>
      </c>
      <c r="K16" s="36" t="str">
        <f aca="false">IF(COUNTIFS('جرد فعلي'!$B$2:$B$12001,$B$2,'جرد فعلي'!$C$2:$C$12001,$A16,'جرد فعلي'!$A$2:$A$12001,'إعدادات المخزون'!$B$4)&gt;0,"نعم","لا")</f>
        <v>لا</v>
      </c>
      <c r="L16" s="111" t="str">
        <f aca="false">IF(K16="نعم",SUMIFS('جرد فعلي'!$D$2:$D$12001,'جرد فعلي'!$B$2:$B$12001,$B$2,'جرد فعلي'!$C$2:$C$12001,$A16,'جرد فعلي'!$A$2:$A$12001,'إعدادات المخزون'!$B$4),"")</f>
        <v/>
      </c>
      <c r="M16" s="110" t="str">
        <f aca="false">IF(K16="نعم",L16-J16,"")</f>
        <v/>
      </c>
      <c r="N16" s="112" t="str">
        <f aca="false">IF(K16="نعم",IF(J16=0,IF(M16=0,0,SIGN(M16)),M16/ABS(J16)),"")</f>
        <v/>
      </c>
      <c r="O16" s="109" t="str">
        <f aca="false">IF(K16="نعم",M16*C16,"")</f>
        <v/>
      </c>
      <c r="P16" s="36" t="str">
        <f aca="false">IF(K16&lt;&gt;"نعم","لم يُجرد",IF(ABS(N16)&lt;='إعدادات المخزون'!$B$7,"مطابق",IF(M16&lt;0,"عجز","زيادة")))</f>
        <v>لم يُجرد</v>
      </c>
      <c r="Q16" s="110" t="n">
        <f aca="false">J16-Z16</f>
        <v>19.37445</v>
      </c>
      <c r="R16" s="110" t="str">
        <f aca="false">IF(COUNTIFS('جرد فعلي'!$B$2:$B$12001,$B$2,'جرد فعلي'!$C$2:$C$12001,$A16,'جرد فعلي'!$A$2:$A$12001,'إعدادات المخزون'!$B$4-1)&gt;0,SUMIFS('جرد فعلي'!$D$2:$D$12001,'جرد فعلي'!$B$2:$B$12001,$B$2,'جرد فعلي'!$C$2:$C$12001,$A16,'جرد فعلي'!$A$2:$A$12001,'إعدادات المخزون'!$B$4-1),"")</f>
        <v/>
      </c>
      <c r="S16" s="110" t="str">
        <f aca="false">IF(AND(K16="نعم",R16&lt;&gt;""),(L16-J16)-(R16-Q16),"")</f>
        <v/>
      </c>
      <c r="T16" s="109" t="str">
        <f aca="false">IF(S16="","",S16*C16)</f>
        <v/>
      </c>
      <c r="U16" s="110" t="n">
        <f aca="false">IF(K16="نعم",L16,J16)</f>
        <v>17.4994</v>
      </c>
      <c r="V16" s="110" t="n">
        <f aca="false">SUMPRODUCT('مصفوفة الاستهلاك'!$K$2:$K$190,'متجهات المبيعات'!$D$2:$D$190)/'مواد المخزون'!$D$11/MAX(1,MIN('إعدادات المخزون'!$B$11,'إعدادات المخزون'!$B$4-'إعدادات المخزون'!$B$5+1))</f>
        <v>1.87505</v>
      </c>
      <c r="W16" s="110" t="n">
        <f aca="false">IF(V16&lt;=0,0,ROUNDUP(MAX(0,V16*('إعدادات المخزون'!$B$8+'إعدادات المخزون'!$B$9+'إعدادات المخزون'!$B$10)-MAX(U16,0))/'مواد المخزون'!$F11,0)*'مواد المخزون'!$F11)</f>
        <v>0</v>
      </c>
      <c r="X16" s="109" t="n">
        <f aca="false">IF(AND(K16="نعم",O16&lt;0),-O16+ROW()*0.000000001,0)</f>
        <v>0</v>
      </c>
      <c r="Y16" s="109" t="n">
        <f aca="false">IF(AND(K16="نعم",O16&gt;0),O16+ROW()*0.000000001,0)</f>
        <v>0</v>
      </c>
      <c r="Z16" s="110" t="n">
        <f aca="false">SUMIFS('مشتريات يومية'!$D$2:$D$4001,'مشتريات يومية'!$B$2:$B$4001,$B$2,'مشتريات يومية'!$C$2:$C$4001,$A16,'مشتريات يومية'!$A$2:$A$4001,'إعدادات المخزون'!$B$4)+SUMIFS('هالك وتحويلات'!$E$2:$E$3001,'هالك وتحويلات'!$B$2:$B$3001,$B$2,'هالك وتحويلات'!$C$2:$C$3001,$A16,'هالك وتحويلات'!$D$2:$D$3001,"تحويل وارد",'هالك وتحويلات'!$A$2:$A$3001,'إعدادات المخزون'!$B$4)-SUMIFS('هالك وتحويلات'!$E$2:$E$3001,'هالك وتحويلات'!$B$2:$B$3001,$B$2,'هالك وتحويلات'!$C$2:$C$3001,$A16,'هالك وتحويلات'!$D$2:$D$3001,"تحويل صادر",'هالك وتحويلات'!$A$2:$A$3001,'إعدادات المخزون'!$B$4)-SUMIFS('هالك وتحويلات'!$E$2:$E$3001,'هالك وتحويلات'!$B$2:$B$3001,$B$2,'هالك وتحويلات'!$C$2:$C$3001,$A16,'هالك وتحويلات'!$D$2:$D$3001,"هالك",'هالك وتحويلات'!$A$2:$A$3001,'إعدادات المخزون'!$B$4)-SUMIFS('هالك وتحويلات'!$E$2:$E$3001,'هالك وتحويلات'!$B$2:$B$3001,$B$2,'هالك وتحويلات'!$C$2:$C$3001,$A16,'هالك وتحويلات'!$D$2:$D$3001,"ضيافة / أكل موظفين",'هالك وتحويلات'!$A$2:$A$3001,'إعدادات المخزون'!$B$4)-SUMPRODUCT('مصفوفة الاستهلاك'!$K$2:$K$190,'متجهات المبيعات'!$B$2:$B$190)/'مواد المخزون'!$D$11</f>
        <v>-1.87505</v>
      </c>
      <c r="AA16" s="109" t="n">
        <f aca="false">IF(K16="نعم",O16,0)</f>
        <v>0</v>
      </c>
      <c r="AB16" s="109" t="n">
        <f aca="false">IF(K16="نعم",J16*C16,0)</f>
        <v>0</v>
      </c>
      <c r="AC16" s="109" t="n">
        <f aca="false">IF(T16="",0,T16)</f>
        <v>0</v>
      </c>
    </row>
    <row r="17" customFormat="false" ht="15" hidden="false" customHeight="false" outlineLevel="0" collapsed="false">
      <c r="A17" s="34" t="str">
        <f aca="false">'مواد المخزون'!A12</f>
        <v>برسيون سدق صغير</v>
      </c>
      <c r="B17" s="36" t="str">
        <f aca="false">'مواد المخزون'!B12</f>
        <v>قطعة</v>
      </c>
      <c r="C17" s="109" t="n">
        <f aca="false">'مواد المخزون'!E12</f>
        <v>34</v>
      </c>
      <c r="D17" s="110" t="n">
        <f aca="false">'جرد أول المدة'!C15</f>
        <v>65</v>
      </c>
      <c r="E17" s="110" t="n">
        <f aca="false">SUMIFS('مشتريات يومية'!$D$2:$D$4001,'مشتريات يومية'!$B$2:$B$4001,$B$2,'مشتريات يومية'!$C$2:$C$4001,$A17,'مشتريات يومية'!$A$2:$A$4001,"&gt;="&amp;'إعدادات المخزون'!$B$5,'مشتريات يومية'!$A$2:$A$4001,"&lt;="&amp;'إعدادات المخزون'!$B$4)</f>
        <v>550</v>
      </c>
      <c r="F17" s="110" t="n">
        <f aca="false">SUMIFS('هالك وتحويلات'!$E$2:$E$3001,'هالك وتحويلات'!$B$2:$B$3001,$B$2,'هالك وتحويلات'!$C$2:$C$3001,$A17,'هالك وتحويلات'!$D$2:$D$3001,"تحويل وارد",'هالك وتحويلات'!$A$2:$A$3001,"&gt;="&amp;'إعدادات المخزون'!$B$5,'هالك وتحويلات'!$A$2:$A$3001,"&lt;="&amp;'إعدادات المخزون'!$B$4)</f>
        <v>0</v>
      </c>
      <c r="G17" s="110" t="n">
        <f aca="false">SUMIFS('هالك وتحويلات'!$E$2:$E$3001,'هالك وتحويلات'!$B$2:$B$3001,$B$2,'هالك وتحويلات'!$C$2:$C$3001,$A17,'هالك وتحويلات'!$D$2:$D$3001,"تحويل صادر",'هالك وتحويلات'!$A$2:$A$3001,"&gt;="&amp;'إعدادات المخزون'!$B$5,'هالك وتحويلات'!$A$2:$A$3001,"&lt;="&amp;'إعدادات المخزون'!$B$4)</f>
        <v>0</v>
      </c>
      <c r="H17" s="110" t="n">
        <f aca="false">SUMPRODUCT('مصفوفة الاستهلاك'!$L$2:$L$190,'متجهات المبيعات'!$C$2:$C$190)/'مواد المخزون'!$D$12</f>
        <v>528.9996</v>
      </c>
      <c r="I17" s="110" t="n">
        <f aca="false">SUMIFS('هالك وتحويلات'!$E$2:$E$3001,'هالك وتحويلات'!$B$2:$B$3001,$B$2,'هالك وتحويلات'!$C$2:$C$3001,$A17,'هالك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وتحويلات'!$C$2:$C$3001,$A17,'هالك وتحويلات'!$D$2:$D$3001,"ضيافة / أكل موظفين",'هالك وتحويلات'!$A$2:$A$3001,"&gt;="&amp;'إعدادات المخزون'!$B$5,'هالك وتحويلات'!$A$2:$A$3001,"&lt;="&amp;'إعدادات المخزون'!$B$4)</f>
        <v>0</v>
      </c>
      <c r="J17" s="110" t="n">
        <f aca="false">D17+E17+F17-G17-H17-I17</f>
        <v>86.0004</v>
      </c>
      <c r="K17" s="36" t="str">
        <f aca="false">IF(COUNTIFS('جرد فعلي'!$B$2:$B$12001,$B$2,'جرد فعلي'!$C$2:$C$12001,$A17,'جرد فعلي'!$A$2:$A$12001,'إعدادات المخزون'!$B$4)&gt;0,"نعم","لا")</f>
        <v>لا</v>
      </c>
      <c r="L17" s="111" t="str">
        <f aca="false">IF(K17="نعم",SUMIFS('جرد فعلي'!$D$2:$D$12001,'جرد فعلي'!$B$2:$B$12001,$B$2,'جرد فعلي'!$C$2:$C$12001,$A17,'جرد فعلي'!$A$2:$A$12001,'إعدادات المخزون'!$B$4),"")</f>
        <v/>
      </c>
      <c r="M17" s="110" t="str">
        <f aca="false">IF(K17="نعم",L17-J17,"")</f>
        <v/>
      </c>
      <c r="N17" s="112" t="str">
        <f aca="false">IF(K17="نعم",IF(J17=0,IF(M17=0,0,SIGN(M17)),M17/ABS(J17)),"")</f>
        <v/>
      </c>
      <c r="O17" s="109" t="str">
        <f aca="false">IF(K17="نعم",M17*C17,"")</f>
        <v/>
      </c>
      <c r="P17" s="36" t="str">
        <f aca="false">IF(K17&lt;&gt;"نعم","لم يُجرد",IF(ABS(N17)&lt;='إعدادات المخزون'!$B$7,"مطابق",IF(M17&lt;0,"عجز","زيادة")))</f>
        <v>لم يُجرد</v>
      </c>
      <c r="Q17" s="110" t="n">
        <f aca="false">J17-Z17</f>
        <v>130.0837</v>
      </c>
      <c r="R17" s="110" t="str">
        <f aca="false">IF(COUNTIFS('جرد فعلي'!$B$2:$B$12001,$B$2,'جرد فعلي'!$C$2:$C$12001,$A17,'جرد فعلي'!$A$2:$A$12001,'إعدادات المخزون'!$B$4-1)&gt;0,SUMIFS('جرد فعلي'!$D$2:$D$12001,'جرد فعلي'!$B$2:$B$12001,$B$2,'جرد فعلي'!$C$2:$C$12001,$A17,'جرد فعلي'!$A$2:$A$12001,'إعدادات المخزون'!$B$4-1),"")</f>
        <v/>
      </c>
      <c r="S17" s="110" t="str">
        <f aca="false">IF(AND(K17="نعم",R17&lt;&gt;""),(L17-J17)-(R17-Q17),"")</f>
        <v/>
      </c>
      <c r="T17" s="109" t="str">
        <f aca="false">IF(S17="","",S17*C17)</f>
        <v/>
      </c>
      <c r="U17" s="110" t="n">
        <f aca="false">IF(K17="نعم",L17,J17)</f>
        <v>86.0004</v>
      </c>
      <c r="V17" s="110" t="n">
        <f aca="false">SUMPRODUCT('مصفوفة الاستهلاك'!$L$2:$L$190,'متجهات المبيعات'!$D$2:$D$190)/'مواد المخزون'!$D$12/MAX(1,MIN('إعدادات المخزون'!$B$11,'إعدادات المخزون'!$B$4-'إعدادات المخزون'!$B$5+1))</f>
        <v>44.0833</v>
      </c>
      <c r="W17" s="110" t="n">
        <f aca="false">IF(V17&lt;=0,0,ROUNDUP(MAX(0,V17*('إعدادات المخزون'!$B$8+'إعدادات المخزون'!$B$9+'إعدادات المخزون'!$B$10)-MAX(U17,0))/'مواد المخزون'!$F12,0)*'مواد المخزون'!$F12)</f>
        <v>91</v>
      </c>
      <c r="X17" s="109" t="n">
        <f aca="false">IF(AND(K17="نعم",O17&lt;0),-O17+ROW()*0.000000001,0)</f>
        <v>0</v>
      </c>
      <c r="Y17" s="109" t="n">
        <f aca="false">IF(AND(K17="نعم",O17&gt;0),O17+ROW()*0.000000001,0)</f>
        <v>0</v>
      </c>
      <c r="Z17" s="110" t="n">
        <f aca="false">SUMIFS('مشتريات يومية'!$D$2:$D$4001,'مشتريات يومية'!$B$2:$B$4001,$B$2,'مشتريات يومية'!$C$2:$C$4001,$A17,'مشتريات يومية'!$A$2:$A$4001,'إعدادات المخزون'!$B$4)+SUMIFS('هالك وتحويلات'!$E$2:$E$3001,'هالك وتحويلات'!$B$2:$B$3001,$B$2,'هالك وتحويلات'!$C$2:$C$3001,$A17,'هالك وتحويلات'!$D$2:$D$3001,"تحويل وارد",'هالك وتحويلات'!$A$2:$A$3001,'إعدادات المخزون'!$B$4)-SUMIFS('هالك وتحويلات'!$E$2:$E$3001,'هالك وتحويلات'!$B$2:$B$3001,$B$2,'هالك وتحويلات'!$C$2:$C$3001,$A17,'هالك وتحويلات'!$D$2:$D$3001,"تحويل صادر",'هالك وتحويلات'!$A$2:$A$3001,'إعدادات المخزون'!$B$4)-SUMIFS('هالك وتحويلات'!$E$2:$E$3001,'هالك وتحويلات'!$B$2:$B$3001,$B$2,'هالك وتحويلات'!$C$2:$C$3001,$A17,'هالك وتحويلات'!$D$2:$D$3001,"هالك",'هالك وتحويلات'!$A$2:$A$3001,'إعدادات المخزون'!$B$4)-SUMIFS('هالك وتحويلات'!$E$2:$E$3001,'هالك وتحويلات'!$B$2:$B$3001,$B$2,'هالك وتحويلات'!$C$2:$C$3001,$A17,'هالك وتحويلات'!$D$2:$D$3001,"ضيافة / أكل موظفين",'هالك وتحويلات'!$A$2:$A$3001,'إعدادات المخزون'!$B$4)-SUMPRODUCT('مصفوفة الاستهلاك'!$L$2:$L$190,'متجهات المبيعات'!$B$2:$B$190)/'مواد المخزون'!$D$12</f>
        <v>-44.0833</v>
      </c>
      <c r="AA17" s="109" t="n">
        <f aca="false">IF(K17="نعم",O17,0)</f>
        <v>0</v>
      </c>
      <c r="AB17" s="109" t="n">
        <f aca="false">IF(K17="نعم",J17*C17,0)</f>
        <v>0</v>
      </c>
      <c r="AC17" s="109" t="n">
        <f aca="false">IF(T17="",0,T17)</f>
        <v>0</v>
      </c>
    </row>
    <row r="18" customFormat="false" ht="15" hidden="false" customHeight="false" outlineLevel="0" collapsed="false">
      <c r="A18" s="34" t="str">
        <f aca="false">'مواد المخزون'!A13</f>
        <v>برسيون سدق كبير</v>
      </c>
      <c r="B18" s="36" t="str">
        <f aca="false">'مواد المخزون'!B13</f>
        <v>قطعة</v>
      </c>
      <c r="C18" s="109" t="n">
        <f aca="false">'مواد المخزون'!E13</f>
        <v>45</v>
      </c>
      <c r="D18" s="110" t="n">
        <f aca="false">'جرد أول المدة'!C16</f>
        <v>32</v>
      </c>
      <c r="E18" s="110" t="n">
        <f aca="false">SUMIFS('مشتريات يومية'!$D$2:$D$4001,'مشتريات يومية'!$B$2:$B$4001,$B$2,'مشتريات يومية'!$C$2:$C$4001,$A18,'مشتريات يومية'!$A$2:$A$4001,"&gt;="&amp;'إعدادات المخزون'!$B$5,'مشتريات يومية'!$A$2:$A$4001,"&lt;="&amp;'إعدادات المخزون'!$B$4)</f>
        <v>80</v>
      </c>
      <c r="F18" s="110" t="n">
        <f aca="false">SUMIFS('هالك وتحويلات'!$E$2:$E$3001,'هالك وتحويلات'!$B$2:$B$3001,$B$2,'هالك وتحويلات'!$C$2:$C$3001,$A18,'هالك وتحويلات'!$D$2:$D$3001,"تحويل وارد",'هالك وتحويلات'!$A$2:$A$3001,"&gt;="&amp;'إعدادات المخزون'!$B$5,'هالك وتحويلات'!$A$2:$A$3001,"&lt;="&amp;'إعدادات المخزون'!$B$4)</f>
        <v>0</v>
      </c>
      <c r="G18" s="110" t="n">
        <f aca="false">SUMIFS('هالك وتحويلات'!$E$2:$E$3001,'هالك وتحويلات'!$B$2:$B$3001,$B$2,'هالك وتحويلات'!$C$2:$C$3001,$A18,'هالك وتحويلات'!$D$2:$D$3001,"تحويل صادر",'هالك وتحويلات'!$A$2:$A$3001,"&gt;="&amp;'إعدادات المخزون'!$B$5,'هالك وتحويلات'!$A$2:$A$3001,"&lt;="&amp;'إعدادات المخزون'!$B$4)</f>
        <v>0</v>
      </c>
      <c r="H18" s="110" t="n">
        <f aca="false">SUMPRODUCT('مصفوفة الاستهلاك'!$M$2:$M$190,'متجهات المبيعات'!$C$2:$C$190)/'مواد المخزون'!$D$13</f>
        <v>76.4988</v>
      </c>
      <c r="I18" s="110" t="n">
        <f aca="false">SUMIFS('هالك وتحويلات'!$E$2:$E$3001,'هالك وتحويلات'!$B$2:$B$3001,$B$2,'هالك وتحويلات'!$C$2:$C$3001,$A18,'هالك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وتحويلات'!$C$2:$C$3001,$A18,'هالك وتحويلات'!$D$2:$D$3001,"ضيافة / أكل موظفين",'هالك وتحويلات'!$A$2:$A$3001,"&gt;="&amp;'إعدادات المخزون'!$B$5,'هالك وتحويلات'!$A$2:$A$3001,"&lt;="&amp;'إعدادات المخزون'!$B$4)</f>
        <v>0</v>
      </c>
      <c r="J18" s="110" t="n">
        <f aca="false">D18+E18+F18-G18-H18-I18</f>
        <v>35.5012</v>
      </c>
      <c r="K18" s="36" t="str">
        <f aca="false">IF(COUNTIFS('جرد فعلي'!$B$2:$B$12001,$B$2,'جرد فعلي'!$C$2:$C$12001,$A18,'جرد فعلي'!$A$2:$A$12001,'إعدادات المخزون'!$B$4)&gt;0,"نعم","لا")</f>
        <v>لا</v>
      </c>
      <c r="L18" s="111" t="str">
        <f aca="false">IF(K18="نعم",SUMIFS('جرد فعلي'!$D$2:$D$12001,'جرد فعلي'!$B$2:$B$12001,$B$2,'جرد فعلي'!$C$2:$C$12001,$A18,'جرد فعلي'!$A$2:$A$12001,'إعدادات المخزون'!$B$4),"")</f>
        <v/>
      </c>
      <c r="M18" s="110" t="str">
        <f aca="false">IF(K18="نعم",L18-J18,"")</f>
        <v/>
      </c>
      <c r="N18" s="112" t="str">
        <f aca="false">IF(K18="نعم",IF(J18=0,IF(M18=0,0,SIGN(M18)),M18/ABS(J18)),"")</f>
        <v/>
      </c>
      <c r="O18" s="109" t="str">
        <f aca="false">IF(K18="نعم",M18*C18,"")</f>
        <v/>
      </c>
      <c r="P18" s="36" t="str">
        <f aca="false">IF(K18&lt;&gt;"نعم","لم يُجرد",IF(ABS(N18)&lt;='إعدادات المخزون'!$B$7,"مطابق",IF(M18&lt;0,"عجز","زيادة")))</f>
        <v>لم يُجرد</v>
      </c>
      <c r="Q18" s="110" t="n">
        <f aca="false">J18-Z18</f>
        <v>41.8761</v>
      </c>
      <c r="R18" s="110" t="str">
        <f aca="false">IF(COUNTIFS('جرد فعلي'!$B$2:$B$12001,$B$2,'جرد فعلي'!$C$2:$C$12001,$A18,'جرد فعلي'!$A$2:$A$12001,'إعدادات المخزون'!$B$4-1)&gt;0,SUMIFS('جرد فعلي'!$D$2:$D$12001,'جرد فعلي'!$B$2:$B$12001,$B$2,'جرد فعلي'!$C$2:$C$12001,$A18,'جرد فعلي'!$A$2:$A$12001,'إعدادات المخزون'!$B$4-1),"")</f>
        <v/>
      </c>
      <c r="S18" s="110" t="str">
        <f aca="false">IF(AND(K18="نعم",R18&lt;&gt;""),(L18-J18)-(R18-Q18),"")</f>
        <v/>
      </c>
      <c r="T18" s="109" t="str">
        <f aca="false">IF(S18="","",S18*C18)</f>
        <v/>
      </c>
      <c r="U18" s="110" t="n">
        <f aca="false">IF(K18="نعم",L18,J18)</f>
        <v>35.5012</v>
      </c>
      <c r="V18" s="110" t="n">
        <f aca="false">SUMPRODUCT('مصفوفة الاستهلاك'!$M$2:$M$190,'متجهات المبيعات'!$D$2:$D$190)/'مواد المخزون'!$D$13/MAX(1,MIN('إعدادات المخزون'!$B$11,'إعدادات المخزون'!$B$4-'إعدادات المخزون'!$B$5+1))</f>
        <v>6.3749</v>
      </c>
      <c r="W18" s="110" t="n">
        <f aca="false">IF(V18&lt;=0,0,ROUNDUP(MAX(0,V18*('إعدادات المخزون'!$B$8+'إعدادات المخزون'!$B$9+'إعدادات المخزون'!$B$10)-MAX(U18,0))/'مواد المخزون'!$F13,0)*'مواد المخزون'!$F13)</f>
        <v>0</v>
      </c>
      <c r="X18" s="109" t="n">
        <f aca="false">IF(AND(K18="نعم",O18&lt;0),-O18+ROW()*0.000000001,0)</f>
        <v>0</v>
      </c>
      <c r="Y18" s="109" t="n">
        <f aca="false">IF(AND(K18="نعم",O18&gt;0),O18+ROW()*0.000000001,0)</f>
        <v>0</v>
      </c>
      <c r="Z18" s="110" t="n">
        <f aca="false">SUMIFS('مشتريات يومية'!$D$2:$D$4001,'مشتريات يومية'!$B$2:$B$4001,$B$2,'مشتريات يومية'!$C$2:$C$4001,$A18,'مشتريات يومية'!$A$2:$A$4001,'إعدادات المخزون'!$B$4)+SUMIFS('هالك وتحويلات'!$E$2:$E$3001,'هالك وتحويلات'!$B$2:$B$3001,$B$2,'هالك وتحويلات'!$C$2:$C$3001,$A18,'هالك وتحويلات'!$D$2:$D$3001,"تحويل وارد",'هالك وتحويلات'!$A$2:$A$3001,'إعدادات المخزون'!$B$4)-SUMIFS('هالك وتحويلات'!$E$2:$E$3001,'هالك وتحويلات'!$B$2:$B$3001,$B$2,'هالك وتحويلات'!$C$2:$C$3001,$A18,'هالك وتحويلات'!$D$2:$D$3001,"تحويل صادر",'هالك وتحويلات'!$A$2:$A$3001,'إعدادات المخزون'!$B$4)-SUMIFS('هالك وتحويلات'!$E$2:$E$3001,'هالك وتحويلات'!$B$2:$B$3001,$B$2,'هالك وتحويلات'!$C$2:$C$3001,$A18,'هالك وتحويلات'!$D$2:$D$3001,"هالك",'هالك وتحويلات'!$A$2:$A$3001,'إعدادات المخزون'!$B$4)-SUMIFS('هالك وتحويلات'!$E$2:$E$3001,'هالك وتحويلات'!$B$2:$B$3001,$B$2,'هالك وتحويلات'!$C$2:$C$3001,$A18,'هالك وتحويلات'!$D$2:$D$3001,"ضيافة / أكل موظفين",'هالك وتحويلات'!$A$2:$A$3001,'إعدادات المخزون'!$B$4)-SUMPRODUCT('مصفوفة الاستهلاك'!$M$2:$M$190,'متجهات المبيعات'!$B$2:$B$190)/'مواد المخزون'!$D$13</f>
        <v>-6.3749</v>
      </c>
      <c r="AA18" s="109" t="n">
        <f aca="false">IF(K18="نعم",O18,0)</f>
        <v>0</v>
      </c>
      <c r="AB18" s="109" t="n">
        <f aca="false">IF(K18="نعم",J18*C18,0)</f>
        <v>0</v>
      </c>
      <c r="AC18" s="109" t="n">
        <f aca="false">IF(T18="",0,T18)</f>
        <v>0</v>
      </c>
    </row>
    <row r="19" customFormat="false" ht="15" hidden="false" customHeight="false" outlineLevel="0" collapsed="false">
      <c r="A19" s="34" t="str">
        <f aca="false">'مواد المخزون'!A14</f>
        <v>برسيون سلامي صغير</v>
      </c>
      <c r="B19" s="36" t="str">
        <f aca="false">'مواد المخزون'!B14</f>
        <v>قطعة</v>
      </c>
      <c r="C19" s="109" t="n">
        <f aca="false">'مواد المخزون'!E14</f>
        <v>26.9708</v>
      </c>
      <c r="D19" s="110" t="n">
        <f aca="false">'جرد أول المدة'!C17</f>
        <v>12</v>
      </c>
      <c r="E19" s="110" t="n">
        <f aca="false">SUMIFS('مشتريات يومية'!$D$2:$D$4001,'مشتريات يومية'!$B$2:$B$4001,$B$2,'مشتريات يومية'!$C$2:$C$4001,$A19,'مشتريات يومية'!$A$2:$A$4001,"&gt;="&amp;'إعدادات المخزون'!$B$5,'مشتريات يومية'!$A$2:$A$4001,"&lt;="&amp;'إعدادات المخزون'!$B$4)</f>
        <v>67</v>
      </c>
      <c r="F19" s="110" t="n">
        <f aca="false">SUMIFS('هالك وتحويلات'!$E$2:$E$3001,'هالك وتحويلات'!$B$2:$B$3001,$B$2,'هالك وتحويلات'!$C$2:$C$3001,$A19,'هالك وتحويلات'!$D$2:$D$3001,"تحويل وارد",'هالك وتحويلات'!$A$2:$A$3001,"&gt;="&amp;'إعدادات المخزون'!$B$5,'هالك وتحويلات'!$A$2:$A$3001,"&lt;="&amp;'إعدادات المخزون'!$B$4)</f>
        <v>0</v>
      </c>
      <c r="G19" s="110" t="n">
        <f aca="false">SUMIFS('هالك وتحويلات'!$E$2:$E$3001,'هالك وتحويلات'!$B$2:$B$3001,$B$2,'هالك وتحويلات'!$C$2:$C$3001,$A19,'هالك وتحويلات'!$D$2:$D$3001,"تحويل صادر",'هالك وتحويلات'!$A$2:$A$3001,"&gt;="&amp;'إعدادات المخزون'!$B$5,'هالك وتحويلات'!$A$2:$A$3001,"&lt;="&amp;'إعدادات المخزون'!$B$4)</f>
        <v>0</v>
      </c>
      <c r="H19" s="110" t="n">
        <f aca="false">SUMPRODUCT('مصفوفة الاستهلاك'!$N$2:$N$190,'متجهات المبيعات'!$C$2:$C$190)/'مواد المخزون'!$D$14</f>
        <v>64.59912</v>
      </c>
      <c r="I19" s="110" t="n">
        <f aca="false">SUMIFS('هالك وتحويلات'!$E$2:$E$3001,'هالك وتحويلات'!$B$2:$B$3001,$B$2,'هالك وتحويلات'!$C$2:$C$3001,$A19,'هالك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وتحويلات'!$C$2:$C$3001,$A19,'هالك وتحويلات'!$D$2:$D$3001,"ضيافة / أكل موظفين",'هالك وتحويلات'!$A$2:$A$3001,"&gt;="&amp;'إعدادات المخزون'!$B$5,'هالك وتحويلات'!$A$2:$A$3001,"&lt;="&amp;'إعدادات المخزون'!$B$4)</f>
        <v>0</v>
      </c>
      <c r="J19" s="110" t="n">
        <f aca="false">D19+E19+F19-G19-H19-I19</f>
        <v>14.40088</v>
      </c>
      <c r="K19" s="36" t="str">
        <f aca="false">IF(COUNTIFS('جرد فعلي'!$B$2:$B$12001,$B$2,'جرد فعلي'!$C$2:$C$12001,$A19,'جرد فعلي'!$A$2:$A$12001,'إعدادات المخزون'!$B$4)&gt;0,"نعم","لا")</f>
        <v>لا</v>
      </c>
      <c r="L19" s="111" t="str">
        <f aca="false">IF(K19="نعم",SUMIFS('جرد فعلي'!$D$2:$D$12001,'جرد فعلي'!$B$2:$B$12001,$B$2,'جرد فعلي'!$C$2:$C$12001,$A19,'جرد فعلي'!$A$2:$A$12001,'إعدادات المخزون'!$B$4),"")</f>
        <v/>
      </c>
      <c r="M19" s="110" t="str">
        <f aca="false">IF(K19="نعم",L19-J19,"")</f>
        <v/>
      </c>
      <c r="N19" s="112" t="str">
        <f aca="false">IF(K19="نعم",IF(J19=0,IF(M19=0,0,SIGN(M19)),M19/ABS(J19)),"")</f>
        <v/>
      </c>
      <c r="O19" s="109" t="str">
        <f aca="false">IF(K19="نعم",M19*C19,"")</f>
        <v/>
      </c>
      <c r="P19" s="36" t="str">
        <f aca="false">IF(K19&lt;&gt;"نعم","لم يُجرد",IF(ABS(N19)&lt;='إعدادات المخزون'!$B$7,"مطابق",IF(M19&lt;0,"عجز","زيادة")))</f>
        <v>لم يُجرد</v>
      </c>
      <c r="Q19" s="110" t="n">
        <f aca="false">J19-Z19</f>
        <v>19.78414</v>
      </c>
      <c r="R19" s="110" t="str">
        <f aca="false">IF(COUNTIFS('جرد فعلي'!$B$2:$B$12001,$B$2,'جرد فعلي'!$C$2:$C$12001,$A19,'جرد فعلي'!$A$2:$A$12001,'إعدادات المخزون'!$B$4-1)&gt;0,SUMIFS('جرد فعلي'!$D$2:$D$12001,'جرد فعلي'!$B$2:$B$12001,$B$2,'جرد فعلي'!$C$2:$C$12001,$A19,'جرد فعلي'!$A$2:$A$12001,'إعدادات المخزون'!$B$4-1),"")</f>
        <v/>
      </c>
      <c r="S19" s="110" t="str">
        <f aca="false">IF(AND(K19="نعم",R19&lt;&gt;""),(L19-J19)-(R19-Q19),"")</f>
        <v/>
      </c>
      <c r="T19" s="109" t="str">
        <f aca="false">IF(S19="","",S19*C19)</f>
        <v/>
      </c>
      <c r="U19" s="110" t="n">
        <f aca="false">IF(K19="نعم",L19,J19)</f>
        <v>14.40088</v>
      </c>
      <c r="V19" s="110" t="n">
        <f aca="false">SUMPRODUCT('مصفوفة الاستهلاك'!$N$2:$N$190,'متجهات المبيعات'!$D$2:$D$190)/'مواد المخزون'!$D$14/MAX(1,MIN('إعدادات المخزون'!$B$11,'إعدادات المخزون'!$B$4-'إعدادات المخزون'!$B$5+1))</f>
        <v>5.38326</v>
      </c>
      <c r="W19" s="110" t="n">
        <f aca="false">IF(V19&lt;=0,0,ROUNDUP(MAX(0,V19*('إعدادات المخزون'!$B$8+'إعدادات المخزون'!$B$9+'إعدادات المخزون'!$B$10)-MAX(U19,0))/'مواد المخزون'!$F14,0)*'مواد المخزون'!$F14)</f>
        <v>8</v>
      </c>
      <c r="X19" s="109" t="n">
        <f aca="false">IF(AND(K19="نعم",O19&lt;0),-O19+ROW()*0.000000001,0)</f>
        <v>0</v>
      </c>
      <c r="Y19" s="109" t="n">
        <f aca="false">IF(AND(K19="نعم",O19&gt;0),O19+ROW()*0.000000001,0)</f>
        <v>0</v>
      </c>
      <c r="Z19" s="110" t="n">
        <f aca="false">SUMIFS('مشتريات يومية'!$D$2:$D$4001,'مشتريات يومية'!$B$2:$B$4001,$B$2,'مشتريات يومية'!$C$2:$C$4001,$A19,'مشتريات يومية'!$A$2:$A$4001,'إعدادات المخزون'!$B$4)+SUMIFS('هالك وتحويلات'!$E$2:$E$3001,'هالك وتحويلات'!$B$2:$B$3001,$B$2,'هالك وتحويلات'!$C$2:$C$3001,$A19,'هالك وتحويلات'!$D$2:$D$3001,"تحويل وارد",'هالك وتحويلات'!$A$2:$A$3001,'إعدادات المخزون'!$B$4)-SUMIFS('هالك وتحويلات'!$E$2:$E$3001,'هالك وتحويلات'!$B$2:$B$3001,$B$2,'هالك وتحويلات'!$C$2:$C$3001,$A19,'هالك وتحويلات'!$D$2:$D$3001,"تحويل صادر",'هالك وتحويلات'!$A$2:$A$3001,'إعدادات المخزون'!$B$4)-SUMIFS('هالك وتحويلات'!$E$2:$E$3001,'هالك وتحويلات'!$B$2:$B$3001,$B$2,'هالك وتحويلات'!$C$2:$C$3001,$A19,'هالك وتحويلات'!$D$2:$D$3001,"هالك",'هالك وتحويلات'!$A$2:$A$3001,'إعدادات المخزون'!$B$4)-SUMIFS('هالك وتحويلات'!$E$2:$E$3001,'هالك وتحويلات'!$B$2:$B$3001,$B$2,'هالك وتحويلات'!$C$2:$C$3001,$A19,'هالك وتحويلات'!$D$2:$D$3001,"ضيافة / أكل موظفين",'هالك وتحويلات'!$A$2:$A$3001,'إعدادات المخزون'!$B$4)-SUMPRODUCT('مصفوفة الاستهلاك'!$N$2:$N$190,'متجهات المبيعات'!$B$2:$B$190)/'مواد المخزون'!$D$14</f>
        <v>-5.38326</v>
      </c>
      <c r="AA19" s="109" t="n">
        <f aca="false">IF(K19="نعم",O19,0)</f>
        <v>0</v>
      </c>
      <c r="AB19" s="109" t="n">
        <f aca="false">IF(K19="نعم",J19*C19,0)</f>
        <v>0</v>
      </c>
      <c r="AC19" s="109" t="n">
        <f aca="false">IF(T19="",0,T19)</f>
        <v>0</v>
      </c>
    </row>
    <row r="20" customFormat="false" ht="15" hidden="false" customHeight="false" outlineLevel="0" collapsed="false">
      <c r="A20" s="34" t="str">
        <f aca="false">'مواد المخزون'!A15</f>
        <v>برسيون فراخ جريل صغير</v>
      </c>
      <c r="B20" s="36" t="str">
        <f aca="false">'مواد المخزون'!B15</f>
        <v>قطعة</v>
      </c>
      <c r="C20" s="109" t="n">
        <f aca="false">'مواد المخزون'!E15</f>
        <v>33.982</v>
      </c>
      <c r="D20" s="110" t="n">
        <f aca="false">'جرد أول المدة'!C18</f>
        <v>26.5</v>
      </c>
      <c r="E20" s="110" t="n">
        <f aca="false">SUMIFS('مشتريات يومية'!$D$2:$D$4001,'مشتريات يومية'!$B$2:$B$4001,$B$2,'مشتريات يومية'!$C$2:$C$4001,$A20,'مشتريات يومية'!$A$2:$A$4001,"&gt;="&amp;'إعدادات المخزون'!$B$5,'مشتريات يومية'!$A$2:$A$4001,"&lt;="&amp;'إعدادات المخزون'!$B$4)</f>
        <v>243</v>
      </c>
      <c r="F20" s="110" t="n">
        <f aca="false">SUMIFS('هالك وتحويلات'!$E$2:$E$3001,'هالك وتحويلات'!$B$2:$B$3001,$B$2,'هالك وتحويلات'!$C$2:$C$3001,$A20,'هالك وتحويلات'!$D$2:$D$3001,"تحويل وارد",'هالك وتحويلات'!$A$2:$A$3001,"&gt;="&amp;'إعدادات المخزون'!$B$5,'هالك وتحويلات'!$A$2:$A$3001,"&lt;="&amp;'إعدادات المخزون'!$B$4)</f>
        <v>0</v>
      </c>
      <c r="G20" s="110" t="n">
        <f aca="false">SUMIFS('هالك وتحويلات'!$E$2:$E$3001,'هالك وتحويلات'!$B$2:$B$3001,$B$2,'هالك وتحويلات'!$C$2:$C$3001,$A20,'هالك وتحويلات'!$D$2:$D$3001,"تحويل صادر",'هالك وتحويلات'!$A$2:$A$3001,"&gt;="&amp;'إعدادات المخزون'!$B$5,'هالك وتحويلات'!$A$2:$A$3001,"&lt;="&amp;'إعدادات المخزون'!$B$4)</f>
        <v>0</v>
      </c>
      <c r="H20" s="110" t="n">
        <f aca="false">SUMPRODUCT('مصفوفة الاستهلاك'!$O$2:$O$190,'متجهات المبيعات'!$C$2:$C$190)/'مواد المخزون'!$D$15</f>
        <v>212.5002</v>
      </c>
      <c r="I20" s="110" t="n">
        <f aca="false">SUMIFS('هالك وتحويلات'!$E$2:$E$3001,'هالك وتحويلات'!$B$2:$B$3001,$B$2,'هالك وتحويلات'!$C$2:$C$3001,$A20,'هالك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وتحويلات'!$C$2:$C$3001,$A20,'هالك وتحويلات'!$D$2:$D$3001,"ضيافة / أكل موظفين",'هالك وتحويلات'!$A$2:$A$3001,"&gt;="&amp;'إعدادات المخزون'!$B$5,'هالك وتحويلات'!$A$2:$A$3001,"&lt;="&amp;'إعدادات المخزون'!$B$4)</f>
        <v>0</v>
      </c>
      <c r="J20" s="110" t="n">
        <f aca="false">D20+E20+F20-G20-H20-I20</f>
        <v>56.9998</v>
      </c>
      <c r="K20" s="36" t="str">
        <f aca="false">IF(COUNTIFS('جرد فعلي'!$B$2:$B$12001,$B$2,'جرد فعلي'!$C$2:$C$12001,$A20,'جرد فعلي'!$A$2:$A$12001,'إعدادات المخزون'!$B$4)&gt;0,"نعم","لا")</f>
        <v>لا</v>
      </c>
      <c r="L20" s="111" t="str">
        <f aca="false">IF(K20="نعم",SUMIFS('جرد فعلي'!$D$2:$D$12001,'جرد فعلي'!$B$2:$B$12001,$B$2,'جرد فعلي'!$C$2:$C$12001,$A20,'جرد فعلي'!$A$2:$A$12001,'إعدادات المخزون'!$B$4),"")</f>
        <v/>
      </c>
      <c r="M20" s="110" t="str">
        <f aca="false">IF(K20="نعم",L20-J20,"")</f>
        <v/>
      </c>
      <c r="N20" s="112" t="str">
        <f aca="false">IF(K20="نعم",IF(J20=0,IF(M20=0,0,SIGN(M20)),M20/ABS(J20)),"")</f>
        <v/>
      </c>
      <c r="O20" s="109" t="str">
        <f aca="false">IF(K20="نعم",M20*C20,"")</f>
        <v/>
      </c>
      <c r="P20" s="36" t="str">
        <f aca="false">IF(K20&lt;&gt;"نعم","لم يُجرد",IF(ABS(N20)&lt;='إعدادات المخزون'!$B$7,"مطابق",IF(M20&lt;0,"عجز","زيادة")))</f>
        <v>لم يُجرد</v>
      </c>
      <c r="Q20" s="110" t="n">
        <f aca="false">J20-Z20</f>
        <v>74.70815</v>
      </c>
      <c r="R20" s="110" t="str">
        <f aca="false">IF(COUNTIFS('جرد فعلي'!$B$2:$B$12001,$B$2,'جرد فعلي'!$C$2:$C$12001,$A20,'جرد فعلي'!$A$2:$A$12001,'إعدادات المخزون'!$B$4-1)&gt;0,SUMIFS('جرد فعلي'!$D$2:$D$12001,'جرد فعلي'!$B$2:$B$12001,$B$2,'جرد فعلي'!$C$2:$C$12001,$A20,'جرد فعلي'!$A$2:$A$12001,'إعدادات المخزون'!$B$4-1),"")</f>
        <v/>
      </c>
      <c r="S20" s="110" t="str">
        <f aca="false">IF(AND(K20="نعم",R20&lt;&gt;""),(L20-J20)-(R20-Q20),"")</f>
        <v/>
      </c>
      <c r="T20" s="109" t="str">
        <f aca="false">IF(S20="","",S20*C20)</f>
        <v/>
      </c>
      <c r="U20" s="110" t="n">
        <f aca="false">IF(K20="نعم",L20,J20)</f>
        <v>56.9998</v>
      </c>
      <c r="V20" s="110" t="n">
        <f aca="false">SUMPRODUCT('مصفوفة الاستهلاك'!$O$2:$O$190,'متجهات المبيعات'!$D$2:$D$190)/'مواد المخزون'!$D$15/MAX(1,MIN('إعدادات المخزون'!$B$11,'إعدادات المخزون'!$B$4-'إعدادات المخزون'!$B$5+1))</f>
        <v>17.70835</v>
      </c>
      <c r="W20" s="110" t="n">
        <f aca="false">IF(V20&lt;=0,0,ROUNDUP(MAX(0,V20*('إعدادات المخزون'!$B$8+'إعدادات المخزون'!$B$9+'إعدادات المخزون'!$B$10)-MAX(U20,0))/'مواد المخزون'!$F15,0)*'مواد المخزون'!$F15)</f>
        <v>14</v>
      </c>
      <c r="X20" s="109" t="n">
        <f aca="false">IF(AND(K20="نعم",O20&lt;0),-O20+ROW()*0.000000001,0)</f>
        <v>0</v>
      </c>
      <c r="Y20" s="109" t="n">
        <f aca="false">IF(AND(K20="نعم",O20&gt;0),O20+ROW()*0.000000001,0)</f>
        <v>0</v>
      </c>
      <c r="Z20" s="110" t="n">
        <f aca="false">SUMIFS('مشتريات يومية'!$D$2:$D$4001,'مشتريات يومية'!$B$2:$B$4001,$B$2,'مشتريات يومية'!$C$2:$C$4001,$A20,'مشتريات يومية'!$A$2:$A$4001,'إعدادات المخزون'!$B$4)+SUMIFS('هالك وتحويلات'!$E$2:$E$3001,'هالك وتحويلات'!$B$2:$B$3001,$B$2,'هالك وتحويلات'!$C$2:$C$3001,$A20,'هالك وتحويلات'!$D$2:$D$3001,"تحويل وارد",'هالك وتحويلات'!$A$2:$A$3001,'إعدادات المخزون'!$B$4)-SUMIFS('هالك وتحويلات'!$E$2:$E$3001,'هالك وتحويلات'!$B$2:$B$3001,$B$2,'هالك وتحويلات'!$C$2:$C$3001,$A20,'هالك وتحويلات'!$D$2:$D$3001,"تحويل صادر",'هالك وتحويلات'!$A$2:$A$3001,'إعدادات المخزون'!$B$4)-SUMIFS('هالك وتحويلات'!$E$2:$E$3001,'هالك وتحويلات'!$B$2:$B$3001,$B$2,'هالك وتحويلات'!$C$2:$C$3001,$A20,'هالك وتحويلات'!$D$2:$D$3001,"هالك",'هالك وتحويلات'!$A$2:$A$3001,'إعدادات المخزون'!$B$4)-SUMIFS('هالك وتحويلات'!$E$2:$E$3001,'هالك وتحويلات'!$B$2:$B$3001,$B$2,'هالك وتحويلات'!$C$2:$C$3001,$A20,'هالك وتحويلات'!$D$2:$D$3001,"ضيافة / أكل موظفين",'هالك وتحويلات'!$A$2:$A$3001,'إعدادات المخزون'!$B$4)-SUMPRODUCT('مصفوفة الاستهلاك'!$O$2:$O$190,'متجهات المبيعات'!$B$2:$B$190)/'مواد المخزون'!$D$15</f>
        <v>-17.70835</v>
      </c>
      <c r="AA20" s="109" t="n">
        <f aca="false">IF(K20="نعم",O20,0)</f>
        <v>0</v>
      </c>
      <c r="AB20" s="109" t="n">
        <f aca="false">IF(K20="نعم",J20*C20,0)</f>
        <v>0</v>
      </c>
      <c r="AC20" s="109" t="n">
        <f aca="false">IF(T20="",0,T20)</f>
        <v>0</v>
      </c>
    </row>
    <row r="21" customFormat="false" ht="15" hidden="false" customHeight="false" outlineLevel="0" collapsed="false">
      <c r="A21" s="34" t="str">
        <f aca="false">'مواد المخزون'!A16</f>
        <v>برسيون فراخ جريل كبير</v>
      </c>
      <c r="B21" s="36" t="str">
        <f aca="false">'مواد المخزون'!B16</f>
        <v>قطعة</v>
      </c>
      <c r="C21" s="109" t="n">
        <f aca="false">'مواد المخزون'!E16</f>
        <v>48.7817</v>
      </c>
      <c r="D21" s="110" t="n">
        <f aca="false">'جرد أول المدة'!C19</f>
        <v>31</v>
      </c>
      <c r="E21" s="110" t="n">
        <f aca="false">SUMIFS('مشتريات يومية'!$D$2:$D$4001,'مشتريات يومية'!$B$2:$B$4001,$B$2,'مشتريات يومية'!$C$2:$C$4001,$A21,'مشتريات يومية'!$A$2:$A$4001,"&gt;="&amp;'إعدادات المخزون'!$B$5,'مشتريات يومية'!$A$2:$A$4001,"&lt;="&amp;'إعدادات المخزون'!$B$4)</f>
        <v>57</v>
      </c>
      <c r="F21" s="110" t="n">
        <f aca="false">SUMIFS('هالك وتحويلات'!$E$2:$E$3001,'هالك وتحويلات'!$B$2:$B$3001,$B$2,'هالك وتحويلات'!$C$2:$C$3001,$A21,'هالك وتحويلات'!$D$2:$D$3001,"تحويل وارد",'هالك وتحويلات'!$A$2:$A$3001,"&gt;="&amp;'إعدادات المخزون'!$B$5,'هالك وتحويلات'!$A$2:$A$3001,"&lt;="&amp;'إعدادات المخزون'!$B$4)</f>
        <v>0</v>
      </c>
      <c r="G21" s="110" t="n">
        <f aca="false">SUMIFS('هالك وتحويلات'!$E$2:$E$3001,'هالك وتحويلات'!$B$2:$B$3001,$B$2,'هالك وتحويلات'!$C$2:$C$3001,$A21,'هالك وتحويلات'!$D$2:$D$3001,"تحويل صادر",'هالك وتحويلات'!$A$2:$A$3001,"&gt;="&amp;'إعدادات المخزون'!$B$5,'هالك وتحويلات'!$A$2:$A$3001,"&lt;="&amp;'إعدادات المخزون'!$B$4)</f>
        <v>0</v>
      </c>
      <c r="H21" s="110" t="n">
        <f aca="false">SUMPRODUCT('مصفوفة الاستهلاك'!$P$2:$P$190,'متجهات المبيعات'!$C$2:$C$190)/'مواد المخزون'!$D$16</f>
        <v>30.9996</v>
      </c>
      <c r="I21" s="110" t="n">
        <f aca="false">SUMIFS('هالك وتحويلات'!$E$2:$E$3001,'هالك وتحويلات'!$B$2:$B$3001,$B$2,'هالك وتحويلات'!$C$2:$C$3001,$A21,'هالك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وتحويلات'!$C$2:$C$3001,$A21,'هالك وتحويلات'!$D$2:$D$3001,"ضيافة / أكل موظفين",'هالك وتحويلات'!$A$2:$A$3001,"&gt;="&amp;'إعدادات المخزون'!$B$5,'هالك وتحويلات'!$A$2:$A$3001,"&lt;="&amp;'إعدادات المخزون'!$B$4)</f>
        <v>0</v>
      </c>
      <c r="J21" s="110" t="n">
        <f aca="false">D21+E21+F21-G21-H21-I21</f>
        <v>57.0004</v>
      </c>
      <c r="K21" s="36" t="str">
        <f aca="false">IF(COUNTIFS('جرد فعلي'!$B$2:$B$12001,$B$2,'جرد فعلي'!$C$2:$C$12001,$A21,'جرد فعلي'!$A$2:$A$12001,'إعدادات المخزون'!$B$4)&gt;0,"نعم","لا")</f>
        <v>لا</v>
      </c>
      <c r="L21" s="111" t="str">
        <f aca="false">IF(K21="نعم",SUMIFS('جرد فعلي'!$D$2:$D$12001,'جرد فعلي'!$B$2:$B$12001,$B$2,'جرد فعلي'!$C$2:$C$12001,$A21,'جرد فعلي'!$A$2:$A$12001,'إعدادات المخزون'!$B$4),"")</f>
        <v/>
      </c>
      <c r="M21" s="110" t="str">
        <f aca="false">IF(K21="نعم",L21-J21,"")</f>
        <v/>
      </c>
      <c r="N21" s="112" t="str">
        <f aca="false">IF(K21="نعم",IF(J21=0,IF(M21=0,0,SIGN(M21)),M21/ABS(J21)),"")</f>
        <v/>
      </c>
      <c r="O21" s="109" t="str">
        <f aca="false">IF(K21="نعم",M21*C21,"")</f>
        <v/>
      </c>
      <c r="P21" s="36" t="str">
        <f aca="false">IF(K21&lt;&gt;"نعم","لم يُجرد",IF(ABS(N21)&lt;='إعدادات المخزون'!$B$7,"مطابق",IF(M21&lt;0,"عجز","زيادة")))</f>
        <v>لم يُجرد</v>
      </c>
      <c r="Q21" s="110" t="n">
        <f aca="false">J21-Z21</f>
        <v>59.5837</v>
      </c>
      <c r="R21" s="110" t="str">
        <f aca="false">IF(COUNTIFS('جرد فعلي'!$B$2:$B$12001,$B$2,'جرد فعلي'!$C$2:$C$12001,$A21,'جرد فعلي'!$A$2:$A$12001,'إعدادات المخزون'!$B$4-1)&gt;0,SUMIFS('جرد فعلي'!$D$2:$D$12001,'جرد فعلي'!$B$2:$B$12001,$B$2,'جرد فعلي'!$C$2:$C$12001,$A21,'جرد فعلي'!$A$2:$A$12001,'إعدادات المخزون'!$B$4-1),"")</f>
        <v/>
      </c>
      <c r="S21" s="110" t="str">
        <f aca="false">IF(AND(K21="نعم",R21&lt;&gt;""),(L21-J21)-(R21-Q21),"")</f>
        <v/>
      </c>
      <c r="T21" s="109" t="str">
        <f aca="false">IF(S21="","",S21*C21)</f>
        <v/>
      </c>
      <c r="U21" s="110" t="n">
        <f aca="false">IF(K21="نعم",L21,J21)</f>
        <v>57.0004</v>
      </c>
      <c r="V21" s="110" t="n">
        <f aca="false">SUMPRODUCT('مصفوفة الاستهلاك'!$P$2:$P$190,'متجهات المبيعات'!$D$2:$D$190)/'مواد المخزون'!$D$16/MAX(1,MIN('إعدادات المخزون'!$B$11,'إعدادات المخزون'!$B$4-'إعدادات المخزون'!$B$5+1))</f>
        <v>2.5833</v>
      </c>
      <c r="W21" s="110" t="n">
        <f aca="false">IF(V21&lt;=0,0,ROUNDUP(MAX(0,V21*('إعدادات المخزون'!$B$8+'إعدادات المخزون'!$B$9+'إعدادات المخزون'!$B$10)-MAX(U21,0))/'مواد المخزون'!$F16,0)*'مواد المخزون'!$F16)</f>
        <v>0</v>
      </c>
      <c r="X21" s="109" t="n">
        <f aca="false">IF(AND(K21="نعم",O21&lt;0),-O21+ROW()*0.000000001,0)</f>
        <v>0</v>
      </c>
      <c r="Y21" s="109" t="n">
        <f aca="false">IF(AND(K21="نعم",O21&gt;0),O21+ROW()*0.000000001,0)</f>
        <v>0</v>
      </c>
      <c r="Z21" s="110" t="n">
        <f aca="false">SUMIFS('مشتريات يومية'!$D$2:$D$4001,'مشتريات يومية'!$B$2:$B$4001,$B$2,'مشتريات يومية'!$C$2:$C$4001,$A21,'مشتريات يومية'!$A$2:$A$4001,'إعدادات المخزون'!$B$4)+SUMIFS('هالك وتحويلات'!$E$2:$E$3001,'هالك وتحويلات'!$B$2:$B$3001,$B$2,'هالك وتحويلات'!$C$2:$C$3001,$A21,'هالك وتحويلات'!$D$2:$D$3001,"تحويل وارد",'هالك وتحويلات'!$A$2:$A$3001,'إعدادات المخزون'!$B$4)-SUMIFS('هالك وتحويلات'!$E$2:$E$3001,'هالك وتحويلات'!$B$2:$B$3001,$B$2,'هالك وتحويلات'!$C$2:$C$3001,$A21,'هالك وتحويلات'!$D$2:$D$3001,"تحويل صادر",'هالك وتحويلات'!$A$2:$A$3001,'إعدادات المخزون'!$B$4)-SUMIFS('هالك وتحويلات'!$E$2:$E$3001,'هالك وتحويلات'!$B$2:$B$3001,$B$2,'هالك وتحويلات'!$C$2:$C$3001,$A21,'هالك وتحويلات'!$D$2:$D$3001,"هالك",'هالك وتحويلات'!$A$2:$A$3001,'إعدادات المخزون'!$B$4)-SUMIFS('هالك وتحويلات'!$E$2:$E$3001,'هالك وتحويلات'!$B$2:$B$3001,$B$2,'هالك وتحويلات'!$C$2:$C$3001,$A21,'هالك وتحويلات'!$D$2:$D$3001,"ضيافة / أكل موظفين",'هالك وتحويلات'!$A$2:$A$3001,'إعدادات المخزون'!$B$4)-SUMPRODUCT('مصفوفة الاستهلاك'!$P$2:$P$190,'متجهات المبيعات'!$B$2:$B$190)/'مواد المخزون'!$D$16</f>
        <v>-2.5833</v>
      </c>
      <c r="AA21" s="109" t="n">
        <f aca="false">IF(K21="نعم",O21,0)</f>
        <v>0</v>
      </c>
      <c r="AB21" s="109" t="n">
        <f aca="false">IF(K21="نعم",J21*C21,0)</f>
        <v>0</v>
      </c>
      <c r="AC21" s="109" t="n">
        <f aca="false">IF(T21="",0,T21)</f>
        <v>0</v>
      </c>
    </row>
    <row r="22" customFormat="false" ht="15" hidden="false" customHeight="false" outlineLevel="0" collapsed="false">
      <c r="A22" s="34" t="str">
        <f aca="false">'مواد المخزون'!A17</f>
        <v>برسيون فراخ كريسبي صغير</v>
      </c>
      <c r="B22" s="36" t="str">
        <f aca="false">'مواد المخزون'!B17</f>
        <v>قطعة</v>
      </c>
      <c r="C22" s="109" t="n">
        <f aca="false">'مواد المخزون'!E17</f>
        <v>30</v>
      </c>
      <c r="D22" s="110" t="n">
        <f aca="false">'جرد أول المدة'!C20</f>
        <v>43</v>
      </c>
      <c r="E22" s="110" t="n">
        <f aca="false">SUMIFS('مشتريات يومية'!$D$2:$D$4001,'مشتريات يومية'!$B$2:$B$4001,$B$2,'مشتريات يومية'!$C$2:$C$4001,$A22,'مشتريات يومية'!$A$2:$A$4001,"&gt;="&amp;'إعدادات المخزون'!$B$5,'مشتريات يومية'!$A$2:$A$4001,"&lt;="&amp;'إعدادات المخزون'!$B$4)</f>
        <v>100</v>
      </c>
      <c r="F22" s="110" t="n">
        <f aca="false">SUMIFS('هالك وتحويلات'!$E$2:$E$3001,'هالك وتحويلات'!$B$2:$B$3001,$B$2,'هالك وتحويلات'!$C$2:$C$3001,$A22,'هالك وتحويلات'!$D$2:$D$3001,"تحويل وارد",'هالك وتحويلات'!$A$2:$A$3001,"&gt;="&amp;'إعدادات المخزون'!$B$5,'هالك وتحويلات'!$A$2:$A$3001,"&lt;="&amp;'إعدادات المخزون'!$B$4)</f>
        <v>0</v>
      </c>
      <c r="G22" s="110" t="n">
        <f aca="false">SUMIFS('هالك وتحويلات'!$E$2:$E$3001,'هالك وتحويلات'!$B$2:$B$3001,$B$2,'هالك وتحويلات'!$C$2:$C$3001,$A22,'هالك وتحويلات'!$D$2:$D$3001,"تحويل صادر",'هالك وتحويلات'!$A$2:$A$3001,"&gt;="&amp;'إعدادات المخزون'!$B$5,'هالك وتحويلات'!$A$2:$A$3001,"&lt;="&amp;'إعدادات المخزون'!$B$4)</f>
        <v>0</v>
      </c>
      <c r="H22" s="110" t="n">
        <f aca="false">SUMPRODUCT('مصفوفة الاستهلاك'!$Q$2:$Q$190,'متجهات المبيعات'!$C$2:$C$190)/'مواد المخزون'!$D$17</f>
        <v>120.4986</v>
      </c>
      <c r="I22" s="110" t="n">
        <f aca="false">SUMIFS('هالك وتحويلات'!$E$2:$E$3001,'هالك وتحويلات'!$B$2:$B$3001,$B$2,'هالك وتحويلات'!$C$2:$C$3001,$A22,'هالك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وتحويلات'!$C$2:$C$3001,$A22,'هالك وتحويلات'!$D$2:$D$3001,"ضيافة / أكل موظفين",'هالك وتحويلات'!$A$2:$A$3001,"&gt;="&amp;'إعدادات المخزون'!$B$5,'هالك وتحويلات'!$A$2:$A$3001,"&lt;="&amp;'إعدادات المخزون'!$B$4)</f>
        <v>0</v>
      </c>
      <c r="J22" s="110" t="n">
        <f aca="false">D22+E22+F22-G22-H22-I22</f>
        <v>22.5014</v>
      </c>
      <c r="K22" s="36" t="str">
        <f aca="false">IF(COUNTIFS('جرد فعلي'!$B$2:$B$12001,$B$2,'جرد فعلي'!$C$2:$C$12001,$A22,'جرد فعلي'!$A$2:$A$12001,'إعدادات المخزون'!$B$4)&gt;0,"نعم","لا")</f>
        <v>لا</v>
      </c>
      <c r="L22" s="111" t="str">
        <f aca="false">IF(K22="نعم",SUMIFS('جرد فعلي'!$D$2:$D$12001,'جرد فعلي'!$B$2:$B$12001,$B$2,'جرد فعلي'!$C$2:$C$12001,$A22,'جرد فعلي'!$A$2:$A$12001,'إعدادات المخزون'!$B$4),"")</f>
        <v/>
      </c>
      <c r="M22" s="110" t="str">
        <f aca="false">IF(K22="نعم",L22-J22,"")</f>
        <v/>
      </c>
      <c r="N22" s="112" t="str">
        <f aca="false">IF(K22="نعم",IF(J22=0,IF(M22=0,0,SIGN(M22)),M22/ABS(J22)),"")</f>
        <v/>
      </c>
      <c r="O22" s="109" t="str">
        <f aca="false">IF(K22="نعم",M22*C22,"")</f>
        <v/>
      </c>
      <c r="P22" s="36" t="str">
        <f aca="false">IF(K22&lt;&gt;"نعم","لم يُجرد",IF(ABS(N22)&lt;='إعدادات المخزون'!$B$7,"مطابق",IF(M22&lt;0,"عجز","زيادة")))</f>
        <v>لم يُجرد</v>
      </c>
      <c r="Q22" s="110" t="n">
        <f aca="false">J22-Z22</f>
        <v>32.54295</v>
      </c>
      <c r="R22" s="110" t="str">
        <f aca="false">IF(COUNTIFS('جرد فعلي'!$B$2:$B$12001,$B$2,'جرد فعلي'!$C$2:$C$12001,$A22,'جرد فعلي'!$A$2:$A$12001,'إعدادات المخزون'!$B$4-1)&gt;0,SUMIFS('جرد فعلي'!$D$2:$D$12001,'جرد فعلي'!$B$2:$B$12001,$B$2,'جرد فعلي'!$C$2:$C$12001,$A22,'جرد فعلي'!$A$2:$A$12001,'إعدادات المخزون'!$B$4-1),"")</f>
        <v/>
      </c>
      <c r="S22" s="110" t="str">
        <f aca="false">IF(AND(K22="نعم",R22&lt;&gt;""),(L22-J22)-(R22-Q22),"")</f>
        <v/>
      </c>
      <c r="T22" s="109" t="str">
        <f aca="false">IF(S22="","",S22*C22)</f>
        <v/>
      </c>
      <c r="U22" s="110" t="n">
        <f aca="false">IF(K22="نعم",L22,J22)</f>
        <v>22.5014</v>
      </c>
      <c r="V22" s="110" t="n">
        <f aca="false">SUMPRODUCT('مصفوفة الاستهلاك'!$Q$2:$Q$190,'متجهات المبيعات'!$D$2:$D$190)/'مواد المخزون'!$D$17/MAX(1,MIN('إعدادات المخزون'!$B$11,'إعدادات المخزون'!$B$4-'إعدادات المخزون'!$B$5+1))</f>
        <v>10.04155</v>
      </c>
      <c r="W22" s="110" t="n">
        <f aca="false">IF(V22&lt;=0,0,ROUNDUP(MAX(0,V22*('إعدادات المخزون'!$B$8+'إعدادات المخزون'!$B$9+'إعدادات المخزون'!$B$10)-MAX(U22,0))/'مواد المخزون'!$F17,0)*'مواد المخزون'!$F17)</f>
        <v>18</v>
      </c>
      <c r="X22" s="109" t="n">
        <f aca="false">IF(AND(K22="نعم",O22&lt;0),-O22+ROW()*0.000000001,0)</f>
        <v>0</v>
      </c>
      <c r="Y22" s="109" t="n">
        <f aca="false">IF(AND(K22="نعم",O22&gt;0),O22+ROW()*0.000000001,0)</f>
        <v>0</v>
      </c>
      <c r="Z22" s="110" t="n">
        <f aca="false">SUMIFS('مشتريات يومية'!$D$2:$D$4001,'مشتريات يومية'!$B$2:$B$4001,$B$2,'مشتريات يومية'!$C$2:$C$4001,$A22,'مشتريات يومية'!$A$2:$A$4001,'إعدادات المخزون'!$B$4)+SUMIFS('هالك وتحويلات'!$E$2:$E$3001,'هالك وتحويلات'!$B$2:$B$3001,$B$2,'هالك وتحويلات'!$C$2:$C$3001,$A22,'هالك وتحويلات'!$D$2:$D$3001,"تحويل وارد",'هالك وتحويلات'!$A$2:$A$3001,'إعدادات المخزون'!$B$4)-SUMIFS('هالك وتحويلات'!$E$2:$E$3001,'هالك وتحويلات'!$B$2:$B$3001,$B$2,'هالك وتحويلات'!$C$2:$C$3001,$A22,'هالك وتحويلات'!$D$2:$D$3001,"تحويل صادر",'هالك وتحويلات'!$A$2:$A$3001,'إعدادات المخزون'!$B$4)-SUMIFS('هالك وتحويلات'!$E$2:$E$3001,'هالك وتحويلات'!$B$2:$B$3001,$B$2,'هالك وتحويلات'!$C$2:$C$3001,$A22,'هالك وتحويلات'!$D$2:$D$3001,"هالك",'هالك وتحويلات'!$A$2:$A$3001,'إعدادات المخزون'!$B$4)-SUMIFS('هالك وتحويلات'!$E$2:$E$3001,'هالك وتحويلات'!$B$2:$B$3001,$B$2,'هالك وتحويلات'!$C$2:$C$3001,$A22,'هالك وتحويلات'!$D$2:$D$3001,"ضيافة / أكل موظفين",'هالك وتحويلات'!$A$2:$A$3001,'إعدادات المخزون'!$B$4)-SUMPRODUCT('مصفوفة الاستهلاك'!$Q$2:$Q$190,'متجهات المبيعات'!$B$2:$B$190)/'مواد المخزون'!$D$17</f>
        <v>-10.04155</v>
      </c>
      <c r="AA22" s="109" t="n">
        <f aca="false">IF(K22="نعم",O22,0)</f>
        <v>0</v>
      </c>
      <c r="AB22" s="109" t="n">
        <f aca="false">IF(K22="نعم",J22*C22,0)</f>
        <v>0</v>
      </c>
      <c r="AC22" s="109" t="n">
        <f aca="false">IF(T22="",0,T22)</f>
        <v>0</v>
      </c>
    </row>
    <row r="23" customFormat="false" ht="15" hidden="false" customHeight="false" outlineLevel="0" collapsed="false">
      <c r="A23" s="34" t="str">
        <f aca="false">'مواد المخزون'!A18</f>
        <v>برسيون فراخ كريسبي كبير</v>
      </c>
      <c r="B23" s="36" t="str">
        <f aca="false">'مواد المخزون'!B18</f>
        <v>قطعة</v>
      </c>
      <c r="C23" s="109" t="n">
        <f aca="false">'مواد المخزون'!E18</f>
        <v>29</v>
      </c>
      <c r="D23" s="110" t="n">
        <f aca="false">'جرد أول المدة'!C21</f>
        <v>0</v>
      </c>
      <c r="E23" s="110" t="n">
        <f aca="false">SUMIFS('مشتريات يومية'!$D$2:$D$4001,'مشتريات يومية'!$B$2:$B$4001,$B$2,'مشتريات يومية'!$C$2:$C$4001,$A23,'مشتريات يومية'!$A$2:$A$4001,"&gt;="&amp;'إعدادات المخزون'!$B$5,'مشتريات يومية'!$A$2:$A$4001,"&lt;="&amp;'إعدادات المخزون'!$B$4)</f>
        <v>0</v>
      </c>
      <c r="F23" s="110" t="n">
        <f aca="false">SUMIFS('هالك وتحويلات'!$E$2:$E$3001,'هالك وتحويلات'!$B$2:$B$3001,$B$2,'هالك وتحويلات'!$C$2:$C$3001,$A23,'هالك وتحويلات'!$D$2:$D$3001,"تحويل وارد",'هالك وتحويلات'!$A$2:$A$3001,"&gt;="&amp;'إعدادات المخزون'!$B$5,'هالك وتحويلات'!$A$2:$A$3001,"&lt;="&amp;'إعدادات المخزون'!$B$4)</f>
        <v>0</v>
      </c>
      <c r="G23" s="110" t="n">
        <f aca="false">SUMIFS('هالك وتحويلات'!$E$2:$E$3001,'هالك وتحويلات'!$B$2:$B$3001,$B$2,'هالك وتحويلات'!$C$2:$C$3001,$A23,'هالك وتحويلات'!$D$2:$D$3001,"تحويل صادر",'هالك وتحويلات'!$A$2:$A$3001,"&gt;="&amp;'إعدادات المخزون'!$B$5,'هالك وتحويلات'!$A$2:$A$3001,"&lt;="&amp;'إعدادات المخزون'!$B$4)</f>
        <v>0</v>
      </c>
      <c r="H23" s="110" t="n">
        <f aca="false">SUMPRODUCT('مصفوفة الاستهلاك'!$R$2:$R$190,'متجهات المبيعات'!$C$2:$C$190)/'مواد المخزون'!$D$18</f>
        <v>2.9988</v>
      </c>
      <c r="I23" s="110" t="n">
        <f aca="false">SUMIFS('هالك وتحويلات'!$E$2:$E$3001,'هالك وتحويلات'!$B$2:$B$3001,$B$2,'هالك وتحويلات'!$C$2:$C$3001,$A23,'هالك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وتحويلات'!$C$2:$C$3001,$A23,'هالك وتحويلات'!$D$2:$D$3001,"ضيافة / أكل موظفين",'هالك وتحويلات'!$A$2:$A$3001,"&gt;="&amp;'إعدادات المخزون'!$B$5,'هالك وتحويلات'!$A$2:$A$3001,"&lt;="&amp;'إعدادات المخزون'!$B$4)</f>
        <v>0</v>
      </c>
      <c r="J23" s="110" t="n">
        <f aca="false">D23+E23+F23-G23-H23-I23</f>
        <v>-2.9988</v>
      </c>
      <c r="K23" s="36" t="str">
        <f aca="false">IF(COUNTIFS('جرد فعلي'!$B$2:$B$12001,$B$2,'جرد فعلي'!$C$2:$C$12001,$A23,'جرد فعلي'!$A$2:$A$12001,'إعدادات المخزون'!$B$4)&gt;0,"نعم","لا")</f>
        <v>لا</v>
      </c>
      <c r="L23" s="111" t="str">
        <f aca="false">IF(K23="نعم",SUMIFS('جرد فعلي'!$D$2:$D$12001,'جرد فعلي'!$B$2:$B$12001,$B$2,'جرد فعلي'!$C$2:$C$12001,$A23,'جرد فعلي'!$A$2:$A$12001,'إعدادات المخزون'!$B$4),"")</f>
        <v/>
      </c>
      <c r="M23" s="110" t="str">
        <f aca="false">IF(K23="نعم",L23-J23,"")</f>
        <v/>
      </c>
      <c r="N23" s="112" t="str">
        <f aca="false">IF(K23="نعم",IF(J23=0,IF(M23=0,0,SIGN(M23)),M23/ABS(J23)),"")</f>
        <v/>
      </c>
      <c r="O23" s="109" t="str">
        <f aca="false">IF(K23="نعم",M23*C23,"")</f>
        <v/>
      </c>
      <c r="P23" s="36" t="str">
        <f aca="false">IF(K23&lt;&gt;"نعم","لم يُجرد",IF(ABS(N23)&lt;='إعدادات المخزون'!$B$7,"مطابق",IF(M23&lt;0,"عجز","زيادة")))</f>
        <v>لم يُجرد</v>
      </c>
      <c r="Q23" s="110" t="n">
        <f aca="false">J23-Z23</f>
        <v>-2.7489</v>
      </c>
      <c r="R23" s="110" t="str">
        <f aca="false">IF(COUNTIFS('جرد فعلي'!$B$2:$B$12001,$B$2,'جرد فعلي'!$C$2:$C$12001,$A23,'جرد فعلي'!$A$2:$A$12001,'إعدادات المخزون'!$B$4-1)&gt;0,SUMIFS('جرد فعلي'!$D$2:$D$12001,'جرد فعلي'!$B$2:$B$12001,$B$2,'جرد فعلي'!$C$2:$C$12001,$A23,'جرد فعلي'!$A$2:$A$12001,'إعدادات المخزون'!$B$4-1),"")</f>
        <v/>
      </c>
      <c r="S23" s="110" t="str">
        <f aca="false">IF(AND(K23="نعم",R23&lt;&gt;""),(L23-J23)-(R23-Q23),"")</f>
        <v/>
      </c>
      <c r="T23" s="109" t="str">
        <f aca="false">IF(S23="","",S23*C23)</f>
        <v/>
      </c>
      <c r="U23" s="110" t="n">
        <f aca="false">IF(K23="نعم",L23,J23)</f>
        <v>-2.9988</v>
      </c>
      <c r="V23" s="110" t="n">
        <f aca="false">SUMPRODUCT('مصفوفة الاستهلاك'!$R$2:$R$190,'متجهات المبيعات'!$D$2:$D$190)/'مواد المخزون'!$D$18/MAX(1,MIN('إعدادات المخزون'!$B$11,'إعدادات المخزون'!$B$4-'إعدادات المخزون'!$B$5+1))</f>
        <v>0.2499</v>
      </c>
      <c r="W23" s="110" t="n">
        <f aca="false">IF(V23&lt;=0,0,ROUNDUP(MAX(0,V23*('إعدادات المخزون'!$B$8+'إعدادات المخزون'!$B$9+'إعدادات المخزون'!$B$10)-MAX(U23,0))/'مواد المخزون'!$F18,0)*'مواد المخزون'!$F18)</f>
        <v>1</v>
      </c>
      <c r="X23" s="109" t="n">
        <f aca="false">IF(AND(K23="نعم",O23&lt;0),-O23+ROW()*0.000000001,0)</f>
        <v>0</v>
      </c>
      <c r="Y23" s="109" t="n">
        <f aca="false">IF(AND(K23="نعم",O23&gt;0),O23+ROW()*0.000000001,0)</f>
        <v>0</v>
      </c>
      <c r="Z23" s="110" t="n">
        <f aca="false">SUMIFS('مشتريات يومية'!$D$2:$D$4001,'مشتريات يومية'!$B$2:$B$4001,$B$2,'مشتريات يومية'!$C$2:$C$4001,$A23,'مشتريات يومية'!$A$2:$A$4001,'إعدادات المخزون'!$B$4)+SUMIFS('هالك وتحويلات'!$E$2:$E$3001,'هالك وتحويلات'!$B$2:$B$3001,$B$2,'هالك وتحويلات'!$C$2:$C$3001,$A23,'هالك وتحويلات'!$D$2:$D$3001,"تحويل وارد",'هالك وتحويلات'!$A$2:$A$3001,'إعدادات المخزون'!$B$4)-SUMIFS('هالك وتحويلات'!$E$2:$E$3001,'هالك وتحويلات'!$B$2:$B$3001,$B$2,'هالك وتحويلات'!$C$2:$C$3001,$A23,'هالك وتحويلات'!$D$2:$D$3001,"تحويل صادر",'هالك وتحويلات'!$A$2:$A$3001,'إعدادات المخزون'!$B$4)-SUMIFS('هالك وتحويلات'!$E$2:$E$3001,'هالك وتحويلات'!$B$2:$B$3001,$B$2,'هالك وتحويلات'!$C$2:$C$3001,$A23,'هالك وتحويلات'!$D$2:$D$3001,"هالك",'هالك وتحويلات'!$A$2:$A$3001,'إعدادات المخزون'!$B$4)-SUMIFS('هالك وتحويلات'!$E$2:$E$3001,'هالك وتحويلات'!$B$2:$B$3001,$B$2,'هالك وتحويلات'!$C$2:$C$3001,$A23,'هالك وتحويلات'!$D$2:$D$3001,"ضيافة / أكل موظفين",'هالك وتحويلات'!$A$2:$A$3001,'إعدادات المخزون'!$B$4)-SUMPRODUCT('مصفوفة الاستهلاك'!$R$2:$R$190,'متجهات المبيعات'!$B$2:$B$190)/'مواد المخزون'!$D$18</f>
        <v>-0.2499</v>
      </c>
      <c r="AA23" s="109" t="n">
        <f aca="false">IF(K23="نعم",O23,0)</f>
        <v>0</v>
      </c>
      <c r="AB23" s="109" t="n">
        <f aca="false">IF(K23="نعم",J23*C23,0)</f>
        <v>0</v>
      </c>
      <c r="AC23" s="109" t="n">
        <f aca="false">IF(T23="",0,T23)</f>
        <v>0</v>
      </c>
    </row>
    <row r="24" customFormat="false" ht="15" hidden="false" customHeight="false" outlineLevel="0" collapsed="false">
      <c r="A24" s="34" t="str">
        <f aca="false">'مواد المخزون'!A19</f>
        <v>برسيون قشطة</v>
      </c>
      <c r="B24" s="36" t="str">
        <f aca="false">'مواد المخزون'!B19</f>
        <v>قطعة</v>
      </c>
      <c r="C24" s="109" t="n">
        <f aca="false">'مواد المخزون'!E19</f>
        <v>25</v>
      </c>
      <c r="D24" s="110" t="n">
        <f aca="false">'جرد أول المدة'!C22</f>
        <v>14</v>
      </c>
      <c r="E24" s="110" t="n">
        <f aca="false">SUMIFS('مشتريات يومية'!$D$2:$D$4001,'مشتريات يومية'!$B$2:$B$4001,$B$2,'مشتريات يومية'!$C$2:$C$4001,$A24,'مشتريات يومية'!$A$2:$A$4001,"&gt;="&amp;'إعدادات المخزون'!$B$5,'مشتريات يومية'!$A$2:$A$4001,"&lt;="&amp;'إعدادات المخزون'!$B$4)</f>
        <v>30</v>
      </c>
      <c r="F24" s="110" t="n">
        <f aca="false">SUMIFS('هالك وتحويلات'!$E$2:$E$3001,'هالك وتحويلات'!$B$2:$B$3001,$B$2,'هالك وتحويلات'!$C$2:$C$3001,$A24,'هالك وتحويلات'!$D$2:$D$3001,"تحويل وارد",'هالك وتحويلات'!$A$2:$A$3001,"&gt;="&amp;'إعدادات المخزون'!$B$5,'هالك وتحويلات'!$A$2:$A$3001,"&lt;="&amp;'إعدادات المخزون'!$B$4)</f>
        <v>0</v>
      </c>
      <c r="G24" s="110" t="n">
        <f aca="false">SUMIFS('هالك وتحويلات'!$E$2:$E$3001,'هالك وتحويلات'!$B$2:$B$3001,$B$2,'هالك وتحويلات'!$C$2:$C$3001,$A24,'هالك وتحويلات'!$D$2:$D$3001,"تحويل صادر",'هالك وتحويلات'!$A$2:$A$3001,"&gt;="&amp;'إعدادات المخزون'!$B$5,'هالك وتحويلات'!$A$2:$A$3001,"&lt;="&amp;'إعدادات المخزون'!$B$4)</f>
        <v>0</v>
      </c>
      <c r="H24" s="110" t="n">
        <f aca="false">SUMPRODUCT('مصفوفة الاستهلاك'!$S$2:$S$190,'متجهات المبيعات'!$C$2:$C$190)/'مواد المخزون'!$D$19</f>
        <v>21.9996</v>
      </c>
      <c r="I24" s="110" t="n">
        <f aca="false">SUMIFS('هالك وتحويلات'!$E$2:$E$3001,'هالك وتحويلات'!$B$2:$B$3001,$B$2,'هالك وتحويلات'!$C$2:$C$3001,$A24,'هالك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وتحويلات'!$C$2:$C$3001,$A24,'هالك وتحويلات'!$D$2:$D$3001,"ضيافة / أكل موظفين",'هالك وتحويلات'!$A$2:$A$3001,"&gt;="&amp;'إعدادات المخزون'!$B$5,'هالك وتحويلات'!$A$2:$A$3001,"&lt;="&amp;'إعدادات المخزون'!$B$4)</f>
        <v>0</v>
      </c>
      <c r="J24" s="110" t="n">
        <f aca="false">D24+E24+F24-G24-H24-I24</f>
        <v>22.0004</v>
      </c>
      <c r="K24" s="36" t="str">
        <f aca="false">IF(COUNTIFS('جرد فعلي'!$B$2:$B$12001,$B$2,'جرد فعلي'!$C$2:$C$12001,$A24,'جرد فعلي'!$A$2:$A$12001,'إعدادات المخزون'!$B$4)&gt;0,"نعم","لا")</f>
        <v>لا</v>
      </c>
      <c r="L24" s="111" t="str">
        <f aca="false">IF(K24="نعم",SUMIFS('جرد فعلي'!$D$2:$D$12001,'جرد فعلي'!$B$2:$B$12001,$B$2,'جرد فعلي'!$C$2:$C$12001,$A24,'جرد فعلي'!$A$2:$A$12001,'إعدادات المخزون'!$B$4),"")</f>
        <v/>
      </c>
      <c r="M24" s="110" t="str">
        <f aca="false">IF(K24="نعم",L24-J24,"")</f>
        <v/>
      </c>
      <c r="N24" s="112" t="str">
        <f aca="false">IF(K24="نعم",IF(J24=0,IF(M24=0,0,SIGN(M24)),M24/ABS(J24)),"")</f>
        <v/>
      </c>
      <c r="O24" s="109" t="str">
        <f aca="false">IF(K24="نعم",M24*C24,"")</f>
        <v/>
      </c>
      <c r="P24" s="36" t="str">
        <f aca="false">IF(K24&lt;&gt;"نعم","لم يُجرد",IF(ABS(N24)&lt;='إعدادات المخزون'!$B$7,"مطابق",IF(M24&lt;0,"عجز","زيادة")))</f>
        <v>لم يُجرد</v>
      </c>
      <c r="Q24" s="110" t="n">
        <f aca="false">J24-Z24</f>
        <v>23.8337</v>
      </c>
      <c r="R24" s="110" t="str">
        <f aca="false">IF(COUNTIFS('جرد فعلي'!$B$2:$B$12001,$B$2,'جرد فعلي'!$C$2:$C$12001,$A24,'جرد فعلي'!$A$2:$A$12001,'إعدادات المخزون'!$B$4-1)&gt;0,SUMIFS('جرد فعلي'!$D$2:$D$12001,'جرد فعلي'!$B$2:$B$12001,$B$2,'جرد فعلي'!$C$2:$C$12001,$A24,'جرد فعلي'!$A$2:$A$12001,'إعدادات المخزون'!$B$4-1),"")</f>
        <v/>
      </c>
      <c r="S24" s="110" t="str">
        <f aca="false">IF(AND(K24="نعم",R24&lt;&gt;""),(L24-J24)-(R24-Q24),"")</f>
        <v/>
      </c>
      <c r="T24" s="109" t="str">
        <f aca="false">IF(S24="","",S24*C24)</f>
        <v/>
      </c>
      <c r="U24" s="110" t="n">
        <f aca="false">IF(K24="نعم",L24,J24)</f>
        <v>22.0004</v>
      </c>
      <c r="V24" s="110" t="n">
        <f aca="false">SUMPRODUCT('مصفوفة الاستهلاك'!$S$2:$S$190,'متجهات المبيعات'!$D$2:$D$190)/'مواد المخزون'!$D$19/MAX(1,MIN('إعدادات المخزون'!$B$11,'إعدادات المخزون'!$B$4-'إعدادات المخزون'!$B$5+1))</f>
        <v>1.8333</v>
      </c>
      <c r="W24" s="110" t="n">
        <f aca="false">IF(V24&lt;=0,0,ROUNDUP(MAX(0,V24*('إعدادات المخزون'!$B$8+'إعدادات المخزون'!$B$9+'إعدادات المخزون'!$B$10)-MAX(U24,0))/'مواد المخزون'!$F19,0)*'مواد المخزون'!$F19)</f>
        <v>0</v>
      </c>
      <c r="X24" s="109" t="n">
        <f aca="false">IF(AND(K24="نعم",O24&lt;0),-O24+ROW()*0.000000001,0)</f>
        <v>0</v>
      </c>
      <c r="Y24" s="109" t="n">
        <f aca="false">IF(AND(K24="نعم",O24&gt;0),O24+ROW()*0.000000001,0)</f>
        <v>0</v>
      </c>
      <c r="Z24" s="110" t="n">
        <f aca="false">SUMIFS('مشتريات يومية'!$D$2:$D$4001,'مشتريات يومية'!$B$2:$B$4001,$B$2,'مشتريات يومية'!$C$2:$C$4001,$A24,'مشتريات يومية'!$A$2:$A$4001,'إعدادات المخزون'!$B$4)+SUMIFS('هالك وتحويلات'!$E$2:$E$3001,'هالك وتحويلات'!$B$2:$B$3001,$B$2,'هالك وتحويلات'!$C$2:$C$3001,$A24,'هالك وتحويلات'!$D$2:$D$3001,"تحويل وارد",'هالك وتحويلات'!$A$2:$A$3001,'إعدادات المخزون'!$B$4)-SUMIFS('هالك وتحويلات'!$E$2:$E$3001,'هالك وتحويلات'!$B$2:$B$3001,$B$2,'هالك وتحويلات'!$C$2:$C$3001,$A24,'هالك وتحويلات'!$D$2:$D$3001,"تحويل صادر",'هالك وتحويلات'!$A$2:$A$3001,'إعدادات المخزون'!$B$4)-SUMIFS('هالك وتحويلات'!$E$2:$E$3001,'هالك وتحويلات'!$B$2:$B$3001,$B$2,'هالك وتحويلات'!$C$2:$C$3001,$A24,'هالك وتحويلات'!$D$2:$D$3001,"هالك",'هالك وتحويلات'!$A$2:$A$3001,'إعدادات المخزون'!$B$4)-SUMIFS('هالك وتحويلات'!$E$2:$E$3001,'هالك وتحويلات'!$B$2:$B$3001,$B$2,'هالك وتحويلات'!$C$2:$C$3001,$A24,'هالك وتحويلات'!$D$2:$D$3001,"ضيافة / أكل موظفين",'هالك وتحويلات'!$A$2:$A$3001,'إعدادات المخزون'!$B$4)-SUMPRODUCT('مصفوفة الاستهلاك'!$S$2:$S$190,'متجهات المبيعات'!$B$2:$B$190)/'مواد المخزون'!$D$19</f>
        <v>-1.8333</v>
      </c>
      <c r="AA24" s="109" t="n">
        <f aca="false">IF(K24="نعم",O24,0)</f>
        <v>0</v>
      </c>
      <c r="AB24" s="109" t="n">
        <f aca="false">IF(K24="نعم",J24*C24,0)</f>
        <v>0</v>
      </c>
      <c r="AC24" s="109" t="n">
        <f aca="false">IF(T24="",0,T24)</f>
        <v>0</v>
      </c>
    </row>
    <row r="25" customFormat="false" ht="15" hidden="false" customHeight="false" outlineLevel="0" collapsed="false">
      <c r="A25" s="34" t="str">
        <f aca="false">'مواد المخزون'!A20</f>
        <v>برسيون لحمة مفرومة</v>
      </c>
      <c r="B25" s="36" t="str">
        <f aca="false">'مواد المخزون'!B20</f>
        <v>قطعة</v>
      </c>
      <c r="C25" s="109" t="n">
        <f aca="false">'مواد المخزون'!E20</f>
        <v>21</v>
      </c>
      <c r="D25" s="110" t="n">
        <f aca="false">'جرد أول المدة'!C23</f>
        <v>38</v>
      </c>
      <c r="E25" s="110" t="n">
        <f aca="false">SUMIFS('مشتريات يومية'!$D$2:$D$4001,'مشتريات يومية'!$B$2:$B$4001,$B$2,'مشتريات يومية'!$C$2:$C$4001,$A25,'مشتريات يومية'!$A$2:$A$4001,"&gt;="&amp;'إعدادات المخزون'!$B$5,'مشتريات يومية'!$A$2:$A$4001,"&lt;="&amp;'إعدادات المخزون'!$B$4)</f>
        <v>10</v>
      </c>
      <c r="F25" s="110" t="n">
        <f aca="false">SUMIFS('هالك وتحويلات'!$E$2:$E$3001,'هالك وتحويلات'!$B$2:$B$3001,$B$2,'هالك وتحويلات'!$C$2:$C$3001,$A25,'هالك وتحويلات'!$D$2:$D$3001,"تحويل وارد",'هالك وتحويلات'!$A$2:$A$3001,"&gt;="&amp;'إعدادات المخزون'!$B$5,'هالك وتحويلات'!$A$2:$A$3001,"&lt;="&amp;'إعدادات المخزون'!$B$4)</f>
        <v>0</v>
      </c>
      <c r="G25" s="110" t="n">
        <f aca="false">SUMIFS('هالك وتحويلات'!$E$2:$E$3001,'هالك وتحويلات'!$B$2:$B$3001,$B$2,'هالك وتحويلات'!$C$2:$C$3001,$A25,'هالك وتحويلات'!$D$2:$D$3001,"تحويل صادر",'هالك وتحويلات'!$A$2:$A$3001,"&gt;="&amp;'إعدادات المخزون'!$B$5,'هالك وتحويلات'!$A$2:$A$3001,"&lt;="&amp;'إعدادات المخزون'!$B$4)</f>
        <v>0</v>
      </c>
      <c r="H25" s="110" t="n">
        <f aca="false">SUMPRODUCT('مصفوفة الاستهلاك'!$T$2:$T$190,'متجهات المبيعات'!$C$2:$C$190)/'مواد المخزون'!$D$20</f>
        <v>24</v>
      </c>
      <c r="I25" s="110" t="n">
        <f aca="false">SUMIFS('هالك وتحويلات'!$E$2:$E$3001,'هالك وتحويلات'!$B$2:$B$3001,$B$2,'هالك وتحويلات'!$C$2:$C$3001,$A25,'هالك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وتحويلات'!$C$2:$C$3001,$A25,'هالك وتحويلات'!$D$2:$D$3001,"ضيافة / أكل موظفين",'هالك وتحويلات'!$A$2:$A$3001,"&gt;="&amp;'إعدادات المخزون'!$B$5,'هالك وتحويلات'!$A$2:$A$3001,"&lt;="&amp;'إعدادات المخزون'!$B$4)</f>
        <v>0</v>
      </c>
      <c r="J25" s="110" t="n">
        <f aca="false">D25+E25+F25-G25-H25-I25</f>
        <v>24</v>
      </c>
      <c r="K25" s="36" t="str">
        <f aca="false">IF(COUNTIFS('جرد فعلي'!$B$2:$B$12001,$B$2,'جرد فعلي'!$C$2:$C$12001,$A25,'جرد فعلي'!$A$2:$A$12001,'إعدادات المخزون'!$B$4)&gt;0,"نعم","لا")</f>
        <v>لا</v>
      </c>
      <c r="L25" s="111" t="str">
        <f aca="false">IF(K25="نعم",SUMIFS('جرد فعلي'!$D$2:$D$12001,'جرد فعلي'!$B$2:$B$12001,$B$2,'جرد فعلي'!$C$2:$C$12001,$A25,'جرد فعلي'!$A$2:$A$12001,'إعدادات المخزون'!$B$4),"")</f>
        <v/>
      </c>
      <c r="M25" s="110" t="str">
        <f aca="false">IF(K25="نعم",L25-J25,"")</f>
        <v/>
      </c>
      <c r="N25" s="112" t="str">
        <f aca="false">IF(K25="نعم",IF(J25=0,IF(M25=0,0,SIGN(M25)),M25/ABS(J25)),"")</f>
        <v/>
      </c>
      <c r="O25" s="109" t="str">
        <f aca="false">IF(K25="نعم",M25*C25,"")</f>
        <v/>
      </c>
      <c r="P25" s="36" t="str">
        <f aca="false">IF(K25&lt;&gt;"نعم","لم يُجرد",IF(ABS(N25)&lt;='إعدادات المخزون'!$B$7,"مطابق",IF(M25&lt;0,"عجز","زيادة")))</f>
        <v>لم يُجرد</v>
      </c>
      <c r="Q25" s="110" t="n">
        <f aca="false">J25-Z25</f>
        <v>26</v>
      </c>
      <c r="R25" s="110" t="str">
        <f aca="false">IF(COUNTIFS('جرد فعلي'!$B$2:$B$12001,$B$2,'جرد فعلي'!$C$2:$C$12001,$A25,'جرد فعلي'!$A$2:$A$12001,'إعدادات المخزون'!$B$4-1)&gt;0,SUMIFS('جرد فعلي'!$D$2:$D$12001,'جرد فعلي'!$B$2:$B$12001,$B$2,'جرد فعلي'!$C$2:$C$12001,$A25,'جرد فعلي'!$A$2:$A$12001,'إعدادات المخزون'!$B$4-1),"")</f>
        <v/>
      </c>
      <c r="S25" s="110" t="str">
        <f aca="false">IF(AND(K25="نعم",R25&lt;&gt;""),(L25-J25)-(R25-Q25),"")</f>
        <v/>
      </c>
      <c r="T25" s="109" t="str">
        <f aca="false">IF(S25="","",S25*C25)</f>
        <v/>
      </c>
      <c r="U25" s="110" t="n">
        <f aca="false">IF(K25="نعم",L25,J25)</f>
        <v>24</v>
      </c>
      <c r="V25" s="110" t="n">
        <f aca="false">SUMPRODUCT('مصفوفة الاستهلاك'!$T$2:$T$190,'متجهات المبيعات'!$D$2:$D$190)/'مواد المخزون'!$D$20/MAX(1,MIN('إعدادات المخزون'!$B$11,'إعدادات المخزون'!$B$4-'إعدادات المخزون'!$B$5+1))</f>
        <v>2</v>
      </c>
      <c r="W25" s="110" t="n">
        <f aca="false">IF(V25&lt;=0,0,ROUNDUP(MAX(0,V25*('إعدادات المخزون'!$B$8+'إعدادات المخزون'!$B$9+'إعدادات المخزون'!$B$10)-MAX(U25,0))/'مواد المخزون'!$F20,0)*'مواد المخزون'!$F20)</f>
        <v>0</v>
      </c>
      <c r="X25" s="109" t="n">
        <f aca="false">IF(AND(K25="نعم",O25&lt;0),-O25+ROW()*0.000000001,0)</f>
        <v>0</v>
      </c>
      <c r="Y25" s="109" t="n">
        <f aca="false">IF(AND(K25="نعم",O25&gt;0),O25+ROW()*0.000000001,0)</f>
        <v>0</v>
      </c>
      <c r="Z25" s="110" t="n">
        <f aca="false">SUMIFS('مشتريات يومية'!$D$2:$D$4001,'مشتريات يومية'!$B$2:$B$4001,$B$2,'مشتريات يومية'!$C$2:$C$4001,$A25,'مشتريات يومية'!$A$2:$A$4001,'إعدادات المخزون'!$B$4)+SUMIFS('هالك وتحويلات'!$E$2:$E$3001,'هالك وتحويلات'!$B$2:$B$3001,$B$2,'هالك وتحويلات'!$C$2:$C$3001,$A25,'هالك وتحويلات'!$D$2:$D$3001,"تحويل وارد",'هالك وتحويلات'!$A$2:$A$3001,'إعدادات المخزون'!$B$4)-SUMIFS('هالك وتحويلات'!$E$2:$E$3001,'هالك وتحويلات'!$B$2:$B$3001,$B$2,'هالك وتحويلات'!$C$2:$C$3001,$A25,'هالك وتحويلات'!$D$2:$D$3001,"تحويل صادر",'هالك وتحويلات'!$A$2:$A$3001,'إعدادات المخزون'!$B$4)-SUMIFS('هالك وتحويلات'!$E$2:$E$3001,'هالك وتحويلات'!$B$2:$B$3001,$B$2,'هالك وتحويلات'!$C$2:$C$3001,$A25,'هالك وتحويلات'!$D$2:$D$3001,"هالك",'هالك وتحويلات'!$A$2:$A$3001,'إعدادات المخزون'!$B$4)-SUMIFS('هالك وتحويلات'!$E$2:$E$3001,'هالك وتحويلات'!$B$2:$B$3001,$B$2,'هالك وتحويلات'!$C$2:$C$3001,$A25,'هالك وتحويلات'!$D$2:$D$3001,"ضيافة / أكل موظفين",'هالك وتحويلات'!$A$2:$A$3001,'إعدادات المخزون'!$B$4)-SUMPRODUCT('مصفوفة الاستهلاك'!$T$2:$T$190,'متجهات المبيعات'!$B$2:$B$190)/'مواد المخزون'!$D$20</f>
        <v>-2</v>
      </c>
      <c r="AA25" s="109" t="n">
        <f aca="false">IF(K25="نعم",O25,0)</f>
        <v>0</v>
      </c>
      <c r="AB25" s="109" t="n">
        <f aca="false">IF(K25="نعم",J25*C25,0)</f>
        <v>0</v>
      </c>
      <c r="AC25" s="109" t="n">
        <f aca="false">IF(T25="",0,T25)</f>
        <v>0</v>
      </c>
    </row>
    <row r="26" customFormat="false" ht="15" hidden="false" customHeight="false" outlineLevel="0" collapsed="false">
      <c r="A26" s="34" t="str">
        <f aca="false">'مواد المخزون'!A21</f>
        <v>برسيون مكسرات</v>
      </c>
      <c r="B26" s="36" t="str">
        <f aca="false">'مواد المخزون'!B21</f>
        <v>قطعة</v>
      </c>
      <c r="C26" s="109" t="n">
        <f aca="false">'مواد المخزون'!E21</f>
        <v>23</v>
      </c>
      <c r="D26" s="110" t="n">
        <f aca="false">'جرد أول المدة'!C24</f>
        <v>6</v>
      </c>
      <c r="E26" s="110" t="n">
        <f aca="false">SUMIFS('مشتريات يومية'!$D$2:$D$4001,'مشتريات يومية'!$B$2:$B$4001,$B$2,'مشتريات يومية'!$C$2:$C$4001,$A26,'مشتريات يومية'!$A$2:$A$4001,"&gt;="&amp;'إعدادات المخزون'!$B$5,'مشتريات يومية'!$A$2:$A$4001,"&lt;="&amp;'إعدادات المخزون'!$B$4)</f>
        <v>40</v>
      </c>
      <c r="F26" s="110" t="n">
        <f aca="false">SUMIFS('هالك وتحويلات'!$E$2:$E$3001,'هالك وتحويلات'!$B$2:$B$3001,$B$2,'هالك وتحويلات'!$C$2:$C$3001,$A26,'هالك وتحويلات'!$D$2:$D$3001,"تحويل وارد",'هالك وتحويلات'!$A$2:$A$3001,"&gt;="&amp;'إعدادات المخزون'!$B$5,'هالك وتحويلات'!$A$2:$A$3001,"&lt;="&amp;'إعدادات المخزون'!$B$4)</f>
        <v>0</v>
      </c>
      <c r="G26" s="110" t="n">
        <f aca="false">SUMIFS('هالك وتحويلات'!$E$2:$E$3001,'هالك وتحويلات'!$B$2:$B$3001,$B$2,'هالك وتحويلات'!$C$2:$C$3001,$A26,'هالك وتحويلات'!$D$2:$D$3001,"تحويل صادر",'هالك وتحويلات'!$A$2:$A$3001,"&gt;="&amp;'إعدادات المخزون'!$B$5,'هالك وتحويلات'!$A$2:$A$3001,"&lt;="&amp;'إعدادات المخزون'!$B$4)</f>
        <v>0</v>
      </c>
      <c r="H26" s="110" t="n">
        <f aca="false">SUMPRODUCT('مصفوفة الاستهلاك'!$U$2:$U$190,'متجهات المبيعات'!$C$2:$C$190)/'مواد المخزون'!$D$21</f>
        <v>35.0004</v>
      </c>
      <c r="I26" s="110" t="n">
        <f aca="false">SUMIFS('هالك وتحويلات'!$E$2:$E$3001,'هالك وتحويلات'!$B$2:$B$3001,$B$2,'هالك وتحويلات'!$C$2:$C$3001,$A26,'هالك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وتحويلات'!$C$2:$C$3001,$A26,'هالك وتحويلات'!$D$2:$D$3001,"ضيافة / أكل موظفين",'هالك وتحويلات'!$A$2:$A$3001,"&gt;="&amp;'إعدادات المخزون'!$B$5,'هالك وتحويلات'!$A$2:$A$3001,"&lt;="&amp;'إعدادات المخزون'!$B$4)</f>
        <v>0</v>
      </c>
      <c r="J26" s="110" t="n">
        <f aca="false">D26+E26+F26-G26-H26-I26</f>
        <v>10.9996</v>
      </c>
      <c r="K26" s="36" t="str">
        <f aca="false">IF(COUNTIFS('جرد فعلي'!$B$2:$B$12001,$B$2,'جرد فعلي'!$C$2:$C$12001,$A26,'جرد فعلي'!$A$2:$A$12001,'إعدادات المخزون'!$B$4)&gt;0,"نعم","لا")</f>
        <v>لا</v>
      </c>
      <c r="L26" s="111" t="str">
        <f aca="false">IF(K26="نعم",SUMIFS('جرد فعلي'!$D$2:$D$12001,'جرد فعلي'!$B$2:$B$12001,$B$2,'جرد فعلي'!$C$2:$C$12001,$A26,'جرد فعلي'!$A$2:$A$12001,'إعدادات المخزون'!$B$4),"")</f>
        <v/>
      </c>
      <c r="M26" s="110" t="str">
        <f aca="false">IF(K26="نعم",L26-J26,"")</f>
        <v/>
      </c>
      <c r="N26" s="112" t="str">
        <f aca="false">IF(K26="نعم",IF(J26=0,IF(M26=0,0,SIGN(M26)),M26/ABS(J26)),"")</f>
        <v/>
      </c>
      <c r="O26" s="109" t="str">
        <f aca="false">IF(K26="نعم",M26*C26,"")</f>
        <v/>
      </c>
      <c r="P26" s="36" t="str">
        <f aca="false">IF(K26&lt;&gt;"نعم","لم يُجرد",IF(ABS(N26)&lt;='إعدادات المخزون'!$B$7,"مطابق",IF(M26&lt;0,"عجز","زيادة")))</f>
        <v>لم يُجرد</v>
      </c>
      <c r="Q26" s="110" t="n">
        <f aca="false">J26-Z26</f>
        <v>13.9163</v>
      </c>
      <c r="R26" s="110" t="str">
        <f aca="false">IF(COUNTIFS('جرد فعلي'!$B$2:$B$12001,$B$2,'جرد فعلي'!$C$2:$C$12001,$A26,'جرد فعلي'!$A$2:$A$12001,'إعدادات المخزون'!$B$4-1)&gt;0,SUMIFS('جرد فعلي'!$D$2:$D$12001,'جرد فعلي'!$B$2:$B$12001,$B$2,'جرد فعلي'!$C$2:$C$12001,$A26,'جرد فعلي'!$A$2:$A$12001,'إعدادات المخزون'!$B$4-1),"")</f>
        <v/>
      </c>
      <c r="S26" s="110" t="str">
        <f aca="false">IF(AND(K26="نعم",R26&lt;&gt;""),(L26-J26)-(R26-Q26),"")</f>
        <v/>
      </c>
      <c r="T26" s="109" t="str">
        <f aca="false">IF(S26="","",S26*C26)</f>
        <v/>
      </c>
      <c r="U26" s="110" t="n">
        <f aca="false">IF(K26="نعم",L26,J26)</f>
        <v>10.9996</v>
      </c>
      <c r="V26" s="110" t="n">
        <f aca="false">SUMPRODUCT('مصفوفة الاستهلاك'!$U$2:$U$190,'متجهات المبيعات'!$D$2:$D$190)/'مواد المخزون'!$D$21/MAX(1,MIN('إعدادات المخزون'!$B$11,'إعدادات المخزون'!$B$4-'إعدادات المخزون'!$B$5+1))</f>
        <v>2.9167</v>
      </c>
      <c r="W26" s="110" t="n">
        <f aca="false">IF(V26&lt;=0,0,ROUNDUP(MAX(0,V26*('إعدادات المخزون'!$B$8+'إعدادات المخزون'!$B$9+'إعدادات المخزون'!$B$10)-MAX(U26,0))/'مواد المخزون'!$F21,0)*'مواد المخزون'!$F21)</f>
        <v>1</v>
      </c>
      <c r="X26" s="109" t="n">
        <f aca="false">IF(AND(K26="نعم",O26&lt;0),-O26+ROW()*0.000000001,0)</f>
        <v>0</v>
      </c>
      <c r="Y26" s="109" t="n">
        <f aca="false">IF(AND(K26="نعم",O26&gt;0),O26+ROW()*0.000000001,0)</f>
        <v>0</v>
      </c>
      <c r="Z26" s="110" t="n">
        <f aca="false">SUMIFS('مشتريات يومية'!$D$2:$D$4001,'مشتريات يومية'!$B$2:$B$4001,$B$2,'مشتريات يومية'!$C$2:$C$4001,$A26,'مشتريات يومية'!$A$2:$A$4001,'إعدادات المخزون'!$B$4)+SUMIFS('هالك وتحويلات'!$E$2:$E$3001,'هالك وتحويلات'!$B$2:$B$3001,$B$2,'هالك وتحويلات'!$C$2:$C$3001,$A26,'هالك وتحويلات'!$D$2:$D$3001,"تحويل وارد",'هالك وتحويلات'!$A$2:$A$3001,'إعدادات المخزون'!$B$4)-SUMIFS('هالك وتحويلات'!$E$2:$E$3001,'هالك وتحويلات'!$B$2:$B$3001,$B$2,'هالك وتحويلات'!$C$2:$C$3001,$A26,'هالك وتحويلات'!$D$2:$D$3001,"تحويل صادر",'هالك وتحويلات'!$A$2:$A$3001,'إعدادات المخزون'!$B$4)-SUMIFS('هالك وتحويلات'!$E$2:$E$3001,'هالك وتحويلات'!$B$2:$B$3001,$B$2,'هالك وتحويلات'!$C$2:$C$3001,$A26,'هالك وتحويلات'!$D$2:$D$3001,"هالك",'هالك وتحويلات'!$A$2:$A$3001,'إعدادات المخزون'!$B$4)-SUMIFS('هالك وتحويلات'!$E$2:$E$3001,'هالك وتحويلات'!$B$2:$B$3001,$B$2,'هالك وتحويلات'!$C$2:$C$3001,$A26,'هالك وتحويلات'!$D$2:$D$3001,"ضيافة / أكل موظفين",'هالك وتحويلات'!$A$2:$A$3001,'إعدادات المخزون'!$B$4)-SUMPRODUCT('مصفوفة الاستهلاك'!$U$2:$U$190,'متجهات المبيعات'!$B$2:$B$190)/'مواد المخزون'!$D$21</f>
        <v>-2.9167</v>
      </c>
      <c r="AA26" s="109" t="n">
        <f aca="false">IF(K26="نعم",O26,0)</f>
        <v>0</v>
      </c>
      <c r="AB26" s="109" t="n">
        <f aca="false">IF(K26="نعم",J26*C26,0)</f>
        <v>0</v>
      </c>
      <c r="AC26" s="109" t="n">
        <f aca="false">IF(T26="",0,T26)</f>
        <v>0</v>
      </c>
    </row>
    <row r="27" customFormat="false" ht="15" hidden="false" customHeight="false" outlineLevel="0" collapsed="false">
      <c r="A27" s="34" t="str">
        <f aca="false">'مواد المخزون'!A22</f>
        <v>برسيون موتزريلا بيتزا صغير</v>
      </c>
      <c r="B27" s="36" t="str">
        <f aca="false">'مواد المخزون'!B22</f>
        <v>قطعة</v>
      </c>
      <c r="C27" s="109" t="n">
        <f aca="false">'مواد المخزون'!E22</f>
        <v>20</v>
      </c>
      <c r="D27" s="110" t="n">
        <f aca="false">'جرد أول المدة'!C25</f>
        <v>75</v>
      </c>
      <c r="E27" s="110" t="n">
        <f aca="false">SUMIFS('مشتريات يومية'!$D$2:$D$4001,'مشتريات يومية'!$B$2:$B$4001,$B$2,'مشتريات يومية'!$C$2:$C$4001,$A27,'مشتريات يومية'!$A$2:$A$4001,"&gt;="&amp;'إعدادات المخزون'!$B$5,'مشتريات يومية'!$A$2:$A$4001,"&lt;="&amp;'إعدادات المخزون'!$B$4)</f>
        <v>705</v>
      </c>
      <c r="F27" s="110" t="n">
        <f aca="false">SUMIFS('هالك وتحويلات'!$E$2:$E$3001,'هالك وتحويلات'!$B$2:$B$3001,$B$2,'هالك وتحويلات'!$C$2:$C$3001,$A27,'هالك وتحويلات'!$D$2:$D$3001,"تحويل وارد",'هالك وتحويلات'!$A$2:$A$3001,"&gt;="&amp;'إعدادات المخزون'!$B$5,'هالك وتحويلات'!$A$2:$A$3001,"&lt;="&amp;'إعدادات المخزون'!$B$4)</f>
        <v>0</v>
      </c>
      <c r="G27" s="110" t="n">
        <f aca="false">SUMIFS('هالك وتحويلات'!$E$2:$E$3001,'هالك وتحويلات'!$B$2:$B$3001,$B$2,'هالك وتحويلات'!$C$2:$C$3001,$A27,'هالك وتحويلات'!$D$2:$D$3001,"تحويل صادر",'هالك وتحويلات'!$A$2:$A$3001,"&gt;="&amp;'إعدادات المخزون'!$B$5,'هالك وتحويلات'!$A$2:$A$3001,"&lt;="&amp;'إعدادات المخزون'!$B$4)</f>
        <v>0</v>
      </c>
      <c r="H27" s="110" t="n">
        <f aca="false">SUMPRODUCT('مصفوفة الاستهلاك'!$V$2:$V$190,'متجهات المبيعات'!$C$2:$C$190)/'مواد المخزون'!$D$22</f>
        <v>668.4972</v>
      </c>
      <c r="I27" s="110" t="n">
        <f aca="false">SUMIFS('هالك وتحويلات'!$E$2:$E$3001,'هالك وتحويلات'!$B$2:$B$3001,$B$2,'هالك وتحويلات'!$C$2:$C$3001,$A27,'هالك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وتحويلات'!$C$2:$C$3001,$A27,'هالك وتحويلات'!$D$2:$D$3001,"ضيافة / أكل موظفين",'هالك وتحويلات'!$A$2:$A$3001,"&gt;="&amp;'إعدادات المخزون'!$B$5,'هالك وتحويلات'!$A$2:$A$3001,"&lt;="&amp;'إعدادات المخزون'!$B$4)</f>
        <v>0</v>
      </c>
      <c r="J27" s="110" t="n">
        <f aca="false">D27+E27+F27-G27-H27-I27</f>
        <v>111.5028</v>
      </c>
      <c r="K27" s="36" t="str">
        <f aca="false">IF(COUNTIFS('جرد فعلي'!$B$2:$B$12001,$B$2,'جرد فعلي'!$C$2:$C$12001,$A27,'جرد فعلي'!$A$2:$A$12001,'إعدادات المخزون'!$B$4)&gt;0,"نعم","لا")</f>
        <v>لا</v>
      </c>
      <c r="L27" s="111" t="str">
        <f aca="false">IF(K27="نعم",SUMIFS('جرد فعلي'!$D$2:$D$12001,'جرد فعلي'!$B$2:$B$12001,$B$2,'جرد فعلي'!$C$2:$C$12001,$A27,'جرد فعلي'!$A$2:$A$12001,'إعدادات المخزون'!$B$4),"")</f>
        <v/>
      </c>
      <c r="M27" s="110" t="str">
        <f aca="false">IF(K27="نعم",L27-J27,"")</f>
        <v/>
      </c>
      <c r="N27" s="112" t="str">
        <f aca="false">IF(K27="نعم",IF(J27=0,IF(M27=0,0,SIGN(M27)),M27/ABS(J27)),"")</f>
        <v/>
      </c>
      <c r="O27" s="109" t="str">
        <f aca="false">IF(K27="نعم",M27*C27,"")</f>
        <v/>
      </c>
      <c r="P27" s="36" t="str">
        <f aca="false">IF(K27&lt;&gt;"نعم","لم يُجرد",IF(ABS(N27)&lt;='إعدادات المخزون'!$B$7,"مطابق",IF(M27&lt;0,"عجز","زيادة")))</f>
        <v>لم يُجرد</v>
      </c>
      <c r="Q27" s="110" t="n">
        <f aca="false">J27-Z27</f>
        <v>167.2109</v>
      </c>
      <c r="R27" s="110" t="str">
        <f aca="false">IF(COUNTIFS('جرد فعلي'!$B$2:$B$12001,$B$2,'جرد فعلي'!$C$2:$C$12001,$A27,'جرد فعلي'!$A$2:$A$12001,'إعدادات المخزون'!$B$4-1)&gt;0,SUMIFS('جرد فعلي'!$D$2:$D$12001,'جرد فعلي'!$B$2:$B$12001,$B$2,'جرد فعلي'!$C$2:$C$12001,$A27,'جرد فعلي'!$A$2:$A$12001,'إعدادات المخزون'!$B$4-1),"")</f>
        <v/>
      </c>
      <c r="S27" s="110" t="str">
        <f aca="false">IF(AND(K27="نعم",R27&lt;&gt;""),(L27-J27)-(R27-Q27),"")</f>
        <v/>
      </c>
      <c r="T27" s="109" t="str">
        <f aca="false">IF(S27="","",S27*C27)</f>
        <v/>
      </c>
      <c r="U27" s="110" t="n">
        <f aca="false">IF(K27="نعم",L27,J27)</f>
        <v>111.5028</v>
      </c>
      <c r="V27" s="110" t="n">
        <f aca="false">SUMPRODUCT('مصفوفة الاستهلاك'!$V$2:$V$190,'متجهات المبيعات'!$D$2:$D$190)/'مواد المخزون'!$D$22/MAX(1,MIN('إعدادات المخزون'!$B$11,'إعدادات المخزون'!$B$4-'إعدادات المخزون'!$B$5+1))</f>
        <v>55.7081</v>
      </c>
      <c r="W27" s="110" t="n">
        <f aca="false">IF(V27&lt;=0,0,ROUNDUP(MAX(0,V27*('إعدادات المخزون'!$B$8+'إعدادات المخزون'!$B$9+'إعدادات المخزون'!$B$10)-MAX(U27,0))/'مواد المخزون'!$F22,0)*'مواد المخزون'!$F22)</f>
        <v>112</v>
      </c>
      <c r="X27" s="109" t="n">
        <f aca="false">IF(AND(K27="نعم",O27&lt;0),-O27+ROW()*0.000000001,0)</f>
        <v>0</v>
      </c>
      <c r="Y27" s="109" t="n">
        <f aca="false">IF(AND(K27="نعم",O27&gt;0),O27+ROW()*0.000000001,0)</f>
        <v>0</v>
      </c>
      <c r="Z27" s="110" t="n">
        <f aca="false">SUMIFS('مشتريات يومية'!$D$2:$D$4001,'مشتريات يومية'!$B$2:$B$4001,$B$2,'مشتريات يومية'!$C$2:$C$4001,$A27,'مشتريات يومية'!$A$2:$A$4001,'إعدادات المخزون'!$B$4)+SUMIFS('هالك وتحويلات'!$E$2:$E$3001,'هالك وتحويلات'!$B$2:$B$3001,$B$2,'هالك وتحويلات'!$C$2:$C$3001,$A27,'هالك وتحويلات'!$D$2:$D$3001,"تحويل وارد",'هالك وتحويلات'!$A$2:$A$3001,'إعدادات المخزون'!$B$4)-SUMIFS('هالك وتحويلات'!$E$2:$E$3001,'هالك وتحويلات'!$B$2:$B$3001,$B$2,'هالك وتحويلات'!$C$2:$C$3001,$A27,'هالك وتحويلات'!$D$2:$D$3001,"تحويل صادر",'هالك وتحويلات'!$A$2:$A$3001,'إعدادات المخزون'!$B$4)-SUMIFS('هالك وتحويلات'!$E$2:$E$3001,'هالك وتحويلات'!$B$2:$B$3001,$B$2,'هالك وتحويلات'!$C$2:$C$3001,$A27,'هالك وتحويلات'!$D$2:$D$3001,"هالك",'هالك وتحويلات'!$A$2:$A$3001,'إعدادات المخزون'!$B$4)-SUMIFS('هالك وتحويلات'!$E$2:$E$3001,'هالك وتحويلات'!$B$2:$B$3001,$B$2,'هالك وتحويلات'!$C$2:$C$3001,$A27,'هالك وتحويلات'!$D$2:$D$3001,"ضيافة / أكل موظفين",'هالك وتحويلات'!$A$2:$A$3001,'إعدادات المخزون'!$B$4)-SUMPRODUCT('مصفوفة الاستهلاك'!$V$2:$V$190,'متجهات المبيعات'!$B$2:$B$190)/'مواد المخزون'!$D$22</f>
        <v>-55.7081</v>
      </c>
      <c r="AA27" s="109" t="n">
        <f aca="false">IF(K27="نعم",O27,0)</f>
        <v>0</v>
      </c>
      <c r="AB27" s="109" t="n">
        <f aca="false">IF(K27="نعم",J27*C27,0)</f>
        <v>0</v>
      </c>
      <c r="AC27" s="109" t="n">
        <f aca="false">IF(T27="",0,T27)</f>
        <v>0</v>
      </c>
    </row>
    <row r="28" customFormat="false" ht="15" hidden="false" customHeight="false" outlineLevel="0" collapsed="false">
      <c r="A28" s="34" t="str">
        <f aca="false">'مواد المخزون'!A23</f>
        <v>برسيون موتزريلا بيتزا كبير</v>
      </c>
      <c r="B28" s="36" t="str">
        <f aca="false">'مواد المخزون'!B23</f>
        <v>قطعة</v>
      </c>
      <c r="C28" s="109" t="n">
        <f aca="false">'مواد المخزون'!E23</f>
        <v>27.1395</v>
      </c>
      <c r="D28" s="110" t="n">
        <f aca="false">'جرد أول المدة'!C26</f>
        <v>40</v>
      </c>
      <c r="E28" s="110" t="n">
        <f aca="false">SUMIFS('مشتريات يومية'!$D$2:$D$4001,'مشتريات يومية'!$B$2:$B$4001,$B$2,'مشتريات يومية'!$C$2:$C$4001,$A28,'مشتريات يومية'!$A$2:$A$4001,"&gt;="&amp;'إعدادات المخزون'!$B$5,'مشتريات يومية'!$A$2:$A$4001,"&lt;="&amp;'إعدادات المخزون'!$B$4)</f>
        <v>120</v>
      </c>
      <c r="F28" s="110" t="n">
        <f aca="false">SUMIFS('هالك وتحويلات'!$E$2:$E$3001,'هالك وتحويلات'!$B$2:$B$3001,$B$2,'هالك وتحويلات'!$C$2:$C$3001,$A28,'هالك وتحويلات'!$D$2:$D$3001,"تحويل وارد",'هالك وتحويلات'!$A$2:$A$3001,"&gt;="&amp;'إعدادات المخزون'!$B$5,'هالك وتحويلات'!$A$2:$A$3001,"&lt;="&amp;'إعدادات المخزون'!$B$4)</f>
        <v>0</v>
      </c>
      <c r="G28" s="110" t="n">
        <f aca="false">SUMIFS('هالك وتحويلات'!$E$2:$E$3001,'هالك وتحويلات'!$B$2:$B$3001,$B$2,'هالك وتحويلات'!$C$2:$C$3001,$A28,'هالك وتحويلات'!$D$2:$D$3001,"تحويل صادر",'هالك وتحويلات'!$A$2:$A$3001,"&gt;="&amp;'إعدادات المخزون'!$B$5,'هالك وتحويلات'!$A$2:$A$3001,"&lt;="&amp;'إعدادات المخزون'!$B$4)</f>
        <v>0</v>
      </c>
      <c r="H28" s="110" t="n">
        <f aca="false">SUMPRODUCT('مصفوفة الاستهلاك'!$W$2:$W$190,'متجهات المبيعات'!$C$2:$C$190)/'مواد المخزون'!$D$23</f>
        <v>102.4983</v>
      </c>
      <c r="I28" s="110" t="n">
        <f aca="false">SUMIFS('هالك وتحويلات'!$E$2:$E$3001,'هالك وتحويلات'!$B$2:$B$3001,$B$2,'هالك وتحويلات'!$C$2:$C$3001,$A28,'هالك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وتحويلات'!$C$2:$C$3001,$A28,'هالك وتحويلات'!$D$2:$D$3001,"ضيافة / أكل موظفين",'هالك وتحويلات'!$A$2:$A$3001,"&gt;="&amp;'إعدادات المخزون'!$B$5,'هالك وتحويلات'!$A$2:$A$3001,"&lt;="&amp;'إعدادات المخزون'!$B$4)</f>
        <v>0</v>
      </c>
      <c r="J28" s="110" t="n">
        <f aca="false">D28+E28+F28-G28-H28-I28</f>
        <v>57.5017</v>
      </c>
      <c r="K28" s="36" t="str">
        <f aca="false">IF(COUNTIFS('جرد فعلي'!$B$2:$B$12001,$B$2,'جرد فعلي'!$C$2:$C$12001,$A28,'جرد فعلي'!$A$2:$A$12001,'إعدادات المخزون'!$B$4)&gt;0,"نعم","لا")</f>
        <v>لا</v>
      </c>
      <c r="L28" s="111" t="str">
        <f aca="false">IF(K28="نعم",SUMIFS('جرد فعلي'!$D$2:$D$12001,'جرد فعلي'!$B$2:$B$12001,$B$2,'جرد فعلي'!$C$2:$C$12001,$A28,'جرد فعلي'!$A$2:$A$12001,'إعدادات المخزون'!$B$4),"")</f>
        <v/>
      </c>
      <c r="M28" s="110" t="str">
        <f aca="false">IF(K28="نعم",L28-J28,"")</f>
        <v/>
      </c>
      <c r="N28" s="112" t="str">
        <f aca="false">IF(K28="نعم",IF(J28=0,IF(M28=0,0,SIGN(M28)),M28/ABS(J28)),"")</f>
        <v/>
      </c>
      <c r="O28" s="109" t="str">
        <f aca="false">IF(K28="نعم",M28*C28,"")</f>
        <v/>
      </c>
      <c r="P28" s="36" t="str">
        <f aca="false">IF(K28&lt;&gt;"نعم","لم يُجرد",IF(ABS(N28)&lt;='إعدادات المخزون'!$B$7,"مطابق",IF(M28&lt;0,"عجز","زيادة")))</f>
        <v>لم يُجرد</v>
      </c>
      <c r="Q28" s="110" t="n">
        <f aca="false">J28-Z28</f>
        <v>66.043225</v>
      </c>
      <c r="R28" s="110" t="str">
        <f aca="false">IF(COUNTIFS('جرد فعلي'!$B$2:$B$12001,$B$2,'جرد فعلي'!$C$2:$C$12001,$A28,'جرد فعلي'!$A$2:$A$12001,'إعدادات المخزون'!$B$4-1)&gt;0,SUMIFS('جرد فعلي'!$D$2:$D$12001,'جرد فعلي'!$B$2:$B$12001,$B$2,'جرد فعلي'!$C$2:$C$12001,$A28,'جرد فعلي'!$A$2:$A$12001,'إعدادات المخزون'!$B$4-1),"")</f>
        <v/>
      </c>
      <c r="S28" s="110" t="str">
        <f aca="false">IF(AND(K28="نعم",R28&lt;&gt;""),(L28-J28)-(R28-Q28),"")</f>
        <v/>
      </c>
      <c r="T28" s="109" t="str">
        <f aca="false">IF(S28="","",S28*C28)</f>
        <v/>
      </c>
      <c r="U28" s="110" t="n">
        <f aca="false">IF(K28="نعم",L28,J28)</f>
        <v>57.5017</v>
      </c>
      <c r="V28" s="110" t="n">
        <f aca="false">SUMPRODUCT('مصفوفة الاستهلاك'!$W$2:$W$190,'متجهات المبيعات'!$D$2:$D$190)/'مواد المخزون'!$D$23/MAX(1,MIN('إعدادات المخزون'!$B$11,'إعدادات المخزون'!$B$4-'إعدادات المخزون'!$B$5+1))</f>
        <v>8.541525</v>
      </c>
      <c r="W28" s="110" t="n">
        <f aca="false">IF(V28&lt;=0,0,ROUNDUP(MAX(0,V28*('إعدادات المخزون'!$B$8+'إعدادات المخزون'!$B$9+'إعدادات المخزون'!$B$10)-MAX(U28,0))/'مواد المخزون'!$F23,0)*'مواد المخزون'!$F23)</f>
        <v>0</v>
      </c>
      <c r="X28" s="109" t="n">
        <f aca="false">IF(AND(K28="نعم",O28&lt;0),-O28+ROW()*0.000000001,0)</f>
        <v>0</v>
      </c>
      <c r="Y28" s="109" t="n">
        <f aca="false">IF(AND(K28="نعم",O28&gt;0),O28+ROW()*0.000000001,0)</f>
        <v>0</v>
      </c>
      <c r="Z28" s="110" t="n">
        <f aca="false">SUMIFS('مشتريات يومية'!$D$2:$D$4001,'مشتريات يومية'!$B$2:$B$4001,$B$2,'مشتريات يومية'!$C$2:$C$4001,$A28,'مشتريات يومية'!$A$2:$A$4001,'إعدادات المخزون'!$B$4)+SUMIFS('هالك وتحويلات'!$E$2:$E$3001,'هالك وتحويلات'!$B$2:$B$3001,$B$2,'هالك وتحويلات'!$C$2:$C$3001,$A28,'هالك وتحويلات'!$D$2:$D$3001,"تحويل وارد",'هالك وتحويلات'!$A$2:$A$3001,'إعدادات المخزون'!$B$4)-SUMIFS('هالك وتحويلات'!$E$2:$E$3001,'هالك وتحويلات'!$B$2:$B$3001,$B$2,'هالك وتحويلات'!$C$2:$C$3001,$A28,'هالك وتحويلات'!$D$2:$D$3001,"تحويل صادر",'هالك وتحويلات'!$A$2:$A$3001,'إعدادات المخزون'!$B$4)-SUMIFS('هالك وتحويلات'!$E$2:$E$3001,'هالك وتحويلات'!$B$2:$B$3001,$B$2,'هالك وتحويلات'!$C$2:$C$3001,$A28,'هالك وتحويلات'!$D$2:$D$3001,"هالك",'هالك وتحويلات'!$A$2:$A$3001,'إعدادات المخزون'!$B$4)-SUMIFS('هالك وتحويلات'!$E$2:$E$3001,'هالك وتحويلات'!$B$2:$B$3001,$B$2,'هالك وتحويلات'!$C$2:$C$3001,$A28,'هالك وتحويلات'!$D$2:$D$3001,"ضيافة / أكل موظفين",'هالك وتحويلات'!$A$2:$A$3001,'إعدادات المخزون'!$B$4)-SUMPRODUCT('مصفوفة الاستهلاك'!$W$2:$W$190,'متجهات المبيعات'!$B$2:$B$190)/'مواد المخزون'!$D$23</f>
        <v>-8.541525</v>
      </c>
      <c r="AA28" s="109" t="n">
        <f aca="false">IF(K28="نعم",O28,0)</f>
        <v>0</v>
      </c>
      <c r="AB28" s="109" t="n">
        <f aca="false">IF(K28="نعم",J28*C28,0)</f>
        <v>0</v>
      </c>
      <c r="AC28" s="109" t="n">
        <f aca="false">IF(T28="",0,T28)</f>
        <v>0</v>
      </c>
    </row>
    <row r="29" customFormat="false" ht="15" hidden="false" customHeight="false" outlineLevel="0" collapsed="false">
      <c r="A29" s="34" t="str">
        <f aca="false">'مواد المخزون'!A24</f>
        <v>برسيون موتزريلا فطير صغير</v>
      </c>
      <c r="B29" s="36" t="str">
        <f aca="false">'مواد المخزون'!B24</f>
        <v>قطعة</v>
      </c>
      <c r="C29" s="109" t="n">
        <f aca="false">'مواد المخزون'!E24</f>
        <v>17.5</v>
      </c>
      <c r="D29" s="110" t="n">
        <f aca="false">'جرد أول المدة'!C27</f>
        <v>68</v>
      </c>
      <c r="E29" s="110" t="n">
        <f aca="false">SUMIFS('مشتريات يومية'!$D$2:$D$4001,'مشتريات يومية'!$B$2:$B$4001,$B$2,'مشتريات يومية'!$C$2:$C$4001,$A29,'مشتريات يومية'!$A$2:$A$4001,"&gt;="&amp;'إعدادات المخزون'!$B$5,'مشتريات يومية'!$A$2:$A$4001,"&lt;="&amp;'إعدادات المخزون'!$B$4)</f>
        <v>1005</v>
      </c>
      <c r="F29" s="110" t="n">
        <f aca="false">SUMIFS('هالك وتحويلات'!$E$2:$E$3001,'هالك وتحويلات'!$B$2:$B$3001,$B$2,'هالك وتحويلات'!$C$2:$C$3001,$A29,'هالك وتحويلات'!$D$2:$D$3001,"تحويل وارد",'هالك وتحويلات'!$A$2:$A$3001,"&gt;="&amp;'إعدادات المخزون'!$B$5,'هالك وتحويلات'!$A$2:$A$3001,"&lt;="&amp;'إعدادات المخزون'!$B$4)</f>
        <v>0</v>
      </c>
      <c r="G29" s="110" t="n">
        <f aca="false">SUMIFS('هالك وتحويلات'!$E$2:$E$3001,'هالك وتحويلات'!$B$2:$B$3001,$B$2,'هالك وتحويلات'!$C$2:$C$3001,$A29,'هالك وتحويلات'!$D$2:$D$3001,"تحويل صادر",'هالك وتحويلات'!$A$2:$A$3001,"&gt;="&amp;'إعدادات المخزون'!$B$5,'هالك وتحويلات'!$A$2:$A$3001,"&lt;="&amp;'إعدادات المخزون'!$B$4)</f>
        <v>0</v>
      </c>
      <c r="H29" s="110" t="n">
        <f aca="false">SUMPRODUCT('مصفوفة الاستهلاك'!$X$2:$X$190,'متجهات المبيعات'!$C$2:$C$190)/'مواد المخزون'!$D$24</f>
        <v>1066.4994</v>
      </c>
      <c r="I29" s="110" t="n">
        <f aca="false">SUMIFS('هالك وتحويلات'!$E$2:$E$3001,'هالك وتحويلات'!$B$2:$B$3001,$B$2,'هالك وتحويلات'!$C$2:$C$3001,$A29,'هالك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وتحويلات'!$C$2:$C$3001,$A29,'هالك وتحويلات'!$D$2:$D$3001,"ضيافة / أكل موظفين",'هالك وتحويلات'!$A$2:$A$3001,"&gt;="&amp;'إعدادات المخزون'!$B$5,'هالك وتحويلات'!$A$2:$A$3001,"&lt;="&amp;'إعدادات المخزون'!$B$4)</f>
        <v>0</v>
      </c>
      <c r="J29" s="110" t="n">
        <f aca="false">D29+E29+F29-G29-H29-I29</f>
        <v>6.50060000000008</v>
      </c>
      <c r="K29" s="36" t="str">
        <f aca="false">IF(COUNTIFS('جرد فعلي'!$B$2:$B$12001,$B$2,'جرد فعلي'!$C$2:$C$12001,$A29,'جرد فعلي'!$A$2:$A$12001,'إعدادات المخزون'!$B$4)&gt;0,"نعم","لا")</f>
        <v>لا</v>
      </c>
      <c r="L29" s="111" t="str">
        <f aca="false">IF(K29="نعم",SUMIFS('جرد فعلي'!$D$2:$D$12001,'جرد فعلي'!$B$2:$B$12001,$B$2,'جرد فعلي'!$C$2:$C$12001,$A29,'جرد فعلي'!$A$2:$A$12001,'إعدادات المخزون'!$B$4),"")</f>
        <v/>
      </c>
      <c r="M29" s="110" t="str">
        <f aca="false">IF(K29="نعم",L29-J29,"")</f>
        <v/>
      </c>
      <c r="N29" s="112" t="str">
        <f aca="false">IF(K29="نعم",IF(J29=0,IF(M29=0,0,SIGN(M29)),M29/ABS(J29)),"")</f>
        <v/>
      </c>
      <c r="O29" s="109" t="str">
        <f aca="false">IF(K29="نعم",M29*C29,"")</f>
        <v/>
      </c>
      <c r="P29" s="36" t="str">
        <f aca="false">IF(K29&lt;&gt;"نعم","لم يُجرد",IF(ABS(N29)&lt;='إعدادات المخزون'!$B$7,"مطابق",IF(M29&lt;0,"عجز","زيادة")))</f>
        <v>لم يُجرد</v>
      </c>
      <c r="Q29" s="110" t="n">
        <f aca="false">J29-Z29</f>
        <v>95.3755500000001</v>
      </c>
      <c r="R29" s="110" t="str">
        <f aca="false">IF(COUNTIFS('جرد فعلي'!$B$2:$B$12001,$B$2,'جرد فعلي'!$C$2:$C$12001,$A29,'جرد فعلي'!$A$2:$A$12001,'إعدادات المخزون'!$B$4-1)&gt;0,SUMIFS('جرد فعلي'!$D$2:$D$12001,'جرد فعلي'!$B$2:$B$12001,$B$2,'جرد فعلي'!$C$2:$C$12001,$A29,'جرد فعلي'!$A$2:$A$12001,'إعدادات المخزون'!$B$4-1),"")</f>
        <v/>
      </c>
      <c r="S29" s="110" t="str">
        <f aca="false">IF(AND(K29="نعم",R29&lt;&gt;""),(L29-J29)-(R29-Q29),"")</f>
        <v/>
      </c>
      <c r="T29" s="109" t="str">
        <f aca="false">IF(S29="","",S29*C29)</f>
        <v/>
      </c>
      <c r="U29" s="110" t="n">
        <f aca="false">IF(K29="نعم",L29,J29)</f>
        <v>6.50060000000008</v>
      </c>
      <c r="V29" s="110" t="n">
        <f aca="false">SUMPRODUCT('مصفوفة الاستهلاك'!$X$2:$X$190,'متجهات المبيعات'!$D$2:$D$190)/'مواد المخزون'!$D$24/MAX(1,MIN('إعدادات المخزون'!$B$11,'إعدادات المخزون'!$B$4-'إعدادات المخزون'!$B$5+1))</f>
        <v>88.87495</v>
      </c>
      <c r="W29" s="110" t="n">
        <f aca="false">IF(V29&lt;=0,0,ROUNDUP(MAX(0,V29*('إعدادات المخزون'!$B$8+'إعدادات المخزون'!$B$9+'إعدادات المخزون'!$B$10)-MAX(U29,0))/'مواد المخزون'!$F24,0)*'مواد المخزون'!$F24)</f>
        <v>349</v>
      </c>
      <c r="X29" s="109" t="n">
        <f aca="false">IF(AND(K29="نعم",O29&lt;0),-O29+ROW()*0.000000001,0)</f>
        <v>0</v>
      </c>
      <c r="Y29" s="109" t="n">
        <f aca="false">IF(AND(K29="نعم",O29&gt;0),O29+ROW()*0.000000001,0)</f>
        <v>0</v>
      </c>
      <c r="Z29" s="110" t="n">
        <f aca="false">SUMIFS('مشتريات يومية'!$D$2:$D$4001,'مشتريات يومية'!$B$2:$B$4001,$B$2,'مشتريات يومية'!$C$2:$C$4001,$A29,'مشتريات يومية'!$A$2:$A$4001,'إعدادات المخزون'!$B$4)+SUMIFS('هالك وتحويلات'!$E$2:$E$3001,'هالك وتحويلات'!$B$2:$B$3001,$B$2,'هالك وتحويلات'!$C$2:$C$3001,$A29,'هالك وتحويلات'!$D$2:$D$3001,"تحويل وارد",'هالك وتحويلات'!$A$2:$A$3001,'إعدادات المخزون'!$B$4)-SUMIFS('هالك وتحويلات'!$E$2:$E$3001,'هالك وتحويلات'!$B$2:$B$3001,$B$2,'هالك وتحويلات'!$C$2:$C$3001,$A29,'هالك وتحويلات'!$D$2:$D$3001,"تحويل صادر",'هالك وتحويلات'!$A$2:$A$3001,'إعدادات المخزون'!$B$4)-SUMIFS('هالك وتحويلات'!$E$2:$E$3001,'هالك وتحويلات'!$B$2:$B$3001,$B$2,'هالك وتحويلات'!$C$2:$C$3001,$A29,'هالك وتحويلات'!$D$2:$D$3001,"هالك",'هالك وتحويلات'!$A$2:$A$3001,'إعدادات المخزون'!$B$4)-SUMIFS('هالك وتحويلات'!$E$2:$E$3001,'هالك وتحويلات'!$B$2:$B$3001,$B$2,'هالك وتحويلات'!$C$2:$C$3001,$A29,'هالك وتحويلات'!$D$2:$D$3001,"ضيافة / أكل موظفين",'هالك وتحويلات'!$A$2:$A$3001,'إعدادات المخزون'!$B$4)-SUMPRODUCT('مصفوفة الاستهلاك'!$X$2:$X$190,'متجهات المبيعات'!$B$2:$B$190)/'مواد المخزون'!$D$24</f>
        <v>-88.87495</v>
      </c>
      <c r="AA29" s="109" t="n">
        <f aca="false">IF(K29="نعم",O29,0)</f>
        <v>0</v>
      </c>
      <c r="AB29" s="109" t="n">
        <f aca="false">IF(K29="نعم",J29*C29,0)</f>
        <v>0</v>
      </c>
      <c r="AC29" s="109" t="n">
        <f aca="false">IF(T29="",0,T29)</f>
        <v>0</v>
      </c>
    </row>
    <row r="30" customFormat="false" ht="15" hidden="false" customHeight="false" outlineLevel="0" collapsed="false">
      <c r="A30" s="34" t="str">
        <f aca="false">'مواد المخزون'!A25</f>
        <v>برسيون موتزريلا فطير كبير</v>
      </c>
      <c r="B30" s="36" t="str">
        <f aca="false">'مواد المخزون'!B25</f>
        <v>قطعة</v>
      </c>
      <c r="C30" s="109" t="n">
        <f aca="false">'مواد المخزون'!E25</f>
        <v>25</v>
      </c>
      <c r="D30" s="110" t="n">
        <f aca="false">'جرد أول المدة'!C28</f>
        <v>60</v>
      </c>
      <c r="E30" s="110" t="n">
        <f aca="false">SUMIFS('مشتريات يومية'!$D$2:$D$4001,'مشتريات يومية'!$B$2:$B$4001,$B$2,'مشتريات يومية'!$C$2:$C$4001,$A30,'مشتريات يومية'!$A$2:$A$4001,"&gt;="&amp;'إعدادات المخزون'!$B$5,'مشتريات يومية'!$A$2:$A$4001,"&lt;="&amp;'إعدادات المخزون'!$B$4)</f>
        <v>70</v>
      </c>
      <c r="F30" s="110" t="n">
        <f aca="false">SUMIFS('هالك وتحويلات'!$E$2:$E$3001,'هالك وتحويلات'!$B$2:$B$3001,$B$2,'هالك وتحويلات'!$C$2:$C$3001,$A30,'هالك وتحويلات'!$D$2:$D$3001,"تحويل وارد",'هالك وتحويلات'!$A$2:$A$3001,"&gt;="&amp;'إعدادات المخزون'!$B$5,'هالك وتحويلات'!$A$2:$A$3001,"&lt;="&amp;'إعدادات المخزون'!$B$4)</f>
        <v>0</v>
      </c>
      <c r="G30" s="110" t="n">
        <f aca="false">SUMIFS('هالك وتحويلات'!$E$2:$E$3001,'هالك وتحويلات'!$B$2:$B$3001,$B$2,'هالك وتحويلات'!$C$2:$C$3001,$A30,'هالك وتحويلات'!$D$2:$D$3001,"تحويل صادر",'هالك وتحويلات'!$A$2:$A$3001,"&gt;="&amp;'إعدادات المخزون'!$B$5,'هالك وتحويلات'!$A$2:$A$3001,"&lt;="&amp;'إعدادات المخزون'!$B$4)</f>
        <v>0</v>
      </c>
      <c r="H30" s="110" t="n">
        <f aca="false">SUMPRODUCT('مصفوفة الاستهلاك'!$Y$2:$Y$190,'متجهات المبيعات'!$C$2:$C$190)/'مواد المخزون'!$D$25</f>
        <v>85.0014</v>
      </c>
      <c r="I30" s="110" t="n">
        <f aca="false">SUMIFS('هالك وتحويلات'!$E$2:$E$3001,'هالك وتحويلات'!$B$2:$B$3001,$B$2,'هالك وتحويلات'!$C$2:$C$3001,$A30,'هالك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وتحويلات'!$C$2:$C$3001,$A30,'هالك وتحويلات'!$D$2:$D$3001,"ضيافة / أكل موظفين",'هالك وتحويلات'!$A$2:$A$3001,"&gt;="&amp;'إعدادات المخزون'!$B$5,'هالك وتحويلات'!$A$2:$A$3001,"&lt;="&amp;'إعدادات المخزون'!$B$4)</f>
        <v>0</v>
      </c>
      <c r="J30" s="110" t="n">
        <f aca="false">D30+E30+F30-G30-H30-I30</f>
        <v>44.9986</v>
      </c>
      <c r="K30" s="36" t="str">
        <f aca="false">IF(COUNTIFS('جرد فعلي'!$B$2:$B$12001,$B$2,'جرد فعلي'!$C$2:$C$12001,$A30,'جرد فعلي'!$A$2:$A$12001,'إعدادات المخزون'!$B$4)&gt;0,"نعم","لا")</f>
        <v>لا</v>
      </c>
      <c r="L30" s="111" t="str">
        <f aca="false">IF(K30="نعم",SUMIFS('جرد فعلي'!$D$2:$D$12001,'جرد فعلي'!$B$2:$B$12001,$B$2,'جرد فعلي'!$C$2:$C$12001,$A30,'جرد فعلي'!$A$2:$A$12001,'إعدادات المخزون'!$B$4),"")</f>
        <v/>
      </c>
      <c r="M30" s="110" t="str">
        <f aca="false">IF(K30="نعم",L30-J30,"")</f>
        <v/>
      </c>
      <c r="N30" s="112" t="str">
        <f aca="false">IF(K30="نعم",IF(J30=0,IF(M30=0,0,SIGN(M30)),M30/ABS(J30)),"")</f>
        <v/>
      </c>
      <c r="O30" s="109" t="str">
        <f aca="false">IF(K30="نعم",M30*C30,"")</f>
        <v/>
      </c>
      <c r="P30" s="36" t="str">
        <f aca="false">IF(K30&lt;&gt;"نعم","لم يُجرد",IF(ABS(N30)&lt;='إعدادات المخزون'!$B$7,"مطابق",IF(M30&lt;0,"عجز","زيادة")))</f>
        <v>لم يُجرد</v>
      </c>
      <c r="Q30" s="110" t="n">
        <f aca="false">J30-Z30</f>
        <v>52.08205</v>
      </c>
      <c r="R30" s="110" t="str">
        <f aca="false">IF(COUNTIFS('جرد فعلي'!$B$2:$B$12001,$B$2,'جرد فعلي'!$C$2:$C$12001,$A30,'جرد فعلي'!$A$2:$A$12001,'إعدادات المخزون'!$B$4-1)&gt;0,SUMIFS('جرد فعلي'!$D$2:$D$12001,'جرد فعلي'!$B$2:$B$12001,$B$2,'جرد فعلي'!$C$2:$C$12001,$A30,'جرد فعلي'!$A$2:$A$12001,'إعدادات المخزون'!$B$4-1),"")</f>
        <v/>
      </c>
      <c r="S30" s="110" t="str">
        <f aca="false">IF(AND(K30="نعم",R30&lt;&gt;""),(L30-J30)-(R30-Q30),"")</f>
        <v/>
      </c>
      <c r="T30" s="109" t="str">
        <f aca="false">IF(S30="","",S30*C30)</f>
        <v/>
      </c>
      <c r="U30" s="110" t="n">
        <f aca="false">IF(K30="نعم",L30,J30)</f>
        <v>44.9986</v>
      </c>
      <c r="V30" s="110" t="n">
        <f aca="false">SUMPRODUCT('مصفوفة الاستهلاك'!$Y$2:$Y$190,'متجهات المبيعات'!$D$2:$D$190)/'مواد المخزون'!$D$25/MAX(1,MIN('إعدادات المخزون'!$B$11,'إعدادات المخزون'!$B$4-'إعدادات المخزون'!$B$5+1))</f>
        <v>7.08345</v>
      </c>
      <c r="W30" s="110" t="n">
        <f aca="false">IF(V30&lt;=0,0,ROUNDUP(MAX(0,V30*('إعدادات المخزون'!$B$8+'إعدادات المخزون'!$B$9+'إعدادات المخزون'!$B$10)-MAX(U30,0))/'مواد المخزون'!$F25,0)*'مواد المخزون'!$F25)</f>
        <v>0</v>
      </c>
      <c r="X30" s="109" t="n">
        <f aca="false">IF(AND(K30="نعم",O30&lt;0),-O30+ROW()*0.000000001,0)</f>
        <v>0</v>
      </c>
      <c r="Y30" s="109" t="n">
        <f aca="false">IF(AND(K30="نعم",O30&gt;0),O30+ROW()*0.000000001,0)</f>
        <v>0</v>
      </c>
      <c r="Z30" s="110" t="n">
        <f aca="false">SUMIFS('مشتريات يومية'!$D$2:$D$4001,'مشتريات يومية'!$B$2:$B$4001,$B$2,'مشتريات يومية'!$C$2:$C$4001,$A30,'مشتريات يومية'!$A$2:$A$4001,'إعدادات المخزون'!$B$4)+SUMIFS('هالك وتحويلات'!$E$2:$E$3001,'هالك وتحويلات'!$B$2:$B$3001,$B$2,'هالك وتحويلات'!$C$2:$C$3001,$A30,'هالك وتحويلات'!$D$2:$D$3001,"تحويل وارد",'هالك وتحويلات'!$A$2:$A$3001,'إعدادات المخزون'!$B$4)-SUMIFS('هالك وتحويلات'!$E$2:$E$3001,'هالك وتحويلات'!$B$2:$B$3001,$B$2,'هالك وتحويلات'!$C$2:$C$3001,$A30,'هالك وتحويلات'!$D$2:$D$3001,"تحويل صادر",'هالك وتحويلات'!$A$2:$A$3001,'إعدادات المخزون'!$B$4)-SUMIFS('هالك وتحويلات'!$E$2:$E$3001,'هالك وتحويلات'!$B$2:$B$3001,$B$2,'هالك وتحويلات'!$C$2:$C$3001,$A30,'هالك وتحويلات'!$D$2:$D$3001,"هالك",'هالك وتحويلات'!$A$2:$A$3001,'إعدادات المخزون'!$B$4)-SUMIFS('هالك وتحويلات'!$E$2:$E$3001,'هالك وتحويلات'!$B$2:$B$3001,$B$2,'هالك وتحويلات'!$C$2:$C$3001,$A30,'هالك وتحويلات'!$D$2:$D$3001,"ضيافة / أكل موظفين",'هالك وتحويلات'!$A$2:$A$3001,'إعدادات المخزون'!$B$4)-SUMPRODUCT('مصفوفة الاستهلاك'!$Y$2:$Y$190,'متجهات المبيعات'!$B$2:$B$190)/'مواد المخزون'!$D$25</f>
        <v>-7.08345</v>
      </c>
      <c r="AA30" s="109" t="n">
        <f aca="false">IF(K30="نعم",O30,0)</f>
        <v>0</v>
      </c>
      <c r="AB30" s="109" t="n">
        <f aca="false">IF(K30="نعم",J30*C30,0)</f>
        <v>0</v>
      </c>
      <c r="AC30" s="109" t="n">
        <f aca="false">IF(T30="",0,T30)</f>
        <v>0</v>
      </c>
    </row>
    <row r="31" customFormat="false" ht="15" hidden="false" customHeight="false" outlineLevel="0" collapsed="false">
      <c r="A31" s="34" t="str">
        <f aca="false">'مواد المخزون'!A26</f>
        <v>بسكوت اوريو مجروش</v>
      </c>
      <c r="B31" s="36" t="str">
        <f aca="false">'مواد المخزون'!B26</f>
        <v>كجم</v>
      </c>
      <c r="C31" s="109" t="n">
        <f aca="false">'مواد المخزون'!E26</f>
        <v>100</v>
      </c>
      <c r="D31" s="110" t="n">
        <f aca="false">'جرد أول المدة'!C29</f>
        <v>0.21</v>
      </c>
      <c r="E31" s="110" t="n">
        <f aca="false">SUMIFS('مشتريات يومية'!$D$2:$D$4001,'مشتريات يومية'!$B$2:$B$4001,$B$2,'مشتريات يومية'!$C$2:$C$4001,$A31,'مشتريات يومية'!$A$2:$A$4001,"&gt;="&amp;'إعدادات المخزون'!$B$5,'مشتريات يومية'!$A$2:$A$4001,"&lt;="&amp;'إعدادات المخزون'!$B$4)</f>
        <v>1.5</v>
      </c>
      <c r="F31" s="110" t="n">
        <f aca="false">SUMIFS('هالك وتحويلات'!$E$2:$E$3001,'هالك وتحويلات'!$B$2:$B$3001,$B$2,'هالك وتحويلات'!$C$2:$C$3001,$A31,'هالك وتحويلات'!$D$2:$D$3001,"تحويل وارد",'هالك وتحويلات'!$A$2:$A$3001,"&gt;="&amp;'إعدادات المخزون'!$B$5,'هالك وتحويلات'!$A$2:$A$3001,"&lt;="&amp;'إعدادات المخزون'!$B$4)</f>
        <v>0</v>
      </c>
      <c r="G31" s="110" t="n">
        <f aca="false">SUMIFS('هالك وتحويلات'!$E$2:$E$3001,'هالك وتحويلات'!$B$2:$B$3001,$B$2,'هالك وتحويلات'!$C$2:$C$3001,$A31,'هالك وتحويلات'!$D$2:$D$3001,"تحويل صادر",'هالك وتحويلات'!$A$2:$A$3001,"&gt;="&amp;'إعدادات المخزون'!$B$5,'هالك وتحويلات'!$A$2:$A$3001,"&lt;="&amp;'إعدادات المخزون'!$B$4)</f>
        <v>0</v>
      </c>
      <c r="H31" s="110" t="n">
        <f aca="false">SUMPRODUCT('مصفوفة الاستهلاك'!$Z$2:$Z$190,'متجهات المبيعات'!$C$2:$C$190)/'مواد المخزون'!$D$26</f>
        <v>0.36</v>
      </c>
      <c r="I31" s="110" t="n">
        <f aca="false">SUMIFS('هالك وتحويلات'!$E$2:$E$3001,'هالك وتحويلات'!$B$2:$B$3001,$B$2,'هالك وتحويلات'!$C$2:$C$3001,$A31,'هالك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وتحويلات'!$C$2:$C$3001,$A31,'هالك وتحويلات'!$D$2:$D$3001,"ضيافة / أكل موظفين",'هالك وتحويلات'!$A$2:$A$3001,"&gt;="&amp;'إعدادات المخزون'!$B$5,'هالك وتحويلات'!$A$2:$A$3001,"&lt;="&amp;'إعدادات المخزون'!$B$4)</f>
        <v>0</v>
      </c>
      <c r="J31" s="110" t="n">
        <f aca="false">D31+E31+F31-G31-H31-I31</f>
        <v>1.35</v>
      </c>
      <c r="K31" s="36" t="str">
        <f aca="false">IF(COUNTIFS('جرد فعلي'!$B$2:$B$12001,$B$2,'جرد فعلي'!$C$2:$C$12001,$A31,'جرد فعلي'!$A$2:$A$12001,'إعدادات المخزون'!$B$4)&gt;0,"نعم","لا")</f>
        <v>لا</v>
      </c>
      <c r="L31" s="111" t="str">
        <f aca="false">IF(K31="نعم",SUMIFS('جرد فعلي'!$D$2:$D$12001,'جرد فعلي'!$B$2:$B$12001,$B$2,'جرد فعلي'!$C$2:$C$12001,$A31,'جرد فعلي'!$A$2:$A$12001,'إعدادات المخزون'!$B$4),"")</f>
        <v/>
      </c>
      <c r="M31" s="110" t="str">
        <f aca="false">IF(K31="نعم",L31-J31,"")</f>
        <v/>
      </c>
      <c r="N31" s="112" t="str">
        <f aca="false">IF(K31="نعم",IF(J31=0,IF(M31=0,0,SIGN(M31)),M31/ABS(J31)),"")</f>
        <v/>
      </c>
      <c r="O31" s="109" t="str">
        <f aca="false">IF(K31="نعم",M31*C31,"")</f>
        <v/>
      </c>
      <c r="P31" s="36" t="str">
        <f aca="false">IF(K31&lt;&gt;"نعم","لم يُجرد",IF(ABS(N31)&lt;='إعدادات المخزون'!$B$7,"مطابق",IF(M31&lt;0,"عجز","زيادة")))</f>
        <v>لم يُجرد</v>
      </c>
      <c r="Q31" s="110" t="n">
        <f aca="false">J31-Z31</f>
        <v>1.38</v>
      </c>
      <c r="R31" s="110" t="str">
        <f aca="false">IF(COUNTIFS('جرد فعلي'!$B$2:$B$12001,$B$2,'جرد فعلي'!$C$2:$C$12001,$A31,'جرد فعلي'!$A$2:$A$12001,'إعدادات المخزون'!$B$4-1)&gt;0,SUMIFS('جرد فعلي'!$D$2:$D$12001,'جرد فعلي'!$B$2:$B$12001,$B$2,'جرد فعلي'!$C$2:$C$12001,$A31,'جرد فعلي'!$A$2:$A$12001,'إعدادات المخزون'!$B$4-1),"")</f>
        <v/>
      </c>
      <c r="S31" s="110" t="str">
        <f aca="false">IF(AND(K31="نعم",R31&lt;&gt;""),(L31-J31)-(R31-Q31),"")</f>
        <v/>
      </c>
      <c r="T31" s="109" t="str">
        <f aca="false">IF(S31="","",S31*C31)</f>
        <v/>
      </c>
      <c r="U31" s="110" t="n">
        <f aca="false">IF(K31="نعم",L31,J31)</f>
        <v>1.35</v>
      </c>
      <c r="V31" s="110" t="n">
        <f aca="false">SUMPRODUCT('مصفوفة الاستهلاك'!$Z$2:$Z$190,'متجهات المبيعات'!$D$2:$D$190)/'مواد المخزون'!$D$26/MAX(1,MIN('إعدادات المخزون'!$B$11,'إعدادات المخزون'!$B$4-'إعدادات المخزون'!$B$5+1))</f>
        <v>0.03</v>
      </c>
      <c r="W31" s="110" t="n">
        <f aca="false">IF(V31&lt;=0,0,ROUNDUP(MAX(0,V31*('إعدادات المخزون'!$B$8+'إعدادات المخزون'!$B$9+'إعدادات المخزون'!$B$10)-MAX(U31,0))/'مواد المخزون'!$F26,0)*'مواد المخزون'!$F26)</f>
        <v>0</v>
      </c>
      <c r="X31" s="109" t="n">
        <f aca="false">IF(AND(K31="نعم",O31&lt;0),-O31+ROW()*0.000000001,0)</f>
        <v>0</v>
      </c>
      <c r="Y31" s="109" t="n">
        <f aca="false">IF(AND(K31="نعم",O31&gt;0),O31+ROW()*0.000000001,0)</f>
        <v>0</v>
      </c>
      <c r="Z31" s="110" t="n">
        <f aca="false">SUMIFS('مشتريات يومية'!$D$2:$D$4001,'مشتريات يومية'!$B$2:$B$4001,$B$2,'مشتريات يومية'!$C$2:$C$4001,$A31,'مشتريات يومية'!$A$2:$A$4001,'إعدادات المخزون'!$B$4)+SUMIFS('هالك وتحويلات'!$E$2:$E$3001,'هالك وتحويلات'!$B$2:$B$3001,$B$2,'هالك وتحويلات'!$C$2:$C$3001,$A31,'هالك وتحويلات'!$D$2:$D$3001,"تحويل وارد",'هالك وتحويلات'!$A$2:$A$3001,'إعدادات المخزون'!$B$4)-SUMIFS('هالك وتحويلات'!$E$2:$E$3001,'هالك وتحويلات'!$B$2:$B$3001,$B$2,'هالك وتحويلات'!$C$2:$C$3001,$A31,'هالك وتحويلات'!$D$2:$D$3001,"تحويل صادر",'هالك وتحويلات'!$A$2:$A$3001,'إعدادات المخزون'!$B$4)-SUMIFS('هالك وتحويلات'!$E$2:$E$3001,'هالك وتحويلات'!$B$2:$B$3001,$B$2,'هالك وتحويلات'!$C$2:$C$3001,$A31,'هالك وتحويلات'!$D$2:$D$3001,"هالك",'هالك وتحويلات'!$A$2:$A$3001,'إعدادات المخزون'!$B$4)-SUMIFS('هالك وتحويلات'!$E$2:$E$3001,'هالك وتحويلات'!$B$2:$B$3001,$B$2,'هالك وتحويلات'!$C$2:$C$3001,$A31,'هالك وتحويلات'!$D$2:$D$3001,"ضيافة / أكل موظفين",'هالك وتحويلات'!$A$2:$A$3001,'إعدادات المخزون'!$B$4)-SUMPRODUCT('مصفوفة الاستهلاك'!$Z$2:$Z$190,'متجهات المبيعات'!$B$2:$B$190)/'مواد المخزون'!$D$26</f>
        <v>-0.03</v>
      </c>
      <c r="AA31" s="109" t="n">
        <f aca="false">IF(K31="نعم",O31,0)</f>
        <v>0</v>
      </c>
      <c r="AB31" s="109" t="n">
        <f aca="false">IF(K31="نعم",J31*C31,0)</f>
        <v>0</v>
      </c>
      <c r="AC31" s="109" t="n">
        <f aca="false">IF(T31="",0,T31)</f>
        <v>0</v>
      </c>
    </row>
    <row r="32" customFormat="false" ht="15" hidden="false" customHeight="false" outlineLevel="0" collapsed="false">
      <c r="A32" s="34" t="str">
        <f aca="false">'مواد المخزون'!A27</f>
        <v>بسكوت للوتس باكو</v>
      </c>
      <c r="B32" s="36" t="str">
        <f aca="false">'مواد المخزون'!B27</f>
        <v>كجم</v>
      </c>
      <c r="C32" s="109" t="n">
        <f aca="false">'مواد المخزون'!E27</f>
        <v>104.58</v>
      </c>
      <c r="D32" s="110" t="n">
        <f aca="false">'جرد أول المدة'!C30</f>
        <v>0.3</v>
      </c>
      <c r="E32" s="110" t="n">
        <f aca="false">SUMIFS('مشتريات يومية'!$D$2:$D$4001,'مشتريات يومية'!$B$2:$B$4001,$B$2,'مشتريات يومية'!$C$2:$C$4001,$A32,'مشتريات يومية'!$A$2:$A$4001,"&gt;="&amp;'إعدادات المخزون'!$B$5,'مشتريات يومية'!$A$2:$A$4001,"&lt;="&amp;'إعدادات المخزون'!$B$4)</f>
        <v>0</v>
      </c>
      <c r="F32" s="110" t="n">
        <f aca="false">SUMIFS('هالك وتحويلات'!$E$2:$E$3001,'هالك وتحويلات'!$B$2:$B$3001,$B$2,'هالك وتحويلات'!$C$2:$C$3001,$A32,'هالك وتحويلات'!$D$2:$D$3001,"تحويل وارد",'هالك وتحويلات'!$A$2:$A$3001,"&gt;="&amp;'إعدادات المخزون'!$B$5,'هالك وتحويلات'!$A$2:$A$3001,"&lt;="&amp;'إعدادات المخزون'!$B$4)</f>
        <v>0</v>
      </c>
      <c r="G32" s="110" t="n">
        <f aca="false">SUMIFS('هالك وتحويلات'!$E$2:$E$3001,'هالك وتحويلات'!$B$2:$B$3001,$B$2,'هالك وتحويلات'!$C$2:$C$3001,$A32,'هالك وتحويلات'!$D$2:$D$3001,"تحويل صادر",'هالك وتحويلات'!$A$2:$A$3001,"&gt;="&amp;'إعدادات المخزون'!$B$5,'هالك وتحويلات'!$A$2:$A$3001,"&lt;="&amp;'إعدادات المخزون'!$B$4)</f>
        <v>0</v>
      </c>
      <c r="H32" s="110" t="n">
        <f aca="false">SUMPRODUCT('مصفوفة الاستهلاك'!$AA$2:$AA$190,'متجهات المبيعات'!$C$2:$C$190)/'مواد المخزون'!$D$27</f>
        <v>0</v>
      </c>
      <c r="I32" s="110" t="n">
        <f aca="false">SUMIFS('هالك وتحويلات'!$E$2:$E$3001,'هالك وتحويلات'!$B$2:$B$3001,$B$2,'هالك وتحويلات'!$C$2:$C$3001,$A32,'هالك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وتحويلات'!$C$2:$C$3001,$A32,'هالك وتحويلات'!$D$2:$D$3001,"ضيافة / أكل موظفين",'هالك وتحويلات'!$A$2:$A$3001,"&gt;="&amp;'إعدادات المخزون'!$B$5,'هالك وتحويلات'!$A$2:$A$3001,"&lt;="&amp;'إعدادات المخزون'!$B$4)</f>
        <v>0</v>
      </c>
      <c r="J32" s="110" t="n">
        <f aca="false">D32+E32+F32-G32-H32-I32</f>
        <v>0.3</v>
      </c>
      <c r="K32" s="36" t="str">
        <f aca="false">IF(COUNTIFS('جرد فعلي'!$B$2:$B$12001,$B$2,'جرد فعلي'!$C$2:$C$12001,$A32,'جرد فعلي'!$A$2:$A$12001,'إعدادات المخزون'!$B$4)&gt;0,"نعم","لا")</f>
        <v>لا</v>
      </c>
      <c r="L32" s="111" t="str">
        <f aca="false">IF(K32="نعم",SUMIFS('جرد فعلي'!$D$2:$D$12001,'جرد فعلي'!$B$2:$B$12001,$B$2,'جرد فعلي'!$C$2:$C$12001,$A32,'جرد فعلي'!$A$2:$A$12001,'إعدادات المخزون'!$B$4),"")</f>
        <v/>
      </c>
      <c r="M32" s="110" t="str">
        <f aca="false">IF(K32="نعم",L32-J32,"")</f>
        <v/>
      </c>
      <c r="N32" s="112" t="str">
        <f aca="false">IF(K32="نعم",IF(J32=0,IF(M32=0,0,SIGN(M32)),M32/ABS(J32)),"")</f>
        <v/>
      </c>
      <c r="O32" s="109" t="str">
        <f aca="false">IF(K32="نعم",M32*C32,"")</f>
        <v/>
      </c>
      <c r="P32" s="36" t="str">
        <f aca="false">IF(K32&lt;&gt;"نعم","لم يُجرد",IF(ABS(N32)&lt;='إعدادات المخزون'!$B$7,"مطابق",IF(M32&lt;0,"عجز","زيادة")))</f>
        <v>لم يُجرد</v>
      </c>
      <c r="Q32" s="110" t="n">
        <f aca="false">J32-Z32</f>
        <v>0.3</v>
      </c>
      <c r="R32" s="110" t="str">
        <f aca="false">IF(COUNTIFS('جرد فعلي'!$B$2:$B$12001,$B$2,'جرد فعلي'!$C$2:$C$12001,$A32,'جرد فعلي'!$A$2:$A$12001,'إعدادات المخزون'!$B$4-1)&gt;0,SUMIFS('جرد فعلي'!$D$2:$D$12001,'جرد فعلي'!$B$2:$B$12001,$B$2,'جرد فعلي'!$C$2:$C$12001,$A32,'جرد فعلي'!$A$2:$A$12001,'إعدادات المخزون'!$B$4-1),"")</f>
        <v/>
      </c>
      <c r="S32" s="110" t="str">
        <f aca="false">IF(AND(K32="نعم",R32&lt;&gt;""),(L32-J32)-(R32-Q32),"")</f>
        <v/>
      </c>
      <c r="T32" s="109" t="str">
        <f aca="false">IF(S32="","",S32*C32)</f>
        <v/>
      </c>
      <c r="U32" s="110" t="n">
        <f aca="false">IF(K32="نعم",L32,J32)</f>
        <v>0.3</v>
      </c>
      <c r="V32" s="110" t="n">
        <f aca="false">SUMPRODUCT('مصفوفة الاستهلاك'!$AA$2:$AA$190,'متجهات المبيعات'!$D$2:$D$190)/'مواد المخزون'!$D$27/MAX(1,MIN('إعدادات المخزون'!$B$11,'إعدادات المخزون'!$B$4-'إعدادات المخزون'!$B$5+1))</f>
        <v>0</v>
      </c>
      <c r="W32" s="110" t="n">
        <f aca="false">IF(V32&lt;=0,0,ROUNDUP(MAX(0,V32*('إعدادات المخزون'!$B$8+'إعدادات المخزون'!$B$9+'إعدادات المخزون'!$B$10)-MAX(U32,0))/'مواد المخزون'!$F27,0)*'مواد المخزون'!$F27)</f>
        <v>0</v>
      </c>
      <c r="X32" s="109" t="n">
        <f aca="false">IF(AND(K32="نعم",O32&lt;0),-O32+ROW()*0.000000001,0)</f>
        <v>0</v>
      </c>
      <c r="Y32" s="109" t="n">
        <f aca="false">IF(AND(K32="نعم",O32&gt;0),O32+ROW()*0.000000001,0)</f>
        <v>0</v>
      </c>
      <c r="Z32" s="110" t="n">
        <f aca="false">SUMIFS('مشتريات يومية'!$D$2:$D$4001,'مشتريات يومية'!$B$2:$B$4001,$B$2,'مشتريات يومية'!$C$2:$C$4001,$A32,'مشتريات يومية'!$A$2:$A$4001,'إعدادات المخزون'!$B$4)+SUMIFS('هالك وتحويلات'!$E$2:$E$3001,'هالك وتحويلات'!$B$2:$B$3001,$B$2,'هالك وتحويلات'!$C$2:$C$3001,$A32,'هالك وتحويلات'!$D$2:$D$3001,"تحويل وارد",'هالك وتحويلات'!$A$2:$A$3001,'إعدادات المخزون'!$B$4)-SUMIFS('هالك وتحويلات'!$E$2:$E$3001,'هالك وتحويلات'!$B$2:$B$3001,$B$2,'هالك وتحويلات'!$C$2:$C$3001,$A32,'هالك وتحويلات'!$D$2:$D$3001,"تحويل صادر",'هالك وتحويلات'!$A$2:$A$3001,'إعدادات المخزون'!$B$4)-SUMIFS('هالك وتحويلات'!$E$2:$E$3001,'هالك وتحويلات'!$B$2:$B$3001,$B$2,'هالك وتحويلات'!$C$2:$C$3001,$A32,'هالك وتحويلات'!$D$2:$D$3001,"هالك",'هالك وتحويلات'!$A$2:$A$3001,'إعدادات المخزون'!$B$4)-SUMIFS('هالك وتحويلات'!$E$2:$E$3001,'هالك وتحويلات'!$B$2:$B$3001,$B$2,'هالك وتحويلات'!$C$2:$C$3001,$A32,'هالك وتحويلات'!$D$2:$D$3001,"ضيافة / أكل موظفين",'هالك وتحويلات'!$A$2:$A$3001,'إعدادات المخزون'!$B$4)-SUMPRODUCT('مصفوفة الاستهلاك'!$AA$2:$AA$190,'متجهات المبيعات'!$B$2:$B$190)/'مواد المخزون'!$D$27</f>
        <v>0</v>
      </c>
      <c r="AA32" s="109" t="n">
        <f aca="false">IF(K32="نعم",O32,0)</f>
        <v>0</v>
      </c>
      <c r="AB32" s="109" t="n">
        <f aca="false">IF(K32="نعم",J32*C32,0)</f>
        <v>0</v>
      </c>
      <c r="AC32" s="109" t="n">
        <f aca="false">IF(T32="",0,T32)</f>
        <v>0</v>
      </c>
    </row>
    <row r="33" customFormat="false" ht="15" hidden="false" customHeight="false" outlineLevel="0" collapsed="false">
      <c r="A33" s="34" t="str">
        <f aca="false">'مواد المخزون'!A28</f>
        <v>بسكوت للوتس مجروش</v>
      </c>
      <c r="B33" s="36" t="str">
        <f aca="false">'مواد المخزون'!B28</f>
        <v>كجم</v>
      </c>
      <c r="C33" s="109" t="n">
        <f aca="false">'مواد المخزون'!E28</f>
        <v>100</v>
      </c>
      <c r="D33" s="110" t="n">
        <f aca="false">'جرد أول المدة'!C31</f>
        <v>1</v>
      </c>
      <c r="E33" s="110" t="n">
        <f aca="false">SUMIFS('مشتريات يومية'!$D$2:$D$4001,'مشتريات يومية'!$B$2:$B$4001,$B$2,'مشتريات يومية'!$C$2:$C$4001,$A33,'مشتريات يومية'!$A$2:$A$4001,"&gt;="&amp;'إعدادات المخزون'!$B$5,'مشتريات يومية'!$A$2:$A$4001,"&lt;="&amp;'إعدادات المخزون'!$B$4)</f>
        <v>1.5</v>
      </c>
      <c r="F33" s="110" t="n">
        <f aca="false">SUMIFS('هالك وتحويلات'!$E$2:$E$3001,'هالك وتحويلات'!$B$2:$B$3001,$B$2,'هالك وتحويلات'!$C$2:$C$3001,$A33,'هالك وتحويلات'!$D$2:$D$3001,"تحويل وارد",'هالك وتحويلات'!$A$2:$A$3001,"&gt;="&amp;'إعدادات المخزون'!$B$5,'هالك وتحويلات'!$A$2:$A$3001,"&lt;="&amp;'إعدادات المخزون'!$B$4)</f>
        <v>0</v>
      </c>
      <c r="G33" s="110" t="n">
        <f aca="false">SUMIFS('هالك وتحويلات'!$E$2:$E$3001,'هالك وتحويلات'!$B$2:$B$3001,$B$2,'هالك وتحويلات'!$C$2:$C$3001,$A33,'هالك وتحويلات'!$D$2:$D$3001,"تحويل صادر",'هالك وتحويلات'!$A$2:$A$3001,"&gt;="&amp;'إعدادات المخزون'!$B$5,'هالك وتحويلات'!$A$2:$A$3001,"&lt;="&amp;'إعدادات المخزون'!$B$4)</f>
        <v>0</v>
      </c>
      <c r="H33" s="110" t="n">
        <f aca="false">SUMPRODUCT('مصفوفة الاستهلاك'!$AB$2:$AB$190,'متجهات المبيعات'!$C$2:$C$190)/'مواد المخزون'!$D$28</f>
        <v>0.36</v>
      </c>
      <c r="I33" s="110" t="n">
        <f aca="false">SUMIFS('هالك وتحويلات'!$E$2:$E$3001,'هالك وتحويلات'!$B$2:$B$3001,$B$2,'هالك وتحويلات'!$C$2:$C$3001,$A33,'هالك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وتحويلات'!$C$2:$C$3001,$A33,'هالك وتحويلات'!$D$2:$D$3001,"ضيافة / أكل موظفين",'هالك وتحويلات'!$A$2:$A$3001,"&gt;="&amp;'إعدادات المخزون'!$B$5,'هالك وتحويلات'!$A$2:$A$3001,"&lt;="&amp;'إعدادات المخزون'!$B$4)</f>
        <v>0</v>
      </c>
      <c r="J33" s="110" t="n">
        <f aca="false">D33+E33+F33-G33-H33-I33</f>
        <v>2.14</v>
      </c>
      <c r="K33" s="36" t="str">
        <f aca="false">IF(COUNTIFS('جرد فعلي'!$B$2:$B$12001,$B$2,'جرد فعلي'!$C$2:$C$12001,$A33,'جرد فعلي'!$A$2:$A$12001,'إعدادات المخزون'!$B$4)&gt;0,"نعم","لا")</f>
        <v>لا</v>
      </c>
      <c r="L33" s="111" t="str">
        <f aca="false">IF(K33="نعم",SUMIFS('جرد فعلي'!$D$2:$D$12001,'جرد فعلي'!$B$2:$B$12001,$B$2,'جرد فعلي'!$C$2:$C$12001,$A33,'جرد فعلي'!$A$2:$A$12001,'إعدادات المخزون'!$B$4),"")</f>
        <v/>
      </c>
      <c r="M33" s="110" t="str">
        <f aca="false">IF(K33="نعم",L33-J33,"")</f>
        <v/>
      </c>
      <c r="N33" s="112" t="str">
        <f aca="false">IF(K33="نعم",IF(J33=0,IF(M33=0,0,SIGN(M33)),M33/ABS(J33)),"")</f>
        <v/>
      </c>
      <c r="O33" s="109" t="str">
        <f aca="false">IF(K33="نعم",M33*C33,"")</f>
        <v/>
      </c>
      <c r="P33" s="36" t="str">
        <f aca="false">IF(K33&lt;&gt;"نعم","لم يُجرد",IF(ABS(N33)&lt;='إعدادات المخزون'!$B$7,"مطابق",IF(M33&lt;0,"عجز","زيادة")))</f>
        <v>لم يُجرد</v>
      </c>
      <c r="Q33" s="110" t="n">
        <f aca="false">J33-Z33</f>
        <v>2.17</v>
      </c>
      <c r="R33" s="110" t="str">
        <f aca="false">IF(COUNTIFS('جرد فعلي'!$B$2:$B$12001,$B$2,'جرد فعلي'!$C$2:$C$12001,$A33,'جرد فعلي'!$A$2:$A$12001,'إعدادات المخزون'!$B$4-1)&gt;0,SUMIFS('جرد فعلي'!$D$2:$D$12001,'جرد فعلي'!$B$2:$B$12001,$B$2,'جرد فعلي'!$C$2:$C$12001,$A33,'جرد فعلي'!$A$2:$A$12001,'إعدادات المخزون'!$B$4-1),"")</f>
        <v/>
      </c>
      <c r="S33" s="110" t="str">
        <f aca="false">IF(AND(K33="نعم",R33&lt;&gt;""),(L33-J33)-(R33-Q33),"")</f>
        <v/>
      </c>
      <c r="T33" s="109" t="str">
        <f aca="false">IF(S33="","",S33*C33)</f>
        <v/>
      </c>
      <c r="U33" s="110" t="n">
        <f aca="false">IF(K33="نعم",L33,J33)</f>
        <v>2.14</v>
      </c>
      <c r="V33" s="110" t="n">
        <f aca="false">SUMPRODUCT('مصفوفة الاستهلاك'!$AB$2:$AB$190,'متجهات المبيعات'!$D$2:$D$190)/'مواد المخزون'!$D$28/MAX(1,MIN('إعدادات المخزون'!$B$11,'إعدادات المخزون'!$B$4-'إعدادات المخزون'!$B$5+1))</f>
        <v>0.03</v>
      </c>
      <c r="W33" s="110" t="n">
        <f aca="false">IF(V33&lt;=0,0,ROUNDUP(MAX(0,V33*('إعدادات المخزون'!$B$8+'إعدادات المخزون'!$B$9+'إعدادات المخزون'!$B$10)-MAX(U33,0))/'مواد المخزون'!$F28,0)*'مواد المخزون'!$F28)</f>
        <v>0</v>
      </c>
      <c r="X33" s="109" t="n">
        <f aca="false">IF(AND(K33="نعم",O33&lt;0),-O33+ROW()*0.000000001,0)</f>
        <v>0</v>
      </c>
      <c r="Y33" s="109" t="n">
        <f aca="false">IF(AND(K33="نعم",O33&gt;0),O33+ROW()*0.000000001,0)</f>
        <v>0</v>
      </c>
      <c r="Z33" s="110" t="n">
        <f aca="false">SUMIFS('مشتريات يومية'!$D$2:$D$4001,'مشتريات يومية'!$B$2:$B$4001,$B$2,'مشتريات يومية'!$C$2:$C$4001,$A33,'مشتريات يومية'!$A$2:$A$4001,'إعدادات المخزون'!$B$4)+SUMIFS('هالك وتحويلات'!$E$2:$E$3001,'هالك وتحويلات'!$B$2:$B$3001,$B$2,'هالك وتحويلات'!$C$2:$C$3001,$A33,'هالك وتحويلات'!$D$2:$D$3001,"تحويل وارد",'هالك وتحويلات'!$A$2:$A$3001,'إعدادات المخزون'!$B$4)-SUMIFS('هالك وتحويلات'!$E$2:$E$3001,'هالك وتحويلات'!$B$2:$B$3001,$B$2,'هالك وتحويلات'!$C$2:$C$3001,$A33,'هالك وتحويلات'!$D$2:$D$3001,"تحويل صادر",'هالك وتحويلات'!$A$2:$A$3001,'إعدادات المخزون'!$B$4)-SUMIFS('هالك وتحويلات'!$E$2:$E$3001,'هالك وتحويلات'!$B$2:$B$3001,$B$2,'هالك وتحويلات'!$C$2:$C$3001,$A33,'هالك وتحويلات'!$D$2:$D$3001,"هالك",'هالك وتحويلات'!$A$2:$A$3001,'إعدادات المخزون'!$B$4)-SUMIFS('هالك وتحويلات'!$E$2:$E$3001,'هالك وتحويلات'!$B$2:$B$3001,$B$2,'هالك وتحويلات'!$C$2:$C$3001,$A33,'هالك وتحويلات'!$D$2:$D$3001,"ضيافة / أكل موظفين",'هالك وتحويلات'!$A$2:$A$3001,'إعدادات المخزون'!$B$4)-SUMPRODUCT('مصفوفة الاستهلاك'!$AB$2:$AB$190,'متجهات المبيعات'!$B$2:$B$190)/'مواد المخزون'!$D$28</f>
        <v>-0.03</v>
      </c>
      <c r="AA33" s="109" t="n">
        <f aca="false">IF(K33="نعم",O33,0)</f>
        <v>0</v>
      </c>
      <c r="AB33" s="109" t="n">
        <f aca="false">IF(K33="نعم",J33*C33,0)</f>
        <v>0</v>
      </c>
      <c r="AC33" s="109" t="n">
        <f aca="false">IF(T33="",0,T33)</f>
        <v>0</v>
      </c>
    </row>
    <row r="34" customFormat="false" ht="15" hidden="false" customHeight="false" outlineLevel="0" collapsed="false">
      <c r="A34" s="34" t="str">
        <f aca="false">'مواد المخزون'!A29</f>
        <v>بشاميل مصنع</v>
      </c>
      <c r="B34" s="36" t="str">
        <f aca="false">'مواد المخزون'!B29</f>
        <v>كجم</v>
      </c>
      <c r="C34" s="109" t="n">
        <f aca="false">'مواد المخزون'!E29</f>
        <v>41</v>
      </c>
      <c r="D34" s="110" t="n">
        <f aca="false">'جرد أول المدة'!C32</f>
        <v>5.25</v>
      </c>
      <c r="E34" s="110" t="n">
        <f aca="false">SUMIFS('مشتريات يومية'!$D$2:$D$4001,'مشتريات يومية'!$B$2:$B$4001,$B$2,'مشتريات يومية'!$C$2:$C$4001,$A34,'مشتريات يومية'!$A$2:$A$4001,"&gt;="&amp;'إعدادات المخزون'!$B$5,'مشتريات يومية'!$A$2:$A$4001,"&lt;="&amp;'إعدادات المخزون'!$B$4)</f>
        <v>30</v>
      </c>
      <c r="F34" s="110" t="n">
        <f aca="false">SUMIFS('هالك وتحويلات'!$E$2:$E$3001,'هالك وتحويلات'!$B$2:$B$3001,$B$2,'هالك وتحويلات'!$C$2:$C$3001,$A34,'هالك وتحويلات'!$D$2:$D$3001,"تحويل وارد",'هالك وتحويلات'!$A$2:$A$3001,"&gt;="&amp;'إعدادات المخزون'!$B$5,'هالك وتحويلات'!$A$2:$A$3001,"&lt;="&amp;'إعدادات المخزون'!$B$4)</f>
        <v>0</v>
      </c>
      <c r="G34" s="110" t="n">
        <f aca="false">SUMIFS('هالك وتحويلات'!$E$2:$E$3001,'هالك وتحويلات'!$B$2:$B$3001,$B$2,'هالك وتحويلات'!$C$2:$C$3001,$A34,'هالك وتحويلات'!$D$2:$D$3001,"تحويل صادر",'هالك وتحويلات'!$A$2:$A$3001,"&gt;="&amp;'إعدادات المخزون'!$B$5,'هالك وتحويلات'!$A$2:$A$3001,"&lt;="&amp;'إعدادات المخزون'!$B$4)</f>
        <v>0</v>
      </c>
      <c r="H34" s="110" t="n">
        <f aca="false">SUMPRODUCT('مصفوفة الاستهلاك'!$AC$2:$AC$190,'متجهات المبيعات'!$C$2:$C$190)/'مواد المخزون'!$D$29</f>
        <v>14.20008</v>
      </c>
      <c r="I34" s="110" t="n">
        <f aca="false">SUMIFS('هالك وتحويلات'!$E$2:$E$3001,'هالك وتحويلات'!$B$2:$B$3001,$B$2,'هالك وتحويلات'!$C$2:$C$3001,$A34,'هالك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وتحويلات'!$C$2:$C$3001,$A34,'هالك وتحويلات'!$D$2:$D$3001,"ضيافة / أكل موظفين",'هالك وتحويلات'!$A$2:$A$3001,"&gt;="&amp;'إعدادات المخزون'!$B$5,'هالك وتحويلات'!$A$2:$A$3001,"&lt;="&amp;'إعدادات المخزون'!$B$4)</f>
        <v>0</v>
      </c>
      <c r="J34" s="110" t="n">
        <f aca="false">D34+E34+F34-G34-H34-I34</f>
        <v>21.04992</v>
      </c>
      <c r="K34" s="36" t="str">
        <f aca="false">IF(COUNTIFS('جرد فعلي'!$B$2:$B$12001,$B$2,'جرد فعلي'!$C$2:$C$12001,$A34,'جرد فعلي'!$A$2:$A$12001,'إعدادات المخزون'!$B$4)&gt;0,"نعم","لا")</f>
        <v>لا</v>
      </c>
      <c r="L34" s="111" t="str">
        <f aca="false">IF(K34="نعم",SUMIFS('جرد فعلي'!$D$2:$D$12001,'جرد فعلي'!$B$2:$B$12001,$B$2,'جرد فعلي'!$C$2:$C$12001,$A34,'جرد فعلي'!$A$2:$A$12001,'إعدادات المخزون'!$B$4),"")</f>
        <v/>
      </c>
      <c r="M34" s="110" t="str">
        <f aca="false">IF(K34="نعم",L34-J34,"")</f>
        <v/>
      </c>
      <c r="N34" s="112" t="str">
        <f aca="false">IF(K34="نعم",IF(J34=0,IF(M34=0,0,SIGN(M34)),M34/ABS(J34)),"")</f>
        <v/>
      </c>
      <c r="O34" s="109" t="str">
        <f aca="false">IF(K34="نعم",M34*C34,"")</f>
        <v/>
      </c>
      <c r="P34" s="36" t="str">
        <f aca="false">IF(K34&lt;&gt;"نعم","لم يُجرد",IF(ABS(N34)&lt;='إعدادات المخزون'!$B$7,"مطابق",IF(M34&lt;0,"عجز","زيادة")))</f>
        <v>لم يُجرد</v>
      </c>
      <c r="Q34" s="110" t="n">
        <f aca="false">J34-Z34</f>
        <v>22.23326</v>
      </c>
      <c r="R34" s="110" t="str">
        <f aca="false">IF(COUNTIFS('جرد فعلي'!$B$2:$B$12001,$B$2,'جرد فعلي'!$C$2:$C$12001,$A34,'جرد فعلي'!$A$2:$A$12001,'إعدادات المخزون'!$B$4-1)&gt;0,SUMIFS('جرد فعلي'!$D$2:$D$12001,'جرد فعلي'!$B$2:$B$12001,$B$2,'جرد فعلي'!$C$2:$C$12001,$A34,'جرد فعلي'!$A$2:$A$12001,'إعدادات المخزون'!$B$4-1),"")</f>
        <v/>
      </c>
      <c r="S34" s="110" t="str">
        <f aca="false">IF(AND(K34="نعم",R34&lt;&gt;""),(L34-J34)-(R34-Q34),"")</f>
        <v/>
      </c>
      <c r="T34" s="109" t="str">
        <f aca="false">IF(S34="","",S34*C34)</f>
        <v/>
      </c>
      <c r="U34" s="110" t="n">
        <f aca="false">IF(K34="نعم",L34,J34)</f>
        <v>21.04992</v>
      </c>
      <c r="V34" s="110" t="n">
        <f aca="false">SUMPRODUCT('مصفوفة الاستهلاك'!$AC$2:$AC$190,'متجهات المبيعات'!$D$2:$D$190)/'مواد المخزون'!$D$29/MAX(1,MIN('إعدادات المخزون'!$B$11,'إعدادات المخزون'!$B$4-'إعدادات المخزون'!$B$5+1))</f>
        <v>1.18334</v>
      </c>
      <c r="W34" s="110" t="n">
        <f aca="false">IF(V34&lt;=0,0,ROUNDUP(MAX(0,V34*('إعدادات المخزون'!$B$8+'إعدادات المخزون'!$B$9+'إعدادات المخزون'!$B$10)-MAX(U34,0))/'مواد المخزون'!$F29,0)*'مواد المخزون'!$F29)</f>
        <v>0</v>
      </c>
      <c r="X34" s="109" t="n">
        <f aca="false">IF(AND(K34="نعم",O34&lt;0),-O34+ROW()*0.000000001,0)</f>
        <v>0</v>
      </c>
      <c r="Y34" s="109" t="n">
        <f aca="false">IF(AND(K34="نعم",O34&gt;0),O34+ROW()*0.000000001,0)</f>
        <v>0</v>
      </c>
      <c r="Z34" s="110" t="n">
        <f aca="false">SUMIFS('مشتريات يومية'!$D$2:$D$4001,'مشتريات يومية'!$B$2:$B$4001,$B$2,'مشتريات يومية'!$C$2:$C$4001,$A34,'مشتريات يومية'!$A$2:$A$4001,'إعدادات المخزون'!$B$4)+SUMIFS('هالك وتحويلات'!$E$2:$E$3001,'هالك وتحويلات'!$B$2:$B$3001,$B$2,'هالك وتحويلات'!$C$2:$C$3001,$A34,'هالك وتحويلات'!$D$2:$D$3001,"تحويل وارد",'هالك وتحويلات'!$A$2:$A$3001,'إعدادات المخزون'!$B$4)-SUMIFS('هالك وتحويلات'!$E$2:$E$3001,'هالك وتحويلات'!$B$2:$B$3001,$B$2,'هالك وتحويلات'!$C$2:$C$3001,$A34,'هالك وتحويلات'!$D$2:$D$3001,"تحويل صادر",'هالك وتحويلات'!$A$2:$A$3001,'إعدادات المخزون'!$B$4)-SUMIFS('هالك وتحويلات'!$E$2:$E$3001,'هالك وتحويلات'!$B$2:$B$3001,$B$2,'هالك وتحويلات'!$C$2:$C$3001,$A34,'هالك وتحويلات'!$D$2:$D$3001,"هالك",'هالك وتحويلات'!$A$2:$A$3001,'إعدادات المخزون'!$B$4)-SUMIFS('هالك وتحويلات'!$E$2:$E$3001,'هالك وتحويلات'!$B$2:$B$3001,$B$2,'هالك وتحويلات'!$C$2:$C$3001,$A34,'هالك وتحويلات'!$D$2:$D$3001,"ضيافة / أكل موظفين",'هالك وتحويلات'!$A$2:$A$3001,'إعدادات المخزون'!$B$4)-SUMPRODUCT('مصفوفة الاستهلاك'!$AC$2:$AC$190,'متجهات المبيعات'!$B$2:$B$190)/'مواد المخزون'!$D$29</f>
        <v>-1.18334</v>
      </c>
      <c r="AA34" s="109" t="n">
        <f aca="false">IF(K34="نعم",O34,0)</f>
        <v>0</v>
      </c>
      <c r="AB34" s="109" t="n">
        <f aca="false">IF(K34="نعم",J34*C34,0)</f>
        <v>0</v>
      </c>
      <c r="AC34" s="109" t="n">
        <f aca="false">IF(T34="",0,T34)</f>
        <v>0</v>
      </c>
    </row>
    <row r="35" customFormat="false" ht="15" hidden="false" customHeight="false" outlineLevel="0" collapsed="false">
      <c r="A35" s="34" t="str">
        <f aca="false">'مواد المخزون'!A30</f>
        <v>بشاميل مصنع صيامي</v>
      </c>
      <c r="B35" s="36" t="str">
        <f aca="false">'مواد المخزون'!B30</f>
        <v>كجم</v>
      </c>
      <c r="C35" s="109" t="n">
        <f aca="false">'مواد المخزون'!E30</f>
        <v>25</v>
      </c>
      <c r="D35" s="110" t="n">
        <f aca="false">'جرد أول المدة'!C33</f>
        <v>0</v>
      </c>
      <c r="E35" s="110" t="n">
        <f aca="false">SUMIFS('مشتريات يومية'!$D$2:$D$4001,'مشتريات يومية'!$B$2:$B$4001,$B$2,'مشتريات يومية'!$C$2:$C$4001,$A35,'مشتريات يومية'!$A$2:$A$4001,"&gt;="&amp;'إعدادات المخزون'!$B$5,'مشتريات يومية'!$A$2:$A$4001,"&lt;="&amp;'إعدادات المخزون'!$B$4)</f>
        <v>0</v>
      </c>
      <c r="F35" s="110" t="n">
        <f aca="false">SUMIFS('هالك وتحويلات'!$E$2:$E$3001,'هالك وتحويلات'!$B$2:$B$3001,$B$2,'هالك وتحويلات'!$C$2:$C$3001,$A35,'هالك وتحويلات'!$D$2:$D$3001,"تحويل وارد",'هالك وتحويلات'!$A$2:$A$3001,"&gt;="&amp;'إعدادات المخزون'!$B$5,'هالك وتحويلات'!$A$2:$A$3001,"&lt;="&amp;'إعدادات المخزون'!$B$4)</f>
        <v>0</v>
      </c>
      <c r="G35" s="110" t="n">
        <f aca="false">SUMIFS('هالك وتحويلات'!$E$2:$E$3001,'هالك وتحويلات'!$B$2:$B$3001,$B$2,'هالك وتحويلات'!$C$2:$C$3001,$A35,'هالك وتحويلات'!$D$2:$D$3001,"تحويل صادر",'هالك وتحويلات'!$A$2:$A$3001,"&gt;="&amp;'إعدادات المخزون'!$B$5,'هالك وتحويلات'!$A$2:$A$3001,"&lt;="&amp;'إعدادات المخزون'!$B$4)</f>
        <v>0</v>
      </c>
      <c r="H35" s="110" t="n">
        <f aca="false">SUMPRODUCT('مصفوفة الاستهلاك'!$AD$2:$AD$190,'متجهات المبيعات'!$C$2:$C$190)/'مواد المخزون'!$D$30</f>
        <v>0.40008</v>
      </c>
      <c r="I35" s="110" t="n">
        <f aca="false">SUMIFS('هالك وتحويلات'!$E$2:$E$3001,'هالك وتحويلات'!$B$2:$B$3001,$B$2,'هالك وتحويلات'!$C$2:$C$3001,$A35,'هالك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وتحويلات'!$C$2:$C$3001,$A35,'هالك وتحويلات'!$D$2:$D$3001,"ضيافة / أكل موظفين",'هالك وتحويلات'!$A$2:$A$3001,"&gt;="&amp;'إعدادات المخزون'!$B$5,'هالك وتحويلات'!$A$2:$A$3001,"&lt;="&amp;'إعدادات المخزون'!$B$4)</f>
        <v>0</v>
      </c>
      <c r="J35" s="110" t="n">
        <f aca="false">D35+E35+F35-G35-H35-I35</f>
        <v>-0.40008</v>
      </c>
      <c r="K35" s="36" t="str">
        <f aca="false">IF(COUNTIFS('جرد فعلي'!$B$2:$B$12001,$B$2,'جرد فعلي'!$C$2:$C$12001,$A35,'جرد فعلي'!$A$2:$A$12001,'إعدادات المخزون'!$B$4)&gt;0,"نعم","لا")</f>
        <v>لا</v>
      </c>
      <c r="L35" s="111" t="str">
        <f aca="false">IF(K35="نعم",SUMIFS('جرد فعلي'!$D$2:$D$12001,'جرد فعلي'!$B$2:$B$12001,$B$2,'جرد فعلي'!$C$2:$C$12001,$A35,'جرد فعلي'!$A$2:$A$12001,'إعدادات المخزون'!$B$4),"")</f>
        <v/>
      </c>
      <c r="M35" s="110" t="str">
        <f aca="false">IF(K35="نعم",L35-J35,"")</f>
        <v/>
      </c>
      <c r="N35" s="112" t="str">
        <f aca="false">IF(K35="نعم",IF(J35=0,IF(M35=0,0,SIGN(M35)),M35/ABS(J35)),"")</f>
        <v/>
      </c>
      <c r="O35" s="109" t="str">
        <f aca="false">IF(K35="نعم",M35*C35,"")</f>
        <v/>
      </c>
      <c r="P35" s="36" t="str">
        <f aca="false">IF(K35&lt;&gt;"نعم","لم يُجرد",IF(ABS(N35)&lt;='إعدادات المخزون'!$B$7,"مطابق",IF(M35&lt;0,"عجز","زيادة")))</f>
        <v>لم يُجرد</v>
      </c>
      <c r="Q35" s="110" t="n">
        <f aca="false">J35-Z35</f>
        <v>-0.36674</v>
      </c>
      <c r="R35" s="110" t="str">
        <f aca="false">IF(COUNTIFS('جرد فعلي'!$B$2:$B$12001,$B$2,'جرد فعلي'!$C$2:$C$12001,$A35,'جرد فعلي'!$A$2:$A$12001,'إعدادات المخزون'!$B$4-1)&gt;0,SUMIFS('جرد فعلي'!$D$2:$D$12001,'جرد فعلي'!$B$2:$B$12001,$B$2,'جرد فعلي'!$C$2:$C$12001,$A35,'جرد فعلي'!$A$2:$A$12001,'إعدادات المخزون'!$B$4-1),"")</f>
        <v/>
      </c>
      <c r="S35" s="110" t="str">
        <f aca="false">IF(AND(K35="نعم",R35&lt;&gt;""),(L35-J35)-(R35-Q35),"")</f>
        <v/>
      </c>
      <c r="T35" s="109" t="str">
        <f aca="false">IF(S35="","",S35*C35)</f>
        <v/>
      </c>
      <c r="U35" s="110" t="n">
        <f aca="false">IF(K35="نعم",L35,J35)</f>
        <v>-0.40008</v>
      </c>
      <c r="V35" s="110" t="n">
        <f aca="false">SUMPRODUCT('مصفوفة الاستهلاك'!$AD$2:$AD$190,'متجهات المبيعات'!$D$2:$D$190)/'مواد المخزون'!$D$30/MAX(1,MIN('إعدادات المخزون'!$B$11,'إعدادات المخزون'!$B$4-'إعدادات المخزون'!$B$5+1))</f>
        <v>0.03334</v>
      </c>
      <c r="W35" s="110" t="n">
        <f aca="false">IF(V35&lt;=0,0,ROUNDUP(MAX(0,V35*('إعدادات المخزون'!$B$8+'إعدادات المخزون'!$B$9+'إعدادات المخزون'!$B$10)-MAX(U35,0))/'مواد المخزون'!$F30,0)*'مواد المخزون'!$F30)</f>
        <v>1</v>
      </c>
      <c r="X35" s="109" t="n">
        <f aca="false">IF(AND(K35="نعم",O35&lt;0),-O35+ROW()*0.000000001,0)</f>
        <v>0</v>
      </c>
      <c r="Y35" s="109" t="n">
        <f aca="false">IF(AND(K35="نعم",O35&gt;0),O35+ROW()*0.000000001,0)</f>
        <v>0</v>
      </c>
      <c r="Z35" s="110" t="n">
        <f aca="false">SUMIFS('مشتريات يومية'!$D$2:$D$4001,'مشتريات يومية'!$B$2:$B$4001,$B$2,'مشتريات يومية'!$C$2:$C$4001,$A35,'مشتريات يومية'!$A$2:$A$4001,'إعدادات المخزون'!$B$4)+SUMIFS('هالك وتحويلات'!$E$2:$E$3001,'هالك وتحويلات'!$B$2:$B$3001,$B$2,'هالك وتحويلات'!$C$2:$C$3001,$A35,'هالك وتحويلات'!$D$2:$D$3001,"تحويل وارد",'هالك وتحويلات'!$A$2:$A$3001,'إعدادات المخزون'!$B$4)-SUMIFS('هالك وتحويلات'!$E$2:$E$3001,'هالك وتحويلات'!$B$2:$B$3001,$B$2,'هالك وتحويلات'!$C$2:$C$3001,$A35,'هالك وتحويلات'!$D$2:$D$3001,"تحويل صادر",'هالك وتحويلات'!$A$2:$A$3001,'إعدادات المخزون'!$B$4)-SUMIFS('هالك وتحويلات'!$E$2:$E$3001,'هالك وتحويلات'!$B$2:$B$3001,$B$2,'هالك وتحويلات'!$C$2:$C$3001,$A35,'هالك وتحويلات'!$D$2:$D$3001,"هالك",'هالك وتحويلات'!$A$2:$A$3001,'إعدادات المخزون'!$B$4)-SUMIFS('هالك وتحويلات'!$E$2:$E$3001,'هالك وتحويلات'!$B$2:$B$3001,$B$2,'هالك وتحويلات'!$C$2:$C$3001,$A35,'هالك وتحويلات'!$D$2:$D$3001,"ضيافة / أكل موظفين",'هالك وتحويلات'!$A$2:$A$3001,'إعدادات المخزون'!$B$4)-SUMPRODUCT('مصفوفة الاستهلاك'!$AD$2:$AD$190,'متجهات المبيعات'!$B$2:$B$190)/'مواد المخزون'!$D$30</f>
        <v>-0.03334</v>
      </c>
      <c r="AA35" s="109" t="n">
        <f aca="false">IF(K35="نعم",O35,0)</f>
        <v>0</v>
      </c>
      <c r="AB35" s="109" t="n">
        <f aca="false">IF(K35="نعم",J35*C35,0)</f>
        <v>0</v>
      </c>
      <c r="AC35" s="109" t="n">
        <f aca="false">IF(T35="",0,T35)</f>
        <v>0</v>
      </c>
    </row>
    <row r="36" customFormat="false" ht="15" hidden="false" customHeight="false" outlineLevel="0" collapsed="false">
      <c r="A36" s="34" t="str">
        <f aca="false">'مواد المخزون'!A31</f>
        <v>بصل</v>
      </c>
      <c r="B36" s="36" t="str">
        <f aca="false">'مواد المخزون'!B31</f>
        <v>كجم</v>
      </c>
      <c r="C36" s="109" t="n">
        <f aca="false">'مواد المخزون'!E31</f>
        <v>18</v>
      </c>
      <c r="D36" s="110" t="n">
        <f aca="false">'جرد أول المدة'!C34</f>
        <v>1.5</v>
      </c>
      <c r="E36" s="110" t="n">
        <f aca="false">SUMIFS('مشتريات يومية'!$D$2:$D$4001,'مشتريات يومية'!$B$2:$B$4001,$B$2,'مشتريات يومية'!$C$2:$C$4001,$A36,'مشتريات يومية'!$A$2:$A$4001,"&gt;="&amp;'إعدادات المخزون'!$B$5,'مشتريات يومية'!$A$2:$A$4001,"&lt;="&amp;'إعدادات المخزون'!$B$4)</f>
        <v>2</v>
      </c>
      <c r="F36" s="110" t="n">
        <f aca="false">SUMIFS('هالك وتحويلات'!$E$2:$E$3001,'هالك وتحويلات'!$B$2:$B$3001,$B$2,'هالك وتحويلات'!$C$2:$C$3001,$A36,'هالك وتحويلات'!$D$2:$D$3001,"تحويل وارد",'هالك وتحويلات'!$A$2:$A$3001,"&gt;="&amp;'إعدادات المخزون'!$B$5,'هالك وتحويلات'!$A$2:$A$3001,"&lt;="&amp;'إعدادات المخزون'!$B$4)</f>
        <v>0</v>
      </c>
      <c r="G36" s="110" t="n">
        <f aca="false">SUMIFS('هالك وتحويلات'!$E$2:$E$3001,'هالك وتحويلات'!$B$2:$B$3001,$B$2,'هالك وتحويلات'!$C$2:$C$3001,$A36,'هالك وتحويلات'!$D$2:$D$3001,"تحويل صادر",'هالك وتحويلات'!$A$2:$A$3001,"&gt;="&amp;'إعدادات المخزون'!$B$5,'هالك وتحويلات'!$A$2:$A$3001,"&lt;="&amp;'إعدادات المخزون'!$B$4)</f>
        <v>0</v>
      </c>
      <c r="H36" s="110" t="n">
        <f aca="false">SUMPRODUCT('مصفوفة الاستهلاك'!$AE$2:$AE$190,'متجهات المبيعات'!$C$2:$C$190)/'مواد المخزون'!$D$31</f>
        <v>1.939992</v>
      </c>
      <c r="I36" s="110" t="n">
        <f aca="false">SUMIFS('هالك وتحويلات'!$E$2:$E$3001,'هالك وتحويلات'!$B$2:$B$3001,$B$2,'هالك وتحويلات'!$C$2:$C$3001,$A36,'هالك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وتحويلات'!$C$2:$C$3001,$A36,'هالك وتحويلات'!$D$2:$D$3001,"ضيافة / أكل موظفين",'هالك وتحويلات'!$A$2:$A$3001,"&gt;="&amp;'إعدادات المخزون'!$B$5,'هالك وتحويلات'!$A$2:$A$3001,"&lt;="&amp;'إعدادات المخزون'!$B$4)</f>
        <v>0</v>
      </c>
      <c r="J36" s="110" t="n">
        <f aca="false">D36+E36+F36-G36-H36-I36</f>
        <v>1.560008</v>
      </c>
      <c r="K36" s="36" t="str">
        <f aca="false">IF(COUNTIFS('جرد فعلي'!$B$2:$B$12001,$B$2,'جرد فعلي'!$C$2:$C$12001,$A36,'جرد فعلي'!$A$2:$A$12001,'إعدادات المخزون'!$B$4)&gt;0,"نعم","لا")</f>
        <v>لا</v>
      </c>
      <c r="L36" s="111" t="str">
        <f aca="false">IF(K36="نعم",SUMIFS('جرد فعلي'!$D$2:$D$12001,'جرد فعلي'!$B$2:$B$12001,$B$2,'جرد فعلي'!$C$2:$C$12001,$A36,'جرد فعلي'!$A$2:$A$12001,'إعدادات المخزون'!$B$4),"")</f>
        <v/>
      </c>
      <c r="M36" s="110" t="str">
        <f aca="false">IF(K36="نعم",L36-J36,"")</f>
        <v/>
      </c>
      <c r="N36" s="112" t="str">
        <f aca="false">IF(K36="نعم",IF(J36=0,IF(M36=0,0,SIGN(M36)),M36/ABS(J36)),"")</f>
        <v/>
      </c>
      <c r="O36" s="109" t="str">
        <f aca="false">IF(K36="نعم",M36*C36,"")</f>
        <v/>
      </c>
      <c r="P36" s="36" t="str">
        <f aca="false">IF(K36&lt;&gt;"نعم","لم يُجرد",IF(ABS(N36)&lt;='إعدادات المخزون'!$B$7,"مطابق",IF(M36&lt;0,"عجز","زيادة")))</f>
        <v>لم يُجرد</v>
      </c>
      <c r="Q36" s="110" t="n">
        <f aca="false">J36-Z36</f>
        <v>1.721674</v>
      </c>
      <c r="R36" s="110" t="str">
        <f aca="false">IF(COUNTIFS('جرد فعلي'!$B$2:$B$12001,$B$2,'جرد فعلي'!$C$2:$C$12001,$A36,'جرد فعلي'!$A$2:$A$12001,'إعدادات المخزون'!$B$4-1)&gt;0,SUMIFS('جرد فعلي'!$D$2:$D$12001,'جرد فعلي'!$B$2:$B$12001,$B$2,'جرد فعلي'!$C$2:$C$12001,$A36,'جرد فعلي'!$A$2:$A$12001,'إعدادات المخزون'!$B$4-1),"")</f>
        <v/>
      </c>
      <c r="S36" s="110" t="str">
        <f aca="false">IF(AND(K36="نعم",R36&lt;&gt;""),(L36-J36)-(R36-Q36),"")</f>
        <v/>
      </c>
      <c r="T36" s="109" t="str">
        <f aca="false">IF(S36="","",S36*C36)</f>
        <v/>
      </c>
      <c r="U36" s="110" t="n">
        <f aca="false">IF(K36="نعم",L36,J36)</f>
        <v>1.560008</v>
      </c>
      <c r="V36" s="110" t="n">
        <f aca="false">SUMPRODUCT('مصفوفة الاستهلاك'!$AE$2:$AE$190,'متجهات المبيعات'!$D$2:$D$190)/'مواد المخزون'!$D$31/MAX(1,MIN('إعدادات المخزون'!$B$11,'إعدادات المخزون'!$B$4-'إعدادات المخزون'!$B$5+1))</f>
        <v>0.161666</v>
      </c>
      <c r="W36" s="110" t="n">
        <f aca="false">IF(V36&lt;=0,0,ROUNDUP(MAX(0,V36*('إعدادات المخزون'!$B$8+'إعدادات المخزون'!$B$9+'إعدادات المخزون'!$B$10)-MAX(U36,0))/'مواد المخزون'!$F31,0)*'مواد المخزون'!$F31)</f>
        <v>0</v>
      </c>
      <c r="X36" s="109" t="n">
        <f aca="false">IF(AND(K36="نعم",O36&lt;0),-O36+ROW()*0.000000001,0)</f>
        <v>0</v>
      </c>
      <c r="Y36" s="109" t="n">
        <f aca="false">IF(AND(K36="نعم",O36&gt;0),O36+ROW()*0.000000001,0)</f>
        <v>0</v>
      </c>
      <c r="Z36" s="110" t="n">
        <f aca="false">SUMIFS('مشتريات يومية'!$D$2:$D$4001,'مشتريات يومية'!$B$2:$B$4001,$B$2,'مشتريات يومية'!$C$2:$C$4001,$A36,'مشتريات يومية'!$A$2:$A$4001,'إعدادات المخزون'!$B$4)+SUMIFS('هالك وتحويلات'!$E$2:$E$3001,'هالك وتحويلات'!$B$2:$B$3001,$B$2,'هالك وتحويلات'!$C$2:$C$3001,$A36,'هالك وتحويلات'!$D$2:$D$3001,"تحويل وارد",'هالك وتحويلات'!$A$2:$A$3001,'إعدادات المخزون'!$B$4)-SUMIFS('هالك وتحويلات'!$E$2:$E$3001,'هالك وتحويلات'!$B$2:$B$3001,$B$2,'هالك وتحويلات'!$C$2:$C$3001,$A36,'هالك وتحويلات'!$D$2:$D$3001,"تحويل صادر",'هالك وتحويلات'!$A$2:$A$3001,'إعدادات المخزون'!$B$4)-SUMIFS('هالك وتحويلات'!$E$2:$E$3001,'هالك وتحويلات'!$B$2:$B$3001,$B$2,'هالك وتحويلات'!$C$2:$C$3001,$A36,'هالك وتحويلات'!$D$2:$D$3001,"هالك",'هالك وتحويلات'!$A$2:$A$3001,'إعدادات المخزون'!$B$4)-SUMIFS('هالك وتحويلات'!$E$2:$E$3001,'هالك وتحويلات'!$B$2:$B$3001,$B$2,'هالك وتحويلات'!$C$2:$C$3001,$A36,'هالك وتحويلات'!$D$2:$D$3001,"ضيافة / أكل موظفين",'هالك وتحويلات'!$A$2:$A$3001,'إعدادات المخزون'!$B$4)-SUMPRODUCT('مصفوفة الاستهلاك'!$AE$2:$AE$190,'متجهات المبيعات'!$B$2:$B$190)/'مواد المخزون'!$D$31</f>
        <v>-0.161666</v>
      </c>
      <c r="AA36" s="109" t="n">
        <f aca="false">IF(K36="نعم",O36,0)</f>
        <v>0</v>
      </c>
      <c r="AB36" s="109" t="n">
        <f aca="false">IF(K36="نعم",J36*C36,0)</f>
        <v>0</v>
      </c>
      <c r="AC36" s="109" t="n">
        <f aca="false">IF(T36="",0,T36)</f>
        <v>0</v>
      </c>
    </row>
    <row r="37" customFormat="false" ht="15" hidden="false" customHeight="false" outlineLevel="0" collapsed="false">
      <c r="A37" s="34" t="str">
        <f aca="false">'مواد المخزون'!A32</f>
        <v>بكر استريتش</v>
      </c>
      <c r="B37" s="36" t="str">
        <f aca="false">'مواد المخزون'!B32</f>
        <v>رول</v>
      </c>
      <c r="C37" s="109" t="n">
        <f aca="false">'مواد المخزون'!E32</f>
        <v>730</v>
      </c>
      <c r="D37" s="110" t="n">
        <f aca="false">'جرد أول المدة'!C35</f>
        <v>0.5</v>
      </c>
      <c r="E37" s="110" t="n">
        <f aca="false">SUMIFS('مشتريات يومية'!$D$2:$D$4001,'مشتريات يومية'!$B$2:$B$4001,$B$2,'مشتريات يومية'!$C$2:$C$4001,$A37,'مشتريات يومية'!$A$2:$A$4001,"&gt;="&amp;'إعدادات المخزون'!$B$5,'مشتريات يومية'!$A$2:$A$4001,"&lt;="&amp;'إعدادات المخزون'!$B$4)</f>
        <v>2</v>
      </c>
      <c r="F37" s="110" t="n">
        <f aca="false">SUMIFS('هالك وتحويلات'!$E$2:$E$3001,'هالك وتحويلات'!$B$2:$B$3001,$B$2,'هالك وتحويلات'!$C$2:$C$3001,$A37,'هالك وتحويلات'!$D$2:$D$3001,"تحويل وارد",'هالك وتحويلات'!$A$2:$A$3001,"&gt;="&amp;'إعدادات المخزون'!$B$5,'هالك وتحويلات'!$A$2:$A$3001,"&lt;="&amp;'إعدادات المخزون'!$B$4)</f>
        <v>0</v>
      </c>
      <c r="G37" s="110" t="n">
        <f aca="false">SUMIFS('هالك وتحويلات'!$E$2:$E$3001,'هالك وتحويلات'!$B$2:$B$3001,$B$2,'هالك وتحويلات'!$C$2:$C$3001,$A37,'هالك وتحويلات'!$D$2:$D$3001,"تحويل صادر",'هالك وتحويلات'!$A$2:$A$3001,"&gt;="&amp;'إعدادات المخزون'!$B$5,'هالك وتحويلات'!$A$2:$A$3001,"&lt;="&amp;'إعدادات المخزون'!$B$4)</f>
        <v>0</v>
      </c>
      <c r="H37" s="110" t="n">
        <f aca="false">SUMPRODUCT('مصفوفة الاستهلاك'!$AF$2:$AF$190,'متجهات المبيعات'!$C$2:$C$190)/'مواد المخزون'!$D$32</f>
        <v>3.787506</v>
      </c>
      <c r="I37" s="110" t="n">
        <f aca="false">SUMIFS('هالك وتحويلات'!$E$2:$E$3001,'هالك وتحويلات'!$B$2:$B$3001,$B$2,'هالك وتحويلات'!$C$2:$C$3001,$A37,'هالك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وتحويلات'!$C$2:$C$3001,$A37,'هالك وتحويلات'!$D$2:$D$3001,"ضيافة / أكل موظفين",'هالك وتحويلات'!$A$2:$A$3001,"&gt;="&amp;'إعدادات المخزون'!$B$5,'هالك وتحويلات'!$A$2:$A$3001,"&lt;="&amp;'إعدادات المخزون'!$B$4)</f>
        <v>0</v>
      </c>
      <c r="J37" s="110" t="n">
        <f aca="false">D37+E37+F37-G37-H37-I37</f>
        <v>-1.287506</v>
      </c>
      <c r="K37" s="36" t="str">
        <f aca="false">IF(COUNTIFS('جرد فعلي'!$B$2:$B$12001,$B$2,'جرد فعلي'!$C$2:$C$12001,$A37,'جرد فعلي'!$A$2:$A$12001,'إعدادات المخزون'!$B$4)&gt;0,"نعم","لا")</f>
        <v>لا</v>
      </c>
      <c r="L37" s="111" t="str">
        <f aca="false">IF(K37="نعم",SUMIFS('جرد فعلي'!$D$2:$D$12001,'جرد فعلي'!$B$2:$B$12001,$B$2,'جرد فعلي'!$C$2:$C$12001,$A37,'جرد فعلي'!$A$2:$A$12001,'إعدادات المخزون'!$B$4),"")</f>
        <v/>
      </c>
      <c r="M37" s="110" t="str">
        <f aca="false">IF(K37="نعم",L37-J37,"")</f>
        <v/>
      </c>
      <c r="N37" s="112" t="str">
        <f aca="false">IF(K37="نعم",IF(J37=0,IF(M37=0,0,SIGN(M37)),M37/ABS(J37)),"")</f>
        <v/>
      </c>
      <c r="O37" s="109" t="str">
        <f aca="false">IF(K37="نعم",M37*C37,"")</f>
        <v/>
      </c>
      <c r="P37" s="36" t="str">
        <f aca="false">IF(K37&lt;&gt;"نعم","لم يُجرد",IF(ABS(N37)&lt;='إعدادات المخزون'!$B$7,"مطابق",IF(M37&lt;0,"عجز","زيادة")))</f>
        <v>لم يُجرد</v>
      </c>
      <c r="Q37" s="110" t="n">
        <f aca="false">J37-Z37</f>
        <v>-0.9718805</v>
      </c>
      <c r="R37" s="110" t="str">
        <f aca="false">IF(COUNTIFS('جرد فعلي'!$B$2:$B$12001,$B$2,'جرد فعلي'!$C$2:$C$12001,$A37,'جرد فعلي'!$A$2:$A$12001,'إعدادات المخزون'!$B$4-1)&gt;0,SUMIFS('جرد فعلي'!$D$2:$D$12001,'جرد فعلي'!$B$2:$B$12001,$B$2,'جرد فعلي'!$C$2:$C$12001,$A37,'جرد فعلي'!$A$2:$A$12001,'إعدادات المخزون'!$B$4-1),"")</f>
        <v/>
      </c>
      <c r="S37" s="110" t="str">
        <f aca="false">IF(AND(K37="نعم",R37&lt;&gt;""),(L37-J37)-(R37-Q37),"")</f>
        <v/>
      </c>
      <c r="T37" s="109" t="str">
        <f aca="false">IF(S37="","",S37*C37)</f>
        <v/>
      </c>
      <c r="U37" s="110" t="n">
        <f aca="false">IF(K37="نعم",L37,J37)</f>
        <v>-1.287506</v>
      </c>
      <c r="V37" s="110" t="n">
        <f aca="false">SUMPRODUCT('مصفوفة الاستهلاك'!$AF$2:$AF$190,'متجهات المبيعات'!$D$2:$D$190)/'مواد المخزون'!$D$32/MAX(1,MIN('إعدادات المخزون'!$B$11,'إعدادات المخزون'!$B$4-'إعدادات المخزون'!$B$5+1))</f>
        <v>0.3156255</v>
      </c>
      <c r="W37" s="110" t="n">
        <f aca="false">IF(V37&lt;=0,0,ROUNDUP(MAX(0,V37*('إعدادات المخزون'!$B$8+'إعدادات المخزون'!$B$9+'إعدادات المخزون'!$B$10)-MAX(U37,0))/'مواد المخزون'!$F32,0)*'مواد المخزون'!$F32)</f>
        <v>2</v>
      </c>
      <c r="X37" s="109" t="n">
        <f aca="false">IF(AND(K37="نعم",O37&lt;0),-O37+ROW()*0.000000001,0)</f>
        <v>0</v>
      </c>
      <c r="Y37" s="109" t="n">
        <f aca="false">IF(AND(K37="نعم",O37&gt;0),O37+ROW()*0.000000001,0)</f>
        <v>0</v>
      </c>
      <c r="Z37" s="110" t="n">
        <f aca="false">SUMIFS('مشتريات يومية'!$D$2:$D$4001,'مشتريات يومية'!$B$2:$B$4001,$B$2,'مشتريات يومية'!$C$2:$C$4001,$A37,'مشتريات يومية'!$A$2:$A$4001,'إعدادات المخزون'!$B$4)+SUMIFS('هالك وتحويلات'!$E$2:$E$3001,'هالك وتحويلات'!$B$2:$B$3001,$B$2,'هالك وتحويلات'!$C$2:$C$3001,$A37,'هالك وتحويلات'!$D$2:$D$3001,"تحويل وارد",'هالك وتحويلات'!$A$2:$A$3001,'إعدادات المخزون'!$B$4)-SUMIFS('هالك وتحويلات'!$E$2:$E$3001,'هالك وتحويلات'!$B$2:$B$3001,$B$2,'هالك وتحويلات'!$C$2:$C$3001,$A37,'هالك وتحويلات'!$D$2:$D$3001,"تحويل صادر",'هالك وتحويلات'!$A$2:$A$3001,'إعدادات المخزون'!$B$4)-SUMIFS('هالك وتحويلات'!$E$2:$E$3001,'هالك وتحويلات'!$B$2:$B$3001,$B$2,'هالك وتحويلات'!$C$2:$C$3001,$A37,'هالك وتحويلات'!$D$2:$D$3001,"هالك",'هالك وتحويلات'!$A$2:$A$3001,'إعدادات المخزون'!$B$4)-SUMIFS('هالك وتحويلات'!$E$2:$E$3001,'هالك وتحويلات'!$B$2:$B$3001,$B$2,'هالك وتحويلات'!$C$2:$C$3001,$A37,'هالك وتحويلات'!$D$2:$D$3001,"ضيافة / أكل موظفين",'هالك وتحويلات'!$A$2:$A$3001,'إعدادات المخزون'!$B$4)-SUMPRODUCT('مصفوفة الاستهلاك'!$AF$2:$AF$190,'متجهات المبيعات'!$B$2:$B$190)/'مواد المخزون'!$D$32</f>
        <v>-0.3156255</v>
      </c>
      <c r="AA37" s="109" t="n">
        <f aca="false">IF(K37="نعم",O37,0)</f>
        <v>0</v>
      </c>
      <c r="AB37" s="109" t="n">
        <f aca="false">IF(K37="نعم",J37*C37,0)</f>
        <v>0</v>
      </c>
      <c r="AC37" s="109" t="n">
        <f aca="false">IF(T37="",0,T37)</f>
        <v>0</v>
      </c>
    </row>
    <row r="38" customFormat="false" ht="15" hidden="false" customHeight="false" outlineLevel="0" collapsed="false">
      <c r="A38" s="34" t="str">
        <f aca="false">'مواد المخزون'!A33</f>
        <v>بيبسي كانز</v>
      </c>
      <c r="B38" s="36" t="str">
        <f aca="false">'مواد المخزون'!B33</f>
        <v>قطعة</v>
      </c>
      <c r="C38" s="109" t="n">
        <f aca="false">'مواد المخزون'!E33</f>
        <v>17.1875</v>
      </c>
      <c r="D38" s="110" t="n">
        <f aca="false">'جرد أول المدة'!C36</f>
        <v>0</v>
      </c>
      <c r="E38" s="110" t="n">
        <f aca="false">SUMIFS('مشتريات يومية'!$D$2:$D$4001,'مشتريات يومية'!$B$2:$B$4001,$B$2,'مشتريات يومية'!$C$2:$C$4001,$A38,'مشتريات يومية'!$A$2:$A$4001,"&gt;="&amp;'إعدادات المخزون'!$B$5,'مشتريات يومية'!$A$2:$A$4001,"&lt;="&amp;'إعدادات المخزون'!$B$4)</f>
        <v>7</v>
      </c>
      <c r="F38" s="110" t="n">
        <f aca="false">SUMIFS('هالك وتحويلات'!$E$2:$E$3001,'هالك وتحويلات'!$B$2:$B$3001,$B$2,'هالك وتحويلات'!$C$2:$C$3001,$A38,'هالك وتحويلات'!$D$2:$D$3001,"تحويل وارد",'هالك وتحويلات'!$A$2:$A$3001,"&gt;="&amp;'إعدادات المخزون'!$B$5,'هالك وتحويلات'!$A$2:$A$3001,"&lt;="&amp;'إعدادات المخزون'!$B$4)</f>
        <v>0</v>
      </c>
      <c r="G38" s="110" t="n">
        <f aca="false">SUMIFS('هالك وتحويلات'!$E$2:$E$3001,'هالك وتحويلات'!$B$2:$B$3001,$B$2,'هالك وتحويلات'!$C$2:$C$3001,$A38,'هالك وتحويلات'!$D$2:$D$3001,"تحويل صادر",'هالك وتحويلات'!$A$2:$A$3001,"&gt;="&amp;'إعدادات المخزون'!$B$5,'هالك وتحويلات'!$A$2:$A$3001,"&lt;="&amp;'إعدادات المخزون'!$B$4)</f>
        <v>0</v>
      </c>
      <c r="H38" s="110" t="n">
        <f aca="false">SUMPRODUCT('مصفوفة الاستهلاك'!$AG$2:$AG$190,'متجهات المبيعات'!$C$2:$C$190)/'مواد المخزون'!$D$33</f>
        <v>6</v>
      </c>
      <c r="I38" s="110" t="n">
        <f aca="false">SUMIFS('هالك وتحويلات'!$E$2:$E$3001,'هالك وتحويلات'!$B$2:$B$3001,$B$2,'هالك وتحويلات'!$C$2:$C$3001,$A38,'هالك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وتحويلات'!$C$2:$C$3001,$A38,'هالك وتحويلات'!$D$2:$D$3001,"ضيافة / أكل موظفين",'هالك وتحويلات'!$A$2:$A$3001,"&gt;="&amp;'إعدادات المخزون'!$B$5,'هالك وتحويلات'!$A$2:$A$3001,"&lt;="&amp;'إعدادات المخزون'!$B$4)</f>
        <v>0</v>
      </c>
      <c r="J38" s="110" t="n">
        <f aca="false">D38+E38+F38-G38-H38-I38</f>
        <v>1</v>
      </c>
      <c r="K38" s="36" t="str">
        <f aca="false">IF(COUNTIFS('جرد فعلي'!$B$2:$B$12001,$B$2,'جرد فعلي'!$C$2:$C$12001,$A38,'جرد فعلي'!$A$2:$A$12001,'إعدادات المخزون'!$B$4)&gt;0,"نعم","لا")</f>
        <v>لا</v>
      </c>
      <c r="L38" s="111" t="str">
        <f aca="false">IF(K38="نعم",SUMIFS('جرد فعلي'!$D$2:$D$12001,'جرد فعلي'!$B$2:$B$12001,$B$2,'جرد فعلي'!$C$2:$C$12001,$A38,'جرد فعلي'!$A$2:$A$12001,'إعدادات المخزون'!$B$4),"")</f>
        <v/>
      </c>
      <c r="M38" s="110" t="str">
        <f aca="false">IF(K38="نعم",L38-J38,"")</f>
        <v/>
      </c>
      <c r="N38" s="112" t="str">
        <f aca="false">IF(K38="نعم",IF(J38=0,IF(M38=0,0,SIGN(M38)),M38/ABS(J38)),"")</f>
        <v/>
      </c>
      <c r="O38" s="109" t="str">
        <f aca="false">IF(K38="نعم",M38*C38,"")</f>
        <v/>
      </c>
      <c r="P38" s="36" t="str">
        <f aca="false">IF(K38&lt;&gt;"نعم","لم يُجرد",IF(ABS(N38)&lt;='إعدادات المخزون'!$B$7,"مطابق",IF(M38&lt;0,"عجز","زيادة")))</f>
        <v>لم يُجرد</v>
      </c>
      <c r="Q38" s="110" t="n">
        <f aca="false">J38-Z38</f>
        <v>1.5</v>
      </c>
      <c r="R38" s="110" t="str">
        <f aca="false">IF(COUNTIFS('جرد فعلي'!$B$2:$B$12001,$B$2,'جرد فعلي'!$C$2:$C$12001,$A38,'جرد فعلي'!$A$2:$A$12001,'إعدادات المخزون'!$B$4-1)&gt;0,SUMIFS('جرد فعلي'!$D$2:$D$12001,'جرد فعلي'!$B$2:$B$12001,$B$2,'جرد فعلي'!$C$2:$C$12001,$A38,'جرد فعلي'!$A$2:$A$12001,'إعدادات المخزون'!$B$4-1),"")</f>
        <v/>
      </c>
      <c r="S38" s="110" t="str">
        <f aca="false">IF(AND(K38="نعم",R38&lt;&gt;""),(L38-J38)-(R38-Q38),"")</f>
        <v/>
      </c>
      <c r="T38" s="109" t="str">
        <f aca="false">IF(S38="","",S38*C38)</f>
        <v/>
      </c>
      <c r="U38" s="110" t="n">
        <f aca="false">IF(K38="نعم",L38,J38)</f>
        <v>1</v>
      </c>
      <c r="V38" s="110" t="n">
        <f aca="false">SUMPRODUCT('مصفوفة الاستهلاك'!$AG$2:$AG$190,'متجهات المبيعات'!$D$2:$D$190)/'مواد المخزون'!$D$33/MAX(1,MIN('إعدادات المخزون'!$B$11,'إعدادات المخزون'!$B$4-'إعدادات المخزون'!$B$5+1))</f>
        <v>0.5</v>
      </c>
      <c r="W38" s="110" t="n">
        <f aca="false">IF(V38&lt;=0,0,ROUNDUP(MAX(0,V38*('إعدادات المخزون'!$B$8+'إعدادات المخزون'!$B$9+'إعدادات المخزون'!$B$10)-MAX(U38,0))/'مواد المخزون'!$F33,0)*'مواد المخزون'!$F33)</f>
        <v>1</v>
      </c>
      <c r="X38" s="109" t="n">
        <f aca="false">IF(AND(K38="نعم",O38&lt;0),-O38+ROW()*0.000000001,0)</f>
        <v>0</v>
      </c>
      <c r="Y38" s="109" t="n">
        <f aca="false">IF(AND(K38="نعم",O38&gt;0),O38+ROW()*0.000000001,0)</f>
        <v>0</v>
      </c>
      <c r="Z38" s="110" t="n">
        <f aca="false">SUMIFS('مشتريات يومية'!$D$2:$D$4001,'مشتريات يومية'!$B$2:$B$4001,$B$2,'مشتريات يومية'!$C$2:$C$4001,$A38,'مشتريات يومية'!$A$2:$A$4001,'إعدادات المخزون'!$B$4)+SUMIFS('هالك وتحويلات'!$E$2:$E$3001,'هالك وتحويلات'!$B$2:$B$3001,$B$2,'هالك وتحويلات'!$C$2:$C$3001,$A38,'هالك وتحويلات'!$D$2:$D$3001,"تحويل وارد",'هالك وتحويلات'!$A$2:$A$3001,'إعدادات المخزون'!$B$4)-SUMIFS('هالك وتحويلات'!$E$2:$E$3001,'هالك وتحويلات'!$B$2:$B$3001,$B$2,'هالك وتحويلات'!$C$2:$C$3001,$A38,'هالك وتحويلات'!$D$2:$D$3001,"تحويل صادر",'هالك وتحويلات'!$A$2:$A$3001,'إعدادات المخزون'!$B$4)-SUMIFS('هالك وتحويلات'!$E$2:$E$3001,'هالك وتحويلات'!$B$2:$B$3001,$B$2,'هالك وتحويلات'!$C$2:$C$3001,$A38,'هالك وتحويلات'!$D$2:$D$3001,"هالك",'هالك وتحويلات'!$A$2:$A$3001,'إعدادات المخزون'!$B$4)-SUMIFS('هالك وتحويلات'!$E$2:$E$3001,'هالك وتحويلات'!$B$2:$B$3001,$B$2,'هالك وتحويلات'!$C$2:$C$3001,$A38,'هالك وتحويلات'!$D$2:$D$3001,"ضيافة / أكل موظفين",'هالك وتحويلات'!$A$2:$A$3001,'إعدادات المخزون'!$B$4)-SUMPRODUCT('مصفوفة الاستهلاك'!$AG$2:$AG$190,'متجهات المبيعات'!$B$2:$B$190)/'مواد المخزون'!$D$33</f>
        <v>-0.5</v>
      </c>
      <c r="AA38" s="109" t="n">
        <f aca="false">IF(K38="نعم",O38,0)</f>
        <v>0</v>
      </c>
      <c r="AB38" s="109" t="n">
        <f aca="false">IF(K38="نعم",J38*C38,0)</f>
        <v>0</v>
      </c>
      <c r="AC38" s="109" t="n">
        <f aca="false">IF(T38="",0,T38)</f>
        <v>0</v>
      </c>
    </row>
    <row r="39" customFormat="false" ht="15" hidden="false" customHeight="false" outlineLevel="0" collapsed="false">
      <c r="A39" s="34" t="str">
        <f aca="false">'مواد المخزون'!A34</f>
        <v>بيبسي لتر</v>
      </c>
      <c r="B39" s="36" t="str">
        <f aca="false">'مواد المخزون'!B34</f>
        <v>لتر</v>
      </c>
      <c r="C39" s="109" t="n">
        <f aca="false">'مواد المخزون'!E34</f>
        <v>30</v>
      </c>
      <c r="D39" s="110" t="n">
        <f aca="false">'جرد أول المدة'!C37</f>
        <v>0</v>
      </c>
      <c r="E39" s="110" t="n">
        <f aca="false">SUMIFS('مشتريات يومية'!$D$2:$D$4001,'مشتريات يومية'!$B$2:$B$4001,$B$2,'مشتريات يومية'!$C$2:$C$4001,$A39,'مشتريات يومية'!$A$2:$A$4001,"&gt;="&amp;'إعدادات المخزون'!$B$5,'مشتريات يومية'!$A$2:$A$4001,"&lt;="&amp;'إعدادات المخزون'!$B$4)</f>
        <v>0</v>
      </c>
      <c r="F39" s="110" t="n">
        <f aca="false">SUMIFS('هالك وتحويلات'!$E$2:$E$3001,'هالك وتحويلات'!$B$2:$B$3001,$B$2,'هالك وتحويلات'!$C$2:$C$3001,$A39,'هالك وتحويلات'!$D$2:$D$3001,"تحويل وارد",'هالك وتحويلات'!$A$2:$A$3001,"&gt;="&amp;'إعدادات المخزون'!$B$5,'هالك وتحويلات'!$A$2:$A$3001,"&lt;="&amp;'إعدادات المخزون'!$B$4)</f>
        <v>0</v>
      </c>
      <c r="G39" s="110" t="n">
        <f aca="false">SUMIFS('هالك وتحويلات'!$E$2:$E$3001,'هالك وتحويلات'!$B$2:$B$3001,$B$2,'هالك وتحويلات'!$C$2:$C$3001,$A39,'هالك وتحويلات'!$D$2:$D$3001,"تحويل صادر",'هالك وتحويلات'!$A$2:$A$3001,"&gt;="&amp;'إعدادات المخزون'!$B$5,'هالك وتحويلات'!$A$2:$A$3001,"&lt;="&amp;'إعدادات المخزون'!$B$4)</f>
        <v>0</v>
      </c>
      <c r="H39" s="110" t="n">
        <f aca="false">SUMPRODUCT('مصفوفة الاستهلاك'!$AH$2:$AH$190,'متجهات المبيعات'!$C$2:$C$190)/'مواد المخزون'!$D$34</f>
        <v>0</v>
      </c>
      <c r="I39" s="110" t="n">
        <f aca="false">SUMIFS('هالك وتحويلات'!$E$2:$E$3001,'هالك وتحويلات'!$B$2:$B$3001,$B$2,'هالك وتحويلات'!$C$2:$C$3001,$A39,'هالك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وتحويلات'!$C$2:$C$3001,$A39,'هالك وتحويلات'!$D$2:$D$3001,"ضيافة / أكل موظفين",'هالك وتحويلات'!$A$2:$A$3001,"&gt;="&amp;'إعدادات المخزون'!$B$5,'هالك وتحويلات'!$A$2:$A$3001,"&lt;="&amp;'إعدادات المخزون'!$B$4)</f>
        <v>0</v>
      </c>
      <c r="J39" s="110" t="n">
        <f aca="false">D39+E39+F39-G39-H39-I39</f>
        <v>0</v>
      </c>
      <c r="K39" s="36" t="str">
        <f aca="false">IF(COUNTIFS('جرد فعلي'!$B$2:$B$12001,$B$2,'جرد فعلي'!$C$2:$C$12001,$A39,'جرد فعلي'!$A$2:$A$12001,'إعدادات المخزون'!$B$4)&gt;0,"نعم","لا")</f>
        <v>لا</v>
      </c>
      <c r="L39" s="111" t="str">
        <f aca="false">IF(K39="نعم",SUMIFS('جرد فعلي'!$D$2:$D$12001,'جرد فعلي'!$B$2:$B$12001,$B$2,'جرد فعلي'!$C$2:$C$12001,$A39,'جرد فعلي'!$A$2:$A$12001,'إعدادات المخزون'!$B$4),"")</f>
        <v/>
      </c>
      <c r="M39" s="110" t="str">
        <f aca="false">IF(K39="نعم",L39-J39,"")</f>
        <v/>
      </c>
      <c r="N39" s="112" t="str">
        <f aca="false">IF(K39="نعم",IF(J39=0,IF(M39=0,0,SIGN(M39)),M39/ABS(J39)),"")</f>
        <v/>
      </c>
      <c r="O39" s="109" t="str">
        <f aca="false">IF(K39="نعم",M39*C39,"")</f>
        <v/>
      </c>
      <c r="P39" s="36" t="str">
        <f aca="false">IF(K39&lt;&gt;"نعم","لم يُجرد",IF(ABS(N39)&lt;='إعدادات المخزون'!$B$7,"مطابق",IF(M39&lt;0,"عجز","زيادة")))</f>
        <v>لم يُجرد</v>
      </c>
      <c r="Q39" s="110" t="n">
        <f aca="false">J39-Z39</f>
        <v>0</v>
      </c>
      <c r="R39" s="110" t="str">
        <f aca="false">IF(COUNTIFS('جرد فعلي'!$B$2:$B$12001,$B$2,'جرد فعلي'!$C$2:$C$12001,$A39,'جرد فعلي'!$A$2:$A$12001,'إعدادات المخزون'!$B$4-1)&gt;0,SUMIFS('جرد فعلي'!$D$2:$D$12001,'جرد فعلي'!$B$2:$B$12001,$B$2,'جرد فعلي'!$C$2:$C$12001,$A39,'جرد فعلي'!$A$2:$A$12001,'إعدادات المخزون'!$B$4-1),"")</f>
        <v/>
      </c>
      <c r="S39" s="110" t="str">
        <f aca="false">IF(AND(K39="نعم",R39&lt;&gt;""),(L39-J39)-(R39-Q39),"")</f>
        <v/>
      </c>
      <c r="T39" s="109" t="str">
        <f aca="false">IF(S39="","",S39*C39)</f>
        <v/>
      </c>
      <c r="U39" s="110" t="n">
        <f aca="false">IF(K39="نعم",L39,J39)</f>
        <v>0</v>
      </c>
      <c r="V39" s="110" t="n">
        <f aca="false">SUMPRODUCT('مصفوفة الاستهلاك'!$AH$2:$AH$190,'متجهات المبيعات'!$D$2:$D$190)/'مواد المخزون'!$D$34/MAX(1,MIN('إعدادات المخزون'!$B$11,'إعدادات المخزون'!$B$4-'إعدادات المخزون'!$B$5+1))</f>
        <v>0</v>
      </c>
      <c r="W39" s="110" t="n">
        <f aca="false">IF(V39&lt;=0,0,ROUNDUP(MAX(0,V39*('إعدادات المخزون'!$B$8+'إعدادات المخزون'!$B$9+'إعدادات المخزون'!$B$10)-MAX(U39,0))/'مواد المخزون'!$F34,0)*'مواد المخزون'!$F34)</f>
        <v>0</v>
      </c>
      <c r="X39" s="109" t="n">
        <f aca="false">IF(AND(K39="نعم",O39&lt;0),-O39+ROW()*0.000000001,0)</f>
        <v>0</v>
      </c>
      <c r="Y39" s="109" t="n">
        <f aca="false">IF(AND(K39="نعم",O39&gt;0),O39+ROW()*0.000000001,0)</f>
        <v>0</v>
      </c>
      <c r="Z39" s="110" t="n">
        <f aca="false">SUMIFS('مشتريات يومية'!$D$2:$D$4001,'مشتريات يومية'!$B$2:$B$4001,$B$2,'مشتريات يومية'!$C$2:$C$4001,$A39,'مشتريات يومية'!$A$2:$A$4001,'إعدادات المخزون'!$B$4)+SUMIFS('هالك وتحويلات'!$E$2:$E$3001,'هالك وتحويلات'!$B$2:$B$3001,$B$2,'هالك وتحويلات'!$C$2:$C$3001,$A39,'هالك وتحويلات'!$D$2:$D$3001,"تحويل وارد",'هالك وتحويلات'!$A$2:$A$3001,'إعدادات المخزون'!$B$4)-SUMIFS('هالك وتحويلات'!$E$2:$E$3001,'هالك وتحويلات'!$B$2:$B$3001,$B$2,'هالك وتحويلات'!$C$2:$C$3001,$A39,'هالك وتحويلات'!$D$2:$D$3001,"تحويل صادر",'هالك وتحويلات'!$A$2:$A$3001,'إعدادات المخزون'!$B$4)-SUMIFS('هالك وتحويلات'!$E$2:$E$3001,'هالك وتحويلات'!$B$2:$B$3001,$B$2,'هالك وتحويلات'!$C$2:$C$3001,$A39,'هالك وتحويلات'!$D$2:$D$3001,"هالك",'هالك وتحويلات'!$A$2:$A$3001,'إعدادات المخزون'!$B$4)-SUMIFS('هالك وتحويلات'!$E$2:$E$3001,'هالك وتحويلات'!$B$2:$B$3001,$B$2,'هالك وتحويلات'!$C$2:$C$3001,$A39,'هالك وتحويلات'!$D$2:$D$3001,"ضيافة / أكل موظفين",'هالك وتحويلات'!$A$2:$A$3001,'إعدادات المخزون'!$B$4)-SUMPRODUCT('مصفوفة الاستهلاك'!$AH$2:$AH$190,'متجهات المبيعات'!$B$2:$B$190)/'مواد المخزون'!$D$34</f>
        <v>0</v>
      </c>
      <c r="AA39" s="109" t="n">
        <f aca="false">IF(K39="نعم",O39,0)</f>
        <v>0</v>
      </c>
      <c r="AB39" s="109" t="n">
        <f aca="false">IF(K39="نعم",J39*C39,0)</f>
        <v>0</v>
      </c>
      <c r="AC39" s="109" t="n">
        <f aca="false">IF(T39="",0,T39)</f>
        <v>0</v>
      </c>
    </row>
    <row r="40" customFormat="false" ht="15" hidden="false" customHeight="false" outlineLevel="0" collapsed="false">
      <c r="A40" s="34" t="str">
        <f aca="false">'مواد المخزون'!A35</f>
        <v>جبنة رومي/شيدر صيامي</v>
      </c>
      <c r="B40" s="36" t="str">
        <f aca="false">'مواد المخزون'!B35</f>
        <v>كجم</v>
      </c>
      <c r="C40" s="109" t="n">
        <f aca="false">'مواد المخزون'!E35</f>
        <v>105</v>
      </c>
      <c r="D40" s="110" t="n">
        <f aca="false">'جرد أول المدة'!C38</f>
        <v>0</v>
      </c>
      <c r="E40" s="110" t="n">
        <f aca="false">SUMIFS('مشتريات يومية'!$D$2:$D$4001,'مشتريات يومية'!$B$2:$B$4001,$B$2,'مشتريات يومية'!$C$2:$C$4001,$A40,'مشتريات يومية'!$A$2:$A$4001,"&gt;="&amp;'إعدادات المخزون'!$B$5,'مشتريات يومية'!$A$2:$A$4001,"&lt;="&amp;'إعدادات المخزون'!$B$4)</f>
        <v>0</v>
      </c>
      <c r="F40" s="110" t="n">
        <f aca="false">SUMIFS('هالك وتحويلات'!$E$2:$E$3001,'هالك وتحويلات'!$B$2:$B$3001,$B$2,'هالك وتحويلات'!$C$2:$C$3001,$A40,'هالك وتحويلات'!$D$2:$D$3001,"تحويل وارد",'هالك وتحويلات'!$A$2:$A$3001,"&gt;="&amp;'إعدادات المخزون'!$B$5,'هالك وتحويلات'!$A$2:$A$3001,"&lt;="&amp;'إعدادات المخزون'!$B$4)</f>
        <v>0</v>
      </c>
      <c r="G40" s="110" t="n">
        <f aca="false">SUMIFS('هالك وتحويلات'!$E$2:$E$3001,'هالك وتحويلات'!$B$2:$B$3001,$B$2,'هالك وتحويلات'!$C$2:$C$3001,$A40,'هالك وتحويلات'!$D$2:$D$3001,"تحويل صادر",'هالك وتحويلات'!$A$2:$A$3001,"&gt;="&amp;'إعدادات المخزون'!$B$5,'هالك وتحويلات'!$A$2:$A$3001,"&lt;="&amp;'إعدادات المخزون'!$B$4)</f>
        <v>0</v>
      </c>
      <c r="H40" s="110" t="n">
        <f aca="false">SUMPRODUCT('مصفوفة الاستهلاك'!$AI$2:$AI$190,'متجهات المبيعات'!$C$2:$C$190)/'مواد المخزون'!$D$35</f>
        <v>0</v>
      </c>
      <c r="I40" s="110" t="n">
        <f aca="false">SUMIFS('هالك وتحويلات'!$E$2:$E$3001,'هالك وتحويلات'!$B$2:$B$3001,$B$2,'هالك وتحويلات'!$C$2:$C$3001,$A40,'هالك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وتحويلات'!$C$2:$C$3001,$A40,'هالك وتحويلات'!$D$2:$D$3001,"ضيافة / أكل موظفين",'هالك وتحويلات'!$A$2:$A$3001,"&gt;="&amp;'إعدادات المخزون'!$B$5,'هالك وتحويلات'!$A$2:$A$3001,"&lt;="&amp;'إعدادات المخزون'!$B$4)</f>
        <v>0</v>
      </c>
      <c r="J40" s="110" t="n">
        <f aca="false">D40+E40+F40-G40-H40-I40</f>
        <v>0</v>
      </c>
      <c r="K40" s="36" t="str">
        <f aca="false">IF(COUNTIFS('جرد فعلي'!$B$2:$B$12001,$B$2,'جرد فعلي'!$C$2:$C$12001,$A40,'جرد فعلي'!$A$2:$A$12001,'إعدادات المخزون'!$B$4)&gt;0,"نعم","لا")</f>
        <v>لا</v>
      </c>
      <c r="L40" s="111" t="str">
        <f aca="false">IF(K40="نعم",SUMIFS('جرد فعلي'!$D$2:$D$12001,'جرد فعلي'!$B$2:$B$12001,$B$2,'جرد فعلي'!$C$2:$C$12001,$A40,'جرد فعلي'!$A$2:$A$12001,'إعدادات المخزون'!$B$4),"")</f>
        <v/>
      </c>
      <c r="M40" s="110" t="str">
        <f aca="false">IF(K40="نعم",L40-J40,"")</f>
        <v/>
      </c>
      <c r="N40" s="112" t="str">
        <f aca="false">IF(K40="نعم",IF(J40=0,IF(M40=0,0,SIGN(M40)),M40/ABS(J40)),"")</f>
        <v/>
      </c>
      <c r="O40" s="109" t="str">
        <f aca="false">IF(K40="نعم",M40*C40,"")</f>
        <v/>
      </c>
      <c r="P40" s="36" t="str">
        <f aca="false">IF(K40&lt;&gt;"نعم","لم يُجرد",IF(ABS(N40)&lt;='إعدادات المخزون'!$B$7,"مطابق",IF(M40&lt;0,"عجز","زيادة")))</f>
        <v>لم يُجرد</v>
      </c>
      <c r="Q40" s="110" t="n">
        <f aca="false">J40-Z40</f>
        <v>0</v>
      </c>
      <c r="R40" s="110" t="str">
        <f aca="false">IF(COUNTIFS('جرد فعلي'!$B$2:$B$12001,$B$2,'جرد فعلي'!$C$2:$C$12001,$A40,'جرد فعلي'!$A$2:$A$12001,'إعدادات المخزون'!$B$4-1)&gt;0,SUMIFS('جرد فعلي'!$D$2:$D$12001,'جرد فعلي'!$B$2:$B$12001,$B$2,'جرد فعلي'!$C$2:$C$12001,$A40,'جرد فعلي'!$A$2:$A$12001,'إعدادات المخزون'!$B$4-1),"")</f>
        <v/>
      </c>
      <c r="S40" s="110" t="str">
        <f aca="false">IF(AND(K40="نعم",R40&lt;&gt;""),(L40-J40)-(R40-Q40),"")</f>
        <v/>
      </c>
      <c r="T40" s="109" t="str">
        <f aca="false">IF(S40="","",S40*C40)</f>
        <v/>
      </c>
      <c r="U40" s="110" t="n">
        <f aca="false">IF(K40="نعم",L40,J40)</f>
        <v>0</v>
      </c>
      <c r="V40" s="110" t="n">
        <f aca="false">SUMPRODUCT('مصفوفة الاستهلاك'!$AI$2:$AI$190,'متجهات المبيعات'!$D$2:$D$190)/'مواد المخزون'!$D$35/MAX(1,MIN('إعدادات المخزون'!$B$11,'إعدادات المخزون'!$B$4-'إعدادات المخزون'!$B$5+1))</f>
        <v>0</v>
      </c>
      <c r="W40" s="110" t="n">
        <f aca="false">IF(V40&lt;=0,0,ROUNDUP(MAX(0,V40*('إعدادات المخزون'!$B$8+'إعدادات المخزون'!$B$9+'إعدادات المخزون'!$B$10)-MAX(U40,0))/'مواد المخزون'!$F35,0)*'مواد المخزون'!$F35)</f>
        <v>0</v>
      </c>
      <c r="X40" s="109" t="n">
        <f aca="false">IF(AND(K40="نعم",O40&lt;0),-O40+ROW()*0.000000001,0)</f>
        <v>0</v>
      </c>
      <c r="Y40" s="109" t="n">
        <f aca="false">IF(AND(K40="نعم",O40&gt;0),O40+ROW()*0.000000001,0)</f>
        <v>0</v>
      </c>
      <c r="Z40" s="110" t="n">
        <f aca="false">SUMIFS('مشتريات يومية'!$D$2:$D$4001,'مشتريات يومية'!$B$2:$B$4001,$B$2,'مشتريات يومية'!$C$2:$C$4001,$A40,'مشتريات يومية'!$A$2:$A$4001,'إعدادات المخزون'!$B$4)+SUMIFS('هالك وتحويلات'!$E$2:$E$3001,'هالك وتحويلات'!$B$2:$B$3001,$B$2,'هالك وتحويلات'!$C$2:$C$3001,$A40,'هالك وتحويلات'!$D$2:$D$3001,"تحويل وارد",'هالك وتحويلات'!$A$2:$A$3001,'إعدادات المخزون'!$B$4)-SUMIFS('هالك وتحويلات'!$E$2:$E$3001,'هالك وتحويلات'!$B$2:$B$3001,$B$2,'هالك وتحويلات'!$C$2:$C$3001,$A40,'هالك وتحويلات'!$D$2:$D$3001,"تحويل صادر",'هالك وتحويلات'!$A$2:$A$3001,'إعدادات المخزون'!$B$4)-SUMIFS('هالك وتحويلات'!$E$2:$E$3001,'هالك وتحويلات'!$B$2:$B$3001,$B$2,'هالك وتحويلات'!$C$2:$C$3001,$A40,'هالك وتحويلات'!$D$2:$D$3001,"هالك",'هالك وتحويلات'!$A$2:$A$3001,'إعدادات المخزون'!$B$4)-SUMIFS('هالك وتحويلات'!$E$2:$E$3001,'هالك وتحويلات'!$B$2:$B$3001,$B$2,'هالك وتحويلات'!$C$2:$C$3001,$A40,'هالك وتحويلات'!$D$2:$D$3001,"ضيافة / أكل موظفين",'هالك وتحويلات'!$A$2:$A$3001,'إعدادات المخزون'!$B$4)-SUMPRODUCT('مصفوفة الاستهلاك'!$AI$2:$AI$190,'متجهات المبيعات'!$B$2:$B$190)/'مواد المخزون'!$D$35</f>
        <v>0</v>
      </c>
      <c r="AA40" s="109" t="n">
        <f aca="false">IF(K40="نعم",O40,0)</f>
        <v>0</v>
      </c>
      <c r="AB40" s="109" t="n">
        <f aca="false">IF(K40="نعم",J40*C40,0)</f>
        <v>0</v>
      </c>
      <c r="AC40" s="109" t="n">
        <f aca="false">IF(T40="",0,T40)</f>
        <v>0</v>
      </c>
    </row>
    <row r="41" customFormat="false" ht="15" hidden="false" customHeight="false" outlineLevel="0" collapsed="false">
      <c r="A41" s="34" t="str">
        <f aca="false">'مواد المخزون'!A36</f>
        <v>جلافزات شفاف</v>
      </c>
      <c r="B41" s="36" t="str">
        <f aca="false">'مواد المخزون'!B36</f>
        <v>علبة</v>
      </c>
      <c r="C41" s="109" t="n">
        <f aca="false">'مواد المخزون'!E36</f>
        <v>9</v>
      </c>
      <c r="D41" s="110" t="n">
        <f aca="false">'جرد أول المدة'!C39</f>
        <v>100</v>
      </c>
      <c r="E41" s="110" t="n">
        <f aca="false">SUMIFS('مشتريات يومية'!$D$2:$D$4001,'مشتريات يومية'!$B$2:$B$4001,$B$2,'مشتريات يومية'!$C$2:$C$4001,$A41,'مشتريات يومية'!$A$2:$A$4001,"&gt;="&amp;'إعدادات المخزون'!$B$5,'مشتريات يومية'!$A$2:$A$4001,"&lt;="&amp;'إعدادات المخزون'!$B$4)</f>
        <v>100</v>
      </c>
      <c r="F41" s="110" t="n">
        <f aca="false">SUMIFS('هالك وتحويلات'!$E$2:$E$3001,'هالك وتحويلات'!$B$2:$B$3001,$B$2,'هالك وتحويلات'!$C$2:$C$3001,$A41,'هالك وتحويلات'!$D$2:$D$3001,"تحويل وارد",'هالك وتحويلات'!$A$2:$A$3001,"&gt;="&amp;'إعدادات المخزون'!$B$5,'هالك وتحويلات'!$A$2:$A$3001,"&lt;="&amp;'إعدادات المخزون'!$B$4)</f>
        <v>0</v>
      </c>
      <c r="G41" s="110" t="n">
        <f aca="false">SUMIFS('هالك وتحويلات'!$E$2:$E$3001,'هالك وتحويلات'!$B$2:$B$3001,$B$2,'هالك وتحويلات'!$C$2:$C$3001,$A41,'هالك وتحويلات'!$D$2:$D$3001,"تحويل صادر",'هالك وتحويلات'!$A$2:$A$3001,"&gt;="&amp;'إعدادات المخزون'!$B$5,'هالك وتحويلات'!$A$2:$A$3001,"&lt;="&amp;'إعدادات المخزون'!$B$4)</f>
        <v>0</v>
      </c>
      <c r="H41" s="110" t="n">
        <f aca="false">SUMPRODUCT('مصفوفة الاستهلاك'!$AJ$2:$AJ$190,'متجهات المبيعات'!$C$2:$C$190)/'مواد المخزون'!$D$36</f>
        <v>92.099928</v>
      </c>
      <c r="I41" s="110" t="n">
        <f aca="false">SUMIFS('هالك وتحويلات'!$E$2:$E$3001,'هالك وتحويلات'!$B$2:$B$3001,$B$2,'هالك وتحويلات'!$C$2:$C$3001,$A41,'هالك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وتحويلات'!$C$2:$C$3001,$A41,'هالك وتحويلات'!$D$2:$D$3001,"ضيافة / أكل موظفين",'هالك وتحويلات'!$A$2:$A$3001,"&gt;="&amp;'إعدادات المخزون'!$B$5,'هالك وتحويلات'!$A$2:$A$3001,"&lt;="&amp;'إعدادات المخزون'!$B$4)</f>
        <v>0</v>
      </c>
      <c r="J41" s="110" t="n">
        <f aca="false">D41+E41+F41-G41-H41-I41</f>
        <v>107.900072</v>
      </c>
      <c r="K41" s="36" t="str">
        <f aca="false">IF(COUNTIFS('جرد فعلي'!$B$2:$B$12001,$B$2,'جرد فعلي'!$C$2:$C$12001,$A41,'جرد فعلي'!$A$2:$A$12001,'إعدادات المخزون'!$B$4)&gt;0,"نعم","لا")</f>
        <v>لا</v>
      </c>
      <c r="L41" s="111" t="str">
        <f aca="false">IF(K41="نعم",SUMIFS('جرد فعلي'!$D$2:$D$12001,'جرد فعلي'!$B$2:$B$12001,$B$2,'جرد فعلي'!$C$2:$C$12001,$A41,'جرد فعلي'!$A$2:$A$12001,'إعدادات المخزون'!$B$4),"")</f>
        <v/>
      </c>
      <c r="M41" s="110" t="str">
        <f aca="false">IF(K41="نعم",L41-J41,"")</f>
        <v/>
      </c>
      <c r="N41" s="112" t="str">
        <f aca="false">IF(K41="نعم",IF(J41=0,IF(M41=0,0,SIGN(M41)),M41/ABS(J41)),"")</f>
        <v/>
      </c>
      <c r="O41" s="109" t="str">
        <f aca="false">IF(K41="نعم",M41*C41,"")</f>
        <v/>
      </c>
      <c r="P41" s="36" t="str">
        <f aca="false">IF(K41&lt;&gt;"نعم","لم يُجرد",IF(ABS(N41)&lt;='إعدادات المخزون'!$B$7,"مطابق",IF(M41&lt;0,"عجز","زيادة")))</f>
        <v>لم يُجرد</v>
      </c>
      <c r="Q41" s="110" t="n">
        <f aca="false">J41-Z41</f>
        <v>115.575066</v>
      </c>
      <c r="R41" s="110" t="str">
        <f aca="false">IF(COUNTIFS('جرد فعلي'!$B$2:$B$12001,$B$2,'جرد فعلي'!$C$2:$C$12001,$A41,'جرد فعلي'!$A$2:$A$12001,'إعدادات المخزون'!$B$4-1)&gt;0,SUMIFS('جرد فعلي'!$D$2:$D$12001,'جرد فعلي'!$B$2:$B$12001,$B$2,'جرد فعلي'!$C$2:$C$12001,$A41,'جرد فعلي'!$A$2:$A$12001,'إعدادات المخزون'!$B$4-1),"")</f>
        <v/>
      </c>
      <c r="S41" s="110" t="str">
        <f aca="false">IF(AND(K41="نعم",R41&lt;&gt;""),(L41-J41)-(R41-Q41),"")</f>
        <v/>
      </c>
      <c r="T41" s="109" t="str">
        <f aca="false">IF(S41="","",S41*C41)</f>
        <v/>
      </c>
      <c r="U41" s="110" t="n">
        <f aca="false">IF(K41="نعم",L41,J41)</f>
        <v>107.900072</v>
      </c>
      <c r="V41" s="110" t="n">
        <f aca="false">SUMPRODUCT('مصفوفة الاستهلاك'!$AJ$2:$AJ$190,'متجهات المبيعات'!$D$2:$D$190)/'مواد المخزون'!$D$36/MAX(1,MIN('إعدادات المخزون'!$B$11,'إعدادات المخزون'!$B$4-'إعدادات المخزون'!$B$5+1))</f>
        <v>7.674994</v>
      </c>
      <c r="W41" s="110" t="n">
        <f aca="false">IF(V41&lt;=0,0,ROUNDUP(MAX(0,V41*('إعدادات المخزون'!$B$8+'إعدادات المخزون'!$B$9+'إعدادات المخزون'!$B$10)-MAX(U41,0))/'مواد المخزون'!$F36,0)*'مواد المخزون'!$F36)</f>
        <v>0</v>
      </c>
      <c r="X41" s="109" t="n">
        <f aca="false">IF(AND(K41="نعم",O41&lt;0),-O41+ROW()*0.000000001,0)</f>
        <v>0</v>
      </c>
      <c r="Y41" s="109" t="n">
        <f aca="false">IF(AND(K41="نعم",O41&gt;0),O41+ROW()*0.000000001,0)</f>
        <v>0</v>
      </c>
      <c r="Z41" s="110" t="n">
        <f aca="false">SUMIFS('مشتريات يومية'!$D$2:$D$4001,'مشتريات يومية'!$B$2:$B$4001,$B$2,'مشتريات يومية'!$C$2:$C$4001,$A41,'مشتريات يومية'!$A$2:$A$4001,'إعدادات المخزون'!$B$4)+SUMIFS('هالك وتحويلات'!$E$2:$E$3001,'هالك وتحويلات'!$B$2:$B$3001,$B$2,'هالك وتحويلات'!$C$2:$C$3001,$A41,'هالك وتحويلات'!$D$2:$D$3001,"تحويل وارد",'هالك وتحويلات'!$A$2:$A$3001,'إعدادات المخزون'!$B$4)-SUMIFS('هالك وتحويلات'!$E$2:$E$3001,'هالك وتحويلات'!$B$2:$B$3001,$B$2,'هالك وتحويلات'!$C$2:$C$3001,$A41,'هالك وتحويلات'!$D$2:$D$3001,"تحويل صادر",'هالك وتحويلات'!$A$2:$A$3001,'إعدادات المخزون'!$B$4)-SUMIFS('هالك وتحويلات'!$E$2:$E$3001,'هالك وتحويلات'!$B$2:$B$3001,$B$2,'هالك وتحويلات'!$C$2:$C$3001,$A41,'هالك وتحويلات'!$D$2:$D$3001,"هالك",'هالك وتحويلات'!$A$2:$A$3001,'إعدادات المخزون'!$B$4)-SUMIFS('هالك وتحويلات'!$E$2:$E$3001,'هالك وتحويلات'!$B$2:$B$3001,$B$2,'هالك وتحويلات'!$C$2:$C$3001,$A41,'هالك وتحويلات'!$D$2:$D$3001,"ضيافة / أكل موظفين",'هالك وتحويلات'!$A$2:$A$3001,'إعدادات المخزون'!$B$4)-SUMPRODUCT('مصفوفة الاستهلاك'!$AJ$2:$AJ$190,'متجهات المبيعات'!$B$2:$B$190)/'مواد المخزون'!$D$36</f>
        <v>-7.674994</v>
      </c>
      <c r="AA41" s="109" t="n">
        <f aca="false">IF(K41="نعم",O41,0)</f>
        <v>0</v>
      </c>
      <c r="AB41" s="109" t="n">
        <f aca="false">IF(K41="نعم",J41*C41,0)</f>
        <v>0</v>
      </c>
      <c r="AC41" s="109" t="n">
        <f aca="false">IF(T41="",0,T41)</f>
        <v>0</v>
      </c>
    </row>
    <row r="42" customFormat="false" ht="15" hidden="false" customHeight="false" outlineLevel="0" collapsed="false">
      <c r="A42" s="34" t="str">
        <f aca="false">'مواد المخزون'!A37</f>
        <v>جوزهند</v>
      </c>
      <c r="B42" s="36" t="str">
        <f aca="false">'مواد المخزون'!B37</f>
        <v>كجم</v>
      </c>
      <c r="C42" s="109" t="n">
        <f aca="false">'مواد المخزون'!E37</f>
        <v>200</v>
      </c>
      <c r="D42" s="110" t="n">
        <f aca="false">'جرد أول المدة'!C40</f>
        <v>0.45</v>
      </c>
      <c r="E42" s="110" t="n">
        <f aca="false">SUMIFS('مشتريات يومية'!$D$2:$D$4001,'مشتريات يومية'!$B$2:$B$4001,$B$2,'مشتريات يومية'!$C$2:$C$4001,$A42,'مشتريات يومية'!$A$2:$A$4001,"&gt;="&amp;'إعدادات المخزون'!$B$5,'مشتريات يومية'!$A$2:$A$4001,"&lt;="&amp;'إعدادات المخزون'!$B$4)</f>
        <v>0.5</v>
      </c>
      <c r="F42" s="110" t="n">
        <f aca="false">SUMIFS('هالك وتحويلات'!$E$2:$E$3001,'هالك وتحويلات'!$B$2:$B$3001,$B$2,'هالك وتحويلات'!$C$2:$C$3001,$A42,'هالك وتحويلات'!$D$2:$D$3001,"تحويل وارد",'هالك وتحويلات'!$A$2:$A$3001,"&gt;="&amp;'إعدادات المخزون'!$B$5,'هالك وتحويلات'!$A$2:$A$3001,"&lt;="&amp;'إعدادات المخزون'!$B$4)</f>
        <v>0</v>
      </c>
      <c r="G42" s="110" t="n">
        <f aca="false">SUMIFS('هالك وتحويلات'!$E$2:$E$3001,'هالك وتحويلات'!$B$2:$B$3001,$B$2,'هالك وتحويلات'!$C$2:$C$3001,$A42,'هالك وتحويلات'!$D$2:$D$3001,"تحويل صادر",'هالك وتحويلات'!$A$2:$A$3001,"&gt;="&amp;'إعدادات المخزون'!$B$5,'هالك وتحويلات'!$A$2:$A$3001,"&lt;="&amp;'إعدادات المخزون'!$B$4)</f>
        <v>0</v>
      </c>
      <c r="H42" s="110" t="n">
        <f aca="false">SUMPRODUCT('مصفوفة الاستهلاك'!$AK$2:$AK$190,'متجهات المبيعات'!$C$2:$C$190)/'مواد المخزون'!$D$37</f>
        <v>0.420012</v>
      </c>
      <c r="I42" s="110" t="n">
        <f aca="false">SUMIFS('هالك وتحويلات'!$E$2:$E$3001,'هالك وتحويلات'!$B$2:$B$3001,$B$2,'هالك وتحويلات'!$C$2:$C$3001,$A42,'هالك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وتحويلات'!$C$2:$C$3001,$A42,'هالك وتحويلات'!$D$2:$D$3001,"ضيافة / أكل موظفين",'هالك وتحويلات'!$A$2:$A$3001,"&gt;="&amp;'إعدادات المخزون'!$B$5,'هالك وتحويلات'!$A$2:$A$3001,"&lt;="&amp;'إعدادات المخزون'!$B$4)</f>
        <v>0</v>
      </c>
      <c r="J42" s="110" t="n">
        <f aca="false">D42+E42+F42-G42-H42-I42</f>
        <v>0.529988</v>
      </c>
      <c r="K42" s="36" t="str">
        <f aca="false">IF(COUNTIFS('جرد فعلي'!$B$2:$B$12001,$B$2,'جرد فعلي'!$C$2:$C$12001,$A42,'جرد فعلي'!$A$2:$A$12001,'إعدادات المخزون'!$B$4)&gt;0,"نعم","لا")</f>
        <v>لا</v>
      </c>
      <c r="L42" s="111" t="str">
        <f aca="false">IF(K42="نعم",SUMIFS('جرد فعلي'!$D$2:$D$12001,'جرد فعلي'!$B$2:$B$12001,$B$2,'جرد فعلي'!$C$2:$C$12001,$A42,'جرد فعلي'!$A$2:$A$12001,'إعدادات المخزون'!$B$4),"")</f>
        <v/>
      </c>
      <c r="M42" s="110" t="str">
        <f aca="false">IF(K42="نعم",L42-J42,"")</f>
        <v/>
      </c>
      <c r="N42" s="112" t="str">
        <f aca="false">IF(K42="نعم",IF(J42=0,IF(M42=0,0,SIGN(M42)),M42/ABS(J42)),"")</f>
        <v/>
      </c>
      <c r="O42" s="109" t="str">
        <f aca="false">IF(K42="نعم",M42*C42,"")</f>
        <v/>
      </c>
      <c r="P42" s="36" t="str">
        <f aca="false">IF(K42&lt;&gt;"نعم","لم يُجرد",IF(ABS(N42)&lt;='إعدادات المخزون'!$B$7,"مطابق",IF(M42&lt;0,"عجز","زيادة")))</f>
        <v>لم يُجرد</v>
      </c>
      <c r="Q42" s="110" t="n">
        <f aca="false">J42-Z42</f>
        <v>0.564989</v>
      </c>
      <c r="R42" s="110" t="str">
        <f aca="false">IF(COUNTIFS('جرد فعلي'!$B$2:$B$12001,$B$2,'جرد فعلي'!$C$2:$C$12001,$A42,'جرد فعلي'!$A$2:$A$12001,'إعدادات المخزون'!$B$4-1)&gt;0,SUMIFS('جرد فعلي'!$D$2:$D$12001,'جرد فعلي'!$B$2:$B$12001,$B$2,'جرد فعلي'!$C$2:$C$12001,$A42,'جرد فعلي'!$A$2:$A$12001,'إعدادات المخزون'!$B$4-1),"")</f>
        <v/>
      </c>
      <c r="S42" s="110" t="str">
        <f aca="false">IF(AND(K42="نعم",R42&lt;&gt;""),(L42-J42)-(R42-Q42),"")</f>
        <v/>
      </c>
      <c r="T42" s="109" t="str">
        <f aca="false">IF(S42="","",S42*C42)</f>
        <v/>
      </c>
      <c r="U42" s="110" t="n">
        <f aca="false">IF(K42="نعم",L42,J42)</f>
        <v>0.529988</v>
      </c>
      <c r="V42" s="110" t="n">
        <f aca="false">SUMPRODUCT('مصفوفة الاستهلاك'!$AK$2:$AK$190,'متجهات المبيعات'!$D$2:$D$190)/'مواد المخزون'!$D$37/MAX(1,MIN('إعدادات المخزون'!$B$11,'إعدادات المخزون'!$B$4-'إعدادات المخزون'!$B$5+1))</f>
        <v>0.035001</v>
      </c>
      <c r="W42" s="110" t="n">
        <f aca="false">IF(V42&lt;=0,0,ROUNDUP(MAX(0,V42*('إعدادات المخزون'!$B$8+'إعدادات المخزون'!$B$9+'إعدادات المخزون'!$B$10)-MAX(U42,0))/'مواد المخزون'!$F37,0)*'مواد المخزون'!$F37)</f>
        <v>0</v>
      </c>
      <c r="X42" s="109" t="n">
        <f aca="false">IF(AND(K42="نعم",O42&lt;0),-O42+ROW()*0.000000001,0)</f>
        <v>0</v>
      </c>
      <c r="Y42" s="109" t="n">
        <f aca="false">IF(AND(K42="نعم",O42&gt;0),O42+ROW()*0.000000001,0)</f>
        <v>0</v>
      </c>
      <c r="Z42" s="110" t="n">
        <f aca="false">SUMIFS('مشتريات يومية'!$D$2:$D$4001,'مشتريات يومية'!$B$2:$B$4001,$B$2,'مشتريات يومية'!$C$2:$C$4001,$A42,'مشتريات يومية'!$A$2:$A$4001,'إعدادات المخزون'!$B$4)+SUMIFS('هالك وتحويلات'!$E$2:$E$3001,'هالك وتحويلات'!$B$2:$B$3001,$B$2,'هالك وتحويلات'!$C$2:$C$3001,$A42,'هالك وتحويلات'!$D$2:$D$3001,"تحويل وارد",'هالك وتحويلات'!$A$2:$A$3001,'إعدادات المخزون'!$B$4)-SUMIFS('هالك وتحويلات'!$E$2:$E$3001,'هالك وتحويلات'!$B$2:$B$3001,$B$2,'هالك وتحويلات'!$C$2:$C$3001,$A42,'هالك وتحويلات'!$D$2:$D$3001,"تحويل صادر",'هالك وتحويلات'!$A$2:$A$3001,'إعدادات المخزون'!$B$4)-SUMIFS('هالك وتحويلات'!$E$2:$E$3001,'هالك وتحويلات'!$B$2:$B$3001,$B$2,'هالك وتحويلات'!$C$2:$C$3001,$A42,'هالك وتحويلات'!$D$2:$D$3001,"هالك",'هالك وتحويلات'!$A$2:$A$3001,'إعدادات المخزون'!$B$4)-SUMIFS('هالك وتحويلات'!$E$2:$E$3001,'هالك وتحويلات'!$B$2:$B$3001,$B$2,'هالك وتحويلات'!$C$2:$C$3001,$A42,'هالك وتحويلات'!$D$2:$D$3001,"ضيافة / أكل موظفين",'هالك وتحويلات'!$A$2:$A$3001,'إعدادات المخزون'!$B$4)-SUMPRODUCT('مصفوفة الاستهلاك'!$AK$2:$AK$190,'متجهات المبيعات'!$B$2:$B$190)/'مواد المخزون'!$D$37</f>
        <v>-0.035001</v>
      </c>
      <c r="AA42" s="109" t="n">
        <f aca="false">IF(K42="نعم",O42,0)</f>
        <v>0</v>
      </c>
      <c r="AB42" s="109" t="n">
        <f aca="false">IF(K42="نعم",J42*C42,0)</f>
        <v>0</v>
      </c>
      <c r="AC42" s="109" t="n">
        <f aca="false">IF(T42="",0,T42)</f>
        <v>0</v>
      </c>
    </row>
    <row r="43" customFormat="false" ht="15" hidden="false" customHeight="false" outlineLevel="0" collapsed="false">
      <c r="A43" s="34" t="str">
        <f aca="false">'مواد المخزون'!A38</f>
        <v>خيار مخلل</v>
      </c>
      <c r="B43" s="36" t="str">
        <f aca="false">'مواد المخزون'!B38</f>
        <v>كجم</v>
      </c>
      <c r="C43" s="109" t="n">
        <f aca="false">'مواد المخزون'!E38</f>
        <v>30</v>
      </c>
      <c r="D43" s="110" t="n">
        <f aca="false">'جرد أول المدة'!C41</f>
        <v>6</v>
      </c>
      <c r="E43" s="110" t="n">
        <f aca="false">SUMIFS('مشتريات يومية'!$D$2:$D$4001,'مشتريات يومية'!$B$2:$B$4001,$B$2,'مشتريات يومية'!$C$2:$C$4001,$A43,'مشتريات يومية'!$A$2:$A$4001,"&gt;="&amp;'إعدادات المخزون'!$B$5,'مشتريات يومية'!$A$2:$A$4001,"&lt;="&amp;'إعدادات المخزون'!$B$4)</f>
        <v>0</v>
      </c>
      <c r="F43" s="110" t="n">
        <f aca="false">SUMIFS('هالك وتحويلات'!$E$2:$E$3001,'هالك وتحويلات'!$B$2:$B$3001,$B$2,'هالك وتحويلات'!$C$2:$C$3001,$A43,'هالك وتحويلات'!$D$2:$D$3001,"تحويل وارد",'هالك وتحويلات'!$A$2:$A$3001,"&gt;="&amp;'إعدادات المخزون'!$B$5,'هالك وتحويلات'!$A$2:$A$3001,"&lt;="&amp;'إعدادات المخزون'!$B$4)</f>
        <v>0</v>
      </c>
      <c r="G43" s="110" t="n">
        <f aca="false">SUMIFS('هالك وتحويلات'!$E$2:$E$3001,'هالك وتحويلات'!$B$2:$B$3001,$B$2,'هالك وتحويلات'!$C$2:$C$3001,$A43,'هالك وتحويلات'!$D$2:$D$3001,"تحويل صادر",'هالك وتحويلات'!$A$2:$A$3001,"&gt;="&amp;'إعدادات المخزون'!$B$5,'هالك وتحويلات'!$A$2:$A$3001,"&lt;="&amp;'إعدادات المخزون'!$B$4)</f>
        <v>0</v>
      </c>
      <c r="H43" s="110" t="n">
        <f aca="false">SUMPRODUCT('مصفوفة الاستهلاك'!$AL$2:$AL$190,'متجهات المبيعات'!$C$2:$C$190)/'مواد المخزون'!$D$38</f>
        <v>1.939992</v>
      </c>
      <c r="I43" s="110" t="n">
        <f aca="false">SUMIFS('هالك وتحويلات'!$E$2:$E$3001,'هالك وتحويلات'!$B$2:$B$3001,$B$2,'هالك وتحويلات'!$C$2:$C$3001,$A43,'هالك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وتحويلات'!$C$2:$C$3001,$A43,'هالك وتحويلات'!$D$2:$D$3001,"ضيافة / أكل موظفين",'هالك وتحويلات'!$A$2:$A$3001,"&gt;="&amp;'إعدادات المخزون'!$B$5,'هالك وتحويلات'!$A$2:$A$3001,"&lt;="&amp;'إعدادات المخزون'!$B$4)</f>
        <v>0</v>
      </c>
      <c r="J43" s="110" t="n">
        <f aca="false">D43+E43+F43-G43-H43-I43</f>
        <v>4.060008</v>
      </c>
      <c r="K43" s="36" t="str">
        <f aca="false">IF(COUNTIFS('جرد فعلي'!$B$2:$B$12001,$B$2,'جرد فعلي'!$C$2:$C$12001,$A43,'جرد فعلي'!$A$2:$A$12001,'إعدادات المخزون'!$B$4)&gt;0,"نعم","لا")</f>
        <v>لا</v>
      </c>
      <c r="L43" s="111" t="str">
        <f aca="false">IF(K43="نعم",SUMIFS('جرد فعلي'!$D$2:$D$12001,'جرد فعلي'!$B$2:$B$12001,$B$2,'جرد فعلي'!$C$2:$C$12001,$A43,'جرد فعلي'!$A$2:$A$12001,'إعدادات المخزون'!$B$4),"")</f>
        <v/>
      </c>
      <c r="M43" s="110" t="str">
        <f aca="false">IF(K43="نعم",L43-J43,"")</f>
        <v/>
      </c>
      <c r="N43" s="112" t="str">
        <f aca="false">IF(K43="نعم",IF(J43=0,IF(M43=0,0,SIGN(M43)),M43/ABS(J43)),"")</f>
        <v/>
      </c>
      <c r="O43" s="109" t="str">
        <f aca="false">IF(K43="نعم",M43*C43,"")</f>
        <v/>
      </c>
      <c r="P43" s="36" t="str">
        <f aca="false">IF(K43&lt;&gt;"نعم","لم يُجرد",IF(ABS(N43)&lt;='إعدادات المخزون'!$B$7,"مطابق",IF(M43&lt;0,"عجز","زيادة")))</f>
        <v>لم يُجرد</v>
      </c>
      <c r="Q43" s="110" t="n">
        <f aca="false">J43-Z43</f>
        <v>4.221674</v>
      </c>
      <c r="R43" s="110" t="str">
        <f aca="false">IF(COUNTIFS('جرد فعلي'!$B$2:$B$12001,$B$2,'جرد فعلي'!$C$2:$C$12001,$A43,'جرد فعلي'!$A$2:$A$12001,'إعدادات المخزون'!$B$4-1)&gt;0,SUMIFS('جرد فعلي'!$D$2:$D$12001,'جرد فعلي'!$B$2:$B$12001,$B$2,'جرد فعلي'!$C$2:$C$12001,$A43,'جرد فعلي'!$A$2:$A$12001,'إعدادات المخزون'!$B$4-1),"")</f>
        <v/>
      </c>
      <c r="S43" s="110" t="str">
        <f aca="false">IF(AND(K43="نعم",R43&lt;&gt;""),(L43-J43)-(R43-Q43),"")</f>
        <v/>
      </c>
      <c r="T43" s="109" t="str">
        <f aca="false">IF(S43="","",S43*C43)</f>
        <v/>
      </c>
      <c r="U43" s="110" t="n">
        <f aca="false">IF(K43="نعم",L43,J43)</f>
        <v>4.060008</v>
      </c>
      <c r="V43" s="110" t="n">
        <f aca="false">SUMPRODUCT('مصفوفة الاستهلاك'!$AL$2:$AL$190,'متجهات المبيعات'!$D$2:$D$190)/'مواد المخزون'!$D$38/MAX(1,MIN('إعدادات المخزون'!$B$11,'إعدادات المخزون'!$B$4-'إعدادات المخزون'!$B$5+1))</f>
        <v>0.161666</v>
      </c>
      <c r="W43" s="110" t="n">
        <f aca="false">IF(V43&lt;=0,0,ROUNDUP(MAX(0,V43*('إعدادات المخزون'!$B$8+'إعدادات المخزون'!$B$9+'إعدادات المخزون'!$B$10)-MAX(U43,0))/'مواد المخزون'!$F38,0)*'مواد المخزون'!$F38)</f>
        <v>0</v>
      </c>
      <c r="X43" s="109" t="n">
        <f aca="false">IF(AND(K43="نعم",O43&lt;0),-O43+ROW()*0.000000001,0)</f>
        <v>0</v>
      </c>
      <c r="Y43" s="109" t="n">
        <f aca="false">IF(AND(K43="نعم",O43&gt;0),O43+ROW()*0.000000001,0)</f>
        <v>0</v>
      </c>
      <c r="Z43" s="110" t="n">
        <f aca="false">SUMIFS('مشتريات يومية'!$D$2:$D$4001,'مشتريات يومية'!$B$2:$B$4001,$B$2,'مشتريات يومية'!$C$2:$C$4001,$A43,'مشتريات يومية'!$A$2:$A$4001,'إعدادات المخزون'!$B$4)+SUMIFS('هالك وتحويلات'!$E$2:$E$3001,'هالك وتحويلات'!$B$2:$B$3001,$B$2,'هالك وتحويلات'!$C$2:$C$3001,$A43,'هالك وتحويلات'!$D$2:$D$3001,"تحويل وارد",'هالك وتحويلات'!$A$2:$A$3001,'إعدادات المخزون'!$B$4)-SUMIFS('هالك وتحويلات'!$E$2:$E$3001,'هالك وتحويلات'!$B$2:$B$3001,$B$2,'هالك وتحويلات'!$C$2:$C$3001,$A43,'هالك وتحويلات'!$D$2:$D$3001,"تحويل صادر",'هالك وتحويلات'!$A$2:$A$3001,'إعدادات المخزون'!$B$4)-SUMIFS('هالك وتحويلات'!$E$2:$E$3001,'هالك وتحويلات'!$B$2:$B$3001,$B$2,'هالك وتحويلات'!$C$2:$C$3001,$A43,'هالك وتحويلات'!$D$2:$D$3001,"هالك",'هالك وتحويلات'!$A$2:$A$3001,'إعدادات المخزون'!$B$4)-SUMIFS('هالك وتحويلات'!$E$2:$E$3001,'هالك وتحويلات'!$B$2:$B$3001,$B$2,'هالك وتحويلات'!$C$2:$C$3001,$A43,'هالك وتحويلات'!$D$2:$D$3001,"ضيافة / أكل موظفين",'هالك وتحويلات'!$A$2:$A$3001,'إعدادات المخزون'!$B$4)-SUMPRODUCT('مصفوفة الاستهلاك'!$AL$2:$AL$190,'متجهات المبيعات'!$B$2:$B$190)/'مواد المخزون'!$D$38</f>
        <v>-0.161666</v>
      </c>
      <c r="AA43" s="109" t="n">
        <f aca="false">IF(K43="نعم",O43,0)</f>
        <v>0</v>
      </c>
      <c r="AB43" s="109" t="n">
        <f aca="false">IF(K43="نعم",J43*C43,0)</f>
        <v>0</v>
      </c>
      <c r="AC43" s="109" t="n">
        <f aca="false">IF(T43="",0,T43)</f>
        <v>0</v>
      </c>
    </row>
    <row r="44" customFormat="false" ht="15" hidden="false" customHeight="false" outlineLevel="0" collapsed="false">
      <c r="A44" s="34" t="str">
        <f aca="false">'مواد المخزون'!A39</f>
        <v>دقيق</v>
      </c>
      <c r="B44" s="36" t="str">
        <f aca="false">'مواد المخزون'!B39</f>
        <v>كجم</v>
      </c>
      <c r="C44" s="109" t="n">
        <f aca="false">'مواد المخزون'!E39</f>
        <v>20.3571</v>
      </c>
      <c r="D44" s="110" t="n">
        <f aca="false">'جرد أول المدة'!C42</f>
        <v>12</v>
      </c>
      <c r="E44" s="110" t="n">
        <f aca="false">SUMIFS('مشتريات يومية'!$D$2:$D$4001,'مشتريات يومية'!$B$2:$B$4001,$B$2,'مشتريات يومية'!$C$2:$C$4001,$A44,'مشتريات يومية'!$A$2:$A$4001,"&gt;="&amp;'إعدادات المخزون'!$B$5,'مشتريات يومية'!$A$2:$A$4001,"&lt;="&amp;'إعدادات المخزون'!$B$4)</f>
        <v>45</v>
      </c>
      <c r="F44" s="110" t="n">
        <f aca="false">SUMIFS('هالك وتحويلات'!$E$2:$E$3001,'هالك وتحويلات'!$B$2:$B$3001,$B$2,'هالك وتحويلات'!$C$2:$C$3001,$A44,'هالك وتحويلات'!$D$2:$D$3001,"تحويل وارد",'هالك وتحويلات'!$A$2:$A$3001,"&gt;="&amp;'إعدادات المخزون'!$B$5,'هالك وتحويلات'!$A$2:$A$3001,"&lt;="&amp;'إعدادات المخزون'!$B$4)</f>
        <v>0</v>
      </c>
      <c r="G44" s="110" t="n">
        <f aca="false">SUMIFS('هالك وتحويلات'!$E$2:$E$3001,'هالك وتحويلات'!$B$2:$B$3001,$B$2,'هالك وتحويلات'!$C$2:$C$3001,$A44,'هالك وتحويلات'!$D$2:$D$3001,"تحويل صادر",'هالك وتحويلات'!$A$2:$A$3001,"&gt;="&amp;'إعدادات المخزون'!$B$5,'هالك وتحويلات'!$A$2:$A$3001,"&lt;="&amp;'إعدادات المخزون'!$B$4)</f>
        <v>0</v>
      </c>
      <c r="H44" s="110" t="n">
        <f aca="false">SUMPRODUCT('مصفوفة الاستهلاك'!$AM$2:$AM$190,'متجهات المبيعات'!$C$2:$C$190)/'مواد المخزون'!$D$39</f>
        <v>12.0832999995167</v>
      </c>
      <c r="I44" s="110" t="n">
        <f aca="false">SUMIFS('هالك وتحويلات'!$E$2:$E$3001,'هالك وتحويلات'!$B$2:$B$3001,$B$2,'هالك وتحويلات'!$C$2:$C$3001,$A44,'هالك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وتحويلات'!$C$2:$C$3001,$A44,'هالك وتحويلات'!$D$2:$D$3001,"ضيافة / أكل موظفين",'هالك وتحويلات'!$A$2:$A$3001,"&gt;="&amp;'إعدادات المخزون'!$B$5,'هالك وتحويلات'!$A$2:$A$3001,"&lt;="&amp;'إعدادات المخزون'!$B$4)</f>
        <v>0</v>
      </c>
      <c r="J44" s="110" t="n">
        <f aca="false">D44+E44+F44-G44-H44-I44</f>
        <v>44.9167000004833</v>
      </c>
      <c r="K44" s="36" t="str">
        <f aca="false">IF(COUNTIFS('جرد فعلي'!$B$2:$B$12001,$B$2,'جرد فعلي'!$C$2:$C$12001,$A44,'جرد فعلي'!$A$2:$A$12001,'إعدادات المخزون'!$B$4)&gt;0,"نعم","لا")</f>
        <v>لا</v>
      </c>
      <c r="L44" s="111" t="str">
        <f aca="false">IF(K44="نعم",SUMIFS('جرد فعلي'!$D$2:$D$12001,'جرد فعلي'!$B$2:$B$12001,$B$2,'جرد فعلي'!$C$2:$C$12001,$A44,'جرد فعلي'!$A$2:$A$12001,'إعدادات المخزون'!$B$4),"")</f>
        <v/>
      </c>
      <c r="M44" s="110" t="str">
        <f aca="false">IF(K44="نعم",L44-J44,"")</f>
        <v/>
      </c>
      <c r="N44" s="112" t="str">
        <f aca="false">IF(K44="نعم",IF(J44=0,IF(M44=0,0,SIGN(M44)),M44/ABS(J44)),"")</f>
        <v/>
      </c>
      <c r="O44" s="109" t="str">
        <f aca="false">IF(K44="نعم",M44*C44,"")</f>
        <v/>
      </c>
      <c r="P44" s="36" t="str">
        <f aca="false">IF(K44&lt;&gt;"نعم","لم يُجرد",IF(ABS(N44)&lt;='إعدادات المخزون'!$B$7,"مطابق",IF(M44&lt;0,"عجز","زيادة")))</f>
        <v>لم يُجرد</v>
      </c>
      <c r="Q44" s="110" t="n">
        <f aca="false">J44-Z44</f>
        <v>45.9236416671097</v>
      </c>
      <c r="R44" s="110" t="str">
        <f aca="false">IF(COUNTIFS('جرد فعلي'!$B$2:$B$12001,$B$2,'جرد فعلي'!$C$2:$C$12001,$A44,'جرد فعلي'!$A$2:$A$12001,'إعدادات المخزون'!$B$4-1)&gt;0,SUMIFS('جرد فعلي'!$D$2:$D$12001,'جرد فعلي'!$B$2:$B$12001,$B$2,'جرد فعلي'!$C$2:$C$12001,$A44,'جرد فعلي'!$A$2:$A$12001,'إعدادات المخزون'!$B$4-1),"")</f>
        <v/>
      </c>
      <c r="S44" s="110" t="str">
        <f aca="false">IF(AND(K44="نعم",R44&lt;&gt;""),(L44-J44)-(R44-Q44),"")</f>
        <v/>
      </c>
      <c r="T44" s="109" t="str">
        <f aca="false">IF(S44="","",S44*C44)</f>
        <v/>
      </c>
      <c r="U44" s="110" t="n">
        <f aca="false">IF(K44="نعم",L44,J44)</f>
        <v>44.9167000004833</v>
      </c>
      <c r="V44" s="110" t="n">
        <f aca="false">SUMPRODUCT('مصفوفة الاستهلاك'!$AM$2:$AM$190,'متجهات المبيعات'!$D$2:$D$190)/'مواد المخزون'!$D$39/MAX(1,MIN('إعدادات المخزون'!$B$11,'إعدادات المخزون'!$B$4-'إعدادات المخزون'!$B$5+1))</f>
        <v>1.00694166662639</v>
      </c>
      <c r="W44" s="110" t="n">
        <f aca="false">IF(V44&lt;=0,0,ROUNDUP(MAX(0,V44*('إعدادات المخزون'!$B$8+'إعدادات المخزون'!$B$9+'إعدادات المخزون'!$B$10)-MAX(U44,0))/'مواد المخزون'!$F39,0)*'مواد المخزون'!$F39)</f>
        <v>0</v>
      </c>
      <c r="X44" s="109" t="n">
        <f aca="false">IF(AND(K44="نعم",O44&lt;0),-O44+ROW()*0.000000001,0)</f>
        <v>0</v>
      </c>
      <c r="Y44" s="109" t="n">
        <f aca="false">IF(AND(K44="نعم",O44&gt;0),O44+ROW()*0.000000001,0)</f>
        <v>0</v>
      </c>
      <c r="Z44" s="110" t="n">
        <f aca="false">SUMIFS('مشتريات يومية'!$D$2:$D$4001,'مشتريات يومية'!$B$2:$B$4001,$B$2,'مشتريات يومية'!$C$2:$C$4001,$A44,'مشتريات يومية'!$A$2:$A$4001,'إعدادات المخزون'!$B$4)+SUMIFS('هالك وتحويلات'!$E$2:$E$3001,'هالك وتحويلات'!$B$2:$B$3001,$B$2,'هالك وتحويلات'!$C$2:$C$3001,$A44,'هالك وتحويلات'!$D$2:$D$3001,"تحويل وارد",'هالك وتحويلات'!$A$2:$A$3001,'إعدادات المخزون'!$B$4)-SUMIFS('هالك وتحويلات'!$E$2:$E$3001,'هالك وتحويلات'!$B$2:$B$3001,$B$2,'هالك وتحويلات'!$C$2:$C$3001,$A44,'هالك وتحويلات'!$D$2:$D$3001,"تحويل صادر",'هالك وتحويلات'!$A$2:$A$3001,'إعدادات المخزون'!$B$4)-SUMIFS('هالك وتحويلات'!$E$2:$E$3001,'هالك وتحويلات'!$B$2:$B$3001,$B$2,'هالك وتحويلات'!$C$2:$C$3001,$A44,'هالك وتحويلات'!$D$2:$D$3001,"هالك",'هالك وتحويلات'!$A$2:$A$3001,'إعدادات المخزون'!$B$4)-SUMIFS('هالك وتحويلات'!$E$2:$E$3001,'هالك وتحويلات'!$B$2:$B$3001,$B$2,'هالك وتحويلات'!$C$2:$C$3001,$A44,'هالك وتحويلات'!$D$2:$D$3001,"ضيافة / أكل موظفين",'هالك وتحويلات'!$A$2:$A$3001,'إعدادات المخزون'!$B$4)-SUMPRODUCT('مصفوفة الاستهلاك'!$AM$2:$AM$190,'متجهات المبيعات'!$B$2:$B$190)/'مواد المخزون'!$D$39</f>
        <v>-1.00694166662639</v>
      </c>
      <c r="AA44" s="109" t="n">
        <f aca="false">IF(K44="نعم",O44,0)</f>
        <v>0</v>
      </c>
      <c r="AB44" s="109" t="n">
        <f aca="false">IF(K44="نعم",J44*C44,0)</f>
        <v>0</v>
      </c>
      <c r="AC44" s="109" t="n">
        <f aca="false">IF(T44="",0,T44)</f>
        <v>0</v>
      </c>
    </row>
    <row r="45" customFormat="false" ht="15" hidden="false" customHeight="false" outlineLevel="0" collapsed="false">
      <c r="A45" s="34" t="str">
        <f aca="false">'مواد المخزون'!A40</f>
        <v>زبدة</v>
      </c>
      <c r="B45" s="36" t="str">
        <f aca="false">'مواد المخزون'!B40</f>
        <v>كجم</v>
      </c>
      <c r="C45" s="109" t="n">
        <f aca="false">'مواد المخزون'!E40</f>
        <v>120</v>
      </c>
      <c r="D45" s="110" t="n">
        <f aca="false">'جرد أول المدة'!C43</f>
        <v>3.556</v>
      </c>
      <c r="E45" s="110" t="n">
        <f aca="false">SUMIFS('مشتريات يومية'!$D$2:$D$4001,'مشتريات يومية'!$B$2:$B$4001,$B$2,'مشتريات يومية'!$C$2:$C$4001,$A45,'مشتريات يومية'!$A$2:$A$4001,"&gt;="&amp;'إعدادات المخزون'!$B$5,'مشتريات يومية'!$A$2:$A$4001,"&lt;="&amp;'إعدادات المخزون'!$B$4)</f>
        <v>10</v>
      </c>
      <c r="F45" s="110" t="n">
        <f aca="false">SUMIFS('هالك وتحويلات'!$E$2:$E$3001,'هالك وتحويلات'!$B$2:$B$3001,$B$2,'هالك وتحويلات'!$C$2:$C$3001,$A45,'هالك وتحويلات'!$D$2:$D$3001,"تحويل وارد",'هالك وتحويلات'!$A$2:$A$3001,"&gt;="&amp;'إعدادات المخزون'!$B$5,'هالك وتحويلات'!$A$2:$A$3001,"&lt;="&amp;'إعدادات المخزون'!$B$4)</f>
        <v>0</v>
      </c>
      <c r="G45" s="110" t="n">
        <f aca="false">SUMIFS('هالك وتحويلات'!$E$2:$E$3001,'هالك وتحويلات'!$B$2:$B$3001,$B$2,'هالك وتحويلات'!$C$2:$C$3001,$A45,'هالك وتحويلات'!$D$2:$D$3001,"تحويل صادر",'هالك وتحويلات'!$A$2:$A$3001,"&gt;="&amp;'إعدادات المخزون'!$B$5,'هالك وتحويلات'!$A$2:$A$3001,"&lt;="&amp;'إعدادات المخزون'!$B$4)</f>
        <v>0</v>
      </c>
      <c r="H45" s="110" t="n">
        <f aca="false">SUMPRODUCT('مصفوفة الاستهلاك'!$AN$2:$AN$190,'متجهات المبيعات'!$C$2:$C$190)/'مواد المخزون'!$D$40</f>
        <v>1.76416900004833</v>
      </c>
      <c r="I45" s="110" t="n">
        <f aca="false">SUMIFS('هالك وتحويلات'!$E$2:$E$3001,'هالك وتحويلات'!$B$2:$B$3001,$B$2,'هالك وتحويلات'!$C$2:$C$3001,$A45,'هالك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وتحويلات'!$C$2:$C$3001,$A45,'هالك وتحويلات'!$D$2:$D$3001,"ضيافة / أكل موظفين",'هالك وتحويلات'!$A$2:$A$3001,"&gt;="&amp;'إعدادات المخزون'!$B$5,'هالك وتحويلات'!$A$2:$A$3001,"&lt;="&amp;'إعدادات المخزون'!$B$4)</f>
        <v>0</v>
      </c>
      <c r="J45" s="110" t="n">
        <f aca="false">D45+E45+F45-G45-H45-I45</f>
        <v>11.7918309999517</v>
      </c>
      <c r="K45" s="36" t="str">
        <f aca="false">IF(COUNTIFS('جرد فعلي'!$B$2:$B$12001,$B$2,'جرد فعلي'!$C$2:$C$12001,$A45,'جرد فعلي'!$A$2:$A$12001,'إعدادات المخزون'!$B$4)&gt;0,"نعم","لا")</f>
        <v>لا</v>
      </c>
      <c r="L45" s="111" t="str">
        <f aca="false">IF(K45="نعم",SUMIFS('جرد فعلي'!$D$2:$D$12001,'جرد فعلي'!$B$2:$B$12001,$B$2,'جرد فعلي'!$C$2:$C$12001,$A45,'جرد فعلي'!$A$2:$A$12001,'إعدادات المخزون'!$B$4),"")</f>
        <v/>
      </c>
      <c r="M45" s="110" t="str">
        <f aca="false">IF(K45="نعم",L45-J45,"")</f>
        <v/>
      </c>
      <c r="N45" s="112" t="str">
        <f aca="false">IF(K45="نعم",IF(J45=0,IF(M45=0,0,SIGN(M45)),M45/ABS(J45)),"")</f>
        <v/>
      </c>
      <c r="O45" s="109" t="str">
        <f aca="false">IF(K45="نعم",M45*C45,"")</f>
        <v/>
      </c>
      <c r="P45" s="36" t="str">
        <f aca="false">IF(K45&lt;&gt;"نعم","لم يُجرد",IF(ABS(N45)&lt;='إعدادات المخزون'!$B$7,"مطابق",IF(M45&lt;0,"عجز","زيادة")))</f>
        <v>لم يُجرد</v>
      </c>
      <c r="Q45" s="110" t="n">
        <f aca="false">J45-Z45</f>
        <v>11.938845083289</v>
      </c>
      <c r="R45" s="110" t="str">
        <f aca="false">IF(COUNTIFS('جرد فعلي'!$B$2:$B$12001,$B$2,'جرد فعلي'!$C$2:$C$12001,$A45,'جرد فعلي'!$A$2:$A$12001,'إعدادات المخزون'!$B$4-1)&gt;0,SUMIFS('جرد فعلي'!$D$2:$D$12001,'جرد فعلي'!$B$2:$B$12001,$B$2,'جرد فعلي'!$C$2:$C$12001,$A45,'جرد فعلي'!$A$2:$A$12001,'إعدادات المخزون'!$B$4-1),"")</f>
        <v/>
      </c>
      <c r="S45" s="110" t="str">
        <f aca="false">IF(AND(K45="نعم",R45&lt;&gt;""),(L45-J45)-(R45-Q45),"")</f>
        <v/>
      </c>
      <c r="T45" s="109" t="str">
        <f aca="false">IF(S45="","",S45*C45)</f>
        <v/>
      </c>
      <c r="U45" s="110" t="n">
        <f aca="false">IF(K45="نعم",L45,J45)</f>
        <v>11.7918309999517</v>
      </c>
      <c r="V45" s="110" t="n">
        <f aca="false">SUMPRODUCT('مصفوفة الاستهلاك'!$AN$2:$AN$190,'متجهات المبيعات'!$D$2:$D$190)/'مواد المخزون'!$D$40/MAX(1,MIN('إعدادات المخزون'!$B$11,'إعدادات المخزون'!$B$4-'إعدادات المخزون'!$B$5+1))</f>
        <v>0.147014083337361</v>
      </c>
      <c r="W45" s="110" t="n">
        <f aca="false">IF(V45&lt;=0,0,ROUNDUP(MAX(0,V45*('إعدادات المخزون'!$B$8+'إعدادات المخزون'!$B$9+'إعدادات المخزون'!$B$10)-MAX(U45,0))/'مواد المخزون'!$F40,0)*'مواد المخزون'!$F40)</f>
        <v>0</v>
      </c>
      <c r="X45" s="109" t="n">
        <f aca="false">IF(AND(K45="نعم",O45&lt;0),-O45+ROW()*0.000000001,0)</f>
        <v>0</v>
      </c>
      <c r="Y45" s="109" t="n">
        <f aca="false">IF(AND(K45="نعم",O45&gt;0),O45+ROW()*0.000000001,0)</f>
        <v>0</v>
      </c>
      <c r="Z45" s="110" t="n">
        <f aca="false">SUMIFS('مشتريات يومية'!$D$2:$D$4001,'مشتريات يومية'!$B$2:$B$4001,$B$2,'مشتريات يومية'!$C$2:$C$4001,$A45,'مشتريات يومية'!$A$2:$A$4001,'إعدادات المخزون'!$B$4)+SUMIFS('هالك وتحويلات'!$E$2:$E$3001,'هالك وتحويلات'!$B$2:$B$3001,$B$2,'هالك وتحويلات'!$C$2:$C$3001,$A45,'هالك وتحويلات'!$D$2:$D$3001,"تحويل وارد",'هالك وتحويلات'!$A$2:$A$3001,'إعدادات المخزون'!$B$4)-SUMIFS('هالك وتحويلات'!$E$2:$E$3001,'هالك وتحويلات'!$B$2:$B$3001,$B$2,'هالك وتحويلات'!$C$2:$C$3001,$A45,'هالك وتحويلات'!$D$2:$D$3001,"تحويل صادر",'هالك وتحويلات'!$A$2:$A$3001,'إعدادات المخزون'!$B$4)-SUMIFS('هالك وتحويلات'!$E$2:$E$3001,'هالك وتحويلات'!$B$2:$B$3001,$B$2,'هالك وتحويلات'!$C$2:$C$3001,$A45,'هالك وتحويلات'!$D$2:$D$3001,"هالك",'هالك وتحويلات'!$A$2:$A$3001,'إعدادات المخزون'!$B$4)-SUMIFS('هالك وتحويلات'!$E$2:$E$3001,'هالك وتحويلات'!$B$2:$B$3001,$B$2,'هالك وتحويلات'!$C$2:$C$3001,$A45,'هالك وتحويلات'!$D$2:$D$3001,"ضيافة / أكل موظفين",'هالك وتحويلات'!$A$2:$A$3001,'إعدادات المخزون'!$B$4)-SUMPRODUCT('مصفوفة الاستهلاك'!$AN$2:$AN$190,'متجهات المبيعات'!$B$2:$B$190)/'مواد المخزون'!$D$40</f>
        <v>-0.147014083337361</v>
      </c>
      <c r="AA45" s="109" t="n">
        <f aca="false">IF(K45="نعم",O45,0)</f>
        <v>0</v>
      </c>
      <c r="AB45" s="109" t="n">
        <f aca="false">IF(K45="نعم",J45*C45,0)</f>
        <v>0</v>
      </c>
      <c r="AC45" s="109" t="n">
        <f aca="false">IF(T45="",0,T45)</f>
        <v>0</v>
      </c>
    </row>
    <row r="46" customFormat="false" ht="15" hidden="false" customHeight="false" outlineLevel="0" collapsed="false">
      <c r="A46" s="34" t="str">
        <f aca="false">'مواد المخزون'!A41</f>
        <v>زبيب</v>
      </c>
      <c r="B46" s="36" t="str">
        <f aca="false">'مواد المخزون'!B41</f>
        <v>كجم</v>
      </c>
      <c r="C46" s="109" t="n">
        <f aca="false">'مواد المخزون'!E41</f>
        <v>220</v>
      </c>
      <c r="D46" s="110" t="n">
        <f aca="false">'جرد أول المدة'!C44</f>
        <v>0.875</v>
      </c>
      <c r="E46" s="110" t="n">
        <f aca="false">SUMIFS('مشتريات يومية'!$D$2:$D$4001,'مشتريات يومية'!$B$2:$B$4001,$B$2,'مشتريات يومية'!$C$2:$C$4001,$A46,'مشتريات يومية'!$A$2:$A$4001,"&gt;="&amp;'إعدادات المخزون'!$B$5,'مشتريات يومية'!$A$2:$A$4001,"&lt;="&amp;'إعدادات المخزون'!$B$4)</f>
        <v>0.5</v>
      </c>
      <c r="F46" s="110" t="n">
        <f aca="false">SUMIFS('هالك وتحويلات'!$E$2:$E$3001,'هالك وتحويلات'!$B$2:$B$3001,$B$2,'هالك وتحويلات'!$C$2:$C$3001,$A46,'هالك وتحويلات'!$D$2:$D$3001,"تحويل وارد",'هالك وتحويلات'!$A$2:$A$3001,"&gt;="&amp;'إعدادات المخزون'!$B$5,'هالك وتحويلات'!$A$2:$A$3001,"&lt;="&amp;'إعدادات المخزون'!$B$4)</f>
        <v>0</v>
      </c>
      <c r="G46" s="110" t="n">
        <f aca="false">SUMIFS('هالك وتحويلات'!$E$2:$E$3001,'هالك وتحويلات'!$B$2:$B$3001,$B$2,'هالك وتحويلات'!$C$2:$C$3001,$A46,'هالك وتحويلات'!$D$2:$D$3001,"تحويل صادر",'هالك وتحويلات'!$A$2:$A$3001,"&gt;="&amp;'إعدادات المخزون'!$B$5,'هالك وتحويلات'!$A$2:$A$3001,"&lt;="&amp;'إعدادات المخزون'!$B$4)</f>
        <v>0</v>
      </c>
      <c r="H46" s="110" t="n">
        <f aca="false">SUMPRODUCT('مصفوفة الاستهلاك'!$AO$2:$AO$190,'متجهات المبيعات'!$C$2:$C$190)/'مواد المخزون'!$D$41</f>
        <v>0.840024</v>
      </c>
      <c r="I46" s="110" t="n">
        <f aca="false">SUMIFS('هالك وتحويلات'!$E$2:$E$3001,'هالك وتحويلات'!$B$2:$B$3001,$B$2,'هالك وتحويلات'!$C$2:$C$3001,$A46,'هالك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وتحويلات'!$C$2:$C$3001,$A46,'هالك وتحويلات'!$D$2:$D$3001,"ضيافة / أكل موظفين",'هالك وتحويلات'!$A$2:$A$3001,"&gt;="&amp;'إعدادات المخزون'!$B$5,'هالك وتحويلات'!$A$2:$A$3001,"&lt;="&amp;'إعدادات المخزون'!$B$4)</f>
        <v>0</v>
      </c>
      <c r="J46" s="110" t="n">
        <f aca="false">D46+E46+F46-G46-H46-I46</f>
        <v>0.534976</v>
      </c>
      <c r="K46" s="36" t="str">
        <f aca="false">IF(COUNTIFS('جرد فعلي'!$B$2:$B$12001,$B$2,'جرد فعلي'!$C$2:$C$12001,$A46,'جرد فعلي'!$A$2:$A$12001,'إعدادات المخزون'!$B$4)&gt;0,"نعم","لا")</f>
        <v>لا</v>
      </c>
      <c r="L46" s="111" t="str">
        <f aca="false">IF(K46="نعم",SUMIFS('جرد فعلي'!$D$2:$D$12001,'جرد فعلي'!$B$2:$B$12001,$B$2,'جرد فعلي'!$C$2:$C$12001,$A46,'جرد فعلي'!$A$2:$A$12001,'إعدادات المخزون'!$B$4),"")</f>
        <v/>
      </c>
      <c r="M46" s="110" t="str">
        <f aca="false">IF(K46="نعم",L46-J46,"")</f>
        <v/>
      </c>
      <c r="N46" s="112" t="str">
        <f aca="false">IF(K46="نعم",IF(J46=0,IF(M46=0,0,SIGN(M46)),M46/ABS(J46)),"")</f>
        <v/>
      </c>
      <c r="O46" s="109" t="str">
        <f aca="false">IF(K46="نعم",M46*C46,"")</f>
        <v/>
      </c>
      <c r="P46" s="36" t="str">
        <f aca="false">IF(K46&lt;&gt;"نعم","لم يُجرد",IF(ABS(N46)&lt;='إعدادات المخزون'!$B$7,"مطابق",IF(M46&lt;0,"عجز","زيادة")))</f>
        <v>لم يُجرد</v>
      </c>
      <c r="Q46" s="110" t="n">
        <f aca="false">J46-Z46</f>
        <v>0.604978</v>
      </c>
      <c r="R46" s="110" t="str">
        <f aca="false">IF(COUNTIFS('جرد فعلي'!$B$2:$B$12001,$B$2,'جرد فعلي'!$C$2:$C$12001,$A46,'جرد فعلي'!$A$2:$A$12001,'إعدادات المخزون'!$B$4-1)&gt;0,SUMIFS('جرد فعلي'!$D$2:$D$12001,'جرد فعلي'!$B$2:$B$12001,$B$2,'جرد فعلي'!$C$2:$C$12001,$A46,'جرد فعلي'!$A$2:$A$12001,'إعدادات المخزون'!$B$4-1),"")</f>
        <v/>
      </c>
      <c r="S46" s="110" t="str">
        <f aca="false">IF(AND(K46="نعم",R46&lt;&gt;""),(L46-J46)-(R46-Q46),"")</f>
        <v/>
      </c>
      <c r="T46" s="109" t="str">
        <f aca="false">IF(S46="","",S46*C46)</f>
        <v/>
      </c>
      <c r="U46" s="110" t="n">
        <f aca="false">IF(K46="نعم",L46,J46)</f>
        <v>0.534976</v>
      </c>
      <c r="V46" s="110" t="n">
        <f aca="false">SUMPRODUCT('مصفوفة الاستهلاك'!$AO$2:$AO$190,'متجهات المبيعات'!$D$2:$D$190)/'مواد المخزون'!$D$41/MAX(1,MIN('إعدادات المخزون'!$B$11,'إعدادات المخزون'!$B$4-'إعدادات المخزون'!$B$5+1))</f>
        <v>0.070002</v>
      </c>
      <c r="W46" s="110" t="n">
        <f aca="false">IF(V46&lt;=0,0,ROUNDUP(MAX(0,V46*('إعدادات المخزون'!$B$8+'إعدادات المخزون'!$B$9+'إعدادات المخزون'!$B$10)-MAX(U46,0))/'مواد المخزون'!$F41,0)*'مواد المخزون'!$F41)</f>
        <v>0</v>
      </c>
      <c r="X46" s="109" t="n">
        <f aca="false">IF(AND(K46="نعم",O46&lt;0),-O46+ROW()*0.000000001,0)</f>
        <v>0</v>
      </c>
      <c r="Y46" s="109" t="n">
        <f aca="false">IF(AND(K46="نعم",O46&gt;0),O46+ROW()*0.000000001,0)</f>
        <v>0</v>
      </c>
      <c r="Z46" s="110" t="n">
        <f aca="false">SUMIFS('مشتريات يومية'!$D$2:$D$4001,'مشتريات يومية'!$B$2:$B$4001,$B$2,'مشتريات يومية'!$C$2:$C$4001,$A46,'مشتريات يومية'!$A$2:$A$4001,'إعدادات المخزون'!$B$4)+SUMIFS('هالك وتحويلات'!$E$2:$E$3001,'هالك وتحويلات'!$B$2:$B$3001,$B$2,'هالك وتحويلات'!$C$2:$C$3001,$A46,'هالك وتحويلات'!$D$2:$D$3001,"تحويل وارد",'هالك وتحويلات'!$A$2:$A$3001,'إعدادات المخزون'!$B$4)-SUMIFS('هالك وتحويلات'!$E$2:$E$3001,'هالك وتحويلات'!$B$2:$B$3001,$B$2,'هالك وتحويلات'!$C$2:$C$3001,$A46,'هالك وتحويلات'!$D$2:$D$3001,"تحويل صادر",'هالك وتحويلات'!$A$2:$A$3001,'إعدادات المخزون'!$B$4)-SUMIFS('هالك وتحويلات'!$E$2:$E$3001,'هالك وتحويلات'!$B$2:$B$3001,$B$2,'هالك وتحويلات'!$C$2:$C$3001,$A46,'هالك وتحويلات'!$D$2:$D$3001,"هالك",'هالك وتحويلات'!$A$2:$A$3001,'إعدادات المخزون'!$B$4)-SUMIFS('هالك وتحويلات'!$E$2:$E$3001,'هالك وتحويلات'!$B$2:$B$3001,$B$2,'هالك وتحويلات'!$C$2:$C$3001,$A46,'هالك وتحويلات'!$D$2:$D$3001,"ضيافة / أكل موظفين",'هالك وتحويلات'!$A$2:$A$3001,'إعدادات المخزون'!$B$4)-SUMPRODUCT('مصفوفة الاستهلاك'!$AO$2:$AO$190,'متجهات المبيعات'!$B$2:$B$190)/'مواد المخزون'!$D$41</f>
        <v>-0.070002</v>
      </c>
      <c r="AA46" s="109" t="n">
        <f aca="false">IF(K46="نعم",O46,0)</f>
        <v>0</v>
      </c>
      <c r="AB46" s="109" t="n">
        <f aca="false">IF(K46="نعم",J46*C46,0)</f>
        <v>0</v>
      </c>
      <c r="AC46" s="109" t="n">
        <f aca="false">IF(T46="",0,T46)</f>
        <v>0</v>
      </c>
    </row>
    <row r="47" customFormat="false" ht="15" hidden="false" customHeight="false" outlineLevel="0" collapsed="false">
      <c r="A47" s="34" t="str">
        <f aca="false">'مواد المخزون'!A42</f>
        <v>زيتون</v>
      </c>
      <c r="B47" s="36" t="str">
        <f aca="false">'مواد المخزون'!B42</f>
        <v>كجم</v>
      </c>
      <c r="C47" s="109" t="n">
        <f aca="false">'مواد المخزون'!E42</f>
        <v>95</v>
      </c>
      <c r="D47" s="110" t="n">
        <f aca="false">'جرد أول المدة'!C45</f>
        <v>16.25</v>
      </c>
      <c r="E47" s="110" t="n">
        <f aca="false">SUMIFS('مشتريات يومية'!$D$2:$D$4001,'مشتريات يومية'!$B$2:$B$4001,$B$2,'مشتريات يومية'!$C$2:$C$4001,$A47,'مشتريات يومية'!$A$2:$A$4001,"&gt;="&amp;'إعدادات المخزون'!$B$5,'مشتريات يومية'!$A$2:$A$4001,"&lt;="&amp;'إعدادات المخزون'!$B$4)</f>
        <v>15</v>
      </c>
      <c r="F47" s="110" t="n">
        <f aca="false">SUMIFS('هالك وتحويلات'!$E$2:$E$3001,'هالك وتحويلات'!$B$2:$B$3001,$B$2,'هالك وتحويلات'!$C$2:$C$3001,$A47,'هالك وتحويلات'!$D$2:$D$3001,"تحويل وارد",'هالك وتحويلات'!$A$2:$A$3001,"&gt;="&amp;'إعدادات المخزون'!$B$5,'هالك وتحويلات'!$A$2:$A$3001,"&lt;="&amp;'إعدادات المخزون'!$B$4)</f>
        <v>0</v>
      </c>
      <c r="G47" s="110" t="n">
        <f aca="false">SUMIFS('هالك وتحويلات'!$E$2:$E$3001,'هالك وتحويلات'!$B$2:$B$3001,$B$2,'هالك وتحويلات'!$C$2:$C$3001,$A47,'هالك وتحويلات'!$D$2:$D$3001,"تحويل صادر",'هالك وتحويلات'!$A$2:$A$3001,"&gt;="&amp;'إعدادات المخزون'!$B$5,'هالك وتحويلات'!$A$2:$A$3001,"&lt;="&amp;'إعدادات المخزون'!$B$4)</f>
        <v>0</v>
      </c>
      <c r="H47" s="110" t="n">
        <f aca="false">SUMPRODUCT('مصفوفة الاستهلاك'!$AP$2:$AP$190,'متجهات المبيعات'!$C$2:$C$190)/'مواد المخزون'!$D$42</f>
        <v>35.719932</v>
      </c>
      <c r="I47" s="110" t="n">
        <f aca="false">SUMIFS('هالك وتحويلات'!$E$2:$E$3001,'هالك وتحويلات'!$B$2:$B$3001,$B$2,'هالك وتحويلات'!$C$2:$C$3001,$A47,'هالك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وتحويلات'!$C$2:$C$3001,$A47,'هالك وتحويلات'!$D$2:$D$3001,"ضيافة / أكل موظفين",'هالك وتحويلات'!$A$2:$A$3001,"&gt;="&amp;'إعدادات المخزون'!$B$5,'هالك وتحويلات'!$A$2:$A$3001,"&lt;="&amp;'إعدادات المخزون'!$B$4)</f>
        <v>0</v>
      </c>
      <c r="J47" s="110" t="n">
        <f aca="false">D47+E47+F47-G47-H47-I47</f>
        <v>-4.469932</v>
      </c>
      <c r="K47" s="36" t="str">
        <f aca="false">IF(COUNTIFS('جرد فعلي'!$B$2:$B$12001,$B$2,'جرد فعلي'!$C$2:$C$12001,$A47,'جرد فعلي'!$A$2:$A$12001,'إعدادات المخزون'!$B$4)&gt;0,"نعم","لا")</f>
        <v>لا</v>
      </c>
      <c r="L47" s="111" t="str">
        <f aca="false">IF(K47="نعم",SUMIFS('جرد فعلي'!$D$2:$D$12001,'جرد فعلي'!$B$2:$B$12001,$B$2,'جرد فعلي'!$C$2:$C$12001,$A47,'جرد فعلي'!$A$2:$A$12001,'إعدادات المخزون'!$B$4),"")</f>
        <v/>
      </c>
      <c r="M47" s="110" t="str">
        <f aca="false">IF(K47="نعم",L47-J47,"")</f>
        <v/>
      </c>
      <c r="N47" s="112" t="str">
        <f aca="false">IF(K47="نعم",IF(J47=0,IF(M47=0,0,SIGN(M47)),M47/ABS(J47)),"")</f>
        <v/>
      </c>
      <c r="O47" s="109" t="str">
        <f aca="false">IF(K47="نعم",M47*C47,"")</f>
        <v/>
      </c>
      <c r="P47" s="36" t="str">
        <f aca="false">IF(K47&lt;&gt;"نعم","لم يُجرد",IF(ABS(N47)&lt;='إعدادات المخزون'!$B$7,"مطابق",IF(M47&lt;0,"عجز","زيادة")))</f>
        <v>لم يُجرد</v>
      </c>
      <c r="Q47" s="110" t="n">
        <f aca="false">J47-Z47</f>
        <v>-1.493271</v>
      </c>
      <c r="R47" s="110" t="str">
        <f aca="false">IF(COUNTIFS('جرد فعلي'!$B$2:$B$12001,$B$2,'جرد فعلي'!$C$2:$C$12001,$A47,'جرد فعلي'!$A$2:$A$12001,'إعدادات المخزون'!$B$4-1)&gt;0,SUMIFS('جرد فعلي'!$D$2:$D$12001,'جرد فعلي'!$B$2:$B$12001,$B$2,'جرد فعلي'!$C$2:$C$12001,$A47,'جرد فعلي'!$A$2:$A$12001,'إعدادات المخزون'!$B$4-1),"")</f>
        <v/>
      </c>
      <c r="S47" s="110" t="str">
        <f aca="false">IF(AND(K47="نعم",R47&lt;&gt;""),(L47-J47)-(R47-Q47),"")</f>
        <v/>
      </c>
      <c r="T47" s="109" t="str">
        <f aca="false">IF(S47="","",S47*C47)</f>
        <v/>
      </c>
      <c r="U47" s="110" t="n">
        <f aca="false">IF(K47="نعم",L47,J47)</f>
        <v>-4.469932</v>
      </c>
      <c r="V47" s="110" t="n">
        <f aca="false">SUMPRODUCT('مصفوفة الاستهلاك'!$AP$2:$AP$190,'متجهات المبيعات'!$D$2:$D$190)/'مواد المخزون'!$D$42/MAX(1,MIN('إعدادات المخزون'!$B$11,'إعدادات المخزون'!$B$4-'إعدادات المخزون'!$B$5+1))</f>
        <v>2.976661</v>
      </c>
      <c r="W47" s="110" t="n">
        <f aca="false">IF(V47&lt;=0,0,ROUNDUP(MAX(0,V47*('إعدادات المخزون'!$B$8+'إعدادات المخزون'!$B$9+'إعدادات المخزون'!$B$10)-MAX(U47,0))/'مواد المخزون'!$F42,0)*'مواد المخزون'!$F42)</f>
        <v>12</v>
      </c>
      <c r="X47" s="109" t="n">
        <f aca="false">IF(AND(K47="نعم",O47&lt;0),-O47+ROW()*0.000000001,0)</f>
        <v>0</v>
      </c>
      <c r="Y47" s="109" t="n">
        <f aca="false">IF(AND(K47="نعم",O47&gt;0),O47+ROW()*0.000000001,0)</f>
        <v>0</v>
      </c>
      <c r="Z47" s="110" t="n">
        <f aca="false">SUMIFS('مشتريات يومية'!$D$2:$D$4001,'مشتريات يومية'!$B$2:$B$4001,$B$2,'مشتريات يومية'!$C$2:$C$4001,$A47,'مشتريات يومية'!$A$2:$A$4001,'إعدادات المخزون'!$B$4)+SUMIFS('هالك وتحويلات'!$E$2:$E$3001,'هالك وتحويلات'!$B$2:$B$3001,$B$2,'هالك وتحويلات'!$C$2:$C$3001,$A47,'هالك وتحويلات'!$D$2:$D$3001,"تحويل وارد",'هالك وتحويلات'!$A$2:$A$3001,'إعدادات المخزون'!$B$4)-SUMIFS('هالك وتحويلات'!$E$2:$E$3001,'هالك وتحويلات'!$B$2:$B$3001,$B$2,'هالك وتحويلات'!$C$2:$C$3001,$A47,'هالك وتحويلات'!$D$2:$D$3001,"تحويل صادر",'هالك وتحويلات'!$A$2:$A$3001,'إعدادات المخزون'!$B$4)-SUMIFS('هالك وتحويلات'!$E$2:$E$3001,'هالك وتحويلات'!$B$2:$B$3001,$B$2,'هالك وتحويلات'!$C$2:$C$3001,$A47,'هالك وتحويلات'!$D$2:$D$3001,"هالك",'هالك وتحويلات'!$A$2:$A$3001,'إعدادات المخزون'!$B$4)-SUMIFS('هالك وتحويلات'!$E$2:$E$3001,'هالك وتحويلات'!$B$2:$B$3001,$B$2,'هالك وتحويلات'!$C$2:$C$3001,$A47,'هالك وتحويلات'!$D$2:$D$3001,"ضيافة / أكل موظفين",'هالك وتحويلات'!$A$2:$A$3001,'إعدادات المخزون'!$B$4)-SUMPRODUCT('مصفوفة الاستهلاك'!$AP$2:$AP$190,'متجهات المبيعات'!$B$2:$B$190)/'مواد المخزون'!$D$42</f>
        <v>-2.976661</v>
      </c>
      <c r="AA47" s="109" t="n">
        <f aca="false">IF(K47="نعم",O47,0)</f>
        <v>0</v>
      </c>
      <c r="AB47" s="109" t="n">
        <f aca="false">IF(K47="نعم",J47*C47,0)</f>
        <v>0</v>
      </c>
      <c r="AC47" s="109" t="n">
        <f aca="false">IF(T47="",0,T47)</f>
        <v>0</v>
      </c>
    </row>
    <row r="48" customFormat="false" ht="15" hidden="false" customHeight="false" outlineLevel="0" collapsed="false">
      <c r="A48" s="34" t="str">
        <f aca="false">'مواد المخزون'!A43</f>
        <v>سكر بودرة</v>
      </c>
      <c r="B48" s="36" t="str">
        <f aca="false">'مواد المخزون'!B43</f>
        <v>كجم</v>
      </c>
      <c r="C48" s="109" t="n">
        <f aca="false">'مواد المخزون'!E43</f>
        <v>30.6593</v>
      </c>
      <c r="D48" s="110" t="n">
        <f aca="false">'جرد أول المدة'!C46</f>
        <v>5.845</v>
      </c>
      <c r="E48" s="110" t="n">
        <f aca="false">SUMIFS('مشتريات يومية'!$D$2:$D$4001,'مشتريات يومية'!$B$2:$B$4001,$B$2,'مشتريات يومية'!$C$2:$C$4001,$A48,'مشتريات يومية'!$A$2:$A$4001,"&gt;="&amp;'إعدادات المخزون'!$B$5,'مشتريات يومية'!$A$2:$A$4001,"&lt;="&amp;'إعدادات المخزون'!$B$4)</f>
        <v>29</v>
      </c>
      <c r="F48" s="110" t="n">
        <f aca="false">SUMIFS('هالك وتحويلات'!$E$2:$E$3001,'هالك وتحويلات'!$B$2:$B$3001,$B$2,'هالك وتحويلات'!$C$2:$C$3001,$A48,'هالك وتحويلات'!$D$2:$D$3001,"تحويل وارد",'هالك وتحويلات'!$A$2:$A$3001,"&gt;="&amp;'إعدادات المخزون'!$B$5,'هالك وتحويلات'!$A$2:$A$3001,"&lt;="&amp;'إعدادات المخزون'!$B$4)</f>
        <v>0</v>
      </c>
      <c r="G48" s="110" t="n">
        <f aca="false">SUMIFS('هالك وتحويلات'!$E$2:$E$3001,'هالك وتحويلات'!$B$2:$B$3001,$B$2,'هالك وتحويلات'!$C$2:$C$3001,$A48,'هالك وتحويلات'!$D$2:$D$3001,"تحويل صادر",'هالك وتحويلات'!$A$2:$A$3001,"&gt;="&amp;'إعدادات المخزون'!$B$5,'هالك وتحويلات'!$A$2:$A$3001,"&lt;="&amp;'إعدادات المخزون'!$B$4)</f>
        <v>0</v>
      </c>
      <c r="H48" s="110" t="n">
        <f aca="false">SUMPRODUCT('مصفوفة الاستهلاك'!$AQ$2:$AQ$190,'متجهات المبيعات'!$C$2:$C$190)/'مواد المخزون'!$D$43</f>
        <v>31.1541850000483</v>
      </c>
      <c r="I48" s="110" t="n">
        <f aca="false">SUMIFS('هالك وتحويلات'!$E$2:$E$3001,'هالك وتحويلات'!$B$2:$B$3001,$B$2,'هالك وتحويلات'!$C$2:$C$3001,$A48,'هالك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وتحويلات'!$C$2:$C$3001,$A48,'هالك وتحويلات'!$D$2:$D$3001,"ضيافة / أكل موظفين",'هالك وتحويلات'!$A$2:$A$3001,"&gt;="&amp;'إعدادات المخزون'!$B$5,'هالك وتحويلات'!$A$2:$A$3001,"&lt;="&amp;'إعدادات المخزون'!$B$4)</f>
        <v>0</v>
      </c>
      <c r="J48" s="110" t="n">
        <f aca="false">D48+E48+F48-G48-H48-I48</f>
        <v>3.69081499995167</v>
      </c>
      <c r="K48" s="36" t="str">
        <f aca="false">IF(COUNTIFS('جرد فعلي'!$B$2:$B$12001,$B$2,'جرد فعلي'!$C$2:$C$12001,$A48,'جرد فعلي'!$A$2:$A$12001,'إعدادات المخزون'!$B$4)&gt;0,"نعم","لا")</f>
        <v>لا</v>
      </c>
      <c r="L48" s="111" t="str">
        <f aca="false">IF(K48="نعم",SUMIFS('جرد فعلي'!$D$2:$D$12001,'جرد فعلي'!$B$2:$B$12001,$B$2,'جرد فعلي'!$C$2:$C$12001,$A48,'جرد فعلي'!$A$2:$A$12001,'إعدادات المخزون'!$B$4),"")</f>
        <v/>
      </c>
      <c r="M48" s="110" t="str">
        <f aca="false">IF(K48="نعم",L48-J48,"")</f>
        <v/>
      </c>
      <c r="N48" s="112" t="str">
        <f aca="false">IF(K48="نعم",IF(J48=0,IF(M48=0,0,SIGN(M48)),M48/ABS(J48)),"")</f>
        <v/>
      </c>
      <c r="O48" s="109" t="str">
        <f aca="false">IF(K48="نعم",M48*C48,"")</f>
        <v/>
      </c>
      <c r="P48" s="36" t="str">
        <f aca="false">IF(K48&lt;&gt;"نعم","لم يُجرد",IF(ABS(N48)&lt;='إعدادات المخزون'!$B$7,"مطابق",IF(M48&lt;0,"عجز","زيادة")))</f>
        <v>لم يُجرد</v>
      </c>
      <c r="Q48" s="110" t="n">
        <f aca="false">J48-Z48</f>
        <v>6.28699708328903</v>
      </c>
      <c r="R48" s="110" t="str">
        <f aca="false">IF(COUNTIFS('جرد فعلي'!$B$2:$B$12001,$B$2,'جرد فعلي'!$C$2:$C$12001,$A48,'جرد فعلي'!$A$2:$A$12001,'إعدادات المخزون'!$B$4-1)&gt;0,SUMIFS('جرد فعلي'!$D$2:$D$12001,'جرد فعلي'!$B$2:$B$12001,$B$2,'جرد فعلي'!$C$2:$C$12001,$A48,'جرد فعلي'!$A$2:$A$12001,'إعدادات المخزون'!$B$4-1),"")</f>
        <v/>
      </c>
      <c r="S48" s="110" t="str">
        <f aca="false">IF(AND(K48="نعم",R48&lt;&gt;""),(L48-J48)-(R48-Q48),"")</f>
        <v/>
      </c>
      <c r="T48" s="109" t="str">
        <f aca="false">IF(S48="","",S48*C48)</f>
        <v/>
      </c>
      <c r="U48" s="110" t="n">
        <f aca="false">IF(K48="نعم",L48,J48)</f>
        <v>3.69081499995167</v>
      </c>
      <c r="V48" s="110" t="n">
        <f aca="false">SUMPRODUCT('مصفوفة الاستهلاك'!$AQ$2:$AQ$190,'متجهات المبيعات'!$D$2:$D$190)/'مواد المخزون'!$D$43/MAX(1,MIN('إعدادات المخزون'!$B$11,'إعدادات المخزون'!$B$4-'إعدادات المخزون'!$B$5+1))</f>
        <v>2.59618208333736</v>
      </c>
      <c r="W48" s="110" t="n">
        <f aca="false">IF(V48&lt;=0,0,ROUNDUP(MAX(0,V48*('إعدادات المخزون'!$B$8+'إعدادات المخزون'!$B$9+'إعدادات المخزون'!$B$10)-MAX(U48,0))/'مواد المخزون'!$F43,0)*'مواد المخزون'!$F43)</f>
        <v>7</v>
      </c>
      <c r="X48" s="109" t="n">
        <f aca="false">IF(AND(K48="نعم",O48&lt;0),-O48+ROW()*0.000000001,0)</f>
        <v>0</v>
      </c>
      <c r="Y48" s="109" t="n">
        <f aca="false">IF(AND(K48="نعم",O48&gt;0),O48+ROW()*0.000000001,0)</f>
        <v>0</v>
      </c>
      <c r="Z48" s="110" t="n">
        <f aca="false">SUMIFS('مشتريات يومية'!$D$2:$D$4001,'مشتريات يومية'!$B$2:$B$4001,$B$2,'مشتريات يومية'!$C$2:$C$4001,$A48,'مشتريات يومية'!$A$2:$A$4001,'إعدادات المخزون'!$B$4)+SUMIFS('هالك وتحويلات'!$E$2:$E$3001,'هالك وتحويلات'!$B$2:$B$3001,$B$2,'هالك وتحويلات'!$C$2:$C$3001,$A48,'هالك وتحويلات'!$D$2:$D$3001,"تحويل وارد",'هالك وتحويلات'!$A$2:$A$3001,'إعدادات المخزون'!$B$4)-SUMIFS('هالك وتحويلات'!$E$2:$E$3001,'هالك وتحويلات'!$B$2:$B$3001,$B$2,'هالك وتحويلات'!$C$2:$C$3001,$A48,'هالك وتحويلات'!$D$2:$D$3001,"تحويل صادر",'هالك وتحويلات'!$A$2:$A$3001,'إعدادات المخزون'!$B$4)-SUMIFS('هالك وتحويلات'!$E$2:$E$3001,'هالك وتحويلات'!$B$2:$B$3001,$B$2,'هالك وتحويلات'!$C$2:$C$3001,$A48,'هالك وتحويلات'!$D$2:$D$3001,"هالك",'هالك وتحويلات'!$A$2:$A$3001,'إعدادات المخزون'!$B$4)-SUMIFS('هالك وتحويلات'!$E$2:$E$3001,'هالك وتحويلات'!$B$2:$B$3001,$B$2,'هالك وتحويلات'!$C$2:$C$3001,$A48,'هالك وتحويلات'!$D$2:$D$3001,"ضيافة / أكل موظفين",'هالك وتحويلات'!$A$2:$A$3001,'إعدادات المخزون'!$B$4)-SUMPRODUCT('مصفوفة الاستهلاك'!$AQ$2:$AQ$190,'متجهات المبيعات'!$B$2:$B$190)/'مواد المخزون'!$D$43</f>
        <v>-2.59618208333736</v>
      </c>
      <c r="AA48" s="109" t="n">
        <f aca="false">IF(K48="نعم",O48,0)</f>
        <v>0</v>
      </c>
      <c r="AB48" s="109" t="n">
        <f aca="false">IF(K48="نعم",J48*C48,0)</f>
        <v>0</v>
      </c>
      <c r="AC48" s="109" t="n">
        <f aca="false">IF(T48="",0,T48)</f>
        <v>0</v>
      </c>
    </row>
    <row r="49" customFormat="false" ht="15" hidden="false" customHeight="false" outlineLevel="0" collapsed="false">
      <c r="A49" s="34" t="str">
        <f aca="false">'مواد المخزون'!A44</f>
        <v>سمنة الشيخ</v>
      </c>
      <c r="B49" s="36" t="str">
        <f aca="false">'مواد المخزون'!B44</f>
        <v>كجم</v>
      </c>
      <c r="C49" s="109" t="n">
        <f aca="false">'مواد المخزون'!E44</f>
        <v>380</v>
      </c>
      <c r="D49" s="110" t="n">
        <f aca="false">'جرد أول المدة'!C47</f>
        <v>1.25</v>
      </c>
      <c r="E49" s="110" t="n">
        <f aca="false">SUMIFS('مشتريات يومية'!$D$2:$D$4001,'مشتريات يومية'!$B$2:$B$4001,$B$2,'مشتريات يومية'!$C$2:$C$4001,$A49,'مشتريات يومية'!$A$2:$A$4001,"&gt;="&amp;'إعدادات المخزون'!$B$5,'مشتريات يومية'!$A$2:$A$4001,"&lt;="&amp;'إعدادات المخزون'!$B$4)</f>
        <v>5</v>
      </c>
      <c r="F49" s="110" t="n">
        <f aca="false">SUMIFS('هالك وتحويلات'!$E$2:$E$3001,'هالك وتحويلات'!$B$2:$B$3001,$B$2,'هالك وتحويلات'!$C$2:$C$3001,$A49,'هالك وتحويلات'!$D$2:$D$3001,"تحويل وارد",'هالك وتحويلات'!$A$2:$A$3001,"&gt;="&amp;'إعدادات المخزون'!$B$5,'هالك وتحويلات'!$A$2:$A$3001,"&lt;="&amp;'إعدادات المخزون'!$B$4)</f>
        <v>0</v>
      </c>
      <c r="G49" s="110" t="n">
        <f aca="false">SUMIFS('هالك وتحويلات'!$E$2:$E$3001,'هالك وتحويلات'!$B$2:$B$3001,$B$2,'هالك وتحويلات'!$C$2:$C$3001,$A49,'هالك وتحويلات'!$D$2:$D$3001,"تحويل صادر",'هالك وتحويلات'!$A$2:$A$3001,"&gt;="&amp;'إعدادات المخزون'!$B$5,'هالك وتحويلات'!$A$2:$A$3001,"&lt;="&amp;'إعدادات المخزون'!$B$4)</f>
        <v>0</v>
      </c>
      <c r="H49" s="110" t="n">
        <f aca="false">SUMPRODUCT('مصفوفة الاستهلاك'!$AR$2:$AR$190,'متجهات المبيعات'!$C$2:$C$190)/'مواد المخزون'!$D$44</f>
        <v>0.230004</v>
      </c>
      <c r="I49" s="110" t="n">
        <f aca="false">SUMIFS('هالك وتحويلات'!$E$2:$E$3001,'هالك وتحويلات'!$B$2:$B$3001,$B$2,'هالك وتحويلات'!$C$2:$C$3001,$A49,'هالك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وتحويلات'!$C$2:$C$3001,$A49,'هالك وتحويلات'!$D$2:$D$3001,"ضيافة / أكل موظفين",'هالك وتحويلات'!$A$2:$A$3001,"&gt;="&amp;'إعدادات المخزون'!$B$5,'هالك وتحويلات'!$A$2:$A$3001,"&lt;="&amp;'إعدادات المخزون'!$B$4)</f>
        <v>0</v>
      </c>
      <c r="J49" s="110" t="n">
        <f aca="false">D49+E49+F49-G49-H49-I49</f>
        <v>6.019996</v>
      </c>
      <c r="K49" s="36" t="str">
        <f aca="false">IF(COUNTIFS('جرد فعلي'!$B$2:$B$12001,$B$2,'جرد فعلي'!$C$2:$C$12001,$A49,'جرد فعلي'!$A$2:$A$12001,'إعدادات المخزون'!$B$4)&gt;0,"نعم","لا")</f>
        <v>لا</v>
      </c>
      <c r="L49" s="111" t="str">
        <f aca="false">IF(K49="نعم",SUMIFS('جرد فعلي'!$D$2:$D$12001,'جرد فعلي'!$B$2:$B$12001,$B$2,'جرد فعلي'!$C$2:$C$12001,$A49,'جرد فعلي'!$A$2:$A$12001,'إعدادات المخزون'!$B$4),"")</f>
        <v/>
      </c>
      <c r="M49" s="110" t="str">
        <f aca="false">IF(K49="نعم",L49-J49,"")</f>
        <v/>
      </c>
      <c r="N49" s="112" t="str">
        <f aca="false">IF(K49="نعم",IF(J49=0,IF(M49=0,0,SIGN(M49)),M49/ABS(J49)),"")</f>
        <v/>
      </c>
      <c r="O49" s="109" t="str">
        <f aca="false">IF(K49="نعم",M49*C49,"")</f>
        <v/>
      </c>
      <c r="P49" s="36" t="str">
        <f aca="false">IF(K49&lt;&gt;"نعم","لم يُجرد",IF(ABS(N49)&lt;='إعدادات المخزون'!$B$7,"مطابق",IF(M49&lt;0,"عجز","زيادة")))</f>
        <v>لم يُجرد</v>
      </c>
      <c r="Q49" s="110" t="n">
        <f aca="false">J49-Z49</f>
        <v>6.039163</v>
      </c>
      <c r="R49" s="110" t="str">
        <f aca="false">IF(COUNTIFS('جرد فعلي'!$B$2:$B$12001,$B$2,'جرد فعلي'!$C$2:$C$12001,$A49,'جرد فعلي'!$A$2:$A$12001,'إعدادات المخزون'!$B$4-1)&gt;0,SUMIFS('جرد فعلي'!$D$2:$D$12001,'جرد فعلي'!$B$2:$B$12001,$B$2,'جرد فعلي'!$C$2:$C$12001,$A49,'جرد فعلي'!$A$2:$A$12001,'إعدادات المخزون'!$B$4-1),"")</f>
        <v/>
      </c>
      <c r="S49" s="110" t="str">
        <f aca="false">IF(AND(K49="نعم",R49&lt;&gt;""),(L49-J49)-(R49-Q49),"")</f>
        <v/>
      </c>
      <c r="T49" s="109" t="str">
        <f aca="false">IF(S49="","",S49*C49)</f>
        <v/>
      </c>
      <c r="U49" s="110" t="n">
        <f aca="false">IF(K49="نعم",L49,J49)</f>
        <v>6.019996</v>
      </c>
      <c r="V49" s="110" t="n">
        <f aca="false">SUMPRODUCT('مصفوفة الاستهلاك'!$AR$2:$AR$190,'متجهات المبيعات'!$D$2:$D$190)/'مواد المخزون'!$D$44/MAX(1,MIN('إعدادات المخزون'!$B$11,'إعدادات المخزون'!$B$4-'إعدادات المخزون'!$B$5+1))</f>
        <v>0.019167</v>
      </c>
      <c r="W49" s="110" t="n">
        <f aca="false">IF(V49&lt;=0,0,ROUNDUP(MAX(0,V49*('إعدادات المخزون'!$B$8+'إعدادات المخزون'!$B$9+'إعدادات المخزون'!$B$10)-MAX(U49,0))/'مواد المخزون'!$F44,0)*'مواد المخزون'!$F44)</f>
        <v>0</v>
      </c>
      <c r="X49" s="109" t="n">
        <f aca="false">IF(AND(K49="نعم",O49&lt;0),-O49+ROW()*0.000000001,0)</f>
        <v>0</v>
      </c>
      <c r="Y49" s="109" t="n">
        <f aca="false">IF(AND(K49="نعم",O49&gt;0),O49+ROW()*0.000000001,0)</f>
        <v>0</v>
      </c>
      <c r="Z49" s="110" t="n">
        <f aca="false">SUMIFS('مشتريات يومية'!$D$2:$D$4001,'مشتريات يومية'!$B$2:$B$4001,$B$2,'مشتريات يومية'!$C$2:$C$4001,$A49,'مشتريات يومية'!$A$2:$A$4001,'إعدادات المخزون'!$B$4)+SUMIFS('هالك وتحويلات'!$E$2:$E$3001,'هالك وتحويلات'!$B$2:$B$3001,$B$2,'هالك وتحويلات'!$C$2:$C$3001,$A49,'هالك وتحويلات'!$D$2:$D$3001,"تحويل وارد",'هالك وتحويلات'!$A$2:$A$3001,'إعدادات المخزون'!$B$4)-SUMIFS('هالك وتحويلات'!$E$2:$E$3001,'هالك وتحويلات'!$B$2:$B$3001,$B$2,'هالك وتحويلات'!$C$2:$C$3001,$A49,'هالك وتحويلات'!$D$2:$D$3001,"تحويل صادر",'هالك وتحويلات'!$A$2:$A$3001,'إعدادات المخزون'!$B$4)-SUMIFS('هالك وتحويلات'!$E$2:$E$3001,'هالك وتحويلات'!$B$2:$B$3001,$B$2,'هالك وتحويلات'!$C$2:$C$3001,$A49,'هالك وتحويلات'!$D$2:$D$3001,"هالك",'هالك وتحويلات'!$A$2:$A$3001,'إعدادات المخزون'!$B$4)-SUMIFS('هالك وتحويلات'!$E$2:$E$3001,'هالك وتحويلات'!$B$2:$B$3001,$B$2,'هالك وتحويلات'!$C$2:$C$3001,$A49,'هالك وتحويلات'!$D$2:$D$3001,"ضيافة / أكل موظفين",'هالك وتحويلات'!$A$2:$A$3001,'إعدادات المخزون'!$B$4)-SUMPRODUCT('مصفوفة الاستهلاك'!$AR$2:$AR$190,'متجهات المبيعات'!$B$2:$B$190)/'مواد المخزون'!$D$44</f>
        <v>-0.019167</v>
      </c>
      <c r="AA49" s="109" t="n">
        <f aca="false">IF(K49="نعم",O49,0)</f>
        <v>0</v>
      </c>
      <c r="AB49" s="109" t="n">
        <f aca="false">IF(K49="نعم",J49*C49,0)</f>
        <v>0</v>
      </c>
      <c r="AC49" s="109" t="n">
        <f aca="false">IF(T49="",0,T49)</f>
        <v>0</v>
      </c>
    </row>
    <row r="50" customFormat="false" ht="15" hidden="false" customHeight="false" outlineLevel="0" collapsed="false">
      <c r="A50" s="34" t="str">
        <f aca="false">'مواد المخزون'!A45</f>
        <v>سيلفر رول</v>
      </c>
      <c r="B50" s="36" t="str">
        <f aca="false">'مواد المخزون'!B45</f>
        <v>رول</v>
      </c>
      <c r="C50" s="109" t="n">
        <f aca="false">'مواد المخزون'!E45</f>
        <v>503.78</v>
      </c>
      <c r="D50" s="110" t="n">
        <f aca="false">'جرد أول المدة'!C48</f>
        <v>1.5</v>
      </c>
      <c r="E50" s="110" t="n">
        <f aca="false">SUMIFS('مشتريات يومية'!$D$2:$D$4001,'مشتريات يومية'!$B$2:$B$4001,$B$2,'مشتريات يومية'!$C$2:$C$4001,$A50,'مشتريات يومية'!$A$2:$A$4001,"&gt;="&amp;'إعدادات المخزون'!$B$5,'مشتريات يومية'!$A$2:$A$4001,"&lt;="&amp;'إعدادات المخزون'!$B$4)</f>
        <v>0</v>
      </c>
      <c r="F50" s="110" t="n">
        <f aca="false">SUMIFS('هالك وتحويلات'!$E$2:$E$3001,'هالك وتحويلات'!$B$2:$B$3001,$B$2,'هالك وتحويلات'!$C$2:$C$3001,$A50,'هالك وتحويلات'!$D$2:$D$3001,"تحويل وارد",'هالك وتحويلات'!$A$2:$A$3001,"&gt;="&amp;'إعدادات المخزون'!$B$5,'هالك وتحويلات'!$A$2:$A$3001,"&lt;="&amp;'إعدادات المخزون'!$B$4)</f>
        <v>0</v>
      </c>
      <c r="G50" s="110" t="n">
        <f aca="false">SUMIFS('هالك وتحويلات'!$E$2:$E$3001,'هالك وتحويلات'!$B$2:$B$3001,$B$2,'هالك وتحويلات'!$C$2:$C$3001,$A50,'هالك وتحويلات'!$D$2:$D$3001,"تحويل صادر",'هالك وتحويلات'!$A$2:$A$3001,"&gt;="&amp;'إعدادات المخزون'!$B$5,'هالك وتحويلات'!$A$2:$A$3001,"&lt;="&amp;'إعدادات المخزون'!$B$4)</f>
        <v>0</v>
      </c>
      <c r="H50" s="110" t="n">
        <f aca="false">SUMPRODUCT('مصفوفة الاستهلاك'!$AS$2:$AS$190,'متجهات المبيعات'!$C$2:$C$190)/'مواد المخزون'!$D$45</f>
        <v>0.784998</v>
      </c>
      <c r="I50" s="110" t="n">
        <f aca="false">SUMIFS('هالك وتحويلات'!$E$2:$E$3001,'هالك وتحويلات'!$B$2:$B$3001,$B$2,'هالك وتحويلات'!$C$2:$C$3001,$A50,'هالك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وتحويلات'!$C$2:$C$3001,$A50,'هالك وتحويلات'!$D$2:$D$3001,"ضيافة / أكل موظفين",'هالك وتحويلات'!$A$2:$A$3001,"&gt;="&amp;'إعدادات المخزون'!$B$5,'هالك وتحويلات'!$A$2:$A$3001,"&lt;="&amp;'إعدادات المخزون'!$B$4)</f>
        <v>0</v>
      </c>
      <c r="J50" s="110" t="n">
        <f aca="false">D50+E50+F50-G50-H50-I50</f>
        <v>0.715002</v>
      </c>
      <c r="K50" s="36" t="str">
        <f aca="false">IF(COUNTIFS('جرد فعلي'!$B$2:$B$12001,$B$2,'جرد فعلي'!$C$2:$C$12001,$A50,'جرد فعلي'!$A$2:$A$12001,'إعدادات المخزون'!$B$4)&gt;0,"نعم","لا")</f>
        <v>لا</v>
      </c>
      <c r="L50" s="111" t="str">
        <f aca="false">IF(K50="نعم",SUMIFS('جرد فعلي'!$D$2:$D$12001,'جرد فعلي'!$B$2:$B$12001,$B$2,'جرد فعلي'!$C$2:$C$12001,$A50,'جرد فعلي'!$A$2:$A$12001,'إعدادات المخزون'!$B$4),"")</f>
        <v/>
      </c>
      <c r="M50" s="110" t="str">
        <f aca="false">IF(K50="نعم",L50-J50,"")</f>
        <v/>
      </c>
      <c r="N50" s="112" t="str">
        <f aca="false">IF(K50="نعم",IF(J50=0,IF(M50=0,0,SIGN(M50)),M50/ABS(J50)),"")</f>
        <v/>
      </c>
      <c r="O50" s="109" t="str">
        <f aca="false">IF(K50="نعم",M50*C50,"")</f>
        <v/>
      </c>
      <c r="P50" s="36" t="str">
        <f aca="false">IF(K50&lt;&gt;"نعم","لم يُجرد",IF(ABS(N50)&lt;='إعدادات المخزون'!$B$7,"مطابق",IF(M50&lt;0,"عجز","زيادة")))</f>
        <v>لم يُجرد</v>
      </c>
      <c r="Q50" s="110" t="n">
        <f aca="false">J50-Z50</f>
        <v>0.7804185</v>
      </c>
      <c r="R50" s="110" t="str">
        <f aca="false">IF(COUNTIFS('جرد فعلي'!$B$2:$B$12001,$B$2,'جرد فعلي'!$C$2:$C$12001,$A50,'جرد فعلي'!$A$2:$A$12001,'إعدادات المخزون'!$B$4-1)&gt;0,SUMIFS('جرد فعلي'!$D$2:$D$12001,'جرد فعلي'!$B$2:$B$12001,$B$2,'جرد فعلي'!$C$2:$C$12001,$A50,'جرد فعلي'!$A$2:$A$12001,'إعدادات المخزون'!$B$4-1),"")</f>
        <v/>
      </c>
      <c r="S50" s="110" t="str">
        <f aca="false">IF(AND(K50="نعم",R50&lt;&gt;""),(L50-J50)-(R50-Q50),"")</f>
        <v/>
      </c>
      <c r="T50" s="109" t="str">
        <f aca="false">IF(S50="","",S50*C50)</f>
        <v/>
      </c>
      <c r="U50" s="110" t="n">
        <f aca="false">IF(K50="نعم",L50,J50)</f>
        <v>0.715002</v>
      </c>
      <c r="V50" s="110" t="n">
        <f aca="false">SUMPRODUCT('مصفوفة الاستهلاك'!$AS$2:$AS$190,'متجهات المبيعات'!$D$2:$D$190)/'مواد المخزون'!$D$45/MAX(1,MIN('إعدادات المخزون'!$B$11,'إعدادات المخزون'!$B$4-'إعدادات المخزون'!$B$5+1))</f>
        <v>0.0654165</v>
      </c>
      <c r="W50" s="110" t="n">
        <f aca="false">IF(V50&lt;=0,0,ROUNDUP(MAX(0,V50*('إعدادات المخزون'!$B$8+'إعدادات المخزون'!$B$9+'إعدادات المخزون'!$B$10)-MAX(U50,0))/'مواد المخزون'!$F45,0)*'مواد المخزون'!$F45)</f>
        <v>0</v>
      </c>
      <c r="X50" s="109" t="n">
        <f aca="false">IF(AND(K50="نعم",O50&lt;0),-O50+ROW()*0.000000001,0)</f>
        <v>0</v>
      </c>
      <c r="Y50" s="109" t="n">
        <f aca="false">IF(AND(K50="نعم",O50&gt;0),O50+ROW()*0.000000001,0)</f>
        <v>0</v>
      </c>
      <c r="Z50" s="110" t="n">
        <f aca="false">SUMIFS('مشتريات يومية'!$D$2:$D$4001,'مشتريات يومية'!$B$2:$B$4001,$B$2,'مشتريات يومية'!$C$2:$C$4001,$A50,'مشتريات يومية'!$A$2:$A$4001,'إعدادات المخزون'!$B$4)+SUMIFS('هالك وتحويلات'!$E$2:$E$3001,'هالك وتحويلات'!$B$2:$B$3001,$B$2,'هالك وتحويلات'!$C$2:$C$3001,$A50,'هالك وتحويلات'!$D$2:$D$3001,"تحويل وارد",'هالك وتحويلات'!$A$2:$A$3001,'إعدادات المخزون'!$B$4)-SUMIFS('هالك وتحويلات'!$E$2:$E$3001,'هالك وتحويلات'!$B$2:$B$3001,$B$2,'هالك وتحويلات'!$C$2:$C$3001,$A50,'هالك وتحويلات'!$D$2:$D$3001,"تحويل صادر",'هالك وتحويلات'!$A$2:$A$3001,'إعدادات المخزون'!$B$4)-SUMIFS('هالك وتحويلات'!$E$2:$E$3001,'هالك وتحويلات'!$B$2:$B$3001,$B$2,'هالك وتحويلات'!$C$2:$C$3001,$A50,'هالك وتحويلات'!$D$2:$D$3001,"هالك",'هالك وتحويلات'!$A$2:$A$3001,'إعدادات المخزون'!$B$4)-SUMIFS('هالك وتحويلات'!$E$2:$E$3001,'هالك وتحويلات'!$B$2:$B$3001,$B$2,'هالك وتحويلات'!$C$2:$C$3001,$A50,'هالك وتحويلات'!$D$2:$D$3001,"ضيافة / أكل موظفين",'هالك وتحويلات'!$A$2:$A$3001,'إعدادات المخزون'!$B$4)-SUMPRODUCT('مصفوفة الاستهلاك'!$AS$2:$AS$190,'متجهات المبيعات'!$B$2:$B$190)/'مواد المخزون'!$D$45</f>
        <v>-0.0654165</v>
      </c>
      <c r="AA50" s="109" t="n">
        <f aca="false">IF(K50="نعم",O50,0)</f>
        <v>0</v>
      </c>
      <c r="AB50" s="109" t="n">
        <f aca="false">IF(K50="نعم",J50*C50,0)</f>
        <v>0</v>
      </c>
      <c r="AC50" s="109" t="n">
        <f aca="false">IF(T50="",0,T50)</f>
        <v>0</v>
      </c>
    </row>
    <row r="51" customFormat="false" ht="15" hidden="false" customHeight="false" outlineLevel="0" collapsed="false">
      <c r="A51" s="34" t="str">
        <f aca="false">'مواد المخزون'!A46</f>
        <v>شرايح بلاستيك وسط</v>
      </c>
      <c r="B51" s="36" t="str">
        <f aca="false">'مواد المخزون'!B46</f>
        <v>كجم</v>
      </c>
      <c r="C51" s="109" t="n">
        <f aca="false">'مواد المخزون'!E46</f>
        <v>135</v>
      </c>
      <c r="D51" s="110" t="n">
        <f aca="false">'جرد أول المدة'!C49</f>
        <v>0.5</v>
      </c>
      <c r="E51" s="110" t="n">
        <f aca="false">SUMIFS('مشتريات يومية'!$D$2:$D$4001,'مشتريات يومية'!$B$2:$B$4001,$B$2,'مشتريات يومية'!$C$2:$C$4001,$A51,'مشتريات يومية'!$A$2:$A$4001,"&gt;="&amp;'إعدادات المخزون'!$B$5,'مشتريات يومية'!$A$2:$A$4001,"&lt;="&amp;'إعدادات المخزون'!$B$4)</f>
        <v>3</v>
      </c>
      <c r="F51" s="110" t="n">
        <f aca="false">SUMIFS('هالك وتحويلات'!$E$2:$E$3001,'هالك وتحويلات'!$B$2:$B$3001,$B$2,'هالك وتحويلات'!$C$2:$C$3001,$A51,'هالك وتحويلات'!$D$2:$D$3001,"تحويل وارد",'هالك وتحويلات'!$A$2:$A$3001,"&gt;="&amp;'إعدادات المخزون'!$B$5,'هالك وتحويلات'!$A$2:$A$3001,"&lt;="&amp;'إعدادات المخزون'!$B$4)</f>
        <v>0</v>
      </c>
      <c r="G51" s="110" t="n">
        <f aca="false">SUMIFS('هالك وتحويلات'!$E$2:$E$3001,'هالك وتحويلات'!$B$2:$B$3001,$B$2,'هالك وتحويلات'!$C$2:$C$3001,$A51,'هالك وتحويلات'!$D$2:$D$3001,"تحويل صادر",'هالك وتحويلات'!$A$2:$A$3001,"&gt;="&amp;'إعدادات المخزون'!$B$5,'هالك وتحويلات'!$A$2:$A$3001,"&lt;="&amp;'إعدادات المخزون'!$B$4)</f>
        <v>0</v>
      </c>
      <c r="H51" s="110" t="n">
        <f aca="false">SUMPRODUCT('مصفوفة الاستهلاك'!$AT$2:$AT$190,'متجهات المبيعات'!$C$2:$C$190)/'مواد المخزون'!$D$46</f>
        <v>2.890002</v>
      </c>
      <c r="I51" s="110" t="n">
        <f aca="false">SUMIFS('هالك وتحويلات'!$E$2:$E$3001,'هالك وتحويلات'!$B$2:$B$3001,$B$2,'هالك وتحويلات'!$C$2:$C$3001,$A51,'هالك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وتحويلات'!$C$2:$C$3001,$A51,'هالك وتحويلات'!$D$2:$D$3001,"ضيافة / أكل موظفين",'هالك وتحويلات'!$A$2:$A$3001,"&gt;="&amp;'إعدادات المخزون'!$B$5,'هالك وتحويلات'!$A$2:$A$3001,"&lt;="&amp;'إعدادات المخزون'!$B$4)</f>
        <v>0</v>
      </c>
      <c r="J51" s="110" t="n">
        <f aca="false">D51+E51+F51-G51-H51-I51</f>
        <v>0.609998</v>
      </c>
      <c r="K51" s="36" t="str">
        <f aca="false">IF(COUNTIFS('جرد فعلي'!$B$2:$B$12001,$B$2,'جرد فعلي'!$C$2:$C$12001,$A51,'جرد فعلي'!$A$2:$A$12001,'إعدادات المخزون'!$B$4)&gt;0,"نعم","لا")</f>
        <v>لا</v>
      </c>
      <c r="L51" s="111" t="str">
        <f aca="false">IF(K51="نعم",SUMIFS('جرد فعلي'!$D$2:$D$12001,'جرد فعلي'!$B$2:$B$12001,$B$2,'جرد فعلي'!$C$2:$C$12001,$A51,'جرد فعلي'!$A$2:$A$12001,'إعدادات المخزون'!$B$4),"")</f>
        <v/>
      </c>
      <c r="M51" s="110" t="str">
        <f aca="false">IF(K51="نعم",L51-J51,"")</f>
        <v/>
      </c>
      <c r="N51" s="112" t="str">
        <f aca="false">IF(K51="نعم",IF(J51=0,IF(M51=0,0,SIGN(M51)),M51/ABS(J51)),"")</f>
        <v/>
      </c>
      <c r="O51" s="109" t="str">
        <f aca="false">IF(K51="نعم",M51*C51,"")</f>
        <v/>
      </c>
      <c r="P51" s="36" t="str">
        <f aca="false">IF(K51&lt;&gt;"نعم","لم يُجرد",IF(ABS(N51)&lt;='إعدادات المخزون'!$B$7,"مطابق",IF(M51&lt;0,"عجز","زيادة")))</f>
        <v>لم يُجرد</v>
      </c>
      <c r="Q51" s="110" t="n">
        <f aca="false">J51-Z51</f>
        <v>0.8508315</v>
      </c>
      <c r="R51" s="110" t="str">
        <f aca="false">IF(COUNTIFS('جرد فعلي'!$B$2:$B$12001,$B$2,'جرد فعلي'!$C$2:$C$12001,$A51,'جرد فعلي'!$A$2:$A$12001,'إعدادات المخزون'!$B$4-1)&gt;0,SUMIFS('جرد فعلي'!$D$2:$D$12001,'جرد فعلي'!$B$2:$B$12001,$B$2,'جرد فعلي'!$C$2:$C$12001,$A51,'جرد فعلي'!$A$2:$A$12001,'إعدادات المخزون'!$B$4-1),"")</f>
        <v/>
      </c>
      <c r="S51" s="110" t="str">
        <f aca="false">IF(AND(K51="نعم",R51&lt;&gt;""),(L51-J51)-(R51-Q51),"")</f>
        <v/>
      </c>
      <c r="T51" s="109" t="str">
        <f aca="false">IF(S51="","",S51*C51)</f>
        <v/>
      </c>
      <c r="U51" s="110" t="n">
        <f aca="false">IF(K51="نعم",L51,J51)</f>
        <v>0.609998</v>
      </c>
      <c r="V51" s="110" t="n">
        <f aca="false">SUMPRODUCT('مصفوفة الاستهلاك'!$AT$2:$AT$190,'متجهات المبيعات'!$D$2:$D$190)/'مواد المخزون'!$D$46/MAX(1,MIN('إعدادات المخزون'!$B$11,'إعدادات المخزون'!$B$4-'إعدادات المخزون'!$B$5+1))</f>
        <v>0.2408335</v>
      </c>
      <c r="W51" s="110" t="n">
        <f aca="false">IF(V51&lt;=0,0,ROUNDUP(MAX(0,V51*('إعدادات المخزون'!$B$8+'إعدادات المخزون'!$B$9+'إعدادات المخزون'!$B$10)-MAX(U51,0))/'مواد المخزون'!$F46,0)*'مواد المخزون'!$F46)</f>
        <v>1</v>
      </c>
      <c r="X51" s="109" t="n">
        <f aca="false">IF(AND(K51="نعم",O51&lt;0),-O51+ROW()*0.000000001,0)</f>
        <v>0</v>
      </c>
      <c r="Y51" s="109" t="n">
        <f aca="false">IF(AND(K51="نعم",O51&gt;0),O51+ROW()*0.000000001,0)</f>
        <v>0</v>
      </c>
      <c r="Z51" s="110" t="n">
        <f aca="false">SUMIFS('مشتريات يومية'!$D$2:$D$4001,'مشتريات يومية'!$B$2:$B$4001,$B$2,'مشتريات يومية'!$C$2:$C$4001,$A51,'مشتريات يومية'!$A$2:$A$4001,'إعدادات المخزون'!$B$4)+SUMIFS('هالك وتحويلات'!$E$2:$E$3001,'هالك وتحويلات'!$B$2:$B$3001,$B$2,'هالك وتحويلات'!$C$2:$C$3001,$A51,'هالك وتحويلات'!$D$2:$D$3001,"تحويل وارد",'هالك وتحويلات'!$A$2:$A$3001,'إعدادات المخزون'!$B$4)-SUMIFS('هالك وتحويلات'!$E$2:$E$3001,'هالك وتحويلات'!$B$2:$B$3001,$B$2,'هالك وتحويلات'!$C$2:$C$3001,$A51,'هالك وتحويلات'!$D$2:$D$3001,"تحويل صادر",'هالك وتحويلات'!$A$2:$A$3001,'إعدادات المخزون'!$B$4)-SUMIFS('هالك وتحويلات'!$E$2:$E$3001,'هالك وتحويلات'!$B$2:$B$3001,$B$2,'هالك وتحويلات'!$C$2:$C$3001,$A51,'هالك وتحويلات'!$D$2:$D$3001,"هالك",'هالك وتحويلات'!$A$2:$A$3001,'إعدادات المخزون'!$B$4)-SUMIFS('هالك وتحويلات'!$E$2:$E$3001,'هالك وتحويلات'!$B$2:$B$3001,$B$2,'هالك وتحويلات'!$C$2:$C$3001,$A51,'هالك وتحويلات'!$D$2:$D$3001,"ضيافة / أكل موظفين",'هالك وتحويلات'!$A$2:$A$3001,'إعدادات المخزون'!$B$4)-SUMPRODUCT('مصفوفة الاستهلاك'!$AT$2:$AT$190,'متجهات المبيعات'!$B$2:$B$190)/'مواد المخزون'!$D$46</f>
        <v>-0.2408335</v>
      </c>
      <c r="AA51" s="109" t="n">
        <f aca="false">IF(K51="نعم",O51,0)</f>
        <v>0</v>
      </c>
      <c r="AB51" s="109" t="n">
        <f aca="false">IF(K51="نعم",J51*C51,0)</f>
        <v>0</v>
      </c>
      <c r="AC51" s="109" t="n">
        <f aca="false">IF(T51="",0,T51)</f>
        <v>0</v>
      </c>
    </row>
    <row r="52" customFormat="false" ht="15" hidden="false" customHeight="false" outlineLevel="0" collapsed="false">
      <c r="A52" s="34" t="str">
        <f aca="false">'مواد المخزون'!A47</f>
        <v>شوك بلاستيك</v>
      </c>
      <c r="B52" s="36" t="str">
        <f aca="false">'مواد المخزون'!B47</f>
        <v>قطعة</v>
      </c>
      <c r="C52" s="109" t="n">
        <f aca="false">'مواد المخزون'!E47</f>
        <v>0.3</v>
      </c>
      <c r="D52" s="110" t="n">
        <f aca="false">'جرد أول المدة'!C50</f>
        <v>500</v>
      </c>
      <c r="E52" s="110" t="n">
        <f aca="false">SUMIFS('مشتريات يومية'!$D$2:$D$4001,'مشتريات يومية'!$B$2:$B$4001,$B$2,'مشتريات يومية'!$C$2:$C$4001,$A52,'مشتريات يومية'!$A$2:$A$4001,"&gt;="&amp;'إعدادات المخزون'!$B$5,'مشتريات يومية'!$A$2:$A$4001,"&lt;="&amp;'إعدادات المخزون'!$B$4)</f>
        <v>2000</v>
      </c>
      <c r="F52" s="110" t="n">
        <f aca="false">SUMIFS('هالك وتحويلات'!$E$2:$E$3001,'هالك وتحويلات'!$B$2:$B$3001,$B$2,'هالك وتحويلات'!$C$2:$C$3001,$A52,'هالك وتحويلات'!$D$2:$D$3001,"تحويل وارد",'هالك وتحويلات'!$A$2:$A$3001,"&gt;="&amp;'إعدادات المخزون'!$B$5,'هالك وتحويلات'!$A$2:$A$3001,"&lt;="&amp;'إعدادات المخزون'!$B$4)</f>
        <v>0</v>
      </c>
      <c r="G52" s="110" t="n">
        <f aca="false">SUMIFS('هالك وتحويلات'!$E$2:$E$3001,'هالك وتحويلات'!$B$2:$B$3001,$B$2,'هالك وتحويلات'!$C$2:$C$3001,$A52,'هالك وتحويلات'!$D$2:$D$3001,"تحويل صادر",'هالك وتحويلات'!$A$2:$A$3001,"&gt;="&amp;'إعدادات المخزون'!$B$5,'هالك وتحويلات'!$A$2:$A$3001,"&lt;="&amp;'إعدادات المخزون'!$B$4)</f>
        <v>0</v>
      </c>
      <c r="H52" s="110" t="n">
        <f aca="false">SUMPRODUCT('مصفوفة الاستهلاك'!$AU$2:$AU$190,'متجهات المبيعات'!$C$2:$C$190)/'مواد المخزون'!$D$47</f>
        <v>830.502</v>
      </c>
      <c r="I52" s="110" t="n">
        <f aca="false">SUMIFS('هالك وتحويلات'!$E$2:$E$3001,'هالك وتحويلات'!$B$2:$B$3001,$B$2,'هالك وتحويلات'!$C$2:$C$3001,$A52,'هالك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وتحويلات'!$C$2:$C$3001,$A52,'هالك وتحويلات'!$D$2:$D$3001,"ضيافة / أكل موظفين",'هالك وتحويلات'!$A$2:$A$3001,"&gt;="&amp;'إعدادات المخزون'!$B$5,'هالك وتحويلات'!$A$2:$A$3001,"&lt;="&amp;'إعدادات المخزون'!$B$4)</f>
        <v>0</v>
      </c>
      <c r="J52" s="110" t="n">
        <f aca="false">D52+E52+F52-G52-H52-I52</f>
        <v>1669.498</v>
      </c>
      <c r="K52" s="36" t="str">
        <f aca="false">IF(COUNTIFS('جرد فعلي'!$B$2:$B$12001,$B$2,'جرد فعلي'!$C$2:$C$12001,$A52,'جرد فعلي'!$A$2:$A$12001,'إعدادات المخزون'!$B$4)&gt;0,"نعم","لا")</f>
        <v>لا</v>
      </c>
      <c r="L52" s="111" t="str">
        <f aca="false">IF(K52="نعم",SUMIFS('جرد فعلي'!$D$2:$D$12001,'جرد فعلي'!$B$2:$B$12001,$B$2,'جرد فعلي'!$C$2:$C$12001,$A52,'جرد فعلي'!$A$2:$A$12001,'إعدادات المخزون'!$B$4),"")</f>
        <v/>
      </c>
      <c r="M52" s="110" t="str">
        <f aca="false">IF(K52="نعم",L52-J52,"")</f>
        <v/>
      </c>
      <c r="N52" s="112" t="str">
        <f aca="false">IF(K52="نعم",IF(J52=0,IF(M52=0,0,SIGN(M52)),M52/ABS(J52)),"")</f>
        <v/>
      </c>
      <c r="O52" s="109" t="str">
        <f aca="false">IF(K52="نعم",M52*C52,"")</f>
        <v/>
      </c>
      <c r="P52" s="36" t="str">
        <f aca="false">IF(K52&lt;&gt;"نعم","لم يُجرد",IF(ABS(N52)&lt;='إعدادات المخزون'!$B$7,"مطابق",IF(M52&lt;0,"عجز","زيادة")))</f>
        <v>لم يُجرد</v>
      </c>
      <c r="Q52" s="110" t="n">
        <f aca="false">J52-Z52</f>
        <v>1738.7065</v>
      </c>
      <c r="R52" s="110" t="str">
        <f aca="false">IF(COUNTIFS('جرد فعلي'!$B$2:$B$12001,$B$2,'جرد فعلي'!$C$2:$C$12001,$A52,'جرد فعلي'!$A$2:$A$12001,'إعدادات المخزون'!$B$4-1)&gt;0,SUMIFS('جرد فعلي'!$D$2:$D$12001,'جرد فعلي'!$B$2:$B$12001,$B$2,'جرد فعلي'!$C$2:$C$12001,$A52,'جرد فعلي'!$A$2:$A$12001,'إعدادات المخزون'!$B$4-1),"")</f>
        <v/>
      </c>
      <c r="S52" s="110" t="str">
        <f aca="false">IF(AND(K52="نعم",R52&lt;&gt;""),(L52-J52)-(R52-Q52),"")</f>
        <v/>
      </c>
      <c r="T52" s="109" t="str">
        <f aca="false">IF(S52="","",S52*C52)</f>
        <v/>
      </c>
      <c r="U52" s="110" t="n">
        <f aca="false">IF(K52="نعم",L52,J52)</f>
        <v>1669.498</v>
      </c>
      <c r="V52" s="110" t="n">
        <f aca="false">SUMPRODUCT('مصفوفة الاستهلاك'!$AU$2:$AU$190,'متجهات المبيعات'!$D$2:$D$190)/'مواد المخزون'!$D$47/MAX(1,MIN('إعدادات المخزون'!$B$11,'إعدادات المخزون'!$B$4-'إعدادات المخزون'!$B$5+1))</f>
        <v>69.2085</v>
      </c>
      <c r="W52" s="110" t="n">
        <f aca="false">IF(V52&lt;=0,0,ROUNDUP(MAX(0,V52*('إعدادات المخزون'!$B$8+'إعدادات المخزون'!$B$9+'إعدادات المخزون'!$B$10)-MAX(U52,0))/'مواد المخزون'!$F47,0)*'مواد المخزون'!$F47)</f>
        <v>0</v>
      </c>
      <c r="X52" s="109" t="n">
        <f aca="false">IF(AND(K52="نعم",O52&lt;0),-O52+ROW()*0.000000001,0)</f>
        <v>0</v>
      </c>
      <c r="Y52" s="109" t="n">
        <f aca="false">IF(AND(K52="نعم",O52&gt;0),O52+ROW()*0.000000001,0)</f>
        <v>0</v>
      </c>
      <c r="Z52" s="110" t="n">
        <f aca="false">SUMIFS('مشتريات يومية'!$D$2:$D$4001,'مشتريات يومية'!$B$2:$B$4001,$B$2,'مشتريات يومية'!$C$2:$C$4001,$A52,'مشتريات يومية'!$A$2:$A$4001,'إعدادات المخزون'!$B$4)+SUMIFS('هالك وتحويلات'!$E$2:$E$3001,'هالك وتحويلات'!$B$2:$B$3001,$B$2,'هالك وتحويلات'!$C$2:$C$3001,$A52,'هالك وتحويلات'!$D$2:$D$3001,"تحويل وارد",'هالك وتحويلات'!$A$2:$A$3001,'إعدادات المخزون'!$B$4)-SUMIFS('هالك وتحويلات'!$E$2:$E$3001,'هالك وتحويلات'!$B$2:$B$3001,$B$2,'هالك وتحويلات'!$C$2:$C$3001,$A52,'هالك وتحويلات'!$D$2:$D$3001,"تحويل صادر",'هالك وتحويلات'!$A$2:$A$3001,'إعدادات المخزون'!$B$4)-SUMIFS('هالك وتحويلات'!$E$2:$E$3001,'هالك وتحويلات'!$B$2:$B$3001,$B$2,'هالك وتحويلات'!$C$2:$C$3001,$A52,'هالك وتحويلات'!$D$2:$D$3001,"هالك",'هالك وتحويلات'!$A$2:$A$3001,'إعدادات المخزون'!$B$4)-SUMIFS('هالك وتحويلات'!$E$2:$E$3001,'هالك وتحويلات'!$B$2:$B$3001,$B$2,'هالك وتحويلات'!$C$2:$C$3001,$A52,'هالك وتحويلات'!$D$2:$D$3001,"ضيافة / أكل موظفين",'هالك وتحويلات'!$A$2:$A$3001,'إعدادات المخزون'!$B$4)-SUMPRODUCT('مصفوفة الاستهلاك'!$AU$2:$AU$190,'متجهات المبيعات'!$B$2:$B$190)/'مواد المخزون'!$D$47</f>
        <v>-69.2085</v>
      </c>
      <c r="AA52" s="109" t="n">
        <f aca="false">IF(K52="نعم",O52,0)</f>
        <v>0</v>
      </c>
      <c r="AB52" s="109" t="n">
        <f aca="false">IF(K52="نعم",J52*C52,0)</f>
        <v>0</v>
      </c>
      <c r="AC52" s="109" t="n">
        <f aca="false">IF(T52="",0,T52)</f>
        <v>0</v>
      </c>
    </row>
    <row r="53" customFormat="false" ht="15" hidden="false" customHeight="false" outlineLevel="0" collapsed="false">
      <c r="A53" s="34" t="str">
        <f aca="false">'مواد المخزون'!A48</f>
        <v>شيكولاتة بني</v>
      </c>
      <c r="B53" s="36" t="str">
        <f aca="false">'مواد المخزون'!B48</f>
        <v>كجم</v>
      </c>
      <c r="C53" s="109" t="n">
        <f aca="false">'مواد المخزون'!E48</f>
        <v>127.6582</v>
      </c>
      <c r="D53" s="110" t="n">
        <f aca="false">'جرد أول المدة'!C51</f>
        <v>8.5</v>
      </c>
      <c r="E53" s="110" t="n">
        <f aca="false">SUMIFS('مشتريات يومية'!$D$2:$D$4001,'مشتريات يومية'!$B$2:$B$4001,$B$2,'مشتريات يومية'!$C$2:$C$4001,$A53,'مشتريات يومية'!$A$2:$A$4001,"&gt;="&amp;'إعدادات المخزون'!$B$5,'مشتريات يومية'!$A$2:$A$4001,"&lt;="&amp;'إعدادات المخزون'!$B$4)</f>
        <v>29</v>
      </c>
      <c r="F53" s="110" t="n">
        <f aca="false">SUMIFS('هالك وتحويلات'!$E$2:$E$3001,'هالك وتحويلات'!$B$2:$B$3001,$B$2,'هالك وتحويلات'!$C$2:$C$3001,$A53,'هالك وتحويلات'!$D$2:$D$3001,"تحويل وارد",'هالك وتحويلات'!$A$2:$A$3001,"&gt;="&amp;'إعدادات المخزون'!$B$5,'هالك وتحويلات'!$A$2:$A$3001,"&lt;="&amp;'إعدادات المخزون'!$B$4)</f>
        <v>0</v>
      </c>
      <c r="G53" s="110" t="n">
        <f aca="false">SUMIFS('هالك وتحويلات'!$E$2:$E$3001,'هالك وتحويلات'!$B$2:$B$3001,$B$2,'هالك وتحويلات'!$C$2:$C$3001,$A53,'هالك وتحويلات'!$D$2:$D$3001,"تحويل صادر",'هالك وتحويلات'!$A$2:$A$3001,"&gt;="&amp;'إعدادات المخزون'!$B$5,'هالك وتحويلات'!$A$2:$A$3001,"&lt;="&amp;'إعدادات المخزون'!$B$4)</f>
        <v>0</v>
      </c>
      <c r="H53" s="110" t="n">
        <f aca="false">SUMPRODUCT('مصفوفة الاستهلاك'!$AV$2:$AV$190,'متجهات المبيعات'!$C$2:$C$190)/'مواد المخزون'!$D$48</f>
        <v>22.2</v>
      </c>
      <c r="I53" s="110" t="n">
        <f aca="false">SUMIFS('هالك وتحويلات'!$E$2:$E$3001,'هالك وتحويلات'!$B$2:$B$3001,$B$2,'هالك وتحويلات'!$C$2:$C$3001,$A53,'هالك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وتحويلات'!$C$2:$C$3001,$A53,'هالك وتحويلات'!$D$2:$D$3001,"ضيافة / أكل موظفين",'هالك وتحويلات'!$A$2:$A$3001,"&gt;="&amp;'إعدادات المخزون'!$B$5,'هالك وتحويلات'!$A$2:$A$3001,"&lt;="&amp;'إعدادات المخزون'!$B$4)</f>
        <v>0</v>
      </c>
      <c r="J53" s="110" t="n">
        <f aca="false">D53+E53+F53-G53-H53-I53</f>
        <v>15.3</v>
      </c>
      <c r="K53" s="36" t="str">
        <f aca="false">IF(COUNTIFS('جرد فعلي'!$B$2:$B$12001,$B$2,'جرد فعلي'!$C$2:$C$12001,$A53,'جرد فعلي'!$A$2:$A$12001,'إعدادات المخزون'!$B$4)&gt;0,"نعم","لا")</f>
        <v>لا</v>
      </c>
      <c r="L53" s="111" t="str">
        <f aca="false">IF(K53="نعم",SUMIFS('جرد فعلي'!$D$2:$D$12001,'جرد فعلي'!$B$2:$B$12001,$B$2,'جرد فعلي'!$C$2:$C$12001,$A53,'جرد فعلي'!$A$2:$A$12001,'إعدادات المخزون'!$B$4),"")</f>
        <v/>
      </c>
      <c r="M53" s="110" t="str">
        <f aca="false">IF(K53="نعم",L53-J53,"")</f>
        <v/>
      </c>
      <c r="N53" s="112" t="str">
        <f aca="false">IF(K53="نعم",IF(J53=0,IF(M53=0,0,SIGN(M53)),M53/ABS(J53)),"")</f>
        <v/>
      </c>
      <c r="O53" s="109" t="str">
        <f aca="false">IF(K53="نعم",M53*C53,"")</f>
        <v/>
      </c>
      <c r="P53" s="36" t="str">
        <f aca="false">IF(K53&lt;&gt;"نعم","لم يُجرد",IF(ABS(N53)&lt;='إعدادات المخزون'!$B$7,"مطابق",IF(M53&lt;0,"عجز","زيادة")))</f>
        <v>لم يُجرد</v>
      </c>
      <c r="Q53" s="110" t="n">
        <f aca="false">J53-Z53</f>
        <v>17.15</v>
      </c>
      <c r="R53" s="110" t="str">
        <f aca="false">IF(COUNTIFS('جرد فعلي'!$B$2:$B$12001,$B$2,'جرد فعلي'!$C$2:$C$12001,$A53,'جرد فعلي'!$A$2:$A$12001,'إعدادات المخزون'!$B$4-1)&gt;0,SUMIFS('جرد فعلي'!$D$2:$D$12001,'جرد فعلي'!$B$2:$B$12001,$B$2,'جرد فعلي'!$C$2:$C$12001,$A53,'جرد فعلي'!$A$2:$A$12001,'إعدادات المخزون'!$B$4-1),"")</f>
        <v/>
      </c>
      <c r="S53" s="110" t="str">
        <f aca="false">IF(AND(K53="نعم",R53&lt;&gt;""),(L53-J53)-(R53-Q53),"")</f>
        <v/>
      </c>
      <c r="T53" s="109" t="str">
        <f aca="false">IF(S53="","",S53*C53)</f>
        <v/>
      </c>
      <c r="U53" s="110" t="n">
        <f aca="false">IF(K53="نعم",L53,J53)</f>
        <v>15.3</v>
      </c>
      <c r="V53" s="110" t="n">
        <f aca="false">SUMPRODUCT('مصفوفة الاستهلاك'!$AV$2:$AV$190,'متجهات المبيعات'!$D$2:$D$190)/'مواد المخزون'!$D$48/MAX(1,MIN('إعدادات المخزون'!$B$11,'إعدادات المخزون'!$B$4-'إعدادات المخزون'!$B$5+1))</f>
        <v>1.85</v>
      </c>
      <c r="W53" s="110" t="n">
        <f aca="false">IF(V53&lt;=0,0,ROUNDUP(MAX(0,V53*('إعدادات المخزون'!$B$8+'إعدادات المخزون'!$B$9+'إعدادات المخزون'!$B$10)-MAX(U53,0))/'مواد المخزون'!$F48,0)*'مواد المخزون'!$F48)</f>
        <v>0</v>
      </c>
      <c r="X53" s="109" t="n">
        <f aca="false">IF(AND(K53="نعم",O53&lt;0),-O53+ROW()*0.000000001,0)</f>
        <v>0</v>
      </c>
      <c r="Y53" s="109" t="n">
        <f aca="false">IF(AND(K53="نعم",O53&gt;0),O53+ROW()*0.000000001,0)</f>
        <v>0</v>
      </c>
      <c r="Z53" s="110" t="n">
        <f aca="false">SUMIFS('مشتريات يومية'!$D$2:$D$4001,'مشتريات يومية'!$B$2:$B$4001,$B$2,'مشتريات يومية'!$C$2:$C$4001,$A53,'مشتريات يومية'!$A$2:$A$4001,'إعدادات المخزون'!$B$4)+SUMIFS('هالك وتحويلات'!$E$2:$E$3001,'هالك وتحويلات'!$B$2:$B$3001,$B$2,'هالك وتحويلات'!$C$2:$C$3001,$A53,'هالك وتحويلات'!$D$2:$D$3001,"تحويل وارد",'هالك وتحويلات'!$A$2:$A$3001,'إعدادات المخزون'!$B$4)-SUMIFS('هالك وتحويلات'!$E$2:$E$3001,'هالك وتحويلات'!$B$2:$B$3001,$B$2,'هالك وتحويلات'!$C$2:$C$3001,$A53,'هالك وتحويلات'!$D$2:$D$3001,"تحويل صادر",'هالك وتحويلات'!$A$2:$A$3001,'إعدادات المخزون'!$B$4)-SUMIFS('هالك وتحويلات'!$E$2:$E$3001,'هالك وتحويلات'!$B$2:$B$3001,$B$2,'هالك وتحويلات'!$C$2:$C$3001,$A53,'هالك وتحويلات'!$D$2:$D$3001,"هالك",'هالك وتحويلات'!$A$2:$A$3001,'إعدادات المخزون'!$B$4)-SUMIFS('هالك وتحويلات'!$E$2:$E$3001,'هالك وتحويلات'!$B$2:$B$3001,$B$2,'هالك وتحويلات'!$C$2:$C$3001,$A53,'هالك وتحويلات'!$D$2:$D$3001,"ضيافة / أكل موظفين",'هالك وتحويلات'!$A$2:$A$3001,'إعدادات المخزون'!$B$4)-SUMPRODUCT('مصفوفة الاستهلاك'!$AV$2:$AV$190,'متجهات المبيعات'!$B$2:$B$190)/'مواد المخزون'!$D$48</f>
        <v>-1.85</v>
      </c>
      <c r="AA53" s="109" t="n">
        <f aca="false">IF(K53="نعم",O53,0)</f>
        <v>0</v>
      </c>
      <c r="AB53" s="109" t="n">
        <f aca="false">IF(K53="نعم",J53*C53,0)</f>
        <v>0</v>
      </c>
      <c r="AC53" s="109" t="n">
        <f aca="false">IF(T53="",0,T53)</f>
        <v>0</v>
      </c>
    </row>
    <row r="54" customFormat="false" ht="15" hidden="false" customHeight="false" outlineLevel="0" collapsed="false">
      <c r="A54" s="34" t="str">
        <f aca="false">'مواد المخزون'!A49</f>
        <v>شيكولاتة بيضاء</v>
      </c>
      <c r="B54" s="36" t="str">
        <f aca="false">'مواد المخزون'!B49</f>
        <v>كجم</v>
      </c>
      <c r="C54" s="109" t="n">
        <f aca="false">'مواد المخزون'!E49</f>
        <v>100</v>
      </c>
      <c r="D54" s="110" t="n">
        <f aca="false">'جرد أول المدة'!C52</f>
        <v>5.5</v>
      </c>
      <c r="E54" s="110" t="n">
        <f aca="false">SUMIFS('مشتريات يومية'!$D$2:$D$4001,'مشتريات يومية'!$B$2:$B$4001,$B$2,'مشتريات يومية'!$C$2:$C$4001,$A54,'مشتريات يومية'!$A$2:$A$4001,"&gt;="&amp;'إعدادات المخزون'!$B$5,'مشتريات يومية'!$A$2:$A$4001,"&lt;="&amp;'إعدادات المخزون'!$B$4)</f>
        <v>4</v>
      </c>
      <c r="F54" s="110" t="n">
        <f aca="false">SUMIFS('هالك وتحويلات'!$E$2:$E$3001,'هالك وتحويلات'!$B$2:$B$3001,$B$2,'هالك وتحويلات'!$C$2:$C$3001,$A54,'هالك وتحويلات'!$D$2:$D$3001,"تحويل وارد",'هالك وتحويلات'!$A$2:$A$3001,"&gt;="&amp;'إعدادات المخزون'!$B$5,'هالك وتحويلات'!$A$2:$A$3001,"&lt;="&amp;'إعدادات المخزون'!$B$4)</f>
        <v>0</v>
      </c>
      <c r="G54" s="110" t="n">
        <f aca="false">SUMIFS('هالك وتحويلات'!$E$2:$E$3001,'هالك وتحويلات'!$B$2:$B$3001,$B$2,'هالك وتحويلات'!$C$2:$C$3001,$A54,'هالك وتحويلات'!$D$2:$D$3001,"تحويل صادر",'هالك وتحويلات'!$A$2:$A$3001,"&gt;="&amp;'إعدادات المخزون'!$B$5,'هالك وتحويلات'!$A$2:$A$3001,"&lt;="&amp;'إعدادات المخزون'!$B$4)</f>
        <v>0</v>
      </c>
      <c r="H54" s="110" t="n">
        <f aca="false">SUMPRODUCT('مصفوفة الاستهلاك'!$AW$2:$AW$190,'متجهات المبيعات'!$C$2:$C$190)/'مواد المخزون'!$D$49</f>
        <v>4.485012</v>
      </c>
      <c r="I54" s="110" t="n">
        <f aca="false">SUMIFS('هالك وتحويلات'!$E$2:$E$3001,'هالك وتحويلات'!$B$2:$B$3001,$B$2,'هالك وتحويلات'!$C$2:$C$3001,$A54,'هالك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وتحويلات'!$C$2:$C$3001,$A54,'هالك وتحويلات'!$D$2:$D$3001,"ضيافة / أكل موظفين",'هالك وتحويلات'!$A$2:$A$3001,"&gt;="&amp;'إعدادات المخزون'!$B$5,'هالك وتحويلات'!$A$2:$A$3001,"&lt;="&amp;'إعدادات المخزون'!$B$4)</f>
        <v>0</v>
      </c>
      <c r="J54" s="110" t="n">
        <f aca="false">D54+E54+F54-G54-H54-I54</f>
        <v>5.014988</v>
      </c>
      <c r="K54" s="36" t="str">
        <f aca="false">IF(COUNTIFS('جرد فعلي'!$B$2:$B$12001,$B$2,'جرد فعلي'!$C$2:$C$12001,$A54,'جرد فعلي'!$A$2:$A$12001,'إعدادات المخزون'!$B$4)&gt;0,"نعم","لا")</f>
        <v>لا</v>
      </c>
      <c r="L54" s="111" t="str">
        <f aca="false">IF(K54="نعم",SUMIFS('جرد فعلي'!$D$2:$D$12001,'جرد فعلي'!$B$2:$B$12001,$B$2,'جرد فعلي'!$C$2:$C$12001,$A54,'جرد فعلي'!$A$2:$A$12001,'إعدادات المخزون'!$B$4),"")</f>
        <v/>
      </c>
      <c r="M54" s="110" t="str">
        <f aca="false">IF(K54="نعم",L54-J54,"")</f>
        <v/>
      </c>
      <c r="N54" s="112" t="str">
        <f aca="false">IF(K54="نعم",IF(J54=0,IF(M54=0,0,SIGN(M54)),M54/ABS(J54)),"")</f>
        <v/>
      </c>
      <c r="O54" s="109" t="str">
        <f aca="false">IF(K54="نعم",M54*C54,"")</f>
        <v/>
      </c>
      <c r="P54" s="36" t="str">
        <f aca="false">IF(K54&lt;&gt;"نعم","لم يُجرد",IF(ABS(N54)&lt;='إعدادات المخزون'!$B$7,"مطابق",IF(M54&lt;0,"عجز","زيادة")))</f>
        <v>لم يُجرد</v>
      </c>
      <c r="Q54" s="110" t="n">
        <f aca="false">J54-Z54</f>
        <v>5.388739</v>
      </c>
      <c r="R54" s="110" t="str">
        <f aca="false">IF(COUNTIFS('جرد فعلي'!$B$2:$B$12001,$B$2,'جرد فعلي'!$C$2:$C$12001,$A54,'جرد فعلي'!$A$2:$A$12001,'إعدادات المخزون'!$B$4-1)&gt;0,SUMIFS('جرد فعلي'!$D$2:$D$12001,'جرد فعلي'!$B$2:$B$12001,$B$2,'جرد فعلي'!$C$2:$C$12001,$A54,'جرد فعلي'!$A$2:$A$12001,'إعدادات المخزون'!$B$4-1),"")</f>
        <v/>
      </c>
      <c r="S54" s="110" t="str">
        <f aca="false">IF(AND(K54="نعم",R54&lt;&gt;""),(L54-J54)-(R54-Q54),"")</f>
        <v/>
      </c>
      <c r="T54" s="109" t="str">
        <f aca="false">IF(S54="","",S54*C54)</f>
        <v/>
      </c>
      <c r="U54" s="110" t="n">
        <f aca="false">IF(K54="نعم",L54,J54)</f>
        <v>5.014988</v>
      </c>
      <c r="V54" s="110" t="n">
        <f aca="false">SUMPRODUCT('مصفوفة الاستهلاك'!$AW$2:$AW$190,'متجهات المبيعات'!$D$2:$D$190)/'مواد المخزون'!$D$49/MAX(1,MIN('إعدادات المخزون'!$B$11,'إعدادات المخزون'!$B$4-'إعدادات المخزون'!$B$5+1))</f>
        <v>0.373751</v>
      </c>
      <c r="W54" s="110" t="n">
        <f aca="false">IF(V54&lt;=0,0,ROUNDUP(MAX(0,V54*('إعدادات المخزون'!$B$8+'إعدادات المخزون'!$B$9+'إعدادات المخزون'!$B$10)-MAX(U54,0))/'مواد المخزون'!$F49,0)*'مواد المخزون'!$F49)</f>
        <v>0</v>
      </c>
      <c r="X54" s="109" t="n">
        <f aca="false">IF(AND(K54="نعم",O54&lt;0),-O54+ROW()*0.000000001,0)</f>
        <v>0</v>
      </c>
      <c r="Y54" s="109" t="n">
        <f aca="false">IF(AND(K54="نعم",O54&gt;0),O54+ROW()*0.000000001,0)</f>
        <v>0</v>
      </c>
      <c r="Z54" s="110" t="n">
        <f aca="false">SUMIFS('مشتريات يومية'!$D$2:$D$4001,'مشتريات يومية'!$B$2:$B$4001,$B$2,'مشتريات يومية'!$C$2:$C$4001,$A54,'مشتريات يومية'!$A$2:$A$4001,'إعدادات المخزون'!$B$4)+SUMIFS('هالك وتحويلات'!$E$2:$E$3001,'هالك وتحويلات'!$B$2:$B$3001,$B$2,'هالك وتحويلات'!$C$2:$C$3001,$A54,'هالك وتحويلات'!$D$2:$D$3001,"تحويل وارد",'هالك وتحويلات'!$A$2:$A$3001,'إعدادات المخزون'!$B$4)-SUMIFS('هالك وتحويلات'!$E$2:$E$3001,'هالك وتحويلات'!$B$2:$B$3001,$B$2,'هالك وتحويلات'!$C$2:$C$3001,$A54,'هالك وتحويلات'!$D$2:$D$3001,"تحويل صادر",'هالك وتحويلات'!$A$2:$A$3001,'إعدادات المخزون'!$B$4)-SUMIFS('هالك وتحويلات'!$E$2:$E$3001,'هالك وتحويلات'!$B$2:$B$3001,$B$2,'هالك وتحويلات'!$C$2:$C$3001,$A54,'هالك وتحويلات'!$D$2:$D$3001,"هالك",'هالك وتحويلات'!$A$2:$A$3001,'إعدادات المخزون'!$B$4)-SUMIFS('هالك وتحويلات'!$E$2:$E$3001,'هالك وتحويلات'!$B$2:$B$3001,$B$2,'هالك وتحويلات'!$C$2:$C$3001,$A54,'هالك وتحويلات'!$D$2:$D$3001,"ضيافة / أكل موظفين",'هالك وتحويلات'!$A$2:$A$3001,'إعدادات المخزون'!$B$4)-SUMPRODUCT('مصفوفة الاستهلاك'!$AW$2:$AW$190,'متجهات المبيعات'!$B$2:$B$190)/'مواد المخزون'!$D$49</f>
        <v>-0.373751</v>
      </c>
      <c r="AA54" s="109" t="n">
        <f aca="false">IF(K54="نعم",O54,0)</f>
        <v>0</v>
      </c>
      <c r="AB54" s="109" t="n">
        <f aca="false">IF(K54="نعم",J54*C54,0)</f>
        <v>0</v>
      </c>
      <c r="AC54" s="109" t="n">
        <f aca="false">IF(T54="",0,T54)</f>
        <v>0</v>
      </c>
    </row>
    <row r="55" customFormat="false" ht="15" hidden="false" customHeight="false" outlineLevel="0" collapsed="false">
      <c r="A55" s="34" t="str">
        <f aca="false">'مواد المخزون'!A50</f>
        <v>صلصة مصنع</v>
      </c>
      <c r="B55" s="36" t="str">
        <f aca="false">'مواد المخزون'!B50</f>
        <v>كجم</v>
      </c>
      <c r="C55" s="109" t="n">
        <f aca="false">'مواد المخزون'!E50</f>
        <v>32</v>
      </c>
      <c r="D55" s="110" t="n">
        <f aca="false">'جرد أول المدة'!C53</f>
        <v>8</v>
      </c>
      <c r="E55" s="110" t="n">
        <f aca="false">SUMIFS('مشتريات يومية'!$D$2:$D$4001,'مشتريات يومية'!$B$2:$B$4001,$B$2,'مشتريات يومية'!$C$2:$C$4001,$A55,'مشتريات يومية'!$A$2:$A$4001,"&gt;="&amp;'إعدادات المخزون'!$B$5,'مشتريات يومية'!$A$2:$A$4001,"&lt;="&amp;'إعدادات المخزون'!$B$4)</f>
        <v>26</v>
      </c>
      <c r="F55" s="110" t="n">
        <f aca="false">SUMIFS('هالك وتحويلات'!$E$2:$E$3001,'هالك وتحويلات'!$B$2:$B$3001,$B$2,'هالك وتحويلات'!$C$2:$C$3001,$A55,'هالك وتحويلات'!$D$2:$D$3001,"تحويل وارد",'هالك وتحويلات'!$A$2:$A$3001,"&gt;="&amp;'إعدادات المخزون'!$B$5,'هالك وتحويلات'!$A$2:$A$3001,"&lt;="&amp;'إعدادات المخزون'!$B$4)</f>
        <v>0</v>
      </c>
      <c r="G55" s="110" t="n">
        <f aca="false">SUMIFS('هالك وتحويلات'!$E$2:$E$3001,'هالك وتحويلات'!$B$2:$B$3001,$B$2,'هالك وتحويلات'!$C$2:$C$3001,$A55,'هالك وتحويلات'!$D$2:$D$3001,"تحويل صادر",'هالك وتحويلات'!$A$2:$A$3001,"&gt;="&amp;'إعدادات المخزون'!$B$5,'هالك وتحويلات'!$A$2:$A$3001,"&lt;="&amp;'إعدادات المخزون'!$B$4)</f>
        <v>0</v>
      </c>
      <c r="H55" s="110" t="n">
        <f aca="false">SUMPRODUCT('مصفوفة الاستهلاك'!$AX$2:$AX$190,'متجهات المبيعات'!$C$2:$C$190)/'مواد المخزون'!$D$50</f>
        <v>26.039808</v>
      </c>
      <c r="I55" s="110" t="n">
        <f aca="false">SUMIFS('هالك وتحويلات'!$E$2:$E$3001,'هالك وتحويلات'!$B$2:$B$3001,$B$2,'هالك وتحويلات'!$C$2:$C$3001,$A55,'هالك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وتحويلات'!$C$2:$C$3001,$A55,'هالك وتحويلات'!$D$2:$D$3001,"ضيافة / أكل موظفين",'هالك وتحويلات'!$A$2:$A$3001,"&gt;="&amp;'إعدادات المخزون'!$B$5,'هالك وتحويلات'!$A$2:$A$3001,"&lt;="&amp;'إعدادات المخزون'!$B$4)</f>
        <v>0</v>
      </c>
      <c r="J55" s="110" t="n">
        <f aca="false">D55+E55+F55-G55-H55-I55</f>
        <v>7.960192</v>
      </c>
      <c r="K55" s="36" t="str">
        <f aca="false">IF(COUNTIFS('جرد فعلي'!$B$2:$B$12001,$B$2,'جرد فعلي'!$C$2:$C$12001,$A55,'جرد فعلي'!$A$2:$A$12001,'إعدادات المخزون'!$B$4)&gt;0,"نعم","لا")</f>
        <v>لا</v>
      </c>
      <c r="L55" s="111" t="str">
        <f aca="false">IF(K55="نعم",SUMIFS('جرد فعلي'!$D$2:$D$12001,'جرد فعلي'!$B$2:$B$12001,$B$2,'جرد فعلي'!$C$2:$C$12001,$A55,'جرد فعلي'!$A$2:$A$12001,'إعدادات المخزون'!$B$4),"")</f>
        <v/>
      </c>
      <c r="M55" s="110" t="str">
        <f aca="false">IF(K55="نعم",L55-J55,"")</f>
        <v/>
      </c>
      <c r="N55" s="112" t="str">
        <f aca="false">IF(K55="نعم",IF(J55=0,IF(M55=0,0,SIGN(M55)),M55/ABS(J55)),"")</f>
        <v/>
      </c>
      <c r="O55" s="109" t="str">
        <f aca="false">IF(K55="نعم",M55*C55,"")</f>
        <v/>
      </c>
      <c r="P55" s="36" t="str">
        <f aca="false">IF(K55&lt;&gt;"نعم","لم يُجرد",IF(ABS(N55)&lt;='إعدادات المخزون'!$B$7,"مطابق",IF(M55&lt;0,"عجز","زيادة")))</f>
        <v>لم يُجرد</v>
      </c>
      <c r="Q55" s="110" t="n">
        <f aca="false">J55-Z55</f>
        <v>10.130176</v>
      </c>
      <c r="R55" s="110" t="str">
        <f aca="false">IF(COUNTIFS('جرد فعلي'!$B$2:$B$12001,$B$2,'جرد فعلي'!$C$2:$C$12001,$A55,'جرد فعلي'!$A$2:$A$12001,'إعدادات المخزون'!$B$4-1)&gt;0,SUMIFS('جرد فعلي'!$D$2:$D$12001,'جرد فعلي'!$B$2:$B$12001,$B$2,'جرد فعلي'!$C$2:$C$12001,$A55,'جرد فعلي'!$A$2:$A$12001,'إعدادات المخزون'!$B$4-1),"")</f>
        <v/>
      </c>
      <c r="S55" s="110" t="str">
        <f aca="false">IF(AND(K55="نعم",R55&lt;&gt;""),(L55-J55)-(R55-Q55),"")</f>
        <v/>
      </c>
      <c r="T55" s="109" t="str">
        <f aca="false">IF(S55="","",S55*C55)</f>
        <v/>
      </c>
      <c r="U55" s="110" t="n">
        <f aca="false">IF(K55="نعم",L55,J55)</f>
        <v>7.960192</v>
      </c>
      <c r="V55" s="110" t="n">
        <f aca="false">SUMPRODUCT('مصفوفة الاستهلاك'!$AX$2:$AX$190,'متجهات المبيعات'!$D$2:$D$190)/'مواد المخزون'!$D$50/MAX(1,MIN('إعدادات المخزون'!$B$11,'إعدادات المخزون'!$B$4-'إعدادات المخزون'!$B$5+1))</f>
        <v>2.169984</v>
      </c>
      <c r="W55" s="110" t="n">
        <f aca="false">IF(V55&lt;=0,0,ROUNDUP(MAX(0,V55*('إعدادات المخزون'!$B$8+'إعدادات المخزون'!$B$9+'إعدادات المخزون'!$B$10)-MAX(U55,0))/'مواد المخزون'!$F50,0)*'مواد المخزون'!$F50)</f>
        <v>1</v>
      </c>
      <c r="X55" s="109" t="n">
        <f aca="false">IF(AND(K55="نعم",O55&lt;0),-O55+ROW()*0.000000001,0)</f>
        <v>0</v>
      </c>
      <c r="Y55" s="109" t="n">
        <f aca="false">IF(AND(K55="نعم",O55&gt;0),O55+ROW()*0.000000001,0)</f>
        <v>0</v>
      </c>
      <c r="Z55" s="110" t="n">
        <f aca="false">SUMIFS('مشتريات يومية'!$D$2:$D$4001,'مشتريات يومية'!$B$2:$B$4001,$B$2,'مشتريات يومية'!$C$2:$C$4001,$A55,'مشتريات يومية'!$A$2:$A$4001,'إعدادات المخزون'!$B$4)+SUMIFS('هالك وتحويلات'!$E$2:$E$3001,'هالك وتحويلات'!$B$2:$B$3001,$B$2,'هالك وتحويلات'!$C$2:$C$3001,$A55,'هالك وتحويلات'!$D$2:$D$3001,"تحويل وارد",'هالك وتحويلات'!$A$2:$A$3001,'إعدادات المخزون'!$B$4)-SUMIFS('هالك وتحويلات'!$E$2:$E$3001,'هالك وتحويلات'!$B$2:$B$3001,$B$2,'هالك وتحويلات'!$C$2:$C$3001,$A55,'هالك وتحويلات'!$D$2:$D$3001,"تحويل صادر",'هالك وتحويلات'!$A$2:$A$3001,'إعدادات المخزون'!$B$4)-SUMIFS('هالك وتحويلات'!$E$2:$E$3001,'هالك وتحويلات'!$B$2:$B$3001,$B$2,'هالك وتحويلات'!$C$2:$C$3001,$A55,'هالك وتحويلات'!$D$2:$D$3001,"هالك",'هالك وتحويلات'!$A$2:$A$3001,'إعدادات المخزون'!$B$4)-SUMIFS('هالك وتحويلات'!$E$2:$E$3001,'هالك وتحويلات'!$B$2:$B$3001,$B$2,'هالك وتحويلات'!$C$2:$C$3001,$A55,'هالك وتحويلات'!$D$2:$D$3001,"ضيافة / أكل موظفين",'هالك وتحويلات'!$A$2:$A$3001,'إعدادات المخزون'!$B$4)-SUMPRODUCT('مصفوفة الاستهلاك'!$AX$2:$AX$190,'متجهات المبيعات'!$B$2:$B$190)/'مواد المخزون'!$D$50</f>
        <v>-2.169984</v>
      </c>
      <c r="AA55" s="109" t="n">
        <f aca="false">IF(K55="نعم",O55,0)</f>
        <v>0</v>
      </c>
      <c r="AB55" s="109" t="n">
        <f aca="false">IF(K55="نعم",J55*C55,0)</f>
        <v>0</v>
      </c>
      <c r="AC55" s="109" t="n">
        <f aca="false">IF(T55="",0,T55)</f>
        <v>0</v>
      </c>
    </row>
    <row r="56" customFormat="false" ht="15" hidden="false" customHeight="false" outlineLevel="0" collapsed="false">
      <c r="A56" s="34" t="str">
        <f aca="false">'مواد المخزون'!A51</f>
        <v>صوص باربيكيو كيلو</v>
      </c>
      <c r="B56" s="36" t="str">
        <f aca="false">'مواد المخزون'!B51</f>
        <v>كجم</v>
      </c>
      <c r="C56" s="109" t="n">
        <f aca="false">'مواد المخزون'!E51</f>
        <v>70</v>
      </c>
      <c r="D56" s="110" t="n">
        <f aca="false">'جرد أول المدة'!C54</f>
        <v>4.5</v>
      </c>
      <c r="E56" s="110" t="n">
        <f aca="false">SUMIFS('مشتريات يومية'!$D$2:$D$4001,'مشتريات يومية'!$B$2:$B$4001,$B$2,'مشتريات يومية'!$C$2:$C$4001,$A56,'مشتريات يومية'!$A$2:$A$4001,"&gt;="&amp;'إعدادات المخزون'!$B$5,'مشتريات يومية'!$A$2:$A$4001,"&lt;="&amp;'إعدادات المخزون'!$B$4)</f>
        <v>13.5</v>
      </c>
      <c r="F56" s="110" t="n">
        <f aca="false">SUMIFS('هالك وتحويلات'!$E$2:$E$3001,'هالك وتحويلات'!$B$2:$B$3001,$B$2,'هالك وتحويلات'!$C$2:$C$3001,$A56,'هالك وتحويلات'!$D$2:$D$3001,"تحويل وارد",'هالك وتحويلات'!$A$2:$A$3001,"&gt;="&amp;'إعدادات المخزون'!$B$5,'هالك وتحويلات'!$A$2:$A$3001,"&lt;="&amp;'إعدادات المخزون'!$B$4)</f>
        <v>0</v>
      </c>
      <c r="G56" s="110" t="n">
        <f aca="false">SUMIFS('هالك وتحويلات'!$E$2:$E$3001,'هالك وتحويلات'!$B$2:$B$3001,$B$2,'هالك وتحويلات'!$C$2:$C$3001,$A56,'هالك وتحويلات'!$D$2:$D$3001,"تحويل صادر",'هالك وتحويلات'!$A$2:$A$3001,"&gt;="&amp;'إعدادات المخزون'!$B$5,'هالك وتحويلات'!$A$2:$A$3001,"&lt;="&amp;'إعدادات المخزون'!$B$4)</f>
        <v>0</v>
      </c>
      <c r="H56" s="110" t="n">
        <f aca="false">SUMPRODUCT('مصفوفة الاستهلاك'!$AY$2:$AY$190,'متجهات المبيعات'!$C$2:$C$190)/'مواد المخزون'!$D$51</f>
        <v>9.56689332</v>
      </c>
      <c r="I56" s="110" t="n">
        <f aca="false">SUMIFS('هالك وتحويلات'!$E$2:$E$3001,'هالك وتحويلات'!$B$2:$B$3001,$B$2,'هالك وتحويلات'!$C$2:$C$3001,$A56,'هالك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وتحويلات'!$C$2:$C$3001,$A56,'هالك وتحويلات'!$D$2:$D$3001,"ضيافة / أكل موظفين",'هالك وتحويلات'!$A$2:$A$3001,"&gt;="&amp;'إعدادات المخزون'!$B$5,'هالك وتحويلات'!$A$2:$A$3001,"&lt;="&amp;'إعدادات المخزون'!$B$4)</f>
        <v>0</v>
      </c>
      <c r="J56" s="110" t="n">
        <f aca="false">D56+E56+F56-G56-H56-I56</f>
        <v>8.43310668</v>
      </c>
      <c r="K56" s="36" t="str">
        <f aca="false">IF(COUNTIFS('جرد فعلي'!$B$2:$B$12001,$B$2,'جرد فعلي'!$C$2:$C$12001,$A56,'جرد فعلي'!$A$2:$A$12001,'إعدادات المخزون'!$B$4)&gt;0,"نعم","لا")</f>
        <v>لا</v>
      </c>
      <c r="L56" s="111" t="str">
        <f aca="false">IF(K56="نعم",SUMIFS('جرد فعلي'!$D$2:$D$12001,'جرد فعلي'!$B$2:$B$12001,$B$2,'جرد فعلي'!$C$2:$C$12001,$A56,'جرد فعلي'!$A$2:$A$12001,'إعدادات المخزون'!$B$4),"")</f>
        <v/>
      </c>
      <c r="M56" s="110" t="str">
        <f aca="false">IF(K56="نعم",L56-J56,"")</f>
        <v/>
      </c>
      <c r="N56" s="112" t="str">
        <f aca="false">IF(K56="نعم",IF(J56=0,IF(M56=0,0,SIGN(M56)),M56/ABS(J56)),"")</f>
        <v/>
      </c>
      <c r="O56" s="109" t="str">
        <f aca="false">IF(K56="نعم",M56*C56,"")</f>
        <v/>
      </c>
      <c r="P56" s="36" t="str">
        <f aca="false">IF(K56&lt;&gt;"نعم","لم يُجرد",IF(ABS(N56)&lt;='إعدادات المخزون'!$B$7,"مطابق",IF(M56&lt;0,"عجز","زيادة")))</f>
        <v>لم يُجرد</v>
      </c>
      <c r="Q56" s="110" t="n">
        <f aca="false">J56-Z56</f>
        <v>9.23034779</v>
      </c>
      <c r="R56" s="110" t="str">
        <f aca="false">IF(COUNTIFS('جرد فعلي'!$B$2:$B$12001,$B$2,'جرد فعلي'!$C$2:$C$12001,$A56,'جرد فعلي'!$A$2:$A$12001,'إعدادات المخزون'!$B$4-1)&gt;0,SUMIFS('جرد فعلي'!$D$2:$D$12001,'جرد فعلي'!$B$2:$B$12001,$B$2,'جرد فعلي'!$C$2:$C$12001,$A56,'جرد فعلي'!$A$2:$A$12001,'إعدادات المخزون'!$B$4-1),"")</f>
        <v/>
      </c>
      <c r="S56" s="110" t="str">
        <f aca="false">IF(AND(K56="نعم",R56&lt;&gt;""),(L56-J56)-(R56-Q56),"")</f>
        <v/>
      </c>
      <c r="T56" s="109" t="str">
        <f aca="false">IF(S56="","",S56*C56)</f>
        <v/>
      </c>
      <c r="U56" s="110" t="n">
        <f aca="false">IF(K56="نعم",L56,J56)</f>
        <v>8.43310668</v>
      </c>
      <c r="V56" s="110" t="n">
        <f aca="false">SUMPRODUCT('مصفوفة الاستهلاك'!$AY$2:$AY$190,'متجهات المبيعات'!$D$2:$D$190)/'مواد المخزون'!$D$51/MAX(1,MIN('إعدادات المخزون'!$B$11,'إعدادات المخزون'!$B$4-'إعدادات المخزون'!$B$5+1))</f>
        <v>0.79724111</v>
      </c>
      <c r="W56" s="110" t="n">
        <f aca="false">IF(V56&lt;=0,0,ROUNDUP(MAX(0,V56*('إعدادات المخزون'!$B$8+'إعدادات المخزون'!$B$9+'إعدادات المخزون'!$B$10)-MAX(U56,0))/'مواد المخزون'!$F51,0)*'مواد المخزون'!$F51)</f>
        <v>0</v>
      </c>
      <c r="X56" s="109" t="n">
        <f aca="false">IF(AND(K56="نعم",O56&lt;0),-O56+ROW()*0.000000001,0)</f>
        <v>0</v>
      </c>
      <c r="Y56" s="109" t="n">
        <f aca="false">IF(AND(K56="نعم",O56&gt;0),O56+ROW()*0.000000001,0)</f>
        <v>0</v>
      </c>
      <c r="Z56" s="110" t="n">
        <f aca="false">SUMIFS('مشتريات يومية'!$D$2:$D$4001,'مشتريات يومية'!$B$2:$B$4001,$B$2,'مشتريات يومية'!$C$2:$C$4001,$A56,'مشتريات يومية'!$A$2:$A$4001,'إعدادات المخزون'!$B$4)+SUMIFS('هالك وتحويلات'!$E$2:$E$3001,'هالك وتحويلات'!$B$2:$B$3001,$B$2,'هالك وتحويلات'!$C$2:$C$3001,$A56,'هالك وتحويلات'!$D$2:$D$3001,"تحويل وارد",'هالك وتحويلات'!$A$2:$A$3001,'إعدادات المخزون'!$B$4)-SUMIFS('هالك وتحويلات'!$E$2:$E$3001,'هالك وتحويلات'!$B$2:$B$3001,$B$2,'هالك وتحويلات'!$C$2:$C$3001,$A56,'هالك وتحويلات'!$D$2:$D$3001,"تحويل صادر",'هالك وتحويلات'!$A$2:$A$3001,'إعدادات المخزون'!$B$4)-SUMIFS('هالك وتحويلات'!$E$2:$E$3001,'هالك وتحويلات'!$B$2:$B$3001,$B$2,'هالك وتحويلات'!$C$2:$C$3001,$A56,'هالك وتحويلات'!$D$2:$D$3001,"هالك",'هالك وتحويلات'!$A$2:$A$3001,'إعدادات المخزون'!$B$4)-SUMIFS('هالك وتحويلات'!$E$2:$E$3001,'هالك وتحويلات'!$B$2:$B$3001,$B$2,'هالك وتحويلات'!$C$2:$C$3001,$A56,'هالك وتحويلات'!$D$2:$D$3001,"ضيافة / أكل موظفين",'هالك وتحويلات'!$A$2:$A$3001,'إعدادات المخزون'!$B$4)-SUMPRODUCT('مصفوفة الاستهلاك'!$AY$2:$AY$190,'متجهات المبيعات'!$B$2:$B$190)/'مواد المخزون'!$D$51</f>
        <v>-0.79724111</v>
      </c>
      <c r="AA56" s="109" t="n">
        <f aca="false">IF(K56="نعم",O56,0)</f>
        <v>0</v>
      </c>
      <c r="AB56" s="109" t="n">
        <f aca="false">IF(K56="نعم",J56*C56,0)</f>
        <v>0</v>
      </c>
      <c r="AC56" s="109" t="n">
        <f aca="false">IF(T56="",0,T56)</f>
        <v>0</v>
      </c>
    </row>
    <row r="57" customFormat="false" ht="15" hidden="false" customHeight="false" outlineLevel="0" collapsed="false">
      <c r="A57" s="34" t="str">
        <f aca="false">'مواد المخزون'!A52</f>
        <v>صوص تكساس برجر</v>
      </c>
      <c r="B57" s="36" t="str">
        <f aca="false">'مواد المخزون'!B52</f>
        <v>كجم</v>
      </c>
      <c r="C57" s="109" t="n">
        <f aca="false">'مواد المخزون'!E52</f>
        <v>140</v>
      </c>
      <c r="D57" s="110" t="n">
        <f aca="false">'جرد أول المدة'!C55</f>
        <v>5.25</v>
      </c>
      <c r="E57" s="110" t="n">
        <f aca="false">SUMIFS('مشتريات يومية'!$D$2:$D$4001,'مشتريات يومية'!$B$2:$B$4001,$B$2,'مشتريات يومية'!$C$2:$C$4001,$A57,'مشتريات يومية'!$A$2:$A$4001,"&gt;="&amp;'إعدادات المخزون'!$B$5,'مشتريات يومية'!$A$2:$A$4001,"&lt;="&amp;'إعدادات المخزون'!$B$4)</f>
        <v>5</v>
      </c>
      <c r="F57" s="110" t="n">
        <f aca="false">SUMIFS('هالك وتحويلات'!$E$2:$E$3001,'هالك وتحويلات'!$B$2:$B$3001,$B$2,'هالك وتحويلات'!$C$2:$C$3001,$A57,'هالك وتحويلات'!$D$2:$D$3001,"تحويل وارد",'هالك وتحويلات'!$A$2:$A$3001,"&gt;="&amp;'إعدادات المخزون'!$B$5,'هالك وتحويلات'!$A$2:$A$3001,"&lt;="&amp;'إعدادات المخزون'!$B$4)</f>
        <v>0</v>
      </c>
      <c r="G57" s="110" t="n">
        <f aca="false">SUMIFS('هالك وتحويلات'!$E$2:$E$3001,'هالك وتحويلات'!$B$2:$B$3001,$B$2,'هالك وتحويلات'!$C$2:$C$3001,$A57,'هالك وتحويلات'!$D$2:$D$3001,"تحويل صادر",'هالك وتحويلات'!$A$2:$A$3001,"&gt;="&amp;'إعدادات المخزون'!$B$5,'هالك وتحويلات'!$A$2:$A$3001,"&lt;="&amp;'إعدادات المخزون'!$B$4)</f>
        <v>0</v>
      </c>
      <c r="H57" s="110" t="n">
        <f aca="false">SUMPRODUCT('مصفوفة الاستهلاك'!$AZ$2:$AZ$190,'متجهات المبيعات'!$C$2:$C$190)/'مواد المخزون'!$D$52</f>
        <v>4.01689332</v>
      </c>
      <c r="I57" s="110" t="n">
        <f aca="false">SUMIFS('هالك وتحويلات'!$E$2:$E$3001,'هالك وتحويلات'!$B$2:$B$3001,$B$2,'هالك وتحويلات'!$C$2:$C$3001,$A57,'هالك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وتحويلات'!$C$2:$C$3001,$A57,'هالك وتحويلات'!$D$2:$D$3001,"ضيافة / أكل موظفين",'هالك وتحويلات'!$A$2:$A$3001,"&gt;="&amp;'إعدادات المخزون'!$B$5,'هالك وتحويلات'!$A$2:$A$3001,"&lt;="&amp;'إعدادات المخزون'!$B$4)</f>
        <v>0</v>
      </c>
      <c r="J57" s="110" t="n">
        <f aca="false">D57+E57+F57-G57-H57-I57</f>
        <v>6.23310668</v>
      </c>
      <c r="K57" s="36" t="str">
        <f aca="false">IF(COUNTIFS('جرد فعلي'!$B$2:$B$12001,$B$2,'جرد فعلي'!$C$2:$C$12001,$A57,'جرد فعلي'!$A$2:$A$12001,'إعدادات المخزون'!$B$4)&gt;0,"نعم","لا")</f>
        <v>لا</v>
      </c>
      <c r="L57" s="111" t="str">
        <f aca="false">IF(K57="نعم",SUMIFS('جرد فعلي'!$D$2:$D$12001,'جرد فعلي'!$B$2:$B$12001,$B$2,'جرد فعلي'!$C$2:$C$12001,$A57,'جرد فعلي'!$A$2:$A$12001,'إعدادات المخزون'!$B$4),"")</f>
        <v/>
      </c>
      <c r="M57" s="110" t="str">
        <f aca="false">IF(K57="نعم",L57-J57,"")</f>
        <v/>
      </c>
      <c r="N57" s="112" t="str">
        <f aca="false">IF(K57="نعم",IF(J57=0,IF(M57=0,0,SIGN(M57)),M57/ABS(J57)),"")</f>
        <v/>
      </c>
      <c r="O57" s="109" t="str">
        <f aca="false">IF(K57="نعم",M57*C57,"")</f>
        <v/>
      </c>
      <c r="P57" s="36" t="str">
        <f aca="false">IF(K57&lt;&gt;"نعم","لم يُجرد",IF(ABS(N57)&lt;='إعدادات المخزون'!$B$7,"مطابق",IF(M57&lt;0,"عجز","زيادة")))</f>
        <v>لم يُجرد</v>
      </c>
      <c r="Q57" s="110" t="n">
        <f aca="false">J57-Z57</f>
        <v>6.56784779</v>
      </c>
      <c r="R57" s="110" t="str">
        <f aca="false">IF(COUNTIFS('جرد فعلي'!$B$2:$B$12001,$B$2,'جرد فعلي'!$C$2:$C$12001,$A57,'جرد فعلي'!$A$2:$A$12001,'إعدادات المخزون'!$B$4-1)&gt;0,SUMIFS('جرد فعلي'!$D$2:$D$12001,'جرد فعلي'!$B$2:$B$12001,$B$2,'جرد فعلي'!$C$2:$C$12001,$A57,'جرد فعلي'!$A$2:$A$12001,'إعدادات المخزون'!$B$4-1),"")</f>
        <v/>
      </c>
      <c r="S57" s="110" t="str">
        <f aca="false">IF(AND(K57="نعم",R57&lt;&gt;""),(L57-J57)-(R57-Q57),"")</f>
        <v/>
      </c>
      <c r="T57" s="109" t="str">
        <f aca="false">IF(S57="","",S57*C57)</f>
        <v/>
      </c>
      <c r="U57" s="110" t="n">
        <f aca="false">IF(K57="نعم",L57,J57)</f>
        <v>6.23310668</v>
      </c>
      <c r="V57" s="110" t="n">
        <f aca="false">SUMPRODUCT('مصفوفة الاستهلاك'!$AZ$2:$AZ$190,'متجهات المبيعات'!$D$2:$D$190)/'مواد المخزون'!$D$52/MAX(1,MIN('إعدادات المخزون'!$B$11,'إعدادات المخزون'!$B$4-'إعدادات المخزون'!$B$5+1))</f>
        <v>0.33474111</v>
      </c>
      <c r="W57" s="110" t="n">
        <f aca="false">IF(V57&lt;=0,0,ROUNDUP(MAX(0,V57*('إعدادات المخزون'!$B$8+'إعدادات المخزون'!$B$9+'إعدادات المخزون'!$B$10)-MAX(U57,0))/'مواد المخزون'!$F52,0)*'مواد المخزون'!$F52)</f>
        <v>0</v>
      </c>
      <c r="X57" s="109" t="n">
        <f aca="false">IF(AND(K57="نعم",O57&lt;0),-O57+ROW()*0.000000001,0)</f>
        <v>0</v>
      </c>
      <c r="Y57" s="109" t="n">
        <f aca="false">IF(AND(K57="نعم",O57&gt;0),O57+ROW()*0.000000001,0)</f>
        <v>0</v>
      </c>
      <c r="Z57" s="110" t="n">
        <f aca="false">SUMIFS('مشتريات يومية'!$D$2:$D$4001,'مشتريات يومية'!$B$2:$B$4001,$B$2,'مشتريات يومية'!$C$2:$C$4001,$A57,'مشتريات يومية'!$A$2:$A$4001,'إعدادات المخزون'!$B$4)+SUMIFS('هالك وتحويلات'!$E$2:$E$3001,'هالك وتحويلات'!$B$2:$B$3001,$B$2,'هالك وتحويلات'!$C$2:$C$3001,$A57,'هالك وتحويلات'!$D$2:$D$3001,"تحويل وارد",'هالك وتحويلات'!$A$2:$A$3001,'إعدادات المخزون'!$B$4)-SUMIFS('هالك وتحويلات'!$E$2:$E$3001,'هالك وتحويلات'!$B$2:$B$3001,$B$2,'هالك وتحويلات'!$C$2:$C$3001,$A57,'هالك وتحويلات'!$D$2:$D$3001,"تحويل صادر",'هالك وتحويلات'!$A$2:$A$3001,'إعدادات المخزون'!$B$4)-SUMIFS('هالك وتحويلات'!$E$2:$E$3001,'هالك وتحويلات'!$B$2:$B$3001,$B$2,'هالك وتحويلات'!$C$2:$C$3001,$A57,'هالك وتحويلات'!$D$2:$D$3001,"هالك",'هالك وتحويلات'!$A$2:$A$3001,'إعدادات المخزون'!$B$4)-SUMIFS('هالك وتحويلات'!$E$2:$E$3001,'هالك وتحويلات'!$B$2:$B$3001,$B$2,'هالك وتحويلات'!$C$2:$C$3001,$A57,'هالك وتحويلات'!$D$2:$D$3001,"ضيافة / أكل موظفين",'هالك وتحويلات'!$A$2:$A$3001,'إعدادات المخزون'!$B$4)-SUMPRODUCT('مصفوفة الاستهلاك'!$AZ$2:$AZ$190,'متجهات المبيعات'!$B$2:$B$190)/'مواد المخزون'!$D$52</f>
        <v>-0.33474111</v>
      </c>
      <c r="AA57" s="109" t="n">
        <f aca="false">IF(K57="نعم",O57,0)</f>
        <v>0</v>
      </c>
      <c r="AB57" s="109" t="n">
        <f aca="false">IF(K57="نعم",J57*C57,0)</f>
        <v>0</v>
      </c>
      <c r="AC57" s="109" t="n">
        <f aca="false">IF(T57="",0,T57)</f>
        <v>0</v>
      </c>
    </row>
    <row r="58" customFormat="false" ht="15" hidden="false" customHeight="false" outlineLevel="0" collapsed="false">
      <c r="A58" s="34" t="str">
        <f aca="false">'مواد المخزون'!A53</f>
        <v>صوص رانش كيلو</v>
      </c>
      <c r="B58" s="36" t="str">
        <f aca="false">'مواد المخزون'!B53</f>
        <v>كجم</v>
      </c>
      <c r="C58" s="109" t="n">
        <f aca="false">'مواد المخزون'!E53</f>
        <v>105</v>
      </c>
      <c r="D58" s="110" t="n">
        <f aca="false">'جرد أول المدة'!C56</f>
        <v>6.5</v>
      </c>
      <c r="E58" s="110" t="n">
        <f aca="false">SUMIFS('مشتريات يومية'!$D$2:$D$4001,'مشتريات يومية'!$B$2:$B$4001,$B$2,'مشتريات يومية'!$C$2:$C$4001,$A58,'مشتريات يومية'!$A$2:$A$4001,"&gt;="&amp;'إعدادات المخزون'!$B$5,'مشتريات يومية'!$A$2:$A$4001,"&lt;="&amp;'إعدادات المخزون'!$B$4)</f>
        <v>10</v>
      </c>
      <c r="F58" s="110" t="n">
        <f aca="false">SUMIFS('هالك وتحويلات'!$E$2:$E$3001,'هالك وتحويلات'!$B$2:$B$3001,$B$2,'هالك وتحويلات'!$C$2:$C$3001,$A58,'هالك وتحويلات'!$D$2:$D$3001,"تحويل وارد",'هالك وتحويلات'!$A$2:$A$3001,"&gt;="&amp;'إعدادات المخزون'!$B$5,'هالك وتحويلات'!$A$2:$A$3001,"&lt;="&amp;'إعدادات المخزون'!$B$4)</f>
        <v>0</v>
      </c>
      <c r="G58" s="110" t="n">
        <f aca="false">SUMIFS('هالك وتحويلات'!$E$2:$E$3001,'هالك وتحويلات'!$B$2:$B$3001,$B$2,'هالك وتحويلات'!$C$2:$C$3001,$A58,'هالك وتحويلات'!$D$2:$D$3001,"تحويل صادر",'هالك وتحويلات'!$A$2:$A$3001,"&gt;="&amp;'إعدادات المخزون'!$B$5,'هالك وتحويلات'!$A$2:$A$3001,"&lt;="&amp;'إعدادات المخزون'!$B$4)</f>
        <v>0</v>
      </c>
      <c r="H58" s="110" t="n">
        <f aca="false">SUMPRODUCT('مصفوفة الاستهلاك'!$BA$2:$BA$190,'متجهات المبيعات'!$C$2:$C$190)/'مواد المخزون'!$D$53</f>
        <v>20.9499</v>
      </c>
      <c r="I58" s="110" t="n">
        <f aca="false">SUMIFS('هالك وتحويلات'!$E$2:$E$3001,'هالك وتحويلات'!$B$2:$B$3001,$B$2,'هالك وتحويلات'!$C$2:$C$3001,$A58,'هالك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وتحويلات'!$C$2:$C$3001,$A58,'هالك وتحويلات'!$D$2:$D$3001,"ضيافة / أكل موظفين",'هالك وتحويلات'!$A$2:$A$3001,"&gt;="&amp;'إعدادات المخزون'!$B$5,'هالك وتحويلات'!$A$2:$A$3001,"&lt;="&amp;'إعدادات المخزون'!$B$4)</f>
        <v>0</v>
      </c>
      <c r="J58" s="110" t="n">
        <f aca="false">D58+E58+F58-G58-H58-I58</f>
        <v>-4.4499</v>
      </c>
      <c r="K58" s="36" t="str">
        <f aca="false">IF(COUNTIFS('جرد فعلي'!$B$2:$B$12001,$B$2,'جرد فعلي'!$C$2:$C$12001,$A58,'جرد فعلي'!$A$2:$A$12001,'إعدادات المخزون'!$B$4)&gt;0,"نعم","لا")</f>
        <v>لا</v>
      </c>
      <c r="L58" s="111" t="str">
        <f aca="false">IF(K58="نعم",SUMIFS('جرد فعلي'!$D$2:$D$12001,'جرد فعلي'!$B$2:$B$12001,$B$2,'جرد فعلي'!$C$2:$C$12001,$A58,'جرد فعلي'!$A$2:$A$12001,'إعدادات المخزون'!$B$4),"")</f>
        <v/>
      </c>
      <c r="M58" s="110" t="str">
        <f aca="false">IF(K58="نعم",L58-J58,"")</f>
        <v/>
      </c>
      <c r="N58" s="112" t="str">
        <f aca="false">IF(K58="نعم",IF(J58=0,IF(M58=0,0,SIGN(M58)),M58/ABS(J58)),"")</f>
        <v/>
      </c>
      <c r="O58" s="109" t="str">
        <f aca="false">IF(K58="نعم",M58*C58,"")</f>
        <v/>
      </c>
      <c r="P58" s="36" t="str">
        <f aca="false">IF(K58&lt;&gt;"نعم","لم يُجرد",IF(ABS(N58)&lt;='إعدادات المخزون'!$B$7,"مطابق",IF(M58&lt;0,"عجز","زيادة")))</f>
        <v>لم يُجرد</v>
      </c>
      <c r="Q58" s="110" t="n">
        <f aca="false">J58-Z58</f>
        <v>-2.704075</v>
      </c>
      <c r="R58" s="110" t="str">
        <f aca="false">IF(COUNTIFS('جرد فعلي'!$B$2:$B$12001,$B$2,'جرد فعلي'!$C$2:$C$12001,$A58,'جرد فعلي'!$A$2:$A$12001,'إعدادات المخزون'!$B$4-1)&gt;0,SUMIFS('جرد فعلي'!$D$2:$D$12001,'جرد فعلي'!$B$2:$B$12001,$B$2,'جرد فعلي'!$C$2:$C$12001,$A58,'جرد فعلي'!$A$2:$A$12001,'إعدادات المخزون'!$B$4-1),"")</f>
        <v/>
      </c>
      <c r="S58" s="110" t="str">
        <f aca="false">IF(AND(K58="نعم",R58&lt;&gt;""),(L58-J58)-(R58-Q58),"")</f>
        <v/>
      </c>
      <c r="T58" s="109" t="str">
        <f aca="false">IF(S58="","",S58*C58)</f>
        <v/>
      </c>
      <c r="U58" s="110" t="n">
        <f aca="false">IF(K58="نعم",L58,J58)</f>
        <v>-4.4499</v>
      </c>
      <c r="V58" s="110" t="n">
        <f aca="false">SUMPRODUCT('مصفوفة الاستهلاك'!$BA$2:$BA$190,'متجهات المبيعات'!$D$2:$D$190)/'مواد المخزون'!$D$53/MAX(1,MIN('إعدادات المخزون'!$B$11,'إعدادات المخزون'!$B$4-'إعدادات المخزون'!$B$5+1))</f>
        <v>1.745825</v>
      </c>
      <c r="W58" s="110" t="n">
        <f aca="false">IF(V58&lt;=0,0,ROUNDUP(MAX(0,V58*('إعدادات المخزون'!$B$8+'إعدادات المخزون'!$B$9+'إعدادات المخزون'!$B$10)-MAX(U58,0))/'مواد المخزون'!$F53,0)*'مواد المخزون'!$F53)</f>
        <v>7</v>
      </c>
      <c r="X58" s="109" t="n">
        <f aca="false">IF(AND(K58="نعم",O58&lt;0),-O58+ROW()*0.000000001,0)</f>
        <v>0</v>
      </c>
      <c r="Y58" s="109" t="n">
        <f aca="false">IF(AND(K58="نعم",O58&gt;0),O58+ROW()*0.000000001,0)</f>
        <v>0</v>
      </c>
      <c r="Z58" s="110" t="n">
        <f aca="false">SUMIFS('مشتريات يومية'!$D$2:$D$4001,'مشتريات يومية'!$B$2:$B$4001,$B$2,'مشتريات يومية'!$C$2:$C$4001,$A58,'مشتريات يومية'!$A$2:$A$4001,'إعدادات المخزون'!$B$4)+SUMIFS('هالك وتحويلات'!$E$2:$E$3001,'هالك وتحويلات'!$B$2:$B$3001,$B$2,'هالك وتحويلات'!$C$2:$C$3001,$A58,'هالك وتحويلات'!$D$2:$D$3001,"تحويل وارد",'هالك وتحويلات'!$A$2:$A$3001,'إعدادات المخزون'!$B$4)-SUMIFS('هالك وتحويلات'!$E$2:$E$3001,'هالك وتحويلات'!$B$2:$B$3001,$B$2,'هالك وتحويلات'!$C$2:$C$3001,$A58,'هالك وتحويلات'!$D$2:$D$3001,"تحويل صادر",'هالك وتحويلات'!$A$2:$A$3001,'إعدادات المخزون'!$B$4)-SUMIFS('هالك وتحويلات'!$E$2:$E$3001,'هالك وتحويلات'!$B$2:$B$3001,$B$2,'هالك وتحويلات'!$C$2:$C$3001,$A58,'هالك وتحويلات'!$D$2:$D$3001,"هالك",'هالك وتحويلات'!$A$2:$A$3001,'إعدادات المخزون'!$B$4)-SUMIFS('هالك وتحويلات'!$E$2:$E$3001,'هالك وتحويلات'!$B$2:$B$3001,$B$2,'هالك وتحويلات'!$C$2:$C$3001,$A58,'هالك وتحويلات'!$D$2:$D$3001,"ضيافة / أكل موظفين",'هالك وتحويلات'!$A$2:$A$3001,'إعدادات المخزون'!$B$4)-SUMPRODUCT('مصفوفة الاستهلاك'!$BA$2:$BA$190,'متجهات المبيعات'!$B$2:$B$190)/'مواد المخزون'!$D$53</f>
        <v>-1.745825</v>
      </c>
      <c r="AA58" s="109" t="n">
        <f aca="false">IF(K58="نعم",O58,0)</f>
        <v>0</v>
      </c>
      <c r="AB58" s="109" t="n">
        <f aca="false">IF(K58="نعم",J58*C58,0)</f>
        <v>0</v>
      </c>
      <c r="AC58" s="109" t="n">
        <f aca="false">IF(T58="",0,T58)</f>
        <v>0</v>
      </c>
    </row>
    <row r="59" customFormat="false" ht="15" hidden="false" customHeight="false" outlineLevel="0" collapsed="false">
      <c r="A59" s="34" t="str">
        <f aca="false">'مواد المخزون'!A54</f>
        <v>صوص شيدر كيلو</v>
      </c>
      <c r="B59" s="36" t="str">
        <f aca="false">'مواد المخزون'!B54</f>
        <v>كجم</v>
      </c>
      <c r="C59" s="109" t="n">
        <f aca="false">'مواد المخزون'!E54</f>
        <v>140</v>
      </c>
      <c r="D59" s="110" t="n">
        <f aca="false">'جرد أول المدة'!C57</f>
        <v>6</v>
      </c>
      <c r="E59" s="110" t="n">
        <f aca="false">SUMIFS('مشتريات يومية'!$D$2:$D$4001,'مشتريات يومية'!$B$2:$B$4001,$B$2,'مشتريات يومية'!$C$2:$C$4001,$A59,'مشتريات يومية'!$A$2:$A$4001,"&gt;="&amp;'إعدادات المخزون'!$B$5,'مشتريات يومية'!$A$2:$A$4001,"&lt;="&amp;'إعدادات المخزون'!$B$4)</f>
        <v>15</v>
      </c>
      <c r="F59" s="110" t="n">
        <f aca="false">SUMIFS('هالك وتحويلات'!$E$2:$E$3001,'هالك وتحويلات'!$B$2:$B$3001,$B$2,'هالك وتحويلات'!$C$2:$C$3001,$A59,'هالك وتحويلات'!$D$2:$D$3001,"تحويل وارد",'هالك وتحويلات'!$A$2:$A$3001,"&gt;="&amp;'إعدادات المخزون'!$B$5,'هالك وتحويلات'!$A$2:$A$3001,"&lt;="&amp;'إعدادات المخزون'!$B$4)</f>
        <v>0</v>
      </c>
      <c r="G59" s="110" t="n">
        <f aca="false">SUMIFS('هالك وتحويلات'!$E$2:$E$3001,'هالك وتحويلات'!$B$2:$B$3001,$B$2,'هالك وتحويلات'!$C$2:$C$3001,$A59,'هالك وتحويلات'!$D$2:$D$3001,"تحويل صادر",'هالك وتحويلات'!$A$2:$A$3001,"&gt;="&amp;'إعدادات المخزون'!$B$5,'هالك وتحويلات'!$A$2:$A$3001,"&lt;="&amp;'إعدادات المخزون'!$B$4)</f>
        <v>0</v>
      </c>
      <c r="H59" s="110" t="n">
        <f aca="false">SUMPRODUCT('مصفوفة الاستهلاك'!$BB$2:$BB$190,'متجهات المبيعات'!$C$2:$C$190)/'مواد المخزون'!$D$54</f>
        <v>22.36687332</v>
      </c>
      <c r="I59" s="110" t="n">
        <f aca="false">SUMIFS('هالك وتحويلات'!$E$2:$E$3001,'هالك وتحويلات'!$B$2:$B$3001,$B$2,'هالك وتحويلات'!$C$2:$C$3001,$A59,'هالك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وتحويلات'!$C$2:$C$3001,$A59,'هالك وتحويلات'!$D$2:$D$3001,"ضيافة / أكل موظفين",'هالك وتحويلات'!$A$2:$A$3001,"&gt;="&amp;'إعدادات المخزون'!$B$5,'هالك وتحويلات'!$A$2:$A$3001,"&lt;="&amp;'إعدادات المخزون'!$B$4)</f>
        <v>0</v>
      </c>
      <c r="J59" s="110" t="n">
        <f aca="false">D59+E59+F59-G59-H59-I59</f>
        <v>-1.36687332</v>
      </c>
      <c r="K59" s="36" t="str">
        <f aca="false">IF(COUNTIFS('جرد فعلي'!$B$2:$B$12001,$B$2,'جرد فعلي'!$C$2:$C$12001,$A59,'جرد فعلي'!$A$2:$A$12001,'إعدادات المخزون'!$B$4)&gt;0,"نعم","لا")</f>
        <v>لا</v>
      </c>
      <c r="L59" s="111" t="str">
        <f aca="false">IF(K59="نعم",SUMIFS('جرد فعلي'!$D$2:$D$12001,'جرد فعلي'!$B$2:$B$12001,$B$2,'جرد فعلي'!$C$2:$C$12001,$A59,'جرد فعلي'!$A$2:$A$12001,'إعدادات المخزون'!$B$4),"")</f>
        <v/>
      </c>
      <c r="M59" s="110" t="str">
        <f aca="false">IF(K59="نعم",L59-J59,"")</f>
        <v/>
      </c>
      <c r="N59" s="112" t="str">
        <f aca="false">IF(K59="نعم",IF(J59=0,IF(M59=0,0,SIGN(M59)),M59/ABS(J59)),"")</f>
        <v/>
      </c>
      <c r="O59" s="109" t="str">
        <f aca="false">IF(K59="نعم",M59*C59,"")</f>
        <v/>
      </c>
      <c r="P59" s="36" t="str">
        <f aca="false">IF(K59&lt;&gt;"نعم","لم يُجرد",IF(ABS(N59)&lt;='إعدادات المخزون'!$B$7,"مطابق",IF(M59&lt;0,"عجز","زيادة")))</f>
        <v>لم يُجرد</v>
      </c>
      <c r="Q59" s="110" t="n">
        <f aca="false">J59-Z59</f>
        <v>0.49703279</v>
      </c>
      <c r="R59" s="110" t="str">
        <f aca="false">IF(COUNTIFS('جرد فعلي'!$B$2:$B$12001,$B$2,'جرد فعلي'!$C$2:$C$12001,$A59,'جرد فعلي'!$A$2:$A$12001,'إعدادات المخزون'!$B$4-1)&gt;0,SUMIFS('جرد فعلي'!$D$2:$D$12001,'جرد فعلي'!$B$2:$B$12001,$B$2,'جرد فعلي'!$C$2:$C$12001,$A59,'جرد فعلي'!$A$2:$A$12001,'إعدادات المخزون'!$B$4-1),"")</f>
        <v/>
      </c>
      <c r="S59" s="110" t="str">
        <f aca="false">IF(AND(K59="نعم",R59&lt;&gt;""),(L59-J59)-(R59-Q59),"")</f>
        <v/>
      </c>
      <c r="T59" s="109" t="str">
        <f aca="false">IF(S59="","",S59*C59)</f>
        <v/>
      </c>
      <c r="U59" s="110" t="n">
        <f aca="false">IF(K59="نعم",L59,J59)</f>
        <v>-1.36687332</v>
      </c>
      <c r="V59" s="110" t="n">
        <f aca="false">SUMPRODUCT('مصفوفة الاستهلاك'!$BB$2:$BB$190,'متجهات المبيعات'!$D$2:$D$190)/'مواد المخزون'!$D$54/MAX(1,MIN('إعدادات المخزون'!$B$11,'إعدادات المخزون'!$B$4-'إعدادات المخزون'!$B$5+1))</f>
        <v>1.86390611</v>
      </c>
      <c r="W59" s="110" t="n">
        <f aca="false">IF(V59&lt;=0,0,ROUNDUP(MAX(0,V59*('إعدادات المخزون'!$B$8+'إعدادات المخزون'!$B$9+'إعدادات المخزون'!$B$10)-MAX(U59,0))/'مواد المخزون'!$F54,0)*'مواد المخزون'!$F54)</f>
        <v>8</v>
      </c>
      <c r="X59" s="109" t="n">
        <f aca="false">IF(AND(K59="نعم",O59&lt;0),-O59+ROW()*0.000000001,0)</f>
        <v>0</v>
      </c>
      <c r="Y59" s="109" t="n">
        <f aca="false">IF(AND(K59="نعم",O59&gt;0),O59+ROW()*0.000000001,0)</f>
        <v>0</v>
      </c>
      <c r="Z59" s="110" t="n">
        <f aca="false">SUMIFS('مشتريات يومية'!$D$2:$D$4001,'مشتريات يومية'!$B$2:$B$4001,$B$2,'مشتريات يومية'!$C$2:$C$4001,$A59,'مشتريات يومية'!$A$2:$A$4001,'إعدادات المخزون'!$B$4)+SUMIFS('هالك وتحويلات'!$E$2:$E$3001,'هالك وتحويلات'!$B$2:$B$3001,$B$2,'هالك وتحويلات'!$C$2:$C$3001,$A59,'هالك وتحويلات'!$D$2:$D$3001,"تحويل وارد",'هالك وتحويلات'!$A$2:$A$3001,'إعدادات المخزون'!$B$4)-SUMIFS('هالك وتحويلات'!$E$2:$E$3001,'هالك وتحويلات'!$B$2:$B$3001,$B$2,'هالك وتحويلات'!$C$2:$C$3001,$A59,'هالك وتحويلات'!$D$2:$D$3001,"تحويل صادر",'هالك وتحويلات'!$A$2:$A$3001,'إعدادات المخزون'!$B$4)-SUMIFS('هالك وتحويلات'!$E$2:$E$3001,'هالك وتحويلات'!$B$2:$B$3001,$B$2,'هالك وتحويلات'!$C$2:$C$3001,$A59,'هالك وتحويلات'!$D$2:$D$3001,"هالك",'هالك وتحويلات'!$A$2:$A$3001,'إعدادات المخزون'!$B$4)-SUMIFS('هالك وتحويلات'!$E$2:$E$3001,'هالك وتحويلات'!$B$2:$B$3001,$B$2,'هالك وتحويلات'!$C$2:$C$3001,$A59,'هالك وتحويلات'!$D$2:$D$3001,"ضيافة / أكل موظفين",'هالك وتحويلات'!$A$2:$A$3001,'إعدادات المخزون'!$B$4)-SUMPRODUCT('مصفوفة الاستهلاك'!$BB$2:$BB$190,'متجهات المبيعات'!$B$2:$B$190)/'مواد المخزون'!$D$54</f>
        <v>-1.86390611</v>
      </c>
      <c r="AA59" s="109" t="n">
        <f aca="false">IF(K59="نعم",O59,0)</f>
        <v>0</v>
      </c>
      <c r="AB59" s="109" t="n">
        <f aca="false">IF(K59="نعم",J59*C59,0)</f>
        <v>0</v>
      </c>
      <c r="AC59" s="109" t="n">
        <f aca="false">IF(T59="",0,T59)</f>
        <v>0</v>
      </c>
    </row>
    <row r="60" customFormat="false" ht="15" hidden="false" customHeight="false" outlineLevel="0" collapsed="false">
      <c r="A60" s="34" t="str">
        <f aca="false">'مواد المخزون'!A55</f>
        <v>طماطم</v>
      </c>
      <c r="B60" s="36" t="str">
        <f aca="false">'مواد المخزون'!B55</f>
        <v>كجم</v>
      </c>
      <c r="C60" s="109" t="n">
        <f aca="false">'مواد المخزون'!E55</f>
        <v>21</v>
      </c>
      <c r="D60" s="110" t="n">
        <f aca="false">'جرد أول المدة'!C58</f>
        <v>15</v>
      </c>
      <c r="E60" s="110" t="n">
        <f aca="false">SUMIFS('مشتريات يومية'!$D$2:$D$4001,'مشتريات يومية'!$B$2:$B$4001,$B$2,'مشتريات يومية'!$C$2:$C$4001,$A60,'مشتريات يومية'!$A$2:$A$4001,"&gt;="&amp;'إعدادات المخزون'!$B$5,'مشتريات يومية'!$A$2:$A$4001,"&lt;="&amp;'إعدادات المخزون'!$B$4)</f>
        <v>135</v>
      </c>
      <c r="F60" s="110" t="n">
        <f aca="false">SUMIFS('هالك وتحويلات'!$E$2:$E$3001,'هالك وتحويلات'!$B$2:$B$3001,$B$2,'هالك وتحويلات'!$C$2:$C$3001,$A60,'هالك وتحويلات'!$D$2:$D$3001,"تحويل وارد",'هالك وتحويلات'!$A$2:$A$3001,"&gt;="&amp;'إعدادات المخزون'!$B$5,'هالك وتحويلات'!$A$2:$A$3001,"&lt;="&amp;'إعدادات المخزون'!$B$4)</f>
        <v>0</v>
      </c>
      <c r="G60" s="110" t="n">
        <f aca="false">SUMIFS('هالك وتحويلات'!$E$2:$E$3001,'هالك وتحويلات'!$B$2:$B$3001,$B$2,'هالك وتحويلات'!$C$2:$C$3001,$A60,'هالك وتحويلات'!$D$2:$D$3001,"تحويل صادر",'هالك وتحويلات'!$A$2:$A$3001,"&gt;="&amp;'إعدادات المخزون'!$B$5,'هالك وتحويلات'!$A$2:$A$3001,"&lt;="&amp;'إعدادات المخزون'!$B$4)</f>
        <v>0</v>
      </c>
      <c r="H60" s="110" t="n">
        <f aca="false">SUMPRODUCT('مصفوفة الاستهلاك'!$BC$2:$BC$190,'متجهات المبيعات'!$C$2:$C$190)/'مواد المخزون'!$D$55</f>
        <v>55.51989</v>
      </c>
      <c r="I60" s="110" t="n">
        <f aca="false">SUMIFS('هالك وتحويلات'!$E$2:$E$3001,'هالك وتحويلات'!$B$2:$B$3001,$B$2,'هالك وتحويلات'!$C$2:$C$3001,$A60,'هالك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وتحويلات'!$C$2:$C$3001,$A60,'هالك وتحويلات'!$D$2:$D$3001,"ضيافة / أكل موظفين",'هالك وتحويلات'!$A$2:$A$3001,"&gt;="&amp;'إعدادات المخزون'!$B$5,'هالك وتحويلات'!$A$2:$A$3001,"&lt;="&amp;'إعدادات المخزون'!$B$4)</f>
        <v>0</v>
      </c>
      <c r="J60" s="110" t="n">
        <f aca="false">D60+E60+F60-G60-H60-I60</f>
        <v>94.48011</v>
      </c>
      <c r="K60" s="36" t="str">
        <f aca="false">IF(COUNTIFS('جرد فعلي'!$B$2:$B$12001,$B$2,'جرد فعلي'!$C$2:$C$12001,$A60,'جرد فعلي'!$A$2:$A$12001,'إعدادات المخزون'!$B$4)&gt;0,"نعم","لا")</f>
        <v>لا</v>
      </c>
      <c r="L60" s="111" t="str">
        <f aca="false">IF(K60="نعم",SUMIFS('جرد فعلي'!$D$2:$D$12001,'جرد فعلي'!$B$2:$B$12001,$B$2,'جرد فعلي'!$C$2:$C$12001,$A60,'جرد فعلي'!$A$2:$A$12001,'إعدادات المخزون'!$B$4),"")</f>
        <v/>
      </c>
      <c r="M60" s="110" t="str">
        <f aca="false">IF(K60="نعم",L60-J60,"")</f>
        <v/>
      </c>
      <c r="N60" s="112" t="str">
        <f aca="false">IF(K60="نعم",IF(J60=0,IF(M60=0,0,SIGN(M60)),M60/ABS(J60)),"")</f>
        <v/>
      </c>
      <c r="O60" s="109" t="str">
        <f aca="false">IF(K60="نعم",M60*C60,"")</f>
        <v/>
      </c>
      <c r="P60" s="36" t="str">
        <f aca="false">IF(K60&lt;&gt;"نعم","لم يُجرد",IF(ABS(N60)&lt;='إعدادات المخزون'!$B$7,"مطابق",IF(M60&lt;0,"عجز","زيادة")))</f>
        <v>لم يُجرد</v>
      </c>
      <c r="Q60" s="110" t="n">
        <f aca="false">J60-Z60</f>
        <v>99.1067675</v>
      </c>
      <c r="R60" s="110" t="str">
        <f aca="false">IF(COUNTIFS('جرد فعلي'!$B$2:$B$12001,$B$2,'جرد فعلي'!$C$2:$C$12001,$A60,'جرد فعلي'!$A$2:$A$12001,'إعدادات المخزون'!$B$4-1)&gt;0,SUMIFS('جرد فعلي'!$D$2:$D$12001,'جرد فعلي'!$B$2:$B$12001,$B$2,'جرد فعلي'!$C$2:$C$12001,$A60,'جرد فعلي'!$A$2:$A$12001,'إعدادات المخزون'!$B$4-1),"")</f>
        <v/>
      </c>
      <c r="S60" s="110" t="str">
        <f aca="false">IF(AND(K60="نعم",R60&lt;&gt;""),(L60-J60)-(R60-Q60),"")</f>
        <v/>
      </c>
      <c r="T60" s="109" t="str">
        <f aca="false">IF(S60="","",S60*C60)</f>
        <v/>
      </c>
      <c r="U60" s="110" t="n">
        <f aca="false">IF(K60="نعم",L60,J60)</f>
        <v>94.48011</v>
      </c>
      <c r="V60" s="110" t="n">
        <f aca="false">SUMPRODUCT('مصفوفة الاستهلاك'!$BC$2:$BC$190,'متجهات المبيعات'!$D$2:$D$190)/'مواد المخزون'!$D$55/MAX(1,MIN('إعدادات المخزون'!$B$11,'إعدادات المخزون'!$B$4-'إعدادات المخزون'!$B$5+1))</f>
        <v>4.6266575</v>
      </c>
      <c r="W60" s="110" t="n">
        <f aca="false">IF(V60&lt;=0,0,ROUNDUP(MAX(0,V60*('إعدادات المخزون'!$B$8+'إعدادات المخزون'!$B$9+'إعدادات المخزون'!$B$10)-MAX(U60,0))/'مواد المخزون'!$F55,0)*'مواد المخزون'!$F55)</f>
        <v>0</v>
      </c>
      <c r="X60" s="109" t="n">
        <f aca="false">IF(AND(K60="نعم",O60&lt;0),-O60+ROW()*0.000000001,0)</f>
        <v>0</v>
      </c>
      <c r="Y60" s="109" t="n">
        <f aca="false">IF(AND(K60="نعم",O60&gt;0),O60+ROW()*0.000000001,0)</f>
        <v>0</v>
      </c>
      <c r="Z60" s="110" t="n">
        <f aca="false">SUMIFS('مشتريات يومية'!$D$2:$D$4001,'مشتريات يومية'!$B$2:$B$4001,$B$2,'مشتريات يومية'!$C$2:$C$4001,$A60,'مشتريات يومية'!$A$2:$A$4001,'إعدادات المخزون'!$B$4)+SUMIFS('هالك وتحويلات'!$E$2:$E$3001,'هالك وتحويلات'!$B$2:$B$3001,$B$2,'هالك وتحويلات'!$C$2:$C$3001,$A60,'هالك وتحويلات'!$D$2:$D$3001,"تحويل وارد",'هالك وتحويلات'!$A$2:$A$3001,'إعدادات المخزون'!$B$4)-SUMIFS('هالك وتحويلات'!$E$2:$E$3001,'هالك وتحويلات'!$B$2:$B$3001,$B$2,'هالك وتحويلات'!$C$2:$C$3001,$A60,'هالك وتحويلات'!$D$2:$D$3001,"تحويل صادر",'هالك وتحويلات'!$A$2:$A$3001,'إعدادات المخزون'!$B$4)-SUMIFS('هالك وتحويلات'!$E$2:$E$3001,'هالك وتحويلات'!$B$2:$B$3001,$B$2,'هالك وتحويلات'!$C$2:$C$3001,$A60,'هالك وتحويلات'!$D$2:$D$3001,"هالك",'هالك وتحويلات'!$A$2:$A$3001,'إعدادات المخزون'!$B$4)-SUMIFS('هالك وتحويلات'!$E$2:$E$3001,'هالك وتحويلات'!$B$2:$B$3001,$B$2,'هالك وتحويلات'!$C$2:$C$3001,$A60,'هالك وتحويلات'!$D$2:$D$3001,"ضيافة / أكل موظفين",'هالك وتحويلات'!$A$2:$A$3001,'إعدادات المخزون'!$B$4)-SUMPRODUCT('مصفوفة الاستهلاك'!$BC$2:$BC$190,'متجهات المبيعات'!$B$2:$B$190)/'مواد المخزون'!$D$55</f>
        <v>-4.6266575</v>
      </c>
      <c r="AA60" s="109" t="n">
        <f aca="false">IF(K60="نعم",O60,0)</f>
        <v>0</v>
      </c>
      <c r="AB60" s="109" t="n">
        <f aca="false">IF(K60="نعم",J60*C60,0)</f>
        <v>0</v>
      </c>
      <c r="AC60" s="109" t="n">
        <f aca="false">IF(T60="",0,T60)</f>
        <v>0</v>
      </c>
    </row>
    <row r="61" customFormat="false" ht="15" hidden="false" customHeight="false" outlineLevel="0" collapsed="false">
      <c r="A61" s="34" t="str">
        <f aca="false">'مواد المخزون'!A56</f>
        <v>عجين بيتزا</v>
      </c>
      <c r="B61" s="36" t="str">
        <f aca="false">'مواد المخزون'!B56</f>
        <v>كجم</v>
      </c>
      <c r="C61" s="109" t="n">
        <f aca="false">'مواد المخزون'!E56</f>
        <v>22</v>
      </c>
      <c r="D61" s="110" t="n">
        <f aca="false">'جرد أول المدة'!C59</f>
        <v>21</v>
      </c>
      <c r="E61" s="110" t="n">
        <f aca="false">SUMIFS('مشتريات يومية'!$D$2:$D$4001,'مشتريات يومية'!$B$2:$B$4001,$B$2,'مشتريات يومية'!$C$2:$C$4001,$A61,'مشتريات يومية'!$A$2:$A$4001,"&gt;="&amp;'إعدادات المخزون'!$B$5,'مشتريات يومية'!$A$2:$A$4001,"&lt;="&amp;'إعدادات المخزون'!$B$4)</f>
        <v>161.5</v>
      </c>
      <c r="F61" s="110" t="n">
        <f aca="false">SUMIFS('هالك وتحويلات'!$E$2:$E$3001,'هالك وتحويلات'!$B$2:$B$3001,$B$2,'هالك وتحويلات'!$C$2:$C$3001,$A61,'هالك وتحويلات'!$D$2:$D$3001,"تحويل وارد",'هالك وتحويلات'!$A$2:$A$3001,"&gt;="&amp;'إعدادات المخزون'!$B$5,'هالك وتحويلات'!$A$2:$A$3001,"&lt;="&amp;'إعدادات المخزون'!$B$4)</f>
        <v>0</v>
      </c>
      <c r="G61" s="110" t="n">
        <f aca="false">SUMIFS('هالك وتحويلات'!$E$2:$E$3001,'هالك وتحويلات'!$B$2:$B$3001,$B$2,'هالك وتحويلات'!$C$2:$C$3001,$A61,'هالك وتحويلات'!$D$2:$D$3001,"تحويل صادر",'هالك وتحويلات'!$A$2:$A$3001,"&gt;="&amp;'إعدادات المخزون'!$B$5,'هالك وتحويلات'!$A$2:$A$3001,"&lt;="&amp;'إعدادات المخزون'!$B$4)</f>
        <v>0</v>
      </c>
      <c r="H61" s="110" t="n">
        <f aca="false">SUMPRODUCT('مصفوفة الاستهلاك'!$BD$2:$BD$190,'متجهات المبيعات'!$C$2:$C$190)/'مواد المخزون'!$D$56</f>
        <v>162.058896</v>
      </c>
      <c r="I61" s="110" t="n">
        <f aca="false">SUMIFS('هالك وتحويلات'!$E$2:$E$3001,'هالك وتحويلات'!$B$2:$B$3001,$B$2,'هالك وتحويلات'!$C$2:$C$3001,$A61,'هالك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وتحويلات'!$C$2:$C$3001,$A61,'هالك وتحويلات'!$D$2:$D$3001,"ضيافة / أكل موظفين",'هالك وتحويلات'!$A$2:$A$3001,"&gt;="&amp;'إعدادات المخزون'!$B$5,'هالك وتحويلات'!$A$2:$A$3001,"&lt;="&amp;'إعدادات المخزون'!$B$4)</f>
        <v>0</v>
      </c>
      <c r="J61" s="110" t="n">
        <f aca="false">D61+E61+F61-G61-H61-I61</f>
        <v>20.441104</v>
      </c>
      <c r="K61" s="36" t="str">
        <f aca="false">IF(COUNTIFS('جرد فعلي'!$B$2:$B$12001,$B$2,'جرد فعلي'!$C$2:$C$12001,$A61,'جرد فعلي'!$A$2:$A$12001,'إعدادات المخزون'!$B$4)&gt;0,"نعم","لا")</f>
        <v>لا</v>
      </c>
      <c r="L61" s="111" t="str">
        <f aca="false">IF(K61="نعم",SUMIFS('جرد فعلي'!$D$2:$D$12001,'جرد فعلي'!$B$2:$B$12001,$B$2,'جرد فعلي'!$C$2:$C$12001,$A61,'جرد فعلي'!$A$2:$A$12001,'إعدادات المخزون'!$B$4),"")</f>
        <v/>
      </c>
      <c r="M61" s="110" t="str">
        <f aca="false">IF(K61="نعم",L61-J61,"")</f>
        <v/>
      </c>
      <c r="N61" s="112" t="str">
        <f aca="false">IF(K61="نعم",IF(J61=0,IF(M61=0,0,SIGN(M61)),M61/ABS(J61)),"")</f>
        <v/>
      </c>
      <c r="O61" s="109" t="str">
        <f aca="false">IF(K61="نعم",M61*C61,"")</f>
        <v/>
      </c>
      <c r="P61" s="36" t="str">
        <f aca="false">IF(K61&lt;&gt;"نعم","لم يُجرد",IF(ABS(N61)&lt;='إعدادات المخزون'!$B$7,"مطابق",IF(M61&lt;0,"عجز","زيادة")))</f>
        <v>لم يُجرد</v>
      </c>
      <c r="Q61" s="110" t="n">
        <f aca="false">J61-Z61</f>
        <v>33.946012</v>
      </c>
      <c r="R61" s="110" t="str">
        <f aca="false">IF(COUNTIFS('جرد فعلي'!$B$2:$B$12001,$B$2,'جرد فعلي'!$C$2:$C$12001,$A61,'جرد فعلي'!$A$2:$A$12001,'إعدادات المخزون'!$B$4-1)&gt;0,SUMIFS('جرد فعلي'!$D$2:$D$12001,'جرد فعلي'!$B$2:$B$12001,$B$2,'جرد فعلي'!$C$2:$C$12001,$A61,'جرد فعلي'!$A$2:$A$12001,'إعدادات المخزون'!$B$4-1),"")</f>
        <v/>
      </c>
      <c r="S61" s="110" t="str">
        <f aca="false">IF(AND(K61="نعم",R61&lt;&gt;""),(L61-J61)-(R61-Q61),"")</f>
        <v/>
      </c>
      <c r="T61" s="109" t="str">
        <f aca="false">IF(S61="","",S61*C61)</f>
        <v/>
      </c>
      <c r="U61" s="110" t="n">
        <f aca="false">IF(K61="نعم",L61,J61)</f>
        <v>20.441104</v>
      </c>
      <c r="V61" s="110" t="n">
        <f aca="false">SUMPRODUCT('مصفوفة الاستهلاك'!$BD$2:$BD$190,'متجهات المبيعات'!$D$2:$D$190)/'مواد المخزون'!$D$56/MAX(1,MIN('إعدادات المخزون'!$B$11,'إعدادات المخزون'!$B$4-'إعدادات المخزون'!$B$5+1))</f>
        <v>13.504908</v>
      </c>
      <c r="W61" s="110" t="n">
        <f aca="false">IF(V61&lt;=0,0,ROUNDUP(MAX(0,V61*('إعدادات المخزون'!$B$8+'إعدادات المخزون'!$B$9+'إعدادات المخزون'!$B$10)-MAX(U61,0))/'مواد المخزون'!$F56,0)*'مواد المخزون'!$F56)</f>
        <v>34</v>
      </c>
      <c r="X61" s="109" t="n">
        <f aca="false">IF(AND(K61="نعم",O61&lt;0),-O61+ROW()*0.000000001,0)</f>
        <v>0</v>
      </c>
      <c r="Y61" s="109" t="n">
        <f aca="false">IF(AND(K61="نعم",O61&gt;0),O61+ROW()*0.000000001,0)</f>
        <v>0</v>
      </c>
      <c r="Z61" s="110" t="n">
        <f aca="false">SUMIFS('مشتريات يومية'!$D$2:$D$4001,'مشتريات يومية'!$B$2:$B$4001,$B$2,'مشتريات يومية'!$C$2:$C$4001,$A61,'مشتريات يومية'!$A$2:$A$4001,'إعدادات المخزون'!$B$4)+SUMIFS('هالك وتحويلات'!$E$2:$E$3001,'هالك وتحويلات'!$B$2:$B$3001,$B$2,'هالك وتحويلات'!$C$2:$C$3001,$A61,'هالك وتحويلات'!$D$2:$D$3001,"تحويل وارد",'هالك وتحويلات'!$A$2:$A$3001,'إعدادات المخزون'!$B$4)-SUMIFS('هالك وتحويلات'!$E$2:$E$3001,'هالك وتحويلات'!$B$2:$B$3001,$B$2,'هالك وتحويلات'!$C$2:$C$3001,$A61,'هالك وتحويلات'!$D$2:$D$3001,"تحويل صادر",'هالك وتحويلات'!$A$2:$A$3001,'إعدادات المخزون'!$B$4)-SUMIFS('هالك وتحويلات'!$E$2:$E$3001,'هالك وتحويلات'!$B$2:$B$3001,$B$2,'هالك وتحويلات'!$C$2:$C$3001,$A61,'هالك وتحويلات'!$D$2:$D$3001,"هالك",'هالك وتحويلات'!$A$2:$A$3001,'إعدادات المخزون'!$B$4)-SUMIFS('هالك وتحويلات'!$E$2:$E$3001,'هالك وتحويلات'!$B$2:$B$3001,$B$2,'هالك وتحويلات'!$C$2:$C$3001,$A61,'هالك وتحويلات'!$D$2:$D$3001,"ضيافة / أكل موظفين",'هالك وتحويلات'!$A$2:$A$3001,'إعدادات المخزون'!$B$4)-SUMPRODUCT('مصفوفة الاستهلاك'!$BD$2:$BD$190,'متجهات المبيعات'!$B$2:$B$190)/'مواد المخزون'!$D$56</f>
        <v>-13.504908</v>
      </c>
      <c r="AA61" s="109" t="n">
        <f aca="false">IF(K61="نعم",O61,0)</f>
        <v>0</v>
      </c>
      <c r="AB61" s="109" t="n">
        <f aca="false">IF(K61="نعم",J61*C61,0)</f>
        <v>0</v>
      </c>
      <c r="AC61" s="109" t="n">
        <f aca="false">IF(T61="",0,T61)</f>
        <v>0</v>
      </c>
    </row>
    <row r="62" customFormat="false" ht="15" hidden="false" customHeight="false" outlineLevel="0" collapsed="false">
      <c r="A62" s="34" t="str">
        <f aca="false">'مواد المخزون'!A57</f>
        <v>عجين فطير</v>
      </c>
      <c r="B62" s="36" t="str">
        <f aca="false">'مواد المخزون'!B57</f>
        <v>قطعة</v>
      </c>
      <c r="C62" s="109" t="n">
        <f aca="false">'مواد المخزون'!E57</f>
        <v>4</v>
      </c>
      <c r="D62" s="110" t="n">
        <f aca="false">'جرد أول المدة'!C60</f>
        <v>105</v>
      </c>
      <c r="E62" s="110" t="n">
        <f aca="false">SUMIFS('مشتريات يومية'!$D$2:$D$4001,'مشتريات يومية'!$B$2:$B$4001,$B$2,'مشتريات يومية'!$C$2:$C$4001,$A62,'مشتريات يومية'!$A$2:$A$4001,"&gt;="&amp;'إعدادات المخزون'!$B$5,'مشتريات يومية'!$A$2:$A$4001,"&lt;="&amp;'إعدادات المخزون'!$B$4)</f>
        <v>1945</v>
      </c>
      <c r="F62" s="110" t="n">
        <f aca="false">SUMIFS('هالك وتحويلات'!$E$2:$E$3001,'هالك وتحويلات'!$B$2:$B$3001,$B$2,'هالك وتحويلات'!$C$2:$C$3001,$A62,'هالك وتحويلات'!$D$2:$D$3001,"تحويل وارد",'هالك وتحويلات'!$A$2:$A$3001,"&gt;="&amp;'إعدادات المخزون'!$B$5,'هالك وتحويلات'!$A$2:$A$3001,"&lt;="&amp;'إعدادات المخزون'!$B$4)</f>
        <v>0</v>
      </c>
      <c r="G62" s="110" t="n">
        <f aca="false">SUMIFS('هالك وتحويلات'!$E$2:$E$3001,'هالك وتحويلات'!$B$2:$B$3001,$B$2,'هالك وتحويلات'!$C$2:$C$3001,$A62,'هالك وتحويلات'!$D$2:$D$3001,"تحويل صادر",'هالك وتحويلات'!$A$2:$A$3001,"&gt;="&amp;'إعدادات المخزون'!$B$5,'هالك وتحويلات'!$A$2:$A$3001,"&lt;="&amp;'إعدادات المخزون'!$B$4)</f>
        <v>0</v>
      </c>
      <c r="H62" s="110" t="n">
        <f aca="false">SUMPRODUCT('مصفوفة الاستهلاك'!$BE$2:$BE$190,'متجهات المبيعات'!$C$2:$C$190)/'مواد المخزون'!$D$57</f>
        <v>1771.503</v>
      </c>
      <c r="I62" s="110" t="n">
        <f aca="false">SUMIFS('هالك وتحويلات'!$E$2:$E$3001,'هالك وتحويلات'!$B$2:$B$3001,$B$2,'هالك وتحويلات'!$C$2:$C$3001,$A62,'هالك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وتحويلات'!$C$2:$C$3001,$A62,'هالك وتحويلات'!$D$2:$D$3001,"ضيافة / أكل موظفين",'هالك وتحويلات'!$A$2:$A$3001,"&gt;="&amp;'إعدادات المخزون'!$B$5,'هالك وتحويلات'!$A$2:$A$3001,"&lt;="&amp;'إعدادات المخزون'!$B$4)</f>
        <v>0</v>
      </c>
      <c r="J62" s="110" t="n">
        <f aca="false">D62+E62+F62-G62-H62-I62</f>
        <v>278.497</v>
      </c>
      <c r="K62" s="36" t="str">
        <f aca="false">IF(COUNTIFS('جرد فعلي'!$B$2:$B$12001,$B$2,'جرد فعلي'!$C$2:$C$12001,$A62,'جرد فعلي'!$A$2:$A$12001,'إعدادات المخزون'!$B$4)&gt;0,"نعم","لا")</f>
        <v>لا</v>
      </c>
      <c r="L62" s="111" t="str">
        <f aca="false">IF(K62="نعم",SUMIFS('جرد فعلي'!$D$2:$D$12001,'جرد فعلي'!$B$2:$B$12001,$B$2,'جرد فعلي'!$C$2:$C$12001,$A62,'جرد فعلي'!$A$2:$A$12001,'إعدادات المخزون'!$B$4),"")</f>
        <v/>
      </c>
      <c r="M62" s="110" t="str">
        <f aca="false">IF(K62="نعم",L62-J62,"")</f>
        <v/>
      </c>
      <c r="N62" s="112" t="str">
        <f aca="false">IF(K62="نعم",IF(J62=0,IF(M62=0,0,SIGN(M62)),M62/ABS(J62)),"")</f>
        <v/>
      </c>
      <c r="O62" s="109" t="str">
        <f aca="false">IF(K62="نعم",M62*C62,"")</f>
        <v/>
      </c>
      <c r="P62" s="36" t="str">
        <f aca="false">IF(K62&lt;&gt;"نعم","لم يُجرد",IF(ABS(N62)&lt;='إعدادات المخزون'!$B$7,"مطابق",IF(M62&lt;0,"عجز","زيادة")))</f>
        <v>لم يُجرد</v>
      </c>
      <c r="Q62" s="110" t="n">
        <f aca="false">J62-Z62</f>
        <v>426.12225</v>
      </c>
      <c r="R62" s="110" t="str">
        <f aca="false">IF(COUNTIFS('جرد فعلي'!$B$2:$B$12001,$B$2,'جرد فعلي'!$C$2:$C$12001,$A62,'جرد فعلي'!$A$2:$A$12001,'إعدادات المخزون'!$B$4-1)&gt;0,SUMIFS('جرد فعلي'!$D$2:$D$12001,'جرد فعلي'!$B$2:$B$12001,$B$2,'جرد فعلي'!$C$2:$C$12001,$A62,'جرد فعلي'!$A$2:$A$12001,'إعدادات المخزون'!$B$4-1),"")</f>
        <v/>
      </c>
      <c r="S62" s="110" t="str">
        <f aca="false">IF(AND(K62="نعم",R62&lt;&gt;""),(L62-J62)-(R62-Q62),"")</f>
        <v/>
      </c>
      <c r="T62" s="109" t="str">
        <f aca="false">IF(S62="","",S62*C62)</f>
        <v/>
      </c>
      <c r="U62" s="110" t="n">
        <f aca="false">IF(K62="نعم",L62,J62)</f>
        <v>278.497</v>
      </c>
      <c r="V62" s="110" t="n">
        <f aca="false">SUMPRODUCT('مصفوفة الاستهلاك'!$BE$2:$BE$190,'متجهات المبيعات'!$D$2:$D$190)/'مواد المخزون'!$D$57/MAX(1,MIN('إعدادات المخزون'!$B$11,'إعدادات المخزون'!$B$4-'إعدادات المخزون'!$B$5+1))</f>
        <v>147.62525</v>
      </c>
      <c r="W62" s="110" t="n">
        <f aca="false">IF(V62&lt;=0,0,ROUNDUP(MAX(0,V62*('إعدادات المخزون'!$B$8+'إعدادات المخزون'!$B$9+'إعدادات المخزون'!$B$10)-MAX(U62,0))/'مواد المخزون'!$F57,0)*'مواد المخزون'!$F57)</f>
        <v>313</v>
      </c>
      <c r="X62" s="109" t="n">
        <f aca="false">IF(AND(K62="نعم",O62&lt;0),-O62+ROW()*0.000000001,0)</f>
        <v>0</v>
      </c>
      <c r="Y62" s="109" t="n">
        <f aca="false">IF(AND(K62="نعم",O62&gt;0),O62+ROW()*0.000000001,0)</f>
        <v>0</v>
      </c>
      <c r="Z62" s="110" t="n">
        <f aca="false">SUMIFS('مشتريات يومية'!$D$2:$D$4001,'مشتريات يومية'!$B$2:$B$4001,$B$2,'مشتريات يومية'!$C$2:$C$4001,$A62,'مشتريات يومية'!$A$2:$A$4001,'إعدادات المخزون'!$B$4)+SUMIFS('هالك وتحويلات'!$E$2:$E$3001,'هالك وتحويلات'!$B$2:$B$3001,$B$2,'هالك وتحويلات'!$C$2:$C$3001,$A62,'هالك وتحويلات'!$D$2:$D$3001,"تحويل وارد",'هالك وتحويلات'!$A$2:$A$3001,'إعدادات المخزون'!$B$4)-SUMIFS('هالك وتحويلات'!$E$2:$E$3001,'هالك وتحويلات'!$B$2:$B$3001,$B$2,'هالك وتحويلات'!$C$2:$C$3001,$A62,'هالك وتحويلات'!$D$2:$D$3001,"تحويل صادر",'هالك وتحويلات'!$A$2:$A$3001,'إعدادات المخزون'!$B$4)-SUMIFS('هالك وتحويلات'!$E$2:$E$3001,'هالك وتحويلات'!$B$2:$B$3001,$B$2,'هالك وتحويلات'!$C$2:$C$3001,$A62,'هالك وتحويلات'!$D$2:$D$3001,"هالك",'هالك وتحويلات'!$A$2:$A$3001,'إعدادات المخزون'!$B$4)-SUMIFS('هالك وتحويلات'!$E$2:$E$3001,'هالك وتحويلات'!$B$2:$B$3001,$B$2,'هالك وتحويلات'!$C$2:$C$3001,$A62,'هالك وتحويلات'!$D$2:$D$3001,"ضيافة / أكل موظفين",'هالك وتحويلات'!$A$2:$A$3001,'إعدادات المخزون'!$B$4)-SUMPRODUCT('مصفوفة الاستهلاك'!$BE$2:$BE$190,'متجهات المبيعات'!$B$2:$B$190)/'مواد المخزون'!$D$57</f>
        <v>-147.62525</v>
      </c>
      <c r="AA62" s="109" t="n">
        <f aca="false">IF(K62="نعم",O62,0)</f>
        <v>0</v>
      </c>
      <c r="AB62" s="109" t="n">
        <f aca="false">IF(K62="نعم",J62*C62,0)</f>
        <v>0</v>
      </c>
      <c r="AC62" s="109" t="n">
        <f aca="false">IF(T62="",0,T62)</f>
        <v>0</v>
      </c>
    </row>
    <row r="63" customFormat="false" ht="15" hidden="false" customHeight="false" outlineLevel="0" collapsed="false">
      <c r="A63" s="34" t="str">
        <f aca="false">'مواد المخزون'!A58</f>
        <v>عسل ابيض</v>
      </c>
      <c r="B63" s="36" t="str">
        <f aca="false">'مواد المخزون'!B58</f>
        <v>كجم</v>
      </c>
      <c r="C63" s="109" t="n">
        <f aca="false">'مواد المخزون'!E58</f>
        <v>140</v>
      </c>
      <c r="D63" s="110" t="n">
        <f aca="false">'جرد أول المدة'!C61</f>
        <v>1.5</v>
      </c>
      <c r="E63" s="110" t="n">
        <f aca="false">SUMIFS('مشتريات يومية'!$D$2:$D$4001,'مشتريات يومية'!$B$2:$B$4001,$B$2,'مشتريات يومية'!$C$2:$C$4001,$A63,'مشتريات يومية'!$A$2:$A$4001,"&gt;="&amp;'إعدادات المخزون'!$B$5,'مشتريات يومية'!$A$2:$A$4001,"&lt;="&amp;'إعدادات المخزون'!$B$4)</f>
        <v>2</v>
      </c>
      <c r="F63" s="110" t="n">
        <f aca="false">SUMIFS('هالك وتحويلات'!$E$2:$E$3001,'هالك وتحويلات'!$B$2:$B$3001,$B$2,'هالك وتحويلات'!$C$2:$C$3001,$A63,'هالك وتحويلات'!$D$2:$D$3001,"تحويل وارد",'هالك وتحويلات'!$A$2:$A$3001,"&gt;="&amp;'إعدادات المخزون'!$B$5,'هالك وتحويلات'!$A$2:$A$3001,"&lt;="&amp;'إعدادات المخزون'!$B$4)</f>
        <v>0</v>
      </c>
      <c r="G63" s="110" t="n">
        <f aca="false">SUMIFS('هالك وتحويلات'!$E$2:$E$3001,'هالك وتحويلات'!$B$2:$B$3001,$B$2,'هالك وتحويلات'!$C$2:$C$3001,$A63,'هالك وتحويلات'!$D$2:$D$3001,"تحويل صادر",'هالك وتحويلات'!$A$2:$A$3001,"&gt;="&amp;'إعدادات المخزون'!$B$5,'هالك وتحويلات'!$A$2:$A$3001,"&lt;="&amp;'إعدادات المخزون'!$B$4)</f>
        <v>0</v>
      </c>
      <c r="H63" s="110" t="n">
        <f aca="false">SUMPRODUCT('مصفوفة الاستهلاك'!$BF$2:$BF$190,'متجهات المبيعات'!$C$2:$C$190)/'مواد المخزون'!$D$58</f>
        <v>1.329972</v>
      </c>
      <c r="I63" s="110" t="n">
        <f aca="false">SUMIFS('هالك وتحويلات'!$E$2:$E$3001,'هالك وتحويلات'!$B$2:$B$3001,$B$2,'هالك وتحويلات'!$C$2:$C$3001,$A63,'هالك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وتحويلات'!$C$2:$C$3001,$A63,'هالك وتحويلات'!$D$2:$D$3001,"ضيافة / أكل موظفين",'هالك وتحويلات'!$A$2:$A$3001,"&gt;="&amp;'إعدادات المخزون'!$B$5,'هالك وتحويلات'!$A$2:$A$3001,"&lt;="&amp;'إعدادات المخزون'!$B$4)</f>
        <v>0</v>
      </c>
      <c r="J63" s="110" t="n">
        <f aca="false">D63+E63+F63-G63-H63-I63</f>
        <v>2.170028</v>
      </c>
      <c r="K63" s="36" t="str">
        <f aca="false">IF(COUNTIFS('جرد فعلي'!$B$2:$B$12001,$B$2,'جرد فعلي'!$C$2:$C$12001,$A63,'جرد فعلي'!$A$2:$A$12001,'إعدادات المخزون'!$B$4)&gt;0,"نعم","لا")</f>
        <v>لا</v>
      </c>
      <c r="L63" s="111" t="str">
        <f aca="false">IF(K63="نعم",SUMIFS('جرد فعلي'!$D$2:$D$12001,'جرد فعلي'!$B$2:$B$12001,$B$2,'جرد فعلي'!$C$2:$C$12001,$A63,'جرد فعلي'!$A$2:$A$12001,'إعدادات المخزون'!$B$4),"")</f>
        <v/>
      </c>
      <c r="M63" s="110" t="str">
        <f aca="false">IF(K63="نعم",L63-J63,"")</f>
        <v/>
      </c>
      <c r="N63" s="112" t="str">
        <f aca="false">IF(K63="نعم",IF(J63=0,IF(M63=0,0,SIGN(M63)),M63/ABS(J63)),"")</f>
        <v/>
      </c>
      <c r="O63" s="109" t="str">
        <f aca="false">IF(K63="نعم",M63*C63,"")</f>
        <v/>
      </c>
      <c r="P63" s="36" t="str">
        <f aca="false">IF(K63&lt;&gt;"نعم","لم يُجرد",IF(ABS(N63)&lt;='إعدادات المخزون'!$B$7,"مطابق",IF(M63&lt;0,"عجز","زيادة")))</f>
        <v>لم يُجرد</v>
      </c>
      <c r="Q63" s="110" t="n">
        <f aca="false">J63-Z63</f>
        <v>2.280859</v>
      </c>
      <c r="R63" s="110" t="str">
        <f aca="false">IF(COUNTIFS('جرد فعلي'!$B$2:$B$12001,$B$2,'جرد فعلي'!$C$2:$C$12001,$A63,'جرد فعلي'!$A$2:$A$12001,'إعدادات المخزون'!$B$4-1)&gt;0,SUMIFS('جرد فعلي'!$D$2:$D$12001,'جرد فعلي'!$B$2:$B$12001,$B$2,'جرد فعلي'!$C$2:$C$12001,$A63,'جرد فعلي'!$A$2:$A$12001,'إعدادات المخزون'!$B$4-1),"")</f>
        <v/>
      </c>
      <c r="S63" s="110" t="str">
        <f aca="false">IF(AND(K63="نعم",R63&lt;&gt;""),(L63-J63)-(R63-Q63),"")</f>
        <v/>
      </c>
      <c r="T63" s="109" t="str">
        <f aca="false">IF(S63="","",S63*C63)</f>
        <v/>
      </c>
      <c r="U63" s="110" t="n">
        <f aca="false">IF(K63="نعم",L63,J63)</f>
        <v>2.170028</v>
      </c>
      <c r="V63" s="110" t="n">
        <f aca="false">SUMPRODUCT('مصفوفة الاستهلاك'!$BF$2:$BF$190,'متجهات المبيعات'!$D$2:$D$190)/'مواد المخزون'!$D$58/MAX(1,MIN('إعدادات المخزون'!$B$11,'إعدادات المخزون'!$B$4-'إعدادات المخزون'!$B$5+1))</f>
        <v>0.110831</v>
      </c>
      <c r="W63" s="110" t="n">
        <f aca="false">IF(V63&lt;=0,0,ROUNDUP(MAX(0,V63*('إعدادات المخزون'!$B$8+'إعدادات المخزون'!$B$9+'إعدادات المخزون'!$B$10)-MAX(U63,0))/'مواد المخزون'!$F58,0)*'مواد المخزون'!$F58)</f>
        <v>0</v>
      </c>
      <c r="X63" s="109" t="n">
        <f aca="false">IF(AND(K63="نعم",O63&lt;0),-O63+ROW()*0.000000001,0)</f>
        <v>0</v>
      </c>
      <c r="Y63" s="109" t="n">
        <f aca="false">IF(AND(K63="نعم",O63&gt;0),O63+ROW()*0.000000001,0)</f>
        <v>0</v>
      </c>
      <c r="Z63" s="110" t="n">
        <f aca="false">SUMIFS('مشتريات يومية'!$D$2:$D$4001,'مشتريات يومية'!$B$2:$B$4001,$B$2,'مشتريات يومية'!$C$2:$C$4001,$A63,'مشتريات يومية'!$A$2:$A$4001,'إعدادات المخزون'!$B$4)+SUMIFS('هالك وتحويلات'!$E$2:$E$3001,'هالك وتحويلات'!$B$2:$B$3001,$B$2,'هالك وتحويلات'!$C$2:$C$3001,$A63,'هالك وتحويلات'!$D$2:$D$3001,"تحويل وارد",'هالك وتحويلات'!$A$2:$A$3001,'إعدادات المخزون'!$B$4)-SUMIFS('هالك وتحويلات'!$E$2:$E$3001,'هالك وتحويلات'!$B$2:$B$3001,$B$2,'هالك وتحويلات'!$C$2:$C$3001,$A63,'هالك وتحويلات'!$D$2:$D$3001,"تحويل صادر",'هالك وتحويلات'!$A$2:$A$3001,'إعدادات المخزون'!$B$4)-SUMIFS('هالك وتحويلات'!$E$2:$E$3001,'هالك وتحويلات'!$B$2:$B$3001,$B$2,'هالك وتحويلات'!$C$2:$C$3001,$A63,'هالك وتحويلات'!$D$2:$D$3001,"هالك",'هالك وتحويلات'!$A$2:$A$3001,'إعدادات المخزون'!$B$4)-SUMIFS('هالك وتحويلات'!$E$2:$E$3001,'هالك وتحويلات'!$B$2:$B$3001,$B$2,'هالك وتحويلات'!$C$2:$C$3001,$A63,'هالك وتحويلات'!$D$2:$D$3001,"ضيافة / أكل موظفين",'هالك وتحويلات'!$A$2:$A$3001,'إعدادات المخزون'!$B$4)-SUMPRODUCT('مصفوفة الاستهلاك'!$BF$2:$BF$190,'متجهات المبيعات'!$B$2:$B$190)/'مواد المخزون'!$D$58</f>
        <v>-0.110831</v>
      </c>
      <c r="AA63" s="109" t="n">
        <f aca="false">IF(K63="نعم",O63,0)</f>
        <v>0</v>
      </c>
      <c r="AB63" s="109" t="n">
        <f aca="false">IF(K63="نعم",J63*C63,0)</f>
        <v>0</v>
      </c>
      <c r="AC63" s="109" t="n">
        <f aca="false">IF(T63="",0,T63)</f>
        <v>0</v>
      </c>
    </row>
    <row r="64" customFormat="false" ht="15" hidden="false" customHeight="false" outlineLevel="0" collapsed="false">
      <c r="A64" s="34" t="str">
        <f aca="false">'مواد المخزون'!A59</f>
        <v>علب بيتزا كبير</v>
      </c>
      <c r="B64" s="36" t="str">
        <f aca="false">'مواد المخزون'!B59</f>
        <v>قطعة</v>
      </c>
      <c r="C64" s="109" t="n">
        <f aca="false">'مواد المخزون'!E59</f>
        <v>5.5</v>
      </c>
      <c r="D64" s="110" t="n">
        <f aca="false">'جرد أول المدة'!C62</f>
        <v>1336</v>
      </c>
      <c r="E64" s="110" t="n">
        <f aca="false">SUMIFS('مشتريات يومية'!$D$2:$D$4001,'مشتريات يومية'!$B$2:$B$4001,$B$2,'مشتريات يومية'!$C$2:$C$4001,$A64,'مشتريات يومية'!$A$2:$A$4001,"&gt;="&amp;'إعدادات المخزون'!$B$5,'مشتريات يومية'!$A$2:$A$4001,"&lt;="&amp;'إعدادات المخزون'!$B$4)</f>
        <v>0</v>
      </c>
      <c r="F64" s="110" t="n">
        <f aca="false">SUMIFS('هالك وتحويلات'!$E$2:$E$3001,'هالك وتحويلات'!$B$2:$B$3001,$B$2,'هالك وتحويلات'!$C$2:$C$3001,$A64,'هالك وتحويلات'!$D$2:$D$3001,"تحويل وارد",'هالك وتحويلات'!$A$2:$A$3001,"&gt;="&amp;'إعدادات المخزون'!$B$5,'هالك وتحويلات'!$A$2:$A$3001,"&lt;="&amp;'إعدادات المخزون'!$B$4)</f>
        <v>0</v>
      </c>
      <c r="G64" s="110" t="n">
        <f aca="false">SUMIFS('هالك وتحويلات'!$E$2:$E$3001,'هالك وتحويلات'!$B$2:$B$3001,$B$2,'هالك وتحويلات'!$C$2:$C$3001,$A64,'هالك وتحويلات'!$D$2:$D$3001,"تحويل صادر",'هالك وتحويلات'!$A$2:$A$3001,"&gt;="&amp;'إعدادات المخزون'!$B$5,'هالك وتحويلات'!$A$2:$A$3001,"&lt;="&amp;'إعدادات المخزون'!$B$4)</f>
        <v>0</v>
      </c>
      <c r="H64" s="110" t="n">
        <f aca="false">SUMPRODUCT('مصفوفة الاستهلاك'!$BG$2:$BG$190,'متجهات المبيعات'!$C$2:$C$190)/'مواد المخزون'!$D$59</f>
        <v>179.9988</v>
      </c>
      <c r="I64" s="110" t="n">
        <f aca="false">SUMIFS('هالك وتحويلات'!$E$2:$E$3001,'هالك وتحويلات'!$B$2:$B$3001,$B$2,'هالك وتحويلات'!$C$2:$C$3001,$A64,'هالك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وتحويلات'!$C$2:$C$3001,$A64,'هالك وتحويلات'!$D$2:$D$3001,"ضيافة / أكل موظفين",'هالك وتحويلات'!$A$2:$A$3001,"&gt;="&amp;'إعدادات المخزون'!$B$5,'هالك وتحويلات'!$A$2:$A$3001,"&lt;="&amp;'إعدادات المخزون'!$B$4)</f>
        <v>0</v>
      </c>
      <c r="J64" s="110" t="n">
        <f aca="false">D64+E64+F64-G64-H64-I64</f>
        <v>1156.0012</v>
      </c>
      <c r="K64" s="36" t="str">
        <f aca="false">IF(COUNTIFS('جرد فعلي'!$B$2:$B$12001,$B$2,'جرد فعلي'!$C$2:$C$12001,$A64,'جرد فعلي'!$A$2:$A$12001,'إعدادات المخزون'!$B$4)&gt;0,"نعم","لا")</f>
        <v>لا</v>
      </c>
      <c r="L64" s="111" t="str">
        <f aca="false">IF(K64="نعم",SUMIFS('جرد فعلي'!$D$2:$D$12001,'جرد فعلي'!$B$2:$B$12001,$B$2,'جرد فعلي'!$C$2:$C$12001,$A64,'جرد فعلي'!$A$2:$A$12001,'إعدادات المخزون'!$B$4),"")</f>
        <v/>
      </c>
      <c r="M64" s="110" t="str">
        <f aca="false">IF(K64="نعم",L64-J64,"")</f>
        <v/>
      </c>
      <c r="N64" s="112" t="str">
        <f aca="false">IF(K64="نعم",IF(J64=0,IF(M64=0,0,SIGN(M64)),M64/ABS(J64)),"")</f>
        <v/>
      </c>
      <c r="O64" s="109" t="str">
        <f aca="false">IF(K64="نعم",M64*C64,"")</f>
        <v/>
      </c>
      <c r="P64" s="36" t="str">
        <f aca="false">IF(K64&lt;&gt;"نعم","لم يُجرد",IF(ABS(N64)&lt;='إعدادات المخزون'!$B$7,"مطابق",IF(M64&lt;0,"عجز","زيادة")))</f>
        <v>لم يُجرد</v>
      </c>
      <c r="Q64" s="110" t="n">
        <f aca="false">J64-Z64</f>
        <v>1171.0011</v>
      </c>
      <c r="R64" s="110" t="str">
        <f aca="false">IF(COUNTIFS('جرد فعلي'!$B$2:$B$12001,$B$2,'جرد فعلي'!$C$2:$C$12001,$A64,'جرد فعلي'!$A$2:$A$12001,'إعدادات المخزون'!$B$4-1)&gt;0,SUMIFS('جرد فعلي'!$D$2:$D$12001,'جرد فعلي'!$B$2:$B$12001,$B$2,'جرد فعلي'!$C$2:$C$12001,$A64,'جرد فعلي'!$A$2:$A$12001,'إعدادات المخزون'!$B$4-1),"")</f>
        <v/>
      </c>
      <c r="S64" s="110" t="str">
        <f aca="false">IF(AND(K64="نعم",R64&lt;&gt;""),(L64-J64)-(R64-Q64),"")</f>
        <v/>
      </c>
      <c r="T64" s="109" t="str">
        <f aca="false">IF(S64="","",S64*C64)</f>
        <v/>
      </c>
      <c r="U64" s="110" t="n">
        <f aca="false">IF(K64="نعم",L64,J64)</f>
        <v>1156.0012</v>
      </c>
      <c r="V64" s="110" t="n">
        <f aca="false">SUMPRODUCT('مصفوفة الاستهلاك'!$BG$2:$BG$190,'متجهات المبيعات'!$D$2:$D$190)/'مواد المخزون'!$D$59/MAX(1,MIN('إعدادات المخزون'!$B$11,'إعدادات المخزون'!$B$4-'إعدادات المخزون'!$B$5+1))</f>
        <v>14.9999</v>
      </c>
      <c r="W64" s="110" t="n">
        <f aca="false">IF(V64&lt;=0,0,ROUNDUP(MAX(0,V64*('إعدادات المخزون'!$B$8+'إعدادات المخزون'!$B$9+'إعدادات المخزون'!$B$10)-MAX(U64,0))/'مواد المخزون'!$F59,0)*'مواد المخزون'!$F59)</f>
        <v>0</v>
      </c>
      <c r="X64" s="109" t="n">
        <f aca="false">IF(AND(K64="نعم",O64&lt;0),-O64+ROW()*0.000000001,0)</f>
        <v>0</v>
      </c>
      <c r="Y64" s="109" t="n">
        <f aca="false">IF(AND(K64="نعم",O64&gt;0),O64+ROW()*0.000000001,0)</f>
        <v>0</v>
      </c>
      <c r="Z64" s="110" t="n">
        <f aca="false">SUMIFS('مشتريات يومية'!$D$2:$D$4001,'مشتريات يومية'!$B$2:$B$4001,$B$2,'مشتريات يومية'!$C$2:$C$4001,$A64,'مشتريات يومية'!$A$2:$A$4001,'إعدادات المخزون'!$B$4)+SUMIFS('هالك وتحويلات'!$E$2:$E$3001,'هالك وتحويلات'!$B$2:$B$3001,$B$2,'هالك وتحويلات'!$C$2:$C$3001,$A64,'هالك وتحويلات'!$D$2:$D$3001,"تحويل وارد",'هالك وتحويلات'!$A$2:$A$3001,'إعدادات المخزون'!$B$4)-SUMIFS('هالك وتحويلات'!$E$2:$E$3001,'هالك وتحويلات'!$B$2:$B$3001,$B$2,'هالك وتحويلات'!$C$2:$C$3001,$A64,'هالك وتحويلات'!$D$2:$D$3001,"تحويل صادر",'هالك وتحويلات'!$A$2:$A$3001,'إعدادات المخزون'!$B$4)-SUMIFS('هالك وتحويلات'!$E$2:$E$3001,'هالك وتحويلات'!$B$2:$B$3001,$B$2,'هالك وتحويلات'!$C$2:$C$3001,$A64,'هالك وتحويلات'!$D$2:$D$3001,"هالك",'هالك وتحويلات'!$A$2:$A$3001,'إعدادات المخزون'!$B$4)-SUMIFS('هالك وتحويلات'!$E$2:$E$3001,'هالك وتحويلات'!$B$2:$B$3001,$B$2,'هالك وتحويلات'!$C$2:$C$3001,$A64,'هالك وتحويلات'!$D$2:$D$3001,"ضيافة / أكل موظفين",'هالك وتحويلات'!$A$2:$A$3001,'إعدادات المخزون'!$B$4)-SUMPRODUCT('مصفوفة الاستهلاك'!$BG$2:$BG$190,'متجهات المبيعات'!$B$2:$B$190)/'مواد المخزون'!$D$59</f>
        <v>-14.9999</v>
      </c>
      <c r="AA64" s="109" t="n">
        <f aca="false">IF(K64="نعم",O64,0)</f>
        <v>0</v>
      </c>
      <c r="AB64" s="109" t="n">
        <f aca="false">IF(K64="نعم",J64*C64,0)</f>
        <v>0</v>
      </c>
      <c r="AC64" s="109" t="n">
        <f aca="false">IF(T64="",0,T64)</f>
        <v>0</v>
      </c>
    </row>
    <row r="65" customFormat="false" ht="15" hidden="false" customHeight="false" outlineLevel="0" collapsed="false">
      <c r="A65" s="34" t="str">
        <f aca="false">'مواد المخزون'!A60</f>
        <v>علب بيتزا وسط</v>
      </c>
      <c r="B65" s="36" t="str">
        <f aca="false">'مواد المخزون'!B60</f>
        <v>قطعة</v>
      </c>
      <c r="C65" s="109" t="n">
        <f aca="false">'مواد المخزون'!E60</f>
        <v>4.5</v>
      </c>
      <c r="D65" s="110" t="n">
        <f aca="false">'جرد أول المدة'!C63</f>
        <v>1130</v>
      </c>
      <c r="E65" s="110" t="n">
        <f aca="false">SUMIFS('مشتريات يومية'!$D$2:$D$4001,'مشتريات يومية'!$B$2:$B$4001,$B$2,'مشتريات يومية'!$C$2:$C$4001,$A65,'مشتريات يومية'!$A$2:$A$4001,"&gt;="&amp;'إعدادات المخزون'!$B$5,'مشتريات يومية'!$A$2:$A$4001,"&lt;="&amp;'إعدادات المخزون'!$B$4)</f>
        <v>450</v>
      </c>
      <c r="F65" s="110" t="n">
        <f aca="false">SUMIFS('هالك وتحويلات'!$E$2:$E$3001,'هالك وتحويلات'!$B$2:$B$3001,$B$2,'هالك وتحويلات'!$C$2:$C$3001,$A65,'هالك وتحويلات'!$D$2:$D$3001,"تحويل وارد",'هالك وتحويلات'!$A$2:$A$3001,"&gt;="&amp;'إعدادات المخزون'!$B$5,'هالك وتحويلات'!$A$2:$A$3001,"&lt;="&amp;'إعدادات المخزون'!$B$4)</f>
        <v>0</v>
      </c>
      <c r="G65" s="110" t="n">
        <f aca="false">SUMIFS('هالك وتحويلات'!$E$2:$E$3001,'هالك وتحويلات'!$B$2:$B$3001,$B$2,'هالك وتحويلات'!$C$2:$C$3001,$A65,'هالك وتحويلات'!$D$2:$D$3001,"تحويل صادر",'هالك وتحويلات'!$A$2:$A$3001,"&gt;="&amp;'إعدادات المخزون'!$B$5,'هالك وتحويلات'!$A$2:$A$3001,"&lt;="&amp;'إعدادات المخزون'!$B$4)</f>
        <v>0</v>
      </c>
      <c r="H65" s="110" t="n">
        <f aca="false">SUMPRODUCT('مصفوفة الاستهلاك'!$BH$2:$BH$190,'متجهات المبيعات'!$C$2:$C$190)/'مواد المخزون'!$D$60</f>
        <v>1382.9988</v>
      </c>
      <c r="I65" s="110" t="n">
        <f aca="false">SUMIFS('هالك وتحويلات'!$E$2:$E$3001,'هالك وتحويلات'!$B$2:$B$3001,$B$2,'هالك وتحويلات'!$C$2:$C$3001,$A65,'هالك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وتحويلات'!$C$2:$C$3001,$A65,'هالك وتحويلات'!$D$2:$D$3001,"ضيافة / أكل موظفين",'هالك وتحويلات'!$A$2:$A$3001,"&gt;="&amp;'إعدادات المخزون'!$B$5,'هالك وتحويلات'!$A$2:$A$3001,"&lt;="&amp;'إعدادات المخزون'!$B$4)</f>
        <v>0</v>
      </c>
      <c r="J65" s="110" t="n">
        <f aca="false">D65+E65+F65-G65-H65-I65</f>
        <v>197.0012</v>
      </c>
      <c r="K65" s="36" t="str">
        <f aca="false">IF(COUNTIFS('جرد فعلي'!$B$2:$B$12001,$B$2,'جرد فعلي'!$C$2:$C$12001,$A65,'جرد فعلي'!$A$2:$A$12001,'إعدادات المخزون'!$B$4)&gt;0,"نعم","لا")</f>
        <v>لا</v>
      </c>
      <c r="L65" s="111" t="str">
        <f aca="false">IF(K65="نعم",SUMIFS('جرد فعلي'!$D$2:$D$12001,'جرد فعلي'!$B$2:$B$12001,$B$2,'جرد فعلي'!$C$2:$C$12001,$A65,'جرد فعلي'!$A$2:$A$12001,'إعدادات المخزون'!$B$4),"")</f>
        <v/>
      </c>
      <c r="M65" s="110" t="str">
        <f aca="false">IF(K65="نعم",L65-J65,"")</f>
        <v/>
      </c>
      <c r="N65" s="112" t="str">
        <f aca="false">IF(K65="نعم",IF(J65=0,IF(M65=0,0,SIGN(M65)),M65/ABS(J65)),"")</f>
        <v/>
      </c>
      <c r="O65" s="109" t="str">
        <f aca="false">IF(K65="نعم",M65*C65,"")</f>
        <v/>
      </c>
      <c r="P65" s="36" t="str">
        <f aca="false">IF(K65&lt;&gt;"نعم","لم يُجرد",IF(ABS(N65)&lt;='إعدادات المخزون'!$B$7,"مطابق",IF(M65&lt;0,"عجز","زيادة")))</f>
        <v>لم يُجرد</v>
      </c>
      <c r="Q65" s="110" t="n">
        <f aca="false">J65-Z65</f>
        <v>312.2511</v>
      </c>
      <c r="R65" s="110" t="str">
        <f aca="false">IF(COUNTIFS('جرد فعلي'!$B$2:$B$12001,$B$2,'جرد فعلي'!$C$2:$C$12001,$A65,'جرد فعلي'!$A$2:$A$12001,'إعدادات المخزون'!$B$4-1)&gt;0,SUMIFS('جرد فعلي'!$D$2:$D$12001,'جرد فعلي'!$B$2:$B$12001,$B$2,'جرد فعلي'!$C$2:$C$12001,$A65,'جرد فعلي'!$A$2:$A$12001,'إعدادات المخزون'!$B$4-1),"")</f>
        <v/>
      </c>
      <c r="S65" s="110" t="str">
        <f aca="false">IF(AND(K65="نعم",R65&lt;&gt;""),(L65-J65)-(R65-Q65),"")</f>
        <v/>
      </c>
      <c r="T65" s="109" t="str">
        <f aca="false">IF(S65="","",S65*C65)</f>
        <v/>
      </c>
      <c r="U65" s="110" t="n">
        <f aca="false">IF(K65="نعم",L65,J65)</f>
        <v>197.0012</v>
      </c>
      <c r="V65" s="110" t="n">
        <f aca="false">SUMPRODUCT('مصفوفة الاستهلاك'!$BH$2:$BH$190,'متجهات المبيعات'!$D$2:$D$190)/'مواد المخزون'!$D$60/MAX(1,MIN('إعدادات المخزون'!$B$11,'إعدادات المخزون'!$B$4-'إعدادات المخزون'!$B$5+1))</f>
        <v>115.2499</v>
      </c>
      <c r="W65" s="110" t="n">
        <f aca="false">IF(V65&lt;=0,0,ROUNDUP(MAX(0,V65*('إعدادات المخزون'!$B$8+'إعدادات المخزون'!$B$9+'إعدادات المخزون'!$B$10)-MAX(U65,0))/'مواد المخزون'!$F60,0)*'مواد المخزون'!$F60)</f>
        <v>264</v>
      </c>
      <c r="X65" s="109" t="n">
        <f aca="false">IF(AND(K65="نعم",O65&lt;0),-O65+ROW()*0.000000001,0)</f>
        <v>0</v>
      </c>
      <c r="Y65" s="109" t="n">
        <f aca="false">IF(AND(K65="نعم",O65&gt;0),O65+ROW()*0.000000001,0)</f>
        <v>0</v>
      </c>
      <c r="Z65" s="110" t="n">
        <f aca="false">SUMIFS('مشتريات يومية'!$D$2:$D$4001,'مشتريات يومية'!$B$2:$B$4001,$B$2,'مشتريات يومية'!$C$2:$C$4001,$A65,'مشتريات يومية'!$A$2:$A$4001,'إعدادات المخزون'!$B$4)+SUMIFS('هالك وتحويلات'!$E$2:$E$3001,'هالك وتحويلات'!$B$2:$B$3001,$B$2,'هالك وتحويلات'!$C$2:$C$3001,$A65,'هالك وتحويلات'!$D$2:$D$3001,"تحويل وارد",'هالك وتحويلات'!$A$2:$A$3001,'إعدادات المخزون'!$B$4)-SUMIFS('هالك وتحويلات'!$E$2:$E$3001,'هالك وتحويلات'!$B$2:$B$3001,$B$2,'هالك وتحويلات'!$C$2:$C$3001,$A65,'هالك وتحويلات'!$D$2:$D$3001,"تحويل صادر",'هالك وتحويلات'!$A$2:$A$3001,'إعدادات المخزون'!$B$4)-SUMIFS('هالك وتحويلات'!$E$2:$E$3001,'هالك وتحويلات'!$B$2:$B$3001,$B$2,'هالك وتحويلات'!$C$2:$C$3001,$A65,'هالك وتحويلات'!$D$2:$D$3001,"هالك",'هالك وتحويلات'!$A$2:$A$3001,'إعدادات المخزون'!$B$4)-SUMIFS('هالك وتحويلات'!$E$2:$E$3001,'هالك وتحويلات'!$B$2:$B$3001,$B$2,'هالك وتحويلات'!$C$2:$C$3001,$A65,'هالك وتحويلات'!$D$2:$D$3001,"ضيافة / أكل موظفين",'هالك وتحويلات'!$A$2:$A$3001,'إعدادات المخزون'!$B$4)-SUMPRODUCT('مصفوفة الاستهلاك'!$BH$2:$BH$190,'متجهات المبيعات'!$B$2:$B$190)/'مواد المخزون'!$D$60</f>
        <v>-115.2499</v>
      </c>
      <c r="AA65" s="109" t="n">
        <f aca="false">IF(K65="نعم",O65,0)</f>
        <v>0</v>
      </c>
      <c r="AB65" s="109" t="n">
        <f aca="false">IF(K65="نعم",J65*C65,0)</f>
        <v>0</v>
      </c>
      <c r="AC65" s="109" t="n">
        <f aca="false">IF(T65="",0,T65)</f>
        <v>0</v>
      </c>
    </row>
    <row r="66" customFormat="false" ht="15" hidden="false" customHeight="false" outlineLevel="0" collapsed="false">
      <c r="A66" s="34" t="str">
        <f aca="false">'مواد المخزون'!A61</f>
        <v>علبة بطاطس صغير</v>
      </c>
      <c r="B66" s="36" t="str">
        <f aca="false">'مواد المخزون'!B61</f>
        <v>قطعة</v>
      </c>
      <c r="C66" s="109" t="n">
        <f aca="false">'مواد المخزون'!E61</f>
        <v>1.7</v>
      </c>
      <c r="D66" s="110" t="n">
        <f aca="false">'جرد أول المدة'!C64</f>
        <v>13</v>
      </c>
      <c r="E66" s="110" t="n">
        <f aca="false">SUMIFS('مشتريات يومية'!$D$2:$D$4001,'مشتريات يومية'!$B$2:$B$4001,$B$2,'مشتريات يومية'!$C$2:$C$4001,$A66,'مشتريات يومية'!$A$2:$A$4001,"&gt;="&amp;'إعدادات المخزون'!$B$5,'مشتريات يومية'!$A$2:$A$4001,"&lt;="&amp;'إعدادات المخزون'!$B$4)</f>
        <v>50</v>
      </c>
      <c r="F66" s="110" t="n">
        <f aca="false">SUMIFS('هالك وتحويلات'!$E$2:$E$3001,'هالك وتحويلات'!$B$2:$B$3001,$B$2,'هالك وتحويلات'!$C$2:$C$3001,$A66,'هالك وتحويلات'!$D$2:$D$3001,"تحويل وارد",'هالك وتحويلات'!$A$2:$A$3001,"&gt;="&amp;'إعدادات المخزون'!$B$5,'هالك وتحويلات'!$A$2:$A$3001,"&lt;="&amp;'إعدادات المخزون'!$B$4)</f>
        <v>0</v>
      </c>
      <c r="G66" s="110" t="n">
        <f aca="false">SUMIFS('هالك وتحويلات'!$E$2:$E$3001,'هالك وتحويلات'!$B$2:$B$3001,$B$2,'هالك وتحويلات'!$C$2:$C$3001,$A66,'هالك وتحويلات'!$D$2:$D$3001,"تحويل صادر",'هالك وتحويلات'!$A$2:$A$3001,"&gt;="&amp;'إعدادات المخزون'!$B$5,'هالك وتحويلات'!$A$2:$A$3001,"&lt;="&amp;'إعدادات المخزون'!$B$4)</f>
        <v>0</v>
      </c>
      <c r="H66" s="110" t="n">
        <f aca="false">SUMPRODUCT('مصفوفة الاستهلاك'!$BI$2:$BI$190,'متجهات المبيعات'!$C$2:$C$190)/'مواد المخزون'!$D$61</f>
        <v>8.0004</v>
      </c>
      <c r="I66" s="110" t="n">
        <f aca="false">SUMIFS('هالك وتحويلات'!$E$2:$E$3001,'هالك وتحويلات'!$B$2:$B$3001,$B$2,'هالك وتحويلات'!$C$2:$C$3001,$A66,'هالك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وتحويلات'!$C$2:$C$3001,$A66,'هالك وتحويلات'!$D$2:$D$3001,"ضيافة / أكل موظفين",'هالك وتحويلات'!$A$2:$A$3001,"&gt;="&amp;'إعدادات المخزون'!$B$5,'هالك وتحويلات'!$A$2:$A$3001,"&lt;="&amp;'إعدادات المخزون'!$B$4)</f>
        <v>0</v>
      </c>
      <c r="J66" s="110" t="n">
        <f aca="false">D66+E66+F66-G66-H66-I66</f>
        <v>54.9996</v>
      </c>
      <c r="K66" s="36" t="str">
        <f aca="false">IF(COUNTIFS('جرد فعلي'!$B$2:$B$12001,$B$2,'جرد فعلي'!$C$2:$C$12001,$A66,'جرد فعلي'!$A$2:$A$12001,'إعدادات المخزون'!$B$4)&gt;0,"نعم","لا")</f>
        <v>لا</v>
      </c>
      <c r="L66" s="111" t="str">
        <f aca="false">IF(K66="نعم",SUMIFS('جرد فعلي'!$D$2:$D$12001,'جرد فعلي'!$B$2:$B$12001,$B$2,'جرد فعلي'!$C$2:$C$12001,$A66,'جرد فعلي'!$A$2:$A$12001,'إعدادات المخزون'!$B$4),"")</f>
        <v/>
      </c>
      <c r="M66" s="110" t="str">
        <f aca="false">IF(K66="نعم",L66-J66,"")</f>
        <v/>
      </c>
      <c r="N66" s="112" t="str">
        <f aca="false">IF(K66="نعم",IF(J66=0,IF(M66=0,0,SIGN(M66)),M66/ABS(J66)),"")</f>
        <v/>
      </c>
      <c r="O66" s="109" t="str">
        <f aca="false">IF(K66="نعم",M66*C66,"")</f>
        <v/>
      </c>
      <c r="P66" s="36" t="str">
        <f aca="false">IF(K66&lt;&gt;"نعم","لم يُجرد",IF(ABS(N66)&lt;='إعدادات المخزون'!$B$7,"مطابق",IF(M66&lt;0,"عجز","زيادة")))</f>
        <v>لم يُجرد</v>
      </c>
      <c r="Q66" s="110" t="n">
        <f aca="false">J66-Z66</f>
        <v>55.6663</v>
      </c>
      <c r="R66" s="110" t="str">
        <f aca="false">IF(COUNTIFS('جرد فعلي'!$B$2:$B$12001,$B$2,'جرد فعلي'!$C$2:$C$12001,$A66,'جرد فعلي'!$A$2:$A$12001,'إعدادات المخزون'!$B$4-1)&gt;0,SUMIFS('جرد فعلي'!$D$2:$D$12001,'جرد فعلي'!$B$2:$B$12001,$B$2,'جرد فعلي'!$C$2:$C$12001,$A66,'جرد فعلي'!$A$2:$A$12001,'إعدادات المخزون'!$B$4-1),"")</f>
        <v/>
      </c>
      <c r="S66" s="110" t="str">
        <f aca="false">IF(AND(K66="نعم",R66&lt;&gt;""),(L66-J66)-(R66-Q66),"")</f>
        <v/>
      </c>
      <c r="T66" s="109" t="str">
        <f aca="false">IF(S66="","",S66*C66)</f>
        <v/>
      </c>
      <c r="U66" s="110" t="n">
        <f aca="false">IF(K66="نعم",L66,J66)</f>
        <v>54.9996</v>
      </c>
      <c r="V66" s="110" t="n">
        <f aca="false">SUMPRODUCT('مصفوفة الاستهلاك'!$BI$2:$BI$190,'متجهات المبيعات'!$D$2:$D$190)/'مواد المخزون'!$D$61/MAX(1,MIN('إعدادات المخزون'!$B$11,'إعدادات المخزون'!$B$4-'إعدادات المخزون'!$B$5+1))</f>
        <v>0.6667</v>
      </c>
      <c r="W66" s="110" t="n">
        <f aca="false">IF(V66&lt;=0,0,ROUNDUP(MAX(0,V66*('إعدادات المخزون'!$B$8+'إعدادات المخزون'!$B$9+'إعدادات المخزون'!$B$10)-MAX(U66,0))/'مواد المخزون'!$F61,0)*'مواد المخزون'!$F61)</f>
        <v>0</v>
      </c>
      <c r="X66" s="109" t="n">
        <f aca="false">IF(AND(K66="نعم",O66&lt;0),-O66+ROW()*0.000000001,0)</f>
        <v>0</v>
      </c>
      <c r="Y66" s="109" t="n">
        <f aca="false">IF(AND(K66="نعم",O66&gt;0),O66+ROW()*0.000000001,0)</f>
        <v>0</v>
      </c>
      <c r="Z66" s="110" t="n">
        <f aca="false">SUMIFS('مشتريات يومية'!$D$2:$D$4001,'مشتريات يومية'!$B$2:$B$4001,$B$2,'مشتريات يومية'!$C$2:$C$4001,$A66,'مشتريات يومية'!$A$2:$A$4001,'إعدادات المخزون'!$B$4)+SUMIFS('هالك وتحويلات'!$E$2:$E$3001,'هالك وتحويلات'!$B$2:$B$3001,$B$2,'هالك وتحويلات'!$C$2:$C$3001,$A66,'هالك وتحويلات'!$D$2:$D$3001,"تحويل وارد",'هالك وتحويلات'!$A$2:$A$3001,'إعدادات المخزون'!$B$4)-SUMIFS('هالك وتحويلات'!$E$2:$E$3001,'هالك وتحويلات'!$B$2:$B$3001,$B$2,'هالك وتحويلات'!$C$2:$C$3001,$A66,'هالك وتحويلات'!$D$2:$D$3001,"تحويل صادر",'هالك وتحويلات'!$A$2:$A$3001,'إعدادات المخزون'!$B$4)-SUMIFS('هالك وتحويلات'!$E$2:$E$3001,'هالك وتحويلات'!$B$2:$B$3001,$B$2,'هالك وتحويلات'!$C$2:$C$3001,$A66,'هالك وتحويلات'!$D$2:$D$3001,"هالك",'هالك وتحويلات'!$A$2:$A$3001,'إعدادات المخزون'!$B$4)-SUMIFS('هالك وتحويلات'!$E$2:$E$3001,'هالك وتحويلات'!$B$2:$B$3001,$B$2,'هالك وتحويلات'!$C$2:$C$3001,$A66,'هالك وتحويلات'!$D$2:$D$3001,"ضيافة / أكل موظفين",'هالك وتحويلات'!$A$2:$A$3001,'إعدادات المخزون'!$B$4)-SUMPRODUCT('مصفوفة الاستهلاك'!$BI$2:$BI$190,'متجهات المبيعات'!$B$2:$B$190)/'مواد المخزون'!$D$61</f>
        <v>-0.6667</v>
      </c>
      <c r="AA66" s="109" t="n">
        <f aca="false">IF(K66="نعم",O66,0)</f>
        <v>0</v>
      </c>
      <c r="AB66" s="109" t="n">
        <f aca="false">IF(K66="نعم",J66*C66,0)</f>
        <v>0</v>
      </c>
      <c r="AC66" s="109" t="n">
        <f aca="false">IF(T66="",0,T66)</f>
        <v>0</v>
      </c>
    </row>
    <row r="67" customFormat="false" ht="15" hidden="false" customHeight="false" outlineLevel="0" collapsed="false">
      <c r="A67" s="34" t="str">
        <f aca="false">'مواد المخزون'!A62</f>
        <v>علبة بطاطس كبير</v>
      </c>
      <c r="B67" s="36" t="str">
        <f aca="false">'مواد المخزون'!B62</f>
        <v>قطعة</v>
      </c>
      <c r="C67" s="109" t="n">
        <f aca="false">'مواد المخزون'!E62</f>
        <v>2</v>
      </c>
      <c r="D67" s="110" t="n">
        <f aca="false">'جرد أول المدة'!C65</f>
        <v>10</v>
      </c>
      <c r="E67" s="110" t="n">
        <f aca="false">SUMIFS('مشتريات يومية'!$D$2:$D$4001,'مشتريات يومية'!$B$2:$B$4001,$B$2,'مشتريات يومية'!$C$2:$C$4001,$A67,'مشتريات يومية'!$A$2:$A$4001,"&gt;="&amp;'إعدادات المخزون'!$B$5,'مشتريات يومية'!$A$2:$A$4001,"&lt;="&amp;'إعدادات المخزون'!$B$4)</f>
        <v>50</v>
      </c>
      <c r="F67" s="110" t="n">
        <f aca="false">SUMIFS('هالك وتحويلات'!$E$2:$E$3001,'هالك وتحويلات'!$B$2:$B$3001,$B$2,'هالك وتحويلات'!$C$2:$C$3001,$A67,'هالك وتحويلات'!$D$2:$D$3001,"تحويل وارد",'هالك وتحويلات'!$A$2:$A$3001,"&gt;="&amp;'إعدادات المخزون'!$B$5,'هالك وتحويلات'!$A$2:$A$3001,"&lt;="&amp;'إعدادات المخزون'!$B$4)</f>
        <v>0</v>
      </c>
      <c r="G67" s="110" t="n">
        <f aca="false">SUMIFS('هالك وتحويلات'!$E$2:$E$3001,'هالك وتحويلات'!$B$2:$B$3001,$B$2,'هالك وتحويلات'!$C$2:$C$3001,$A67,'هالك وتحويلات'!$D$2:$D$3001,"تحويل صادر",'هالك وتحويلات'!$A$2:$A$3001,"&gt;="&amp;'إعدادات المخزون'!$B$5,'هالك وتحويلات'!$A$2:$A$3001,"&lt;="&amp;'إعدادات المخزون'!$B$4)</f>
        <v>0</v>
      </c>
      <c r="H67" s="110" t="n">
        <f aca="false">SUMPRODUCT('مصفوفة الاستهلاك'!$BJ$2:$BJ$190,'متجهات المبيعات'!$C$2:$C$190)/'مواد المخزون'!$D$62</f>
        <v>8.0004</v>
      </c>
      <c r="I67" s="110" t="n">
        <f aca="false">SUMIFS('هالك وتحويلات'!$E$2:$E$3001,'هالك وتحويلات'!$B$2:$B$3001,$B$2,'هالك وتحويلات'!$C$2:$C$3001,$A67,'هالك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وتحويلات'!$C$2:$C$3001,$A67,'هالك وتحويلات'!$D$2:$D$3001,"ضيافة / أكل موظفين",'هالك وتحويلات'!$A$2:$A$3001,"&gt;="&amp;'إعدادات المخزون'!$B$5,'هالك وتحويلات'!$A$2:$A$3001,"&lt;="&amp;'إعدادات المخزون'!$B$4)</f>
        <v>0</v>
      </c>
      <c r="J67" s="110" t="n">
        <f aca="false">D67+E67+F67-G67-H67-I67</f>
        <v>51.9996</v>
      </c>
      <c r="K67" s="36" t="str">
        <f aca="false">IF(COUNTIFS('جرد فعلي'!$B$2:$B$12001,$B$2,'جرد فعلي'!$C$2:$C$12001,$A67,'جرد فعلي'!$A$2:$A$12001,'إعدادات المخزون'!$B$4)&gt;0,"نعم","لا")</f>
        <v>لا</v>
      </c>
      <c r="L67" s="111" t="str">
        <f aca="false">IF(K67="نعم",SUMIFS('جرد فعلي'!$D$2:$D$12001,'جرد فعلي'!$B$2:$B$12001,$B$2,'جرد فعلي'!$C$2:$C$12001,$A67,'جرد فعلي'!$A$2:$A$12001,'إعدادات المخزون'!$B$4),"")</f>
        <v/>
      </c>
      <c r="M67" s="110" t="str">
        <f aca="false">IF(K67="نعم",L67-J67,"")</f>
        <v/>
      </c>
      <c r="N67" s="112" t="str">
        <f aca="false">IF(K67="نعم",IF(J67=0,IF(M67=0,0,SIGN(M67)),M67/ABS(J67)),"")</f>
        <v/>
      </c>
      <c r="O67" s="109" t="str">
        <f aca="false">IF(K67="نعم",M67*C67,"")</f>
        <v/>
      </c>
      <c r="P67" s="36" t="str">
        <f aca="false">IF(K67&lt;&gt;"نعم","لم يُجرد",IF(ABS(N67)&lt;='إعدادات المخزون'!$B$7,"مطابق",IF(M67&lt;0,"عجز","زيادة")))</f>
        <v>لم يُجرد</v>
      </c>
      <c r="Q67" s="110" t="n">
        <f aca="false">J67-Z67</f>
        <v>52.6663</v>
      </c>
      <c r="R67" s="110" t="str">
        <f aca="false">IF(COUNTIFS('جرد فعلي'!$B$2:$B$12001,$B$2,'جرد فعلي'!$C$2:$C$12001,$A67,'جرد فعلي'!$A$2:$A$12001,'إعدادات المخزون'!$B$4-1)&gt;0,SUMIFS('جرد فعلي'!$D$2:$D$12001,'جرد فعلي'!$B$2:$B$12001,$B$2,'جرد فعلي'!$C$2:$C$12001,$A67,'جرد فعلي'!$A$2:$A$12001,'إعدادات المخزون'!$B$4-1),"")</f>
        <v/>
      </c>
      <c r="S67" s="110" t="str">
        <f aca="false">IF(AND(K67="نعم",R67&lt;&gt;""),(L67-J67)-(R67-Q67),"")</f>
        <v/>
      </c>
      <c r="T67" s="109" t="str">
        <f aca="false">IF(S67="","",S67*C67)</f>
        <v/>
      </c>
      <c r="U67" s="110" t="n">
        <f aca="false">IF(K67="نعم",L67,J67)</f>
        <v>51.9996</v>
      </c>
      <c r="V67" s="110" t="n">
        <f aca="false">SUMPRODUCT('مصفوفة الاستهلاك'!$BJ$2:$BJ$190,'متجهات المبيعات'!$D$2:$D$190)/'مواد المخزون'!$D$62/MAX(1,MIN('إعدادات المخزون'!$B$11,'إعدادات المخزون'!$B$4-'إعدادات المخزون'!$B$5+1))</f>
        <v>0.6667</v>
      </c>
      <c r="W67" s="110" t="n">
        <f aca="false">IF(V67&lt;=0,0,ROUNDUP(MAX(0,V67*('إعدادات المخزون'!$B$8+'إعدادات المخزون'!$B$9+'إعدادات المخزون'!$B$10)-MAX(U67,0))/'مواد المخزون'!$F62,0)*'مواد المخزون'!$F62)</f>
        <v>0</v>
      </c>
      <c r="X67" s="109" t="n">
        <f aca="false">IF(AND(K67="نعم",O67&lt;0),-O67+ROW()*0.000000001,0)</f>
        <v>0</v>
      </c>
      <c r="Y67" s="109" t="n">
        <f aca="false">IF(AND(K67="نعم",O67&gt;0),O67+ROW()*0.000000001,0)</f>
        <v>0</v>
      </c>
      <c r="Z67" s="110" t="n">
        <f aca="false">SUMIFS('مشتريات يومية'!$D$2:$D$4001,'مشتريات يومية'!$B$2:$B$4001,$B$2,'مشتريات يومية'!$C$2:$C$4001,$A67,'مشتريات يومية'!$A$2:$A$4001,'إعدادات المخزون'!$B$4)+SUMIFS('هالك وتحويلات'!$E$2:$E$3001,'هالك وتحويلات'!$B$2:$B$3001,$B$2,'هالك وتحويلات'!$C$2:$C$3001,$A67,'هالك وتحويلات'!$D$2:$D$3001,"تحويل وارد",'هالك وتحويلات'!$A$2:$A$3001,'إعدادات المخزون'!$B$4)-SUMIFS('هالك وتحويلات'!$E$2:$E$3001,'هالك وتحويلات'!$B$2:$B$3001,$B$2,'هالك وتحويلات'!$C$2:$C$3001,$A67,'هالك وتحويلات'!$D$2:$D$3001,"تحويل صادر",'هالك وتحويلات'!$A$2:$A$3001,'إعدادات المخزون'!$B$4)-SUMIFS('هالك وتحويلات'!$E$2:$E$3001,'هالك وتحويلات'!$B$2:$B$3001,$B$2,'هالك وتحويلات'!$C$2:$C$3001,$A67,'هالك وتحويلات'!$D$2:$D$3001,"هالك",'هالك وتحويلات'!$A$2:$A$3001,'إعدادات المخزون'!$B$4)-SUMIFS('هالك وتحويلات'!$E$2:$E$3001,'هالك وتحويلات'!$B$2:$B$3001,$B$2,'هالك وتحويلات'!$C$2:$C$3001,$A67,'هالك وتحويلات'!$D$2:$D$3001,"ضيافة / أكل موظفين",'هالك وتحويلات'!$A$2:$A$3001,'إعدادات المخزون'!$B$4)-SUMPRODUCT('مصفوفة الاستهلاك'!$BJ$2:$BJ$190,'متجهات المبيعات'!$B$2:$B$190)/'مواد المخزون'!$D$62</f>
        <v>-0.6667</v>
      </c>
      <c r="AA67" s="109" t="n">
        <f aca="false">IF(K67="نعم",O67,0)</f>
        <v>0</v>
      </c>
      <c r="AB67" s="109" t="n">
        <f aca="false">IF(K67="نعم",J67*C67,0)</f>
        <v>0</v>
      </c>
      <c r="AC67" s="109" t="n">
        <f aca="false">IF(T67="",0,T67)</f>
        <v>0</v>
      </c>
    </row>
    <row r="68" customFormat="false" ht="15" hidden="false" customHeight="false" outlineLevel="0" collapsed="false">
      <c r="A68" s="34" t="str">
        <f aca="false">'مواد المخزون'!A63</f>
        <v>علبة بلاستيك وجبات</v>
      </c>
      <c r="B68" s="36" t="str">
        <f aca="false">'مواد المخزون'!B63</f>
        <v>قطعة</v>
      </c>
      <c r="C68" s="109" t="n">
        <f aca="false">'مواد المخزون'!E63</f>
        <v>3.1</v>
      </c>
      <c r="D68" s="110" t="n">
        <f aca="false">'جرد أول المدة'!C66</f>
        <v>0</v>
      </c>
      <c r="E68" s="110" t="n">
        <f aca="false">SUMIFS('مشتريات يومية'!$D$2:$D$4001,'مشتريات يومية'!$B$2:$B$4001,$B$2,'مشتريات يومية'!$C$2:$C$4001,$A68,'مشتريات يومية'!$A$2:$A$4001,"&gt;="&amp;'إعدادات المخزون'!$B$5,'مشتريات يومية'!$A$2:$A$4001,"&lt;="&amp;'إعدادات المخزون'!$B$4)</f>
        <v>100</v>
      </c>
      <c r="F68" s="110" t="n">
        <f aca="false">SUMIFS('هالك وتحويلات'!$E$2:$E$3001,'هالك وتحويلات'!$B$2:$B$3001,$B$2,'هالك وتحويلات'!$C$2:$C$3001,$A68,'هالك وتحويلات'!$D$2:$D$3001,"تحويل وارد",'هالك وتحويلات'!$A$2:$A$3001,"&gt;="&amp;'إعدادات المخزون'!$B$5,'هالك وتحويلات'!$A$2:$A$3001,"&lt;="&amp;'إعدادات المخزون'!$B$4)</f>
        <v>0</v>
      </c>
      <c r="G68" s="110" t="n">
        <f aca="false">SUMIFS('هالك وتحويلات'!$E$2:$E$3001,'هالك وتحويلات'!$B$2:$B$3001,$B$2,'هالك وتحويلات'!$C$2:$C$3001,$A68,'هالك وتحويلات'!$D$2:$D$3001,"تحويل صادر",'هالك وتحويلات'!$A$2:$A$3001,"&gt;="&amp;'إعدادات المخزون'!$B$5,'هالك وتحويلات'!$A$2:$A$3001,"&lt;="&amp;'إعدادات المخزون'!$B$4)</f>
        <v>0</v>
      </c>
      <c r="H68" s="110" t="n">
        <f aca="false">SUMPRODUCT('مصفوفة الاستهلاك'!$BK$2:$BK$190,'متجهات المبيعات'!$C$2:$C$190)/'مواد المخزون'!$D$63</f>
        <v>167.5008</v>
      </c>
      <c r="I68" s="110" t="n">
        <f aca="false">SUMIFS('هالك وتحويلات'!$E$2:$E$3001,'هالك وتحويلات'!$B$2:$B$3001,$B$2,'هالك وتحويلات'!$C$2:$C$3001,$A68,'هالك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وتحويلات'!$C$2:$C$3001,$A68,'هالك وتحويلات'!$D$2:$D$3001,"ضيافة / أكل موظفين",'هالك وتحويلات'!$A$2:$A$3001,"&gt;="&amp;'إعدادات المخزون'!$B$5,'هالك وتحويلات'!$A$2:$A$3001,"&lt;="&amp;'إعدادات المخزون'!$B$4)</f>
        <v>0</v>
      </c>
      <c r="J68" s="110" t="n">
        <f aca="false">D68+E68+F68-G68-H68-I68</f>
        <v>-67.5008</v>
      </c>
      <c r="K68" s="36" t="str">
        <f aca="false">IF(COUNTIFS('جرد فعلي'!$B$2:$B$12001,$B$2,'جرد فعلي'!$C$2:$C$12001,$A68,'جرد فعلي'!$A$2:$A$12001,'إعدادات المخزون'!$B$4)&gt;0,"نعم","لا")</f>
        <v>لا</v>
      </c>
      <c r="L68" s="111" t="str">
        <f aca="false">IF(K68="نعم",SUMIFS('جرد فعلي'!$D$2:$D$12001,'جرد فعلي'!$B$2:$B$12001,$B$2,'جرد فعلي'!$C$2:$C$12001,$A68,'جرد فعلي'!$A$2:$A$12001,'إعدادات المخزون'!$B$4),"")</f>
        <v/>
      </c>
      <c r="M68" s="110" t="str">
        <f aca="false">IF(K68="نعم",L68-J68,"")</f>
        <v/>
      </c>
      <c r="N68" s="112" t="str">
        <f aca="false">IF(K68="نعم",IF(J68=0,IF(M68=0,0,SIGN(M68)),M68/ABS(J68)),"")</f>
        <v/>
      </c>
      <c r="O68" s="109" t="str">
        <f aca="false">IF(K68="نعم",M68*C68,"")</f>
        <v/>
      </c>
      <c r="P68" s="36" t="str">
        <f aca="false">IF(K68&lt;&gt;"نعم","لم يُجرد",IF(ABS(N68)&lt;='إعدادات المخزون'!$B$7,"مطابق",IF(M68&lt;0,"عجز","زيادة")))</f>
        <v>لم يُجرد</v>
      </c>
      <c r="Q68" s="110" t="n">
        <f aca="false">J68-Z68</f>
        <v>-53.5424</v>
      </c>
      <c r="R68" s="110" t="str">
        <f aca="false">IF(COUNTIFS('جرد فعلي'!$B$2:$B$12001,$B$2,'جرد فعلي'!$C$2:$C$12001,$A68,'جرد فعلي'!$A$2:$A$12001,'إعدادات المخزون'!$B$4-1)&gt;0,SUMIFS('جرد فعلي'!$D$2:$D$12001,'جرد فعلي'!$B$2:$B$12001,$B$2,'جرد فعلي'!$C$2:$C$12001,$A68,'جرد فعلي'!$A$2:$A$12001,'إعدادات المخزون'!$B$4-1),"")</f>
        <v/>
      </c>
      <c r="S68" s="110" t="str">
        <f aca="false">IF(AND(K68="نعم",R68&lt;&gt;""),(L68-J68)-(R68-Q68),"")</f>
        <v/>
      </c>
      <c r="T68" s="109" t="str">
        <f aca="false">IF(S68="","",S68*C68)</f>
        <v/>
      </c>
      <c r="U68" s="110" t="n">
        <f aca="false">IF(K68="نعم",L68,J68)</f>
        <v>-67.5008</v>
      </c>
      <c r="V68" s="110" t="n">
        <f aca="false">SUMPRODUCT('مصفوفة الاستهلاك'!$BK$2:$BK$190,'متجهات المبيعات'!$D$2:$D$190)/'مواد المخزون'!$D$63/MAX(1,MIN('إعدادات المخزون'!$B$11,'إعدادات المخزون'!$B$4-'إعدادات المخزون'!$B$5+1))</f>
        <v>13.9584</v>
      </c>
      <c r="W68" s="110" t="n">
        <f aca="false">IF(V68&lt;=0,0,ROUNDUP(MAX(0,V68*('إعدادات المخزون'!$B$8+'إعدادات المخزون'!$B$9+'إعدادات المخزون'!$B$10)-MAX(U68,0))/'مواد المخزون'!$F63,0)*'مواد المخزون'!$F63)</f>
        <v>56</v>
      </c>
      <c r="X68" s="109" t="n">
        <f aca="false">IF(AND(K68="نعم",O68&lt;0),-O68+ROW()*0.000000001,0)</f>
        <v>0</v>
      </c>
      <c r="Y68" s="109" t="n">
        <f aca="false">IF(AND(K68="نعم",O68&gt;0),O68+ROW()*0.000000001,0)</f>
        <v>0</v>
      </c>
      <c r="Z68" s="110" t="n">
        <f aca="false">SUMIFS('مشتريات يومية'!$D$2:$D$4001,'مشتريات يومية'!$B$2:$B$4001,$B$2,'مشتريات يومية'!$C$2:$C$4001,$A68,'مشتريات يومية'!$A$2:$A$4001,'إعدادات المخزون'!$B$4)+SUMIFS('هالك وتحويلات'!$E$2:$E$3001,'هالك وتحويلات'!$B$2:$B$3001,$B$2,'هالك وتحويلات'!$C$2:$C$3001,$A68,'هالك وتحويلات'!$D$2:$D$3001,"تحويل وارد",'هالك وتحويلات'!$A$2:$A$3001,'إعدادات المخزون'!$B$4)-SUMIFS('هالك وتحويلات'!$E$2:$E$3001,'هالك وتحويلات'!$B$2:$B$3001,$B$2,'هالك وتحويلات'!$C$2:$C$3001,$A68,'هالك وتحويلات'!$D$2:$D$3001,"تحويل صادر",'هالك وتحويلات'!$A$2:$A$3001,'إعدادات المخزون'!$B$4)-SUMIFS('هالك وتحويلات'!$E$2:$E$3001,'هالك وتحويلات'!$B$2:$B$3001,$B$2,'هالك وتحويلات'!$C$2:$C$3001,$A68,'هالك وتحويلات'!$D$2:$D$3001,"هالك",'هالك وتحويلات'!$A$2:$A$3001,'إعدادات المخزون'!$B$4)-SUMIFS('هالك وتحويلات'!$E$2:$E$3001,'هالك وتحويلات'!$B$2:$B$3001,$B$2,'هالك وتحويلات'!$C$2:$C$3001,$A68,'هالك وتحويلات'!$D$2:$D$3001,"ضيافة / أكل موظفين",'هالك وتحويلات'!$A$2:$A$3001,'إعدادات المخزون'!$B$4)-SUMPRODUCT('مصفوفة الاستهلاك'!$BK$2:$BK$190,'متجهات المبيعات'!$B$2:$B$190)/'مواد المخزون'!$D$63</f>
        <v>-13.9584</v>
      </c>
      <c r="AA68" s="109" t="n">
        <f aca="false">IF(K68="نعم",O68,0)</f>
        <v>0</v>
      </c>
      <c r="AB68" s="109" t="n">
        <f aca="false">IF(K68="نعم",J68*C68,0)</f>
        <v>0</v>
      </c>
      <c r="AC68" s="109" t="n">
        <f aca="false">IF(T68="",0,T68)</f>
        <v>0</v>
      </c>
    </row>
    <row r="69" customFormat="false" ht="15" hidden="false" customHeight="false" outlineLevel="0" collapsed="false">
      <c r="A69" s="34" t="str">
        <f aca="false">'مواد المخزون'!A64</f>
        <v>علبة تونة صغير</v>
      </c>
      <c r="B69" s="36" t="str">
        <f aca="false">'مواد المخزون'!B64</f>
        <v>قطعة</v>
      </c>
      <c r="C69" s="109" t="n">
        <f aca="false">'مواد المخزون'!E64</f>
        <v>42.03</v>
      </c>
      <c r="D69" s="110" t="n">
        <f aca="false">'جرد أول المدة'!C67</f>
        <v>4</v>
      </c>
      <c r="E69" s="110" t="n">
        <f aca="false">SUMIFS('مشتريات يومية'!$D$2:$D$4001,'مشتريات يومية'!$B$2:$B$4001,$B$2,'مشتريات يومية'!$C$2:$C$4001,$A69,'مشتريات يومية'!$A$2:$A$4001,"&gt;="&amp;'إعدادات المخزون'!$B$5,'مشتريات يومية'!$A$2:$A$4001,"&lt;="&amp;'إعدادات المخزون'!$B$4)</f>
        <v>0</v>
      </c>
      <c r="F69" s="110" t="n">
        <f aca="false">SUMIFS('هالك وتحويلات'!$E$2:$E$3001,'هالك وتحويلات'!$B$2:$B$3001,$B$2,'هالك وتحويلات'!$C$2:$C$3001,$A69,'هالك وتحويلات'!$D$2:$D$3001,"تحويل وارد",'هالك وتحويلات'!$A$2:$A$3001,"&gt;="&amp;'إعدادات المخزون'!$B$5,'هالك وتحويلات'!$A$2:$A$3001,"&lt;="&amp;'إعدادات المخزون'!$B$4)</f>
        <v>0</v>
      </c>
      <c r="G69" s="110" t="n">
        <f aca="false">SUMIFS('هالك وتحويلات'!$E$2:$E$3001,'هالك وتحويلات'!$B$2:$B$3001,$B$2,'هالك وتحويلات'!$C$2:$C$3001,$A69,'هالك وتحويلات'!$D$2:$D$3001,"تحويل صادر",'هالك وتحويلات'!$A$2:$A$3001,"&gt;="&amp;'إعدادات المخزون'!$B$5,'هالك وتحويلات'!$A$2:$A$3001,"&lt;="&amp;'إعدادات المخزون'!$B$4)</f>
        <v>0</v>
      </c>
      <c r="H69" s="110" t="n">
        <f aca="false">SUMPRODUCT('مصفوفة الاستهلاك'!$BL$2:$BL$190,'متجهات المبيعات'!$C$2:$C$190)/'مواد المخزون'!$D$64</f>
        <v>0</v>
      </c>
      <c r="I69" s="110" t="n">
        <f aca="false">SUMIFS('هالك وتحويلات'!$E$2:$E$3001,'هالك وتحويلات'!$B$2:$B$3001,$B$2,'هالك وتحويلات'!$C$2:$C$3001,$A69,'هالك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وتحويلات'!$C$2:$C$3001,$A69,'هالك وتحويلات'!$D$2:$D$3001,"ضيافة / أكل موظفين",'هالك وتحويلات'!$A$2:$A$3001,"&gt;="&amp;'إعدادات المخزون'!$B$5,'هالك وتحويلات'!$A$2:$A$3001,"&lt;="&amp;'إعدادات المخزون'!$B$4)</f>
        <v>0</v>
      </c>
      <c r="J69" s="110" t="n">
        <f aca="false">D69+E69+F69-G69-H69-I69</f>
        <v>4</v>
      </c>
      <c r="K69" s="36" t="str">
        <f aca="false">IF(COUNTIFS('جرد فعلي'!$B$2:$B$12001,$B$2,'جرد فعلي'!$C$2:$C$12001,$A69,'جرد فعلي'!$A$2:$A$12001,'إعدادات المخزون'!$B$4)&gt;0,"نعم","لا")</f>
        <v>لا</v>
      </c>
      <c r="L69" s="111" t="str">
        <f aca="false">IF(K69="نعم",SUMIFS('جرد فعلي'!$D$2:$D$12001,'جرد فعلي'!$B$2:$B$12001,$B$2,'جرد فعلي'!$C$2:$C$12001,$A69,'جرد فعلي'!$A$2:$A$12001,'إعدادات المخزون'!$B$4),"")</f>
        <v/>
      </c>
      <c r="M69" s="110" t="str">
        <f aca="false">IF(K69="نعم",L69-J69,"")</f>
        <v/>
      </c>
      <c r="N69" s="112" t="str">
        <f aca="false">IF(K69="نعم",IF(J69=0,IF(M69=0,0,SIGN(M69)),M69/ABS(J69)),"")</f>
        <v/>
      </c>
      <c r="O69" s="109" t="str">
        <f aca="false">IF(K69="نعم",M69*C69,"")</f>
        <v/>
      </c>
      <c r="P69" s="36" t="str">
        <f aca="false">IF(K69&lt;&gt;"نعم","لم يُجرد",IF(ABS(N69)&lt;='إعدادات المخزون'!$B$7,"مطابق",IF(M69&lt;0,"عجز","زيادة")))</f>
        <v>لم يُجرد</v>
      </c>
      <c r="Q69" s="110" t="n">
        <f aca="false">J69-Z69</f>
        <v>4</v>
      </c>
      <c r="R69" s="110" t="str">
        <f aca="false">IF(COUNTIFS('جرد فعلي'!$B$2:$B$12001,$B$2,'جرد فعلي'!$C$2:$C$12001,$A69,'جرد فعلي'!$A$2:$A$12001,'إعدادات المخزون'!$B$4-1)&gt;0,SUMIFS('جرد فعلي'!$D$2:$D$12001,'جرد فعلي'!$B$2:$B$12001,$B$2,'جرد فعلي'!$C$2:$C$12001,$A69,'جرد فعلي'!$A$2:$A$12001,'إعدادات المخزون'!$B$4-1),"")</f>
        <v/>
      </c>
      <c r="S69" s="110" t="str">
        <f aca="false">IF(AND(K69="نعم",R69&lt;&gt;""),(L69-J69)-(R69-Q69),"")</f>
        <v/>
      </c>
      <c r="T69" s="109" t="str">
        <f aca="false">IF(S69="","",S69*C69)</f>
        <v/>
      </c>
      <c r="U69" s="110" t="n">
        <f aca="false">IF(K69="نعم",L69,J69)</f>
        <v>4</v>
      </c>
      <c r="V69" s="110" t="n">
        <f aca="false">SUMPRODUCT('مصفوفة الاستهلاك'!$BL$2:$BL$190,'متجهات المبيعات'!$D$2:$D$190)/'مواد المخزون'!$D$64/MAX(1,MIN('إعدادات المخزون'!$B$11,'إعدادات المخزون'!$B$4-'إعدادات المخزون'!$B$5+1))</f>
        <v>0</v>
      </c>
      <c r="W69" s="110" t="n">
        <f aca="false">IF(V69&lt;=0,0,ROUNDUP(MAX(0,V69*('إعدادات المخزون'!$B$8+'إعدادات المخزون'!$B$9+'إعدادات المخزون'!$B$10)-MAX(U69,0))/'مواد المخزون'!$F64,0)*'مواد المخزون'!$F64)</f>
        <v>0</v>
      </c>
      <c r="X69" s="109" t="n">
        <f aca="false">IF(AND(K69="نعم",O69&lt;0),-O69+ROW()*0.000000001,0)</f>
        <v>0</v>
      </c>
      <c r="Y69" s="109" t="n">
        <f aca="false">IF(AND(K69="نعم",O69&gt;0),O69+ROW()*0.000000001,0)</f>
        <v>0</v>
      </c>
      <c r="Z69" s="110" t="n">
        <f aca="false">SUMIFS('مشتريات يومية'!$D$2:$D$4001,'مشتريات يومية'!$B$2:$B$4001,$B$2,'مشتريات يومية'!$C$2:$C$4001,$A69,'مشتريات يومية'!$A$2:$A$4001,'إعدادات المخزون'!$B$4)+SUMIFS('هالك وتحويلات'!$E$2:$E$3001,'هالك وتحويلات'!$B$2:$B$3001,$B$2,'هالك وتحويلات'!$C$2:$C$3001,$A69,'هالك وتحويلات'!$D$2:$D$3001,"تحويل وارد",'هالك وتحويلات'!$A$2:$A$3001,'إعدادات المخزون'!$B$4)-SUMIFS('هالك وتحويلات'!$E$2:$E$3001,'هالك وتحويلات'!$B$2:$B$3001,$B$2,'هالك وتحويلات'!$C$2:$C$3001,$A69,'هالك وتحويلات'!$D$2:$D$3001,"تحويل صادر",'هالك وتحويلات'!$A$2:$A$3001,'إعدادات المخزون'!$B$4)-SUMIFS('هالك وتحويلات'!$E$2:$E$3001,'هالك وتحويلات'!$B$2:$B$3001,$B$2,'هالك وتحويلات'!$C$2:$C$3001,$A69,'هالك وتحويلات'!$D$2:$D$3001,"هالك",'هالك وتحويلات'!$A$2:$A$3001,'إعدادات المخزون'!$B$4)-SUMIFS('هالك وتحويلات'!$E$2:$E$3001,'هالك وتحويلات'!$B$2:$B$3001,$B$2,'هالك وتحويلات'!$C$2:$C$3001,$A69,'هالك وتحويلات'!$D$2:$D$3001,"ضيافة / أكل موظفين",'هالك وتحويلات'!$A$2:$A$3001,'إعدادات المخزون'!$B$4)-SUMPRODUCT('مصفوفة الاستهلاك'!$BL$2:$BL$190,'متجهات المبيعات'!$B$2:$B$190)/'مواد المخزون'!$D$64</f>
        <v>0</v>
      </c>
      <c r="AA69" s="109" t="n">
        <f aca="false">IF(K69="نعم",O69,0)</f>
        <v>0</v>
      </c>
      <c r="AB69" s="109" t="n">
        <f aca="false">IF(K69="نعم",J69*C69,0)</f>
        <v>0</v>
      </c>
      <c r="AC69" s="109" t="n">
        <f aca="false">IF(T69="",0,T69)</f>
        <v>0</v>
      </c>
    </row>
    <row r="70" customFormat="false" ht="15" hidden="false" customHeight="false" outlineLevel="0" collapsed="false">
      <c r="A70" s="34" t="str">
        <f aca="false">'مواد المخزون'!A65</f>
        <v>فراخ كريسبي صيامي</v>
      </c>
      <c r="B70" s="36" t="str">
        <f aca="false">'مواد المخزون'!B65</f>
        <v>كجم</v>
      </c>
      <c r="C70" s="109" t="n">
        <f aca="false">'مواد المخزون'!E65</f>
        <v>150</v>
      </c>
      <c r="D70" s="110" t="n">
        <f aca="false">'جرد أول المدة'!C68</f>
        <v>0</v>
      </c>
      <c r="E70" s="110" t="n">
        <f aca="false">SUMIFS('مشتريات يومية'!$D$2:$D$4001,'مشتريات يومية'!$B$2:$B$4001,$B$2,'مشتريات يومية'!$C$2:$C$4001,$A70,'مشتريات يومية'!$A$2:$A$4001,"&gt;="&amp;'إعدادات المخزون'!$B$5,'مشتريات يومية'!$A$2:$A$4001,"&lt;="&amp;'إعدادات المخزون'!$B$4)</f>
        <v>0</v>
      </c>
      <c r="F70" s="110" t="n">
        <f aca="false">SUMIFS('هالك وتحويلات'!$E$2:$E$3001,'هالك وتحويلات'!$B$2:$B$3001,$B$2,'هالك وتحويلات'!$C$2:$C$3001,$A70,'هالك وتحويلات'!$D$2:$D$3001,"تحويل وارد",'هالك وتحويلات'!$A$2:$A$3001,"&gt;="&amp;'إعدادات المخزون'!$B$5,'هالك وتحويلات'!$A$2:$A$3001,"&lt;="&amp;'إعدادات المخزون'!$B$4)</f>
        <v>0</v>
      </c>
      <c r="G70" s="110" t="n">
        <f aca="false">SUMIFS('هالك وتحويلات'!$E$2:$E$3001,'هالك وتحويلات'!$B$2:$B$3001,$B$2,'هالك وتحويلات'!$C$2:$C$3001,$A70,'هالك وتحويلات'!$D$2:$D$3001,"تحويل صادر",'هالك وتحويلات'!$A$2:$A$3001,"&gt;="&amp;'إعدادات المخزون'!$B$5,'هالك وتحويلات'!$A$2:$A$3001,"&lt;="&amp;'إعدادات المخزون'!$B$4)</f>
        <v>0</v>
      </c>
      <c r="H70" s="110" t="n">
        <f aca="false">SUMPRODUCT('مصفوفة الاستهلاك'!$BM$2:$BM$190,'متجهات المبيعات'!$C$2:$C$190)/'مواد المخزون'!$D$65</f>
        <v>0</v>
      </c>
      <c r="I70" s="110" t="n">
        <f aca="false">SUMIFS('هالك وتحويلات'!$E$2:$E$3001,'هالك وتحويلات'!$B$2:$B$3001,$B$2,'هالك وتحويلات'!$C$2:$C$3001,$A70,'هالك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وتحويلات'!$C$2:$C$3001,$A70,'هالك وتحويلات'!$D$2:$D$3001,"ضيافة / أكل موظفين",'هالك وتحويلات'!$A$2:$A$3001,"&gt;="&amp;'إعدادات المخزون'!$B$5,'هالك وتحويلات'!$A$2:$A$3001,"&lt;="&amp;'إعدادات المخزون'!$B$4)</f>
        <v>0</v>
      </c>
      <c r="J70" s="110" t="n">
        <f aca="false">D70+E70+F70-G70-H70-I70</f>
        <v>0</v>
      </c>
      <c r="K70" s="36" t="str">
        <f aca="false">IF(COUNTIFS('جرد فعلي'!$B$2:$B$12001,$B$2,'جرد فعلي'!$C$2:$C$12001,$A70,'جرد فعلي'!$A$2:$A$12001,'إعدادات المخزون'!$B$4)&gt;0,"نعم","لا")</f>
        <v>لا</v>
      </c>
      <c r="L70" s="111" t="str">
        <f aca="false">IF(K70="نعم",SUMIFS('جرد فعلي'!$D$2:$D$12001,'جرد فعلي'!$B$2:$B$12001,$B$2,'جرد فعلي'!$C$2:$C$12001,$A70,'جرد فعلي'!$A$2:$A$12001,'إعدادات المخزون'!$B$4),"")</f>
        <v/>
      </c>
      <c r="M70" s="110" t="str">
        <f aca="false">IF(K70="نعم",L70-J70,"")</f>
        <v/>
      </c>
      <c r="N70" s="112" t="str">
        <f aca="false">IF(K70="نعم",IF(J70=0,IF(M70=0,0,SIGN(M70)),M70/ABS(J70)),"")</f>
        <v/>
      </c>
      <c r="O70" s="109" t="str">
        <f aca="false">IF(K70="نعم",M70*C70,"")</f>
        <v/>
      </c>
      <c r="P70" s="36" t="str">
        <f aca="false">IF(K70&lt;&gt;"نعم","لم يُجرد",IF(ABS(N70)&lt;='إعدادات المخزون'!$B$7,"مطابق",IF(M70&lt;0,"عجز","زيادة")))</f>
        <v>لم يُجرد</v>
      </c>
      <c r="Q70" s="110" t="n">
        <f aca="false">J70-Z70</f>
        <v>0</v>
      </c>
      <c r="R70" s="110" t="str">
        <f aca="false">IF(COUNTIFS('جرد فعلي'!$B$2:$B$12001,$B$2,'جرد فعلي'!$C$2:$C$12001,$A70,'جرد فعلي'!$A$2:$A$12001,'إعدادات المخزون'!$B$4-1)&gt;0,SUMIFS('جرد فعلي'!$D$2:$D$12001,'جرد فعلي'!$B$2:$B$12001,$B$2,'جرد فعلي'!$C$2:$C$12001,$A70,'جرد فعلي'!$A$2:$A$12001,'إعدادات المخزون'!$B$4-1),"")</f>
        <v/>
      </c>
      <c r="S70" s="110" t="str">
        <f aca="false">IF(AND(K70="نعم",R70&lt;&gt;""),(L70-J70)-(R70-Q70),"")</f>
        <v/>
      </c>
      <c r="T70" s="109" t="str">
        <f aca="false">IF(S70="","",S70*C70)</f>
        <v/>
      </c>
      <c r="U70" s="110" t="n">
        <f aca="false">IF(K70="نعم",L70,J70)</f>
        <v>0</v>
      </c>
      <c r="V70" s="110" t="n">
        <f aca="false">SUMPRODUCT('مصفوفة الاستهلاك'!$BM$2:$BM$190,'متجهات المبيعات'!$D$2:$D$190)/'مواد المخزون'!$D$65/MAX(1,MIN('إعدادات المخزون'!$B$11,'إعدادات المخزون'!$B$4-'إعدادات المخزون'!$B$5+1))</f>
        <v>0</v>
      </c>
      <c r="W70" s="110" t="n">
        <f aca="false">IF(V70&lt;=0,0,ROUNDUP(MAX(0,V70*('إعدادات المخزون'!$B$8+'إعدادات المخزون'!$B$9+'إعدادات المخزون'!$B$10)-MAX(U70,0))/'مواد المخزون'!$F65,0)*'مواد المخزون'!$F65)</f>
        <v>0</v>
      </c>
      <c r="X70" s="109" t="n">
        <f aca="false">IF(AND(K70="نعم",O70&lt;0),-O70+ROW()*0.000000001,0)</f>
        <v>0</v>
      </c>
      <c r="Y70" s="109" t="n">
        <f aca="false">IF(AND(K70="نعم",O70&gt;0),O70+ROW()*0.000000001,0)</f>
        <v>0</v>
      </c>
      <c r="Z70" s="110" t="n">
        <f aca="false">SUMIFS('مشتريات يومية'!$D$2:$D$4001,'مشتريات يومية'!$B$2:$B$4001,$B$2,'مشتريات يومية'!$C$2:$C$4001,$A70,'مشتريات يومية'!$A$2:$A$4001,'إعدادات المخزون'!$B$4)+SUMIFS('هالك وتحويلات'!$E$2:$E$3001,'هالك وتحويلات'!$B$2:$B$3001,$B$2,'هالك وتحويلات'!$C$2:$C$3001,$A70,'هالك وتحويلات'!$D$2:$D$3001,"تحويل وارد",'هالك وتحويلات'!$A$2:$A$3001,'إعدادات المخزون'!$B$4)-SUMIFS('هالك وتحويلات'!$E$2:$E$3001,'هالك وتحويلات'!$B$2:$B$3001,$B$2,'هالك وتحويلات'!$C$2:$C$3001,$A70,'هالك وتحويلات'!$D$2:$D$3001,"تحويل صادر",'هالك وتحويلات'!$A$2:$A$3001,'إعدادات المخزون'!$B$4)-SUMIFS('هالك وتحويلات'!$E$2:$E$3001,'هالك وتحويلات'!$B$2:$B$3001,$B$2,'هالك وتحويلات'!$C$2:$C$3001,$A70,'هالك وتحويلات'!$D$2:$D$3001,"هالك",'هالك وتحويلات'!$A$2:$A$3001,'إعدادات المخزون'!$B$4)-SUMIFS('هالك وتحويلات'!$E$2:$E$3001,'هالك وتحويلات'!$B$2:$B$3001,$B$2,'هالك وتحويلات'!$C$2:$C$3001,$A70,'هالك وتحويلات'!$D$2:$D$3001,"ضيافة / أكل موظفين",'هالك وتحويلات'!$A$2:$A$3001,'إعدادات المخزون'!$B$4)-SUMPRODUCT('مصفوفة الاستهلاك'!$BM$2:$BM$190,'متجهات المبيعات'!$B$2:$B$190)/'مواد المخزون'!$D$65</f>
        <v>0</v>
      </c>
      <c r="AA70" s="109" t="n">
        <f aca="false">IF(K70="نعم",O70,0)</f>
        <v>0</v>
      </c>
      <c r="AB70" s="109" t="n">
        <f aca="false">IF(K70="نعم",J70*C70,0)</f>
        <v>0</v>
      </c>
      <c r="AC70" s="109" t="n">
        <f aca="false">IF(T70="",0,T70)</f>
        <v>0</v>
      </c>
    </row>
    <row r="71" customFormat="false" ht="15" hidden="false" customHeight="false" outlineLevel="0" collapsed="false">
      <c r="A71" s="34" t="str">
        <f aca="false">'مواد المخزون'!A66</f>
        <v>فلفل كوبي</v>
      </c>
      <c r="B71" s="36" t="str">
        <f aca="false">'مواد المخزون'!B66</f>
        <v>كجم</v>
      </c>
      <c r="C71" s="109" t="n">
        <f aca="false">'مواد المخزون'!E66</f>
        <v>27</v>
      </c>
      <c r="D71" s="110" t="n">
        <f aca="false">'جرد أول المدة'!C69</f>
        <v>7</v>
      </c>
      <c r="E71" s="110" t="n">
        <f aca="false">SUMIFS('مشتريات يومية'!$D$2:$D$4001,'مشتريات يومية'!$B$2:$B$4001,$B$2,'مشتريات يومية'!$C$2:$C$4001,$A71,'مشتريات يومية'!$A$2:$A$4001,"&gt;="&amp;'إعدادات المخزون'!$B$5,'مشتريات يومية'!$A$2:$A$4001,"&lt;="&amp;'إعدادات المخزون'!$B$4)</f>
        <v>70.5</v>
      </c>
      <c r="F71" s="110" t="n">
        <f aca="false">SUMIFS('هالك وتحويلات'!$E$2:$E$3001,'هالك وتحويلات'!$B$2:$B$3001,$B$2,'هالك وتحويلات'!$C$2:$C$3001,$A71,'هالك وتحويلات'!$D$2:$D$3001,"تحويل وارد",'هالك وتحويلات'!$A$2:$A$3001,"&gt;="&amp;'إعدادات المخزون'!$B$5,'هالك وتحويلات'!$A$2:$A$3001,"&lt;="&amp;'إعدادات المخزون'!$B$4)</f>
        <v>0</v>
      </c>
      <c r="G71" s="110" t="n">
        <f aca="false">SUMIFS('هالك وتحويلات'!$E$2:$E$3001,'هالك وتحويلات'!$B$2:$B$3001,$B$2,'هالك وتحويلات'!$C$2:$C$3001,$A71,'هالك وتحويلات'!$D$2:$D$3001,"تحويل صادر",'هالك وتحويلات'!$A$2:$A$3001,"&gt;="&amp;'إعدادات المخزون'!$B$5,'هالك وتحويلات'!$A$2:$A$3001,"&lt;="&amp;'إعدادات المخزون'!$B$4)</f>
        <v>0</v>
      </c>
      <c r="H71" s="110" t="n">
        <f aca="false">SUMPRODUCT('مصفوفة الاستهلاك'!$BN$2:$BN$190,'متجهات المبيعات'!$C$2:$C$190)/'مواد المخزون'!$D$66</f>
        <v>37.659924</v>
      </c>
      <c r="I71" s="110" t="n">
        <f aca="false">SUMIFS('هالك وتحويلات'!$E$2:$E$3001,'هالك وتحويلات'!$B$2:$B$3001,$B$2,'هالك وتحويلات'!$C$2:$C$3001,$A71,'هالك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وتحويلات'!$C$2:$C$3001,$A71,'هالك وتحويلات'!$D$2:$D$3001,"ضيافة / أكل موظفين",'هالك وتحويلات'!$A$2:$A$3001,"&gt;="&amp;'إعدادات المخزون'!$B$5,'هالك وتحويلات'!$A$2:$A$3001,"&lt;="&amp;'إعدادات المخزون'!$B$4)</f>
        <v>0</v>
      </c>
      <c r="J71" s="110" t="n">
        <f aca="false">D71+E71+F71-G71-H71-I71</f>
        <v>39.840076</v>
      </c>
      <c r="K71" s="36" t="str">
        <f aca="false">IF(COUNTIFS('جرد فعلي'!$B$2:$B$12001,$B$2,'جرد فعلي'!$C$2:$C$12001,$A71,'جرد فعلي'!$A$2:$A$12001,'إعدادات المخزون'!$B$4)&gt;0,"نعم","لا")</f>
        <v>لا</v>
      </c>
      <c r="L71" s="111" t="str">
        <f aca="false">IF(K71="نعم",SUMIFS('جرد فعلي'!$D$2:$D$12001,'جرد فعلي'!$B$2:$B$12001,$B$2,'جرد فعلي'!$C$2:$C$12001,$A71,'جرد فعلي'!$A$2:$A$12001,'إعدادات المخزون'!$B$4),"")</f>
        <v/>
      </c>
      <c r="M71" s="110" t="str">
        <f aca="false">IF(K71="نعم",L71-J71,"")</f>
        <v/>
      </c>
      <c r="N71" s="112" t="str">
        <f aca="false">IF(K71="نعم",IF(J71=0,IF(M71=0,0,SIGN(M71)),M71/ABS(J71)),"")</f>
        <v/>
      </c>
      <c r="O71" s="109" t="str">
        <f aca="false">IF(K71="نعم",M71*C71,"")</f>
        <v/>
      </c>
      <c r="P71" s="36" t="str">
        <f aca="false">IF(K71&lt;&gt;"نعم","لم يُجرد",IF(ABS(N71)&lt;='إعدادات المخزون'!$B$7,"مطابق",IF(M71&lt;0,"عجز","زيادة")))</f>
        <v>لم يُجرد</v>
      </c>
      <c r="Q71" s="110" t="n">
        <f aca="false">J71-Z71</f>
        <v>42.978403</v>
      </c>
      <c r="R71" s="110" t="str">
        <f aca="false">IF(COUNTIFS('جرد فعلي'!$B$2:$B$12001,$B$2,'جرد فعلي'!$C$2:$C$12001,$A71,'جرد فعلي'!$A$2:$A$12001,'إعدادات المخزون'!$B$4-1)&gt;0,SUMIFS('جرد فعلي'!$D$2:$D$12001,'جرد فعلي'!$B$2:$B$12001,$B$2,'جرد فعلي'!$C$2:$C$12001,$A71,'جرد فعلي'!$A$2:$A$12001,'إعدادات المخزون'!$B$4-1),"")</f>
        <v/>
      </c>
      <c r="S71" s="110" t="str">
        <f aca="false">IF(AND(K71="نعم",R71&lt;&gt;""),(L71-J71)-(R71-Q71),"")</f>
        <v/>
      </c>
      <c r="T71" s="109" t="str">
        <f aca="false">IF(S71="","",S71*C71)</f>
        <v/>
      </c>
      <c r="U71" s="110" t="n">
        <f aca="false">IF(K71="نعم",L71,J71)</f>
        <v>39.840076</v>
      </c>
      <c r="V71" s="110" t="n">
        <f aca="false">SUMPRODUCT('مصفوفة الاستهلاك'!$BN$2:$BN$190,'متجهات المبيعات'!$D$2:$D$190)/'مواد المخزون'!$D$66/MAX(1,MIN('إعدادات المخزون'!$B$11,'إعدادات المخزون'!$B$4-'إعدادات المخزون'!$B$5+1))</f>
        <v>3.138327</v>
      </c>
      <c r="W71" s="110" t="n">
        <f aca="false">IF(V71&lt;=0,0,ROUNDUP(MAX(0,V71*('إعدادات المخزون'!$B$8+'إعدادات المخزون'!$B$9+'إعدادات المخزون'!$B$10)-MAX(U71,0))/'مواد المخزون'!$F66,0)*'مواد المخزون'!$F66)</f>
        <v>0</v>
      </c>
      <c r="X71" s="109" t="n">
        <f aca="false">IF(AND(K71="نعم",O71&lt;0),-O71+ROW()*0.000000001,0)</f>
        <v>0</v>
      </c>
      <c r="Y71" s="109" t="n">
        <f aca="false">IF(AND(K71="نعم",O71&gt;0),O71+ROW()*0.000000001,0)</f>
        <v>0</v>
      </c>
      <c r="Z71" s="110" t="n">
        <f aca="false">SUMIFS('مشتريات يومية'!$D$2:$D$4001,'مشتريات يومية'!$B$2:$B$4001,$B$2,'مشتريات يومية'!$C$2:$C$4001,$A71,'مشتريات يومية'!$A$2:$A$4001,'إعدادات المخزون'!$B$4)+SUMIFS('هالك وتحويلات'!$E$2:$E$3001,'هالك وتحويلات'!$B$2:$B$3001,$B$2,'هالك وتحويلات'!$C$2:$C$3001,$A71,'هالك وتحويلات'!$D$2:$D$3001,"تحويل وارد",'هالك وتحويلات'!$A$2:$A$3001,'إعدادات المخزون'!$B$4)-SUMIFS('هالك وتحويلات'!$E$2:$E$3001,'هالك وتحويلات'!$B$2:$B$3001,$B$2,'هالك وتحويلات'!$C$2:$C$3001,$A71,'هالك وتحويلات'!$D$2:$D$3001,"تحويل صادر",'هالك وتحويلات'!$A$2:$A$3001,'إعدادات المخزون'!$B$4)-SUMIFS('هالك وتحويلات'!$E$2:$E$3001,'هالك وتحويلات'!$B$2:$B$3001,$B$2,'هالك وتحويلات'!$C$2:$C$3001,$A71,'هالك وتحويلات'!$D$2:$D$3001,"هالك",'هالك وتحويلات'!$A$2:$A$3001,'إعدادات المخزون'!$B$4)-SUMIFS('هالك وتحويلات'!$E$2:$E$3001,'هالك وتحويلات'!$B$2:$B$3001,$B$2,'هالك وتحويلات'!$C$2:$C$3001,$A71,'هالك وتحويلات'!$D$2:$D$3001,"ضيافة / أكل موظفين",'هالك وتحويلات'!$A$2:$A$3001,'إعدادات المخزون'!$B$4)-SUMPRODUCT('مصفوفة الاستهلاك'!$BN$2:$BN$190,'متجهات المبيعات'!$B$2:$B$190)/'مواد المخزون'!$D$66</f>
        <v>-3.138327</v>
      </c>
      <c r="AA71" s="109" t="n">
        <f aca="false">IF(K71="نعم",O71,0)</f>
        <v>0</v>
      </c>
      <c r="AB71" s="109" t="n">
        <f aca="false">IF(K71="نعم",J71*C71,0)</f>
        <v>0</v>
      </c>
      <c r="AC71" s="109" t="n">
        <f aca="false">IF(T71="",0,T71)</f>
        <v>0</v>
      </c>
    </row>
    <row r="72" customFormat="false" ht="15" hidden="false" customHeight="false" outlineLevel="0" collapsed="false">
      <c r="A72" s="34" t="str">
        <f aca="false">'مواد المخزون'!A67</f>
        <v>قطعة جبنة كيري</v>
      </c>
      <c r="B72" s="36" t="str">
        <f aca="false">'مواد المخزون'!B67</f>
        <v>قطعة</v>
      </c>
      <c r="C72" s="109" t="n">
        <f aca="false">'مواد المخزون'!E67</f>
        <v>7</v>
      </c>
      <c r="D72" s="110" t="n">
        <f aca="false">'جرد أول المدة'!C70</f>
        <v>65</v>
      </c>
      <c r="E72" s="110" t="n">
        <f aca="false">SUMIFS('مشتريات يومية'!$D$2:$D$4001,'مشتريات يومية'!$B$2:$B$4001,$B$2,'مشتريات يومية'!$C$2:$C$4001,$A72,'مشتريات يومية'!$A$2:$A$4001,"&gt;="&amp;'إعدادات المخزون'!$B$5,'مشتريات يومية'!$A$2:$A$4001,"&lt;="&amp;'إعدادات المخزون'!$B$4)</f>
        <v>564</v>
      </c>
      <c r="F72" s="110" t="n">
        <f aca="false">SUMIFS('هالك وتحويلات'!$E$2:$E$3001,'هالك وتحويلات'!$B$2:$B$3001,$B$2,'هالك وتحويلات'!$C$2:$C$3001,$A72,'هالك وتحويلات'!$D$2:$D$3001,"تحويل وارد",'هالك وتحويلات'!$A$2:$A$3001,"&gt;="&amp;'إعدادات المخزون'!$B$5,'هالك وتحويلات'!$A$2:$A$3001,"&lt;="&amp;'إعدادات المخزون'!$B$4)</f>
        <v>0</v>
      </c>
      <c r="G72" s="110" t="n">
        <f aca="false">SUMIFS('هالك وتحويلات'!$E$2:$E$3001,'هالك وتحويلات'!$B$2:$B$3001,$B$2,'هالك وتحويلات'!$C$2:$C$3001,$A72,'هالك وتحويلات'!$D$2:$D$3001,"تحويل صادر",'هالك وتحويلات'!$A$2:$A$3001,"&gt;="&amp;'إعدادات المخزون'!$B$5,'هالك وتحويلات'!$A$2:$A$3001,"&lt;="&amp;'إعدادات المخزون'!$B$4)</f>
        <v>0</v>
      </c>
      <c r="H72" s="110" t="n">
        <f aca="false">SUMPRODUCT('مصفوفة الاستهلاك'!$BO$2:$BO$190,'متجهات المبيعات'!$C$2:$C$190)/'مواد المخزون'!$D$67</f>
        <v>515.0028</v>
      </c>
      <c r="I72" s="110" t="n">
        <f aca="false">SUMIFS('هالك وتحويلات'!$E$2:$E$3001,'هالك وتحويلات'!$B$2:$B$3001,$B$2,'هالك وتحويلات'!$C$2:$C$3001,$A72,'هالك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وتحويلات'!$C$2:$C$3001,$A72,'هالك وتحويلات'!$D$2:$D$3001,"ضيافة / أكل موظفين",'هالك وتحويلات'!$A$2:$A$3001,"&gt;="&amp;'إعدادات المخزون'!$B$5,'هالك وتحويلات'!$A$2:$A$3001,"&lt;="&amp;'إعدادات المخزون'!$B$4)</f>
        <v>0</v>
      </c>
      <c r="J72" s="110" t="n">
        <f aca="false">D72+E72+F72-G72-H72-I72</f>
        <v>113.9972</v>
      </c>
      <c r="K72" s="36" t="str">
        <f aca="false">IF(COUNTIFS('جرد فعلي'!$B$2:$B$12001,$B$2,'جرد فعلي'!$C$2:$C$12001,$A72,'جرد فعلي'!$A$2:$A$12001,'إعدادات المخزون'!$B$4)&gt;0,"نعم","لا")</f>
        <v>لا</v>
      </c>
      <c r="L72" s="111" t="str">
        <f aca="false">IF(K72="نعم",SUMIFS('جرد فعلي'!$D$2:$D$12001,'جرد فعلي'!$B$2:$B$12001,$B$2,'جرد فعلي'!$C$2:$C$12001,$A72,'جرد فعلي'!$A$2:$A$12001,'إعدادات المخزون'!$B$4),"")</f>
        <v/>
      </c>
      <c r="M72" s="110" t="str">
        <f aca="false">IF(K72="نعم",L72-J72,"")</f>
        <v/>
      </c>
      <c r="N72" s="112" t="str">
        <f aca="false">IF(K72="نعم",IF(J72=0,IF(M72=0,0,SIGN(M72)),M72/ABS(J72)),"")</f>
        <v/>
      </c>
      <c r="O72" s="109" t="str">
        <f aca="false">IF(K72="نعم",M72*C72,"")</f>
        <v/>
      </c>
      <c r="P72" s="36" t="str">
        <f aca="false">IF(K72&lt;&gt;"نعم","لم يُجرد",IF(ABS(N72)&lt;='إعدادات المخزون'!$B$7,"مطابق",IF(M72&lt;0,"عجز","زيادة")))</f>
        <v>لم يُجرد</v>
      </c>
      <c r="Q72" s="110" t="n">
        <f aca="false">J72-Z72</f>
        <v>156.9141</v>
      </c>
      <c r="R72" s="110" t="str">
        <f aca="false">IF(COUNTIFS('جرد فعلي'!$B$2:$B$12001,$B$2,'جرد فعلي'!$C$2:$C$12001,$A72,'جرد فعلي'!$A$2:$A$12001,'إعدادات المخزون'!$B$4-1)&gt;0,SUMIFS('جرد فعلي'!$D$2:$D$12001,'جرد فعلي'!$B$2:$B$12001,$B$2,'جرد فعلي'!$C$2:$C$12001,$A72,'جرد فعلي'!$A$2:$A$12001,'إعدادات المخزون'!$B$4-1),"")</f>
        <v/>
      </c>
      <c r="S72" s="110" t="str">
        <f aca="false">IF(AND(K72="نعم",R72&lt;&gt;""),(L72-J72)-(R72-Q72),"")</f>
        <v/>
      </c>
      <c r="T72" s="109" t="str">
        <f aca="false">IF(S72="","",S72*C72)</f>
        <v/>
      </c>
      <c r="U72" s="110" t="n">
        <f aca="false">IF(K72="نعم",L72,J72)</f>
        <v>113.9972</v>
      </c>
      <c r="V72" s="110" t="n">
        <f aca="false">SUMPRODUCT('مصفوفة الاستهلاك'!$BO$2:$BO$190,'متجهات المبيعات'!$D$2:$D$190)/'مواد المخزون'!$D$67/MAX(1,MIN('إعدادات المخزون'!$B$11,'إعدادات المخزون'!$B$4-'إعدادات المخزون'!$B$5+1))</f>
        <v>42.9169</v>
      </c>
      <c r="W72" s="110" t="n">
        <f aca="false">IF(V72&lt;=0,0,ROUNDUP(MAX(0,V72*('إعدادات المخزون'!$B$8+'إعدادات المخزون'!$B$9+'إعدادات المخزون'!$B$10)-MAX(U72,0))/'مواد المخزون'!$F67,0)*'مواد المخزون'!$F67)</f>
        <v>58</v>
      </c>
      <c r="X72" s="109" t="n">
        <f aca="false">IF(AND(K72="نعم",O72&lt;0),-O72+ROW()*0.000000001,0)</f>
        <v>0</v>
      </c>
      <c r="Y72" s="109" t="n">
        <f aca="false">IF(AND(K72="نعم",O72&gt;0),O72+ROW()*0.000000001,0)</f>
        <v>0</v>
      </c>
      <c r="Z72" s="110" t="n">
        <f aca="false">SUMIFS('مشتريات يومية'!$D$2:$D$4001,'مشتريات يومية'!$B$2:$B$4001,$B$2,'مشتريات يومية'!$C$2:$C$4001,$A72,'مشتريات يومية'!$A$2:$A$4001,'إعدادات المخزون'!$B$4)+SUMIFS('هالك وتحويلات'!$E$2:$E$3001,'هالك وتحويلات'!$B$2:$B$3001,$B$2,'هالك وتحويلات'!$C$2:$C$3001,$A72,'هالك وتحويلات'!$D$2:$D$3001,"تحويل وارد",'هالك وتحويلات'!$A$2:$A$3001,'إعدادات المخزون'!$B$4)-SUMIFS('هالك وتحويلات'!$E$2:$E$3001,'هالك وتحويلات'!$B$2:$B$3001,$B$2,'هالك وتحويلات'!$C$2:$C$3001,$A72,'هالك وتحويلات'!$D$2:$D$3001,"تحويل صادر",'هالك وتحويلات'!$A$2:$A$3001,'إعدادات المخزون'!$B$4)-SUMIFS('هالك وتحويلات'!$E$2:$E$3001,'هالك وتحويلات'!$B$2:$B$3001,$B$2,'هالك وتحويلات'!$C$2:$C$3001,$A72,'هالك وتحويلات'!$D$2:$D$3001,"هالك",'هالك وتحويلات'!$A$2:$A$3001,'إعدادات المخزون'!$B$4)-SUMIFS('هالك وتحويلات'!$E$2:$E$3001,'هالك وتحويلات'!$B$2:$B$3001,$B$2,'هالك وتحويلات'!$C$2:$C$3001,$A72,'هالك وتحويلات'!$D$2:$D$3001,"ضيافة / أكل موظفين",'هالك وتحويلات'!$A$2:$A$3001,'إعدادات المخزون'!$B$4)-SUMPRODUCT('مصفوفة الاستهلاك'!$BO$2:$BO$190,'متجهات المبيعات'!$B$2:$B$190)/'مواد المخزون'!$D$67</f>
        <v>-42.9169</v>
      </c>
      <c r="AA72" s="109" t="n">
        <f aca="false">IF(K72="نعم",O72,0)</f>
        <v>0</v>
      </c>
      <c r="AB72" s="109" t="n">
        <f aca="false">IF(K72="نعم",J72*C72,0)</f>
        <v>0</v>
      </c>
      <c r="AC72" s="109" t="n">
        <f aca="false">IF(T72="",0,T72)</f>
        <v>0</v>
      </c>
    </row>
    <row r="73" customFormat="false" ht="15" hidden="false" customHeight="false" outlineLevel="0" collapsed="false">
      <c r="A73" s="34" t="str">
        <f aca="false">'مواد المخزون'!A68</f>
        <v>كاتشب ظرف</v>
      </c>
      <c r="B73" s="36" t="str">
        <f aca="false">'مواد المخزون'!B68</f>
        <v>قطعة</v>
      </c>
      <c r="C73" s="109" t="n">
        <f aca="false">'مواد المخزون'!E68</f>
        <v>0.3</v>
      </c>
      <c r="D73" s="110" t="n">
        <f aca="false">'جرد أول المدة'!C71</f>
        <v>250</v>
      </c>
      <c r="E73" s="110" t="n">
        <f aca="false">SUMIFS('مشتريات يومية'!$D$2:$D$4001,'مشتريات يومية'!$B$2:$B$4001,$B$2,'مشتريات يومية'!$C$2:$C$4001,$A73,'مشتريات يومية'!$A$2:$A$4001,"&gt;="&amp;'إعدادات المخزون'!$B$5,'مشتريات يومية'!$A$2:$A$4001,"&lt;="&amp;'إعدادات المخزون'!$B$4)</f>
        <v>4000</v>
      </c>
      <c r="F73" s="110" t="n">
        <f aca="false">SUMIFS('هالك وتحويلات'!$E$2:$E$3001,'هالك وتحويلات'!$B$2:$B$3001,$B$2,'هالك وتحويلات'!$C$2:$C$3001,$A73,'هالك وتحويلات'!$D$2:$D$3001,"تحويل وارد",'هالك وتحويلات'!$A$2:$A$3001,"&gt;="&amp;'إعدادات المخزون'!$B$5,'هالك وتحويلات'!$A$2:$A$3001,"&lt;="&amp;'إعدادات المخزون'!$B$4)</f>
        <v>0</v>
      </c>
      <c r="G73" s="110" t="n">
        <f aca="false">SUMIFS('هالك وتحويلات'!$E$2:$E$3001,'هالك وتحويلات'!$B$2:$B$3001,$B$2,'هالك وتحويلات'!$C$2:$C$3001,$A73,'هالك وتحويلات'!$D$2:$D$3001,"تحويل صادر",'هالك وتحويلات'!$A$2:$A$3001,"&gt;="&amp;'إعدادات المخزون'!$B$5,'هالك وتحويلات'!$A$2:$A$3001,"&lt;="&amp;'إعدادات المخزون'!$B$4)</f>
        <v>0</v>
      </c>
      <c r="H73" s="110" t="n">
        <f aca="false">SUMPRODUCT('مصفوفة الاستهلاك'!$BP$2:$BP$190,'متجهات المبيعات'!$C$2:$C$190)/'مواد المخزون'!$D$68</f>
        <v>3652.9956</v>
      </c>
      <c r="I73" s="110" t="n">
        <f aca="false">SUMIFS('هالك وتحويلات'!$E$2:$E$3001,'هالك وتحويلات'!$B$2:$B$3001,$B$2,'هالك وتحويلات'!$C$2:$C$3001,$A73,'هالك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وتحويلات'!$C$2:$C$3001,$A73,'هالك وتحويلات'!$D$2:$D$3001,"ضيافة / أكل موظفين",'هالك وتحويلات'!$A$2:$A$3001,"&gt;="&amp;'إعدادات المخزون'!$B$5,'هالك وتحويلات'!$A$2:$A$3001,"&lt;="&amp;'إعدادات المخزون'!$B$4)</f>
        <v>0</v>
      </c>
      <c r="J73" s="110" t="n">
        <f aca="false">D73+E73+F73-G73-H73-I73</f>
        <v>597.0044</v>
      </c>
      <c r="K73" s="36" t="str">
        <f aca="false">IF(COUNTIFS('جرد فعلي'!$B$2:$B$12001,$B$2,'جرد فعلي'!$C$2:$C$12001,$A73,'جرد فعلي'!$A$2:$A$12001,'إعدادات المخزون'!$B$4)&gt;0,"نعم","لا")</f>
        <v>لا</v>
      </c>
      <c r="L73" s="111" t="str">
        <f aca="false">IF(K73="نعم",SUMIFS('جرد فعلي'!$D$2:$D$12001,'جرد فعلي'!$B$2:$B$12001,$B$2,'جرد فعلي'!$C$2:$C$12001,$A73,'جرد فعلي'!$A$2:$A$12001,'إعدادات المخزون'!$B$4),"")</f>
        <v/>
      </c>
      <c r="M73" s="110" t="str">
        <f aca="false">IF(K73="نعم",L73-J73,"")</f>
        <v/>
      </c>
      <c r="N73" s="112" t="str">
        <f aca="false">IF(K73="نعم",IF(J73=0,IF(M73=0,0,SIGN(M73)),M73/ABS(J73)),"")</f>
        <v/>
      </c>
      <c r="O73" s="109" t="str">
        <f aca="false">IF(K73="نعم",M73*C73,"")</f>
        <v/>
      </c>
      <c r="P73" s="36" t="str">
        <f aca="false">IF(K73&lt;&gt;"نعم","لم يُجرد",IF(ABS(N73)&lt;='إعدادات المخزون'!$B$7,"مطابق",IF(M73&lt;0,"عجز","زيادة")))</f>
        <v>لم يُجرد</v>
      </c>
      <c r="Q73" s="110" t="n">
        <f aca="false">J73-Z73</f>
        <v>901.4207</v>
      </c>
      <c r="R73" s="110" t="str">
        <f aca="false">IF(COUNTIFS('جرد فعلي'!$B$2:$B$12001,$B$2,'جرد فعلي'!$C$2:$C$12001,$A73,'جرد فعلي'!$A$2:$A$12001,'إعدادات المخزون'!$B$4-1)&gt;0,SUMIFS('جرد فعلي'!$D$2:$D$12001,'جرد فعلي'!$B$2:$B$12001,$B$2,'جرد فعلي'!$C$2:$C$12001,$A73,'جرد فعلي'!$A$2:$A$12001,'إعدادات المخزون'!$B$4-1),"")</f>
        <v/>
      </c>
      <c r="S73" s="110" t="str">
        <f aca="false">IF(AND(K73="نعم",R73&lt;&gt;""),(L73-J73)-(R73-Q73),"")</f>
        <v/>
      </c>
      <c r="T73" s="109" t="str">
        <f aca="false">IF(S73="","",S73*C73)</f>
        <v/>
      </c>
      <c r="U73" s="110" t="n">
        <f aca="false">IF(K73="نعم",L73,J73)</f>
        <v>597.0044</v>
      </c>
      <c r="V73" s="110" t="n">
        <f aca="false">SUMPRODUCT('مصفوفة الاستهلاك'!$BP$2:$BP$190,'متجهات المبيعات'!$D$2:$D$190)/'مواد المخزون'!$D$68/MAX(1,MIN('إعدادات المخزون'!$B$11,'إعدادات المخزون'!$B$4-'إعدادات المخزون'!$B$5+1))</f>
        <v>304.4163</v>
      </c>
      <c r="W73" s="110" t="n">
        <f aca="false">IF(V73&lt;=0,0,ROUNDUP(MAX(0,V73*('إعدادات المخزون'!$B$8+'إعدادات المخزون'!$B$9+'إعدادات المخزون'!$B$10)-MAX(U73,0))/'مواد المخزون'!$F68,0)*'مواد المخزون'!$F68)</f>
        <v>621</v>
      </c>
      <c r="X73" s="109" t="n">
        <f aca="false">IF(AND(K73="نعم",O73&lt;0),-O73+ROW()*0.000000001,0)</f>
        <v>0</v>
      </c>
      <c r="Y73" s="109" t="n">
        <f aca="false">IF(AND(K73="نعم",O73&gt;0),O73+ROW()*0.000000001,0)</f>
        <v>0</v>
      </c>
      <c r="Z73" s="110" t="n">
        <f aca="false">SUMIFS('مشتريات يومية'!$D$2:$D$4001,'مشتريات يومية'!$B$2:$B$4001,$B$2,'مشتريات يومية'!$C$2:$C$4001,$A73,'مشتريات يومية'!$A$2:$A$4001,'إعدادات المخزون'!$B$4)+SUMIFS('هالك وتحويلات'!$E$2:$E$3001,'هالك وتحويلات'!$B$2:$B$3001,$B$2,'هالك وتحويلات'!$C$2:$C$3001,$A73,'هالك وتحويلات'!$D$2:$D$3001,"تحويل وارد",'هالك وتحويلات'!$A$2:$A$3001,'إعدادات المخزون'!$B$4)-SUMIFS('هالك وتحويلات'!$E$2:$E$3001,'هالك وتحويلات'!$B$2:$B$3001,$B$2,'هالك وتحويلات'!$C$2:$C$3001,$A73,'هالك وتحويلات'!$D$2:$D$3001,"تحويل صادر",'هالك وتحويلات'!$A$2:$A$3001,'إعدادات المخزون'!$B$4)-SUMIFS('هالك وتحويلات'!$E$2:$E$3001,'هالك وتحويلات'!$B$2:$B$3001,$B$2,'هالك وتحويلات'!$C$2:$C$3001,$A73,'هالك وتحويلات'!$D$2:$D$3001,"هالك",'هالك وتحويلات'!$A$2:$A$3001,'إعدادات المخزون'!$B$4)-SUMIFS('هالك وتحويلات'!$E$2:$E$3001,'هالك وتحويلات'!$B$2:$B$3001,$B$2,'هالك وتحويلات'!$C$2:$C$3001,$A73,'هالك وتحويلات'!$D$2:$D$3001,"ضيافة / أكل موظفين",'هالك وتحويلات'!$A$2:$A$3001,'إعدادات المخزون'!$B$4)-SUMPRODUCT('مصفوفة الاستهلاك'!$BP$2:$BP$190,'متجهات المبيعات'!$B$2:$B$190)/'مواد المخزون'!$D$68</f>
        <v>-304.4163</v>
      </c>
      <c r="AA73" s="109" t="n">
        <f aca="false">IF(K73="نعم",O73,0)</f>
        <v>0</v>
      </c>
      <c r="AB73" s="109" t="n">
        <f aca="false">IF(K73="نعم",J73*C73,0)</f>
        <v>0</v>
      </c>
      <c r="AC73" s="109" t="n">
        <f aca="false">IF(T73="",0,T73)</f>
        <v>0</v>
      </c>
    </row>
    <row r="74" customFormat="false" ht="15" hidden="false" customHeight="false" outlineLevel="0" collapsed="false">
      <c r="A74" s="34" t="str">
        <f aca="false">'مواد المخزون'!A69</f>
        <v>كاستر بودر</v>
      </c>
      <c r="B74" s="36" t="str">
        <f aca="false">'مواد المخزون'!B69</f>
        <v>كجم</v>
      </c>
      <c r="C74" s="109" t="n">
        <f aca="false">'مواد المخزون'!E69</f>
        <v>90</v>
      </c>
      <c r="D74" s="110" t="n">
        <f aca="false">'جرد أول المدة'!C72</f>
        <v>1.25</v>
      </c>
      <c r="E74" s="110" t="n">
        <f aca="false">SUMIFS('مشتريات يومية'!$D$2:$D$4001,'مشتريات يومية'!$B$2:$B$4001,$B$2,'مشتريات يومية'!$C$2:$C$4001,$A74,'مشتريات يومية'!$A$2:$A$4001,"&gt;="&amp;'إعدادات المخزون'!$B$5,'مشتريات يومية'!$A$2:$A$4001,"&lt;="&amp;'إعدادات المخزون'!$B$4)</f>
        <v>14.4</v>
      </c>
      <c r="F74" s="110" t="n">
        <f aca="false">SUMIFS('هالك وتحويلات'!$E$2:$E$3001,'هالك وتحويلات'!$B$2:$B$3001,$B$2,'هالك وتحويلات'!$C$2:$C$3001,$A74,'هالك وتحويلات'!$D$2:$D$3001,"تحويل وارد",'هالك وتحويلات'!$A$2:$A$3001,"&gt;="&amp;'إعدادات المخزون'!$B$5,'هالك وتحويلات'!$A$2:$A$3001,"&lt;="&amp;'إعدادات المخزون'!$B$4)</f>
        <v>0</v>
      </c>
      <c r="G74" s="110" t="n">
        <f aca="false">SUMIFS('هالك وتحويلات'!$E$2:$E$3001,'هالك وتحويلات'!$B$2:$B$3001,$B$2,'هالك وتحويلات'!$C$2:$C$3001,$A74,'هالك وتحويلات'!$D$2:$D$3001,"تحويل صادر",'هالك وتحويلات'!$A$2:$A$3001,"&gt;="&amp;'إعدادات المخزون'!$B$5,'هالك وتحويلات'!$A$2:$A$3001,"&lt;="&amp;'إعدادات المخزون'!$B$4)</f>
        <v>0</v>
      </c>
      <c r="H74" s="110" t="n">
        <f aca="false">SUMPRODUCT('مصفوفة الاستهلاك'!$BQ$2:$BQ$190,'متجهات المبيعات'!$C$2:$C$190)/'مواد المخزون'!$D$69</f>
        <v>19.1887704</v>
      </c>
      <c r="I74" s="110" t="n">
        <f aca="false">SUMIFS('هالك وتحويلات'!$E$2:$E$3001,'هالك وتحويلات'!$B$2:$B$3001,$B$2,'هالك وتحويلات'!$C$2:$C$3001,$A74,'هالك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وتحويلات'!$C$2:$C$3001,$A74,'هالك وتحويلات'!$D$2:$D$3001,"ضيافة / أكل موظفين",'هالك وتحويلات'!$A$2:$A$3001,"&gt;="&amp;'إعدادات المخزون'!$B$5,'هالك وتحويلات'!$A$2:$A$3001,"&lt;="&amp;'إعدادات المخزون'!$B$4)</f>
        <v>0</v>
      </c>
      <c r="J74" s="110" t="n">
        <f aca="false">D74+E74+F74-G74-H74-I74</f>
        <v>-3.5387704</v>
      </c>
      <c r="K74" s="36" t="str">
        <f aca="false">IF(COUNTIFS('جرد فعلي'!$B$2:$B$12001,$B$2,'جرد فعلي'!$C$2:$C$12001,$A74,'جرد فعلي'!$A$2:$A$12001,'إعدادات المخزون'!$B$4)&gt;0,"نعم","لا")</f>
        <v>لا</v>
      </c>
      <c r="L74" s="111" t="str">
        <f aca="false">IF(K74="نعم",SUMIFS('جرد فعلي'!$D$2:$D$12001,'جرد فعلي'!$B$2:$B$12001,$B$2,'جرد فعلي'!$C$2:$C$12001,$A74,'جرد فعلي'!$A$2:$A$12001,'إعدادات المخزون'!$B$4),"")</f>
        <v/>
      </c>
      <c r="M74" s="110" t="str">
        <f aca="false">IF(K74="نعم",L74-J74,"")</f>
        <v/>
      </c>
      <c r="N74" s="112" t="str">
        <f aca="false">IF(K74="نعم",IF(J74=0,IF(M74=0,0,SIGN(M74)),M74/ABS(J74)),"")</f>
        <v/>
      </c>
      <c r="O74" s="109" t="str">
        <f aca="false">IF(K74="نعم",M74*C74,"")</f>
        <v/>
      </c>
      <c r="P74" s="36" t="str">
        <f aca="false">IF(K74&lt;&gt;"نعم","لم يُجرد",IF(ABS(N74)&lt;='إعدادات المخزون'!$B$7,"مطابق",IF(M74&lt;0,"عجز","زيادة")))</f>
        <v>لم يُجرد</v>
      </c>
      <c r="Q74" s="110" t="n">
        <f aca="false">J74-Z74</f>
        <v>-1.9397062</v>
      </c>
      <c r="R74" s="110" t="str">
        <f aca="false">IF(COUNTIFS('جرد فعلي'!$B$2:$B$12001,$B$2,'جرد فعلي'!$C$2:$C$12001,$A74,'جرد فعلي'!$A$2:$A$12001,'إعدادات المخزون'!$B$4-1)&gt;0,SUMIFS('جرد فعلي'!$D$2:$D$12001,'جرد فعلي'!$B$2:$B$12001,$B$2,'جرد فعلي'!$C$2:$C$12001,$A74,'جرد فعلي'!$A$2:$A$12001,'إعدادات المخزون'!$B$4-1),"")</f>
        <v/>
      </c>
      <c r="S74" s="110" t="str">
        <f aca="false">IF(AND(K74="نعم",R74&lt;&gt;""),(L74-J74)-(R74-Q74),"")</f>
        <v/>
      </c>
      <c r="T74" s="109" t="str">
        <f aca="false">IF(S74="","",S74*C74)</f>
        <v/>
      </c>
      <c r="U74" s="110" t="n">
        <f aca="false">IF(K74="نعم",L74,J74)</f>
        <v>-3.5387704</v>
      </c>
      <c r="V74" s="110" t="n">
        <f aca="false">SUMPRODUCT('مصفوفة الاستهلاك'!$BQ$2:$BQ$190,'متجهات المبيعات'!$D$2:$D$190)/'مواد المخزون'!$D$69/MAX(1,MIN('إعدادات المخزون'!$B$11,'إعدادات المخزون'!$B$4-'إعدادات المخزون'!$B$5+1))</f>
        <v>1.5990642</v>
      </c>
      <c r="W74" s="110" t="n">
        <f aca="false">IF(V74&lt;=0,0,ROUNDUP(MAX(0,V74*('إعدادات المخزون'!$B$8+'إعدادات المخزون'!$B$9+'إعدادات المخزون'!$B$10)-MAX(U74,0))/'مواد المخزون'!$F69,0)*'مواد المخزون'!$F69)</f>
        <v>7</v>
      </c>
      <c r="X74" s="109" t="n">
        <f aca="false">IF(AND(K74="نعم",O74&lt;0),-O74+ROW()*0.000000001,0)</f>
        <v>0</v>
      </c>
      <c r="Y74" s="109" t="n">
        <f aca="false">IF(AND(K74="نعم",O74&gt;0),O74+ROW()*0.000000001,0)</f>
        <v>0</v>
      </c>
      <c r="Z74" s="110" t="n">
        <f aca="false">SUMIFS('مشتريات يومية'!$D$2:$D$4001,'مشتريات يومية'!$B$2:$B$4001,$B$2,'مشتريات يومية'!$C$2:$C$4001,$A74,'مشتريات يومية'!$A$2:$A$4001,'إعدادات المخزون'!$B$4)+SUMIFS('هالك وتحويلات'!$E$2:$E$3001,'هالك وتحويلات'!$B$2:$B$3001,$B$2,'هالك وتحويلات'!$C$2:$C$3001,$A74,'هالك وتحويلات'!$D$2:$D$3001,"تحويل وارد",'هالك وتحويلات'!$A$2:$A$3001,'إعدادات المخزون'!$B$4)-SUMIFS('هالك وتحويلات'!$E$2:$E$3001,'هالك وتحويلات'!$B$2:$B$3001,$B$2,'هالك وتحويلات'!$C$2:$C$3001,$A74,'هالك وتحويلات'!$D$2:$D$3001,"تحويل صادر",'هالك وتحويلات'!$A$2:$A$3001,'إعدادات المخزون'!$B$4)-SUMIFS('هالك وتحويلات'!$E$2:$E$3001,'هالك وتحويلات'!$B$2:$B$3001,$B$2,'هالك وتحويلات'!$C$2:$C$3001,$A74,'هالك وتحويلات'!$D$2:$D$3001,"هالك",'هالك وتحويلات'!$A$2:$A$3001,'إعدادات المخزون'!$B$4)-SUMIFS('هالك وتحويلات'!$E$2:$E$3001,'هالك وتحويلات'!$B$2:$B$3001,$B$2,'هالك وتحويلات'!$C$2:$C$3001,$A74,'هالك وتحويلات'!$D$2:$D$3001,"ضيافة / أكل موظفين",'هالك وتحويلات'!$A$2:$A$3001,'إعدادات المخزون'!$B$4)-SUMPRODUCT('مصفوفة الاستهلاك'!$BQ$2:$BQ$190,'متجهات المبيعات'!$B$2:$B$190)/'مواد المخزون'!$D$69</f>
        <v>-1.5990642</v>
      </c>
      <c r="AA74" s="109" t="n">
        <f aca="false">IF(K74="نعم",O74,0)</f>
        <v>0</v>
      </c>
      <c r="AB74" s="109" t="n">
        <f aca="false">IF(K74="نعم",J74*C74,0)</f>
        <v>0</v>
      </c>
      <c r="AC74" s="109" t="n">
        <f aca="false">IF(T74="",0,T74)</f>
        <v>0</v>
      </c>
    </row>
    <row r="75" customFormat="false" ht="15" hidden="false" customHeight="false" outlineLevel="0" collapsed="false">
      <c r="A75" s="34" t="str">
        <f aca="false">'مواد المخزون'!A70</f>
        <v>كراسي بيتزا</v>
      </c>
      <c r="B75" s="36" t="str">
        <f aca="false">'مواد المخزون'!B70</f>
        <v>قطعة</v>
      </c>
      <c r="C75" s="109" t="n">
        <f aca="false">'مواد المخزون'!E70</f>
        <v>0.5</v>
      </c>
      <c r="D75" s="110" t="n">
        <f aca="false">'جرد أول المدة'!C73</f>
        <v>475</v>
      </c>
      <c r="E75" s="110" t="n">
        <f aca="false">SUMIFS('مشتريات يومية'!$D$2:$D$4001,'مشتريات يومية'!$B$2:$B$4001,$B$2,'مشتريات يومية'!$C$2:$C$4001,$A75,'مشتريات يومية'!$A$2:$A$4001,"&gt;="&amp;'إعدادات المخزون'!$B$5,'مشتريات يومية'!$A$2:$A$4001,"&lt;="&amp;'إعدادات المخزون'!$B$4)</f>
        <v>1200</v>
      </c>
      <c r="F75" s="110" t="n">
        <f aca="false">SUMIFS('هالك وتحويلات'!$E$2:$E$3001,'هالك وتحويلات'!$B$2:$B$3001,$B$2,'هالك وتحويلات'!$C$2:$C$3001,$A75,'هالك وتحويلات'!$D$2:$D$3001,"تحويل وارد",'هالك وتحويلات'!$A$2:$A$3001,"&gt;="&amp;'إعدادات المخزون'!$B$5,'هالك وتحويلات'!$A$2:$A$3001,"&lt;="&amp;'إعدادات المخزون'!$B$4)</f>
        <v>0</v>
      </c>
      <c r="G75" s="110" t="n">
        <f aca="false">SUMIFS('هالك وتحويلات'!$E$2:$E$3001,'هالك وتحويلات'!$B$2:$B$3001,$B$2,'هالك وتحويلات'!$C$2:$C$3001,$A75,'هالك وتحويلات'!$D$2:$D$3001,"تحويل صادر",'هالك وتحويلات'!$A$2:$A$3001,"&gt;="&amp;'إعدادات المخزون'!$B$5,'هالك وتحويلات'!$A$2:$A$3001,"&lt;="&amp;'إعدادات المخزون'!$B$4)</f>
        <v>0</v>
      </c>
      <c r="H75" s="110" t="n">
        <f aca="false">SUMPRODUCT('مصفوفة الاستهلاك'!$BR$2:$BR$190,'متجهات المبيعات'!$C$2:$C$190)/'مواد المخزون'!$D$70</f>
        <v>1651.497</v>
      </c>
      <c r="I75" s="110" t="n">
        <f aca="false">SUMIFS('هالك وتحويلات'!$E$2:$E$3001,'هالك وتحويلات'!$B$2:$B$3001,$B$2,'هالك وتحويلات'!$C$2:$C$3001,$A75,'هالك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وتحويلات'!$C$2:$C$3001,$A75,'هالك وتحويلات'!$D$2:$D$3001,"ضيافة / أكل موظفين",'هالك وتحويلات'!$A$2:$A$3001,"&gt;="&amp;'إعدادات المخزون'!$B$5,'هالك وتحويلات'!$A$2:$A$3001,"&lt;="&amp;'إعدادات المخزون'!$B$4)</f>
        <v>0</v>
      </c>
      <c r="J75" s="110" t="n">
        <f aca="false">D75+E75+F75-G75-H75-I75</f>
        <v>23.5029999999999</v>
      </c>
      <c r="K75" s="36" t="str">
        <f aca="false">IF(COUNTIFS('جرد فعلي'!$B$2:$B$12001,$B$2,'جرد فعلي'!$C$2:$C$12001,$A75,'جرد فعلي'!$A$2:$A$12001,'إعدادات المخزون'!$B$4)&gt;0,"نعم","لا")</f>
        <v>لا</v>
      </c>
      <c r="L75" s="111" t="str">
        <f aca="false">IF(K75="نعم",SUMIFS('جرد فعلي'!$D$2:$D$12001,'جرد فعلي'!$B$2:$B$12001,$B$2,'جرد فعلي'!$C$2:$C$12001,$A75,'جرد فعلي'!$A$2:$A$12001,'إعدادات المخزون'!$B$4),"")</f>
        <v/>
      </c>
      <c r="M75" s="110" t="str">
        <f aca="false">IF(K75="نعم",L75-J75,"")</f>
        <v/>
      </c>
      <c r="N75" s="112" t="str">
        <f aca="false">IF(K75="نعم",IF(J75=0,IF(M75=0,0,SIGN(M75)),M75/ABS(J75)),"")</f>
        <v/>
      </c>
      <c r="O75" s="109" t="str">
        <f aca="false">IF(K75="نعم",M75*C75,"")</f>
        <v/>
      </c>
      <c r="P75" s="36" t="str">
        <f aca="false">IF(K75&lt;&gt;"نعم","لم يُجرد",IF(ABS(N75)&lt;='إعدادات المخزون'!$B$7,"مطابق",IF(M75&lt;0,"عجز","زيادة")))</f>
        <v>لم يُجرد</v>
      </c>
      <c r="Q75" s="110" t="n">
        <f aca="false">J75-Z75</f>
        <v>161.12775</v>
      </c>
      <c r="R75" s="110" t="str">
        <f aca="false">IF(COUNTIFS('جرد فعلي'!$B$2:$B$12001,$B$2,'جرد فعلي'!$C$2:$C$12001,$A75,'جرد فعلي'!$A$2:$A$12001,'إعدادات المخزون'!$B$4-1)&gt;0,SUMIFS('جرد فعلي'!$D$2:$D$12001,'جرد فعلي'!$B$2:$B$12001,$B$2,'جرد فعلي'!$C$2:$C$12001,$A75,'جرد فعلي'!$A$2:$A$12001,'إعدادات المخزون'!$B$4-1),"")</f>
        <v/>
      </c>
      <c r="S75" s="110" t="str">
        <f aca="false">IF(AND(K75="نعم",R75&lt;&gt;""),(L75-J75)-(R75-Q75),"")</f>
        <v/>
      </c>
      <c r="T75" s="109" t="str">
        <f aca="false">IF(S75="","",S75*C75)</f>
        <v/>
      </c>
      <c r="U75" s="110" t="n">
        <f aca="false">IF(K75="نعم",L75,J75)</f>
        <v>23.5029999999999</v>
      </c>
      <c r="V75" s="110" t="n">
        <f aca="false">SUMPRODUCT('مصفوفة الاستهلاك'!$BR$2:$BR$190,'متجهات المبيعات'!$D$2:$D$190)/'مواد المخزون'!$D$70/MAX(1,MIN('إعدادات المخزون'!$B$11,'إعدادات المخزون'!$B$4-'إعدادات المخزون'!$B$5+1))</f>
        <v>137.62475</v>
      </c>
      <c r="W75" s="110" t="n">
        <f aca="false">IF(V75&lt;=0,0,ROUNDUP(MAX(0,V75*('إعدادات المخزون'!$B$8+'إعدادات المخزون'!$B$9+'إعدادات المخزون'!$B$10)-MAX(U75,0))/'مواد المخزون'!$F70,0)*'مواد المخزون'!$F70)</f>
        <v>527</v>
      </c>
      <c r="X75" s="109" t="n">
        <f aca="false">IF(AND(K75="نعم",O75&lt;0),-O75+ROW()*0.000000001,0)</f>
        <v>0</v>
      </c>
      <c r="Y75" s="109" t="n">
        <f aca="false">IF(AND(K75="نعم",O75&gt;0),O75+ROW()*0.000000001,0)</f>
        <v>0</v>
      </c>
      <c r="Z75" s="110" t="n">
        <f aca="false">SUMIFS('مشتريات يومية'!$D$2:$D$4001,'مشتريات يومية'!$B$2:$B$4001,$B$2,'مشتريات يومية'!$C$2:$C$4001,$A75,'مشتريات يومية'!$A$2:$A$4001,'إعدادات المخزون'!$B$4)+SUMIFS('هالك وتحويلات'!$E$2:$E$3001,'هالك وتحويلات'!$B$2:$B$3001,$B$2,'هالك وتحويلات'!$C$2:$C$3001,$A75,'هالك وتحويلات'!$D$2:$D$3001,"تحويل وارد",'هالك وتحويلات'!$A$2:$A$3001,'إعدادات المخزون'!$B$4)-SUMIFS('هالك وتحويلات'!$E$2:$E$3001,'هالك وتحويلات'!$B$2:$B$3001,$B$2,'هالك وتحويلات'!$C$2:$C$3001,$A75,'هالك وتحويلات'!$D$2:$D$3001,"تحويل صادر",'هالك وتحويلات'!$A$2:$A$3001,'إعدادات المخزون'!$B$4)-SUMIFS('هالك وتحويلات'!$E$2:$E$3001,'هالك وتحويلات'!$B$2:$B$3001,$B$2,'هالك وتحويلات'!$C$2:$C$3001,$A75,'هالك وتحويلات'!$D$2:$D$3001,"هالك",'هالك وتحويلات'!$A$2:$A$3001,'إعدادات المخزون'!$B$4)-SUMIFS('هالك وتحويلات'!$E$2:$E$3001,'هالك وتحويلات'!$B$2:$B$3001,$B$2,'هالك وتحويلات'!$C$2:$C$3001,$A75,'هالك وتحويلات'!$D$2:$D$3001,"ضيافة / أكل موظفين",'هالك وتحويلات'!$A$2:$A$3001,'إعدادات المخزون'!$B$4)-SUMPRODUCT('مصفوفة الاستهلاك'!$BR$2:$BR$190,'متجهات المبيعات'!$B$2:$B$190)/'مواد المخزون'!$D$70</f>
        <v>-137.62475</v>
      </c>
      <c r="AA75" s="109" t="n">
        <f aca="false">IF(K75="نعم",O75,0)</f>
        <v>0</v>
      </c>
      <c r="AB75" s="109" t="n">
        <f aca="false">IF(K75="نعم",J75*C75,0)</f>
        <v>0</v>
      </c>
      <c r="AC75" s="109" t="n">
        <f aca="false">IF(T75="",0,T75)</f>
        <v>0</v>
      </c>
    </row>
    <row r="76" customFormat="false" ht="15" hidden="false" customHeight="false" outlineLevel="0" collapsed="false">
      <c r="A76" s="34" t="str">
        <f aca="false">'مواد المخزون'!A71</f>
        <v>كريز احمر</v>
      </c>
      <c r="B76" s="36" t="str">
        <f aca="false">'مواد المخزون'!B71</f>
        <v>كجم</v>
      </c>
      <c r="C76" s="109" t="n">
        <f aca="false">'مواد المخزون'!E71</f>
        <v>420</v>
      </c>
      <c r="D76" s="110" t="n">
        <f aca="false">'جرد أول المدة'!C74</f>
        <v>0.8</v>
      </c>
      <c r="E76" s="110" t="n">
        <f aca="false">SUMIFS('مشتريات يومية'!$D$2:$D$4001,'مشتريات يومية'!$B$2:$B$4001,$B$2,'مشتريات يومية'!$C$2:$C$4001,$A76,'مشتريات يومية'!$A$2:$A$4001,"&gt;="&amp;'إعدادات المخزون'!$B$5,'مشتريات يومية'!$A$2:$A$4001,"&lt;="&amp;'إعدادات المخزون'!$B$4)</f>
        <v>3</v>
      </c>
      <c r="F76" s="110" t="n">
        <f aca="false">SUMIFS('هالك وتحويلات'!$E$2:$E$3001,'هالك وتحويلات'!$B$2:$B$3001,$B$2,'هالك وتحويلات'!$C$2:$C$3001,$A76,'هالك وتحويلات'!$D$2:$D$3001,"تحويل وارد",'هالك وتحويلات'!$A$2:$A$3001,"&gt;="&amp;'إعدادات المخزون'!$B$5,'هالك وتحويلات'!$A$2:$A$3001,"&lt;="&amp;'إعدادات المخزون'!$B$4)</f>
        <v>0</v>
      </c>
      <c r="G76" s="110" t="n">
        <f aca="false">SUMIFS('هالك وتحويلات'!$E$2:$E$3001,'هالك وتحويلات'!$B$2:$B$3001,$B$2,'هالك وتحويلات'!$C$2:$C$3001,$A76,'هالك وتحويلات'!$D$2:$D$3001,"تحويل صادر",'هالك وتحويلات'!$A$2:$A$3001,"&gt;="&amp;'إعدادات المخزون'!$B$5,'هالك وتحويلات'!$A$2:$A$3001,"&lt;="&amp;'إعدادات المخزون'!$B$4)</f>
        <v>0</v>
      </c>
      <c r="H76" s="110" t="n">
        <f aca="false">SUMPRODUCT('مصفوفة الاستهلاك'!$BS$2:$BS$190,'متجهات المبيعات'!$C$2:$C$190)/'مواد المخزون'!$D$71</f>
        <v>1.275</v>
      </c>
      <c r="I76" s="110" t="n">
        <f aca="false">SUMIFS('هالك وتحويلات'!$E$2:$E$3001,'هالك وتحويلات'!$B$2:$B$3001,$B$2,'هالك وتحويلات'!$C$2:$C$3001,$A76,'هالك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وتحويلات'!$C$2:$C$3001,$A76,'هالك وتحويلات'!$D$2:$D$3001,"ضيافة / أكل موظفين",'هالك وتحويلات'!$A$2:$A$3001,"&gt;="&amp;'إعدادات المخزون'!$B$5,'هالك وتحويلات'!$A$2:$A$3001,"&lt;="&amp;'إعدادات المخزون'!$B$4)</f>
        <v>0</v>
      </c>
      <c r="J76" s="110" t="n">
        <f aca="false">D76+E76+F76-G76-H76-I76</f>
        <v>2.525</v>
      </c>
      <c r="K76" s="36" t="str">
        <f aca="false">IF(COUNTIFS('جرد فعلي'!$B$2:$B$12001,$B$2,'جرد فعلي'!$C$2:$C$12001,$A76,'جرد فعلي'!$A$2:$A$12001,'إعدادات المخزون'!$B$4)&gt;0,"نعم","لا")</f>
        <v>لا</v>
      </c>
      <c r="L76" s="111" t="str">
        <f aca="false">IF(K76="نعم",SUMIFS('جرد فعلي'!$D$2:$D$12001,'جرد فعلي'!$B$2:$B$12001,$B$2,'جرد فعلي'!$C$2:$C$12001,$A76,'جرد فعلي'!$A$2:$A$12001,'إعدادات المخزون'!$B$4),"")</f>
        <v/>
      </c>
      <c r="M76" s="110" t="str">
        <f aca="false">IF(K76="نعم",L76-J76,"")</f>
        <v/>
      </c>
      <c r="N76" s="112" t="str">
        <f aca="false">IF(K76="نعم",IF(J76=0,IF(M76=0,0,SIGN(M76)),M76/ABS(J76)),"")</f>
        <v/>
      </c>
      <c r="O76" s="109" t="str">
        <f aca="false">IF(K76="نعم",M76*C76,"")</f>
        <v/>
      </c>
      <c r="P76" s="36" t="str">
        <f aca="false">IF(K76&lt;&gt;"نعم","لم يُجرد",IF(ABS(N76)&lt;='إعدادات المخزون'!$B$7,"مطابق",IF(M76&lt;0,"عجز","زيادة")))</f>
        <v>لم يُجرد</v>
      </c>
      <c r="Q76" s="110" t="n">
        <f aca="false">J76-Z76</f>
        <v>2.63125</v>
      </c>
      <c r="R76" s="110" t="str">
        <f aca="false">IF(COUNTIFS('جرد فعلي'!$B$2:$B$12001,$B$2,'جرد فعلي'!$C$2:$C$12001,$A76,'جرد فعلي'!$A$2:$A$12001,'إعدادات المخزون'!$B$4-1)&gt;0,SUMIFS('جرد فعلي'!$D$2:$D$12001,'جرد فعلي'!$B$2:$B$12001,$B$2,'جرد فعلي'!$C$2:$C$12001,$A76,'جرد فعلي'!$A$2:$A$12001,'إعدادات المخزون'!$B$4-1),"")</f>
        <v/>
      </c>
      <c r="S76" s="110" t="str">
        <f aca="false">IF(AND(K76="نعم",R76&lt;&gt;""),(L76-J76)-(R76-Q76),"")</f>
        <v/>
      </c>
      <c r="T76" s="109" t="str">
        <f aca="false">IF(S76="","",S76*C76)</f>
        <v/>
      </c>
      <c r="U76" s="110" t="n">
        <f aca="false">IF(K76="نعم",L76,J76)</f>
        <v>2.525</v>
      </c>
      <c r="V76" s="110" t="n">
        <f aca="false">SUMPRODUCT('مصفوفة الاستهلاك'!$BS$2:$BS$190,'متجهات المبيعات'!$D$2:$D$190)/'مواد المخزون'!$D$71/MAX(1,MIN('إعدادات المخزون'!$B$11,'إعدادات المخزون'!$B$4-'إعدادات المخزون'!$B$5+1))</f>
        <v>0.10625</v>
      </c>
      <c r="W76" s="110" t="n">
        <f aca="false">IF(V76&lt;=0,0,ROUNDUP(MAX(0,V76*('إعدادات المخزون'!$B$8+'إعدادات المخزون'!$B$9+'إعدادات المخزون'!$B$10)-MAX(U76,0))/'مواد المخزون'!$F71,0)*'مواد المخزون'!$F71)</f>
        <v>0</v>
      </c>
      <c r="X76" s="109" t="n">
        <f aca="false">IF(AND(K76="نعم",O76&lt;0),-O76+ROW()*0.000000001,0)</f>
        <v>0</v>
      </c>
      <c r="Y76" s="109" t="n">
        <f aca="false">IF(AND(K76="نعم",O76&gt;0),O76+ROW()*0.000000001,0)</f>
        <v>0</v>
      </c>
      <c r="Z76" s="110" t="n">
        <f aca="false">SUMIFS('مشتريات يومية'!$D$2:$D$4001,'مشتريات يومية'!$B$2:$B$4001,$B$2,'مشتريات يومية'!$C$2:$C$4001,$A76,'مشتريات يومية'!$A$2:$A$4001,'إعدادات المخزون'!$B$4)+SUMIFS('هالك وتحويلات'!$E$2:$E$3001,'هالك وتحويلات'!$B$2:$B$3001,$B$2,'هالك وتحويلات'!$C$2:$C$3001,$A76,'هالك وتحويلات'!$D$2:$D$3001,"تحويل وارد",'هالك وتحويلات'!$A$2:$A$3001,'إعدادات المخزون'!$B$4)-SUMIFS('هالك وتحويلات'!$E$2:$E$3001,'هالك وتحويلات'!$B$2:$B$3001,$B$2,'هالك وتحويلات'!$C$2:$C$3001,$A76,'هالك وتحويلات'!$D$2:$D$3001,"تحويل صادر",'هالك وتحويلات'!$A$2:$A$3001,'إعدادات المخزون'!$B$4)-SUMIFS('هالك وتحويلات'!$E$2:$E$3001,'هالك وتحويلات'!$B$2:$B$3001,$B$2,'هالك وتحويلات'!$C$2:$C$3001,$A76,'هالك وتحويلات'!$D$2:$D$3001,"هالك",'هالك وتحويلات'!$A$2:$A$3001,'إعدادات المخزون'!$B$4)-SUMIFS('هالك وتحويلات'!$E$2:$E$3001,'هالك وتحويلات'!$B$2:$B$3001,$B$2,'هالك وتحويلات'!$C$2:$C$3001,$A76,'هالك وتحويلات'!$D$2:$D$3001,"ضيافة / أكل موظفين",'هالك وتحويلات'!$A$2:$A$3001,'إعدادات المخزون'!$B$4)-SUMPRODUCT('مصفوفة الاستهلاك'!$BS$2:$BS$190,'متجهات المبيعات'!$B$2:$B$190)/'مواد المخزون'!$D$71</f>
        <v>-0.10625</v>
      </c>
      <c r="AA76" s="109" t="n">
        <f aca="false">IF(K76="نعم",O76,0)</f>
        <v>0</v>
      </c>
      <c r="AB76" s="109" t="n">
        <f aca="false">IF(K76="نعم",J76*C76,0)</f>
        <v>0</v>
      </c>
      <c r="AC76" s="109" t="n">
        <f aca="false">IF(T76="",0,T76)</f>
        <v>0</v>
      </c>
    </row>
    <row r="77" customFormat="false" ht="15" hidden="false" customHeight="false" outlineLevel="0" collapsed="false">
      <c r="A77" s="34" t="str">
        <f aca="false">'مواد المخزون'!A72</f>
        <v>كفرات كريب</v>
      </c>
      <c r="B77" s="36" t="str">
        <f aca="false">'مواد المخزون'!B72</f>
        <v>قطعة</v>
      </c>
      <c r="C77" s="109" t="n">
        <f aca="false">'مواد المخزون'!E72</f>
        <v>2</v>
      </c>
      <c r="D77" s="110" t="n">
        <f aca="false">'جرد أول المدة'!C75</f>
        <v>190</v>
      </c>
      <c r="E77" s="110" t="n">
        <f aca="false">SUMIFS('مشتريات يومية'!$D$2:$D$4001,'مشتريات يومية'!$B$2:$B$4001,$B$2,'مشتريات يومية'!$C$2:$C$4001,$A77,'مشتريات يومية'!$A$2:$A$4001,"&gt;="&amp;'إعدادات المخزون'!$B$5,'مشتريات يومية'!$A$2:$A$4001,"&lt;="&amp;'إعدادات المخزون'!$B$4)</f>
        <v>0</v>
      </c>
      <c r="F77" s="110" t="n">
        <f aca="false">SUMIFS('هالك وتحويلات'!$E$2:$E$3001,'هالك وتحويلات'!$B$2:$B$3001,$B$2,'هالك وتحويلات'!$C$2:$C$3001,$A77,'هالك وتحويلات'!$D$2:$D$3001,"تحويل وارد",'هالك وتحويلات'!$A$2:$A$3001,"&gt;="&amp;'إعدادات المخزون'!$B$5,'هالك وتحويلات'!$A$2:$A$3001,"&lt;="&amp;'إعدادات المخزون'!$B$4)</f>
        <v>0</v>
      </c>
      <c r="G77" s="110" t="n">
        <f aca="false">SUMIFS('هالك وتحويلات'!$E$2:$E$3001,'هالك وتحويلات'!$B$2:$B$3001,$B$2,'هالك وتحويلات'!$C$2:$C$3001,$A77,'هالك وتحويلات'!$D$2:$D$3001,"تحويل صادر",'هالك وتحويلات'!$A$2:$A$3001,"&gt;="&amp;'إعدادات المخزون'!$B$5,'هالك وتحويلات'!$A$2:$A$3001,"&lt;="&amp;'إعدادات المخزون'!$B$4)</f>
        <v>0</v>
      </c>
      <c r="H77" s="110" t="n">
        <f aca="false">SUMPRODUCT('مصفوفة الاستهلاك'!$BT$2:$BT$190,'متجهات المبيعات'!$C$2:$C$190)/'مواد المخزون'!$D$72</f>
        <v>144.9996</v>
      </c>
      <c r="I77" s="110" t="n">
        <f aca="false">SUMIFS('هالك وتحويلات'!$E$2:$E$3001,'هالك وتحويلات'!$B$2:$B$3001,$B$2,'هالك وتحويلات'!$C$2:$C$3001,$A77,'هالك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وتحويلات'!$C$2:$C$3001,$A77,'هالك وتحويلات'!$D$2:$D$3001,"ضيافة / أكل موظفين",'هالك وتحويلات'!$A$2:$A$3001,"&gt;="&amp;'إعدادات المخزون'!$B$5,'هالك وتحويلات'!$A$2:$A$3001,"&lt;="&amp;'إعدادات المخزون'!$B$4)</f>
        <v>0</v>
      </c>
      <c r="J77" s="110" t="n">
        <f aca="false">D77+E77+F77-G77-H77-I77</f>
        <v>45.0004</v>
      </c>
      <c r="K77" s="36" t="str">
        <f aca="false">IF(COUNTIFS('جرد فعلي'!$B$2:$B$12001,$B$2,'جرد فعلي'!$C$2:$C$12001,$A77,'جرد فعلي'!$A$2:$A$12001,'إعدادات المخزون'!$B$4)&gt;0,"نعم","لا")</f>
        <v>لا</v>
      </c>
      <c r="L77" s="111" t="str">
        <f aca="false">IF(K77="نعم",SUMIFS('جرد فعلي'!$D$2:$D$12001,'جرد فعلي'!$B$2:$B$12001,$B$2,'جرد فعلي'!$C$2:$C$12001,$A77,'جرد فعلي'!$A$2:$A$12001,'إعدادات المخزون'!$B$4),"")</f>
        <v/>
      </c>
      <c r="M77" s="110" t="str">
        <f aca="false">IF(K77="نعم",L77-J77,"")</f>
        <v/>
      </c>
      <c r="N77" s="112" t="str">
        <f aca="false">IF(K77="نعم",IF(J77=0,IF(M77=0,0,SIGN(M77)),M77/ABS(J77)),"")</f>
        <v/>
      </c>
      <c r="O77" s="109" t="str">
        <f aca="false">IF(K77="نعم",M77*C77,"")</f>
        <v/>
      </c>
      <c r="P77" s="36" t="str">
        <f aca="false">IF(K77&lt;&gt;"نعم","لم يُجرد",IF(ABS(N77)&lt;='إعدادات المخزون'!$B$7,"مطابق",IF(M77&lt;0,"عجز","زيادة")))</f>
        <v>لم يُجرد</v>
      </c>
      <c r="Q77" s="110" t="n">
        <f aca="false">J77-Z77</f>
        <v>57.0837</v>
      </c>
      <c r="R77" s="110" t="str">
        <f aca="false">IF(COUNTIFS('جرد فعلي'!$B$2:$B$12001,$B$2,'جرد فعلي'!$C$2:$C$12001,$A77,'جرد فعلي'!$A$2:$A$12001,'إعدادات المخزون'!$B$4-1)&gt;0,SUMIFS('جرد فعلي'!$D$2:$D$12001,'جرد فعلي'!$B$2:$B$12001,$B$2,'جرد فعلي'!$C$2:$C$12001,$A77,'جرد فعلي'!$A$2:$A$12001,'إعدادات المخزون'!$B$4-1),"")</f>
        <v/>
      </c>
      <c r="S77" s="110" t="str">
        <f aca="false">IF(AND(K77="نعم",R77&lt;&gt;""),(L77-J77)-(R77-Q77),"")</f>
        <v/>
      </c>
      <c r="T77" s="109" t="str">
        <f aca="false">IF(S77="","",S77*C77)</f>
        <v/>
      </c>
      <c r="U77" s="110" t="n">
        <f aca="false">IF(K77="نعم",L77,J77)</f>
        <v>45.0004</v>
      </c>
      <c r="V77" s="110" t="n">
        <f aca="false">SUMPRODUCT('مصفوفة الاستهلاك'!$BT$2:$BT$190,'متجهات المبيعات'!$D$2:$D$190)/'مواد المخزون'!$D$72/MAX(1,MIN('إعدادات المخزون'!$B$11,'إعدادات المخزون'!$B$4-'إعدادات المخزون'!$B$5+1))</f>
        <v>12.0833</v>
      </c>
      <c r="W77" s="110" t="n">
        <f aca="false">IF(V77&lt;=0,0,ROUNDUP(MAX(0,V77*('إعدادات المخزون'!$B$8+'إعدادات المخزون'!$B$9+'إعدادات المخزون'!$B$10)-MAX(U77,0))/'مواد المخزون'!$F72,0)*'مواد المخزون'!$F72)</f>
        <v>4</v>
      </c>
      <c r="X77" s="109" t="n">
        <f aca="false">IF(AND(K77="نعم",O77&lt;0),-O77+ROW()*0.000000001,0)</f>
        <v>0</v>
      </c>
      <c r="Y77" s="109" t="n">
        <f aca="false">IF(AND(K77="نعم",O77&gt;0),O77+ROW()*0.000000001,0)</f>
        <v>0</v>
      </c>
      <c r="Z77" s="110" t="n">
        <f aca="false">SUMIFS('مشتريات يومية'!$D$2:$D$4001,'مشتريات يومية'!$B$2:$B$4001,$B$2,'مشتريات يومية'!$C$2:$C$4001,$A77,'مشتريات يومية'!$A$2:$A$4001,'إعدادات المخزون'!$B$4)+SUMIFS('هالك وتحويلات'!$E$2:$E$3001,'هالك وتحويلات'!$B$2:$B$3001,$B$2,'هالك وتحويلات'!$C$2:$C$3001,$A77,'هالك وتحويلات'!$D$2:$D$3001,"تحويل وارد",'هالك وتحويلات'!$A$2:$A$3001,'إعدادات المخزون'!$B$4)-SUMIFS('هالك وتحويلات'!$E$2:$E$3001,'هالك وتحويلات'!$B$2:$B$3001,$B$2,'هالك وتحويلات'!$C$2:$C$3001,$A77,'هالك وتحويلات'!$D$2:$D$3001,"تحويل صادر",'هالك وتحويلات'!$A$2:$A$3001,'إعدادات المخزون'!$B$4)-SUMIFS('هالك وتحويلات'!$E$2:$E$3001,'هالك وتحويلات'!$B$2:$B$3001,$B$2,'هالك وتحويلات'!$C$2:$C$3001,$A77,'هالك وتحويلات'!$D$2:$D$3001,"هالك",'هالك وتحويلات'!$A$2:$A$3001,'إعدادات المخزون'!$B$4)-SUMIFS('هالك وتحويلات'!$E$2:$E$3001,'هالك وتحويلات'!$B$2:$B$3001,$B$2,'هالك وتحويلات'!$C$2:$C$3001,$A77,'هالك وتحويلات'!$D$2:$D$3001,"ضيافة / أكل موظفين",'هالك وتحويلات'!$A$2:$A$3001,'إعدادات المخزون'!$B$4)-SUMPRODUCT('مصفوفة الاستهلاك'!$BT$2:$BT$190,'متجهات المبيعات'!$B$2:$B$190)/'مواد المخزون'!$D$72</f>
        <v>-12.0833</v>
      </c>
      <c r="AA77" s="109" t="n">
        <f aca="false">IF(K77="نعم",O77,0)</f>
        <v>0</v>
      </c>
      <c r="AB77" s="109" t="n">
        <f aca="false">IF(K77="نعم",J77*C77,0)</f>
        <v>0</v>
      </c>
      <c r="AC77" s="109" t="n">
        <f aca="false">IF(T77="",0,T77)</f>
        <v>0</v>
      </c>
    </row>
    <row r="78" customFormat="false" ht="15" hidden="false" customHeight="false" outlineLevel="0" collapsed="false">
      <c r="A78" s="34" t="str">
        <f aca="false">'مواد المخزون'!A73</f>
        <v>لبن</v>
      </c>
      <c r="B78" s="36" t="str">
        <f aca="false">'مواد المخزون'!B73</f>
        <v>لتر</v>
      </c>
      <c r="C78" s="109" t="n">
        <f aca="false">'مواد المخزون'!E73</f>
        <v>20.6667</v>
      </c>
      <c r="D78" s="110" t="n">
        <f aca="false">'جرد أول المدة'!C76</f>
        <v>3</v>
      </c>
      <c r="E78" s="110" t="n">
        <f aca="false">SUMIFS('مشتريات يومية'!$D$2:$D$4001,'مشتريات يومية'!$B$2:$B$4001,$B$2,'مشتريات يومية'!$C$2:$C$4001,$A78,'مشتريات يومية'!$A$2:$A$4001,"&gt;="&amp;'إعدادات المخزون'!$B$5,'مشتريات يومية'!$A$2:$A$4001,"&lt;="&amp;'إعدادات المخزون'!$B$4)</f>
        <v>110</v>
      </c>
      <c r="F78" s="110" t="n">
        <f aca="false">SUMIFS('هالك وتحويلات'!$E$2:$E$3001,'هالك وتحويلات'!$B$2:$B$3001,$B$2,'هالك وتحويلات'!$C$2:$C$3001,$A78,'هالك وتحويلات'!$D$2:$D$3001,"تحويل وارد",'هالك وتحويلات'!$A$2:$A$3001,"&gt;="&amp;'إعدادات المخزون'!$B$5,'هالك وتحويلات'!$A$2:$A$3001,"&lt;="&amp;'إعدادات المخزون'!$B$4)</f>
        <v>0</v>
      </c>
      <c r="G78" s="110" t="n">
        <f aca="false">SUMIFS('هالك وتحويلات'!$E$2:$E$3001,'هالك وتحويلات'!$B$2:$B$3001,$B$2,'هالك وتحويلات'!$C$2:$C$3001,$A78,'هالك وتحويلات'!$D$2:$D$3001,"تحويل صادر",'هالك وتحويلات'!$A$2:$A$3001,"&gt;="&amp;'إعدادات المخزون'!$B$5,'هالك وتحويلات'!$A$2:$A$3001,"&lt;="&amp;'إعدادات المخزون'!$B$4)</f>
        <v>0</v>
      </c>
      <c r="H78" s="110" t="n">
        <f aca="false">SUMPRODUCT('مصفوفة الاستهلاك'!$BU$2:$BU$190,'متجهات المبيعات'!$C$2:$C$190)/'مواد المخزون'!$D$73</f>
        <v>145.056791999523</v>
      </c>
      <c r="I78" s="110" t="n">
        <f aca="false">SUMIFS('هالك وتحويلات'!$E$2:$E$3001,'هالك وتحويلات'!$B$2:$B$3001,$B$2,'هالك وتحويلات'!$C$2:$C$3001,$A78,'هالك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وتحويلات'!$C$2:$C$3001,$A78,'هالك وتحويلات'!$D$2:$D$3001,"ضيافة / أكل موظفين",'هالك وتحويلات'!$A$2:$A$3001,"&gt;="&amp;'إعدادات المخزون'!$B$5,'هالك وتحويلات'!$A$2:$A$3001,"&lt;="&amp;'إعدادات المخزون'!$B$4)</f>
        <v>0</v>
      </c>
      <c r="J78" s="110" t="n">
        <f aca="false">D78+E78+F78-G78-H78-I78</f>
        <v>-32.0567919995233</v>
      </c>
      <c r="K78" s="36" t="str">
        <f aca="false">IF(COUNTIFS('جرد فعلي'!$B$2:$B$12001,$B$2,'جرد فعلي'!$C$2:$C$12001,$A78,'جرد فعلي'!$A$2:$A$12001,'إعدادات المخزون'!$B$4)&gt;0,"نعم","لا")</f>
        <v>لا</v>
      </c>
      <c r="L78" s="111" t="str">
        <f aca="false">IF(K78="نعم",SUMIFS('جرد فعلي'!$D$2:$D$12001,'جرد فعلي'!$B$2:$B$12001,$B$2,'جرد فعلي'!$C$2:$C$12001,$A78,'جرد فعلي'!$A$2:$A$12001,'إعدادات المخزون'!$B$4),"")</f>
        <v/>
      </c>
      <c r="M78" s="110" t="str">
        <f aca="false">IF(K78="نعم",L78-J78,"")</f>
        <v/>
      </c>
      <c r="N78" s="112" t="str">
        <f aca="false">IF(K78="نعم",IF(J78=0,IF(M78=0,0,SIGN(M78)),M78/ABS(J78)),"")</f>
        <v/>
      </c>
      <c r="O78" s="109" t="str">
        <f aca="false">IF(K78="نعم",M78*C78,"")</f>
        <v/>
      </c>
      <c r="P78" s="36" t="str">
        <f aca="false">IF(K78&lt;&gt;"نعم","لم يُجرد",IF(ABS(N78)&lt;='إعدادات المخزون'!$B$7,"مطابق",IF(M78&lt;0,"عجز","زيادة")))</f>
        <v>لم يُجرد</v>
      </c>
      <c r="Q78" s="110" t="n">
        <f aca="false">J78-Z78</f>
        <v>-19.9687259995631</v>
      </c>
      <c r="R78" s="110" t="str">
        <f aca="false">IF(COUNTIFS('جرد فعلي'!$B$2:$B$12001,$B$2,'جرد فعلي'!$C$2:$C$12001,$A78,'جرد فعلي'!$A$2:$A$12001,'إعدادات المخزون'!$B$4-1)&gt;0,SUMIFS('جرد فعلي'!$D$2:$D$12001,'جرد فعلي'!$B$2:$B$12001,$B$2,'جرد فعلي'!$C$2:$C$12001,$A78,'جرد فعلي'!$A$2:$A$12001,'إعدادات المخزون'!$B$4-1),"")</f>
        <v/>
      </c>
      <c r="S78" s="110" t="str">
        <f aca="false">IF(AND(K78="نعم",R78&lt;&gt;""),(L78-J78)-(R78-Q78),"")</f>
        <v/>
      </c>
      <c r="T78" s="109" t="str">
        <f aca="false">IF(S78="","",S78*C78)</f>
        <v/>
      </c>
      <c r="U78" s="110" t="n">
        <f aca="false">IF(K78="نعم",L78,J78)</f>
        <v>-32.0567919995233</v>
      </c>
      <c r="V78" s="110" t="n">
        <f aca="false">SUMPRODUCT('مصفوفة الاستهلاك'!$BU$2:$BU$190,'متجهات المبيعات'!$D$2:$D$190)/'مواد المخزون'!$D$73/MAX(1,MIN('إعدادات المخزون'!$B$11,'إعدادات المخزون'!$B$4-'إعدادات المخزون'!$B$5+1))</f>
        <v>12.0880659999603</v>
      </c>
      <c r="W78" s="110" t="n">
        <f aca="false">IF(V78&lt;=0,0,ROUNDUP(MAX(0,V78*('إعدادات المخزون'!$B$8+'إعدادات المخزون'!$B$9+'إعدادات المخزون'!$B$10)-MAX(U78,0))/'مواد المخزون'!$F73,0)*'مواد المخزون'!$F73)</f>
        <v>49</v>
      </c>
      <c r="X78" s="109" t="n">
        <f aca="false">IF(AND(K78="نعم",O78&lt;0),-O78+ROW()*0.000000001,0)</f>
        <v>0</v>
      </c>
      <c r="Y78" s="109" t="n">
        <f aca="false">IF(AND(K78="نعم",O78&gt;0),O78+ROW()*0.000000001,0)</f>
        <v>0</v>
      </c>
      <c r="Z78" s="110" t="n">
        <f aca="false">SUMIFS('مشتريات يومية'!$D$2:$D$4001,'مشتريات يومية'!$B$2:$B$4001,$B$2,'مشتريات يومية'!$C$2:$C$4001,$A78,'مشتريات يومية'!$A$2:$A$4001,'إعدادات المخزون'!$B$4)+SUMIFS('هالك وتحويلات'!$E$2:$E$3001,'هالك وتحويلات'!$B$2:$B$3001,$B$2,'هالك وتحويلات'!$C$2:$C$3001,$A78,'هالك وتحويلات'!$D$2:$D$3001,"تحويل وارد",'هالك وتحويلات'!$A$2:$A$3001,'إعدادات المخزون'!$B$4)-SUMIFS('هالك وتحويلات'!$E$2:$E$3001,'هالك وتحويلات'!$B$2:$B$3001,$B$2,'هالك وتحويلات'!$C$2:$C$3001,$A78,'هالك وتحويلات'!$D$2:$D$3001,"تحويل صادر",'هالك وتحويلات'!$A$2:$A$3001,'إعدادات المخزون'!$B$4)-SUMIFS('هالك وتحويلات'!$E$2:$E$3001,'هالك وتحويلات'!$B$2:$B$3001,$B$2,'هالك وتحويلات'!$C$2:$C$3001,$A78,'هالك وتحويلات'!$D$2:$D$3001,"هالك",'هالك وتحويلات'!$A$2:$A$3001,'إعدادات المخزون'!$B$4)-SUMIFS('هالك وتحويلات'!$E$2:$E$3001,'هالك وتحويلات'!$B$2:$B$3001,$B$2,'هالك وتحويلات'!$C$2:$C$3001,$A78,'هالك وتحويلات'!$D$2:$D$3001,"ضيافة / أكل موظفين",'هالك وتحويلات'!$A$2:$A$3001,'إعدادات المخزون'!$B$4)-SUMPRODUCT('مصفوفة الاستهلاك'!$BU$2:$BU$190,'متجهات المبيعات'!$B$2:$B$190)/'مواد المخزون'!$D$73</f>
        <v>-12.0880659999603</v>
      </c>
      <c r="AA78" s="109" t="n">
        <f aca="false">IF(K78="نعم",O78,0)</f>
        <v>0</v>
      </c>
      <c r="AB78" s="109" t="n">
        <f aca="false">IF(K78="نعم",J78*C78,0)</f>
        <v>0</v>
      </c>
      <c r="AC78" s="109" t="n">
        <f aca="false">IF(T78="",0,T78)</f>
        <v>0</v>
      </c>
    </row>
    <row r="79" customFormat="false" ht="15" hidden="false" customHeight="false" outlineLevel="0" collapsed="false">
      <c r="A79" s="34" t="str">
        <f aca="false">'مواد المخزون'!A74</f>
        <v>لعبة اطفال</v>
      </c>
      <c r="B79" s="36" t="str">
        <f aca="false">'مواد المخزون'!B74</f>
        <v>قطعة</v>
      </c>
      <c r="C79" s="109" t="n">
        <f aca="false">'مواد المخزون'!E74</f>
        <v>6</v>
      </c>
      <c r="D79" s="110" t="n">
        <f aca="false">'جرد أول المدة'!C77</f>
        <v>0</v>
      </c>
      <c r="E79" s="110" t="n">
        <f aca="false">SUMIFS('مشتريات يومية'!$D$2:$D$4001,'مشتريات يومية'!$B$2:$B$4001,$B$2,'مشتريات يومية'!$C$2:$C$4001,$A79,'مشتريات يومية'!$A$2:$A$4001,"&gt;="&amp;'إعدادات المخزون'!$B$5,'مشتريات يومية'!$A$2:$A$4001,"&lt;="&amp;'إعدادات المخزون'!$B$4)</f>
        <v>12</v>
      </c>
      <c r="F79" s="110" t="n">
        <f aca="false">SUMIFS('هالك وتحويلات'!$E$2:$E$3001,'هالك وتحويلات'!$B$2:$B$3001,$B$2,'هالك وتحويلات'!$C$2:$C$3001,$A79,'هالك وتحويلات'!$D$2:$D$3001,"تحويل وارد",'هالك وتحويلات'!$A$2:$A$3001,"&gt;="&amp;'إعدادات المخزون'!$B$5,'هالك وتحويلات'!$A$2:$A$3001,"&lt;="&amp;'إعدادات المخزون'!$B$4)</f>
        <v>0</v>
      </c>
      <c r="G79" s="110" t="n">
        <f aca="false">SUMIFS('هالك وتحويلات'!$E$2:$E$3001,'هالك وتحويلات'!$B$2:$B$3001,$B$2,'هالك وتحويلات'!$C$2:$C$3001,$A79,'هالك وتحويلات'!$D$2:$D$3001,"تحويل صادر",'هالك وتحويلات'!$A$2:$A$3001,"&gt;="&amp;'إعدادات المخزون'!$B$5,'هالك وتحويلات'!$A$2:$A$3001,"&lt;="&amp;'إعدادات المخزون'!$B$4)</f>
        <v>0</v>
      </c>
      <c r="H79" s="110" t="n">
        <f aca="false">SUMPRODUCT('مصفوفة الاستهلاك'!$BV$2:$BV$190,'متجهات المبيعات'!$C$2:$C$190)/'مواد المخزون'!$D$74</f>
        <v>1.9992</v>
      </c>
      <c r="I79" s="110" t="n">
        <f aca="false">SUMIFS('هالك وتحويلات'!$E$2:$E$3001,'هالك وتحويلات'!$B$2:$B$3001,$B$2,'هالك وتحويلات'!$C$2:$C$3001,$A79,'هالك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وتحويلات'!$C$2:$C$3001,$A79,'هالك وتحويلات'!$D$2:$D$3001,"ضيافة / أكل موظفين",'هالك وتحويلات'!$A$2:$A$3001,"&gt;="&amp;'إعدادات المخزون'!$B$5,'هالك وتحويلات'!$A$2:$A$3001,"&lt;="&amp;'إعدادات المخزون'!$B$4)</f>
        <v>0</v>
      </c>
      <c r="J79" s="110" t="n">
        <f aca="false">D79+E79+F79-G79-H79-I79</f>
        <v>10.0008</v>
      </c>
      <c r="K79" s="36" t="str">
        <f aca="false">IF(COUNTIFS('جرد فعلي'!$B$2:$B$12001,$B$2,'جرد فعلي'!$C$2:$C$12001,$A79,'جرد فعلي'!$A$2:$A$12001,'إعدادات المخزون'!$B$4)&gt;0,"نعم","لا")</f>
        <v>لا</v>
      </c>
      <c r="L79" s="111" t="str">
        <f aca="false">IF(K79="نعم",SUMIFS('جرد فعلي'!$D$2:$D$12001,'جرد فعلي'!$B$2:$B$12001,$B$2,'جرد فعلي'!$C$2:$C$12001,$A79,'جرد فعلي'!$A$2:$A$12001,'إعدادات المخزون'!$B$4),"")</f>
        <v/>
      </c>
      <c r="M79" s="110" t="str">
        <f aca="false">IF(K79="نعم",L79-J79,"")</f>
        <v/>
      </c>
      <c r="N79" s="112" t="str">
        <f aca="false">IF(K79="نعم",IF(J79=0,IF(M79=0,0,SIGN(M79)),M79/ABS(J79)),"")</f>
        <v/>
      </c>
      <c r="O79" s="109" t="str">
        <f aca="false">IF(K79="نعم",M79*C79,"")</f>
        <v/>
      </c>
      <c r="P79" s="36" t="str">
        <f aca="false">IF(K79&lt;&gt;"نعم","لم يُجرد",IF(ABS(N79)&lt;='إعدادات المخزون'!$B$7,"مطابق",IF(M79&lt;0,"عجز","زيادة")))</f>
        <v>لم يُجرد</v>
      </c>
      <c r="Q79" s="110" t="n">
        <f aca="false">J79-Z79</f>
        <v>10.1674</v>
      </c>
      <c r="R79" s="110" t="str">
        <f aca="false">IF(COUNTIFS('جرد فعلي'!$B$2:$B$12001,$B$2,'جرد فعلي'!$C$2:$C$12001,$A79,'جرد فعلي'!$A$2:$A$12001,'إعدادات المخزون'!$B$4-1)&gt;0,SUMIFS('جرد فعلي'!$D$2:$D$12001,'جرد فعلي'!$B$2:$B$12001,$B$2,'جرد فعلي'!$C$2:$C$12001,$A79,'جرد فعلي'!$A$2:$A$12001,'إعدادات المخزون'!$B$4-1),"")</f>
        <v/>
      </c>
      <c r="S79" s="110" t="str">
        <f aca="false">IF(AND(K79="نعم",R79&lt;&gt;""),(L79-J79)-(R79-Q79),"")</f>
        <v/>
      </c>
      <c r="T79" s="109" t="str">
        <f aca="false">IF(S79="","",S79*C79)</f>
        <v/>
      </c>
      <c r="U79" s="110" t="n">
        <f aca="false">IF(K79="نعم",L79,J79)</f>
        <v>10.0008</v>
      </c>
      <c r="V79" s="110" t="n">
        <f aca="false">SUMPRODUCT('مصفوفة الاستهلاك'!$BV$2:$BV$190,'متجهات المبيعات'!$D$2:$D$190)/'مواد المخزون'!$D$74/MAX(1,MIN('إعدادات المخزون'!$B$11,'إعدادات المخزون'!$B$4-'إعدادات المخزون'!$B$5+1))</f>
        <v>0.1666</v>
      </c>
      <c r="W79" s="110" t="n">
        <f aca="false">IF(V79&lt;=0,0,ROUNDUP(MAX(0,V79*('إعدادات المخزون'!$B$8+'إعدادات المخزون'!$B$9+'إعدادات المخزون'!$B$10)-MAX(U79,0))/'مواد المخزون'!$F74,0)*'مواد المخزون'!$F74)</f>
        <v>0</v>
      </c>
      <c r="X79" s="109" t="n">
        <f aca="false">IF(AND(K79="نعم",O79&lt;0),-O79+ROW()*0.000000001,0)</f>
        <v>0</v>
      </c>
      <c r="Y79" s="109" t="n">
        <f aca="false">IF(AND(K79="نعم",O79&gt;0),O79+ROW()*0.000000001,0)</f>
        <v>0</v>
      </c>
      <c r="Z79" s="110" t="n">
        <f aca="false">SUMIFS('مشتريات يومية'!$D$2:$D$4001,'مشتريات يومية'!$B$2:$B$4001,$B$2,'مشتريات يومية'!$C$2:$C$4001,$A79,'مشتريات يومية'!$A$2:$A$4001,'إعدادات المخزون'!$B$4)+SUMIFS('هالك وتحويلات'!$E$2:$E$3001,'هالك وتحويلات'!$B$2:$B$3001,$B$2,'هالك وتحويلات'!$C$2:$C$3001,$A79,'هالك وتحويلات'!$D$2:$D$3001,"تحويل وارد",'هالك وتحويلات'!$A$2:$A$3001,'إعدادات المخزون'!$B$4)-SUMIFS('هالك وتحويلات'!$E$2:$E$3001,'هالك وتحويلات'!$B$2:$B$3001,$B$2,'هالك وتحويلات'!$C$2:$C$3001,$A79,'هالك وتحويلات'!$D$2:$D$3001,"تحويل صادر",'هالك وتحويلات'!$A$2:$A$3001,'إعدادات المخزون'!$B$4)-SUMIFS('هالك وتحويلات'!$E$2:$E$3001,'هالك وتحويلات'!$B$2:$B$3001,$B$2,'هالك وتحويلات'!$C$2:$C$3001,$A79,'هالك وتحويلات'!$D$2:$D$3001,"هالك",'هالك وتحويلات'!$A$2:$A$3001,'إعدادات المخزون'!$B$4)-SUMIFS('هالك وتحويلات'!$E$2:$E$3001,'هالك وتحويلات'!$B$2:$B$3001,$B$2,'هالك وتحويلات'!$C$2:$C$3001,$A79,'هالك وتحويلات'!$D$2:$D$3001,"ضيافة / أكل موظفين",'هالك وتحويلات'!$A$2:$A$3001,'إعدادات المخزون'!$B$4)-SUMPRODUCT('مصفوفة الاستهلاك'!$BV$2:$BV$190,'متجهات المبيعات'!$B$2:$B$190)/'مواد المخزون'!$D$74</f>
        <v>-0.1666</v>
      </c>
      <c r="AA79" s="109" t="n">
        <f aca="false">IF(K79="نعم",O79,0)</f>
        <v>0</v>
      </c>
      <c r="AB79" s="109" t="n">
        <f aca="false">IF(K79="نعم",J79*C79,0)</f>
        <v>0</v>
      </c>
      <c r="AC79" s="109" t="n">
        <f aca="false">IF(T79="",0,T79)</f>
        <v>0</v>
      </c>
    </row>
    <row r="80" customFormat="false" ht="15" hidden="false" customHeight="false" outlineLevel="0" collapsed="false">
      <c r="A80" s="34" t="str">
        <f aca="false">'مواد المخزون'!A75</f>
        <v>للوتس سبريد</v>
      </c>
      <c r="B80" s="36" t="str">
        <f aca="false">'مواد المخزون'!B75</f>
        <v>كجم</v>
      </c>
      <c r="C80" s="109" t="n">
        <f aca="false">'مواد المخزون'!E75</f>
        <v>135</v>
      </c>
      <c r="D80" s="110" t="n">
        <f aca="false">'جرد أول المدة'!C78</f>
        <v>1</v>
      </c>
      <c r="E80" s="110" t="n">
        <f aca="false">SUMIFS('مشتريات يومية'!$D$2:$D$4001,'مشتريات يومية'!$B$2:$B$4001,$B$2,'مشتريات يومية'!$C$2:$C$4001,$A80,'مشتريات يومية'!$A$2:$A$4001,"&gt;="&amp;'إعدادات المخزون'!$B$5,'مشتريات يومية'!$A$2:$A$4001,"&lt;="&amp;'إعدادات المخزون'!$B$4)</f>
        <v>1</v>
      </c>
      <c r="F80" s="110" t="n">
        <f aca="false">SUMIFS('هالك وتحويلات'!$E$2:$E$3001,'هالك وتحويلات'!$B$2:$B$3001,$B$2,'هالك وتحويلات'!$C$2:$C$3001,$A80,'هالك وتحويلات'!$D$2:$D$3001,"تحويل وارد",'هالك وتحويلات'!$A$2:$A$3001,"&gt;="&amp;'إعدادات المخزون'!$B$5,'هالك وتحويلات'!$A$2:$A$3001,"&lt;="&amp;'إعدادات المخزون'!$B$4)</f>
        <v>0</v>
      </c>
      <c r="G80" s="110" t="n">
        <f aca="false">SUMIFS('هالك وتحويلات'!$E$2:$E$3001,'هالك وتحويلات'!$B$2:$B$3001,$B$2,'هالك وتحويلات'!$C$2:$C$3001,$A80,'هالك وتحويلات'!$D$2:$D$3001,"تحويل صادر",'هالك وتحويلات'!$A$2:$A$3001,"&gt;="&amp;'إعدادات المخزون'!$B$5,'هالك وتحويلات'!$A$2:$A$3001,"&lt;="&amp;'إعدادات المخزون'!$B$4)</f>
        <v>0</v>
      </c>
      <c r="H80" s="110" t="n">
        <f aca="false">SUMPRODUCT('مصفوفة الاستهلاك'!$BW$2:$BW$190,'متجهات المبيعات'!$C$2:$C$190)/'مواد المخزون'!$D$75</f>
        <v>0.6</v>
      </c>
      <c r="I80" s="110" t="n">
        <f aca="false">SUMIFS('هالك وتحويلات'!$E$2:$E$3001,'هالك وتحويلات'!$B$2:$B$3001,$B$2,'هالك وتحويلات'!$C$2:$C$3001,$A80,'هالك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وتحويلات'!$C$2:$C$3001,$A80,'هالك وتحويلات'!$D$2:$D$3001,"ضيافة / أكل موظفين",'هالك وتحويلات'!$A$2:$A$3001,"&gt;="&amp;'إعدادات المخزون'!$B$5,'هالك وتحويلات'!$A$2:$A$3001,"&lt;="&amp;'إعدادات المخزون'!$B$4)</f>
        <v>0</v>
      </c>
      <c r="J80" s="110" t="n">
        <f aca="false">D80+E80+F80-G80-H80-I80</f>
        <v>1.4</v>
      </c>
      <c r="K80" s="36" t="str">
        <f aca="false">IF(COUNTIFS('جرد فعلي'!$B$2:$B$12001,$B$2,'جرد فعلي'!$C$2:$C$12001,$A80,'جرد فعلي'!$A$2:$A$12001,'إعدادات المخزون'!$B$4)&gt;0,"نعم","لا")</f>
        <v>لا</v>
      </c>
      <c r="L80" s="111" t="str">
        <f aca="false">IF(K80="نعم",SUMIFS('جرد فعلي'!$D$2:$D$12001,'جرد فعلي'!$B$2:$B$12001,$B$2,'جرد فعلي'!$C$2:$C$12001,$A80,'جرد فعلي'!$A$2:$A$12001,'إعدادات المخزون'!$B$4),"")</f>
        <v/>
      </c>
      <c r="M80" s="110" t="str">
        <f aca="false">IF(K80="نعم",L80-J80,"")</f>
        <v/>
      </c>
      <c r="N80" s="112" t="str">
        <f aca="false">IF(K80="نعم",IF(J80=0,IF(M80=0,0,SIGN(M80)),M80/ABS(J80)),"")</f>
        <v/>
      </c>
      <c r="O80" s="109" t="str">
        <f aca="false">IF(K80="نعم",M80*C80,"")</f>
        <v/>
      </c>
      <c r="P80" s="36" t="str">
        <f aca="false">IF(K80&lt;&gt;"نعم","لم يُجرد",IF(ABS(N80)&lt;='إعدادات المخزون'!$B$7,"مطابق",IF(M80&lt;0,"عجز","زيادة")))</f>
        <v>لم يُجرد</v>
      </c>
      <c r="Q80" s="110" t="n">
        <f aca="false">J80-Z80</f>
        <v>1.45</v>
      </c>
      <c r="R80" s="110" t="str">
        <f aca="false">IF(COUNTIFS('جرد فعلي'!$B$2:$B$12001,$B$2,'جرد فعلي'!$C$2:$C$12001,$A80,'جرد فعلي'!$A$2:$A$12001,'إعدادات المخزون'!$B$4-1)&gt;0,SUMIFS('جرد فعلي'!$D$2:$D$12001,'جرد فعلي'!$B$2:$B$12001,$B$2,'جرد فعلي'!$C$2:$C$12001,$A80,'جرد فعلي'!$A$2:$A$12001,'إعدادات المخزون'!$B$4-1),"")</f>
        <v/>
      </c>
      <c r="S80" s="110" t="str">
        <f aca="false">IF(AND(K80="نعم",R80&lt;&gt;""),(L80-J80)-(R80-Q80),"")</f>
        <v/>
      </c>
      <c r="T80" s="109" t="str">
        <f aca="false">IF(S80="","",S80*C80)</f>
        <v/>
      </c>
      <c r="U80" s="110" t="n">
        <f aca="false">IF(K80="نعم",L80,J80)</f>
        <v>1.4</v>
      </c>
      <c r="V80" s="110" t="n">
        <f aca="false">SUMPRODUCT('مصفوفة الاستهلاك'!$BW$2:$BW$190,'متجهات المبيعات'!$D$2:$D$190)/'مواد المخزون'!$D$75/MAX(1,MIN('إعدادات المخزون'!$B$11,'إعدادات المخزون'!$B$4-'إعدادات المخزون'!$B$5+1))</f>
        <v>0.05</v>
      </c>
      <c r="W80" s="110" t="n">
        <f aca="false">IF(V80&lt;=0,0,ROUNDUP(MAX(0,V80*('إعدادات المخزون'!$B$8+'إعدادات المخزون'!$B$9+'إعدادات المخزون'!$B$10)-MAX(U80,0))/'مواد المخزون'!$F75,0)*'مواد المخزون'!$F75)</f>
        <v>0</v>
      </c>
      <c r="X80" s="109" t="n">
        <f aca="false">IF(AND(K80="نعم",O80&lt;0),-O80+ROW()*0.000000001,0)</f>
        <v>0</v>
      </c>
      <c r="Y80" s="109" t="n">
        <f aca="false">IF(AND(K80="نعم",O80&gt;0),O80+ROW()*0.000000001,0)</f>
        <v>0</v>
      </c>
      <c r="Z80" s="110" t="n">
        <f aca="false">SUMIFS('مشتريات يومية'!$D$2:$D$4001,'مشتريات يومية'!$B$2:$B$4001,$B$2,'مشتريات يومية'!$C$2:$C$4001,$A80,'مشتريات يومية'!$A$2:$A$4001,'إعدادات المخزون'!$B$4)+SUMIFS('هالك وتحويلات'!$E$2:$E$3001,'هالك وتحويلات'!$B$2:$B$3001,$B$2,'هالك وتحويلات'!$C$2:$C$3001,$A80,'هالك وتحويلات'!$D$2:$D$3001,"تحويل وارد",'هالك وتحويلات'!$A$2:$A$3001,'إعدادات المخزون'!$B$4)-SUMIFS('هالك وتحويلات'!$E$2:$E$3001,'هالك وتحويلات'!$B$2:$B$3001,$B$2,'هالك وتحويلات'!$C$2:$C$3001,$A80,'هالك وتحويلات'!$D$2:$D$3001,"تحويل صادر",'هالك وتحويلات'!$A$2:$A$3001,'إعدادات المخزون'!$B$4)-SUMIFS('هالك وتحويلات'!$E$2:$E$3001,'هالك وتحويلات'!$B$2:$B$3001,$B$2,'هالك وتحويلات'!$C$2:$C$3001,$A80,'هالك وتحويلات'!$D$2:$D$3001,"هالك",'هالك وتحويلات'!$A$2:$A$3001,'إعدادات المخزون'!$B$4)-SUMIFS('هالك وتحويلات'!$E$2:$E$3001,'هالك وتحويلات'!$B$2:$B$3001,$B$2,'هالك وتحويلات'!$C$2:$C$3001,$A80,'هالك وتحويلات'!$D$2:$D$3001,"ضيافة / أكل موظفين",'هالك وتحويلات'!$A$2:$A$3001,'إعدادات المخزون'!$B$4)-SUMPRODUCT('مصفوفة الاستهلاك'!$BW$2:$BW$190,'متجهات المبيعات'!$B$2:$B$190)/'مواد المخزون'!$D$75</f>
        <v>-0.05</v>
      </c>
      <c r="AA80" s="109" t="n">
        <f aca="false">IF(K80="نعم",O80,0)</f>
        <v>0</v>
      </c>
      <c r="AB80" s="109" t="n">
        <f aca="false">IF(K80="نعم",J80*C80,0)</f>
        <v>0</v>
      </c>
      <c r="AC80" s="109" t="n">
        <f aca="false">IF(T80="",0,T80)</f>
        <v>0</v>
      </c>
    </row>
    <row r="81" customFormat="false" ht="15" hidden="false" customHeight="false" outlineLevel="0" collapsed="false">
      <c r="A81" s="34" t="str">
        <f aca="false">'مواد المخزون'!A76</f>
        <v>مشروم فريش</v>
      </c>
      <c r="B81" s="36" t="str">
        <f aca="false">'مواد المخزون'!B76</f>
        <v>كجم</v>
      </c>
      <c r="C81" s="109" t="n">
        <f aca="false">'مواد المخزون'!E76</f>
        <v>151.2027</v>
      </c>
      <c r="D81" s="110" t="n">
        <f aca="false">'جرد أول المدة'!C79</f>
        <v>2.1</v>
      </c>
      <c r="E81" s="110" t="n">
        <f aca="false">SUMIFS('مشتريات يومية'!$D$2:$D$4001,'مشتريات يومية'!$B$2:$B$4001,$B$2,'مشتريات يومية'!$C$2:$C$4001,$A81,'مشتريات يومية'!$A$2:$A$4001,"&gt;="&amp;'إعدادات المخزون'!$B$5,'مشتريات يومية'!$A$2:$A$4001,"&lt;="&amp;'إعدادات المخزون'!$B$4)</f>
        <v>0</v>
      </c>
      <c r="F81" s="110" t="n">
        <f aca="false">SUMIFS('هالك وتحويلات'!$E$2:$E$3001,'هالك وتحويلات'!$B$2:$B$3001,$B$2,'هالك وتحويلات'!$C$2:$C$3001,$A81,'هالك وتحويلات'!$D$2:$D$3001,"تحويل وارد",'هالك وتحويلات'!$A$2:$A$3001,"&gt;="&amp;'إعدادات المخزون'!$B$5,'هالك وتحويلات'!$A$2:$A$3001,"&lt;="&amp;'إعدادات المخزون'!$B$4)</f>
        <v>0</v>
      </c>
      <c r="G81" s="110" t="n">
        <f aca="false">SUMIFS('هالك وتحويلات'!$E$2:$E$3001,'هالك وتحويلات'!$B$2:$B$3001,$B$2,'هالك وتحويلات'!$C$2:$C$3001,$A81,'هالك وتحويلات'!$D$2:$D$3001,"تحويل صادر",'هالك وتحويلات'!$A$2:$A$3001,"&gt;="&amp;'إعدادات المخزون'!$B$5,'هالك وتحويلات'!$A$2:$A$3001,"&lt;="&amp;'إعدادات المخزون'!$B$4)</f>
        <v>0</v>
      </c>
      <c r="H81" s="110" t="n">
        <f aca="false">SUMPRODUCT('مصفوفة الاستهلاك'!$BX$2:$BX$190,'متجهات المبيعات'!$C$2:$C$190)/'مواد المخزون'!$D$76</f>
        <v>2.12994</v>
      </c>
      <c r="I81" s="110" t="n">
        <f aca="false">SUMIFS('هالك وتحويلات'!$E$2:$E$3001,'هالك وتحويلات'!$B$2:$B$3001,$B$2,'هالك وتحويلات'!$C$2:$C$3001,$A81,'هالك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وتحويلات'!$C$2:$C$3001,$A81,'هالك وتحويلات'!$D$2:$D$3001,"ضيافة / أكل موظفين",'هالك وتحويلات'!$A$2:$A$3001,"&gt;="&amp;'إعدادات المخزون'!$B$5,'هالك وتحويلات'!$A$2:$A$3001,"&lt;="&amp;'إعدادات المخزون'!$B$4)</f>
        <v>0</v>
      </c>
      <c r="J81" s="110" t="n">
        <f aca="false">D81+E81+F81-G81-H81-I81</f>
        <v>-0.0299399999999999</v>
      </c>
      <c r="K81" s="36" t="str">
        <f aca="false">IF(COUNTIFS('جرد فعلي'!$B$2:$B$12001,$B$2,'جرد فعلي'!$C$2:$C$12001,$A81,'جرد فعلي'!$A$2:$A$12001,'إعدادات المخزون'!$B$4)&gt;0,"نعم","لا")</f>
        <v>لا</v>
      </c>
      <c r="L81" s="111" t="str">
        <f aca="false">IF(K81="نعم",SUMIFS('جرد فعلي'!$D$2:$D$12001,'جرد فعلي'!$B$2:$B$12001,$B$2,'جرد فعلي'!$C$2:$C$12001,$A81,'جرد فعلي'!$A$2:$A$12001,'إعدادات المخزون'!$B$4),"")</f>
        <v/>
      </c>
      <c r="M81" s="110" t="str">
        <f aca="false">IF(K81="نعم",L81-J81,"")</f>
        <v/>
      </c>
      <c r="N81" s="112" t="str">
        <f aca="false">IF(K81="نعم",IF(J81=0,IF(M81=0,0,SIGN(M81)),M81/ABS(J81)),"")</f>
        <v/>
      </c>
      <c r="O81" s="109" t="str">
        <f aca="false">IF(K81="نعم",M81*C81,"")</f>
        <v/>
      </c>
      <c r="P81" s="36" t="str">
        <f aca="false">IF(K81&lt;&gt;"نعم","لم يُجرد",IF(ABS(N81)&lt;='إعدادات المخزون'!$B$7,"مطابق",IF(M81&lt;0,"عجز","زيادة")))</f>
        <v>لم يُجرد</v>
      </c>
      <c r="Q81" s="110" t="n">
        <f aca="false">J81-Z81</f>
        <v>0.147555</v>
      </c>
      <c r="R81" s="110" t="str">
        <f aca="false">IF(COUNTIFS('جرد فعلي'!$B$2:$B$12001,$B$2,'جرد فعلي'!$C$2:$C$12001,$A81,'جرد فعلي'!$A$2:$A$12001,'إعدادات المخزون'!$B$4-1)&gt;0,SUMIFS('جرد فعلي'!$D$2:$D$12001,'جرد فعلي'!$B$2:$B$12001,$B$2,'جرد فعلي'!$C$2:$C$12001,$A81,'جرد فعلي'!$A$2:$A$12001,'إعدادات المخزون'!$B$4-1),"")</f>
        <v/>
      </c>
      <c r="S81" s="110" t="str">
        <f aca="false">IF(AND(K81="نعم",R81&lt;&gt;""),(L81-J81)-(R81-Q81),"")</f>
        <v/>
      </c>
      <c r="T81" s="109" t="str">
        <f aca="false">IF(S81="","",S81*C81)</f>
        <v/>
      </c>
      <c r="U81" s="110" t="n">
        <f aca="false">IF(K81="نعم",L81,J81)</f>
        <v>-0.0299399999999999</v>
      </c>
      <c r="V81" s="110" t="n">
        <f aca="false">SUMPRODUCT('مصفوفة الاستهلاك'!$BX$2:$BX$190,'متجهات المبيعات'!$D$2:$D$190)/'مواد المخزون'!$D$76/MAX(1,MIN('إعدادات المخزون'!$B$11,'إعدادات المخزون'!$B$4-'إعدادات المخزون'!$B$5+1))</f>
        <v>0.177495</v>
      </c>
      <c r="W81" s="110" t="n">
        <f aca="false">IF(V81&lt;=0,0,ROUNDUP(MAX(0,V81*('إعدادات المخزون'!$B$8+'إعدادات المخزون'!$B$9+'إعدادات المخزون'!$B$10)-MAX(U81,0))/'مواد المخزون'!$F76,0)*'مواد المخزون'!$F76)</f>
        <v>1</v>
      </c>
      <c r="X81" s="109" t="n">
        <f aca="false">IF(AND(K81="نعم",O81&lt;0),-O81+ROW()*0.000000001,0)</f>
        <v>0</v>
      </c>
      <c r="Y81" s="109" t="n">
        <f aca="false">IF(AND(K81="نعم",O81&gt;0),O81+ROW()*0.000000001,0)</f>
        <v>0</v>
      </c>
      <c r="Z81" s="110" t="n">
        <f aca="false">SUMIFS('مشتريات يومية'!$D$2:$D$4001,'مشتريات يومية'!$B$2:$B$4001,$B$2,'مشتريات يومية'!$C$2:$C$4001,$A81,'مشتريات يومية'!$A$2:$A$4001,'إعدادات المخزون'!$B$4)+SUMIFS('هالك وتحويلات'!$E$2:$E$3001,'هالك وتحويلات'!$B$2:$B$3001,$B$2,'هالك وتحويلات'!$C$2:$C$3001,$A81,'هالك وتحويلات'!$D$2:$D$3001,"تحويل وارد",'هالك وتحويلات'!$A$2:$A$3001,'إعدادات المخزون'!$B$4)-SUMIFS('هالك وتحويلات'!$E$2:$E$3001,'هالك وتحويلات'!$B$2:$B$3001,$B$2,'هالك وتحويلات'!$C$2:$C$3001,$A81,'هالك وتحويلات'!$D$2:$D$3001,"تحويل صادر",'هالك وتحويلات'!$A$2:$A$3001,'إعدادات المخزون'!$B$4)-SUMIFS('هالك وتحويلات'!$E$2:$E$3001,'هالك وتحويلات'!$B$2:$B$3001,$B$2,'هالك وتحويلات'!$C$2:$C$3001,$A81,'هالك وتحويلات'!$D$2:$D$3001,"هالك",'هالك وتحويلات'!$A$2:$A$3001,'إعدادات المخزون'!$B$4)-SUMIFS('هالك وتحويلات'!$E$2:$E$3001,'هالك وتحويلات'!$B$2:$B$3001,$B$2,'هالك وتحويلات'!$C$2:$C$3001,$A81,'هالك وتحويلات'!$D$2:$D$3001,"ضيافة / أكل موظفين",'هالك وتحويلات'!$A$2:$A$3001,'إعدادات المخزون'!$B$4)-SUMPRODUCT('مصفوفة الاستهلاك'!$BX$2:$BX$190,'متجهات المبيعات'!$B$2:$B$190)/'مواد المخزون'!$D$76</f>
        <v>-0.177495</v>
      </c>
      <c r="AA81" s="109" t="n">
        <f aca="false">IF(K81="نعم",O81,0)</f>
        <v>0</v>
      </c>
      <c r="AB81" s="109" t="n">
        <f aca="false">IF(K81="نعم",J81*C81,0)</f>
        <v>0</v>
      </c>
      <c r="AC81" s="109" t="n">
        <f aca="false">IF(T81="",0,T81)</f>
        <v>0</v>
      </c>
    </row>
    <row r="82" customFormat="false" ht="15" hidden="false" customHeight="false" outlineLevel="0" collapsed="false">
      <c r="A82" s="34" t="str">
        <f aca="false">'مواد المخزون'!A77</f>
        <v>مكرونة خام</v>
      </c>
      <c r="B82" s="36" t="str">
        <f aca="false">'مواد المخزون'!B77</f>
        <v>كجم</v>
      </c>
      <c r="C82" s="109" t="n">
        <f aca="false">'مواد المخزون'!E77</f>
        <v>24</v>
      </c>
      <c r="D82" s="110" t="n">
        <f aca="false">'جرد أول المدة'!C80</f>
        <v>25</v>
      </c>
      <c r="E82" s="110" t="n">
        <f aca="false">SUMIFS('مشتريات يومية'!$D$2:$D$4001,'مشتريات يومية'!$B$2:$B$4001,$B$2,'مشتريات يومية'!$C$2:$C$4001,$A82,'مشتريات يومية'!$A$2:$A$4001,"&gt;="&amp;'إعدادات المخزون'!$B$5,'مشتريات يومية'!$A$2:$A$4001,"&lt;="&amp;'إعدادات المخزون'!$B$4)</f>
        <v>10</v>
      </c>
      <c r="F82" s="110" t="n">
        <f aca="false">SUMIFS('هالك وتحويلات'!$E$2:$E$3001,'هالك وتحويلات'!$B$2:$B$3001,$B$2,'هالك وتحويلات'!$C$2:$C$3001,$A82,'هالك وتحويلات'!$D$2:$D$3001,"تحويل وارد",'هالك وتحويلات'!$A$2:$A$3001,"&gt;="&amp;'إعدادات المخزون'!$B$5,'هالك وتحويلات'!$A$2:$A$3001,"&lt;="&amp;'إعدادات المخزون'!$B$4)</f>
        <v>0</v>
      </c>
      <c r="G82" s="110" t="n">
        <f aca="false">SUMIFS('هالك وتحويلات'!$E$2:$E$3001,'هالك وتحويلات'!$B$2:$B$3001,$B$2,'هالك وتحويلات'!$C$2:$C$3001,$A82,'هالك وتحويلات'!$D$2:$D$3001,"تحويل صادر",'هالك وتحويلات'!$A$2:$A$3001,"&gt;="&amp;'إعدادات المخزون'!$B$5,'هالك وتحويلات'!$A$2:$A$3001,"&lt;="&amp;'إعدادات المخزون'!$B$4)</f>
        <v>0</v>
      </c>
      <c r="H82" s="110" t="n">
        <f aca="false">SUMPRODUCT('مصفوفة الاستهلاك'!$BY$2:$BY$190,'متجهات المبيعات'!$C$2:$C$190)/'مواد المخزون'!$D$77</f>
        <v>10.95012</v>
      </c>
      <c r="I82" s="110" t="n">
        <f aca="false">SUMIFS('هالك وتحويلات'!$E$2:$E$3001,'هالك وتحويلات'!$B$2:$B$3001,$B$2,'هالك وتحويلات'!$C$2:$C$3001,$A82,'هالك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وتحويلات'!$C$2:$C$3001,$A82,'هالك وتحويلات'!$D$2:$D$3001,"ضيافة / أكل موظفين",'هالك وتحويلات'!$A$2:$A$3001,"&gt;="&amp;'إعدادات المخزون'!$B$5,'هالك وتحويلات'!$A$2:$A$3001,"&lt;="&amp;'إعدادات المخزون'!$B$4)</f>
        <v>0</v>
      </c>
      <c r="J82" s="110" t="n">
        <f aca="false">D82+E82+F82-G82-H82-I82</f>
        <v>24.04988</v>
      </c>
      <c r="K82" s="36" t="str">
        <f aca="false">IF(COUNTIFS('جرد فعلي'!$B$2:$B$12001,$B$2,'جرد فعلي'!$C$2:$C$12001,$A82,'جرد فعلي'!$A$2:$A$12001,'إعدادات المخزون'!$B$4)&gt;0,"نعم","لا")</f>
        <v>لا</v>
      </c>
      <c r="L82" s="111" t="str">
        <f aca="false">IF(K82="نعم",SUMIFS('جرد فعلي'!$D$2:$D$12001,'جرد فعلي'!$B$2:$B$12001,$B$2,'جرد فعلي'!$C$2:$C$12001,$A82,'جرد فعلي'!$A$2:$A$12001,'إعدادات المخزون'!$B$4),"")</f>
        <v/>
      </c>
      <c r="M82" s="110" t="str">
        <f aca="false">IF(K82="نعم",L82-J82,"")</f>
        <v/>
      </c>
      <c r="N82" s="112" t="str">
        <f aca="false">IF(K82="نعم",IF(J82=0,IF(M82=0,0,SIGN(M82)),M82/ABS(J82)),"")</f>
        <v/>
      </c>
      <c r="O82" s="109" t="str">
        <f aca="false">IF(K82="نعم",M82*C82,"")</f>
        <v/>
      </c>
      <c r="P82" s="36" t="str">
        <f aca="false">IF(K82&lt;&gt;"نعم","لم يُجرد",IF(ABS(N82)&lt;='إعدادات المخزون'!$B$7,"مطابق",IF(M82&lt;0,"عجز","زيادة")))</f>
        <v>لم يُجرد</v>
      </c>
      <c r="Q82" s="110" t="n">
        <f aca="false">J82-Z82</f>
        <v>24.96239</v>
      </c>
      <c r="R82" s="110" t="str">
        <f aca="false">IF(COUNTIFS('جرد فعلي'!$B$2:$B$12001,$B$2,'جرد فعلي'!$C$2:$C$12001,$A82,'جرد فعلي'!$A$2:$A$12001,'إعدادات المخزون'!$B$4-1)&gt;0,SUMIFS('جرد فعلي'!$D$2:$D$12001,'جرد فعلي'!$B$2:$B$12001,$B$2,'جرد فعلي'!$C$2:$C$12001,$A82,'جرد فعلي'!$A$2:$A$12001,'إعدادات المخزون'!$B$4-1),"")</f>
        <v/>
      </c>
      <c r="S82" s="110" t="str">
        <f aca="false">IF(AND(K82="نعم",R82&lt;&gt;""),(L82-J82)-(R82-Q82),"")</f>
        <v/>
      </c>
      <c r="T82" s="109" t="str">
        <f aca="false">IF(S82="","",S82*C82)</f>
        <v/>
      </c>
      <c r="U82" s="110" t="n">
        <f aca="false">IF(K82="نعم",L82,J82)</f>
        <v>24.04988</v>
      </c>
      <c r="V82" s="110" t="n">
        <f aca="false">SUMPRODUCT('مصفوفة الاستهلاك'!$BY$2:$BY$190,'متجهات المبيعات'!$D$2:$D$190)/'مواد المخزون'!$D$77/MAX(1,MIN('إعدادات المخزون'!$B$11,'إعدادات المخزون'!$B$4-'إعدادات المخزون'!$B$5+1))</f>
        <v>0.91251</v>
      </c>
      <c r="W82" s="110" t="n">
        <f aca="false">IF(V82&lt;=0,0,ROUNDUP(MAX(0,V82*('إعدادات المخزون'!$B$8+'إعدادات المخزون'!$B$9+'إعدادات المخزون'!$B$10)-MAX(U82,0))/'مواد المخزون'!$F77,0)*'مواد المخزون'!$F77)</f>
        <v>0</v>
      </c>
      <c r="X82" s="109" t="n">
        <f aca="false">IF(AND(K82="نعم",O82&lt;0),-O82+ROW()*0.000000001,0)</f>
        <v>0</v>
      </c>
      <c r="Y82" s="109" t="n">
        <f aca="false">IF(AND(K82="نعم",O82&gt;0),O82+ROW()*0.000000001,0)</f>
        <v>0</v>
      </c>
      <c r="Z82" s="110" t="n">
        <f aca="false">SUMIFS('مشتريات يومية'!$D$2:$D$4001,'مشتريات يومية'!$B$2:$B$4001,$B$2,'مشتريات يومية'!$C$2:$C$4001,$A82,'مشتريات يومية'!$A$2:$A$4001,'إعدادات المخزون'!$B$4)+SUMIFS('هالك وتحويلات'!$E$2:$E$3001,'هالك وتحويلات'!$B$2:$B$3001,$B$2,'هالك وتحويلات'!$C$2:$C$3001,$A82,'هالك وتحويلات'!$D$2:$D$3001,"تحويل وارد",'هالك وتحويلات'!$A$2:$A$3001,'إعدادات المخزون'!$B$4)-SUMIFS('هالك وتحويلات'!$E$2:$E$3001,'هالك وتحويلات'!$B$2:$B$3001,$B$2,'هالك وتحويلات'!$C$2:$C$3001,$A82,'هالك وتحويلات'!$D$2:$D$3001,"تحويل صادر",'هالك وتحويلات'!$A$2:$A$3001,'إعدادات المخزون'!$B$4)-SUMIFS('هالك وتحويلات'!$E$2:$E$3001,'هالك وتحويلات'!$B$2:$B$3001,$B$2,'هالك وتحويلات'!$C$2:$C$3001,$A82,'هالك وتحويلات'!$D$2:$D$3001,"هالك",'هالك وتحويلات'!$A$2:$A$3001,'إعدادات المخزون'!$B$4)-SUMIFS('هالك وتحويلات'!$E$2:$E$3001,'هالك وتحويلات'!$B$2:$B$3001,$B$2,'هالك وتحويلات'!$C$2:$C$3001,$A82,'هالك وتحويلات'!$D$2:$D$3001,"ضيافة / أكل موظفين",'هالك وتحويلات'!$A$2:$A$3001,'إعدادات المخزون'!$B$4)-SUMPRODUCT('مصفوفة الاستهلاك'!$BY$2:$BY$190,'متجهات المبيعات'!$B$2:$B$190)/'مواد المخزون'!$D$77</f>
        <v>-0.91251</v>
      </c>
      <c r="AA82" s="109" t="n">
        <f aca="false">IF(K82="نعم",O82,0)</f>
        <v>0</v>
      </c>
      <c r="AB82" s="109" t="n">
        <f aca="false">IF(K82="نعم",J82*C82,0)</f>
        <v>0</v>
      </c>
      <c r="AC82" s="109" t="n">
        <f aca="false">IF(T82="",0,T82)</f>
        <v>0</v>
      </c>
    </row>
    <row r="83" customFormat="false" ht="15" hidden="false" customHeight="false" outlineLevel="0" collapsed="false">
      <c r="A83" s="34" t="str">
        <f aca="false">'مواد المخزون'!A78</f>
        <v>نوتيلا كيلو</v>
      </c>
      <c r="B83" s="36" t="str">
        <f aca="false">'مواد المخزون'!B78</f>
        <v>كجم</v>
      </c>
      <c r="C83" s="109" t="n">
        <f aca="false">'مواد المخزون'!E78</f>
        <v>610</v>
      </c>
      <c r="D83" s="110" t="n">
        <f aca="false">'جرد أول المدة'!C81</f>
        <v>1.25</v>
      </c>
      <c r="E83" s="110" t="n">
        <f aca="false">SUMIFS('مشتريات يومية'!$D$2:$D$4001,'مشتريات يومية'!$B$2:$B$4001,$B$2,'مشتريات يومية'!$C$2:$C$4001,$A83,'مشتريات يومية'!$A$2:$A$4001,"&gt;="&amp;'إعدادات المخزون'!$B$5,'مشتريات يومية'!$A$2:$A$4001,"&lt;="&amp;'إعدادات المخزون'!$B$4)</f>
        <v>1</v>
      </c>
      <c r="F83" s="110" t="n">
        <f aca="false">SUMIFS('هالك وتحويلات'!$E$2:$E$3001,'هالك وتحويلات'!$B$2:$B$3001,$B$2,'هالك وتحويلات'!$C$2:$C$3001,$A83,'هالك وتحويلات'!$D$2:$D$3001,"تحويل وارد",'هالك وتحويلات'!$A$2:$A$3001,"&gt;="&amp;'إعدادات المخزون'!$B$5,'هالك وتحويلات'!$A$2:$A$3001,"&lt;="&amp;'إعدادات المخزون'!$B$4)</f>
        <v>0</v>
      </c>
      <c r="G83" s="110" t="n">
        <f aca="false">SUMIFS('هالك وتحويلات'!$E$2:$E$3001,'هالك وتحويلات'!$B$2:$B$3001,$B$2,'هالك وتحويلات'!$C$2:$C$3001,$A83,'هالك وتحويلات'!$D$2:$D$3001,"تحويل صادر",'هالك وتحويلات'!$A$2:$A$3001,"&gt;="&amp;'إعدادات المخزون'!$B$5,'هالك وتحويلات'!$A$2:$A$3001,"&lt;="&amp;'إعدادات المخزون'!$B$4)</f>
        <v>0</v>
      </c>
      <c r="H83" s="110" t="n">
        <f aca="false">SUMPRODUCT('مصفوفة الاستهلاك'!$BZ$2:$BZ$190,'متجهات المبيعات'!$C$2:$C$190)/'مواد المخزون'!$D$78</f>
        <v>0.320064</v>
      </c>
      <c r="I83" s="110" t="n">
        <f aca="false">SUMIFS('هالك وتحويلات'!$E$2:$E$3001,'هالك وتحويلات'!$B$2:$B$3001,$B$2,'هالك وتحويلات'!$C$2:$C$3001,$A83,'هالك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وتحويلات'!$C$2:$C$3001,$A83,'هالك وتحويلات'!$D$2:$D$3001,"ضيافة / أكل موظفين",'هالك وتحويلات'!$A$2:$A$3001,"&gt;="&amp;'إعدادات المخزون'!$B$5,'هالك وتحويلات'!$A$2:$A$3001,"&lt;="&amp;'إعدادات المخزون'!$B$4)</f>
        <v>0</v>
      </c>
      <c r="J83" s="110" t="n">
        <f aca="false">D83+E83+F83-G83-H83-I83</f>
        <v>1.929936</v>
      </c>
      <c r="K83" s="36" t="str">
        <f aca="false">IF(COUNTIFS('جرد فعلي'!$B$2:$B$12001,$B$2,'جرد فعلي'!$C$2:$C$12001,$A83,'جرد فعلي'!$A$2:$A$12001,'إعدادات المخزون'!$B$4)&gt;0,"نعم","لا")</f>
        <v>لا</v>
      </c>
      <c r="L83" s="111" t="str">
        <f aca="false">IF(K83="نعم",SUMIFS('جرد فعلي'!$D$2:$D$12001,'جرد فعلي'!$B$2:$B$12001,$B$2,'جرد فعلي'!$C$2:$C$12001,$A83,'جرد فعلي'!$A$2:$A$12001,'إعدادات المخزون'!$B$4),"")</f>
        <v/>
      </c>
      <c r="M83" s="110" t="str">
        <f aca="false">IF(K83="نعم",L83-J83,"")</f>
        <v/>
      </c>
      <c r="N83" s="112" t="str">
        <f aca="false">IF(K83="نعم",IF(J83=0,IF(M83=0,0,SIGN(M83)),M83/ABS(J83)),"")</f>
        <v/>
      </c>
      <c r="O83" s="109" t="str">
        <f aca="false">IF(K83="نعم",M83*C83,"")</f>
        <v/>
      </c>
      <c r="P83" s="36" t="str">
        <f aca="false">IF(K83&lt;&gt;"نعم","لم يُجرد",IF(ABS(N83)&lt;='إعدادات المخزون'!$B$7,"مطابق",IF(M83&lt;0,"عجز","زيادة")))</f>
        <v>لم يُجرد</v>
      </c>
      <c r="Q83" s="110" t="n">
        <f aca="false">J83-Z83</f>
        <v>1.956608</v>
      </c>
      <c r="R83" s="110" t="str">
        <f aca="false">IF(COUNTIFS('جرد فعلي'!$B$2:$B$12001,$B$2,'جرد فعلي'!$C$2:$C$12001,$A83,'جرد فعلي'!$A$2:$A$12001,'إعدادات المخزون'!$B$4-1)&gt;0,SUMIFS('جرد فعلي'!$D$2:$D$12001,'جرد فعلي'!$B$2:$B$12001,$B$2,'جرد فعلي'!$C$2:$C$12001,$A83,'جرد فعلي'!$A$2:$A$12001,'إعدادات المخزون'!$B$4-1),"")</f>
        <v/>
      </c>
      <c r="S83" s="110" t="str">
        <f aca="false">IF(AND(K83="نعم",R83&lt;&gt;""),(L83-J83)-(R83-Q83),"")</f>
        <v/>
      </c>
      <c r="T83" s="109" t="str">
        <f aca="false">IF(S83="","",S83*C83)</f>
        <v/>
      </c>
      <c r="U83" s="110" t="n">
        <f aca="false">IF(K83="نعم",L83,J83)</f>
        <v>1.929936</v>
      </c>
      <c r="V83" s="110" t="n">
        <f aca="false">SUMPRODUCT('مصفوفة الاستهلاك'!$BZ$2:$BZ$190,'متجهات المبيعات'!$D$2:$D$190)/'مواد المخزون'!$D$78/MAX(1,MIN('إعدادات المخزون'!$B$11,'إعدادات المخزون'!$B$4-'إعدادات المخزون'!$B$5+1))</f>
        <v>0.026672</v>
      </c>
      <c r="W83" s="110" t="n">
        <f aca="false">IF(V83&lt;=0,0,ROUNDUP(MAX(0,V83*('إعدادات المخزون'!$B$8+'إعدادات المخزون'!$B$9+'إعدادات المخزون'!$B$10)-MAX(U83,0))/'مواد المخزون'!$F78,0)*'مواد المخزون'!$F78)</f>
        <v>0</v>
      </c>
      <c r="X83" s="109" t="n">
        <f aca="false">IF(AND(K83="نعم",O83&lt;0),-O83+ROW()*0.000000001,0)</f>
        <v>0</v>
      </c>
      <c r="Y83" s="109" t="n">
        <f aca="false">IF(AND(K83="نعم",O83&gt;0),O83+ROW()*0.000000001,0)</f>
        <v>0</v>
      </c>
      <c r="Z83" s="110" t="n">
        <f aca="false">SUMIFS('مشتريات يومية'!$D$2:$D$4001,'مشتريات يومية'!$B$2:$B$4001,$B$2,'مشتريات يومية'!$C$2:$C$4001,$A83,'مشتريات يومية'!$A$2:$A$4001,'إعدادات المخزون'!$B$4)+SUMIFS('هالك وتحويلات'!$E$2:$E$3001,'هالك وتحويلات'!$B$2:$B$3001,$B$2,'هالك وتحويلات'!$C$2:$C$3001,$A83,'هالك وتحويلات'!$D$2:$D$3001,"تحويل وارد",'هالك وتحويلات'!$A$2:$A$3001,'إعدادات المخزون'!$B$4)-SUMIFS('هالك وتحويلات'!$E$2:$E$3001,'هالك وتحويلات'!$B$2:$B$3001,$B$2,'هالك وتحويلات'!$C$2:$C$3001,$A83,'هالك وتحويلات'!$D$2:$D$3001,"تحويل صادر",'هالك وتحويلات'!$A$2:$A$3001,'إعدادات المخزون'!$B$4)-SUMIFS('هالك وتحويلات'!$E$2:$E$3001,'هالك وتحويلات'!$B$2:$B$3001,$B$2,'هالك وتحويلات'!$C$2:$C$3001,$A83,'هالك وتحويلات'!$D$2:$D$3001,"هالك",'هالك وتحويلات'!$A$2:$A$3001,'إعدادات المخزون'!$B$4)-SUMIFS('هالك وتحويلات'!$E$2:$E$3001,'هالك وتحويلات'!$B$2:$B$3001,$B$2,'هالك وتحويلات'!$C$2:$C$3001,$A83,'هالك وتحويلات'!$D$2:$D$3001,"ضيافة / أكل موظفين",'هالك وتحويلات'!$A$2:$A$3001,'إعدادات المخزون'!$B$4)-SUMPRODUCT('مصفوفة الاستهلاك'!$BZ$2:$BZ$190,'متجهات المبيعات'!$B$2:$B$190)/'مواد المخزون'!$D$78</f>
        <v>-0.026672</v>
      </c>
      <c r="AA83" s="109" t="n">
        <f aca="false">IF(K83="نعم",O83,0)</f>
        <v>0</v>
      </c>
      <c r="AB83" s="109" t="n">
        <f aca="false">IF(K83="نعم",J83*C83,0)</f>
        <v>0</v>
      </c>
      <c r="AC83" s="109" t="n">
        <f aca="false">IF(T83="",0,T83)</f>
        <v>0</v>
      </c>
    </row>
    <row r="84" customFormat="false" ht="15" hidden="false" customHeight="false" outlineLevel="0" collapsed="false">
      <c r="A84" s="34" t="str">
        <f aca="false">'مواد المخزون'!A79</f>
        <v>ورق زبدة وسط كيلو 500 ورقة</v>
      </c>
      <c r="B84" s="36" t="str">
        <f aca="false">'مواد المخزون'!B79</f>
        <v>كجم</v>
      </c>
      <c r="C84" s="109" t="n">
        <f aca="false">'مواد المخزون'!E79</f>
        <v>45.8125</v>
      </c>
      <c r="D84" s="110" t="n">
        <f aca="false">'جرد أول المدة'!C82</f>
        <v>40</v>
      </c>
      <c r="E84" s="110" t="n">
        <f aca="false">SUMIFS('مشتريات يومية'!$D$2:$D$4001,'مشتريات يومية'!$B$2:$B$4001,$B$2,'مشتريات يومية'!$C$2:$C$4001,$A84,'مشتريات يومية'!$A$2:$A$4001,"&gt;="&amp;'إعدادات المخزون'!$B$5,'مشتريات يومية'!$A$2:$A$4001,"&lt;="&amp;'إعدادات المخزون'!$B$4)</f>
        <v>1</v>
      </c>
      <c r="F84" s="110" t="n">
        <f aca="false">SUMIFS('هالك وتحويلات'!$E$2:$E$3001,'هالك وتحويلات'!$B$2:$B$3001,$B$2,'هالك وتحويلات'!$C$2:$C$3001,$A84,'هالك وتحويلات'!$D$2:$D$3001,"تحويل وارد",'هالك وتحويلات'!$A$2:$A$3001,"&gt;="&amp;'إعدادات المخزون'!$B$5,'هالك وتحويلات'!$A$2:$A$3001,"&lt;="&amp;'إعدادات المخزون'!$B$4)</f>
        <v>0</v>
      </c>
      <c r="G84" s="110" t="n">
        <f aca="false">SUMIFS('هالك وتحويلات'!$E$2:$E$3001,'هالك وتحويلات'!$B$2:$B$3001,$B$2,'هالك وتحويلات'!$C$2:$C$3001,$A84,'هالك وتحويلات'!$D$2:$D$3001,"تحويل صادر",'هالك وتحويلات'!$A$2:$A$3001,"&gt;="&amp;'إعدادات المخزون'!$B$5,'هالك وتحويلات'!$A$2:$A$3001,"&lt;="&amp;'إعدادات المخزون'!$B$4)</f>
        <v>0</v>
      </c>
      <c r="H84" s="110" t="n">
        <f aca="false">SUMPRODUCT('مصفوفة الاستهلاك'!$CA$2:$CA$190,'متجهات المبيعات'!$C$2:$C$190)/'مواد المخزون'!$D$79</f>
        <v>13.211976</v>
      </c>
      <c r="I84" s="110" t="n">
        <f aca="false">SUMIFS('هالك وتحويلات'!$E$2:$E$3001,'هالك وتحويلات'!$B$2:$B$3001,$B$2,'هالك وتحويلات'!$C$2:$C$3001,$A84,'هالك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وتحويلات'!$C$2:$C$3001,$A84,'هالك وتحويلات'!$D$2:$D$3001,"ضيافة / أكل موظفين",'هالك وتحويلات'!$A$2:$A$3001,"&gt;="&amp;'إعدادات المخزون'!$B$5,'هالك وتحويلات'!$A$2:$A$3001,"&lt;="&amp;'إعدادات المخزون'!$B$4)</f>
        <v>0</v>
      </c>
      <c r="J84" s="110" t="n">
        <f aca="false">D84+E84+F84-G84-H84-I84</f>
        <v>27.788024</v>
      </c>
      <c r="K84" s="36" t="str">
        <f aca="false">IF(COUNTIFS('جرد فعلي'!$B$2:$B$12001,$B$2,'جرد فعلي'!$C$2:$C$12001,$A84,'جرد فعلي'!$A$2:$A$12001,'إعدادات المخزون'!$B$4)&gt;0,"نعم","لا")</f>
        <v>لا</v>
      </c>
      <c r="L84" s="111" t="str">
        <f aca="false">IF(K84="نعم",SUMIFS('جرد فعلي'!$D$2:$D$12001,'جرد فعلي'!$B$2:$B$12001,$B$2,'جرد فعلي'!$C$2:$C$12001,$A84,'جرد فعلي'!$A$2:$A$12001,'إعدادات المخزون'!$B$4),"")</f>
        <v/>
      </c>
      <c r="M84" s="110" t="str">
        <f aca="false">IF(K84="نعم",L84-J84,"")</f>
        <v/>
      </c>
      <c r="N84" s="112" t="str">
        <f aca="false">IF(K84="نعم",IF(J84=0,IF(M84=0,0,SIGN(M84)),M84/ABS(J84)),"")</f>
        <v/>
      </c>
      <c r="O84" s="109" t="str">
        <f aca="false">IF(K84="نعم",M84*C84,"")</f>
        <v/>
      </c>
      <c r="P84" s="36" t="str">
        <f aca="false">IF(K84&lt;&gt;"نعم","لم يُجرد",IF(ABS(N84)&lt;='إعدادات المخزون'!$B$7,"مطابق",IF(M84&lt;0,"عجز","زيادة")))</f>
        <v>لم يُجرد</v>
      </c>
      <c r="Q84" s="110" t="n">
        <f aca="false">J84-Z84</f>
        <v>28.889022</v>
      </c>
      <c r="R84" s="110" t="str">
        <f aca="false">IF(COUNTIFS('جرد فعلي'!$B$2:$B$12001,$B$2,'جرد فعلي'!$C$2:$C$12001,$A84,'جرد فعلي'!$A$2:$A$12001,'إعدادات المخزون'!$B$4-1)&gt;0,SUMIFS('جرد فعلي'!$D$2:$D$12001,'جرد فعلي'!$B$2:$B$12001,$B$2,'جرد فعلي'!$C$2:$C$12001,$A84,'جرد فعلي'!$A$2:$A$12001,'إعدادات المخزون'!$B$4-1),"")</f>
        <v/>
      </c>
      <c r="S84" s="110" t="str">
        <f aca="false">IF(AND(K84="نعم",R84&lt;&gt;""),(L84-J84)-(R84-Q84),"")</f>
        <v/>
      </c>
      <c r="T84" s="109" t="str">
        <f aca="false">IF(S84="","",S84*C84)</f>
        <v/>
      </c>
      <c r="U84" s="110" t="n">
        <f aca="false">IF(K84="نعم",L84,J84)</f>
        <v>27.788024</v>
      </c>
      <c r="V84" s="110" t="n">
        <f aca="false">SUMPRODUCT('مصفوفة الاستهلاك'!$CA$2:$CA$190,'متجهات المبيعات'!$D$2:$D$190)/'مواد المخزون'!$D$79/MAX(1,MIN('إعدادات المخزون'!$B$11,'إعدادات المخزون'!$B$4-'إعدادات المخزون'!$B$5+1))</f>
        <v>1.100998</v>
      </c>
      <c r="W84" s="110" t="n">
        <f aca="false">IF(V84&lt;=0,0,ROUNDUP(MAX(0,V84*('إعدادات المخزون'!$B$8+'إعدادات المخزون'!$B$9+'إعدادات المخزون'!$B$10)-MAX(U84,0))/'مواد المخزون'!$F79,0)*'مواد المخزون'!$F79)</f>
        <v>0</v>
      </c>
      <c r="X84" s="109" t="n">
        <f aca="false">IF(AND(K84="نعم",O84&lt;0),-O84+ROW()*0.000000001,0)</f>
        <v>0</v>
      </c>
      <c r="Y84" s="109" t="n">
        <f aca="false">IF(AND(K84="نعم",O84&gt;0),O84+ROW()*0.000000001,0)</f>
        <v>0</v>
      </c>
      <c r="Z84" s="110" t="n">
        <f aca="false">SUMIFS('مشتريات يومية'!$D$2:$D$4001,'مشتريات يومية'!$B$2:$B$4001,$B$2,'مشتريات يومية'!$C$2:$C$4001,$A84,'مشتريات يومية'!$A$2:$A$4001,'إعدادات المخزون'!$B$4)+SUMIFS('هالك وتحويلات'!$E$2:$E$3001,'هالك وتحويلات'!$B$2:$B$3001,$B$2,'هالك وتحويلات'!$C$2:$C$3001,$A84,'هالك وتحويلات'!$D$2:$D$3001,"تحويل وارد",'هالك وتحويلات'!$A$2:$A$3001,'إعدادات المخزون'!$B$4)-SUMIFS('هالك وتحويلات'!$E$2:$E$3001,'هالك وتحويلات'!$B$2:$B$3001,$B$2,'هالك وتحويلات'!$C$2:$C$3001,$A84,'هالك وتحويلات'!$D$2:$D$3001,"تحويل صادر",'هالك وتحويلات'!$A$2:$A$3001,'إعدادات المخزون'!$B$4)-SUMIFS('هالك وتحويلات'!$E$2:$E$3001,'هالك وتحويلات'!$B$2:$B$3001,$B$2,'هالك وتحويلات'!$C$2:$C$3001,$A84,'هالك وتحويلات'!$D$2:$D$3001,"هالك",'هالك وتحويلات'!$A$2:$A$3001,'إعدادات المخزون'!$B$4)-SUMIFS('هالك وتحويلات'!$E$2:$E$3001,'هالك وتحويلات'!$B$2:$B$3001,$B$2,'هالك وتحويلات'!$C$2:$C$3001,$A84,'هالك وتحويلات'!$D$2:$D$3001,"ضيافة / أكل موظفين",'هالك وتحويلات'!$A$2:$A$3001,'إعدادات المخزون'!$B$4)-SUMPRODUCT('مصفوفة الاستهلاك'!$CA$2:$CA$190,'متجهات المبيعات'!$B$2:$B$190)/'مواد المخزون'!$D$79</f>
        <v>-1.100998</v>
      </c>
      <c r="AA84" s="109" t="n">
        <f aca="false">IF(K84="نعم",O84,0)</f>
        <v>0</v>
      </c>
      <c r="AB84" s="109" t="n">
        <f aca="false">IF(K84="نعم",J84*C84,0)</f>
        <v>0</v>
      </c>
      <c r="AC84" s="109" t="n">
        <f aca="false">IF(T84="",0,T84)</f>
        <v>0</v>
      </c>
    </row>
    <row r="85" customFormat="false" ht="15" hidden="false" customHeight="false" outlineLevel="0" collapsed="false">
      <c r="A85" s="34" t="str">
        <f aca="false">'مواد المخزون'!A80</f>
        <v>اكياس كفرات</v>
      </c>
      <c r="B85" s="36" t="str">
        <f aca="false">'مواد المخزون'!B80</f>
        <v>كجم</v>
      </c>
      <c r="C85" s="109" t="n">
        <f aca="false">'مواد المخزون'!E80</f>
        <v>200</v>
      </c>
      <c r="D85" s="110" t="n">
        <f aca="false">'جرد أول المدة'!C83</f>
        <v>1</v>
      </c>
      <c r="E85" s="110" t="n">
        <f aca="false">SUMIFS('مشتريات يومية'!$D$2:$D$4001,'مشتريات يومية'!$B$2:$B$4001,$B$2,'مشتريات يومية'!$C$2:$C$4001,$A85,'مشتريات يومية'!$A$2:$A$4001,"&gt;="&amp;'إعدادات المخزون'!$B$5,'مشتريات يومية'!$A$2:$A$4001,"&lt;="&amp;'إعدادات المخزون'!$B$4)</f>
        <v>2.5</v>
      </c>
      <c r="F85" s="110" t="n">
        <f aca="false">SUMIFS('هالك وتحويلات'!$E$2:$E$3001,'هالك وتحويلات'!$B$2:$B$3001,$B$2,'هالك وتحويلات'!$C$2:$C$3001,$A85,'هالك وتحويلات'!$D$2:$D$3001,"تحويل وارد",'هالك وتحويلات'!$A$2:$A$3001,"&gt;="&amp;'إعدادات المخزون'!$B$5,'هالك وتحويلات'!$A$2:$A$3001,"&lt;="&amp;'إعدادات المخزون'!$B$4)</f>
        <v>0</v>
      </c>
      <c r="G85" s="110" t="n">
        <f aca="false">SUMIFS('هالك وتحويلات'!$E$2:$E$3001,'هالك وتحويلات'!$B$2:$B$3001,$B$2,'هالك وتحويلات'!$C$2:$C$3001,$A85,'هالك وتحويلات'!$D$2:$D$3001,"تحويل صادر",'هالك وتحويلات'!$A$2:$A$3001,"&gt;="&amp;'إعدادات المخزون'!$B$5,'هالك وتحويلات'!$A$2:$A$3001,"&lt;="&amp;'إعدادات المخزون'!$B$4)</f>
        <v>0</v>
      </c>
      <c r="H85" s="110" t="n">
        <f aca="false">SUMPRODUCT('مصفوفة الاستهلاك'!$CB$2:$CB$190,'متجهات المبيعات'!$C$2:$C$190)/'مواد المخزون'!$D$80</f>
        <v>8.257485</v>
      </c>
      <c r="I85" s="110" t="n">
        <f aca="false">SUMIFS('هالك وتحويلات'!$E$2:$E$3001,'هالك وتحويلات'!$B$2:$B$3001,$B$2,'هالك وتحويلات'!$C$2:$C$3001,$A85,'هالك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وتحويلات'!$C$2:$C$3001,$A85,'هالك وتحويلات'!$D$2:$D$3001,"ضيافة / أكل موظفين",'هالك وتحويلات'!$A$2:$A$3001,"&gt;="&amp;'إعدادات المخزون'!$B$5,'هالك وتحويلات'!$A$2:$A$3001,"&lt;="&amp;'إعدادات المخزون'!$B$4)</f>
        <v>0</v>
      </c>
      <c r="J85" s="110" t="n">
        <f aca="false">D85+E85+F85-G85-H85-I85</f>
        <v>-4.757485</v>
      </c>
      <c r="K85" s="36" t="str">
        <f aca="false">IF(COUNTIFS('جرد فعلي'!$B$2:$B$12001,$B$2,'جرد فعلي'!$C$2:$C$12001,$A85,'جرد فعلي'!$A$2:$A$12001,'إعدادات المخزون'!$B$4)&gt;0,"نعم","لا")</f>
        <v>لا</v>
      </c>
      <c r="L85" s="111" t="str">
        <f aca="false">IF(K85="نعم",SUMIFS('جرد فعلي'!$D$2:$D$12001,'جرد فعلي'!$B$2:$B$12001,$B$2,'جرد فعلي'!$C$2:$C$12001,$A85,'جرد فعلي'!$A$2:$A$12001,'إعدادات المخزون'!$B$4),"")</f>
        <v/>
      </c>
      <c r="M85" s="110" t="str">
        <f aca="false">IF(K85="نعم",L85-J85,"")</f>
        <v/>
      </c>
      <c r="N85" s="112" t="str">
        <f aca="false">IF(K85="نعم",IF(J85=0,IF(M85=0,0,SIGN(M85)),M85/ABS(J85)),"")</f>
        <v/>
      </c>
      <c r="O85" s="109" t="str">
        <f aca="false">IF(K85="نعم",M85*C85,"")</f>
        <v/>
      </c>
      <c r="P85" s="36" t="str">
        <f aca="false">IF(K85&lt;&gt;"نعم","لم يُجرد",IF(ABS(N85)&lt;='إعدادات المخزون'!$B$7,"مطابق",IF(M85&lt;0,"عجز","زيادة")))</f>
        <v>لم يُجرد</v>
      </c>
      <c r="Q85" s="110" t="n">
        <f aca="false">J85-Z85</f>
        <v>-4.06936125</v>
      </c>
      <c r="R85" s="110" t="str">
        <f aca="false">IF(COUNTIFS('جرد فعلي'!$B$2:$B$12001,$B$2,'جرد فعلي'!$C$2:$C$12001,$A85,'جرد فعلي'!$A$2:$A$12001,'إعدادات المخزون'!$B$4-1)&gt;0,SUMIFS('جرد فعلي'!$D$2:$D$12001,'جرد فعلي'!$B$2:$B$12001,$B$2,'جرد فعلي'!$C$2:$C$12001,$A85,'جرد فعلي'!$A$2:$A$12001,'إعدادات المخزون'!$B$4-1),"")</f>
        <v/>
      </c>
      <c r="S85" s="110" t="str">
        <f aca="false">IF(AND(K85="نعم",R85&lt;&gt;""),(L85-J85)-(R85-Q85),"")</f>
        <v/>
      </c>
      <c r="T85" s="109" t="str">
        <f aca="false">IF(S85="","",S85*C85)</f>
        <v/>
      </c>
      <c r="U85" s="110" t="n">
        <f aca="false">IF(K85="نعم",L85,J85)</f>
        <v>-4.757485</v>
      </c>
      <c r="V85" s="110" t="n">
        <f aca="false">SUMPRODUCT('مصفوفة الاستهلاك'!$CB$2:$CB$190,'متجهات المبيعات'!$D$2:$D$190)/'مواد المخزون'!$D$80/MAX(1,MIN('إعدادات المخزون'!$B$11,'إعدادات المخزون'!$B$4-'إعدادات المخزون'!$B$5+1))</f>
        <v>0.68812375</v>
      </c>
      <c r="W85" s="110" t="n">
        <f aca="false">IF(V85&lt;=0,0,ROUNDUP(MAX(0,V85*('إعدادات المخزون'!$B$8+'إعدادات المخزون'!$B$9+'إعدادات المخزون'!$B$10)-MAX(U85,0))/'مواد المخزون'!$F80,0)*'مواد المخزون'!$F80)</f>
        <v>3</v>
      </c>
      <c r="X85" s="109" t="n">
        <f aca="false">IF(AND(K85="نعم",O85&lt;0),-O85+ROW()*0.000000001,0)</f>
        <v>0</v>
      </c>
      <c r="Y85" s="109" t="n">
        <f aca="false">IF(AND(K85="نعم",O85&gt;0),O85+ROW()*0.000000001,0)</f>
        <v>0</v>
      </c>
      <c r="Z85" s="110" t="n">
        <f aca="false">SUMIFS('مشتريات يومية'!$D$2:$D$4001,'مشتريات يومية'!$B$2:$B$4001,$B$2,'مشتريات يومية'!$C$2:$C$4001,$A85,'مشتريات يومية'!$A$2:$A$4001,'إعدادات المخزون'!$B$4)+SUMIFS('هالك وتحويلات'!$E$2:$E$3001,'هالك وتحويلات'!$B$2:$B$3001,$B$2,'هالك وتحويلات'!$C$2:$C$3001,$A85,'هالك وتحويلات'!$D$2:$D$3001,"تحويل وارد",'هالك وتحويلات'!$A$2:$A$3001,'إعدادات المخزون'!$B$4)-SUMIFS('هالك وتحويلات'!$E$2:$E$3001,'هالك وتحويلات'!$B$2:$B$3001,$B$2,'هالك وتحويلات'!$C$2:$C$3001,$A85,'هالك وتحويلات'!$D$2:$D$3001,"تحويل صادر",'هالك وتحويلات'!$A$2:$A$3001,'إعدادات المخزون'!$B$4)-SUMIFS('هالك وتحويلات'!$E$2:$E$3001,'هالك وتحويلات'!$B$2:$B$3001,$B$2,'هالك وتحويلات'!$C$2:$C$3001,$A85,'هالك وتحويلات'!$D$2:$D$3001,"هالك",'هالك وتحويلات'!$A$2:$A$3001,'إعدادات المخزون'!$B$4)-SUMIFS('هالك وتحويلات'!$E$2:$E$3001,'هالك وتحويلات'!$B$2:$B$3001,$B$2,'هالك وتحويلات'!$C$2:$C$3001,$A85,'هالك وتحويلات'!$D$2:$D$3001,"ضيافة / أكل موظفين",'هالك وتحويلات'!$A$2:$A$3001,'إعدادات المخزون'!$B$4)-SUMPRODUCT('مصفوفة الاستهلاك'!$CB$2:$CB$190,'متجهات المبيعات'!$B$2:$B$190)/'مواد المخزون'!$D$80</f>
        <v>-0.68812375</v>
      </c>
      <c r="AA85" s="109" t="n">
        <f aca="false">IF(K85="نعم",O85,0)</f>
        <v>0</v>
      </c>
      <c r="AB85" s="109" t="n">
        <f aca="false">IF(K85="نعم",J85*C85,0)</f>
        <v>0</v>
      </c>
      <c r="AC85" s="109" t="n">
        <f aca="false">IF(T85="",0,T85)</f>
        <v>0</v>
      </c>
    </row>
    <row r="86" customFormat="false" ht="15" hidden="false" customHeight="false" outlineLevel="0" collapsed="false">
      <c r="A86" s="34" t="str">
        <f aca="false">'مواد المخزون'!A81</f>
        <v>علبة كاليزوني</v>
      </c>
      <c r="B86" s="36" t="str">
        <f aca="false">'مواد المخزون'!B81</f>
        <v>قطعة</v>
      </c>
      <c r="C86" s="109" t="n">
        <f aca="false">'مواد المخزون'!E81</f>
        <v>4.47</v>
      </c>
      <c r="D86" s="110" t="n">
        <f aca="false">'جرد أول المدة'!C84</f>
        <v>1190</v>
      </c>
      <c r="E86" s="110" t="n">
        <f aca="false">SUMIFS('مشتريات يومية'!$D$2:$D$4001,'مشتريات يومية'!$B$2:$B$4001,$B$2,'مشتريات يومية'!$C$2:$C$4001,$A86,'مشتريات يومية'!$A$2:$A$4001,"&gt;="&amp;'إعدادات المخزون'!$B$5,'مشتريات يومية'!$A$2:$A$4001,"&lt;="&amp;'إعدادات المخزون'!$B$4)</f>
        <v>0</v>
      </c>
      <c r="F86" s="110" t="n">
        <f aca="false">SUMIFS('هالك وتحويلات'!$E$2:$E$3001,'هالك وتحويلات'!$B$2:$B$3001,$B$2,'هالك وتحويلات'!$C$2:$C$3001,$A86,'هالك وتحويلات'!$D$2:$D$3001,"تحويل وارد",'هالك وتحويلات'!$A$2:$A$3001,"&gt;="&amp;'إعدادات المخزون'!$B$5,'هالك وتحويلات'!$A$2:$A$3001,"&lt;="&amp;'إعدادات المخزون'!$B$4)</f>
        <v>0</v>
      </c>
      <c r="G86" s="110" t="n">
        <f aca="false">SUMIFS('هالك وتحويلات'!$E$2:$E$3001,'هالك وتحويلات'!$B$2:$B$3001,$B$2,'هالك وتحويلات'!$C$2:$C$3001,$A86,'هالك وتحويلات'!$D$2:$D$3001,"تحويل صادر",'هالك وتحويلات'!$A$2:$A$3001,"&gt;="&amp;'إعدادات المخزون'!$B$5,'هالك وتحويلات'!$A$2:$A$3001,"&lt;="&amp;'إعدادات المخزون'!$B$4)</f>
        <v>0</v>
      </c>
      <c r="H86" s="110" t="n">
        <f aca="false">SUMPRODUCT('مصفوفة الاستهلاك'!$CC$2:$CC$190,'متجهات المبيعات'!$C$2:$C$190)/'مواد المخزون'!$D$81</f>
        <v>73.0008</v>
      </c>
      <c r="I86" s="110" t="n">
        <f aca="false">SUMIFS('هالك وتحويلات'!$E$2:$E$3001,'هالك وتحويلات'!$B$2:$B$3001,$B$2,'هالك وتحويلات'!$C$2:$C$3001,$A86,'هالك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وتحويلات'!$C$2:$C$3001,$A86,'هالك وتحويلات'!$D$2:$D$3001,"ضيافة / أكل موظفين",'هالك وتحويلات'!$A$2:$A$3001,"&gt;="&amp;'إعدادات المخزون'!$B$5,'هالك وتحويلات'!$A$2:$A$3001,"&lt;="&amp;'إعدادات المخزون'!$B$4)</f>
        <v>0</v>
      </c>
      <c r="J86" s="110" t="n">
        <f aca="false">D86+E86+F86-G86-H86-I86</f>
        <v>1116.9992</v>
      </c>
      <c r="K86" s="36" t="str">
        <f aca="false">IF(COUNTIFS('جرد فعلي'!$B$2:$B$12001,$B$2,'جرد فعلي'!$C$2:$C$12001,$A86,'جرد فعلي'!$A$2:$A$12001,'إعدادات المخزون'!$B$4)&gt;0,"نعم","لا")</f>
        <v>لا</v>
      </c>
      <c r="L86" s="111" t="str">
        <f aca="false">IF(K86="نعم",SUMIFS('جرد فعلي'!$D$2:$D$12001,'جرد فعلي'!$B$2:$B$12001,$B$2,'جرد فعلي'!$C$2:$C$12001,$A86,'جرد فعلي'!$A$2:$A$12001,'إعدادات المخزون'!$B$4),"")</f>
        <v/>
      </c>
      <c r="M86" s="110" t="str">
        <f aca="false">IF(K86="نعم",L86-J86,"")</f>
        <v/>
      </c>
      <c r="N86" s="112" t="str">
        <f aca="false">IF(K86="نعم",IF(J86=0,IF(M86=0,0,SIGN(M86)),M86/ABS(J86)),"")</f>
        <v/>
      </c>
      <c r="O86" s="109" t="str">
        <f aca="false">IF(K86="نعم",M86*C86,"")</f>
        <v/>
      </c>
      <c r="P86" s="36" t="str">
        <f aca="false">IF(K86&lt;&gt;"نعم","لم يُجرد",IF(ABS(N86)&lt;='إعدادات المخزون'!$B$7,"مطابق",IF(M86&lt;0,"عجز","زيادة")))</f>
        <v>لم يُجرد</v>
      </c>
      <c r="Q86" s="110" t="n">
        <f aca="false">J86-Z86</f>
        <v>1123.0826</v>
      </c>
      <c r="R86" s="110" t="str">
        <f aca="false">IF(COUNTIFS('جرد فعلي'!$B$2:$B$12001,$B$2,'جرد فعلي'!$C$2:$C$12001,$A86,'جرد فعلي'!$A$2:$A$12001,'إعدادات المخزون'!$B$4-1)&gt;0,SUMIFS('جرد فعلي'!$D$2:$D$12001,'جرد فعلي'!$B$2:$B$12001,$B$2,'جرد فعلي'!$C$2:$C$12001,$A86,'جرد فعلي'!$A$2:$A$12001,'إعدادات المخزون'!$B$4-1),"")</f>
        <v/>
      </c>
      <c r="S86" s="110" t="str">
        <f aca="false">IF(AND(K86="نعم",R86&lt;&gt;""),(L86-J86)-(R86-Q86),"")</f>
        <v/>
      </c>
      <c r="T86" s="109" t="str">
        <f aca="false">IF(S86="","",S86*C86)</f>
        <v/>
      </c>
      <c r="U86" s="110" t="n">
        <f aca="false">IF(K86="نعم",L86,J86)</f>
        <v>1116.9992</v>
      </c>
      <c r="V86" s="110" t="n">
        <f aca="false">SUMPRODUCT('مصفوفة الاستهلاك'!$CC$2:$CC$190,'متجهات المبيعات'!$D$2:$D$190)/'مواد المخزون'!$D$81/MAX(1,MIN('إعدادات المخزون'!$B$11,'إعدادات المخزون'!$B$4-'إعدادات المخزون'!$B$5+1))</f>
        <v>6.0834</v>
      </c>
      <c r="W86" s="110" t="n">
        <f aca="false">IF(V86&lt;=0,0,ROUNDUP(MAX(0,V86*('إعدادات المخزون'!$B$8+'إعدادات المخزون'!$B$9+'إعدادات المخزون'!$B$10)-MAX(U86,0))/'مواد المخزون'!$F81,0)*'مواد المخزون'!$F81)</f>
        <v>0</v>
      </c>
      <c r="X86" s="109" t="n">
        <f aca="false">IF(AND(K86="نعم",O86&lt;0),-O86+ROW()*0.000000001,0)</f>
        <v>0</v>
      </c>
      <c r="Y86" s="109" t="n">
        <f aca="false">IF(AND(K86="نعم",O86&gt;0),O86+ROW()*0.000000001,0)</f>
        <v>0</v>
      </c>
      <c r="Z86" s="110" t="n">
        <f aca="false">SUMIFS('مشتريات يومية'!$D$2:$D$4001,'مشتريات يومية'!$B$2:$B$4001,$B$2,'مشتريات يومية'!$C$2:$C$4001,$A86,'مشتريات يومية'!$A$2:$A$4001,'إعدادات المخزون'!$B$4)+SUMIFS('هالك وتحويلات'!$E$2:$E$3001,'هالك وتحويلات'!$B$2:$B$3001,$B$2,'هالك وتحويلات'!$C$2:$C$3001,$A86,'هالك وتحويلات'!$D$2:$D$3001,"تحويل وارد",'هالك وتحويلات'!$A$2:$A$3001,'إعدادات المخزون'!$B$4)-SUMIFS('هالك وتحويلات'!$E$2:$E$3001,'هالك وتحويلات'!$B$2:$B$3001,$B$2,'هالك وتحويلات'!$C$2:$C$3001,$A86,'هالك وتحويلات'!$D$2:$D$3001,"تحويل صادر",'هالك وتحويلات'!$A$2:$A$3001,'إعدادات المخزون'!$B$4)-SUMIFS('هالك وتحويلات'!$E$2:$E$3001,'هالك وتحويلات'!$B$2:$B$3001,$B$2,'هالك وتحويلات'!$C$2:$C$3001,$A86,'هالك وتحويلات'!$D$2:$D$3001,"هالك",'هالك وتحويلات'!$A$2:$A$3001,'إعدادات المخزون'!$B$4)-SUMIFS('هالك وتحويلات'!$E$2:$E$3001,'هالك وتحويلات'!$B$2:$B$3001,$B$2,'هالك وتحويلات'!$C$2:$C$3001,$A86,'هالك وتحويلات'!$D$2:$D$3001,"ضيافة / أكل موظفين",'هالك وتحويلات'!$A$2:$A$3001,'إعدادات المخزون'!$B$4)-SUMPRODUCT('مصفوفة الاستهلاك'!$CC$2:$CC$190,'متجهات المبيعات'!$B$2:$B$190)/'مواد المخزون'!$D$81</f>
        <v>-6.0834</v>
      </c>
      <c r="AA86" s="109" t="n">
        <f aca="false">IF(K86="نعم",O86,0)</f>
        <v>0</v>
      </c>
      <c r="AB86" s="109" t="n">
        <f aca="false">IF(K86="نعم",J86*C86,0)</f>
        <v>0</v>
      </c>
      <c r="AC86" s="109" t="n">
        <f aca="false">IF(T86="",0,T86)</f>
        <v>0</v>
      </c>
    </row>
    <row r="87" customFormat="false" ht="15" hidden="false" customHeight="false" outlineLevel="0" collapsed="false">
      <c r="A87" s="34" t="str">
        <f aca="false">'مواد المخزون'!A82</f>
        <v>سوسيس/سدق صيامي</v>
      </c>
      <c r="B87" s="36" t="str">
        <f aca="false">'مواد المخزون'!B82</f>
        <v>كجم</v>
      </c>
      <c r="C87" s="109" t="n">
        <f aca="false">'مواد المخزون'!E82</f>
        <v>220.02</v>
      </c>
      <c r="D87" s="110" t="n">
        <f aca="false">'جرد أول المدة'!C85</f>
        <v>-1.98</v>
      </c>
      <c r="E87" s="110" t="n">
        <f aca="false">SUMIFS('مشتريات يومية'!$D$2:$D$4001,'مشتريات يومية'!$B$2:$B$4001,$B$2,'مشتريات يومية'!$C$2:$C$4001,$A87,'مشتريات يومية'!$A$2:$A$4001,"&gt;="&amp;'إعدادات المخزون'!$B$5,'مشتريات يومية'!$A$2:$A$4001,"&lt;="&amp;'إعدادات المخزون'!$B$4)</f>
        <v>0</v>
      </c>
      <c r="F87" s="110" t="n">
        <f aca="false">SUMIFS('هالك وتحويلات'!$E$2:$E$3001,'هالك وتحويلات'!$B$2:$B$3001,$B$2,'هالك وتحويلات'!$C$2:$C$3001,$A87,'هالك وتحويلات'!$D$2:$D$3001,"تحويل وارد",'هالك وتحويلات'!$A$2:$A$3001,"&gt;="&amp;'إعدادات المخزون'!$B$5,'هالك وتحويلات'!$A$2:$A$3001,"&lt;="&amp;'إعدادات المخزون'!$B$4)</f>
        <v>0</v>
      </c>
      <c r="G87" s="110" t="n">
        <f aca="false">SUMIFS('هالك وتحويلات'!$E$2:$E$3001,'هالك وتحويلات'!$B$2:$B$3001,$B$2,'هالك وتحويلات'!$C$2:$C$3001,$A87,'هالك وتحويلات'!$D$2:$D$3001,"تحويل صادر",'هالك وتحويلات'!$A$2:$A$3001,"&gt;="&amp;'إعدادات المخزون'!$B$5,'هالك وتحويلات'!$A$2:$A$3001,"&lt;="&amp;'إعدادات المخزون'!$B$4)</f>
        <v>0</v>
      </c>
      <c r="H87" s="110" t="n">
        <f aca="false">SUMPRODUCT('مصفوفة الاستهلاك'!$CD$2:$CD$190,'متجهات المبيعات'!$C$2:$C$190)/'مواد المخزون'!$D$82</f>
        <v>0</v>
      </c>
      <c r="I87" s="110" t="n">
        <f aca="false">SUMIFS('هالك وتحويلات'!$E$2:$E$3001,'هالك وتحويلات'!$B$2:$B$3001,$B$2,'هالك وتحويلات'!$C$2:$C$3001,$A87,'هالك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وتحويلات'!$C$2:$C$3001,$A87,'هالك وتحويلات'!$D$2:$D$3001,"ضيافة / أكل موظفين",'هالك وتحويلات'!$A$2:$A$3001,"&gt;="&amp;'إعدادات المخزون'!$B$5,'هالك وتحويلات'!$A$2:$A$3001,"&lt;="&amp;'إعدادات المخزون'!$B$4)</f>
        <v>0</v>
      </c>
      <c r="J87" s="110" t="n">
        <f aca="false">D87+E87+F87-G87-H87-I87</f>
        <v>-1.98</v>
      </c>
      <c r="K87" s="36" t="str">
        <f aca="false">IF(COUNTIFS('جرد فعلي'!$B$2:$B$12001,$B$2,'جرد فعلي'!$C$2:$C$12001,$A87,'جرد فعلي'!$A$2:$A$12001,'إعدادات المخزون'!$B$4)&gt;0,"نعم","لا")</f>
        <v>لا</v>
      </c>
      <c r="L87" s="111" t="str">
        <f aca="false">IF(K87="نعم",SUMIFS('جرد فعلي'!$D$2:$D$12001,'جرد فعلي'!$B$2:$B$12001,$B$2,'جرد فعلي'!$C$2:$C$12001,$A87,'جرد فعلي'!$A$2:$A$12001,'إعدادات المخزون'!$B$4),"")</f>
        <v/>
      </c>
      <c r="M87" s="110" t="str">
        <f aca="false">IF(K87="نعم",L87-J87,"")</f>
        <v/>
      </c>
      <c r="N87" s="112" t="str">
        <f aca="false">IF(K87="نعم",IF(J87=0,IF(M87=0,0,SIGN(M87)),M87/ABS(J87)),"")</f>
        <v/>
      </c>
      <c r="O87" s="109" t="str">
        <f aca="false">IF(K87="نعم",M87*C87,"")</f>
        <v/>
      </c>
      <c r="P87" s="36" t="str">
        <f aca="false">IF(K87&lt;&gt;"نعم","لم يُجرد",IF(ABS(N87)&lt;='إعدادات المخزون'!$B$7,"مطابق",IF(M87&lt;0,"عجز","زيادة")))</f>
        <v>لم يُجرد</v>
      </c>
      <c r="Q87" s="110" t="n">
        <f aca="false">J87-Z87</f>
        <v>-1.98</v>
      </c>
      <c r="R87" s="110" t="str">
        <f aca="false">IF(COUNTIFS('جرد فعلي'!$B$2:$B$12001,$B$2,'جرد فعلي'!$C$2:$C$12001,$A87,'جرد فعلي'!$A$2:$A$12001,'إعدادات المخزون'!$B$4-1)&gt;0,SUMIFS('جرد فعلي'!$D$2:$D$12001,'جرد فعلي'!$B$2:$B$12001,$B$2,'جرد فعلي'!$C$2:$C$12001,$A87,'جرد فعلي'!$A$2:$A$12001,'إعدادات المخزون'!$B$4-1),"")</f>
        <v/>
      </c>
      <c r="S87" s="110" t="str">
        <f aca="false">IF(AND(K87="نعم",R87&lt;&gt;""),(L87-J87)-(R87-Q87),"")</f>
        <v/>
      </c>
      <c r="T87" s="109" t="str">
        <f aca="false">IF(S87="","",S87*C87)</f>
        <v/>
      </c>
      <c r="U87" s="110" t="n">
        <f aca="false">IF(K87="نعم",L87,J87)</f>
        <v>-1.98</v>
      </c>
      <c r="V87" s="110" t="n">
        <f aca="false">SUMPRODUCT('مصفوفة الاستهلاك'!$CD$2:$CD$190,'متجهات المبيعات'!$D$2:$D$190)/'مواد المخزون'!$D$82/MAX(1,MIN('إعدادات المخزون'!$B$11,'إعدادات المخزون'!$B$4-'إعدادات المخزون'!$B$5+1))</f>
        <v>0</v>
      </c>
      <c r="W87" s="110" t="n">
        <f aca="false">IF(V87&lt;=0,0,ROUNDUP(MAX(0,V87*('إعدادات المخزون'!$B$8+'إعدادات المخزون'!$B$9+'إعدادات المخزون'!$B$10)-MAX(U87,0))/'مواد المخزون'!$F82,0)*'مواد المخزون'!$F82)</f>
        <v>0</v>
      </c>
      <c r="X87" s="109" t="n">
        <f aca="false">IF(AND(K87="نعم",O87&lt;0),-O87+ROW()*0.000000001,0)</f>
        <v>0</v>
      </c>
      <c r="Y87" s="109" t="n">
        <f aca="false">IF(AND(K87="نعم",O87&gt;0),O87+ROW()*0.000000001,0)</f>
        <v>0</v>
      </c>
      <c r="Z87" s="110" t="n">
        <f aca="false">SUMIFS('مشتريات يومية'!$D$2:$D$4001,'مشتريات يومية'!$B$2:$B$4001,$B$2,'مشتريات يومية'!$C$2:$C$4001,$A87,'مشتريات يومية'!$A$2:$A$4001,'إعدادات المخزون'!$B$4)+SUMIFS('هالك وتحويلات'!$E$2:$E$3001,'هالك وتحويلات'!$B$2:$B$3001,$B$2,'هالك وتحويلات'!$C$2:$C$3001,$A87,'هالك وتحويلات'!$D$2:$D$3001,"تحويل وارد",'هالك وتحويلات'!$A$2:$A$3001,'إعدادات المخزون'!$B$4)-SUMIFS('هالك وتحويلات'!$E$2:$E$3001,'هالك وتحويلات'!$B$2:$B$3001,$B$2,'هالك وتحويلات'!$C$2:$C$3001,$A87,'هالك وتحويلات'!$D$2:$D$3001,"تحويل صادر",'هالك وتحويلات'!$A$2:$A$3001,'إعدادات المخزون'!$B$4)-SUMIFS('هالك وتحويلات'!$E$2:$E$3001,'هالك وتحويلات'!$B$2:$B$3001,$B$2,'هالك وتحويلات'!$C$2:$C$3001,$A87,'هالك وتحويلات'!$D$2:$D$3001,"هالك",'هالك وتحويلات'!$A$2:$A$3001,'إعدادات المخزون'!$B$4)-SUMIFS('هالك وتحويلات'!$E$2:$E$3001,'هالك وتحويلات'!$B$2:$B$3001,$B$2,'هالك وتحويلات'!$C$2:$C$3001,$A87,'هالك وتحويلات'!$D$2:$D$3001,"ضيافة / أكل موظفين",'هالك وتحويلات'!$A$2:$A$3001,'إعدادات المخزون'!$B$4)-SUMPRODUCT('مصفوفة الاستهلاك'!$CD$2:$CD$190,'متجهات المبيعات'!$B$2:$B$190)/'مواد المخزون'!$D$82</f>
        <v>0</v>
      </c>
      <c r="AA87" s="109" t="n">
        <f aca="false">IF(K87="نعم",O87,0)</f>
        <v>0</v>
      </c>
      <c r="AB87" s="109" t="n">
        <f aca="false">IF(K87="نعم",J87*C87,0)</f>
        <v>0</v>
      </c>
      <c r="AC87" s="109" t="n">
        <f aca="false">IF(T87="",0,T87)</f>
        <v>0</v>
      </c>
    </row>
    <row r="88" customFormat="false" ht="15" hidden="false" customHeight="false" outlineLevel="0" collapsed="false">
      <c r="A88" s="34" t="str">
        <f aca="false">'مواد المخزون'!A83</f>
        <v>شاورما فراخ/سدق صيامي</v>
      </c>
      <c r="B88" s="36" t="str">
        <f aca="false">'مواد المخزون'!B83</f>
        <v>كجم</v>
      </c>
      <c r="C88" s="109" t="n">
        <f aca="false">'مواد المخزون'!E83</f>
        <v>219.23</v>
      </c>
      <c r="D88" s="110" t="n">
        <f aca="false">'جرد أول المدة'!C86</f>
        <v>0</v>
      </c>
      <c r="E88" s="110" t="n">
        <f aca="false">SUMIFS('مشتريات يومية'!$D$2:$D$4001,'مشتريات يومية'!$B$2:$B$4001,$B$2,'مشتريات يومية'!$C$2:$C$4001,$A88,'مشتريات يومية'!$A$2:$A$4001,"&gt;="&amp;'إعدادات المخزون'!$B$5,'مشتريات يومية'!$A$2:$A$4001,"&lt;="&amp;'إعدادات المخزون'!$B$4)</f>
        <v>0</v>
      </c>
      <c r="F88" s="110" t="n">
        <f aca="false">SUMIFS('هالك وتحويلات'!$E$2:$E$3001,'هالك وتحويلات'!$B$2:$B$3001,$B$2,'هالك وتحويلات'!$C$2:$C$3001,$A88,'هالك وتحويلات'!$D$2:$D$3001,"تحويل وارد",'هالك وتحويلات'!$A$2:$A$3001,"&gt;="&amp;'إعدادات المخزون'!$B$5,'هالك وتحويلات'!$A$2:$A$3001,"&lt;="&amp;'إعدادات المخزون'!$B$4)</f>
        <v>0</v>
      </c>
      <c r="G88" s="110" t="n">
        <f aca="false">SUMIFS('هالك وتحويلات'!$E$2:$E$3001,'هالك وتحويلات'!$B$2:$B$3001,$B$2,'هالك وتحويلات'!$C$2:$C$3001,$A88,'هالك وتحويلات'!$D$2:$D$3001,"تحويل صادر",'هالك وتحويلات'!$A$2:$A$3001,"&gt;="&amp;'إعدادات المخزون'!$B$5,'هالك وتحويلات'!$A$2:$A$3001,"&lt;="&amp;'إعدادات المخزون'!$B$4)</f>
        <v>0</v>
      </c>
      <c r="H88" s="110" t="n">
        <f aca="false">SUMPRODUCT('مصفوفة الاستهلاك'!$CE$2:$CE$190,'متجهات المبيعات'!$C$2:$C$190)/'مواد المخزون'!$D$83</f>
        <v>0</v>
      </c>
      <c r="I88" s="110" t="n">
        <f aca="false">SUMIFS('هالك وتحويلات'!$E$2:$E$3001,'هالك وتحويلات'!$B$2:$B$3001,$B$2,'هالك وتحويلات'!$C$2:$C$3001,$A88,'هالك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وتحويلات'!$C$2:$C$3001,$A88,'هالك وتحويلات'!$D$2:$D$3001,"ضيافة / أكل موظفين",'هالك وتحويلات'!$A$2:$A$3001,"&gt;="&amp;'إعدادات المخزون'!$B$5,'هالك وتحويلات'!$A$2:$A$3001,"&lt;="&amp;'إعدادات المخزون'!$B$4)</f>
        <v>0</v>
      </c>
      <c r="J88" s="110" t="n">
        <f aca="false">D88+E88+F88-G88-H88-I88</f>
        <v>0</v>
      </c>
      <c r="K88" s="36" t="str">
        <f aca="false">IF(COUNTIFS('جرد فعلي'!$B$2:$B$12001,$B$2,'جرد فعلي'!$C$2:$C$12001,$A88,'جرد فعلي'!$A$2:$A$12001,'إعدادات المخزون'!$B$4)&gt;0,"نعم","لا")</f>
        <v>لا</v>
      </c>
      <c r="L88" s="111" t="str">
        <f aca="false">IF(K88="نعم",SUMIFS('جرد فعلي'!$D$2:$D$12001,'جرد فعلي'!$B$2:$B$12001,$B$2,'جرد فعلي'!$C$2:$C$12001,$A88,'جرد فعلي'!$A$2:$A$12001,'إعدادات المخزون'!$B$4),"")</f>
        <v/>
      </c>
      <c r="M88" s="110" t="str">
        <f aca="false">IF(K88="نعم",L88-J88,"")</f>
        <v/>
      </c>
      <c r="N88" s="112" t="str">
        <f aca="false">IF(K88="نعم",IF(J88=0,IF(M88=0,0,SIGN(M88)),M88/ABS(J88)),"")</f>
        <v/>
      </c>
      <c r="O88" s="109" t="str">
        <f aca="false">IF(K88="نعم",M88*C88,"")</f>
        <v/>
      </c>
      <c r="P88" s="36" t="str">
        <f aca="false">IF(K88&lt;&gt;"نعم","لم يُجرد",IF(ABS(N88)&lt;='إعدادات المخزون'!$B$7,"مطابق",IF(M88&lt;0,"عجز","زيادة")))</f>
        <v>لم يُجرد</v>
      </c>
      <c r="Q88" s="110" t="n">
        <f aca="false">J88-Z88</f>
        <v>0</v>
      </c>
      <c r="R88" s="110" t="str">
        <f aca="false">IF(COUNTIFS('جرد فعلي'!$B$2:$B$12001,$B$2,'جرد فعلي'!$C$2:$C$12001,$A88,'جرد فعلي'!$A$2:$A$12001,'إعدادات المخزون'!$B$4-1)&gt;0,SUMIFS('جرد فعلي'!$D$2:$D$12001,'جرد فعلي'!$B$2:$B$12001,$B$2,'جرد فعلي'!$C$2:$C$12001,$A88,'جرد فعلي'!$A$2:$A$12001,'إعدادات المخزون'!$B$4-1),"")</f>
        <v/>
      </c>
      <c r="S88" s="110" t="str">
        <f aca="false">IF(AND(K88="نعم",R88&lt;&gt;""),(L88-J88)-(R88-Q88),"")</f>
        <v/>
      </c>
      <c r="T88" s="109" t="str">
        <f aca="false">IF(S88="","",S88*C88)</f>
        <v/>
      </c>
      <c r="U88" s="110" t="n">
        <f aca="false">IF(K88="نعم",L88,J88)</f>
        <v>0</v>
      </c>
      <c r="V88" s="110" t="n">
        <f aca="false">SUMPRODUCT('مصفوفة الاستهلاك'!$CE$2:$CE$190,'متجهات المبيعات'!$D$2:$D$190)/'مواد المخزون'!$D$83/MAX(1,MIN('إعدادات المخزون'!$B$11,'إعدادات المخزون'!$B$4-'إعدادات المخزون'!$B$5+1))</f>
        <v>0</v>
      </c>
      <c r="W88" s="110" t="n">
        <f aca="false">IF(V88&lt;=0,0,ROUNDUP(MAX(0,V88*('إعدادات المخزون'!$B$8+'إعدادات المخزون'!$B$9+'إعدادات المخزون'!$B$10)-MAX(U88,0))/'مواد المخزون'!$F83,0)*'مواد المخزون'!$F83)</f>
        <v>0</v>
      </c>
      <c r="X88" s="109" t="n">
        <f aca="false">IF(AND(K88="نعم",O88&lt;0),-O88+ROW()*0.000000001,0)</f>
        <v>0</v>
      </c>
      <c r="Y88" s="109" t="n">
        <f aca="false">IF(AND(K88="نعم",O88&gt;0),O88+ROW()*0.000000001,0)</f>
        <v>0</v>
      </c>
      <c r="Z88" s="110" t="n">
        <f aca="false">SUMIFS('مشتريات يومية'!$D$2:$D$4001,'مشتريات يومية'!$B$2:$B$4001,$B$2,'مشتريات يومية'!$C$2:$C$4001,$A88,'مشتريات يومية'!$A$2:$A$4001,'إعدادات المخزون'!$B$4)+SUMIFS('هالك وتحويلات'!$E$2:$E$3001,'هالك وتحويلات'!$B$2:$B$3001,$B$2,'هالك وتحويلات'!$C$2:$C$3001,$A88,'هالك وتحويلات'!$D$2:$D$3001,"تحويل وارد",'هالك وتحويلات'!$A$2:$A$3001,'إعدادات المخزون'!$B$4)-SUMIFS('هالك وتحويلات'!$E$2:$E$3001,'هالك وتحويلات'!$B$2:$B$3001,$B$2,'هالك وتحويلات'!$C$2:$C$3001,$A88,'هالك وتحويلات'!$D$2:$D$3001,"تحويل صادر",'هالك وتحويلات'!$A$2:$A$3001,'إعدادات المخزون'!$B$4)-SUMIFS('هالك وتحويلات'!$E$2:$E$3001,'هالك وتحويلات'!$B$2:$B$3001,$B$2,'هالك وتحويلات'!$C$2:$C$3001,$A88,'هالك وتحويلات'!$D$2:$D$3001,"هالك",'هالك وتحويلات'!$A$2:$A$3001,'إعدادات المخزون'!$B$4)-SUMIFS('هالك وتحويلات'!$E$2:$E$3001,'هالك وتحويلات'!$B$2:$B$3001,$B$2,'هالك وتحويلات'!$C$2:$C$3001,$A88,'هالك وتحويلات'!$D$2:$D$3001,"ضيافة / أكل موظفين",'هالك وتحويلات'!$A$2:$A$3001,'إعدادات المخزون'!$B$4)-SUMPRODUCT('مصفوفة الاستهلاك'!$CE$2:$CE$190,'متجهات المبيعات'!$B$2:$B$190)/'مواد المخزون'!$D$83</f>
        <v>0</v>
      </c>
      <c r="AA88" s="109" t="n">
        <f aca="false">IF(K88="نعم",O88,0)</f>
        <v>0</v>
      </c>
      <c r="AB88" s="109" t="n">
        <f aca="false">IF(K88="نعم",J88*C88,0)</f>
        <v>0</v>
      </c>
      <c r="AC88" s="109" t="n">
        <f aca="false">IF(T88="",0,T88)</f>
        <v>0</v>
      </c>
    </row>
    <row r="89" customFormat="false" ht="15" hidden="false" customHeight="false" outlineLevel="0" collapsed="false">
      <c r="A89" s="34" t="str">
        <f aca="false">'مواد المخزون'!A84</f>
        <v>برجر صيامي</v>
      </c>
      <c r="B89" s="36" t="str">
        <f aca="false">'مواد المخزون'!B84</f>
        <v>قطعة</v>
      </c>
      <c r="C89" s="109" t="n">
        <f aca="false">'مواد المخزون'!E84</f>
        <v>6</v>
      </c>
      <c r="D89" s="110" t="n">
        <f aca="false">'جرد أول المدة'!C87</f>
        <v>0</v>
      </c>
      <c r="E89" s="110" t="n">
        <f aca="false">SUMIFS('مشتريات يومية'!$D$2:$D$4001,'مشتريات يومية'!$B$2:$B$4001,$B$2,'مشتريات يومية'!$C$2:$C$4001,$A89,'مشتريات يومية'!$A$2:$A$4001,"&gt;="&amp;'إعدادات المخزون'!$B$5,'مشتريات يومية'!$A$2:$A$4001,"&lt;="&amp;'إعدادات المخزون'!$B$4)</f>
        <v>0</v>
      </c>
      <c r="F89" s="110" t="n">
        <f aca="false">SUMIFS('هالك وتحويلات'!$E$2:$E$3001,'هالك وتحويلات'!$B$2:$B$3001,$B$2,'هالك وتحويلات'!$C$2:$C$3001,$A89,'هالك وتحويلات'!$D$2:$D$3001,"تحويل وارد",'هالك وتحويلات'!$A$2:$A$3001,"&gt;="&amp;'إعدادات المخزون'!$B$5,'هالك وتحويلات'!$A$2:$A$3001,"&lt;="&amp;'إعدادات المخزون'!$B$4)</f>
        <v>0</v>
      </c>
      <c r="G89" s="110" t="n">
        <f aca="false">SUMIFS('هالك وتحويلات'!$E$2:$E$3001,'هالك وتحويلات'!$B$2:$B$3001,$B$2,'هالك وتحويلات'!$C$2:$C$3001,$A89,'هالك وتحويلات'!$D$2:$D$3001,"تحويل صادر",'هالك وتحويلات'!$A$2:$A$3001,"&gt;="&amp;'إعدادات المخزون'!$B$5,'هالك وتحويلات'!$A$2:$A$3001,"&lt;="&amp;'إعدادات المخزون'!$B$4)</f>
        <v>0</v>
      </c>
      <c r="H89" s="110" t="n">
        <f aca="false">SUMPRODUCT('مصفوفة الاستهلاك'!$CF$2:$CF$190,'متجهات المبيعات'!$C$2:$C$190)/'مواد المخزون'!$D$84</f>
        <v>0</v>
      </c>
      <c r="I89" s="110" t="n">
        <f aca="false">SUMIFS('هالك وتحويلات'!$E$2:$E$3001,'هالك وتحويلات'!$B$2:$B$3001,$B$2,'هالك وتحويلات'!$C$2:$C$3001,$A89,'هالك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وتحويلات'!$C$2:$C$3001,$A89,'هالك وتحويلات'!$D$2:$D$3001,"ضيافة / أكل موظفين",'هالك وتحويلات'!$A$2:$A$3001,"&gt;="&amp;'إعدادات المخزون'!$B$5,'هالك وتحويلات'!$A$2:$A$3001,"&lt;="&amp;'إعدادات المخزون'!$B$4)</f>
        <v>0</v>
      </c>
      <c r="J89" s="110" t="n">
        <f aca="false">D89+E89+F89-G89-H89-I89</f>
        <v>0</v>
      </c>
      <c r="K89" s="36" t="str">
        <f aca="false">IF(COUNTIFS('جرد فعلي'!$B$2:$B$12001,$B$2,'جرد فعلي'!$C$2:$C$12001,$A89,'جرد فعلي'!$A$2:$A$12001,'إعدادات المخزون'!$B$4)&gt;0,"نعم","لا")</f>
        <v>لا</v>
      </c>
      <c r="L89" s="111" t="str">
        <f aca="false">IF(K89="نعم",SUMIFS('جرد فعلي'!$D$2:$D$12001,'جرد فعلي'!$B$2:$B$12001,$B$2,'جرد فعلي'!$C$2:$C$12001,$A89,'جرد فعلي'!$A$2:$A$12001,'إعدادات المخزون'!$B$4),"")</f>
        <v/>
      </c>
      <c r="M89" s="110" t="str">
        <f aca="false">IF(K89="نعم",L89-J89,"")</f>
        <v/>
      </c>
      <c r="N89" s="112" t="str">
        <f aca="false">IF(K89="نعم",IF(J89=0,IF(M89=0,0,SIGN(M89)),M89/ABS(J89)),"")</f>
        <v/>
      </c>
      <c r="O89" s="109" t="str">
        <f aca="false">IF(K89="نعم",M89*C89,"")</f>
        <v/>
      </c>
      <c r="P89" s="36" t="str">
        <f aca="false">IF(K89&lt;&gt;"نعم","لم يُجرد",IF(ABS(N89)&lt;='إعدادات المخزون'!$B$7,"مطابق",IF(M89&lt;0,"عجز","زيادة")))</f>
        <v>لم يُجرد</v>
      </c>
      <c r="Q89" s="110" t="n">
        <f aca="false">J89-Z89</f>
        <v>0</v>
      </c>
      <c r="R89" s="110" t="str">
        <f aca="false">IF(COUNTIFS('جرد فعلي'!$B$2:$B$12001,$B$2,'جرد فعلي'!$C$2:$C$12001,$A89,'جرد فعلي'!$A$2:$A$12001,'إعدادات المخزون'!$B$4-1)&gt;0,SUMIFS('جرد فعلي'!$D$2:$D$12001,'جرد فعلي'!$B$2:$B$12001,$B$2,'جرد فعلي'!$C$2:$C$12001,$A89,'جرد فعلي'!$A$2:$A$12001,'إعدادات المخزون'!$B$4-1),"")</f>
        <v/>
      </c>
      <c r="S89" s="110" t="str">
        <f aca="false">IF(AND(K89="نعم",R89&lt;&gt;""),(L89-J89)-(R89-Q89),"")</f>
        <v/>
      </c>
      <c r="T89" s="109" t="str">
        <f aca="false">IF(S89="","",S89*C89)</f>
        <v/>
      </c>
      <c r="U89" s="110" t="n">
        <f aca="false">IF(K89="نعم",L89,J89)</f>
        <v>0</v>
      </c>
      <c r="V89" s="110" t="n">
        <f aca="false">SUMPRODUCT('مصفوفة الاستهلاك'!$CF$2:$CF$190,'متجهات المبيعات'!$D$2:$D$190)/'مواد المخزون'!$D$84/MAX(1,MIN('إعدادات المخزون'!$B$11,'إعدادات المخزون'!$B$4-'إعدادات المخزون'!$B$5+1))</f>
        <v>0</v>
      </c>
      <c r="W89" s="110" t="n">
        <f aca="false">IF(V89&lt;=0,0,ROUNDUP(MAX(0,V89*('إعدادات المخزون'!$B$8+'إعدادات المخزون'!$B$9+'إعدادات المخزون'!$B$10)-MAX(U89,0))/'مواد المخزون'!$F84,0)*'مواد المخزون'!$F84)</f>
        <v>0</v>
      </c>
      <c r="X89" s="109" t="n">
        <f aca="false">IF(AND(K89="نعم",O89&lt;0),-O89+ROW()*0.000000001,0)</f>
        <v>0</v>
      </c>
      <c r="Y89" s="109" t="n">
        <f aca="false">IF(AND(K89="نعم",O89&gt;0),O89+ROW()*0.000000001,0)</f>
        <v>0</v>
      </c>
      <c r="Z89" s="110" t="n">
        <f aca="false">SUMIFS('مشتريات يومية'!$D$2:$D$4001,'مشتريات يومية'!$B$2:$B$4001,$B$2,'مشتريات يومية'!$C$2:$C$4001,$A89,'مشتريات يومية'!$A$2:$A$4001,'إعدادات المخزون'!$B$4)+SUMIFS('هالك وتحويلات'!$E$2:$E$3001,'هالك وتحويلات'!$B$2:$B$3001,$B$2,'هالك وتحويلات'!$C$2:$C$3001,$A89,'هالك وتحويلات'!$D$2:$D$3001,"تحويل وارد",'هالك وتحويلات'!$A$2:$A$3001,'إعدادات المخزون'!$B$4)-SUMIFS('هالك وتحويلات'!$E$2:$E$3001,'هالك وتحويلات'!$B$2:$B$3001,$B$2,'هالك وتحويلات'!$C$2:$C$3001,$A89,'هالك وتحويلات'!$D$2:$D$3001,"تحويل صادر",'هالك وتحويلات'!$A$2:$A$3001,'إعدادات المخزون'!$B$4)-SUMIFS('هالك وتحويلات'!$E$2:$E$3001,'هالك وتحويلات'!$B$2:$B$3001,$B$2,'هالك وتحويلات'!$C$2:$C$3001,$A89,'هالك وتحويلات'!$D$2:$D$3001,"هالك",'هالك وتحويلات'!$A$2:$A$3001,'إعدادات المخزون'!$B$4)-SUMIFS('هالك وتحويلات'!$E$2:$E$3001,'هالك وتحويلات'!$B$2:$B$3001,$B$2,'هالك وتحويلات'!$C$2:$C$3001,$A89,'هالك وتحويلات'!$D$2:$D$3001,"ضيافة / أكل موظفين",'هالك وتحويلات'!$A$2:$A$3001,'إعدادات المخزون'!$B$4)-SUMPRODUCT('مصفوفة الاستهلاك'!$CF$2:$CF$190,'متجهات المبيعات'!$B$2:$B$190)/'مواد المخزون'!$D$84</f>
        <v>0</v>
      </c>
      <c r="AA89" s="109" t="n">
        <f aca="false">IF(K89="نعم",O89,0)</f>
        <v>0</v>
      </c>
      <c r="AB89" s="109" t="n">
        <f aca="false">IF(K89="نعم",J89*C89,0)</f>
        <v>0</v>
      </c>
      <c r="AC89" s="109" t="n">
        <f aca="false">IF(T89="",0,T89)</f>
        <v>0</v>
      </c>
    </row>
    <row r="90" customFormat="false" ht="15" hidden="false" customHeight="false" outlineLevel="0" collapsed="false">
      <c r="A90" s="34" t="str">
        <f aca="false">'مواد المخزون'!A85</f>
        <v>سكينة بلاستيك</v>
      </c>
      <c r="B90" s="36" t="str">
        <f aca="false">'مواد المخزون'!B85</f>
        <v>قطعة</v>
      </c>
      <c r="C90" s="109" t="n">
        <f aca="false">'مواد المخزون'!E85</f>
        <v>0.3</v>
      </c>
      <c r="D90" s="110" t="n">
        <f aca="false">'جرد أول المدة'!C88</f>
        <v>179</v>
      </c>
      <c r="E90" s="110" t="n">
        <f aca="false">SUMIFS('مشتريات يومية'!$D$2:$D$4001,'مشتريات يومية'!$B$2:$B$4001,$B$2,'مشتريات يومية'!$C$2:$C$4001,$A90,'مشتريات يومية'!$A$2:$A$4001,"&gt;="&amp;'إعدادات المخزون'!$B$5,'مشتريات يومية'!$A$2:$A$4001,"&lt;="&amp;'إعدادات المخزون'!$B$4)</f>
        <v>0</v>
      </c>
      <c r="F90" s="110" t="n">
        <f aca="false">SUMIFS('هالك وتحويلات'!$E$2:$E$3001,'هالك وتحويلات'!$B$2:$B$3001,$B$2,'هالك وتحويلات'!$C$2:$C$3001,$A90,'هالك وتحويلات'!$D$2:$D$3001,"تحويل وارد",'هالك وتحويلات'!$A$2:$A$3001,"&gt;="&amp;'إعدادات المخزون'!$B$5,'هالك وتحويلات'!$A$2:$A$3001,"&lt;="&amp;'إعدادات المخزون'!$B$4)</f>
        <v>0</v>
      </c>
      <c r="G90" s="110" t="n">
        <f aca="false">SUMIFS('هالك وتحويلات'!$E$2:$E$3001,'هالك وتحويلات'!$B$2:$B$3001,$B$2,'هالك وتحويلات'!$C$2:$C$3001,$A90,'هالك وتحويلات'!$D$2:$D$3001,"تحويل صادر",'هالك وتحويلات'!$A$2:$A$3001,"&gt;="&amp;'إعدادات المخزون'!$B$5,'هالك وتحويلات'!$A$2:$A$3001,"&lt;="&amp;'إعدادات المخزون'!$B$4)</f>
        <v>0</v>
      </c>
      <c r="H90" s="110" t="n">
        <f aca="false">SUMPRODUCT('مصفوفة الاستهلاك'!$CG$2:$CG$190,'متجهات المبيعات'!$C$2:$C$190)/'مواد المخزون'!$D$85</f>
        <v>90</v>
      </c>
      <c r="I90" s="110" t="n">
        <f aca="false">SUMIFS('هالك وتحويلات'!$E$2:$E$3001,'هالك وتحويلات'!$B$2:$B$3001,$B$2,'هالك وتحويلات'!$C$2:$C$3001,$A90,'هالك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وتحويلات'!$C$2:$C$3001,$A90,'هالك وتحويلات'!$D$2:$D$3001,"ضيافة / أكل موظفين",'هالك وتحويلات'!$A$2:$A$3001,"&gt;="&amp;'إعدادات المخزون'!$B$5,'هالك وتحويلات'!$A$2:$A$3001,"&lt;="&amp;'إعدادات المخزون'!$B$4)</f>
        <v>0</v>
      </c>
      <c r="J90" s="110" t="n">
        <f aca="false">D90+E90+F90-G90-H90-I90</f>
        <v>89</v>
      </c>
      <c r="K90" s="36" t="str">
        <f aca="false">IF(COUNTIFS('جرد فعلي'!$B$2:$B$12001,$B$2,'جرد فعلي'!$C$2:$C$12001,$A90,'جرد فعلي'!$A$2:$A$12001,'إعدادات المخزون'!$B$4)&gt;0,"نعم","لا")</f>
        <v>لا</v>
      </c>
      <c r="L90" s="111" t="str">
        <f aca="false">IF(K90="نعم",SUMIFS('جرد فعلي'!$D$2:$D$12001,'جرد فعلي'!$B$2:$B$12001,$B$2,'جرد فعلي'!$C$2:$C$12001,$A90,'جرد فعلي'!$A$2:$A$12001,'إعدادات المخزون'!$B$4),"")</f>
        <v/>
      </c>
      <c r="M90" s="110" t="str">
        <f aca="false">IF(K90="نعم",L90-J90,"")</f>
        <v/>
      </c>
      <c r="N90" s="112" t="str">
        <f aca="false">IF(K90="نعم",IF(J90=0,IF(M90=0,0,SIGN(M90)),M90/ABS(J90)),"")</f>
        <v/>
      </c>
      <c r="O90" s="109" t="str">
        <f aca="false">IF(K90="نعم",M90*C90,"")</f>
        <v/>
      </c>
      <c r="P90" s="36" t="str">
        <f aca="false">IF(K90&lt;&gt;"نعم","لم يُجرد",IF(ABS(N90)&lt;='إعدادات المخزون'!$B$7,"مطابق",IF(M90&lt;0,"عجز","زيادة")))</f>
        <v>لم يُجرد</v>
      </c>
      <c r="Q90" s="110" t="n">
        <f aca="false">J90-Z90</f>
        <v>96.5</v>
      </c>
      <c r="R90" s="110" t="str">
        <f aca="false">IF(COUNTIFS('جرد فعلي'!$B$2:$B$12001,$B$2,'جرد فعلي'!$C$2:$C$12001,$A90,'جرد فعلي'!$A$2:$A$12001,'إعدادات المخزون'!$B$4-1)&gt;0,SUMIFS('جرد فعلي'!$D$2:$D$12001,'جرد فعلي'!$B$2:$B$12001,$B$2,'جرد فعلي'!$C$2:$C$12001,$A90,'جرد فعلي'!$A$2:$A$12001,'إعدادات المخزون'!$B$4-1),"")</f>
        <v/>
      </c>
      <c r="S90" s="110" t="str">
        <f aca="false">IF(AND(K90="نعم",R90&lt;&gt;""),(L90-J90)-(R90-Q90),"")</f>
        <v/>
      </c>
      <c r="T90" s="109" t="str">
        <f aca="false">IF(S90="","",S90*C90)</f>
        <v/>
      </c>
      <c r="U90" s="110" t="n">
        <f aca="false">IF(K90="نعم",L90,J90)</f>
        <v>89</v>
      </c>
      <c r="V90" s="110" t="n">
        <f aca="false">SUMPRODUCT('مصفوفة الاستهلاك'!$CG$2:$CG$190,'متجهات المبيعات'!$D$2:$D$190)/'مواد المخزون'!$D$85/MAX(1,MIN('إعدادات المخزون'!$B$11,'إعدادات المخزون'!$B$4-'إعدادات المخزون'!$B$5+1))</f>
        <v>7.5</v>
      </c>
      <c r="W90" s="110" t="n">
        <f aca="false">IF(V90&lt;=0,0,ROUNDUP(MAX(0,V90*('إعدادات المخزون'!$B$8+'إعدادات المخزون'!$B$9+'إعدادات المخزون'!$B$10)-MAX(U90,0))/'مواد المخزون'!$F85,0)*'مواد المخزون'!$F85)</f>
        <v>0</v>
      </c>
      <c r="X90" s="109" t="n">
        <f aca="false">IF(AND(K90="نعم",O90&lt;0),-O90+ROW()*0.000000001,0)</f>
        <v>0</v>
      </c>
      <c r="Y90" s="109" t="n">
        <f aca="false">IF(AND(K90="نعم",O90&gt;0),O90+ROW()*0.000000001,0)</f>
        <v>0</v>
      </c>
      <c r="Z90" s="110" t="n">
        <f aca="false">SUMIFS('مشتريات يومية'!$D$2:$D$4001,'مشتريات يومية'!$B$2:$B$4001,$B$2,'مشتريات يومية'!$C$2:$C$4001,$A90,'مشتريات يومية'!$A$2:$A$4001,'إعدادات المخزون'!$B$4)+SUMIFS('هالك وتحويلات'!$E$2:$E$3001,'هالك وتحويلات'!$B$2:$B$3001,$B$2,'هالك وتحويلات'!$C$2:$C$3001,$A90,'هالك وتحويلات'!$D$2:$D$3001,"تحويل وارد",'هالك وتحويلات'!$A$2:$A$3001,'إعدادات المخزون'!$B$4)-SUMIFS('هالك وتحويلات'!$E$2:$E$3001,'هالك وتحويلات'!$B$2:$B$3001,$B$2,'هالك وتحويلات'!$C$2:$C$3001,$A90,'هالك وتحويلات'!$D$2:$D$3001,"تحويل صادر",'هالك وتحويلات'!$A$2:$A$3001,'إعدادات المخزون'!$B$4)-SUMIFS('هالك وتحويلات'!$E$2:$E$3001,'هالك وتحويلات'!$B$2:$B$3001,$B$2,'هالك وتحويلات'!$C$2:$C$3001,$A90,'هالك وتحويلات'!$D$2:$D$3001,"هالك",'هالك وتحويلات'!$A$2:$A$3001,'إعدادات المخزون'!$B$4)-SUMIFS('هالك وتحويلات'!$E$2:$E$3001,'هالك وتحويلات'!$B$2:$B$3001,$B$2,'هالك وتحويلات'!$C$2:$C$3001,$A90,'هالك وتحويلات'!$D$2:$D$3001,"ضيافة / أكل موظفين",'هالك وتحويلات'!$A$2:$A$3001,'إعدادات المخزون'!$B$4)-SUMPRODUCT('مصفوفة الاستهلاك'!$CG$2:$CG$190,'متجهات المبيعات'!$B$2:$B$190)/'مواد المخزون'!$D$85</f>
        <v>-7.5</v>
      </c>
      <c r="AA90" s="109" t="n">
        <f aca="false">IF(K90="نعم",O90,0)</f>
        <v>0</v>
      </c>
      <c r="AB90" s="109" t="n">
        <f aca="false">IF(K90="نعم",J90*C90,0)</f>
        <v>0</v>
      </c>
      <c r="AC90" s="109" t="n">
        <f aca="false">IF(T90="",0,T90)</f>
        <v>0</v>
      </c>
    </row>
    <row r="91" customFormat="false" ht="15" hidden="false" customHeight="false" outlineLevel="0" collapsed="false">
      <c r="A91" s="34" t="str">
        <f aca="false">'مواد المخزون'!A86</f>
        <v>علب مكرونة</v>
      </c>
      <c r="B91" s="36" t="str">
        <f aca="false">'مواد المخزون'!B86</f>
        <v>قطعة</v>
      </c>
      <c r="C91" s="109" t="n">
        <f aca="false">'مواد المخزون'!E86</f>
        <v>4.44</v>
      </c>
      <c r="D91" s="110" t="n">
        <f aca="false">'جرد أول المدة'!C89</f>
        <v>1350</v>
      </c>
      <c r="E91" s="110" t="n">
        <f aca="false">SUMIFS('مشتريات يومية'!$D$2:$D$4001,'مشتريات يومية'!$B$2:$B$4001,$B$2,'مشتريات يومية'!$C$2:$C$4001,$A91,'مشتريات يومية'!$A$2:$A$4001,"&gt;="&amp;'إعدادات المخزون'!$B$5,'مشتريات يومية'!$A$2:$A$4001,"&lt;="&amp;'إعدادات المخزون'!$B$4)</f>
        <v>0</v>
      </c>
      <c r="F91" s="110" t="n">
        <f aca="false">SUMIFS('هالك وتحويلات'!$E$2:$E$3001,'هالك وتحويلات'!$B$2:$B$3001,$B$2,'هالك وتحويلات'!$C$2:$C$3001,$A91,'هالك وتحويلات'!$D$2:$D$3001,"تحويل وارد",'هالك وتحويلات'!$A$2:$A$3001,"&gt;="&amp;'إعدادات المخزون'!$B$5,'هالك وتحويلات'!$A$2:$A$3001,"&lt;="&amp;'إعدادات المخزون'!$B$4)</f>
        <v>0</v>
      </c>
      <c r="G91" s="110" t="n">
        <f aca="false">SUMIFS('هالك وتحويلات'!$E$2:$E$3001,'هالك وتحويلات'!$B$2:$B$3001,$B$2,'هالك وتحويلات'!$C$2:$C$3001,$A91,'هالك وتحويلات'!$D$2:$D$3001,"تحويل صادر",'هالك وتحويلات'!$A$2:$A$3001,"&gt;="&amp;'إعدادات المخزون'!$B$5,'هالك وتحويلات'!$A$2:$A$3001,"&lt;="&amp;'إعدادات المخزون'!$B$4)</f>
        <v>0</v>
      </c>
      <c r="H91" s="110" t="n">
        <f aca="false">SUMPRODUCT('مصفوفة الاستهلاك'!$CH$2:$CH$190,'متجهات المبيعات'!$C$2:$C$190)/'مواد المخزون'!$D$86</f>
        <v>90</v>
      </c>
      <c r="I91" s="110" t="n">
        <f aca="false">SUMIFS('هالك وتحويلات'!$E$2:$E$3001,'هالك وتحويلات'!$B$2:$B$3001,$B$2,'هالك وتحويلات'!$C$2:$C$3001,$A91,'هالك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وتحويلات'!$C$2:$C$3001,$A91,'هالك وتحويلات'!$D$2:$D$3001,"ضيافة / أكل موظفين",'هالك وتحويلات'!$A$2:$A$3001,"&gt;="&amp;'إعدادات المخزون'!$B$5,'هالك وتحويلات'!$A$2:$A$3001,"&lt;="&amp;'إعدادات المخزون'!$B$4)</f>
        <v>0</v>
      </c>
      <c r="J91" s="110" t="n">
        <f aca="false">D91+E91+F91-G91-H91-I91</f>
        <v>1260</v>
      </c>
      <c r="K91" s="36" t="str">
        <f aca="false">IF(COUNTIFS('جرد فعلي'!$B$2:$B$12001,$B$2,'جرد فعلي'!$C$2:$C$12001,$A91,'جرد فعلي'!$A$2:$A$12001,'إعدادات المخزون'!$B$4)&gt;0,"نعم","لا")</f>
        <v>لا</v>
      </c>
      <c r="L91" s="111" t="str">
        <f aca="false">IF(K91="نعم",SUMIFS('جرد فعلي'!$D$2:$D$12001,'جرد فعلي'!$B$2:$B$12001,$B$2,'جرد فعلي'!$C$2:$C$12001,$A91,'جرد فعلي'!$A$2:$A$12001,'إعدادات المخزون'!$B$4),"")</f>
        <v/>
      </c>
      <c r="M91" s="110" t="str">
        <f aca="false">IF(K91="نعم",L91-J91,"")</f>
        <v/>
      </c>
      <c r="N91" s="112" t="str">
        <f aca="false">IF(K91="نعم",IF(J91=0,IF(M91=0,0,SIGN(M91)),M91/ABS(J91)),"")</f>
        <v/>
      </c>
      <c r="O91" s="109" t="str">
        <f aca="false">IF(K91="نعم",M91*C91,"")</f>
        <v/>
      </c>
      <c r="P91" s="36" t="str">
        <f aca="false">IF(K91&lt;&gt;"نعم","لم يُجرد",IF(ABS(N91)&lt;='إعدادات المخزون'!$B$7,"مطابق",IF(M91&lt;0,"عجز","زيادة")))</f>
        <v>لم يُجرد</v>
      </c>
      <c r="Q91" s="110" t="n">
        <f aca="false">J91-Z91</f>
        <v>1267.5</v>
      </c>
      <c r="R91" s="110" t="str">
        <f aca="false">IF(COUNTIFS('جرد فعلي'!$B$2:$B$12001,$B$2,'جرد فعلي'!$C$2:$C$12001,$A91,'جرد فعلي'!$A$2:$A$12001,'إعدادات المخزون'!$B$4-1)&gt;0,SUMIFS('جرد فعلي'!$D$2:$D$12001,'جرد فعلي'!$B$2:$B$12001,$B$2,'جرد فعلي'!$C$2:$C$12001,$A91,'جرد فعلي'!$A$2:$A$12001,'إعدادات المخزون'!$B$4-1),"")</f>
        <v/>
      </c>
      <c r="S91" s="110" t="str">
        <f aca="false">IF(AND(K91="نعم",R91&lt;&gt;""),(L91-J91)-(R91-Q91),"")</f>
        <v/>
      </c>
      <c r="T91" s="109" t="str">
        <f aca="false">IF(S91="","",S91*C91)</f>
        <v/>
      </c>
      <c r="U91" s="110" t="n">
        <f aca="false">IF(K91="نعم",L91,J91)</f>
        <v>1260</v>
      </c>
      <c r="V91" s="110" t="n">
        <f aca="false">SUMPRODUCT('مصفوفة الاستهلاك'!$CH$2:$CH$190,'متجهات المبيعات'!$D$2:$D$190)/'مواد المخزون'!$D$86/MAX(1,MIN('إعدادات المخزون'!$B$11,'إعدادات المخزون'!$B$4-'إعدادات المخزون'!$B$5+1))</f>
        <v>7.5</v>
      </c>
      <c r="W91" s="110" t="n">
        <f aca="false">IF(V91&lt;=0,0,ROUNDUP(MAX(0,V91*('إعدادات المخزون'!$B$8+'إعدادات المخزون'!$B$9+'إعدادات المخزون'!$B$10)-MAX(U91,0))/'مواد المخزون'!$F86,0)*'مواد المخزون'!$F86)</f>
        <v>0</v>
      </c>
      <c r="X91" s="109" t="n">
        <f aca="false">IF(AND(K91="نعم",O91&lt;0),-O91+ROW()*0.000000001,0)</f>
        <v>0</v>
      </c>
      <c r="Y91" s="109" t="n">
        <f aca="false">IF(AND(K91="نعم",O91&gt;0),O91+ROW()*0.000000001,0)</f>
        <v>0</v>
      </c>
      <c r="Z91" s="110" t="n">
        <f aca="false">SUMIFS('مشتريات يومية'!$D$2:$D$4001,'مشتريات يومية'!$B$2:$B$4001,$B$2,'مشتريات يومية'!$C$2:$C$4001,$A91,'مشتريات يومية'!$A$2:$A$4001,'إعدادات المخزون'!$B$4)+SUMIFS('هالك وتحويلات'!$E$2:$E$3001,'هالك وتحويلات'!$B$2:$B$3001,$B$2,'هالك وتحويلات'!$C$2:$C$3001,$A91,'هالك وتحويلات'!$D$2:$D$3001,"تحويل وارد",'هالك وتحويلات'!$A$2:$A$3001,'إعدادات المخزون'!$B$4)-SUMIFS('هالك وتحويلات'!$E$2:$E$3001,'هالك وتحويلات'!$B$2:$B$3001,$B$2,'هالك وتحويلات'!$C$2:$C$3001,$A91,'هالك وتحويلات'!$D$2:$D$3001,"تحويل صادر",'هالك وتحويلات'!$A$2:$A$3001,'إعدادات المخزون'!$B$4)-SUMIFS('هالك وتحويلات'!$E$2:$E$3001,'هالك وتحويلات'!$B$2:$B$3001,$B$2,'هالك وتحويلات'!$C$2:$C$3001,$A91,'هالك وتحويلات'!$D$2:$D$3001,"هالك",'هالك وتحويلات'!$A$2:$A$3001,'إعدادات المخزون'!$B$4)-SUMIFS('هالك وتحويلات'!$E$2:$E$3001,'هالك وتحويلات'!$B$2:$B$3001,$B$2,'هالك وتحويلات'!$C$2:$C$3001,$A91,'هالك وتحويلات'!$D$2:$D$3001,"ضيافة / أكل موظفين",'هالك وتحويلات'!$A$2:$A$3001,'إعدادات المخزون'!$B$4)-SUMPRODUCT('مصفوفة الاستهلاك'!$CH$2:$CH$190,'متجهات المبيعات'!$B$2:$B$190)/'مواد المخزون'!$D$86</f>
        <v>-7.5</v>
      </c>
      <c r="AA91" s="109" t="n">
        <f aca="false">IF(K91="نعم",O91,0)</f>
        <v>0</v>
      </c>
      <c r="AB91" s="109" t="n">
        <f aca="false">IF(K91="نعم",J91*C91,0)</f>
        <v>0</v>
      </c>
      <c r="AC91" s="109" t="n">
        <f aca="false">IF(T91="",0,T91)</f>
        <v>0</v>
      </c>
    </row>
    <row r="92" customFormat="false" ht="15" hidden="false" customHeight="false" outlineLevel="0" collapsed="false">
      <c r="A92" s="34" t="str">
        <f aca="false">'مواد المخزون'!A87</f>
        <v>علب بيتزا كيك</v>
      </c>
      <c r="B92" s="36" t="str">
        <f aca="false">'مواد المخزون'!B87</f>
        <v>قطعة</v>
      </c>
      <c r="C92" s="109" t="n">
        <f aca="false">'مواد المخزون'!E87</f>
        <v>8</v>
      </c>
      <c r="D92" s="110" t="n">
        <f aca="false">'جرد أول المدة'!C90</f>
        <v>91</v>
      </c>
      <c r="E92" s="110" t="n">
        <f aca="false">SUMIFS('مشتريات يومية'!$D$2:$D$4001,'مشتريات يومية'!$B$2:$B$4001,$B$2,'مشتريات يومية'!$C$2:$C$4001,$A92,'مشتريات يومية'!$A$2:$A$4001,"&gt;="&amp;'إعدادات المخزون'!$B$5,'مشتريات يومية'!$A$2:$A$4001,"&lt;="&amp;'إعدادات المخزون'!$B$4)</f>
        <v>10</v>
      </c>
      <c r="F92" s="110" t="n">
        <f aca="false">SUMIFS('هالك وتحويلات'!$E$2:$E$3001,'هالك وتحويلات'!$B$2:$B$3001,$B$2,'هالك وتحويلات'!$C$2:$C$3001,$A92,'هالك وتحويلات'!$D$2:$D$3001,"تحويل وارد",'هالك وتحويلات'!$A$2:$A$3001,"&gt;="&amp;'إعدادات المخزون'!$B$5,'هالك وتحويلات'!$A$2:$A$3001,"&lt;="&amp;'إعدادات المخزون'!$B$4)</f>
        <v>0</v>
      </c>
      <c r="G92" s="110" t="n">
        <f aca="false">SUMIFS('هالك وتحويلات'!$E$2:$E$3001,'هالك وتحويلات'!$B$2:$B$3001,$B$2,'هالك وتحويلات'!$C$2:$C$3001,$A92,'هالك وتحويلات'!$D$2:$D$3001,"تحويل صادر",'هالك وتحويلات'!$A$2:$A$3001,"&gt;="&amp;'إعدادات المخزون'!$B$5,'هالك وتحويلات'!$A$2:$A$3001,"&lt;="&amp;'إعدادات المخزون'!$B$4)</f>
        <v>0</v>
      </c>
      <c r="H92" s="110" t="n">
        <f aca="false">SUMPRODUCT('مصفوفة الاستهلاك'!$CI$2:$CI$190,'متجهات المبيعات'!$C$2:$C$190)/'مواد المخزون'!$D$87</f>
        <v>6.9996</v>
      </c>
      <c r="I92" s="110" t="n">
        <f aca="false">SUMIFS('هالك وتحويلات'!$E$2:$E$3001,'هالك وتحويلات'!$B$2:$B$3001,$B$2,'هالك وتحويلات'!$C$2:$C$3001,$A92,'هالك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وتحويلات'!$C$2:$C$3001,$A92,'هالك وتحويلات'!$D$2:$D$3001,"ضيافة / أكل موظفين",'هالك وتحويلات'!$A$2:$A$3001,"&gt;="&amp;'إعدادات المخزون'!$B$5,'هالك وتحويلات'!$A$2:$A$3001,"&lt;="&amp;'إعدادات المخزون'!$B$4)</f>
        <v>0</v>
      </c>
      <c r="J92" s="110" t="n">
        <f aca="false">D92+E92+F92-G92-H92-I92</f>
        <v>94.0004</v>
      </c>
      <c r="K92" s="36" t="str">
        <f aca="false">IF(COUNTIFS('جرد فعلي'!$B$2:$B$12001,$B$2,'جرد فعلي'!$C$2:$C$12001,$A92,'جرد فعلي'!$A$2:$A$12001,'إعدادات المخزون'!$B$4)&gt;0,"نعم","لا")</f>
        <v>لا</v>
      </c>
      <c r="L92" s="111" t="str">
        <f aca="false">IF(K92="نعم",SUMIFS('جرد فعلي'!$D$2:$D$12001,'جرد فعلي'!$B$2:$B$12001,$B$2,'جرد فعلي'!$C$2:$C$12001,$A92,'جرد فعلي'!$A$2:$A$12001,'إعدادات المخزون'!$B$4),"")</f>
        <v/>
      </c>
      <c r="M92" s="110" t="str">
        <f aca="false">IF(K92="نعم",L92-J92,"")</f>
        <v/>
      </c>
      <c r="N92" s="112" t="str">
        <f aca="false">IF(K92="نعم",IF(J92=0,IF(M92=0,0,SIGN(M92)),M92/ABS(J92)),"")</f>
        <v/>
      </c>
      <c r="O92" s="109" t="str">
        <f aca="false">IF(K92="نعم",M92*C92,"")</f>
        <v/>
      </c>
      <c r="P92" s="36" t="str">
        <f aca="false">IF(K92&lt;&gt;"نعم","لم يُجرد",IF(ABS(N92)&lt;='إعدادات المخزون'!$B$7,"مطابق",IF(M92&lt;0,"عجز","زيادة")))</f>
        <v>لم يُجرد</v>
      </c>
      <c r="Q92" s="110" t="n">
        <f aca="false">J92-Z92</f>
        <v>94.5837</v>
      </c>
      <c r="R92" s="110" t="str">
        <f aca="false">IF(COUNTIFS('جرد فعلي'!$B$2:$B$12001,$B$2,'جرد فعلي'!$C$2:$C$12001,$A92,'جرد فعلي'!$A$2:$A$12001,'إعدادات المخزون'!$B$4-1)&gt;0,SUMIFS('جرد فعلي'!$D$2:$D$12001,'جرد فعلي'!$B$2:$B$12001,$B$2,'جرد فعلي'!$C$2:$C$12001,$A92,'جرد فعلي'!$A$2:$A$12001,'إعدادات المخزون'!$B$4-1),"")</f>
        <v/>
      </c>
      <c r="S92" s="110" t="str">
        <f aca="false">IF(AND(K92="نعم",R92&lt;&gt;""),(L92-J92)-(R92-Q92),"")</f>
        <v/>
      </c>
      <c r="T92" s="109" t="str">
        <f aca="false">IF(S92="","",S92*C92)</f>
        <v/>
      </c>
      <c r="U92" s="110" t="n">
        <f aca="false">IF(K92="نعم",L92,J92)</f>
        <v>94.0004</v>
      </c>
      <c r="V92" s="110" t="n">
        <f aca="false">SUMPRODUCT('مصفوفة الاستهلاك'!$CI$2:$CI$190,'متجهات المبيعات'!$D$2:$D$190)/'مواد المخزون'!$D$87/MAX(1,MIN('إعدادات المخزون'!$B$11,'إعدادات المخزون'!$B$4-'إعدادات المخزون'!$B$5+1))</f>
        <v>0.5833</v>
      </c>
      <c r="W92" s="110" t="n">
        <f aca="false">IF(V92&lt;=0,0,ROUNDUP(MAX(0,V92*('إعدادات المخزون'!$B$8+'إعدادات المخزون'!$B$9+'إعدادات المخزون'!$B$10)-MAX(U92,0))/'مواد المخزون'!$F87,0)*'مواد المخزون'!$F87)</f>
        <v>0</v>
      </c>
      <c r="X92" s="109" t="n">
        <f aca="false">IF(AND(K92="نعم",O92&lt;0),-O92+ROW()*0.000000001,0)</f>
        <v>0</v>
      </c>
      <c r="Y92" s="109" t="n">
        <f aca="false">IF(AND(K92="نعم",O92&gt;0),O92+ROW()*0.000000001,0)</f>
        <v>0</v>
      </c>
      <c r="Z92" s="110" t="n">
        <f aca="false">SUMIFS('مشتريات يومية'!$D$2:$D$4001,'مشتريات يومية'!$B$2:$B$4001,$B$2,'مشتريات يومية'!$C$2:$C$4001,$A92,'مشتريات يومية'!$A$2:$A$4001,'إعدادات المخزون'!$B$4)+SUMIFS('هالك وتحويلات'!$E$2:$E$3001,'هالك وتحويلات'!$B$2:$B$3001,$B$2,'هالك وتحويلات'!$C$2:$C$3001,$A92,'هالك وتحويلات'!$D$2:$D$3001,"تحويل وارد",'هالك وتحويلات'!$A$2:$A$3001,'إعدادات المخزون'!$B$4)-SUMIFS('هالك وتحويلات'!$E$2:$E$3001,'هالك وتحويلات'!$B$2:$B$3001,$B$2,'هالك وتحويلات'!$C$2:$C$3001,$A92,'هالك وتحويلات'!$D$2:$D$3001,"تحويل صادر",'هالك وتحويلات'!$A$2:$A$3001,'إعدادات المخزون'!$B$4)-SUMIFS('هالك وتحويلات'!$E$2:$E$3001,'هالك وتحويلات'!$B$2:$B$3001,$B$2,'هالك وتحويلات'!$C$2:$C$3001,$A92,'هالك وتحويلات'!$D$2:$D$3001,"هالك",'هالك وتحويلات'!$A$2:$A$3001,'إعدادات المخزون'!$B$4)-SUMIFS('هالك وتحويلات'!$E$2:$E$3001,'هالك وتحويلات'!$B$2:$B$3001,$B$2,'هالك وتحويلات'!$C$2:$C$3001,$A92,'هالك وتحويلات'!$D$2:$D$3001,"ضيافة / أكل موظفين",'هالك وتحويلات'!$A$2:$A$3001,'إعدادات المخزون'!$B$4)-SUMPRODUCT('مصفوفة الاستهلاك'!$CI$2:$CI$190,'متجهات المبيعات'!$B$2:$B$190)/'مواد المخزون'!$D$87</f>
        <v>-0.5833</v>
      </c>
      <c r="AA92" s="109" t="n">
        <f aca="false">IF(K92="نعم",O92,0)</f>
        <v>0</v>
      </c>
      <c r="AB92" s="109" t="n">
        <f aca="false">IF(K92="نعم",J92*C92,0)</f>
        <v>0</v>
      </c>
      <c r="AC92" s="109" t="n">
        <f aca="false">IF(T92="",0,T92)</f>
        <v>0</v>
      </c>
    </row>
    <row r="93" customFormat="false" ht="15" hidden="false" customHeight="false" outlineLevel="0" collapsed="false">
      <c r="A93" s="34" t="str">
        <f aca="false">'مواد المخزون'!A88</f>
        <v>عصير</v>
      </c>
      <c r="B93" s="36" t="str">
        <f aca="false">'مواد المخزون'!B88</f>
        <v>قطعة</v>
      </c>
      <c r="C93" s="109" t="n">
        <f aca="false">'مواد المخزون'!E88</f>
        <v>7</v>
      </c>
      <c r="D93" s="110" t="n">
        <f aca="false">'جرد أول المدة'!C91</f>
        <v>0</v>
      </c>
      <c r="E93" s="110" t="n">
        <f aca="false">SUMIFS('مشتريات يومية'!$D$2:$D$4001,'مشتريات يومية'!$B$2:$B$4001,$B$2,'مشتريات يومية'!$C$2:$C$4001,$A93,'مشتريات يومية'!$A$2:$A$4001,"&gt;="&amp;'إعدادات المخزون'!$B$5,'مشتريات يومية'!$A$2:$A$4001,"&lt;="&amp;'إعدادات المخزون'!$B$4)</f>
        <v>0</v>
      </c>
      <c r="F93" s="110" t="n">
        <f aca="false">SUMIFS('هالك وتحويلات'!$E$2:$E$3001,'هالك وتحويلات'!$B$2:$B$3001,$B$2,'هالك وتحويلات'!$C$2:$C$3001,$A93,'هالك وتحويلات'!$D$2:$D$3001,"تحويل وارد",'هالك وتحويلات'!$A$2:$A$3001,"&gt;="&amp;'إعدادات المخزون'!$B$5,'هالك وتحويلات'!$A$2:$A$3001,"&lt;="&amp;'إعدادات المخزون'!$B$4)</f>
        <v>0</v>
      </c>
      <c r="G93" s="110" t="n">
        <f aca="false">SUMIFS('هالك وتحويلات'!$E$2:$E$3001,'هالك وتحويلات'!$B$2:$B$3001,$B$2,'هالك وتحويلات'!$C$2:$C$3001,$A93,'هالك وتحويلات'!$D$2:$D$3001,"تحويل صادر",'هالك وتحويلات'!$A$2:$A$3001,"&gt;="&amp;'إعدادات المخزون'!$B$5,'هالك وتحويلات'!$A$2:$A$3001,"&lt;="&amp;'إعدادات المخزون'!$B$4)</f>
        <v>0</v>
      </c>
      <c r="H93" s="110" t="n">
        <f aca="false">SUMPRODUCT('مصفوفة الاستهلاك'!$CJ$2:$CJ$190,'متجهات المبيعات'!$C$2:$C$190)/'مواد المخزون'!$D$88</f>
        <v>1.9992</v>
      </c>
      <c r="I93" s="110" t="n">
        <f aca="false">SUMIFS('هالك وتحويلات'!$E$2:$E$3001,'هالك وتحويلات'!$B$2:$B$3001,$B$2,'هالك وتحويلات'!$C$2:$C$3001,$A93,'هالك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وتحويلات'!$C$2:$C$3001,$A93,'هالك وتحويلات'!$D$2:$D$3001,"ضيافة / أكل موظفين",'هالك وتحويلات'!$A$2:$A$3001,"&gt;="&amp;'إعدادات المخزون'!$B$5,'هالك وتحويلات'!$A$2:$A$3001,"&lt;="&amp;'إعدادات المخزون'!$B$4)</f>
        <v>0</v>
      </c>
      <c r="J93" s="110" t="n">
        <f aca="false">D93+E93+F93-G93-H93-I93</f>
        <v>-1.9992</v>
      </c>
      <c r="K93" s="36" t="str">
        <f aca="false">IF(COUNTIFS('جرد فعلي'!$B$2:$B$12001,$B$2,'جرد فعلي'!$C$2:$C$12001,$A93,'جرد فعلي'!$A$2:$A$12001,'إعدادات المخزون'!$B$4)&gt;0,"نعم","لا")</f>
        <v>لا</v>
      </c>
      <c r="L93" s="111" t="str">
        <f aca="false">IF(K93="نعم",SUMIFS('جرد فعلي'!$D$2:$D$12001,'جرد فعلي'!$B$2:$B$12001,$B$2,'جرد فعلي'!$C$2:$C$12001,$A93,'جرد فعلي'!$A$2:$A$12001,'إعدادات المخزون'!$B$4),"")</f>
        <v/>
      </c>
      <c r="M93" s="110" t="str">
        <f aca="false">IF(K93="نعم",L93-J93,"")</f>
        <v/>
      </c>
      <c r="N93" s="112" t="str">
        <f aca="false">IF(K93="نعم",IF(J93=0,IF(M93=0,0,SIGN(M93)),M93/ABS(J93)),"")</f>
        <v/>
      </c>
      <c r="O93" s="109" t="str">
        <f aca="false">IF(K93="نعم",M93*C93,"")</f>
        <v/>
      </c>
      <c r="P93" s="36" t="str">
        <f aca="false">IF(K93&lt;&gt;"نعم","لم يُجرد",IF(ABS(N93)&lt;='إعدادات المخزون'!$B$7,"مطابق",IF(M93&lt;0,"عجز","زيادة")))</f>
        <v>لم يُجرد</v>
      </c>
      <c r="Q93" s="110" t="n">
        <f aca="false">J93-Z93</f>
        <v>-1.8326</v>
      </c>
      <c r="R93" s="110" t="str">
        <f aca="false">IF(COUNTIFS('جرد فعلي'!$B$2:$B$12001,$B$2,'جرد فعلي'!$C$2:$C$12001,$A93,'جرد فعلي'!$A$2:$A$12001,'إعدادات المخزون'!$B$4-1)&gt;0,SUMIFS('جرد فعلي'!$D$2:$D$12001,'جرد فعلي'!$B$2:$B$12001,$B$2,'جرد فعلي'!$C$2:$C$12001,$A93,'جرد فعلي'!$A$2:$A$12001,'إعدادات المخزون'!$B$4-1),"")</f>
        <v/>
      </c>
      <c r="S93" s="110" t="str">
        <f aca="false">IF(AND(K93="نعم",R93&lt;&gt;""),(L93-J93)-(R93-Q93),"")</f>
        <v/>
      </c>
      <c r="T93" s="109" t="str">
        <f aca="false">IF(S93="","",S93*C93)</f>
        <v/>
      </c>
      <c r="U93" s="110" t="n">
        <f aca="false">IF(K93="نعم",L93,J93)</f>
        <v>-1.9992</v>
      </c>
      <c r="V93" s="110" t="n">
        <f aca="false">SUMPRODUCT('مصفوفة الاستهلاك'!$CJ$2:$CJ$190,'متجهات المبيعات'!$D$2:$D$190)/'مواد المخزون'!$D$88/MAX(1,MIN('إعدادات المخزون'!$B$11,'إعدادات المخزون'!$B$4-'إعدادات المخزون'!$B$5+1))</f>
        <v>0.1666</v>
      </c>
      <c r="W93" s="110" t="n">
        <f aca="false">IF(V93&lt;=0,0,ROUNDUP(MAX(0,V93*('إعدادات المخزون'!$B$8+'إعدادات المخزون'!$B$9+'إعدادات المخزون'!$B$10)-MAX(U93,0))/'مواد المخزون'!$F88,0)*'مواد المخزون'!$F88)</f>
        <v>1</v>
      </c>
      <c r="X93" s="109" t="n">
        <f aca="false">IF(AND(K93="نعم",O93&lt;0),-O93+ROW()*0.000000001,0)</f>
        <v>0</v>
      </c>
      <c r="Y93" s="109" t="n">
        <f aca="false">IF(AND(K93="نعم",O93&gt;0),O93+ROW()*0.000000001,0)</f>
        <v>0</v>
      </c>
      <c r="Z93" s="110" t="n">
        <f aca="false">SUMIFS('مشتريات يومية'!$D$2:$D$4001,'مشتريات يومية'!$B$2:$B$4001,$B$2,'مشتريات يومية'!$C$2:$C$4001,$A93,'مشتريات يومية'!$A$2:$A$4001,'إعدادات المخزون'!$B$4)+SUMIFS('هالك وتحويلات'!$E$2:$E$3001,'هالك وتحويلات'!$B$2:$B$3001,$B$2,'هالك وتحويلات'!$C$2:$C$3001,$A93,'هالك وتحويلات'!$D$2:$D$3001,"تحويل وارد",'هالك وتحويلات'!$A$2:$A$3001,'إعدادات المخزون'!$B$4)-SUMIFS('هالك وتحويلات'!$E$2:$E$3001,'هالك وتحويلات'!$B$2:$B$3001,$B$2,'هالك وتحويلات'!$C$2:$C$3001,$A93,'هالك وتحويلات'!$D$2:$D$3001,"تحويل صادر",'هالك وتحويلات'!$A$2:$A$3001,'إعدادات المخزون'!$B$4)-SUMIFS('هالك وتحويلات'!$E$2:$E$3001,'هالك وتحويلات'!$B$2:$B$3001,$B$2,'هالك وتحويلات'!$C$2:$C$3001,$A93,'هالك وتحويلات'!$D$2:$D$3001,"هالك",'هالك وتحويلات'!$A$2:$A$3001,'إعدادات المخزون'!$B$4)-SUMIFS('هالك وتحويلات'!$E$2:$E$3001,'هالك وتحويلات'!$B$2:$B$3001,$B$2,'هالك وتحويلات'!$C$2:$C$3001,$A93,'هالك وتحويلات'!$D$2:$D$3001,"ضيافة / أكل موظفين",'هالك وتحويلات'!$A$2:$A$3001,'إعدادات المخزون'!$B$4)-SUMPRODUCT('مصفوفة الاستهلاك'!$CJ$2:$CJ$190,'متجهات المبيعات'!$B$2:$B$190)/'مواد المخزون'!$D$88</f>
        <v>-0.1666</v>
      </c>
      <c r="AA93" s="109" t="n">
        <f aca="false">IF(K93="نعم",O93,0)</f>
        <v>0</v>
      </c>
      <c r="AB93" s="109" t="n">
        <f aca="false">IF(K93="نعم",J93*C93,0)</f>
        <v>0</v>
      </c>
      <c r="AC93" s="109" t="n">
        <f aca="false">IF(T93="",0,T93)</f>
        <v>0</v>
      </c>
    </row>
    <row r="94" customFormat="false" ht="15" hidden="false" customHeight="false" outlineLevel="0" collapsed="false">
      <c r="A94" s="34" t="str">
        <f aca="false">'مواد المخزون'!A89</f>
        <v>بيبسي 2 لتر</v>
      </c>
      <c r="B94" s="36" t="str">
        <f aca="false">'مواد المخزون'!B89</f>
        <v>قطعة</v>
      </c>
      <c r="C94" s="109" t="n">
        <f aca="false">'مواد المخزون'!E89</f>
        <v>40</v>
      </c>
      <c r="D94" s="110" t="n">
        <f aca="false">'جرد أول المدة'!C92</f>
        <v>0</v>
      </c>
      <c r="E94" s="110" t="n">
        <f aca="false">SUMIFS('مشتريات يومية'!$D$2:$D$4001,'مشتريات يومية'!$B$2:$B$4001,$B$2,'مشتريات يومية'!$C$2:$C$4001,$A94,'مشتريات يومية'!$A$2:$A$4001,"&gt;="&amp;'إعدادات المخزون'!$B$5,'مشتريات يومية'!$A$2:$A$4001,"&lt;="&amp;'إعدادات المخزون'!$B$4)</f>
        <v>1</v>
      </c>
      <c r="F94" s="110" t="n">
        <f aca="false">SUMIFS('هالك وتحويلات'!$E$2:$E$3001,'هالك وتحويلات'!$B$2:$B$3001,$B$2,'هالك وتحويلات'!$C$2:$C$3001,$A94,'هالك وتحويلات'!$D$2:$D$3001,"تحويل وارد",'هالك وتحويلات'!$A$2:$A$3001,"&gt;="&amp;'إعدادات المخزون'!$B$5,'هالك وتحويلات'!$A$2:$A$3001,"&lt;="&amp;'إعدادات المخزون'!$B$4)</f>
        <v>0</v>
      </c>
      <c r="G94" s="110" t="n">
        <f aca="false">SUMIFS('هالك وتحويلات'!$E$2:$E$3001,'هالك وتحويلات'!$B$2:$B$3001,$B$2,'هالك وتحويلات'!$C$2:$C$3001,$A94,'هالك وتحويلات'!$D$2:$D$3001,"تحويل صادر",'هالك وتحويلات'!$A$2:$A$3001,"&gt;="&amp;'إعدادات المخزون'!$B$5,'هالك وتحويلات'!$A$2:$A$3001,"&lt;="&amp;'إعدادات المخزون'!$B$4)</f>
        <v>0</v>
      </c>
      <c r="H94" s="110" t="n">
        <f aca="false">SUMPRODUCT('مصفوفة الاستهلاك'!$CK$2:$CK$190,'متجهات المبيعات'!$C$2:$C$190)/'مواد المخزون'!$D$89</f>
        <v>0.9996</v>
      </c>
      <c r="I94" s="110" t="n">
        <f aca="false">SUMIFS('هالك وتحويلات'!$E$2:$E$3001,'هالك وتحويلات'!$B$2:$B$3001,$B$2,'هالك وتحويلات'!$C$2:$C$3001,$A94,'هالك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وتحويلات'!$C$2:$C$3001,$A94,'هالك وتحويلات'!$D$2:$D$3001,"ضيافة / أكل موظفين",'هالك وتحويلات'!$A$2:$A$3001,"&gt;="&amp;'إعدادات المخزون'!$B$5,'هالك وتحويلات'!$A$2:$A$3001,"&lt;="&amp;'إعدادات المخزون'!$B$4)</f>
        <v>0</v>
      </c>
      <c r="J94" s="110" t="n">
        <f aca="false">D94+E94+F94-G94-H94-I94</f>
        <v>0.000399999999999956</v>
      </c>
      <c r="K94" s="36" t="str">
        <f aca="false">IF(COUNTIFS('جرد فعلي'!$B$2:$B$12001,$B$2,'جرد فعلي'!$C$2:$C$12001,$A94,'جرد فعلي'!$A$2:$A$12001,'إعدادات المخزون'!$B$4)&gt;0,"نعم","لا")</f>
        <v>لا</v>
      </c>
      <c r="L94" s="111" t="str">
        <f aca="false">IF(K94="نعم",SUMIFS('جرد فعلي'!$D$2:$D$12001,'جرد فعلي'!$B$2:$B$12001,$B$2,'جرد فعلي'!$C$2:$C$12001,$A94,'جرد فعلي'!$A$2:$A$12001,'إعدادات المخزون'!$B$4),"")</f>
        <v/>
      </c>
      <c r="M94" s="110" t="str">
        <f aca="false">IF(K94="نعم",L94-J94,"")</f>
        <v/>
      </c>
      <c r="N94" s="112" t="str">
        <f aca="false">IF(K94="نعم",IF(J94=0,IF(M94=0,0,SIGN(M94)),M94/ABS(J94)),"")</f>
        <v/>
      </c>
      <c r="O94" s="109" t="str">
        <f aca="false">IF(K94="نعم",M94*C94,"")</f>
        <v/>
      </c>
      <c r="P94" s="36" t="str">
        <f aca="false">IF(K94&lt;&gt;"نعم","لم يُجرد",IF(ABS(N94)&lt;='إعدادات المخزون'!$B$7,"مطابق",IF(M94&lt;0,"عجز","زيادة")))</f>
        <v>لم يُجرد</v>
      </c>
      <c r="Q94" s="110" t="n">
        <f aca="false">J94-Z94</f>
        <v>0.0837</v>
      </c>
      <c r="R94" s="110" t="str">
        <f aca="false">IF(COUNTIFS('جرد فعلي'!$B$2:$B$12001,$B$2,'جرد فعلي'!$C$2:$C$12001,$A94,'جرد فعلي'!$A$2:$A$12001,'إعدادات المخزون'!$B$4-1)&gt;0,SUMIFS('جرد فعلي'!$D$2:$D$12001,'جرد فعلي'!$B$2:$B$12001,$B$2,'جرد فعلي'!$C$2:$C$12001,$A94,'جرد فعلي'!$A$2:$A$12001,'إعدادات المخزون'!$B$4-1),"")</f>
        <v/>
      </c>
      <c r="S94" s="110" t="str">
        <f aca="false">IF(AND(K94="نعم",R94&lt;&gt;""),(L94-J94)-(R94-Q94),"")</f>
        <v/>
      </c>
      <c r="T94" s="109" t="str">
        <f aca="false">IF(S94="","",S94*C94)</f>
        <v/>
      </c>
      <c r="U94" s="110" t="n">
        <f aca="false">IF(K94="نعم",L94,J94)</f>
        <v>0.000399999999999956</v>
      </c>
      <c r="V94" s="110" t="n">
        <f aca="false">SUMPRODUCT('مصفوفة الاستهلاك'!$CK$2:$CK$190,'متجهات المبيعات'!$D$2:$D$190)/'مواد المخزون'!$D$89/MAX(1,MIN('إعدادات المخزون'!$B$11,'إعدادات المخزون'!$B$4-'إعدادات المخزون'!$B$5+1))</f>
        <v>0.0833</v>
      </c>
      <c r="W94" s="110" t="n">
        <f aca="false">IF(V94&lt;=0,0,ROUNDUP(MAX(0,V94*('إعدادات المخزون'!$B$8+'إعدادات المخزون'!$B$9+'إعدادات المخزون'!$B$10)-MAX(U94,0))/'مواد المخزون'!$F89,0)*'مواد المخزون'!$F89)</f>
        <v>1</v>
      </c>
      <c r="X94" s="109" t="n">
        <f aca="false">IF(AND(K94="نعم",O94&lt;0),-O94+ROW()*0.000000001,0)</f>
        <v>0</v>
      </c>
      <c r="Y94" s="109" t="n">
        <f aca="false">IF(AND(K94="نعم",O94&gt;0),O94+ROW()*0.000000001,0)</f>
        <v>0</v>
      </c>
      <c r="Z94" s="110" t="n">
        <f aca="false">SUMIFS('مشتريات يومية'!$D$2:$D$4001,'مشتريات يومية'!$B$2:$B$4001,$B$2,'مشتريات يومية'!$C$2:$C$4001,$A94,'مشتريات يومية'!$A$2:$A$4001,'إعدادات المخزون'!$B$4)+SUMIFS('هالك وتحويلات'!$E$2:$E$3001,'هالك وتحويلات'!$B$2:$B$3001,$B$2,'هالك وتحويلات'!$C$2:$C$3001,$A94,'هالك وتحويلات'!$D$2:$D$3001,"تحويل وارد",'هالك وتحويلات'!$A$2:$A$3001,'إعدادات المخزون'!$B$4)-SUMIFS('هالك وتحويلات'!$E$2:$E$3001,'هالك وتحويلات'!$B$2:$B$3001,$B$2,'هالك وتحويلات'!$C$2:$C$3001,$A94,'هالك وتحويلات'!$D$2:$D$3001,"تحويل صادر",'هالك وتحويلات'!$A$2:$A$3001,'إعدادات المخزون'!$B$4)-SUMIFS('هالك وتحويلات'!$E$2:$E$3001,'هالك وتحويلات'!$B$2:$B$3001,$B$2,'هالك وتحويلات'!$C$2:$C$3001,$A94,'هالك وتحويلات'!$D$2:$D$3001,"هالك",'هالك وتحويلات'!$A$2:$A$3001,'إعدادات المخزون'!$B$4)-SUMIFS('هالك وتحويلات'!$E$2:$E$3001,'هالك وتحويلات'!$B$2:$B$3001,$B$2,'هالك وتحويلات'!$C$2:$C$3001,$A94,'هالك وتحويلات'!$D$2:$D$3001,"ضيافة / أكل موظفين",'هالك وتحويلات'!$A$2:$A$3001,'إعدادات المخزون'!$B$4)-SUMPRODUCT('مصفوفة الاستهلاك'!$CK$2:$CK$190,'متجهات المبيعات'!$B$2:$B$190)/'مواد المخزون'!$D$89</f>
        <v>-0.0833</v>
      </c>
      <c r="AA94" s="109" t="n">
        <f aca="false">IF(K94="نعم",O94,0)</f>
        <v>0</v>
      </c>
      <c r="AB94" s="109" t="n">
        <f aca="false">IF(K94="نعم",J94*C94,0)</f>
        <v>0</v>
      </c>
      <c r="AC94" s="109" t="n">
        <f aca="false">IF(T94="",0,T94)</f>
        <v>0</v>
      </c>
    </row>
    <row r="95" customFormat="false" ht="15" hidden="false" customHeight="false" outlineLevel="0" collapsed="false">
      <c r="A95" s="34" t="str">
        <f aca="false">'مواد المخزون'!A90</f>
        <v>مياة معدنية صغير</v>
      </c>
      <c r="B95" s="36" t="str">
        <f aca="false">'مواد المخزون'!B90</f>
        <v>قطعة</v>
      </c>
      <c r="C95" s="109" t="n">
        <f aca="false">'مواد المخزون'!E90</f>
        <v>7</v>
      </c>
      <c r="D95" s="110" t="n">
        <f aca="false">'جرد أول المدة'!C93</f>
        <v>0</v>
      </c>
      <c r="E95" s="110" t="n">
        <f aca="false">SUMIFS('مشتريات يومية'!$D$2:$D$4001,'مشتريات يومية'!$B$2:$B$4001,$B$2,'مشتريات يومية'!$C$2:$C$4001,$A95,'مشتريات يومية'!$A$2:$A$4001,"&gt;="&amp;'إعدادات المخزون'!$B$5,'مشتريات يومية'!$A$2:$A$4001,"&lt;="&amp;'إعدادات المخزون'!$B$4)</f>
        <v>0</v>
      </c>
      <c r="F95" s="110" t="n">
        <f aca="false">SUMIFS('هالك وتحويلات'!$E$2:$E$3001,'هالك وتحويلات'!$B$2:$B$3001,$B$2,'هالك وتحويلات'!$C$2:$C$3001,$A95,'هالك وتحويلات'!$D$2:$D$3001,"تحويل وارد",'هالك وتحويلات'!$A$2:$A$3001,"&gt;="&amp;'إعدادات المخزون'!$B$5,'هالك وتحويلات'!$A$2:$A$3001,"&lt;="&amp;'إعدادات المخزون'!$B$4)</f>
        <v>0</v>
      </c>
      <c r="G95" s="110" t="n">
        <f aca="false">SUMIFS('هالك وتحويلات'!$E$2:$E$3001,'هالك وتحويلات'!$B$2:$B$3001,$B$2,'هالك وتحويلات'!$C$2:$C$3001,$A95,'هالك وتحويلات'!$D$2:$D$3001,"تحويل صادر",'هالك وتحويلات'!$A$2:$A$3001,"&gt;="&amp;'إعدادات المخزون'!$B$5,'هالك وتحويلات'!$A$2:$A$3001,"&lt;="&amp;'إعدادات المخزون'!$B$4)</f>
        <v>0</v>
      </c>
      <c r="H95" s="110" t="n">
        <f aca="false">SUMPRODUCT('مصفوفة الاستهلاك'!$CL$2:$CL$190,'متجهات المبيعات'!$C$2:$C$190)/'مواد المخزون'!$D$90</f>
        <v>0</v>
      </c>
      <c r="I95" s="110" t="n">
        <f aca="false">SUMIFS('هالك وتحويلات'!$E$2:$E$3001,'هالك وتحويلات'!$B$2:$B$3001,$B$2,'هالك وتحويلات'!$C$2:$C$3001,$A95,'هالك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وتحويلات'!$C$2:$C$3001,$A95,'هالك وتحويلات'!$D$2:$D$3001,"ضيافة / أكل موظفين",'هالك وتحويلات'!$A$2:$A$3001,"&gt;="&amp;'إعدادات المخزون'!$B$5,'هالك وتحويلات'!$A$2:$A$3001,"&lt;="&amp;'إعدادات المخزون'!$B$4)</f>
        <v>0</v>
      </c>
      <c r="J95" s="110" t="n">
        <f aca="false">D95+E95+F95-G95-H95-I95</f>
        <v>0</v>
      </c>
      <c r="K95" s="36" t="str">
        <f aca="false">IF(COUNTIFS('جرد فعلي'!$B$2:$B$12001,$B$2,'جرد فعلي'!$C$2:$C$12001,$A95,'جرد فعلي'!$A$2:$A$12001,'إعدادات المخزون'!$B$4)&gt;0,"نعم","لا")</f>
        <v>لا</v>
      </c>
      <c r="L95" s="111" t="str">
        <f aca="false">IF(K95="نعم",SUMIFS('جرد فعلي'!$D$2:$D$12001,'جرد فعلي'!$B$2:$B$12001,$B$2,'جرد فعلي'!$C$2:$C$12001,$A95,'جرد فعلي'!$A$2:$A$12001,'إعدادات المخزون'!$B$4),"")</f>
        <v/>
      </c>
      <c r="M95" s="110" t="str">
        <f aca="false">IF(K95="نعم",L95-J95,"")</f>
        <v/>
      </c>
      <c r="N95" s="112" t="str">
        <f aca="false">IF(K95="نعم",IF(J95=0,IF(M95=0,0,SIGN(M95)),M95/ABS(J95)),"")</f>
        <v/>
      </c>
      <c r="O95" s="109" t="str">
        <f aca="false">IF(K95="نعم",M95*C95,"")</f>
        <v/>
      </c>
      <c r="P95" s="36" t="str">
        <f aca="false">IF(K95&lt;&gt;"نعم","لم يُجرد",IF(ABS(N95)&lt;='إعدادات المخزون'!$B$7,"مطابق",IF(M95&lt;0,"عجز","زيادة")))</f>
        <v>لم يُجرد</v>
      </c>
      <c r="Q95" s="110" t="n">
        <f aca="false">J95-Z95</f>
        <v>0</v>
      </c>
      <c r="R95" s="110" t="str">
        <f aca="false">IF(COUNTIFS('جرد فعلي'!$B$2:$B$12001,$B$2,'جرد فعلي'!$C$2:$C$12001,$A95,'جرد فعلي'!$A$2:$A$12001,'إعدادات المخزون'!$B$4-1)&gt;0,SUMIFS('جرد فعلي'!$D$2:$D$12001,'جرد فعلي'!$B$2:$B$12001,$B$2,'جرد فعلي'!$C$2:$C$12001,$A95,'جرد فعلي'!$A$2:$A$12001,'إعدادات المخزون'!$B$4-1),"")</f>
        <v/>
      </c>
      <c r="S95" s="110" t="str">
        <f aca="false">IF(AND(K95="نعم",R95&lt;&gt;""),(L95-J95)-(R95-Q95),"")</f>
        <v/>
      </c>
      <c r="T95" s="109" t="str">
        <f aca="false">IF(S95="","",S95*C95)</f>
        <v/>
      </c>
      <c r="U95" s="110" t="n">
        <f aca="false">IF(K95="نعم",L95,J95)</f>
        <v>0</v>
      </c>
      <c r="V95" s="110" t="n">
        <f aca="false">SUMPRODUCT('مصفوفة الاستهلاك'!$CL$2:$CL$190,'متجهات المبيعات'!$D$2:$D$190)/'مواد المخزون'!$D$90/MAX(1,MIN('إعدادات المخزون'!$B$11,'إعدادات المخزون'!$B$4-'إعدادات المخزون'!$B$5+1))</f>
        <v>0</v>
      </c>
      <c r="W95" s="110" t="n">
        <f aca="false">IF(V95&lt;=0,0,ROUNDUP(MAX(0,V95*('إعدادات المخزون'!$B$8+'إعدادات المخزون'!$B$9+'إعدادات المخزون'!$B$10)-MAX(U95,0))/'مواد المخزون'!$F90,0)*'مواد المخزون'!$F90)</f>
        <v>0</v>
      </c>
      <c r="X95" s="109" t="n">
        <f aca="false">IF(AND(K95="نعم",O95&lt;0),-O95+ROW()*0.000000001,0)</f>
        <v>0</v>
      </c>
      <c r="Y95" s="109" t="n">
        <f aca="false">IF(AND(K95="نعم",O95&gt;0),O95+ROW()*0.000000001,0)</f>
        <v>0</v>
      </c>
      <c r="Z95" s="110" t="n">
        <f aca="false">SUMIFS('مشتريات يومية'!$D$2:$D$4001,'مشتريات يومية'!$B$2:$B$4001,$B$2,'مشتريات يومية'!$C$2:$C$4001,$A95,'مشتريات يومية'!$A$2:$A$4001,'إعدادات المخزون'!$B$4)+SUMIFS('هالك وتحويلات'!$E$2:$E$3001,'هالك وتحويلات'!$B$2:$B$3001,$B$2,'هالك وتحويلات'!$C$2:$C$3001,$A95,'هالك وتحويلات'!$D$2:$D$3001,"تحويل وارد",'هالك وتحويلات'!$A$2:$A$3001,'إعدادات المخزون'!$B$4)-SUMIFS('هالك وتحويلات'!$E$2:$E$3001,'هالك وتحويلات'!$B$2:$B$3001,$B$2,'هالك وتحويلات'!$C$2:$C$3001,$A95,'هالك وتحويلات'!$D$2:$D$3001,"تحويل صادر",'هالك وتحويلات'!$A$2:$A$3001,'إعدادات المخزون'!$B$4)-SUMIFS('هالك وتحويلات'!$E$2:$E$3001,'هالك وتحويلات'!$B$2:$B$3001,$B$2,'هالك وتحويلات'!$C$2:$C$3001,$A95,'هالك وتحويلات'!$D$2:$D$3001,"هالك",'هالك وتحويلات'!$A$2:$A$3001,'إعدادات المخزون'!$B$4)-SUMIFS('هالك وتحويلات'!$E$2:$E$3001,'هالك وتحويلات'!$B$2:$B$3001,$B$2,'هالك وتحويلات'!$C$2:$C$3001,$A95,'هالك وتحويلات'!$D$2:$D$3001,"ضيافة / أكل موظفين",'هالك وتحويلات'!$A$2:$A$3001,'إعدادات المخزون'!$B$4)-SUMPRODUCT('مصفوفة الاستهلاك'!$CL$2:$CL$190,'متجهات المبيعات'!$B$2:$B$190)/'مواد المخزون'!$D$90</f>
        <v>0</v>
      </c>
      <c r="AA95" s="109" t="n">
        <f aca="false">IF(K95="نعم",O95,0)</f>
        <v>0</v>
      </c>
      <c r="AB95" s="109" t="n">
        <f aca="false">IF(K95="نعم",J95*C95,0)</f>
        <v>0</v>
      </c>
      <c r="AC95" s="109" t="n">
        <f aca="false">IF(T95="",0,T95)</f>
        <v>0</v>
      </c>
    </row>
    <row r="97" customFormat="false" ht="15" hidden="false" customHeight="false" outlineLevel="0" collapsed="false">
      <c r="A97" s="33" t="s">
        <v>828</v>
      </c>
      <c r="O97" s="113" t="n">
        <f aca="false">SUM(AA7:AA95)</f>
        <v>0</v>
      </c>
    </row>
  </sheetData>
  <autoFilter ref="A6:W95"/>
  <conditionalFormatting sqref="P7:P95">
    <cfRule type="cellIs" priority="2" operator="equal" aboveAverage="0" equalAverage="0" bottom="0" percent="0" rank="0" text="" dxfId="0">
      <formula>"عجز"</formula>
    </cfRule>
    <cfRule type="cellIs" priority="3" operator="equal" aboveAverage="0" equalAverage="0" bottom="0" percent="0" rank="0" text="" dxfId="16">
      <formula>"زيادة"</formula>
    </cfRule>
    <cfRule type="cellIs" priority="4" operator="equal" aboveAverage="0" equalAverage="0" bottom="0" percent="0" rank="0" text="" dxfId="17">
      <formula>"مطابق"</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1"/>
    <col collapsed="false" customWidth="true" hidden="false" outlineLevel="0" max="5" min="4" style="0" width="12"/>
    <col collapsed="false" customWidth="true" hidden="false" outlineLevel="0" max="7" min="6" style="0" width="11"/>
    <col collapsed="false" customWidth="true" hidden="false" outlineLevel="0" max="8" min="8" style="0" width="15"/>
    <col collapsed="false" customWidth="true" hidden="false" outlineLevel="0" max="9" min="9" style="0" width="11"/>
    <col collapsed="false" customWidth="true" hidden="false" outlineLevel="0" max="10" min="10" style="0" width="13"/>
    <col collapsed="false" customWidth="true" hidden="false" outlineLevel="0" max="11" min="11" style="0" width="9"/>
    <col collapsed="false" customWidth="true" hidden="false" outlineLevel="0" max="13" min="12" style="0" width="12"/>
    <col collapsed="false" customWidth="true" hidden="false" outlineLevel="0" max="14" min="14" style="0" width="10"/>
    <col collapsed="false" customWidth="true" hidden="false" outlineLevel="0" max="15" min="15" style="0" width="14"/>
    <col collapsed="false" customWidth="true" hidden="false" outlineLevel="0" max="18" min="16" style="0" width="11"/>
    <col collapsed="false" customWidth="true" hidden="false" outlineLevel="0" max="19" min="19" style="0" width="12"/>
    <col collapsed="false" customWidth="true" hidden="false" outlineLevel="0" max="23" min="20" style="0" width="13"/>
    <col collapsed="false" customWidth="true" hidden="true" outlineLevel="0" max="29" min="24" style="0" width="12"/>
  </cols>
  <sheetData>
    <row r="1" customFormat="false" ht="17.9" hidden="false" customHeight="false" outlineLevel="0" collapsed="false">
      <c r="A1" s="40" t="s">
        <v>829</v>
      </c>
    </row>
    <row r="2" customFormat="false" ht="15" hidden="false" customHeight="false" outlineLevel="0" collapsed="false">
      <c r="A2" s="104" t="s">
        <v>800</v>
      </c>
      <c r="B2" s="108" t="s">
        <v>33</v>
      </c>
    </row>
    <row r="3" customFormat="false" ht="15" hidden="false" customHeight="false" outlineLevel="0" collapsed="false">
      <c r="A3" s="104" t="s">
        <v>801</v>
      </c>
      <c r="B3" s="103" t="n">
        <f aca="false">'إعدادات المخزون'!$B$4</f>
        <v>46307</v>
      </c>
    </row>
    <row r="4" customFormat="false" ht="15" hidden="false" customHeight="false" outlineLevel="0" collapsed="false">
      <c r="A4" s="17" t="s">
        <v>802</v>
      </c>
    </row>
    <row r="6" customFormat="false" ht="51.75" hidden="false" customHeight="true" outlineLevel="0" collapsed="false">
      <c r="A6" s="18" t="s">
        <v>59</v>
      </c>
      <c r="B6" s="18" t="s">
        <v>687</v>
      </c>
      <c r="C6" s="18" t="s">
        <v>774</v>
      </c>
      <c r="D6" s="18" t="s">
        <v>803</v>
      </c>
      <c r="E6" s="18" t="s">
        <v>804</v>
      </c>
      <c r="F6" s="18" t="s">
        <v>805</v>
      </c>
      <c r="G6" s="18" t="s">
        <v>806</v>
      </c>
      <c r="H6" s="18" t="s">
        <v>807</v>
      </c>
      <c r="I6" s="18" t="s">
        <v>808</v>
      </c>
      <c r="J6" s="18" t="s">
        <v>809</v>
      </c>
      <c r="K6" s="18" t="s">
        <v>810</v>
      </c>
      <c r="L6" s="18" t="s">
        <v>811</v>
      </c>
      <c r="M6" s="18" t="s">
        <v>60</v>
      </c>
      <c r="N6" s="18" t="s">
        <v>812</v>
      </c>
      <c r="O6" s="18" t="s">
        <v>813</v>
      </c>
      <c r="P6" s="18" t="s">
        <v>814</v>
      </c>
      <c r="Q6" s="18" t="s">
        <v>815</v>
      </c>
      <c r="R6" s="18" t="s">
        <v>816</v>
      </c>
      <c r="S6" s="18" t="s">
        <v>817</v>
      </c>
      <c r="T6" s="18" t="s">
        <v>818</v>
      </c>
      <c r="U6" s="18" t="s">
        <v>819</v>
      </c>
      <c r="V6" s="18" t="s">
        <v>820</v>
      </c>
      <c r="W6" s="18" t="s">
        <v>821</v>
      </c>
      <c r="X6" s="18" t="s">
        <v>822</v>
      </c>
      <c r="Y6" s="18" t="s">
        <v>823</v>
      </c>
      <c r="Z6" s="18" t="s">
        <v>824</v>
      </c>
      <c r="AA6" s="18" t="s">
        <v>825</v>
      </c>
      <c r="AB6" s="18" t="s">
        <v>826</v>
      </c>
      <c r="AC6" s="18" t="s">
        <v>827</v>
      </c>
    </row>
    <row r="7" customFormat="false" ht="15" hidden="false" customHeight="false" outlineLevel="0" collapsed="false">
      <c r="A7" s="34" t="str">
        <f aca="false">'مواد المخزون'!A2</f>
        <v>اطباق سيلفر مكرونة</v>
      </c>
      <c r="B7" s="36" t="str">
        <f aca="false">'مواد المخزون'!B2</f>
        <v>قطعة</v>
      </c>
      <c r="C7" s="109" t="n">
        <f aca="false">'مواد المخزون'!E2</f>
        <v>3.3</v>
      </c>
      <c r="D7" s="110" t="n">
        <f aca="false">'جرد أول المدة'!D5</f>
        <v>150</v>
      </c>
      <c r="E7" s="110" t="n">
        <f aca="false">SUMIFS('مشتريات يومية'!$D$2:$D$4001,'مشتريات يومية'!$B$2:$B$4001,$B$2,'مشتريات يومية'!$C$2:$C$4001,$A7,'مشتريات يومية'!$A$2:$A$4001,"&gt;="&amp;'إعدادات المخزون'!$B$5,'مشتريات يومية'!$A$2:$A$4001,"&lt;="&amp;'إعدادات المخزون'!$B$4)</f>
        <v>0</v>
      </c>
      <c r="F7" s="110" t="n">
        <f aca="false">SUMIFS('هالك وتحويلات'!$E$2:$E$3001,'هالك وتحويلات'!$B$2:$B$3001,$B$2,'هالك وتحويلات'!$C$2:$C$3001,$A7,'هالك وتحويلات'!$D$2:$D$3001,"تحويل وارد",'هالك وتحويلات'!$A$2:$A$3001,"&gt;="&amp;'إعدادات المخزون'!$B$5,'هالك وتحويلات'!$A$2:$A$3001,"&lt;="&amp;'إعدادات المخزون'!$B$4)</f>
        <v>0</v>
      </c>
      <c r="G7" s="110" t="n">
        <f aca="false">SUMIFS('هالك وتحويلات'!$E$2:$E$3001,'هالك وتحويلات'!$B$2:$B$3001,$B$2,'هالك وتحويلات'!$C$2:$C$3001,$A7,'هالك وتحويلات'!$D$2:$D$3001,"تحويل صادر",'هالك وتحويلات'!$A$2:$A$3001,"&gt;="&amp;'إعدادات المخزون'!$B$5,'هالك وتحويلات'!$A$2:$A$3001,"&lt;="&amp;'إعدادات المخزون'!$B$4)</f>
        <v>0</v>
      </c>
      <c r="H7" s="110" t="n">
        <f aca="false">SUMPRODUCT('مصفوفة الاستهلاك'!$B$2:$B$190,'متجهات المبيعات'!$F$2:$F$190)/'مواد المخزون'!$D$2</f>
        <v>45.9996</v>
      </c>
      <c r="I7" s="110" t="n">
        <f aca="false">SUMIFS('هالك وتحويلات'!$E$2:$E$3001,'هالك وتحويلات'!$B$2:$B$3001,$B$2,'هالك وتحويلات'!$C$2:$C$3001,$A7,'هالك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وتحويلات'!$C$2:$C$3001,$A7,'هالك وتحويلات'!$D$2:$D$3001,"ضيافة / أكل موظفين",'هالك وتحويلات'!$A$2:$A$3001,"&gt;="&amp;'إعدادات المخزون'!$B$5,'هالك وتحويلات'!$A$2:$A$3001,"&lt;="&amp;'إعدادات المخزون'!$B$4)</f>
        <v>0</v>
      </c>
      <c r="J7" s="110" t="n">
        <f aca="false">D7+E7+F7-G7-H7-I7</f>
        <v>104.0004</v>
      </c>
      <c r="K7" s="36" t="str">
        <f aca="false">IF(COUNTIFS('جرد فعلي'!$B$2:$B$12001,$B$2,'جرد فعلي'!$C$2:$C$12001,$A7,'جرد فعلي'!$A$2:$A$12001,'إعدادات المخزون'!$B$4)&gt;0,"نعم","لا")</f>
        <v>لا</v>
      </c>
      <c r="L7" s="111" t="str">
        <f aca="false">IF(K7="نعم",SUMIFS('جرد فعلي'!$D$2:$D$12001,'جرد فعلي'!$B$2:$B$12001,$B$2,'جرد فعلي'!$C$2:$C$12001,$A7,'جرد فعلي'!$A$2:$A$12001,'إعدادات المخزون'!$B$4),"")</f>
        <v/>
      </c>
      <c r="M7" s="110" t="str">
        <f aca="false">IF(K7="نعم",L7-J7,"")</f>
        <v/>
      </c>
      <c r="N7" s="112" t="str">
        <f aca="false">IF(K7="نعم",IF(J7=0,IF(M7=0,0,SIGN(M7)),M7/ABS(J7)),"")</f>
        <v/>
      </c>
      <c r="O7" s="109" t="str">
        <f aca="false">IF(K7="نعم",M7*C7,"")</f>
        <v/>
      </c>
      <c r="P7" s="36" t="str">
        <f aca="false">IF(K7&lt;&gt;"نعم","لم يُجرد",IF(ABS(N7)&lt;='إعدادات المخزون'!$B$7,"مطابق",IF(M7&lt;0,"عجز","زيادة")))</f>
        <v>لم يُجرد</v>
      </c>
      <c r="Q7" s="110" t="n">
        <f aca="false">J7-Z7</f>
        <v>107.8337</v>
      </c>
      <c r="R7" s="110" t="str">
        <f aca="false">IF(COUNTIFS('جرد فعلي'!$B$2:$B$12001,$B$2,'جرد فعلي'!$C$2:$C$12001,$A7,'جرد فعلي'!$A$2:$A$12001,'إعدادات المخزون'!$B$4-1)&gt;0,SUMIFS('جرد فعلي'!$D$2:$D$12001,'جرد فعلي'!$B$2:$B$12001,$B$2,'جرد فعلي'!$C$2:$C$12001,$A7,'جرد فعلي'!$A$2:$A$12001,'إعدادات المخزون'!$B$4-1),"")</f>
        <v/>
      </c>
      <c r="S7" s="110" t="str">
        <f aca="false">IF(AND(K7="نعم",R7&lt;&gt;""),(L7-J7)-(R7-Q7),"")</f>
        <v/>
      </c>
      <c r="T7" s="109" t="str">
        <f aca="false">IF(S7="","",S7*C7)</f>
        <v/>
      </c>
      <c r="U7" s="110" t="n">
        <f aca="false">IF(K7="نعم",L7,J7)</f>
        <v>104.0004</v>
      </c>
      <c r="V7" s="110" t="n">
        <f aca="false">SUMPRODUCT('مصفوفة الاستهلاك'!$B$2:$B$190,'متجهات المبيعات'!$G$2:$G$190)/'مواد المخزون'!$D$2/MAX(1,MIN('إعدادات المخزون'!$B$11,'إعدادات المخزون'!$B$4-'إعدادات المخزون'!$B$5+1))</f>
        <v>3.8333</v>
      </c>
      <c r="W7" s="110" t="n">
        <f aca="false">IF(V7&lt;=0,0,ROUNDUP(MAX(0,V7*('إعدادات المخزون'!$B$8+'إعدادات المخزون'!$B$9+'إعدادات المخزون'!$B$10)-MAX(U7,0))/'مواد المخزون'!$F2,0)*'مواد المخزون'!$F2)</f>
        <v>0</v>
      </c>
      <c r="X7" s="109" t="n">
        <f aca="false">IF(AND(K7="نعم",O7&lt;0),-O7+ROW()*0.000000001,0)</f>
        <v>0</v>
      </c>
      <c r="Y7" s="109" t="n">
        <f aca="false">IF(AND(K7="نعم",O7&gt;0),O7+ROW()*0.000000001,0)</f>
        <v>0</v>
      </c>
      <c r="Z7" s="110" t="n">
        <f aca="false">SUMIFS('مشتريات يومية'!$D$2:$D$4001,'مشتريات يومية'!$B$2:$B$4001,$B$2,'مشتريات يومية'!$C$2:$C$4001,$A7,'مشتريات يومية'!$A$2:$A$4001,'إعدادات المخزون'!$B$4)+SUMIFS('هالك وتحويلات'!$E$2:$E$3001,'هالك وتحويلات'!$B$2:$B$3001,$B$2,'هالك وتحويلات'!$C$2:$C$3001,$A7,'هالك وتحويلات'!$D$2:$D$3001,"تحويل وارد",'هالك وتحويلات'!$A$2:$A$3001,'إعدادات المخزون'!$B$4)-SUMIFS('هالك وتحويلات'!$E$2:$E$3001,'هالك وتحويلات'!$B$2:$B$3001,$B$2,'هالك وتحويلات'!$C$2:$C$3001,$A7,'هالك وتحويلات'!$D$2:$D$3001,"تحويل صادر",'هالك وتحويلات'!$A$2:$A$3001,'إعدادات المخزون'!$B$4)-SUMIFS('هالك وتحويلات'!$E$2:$E$3001,'هالك وتحويلات'!$B$2:$B$3001,$B$2,'هالك وتحويلات'!$C$2:$C$3001,$A7,'هالك وتحويلات'!$D$2:$D$3001,"هالك",'هالك وتحويلات'!$A$2:$A$3001,'إعدادات المخزون'!$B$4)-SUMIFS('هالك وتحويلات'!$E$2:$E$3001,'هالك وتحويلات'!$B$2:$B$3001,$B$2,'هالك وتحويلات'!$C$2:$C$3001,$A7,'هالك وتحويلات'!$D$2:$D$3001,"ضيافة / أكل موظفين",'هالك وتحويلات'!$A$2:$A$3001,'إعدادات المخزون'!$B$4)-SUMPRODUCT('مصفوفة الاستهلاك'!$B$2:$B$190,'متجهات المبيعات'!$E$2:$E$190)/'مواد المخزون'!$D$2</f>
        <v>-3.8333</v>
      </c>
      <c r="AA7" s="109" t="n">
        <f aca="false">IF(K7="نعم",O7,0)</f>
        <v>0</v>
      </c>
      <c r="AB7" s="109" t="n">
        <f aca="false">IF(K7="نعم",J7*C7,0)</f>
        <v>0</v>
      </c>
      <c r="AC7" s="109" t="n">
        <f aca="false">IF(T7="",0,T7)</f>
        <v>0</v>
      </c>
    </row>
    <row r="8" customFormat="false" ht="15" hidden="false" customHeight="false" outlineLevel="0" collapsed="false">
      <c r="A8" s="34" t="str">
        <f aca="false">'مواد المخزون'!A3</f>
        <v>اطباق فوم كيلو</v>
      </c>
      <c r="B8" s="36" t="str">
        <f aca="false">'مواد المخزون'!B3</f>
        <v>قطعة</v>
      </c>
      <c r="C8" s="109" t="n">
        <f aca="false">'مواد المخزون'!E3</f>
        <v>0.8</v>
      </c>
      <c r="D8" s="110" t="n">
        <f aca="false">'جرد أول المدة'!D6</f>
        <v>875</v>
      </c>
      <c r="E8" s="110" t="n">
        <f aca="false">SUMIFS('مشتريات يومية'!$D$2:$D$4001,'مشتريات يومية'!$B$2:$B$4001,$B$2,'مشتريات يومية'!$C$2:$C$4001,$A8,'مشتريات يومية'!$A$2:$A$4001,"&gt;="&amp;'إعدادات المخزون'!$B$5,'مشتريات يومية'!$A$2:$A$4001,"&lt;="&amp;'إعدادات المخزون'!$B$4)</f>
        <v>400</v>
      </c>
      <c r="F8" s="110" t="n">
        <f aca="false">SUMIFS('هالك وتحويلات'!$E$2:$E$3001,'هالك وتحويلات'!$B$2:$B$3001,$B$2,'هالك وتحويلات'!$C$2:$C$3001,$A8,'هالك وتحويلات'!$D$2:$D$3001,"تحويل وارد",'هالك وتحويلات'!$A$2:$A$3001,"&gt;="&amp;'إعدادات المخزون'!$B$5,'هالك وتحويلات'!$A$2:$A$3001,"&lt;="&amp;'إعدادات المخزون'!$B$4)</f>
        <v>0</v>
      </c>
      <c r="G8" s="110" t="n">
        <f aca="false">SUMIFS('هالك وتحويلات'!$E$2:$E$3001,'هالك وتحويلات'!$B$2:$B$3001,$B$2,'هالك وتحويلات'!$C$2:$C$3001,$A8,'هالك وتحويلات'!$D$2:$D$3001,"تحويل صادر",'هالك وتحويلات'!$A$2:$A$3001,"&gt;="&amp;'إعدادات المخزون'!$B$5,'هالك وتحويلات'!$A$2:$A$3001,"&lt;="&amp;'إعدادات المخزون'!$B$4)</f>
        <v>0</v>
      </c>
      <c r="H8" s="110" t="n">
        <f aca="false">SUMPRODUCT('مصفوفة الاستهلاك'!$C$2:$C$190,'متجهات المبيعات'!$F$2:$F$190)/'مواد المخزون'!$D$3</f>
        <v>540</v>
      </c>
      <c r="I8" s="110" t="n">
        <f aca="false">SUMIFS('هالك وتحويلات'!$E$2:$E$3001,'هالك وتحويلات'!$B$2:$B$3001,$B$2,'هالك وتحويلات'!$C$2:$C$3001,$A8,'هالك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وتحويلات'!$C$2:$C$3001,$A8,'هالك وتحويلات'!$D$2:$D$3001,"ضيافة / أكل موظفين",'هالك وتحويلات'!$A$2:$A$3001,"&gt;="&amp;'إعدادات المخزون'!$B$5,'هالك وتحويلات'!$A$2:$A$3001,"&lt;="&amp;'إعدادات المخزون'!$B$4)</f>
        <v>0</v>
      </c>
      <c r="J8" s="110" t="n">
        <f aca="false">D8+E8+F8-G8-H8-I8</f>
        <v>735</v>
      </c>
      <c r="K8" s="36" t="str">
        <f aca="false">IF(COUNTIFS('جرد فعلي'!$B$2:$B$12001,$B$2,'جرد فعلي'!$C$2:$C$12001,$A8,'جرد فعلي'!$A$2:$A$12001,'إعدادات المخزون'!$B$4)&gt;0,"نعم","لا")</f>
        <v>لا</v>
      </c>
      <c r="L8" s="111" t="str">
        <f aca="false">IF(K8="نعم",SUMIFS('جرد فعلي'!$D$2:$D$12001,'جرد فعلي'!$B$2:$B$12001,$B$2,'جرد فعلي'!$C$2:$C$12001,$A8,'جرد فعلي'!$A$2:$A$12001,'إعدادات المخزون'!$B$4),"")</f>
        <v/>
      </c>
      <c r="M8" s="110" t="str">
        <f aca="false">IF(K8="نعم",L8-J8,"")</f>
        <v/>
      </c>
      <c r="N8" s="112" t="str">
        <f aca="false">IF(K8="نعم",IF(J8=0,IF(M8=0,0,SIGN(M8)),M8/ABS(J8)),"")</f>
        <v/>
      </c>
      <c r="O8" s="109" t="str">
        <f aca="false">IF(K8="نعم",M8*C8,"")</f>
        <v/>
      </c>
      <c r="P8" s="36" t="str">
        <f aca="false">IF(K8&lt;&gt;"نعم","لم يُجرد",IF(ABS(N8)&lt;='إعدادات المخزون'!$B$7,"مطابق",IF(M8&lt;0,"عجز","زيادة")))</f>
        <v>لم يُجرد</v>
      </c>
      <c r="Q8" s="110" t="n">
        <f aca="false">J8-Z8</f>
        <v>780</v>
      </c>
      <c r="R8" s="110" t="str">
        <f aca="false">IF(COUNTIFS('جرد فعلي'!$B$2:$B$12001,$B$2,'جرد فعلي'!$C$2:$C$12001,$A8,'جرد فعلي'!$A$2:$A$12001,'إعدادات المخزون'!$B$4-1)&gt;0,SUMIFS('جرد فعلي'!$D$2:$D$12001,'جرد فعلي'!$B$2:$B$12001,$B$2,'جرد فعلي'!$C$2:$C$12001,$A8,'جرد فعلي'!$A$2:$A$12001,'إعدادات المخزون'!$B$4-1),"")</f>
        <v/>
      </c>
      <c r="S8" s="110" t="str">
        <f aca="false">IF(AND(K8="نعم",R8&lt;&gt;""),(L8-J8)-(R8-Q8),"")</f>
        <v/>
      </c>
      <c r="T8" s="109" t="str">
        <f aca="false">IF(S8="","",S8*C8)</f>
        <v/>
      </c>
      <c r="U8" s="110" t="n">
        <f aca="false">IF(K8="نعم",L8,J8)</f>
        <v>735</v>
      </c>
      <c r="V8" s="110" t="n">
        <f aca="false">SUMPRODUCT('مصفوفة الاستهلاك'!$C$2:$C$190,'متجهات المبيعات'!$G$2:$G$190)/'مواد المخزون'!$D$3/MAX(1,MIN('إعدادات المخزون'!$B$11,'إعدادات المخزون'!$B$4-'إعدادات المخزون'!$B$5+1))</f>
        <v>45</v>
      </c>
      <c r="W8" s="110" t="n">
        <f aca="false">IF(V8&lt;=0,0,ROUNDUP(MAX(0,V8*('إعدادات المخزون'!$B$8+'إعدادات المخزون'!$B$9+'إعدادات المخزون'!$B$10)-MAX(U8,0))/'مواد المخزون'!$F3,0)*'مواد المخزون'!$F3)</f>
        <v>0</v>
      </c>
      <c r="X8" s="109" t="n">
        <f aca="false">IF(AND(K8="نعم",O8&lt;0),-O8+ROW()*0.000000001,0)</f>
        <v>0</v>
      </c>
      <c r="Y8" s="109" t="n">
        <f aca="false">IF(AND(K8="نعم",O8&gt;0),O8+ROW()*0.000000001,0)</f>
        <v>0</v>
      </c>
      <c r="Z8" s="110" t="n">
        <f aca="false">SUMIFS('مشتريات يومية'!$D$2:$D$4001,'مشتريات يومية'!$B$2:$B$4001,$B$2,'مشتريات يومية'!$C$2:$C$4001,$A8,'مشتريات يومية'!$A$2:$A$4001,'إعدادات المخزون'!$B$4)+SUMIFS('هالك وتحويلات'!$E$2:$E$3001,'هالك وتحويلات'!$B$2:$B$3001,$B$2,'هالك وتحويلات'!$C$2:$C$3001,$A8,'هالك وتحويلات'!$D$2:$D$3001,"تحويل وارد",'هالك وتحويلات'!$A$2:$A$3001,'إعدادات المخزون'!$B$4)-SUMIFS('هالك وتحويلات'!$E$2:$E$3001,'هالك وتحويلات'!$B$2:$B$3001,$B$2,'هالك وتحويلات'!$C$2:$C$3001,$A8,'هالك وتحويلات'!$D$2:$D$3001,"تحويل صادر",'هالك وتحويلات'!$A$2:$A$3001,'إعدادات المخزون'!$B$4)-SUMIFS('هالك وتحويلات'!$E$2:$E$3001,'هالك وتحويلات'!$B$2:$B$3001,$B$2,'هالك وتحويلات'!$C$2:$C$3001,$A8,'هالك وتحويلات'!$D$2:$D$3001,"هالك",'هالك وتحويلات'!$A$2:$A$3001,'إعدادات المخزون'!$B$4)-SUMIFS('هالك وتحويلات'!$E$2:$E$3001,'هالك وتحويلات'!$B$2:$B$3001,$B$2,'هالك وتحويلات'!$C$2:$C$3001,$A8,'هالك وتحويلات'!$D$2:$D$3001,"ضيافة / أكل موظفين",'هالك وتحويلات'!$A$2:$A$3001,'إعدادات المخزون'!$B$4)-SUMPRODUCT('مصفوفة الاستهلاك'!$C$2:$C$190,'متجهات المبيعات'!$E$2:$E$190)/'مواد المخزون'!$D$3</f>
        <v>-45</v>
      </c>
      <c r="AA8" s="109" t="n">
        <f aca="false">IF(K8="نعم",O8,0)</f>
        <v>0</v>
      </c>
      <c r="AB8" s="109" t="n">
        <f aca="false">IF(K8="نعم",J8*C8,0)</f>
        <v>0</v>
      </c>
      <c r="AC8" s="109" t="n">
        <f aca="false">IF(T8="",0,T8)</f>
        <v>0</v>
      </c>
    </row>
    <row r="9" customFormat="false" ht="15" hidden="false" customHeight="false" outlineLevel="0" collapsed="false">
      <c r="A9" s="34" t="str">
        <f aca="false">'مواد المخزون'!A4</f>
        <v>اكياس مطبوعة كبير</v>
      </c>
      <c r="B9" s="36" t="str">
        <f aca="false">'مواد المخزون'!B4</f>
        <v>كجم</v>
      </c>
      <c r="C9" s="109" t="n">
        <f aca="false">'مواد المخزون'!E4</f>
        <v>70</v>
      </c>
      <c r="D9" s="110" t="n">
        <f aca="false">'جرد أول المدة'!D7</f>
        <v>15.991</v>
      </c>
      <c r="E9" s="110" t="n">
        <f aca="false">SUMIFS('مشتريات يومية'!$D$2:$D$4001,'مشتريات يومية'!$B$2:$B$4001,$B$2,'مشتريات يومية'!$C$2:$C$4001,$A9,'مشتريات يومية'!$A$2:$A$4001,"&gt;="&amp;'إعدادات المخزون'!$B$5,'مشتريات يومية'!$A$2:$A$4001,"&lt;="&amp;'إعدادات المخزون'!$B$4)</f>
        <v>25</v>
      </c>
      <c r="F9" s="110" t="n">
        <f aca="false">SUMIFS('هالك وتحويلات'!$E$2:$E$3001,'هالك وتحويلات'!$B$2:$B$3001,$B$2,'هالك وتحويلات'!$C$2:$C$3001,$A9,'هالك وتحويلات'!$D$2:$D$3001,"تحويل وارد",'هالك وتحويلات'!$A$2:$A$3001,"&gt;="&amp;'إعدادات المخزون'!$B$5,'هالك وتحويلات'!$A$2:$A$3001,"&lt;="&amp;'إعدادات المخزون'!$B$4)</f>
        <v>0</v>
      </c>
      <c r="G9" s="110" t="n">
        <f aca="false">SUMIFS('هالك وتحويلات'!$E$2:$E$3001,'هالك وتحويلات'!$B$2:$B$3001,$B$2,'هالك وتحويلات'!$C$2:$C$3001,$A9,'هالك وتحويلات'!$D$2:$D$3001,"تحويل صادر",'هالك وتحويلات'!$A$2:$A$3001,"&gt;="&amp;'إعدادات المخزون'!$B$5,'هالك وتحويلات'!$A$2:$A$3001,"&lt;="&amp;'إعدادات المخزون'!$B$4)</f>
        <v>0</v>
      </c>
      <c r="H9" s="110" t="n">
        <f aca="false">SUMPRODUCT('مصفوفة الاستهلاك'!$D$2:$D$190,'متجهات المبيعات'!$F$2:$F$190)/'مواد المخزون'!$D$4</f>
        <v>31.130004</v>
      </c>
      <c r="I9" s="110" t="n">
        <f aca="false">SUMIFS('هالك وتحويلات'!$E$2:$E$3001,'هالك وتحويلات'!$B$2:$B$3001,$B$2,'هالك وتحويلات'!$C$2:$C$3001,$A9,'هالك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وتحويلات'!$C$2:$C$3001,$A9,'هالك وتحويلات'!$D$2:$D$3001,"ضيافة / أكل موظفين",'هالك وتحويلات'!$A$2:$A$3001,"&gt;="&amp;'إعدادات المخزون'!$B$5,'هالك وتحويلات'!$A$2:$A$3001,"&lt;="&amp;'إعدادات المخزون'!$B$4)</f>
        <v>0</v>
      </c>
      <c r="J9" s="110" t="n">
        <f aca="false">D9+E9+F9-G9-H9-I9</f>
        <v>9.860996</v>
      </c>
      <c r="K9" s="36" t="str">
        <f aca="false">IF(COUNTIFS('جرد فعلي'!$B$2:$B$12001,$B$2,'جرد فعلي'!$C$2:$C$12001,$A9,'جرد فعلي'!$A$2:$A$12001,'إعدادات المخزون'!$B$4)&gt;0,"نعم","لا")</f>
        <v>لا</v>
      </c>
      <c r="L9" s="111" t="str">
        <f aca="false">IF(K9="نعم",SUMIFS('جرد فعلي'!$D$2:$D$12001,'جرد فعلي'!$B$2:$B$12001,$B$2,'جرد فعلي'!$C$2:$C$12001,$A9,'جرد فعلي'!$A$2:$A$12001,'إعدادات المخزون'!$B$4),"")</f>
        <v/>
      </c>
      <c r="M9" s="110" t="str">
        <f aca="false">IF(K9="نعم",L9-J9,"")</f>
        <v/>
      </c>
      <c r="N9" s="112" t="str">
        <f aca="false">IF(K9="نعم",IF(J9=0,IF(M9=0,0,SIGN(M9)),M9/ABS(J9)),"")</f>
        <v/>
      </c>
      <c r="O9" s="109" t="str">
        <f aca="false">IF(K9="نعم",M9*C9,"")</f>
        <v/>
      </c>
      <c r="P9" s="36" t="str">
        <f aca="false">IF(K9&lt;&gt;"نعم","لم يُجرد",IF(ABS(N9)&lt;='إعدادات المخزون'!$B$7,"مطابق",IF(M9&lt;0,"عجز","زيادة")))</f>
        <v>لم يُجرد</v>
      </c>
      <c r="Q9" s="110" t="n">
        <f aca="false">J9-Z9</f>
        <v>12.455163</v>
      </c>
      <c r="R9" s="110" t="str">
        <f aca="false">IF(COUNTIFS('جرد فعلي'!$B$2:$B$12001,$B$2,'جرد فعلي'!$C$2:$C$12001,$A9,'جرد فعلي'!$A$2:$A$12001,'إعدادات المخزون'!$B$4-1)&gt;0,SUMIFS('جرد فعلي'!$D$2:$D$12001,'جرد فعلي'!$B$2:$B$12001,$B$2,'جرد فعلي'!$C$2:$C$12001,$A9,'جرد فعلي'!$A$2:$A$12001,'إعدادات المخزون'!$B$4-1),"")</f>
        <v/>
      </c>
      <c r="S9" s="110" t="str">
        <f aca="false">IF(AND(K9="نعم",R9&lt;&gt;""),(L9-J9)-(R9-Q9),"")</f>
        <v/>
      </c>
      <c r="T9" s="109" t="str">
        <f aca="false">IF(S9="","",S9*C9)</f>
        <v/>
      </c>
      <c r="U9" s="110" t="n">
        <f aca="false">IF(K9="نعم",L9,J9)</f>
        <v>9.860996</v>
      </c>
      <c r="V9" s="110" t="n">
        <f aca="false">SUMPRODUCT('مصفوفة الاستهلاك'!$D$2:$D$190,'متجهات المبيعات'!$G$2:$G$190)/'مواد المخزون'!$D$4/MAX(1,MIN('إعدادات المخزون'!$B$11,'إعدادات المخزون'!$B$4-'إعدادات المخزون'!$B$5+1))</f>
        <v>2.594167</v>
      </c>
      <c r="W9" s="110" t="n">
        <f aca="false">IF(V9&lt;=0,0,ROUNDUP(MAX(0,V9*('إعدادات المخزون'!$B$8+'إعدادات المخزون'!$B$9+'إعدادات المخزون'!$B$10)-MAX(U9,0))/'مواد المخزون'!$F4,0)*'مواد المخزون'!$F4)</f>
        <v>1</v>
      </c>
      <c r="X9" s="109" t="n">
        <f aca="false">IF(AND(K9="نعم",O9&lt;0),-O9+ROW()*0.000000001,0)</f>
        <v>0</v>
      </c>
      <c r="Y9" s="109" t="n">
        <f aca="false">IF(AND(K9="نعم",O9&gt;0),O9+ROW()*0.000000001,0)</f>
        <v>0</v>
      </c>
      <c r="Z9" s="110" t="n">
        <f aca="false">SUMIFS('مشتريات يومية'!$D$2:$D$4001,'مشتريات يومية'!$B$2:$B$4001,$B$2,'مشتريات يومية'!$C$2:$C$4001,$A9,'مشتريات يومية'!$A$2:$A$4001,'إعدادات المخزون'!$B$4)+SUMIFS('هالك وتحويلات'!$E$2:$E$3001,'هالك وتحويلات'!$B$2:$B$3001,$B$2,'هالك وتحويلات'!$C$2:$C$3001,$A9,'هالك وتحويلات'!$D$2:$D$3001,"تحويل وارد",'هالك وتحويلات'!$A$2:$A$3001,'إعدادات المخزون'!$B$4)-SUMIFS('هالك وتحويلات'!$E$2:$E$3001,'هالك وتحويلات'!$B$2:$B$3001,$B$2,'هالك وتحويلات'!$C$2:$C$3001,$A9,'هالك وتحويلات'!$D$2:$D$3001,"تحويل صادر",'هالك وتحويلات'!$A$2:$A$3001,'إعدادات المخزون'!$B$4)-SUMIFS('هالك وتحويلات'!$E$2:$E$3001,'هالك وتحويلات'!$B$2:$B$3001,$B$2,'هالك وتحويلات'!$C$2:$C$3001,$A9,'هالك وتحويلات'!$D$2:$D$3001,"هالك",'هالك وتحويلات'!$A$2:$A$3001,'إعدادات المخزون'!$B$4)-SUMIFS('هالك وتحويلات'!$E$2:$E$3001,'هالك وتحويلات'!$B$2:$B$3001,$B$2,'هالك وتحويلات'!$C$2:$C$3001,$A9,'هالك وتحويلات'!$D$2:$D$3001,"ضيافة / أكل موظفين",'هالك وتحويلات'!$A$2:$A$3001,'إعدادات المخزون'!$B$4)-SUMPRODUCT('مصفوفة الاستهلاك'!$D$2:$D$190,'متجهات المبيعات'!$E$2:$E$190)/'مواد المخزون'!$D$4</f>
        <v>-2.594167</v>
      </c>
      <c r="AA9" s="109" t="n">
        <f aca="false">IF(K9="نعم",O9,0)</f>
        <v>0</v>
      </c>
      <c r="AB9" s="109" t="n">
        <f aca="false">IF(K9="نعم",J9*C9,0)</f>
        <v>0</v>
      </c>
      <c r="AC9" s="109" t="n">
        <f aca="false">IF(T9="",0,T9)</f>
        <v>0</v>
      </c>
    </row>
    <row r="10" customFormat="false" ht="15" hidden="false" customHeight="false" outlineLevel="0" collapsed="false">
      <c r="A10" s="34" t="str">
        <f aca="false">'مواد المخزون'!A5</f>
        <v>اكياس مطبوعة وسط</v>
      </c>
      <c r="B10" s="36" t="str">
        <f aca="false">'مواد المخزون'!B5</f>
        <v>كجم</v>
      </c>
      <c r="C10" s="109" t="n">
        <f aca="false">'مواد المخزون'!E5</f>
        <v>70</v>
      </c>
      <c r="D10" s="110" t="n">
        <f aca="false">'جرد أول المدة'!D8</f>
        <v>7.91</v>
      </c>
      <c r="E10" s="110" t="n">
        <f aca="false">SUMIFS('مشتريات يومية'!$D$2:$D$4001,'مشتريات يومية'!$B$2:$B$4001,$B$2,'مشتريات يومية'!$C$2:$C$4001,$A10,'مشتريات يومية'!$A$2:$A$4001,"&gt;="&amp;'إعدادات المخزون'!$B$5,'مشتريات يومية'!$A$2:$A$4001,"&lt;="&amp;'إعدادات المخزون'!$B$4)</f>
        <v>25</v>
      </c>
      <c r="F10" s="110" t="n">
        <f aca="false">SUMIFS('هالك وتحويلات'!$E$2:$E$3001,'هالك وتحويلات'!$B$2:$B$3001,$B$2,'هالك وتحويلات'!$C$2:$C$3001,$A10,'هالك وتحويلات'!$D$2:$D$3001,"تحويل وارد",'هالك وتحويلات'!$A$2:$A$3001,"&gt;="&amp;'إعدادات المخزون'!$B$5,'هالك وتحويلات'!$A$2:$A$3001,"&lt;="&amp;'إعدادات المخزون'!$B$4)</f>
        <v>0</v>
      </c>
      <c r="G10" s="110" t="n">
        <f aca="false">SUMIFS('هالك وتحويلات'!$E$2:$E$3001,'هالك وتحويلات'!$B$2:$B$3001,$B$2,'هالك وتحويلات'!$C$2:$C$3001,$A10,'هالك وتحويلات'!$D$2:$D$3001,"تحويل صادر",'هالك وتحويلات'!$A$2:$A$3001,"&gt;="&amp;'إعدادات المخزون'!$B$5,'هالك وتحويلات'!$A$2:$A$3001,"&lt;="&amp;'إعدادات المخزون'!$B$4)</f>
        <v>0</v>
      </c>
      <c r="H10" s="110" t="n">
        <f aca="false">SUMPRODUCT('مصفوفة الاستهلاك'!$E$2:$E$190,'متجهات المبيعات'!$F$2:$F$190)/'مواد المخزون'!$D$5</f>
        <v>14.259984</v>
      </c>
      <c r="I10" s="110" t="n">
        <f aca="false">SUMIFS('هالك وتحويلات'!$E$2:$E$3001,'هالك وتحويلات'!$B$2:$B$3001,$B$2,'هالك وتحويلات'!$C$2:$C$3001,$A10,'هالك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وتحويلات'!$C$2:$C$3001,$A10,'هالك وتحويلات'!$D$2:$D$3001,"ضيافة / أكل موظفين",'هالك وتحويلات'!$A$2:$A$3001,"&gt;="&amp;'إعدادات المخزون'!$B$5,'هالك وتحويلات'!$A$2:$A$3001,"&lt;="&amp;'إعدادات المخزون'!$B$4)</f>
        <v>0</v>
      </c>
      <c r="J10" s="110" t="n">
        <f aca="false">D10+E10+F10-G10-H10-I10</f>
        <v>18.650016</v>
      </c>
      <c r="K10" s="36" t="str">
        <f aca="false">IF(COUNTIFS('جرد فعلي'!$B$2:$B$12001,$B$2,'جرد فعلي'!$C$2:$C$12001,$A10,'جرد فعلي'!$A$2:$A$12001,'إعدادات المخزون'!$B$4)&gt;0,"نعم","لا")</f>
        <v>لا</v>
      </c>
      <c r="L10" s="111" t="str">
        <f aca="false">IF(K10="نعم",SUMIFS('جرد فعلي'!$D$2:$D$12001,'جرد فعلي'!$B$2:$B$12001,$B$2,'جرد فعلي'!$C$2:$C$12001,$A10,'جرد فعلي'!$A$2:$A$12001,'إعدادات المخزون'!$B$4),"")</f>
        <v/>
      </c>
      <c r="M10" s="110" t="str">
        <f aca="false">IF(K10="نعم",L10-J10,"")</f>
        <v/>
      </c>
      <c r="N10" s="112" t="str">
        <f aca="false">IF(K10="نعم",IF(J10=0,IF(M10=0,0,SIGN(M10)),M10/ABS(J10)),"")</f>
        <v/>
      </c>
      <c r="O10" s="109" t="str">
        <f aca="false">IF(K10="نعم",M10*C10,"")</f>
        <v/>
      </c>
      <c r="P10" s="36" t="str">
        <f aca="false">IF(K10&lt;&gt;"نعم","لم يُجرد",IF(ABS(N10)&lt;='إعدادات المخزون'!$B$7,"مطابق",IF(M10&lt;0,"عجز","زيادة")))</f>
        <v>لم يُجرد</v>
      </c>
      <c r="Q10" s="110" t="n">
        <f aca="false">J10-Z10</f>
        <v>19.838348</v>
      </c>
      <c r="R10" s="110" t="str">
        <f aca="false">IF(COUNTIFS('جرد فعلي'!$B$2:$B$12001,$B$2,'جرد فعلي'!$C$2:$C$12001,$A10,'جرد فعلي'!$A$2:$A$12001,'إعدادات المخزون'!$B$4-1)&gt;0,SUMIFS('جرد فعلي'!$D$2:$D$12001,'جرد فعلي'!$B$2:$B$12001,$B$2,'جرد فعلي'!$C$2:$C$12001,$A10,'جرد فعلي'!$A$2:$A$12001,'إعدادات المخزون'!$B$4-1),"")</f>
        <v/>
      </c>
      <c r="S10" s="110" t="str">
        <f aca="false">IF(AND(K10="نعم",R10&lt;&gt;""),(L10-J10)-(R10-Q10),"")</f>
        <v/>
      </c>
      <c r="T10" s="109" t="str">
        <f aca="false">IF(S10="","",S10*C10)</f>
        <v/>
      </c>
      <c r="U10" s="110" t="n">
        <f aca="false">IF(K10="نعم",L10,J10)</f>
        <v>18.650016</v>
      </c>
      <c r="V10" s="110" t="n">
        <f aca="false">SUMPRODUCT('مصفوفة الاستهلاك'!$E$2:$E$190,'متجهات المبيعات'!$G$2:$G$190)/'مواد المخزون'!$D$5/MAX(1,MIN('إعدادات المخزون'!$B$11,'إعدادات المخزون'!$B$4-'إعدادات المخزون'!$B$5+1))</f>
        <v>1.188332</v>
      </c>
      <c r="W10" s="110" t="n">
        <f aca="false">IF(V10&lt;=0,0,ROUNDUP(MAX(0,V10*('إعدادات المخزون'!$B$8+'إعدادات المخزون'!$B$9+'إعدادات المخزون'!$B$10)-MAX(U10,0))/'مواد المخزون'!$F5,0)*'مواد المخزون'!$F5)</f>
        <v>0</v>
      </c>
      <c r="X10" s="109" t="n">
        <f aca="false">IF(AND(K10="نعم",O10&lt;0),-O10+ROW()*0.000000001,0)</f>
        <v>0</v>
      </c>
      <c r="Y10" s="109" t="n">
        <f aca="false">IF(AND(K10="نعم",O10&gt;0),O10+ROW()*0.000000001,0)</f>
        <v>0</v>
      </c>
      <c r="Z10" s="110" t="n">
        <f aca="false">SUMIFS('مشتريات يومية'!$D$2:$D$4001,'مشتريات يومية'!$B$2:$B$4001,$B$2,'مشتريات يومية'!$C$2:$C$4001,$A10,'مشتريات يومية'!$A$2:$A$4001,'إعدادات المخزون'!$B$4)+SUMIFS('هالك وتحويلات'!$E$2:$E$3001,'هالك وتحويلات'!$B$2:$B$3001,$B$2,'هالك وتحويلات'!$C$2:$C$3001,$A10,'هالك وتحويلات'!$D$2:$D$3001,"تحويل وارد",'هالك وتحويلات'!$A$2:$A$3001,'إعدادات المخزون'!$B$4)-SUMIFS('هالك وتحويلات'!$E$2:$E$3001,'هالك وتحويلات'!$B$2:$B$3001,$B$2,'هالك وتحويلات'!$C$2:$C$3001,$A10,'هالك وتحويلات'!$D$2:$D$3001,"تحويل صادر",'هالك وتحويلات'!$A$2:$A$3001,'إعدادات المخزون'!$B$4)-SUMIFS('هالك وتحويلات'!$E$2:$E$3001,'هالك وتحويلات'!$B$2:$B$3001,$B$2,'هالك وتحويلات'!$C$2:$C$3001,$A10,'هالك وتحويلات'!$D$2:$D$3001,"هالك",'هالك وتحويلات'!$A$2:$A$3001,'إعدادات المخزون'!$B$4)-SUMIFS('هالك وتحويلات'!$E$2:$E$3001,'هالك وتحويلات'!$B$2:$B$3001,$B$2,'هالك وتحويلات'!$C$2:$C$3001,$A10,'هالك وتحويلات'!$D$2:$D$3001,"ضيافة / أكل موظفين",'هالك وتحويلات'!$A$2:$A$3001,'إعدادات المخزون'!$B$4)-SUMPRODUCT('مصفوفة الاستهلاك'!$E$2:$E$190,'متجهات المبيعات'!$E$2:$E$190)/'مواد المخزون'!$D$5</f>
        <v>-1.188332</v>
      </c>
      <c r="AA10" s="109" t="n">
        <f aca="false">IF(K10="نعم",O10,0)</f>
        <v>0</v>
      </c>
      <c r="AB10" s="109" t="n">
        <f aca="false">IF(K10="نعم",J10*C10,0)</f>
        <v>0</v>
      </c>
      <c r="AC10" s="109" t="n">
        <f aca="false">IF(T10="",0,T10)</f>
        <v>0</v>
      </c>
    </row>
    <row r="11" customFormat="false" ht="15" hidden="false" customHeight="false" outlineLevel="0" collapsed="false">
      <c r="A11" s="34" t="str">
        <f aca="false">'مواد المخزون'!A6</f>
        <v>برجر 100 جرام</v>
      </c>
      <c r="B11" s="36" t="str">
        <f aca="false">'مواد المخزون'!B6</f>
        <v>قطعة</v>
      </c>
      <c r="C11" s="109" t="n">
        <f aca="false">'مواد المخزون'!E6</f>
        <v>18</v>
      </c>
      <c r="D11" s="110" t="n">
        <f aca="false">'جرد أول المدة'!D9</f>
        <v>54</v>
      </c>
      <c r="E11" s="110" t="n">
        <f aca="false">SUMIFS('مشتريات يومية'!$D$2:$D$4001,'مشتريات يومية'!$B$2:$B$4001,$B$2,'مشتريات يومية'!$C$2:$C$4001,$A11,'مشتريات يومية'!$A$2:$A$4001,"&gt;="&amp;'إعدادات المخزون'!$B$5,'مشتريات يومية'!$A$2:$A$4001,"&lt;="&amp;'إعدادات المخزون'!$B$4)</f>
        <v>215</v>
      </c>
      <c r="F11" s="110" t="n">
        <f aca="false">SUMIFS('هالك وتحويلات'!$E$2:$E$3001,'هالك وتحويلات'!$B$2:$B$3001,$B$2,'هالك وتحويلات'!$C$2:$C$3001,$A11,'هالك وتحويلات'!$D$2:$D$3001,"تحويل وارد",'هالك وتحويلات'!$A$2:$A$3001,"&gt;="&amp;'إعدادات المخزون'!$B$5,'هالك وتحويلات'!$A$2:$A$3001,"&lt;="&amp;'إعدادات المخزون'!$B$4)</f>
        <v>0</v>
      </c>
      <c r="G11" s="110" t="n">
        <f aca="false">SUMIFS('هالك وتحويلات'!$E$2:$E$3001,'هالك وتحويلات'!$B$2:$B$3001,$B$2,'هالك وتحويلات'!$C$2:$C$3001,$A11,'هالك وتحويلات'!$D$2:$D$3001,"تحويل صادر",'هالك وتحويلات'!$A$2:$A$3001,"&gt;="&amp;'إعدادات المخزون'!$B$5,'هالك وتحويلات'!$A$2:$A$3001,"&lt;="&amp;'إعدادات المخزون'!$B$4)</f>
        <v>0</v>
      </c>
      <c r="H11" s="110" t="n">
        <f aca="false">SUMPRODUCT('مصفوفة الاستهلاك'!$F$2:$F$190,'متجهات المبيعات'!$F$2:$F$190)/'مواد المخزون'!$D$6</f>
        <v>204.9996</v>
      </c>
      <c r="I11" s="110" t="n">
        <f aca="false">SUMIFS('هالك وتحويلات'!$E$2:$E$3001,'هالك وتحويلات'!$B$2:$B$3001,$B$2,'هالك وتحويلات'!$C$2:$C$3001,$A11,'هالك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وتحويلات'!$C$2:$C$3001,$A11,'هالك وتحويلات'!$D$2:$D$3001,"ضيافة / أكل موظفين",'هالك وتحويلات'!$A$2:$A$3001,"&gt;="&amp;'إعدادات المخزون'!$B$5,'هالك وتحويلات'!$A$2:$A$3001,"&lt;="&amp;'إعدادات المخزون'!$B$4)</f>
        <v>0</v>
      </c>
      <c r="J11" s="110" t="n">
        <f aca="false">D11+E11+F11-G11-H11-I11</f>
        <v>64.0004</v>
      </c>
      <c r="K11" s="36" t="str">
        <f aca="false">IF(COUNTIFS('جرد فعلي'!$B$2:$B$12001,$B$2,'جرد فعلي'!$C$2:$C$12001,$A11,'جرد فعلي'!$A$2:$A$12001,'إعدادات المخزون'!$B$4)&gt;0,"نعم","لا")</f>
        <v>لا</v>
      </c>
      <c r="L11" s="111" t="str">
        <f aca="false">IF(K11="نعم",SUMIFS('جرد فعلي'!$D$2:$D$12001,'جرد فعلي'!$B$2:$B$12001,$B$2,'جرد فعلي'!$C$2:$C$12001,$A11,'جرد فعلي'!$A$2:$A$12001,'إعدادات المخزون'!$B$4),"")</f>
        <v/>
      </c>
      <c r="M11" s="110" t="str">
        <f aca="false">IF(K11="نعم",L11-J11,"")</f>
        <v/>
      </c>
      <c r="N11" s="112" t="str">
        <f aca="false">IF(K11="نعم",IF(J11=0,IF(M11=0,0,SIGN(M11)),M11/ABS(J11)),"")</f>
        <v/>
      </c>
      <c r="O11" s="109" t="str">
        <f aca="false">IF(K11="نعم",M11*C11,"")</f>
        <v/>
      </c>
      <c r="P11" s="36" t="str">
        <f aca="false">IF(K11&lt;&gt;"نعم","لم يُجرد",IF(ABS(N11)&lt;='إعدادات المخزون'!$B$7,"مطابق",IF(M11&lt;0,"عجز","زيادة")))</f>
        <v>لم يُجرد</v>
      </c>
      <c r="Q11" s="110" t="n">
        <f aca="false">J11-Z11</f>
        <v>81.0837</v>
      </c>
      <c r="R11" s="110" t="str">
        <f aca="false">IF(COUNTIFS('جرد فعلي'!$B$2:$B$12001,$B$2,'جرد فعلي'!$C$2:$C$12001,$A11,'جرد فعلي'!$A$2:$A$12001,'إعدادات المخزون'!$B$4-1)&gt;0,SUMIFS('جرد فعلي'!$D$2:$D$12001,'جرد فعلي'!$B$2:$B$12001,$B$2,'جرد فعلي'!$C$2:$C$12001,$A11,'جرد فعلي'!$A$2:$A$12001,'إعدادات المخزون'!$B$4-1),"")</f>
        <v/>
      </c>
      <c r="S11" s="110" t="str">
        <f aca="false">IF(AND(K11="نعم",R11&lt;&gt;""),(L11-J11)-(R11-Q11),"")</f>
        <v/>
      </c>
      <c r="T11" s="109" t="str">
        <f aca="false">IF(S11="","",S11*C11)</f>
        <v/>
      </c>
      <c r="U11" s="110" t="n">
        <f aca="false">IF(K11="نعم",L11,J11)</f>
        <v>64.0004</v>
      </c>
      <c r="V11" s="110" t="n">
        <f aca="false">SUMPRODUCT('مصفوفة الاستهلاك'!$F$2:$F$190,'متجهات المبيعات'!$G$2:$G$190)/'مواد المخزون'!$D$6/MAX(1,MIN('إعدادات المخزون'!$B$11,'إعدادات المخزون'!$B$4-'إعدادات المخزون'!$B$5+1))</f>
        <v>17.0833</v>
      </c>
      <c r="W11" s="110" t="n">
        <f aca="false">IF(V11&lt;=0,0,ROUNDUP(MAX(0,V11*('إعدادات المخزون'!$B$8+'إعدادات المخزون'!$B$9+'إعدادات المخزون'!$B$10)-MAX(U11,0))/'مواد المخزون'!$F6,0)*'مواد المخزون'!$F6)</f>
        <v>5</v>
      </c>
      <c r="X11" s="109" t="n">
        <f aca="false">IF(AND(K11="نعم",O11&lt;0),-O11+ROW()*0.000000001,0)</f>
        <v>0</v>
      </c>
      <c r="Y11" s="109" t="n">
        <f aca="false">IF(AND(K11="نعم",O11&gt;0),O11+ROW()*0.000000001,0)</f>
        <v>0</v>
      </c>
      <c r="Z11" s="110" t="n">
        <f aca="false">SUMIFS('مشتريات يومية'!$D$2:$D$4001,'مشتريات يومية'!$B$2:$B$4001,$B$2,'مشتريات يومية'!$C$2:$C$4001,$A11,'مشتريات يومية'!$A$2:$A$4001,'إعدادات المخزون'!$B$4)+SUMIFS('هالك وتحويلات'!$E$2:$E$3001,'هالك وتحويلات'!$B$2:$B$3001,$B$2,'هالك وتحويلات'!$C$2:$C$3001,$A11,'هالك وتحويلات'!$D$2:$D$3001,"تحويل وارد",'هالك وتحويلات'!$A$2:$A$3001,'إعدادات المخزون'!$B$4)-SUMIFS('هالك وتحويلات'!$E$2:$E$3001,'هالك وتحويلات'!$B$2:$B$3001,$B$2,'هالك وتحويلات'!$C$2:$C$3001,$A11,'هالك وتحويلات'!$D$2:$D$3001,"تحويل صادر",'هالك وتحويلات'!$A$2:$A$3001,'إعدادات المخزون'!$B$4)-SUMIFS('هالك وتحويلات'!$E$2:$E$3001,'هالك وتحويلات'!$B$2:$B$3001,$B$2,'هالك وتحويلات'!$C$2:$C$3001,$A11,'هالك وتحويلات'!$D$2:$D$3001,"هالك",'هالك وتحويلات'!$A$2:$A$3001,'إعدادات المخزون'!$B$4)-SUMIFS('هالك وتحويلات'!$E$2:$E$3001,'هالك وتحويلات'!$B$2:$B$3001,$B$2,'هالك وتحويلات'!$C$2:$C$3001,$A11,'هالك وتحويلات'!$D$2:$D$3001,"ضيافة / أكل موظفين",'هالك وتحويلات'!$A$2:$A$3001,'إعدادات المخزون'!$B$4)-SUMPRODUCT('مصفوفة الاستهلاك'!$F$2:$F$190,'متجهات المبيعات'!$E$2:$E$190)/'مواد المخزون'!$D$6</f>
        <v>-17.0833</v>
      </c>
      <c r="AA11" s="109" t="n">
        <f aca="false">IF(K11="نعم",O11,0)</f>
        <v>0</v>
      </c>
      <c r="AB11" s="109" t="n">
        <f aca="false">IF(K11="نعم",J11*C11,0)</f>
        <v>0</v>
      </c>
      <c r="AC11" s="109" t="n">
        <f aca="false">IF(T11="",0,T11)</f>
        <v>0</v>
      </c>
    </row>
    <row r="12" customFormat="false" ht="15" hidden="false" customHeight="false" outlineLevel="0" collapsed="false">
      <c r="A12" s="34" t="str">
        <f aca="false">'مواد المخزون'!A7</f>
        <v>برسيون بسطرمة صغير</v>
      </c>
      <c r="B12" s="36" t="str">
        <f aca="false">'مواد المخزون'!B7</f>
        <v>قطعة</v>
      </c>
      <c r="C12" s="109" t="n">
        <f aca="false">'مواد المخزون'!E7</f>
        <v>35</v>
      </c>
      <c r="D12" s="110" t="n">
        <f aca="false">'جرد أول المدة'!D10</f>
        <v>26</v>
      </c>
      <c r="E12" s="110" t="n">
        <f aca="false">SUMIFS('مشتريات يومية'!$D$2:$D$4001,'مشتريات يومية'!$B$2:$B$4001,$B$2,'مشتريات يومية'!$C$2:$C$4001,$A12,'مشتريات يومية'!$A$2:$A$4001,"&gt;="&amp;'إعدادات المخزون'!$B$5,'مشتريات يومية'!$A$2:$A$4001,"&lt;="&amp;'إعدادات المخزون'!$B$4)</f>
        <v>410</v>
      </c>
      <c r="F12" s="110" t="n">
        <f aca="false">SUMIFS('هالك وتحويلات'!$E$2:$E$3001,'هالك وتحويلات'!$B$2:$B$3001,$B$2,'هالك وتحويلات'!$C$2:$C$3001,$A12,'هالك وتحويلات'!$D$2:$D$3001,"تحويل وارد",'هالك وتحويلات'!$A$2:$A$3001,"&gt;="&amp;'إعدادات المخزون'!$B$5,'هالك وتحويلات'!$A$2:$A$3001,"&lt;="&amp;'إعدادات المخزون'!$B$4)</f>
        <v>0</v>
      </c>
      <c r="G12" s="110" t="n">
        <f aca="false">SUMIFS('هالك وتحويلات'!$E$2:$E$3001,'هالك وتحويلات'!$B$2:$B$3001,$B$2,'هالك وتحويلات'!$C$2:$C$3001,$A12,'هالك وتحويلات'!$D$2:$D$3001,"تحويل صادر",'هالك وتحويلات'!$A$2:$A$3001,"&gt;="&amp;'إعدادات المخزون'!$B$5,'هالك وتحويلات'!$A$2:$A$3001,"&lt;="&amp;'إعدادات المخزون'!$B$4)</f>
        <v>0</v>
      </c>
      <c r="H12" s="110" t="n">
        <f aca="false">SUMPRODUCT('مصفوفة الاستهلاك'!$G$2:$G$190,'متجهات المبيعات'!$F$2:$F$190)/'مواد المخزون'!$D$7</f>
        <v>408.9996</v>
      </c>
      <c r="I12" s="110" t="n">
        <f aca="false">SUMIFS('هالك وتحويلات'!$E$2:$E$3001,'هالك وتحويلات'!$B$2:$B$3001,$B$2,'هالك وتحويلات'!$C$2:$C$3001,$A12,'هالك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وتحويلات'!$C$2:$C$3001,$A12,'هالك وتحويلات'!$D$2:$D$3001,"ضيافة / أكل موظفين",'هالك وتحويلات'!$A$2:$A$3001,"&gt;="&amp;'إعدادات المخزون'!$B$5,'هالك وتحويلات'!$A$2:$A$3001,"&lt;="&amp;'إعدادات المخزون'!$B$4)</f>
        <v>0</v>
      </c>
      <c r="J12" s="110" t="n">
        <f aca="false">D12+E12+F12-G12-H12-I12</f>
        <v>27.0004</v>
      </c>
      <c r="K12" s="36" t="str">
        <f aca="false">IF(COUNTIFS('جرد فعلي'!$B$2:$B$12001,$B$2,'جرد فعلي'!$C$2:$C$12001,$A12,'جرد فعلي'!$A$2:$A$12001,'إعدادات المخزون'!$B$4)&gt;0,"نعم","لا")</f>
        <v>لا</v>
      </c>
      <c r="L12" s="111" t="str">
        <f aca="false">IF(K12="نعم",SUMIFS('جرد فعلي'!$D$2:$D$12001,'جرد فعلي'!$B$2:$B$12001,$B$2,'جرد فعلي'!$C$2:$C$12001,$A12,'جرد فعلي'!$A$2:$A$12001,'إعدادات المخزون'!$B$4),"")</f>
        <v/>
      </c>
      <c r="M12" s="110" t="str">
        <f aca="false">IF(K12="نعم",L12-J12,"")</f>
        <v/>
      </c>
      <c r="N12" s="112" t="str">
        <f aca="false">IF(K12="نعم",IF(J12=0,IF(M12=0,0,SIGN(M12)),M12/ABS(J12)),"")</f>
        <v/>
      </c>
      <c r="O12" s="109" t="str">
        <f aca="false">IF(K12="نعم",M12*C12,"")</f>
        <v/>
      </c>
      <c r="P12" s="36" t="str">
        <f aca="false">IF(K12&lt;&gt;"نعم","لم يُجرد",IF(ABS(N12)&lt;='إعدادات المخزون'!$B$7,"مطابق",IF(M12&lt;0,"عجز","زيادة")))</f>
        <v>لم يُجرد</v>
      </c>
      <c r="Q12" s="110" t="n">
        <f aca="false">J12-Z12</f>
        <v>61.0837</v>
      </c>
      <c r="R12" s="110" t="str">
        <f aca="false">IF(COUNTIFS('جرد فعلي'!$B$2:$B$12001,$B$2,'جرد فعلي'!$C$2:$C$12001,$A12,'جرد فعلي'!$A$2:$A$12001,'إعدادات المخزون'!$B$4-1)&gt;0,SUMIFS('جرد فعلي'!$D$2:$D$12001,'جرد فعلي'!$B$2:$B$12001,$B$2,'جرد فعلي'!$C$2:$C$12001,$A12,'جرد فعلي'!$A$2:$A$12001,'إعدادات المخزون'!$B$4-1),"")</f>
        <v/>
      </c>
      <c r="S12" s="110" t="str">
        <f aca="false">IF(AND(K12="نعم",R12&lt;&gt;""),(L12-J12)-(R12-Q12),"")</f>
        <v/>
      </c>
      <c r="T12" s="109" t="str">
        <f aca="false">IF(S12="","",S12*C12)</f>
        <v/>
      </c>
      <c r="U12" s="110" t="n">
        <f aca="false">IF(K12="نعم",L12,J12)</f>
        <v>27.0004</v>
      </c>
      <c r="V12" s="110" t="n">
        <f aca="false">SUMPRODUCT('مصفوفة الاستهلاك'!$G$2:$G$190,'متجهات المبيعات'!$G$2:$G$190)/'مواد المخزون'!$D$7/MAX(1,MIN('إعدادات المخزون'!$B$11,'إعدادات المخزون'!$B$4-'إعدادات المخزون'!$B$5+1))</f>
        <v>34.0833</v>
      </c>
      <c r="W12" s="110" t="n">
        <f aca="false">IF(V12&lt;=0,0,ROUNDUP(MAX(0,V12*('إعدادات المخزون'!$B$8+'إعدادات المخزون'!$B$9+'إعدادات المخزون'!$B$10)-MAX(U12,0))/'مواد المخزون'!$F7,0)*'مواد المخزون'!$F7)</f>
        <v>110</v>
      </c>
      <c r="X12" s="109" t="n">
        <f aca="false">IF(AND(K12="نعم",O12&lt;0),-O12+ROW()*0.000000001,0)</f>
        <v>0</v>
      </c>
      <c r="Y12" s="109" t="n">
        <f aca="false">IF(AND(K12="نعم",O12&gt;0),O12+ROW()*0.000000001,0)</f>
        <v>0</v>
      </c>
      <c r="Z12" s="110" t="n">
        <f aca="false">SUMIFS('مشتريات يومية'!$D$2:$D$4001,'مشتريات يومية'!$B$2:$B$4001,$B$2,'مشتريات يومية'!$C$2:$C$4001,$A12,'مشتريات يومية'!$A$2:$A$4001,'إعدادات المخزون'!$B$4)+SUMIFS('هالك وتحويلات'!$E$2:$E$3001,'هالك وتحويلات'!$B$2:$B$3001,$B$2,'هالك وتحويلات'!$C$2:$C$3001,$A12,'هالك وتحويلات'!$D$2:$D$3001,"تحويل وارد",'هالك وتحويلات'!$A$2:$A$3001,'إعدادات المخزون'!$B$4)-SUMIFS('هالك وتحويلات'!$E$2:$E$3001,'هالك وتحويلات'!$B$2:$B$3001,$B$2,'هالك وتحويلات'!$C$2:$C$3001,$A12,'هالك وتحويلات'!$D$2:$D$3001,"تحويل صادر",'هالك وتحويلات'!$A$2:$A$3001,'إعدادات المخزون'!$B$4)-SUMIFS('هالك وتحويلات'!$E$2:$E$3001,'هالك وتحويلات'!$B$2:$B$3001,$B$2,'هالك وتحويلات'!$C$2:$C$3001,$A12,'هالك وتحويلات'!$D$2:$D$3001,"هالك",'هالك وتحويلات'!$A$2:$A$3001,'إعدادات المخزون'!$B$4)-SUMIFS('هالك وتحويلات'!$E$2:$E$3001,'هالك وتحويلات'!$B$2:$B$3001,$B$2,'هالك وتحويلات'!$C$2:$C$3001,$A12,'هالك وتحويلات'!$D$2:$D$3001,"ضيافة / أكل موظفين",'هالك وتحويلات'!$A$2:$A$3001,'إعدادات المخزون'!$B$4)-SUMPRODUCT('مصفوفة الاستهلاك'!$G$2:$G$190,'متجهات المبيعات'!$E$2:$E$190)/'مواد المخزون'!$D$7</f>
        <v>-34.0833</v>
      </c>
      <c r="AA12" s="109" t="n">
        <f aca="false">IF(K12="نعم",O12,0)</f>
        <v>0</v>
      </c>
      <c r="AB12" s="109" t="n">
        <f aca="false">IF(K12="نعم",J12*C12,0)</f>
        <v>0</v>
      </c>
      <c r="AC12" s="109" t="n">
        <f aca="false">IF(T12="",0,T12)</f>
        <v>0</v>
      </c>
    </row>
    <row r="13" customFormat="false" ht="15" hidden="false" customHeight="false" outlineLevel="0" collapsed="false">
      <c r="A13" s="34" t="str">
        <f aca="false">'مواد المخزون'!A8</f>
        <v>برسيون بسطرمة كبير</v>
      </c>
      <c r="B13" s="36" t="str">
        <f aca="false">'مواد المخزون'!B8</f>
        <v>قطعة</v>
      </c>
      <c r="C13" s="109" t="n">
        <f aca="false">'مواد المخزون'!E8</f>
        <v>46.6667</v>
      </c>
      <c r="D13" s="110" t="n">
        <f aca="false">'جرد أول المدة'!D11</f>
        <v>35.5</v>
      </c>
      <c r="E13" s="110" t="n">
        <f aca="false">SUMIFS('مشتريات يومية'!$D$2:$D$4001,'مشتريات يومية'!$B$2:$B$4001,$B$2,'مشتريات يومية'!$C$2:$C$4001,$A13,'مشتريات يومية'!$A$2:$A$4001,"&gt;="&amp;'إعدادات المخزون'!$B$5,'مشتريات يومية'!$A$2:$A$4001,"&lt;="&amp;'إعدادات المخزون'!$B$4)</f>
        <v>60</v>
      </c>
      <c r="F13" s="110" t="n">
        <f aca="false">SUMIFS('هالك وتحويلات'!$E$2:$E$3001,'هالك وتحويلات'!$B$2:$B$3001,$B$2,'هالك وتحويلات'!$C$2:$C$3001,$A13,'هالك وتحويلات'!$D$2:$D$3001,"تحويل وارد",'هالك وتحويلات'!$A$2:$A$3001,"&gt;="&amp;'إعدادات المخزون'!$B$5,'هالك وتحويلات'!$A$2:$A$3001,"&lt;="&amp;'إعدادات المخزون'!$B$4)</f>
        <v>0</v>
      </c>
      <c r="G13" s="110" t="n">
        <f aca="false">SUMIFS('هالك وتحويلات'!$E$2:$E$3001,'هالك وتحويلات'!$B$2:$B$3001,$B$2,'هالك وتحويلات'!$C$2:$C$3001,$A13,'هالك وتحويلات'!$D$2:$D$3001,"تحويل صادر",'هالك وتحويلات'!$A$2:$A$3001,"&gt;="&amp;'إعدادات المخزون'!$B$5,'هالك وتحويلات'!$A$2:$A$3001,"&lt;="&amp;'إعدادات المخزون'!$B$4)</f>
        <v>0</v>
      </c>
      <c r="H13" s="110" t="n">
        <f aca="false">SUMPRODUCT('مصفوفة الاستهلاك'!$H$2:$H$190,'متجهات المبيعات'!$F$2:$F$190)/'مواد المخزون'!$D$8</f>
        <v>61.5006</v>
      </c>
      <c r="I13" s="110" t="n">
        <f aca="false">SUMIFS('هالك وتحويلات'!$E$2:$E$3001,'هالك وتحويلات'!$B$2:$B$3001,$B$2,'هالك وتحويلات'!$C$2:$C$3001,$A13,'هالك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وتحويلات'!$C$2:$C$3001,$A13,'هالك وتحويلات'!$D$2:$D$3001,"ضيافة / أكل موظفين",'هالك وتحويلات'!$A$2:$A$3001,"&gt;="&amp;'إعدادات المخزون'!$B$5,'هالك وتحويلات'!$A$2:$A$3001,"&lt;="&amp;'إعدادات المخزون'!$B$4)</f>
        <v>0</v>
      </c>
      <c r="J13" s="110" t="n">
        <f aca="false">D13+E13+F13-G13-H13-I13</f>
        <v>33.9994</v>
      </c>
      <c r="K13" s="36" t="str">
        <f aca="false">IF(COUNTIFS('جرد فعلي'!$B$2:$B$12001,$B$2,'جرد فعلي'!$C$2:$C$12001,$A13,'جرد فعلي'!$A$2:$A$12001,'إعدادات المخزون'!$B$4)&gt;0,"نعم","لا")</f>
        <v>لا</v>
      </c>
      <c r="L13" s="111" t="str">
        <f aca="false">IF(K13="نعم",SUMIFS('جرد فعلي'!$D$2:$D$12001,'جرد فعلي'!$B$2:$B$12001,$B$2,'جرد فعلي'!$C$2:$C$12001,$A13,'جرد فعلي'!$A$2:$A$12001,'إعدادات المخزون'!$B$4),"")</f>
        <v/>
      </c>
      <c r="M13" s="110" t="str">
        <f aca="false">IF(K13="نعم",L13-J13,"")</f>
        <v/>
      </c>
      <c r="N13" s="112" t="str">
        <f aca="false">IF(K13="نعم",IF(J13=0,IF(M13=0,0,SIGN(M13)),M13/ABS(J13)),"")</f>
        <v/>
      </c>
      <c r="O13" s="109" t="str">
        <f aca="false">IF(K13="نعم",M13*C13,"")</f>
        <v/>
      </c>
      <c r="P13" s="36" t="str">
        <f aca="false">IF(K13&lt;&gt;"نعم","لم يُجرد",IF(ABS(N13)&lt;='إعدادات المخزون'!$B$7,"مطابق",IF(M13&lt;0,"عجز","زيادة")))</f>
        <v>لم يُجرد</v>
      </c>
      <c r="Q13" s="110" t="n">
        <f aca="false">J13-Z13</f>
        <v>39.12445</v>
      </c>
      <c r="R13" s="110" t="str">
        <f aca="false">IF(COUNTIFS('جرد فعلي'!$B$2:$B$12001,$B$2,'جرد فعلي'!$C$2:$C$12001,$A13,'جرد فعلي'!$A$2:$A$12001,'إعدادات المخزون'!$B$4-1)&gt;0,SUMIFS('جرد فعلي'!$D$2:$D$12001,'جرد فعلي'!$B$2:$B$12001,$B$2,'جرد فعلي'!$C$2:$C$12001,$A13,'جرد فعلي'!$A$2:$A$12001,'إعدادات المخزون'!$B$4-1),"")</f>
        <v/>
      </c>
      <c r="S13" s="110" t="str">
        <f aca="false">IF(AND(K13="نعم",R13&lt;&gt;""),(L13-J13)-(R13-Q13),"")</f>
        <v/>
      </c>
      <c r="T13" s="109" t="str">
        <f aca="false">IF(S13="","",S13*C13)</f>
        <v/>
      </c>
      <c r="U13" s="110" t="n">
        <f aca="false">IF(K13="نعم",L13,J13)</f>
        <v>33.9994</v>
      </c>
      <c r="V13" s="110" t="n">
        <f aca="false">SUMPRODUCT('مصفوفة الاستهلاك'!$H$2:$H$190,'متجهات المبيعات'!$G$2:$G$190)/'مواد المخزون'!$D$8/MAX(1,MIN('إعدادات المخزون'!$B$11,'إعدادات المخزون'!$B$4-'إعدادات المخزون'!$B$5+1))</f>
        <v>5.12505</v>
      </c>
      <c r="W13" s="110" t="n">
        <f aca="false">IF(V13&lt;=0,0,ROUNDUP(MAX(0,V13*('إعدادات المخزون'!$B$8+'إعدادات المخزون'!$B$9+'إعدادات المخزون'!$B$10)-MAX(U13,0))/'مواد المخزون'!$F8,0)*'مواد المخزون'!$F8)</f>
        <v>0</v>
      </c>
      <c r="X13" s="109" t="n">
        <f aca="false">IF(AND(K13="نعم",O13&lt;0),-O13+ROW()*0.000000001,0)</f>
        <v>0</v>
      </c>
      <c r="Y13" s="109" t="n">
        <f aca="false">IF(AND(K13="نعم",O13&gt;0),O13+ROW()*0.000000001,0)</f>
        <v>0</v>
      </c>
      <c r="Z13" s="110" t="n">
        <f aca="false">SUMIFS('مشتريات يومية'!$D$2:$D$4001,'مشتريات يومية'!$B$2:$B$4001,$B$2,'مشتريات يومية'!$C$2:$C$4001,$A13,'مشتريات يومية'!$A$2:$A$4001,'إعدادات المخزون'!$B$4)+SUMIFS('هالك وتحويلات'!$E$2:$E$3001,'هالك وتحويلات'!$B$2:$B$3001,$B$2,'هالك وتحويلات'!$C$2:$C$3001,$A13,'هالك وتحويلات'!$D$2:$D$3001,"تحويل وارد",'هالك وتحويلات'!$A$2:$A$3001,'إعدادات المخزون'!$B$4)-SUMIFS('هالك وتحويلات'!$E$2:$E$3001,'هالك وتحويلات'!$B$2:$B$3001,$B$2,'هالك وتحويلات'!$C$2:$C$3001,$A13,'هالك وتحويلات'!$D$2:$D$3001,"تحويل صادر",'هالك وتحويلات'!$A$2:$A$3001,'إعدادات المخزون'!$B$4)-SUMIFS('هالك وتحويلات'!$E$2:$E$3001,'هالك وتحويلات'!$B$2:$B$3001,$B$2,'هالك وتحويلات'!$C$2:$C$3001,$A13,'هالك وتحويلات'!$D$2:$D$3001,"هالك",'هالك وتحويلات'!$A$2:$A$3001,'إعدادات المخزون'!$B$4)-SUMIFS('هالك وتحويلات'!$E$2:$E$3001,'هالك وتحويلات'!$B$2:$B$3001,$B$2,'هالك وتحويلات'!$C$2:$C$3001,$A13,'هالك وتحويلات'!$D$2:$D$3001,"ضيافة / أكل موظفين",'هالك وتحويلات'!$A$2:$A$3001,'إعدادات المخزون'!$B$4)-SUMPRODUCT('مصفوفة الاستهلاك'!$H$2:$H$190,'متجهات المبيعات'!$E$2:$E$190)/'مواد المخزون'!$D$8</f>
        <v>-5.12505</v>
      </c>
      <c r="AA13" s="109" t="n">
        <f aca="false">IF(K13="نعم",O13,0)</f>
        <v>0</v>
      </c>
      <c r="AB13" s="109" t="n">
        <f aca="false">IF(K13="نعم",J13*C13,0)</f>
        <v>0</v>
      </c>
      <c r="AC13" s="109" t="n">
        <f aca="false">IF(T13="",0,T13)</f>
        <v>0</v>
      </c>
    </row>
    <row r="14" customFormat="false" ht="15" hidden="false" customHeight="false" outlineLevel="0" collapsed="false">
      <c r="A14" s="34" t="str">
        <f aca="false">'مواد المخزون'!A9</f>
        <v>برسيون بطاطس</v>
      </c>
      <c r="B14" s="36" t="str">
        <f aca="false">'مواد المخزون'!B9</f>
        <v>قطعة</v>
      </c>
      <c r="C14" s="109" t="n">
        <f aca="false">'مواد المخزون'!E9</f>
        <v>5.65</v>
      </c>
      <c r="D14" s="110" t="n">
        <f aca="false">'جرد أول المدة'!D12</f>
        <v>72</v>
      </c>
      <c r="E14" s="110" t="n">
        <f aca="false">SUMIFS('مشتريات يومية'!$D$2:$D$4001,'مشتريات يومية'!$B$2:$B$4001,$B$2,'مشتريات يومية'!$C$2:$C$4001,$A14,'مشتريات يومية'!$A$2:$A$4001,"&gt;="&amp;'إعدادات المخزون'!$B$5,'مشتريات يومية'!$A$2:$A$4001,"&lt;="&amp;'إعدادات المخزون'!$B$4)</f>
        <v>75</v>
      </c>
      <c r="F14" s="110" t="n">
        <f aca="false">SUMIFS('هالك وتحويلات'!$E$2:$E$3001,'هالك وتحويلات'!$B$2:$B$3001,$B$2,'هالك وتحويلات'!$C$2:$C$3001,$A14,'هالك وتحويلات'!$D$2:$D$3001,"تحويل وارد",'هالك وتحويلات'!$A$2:$A$3001,"&gt;="&amp;'إعدادات المخزون'!$B$5,'هالك وتحويلات'!$A$2:$A$3001,"&lt;="&amp;'إعدادات المخزون'!$B$4)</f>
        <v>0</v>
      </c>
      <c r="G14" s="110" t="n">
        <f aca="false">SUMIFS('هالك وتحويلات'!$E$2:$E$3001,'هالك وتحويلات'!$B$2:$B$3001,$B$2,'هالك وتحويلات'!$C$2:$C$3001,$A14,'هالك وتحويلات'!$D$2:$D$3001,"تحويل صادر",'هالك وتحويلات'!$A$2:$A$3001,"&gt;="&amp;'إعدادات المخزون'!$B$5,'هالك وتحويلات'!$A$2:$A$3001,"&lt;="&amp;'إعدادات المخزون'!$B$4)</f>
        <v>0</v>
      </c>
      <c r="H14" s="110" t="n">
        <f aca="false">SUMPRODUCT('مصفوفة الاستهلاك'!$I$2:$I$190,'متجهات المبيعات'!$F$2:$F$190)/'مواد المخزون'!$D$9</f>
        <v>39.5016</v>
      </c>
      <c r="I14" s="110" t="n">
        <f aca="false">SUMIFS('هالك وتحويلات'!$E$2:$E$3001,'هالك وتحويلات'!$B$2:$B$3001,$B$2,'هالك وتحويلات'!$C$2:$C$3001,$A14,'هالك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وتحويلات'!$C$2:$C$3001,$A14,'هالك وتحويلات'!$D$2:$D$3001,"ضيافة / أكل موظفين",'هالك وتحويلات'!$A$2:$A$3001,"&gt;="&amp;'إعدادات المخزون'!$B$5,'هالك وتحويلات'!$A$2:$A$3001,"&lt;="&amp;'إعدادات المخزون'!$B$4)</f>
        <v>0</v>
      </c>
      <c r="J14" s="110" t="n">
        <f aca="false">D14+E14+F14-G14-H14-I14</f>
        <v>107.4984</v>
      </c>
      <c r="K14" s="36" t="str">
        <f aca="false">IF(COUNTIFS('جرد فعلي'!$B$2:$B$12001,$B$2,'جرد فعلي'!$C$2:$C$12001,$A14,'جرد فعلي'!$A$2:$A$12001,'إعدادات المخزون'!$B$4)&gt;0,"نعم","لا")</f>
        <v>لا</v>
      </c>
      <c r="L14" s="111" t="str">
        <f aca="false">IF(K14="نعم",SUMIFS('جرد فعلي'!$D$2:$D$12001,'جرد فعلي'!$B$2:$B$12001,$B$2,'جرد فعلي'!$C$2:$C$12001,$A14,'جرد فعلي'!$A$2:$A$12001,'إعدادات المخزون'!$B$4),"")</f>
        <v/>
      </c>
      <c r="M14" s="110" t="str">
        <f aca="false">IF(K14="نعم",L14-J14,"")</f>
        <v/>
      </c>
      <c r="N14" s="112" t="str">
        <f aca="false">IF(K14="نعم",IF(J14=0,IF(M14=0,0,SIGN(M14)),M14/ABS(J14)),"")</f>
        <v/>
      </c>
      <c r="O14" s="109" t="str">
        <f aca="false">IF(K14="نعم",M14*C14,"")</f>
        <v/>
      </c>
      <c r="P14" s="36" t="str">
        <f aca="false">IF(K14&lt;&gt;"نعم","لم يُجرد",IF(ABS(N14)&lt;='إعدادات المخزون'!$B$7,"مطابق",IF(M14&lt;0,"عجز","زيادة")))</f>
        <v>لم يُجرد</v>
      </c>
      <c r="Q14" s="110" t="n">
        <f aca="false">J14-Z14</f>
        <v>110.7902</v>
      </c>
      <c r="R14" s="110" t="str">
        <f aca="false">IF(COUNTIFS('جرد فعلي'!$B$2:$B$12001,$B$2,'جرد فعلي'!$C$2:$C$12001,$A14,'جرد فعلي'!$A$2:$A$12001,'إعدادات المخزون'!$B$4-1)&gt;0,SUMIFS('جرد فعلي'!$D$2:$D$12001,'جرد فعلي'!$B$2:$B$12001,$B$2,'جرد فعلي'!$C$2:$C$12001,$A14,'جرد فعلي'!$A$2:$A$12001,'إعدادات المخزون'!$B$4-1),"")</f>
        <v/>
      </c>
      <c r="S14" s="110" t="str">
        <f aca="false">IF(AND(K14="نعم",R14&lt;&gt;""),(L14-J14)-(R14-Q14),"")</f>
        <v/>
      </c>
      <c r="T14" s="109" t="str">
        <f aca="false">IF(S14="","",S14*C14)</f>
        <v/>
      </c>
      <c r="U14" s="110" t="n">
        <f aca="false">IF(K14="نعم",L14,J14)</f>
        <v>107.4984</v>
      </c>
      <c r="V14" s="110" t="n">
        <f aca="false">SUMPRODUCT('مصفوفة الاستهلاك'!$I$2:$I$190,'متجهات المبيعات'!$G$2:$G$190)/'مواد المخزون'!$D$9/MAX(1,MIN('إعدادات المخزون'!$B$11,'إعدادات المخزون'!$B$4-'إعدادات المخزون'!$B$5+1))</f>
        <v>3.2918</v>
      </c>
      <c r="W14" s="110" t="n">
        <f aca="false">IF(V14&lt;=0,0,ROUNDUP(MAX(0,V14*('إعدادات المخزون'!$B$8+'إعدادات المخزون'!$B$9+'إعدادات المخزون'!$B$10)-MAX(U14,0))/'مواد المخزون'!$F9,0)*'مواد المخزون'!$F9)</f>
        <v>0</v>
      </c>
      <c r="X14" s="109" t="n">
        <f aca="false">IF(AND(K14="نعم",O14&lt;0),-O14+ROW()*0.000000001,0)</f>
        <v>0</v>
      </c>
      <c r="Y14" s="109" t="n">
        <f aca="false">IF(AND(K14="نعم",O14&gt;0),O14+ROW()*0.000000001,0)</f>
        <v>0</v>
      </c>
      <c r="Z14" s="110" t="n">
        <f aca="false">SUMIFS('مشتريات يومية'!$D$2:$D$4001,'مشتريات يومية'!$B$2:$B$4001,$B$2,'مشتريات يومية'!$C$2:$C$4001,$A14,'مشتريات يومية'!$A$2:$A$4001,'إعدادات المخزون'!$B$4)+SUMIFS('هالك وتحويلات'!$E$2:$E$3001,'هالك وتحويلات'!$B$2:$B$3001,$B$2,'هالك وتحويلات'!$C$2:$C$3001,$A14,'هالك وتحويلات'!$D$2:$D$3001,"تحويل وارد",'هالك وتحويلات'!$A$2:$A$3001,'إعدادات المخزون'!$B$4)-SUMIFS('هالك وتحويلات'!$E$2:$E$3001,'هالك وتحويلات'!$B$2:$B$3001,$B$2,'هالك وتحويلات'!$C$2:$C$3001,$A14,'هالك وتحويلات'!$D$2:$D$3001,"تحويل صادر",'هالك وتحويلات'!$A$2:$A$3001,'إعدادات المخزون'!$B$4)-SUMIFS('هالك وتحويلات'!$E$2:$E$3001,'هالك وتحويلات'!$B$2:$B$3001,$B$2,'هالك وتحويلات'!$C$2:$C$3001,$A14,'هالك وتحويلات'!$D$2:$D$3001,"هالك",'هالك وتحويلات'!$A$2:$A$3001,'إعدادات المخزون'!$B$4)-SUMIFS('هالك وتحويلات'!$E$2:$E$3001,'هالك وتحويلات'!$B$2:$B$3001,$B$2,'هالك وتحويلات'!$C$2:$C$3001,$A14,'هالك وتحويلات'!$D$2:$D$3001,"ضيافة / أكل موظفين",'هالك وتحويلات'!$A$2:$A$3001,'إعدادات المخزون'!$B$4)-SUMPRODUCT('مصفوفة الاستهلاك'!$I$2:$I$190,'متجهات المبيعات'!$E$2:$E$190)/'مواد المخزون'!$D$9</f>
        <v>-3.2918</v>
      </c>
      <c r="AA14" s="109" t="n">
        <f aca="false">IF(K14="نعم",O14,0)</f>
        <v>0</v>
      </c>
      <c r="AB14" s="109" t="n">
        <f aca="false">IF(K14="نعم",J14*C14,0)</f>
        <v>0</v>
      </c>
      <c r="AC14" s="109" t="n">
        <f aca="false">IF(T14="",0,T14)</f>
        <v>0</v>
      </c>
    </row>
    <row r="15" customFormat="false" ht="15" hidden="false" customHeight="false" outlineLevel="0" collapsed="false">
      <c r="A15" s="34" t="str">
        <f aca="false">'مواد المخزون'!A10</f>
        <v>برسيون جبنة رومي صغير</v>
      </c>
      <c r="B15" s="36" t="str">
        <f aca="false">'مواد المخزون'!B10</f>
        <v>قطعة</v>
      </c>
      <c r="C15" s="109" t="n">
        <f aca="false">'مواد المخزون'!E10</f>
        <v>9</v>
      </c>
      <c r="D15" s="110" t="n">
        <f aca="false">'جرد أول المدة'!D13</f>
        <v>2</v>
      </c>
      <c r="E15" s="110" t="n">
        <f aca="false">SUMIFS('مشتريات يومية'!$D$2:$D$4001,'مشتريات يومية'!$B$2:$B$4001,$B$2,'مشتريات يومية'!$C$2:$C$4001,$A15,'مشتريات يومية'!$A$2:$A$4001,"&gt;="&amp;'إعدادات المخزون'!$B$5,'مشتريات يومية'!$A$2:$A$4001,"&lt;="&amp;'إعدادات المخزون'!$B$4)</f>
        <v>600</v>
      </c>
      <c r="F15" s="110" t="n">
        <f aca="false">SUMIFS('هالك وتحويلات'!$E$2:$E$3001,'هالك وتحويلات'!$B$2:$B$3001,$B$2,'هالك وتحويلات'!$C$2:$C$3001,$A15,'هالك وتحويلات'!$D$2:$D$3001,"تحويل وارد",'هالك وتحويلات'!$A$2:$A$3001,"&gt;="&amp;'إعدادات المخزون'!$B$5,'هالك وتحويلات'!$A$2:$A$3001,"&lt;="&amp;'إعدادات المخزون'!$B$4)</f>
        <v>0</v>
      </c>
      <c r="G15" s="110" t="n">
        <f aca="false">SUMIFS('هالك وتحويلات'!$E$2:$E$3001,'هالك وتحويلات'!$B$2:$B$3001,$B$2,'هالك وتحويلات'!$C$2:$C$3001,$A15,'هالك وتحويلات'!$D$2:$D$3001,"تحويل صادر",'هالك وتحويلات'!$A$2:$A$3001,"&gt;="&amp;'إعدادات المخزون'!$B$5,'هالك وتحويلات'!$A$2:$A$3001,"&lt;="&amp;'إعدادات المخزون'!$B$4)</f>
        <v>0</v>
      </c>
      <c r="H15" s="110" t="n">
        <f aca="false">SUMPRODUCT('مصفوفة الاستهلاك'!$J$2:$J$190,'متجهات المبيعات'!$F$2:$F$190)/'مواد المخزون'!$D$10</f>
        <v>597.5016</v>
      </c>
      <c r="I15" s="110" t="n">
        <f aca="false">SUMIFS('هالك وتحويلات'!$E$2:$E$3001,'هالك وتحويلات'!$B$2:$B$3001,$B$2,'هالك وتحويلات'!$C$2:$C$3001,$A15,'هالك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وتحويلات'!$C$2:$C$3001,$A15,'هالك وتحويلات'!$D$2:$D$3001,"ضيافة / أكل موظفين",'هالك وتحويلات'!$A$2:$A$3001,"&gt;="&amp;'إعدادات المخزون'!$B$5,'هالك وتحويلات'!$A$2:$A$3001,"&lt;="&amp;'إعدادات المخزون'!$B$4)</f>
        <v>0</v>
      </c>
      <c r="J15" s="110" t="n">
        <f aca="false">D15+E15+F15-G15-H15-I15</f>
        <v>4.49839999999995</v>
      </c>
      <c r="K15" s="36" t="str">
        <f aca="false">IF(COUNTIFS('جرد فعلي'!$B$2:$B$12001,$B$2,'جرد فعلي'!$C$2:$C$12001,$A15,'جرد فعلي'!$A$2:$A$12001,'إعدادات المخزون'!$B$4)&gt;0,"نعم","لا")</f>
        <v>لا</v>
      </c>
      <c r="L15" s="111" t="str">
        <f aca="false">IF(K15="نعم",SUMIFS('جرد فعلي'!$D$2:$D$12001,'جرد فعلي'!$B$2:$B$12001,$B$2,'جرد فعلي'!$C$2:$C$12001,$A15,'جرد فعلي'!$A$2:$A$12001,'إعدادات المخزون'!$B$4),"")</f>
        <v/>
      </c>
      <c r="M15" s="110" t="str">
        <f aca="false">IF(K15="نعم",L15-J15,"")</f>
        <v/>
      </c>
      <c r="N15" s="112" t="str">
        <f aca="false">IF(K15="نعم",IF(J15=0,IF(M15=0,0,SIGN(M15)),M15/ABS(J15)),"")</f>
        <v/>
      </c>
      <c r="O15" s="109" t="str">
        <f aca="false">IF(K15="نعم",M15*C15,"")</f>
        <v/>
      </c>
      <c r="P15" s="36" t="str">
        <f aca="false">IF(K15&lt;&gt;"نعم","لم يُجرد",IF(ABS(N15)&lt;='إعدادات المخزون'!$B$7,"مطابق",IF(M15&lt;0,"عجز","زيادة")))</f>
        <v>لم يُجرد</v>
      </c>
      <c r="Q15" s="110" t="n">
        <f aca="false">J15-Z15</f>
        <v>54.2901999999999</v>
      </c>
      <c r="R15" s="110" t="str">
        <f aca="false">IF(COUNTIFS('جرد فعلي'!$B$2:$B$12001,$B$2,'جرد فعلي'!$C$2:$C$12001,$A15,'جرد فعلي'!$A$2:$A$12001,'إعدادات المخزون'!$B$4-1)&gt;0,SUMIFS('جرد فعلي'!$D$2:$D$12001,'جرد فعلي'!$B$2:$B$12001,$B$2,'جرد فعلي'!$C$2:$C$12001,$A15,'جرد فعلي'!$A$2:$A$12001,'إعدادات المخزون'!$B$4-1),"")</f>
        <v/>
      </c>
      <c r="S15" s="110" t="str">
        <f aca="false">IF(AND(K15="نعم",R15&lt;&gt;""),(L15-J15)-(R15-Q15),"")</f>
        <v/>
      </c>
      <c r="T15" s="109" t="str">
        <f aca="false">IF(S15="","",S15*C15)</f>
        <v/>
      </c>
      <c r="U15" s="110" t="n">
        <f aca="false">IF(K15="نعم",L15,J15)</f>
        <v>4.49839999999995</v>
      </c>
      <c r="V15" s="110" t="n">
        <f aca="false">SUMPRODUCT('مصفوفة الاستهلاك'!$J$2:$J$190,'متجهات المبيعات'!$G$2:$G$190)/'مواد المخزون'!$D$10/MAX(1,MIN('إعدادات المخزون'!$B$11,'إعدادات المخزون'!$B$4-'إعدادات المخزون'!$B$5+1))</f>
        <v>49.7918</v>
      </c>
      <c r="W15" s="110" t="n">
        <f aca="false">IF(V15&lt;=0,0,ROUNDUP(MAX(0,V15*('إعدادات المخزون'!$B$8+'إعدادات المخزون'!$B$9+'إعدادات المخزون'!$B$10)-MAX(U15,0))/'مواد المخزون'!$F10,0)*'مواد المخزون'!$F10)</f>
        <v>195</v>
      </c>
      <c r="X15" s="109" t="n">
        <f aca="false">IF(AND(K15="نعم",O15&lt;0),-O15+ROW()*0.000000001,0)</f>
        <v>0</v>
      </c>
      <c r="Y15" s="109" t="n">
        <f aca="false">IF(AND(K15="نعم",O15&gt;0),O15+ROW()*0.000000001,0)</f>
        <v>0</v>
      </c>
      <c r="Z15" s="110" t="n">
        <f aca="false">SUMIFS('مشتريات يومية'!$D$2:$D$4001,'مشتريات يومية'!$B$2:$B$4001,$B$2,'مشتريات يومية'!$C$2:$C$4001,$A15,'مشتريات يومية'!$A$2:$A$4001,'إعدادات المخزون'!$B$4)+SUMIFS('هالك وتحويلات'!$E$2:$E$3001,'هالك وتحويلات'!$B$2:$B$3001,$B$2,'هالك وتحويلات'!$C$2:$C$3001,$A15,'هالك وتحويلات'!$D$2:$D$3001,"تحويل وارد",'هالك وتحويلات'!$A$2:$A$3001,'إعدادات المخزون'!$B$4)-SUMIFS('هالك وتحويلات'!$E$2:$E$3001,'هالك وتحويلات'!$B$2:$B$3001,$B$2,'هالك وتحويلات'!$C$2:$C$3001,$A15,'هالك وتحويلات'!$D$2:$D$3001,"تحويل صادر",'هالك وتحويلات'!$A$2:$A$3001,'إعدادات المخزون'!$B$4)-SUMIFS('هالك وتحويلات'!$E$2:$E$3001,'هالك وتحويلات'!$B$2:$B$3001,$B$2,'هالك وتحويلات'!$C$2:$C$3001,$A15,'هالك وتحويلات'!$D$2:$D$3001,"هالك",'هالك وتحويلات'!$A$2:$A$3001,'إعدادات المخزون'!$B$4)-SUMIFS('هالك وتحويلات'!$E$2:$E$3001,'هالك وتحويلات'!$B$2:$B$3001,$B$2,'هالك وتحويلات'!$C$2:$C$3001,$A15,'هالك وتحويلات'!$D$2:$D$3001,"ضيافة / أكل موظفين",'هالك وتحويلات'!$A$2:$A$3001,'إعدادات المخزون'!$B$4)-SUMPRODUCT('مصفوفة الاستهلاك'!$J$2:$J$190,'متجهات المبيعات'!$E$2:$E$190)/'مواد المخزون'!$D$10</f>
        <v>-49.7918</v>
      </c>
      <c r="AA15" s="109" t="n">
        <f aca="false">IF(K15="نعم",O15,0)</f>
        <v>0</v>
      </c>
      <c r="AB15" s="109" t="n">
        <f aca="false">IF(K15="نعم",J15*C15,0)</f>
        <v>0</v>
      </c>
      <c r="AC15" s="109" t="n">
        <f aca="false">IF(T15="",0,T15)</f>
        <v>0</v>
      </c>
    </row>
    <row r="16" customFormat="false" ht="15" hidden="false" customHeight="false" outlineLevel="0" collapsed="false">
      <c r="A16" s="34" t="str">
        <f aca="false">'مواد المخزون'!A11</f>
        <v>برسيون جمبري صغير</v>
      </c>
      <c r="B16" s="36" t="str">
        <f aca="false">'مواد المخزون'!B11</f>
        <v>قطعة</v>
      </c>
      <c r="C16" s="109" t="n">
        <f aca="false">'مواد المخزون'!E11</f>
        <v>95</v>
      </c>
      <c r="D16" s="110" t="n">
        <f aca="false">'جرد أول المدة'!D14</f>
        <v>16.5</v>
      </c>
      <c r="E16" s="110" t="n">
        <f aca="false">SUMIFS('مشتريات يومية'!$D$2:$D$4001,'مشتريات يومية'!$B$2:$B$4001,$B$2,'مشتريات يومية'!$C$2:$C$4001,$A16,'مشتريات يومية'!$A$2:$A$4001,"&gt;="&amp;'إعدادات المخزون'!$B$5,'مشتريات يومية'!$A$2:$A$4001,"&lt;="&amp;'إعدادات المخزون'!$B$4)</f>
        <v>11</v>
      </c>
      <c r="F16" s="110" t="n">
        <f aca="false">SUMIFS('هالك وتحويلات'!$E$2:$E$3001,'هالك وتحويلات'!$B$2:$B$3001,$B$2,'هالك وتحويلات'!$C$2:$C$3001,$A16,'هالك وتحويلات'!$D$2:$D$3001,"تحويل وارد",'هالك وتحويلات'!$A$2:$A$3001,"&gt;="&amp;'إعدادات المخزون'!$B$5,'هالك وتحويلات'!$A$2:$A$3001,"&lt;="&amp;'إعدادات المخزون'!$B$4)</f>
        <v>0</v>
      </c>
      <c r="G16" s="110" t="n">
        <f aca="false">SUMIFS('هالك وتحويلات'!$E$2:$E$3001,'هالك وتحويلات'!$B$2:$B$3001,$B$2,'هالك وتحويلات'!$C$2:$C$3001,$A16,'هالك وتحويلات'!$D$2:$D$3001,"تحويل صادر",'هالك وتحويلات'!$A$2:$A$3001,"&gt;="&amp;'إعدادات المخزون'!$B$5,'هالك وتحويلات'!$A$2:$A$3001,"&lt;="&amp;'إعدادات المخزون'!$B$4)</f>
        <v>0</v>
      </c>
      <c r="H16" s="110" t="n">
        <f aca="false">SUMPRODUCT('مصفوفة الاستهلاك'!$K$2:$K$190,'متجهات المبيعات'!$F$2:$F$190)/'مواد المخزون'!$D$11</f>
        <v>15.5004</v>
      </c>
      <c r="I16" s="110" t="n">
        <f aca="false">SUMIFS('هالك وتحويلات'!$E$2:$E$3001,'هالك وتحويلات'!$B$2:$B$3001,$B$2,'هالك وتحويلات'!$C$2:$C$3001,$A16,'هالك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وتحويلات'!$C$2:$C$3001,$A16,'هالك وتحويلات'!$D$2:$D$3001,"ضيافة / أكل موظفين",'هالك وتحويلات'!$A$2:$A$3001,"&gt;="&amp;'إعدادات المخزون'!$B$5,'هالك وتحويلات'!$A$2:$A$3001,"&lt;="&amp;'إعدادات المخزون'!$B$4)</f>
        <v>0</v>
      </c>
      <c r="J16" s="110" t="n">
        <f aca="false">D16+E16+F16-G16-H16-I16</f>
        <v>11.9996</v>
      </c>
      <c r="K16" s="36" t="str">
        <f aca="false">IF(COUNTIFS('جرد فعلي'!$B$2:$B$12001,$B$2,'جرد فعلي'!$C$2:$C$12001,$A16,'جرد فعلي'!$A$2:$A$12001,'إعدادات المخزون'!$B$4)&gt;0,"نعم","لا")</f>
        <v>لا</v>
      </c>
      <c r="L16" s="111" t="str">
        <f aca="false">IF(K16="نعم",SUMIFS('جرد فعلي'!$D$2:$D$12001,'جرد فعلي'!$B$2:$B$12001,$B$2,'جرد فعلي'!$C$2:$C$12001,$A16,'جرد فعلي'!$A$2:$A$12001,'إعدادات المخزون'!$B$4),"")</f>
        <v/>
      </c>
      <c r="M16" s="110" t="str">
        <f aca="false">IF(K16="نعم",L16-J16,"")</f>
        <v/>
      </c>
      <c r="N16" s="112" t="str">
        <f aca="false">IF(K16="نعم",IF(J16=0,IF(M16=0,0,SIGN(M16)),M16/ABS(J16)),"")</f>
        <v/>
      </c>
      <c r="O16" s="109" t="str">
        <f aca="false">IF(K16="نعم",M16*C16,"")</f>
        <v/>
      </c>
      <c r="P16" s="36" t="str">
        <f aca="false">IF(K16&lt;&gt;"نعم","لم يُجرد",IF(ABS(N16)&lt;='إعدادات المخزون'!$B$7,"مطابق",IF(M16&lt;0,"عجز","زيادة")))</f>
        <v>لم يُجرد</v>
      </c>
      <c r="Q16" s="110" t="n">
        <f aca="false">J16-Z16</f>
        <v>13.2913</v>
      </c>
      <c r="R16" s="110" t="str">
        <f aca="false">IF(COUNTIFS('جرد فعلي'!$B$2:$B$12001,$B$2,'جرد فعلي'!$C$2:$C$12001,$A16,'جرد فعلي'!$A$2:$A$12001,'إعدادات المخزون'!$B$4-1)&gt;0,SUMIFS('جرد فعلي'!$D$2:$D$12001,'جرد فعلي'!$B$2:$B$12001,$B$2,'جرد فعلي'!$C$2:$C$12001,$A16,'جرد فعلي'!$A$2:$A$12001,'إعدادات المخزون'!$B$4-1),"")</f>
        <v/>
      </c>
      <c r="S16" s="110" t="str">
        <f aca="false">IF(AND(K16="نعم",R16&lt;&gt;""),(L16-J16)-(R16-Q16),"")</f>
        <v/>
      </c>
      <c r="T16" s="109" t="str">
        <f aca="false">IF(S16="","",S16*C16)</f>
        <v/>
      </c>
      <c r="U16" s="110" t="n">
        <f aca="false">IF(K16="نعم",L16,J16)</f>
        <v>11.9996</v>
      </c>
      <c r="V16" s="110" t="n">
        <f aca="false">SUMPRODUCT('مصفوفة الاستهلاك'!$K$2:$K$190,'متجهات المبيعات'!$G$2:$G$190)/'مواد المخزون'!$D$11/MAX(1,MIN('إعدادات المخزون'!$B$11,'إعدادات المخزون'!$B$4-'إعدادات المخزون'!$B$5+1))</f>
        <v>1.2917</v>
      </c>
      <c r="W16" s="110" t="n">
        <f aca="false">IF(V16&lt;=0,0,ROUNDUP(MAX(0,V16*('إعدادات المخزون'!$B$8+'إعدادات المخزون'!$B$9+'إعدادات المخزون'!$B$10)-MAX(U16,0))/'مواد المخزون'!$F11,0)*'مواد المخزون'!$F11)</f>
        <v>0</v>
      </c>
      <c r="X16" s="109" t="n">
        <f aca="false">IF(AND(K16="نعم",O16&lt;0),-O16+ROW()*0.000000001,0)</f>
        <v>0</v>
      </c>
      <c r="Y16" s="109" t="n">
        <f aca="false">IF(AND(K16="نعم",O16&gt;0),O16+ROW()*0.000000001,0)</f>
        <v>0</v>
      </c>
      <c r="Z16" s="110" t="n">
        <f aca="false">SUMIFS('مشتريات يومية'!$D$2:$D$4001,'مشتريات يومية'!$B$2:$B$4001,$B$2,'مشتريات يومية'!$C$2:$C$4001,$A16,'مشتريات يومية'!$A$2:$A$4001,'إعدادات المخزون'!$B$4)+SUMIFS('هالك وتحويلات'!$E$2:$E$3001,'هالك وتحويلات'!$B$2:$B$3001,$B$2,'هالك وتحويلات'!$C$2:$C$3001,$A16,'هالك وتحويلات'!$D$2:$D$3001,"تحويل وارد",'هالك وتحويلات'!$A$2:$A$3001,'إعدادات المخزون'!$B$4)-SUMIFS('هالك وتحويلات'!$E$2:$E$3001,'هالك وتحويلات'!$B$2:$B$3001,$B$2,'هالك وتحويلات'!$C$2:$C$3001,$A16,'هالك وتحويلات'!$D$2:$D$3001,"تحويل صادر",'هالك وتحويلات'!$A$2:$A$3001,'إعدادات المخزون'!$B$4)-SUMIFS('هالك وتحويلات'!$E$2:$E$3001,'هالك وتحويلات'!$B$2:$B$3001,$B$2,'هالك وتحويلات'!$C$2:$C$3001,$A16,'هالك وتحويلات'!$D$2:$D$3001,"هالك",'هالك وتحويلات'!$A$2:$A$3001,'إعدادات المخزون'!$B$4)-SUMIFS('هالك وتحويلات'!$E$2:$E$3001,'هالك وتحويلات'!$B$2:$B$3001,$B$2,'هالك وتحويلات'!$C$2:$C$3001,$A16,'هالك وتحويلات'!$D$2:$D$3001,"ضيافة / أكل موظفين",'هالك وتحويلات'!$A$2:$A$3001,'إعدادات المخزون'!$B$4)-SUMPRODUCT('مصفوفة الاستهلاك'!$K$2:$K$190,'متجهات المبيعات'!$E$2:$E$190)/'مواد المخزون'!$D$11</f>
        <v>-1.2917</v>
      </c>
      <c r="AA16" s="109" t="n">
        <f aca="false">IF(K16="نعم",O16,0)</f>
        <v>0</v>
      </c>
      <c r="AB16" s="109" t="n">
        <f aca="false">IF(K16="نعم",J16*C16,0)</f>
        <v>0</v>
      </c>
      <c r="AC16" s="109" t="n">
        <f aca="false">IF(T16="",0,T16)</f>
        <v>0</v>
      </c>
    </row>
    <row r="17" customFormat="false" ht="15" hidden="false" customHeight="false" outlineLevel="0" collapsed="false">
      <c r="A17" s="34" t="str">
        <f aca="false">'مواد المخزون'!A12</f>
        <v>برسيون سدق صغير</v>
      </c>
      <c r="B17" s="36" t="str">
        <f aca="false">'مواد المخزون'!B12</f>
        <v>قطعة</v>
      </c>
      <c r="C17" s="109" t="n">
        <f aca="false">'مواد المخزون'!E12</f>
        <v>34</v>
      </c>
      <c r="D17" s="110" t="n">
        <f aca="false">'جرد أول المدة'!D15</f>
        <v>5</v>
      </c>
      <c r="E17" s="110" t="n">
        <f aca="false">SUMIFS('مشتريات يومية'!$D$2:$D$4001,'مشتريات يومية'!$B$2:$B$4001,$B$2,'مشتريات يومية'!$C$2:$C$4001,$A17,'مشتريات يومية'!$A$2:$A$4001,"&gt;="&amp;'إعدادات المخزون'!$B$5,'مشتريات يومية'!$A$2:$A$4001,"&lt;="&amp;'إعدادات المخزون'!$B$4)</f>
        <v>480</v>
      </c>
      <c r="F17" s="110" t="n">
        <f aca="false">SUMIFS('هالك وتحويلات'!$E$2:$E$3001,'هالك وتحويلات'!$B$2:$B$3001,$B$2,'هالك وتحويلات'!$C$2:$C$3001,$A17,'هالك وتحويلات'!$D$2:$D$3001,"تحويل وارد",'هالك وتحويلات'!$A$2:$A$3001,"&gt;="&amp;'إعدادات المخزون'!$B$5,'هالك وتحويلات'!$A$2:$A$3001,"&lt;="&amp;'إعدادات المخزون'!$B$4)</f>
        <v>0</v>
      </c>
      <c r="G17" s="110" t="n">
        <f aca="false">SUMIFS('هالك وتحويلات'!$E$2:$E$3001,'هالك وتحويلات'!$B$2:$B$3001,$B$2,'هالك وتحويلات'!$C$2:$C$3001,$A17,'هالك وتحويلات'!$D$2:$D$3001,"تحويل صادر",'هالك وتحويلات'!$A$2:$A$3001,"&gt;="&amp;'إعدادات المخزون'!$B$5,'هالك وتحويلات'!$A$2:$A$3001,"&lt;="&amp;'إعدادات المخزون'!$B$4)</f>
        <v>0</v>
      </c>
      <c r="H17" s="110" t="n">
        <f aca="false">SUMPRODUCT('مصفوفة الاستهلاك'!$L$2:$L$190,'متجهات المبيعات'!$F$2:$F$190)/'مواد المخزون'!$D$12</f>
        <v>486.9996</v>
      </c>
      <c r="I17" s="110" t="n">
        <f aca="false">SUMIFS('هالك وتحويلات'!$E$2:$E$3001,'هالك وتحويلات'!$B$2:$B$3001,$B$2,'هالك وتحويلات'!$C$2:$C$3001,$A17,'هالك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وتحويلات'!$C$2:$C$3001,$A17,'هالك وتحويلات'!$D$2:$D$3001,"ضيافة / أكل موظفين",'هالك وتحويلات'!$A$2:$A$3001,"&gt;="&amp;'إعدادات المخزون'!$B$5,'هالك وتحويلات'!$A$2:$A$3001,"&lt;="&amp;'إعدادات المخزون'!$B$4)</f>
        <v>0</v>
      </c>
      <c r="J17" s="110" t="n">
        <f aca="false">D17+E17+F17-G17-H17-I17</f>
        <v>-1.99959999999999</v>
      </c>
      <c r="K17" s="36" t="str">
        <f aca="false">IF(COUNTIFS('جرد فعلي'!$B$2:$B$12001,$B$2,'جرد فعلي'!$C$2:$C$12001,$A17,'جرد فعلي'!$A$2:$A$12001,'إعدادات المخزون'!$B$4)&gt;0,"نعم","لا")</f>
        <v>لا</v>
      </c>
      <c r="L17" s="111" t="str">
        <f aca="false">IF(K17="نعم",SUMIFS('جرد فعلي'!$D$2:$D$12001,'جرد فعلي'!$B$2:$B$12001,$B$2,'جرد فعلي'!$C$2:$C$12001,$A17,'جرد فعلي'!$A$2:$A$12001,'إعدادات المخزون'!$B$4),"")</f>
        <v/>
      </c>
      <c r="M17" s="110" t="str">
        <f aca="false">IF(K17="نعم",L17-J17,"")</f>
        <v/>
      </c>
      <c r="N17" s="112" t="str">
        <f aca="false">IF(K17="نعم",IF(J17=0,IF(M17=0,0,SIGN(M17)),M17/ABS(J17)),"")</f>
        <v/>
      </c>
      <c r="O17" s="109" t="str">
        <f aca="false">IF(K17="نعم",M17*C17,"")</f>
        <v/>
      </c>
      <c r="P17" s="36" t="str">
        <f aca="false">IF(K17&lt;&gt;"نعم","لم يُجرد",IF(ABS(N17)&lt;='إعدادات المخزون'!$B$7,"مطابق",IF(M17&lt;0,"عجز","زيادة")))</f>
        <v>لم يُجرد</v>
      </c>
      <c r="Q17" s="110" t="n">
        <f aca="false">J17-Z17</f>
        <v>38.5837</v>
      </c>
      <c r="R17" s="110" t="str">
        <f aca="false">IF(COUNTIFS('جرد فعلي'!$B$2:$B$12001,$B$2,'جرد فعلي'!$C$2:$C$12001,$A17,'جرد فعلي'!$A$2:$A$12001,'إعدادات المخزون'!$B$4-1)&gt;0,SUMIFS('جرد فعلي'!$D$2:$D$12001,'جرد فعلي'!$B$2:$B$12001,$B$2,'جرد فعلي'!$C$2:$C$12001,$A17,'جرد فعلي'!$A$2:$A$12001,'إعدادات المخزون'!$B$4-1),"")</f>
        <v/>
      </c>
      <c r="S17" s="110" t="str">
        <f aca="false">IF(AND(K17="نعم",R17&lt;&gt;""),(L17-J17)-(R17-Q17),"")</f>
        <v/>
      </c>
      <c r="T17" s="109" t="str">
        <f aca="false">IF(S17="","",S17*C17)</f>
        <v/>
      </c>
      <c r="U17" s="110" t="n">
        <f aca="false">IF(K17="نعم",L17,J17)</f>
        <v>-1.99959999999999</v>
      </c>
      <c r="V17" s="110" t="n">
        <f aca="false">SUMPRODUCT('مصفوفة الاستهلاك'!$L$2:$L$190,'متجهات المبيعات'!$G$2:$G$190)/'مواد المخزون'!$D$12/MAX(1,MIN('إعدادات المخزون'!$B$11,'إعدادات المخزون'!$B$4-'إعدادات المخزون'!$B$5+1))</f>
        <v>40.5833</v>
      </c>
      <c r="W17" s="110" t="n">
        <f aca="false">IF(V17&lt;=0,0,ROUNDUP(MAX(0,V17*('إعدادات المخزون'!$B$8+'إعدادات المخزون'!$B$9+'إعدادات المخزون'!$B$10)-MAX(U17,0))/'مواد المخزون'!$F12,0)*'مواد المخزون'!$F12)</f>
        <v>163</v>
      </c>
      <c r="X17" s="109" t="n">
        <f aca="false">IF(AND(K17="نعم",O17&lt;0),-O17+ROW()*0.000000001,0)</f>
        <v>0</v>
      </c>
      <c r="Y17" s="109" t="n">
        <f aca="false">IF(AND(K17="نعم",O17&gt;0),O17+ROW()*0.000000001,0)</f>
        <v>0</v>
      </c>
      <c r="Z17" s="110" t="n">
        <f aca="false">SUMIFS('مشتريات يومية'!$D$2:$D$4001,'مشتريات يومية'!$B$2:$B$4001,$B$2,'مشتريات يومية'!$C$2:$C$4001,$A17,'مشتريات يومية'!$A$2:$A$4001,'إعدادات المخزون'!$B$4)+SUMIFS('هالك وتحويلات'!$E$2:$E$3001,'هالك وتحويلات'!$B$2:$B$3001,$B$2,'هالك وتحويلات'!$C$2:$C$3001,$A17,'هالك وتحويلات'!$D$2:$D$3001,"تحويل وارد",'هالك وتحويلات'!$A$2:$A$3001,'إعدادات المخزون'!$B$4)-SUMIFS('هالك وتحويلات'!$E$2:$E$3001,'هالك وتحويلات'!$B$2:$B$3001,$B$2,'هالك وتحويلات'!$C$2:$C$3001,$A17,'هالك وتحويلات'!$D$2:$D$3001,"تحويل صادر",'هالك وتحويلات'!$A$2:$A$3001,'إعدادات المخزون'!$B$4)-SUMIFS('هالك وتحويلات'!$E$2:$E$3001,'هالك وتحويلات'!$B$2:$B$3001,$B$2,'هالك وتحويلات'!$C$2:$C$3001,$A17,'هالك وتحويلات'!$D$2:$D$3001,"هالك",'هالك وتحويلات'!$A$2:$A$3001,'إعدادات المخزون'!$B$4)-SUMIFS('هالك وتحويلات'!$E$2:$E$3001,'هالك وتحويلات'!$B$2:$B$3001,$B$2,'هالك وتحويلات'!$C$2:$C$3001,$A17,'هالك وتحويلات'!$D$2:$D$3001,"ضيافة / أكل موظفين",'هالك وتحويلات'!$A$2:$A$3001,'إعدادات المخزون'!$B$4)-SUMPRODUCT('مصفوفة الاستهلاك'!$L$2:$L$190,'متجهات المبيعات'!$E$2:$E$190)/'مواد المخزون'!$D$12</f>
        <v>-40.5833</v>
      </c>
      <c r="AA17" s="109" t="n">
        <f aca="false">IF(K17="نعم",O17,0)</f>
        <v>0</v>
      </c>
      <c r="AB17" s="109" t="n">
        <f aca="false">IF(K17="نعم",J17*C17,0)</f>
        <v>0</v>
      </c>
      <c r="AC17" s="109" t="n">
        <f aca="false">IF(T17="",0,T17)</f>
        <v>0</v>
      </c>
    </row>
    <row r="18" customFormat="false" ht="15" hidden="false" customHeight="false" outlineLevel="0" collapsed="false">
      <c r="A18" s="34" t="str">
        <f aca="false">'مواد المخزون'!A13</f>
        <v>برسيون سدق كبير</v>
      </c>
      <c r="B18" s="36" t="str">
        <f aca="false">'مواد المخزون'!B13</f>
        <v>قطعة</v>
      </c>
      <c r="C18" s="109" t="n">
        <f aca="false">'مواد المخزون'!E13</f>
        <v>45</v>
      </c>
      <c r="D18" s="110" t="n">
        <f aca="false">'جرد أول المدة'!D16</f>
        <v>43</v>
      </c>
      <c r="E18" s="110" t="n">
        <f aca="false">SUMIFS('مشتريات يومية'!$D$2:$D$4001,'مشتريات يومية'!$B$2:$B$4001,$B$2,'مشتريات يومية'!$C$2:$C$4001,$A18,'مشتريات يومية'!$A$2:$A$4001,"&gt;="&amp;'إعدادات المخزون'!$B$5,'مشتريات يومية'!$A$2:$A$4001,"&lt;="&amp;'إعدادات المخزون'!$B$4)</f>
        <v>90</v>
      </c>
      <c r="F18" s="110" t="n">
        <f aca="false">SUMIFS('هالك وتحويلات'!$E$2:$E$3001,'هالك وتحويلات'!$B$2:$B$3001,$B$2,'هالك وتحويلات'!$C$2:$C$3001,$A18,'هالك وتحويلات'!$D$2:$D$3001,"تحويل وارد",'هالك وتحويلات'!$A$2:$A$3001,"&gt;="&amp;'إعدادات المخزون'!$B$5,'هالك وتحويلات'!$A$2:$A$3001,"&lt;="&amp;'إعدادات المخزون'!$B$4)</f>
        <v>0</v>
      </c>
      <c r="G18" s="110" t="n">
        <f aca="false">SUMIFS('هالك وتحويلات'!$E$2:$E$3001,'هالك وتحويلات'!$B$2:$B$3001,$B$2,'هالك وتحويلات'!$C$2:$C$3001,$A18,'هالك وتحويلات'!$D$2:$D$3001,"تحويل صادر",'هالك وتحويلات'!$A$2:$A$3001,"&gt;="&amp;'إعدادات المخزون'!$B$5,'هالك وتحويلات'!$A$2:$A$3001,"&lt;="&amp;'إعدادات المخزون'!$B$4)</f>
        <v>0</v>
      </c>
      <c r="H18" s="110" t="n">
        <f aca="false">SUMPRODUCT('مصفوفة الاستهلاك'!$M$2:$M$190,'متجهات المبيعات'!$F$2:$F$190)/'مواد المخزون'!$D$13</f>
        <v>80.5002</v>
      </c>
      <c r="I18" s="110" t="n">
        <f aca="false">SUMIFS('هالك وتحويلات'!$E$2:$E$3001,'هالك وتحويلات'!$B$2:$B$3001,$B$2,'هالك وتحويلات'!$C$2:$C$3001,$A18,'هالك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وتحويلات'!$C$2:$C$3001,$A18,'هالك وتحويلات'!$D$2:$D$3001,"ضيافة / أكل موظفين",'هالك وتحويلات'!$A$2:$A$3001,"&gt;="&amp;'إعدادات المخزون'!$B$5,'هالك وتحويلات'!$A$2:$A$3001,"&lt;="&amp;'إعدادات المخزون'!$B$4)</f>
        <v>0</v>
      </c>
      <c r="J18" s="110" t="n">
        <f aca="false">D18+E18+F18-G18-H18-I18</f>
        <v>52.4998</v>
      </c>
      <c r="K18" s="36" t="str">
        <f aca="false">IF(COUNTIFS('جرد فعلي'!$B$2:$B$12001,$B$2,'جرد فعلي'!$C$2:$C$12001,$A18,'جرد فعلي'!$A$2:$A$12001,'إعدادات المخزون'!$B$4)&gt;0,"نعم","لا")</f>
        <v>لا</v>
      </c>
      <c r="L18" s="111" t="str">
        <f aca="false">IF(K18="نعم",SUMIFS('جرد فعلي'!$D$2:$D$12001,'جرد فعلي'!$B$2:$B$12001,$B$2,'جرد فعلي'!$C$2:$C$12001,$A18,'جرد فعلي'!$A$2:$A$12001,'إعدادات المخزون'!$B$4),"")</f>
        <v/>
      </c>
      <c r="M18" s="110" t="str">
        <f aca="false">IF(K18="نعم",L18-J18,"")</f>
        <v/>
      </c>
      <c r="N18" s="112" t="str">
        <f aca="false">IF(K18="نعم",IF(J18=0,IF(M18=0,0,SIGN(M18)),M18/ABS(J18)),"")</f>
        <v/>
      </c>
      <c r="O18" s="109" t="str">
        <f aca="false">IF(K18="نعم",M18*C18,"")</f>
        <v/>
      </c>
      <c r="P18" s="36" t="str">
        <f aca="false">IF(K18&lt;&gt;"نعم","لم يُجرد",IF(ABS(N18)&lt;='إعدادات المخزون'!$B$7,"مطابق",IF(M18&lt;0,"عجز","زيادة")))</f>
        <v>لم يُجرد</v>
      </c>
      <c r="Q18" s="110" t="n">
        <f aca="false">J18-Z18</f>
        <v>59.20815</v>
      </c>
      <c r="R18" s="110" t="str">
        <f aca="false">IF(COUNTIFS('جرد فعلي'!$B$2:$B$12001,$B$2,'جرد فعلي'!$C$2:$C$12001,$A18,'جرد فعلي'!$A$2:$A$12001,'إعدادات المخزون'!$B$4-1)&gt;0,SUMIFS('جرد فعلي'!$D$2:$D$12001,'جرد فعلي'!$B$2:$B$12001,$B$2,'جرد فعلي'!$C$2:$C$12001,$A18,'جرد فعلي'!$A$2:$A$12001,'إعدادات المخزون'!$B$4-1),"")</f>
        <v/>
      </c>
      <c r="S18" s="110" t="str">
        <f aca="false">IF(AND(K18="نعم",R18&lt;&gt;""),(L18-J18)-(R18-Q18),"")</f>
        <v/>
      </c>
      <c r="T18" s="109" t="str">
        <f aca="false">IF(S18="","",S18*C18)</f>
        <v/>
      </c>
      <c r="U18" s="110" t="n">
        <f aca="false">IF(K18="نعم",L18,J18)</f>
        <v>52.4998</v>
      </c>
      <c r="V18" s="110" t="n">
        <f aca="false">SUMPRODUCT('مصفوفة الاستهلاك'!$M$2:$M$190,'متجهات المبيعات'!$G$2:$G$190)/'مواد المخزون'!$D$13/MAX(1,MIN('إعدادات المخزون'!$B$11,'إعدادات المخزون'!$B$4-'إعدادات المخزون'!$B$5+1))</f>
        <v>6.70835</v>
      </c>
      <c r="W18" s="110" t="n">
        <f aca="false">IF(V18&lt;=0,0,ROUNDUP(MAX(0,V18*('إعدادات المخزون'!$B$8+'إعدادات المخزون'!$B$9+'إعدادات المخزون'!$B$10)-MAX(U18,0))/'مواد المخزون'!$F13,0)*'مواد المخزون'!$F13)</f>
        <v>0</v>
      </c>
      <c r="X18" s="109" t="n">
        <f aca="false">IF(AND(K18="نعم",O18&lt;0),-O18+ROW()*0.000000001,0)</f>
        <v>0</v>
      </c>
      <c r="Y18" s="109" t="n">
        <f aca="false">IF(AND(K18="نعم",O18&gt;0),O18+ROW()*0.000000001,0)</f>
        <v>0</v>
      </c>
      <c r="Z18" s="110" t="n">
        <f aca="false">SUMIFS('مشتريات يومية'!$D$2:$D$4001,'مشتريات يومية'!$B$2:$B$4001,$B$2,'مشتريات يومية'!$C$2:$C$4001,$A18,'مشتريات يومية'!$A$2:$A$4001,'إعدادات المخزون'!$B$4)+SUMIFS('هالك وتحويلات'!$E$2:$E$3001,'هالك وتحويلات'!$B$2:$B$3001,$B$2,'هالك وتحويلات'!$C$2:$C$3001,$A18,'هالك وتحويلات'!$D$2:$D$3001,"تحويل وارد",'هالك وتحويلات'!$A$2:$A$3001,'إعدادات المخزون'!$B$4)-SUMIFS('هالك وتحويلات'!$E$2:$E$3001,'هالك وتحويلات'!$B$2:$B$3001,$B$2,'هالك وتحويلات'!$C$2:$C$3001,$A18,'هالك وتحويلات'!$D$2:$D$3001,"تحويل صادر",'هالك وتحويلات'!$A$2:$A$3001,'إعدادات المخزون'!$B$4)-SUMIFS('هالك وتحويلات'!$E$2:$E$3001,'هالك وتحويلات'!$B$2:$B$3001,$B$2,'هالك وتحويلات'!$C$2:$C$3001,$A18,'هالك وتحويلات'!$D$2:$D$3001,"هالك",'هالك وتحويلات'!$A$2:$A$3001,'إعدادات المخزون'!$B$4)-SUMIFS('هالك وتحويلات'!$E$2:$E$3001,'هالك وتحويلات'!$B$2:$B$3001,$B$2,'هالك وتحويلات'!$C$2:$C$3001,$A18,'هالك وتحويلات'!$D$2:$D$3001,"ضيافة / أكل موظفين",'هالك وتحويلات'!$A$2:$A$3001,'إعدادات المخزون'!$B$4)-SUMPRODUCT('مصفوفة الاستهلاك'!$M$2:$M$190,'متجهات المبيعات'!$E$2:$E$190)/'مواد المخزون'!$D$13</f>
        <v>-6.70835</v>
      </c>
      <c r="AA18" s="109" t="n">
        <f aca="false">IF(K18="نعم",O18,0)</f>
        <v>0</v>
      </c>
      <c r="AB18" s="109" t="n">
        <f aca="false">IF(K18="نعم",J18*C18,0)</f>
        <v>0</v>
      </c>
      <c r="AC18" s="109" t="n">
        <f aca="false">IF(T18="",0,T18)</f>
        <v>0</v>
      </c>
    </row>
    <row r="19" customFormat="false" ht="15" hidden="false" customHeight="false" outlineLevel="0" collapsed="false">
      <c r="A19" s="34" t="str">
        <f aca="false">'مواد المخزون'!A14</f>
        <v>برسيون سلامي صغير</v>
      </c>
      <c r="B19" s="36" t="str">
        <f aca="false">'مواد المخزون'!B14</f>
        <v>قطعة</v>
      </c>
      <c r="C19" s="109" t="n">
        <f aca="false">'مواد المخزون'!E14</f>
        <v>26.9708</v>
      </c>
      <c r="D19" s="110" t="n">
        <f aca="false">'جرد أول المدة'!D17</f>
        <v>8.5</v>
      </c>
      <c r="E19" s="110" t="n">
        <f aca="false">SUMIFS('مشتريات يومية'!$D$2:$D$4001,'مشتريات يومية'!$B$2:$B$4001,$B$2,'مشتريات يومية'!$C$2:$C$4001,$A19,'مشتريات يومية'!$A$2:$A$4001,"&gt;="&amp;'إعدادات المخزون'!$B$5,'مشتريات يومية'!$A$2:$A$4001,"&lt;="&amp;'إعدادات المخزون'!$B$4)</f>
        <v>40</v>
      </c>
      <c r="F19" s="110" t="n">
        <f aca="false">SUMIFS('هالك وتحويلات'!$E$2:$E$3001,'هالك وتحويلات'!$B$2:$B$3001,$B$2,'هالك وتحويلات'!$C$2:$C$3001,$A19,'هالك وتحويلات'!$D$2:$D$3001,"تحويل وارد",'هالك وتحويلات'!$A$2:$A$3001,"&gt;="&amp;'إعدادات المخزون'!$B$5,'هالك وتحويلات'!$A$2:$A$3001,"&lt;="&amp;'إعدادات المخزون'!$B$4)</f>
        <v>0</v>
      </c>
      <c r="G19" s="110" t="n">
        <f aca="false">SUMIFS('هالك وتحويلات'!$E$2:$E$3001,'هالك وتحويلات'!$B$2:$B$3001,$B$2,'هالك وتحويلات'!$C$2:$C$3001,$A19,'هالك وتحويلات'!$D$2:$D$3001,"تحويل صادر",'هالك وتحويلات'!$A$2:$A$3001,"&gt;="&amp;'إعدادات المخزون'!$B$5,'هالك وتحويلات'!$A$2:$A$3001,"&lt;="&amp;'إعدادات المخزون'!$B$4)</f>
        <v>0</v>
      </c>
      <c r="H19" s="110" t="n">
        <f aca="false">SUMPRODUCT('مصفوفة الاستهلاك'!$N$2:$N$190,'متجهات المبيعات'!$F$2:$F$190)/'مواد المخزون'!$D$14</f>
        <v>61.19928</v>
      </c>
      <c r="I19" s="110" t="n">
        <f aca="false">SUMIFS('هالك وتحويلات'!$E$2:$E$3001,'هالك وتحويلات'!$B$2:$B$3001,$B$2,'هالك وتحويلات'!$C$2:$C$3001,$A19,'هالك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وتحويلات'!$C$2:$C$3001,$A19,'هالك وتحويلات'!$D$2:$D$3001,"ضيافة / أكل موظفين",'هالك وتحويلات'!$A$2:$A$3001,"&gt;="&amp;'إعدادات المخزون'!$B$5,'هالك وتحويلات'!$A$2:$A$3001,"&lt;="&amp;'إعدادات المخزون'!$B$4)</f>
        <v>0</v>
      </c>
      <c r="J19" s="110" t="n">
        <f aca="false">D19+E19+F19-G19-H19-I19</f>
        <v>-12.69928</v>
      </c>
      <c r="K19" s="36" t="str">
        <f aca="false">IF(COUNTIFS('جرد فعلي'!$B$2:$B$12001,$B$2,'جرد فعلي'!$C$2:$C$12001,$A19,'جرد فعلي'!$A$2:$A$12001,'إعدادات المخزون'!$B$4)&gt;0,"نعم","لا")</f>
        <v>لا</v>
      </c>
      <c r="L19" s="111" t="str">
        <f aca="false">IF(K19="نعم",SUMIFS('جرد فعلي'!$D$2:$D$12001,'جرد فعلي'!$B$2:$B$12001,$B$2,'جرد فعلي'!$C$2:$C$12001,$A19,'جرد فعلي'!$A$2:$A$12001,'إعدادات المخزون'!$B$4),"")</f>
        <v/>
      </c>
      <c r="M19" s="110" t="str">
        <f aca="false">IF(K19="نعم",L19-J19,"")</f>
        <v/>
      </c>
      <c r="N19" s="112" t="str">
        <f aca="false">IF(K19="نعم",IF(J19=0,IF(M19=0,0,SIGN(M19)),M19/ABS(J19)),"")</f>
        <v/>
      </c>
      <c r="O19" s="109" t="str">
        <f aca="false">IF(K19="نعم",M19*C19,"")</f>
        <v/>
      </c>
      <c r="P19" s="36" t="str">
        <f aca="false">IF(K19&lt;&gt;"نعم","لم يُجرد",IF(ABS(N19)&lt;='إعدادات المخزون'!$B$7,"مطابق",IF(M19&lt;0,"عجز","زيادة")))</f>
        <v>لم يُجرد</v>
      </c>
      <c r="Q19" s="110" t="n">
        <f aca="false">J19-Z19</f>
        <v>-7.59934</v>
      </c>
      <c r="R19" s="110" t="str">
        <f aca="false">IF(COUNTIFS('جرد فعلي'!$B$2:$B$12001,$B$2,'جرد فعلي'!$C$2:$C$12001,$A19,'جرد فعلي'!$A$2:$A$12001,'إعدادات المخزون'!$B$4-1)&gt;0,SUMIFS('جرد فعلي'!$D$2:$D$12001,'جرد فعلي'!$B$2:$B$12001,$B$2,'جرد فعلي'!$C$2:$C$12001,$A19,'جرد فعلي'!$A$2:$A$12001,'إعدادات المخزون'!$B$4-1),"")</f>
        <v/>
      </c>
      <c r="S19" s="110" t="str">
        <f aca="false">IF(AND(K19="نعم",R19&lt;&gt;""),(L19-J19)-(R19-Q19),"")</f>
        <v/>
      </c>
      <c r="T19" s="109" t="str">
        <f aca="false">IF(S19="","",S19*C19)</f>
        <v/>
      </c>
      <c r="U19" s="110" t="n">
        <f aca="false">IF(K19="نعم",L19,J19)</f>
        <v>-12.69928</v>
      </c>
      <c r="V19" s="110" t="n">
        <f aca="false">SUMPRODUCT('مصفوفة الاستهلاك'!$N$2:$N$190,'متجهات المبيعات'!$G$2:$G$190)/'مواد المخزون'!$D$14/MAX(1,MIN('إعدادات المخزون'!$B$11,'إعدادات المخزون'!$B$4-'إعدادات المخزون'!$B$5+1))</f>
        <v>5.09994</v>
      </c>
      <c r="W19" s="110" t="n">
        <f aca="false">IF(V19&lt;=0,0,ROUNDUP(MAX(0,V19*('إعدادات المخزون'!$B$8+'إعدادات المخزون'!$B$9+'إعدادات المخزون'!$B$10)-MAX(U19,0))/'مواد المخزون'!$F14,0)*'مواد المخزون'!$F14)</f>
        <v>21</v>
      </c>
      <c r="X19" s="109" t="n">
        <f aca="false">IF(AND(K19="نعم",O19&lt;0),-O19+ROW()*0.000000001,0)</f>
        <v>0</v>
      </c>
      <c r="Y19" s="109" t="n">
        <f aca="false">IF(AND(K19="نعم",O19&gt;0),O19+ROW()*0.000000001,0)</f>
        <v>0</v>
      </c>
      <c r="Z19" s="110" t="n">
        <f aca="false">SUMIFS('مشتريات يومية'!$D$2:$D$4001,'مشتريات يومية'!$B$2:$B$4001,$B$2,'مشتريات يومية'!$C$2:$C$4001,$A19,'مشتريات يومية'!$A$2:$A$4001,'إعدادات المخزون'!$B$4)+SUMIFS('هالك وتحويلات'!$E$2:$E$3001,'هالك وتحويلات'!$B$2:$B$3001,$B$2,'هالك وتحويلات'!$C$2:$C$3001,$A19,'هالك وتحويلات'!$D$2:$D$3001,"تحويل وارد",'هالك وتحويلات'!$A$2:$A$3001,'إعدادات المخزون'!$B$4)-SUMIFS('هالك وتحويلات'!$E$2:$E$3001,'هالك وتحويلات'!$B$2:$B$3001,$B$2,'هالك وتحويلات'!$C$2:$C$3001,$A19,'هالك وتحويلات'!$D$2:$D$3001,"تحويل صادر",'هالك وتحويلات'!$A$2:$A$3001,'إعدادات المخزون'!$B$4)-SUMIFS('هالك وتحويلات'!$E$2:$E$3001,'هالك وتحويلات'!$B$2:$B$3001,$B$2,'هالك وتحويلات'!$C$2:$C$3001,$A19,'هالك وتحويلات'!$D$2:$D$3001,"هالك",'هالك وتحويلات'!$A$2:$A$3001,'إعدادات المخزون'!$B$4)-SUMIFS('هالك وتحويلات'!$E$2:$E$3001,'هالك وتحويلات'!$B$2:$B$3001,$B$2,'هالك وتحويلات'!$C$2:$C$3001,$A19,'هالك وتحويلات'!$D$2:$D$3001,"ضيافة / أكل موظفين",'هالك وتحويلات'!$A$2:$A$3001,'إعدادات المخزون'!$B$4)-SUMPRODUCT('مصفوفة الاستهلاك'!$N$2:$N$190,'متجهات المبيعات'!$E$2:$E$190)/'مواد المخزون'!$D$14</f>
        <v>-5.09994</v>
      </c>
      <c r="AA19" s="109" t="n">
        <f aca="false">IF(K19="نعم",O19,0)</f>
        <v>0</v>
      </c>
      <c r="AB19" s="109" t="n">
        <f aca="false">IF(K19="نعم",J19*C19,0)</f>
        <v>0</v>
      </c>
      <c r="AC19" s="109" t="n">
        <f aca="false">IF(T19="",0,T19)</f>
        <v>0</v>
      </c>
    </row>
    <row r="20" customFormat="false" ht="15" hidden="false" customHeight="false" outlineLevel="0" collapsed="false">
      <c r="A20" s="34" t="str">
        <f aca="false">'مواد المخزون'!A15</f>
        <v>برسيون فراخ جريل صغير</v>
      </c>
      <c r="B20" s="36" t="str">
        <f aca="false">'مواد المخزون'!B15</f>
        <v>قطعة</v>
      </c>
      <c r="C20" s="109" t="n">
        <f aca="false">'مواد المخزون'!E15</f>
        <v>33.982</v>
      </c>
      <c r="D20" s="110" t="n">
        <f aca="false">'جرد أول المدة'!D18</f>
        <v>34</v>
      </c>
      <c r="E20" s="110" t="n">
        <f aca="false">SUMIFS('مشتريات يومية'!$D$2:$D$4001,'مشتريات يومية'!$B$2:$B$4001,$B$2,'مشتريات يومية'!$C$2:$C$4001,$A20,'مشتريات يومية'!$A$2:$A$4001,"&gt;="&amp;'إعدادات المخزون'!$B$5,'مشتريات يومية'!$A$2:$A$4001,"&lt;="&amp;'إعدادات المخزون'!$B$4)</f>
        <v>158</v>
      </c>
      <c r="F20" s="110" t="n">
        <f aca="false">SUMIFS('هالك وتحويلات'!$E$2:$E$3001,'هالك وتحويلات'!$B$2:$B$3001,$B$2,'هالك وتحويلات'!$C$2:$C$3001,$A20,'هالك وتحويلات'!$D$2:$D$3001,"تحويل وارد",'هالك وتحويلات'!$A$2:$A$3001,"&gt;="&amp;'إعدادات المخزون'!$B$5,'هالك وتحويلات'!$A$2:$A$3001,"&lt;="&amp;'إعدادات المخزون'!$B$4)</f>
        <v>0</v>
      </c>
      <c r="G20" s="110" t="n">
        <f aca="false">SUMIFS('هالك وتحويلات'!$E$2:$E$3001,'هالك وتحويلات'!$B$2:$B$3001,$B$2,'هالك وتحويلات'!$C$2:$C$3001,$A20,'هالك وتحويلات'!$D$2:$D$3001,"تحويل صادر",'هالك وتحويلات'!$A$2:$A$3001,"&gt;="&amp;'إعدادات المخزون'!$B$5,'هالك وتحويلات'!$A$2:$A$3001,"&lt;="&amp;'إعدادات المخزون'!$B$4)</f>
        <v>0</v>
      </c>
      <c r="H20" s="110" t="n">
        <f aca="false">SUMPRODUCT('مصفوفة الاستهلاك'!$O$2:$O$190,'متجهات المبيعات'!$F$2:$F$190)/'مواد المخزون'!$D$15</f>
        <v>169.4994</v>
      </c>
      <c r="I20" s="110" t="n">
        <f aca="false">SUMIFS('هالك وتحويلات'!$E$2:$E$3001,'هالك وتحويلات'!$B$2:$B$3001,$B$2,'هالك وتحويلات'!$C$2:$C$3001,$A20,'هالك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وتحويلات'!$C$2:$C$3001,$A20,'هالك وتحويلات'!$D$2:$D$3001,"ضيافة / أكل موظفين",'هالك وتحويلات'!$A$2:$A$3001,"&gt;="&amp;'إعدادات المخزون'!$B$5,'هالك وتحويلات'!$A$2:$A$3001,"&lt;="&amp;'إعدادات المخزون'!$B$4)</f>
        <v>0</v>
      </c>
      <c r="J20" s="110" t="n">
        <f aca="false">D20+E20+F20-G20-H20-I20</f>
        <v>22.5006</v>
      </c>
      <c r="K20" s="36" t="str">
        <f aca="false">IF(COUNTIFS('جرد فعلي'!$B$2:$B$12001,$B$2,'جرد فعلي'!$C$2:$C$12001,$A20,'جرد فعلي'!$A$2:$A$12001,'إعدادات المخزون'!$B$4)&gt;0,"نعم","لا")</f>
        <v>لا</v>
      </c>
      <c r="L20" s="111" t="str">
        <f aca="false">IF(K20="نعم",SUMIFS('جرد فعلي'!$D$2:$D$12001,'جرد فعلي'!$B$2:$B$12001,$B$2,'جرد فعلي'!$C$2:$C$12001,$A20,'جرد فعلي'!$A$2:$A$12001,'إعدادات المخزون'!$B$4),"")</f>
        <v/>
      </c>
      <c r="M20" s="110" t="str">
        <f aca="false">IF(K20="نعم",L20-J20,"")</f>
        <v/>
      </c>
      <c r="N20" s="112" t="str">
        <f aca="false">IF(K20="نعم",IF(J20=0,IF(M20=0,0,SIGN(M20)),M20/ABS(J20)),"")</f>
        <v/>
      </c>
      <c r="O20" s="109" t="str">
        <f aca="false">IF(K20="نعم",M20*C20,"")</f>
        <v/>
      </c>
      <c r="P20" s="36" t="str">
        <f aca="false">IF(K20&lt;&gt;"نعم","لم يُجرد",IF(ABS(N20)&lt;='إعدادات المخزون'!$B$7,"مطابق",IF(M20&lt;0,"عجز","زيادة")))</f>
        <v>لم يُجرد</v>
      </c>
      <c r="Q20" s="110" t="n">
        <f aca="false">J20-Z20</f>
        <v>36.62555</v>
      </c>
      <c r="R20" s="110" t="str">
        <f aca="false">IF(COUNTIFS('جرد فعلي'!$B$2:$B$12001,$B$2,'جرد فعلي'!$C$2:$C$12001,$A20,'جرد فعلي'!$A$2:$A$12001,'إعدادات المخزون'!$B$4-1)&gt;0,SUMIFS('جرد فعلي'!$D$2:$D$12001,'جرد فعلي'!$B$2:$B$12001,$B$2,'جرد فعلي'!$C$2:$C$12001,$A20,'جرد فعلي'!$A$2:$A$12001,'إعدادات المخزون'!$B$4-1),"")</f>
        <v/>
      </c>
      <c r="S20" s="110" t="str">
        <f aca="false">IF(AND(K20="نعم",R20&lt;&gt;""),(L20-J20)-(R20-Q20),"")</f>
        <v/>
      </c>
      <c r="T20" s="109" t="str">
        <f aca="false">IF(S20="","",S20*C20)</f>
        <v/>
      </c>
      <c r="U20" s="110" t="n">
        <f aca="false">IF(K20="نعم",L20,J20)</f>
        <v>22.5006</v>
      </c>
      <c r="V20" s="110" t="n">
        <f aca="false">SUMPRODUCT('مصفوفة الاستهلاك'!$O$2:$O$190,'متجهات المبيعات'!$G$2:$G$190)/'مواد المخزون'!$D$15/MAX(1,MIN('إعدادات المخزون'!$B$11,'إعدادات المخزون'!$B$4-'إعدادات المخزون'!$B$5+1))</f>
        <v>14.12495</v>
      </c>
      <c r="W20" s="110" t="n">
        <f aca="false">IF(V20&lt;=0,0,ROUNDUP(MAX(0,V20*('إعدادات المخزون'!$B$8+'إعدادات المخزون'!$B$9+'إعدادات المخزون'!$B$10)-MAX(U20,0))/'مواد المخزون'!$F15,0)*'مواد المخزون'!$F15)</f>
        <v>34</v>
      </c>
      <c r="X20" s="109" t="n">
        <f aca="false">IF(AND(K20="نعم",O20&lt;0),-O20+ROW()*0.000000001,0)</f>
        <v>0</v>
      </c>
      <c r="Y20" s="109" t="n">
        <f aca="false">IF(AND(K20="نعم",O20&gt;0),O20+ROW()*0.000000001,0)</f>
        <v>0</v>
      </c>
      <c r="Z20" s="110" t="n">
        <f aca="false">SUMIFS('مشتريات يومية'!$D$2:$D$4001,'مشتريات يومية'!$B$2:$B$4001,$B$2,'مشتريات يومية'!$C$2:$C$4001,$A20,'مشتريات يومية'!$A$2:$A$4001,'إعدادات المخزون'!$B$4)+SUMIFS('هالك وتحويلات'!$E$2:$E$3001,'هالك وتحويلات'!$B$2:$B$3001,$B$2,'هالك وتحويلات'!$C$2:$C$3001,$A20,'هالك وتحويلات'!$D$2:$D$3001,"تحويل وارد",'هالك وتحويلات'!$A$2:$A$3001,'إعدادات المخزون'!$B$4)-SUMIFS('هالك وتحويلات'!$E$2:$E$3001,'هالك وتحويلات'!$B$2:$B$3001,$B$2,'هالك وتحويلات'!$C$2:$C$3001,$A20,'هالك وتحويلات'!$D$2:$D$3001,"تحويل صادر",'هالك وتحويلات'!$A$2:$A$3001,'إعدادات المخزون'!$B$4)-SUMIFS('هالك وتحويلات'!$E$2:$E$3001,'هالك وتحويلات'!$B$2:$B$3001,$B$2,'هالك وتحويلات'!$C$2:$C$3001,$A20,'هالك وتحويلات'!$D$2:$D$3001,"هالك",'هالك وتحويلات'!$A$2:$A$3001,'إعدادات المخزون'!$B$4)-SUMIFS('هالك وتحويلات'!$E$2:$E$3001,'هالك وتحويلات'!$B$2:$B$3001,$B$2,'هالك وتحويلات'!$C$2:$C$3001,$A20,'هالك وتحويلات'!$D$2:$D$3001,"ضيافة / أكل موظفين",'هالك وتحويلات'!$A$2:$A$3001,'إعدادات المخزون'!$B$4)-SUMPRODUCT('مصفوفة الاستهلاك'!$O$2:$O$190,'متجهات المبيعات'!$E$2:$E$190)/'مواد المخزون'!$D$15</f>
        <v>-14.12495</v>
      </c>
      <c r="AA20" s="109" t="n">
        <f aca="false">IF(K20="نعم",O20,0)</f>
        <v>0</v>
      </c>
      <c r="AB20" s="109" t="n">
        <f aca="false">IF(K20="نعم",J20*C20,0)</f>
        <v>0</v>
      </c>
      <c r="AC20" s="109" t="n">
        <f aca="false">IF(T20="",0,T20)</f>
        <v>0</v>
      </c>
    </row>
    <row r="21" customFormat="false" ht="15" hidden="false" customHeight="false" outlineLevel="0" collapsed="false">
      <c r="A21" s="34" t="str">
        <f aca="false">'مواد المخزون'!A16</f>
        <v>برسيون فراخ جريل كبير</v>
      </c>
      <c r="B21" s="36" t="str">
        <f aca="false">'مواد المخزون'!B16</f>
        <v>قطعة</v>
      </c>
      <c r="C21" s="109" t="n">
        <f aca="false">'مواد المخزون'!E16</f>
        <v>48.7817</v>
      </c>
      <c r="D21" s="110" t="n">
        <f aca="false">'جرد أول المدة'!D19</f>
        <v>61.5</v>
      </c>
      <c r="E21" s="110" t="n">
        <f aca="false">SUMIFS('مشتريات يومية'!$D$2:$D$4001,'مشتريات يومية'!$B$2:$B$4001,$B$2,'مشتريات يومية'!$C$2:$C$4001,$A21,'مشتريات يومية'!$A$2:$A$4001,"&gt;="&amp;'إعدادات المخزون'!$B$5,'مشتريات يومية'!$A$2:$A$4001,"&lt;="&amp;'إعدادات المخزون'!$B$4)</f>
        <v>40</v>
      </c>
      <c r="F21" s="110" t="n">
        <f aca="false">SUMIFS('هالك وتحويلات'!$E$2:$E$3001,'هالك وتحويلات'!$B$2:$B$3001,$B$2,'هالك وتحويلات'!$C$2:$C$3001,$A21,'هالك وتحويلات'!$D$2:$D$3001,"تحويل وارد",'هالك وتحويلات'!$A$2:$A$3001,"&gt;="&amp;'إعدادات المخزون'!$B$5,'هالك وتحويلات'!$A$2:$A$3001,"&lt;="&amp;'إعدادات المخزون'!$B$4)</f>
        <v>0</v>
      </c>
      <c r="G21" s="110" t="n">
        <f aca="false">SUMIFS('هالك وتحويلات'!$E$2:$E$3001,'هالك وتحويلات'!$B$2:$B$3001,$B$2,'هالك وتحويلات'!$C$2:$C$3001,$A21,'هالك وتحويلات'!$D$2:$D$3001,"تحويل صادر",'هالك وتحويلات'!$A$2:$A$3001,"&gt;="&amp;'إعدادات المخزون'!$B$5,'هالك وتحويلات'!$A$2:$A$3001,"&lt;="&amp;'إعدادات المخزون'!$B$4)</f>
        <v>0</v>
      </c>
      <c r="H21" s="110" t="n">
        <f aca="false">SUMPRODUCT('مصفوفة الاستهلاك'!$P$2:$P$190,'متجهات المبيعات'!$F$2:$F$190)/'مواد المخزون'!$D$16</f>
        <v>39</v>
      </c>
      <c r="I21" s="110" t="n">
        <f aca="false">SUMIFS('هالك وتحويلات'!$E$2:$E$3001,'هالك وتحويلات'!$B$2:$B$3001,$B$2,'هالك وتحويلات'!$C$2:$C$3001,$A21,'هالك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وتحويلات'!$C$2:$C$3001,$A21,'هالك وتحويلات'!$D$2:$D$3001,"ضيافة / أكل موظفين",'هالك وتحويلات'!$A$2:$A$3001,"&gt;="&amp;'إعدادات المخزون'!$B$5,'هالك وتحويلات'!$A$2:$A$3001,"&lt;="&amp;'إعدادات المخزون'!$B$4)</f>
        <v>0</v>
      </c>
      <c r="J21" s="110" t="n">
        <f aca="false">D21+E21+F21-G21-H21-I21</f>
        <v>62.5</v>
      </c>
      <c r="K21" s="36" t="str">
        <f aca="false">IF(COUNTIFS('جرد فعلي'!$B$2:$B$12001,$B$2,'جرد فعلي'!$C$2:$C$12001,$A21,'جرد فعلي'!$A$2:$A$12001,'إعدادات المخزون'!$B$4)&gt;0,"نعم","لا")</f>
        <v>لا</v>
      </c>
      <c r="L21" s="111" t="str">
        <f aca="false">IF(K21="نعم",SUMIFS('جرد فعلي'!$D$2:$D$12001,'جرد فعلي'!$B$2:$B$12001,$B$2,'جرد فعلي'!$C$2:$C$12001,$A21,'جرد فعلي'!$A$2:$A$12001,'إعدادات المخزون'!$B$4),"")</f>
        <v/>
      </c>
      <c r="M21" s="110" t="str">
        <f aca="false">IF(K21="نعم",L21-J21,"")</f>
        <v/>
      </c>
      <c r="N21" s="112" t="str">
        <f aca="false">IF(K21="نعم",IF(J21=0,IF(M21=0,0,SIGN(M21)),M21/ABS(J21)),"")</f>
        <v/>
      </c>
      <c r="O21" s="109" t="str">
        <f aca="false">IF(K21="نعم",M21*C21,"")</f>
        <v/>
      </c>
      <c r="P21" s="36" t="str">
        <f aca="false">IF(K21&lt;&gt;"نعم","لم يُجرد",IF(ABS(N21)&lt;='إعدادات المخزون'!$B$7,"مطابق",IF(M21&lt;0,"عجز","زيادة")))</f>
        <v>لم يُجرد</v>
      </c>
      <c r="Q21" s="110" t="n">
        <f aca="false">J21-Z21</f>
        <v>65.75</v>
      </c>
      <c r="R21" s="110" t="str">
        <f aca="false">IF(COUNTIFS('جرد فعلي'!$B$2:$B$12001,$B$2,'جرد فعلي'!$C$2:$C$12001,$A21,'جرد فعلي'!$A$2:$A$12001,'إعدادات المخزون'!$B$4-1)&gt;0,SUMIFS('جرد فعلي'!$D$2:$D$12001,'جرد فعلي'!$B$2:$B$12001,$B$2,'جرد فعلي'!$C$2:$C$12001,$A21,'جرد فعلي'!$A$2:$A$12001,'إعدادات المخزون'!$B$4-1),"")</f>
        <v/>
      </c>
      <c r="S21" s="110" t="str">
        <f aca="false">IF(AND(K21="نعم",R21&lt;&gt;""),(L21-J21)-(R21-Q21),"")</f>
        <v/>
      </c>
      <c r="T21" s="109" t="str">
        <f aca="false">IF(S21="","",S21*C21)</f>
        <v/>
      </c>
      <c r="U21" s="110" t="n">
        <f aca="false">IF(K21="نعم",L21,J21)</f>
        <v>62.5</v>
      </c>
      <c r="V21" s="110" t="n">
        <f aca="false">SUMPRODUCT('مصفوفة الاستهلاك'!$P$2:$P$190,'متجهات المبيعات'!$G$2:$G$190)/'مواد المخزون'!$D$16/MAX(1,MIN('إعدادات المخزون'!$B$11,'إعدادات المخزون'!$B$4-'إعدادات المخزون'!$B$5+1))</f>
        <v>3.25</v>
      </c>
      <c r="W21" s="110" t="n">
        <f aca="false">IF(V21&lt;=0,0,ROUNDUP(MAX(0,V21*('إعدادات المخزون'!$B$8+'إعدادات المخزون'!$B$9+'إعدادات المخزون'!$B$10)-MAX(U21,0))/'مواد المخزون'!$F16,0)*'مواد المخزون'!$F16)</f>
        <v>0</v>
      </c>
      <c r="X21" s="109" t="n">
        <f aca="false">IF(AND(K21="نعم",O21&lt;0),-O21+ROW()*0.000000001,0)</f>
        <v>0</v>
      </c>
      <c r="Y21" s="109" t="n">
        <f aca="false">IF(AND(K21="نعم",O21&gt;0),O21+ROW()*0.000000001,0)</f>
        <v>0</v>
      </c>
      <c r="Z21" s="110" t="n">
        <f aca="false">SUMIFS('مشتريات يومية'!$D$2:$D$4001,'مشتريات يومية'!$B$2:$B$4001,$B$2,'مشتريات يومية'!$C$2:$C$4001,$A21,'مشتريات يومية'!$A$2:$A$4001,'إعدادات المخزون'!$B$4)+SUMIFS('هالك وتحويلات'!$E$2:$E$3001,'هالك وتحويلات'!$B$2:$B$3001,$B$2,'هالك وتحويلات'!$C$2:$C$3001,$A21,'هالك وتحويلات'!$D$2:$D$3001,"تحويل وارد",'هالك وتحويلات'!$A$2:$A$3001,'إعدادات المخزون'!$B$4)-SUMIFS('هالك وتحويلات'!$E$2:$E$3001,'هالك وتحويلات'!$B$2:$B$3001,$B$2,'هالك وتحويلات'!$C$2:$C$3001,$A21,'هالك وتحويلات'!$D$2:$D$3001,"تحويل صادر",'هالك وتحويلات'!$A$2:$A$3001,'إعدادات المخزون'!$B$4)-SUMIFS('هالك وتحويلات'!$E$2:$E$3001,'هالك وتحويلات'!$B$2:$B$3001,$B$2,'هالك وتحويلات'!$C$2:$C$3001,$A21,'هالك وتحويلات'!$D$2:$D$3001,"هالك",'هالك وتحويلات'!$A$2:$A$3001,'إعدادات المخزون'!$B$4)-SUMIFS('هالك وتحويلات'!$E$2:$E$3001,'هالك وتحويلات'!$B$2:$B$3001,$B$2,'هالك وتحويلات'!$C$2:$C$3001,$A21,'هالك وتحويلات'!$D$2:$D$3001,"ضيافة / أكل موظفين",'هالك وتحويلات'!$A$2:$A$3001,'إعدادات المخزون'!$B$4)-SUMPRODUCT('مصفوفة الاستهلاك'!$P$2:$P$190,'متجهات المبيعات'!$E$2:$E$190)/'مواد المخزون'!$D$16</f>
        <v>-3.25</v>
      </c>
      <c r="AA21" s="109" t="n">
        <f aca="false">IF(K21="نعم",O21,0)</f>
        <v>0</v>
      </c>
      <c r="AB21" s="109" t="n">
        <f aca="false">IF(K21="نعم",J21*C21,0)</f>
        <v>0</v>
      </c>
      <c r="AC21" s="109" t="n">
        <f aca="false">IF(T21="",0,T21)</f>
        <v>0</v>
      </c>
    </row>
    <row r="22" customFormat="false" ht="15" hidden="false" customHeight="false" outlineLevel="0" collapsed="false">
      <c r="A22" s="34" t="str">
        <f aca="false">'مواد المخزون'!A17</f>
        <v>برسيون فراخ كريسبي صغير</v>
      </c>
      <c r="B22" s="36" t="str">
        <f aca="false">'مواد المخزون'!B17</f>
        <v>قطعة</v>
      </c>
      <c r="C22" s="109" t="n">
        <f aca="false">'مواد المخزون'!E17</f>
        <v>30</v>
      </c>
      <c r="D22" s="110" t="n">
        <f aca="false">'جرد أول المدة'!D20</f>
        <v>42.5</v>
      </c>
      <c r="E22" s="110" t="n">
        <f aca="false">SUMIFS('مشتريات يومية'!$D$2:$D$4001,'مشتريات يومية'!$B$2:$B$4001,$B$2,'مشتريات يومية'!$C$2:$C$4001,$A22,'مشتريات يومية'!$A$2:$A$4001,"&gt;="&amp;'إعدادات المخزون'!$B$5,'مشتريات يومية'!$A$2:$A$4001,"&lt;="&amp;'إعدادات المخزون'!$B$4)</f>
        <v>60</v>
      </c>
      <c r="F22" s="110" t="n">
        <f aca="false">SUMIFS('هالك وتحويلات'!$E$2:$E$3001,'هالك وتحويلات'!$B$2:$B$3001,$B$2,'هالك وتحويلات'!$C$2:$C$3001,$A22,'هالك وتحويلات'!$D$2:$D$3001,"تحويل وارد",'هالك وتحويلات'!$A$2:$A$3001,"&gt;="&amp;'إعدادات المخزون'!$B$5,'هالك وتحويلات'!$A$2:$A$3001,"&lt;="&amp;'إعدادات المخزون'!$B$4)</f>
        <v>0</v>
      </c>
      <c r="G22" s="110" t="n">
        <f aca="false">SUMIFS('هالك وتحويلات'!$E$2:$E$3001,'هالك وتحويلات'!$B$2:$B$3001,$B$2,'هالك وتحويلات'!$C$2:$C$3001,$A22,'هالك وتحويلات'!$D$2:$D$3001,"تحويل صادر",'هالك وتحويلات'!$A$2:$A$3001,"&gt;="&amp;'إعدادات المخزون'!$B$5,'هالك وتحويلات'!$A$2:$A$3001,"&lt;="&amp;'إعدادات المخزون'!$B$4)</f>
        <v>0</v>
      </c>
      <c r="H22" s="110" t="n">
        <f aca="false">SUMPRODUCT('مصفوفة الاستهلاك'!$Q$2:$Q$190,'متجهات المبيعات'!$F$2:$F$190)/'مواد المخزون'!$D$17</f>
        <v>68.5014</v>
      </c>
      <c r="I22" s="110" t="n">
        <f aca="false">SUMIFS('هالك وتحويلات'!$E$2:$E$3001,'هالك وتحويلات'!$B$2:$B$3001,$B$2,'هالك وتحويلات'!$C$2:$C$3001,$A22,'هالك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وتحويلات'!$C$2:$C$3001,$A22,'هالك وتحويلات'!$D$2:$D$3001,"ضيافة / أكل موظفين",'هالك وتحويلات'!$A$2:$A$3001,"&gt;="&amp;'إعدادات المخزون'!$B$5,'هالك وتحويلات'!$A$2:$A$3001,"&lt;="&amp;'إعدادات المخزون'!$B$4)</f>
        <v>0</v>
      </c>
      <c r="J22" s="110" t="n">
        <f aca="false">D22+E22+F22-G22-H22-I22</f>
        <v>33.9986</v>
      </c>
      <c r="K22" s="36" t="str">
        <f aca="false">IF(COUNTIFS('جرد فعلي'!$B$2:$B$12001,$B$2,'جرد فعلي'!$C$2:$C$12001,$A22,'جرد فعلي'!$A$2:$A$12001,'إعدادات المخزون'!$B$4)&gt;0,"نعم","لا")</f>
        <v>لا</v>
      </c>
      <c r="L22" s="111" t="str">
        <f aca="false">IF(K22="نعم",SUMIFS('جرد فعلي'!$D$2:$D$12001,'جرد فعلي'!$B$2:$B$12001,$B$2,'جرد فعلي'!$C$2:$C$12001,$A22,'جرد فعلي'!$A$2:$A$12001,'إعدادات المخزون'!$B$4),"")</f>
        <v/>
      </c>
      <c r="M22" s="110" t="str">
        <f aca="false">IF(K22="نعم",L22-J22,"")</f>
        <v/>
      </c>
      <c r="N22" s="112" t="str">
        <f aca="false">IF(K22="نعم",IF(J22=0,IF(M22=0,0,SIGN(M22)),M22/ABS(J22)),"")</f>
        <v/>
      </c>
      <c r="O22" s="109" t="str">
        <f aca="false">IF(K22="نعم",M22*C22,"")</f>
        <v/>
      </c>
      <c r="P22" s="36" t="str">
        <f aca="false">IF(K22&lt;&gt;"نعم","لم يُجرد",IF(ABS(N22)&lt;='إعدادات المخزون'!$B$7,"مطابق",IF(M22&lt;0,"عجز","زيادة")))</f>
        <v>لم يُجرد</v>
      </c>
      <c r="Q22" s="110" t="n">
        <f aca="false">J22-Z22</f>
        <v>39.70705</v>
      </c>
      <c r="R22" s="110" t="str">
        <f aca="false">IF(COUNTIFS('جرد فعلي'!$B$2:$B$12001,$B$2,'جرد فعلي'!$C$2:$C$12001,$A22,'جرد فعلي'!$A$2:$A$12001,'إعدادات المخزون'!$B$4-1)&gt;0,SUMIFS('جرد فعلي'!$D$2:$D$12001,'جرد فعلي'!$B$2:$B$12001,$B$2,'جرد فعلي'!$C$2:$C$12001,$A22,'جرد فعلي'!$A$2:$A$12001,'إعدادات المخزون'!$B$4-1),"")</f>
        <v/>
      </c>
      <c r="S22" s="110" t="str">
        <f aca="false">IF(AND(K22="نعم",R22&lt;&gt;""),(L22-J22)-(R22-Q22),"")</f>
        <v/>
      </c>
      <c r="T22" s="109" t="str">
        <f aca="false">IF(S22="","",S22*C22)</f>
        <v/>
      </c>
      <c r="U22" s="110" t="n">
        <f aca="false">IF(K22="نعم",L22,J22)</f>
        <v>33.9986</v>
      </c>
      <c r="V22" s="110" t="n">
        <f aca="false">SUMPRODUCT('مصفوفة الاستهلاك'!$Q$2:$Q$190,'متجهات المبيعات'!$G$2:$G$190)/'مواد المخزون'!$D$17/MAX(1,MIN('إعدادات المخزون'!$B$11,'إعدادات المخزون'!$B$4-'إعدادات المخزون'!$B$5+1))</f>
        <v>5.70845</v>
      </c>
      <c r="W22" s="110" t="n">
        <f aca="false">IF(V22&lt;=0,0,ROUNDUP(MAX(0,V22*('إعدادات المخزون'!$B$8+'إعدادات المخزون'!$B$9+'إعدادات المخزون'!$B$10)-MAX(U22,0))/'مواد المخزون'!$F17,0)*'مواد المخزون'!$F17)</f>
        <v>0</v>
      </c>
      <c r="X22" s="109" t="n">
        <f aca="false">IF(AND(K22="نعم",O22&lt;0),-O22+ROW()*0.000000001,0)</f>
        <v>0</v>
      </c>
      <c r="Y22" s="109" t="n">
        <f aca="false">IF(AND(K22="نعم",O22&gt;0),O22+ROW()*0.000000001,0)</f>
        <v>0</v>
      </c>
      <c r="Z22" s="110" t="n">
        <f aca="false">SUMIFS('مشتريات يومية'!$D$2:$D$4001,'مشتريات يومية'!$B$2:$B$4001,$B$2,'مشتريات يومية'!$C$2:$C$4001,$A22,'مشتريات يومية'!$A$2:$A$4001,'إعدادات المخزون'!$B$4)+SUMIFS('هالك وتحويلات'!$E$2:$E$3001,'هالك وتحويلات'!$B$2:$B$3001,$B$2,'هالك وتحويلات'!$C$2:$C$3001,$A22,'هالك وتحويلات'!$D$2:$D$3001,"تحويل وارد",'هالك وتحويلات'!$A$2:$A$3001,'إعدادات المخزون'!$B$4)-SUMIFS('هالك وتحويلات'!$E$2:$E$3001,'هالك وتحويلات'!$B$2:$B$3001,$B$2,'هالك وتحويلات'!$C$2:$C$3001,$A22,'هالك وتحويلات'!$D$2:$D$3001,"تحويل صادر",'هالك وتحويلات'!$A$2:$A$3001,'إعدادات المخزون'!$B$4)-SUMIFS('هالك وتحويلات'!$E$2:$E$3001,'هالك وتحويلات'!$B$2:$B$3001,$B$2,'هالك وتحويلات'!$C$2:$C$3001,$A22,'هالك وتحويلات'!$D$2:$D$3001,"هالك",'هالك وتحويلات'!$A$2:$A$3001,'إعدادات المخزون'!$B$4)-SUMIFS('هالك وتحويلات'!$E$2:$E$3001,'هالك وتحويلات'!$B$2:$B$3001,$B$2,'هالك وتحويلات'!$C$2:$C$3001,$A22,'هالك وتحويلات'!$D$2:$D$3001,"ضيافة / أكل موظفين",'هالك وتحويلات'!$A$2:$A$3001,'إعدادات المخزون'!$B$4)-SUMPRODUCT('مصفوفة الاستهلاك'!$Q$2:$Q$190,'متجهات المبيعات'!$E$2:$E$190)/'مواد المخزون'!$D$17</f>
        <v>-5.70845</v>
      </c>
      <c r="AA22" s="109" t="n">
        <f aca="false">IF(K22="نعم",O22,0)</f>
        <v>0</v>
      </c>
      <c r="AB22" s="109" t="n">
        <f aca="false">IF(K22="نعم",J22*C22,0)</f>
        <v>0</v>
      </c>
      <c r="AC22" s="109" t="n">
        <f aca="false">IF(T22="",0,T22)</f>
        <v>0</v>
      </c>
    </row>
    <row r="23" customFormat="false" ht="15" hidden="false" customHeight="false" outlineLevel="0" collapsed="false">
      <c r="A23" s="34" t="str">
        <f aca="false">'مواد المخزون'!A18</f>
        <v>برسيون فراخ كريسبي كبير</v>
      </c>
      <c r="B23" s="36" t="str">
        <f aca="false">'مواد المخزون'!B18</f>
        <v>قطعة</v>
      </c>
      <c r="C23" s="109" t="n">
        <f aca="false">'مواد المخزون'!E18</f>
        <v>29</v>
      </c>
      <c r="D23" s="110" t="n">
        <f aca="false">'جرد أول المدة'!D21</f>
        <v>36</v>
      </c>
      <c r="E23" s="110" t="n">
        <f aca="false">SUMIFS('مشتريات يومية'!$D$2:$D$4001,'مشتريات يومية'!$B$2:$B$4001,$B$2,'مشتريات يومية'!$C$2:$C$4001,$A23,'مشتريات يومية'!$A$2:$A$4001,"&gt;="&amp;'إعدادات المخزون'!$B$5,'مشتريات يومية'!$A$2:$A$4001,"&lt;="&amp;'إعدادات المخزون'!$B$4)</f>
        <v>0</v>
      </c>
      <c r="F23" s="110" t="n">
        <f aca="false">SUMIFS('هالك وتحويلات'!$E$2:$E$3001,'هالك وتحويلات'!$B$2:$B$3001,$B$2,'هالك وتحويلات'!$C$2:$C$3001,$A23,'هالك وتحويلات'!$D$2:$D$3001,"تحويل وارد",'هالك وتحويلات'!$A$2:$A$3001,"&gt;="&amp;'إعدادات المخزون'!$B$5,'هالك وتحويلات'!$A$2:$A$3001,"&lt;="&amp;'إعدادات المخزون'!$B$4)</f>
        <v>0</v>
      </c>
      <c r="G23" s="110" t="n">
        <f aca="false">SUMIFS('هالك وتحويلات'!$E$2:$E$3001,'هالك وتحويلات'!$B$2:$B$3001,$B$2,'هالك وتحويلات'!$C$2:$C$3001,$A23,'هالك وتحويلات'!$D$2:$D$3001,"تحويل صادر",'هالك وتحويلات'!$A$2:$A$3001,"&gt;="&amp;'إعدادات المخزون'!$B$5,'هالك وتحويلات'!$A$2:$A$3001,"&lt;="&amp;'إعدادات المخزون'!$B$4)</f>
        <v>0</v>
      </c>
      <c r="H23" s="110" t="n">
        <f aca="false">SUMPRODUCT('مصفوفة الاستهلاك'!$R$2:$R$190,'متجهات المبيعات'!$F$2:$F$190)/'مواد المخزون'!$D$18</f>
        <v>5.0004</v>
      </c>
      <c r="I23" s="110" t="n">
        <f aca="false">SUMIFS('هالك وتحويلات'!$E$2:$E$3001,'هالك وتحويلات'!$B$2:$B$3001,$B$2,'هالك وتحويلات'!$C$2:$C$3001,$A23,'هالك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وتحويلات'!$C$2:$C$3001,$A23,'هالك وتحويلات'!$D$2:$D$3001,"ضيافة / أكل موظفين",'هالك وتحويلات'!$A$2:$A$3001,"&gt;="&amp;'إعدادات المخزون'!$B$5,'هالك وتحويلات'!$A$2:$A$3001,"&lt;="&amp;'إعدادات المخزون'!$B$4)</f>
        <v>0</v>
      </c>
      <c r="J23" s="110" t="n">
        <f aca="false">D23+E23+F23-G23-H23-I23</f>
        <v>30.9996</v>
      </c>
      <c r="K23" s="36" t="str">
        <f aca="false">IF(COUNTIFS('جرد فعلي'!$B$2:$B$12001,$B$2,'جرد فعلي'!$C$2:$C$12001,$A23,'جرد فعلي'!$A$2:$A$12001,'إعدادات المخزون'!$B$4)&gt;0,"نعم","لا")</f>
        <v>لا</v>
      </c>
      <c r="L23" s="111" t="str">
        <f aca="false">IF(K23="نعم",SUMIFS('جرد فعلي'!$D$2:$D$12001,'جرد فعلي'!$B$2:$B$12001,$B$2,'جرد فعلي'!$C$2:$C$12001,$A23,'جرد فعلي'!$A$2:$A$12001,'إعدادات المخزون'!$B$4),"")</f>
        <v/>
      </c>
      <c r="M23" s="110" t="str">
        <f aca="false">IF(K23="نعم",L23-J23,"")</f>
        <v/>
      </c>
      <c r="N23" s="112" t="str">
        <f aca="false">IF(K23="نعم",IF(J23=0,IF(M23=0,0,SIGN(M23)),M23/ABS(J23)),"")</f>
        <v/>
      </c>
      <c r="O23" s="109" t="str">
        <f aca="false">IF(K23="نعم",M23*C23,"")</f>
        <v/>
      </c>
      <c r="P23" s="36" t="str">
        <f aca="false">IF(K23&lt;&gt;"نعم","لم يُجرد",IF(ABS(N23)&lt;='إعدادات المخزون'!$B$7,"مطابق",IF(M23&lt;0,"عجز","زيادة")))</f>
        <v>لم يُجرد</v>
      </c>
      <c r="Q23" s="110" t="n">
        <f aca="false">J23-Z23</f>
        <v>31.4163</v>
      </c>
      <c r="R23" s="110" t="str">
        <f aca="false">IF(COUNTIFS('جرد فعلي'!$B$2:$B$12001,$B$2,'جرد فعلي'!$C$2:$C$12001,$A23,'جرد فعلي'!$A$2:$A$12001,'إعدادات المخزون'!$B$4-1)&gt;0,SUMIFS('جرد فعلي'!$D$2:$D$12001,'جرد فعلي'!$B$2:$B$12001,$B$2,'جرد فعلي'!$C$2:$C$12001,$A23,'جرد فعلي'!$A$2:$A$12001,'إعدادات المخزون'!$B$4-1),"")</f>
        <v/>
      </c>
      <c r="S23" s="110" t="str">
        <f aca="false">IF(AND(K23="نعم",R23&lt;&gt;""),(L23-J23)-(R23-Q23),"")</f>
        <v/>
      </c>
      <c r="T23" s="109" t="str">
        <f aca="false">IF(S23="","",S23*C23)</f>
        <v/>
      </c>
      <c r="U23" s="110" t="n">
        <f aca="false">IF(K23="نعم",L23,J23)</f>
        <v>30.9996</v>
      </c>
      <c r="V23" s="110" t="n">
        <f aca="false">SUMPRODUCT('مصفوفة الاستهلاك'!$R$2:$R$190,'متجهات المبيعات'!$G$2:$G$190)/'مواد المخزون'!$D$18/MAX(1,MIN('إعدادات المخزون'!$B$11,'إعدادات المخزون'!$B$4-'إعدادات المخزون'!$B$5+1))</f>
        <v>0.4167</v>
      </c>
      <c r="W23" s="110" t="n">
        <f aca="false">IF(V23&lt;=0,0,ROUNDUP(MAX(0,V23*('إعدادات المخزون'!$B$8+'إعدادات المخزون'!$B$9+'إعدادات المخزون'!$B$10)-MAX(U23,0))/'مواد المخزون'!$F18,0)*'مواد المخزون'!$F18)</f>
        <v>0</v>
      </c>
      <c r="X23" s="109" t="n">
        <f aca="false">IF(AND(K23="نعم",O23&lt;0),-O23+ROW()*0.000000001,0)</f>
        <v>0</v>
      </c>
      <c r="Y23" s="109" t="n">
        <f aca="false">IF(AND(K23="نعم",O23&gt;0),O23+ROW()*0.000000001,0)</f>
        <v>0</v>
      </c>
      <c r="Z23" s="110" t="n">
        <f aca="false">SUMIFS('مشتريات يومية'!$D$2:$D$4001,'مشتريات يومية'!$B$2:$B$4001,$B$2,'مشتريات يومية'!$C$2:$C$4001,$A23,'مشتريات يومية'!$A$2:$A$4001,'إعدادات المخزون'!$B$4)+SUMIFS('هالك وتحويلات'!$E$2:$E$3001,'هالك وتحويلات'!$B$2:$B$3001,$B$2,'هالك وتحويلات'!$C$2:$C$3001,$A23,'هالك وتحويلات'!$D$2:$D$3001,"تحويل وارد",'هالك وتحويلات'!$A$2:$A$3001,'إعدادات المخزون'!$B$4)-SUMIFS('هالك وتحويلات'!$E$2:$E$3001,'هالك وتحويلات'!$B$2:$B$3001,$B$2,'هالك وتحويلات'!$C$2:$C$3001,$A23,'هالك وتحويلات'!$D$2:$D$3001,"تحويل صادر",'هالك وتحويلات'!$A$2:$A$3001,'إعدادات المخزون'!$B$4)-SUMIFS('هالك وتحويلات'!$E$2:$E$3001,'هالك وتحويلات'!$B$2:$B$3001,$B$2,'هالك وتحويلات'!$C$2:$C$3001,$A23,'هالك وتحويلات'!$D$2:$D$3001,"هالك",'هالك وتحويلات'!$A$2:$A$3001,'إعدادات المخزون'!$B$4)-SUMIFS('هالك وتحويلات'!$E$2:$E$3001,'هالك وتحويلات'!$B$2:$B$3001,$B$2,'هالك وتحويلات'!$C$2:$C$3001,$A23,'هالك وتحويلات'!$D$2:$D$3001,"ضيافة / أكل موظفين",'هالك وتحويلات'!$A$2:$A$3001,'إعدادات المخزون'!$B$4)-SUMPRODUCT('مصفوفة الاستهلاك'!$R$2:$R$190,'متجهات المبيعات'!$E$2:$E$190)/'مواد المخزون'!$D$18</f>
        <v>-0.4167</v>
      </c>
      <c r="AA23" s="109" t="n">
        <f aca="false">IF(K23="نعم",O23,0)</f>
        <v>0</v>
      </c>
      <c r="AB23" s="109" t="n">
        <f aca="false">IF(K23="نعم",J23*C23,0)</f>
        <v>0</v>
      </c>
      <c r="AC23" s="109" t="n">
        <f aca="false">IF(T23="",0,T23)</f>
        <v>0</v>
      </c>
    </row>
    <row r="24" customFormat="false" ht="15" hidden="false" customHeight="false" outlineLevel="0" collapsed="false">
      <c r="A24" s="34" t="str">
        <f aca="false">'مواد المخزون'!A19</f>
        <v>برسيون قشطة</v>
      </c>
      <c r="B24" s="36" t="str">
        <f aca="false">'مواد المخزون'!B19</f>
        <v>قطعة</v>
      </c>
      <c r="C24" s="109" t="n">
        <f aca="false">'مواد المخزون'!E19</f>
        <v>25</v>
      </c>
      <c r="D24" s="110" t="n">
        <f aca="false">'جرد أول المدة'!D22</f>
        <v>19</v>
      </c>
      <c r="E24" s="110" t="n">
        <f aca="false">SUMIFS('مشتريات يومية'!$D$2:$D$4001,'مشتريات يومية'!$B$2:$B$4001,$B$2,'مشتريات يومية'!$C$2:$C$4001,$A24,'مشتريات يومية'!$A$2:$A$4001,"&gt;="&amp;'إعدادات المخزون'!$B$5,'مشتريات يومية'!$A$2:$A$4001,"&lt;="&amp;'إعدادات المخزون'!$B$4)</f>
        <v>0</v>
      </c>
      <c r="F24" s="110" t="n">
        <f aca="false">SUMIFS('هالك وتحويلات'!$E$2:$E$3001,'هالك وتحويلات'!$B$2:$B$3001,$B$2,'هالك وتحويلات'!$C$2:$C$3001,$A24,'هالك وتحويلات'!$D$2:$D$3001,"تحويل وارد",'هالك وتحويلات'!$A$2:$A$3001,"&gt;="&amp;'إعدادات المخزون'!$B$5,'هالك وتحويلات'!$A$2:$A$3001,"&lt;="&amp;'إعدادات المخزون'!$B$4)</f>
        <v>0</v>
      </c>
      <c r="G24" s="110" t="n">
        <f aca="false">SUMIFS('هالك وتحويلات'!$E$2:$E$3001,'هالك وتحويلات'!$B$2:$B$3001,$B$2,'هالك وتحويلات'!$C$2:$C$3001,$A24,'هالك وتحويلات'!$D$2:$D$3001,"تحويل صادر",'هالك وتحويلات'!$A$2:$A$3001,"&gt;="&amp;'إعدادات المخزون'!$B$5,'هالك وتحويلات'!$A$2:$A$3001,"&lt;="&amp;'إعدادات المخزون'!$B$4)</f>
        <v>0</v>
      </c>
      <c r="H24" s="110" t="n">
        <f aca="false">SUMPRODUCT('مصفوفة الاستهلاك'!$S$2:$S$190,'متجهات المبيعات'!$F$2:$F$190)/'مواد المخزون'!$D$19</f>
        <v>12</v>
      </c>
      <c r="I24" s="110" t="n">
        <f aca="false">SUMIFS('هالك وتحويلات'!$E$2:$E$3001,'هالك وتحويلات'!$B$2:$B$3001,$B$2,'هالك وتحويلات'!$C$2:$C$3001,$A24,'هالك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وتحويلات'!$C$2:$C$3001,$A24,'هالك وتحويلات'!$D$2:$D$3001,"ضيافة / أكل موظفين",'هالك وتحويلات'!$A$2:$A$3001,"&gt;="&amp;'إعدادات المخزون'!$B$5,'هالك وتحويلات'!$A$2:$A$3001,"&lt;="&amp;'إعدادات المخزون'!$B$4)</f>
        <v>0</v>
      </c>
      <c r="J24" s="110" t="n">
        <f aca="false">D24+E24+F24-G24-H24-I24</f>
        <v>7</v>
      </c>
      <c r="K24" s="36" t="str">
        <f aca="false">IF(COUNTIFS('جرد فعلي'!$B$2:$B$12001,$B$2,'جرد فعلي'!$C$2:$C$12001,$A24,'جرد فعلي'!$A$2:$A$12001,'إعدادات المخزون'!$B$4)&gt;0,"نعم","لا")</f>
        <v>لا</v>
      </c>
      <c r="L24" s="111" t="str">
        <f aca="false">IF(K24="نعم",SUMIFS('جرد فعلي'!$D$2:$D$12001,'جرد فعلي'!$B$2:$B$12001,$B$2,'جرد فعلي'!$C$2:$C$12001,$A24,'جرد فعلي'!$A$2:$A$12001,'إعدادات المخزون'!$B$4),"")</f>
        <v/>
      </c>
      <c r="M24" s="110" t="str">
        <f aca="false">IF(K24="نعم",L24-J24,"")</f>
        <v/>
      </c>
      <c r="N24" s="112" t="str">
        <f aca="false">IF(K24="نعم",IF(J24=0,IF(M24=0,0,SIGN(M24)),M24/ABS(J24)),"")</f>
        <v/>
      </c>
      <c r="O24" s="109" t="str">
        <f aca="false">IF(K24="نعم",M24*C24,"")</f>
        <v/>
      </c>
      <c r="P24" s="36" t="str">
        <f aca="false">IF(K24&lt;&gt;"نعم","لم يُجرد",IF(ABS(N24)&lt;='إعدادات المخزون'!$B$7,"مطابق",IF(M24&lt;0,"عجز","زيادة")))</f>
        <v>لم يُجرد</v>
      </c>
      <c r="Q24" s="110" t="n">
        <f aca="false">J24-Z24</f>
        <v>8</v>
      </c>
      <c r="R24" s="110" t="str">
        <f aca="false">IF(COUNTIFS('جرد فعلي'!$B$2:$B$12001,$B$2,'جرد فعلي'!$C$2:$C$12001,$A24,'جرد فعلي'!$A$2:$A$12001,'إعدادات المخزون'!$B$4-1)&gt;0,SUMIFS('جرد فعلي'!$D$2:$D$12001,'جرد فعلي'!$B$2:$B$12001,$B$2,'جرد فعلي'!$C$2:$C$12001,$A24,'جرد فعلي'!$A$2:$A$12001,'إعدادات المخزون'!$B$4-1),"")</f>
        <v/>
      </c>
      <c r="S24" s="110" t="str">
        <f aca="false">IF(AND(K24="نعم",R24&lt;&gt;""),(L24-J24)-(R24-Q24),"")</f>
        <v/>
      </c>
      <c r="T24" s="109" t="str">
        <f aca="false">IF(S24="","",S24*C24)</f>
        <v/>
      </c>
      <c r="U24" s="110" t="n">
        <f aca="false">IF(K24="نعم",L24,J24)</f>
        <v>7</v>
      </c>
      <c r="V24" s="110" t="n">
        <f aca="false">SUMPRODUCT('مصفوفة الاستهلاك'!$S$2:$S$190,'متجهات المبيعات'!$G$2:$G$190)/'مواد المخزون'!$D$19/MAX(1,MIN('إعدادات المخزون'!$B$11,'إعدادات المخزون'!$B$4-'إعدادات المخزون'!$B$5+1))</f>
        <v>1</v>
      </c>
      <c r="W24" s="110" t="n">
        <f aca="false">IF(V24&lt;=0,0,ROUNDUP(MAX(0,V24*('إعدادات المخزون'!$B$8+'إعدادات المخزون'!$B$9+'إعدادات المخزون'!$B$10)-MAX(U24,0))/'مواد المخزون'!$F19,0)*'مواد المخزون'!$F19)</f>
        <v>0</v>
      </c>
      <c r="X24" s="109" t="n">
        <f aca="false">IF(AND(K24="نعم",O24&lt;0),-O24+ROW()*0.000000001,0)</f>
        <v>0</v>
      </c>
      <c r="Y24" s="109" t="n">
        <f aca="false">IF(AND(K24="نعم",O24&gt;0),O24+ROW()*0.000000001,0)</f>
        <v>0</v>
      </c>
      <c r="Z24" s="110" t="n">
        <f aca="false">SUMIFS('مشتريات يومية'!$D$2:$D$4001,'مشتريات يومية'!$B$2:$B$4001,$B$2,'مشتريات يومية'!$C$2:$C$4001,$A24,'مشتريات يومية'!$A$2:$A$4001,'إعدادات المخزون'!$B$4)+SUMIFS('هالك وتحويلات'!$E$2:$E$3001,'هالك وتحويلات'!$B$2:$B$3001,$B$2,'هالك وتحويلات'!$C$2:$C$3001,$A24,'هالك وتحويلات'!$D$2:$D$3001,"تحويل وارد",'هالك وتحويلات'!$A$2:$A$3001,'إعدادات المخزون'!$B$4)-SUMIFS('هالك وتحويلات'!$E$2:$E$3001,'هالك وتحويلات'!$B$2:$B$3001,$B$2,'هالك وتحويلات'!$C$2:$C$3001,$A24,'هالك وتحويلات'!$D$2:$D$3001,"تحويل صادر",'هالك وتحويلات'!$A$2:$A$3001,'إعدادات المخزون'!$B$4)-SUMIFS('هالك وتحويلات'!$E$2:$E$3001,'هالك وتحويلات'!$B$2:$B$3001,$B$2,'هالك وتحويلات'!$C$2:$C$3001,$A24,'هالك وتحويلات'!$D$2:$D$3001,"هالك",'هالك وتحويلات'!$A$2:$A$3001,'إعدادات المخزون'!$B$4)-SUMIFS('هالك وتحويلات'!$E$2:$E$3001,'هالك وتحويلات'!$B$2:$B$3001,$B$2,'هالك وتحويلات'!$C$2:$C$3001,$A24,'هالك وتحويلات'!$D$2:$D$3001,"ضيافة / أكل موظفين",'هالك وتحويلات'!$A$2:$A$3001,'إعدادات المخزون'!$B$4)-SUMPRODUCT('مصفوفة الاستهلاك'!$S$2:$S$190,'متجهات المبيعات'!$E$2:$E$190)/'مواد المخزون'!$D$19</f>
        <v>-1</v>
      </c>
      <c r="AA24" s="109" t="n">
        <f aca="false">IF(K24="نعم",O24,0)</f>
        <v>0</v>
      </c>
      <c r="AB24" s="109" t="n">
        <f aca="false">IF(K24="نعم",J24*C24,0)</f>
        <v>0</v>
      </c>
      <c r="AC24" s="109" t="n">
        <f aca="false">IF(T24="",0,T24)</f>
        <v>0</v>
      </c>
    </row>
    <row r="25" customFormat="false" ht="15" hidden="false" customHeight="false" outlineLevel="0" collapsed="false">
      <c r="A25" s="34" t="str">
        <f aca="false">'مواد المخزون'!A20</f>
        <v>برسيون لحمة مفرومة</v>
      </c>
      <c r="B25" s="36" t="str">
        <f aca="false">'مواد المخزون'!B20</f>
        <v>قطعة</v>
      </c>
      <c r="C25" s="109" t="n">
        <f aca="false">'مواد المخزون'!E20</f>
        <v>21</v>
      </c>
      <c r="D25" s="110" t="n">
        <f aca="false">'جرد أول المدة'!D23</f>
        <v>24</v>
      </c>
      <c r="E25" s="110" t="n">
        <f aca="false">SUMIFS('مشتريات يومية'!$D$2:$D$4001,'مشتريات يومية'!$B$2:$B$4001,$B$2,'مشتريات يومية'!$C$2:$C$4001,$A25,'مشتريات يومية'!$A$2:$A$4001,"&gt;="&amp;'إعدادات المخزون'!$B$5,'مشتريات يومية'!$A$2:$A$4001,"&lt;="&amp;'إعدادات المخزون'!$B$4)</f>
        <v>10</v>
      </c>
      <c r="F25" s="110" t="n">
        <f aca="false">SUMIFS('هالك وتحويلات'!$E$2:$E$3001,'هالك وتحويلات'!$B$2:$B$3001,$B$2,'هالك وتحويلات'!$C$2:$C$3001,$A25,'هالك وتحويلات'!$D$2:$D$3001,"تحويل وارد",'هالك وتحويلات'!$A$2:$A$3001,"&gt;="&amp;'إعدادات المخزون'!$B$5,'هالك وتحويلات'!$A$2:$A$3001,"&lt;="&amp;'إعدادات المخزون'!$B$4)</f>
        <v>0</v>
      </c>
      <c r="G25" s="110" t="n">
        <f aca="false">SUMIFS('هالك وتحويلات'!$E$2:$E$3001,'هالك وتحويلات'!$B$2:$B$3001,$B$2,'هالك وتحويلات'!$C$2:$C$3001,$A25,'هالك وتحويلات'!$D$2:$D$3001,"تحويل صادر",'هالك وتحويلات'!$A$2:$A$3001,"&gt;="&amp;'إعدادات المخزون'!$B$5,'هالك وتحويلات'!$A$2:$A$3001,"&lt;="&amp;'إعدادات المخزون'!$B$4)</f>
        <v>0</v>
      </c>
      <c r="H25" s="110" t="n">
        <f aca="false">SUMPRODUCT('مصفوفة الاستهلاك'!$T$2:$T$190,'متجهات المبيعات'!$F$2:$F$190)/'مواد المخزون'!$D$20</f>
        <v>15</v>
      </c>
      <c r="I25" s="110" t="n">
        <f aca="false">SUMIFS('هالك وتحويلات'!$E$2:$E$3001,'هالك وتحويلات'!$B$2:$B$3001,$B$2,'هالك وتحويلات'!$C$2:$C$3001,$A25,'هالك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وتحويلات'!$C$2:$C$3001,$A25,'هالك وتحويلات'!$D$2:$D$3001,"ضيافة / أكل موظفين",'هالك وتحويلات'!$A$2:$A$3001,"&gt;="&amp;'إعدادات المخزون'!$B$5,'هالك وتحويلات'!$A$2:$A$3001,"&lt;="&amp;'إعدادات المخزون'!$B$4)</f>
        <v>0</v>
      </c>
      <c r="J25" s="110" t="n">
        <f aca="false">D25+E25+F25-G25-H25-I25</f>
        <v>19</v>
      </c>
      <c r="K25" s="36" t="str">
        <f aca="false">IF(COUNTIFS('جرد فعلي'!$B$2:$B$12001,$B$2,'جرد فعلي'!$C$2:$C$12001,$A25,'جرد فعلي'!$A$2:$A$12001,'إعدادات المخزون'!$B$4)&gt;0,"نعم","لا")</f>
        <v>لا</v>
      </c>
      <c r="L25" s="111" t="str">
        <f aca="false">IF(K25="نعم",SUMIFS('جرد فعلي'!$D$2:$D$12001,'جرد فعلي'!$B$2:$B$12001,$B$2,'جرد فعلي'!$C$2:$C$12001,$A25,'جرد فعلي'!$A$2:$A$12001,'إعدادات المخزون'!$B$4),"")</f>
        <v/>
      </c>
      <c r="M25" s="110" t="str">
        <f aca="false">IF(K25="نعم",L25-J25,"")</f>
        <v/>
      </c>
      <c r="N25" s="112" t="str">
        <f aca="false">IF(K25="نعم",IF(J25=0,IF(M25=0,0,SIGN(M25)),M25/ABS(J25)),"")</f>
        <v/>
      </c>
      <c r="O25" s="109" t="str">
        <f aca="false">IF(K25="نعم",M25*C25,"")</f>
        <v/>
      </c>
      <c r="P25" s="36" t="str">
        <f aca="false">IF(K25&lt;&gt;"نعم","لم يُجرد",IF(ABS(N25)&lt;='إعدادات المخزون'!$B$7,"مطابق",IF(M25&lt;0,"عجز","زيادة")))</f>
        <v>لم يُجرد</v>
      </c>
      <c r="Q25" s="110" t="n">
        <f aca="false">J25-Z25</f>
        <v>20.25</v>
      </c>
      <c r="R25" s="110" t="str">
        <f aca="false">IF(COUNTIFS('جرد فعلي'!$B$2:$B$12001,$B$2,'جرد فعلي'!$C$2:$C$12001,$A25,'جرد فعلي'!$A$2:$A$12001,'إعدادات المخزون'!$B$4-1)&gt;0,SUMIFS('جرد فعلي'!$D$2:$D$12001,'جرد فعلي'!$B$2:$B$12001,$B$2,'جرد فعلي'!$C$2:$C$12001,$A25,'جرد فعلي'!$A$2:$A$12001,'إعدادات المخزون'!$B$4-1),"")</f>
        <v/>
      </c>
      <c r="S25" s="110" t="str">
        <f aca="false">IF(AND(K25="نعم",R25&lt;&gt;""),(L25-J25)-(R25-Q25),"")</f>
        <v/>
      </c>
      <c r="T25" s="109" t="str">
        <f aca="false">IF(S25="","",S25*C25)</f>
        <v/>
      </c>
      <c r="U25" s="110" t="n">
        <f aca="false">IF(K25="نعم",L25,J25)</f>
        <v>19</v>
      </c>
      <c r="V25" s="110" t="n">
        <f aca="false">SUMPRODUCT('مصفوفة الاستهلاك'!$T$2:$T$190,'متجهات المبيعات'!$G$2:$G$190)/'مواد المخزون'!$D$20/MAX(1,MIN('إعدادات المخزون'!$B$11,'إعدادات المخزون'!$B$4-'إعدادات المخزون'!$B$5+1))</f>
        <v>1.25</v>
      </c>
      <c r="W25" s="110" t="n">
        <f aca="false">IF(V25&lt;=0,0,ROUNDUP(MAX(0,V25*('إعدادات المخزون'!$B$8+'إعدادات المخزون'!$B$9+'إعدادات المخزون'!$B$10)-MAX(U25,0))/'مواد المخزون'!$F20,0)*'مواد المخزون'!$F20)</f>
        <v>0</v>
      </c>
      <c r="X25" s="109" t="n">
        <f aca="false">IF(AND(K25="نعم",O25&lt;0),-O25+ROW()*0.000000001,0)</f>
        <v>0</v>
      </c>
      <c r="Y25" s="109" t="n">
        <f aca="false">IF(AND(K25="نعم",O25&gt;0),O25+ROW()*0.000000001,0)</f>
        <v>0</v>
      </c>
      <c r="Z25" s="110" t="n">
        <f aca="false">SUMIFS('مشتريات يومية'!$D$2:$D$4001,'مشتريات يومية'!$B$2:$B$4001,$B$2,'مشتريات يومية'!$C$2:$C$4001,$A25,'مشتريات يومية'!$A$2:$A$4001,'إعدادات المخزون'!$B$4)+SUMIFS('هالك وتحويلات'!$E$2:$E$3001,'هالك وتحويلات'!$B$2:$B$3001,$B$2,'هالك وتحويلات'!$C$2:$C$3001,$A25,'هالك وتحويلات'!$D$2:$D$3001,"تحويل وارد",'هالك وتحويلات'!$A$2:$A$3001,'إعدادات المخزون'!$B$4)-SUMIFS('هالك وتحويلات'!$E$2:$E$3001,'هالك وتحويلات'!$B$2:$B$3001,$B$2,'هالك وتحويلات'!$C$2:$C$3001,$A25,'هالك وتحويلات'!$D$2:$D$3001,"تحويل صادر",'هالك وتحويلات'!$A$2:$A$3001,'إعدادات المخزون'!$B$4)-SUMIFS('هالك وتحويلات'!$E$2:$E$3001,'هالك وتحويلات'!$B$2:$B$3001,$B$2,'هالك وتحويلات'!$C$2:$C$3001,$A25,'هالك وتحويلات'!$D$2:$D$3001,"هالك",'هالك وتحويلات'!$A$2:$A$3001,'إعدادات المخزون'!$B$4)-SUMIFS('هالك وتحويلات'!$E$2:$E$3001,'هالك وتحويلات'!$B$2:$B$3001,$B$2,'هالك وتحويلات'!$C$2:$C$3001,$A25,'هالك وتحويلات'!$D$2:$D$3001,"ضيافة / أكل موظفين",'هالك وتحويلات'!$A$2:$A$3001,'إعدادات المخزون'!$B$4)-SUMPRODUCT('مصفوفة الاستهلاك'!$T$2:$T$190,'متجهات المبيعات'!$E$2:$E$190)/'مواد المخزون'!$D$20</f>
        <v>-1.25</v>
      </c>
      <c r="AA25" s="109" t="n">
        <f aca="false">IF(K25="نعم",O25,0)</f>
        <v>0</v>
      </c>
      <c r="AB25" s="109" t="n">
        <f aca="false">IF(K25="نعم",J25*C25,0)</f>
        <v>0</v>
      </c>
      <c r="AC25" s="109" t="n">
        <f aca="false">IF(T25="",0,T25)</f>
        <v>0</v>
      </c>
    </row>
    <row r="26" customFormat="false" ht="15" hidden="false" customHeight="false" outlineLevel="0" collapsed="false">
      <c r="A26" s="34" t="str">
        <f aca="false">'مواد المخزون'!A21</f>
        <v>برسيون مكسرات</v>
      </c>
      <c r="B26" s="36" t="str">
        <f aca="false">'مواد المخزون'!B21</f>
        <v>قطعة</v>
      </c>
      <c r="C26" s="109" t="n">
        <f aca="false">'مواد المخزون'!E21</f>
        <v>23</v>
      </c>
      <c r="D26" s="110" t="n">
        <f aca="false">'جرد أول المدة'!D24</f>
        <v>6</v>
      </c>
      <c r="E26" s="110" t="n">
        <f aca="false">SUMIFS('مشتريات يومية'!$D$2:$D$4001,'مشتريات يومية'!$B$2:$B$4001,$B$2,'مشتريات يومية'!$C$2:$C$4001,$A26,'مشتريات يومية'!$A$2:$A$4001,"&gt;="&amp;'إعدادات المخزون'!$B$5,'مشتريات يومية'!$A$2:$A$4001,"&lt;="&amp;'إعدادات المخزون'!$B$4)</f>
        <v>16</v>
      </c>
      <c r="F26" s="110" t="n">
        <f aca="false">SUMIFS('هالك وتحويلات'!$E$2:$E$3001,'هالك وتحويلات'!$B$2:$B$3001,$B$2,'هالك وتحويلات'!$C$2:$C$3001,$A26,'هالك وتحويلات'!$D$2:$D$3001,"تحويل وارد",'هالك وتحويلات'!$A$2:$A$3001,"&gt;="&amp;'إعدادات المخزون'!$B$5,'هالك وتحويلات'!$A$2:$A$3001,"&lt;="&amp;'إعدادات المخزون'!$B$4)</f>
        <v>0</v>
      </c>
      <c r="G26" s="110" t="n">
        <f aca="false">SUMIFS('هالك وتحويلات'!$E$2:$E$3001,'هالك وتحويلات'!$B$2:$B$3001,$B$2,'هالك وتحويلات'!$C$2:$C$3001,$A26,'هالك وتحويلات'!$D$2:$D$3001,"تحويل صادر",'هالك وتحويلات'!$A$2:$A$3001,"&gt;="&amp;'إعدادات المخزون'!$B$5,'هالك وتحويلات'!$A$2:$A$3001,"&lt;="&amp;'إعدادات المخزون'!$B$4)</f>
        <v>0</v>
      </c>
      <c r="H26" s="110" t="n">
        <f aca="false">SUMPRODUCT('مصفوفة الاستهلاك'!$U$2:$U$190,'متجهات المبيعات'!$F$2:$F$190)/'مواد المخزون'!$D$21</f>
        <v>12.9996</v>
      </c>
      <c r="I26" s="110" t="n">
        <f aca="false">SUMIFS('هالك وتحويلات'!$E$2:$E$3001,'هالك وتحويلات'!$B$2:$B$3001,$B$2,'هالك وتحويلات'!$C$2:$C$3001,$A26,'هالك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وتحويلات'!$C$2:$C$3001,$A26,'هالك وتحويلات'!$D$2:$D$3001,"ضيافة / أكل موظفين",'هالك وتحويلات'!$A$2:$A$3001,"&gt;="&amp;'إعدادات المخزون'!$B$5,'هالك وتحويلات'!$A$2:$A$3001,"&lt;="&amp;'إعدادات المخزون'!$B$4)</f>
        <v>0</v>
      </c>
      <c r="J26" s="110" t="n">
        <f aca="false">D26+E26+F26-G26-H26-I26</f>
        <v>9.0004</v>
      </c>
      <c r="K26" s="36" t="str">
        <f aca="false">IF(COUNTIFS('جرد فعلي'!$B$2:$B$12001,$B$2,'جرد فعلي'!$C$2:$C$12001,$A26,'جرد فعلي'!$A$2:$A$12001,'إعدادات المخزون'!$B$4)&gt;0,"نعم","لا")</f>
        <v>لا</v>
      </c>
      <c r="L26" s="111" t="str">
        <f aca="false">IF(K26="نعم",SUMIFS('جرد فعلي'!$D$2:$D$12001,'جرد فعلي'!$B$2:$B$12001,$B$2,'جرد فعلي'!$C$2:$C$12001,$A26,'جرد فعلي'!$A$2:$A$12001,'إعدادات المخزون'!$B$4),"")</f>
        <v/>
      </c>
      <c r="M26" s="110" t="str">
        <f aca="false">IF(K26="نعم",L26-J26,"")</f>
        <v/>
      </c>
      <c r="N26" s="112" t="str">
        <f aca="false">IF(K26="نعم",IF(J26=0,IF(M26=0,0,SIGN(M26)),M26/ABS(J26)),"")</f>
        <v/>
      </c>
      <c r="O26" s="109" t="str">
        <f aca="false">IF(K26="نعم",M26*C26,"")</f>
        <v/>
      </c>
      <c r="P26" s="36" t="str">
        <f aca="false">IF(K26&lt;&gt;"نعم","لم يُجرد",IF(ABS(N26)&lt;='إعدادات المخزون'!$B$7,"مطابق",IF(M26&lt;0,"عجز","زيادة")))</f>
        <v>لم يُجرد</v>
      </c>
      <c r="Q26" s="110" t="n">
        <f aca="false">J26-Z26</f>
        <v>10.0837</v>
      </c>
      <c r="R26" s="110" t="str">
        <f aca="false">IF(COUNTIFS('جرد فعلي'!$B$2:$B$12001,$B$2,'جرد فعلي'!$C$2:$C$12001,$A26,'جرد فعلي'!$A$2:$A$12001,'إعدادات المخزون'!$B$4-1)&gt;0,SUMIFS('جرد فعلي'!$D$2:$D$12001,'جرد فعلي'!$B$2:$B$12001,$B$2,'جرد فعلي'!$C$2:$C$12001,$A26,'جرد فعلي'!$A$2:$A$12001,'إعدادات المخزون'!$B$4-1),"")</f>
        <v/>
      </c>
      <c r="S26" s="110" t="str">
        <f aca="false">IF(AND(K26="نعم",R26&lt;&gt;""),(L26-J26)-(R26-Q26),"")</f>
        <v/>
      </c>
      <c r="T26" s="109" t="str">
        <f aca="false">IF(S26="","",S26*C26)</f>
        <v/>
      </c>
      <c r="U26" s="110" t="n">
        <f aca="false">IF(K26="نعم",L26,J26)</f>
        <v>9.0004</v>
      </c>
      <c r="V26" s="110" t="n">
        <f aca="false">SUMPRODUCT('مصفوفة الاستهلاك'!$U$2:$U$190,'متجهات المبيعات'!$G$2:$G$190)/'مواد المخزون'!$D$21/MAX(1,MIN('إعدادات المخزون'!$B$11,'إعدادات المخزون'!$B$4-'إعدادات المخزون'!$B$5+1))</f>
        <v>1.0833</v>
      </c>
      <c r="W26" s="110" t="n">
        <f aca="false">IF(V26&lt;=0,0,ROUNDUP(MAX(0,V26*('إعدادات المخزون'!$B$8+'إعدادات المخزون'!$B$9+'إعدادات المخزون'!$B$10)-MAX(U26,0))/'مواد المخزون'!$F21,0)*'مواد المخزون'!$F21)</f>
        <v>0</v>
      </c>
      <c r="X26" s="109" t="n">
        <f aca="false">IF(AND(K26="نعم",O26&lt;0),-O26+ROW()*0.000000001,0)</f>
        <v>0</v>
      </c>
      <c r="Y26" s="109" t="n">
        <f aca="false">IF(AND(K26="نعم",O26&gt;0),O26+ROW()*0.000000001,0)</f>
        <v>0</v>
      </c>
      <c r="Z26" s="110" t="n">
        <f aca="false">SUMIFS('مشتريات يومية'!$D$2:$D$4001,'مشتريات يومية'!$B$2:$B$4001,$B$2,'مشتريات يومية'!$C$2:$C$4001,$A26,'مشتريات يومية'!$A$2:$A$4001,'إعدادات المخزون'!$B$4)+SUMIFS('هالك وتحويلات'!$E$2:$E$3001,'هالك وتحويلات'!$B$2:$B$3001,$B$2,'هالك وتحويلات'!$C$2:$C$3001,$A26,'هالك وتحويلات'!$D$2:$D$3001,"تحويل وارد",'هالك وتحويلات'!$A$2:$A$3001,'إعدادات المخزون'!$B$4)-SUMIFS('هالك وتحويلات'!$E$2:$E$3001,'هالك وتحويلات'!$B$2:$B$3001,$B$2,'هالك وتحويلات'!$C$2:$C$3001,$A26,'هالك وتحويلات'!$D$2:$D$3001,"تحويل صادر",'هالك وتحويلات'!$A$2:$A$3001,'إعدادات المخزون'!$B$4)-SUMIFS('هالك وتحويلات'!$E$2:$E$3001,'هالك وتحويلات'!$B$2:$B$3001,$B$2,'هالك وتحويلات'!$C$2:$C$3001,$A26,'هالك وتحويلات'!$D$2:$D$3001,"هالك",'هالك وتحويلات'!$A$2:$A$3001,'إعدادات المخزون'!$B$4)-SUMIFS('هالك وتحويلات'!$E$2:$E$3001,'هالك وتحويلات'!$B$2:$B$3001,$B$2,'هالك وتحويلات'!$C$2:$C$3001,$A26,'هالك وتحويلات'!$D$2:$D$3001,"ضيافة / أكل موظفين",'هالك وتحويلات'!$A$2:$A$3001,'إعدادات المخزون'!$B$4)-SUMPRODUCT('مصفوفة الاستهلاك'!$U$2:$U$190,'متجهات المبيعات'!$E$2:$E$190)/'مواد المخزون'!$D$21</f>
        <v>-1.0833</v>
      </c>
      <c r="AA26" s="109" t="n">
        <f aca="false">IF(K26="نعم",O26,0)</f>
        <v>0</v>
      </c>
      <c r="AB26" s="109" t="n">
        <f aca="false">IF(K26="نعم",J26*C26,0)</f>
        <v>0</v>
      </c>
      <c r="AC26" s="109" t="n">
        <f aca="false">IF(T26="",0,T26)</f>
        <v>0</v>
      </c>
    </row>
    <row r="27" customFormat="false" ht="15" hidden="false" customHeight="false" outlineLevel="0" collapsed="false">
      <c r="A27" s="34" t="str">
        <f aca="false">'مواد المخزون'!A22</f>
        <v>برسيون موتزريلا بيتزا صغير</v>
      </c>
      <c r="B27" s="36" t="str">
        <f aca="false">'مواد المخزون'!B22</f>
        <v>قطعة</v>
      </c>
      <c r="C27" s="109" t="n">
        <f aca="false">'مواد المخزون'!E22</f>
        <v>20</v>
      </c>
      <c r="D27" s="110" t="n">
        <f aca="false">'جرد أول المدة'!D25</f>
        <v>61.5</v>
      </c>
      <c r="E27" s="110" t="n">
        <f aca="false">SUMIFS('مشتريات يومية'!$D$2:$D$4001,'مشتريات يومية'!$B$2:$B$4001,$B$2,'مشتريات يومية'!$C$2:$C$4001,$A27,'مشتريات يومية'!$A$2:$A$4001,"&gt;="&amp;'إعدادات المخزون'!$B$5,'مشتريات يومية'!$A$2:$A$4001,"&lt;="&amp;'إعدادات المخزون'!$B$4)</f>
        <v>555</v>
      </c>
      <c r="F27" s="110" t="n">
        <f aca="false">SUMIFS('هالك وتحويلات'!$E$2:$E$3001,'هالك وتحويلات'!$B$2:$B$3001,$B$2,'هالك وتحويلات'!$C$2:$C$3001,$A27,'هالك وتحويلات'!$D$2:$D$3001,"تحويل وارد",'هالك وتحويلات'!$A$2:$A$3001,"&gt;="&amp;'إعدادات المخزون'!$B$5,'هالك وتحويلات'!$A$2:$A$3001,"&lt;="&amp;'إعدادات المخزون'!$B$4)</f>
        <v>0</v>
      </c>
      <c r="G27" s="110" t="n">
        <f aca="false">SUMIFS('هالك وتحويلات'!$E$2:$E$3001,'هالك وتحويلات'!$B$2:$B$3001,$B$2,'هالك وتحويلات'!$C$2:$C$3001,$A27,'هالك وتحويلات'!$D$2:$D$3001,"تحويل صادر",'هالك وتحويلات'!$A$2:$A$3001,"&gt;="&amp;'إعدادات المخزون'!$B$5,'هالك وتحويلات'!$A$2:$A$3001,"&lt;="&amp;'إعدادات المخزون'!$B$4)</f>
        <v>0</v>
      </c>
      <c r="H27" s="110" t="n">
        <f aca="false">SUMPRODUCT('مصفوفة الاستهلاك'!$V$2:$V$190,'متجهات المبيعات'!$F$2:$F$190)/'مواد المخزون'!$D$22</f>
        <v>532.0002</v>
      </c>
      <c r="I27" s="110" t="n">
        <f aca="false">SUMIFS('هالك وتحويلات'!$E$2:$E$3001,'هالك وتحويلات'!$B$2:$B$3001,$B$2,'هالك وتحويلات'!$C$2:$C$3001,$A27,'هالك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وتحويلات'!$C$2:$C$3001,$A27,'هالك وتحويلات'!$D$2:$D$3001,"ضيافة / أكل موظفين",'هالك وتحويلات'!$A$2:$A$3001,"&gt;="&amp;'إعدادات المخزون'!$B$5,'هالك وتحويلات'!$A$2:$A$3001,"&lt;="&amp;'إعدادات المخزون'!$B$4)</f>
        <v>0</v>
      </c>
      <c r="J27" s="110" t="n">
        <f aca="false">D27+E27+F27-G27-H27-I27</f>
        <v>84.4998000000001</v>
      </c>
      <c r="K27" s="36" t="str">
        <f aca="false">IF(COUNTIFS('جرد فعلي'!$B$2:$B$12001,$B$2,'جرد فعلي'!$C$2:$C$12001,$A27,'جرد فعلي'!$A$2:$A$12001,'إعدادات المخزون'!$B$4)&gt;0,"نعم","لا")</f>
        <v>لا</v>
      </c>
      <c r="L27" s="111" t="str">
        <f aca="false">IF(K27="نعم",SUMIFS('جرد فعلي'!$D$2:$D$12001,'جرد فعلي'!$B$2:$B$12001,$B$2,'جرد فعلي'!$C$2:$C$12001,$A27,'جرد فعلي'!$A$2:$A$12001,'إعدادات المخزون'!$B$4),"")</f>
        <v/>
      </c>
      <c r="M27" s="110" t="str">
        <f aca="false">IF(K27="نعم",L27-J27,"")</f>
        <v/>
      </c>
      <c r="N27" s="112" t="str">
        <f aca="false">IF(K27="نعم",IF(J27=0,IF(M27=0,0,SIGN(M27)),M27/ABS(J27)),"")</f>
        <v/>
      </c>
      <c r="O27" s="109" t="str">
        <f aca="false">IF(K27="نعم",M27*C27,"")</f>
        <v/>
      </c>
      <c r="P27" s="36" t="str">
        <f aca="false">IF(K27&lt;&gt;"نعم","لم يُجرد",IF(ABS(N27)&lt;='إعدادات المخزون'!$B$7,"مطابق",IF(M27&lt;0,"عجز","زيادة")))</f>
        <v>لم يُجرد</v>
      </c>
      <c r="Q27" s="110" t="n">
        <f aca="false">J27-Z27</f>
        <v>128.83315</v>
      </c>
      <c r="R27" s="110" t="str">
        <f aca="false">IF(COUNTIFS('جرد فعلي'!$B$2:$B$12001,$B$2,'جرد فعلي'!$C$2:$C$12001,$A27,'جرد فعلي'!$A$2:$A$12001,'إعدادات المخزون'!$B$4-1)&gt;0,SUMIFS('جرد فعلي'!$D$2:$D$12001,'جرد فعلي'!$B$2:$B$12001,$B$2,'جرد فعلي'!$C$2:$C$12001,$A27,'جرد فعلي'!$A$2:$A$12001,'إعدادات المخزون'!$B$4-1),"")</f>
        <v/>
      </c>
      <c r="S27" s="110" t="str">
        <f aca="false">IF(AND(K27="نعم",R27&lt;&gt;""),(L27-J27)-(R27-Q27),"")</f>
        <v/>
      </c>
      <c r="T27" s="109" t="str">
        <f aca="false">IF(S27="","",S27*C27)</f>
        <v/>
      </c>
      <c r="U27" s="110" t="n">
        <f aca="false">IF(K27="نعم",L27,J27)</f>
        <v>84.4998000000001</v>
      </c>
      <c r="V27" s="110" t="n">
        <f aca="false">SUMPRODUCT('مصفوفة الاستهلاك'!$V$2:$V$190,'متجهات المبيعات'!$G$2:$G$190)/'مواد المخزون'!$D$22/MAX(1,MIN('إعدادات المخزون'!$B$11,'إعدادات المخزون'!$B$4-'إعدادات المخزون'!$B$5+1))</f>
        <v>44.33335</v>
      </c>
      <c r="W27" s="110" t="n">
        <f aca="false">IF(V27&lt;=0,0,ROUNDUP(MAX(0,V27*('إعدادات المخزون'!$B$8+'إعدادات المخزون'!$B$9+'إعدادات المخزون'!$B$10)-MAX(U27,0))/'مواد المخزون'!$F22,0)*'مواد المخزون'!$F22)</f>
        <v>93</v>
      </c>
      <c r="X27" s="109" t="n">
        <f aca="false">IF(AND(K27="نعم",O27&lt;0),-O27+ROW()*0.000000001,0)</f>
        <v>0</v>
      </c>
      <c r="Y27" s="109" t="n">
        <f aca="false">IF(AND(K27="نعم",O27&gt;0),O27+ROW()*0.000000001,0)</f>
        <v>0</v>
      </c>
      <c r="Z27" s="110" t="n">
        <f aca="false">SUMIFS('مشتريات يومية'!$D$2:$D$4001,'مشتريات يومية'!$B$2:$B$4001,$B$2,'مشتريات يومية'!$C$2:$C$4001,$A27,'مشتريات يومية'!$A$2:$A$4001,'إعدادات المخزون'!$B$4)+SUMIFS('هالك وتحويلات'!$E$2:$E$3001,'هالك وتحويلات'!$B$2:$B$3001,$B$2,'هالك وتحويلات'!$C$2:$C$3001,$A27,'هالك وتحويلات'!$D$2:$D$3001,"تحويل وارد",'هالك وتحويلات'!$A$2:$A$3001,'إعدادات المخزون'!$B$4)-SUMIFS('هالك وتحويلات'!$E$2:$E$3001,'هالك وتحويلات'!$B$2:$B$3001,$B$2,'هالك وتحويلات'!$C$2:$C$3001,$A27,'هالك وتحويلات'!$D$2:$D$3001,"تحويل صادر",'هالك وتحويلات'!$A$2:$A$3001,'إعدادات المخزون'!$B$4)-SUMIFS('هالك وتحويلات'!$E$2:$E$3001,'هالك وتحويلات'!$B$2:$B$3001,$B$2,'هالك وتحويلات'!$C$2:$C$3001,$A27,'هالك وتحويلات'!$D$2:$D$3001,"هالك",'هالك وتحويلات'!$A$2:$A$3001,'إعدادات المخزون'!$B$4)-SUMIFS('هالك وتحويلات'!$E$2:$E$3001,'هالك وتحويلات'!$B$2:$B$3001,$B$2,'هالك وتحويلات'!$C$2:$C$3001,$A27,'هالك وتحويلات'!$D$2:$D$3001,"ضيافة / أكل موظفين",'هالك وتحويلات'!$A$2:$A$3001,'إعدادات المخزون'!$B$4)-SUMPRODUCT('مصفوفة الاستهلاك'!$V$2:$V$190,'متجهات المبيعات'!$E$2:$E$190)/'مواد المخزون'!$D$22</f>
        <v>-44.33335</v>
      </c>
      <c r="AA27" s="109" t="n">
        <f aca="false">IF(K27="نعم",O27,0)</f>
        <v>0</v>
      </c>
      <c r="AB27" s="109" t="n">
        <f aca="false">IF(K27="نعم",J27*C27,0)</f>
        <v>0</v>
      </c>
      <c r="AC27" s="109" t="n">
        <f aca="false">IF(T27="",0,T27)</f>
        <v>0</v>
      </c>
    </row>
    <row r="28" customFormat="false" ht="15" hidden="false" customHeight="false" outlineLevel="0" collapsed="false">
      <c r="A28" s="34" t="str">
        <f aca="false">'مواد المخزون'!A23</f>
        <v>برسيون موتزريلا بيتزا كبير</v>
      </c>
      <c r="B28" s="36" t="str">
        <f aca="false">'مواد المخزون'!B23</f>
        <v>قطعة</v>
      </c>
      <c r="C28" s="109" t="n">
        <f aca="false">'مواد المخزون'!E23</f>
        <v>27.1395</v>
      </c>
      <c r="D28" s="110" t="n">
        <f aca="false">'جرد أول المدة'!D26</f>
        <v>75</v>
      </c>
      <c r="E28" s="110" t="n">
        <f aca="false">SUMIFS('مشتريات يومية'!$D$2:$D$4001,'مشتريات يومية'!$B$2:$B$4001,$B$2,'مشتريات يومية'!$C$2:$C$4001,$A28,'مشتريات يومية'!$A$2:$A$4001,"&gt;="&amp;'إعدادات المخزون'!$B$5,'مشتريات يومية'!$A$2:$A$4001,"&lt;="&amp;'إعدادات المخزون'!$B$4)</f>
        <v>110</v>
      </c>
      <c r="F28" s="110" t="n">
        <f aca="false">SUMIFS('هالك وتحويلات'!$E$2:$E$3001,'هالك وتحويلات'!$B$2:$B$3001,$B$2,'هالك وتحويلات'!$C$2:$C$3001,$A28,'هالك وتحويلات'!$D$2:$D$3001,"تحويل وارد",'هالك وتحويلات'!$A$2:$A$3001,"&gt;="&amp;'إعدادات المخزون'!$B$5,'هالك وتحويلات'!$A$2:$A$3001,"&lt;="&amp;'إعدادات المخزون'!$B$4)</f>
        <v>0</v>
      </c>
      <c r="G28" s="110" t="n">
        <f aca="false">SUMIFS('هالك وتحويلات'!$E$2:$E$3001,'هالك وتحويلات'!$B$2:$B$3001,$B$2,'هالك وتحويلات'!$C$2:$C$3001,$A28,'هالك وتحويلات'!$D$2:$D$3001,"تحويل صادر",'هالك وتحويلات'!$A$2:$A$3001,"&gt;="&amp;'إعدادات المخزون'!$B$5,'هالك وتحويلات'!$A$2:$A$3001,"&lt;="&amp;'إعدادات المخزون'!$B$4)</f>
        <v>0</v>
      </c>
      <c r="H28" s="110" t="n">
        <f aca="false">SUMPRODUCT('مصفوفة الاستهلاك'!$W$2:$W$190,'متجهات المبيعات'!$F$2:$F$190)/'مواد المخزون'!$D$23</f>
        <v>105.9996</v>
      </c>
      <c r="I28" s="110" t="n">
        <f aca="false">SUMIFS('هالك وتحويلات'!$E$2:$E$3001,'هالك وتحويلات'!$B$2:$B$3001,$B$2,'هالك وتحويلات'!$C$2:$C$3001,$A28,'هالك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وتحويلات'!$C$2:$C$3001,$A28,'هالك وتحويلات'!$D$2:$D$3001,"ضيافة / أكل موظفين",'هالك وتحويلات'!$A$2:$A$3001,"&gt;="&amp;'إعدادات المخزون'!$B$5,'هالك وتحويلات'!$A$2:$A$3001,"&lt;="&amp;'إعدادات المخزون'!$B$4)</f>
        <v>0</v>
      </c>
      <c r="J28" s="110" t="n">
        <f aca="false">D28+E28+F28-G28-H28-I28</f>
        <v>79.0004</v>
      </c>
      <c r="K28" s="36" t="str">
        <f aca="false">IF(COUNTIFS('جرد فعلي'!$B$2:$B$12001,$B$2,'جرد فعلي'!$C$2:$C$12001,$A28,'جرد فعلي'!$A$2:$A$12001,'إعدادات المخزون'!$B$4)&gt;0,"نعم","لا")</f>
        <v>لا</v>
      </c>
      <c r="L28" s="111" t="str">
        <f aca="false">IF(K28="نعم",SUMIFS('جرد فعلي'!$D$2:$D$12001,'جرد فعلي'!$B$2:$B$12001,$B$2,'جرد فعلي'!$C$2:$C$12001,$A28,'جرد فعلي'!$A$2:$A$12001,'إعدادات المخزون'!$B$4),"")</f>
        <v/>
      </c>
      <c r="M28" s="110" t="str">
        <f aca="false">IF(K28="نعم",L28-J28,"")</f>
        <v/>
      </c>
      <c r="N28" s="112" t="str">
        <f aca="false">IF(K28="نعم",IF(J28=0,IF(M28=0,0,SIGN(M28)),M28/ABS(J28)),"")</f>
        <v/>
      </c>
      <c r="O28" s="109" t="str">
        <f aca="false">IF(K28="نعم",M28*C28,"")</f>
        <v/>
      </c>
      <c r="P28" s="36" t="str">
        <f aca="false">IF(K28&lt;&gt;"نعم","لم يُجرد",IF(ABS(N28)&lt;='إعدادات المخزون'!$B$7,"مطابق",IF(M28&lt;0,"عجز","زيادة")))</f>
        <v>لم يُجرد</v>
      </c>
      <c r="Q28" s="110" t="n">
        <f aca="false">J28-Z28</f>
        <v>87.8337</v>
      </c>
      <c r="R28" s="110" t="str">
        <f aca="false">IF(COUNTIFS('جرد فعلي'!$B$2:$B$12001,$B$2,'جرد فعلي'!$C$2:$C$12001,$A28,'جرد فعلي'!$A$2:$A$12001,'إعدادات المخزون'!$B$4-1)&gt;0,SUMIFS('جرد فعلي'!$D$2:$D$12001,'جرد فعلي'!$B$2:$B$12001,$B$2,'جرد فعلي'!$C$2:$C$12001,$A28,'جرد فعلي'!$A$2:$A$12001,'إعدادات المخزون'!$B$4-1),"")</f>
        <v/>
      </c>
      <c r="S28" s="110" t="str">
        <f aca="false">IF(AND(K28="نعم",R28&lt;&gt;""),(L28-J28)-(R28-Q28),"")</f>
        <v/>
      </c>
      <c r="T28" s="109" t="str">
        <f aca="false">IF(S28="","",S28*C28)</f>
        <v/>
      </c>
      <c r="U28" s="110" t="n">
        <f aca="false">IF(K28="نعم",L28,J28)</f>
        <v>79.0004</v>
      </c>
      <c r="V28" s="110" t="n">
        <f aca="false">SUMPRODUCT('مصفوفة الاستهلاك'!$W$2:$W$190,'متجهات المبيعات'!$G$2:$G$190)/'مواد المخزون'!$D$23/MAX(1,MIN('إعدادات المخزون'!$B$11,'إعدادات المخزون'!$B$4-'إعدادات المخزون'!$B$5+1))</f>
        <v>8.8333</v>
      </c>
      <c r="W28" s="110" t="n">
        <f aca="false">IF(V28&lt;=0,0,ROUNDUP(MAX(0,V28*('إعدادات المخزون'!$B$8+'إعدادات المخزون'!$B$9+'إعدادات المخزون'!$B$10)-MAX(U28,0))/'مواد المخزون'!$F23,0)*'مواد المخزون'!$F23)</f>
        <v>0</v>
      </c>
      <c r="X28" s="109" t="n">
        <f aca="false">IF(AND(K28="نعم",O28&lt;0),-O28+ROW()*0.000000001,0)</f>
        <v>0</v>
      </c>
      <c r="Y28" s="109" t="n">
        <f aca="false">IF(AND(K28="نعم",O28&gt;0),O28+ROW()*0.000000001,0)</f>
        <v>0</v>
      </c>
      <c r="Z28" s="110" t="n">
        <f aca="false">SUMIFS('مشتريات يومية'!$D$2:$D$4001,'مشتريات يومية'!$B$2:$B$4001,$B$2,'مشتريات يومية'!$C$2:$C$4001,$A28,'مشتريات يومية'!$A$2:$A$4001,'إعدادات المخزون'!$B$4)+SUMIFS('هالك وتحويلات'!$E$2:$E$3001,'هالك وتحويلات'!$B$2:$B$3001,$B$2,'هالك وتحويلات'!$C$2:$C$3001,$A28,'هالك وتحويلات'!$D$2:$D$3001,"تحويل وارد",'هالك وتحويلات'!$A$2:$A$3001,'إعدادات المخزون'!$B$4)-SUMIFS('هالك وتحويلات'!$E$2:$E$3001,'هالك وتحويلات'!$B$2:$B$3001,$B$2,'هالك وتحويلات'!$C$2:$C$3001,$A28,'هالك وتحويلات'!$D$2:$D$3001,"تحويل صادر",'هالك وتحويلات'!$A$2:$A$3001,'إعدادات المخزون'!$B$4)-SUMIFS('هالك وتحويلات'!$E$2:$E$3001,'هالك وتحويلات'!$B$2:$B$3001,$B$2,'هالك وتحويلات'!$C$2:$C$3001,$A28,'هالك وتحويلات'!$D$2:$D$3001,"هالك",'هالك وتحويلات'!$A$2:$A$3001,'إعدادات المخزون'!$B$4)-SUMIFS('هالك وتحويلات'!$E$2:$E$3001,'هالك وتحويلات'!$B$2:$B$3001,$B$2,'هالك وتحويلات'!$C$2:$C$3001,$A28,'هالك وتحويلات'!$D$2:$D$3001,"ضيافة / أكل موظفين",'هالك وتحويلات'!$A$2:$A$3001,'إعدادات المخزون'!$B$4)-SUMPRODUCT('مصفوفة الاستهلاك'!$W$2:$W$190,'متجهات المبيعات'!$E$2:$E$190)/'مواد المخزون'!$D$23</f>
        <v>-8.8333</v>
      </c>
      <c r="AA28" s="109" t="n">
        <f aca="false">IF(K28="نعم",O28,0)</f>
        <v>0</v>
      </c>
      <c r="AB28" s="109" t="n">
        <f aca="false">IF(K28="نعم",J28*C28,0)</f>
        <v>0</v>
      </c>
      <c r="AC28" s="109" t="n">
        <f aca="false">IF(T28="",0,T28)</f>
        <v>0</v>
      </c>
    </row>
    <row r="29" customFormat="false" ht="15" hidden="false" customHeight="false" outlineLevel="0" collapsed="false">
      <c r="A29" s="34" t="str">
        <f aca="false">'مواد المخزون'!A24</f>
        <v>برسيون موتزريلا فطير صغير</v>
      </c>
      <c r="B29" s="36" t="str">
        <f aca="false">'مواد المخزون'!B24</f>
        <v>قطعة</v>
      </c>
      <c r="C29" s="109" t="n">
        <f aca="false">'مواد المخزون'!E24</f>
        <v>17.5</v>
      </c>
      <c r="D29" s="110" t="n">
        <f aca="false">'جرد أول المدة'!D27</f>
        <v>86</v>
      </c>
      <c r="E29" s="110" t="n">
        <f aca="false">SUMIFS('مشتريات يومية'!$D$2:$D$4001,'مشتريات يومية'!$B$2:$B$4001,$B$2,'مشتريات يومية'!$C$2:$C$4001,$A29,'مشتريات يومية'!$A$2:$A$4001,"&gt;="&amp;'إعدادات المخزون'!$B$5,'مشتريات يومية'!$A$2:$A$4001,"&lt;="&amp;'إعدادات المخزون'!$B$4)</f>
        <v>810</v>
      </c>
      <c r="F29" s="110" t="n">
        <f aca="false">SUMIFS('هالك وتحويلات'!$E$2:$E$3001,'هالك وتحويلات'!$B$2:$B$3001,$B$2,'هالك وتحويلات'!$C$2:$C$3001,$A29,'هالك وتحويلات'!$D$2:$D$3001,"تحويل وارد",'هالك وتحويلات'!$A$2:$A$3001,"&gt;="&amp;'إعدادات المخزون'!$B$5,'هالك وتحويلات'!$A$2:$A$3001,"&lt;="&amp;'إعدادات المخزون'!$B$4)</f>
        <v>0</v>
      </c>
      <c r="G29" s="110" t="n">
        <f aca="false">SUMIFS('هالك وتحويلات'!$E$2:$E$3001,'هالك وتحويلات'!$B$2:$B$3001,$B$2,'هالك وتحويلات'!$C$2:$C$3001,$A29,'هالك وتحويلات'!$D$2:$D$3001,"تحويل صادر",'هالك وتحويلات'!$A$2:$A$3001,"&gt;="&amp;'إعدادات المخزون'!$B$5,'هالك وتحويلات'!$A$2:$A$3001,"&lt;="&amp;'إعدادات المخزون'!$B$4)</f>
        <v>0</v>
      </c>
      <c r="H29" s="110" t="n">
        <f aca="false">SUMPRODUCT('مصفوفة الاستهلاك'!$X$2:$X$190,'متجهات المبيعات'!$F$2:$F$190)/'مواد المخزون'!$D$24</f>
        <v>943.0014</v>
      </c>
      <c r="I29" s="110" t="n">
        <f aca="false">SUMIFS('هالك وتحويلات'!$E$2:$E$3001,'هالك وتحويلات'!$B$2:$B$3001,$B$2,'هالك وتحويلات'!$C$2:$C$3001,$A29,'هالك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وتحويلات'!$C$2:$C$3001,$A29,'هالك وتحويلات'!$D$2:$D$3001,"ضيافة / أكل موظفين",'هالك وتحويلات'!$A$2:$A$3001,"&gt;="&amp;'إعدادات المخزون'!$B$5,'هالك وتحويلات'!$A$2:$A$3001,"&lt;="&amp;'إعدادات المخزون'!$B$4)</f>
        <v>0</v>
      </c>
      <c r="J29" s="110" t="n">
        <f aca="false">D29+E29+F29-G29-H29-I29</f>
        <v>-47.0014</v>
      </c>
      <c r="K29" s="36" t="str">
        <f aca="false">IF(COUNTIFS('جرد فعلي'!$B$2:$B$12001,$B$2,'جرد فعلي'!$C$2:$C$12001,$A29,'جرد فعلي'!$A$2:$A$12001,'إعدادات المخزون'!$B$4)&gt;0,"نعم","لا")</f>
        <v>لا</v>
      </c>
      <c r="L29" s="111" t="str">
        <f aca="false">IF(K29="نعم",SUMIFS('جرد فعلي'!$D$2:$D$12001,'جرد فعلي'!$B$2:$B$12001,$B$2,'جرد فعلي'!$C$2:$C$12001,$A29,'جرد فعلي'!$A$2:$A$12001,'إعدادات المخزون'!$B$4),"")</f>
        <v/>
      </c>
      <c r="M29" s="110" t="str">
        <f aca="false">IF(K29="نعم",L29-J29,"")</f>
        <v/>
      </c>
      <c r="N29" s="112" t="str">
        <f aca="false">IF(K29="نعم",IF(J29=0,IF(M29=0,0,SIGN(M29)),M29/ABS(J29)),"")</f>
        <v/>
      </c>
      <c r="O29" s="109" t="str">
        <f aca="false">IF(K29="نعم",M29*C29,"")</f>
        <v/>
      </c>
      <c r="P29" s="36" t="str">
        <f aca="false">IF(K29&lt;&gt;"نعم","لم يُجرد",IF(ABS(N29)&lt;='إعدادات المخزون'!$B$7,"مطابق",IF(M29&lt;0,"عجز","زيادة")))</f>
        <v>لم يُجرد</v>
      </c>
      <c r="Q29" s="110" t="n">
        <f aca="false">J29-Z29</f>
        <v>31.58205</v>
      </c>
      <c r="R29" s="110" t="str">
        <f aca="false">IF(COUNTIFS('جرد فعلي'!$B$2:$B$12001,$B$2,'جرد فعلي'!$C$2:$C$12001,$A29,'جرد فعلي'!$A$2:$A$12001,'إعدادات المخزون'!$B$4-1)&gt;0,SUMIFS('جرد فعلي'!$D$2:$D$12001,'جرد فعلي'!$B$2:$B$12001,$B$2,'جرد فعلي'!$C$2:$C$12001,$A29,'جرد فعلي'!$A$2:$A$12001,'إعدادات المخزون'!$B$4-1),"")</f>
        <v/>
      </c>
      <c r="S29" s="110" t="str">
        <f aca="false">IF(AND(K29="نعم",R29&lt;&gt;""),(L29-J29)-(R29-Q29),"")</f>
        <v/>
      </c>
      <c r="T29" s="109" t="str">
        <f aca="false">IF(S29="","",S29*C29)</f>
        <v/>
      </c>
      <c r="U29" s="110" t="n">
        <f aca="false">IF(K29="نعم",L29,J29)</f>
        <v>-47.0014</v>
      </c>
      <c r="V29" s="110" t="n">
        <f aca="false">SUMPRODUCT('مصفوفة الاستهلاك'!$X$2:$X$190,'متجهات المبيعات'!$G$2:$G$190)/'مواد المخزون'!$D$24/MAX(1,MIN('إعدادات المخزون'!$B$11,'إعدادات المخزون'!$B$4-'إعدادات المخزون'!$B$5+1))</f>
        <v>78.58345</v>
      </c>
      <c r="W29" s="110" t="n">
        <f aca="false">IF(V29&lt;=0,0,ROUNDUP(MAX(0,V29*('إعدادات المخزون'!$B$8+'إعدادات المخزون'!$B$9+'إعدادات المخزون'!$B$10)-MAX(U29,0))/'مواد المخزون'!$F24,0)*'مواد المخزون'!$F24)</f>
        <v>315</v>
      </c>
      <c r="X29" s="109" t="n">
        <f aca="false">IF(AND(K29="نعم",O29&lt;0),-O29+ROW()*0.000000001,0)</f>
        <v>0</v>
      </c>
      <c r="Y29" s="109" t="n">
        <f aca="false">IF(AND(K29="نعم",O29&gt;0),O29+ROW()*0.000000001,0)</f>
        <v>0</v>
      </c>
      <c r="Z29" s="110" t="n">
        <f aca="false">SUMIFS('مشتريات يومية'!$D$2:$D$4001,'مشتريات يومية'!$B$2:$B$4001,$B$2,'مشتريات يومية'!$C$2:$C$4001,$A29,'مشتريات يومية'!$A$2:$A$4001,'إعدادات المخزون'!$B$4)+SUMIFS('هالك وتحويلات'!$E$2:$E$3001,'هالك وتحويلات'!$B$2:$B$3001,$B$2,'هالك وتحويلات'!$C$2:$C$3001,$A29,'هالك وتحويلات'!$D$2:$D$3001,"تحويل وارد",'هالك وتحويلات'!$A$2:$A$3001,'إعدادات المخزون'!$B$4)-SUMIFS('هالك وتحويلات'!$E$2:$E$3001,'هالك وتحويلات'!$B$2:$B$3001,$B$2,'هالك وتحويلات'!$C$2:$C$3001,$A29,'هالك وتحويلات'!$D$2:$D$3001,"تحويل صادر",'هالك وتحويلات'!$A$2:$A$3001,'إعدادات المخزون'!$B$4)-SUMIFS('هالك وتحويلات'!$E$2:$E$3001,'هالك وتحويلات'!$B$2:$B$3001,$B$2,'هالك وتحويلات'!$C$2:$C$3001,$A29,'هالك وتحويلات'!$D$2:$D$3001,"هالك",'هالك وتحويلات'!$A$2:$A$3001,'إعدادات المخزون'!$B$4)-SUMIFS('هالك وتحويلات'!$E$2:$E$3001,'هالك وتحويلات'!$B$2:$B$3001,$B$2,'هالك وتحويلات'!$C$2:$C$3001,$A29,'هالك وتحويلات'!$D$2:$D$3001,"ضيافة / أكل موظفين",'هالك وتحويلات'!$A$2:$A$3001,'إعدادات المخزون'!$B$4)-SUMPRODUCT('مصفوفة الاستهلاك'!$X$2:$X$190,'متجهات المبيعات'!$E$2:$E$190)/'مواد المخزون'!$D$24</f>
        <v>-78.58345</v>
      </c>
      <c r="AA29" s="109" t="n">
        <f aca="false">IF(K29="نعم",O29,0)</f>
        <v>0</v>
      </c>
      <c r="AB29" s="109" t="n">
        <f aca="false">IF(K29="نعم",J29*C29,0)</f>
        <v>0</v>
      </c>
      <c r="AC29" s="109" t="n">
        <f aca="false">IF(T29="",0,T29)</f>
        <v>0</v>
      </c>
    </row>
    <row r="30" customFormat="false" ht="15" hidden="false" customHeight="false" outlineLevel="0" collapsed="false">
      <c r="A30" s="34" t="str">
        <f aca="false">'مواد المخزون'!A25</f>
        <v>برسيون موتزريلا فطير كبير</v>
      </c>
      <c r="B30" s="36" t="str">
        <f aca="false">'مواد المخزون'!B25</f>
        <v>قطعة</v>
      </c>
      <c r="C30" s="109" t="n">
        <f aca="false">'مواد المخزون'!E25</f>
        <v>25</v>
      </c>
      <c r="D30" s="110" t="n">
        <f aca="false">'جرد أول المدة'!D28</f>
        <v>39</v>
      </c>
      <c r="E30" s="110" t="n">
        <f aca="false">SUMIFS('مشتريات يومية'!$D$2:$D$4001,'مشتريات يومية'!$B$2:$B$4001,$B$2,'مشتريات يومية'!$C$2:$C$4001,$A30,'مشتريات يومية'!$A$2:$A$4001,"&gt;="&amp;'إعدادات المخزون'!$B$5,'مشتريات يومية'!$A$2:$A$4001,"&lt;="&amp;'إعدادات المخزون'!$B$4)</f>
        <v>200</v>
      </c>
      <c r="F30" s="110" t="n">
        <f aca="false">SUMIFS('هالك وتحويلات'!$E$2:$E$3001,'هالك وتحويلات'!$B$2:$B$3001,$B$2,'هالك وتحويلات'!$C$2:$C$3001,$A30,'هالك وتحويلات'!$D$2:$D$3001,"تحويل وارد",'هالك وتحويلات'!$A$2:$A$3001,"&gt;="&amp;'إعدادات المخزون'!$B$5,'هالك وتحويلات'!$A$2:$A$3001,"&lt;="&amp;'إعدادات المخزون'!$B$4)</f>
        <v>0</v>
      </c>
      <c r="G30" s="110" t="n">
        <f aca="false">SUMIFS('هالك وتحويلات'!$E$2:$E$3001,'هالك وتحويلات'!$B$2:$B$3001,$B$2,'هالك وتحويلات'!$C$2:$C$3001,$A30,'هالك وتحويلات'!$D$2:$D$3001,"تحويل صادر",'هالك وتحويلات'!$A$2:$A$3001,"&gt;="&amp;'إعدادات المخزون'!$B$5,'هالك وتحويلات'!$A$2:$A$3001,"&lt;="&amp;'إعدادات المخزون'!$B$4)</f>
        <v>0</v>
      </c>
      <c r="H30" s="110" t="n">
        <f aca="false">SUMPRODUCT('مصفوفة الاستهلاك'!$Y$2:$Y$190,'متجهات المبيعات'!$F$2:$F$190)/'مواد المخزون'!$D$25</f>
        <v>124.9998</v>
      </c>
      <c r="I30" s="110" t="n">
        <f aca="false">SUMIFS('هالك وتحويلات'!$E$2:$E$3001,'هالك وتحويلات'!$B$2:$B$3001,$B$2,'هالك وتحويلات'!$C$2:$C$3001,$A30,'هالك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وتحويلات'!$C$2:$C$3001,$A30,'هالك وتحويلات'!$D$2:$D$3001,"ضيافة / أكل موظفين",'هالك وتحويلات'!$A$2:$A$3001,"&gt;="&amp;'إعدادات المخزون'!$B$5,'هالك وتحويلات'!$A$2:$A$3001,"&lt;="&amp;'إعدادات المخزون'!$B$4)</f>
        <v>0</v>
      </c>
      <c r="J30" s="110" t="n">
        <f aca="false">D30+E30+F30-G30-H30-I30</f>
        <v>114.0002</v>
      </c>
      <c r="K30" s="36" t="str">
        <f aca="false">IF(COUNTIFS('جرد فعلي'!$B$2:$B$12001,$B$2,'جرد فعلي'!$C$2:$C$12001,$A30,'جرد فعلي'!$A$2:$A$12001,'إعدادات المخزون'!$B$4)&gt;0,"نعم","لا")</f>
        <v>لا</v>
      </c>
      <c r="L30" s="111" t="str">
        <f aca="false">IF(K30="نعم",SUMIFS('جرد فعلي'!$D$2:$D$12001,'جرد فعلي'!$B$2:$B$12001,$B$2,'جرد فعلي'!$C$2:$C$12001,$A30,'جرد فعلي'!$A$2:$A$12001,'إعدادات المخزون'!$B$4),"")</f>
        <v/>
      </c>
      <c r="M30" s="110" t="str">
        <f aca="false">IF(K30="نعم",L30-J30,"")</f>
        <v/>
      </c>
      <c r="N30" s="112" t="str">
        <f aca="false">IF(K30="نعم",IF(J30=0,IF(M30=0,0,SIGN(M30)),M30/ABS(J30)),"")</f>
        <v/>
      </c>
      <c r="O30" s="109" t="str">
        <f aca="false">IF(K30="نعم",M30*C30,"")</f>
        <v/>
      </c>
      <c r="P30" s="36" t="str">
        <f aca="false">IF(K30&lt;&gt;"نعم","لم يُجرد",IF(ABS(N30)&lt;='إعدادات المخزون'!$B$7,"مطابق",IF(M30&lt;0,"عجز","زيادة")))</f>
        <v>لم يُجرد</v>
      </c>
      <c r="Q30" s="110" t="n">
        <f aca="false">J30-Z30</f>
        <v>124.41685</v>
      </c>
      <c r="R30" s="110" t="str">
        <f aca="false">IF(COUNTIFS('جرد فعلي'!$B$2:$B$12001,$B$2,'جرد فعلي'!$C$2:$C$12001,$A30,'جرد فعلي'!$A$2:$A$12001,'إعدادات المخزون'!$B$4-1)&gt;0,SUMIFS('جرد فعلي'!$D$2:$D$12001,'جرد فعلي'!$B$2:$B$12001,$B$2,'جرد فعلي'!$C$2:$C$12001,$A30,'جرد فعلي'!$A$2:$A$12001,'إعدادات المخزون'!$B$4-1),"")</f>
        <v/>
      </c>
      <c r="S30" s="110" t="str">
        <f aca="false">IF(AND(K30="نعم",R30&lt;&gt;""),(L30-J30)-(R30-Q30),"")</f>
        <v/>
      </c>
      <c r="T30" s="109" t="str">
        <f aca="false">IF(S30="","",S30*C30)</f>
        <v/>
      </c>
      <c r="U30" s="110" t="n">
        <f aca="false">IF(K30="نعم",L30,J30)</f>
        <v>114.0002</v>
      </c>
      <c r="V30" s="110" t="n">
        <f aca="false">SUMPRODUCT('مصفوفة الاستهلاك'!$Y$2:$Y$190,'متجهات المبيعات'!$G$2:$G$190)/'مواد المخزون'!$D$25/MAX(1,MIN('إعدادات المخزون'!$B$11,'إعدادات المخزون'!$B$4-'إعدادات المخزون'!$B$5+1))</f>
        <v>10.41665</v>
      </c>
      <c r="W30" s="110" t="n">
        <f aca="false">IF(V30&lt;=0,0,ROUNDUP(MAX(0,V30*('إعدادات المخزون'!$B$8+'إعدادات المخزون'!$B$9+'إعدادات المخزون'!$B$10)-MAX(U30,0))/'مواد المخزون'!$F25,0)*'مواد المخزون'!$F25)</f>
        <v>0</v>
      </c>
      <c r="X30" s="109" t="n">
        <f aca="false">IF(AND(K30="نعم",O30&lt;0),-O30+ROW()*0.000000001,0)</f>
        <v>0</v>
      </c>
      <c r="Y30" s="109" t="n">
        <f aca="false">IF(AND(K30="نعم",O30&gt;0),O30+ROW()*0.000000001,0)</f>
        <v>0</v>
      </c>
      <c r="Z30" s="110" t="n">
        <f aca="false">SUMIFS('مشتريات يومية'!$D$2:$D$4001,'مشتريات يومية'!$B$2:$B$4001,$B$2,'مشتريات يومية'!$C$2:$C$4001,$A30,'مشتريات يومية'!$A$2:$A$4001,'إعدادات المخزون'!$B$4)+SUMIFS('هالك وتحويلات'!$E$2:$E$3001,'هالك وتحويلات'!$B$2:$B$3001,$B$2,'هالك وتحويلات'!$C$2:$C$3001,$A30,'هالك وتحويلات'!$D$2:$D$3001,"تحويل وارد",'هالك وتحويلات'!$A$2:$A$3001,'إعدادات المخزون'!$B$4)-SUMIFS('هالك وتحويلات'!$E$2:$E$3001,'هالك وتحويلات'!$B$2:$B$3001,$B$2,'هالك وتحويلات'!$C$2:$C$3001,$A30,'هالك وتحويلات'!$D$2:$D$3001,"تحويل صادر",'هالك وتحويلات'!$A$2:$A$3001,'إعدادات المخزون'!$B$4)-SUMIFS('هالك وتحويلات'!$E$2:$E$3001,'هالك وتحويلات'!$B$2:$B$3001,$B$2,'هالك وتحويلات'!$C$2:$C$3001,$A30,'هالك وتحويلات'!$D$2:$D$3001,"هالك",'هالك وتحويلات'!$A$2:$A$3001,'إعدادات المخزون'!$B$4)-SUMIFS('هالك وتحويلات'!$E$2:$E$3001,'هالك وتحويلات'!$B$2:$B$3001,$B$2,'هالك وتحويلات'!$C$2:$C$3001,$A30,'هالك وتحويلات'!$D$2:$D$3001,"ضيافة / أكل موظفين",'هالك وتحويلات'!$A$2:$A$3001,'إعدادات المخزون'!$B$4)-SUMPRODUCT('مصفوفة الاستهلاك'!$Y$2:$Y$190,'متجهات المبيعات'!$E$2:$E$190)/'مواد المخزون'!$D$25</f>
        <v>-10.41665</v>
      </c>
      <c r="AA30" s="109" t="n">
        <f aca="false">IF(K30="نعم",O30,0)</f>
        <v>0</v>
      </c>
      <c r="AB30" s="109" t="n">
        <f aca="false">IF(K30="نعم",J30*C30,0)</f>
        <v>0</v>
      </c>
      <c r="AC30" s="109" t="n">
        <f aca="false">IF(T30="",0,T30)</f>
        <v>0</v>
      </c>
    </row>
    <row r="31" customFormat="false" ht="15" hidden="false" customHeight="false" outlineLevel="0" collapsed="false">
      <c r="A31" s="34" t="str">
        <f aca="false">'مواد المخزون'!A26</f>
        <v>بسكوت اوريو مجروش</v>
      </c>
      <c r="B31" s="36" t="str">
        <f aca="false">'مواد المخزون'!B26</f>
        <v>كجم</v>
      </c>
      <c r="C31" s="109" t="n">
        <f aca="false">'مواد المخزون'!E26</f>
        <v>100</v>
      </c>
      <c r="D31" s="110" t="n">
        <f aca="false">'جرد أول المدة'!D29</f>
        <v>1</v>
      </c>
      <c r="E31" s="110" t="n">
        <f aca="false">SUMIFS('مشتريات يومية'!$D$2:$D$4001,'مشتريات يومية'!$B$2:$B$4001,$B$2,'مشتريات يومية'!$C$2:$C$4001,$A31,'مشتريات يومية'!$A$2:$A$4001,"&gt;="&amp;'إعدادات المخزون'!$B$5,'مشتريات يومية'!$A$2:$A$4001,"&lt;="&amp;'إعدادات المخزون'!$B$4)</f>
        <v>0</v>
      </c>
      <c r="F31" s="110" t="n">
        <f aca="false">SUMIFS('هالك وتحويلات'!$E$2:$E$3001,'هالك وتحويلات'!$B$2:$B$3001,$B$2,'هالك وتحويلات'!$C$2:$C$3001,$A31,'هالك وتحويلات'!$D$2:$D$3001,"تحويل وارد",'هالك وتحويلات'!$A$2:$A$3001,"&gt;="&amp;'إعدادات المخزون'!$B$5,'هالك وتحويلات'!$A$2:$A$3001,"&lt;="&amp;'إعدادات المخزون'!$B$4)</f>
        <v>0</v>
      </c>
      <c r="G31" s="110" t="n">
        <f aca="false">SUMIFS('هالك وتحويلات'!$E$2:$E$3001,'هالك وتحويلات'!$B$2:$B$3001,$B$2,'هالك وتحويلات'!$C$2:$C$3001,$A31,'هالك وتحويلات'!$D$2:$D$3001,"تحويل صادر",'هالك وتحويلات'!$A$2:$A$3001,"&gt;="&amp;'إعدادات المخزون'!$B$5,'هالك وتحويلات'!$A$2:$A$3001,"&lt;="&amp;'إعدادات المخزون'!$B$4)</f>
        <v>0</v>
      </c>
      <c r="H31" s="110" t="n">
        <f aca="false">SUMPRODUCT('مصفوفة الاستهلاك'!$Z$2:$Z$190,'متجهات المبيعات'!$F$2:$F$190)/'مواد المخزون'!$D$26</f>
        <v>0.09</v>
      </c>
      <c r="I31" s="110" t="n">
        <f aca="false">SUMIFS('هالك وتحويلات'!$E$2:$E$3001,'هالك وتحويلات'!$B$2:$B$3001,$B$2,'هالك وتحويلات'!$C$2:$C$3001,$A31,'هالك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وتحويلات'!$C$2:$C$3001,$A31,'هالك وتحويلات'!$D$2:$D$3001,"ضيافة / أكل موظفين",'هالك وتحويلات'!$A$2:$A$3001,"&gt;="&amp;'إعدادات المخزون'!$B$5,'هالك وتحويلات'!$A$2:$A$3001,"&lt;="&amp;'إعدادات المخزون'!$B$4)</f>
        <v>0</v>
      </c>
      <c r="J31" s="110" t="n">
        <f aca="false">D31+E31+F31-G31-H31-I31</f>
        <v>0.91</v>
      </c>
      <c r="K31" s="36" t="str">
        <f aca="false">IF(COUNTIFS('جرد فعلي'!$B$2:$B$12001,$B$2,'جرد فعلي'!$C$2:$C$12001,$A31,'جرد فعلي'!$A$2:$A$12001,'إعدادات المخزون'!$B$4)&gt;0,"نعم","لا")</f>
        <v>لا</v>
      </c>
      <c r="L31" s="111" t="str">
        <f aca="false">IF(K31="نعم",SUMIFS('جرد فعلي'!$D$2:$D$12001,'جرد فعلي'!$B$2:$B$12001,$B$2,'جرد فعلي'!$C$2:$C$12001,$A31,'جرد فعلي'!$A$2:$A$12001,'إعدادات المخزون'!$B$4),"")</f>
        <v/>
      </c>
      <c r="M31" s="110" t="str">
        <f aca="false">IF(K31="نعم",L31-J31,"")</f>
        <v/>
      </c>
      <c r="N31" s="112" t="str">
        <f aca="false">IF(K31="نعم",IF(J31=0,IF(M31=0,0,SIGN(M31)),M31/ABS(J31)),"")</f>
        <v/>
      </c>
      <c r="O31" s="109" t="str">
        <f aca="false">IF(K31="نعم",M31*C31,"")</f>
        <v/>
      </c>
      <c r="P31" s="36" t="str">
        <f aca="false">IF(K31&lt;&gt;"نعم","لم يُجرد",IF(ABS(N31)&lt;='إعدادات المخزون'!$B$7,"مطابق",IF(M31&lt;0,"عجز","زيادة")))</f>
        <v>لم يُجرد</v>
      </c>
      <c r="Q31" s="110" t="n">
        <f aca="false">J31-Z31</f>
        <v>0.9175</v>
      </c>
      <c r="R31" s="110" t="str">
        <f aca="false">IF(COUNTIFS('جرد فعلي'!$B$2:$B$12001,$B$2,'جرد فعلي'!$C$2:$C$12001,$A31,'جرد فعلي'!$A$2:$A$12001,'إعدادات المخزون'!$B$4-1)&gt;0,SUMIFS('جرد فعلي'!$D$2:$D$12001,'جرد فعلي'!$B$2:$B$12001,$B$2,'جرد فعلي'!$C$2:$C$12001,$A31,'جرد فعلي'!$A$2:$A$12001,'إعدادات المخزون'!$B$4-1),"")</f>
        <v/>
      </c>
      <c r="S31" s="110" t="str">
        <f aca="false">IF(AND(K31="نعم",R31&lt;&gt;""),(L31-J31)-(R31-Q31),"")</f>
        <v/>
      </c>
      <c r="T31" s="109" t="str">
        <f aca="false">IF(S31="","",S31*C31)</f>
        <v/>
      </c>
      <c r="U31" s="110" t="n">
        <f aca="false">IF(K31="نعم",L31,J31)</f>
        <v>0.91</v>
      </c>
      <c r="V31" s="110" t="n">
        <f aca="false">SUMPRODUCT('مصفوفة الاستهلاك'!$Z$2:$Z$190,'متجهات المبيعات'!$G$2:$G$190)/'مواد المخزون'!$D$26/MAX(1,MIN('إعدادات المخزون'!$B$11,'إعدادات المخزون'!$B$4-'إعدادات المخزون'!$B$5+1))</f>
        <v>0.0075</v>
      </c>
      <c r="W31" s="110" t="n">
        <f aca="false">IF(V31&lt;=0,0,ROUNDUP(MAX(0,V31*('إعدادات المخزون'!$B$8+'إعدادات المخزون'!$B$9+'إعدادات المخزون'!$B$10)-MAX(U31,0))/'مواد المخزون'!$F26,0)*'مواد المخزون'!$F26)</f>
        <v>0</v>
      </c>
      <c r="X31" s="109" t="n">
        <f aca="false">IF(AND(K31="نعم",O31&lt;0),-O31+ROW()*0.000000001,0)</f>
        <v>0</v>
      </c>
      <c r="Y31" s="109" t="n">
        <f aca="false">IF(AND(K31="نعم",O31&gt;0),O31+ROW()*0.000000001,0)</f>
        <v>0</v>
      </c>
      <c r="Z31" s="110" t="n">
        <f aca="false">SUMIFS('مشتريات يومية'!$D$2:$D$4001,'مشتريات يومية'!$B$2:$B$4001,$B$2,'مشتريات يومية'!$C$2:$C$4001,$A31,'مشتريات يومية'!$A$2:$A$4001,'إعدادات المخزون'!$B$4)+SUMIFS('هالك وتحويلات'!$E$2:$E$3001,'هالك وتحويلات'!$B$2:$B$3001,$B$2,'هالك وتحويلات'!$C$2:$C$3001,$A31,'هالك وتحويلات'!$D$2:$D$3001,"تحويل وارد",'هالك وتحويلات'!$A$2:$A$3001,'إعدادات المخزون'!$B$4)-SUMIFS('هالك وتحويلات'!$E$2:$E$3001,'هالك وتحويلات'!$B$2:$B$3001,$B$2,'هالك وتحويلات'!$C$2:$C$3001,$A31,'هالك وتحويلات'!$D$2:$D$3001,"تحويل صادر",'هالك وتحويلات'!$A$2:$A$3001,'إعدادات المخزون'!$B$4)-SUMIFS('هالك وتحويلات'!$E$2:$E$3001,'هالك وتحويلات'!$B$2:$B$3001,$B$2,'هالك وتحويلات'!$C$2:$C$3001,$A31,'هالك وتحويلات'!$D$2:$D$3001,"هالك",'هالك وتحويلات'!$A$2:$A$3001,'إعدادات المخزون'!$B$4)-SUMIFS('هالك وتحويلات'!$E$2:$E$3001,'هالك وتحويلات'!$B$2:$B$3001,$B$2,'هالك وتحويلات'!$C$2:$C$3001,$A31,'هالك وتحويلات'!$D$2:$D$3001,"ضيافة / أكل موظفين",'هالك وتحويلات'!$A$2:$A$3001,'إعدادات المخزون'!$B$4)-SUMPRODUCT('مصفوفة الاستهلاك'!$Z$2:$Z$190,'متجهات المبيعات'!$E$2:$E$190)/'مواد المخزون'!$D$26</f>
        <v>-0.0075</v>
      </c>
      <c r="AA31" s="109" t="n">
        <f aca="false">IF(K31="نعم",O31,0)</f>
        <v>0</v>
      </c>
      <c r="AB31" s="109" t="n">
        <f aca="false">IF(K31="نعم",J31*C31,0)</f>
        <v>0</v>
      </c>
      <c r="AC31" s="109" t="n">
        <f aca="false">IF(T31="",0,T31)</f>
        <v>0</v>
      </c>
    </row>
    <row r="32" customFormat="false" ht="15" hidden="false" customHeight="false" outlineLevel="0" collapsed="false">
      <c r="A32" s="34" t="str">
        <f aca="false">'مواد المخزون'!A27</f>
        <v>بسكوت للوتس باكو</v>
      </c>
      <c r="B32" s="36" t="str">
        <f aca="false">'مواد المخزون'!B27</f>
        <v>كجم</v>
      </c>
      <c r="C32" s="109" t="n">
        <f aca="false">'مواد المخزون'!E27</f>
        <v>104.58</v>
      </c>
      <c r="D32" s="110" t="n">
        <f aca="false">'جرد أول المدة'!D30</f>
        <v>0.35</v>
      </c>
      <c r="E32" s="110" t="n">
        <f aca="false">SUMIFS('مشتريات يومية'!$D$2:$D$4001,'مشتريات يومية'!$B$2:$B$4001,$B$2,'مشتريات يومية'!$C$2:$C$4001,$A32,'مشتريات يومية'!$A$2:$A$4001,"&gt;="&amp;'إعدادات المخزون'!$B$5,'مشتريات يومية'!$A$2:$A$4001,"&lt;="&amp;'إعدادات المخزون'!$B$4)</f>
        <v>0</v>
      </c>
      <c r="F32" s="110" t="n">
        <f aca="false">SUMIFS('هالك وتحويلات'!$E$2:$E$3001,'هالك وتحويلات'!$B$2:$B$3001,$B$2,'هالك وتحويلات'!$C$2:$C$3001,$A32,'هالك وتحويلات'!$D$2:$D$3001,"تحويل وارد",'هالك وتحويلات'!$A$2:$A$3001,"&gt;="&amp;'إعدادات المخزون'!$B$5,'هالك وتحويلات'!$A$2:$A$3001,"&lt;="&amp;'إعدادات المخزون'!$B$4)</f>
        <v>0</v>
      </c>
      <c r="G32" s="110" t="n">
        <f aca="false">SUMIFS('هالك وتحويلات'!$E$2:$E$3001,'هالك وتحويلات'!$B$2:$B$3001,$B$2,'هالك وتحويلات'!$C$2:$C$3001,$A32,'هالك وتحويلات'!$D$2:$D$3001,"تحويل صادر",'هالك وتحويلات'!$A$2:$A$3001,"&gt;="&amp;'إعدادات المخزون'!$B$5,'هالك وتحويلات'!$A$2:$A$3001,"&lt;="&amp;'إعدادات المخزون'!$B$4)</f>
        <v>0</v>
      </c>
      <c r="H32" s="110" t="n">
        <f aca="false">SUMPRODUCT('مصفوفة الاستهلاك'!$AA$2:$AA$190,'متجهات المبيعات'!$F$2:$F$190)/'مواد المخزون'!$D$27</f>
        <v>0</v>
      </c>
      <c r="I32" s="110" t="n">
        <f aca="false">SUMIFS('هالك وتحويلات'!$E$2:$E$3001,'هالك وتحويلات'!$B$2:$B$3001,$B$2,'هالك وتحويلات'!$C$2:$C$3001,$A32,'هالك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وتحويلات'!$C$2:$C$3001,$A32,'هالك وتحويلات'!$D$2:$D$3001,"ضيافة / أكل موظفين",'هالك وتحويلات'!$A$2:$A$3001,"&gt;="&amp;'إعدادات المخزون'!$B$5,'هالك وتحويلات'!$A$2:$A$3001,"&lt;="&amp;'إعدادات المخزون'!$B$4)</f>
        <v>0</v>
      </c>
      <c r="J32" s="110" t="n">
        <f aca="false">D32+E32+F32-G32-H32-I32</f>
        <v>0.35</v>
      </c>
      <c r="K32" s="36" t="str">
        <f aca="false">IF(COUNTIFS('جرد فعلي'!$B$2:$B$12001,$B$2,'جرد فعلي'!$C$2:$C$12001,$A32,'جرد فعلي'!$A$2:$A$12001,'إعدادات المخزون'!$B$4)&gt;0,"نعم","لا")</f>
        <v>لا</v>
      </c>
      <c r="L32" s="111" t="str">
        <f aca="false">IF(K32="نعم",SUMIFS('جرد فعلي'!$D$2:$D$12001,'جرد فعلي'!$B$2:$B$12001,$B$2,'جرد فعلي'!$C$2:$C$12001,$A32,'جرد فعلي'!$A$2:$A$12001,'إعدادات المخزون'!$B$4),"")</f>
        <v/>
      </c>
      <c r="M32" s="110" t="str">
        <f aca="false">IF(K32="نعم",L32-J32,"")</f>
        <v/>
      </c>
      <c r="N32" s="112" t="str">
        <f aca="false">IF(K32="نعم",IF(J32=0,IF(M32=0,0,SIGN(M32)),M32/ABS(J32)),"")</f>
        <v/>
      </c>
      <c r="O32" s="109" t="str">
        <f aca="false">IF(K32="نعم",M32*C32,"")</f>
        <v/>
      </c>
      <c r="P32" s="36" t="str">
        <f aca="false">IF(K32&lt;&gt;"نعم","لم يُجرد",IF(ABS(N32)&lt;='إعدادات المخزون'!$B$7,"مطابق",IF(M32&lt;0,"عجز","زيادة")))</f>
        <v>لم يُجرد</v>
      </c>
      <c r="Q32" s="110" t="n">
        <f aca="false">J32-Z32</f>
        <v>0.35</v>
      </c>
      <c r="R32" s="110" t="str">
        <f aca="false">IF(COUNTIFS('جرد فعلي'!$B$2:$B$12001,$B$2,'جرد فعلي'!$C$2:$C$12001,$A32,'جرد فعلي'!$A$2:$A$12001,'إعدادات المخزون'!$B$4-1)&gt;0,SUMIFS('جرد فعلي'!$D$2:$D$12001,'جرد فعلي'!$B$2:$B$12001,$B$2,'جرد فعلي'!$C$2:$C$12001,$A32,'جرد فعلي'!$A$2:$A$12001,'إعدادات المخزون'!$B$4-1),"")</f>
        <v/>
      </c>
      <c r="S32" s="110" t="str">
        <f aca="false">IF(AND(K32="نعم",R32&lt;&gt;""),(L32-J32)-(R32-Q32),"")</f>
        <v/>
      </c>
      <c r="T32" s="109" t="str">
        <f aca="false">IF(S32="","",S32*C32)</f>
        <v/>
      </c>
      <c r="U32" s="110" t="n">
        <f aca="false">IF(K32="نعم",L32,J32)</f>
        <v>0.35</v>
      </c>
      <c r="V32" s="110" t="n">
        <f aca="false">SUMPRODUCT('مصفوفة الاستهلاك'!$AA$2:$AA$190,'متجهات المبيعات'!$G$2:$G$190)/'مواد المخزون'!$D$27/MAX(1,MIN('إعدادات المخزون'!$B$11,'إعدادات المخزون'!$B$4-'إعدادات المخزون'!$B$5+1))</f>
        <v>0</v>
      </c>
      <c r="W32" s="110" t="n">
        <f aca="false">IF(V32&lt;=0,0,ROUNDUP(MAX(0,V32*('إعدادات المخزون'!$B$8+'إعدادات المخزون'!$B$9+'إعدادات المخزون'!$B$10)-MAX(U32,0))/'مواد المخزون'!$F27,0)*'مواد المخزون'!$F27)</f>
        <v>0</v>
      </c>
      <c r="X32" s="109" t="n">
        <f aca="false">IF(AND(K32="نعم",O32&lt;0),-O32+ROW()*0.000000001,0)</f>
        <v>0</v>
      </c>
      <c r="Y32" s="109" t="n">
        <f aca="false">IF(AND(K32="نعم",O32&gt;0),O32+ROW()*0.000000001,0)</f>
        <v>0</v>
      </c>
      <c r="Z32" s="110" t="n">
        <f aca="false">SUMIFS('مشتريات يومية'!$D$2:$D$4001,'مشتريات يومية'!$B$2:$B$4001,$B$2,'مشتريات يومية'!$C$2:$C$4001,$A32,'مشتريات يومية'!$A$2:$A$4001,'إعدادات المخزون'!$B$4)+SUMIFS('هالك وتحويلات'!$E$2:$E$3001,'هالك وتحويلات'!$B$2:$B$3001,$B$2,'هالك وتحويلات'!$C$2:$C$3001,$A32,'هالك وتحويلات'!$D$2:$D$3001,"تحويل وارد",'هالك وتحويلات'!$A$2:$A$3001,'إعدادات المخزون'!$B$4)-SUMIFS('هالك وتحويلات'!$E$2:$E$3001,'هالك وتحويلات'!$B$2:$B$3001,$B$2,'هالك وتحويلات'!$C$2:$C$3001,$A32,'هالك وتحويلات'!$D$2:$D$3001,"تحويل صادر",'هالك وتحويلات'!$A$2:$A$3001,'إعدادات المخزون'!$B$4)-SUMIFS('هالك وتحويلات'!$E$2:$E$3001,'هالك وتحويلات'!$B$2:$B$3001,$B$2,'هالك وتحويلات'!$C$2:$C$3001,$A32,'هالك وتحويلات'!$D$2:$D$3001,"هالك",'هالك وتحويلات'!$A$2:$A$3001,'إعدادات المخزون'!$B$4)-SUMIFS('هالك وتحويلات'!$E$2:$E$3001,'هالك وتحويلات'!$B$2:$B$3001,$B$2,'هالك وتحويلات'!$C$2:$C$3001,$A32,'هالك وتحويلات'!$D$2:$D$3001,"ضيافة / أكل موظفين",'هالك وتحويلات'!$A$2:$A$3001,'إعدادات المخزون'!$B$4)-SUMPRODUCT('مصفوفة الاستهلاك'!$AA$2:$AA$190,'متجهات المبيعات'!$E$2:$E$190)/'مواد المخزون'!$D$27</f>
        <v>0</v>
      </c>
      <c r="AA32" s="109" t="n">
        <f aca="false">IF(K32="نعم",O32,0)</f>
        <v>0</v>
      </c>
      <c r="AB32" s="109" t="n">
        <f aca="false">IF(K32="نعم",J32*C32,0)</f>
        <v>0</v>
      </c>
      <c r="AC32" s="109" t="n">
        <f aca="false">IF(T32="",0,T32)</f>
        <v>0</v>
      </c>
    </row>
    <row r="33" customFormat="false" ht="15" hidden="false" customHeight="false" outlineLevel="0" collapsed="false">
      <c r="A33" s="34" t="str">
        <f aca="false">'مواد المخزون'!A28</f>
        <v>بسكوت للوتس مجروش</v>
      </c>
      <c r="B33" s="36" t="str">
        <f aca="false">'مواد المخزون'!B28</f>
        <v>كجم</v>
      </c>
      <c r="C33" s="109" t="n">
        <f aca="false">'مواد المخزون'!E28</f>
        <v>100</v>
      </c>
      <c r="D33" s="110" t="n">
        <f aca="false">'جرد أول المدة'!D31</f>
        <v>1.57</v>
      </c>
      <c r="E33" s="110" t="n">
        <f aca="false">SUMIFS('مشتريات يومية'!$D$2:$D$4001,'مشتريات يومية'!$B$2:$B$4001,$B$2,'مشتريات يومية'!$C$2:$C$4001,$A33,'مشتريات يومية'!$A$2:$A$4001,"&gt;="&amp;'إعدادات المخزون'!$B$5,'مشتريات يومية'!$A$2:$A$4001,"&lt;="&amp;'إعدادات المخزون'!$B$4)</f>
        <v>0</v>
      </c>
      <c r="F33" s="110" t="n">
        <f aca="false">SUMIFS('هالك وتحويلات'!$E$2:$E$3001,'هالك وتحويلات'!$B$2:$B$3001,$B$2,'هالك وتحويلات'!$C$2:$C$3001,$A33,'هالك وتحويلات'!$D$2:$D$3001,"تحويل وارد",'هالك وتحويلات'!$A$2:$A$3001,"&gt;="&amp;'إعدادات المخزون'!$B$5,'هالك وتحويلات'!$A$2:$A$3001,"&lt;="&amp;'إعدادات المخزون'!$B$4)</f>
        <v>0</v>
      </c>
      <c r="G33" s="110" t="n">
        <f aca="false">SUMIFS('هالك وتحويلات'!$E$2:$E$3001,'هالك وتحويلات'!$B$2:$B$3001,$B$2,'هالك وتحويلات'!$C$2:$C$3001,$A33,'هالك وتحويلات'!$D$2:$D$3001,"تحويل صادر",'هالك وتحويلات'!$A$2:$A$3001,"&gt;="&amp;'إعدادات المخزون'!$B$5,'هالك وتحويلات'!$A$2:$A$3001,"&lt;="&amp;'إعدادات المخزون'!$B$4)</f>
        <v>0</v>
      </c>
      <c r="H33" s="110" t="n">
        <f aca="false">SUMPRODUCT('مصفوفة الاستهلاك'!$AB$2:$AB$190,'متجهات المبيعات'!$F$2:$F$190)/'مواد المخزون'!$D$28</f>
        <v>0.09</v>
      </c>
      <c r="I33" s="110" t="n">
        <f aca="false">SUMIFS('هالك وتحويلات'!$E$2:$E$3001,'هالك وتحويلات'!$B$2:$B$3001,$B$2,'هالك وتحويلات'!$C$2:$C$3001,$A33,'هالك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وتحويلات'!$C$2:$C$3001,$A33,'هالك وتحويلات'!$D$2:$D$3001,"ضيافة / أكل موظفين",'هالك وتحويلات'!$A$2:$A$3001,"&gt;="&amp;'إعدادات المخزون'!$B$5,'هالك وتحويلات'!$A$2:$A$3001,"&lt;="&amp;'إعدادات المخزون'!$B$4)</f>
        <v>0</v>
      </c>
      <c r="J33" s="110" t="n">
        <f aca="false">D33+E33+F33-G33-H33-I33</f>
        <v>1.48</v>
      </c>
      <c r="K33" s="36" t="str">
        <f aca="false">IF(COUNTIFS('جرد فعلي'!$B$2:$B$12001,$B$2,'جرد فعلي'!$C$2:$C$12001,$A33,'جرد فعلي'!$A$2:$A$12001,'إعدادات المخزون'!$B$4)&gt;0,"نعم","لا")</f>
        <v>لا</v>
      </c>
      <c r="L33" s="111" t="str">
        <f aca="false">IF(K33="نعم",SUMIFS('جرد فعلي'!$D$2:$D$12001,'جرد فعلي'!$B$2:$B$12001,$B$2,'جرد فعلي'!$C$2:$C$12001,$A33,'جرد فعلي'!$A$2:$A$12001,'إعدادات المخزون'!$B$4),"")</f>
        <v/>
      </c>
      <c r="M33" s="110" t="str">
        <f aca="false">IF(K33="نعم",L33-J33,"")</f>
        <v/>
      </c>
      <c r="N33" s="112" t="str">
        <f aca="false">IF(K33="نعم",IF(J33=0,IF(M33=0,0,SIGN(M33)),M33/ABS(J33)),"")</f>
        <v/>
      </c>
      <c r="O33" s="109" t="str">
        <f aca="false">IF(K33="نعم",M33*C33,"")</f>
        <v/>
      </c>
      <c r="P33" s="36" t="str">
        <f aca="false">IF(K33&lt;&gt;"نعم","لم يُجرد",IF(ABS(N33)&lt;='إعدادات المخزون'!$B$7,"مطابق",IF(M33&lt;0,"عجز","زيادة")))</f>
        <v>لم يُجرد</v>
      </c>
      <c r="Q33" s="110" t="n">
        <f aca="false">J33-Z33</f>
        <v>1.4875</v>
      </c>
      <c r="R33" s="110" t="str">
        <f aca="false">IF(COUNTIFS('جرد فعلي'!$B$2:$B$12001,$B$2,'جرد فعلي'!$C$2:$C$12001,$A33,'جرد فعلي'!$A$2:$A$12001,'إعدادات المخزون'!$B$4-1)&gt;0,SUMIFS('جرد فعلي'!$D$2:$D$12001,'جرد فعلي'!$B$2:$B$12001,$B$2,'جرد فعلي'!$C$2:$C$12001,$A33,'جرد فعلي'!$A$2:$A$12001,'إعدادات المخزون'!$B$4-1),"")</f>
        <v/>
      </c>
      <c r="S33" s="110" t="str">
        <f aca="false">IF(AND(K33="نعم",R33&lt;&gt;""),(L33-J33)-(R33-Q33),"")</f>
        <v/>
      </c>
      <c r="T33" s="109" t="str">
        <f aca="false">IF(S33="","",S33*C33)</f>
        <v/>
      </c>
      <c r="U33" s="110" t="n">
        <f aca="false">IF(K33="نعم",L33,J33)</f>
        <v>1.48</v>
      </c>
      <c r="V33" s="110" t="n">
        <f aca="false">SUMPRODUCT('مصفوفة الاستهلاك'!$AB$2:$AB$190,'متجهات المبيعات'!$G$2:$G$190)/'مواد المخزون'!$D$28/MAX(1,MIN('إعدادات المخزون'!$B$11,'إعدادات المخزون'!$B$4-'إعدادات المخزون'!$B$5+1))</f>
        <v>0.0075</v>
      </c>
      <c r="W33" s="110" t="n">
        <f aca="false">IF(V33&lt;=0,0,ROUNDUP(MAX(0,V33*('إعدادات المخزون'!$B$8+'إعدادات المخزون'!$B$9+'إعدادات المخزون'!$B$10)-MAX(U33,0))/'مواد المخزون'!$F28,0)*'مواد المخزون'!$F28)</f>
        <v>0</v>
      </c>
      <c r="X33" s="109" t="n">
        <f aca="false">IF(AND(K33="نعم",O33&lt;0),-O33+ROW()*0.000000001,0)</f>
        <v>0</v>
      </c>
      <c r="Y33" s="109" t="n">
        <f aca="false">IF(AND(K33="نعم",O33&gt;0),O33+ROW()*0.000000001,0)</f>
        <v>0</v>
      </c>
      <c r="Z33" s="110" t="n">
        <f aca="false">SUMIFS('مشتريات يومية'!$D$2:$D$4001,'مشتريات يومية'!$B$2:$B$4001,$B$2,'مشتريات يومية'!$C$2:$C$4001,$A33,'مشتريات يومية'!$A$2:$A$4001,'إعدادات المخزون'!$B$4)+SUMIFS('هالك وتحويلات'!$E$2:$E$3001,'هالك وتحويلات'!$B$2:$B$3001,$B$2,'هالك وتحويلات'!$C$2:$C$3001,$A33,'هالك وتحويلات'!$D$2:$D$3001,"تحويل وارد",'هالك وتحويلات'!$A$2:$A$3001,'إعدادات المخزون'!$B$4)-SUMIFS('هالك وتحويلات'!$E$2:$E$3001,'هالك وتحويلات'!$B$2:$B$3001,$B$2,'هالك وتحويلات'!$C$2:$C$3001,$A33,'هالك وتحويلات'!$D$2:$D$3001,"تحويل صادر",'هالك وتحويلات'!$A$2:$A$3001,'إعدادات المخزون'!$B$4)-SUMIFS('هالك وتحويلات'!$E$2:$E$3001,'هالك وتحويلات'!$B$2:$B$3001,$B$2,'هالك وتحويلات'!$C$2:$C$3001,$A33,'هالك وتحويلات'!$D$2:$D$3001,"هالك",'هالك وتحويلات'!$A$2:$A$3001,'إعدادات المخزون'!$B$4)-SUMIFS('هالك وتحويلات'!$E$2:$E$3001,'هالك وتحويلات'!$B$2:$B$3001,$B$2,'هالك وتحويلات'!$C$2:$C$3001,$A33,'هالك وتحويلات'!$D$2:$D$3001,"ضيافة / أكل موظفين",'هالك وتحويلات'!$A$2:$A$3001,'إعدادات المخزون'!$B$4)-SUMPRODUCT('مصفوفة الاستهلاك'!$AB$2:$AB$190,'متجهات المبيعات'!$E$2:$E$190)/'مواد المخزون'!$D$28</f>
        <v>-0.0075</v>
      </c>
      <c r="AA33" s="109" t="n">
        <f aca="false">IF(K33="نعم",O33,0)</f>
        <v>0</v>
      </c>
      <c r="AB33" s="109" t="n">
        <f aca="false">IF(K33="نعم",J33*C33,0)</f>
        <v>0</v>
      </c>
      <c r="AC33" s="109" t="n">
        <f aca="false">IF(T33="",0,T33)</f>
        <v>0</v>
      </c>
    </row>
    <row r="34" customFormat="false" ht="15" hidden="false" customHeight="false" outlineLevel="0" collapsed="false">
      <c r="A34" s="34" t="str">
        <f aca="false">'مواد المخزون'!A29</f>
        <v>بشاميل مصنع</v>
      </c>
      <c r="B34" s="36" t="str">
        <f aca="false">'مواد المخزون'!B29</f>
        <v>كجم</v>
      </c>
      <c r="C34" s="109" t="n">
        <f aca="false">'مواد المخزون'!E29</f>
        <v>41</v>
      </c>
      <c r="D34" s="110" t="n">
        <f aca="false">'جرد أول المدة'!D32</f>
        <v>5.5</v>
      </c>
      <c r="E34" s="110" t="n">
        <f aca="false">SUMIFS('مشتريات يومية'!$D$2:$D$4001,'مشتريات يومية'!$B$2:$B$4001,$B$2,'مشتريات يومية'!$C$2:$C$4001,$A34,'مشتريات يومية'!$A$2:$A$4001,"&gt;="&amp;'إعدادات المخزون'!$B$5,'مشتريات يومية'!$A$2:$A$4001,"&lt;="&amp;'إعدادات المخزون'!$B$4)</f>
        <v>20</v>
      </c>
      <c r="F34" s="110" t="n">
        <f aca="false">SUMIFS('هالك وتحويلات'!$E$2:$E$3001,'هالك وتحويلات'!$B$2:$B$3001,$B$2,'هالك وتحويلات'!$C$2:$C$3001,$A34,'هالك وتحويلات'!$D$2:$D$3001,"تحويل وارد",'هالك وتحويلات'!$A$2:$A$3001,"&gt;="&amp;'إعدادات المخزون'!$B$5,'هالك وتحويلات'!$A$2:$A$3001,"&lt;="&amp;'إعدادات المخزون'!$B$4)</f>
        <v>0</v>
      </c>
      <c r="G34" s="110" t="n">
        <f aca="false">SUMIFS('هالك وتحويلات'!$E$2:$E$3001,'هالك وتحويلات'!$B$2:$B$3001,$B$2,'هالك وتحويلات'!$C$2:$C$3001,$A34,'هالك وتحويلات'!$D$2:$D$3001,"تحويل صادر",'هالك وتحويلات'!$A$2:$A$3001,"&gt;="&amp;'إعدادات المخزون'!$B$5,'هالك وتحويلات'!$A$2:$A$3001,"&lt;="&amp;'إعدادات المخزون'!$B$4)</f>
        <v>0</v>
      </c>
      <c r="H34" s="110" t="n">
        <f aca="false">SUMPRODUCT('مصفوفة الاستهلاك'!$AC$2:$AC$190,'متجهات المبيعات'!$F$2:$F$190)/'مواد المخزون'!$D$29</f>
        <v>9</v>
      </c>
      <c r="I34" s="110" t="n">
        <f aca="false">SUMIFS('هالك وتحويلات'!$E$2:$E$3001,'هالك وتحويلات'!$B$2:$B$3001,$B$2,'هالك وتحويلات'!$C$2:$C$3001,$A34,'هالك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وتحويلات'!$C$2:$C$3001,$A34,'هالك وتحويلات'!$D$2:$D$3001,"ضيافة / أكل موظفين",'هالك وتحويلات'!$A$2:$A$3001,"&gt;="&amp;'إعدادات المخزون'!$B$5,'هالك وتحويلات'!$A$2:$A$3001,"&lt;="&amp;'إعدادات المخزون'!$B$4)</f>
        <v>0</v>
      </c>
      <c r="J34" s="110" t="n">
        <f aca="false">D34+E34+F34-G34-H34-I34</f>
        <v>16.5</v>
      </c>
      <c r="K34" s="36" t="str">
        <f aca="false">IF(COUNTIFS('جرد فعلي'!$B$2:$B$12001,$B$2,'جرد فعلي'!$C$2:$C$12001,$A34,'جرد فعلي'!$A$2:$A$12001,'إعدادات المخزون'!$B$4)&gt;0,"نعم","لا")</f>
        <v>لا</v>
      </c>
      <c r="L34" s="111" t="str">
        <f aca="false">IF(K34="نعم",SUMIFS('جرد فعلي'!$D$2:$D$12001,'جرد فعلي'!$B$2:$B$12001,$B$2,'جرد فعلي'!$C$2:$C$12001,$A34,'جرد فعلي'!$A$2:$A$12001,'إعدادات المخزون'!$B$4),"")</f>
        <v/>
      </c>
      <c r="M34" s="110" t="str">
        <f aca="false">IF(K34="نعم",L34-J34,"")</f>
        <v/>
      </c>
      <c r="N34" s="112" t="str">
        <f aca="false">IF(K34="نعم",IF(J34=0,IF(M34=0,0,SIGN(M34)),M34/ABS(J34)),"")</f>
        <v/>
      </c>
      <c r="O34" s="109" t="str">
        <f aca="false">IF(K34="نعم",M34*C34,"")</f>
        <v/>
      </c>
      <c r="P34" s="36" t="str">
        <f aca="false">IF(K34&lt;&gt;"نعم","لم يُجرد",IF(ABS(N34)&lt;='إعدادات المخزون'!$B$7,"مطابق",IF(M34&lt;0,"عجز","زيادة")))</f>
        <v>لم يُجرد</v>
      </c>
      <c r="Q34" s="110" t="n">
        <f aca="false">J34-Z34</f>
        <v>17.25</v>
      </c>
      <c r="R34" s="110" t="str">
        <f aca="false">IF(COUNTIFS('جرد فعلي'!$B$2:$B$12001,$B$2,'جرد فعلي'!$C$2:$C$12001,$A34,'جرد فعلي'!$A$2:$A$12001,'إعدادات المخزون'!$B$4-1)&gt;0,SUMIFS('جرد فعلي'!$D$2:$D$12001,'جرد فعلي'!$B$2:$B$12001,$B$2,'جرد فعلي'!$C$2:$C$12001,$A34,'جرد فعلي'!$A$2:$A$12001,'إعدادات المخزون'!$B$4-1),"")</f>
        <v/>
      </c>
      <c r="S34" s="110" t="str">
        <f aca="false">IF(AND(K34="نعم",R34&lt;&gt;""),(L34-J34)-(R34-Q34),"")</f>
        <v/>
      </c>
      <c r="T34" s="109" t="str">
        <f aca="false">IF(S34="","",S34*C34)</f>
        <v/>
      </c>
      <c r="U34" s="110" t="n">
        <f aca="false">IF(K34="نعم",L34,J34)</f>
        <v>16.5</v>
      </c>
      <c r="V34" s="110" t="n">
        <f aca="false">SUMPRODUCT('مصفوفة الاستهلاك'!$AC$2:$AC$190,'متجهات المبيعات'!$G$2:$G$190)/'مواد المخزون'!$D$29/MAX(1,MIN('إعدادات المخزون'!$B$11,'إعدادات المخزون'!$B$4-'إعدادات المخزون'!$B$5+1))</f>
        <v>0.75</v>
      </c>
      <c r="W34" s="110" t="n">
        <f aca="false">IF(V34&lt;=0,0,ROUNDUP(MAX(0,V34*('إعدادات المخزون'!$B$8+'إعدادات المخزون'!$B$9+'إعدادات المخزون'!$B$10)-MAX(U34,0))/'مواد المخزون'!$F29,0)*'مواد المخزون'!$F29)</f>
        <v>0</v>
      </c>
      <c r="X34" s="109" t="n">
        <f aca="false">IF(AND(K34="نعم",O34&lt;0),-O34+ROW()*0.000000001,0)</f>
        <v>0</v>
      </c>
      <c r="Y34" s="109" t="n">
        <f aca="false">IF(AND(K34="نعم",O34&gt;0),O34+ROW()*0.000000001,0)</f>
        <v>0</v>
      </c>
      <c r="Z34" s="110" t="n">
        <f aca="false">SUMIFS('مشتريات يومية'!$D$2:$D$4001,'مشتريات يومية'!$B$2:$B$4001,$B$2,'مشتريات يومية'!$C$2:$C$4001,$A34,'مشتريات يومية'!$A$2:$A$4001,'إعدادات المخزون'!$B$4)+SUMIFS('هالك وتحويلات'!$E$2:$E$3001,'هالك وتحويلات'!$B$2:$B$3001,$B$2,'هالك وتحويلات'!$C$2:$C$3001,$A34,'هالك وتحويلات'!$D$2:$D$3001,"تحويل وارد",'هالك وتحويلات'!$A$2:$A$3001,'إعدادات المخزون'!$B$4)-SUMIFS('هالك وتحويلات'!$E$2:$E$3001,'هالك وتحويلات'!$B$2:$B$3001,$B$2,'هالك وتحويلات'!$C$2:$C$3001,$A34,'هالك وتحويلات'!$D$2:$D$3001,"تحويل صادر",'هالك وتحويلات'!$A$2:$A$3001,'إعدادات المخزون'!$B$4)-SUMIFS('هالك وتحويلات'!$E$2:$E$3001,'هالك وتحويلات'!$B$2:$B$3001,$B$2,'هالك وتحويلات'!$C$2:$C$3001,$A34,'هالك وتحويلات'!$D$2:$D$3001,"هالك",'هالك وتحويلات'!$A$2:$A$3001,'إعدادات المخزون'!$B$4)-SUMIFS('هالك وتحويلات'!$E$2:$E$3001,'هالك وتحويلات'!$B$2:$B$3001,$B$2,'هالك وتحويلات'!$C$2:$C$3001,$A34,'هالك وتحويلات'!$D$2:$D$3001,"ضيافة / أكل موظفين",'هالك وتحويلات'!$A$2:$A$3001,'إعدادات المخزون'!$B$4)-SUMPRODUCT('مصفوفة الاستهلاك'!$AC$2:$AC$190,'متجهات المبيعات'!$E$2:$E$190)/'مواد المخزون'!$D$29</f>
        <v>-0.75</v>
      </c>
      <c r="AA34" s="109" t="n">
        <f aca="false">IF(K34="نعم",O34,0)</f>
        <v>0</v>
      </c>
      <c r="AB34" s="109" t="n">
        <f aca="false">IF(K34="نعم",J34*C34,0)</f>
        <v>0</v>
      </c>
      <c r="AC34" s="109" t="n">
        <f aca="false">IF(T34="",0,T34)</f>
        <v>0</v>
      </c>
    </row>
    <row r="35" customFormat="false" ht="15" hidden="false" customHeight="false" outlineLevel="0" collapsed="false">
      <c r="A35" s="34" t="str">
        <f aca="false">'مواد المخزون'!A30</f>
        <v>بشاميل مصنع صيامي</v>
      </c>
      <c r="B35" s="36" t="str">
        <f aca="false">'مواد المخزون'!B30</f>
        <v>كجم</v>
      </c>
      <c r="C35" s="109" t="n">
        <f aca="false">'مواد المخزون'!E30</f>
        <v>25</v>
      </c>
      <c r="D35" s="110" t="n">
        <f aca="false">'جرد أول المدة'!D33</f>
        <v>0</v>
      </c>
      <c r="E35" s="110" t="n">
        <f aca="false">SUMIFS('مشتريات يومية'!$D$2:$D$4001,'مشتريات يومية'!$B$2:$B$4001,$B$2,'مشتريات يومية'!$C$2:$C$4001,$A35,'مشتريات يومية'!$A$2:$A$4001,"&gt;="&amp;'إعدادات المخزون'!$B$5,'مشتريات يومية'!$A$2:$A$4001,"&lt;="&amp;'إعدادات المخزون'!$B$4)</f>
        <v>0</v>
      </c>
      <c r="F35" s="110" t="n">
        <f aca="false">SUMIFS('هالك وتحويلات'!$E$2:$E$3001,'هالك وتحويلات'!$B$2:$B$3001,$B$2,'هالك وتحويلات'!$C$2:$C$3001,$A35,'هالك وتحويلات'!$D$2:$D$3001,"تحويل وارد",'هالك وتحويلات'!$A$2:$A$3001,"&gt;="&amp;'إعدادات المخزون'!$B$5,'هالك وتحويلات'!$A$2:$A$3001,"&lt;="&amp;'إعدادات المخزون'!$B$4)</f>
        <v>0</v>
      </c>
      <c r="G35" s="110" t="n">
        <f aca="false">SUMIFS('هالك وتحويلات'!$E$2:$E$3001,'هالك وتحويلات'!$B$2:$B$3001,$B$2,'هالك وتحويلات'!$C$2:$C$3001,$A35,'هالك وتحويلات'!$D$2:$D$3001,"تحويل صادر",'هالك وتحويلات'!$A$2:$A$3001,"&gt;="&amp;'إعدادات المخزون'!$B$5,'هالك وتحويلات'!$A$2:$A$3001,"&lt;="&amp;'إعدادات المخزون'!$B$4)</f>
        <v>0</v>
      </c>
      <c r="H35" s="110" t="n">
        <f aca="false">SUMPRODUCT('مصفوفة الاستهلاك'!$AD$2:$AD$190,'متجهات المبيعات'!$F$2:$F$190)/'مواد المخزون'!$D$30</f>
        <v>0.19992</v>
      </c>
      <c r="I35" s="110" t="n">
        <f aca="false">SUMIFS('هالك وتحويلات'!$E$2:$E$3001,'هالك وتحويلات'!$B$2:$B$3001,$B$2,'هالك وتحويلات'!$C$2:$C$3001,$A35,'هالك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وتحويلات'!$C$2:$C$3001,$A35,'هالك وتحويلات'!$D$2:$D$3001,"ضيافة / أكل موظفين",'هالك وتحويلات'!$A$2:$A$3001,"&gt;="&amp;'إعدادات المخزون'!$B$5,'هالك وتحويلات'!$A$2:$A$3001,"&lt;="&amp;'إعدادات المخزون'!$B$4)</f>
        <v>0</v>
      </c>
      <c r="J35" s="110" t="n">
        <f aca="false">D35+E35+F35-G35-H35-I35</f>
        <v>-0.19992</v>
      </c>
      <c r="K35" s="36" t="str">
        <f aca="false">IF(COUNTIFS('جرد فعلي'!$B$2:$B$12001,$B$2,'جرد فعلي'!$C$2:$C$12001,$A35,'جرد فعلي'!$A$2:$A$12001,'إعدادات المخزون'!$B$4)&gt;0,"نعم","لا")</f>
        <v>لا</v>
      </c>
      <c r="L35" s="111" t="str">
        <f aca="false">IF(K35="نعم",SUMIFS('جرد فعلي'!$D$2:$D$12001,'جرد فعلي'!$B$2:$B$12001,$B$2,'جرد فعلي'!$C$2:$C$12001,$A35,'جرد فعلي'!$A$2:$A$12001,'إعدادات المخزون'!$B$4),"")</f>
        <v/>
      </c>
      <c r="M35" s="110" t="str">
        <f aca="false">IF(K35="نعم",L35-J35,"")</f>
        <v/>
      </c>
      <c r="N35" s="112" t="str">
        <f aca="false">IF(K35="نعم",IF(J35=0,IF(M35=0,0,SIGN(M35)),M35/ABS(J35)),"")</f>
        <v/>
      </c>
      <c r="O35" s="109" t="str">
        <f aca="false">IF(K35="نعم",M35*C35,"")</f>
        <v/>
      </c>
      <c r="P35" s="36" t="str">
        <f aca="false">IF(K35&lt;&gt;"نعم","لم يُجرد",IF(ABS(N35)&lt;='إعدادات المخزون'!$B$7,"مطابق",IF(M35&lt;0,"عجز","زيادة")))</f>
        <v>لم يُجرد</v>
      </c>
      <c r="Q35" s="110" t="n">
        <f aca="false">J35-Z35</f>
        <v>-0.18326</v>
      </c>
      <c r="R35" s="110" t="str">
        <f aca="false">IF(COUNTIFS('جرد فعلي'!$B$2:$B$12001,$B$2,'جرد فعلي'!$C$2:$C$12001,$A35,'جرد فعلي'!$A$2:$A$12001,'إعدادات المخزون'!$B$4-1)&gt;0,SUMIFS('جرد فعلي'!$D$2:$D$12001,'جرد فعلي'!$B$2:$B$12001,$B$2,'جرد فعلي'!$C$2:$C$12001,$A35,'جرد فعلي'!$A$2:$A$12001,'إعدادات المخزون'!$B$4-1),"")</f>
        <v/>
      </c>
      <c r="S35" s="110" t="str">
        <f aca="false">IF(AND(K35="نعم",R35&lt;&gt;""),(L35-J35)-(R35-Q35),"")</f>
        <v/>
      </c>
      <c r="T35" s="109" t="str">
        <f aca="false">IF(S35="","",S35*C35)</f>
        <v/>
      </c>
      <c r="U35" s="110" t="n">
        <f aca="false">IF(K35="نعم",L35,J35)</f>
        <v>-0.19992</v>
      </c>
      <c r="V35" s="110" t="n">
        <f aca="false">SUMPRODUCT('مصفوفة الاستهلاك'!$AD$2:$AD$190,'متجهات المبيعات'!$G$2:$G$190)/'مواد المخزون'!$D$30/MAX(1,MIN('إعدادات المخزون'!$B$11,'إعدادات المخزون'!$B$4-'إعدادات المخزون'!$B$5+1))</f>
        <v>0.01666</v>
      </c>
      <c r="W35" s="110" t="n">
        <f aca="false">IF(V35&lt;=0,0,ROUNDUP(MAX(0,V35*('إعدادات المخزون'!$B$8+'إعدادات المخزون'!$B$9+'إعدادات المخزون'!$B$10)-MAX(U35,0))/'مواد المخزون'!$F30,0)*'مواد المخزون'!$F30)</f>
        <v>1</v>
      </c>
      <c r="X35" s="109" t="n">
        <f aca="false">IF(AND(K35="نعم",O35&lt;0),-O35+ROW()*0.000000001,0)</f>
        <v>0</v>
      </c>
      <c r="Y35" s="109" t="n">
        <f aca="false">IF(AND(K35="نعم",O35&gt;0),O35+ROW()*0.000000001,0)</f>
        <v>0</v>
      </c>
      <c r="Z35" s="110" t="n">
        <f aca="false">SUMIFS('مشتريات يومية'!$D$2:$D$4001,'مشتريات يومية'!$B$2:$B$4001,$B$2,'مشتريات يومية'!$C$2:$C$4001,$A35,'مشتريات يومية'!$A$2:$A$4001,'إعدادات المخزون'!$B$4)+SUMIFS('هالك وتحويلات'!$E$2:$E$3001,'هالك وتحويلات'!$B$2:$B$3001,$B$2,'هالك وتحويلات'!$C$2:$C$3001,$A35,'هالك وتحويلات'!$D$2:$D$3001,"تحويل وارد",'هالك وتحويلات'!$A$2:$A$3001,'إعدادات المخزون'!$B$4)-SUMIFS('هالك وتحويلات'!$E$2:$E$3001,'هالك وتحويلات'!$B$2:$B$3001,$B$2,'هالك وتحويلات'!$C$2:$C$3001,$A35,'هالك وتحويلات'!$D$2:$D$3001,"تحويل صادر",'هالك وتحويلات'!$A$2:$A$3001,'إعدادات المخزون'!$B$4)-SUMIFS('هالك وتحويلات'!$E$2:$E$3001,'هالك وتحويلات'!$B$2:$B$3001,$B$2,'هالك وتحويلات'!$C$2:$C$3001,$A35,'هالك وتحويلات'!$D$2:$D$3001,"هالك",'هالك وتحويلات'!$A$2:$A$3001,'إعدادات المخزون'!$B$4)-SUMIFS('هالك وتحويلات'!$E$2:$E$3001,'هالك وتحويلات'!$B$2:$B$3001,$B$2,'هالك وتحويلات'!$C$2:$C$3001,$A35,'هالك وتحويلات'!$D$2:$D$3001,"ضيافة / أكل موظفين",'هالك وتحويلات'!$A$2:$A$3001,'إعدادات المخزون'!$B$4)-SUMPRODUCT('مصفوفة الاستهلاك'!$AD$2:$AD$190,'متجهات المبيعات'!$E$2:$E$190)/'مواد المخزون'!$D$30</f>
        <v>-0.01666</v>
      </c>
      <c r="AA35" s="109" t="n">
        <f aca="false">IF(K35="نعم",O35,0)</f>
        <v>0</v>
      </c>
      <c r="AB35" s="109" t="n">
        <f aca="false">IF(K35="نعم",J35*C35,0)</f>
        <v>0</v>
      </c>
      <c r="AC35" s="109" t="n">
        <f aca="false">IF(T35="",0,T35)</f>
        <v>0</v>
      </c>
    </row>
    <row r="36" customFormat="false" ht="15" hidden="false" customHeight="false" outlineLevel="0" collapsed="false">
      <c r="A36" s="34" t="str">
        <f aca="false">'مواد المخزون'!A31</f>
        <v>بصل</v>
      </c>
      <c r="B36" s="36" t="str">
        <f aca="false">'مواد المخزون'!B31</f>
        <v>كجم</v>
      </c>
      <c r="C36" s="109" t="n">
        <f aca="false">'مواد المخزون'!E31</f>
        <v>18</v>
      </c>
      <c r="D36" s="110" t="n">
        <f aca="false">'جرد أول المدة'!D34</f>
        <v>1.6</v>
      </c>
      <c r="E36" s="110" t="n">
        <f aca="false">SUMIFS('مشتريات يومية'!$D$2:$D$4001,'مشتريات يومية'!$B$2:$B$4001,$B$2,'مشتريات يومية'!$C$2:$C$4001,$A36,'مشتريات يومية'!$A$2:$A$4001,"&gt;="&amp;'إعدادات المخزون'!$B$5,'مشتريات يومية'!$A$2:$A$4001,"&lt;="&amp;'إعدادات المخزون'!$B$4)</f>
        <v>4</v>
      </c>
      <c r="F36" s="110" t="n">
        <f aca="false">SUMIFS('هالك وتحويلات'!$E$2:$E$3001,'هالك وتحويلات'!$B$2:$B$3001,$B$2,'هالك وتحويلات'!$C$2:$C$3001,$A36,'هالك وتحويلات'!$D$2:$D$3001,"تحويل وارد",'هالك وتحويلات'!$A$2:$A$3001,"&gt;="&amp;'إعدادات المخزون'!$B$5,'هالك وتحويلات'!$A$2:$A$3001,"&lt;="&amp;'إعدادات المخزون'!$B$4)</f>
        <v>0</v>
      </c>
      <c r="G36" s="110" t="n">
        <f aca="false">SUMIFS('هالك وتحويلات'!$E$2:$E$3001,'هالك وتحويلات'!$B$2:$B$3001,$B$2,'هالك وتحويلات'!$C$2:$C$3001,$A36,'هالك وتحويلات'!$D$2:$D$3001,"تحويل صادر",'هالك وتحويلات'!$A$2:$A$3001,"&gt;="&amp;'إعدادات المخزون'!$B$5,'هالك وتحويلات'!$A$2:$A$3001,"&lt;="&amp;'إعدادات المخزون'!$B$4)</f>
        <v>0</v>
      </c>
      <c r="H36" s="110" t="n">
        <f aca="false">SUMPRODUCT('مصفوفة الاستهلاك'!$AE$2:$AE$190,'متجهات المبيعات'!$F$2:$F$190)/'مواد المخزون'!$D$31</f>
        <v>2.499984</v>
      </c>
      <c r="I36" s="110" t="n">
        <f aca="false">SUMIFS('هالك وتحويلات'!$E$2:$E$3001,'هالك وتحويلات'!$B$2:$B$3001,$B$2,'هالك وتحويلات'!$C$2:$C$3001,$A36,'هالك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وتحويلات'!$C$2:$C$3001,$A36,'هالك وتحويلات'!$D$2:$D$3001,"ضيافة / أكل موظفين",'هالك وتحويلات'!$A$2:$A$3001,"&gt;="&amp;'إعدادات المخزون'!$B$5,'هالك وتحويلات'!$A$2:$A$3001,"&lt;="&amp;'إعدادات المخزون'!$B$4)</f>
        <v>0</v>
      </c>
      <c r="J36" s="110" t="n">
        <f aca="false">D36+E36+F36-G36-H36-I36</f>
        <v>3.100016</v>
      </c>
      <c r="K36" s="36" t="str">
        <f aca="false">IF(COUNTIFS('جرد فعلي'!$B$2:$B$12001,$B$2,'جرد فعلي'!$C$2:$C$12001,$A36,'جرد فعلي'!$A$2:$A$12001,'إعدادات المخزون'!$B$4)&gt;0,"نعم","لا")</f>
        <v>لا</v>
      </c>
      <c r="L36" s="111" t="str">
        <f aca="false">IF(K36="نعم",SUMIFS('جرد فعلي'!$D$2:$D$12001,'جرد فعلي'!$B$2:$B$12001,$B$2,'جرد فعلي'!$C$2:$C$12001,$A36,'جرد فعلي'!$A$2:$A$12001,'إعدادات المخزون'!$B$4),"")</f>
        <v/>
      </c>
      <c r="M36" s="110" t="str">
        <f aca="false">IF(K36="نعم",L36-J36,"")</f>
        <v/>
      </c>
      <c r="N36" s="112" t="str">
        <f aca="false">IF(K36="نعم",IF(J36=0,IF(M36=0,0,SIGN(M36)),M36/ABS(J36)),"")</f>
        <v/>
      </c>
      <c r="O36" s="109" t="str">
        <f aca="false">IF(K36="نعم",M36*C36,"")</f>
        <v/>
      </c>
      <c r="P36" s="36" t="str">
        <f aca="false">IF(K36&lt;&gt;"نعم","لم يُجرد",IF(ABS(N36)&lt;='إعدادات المخزون'!$B$7,"مطابق",IF(M36&lt;0,"عجز","زيادة")))</f>
        <v>لم يُجرد</v>
      </c>
      <c r="Q36" s="110" t="n">
        <f aca="false">J36-Z36</f>
        <v>3.308348</v>
      </c>
      <c r="R36" s="110" t="str">
        <f aca="false">IF(COUNTIFS('جرد فعلي'!$B$2:$B$12001,$B$2,'جرد فعلي'!$C$2:$C$12001,$A36,'جرد فعلي'!$A$2:$A$12001,'إعدادات المخزون'!$B$4-1)&gt;0,SUMIFS('جرد فعلي'!$D$2:$D$12001,'جرد فعلي'!$B$2:$B$12001,$B$2,'جرد فعلي'!$C$2:$C$12001,$A36,'جرد فعلي'!$A$2:$A$12001,'إعدادات المخزون'!$B$4-1),"")</f>
        <v/>
      </c>
      <c r="S36" s="110" t="str">
        <f aca="false">IF(AND(K36="نعم",R36&lt;&gt;""),(L36-J36)-(R36-Q36),"")</f>
        <v/>
      </c>
      <c r="T36" s="109" t="str">
        <f aca="false">IF(S36="","",S36*C36)</f>
        <v/>
      </c>
      <c r="U36" s="110" t="n">
        <f aca="false">IF(K36="نعم",L36,J36)</f>
        <v>3.100016</v>
      </c>
      <c r="V36" s="110" t="n">
        <f aca="false">SUMPRODUCT('مصفوفة الاستهلاك'!$AE$2:$AE$190,'متجهات المبيعات'!$G$2:$G$190)/'مواد المخزون'!$D$31/MAX(1,MIN('إعدادات المخزون'!$B$11,'إعدادات المخزون'!$B$4-'إعدادات المخزون'!$B$5+1))</f>
        <v>0.208332</v>
      </c>
      <c r="W36" s="110" t="n">
        <f aca="false">IF(V36&lt;=0,0,ROUNDUP(MAX(0,V36*('إعدادات المخزون'!$B$8+'إعدادات المخزون'!$B$9+'إعدادات المخزون'!$B$10)-MAX(U36,0))/'مواد المخزون'!$F31,0)*'مواد المخزون'!$F31)</f>
        <v>0</v>
      </c>
      <c r="X36" s="109" t="n">
        <f aca="false">IF(AND(K36="نعم",O36&lt;0),-O36+ROW()*0.000000001,0)</f>
        <v>0</v>
      </c>
      <c r="Y36" s="109" t="n">
        <f aca="false">IF(AND(K36="نعم",O36&gt;0),O36+ROW()*0.000000001,0)</f>
        <v>0</v>
      </c>
      <c r="Z36" s="110" t="n">
        <f aca="false">SUMIFS('مشتريات يومية'!$D$2:$D$4001,'مشتريات يومية'!$B$2:$B$4001,$B$2,'مشتريات يومية'!$C$2:$C$4001,$A36,'مشتريات يومية'!$A$2:$A$4001,'إعدادات المخزون'!$B$4)+SUMIFS('هالك وتحويلات'!$E$2:$E$3001,'هالك وتحويلات'!$B$2:$B$3001,$B$2,'هالك وتحويلات'!$C$2:$C$3001,$A36,'هالك وتحويلات'!$D$2:$D$3001,"تحويل وارد",'هالك وتحويلات'!$A$2:$A$3001,'إعدادات المخزون'!$B$4)-SUMIFS('هالك وتحويلات'!$E$2:$E$3001,'هالك وتحويلات'!$B$2:$B$3001,$B$2,'هالك وتحويلات'!$C$2:$C$3001,$A36,'هالك وتحويلات'!$D$2:$D$3001,"تحويل صادر",'هالك وتحويلات'!$A$2:$A$3001,'إعدادات المخزون'!$B$4)-SUMIFS('هالك وتحويلات'!$E$2:$E$3001,'هالك وتحويلات'!$B$2:$B$3001,$B$2,'هالك وتحويلات'!$C$2:$C$3001,$A36,'هالك وتحويلات'!$D$2:$D$3001,"هالك",'هالك وتحويلات'!$A$2:$A$3001,'إعدادات المخزون'!$B$4)-SUMIFS('هالك وتحويلات'!$E$2:$E$3001,'هالك وتحويلات'!$B$2:$B$3001,$B$2,'هالك وتحويلات'!$C$2:$C$3001,$A36,'هالك وتحويلات'!$D$2:$D$3001,"ضيافة / أكل موظفين",'هالك وتحويلات'!$A$2:$A$3001,'إعدادات المخزون'!$B$4)-SUMPRODUCT('مصفوفة الاستهلاك'!$AE$2:$AE$190,'متجهات المبيعات'!$E$2:$E$190)/'مواد المخزون'!$D$31</f>
        <v>-0.208332</v>
      </c>
      <c r="AA36" s="109" t="n">
        <f aca="false">IF(K36="نعم",O36,0)</f>
        <v>0</v>
      </c>
      <c r="AB36" s="109" t="n">
        <f aca="false">IF(K36="نعم",J36*C36,0)</f>
        <v>0</v>
      </c>
      <c r="AC36" s="109" t="n">
        <f aca="false">IF(T36="",0,T36)</f>
        <v>0</v>
      </c>
    </row>
    <row r="37" customFormat="false" ht="15" hidden="false" customHeight="false" outlineLevel="0" collapsed="false">
      <c r="A37" s="34" t="str">
        <f aca="false">'مواد المخزون'!A32</f>
        <v>بكر استريتش</v>
      </c>
      <c r="B37" s="36" t="str">
        <f aca="false">'مواد المخزون'!B32</f>
        <v>رول</v>
      </c>
      <c r="C37" s="109" t="n">
        <f aca="false">'مواد المخزون'!E32</f>
        <v>730</v>
      </c>
      <c r="D37" s="110" t="n">
        <f aca="false">'جرد أول المدة'!D35</f>
        <v>2.835</v>
      </c>
      <c r="E37" s="110" t="n">
        <f aca="false">SUMIFS('مشتريات يومية'!$D$2:$D$4001,'مشتريات يومية'!$B$2:$B$4001,$B$2,'مشتريات يومية'!$C$2:$C$4001,$A37,'مشتريات يومية'!$A$2:$A$4001,"&gt;="&amp;'إعدادات المخزون'!$B$5,'مشتريات يومية'!$A$2:$A$4001,"&lt;="&amp;'إعدادات المخزون'!$B$4)</f>
        <v>1</v>
      </c>
      <c r="F37" s="110" t="n">
        <f aca="false">SUMIFS('هالك وتحويلات'!$E$2:$E$3001,'هالك وتحويلات'!$B$2:$B$3001,$B$2,'هالك وتحويلات'!$C$2:$C$3001,$A37,'هالك وتحويلات'!$D$2:$D$3001,"تحويل وارد",'هالك وتحويلات'!$A$2:$A$3001,"&gt;="&amp;'إعدادات المخزون'!$B$5,'هالك وتحويلات'!$A$2:$A$3001,"&lt;="&amp;'إعدادات المخزون'!$B$4)</f>
        <v>0</v>
      </c>
      <c r="G37" s="110" t="n">
        <f aca="false">SUMIFS('هالك وتحويلات'!$E$2:$E$3001,'هالك وتحويلات'!$B$2:$B$3001,$B$2,'هالك وتحويلات'!$C$2:$C$3001,$A37,'هالك وتحويلات'!$D$2:$D$3001,"تحويل صادر",'هالك وتحويلات'!$A$2:$A$3001,"&gt;="&amp;'إعدادات المخزون'!$B$5,'هالك وتحويلات'!$A$2:$A$3001,"&lt;="&amp;'إعدادات المخزون'!$B$4)</f>
        <v>0</v>
      </c>
      <c r="H37" s="110" t="n">
        <f aca="false">SUMPRODUCT('مصفوفة الاستهلاك'!$AF$2:$AF$190,'متجهات المبيعات'!$F$2:$F$190)/'مواد المخزون'!$D$32</f>
        <v>3.334998</v>
      </c>
      <c r="I37" s="110" t="n">
        <f aca="false">SUMIFS('هالك وتحويلات'!$E$2:$E$3001,'هالك وتحويلات'!$B$2:$B$3001,$B$2,'هالك وتحويلات'!$C$2:$C$3001,$A37,'هالك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وتحويلات'!$C$2:$C$3001,$A37,'هالك وتحويلات'!$D$2:$D$3001,"ضيافة / أكل موظفين",'هالك وتحويلات'!$A$2:$A$3001,"&gt;="&amp;'إعدادات المخزون'!$B$5,'هالك وتحويلات'!$A$2:$A$3001,"&lt;="&amp;'إعدادات المخزون'!$B$4)</f>
        <v>0</v>
      </c>
      <c r="J37" s="110" t="n">
        <f aca="false">D37+E37+F37-G37-H37-I37</f>
        <v>0.500002</v>
      </c>
      <c r="K37" s="36" t="str">
        <f aca="false">IF(COUNTIFS('جرد فعلي'!$B$2:$B$12001,$B$2,'جرد فعلي'!$C$2:$C$12001,$A37,'جرد فعلي'!$A$2:$A$12001,'إعدادات المخزون'!$B$4)&gt;0,"نعم","لا")</f>
        <v>لا</v>
      </c>
      <c r="L37" s="111" t="str">
        <f aca="false">IF(K37="نعم",SUMIFS('جرد فعلي'!$D$2:$D$12001,'جرد فعلي'!$B$2:$B$12001,$B$2,'جرد فعلي'!$C$2:$C$12001,$A37,'جرد فعلي'!$A$2:$A$12001,'إعدادات المخزون'!$B$4),"")</f>
        <v/>
      </c>
      <c r="M37" s="110" t="str">
        <f aca="false">IF(K37="نعم",L37-J37,"")</f>
        <v/>
      </c>
      <c r="N37" s="112" t="str">
        <f aca="false">IF(K37="نعم",IF(J37=0,IF(M37=0,0,SIGN(M37)),M37/ABS(J37)),"")</f>
        <v/>
      </c>
      <c r="O37" s="109" t="str">
        <f aca="false">IF(K37="نعم",M37*C37,"")</f>
        <v/>
      </c>
      <c r="P37" s="36" t="str">
        <f aca="false">IF(K37&lt;&gt;"نعم","لم يُجرد",IF(ABS(N37)&lt;='إعدادات المخزون'!$B$7,"مطابق",IF(M37&lt;0,"عجز","زيادة")))</f>
        <v>لم يُجرد</v>
      </c>
      <c r="Q37" s="110" t="n">
        <f aca="false">J37-Z37</f>
        <v>0.7779185</v>
      </c>
      <c r="R37" s="110" t="str">
        <f aca="false">IF(COUNTIFS('جرد فعلي'!$B$2:$B$12001,$B$2,'جرد فعلي'!$C$2:$C$12001,$A37,'جرد فعلي'!$A$2:$A$12001,'إعدادات المخزون'!$B$4-1)&gt;0,SUMIFS('جرد فعلي'!$D$2:$D$12001,'جرد فعلي'!$B$2:$B$12001,$B$2,'جرد فعلي'!$C$2:$C$12001,$A37,'جرد فعلي'!$A$2:$A$12001,'إعدادات المخزون'!$B$4-1),"")</f>
        <v/>
      </c>
      <c r="S37" s="110" t="str">
        <f aca="false">IF(AND(K37="نعم",R37&lt;&gt;""),(L37-J37)-(R37-Q37),"")</f>
        <v/>
      </c>
      <c r="T37" s="109" t="str">
        <f aca="false">IF(S37="","",S37*C37)</f>
        <v/>
      </c>
      <c r="U37" s="110" t="n">
        <f aca="false">IF(K37="نعم",L37,J37)</f>
        <v>0.500002</v>
      </c>
      <c r="V37" s="110" t="n">
        <f aca="false">SUMPRODUCT('مصفوفة الاستهلاك'!$AF$2:$AF$190,'متجهات المبيعات'!$G$2:$G$190)/'مواد المخزون'!$D$32/MAX(1,MIN('إعدادات المخزون'!$B$11,'إعدادات المخزون'!$B$4-'إعدادات المخزون'!$B$5+1))</f>
        <v>0.2779165</v>
      </c>
      <c r="W37" s="110" t="n">
        <f aca="false">IF(V37&lt;=0,0,ROUNDUP(MAX(0,V37*('إعدادات المخزون'!$B$8+'إعدادات المخزون'!$B$9+'إعدادات المخزون'!$B$10)-MAX(U37,0))/'مواد المخزون'!$F32,0)*'مواد المخزون'!$F32)</f>
        <v>1</v>
      </c>
      <c r="X37" s="109" t="n">
        <f aca="false">IF(AND(K37="نعم",O37&lt;0),-O37+ROW()*0.000000001,0)</f>
        <v>0</v>
      </c>
      <c r="Y37" s="109" t="n">
        <f aca="false">IF(AND(K37="نعم",O37&gt;0),O37+ROW()*0.000000001,0)</f>
        <v>0</v>
      </c>
      <c r="Z37" s="110" t="n">
        <f aca="false">SUMIFS('مشتريات يومية'!$D$2:$D$4001,'مشتريات يومية'!$B$2:$B$4001,$B$2,'مشتريات يومية'!$C$2:$C$4001,$A37,'مشتريات يومية'!$A$2:$A$4001,'إعدادات المخزون'!$B$4)+SUMIFS('هالك وتحويلات'!$E$2:$E$3001,'هالك وتحويلات'!$B$2:$B$3001,$B$2,'هالك وتحويلات'!$C$2:$C$3001,$A37,'هالك وتحويلات'!$D$2:$D$3001,"تحويل وارد",'هالك وتحويلات'!$A$2:$A$3001,'إعدادات المخزون'!$B$4)-SUMIFS('هالك وتحويلات'!$E$2:$E$3001,'هالك وتحويلات'!$B$2:$B$3001,$B$2,'هالك وتحويلات'!$C$2:$C$3001,$A37,'هالك وتحويلات'!$D$2:$D$3001,"تحويل صادر",'هالك وتحويلات'!$A$2:$A$3001,'إعدادات المخزون'!$B$4)-SUMIFS('هالك وتحويلات'!$E$2:$E$3001,'هالك وتحويلات'!$B$2:$B$3001,$B$2,'هالك وتحويلات'!$C$2:$C$3001,$A37,'هالك وتحويلات'!$D$2:$D$3001,"هالك",'هالك وتحويلات'!$A$2:$A$3001,'إعدادات المخزون'!$B$4)-SUMIFS('هالك وتحويلات'!$E$2:$E$3001,'هالك وتحويلات'!$B$2:$B$3001,$B$2,'هالك وتحويلات'!$C$2:$C$3001,$A37,'هالك وتحويلات'!$D$2:$D$3001,"ضيافة / أكل موظفين",'هالك وتحويلات'!$A$2:$A$3001,'إعدادات المخزون'!$B$4)-SUMPRODUCT('مصفوفة الاستهلاك'!$AF$2:$AF$190,'متجهات المبيعات'!$E$2:$E$190)/'مواد المخزون'!$D$32</f>
        <v>-0.2779165</v>
      </c>
      <c r="AA37" s="109" t="n">
        <f aca="false">IF(K37="نعم",O37,0)</f>
        <v>0</v>
      </c>
      <c r="AB37" s="109" t="n">
        <f aca="false">IF(K37="نعم",J37*C37,0)</f>
        <v>0</v>
      </c>
      <c r="AC37" s="109" t="n">
        <f aca="false">IF(T37="",0,T37)</f>
        <v>0</v>
      </c>
    </row>
    <row r="38" customFormat="false" ht="15" hidden="false" customHeight="false" outlineLevel="0" collapsed="false">
      <c r="A38" s="34" t="str">
        <f aca="false">'مواد المخزون'!A33</f>
        <v>بيبسي كانز</v>
      </c>
      <c r="B38" s="36" t="str">
        <f aca="false">'مواد المخزون'!B33</f>
        <v>قطعة</v>
      </c>
      <c r="C38" s="109" t="n">
        <f aca="false">'مواد المخزون'!E33</f>
        <v>17.1875</v>
      </c>
      <c r="D38" s="110" t="n">
        <f aca="false">'جرد أول المدة'!D36</f>
        <v>0</v>
      </c>
      <c r="E38" s="110" t="n">
        <f aca="false">SUMIFS('مشتريات يومية'!$D$2:$D$4001,'مشتريات يومية'!$B$2:$B$4001,$B$2,'مشتريات يومية'!$C$2:$C$4001,$A38,'مشتريات يومية'!$A$2:$A$4001,"&gt;="&amp;'إعدادات المخزون'!$B$5,'مشتريات يومية'!$A$2:$A$4001,"&lt;="&amp;'إعدادات المخزون'!$B$4)</f>
        <v>8</v>
      </c>
      <c r="F38" s="110" t="n">
        <f aca="false">SUMIFS('هالك وتحويلات'!$E$2:$E$3001,'هالك وتحويلات'!$B$2:$B$3001,$B$2,'هالك وتحويلات'!$C$2:$C$3001,$A38,'هالك وتحويلات'!$D$2:$D$3001,"تحويل وارد",'هالك وتحويلات'!$A$2:$A$3001,"&gt;="&amp;'إعدادات المخزون'!$B$5,'هالك وتحويلات'!$A$2:$A$3001,"&lt;="&amp;'إعدادات المخزون'!$B$4)</f>
        <v>0</v>
      </c>
      <c r="G38" s="110" t="n">
        <f aca="false">SUMIFS('هالك وتحويلات'!$E$2:$E$3001,'هالك وتحويلات'!$B$2:$B$3001,$B$2,'هالك وتحويلات'!$C$2:$C$3001,$A38,'هالك وتحويلات'!$D$2:$D$3001,"تحويل صادر",'هالك وتحويلات'!$A$2:$A$3001,"&gt;="&amp;'إعدادات المخزون'!$B$5,'هالك وتحويلات'!$A$2:$A$3001,"&lt;="&amp;'إعدادات المخزون'!$B$4)</f>
        <v>0</v>
      </c>
      <c r="H38" s="110" t="n">
        <f aca="false">SUMPRODUCT('مصفوفة الاستهلاك'!$AG$2:$AG$190,'متجهات المبيعات'!$F$2:$F$190)/'مواد المخزون'!$D$33</f>
        <v>8.0004</v>
      </c>
      <c r="I38" s="110" t="n">
        <f aca="false">SUMIFS('هالك وتحويلات'!$E$2:$E$3001,'هالك وتحويلات'!$B$2:$B$3001,$B$2,'هالك وتحويلات'!$C$2:$C$3001,$A38,'هالك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وتحويلات'!$C$2:$C$3001,$A38,'هالك وتحويلات'!$D$2:$D$3001,"ضيافة / أكل موظفين",'هالك وتحويلات'!$A$2:$A$3001,"&gt;="&amp;'إعدادات المخزون'!$B$5,'هالك وتحويلات'!$A$2:$A$3001,"&lt;="&amp;'إعدادات المخزون'!$B$4)</f>
        <v>0</v>
      </c>
      <c r="J38" s="110" t="n">
        <f aca="false">D38+E38+F38-G38-H38-I38</f>
        <v>-0.000399999999999068</v>
      </c>
      <c r="K38" s="36" t="str">
        <f aca="false">IF(COUNTIFS('جرد فعلي'!$B$2:$B$12001,$B$2,'جرد فعلي'!$C$2:$C$12001,$A38,'جرد فعلي'!$A$2:$A$12001,'إعدادات المخزون'!$B$4)&gt;0,"نعم","لا")</f>
        <v>لا</v>
      </c>
      <c r="L38" s="111" t="str">
        <f aca="false">IF(K38="نعم",SUMIFS('جرد فعلي'!$D$2:$D$12001,'جرد فعلي'!$B$2:$B$12001,$B$2,'جرد فعلي'!$C$2:$C$12001,$A38,'جرد فعلي'!$A$2:$A$12001,'إعدادات المخزون'!$B$4),"")</f>
        <v/>
      </c>
      <c r="M38" s="110" t="str">
        <f aca="false">IF(K38="نعم",L38-J38,"")</f>
        <v/>
      </c>
      <c r="N38" s="112" t="str">
        <f aca="false">IF(K38="نعم",IF(J38=0,IF(M38=0,0,SIGN(M38)),M38/ABS(J38)),"")</f>
        <v/>
      </c>
      <c r="O38" s="109" t="str">
        <f aca="false">IF(K38="نعم",M38*C38,"")</f>
        <v/>
      </c>
      <c r="P38" s="36" t="str">
        <f aca="false">IF(K38&lt;&gt;"نعم","لم يُجرد",IF(ABS(N38)&lt;='إعدادات المخزون'!$B$7,"مطابق",IF(M38&lt;0,"عجز","زيادة")))</f>
        <v>لم يُجرد</v>
      </c>
      <c r="Q38" s="110" t="n">
        <f aca="false">J38-Z38</f>
        <v>0.666300000000001</v>
      </c>
      <c r="R38" s="110" t="str">
        <f aca="false">IF(COUNTIFS('جرد فعلي'!$B$2:$B$12001,$B$2,'جرد فعلي'!$C$2:$C$12001,$A38,'جرد فعلي'!$A$2:$A$12001,'إعدادات المخزون'!$B$4-1)&gt;0,SUMIFS('جرد فعلي'!$D$2:$D$12001,'جرد فعلي'!$B$2:$B$12001,$B$2,'جرد فعلي'!$C$2:$C$12001,$A38,'جرد فعلي'!$A$2:$A$12001,'إعدادات المخزون'!$B$4-1),"")</f>
        <v/>
      </c>
      <c r="S38" s="110" t="str">
        <f aca="false">IF(AND(K38="نعم",R38&lt;&gt;""),(L38-J38)-(R38-Q38),"")</f>
        <v/>
      </c>
      <c r="T38" s="109" t="str">
        <f aca="false">IF(S38="","",S38*C38)</f>
        <v/>
      </c>
      <c r="U38" s="110" t="n">
        <f aca="false">IF(K38="نعم",L38,J38)</f>
        <v>-0.000399999999999068</v>
      </c>
      <c r="V38" s="110" t="n">
        <f aca="false">SUMPRODUCT('مصفوفة الاستهلاك'!$AG$2:$AG$190,'متجهات المبيعات'!$G$2:$G$190)/'مواد المخزون'!$D$33/MAX(1,MIN('إعدادات المخزون'!$B$11,'إعدادات المخزون'!$B$4-'إعدادات المخزون'!$B$5+1))</f>
        <v>0.6667</v>
      </c>
      <c r="W38" s="110" t="n">
        <f aca="false">IF(V38&lt;=0,0,ROUNDUP(MAX(0,V38*('إعدادات المخزون'!$B$8+'إعدادات المخزون'!$B$9+'إعدادات المخزون'!$B$10)-MAX(U38,0))/'مواد المخزون'!$F33,0)*'مواد المخزون'!$F33)</f>
        <v>3</v>
      </c>
      <c r="X38" s="109" t="n">
        <f aca="false">IF(AND(K38="نعم",O38&lt;0),-O38+ROW()*0.000000001,0)</f>
        <v>0</v>
      </c>
      <c r="Y38" s="109" t="n">
        <f aca="false">IF(AND(K38="نعم",O38&gt;0),O38+ROW()*0.000000001,0)</f>
        <v>0</v>
      </c>
      <c r="Z38" s="110" t="n">
        <f aca="false">SUMIFS('مشتريات يومية'!$D$2:$D$4001,'مشتريات يومية'!$B$2:$B$4001,$B$2,'مشتريات يومية'!$C$2:$C$4001,$A38,'مشتريات يومية'!$A$2:$A$4001,'إعدادات المخزون'!$B$4)+SUMIFS('هالك وتحويلات'!$E$2:$E$3001,'هالك وتحويلات'!$B$2:$B$3001,$B$2,'هالك وتحويلات'!$C$2:$C$3001,$A38,'هالك وتحويلات'!$D$2:$D$3001,"تحويل وارد",'هالك وتحويلات'!$A$2:$A$3001,'إعدادات المخزون'!$B$4)-SUMIFS('هالك وتحويلات'!$E$2:$E$3001,'هالك وتحويلات'!$B$2:$B$3001,$B$2,'هالك وتحويلات'!$C$2:$C$3001,$A38,'هالك وتحويلات'!$D$2:$D$3001,"تحويل صادر",'هالك وتحويلات'!$A$2:$A$3001,'إعدادات المخزون'!$B$4)-SUMIFS('هالك وتحويلات'!$E$2:$E$3001,'هالك وتحويلات'!$B$2:$B$3001,$B$2,'هالك وتحويلات'!$C$2:$C$3001,$A38,'هالك وتحويلات'!$D$2:$D$3001,"هالك",'هالك وتحويلات'!$A$2:$A$3001,'إعدادات المخزون'!$B$4)-SUMIFS('هالك وتحويلات'!$E$2:$E$3001,'هالك وتحويلات'!$B$2:$B$3001,$B$2,'هالك وتحويلات'!$C$2:$C$3001,$A38,'هالك وتحويلات'!$D$2:$D$3001,"ضيافة / أكل موظفين",'هالك وتحويلات'!$A$2:$A$3001,'إعدادات المخزون'!$B$4)-SUMPRODUCT('مصفوفة الاستهلاك'!$AG$2:$AG$190,'متجهات المبيعات'!$E$2:$E$190)/'مواد المخزون'!$D$33</f>
        <v>-0.6667</v>
      </c>
      <c r="AA38" s="109" t="n">
        <f aca="false">IF(K38="نعم",O38,0)</f>
        <v>0</v>
      </c>
      <c r="AB38" s="109" t="n">
        <f aca="false">IF(K38="نعم",J38*C38,0)</f>
        <v>0</v>
      </c>
      <c r="AC38" s="109" t="n">
        <f aca="false">IF(T38="",0,T38)</f>
        <v>0</v>
      </c>
    </row>
    <row r="39" customFormat="false" ht="15" hidden="false" customHeight="false" outlineLevel="0" collapsed="false">
      <c r="A39" s="34" t="str">
        <f aca="false">'مواد المخزون'!A34</f>
        <v>بيبسي لتر</v>
      </c>
      <c r="B39" s="36" t="str">
        <f aca="false">'مواد المخزون'!B34</f>
        <v>لتر</v>
      </c>
      <c r="C39" s="109" t="n">
        <f aca="false">'مواد المخزون'!E34</f>
        <v>30</v>
      </c>
      <c r="D39" s="110" t="n">
        <f aca="false">'جرد أول المدة'!D37</f>
        <v>0</v>
      </c>
      <c r="E39" s="110" t="n">
        <f aca="false">SUMIFS('مشتريات يومية'!$D$2:$D$4001,'مشتريات يومية'!$B$2:$B$4001,$B$2,'مشتريات يومية'!$C$2:$C$4001,$A39,'مشتريات يومية'!$A$2:$A$4001,"&gt;="&amp;'إعدادات المخزون'!$B$5,'مشتريات يومية'!$A$2:$A$4001,"&lt;="&amp;'إعدادات المخزون'!$B$4)</f>
        <v>1</v>
      </c>
      <c r="F39" s="110" t="n">
        <f aca="false">SUMIFS('هالك وتحويلات'!$E$2:$E$3001,'هالك وتحويلات'!$B$2:$B$3001,$B$2,'هالك وتحويلات'!$C$2:$C$3001,$A39,'هالك وتحويلات'!$D$2:$D$3001,"تحويل وارد",'هالك وتحويلات'!$A$2:$A$3001,"&gt;="&amp;'إعدادات المخزون'!$B$5,'هالك وتحويلات'!$A$2:$A$3001,"&lt;="&amp;'إعدادات المخزون'!$B$4)</f>
        <v>0</v>
      </c>
      <c r="G39" s="110" t="n">
        <f aca="false">SUMIFS('هالك وتحويلات'!$E$2:$E$3001,'هالك وتحويلات'!$B$2:$B$3001,$B$2,'هالك وتحويلات'!$C$2:$C$3001,$A39,'هالك وتحويلات'!$D$2:$D$3001,"تحويل صادر",'هالك وتحويلات'!$A$2:$A$3001,"&gt;="&amp;'إعدادات المخزون'!$B$5,'هالك وتحويلات'!$A$2:$A$3001,"&lt;="&amp;'إعدادات المخزون'!$B$4)</f>
        <v>0</v>
      </c>
      <c r="H39" s="110" t="n">
        <f aca="false">SUMPRODUCT('مصفوفة الاستهلاك'!$AH$2:$AH$190,'متجهات المبيعات'!$F$2:$F$190)/'مواد المخزون'!$D$34</f>
        <v>0.9996</v>
      </c>
      <c r="I39" s="110" t="n">
        <f aca="false">SUMIFS('هالك وتحويلات'!$E$2:$E$3001,'هالك وتحويلات'!$B$2:$B$3001,$B$2,'هالك وتحويلات'!$C$2:$C$3001,$A39,'هالك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وتحويلات'!$C$2:$C$3001,$A39,'هالك وتحويلات'!$D$2:$D$3001,"ضيافة / أكل موظفين",'هالك وتحويلات'!$A$2:$A$3001,"&gt;="&amp;'إعدادات المخزون'!$B$5,'هالك وتحويلات'!$A$2:$A$3001,"&lt;="&amp;'إعدادات المخزون'!$B$4)</f>
        <v>0</v>
      </c>
      <c r="J39" s="110" t="n">
        <f aca="false">D39+E39+F39-G39-H39-I39</f>
        <v>0.000399999999999956</v>
      </c>
      <c r="K39" s="36" t="str">
        <f aca="false">IF(COUNTIFS('جرد فعلي'!$B$2:$B$12001,$B$2,'جرد فعلي'!$C$2:$C$12001,$A39,'جرد فعلي'!$A$2:$A$12001,'إعدادات المخزون'!$B$4)&gt;0,"نعم","لا")</f>
        <v>لا</v>
      </c>
      <c r="L39" s="111" t="str">
        <f aca="false">IF(K39="نعم",SUMIFS('جرد فعلي'!$D$2:$D$12001,'جرد فعلي'!$B$2:$B$12001,$B$2,'جرد فعلي'!$C$2:$C$12001,$A39,'جرد فعلي'!$A$2:$A$12001,'إعدادات المخزون'!$B$4),"")</f>
        <v/>
      </c>
      <c r="M39" s="110" t="str">
        <f aca="false">IF(K39="نعم",L39-J39,"")</f>
        <v/>
      </c>
      <c r="N39" s="112" t="str">
        <f aca="false">IF(K39="نعم",IF(J39=0,IF(M39=0,0,SIGN(M39)),M39/ABS(J39)),"")</f>
        <v/>
      </c>
      <c r="O39" s="109" t="str">
        <f aca="false">IF(K39="نعم",M39*C39,"")</f>
        <v/>
      </c>
      <c r="P39" s="36" t="str">
        <f aca="false">IF(K39&lt;&gt;"نعم","لم يُجرد",IF(ABS(N39)&lt;='إعدادات المخزون'!$B$7,"مطابق",IF(M39&lt;0,"عجز","زيادة")))</f>
        <v>لم يُجرد</v>
      </c>
      <c r="Q39" s="110" t="n">
        <f aca="false">J39-Z39</f>
        <v>0.0837</v>
      </c>
      <c r="R39" s="110" t="str">
        <f aca="false">IF(COUNTIFS('جرد فعلي'!$B$2:$B$12001,$B$2,'جرد فعلي'!$C$2:$C$12001,$A39,'جرد فعلي'!$A$2:$A$12001,'إعدادات المخزون'!$B$4-1)&gt;0,SUMIFS('جرد فعلي'!$D$2:$D$12001,'جرد فعلي'!$B$2:$B$12001,$B$2,'جرد فعلي'!$C$2:$C$12001,$A39,'جرد فعلي'!$A$2:$A$12001,'إعدادات المخزون'!$B$4-1),"")</f>
        <v/>
      </c>
      <c r="S39" s="110" t="str">
        <f aca="false">IF(AND(K39="نعم",R39&lt;&gt;""),(L39-J39)-(R39-Q39),"")</f>
        <v/>
      </c>
      <c r="T39" s="109" t="str">
        <f aca="false">IF(S39="","",S39*C39)</f>
        <v/>
      </c>
      <c r="U39" s="110" t="n">
        <f aca="false">IF(K39="نعم",L39,J39)</f>
        <v>0.000399999999999956</v>
      </c>
      <c r="V39" s="110" t="n">
        <f aca="false">SUMPRODUCT('مصفوفة الاستهلاك'!$AH$2:$AH$190,'متجهات المبيعات'!$G$2:$G$190)/'مواد المخزون'!$D$34/MAX(1,MIN('إعدادات المخزون'!$B$11,'إعدادات المخزون'!$B$4-'إعدادات المخزون'!$B$5+1))</f>
        <v>0.0833</v>
      </c>
      <c r="W39" s="110" t="n">
        <f aca="false">IF(V39&lt;=0,0,ROUNDUP(MAX(0,V39*('إعدادات المخزون'!$B$8+'إعدادات المخزون'!$B$9+'إعدادات المخزون'!$B$10)-MAX(U39,0))/'مواد المخزون'!$F34,0)*'مواد المخزون'!$F34)</f>
        <v>1</v>
      </c>
      <c r="X39" s="109" t="n">
        <f aca="false">IF(AND(K39="نعم",O39&lt;0),-O39+ROW()*0.000000001,0)</f>
        <v>0</v>
      </c>
      <c r="Y39" s="109" t="n">
        <f aca="false">IF(AND(K39="نعم",O39&gt;0),O39+ROW()*0.000000001,0)</f>
        <v>0</v>
      </c>
      <c r="Z39" s="110" t="n">
        <f aca="false">SUMIFS('مشتريات يومية'!$D$2:$D$4001,'مشتريات يومية'!$B$2:$B$4001,$B$2,'مشتريات يومية'!$C$2:$C$4001,$A39,'مشتريات يومية'!$A$2:$A$4001,'إعدادات المخزون'!$B$4)+SUMIFS('هالك وتحويلات'!$E$2:$E$3001,'هالك وتحويلات'!$B$2:$B$3001,$B$2,'هالك وتحويلات'!$C$2:$C$3001,$A39,'هالك وتحويلات'!$D$2:$D$3001,"تحويل وارد",'هالك وتحويلات'!$A$2:$A$3001,'إعدادات المخزون'!$B$4)-SUMIFS('هالك وتحويلات'!$E$2:$E$3001,'هالك وتحويلات'!$B$2:$B$3001,$B$2,'هالك وتحويلات'!$C$2:$C$3001,$A39,'هالك وتحويلات'!$D$2:$D$3001,"تحويل صادر",'هالك وتحويلات'!$A$2:$A$3001,'إعدادات المخزون'!$B$4)-SUMIFS('هالك وتحويلات'!$E$2:$E$3001,'هالك وتحويلات'!$B$2:$B$3001,$B$2,'هالك وتحويلات'!$C$2:$C$3001,$A39,'هالك وتحويلات'!$D$2:$D$3001,"هالك",'هالك وتحويلات'!$A$2:$A$3001,'إعدادات المخزون'!$B$4)-SUMIFS('هالك وتحويلات'!$E$2:$E$3001,'هالك وتحويلات'!$B$2:$B$3001,$B$2,'هالك وتحويلات'!$C$2:$C$3001,$A39,'هالك وتحويلات'!$D$2:$D$3001,"ضيافة / أكل موظفين",'هالك وتحويلات'!$A$2:$A$3001,'إعدادات المخزون'!$B$4)-SUMPRODUCT('مصفوفة الاستهلاك'!$AH$2:$AH$190,'متجهات المبيعات'!$E$2:$E$190)/'مواد المخزون'!$D$34</f>
        <v>-0.0833</v>
      </c>
      <c r="AA39" s="109" t="n">
        <f aca="false">IF(K39="نعم",O39,0)</f>
        <v>0</v>
      </c>
      <c r="AB39" s="109" t="n">
        <f aca="false">IF(K39="نعم",J39*C39,0)</f>
        <v>0</v>
      </c>
      <c r="AC39" s="109" t="n">
        <f aca="false">IF(T39="",0,T39)</f>
        <v>0</v>
      </c>
    </row>
    <row r="40" customFormat="false" ht="15" hidden="false" customHeight="false" outlineLevel="0" collapsed="false">
      <c r="A40" s="34" t="str">
        <f aca="false">'مواد المخزون'!A35</f>
        <v>جبنة رومي/شيدر صيامي</v>
      </c>
      <c r="B40" s="36" t="str">
        <f aca="false">'مواد المخزون'!B35</f>
        <v>كجم</v>
      </c>
      <c r="C40" s="109" t="n">
        <f aca="false">'مواد المخزون'!E35</f>
        <v>105</v>
      </c>
      <c r="D40" s="110" t="n">
        <f aca="false">'جرد أول المدة'!D38</f>
        <v>0.825</v>
      </c>
      <c r="E40" s="110" t="n">
        <f aca="false">SUMIFS('مشتريات يومية'!$D$2:$D$4001,'مشتريات يومية'!$B$2:$B$4001,$B$2,'مشتريات يومية'!$C$2:$C$4001,$A40,'مشتريات يومية'!$A$2:$A$4001,"&gt;="&amp;'إعدادات المخزون'!$B$5,'مشتريات يومية'!$A$2:$A$4001,"&lt;="&amp;'إعدادات المخزون'!$B$4)</f>
        <v>0</v>
      </c>
      <c r="F40" s="110" t="n">
        <f aca="false">SUMIFS('هالك وتحويلات'!$E$2:$E$3001,'هالك وتحويلات'!$B$2:$B$3001,$B$2,'هالك وتحويلات'!$C$2:$C$3001,$A40,'هالك وتحويلات'!$D$2:$D$3001,"تحويل وارد",'هالك وتحويلات'!$A$2:$A$3001,"&gt;="&amp;'إعدادات المخزون'!$B$5,'هالك وتحويلات'!$A$2:$A$3001,"&lt;="&amp;'إعدادات المخزون'!$B$4)</f>
        <v>0</v>
      </c>
      <c r="G40" s="110" t="n">
        <f aca="false">SUMIFS('هالك وتحويلات'!$E$2:$E$3001,'هالك وتحويلات'!$B$2:$B$3001,$B$2,'هالك وتحويلات'!$C$2:$C$3001,$A40,'هالك وتحويلات'!$D$2:$D$3001,"تحويل صادر",'هالك وتحويلات'!$A$2:$A$3001,"&gt;="&amp;'إعدادات المخزون'!$B$5,'هالك وتحويلات'!$A$2:$A$3001,"&lt;="&amp;'إعدادات المخزون'!$B$4)</f>
        <v>0</v>
      </c>
      <c r="H40" s="110" t="n">
        <f aca="false">SUMPRODUCT('مصفوفة الاستهلاك'!$AI$2:$AI$190,'متجهات المبيعات'!$F$2:$F$190)/'مواد المخزون'!$D$35</f>
        <v>0</v>
      </c>
      <c r="I40" s="110" t="n">
        <f aca="false">SUMIFS('هالك وتحويلات'!$E$2:$E$3001,'هالك وتحويلات'!$B$2:$B$3001,$B$2,'هالك وتحويلات'!$C$2:$C$3001,$A40,'هالك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وتحويلات'!$C$2:$C$3001,$A40,'هالك وتحويلات'!$D$2:$D$3001,"ضيافة / أكل موظفين",'هالك وتحويلات'!$A$2:$A$3001,"&gt;="&amp;'إعدادات المخزون'!$B$5,'هالك وتحويلات'!$A$2:$A$3001,"&lt;="&amp;'إعدادات المخزون'!$B$4)</f>
        <v>0</v>
      </c>
      <c r="J40" s="110" t="n">
        <f aca="false">D40+E40+F40-G40-H40-I40</f>
        <v>0.825</v>
      </c>
      <c r="K40" s="36" t="str">
        <f aca="false">IF(COUNTIFS('جرد فعلي'!$B$2:$B$12001,$B$2,'جرد فعلي'!$C$2:$C$12001,$A40,'جرد فعلي'!$A$2:$A$12001,'إعدادات المخزون'!$B$4)&gt;0,"نعم","لا")</f>
        <v>لا</v>
      </c>
      <c r="L40" s="111" t="str">
        <f aca="false">IF(K40="نعم",SUMIFS('جرد فعلي'!$D$2:$D$12001,'جرد فعلي'!$B$2:$B$12001,$B$2,'جرد فعلي'!$C$2:$C$12001,$A40,'جرد فعلي'!$A$2:$A$12001,'إعدادات المخزون'!$B$4),"")</f>
        <v/>
      </c>
      <c r="M40" s="110" t="str">
        <f aca="false">IF(K40="نعم",L40-J40,"")</f>
        <v/>
      </c>
      <c r="N40" s="112" t="str">
        <f aca="false">IF(K40="نعم",IF(J40=0,IF(M40=0,0,SIGN(M40)),M40/ABS(J40)),"")</f>
        <v/>
      </c>
      <c r="O40" s="109" t="str">
        <f aca="false">IF(K40="نعم",M40*C40,"")</f>
        <v/>
      </c>
      <c r="P40" s="36" t="str">
        <f aca="false">IF(K40&lt;&gt;"نعم","لم يُجرد",IF(ABS(N40)&lt;='إعدادات المخزون'!$B$7,"مطابق",IF(M40&lt;0,"عجز","زيادة")))</f>
        <v>لم يُجرد</v>
      </c>
      <c r="Q40" s="110" t="n">
        <f aca="false">J40-Z40</f>
        <v>0.825</v>
      </c>
      <c r="R40" s="110" t="str">
        <f aca="false">IF(COUNTIFS('جرد فعلي'!$B$2:$B$12001,$B$2,'جرد فعلي'!$C$2:$C$12001,$A40,'جرد فعلي'!$A$2:$A$12001,'إعدادات المخزون'!$B$4-1)&gt;0,SUMIFS('جرد فعلي'!$D$2:$D$12001,'جرد فعلي'!$B$2:$B$12001,$B$2,'جرد فعلي'!$C$2:$C$12001,$A40,'جرد فعلي'!$A$2:$A$12001,'إعدادات المخزون'!$B$4-1),"")</f>
        <v/>
      </c>
      <c r="S40" s="110" t="str">
        <f aca="false">IF(AND(K40="نعم",R40&lt;&gt;""),(L40-J40)-(R40-Q40),"")</f>
        <v/>
      </c>
      <c r="T40" s="109" t="str">
        <f aca="false">IF(S40="","",S40*C40)</f>
        <v/>
      </c>
      <c r="U40" s="110" t="n">
        <f aca="false">IF(K40="نعم",L40,J40)</f>
        <v>0.825</v>
      </c>
      <c r="V40" s="110" t="n">
        <f aca="false">SUMPRODUCT('مصفوفة الاستهلاك'!$AI$2:$AI$190,'متجهات المبيعات'!$G$2:$G$190)/'مواد المخزون'!$D$35/MAX(1,MIN('إعدادات المخزون'!$B$11,'إعدادات المخزون'!$B$4-'إعدادات المخزون'!$B$5+1))</f>
        <v>0</v>
      </c>
      <c r="W40" s="110" t="n">
        <f aca="false">IF(V40&lt;=0,0,ROUNDUP(MAX(0,V40*('إعدادات المخزون'!$B$8+'إعدادات المخزون'!$B$9+'إعدادات المخزون'!$B$10)-MAX(U40,0))/'مواد المخزون'!$F35,0)*'مواد المخزون'!$F35)</f>
        <v>0</v>
      </c>
      <c r="X40" s="109" t="n">
        <f aca="false">IF(AND(K40="نعم",O40&lt;0),-O40+ROW()*0.000000001,0)</f>
        <v>0</v>
      </c>
      <c r="Y40" s="109" t="n">
        <f aca="false">IF(AND(K40="نعم",O40&gt;0),O40+ROW()*0.000000001,0)</f>
        <v>0</v>
      </c>
      <c r="Z40" s="110" t="n">
        <f aca="false">SUMIFS('مشتريات يومية'!$D$2:$D$4001,'مشتريات يومية'!$B$2:$B$4001,$B$2,'مشتريات يومية'!$C$2:$C$4001,$A40,'مشتريات يومية'!$A$2:$A$4001,'إعدادات المخزون'!$B$4)+SUMIFS('هالك وتحويلات'!$E$2:$E$3001,'هالك وتحويلات'!$B$2:$B$3001,$B$2,'هالك وتحويلات'!$C$2:$C$3001,$A40,'هالك وتحويلات'!$D$2:$D$3001,"تحويل وارد",'هالك وتحويلات'!$A$2:$A$3001,'إعدادات المخزون'!$B$4)-SUMIFS('هالك وتحويلات'!$E$2:$E$3001,'هالك وتحويلات'!$B$2:$B$3001,$B$2,'هالك وتحويلات'!$C$2:$C$3001,$A40,'هالك وتحويلات'!$D$2:$D$3001,"تحويل صادر",'هالك وتحويلات'!$A$2:$A$3001,'إعدادات المخزون'!$B$4)-SUMIFS('هالك وتحويلات'!$E$2:$E$3001,'هالك وتحويلات'!$B$2:$B$3001,$B$2,'هالك وتحويلات'!$C$2:$C$3001,$A40,'هالك وتحويلات'!$D$2:$D$3001,"هالك",'هالك وتحويلات'!$A$2:$A$3001,'إعدادات المخزون'!$B$4)-SUMIFS('هالك وتحويلات'!$E$2:$E$3001,'هالك وتحويلات'!$B$2:$B$3001,$B$2,'هالك وتحويلات'!$C$2:$C$3001,$A40,'هالك وتحويلات'!$D$2:$D$3001,"ضيافة / أكل موظفين",'هالك وتحويلات'!$A$2:$A$3001,'إعدادات المخزون'!$B$4)-SUMPRODUCT('مصفوفة الاستهلاك'!$AI$2:$AI$190,'متجهات المبيعات'!$E$2:$E$190)/'مواد المخزون'!$D$35</f>
        <v>0</v>
      </c>
      <c r="AA40" s="109" t="n">
        <f aca="false">IF(K40="نعم",O40,0)</f>
        <v>0</v>
      </c>
      <c r="AB40" s="109" t="n">
        <f aca="false">IF(K40="نعم",J40*C40,0)</f>
        <v>0</v>
      </c>
      <c r="AC40" s="109" t="n">
        <f aca="false">IF(T40="",0,T40)</f>
        <v>0</v>
      </c>
    </row>
    <row r="41" customFormat="false" ht="15" hidden="false" customHeight="false" outlineLevel="0" collapsed="false">
      <c r="A41" s="34" t="str">
        <f aca="false">'مواد المخزون'!A36</f>
        <v>جلافزات شفاف</v>
      </c>
      <c r="B41" s="36" t="str">
        <f aca="false">'مواد المخزون'!B36</f>
        <v>علبة</v>
      </c>
      <c r="C41" s="109" t="n">
        <f aca="false">'مواد المخزون'!E36</f>
        <v>9</v>
      </c>
      <c r="D41" s="110" t="n">
        <f aca="false">'جرد أول المدة'!D39</f>
        <v>50</v>
      </c>
      <c r="E41" s="110" t="n">
        <f aca="false">SUMIFS('مشتريات يومية'!$D$2:$D$4001,'مشتريات يومية'!$B$2:$B$4001,$B$2,'مشتريات يومية'!$C$2:$C$4001,$A41,'مشتريات يومية'!$A$2:$A$4001,"&gt;="&amp;'إعدادات المخزون'!$B$5,'مشتريات يومية'!$A$2:$A$4001,"&lt;="&amp;'إعدادات المخزون'!$B$4)</f>
        <v>100</v>
      </c>
      <c r="F41" s="110" t="n">
        <f aca="false">SUMIFS('هالك وتحويلات'!$E$2:$E$3001,'هالك وتحويلات'!$B$2:$B$3001,$B$2,'هالك وتحويلات'!$C$2:$C$3001,$A41,'هالك وتحويلات'!$D$2:$D$3001,"تحويل وارد",'هالك وتحويلات'!$A$2:$A$3001,"&gt;="&amp;'إعدادات المخزون'!$B$5,'هالك وتحويلات'!$A$2:$A$3001,"&lt;="&amp;'إعدادات المخزون'!$B$4)</f>
        <v>0</v>
      </c>
      <c r="G41" s="110" t="n">
        <f aca="false">SUMIFS('هالك وتحويلات'!$E$2:$E$3001,'هالك وتحويلات'!$B$2:$B$3001,$B$2,'هالك وتحويلات'!$C$2:$C$3001,$A41,'هالك وتحويلات'!$D$2:$D$3001,"تحويل صادر",'هالك وتحويلات'!$A$2:$A$3001,"&gt;="&amp;'إعدادات المخزون'!$B$5,'هالك وتحويلات'!$A$2:$A$3001,"&lt;="&amp;'إعدادات المخزون'!$B$4)</f>
        <v>0</v>
      </c>
      <c r="H41" s="110" t="n">
        <f aca="false">SUMPRODUCT('مصفوفة الاستهلاك'!$AJ$2:$AJ$190,'متجهات المبيعات'!$F$2:$F$190)/'مواد المخزون'!$D$36</f>
        <v>85.699992</v>
      </c>
      <c r="I41" s="110" t="n">
        <f aca="false">SUMIFS('هالك وتحويلات'!$E$2:$E$3001,'هالك وتحويلات'!$B$2:$B$3001,$B$2,'هالك وتحويلات'!$C$2:$C$3001,$A41,'هالك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وتحويلات'!$C$2:$C$3001,$A41,'هالك وتحويلات'!$D$2:$D$3001,"ضيافة / أكل موظفين",'هالك وتحويلات'!$A$2:$A$3001,"&gt;="&amp;'إعدادات المخزون'!$B$5,'هالك وتحويلات'!$A$2:$A$3001,"&lt;="&amp;'إعدادات المخزون'!$B$4)</f>
        <v>0</v>
      </c>
      <c r="J41" s="110" t="n">
        <f aca="false">D41+E41+F41-G41-H41-I41</f>
        <v>64.300008</v>
      </c>
      <c r="K41" s="36" t="str">
        <f aca="false">IF(COUNTIFS('جرد فعلي'!$B$2:$B$12001,$B$2,'جرد فعلي'!$C$2:$C$12001,$A41,'جرد فعلي'!$A$2:$A$12001,'إعدادات المخزون'!$B$4)&gt;0,"نعم","لا")</f>
        <v>لا</v>
      </c>
      <c r="L41" s="111" t="str">
        <f aca="false">IF(K41="نعم",SUMIFS('جرد فعلي'!$D$2:$D$12001,'جرد فعلي'!$B$2:$B$12001,$B$2,'جرد فعلي'!$C$2:$C$12001,$A41,'جرد فعلي'!$A$2:$A$12001,'إعدادات المخزون'!$B$4),"")</f>
        <v/>
      </c>
      <c r="M41" s="110" t="str">
        <f aca="false">IF(K41="نعم",L41-J41,"")</f>
        <v/>
      </c>
      <c r="N41" s="112" t="str">
        <f aca="false">IF(K41="نعم",IF(J41=0,IF(M41=0,0,SIGN(M41)),M41/ABS(J41)),"")</f>
        <v/>
      </c>
      <c r="O41" s="109" t="str">
        <f aca="false">IF(K41="نعم",M41*C41,"")</f>
        <v/>
      </c>
      <c r="P41" s="36" t="str">
        <f aca="false">IF(K41&lt;&gt;"نعم","لم يُجرد",IF(ABS(N41)&lt;='إعدادات المخزون'!$B$7,"مطابق",IF(M41&lt;0,"عجز","زيادة")))</f>
        <v>لم يُجرد</v>
      </c>
      <c r="Q41" s="110" t="n">
        <f aca="false">J41-Z41</f>
        <v>71.441674</v>
      </c>
      <c r="R41" s="110" t="str">
        <f aca="false">IF(COUNTIFS('جرد فعلي'!$B$2:$B$12001,$B$2,'جرد فعلي'!$C$2:$C$12001,$A41,'جرد فعلي'!$A$2:$A$12001,'إعدادات المخزون'!$B$4-1)&gt;0,SUMIFS('جرد فعلي'!$D$2:$D$12001,'جرد فعلي'!$B$2:$B$12001,$B$2,'جرد فعلي'!$C$2:$C$12001,$A41,'جرد فعلي'!$A$2:$A$12001,'إعدادات المخزون'!$B$4-1),"")</f>
        <v/>
      </c>
      <c r="S41" s="110" t="str">
        <f aca="false">IF(AND(K41="نعم",R41&lt;&gt;""),(L41-J41)-(R41-Q41),"")</f>
        <v/>
      </c>
      <c r="T41" s="109" t="str">
        <f aca="false">IF(S41="","",S41*C41)</f>
        <v/>
      </c>
      <c r="U41" s="110" t="n">
        <f aca="false">IF(K41="نعم",L41,J41)</f>
        <v>64.300008</v>
      </c>
      <c r="V41" s="110" t="n">
        <f aca="false">SUMPRODUCT('مصفوفة الاستهلاك'!$AJ$2:$AJ$190,'متجهات المبيعات'!$G$2:$G$190)/'مواد المخزون'!$D$36/MAX(1,MIN('إعدادات المخزون'!$B$11,'إعدادات المخزون'!$B$4-'إعدادات المخزون'!$B$5+1))</f>
        <v>7.141666</v>
      </c>
      <c r="W41" s="110" t="n">
        <f aca="false">IF(V41&lt;=0,0,ROUNDUP(MAX(0,V41*('إعدادات المخزون'!$B$8+'إعدادات المخزون'!$B$9+'إعدادات المخزون'!$B$10)-MAX(U41,0))/'مواد المخزون'!$F36,0)*'مواد المخزون'!$F36)</f>
        <v>0</v>
      </c>
      <c r="X41" s="109" t="n">
        <f aca="false">IF(AND(K41="نعم",O41&lt;0),-O41+ROW()*0.000000001,0)</f>
        <v>0</v>
      </c>
      <c r="Y41" s="109" t="n">
        <f aca="false">IF(AND(K41="نعم",O41&gt;0),O41+ROW()*0.000000001,0)</f>
        <v>0</v>
      </c>
      <c r="Z41" s="110" t="n">
        <f aca="false">SUMIFS('مشتريات يومية'!$D$2:$D$4001,'مشتريات يومية'!$B$2:$B$4001,$B$2,'مشتريات يومية'!$C$2:$C$4001,$A41,'مشتريات يومية'!$A$2:$A$4001,'إعدادات المخزون'!$B$4)+SUMIFS('هالك وتحويلات'!$E$2:$E$3001,'هالك وتحويلات'!$B$2:$B$3001,$B$2,'هالك وتحويلات'!$C$2:$C$3001,$A41,'هالك وتحويلات'!$D$2:$D$3001,"تحويل وارد",'هالك وتحويلات'!$A$2:$A$3001,'إعدادات المخزون'!$B$4)-SUMIFS('هالك وتحويلات'!$E$2:$E$3001,'هالك وتحويلات'!$B$2:$B$3001,$B$2,'هالك وتحويلات'!$C$2:$C$3001,$A41,'هالك وتحويلات'!$D$2:$D$3001,"تحويل صادر",'هالك وتحويلات'!$A$2:$A$3001,'إعدادات المخزون'!$B$4)-SUMIFS('هالك وتحويلات'!$E$2:$E$3001,'هالك وتحويلات'!$B$2:$B$3001,$B$2,'هالك وتحويلات'!$C$2:$C$3001,$A41,'هالك وتحويلات'!$D$2:$D$3001,"هالك",'هالك وتحويلات'!$A$2:$A$3001,'إعدادات المخزون'!$B$4)-SUMIFS('هالك وتحويلات'!$E$2:$E$3001,'هالك وتحويلات'!$B$2:$B$3001,$B$2,'هالك وتحويلات'!$C$2:$C$3001,$A41,'هالك وتحويلات'!$D$2:$D$3001,"ضيافة / أكل موظفين",'هالك وتحويلات'!$A$2:$A$3001,'إعدادات المخزون'!$B$4)-SUMPRODUCT('مصفوفة الاستهلاك'!$AJ$2:$AJ$190,'متجهات المبيعات'!$E$2:$E$190)/'مواد المخزون'!$D$36</f>
        <v>-7.141666</v>
      </c>
      <c r="AA41" s="109" t="n">
        <f aca="false">IF(K41="نعم",O41,0)</f>
        <v>0</v>
      </c>
      <c r="AB41" s="109" t="n">
        <f aca="false">IF(K41="نعم",J41*C41,0)</f>
        <v>0</v>
      </c>
      <c r="AC41" s="109" t="n">
        <f aca="false">IF(T41="",0,T41)</f>
        <v>0</v>
      </c>
    </row>
    <row r="42" customFormat="false" ht="15" hidden="false" customHeight="false" outlineLevel="0" collapsed="false">
      <c r="A42" s="34" t="str">
        <f aca="false">'مواد المخزون'!A37</f>
        <v>جوزهند</v>
      </c>
      <c r="B42" s="36" t="str">
        <f aca="false">'مواد المخزون'!B37</f>
        <v>كجم</v>
      </c>
      <c r="C42" s="109" t="n">
        <f aca="false">'مواد المخزون'!E37</f>
        <v>200</v>
      </c>
      <c r="D42" s="110" t="n">
        <f aca="false">'جرد أول المدة'!D40</f>
        <v>0.65</v>
      </c>
      <c r="E42" s="110" t="n">
        <f aca="false">SUMIFS('مشتريات يومية'!$D$2:$D$4001,'مشتريات يومية'!$B$2:$B$4001,$B$2,'مشتريات يومية'!$C$2:$C$4001,$A42,'مشتريات يومية'!$A$2:$A$4001,"&gt;="&amp;'إعدادات المخزون'!$B$5,'مشتريات يومية'!$A$2:$A$4001,"&lt;="&amp;'إعدادات المخزون'!$B$4)</f>
        <v>0</v>
      </c>
      <c r="F42" s="110" t="n">
        <f aca="false">SUMIFS('هالك وتحويلات'!$E$2:$E$3001,'هالك وتحويلات'!$B$2:$B$3001,$B$2,'هالك وتحويلات'!$C$2:$C$3001,$A42,'هالك وتحويلات'!$D$2:$D$3001,"تحويل وارد",'هالك وتحويلات'!$A$2:$A$3001,"&gt;="&amp;'إعدادات المخزون'!$B$5,'هالك وتحويلات'!$A$2:$A$3001,"&lt;="&amp;'إعدادات المخزون'!$B$4)</f>
        <v>0</v>
      </c>
      <c r="G42" s="110" t="n">
        <f aca="false">SUMIFS('هالك وتحويلات'!$E$2:$E$3001,'هالك وتحويلات'!$B$2:$B$3001,$B$2,'هالك وتحويلات'!$C$2:$C$3001,$A42,'هالك وتحويلات'!$D$2:$D$3001,"تحويل صادر",'هالك وتحويلات'!$A$2:$A$3001,"&gt;="&amp;'إعدادات المخزون'!$B$5,'هالك وتحويلات'!$A$2:$A$3001,"&lt;="&amp;'إعدادات المخزون'!$B$4)</f>
        <v>0</v>
      </c>
      <c r="H42" s="110" t="n">
        <f aca="false">SUMPRODUCT('مصفوفة الاستهلاك'!$AK$2:$AK$190,'متجهات المبيعات'!$F$2:$F$190)/'مواد المخزون'!$D$37</f>
        <v>0.18</v>
      </c>
      <c r="I42" s="110" t="n">
        <f aca="false">SUMIFS('هالك وتحويلات'!$E$2:$E$3001,'هالك وتحويلات'!$B$2:$B$3001,$B$2,'هالك وتحويلات'!$C$2:$C$3001,$A42,'هالك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وتحويلات'!$C$2:$C$3001,$A42,'هالك وتحويلات'!$D$2:$D$3001,"ضيافة / أكل موظفين",'هالك وتحويلات'!$A$2:$A$3001,"&gt;="&amp;'إعدادات المخزون'!$B$5,'هالك وتحويلات'!$A$2:$A$3001,"&lt;="&amp;'إعدادات المخزون'!$B$4)</f>
        <v>0</v>
      </c>
      <c r="J42" s="110" t="n">
        <f aca="false">D42+E42+F42-G42-H42-I42</f>
        <v>0.47</v>
      </c>
      <c r="K42" s="36" t="str">
        <f aca="false">IF(COUNTIFS('جرد فعلي'!$B$2:$B$12001,$B$2,'جرد فعلي'!$C$2:$C$12001,$A42,'جرد فعلي'!$A$2:$A$12001,'إعدادات المخزون'!$B$4)&gt;0,"نعم","لا")</f>
        <v>لا</v>
      </c>
      <c r="L42" s="111" t="str">
        <f aca="false">IF(K42="نعم",SUMIFS('جرد فعلي'!$D$2:$D$12001,'جرد فعلي'!$B$2:$B$12001,$B$2,'جرد فعلي'!$C$2:$C$12001,$A42,'جرد فعلي'!$A$2:$A$12001,'إعدادات المخزون'!$B$4),"")</f>
        <v/>
      </c>
      <c r="M42" s="110" t="str">
        <f aca="false">IF(K42="نعم",L42-J42,"")</f>
        <v/>
      </c>
      <c r="N42" s="112" t="str">
        <f aca="false">IF(K42="نعم",IF(J42=0,IF(M42=0,0,SIGN(M42)),M42/ABS(J42)),"")</f>
        <v/>
      </c>
      <c r="O42" s="109" t="str">
        <f aca="false">IF(K42="نعم",M42*C42,"")</f>
        <v/>
      </c>
      <c r="P42" s="36" t="str">
        <f aca="false">IF(K42&lt;&gt;"نعم","لم يُجرد",IF(ABS(N42)&lt;='إعدادات المخزون'!$B$7,"مطابق",IF(M42&lt;0,"عجز","زيادة")))</f>
        <v>لم يُجرد</v>
      </c>
      <c r="Q42" s="110" t="n">
        <f aca="false">J42-Z42</f>
        <v>0.485</v>
      </c>
      <c r="R42" s="110" t="str">
        <f aca="false">IF(COUNTIFS('جرد فعلي'!$B$2:$B$12001,$B$2,'جرد فعلي'!$C$2:$C$12001,$A42,'جرد فعلي'!$A$2:$A$12001,'إعدادات المخزون'!$B$4-1)&gt;0,SUMIFS('جرد فعلي'!$D$2:$D$12001,'جرد فعلي'!$B$2:$B$12001,$B$2,'جرد فعلي'!$C$2:$C$12001,$A42,'جرد فعلي'!$A$2:$A$12001,'إعدادات المخزون'!$B$4-1),"")</f>
        <v/>
      </c>
      <c r="S42" s="110" t="str">
        <f aca="false">IF(AND(K42="نعم",R42&lt;&gt;""),(L42-J42)-(R42-Q42),"")</f>
        <v/>
      </c>
      <c r="T42" s="109" t="str">
        <f aca="false">IF(S42="","",S42*C42)</f>
        <v/>
      </c>
      <c r="U42" s="110" t="n">
        <f aca="false">IF(K42="نعم",L42,J42)</f>
        <v>0.47</v>
      </c>
      <c r="V42" s="110" t="n">
        <f aca="false">SUMPRODUCT('مصفوفة الاستهلاك'!$AK$2:$AK$190,'متجهات المبيعات'!$G$2:$G$190)/'مواد المخزون'!$D$37/MAX(1,MIN('إعدادات المخزون'!$B$11,'إعدادات المخزون'!$B$4-'إعدادات المخزون'!$B$5+1))</f>
        <v>0.015</v>
      </c>
      <c r="W42" s="110" t="n">
        <f aca="false">IF(V42&lt;=0,0,ROUNDUP(MAX(0,V42*('إعدادات المخزون'!$B$8+'إعدادات المخزون'!$B$9+'إعدادات المخزون'!$B$10)-MAX(U42,0))/'مواد المخزون'!$F37,0)*'مواد المخزون'!$F37)</f>
        <v>0</v>
      </c>
      <c r="X42" s="109" t="n">
        <f aca="false">IF(AND(K42="نعم",O42&lt;0),-O42+ROW()*0.000000001,0)</f>
        <v>0</v>
      </c>
      <c r="Y42" s="109" t="n">
        <f aca="false">IF(AND(K42="نعم",O42&gt;0),O42+ROW()*0.000000001,0)</f>
        <v>0</v>
      </c>
      <c r="Z42" s="110" t="n">
        <f aca="false">SUMIFS('مشتريات يومية'!$D$2:$D$4001,'مشتريات يومية'!$B$2:$B$4001,$B$2,'مشتريات يومية'!$C$2:$C$4001,$A42,'مشتريات يومية'!$A$2:$A$4001,'إعدادات المخزون'!$B$4)+SUMIFS('هالك وتحويلات'!$E$2:$E$3001,'هالك وتحويلات'!$B$2:$B$3001,$B$2,'هالك وتحويلات'!$C$2:$C$3001,$A42,'هالك وتحويلات'!$D$2:$D$3001,"تحويل وارد",'هالك وتحويلات'!$A$2:$A$3001,'إعدادات المخزون'!$B$4)-SUMIFS('هالك وتحويلات'!$E$2:$E$3001,'هالك وتحويلات'!$B$2:$B$3001,$B$2,'هالك وتحويلات'!$C$2:$C$3001,$A42,'هالك وتحويلات'!$D$2:$D$3001,"تحويل صادر",'هالك وتحويلات'!$A$2:$A$3001,'إعدادات المخزون'!$B$4)-SUMIFS('هالك وتحويلات'!$E$2:$E$3001,'هالك وتحويلات'!$B$2:$B$3001,$B$2,'هالك وتحويلات'!$C$2:$C$3001,$A42,'هالك وتحويلات'!$D$2:$D$3001,"هالك",'هالك وتحويلات'!$A$2:$A$3001,'إعدادات المخزون'!$B$4)-SUMIFS('هالك وتحويلات'!$E$2:$E$3001,'هالك وتحويلات'!$B$2:$B$3001,$B$2,'هالك وتحويلات'!$C$2:$C$3001,$A42,'هالك وتحويلات'!$D$2:$D$3001,"ضيافة / أكل موظفين",'هالك وتحويلات'!$A$2:$A$3001,'إعدادات المخزون'!$B$4)-SUMPRODUCT('مصفوفة الاستهلاك'!$AK$2:$AK$190,'متجهات المبيعات'!$E$2:$E$190)/'مواد المخزون'!$D$37</f>
        <v>-0.015</v>
      </c>
      <c r="AA42" s="109" t="n">
        <f aca="false">IF(K42="نعم",O42,0)</f>
        <v>0</v>
      </c>
      <c r="AB42" s="109" t="n">
        <f aca="false">IF(K42="نعم",J42*C42,0)</f>
        <v>0</v>
      </c>
      <c r="AC42" s="109" t="n">
        <f aca="false">IF(T42="",0,T42)</f>
        <v>0</v>
      </c>
    </row>
    <row r="43" customFormat="false" ht="15" hidden="false" customHeight="false" outlineLevel="0" collapsed="false">
      <c r="A43" s="34" t="str">
        <f aca="false">'مواد المخزون'!A38</f>
        <v>خيار مخلل</v>
      </c>
      <c r="B43" s="36" t="str">
        <f aca="false">'مواد المخزون'!B38</f>
        <v>كجم</v>
      </c>
      <c r="C43" s="109" t="n">
        <f aca="false">'مواد المخزون'!E38</f>
        <v>30</v>
      </c>
      <c r="D43" s="110" t="n">
        <f aca="false">'جرد أول المدة'!D41</f>
        <v>4.545</v>
      </c>
      <c r="E43" s="110" t="n">
        <f aca="false">SUMIFS('مشتريات يومية'!$D$2:$D$4001,'مشتريات يومية'!$B$2:$B$4001,$B$2,'مشتريات يومية'!$C$2:$C$4001,$A43,'مشتريات يومية'!$A$2:$A$4001,"&gt;="&amp;'إعدادات المخزون'!$B$5,'مشتريات يومية'!$A$2:$A$4001,"&lt;="&amp;'إعدادات المخزون'!$B$4)</f>
        <v>5</v>
      </c>
      <c r="F43" s="110" t="n">
        <f aca="false">SUMIFS('هالك وتحويلات'!$E$2:$E$3001,'هالك وتحويلات'!$B$2:$B$3001,$B$2,'هالك وتحويلات'!$C$2:$C$3001,$A43,'هالك وتحويلات'!$D$2:$D$3001,"تحويل وارد",'هالك وتحويلات'!$A$2:$A$3001,"&gt;="&amp;'إعدادات المخزون'!$B$5,'هالك وتحويلات'!$A$2:$A$3001,"&lt;="&amp;'إعدادات المخزون'!$B$4)</f>
        <v>0</v>
      </c>
      <c r="G43" s="110" t="n">
        <f aca="false">SUMIFS('هالك وتحويلات'!$E$2:$E$3001,'هالك وتحويلات'!$B$2:$B$3001,$B$2,'هالك وتحويلات'!$C$2:$C$3001,$A43,'هالك وتحويلات'!$D$2:$D$3001,"تحويل صادر",'هالك وتحويلات'!$A$2:$A$3001,"&gt;="&amp;'إعدادات المخزون'!$B$5,'هالك وتحويلات'!$A$2:$A$3001,"&lt;="&amp;'إعدادات المخزون'!$B$4)</f>
        <v>0</v>
      </c>
      <c r="H43" s="110" t="n">
        <f aca="false">SUMPRODUCT('مصفوفة الاستهلاك'!$AL$2:$AL$190,'متجهات المبيعات'!$F$2:$F$190)/'مواد المخزون'!$D$38</f>
        <v>2.499984</v>
      </c>
      <c r="I43" s="110" t="n">
        <f aca="false">SUMIFS('هالك وتحويلات'!$E$2:$E$3001,'هالك وتحويلات'!$B$2:$B$3001,$B$2,'هالك وتحويلات'!$C$2:$C$3001,$A43,'هالك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وتحويلات'!$C$2:$C$3001,$A43,'هالك وتحويلات'!$D$2:$D$3001,"ضيافة / أكل موظفين",'هالك وتحويلات'!$A$2:$A$3001,"&gt;="&amp;'إعدادات المخزون'!$B$5,'هالك وتحويلات'!$A$2:$A$3001,"&lt;="&amp;'إعدادات المخزون'!$B$4)</f>
        <v>0</v>
      </c>
      <c r="J43" s="110" t="n">
        <f aca="false">D43+E43+F43-G43-H43-I43</f>
        <v>7.045016</v>
      </c>
      <c r="K43" s="36" t="str">
        <f aca="false">IF(COUNTIFS('جرد فعلي'!$B$2:$B$12001,$B$2,'جرد فعلي'!$C$2:$C$12001,$A43,'جرد فعلي'!$A$2:$A$12001,'إعدادات المخزون'!$B$4)&gt;0,"نعم","لا")</f>
        <v>لا</v>
      </c>
      <c r="L43" s="111" t="str">
        <f aca="false">IF(K43="نعم",SUMIFS('جرد فعلي'!$D$2:$D$12001,'جرد فعلي'!$B$2:$B$12001,$B$2,'جرد فعلي'!$C$2:$C$12001,$A43,'جرد فعلي'!$A$2:$A$12001,'إعدادات المخزون'!$B$4),"")</f>
        <v/>
      </c>
      <c r="M43" s="110" t="str">
        <f aca="false">IF(K43="نعم",L43-J43,"")</f>
        <v/>
      </c>
      <c r="N43" s="112" t="str">
        <f aca="false">IF(K43="نعم",IF(J43=0,IF(M43=0,0,SIGN(M43)),M43/ABS(J43)),"")</f>
        <v/>
      </c>
      <c r="O43" s="109" t="str">
        <f aca="false">IF(K43="نعم",M43*C43,"")</f>
        <v/>
      </c>
      <c r="P43" s="36" t="str">
        <f aca="false">IF(K43&lt;&gt;"نعم","لم يُجرد",IF(ABS(N43)&lt;='إعدادات المخزون'!$B$7,"مطابق",IF(M43&lt;0,"عجز","زيادة")))</f>
        <v>لم يُجرد</v>
      </c>
      <c r="Q43" s="110" t="n">
        <f aca="false">J43-Z43</f>
        <v>7.253348</v>
      </c>
      <c r="R43" s="110" t="str">
        <f aca="false">IF(COUNTIFS('جرد فعلي'!$B$2:$B$12001,$B$2,'جرد فعلي'!$C$2:$C$12001,$A43,'جرد فعلي'!$A$2:$A$12001,'إعدادات المخزون'!$B$4-1)&gt;0,SUMIFS('جرد فعلي'!$D$2:$D$12001,'جرد فعلي'!$B$2:$B$12001,$B$2,'جرد فعلي'!$C$2:$C$12001,$A43,'جرد فعلي'!$A$2:$A$12001,'إعدادات المخزون'!$B$4-1),"")</f>
        <v/>
      </c>
      <c r="S43" s="110" t="str">
        <f aca="false">IF(AND(K43="نعم",R43&lt;&gt;""),(L43-J43)-(R43-Q43),"")</f>
        <v/>
      </c>
      <c r="T43" s="109" t="str">
        <f aca="false">IF(S43="","",S43*C43)</f>
        <v/>
      </c>
      <c r="U43" s="110" t="n">
        <f aca="false">IF(K43="نعم",L43,J43)</f>
        <v>7.045016</v>
      </c>
      <c r="V43" s="110" t="n">
        <f aca="false">SUMPRODUCT('مصفوفة الاستهلاك'!$AL$2:$AL$190,'متجهات المبيعات'!$G$2:$G$190)/'مواد المخزون'!$D$38/MAX(1,MIN('إعدادات المخزون'!$B$11,'إعدادات المخزون'!$B$4-'إعدادات المخزون'!$B$5+1))</f>
        <v>0.208332</v>
      </c>
      <c r="W43" s="110" t="n">
        <f aca="false">IF(V43&lt;=0,0,ROUNDUP(MAX(0,V43*('إعدادات المخزون'!$B$8+'إعدادات المخزون'!$B$9+'إعدادات المخزون'!$B$10)-MAX(U43,0))/'مواد المخزون'!$F38,0)*'مواد المخزون'!$F38)</f>
        <v>0</v>
      </c>
      <c r="X43" s="109" t="n">
        <f aca="false">IF(AND(K43="نعم",O43&lt;0),-O43+ROW()*0.000000001,0)</f>
        <v>0</v>
      </c>
      <c r="Y43" s="109" t="n">
        <f aca="false">IF(AND(K43="نعم",O43&gt;0),O43+ROW()*0.000000001,0)</f>
        <v>0</v>
      </c>
      <c r="Z43" s="110" t="n">
        <f aca="false">SUMIFS('مشتريات يومية'!$D$2:$D$4001,'مشتريات يومية'!$B$2:$B$4001,$B$2,'مشتريات يومية'!$C$2:$C$4001,$A43,'مشتريات يومية'!$A$2:$A$4001,'إعدادات المخزون'!$B$4)+SUMIFS('هالك وتحويلات'!$E$2:$E$3001,'هالك وتحويلات'!$B$2:$B$3001,$B$2,'هالك وتحويلات'!$C$2:$C$3001,$A43,'هالك وتحويلات'!$D$2:$D$3001,"تحويل وارد",'هالك وتحويلات'!$A$2:$A$3001,'إعدادات المخزون'!$B$4)-SUMIFS('هالك وتحويلات'!$E$2:$E$3001,'هالك وتحويلات'!$B$2:$B$3001,$B$2,'هالك وتحويلات'!$C$2:$C$3001,$A43,'هالك وتحويلات'!$D$2:$D$3001,"تحويل صادر",'هالك وتحويلات'!$A$2:$A$3001,'إعدادات المخزون'!$B$4)-SUMIFS('هالك وتحويلات'!$E$2:$E$3001,'هالك وتحويلات'!$B$2:$B$3001,$B$2,'هالك وتحويلات'!$C$2:$C$3001,$A43,'هالك وتحويلات'!$D$2:$D$3001,"هالك",'هالك وتحويلات'!$A$2:$A$3001,'إعدادات المخزون'!$B$4)-SUMIFS('هالك وتحويلات'!$E$2:$E$3001,'هالك وتحويلات'!$B$2:$B$3001,$B$2,'هالك وتحويلات'!$C$2:$C$3001,$A43,'هالك وتحويلات'!$D$2:$D$3001,"ضيافة / أكل موظفين",'هالك وتحويلات'!$A$2:$A$3001,'إعدادات المخزون'!$B$4)-SUMPRODUCT('مصفوفة الاستهلاك'!$AL$2:$AL$190,'متجهات المبيعات'!$E$2:$E$190)/'مواد المخزون'!$D$38</f>
        <v>-0.208332</v>
      </c>
      <c r="AA43" s="109" t="n">
        <f aca="false">IF(K43="نعم",O43,0)</f>
        <v>0</v>
      </c>
      <c r="AB43" s="109" t="n">
        <f aca="false">IF(K43="نعم",J43*C43,0)</f>
        <v>0</v>
      </c>
      <c r="AC43" s="109" t="n">
        <f aca="false">IF(T43="",0,T43)</f>
        <v>0</v>
      </c>
    </row>
    <row r="44" customFormat="false" ht="15" hidden="false" customHeight="false" outlineLevel="0" collapsed="false">
      <c r="A44" s="34" t="str">
        <f aca="false">'مواد المخزون'!A39</f>
        <v>دقيق</v>
      </c>
      <c r="B44" s="36" t="str">
        <f aca="false">'مواد المخزون'!B39</f>
        <v>كجم</v>
      </c>
      <c r="C44" s="109" t="n">
        <f aca="false">'مواد المخزون'!E39</f>
        <v>20.3571</v>
      </c>
      <c r="D44" s="110" t="n">
        <f aca="false">'جرد أول المدة'!D42</f>
        <v>8.014</v>
      </c>
      <c r="E44" s="110" t="n">
        <f aca="false">SUMIFS('مشتريات يومية'!$D$2:$D$4001,'مشتريات يومية'!$B$2:$B$4001,$B$2,'مشتريات يومية'!$C$2:$C$4001,$A44,'مشتريات يومية'!$A$2:$A$4001,"&gt;="&amp;'إعدادات المخزون'!$B$5,'مشتريات يومية'!$A$2:$A$4001,"&lt;="&amp;'إعدادات المخزون'!$B$4)</f>
        <v>25</v>
      </c>
      <c r="F44" s="110" t="n">
        <f aca="false">SUMIFS('هالك وتحويلات'!$E$2:$E$3001,'هالك وتحويلات'!$B$2:$B$3001,$B$2,'هالك وتحويلات'!$C$2:$C$3001,$A44,'هالك وتحويلات'!$D$2:$D$3001,"تحويل وارد",'هالك وتحويلات'!$A$2:$A$3001,"&gt;="&amp;'إعدادات المخزون'!$B$5,'هالك وتحويلات'!$A$2:$A$3001,"&lt;="&amp;'إعدادات المخزون'!$B$4)</f>
        <v>0</v>
      </c>
      <c r="G44" s="110" t="n">
        <f aca="false">SUMIFS('هالك وتحويلات'!$E$2:$E$3001,'هالك وتحويلات'!$B$2:$B$3001,$B$2,'هالك وتحويلات'!$C$2:$C$3001,$A44,'هالك وتحويلات'!$D$2:$D$3001,"تحويل صادر",'هالك وتحويلات'!$A$2:$A$3001,"&gt;="&amp;'إعدادات المخزون'!$B$5,'هالك وتحويلات'!$A$2:$A$3001,"&lt;="&amp;'إعدادات المخزون'!$B$4)</f>
        <v>0</v>
      </c>
      <c r="H44" s="110" t="n">
        <f aca="false">SUMPRODUCT('مصفوفة الاستهلاك'!$AM$2:$AM$190,'متجهات المبيعات'!$F$2:$F$190)/'مواد المخزون'!$D$39</f>
        <v>5.0000999998</v>
      </c>
      <c r="I44" s="110" t="n">
        <f aca="false">SUMIFS('هالك وتحويلات'!$E$2:$E$3001,'هالك وتحويلات'!$B$2:$B$3001,$B$2,'هالك وتحويلات'!$C$2:$C$3001,$A44,'هالك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وتحويلات'!$C$2:$C$3001,$A44,'هالك وتحويلات'!$D$2:$D$3001,"ضيافة / أكل موظفين",'هالك وتحويلات'!$A$2:$A$3001,"&gt;="&amp;'إعدادات المخزون'!$B$5,'هالك وتحويلات'!$A$2:$A$3001,"&lt;="&amp;'إعدادات المخزون'!$B$4)</f>
        <v>0</v>
      </c>
      <c r="J44" s="110" t="n">
        <f aca="false">D44+E44+F44-G44-H44-I44</f>
        <v>28.0139000002</v>
      </c>
      <c r="K44" s="36" t="str">
        <f aca="false">IF(COUNTIFS('جرد فعلي'!$B$2:$B$12001,$B$2,'جرد فعلي'!$C$2:$C$12001,$A44,'جرد فعلي'!$A$2:$A$12001,'إعدادات المخزون'!$B$4)&gt;0,"نعم","لا")</f>
        <v>لا</v>
      </c>
      <c r="L44" s="111" t="str">
        <f aca="false">IF(K44="نعم",SUMIFS('جرد فعلي'!$D$2:$D$12001,'جرد فعلي'!$B$2:$B$12001,$B$2,'جرد فعلي'!$C$2:$C$12001,$A44,'جرد فعلي'!$A$2:$A$12001,'إعدادات المخزون'!$B$4),"")</f>
        <v/>
      </c>
      <c r="M44" s="110" t="str">
        <f aca="false">IF(K44="نعم",L44-J44,"")</f>
        <v/>
      </c>
      <c r="N44" s="112" t="str">
        <f aca="false">IF(K44="نعم",IF(J44=0,IF(M44=0,0,SIGN(M44)),M44/ABS(J44)),"")</f>
        <v/>
      </c>
      <c r="O44" s="109" t="str">
        <f aca="false">IF(K44="نعم",M44*C44,"")</f>
        <v/>
      </c>
      <c r="P44" s="36" t="str">
        <f aca="false">IF(K44&lt;&gt;"نعم","لم يُجرد",IF(ABS(N44)&lt;='إعدادات المخزون'!$B$7,"مطابق",IF(M44&lt;0,"عجز","زيادة")))</f>
        <v>لم يُجرد</v>
      </c>
      <c r="Q44" s="110" t="n">
        <f aca="false">J44-Z44</f>
        <v>28.4305750001833</v>
      </c>
      <c r="R44" s="110" t="str">
        <f aca="false">IF(COUNTIFS('جرد فعلي'!$B$2:$B$12001,$B$2,'جرد فعلي'!$C$2:$C$12001,$A44,'جرد فعلي'!$A$2:$A$12001,'إعدادات المخزون'!$B$4-1)&gt;0,SUMIFS('جرد فعلي'!$D$2:$D$12001,'جرد فعلي'!$B$2:$B$12001,$B$2,'جرد فعلي'!$C$2:$C$12001,$A44,'جرد فعلي'!$A$2:$A$12001,'إعدادات المخزون'!$B$4-1),"")</f>
        <v/>
      </c>
      <c r="S44" s="110" t="str">
        <f aca="false">IF(AND(K44="نعم",R44&lt;&gt;""),(L44-J44)-(R44-Q44),"")</f>
        <v/>
      </c>
      <c r="T44" s="109" t="str">
        <f aca="false">IF(S44="","",S44*C44)</f>
        <v/>
      </c>
      <c r="U44" s="110" t="n">
        <f aca="false">IF(K44="نعم",L44,J44)</f>
        <v>28.0139000002</v>
      </c>
      <c r="V44" s="110" t="n">
        <f aca="false">SUMPRODUCT('مصفوفة الاستهلاك'!$AM$2:$AM$190,'متجهات المبيعات'!$G$2:$G$190)/'مواد المخزون'!$D$39/MAX(1,MIN('إعدادات المخزون'!$B$11,'إعدادات المخزون'!$B$4-'إعدادات المخزون'!$B$5+1))</f>
        <v>0.416674999983333</v>
      </c>
      <c r="W44" s="110" t="n">
        <f aca="false">IF(V44&lt;=0,0,ROUNDUP(MAX(0,V44*('إعدادات المخزون'!$B$8+'إعدادات المخزون'!$B$9+'إعدادات المخزون'!$B$10)-MAX(U44,0))/'مواد المخزون'!$F39,0)*'مواد المخزون'!$F39)</f>
        <v>0</v>
      </c>
      <c r="X44" s="109" t="n">
        <f aca="false">IF(AND(K44="نعم",O44&lt;0),-O44+ROW()*0.000000001,0)</f>
        <v>0</v>
      </c>
      <c r="Y44" s="109" t="n">
        <f aca="false">IF(AND(K44="نعم",O44&gt;0),O44+ROW()*0.000000001,0)</f>
        <v>0</v>
      </c>
      <c r="Z44" s="110" t="n">
        <f aca="false">SUMIFS('مشتريات يومية'!$D$2:$D$4001,'مشتريات يومية'!$B$2:$B$4001,$B$2,'مشتريات يومية'!$C$2:$C$4001,$A44,'مشتريات يومية'!$A$2:$A$4001,'إعدادات المخزون'!$B$4)+SUMIFS('هالك وتحويلات'!$E$2:$E$3001,'هالك وتحويلات'!$B$2:$B$3001,$B$2,'هالك وتحويلات'!$C$2:$C$3001,$A44,'هالك وتحويلات'!$D$2:$D$3001,"تحويل وارد",'هالك وتحويلات'!$A$2:$A$3001,'إعدادات المخزون'!$B$4)-SUMIFS('هالك وتحويلات'!$E$2:$E$3001,'هالك وتحويلات'!$B$2:$B$3001,$B$2,'هالك وتحويلات'!$C$2:$C$3001,$A44,'هالك وتحويلات'!$D$2:$D$3001,"تحويل صادر",'هالك وتحويلات'!$A$2:$A$3001,'إعدادات المخزون'!$B$4)-SUMIFS('هالك وتحويلات'!$E$2:$E$3001,'هالك وتحويلات'!$B$2:$B$3001,$B$2,'هالك وتحويلات'!$C$2:$C$3001,$A44,'هالك وتحويلات'!$D$2:$D$3001,"هالك",'هالك وتحويلات'!$A$2:$A$3001,'إعدادات المخزون'!$B$4)-SUMIFS('هالك وتحويلات'!$E$2:$E$3001,'هالك وتحويلات'!$B$2:$B$3001,$B$2,'هالك وتحويلات'!$C$2:$C$3001,$A44,'هالك وتحويلات'!$D$2:$D$3001,"ضيافة / أكل موظفين",'هالك وتحويلات'!$A$2:$A$3001,'إعدادات المخزون'!$B$4)-SUMPRODUCT('مصفوفة الاستهلاك'!$AM$2:$AM$190,'متجهات المبيعات'!$E$2:$E$190)/'مواد المخزون'!$D$39</f>
        <v>-0.416674999983333</v>
      </c>
      <c r="AA44" s="109" t="n">
        <f aca="false">IF(K44="نعم",O44,0)</f>
        <v>0</v>
      </c>
      <c r="AB44" s="109" t="n">
        <f aca="false">IF(K44="نعم",J44*C44,0)</f>
        <v>0</v>
      </c>
      <c r="AC44" s="109" t="n">
        <f aca="false">IF(T44="",0,T44)</f>
        <v>0</v>
      </c>
    </row>
    <row r="45" customFormat="false" ht="15" hidden="false" customHeight="false" outlineLevel="0" collapsed="false">
      <c r="A45" s="34" t="str">
        <f aca="false">'مواد المخزون'!A40</f>
        <v>زبدة</v>
      </c>
      <c r="B45" s="36" t="str">
        <f aca="false">'مواد المخزون'!B40</f>
        <v>كجم</v>
      </c>
      <c r="C45" s="109" t="n">
        <f aca="false">'مواد المخزون'!E40</f>
        <v>120</v>
      </c>
      <c r="D45" s="110" t="n">
        <f aca="false">'جرد أول المدة'!D43</f>
        <v>1.38</v>
      </c>
      <c r="E45" s="110" t="n">
        <f aca="false">SUMIFS('مشتريات يومية'!$D$2:$D$4001,'مشتريات يومية'!$B$2:$B$4001,$B$2,'مشتريات يومية'!$C$2:$C$4001,$A45,'مشتريات يومية'!$A$2:$A$4001,"&gt;="&amp;'إعدادات المخزون'!$B$5,'مشتريات يومية'!$A$2:$A$4001,"&lt;="&amp;'إعدادات المخزون'!$B$4)</f>
        <v>10</v>
      </c>
      <c r="F45" s="110" t="n">
        <f aca="false">SUMIFS('هالك وتحويلات'!$E$2:$E$3001,'هالك وتحويلات'!$B$2:$B$3001,$B$2,'هالك وتحويلات'!$C$2:$C$3001,$A45,'هالك وتحويلات'!$D$2:$D$3001,"تحويل وارد",'هالك وتحويلات'!$A$2:$A$3001,"&gt;="&amp;'إعدادات المخزون'!$B$5,'هالك وتحويلات'!$A$2:$A$3001,"&lt;="&amp;'إعدادات المخزون'!$B$4)</f>
        <v>0</v>
      </c>
      <c r="G45" s="110" t="n">
        <f aca="false">SUMIFS('هالك وتحويلات'!$E$2:$E$3001,'هالك وتحويلات'!$B$2:$B$3001,$B$2,'هالك وتحويلات'!$C$2:$C$3001,$A45,'هالك وتحويلات'!$D$2:$D$3001,"تحويل صادر",'هالك وتحويلات'!$A$2:$A$3001,"&gt;="&amp;'إعدادات المخزون'!$B$5,'هالك وتحويلات'!$A$2:$A$3001,"&lt;="&amp;'إعدادات المخزون'!$B$4)</f>
        <v>0</v>
      </c>
      <c r="H45" s="110" t="n">
        <f aca="false">SUMPRODUCT('مصفوفة الاستهلاك'!$AN$2:$AN$190,'متجهات المبيعات'!$F$2:$F$190)/'مواد المخزون'!$D$40</f>
        <v>1.35004500002</v>
      </c>
      <c r="I45" s="110" t="n">
        <f aca="false">SUMIFS('هالك وتحويلات'!$E$2:$E$3001,'هالك وتحويلات'!$B$2:$B$3001,$B$2,'هالك وتحويلات'!$C$2:$C$3001,$A45,'هالك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وتحويلات'!$C$2:$C$3001,$A45,'هالك وتحويلات'!$D$2:$D$3001,"ضيافة / أكل موظفين",'هالك وتحويلات'!$A$2:$A$3001,"&gt;="&amp;'إعدادات المخزون'!$B$5,'هالك وتحويلات'!$A$2:$A$3001,"&lt;="&amp;'إعدادات المخزون'!$B$4)</f>
        <v>0</v>
      </c>
      <c r="J45" s="110" t="n">
        <f aca="false">D45+E45+F45-G45-H45-I45</f>
        <v>10.02995499998</v>
      </c>
      <c r="K45" s="36" t="str">
        <f aca="false">IF(COUNTIFS('جرد فعلي'!$B$2:$B$12001,$B$2,'جرد فعلي'!$C$2:$C$12001,$A45,'جرد فعلي'!$A$2:$A$12001,'إعدادات المخزون'!$B$4)&gt;0,"نعم","لا")</f>
        <v>لا</v>
      </c>
      <c r="L45" s="111" t="str">
        <f aca="false">IF(K45="نعم",SUMIFS('جرد فعلي'!$D$2:$D$12001,'جرد فعلي'!$B$2:$B$12001,$B$2,'جرد فعلي'!$C$2:$C$12001,$A45,'جرد فعلي'!$A$2:$A$12001,'إعدادات المخزون'!$B$4),"")</f>
        <v/>
      </c>
      <c r="M45" s="110" t="str">
        <f aca="false">IF(K45="نعم",L45-J45,"")</f>
        <v/>
      </c>
      <c r="N45" s="112" t="str">
        <f aca="false">IF(K45="نعم",IF(J45=0,IF(M45=0,0,SIGN(M45)),M45/ABS(J45)),"")</f>
        <v/>
      </c>
      <c r="O45" s="109" t="str">
        <f aca="false">IF(K45="نعم",M45*C45,"")</f>
        <v/>
      </c>
      <c r="P45" s="36" t="str">
        <f aca="false">IF(K45&lt;&gt;"نعم","لم يُجرد",IF(ABS(N45)&lt;='إعدادات المخزون'!$B$7,"مطابق",IF(M45&lt;0,"عجز","زيادة")))</f>
        <v>لم يُجرد</v>
      </c>
      <c r="Q45" s="110" t="n">
        <f aca="false">J45-Z45</f>
        <v>10.1424587499817</v>
      </c>
      <c r="R45" s="110" t="str">
        <f aca="false">IF(COUNTIFS('جرد فعلي'!$B$2:$B$12001,$B$2,'جرد فعلي'!$C$2:$C$12001,$A45,'جرد فعلي'!$A$2:$A$12001,'إعدادات المخزون'!$B$4-1)&gt;0,SUMIFS('جرد فعلي'!$D$2:$D$12001,'جرد فعلي'!$B$2:$B$12001,$B$2,'جرد فعلي'!$C$2:$C$12001,$A45,'جرد فعلي'!$A$2:$A$12001,'إعدادات المخزون'!$B$4-1),"")</f>
        <v/>
      </c>
      <c r="S45" s="110" t="str">
        <f aca="false">IF(AND(K45="نعم",R45&lt;&gt;""),(L45-J45)-(R45-Q45),"")</f>
        <v/>
      </c>
      <c r="T45" s="109" t="str">
        <f aca="false">IF(S45="","",S45*C45)</f>
        <v/>
      </c>
      <c r="U45" s="110" t="n">
        <f aca="false">IF(K45="نعم",L45,J45)</f>
        <v>10.02995499998</v>
      </c>
      <c r="V45" s="110" t="n">
        <f aca="false">SUMPRODUCT('مصفوفة الاستهلاك'!$AN$2:$AN$190,'متجهات المبيعات'!$G$2:$G$190)/'مواد المخزون'!$D$40/MAX(1,MIN('إعدادات المخزون'!$B$11,'إعدادات المخزون'!$B$4-'إعدادات المخزون'!$B$5+1))</f>
        <v>0.112503750001667</v>
      </c>
      <c r="W45" s="110" t="n">
        <f aca="false">IF(V45&lt;=0,0,ROUNDUP(MAX(0,V45*('إعدادات المخزون'!$B$8+'إعدادات المخزون'!$B$9+'إعدادات المخزون'!$B$10)-MAX(U45,0))/'مواد المخزون'!$F40,0)*'مواد المخزون'!$F40)</f>
        <v>0</v>
      </c>
      <c r="X45" s="109" t="n">
        <f aca="false">IF(AND(K45="نعم",O45&lt;0),-O45+ROW()*0.000000001,0)</f>
        <v>0</v>
      </c>
      <c r="Y45" s="109" t="n">
        <f aca="false">IF(AND(K45="نعم",O45&gt;0),O45+ROW()*0.000000001,0)</f>
        <v>0</v>
      </c>
      <c r="Z45" s="110" t="n">
        <f aca="false">SUMIFS('مشتريات يومية'!$D$2:$D$4001,'مشتريات يومية'!$B$2:$B$4001,$B$2,'مشتريات يومية'!$C$2:$C$4001,$A45,'مشتريات يومية'!$A$2:$A$4001,'إعدادات المخزون'!$B$4)+SUMIFS('هالك وتحويلات'!$E$2:$E$3001,'هالك وتحويلات'!$B$2:$B$3001,$B$2,'هالك وتحويلات'!$C$2:$C$3001,$A45,'هالك وتحويلات'!$D$2:$D$3001,"تحويل وارد",'هالك وتحويلات'!$A$2:$A$3001,'إعدادات المخزون'!$B$4)-SUMIFS('هالك وتحويلات'!$E$2:$E$3001,'هالك وتحويلات'!$B$2:$B$3001,$B$2,'هالك وتحويلات'!$C$2:$C$3001,$A45,'هالك وتحويلات'!$D$2:$D$3001,"تحويل صادر",'هالك وتحويلات'!$A$2:$A$3001,'إعدادات المخزون'!$B$4)-SUMIFS('هالك وتحويلات'!$E$2:$E$3001,'هالك وتحويلات'!$B$2:$B$3001,$B$2,'هالك وتحويلات'!$C$2:$C$3001,$A45,'هالك وتحويلات'!$D$2:$D$3001,"هالك",'هالك وتحويلات'!$A$2:$A$3001,'إعدادات المخزون'!$B$4)-SUMIFS('هالك وتحويلات'!$E$2:$E$3001,'هالك وتحويلات'!$B$2:$B$3001,$B$2,'هالك وتحويلات'!$C$2:$C$3001,$A45,'هالك وتحويلات'!$D$2:$D$3001,"ضيافة / أكل موظفين",'هالك وتحويلات'!$A$2:$A$3001,'إعدادات المخزون'!$B$4)-SUMPRODUCT('مصفوفة الاستهلاك'!$AN$2:$AN$190,'متجهات المبيعات'!$E$2:$E$190)/'مواد المخزون'!$D$40</f>
        <v>-0.112503750001667</v>
      </c>
      <c r="AA45" s="109" t="n">
        <f aca="false">IF(K45="نعم",O45,0)</f>
        <v>0</v>
      </c>
      <c r="AB45" s="109" t="n">
        <f aca="false">IF(K45="نعم",J45*C45,0)</f>
        <v>0</v>
      </c>
      <c r="AC45" s="109" t="n">
        <f aca="false">IF(T45="",0,T45)</f>
        <v>0</v>
      </c>
    </row>
    <row r="46" customFormat="false" ht="15" hidden="false" customHeight="false" outlineLevel="0" collapsed="false">
      <c r="A46" s="34" t="str">
        <f aca="false">'مواد المخزون'!A41</f>
        <v>زبيب</v>
      </c>
      <c r="B46" s="36" t="str">
        <f aca="false">'مواد المخزون'!B41</f>
        <v>كجم</v>
      </c>
      <c r="C46" s="109" t="n">
        <f aca="false">'مواد المخزون'!E41</f>
        <v>220</v>
      </c>
      <c r="D46" s="110" t="n">
        <f aca="false">'جرد أول المدة'!D44</f>
        <v>0.46</v>
      </c>
      <c r="E46" s="110" t="n">
        <f aca="false">SUMIFS('مشتريات يومية'!$D$2:$D$4001,'مشتريات يومية'!$B$2:$B$4001,$B$2,'مشتريات يومية'!$C$2:$C$4001,$A46,'مشتريات يومية'!$A$2:$A$4001,"&gt;="&amp;'إعدادات المخزون'!$B$5,'مشتريات يومية'!$A$2:$A$4001,"&lt;="&amp;'إعدادات المخزون'!$B$4)</f>
        <v>0.5</v>
      </c>
      <c r="F46" s="110" t="n">
        <f aca="false">SUMIFS('هالك وتحويلات'!$E$2:$E$3001,'هالك وتحويلات'!$B$2:$B$3001,$B$2,'هالك وتحويلات'!$C$2:$C$3001,$A46,'هالك وتحويلات'!$D$2:$D$3001,"تحويل وارد",'هالك وتحويلات'!$A$2:$A$3001,"&gt;="&amp;'إعدادات المخزون'!$B$5,'هالك وتحويلات'!$A$2:$A$3001,"&lt;="&amp;'إعدادات المخزون'!$B$4)</f>
        <v>0</v>
      </c>
      <c r="G46" s="110" t="n">
        <f aca="false">SUMIFS('هالك وتحويلات'!$E$2:$E$3001,'هالك وتحويلات'!$B$2:$B$3001,$B$2,'هالك وتحويلات'!$C$2:$C$3001,$A46,'هالك وتحويلات'!$D$2:$D$3001,"تحويل صادر",'هالك وتحويلات'!$A$2:$A$3001,"&gt;="&amp;'إعدادات المخزون'!$B$5,'هالك وتحويلات'!$A$2:$A$3001,"&lt;="&amp;'إعدادات المخزون'!$B$4)</f>
        <v>0</v>
      </c>
      <c r="H46" s="110" t="n">
        <f aca="false">SUMPRODUCT('مصفوفة الاستهلاك'!$AO$2:$AO$190,'متجهات المبيعات'!$F$2:$F$190)/'مواد المخزون'!$D$41</f>
        <v>0.36</v>
      </c>
      <c r="I46" s="110" t="n">
        <f aca="false">SUMIFS('هالك وتحويلات'!$E$2:$E$3001,'هالك وتحويلات'!$B$2:$B$3001,$B$2,'هالك وتحويلات'!$C$2:$C$3001,$A46,'هالك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وتحويلات'!$C$2:$C$3001,$A46,'هالك وتحويلات'!$D$2:$D$3001,"ضيافة / أكل موظفين",'هالك وتحويلات'!$A$2:$A$3001,"&gt;="&amp;'إعدادات المخزون'!$B$5,'هالك وتحويلات'!$A$2:$A$3001,"&lt;="&amp;'إعدادات المخزون'!$B$4)</f>
        <v>0</v>
      </c>
      <c r="J46" s="110" t="n">
        <f aca="false">D46+E46+F46-G46-H46-I46</f>
        <v>0.6</v>
      </c>
      <c r="K46" s="36" t="str">
        <f aca="false">IF(COUNTIFS('جرد فعلي'!$B$2:$B$12001,$B$2,'جرد فعلي'!$C$2:$C$12001,$A46,'جرد فعلي'!$A$2:$A$12001,'إعدادات المخزون'!$B$4)&gt;0,"نعم","لا")</f>
        <v>لا</v>
      </c>
      <c r="L46" s="111" t="str">
        <f aca="false">IF(K46="نعم",SUMIFS('جرد فعلي'!$D$2:$D$12001,'جرد فعلي'!$B$2:$B$12001,$B$2,'جرد فعلي'!$C$2:$C$12001,$A46,'جرد فعلي'!$A$2:$A$12001,'إعدادات المخزون'!$B$4),"")</f>
        <v/>
      </c>
      <c r="M46" s="110" t="str">
        <f aca="false">IF(K46="نعم",L46-J46,"")</f>
        <v/>
      </c>
      <c r="N46" s="112" t="str">
        <f aca="false">IF(K46="نعم",IF(J46=0,IF(M46=0,0,SIGN(M46)),M46/ABS(J46)),"")</f>
        <v/>
      </c>
      <c r="O46" s="109" t="str">
        <f aca="false">IF(K46="نعم",M46*C46,"")</f>
        <v/>
      </c>
      <c r="P46" s="36" t="str">
        <f aca="false">IF(K46&lt;&gt;"نعم","لم يُجرد",IF(ABS(N46)&lt;='إعدادات المخزون'!$B$7,"مطابق",IF(M46&lt;0,"عجز","زيادة")))</f>
        <v>لم يُجرد</v>
      </c>
      <c r="Q46" s="110" t="n">
        <f aca="false">J46-Z46</f>
        <v>0.63</v>
      </c>
      <c r="R46" s="110" t="str">
        <f aca="false">IF(COUNTIFS('جرد فعلي'!$B$2:$B$12001,$B$2,'جرد فعلي'!$C$2:$C$12001,$A46,'جرد فعلي'!$A$2:$A$12001,'إعدادات المخزون'!$B$4-1)&gt;0,SUMIFS('جرد فعلي'!$D$2:$D$12001,'جرد فعلي'!$B$2:$B$12001,$B$2,'جرد فعلي'!$C$2:$C$12001,$A46,'جرد فعلي'!$A$2:$A$12001,'إعدادات المخزون'!$B$4-1),"")</f>
        <v/>
      </c>
      <c r="S46" s="110" t="str">
        <f aca="false">IF(AND(K46="نعم",R46&lt;&gt;""),(L46-J46)-(R46-Q46),"")</f>
        <v/>
      </c>
      <c r="T46" s="109" t="str">
        <f aca="false">IF(S46="","",S46*C46)</f>
        <v/>
      </c>
      <c r="U46" s="110" t="n">
        <f aca="false">IF(K46="نعم",L46,J46)</f>
        <v>0.6</v>
      </c>
      <c r="V46" s="110" t="n">
        <f aca="false">SUMPRODUCT('مصفوفة الاستهلاك'!$AO$2:$AO$190,'متجهات المبيعات'!$G$2:$G$190)/'مواد المخزون'!$D$41/MAX(1,MIN('إعدادات المخزون'!$B$11,'إعدادات المخزون'!$B$4-'إعدادات المخزون'!$B$5+1))</f>
        <v>0.03</v>
      </c>
      <c r="W46" s="110" t="n">
        <f aca="false">IF(V46&lt;=0,0,ROUNDUP(MAX(0,V46*('إعدادات المخزون'!$B$8+'إعدادات المخزون'!$B$9+'إعدادات المخزون'!$B$10)-MAX(U46,0))/'مواد المخزون'!$F41,0)*'مواد المخزون'!$F41)</f>
        <v>0</v>
      </c>
      <c r="X46" s="109" t="n">
        <f aca="false">IF(AND(K46="نعم",O46&lt;0),-O46+ROW()*0.000000001,0)</f>
        <v>0</v>
      </c>
      <c r="Y46" s="109" t="n">
        <f aca="false">IF(AND(K46="نعم",O46&gt;0),O46+ROW()*0.000000001,0)</f>
        <v>0</v>
      </c>
      <c r="Z46" s="110" t="n">
        <f aca="false">SUMIFS('مشتريات يومية'!$D$2:$D$4001,'مشتريات يومية'!$B$2:$B$4001,$B$2,'مشتريات يومية'!$C$2:$C$4001,$A46,'مشتريات يومية'!$A$2:$A$4001,'إعدادات المخزون'!$B$4)+SUMIFS('هالك وتحويلات'!$E$2:$E$3001,'هالك وتحويلات'!$B$2:$B$3001,$B$2,'هالك وتحويلات'!$C$2:$C$3001,$A46,'هالك وتحويلات'!$D$2:$D$3001,"تحويل وارد",'هالك وتحويلات'!$A$2:$A$3001,'إعدادات المخزون'!$B$4)-SUMIFS('هالك وتحويلات'!$E$2:$E$3001,'هالك وتحويلات'!$B$2:$B$3001,$B$2,'هالك وتحويلات'!$C$2:$C$3001,$A46,'هالك وتحويلات'!$D$2:$D$3001,"تحويل صادر",'هالك وتحويلات'!$A$2:$A$3001,'إعدادات المخزون'!$B$4)-SUMIFS('هالك وتحويلات'!$E$2:$E$3001,'هالك وتحويلات'!$B$2:$B$3001,$B$2,'هالك وتحويلات'!$C$2:$C$3001,$A46,'هالك وتحويلات'!$D$2:$D$3001,"هالك",'هالك وتحويلات'!$A$2:$A$3001,'إعدادات المخزون'!$B$4)-SUMIFS('هالك وتحويلات'!$E$2:$E$3001,'هالك وتحويلات'!$B$2:$B$3001,$B$2,'هالك وتحويلات'!$C$2:$C$3001,$A46,'هالك وتحويلات'!$D$2:$D$3001,"ضيافة / أكل موظفين",'هالك وتحويلات'!$A$2:$A$3001,'إعدادات المخزون'!$B$4)-SUMPRODUCT('مصفوفة الاستهلاك'!$AO$2:$AO$190,'متجهات المبيعات'!$E$2:$E$190)/'مواد المخزون'!$D$41</f>
        <v>-0.03</v>
      </c>
      <c r="AA46" s="109" t="n">
        <f aca="false">IF(K46="نعم",O46,0)</f>
        <v>0</v>
      </c>
      <c r="AB46" s="109" t="n">
        <f aca="false">IF(K46="نعم",J46*C46,0)</f>
        <v>0</v>
      </c>
      <c r="AC46" s="109" t="n">
        <f aca="false">IF(T46="",0,T46)</f>
        <v>0</v>
      </c>
    </row>
    <row r="47" customFormat="false" ht="15" hidden="false" customHeight="false" outlineLevel="0" collapsed="false">
      <c r="A47" s="34" t="str">
        <f aca="false">'مواد المخزون'!A42</f>
        <v>زيتون</v>
      </c>
      <c r="B47" s="36" t="str">
        <f aca="false">'مواد المخزون'!B42</f>
        <v>كجم</v>
      </c>
      <c r="C47" s="109" t="n">
        <f aca="false">'مواد المخزون'!E42</f>
        <v>95</v>
      </c>
      <c r="D47" s="110" t="n">
        <f aca="false">'جرد أول المدة'!D45</f>
        <v>7.325</v>
      </c>
      <c r="E47" s="110" t="n">
        <f aca="false">SUMIFS('مشتريات يومية'!$D$2:$D$4001,'مشتريات يومية'!$B$2:$B$4001,$B$2,'مشتريات يومية'!$C$2:$C$4001,$A47,'مشتريات يومية'!$A$2:$A$4001,"&gt;="&amp;'إعدادات المخزون'!$B$5,'مشتريات يومية'!$A$2:$A$4001,"&lt;="&amp;'إعدادات المخزون'!$B$4)</f>
        <v>20</v>
      </c>
      <c r="F47" s="110" t="n">
        <f aca="false">SUMIFS('هالك وتحويلات'!$E$2:$E$3001,'هالك وتحويلات'!$B$2:$B$3001,$B$2,'هالك وتحويلات'!$C$2:$C$3001,$A47,'هالك وتحويلات'!$D$2:$D$3001,"تحويل وارد",'هالك وتحويلات'!$A$2:$A$3001,"&gt;="&amp;'إعدادات المخزون'!$B$5,'هالك وتحويلات'!$A$2:$A$3001,"&lt;="&amp;'إعدادات المخزون'!$B$4)</f>
        <v>0</v>
      </c>
      <c r="G47" s="110" t="n">
        <f aca="false">SUMIFS('هالك وتحويلات'!$E$2:$E$3001,'هالك وتحويلات'!$B$2:$B$3001,$B$2,'هالك وتحويلات'!$C$2:$C$3001,$A47,'هالك وتحويلات'!$D$2:$D$3001,"تحويل صادر",'هالك وتحويلات'!$A$2:$A$3001,"&gt;="&amp;'إعدادات المخزون'!$B$5,'هالك وتحويلات'!$A$2:$A$3001,"&lt;="&amp;'إعدادات المخزون'!$B$4)</f>
        <v>0</v>
      </c>
      <c r="H47" s="110" t="n">
        <f aca="false">SUMPRODUCT('مصفوفة الاستهلاك'!$AP$2:$AP$190,'متجهات المبيعات'!$F$2:$F$190)/'مواد المخزون'!$D$42</f>
        <v>31.97004</v>
      </c>
      <c r="I47" s="110" t="n">
        <f aca="false">SUMIFS('هالك وتحويلات'!$E$2:$E$3001,'هالك وتحويلات'!$B$2:$B$3001,$B$2,'هالك وتحويلات'!$C$2:$C$3001,$A47,'هالك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وتحويلات'!$C$2:$C$3001,$A47,'هالك وتحويلات'!$D$2:$D$3001,"ضيافة / أكل موظفين",'هالك وتحويلات'!$A$2:$A$3001,"&gt;="&amp;'إعدادات المخزون'!$B$5,'هالك وتحويلات'!$A$2:$A$3001,"&lt;="&amp;'إعدادات المخزون'!$B$4)</f>
        <v>0</v>
      </c>
      <c r="J47" s="110" t="n">
        <f aca="false">D47+E47+F47-G47-H47-I47</f>
        <v>-4.64504</v>
      </c>
      <c r="K47" s="36" t="str">
        <f aca="false">IF(COUNTIFS('جرد فعلي'!$B$2:$B$12001,$B$2,'جرد فعلي'!$C$2:$C$12001,$A47,'جرد فعلي'!$A$2:$A$12001,'إعدادات المخزون'!$B$4)&gt;0,"نعم","لا")</f>
        <v>لا</v>
      </c>
      <c r="L47" s="111" t="str">
        <f aca="false">IF(K47="نعم",SUMIFS('جرد فعلي'!$D$2:$D$12001,'جرد فعلي'!$B$2:$B$12001,$B$2,'جرد فعلي'!$C$2:$C$12001,$A47,'جرد فعلي'!$A$2:$A$12001,'إعدادات المخزون'!$B$4),"")</f>
        <v/>
      </c>
      <c r="M47" s="110" t="str">
        <f aca="false">IF(K47="نعم",L47-J47,"")</f>
        <v/>
      </c>
      <c r="N47" s="112" t="str">
        <f aca="false">IF(K47="نعم",IF(J47=0,IF(M47=0,0,SIGN(M47)),M47/ABS(J47)),"")</f>
        <v/>
      </c>
      <c r="O47" s="109" t="str">
        <f aca="false">IF(K47="نعم",M47*C47,"")</f>
        <v/>
      </c>
      <c r="P47" s="36" t="str">
        <f aca="false">IF(K47&lt;&gt;"نعم","لم يُجرد",IF(ABS(N47)&lt;='إعدادات المخزون'!$B$7,"مطابق",IF(M47&lt;0,"عجز","زيادة")))</f>
        <v>لم يُجرد</v>
      </c>
      <c r="Q47" s="110" t="n">
        <f aca="false">J47-Z47</f>
        <v>-1.98087</v>
      </c>
      <c r="R47" s="110" t="str">
        <f aca="false">IF(COUNTIFS('جرد فعلي'!$B$2:$B$12001,$B$2,'جرد فعلي'!$C$2:$C$12001,$A47,'جرد فعلي'!$A$2:$A$12001,'إعدادات المخزون'!$B$4-1)&gt;0,SUMIFS('جرد فعلي'!$D$2:$D$12001,'جرد فعلي'!$B$2:$B$12001,$B$2,'جرد فعلي'!$C$2:$C$12001,$A47,'جرد فعلي'!$A$2:$A$12001,'إعدادات المخزون'!$B$4-1),"")</f>
        <v/>
      </c>
      <c r="S47" s="110" t="str">
        <f aca="false">IF(AND(K47="نعم",R47&lt;&gt;""),(L47-J47)-(R47-Q47),"")</f>
        <v/>
      </c>
      <c r="T47" s="109" t="str">
        <f aca="false">IF(S47="","",S47*C47)</f>
        <v/>
      </c>
      <c r="U47" s="110" t="n">
        <f aca="false">IF(K47="نعم",L47,J47)</f>
        <v>-4.64504</v>
      </c>
      <c r="V47" s="110" t="n">
        <f aca="false">SUMPRODUCT('مصفوفة الاستهلاك'!$AP$2:$AP$190,'متجهات المبيعات'!$G$2:$G$190)/'مواد المخزون'!$D$42/MAX(1,MIN('إعدادات المخزون'!$B$11,'إعدادات المخزون'!$B$4-'إعدادات المخزون'!$B$5+1))</f>
        <v>2.66417</v>
      </c>
      <c r="W47" s="110" t="n">
        <f aca="false">IF(V47&lt;=0,0,ROUNDUP(MAX(0,V47*('إعدادات المخزون'!$B$8+'إعدادات المخزون'!$B$9+'إعدادات المخزون'!$B$10)-MAX(U47,0))/'مواد المخزون'!$F42,0)*'مواد المخزون'!$F42)</f>
        <v>11</v>
      </c>
      <c r="X47" s="109" t="n">
        <f aca="false">IF(AND(K47="نعم",O47&lt;0),-O47+ROW()*0.000000001,0)</f>
        <v>0</v>
      </c>
      <c r="Y47" s="109" t="n">
        <f aca="false">IF(AND(K47="نعم",O47&gt;0),O47+ROW()*0.000000001,0)</f>
        <v>0</v>
      </c>
      <c r="Z47" s="110" t="n">
        <f aca="false">SUMIFS('مشتريات يومية'!$D$2:$D$4001,'مشتريات يومية'!$B$2:$B$4001,$B$2,'مشتريات يومية'!$C$2:$C$4001,$A47,'مشتريات يومية'!$A$2:$A$4001,'إعدادات المخزون'!$B$4)+SUMIFS('هالك وتحويلات'!$E$2:$E$3001,'هالك وتحويلات'!$B$2:$B$3001,$B$2,'هالك وتحويلات'!$C$2:$C$3001,$A47,'هالك وتحويلات'!$D$2:$D$3001,"تحويل وارد",'هالك وتحويلات'!$A$2:$A$3001,'إعدادات المخزون'!$B$4)-SUMIFS('هالك وتحويلات'!$E$2:$E$3001,'هالك وتحويلات'!$B$2:$B$3001,$B$2,'هالك وتحويلات'!$C$2:$C$3001,$A47,'هالك وتحويلات'!$D$2:$D$3001,"تحويل صادر",'هالك وتحويلات'!$A$2:$A$3001,'إعدادات المخزون'!$B$4)-SUMIFS('هالك وتحويلات'!$E$2:$E$3001,'هالك وتحويلات'!$B$2:$B$3001,$B$2,'هالك وتحويلات'!$C$2:$C$3001,$A47,'هالك وتحويلات'!$D$2:$D$3001,"هالك",'هالك وتحويلات'!$A$2:$A$3001,'إعدادات المخزون'!$B$4)-SUMIFS('هالك وتحويلات'!$E$2:$E$3001,'هالك وتحويلات'!$B$2:$B$3001,$B$2,'هالك وتحويلات'!$C$2:$C$3001,$A47,'هالك وتحويلات'!$D$2:$D$3001,"ضيافة / أكل موظفين",'هالك وتحويلات'!$A$2:$A$3001,'إعدادات المخزون'!$B$4)-SUMPRODUCT('مصفوفة الاستهلاك'!$AP$2:$AP$190,'متجهات المبيعات'!$E$2:$E$190)/'مواد المخزون'!$D$42</f>
        <v>-2.66417</v>
      </c>
      <c r="AA47" s="109" t="n">
        <f aca="false">IF(K47="نعم",O47,0)</f>
        <v>0</v>
      </c>
      <c r="AB47" s="109" t="n">
        <f aca="false">IF(K47="نعم",J47*C47,0)</f>
        <v>0</v>
      </c>
      <c r="AC47" s="109" t="n">
        <f aca="false">IF(T47="",0,T47)</f>
        <v>0</v>
      </c>
    </row>
    <row r="48" customFormat="false" ht="15" hidden="false" customHeight="false" outlineLevel="0" collapsed="false">
      <c r="A48" s="34" t="str">
        <f aca="false">'مواد المخزون'!A43</f>
        <v>سكر بودرة</v>
      </c>
      <c r="B48" s="36" t="str">
        <f aca="false">'مواد المخزون'!B43</f>
        <v>كجم</v>
      </c>
      <c r="C48" s="109" t="n">
        <f aca="false">'مواد المخزون'!E43</f>
        <v>30.6593</v>
      </c>
      <c r="D48" s="110" t="n">
        <f aca="false">'جرد أول المدة'!D46</f>
        <v>7.764</v>
      </c>
      <c r="E48" s="110" t="n">
        <f aca="false">SUMIFS('مشتريات يومية'!$D$2:$D$4001,'مشتريات يومية'!$B$2:$B$4001,$B$2,'مشتريات يومية'!$C$2:$C$4001,$A48,'مشتريات يومية'!$A$2:$A$4001,"&gt;="&amp;'إعدادات المخزون'!$B$5,'مشتريات يومية'!$A$2:$A$4001,"&lt;="&amp;'إعدادات المخزون'!$B$4)</f>
        <v>68</v>
      </c>
      <c r="F48" s="110" t="n">
        <f aca="false">SUMIFS('هالك وتحويلات'!$E$2:$E$3001,'هالك وتحويلات'!$B$2:$B$3001,$B$2,'هالك وتحويلات'!$C$2:$C$3001,$A48,'هالك وتحويلات'!$D$2:$D$3001,"تحويل وارد",'هالك وتحويلات'!$A$2:$A$3001,"&gt;="&amp;'إعدادات المخزون'!$B$5,'هالك وتحويلات'!$A$2:$A$3001,"&lt;="&amp;'إعدادات المخزون'!$B$4)</f>
        <v>0</v>
      </c>
      <c r="G48" s="110" t="n">
        <f aca="false">SUMIFS('هالك وتحويلات'!$E$2:$E$3001,'هالك وتحويلات'!$B$2:$B$3001,$B$2,'هالك وتحويلات'!$C$2:$C$3001,$A48,'هالك وتحويلات'!$D$2:$D$3001,"تحويل صادر",'هالك وتحويلات'!$A$2:$A$3001,"&gt;="&amp;'إعدادات المخزون'!$B$5,'هالك وتحويلات'!$A$2:$A$3001,"&lt;="&amp;'إعدادات المخزون'!$B$4)</f>
        <v>0</v>
      </c>
      <c r="H48" s="110" t="n">
        <f aca="false">SUMPRODUCT('مصفوفة الاستهلاك'!$AQ$2:$AQ$190,'متجهات المبيعات'!$F$2:$F$190)/'مواد المخزون'!$D$43</f>
        <v>27.89998500002</v>
      </c>
      <c r="I48" s="110" t="n">
        <f aca="false">SUMIFS('هالك وتحويلات'!$E$2:$E$3001,'هالك وتحويلات'!$B$2:$B$3001,$B$2,'هالك وتحويلات'!$C$2:$C$3001,$A48,'هالك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وتحويلات'!$C$2:$C$3001,$A48,'هالك وتحويلات'!$D$2:$D$3001,"ضيافة / أكل موظفين",'هالك وتحويلات'!$A$2:$A$3001,"&gt;="&amp;'إعدادات المخزون'!$B$5,'هالك وتحويلات'!$A$2:$A$3001,"&lt;="&amp;'إعدادات المخزون'!$B$4)</f>
        <v>0</v>
      </c>
      <c r="J48" s="110" t="n">
        <f aca="false">D48+E48+F48-G48-H48-I48</f>
        <v>47.86401499998</v>
      </c>
      <c r="K48" s="36" t="str">
        <f aca="false">IF(COUNTIFS('جرد فعلي'!$B$2:$B$12001,$B$2,'جرد فعلي'!$C$2:$C$12001,$A48,'جرد فعلي'!$A$2:$A$12001,'إعدادات المخزون'!$B$4)&gt;0,"نعم","لا")</f>
        <v>لا</v>
      </c>
      <c r="L48" s="111" t="str">
        <f aca="false">IF(K48="نعم",SUMIFS('جرد فعلي'!$D$2:$D$12001,'جرد فعلي'!$B$2:$B$12001,$B$2,'جرد فعلي'!$C$2:$C$12001,$A48,'جرد فعلي'!$A$2:$A$12001,'إعدادات المخزون'!$B$4),"")</f>
        <v/>
      </c>
      <c r="M48" s="110" t="str">
        <f aca="false">IF(K48="نعم",L48-J48,"")</f>
        <v/>
      </c>
      <c r="N48" s="112" t="str">
        <f aca="false">IF(K48="نعم",IF(J48=0,IF(M48=0,0,SIGN(M48)),M48/ABS(J48)),"")</f>
        <v/>
      </c>
      <c r="O48" s="109" t="str">
        <f aca="false">IF(K48="نعم",M48*C48,"")</f>
        <v/>
      </c>
      <c r="P48" s="36" t="str">
        <f aca="false">IF(K48&lt;&gt;"نعم","لم يُجرد",IF(ABS(N48)&lt;='إعدادات المخزون'!$B$7,"مطابق",IF(M48&lt;0,"عجز","زيادة")))</f>
        <v>لم يُجرد</v>
      </c>
      <c r="Q48" s="110" t="n">
        <f aca="false">J48-Z48</f>
        <v>50.1890137499817</v>
      </c>
      <c r="R48" s="110" t="str">
        <f aca="false">IF(COUNTIFS('جرد فعلي'!$B$2:$B$12001,$B$2,'جرد فعلي'!$C$2:$C$12001,$A48,'جرد فعلي'!$A$2:$A$12001,'إعدادات المخزون'!$B$4-1)&gt;0,SUMIFS('جرد فعلي'!$D$2:$D$12001,'جرد فعلي'!$B$2:$B$12001,$B$2,'جرد فعلي'!$C$2:$C$12001,$A48,'جرد فعلي'!$A$2:$A$12001,'إعدادات المخزون'!$B$4-1),"")</f>
        <v/>
      </c>
      <c r="S48" s="110" t="str">
        <f aca="false">IF(AND(K48="نعم",R48&lt;&gt;""),(L48-J48)-(R48-Q48),"")</f>
        <v/>
      </c>
      <c r="T48" s="109" t="str">
        <f aca="false">IF(S48="","",S48*C48)</f>
        <v/>
      </c>
      <c r="U48" s="110" t="n">
        <f aca="false">IF(K48="نعم",L48,J48)</f>
        <v>47.86401499998</v>
      </c>
      <c r="V48" s="110" t="n">
        <f aca="false">SUMPRODUCT('مصفوفة الاستهلاك'!$AQ$2:$AQ$190,'متجهات المبيعات'!$G$2:$G$190)/'مواد المخزون'!$D$43/MAX(1,MIN('إعدادات المخزون'!$B$11,'إعدادات المخزون'!$B$4-'إعدادات المخزون'!$B$5+1))</f>
        <v>2.32499875000167</v>
      </c>
      <c r="W48" s="110" t="n">
        <f aca="false">IF(V48&lt;=0,0,ROUNDUP(MAX(0,V48*('إعدادات المخزون'!$B$8+'إعدادات المخزون'!$B$9+'إعدادات المخزون'!$B$10)-MAX(U48,0))/'مواد المخزون'!$F43,0)*'مواد المخزون'!$F43)</f>
        <v>0</v>
      </c>
      <c r="X48" s="109" t="n">
        <f aca="false">IF(AND(K48="نعم",O48&lt;0),-O48+ROW()*0.000000001,0)</f>
        <v>0</v>
      </c>
      <c r="Y48" s="109" t="n">
        <f aca="false">IF(AND(K48="نعم",O48&gt;0),O48+ROW()*0.000000001,0)</f>
        <v>0</v>
      </c>
      <c r="Z48" s="110" t="n">
        <f aca="false">SUMIFS('مشتريات يومية'!$D$2:$D$4001,'مشتريات يومية'!$B$2:$B$4001,$B$2,'مشتريات يومية'!$C$2:$C$4001,$A48,'مشتريات يومية'!$A$2:$A$4001,'إعدادات المخزون'!$B$4)+SUMIFS('هالك وتحويلات'!$E$2:$E$3001,'هالك وتحويلات'!$B$2:$B$3001,$B$2,'هالك وتحويلات'!$C$2:$C$3001,$A48,'هالك وتحويلات'!$D$2:$D$3001,"تحويل وارد",'هالك وتحويلات'!$A$2:$A$3001,'إعدادات المخزون'!$B$4)-SUMIFS('هالك وتحويلات'!$E$2:$E$3001,'هالك وتحويلات'!$B$2:$B$3001,$B$2,'هالك وتحويلات'!$C$2:$C$3001,$A48,'هالك وتحويلات'!$D$2:$D$3001,"تحويل صادر",'هالك وتحويلات'!$A$2:$A$3001,'إعدادات المخزون'!$B$4)-SUMIFS('هالك وتحويلات'!$E$2:$E$3001,'هالك وتحويلات'!$B$2:$B$3001,$B$2,'هالك وتحويلات'!$C$2:$C$3001,$A48,'هالك وتحويلات'!$D$2:$D$3001,"هالك",'هالك وتحويلات'!$A$2:$A$3001,'إعدادات المخزون'!$B$4)-SUMIFS('هالك وتحويلات'!$E$2:$E$3001,'هالك وتحويلات'!$B$2:$B$3001,$B$2,'هالك وتحويلات'!$C$2:$C$3001,$A48,'هالك وتحويلات'!$D$2:$D$3001,"ضيافة / أكل موظفين",'هالك وتحويلات'!$A$2:$A$3001,'إعدادات المخزون'!$B$4)-SUMPRODUCT('مصفوفة الاستهلاك'!$AQ$2:$AQ$190,'متجهات المبيعات'!$E$2:$E$190)/'مواد المخزون'!$D$43</f>
        <v>-2.32499875000167</v>
      </c>
      <c r="AA48" s="109" t="n">
        <f aca="false">IF(K48="نعم",O48,0)</f>
        <v>0</v>
      </c>
      <c r="AB48" s="109" t="n">
        <f aca="false">IF(K48="نعم",J48*C48,0)</f>
        <v>0</v>
      </c>
      <c r="AC48" s="109" t="n">
        <f aca="false">IF(T48="",0,T48)</f>
        <v>0</v>
      </c>
    </row>
    <row r="49" customFormat="false" ht="15" hidden="false" customHeight="false" outlineLevel="0" collapsed="false">
      <c r="A49" s="34" t="str">
        <f aca="false">'مواد المخزون'!A44</f>
        <v>سمنة الشيخ</v>
      </c>
      <c r="B49" s="36" t="str">
        <f aca="false">'مواد المخزون'!B44</f>
        <v>كجم</v>
      </c>
      <c r="C49" s="109" t="n">
        <f aca="false">'مواد المخزون'!E44</f>
        <v>380</v>
      </c>
      <c r="D49" s="110" t="n">
        <f aca="false">'جرد أول المدة'!D47</f>
        <v>1.798</v>
      </c>
      <c r="E49" s="110" t="n">
        <f aca="false">SUMIFS('مشتريات يومية'!$D$2:$D$4001,'مشتريات يومية'!$B$2:$B$4001,$B$2,'مشتريات يومية'!$C$2:$C$4001,$A49,'مشتريات يومية'!$A$2:$A$4001,"&gt;="&amp;'إعدادات المخزون'!$B$5,'مشتريات يومية'!$A$2:$A$4001,"&lt;="&amp;'إعدادات المخزون'!$B$4)</f>
        <v>4</v>
      </c>
      <c r="F49" s="110" t="n">
        <f aca="false">SUMIFS('هالك وتحويلات'!$E$2:$E$3001,'هالك وتحويلات'!$B$2:$B$3001,$B$2,'هالك وتحويلات'!$C$2:$C$3001,$A49,'هالك وتحويلات'!$D$2:$D$3001,"تحويل وارد",'هالك وتحويلات'!$A$2:$A$3001,"&gt;="&amp;'إعدادات المخزون'!$B$5,'هالك وتحويلات'!$A$2:$A$3001,"&lt;="&amp;'إعدادات المخزون'!$B$4)</f>
        <v>0</v>
      </c>
      <c r="G49" s="110" t="n">
        <f aca="false">SUMIFS('هالك وتحويلات'!$E$2:$E$3001,'هالك وتحويلات'!$B$2:$B$3001,$B$2,'هالك وتحويلات'!$C$2:$C$3001,$A49,'هالك وتحويلات'!$D$2:$D$3001,"تحويل صادر",'هالك وتحويلات'!$A$2:$A$3001,"&gt;="&amp;'إعدادات المخزون'!$B$5,'هالك وتحويلات'!$A$2:$A$3001,"&lt;="&amp;'إعدادات المخزون'!$B$4)</f>
        <v>0</v>
      </c>
      <c r="H49" s="110" t="n">
        <f aca="false">SUMPRODUCT('مصفوفة الاستهلاك'!$AR$2:$AR$190,'متجهات المبيعات'!$F$2:$F$190)/'مواد المخزون'!$D$44</f>
        <v>0.320016</v>
      </c>
      <c r="I49" s="110" t="n">
        <f aca="false">SUMIFS('هالك وتحويلات'!$E$2:$E$3001,'هالك وتحويلات'!$B$2:$B$3001,$B$2,'هالك وتحويلات'!$C$2:$C$3001,$A49,'هالك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وتحويلات'!$C$2:$C$3001,$A49,'هالك وتحويلات'!$D$2:$D$3001,"ضيافة / أكل موظفين",'هالك وتحويلات'!$A$2:$A$3001,"&gt;="&amp;'إعدادات المخزون'!$B$5,'هالك وتحويلات'!$A$2:$A$3001,"&lt;="&amp;'إعدادات المخزون'!$B$4)</f>
        <v>0</v>
      </c>
      <c r="J49" s="110" t="n">
        <f aca="false">D49+E49+F49-G49-H49-I49</f>
        <v>5.477984</v>
      </c>
      <c r="K49" s="36" t="str">
        <f aca="false">IF(COUNTIFS('جرد فعلي'!$B$2:$B$12001,$B$2,'جرد فعلي'!$C$2:$C$12001,$A49,'جرد فعلي'!$A$2:$A$12001,'إعدادات المخزون'!$B$4)&gt;0,"نعم","لا")</f>
        <v>لا</v>
      </c>
      <c r="L49" s="111" t="str">
        <f aca="false">IF(K49="نعم",SUMIFS('جرد فعلي'!$D$2:$D$12001,'جرد فعلي'!$B$2:$B$12001,$B$2,'جرد فعلي'!$C$2:$C$12001,$A49,'جرد فعلي'!$A$2:$A$12001,'إعدادات المخزون'!$B$4),"")</f>
        <v/>
      </c>
      <c r="M49" s="110" t="str">
        <f aca="false">IF(K49="نعم",L49-J49,"")</f>
        <v/>
      </c>
      <c r="N49" s="112" t="str">
        <f aca="false">IF(K49="نعم",IF(J49=0,IF(M49=0,0,SIGN(M49)),M49/ABS(J49)),"")</f>
        <v/>
      </c>
      <c r="O49" s="109" t="str">
        <f aca="false">IF(K49="نعم",M49*C49,"")</f>
        <v/>
      </c>
      <c r="P49" s="36" t="str">
        <f aca="false">IF(K49&lt;&gt;"نعم","لم يُجرد",IF(ABS(N49)&lt;='إعدادات المخزون'!$B$7,"مطابق",IF(M49&lt;0,"عجز","زيادة")))</f>
        <v>لم يُجرد</v>
      </c>
      <c r="Q49" s="110" t="n">
        <f aca="false">J49-Z49</f>
        <v>5.504652</v>
      </c>
      <c r="R49" s="110" t="str">
        <f aca="false">IF(COUNTIFS('جرد فعلي'!$B$2:$B$12001,$B$2,'جرد فعلي'!$C$2:$C$12001,$A49,'جرد فعلي'!$A$2:$A$12001,'إعدادات المخزون'!$B$4-1)&gt;0,SUMIFS('جرد فعلي'!$D$2:$D$12001,'جرد فعلي'!$B$2:$B$12001,$B$2,'جرد فعلي'!$C$2:$C$12001,$A49,'جرد فعلي'!$A$2:$A$12001,'إعدادات المخزون'!$B$4-1),"")</f>
        <v/>
      </c>
      <c r="S49" s="110" t="str">
        <f aca="false">IF(AND(K49="نعم",R49&lt;&gt;""),(L49-J49)-(R49-Q49),"")</f>
        <v/>
      </c>
      <c r="T49" s="109" t="str">
        <f aca="false">IF(S49="","",S49*C49)</f>
        <v/>
      </c>
      <c r="U49" s="110" t="n">
        <f aca="false">IF(K49="نعم",L49,J49)</f>
        <v>5.477984</v>
      </c>
      <c r="V49" s="110" t="n">
        <f aca="false">SUMPRODUCT('مصفوفة الاستهلاك'!$AR$2:$AR$190,'متجهات المبيعات'!$G$2:$G$190)/'مواد المخزون'!$D$44/MAX(1,MIN('إعدادات المخزون'!$B$11,'إعدادات المخزون'!$B$4-'إعدادات المخزون'!$B$5+1))</f>
        <v>0.026668</v>
      </c>
      <c r="W49" s="110" t="n">
        <f aca="false">IF(V49&lt;=0,0,ROUNDUP(MAX(0,V49*('إعدادات المخزون'!$B$8+'إعدادات المخزون'!$B$9+'إعدادات المخزون'!$B$10)-MAX(U49,0))/'مواد المخزون'!$F44,0)*'مواد المخزون'!$F44)</f>
        <v>0</v>
      </c>
      <c r="X49" s="109" t="n">
        <f aca="false">IF(AND(K49="نعم",O49&lt;0),-O49+ROW()*0.000000001,0)</f>
        <v>0</v>
      </c>
      <c r="Y49" s="109" t="n">
        <f aca="false">IF(AND(K49="نعم",O49&gt;0),O49+ROW()*0.000000001,0)</f>
        <v>0</v>
      </c>
      <c r="Z49" s="110" t="n">
        <f aca="false">SUMIFS('مشتريات يومية'!$D$2:$D$4001,'مشتريات يومية'!$B$2:$B$4001,$B$2,'مشتريات يومية'!$C$2:$C$4001,$A49,'مشتريات يومية'!$A$2:$A$4001,'إعدادات المخزون'!$B$4)+SUMIFS('هالك وتحويلات'!$E$2:$E$3001,'هالك وتحويلات'!$B$2:$B$3001,$B$2,'هالك وتحويلات'!$C$2:$C$3001,$A49,'هالك وتحويلات'!$D$2:$D$3001,"تحويل وارد",'هالك وتحويلات'!$A$2:$A$3001,'إعدادات المخزون'!$B$4)-SUMIFS('هالك وتحويلات'!$E$2:$E$3001,'هالك وتحويلات'!$B$2:$B$3001,$B$2,'هالك وتحويلات'!$C$2:$C$3001,$A49,'هالك وتحويلات'!$D$2:$D$3001,"تحويل صادر",'هالك وتحويلات'!$A$2:$A$3001,'إعدادات المخزون'!$B$4)-SUMIFS('هالك وتحويلات'!$E$2:$E$3001,'هالك وتحويلات'!$B$2:$B$3001,$B$2,'هالك وتحويلات'!$C$2:$C$3001,$A49,'هالك وتحويلات'!$D$2:$D$3001,"هالك",'هالك وتحويلات'!$A$2:$A$3001,'إعدادات المخزون'!$B$4)-SUMIFS('هالك وتحويلات'!$E$2:$E$3001,'هالك وتحويلات'!$B$2:$B$3001,$B$2,'هالك وتحويلات'!$C$2:$C$3001,$A49,'هالك وتحويلات'!$D$2:$D$3001,"ضيافة / أكل موظفين",'هالك وتحويلات'!$A$2:$A$3001,'إعدادات المخزون'!$B$4)-SUMPRODUCT('مصفوفة الاستهلاك'!$AR$2:$AR$190,'متجهات المبيعات'!$E$2:$E$190)/'مواد المخزون'!$D$44</f>
        <v>-0.026668</v>
      </c>
      <c r="AA49" s="109" t="n">
        <f aca="false">IF(K49="نعم",O49,0)</f>
        <v>0</v>
      </c>
      <c r="AB49" s="109" t="n">
        <f aca="false">IF(K49="نعم",J49*C49,0)</f>
        <v>0</v>
      </c>
      <c r="AC49" s="109" t="n">
        <f aca="false">IF(T49="",0,T49)</f>
        <v>0</v>
      </c>
    </row>
    <row r="50" customFormat="false" ht="15" hidden="false" customHeight="false" outlineLevel="0" collapsed="false">
      <c r="A50" s="34" t="str">
        <f aca="false">'مواد المخزون'!A45</f>
        <v>سيلفر رول</v>
      </c>
      <c r="B50" s="36" t="str">
        <f aca="false">'مواد المخزون'!B45</f>
        <v>رول</v>
      </c>
      <c r="C50" s="109" t="n">
        <f aca="false">'مواد المخزون'!E45</f>
        <v>503.78</v>
      </c>
      <c r="D50" s="110" t="n">
        <f aca="false">'جرد أول المدة'!D48</f>
        <v>0.985</v>
      </c>
      <c r="E50" s="110" t="n">
        <f aca="false">SUMIFS('مشتريات يومية'!$D$2:$D$4001,'مشتريات يومية'!$B$2:$B$4001,$B$2,'مشتريات يومية'!$C$2:$C$4001,$A50,'مشتريات يومية'!$A$2:$A$4001,"&gt;="&amp;'إعدادات المخزون'!$B$5,'مشتريات يومية'!$A$2:$A$4001,"&lt;="&amp;'إعدادات المخزون'!$B$4)</f>
        <v>1</v>
      </c>
      <c r="F50" s="110" t="n">
        <f aca="false">SUMIFS('هالك وتحويلات'!$E$2:$E$3001,'هالك وتحويلات'!$B$2:$B$3001,$B$2,'هالك وتحويلات'!$C$2:$C$3001,$A50,'هالك وتحويلات'!$D$2:$D$3001,"تحويل وارد",'هالك وتحويلات'!$A$2:$A$3001,"&gt;="&amp;'إعدادات المخزون'!$B$5,'هالك وتحويلات'!$A$2:$A$3001,"&lt;="&amp;'إعدادات المخزون'!$B$4)</f>
        <v>0</v>
      </c>
      <c r="G50" s="110" t="n">
        <f aca="false">SUMIFS('هالك وتحويلات'!$E$2:$E$3001,'هالك وتحويلات'!$B$2:$B$3001,$B$2,'هالك وتحويلات'!$C$2:$C$3001,$A50,'هالك وتحويلات'!$D$2:$D$3001,"تحويل صادر",'هالك وتحويلات'!$A$2:$A$3001,"&gt;="&amp;'إعدادات المخزون'!$B$5,'هالك وتحويلات'!$A$2:$A$3001,"&lt;="&amp;'إعدادات المخزون'!$B$4)</f>
        <v>0</v>
      </c>
      <c r="H50" s="110" t="n">
        <f aca="false">SUMPRODUCT('مصفوفة الاستهلاك'!$AS$2:$AS$190,'متجهات المبيعات'!$F$2:$F$190)/'مواد المخزون'!$D$45</f>
        <v>0.300006</v>
      </c>
      <c r="I50" s="110" t="n">
        <f aca="false">SUMIFS('هالك وتحويلات'!$E$2:$E$3001,'هالك وتحويلات'!$B$2:$B$3001,$B$2,'هالك وتحويلات'!$C$2:$C$3001,$A50,'هالك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وتحويلات'!$C$2:$C$3001,$A50,'هالك وتحويلات'!$D$2:$D$3001,"ضيافة / أكل موظفين",'هالك وتحويلات'!$A$2:$A$3001,"&gt;="&amp;'إعدادات المخزون'!$B$5,'هالك وتحويلات'!$A$2:$A$3001,"&lt;="&amp;'إعدادات المخزون'!$B$4)</f>
        <v>0</v>
      </c>
      <c r="J50" s="110" t="n">
        <f aca="false">D50+E50+F50-G50-H50-I50</f>
        <v>1.684994</v>
      </c>
      <c r="K50" s="36" t="str">
        <f aca="false">IF(COUNTIFS('جرد فعلي'!$B$2:$B$12001,$B$2,'جرد فعلي'!$C$2:$C$12001,$A50,'جرد فعلي'!$A$2:$A$12001,'إعدادات المخزون'!$B$4)&gt;0,"نعم","لا")</f>
        <v>لا</v>
      </c>
      <c r="L50" s="111" t="str">
        <f aca="false">IF(K50="نعم",SUMIFS('جرد فعلي'!$D$2:$D$12001,'جرد فعلي'!$B$2:$B$12001,$B$2,'جرد فعلي'!$C$2:$C$12001,$A50,'جرد فعلي'!$A$2:$A$12001,'إعدادات المخزون'!$B$4),"")</f>
        <v/>
      </c>
      <c r="M50" s="110" t="str">
        <f aca="false">IF(K50="نعم",L50-J50,"")</f>
        <v/>
      </c>
      <c r="N50" s="112" t="str">
        <f aca="false">IF(K50="نعم",IF(J50=0,IF(M50=0,0,SIGN(M50)),M50/ABS(J50)),"")</f>
        <v/>
      </c>
      <c r="O50" s="109" t="str">
        <f aca="false">IF(K50="نعم",M50*C50,"")</f>
        <v/>
      </c>
      <c r="P50" s="36" t="str">
        <f aca="false">IF(K50&lt;&gt;"نعم","لم يُجرد",IF(ABS(N50)&lt;='إعدادات المخزون'!$B$7,"مطابق",IF(M50&lt;0,"عجز","زيادة")))</f>
        <v>لم يُجرد</v>
      </c>
      <c r="Q50" s="110" t="n">
        <f aca="false">J50-Z50</f>
        <v>1.7099945</v>
      </c>
      <c r="R50" s="110" t="str">
        <f aca="false">IF(COUNTIFS('جرد فعلي'!$B$2:$B$12001,$B$2,'جرد فعلي'!$C$2:$C$12001,$A50,'جرد فعلي'!$A$2:$A$12001,'إعدادات المخزون'!$B$4-1)&gt;0,SUMIFS('جرد فعلي'!$D$2:$D$12001,'جرد فعلي'!$B$2:$B$12001,$B$2,'جرد فعلي'!$C$2:$C$12001,$A50,'جرد فعلي'!$A$2:$A$12001,'إعدادات المخزون'!$B$4-1),"")</f>
        <v/>
      </c>
      <c r="S50" s="110" t="str">
        <f aca="false">IF(AND(K50="نعم",R50&lt;&gt;""),(L50-J50)-(R50-Q50),"")</f>
        <v/>
      </c>
      <c r="T50" s="109" t="str">
        <f aca="false">IF(S50="","",S50*C50)</f>
        <v/>
      </c>
      <c r="U50" s="110" t="n">
        <f aca="false">IF(K50="نعم",L50,J50)</f>
        <v>1.684994</v>
      </c>
      <c r="V50" s="110" t="n">
        <f aca="false">SUMPRODUCT('مصفوفة الاستهلاك'!$AS$2:$AS$190,'متجهات المبيعات'!$G$2:$G$190)/'مواد المخزون'!$D$45/MAX(1,MIN('إعدادات المخزون'!$B$11,'إعدادات المخزون'!$B$4-'إعدادات المخزون'!$B$5+1))</f>
        <v>0.0250005</v>
      </c>
      <c r="W50" s="110" t="n">
        <f aca="false">IF(V50&lt;=0,0,ROUNDUP(MAX(0,V50*('إعدادات المخزون'!$B$8+'إعدادات المخزون'!$B$9+'إعدادات المخزون'!$B$10)-MAX(U50,0))/'مواد المخزون'!$F45,0)*'مواد المخزون'!$F45)</f>
        <v>0</v>
      </c>
      <c r="X50" s="109" t="n">
        <f aca="false">IF(AND(K50="نعم",O50&lt;0),-O50+ROW()*0.000000001,0)</f>
        <v>0</v>
      </c>
      <c r="Y50" s="109" t="n">
        <f aca="false">IF(AND(K50="نعم",O50&gt;0),O50+ROW()*0.000000001,0)</f>
        <v>0</v>
      </c>
      <c r="Z50" s="110" t="n">
        <f aca="false">SUMIFS('مشتريات يومية'!$D$2:$D$4001,'مشتريات يومية'!$B$2:$B$4001,$B$2,'مشتريات يومية'!$C$2:$C$4001,$A50,'مشتريات يومية'!$A$2:$A$4001,'إعدادات المخزون'!$B$4)+SUMIFS('هالك وتحويلات'!$E$2:$E$3001,'هالك وتحويلات'!$B$2:$B$3001,$B$2,'هالك وتحويلات'!$C$2:$C$3001,$A50,'هالك وتحويلات'!$D$2:$D$3001,"تحويل وارد",'هالك وتحويلات'!$A$2:$A$3001,'إعدادات المخزون'!$B$4)-SUMIFS('هالك وتحويلات'!$E$2:$E$3001,'هالك وتحويلات'!$B$2:$B$3001,$B$2,'هالك وتحويلات'!$C$2:$C$3001,$A50,'هالك وتحويلات'!$D$2:$D$3001,"تحويل صادر",'هالك وتحويلات'!$A$2:$A$3001,'إعدادات المخزون'!$B$4)-SUMIFS('هالك وتحويلات'!$E$2:$E$3001,'هالك وتحويلات'!$B$2:$B$3001,$B$2,'هالك وتحويلات'!$C$2:$C$3001,$A50,'هالك وتحويلات'!$D$2:$D$3001,"هالك",'هالك وتحويلات'!$A$2:$A$3001,'إعدادات المخزون'!$B$4)-SUMIFS('هالك وتحويلات'!$E$2:$E$3001,'هالك وتحويلات'!$B$2:$B$3001,$B$2,'هالك وتحويلات'!$C$2:$C$3001,$A50,'هالك وتحويلات'!$D$2:$D$3001,"ضيافة / أكل موظفين",'هالك وتحويلات'!$A$2:$A$3001,'إعدادات المخزون'!$B$4)-SUMPRODUCT('مصفوفة الاستهلاك'!$AS$2:$AS$190,'متجهات المبيعات'!$E$2:$E$190)/'مواد المخزون'!$D$45</f>
        <v>-0.0250005</v>
      </c>
      <c r="AA50" s="109" t="n">
        <f aca="false">IF(K50="نعم",O50,0)</f>
        <v>0</v>
      </c>
      <c r="AB50" s="109" t="n">
        <f aca="false">IF(K50="نعم",J50*C50,0)</f>
        <v>0</v>
      </c>
      <c r="AC50" s="109" t="n">
        <f aca="false">IF(T50="",0,T50)</f>
        <v>0</v>
      </c>
    </row>
    <row r="51" customFormat="false" ht="15" hidden="false" customHeight="false" outlineLevel="0" collapsed="false">
      <c r="A51" s="34" t="str">
        <f aca="false">'مواد المخزون'!A46</f>
        <v>شرايح بلاستيك وسط</v>
      </c>
      <c r="B51" s="36" t="str">
        <f aca="false">'مواد المخزون'!B46</f>
        <v>كجم</v>
      </c>
      <c r="C51" s="109" t="n">
        <f aca="false">'مواد المخزون'!E46</f>
        <v>135</v>
      </c>
      <c r="D51" s="110" t="n">
        <f aca="false">'جرد أول المدة'!D49</f>
        <v>0.5</v>
      </c>
      <c r="E51" s="110" t="n">
        <f aca="false">SUMIFS('مشتريات يومية'!$D$2:$D$4001,'مشتريات يومية'!$B$2:$B$4001,$B$2,'مشتريات يومية'!$C$2:$C$4001,$A51,'مشتريات يومية'!$A$2:$A$4001,"&gt;="&amp;'إعدادات المخزون'!$B$5,'مشتريات يومية'!$A$2:$A$4001,"&lt;="&amp;'إعدادات المخزون'!$B$4)</f>
        <v>0</v>
      </c>
      <c r="F51" s="110" t="n">
        <f aca="false">SUMIFS('هالك وتحويلات'!$E$2:$E$3001,'هالك وتحويلات'!$B$2:$B$3001,$B$2,'هالك وتحويلات'!$C$2:$C$3001,$A51,'هالك وتحويلات'!$D$2:$D$3001,"تحويل وارد",'هالك وتحويلات'!$A$2:$A$3001,"&gt;="&amp;'إعدادات المخزون'!$B$5,'هالك وتحويلات'!$A$2:$A$3001,"&lt;="&amp;'إعدادات المخزون'!$B$4)</f>
        <v>0</v>
      </c>
      <c r="G51" s="110" t="n">
        <f aca="false">SUMIFS('هالك وتحويلات'!$E$2:$E$3001,'هالك وتحويلات'!$B$2:$B$3001,$B$2,'هالك وتحويلات'!$C$2:$C$3001,$A51,'هالك وتحويلات'!$D$2:$D$3001,"تحويل صادر",'هالك وتحويلات'!$A$2:$A$3001,"&gt;="&amp;'إعدادات المخزون'!$B$5,'هالك وتحويلات'!$A$2:$A$3001,"&lt;="&amp;'إعدادات المخزون'!$B$4)</f>
        <v>0</v>
      </c>
      <c r="H51" s="110" t="n">
        <f aca="false">SUMPRODUCT('مصفوفة الاستهلاك'!$AT$2:$AT$190,'متجهات المبيعات'!$F$2:$F$190)/'مواد المخزون'!$D$46</f>
        <v>2.7</v>
      </c>
      <c r="I51" s="110" t="n">
        <f aca="false">SUMIFS('هالك وتحويلات'!$E$2:$E$3001,'هالك وتحويلات'!$B$2:$B$3001,$B$2,'هالك وتحويلات'!$C$2:$C$3001,$A51,'هالك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وتحويلات'!$C$2:$C$3001,$A51,'هالك وتحويلات'!$D$2:$D$3001,"ضيافة / أكل موظفين",'هالك وتحويلات'!$A$2:$A$3001,"&gt;="&amp;'إعدادات المخزون'!$B$5,'هالك وتحويلات'!$A$2:$A$3001,"&lt;="&amp;'إعدادات المخزون'!$B$4)</f>
        <v>0</v>
      </c>
      <c r="J51" s="110" t="n">
        <f aca="false">D51+E51+F51-G51-H51-I51</f>
        <v>-2.2</v>
      </c>
      <c r="K51" s="36" t="str">
        <f aca="false">IF(COUNTIFS('جرد فعلي'!$B$2:$B$12001,$B$2,'جرد فعلي'!$C$2:$C$12001,$A51,'جرد فعلي'!$A$2:$A$12001,'إعدادات المخزون'!$B$4)&gt;0,"نعم","لا")</f>
        <v>لا</v>
      </c>
      <c r="L51" s="111" t="str">
        <f aca="false">IF(K51="نعم",SUMIFS('جرد فعلي'!$D$2:$D$12001,'جرد فعلي'!$B$2:$B$12001,$B$2,'جرد فعلي'!$C$2:$C$12001,$A51,'جرد فعلي'!$A$2:$A$12001,'إعدادات المخزون'!$B$4),"")</f>
        <v/>
      </c>
      <c r="M51" s="110" t="str">
        <f aca="false">IF(K51="نعم",L51-J51,"")</f>
        <v/>
      </c>
      <c r="N51" s="112" t="str">
        <f aca="false">IF(K51="نعم",IF(J51=0,IF(M51=0,0,SIGN(M51)),M51/ABS(J51)),"")</f>
        <v/>
      </c>
      <c r="O51" s="109" t="str">
        <f aca="false">IF(K51="نعم",M51*C51,"")</f>
        <v/>
      </c>
      <c r="P51" s="36" t="str">
        <f aca="false">IF(K51&lt;&gt;"نعم","لم يُجرد",IF(ABS(N51)&lt;='إعدادات المخزون'!$B$7,"مطابق",IF(M51&lt;0,"عجز","زيادة")))</f>
        <v>لم يُجرد</v>
      </c>
      <c r="Q51" s="110" t="n">
        <f aca="false">J51-Z51</f>
        <v>-1.975</v>
      </c>
      <c r="R51" s="110" t="str">
        <f aca="false">IF(COUNTIFS('جرد فعلي'!$B$2:$B$12001,$B$2,'جرد فعلي'!$C$2:$C$12001,$A51,'جرد فعلي'!$A$2:$A$12001,'إعدادات المخزون'!$B$4-1)&gt;0,SUMIFS('جرد فعلي'!$D$2:$D$12001,'جرد فعلي'!$B$2:$B$12001,$B$2,'جرد فعلي'!$C$2:$C$12001,$A51,'جرد فعلي'!$A$2:$A$12001,'إعدادات المخزون'!$B$4-1),"")</f>
        <v/>
      </c>
      <c r="S51" s="110" t="str">
        <f aca="false">IF(AND(K51="نعم",R51&lt;&gt;""),(L51-J51)-(R51-Q51),"")</f>
        <v/>
      </c>
      <c r="T51" s="109" t="str">
        <f aca="false">IF(S51="","",S51*C51)</f>
        <v/>
      </c>
      <c r="U51" s="110" t="n">
        <f aca="false">IF(K51="نعم",L51,J51)</f>
        <v>-2.2</v>
      </c>
      <c r="V51" s="110" t="n">
        <f aca="false">SUMPRODUCT('مصفوفة الاستهلاك'!$AT$2:$AT$190,'متجهات المبيعات'!$G$2:$G$190)/'مواد المخزون'!$D$46/MAX(1,MIN('إعدادات المخزون'!$B$11,'إعدادات المخزون'!$B$4-'إعدادات المخزون'!$B$5+1))</f>
        <v>0.225</v>
      </c>
      <c r="W51" s="110" t="n">
        <f aca="false">IF(V51&lt;=0,0,ROUNDUP(MAX(0,V51*('إعدادات المخزون'!$B$8+'إعدادات المخزون'!$B$9+'إعدادات المخزون'!$B$10)-MAX(U51,0))/'مواد المخزون'!$F46,0)*'مواد المخزون'!$F46)</f>
        <v>1</v>
      </c>
      <c r="X51" s="109" t="n">
        <f aca="false">IF(AND(K51="نعم",O51&lt;0),-O51+ROW()*0.000000001,0)</f>
        <v>0</v>
      </c>
      <c r="Y51" s="109" t="n">
        <f aca="false">IF(AND(K51="نعم",O51&gt;0),O51+ROW()*0.000000001,0)</f>
        <v>0</v>
      </c>
      <c r="Z51" s="110" t="n">
        <f aca="false">SUMIFS('مشتريات يومية'!$D$2:$D$4001,'مشتريات يومية'!$B$2:$B$4001,$B$2,'مشتريات يومية'!$C$2:$C$4001,$A51,'مشتريات يومية'!$A$2:$A$4001,'إعدادات المخزون'!$B$4)+SUMIFS('هالك وتحويلات'!$E$2:$E$3001,'هالك وتحويلات'!$B$2:$B$3001,$B$2,'هالك وتحويلات'!$C$2:$C$3001,$A51,'هالك وتحويلات'!$D$2:$D$3001,"تحويل وارد",'هالك وتحويلات'!$A$2:$A$3001,'إعدادات المخزون'!$B$4)-SUMIFS('هالك وتحويلات'!$E$2:$E$3001,'هالك وتحويلات'!$B$2:$B$3001,$B$2,'هالك وتحويلات'!$C$2:$C$3001,$A51,'هالك وتحويلات'!$D$2:$D$3001,"تحويل صادر",'هالك وتحويلات'!$A$2:$A$3001,'إعدادات المخزون'!$B$4)-SUMIFS('هالك وتحويلات'!$E$2:$E$3001,'هالك وتحويلات'!$B$2:$B$3001,$B$2,'هالك وتحويلات'!$C$2:$C$3001,$A51,'هالك وتحويلات'!$D$2:$D$3001,"هالك",'هالك وتحويلات'!$A$2:$A$3001,'إعدادات المخزون'!$B$4)-SUMIFS('هالك وتحويلات'!$E$2:$E$3001,'هالك وتحويلات'!$B$2:$B$3001,$B$2,'هالك وتحويلات'!$C$2:$C$3001,$A51,'هالك وتحويلات'!$D$2:$D$3001,"ضيافة / أكل موظفين",'هالك وتحويلات'!$A$2:$A$3001,'إعدادات المخزون'!$B$4)-SUMPRODUCT('مصفوفة الاستهلاك'!$AT$2:$AT$190,'متجهات المبيعات'!$E$2:$E$190)/'مواد المخزون'!$D$46</f>
        <v>-0.225</v>
      </c>
      <c r="AA51" s="109" t="n">
        <f aca="false">IF(K51="نعم",O51,0)</f>
        <v>0</v>
      </c>
      <c r="AB51" s="109" t="n">
        <f aca="false">IF(K51="نعم",J51*C51,0)</f>
        <v>0</v>
      </c>
      <c r="AC51" s="109" t="n">
        <f aca="false">IF(T51="",0,T51)</f>
        <v>0</v>
      </c>
    </row>
    <row r="52" customFormat="false" ht="15" hidden="false" customHeight="false" outlineLevel="0" collapsed="false">
      <c r="A52" s="34" t="str">
        <f aca="false">'مواد المخزون'!A47</f>
        <v>شوك بلاستيك</v>
      </c>
      <c r="B52" s="36" t="str">
        <f aca="false">'مواد المخزون'!B47</f>
        <v>قطعة</v>
      </c>
      <c r="C52" s="109" t="n">
        <f aca="false">'مواد المخزون'!E47</f>
        <v>0.3</v>
      </c>
      <c r="D52" s="110" t="n">
        <f aca="false">'جرد أول المدة'!D50</f>
        <v>2800</v>
      </c>
      <c r="E52" s="110" t="n">
        <f aca="false">SUMIFS('مشتريات يومية'!$D$2:$D$4001,'مشتريات يومية'!$B$2:$B$4001,$B$2,'مشتريات يومية'!$C$2:$C$4001,$A52,'مشتريات يومية'!$A$2:$A$4001,"&gt;="&amp;'إعدادات المخزون'!$B$5,'مشتريات يومية'!$A$2:$A$4001,"&lt;="&amp;'إعدادات المخزون'!$B$4)</f>
        <v>0</v>
      </c>
      <c r="F52" s="110" t="n">
        <f aca="false">SUMIFS('هالك وتحويلات'!$E$2:$E$3001,'هالك وتحويلات'!$B$2:$B$3001,$B$2,'هالك وتحويلات'!$C$2:$C$3001,$A52,'هالك وتحويلات'!$D$2:$D$3001,"تحويل وارد",'هالك وتحويلات'!$A$2:$A$3001,"&gt;="&amp;'إعدادات المخزون'!$B$5,'هالك وتحويلات'!$A$2:$A$3001,"&lt;="&amp;'إعدادات المخزون'!$B$4)</f>
        <v>0</v>
      </c>
      <c r="G52" s="110" t="n">
        <f aca="false">SUMIFS('هالك وتحويلات'!$E$2:$E$3001,'هالك وتحويلات'!$B$2:$B$3001,$B$2,'هالك وتحويلات'!$C$2:$C$3001,$A52,'هالك وتحويلات'!$D$2:$D$3001,"تحويل صادر",'هالك وتحويلات'!$A$2:$A$3001,"&gt;="&amp;'إعدادات المخزون'!$B$5,'هالك وتحويلات'!$A$2:$A$3001,"&lt;="&amp;'إعدادات المخزون'!$B$4)</f>
        <v>0</v>
      </c>
      <c r="H52" s="110" t="n">
        <f aca="false">SUMPRODUCT('مصفوفة الاستهلاك'!$AU$2:$AU$190,'متجهات المبيعات'!$F$2:$F$190)/'مواد المخزون'!$D$47</f>
        <v>712.9992</v>
      </c>
      <c r="I52" s="110" t="n">
        <f aca="false">SUMIFS('هالك وتحويلات'!$E$2:$E$3001,'هالك وتحويلات'!$B$2:$B$3001,$B$2,'هالك وتحويلات'!$C$2:$C$3001,$A52,'هالك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وتحويلات'!$C$2:$C$3001,$A52,'هالك وتحويلات'!$D$2:$D$3001,"ضيافة / أكل موظفين",'هالك وتحويلات'!$A$2:$A$3001,"&gt;="&amp;'إعدادات المخزون'!$B$5,'هالك وتحويلات'!$A$2:$A$3001,"&lt;="&amp;'إعدادات المخزون'!$B$4)</f>
        <v>0</v>
      </c>
      <c r="J52" s="110" t="n">
        <f aca="false">D52+E52+F52-G52-H52-I52</f>
        <v>2087.0008</v>
      </c>
      <c r="K52" s="36" t="str">
        <f aca="false">IF(COUNTIFS('جرد فعلي'!$B$2:$B$12001,$B$2,'جرد فعلي'!$C$2:$C$12001,$A52,'جرد فعلي'!$A$2:$A$12001,'إعدادات المخزون'!$B$4)&gt;0,"نعم","لا")</f>
        <v>لا</v>
      </c>
      <c r="L52" s="111" t="str">
        <f aca="false">IF(K52="نعم",SUMIFS('جرد فعلي'!$D$2:$D$12001,'جرد فعلي'!$B$2:$B$12001,$B$2,'جرد فعلي'!$C$2:$C$12001,$A52,'جرد فعلي'!$A$2:$A$12001,'إعدادات المخزون'!$B$4),"")</f>
        <v/>
      </c>
      <c r="M52" s="110" t="str">
        <f aca="false">IF(K52="نعم",L52-J52,"")</f>
        <v/>
      </c>
      <c r="N52" s="112" t="str">
        <f aca="false">IF(K52="نعم",IF(J52=0,IF(M52=0,0,SIGN(M52)),M52/ABS(J52)),"")</f>
        <v/>
      </c>
      <c r="O52" s="109" t="str">
        <f aca="false">IF(K52="نعم",M52*C52,"")</f>
        <v/>
      </c>
      <c r="P52" s="36" t="str">
        <f aca="false">IF(K52&lt;&gt;"نعم","لم يُجرد",IF(ABS(N52)&lt;='إعدادات المخزون'!$B$7,"مطابق",IF(M52&lt;0,"عجز","زيادة")))</f>
        <v>لم يُجرد</v>
      </c>
      <c r="Q52" s="110" t="n">
        <f aca="false">J52-Z52</f>
        <v>2146.4174</v>
      </c>
      <c r="R52" s="110" t="str">
        <f aca="false">IF(COUNTIFS('جرد فعلي'!$B$2:$B$12001,$B$2,'جرد فعلي'!$C$2:$C$12001,$A52,'جرد فعلي'!$A$2:$A$12001,'إعدادات المخزون'!$B$4-1)&gt;0,SUMIFS('جرد فعلي'!$D$2:$D$12001,'جرد فعلي'!$B$2:$B$12001,$B$2,'جرد فعلي'!$C$2:$C$12001,$A52,'جرد فعلي'!$A$2:$A$12001,'إعدادات المخزون'!$B$4-1),"")</f>
        <v/>
      </c>
      <c r="S52" s="110" t="str">
        <f aca="false">IF(AND(K52="نعم",R52&lt;&gt;""),(L52-J52)-(R52-Q52),"")</f>
        <v/>
      </c>
      <c r="T52" s="109" t="str">
        <f aca="false">IF(S52="","",S52*C52)</f>
        <v/>
      </c>
      <c r="U52" s="110" t="n">
        <f aca="false">IF(K52="نعم",L52,J52)</f>
        <v>2087.0008</v>
      </c>
      <c r="V52" s="110" t="n">
        <f aca="false">SUMPRODUCT('مصفوفة الاستهلاك'!$AU$2:$AU$190,'متجهات المبيعات'!$G$2:$G$190)/'مواد المخزون'!$D$47/MAX(1,MIN('إعدادات المخزون'!$B$11,'إعدادات المخزون'!$B$4-'إعدادات المخزون'!$B$5+1))</f>
        <v>59.4166</v>
      </c>
      <c r="W52" s="110" t="n">
        <f aca="false">IF(V52&lt;=0,0,ROUNDUP(MAX(0,V52*('إعدادات المخزون'!$B$8+'إعدادات المخزون'!$B$9+'إعدادات المخزون'!$B$10)-MAX(U52,0))/'مواد المخزون'!$F47,0)*'مواد المخزون'!$F47)</f>
        <v>0</v>
      </c>
      <c r="X52" s="109" t="n">
        <f aca="false">IF(AND(K52="نعم",O52&lt;0),-O52+ROW()*0.000000001,0)</f>
        <v>0</v>
      </c>
      <c r="Y52" s="109" t="n">
        <f aca="false">IF(AND(K52="نعم",O52&gt;0),O52+ROW()*0.000000001,0)</f>
        <v>0</v>
      </c>
      <c r="Z52" s="110" t="n">
        <f aca="false">SUMIFS('مشتريات يومية'!$D$2:$D$4001,'مشتريات يومية'!$B$2:$B$4001,$B$2,'مشتريات يومية'!$C$2:$C$4001,$A52,'مشتريات يومية'!$A$2:$A$4001,'إعدادات المخزون'!$B$4)+SUMIFS('هالك وتحويلات'!$E$2:$E$3001,'هالك وتحويلات'!$B$2:$B$3001,$B$2,'هالك وتحويلات'!$C$2:$C$3001,$A52,'هالك وتحويلات'!$D$2:$D$3001,"تحويل وارد",'هالك وتحويلات'!$A$2:$A$3001,'إعدادات المخزون'!$B$4)-SUMIFS('هالك وتحويلات'!$E$2:$E$3001,'هالك وتحويلات'!$B$2:$B$3001,$B$2,'هالك وتحويلات'!$C$2:$C$3001,$A52,'هالك وتحويلات'!$D$2:$D$3001,"تحويل صادر",'هالك وتحويلات'!$A$2:$A$3001,'إعدادات المخزون'!$B$4)-SUMIFS('هالك وتحويلات'!$E$2:$E$3001,'هالك وتحويلات'!$B$2:$B$3001,$B$2,'هالك وتحويلات'!$C$2:$C$3001,$A52,'هالك وتحويلات'!$D$2:$D$3001,"هالك",'هالك وتحويلات'!$A$2:$A$3001,'إعدادات المخزون'!$B$4)-SUMIFS('هالك وتحويلات'!$E$2:$E$3001,'هالك وتحويلات'!$B$2:$B$3001,$B$2,'هالك وتحويلات'!$C$2:$C$3001,$A52,'هالك وتحويلات'!$D$2:$D$3001,"ضيافة / أكل موظفين",'هالك وتحويلات'!$A$2:$A$3001,'إعدادات المخزون'!$B$4)-SUMPRODUCT('مصفوفة الاستهلاك'!$AU$2:$AU$190,'متجهات المبيعات'!$E$2:$E$190)/'مواد المخزون'!$D$47</f>
        <v>-59.4166</v>
      </c>
      <c r="AA52" s="109" t="n">
        <f aca="false">IF(K52="نعم",O52,0)</f>
        <v>0</v>
      </c>
      <c r="AB52" s="109" t="n">
        <f aca="false">IF(K52="نعم",J52*C52,0)</f>
        <v>0</v>
      </c>
      <c r="AC52" s="109" t="n">
        <f aca="false">IF(T52="",0,T52)</f>
        <v>0</v>
      </c>
    </row>
    <row r="53" customFormat="false" ht="15" hidden="false" customHeight="false" outlineLevel="0" collapsed="false">
      <c r="A53" s="34" t="str">
        <f aca="false">'مواد المخزون'!A48</f>
        <v>شيكولاتة بني</v>
      </c>
      <c r="B53" s="36" t="str">
        <f aca="false">'مواد المخزون'!B48</f>
        <v>كجم</v>
      </c>
      <c r="C53" s="109" t="n">
        <f aca="false">'مواد المخزون'!E48</f>
        <v>127.6582</v>
      </c>
      <c r="D53" s="110" t="n">
        <f aca="false">'جرد أول المدة'!D51</f>
        <v>5.3</v>
      </c>
      <c r="E53" s="110" t="n">
        <f aca="false">SUMIFS('مشتريات يومية'!$D$2:$D$4001,'مشتريات يومية'!$B$2:$B$4001,$B$2,'مشتريات يومية'!$C$2:$C$4001,$A53,'مشتريات يومية'!$A$2:$A$4001,"&gt;="&amp;'إعدادات المخزون'!$B$5,'مشتريات يومية'!$A$2:$A$4001,"&lt;="&amp;'إعدادات المخزون'!$B$4)</f>
        <v>25</v>
      </c>
      <c r="F53" s="110" t="n">
        <f aca="false">SUMIFS('هالك وتحويلات'!$E$2:$E$3001,'هالك وتحويلات'!$B$2:$B$3001,$B$2,'هالك وتحويلات'!$C$2:$C$3001,$A53,'هالك وتحويلات'!$D$2:$D$3001,"تحويل وارد",'هالك وتحويلات'!$A$2:$A$3001,"&gt;="&amp;'إعدادات المخزون'!$B$5,'هالك وتحويلات'!$A$2:$A$3001,"&lt;="&amp;'إعدادات المخزون'!$B$4)</f>
        <v>0</v>
      </c>
      <c r="G53" s="110" t="n">
        <f aca="false">SUMIFS('هالك وتحويلات'!$E$2:$E$3001,'هالك وتحويلات'!$B$2:$B$3001,$B$2,'هالك وتحويلات'!$C$2:$C$3001,$A53,'هالك وتحويلات'!$D$2:$D$3001,"تحويل صادر",'هالك وتحويلات'!$A$2:$A$3001,"&gt;="&amp;'إعدادات المخزون'!$B$5,'هالك وتحويلات'!$A$2:$A$3001,"&lt;="&amp;'إعدادات المخزون'!$B$4)</f>
        <v>0</v>
      </c>
      <c r="H53" s="110" t="n">
        <f aca="false">SUMPRODUCT('مصفوفة الاستهلاك'!$AV$2:$AV$190,'متجهات المبيعات'!$F$2:$F$190)/'مواد المخزون'!$D$48</f>
        <v>16.380024</v>
      </c>
      <c r="I53" s="110" t="n">
        <f aca="false">SUMIFS('هالك وتحويلات'!$E$2:$E$3001,'هالك وتحويلات'!$B$2:$B$3001,$B$2,'هالك وتحويلات'!$C$2:$C$3001,$A53,'هالك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وتحويلات'!$C$2:$C$3001,$A53,'هالك وتحويلات'!$D$2:$D$3001,"ضيافة / أكل موظفين",'هالك وتحويلات'!$A$2:$A$3001,"&gt;="&amp;'إعدادات المخزون'!$B$5,'هالك وتحويلات'!$A$2:$A$3001,"&lt;="&amp;'إعدادات المخزون'!$B$4)</f>
        <v>0</v>
      </c>
      <c r="J53" s="110" t="n">
        <f aca="false">D53+E53+F53-G53-H53-I53</f>
        <v>13.919976</v>
      </c>
      <c r="K53" s="36" t="str">
        <f aca="false">IF(COUNTIFS('جرد فعلي'!$B$2:$B$12001,$B$2,'جرد فعلي'!$C$2:$C$12001,$A53,'جرد فعلي'!$A$2:$A$12001,'إعدادات المخزون'!$B$4)&gt;0,"نعم","لا")</f>
        <v>لا</v>
      </c>
      <c r="L53" s="111" t="str">
        <f aca="false">IF(K53="نعم",SUMIFS('جرد فعلي'!$D$2:$D$12001,'جرد فعلي'!$B$2:$B$12001,$B$2,'جرد فعلي'!$C$2:$C$12001,$A53,'جرد فعلي'!$A$2:$A$12001,'إعدادات المخزون'!$B$4),"")</f>
        <v/>
      </c>
      <c r="M53" s="110" t="str">
        <f aca="false">IF(K53="نعم",L53-J53,"")</f>
        <v/>
      </c>
      <c r="N53" s="112" t="str">
        <f aca="false">IF(K53="نعم",IF(J53=0,IF(M53=0,0,SIGN(M53)),M53/ABS(J53)),"")</f>
        <v/>
      </c>
      <c r="O53" s="109" t="str">
        <f aca="false">IF(K53="نعم",M53*C53,"")</f>
        <v/>
      </c>
      <c r="P53" s="36" t="str">
        <f aca="false">IF(K53&lt;&gt;"نعم","لم يُجرد",IF(ABS(N53)&lt;='إعدادات المخزون'!$B$7,"مطابق",IF(M53&lt;0,"عجز","زيادة")))</f>
        <v>لم يُجرد</v>
      </c>
      <c r="Q53" s="110" t="n">
        <f aca="false">J53-Z53</f>
        <v>15.284978</v>
      </c>
      <c r="R53" s="110" t="str">
        <f aca="false">IF(COUNTIFS('جرد فعلي'!$B$2:$B$12001,$B$2,'جرد فعلي'!$C$2:$C$12001,$A53,'جرد فعلي'!$A$2:$A$12001,'إعدادات المخزون'!$B$4-1)&gt;0,SUMIFS('جرد فعلي'!$D$2:$D$12001,'جرد فعلي'!$B$2:$B$12001,$B$2,'جرد فعلي'!$C$2:$C$12001,$A53,'جرد فعلي'!$A$2:$A$12001,'إعدادات المخزون'!$B$4-1),"")</f>
        <v/>
      </c>
      <c r="S53" s="110" t="str">
        <f aca="false">IF(AND(K53="نعم",R53&lt;&gt;""),(L53-J53)-(R53-Q53),"")</f>
        <v/>
      </c>
      <c r="T53" s="109" t="str">
        <f aca="false">IF(S53="","",S53*C53)</f>
        <v/>
      </c>
      <c r="U53" s="110" t="n">
        <f aca="false">IF(K53="نعم",L53,J53)</f>
        <v>13.919976</v>
      </c>
      <c r="V53" s="110" t="n">
        <f aca="false">SUMPRODUCT('مصفوفة الاستهلاك'!$AV$2:$AV$190,'متجهات المبيعات'!$G$2:$G$190)/'مواد المخزون'!$D$48/MAX(1,MIN('إعدادات المخزون'!$B$11,'إعدادات المخزون'!$B$4-'إعدادات المخزون'!$B$5+1))</f>
        <v>1.365002</v>
      </c>
      <c r="W53" s="110" t="n">
        <f aca="false">IF(V53&lt;=0,0,ROUNDUP(MAX(0,V53*('إعدادات المخزون'!$B$8+'إعدادات المخزون'!$B$9+'إعدادات المخزون'!$B$10)-MAX(U53,0))/'مواد المخزون'!$F48,0)*'مواد المخزون'!$F48)</f>
        <v>0</v>
      </c>
      <c r="X53" s="109" t="n">
        <f aca="false">IF(AND(K53="نعم",O53&lt;0),-O53+ROW()*0.000000001,0)</f>
        <v>0</v>
      </c>
      <c r="Y53" s="109" t="n">
        <f aca="false">IF(AND(K53="نعم",O53&gt;0),O53+ROW()*0.000000001,0)</f>
        <v>0</v>
      </c>
      <c r="Z53" s="110" t="n">
        <f aca="false">SUMIFS('مشتريات يومية'!$D$2:$D$4001,'مشتريات يومية'!$B$2:$B$4001,$B$2,'مشتريات يومية'!$C$2:$C$4001,$A53,'مشتريات يومية'!$A$2:$A$4001,'إعدادات المخزون'!$B$4)+SUMIFS('هالك وتحويلات'!$E$2:$E$3001,'هالك وتحويلات'!$B$2:$B$3001,$B$2,'هالك وتحويلات'!$C$2:$C$3001,$A53,'هالك وتحويلات'!$D$2:$D$3001,"تحويل وارد",'هالك وتحويلات'!$A$2:$A$3001,'إعدادات المخزون'!$B$4)-SUMIFS('هالك وتحويلات'!$E$2:$E$3001,'هالك وتحويلات'!$B$2:$B$3001,$B$2,'هالك وتحويلات'!$C$2:$C$3001,$A53,'هالك وتحويلات'!$D$2:$D$3001,"تحويل صادر",'هالك وتحويلات'!$A$2:$A$3001,'إعدادات المخزون'!$B$4)-SUMIFS('هالك وتحويلات'!$E$2:$E$3001,'هالك وتحويلات'!$B$2:$B$3001,$B$2,'هالك وتحويلات'!$C$2:$C$3001,$A53,'هالك وتحويلات'!$D$2:$D$3001,"هالك",'هالك وتحويلات'!$A$2:$A$3001,'إعدادات المخزون'!$B$4)-SUMIFS('هالك وتحويلات'!$E$2:$E$3001,'هالك وتحويلات'!$B$2:$B$3001,$B$2,'هالك وتحويلات'!$C$2:$C$3001,$A53,'هالك وتحويلات'!$D$2:$D$3001,"ضيافة / أكل موظفين",'هالك وتحويلات'!$A$2:$A$3001,'إعدادات المخزون'!$B$4)-SUMPRODUCT('مصفوفة الاستهلاك'!$AV$2:$AV$190,'متجهات المبيعات'!$E$2:$E$190)/'مواد المخزون'!$D$48</f>
        <v>-1.365002</v>
      </c>
      <c r="AA53" s="109" t="n">
        <f aca="false">IF(K53="نعم",O53,0)</f>
        <v>0</v>
      </c>
      <c r="AB53" s="109" t="n">
        <f aca="false">IF(K53="نعم",J53*C53,0)</f>
        <v>0</v>
      </c>
      <c r="AC53" s="109" t="n">
        <f aca="false">IF(T53="",0,T53)</f>
        <v>0</v>
      </c>
    </row>
    <row r="54" customFormat="false" ht="15" hidden="false" customHeight="false" outlineLevel="0" collapsed="false">
      <c r="A54" s="34" t="str">
        <f aca="false">'مواد المخزون'!A49</f>
        <v>شيكولاتة بيضاء</v>
      </c>
      <c r="B54" s="36" t="str">
        <f aca="false">'مواد المخزون'!B49</f>
        <v>كجم</v>
      </c>
      <c r="C54" s="109" t="n">
        <f aca="false">'مواد المخزون'!E49</f>
        <v>100</v>
      </c>
      <c r="D54" s="110" t="n">
        <f aca="false">'جرد أول المدة'!D52</f>
        <v>6</v>
      </c>
      <c r="E54" s="110" t="n">
        <f aca="false">SUMIFS('مشتريات يومية'!$D$2:$D$4001,'مشتريات يومية'!$B$2:$B$4001,$B$2,'مشتريات يومية'!$C$2:$C$4001,$A54,'مشتريات يومية'!$A$2:$A$4001,"&gt;="&amp;'إعدادات المخزون'!$B$5,'مشتريات يومية'!$A$2:$A$4001,"&lt;="&amp;'إعدادات المخزون'!$B$4)</f>
        <v>0</v>
      </c>
      <c r="F54" s="110" t="n">
        <f aca="false">SUMIFS('هالك وتحويلات'!$E$2:$E$3001,'هالك وتحويلات'!$B$2:$B$3001,$B$2,'هالك وتحويلات'!$C$2:$C$3001,$A54,'هالك وتحويلات'!$D$2:$D$3001,"تحويل وارد",'هالك وتحويلات'!$A$2:$A$3001,"&gt;="&amp;'إعدادات المخزون'!$B$5,'هالك وتحويلات'!$A$2:$A$3001,"&lt;="&amp;'إعدادات المخزون'!$B$4)</f>
        <v>0</v>
      </c>
      <c r="G54" s="110" t="n">
        <f aca="false">SUMIFS('هالك وتحويلات'!$E$2:$E$3001,'هالك وتحويلات'!$B$2:$B$3001,$B$2,'هالك وتحويلات'!$C$2:$C$3001,$A54,'هالك وتحويلات'!$D$2:$D$3001,"تحويل صادر",'هالك وتحويلات'!$A$2:$A$3001,"&gt;="&amp;'إعدادات المخزون'!$B$5,'هالك وتحويلات'!$A$2:$A$3001,"&lt;="&amp;'إعدادات المخزون'!$B$4)</f>
        <v>0</v>
      </c>
      <c r="H54" s="110" t="n">
        <f aca="false">SUMPRODUCT('مصفوفة الاستهلاك'!$AW$2:$AW$190,'متجهات المبيعات'!$F$2:$F$190)/'مواد المخزون'!$D$49</f>
        <v>3.3</v>
      </c>
      <c r="I54" s="110" t="n">
        <f aca="false">SUMIFS('هالك وتحويلات'!$E$2:$E$3001,'هالك وتحويلات'!$B$2:$B$3001,$B$2,'هالك وتحويلات'!$C$2:$C$3001,$A54,'هالك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وتحويلات'!$C$2:$C$3001,$A54,'هالك وتحويلات'!$D$2:$D$3001,"ضيافة / أكل موظفين",'هالك وتحويلات'!$A$2:$A$3001,"&gt;="&amp;'إعدادات المخزون'!$B$5,'هالك وتحويلات'!$A$2:$A$3001,"&lt;="&amp;'إعدادات المخزون'!$B$4)</f>
        <v>0</v>
      </c>
      <c r="J54" s="110" t="n">
        <f aca="false">D54+E54+F54-G54-H54-I54</f>
        <v>2.7</v>
      </c>
      <c r="K54" s="36" t="str">
        <f aca="false">IF(COUNTIFS('جرد فعلي'!$B$2:$B$12001,$B$2,'جرد فعلي'!$C$2:$C$12001,$A54,'جرد فعلي'!$A$2:$A$12001,'إعدادات المخزون'!$B$4)&gt;0,"نعم","لا")</f>
        <v>لا</v>
      </c>
      <c r="L54" s="111" t="str">
        <f aca="false">IF(K54="نعم",SUMIFS('جرد فعلي'!$D$2:$D$12001,'جرد فعلي'!$B$2:$B$12001,$B$2,'جرد فعلي'!$C$2:$C$12001,$A54,'جرد فعلي'!$A$2:$A$12001,'إعدادات المخزون'!$B$4),"")</f>
        <v/>
      </c>
      <c r="M54" s="110" t="str">
        <f aca="false">IF(K54="نعم",L54-J54,"")</f>
        <v/>
      </c>
      <c r="N54" s="112" t="str">
        <f aca="false">IF(K54="نعم",IF(J54=0,IF(M54=0,0,SIGN(M54)),M54/ABS(J54)),"")</f>
        <v/>
      </c>
      <c r="O54" s="109" t="str">
        <f aca="false">IF(K54="نعم",M54*C54,"")</f>
        <v/>
      </c>
      <c r="P54" s="36" t="str">
        <f aca="false">IF(K54&lt;&gt;"نعم","لم يُجرد",IF(ABS(N54)&lt;='إعدادات المخزون'!$B$7,"مطابق",IF(M54&lt;0,"عجز","زيادة")))</f>
        <v>لم يُجرد</v>
      </c>
      <c r="Q54" s="110" t="n">
        <f aca="false">J54-Z54</f>
        <v>2.975</v>
      </c>
      <c r="R54" s="110" t="str">
        <f aca="false">IF(COUNTIFS('جرد فعلي'!$B$2:$B$12001,$B$2,'جرد فعلي'!$C$2:$C$12001,$A54,'جرد فعلي'!$A$2:$A$12001,'إعدادات المخزون'!$B$4-1)&gt;0,SUMIFS('جرد فعلي'!$D$2:$D$12001,'جرد فعلي'!$B$2:$B$12001,$B$2,'جرد فعلي'!$C$2:$C$12001,$A54,'جرد فعلي'!$A$2:$A$12001,'إعدادات المخزون'!$B$4-1),"")</f>
        <v/>
      </c>
      <c r="S54" s="110" t="str">
        <f aca="false">IF(AND(K54="نعم",R54&lt;&gt;""),(L54-J54)-(R54-Q54),"")</f>
        <v/>
      </c>
      <c r="T54" s="109" t="str">
        <f aca="false">IF(S54="","",S54*C54)</f>
        <v/>
      </c>
      <c r="U54" s="110" t="n">
        <f aca="false">IF(K54="نعم",L54,J54)</f>
        <v>2.7</v>
      </c>
      <c r="V54" s="110" t="n">
        <f aca="false">SUMPRODUCT('مصفوفة الاستهلاك'!$AW$2:$AW$190,'متجهات المبيعات'!$G$2:$G$190)/'مواد المخزون'!$D$49/MAX(1,MIN('إعدادات المخزون'!$B$11,'إعدادات المخزون'!$B$4-'إعدادات المخزون'!$B$5+1))</f>
        <v>0.275</v>
      </c>
      <c r="W54" s="110" t="n">
        <f aca="false">IF(V54&lt;=0,0,ROUNDUP(MAX(0,V54*('إعدادات المخزون'!$B$8+'إعدادات المخزون'!$B$9+'إعدادات المخزون'!$B$10)-MAX(U54,0))/'مواد المخزون'!$F49,0)*'مواد المخزون'!$F49)</f>
        <v>0</v>
      </c>
      <c r="X54" s="109" t="n">
        <f aca="false">IF(AND(K54="نعم",O54&lt;0),-O54+ROW()*0.000000001,0)</f>
        <v>0</v>
      </c>
      <c r="Y54" s="109" t="n">
        <f aca="false">IF(AND(K54="نعم",O54&gt;0),O54+ROW()*0.000000001,0)</f>
        <v>0</v>
      </c>
      <c r="Z54" s="110" t="n">
        <f aca="false">SUMIFS('مشتريات يومية'!$D$2:$D$4001,'مشتريات يومية'!$B$2:$B$4001,$B$2,'مشتريات يومية'!$C$2:$C$4001,$A54,'مشتريات يومية'!$A$2:$A$4001,'إعدادات المخزون'!$B$4)+SUMIFS('هالك وتحويلات'!$E$2:$E$3001,'هالك وتحويلات'!$B$2:$B$3001,$B$2,'هالك وتحويلات'!$C$2:$C$3001,$A54,'هالك وتحويلات'!$D$2:$D$3001,"تحويل وارد",'هالك وتحويلات'!$A$2:$A$3001,'إعدادات المخزون'!$B$4)-SUMIFS('هالك وتحويلات'!$E$2:$E$3001,'هالك وتحويلات'!$B$2:$B$3001,$B$2,'هالك وتحويلات'!$C$2:$C$3001,$A54,'هالك وتحويلات'!$D$2:$D$3001,"تحويل صادر",'هالك وتحويلات'!$A$2:$A$3001,'إعدادات المخزون'!$B$4)-SUMIFS('هالك وتحويلات'!$E$2:$E$3001,'هالك وتحويلات'!$B$2:$B$3001,$B$2,'هالك وتحويلات'!$C$2:$C$3001,$A54,'هالك وتحويلات'!$D$2:$D$3001,"هالك",'هالك وتحويلات'!$A$2:$A$3001,'إعدادات المخزون'!$B$4)-SUMIFS('هالك وتحويلات'!$E$2:$E$3001,'هالك وتحويلات'!$B$2:$B$3001,$B$2,'هالك وتحويلات'!$C$2:$C$3001,$A54,'هالك وتحويلات'!$D$2:$D$3001,"ضيافة / أكل موظفين",'هالك وتحويلات'!$A$2:$A$3001,'إعدادات المخزون'!$B$4)-SUMPRODUCT('مصفوفة الاستهلاك'!$AW$2:$AW$190,'متجهات المبيعات'!$E$2:$E$190)/'مواد المخزون'!$D$49</f>
        <v>-0.275</v>
      </c>
      <c r="AA54" s="109" t="n">
        <f aca="false">IF(K54="نعم",O54,0)</f>
        <v>0</v>
      </c>
      <c r="AB54" s="109" t="n">
        <f aca="false">IF(K54="نعم",J54*C54,0)</f>
        <v>0</v>
      </c>
      <c r="AC54" s="109" t="n">
        <f aca="false">IF(T54="",0,T54)</f>
        <v>0</v>
      </c>
    </row>
    <row r="55" customFormat="false" ht="15" hidden="false" customHeight="false" outlineLevel="0" collapsed="false">
      <c r="A55" s="34" t="str">
        <f aca="false">'مواد المخزون'!A50</f>
        <v>صلصة مصنع</v>
      </c>
      <c r="B55" s="36" t="str">
        <f aca="false">'مواد المخزون'!B50</f>
        <v>كجم</v>
      </c>
      <c r="C55" s="109" t="n">
        <f aca="false">'مواد المخزون'!E50</f>
        <v>32</v>
      </c>
      <c r="D55" s="110" t="n">
        <f aca="false">'جرد أول المدة'!D53</f>
        <v>7.797</v>
      </c>
      <c r="E55" s="110" t="n">
        <f aca="false">SUMIFS('مشتريات يومية'!$D$2:$D$4001,'مشتريات يومية'!$B$2:$B$4001,$B$2,'مشتريات يومية'!$C$2:$C$4001,$A55,'مشتريات يومية'!$A$2:$A$4001,"&gt;="&amp;'إعدادات المخزون'!$B$5,'مشتريات يومية'!$A$2:$A$4001,"&lt;="&amp;'إعدادات المخزون'!$B$4)</f>
        <v>26</v>
      </c>
      <c r="F55" s="110" t="n">
        <f aca="false">SUMIFS('هالك وتحويلات'!$E$2:$E$3001,'هالك وتحويلات'!$B$2:$B$3001,$B$2,'هالك وتحويلات'!$C$2:$C$3001,$A55,'هالك وتحويلات'!$D$2:$D$3001,"تحويل وارد",'هالك وتحويلات'!$A$2:$A$3001,"&gt;="&amp;'إعدادات المخزون'!$B$5,'هالك وتحويلات'!$A$2:$A$3001,"&lt;="&amp;'إعدادات المخزون'!$B$4)</f>
        <v>0</v>
      </c>
      <c r="G55" s="110" t="n">
        <f aca="false">SUMIFS('هالك وتحويلات'!$E$2:$E$3001,'هالك وتحويلات'!$B$2:$B$3001,$B$2,'هالك وتحويلات'!$C$2:$C$3001,$A55,'هالك وتحويلات'!$D$2:$D$3001,"تحويل صادر",'هالك وتحويلات'!$A$2:$A$3001,"&gt;="&amp;'إعدادات المخزون'!$B$5,'هالك وتحويلات'!$A$2:$A$3001,"&lt;="&amp;'إعدادات المخزون'!$B$4)</f>
        <v>0</v>
      </c>
      <c r="H55" s="110" t="n">
        <f aca="false">SUMPRODUCT('مصفوفة الاستهلاك'!$AX$2:$AX$190,'متجهات المبيعات'!$F$2:$F$190)/'مواد المخزون'!$D$50</f>
        <v>21.259992</v>
      </c>
      <c r="I55" s="110" t="n">
        <f aca="false">SUMIFS('هالك وتحويلات'!$E$2:$E$3001,'هالك وتحويلات'!$B$2:$B$3001,$B$2,'هالك وتحويلات'!$C$2:$C$3001,$A55,'هالك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وتحويلات'!$C$2:$C$3001,$A55,'هالك وتحويلات'!$D$2:$D$3001,"ضيافة / أكل موظفين",'هالك وتحويلات'!$A$2:$A$3001,"&gt;="&amp;'إعدادات المخزون'!$B$5,'هالك وتحويلات'!$A$2:$A$3001,"&lt;="&amp;'إعدادات المخزون'!$B$4)</f>
        <v>0</v>
      </c>
      <c r="J55" s="110" t="n">
        <f aca="false">D55+E55+F55-G55-H55-I55</f>
        <v>12.537008</v>
      </c>
      <c r="K55" s="36" t="str">
        <f aca="false">IF(COUNTIFS('جرد فعلي'!$B$2:$B$12001,$B$2,'جرد فعلي'!$C$2:$C$12001,$A55,'جرد فعلي'!$A$2:$A$12001,'إعدادات المخزون'!$B$4)&gt;0,"نعم","لا")</f>
        <v>لا</v>
      </c>
      <c r="L55" s="111" t="str">
        <f aca="false">IF(K55="نعم",SUMIFS('جرد فعلي'!$D$2:$D$12001,'جرد فعلي'!$B$2:$B$12001,$B$2,'جرد فعلي'!$C$2:$C$12001,$A55,'جرد فعلي'!$A$2:$A$12001,'إعدادات المخزون'!$B$4),"")</f>
        <v/>
      </c>
      <c r="M55" s="110" t="str">
        <f aca="false">IF(K55="نعم",L55-J55,"")</f>
        <v/>
      </c>
      <c r="N55" s="112" t="str">
        <f aca="false">IF(K55="نعم",IF(J55=0,IF(M55=0,0,SIGN(M55)),M55/ABS(J55)),"")</f>
        <v/>
      </c>
      <c r="O55" s="109" t="str">
        <f aca="false">IF(K55="نعم",M55*C55,"")</f>
        <v/>
      </c>
      <c r="P55" s="36" t="str">
        <f aca="false">IF(K55&lt;&gt;"نعم","لم يُجرد",IF(ABS(N55)&lt;='إعدادات المخزون'!$B$7,"مطابق",IF(M55&lt;0,"عجز","زيادة")))</f>
        <v>لم يُجرد</v>
      </c>
      <c r="Q55" s="110" t="n">
        <f aca="false">J55-Z55</f>
        <v>14.308674</v>
      </c>
      <c r="R55" s="110" t="str">
        <f aca="false">IF(COUNTIFS('جرد فعلي'!$B$2:$B$12001,$B$2,'جرد فعلي'!$C$2:$C$12001,$A55,'جرد فعلي'!$A$2:$A$12001,'إعدادات المخزون'!$B$4-1)&gt;0,SUMIFS('جرد فعلي'!$D$2:$D$12001,'جرد فعلي'!$B$2:$B$12001,$B$2,'جرد فعلي'!$C$2:$C$12001,$A55,'جرد فعلي'!$A$2:$A$12001,'إعدادات المخزون'!$B$4-1),"")</f>
        <v/>
      </c>
      <c r="S55" s="110" t="str">
        <f aca="false">IF(AND(K55="نعم",R55&lt;&gt;""),(L55-J55)-(R55-Q55),"")</f>
        <v/>
      </c>
      <c r="T55" s="109" t="str">
        <f aca="false">IF(S55="","",S55*C55)</f>
        <v/>
      </c>
      <c r="U55" s="110" t="n">
        <f aca="false">IF(K55="نعم",L55,J55)</f>
        <v>12.537008</v>
      </c>
      <c r="V55" s="110" t="n">
        <f aca="false">SUMPRODUCT('مصفوفة الاستهلاك'!$AX$2:$AX$190,'متجهات المبيعات'!$G$2:$G$190)/'مواد المخزون'!$D$50/MAX(1,MIN('إعدادات المخزون'!$B$11,'إعدادات المخزون'!$B$4-'إعدادات المخزون'!$B$5+1))</f>
        <v>1.771666</v>
      </c>
      <c r="W55" s="110" t="n">
        <f aca="false">IF(V55&lt;=0,0,ROUNDUP(MAX(0,V55*('إعدادات المخزون'!$B$8+'إعدادات المخزون'!$B$9+'إعدادات المخزون'!$B$10)-MAX(U55,0))/'مواد المخزون'!$F50,0)*'مواد المخزون'!$F50)</f>
        <v>0</v>
      </c>
      <c r="X55" s="109" t="n">
        <f aca="false">IF(AND(K55="نعم",O55&lt;0),-O55+ROW()*0.000000001,0)</f>
        <v>0</v>
      </c>
      <c r="Y55" s="109" t="n">
        <f aca="false">IF(AND(K55="نعم",O55&gt;0),O55+ROW()*0.000000001,0)</f>
        <v>0</v>
      </c>
      <c r="Z55" s="110" t="n">
        <f aca="false">SUMIFS('مشتريات يومية'!$D$2:$D$4001,'مشتريات يومية'!$B$2:$B$4001,$B$2,'مشتريات يومية'!$C$2:$C$4001,$A55,'مشتريات يومية'!$A$2:$A$4001,'إعدادات المخزون'!$B$4)+SUMIFS('هالك وتحويلات'!$E$2:$E$3001,'هالك وتحويلات'!$B$2:$B$3001,$B$2,'هالك وتحويلات'!$C$2:$C$3001,$A55,'هالك وتحويلات'!$D$2:$D$3001,"تحويل وارد",'هالك وتحويلات'!$A$2:$A$3001,'إعدادات المخزون'!$B$4)-SUMIFS('هالك وتحويلات'!$E$2:$E$3001,'هالك وتحويلات'!$B$2:$B$3001,$B$2,'هالك وتحويلات'!$C$2:$C$3001,$A55,'هالك وتحويلات'!$D$2:$D$3001,"تحويل صادر",'هالك وتحويلات'!$A$2:$A$3001,'إعدادات المخزون'!$B$4)-SUMIFS('هالك وتحويلات'!$E$2:$E$3001,'هالك وتحويلات'!$B$2:$B$3001,$B$2,'هالك وتحويلات'!$C$2:$C$3001,$A55,'هالك وتحويلات'!$D$2:$D$3001,"هالك",'هالك وتحويلات'!$A$2:$A$3001,'إعدادات المخزون'!$B$4)-SUMIFS('هالك وتحويلات'!$E$2:$E$3001,'هالك وتحويلات'!$B$2:$B$3001,$B$2,'هالك وتحويلات'!$C$2:$C$3001,$A55,'هالك وتحويلات'!$D$2:$D$3001,"ضيافة / أكل موظفين",'هالك وتحويلات'!$A$2:$A$3001,'إعدادات المخزون'!$B$4)-SUMPRODUCT('مصفوفة الاستهلاك'!$AX$2:$AX$190,'متجهات المبيعات'!$E$2:$E$190)/'مواد المخزون'!$D$50</f>
        <v>-1.771666</v>
      </c>
      <c r="AA55" s="109" t="n">
        <f aca="false">IF(K55="نعم",O55,0)</f>
        <v>0</v>
      </c>
      <c r="AB55" s="109" t="n">
        <f aca="false">IF(K55="نعم",J55*C55,0)</f>
        <v>0</v>
      </c>
      <c r="AC55" s="109" t="n">
        <f aca="false">IF(T55="",0,T55)</f>
        <v>0</v>
      </c>
    </row>
    <row r="56" customFormat="false" ht="15" hidden="false" customHeight="false" outlineLevel="0" collapsed="false">
      <c r="A56" s="34" t="str">
        <f aca="false">'مواد المخزون'!A51</f>
        <v>صوص باربيكيو كيلو</v>
      </c>
      <c r="B56" s="36" t="str">
        <f aca="false">'مواد المخزون'!B51</f>
        <v>كجم</v>
      </c>
      <c r="C56" s="109" t="n">
        <f aca="false">'مواد المخزون'!E51</f>
        <v>70</v>
      </c>
      <c r="D56" s="110" t="n">
        <f aca="false">'جرد أول المدة'!D54</f>
        <v>6.95</v>
      </c>
      <c r="E56" s="110" t="n">
        <f aca="false">SUMIFS('مشتريات يومية'!$D$2:$D$4001,'مشتريات يومية'!$B$2:$B$4001,$B$2,'مشتريات يومية'!$C$2:$C$4001,$A56,'مشتريات يومية'!$A$2:$A$4001,"&gt;="&amp;'إعدادات المخزون'!$B$5,'مشتريات يومية'!$A$2:$A$4001,"&lt;="&amp;'إعدادات المخزون'!$B$4)</f>
        <v>9</v>
      </c>
      <c r="F56" s="110" t="n">
        <f aca="false">SUMIFS('هالك وتحويلات'!$E$2:$E$3001,'هالك وتحويلات'!$B$2:$B$3001,$B$2,'هالك وتحويلات'!$C$2:$C$3001,$A56,'هالك وتحويلات'!$D$2:$D$3001,"تحويل وارد",'هالك وتحويلات'!$A$2:$A$3001,"&gt;="&amp;'إعدادات المخزون'!$B$5,'هالك وتحويلات'!$A$2:$A$3001,"&lt;="&amp;'إعدادات المخزون'!$B$4)</f>
        <v>0</v>
      </c>
      <c r="G56" s="110" t="n">
        <f aca="false">SUMIFS('هالك وتحويلات'!$E$2:$E$3001,'هالك وتحويلات'!$B$2:$B$3001,$B$2,'هالك وتحويلات'!$C$2:$C$3001,$A56,'هالك وتحويلات'!$D$2:$D$3001,"تحويل صادر",'هالك وتحويلات'!$A$2:$A$3001,"&gt;="&amp;'إعدادات المخزون'!$B$5,'هالك وتحويلات'!$A$2:$A$3001,"&lt;="&amp;'إعدادات المخزون'!$B$4)</f>
        <v>0</v>
      </c>
      <c r="H56" s="110" t="n">
        <f aca="false">SUMPRODUCT('مصفوفة الاستهلاك'!$AY$2:$AY$190,'متجهات المبيعات'!$F$2:$F$190)/'مواد المخزون'!$D$51</f>
        <v>11.0001</v>
      </c>
      <c r="I56" s="110" t="n">
        <f aca="false">SUMIFS('هالك وتحويلات'!$E$2:$E$3001,'هالك وتحويلات'!$B$2:$B$3001,$B$2,'هالك وتحويلات'!$C$2:$C$3001,$A56,'هالك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وتحويلات'!$C$2:$C$3001,$A56,'هالك وتحويلات'!$D$2:$D$3001,"ضيافة / أكل موظفين",'هالك وتحويلات'!$A$2:$A$3001,"&gt;="&amp;'إعدادات المخزون'!$B$5,'هالك وتحويلات'!$A$2:$A$3001,"&lt;="&amp;'إعدادات المخزون'!$B$4)</f>
        <v>0</v>
      </c>
      <c r="J56" s="110" t="n">
        <f aca="false">D56+E56+F56-G56-H56-I56</f>
        <v>4.9499</v>
      </c>
      <c r="K56" s="36" t="str">
        <f aca="false">IF(COUNTIFS('جرد فعلي'!$B$2:$B$12001,$B$2,'جرد فعلي'!$C$2:$C$12001,$A56,'جرد فعلي'!$A$2:$A$12001,'إعدادات المخزون'!$B$4)&gt;0,"نعم","لا")</f>
        <v>لا</v>
      </c>
      <c r="L56" s="111" t="str">
        <f aca="false">IF(K56="نعم",SUMIFS('جرد فعلي'!$D$2:$D$12001,'جرد فعلي'!$B$2:$B$12001,$B$2,'جرد فعلي'!$C$2:$C$12001,$A56,'جرد فعلي'!$A$2:$A$12001,'إعدادات المخزون'!$B$4),"")</f>
        <v/>
      </c>
      <c r="M56" s="110" t="str">
        <f aca="false">IF(K56="نعم",L56-J56,"")</f>
        <v/>
      </c>
      <c r="N56" s="112" t="str">
        <f aca="false">IF(K56="نعم",IF(J56=0,IF(M56=0,0,SIGN(M56)),M56/ABS(J56)),"")</f>
        <v/>
      </c>
      <c r="O56" s="109" t="str">
        <f aca="false">IF(K56="نعم",M56*C56,"")</f>
        <v/>
      </c>
      <c r="P56" s="36" t="str">
        <f aca="false">IF(K56&lt;&gt;"نعم","لم يُجرد",IF(ABS(N56)&lt;='إعدادات المخزون'!$B$7,"مطابق",IF(M56&lt;0,"عجز","زيادة")))</f>
        <v>لم يُجرد</v>
      </c>
      <c r="Q56" s="110" t="n">
        <f aca="false">J56-Z56</f>
        <v>5.866575</v>
      </c>
      <c r="R56" s="110" t="str">
        <f aca="false">IF(COUNTIFS('جرد فعلي'!$B$2:$B$12001,$B$2,'جرد فعلي'!$C$2:$C$12001,$A56,'جرد فعلي'!$A$2:$A$12001,'إعدادات المخزون'!$B$4-1)&gt;0,SUMIFS('جرد فعلي'!$D$2:$D$12001,'جرد فعلي'!$B$2:$B$12001,$B$2,'جرد فعلي'!$C$2:$C$12001,$A56,'جرد فعلي'!$A$2:$A$12001,'إعدادات المخزون'!$B$4-1),"")</f>
        <v/>
      </c>
      <c r="S56" s="110" t="str">
        <f aca="false">IF(AND(K56="نعم",R56&lt;&gt;""),(L56-J56)-(R56-Q56),"")</f>
        <v/>
      </c>
      <c r="T56" s="109" t="str">
        <f aca="false">IF(S56="","",S56*C56)</f>
        <v/>
      </c>
      <c r="U56" s="110" t="n">
        <f aca="false">IF(K56="نعم",L56,J56)</f>
        <v>4.9499</v>
      </c>
      <c r="V56" s="110" t="n">
        <f aca="false">SUMPRODUCT('مصفوفة الاستهلاك'!$AY$2:$AY$190,'متجهات المبيعات'!$G$2:$G$190)/'مواد المخزون'!$D$51/MAX(1,MIN('إعدادات المخزون'!$B$11,'إعدادات المخزون'!$B$4-'إعدادات المخزون'!$B$5+1))</f>
        <v>0.916675</v>
      </c>
      <c r="W56" s="110" t="n">
        <f aca="false">IF(V56&lt;=0,0,ROUNDUP(MAX(0,V56*('إعدادات المخزون'!$B$8+'إعدادات المخزون'!$B$9+'إعدادات المخزون'!$B$10)-MAX(U56,0))/'مواد المخزون'!$F51,0)*'مواد المخزون'!$F51)</f>
        <v>0</v>
      </c>
      <c r="X56" s="109" t="n">
        <f aca="false">IF(AND(K56="نعم",O56&lt;0),-O56+ROW()*0.000000001,0)</f>
        <v>0</v>
      </c>
      <c r="Y56" s="109" t="n">
        <f aca="false">IF(AND(K56="نعم",O56&gt;0),O56+ROW()*0.000000001,0)</f>
        <v>0</v>
      </c>
      <c r="Z56" s="110" t="n">
        <f aca="false">SUMIFS('مشتريات يومية'!$D$2:$D$4001,'مشتريات يومية'!$B$2:$B$4001,$B$2,'مشتريات يومية'!$C$2:$C$4001,$A56,'مشتريات يومية'!$A$2:$A$4001,'إعدادات المخزون'!$B$4)+SUMIFS('هالك وتحويلات'!$E$2:$E$3001,'هالك وتحويلات'!$B$2:$B$3001,$B$2,'هالك وتحويلات'!$C$2:$C$3001,$A56,'هالك وتحويلات'!$D$2:$D$3001,"تحويل وارد",'هالك وتحويلات'!$A$2:$A$3001,'إعدادات المخزون'!$B$4)-SUMIFS('هالك وتحويلات'!$E$2:$E$3001,'هالك وتحويلات'!$B$2:$B$3001,$B$2,'هالك وتحويلات'!$C$2:$C$3001,$A56,'هالك وتحويلات'!$D$2:$D$3001,"تحويل صادر",'هالك وتحويلات'!$A$2:$A$3001,'إعدادات المخزون'!$B$4)-SUMIFS('هالك وتحويلات'!$E$2:$E$3001,'هالك وتحويلات'!$B$2:$B$3001,$B$2,'هالك وتحويلات'!$C$2:$C$3001,$A56,'هالك وتحويلات'!$D$2:$D$3001,"هالك",'هالك وتحويلات'!$A$2:$A$3001,'إعدادات المخزون'!$B$4)-SUMIFS('هالك وتحويلات'!$E$2:$E$3001,'هالك وتحويلات'!$B$2:$B$3001,$B$2,'هالك وتحويلات'!$C$2:$C$3001,$A56,'هالك وتحويلات'!$D$2:$D$3001,"ضيافة / أكل موظفين",'هالك وتحويلات'!$A$2:$A$3001,'إعدادات المخزون'!$B$4)-SUMPRODUCT('مصفوفة الاستهلاك'!$AY$2:$AY$190,'متجهات المبيعات'!$E$2:$E$190)/'مواد المخزون'!$D$51</f>
        <v>-0.916675</v>
      </c>
      <c r="AA56" s="109" t="n">
        <f aca="false">IF(K56="نعم",O56,0)</f>
        <v>0</v>
      </c>
      <c r="AB56" s="109" t="n">
        <f aca="false">IF(K56="نعم",J56*C56,0)</f>
        <v>0</v>
      </c>
      <c r="AC56" s="109" t="n">
        <f aca="false">IF(T56="",0,T56)</f>
        <v>0</v>
      </c>
    </row>
    <row r="57" customFormat="false" ht="15" hidden="false" customHeight="false" outlineLevel="0" collapsed="false">
      <c r="A57" s="34" t="str">
        <f aca="false">'مواد المخزون'!A52</f>
        <v>صوص تكساس برجر</v>
      </c>
      <c r="B57" s="36" t="str">
        <f aca="false">'مواد المخزون'!B52</f>
        <v>كجم</v>
      </c>
      <c r="C57" s="109" t="n">
        <f aca="false">'مواد المخزون'!E52</f>
        <v>140</v>
      </c>
      <c r="D57" s="110" t="n">
        <f aca="false">'جرد أول المدة'!D55</f>
        <v>4.3</v>
      </c>
      <c r="E57" s="110" t="n">
        <f aca="false">SUMIFS('مشتريات يومية'!$D$2:$D$4001,'مشتريات يومية'!$B$2:$B$4001,$B$2,'مشتريات يومية'!$C$2:$C$4001,$A57,'مشتريات يومية'!$A$2:$A$4001,"&gt;="&amp;'إعدادات المخزون'!$B$5,'مشتريات يومية'!$A$2:$A$4001,"&lt;="&amp;'إعدادات المخزون'!$B$4)</f>
        <v>5</v>
      </c>
      <c r="F57" s="110" t="n">
        <f aca="false">SUMIFS('هالك وتحويلات'!$E$2:$E$3001,'هالك وتحويلات'!$B$2:$B$3001,$B$2,'هالك وتحويلات'!$C$2:$C$3001,$A57,'هالك وتحويلات'!$D$2:$D$3001,"تحويل وارد",'هالك وتحويلات'!$A$2:$A$3001,"&gt;="&amp;'إعدادات المخزون'!$B$5,'هالك وتحويلات'!$A$2:$A$3001,"&lt;="&amp;'إعدادات المخزون'!$B$4)</f>
        <v>0</v>
      </c>
      <c r="G57" s="110" t="n">
        <f aca="false">SUMIFS('هالك وتحويلات'!$E$2:$E$3001,'هالك وتحويلات'!$B$2:$B$3001,$B$2,'هالك وتحويلات'!$C$2:$C$3001,$A57,'هالك وتحويلات'!$D$2:$D$3001,"تحويل صادر",'هالك وتحويلات'!$A$2:$A$3001,"&gt;="&amp;'إعدادات المخزون'!$B$5,'هالك وتحويلات'!$A$2:$A$3001,"&lt;="&amp;'إعدادات المخزون'!$B$4)</f>
        <v>0</v>
      </c>
      <c r="H57" s="110" t="n">
        <f aca="false">SUMPRODUCT('مصفوفة الاستهلاك'!$AZ$2:$AZ$190,'متجهات المبيعات'!$F$2:$F$190)/'مواد المخزون'!$D$52</f>
        <v>5.05008</v>
      </c>
      <c r="I57" s="110" t="n">
        <f aca="false">SUMIFS('هالك وتحويلات'!$E$2:$E$3001,'هالك وتحويلات'!$B$2:$B$3001,$B$2,'هالك وتحويلات'!$C$2:$C$3001,$A57,'هالك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وتحويلات'!$C$2:$C$3001,$A57,'هالك وتحويلات'!$D$2:$D$3001,"ضيافة / أكل موظفين",'هالك وتحويلات'!$A$2:$A$3001,"&gt;="&amp;'إعدادات المخزون'!$B$5,'هالك وتحويلات'!$A$2:$A$3001,"&lt;="&amp;'إعدادات المخزون'!$B$4)</f>
        <v>0</v>
      </c>
      <c r="J57" s="110" t="n">
        <f aca="false">D57+E57+F57-G57-H57-I57</f>
        <v>4.24992</v>
      </c>
      <c r="K57" s="36" t="str">
        <f aca="false">IF(COUNTIFS('جرد فعلي'!$B$2:$B$12001,$B$2,'جرد فعلي'!$C$2:$C$12001,$A57,'جرد فعلي'!$A$2:$A$12001,'إعدادات المخزون'!$B$4)&gt;0,"نعم","لا")</f>
        <v>لا</v>
      </c>
      <c r="L57" s="111" t="str">
        <f aca="false">IF(K57="نعم",SUMIFS('جرد فعلي'!$D$2:$D$12001,'جرد فعلي'!$B$2:$B$12001,$B$2,'جرد فعلي'!$C$2:$C$12001,$A57,'جرد فعلي'!$A$2:$A$12001,'إعدادات المخزون'!$B$4),"")</f>
        <v/>
      </c>
      <c r="M57" s="110" t="str">
        <f aca="false">IF(K57="نعم",L57-J57,"")</f>
        <v/>
      </c>
      <c r="N57" s="112" t="str">
        <f aca="false">IF(K57="نعم",IF(J57=0,IF(M57=0,0,SIGN(M57)),M57/ABS(J57)),"")</f>
        <v/>
      </c>
      <c r="O57" s="109" t="str">
        <f aca="false">IF(K57="نعم",M57*C57,"")</f>
        <v/>
      </c>
      <c r="P57" s="36" t="str">
        <f aca="false">IF(K57&lt;&gt;"نعم","لم يُجرد",IF(ABS(N57)&lt;='إعدادات المخزون'!$B$7,"مطابق",IF(M57&lt;0,"عجز","زيادة")))</f>
        <v>لم يُجرد</v>
      </c>
      <c r="Q57" s="110" t="n">
        <f aca="false">J57-Z57</f>
        <v>4.67076</v>
      </c>
      <c r="R57" s="110" t="str">
        <f aca="false">IF(COUNTIFS('جرد فعلي'!$B$2:$B$12001,$B$2,'جرد فعلي'!$C$2:$C$12001,$A57,'جرد فعلي'!$A$2:$A$12001,'إعدادات المخزون'!$B$4-1)&gt;0,SUMIFS('جرد فعلي'!$D$2:$D$12001,'جرد فعلي'!$B$2:$B$12001,$B$2,'جرد فعلي'!$C$2:$C$12001,$A57,'جرد فعلي'!$A$2:$A$12001,'إعدادات المخزون'!$B$4-1),"")</f>
        <v/>
      </c>
      <c r="S57" s="110" t="str">
        <f aca="false">IF(AND(K57="نعم",R57&lt;&gt;""),(L57-J57)-(R57-Q57),"")</f>
        <v/>
      </c>
      <c r="T57" s="109" t="str">
        <f aca="false">IF(S57="","",S57*C57)</f>
        <v/>
      </c>
      <c r="U57" s="110" t="n">
        <f aca="false">IF(K57="نعم",L57,J57)</f>
        <v>4.24992</v>
      </c>
      <c r="V57" s="110" t="n">
        <f aca="false">SUMPRODUCT('مصفوفة الاستهلاك'!$AZ$2:$AZ$190,'متجهات المبيعات'!$G$2:$G$190)/'مواد المخزون'!$D$52/MAX(1,MIN('إعدادات المخزون'!$B$11,'إعدادات المخزون'!$B$4-'إعدادات المخزون'!$B$5+1))</f>
        <v>0.42084</v>
      </c>
      <c r="W57" s="110" t="n">
        <f aca="false">IF(V57&lt;=0,0,ROUNDUP(MAX(0,V57*('إعدادات المخزون'!$B$8+'إعدادات المخزون'!$B$9+'إعدادات المخزون'!$B$10)-MAX(U57,0))/'مواد المخزون'!$F52,0)*'مواد المخزون'!$F52)</f>
        <v>0</v>
      </c>
      <c r="X57" s="109" t="n">
        <f aca="false">IF(AND(K57="نعم",O57&lt;0),-O57+ROW()*0.000000001,0)</f>
        <v>0</v>
      </c>
      <c r="Y57" s="109" t="n">
        <f aca="false">IF(AND(K57="نعم",O57&gt;0),O57+ROW()*0.000000001,0)</f>
        <v>0</v>
      </c>
      <c r="Z57" s="110" t="n">
        <f aca="false">SUMIFS('مشتريات يومية'!$D$2:$D$4001,'مشتريات يومية'!$B$2:$B$4001,$B$2,'مشتريات يومية'!$C$2:$C$4001,$A57,'مشتريات يومية'!$A$2:$A$4001,'إعدادات المخزون'!$B$4)+SUMIFS('هالك وتحويلات'!$E$2:$E$3001,'هالك وتحويلات'!$B$2:$B$3001,$B$2,'هالك وتحويلات'!$C$2:$C$3001,$A57,'هالك وتحويلات'!$D$2:$D$3001,"تحويل وارد",'هالك وتحويلات'!$A$2:$A$3001,'إعدادات المخزون'!$B$4)-SUMIFS('هالك وتحويلات'!$E$2:$E$3001,'هالك وتحويلات'!$B$2:$B$3001,$B$2,'هالك وتحويلات'!$C$2:$C$3001,$A57,'هالك وتحويلات'!$D$2:$D$3001,"تحويل صادر",'هالك وتحويلات'!$A$2:$A$3001,'إعدادات المخزون'!$B$4)-SUMIFS('هالك وتحويلات'!$E$2:$E$3001,'هالك وتحويلات'!$B$2:$B$3001,$B$2,'هالك وتحويلات'!$C$2:$C$3001,$A57,'هالك وتحويلات'!$D$2:$D$3001,"هالك",'هالك وتحويلات'!$A$2:$A$3001,'إعدادات المخزون'!$B$4)-SUMIFS('هالك وتحويلات'!$E$2:$E$3001,'هالك وتحويلات'!$B$2:$B$3001,$B$2,'هالك وتحويلات'!$C$2:$C$3001,$A57,'هالك وتحويلات'!$D$2:$D$3001,"ضيافة / أكل موظفين",'هالك وتحويلات'!$A$2:$A$3001,'إعدادات المخزون'!$B$4)-SUMPRODUCT('مصفوفة الاستهلاك'!$AZ$2:$AZ$190,'متجهات المبيعات'!$E$2:$E$190)/'مواد المخزون'!$D$52</f>
        <v>-0.42084</v>
      </c>
      <c r="AA57" s="109" t="n">
        <f aca="false">IF(K57="نعم",O57,0)</f>
        <v>0</v>
      </c>
      <c r="AB57" s="109" t="n">
        <f aca="false">IF(K57="نعم",J57*C57,0)</f>
        <v>0</v>
      </c>
      <c r="AC57" s="109" t="n">
        <f aca="false">IF(T57="",0,T57)</f>
        <v>0</v>
      </c>
    </row>
    <row r="58" customFormat="false" ht="15" hidden="false" customHeight="false" outlineLevel="0" collapsed="false">
      <c r="A58" s="34" t="str">
        <f aca="false">'مواد المخزون'!A53</f>
        <v>صوص رانش كيلو</v>
      </c>
      <c r="B58" s="36" t="str">
        <f aca="false">'مواد المخزون'!B53</f>
        <v>كجم</v>
      </c>
      <c r="C58" s="109" t="n">
        <f aca="false">'مواد المخزون'!E53</f>
        <v>105</v>
      </c>
      <c r="D58" s="110" t="n">
        <f aca="false">'جرد أول المدة'!D56</f>
        <v>3.6</v>
      </c>
      <c r="E58" s="110" t="n">
        <f aca="false">SUMIFS('مشتريات يومية'!$D$2:$D$4001,'مشتريات يومية'!$B$2:$B$4001,$B$2,'مشتريات يومية'!$C$2:$C$4001,$A58,'مشتريات يومية'!$A$2:$A$4001,"&gt;="&amp;'إعدادات المخزون'!$B$5,'مشتريات يومية'!$A$2:$A$4001,"&lt;="&amp;'إعدادات المخزون'!$B$4)</f>
        <v>10</v>
      </c>
      <c r="F58" s="110" t="n">
        <f aca="false">SUMIFS('هالك وتحويلات'!$E$2:$E$3001,'هالك وتحويلات'!$B$2:$B$3001,$B$2,'هالك وتحويلات'!$C$2:$C$3001,$A58,'هالك وتحويلات'!$D$2:$D$3001,"تحويل وارد",'هالك وتحويلات'!$A$2:$A$3001,"&gt;="&amp;'إعدادات المخزون'!$B$5,'هالك وتحويلات'!$A$2:$A$3001,"&lt;="&amp;'إعدادات المخزون'!$B$4)</f>
        <v>0</v>
      </c>
      <c r="G58" s="110" t="n">
        <f aca="false">SUMIFS('هالك وتحويلات'!$E$2:$E$3001,'هالك وتحويلات'!$B$2:$B$3001,$B$2,'هالك وتحويلات'!$C$2:$C$3001,$A58,'هالك وتحويلات'!$D$2:$D$3001,"تحويل صادر",'هالك وتحويلات'!$A$2:$A$3001,"&gt;="&amp;'إعدادات المخزون'!$B$5,'هالك وتحويلات'!$A$2:$A$3001,"&lt;="&amp;'إعدادات المخزون'!$B$4)</f>
        <v>0</v>
      </c>
      <c r="H58" s="110" t="n">
        <f aca="false">SUMPRODUCT('مصفوفة الاستهلاك'!$BA$2:$BA$190,'متجهات المبيعات'!$F$2:$F$190)/'مواد المخزون'!$D$53</f>
        <v>19.74996</v>
      </c>
      <c r="I58" s="110" t="n">
        <f aca="false">SUMIFS('هالك وتحويلات'!$E$2:$E$3001,'هالك وتحويلات'!$B$2:$B$3001,$B$2,'هالك وتحويلات'!$C$2:$C$3001,$A58,'هالك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وتحويلات'!$C$2:$C$3001,$A58,'هالك وتحويلات'!$D$2:$D$3001,"ضيافة / أكل موظفين",'هالك وتحويلات'!$A$2:$A$3001,"&gt;="&amp;'إعدادات المخزون'!$B$5,'هالك وتحويلات'!$A$2:$A$3001,"&lt;="&amp;'إعدادات المخزون'!$B$4)</f>
        <v>0</v>
      </c>
      <c r="J58" s="110" t="n">
        <f aca="false">D58+E58+F58-G58-H58-I58</f>
        <v>-6.14996</v>
      </c>
      <c r="K58" s="36" t="str">
        <f aca="false">IF(COUNTIFS('جرد فعلي'!$B$2:$B$12001,$B$2,'جرد فعلي'!$C$2:$C$12001,$A58,'جرد فعلي'!$A$2:$A$12001,'إعدادات المخزون'!$B$4)&gt;0,"نعم","لا")</f>
        <v>لا</v>
      </c>
      <c r="L58" s="111" t="str">
        <f aca="false">IF(K58="نعم",SUMIFS('جرد فعلي'!$D$2:$D$12001,'جرد فعلي'!$B$2:$B$12001,$B$2,'جرد فعلي'!$C$2:$C$12001,$A58,'جرد فعلي'!$A$2:$A$12001,'إعدادات المخزون'!$B$4),"")</f>
        <v/>
      </c>
      <c r="M58" s="110" t="str">
        <f aca="false">IF(K58="نعم",L58-J58,"")</f>
        <v/>
      </c>
      <c r="N58" s="112" t="str">
        <f aca="false">IF(K58="نعم",IF(J58=0,IF(M58=0,0,SIGN(M58)),M58/ABS(J58)),"")</f>
        <v/>
      </c>
      <c r="O58" s="109" t="str">
        <f aca="false">IF(K58="نعم",M58*C58,"")</f>
        <v/>
      </c>
      <c r="P58" s="36" t="str">
        <f aca="false">IF(K58&lt;&gt;"نعم","لم يُجرد",IF(ABS(N58)&lt;='إعدادات المخزون'!$B$7,"مطابق",IF(M58&lt;0,"عجز","زيادة")))</f>
        <v>لم يُجرد</v>
      </c>
      <c r="Q58" s="110" t="n">
        <f aca="false">J58-Z58</f>
        <v>-4.50413</v>
      </c>
      <c r="R58" s="110" t="str">
        <f aca="false">IF(COUNTIFS('جرد فعلي'!$B$2:$B$12001,$B$2,'جرد فعلي'!$C$2:$C$12001,$A58,'جرد فعلي'!$A$2:$A$12001,'إعدادات المخزون'!$B$4-1)&gt;0,SUMIFS('جرد فعلي'!$D$2:$D$12001,'جرد فعلي'!$B$2:$B$12001,$B$2,'جرد فعلي'!$C$2:$C$12001,$A58,'جرد فعلي'!$A$2:$A$12001,'إعدادات المخزون'!$B$4-1),"")</f>
        <v/>
      </c>
      <c r="S58" s="110" t="str">
        <f aca="false">IF(AND(K58="نعم",R58&lt;&gt;""),(L58-J58)-(R58-Q58),"")</f>
        <v/>
      </c>
      <c r="T58" s="109" t="str">
        <f aca="false">IF(S58="","",S58*C58)</f>
        <v/>
      </c>
      <c r="U58" s="110" t="n">
        <f aca="false">IF(K58="نعم",L58,J58)</f>
        <v>-6.14996</v>
      </c>
      <c r="V58" s="110" t="n">
        <f aca="false">SUMPRODUCT('مصفوفة الاستهلاك'!$BA$2:$BA$190,'متجهات المبيعات'!$G$2:$G$190)/'مواد المخزون'!$D$53/MAX(1,MIN('إعدادات المخزون'!$B$11,'إعدادات المخزون'!$B$4-'إعدادات المخزون'!$B$5+1))</f>
        <v>1.64583</v>
      </c>
      <c r="W58" s="110" t="n">
        <f aca="false">IF(V58&lt;=0,0,ROUNDUP(MAX(0,V58*('إعدادات المخزون'!$B$8+'إعدادات المخزون'!$B$9+'إعدادات المخزون'!$B$10)-MAX(U58,0))/'مواد المخزون'!$F53,0)*'مواد المخزون'!$F53)</f>
        <v>7</v>
      </c>
      <c r="X58" s="109" t="n">
        <f aca="false">IF(AND(K58="نعم",O58&lt;0),-O58+ROW()*0.000000001,0)</f>
        <v>0</v>
      </c>
      <c r="Y58" s="109" t="n">
        <f aca="false">IF(AND(K58="نعم",O58&gt;0),O58+ROW()*0.000000001,0)</f>
        <v>0</v>
      </c>
      <c r="Z58" s="110" t="n">
        <f aca="false">SUMIFS('مشتريات يومية'!$D$2:$D$4001,'مشتريات يومية'!$B$2:$B$4001,$B$2,'مشتريات يومية'!$C$2:$C$4001,$A58,'مشتريات يومية'!$A$2:$A$4001,'إعدادات المخزون'!$B$4)+SUMIFS('هالك وتحويلات'!$E$2:$E$3001,'هالك وتحويلات'!$B$2:$B$3001,$B$2,'هالك وتحويلات'!$C$2:$C$3001,$A58,'هالك وتحويلات'!$D$2:$D$3001,"تحويل وارد",'هالك وتحويلات'!$A$2:$A$3001,'إعدادات المخزون'!$B$4)-SUMIFS('هالك وتحويلات'!$E$2:$E$3001,'هالك وتحويلات'!$B$2:$B$3001,$B$2,'هالك وتحويلات'!$C$2:$C$3001,$A58,'هالك وتحويلات'!$D$2:$D$3001,"تحويل صادر",'هالك وتحويلات'!$A$2:$A$3001,'إعدادات المخزون'!$B$4)-SUMIFS('هالك وتحويلات'!$E$2:$E$3001,'هالك وتحويلات'!$B$2:$B$3001,$B$2,'هالك وتحويلات'!$C$2:$C$3001,$A58,'هالك وتحويلات'!$D$2:$D$3001,"هالك",'هالك وتحويلات'!$A$2:$A$3001,'إعدادات المخزون'!$B$4)-SUMIFS('هالك وتحويلات'!$E$2:$E$3001,'هالك وتحويلات'!$B$2:$B$3001,$B$2,'هالك وتحويلات'!$C$2:$C$3001,$A58,'هالك وتحويلات'!$D$2:$D$3001,"ضيافة / أكل موظفين",'هالك وتحويلات'!$A$2:$A$3001,'إعدادات المخزون'!$B$4)-SUMPRODUCT('مصفوفة الاستهلاك'!$BA$2:$BA$190,'متجهات المبيعات'!$E$2:$E$190)/'مواد المخزون'!$D$53</f>
        <v>-1.64583</v>
      </c>
      <c r="AA58" s="109" t="n">
        <f aca="false">IF(K58="نعم",O58,0)</f>
        <v>0</v>
      </c>
      <c r="AB58" s="109" t="n">
        <f aca="false">IF(K58="نعم",J58*C58,0)</f>
        <v>0</v>
      </c>
      <c r="AC58" s="109" t="n">
        <f aca="false">IF(T58="",0,T58)</f>
        <v>0</v>
      </c>
    </row>
    <row r="59" customFormat="false" ht="15" hidden="false" customHeight="false" outlineLevel="0" collapsed="false">
      <c r="A59" s="34" t="str">
        <f aca="false">'مواد المخزون'!A54</f>
        <v>صوص شيدر كيلو</v>
      </c>
      <c r="B59" s="36" t="str">
        <f aca="false">'مواد المخزون'!B54</f>
        <v>كجم</v>
      </c>
      <c r="C59" s="109" t="n">
        <f aca="false">'مواد المخزون'!E54</f>
        <v>140</v>
      </c>
      <c r="D59" s="110" t="n">
        <f aca="false">'جرد أول المدة'!D57</f>
        <v>6.795</v>
      </c>
      <c r="E59" s="110" t="n">
        <f aca="false">SUMIFS('مشتريات يومية'!$D$2:$D$4001,'مشتريات يومية'!$B$2:$B$4001,$B$2,'مشتريات يومية'!$C$2:$C$4001,$A59,'مشتريات يومية'!$A$2:$A$4001,"&gt;="&amp;'إعدادات المخزون'!$B$5,'مشتريات يومية'!$A$2:$A$4001,"&lt;="&amp;'إعدادات المخزون'!$B$4)</f>
        <v>10</v>
      </c>
      <c r="F59" s="110" t="n">
        <f aca="false">SUMIFS('هالك وتحويلات'!$E$2:$E$3001,'هالك وتحويلات'!$B$2:$B$3001,$B$2,'هالك وتحويلات'!$C$2:$C$3001,$A59,'هالك وتحويلات'!$D$2:$D$3001,"تحويل وارد",'هالك وتحويلات'!$A$2:$A$3001,"&gt;="&amp;'إعدادات المخزون'!$B$5,'هالك وتحويلات'!$A$2:$A$3001,"&lt;="&amp;'إعدادات المخزون'!$B$4)</f>
        <v>0</v>
      </c>
      <c r="G59" s="110" t="n">
        <f aca="false">SUMIFS('هالك وتحويلات'!$E$2:$E$3001,'هالك وتحويلات'!$B$2:$B$3001,$B$2,'هالك وتحويلات'!$C$2:$C$3001,$A59,'هالك وتحويلات'!$D$2:$D$3001,"تحويل صادر",'هالك وتحويلات'!$A$2:$A$3001,"&gt;="&amp;'إعدادات المخزون'!$B$5,'هالك وتحويلات'!$A$2:$A$3001,"&lt;="&amp;'إعدادات المخزون'!$B$4)</f>
        <v>0</v>
      </c>
      <c r="H59" s="110" t="n">
        <f aca="false">SUMPRODUCT('مصفوفة الاستهلاك'!$BB$2:$BB$190,'متجهات المبيعات'!$F$2:$F$190)/'مواد المخزون'!$D$54</f>
        <v>22.2501</v>
      </c>
      <c r="I59" s="110" t="n">
        <f aca="false">SUMIFS('هالك وتحويلات'!$E$2:$E$3001,'هالك وتحويلات'!$B$2:$B$3001,$B$2,'هالك وتحويلات'!$C$2:$C$3001,$A59,'هالك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وتحويلات'!$C$2:$C$3001,$A59,'هالك وتحويلات'!$D$2:$D$3001,"ضيافة / أكل موظفين",'هالك وتحويلات'!$A$2:$A$3001,"&gt;="&amp;'إعدادات المخزون'!$B$5,'هالك وتحويلات'!$A$2:$A$3001,"&lt;="&amp;'إعدادات المخزون'!$B$4)</f>
        <v>0</v>
      </c>
      <c r="J59" s="110" t="n">
        <f aca="false">D59+E59+F59-G59-H59-I59</f>
        <v>-5.4551</v>
      </c>
      <c r="K59" s="36" t="str">
        <f aca="false">IF(COUNTIFS('جرد فعلي'!$B$2:$B$12001,$B$2,'جرد فعلي'!$C$2:$C$12001,$A59,'جرد فعلي'!$A$2:$A$12001,'إعدادات المخزون'!$B$4)&gt;0,"نعم","لا")</f>
        <v>لا</v>
      </c>
      <c r="L59" s="111" t="str">
        <f aca="false">IF(K59="نعم",SUMIFS('جرد فعلي'!$D$2:$D$12001,'جرد فعلي'!$B$2:$B$12001,$B$2,'جرد فعلي'!$C$2:$C$12001,$A59,'جرد فعلي'!$A$2:$A$12001,'إعدادات المخزون'!$B$4),"")</f>
        <v/>
      </c>
      <c r="M59" s="110" t="str">
        <f aca="false">IF(K59="نعم",L59-J59,"")</f>
        <v/>
      </c>
      <c r="N59" s="112" t="str">
        <f aca="false">IF(K59="نعم",IF(J59=0,IF(M59=0,0,SIGN(M59)),M59/ABS(J59)),"")</f>
        <v/>
      </c>
      <c r="O59" s="109" t="str">
        <f aca="false">IF(K59="نعم",M59*C59,"")</f>
        <v/>
      </c>
      <c r="P59" s="36" t="str">
        <f aca="false">IF(K59&lt;&gt;"نعم","لم يُجرد",IF(ABS(N59)&lt;='إعدادات المخزون'!$B$7,"مطابق",IF(M59&lt;0,"عجز","زيادة")))</f>
        <v>لم يُجرد</v>
      </c>
      <c r="Q59" s="110" t="n">
        <f aca="false">J59-Z59</f>
        <v>-3.600925</v>
      </c>
      <c r="R59" s="110" t="str">
        <f aca="false">IF(COUNTIFS('جرد فعلي'!$B$2:$B$12001,$B$2,'جرد فعلي'!$C$2:$C$12001,$A59,'جرد فعلي'!$A$2:$A$12001,'إعدادات المخزون'!$B$4-1)&gt;0,SUMIFS('جرد فعلي'!$D$2:$D$12001,'جرد فعلي'!$B$2:$B$12001,$B$2,'جرد فعلي'!$C$2:$C$12001,$A59,'جرد فعلي'!$A$2:$A$12001,'إعدادات المخزون'!$B$4-1),"")</f>
        <v/>
      </c>
      <c r="S59" s="110" t="str">
        <f aca="false">IF(AND(K59="نعم",R59&lt;&gt;""),(L59-J59)-(R59-Q59),"")</f>
        <v/>
      </c>
      <c r="T59" s="109" t="str">
        <f aca="false">IF(S59="","",S59*C59)</f>
        <v/>
      </c>
      <c r="U59" s="110" t="n">
        <f aca="false">IF(K59="نعم",L59,J59)</f>
        <v>-5.4551</v>
      </c>
      <c r="V59" s="110" t="n">
        <f aca="false">SUMPRODUCT('مصفوفة الاستهلاك'!$BB$2:$BB$190,'متجهات المبيعات'!$G$2:$G$190)/'مواد المخزون'!$D$54/MAX(1,MIN('إعدادات المخزون'!$B$11,'إعدادات المخزون'!$B$4-'إعدادات المخزون'!$B$5+1))</f>
        <v>1.854175</v>
      </c>
      <c r="W59" s="110" t="n">
        <f aca="false">IF(V59&lt;=0,0,ROUNDUP(MAX(0,V59*('إعدادات المخزون'!$B$8+'إعدادات المخزون'!$B$9+'إعدادات المخزون'!$B$10)-MAX(U59,0))/'مواد المخزون'!$F54,0)*'مواد المخزون'!$F54)</f>
        <v>8</v>
      </c>
      <c r="X59" s="109" t="n">
        <f aca="false">IF(AND(K59="نعم",O59&lt;0),-O59+ROW()*0.000000001,0)</f>
        <v>0</v>
      </c>
      <c r="Y59" s="109" t="n">
        <f aca="false">IF(AND(K59="نعم",O59&gt;0),O59+ROW()*0.000000001,0)</f>
        <v>0</v>
      </c>
      <c r="Z59" s="110" t="n">
        <f aca="false">SUMIFS('مشتريات يومية'!$D$2:$D$4001,'مشتريات يومية'!$B$2:$B$4001,$B$2,'مشتريات يومية'!$C$2:$C$4001,$A59,'مشتريات يومية'!$A$2:$A$4001,'إعدادات المخزون'!$B$4)+SUMIFS('هالك وتحويلات'!$E$2:$E$3001,'هالك وتحويلات'!$B$2:$B$3001,$B$2,'هالك وتحويلات'!$C$2:$C$3001,$A59,'هالك وتحويلات'!$D$2:$D$3001,"تحويل وارد",'هالك وتحويلات'!$A$2:$A$3001,'إعدادات المخزون'!$B$4)-SUMIFS('هالك وتحويلات'!$E$2:$E$3001,'هالك وتحويلات'!$B$2:$B$3001,$B$2,'هالك وتحويلات'!$C$2:$C$3001,$A59,'هالك وتحويلات'!$D$2:$D$3001,"تحويل صادر",'هالك وتحويلات'!$A$2:$A$3001,'إعدادات المخزون'!$B$4)-SUMIFS('هالك وتحويلات'!$E$2:$E$3001,'هالك وتحويلات'!$B$2:$B$3001,$B$2,'هالك وتحويلات'!$C$2:$C$3001,$A59,'هالك وتحويلات'!$D$2:$D$3001,"هالك",'هالك وتحويلات'!$A$2:$A$3001,'إعدادات المخزون'!$B$4)-SUMIFS('هالك وتحويلات'!$E$2:$E$3001,'هالك وتحويلات'!$B$2:$B$3001,$B$2,'هالك وتحويلات'!$C$2:$C$3001,$A59,'هالك وتحويلات'!$D$2:$D$3001,"ضيافة / أكل موظفين",'هالك وتحويلات'!$A$2:$A$3001,'إعدادات المخزون'!$B$4)-SUMPRODUCT('مصفوفة الاستهلاك'!$BB$2:$BB$190,'متجهات المبيعات'!$E$2:$E$190)/'مواد المخزون'!$D$54</f>
        <v>-1.854175</v>
      </c>
      <c r="AA59" s="109" t="n">
        <f aca="false">IF(K59="نعم",O59,0)</f>
        <v>0</v>
      </c>
      <c r="AB59" s="109" t="n">
        <f aca="false">IF(K59="نعم",J59*C59,0)</f>
        <v>0</v>
      </c>
      <c r="AC59" s="109" t="n">
        <f aca="false">IF(T59="",0,T59)</f>
        <v>0</v>
      </c>
    </row>
    <row r="60" customFormat="false" ht="15" hidden="false" customHeight="false" outlineLevel="0" collapsed="false">
      <c r="A60" s="34" t="str">
        <f aca="false">'مواد المخزون'!A55</f>
        <v>طماطم</v>
      </c>
      <c r="B60" s="36" t="str">
        <f aca="false">'مواد المخزون'!B55</f>
        <v>كجم</v>
      </c>
      <c r="C60" s="109" t="n">
        <f aca="false">'مواد المخزون'!E55</f>
        <v>21</v>
      </c>
      <c r="D60" s="110" t="n">
        <f aca="false">'جرد أول المدة'!D58</f>
        <v>6.55</v>
      </c>
      <c r="E60" s="110" t="n">
        <f aca="false">SUMIFS('مشتريات يومية'!$D$2:$D$4001,'مشتريات يومية'!$B$2:$B$4001,$B$2,'مشتريات يومية'!$C$2:$C$4001,$A60,'مشتريات يومية'!$A$2:$A$4001,"&gt;="&amp;'إعدادات المخزون'!$B$5,'مشتريات يومية'!$A$2:$A$4001,"&lt;="&amp;'إعدادات المخزون'!$B$4)</f>
        <v>99</v>
      </c>
      <c r="F60" s="110" t="n">
        <f aca="false">SUMIFS('هالك وتحويلات'!$E$2:$E$3001,'هالك وتحويلات'!$B$2:$B$3001,$B$2,'هالك وتحويلات'!$C$2:$C$3001,$A60,'هالك وتحويلات'!$D$2:$D$3001,"تحويل وارد",'هالك وتحويلات'!$A$2:$A$3001,"&gt;="&amp;'إعدادات المخزون'!$B$5,'هالك وتحويلات'!$A$2:$A$3001,"&lt;="&amp;'إعدادات المخزون'!$B$4)</f>
        <v>0</v>
      </c>
      <c r="G60" s="110" t="n">
        <f aca="false">SUMIFS('هالك وتحويلات'!$E$2:$E$3001,'هالك وتحويلات'!$B$2:$B$3001,$B$2,'هالك وتحويلات'!$C$2:$C$3001,$A60,'هالك وتحويلات'!$D$2:$D$3001,"تحويل صادر",'هالك وتحويلات'!$A$2:$A$3001,"&gt;="&amp;'إعدادات المخزون'!$B$5,'هالك وتحويلات'!$A$2:$A$3001,"&lt;="&amp;'إعدادات المخزون'!$B$4)</f>
        <v>0</v>
      </c>
      <c r="H60" s="110" t="n">
        <f aca="false">SUMPRODUCT('مصفوفة الاستهلاك'!$BC$2:$BC$190,'متجهات المبيعات'!$F$2:$F$190)/'مواد المخزون'!$D$55</f>
        <v>50.455044</v>
      </c>
      <c r="I60" s="110" t="n">
        <f aca="false">SUMIFS('هالك وتحويلات'!$E$2:$E$3001,'هالك وتحويلات'!$B$2:$B$3001,$B$2,'هالك وتحويلات'!$C$2:$C$3001,$A60,'هالك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وتحويلات'!$C$2:$C$3001,$A60,'هالك وتحويلات'!$D$2:$D$3001,"ضيافة / أكل موظفين",'هالك وتحويلات'!$A$2:$A$3001,"&gt;="&amp;'إعدادات المخزون'!$B$5,'هالك وتحويلات'!$A$2:$A$3001,"&lt;="&amp;'إعدادات المخزون'!$B$4)</f>
        <v>0</v>
      </c>
      <c r="J60" s="110" t="n">
        <f aca="false">D60+E60+F60-G60-H60-I60</f>
        <v>55.094956</v>
      </c>
      <c r="K60" s="36" t="str">
        <f aca="false">IF(COUNTIFS('جرد فعلي'!$B$2:$B$12001,$B$2,'جرد فعلي'!$C$2:$C$12001,$A60,'جرد فعلي'!$A$2:$A$12001,'إعدادات المخزون'!$B$4)&gt;0,"نعم","لا")</f>
        <v>لا</v>
      </c>
      <c r="L60" s="111" t="str">
        <f aca="false">IF(K60="نعم",SUMIFS('جرد فعلي'!$D$2:$D$12001,'جرد فعلي'!$B$2:$B$12001,$B$2,'جرد فعلي'!$C$2:$C$12001,$A60,'جرد فعلي'!$A$2:$A$12001,'إعدادات المخزون'!$B$4),"")</f>
        <v/>
      </c>
      <c r="M60" s="110" t="str">
        <f aca="false">IF(K60="نعم",L60-J60,"")</f>
        <v/>
      </c>
      <c r="N60" s="112" t="str">
        <f aca="false">IF(K60="نعم",IF(J60=0,IF(M60=0,0,SIGN(M60)),M60/ABS(J60)),"")</f>
        <v/>
      </c>
      <c r="O60" s="109" t="str">
        <f aca="false">IF(K60="نعم",M60*C60,"")</f>
        <v/>
      </c>
      <c r="P60" s="36" t="str">
        <f aca="false">IF(K60&lt;&gt;"نعم","لم يُجرد",IF(ABS(N60)&lt;='إعدادات المخزون'!$B$7,"مطابق",IF(M60&lt;0,"عجز","زيادة")))</f>
        <v>لم يُجرد</v>
      </c>
      <c r="Q60" s="110" t="n">
        <f aca="false">J60-Z60</f>
        <v>59.299543</v>
      </c>
      <c r="R60" s="110" t="str">
        <f aca="false">IF(COUNTIFS('جرد فعلي'!$B$2:$B$12001,$B$2,'جرد فعلي'!$C$2:$C$12001,$A60,'جرد فعلي'!$A$2:$A$12001,'إعدادات المخزون'!$B$4-1)&gt;0,SUMIFS('جرد فعلي'!$D$2:$D$12001,'جرد فعلي'!$B$2:$B$12001,$B$2,'جرد فعلي'!$C$2:$C$12001,$A60,'جرد فعلي'!$A$2:$A$12001,'إعدادات المخزون'!$B$4-1),"")</f>
        <v/>
      </c>
      <c r="S60" s="110" t="str">
        <f aca="false">IF(AND(K60="نعم",R60&lt;&gt;""),(L60-J60)-(R60-Q60),"")</f>
        <v/>
      </c>
      <c r="T60" s="109" t="str">
        <f aca="false">IF(S60="","",S60*C60)</f>
        <v/>
      </c>
      <c r="U60" s="110" t="n">
        <f aca="false">IF(K60="نعم",L60,J60)</f>
        <v>55.094956</v>
      </c>
      <c r="V60" s="110" t="n">
        <f aca="false">SUMPRODUCT('مصفوفة الاستهلاك'!$BC$2:$BC$190,'متجهات المبيعات'!$G$2:$G$190)/'مواد المخزون'!$D$55/MAX(1,MIN('إعدادات المخزون'!$B$11,'إعدادات المخزون'!$B$4-'إعدادات المخزون'!$B$5+1))</f>
        <v>4.204587</v>
      </c>
      <c r="W60" s="110" t="n">
        <f aca="false">IF(V60&lt;=0,0,ROUNDUP(MAX(0,V60*('إعدادات المخزون'!$B$8+'إعدادات المخزون'!$B$9+'إعدادات المخزون'!$B$10)-MAX(U60,0))/'مواد المخزون'!$F55,0)*'مواد المخزون'!$F55)</f>
        <v>0</v>
      </c>
      <c r="X60" s="109" t="n">
        <f aca="false">IF(AND(K60="نعم",O60&lt;0),-O60+ROW()*0.000000001,0)</f>
        <v>0</v>
      </c>
      <c r="Y60" s="109" t="n">
        <f aca="false">IF(AND(K60="نعم",O60&gt;0),O60+ROW()*0.000000001,0)</f>
        <v>0</v>
      </c>
      <c r="Z60" s="110" t="n">
        <f aca="false">SUMIFS('مشتريات يومية'!$D$2:$D$4001,'مشتريات يومية'!$B$2:$B$4001,$B$2,'مشتريات يومية'!$C$2:$C$4001,$A60,'مشتريات يومية'!$A$2:$A$4001,'إعدادات المخزون'!$B$4)+SUMIFS('هالك وتحويلات'!$E$2:$E$3001,'هالك وتحويلات'!$B$2:$B$3001,$B$2,'هالك وتحويلات'!$C$2:$C$3001,$A60,'هالك وتحويلات'!$D$2:$D$3001,"تحويل وارد",'هالك وتحويلات'!$A$2:$A$3001,'إعدادات المخزون'!$B$4)-SUMIFS('هالك وتحويلات'!$E$2:$E$3001,'هالك وتحويلات'!$B$2:$B$3001,$B$2,'هالك وتحويلات'!$C$2:$C$3001,$A60,'هالك وتحويلات'!$D$2:$D$3001,"تحويل صادر",'هالك وتحويلات'!$A$2:$A$3001,'إعدادات المخزون'!$B$4)-SUMIFS('هالك وتحويلات'!$E$2:$E$3001,'هالك وتحويلات'!$B$2:$B$3001,$B$2,'هالك وتحويلات'!$C$2:$C$3001,$A60,'هالك وتحويلات'!$D$2:$D$3001,"هالك",'هالك وتحويلات'!$A$2:$A$3001,'إعدادات المخزون'!$B$4)-SUMIFS('هالك وتحويلات'!$E$2:$E$3001,'هالك وتحويلات'!$B$2:$B$3001,$B$2,'هالك وتحويلات'!$C$2:$C$3001,$A60,'هالك وتحويلات'!$D$2:$D$3001,"ضيافة / أكل موظفين",'هالك وتحويلات'!$A$2:$A$3001,'إعدادات المخزون'!$B$4)-SUMPRODUCT('مصفوفة الاستهلاك'!$BC$2:$BC$190,'متجهات المبيعات'!$E$2:$E$190)/'مواد المخزون'!$D$55</f>
        <v>-4.204587</v>
      </c>
      <c r="AA60" s="109" t="n">
        <f aca="false">IF(K60="نعم",O60,0)</f>
        <v>0</v>
      </c>
      <c r="AB60" s="109" t="n">
        <f aca="false">IF(K60="نعم",J60*C60,0)</f>
        <v>0</v>
      </c>
      <c r="AC60" s="109" t="n">
        <f aca="false">IF(T60="",0,T60)</f>
        <v>0</v>
      </c>
    </row>
    <row r="61" customFormat="false" ht="15" hidden="false" customHeight="false" outlineLevel="0" collapsed="false">
      <c r="A61" s="34" t="str">
        <f aca="false">'مواد المخزون'!A56</f>
        <v>عجين بيتزا</v>
      </c>
      <c r="B61" s="36" t="str">
        <f aca="false">'مواد المخزون'!B56</f>
        <v>كجم</v>
      </c>
      <c r="C61" s="109" t="n">
        <f aca="false">'مواد المخزون'!E56</f>
        <v>22</v>
      </c>
      <c r="D61" s="110" t="n">
        <f aca="false">'جرد أول المدة'!D59</f>
        <v>25</v>
      </c>
      <c r="E61" s="110" t="n">
        <f aca="false">SUMIFS('مشتريات يومية'!$D$2:$D$4001,'مشتريات يومية'!$B$2:$B$4001,$B$2,'مشتريات يومية'!$C$2:$C$4001,$A61,'مشتريات يومية'!$A$2:$A$4001,"&gt;="&amp;'إعدادات المخزون'!$B$5,'مشتريات يومية'!$A$2:$A$4001,"&lt;="&amp;'إعدادات المخزون'!$B$4)</f>
        <v>135</v>
      </c>
      <c r="F61" s="110" t="n">
        <f aca="false">SUMIFS('هالك وتحويلات'!$E$2:$E$3001,'هالك وتحويلات'!$B$2:$B$3001,$B$2,'هالك وتحويلات'!$C$2:$C$3001,$A61,'هالك وتحويلات'!$D$2:$D$3001,"تحويل وارد",'هالك وتحويلات'!$A$2:$A$3001,"&gt;="&amp;'إعدادات المخزون'!$B$5,'هالك وتحويلات'!$A$2:$A$3001,"&lt;="&amp;'إعدادات المخزون'!$B$4)</f>
        <v>0</v>
      </c>
      <c r="G61" s="110" t="n">
        <f aca="false">SUMIFS('هالك وتحويلات'!$E$2:$E$3001,'هالك وتحويلات'!$B$2:$B$3001,$B$2,'هالك وتحويلات'!$C$2:$C$3001,$A61,'هالك وتحويلات'!$D$2:$D$3001,"تحويل صادر",'هالك وتحويلات'!$A$2:$A$3001,"&gt;="&amp;'إعدادات المخزون'!$B$5,'هالك وتحويلات'!$A$2:$A$3001,"&lt;="&amp;'إعدادات المخزون'!$B$4)</f>
        <v>0</v>
      </c>
      <c r="H61" s="110" t="n">
        <f aca="false">SUMPRODUCT('مصفوفة الاستهلاك'!$BD$2:$BD$190,'متجهات المبيعات'!$F$2:$F$190)/'مواد المخزون'!$D$56</f>
        <v>141.459804</v>
      </c>
      <c r="I61" s="110" t="n">
        <f aca="false">SUMIFS('هالك وتحويلات'!$E$2:$E$3001,'هالك وتحويلات'!$B$2:$B$3001,$B$2,'هالك وتحويلات'!$C$2:$C$3001,$A61,'هالك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وتحويلات'!$C$2:$C$3001,$A61,'هالك وتحويلات'!$D$2:$D$3001,"ضيافة / أكل موظفين",'هالك وتحويلات'!$A$2:$A$3001,"&gt;="&amp;'إعدادات المخزون'!$B$5,'هالك وتحويلات'!$A$2:$A$3001,"&lt;="&amp;'إعدادات المخزون'!$B$4)</f>
        <v>0</v>
      </c>
      <c r="J61" s="110" t="n">
        <f aca="false">D61+E61+F61-G61-H61-I61</f>
        <v>18.540196</v>
      </c>
      <c r="K61" s="36" t="str">
        <f aca="false">IF(COUNTIFS('جرد فعلي'!$B$2:$B$12001,$B$2,'جرد فعلي'!$C$2:$C$12001,$A61,'جرد فعلي'!$A$2:$A$12001,'إعدادات المخزون'!$B$4)&gt;0,"نعم","لا")</f>
        <v>لا</v>
      </c>
      <c r="L61" s="111" t="str">
        <f aca="false">IF(K61="نعم",SUMIFS('جرد فعلي'!$D$2:$D$12001,'جرد فعلي'!$B$2:$B$12001,$B$2,'جرد فعلي'!$C$2:$C$12001,$A61,'جرد فعلي'!$A$2:$A$12001,'إعدادات المخزون'!$B$4),"")</f>
        <v/>
      </c>
      <c r="M61" s="110" t="str">
        <f aca="false">IF(K61="نعم",L61-J61,"")</f>
        <v/>
      </c>
      <c r="N61" s="112" t="str">
        <f aca="false">IF(K61="نعم",IF(J61=0,IF(M61=0,0,SIGN(M61)),M61/ABS(J61)),"")</f>
        <v/>
      </c>
      <c r="O61" s="109" t="str">
        <f aca="false">IF(K61="نعم",M61*C61,"")</f>
        <v/>
      </c>
      <c r="P61" s="36" t="str">
        <f aca="false">IF(K61&lt;&gt;"نعم","لم يُجرد",IF(ABS(N61)&lt;='إعدادات المخزون'!$B$7,"مطابق",IF(M61&lt;0,"عجز","زيادة")))</f>
        <v>لم يُجرد</v>
      </c>
      <c r="Q61" s="110" t="n">
        <f aca="false">J61-Z61</f>
        <v>30.328513</v>
      </c>
      <c r="R61" s="110" t="str">
        <f aca="false">IF(COUNTIFS('جرد فعلي'!$B$2:$B$12001,$B$2,'جرد فعلي'!$C$2:$C$12001,$A61,'جرد فعلي'!$A$2:$A$12001,'إعدادات المخزون'!$B$4-1)&gt;0,SUMIFS('جرد فعلي'!$D$2:$D$12001,'جرد فعلي'!$B$2:$B$12001,$B$2,'جرد فعلي'!$C$2:$C$12001,$A61,'جرد فعلي'!$A$2:$A$12001,'إعدادات المخزون'!$B$4-1),"")</f>
        <v/>
      </c>
      <c r="S61" s="110" t="str">
        <f aca="false">IF(AND(K61="نعم",R61&lt;&gt;""),(L61-J61)-(R61-Q61),"")</f>
        <v/>
      </c>
      <c r="T61" s="109" t="str">
        <f aca="false">IF(S61="","",S61*C61)</f>
        <v/>
      </c>
      <c r="U61" s="110" t="n">
        <f aca="false">IF(K61="نعم",L61,J61)</f>
        <v>18.540196</v>
      </c>
      <c r="V61" s="110" t="n">
        <f aca="false">SUMPRODUCT('مصفوفة الاستهلاك'!$BD$2:$BD$190,'متجهات المبيعات'!$G$2:$G$190)/'مواد المخزون'!$D$56/MAX(1,MIN('إعدادات المخزون'!$B$11,'إعدادات المخزون'!$B$4-'إعدادات المخزون'!$B$5+1))</f>
        <v>11.788317</v>
      </c>
      <c r="W61" s="110" t="n">
        <f aca="false">IF(V61&lt;=0,0,ROUNDUP(MAX(0,V61*('إعدادات المخزون'!$B$8+'إعدادات المخزون'!$B$9+'إعدادات المخزون'!$B$10)-MAX(U61,0))/'مواد المخزون'!$F56,0)*'مواد المخزون'!$F56)</f>
        <v>29</v>
      </c>
      <c r="X61" s="109" t="n">
        <f aca="false">IF(AND(K61="نعم",O61&lt;0),-O61+ROW()*0.000000001,0)</f>
        <v>0</v>
      </c>
      <c r="Y61" s="109" t="n">
        <f aca="false">IF(AND(K61="نعم",O61&gt;0),O61+ROW()*0.000000001,0)</f>
        <v>0</v>
      </c>
      <c r="Z61" s="110" t="n">
        <f aca="false">SUMIFS('مشتريات يومية'!$D$2:$D$4001,'مشتريات يومية'!$B$2:$B$4001,$B$2,'مشتريات يومية'!$C$2:$C$4001,$A61,'مشتريات يومية'!$A$2:$A$4001,'إعدادات المخزون'!$B$4)+SUMIFS('هالك وتحويلات'!$E$2:$E$3001,'هالك وتحويلات'!$B$2:$B$3001,$B$2,'هالك وتحويلات'!$C$2:$C$3001,$A61,'هالك وتحويلات'!$D$2:$D$3001,"تحويل وارد",'هالك وتحويلات'!$A$2:$A$3001,'إعدادات المخزون'!$B$4)-SUMIFS('هالك وتحويلات'!$E$2:$E$3001,'هالك وتحويلات'!$B$2:$B$3001,$B$2,'هالك وتحويلات'!$C$2:$C$3001,$A61,'هالك وتحويلات'!$D$2:$D$3001,"تحويل صادر",'هالك وتحويلات'!$A$2:$A$3001,'إعدادات المخزون'!$B$4)-SUMIFS('هالك وتحويلات'!$E$2:$E$3001,'هالك وتحويلات'!$B$2:$B$3001,$B$2,'هالك وتحويلات'!$C$2:$C$3001,$A61,'هالك وتحويلات'!$D$2:$D$3001,"هالك",'هالك وتحويلات'!$A$2:$A$3001,'إعدادات المخزون'!$B$4)-SUMIFS('هالك وتحويلات'!$E$2:$E$3001,'هالك وتحويلات'!$B$2:$B$3001,$B$2,'هالك وتحويلات'!$C$2:$C$3001,$A61,'هالك وتحويلات'!$D$2:$D$3001,"ضيافة / أكل موظفين",'هالك وتحويلات'!$A$2:$A$3001,'إعدادات المخزون'!$B$4)-SUMPRODUCT('مصفوفة الاستهلاك'!$BD$2:$BD$190,'متجهات المبيعات'!$E$2:$E$190)/'مواد المخزون'!$D$56</f>
        <v>-11.788317</v>
      </c>
      <c r="AA61" s="109" t="n">
        <f aca="false">IF(K61="نعم",O61,0)</f>
        <v>0</v>
      </c>
      <c r="AB61" s="109" t="n">
        <f aca="false">IF(K61="نعم",J61*C61,0)</f>
        <v>0</v>
      </c>
      <c r="AC61" s="109" t="n">
        <f aca="false">IF(T61="",0,T61)</f>
        <v>0</v>
      </c>
    </row>
    <row r="62" customFormat="false" ht="15" hidden="false" customHeight="false" outlineLevel="0" collapsed="false">
      <c r="A62" s="34" t="str">
        <f aca="false">'مواد المخزون'!A57</f>
        <v>عجين فطير</v>
      </c>
      <c r="B62" s="36" t="str">
        <f aca="false">'مواد المخزون'!B57</f>
        <v>قطعة</v>
      </c>
      <c r="C62" s="109" t="n">
        <f aca="false">'مواد المخزون'!E57</f>
        <v>4</v>
      </c>
      <c r="D62" s="110" t="n">
        <f aca="false">'جرد أول المدة'!D60</f>
        <v>199</v>
      </c>
      <c r="E62" s="110" t="n">
        <f aca="false">SUMIFS('مشتريات يومية'!$D$2:$D$4001,'مشتريات يومية'!$B$2:$B$4001,$B$2,'مشتريات يومية'!$C$2:$C$4001,$A62,'مشتريات يومية'!$A$2:$A$4001,"&gt;="&amp;'إعدادات المخزون'!$B$5,'مشتريات يومية'!$A$2:$A$4001,"&lt;="&amp;'إعدادات المخزون'!$B$4)</f>
        <v>1400</v>
      </c>
      <c r="F62" s="110" t="n">
        <f aca="false">SUMIFS('هالك وتحويلات'!$E$2:$E$3001,'هالك وتحويلات'!$B$2:$B$3001,$B$2,'هالك وتحويلات'!$C$2:$C$3001,$A62,'هالك وتحويلات'!$D$2:$D$3001,"تحويل وارد",'هالك وتحويلات'!$A$2:$A$3001,"&gt;="&amp;'إعدادات المخزون'!$B$5,'هالك وتحويلات'!$A$2:$A$3001,"&lt;="&amp;'إعدادات المخزون'!$B$4)</f>
        <v>0</v>
      </c>
      <c r="G62" s="110" t="n">
        <f aca="false">SUMIFS('هالك وتحويلات'!$E$2:$E$3001,'هالك وتحويلات'!$B$2:$B$3001,$B$2,'هالك وتحويلات'!$C$2:$C$3001,$A62,'هالك وتحويلات'!$D$2:$D$3001,"تحويل صادر",'هالك وتحويلات'!$A$2:$A$3001,"&gt;="&amp;'إعدادات المخزون'!$B$5,'هالك وتحويلات'!$A$2:$A$3001,"&lt;="&amp;'إعدادات المخزون'!$B$4)</f>
        <v>0</v>
      </c>
      <c r="H62" s="110" t="n">
        <f aca="false">SUMPRODUCT('مصفوفة الاستهلاك'!$BE$2:$BE$190,'متجهات المبيعات'!$F$2:$F$190)/'مواد المخزون'!$D$57</f>
        <v>1711.0026</v>
      </c>
      <c r="I62" s="110" t="n">
        <f aca="false">SUMIFS('هالك وتحويلات'!$E$2:$E$3001,'هالك وتحويلات'!$B$2:$B$3001,$B$2,'هالك وتحويلات'!$C$2:$C$3001,$A62,'هالك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وتحويلات'!$C$2:$C$3001,$A62,'هالك وتحويلات'!$D$2:$D$3001,"ضيافة / أكل موظفين",'هالك وتحويلات'!$A$2:$A$3001,"&gt;="&amp;'إعدادات المخزون'!$B$5,'هالك وتحويلات'!$A$2:$A$3001,"&lt;="&amp;'إعدادات المخزون'!$B$4)</f>
        <v>0</v>
      </c>
      <c r="J62" s="110" t="n">
        <f aca="false">D62+E62+F62-G62-H62-I62</f>
        <v>-112.0026</v>
      </c>
      <c r="K62" s="36" t="str">
        <f aca="false">IF(COUNTIFS('جرد فعلي'!$B$2:$B$12001,$B$2,'جرد فعلي'!$C$2:$C$12001,$A62,'جرد فعلي'!$A$2:$A$12001,'إعدادات المخزون'!$B$4)&gt;0,"نعم","لا")</f>
        <v>لا</v>
      </c>
      <c r="L62" s="111" t="str">
        <f aca="false">IF(K62="نعم",SUMIFS('جرد فعلي'!$D$2:$D$12001,'جرد فعلي'!$B$2:$B$12001,$B$2,'جرد فعلي'!$C$2:$C$12001,$A62,'جرد فعلي'!$A$2:$A$12001,'إعدادات المخزون'!$B$4),"")</f>
        <v/>
      </c>
      <c r="M62" s="110" t="str">
        <f aca="false">IF(K62="نعم",L62-J62,"")</f>
        <v/>
      </c>
      <c r="N62" s="112" t="str">
        <f aca="false">IF(K62="نعم",IF(J62=0,IF(M62=0,0,SIGN(M62)),M62/ABS(J62)),"")</f>
        <v/>
      </c>
      <c r="O62" s="109" t="str">
        <f aca="false">IF(K62="نعم",M62*C62,"")</f>
        <v/>
      </c>
      <c r="P62" s="36" t="str">
        <f aca="false">IF(K62&lt;&gt;"نعم","لم يُجرد",IF(ABS(N62)&lt;='إعدادات المخزون'!$B$7,"مطابق",IF(M62&lt;0,"عجز","زيادة")))</f>
        <v>لم يُجرد</v>
      </c>
      <c r="Q62" s="110" t="n">
        <f aca="false">J62-Z62</f>
        <v>30.58095</v>
      </c>
      <c r="R62" s="110" t="str">
        <f aca="false">IF(COUNTIFS('جرد فعلي'!$B$2:$B$12001,$B$2,'جرد فعلي'!$C$2:$C$12001,$A62,'جرد فعلي'!$A$2:$A$12001,'إعدادات المخزون'!$B$4-1)&gt;0,SUMIFS('جرد فعلي'!$D$2:$D$12001,'جرد فعلي'!$B$2:$B$12001,$B$2,'جرد فعلي'!$C$2:$C$12001,$A62,'جرد فعلي'!$A$2:$A$12001,'إعدادات المخزون'!$B$4-1),"")</f>
        <v/>
      </c>
      <c r="S62" s="110" t="str">
        <f aca="false">IF(AND(K62="نعم",R62&lt;&gt;""),(L62-J62)-(R62-Q62),"")</f>
        <v/>
      </c>
      <c r="T62" s="109" t="str">
        <f aca="false">IF(S62="","",S62*C62)</f>
        <v/>
      </c>
      <c r="U62" s="110" t="n">
        <f aca="false">IF(K62="نعم",L62,J62)</f>
        <v>-112.0026</v>
      </c>
      <c r="V62" s="110" t="n">
        <f aca="false">SUMPRODUCT('مصفوفة الاستهلاك'!$BE$2:$BE$190,'متجهات المبيعات'!$G$2:$G$190)/'مواد المخزون'!$D$57/MAX(1,MIN('إعدادات المخزون'!$B$11,'إعدادات المخزون'!$B$4-'إعدادات المخزون'!$B$5+1))</f>
        <v>142.58355</v>
      </c>
      <c r="W62" s="110" t="n">
        <f aca="false">IF(V62&lt;=0,0,ROUNDUP(MAX(0,V62*('إعدادات المخزون'!$B$8+'إعدادات المخزون'!$B$9+'إعدادات المخزون'!$B$10)-MAX(U62,0))/'مواد المخزون'!$F57,0)*'مواد المخزون'!$F57)</f>
        <v>571</v>
      </c>
      <c r="X62" s="109" t="n">
        <f aca="false">IF(AND(K62="نعم",O62&lt;0),-O62+ROW()*0.000000001,0)</f>
        <v>0</v>
      </c>
      <c r="Y62" s="109" t="n">
        <f aca="false">IF(AND(K62="نعم",O62&gt;0),O62+ROW()*0.000000001,0)</f>
        <v>0</v>
      </c>
      <c r="Z62" s="110" t="n">
        <f aca="false">SUMIFS('مشتريات يومية'!$D$2:$D$4001,'مشتريات يومية'!$B$2:$B$4001,$B$2,'مشتريات يومية'!$C$2:$C$4001,$A62,'مشتريات يومية'!$A$2:$A$4001,'إعدادات المخزون'!$B$4)+SUMIFS('هالك وتحويلات'!$E$2:$E$3001,'هالك وتحويلات'!$B$2:$B$3001,$B$2,'هالك وتحويلات'!$C$2:$C$3001,$A62,'هالك وتحويلات'!$D$2:$D$3001,"تحويل وارد",'هالك وتحويلات'!$A$2:$A$3001,'إعدادات المخزون'!$B$4)-SUMIFS('هالك وتحويلات'!$E$2:$E$3001,'هالك وتحويلات'!$B$2:$B$3001,$B$2,'هالك وتحويلات'!$C$2:$C$3001,$A62,'هالك وتحويلات'!$D$2:$D$3001,"تحويل صادر",'هالك وتحويلات'!$A$2:$A$3001,'إعدادات المخزون'!$B$4)-SUMIFS('هالك وتحويلات'!$E$2:$E$3001,'هالك وتحويلات'!$B$2:$B$3001,$B$2,'هالك وتحويلات'!$C$2:$C$3001,$A62,'هالك وتحويلات'!$D$2:$D$3001,"هالك",'هالك وتحويلات'!$A$2:$A$3001,'إعدادات المخزون'!$B$4)-SUMIFS('هالك وتحويلات'!$E$2:$E$3001,'هالك وتحويلات'!$B$2:$B$3001,$B$2,'هالك وتحويلات'!$C$2:$C$3001,$A62,'هالك وتحويلات'!$D$2:$D$3001,"ضيافة / أكل موظفين",'هالك وتحويلات'!$A$2:$A$3001,'إعدادات المخزون'!$B$4)-SUMPRODUCT('مصفوفة الاستهلاك'!$BE$2:$BE$190,'متجهات المبيعات'!$E$2:$E$190)/'مواد المخزون'!$D$57</f>
        <v>-142.58355</v>
      </c>
      <c r="AA62" s="109" t="n">
        <f aca="false">IF(K62="نعم",O62,0)</f>
        <v>0</v>
      </c>
      <c r="AB62" s="109" t="n">
        <f aca="false">IF(K62="نعم",J62*C62,0)</f>
        <v>0</v>
      </c>
      <c r="AC62" s="109" t="n">
        <f aca="false">IF(T62="",0,T62)</f>
        <v>0</v>
      </c>
    </row>
    <row r="63" customFormat="false" ht="15" hidden="false" customHeight="false" outlineLevel="0" collapsed="false">
      <c r="A63" s="34" t="str">
        <f aca="false">'مواد المخزون'!A58</f>
        <v>عسل ابيض</v>
      </c>
      <c r="B63" s="36" t="str">
        <f aca="false">'مواد المخزون'!B58</f>
        <v>كجم</v>
      </c>
      <c r="C63" s="109" t="n">
        <f aca="false">'مواد المخزون'!E58</f>
        <v>140</v>
      </c>
      <c r="D63" s="110" t="n">
        <f aca="false">'جرد أول المدة'!D61</f>
        <v>1.8</v>
      </c>
      <c r="E63" s="110" t="n">
        <f aca="false">SUMIFS('مشتريات يومية'!$D$2:$D$4001,'مشتريات يومية'!$B$2:$B$4001,$B$2,'مشتريات يومية'!$C$2:$C$4001,$A63,'مشتريات يومية'!$A$2:$A$4001,"&gt;="&amp;'إعدادات المخزون'!$B$5,'مشتريات يومية'!$A$2:$A$4001,"&lt;="&amp;'إعدادات المخزون'!$B$4)</f>
        <v>0</v>
      </c>
      <c r="F63" s="110" t="n">
        <f aca="false">SUMIFS('هالك وتحويلات'!$E$2:$E$3001,'هالك وتحويلات'!$B$2:$B$3001,$B$2,'هالك وتحويلات'!$C$2:$C$3001,$A63,'هالك وتحويلات'!$D$2:$D$3001,"تحويل وارد",'هالك وتحويلات'!$A$2:$A$3001,"&gt;="&amp;'إعدادات المخزون'!$B$5,'هالك وتحويلات'!$A$2:$A$3001,"&lt;="&amp;'إعدادات المخزون'!$B$4)</f>
        <v>0</v>
      </c>
      <c r="G63" s="110" t="n">
        <f aca="false">SUMIFS('هالك وتحويلات'!$E$2:$E$3001,'هالك وتحويلات'!$B$2:$B$3001,$B$2,'هالك وتحويلات'!$C$2:$C$3001,$A63,'هالك وتحويلات'!$D$2:$D$3001,"تحويل صادر",'هالك وتحويلات'!$A$2:$A$3001,"&gt;="&amp;'إعدادات المخزون'!$B$5,'هالك وتحويلات'!$A$2:$A$3001,"&lt;="&amp;'إعدادات المخزون'!$B$4)</f>
        <v>0</v>
      </c>
      <c r="H63" s="110" t="n">
        <f aca="false">SUMPRODUCT('مصفوفة الاستهلاك'!$BF$2:$BF$190,'متجهات المبيعات'!$F$2:$F$190)/'مواد المخزون'!$D$58</f>
        <v>0.489972</v>
      </c>
      <c r="I63" s="110" t="n">
        <f aca="false">SUMIFS('هالك وتحويلات'!$E$2:$E$3001,'هالك وتحويلات'!$B$2:$B$3001,$B$2,'هالك وتحويلات'!$C$2:$C$3001,$A63,'هالك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وتحويلات'!$C$2:$C$3001,$A63,'هالك وتحويلات'!$D$2:$D$3001,"ضيافة / أكل موظفين",'هالك وتحويلات'!$A$2:$A$3001,"&gt;="&amp;'إعدادات المخزون'!$B$5,'هالك وتحويلات'!$A$2:$A$3001,"&lt;="&amp;'إعدادات المخزون'!$B$4)</f>
        <v>0</v>
      </c>
      <c r="J63" s="110" t="n">
        <f aca="false">D63+E63+F63-G63-H63-I63</f>
        <v>1.310028</v>
      </c>
      <c r="K63" s="36" t="str">
        <f aca="false">IF(COUNTIFS('جرد فعلي'!$B$2:$B$12001,$B$2,'جرد فعلي'!$C$2:$C$12001,$A63,'جرد فعلي'!$A$2:$A$12001,'إعدادات المخزون'!$B$4)&gt;0,"نعم","لا")</f>
        <v>لا</v>
      </c>
      <c r="L63" s="111" t="str">
        <f aca="false">IF(K63="نعم",SUMIFS('جرد فعلي'!$D$2:$D$12001,'جرد فعلي'!$B$2:$B$12001,$B$2,'جرد فعلي'!$C$2:$C$12001,$A63,'جرد فعلي'!$A$2:$A$12001,'إعدادات المخزون'!$B$4),"")</f>
        <v/>
      </c>
      <c r="M63" s="110" t="str">
        <f aca="false">IF(K63="نعم",L63-J63,"")</f>
        <v/>
      </c>
      <c r="N63" s="112" t="str">
        <f aca="false">IF(K63="نعم",IF(J63=0,IF(M63=0,0,SIGN(M63)),M63/ABS(J63)),"")</f>
        <v/>
      </c>
      <c r="O63" s="109" t="str">
        <f aca="false">IF(K63="نعم",M63*C63,"")</f>
        <v/>
      </c>
      <c r="P63" s="36" t="str">
        <f aca="false">IF(K63&lt;&gt;"نعم","لم يُجرد",IF(ABS(N63)&lt;='إعدادات المخزون'!$B$7,"مطابق",IF(M63&lt;0,"عجز","زيادة")))</f>
        <v>لم يُجرد</v>
      </c>
      <c r="Q63" s="110" t="n">
        <f aca="false">J63-Z63</f>
        <v>1.350859</v>
      </c>
      <c r="R63" s="110" t="str">
        <f aca="false">IF(COUNTIFS('جرد فعلي'!$B$2:$B$12001,$B$2,'جرد فعلي'!$C$2:$C$12001,$A63,'جرد فعلي'!$A$2:$A$12001,'إعدادات المخزون'!$B$4-1)&gt;0,SUMIFS('جرد فعلي'!$D$2:$D$12001,'جرد فعلي'!$B$2:$B$12001,$B$2,'جرد فعلي'!$C$2:$C$12001,$A63,'جرد فعلي'!$A$2:$A$12001,'إعدادات المخزون'!$B$4-1),"")</f>
        <v/>
      </c>
      <c r="S63" s="110" t="str">
        <f aca="false">IF(AND(K63="نعم",R63&lt;&gt;""),(L63-J63)-(R63-Q63),"")</f>
        <v/>
      </c>
      <c r="T63" s="109" t="str">
        <f aca="false">IF(S63="","",S63*C63)</f>
        <v/>
      </c>
      <c r="U63" s="110" t="n">
        <f aca="false">IF(K63="نعم",L63,J63)</f>
        <v>1.310028</v>
      </c>
      <c r="V63" s="110" t="n">
        <f aca="false">SUMPRODUCT('مصفوفة الاستهلاك'!$BF$2:$BF$190,'متجهات المبيعات'!$G$2:$G$190)/'مواد المخزون'!$D$58/MAX(1,MIN('إعدادات المخزون'!$B$11,'إعدادات المخزون'!$B$4-'إعدادات المخزون'!$B$5+1))</f>
        <v>0.040831</v>
      </c>
      <c r="W63" s="110" t="n">
        <f aca="false">IF(V63&lt;=0,0,ROUNDUP(MAX(0,V63*('إعدادات المخزون'!$B$8+'إعدادات المخزون'!$B$9+'إعدادات المخزون'!$B$10)-MAX(U63,0))/'مواد المخزون'!$F58,0)*'مواد المخزون'!$F58)</f>
        <v>0</v>
      </c>
      <c r="X63" s="109" t="n">
        <f aca="false">IF(AND(K63="نعم",O63&lt;0),-O63+ROW()*0.000000001,0)</f>
        <v>0</v>
      </c>
      <c r="Y63" s="109" t="n">
        <f aca="false">IF(AND(K63="نعم",O63&gt;0),O63+ROW()*0.000000001,0)</f>
        <v>0</v>
      </c>
      <c r="Z63" s="110" t="n">
        <f aca="false">SUMIFS('مشتريات يومية'!$D$2:$D$4001,'مشتريات يومية'!$B$2:$B$4001,$B$2,'مشتريات يومية'!$C$2:$C$4001,$A63,'مشتريات يومية'!$A$2:$A$4001,'إعدادات المخزون'!$B$4)+SUMIFS('هالك وتحويلات'!$E$2:$E$3001,'هالك وتحويلات'!$B$2:$B$3001,$B$2,'هالك وتحويلات'!$C$2:$C$3001,$A63,'هالك وتحويلات'!$D$2:$D$3001,"تحويل وارد",'هالك وتحويلات'!$A$2:$A$3001,'إعدادات المخزون'!$B$4)-SUMIFS('هالك وتحويلات'!$E$2:$E$3001,'هالك وتحويلات'!$B$2:$B$3001,$B$2,'هالك وتحويلات'!$C$2:$C$3001,$A63,'هالك وتحويلات'!$D$2:$D$3001,"تحويل صادر",'هالك وتحويلات'!$A$2:$A$3001,'إعدادات المخزون'!$B$4)-SUMIFS('هالك وتحويلات'!$E$2:$E$3001,'هالك وتحويلات'!$B$2:$B$3001,$B$2,'هالك وتحويلات'!$C$2:$C$3001,$A63,'هالك وتحويلات'!$D$2:$D$3001,"هالك",'هالك وتحويلات'!$A$2:$A$3001,'إعدادات المخزون'!$B$4)-SUMIFS('هالك وتحويلات'!$E$2:$E$3001,'هالك وتحويلات'!$B$2:$B$3001,$B$2,'هالك وتحويلات'!$C$2:$C$3001,$A63,'هالك وتحويلات'!$D$2:$D$3001,"ضيافة / أكل موظفين",'هالك وتحويلات'!$A$2:$A$3001,'إعدادات المخزون'!$B$4)-SUMPRODUCT('مصفوفة الاستهلاك'!$BF$2:$BF$190,'متجهات المبيعات'!$E$2:$E$190)/'مواد المخزون'!$D$58</f>
        <v>-0.040831</v>
      </c>
      <c r="AA63" s="109" t="n">
        <f aca="false">IF(K63="نعم",O63,0)</f>
        <v>0</v>
      </c>
      <c r="AB63" s="109" t="n">
        <f aca="false">IF(K63="نعم",J63*C63,0)</f>
        <v>0</v>
      </c>
      <c r="AC63" s="109" t="n">
        <f aca="false">IF(T63="",0,T63)</f>
        <v>0</v>
      </c>
    </row>
    <row r="64" customFormat="false" ht="15" hidden="false" customHeight="false" outlineLevel="0" collapsed="false">
      <c r="A64" s="34" t="str">
        <f aca="false">'مواد المخزون'!A59</f>
        <v>علب بيتزا كبير</v>
      </c>
      <c r="B64" s="36" t="str">
        <f aca="false">'مواد المخزون'!B59</f>
        <v>قطعة</v>
      </c>
      <c r="C64" s="109" t="n">
        <f aca="false">'مواد المخزون'!E59</f>
        <v>5.5</v>
      </c>
      <c r="D64" s="110" t="n">
        <f aca="false">'جرد أول المدة'!D62</f>
        <v>1050</v>
      </c>
      <c r="E64" s="110" t="n">
        <f aca="false">SUMIFS('مشتريات يومية'!$D$2:$D$4001,'مشتريات يومية'!$B$2:$B$4001,$B$2,'مشتريات يومية'!$C$2:$C$4001,$A64,'مشتريات يومية'!$A$2:$A$4001,"&gt;="&amp;'إعدادات المخزون'!$B$5,'مشتريات يومية'!$A$2:$A$4001,"&lt;="&amp;'إعدادات المخزون'!$B$4)</f>
        <v>0</v>
      </c>
      <c r="F64" s="110" t="n">
        <f aca="false">SUMIFS('هالك وتحويلات'!$E$2:$E$3001,'هالك وتحويلات'!$B$2:$B$3001,$B$2,'هالك وتحويلات'!$C$2:$C$3001,$A64,'هالك وتحويلات'!$D$2:$D$3001,"تحويل وارد",'هالك وتحويلات'!$A$2:$A$3001,"&gt;="&amp;'إعدادات المخزون'!$B$5,'هالك وتحويلات'!$A$2:$A$3001,"&lt;="&amp;'إعدادات المخزون'!$B$4)</f>
        <v>0</v>
      </c>
      <c r="G64" s="110" t="n">
        <f aca="false">SUMIFS('هالك وتحويلات'!$E$2:$E$3001,'هالك وتحويلات'!$B$2:$B$3001,$B$2,'هالك وتحويلات'!$C$2:$C$3001,$A64,'هالك وتحويلات'!$D$2:$D$3001,"تحويل صادر",'هالك وتحويلات'!$A$2:$A$3001,"&gt;="&amp;'إعدادات المخزون'!$B$5,'هالك وتحويلات'!$A$2:$A$3001,"&lt;="&amp;'إعدادات المخزون'!$B$4)</f>
        <v>0</v>
      </c>
      <c r="H64" s="110" t="n">
        <f aca="false">SUMPRODUCT('مصفوفة الاستهلاك'!$BG$2:$BG$190,'متجهات المبيعات'!$F$2:$F$190)/'مواد المخزون'!$D$59</f>
        <v>222.9996</v>
      </c>
      <c r="I64" s="110" t="n">
        <f aca="false">SUMIFS('هالك وتحويلات'!$E$2:$E$3001,'هالك وتحويلات'!$B$2:$B$3001,$B$2,'هالك وتحويلات'!$C$2:$C$3001,$A64,'هالك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وتحويلات'!$C$2:$C$3001,$A64,'هالك وتحويلات'!$D$2:$D$3001,"ضيافة / أكل موظفين",'هالك وتحويلات'!$A$2:$A$3001,"&gt;="&amp;'إعدادات المخزون'!$B$5,'هالك وتحويلات'!$A$2:$A$3001,"&lt;="&amp;'إعدادات المخزون'!$B$4)</f>
        <v>0</v>
      </c>
      <c r="J64" s="110" t="n">
        <f aca="false">D64+E64+F64-G64-H64-I64</f>
        <v>827.0004</v>
      </c>
      <c r="K64" s="36" t="str">
        <f aca="false">IF(COUNTIFS('جرد فعلي'!$B$2:$B$12001,$B$2,'جرد فعلي'!$C$2:$C$12001,$A64,'جرد فعلي'!$A$2:$A$12001,'إعدادات المخزون'!$B$4)&gt;0,"نعم","لا")</f>
        <v>لا</v>
      </c>
      <c r="L64" s="111" t="str">
        <f aca="false">IF(K64="نعم",SUMIFS('جرد فعلي'!$D$2:$D$12001,'جرد فعلي'!$B$2:$B$12001,$B$2,'جرد فعلي'!$C$2:$C$12001,$A64,'جرد فعلي'!$A$2:$A$12001,'إعدادات المخزون'!$B$4),"")</f>
        <v/>
      </c>
      <c r="M64" s="110" t="str">
        <f aca="false">IF(K64="نعم",L64-J64,"")</f>
        <v/>
      </c>
      <c r="N64" s="112" t="str">
        <f aca="false">IF(K64="نعم",IF(J64=0,IF(M64=0,0,SIGN(M64)),M64/ABS(J64)),"")</f>
        <v/>
      </c>
      <c r="O64" s="109" t="str">
        <f aca="false">IF(K64="نعم",M64*C64,"")</f>
        <v/>
      </c>
      <c r="P64" s="36" t="str">
        <f aca="false">IF(K64&lt;&gt;"نعم","لم يُجرد",IF(ABS(N64)&lt;='إعدادات المخزون'!$B$7,"مطابق",IF(M64&lt;0,"عجز","زيادة")))</f>
        <v>لم يُجرد</v>
      </c>
      <c r="Q64" s="110" t="n">
        <f aca="false">J64-Z64</f>
        <v>845.5837</v>
      </c>
      <c r="R64" s="110" t="str">
        <f aca="false">IF(COUNTIFS('جرد فعلي'!$B$2:$B$12001,$B$2,'جرد فعلي'!$C$2:$C$12001,$A64,'جرد فعلي'!$A$2:$A$12001,'إعدادات المخزون'!$B$4-1)&gt;0,SUMIFS('جرد فعلي'!$D$2:$D$12001,'جرد فعلي'!$B$2:$B$12001,$B$2,'جرد فعلي'!$C$2:$C$12001,$A64,'جرد فعلي'!$A$2:$A$12001,'إعدادات المخزون'!$B$4-1),"")</f>
        <v/>
      </c>
      <c r="S64" s="110" t="str">
        <f aca="false">IF(AND(K64="نعم",R64&lt;&gt;""),(L64-J64)-(R64-Q64),"")</f>
        <v/>
      </c>
      <c r="T64" s="109" t="str">
        <f aca="false">IF(S64="","",S64*C64)</f>
        <v/>
      </c>
      <c r="U64" s="110" t="n">
        <f aca="false">IF(K64="نعم",L64,J64)</f>
        <v>827.0004</v>
      </c>
      <c r="V64" s="110" t="n">
        <f aca="false">SUMPRODUCT('مصفوفة الاستهلاك'!$BG$2:$BG$190,'متجهات المبيعات'!$G$2:$G$190)/'مواد المخزون'!$D$59/MAX(1,MIN('إعدادات المخزون'!$B$11,'إعدادات المخزون'!$B$4-'إعدادات المخزون'!$B$5+1))</f>
        <v>18.5833</v>
      </c>
      <c r="W64" s="110" t="n">
        <f aca="false">IF(V64&lt;=0,0,ROUNDUP(MAX(0,V64*('إعدادات المخزون'!$B$8+'إعدادات المخزون'!$B$9+'إعدادات المخزون'!$B$10)-MAX(U64,0))/'مواد المخزون'!$F59,0)*'مواد المخزون'!$F59)</f>
        <v>0</v>
      </c>
      <c r="X64" s="109" t="n">
        <f aca="false">IF(AND(K64="نعم",O64&lt;0),-O64+ROW()*0.000000001,0)</f>
        <v>0</v>
      </c>
      <c r="Y64" s="109" t="n">
        <f aca="false">IF(AND(K64="نعم",O64&gt;0),O64+ROW()*0.000000001,0)</f>
        <v>0</v>
      </c>
      <c r="Z64" s="110" t="n">
        <f aca="false">SUMIFS('مشتريات يومية'!$D$2:$D$4001,'مشتريات يومية'!$B$2:$B$4001,$B$2,'مشتريات يومية'!$C$2:$C$4001,$A64,'مشتريات يومية'!$A$2:$A$4001,'إعدادات المخزون'!$B$4)+SUMIFS('هالك وتحويلات'!$E$2:$E$3001,'هالك وتحويلات'!$B$2:$B$3001,$B$2,'هالك وتحويلات'!$C$2:$C$3001,$A64,'هالك وتحويلات'!$D$2:$D$3001,"تحويل وارد",'هالك وتحويلات'!$A$2:$A$3001,'إعدادات المخزون'!$B$4)-SUMIFS('هالك وتحويلات'!$E$2:$E$3001,'هالك وتحويلات'!$B$2:$B$3001,$B$2,'هالك وتحويلات'!$C$2:$C$3001,$A64,'هالك وتحويلات'!$D$2:$D$3001,"تحويل صادر",'هالك وتحويلات'!$A$2:$A$3001,'إعدادات المخزون'!$B$4)-SUMIFS('هالك وتحويلات'!$E$2:$E$3001,'هالك وتحويلات'!$B$2:$B$3001,$B$2,'هالك وتحويلات'!$C$2:$C$3001,$A64,'هالك وتحويلات'!$D$2:$D$3001,"هالك",'هالك وتحويلات'!$A$2:$A$3001,'إعدادات المخزون'!$B$4)-SUMIFS('هالك وتحويلات'!$E$2:$E$3001,'هالك وتحويلات'!$B$2:$B$3001,$B$2,'هالك وتحويلات'!$C$2:$C$3001,$A64,'هالك وتحويلات'!$D$2:$D$3001,"ضيافة / أكل موظفين",'هالك وتحويلات'!$A$2:$A$3001,'إعدادات المخزون'!$B$4)-SUMPRODUCT('مصفوفة الاستهلاك'!$BG$2:$BG$190,'متجهات المبيعات'!$E$2:$E$190)/'مواد المخزون'!$D$59</f>
        <v>-18.5833</v>
      </c>
      <c r="AA64" s="109" t="n">
        <f aca="false">IF(K64="نعم",O64,0)</f>
        <v>0</v>
      </c>
      <c r="AB64" s="109" t="n">
        <f aca="false">IF(K64="نعم",J64*C64,0)</f>
        <v>0</v>
      </c>
      <c r="AC64" s="109" t="n">
        <f aca="false">IF(T64="",0,T64)</f>
        <v>0</v>
      </c>
    </row>
    <row r="65" customFormat="false" ht="15" hidden="false" customHeight="false" outlineLevel="0" collapsed="false">
      <c r="A65" s="34" t="str">
        <f aca="false">'مواد المخزون'!A60</f>
        <v>علب بيتزا وسط</v>
      </c>
      <c r="B65" s="36" t="str">
        <f aca="false">'مواد المخزون'!B60</f>
        <v>قطعة</v>
      </c>
      <c r="C65" s="109" t="n">
        <f aca="false">'مواد المخزون'!E60</f>
        <v>4.5</v>
      </c>
      <c r="D65" s="110" t="n">
        <f aca="false">'جرد أول المدة'!D63</f>
        <v>4000</v>
      </c>
      <c r="E65" s="110" t="n">
        <f aca="false">SUMIFS('مشتريات يومية'!$D$2:$D$4001,'مشتريات يومية'!$B$2:$B$4001,$B$2,'مشتريات يومية'!$C$2:$C$4001,$A65,'مشتريات يومية'!$A$2:$A$4001,"&gt;="&amp;'إعدادات المخزون'!$B$5,'مشتريات يومية'!$A$2:$A$4001,"&lt;="&amp;'إعدادات المخزون'!$B$4)</f>
        <v>0</v>
      </c>
      <c r="F65" s="110" t="n">
        <f aca="false">SUMIFS('هالك وتحويلات'!$E$2:$E$3001,'هالك وتحويلات'!$B$2:$B$3001,$B$2,'هالك وتحويلات'!$C$2:$C$3001,$A65,'هالك وتحويلات'!$D$2:$D$3001,"تحويل وارد",'هالك وتحويلات'!$A$2:$A$3001,"&gt;="&amp;'إعدادات المخزون'!$B$5,'هالك وتحويلات'!$A$2:$A$3001,"&lt;="&amp;'إعدادات المخزون'!$B$4)</f>
        <v>0</v>
      </c>
      <c r="G65" s="110" t="n">
        <f aca="false">SUMIFS('هالك وتحويلات'!$E$2:$E$3001,'هالك وتحويلات'!$B$2:$B$3001,$B$2,'هالك وتحويلات'!$C$2:$C$3001,$A65,'هالك وتحويلات'!$D$2:$D$3001,"تحويل صادر",'هالك وتحويلات'!$A$2:$A$3001,"&gt;="&amp;'إعدادات المخزون'!$B$5,'هالك وتحويلات'!$A$2:$A$3001,"&lt;="&amp;'إعدادات المخزون'!$B$4)</f>
        <v>0</v>
      </c>
      <c r="H65" s="110" t="n">
        <f aca="false">SUMPRODUCT('مصفوفة الاستهلاك'!$BH$2:$BH$190,'متجهات المبيعات'!$F$2:$F$190)/'مواد المخزون'!$D$60</f>
        <v>1210.0014</v>
      </c>
      <c r="I65" s="110" t="n">
        <f aca="false">SUMIFS('هالك وتحويلات'!$E$2:$E$3001,'هالك وتحويلات'!$B$2:$B$3001,$B$2,'هالك وتحويلات'!$C$2:$C$3001,$A65,'هالك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وتحويلات'!$C$2:$C$3001,$A65,'هالك وتحويلات'!$D$2:$D$3001,"ضيافة / أكل موظفين",'هالك وتحويلات'!$A$2:$A$3001,"&gt;="&amp;'إعدادات المخزون'!$B$5,'هالك وتحويلات'!$A$2:$A$3001,"&lt;="&amp;'إعدادات المخزون'!$B$4)</f>
        <v>0</v>
      </c>
      <c r="J65" s="110" t="n">
        <f aca="false">D65+E65+F65-G65-H65-I65</f>
        <v>2789.9986</v>
      </c>
      <c r="K65" s="36" t="str">
        <f aca="false">IF(COUNTIFS('جرد فعلي'!$B$2:$B$12001,$B$2,'جرد فعلي'!$C$2:$C$12001,$A65,'جرد فعلي'!$A$2:$A$12001,'إعدادات المخزون'!$B$4)&gt;0,"نعم","لا")</f>
        <v>لا</v>
      </c>
      <c r="L65" s="111" t="str">
        <f aca="false">IF(K65="نعم",SUMIFS('جرد فعلي'!$D$2:$D$12001,'جرد فعلي'!$B$2:$B$12001,$B$2,'جرد فعلي'!$C$2:$C$12001,$A65,'جرد فعلي'!$A$2:$A$12001,'إعدادات المخزون'!$B$4),"")</f>
        <v/>
      </c>
      <c r="M65" s="110" t="str">
        <f aca="false">IF(K65="نعم",L65-J65,"")</f>
        <v/>
      </c>
      <c r="N65" s="112" t="str">
        <f aca="false">IF(K65="نعم",IF(J65=0,IF(M65=0,0,SIGN(M65)),M65/ABS(J65)),"")</f>
        <v/>
      </c>
      <c r="O65" s="109" t="str">
        <f aca="false">IF(K65="نعم",M65*C65,"")</f>
        <v/>
      </c>
      <c r="P65" s="36" t="str">
        <f aca="false">IF(K65&lt;&gt;"نعم","لم يُجرد",IF(ABS(N65)&lt;='إعدادات المخزون'!$B$7,"مطابق",IF(M65&lt;0,"عجز","زيادة")))</f>
        <v>لم يُجرد</v>
      </c>
      <c r="Q65" s="110" t="n">
        <f aca="false">J65-Z65</f>
        <v>2890.83205</v>
      </c>
      <c r="R65" s="110" t="str">
        <f aca="false">IF(COUNTIFS('جرد فعلي'!$B$2:$B$12001,$B$2,'جرد فعلي'!$C$2:$C$12001,$A65,'جرد فعلي'!$A$2:$A$12001,'إعدادات المخزون'!$B$4-1)&gt;0,SUMIFS('جرد فعلي'!$D$2:$D$12001,'جرد فعلي'!$B$2:$B$12001,$B$2,'جرد فعلي'!$C$2:$C$12001,$A65,'جرد فعلي'!$A$2:$A$12001,'إعدادات المخزون'!$B$4-1),"")</f>
        <v/>
      </c>
      <c r="S65" s="110" t="str">
        <f aca="false">IF(AND(K65="نعم",R65&lt;&gt;""),(L65-J65)-(R65-Q65),"")</f>
        <v/>
      </c>
      <c r="T65" s="109" t="str">
        <f aca="false">IF(S65="","",S65*C65)</f>
        <v/>
      </c>
      <c r="U65" s="110" t="n">
        <f aca="false">IF(K65="نعم",L65,J65)</f>
        <v>2789.9986</v>
      </c>
      <c r="V65" s="110" t="n">
        <f aca="false">SUMPRODUCT('مصفوفة الاستهلاك'!$BH$2:$BH$190,'متجهات المبيعات'!$G$2:$G$190)/'مواد المخزون'!$D$60/MAX(1,MIN('إعدادات المخزون'!$B$11,'إعدادات المخزون'!$B$4-'إعدادات المخزون'!$B$5+1))</f>
        <v>100.83345</v>
      </c>
      <c r="W65" s="110" t="n">
        <f aca="false">IF(V65&lt;=0,0,ROUNDUP(MAX(0,V65*('إعدادات المخزون'!$B$8+'إعدادات المخزون'!$B$9+'إعدادات المخزون'!$B$10)-MAX(U65,0))/'مواد المخزون'!$F60,0)*'مواد المخزون'!$F60)</f>
        <v>0</v>
      </c>
      <c r="X65" s="109" t="n">
        <f aca="false">IF(AND(K65="نعم",O65&lt;0),-O65+ROW()*0.000000001,0)</f>
        <v>0</v>
      </c>
      <c r="Y65" s="109" t="n">
        <f aca="false">IF(AND(K65="نعم",O65&gt;0),O65+ROW()*0.000000001,0)</f>
        <v>0</v>
      </c>
      <c r="Z65" s="110" t="n">
        <f aca="false">SUMIFS('مشتريات يومية'!$D$2:$D$4001,'مشتريات يومية'!$B$2:$B$4001,$B$2,'مشتريات يومية'!$C$2:$C$4001,$A65,'مشتريات يومية'!$A$2:$A$4001,'إعدادات المخزون'!$B$4)+SUMIFS('هالك وتحويلات'!$E$2:$E$3001,'هالك وتحويلات'!$B$2:$B$3001,$B$2,'هالك وتحويلات'!$C$2:$C$3001,$A65,'هالك وتحويلات'!$D$2:$D$3001,"تحويل وارد",'هالك وتحويلات'!$A$2:$A$3001,'إعدادات المخزون'!$B$4)-SUMIFS('هالك وتحويلات'!$E$2:$E$3001,'هالك وتحويلات'!$B$2:$B$3001,$B$2,'هالك وتحويلات'!$C$2:$C$3001,$A65,'هالك وتحويلات'!$D$2:$D$3001,"تحويل صادر",'هالك وتحويلات'!$A$2:$A$3001,'إعدادات المخزون'!$B$4)-SUMIFS('هالك وتحويلات'!$E$2:$E$3001,'هالك وتحويلات'!$B$2:$B$3001,$B$2,'هالك وتحويلات'!$C$2:$C$3001,$A65,'هالك وتحويلات'!$D$2:$D$3001,"هالك",'هالك وتحويلات'!$A$2:$A$3001,'إعدادات المخزون'!$B$4)-SUMIFS('هالك وتحويلات'!$E$2:$E$3001,'هالك وتحويلات'!$B$2:$B$3001,$B$2,'هالك وتحويلات'!$C$2:$C$3001,$A65,'هالك وتحويلات'!$D$2:$D$3001,"ضيافة / أكل موظفين",'هالك وتحويلات'!$A$2:$A$3001,'إعدادات المخزون'!$B$4)-SUMPRODUCT('مصفوفة الاستهلاك'!$BH$2:$BH$190,'متجهات المبيعات'!$E$2:$E$190)/'مواد المخزون'!$D$60</f>
        <v>-100.83345</v>
      </c>
      <c r="AA65" s="109" t="n">
        <f aca="false">IF(K65="نعم",O65,0)</f>
        <v>0</v>
      </c>
      <c r="AB65" s="109" t="n">
        <f aca="false">IF(K65="نعم",J65*C65,0)</f>
        <v>0</v>
      </c>
      <c r="AC65" s="109" t="n">
        <f aca="false">IF(T65="",0,T65)</f>
        <v>0</v>
      </c>
    </row>
    <row r="66" customFormat="false" ht="15" hidden="false" customHeight="false" outlineLevel="0" collapsed="false">
      <c r="A66" s="34" t="str">
        <f aca="false">'مواد المخزون'!A61</f>
        <v>علبة بطاطس صغير</v>
      </c>
      <c r="B66" s="36" t="str">
        <f aca="false">'مواد المخزون'!B61</f>
        <v>قطعة</v>
      </c>
      <c r="C66" s="109" t="n">
        <f aca="false">'مواد المخزون'!E61</f>
        <v>1.7</v>
      </c>
      <c r="D66" s="110" t="n">
        <f aca="false">'جرد أول المدة'!D64</f>
        <v>220</v>
      </c>
      <c r="E66" s="110" t="n">
        <f aca="false">SUMIFS('مشتريات يومية'!$D$2:$D$4001,'مشتريات يومية'!$B$2:$B$4001,$B$2,'مشتريات يومية'!$C$2:$C$4001,$A66,'مشتريات يومية'!$A$2:$A$4001,"&gt;="&amp;'إعدادات المخزون'!$B$5,'مشتريات يومية'!$A$2:$A$4001,"&lt;="&amp;'إعدادات المخزون'!$B$4)</f>
        <v>0</v>
      </c>
      <c r="F66" s="110" t="n">
        <f aca="false">SUMIFS('هالك وتحويلات'!$E$2:$E$3001,'هالك وتحويلات'!$B$2:$B$3001,$B$2,'هالك وتحويلات'!$C$2:$C$3001,$A66,'هالك وتحويلات'!$D$2:$D$3001,"تحويل وارد",'هالك وتحويلات'!$A$2:$A$3001,"&gt;="&amp;'إعدادات المخزون'!$B$5,'هالك وتحويلات'!$A$2:$A$3001,"&lt;="&amp;'إعدادات المخزون'!$B$4)</f>
        <v>0</v>
      </c>
      <c r="G66" s="110" t="n">
        <f aca="false">SUMIFS('هالك وتحويلات'!$E$2:$E$3001,'هالك وتحويلات'!$B$2:$B$3001,$B$2,'هالك وتحويلات'!$C$2:$C$3001,$A66,'هالك وتحويلات'!$D$2:$D$3001,"تحويل صادر",'هالك وتحويلات'!$A$2:$A$3001,"&gt;="&amp;'إعدادات المخزون'!$B$5,'هالك وتحويلات'!$A$2:$A$3001,"&lt;="&amp;'إعدادات المخزون'!$B$4)</f>
        <v>0</v>
      </c>
      <c r="H66" s="110" t="n">
        <f aca="false">SUMPRODUCT('مصفوفة الاستهلاك'!$BI$2:$BI$190,'متجهات المبيعات'!$F$2:$F$190)/'مواد المخزون'!$D$61</f>
        <v>7.0008</v>
      </c>
      <c r="I66" s="110" t="n">
        <f aca="false">SUMIFS('هالك وتحويلات'!$E$2:$E$3001,'هالك وتحويلات'!$B$2:$B$3001,$B$2,'هالك وتحويلات'!$C$2:$C$3001,$A66,'هالك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وتحويلات'!$C$2:$C$3001,$A66,'هالك وتحويلات'!$D$2:$D$3001,"ضيافة / أكل موظفين",'هالك وتحويلات'!$A$2:$A$3001,"&gt;="&amp;'إعدادات المخزون'!$B$5,'هالك وتحويلات'!$A$2:$A$3001,"&lt;="&amp;'إعدادات المخزون'!$B$4)</f>
        <v>0</v>
      </c>
      <c r="J66" s="110" t="n">
        <f aca="false">D66+E66+F66-G66-H66-I66</f>
        <v>212.9992</v>
      </c>
      <c r="K66" s="36" t="str">
        <f aca="false">IF(COUNTIFS('جرد فعلي'!$B$2:$B$12001,$B$2,'جرد فعلي'!$C$2:$C$12001,$A66,'جرد فعلي'!$A$2:$A$12001,'إعدادات المخزون'!$B$4)&gt;0,"نعم","لا")</f>
        <v>لا</v>
      </c>
      <c r="L66" s="111" t="str">
        <f aca="false">IF(K66="نعم",SUMIFS('جرد فعلي'!$D$2:$D$12001,'جرد فعلي'!$B$2:$B$12001,$B$2,'جرد فعلي'!$C$2:$C$12001,$A66,'جرد فعلي'!$A$2:$A$12001,'إعدادات المخزون'!$B$4),"")</f>
        <v/>
      </c>
      <c r="M66" s="110" t="str">
        <f aca="false">IF(K66="نعم",L66-J66,"")</f>
        <v/>
      </c>
      <c r="N66" s="112" t="str">
        <f aca="false">IF(K66="نعم",IF(J66=0,IF(M66=0,0,SIGN(M66)),M66/ABS(J66)),"")</f>
        <v/>
      </c>
      <c r="O66" s="109" t="str">
        <f aca="false">IF(K66="نعم",M66*C66,"")</f>
        <v/>
      </c>
      <c r="P66" s="36" t="str">
        <f aca="false">IF(K66&lt;&gt;"نعم","لم يُجرد",IF(ABS(N66)&lt;='إعدادات المخزون'!$B$7,"مطابق",IF(M66&lt;0,"عجز","زيادة")))</f>
        <v>لم يُجرد</v>
      </c>
      <c r="Q66" s="110" t="n">
        <f aca="false">J66-Z66</f>
        <v>213.5826</v>
      </c>
      <c r="R66" s="110" t="str">
        <f aca="false">IF(COUNTIFS('جرد فعلي'!$B$2:$B$12001,$B$2,'جرد فعلي'!$C$2:$C$12001,$A66,'جرد فعلي'!$A$2:$A$12001,'إعدادات المخزون'!$B$4-1)&gt;0,SUMIFS('جرد فعلي'!$D$2:$D$12001,'جرد فعلي'!$B$2:$B$12001,$B$2,'جرد فعلي'!$C$2:$C$12001,$A66,'جرد فعلي'!$A$2:$A$12001,'إعدادات المخزون'!$B$4-1),"")</f>
        <v/>
      </c>
      <c r="S66" s="110" t="str">
        <f aca="false">IF(AND(K66="نعم",R66&lt;&gt;""),(L66-J66)-(R66-Q66),"")</f>
        <v/>
      </c>
      <c r="T66" s="109" t="str">
        <f aca="false">IF(S66="","",S66*C66)</f>
        <v/>
      </c>
      <c r="U66" s="110" t="n">
        <f aca="false">IF(K66="نعم",L66,J66)</f>
        <v>212.9992</v>
      </c>
      <c r="V66" s="110" t="n">
        <f aca="false">SUMPRODUCT('مصفوفة الاستهلاك'!$BI$2:$BI$190,'متجهات المبيعات'!$G$2:$G$190)/'مواد المخزون'!$D$61/MAX(1,MIN('إعدادات المخزون'!$B$11,'إعدادات المخزون'!$B$4-'إعدادات المخزون'!$B$5+1))</f>
        <v>0.5834</v>
      </c>
      <c r="W66" s="110" t="n">
        <f aca="false">IF(V66&lt;=0,0,ROUNDUP(MAX(0,V66*('إعدادات المخزون'!$B$8+'إعدادات المخزون'!$B$9+'إعدادات المخزون'!$B$10)-MAX(U66,0))/'مواد المخزون'!$F61,0)*'مواد المخزون'!$F61)</f>
        <v>0</v>
      </c>
      <c r="X66" s="109" t="n">
        <f aca="false">IF(AND(K66="نعم",O66&lt;0),-O66+ROW()*0.000000001,0)</f>
        <v>0</v>
      </c>
      <c r="Y66" s="109" t="n">
        <f aca="false">IF(AND(K66="نعم",O66&gt;0),O66+ROW()*0.000000001,0)</f>
        <v>0</v>
      </c>
      <c r="Z66" s="110" t="n">
        <f aca="false">SUMIFS('مشتريات يومية'!$D$2:$D$4001,'مشتريات يومية'!$B$2:$B$4001,$B$2,'مشتريات يومية'!$C$2:$C$4001,$A66,'مشتريات يومية'!$A$2:$A$4001,'إعدادات المخزون'!$B$4)+SUMIFS('هالك وتحويلات'!$E$2:$E$3001,'هالك وتحويلات'!$B$2:$B$3001,$B$2,'هالك وتحويلات'!$C$2:$C$3001,$A66,'هالك وتحويلات'!$D$2:$D$3001,"تحويل وارد",'هالك وتحويلات'!$A$2:$A$3001,'إعدادات المخزون'!$B$4)-SUMIFS('هالك وتحويلات'!$E$2:$E$3001,'هالك وتحويلات'!$B$2:$B$3001,$B$2,'هالك وتحويلات'!$C$2:$C$3001,$A66,'هالك وتحويلات'!$D$2:$D$3001,"تحويل صادر",'هالك وتحويلات'!$A$2:$A$3001,'إعدادات المخزون'!$B$4)-SUMIFS('هالك وتحويلات'!$E$2:$E$3001,'هالك وتحويلات'!$B$2:$B$3001,$B$2,'هالك وتحويلات'!$C$2:$C$3001,$A66,'هالك وتحويلات'!$D$2:$D$3001,"هالك",'هالك وتحويلات'!$A$2:$A$3001,'إعدادات المخزون'!$B$4)-SUMIFS('هالك وتحويلات'!$E$2:$E$3001,'هالك وتحويلات'!$B$2:$B$3001,$B$2,'هالك وتحويلات'!$C$2:$C$3001,$A66,'هالك وتحويلات'!$D$2:$D$3001,"ضيافة / أكل موظفين",'هالك وتحويلات'!$A$2:$A$3001,'إعدادات المخزون'!$B$4)-SUMPRODUCT('مصفوفة الاستهلاك'!$BI$2:$BI$190,'متجهات المبيعات'!$E$2:$E$190)/'مواد المخزون'!$D$61</f>
        <v>-0.5834</v>
      </c>
      <c r="AA66" s="109" t="n">
        <f aca="false">IF(K66="نعم",O66,0)</f>
        <v>0</v>
      </c>
      <c r="AB66" s="109" t="n">
        <f aca="false">IF(K66="نعم",J66*C66,0)</f>
        <v>0</v>
      </c>
      <c r="AC66" s="109" t="n">
        <f aca="false">IF(T66="",0,T66)</f>
        <v>0</v>
      </c>
    </row>
    <row r="67" customFormat="false" ht="15" hidden="false" customHeight="false" outlineLevel="0" collapsed="false">
      <c r="A67" s="34" t="str">
        <f aca="false">'مواد المخزون'!A62</f>
        <v>علبة بطاطس كبير</v>
      </c>
      <c r="B67" s="36" t="str">
        <f aca="false">'مواد المخزون'!B62</f>
        <v>قطعة</v>
      </c>
      <c r="C67" s="109" t="n">
        <f aca="false">'مواد المخزون'!E62</f>
        <v>2</v>
      </c>
      <c r="D67" s="110" t="n">
        <f aca="false">'جرد أول المدة'!D65</f>
        <v>40</v>
      </c>
      <c r="E67" s="110" t="n">
        <f aca="false">SUMIFS('مشتريات يومية'!$D$2:$D$4001,'مشتريات يومية'!$B$2:$B$4001,$B$2,'مشتريات يومية'!$C$2:$C$4001,$A67,'مشتريات يومية'!$A$2:$A$4001,"&gt;="&amp;'إعدادات المخزون'!$B$5,'مشتريات يومية'!$A$2:$A$4001,"&lt;="&amp;'إعدادات المخزون'!$B$4)</f>
        <v>50</v>
      </c>
      <c r="F67" s="110" t="n">
        <f aca="false">SUMIFS('هالك وتحويلات'!$E$2:$E$3001,'هالك وتحويلات'!$B$2:$B$3001,$B$2,'هالك وتحويلات'!$C$2:$C$3001,$A67,'هالك وتحويلات'!$D$2:$D$3001,"تحويل وارد",'هالك وتحويلات'!$A$2:$A$3001,"&gt;="&amp;'إعدادات المخزون'!$B$5,'هالك وتحويلات'!$A$2:$A$3001,"&lt;="&amp;'إعدادات المخزون'!$B$4)</f>
        <v>0</v>
      </c>
      <c r="G67" s="110" t="n">
        <f aca="false">SUMIFS('هالك وتحويلات'!$E$2:$E$3001,'هالك وتحويلات'!$B$2:$B$3001,$B$2,'هالك وتحويلات'!$C$2:$C$3001,$A67,'هالك وتحويلات'!$D$2:$D$3001,"تحويل صادر",'هالك وتحويلات'!$A$2:$A$3001,"&gt;="&amp;'إعدادات المخزون'!$B$5,'هالك وتحويلات'!$A$2:$A$3001,"&lt;="&amp;'إعدادات المخزون'!$B$4)</f>
        <v>0</v>
      </c>
      <c r="H67" s="110" t="n">
        <f aca="false">SUMPRODUCT('مصفوفة الاستهلاك'!$BJ$2:$BJ$190,'متجهات المبيعات'!$F$2:$F$190)/'مواد المخزون'!$D$62</f>
        <v>9</v>
      </c>
      <c r="I67" s="110" t="n">
        <f aca="false">SUMIFS('هالك وتحويلات'!$E$2:$E$3001,'هالك وتحويلات'!$B$2:$B$3001,$B$2,'هالك وتحويلات'!$C$2:$C$3001,$A67,'هالك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وتحويلات'!$C$2:$C$3001,$A67,'هالك وتحويلات'!$D$2:$D$3001,"ضيافة / أكل موظفين",'هالك وتحويلات'!$A$2:$A$3001,"&gt;="&amp;'إعدادات المخزون'!$B$5,'هالك وتحويلات'!$A$2:$A$3001,"&lt;="&amp;'إعدادات المخزون'!$B$4)</f>
        <v>0</v>
      </c>
      <c r="J67" s="110" t="n">
        <f aca="false">D67+E67+F67-G67-H67-I67</f>
        <v>81</v>
      </c>
      <c r="K67" s="36" t="str">
        <f aca="false">IF(COUNTIFS('جرد فعلي'!$B$2:$B$12001,$B$2,'جرد فعلي'!$C$2:$C$12001,$A67,'جرد فعلي'!$A$2:$A$12001,'إعدادات المخزون'!$B$4)&gt;0,"نعم","لا")</f>
        <v>لا</v>
      </c>
      <c r="L67" s="111" t="str">
        <f aca="false">IF(K67="نعم",SUMIFS('جرد فعلي'!$D$2:$D$12001,'جرد فعلي'!$B$2:$B$12001,$B$2,'جرد فعلي'!$C$2:$C$12001,$A67,'جرد فعلي'!$A$2:$A$12001,'إعدادات المخزون'!$B$4),"")</f>
        <v/>
      </c>
      <c r="M67" s="110" t="str">
        <f aca="false">IF(K67="نعم",L67-J67,"")</f>
        <v/>
      </c>
      <c r="N67" s="112" t="str">
        <f aca="false">IF(K67="نعم",IF(J67=0,IF(M67=0,0,SIGN(M67)),M67/ABS(J67)),"")</f>
        <v/>
      </c>
      <c r="O67" s="109" t="str">
        <f aca="false">IF(K67="نعم",M67*C67,"")</f>
        <v/>
      </c>
      <c r="P67" s="36" t="str">
        <f aca="false">IF(K67&lt;&gt;"نعم","لم يُجرد",IF(ABS(N67)&lt;='إعدادات المخزون'!$B$7,"مطابق",IF(M67&lt;0,"عجز","زيادة")))</f>
        <v>لم يُجرد</v>
      </c>
      <c r="Q67" s="110" t="n">
        <f aca="false">J67-Z67</f>
        <v>81.75</v>
      </c>
      <c r="R67" s="110" t="str">
        <f aca="false">IF(COUNTIFS('جرد فعلي'!$B$2:$B$12001,$B$2,'جرد فعلي'!$C$2:$C$12001,$A67,'جرد فعلي'!$A$2:$A$12001,'إعدادات المخزون'!$B$4-1)&gt;0,SUMIFS('جرد فعلي'!$D$2:$D$12001,'جرد فعلي'!$B$2:$B$12001,$B$2,'جرد فعلي'!$C$2:$C$12001,$A67,'جرد فعلي'!$A$2:$A$12001,'إعدادات المخزون'!$B$4-1),"")</f>
        <v/>
      </c>
      <c r="S67" s="110" t="str">
        <f aca="false">IF(AND(K67="نعم",R67&lt;&gt;""),(L67-J67)-(R67-Q67),"")</f>
        <v/>
      </c>
      <c r="T67" s="109" t="str">
        <f aca="false">IF(S67="","",S67*C67)</f>
        <v/>
      </c>
      <c r="U67" s="110" t="n">
        <f aca="false">IF(K67="نعم",L67,J67)</f>
        <v>81</v>
      </c>
      <c r="V67" s="110" t="n">
        <f aca="false">SUMPRODUCT('مصفوفة الاستهلاك'!$BJ$2:$BJ$190,'متجهات المبيعات'!$G$2:$G$190)/'مواد المخزون'!$D$62/MAX(1,MIN('إعدادات المخزون'!$B$11,'إعدادات المخزون'!$B$4-'إعدادات المخزون'!$B$5+1))</f>
        <v>0.75</v>
      </c>
      <c r="W67" s="110" t="n">
        <f aca="false">IF(V67&lt;=0,0,ROUNDUP(MAX(0,V67*('إعدادات المخزون'!$B$8+'إعدادات المخزون'!$B$9+'إعدادات المخزون'!$B$10)-MAX(U67,0))/'مواد المخزون'!$F62,0)*'مواد المخزون'!$F62)</f>
        <v>0</v>
      </c>
      <c r="X67" s="109" t="n">
        <f aca="false">IF(AND(K67="نعم",O67&lt;0),-O67+ROW()*0.000000001,0)</f>
        <v>0</v>
      </c>
      <c r="Y67" s="109" t="n">
        <f aca="false">IF(AND(K67="نعم",O67&gt;0),O67+ROW()*0.000000001,0)</f>
        <v>0</v>
      </c>
      <c r="Z67" s="110" t="n">
        <f aca="false">SUMIFS('مشتريات يومية'!$D$2:$D$4001,'مشتريات يومية'!$B$2:$B$4001,$B$2,'مشتريات يومية'!$C$2:$C$4001,$A67,'مشتريات يومية'!$A$2:$A$4001,'إعدادات المخزون'!$B$4)+SUMIFS('هالك وتحويلات'!$E$2:$E$3001,'هالك وتحويلات'!$B$2:$B$3001,$B$2,'هالك وتحويلات'!$C$2:$C$3001,$A67,'هالك وتحويلات'!$D$2:$D$3001,"تحويل وارد",'هالك وتحويلات'!$A$2:$A$3001,'إعدادات المخزون'!$B$4)-SUMIFS('هالك وتحويلات'!$E$2:$E$3001,'هالك وتحويلات'!$B$2:$B$3001,$B$2,'هالك وتحويلات'!$C$2:$C$3001,$A67,'هالك وتحويلات'!$D$2:$D$3001,"تحويل صادر",'هالك وتحويلات'!$A$2:$A$3001,'إعدادات المخزون'!$B$4)-SUMIFS('هالك وتحويلات'!$E$2:$E$3001,'هالك وتحويلات'!$B$2:$B$3001,$B$2,'هالك وتحويلات'!$C$2:$C$3001,$A67,'هالك وتحويلات'!$D$2:$D$3001,"هالك",'هالك وتحويلات'!$A$2:$A$3001,'إعدادات المخزون'!$B$4)-SUMIFS('هالك وتحويلات'!$E$2:$E$3001,'هالك وتحويلات'!$B$2:$B$3001,$B$2,'هالك وتحويلات'!$C$2:$C$3001,$A67,'هالك وتحويلات'!$D$2:$D$3001,"ضيافة / أكل موظفين",'هالك وتحويلات'!$A$2:$A$3001,'إعدادات المخزون'!$B$4)-SUMPRODUCT('مصفوفة الاستهلاك'!$BJ$2:$BJ$190,'متجهات المبيعات'!$E$2:$E$190)/'مواد المخزون'!$D$62</f>
        <v>-0.75</v>
      </c>
      <c r="AA67" s="109" t="n">
        <f aca="false">IF(K67="نعم",O67,0)</f>
        <v>0</v>
      </c>
      <c r="AB67" s="109" t="n">
        <f aca="false">IF(K67="نعم",J67*C67,0)</f>
        <v>0</v>
      </c>
      <c r="AC67" s="109" t="n">
        <f aca="false">IF(T67="",0,T67)</f>
        <v>0</v>
      </c>
    </row>
    <row r="68" customFormat="false" ht="15" hidden="false" customHeight="false" outlineLevel="0" collapsed="false">
      <c r="A68" s="34" t="str">
        <f aca="false">'مواد المخزون'!A63</f>
        <v>علبة بلاستيك وجبات</v>
      </c>
      <c r="B68" s="36" t="str">
        <f aca="false">'مواد المخزون'!B63</f>
        <v>قطعة</v>
      </c>
      <c r="C68" s="109" t="n">
        <f aca="false">'مواد المخزون'!E63</f>
        <v>3.1</v>
      </c>
      <c r="D68" s="110" t="n">
        <f aca="false">'جرد أول المدة'!D66</f>
        <v>38</v>
      </c>
      <c r="E68" s="110" t="n">
        <f aca="false">SUMIFS('مشتريات يومية'!$D$2:$D$4001,'مشتريات يومية'!$B$2:$B$4001,$B$2,'مشتريات يومية'!$C$2:$C$4001,$A68,'مشتريات يومية'!$A$2:$A$4001,"&gt;="&amp;'إعدادات المخزون'!$B$5,'مشتريات يومية'!$A$2:$A$4001,"&lt;="&amp;'إعدادات المخزون'!$B$4)</f>
        <v>50</v>
      </c>
      <c r="F68" s="110" t="n">
        <f aca="false">SUMIFS('هالك وتحويلات'!$E$2:$E$3001,'هالك وتحويلات'!$B$2:$B$3001,$B$2,'هالك وتحويلات'!$C$2:$C$3001,$A68,'هالك وتحويلات'!$D$2:$D$3001,"تحويل وارد",'هالك وتحويلات'!$A$2:$A$3001,"&gt;="&amp;'إعدادات المخزون'!$B$5,'هالك وتحويلات'!$A$2:$A$3001,"&lt;="&amp;'إعدادات المخزون'!$B$4)</f>
        <v>0</v>
      </c>
      <c r="G68" s="110" t="n">
        <f aca="false">SUMIFS('هالك وتحويلات'!$E$2:$E$3001,'هالك وتحويلات'!$B$2:$B$3001,$B$2,'هالك وتحويلات'!$C$2:$C$3001,$A68,'هالك وتحويلات'!$D$2:$D$3001,"تحويل صادر",'هالك وتحويلات'!$A$2:$A$3001,"&gt;="&amp;'إعدادات المخزون'!$B$5,'هالك وتحويلات'!$A$2:$A$3001,"&lt;="&amp;'إعدادات المخزون'!$B$4)</f>
        <v>0</v>
      </c>
      <c r="H68" s="110" t="n">
        <f aca="false">SUMPRODUCT('مصفوفة الاستهلاك'!$BK$2:$BK$190,'متجهات المبيعات'!$F$2:$F$190)/'مواد المخزون'!$D$63</f>
        <v>123.9996</v>
      </c>
      <c r="I68" s="110" t="n">
        <f aca="false">SUMIFS('هالك وتحويلات'!$E$2:$E$3001,'هالك وتحويلات'!$B$2:$B$3001,$B$2,'هالك وتحويلات'!$C$2:$C$3001,$A68,'هالك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وتحويلات'!$C$2:$C$3001,$A68,'هالك وتحويلات'!$D$2:$D$3001,"ضيافة / أكل موظفين",'هالك وتحويلات'!$A$2:$A$3001,"&gt;="&amp;'إعدادات المخزون'!$B$5,'هالك وتحويلات'!$A$2:$A$3001,"&lt;="&amp;'إعدادات المخزون'!$B$4)</f>
        <v>0</v>
      </c>
      <c r="J68" s="110" t="n">
        <f aca="false">D68+E68+F68-G68-H68-I68</f>
        <v>-35.9996</v>
      </c>
      <c r="K68" s="36" t="str">
        <f aca="false">IF(COUNTIFS('جرد فعلي'!$B$2:$B$12001,$B$2,'جرد فعلي'!$C$2:$C$12001,$A68,'جرد فعلي'!$A$2:$A$12001,'إعدادات المخزون'!$B$4)&gt;0,"نعم","لا")</f>
        <v>لا</v>
      </c>
      <c r="L68" s="111" t="str">
        <f aca="false">IF(K68="نعم",SUMIFS('جرد فعلي'!$D$2:$D$12001,'جرد فعلي'!$B$2:$B$12001,$B$2,'جرد فعلي'!$C$2:$C$12001,$A68,'جرد فعلي'!$A$2:$A$12001,'إعدادات المخزون'!$B$4),"")</f>
        <v/>
      </c>
      <c r="M68" s="110" t="str">
        <f aca="false">IF(K68="نعم",L68-J68,"")</f>
        <v/>
      </c>
      <c r="N68" s="112" t="str">
        <f aca="false">IF(K68="نعم",IF(J68=0,IF(M68=0,0,SIGN(M68)),M68/ABS(J68)),"")</f>
        <v/>
      </c>
      <c r="O68" s="109" t="str">
        <f aca="false">IF(K68="نعم",M68*C68,"")</f>
        <v/>
      </c>
      <c r="P68" s="36" t="str">
        <f aca="false">IF(K68&lt;&gt;"نعم","لم يُجرد",IF(ABS(N68)&lt;='إعدادات المخزون'!$B$7,"مطابق",IF(M68&lt;0,"عجز","زيادة")))</f>
        <v>لم يُجرد</v>
      </c>
      <c r="Q68" s="110" t="n">
        <f aca="false">J68-Z68</f>
        <v>-25.6663</v>
      </c>
      <c r="R68" s="110" t="str">
        <f aca="false">IF(COUNTIFS('جرد فعلي'!$B$2:$B$12001,$B$2,'جرد فعلي'!$C$2:$C$12001,$A68,'جرد فعلي'!$A$2:$A$12001,'إعدادات المخزون'!$B$4-1)&gt;0,SUMIFS('جرد فعلي'!$D$2:$D$12001,'جرد فعلي'!$B$2:$B$12001,$B$2,'جرد فعلي'!$C$2:$C$12001,$A68,'جرد فعلي'!$A$2:$A$12001,'إعدادات المخزون'!$B$4-1),"")</f>
        <v/>
      </c>
      <c r="S68" s="110" t="str">
        <f aca="false">IF(AND(K68="نعم",R68&lt;&gt;""),(L68-J68)-(R68-Q68),"")</f>
        <v/>
      </c>
      <c r="T68" s="109" t="str">
        <f aca="false">IF(S68="","",S68*C68)</f>
        <v/>
      </c>
      <c r="U68" s="110" t="n">
        <f aca="false">IF(K68="نعم",L68,J68)</f>
        <v>-35.9996</v>
      </c>
      <c r="V68" s="110" t="n">
        <f aca="false">SUMPRODUCT('مصفوفة الاستهلاك'!$BK$2:$BK$190,'متجهات المبيعات'!$G$2:$G$190)/'مواد المخزون'!$D$63/MAX(1,MIN('إعدادات المخزون'!$B$11,'إعدادات المخزون'!$B$4-'إعدادات المخزون'!$B$5+1))</f>
        <v>10.3333</v>
      </c>
      <c r="W68" s="110" t="n">
        <f aca="false">IF(V68&lt;=0,0,ROUNDUP(MAX(0,V68*('إعدادات المخزون'!$B$8+'إعدادات المخزون'!$B$9+'إعدادات المخزون'!$B$10)-MAX(U68,0))/'مواد المخزون'!$F63,0)*'مواد المخزون'!$F63)</f>
        <v>42</v>
      </c>
      <c r="X68" s="109" t="n">
        <f aca="false">IF(AND(K68="نعم",O68&lt;0),-O68+ROW()*0.000000001,0)</f>
        <v>0</v>
      </c>
      <c r="Y68" s="109" t="n">
        <f aca="false">IF(AND(K68="نعم",O68&gt;0),O68+ROW()*0.000000001,0)</f>
        <v>0</v>
      </c>
      <c r="Z68" s="110" t="n">
        <f aca="false">SUMIFS('مشتريات يومية'!$D$2:$D$4001,'مشتريات يومية'!$B$2:$B$4001,$B$2,'مشتريات يومية'!$C$2:$C$4001,$A68,'مشتريات يومية'!$A$2:$A$4001,'إعدادات المخزون'!$B$4)+SUMIFS('هالك وتحويلات'!$E$2:$E$3001,'هالك وتحويلات'!$B$2:$B$3001,$B$2,'هالك وتحويلات'!$C$2:$C$3001,$A68,'هالك وتحويلات'!$D$2:$D$3001,"تحويل وارد",'هالك وتحويلات'!$A$2:$A$3001,'إعدادات المخزون'!$B$4)-SUMIFS('هالك وتحويلات'!$E$2:$E$3001,'هالك وتحويلات'!$B$2:$B$3001,$B$2,'هالك وتحويلات'!$C$2:$C$3001,$A68,'هالك وتحويلات'!$D$2:$D$3001,"تحويل صادر",'هالك وتحويلات'!$A$2:$A$3001,'إعدادات المخزون'!$B$4)-SUMIFS('هالك وتحويلات'!$E$2:$E$3001,'هالك وتحويلات'!$B$2:$B$3001,$B$2,'هالك وتحويلات'!$C$2:$C$3001,$A68,'هالك وتحويلات'!$D$2:$D$3001,"هالك",'هالك وتحويلات'!$A$2:$A$3001,'إعدادات المخزون'!$B$4)-SUMIFS('هالك وتحويلات'!$E$2:$E$3001,'هالك وتحويلات'!$B$2:$B$3001,$B$2,'هالك وتحويلات'!$C$2:$C$3001,$A68,'هالك وتحويلات'!$D$2:$D$3001,"ضيافة / أكل موظفين",'هالك وتحويلات'!$A$2:$A$3001,'إعدادات المخزون'!$B$4)-SUMPRODUCT('مصفوفة الاستهلاك'!$BK$2:$BK$190,'متجهات المبيعات'!$E$2:$E$190)/'مواد المخزون'!$D$63</f>
        <v>-10.3333</v>
      </c>
      <c r="AA68" s="109" t="n">
        <f aca="false">IF(K68="نعم",O68,0)</f>
        <v>0</v>
      </c>
      <c r="AB68" s="109" t="n">
        <f aca="false">IF(K68="نعم",J68*C68,0)</f>
        <v>0</v>
      </c>
      <c r="AC68" s="109" t="n">
        <f aca="false">IF(T68="",0,T68)</f>
        <v>0</v>
      </c>
    </row>
    <row r="69" customFormat="false" ht="15" hidden="false" customHeight="false" outlineLevel="0" collapsed="false">
      <c r="A69" s="34" t="str">
        <f aca="false">'مواد المخزون'!A64</f>
        <v>علبة تونة صغير</v>
      </c>
      <c r="B69" s="36" t="str">
        <f aca="false">'مواد المخزون'!B64</f>
        <v>قطعة</v>
      </c>
      <c r="C69" s="109" t="n">
        <f aca="false">'مواد المخزون'!E64</f>
        <v>42.03</v>
      </c>
      <c r="D69" s="110" t="n">
        <f aca="false">'جرد أول المدة'!D67</f>
        <v>6</v>
      </c>
      <c r="E69" s="110" t="n">
        <f aca="false">SUMIFS('مشتريات يومية'!$D$2:$D$4001,'مشتريات يومية'!$B$2:$B$4001,$B$2,'مشتريات يومية'!$C$2:$C$4001,$A69,'مشتريات يومية'!$A$2:$A$4001,"&gt;="&amp;'إعدادات المخزون'!$B$5,'مشتريات يومية'!$A$2:$A$4001,"&lt;="&amp;'إعدادات المخزون'!$B$4)</f>
        <v>0</v>
      </c>
      <c r="F69" s="110" t="n">
        <f aca="false">SUMIFS('هالك وتحويلات'!$E$2:$E$3001,'هالك وتحويلات'!$B$2:$B$3001,$B$2,'هالك وتحويلات'!$C$2:$C$3001,$A69,'هالك وتحويلات'!$D$2:$D$3001,"تحويل وارد",'هالك وتحويلات'!$A$2:$A$3001,"&gt;="&amp;'إعدادات المخزون'!$B$5,'هالك وتحويلات'!$A$2:$A$3001,"&lt;="&amp;'إعدادات المخزون'!$B$4)</f>
        <v>0</v>
      </c>
      <c r="G69" s="110" t="n">
        <f aca="false">SUMIFS('هالك وتحويلات'!$E$2:$E$3001,'هالك وتحويلات'!$B$2:$B$3001,$B$2,'هالك وتحويلات'!$C$2:$C$3001,$A69,'هالك وتحويلات'!$D$2:$D$3001,"تحويل صادر",'هالك وتحويلات'!$A$2:$A$3001,"&gt;="&amp;'إعدادات المخزون'!$B$5,'هالك وتحويلات'!$A$2:$A$3001,"&lt;="&amp;'إعدادات المخزون'!$B$4)</f>
        <v>0</v>
      </c>
      <c r="H69" s="110" t="n">
        <f aca="false">SUMPRODUCT('مصفوفة الاستهلاك'!$BL$2:$BL$190,'متجهات المبيعات'!$F$2:$F$190)/'مواد المخزون'!$D$64</f>
        <v>2.499</v>
      </c>
      <c r="I69" s="110" t="n">
        <f aca="false">SUMIFS('هالك وتحويلات'!$E$2:$E$3001,'هالك وتحويلات'!$B$2:$B$3001,$B$2,'هالك وتحويلات'!$C$2:$C$3001,$A69,'هالك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وتحويلات'!$C$2:$C$3001,$A69,'هالك وتحويلات'!$D$2:$D$3001,"ضيافة / أكل موظفين",'هالك وتحويلات'!$A$2:$A$3001,"&gt;="&amp;'إعدادات المخزون'!$B$5,'هالك وتحويلات'!$A$2:$A$3001,"&lt;="&amp;'إعدادات المخزون'!$B$4)</f>
        <v>0</v>
      </c>
      <c r="J69" s="110" t="n">
        <f aca="false">D69+E69+F69-G69-H69-I69</f>
        <v>3.501</v>
      </c>
      <c r="K69" s="36" t="str">
        <f aca="false">IF(COUNTIFS('جرد فعلي'!$B$2:$B$12001,$B$2,'جرد فعلي'!$C$2:$C$12001,$A69,'جرد فعلي'!$A$2:$A$12001,'إعدادات المخزون'!$B$4)&gt;0,"نعم","لا")</f>
        <v>لا</v>
      </c>
      <c r="L69" s="111" t="str">
        <f aca="false">IF(K69="نعم",SUMIFS('جرد فعلي'!$D$2:$D$12001,'جرد فعلي'!$B$2:$B$12001,$B$2,'جرد فعلي'!$C$2:$C$12001,$A69,'جرد فعلي'!$A$2:$A$12001,'إعدادات المخزون'!$B$4),"")</f>
        <v/>
      </c>
      <c r="M69" s="110" t="str">
        <f aca="false">IF(K69="نعم",L69-J69,"")</f>
        <v/>
      </c>
      <c r="N69" s="112" t="str">
        <f aca="false">IF(K69="نعم",IF(J69=0,IF(M69=0,0,SIGN(M69)),M69/ABS(J69)),"")</f>
        <v/>
      </c>
      <c r="O69" s="109" t="str">
        <f aca="false">IF(K69="نعم",M69*C69,"")</f>
        <v/>
      </c>
      <c r="P69" s="36" t="str">
        <f aca="false">IF(K69&lt;&gt;"نعم","لم يُجرد",IF(ABS(N69)&lt;='إعدادات المخزون'!$B$7,"مطابق",IF(M69&lt;0,"عجز","زيادة")))</f>
        <v>لم يُجرد</v>
      </c>
      <c r="Q69" s="110" t="n">
        <f aca="false">J69-Z69</f>
        <v>3.70925</v>
      </c>
      <c r="R69" s="110" t="str">
        <f aca="false">IF(COUNTIFS('جرد فعلي'!$B$2:$B$12001,$B$2,'جرد فعلي'!$C$2:$C$12001,$A69,'جرد فعلي'!$A$2:$A$12001,'إعدادات المخزون'!$B$4-1)&gt;0,SUMIFS('جرد فعلي'!$D$2:$D$12001,'جرد فعلي'!$B$2:$B$12001,$B$2,'جرد فعلي'!$C$2:$C$12001,$A69,'جرد فعلي'!$A$2:$A$12001,'إعدادات المخزون'!$B$4-1),"")</f>
        <v/>
      </c>
      <c r="S69" s="110" t="str">
        <f aca="false">IF(AND(K69="نعم",R69&lt;&gt;""),(L69-J69)-(R69-Q69),"")</f>
        <v/>
      </c>
      <c r="T69" s="109" t="str">
        <f aca="false">IF(S69="","",S69*C69)</f>
        <v/>
      </c>
      <c r="U69" s="110" t="n">
        <f aca="false">IF(K69="نعم",L69,J69)</f>
        <v>3.501</v>
      </c>
      <c r="V69" s="110" t="n">
        <f aca="false">SUMPRODUCT('مصفوفة الاستهلاك'!$BL$2:$BL$190,'متجهات المبيعات'!$G$2:$G$190)/'مواد المخزون'!$D$64/MAX(1,MIN('إعدادات المخزون'!$B$11,'إعدادات المخزون'!$B$4-'إعدادات المخزون'!$B$5+1))</f>
        <v>0.20825</v>
      </c>
      <c r="W69" s="110" t="n">
        <f aca="false">IF(V69&lt;=0,0,ROUNDUP(MAX(0,V69*('إعدادات المخزون'!$B$8+'إعدادات المخزون'!$B$9+'إعدادات المخزون'!$B$10)-MAX(U69,0))/'مواد المخزون'!$F64,0)*'مواد المخزون'!$F64)</f>
        <v>0</v>
      </c>
      <c r="X69" s="109" t="n">
        <f aca="false">IF(AND(K69="نعم",O69&lt;0),-O69+ROW()*0.000000001,0)</f>
        <v>0</v>
      </c>
      <c r="Y69" s="109" t="n">
        <f aca="false">IF(AND(K69="نعم",O69&gt;0),O69+ROW()*0.000000001,0)</f>
        <v>0</v>
      </c>
      <c r="Z69" s="110" t="n">
        <f aca="false">SUMIFS('مشتريات يومية'!$D$2:$D$4001,'مشتريات يومية'!$B$2:$B$4001,$B$2,'مشتريات يومية'!$C$2:$C$4001,$A69,'مشتريات يومية'!$A$2:$A$4001,'إعدادات المخزون'!$B$4)+SUMIFS('هالك وتحويلات'!$E$2:$E$3001,'هالك وتحويلات'!$B$2:$B$3001,$B$2,'هالك وتحويلات'!$C$2:$C$3001,$A69,'هالك وتحويلات'!$D$2:$D$3001,"تحويل وارد",'هالك وتحويلات'!$A$2:$A$3001,'إعدادات المخزون'!$B$4)-SUMIFS('هالك وتحويلات'!$E$2:$E$3001,'هالك وتحويلات'!$B$2:$B$3001,$B$2,'هالك وتحويلات'!$C$2:$C$3001,$A69,'هالك وتحويلات'!$D$2:$D$3001,"تحويل صادر",'هالك وتحويلات'!$A$2:$A$3001,'إعدادات المخزون'!$B$4)-SUMIFS('هالك وتحويلات'!$E$2:$E$3001,'هالك وتحويلات'!$B$2:$B$3001,$B$2,'هالك وتحويلات'!$C$2:$C$3001,$A69,'هالك وتحويلات'!$D$2:$D$3001,"هالك",'هالك وتحويلات'!$A$2:$A$3001,'إعدادات المخزون'!$B$4)-SUMIFS('هالك وتحويلات'!$E$2:$E$3001,'هالك وتحويلات'!$B$2:$B$3001,$B$2,'هالك وتحويلات'!$C$2:$C$3001,$A69,'هالك وتحويلات'!$D$2:$D$3001,"ضيافة / أكل موظفين",'هالك وتحويلات'!$A$2:$A$3001,'إعدادات المخزون'!$B$4)-SUMPRODUCT('مصفوفة الاستهلاك'!$BL$2:$BL$190,'متجهات المبيعات'!$E$2:$E$190)/'مواد المخزون'!$D$64</f>
        <v>-0.20825</v>
      </c>
      <c r="AA69" s="109" t="n">
        <f aca="false">IF(K69="نعم",O69,0)</f>
        <v>0</v>
      </c>
      <c r="AB69" s="109" t="n">
        <f aca="false">IF(K69="نعم",J69*C69,0)</f>
        <v>0</v>
      </c>
      <c r="AC69" s="109" t="n">
        <f aca="false">IF(T69="",0,T69)</f>
        <v>0</v>
      </c>
    </row>
    <row r="70" customFormat="false" ht="15" hidden="false" customHeight="false" outlineLevel="0" collapsed="false">
      <c r="A70" s="34" t="str">
        <f aca="false">'مواد المخزون'!A65</f>
        <v>فراخ كريسبي صيامي</v>
      </c>
      <c r="B70" s="36" t="str">
        <f aca="false">'مواد المخزون'!B65</f>
        <v>كجم</v>
      </c>
      <c r="C70" s="109" t="n">
        <f aca="false">'مواد المخزون'!E65</f>
        <v>150</v>
      </c>
      <c r="D70" s="110" t="n">
        <f aca="false">'جرد أول المدة'!D68</f>
        <v>0</v>
      </c>
      <c r="E70" s="110" t="n">
        <f aca="false">SUMIFS('مشتريات يومية'!$D$2:$D$4001,'مشتريات يومية'!$B$2:$B$4001,$B$2,'مشتريات يومية'!$C$2:$C$4001,$A70,'مشتريات يومية'!$A$2:$A$4001,"&gt;="&amp;'إعدادات المخزون'!$B$5,'مشتريات يومية'!$A$2:$A$4001,"&lt;="&amp;'إعدادات المخزون'!$B$4)</f>
        <v>0</v>
      </c>
      <c r="F70" s="110" t="n">
        <f aca="false">SUMIFS('هالك وتحويلات'!$E$2:$E$3001,'هالك وتحويلات'!$B$2:$B$3001,$B$2,'هالك وتحويلات'!$C$2:$C$3001,$A70,'هالك وتحويلات'!$D$2:$D$3001,"تحويل وارد",'هالك وتحويلات'!$A$2:$A$3001,"&gt;="&amp;'إعدادات المخزون'!$B$5,'هالك وتحويلات'!$A$2:$A$3001,"&lt;="&amp;'إعدادات المخزون'!$B$4)</f>
        <v>0</v>
      </c>
      <c r="G70" s="110" t="n">
        <f aca="false">SUMIFS('هالك وتحويلات'!$E$2:$E$3001,'هالك وتحويلات'!$B$2:$B$3001,$B$2,'هالك وتحويلات'!$C$2:$C$3001,$A70,'هالك وتحويلات'!$D$2:$D$3001,"تحويل صادر",'هالك وتحويلات'!$A$2:$A$3001,"&gt;="&amp;'إعدادات المخزون'!$B$5,'هالك وتحويلات'!$A$2:$A$3001,"&lt;="&amp;'إعدادات المخزون'!$B$4)</f>
        <v>0</v>
      </c>
      <c r="H70" s="110" t="n">
        <f aca="false">SUMPRODUCT('مصفوفة الاستهلاك'!$BM$2:$BM$190,'متجهات المبيعات'!$F$2:$F$190)/'مواد المخزون'!$D$65</f>
        <v>0</v>
      </c>
      <c r="I70" s="110" t="n">
        <f aca="false">SUMIFS('هالك وتحويلات'!$E$2:$E$3001,'هالك وتحويلات'!$B$2:$B$3001,$B$2,'هالك وتحويلات'!$C$2:$C$3001,$A70,'هالك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وتحويلات'!$C$2:$C$3001,$A70,'هالك وتحويلات'!$D$2:$D$3001,"ضيافة / أكل موظفين",'هالك وتحويلات'!$A$2:$A$3001,"&gt;="&amp;'إعدادات المخزون'!$B$5,'هالك وتحويلات'!$A$2:$A$3001,"&lt;="&amp;'إعدادات المخزون'!$B$4)</f>
        <v>0</v>
      </c>
      <c r="J70" s="110" t="n">
        <f aca="false">D70+E70+F70-G70-H70-I70</f>
        <v>0</v>
      </c>
      <c r="K70" s="36" t="str">
        <f aca="false">IF(COUNTIFS('جرد فعلي'!$B$2:$B$12001,$B$2,'جرد فعلي'!$C$2:$C$12001,$A70,'جرد فعلي'!$A$2:$A$12001,'إعدادات المخزون'!$B$4)&gt;0,"نعم","لا")</f>
        <v>لا</v>
      </c>
      <c r="L70" s="111" t="str">
        <f aca="false">IF(K70="نعم",SUMIFS('جرد فعلي'!$D$2:$D$12001,'جرد فعلي'!$B$2:$B$12001,$B$2,'جرد فعلي'!$C$2:$C$12001,$A70,'جرد فعلي'!$A$2:$A$12001,'إعدادات المخزون'!$B$4),"")</f>
        <v/>
      </c>
      <c r="M70" s="110" t="str">
        <f aca="false">IF(K70="نعم",L70-J70,"")</f>
        <v/>
      </c>
      <c r="N70" s="112" t="str">
        <f aca="false">IF(K70="نعم",IF(J70=0,IF(M70=0,0,SIGN(M70)),M70/ABS(J70)),"")</f>
        <v/>
      </c>
      <c r="O70" s="109" t="str">
        <f aca="false">IF(K70="نعم",M70*C70,"")</f>
        <v/>
      </c>
      <c r="P70" s="36" t="str">
        <f aca="false">IF(K70&lt;&gt;"نعم","لم يُجرد",IF(ABS(N70)&lt;='إعدادات المخزون'!$B$7,"مطابق",IF(M70&lt;0,"عجز","زيادة")))</f>
        <v>لم يُجرد</v>
      </c>
      <c r="Q70" s="110" t="n">
        <f aca="false">J70-Z70</f>
        <v>0</v>
      </c>
      <c r="R70" s="110" t="str">
        <f aca="false">IF(COUNTIFS('جرد فعلي'!$B$2:$B$12001,$B$2,'جرد فعلي'!$C$2:$C$12001,$A70,'جرد فعلي'!$A$2:$A$12001,'إعدادات المخزون'!$B$4-1)&gt;0,SUMIFS('جرد فعلي'!$D$2:$D$12001,'جرد فعلي'!$B$2:$B$12001,$B$2,'جرد فعلي'!$C$2:$C$12001,$A70,'جرد فعلي'!$A$2:$A$12001,'إعدادات المخزون'!$B$4-1),"")</f>
        <v/>
      </c>
      <c r="S70" s="110" t="str">
        <f aca="false">IF(AND(K70="نعم",R70&lt;&gt;""),(L70-J70)-(R70-Q70),"")</f>
        <v/>
      </c>
      <c r="T70" s="109" t="str">
        <f aca="false">IF(S70="","",S70*C70)</f>
        <v/>
      </c>
      <c r="U70" s="110" t="n">
        <f aca="false">IF(K70="نعم",L70,J70)</f>
        <v>0</v>
      </c>
      <c r="V70" s="110" t="n">
        <f aca="false">SUMPRODUCT('مصفوفة الاستهلاك'!$BM$2:$BM$190,'متجهات المبيعات'!$G$2:$G$190)/'مواد المخزون'!$D$65/MAX(1,MIN('إعدادات المخزون'!$B$11,'إعدادات المخزون'!$B$4-'إعدادات المخزون'!$B$5+1))</f>
        <v>0</v>
      </c>
      <c r="W70" s="110" t="n">
        <f aca="false">IF(V70&lt;=0,0,ROUNDUP(MAX(0,V70*('إعدادات المخزون'!$B$8+'إعدادات المخزون'!$B$9+'إعدادات المخزون'!$B$10)-MAX(U70,0))/'مواد المخزون'!$F65,0)*'مواد المخزون'!$F65)</f>
        <v>0</v>
      </c>
      <c r="X70" s="109" t="n">
        <f aca="false">IF(AND(K70="نعم",O70&lt;0),-O70+ROW()*0.000000001,0)</f>
        <v>0</v>
      </c>
      <c r="Y70" s="109" t="n">
        <f aca="false">IF(AND(K70="نعم",O70&gt;0),O70+ROW()*0.000000001,0)</f>
        <v>0</v>
      </c>
      <c r="Z70" s="110" t="n">
        <f aca="false">SUMIFS('مشتريات يومية'!$D$2:$D$4001,'مشتريات يومية'!$B$2:$B$4001,$B$2,'مشتريات يومية'!$C$2:$C$4001,$A70,'مشتريات يومية'!$A$2:$A$4001,'إعدادات المخزون'!$B$4)+SUMIFS('هالك وتحويلات'!$E$2:$E$3001,'هالك وتحويلات'!$B$2:$B$3001,$B$2,'هالك وتحويلات'!$C$2:$C$3001,$A70,'هالك وتحويلات'!$D$2:$D$3001,"تحويل وارد",'هالك وتحويلات'!$A$2:$A$3001,'إعدادات المخزون'!$B$4)-SUMIFS('هالك وتحويلات'!$E$2:$E$3001,'هالك وتحويلات'!$B$2:$B$3001,$B$2,'هالك وتحويلات'!$C$2:$C$3001,$A70,'هالك وتحويلات'!$D$2:$D$3001,"تحويل صادر",'هالك وتحويلات'!$A$2:$A$3001,'إعدادات المخزون'!$B$4)-SUMIFS('هالك وتحويلات'!$E$2:$E$3001,'هالك وتحويلات'!$B$2:$B$3001,$B$2,'هالك وتحويلات'!$C$2:$C$3001,$A70,'هالك وتحويلات'!$D$2:$D$3001,"هالك",'هالك وتحويلات'!$A$2:$A$3001,'إعدادات المخزون'!$B$4)-SUMIFS('هالك وتحويلات'!$E$2:$E$3001,'هالك وتحويلات'!$B$2:$B$3001,$B$2,'هالك وتحويلات'!$C$2:$C$3001,$A70,'هالك وتحويلات'!$D$2:$D$3001,"ضيافة / أكل موظفين",'هالك وتحويلات'!$A$2:$A$3001,'إعدادات المخزون'!$B$4)-SUMPRODUCT('مصفوفة الاستهلاك'!$BM$2:$BM$190,'متجهات المبيعات'!$E$2:$E$190)/'مواد المخزون'!$D$65</f>
        <v>0</v>
      </c>
      <c r="AA70" s="109" t="n">
        <f aca="false">IF(K70="نعم",O70,0)</f>
        <v>0</v>
      </c>
      <c r="AB70" s="109" t="n">
        <f aca="false">IF(K70="نعم",J70*C70,0)</f>
        <v>0</v>
      </c>
      <c r="AC70" s="109" t="n">
        <f aca="false">IF(T70="",0,T70)</f>
        <v>0</v>
      </c>
    </row>
    <row r="71" customFormat="false" ht="15" hidden="false" customHeight="false" outlineLevel="0" collapsed="false">
      <c r="A71" s="34" t="str">
        <f aca="false">'مواد المخزون'!A66</f>
        <v>فلفل كوبي</v>
      </c>
      <c r="B71" s="36" t="str">
        <f aca="false">'مواد المخزون'!B66</f>
        <v>كجم</v>
      </c>
      <c r="C71" s="109" t="n">
        <f aca="false">'مواد المخزون'!E66</f>
        <v>27</v>
      </c>
      <c r="D71" s="110" t="n">
        <f aca="false">'جرد أول المدة'!D69</f>
        <v>5.185</v>
      </c>
      <c r="E71" s="110" t="n">
        <f aca="false">SUMIFS('مشتريات يومية'!$D$2:$D$4001,'مشتريات يومية'!$B$2:$B$4001,$B$2,'مشتريات يومية'!$C$2:$C$4001,$A71,'مشتريات يومية'!$A$2:$A$4001,"&gt;="&amp;'إعدادات المخزون'!$B$5,'مشتريات يومية'!$A$2:$A$4001,"&lt;="&amp;'إعدادات المخزون'!$B$4)</f>
        <v>69</v>
      </c>
      <c r="F71" s="110" t="n">
        <f aca="false">SUMIFS('هالك وتحويلات'!$E$2:$E$3001,'هالك وتحويلات'!$B$2:$B$3001,$B$2,'هالك وتحويلات'!$C$2:$C$3001,$A71,'هالك وتحويلات'!$D$2:$D$3001,"تحويل وارد",'هالك وتحويلات'!$A$2:$A$3001,"&gt;="&amp;'إعدادات المخزون'!$B$5,'هالك وتحويلات'!$A$2:$A$3001,"&lt;="&amp;'إعدادات المخزون'!$B$4)</f>
        <v>0</v>
      </c>
      <c r="G71" s="110" t="n">
        <f aca="false">SUMIFS('هالك وتحويلات'!$E$2:$E$3001,'هالك وتحويلات'!$B$2:$B$3001,$B$2,'هالك وتحويلات'!$C$2:$C$3001,$A71,'هالك وتحويلات'!$D$2:$D$3001,"تحويل صادر",'هالك وتحويلات'!$A$2:$A$3001,"&gt;="&amp;'إعدادات المخزون'!$B$5,'هالك وتحويلات'!$A$2:$A$3001,"&lt;="&amp;'إعدادات المخزون'!$B$4)</f>
        <v>0</v>
      </c>
      <c r="H71" s="110" t="n">
        <f aca="false">SUMPRODUCT('مصفوفة الاستهلاك'!$BN$2:$BN$190,'متجهات المبيعات'!$F$2:$F$190)/'مواد المخزون'!$D$66</f>
        <v>34.470024</v>
      </c>
      <c r="I71" s="110" t="n">
        <f aca="false">SUMIFS('هالك وتحويلات'!$E$2:$E$3001,'هالك وتحويلات'!$B$2:$B$3001,$B$2,'هالك وتحويلات'!$C$2:$C$3001,$A71,'هالك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وتحويلات'!$C$2:$C$3001,$A71,'هالك وتحويلات'!$D$2:$D$3001,"ضيافة / أكل موظفين",'هالك وتحويلات'!$A$2:$A$3001,"&gt;="&amp;'إعدادات المخزون'!$B$5,'هالك وتحويلات'!$A$2:$A$3001,"&lt;="&amp;'إعدادات المخزون'!$B$4)</f>
        <v>0</v>
      </c>
      <c r="J71" s="110" t="n">
        <f aca="false">D71+E71+F71-G71-H71-I71</f>
        <v>39.714976</v>
      </c>
      <c r="K71" s="36" t="str">
        <f aca="false">IF(COUNTIFS('جرد فعلي'!$B$2:$B$12001,$B$2,'جرد فعلي'!$C$2:$C$12001,$A71,'جرد فعلي'!$A$2:$A$12001,'إعدادات المخزون'!$B$4)&gt;0,"نعم","لا")</f>
        <v>لا</v>
      </c>
      <c r="L71" s="111" t="str">
        <f aca="false">IF(K71="نعم",SUMIFS('جرد فعلي'!$D$2:$D$12001,'جرد فعلي'!$B$2:$B$12001,$B$2,'جرد فعلي'!$C$2:$C$12001,$A71,'جرد فعلي'!$A$2:$A$12001,'إعدادات المخزون'!$B$4),"")</f>
        <v/>
      </c>
      <c r="M71" s="110" t="str">
        <f aca="false">IF(K71="نعم",L71-J71,"")</f>
        <v/>
      </c>
      <c r="N71" s="112" t="str">
        <f aca="false">IF(K71="نعم",IF(J71=0,IF(M71=0,0,SIGN(M71)),M71/ABS(J71)),"")</f>
        <v/>
      </c>
      <c r="O71" s="109" t="str">
        <f aca="false">IF(K71="نعم",M71*C71,"")</f>
        <v/>
      </c>
      <c r="P71" s="36" t="str">
        <f aca="false">IF(K71&lt;&gt;"نعم","لم يُجرد",IF(ABS(N71)&lt;='إعدادات المخزون'!$B$7,"مطابق",IF(M71&lt;0,"عجز","زيادة")))</f>
        <v>لم يُجرد</v>
      </c>
      <c r="Q71" s="110" t="n">
        <f aca="false">J71-Z71</f>
        <v>42.587478</v>
      </c>
      <c r="R71" s="110" t="str">
        <f aca="false">IF(COUNTIFS('جرد فعلي'!$B$2:$B$12001,$B$2,'جرد فعلي'!$C$2:$C$12001,$A71,'جرد فعلي'!$A$2:$A$12001,'إعدادات المخزون'!$B$4-1)&gt;0,SUMIFS('جرد فعلي'!$D$2:$D$12001,'جرد فعلي'!$B$2:$B$12001,$B$2,'جرد فعلي'!$C$2:$C$12001,$A71,'جرد فعلي'!$A$2:$A$12001,'إعدادات المخزون'!$B$4-1),"")</f>
        <v/>
      </c>
      <c r="S71" s="110" t="str">
        <f aca="false">IF(AND(K71="نعم",R71&lt;&gt;""),(L71-J71)-(R71-Q71),"")</f>
        <v/>
      </c>
      <c r="T71" s="109" t="str">
        <f aca="false">IF(S71="","",S71*C71)</f>
        <v/>
      </c>
      <c r="U71" s="110" t="n">
        <f aca="false">IF(K71="نعم",L71,J71)</f>
        <v>39.714976</v>
      </c>
      <c r="V71" s="110" t="n">
        <f aca="false">SUMPRODUCT('مصفوفة الاستهلاك'!$BN$2:$BN$190,'متجهات المبيعات'!$G$2:$G$190)/'مواد المخزون'!$D$66/MAX(1,MIN('إعدادات المخزون'!$B$11,'إعدادات المخزون'!$B$4-'إعدادات المخزون'!$B$5+1))</f>
        <v>2.872502</v>
      </c>
      <c r="W71" s="110" t="n">
        <f aca="false">IF(V71&lt;=0,0,ROUNDUP(MAX(0,V71*('إعدادات المخزون'!$B$8+'إعدادات المخزون'!$B$9+'إعدادات المخزون'!$B$10)-MAX(U71,0))/'مواد المخزون'!$F66,0)*'مواد المخزون'!$F66)</f>
        <v>0</v>
      </c>
      <c r="X71" s="109" t="n">
        <f aca="false">IF(AND(K71="نعم",O71&lt;0),-O71+ROW()*0.000000001,0)</f>
        <v>0</v>
      </c>
      <c r="Y71" s="109" t="n">
        <f aca="false">IF(AND(K71="نعم",O71&gt;0),O71+ROW()*0.000000001,0)</f>
        <v>0</v>
      </c>
      <c r="Z71" s="110" t="n">
        <f aca="false">SUMIFS('مشتريات يومية'!$D$2:$D$4001,'مشتريات يومية'!$B$2:$B$4001,$B$2,'مشتريات يومية'!$C$2:$C$4001,$A71,'مشتريات يومية'!$A$2:$A$4001,'إعدادات المخزون'!$B$4)+SUMIFS('هالك وتحويلات'!$E$2:$E$3001,'هالك وتحويلات'!$B$2:$B$3001,$B$2,'هالك وتحويلات'!$C$2:$C$3001,$A71,'هالك وتحويلات'!$D$2:$D$3001,"تحويل وارد",'هالك وتحويلات'!$A$2:$A$3001,'إعدادات المخزون'!$B$4)-SUMIFS('هالك وتحويلات'!$E$2:$E$3001,'هالك وتحويلات'!$B$2:$B$3001,$B$2,'هالك وتحويلات'!$C$2:$C$3001,$A71,'هالك وتحويلات'!$D$2:$D$3001,"تحويل صادر",'هالك وتحويلات'!$A$2:$A$3001,'إعدادات المخزون'!$B$4)-SUMIFS('هالك وتحويلات'!$E$2:$E$3001,'هالك وتحويلات'!$B$2:$B$3001,$B$2,'هالك وتحويلات'!$C$2:$C$3001,$A71,'هالك وتحويلات'!$D$2:$D$3001,"هالك",'هالك وتحويلات'!$A$2:$A$3001,'إعدادات المخزون'!$B$4)-SUMIFS('هالك وتحويلات'!$E$2:$E$3001,'هالك وتحويلات'!$B$2:$B$3001,$B$2,'هالك وتحويلات'!$C$2:$C$3001,$A71,'هالك وتحويلات'!$D$2:$D$3001,"ضيافة / أكل موظفين",'هالك وتحويلات'!$A$2:$A$3001,'إعدادات المخزون'!$B$4)-SUMPRODUCT('مصفوفة الاستهلاك'!$BN$2:$BN$190,'متجهات المبيعات'!$E$2:$E$190)/'مواد المخزون'!$D$66</f>
        <v>-2.872502</v>
      </c>
      <c r="AA71" s="109" t="n">
        <f aca="false">IF(K71="نعم",O71,0)</f>
        <v>0</v>
      </c>
      <c r="AB71" s="109" t="n">
        <f aca="false">IF(K71="نعم",J71*C71,0)</f>
        <v>0</v>
      </c>
      <c r="AC71" s="109" t="n">
        <f aca="false">IF(T71="",0,T71)</f>
        <v>0</v>
      </c>
    </row>
    <row r="72" customFormat="false" ht="15" hidden="false" customHeight="false" outlineLevel="0" collapsed="false">
      <c r="A72" s="34" t="str">
        <f aca="false">'مواد المخزون'!A67</f>
        <v>قطعة جبنة كيري</v>
      </c>
      <c r="B72" s="36" t="str">
        <f aca="false">'مواد المخزون'!B67</f>
        <v>قطعة</v>
      </c>
      <c r="C72" s="109" t="n">
        <f aca="false">'مواد المخزون'!E67</f>
        <v>7</v>
      </c>
      <c r="D72" s="110" t="n">
        <f aca="false">'جرد أول المدة'!D70</f>
        <v>84</v>
      </c>
      <c r="E72" s="110" t="n">
        <f aca="false">SUMIFS('مشتريات يومية'!$D$2:$D$4001,'مشتريات يومية'!$B$2:$B$4001,$B$2,'مشتريات يومية'!$C$2:$C$4001,$A72,'مشتريات يومية'!$A$2:$A$4001,"&gt;="&amp;'إعدادات المخزون'!$B$5,'مشتريات يومية'!$A$2:$A$4001,"&lt;="&amp;'إعدادات المخزون'!$B$4)</f>
        <v>576</v>
      </c>
      <c r="F72" s="110" t="n">
        <f aca="false">SUMIFS('هالك وتحويلات'!$E$2:$E$3001,'هالك وتحويلات'!$B$2:$B$3001,$B$2,'هالك وتحويلات'!$C$2:$C$3001,$A72,'هالك وتحويلات'!$D$2:$D$3001,"تحويل وارد",'هالك وتحويلات'!$A$2:$A$3001,"&gt;="&amp;'إعدادات المخزون'!$B$5,'هالك وتحويلات'!$A$2:$A$3001,"&lt;="&amp;'إعدادات المخزون'!$B$4)</f>
        <v>0</v>
      </c>
      <c r="G72" s="110" t="n">
        <f aca="false">SUMIFS('هالك وتحويلات'!$E$2:$E$3001,'هالك وتحويلات'!$B$2:$B$3001,$B$2,'هالك وتحويلات'!$C$2:$C$3001,$A72,'هالك وتحويلات'!$D$2:$D$3001,"تحويل صادر",'هالك وتحويلات'!$A$2:$A$3001,"&gt;="&amp;'إعدادات المخزون'!$B$5,'هالك وتحويلات'!$A$2:$A$3001,"&lt;="&amp;'إعدادات المخزون'!$B$4)</f>
        <v>0</v>
      </c>
      <c r="H72" s="110" t="n">
        <f aca="false">SUMPRODUCT('مصفوفة الاستهلاك'!$BO$2:$BO$190,'متجهات المبيعات'!$F$2:$F$190)/'مواد المخزون'!$D$67</f>
        <v>554.9988</v>
      </c>
      <c r="I72" s="110" t="n">
        <f aca="false">SUMIFS('هالك وتحويلات'!$E$2:$E$3001,'هالك وتحويلات'!$B$2:$B$3001,$B$2,'هالك وتحويلات'!$C$2:$C$3001,$A72,'هالك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وتحويلات'!$C$2:$C$3001,$A72,'هالك وتحويلات'!$D$2:$D$3001,"ضيافة / أكل موظفين",'هالك وتحويلات'!$A$2:$A$3001,"&gt;="&amp;'إعدادات المخزون'!$B$5,'هالك وتحويلات'!$A$2:$A$3001,"&lt;="&amp;'إعدادات المخزون'!$B$4)</f>
        <v>0</v>
      </c>
      <c r="J72" s="110" t="n">
        <f aca="false">D72+E72+F72-G72-H72-I72</f>
        <v>105.0012</v>
      </c>
      <c r="K72" s="36" t="str">
        <f aca="false">IF(COUNTIFS('جرد فعلي'!$B$2:$B$12001,$B$2,'جرد فعلي'!$C$2:$C$12001,$A72,'جرد فعلي'!$A$2:$A$12001,'إعدادات المخزون'!$B$4)&gt;0,"نعم","لا")</f>
        <v>لا</v>
      </c>
      <c r="L72" s="111" t="str">
        <f aca="false">IF(K72="نعم",SUMIFS('جرد فعلي'!$D$2:$D$12001,'جرد فعلي'!$B$2:$B$12001,$B$2,'جرد فعلي'!$C$2:$C$12001,$A72,'جرد فعلي'!$A$2:$A$12001,'إعدادات المخزون'!$B$4),"")</f>
        <v/>
      </c>
      <c r="M72" s="110" t="str">
        <f aca="false">IF(K72="نعم",L72-J72,"")</f>
        <v/>
      </c>
      <c r="N72" s="112" t="str">
        <f aca="false">IF(K72="نعم",IF(J72=0,IF(M72=0,0,SIGN(M72)),M72/ABS(J72)),"")</f>
        <v/>
      </c>
      <c r="O72" s="109" t="str">
        <f aca="false">IF(K72="نعم",M72*C72,"")</f>
        <v/>
      </c>
      <c r="P72" s="36" t="str">
        <f aca="false">IF(K72&lt;&gt;"نعم","لم يُجرد",IF(ABS(N72)&lt;='إعدادات المخزون'!$B$7,"مطابق",IF(M72&lt;0,"عجز","زيادة")))</f>
        <v>لم يُجرد</v>
      </c>
      <c r="Q72" s="110" t="n">
        <f aca="false">J72-Z72</f>
        <v>151.2511</v>
      </c>
      <c r="R72" s="110" t="str">
        <f aca="false">IF(COUNTIFS('جرد فعلي'!$B$2:$B$12001,$B$2,'جرد فعلي'!$C$2:$C$12001,$A72,'جرد فعلي'!$A$2:$A$12001,'إعدادات المخزون'!$B$4-1)&gt;0,SUMIFS('جرد فعلي'!$D$2:$D$12001,'جرد فعلي'!$B$2:$B$12001,$B$2,'جرد فعلي'!$C$2:$C$12001,$A72,'جرد فعلي'!$A$2:$A$12001,'إعدادات المخزون'!$B$4-1),"")</f>
        <v/>
      </c>
      <c r="S72" s="110" t="str">
        <f aca="false">IF(AND(K72="نعم",R72&lt;&gt;""),(L72-J72)-(R72-Q72),"")</f>
        <v/>
      </c>
      <c r="T72" s="109" t="str">
        <f aca="false">IF(S72="","",S72*C72)</f>
        <v/>
      </c>
      <c r="U72" s="110" t="n">
        <f aca="false">IF(K72="نعم",L72,J72)</f>
        <v>105.0012</v>
      </c>
      <c r="V72" s="110" t="n">
        <f aca="false">SUMPRODUCT('مصفوفة الاستهلاك'!$BO$2:$BO$190,'متجهات المبيعات'!$G$2:$G$190)/'مواد المخزون'!$D$67/MAX(1,MIN('إعدادات المخزون'!$B$11,'إعدادات المخزون'!$B$4-'إعدادات المخزون'!$B$5+1))</f>
        <v>46.2499</v>
      </c>
      <c r="W72" s="110" t="n">
        <f aca="false">IF(V72&lt;=0,0,ROUNDUP(MAX(0,V72*('إعدادات المخزون'!$B$8+'إعدادات المخزون'!$B$9+'إعدادات المخزون'!$B$10)-MAX(U72,0))/'مواد المخزون'!$F67,0)*'مواد المخزون'!$F67)</f>
        <v>80</v>
      </c>
      <c r="X72" s="109" t="n">
        <f aca="false">IF(AND(K72="نعم",O72&lt;0),-O72+ROW()*0.000000001,0)</f>
        <v>0</v>
      </c>
      <c r="Y72" s="109" t="n">
        <f aca="false">IF(AND(K72="نعم",O72&gt;0),O72+ROW()*0.000000001,0)</f>
        <v>0</v>
      </c>
      <c r="Z72" s="110" t="n">
        <f aca="false">SUMIFS('مشتريات يومية'!$D$2:$D$4001,'مشتريات يومية'!$B$2:$B$4001,$B$2,'مشتريات يومية'!$C$2:$C$4001,$A72,'مشتريات يومية'!$A$2:$A$4001,'إعدادات المخزون'!$B$4)+SUMIFS('هالك وتحويلات'!$E$2:$E$3001,'هالك وتحويلات'!$B$2:$B$3001,$B$2,'هالك وتحويلات'!$C$2:$C$3001,$A72,'هالك وتحويلات'!$D$2:$D$3001,"تحويل وارد",'هالك وتحويلات'!$A$2:$A$3001,'إعدادات المخزون'!$B$4)-SUMIFS('هالك وتحويلات'!$E$2:$E$3001,'هالك وتحويلات'!$B$2:$B$3001,$B$2,'هالك وتحويلات'!$C$2:$C$3001,$A72,'هالك وتحويلات'!$D$2:$D$3001,"تحويل صادر",'هالك وتحويلات'!$A$2:$A$3001,'إعدادات المخزون'!$B$4)-SUMIFS('هالك وتحويلات'!$E$2:$E$3001,'هالك وتحويلات'!$B$2:$B$3001,$B$2,'هالك وتحويلات'!$C$2:$C$3001,$A72,'هالك وتحويلات'!$D$2:$D$3001,"هالك",'هالك وتحويلات'!$A$2:$A$3001,'إعدادات المخزون'!$B$4)-SUMIFS('هالك وتحويلات'!$E$2:$E$3001,'هالك وتحويلات'!$B$2:$B$3001,$B$2,'هالك وتحويلات'!$C$2:$C$3001,$A72,'هالك وتحويلات'!$D$2:$D$3001,"ضيافة / أكل موظفين",'هالك وتحويلات'!$A$2:$A$3001,'إعدادات المخزون'!$B$4)-SUMPRODUCT('مصفوفة الاستهلاك'!$BO$2:$BO$190,'متجهات المبيعات'!$E$2:$E$190)/'مواد المخزون'!$D$67</f>
        <v>-46.2499</v>
      </c>
      <c r="AA72" s="109" t="n">
        <f aca="false">IF(K72="نعم",O72,0)</f>
        <v>0</v>
      </c>
      <c r="AB72" s="109" t="n">
        <f aca="false">IF(K72="نعم",J72*C72,0)</f>
        <v>0</v>
      </c>
      <c r="AC72" s="109" t="n">
        <f aca="false">IF(T72="",0,T72)</f>
        <v>0</v>
      </c>
    </row>
    <row r="73" customFormat="false" ht="15" hidden="false" customHeight="false" outlineLevel="0" collapsed="false">
      <c r="A73" s="34" t="str">
        <f aca="false">'مواد المخزون'!A68</f>
        <v>كاتشب ظرف</v>
      </c>
      <c r="B73" s="36" t="str">
        <f aca="false">'مواد المخزون'!B68</f>
        <v>قطعة</v>
      </c>
      <c r="C73" s="109" t="n">
        <f aca="false">'مواد المخزون'!E68</f>
        <v>0.3</v>
      </c>
      <c r="D73" s="110" t="n">
        <f aca="false">'جرد أول المدة'!D71</f>
        <v>534</v>
      </c>
      <c r="E73" s="110" t="n">
        <f aca="false">SUMIFS('مشتريات يومية'!$D$2:$D$4001,'مشتريات يومية'!$B$2:$B$4001,$B$2,'مشتريات يومية'!$C$2:$C$4001,$A73,'مشتريات يومية'!$A$2:$A$4001,"&gt;="&amp;'إعدادات المخزون'!$B$5,'مشتريات يومية'!$A$2:$A$4001,"&lt;="&amp;'إعدادات المخزون'!$B$4)</f>
        <v>5000</v>
      </c>
      <c r="F73" s="110" t="n">
        <f aca="false">SUMIFS('هالك وتحويلات'!$E$2:$E$3001,'هالك وتحويلات'!$B$2:$B$3001,$B$2,'هالك وتحويلات'!$C$2:$C$3001,$A73,'هالك وتحويلات'!$D$2:$D$3001,"تحويل وارد",'هالك وتحويلات'!$A$2:$A$3001,"&gt;="&amp;'إعدادات المخزون'!$B$5,'هالك وتحويلات'!$A$2:$A$3001,"&lt;="&amp;'إعدادات المخزون'!$B$4)</f>
        <v>0</v>
      </c>
      <c r="G73" s="110" t="n">
        <f aca="false">SUMIFS('هالك وتحويلات'!$E$2:$E$3001,'هالك وتحويلات'!$B$2:$B$3001,$B$2,'هالك وتحويلات'!$C$2:$C$3001,$A73,'هالك وتحويلات'!$D$2:$D$3001,"تحويل صادر",'هالك وتحويلات'!$A$2:$A$3001,"&gt;="&amp;'إعدادات المخزون'!$B$5,'هالك وتحويلات'!$A$2:$A$3001,"&lt;="&amp;'إعدادات المخزون'!$B$4)</f>
        <v>0</v>
      </c>
      <c r="H73" s="110" t="n">
        <f aca="false">SUMPRODUCT('مصفوفة الاستهلاك'!$BP$2:$BP$190,'متجهات المبيعات'!$F$2:$F$190)/'مواد المخزون'!$D$68</f>
        <v>3453</v>
      </c>
      <c r="I73" s="110" t="n">
        <f aca="false">SUMIFS('هالك وتحويلات'!$E$2:$E$3001,'هالك وتحويلات'!$B$2:$B$3001,$B$2,'هالك وتحويلات'!$C$2:$C$3001,$A73,'هالك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وتحويلات'!$C$2:$C$3001,$A73,'هالك وتحويلات'!$D$2:$D$3001,"ضيافة / أكل موظفين",'هالك وتحويلات'!$A$2:$A$3001,"&gt;="&amp;'إعدادات المخزون'!$B$5,'هالك وتحويلات'!$A$2:$A$3001,"&lt;="&amp;'إعدادات المخزون'!$B$4)</f>
        <v>0</v>
      </c>
      <c r="J73" s="110" t="n">
        <f aca="false">D73+E73+F73-G73-H73-I73</f>
        <v>2081</v>
      </c>
      <c r="K73" s="36" t="str">
        <f aca="false">IF(COUNTIFS('جرد فعلي'!$B$2:$B$12001,$B$2,'جرد فعلي'!$C$2:$C$12001,$A73,'جرد فعلي'!$A$2:$A$12001,'إعدادات المخزون'!$B$4)&gt;0,"نعم","لا")</f>
        <v>لا</v>
      </c>
      <c r="L73" s="111" t="str">
        <f aca="false">IF(K73="نعم",SUMIFS('جرد فعلي'!$D$2:$D$12001,'جرد فعلي'!$B$2:$B$12001,$B$2,'جرد فعلي'!$C$2:$C$12001,$A73,'جرد فعلي'!$A$2:$A$12001,'إعدادات المخزون'!$B$4),"")</f>
        <v/>
      </c>
      <c r="M73" s="110" t="str">
        <f aca="false">IF(K73="نعم",L73-J73,"")</f>
        <v/>
      </c>
      <c r="N73" s="112" t="str">
        <f aca="false">IF(K73="نعم",IF(J73=0,IF(M73=0,0,SIGN(M73)),M73/ABS(J73)),"")</f>
        <v/>
      </c>
      <c r="O73" s="109" t="str">
        <f aca="false">IF(K73="نعم",M73*C73,"")</f>
        <v/>
      </c>
      <c r="P73" s="36" t="str">
        <f aca="false">IF(K73&lt;&gt;"نعم","لم يُجرد",IF(ABS(N73)&lt;='إعدادات المخزون'!$B$7,"مطابق",IF(M73&lt;0,"عجز","زيادة")))</f>
        <v>لم يُجرد</v>
      </c>
      <c r="Q73" s="110" t="n">
        <f aca="false">J73-Z73</f>
        <v>2368.75</v>
      </c>
      <c r="R73" s="110" t="str">
        <f aca="false">IF(COUNTIFS('جرد فعلي'!$B$2:$B$12001,$B$2,'جرد فعلي'!$C$2:$C$12001,$A73,'جرد فعلي'!$A$2:$A$12001,'إعدادات المخزون'!$B$4-1)&gt;0,SUMIFS('جرد فعلي'!$D$2:$D$12001,'جرد فعلي'!$B$2:$B$12001,$B$2,'جرد فعلي'!$C$2:$C$12001,$A73,'جرد فعلي'!$A$2:$A$12001,'إعدادات المخزون'!$B$4-1),"")</f>
        <v/>
      </c>
      <c r="S73" s="110" t="str">
        <f aca="false">IF(AND(K73="نعم",R73&lt;&gt;""),(L73-J73)-(R73-Q73),"")</f>
        <v/>
      </c>
      <c r="T73" s="109" t="str">
        <f aca="false">IF(S73="","",S73*C73)</f>
        <v/>
      </c>
      <c r="U73" s="110" t="n">
        <f aca="false">IF(K73="نعم",L73,J73)</f>
        <v>2081</v>
      </c>
      <c r="V73" s="110" t="n">
        <f aca="false">SUMPRODUCT('مصفوفة الاستهلاك'!$BP$2:$BP$190,'متجهات المبيعات'!$G$2:$G$190)/'مواد المخزون'!$D$68/MAX(1,MIN('إعدادات المخزون'!$B$11,'إعدادات المخزون'!$B$4-'إعدادات المخزون'!$B$5+1))</f>
        <v>287.75</v>
      </c>
      <c r="W73" s="110" t="n">
        <f aca="false">IF(V73&lt;=0,0,ROUNDUP(MAX(0,V73*('إعدادات المخزون'!$B$8+'إعدادات المخزون'!$B$9+'إعدادات المخزون'!$B$10)-MAX(U73,0))/'مواد المخزون'!$F68,0)*'مواد المخزون'!$F68)</f>
        <v>0</v>
      </c>
      <c r="X73" s="109" t="n">
        <f aca="false">IF(AND(K73="نعم",O73&lt;0),-O73+ROW()*0.000000001,0)</f>
        <v>0</v>
      </c>
      <c r="Y73" s="109" t="n">
        <f aca="false">IF(AND(K73="نعم",O73&gt;0),O73+ROW()*0.000000001,0)</f>
        <v>0</v>
      </c>
      <c r="Z73" s="110" t="n">
        <f aca="false">SUMIFS('مشتريات يومية'!$D$2:$D$4001,'مشتريات يومية'!$B$2:$B$4001,$B$2,'مشتريات يومية'!$C$2:$C$4001,$A73,'مشتريات يومية'!$A$2:$A$4001,'إعدادات المخزون'!$B$4)+SUMIFS('هالك وتحويلات'!$E$2:$E$3001,'هالك وتحويلات'!$B$2:$B$3001,$B$2,'هالك وتحويلات'!$C$2:$C$3001,$A73,'هالك وتحويلات'!$D$2:$D$3001,"تحويل وارد",'هالك وتحويلات'!$A$2:$A$3001,'إعدادات المخزون'!$B$4)-SUMIFS('هالك وتحويلات'!$E$2:$E$3001,'هالك وتحويلات'!$B$2:$B$3001,$B$2,'هالك وتحويلات'!$C$2:$C$3001,$A73,'هالك وتحويلات'!$D$2:$D$3001,"تحويل صادر",'هالك وتحويلات'!$A$2:$A$3001,'إعدادات المخزون'!$B$4)-SUMIFS('هالك وتحويلات'!$E$2:$E$3001,'هالك وتحويلات'!$B$2:$B$3001,$B$2,'هالك وتحويلات'!$C$2:$C$3001,$A73,'هالك وتحويلات'!$D$2:$D$3001,"هالك",'هالك وتحويلات'!$A$2:$A$3001,'إعدادات المخزون'!$B$4)-SUMIFS('هالك وتحويلات'!$E$2:$E$3001,'هالك وتحويلات'!$B$2:$B$3001,$B$2,'هالك وتحويلات'!$C$2:$C$3001,$A73,'هالك وتحويلات'!$D$2:$D$3001,"ضيافة / أكل موظفين",'هالك وتحويلات'!$A$2:$A$3001,'إعدادات المخزون'!$B$4)-SUMPRODUCT('مصفوفة الاستهلاك'!$BP$2:$BP$190,'متجهات المبيعات'!$E$2:$E$190)/'مواد المخزون'!$D$68</f>
        <v>-287.75</v>
      </c>
      <c r="AA73" s="109" t="n">
        <f aca="false">IF(K73="نعم",O73,0)</f>
        <v>0</v>
      </c>
      <c r="AB73" s="109" t="n">
        <f aca="false">IF(K73="نعم",J73*C73,0)</f>
        <v>0</v>
      </c>
      <c r="AC73" s="109" t="n">
        <f aca="false">IF(T73="",0,T73)</f>
        <v>0</v>
      </c>
    </row>
    <row r="74" customFormat="false" ht="15" hidden="false" customHeight="false" outlineLevel="0" collapsed="false">
      <c r="A74" s="34" t="str">
        <f aca="false">'مواد المخزون'!A69</f>
        <v>كاستر بودر</v>
      </c>
      <c r="B74" s="36" t="str">
        <f aca="false">'مواد المخزون'!B69</f>
        <v>كجم</v>
      </c>
      <c r="C74" s="109" t="n">
        <f aca="false">'مواد المخزون'!E69</f>
        <v>90</v>
      </c>
      <c r="D74" s="110" t="n">
        <f aca="false">'جرد أول المدة'!D72</f>
        <v>0.7</v>
      </c>
      <c r="E74" s="110" t="n">
        <f aca="false">SUMIFS('مشتريات يومية'!$D$2:$D$4001,'مشتريات يومية'!$B$2:$B$4001,$B$2,'مشتريات يومية'!$C$2:$C$4001,$A74,'مشتريات يومية'!$A$2:$A$4001,"&gt;="&amp;'إعدادات المخزون'!$B$5,'مشتريات يومية'!$A$2:$A$4001,"&lt;="&amp;'إعدادات المخزون'!$B$4)</f>
        <v>14.4</v>
      </c>
      <c r="F74" s="110" t="n">
        <f aca="false">SUMIFS('هالك وتحويلات'!$E$2:$E$3001,'هالك وتحويلات'!$B$2:$B$3001,$B$2,'هالك وتحويلات'!$C$2:$C$3001,$A74,'هالك وتحويلات'!$D$2:$D$3001,"تحويل وارد",'هالك وتحويلات'!$A$2:$A$3001,"&gt;="&amp;'إعدادات المخزون'!$B$5,'هالك وتحويلات'!$A$2:$A$3001,"&lt;="&amp;'إعدادات المخزون'!$B$4)</f>
        <v>0</v>
      </c>
      <c r="G74" s="110" t="n">
        <f aca="false">SUMIFS('هالك وتحويلات'!$E$2:$E$3001,'هالك وتحويلات'!$B$2:$B$3001,$B$2,'هالك وتحويلات'!$C$2:$C$3001,$A74,'هالك وتحويلات'!$D$2:$D$3001,"تحويل صادر",'هالك وتحويلات'!$A$2:$A$3001,"&gt;="&amp;'إعدادات المخزون'!$B$5,'هالك وتحويلات'!$A$2:$A$3001,"&lt;="&amp;'إعدادات المخزون'!$B$4)</f>
        <v>0</v>
      </c>
      <c r="H74" s="110" t="n">
        <f aca="false">SUMPRODUCT('مصفوفة الاستهلاك'!$BQ$2:$BQ$190,'متجهات المبيعات'!$F$2:$F$190)/'مواد المخزون'!$D$69</f>
        <v>16.8554898</v>
      </c>
      <c r="I74" s="110" t="n">
        <f aca="false">SUMIFS('هالك وتحويلات'!$E$2:$E$3001,'هالك وتحويلات'!$B$2:$B$3001,$B$2,'هالك وتحويلات'!$C$2:$C$3001,$A74,'هالك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وتحويلات'!$C$2:$C$3001,$A74,'هالك وتحويلات'!$D$2:$D$3001,"ضيافة / أكل موظفين",'هالك وتحويلات'!$A$2:$A$3001,"&gt;="&amp;'إعدادات المخزون'!$B$5,'هالك وتحويلات'!$A$2:$A$3001,"&lt;="&amp;'إعدادات المخزون'!$B$4)</f>
        <v>0</v>
      </c>
      <c r="J74" s="110" t="n">
        <f aca="false">D74+E74+F74-G74-H74-I74</f>
        <v>-1.7554898</v>
      </c>
      <c r="K74" s="36" t="str">
        <f aca="false">IF(COUNTIFS('جرد فعلي'!$B$2:$B$12001,$B$2,'جرد فعلي'!$C$2:$C$12001,$A74,'جرد فعلي'!$A$2:$A$12001,'إعدادات المخزون'!$B$4)&gt;0,"نعم","لا")</f>
        <v>لا</v>
      </c>
      <c r="L74" s="111" t="str">
        <f aca="false">IF(K74="نعم",SUMIFS('جرد فعلي'!$D$2:$D$12001,'جرد فعلي'!$B$2:$B$12001,$B$2,'جرد فعلي'!$C$2:$C$12001,$A74,'جرد فعلي'!$A$2:$A$12001,'إعدادات المخزون'!$B$4),"")</f>
        <v/>
      </c>
      <c r="M74" s="110" t="str">
        <f aca="false">IF(K74="نعم",L74-J74,"")</f>
        <v/>
      </c>
      <c r="N74" s="112" t="str">
        <f aca="false">IF(K74="نعم",IF(J74=0,IF(M74=0,0,SIGN(M74)),M74/ABS(J74)),"")</f>
        <v/>
      </c>
      <c r="O74" s="109" t="str">
        <f aca="false">IF(K74="نعم",M74*C74,"")</f>
        <v/>
      </c>
      <c r="P74" s="36" t="str">
        <f aca="false">IF(K74&lt;&gt;"نعم","لم يُجرد",IF(ABS(N74)&lt;='إعدادات المخزون'!$B$7,"مطابق",IF(M74&lt;0,"عجز","زيادة")))</f>
        <v>لم يُجرد</v>
      </c>
      <c r="Q74" s="110" t="n">
        <f aca="false">J74-Z74</f>
        <v>-0.350865650000001</v>
      </c>
      <c r="R74" s="110" t="str">
        <f aca="false">IF(COUNTIFS('جرد فعلي'!$B$2:$B$12001,$B$2,'جرد فعلي'!$C$2:$C$12001,$A74,'جرد فعلي'!$A$2:$A$12001,'إعدادات المخزون'!$B$4-1)&gt;0,SUMIFS('جرد فعلي'!$D$2:$D$12001,'جرد فعلي'!$B$2:$B$12001,$B$2,'جرد فعلي'!$C$2:$C$12001,$A74,'جرد فعلي'!$A$2:$A$12001,'إعدادات المخزون'!$B$4-1),"")</f>
        <v/>
      </c>
      <c r="S74" s="110" t="str">
        <f aca="false">IF(AND(K74="نعم",R74&lt;&gt;""),(L74-J74)-(R74-Q74),"")</f>
        <v/>
      </c>
      <c r="T74" s="109" t="str">
        <f aca="false">IF(S74="","",S74*C74)</f>
        <v/>
      </c>
      <c r="U74" s="110" t="n">
        <f aca="false">IF(K74="نعم",L74,J74)</f>
        <v>-1.7554898</v>
      </c>
      <c r="V74" s="110" t="n">
        <f aca="false">SUMPRODUCT('مصفوفة الاستهلاك'!$BQ$2:$BQ$190,'متجهات المبيعات'!$G$2:$G$190)/'مواد المخزون'!$D$69/MAX(1,MIN('إعدادات المخزون'!$B$11,'إعدادات المخزون'!$B$4-'إعدادات المخزون'!$B$5+1))</f>
        <v>1.40462415</v>
      </c>
      <c r="W74" s="110" t="n">
        <f aca="false">IF(V74&lt;=0,0,ROUNDUP(MAX(0,V74*('إعدادات المخزون'!$B$8+'إعدادات المخزون'!$B$9+'إعدادات المخزون'!$B$10)-MAX(U74,0))/'مواد المخزون'!$F69,0)*'مواد المخزون'!$F69)</f>
        <v>6</v>
      </c>
      <c r="X74" s="109" t="n">
        <f aca="false">IF(AND(K74="نعم",O74&lt;0),-O74+ROW()*0.000000001,0)</f>
        <v>0</v>
      </c>
      <c r="Y74" s="109" t="n">
        <f aca="false">IF(AND(K74="نعم",O74&gt;0),O74+ROW()*0.000000001,0)</f>
        <v>0</v>
      </c>
      <c r="Z74" s="110" t="n">
        <f aca="false">SUMIFS('مشتريات يومية'!$D$2:$D$4001,'مشتريات يومية'!$B$2:$B$4001,$B$2,'مشتريات يومية'!$C$2:$C$4001,$A74,'مشتريات يومية'!$A$2:$A$4001,'إعدادات المخزون'!$B$4)+SUMIFS('هالك وتحويلات'!$E$2:$E$3001,'هالك وتحويلات'!$B$2:$B$3001,$B$2,'هالك وتحويلات'!$C$2:$C$3001,$A74,'هالك وتحويلات'!$D$2:$D$3001,"تحويل وارد",'هالك وتحويلات'!$A$2:$A$3001,'إعدادات المخزون'!$B$4)-SUMIFS('هالك وتحويلات'!$E$2:$E$3001,'هالك وتحويلات'!$B$2:$B$3001,$B$2,'هالك وتحويلات'!$C$2:$C$3001,$A74,'هالك وتحويلات'!$D$2:$D$3001,"تحويل صادر",'هالك وتحويلات'!$A$2:$A$3001,'إعدادات المخزون'!$B$4)-SUMIFS('هالك وتحويلات'!$E$2:$E$3001,'هالك وتحويلات'!$B$2:$B$3001,$B$2,'هالك وتحويلات'!$C$2:$C$3001,$A74,'هالك وتحويلات'!$D$2:$D$3001,"هالك",'هالك وتحويلات'!$A$2:$A$3001,'إعدادات المخزون'!$B$4)-SUMIFS('هالك وتحويلات'!$E$2:$E$3001,'هالك وتحويلات'!$B$2:$B$3001,$B$2,'هالك وتحويلات'!$C$2:$C$3001,$A74,'هالك وتحويلات'!$D$2:$D$3001,"ضيافة / أكل موظفين",'هالك وتحويلات'!$A$2:$A$3001,'إعدادات المخزون'!$B$4)-SUMPRODUCT('مصفوفة الاستهلاك'!$BQ$2:$BQ$190,'متجهات المبيعات'!$E$2:$E$190)/'مواد المخزون'!$D$69</f>
        <v>-1.40462415</v>
      </c>
      <c r="AA74" s="109" t="n">
        <f aca="false">IF(K74="نعم",O74,0)</f>
        <v>0</v>
      </c>
      <c r="AB74" s="109" t="n">
        <f aca="false">IF(K74="نعم",J74*C74,0)</f>
        <v>0</v>
      </c>
      <c r="AC74" s="109" t="n">
        <f aca="false">IF(T74="",0,T74)</f>
        <v>0</v>
      </c>
    </row>
    <row r="75" customFormat="false" ht="15" hidden="false" customHeight="false" outlineLevel="0" collapsed="false">
      <c r="A75" s="34" t="str">
        <f aca="false">'مواد المخزون'!A70</f>
        <v>كراسي بيتزا</v>
      </c>
      <c r="B75" s="36" t="str">
        <f aca="false">'مواد المخزون'!B70</f>
        <v>قطعة</v>
      </c>
      <c r="C75" s="109" t="n">
        <f aca="false">'مواد المخزون'!E70</f>
        <v>0.5</v>
      </c>
      <c r="D75" s="110" t="n">
        <f aca="false">'جرد أول المدة'!D73</f>
        <v>387</v>
      </c>
      <c r="E75" s="110" t="n">
        <f aca="false">SUMIFS('مشتريات يومية'!$D$2:$D$4001,'مشتريات يومية'!$B$2:$B$4001,$B$2,'مشتريات يومية'!$C$2:$C$4001,$A75,'مشتريات يومية'!$A$2:$A$4001,"&gt;="&amp;'إعدادات المخزون'!$B$5,'مشتريات يومية'!$A$2:$A$4001,"&lt;="&amp;'إعدادات المخزون'!$B$4)</f>
        <v>600</v>
      </c>
      <c r="F75" s="110" t="n">
        <f aca="false">SUMIFS('هالك وتحويلات'!$E$2:$E$3001,'هالك وتحويلات'!$B$2:$B$3001,$B$2,'هالك وتحويلات'!$C$2:$C$3001,$A75,'هالك وتحويلات'!$D$2:$D$3001,"تحويل وارد",'هالك وتحويلات'!$A$2:$A$3001,"&gt;="&amp;'إعدادات المخزون'!$B$5,'هالك وتحويلات'!$A$2:$A$3001,"&lt;="&amp;'إعدادات المخزون'!$B$4)</f>
        <v>0</v>
      </c>
      <c r="G75" s="110" t="n">
        <f aca="false">SUMIFS('هالك وتحويلات'!$E$2:$E$3001,'هالك وتحويلات'!$B$2:$B$3001,$B$2,'هالك وتحويلات'!$C$2:$C$3001,$A75,'هالك وتحويلات'!$D$2:$D$3001,"تحويل صادر",'هالك وتحويلات'!$A$2:$A$3001,"&gt;="&amp;'إعدادات المخزون'!$B$5,'هالك وتحويلات'!$A$2:$A$3001,"&lt;="&amp;'إعدادات المخزون'!$B$4)</f>
        <v>0</v>
      </c>
      <c r="H75" s="110" t="n">
        <f aca="false">SUMPRODUCT('مصفوفة الاستهلاك'!$BR$2:$BR$190,'متجهات المبيعات'!$F$2:$F$190)/'مواد المخزون'!$D$70</f>
        <v>1556.5002</v>
      </c>
      <c r="I75" s="110" t="n">
        <f aca="false">SUMIFS('هالك وتحويلات'!$E$2:$E$3001,'هالك وتحويلات'!$B$2:$B$3001,$B$2,'هالك وتحويلات'!$C$2:$C$3001,$A75,'هالك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وتحويلات'!$C$2:$C$3001,$A75,'هالك وتحويلات'!$D$2:$D$3001,"ضيافة / أكل موظفين",'هالك وتحويلات'!$A$2:$A$3001,"&gt;="&amp;'إعدادات المخزون'!$B$5,'هالك وتحويلات'!$A$2:$A$3001,"&lt;="&amp;'إعدادات المخزون'!$B$4)</f>
        <v>0</v>
      </c>
      <c r="J75" s="110" t="n">
        <f aca="false">D75+E75+F75-G75-H75-I75</f>
        <v>-569.5002</v>
      </c>
      <c r="K75" s="36" t="str">
        <f aca="false">IF(COUNTIFS('جرد فعلي'!$B$2:$B$12001,$B$2,'جرد فعلي'!$C$2:$C$12001,$A75,'جرد فعلي'!$A$2:$A$12001,'إعدادات المخزون'!$B$4)&gt;0,"نعم","لا")</f>
        <v>لا</v>
      </c>
      <c r="L75" s="111" t="str">
        <f aca="false">IF(K75="نعم",SUMIFS('جرد فعلي'!$D$2:$D$12001,'جرد فعلي'!$B$2:$B$12001,$B$2,'جرد فعلي'!$C$2:$C$12001,$A75,'جرد فعلي'!$A$2:$A$12001,'إعدادات المخزون'!$B$4),"")</f>
        <v/>
      </c>
      <c r="M75" s="110" t="str">
        <f aca="false">IF(K75="نعم",L75-J75,"")</f>
        <v/>
      </c>
      <c r="N75" s="112" t="str">
        <f aca="false">IF(K75="نعم",IF(J75=0,IF(M75=0,0,SIGN(M75)),M75/ABS(J75)),"")</f>
        <v/>
      </c>
      <c r="O75" s="109" t="str">
        <f aca="false">IF(K75="نعم",M75*C75,"")</f>
        <v/>
      </c>
      <c r="P75" s="36" t="str">
        <f aca="false">IF(K75&lt;&gt;"نعم","لم يُجرد",IF(ABS(N75)&lt;='إعدادات المخزون'!$B$7,"مطابق",IF(M75&lt;0,"عجز","زيادة")))</f>
        <v>لم يُجرد</v>
      </c>
      <c r="Q75" s="110" t="n">
        <f aca="false">J75-Z75</f>
        <v>-439.79185</v>
      </c>
      <c r="R75" s="110" t="str">
        <f aca="false">IF(COUNTIFS('جرد فعلي'!$B$2:$B$12001,$B$2,'جرد فعلي'!$C$2:$C$12001,$A75,'جرد فعلي'!$A$2:$A$12001,'إعدادات المخزون'!$B$4-1)&gt;0,SUMIFS('جرد فعلي'!$D$2:$D$12001,'جرد فعلي'!$B$2:$B$12001,$B$2,'جرد فعلي'!$C$2:$C$12001,$A75,'جرد فعلي'!$A$2:$A$12001,'إعدادات المخزون'!$B$4-1),"")</f>
        <v/>
      </c>
      <c r="S75" s="110" t="str">
        <f aca="false">IF(AND(K75="نعم",R75&lt;&gt;""),(L75-J75)-(R75-Q75),"")</f>
        <v/>
      </c>
      <c r="T75" s="109" t="str">
        <f aca="false">IF(S75="","",S75*C75)</f>
        <v/>
      </c>
      <c r="U75" s="110" t="n">
        <f aca="false">IF(K75="نعم",L75,J75)</f>
        <v>-569.5002</v>
      </c>
      <c r="V75" s="110" t="n">
        <f aca="false">SUMPRODUCT('مصفوفة الاستهلاك'!$BR$2:$BR$190,'متجهات المبيعات'!$G$2:$G$190)/'مواد المخزون'!$D$70/MAX(1,MIN('إعدادات المخزون'!$B$11,'إعدادات المخزون'!$B$4-'إعدادات المخزون'!$B$5+1))</f>
        <v>129.70835</v>
      </c>
      <c r="W75" s="110" t="n">
        <f aca="false">IF(V75&lt;=0,0,ROUNDUP(MAX(0,V75*('إعدادات المخزون'!$B$8+'إعدادات المخزون'!$B$9+'إعدادات المخزون'!$B$10)-MAX(U75,0))/'مواد المخزون'!$F70,0)*'مواد المخزون'!$F70)</f>
        <v>519</v>
      </c>
      <c r="X75" s="109" t="n">
        <f aca="false">IF(AND(K75="نعم",O75&lt;0),-O75+ROW()*0.000000001,0)</f>
        <v>0</v>
      </c>
      <c r="Y75" s="109" t="n">
        <f aca="false">IF(AND(K75="نعم",O75&gt;0),O75+ROW()*0.000000001,0)</f>
        <v>0</v>
      </c>
      <c r="Z75" s="110" t="n">
        <f aca="false">SUMIFS('مشتريات يومية'!$D$2:$D$4001,'مشتريات يومية'!$B$2:$B$4001,$B$2,'مشتريات يومية'!$C$2:$C$4001,$A75,'مشتريات يومية'!$A$2:$A$4001,'إعدادات المخزون'!$B$4)+SUMIFS('هالك وتحويلات'!$E$2:$E$3001,'هالك وتحويلات'!$B$2:$B$3001,$B$2,'هالك وتحويلات'!$C$2:$C$3001,$A75,'هالك وتحويلات'!$D$2:$D$3001,"تحويل وارد",'هالك وتحويلات'!$A$2:$A$3001,'إعدادات المخزون'!$B$4)-SUMIFS('هالك وتحويلات'!$E$2:$E$3001,'هالك وتحويلات'!$B$2:$B$3001,$B$2,'هالك وتحويلات'!$C$2:$C$3001,$A75,'هالك وتحويلات'!$D$2:$D$3001,"تحويل صادر",'هالك وتحويلات'!$A$2:$A$3001,'إعدادات المخزون'!$B$4)-SUMIFS('هالك وتحويلات'!$E$2:$E$3001,'هالك وتحويلات'!$B$2:$B$3001,$B$2,'هالك وتحويلات'!$C$2:$C$3001,$A75,'هالك وتحويلات'!$D$2:$D$3001,"هالك",'هالك وتحويلات'!$A$2:$A$3001,'إعدادات المخزون'!$B$4)-SUMIFS('هالك وتحويلات'!$E$2:$E$3001,'هالك وتحويلات'!$B$2:$B$3001,$B$2,'هالك وتحويلات'!$C$2:$C$3001,$A75,'هالك وتحويلات'!$D$2:$D$3001,"ضيافة / أكل موظفين",'هالك وتحويلات'!$A$2:$A$3001,'إعدادات المخزون'!$B$4)-SUMPRODUCT('مصفوفة الاستهلاك'!$BR$2:$BR$190,'متجهات المبيعات'!$E$2:$E$190)/'مواد المخزون'!$D$70</f>
        <v>-129.70835</v>
      </c>
      <c r="AA75" s="109" t="n">
        <f aca="false">IF(K75="نعم",O75,0)</f>
        <v>0</v>
      </c>
      <c r="AB75" s="109" t="n">
        <f aca="false">IF(K75="نعم",J75*C75,0)</f>
        <v>0</v>
      </c>
      <c r="AC75" s="109" t="n">
        <f aca="false">IF(T75="",0,T75)</f>
        <v>0</v>
      </c>
    </row>
    <row r="76" customFormat="false" ht="15" hidden="false" customHeight="false" outlineLevel="0" collapsed="false">
      <c r="A76" s="34" t="str">
        <f aca="false">'مواد المخزون'!A71</f>
        <v>كريز احمر</v>
      </c>
      <c r="B76" s="36" t="str">
        <f aca="false">'مواد المخزون'!B71</f>
        <v>كجم</v>
      </c>
      <c r="C76" s="109" t="n">
        <f aca="false">'مواد المخزون'!E71</f>
        <v>420</v>
      </c>
      <c r="D76" s="110" t="n">
        <f aca="false">'جرد أول المدة'!D74</f>
        <v>0.67</v>
      </c>
      <c r="E76" s="110" t="n">
        <f aca="false">SUMIFS('مشتريات يومية'!$D$2:$D$4001,'مشتريات يومية'!$B$2:$B$4001,$B$2,'مشتريات يومية'!$C$2:$C$4001,$A76,'مشتريات يومية'!$A$2:$A$4001,"&gt;="&amp;'إعدادات المخزون'!$B$5,'مشتريات يومية'!$A$2:$A$4001,"&lt;="&amp;'إعدادات المخزون'!$B$4)</f>
        <v>3</v>
      </c>
      <c r="F76" s="110" t="n">
        <f aca="false">SUMIFS('هالك وتحويلات'!$E$2:$E$3001,'هالك وتحويلات'!$B$2:$B$3001,$B$2,'هالك وتحويلات'!$C$2:$C$3001,$A76,'هالك وتحويلات'!$D$2:$D$3001,"تحويل وارد",'هالك وتحويلات'!$A$2:$A$3001,"&gt;="&amp;'إعدادات المخزون'!$B$5,'هالك وتحويلات'!$A$2:$A$3001,"&lt;="&amp;'إعدادات المخزون'!$B$4)</f>
        <v>0</v>
      </c>
      <c r="G76" s="110" t="n">
        <f aca="false">SUMIFS('هالك وتحويلات'!$E$2:$E$3001,'هالك وتحويلات'!$B$2:$B$3001,$B$2,'هالك وتحويلات'!$C$2:$C$3001,$A76,'هالك وتحويلات'!$D$2:$D$3001,"تحويل صادر",'هالك وتحويلات'!$A$2:$A$3001,"&gt;="&amp;'إعدادات المخزون'!$B$5,'هالك وتحويلات'!$A$2:$A$3001,"&lt;="&amp;'إعدادات المخزون'!$B$4)</f>
        <v>0</v>
      </c>
      <c r="H76" s="110" t="n">
        <f aca="false">SUMPRODUCT('مصفوفة الاستهلاك'!$BS$2:$BS$190,'متجهات المبيعات'!$F$2:$F$190)/'مواد المخزون'!$D$71</f>
        <v>0.980004</v>
      </c>
      <c r="I76" s="110" t="n">
        <f aca="false">SUMIFS('هالك وتحويلات'!$E$2:$E$3001,'هالك وتحويلات'!$B$2:$B$3001,$B$2,'هالك وتحويلات'!$C$2:$C$3001,$A76,'هالك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وتحويلات'!$C$2:$C$3001,$A76,'هالك وتحويلات'!$D$2:$D$3001,"ضيافة / أكل موظفين",'هالك وتحويلات'!$A$2:$A$3001,"&gt;="&amp;'إعدادات المخزون'!$B$5,'هالك وتحويلات'!$A$2:$A$3001,"&lt;="&amp;'إعدادات المخزون'!$B$4)</f>
        <v>0</v>
      </c>
      <c r="J76" s="110" t="n">
        <f aca="false">D76+E76+F76-G76-H76-I76</f>
        <v>2.689996</v>
      </c>
      <c r="K76" s="36" t="str">
        <f aca="false">IF(COUNTIFS('جرد فعلي'!$B$2:$B$12001,$B$2,'جرد فعلي'!$C$2:$C$12001,$A76,'جرد فعلي'!$A$2:$A$12001,'إعدادات المخزون'!$B$4)&gt;0,"نعم","لا")</f>
        <v>لا</v>
      </c>
      <c r="L76" s="111" t="str">
        <f aca="false">IF(K76="نعم",SUMIFS('جرد فعلي'!$D$2:$D$12001,'جرد فعلي'!$B$2:$B$12001,$B$2,'جرد فعلي'!$C$2:$C$12001,$A76,'جرد فعلي'!$A$2:$A$12001,'إعدادات المخزون'!$B$4),"")</f>
        <v/>
      </c>
      <c r="M76" s="110" t="str">
        <f aca="false">IF(K76="نعم",L76-J76,"")</f>
        <v/>
      </c>
      <c r="N76" s="112" t="str">
        <f aca="false">IF(K76="نعم",IF(J76=0,IF(M76=0,0,SIGN(M76)),M76/ABS(J76)),"")</f>
        <v/>
      </c>
      <c r="O76" s="109" t="str">
        <f aca="false">IF(K76="نعم",M76*C76,"")</f>
        <v/>
      </c>
      <c r="P76" s="36" t="str">
        <f aca="false">IF(K76&lt;&gt;"نعم","لم يُجرد",IF(ABS(N76)&lt;='إعدادات المخزون'!$B$7,"مطابق",IF(M76&lt;0,"عجز","زيادة")))</f>
        <v>لم يُجرد</v>
      </c>
      <c r="Q76" s="110" t="n">
        <f aca="false">J76-Z76</f>
        <v>2.771663</v>
      </c>
      <c r="R76" s="110" t="str">
        <f aca="false">IF(COUNTIFS('جرد فعلي'!$B$2:$B$12001,$B$2,'جرد فعلي'!$C$2:$C$12001,$A76,'جرد فعلي'!$A$2:$A$12001,'إعدادات المخزون'!$B$4-1)&gt;0,SUMIFS('جرد فعلي'!$D$2:$D$12001,'جرد فعلي'!$B$2:$B$12001,$B$2,'جرد فعلي'!$C$2:$C$12001,$A76,'جرد فعلي'!$A$2:$A$12001,'إعدادات المخزون'!$B$4-1),"")</f>
        <v/>
      </c>
      <c r="S76" s="110" t="str">
        <f aca="false">IF(AND(K76="نعم",R76&lt;&gt;""),(L76-J76)-(R76-Q76),"")</f>
        <v/>
      </c>
      <c r="T76" s="109" t="str">
        <f aca="false">IF(S76="","",S76*C76)</f>
        <v/>
      </c>
      <c r="U76" s="110" t="n">
        <f aca="false">IF(K76="نعم",L76,J76)</f>
        <v>2.689996</v>
      </c>
      <c r="V76" s="110" t="n">
        <f aca="false">SUMPRODUCT('مصفوفة الاستهلاك'!$BS$2:$BS$190,'متجهات المبيعات'!$G$2:$G$190)/'مواد المخزون'!$D$71/MAX(1,MIN('إعدادات المخزون'!$B$11,'إعدادات المخزون'!$B$4-'إعدادات المخزون'!$B$5+1))</f>
        <v>0.081667</v>
      </c>
      <c r="W76" s="110" t="n">
        <f aca="false">IF(V76&lt;=0,0,ROUNDUP(MAX(0,V76*('إعدادات المخزون'!$B$8+'إعدادات المخزون'!$B$9+'إعدادات المخزون'!$B$10)-MAX(U76,0))/'مواد المخزون'!$F71,0)*'مواد المخزون'!$F71)</f>
        <v>0</v>
      </c>
      <c r="X76" s="109" t="n">
        <f aca="false">IF(AND(K76="نعم",O76&lt;0),-O76+ROW()*0.000000001,0)</f>
        <v>0</v>
      </c>
      <c r="Y76" s="109" t="n">
        <f aca="false">IF(AND(K76="نعم",O76&gt;0),O76+ROW()*0.000000001,0)</f>
        <v>0</v>
      </c>
      <c r="Z76" s="110" t="n">
        <f aca="false">SUMIFS('مشتريات يومية'!$D$2:$D$4001,'مشتريات يومية'!$B$2:$B$4001,$B$2,'مشتريات يومية'!$C$2:$C$4001,$A76,'مشتريات يومية'!$A$2:$A$4001,'إعدادات المخزون'!$B$4)+SUMIFS('هالك وتحويلات'!$E$2:$E$3001,'هالك وتحويلات'!$B$2:$B$3001,$B$2,'هالك وتحويلات'!$C$2:$C$3001,$A76,'هالك وتحويلات'!$D$2:$D$3001,"تحويل وارد",'هالك وتحويلات'!$A$2:$A$3001,'إعدادات المخزون'!$B$4)-SUMIFS('هالك وتحويلات'!$E$2:$E$3001,'هالك وتحويلات'!$B$2:$B$3001,$B$2,'هالك وتحويلات'!$C$2:$C$3001,$A76,'هالك وتحويلات'!$D$2:$D$3001,"تحويل صادر",'هالك وتحويلات'!$A$2:$A$3001,'إعدادات المخزون'!$B$4)-SUMIFS('هالك وتحويلات'!$E$2:$E$3001,'هالك وتحويلات'!$B$2:$B$3001,$B$2,'هالك وتحويلات'!$C$2:$C$3001,$A76,'هالك وتحويلات'!$D$2:$D$3001,"هالك",'هالك وتحويلات'!$A$2:$A$3001,'إعدادات المخزون'!$B$4)-SUMIFS('هالك وتحويلات'!$E$2:$E$3001,'هالك وتحويلات'!$B$2:$B$3001,$B$2,'هالك وتحويلات'!$C$2:$C$3001,$A76,'هالك وتحويلات'!$D$2:$D$3001,"ضيافة / أكل موظفين",'هالك وتحويلات'!$A$2:$A$3001,'إعدادات المخزون'!$B$4)-SUMPRODUCT('مصفوفة الاستهلاك'!$BS$2:$BS$190,'متجهات المبيعات'!$E$2:$E$190)/'مواد المخزون'!$D$71</f>
        <v>-0.081667</v>
      </c>
      <c r="AA76" s="109" t="n">
        <f aca="false">IF(K76="نعم",O76,0)</f>
        <v>0</v>
      </c>
      <c r="AB76" s="109" t="n">
        <f aca="false">IF(K76="نعم",J76*C76,0)</f>
        <v>0</v>
      </c>
      <c r="AC76" s="109" t="n">
        <f aca="false">IF(T76="",0,T76)</f>
        <v>0</v>
      </c>
    </row>
    <row r="77" customFormat="false" ht="15" hidden="false" customHeight="false" outlineLevel="0" collapsed="false">
      <c r="A77" s="34" t="str">
        <f aca="false">'مواد المخزون'!A72</f>
        <v>كفرات كريب</v>
      </c>
      <c r="B77" s="36" t="str">
        <f aca="false">'مواد المخزون'!B72</f>
        <v>قطعة</v>
      </c>
      <c r="C77" s="109" t="n">
        <f aca="false">'مواد المخزون'!E72</f>
        <v>2</v>
      </c>
      <c r="D77" s="110" t="n">
        <f aca="false">'جرد أول المدة'!D75</f>
        <v>275</v>
      </c>
      <c r="E77" s="110" t="n">
        <f aca="false">SUMIFS('مشتريات يومية'!$D$2:$D$4001,'مشتريات يومية'!$B$2:$B$4001,$B$2,'مشتريات يومية'!$C$2:$C$4001,$A77,'مشتريات يومية'!$A$2:$A$4001,"&gt;="&amp;'إعدادات المخزون'!$B$5,'مشتريات يومية'!$A$2:$A$4001,"&lt;="&amp;'إعدادات المخزون'!$B$4)</f>
        <v>0</v>
      </c>
      <c r="F77" s="110" t="n">
        <f aca="false">SUMIFS('هالك وتحويلات'!$E$2:$E$3001,'هالك وتحويلات'!$B$2:$B$3001,$B$2,'هالك وتحويلات'!$C$2:$C$3001,$A77,'هالك وتحويلات'!$D$2:$D$3001,"تحويل وارد",'هالك وتحويلات'!$A$2:$A$3001,"&gt;="&amp;'إعدادات المخزون'!$B$5,'هالك وتحويلات'!$A$2:$A$3001,"&lt;="&amp;'إعدادات المخزون'!$B$4)</f>
        <v>0</v>
      </c>
      <c r="G77" s="110" t="n">
        <f aca="false">SUMIFS('هالك وتحويلات'!$E$2:$E$3001,'هالك وتحويلات'!$B$2:$B$3001,$B$2,'هالك وتحويلات'!$C$2:$C$3001,$A77,'هالك وتحويلات'!$D$2:$D$3001,"تحويل صادر",'هالك وتحويلات'!$A$2:$A$3001,"&gt;="&amp;'إعدادات المخزون'!$B$5,'هالك وتحويلات'!$A$2:$A$3001,"&lt;="&amp;'إعدادات المخزون'!$B$4)</f>
        <v>0</v>
      </c>
      <c r="H77" s="110" t="n">
        <f aca="false">SUMPRODUCT('مصفوفة الاستهلاك'!$BT$2:$BT$190,'متجهات المبيعات'!$F$2:$F$190)/'مواد المخزون'!$D$72</f>
        <v>60.0012</v>
      </c>
      <c r="I77" s="110" t="n">
        <f aca="false">SUMIFS('هالك وتحويلات'!$E$2:$E$3001,'هالك وتحويلات'!$B$2:$B$3001,$B$2,'هالك وتحويلات'!$C$2:$C$3001,$A77,'هالك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وتحويلات'!$C$2:$C$3001,$A77,'هالك وتحويلات'!$D$2:$D$3001,"ضيافة / أكل موظفين",'هالك وتحويلات'!$A$2:$A$3001,"&gt;="&amp;'إعدادات المخزون'!$B$5,'هالك وتحويلات'!$A$2:$A$3001,"&lt;="&amp;'إعدادات المخزون'!$B$4)</f>
        <v>0</v>
      </c>
      <c r="J77" s="110" t="n">
        <f aca="false">D77+E77+F77-G77-H77-I77</f>
        <v>214.9988</v>
      </c>
      <c r="K77" s="36" t="str">
        <f aca="false">IF(COUNTIFS('جرد فعلي'!$B$2:$B$12001,$B$2,'جرد فعلي'!$C$2:$C$12001,$A77,'جرد فعلي'!$A$2:$A$12001,'إعدادات المخزون'!$B$4)&gt;0,"نعم","لا")</f>
        <v>لا</v>
      </c>
      <c r="L77" s="111" t="str">
        <f aca="false">IF(K77="نعم",SUMIFS('جرد فعلي'!$D$2:$D$12001,'جرد فعلي'!$B$2:$B$12001,$B$2,'جرد فعلي'!$C$2:$C$12001,$A77,'جرد فعلي'!$A$2:$A$12001,'إعدادات المخزون'!$B$4),"")</f>
        <v/>
      </c>
      <c r="M77" s="110" t="str">
        <f aca="false">IF(K77="نعم",L77-J77,"")</f>
        <v/>
      </c>
      <c r="N77" s="112" t="str">
        <f aca="false">IF(K77="نعم",IF(J77=0,IF(M77=0,0,SIGN(M77)),M77/ABS(J77)),"")</f>
        <v/>
      </c>
      <c r="O77" s="109" t="str">
        <f aca="false">IF(K77="نعم",M77*C77,"")</f>
        <v/>
      </c>
      <c r="P77" s="36" t="str">
        <f aca="false">IF(K77&lt;&gt;"نعم","لم يُجرد",IF(ABS(N77)&lt;='إعدادات المخزون'!$B$7,"مطابق",IF(M77&lt;0,"عجز","زيادة")))</f>
        <v>لم يُجرد</v>
      </c>
      <c r="Q77" s="110" t="n">
        <f aca="false">J77-Z77</f>
        <v>219.9989</v>
      </c>
      <c r="R77" s="110" t="str">
        <f aca="false">IF(COUNTIFS('جرد فعلي'!$B$2:$B$12001,$B$2,'جرد فعلي'!$C$2:$C$12001,$A77,'جرد فعلي'!$A$2:$A$12001,'إعدادات المخزون'!$B$4-1)&gt;0,SUMIFS('جرد فعلي'!$D$2:$D$12001,'جرد فعلي'!$B$2:$B$12001,$B$2,'جرد فعلي'!$C$2:$C$12001,$A77,'جرد فعلي'!$A$2:$A$12001,'إعدادات المخزون'!$B$4-1),"")</f>
        <v/>
      </c>
      <c r="S77" s="110" t="str">
        <f aca="false">IF(AND(K77="نعم",R77&lt;&gt;""),(L77-J77)-(R77-Q77),"")</f>
        <v/>
      </c>
      <c r="T77" s="109" t="str">
        <f aca="false">IF(S77="","",S77*C77)</f>
        <v/>
      </c>
      <c r="U77" s="110" t="n">
        <f aca="false">IF(K77="نعم",L77,J77)</f>
        <v>214.9988</v>
      </c>
      <c r="V77" s="110" t="n">
        <f aca="false">SUMPRODUCT('مصفوفة الاستهلاك'!$BT$2:$BT$190,'متجهات المبيعات'!$G$2:$G$190)/'مواد المخزون'!$D$72/MAX(1,MIN('إعدادات المخزون'!$B$11,'إعدادات المخزون'!$B$4-'إعدادات المخزون'!$B$5+1))</f>
        <v>5.0001</v>
      </c>
      <c r="W77" s="110" t="n">
        <f aca="false">IF(V77&lt;=0,0,ROUNDUP(MAX(0,V77*('إعدادات المخزون'!$B$8+'إعدادات المخزون'!$B$9+'إعدادات المخزون'!$B$10)-MAX(U77,0))/'مواد المخزون'!$F72,0)*'مواد المخزون'!$F72)</f>
        <v>0</v>
      </c>
      <c r="X77" s="109" t="n">
        <f aca="false">IF(AND(K77="نعم",O77&lt;0),-O77+ROW()*0.000000001,0)</f>
        <v>0</v>
      </c>
      <c r="Y77" s="109" t="n">
        <f aca="false">IF(AND(K77="نعم",O77&gt;0),O77+ROW()*0.000000001,0)</f>
        <v>0</v>
      </c>
      <c r="Z77" s="110" t="n">
        <f aca="false">SUMIFS('مشتريات يومية'!$D$2:$D$4001,'مشتريات يومية'!$B$2:$B$4001,$B$2,'مشتريات يومية'!$C$2:$C$4001,$A77,'مشتريات يومية'!$A$2:$A$4001,'إعدادات المخزون'!$B$4)+SUMIFS('هالك وتحويلات'!$E$2:$E$3001,'هالك وتحويلات'!$B$2:$B$3001,$B$2,'هالك وتحويلات'!$C$2:$C$3001,$A77,'هالك وتحويلات'!$D$2:$D$3001,"تحويل وارد",'هالك وتحويلات'!$A$2:$A$3001,'إعدادات المخزون'!$B$4)-SUMIFS('هالك وتحويلات'!$E$2:$E$3001,'هالك وتحويلات'!$B$2:$B$3001,$B$2,'هالك وتحويلات'!$C$2:$C$3001,$A77,'هالك وتحويلات'!$D$2:$D$3001,"تحويل صادر",'هالك وتحويلات'!$A$2:$A$3001,'إعدادات المخزون'!$B$4)-SUMIFS('هالك وتحويلات'!$E$2:$E$3001,'هالك وتحويلات'!$B$2:$B$3001,$B$2,'هالك وتحويلات'!$C$2:$C$3001,$A77,'هالك وتحويلات'!$D$2:$D$3001,"هالك",'هالك وتحويلات'!$A$2:$A$3001,'إعدادات المخزون'!$B$4)-SUMIFS('هالك وتحويلات'!$E$2:$E$3001,'هالك وتحويلات'!$B$2:$B$3001,$B$2,'هالك وتحويلات'!$C$2:$C$3001,$A77,'هالك وتحويلات'!$D$2:$D$3001,"ضيافة / أكل موظفين",'هالك وتحويلات'!$A$2:$A$3001,'إعدادات المخزون'!$B$4)-SUMPRODUCT('مصفوفة الاستهلاك'!$BT$2:$BT$190,'متجهات المبيعات'!$E$2:$E$190)/'مواد المخزون'!$D$72</f>
        <v>-5.0001</v>
      </c>
      <c r="AA77" s="109" t="n">
        <f aca="false">IF(K77="نعم",O77,0)</f>
        <v>0</v>
      </c>
      <c r="AB77" s="109" t="n">
        <f aca="false">IF(K77="نعم",J77*C77,0)</f>
        <v>0</v>
      </c>
      <c r="AC77" s="109" t="n">
        <f aca="false">IF(T77="",0,T77)</f>
        <v>0</v>
      </c>
    </row>
    <row r="78" customFormat="false" ht="15" hidden="false" customHeight="false" outlineLevel="0" collapsed="false">
      <c r="A78" s="34" t="str">
        <f aca="false">'مواد المخزون'!A73</f>
        <v>لبن</v>
      </c>
      <c r="B78" s="36" t="str">
        <f aca="false">'مواد المخزون'!B73</f>
        <v>لتر</v>
      </c>
      <c r="C78" s="109" t="n">
        <f aca="false">'مواد المخزون'!E73</f>
        <v>20.6667</v>
      </c>
      <c r="D78" s="110" t="n">
        <f aca="false">'جرد أول المدة'!D76</f>
        <v>1.735</v>
      </c>
      <c r="E78" s="110" t="n">
        <f aca="false">SUMIFS('مشتريات يومية'!$D$2:$D$4001,'مشتريات يومية'!$B$2:$B$4001,$B$2,'مشتريات يومية'!$C$2:$C$4001,$A78,'مشتريات يومية'!$A$2:$A$4001,"&gt;="&amp;'إعدادات المخزون'!$B$5,'مشتريات يومية'!$A$2:$A$4001,"&lt;="&amp;'إعدادات المخزون'!$B$4)</f>
        <v>120</v>
      </c>
      <c r="F78" s="110" t="n">
        <f aca="false">SUMIFS('هالك وتحويلات'!$E$2:$E$3001,'هالك وتحويلات'!$B$2:$B$3001,$B$2,'هالك وتحويلات'!$C$2:$C$3001,$A78,'هالك وتحويلات'!$D$2:$D$3001,"تحويل وارد",'هالك وتحويلات'!$A$2:$A$3001,"&gt;="&amp;'إعدادات المخزون'!$B$5,'هالك وتحويلات'!$A$2:$A$3001,"&lt;="&amp;'إعدادات المخزون'!$B$4)</f>
        <v>0</v>
      </c>
      <c r="G78" s="110" t="n">
        <f aca="false">SUMIFS('هالك وتحويلات'!$E$2:$E$3001,'هالك وتحويلات'!$B$2:$B$3001,$B$2,'هالك وتحويلات'!$C$2:$C$3001,$A78,'هالك وتحويلات'!$D$2:$D$3001,"تحويل صادر",'هالك وتحويلات'!$A$2:$A$3001,"&gt;="&amp;'إعدادات المخزون'!$B$5,'هالك وتحويلات'!$A$2:$A$3001,"&lt;="&amp;'إعدادات المخزون'!$B$4)</f>
        <v>0</v>
      </c>
      <c r="H78" s="110" t="n">
        <f aca="false">SUMPRODUCT('مصفوفة الاستهلاك'!$BU$2:$BU$190,'متجهات المبيعات'!$F$2:$F$190)/'مواد المخزون'!$D$73</f>
        <v>126.8599559998</v>
      </c>
      <c r="I78" s="110" t="n">
        <f aca="false">SUMIFS('هالك وتحويلات'!$E$2:$E$3001,'هالك وتحويلات'!$B$2:$B$3001,$B$2,'هالك وتحويلات'!$C$2:$C$3001,$A78,'هالك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وتحويلات'!$C$2:$C$3001,$A78,'هالك وتحويلات'!$D$2:$D$3001,"ضيافة / أكل موظفين",'هالك وتحويلات'!$A$2:$A$3001,"&gt;="&amp;'إعدادات المخزون'!$B$5,'هالك وتحويلات'!$A$2:$A$3001,"&lt;="&amp;'إعدادات المخزون'!$B$4)</f>
        <v>0</v>
      </c>
      <c r="J78" s="110" t="n">
        <f aca="false">D78+E78+F78-G78-H78-I78</f>
        <v>-5.12495599979999</v>
      </c>
      <c r="K78" s="36" t="str">
        <f aca="false">IF(COUNTIFS('جرد فعلي'!$B$2:$B$12001,$B$2,'جرد فعلي'!$C$2:$C$12001,$A78,'جرد فعلي'!$A$2:$A$12001,'إعدادات المخزون'!$B$4)&gt;0,"نعم","لا")</f>
        <v>لا</v>
      </c>
      <c r="L78" s="111" t="str">
        <f aca="false">IF(K78="نعم",SUMIFS('جرد فعلي'!$D$2:$D$12001,'جرد فعلي'!$B$2:$B$12001,$B$2,'جرد فعلي'!$C$2:$C$12001,$A78,'جرد فعلي'!$A$2:$A$12001,'إعدادات المخزون'!$B$4),"")</f>
        <v/>
      </c>
      <c r="M78" s="110" t="str">
        <f aca="false">IF(K78="نعم",L78-J78,"")</f>
        <v/>
      </c>
      <c r="N78" s="112" t="str">
        <f aca="false">IF(K78="نعم",IF(J78=0,IF(M78=0,0,SIGN(M78)),M78/ABS(J78)),"")</f>
        <v/>
      </c>
      <c r="O78" s="109" t="str">
        <f aca="false">IF(K78="نعم",M78*C78,"")</f>
        <v/>
      </c>
      <c r="P78" s="36" t="str">
        <f aca="false">IF(K78&lt;&gt;"نعم","لم يُجرد",IF(ABS(N78)&lt;='إعدادات المخزون'!$B$7,"مطابق",IF(M78&lt;0,"عجز","زيادة")))</f>
        <v>لم يُجرد</v>
      </c>
      <c r="Q78" s="110" t="n">
        <f aca="false">J78-Z78</f>
        <v>5.44670700018334</v>
      </c>
      <c r="R78" s="110" t="str">
        <f aca="false">IF(COUNTIFS('جرد فعلي'!$B$2:$B$12001,$B$2,'جرد فعلي'!$C$2:$C$12001,$A78,'جرد فعلي'!$A$2:$A$12001,'إعدادات المخزون'!$B$4-1)&gt;0,SUMIFS('جرد فعلي'!$D$2:$D$12001,'جرد فعلي'!$B$2:$B$12001,$B$2,'جرد فعلي'!$C$2:$C$12001,$A78,'جرد فعلي'!$A$2:$A$12001,'إعدادات المخزون'!$B$4-1),"")</f>
        <v/>
      </c>
      <c r="S78" s="110" t="str">
        <f aca="false">IF(AND(K78="نعم",R78&lt;&gt;""),(L78-J78)-(R78-Q78),"")</f>
        <v/>
      </c>
      <c r="T78" s="109" t="str">
        <f aca="false">IF(S78="","",S78*C78)</f>
        <v/>
      </c>
      <c r="U78" s="110" t="n">
        <f aca="false">IF(K78="نعم",L78,J78)</f>
        <v>-5.12495599979999</v>
      </c>
      <c r="V78" s="110" t="n">
        <f aca="false">SUMPRODUCT('مصفوفة الاستهلاك'!$BU$2:$BU$190,'متجهات المبيعات'!$G$2:$G$190)/'مواد المخزون'!$D$73/MAX(1,MIN('إعدادات المخزون'!$B$11,'إعدادات المخزون'!$B$4-'إعدادات المخزون'!$B$5+1))</f>
        <v>10.5716629999833</v>
      </c>
      <c r="W78" s="110" t="n">
        <f aca="false">IF(V78&lt;=0,0,ROUNDUP(MAX(0,V78*('إعدادات المخزون'!$B$8+'إعدادات المخزون'!$B$9+'إعدادات المخزون'!$B$10)-MAX(U78,0))/'مواد المخزون'!$F73,0)*'مواد المخزون'!$F73)</f>
        <v>43</v>
      </c>
      <c r="X78" s="109" t="n">
        <f aca="false">IF(AND(K78="نعم",O78&lt;0),-O78+ROW()*0.000000001,0)</f>
        <v>0</v>
      </c>
      <c r="Y78" s="109" t="n">
        <f aca="false">IF(AND(K78="نعم",O78&gt;0),O78+ROW()*0.000000001,0)</f>
        <v>0</v>
      </c>
      <c r="Z78" s="110" t="n">
        <f aca="false">SUMIFS('مشتريات يومية'!$D$2:$D$4001,'مشتريات يومية'!$B$2:$B$4001,$B$2,'مشتريات يومية'!$C$2:$C$4001,$A78,'مشتريات يومية'!$A$2:$A$4001,'إعدادات المخزون'!$B$4)+SUMIFS('هالك وتحويلات'!$E$2:$E$3001,'هالك وتحويلات'!$B$2:$B$3001,$B$2,'هالك وتحويلات'!$C$2:$C$3001,$A78,'هالك وتحويلات'!$D$2:$D$3001,"تحويل وارد",'هالك وتحويلات'!$A$2:$A$3001,'إعدادات المخزون'!$B$4)-SUMIFS('هالك وتحويلات'!$E$2:$E$3001,'هالك وتحويلات'!$B$2:$B$3001,$B$2,'هالك وتحويلات'!$C$2:$C$3001,$A78,'هالك وتحويلات'!$D$2:$D$3001,"تحويل صادر",'هالك وتحويلات'!$A$2:$A$3001,'إعدادات المخزون'!$B$4)-SUMIFS('هالك وتحويلات'!$E$2:$E$3001,'هالك وتحويلات'!$B$2:$B$3001,$B$2,'هالك وتحويلات'!$C$2:$C$3001,$A78,'هالك وتحويلات'!$D$2:$D$3001,"هالك",'هالك وتحويلات'!$A$2:$A$3001,'إعدادات المخزون'!$B$4)-SUMIFS('هالك وتحويلات'!$E$2:$E$3001,'هالك وتحويلات'!$B$2:$B$3001,$B$2,'هالك وتحويلات'!$C$2:$C$3001,$A78,'هالك وتحويلات'!$D$2:$D$3001,"ضيافة / أكل موظفين",'هالك وتحويلات'!$A$2:$A$3001,'إعدادات المخزون'!$B$4)-SUMPRODUCT('مصفوفة الاستهلاك'!$BU$2:$BU$190,'متجهات المبيعات'!$E$2:$E$190)/'مواد المخزون'!$D$73</f>
        <v>-10.5716629999833</v>
      </c>
      <c r="AA78" s="109" t="n">
        <f aca="false">IF(K78="نعم",O78,0)</f>
        <v>0</v>
      </c>
      <c r="AB78" s="109" t="n">
        <f aca="false">IF(K78="نعم",J78*C78,0)</f>
        <v>0</v>
      </c>
      <c r="AC78" s="109" t="n">
        <f aca="false">IF(T78="",0,T78)</f>
        <v>0</v>
      </c>
    </row>
    <row r="79" customFormat="false" ht="15" hidden="false" customHeight="false" outlineLevel="0" collapsed="false">
      <c r="A79" s="34" t="str">
        <f aca="false">'مواد المخزون'!A74</f>
        <v>لعبة اطفال</v>
      </c>
      <c r="B79" s="36" t="str">
        <f aca="false">'مواد المخزون'!B74</f>
        <v>قطعة</v>
      </c>
      <c r="C79" s="109" t="n">
        <f aca="false">'مواد المخزون'!E74</f>
        <v>6</v>
      </c>
      <c r="D79" s="110" t="n">
        <f aca="false">'جرد أول المدة'!D77</f>
        <v>11</v>
      </c>
      <c r="E79" s="110" t="n">
        <f aca="false">SUMIFS('مشتريات يومية'!$D$2:$D$4001,'مشتريات يومية'!$B$2:$B$4001,$B$2,'مشتريات يومية'!$C$2:$C$4001,$A79,'مشتريات يومية'!$A$2:$A$4001,"&gt;="&amp;'إعدادات المخزون'!$B$5,'مشتريات يومية'!$A$2:$A$4001,"&lt;="&amp;'إعدادات المخزون'!$B$4)</f>
        <v>0</v>
      </c>
      <c r="F79" s="110" t="n">
        <f aca="false">SUMIFS('هالك وتحويلات'!$E$2:$E$3001,'هالك وتحويلات'!$B$2:$B$3001,$B$2,'هالك وتحويلات'!$C$2:$C$3001,$A79,'هالك وتحويلات'!$D$2:$D$3001,"تحويل وارد",'هالك وتحويلات'!$A$2:$A$3001,"&gt;="&amp;'إعدادات المخزون'!$B$5,'هالك وتحويلات'!$A$2:$A$3001,"&lt;="&amp;'إعدادات المخزون'!$B$4)</f>
        <v>0</v>
      </c>
      <c r="G79" s="110" t="n">
        <f aca="false">SUMIFS('هالك وتحويلات'!$E$2:$E$3001,'هالك وتحويلات'!$B$2:$B$3001,$B$2,'هالك وتحويلات'!$C$2:$C$3001,$A79,'هالك وتحويلات'!$D$2:$D$3001,"تحويل صادر",'هالك وتحويلات'!$A$2:$A$3001,"&gt;="&amp;'إعدادات المخزون'!$B$5,'هالك وتحويلات'!$A$2:$A$3001,"&lt;="&amp;'إعدادات المخزون'!$B$4)</f>
        <v>0</v>
      </c>
      <c r="H79" s="110" t="n">
        <f aca="false">SUMPRODUCT('مصفوفة الاستهلاك'!$BV$2:$BV$190,'متجهات المبيعات'!$F$2:$F$190)/'مواد المخزون'!$D$74</f>
        <v>2.0004</v>
      </c>
      <c r="I79" s="110" t="n">
        <f aca="false">SUMIFS('هالك وتحويلات'!$E$2:$E$3001,'هالك وتحويلات'!$B$2:$B$3001,$B$2,'هالك وتحويلات'!$C$2:$C$3001,$A79,'هالك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وتحويلات'!$C$2:$C$3001,$A79,'هالك وتحويلات'!$D$2:$D$3001,"ضيافة / أكل موظفين",'هالك وتحويلات'!$A$2:$A$3001,"&gt;="&amp;'إعدادات المخزون'!$B$5,'هالك وتحويلات'!$A$2:$A$3001,"&lt;="&amp;'إعدادات المخزون'!$B$4)</f>
        <v>0</v>
      </c>
      <c r="J79" s="110" t="n">
        <f aca="false">D79+E79+F79-G79-H79-I79</f>
        <v>8.9996</v>
      </c>
      <c r="K79" s="36" t="str">
        <f aca="false">IF(COUNTIFS('جرد فعلي'!$B$2:$B$12001,$B$2,'جرد فعلي'!$C$2:$C$12001,$A79,'جرد فعلي'!$A$2:$A$12001,'إعدادات المخزون'!$B$4)&gt;0,"نعم","لا")</f>
        <v>لا</v>
      </c>
      <c r="L79" s="111" t="str">
        <f aca="false">IF(K79="نعم",SUMIFS('جرد فعلي'!$D$2:$D$12001,'جرد فعلي'!$B$2:$B$12001,$B$2,'جرد فعلي'!$C$2:$C$12001,$A79,'جرد فعلي'!$A$2:$A$12001,'إعدادات المخزون'!$B$4),"")</f>
        <v/>
      </c>
      <c r="M79" s="110" t="str">
        <f aca="false">IF(K79="نعم",L79-J79,"")</f>
        <v/>
      </c>
      <c r="N79" s="112" t="str">
        <f aca="false">IF(K79="نعم",IF(J79=0,IF(M79=0,0,SIGN(M79)),M79/ABS(J79)),"")</f>
        <v/>
      </c>
      <c r="O79" s="109" t="str">
        <f aca="false">IF(K79="نعم",M79*C79,"")</f>
        <v/>
      </c>
      <c r="P79" s="36" t="str">
        <f aca="false">IF(K79&lt;&gt;"نعم","لم يُجرد",IF(ABS(N79)&lt;='إعدادات المخزون'!$B$7,"مطابق",IF(M79&lt;0,"عجز","زيادة")))</f>
        <v>لم يُجرد</v>
      </c>
      <c r="Q79" s="110" t="n">
        <f aca="false">J79-Z79</f>
        <v>9.1663</v>
      </c>
      <c r="R79" s="110" t="str">
        <f aca="false">IF(COUNTIFS('جرد فعلي'!$B$2:$B$12001,$B$2,'جرد فعلي'!$C$2:$C$12001,$A79,'جرد فعلي'!$A$2:$A$12001,'إعدادات المخزون'!$B$4-1)&gt;0,SUMIFS('جرد فعلي'!$D$2:$D$12001,'جرد فعلي'!$B$2:$B$12001,$B$2,'جرد فعلي'!$C$2:$C$12001,$A79,'جرد فعلي'!$A$2:$A$12001,'إعدادات المخزون'!$B$4-1),"")</f>
        <v/>
      </c>
      <c r="S79" s="110" t="str">
        <f aca="false">IF(AND(K79="نعم",R79&lt;&gt;""),(L79-J79)-(R79-Q79),"")</f>
        <v/>
      </c>
      <c r="T79" s="109" t="str">
        <f aca="false">IF(S79="","",S79*C79)</f>
        <v/>
      </c>
      <c r="U79" s="110" t="n">
        <f aca="false">IF(K79="نعم",L79,J79)</f>
        <v>8.9996</v>
      </c>
      <c r="V79" s="110" t="n">
        <f aca="false">SUMPRODUCT('مصفوفة الاستهلاك'!$BV$2:$BV$190,'متجهات المبيعات'!$G$2:$G$190)/'مواد المخزون'!$D$74/MAX(1,MIN('إعدادات المخزون'!$B$11,'إعدادات المخزون'!$B$4-'إعدادات المخزون'!$B$5+1))</f>
        <v>0.1667</v>
      </c>
      <c r="W79" s="110" t="n">
        <f aca="false">IF(V79&lt;=0,0,ROUNDUP(MAX(0,V79*('إعدادات المخزون'!$B$8+'إعدادات المخزون'!$B$9+'إعدادات المخزون'!$B$10)-MAX(U79,0))/'مواد المخزون'!$F74,0)*'مواد المخزون'!$F74)</f>
        <v>0</v>
      </c>
      <c r="X79" s="109" t="n">
        <f aca="false">IF(AND(K79="نعم",O79&lt;0),-O79+ROW()*0.000000001,0)</f>
        <v>0</v>
      </c>
      <c r="Y79" s="109" t="n">
        <f aca="false">IF(AND(K79="نعم",O79&gt;0),O79+ROW()*0.000000001,0)</f>
        <v>0</v>
      </c>
      <c r="Z79" s="110" t="n">
        <f aca="false">SUMIFS('مشتريات يومية'!$D$2:$D$4001,'مشتريات يومية'!$B$2:$B$4001,$B$2,'مشتريات يومية'!$C$2:$C$4001,$A79,'مشتريات يومية'!$A$2:$A$4001,'إعدادات المخزون'!$B$4)+SUMIFS('هالك وتحويلات'!$E$2:$E$3001,'هالك وتحويلات'!$B$2:$B$3001,$B$2,'هالك وتحويلات'!$C$2:$C$3001,$A79,'هالك وتحويلات'!$D$2:$D$3001,"تحويل وارد",'هالك وتحويلات'!$A$2:$A$3001,'إعدادات المخزون'!$B$4)-SUMIFS('هالك وتحويلات'!$E$2:$E$3001,'هالك وتحويلات'!$B$2:$B$3001,$B$2,'هالك وتحويلات'!$C$2:$C$3001,$A79,'هالك وتحويلات'!$D$2:$D$3001,"تحويل صادر",'هالك وتحويلات'!$A$2:$A$3001,'إعدادات المخزون'!$B$4)-SUMIFS('هالك وتحويلات'!$E$2:$E$3001,'هالك وتحويلات'!$B$2:$B$3001,$B$2,'هالك وتحويلات'!$C$2:$C$3001,$A79,'هالك وتحويلات'!$D$2:$D$3001,"هالك",'هالك وتحويلات'!$A$2:$A$3001,'إعدادات المخزون'!$B$4)-SUMIFS('هالك وتحويلات'!$E$2:$E$3001,'هالك وتحويلات'!$B$2:$B$3001,$B$2,'هالك وتحويلات'!$C$2:$C$3001,$A79,'هالك وتحويلات'!$D$2:$D$3001,"ضيافة / أكل موظفين",'هالك وتحويلات'!$A$2:$A$3001,'إعدادات المخزون'!$B$4)-SUMPRODUCT('مصفوفة الاستهلاك'!$BV$2:$BV$190,'متجهات المبيعات'!$E$2:$E$190)/'مواد المخزون'!$D$74</f>
        <v>-0.1667</v>
      </c>
      <c r="AA79" s="109" t="n">
        <f aca="false">IF(K79="نعم",O79,0)</f>
        <v>0</v>
      </c>
      <c r="AB79" s="109" t="n">
        <f aca="false">IF(K79="نعم",J79*C79,0)</f>
        <v>0</v>
      </c>
      <c r="AC79" s="109" t="n">
        <f aca="false">IF(T79="",0,T79)</f>
        <v>0</v>
      </c>
    </row>
    <row r="80" customFormat="false" ht="15" hidden="false" customHeight="false" outlineLevel="0" collapsed="false">
      <c r="A80" s="34" t="str">
        <f aca="false">'مواد المخزون'!A75</f>
        <v>للوتس سبريد</v>
      </c>
      <c r="B80" s="36" t="str">
        <f aca="false">'مواد المخزون'!B75</f>
        <v>كجم</v>
      </c>
      <c r="C80" s="109" t="n">
        <f aca="false">'مواد المخزون'!E75</f>
        <v>135</v>
      </c>
      <c r="D80" s="110" t="n">
        <f aca="false">'جرد أول المدة'!D78</f>
        <v>0.3</v>
      </c>
      <c r="E80" s="110" t="n">
        <f aca="false">SUMIFS('مشتريات يومية'!$D$2:$D$4001,'مشتريات يومية'!$B$2:$B$4001,$B$2,'مشتريات يومية'!$C$2:$C$4001,$A80,'مشتريات يومية'!$A$2:$A$4001,"&gt;="&amp;'إعدادات المخزون'!$B$5,'مشتريات يومية'!$A$2:$A$4001,"&lt;="&amp;'إعدادات المخزون'!$B$4)</f>
        <v>1</v>
      </c>
      <c r="F80" s="110" t="n">
        <f aca="false">SUMIFS('هالك وتحويلات'!$E$2:$E$3001,'هالك وتحويلات'!$B$2:$B$3001,$B$2,'هالك وتحويلات'!$C$2:$C$3001,$A80,'هالك وتحويلات'!$D$2:$D$3001,"تحويل وارد",'هالك وتحويلات'!$A$2:$A$3001,"&gt;="&amp;'إعدادات المخزون'!$B$5,'هالك وتحويلات'!$A$2:$A$3001,"&lt;="&amp;'إعدادات المخزون'!$B$4)</f>
        <v>0</v>
      </c>
      <c r="G80" s="110" t="n">
        <f aca="false">SUMIFS('هالك وتحويلات'!$E$2:$E$3001,'هالك وتحويلات'!$B$2:$B$3001,$B$2,'هالك وتحويلات'!$C$2:$C$3001,$A80,'هالك وتحويلات'!$D$2:$D$3001,"تحويل صادر",'هالك وتحويلات'!$A$2:$A$3001,"&gt;="&amp;'إعدادات المخزون'!$B$5,'هالك وتحويلات'!$A$2:$A$3001,"&lt;="&amp;'إعدادات المخزون'!$B$4)</f>
        <v>0</v>
      </c>
      <c r="H80" s="110" t="n">
        <f aca="false">SUMPRODUCT('مصفوفة الاستهلاك'!$BW$2:$BW$190,'متجهات المبيعات'!$F$2:$F$190)/'مواد المخزون'!$D$75</f>
        <v>0.15</v>
      </c>
      <c r="I80" s="110" t="n">
        <f aca="false">SUMIFS('هالك وتحويلات'!$E$2:$E$3001,'هالك وتحويلات'!$B$2:$B$3001,$B$2,'هالك وتحويلات'!$C$2:$C$3001,$A80,'هالك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وتحويلات'!$C$2:$C$3001,$A80,'هالك وتحويلات'!$D$2:$D$3001,"ضيافة / أكل موظفين",'هالك وتحويلات'!$A$2:$A$3001,"&gt;="&amp;'إعدادات المخزون'!$B$5,'هالك وتحويلات'!$A$2:$A$3001,"&lt;="&amp;'إعدادات المخزون'!$B$4)</f>
        <v>0</v>
      </c>
      <c r="J80" s="110" t="n">
        <f aca="false">D80+E80+F80-G80-H80-I80</f>
        <v>1.15</v>
      </c>
      <c r="K80" s="36" t="str">
        <f aca="false">IF(COUNTIFS('جرد فعلي'!$B$2:$B$12001,$B$2,'جرد فعلي'!$C$2:$C$12001,$A80,'جرد فعلي'!$A$2:$A$12001,'إعدادات المخزون'!$B$4)&gt;0,"نعم","لا")</f>
        <v>لا</v>
      </c>
      <c r="L80" s="111" t="str">
        <f aca="false">IF(K80="نعم",SUMIFS('جرد فعلي'!$D$2:$D$12001,'جرد فعلي'!$B$2:$B$12001,$B$2,'جرد فعلي'!$C$2:$C$12001,$A80,'جرد فعلي'!$A$2:$A$12001,'إعدادات المخزون'!$B$4),"")</f>
        <v/>
      </c>
      <c r="M80" s="110" t="str">
        <f aca="false">IF(K80="نعم",L80-J80,"")</f>
        <v/>
      </c>
      <c r="N80" s="112" t="str">
        <f aca="false">IF(K80="نعم",IF(J80=0,IF(M80=0,0,SIGN(M80)),M80/ABS(J80)),"")</f>
        <v/>
      </c>
      <c r="O80" s="109" t="str">
        <f aca="false">IF(K80="نعم",M80*C80,"")</f>
        <v/>
      </c>
      <c r="P80" s="36" t="str">
        <f aca="false">IF(K80&lt;&gt;"نعم","لم يُجرد",IF(ABS(N80)&lt;='إعدادات المخزون'!$B$7,"مطابق",IF(M80&lt;0,"عجز","زيادة")))</f>
        <v>لم يُجرد</v>
      </c>
      <c r="Q80" s="110" t="n">
        <f aca="false">J80-Z80</f>
        <v>1.1625</v>
      </c>
      <c r="R80" s="110" t="str">
        <f aca="false">IF(COUNTIFS('جرد فعلي'!$B$2:$B$12001,$B$2,'جرد فعلي'!$C$2:$C$12001,$A80,'جرد فعلي'!$A$2:$A$12001,'إعدادات المخزون'!$B$4-1)&gt;0,SUMIFS('جرد فعلي'!$D$2:$D$12001,'جرد فعلي'!$B$2:$B$12001,$B$2,'جرد فعلي'!$C$2:$C$12001,$A80,'جرد فعلي'!$A$2:$A$12001,'إعدادات المخزون'!$B$4-1),"")</f>
        <v/>
      </c>
      <c r="S80" s="110" t="str">
        <f aca="false">IF(AND(K80="نعم",R80&lt;&gt;""),(L80-J80)-(R80-Q80),"")</f>
        <v/>
      </c>
      <c r="T80" s="109" t="str">
        <f aca="false">IF(S80="","",S80*C80)</f>
        <v/>
      </c>
      <c r="U80" s="110" t="n">
        <f aca="false">IF(K80="نعم",L80,J80)</f>
        <v>1.15</v>
      </c>
      <c r="V80" s="110" t="n">
        <f aca="false">SUMPRODUCT('مصفوفة الاستهلاك'!$BW$2:$BW$190,'متجهات المبيعات'!$G$2:$G$190)/'مواد المخزون'!$D$75/MAX(1,MIN('إعدادات المخزون'!$B$11,'إعدادات المخزون'!$B$4-'إعدادات المخزون'!$B$5+1))</f>
        <v>0.0125</v>
      </c>
      <c r="W80" s="110" t="n">
        <f aca="false">IF(V80&lt;=0,0,ROUNDUP(MAX(0,V80*('إعدادات المخزون'!$B$8+'إعدادات المخزون'!$B$9+'إعدادات المخزون'!$B$10)-MAX(U80,0))/'مواد المخزون'!$F75,0)*'مواد المخزون'!$F75)</f>
        <v>0</v>
      </c>
      <c r="X80" s="109" t="n">
        <f aca="false">IF(AND(K80="نعم",O80&lt;0),-O80+ROW()*0.000000001,0)</f>
        <v>0</v>
      </c>
      <c r="Y80" s="109" t="n">
        <f aca="false">IF(AND(K80="نعم",O80&gt;0),O80+ROW()*0.000000001,0)</f>
        <v>0</v>
      </c>
      <c r="Z80" s="110" t="n">
        <f aca="false">SUMIFS('مشتريات يومية'!$D$2:$D$4001,'مشتريات يومية'!$B$2:$B$4001,$B$2,'مشتريات يومية'!$C$2:$C$4001,$A80,'مشتريات يومية'!$A$2:$A$4001,'إعدادات المخزون'!$B$4)+SUMIFS('هالك وتحويلات'!$E$2:$E$3001,'هالك وتحويلات'!$B$2:$B$3001,$B$2,'هالك وتحويلات'!$C$2:$C$3001,$A80,'هالك وتحويلات'!$D$2:$D$3001,"تحويل وارد",'هالك وتحويلات'!$A$2:$A$3001,'إعدادات المخزون'!$B$4)-SUMIFS('هالك وتحويلات'!$E$2:$E$3001,'هالك وتحويلات'!$B$2:$B$3001,$B$2,'هالك وتحويلات'!$C$2:$C$3001,$A80,'هالك وتحويلات'!$D$2:$D$3001,"تحويل صادر",'هالك وتحويلات'!$A$2:$A$3001,'إعدادات المخزون'!$B$4)-SUMIFS('هالك وتحويلات'!$E$2:$E$3001,'هالك وتحويلات'!$B$2:$B$3001,$B$2,'هالك وتحويلات'!$C$2:$C$3001,$A80,'هالك وتحويلات'!$D$2:$D$3001,"هالك",'هالك وتحويلات'!$A$2:$A$3001,'إعدادات المخزون'!$B$4)-SUMIFS('هالك وتحويلات'!$E$2:$E$3001,'هالك وتحويلات'!$B$2:$B$3001,$B$2,'هالك وتحويلات'!$C$2:$C$3001,$A80,'هالك وتحويلات'!$D$2:$D$3001,"ضيافة / أكل موظفين",'هالك وتحويلات'!$A$2:$A$3001,'إعدادات المخزون'!$B$4)-SUMPRODUCT('مصفوفة الاستهلاك'!$BW$2:$BW$190,'متجهات المبيعات'!$E$2:$E$190)/'مواد المخزون'!$D$75</f>
        <v>-0.0125</v>
      </c>
      <c r="AA80" s="109" t="n">
        <f aca="false">IF(K80="نعم",O80,0)</f>
        <v>0</v>
      </c>
      <c r="AB80" s="109" t="n">
        <f aca="false">IF(K80="نعم",J80*C80,0)</f>
        <v>0</v>
      </c>
      <c r="AC80" s="109" t="n">
        <f aca="false">IF(T80="",0,T80)</f>
        <v>0</v>
      </c>
    </row>
    <row r="81" customFormat="false" ht="15" hidden="false" customHeight="false" outlineLevel="0" collapsed="false">
      <c r="A81" s="34" t="str">
        <f aca="false">'مواد المخزون'!A76</f>
        <v>مشروم فريش</v>
      </c>
      <c r="B81" s="36" t="str">
        <f aca="false">'مواد المخزون'!B76</f>
        <v>كجم</v>
      </c>
      <c r="C81" s="109" t="n">
        <f aca="false">'مواد المخزون'!E76</f>
        <v>151.2027</v>
      </c>
      <c r="D81" s="110" t="n">
        <f aca="false">'جرد أول المدة'!D79</f>
        <v>0.6</v>
      </c>
      <c r="E81" s="110" t="n">
        <f aca="false">SUMIFS('مشتريات يومية'!$D$2:$D$4001,'مشتريات يومية'!$B$2:$B$4001,$B$2,'مشتريات يومية'!$C$2:$C$4001,$A81,'مشتريات يومية'!$A$2:$A$4001,"&gt;="&amp;'إعدادات المخزون'!$B$5,'مشتريات يومية'!$A$2:$A$4001,"&lt;="&amp;'إعدادات المخزون'!$B$4)</f>
        <v>2</v>
      </c>
      <c r="F81" s="110" t="n">
        <f aca="false">SUMIFS('هالك وتحويلات'!$E$2:$E$3001,'هالك وتحويلات'!$B$2:$B$3001,$B$2,'هالك وتحويلات'!$C$2:$C$3001,$A81,'هالك وتحويلات'!$D$2:$D$3001,"تحويل وارد",'هالك وتحويلات'!$A$2:$A$3001,"&gt;="&amp;'إعدادات المخزون'!$B$5,'هالك وتحويلات'!$A$2:$A$3001,"&lt;="&amp;'إعدادات المخزون'!$B$4)</f>
        <v>0</v>
      </c>
      <c r="G81" s="110" t="n">
        <f aca="false">SUMIFS('هالك وتحويلات'!$E$2:$E$3001,'هالك وتحويلات'!$B$2:$B$3001,$B$2,'هالك وتحويلات'!$C$2:$C$3001,$A81,'هالك وتحويلات'!$D$2:$D$3001,"تحويل صادر",'هالك وتحويلات'!$A$2:$A$3001,"&gt;="&amp;'إعدادات المخزون'!$B$5,'هالك وتحويلات'!$A$2:$A$3001,"&lt;="&amp;'إعدادات المخزون'!$B$4)</f>
        <v>0</v>
      </c>
      <c r="H81" s="110" t="n">
        <f aca="false">SUMPRODUCT('مصفوفة الاستهلاك'!$BX$2:$BX$190,'متجهات المبيعات'!$F$2:$F$190)/'مواد المخزون'!$D$76</f>
        <v>1.669956</v>
      </c>
      <c r="I81" s="110" t="n">
        <f aca="false">SUMIFS('هالك وتحويلات'!$E$2:$E$3001,'هالك وتحويلات'!$B$2:$B$3001,$B$2,'هالك وتحويلات'!$C$2:$C$3001,$A81,'هالك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وتحويلات'!$C$2:$C$3001,$A81,'هالك وتحويلات'!$D$2:$D$3001,"ضيافة / أكل موظفين",'هالك وتحويلات'!$A$2:$A$3001,"&gt;="&amp;'إعدادات المخزون'!$B$5,'هالك وتحويلات'!$A$2:$A$3001,"&lt;="&amp;'إعدادات المخزون'!$B$4)</f>
        <v>0</v>
      </c>
      <c r="J81" s="110" t="n">
        <f aca="false">D81+E81+F81-G81-H81-I81</f>
        <v>0.930044</v>
      </c>
      <c r="K81" s="36" t="str">
        <f aca="false">IF(COUNTIFS('جرد فعلي'!$B$2:$B$12001,$B$2,'جرد فعلي'!$C$2:$C$12001,$A81,'جرد فعلي'!$A$2:$A$12001,'إعدادات المخزون'!$B$4)&gt;0,"نعم","لا")</f>
        <v>لا</v>
      </c>
      <c r="L81" s="111" t="str">
        <f aca="false">IF(K81="نعم",SUMIFS('جرد فعلي'!$D$2:$D$12001,'جرد فعلي'!$B$2:$B$12001,$B$2,'جرد فعلي'!$C$2:$C$12001,$A81,'جرد فعلي'!$A$2:$A$12001,'إعدادات المخزون'!$B$4),"")</f>
        <v/>
      </c>
      <c r="M81" s="110" t="str">
        <f aca="false">IF(K81="نعم",L81-J81,"")</f>
        <v/>
      </c>
      <c r="N81" s="112" t="str">
        <f aca="false">IF(K81="نعم",IF(J81=0,IF(M81=0,0,SIGN(M81)),M81/ABS(J81)),"")</f>
        <v/>
      </c>
      <c r="O81" s="109" t="str">
        <f aca="false">IF(K81="نعم",M81*C81,"")</f>
        <v/>
      </c>
      <c r="P81" s="36" t="str">
        <f aca="false">IF(K81&lt;&gt;"نعم","لم يُجرد",IF(ABS(N81)&lt;='إعدادات المخزون'!$B$7,"مطابق",IF(M81&lt;0,"عجز","زيادة")))</f>
        <v>لم يُجرد</v>
      </c>
      <c r="Q81" s="110" t="n">
        <f aca="false">J81-Z81</f>
        <v>1.069207</v>
      </c>
      <c r="R81" s="110" t="str">
        <f aca="false">IF(COUNTIFS('جرد فعلي'!$B$2:$B$12001,$B$2,'جرد فعلي'!$C$2:$C$12001,$A81,'جرد فعلي'!$A$2:$A$12001,'إعدادات المخزون'!$B$4-1)&gt;0,SUMIFS('جرد فعلي'!$D$2:$D$12001,'جرد فعلي'!$B$2:$B$12001,$B$2,'جرد فعلي'!$C$2:$C$12001,$A81,'جرد فعلي'!$A$2:$A$12001,'إعدادات المخزون'!$B$4-1),"")</f>
        <v/>
      </c>
      <c r="S81" s="110" t="str">
        <f aca="false">IF(AND(K81="نعم",R81&lt;&gt;""),(L81-J81)-(R81-Q81),"")</f>
        <v/>
      </c>
      <c r="T81" s="109" t="str">
        <f aca="false">IF(S81="","",S81*C81)</f>
        <v/>
      </c>
      <c r="U81" s="110" t="n">
        <f aca="false">IF(K81="نعم",L81,J81)</f>
        <v>0.930044</v>
      </c>
      <c r="V81" s="110" t="n">
        <f aca="false">SUMPRODUCT('مصفوفة الاستهلاك'!$BX$2:$BX$190,'متجهات المبيعات'!$G$2:$G$190)/'مواد المخزون'!$D$76/MAX(1,MIN('إعدادات المخزون'!$B$11,'إعدادات المخزون'!$B$4-'إعدادات المخزون'!$B$5+1))</f>
        <v>0.139163</v>
      </c>
      <c r="W81" s="110" t="n">
        <f aca="false">IF(V81&lt;=0,0,ROUNDUP(MAX(0,V81*('إعدادات المخزون'!$B$8+'إعدادات المخزون'!$B$9+'إعدادات المخزون'!$B$10)-MAX(U81,0))/'مواد المخزون'!$F76,0)*'مواد المخزون'!$F76)</f>
        <v>0</v>
      </c>
      <c r="X81" s="109" t="n">
        <f aca="false">IF(AND(K81="نعم",O81&lt;0),-O81+ROW()*0.000000001,0)</f>
        <v>0</v>
      </c>
      <c r="Y81" s="109" t="n">
        <f aca="false">IF(AND(K81="نعم",O81&gt;0),O81+ROW()*0.000000001,0)</f>
        <v>0</v>
      </c>
      <c r="Z81" s="110" t="n">
        <f aca="false">SUMIFS('مشتريات يومية'!$D$2:$D$4001,'مشتريات يومية'!$B$2:$B$4001,$B$2,'مشتريات يومية'!$C$2:$C$4001,$A81,'مشتريات يومية'!$A$2:$A$4001,'إعدادات المخزون'!$B$4)+SUMIFS('هالك وتحويلات'!$E$2:$E$3001,'هالك وتحويلات'!$B$2:$B$3001,$B$2,'هالك وتحويلات'!$C$2:$C$3001,$A81,'هالك وتحويلات'!$D$2:$D$3001,"تحويل وارد",'هالك وتحويلات'!$A$2:$A$3001,'إعدادات المخزون'!$B$4)-SUMIFS('هالك وتحويلات'!$E$2:$E$3001,'هالك وتحويلات'!$B$2:$B$3001,$B$2,'هالك وتحويلات'!$C$2:$C$3001,$A81,'هالك وتحويلات'!$D$2:$D$3001,"تحويل صادر",'هالك وتحويلات'!$A$2:$A$3001,'إعدادات المخزون'!$B$4)-SUMIFS('هالك وتحويلات'!$E$2:$E$3001,'هالك وتحويلات'!$B$2:$B$3001,$B$2,'هالك وتحويلات'!$C$2:$C$3001,$A81,'هالك وتحويلات'!$D$2:$D$3001,"هالك",'هالك وتحويلات'!$A$2:$A$3001,'إعدادات المخزون'!$B$4)-SUMIFS('هالك وتحويلات'!$E$2:$E$3001,'هالك وتحويلات'!$B$2:$B$3001,$B$2,'هالك وتحويلات'!$C$2:$C$3001,$A81,'هالك وتحويلات'!$D$2:$D$3001,"ضيافة / أكل موظفين",'هالك وتحويلات'!$A$2:$A$3001,'إعدادات المخزون'!$B$4)-SUMPRODUCT('مصفوفة الاستهلاك'!$BX$2:$BX$190,'متجهات المبيعات'!$E$2:$E$190)/'مواد المخزون'!$D$76</f>
        <v>-0.139163</v>
      </c>
      <c r="AA81" s="109" t="n">
        <f aca="false">IF(K81="نعم",O81,0)</f>
        <v>0</v>
      </c>
      <c r="AB81" s="109" t="n">
        <f aca="false">IF(K81="نعم",J81*C81,0)</f>
        <v>0</v>
      </c>
      <c r="AC81" s="109" t="n">
        <f aca="false">IF(T81="",0,T81)</f>
        <v>0</v>
      </c>
    </row>
    <row r="82" customFormat="false" ht="15" hidden="false" customHeight="false" outlineLevel="0" collapsed="false">
      <c r="A82" s="34" t="str">
        <f aca="false">'مواد المخزون'!A77</f>
        <v>مكرونة خام</v>
      </c>
      <c r="B82" s="36" t="str">
        <f aca="false">'مواد المخزون'!B77</f>
        <v>كجم</v>
      </c>
      <c r="C82" s="109" t="n">
        <f aca="false">'مواد المخزون'!E77</f>
        <v>24</v>
      </c>
      <c r="D82" s="110" t="n">
        <f aca="false">'جرد أول المدة'!D80</f>
        <v>8.8</v>
      </c>
      <c r="E82" s="110" t="n">
        <f aca="false">SUMIFS('مشتريات يومية'!$D$2:$D$4001,'مشتريات يومية'!$B$2:$B$4001,$B$2,'مشتريات يومية'!$C$2:$C$4001,$A82,'مشتريات يومية'!$A$2:$A$4001,"&gt;="&amp;'إعدادات المخزون'!$B$5,'مشتريات يومية'!$A$2:$A$4001,"&lt;="&amp;'إعدادات المخزون'!$B$4)</f>
        <v>10</v>
      </c>
      <c r="F82" s="110" t="n">
        <f aca="false">SUMIFS('هالك وتحويلات'!$E$2:$E$3001,'هالك وتحويلات'!$B$2:$B$3001,$B$2,'هالك وتحويلات'!$C$2:$C$3001,$A82,'هالك وتحويلات'!$D$2:$D$3001,"تحويل وارد",'هالك وتحويلات'!$A$2:$A$3001,"&gt;="&amp;'إعدادات المخزون'!$B$5,'هالك وتحويلات'!$A$2:$A$3001,"&lt;="&amp;'إعدادات المخزون'!$B$4)</f>
        <v>0</v>
      </c>
      <c r="G82" s="110" t="n">
        <f aca="false">SUMIFS('هالك وتحويلات'!$E$2:$E$3001,'هالك وتحويلات'!$B$2:$B$3001,$B$2,'هالك وتحويلات'!$C$2:$C$3001,$A82,'هالك وتحويلات'!$D$2:$D$3001,"تحويل صادر",'هالك وتحويلات'!$A$2:$A$3001,"&gt;="&amp;'إعدادات المخزون'!$B$5,'هالك وتحويلات'!$A$2:$A$3001,"&lt;="&amp;'إعدادات المخزون'!$B$4)</f>
        <v>0</v>
      </c>
      <c r="H82" s="110" t="n">
        <f aca="false">SUMPRODUCT('مصفوفة الاستهلاك'!$BY$2:$BY$190,'متجهات المبيعات'!$F$2:$F$190)/'مواد المخزون'!$D$77</f>
        <v>6.89994</v>
      </c>
      <c r="I82" s="110" t="n">
        <f aca="false">SUMIFS('هالك وتحويلات'!$E$2:$E$3001,'هالك وتحويلات'!$B$2:$B$3001,$B$2,'هالك وتحويلات'!$C$2:$C$3001,$A82,'هالك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وتحويلات'!$C$2:$C$3001,$A82,'هالك وتحويلات'!$D$2:$D$3001,"ضيافة / أكل موظفين",'هالك وتحويلات'!$A$2:$A$3001,"&gt;="&amp;'إعدادات المخزون'!$B$5,'هالك وتحويلات'!$A$2:$A$3001,"&lt;="&amp;'إعدادات المخزون'!$B$4)</f>
        <v>0</v>
      </c>
      <c r="J82" s="110" t="n">
        <f aca="false">D82+E82+F82-G82-H82-I82</f>
        <v>11.90006</v>
      </c>
      <c r="K82" s="36" t="str">
        <f aca="false">IF(COUNTIFS('جرد فعلي'!$B$2:$B$12001,$B$2,'جرد فعلي'!$C$2:$C$12001,$A82,'جرد فعلي'!$A$2:$A$12001,'إعدادات المخزون'!$B$4)&gt;0,"نعم","لا")</f>
        <v>لا</v>
      </c>
      <c r="L82" s="111" t="str">
        <f aca="false">IF(K82="نعم",SUMIFS('جرد فعلي'!$D$2:$D$12001,'جرد فعلي'!$B$2:$B$12001,$B$2,'جرد فعلي'!$C$2:$C$12001,$A82,'جرد فعلي'!$A$2:$A$12001,'إعدادات المخزون'!$B$4),"")</f>
        <v/>
      </c>
      <c r="M82" s="110" t="str">
        <f aca="false">IF(K82="نعم",L82-J82,"")</f>
        <v/>
      </c>
      <c r="N82" s="112" t="str">
        <f aca="false">IF(K82="نعم",IF(J82=0,IF(M82=0,0,SIGN(M82)),M82/ABS(J82)),"")</f>
        <v/>
      </c>
      <c r="O82" s="109" t="str">
        <f aca="false">IF(K82="نعم",M82*C82,"")</f>
        <v/>
      </c>
      <c r="P82" s="36" t="str">
        <f aca="false">IF(K82&lt;&gt;"نعم","لم يُجرد",IF(ABS(N82)&lt;='إعدادات المخزون'!$B$7,"مطابق",IF(M82&lt;0,"عجز","زيادة")))</f>
        <v>لم يُجرد</v>
      </c>
      <c r="Q82" s="110" t="n">
        <f aca="false">J82-Z82</f>
        <v>12.475055</v>
      </c>
      <c r="R82" s="110" t="str">
        <f aca="false">IF(COUNTIFS('جرد فعلي'!$B$2:$B$12001,$B$2,'جرد فعلي'!$C$2:$C$12001,$A82,'جرد فعلي'!$A$2:$A$12001,'إعدادات المخزون'!$B$4-1)&gt;0,SUMIFS('جرد فعلي'!$D$2:$D$12001,'جرد فعلي'!$B$2:$B$12001,$B$2,'جرد فعلي'!$C$2:$C$12001,$A82,'جرد فعلي'!$A$2:$A$12001,'إعدادات المخزون'!$B$4-1),"")</f>
        <v/>
      </c>
      <c r="S82" s="110" t="str">
        <f aca="false">IF(AND(K82="نعم",R82&lt;&gt;""),(L82-J82)-(R82-Q82),"")</f>
        <v/>
      </c>
      <c r="T82" s="109" t="str">
        <f aca="false">IF(S82="","",S82*C82)</f>
        <v/>
      </c>
      <c r="U82" s="110" t="n">
        <f aca="false">IF(K82="نعم",L82,J82)</f>
        <v>11.90006</v>
      </c>
      <c r="V82" s="110" t="n">
        <f aca="false">SUMPRODUCT('مصفوفة الاستهلاك'!$BY$2:$BY$190,'متجهات المبيعات'!$G$2:$G$190)/'مواد المخزون'!$D$77/MAX(1,MIN('إعدادات المخزون'!$B$11,'إعدادات المخزون'!$B$4-'إعدادات المخزون'!$B$5+1))</f>
        <v>0.574995</v>
      </c>
      <c r="W82" s="110" t="n">
        <f aca="false">IF(V82&lt;=0,0,ROUNDUP(MAX(0,V82*('إعدادات المخزون'!$B$8+'إعدادات المخزون'!$B$9+'إعدادات المخزون'!$B$10)-MAX(U82,0))/'مواد المخزون'!$F77,0)*'مواد المخزون'!$F77)</f>
        <v>0</v>
      </c>
      <c r="X82" s="109" t="n">
        <f aca="false">IF(AND(K82="نعم",O82&lt;0),-O82+ROW()*0.000000001,0)</f>
        <v>0</v>
      </c>
      <c r="Y82" s="109" t="n">
        <f aca="false">IF(AND(K82="نعم",O82&gt;0),O82+ROW()*0.000000001,0)</f>
        <v>0</v>
      </c>
      <c r="Z82" s="110" t="n">
        <f aca="false">SUMIFS('مشتريات يومية'!$D$2:$D$4001,'مشتريات يومية'!$B$2:$B$4001,$B$2,'مشتريات يومية'!$C$2:$C$4001,$A82,'مشتريات يومية'!$A$2:$A$4001,'إعدادات المخزون'!$B$4)+SUMIFS('هالك وتحويلات'!$E$2:$E$3001,'هالك وتحويلات'!$B$2:$B$3001,$B$2,'هالك وتحويلات'!$C$2:$C$3001,$A82,'هالك وتحويلات'!$D$2:$D$3001,"تحويل وارد",'هالك وتحويلات'!$A$2:$A$3001,'إعدادات المخزون'!$B$4)-SUMIFS('هالك وتحويلات'!$E$2:$E$3001,'هالك وتحويلات'!$B$2:$B$3001,$B$2,'هالك وتحويلات'!$C$2:$C$3001,$A82,'هالك وتحويلات'!$D$2:$D$3001,"تحويل صادر",'هالك وتحويلات'!$A$2:$A$3001,'إعدادات المخزون'!$B$4)-SUMIFS('هالك وتحويلات'!$E$2:$E$3001,'هالك وتحويلات'!$B$2:$B$3001,$B$2,'هالك وتحويلات'!$C$2:$C$3001,$A82,'هالك وتحويلات'!$D$2:$D$3001,"هالك",'هالك وتحويلات'!$A$2:$A$3001,'إعدادات المخزون'!$B$4)-SUMIFS('هالك وتحويلات'!$E$2:$E$3001,'هالك وتحويلات'!$B$2:$B$3001,$B$2,'هالك وتحويلات'!$C$2:$C$3001,$A82,'هالك وتحويلات'!$D$2:$D$3001,"ضيافة / أكل موظفين",'هالك وتحويلات'!$A$2:$A$3001,'إعدادات المخزون'!$B$4)-SUMPRODUCT('مصفوفة الاستهلاك'!$BY$2:$BY$190,'متجهات المبيعات'!$E$2:$E$190)/'مواد المخزون'!$D$77</f>
        <v>-0.574995</v>
      </c>
      <c r="AA82" s="109" t="n">
        <f aca="false">IF(K82="نعم",O82,0)</f>
        <v>0</v>
      </c>
      <c r="AB82" s="109" t="n">
        <f aca="false">IF(K82="نعم",J82*C82,0)</f>
        <v>0</v>
      </c>
      <c r="AC82" s="109" t="n">
        <f aca="false">IF(T82="",0,T82)</f>
        <v>0</v>
      </c>
    </row>
    <row r="83" customFormat="false" ht="15" hidden="false" customHeight="false" outlineLevel="0" collapsed="false">
      <c r="A83" s="34" t="str">
        <f aca="false">'مواد المخزون'!A78</f>
        <v>نوتيلا كيلو</v>
      </c>
      <c r="B83" s="36" t="str">
        <f aca="false">'مواد المخزون'!B78</f>
        <v>كجم</v>
      </c>
      <c r="C83" s="109" t="n">
        <f aca="false">'مواد المخزون'!E78</f>
        <v>610</v>
      </c>
      <c r="D83" s="110" t="n">
        <f aca="false">'جرد أول المدة'!D81</f>
        <v>1</v>
      </c>
      <c r="E83" s="110" t="n">
        <f aca="false">SUMIFS('مشتريات يومية'!$D$2:$D$4001,'مشتريات يومية'!$B$2:$B$4001,$B$2,'مشتريات يومية'!$C$2:$C$4001,$A83,'مشتريات يومية'!$A$2:$A$4001,"&gt;="&amp;'إعدادات المخزون'!$B$5,'مشتريات يومية'!$A$2:$A$4001,"&lt;="&amp;'إعدادات المخزون'!$B$4)</f>
        <v>1</v>
      </c>
      <c r="F83" s="110" t="n">
        <f aca="false">SUMIFS('هالك وتحويلات'!$E$2:$E$3001,'هالك وتحويلات'!$B$2:$B$3001,$B$2,'هالك وتحويلات'!$C$2:$C$3001,$A83,'هالك وتحويلات'!$D$2:$D$3001,"تحويل وارد",'هالك وتحويلات'!$A$2:$A$3001,"&gt;="&amp;'إعدادات المخزون'!$B$5,'هالك وتحويلات'!$A$2:$A$3001,"&lt;="&amp;'إعدادات المخزون'!$B$4)</f>
        <v>0</v>
      </c>
      <c r="G83" s="110" t="n">
        <f aca="false">SUMIFS('هالك وتحويلات'!$E$2:$E$3001,'هالك وتحويلات'!$B$2:$B$3001,$B$2,'هالك وتحويلات'!$C$2:$C$3001,$A83,'هالك وتحويلات'!$D$2:$D$3001,"تحويل صادر",'هالك وتحويلات'!$A$2:$A$3001,"&gt;="&amp;'إعدادات المخزون'!$B$5,'هالك وتحويلات'!$A$2:$A$3001,"&lt;="&amp;'إعدادات المخزون'!$B$4)</f>
        <v>0</v>
      </c>
      <c r="H83" s="110" t="n">
        <f aca="false">SUMPRODUCT('مصفوفة الاستهلاك'!$BZ$2:$BZ$190,'متجهات المبيعات'!$F$2:$F$190)/'مواد المخزون'!$D$78</f>
        <v>1.119936</v>
      </c>
      <c r="I83" s="110" t="n">
        <f aca="false">SUMIFS('هالك وتحويلات'!$E$2:$E$3001,'هالك وتحويلات'!$B$2:$B$3001,$B$2,'هالك وتحويلات'!$C$2:$C$3001,$A83,'هالك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وتحويلات'!$C$2:$C$3001,$A83,'هالك وتحويلات'!$D$2:$D$3001,"ضيافة / أكل موظفين",'هالك وتحويلات'!$A$2:$A$3001,"&gt;="&amp;'إعدادات المخزون'!$B$5,'هالك وتحويلات'!$A$2:$A$3001,"&lt;="&amp;'إعدادات المخزون'!$B$4)</f>
        <v>0</v>
      </c>
      <c r="J83" s="110" t="n">
        <f aca="false">D83+E83+F83-G83-H83-I83</f>
        <v>0.880064</v>
      </c>
      <c r="K83" s="36" t="str">
        <f aca="false">IF(COUNTIFS('جرد فعلي'!$B$2:$B$12001,$B$2,'جرد فعلي'!$C$2:$C$12001,$A83,'جرد فعلي'!$A$2:$A$12001,'إعدادات المخزون'!$B$4)&gt;0,"نعم","لا")</f>
        <v>لا</v>
      </c>
      <c r="L83" s="111" t="str">
        <f aca="false">IF(K83="نعم",SUMIFS('جرد فعلي'!$D$2:$D$12001,'جرد فعلي'!$B$2:$B$12001,$B$2,'جرد فعلي'!$C$2:$C$12001,$A83,'جرد فعلي'!$A$2:$A$12001,'إعدادات المخزون'!$B$4),"")</f>
        <v/>
      </c>
      <c r="M83" s="110" t="str">
        <f aca="false">IF(K83="نعم",L83-J83,"")</f>
        <v/>
      </c>
      <c r="N83" s="112" t="str">
        <f aca="false">IF(K83="نعم",IF(J83=0,IF(M83=0,0,SIGN(M83)),M83/ABS(J83)),"")</f>
        <v/>
      </c>
      <c r="O83" s="109" t="str">
        <f aca="false">IF(K83="نعم",M83*C83,"")</f>
        <v/>
      </c>
      <c r="P83" s="36" t="str">
        <f aca="false">IF(K83&lt;&gt;"نعم","لم يُجرد",IF(ABS(N83)&lt;='إعدادات المخزون'!$B$7,"مطابق",IF(M83&lt;0,"عجز","زيادة")))</f>
        <v>لم يُجرد</v>
      </c>
      <c r="Q83" s="110" t="n">
        <f aca="false">J83-Z83</f>
        <v>0.973392</v>
      </c>
      <c r="R83" s="110" t="str">
        <f aca="false">IF(COUNTIFS('جرد فعلي'!$B$2:$B$12001,$B$2,'جرد فعلي'!$C$2:$C$12001,$A83,'جرد فعلي'!$A$2:$A$12001,'إعدادات المخزون'!$B$4-1)&gt;0,SUMIFS('جرد فعلي'!$D$2:$D$12001,'جرد فعلي'!$B$2:$B$12001,$B$2,'جرد فعلي'!$C$2:$C$12001,$A83,'جرد فعلي'!$A$2:$A$12001,'إعدادات المخزون'!$B$4-1),"")</f>
        <v/>
      </c>
      <c r="S83" s="110" t="str">
        <f aca="false">IF(AND(K83="نعم",R83&lt;&gt;""),(L83-J83)-(R83-Q83),"")</f>
        <v/>
      </c>
      <c r="T83" s="109" t="str">
        <f aca="false">IF(S83="","",S83*C83)</f>
        <v/>
      </c>
      <c r="U83" s="110" t="n">
        <f aca="false">IF(K83="نعم",L83,J83)</f>
        <v>0.880064</v>
      </c>
      <c r="V83" s="110" t="n">
        <f aca="false">SUMPRODUCT('مصفوفة الاستهلاك'!$BZ$2:$BZ$190,'متجهات المبيعات'!$G$2:$G$190)/'مواد المخزون'!$D$78/MAX(1,MIN('إعدادات المخزون'!$B$11,'إعدادات المخزون'!$B$4-'إعدادات المخزون'!$B$5+1))</f>
        <v>0.093328</v>
      </c>
      <c r="W83" s="110" t="n">
        <f aca="false">IF(V83&lt;=0,0,ROUNDUP(MAX(0,V83*('إعدادات المخزون'!$B$8+'إعدادات المخزون'!$B$9+'إعدادات المخزون'!$B$10)-MAX(U83,0))/'مواد المخزون'!$F78,0)*'مواد المخزون'!$F78)</f>
        <v>0</v>
      </c>
      <c r="X83" s="109" t="n">
        <f aca="false">IF(AND(K83="نعم",O83&lt;0),-O83+ROW()*0.000000001,0)</f>
        <v>0</v>
      </c>
      <c r="Y83" s="109" t="n">
        <f aca="false">IF(AND(K83="نعم",O83&gt;0),O83+ROW()*0.000000001,0)</f>
        <v>0</v>
      </c>
      <c r="Z83" s="110" t="n">
        <f aca="false">SUMIFS('مشتريات يومية'!$D$2:$D$4001,'مشتريات يومية'!$B$2:$B$4001,$B$2,'مشتريات يومية'!$C$2:$C$4001,$A83,'مشتريات يومية'!$A$2:$A$4001,'إعدادات المخزون'!$B$4)+SUMIFS('هالك وتحويلات'!$E$2:$E$3001,'هالك وتحويلات'!$B$2:$B$3001,$B$2,'هالك وتحويلات'!$C$2:$C$3001,$A83,'هالك وتحويلات'!$D$2:$D$3001,"تحويل وارد",'هالك وتحويلات'!$A$2:$A$3001,'إعدادات المخزون'!$B$4)-SUMIFS('هالك وتحويلات'!$E$2:$E$3001,'هالك وتحويلات'!$B$2:$B$3001,$B$2,'هالك وتحويلات'!$C$2:$C$3001,$A83,'هالك وتحويلات'!$D$2:$D$3001,"تحويل صادر",'هالك وتحويلات'!$A$2:$A$3001,'إعدادات المخزون'!$B$4)-SUMIFS('هالك وتحويلات'!$E$2:$E$3001,'هالك وتحويلات'!$B$2:$B$3001,$B$2,'هالك وتحويلات'!$C$2:$C$3001,$A83,'هالك وتحويلات'!$D$2:$D$3001,"هالك",'هالك وتحويلات'!$A$2:$A$3001,'إعدادات المخزون'!$B$4)-SUMIFS('هالك وتحويلات'!$E$2:$E$3001,'هالك وتحويلات'!$B$2:$B$3001,$B$2,'هالك وتحويلات'!$C$2:$C$3001,$A83,'هالك وتحويلات'!$D$2:$D$3001,"ضيافة / أكل موظفين",'هالك وتحويلات'!$A$2:$A$3001,'إعدادات المخزون'!$B$4)-SUMPRODUCT('مصفوفة الاستهلاك'!$BZ$2:$BZ$190,'متجهات المبيعات'!$E$2:$E$190)/'مواد المخزون'!$D$78</f>
        <v>-0.093328</v>
      </c>
      <c r="AA83" s="109" t="n">
        <f aca="false">IF(K83="نعم",O83,0)</f>
        <v>0</v>
      </c>
      <c r="AB83" s="109" t="n">
        <f aca="false">IF(K83="نعم",J83*C83,0)</f>
        <v>0</v>
      </c>
      <c r="AC83" s="109" t="n">
        <f aca="false">IF(T83="",0,T83)</f>
        <v>0</v>
      </c>
    </row>
    <row r="84" customFormat="false" ht="15" hidden="false" customHeight="false" outlineLevel="0" collapsed="false">
      <c r="A84" s="34" t="str">
        <f aca="false">'مواد المخزون'!A79</f>
        <v>ورق زبدة وسط كيلو 500 ورقة</v>
      </c>
      <c r="B84" s="36" t="str">
        <f aca="false">'مواد المخزون'!B79</f>
        <v>كجم</v>
      </c>
      <c r="C84" s="109" t="n">
        <f aca="false">'مواد المخزون'!E79</f>
        <v>45.8125</v>
      </c>
      <c r="D84" s="110" t="n">
        <f aca="false">'جرد أول المدة'!D82</f>
        <v>6.143</v>
      </c>
      <c r="E84" s="110" t="n">
        <f aca="false">SUMIFS('مشتريات يومية'!$D$2:$D$4001,'مشتريات يومية'!$B$2:$B$4001,$B$2,'مشتريات يومية'!$C$2:$C$4001,$A84,'مشتريات يومية'!$A$2:$A$4001,"&gt;="&amp;'إعدادات المخزون'!$B$5,'مشتريات يومية'!$A$2:$A$4001,"&lt;="&amp;'إعدادات المخزون'!$B$4)</f>
        <v>1</v>
      </c>
      <c r="F84" s="110" t="n">
        <f aca="false">SUMIFS('هالك وتحويلات'!$E$2:$E$3001,'هالك وتحويلات'!$B$2:$B$3001,$B$2,'هالك وتحويلات'!$C$2:$C$3001,$A84,'هالك وتحويلات'!$D$2:$D$3001,"تحويل وارد",'هالك وتحويلات'!$A$2:$A$3001,"&gt;="&amp;'إعدادات المخزون'!$B$5,'هالك وتحويلات'!$A$2:$A$3001,"&lt;="&amp;'إعدادات المخزون'!$B$4)</f>
        <v>0</v>
      </c>
      <c r="G84" s="110" t="n">
        <f aca="false">SUMIFS('هالك وتحويلات'!$E$2:$E$3001,'هالك وتحويلات'!$B$2:$B$3001,$B$2,'هالك وتحويلات'!$C$2:$C$3001,$A84,'هالك وتحويلات'!$D$2:$D$3001,"تحويل صادر",'هالك وتحويلات'!$A$2:$A$3001,"&gt;="&amp;'إعدادات المخزون'!$B$5,'هالك وتحويلات'!$A$2:$A$3001,"&lt;="&amp;'إعدادات المخزون'!$B$4)</f>
        <v>0</v>
      </c>
      <c r="H84" s="110" t="n">
        <f aca="false">SUMPRODUCT('مصفوفة الاستهلاك'!$CA$2:$CA$190,'متجهات المبيعات'!$F$2:$F$190)/'مواد المخزون'!$D$79</f>
        <v>12.4520016</v>
      </c>
      <c r="I84" s="110" t="n">
        <f aca="false">SUMIFS('هالك وتحويلات'!$E$2:$E$3001,'هالك وتحويلات'!$B$2:$B$3001,$B$2,'هالك وتحويلات'!$C$2:$C$3001,$A84,'هالك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وتحويلات'!$C$2:$C$3001,$A84,'هالك وتحويلات'!$D$2:$D$3001,"ضيافة / أكل موظفين",'هالك وتحويلات'!$A$2:$A$3001,"&gt;="&amp;'إعدادات المخزون'!$B$5,'هالك وتحويلات'!$A$2:$A$3001,"&lt;="&amp;'إعدادات المخزون'!$B$4)</f>
        <v>0</v>
      </c>
      <c r="J84" s="110" t="n">
        <f aca="false">D84+E84+F84-G84-H84-I84</f>
        <v>-5.3090016</v>
      </c>
      <c r="K84" s="36" t="str">
        <f aca="false">IF(COUNTIFS('جرد فعلي'!$B$2:$B$12001,$B$2,'جرد فعلي'!$C$2:$C$12001,$A84,'جرد فعلي'!$A$2:$A$12001,'إعدادات المخزون'!$B$4)&gt;0,"نعم","لا")</f>
        <v>لا</v>
      </c>
      <c r="L84" s="111" t="str">
        <f aca="false">IF(K84="نعم",SUMIFS('جرد فعلي'!$D$2:$D$12001,'جرد فعلي'!$B$2:$B$12001,$B$2,'جرد فعلي'!$C$2:$C$12001,$A84,'جرد فعلي'!$A$2:$A$12001,'إعدادات المخزون'!$B$4),"")</f>
        <v/>
      </c>
      <c r="M84" s="110" t="str">
        <f aca="false">IF(K84="نعم",L84-J84,"")</f>
        <v/>
      </c>
      <c r="N84" s="112" t="str">
        <f aca="false">IF(K84="نعم",IF(J84=0,IF(M84=0,0,SIGN(M84)),M84/ABS(J84)),"")</f>
        <v/>
      </c>
      <c r="O84" s="109" t="str">
        <f aca="false">IF(K84="نعم",M84*C84,"")</f>
        <v/>
      </c>
      <c r="P84" s="36" t="str">
        <f aca="false">IF(K84&lt;&gt;"نعم","لم يُجرد",IF(ABS(N84)&lt;='إعدادات المخزون'!$B$7,"مطابق",IF(M84&lt;0,"عجز","زيادة")))</f>
        <v>لم يُجرد</v>
      </c>
      <c r="Q84" s="110" t="n">
        <f aca="false">J84-Z84</f>
        <v>-4.2713348</v>
      </c>
      <c r="R84" s="110" t="str">
        <f aca="false">IF(COUNTIFS('جرد فعلي'!$B$2:$B$12001,$B$2,'جرد فعلي'!$C$2:$C$12001,$A84,'جرد فعلي'!$A$2:$A$12001,'إعدادات المخزون'!$B$4-1)&gt;0,SUMIFS('جرد فعلي'!$D$2:$D$12001,'جرد فعلي'!$B$2:$B$12001,$B$2,'جرد فعلي'!$C$2:$C$12001,$A84,'جرد فعلي'!$A$2:$A$12001,'إعدادات المخزون'!$B$4-1),"")</f>
        <v/>
      </c>
      <c r="S84" s="110" t="str">
        <f aca="false">IF(AND(K84="نعم",R84&lt;&gt;""),(L84-J84)-(R84-Q84),"")</f>
        <v/>
      </c>
      <c r="T84" s="109" t="str">
        <f aca="false">IF(S84="","",S84*C84)</f>
        <v/>
      </c>
      <c r="U84" s="110" t="n">
        <f aca="false">IF(K84="نعم",L84,J84)</f>
        <v>-5.3090016</v>
      </c>
      <c r="V84" s="110" t="n">
        <f aca="false">SUMPRODUCT('مصفوفة الاستهلاك'!$CA$2:$CA$190,'متجهات المبيعات'!$G$2:$G$190)/'مواد المخزون'!$D$79/MAX(1,MIN('إعدادات المخزون'!$B$11,'إعدادات المخزون'!$B$4-'إعدادات المخزون'!$B$5+1))</f>
        <v>1.0376668</v>
      </c>
      <c r="W84" s="110" t="n">
        <f aca="false">IF(V84&lt;=0,0,ROUNDUP(MAX(0,V84*('إعدادات المخزون'!$B$8+'إعدادات المخزون'!$B$9+'إعدادات المخزون'!$B$10)-MAX(U84,0))/'مواد المخزون'!$F79,0)*'مواد المخزون'!$F79)</f>
        <v>5</v>
      </c>
      <c r="X84" s="109" t="n">
        <f aca="false">IF(AND(K84="نعم",O84&lt;0),-O84+ROW()*0.000000001,0)</f>
        <v>0</v>
      </c>
      <c r="Y84" s="109" t="n">
        <f aca="false">IF(AND(K84="نعم",O84&gt;0),O84+ROW()*0.000000001,0)</f>
        <v>0</v>
      </c>
      <c r="Z84" s="110" t="n">
        <f aca="false">SUMIFS('مشتريات يومية'!$D$2:$D$4001,'مشتريات يومية'!$B$2:$B$4001,$B$2,'مشتريات يومية'!$C$2:$C$4001,$A84,'مشتريات يومية'!$A$2:$A$4001,'إعدادات المخزون'!$B$4)+SUMIFS('هالك وتحويلات'!$E$2:$E$3001,'هالك وتحويلات'!$B$2:$B$3001,$B$2,'هالك وتحويلات'!$C$2:$C$3001,$A84,'هالك وتحويلات'!$D$2:$D$3001,"تحويل وارد",'هالك وتحويلات'!$A$2:$A$3001,'إعدادات المخزون'!$B$4)-SUMIFS('هالك وتحويلات'!$E$2:$E$3001,'هالك وتحويلات'!$B$2:$B$3001,$B$2,'هالك وتحويلات'!$C$2:$C$3001,$A84,'هالك وتحويلات'!$D$2:$D$3001,"تحويل صادر",'هالك وتحويلات'!$A$2:$A$3001,'إعدادات المخزون'!$B$4)-SUMIFS('هالك وتحويلات'!$E$2:$E$3001,'هالك وتحويلات'!$B$2:$B$3001,$B$2,'هالك وتحويلات'!$C$2:$C$3001,$A84,'هالك وتحويلات'!$D$2:$D$3001,"هالك",'هالك وتحويلات'!$A$2:$A$3001,'إعدادات المخزون'!$B$4)-SUMIFS('هالك وتحويلات'!$E$2:$E$3001,'هالك وتحويلات'!$B$2:$B$3001,$B$2,'هالك وتحويلات'!$C$2:$C$3001,$A84,'هالك وتحويلات'!$D$2:$D$3001,"ضيافة / أكل موظفين",'هالك وتحويلات'!$A$2:$A$3001,'إعدادات المخزون'!$B$4)-SUMPRODUCT('مصفوفة الاستهلاك'!$CA$2:$CA$190,'متجهات المبيعات'!$E$2:$E$190)/'مواد المخزون'!$D$79</f>
        <v>-1.0376668</v>
      </c>
      <c r="AA84" s="109" t="n">
        <f aca="false">IF(K84="نعم",O84,0)</f>
        <v>0</v>
      </c>
      <c r="AB84" s="109" t="n">
        <f aca="false">IF(K84="نعم",J84*C84,0)</f>
        <v>0</v>
      </c>
      <c r="AC84" s="109" t="n">
        <f aca="false">IF(T84="",0,T84)</f>
        <v>0</v>
      </c>
    </row>
    <row r="85" customFormat="false" ht="15" hidden="false" customHeight="false" outlineLevel="0" collapsed="false">
      <c r="A85" s="34" t="str">
        <f aca="false">'مواد المخزون'!A80</f>
        <v>اكياس كفرات</v>
      </c>
      <c r="B85" s="36" t="str">
        <f aca="false">'مواد المخزون'!B80</f>
        <v>كجم</v>
      </c>
      <c r="C85" s="109" t="n">
        <f aca="false">'مواد المخزون'!E80</f>
        <v>200</v>
      </c>
      <c r="D85" s="110" t="n">
        <f aca="false">'جرد أول المدة'!D83</f>
        <v>7.55</v>
      </c>
      <c r="E85" s="110" t="n">
        <f aca="false">SUMIFS('مشتريات يومية'!$D$2:$D$4001,'مشتريات يومية'!$B$2:$B$4001,$B$2,'مشتريات يومية'!$C$2:$C$4001,$A85,'مشتريات يومية'!$A$2:$A$4001,"&gt;="&amp;'إعدادات المخزون'!$B$5,'مشتريات يومية'!$A$2:$A$4001,"&lt;="&amp;'إعدادات المخزون'!$B$4)</f>
        <v>0</v>
      </c>
      <c r="F85" s="110" t="n">
        <f aca="false">SUMIFS('هالك وتحويلات'!$E$2:$E$3001,'هالك وتحويلات'!$B$2:$B$3001,$B$2,'هالك وتحويلات'!$C$2:$C$3001,$A85,'هالك وتحويلات'!$D$2:$D$3001,"تحويل وارد",'هالك وتحويلات'!$A$2:$A$3001,"&gt;="&amp;'إعدادات المخزون'!$B$5,'هالك وتحويلات'!$A$2:$A$3001,"&lt;="&amp;'إعدادات المخزون'!$B$4)</f>
        <v>0</v>
      </c>
      <c r="G85" s="110" t="n">
        <f aca="false">SUMIFS('هالك وتحويلات'!$E$2:$E$3001,'هالك وتحويلات'!$B$2:$B$3001,$B$2,'هالك وتحويلات'!$C$2:$C$3001,$A85,'هالك وتحويلات'!$D$2:$D$3001,"تحويل صادر",'هالك وتحويلات'!$A$2:$A$3001,"&gt;="&amp;'إعدادات المخزون'!$B$5,'هالك وتحويلات'!$A$2:$A$3001,"&lt;="&amp;'إعدادات المخزون'!$B$4)</f>
        <v>0</v>
      </c>
      <c r="H85" s="110" t="n">
        <f aca="false">SUMPRODUCT('مصفوفة الاستهلاك'!$CB$2:$CB$190,'متجهات المبيعات'!$F$2:$F$190)/'مواد المخزون'!$D$80</f>
        <v>7.782501</v>
      </c>
      <c r="I85" s="110" t="n">
        <f aca="false">SUMIFS('هالك وتحويلات'!$E$2:$E$3001,'هالك وتحويلات'!$B$2:$B$3001,$B$2,'هالك وتحويلات'!$C$2:$C$3001,$A85,'هالك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وتحويلات'!$C$2:$C$3001,$A85,'هالك وتحويلات'!$D$2:$D$3001,"ضيافة / أكل موظفين",'هالك وتحويلات'!$A$2:$A$3001,"&gt;="&amp;'إعدادات المخزون'!$B$5,'هالك وتحويلات'!$A$2:$A$3001,"&lt;="&amp;'إعدادات المخزون'!$B$4)</f>
        <v>0</v>
      </c>
      <c r="J85" s="110" t="n">
        <f aca="false">D85+E85+F85-G85-H85-I85</f>
        <v>-0.232501</v>
      </c>
      <c r="K85" s="36" t="str">
        <f aca="false">IF(COUNTIFS('جرد فعلي'!$B$2:$B$12001,$B$2,'جرد فعلي'!$C$2:$C$12001,$A85,'جرد فعلي'!$A$2:$A$12001,'إعدادات المخزون'!$B$4)&gt;0,"نعم","لا")</f>
        <v>لا</v>
      </c>
      <c r="L85" s="111" t="str">
        <f aca="false">IF(K85="نعم",SUMIFS('جرد فعلي'!$D$2:$D$12001,'جرد فعلي'!$B$2:$B$12001,$B$2,'جرد فعلي'!$C$2:$C$12001,$A85,'جرد فعلي'!$A$2:$A$12001,'إعدادات المخزون'!$B$4),"")</f>
        <v/>
      </c>
      <c r="M85" s="110" t="str">
        <f aca="false">IF(K85="نعم",L85-J85,"")</f>
        <v/>
      </c>
      <c r="N85" s="112" t="str">
        <f aca="false">IF(K85="نعم",IF(J85=0,IF(M85=0,0,SIGN(M85)),M85/ABS(J85)),"")</f>
        <v/>
      </c>
      <c r="O85" s="109" t="str">
        <f aca="false">IF(K85="نعم",M85*C85,"")</f>
        <v/>
      </c>
      <c r="P85" s="36" t="str">
        <f aca="false">IF(K85&lt;&gt;"نعم","لم يُجرد",IF(ABS(N85)&lt;='إعدادات المخزون'!$B$7,"مطابق",IF(M85&lt;0,"عجز","زيادة")))</f>
        <v>لم يُجرد</v>
      </c>
      <c r="Q85" s="110" t="n">
        <f aca="false">J85-Z85</f>
        <v>0.41604075</v>
      </c>
      <c r="R85" s="110" t="str">
        <f aca="false">IF(COUNTIFS('جرد فعلي'!$B$2:$B$12001,$B$2,'جرد فعلي'!$C$2:$C$12001,$A85,'جرد فعلي'!$A$2:$A$12001,'إعدادات المخزون'!$B$4-1)&gt;0,SUMIFS('جرد فعلي'!$D$2:$D$12001,'جرد فعلي'!$B$2:$B$12001,$B$2,'جرد فعلي'!$C$2:$C$12001,$A85,'جرد فعلي'!$A$2:$A$12001,'إعدادات المخزون'!$B$4-1),"")</f>
        <v/>
      </c>
      <c r="S85" s="110" t="str">
        <f aca="false">IF(AND(K85="نعم",R85&lt;&gt;""),(L85-J85)-(R85-Q85),"")</f>
        <v/>
      </c>
      <c r="T85" s="109" t="str">
        <f aca="false">IF(S85="","",S85*C85)</f>
        <v/>
      </c>
      <c r="U85" s="110" t="n">
        <f aca="false">IF(K85="نعم",L85,J85)</f>
        <v>-0.232501</v>
      </c>
      <c r="V85" s="110" t="n">
        <f aca="false">SUMPRODUCT('مصفوفة الاستهلاك'!$CB$2:$CB$190,'متجهات المبيعات'!$G$2:$G$190)/'مواد المخزون'!$D$80/MAX(1,MIN('إعدادات المخزون'!$B$11,'إعدادات المخزون'!$B$4-'إعدادات المخزون'!$B$5+1))</f>
        <v>0.64854175</v>
      </c>
      <c r="W85" s="110" t="n">
        <f aca="false">IF(V85&lt;=0,0,ROUNDUP(MAX(0,V85*('إعدادات المخزون'!$B$8+'إعدادات المخزون'!$B$9+'إعدادات المخزون'!$B$10)-MAX(U85,0))/'مواد المخزون'!$F80,0)*'مواد المخزون'!$F80)</f>
        <v>3</v>
      </c>
      <c r="X85" s="109" t="n">
        <f aca="false">IF(AND(K85="نعم",O85&lt;0),-O85+ROW()*0.000000001,0)</f>
        <v>0</v>
      </c>
      <c r="Y85" s="109" t="n">
        <f aca="false">IF(AND(K85="نعم",O85&gt;0),O85+ROW()*0.000000001,0)</f>
        <v>0</v>
      </c>
      <c r="Z85" s="110" t="n">
        <f aca="false">SUMIFS('مشتريات يومية'!$D$2:$D$4001,'مشتريات يومية'!$B$2:$B$4001,$B$2,'مشتريات يومية'!$C$2:$C$4001,$A85,'مشتريات يومية'!$A$2:$A$4001,'إعدادات المخزون'!$B$4)+SUMIFS('هالك وتحويلات'!$E$2:$E$3001,'هالك وتحويلات'!$B$2:$B$3001,$B$2,'هالك وتحويلات'!$C$2:$C$3001,$A85,'هالك وتحويلات'!$D$2:$D$3001,"تحويل وارد",'هالك وتحويلات'!$A$2:$A$3001,'إعدادات المخزون'!$B$4)-SUMIFS('هالك وتحويلات'!$E$2:$E$3001,'هالك وتحويلات'!$B$2:$B$3001,$B$2,'هالك وتحويلات'!$C$2:$C$3001,$A85,'هالك وتحويلات'!$D$2:$D$3001,"تحويل صادر",'هالك وتحويلات'!$A$2:$A$3001,'إعدادات المخزون'!$B$4)-SUMIFS('هالك وتحويلات'!$E$2:$E$3001,'هالك وتحويلات'!$B$2:$B$3001,$B$2,'هالك وتحويلات'!$C$2:$C$3001,$A85,'هالك وتحويلات'!$D$2:$D$3001,"هالك",'هالك وتحويلات'!$A$2:$A$3001,'إعدادات المخزون'!$B$4)-SUMIFS('هالك وتحويلات'!$E$2:$E$3001,'هالك وتحويلات'!$B$2:$B$3001,$B$2,'هالك وتحويلات'!$C$2:$C$3001,$A85,'هالك وتحويلات'!$D$2:$D$3001,"ضيافة / أكل موظفين",'هالك وتحويلات'!$A$2:$A$3001,'إعدادات المخزون'!$B$4)-SUMPRODUCT('مصفوفة الاستهلاك'!$CB$2:$CB$190,'متجهات المبيعات'!$E$2:$E$190)/'مواد المخزون'!$D$80</f>
        <v>-0.64854175</v>
      </c>
      <c r="AA85" s="109" t="n">
        <f aca="false">IF(K85="نعم",O85,0)</f>
        <v>0</v>
      </c>
      <c r="AB85" s="109" t="n">
        <f aca="false">IF(K85="نعم",J85*C85,0)</f>
        <v>0</v>
      </c>
      <c r="AC85" s="109" t="n">
        <f aca="false">IF(T85="",0,T85)</f>
        <v>0</v>
      </c>
    </row>
    <row r="86" customFormat="false" ht="15" hidden="false" customHeight="false" outlineLevel="0" collapsed="false">
      <c r="A86" s="34" t="str">
        <f aca="false">'مواد المخزون'!A81</f>
        <v>علبة كاليزوني</v>
      </c>
      <c r="B86" s="36" t="str">
        <f aca="false">'مواد المخزون'!B81</f>
        <v>قطعة</v>
      </c>
      <c r="C86" s="109" t="n">
        <f aca="false">'مواد المخزون'!E81</f>
        <v>4.47</v>
      </c>
      <c r="D86" s="110" t="n">
        <f aca="false">'جرد أول المدة'!D84</f>
        <v>1800</v>
      </c>
      <c r="E86" s="110" t="n">
        <f aca="false">SUMIFS('مشتريات يومية'!$D$2:$D$4001,'مشتريات يومية'!$B$2:$B$4001,$B$2,'مشتريات يومية'!$C$2:$C$4001,$A86,'مشتريات يومية'!$A$2:$A$4001,"&gt;="&amp;'إعدادات المخزون'!$B$5,'مشتريات يومية'!$A$2:$A$4001,"&lt;="&amp;'إعدادات المخزون'!$B$4)</f>
        <v>0</v>
      </c>
      <c r="F86" s="110" t="n">
        <f aca="false">SUMIFS('هالك وتحويلات'!$E$2:$E$3001,'هالك وتحويلات'!$B$2:$B$3001,$B$2,'هالك وتحويلات'!$C$2:$C$3001,$A86,'هالك وتحويلات'!$D$2:$D$3001,"تحويل وارد",'هالك وتحويلات'!$A$2:$A$3001,"&gt;="&amp;'إعدادات المخزون'!$B$5,'هالك وتحويلات'!$A$2:$A$3001,"&lt;="&amp;'إعدادات المخزون'!$B$4)</f>
        <v>0</v>
      </c>
      <c r="G86" s="110" t="n">
        <f aca="false">SUMIFS('هالك وتحويلات'!$E$2:$E$3001,'هالك وتحويلات'!$B$2:$B$3001,$B$2,'هالك وتحويلات'!$C$2:$C$3001,$A86,'هالك وتحويلات'!$D$2:$D$3001,"تحويل صادر",'هالك وتحويلات'!$A$2:$A$3001,"&gt;="&amp;'إعدادات المخزون'!$B$5,'هالك وتحويلات'!$A$2:$A$3001,"&lt;="&amp;'إعدادات المخزون'!$B$4)</f>
        <v>0</v>
      </c>
      <c r="H86" s="110" t="n">
        <f aca="false">SUMPRODUCT('مصفوفة الاستهلاك'!$CC$2:$CC$190,'متجهات المبيعات'!$F$2:$F$190)/'مواد المخزون'!$D$81</f>
        <v>45.9996</v>
      </c>
      <c r="I86" s="110" t="n">
        <f aca="false">SUMIFS('هالك وتحويلات'!$E$2:$E$3001,'هالك وتحويلات'!$B$2:$B$3001,$B$2,'هالك وتحويلات'!$C$2:$C$3001,$A86,'هالك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وتحويلات'!$C$2:$C$3001,$A86,'هالك وتحويلات'!$D$2:$D$3001,"ضيافة / أكل موظفين",'هالك وتحويلات'!$A$2:$A$3001,"&gt;="&amp;'إعدادات المخزون'!$B$5,'هالك وتحويلات'!$A$2:$A$3001,"&lt;="&amp;'إعدادات المخزون'!$B$4)</f>
        <v>0</v>
      </c>
      <c r="J86" s="110" t="n">
        <f aca="false">D86+E86+F86-G86-H86-I86</f>
        <v>1754.0004</v>
      </c>
      <c r="K86" s="36" t="str">
        <f aca="false">IF(COUNTIFS('جرد فعلي'!$B$2:$B$12001,$B$2,'جرد فعلي'!$C$2:$C$12001,$A86,'جرد فعلي'!$A$2:$A$12001,'إعدادات المخزون'!$B$4)&gt;0,"نعم","لا")</f>
        <v>لا</v>
      </c>
      <c r="L86" s="111" t="str">
        <f aca="false">IF(K86="نعم",SUMIFS('جرد فعلي'!$D$2:$D$12001,'جرد فعلي'!$B$2:$B$12001,$B$2,'جرد فعلي'!$C$2:$C$12001,$A86,'جرد فعلي'!$A$2:$A$12001,'إعدادات المخزون'!$B$4),"")</f>
        <v/>
      </c>
      <c r="M86" s="110" t="str">
        <f aca="false">IF(K86="نعم",L86-J86,"")</f>
        <v/>
      </c>
      <c r="N86" s="112" t="str">
        <f aca="false">IF(K86="نعم",IF(J86=0,IF(M86=0,0,SIGN(M86)),M86/ABS(J86)),"")</f>
        <v/>
      </c>
      <c r="O86" s="109" t="str">
        <f aca="false">IF(K86="نعم",M86*C86,"")</f>
        <v/>
      </c>
      <c r="P86" s="36" t="str">
        <f aca="false">IF(K86&lt;&gt;"نعم","لم يُجرد",IF(ABS(N86)&lt;='إعدادات المخزون'!$B$7,"مطابق",IF(M86&lt;0,"عجز","زيادة")))</f>
        <v>لم يُجرد</v>
      </c>
      <c r="Q86" s="110" t="n">
        <f aca="false">J86-Z86</f>
        <v>1757.8337</v>
      </c>
      <c r="R86" s="110" t="str">
        <f aca="false">IF(COUNTIFS('جرد فعلي'!$B$2:$B$12001,$B$2,'جرد فعلي'!$C$2:$C$12001,$A86,'جرد فعلي'!$A$2:$A$12001,'إعدادات المخزون'!$B$4-1)&gt;0,SUMIFS('جرد فعلي'!$D$2:$D$12001,'جرد فعلي'!$B$2:$B$12001,$B$2,'جرد فعلي'!$C$2:$C$12001,$A86,'جرد فعلي'!$A$2:$A$12001,'إعدادات المخزون'!$B$4-1),"")</f>
        <v/>
      </c>
      <c r="S86" s="110" t="str">
        <f aca="false">IF(AND(K86="نعم",R86&lt;&gt;""),(L86-J86)-(R86-Q86),"")</f>
        <v/>
      </c>
      <c r="T86" s="109" t="str">
        <f aca="false">IF(S86="","",S86*C86)</f>
        <v/>
      </c>
      <c r="U86" s="110" t="n">
        <f aca="false">IF(K86="نعم",L86,J86)</f>
        <v>1754.0004</v>
      </c>
      <c r="V86" s="110" t="n">
        <f aca="false">SUMPRODUCT('مصفوفة الاستهلاك'!$CC$2:$CC$190,'متجهات المبيعات'!$G$2:$G$190)/'مواد المخزون'!$D$81/MAX(1,MIN('إعدادات المخزون'!$B$11,'إعدادات المخزون'!$B$4-'إعدادات المخزون'!$B$5+1))</f>
        <v>3.8333</v>
      </c>
      <c r="W86" s="110" t="n">
        <f aca="false">IF(V86&lt;=0,0,ROUNDUP(MAX(0,V86*('إعدادات المخزون'!$B$8+'إعدادات المخزون'!$B$9+'إعدادات المخزون'!$B$10)-MAX(U86,0))/'مواد المخزون'!$F81,0)*'مواد المخزون'!$F81)</f>
        <v>0</v>
      </c>
      <c r="X86" s="109" t="n">
        <f aca="false">IF(AND(K86="نعم",O86&lt;0),-O86+ROW()*0.000000001,0)</f>
        <v>0</v>
      </c>
      <c r="Y86" s="109" t="n">
        <f aca="false">IF(AND(K86="نعم",O86&gt;0),O86+ROW()*0.000000001,0)</f>
        <v>0</v>
      </c>
      <c r="Z86" s="110" t="n">
        <f aca="false">SUMIFS('مشتريات يومية'!$D$2:$D$4001,'مشتريات يومية'!$B$2:$B$4001,$B$2,'مشتريات يومية'!$C$2:$C$4001,$A86,'مشتريات يومية'!$A$2:$A$4001,'إعدادات المخزون'!$B$4)+SUMIFS('هالك وتحويلات'!$E$2:$E$3001,'هالك وتحويلات'!$B$2:$B$3001,$B$2,'هالك وتحويلات'!$C$2:$C$3001,$A86,'هالك وتحويلات'!$D$2:$D$3001,"تحويل وارد",'هالك وتحويلات'!$A$2:$A$3001,'إعدادات المخزون'!$B$4)-SUMIFS('هالك وتحويلات'!$E$2:$E$3001,'هالك وتحويلات'!$B$2:$B$3001,$B$2,'هالك وتحويلات'!$C$2:$C$3001,$A86,'هالك وتحويلات'!$D$2:$D$3001,"تحويل صادر",'هالك وتحويلات'!$A$2:$A$3001,'إعدادات المخزون'!$B$4)-SUMIFS('هالك وتحويلات'!$E$2:$E$3001,'هالك وتحويلات'!$B$2:$B$3001,$B$2,'هالك وتحويلات'!$C$2:$C$3001,$A86,'هالك وتحويلات'!$D$2:$D$3001,"هالك",'هالك وتحويلات'!$A$2:$A$3001,'إعدادات المخزون'!$B$4)-SUMIFS('هالك وتحويلات'!$E$2:$E$3001,'هالك وتحويلات'!$B$2:$B$3001,$B$2,'هالك وتحويلات'!$C$2:$C$3001,$A86,'هالك وتحويلات'!$D$2:$D$3001,"ضيافة / أكل موظفين",'هالك وتحويلات'!$A$2:$A$3001,'إعدادات المخزون'!$B$4)-SUMPRODUCT('مصفوفة الاستهلاك'!$CC$2:$CC$190,'متجهات المبيعات'!$E$2:$E$190)/'مواد المخزون'!$D$81</f>
        <v>-3.8333</v>
      </c>
      <c r="AA86" s="109" t="n">
        <f aca="false">IF(K86="نعم",O86,0)</f>
        <v>0</v>
      </c>
      <c r="AB86" s="109" t="n">
        <f aca="false">IF(K86="نعم",J86*C86,0)</f>
        <v>0</v>
      </c>
      <c r="AC86" s="109" t="n">
        <f aca="false">IF(T86="",0,T86)</f>
        <v>0</v>
      </c>
    </row>
    <row r="87" customFormat="false" ht="15" hidden="false" customHeight="false" outlineLevel="0" collapsed="false">
      <c r="A87" s="34" t="str">
        <f aca="false">'مواد المخزون'!A82</f>
        <v>سوسيس/سدق صيامي</v>
      </c>
      <c r="B87" s="36" t="str">
        <f aca="false">'مواد المخزون'!B82</f>
        <v>كجم</v>
      </c>
      <c r="C87" s="109" t="n">
        <f aca="false">'مواد المخزون'!E82</f>
        <v>220.02</v>
      </c>
      <c r="D87" s="110" t="n">
        <f aca="false">'جرد أول المدة'!D85</f>
        <v>2.7</v>
      </c>
      <c r="E87" s="110" t="n">
        <f aca="false">SUMIFS('مشتريات يومية'!$D$2:$D$4001,'مشتريات يومية'!$B$2:$B$4001,$B$2,'مشتريات يومية'!$C$2:$C$4001,$A87,'مشتريات يومية'!$A$2:$A$4001,"&gt;="&amp;'إعدادات المخزون'!$B$5,'مشتريات يومية'!$A$2:$A$4001,"&lt;="&amp;'إعدادات المخزون'!$B$4)</f>
        <v>0</v>
      </c>
      <c r="F87" s="110" t="n">
        <f aca="false">SUMIFS('هالك وتحويلات'!$E$2:$E$3001,'هالك وتحويلات'!$B$2:$B$3001,$B$2,'هالك وتحويلات'!$C$2:$C$3001,$A87,'هالك وتحويلات'!$D$2:$D$3001,"تحويل وارد",'هالك وتحويلات'!$A$2:$A$3001,"&gt;="&amp;'إعدادات المخزون'!$B$5,'هالك وتحويلات'!$A$2:$A$3001,"&lt;="&amp;'إعدادات المخزون'!$B$4)</f>
        <v>0</v>
      </c>
      <c r="G87" s="110" t="n">
        <f aca="false">SUMIFS('هالك وتحويلات'!$E$2:$E$3001,'هالك وتحويلات'!$B$2:$B$3001,$B$2,'هالك وتحويلات'!$C$2:$C$3001,$A87,'هالك وتحويلات'!$D$2:$D$3001,"تحويل صادر",'هالك وتحويلات'!$A$2:$A$3001,"&gt;="&amp;'إعدادات المخزون'!$B$5,'هالك وتحويلات'!$A$2:$A$3001,"&lt;="&amp;'إعدادات المخزون'!$B$4)</f>
        <v>0</v>
      </c>
      <c r="H87" s="110" t="n">
        <f aca="false">SUMPRODUCT('مصفوفة الاستهلاك'!$CD$2:$CD$190,'متجهات المبيعات'!$F$2:$F$190)/'مواد المخزون'!$D$82</f>
        <v>0</v>
      </c>
      <c r="I87" s="110" t="n">
        <f aca="false">SUMIFS('هالك وتحويلات'!$E$2:$E$3001,'هالك وتحويلات'!$B$2:$B$3001,$B$2,'هالك وتحويلات'!$C$2:$C$3001,$A87,'هالك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وتحويلات'!$C$2:$C$3001,$A87,'هالك وتحويلات'!$D$2:$D$3001,"ضيافة / أكل موظفين",'هالك وتحويلات'!$A$2:$A$3001,"&gt;="&amp;'إعدادات المخزون'!$B$5,'هالك وتحويلات'!$A$2:$A$3001,"&lt;="&amp;'إعدادات المخزون'!$B$4)</f>
        <v>0</v>
      </c>
      <c r="J87" s="110" t="n">
        <f aca="false">D87+E87+F87-G87-H87-I87</f>
        <v>2.7</v>
      </c>
      <c r="K87" s="36" t="str">
        <f aca="false">IF(COUNTIFS('جرد فعلي'!$B$2:$B$12001,$B$2,'جرد فعلي'!$C$2:$C$12001,$A87,'جرد فعلي'!$A$2:$A$12001,'إعدادات المخزون'!$B$4)&gt;0,"نعم","لا")</f>
        <v>لا</v>
      </c>
      <c r="L87" s="111" t="str">
        <f aca="false">IF(K87="نعم",SUMIFS('جرد فعلي'!$D$2:$D$12001,'جرد فعلي'!$B$2:$B$12001,$B$2,'جرد فعلي'!$C$2:$C$12001,$A87,'جرد فعلي'!$A$2:$A$12001,'إعدادات المخزون'!$B$4),"")</f>
        <v/>
      </c>
      <c r="M87" s="110" t="str">
        <f aca="false">IF(K87="نعم",L87-J87,"")</f>
        <v/>
      </c>
      <c r="N87" s="112" t="str">
        <f aca="false">IF(K87="نعم",IF(J87=0,IF(M87=0,0,SIGN(M87)),M87/ABS(J87)),"")</f>
        <v/>
      </c>
      <c r="O87" s="109" t="str">
        <f aca="false">IF(K87="نعم",M87*C87,"")</f>
        <v/>
      </c>
      <c r="P87" s="36" t="str">
        <f aca="false">IF(K87&lt;&gt;"نعم","لم يُجرد",IF(ABS(N87)&lt;='إعدادات المخزون'!$B$7,"مطابق",IF(M87&lt;0,"عجز","زيادة")))</f>
        <v>لم يُجرد</v>
      </c>
      <c r="Q87" s="110" t="n">
        <f aca="false">J87-Z87</f>
        <v>2.7</v>
      </c>
      <c r="R87" s="110" t="str">
        <f aca="false">IF(COUNTIFS('جرد فعلي'!$B$2:$B$12001,$B$2,'جرد فعلي'!$C$2:$C$12001,$A87,'جرد فعلي'!$A$2:$A$12001,'إعدادات المخزون'!$B$4-1)&gt;0,SUMIFS('جرد فعلي'!$D$2:$D$12001,'جرد فعلي'!$B$2:$B$12001,$B$2,'جرد فعلي'!$C$2:$C$12001,$A87,'جرد فعلي'!$A$2:$A$12001,'إعدادات المخزون'!$B$4-1),"")</f>
        <v/>
      </c>
      <c r="S87" s="110" t="str">
        <f aca="false">IF(AND(K87="نعم",R87&lt;&gt;""),(L87-J87)-(R87-Q87),"")</f>
        <v/>
      </c>
      <c r="T87" s="109" t="str">
        <f aca="false">IF(S87="","",S87*C87)</f>
        <v/>
      </c>
      <c r="U87" s="110" t="n">
        <f aca="false">IF(K87="نعم",L87,J87)</f>
        <v>2.7</v>
      </c>
      <c r="V87" s="110" t="n">
        <f aca="false">SUMPRODUCT('مصفوفة الاستهلاك'!$CD$2:$CD$190,'متجهات المبيعات'!$G$2:$G$190)/'مواد المخزون'!$D$82/MAX(1,MIN('إعدادات المخزون'!$B$11,'إعدادات المخزون'!$B$4-'إعدادات المخزون'!$B$5+1))</f>
        <v>0</v>
      </c>
      <c r="W87" s="110" t="n">
        <f aca="false">IF(V87&lt;=0,0,ROUNDUP(MAX(0,V87*('إعدادات المخزون'!$B$8+'إعدادات المخزون'!$B$9+'إعدادات المخزون'!$B$10)-MAX(U87,0))/'مواد المخزون'!$F82,0)*'مواد المخزون'!$F82)</f>
        <v>0</v>
      </c>
      <c r="X87" s="109" t="n">
        <f aca="false">IF(AND(K87="نعم",O87&lt;0),-O87+ROW()*0.000000001,0)</f>
        <v>0</v>
      </c>
      <c r="Y87" s="109" t="n">
        <f aca="false">IF(AND(K87="نعم",O87&gt;0),O87+ROW()*0.000000001,0)</f>
        <v>0</v>
      </c>
      <c r="Z87" s="110" t="n">
        <f aca="false">SUMIFS('مشتريات يومية'!$D$2:$D$4001,'مشتريات يومية'!$B$2:$B$4001,$B$2,'مشتريات يومية'!$C$2:$C$4001,$A87,'مشتريات يومية'!$A$2:$A$4001,'إعدادات المخزون'!$B$4)+SUMIFS('هالك وتحويلات'!$E$2:$E$3001,'هالك وتحويلات'!$B$2:$B$3001,$B$2,'هالك وتحويلات'!$C$2:$C$3001,$A87,'هالك وتحويلات'!$D$2:$D$3001,"تحويل وارد",'هالك وتحويلات'!$A$2:$A$3001,'إعدادات المخزون'!$B$4)-SUMIFS('هالك وتحويلات'!$E$2:$E$3001,'هالك وتحويلات'!$B$2:$B$3001,$B$2,'هالك وتحويلات'!$C$2:$C$3001,$A87,'هالك وتحويلات'!$D$2:$D$3001,"تحويل صادر",'هالك وتحويلات'!$A$2:$A$3001,'إعدادات المخزون'!$B$4)-SUMIFS('هالك وتحويلات'!$E$2:$E$3001,'هالك وتحويلات'!$B$2:$B$3001,$B$2,'هالك وتحويلات'!$C$2:$C$3001,$A87,'هالك وتحويلات'!$D$2:$D$3001,"هالك",'هالك وتحويلات'!$A$2:$A$3001,'إعدادات المخزون'!$B$4)-SUMIFS('هالك وتحويلات'!$E$2:$E$3001,'هالك وتحويلات'!$B$2:$B$3001,$B$2,'هالك وتحويلات'!$C$2:$C$3001,$A87,'هالك وتحويلات'!$D$2:$D$3001,"ضيافة / أكل موظفين",'هالك وتحويلات'!$A$2:$A$3001,'إعدادات المخزون'!$B$4)-SUMPRODUCT('مصفوفة الاستهلاك'!$CD$2:$CD$190,'متجهات المبيعات'!$E$2:$E$190)/'مواد المخزون'!$D$82</f>
        <v>0</v>
      </c>
      <c r="AA87" s="109" t="n">
        <f aca="false">IF(K87="نعم",O87,0)</f>
        <v>0</v>
      </c>
      <c r="AB87" s="109" t="n">
        <f aca="false">IF(K87="نعم",J87*C87,0)</f>
        <v>0</v>
      </c>
      <c r="AC87" s="109" t="n">
        <f aca="false">IF(T87="",0,T87)</f>
        <v>0</v>
      </c>
    </row>
    <row r="88" customFormat="false" ht="15" hidden="false" customHeight="false" outlineLevel="0" collapsed="false">
      <c r="A88" s="34" t="str">
        <f aca="false">'مواد المخزون'!A83</f>
        <v>شاورما فراخ/سدق صيامي</v>
      </c>
      <c r="B88" s="36" t="str">
        <f aca="false">'مواد المخزون'!B83</f>
        <v>كجم</v>
      </c>
      <c r="C88" s="109" t="n">
        <f aca="false">'مواد المخزون'!E83</f>
        <v>219.23</v>
      </c>
      <c r="D88" s="110" t="n">
        <f aca="false">'جرد أول المدة'!D86</f>
        <v>3.57</v>
      </c>
      <c r="E88" s="110" t="n">
        <f aca="false">SUMIFS('مشتريات يومية'!$D$2:$D$4001,'مشتريات يومية'!$B$2:$B$4001,$B$2,'مشتريات يومية'!$C$2:$C$4001,$A88,'مشتريات يومية'!$A$2:$A$4001,"&gt;="&amp;'إعدادات المخزون'!$B$5,'مشتريات يومية'!$A$2:$A$4001,"&lt;="&amp;'إعدادات المخزون'!$B$4)</f>
        <v>0</v>
      </c>
      <c r="F88" s="110" t="n">
        <f aca="false">SUMIFS('هالك وتحويلات'!$E$2:$E$3001,'هالك وتحويلات'!$B$2:$B$3001,$B$2,'هالك وتحويلات'!$C$2:$C$3001,$A88,'هالك وتحويلات'!$D$2:$D$3001,"تحويل وارد",'هالك وتحويلات'!$A$2:$A$3001,"&gt;="&amp;'إعدادات المخزون'!$B$5,'هالك وتحويلات'!$A$2:$A$3001,"&lt;="&amp;'إعدادات المخزون'!$B$4)</f>
        <v>0</v>
      </c>
      <c r="G88" s="110" t="n">
        <f aca="false">SUMIFS('هالك وتحويلات'!$E$2:$E$3001,'هالك وتحويلات'!$B$2:$B$3001,$B$2,'هالك وتحويلات'!$C$2:$C$3001,$A88,'هالك وتحويلات'!$D$2:$D$3001,"تحويل صادر",'هالك وتحويلات'!$A$2:$A$3001,"&gt;="&amp;'إعدادات المخزون'!$B$5,'هالك وتحويلات'!$A$2:$A$3001,"&lt;="&amp;'إعدادات المخزون'!$B$4)</f>
        <v>0</v>
      </c>
      <c r="H88" s="110" t="n">
        <f aca="false">SUMPRODUCT('مصفوفة الاستهلاك'!$CE$2:$CE$190,'متجهات المبيعات'!$F$2:$F$190)/'مواد المخزون'!$D$83</f>
        <v>0</v>
      </c>
      <c r="I88" s="110" t="n">
        <f aca="false">SUMIFS('هالك وتحويلات'!$E$2:$E$3001,'هالك وتحويلات'!$B$2:$B$3001,$B$2,'هالك وتحويلات'!$C$2:$C$3001,$A88,'هالك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وتحويلات'!$C$2:$C$3001,$A88,'هالك وتحويلات'!$D$2:$D$3001,"ضيافة / أكل موظفين",'هالك وتحويلات'!$A$2:$A$3001,"&gt;="&amp;'إعدادات المخزون'!$B$5,'هالك وتحويلات'!$A$2:$A$3001,"&lt;="&amp;'إعدادات المخزون'!$B$4)</f>
        <v>0</v>
      </c>
      <c r="J88" s="110" t="n">
        <f aca="false">D88+E88+F88-G88-H88-I88</f>
        <v>3.57</v>
      </c>
      <c r="K88" s="36" t="str">
        <f aca="false">IF(COUNTIFS('جرد فعلي'!$B$2:$B$12001,$B$2,'جرد فعلي'!$C$2:$C$12001,$A88,'جرد فعلي'!$A$2:$A$12001,'إعدادات المخزون'!$B$4)&gt;0,"نعم","لا")</f>
        <v>لا</v>
      </c>
      <c r="L88" s="111" t="str">
        <f aca="false">IF(K88="نعم",SUMIFS('جرد فعلي'!$D$2:$D$12001,'جرد فعلي'!$B$2:$B$12001,$B$2,'جرد فعلي'!$C$2:$C$12001,$A88,'جرد فعلي'!$A$2:$A$12001,'إعدادات المخزون'!$B$4),"")</f>
        <v/>
      </c>
      <c r="M88" s="110" t="str">
        <f aca="false">IF(K88="نعم",L88-J88,"")</f>
        <v/>
      </c>
      <c r="N88" s="112" t="str">
        <f aca="false">IF(K88="نعم",IF(J88=0,IF(M88=0,0,SIGN(M88)),M88/ABS(J88)),"")</f>
        <v/>
      </c>
      <c r="O88" s="109" t="str">
        <f aca="false">IF(K88="نعم",M88*C88,"")</f>
        <v/>
      </c>
      <c r="P88" s="36" t="str">
        <f aca="false">IF(K88&lt;&gt;"نعم","لم يُجرد",IF(ABS(N88)&lt;='إعدادات المخزون'!$B$7,"مطابق",IF(M88&lt;0,"عجز","زيادة")))</f>
        <v>لم يُجرد</v>
      </c>
      <c r="Q88" s="110" t="n">
        <f aca="false">J88-Z88</f>
        <v>3.57</v>
      </c>
      <c r="R88" s="110" t="str">
        <f aca="false">IF(COUNTIFS('جرد فعلي'!$B$2:$B$12001,$B$2,'جرد فعلي'!$C$2:$C$12001,$A88,'جرد فعلي'!$A$2:$A$12001,'إعدادات المخزون'!$B$4-1)&gt;0,SUMIFS('جرد فعلي'!$D$2:$D$12001,'جرد فعلي'!$B$2:$B$12001,$B$2,'جرد فعلي'!$C$2:$C$12001,$A88,'جرد فعلي'!$A$2:$A$12001,'إعدادات المخزون'!$B$4-1),"")</f>
        <v/>
      </c>
      <c r="S88" s="110" t="str">
        <f aca="false">IF(AND(K88="نعم",R88&lt;&gt;""),(L88-J88)-(R88-Q88),"")</f>
        <v/>
      </c>
      <c r="T88" s="109" t="str">
        <f aca="false">IF(S88="","",S88*C88)</f>
        <v/>
      </c>
      <c r="U88" s="110" t="n">
        <f aca="false">IF(K88="نعم",L88,J88)</f>
        <v>3.57</v>
      </c>
      <c r="V88" s="110" t="n">
        <f aca="false">SUMPRODUCT('مصفوفة الاستهلاك'!$CE$2:$CE$190,'متجهات المبيعات'!$G$2:$G$190)/'مواد المخزون'!$D$83/MAX(1,MIN('إعدادات المخزون'!$B$11,'إعدادات المخزون'!$B$4-'إعدادات المخزون'!$B$5+1))</f>
        <v>0</v>
      </c>
      <c r="W88" s="110" t="n">
        <f aca="false">IF(V88&lt;=0,0,ROUNDUP(MAX(0,V88*('إعدادات المخزون'!$B$8+'إعدادات المخزون'!$B$9+'إعدادات المخزون'!$B$10)-MAX(U88,0))/'مواد المخزون'!$F83,0)*'مواد المخزون'!$F83)</f>
        <v>0</v>
      </c>
      <c r="X88" s="109" t="n">
        <f aca="false">IF(AND(K88="نعم",O88&lt;0),-O88+ROW()*0.000000001,0)</f>
        <v>0</v>
      </c>
      <c r="Y88" s="109" t="n">
        <f aca="false">IF(AND(K88="نعم",O88&gt;0),O88+ROW()*0.000000001,0)</f>
        <v>0</v>
      </c>
      <c r="Z88" s="110" t="n">
        <f aca="false">SUMIFS('مشتريات يومية'!$D$2:$D$4001,'مشتريات يومية'!$B$2:$B$4001,$B$2,'مشتريات يومية'!$C$2:$C$4001,$A88,'مشتريات يومية'!$A$2:$A$4001,'إعدادات المخزون'!$B$4)+SUMIFS('هالك وتحويلات'!$E$2:$E$3001,'هالك وتحويلات'!$B$2:$B$3001,$B$2,'هالك وتحويلات'!$C$2:$C$3001,$A88,'هالك وتحويلات'!$D$2:$D$3001,"تحويل وارد",'هالك وتحويلات'!$A$2:$A$3001,'إعدادات المخزون'!$B$4)-SUMIFS('هالك وتحويلات'!$E$2:$E$3001,'هالك وتحويلات'!$B$2:$B$3001,$B$2,'هالك وتحويلات'!$C$2:$C$3001,$A88,'هالك وتحويلات'!$D$2:$D$3001,"تحويل صادر",'هالك وتحويلات'!$A$2:$A$3001,'إعدادات المخزون'!$B$4)-SUMIFS('هالك وتحويلات'!$E$2:$E$3001,'هالك وتحويلات'!$B$2:$B$3001,$B$2,'هالك وتحويلات'!$C$2:$C$3001,$A88,'هالك وتحويلات'!$D$2:$D$3001,"هالك",'هالك وتحويلات'!$A$2:$A$3001,'إعدادات المخزون'!$B$4)-SUMIFS('هالك وتحويلات'!$E$2:$E$3001,'هالك وتحويلات'!$B$2:$B$3001,$B$2,'هالك وتحويلات'!$C$2:$C$3001,$A88,'هالك وتحويلات'!$D$2:$D$3001,"ضيافة / أكل موظفين",'هالك وتحويلات'!$A$2:$A$3001,'إعدادات المخزون'!$B$4)-SUMPRODUCT('مصفوفة الاستهلاك'!$CE$2:$CE$190,'متجهات المبيعات'!$E$2:$E$190)/'مواد المخزون'!$D$83</f>
        <v>0</v>
      </c>
      <c r="AA88" s="109" t="n">
        <f aca="false">IF(K88="نعم",O88,0)</f>
        <v>0</v>
      </c>
      <c r="AB88" s="109" t="n">
        <f aca="false">IF(K88="نعم",J88*C88,0)</f>
        <v>0</v>
      </c>
      <c r="AC88" s="109" t="n">
        <f aca="false">IF(T88="",0,T88)</f>
        <v>0</v>
      </c>
    </row>
    <row r="89" customFormat="false" ht="15" hidden="false" customHeight="false" outlineLevel="0" collapsed="false">
      <c r="A89" s="34" t="str">
        <f aca="false">'مواد المخزون'!A84</f>
        <v>برجر صيامي</v>
      </c>
      <c r="B89" s="36" t="str">
        <f aca="false">'مواد المخزون'!B84</f>
        <v>قطعة</v>
      </c>
      <c r="C89" s="109" t="n">
        <f aca="false">'مواد المخزون'!E84</f>
        <v>6</v>
      </c>
      <c r="D89" s="110" t="n">
        <f aca="false">'جرد أول المدة'!D87</f>
        <v>12</v>
      </c>
      <c r="E89" s="110" t="n">
        <f aca="false">SUMIFS('مشتريات يومية'!$D$2:$D$4001,'مشتريات يومية'!$B$2:$B$4001,$B$2,'مشتريات يومية'!$C$2:$C$4001,$A89,'مشتريات يومية'!$A$2:$A$4001,"&gt;="&amp;'إعدادات المخزون'!$B$5,'مشتريات يومية'!$A$2:$A$4001,"&lt;="&amp;'إعدادات المخزون'!$B$4)</f>
        <v>0</v>
      </c>
      <c r="F89" s="110" t="n">
        <f aca="false">SUMIFS('هالك وتحويلات'!$E$2:$E$3001,'هالك وتحويلات'!$B$2:$B$3001,$B$2,'هالك وتحويلات'!$C$2:$C$3001,$A89,'هالك وتحويلات'!$D$2:$D$3001,"تحويل وارد",'هالك وتحويلات'!$A$2:$A$3001,"&gt;="&amp;'إعدادات المخزون'!$B$5,'هالك وتحويلات'!$A$2:$A$3001,"&lt;="&amp;'إعدادات المخزون'!$B$4)</f>
        <v>0</v>
      </c>
      <c r="G89" s="110" t="n">
        <f aca="false">SUMIFS('هالك وتحويلات'!$E$2:$E$3001,'هالك وتحويلات'!$B$2:$B$3001,$B$2,'هالك وتحويلات'!$C$2:$C$3001,$A89,'هالك وتحويلات'!$D$2:$D$3001,"تحويل صادر",'هالك وتحويلات'!$A$2:$A$3001,"&gt;="&amp;'إعدادات المخزون'!$B$5,'هالك وتحويلات'!$A$2:$A$3001,"&lt;="&amp;'إعدادات المخزون'!$B$4)</f>
        <v>0</v>
      </c>
      <c r="H89" s="110" t="n">
        <f aca="false">SUMPRODUCT('مصفوفة الاستهلاك'!$CF$2:$CF$190,'متجهات المبيعات'!$F$2:$F$190)/'مواد المخزون'!$D$84</f>
        <v>0</v>
      </c>
      <c r="I89" s="110" t="n">
        <f aca="false">SUMIFS('هالك وتحويلات'!$E$2:$E$3001,'هالك وتحويلات'!$B$2:$B$3001,$B$2,'هالك وتحويلات'!$C$2:$C$3001,$A89,'هالك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وتحويلات'!$C$2:$C$3001,$A89,'هالك وتحويلات'!$D$2:$D$3001,"ضيافة / أكل موظفين",'هالك وتحويلات'!$A$2:$A$3001,"&gt;="&amp;'إعدادات المخزون'!$B$5,'هالك وتحويلات'!$A$2:$A$3001,"&lt;="&amp;'إعدادات المخزون'!$B$4)</f>
        <v>0</v>
      </c>
      <c r="J89" s="110" t="n">
        <f aca="false">D89+E89+F89-G89-H89-I89</f>
        <v>12</v>
      </c>
      <c r="K89" s="36" t="str">
        <f aca="false">IF(COUNTIFS('جرد فعلي'!$B$2:$B$12001,$B$2,'جرد فعلي'!$C$2:$C$12001,$A89,'جرد فعلي'!$A$2:$A$12001,'إعدادات المخزون'!$B$4)&gt;0,"نعم","لا")</f>
        <v>لا</v>
      </c>
      <c r="L89" s="111" t="str">
        <f aca="false">IF(K89="نعم",SUMIFS('جرد فعلي'!$D$2:$D$12001,'جرد فعلي'!$B$2:$B$12001,$B$2,'جرد فعلي'!$C$2:$C$12001,$A89,'جرد فعلي'!$A$2:$A$12001,'إعدادات المخزون'!$B$4),"")</f>
        <v/>
      </c>
      <c r="M89" s="110" t="str">
        <f aca="false">IF(K89="نعم",L89-J89,"")</f>
        <v/>
      </c>
      <c r="N89" s="112" t="str">
        <f aca="false">IF(K89="نعم",IF(J89=0,IF(M89=0,0,SIGN(M89)),M89/ABS(J89)),"")</f>
        <v/>
      </c>
      <c r="O89" s="109" t="str">
        <f aca="false">IF(K89="نعم",M89*C89,"")</f>
        <v/>
      </c>
      <c r="P89" s="36" t="str">
        <f aca="false">IF(K89&lt;&gt;"نعم","لم يُجرد",IF(ABS(N89)&lt;='إعدادات المخزون'!$B$7,"مطابق",IF(M89&lt;0,"عجز","زيادة")))</f>
        <v>لم يُجرد</v>
      </c>
      <c r="Q89" s="110" t="n">
        <f aca="false">J89-Z89</f>
        <v>12</v>
      </c>
      <c r="R89" s="110" t="str">
        <f aca="false">IF(COUNTIFS('جرد فعلي'!$B$2:$B$12001,$B$2,'جرد فعلي'!$C$2:$C$12001,$A89,'جرد فعلي'!$A$2:$A$12001,'إعدادات المخزون'!$B$4-1)&gt;0,SUMIFS('جرد فعلي'!$D$2:$D$12001,'جرد فعلي'!$B$2:$B$12001,$B$2,'جرد فعلي'!$C$2:$C$12001,$A89,'جرد فعلي'!$A$2:$A$12001,'إعدادات المخزون'!$B$4-1),"")</f>
        <v/>
      </c>
      <c r="S89" s="110" t="str">
        <f aca="false">IF(AND(K89="نعم",R89&lt;&gt;""),(L89-J89)-(R89-Q89),"")</f>
        <v/>
      </c>
      <c r="T89" s="109" t="str">
        <f aca="false">IF(S89="","",S89*C89)</f>
        <v/>
      </c>
      <c r="U89" s="110" t="n">
        <f aca="false">IF(K89="نعم",L89,J89)</f>
        <v>12</v>
      </c>
      <c r="V89" s="110" t="n">
        <f aca="false">SUMPRODUCT('مصفوفة الاستهلاك'!$CF$2:$CF$190,'متجهات المبيعات'!$G$2:$G$190)/'مواد المخزون'!$D$84/MAX(1,MIN('إعدادات المخزون'!$B$11,'إعدادات المخزون'!$B$4-'إعدادات المخزون'!$B$5+1))</f>
        <v>0</v>
      </c>
      <c r="W89" s="110" t="n">
        <f aca="false">IF(V89&lt;=0,0,ROUNDUP(MAX(0,V89*('إعدادات المخزون'!$B$8+'إعدادات المخزون'!$B$9+'إعدادات المخزون'!$B$10)-MAX(U89,0))/'مواد المخزون'!$F84,0)*'مواد المخزون'!$F84)</f>
        <v>0</v>
      </c>
      <c r="X89" s="109" t="n">
        <f aca="false">IF(AND(K89="نعم",O89&lt;0),-O89+ROW()*0.000000001,0)</f>
        <v>0</v>
      </c>
      <c r="Y89" s="109" t="n">
        <f aca="false">IF(AND(K89="نعم",O89&gt;0),O89+ROW()*0.000000001,0)</f>
        <v>0</v>
      </c>
      <c r="Z89" s="110" t="n">
        <f aca="false">SUMIFS('مشتريات يومية'!$D$2:$D$4001,'مشتريات يومية'!$B$2:$B$4001,$B$2,'مشتريات يومية'!$C$2:$C$4001,$A89,'مشتريات يومية'!$A$2:$A$4001,'إعدادات المخزون'!$B$4)+SUMIFS('هالك وتحويلات'!$E$2:$E$3001,'هالك وتحويلات'!$B$2:$B$3001,$B$2,'هالك وتحويلات'!$C$2:$C$3001,$A89,'هالك وتحويلات'!$D$2:$D$3001,"تحويل وارد",'هالك وتحويلات'!$A$2:$A$3001,'إعدادات المخزون'!$B$4)-SUMIFS('هالك وتحويلات'!$E$2:$E$3001,'هالك وتحويلات'!$B$2:$B$3001,$B$2,'هالك وتحويلات'!$C$2:$C$3001,$A89,'هالك وتحويلات'!$D$2:$D$3001,"تحويل صادر",'هالك وتحويلات'!$A$2:$A$3001,'إعدادات المخزون'!$B$4)-SUMIFS('هالك وتحويلات'!$E$2:$E$3001,'هالك وتحويلات'!$B$2:$B$3001,$B$2,'هالك وتحويلات'!$C$2:$C$3001,$A89,'هالك وتحويلات'!$D$2:$D$3001,"هالك",'هالك وتحويلات'!$A$2:$A$3001,'إعدادات المخزون'!$B$4)-SUMIFS('هالك وتحويلات'!$E$2:$E$3001,'هالك وتحويلات'!$B$2:$B$3001,$B$2,'هالك وتحويلات'!$C$2:$C$3001,$A89,'هالك وتحويلات'!$D$2:$D$3001,"ضيافة / أكل موظفين",'هالك وتحويلات'!$A$2:$A$3001,'إعدادات المخزون'!$B$4)-SUMPRODUCT('مصفوفة الاستهلاك'!$CF$2:$CF$190,'متجهات المبيعات'!$E$2:$E$190)/'مواد المخزون'!$D$84</f>
        <v>0</v>
      </c>
      <c r="AA89" s="109" t="n">
        <f aca="false">IF(K89="نعم",O89,0)</f>
        <v>0</v>
      </c>
      <c r="AB89" s="109" t="n">
        <f aca="false">IF(K89="نعم",J89*C89,0)</f>
        <v>0</v>
      </c>
      <c r="AC89" s="109" t="n">
        <f aca="false">IF(T89="",0,T89)</f>
        <v>0</v>
      </c>
    </row>
    <row r="90" customFormat="false" ht="15" hidden="false" customHeight="false" outlineLevel="0" collapsed="false">
      <c r="A90" s="34" t="str">
        <f aca="false">'مواد المخزون'!A85</f>
        <v>سكينة بلاستيك</v>
      </c>
      <c r="B90" s="36" t="str">
        <f aca="false">'مواد المخزون'!B85</f>
        <v>قطعة</v>
      </c>
      <c r="C90" s="109" t="n">
        <f aca="false">'مواد المخزون'!E85</f>
        <v>0.3</v>
      </c>
      <c r="D90" s="110" t="n">
        <f aca="false">'جرد أول المدة'!D88</f>
        <v>200</v>
      </c>
      <c r="E90" s="110" t="n">
        <f aca="false">SUMIFS('مشتريات يومية'!$D$2:$D$4001,'مشتريات يومية'!$B$2:$B$4001,$B$2,'مشتريات يومية'!$C$2:$C$4001,$A90,'مشتريات يومية'!$A$2:$A$4001,"&gt;="&amp;'إعدادات المخزون'!$B$5,'مشتريات يومية'!$A$2:$A$4001,"&lt;="&amp;'إعدادات المخزون'!$B$4)</f>
        <v>0</v>
      </c>
      <c r="F90" s="110" t="n">
        <f aca="false">SUMIFS('هالك وتحويلات'!$E$2:$E$3001,'هالك وتحويلات'!$B$2:$B$3001,$B$2,'هالك وتحويلات'!$C$2:$C$3001,$A90,'هالك وتحويلات'!$D$2:$D$3001,"تحويل وارد",'هالك وتحويلات'!$A$2:$A$3001,"&gt;="&amp;'إعدادات المخزون'!$B$5,'هالك وتحويلات'!$A$2:$A$3001,"&lt;="&amp;'إعدادات المخزون'!$B$4)</f>
        <v>0</v>
      </c>
      <c r="G90" s="110" t="n">
        <f aca="false">SUMIFS('هالك وتحويلات'!$E$2:$E$3001,'هالك وتحويلات'!$B$2:$B$3001,$B$2,'هالك وتحويلات'!$C$2:$C$3001,$A90,'هالك وتحويلات'!$D$2:$D$3001,"تحويل صادر",'هالك وتحويلات'!$A$2:$A$3001,"&gt;="&amp;'إعدادات المخزون'!$B$5,'هالك وتحويلات'!$A$2:$A$3001,"&lt;="&amp;'إعدادات المخزون'!$B$4)</f>
        <v>0</v>
      </c>
      <c r="H90" s="110" t="n">
        <f aca="false">SUMPRODUCT('مصفوفة الاستهلاك'!$CG$2:$CG$190,'متجهات المبيعات'!$F$2:$F$190)/'مواد المخزون'!$D$85</f>
        <v>121.9992</v>
      </c>
      <c r="I90" s="110" t="n">
        <f aca="false">SUMIFS('هالك وتحويلات'!$E$2:$E$3001,'هالك وتحويلات'!$B$2:$B$3001,$B$2,'هالك وتحويلات'!$C$2:$C$3001,$A90,'هالك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وتحويلات'!$C$2:$C$3001,$A90,'هالك وتحويلات'!$D$2:$D$3001,"ضيافة / أكل موظفين",'هالك وتحويلات'!$A$2:$A$3001,"&gt;="&amp;'إعدادات المخزون'!$B$5,'هالك وتحويلات'!$A$2:$A$3001,"&lt;="&amp;'إعدادات المخزون'!$B$4)</f>
        <v>0</v>
      </c>
      <c r="J90" s="110" t="n">
        <f aca="false">D90+E90+F90-G90-H90-I90</f>
        <v>78.0008</v>
      </c>
      <c r="K90" s="36" t="str">
        <f aca="false">IF(COUNTIFS('جرد فعلي'!$B$2:$B$12001,$B$2,'جرد فعلي'!$C$2:$C$12001,$A90,'جرد فعلي'!$A$2:$A$12001,'إعدادات المخزون'!$B$4)&gt;0,"نعم","لا")</f>
        <v>لا</v>
      </c>
      <c r="L90" s="111" t="str">
        <f aca="false">IF(K90="نعم",SUMIFS('جرد فعلي'!$D$2:$D$12001,'جرد فعلي'!$B$2:$B$12001,$B$2,'جرد فعلي'!$C$2:$C$12001,$A90,'جرد فعلي'!$A$2:$A$12001,'إعدادات المخزون'!$B$4),"")</f>
        <v/>
      </c>
      <c r="M90" s="110" t="str">
        <f aca="false">IF(K90="نعم",L90-J90,"")</f>
        <v/>
      </c>
      <c r="N90" s="112" t="str">
        <f aca="false">IF(K90="نعم",IF(J90=0,IF(M90=0,0,SIGN(M90)),M90/ABS(J90)),"")</f>
        <v/>
      </c>
      <c r="O90" s="109" t="str">
        <f aca="false">IF(K90="نعم",M90*C90,"")</f>
        <v/>
      </c>
      <c r="P90" s="36" t="str">
        <f aca="false">IF(K90&lt;&gt;"نعم","لم يُجرد",IF(ABS(N90)&lt;='إعدادات المخزون'!$B$7,"مطابق",IF(M90&lt;0,"عجز","زيادة")))</f>
        <v>لم يُجرد</v>
      </c>
      <c r="Q90" s="110" t="n">
        <f aca="false">J90-Z90</f>
        <v>88.1674</v>
      </c>
      <c r="R90" s="110" t="str">
        <f aca="false">IF(COUNTIFS('جرد فعلي'!$B$2:$B$12001,$B$2,'جرد فعلي'!$C$2:$C$12001,$A90,'جرد فعلي'!$A$2:$A$12001,'إعدادات المخزون'!$B$4-1)&gt;0,SUMIFS('جرد فعلي'!$D$2:$D$12001,'جرد فعلي'!$B$2:$B$12001,$B$2,'جرد فعلي'!$C$2:$C$12001,$A90,'جرد فعلي'!$A$2:$A$12001,'إعدادات المخزون'!$B$4-1),"")</f>
        <v/>
      </c>
      <c r="S90" s="110" t="str">
        <f aca="false">IF(AND(K90="نعم",R90&lt;&gt;""),(L90-J90)-(R90-Q90),"")</f>
        <v/>
      </c>
      <c r="T90" s="109" t="str">
        <f aca="false">IF(S90="","",S90*C90)</f>
        <v/>
      </c>
      <c r="U90" s="110" t="n">
        <f aca="false">IF(K90="نعم",L90,J90)</f>
        <v>78.0008</v>
      </c>
      <c r="V90" s="110" t="n">
        <f aca="false">SUMPRODUCT('مصفوفة الاستهلاك'!$CG$2:$CG$190,'متجهات المبيعات'!$G$2:$G$190)/'مواد المخزون'!$D$85/MAX(1,MIN('إعدادات المخزون'!$B$11,'إعدادات المخزون'!$B$4-'إعدادات المخزون'!$B$5+1))</f>
        <v>10.1666</v>
      </c>
      <c r="W90" s="110" t="n">
        <f aca="false">IF(V90&lt;=0,0,ROUNDUP(MAX(0,V90*('إعدادات المخزون'!$B$8+'إعدادات المخزون'!$B$9+'إعدادات المخزون'!$B$10)-MAX(U90,0))/'مواد المخزون'!$F85,0)*'مواد المخزون'!$F85)</f>
        <v>0</v>
      </c>
      <c r="X90" s="109" t="n">
        <f aca="false">IF(AND(K90="نعم",O90&lt;0),-O90+ROW()*0.000000001,0)</f>
        <v>0</v>
      </c>
      <c r="Y90" s="109" t="n">
        <f aca="false">IF(AND(K90="نعم",O90&gt;0),O90+ROW()*0.000000001,0)</f>
        <v>0</v>
      </c>
      <c r="Z90" s="110" t="n">
        <f aca="false">SUMIFS('مشتريات يومية'!$D$2:$D$4001,'مشتريات يومية'!$B$2:$B$4001,$B$2,'مشتريات يومية'!$C$2:$C$4001,$A90,'مشتريات يومية'!$A$2:$A$4001,'إعدادات المخزون'!$B$4)+SUMIFS('هالك وتحويلات'!$E$2:$E$3001,'هالك وتحويلات'!$B$2:$B$3001,$B$2,'هالك وتحويلات'!$C$2:$C$3001,$A90,'هالك وتحويلات'!$D$2:$D$3001,"تحويل وارد",'هالك وتحويلات'!$A$2:$A$3001,'إعدادات المخزون'!$B$4)-SUMIFS('هالك وتحويلات'!$E$2:$E$3001,'هالك وتحويلات'!$B$2:$B$3001,$B$2,'هالك وتحويلات'!$C$2:$C$3001,$A90,'هالك وتحويلات'!$D$2:$D$3001,"تحويل صادر",'هالك وتحويلات'!$A$2:$A$3001,'إعدادات المخزون'!$B$4)-SUMIFS('هالك وتحويلات'!$E$2:$E$3001,'هالك وتحويلات'!$B$2:$B$3001,$B$2,'هالك وتحويلات'!$C$2:$C$3001,$A90,'هالك وتحويلات'!$D$2:$D$3001,"هالك",'هالك وتحويلات'!$A$2:$A$3001,'إعدادات المخزون'!$B$4)-SUMIFS('هالك وتحويلات'!$E$2:$E$3001,'هالك وتحويلات'!$B$2:$B$3001,$B$2,'هالك وتحويلات'!$C$2:$C$3001,$A90,'هالك وتحويلات'!$D$2:$D$3001,"ضيافة / أكل موظفين",'هالك وتحويلات'!$A$2:$A$3001,'إعدادات المخزون'!$B$4)-SUMPRODUCT('مصفوفة الاستهلاك'!$CG$2:$CG$190,'متجهات المبيعات'!$E$2:$E$190)/'مواد المخزون'!$D$85</f>
        <v>-10.1666</v>
      </c>
      <c r="AA90" s="109" t="n">
        <f aca="false">IF(K90="نعم",O90,0)</f>
        <v>0</v>
      </c>
      <c r="AB90" s="109" t="n">
        <f aca="false">IF(K90="نعم",J90*C90,0)</f>
        <v>0</v>
      </c>
      <c r="AC90" s="109" t="n">
        <f aca="false">IF(T90="",0,T90)</f>
        <v>0</v>
      </c>
    </row>
    <row r="91" customFormat="false" ht="15" hidden="false" customHeight="false" outlineLevel="0" collapsed="false">
      <c r="A91" s="34" t="str">
        <f aca="false">'مواد المخزون'!A86</f>
        <v>علب مكرونة</v>
      </c>
      <c r="B91" s="36" t="str">
        <f aca="false">'مواد المخزون'!B86</f>
        <v>قطعة</v>
      </c>
      <c r="C91" s="109" t="n">
        <f aca="false">'مواد المخزون'!E86</f>
        <v>4.44</v>
      </c>
      <c r="D91" s="110" t="n">
        <f aca="false">'جرد أول المدة'!D89</f>
        <v>1450</v>
      </c>
      <c r="E91" s="110" t="n">
        <f aca="false">SUMIFS('مشتريات يومية'!$D$2:$D$4001,'مشتريات يومية'!$B$2:$B$4001,$B$2,'مشتريات يومية'!$C$2:$C$4001,$A91,'مشتريات يومية'!$A$2:$A$4001,"&gt;="&amp;'إعدادات المخزون'!$B$5,'مشتريات يومية'!$A$2:$A$4001,"&lt;="&amp;'إعدادات المخزون'!$B$4)</f>
        <v>0</v>
      </c>
      <c r="F91" s="110" t="n">
        <f aca="false">SUMIFS('هالك وتحويلات'!$E$2:$E$3001,'هالك وتحويلات'!$B$2:$B$3001,$B$2,'هالك وتحويلات'!$C$2:$C$3001,$A91,'هالك وتحويلات'!$D$2:$D$3001,"تحويل وارد",'هالك وتحويلات'!$A$2:$A$3001,"&gt;="&amp;'إعدادات المخزون'!$B$5,'هالك وتحويلات'!$A$2:$A$3001,"&lt;="&amp;'إعدادات المخزون'!$B$4)</f>
        <v>0</v>
      </c>
      <c r="G91" s="110" t="n">
        <f aca="false">SUMIFS('هالك وتحويلات'!$E$2:$E$3001,'هالك وتحويلات'!$B$2:$B$3001,$B$2,'هالك وتحويلات'!$C$2:$C$3001,$A91,'هالك وتحويلات'!$D$2:$D$3001,"تحويل صادر",'هالك وتحويلات'!$A$2:$A$3001,"&gt;="&amp;'إعدادات المخزون'!$B$5,'هالك وتحويلات'!$A$2:$A$3001,"&lt;="&amp;'إعدادات المخزون'!$B$4)</f>
        <v>0</v>
      </c>
      <c r="H91" s="110" t="n">
        <f aca="false">SUMPRODUCT('مصفوفة الاستهلاك'!$CH$2:$CH$190,'متجهات المبيعات'!$F$2:$F$190)/'مواد المخزون'!$D$86</f>
        <v>121.9992</v>
      </c>
      <c r="I91" s="110" t="n">
        <f aca="false">SUMIFS('هالك وتحويلات'!$E$2:$E$3001,'هالك وتحويلات'!$B$2:$B$3001,$B$2,'هالك وتحويلات'!$C$2:$C$3001,$A91,'هالك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وتحويلات'!$C$2:$C$3001,$A91,'هالك وتحويلات'!$D$2:$D$3001,"ضيافة / أكل موظفين",'هالك وتحويلات'!$A$2:$A$3001,"&gt;="&amp;'إعدادات المخزون'!$B$5,'هالك وتحويلات'!$A$2:$A$3001,"&lt;="&amp;'إعدادات المخزون'!$B$4)</f>
        <v>0</v>
      </c>
      <c r="J91" s="110" t="n">
        <f aca="false">D91+E91+F91-G91-H91-I91</f>
        <v>1328.0008</v>
      </c>
      <c r="K91" s="36" t="str">
        <f aca="false">IF(COUNTIFS('جرد فعلي'!$B$2:$B$12001,$B$2,'جرد فعلي'!$C$2:$C$12001,$A91,'جرد فعلي'!$A$2:$A$12001,'إعدادات المخزون'!$B$4)&gt;0,"نعم","لا")</f>
        <v>لا</v>
      </c>
      <c r="L91" s="111" t="str">
        <f aca="false">IF(K91="نعم",SUMIFS('جرد فعلي'!$D$2:$D$12001,'جرد فعلي'!$B$2:$B$12001,$B$2,'جرد فعلي'!$C$2:$C$12001,$A91,'جرد فعلي'!$A$2:$A$12001,'إعدادات المخزون'!$B$4),"")</f>
        <v/>
      </c>
      <c r="M91" s="110" t="str">
        <f aca="false">IF(K91="نعم",L91-J91,"")</f>
        <v/>
      </c>
      <c r="N91" s="112" t="str">
        <f aca="false">IF(K91="نعم",IF(J91=0,IF(M91=0,0,SIGN(M91)),M91/ABS(J91)),"")</f>
        <v/>
      </c>
      <c r="O91" s="109" t="str">
        <f aca="false">IF(K91="نعم",M91*C91,"")</f>
        <v/>
      </c>
      <c r="P91" s="36" t="str">
        <f aca="false">IF(K91&lt;&gt;"نعم","لم يُجرد",IF(ABS(N91)&lt;='إعدادات المخزون'!$B$7,"مطابق",IF(M91&lt;0,"عجز","زيادة")))</f>
        <v>لم يُجرد</v>
      </c>
      <c r="Q91" s="110" t="n">
        <f aca="false">J91-Z91</f>
        <v>1338.1674</v>
      </c>
      <c r="R91" s="110" t="str">
        <f aca="false">IF(COUNTIFS('جرد فعلي'!$B$2:$B$12001,$B$2,'جرد فعلي'!$C$2:$C$12001,$A91,'جرد فعلي'!$A$2:$A$12001,'إعدادات المخزون'!$B$4-1)&gt;0,SUMIFS('جرد فعلي'!$D$2:$D$12001,'جرد فعلي'!$B$2:$B$12001,$B$2,'جرد فعلي'!$C$2:$C$12001,$A91,'جرد فعلي'!$A$2:$A$12001,'إعدادات المخزون'!$B$4-1),"")</f>
        <v/>
      </c>
      <c r="S91" s="110" t="str">
        <f aca="false">IF(AND(K91="نعم",R91&lt;&gt;""),(L91-J91)-(R91-Q91),"")</f>
        <v/>
      </c>
      <c r="T91" s="109" t="str">
        <f aca="false">IF(S91="","",S91*C91)</f>
        <v/>
      </c>
      <c r="U91" s="110" t="n">
        <f aca="false">IF(K91="نعم",L91,J91)</f>
        <v>1328.0008</v>
      </c>
      <c r="V91" s="110" t="n">
        <f aca="false">SUMPRODUCT('مصفوفة الاستهلاك'!$CH$2:$CH$190,'متجهات المبيعات'!$G$2:$G$190)/'مواد المخزون'!$D$86/MAX(1,MIN('إعدادات المخزون'!$B$11,'إعدادات المخزون'!$B$4-'إعدادات المخزون'!$B$5+1))</f>
        <v>10.1666</v>
      </c>
      <c r="W91" s="110" t="n">
        <f aca="false">IF(V91&lt;=0,0,ROUNDUP(MAX(0,V91*('إعدادات المخزون'!$B$8+'إعدادات المخزون'!$B$9+'إعدادات المخزون'!$B$10)-MAX(U91,0))/'مواد المخزون'!$F86,0)*'مواد المخزون'!$F86)</f>
        <v>0</v>
      </c>
      <c r="X91" s="109" t="n">
        <f aca="false">IF(AND(K91="نعم",O91&lt;0),-O91+ROW()*0.000000001,0)</f>
        <v>0</v>
      </c>
      <c r="Y91" s="109" t="n">
        <f aca="false">IF(AND(K91="نعم",O91&gt;0),O91+ROW()*0.000000001,0)</f>
        <v>0</v>
      </c>
      <c r="Z91" s="110" t="n">
        <f aca="false">SUMIFS('مشتريات يومية'!$D$2:$D$4001,'مشتريات يومية'!$B$2:$B$4001,$B$2,'مشتريات يومية'!$C$2:$C$4001,$A91,'مشتريات يومية'!$A$2:$A$4001,'إعدادات المخزون'!$B$4)+SUMIFS('هالك وتحويلات'!$E$2:$E$3001,'هالك وتحويلات'!$B$2:$B$3001,$B$2,'هالك وتحويلات'!$C$2:$C$3001,$A91,'هالك وتحويلات'!$D$2:$D$3001,"تحويل وارد",'هالك وتحويلات'!$A$2:$A$3001,'إعدادات المخزون'!$B$4)-SUMIFS('هالك وتحويلات'!$E$2:$E$3001,'هالك وتحويلات'!$B$2:$B$3001,$B$2,'هالك وتحويلات'!$C$2:$C$3001,$A91,'هالك وتحويلات'!$D$2:$D$3001,"تحويل صادر",'هالك وتحويلات'!$A$2:$A$3001,'إعدادات المخزون'!$B$4)-SUMIFS('هالك وتحويلات'!$E$2:$E$3001,'هالك وتحويلات'!$B$2:$B$3001,$B$2,'هالك وتحويلات'!$C$2:$C$3001,$A91,'هالك وتحويلات'!$D$2:$D$3001,"هالك",'هالك وتحويلات'!$A$2:$A$3001,'إعدادات المخزون'!$B$4)-SUMIFS('هالك وتحويلات'!$E$2:$E$3001,'هالك وتحويلات'!$B$2:$B$3001,$B$2,'هالك وتحويلات'!$C$2:$C$3001,$A91,'هالك وتحويلات'!$D$2:$D$3001,"ضيافة / أكل موظفين",'هالك وتحويلات'!$A$2:$A$3001,'إعدادات المخزون'!$B$4)-SUMPRODUCT('مصفوفة الاستهلاك'!$CH$2:$CH$190,'متجهات المبيعات'!$E$2:$E$190)/'مواد المخزون'!$D$86</f>
        <v>-10.1666</v>
      </c>
      <c r="AA91" s="109" t="n">
        <f aca="false">IF(K91="نعم",O91,0)</f>
        <v>0</v>
      </c>
      <c r="AB91" s="109" t="n">
        <f aca="false">IF(K91="نعم",J91*C91,0)</f>
        <v>0</v>
      </c>
      <c r="AC91" s="109" t="n">
        <f aca="false">IF(T91="",0,T91)</f>
        <v>0</v>
      </c>
    </row>
    <row r="92" customFormat="false" ht="15" hidden="false" customHeight="false" outlineLevel="0" collapsed="false">
      <c r="A92" s="34" t="str">
        <f aca="false">'مواد المخزون'!A87</f>
        <v>علب بيتزا كيك</v>
      </c>
      <c r="B92" s="36" t="str">
        <f aca="false">'مواد المخزون'!B87</f>
        <v>قطعة</v>
      </c>
      <c r="C92" s="109" t="n">
        <f aca="false">'مواد المخزون'!E87</f>
        <v>8</v>
      </c>
      <c r="D92" s="110" t="n">
        <f aca="false">'جرد أول المدة'!D90</f>
        <v>32</v>
      </c>
      <c r="E92" s="110" t="n">
        <f aca="false">SUMIFS('مشتريات يومية'!$D$2:$D$4001,'مشتريات يومية'!$B$2:$B$4001,$B$2,'مشتريات يومية'!$C$2:$C$4001,$A92,'مشتريات يومية'!$A$2:$A$4001,"&gt;="&amp;'إعدادات المخزون'!$B$5,'مشتريات يومية'!$A$2:$A$4001,"&lt;="&amp;'إعدادات المخزون'!$B$4)</f>
        <v>0</v>
      </c>
      <c r="F92" s="110" t="n">
        <f aca="false">SUMIFS('هالك وتحويلات'!$E$2:$E$3001,'هالك وتحويلات'!$B$2:$B$3001,$B$2,'هالك وتحويلات'!$C$2:$C$3001,$A92,'هالك وتحويلات'!$D$2:$D$3001,"تحويل وارد",'هالك وتحويلات'!$A$2:$A$3001,"&gt;="&amp;'إعدادات المخزون'!$B$5,'هالك وتحويلات'!$A$2:$A$3001,"&lt;="&amp;'إعدادات المخزون'!$B$4)</f>
        <v>0</v>
      </c>
      <c r="G92" s="110" t="n">
        <f aca="false">SUMIFS('هالك وتحويلات'!$E$2:$E$3001,'هالك وتحويلات'!$B$2:$B$3001,$B$2,'هالك وتحويلات'!$C$2:$C$3001,$A92,'هالك وتحويلات'!$D$2:$D$3001,"تحويل صادر",'هالك وتحويلات'!$A$2:$A$3001,"&gt;="&amp;'إعدادات المخزون'!$B$5,'هالك وتحويلات'!$A$2:$A$3001,"&lt;="&amp;'إعدادات المخزون'!$B$4)</f>
        <v>0</v>
      </c>
      <c r="H92" s="110" t="n">
        <f aca="false">SUMPRODUCT('مصفوفة الاستهلاك'!$CI$2:$CI$190,'متجهات المبيعات'!$F$2:$F$190)/'مواد المخزون'!$D$87</f>
        <v>3</v>
      </c>
      <c r="I92" s="110" t="n">
        <f aca="false">SUMIFS('هالك وتحويلات'!$E$2:$E$3001,'هالك وتحويلات'!$B$2:$B$3001,$B$2,'هالك وتحويلات'!$C$2:$C$3001,$A92,'هالك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وتحويلات'!$C$2:$C$3001,$A92,'هالك وتحويلات'!$D$2:$D$3001,"ضيافة / أكل موظفين",'هالك وتحويلات'!$A$2:$A$3001,"&gt;="&amp;'إعدادات المخزون'!$B$5,'هالك وتحويلات'!$A$2:$A$3001,"&lt;="&amp;'إعدادات المخزون'!$B$4)</f>
        <v>0</v>
      </c>
      <c r="J92" s="110" t="n">
        <f aca="false">D92+E92+F92-G92-H92-I92</f>
        <v>29</v>
      </c>
      <c r="K92" s="36" t="str">
        <f aca="false">IF(COUNTIFS('جرد فعلي'!$B$2:$B$12001,$B$2,'جرد فعلي'!$C$2:$C$12001,$A92,'جرد فعلي'!$A$2:$A$12001,'إعدادات المخزون'!$B$4)&gt;0,"نعم","لا")</f>
        <v>لا</v>
      </c>
      <c r="L92" s="111" t="str">
        <f aca="false">IF(K92="نعم",SUMIFS('جرد فعلي'!$D$2:$D$12001,'جرد فعلي'!$B$2:$B$12001,$B$2,'جرد فعلي'!$C$2:$C$12001,$A92,'جرد فعلي'!$A$2:$A$12001,'إعدادات المخزون'!$B$4),"")</f>
        <v/>
      </c>
      <c r="M92" s="110" t="str">
        <f aca="false">IF(K92="نعم",L92-J92,"")</f>
        <v/>
      </c>
      <c r="N92" s="112" t="str">
        <f aca="false">IF(K92="نعم",IF(J92=0,IF(M92=0,0,SIGN(M92)),M92/ABS(J92)),"")</f>
        <v/>
      </c>
      <c r="O92" s="109" t="str">
        <f aca="false">IF(K92="نعم",M92*C92,"")</f>
        <v/>
      </c>
      <c r="P92" s="36" t="str">
        <f aca="false">IF(K92&lt;&gt;"نعم","لم يُجرد",IF(ABS(N92)&lt;='إعدادات المخزون'!$B$7,"مطابق",IF(M92&lt;0,"عجز","زيادة")))</f>
        <v>لم يُجرد</v>
      </c>
      <c r="Q92" s="110" t="n">
        <f aca="false">J92-Z92</f>
        <v>29.25</v>
      </c>
      <c r="R92" s="110" t="str">
        <f aca="false">IF(COUNTIFS('جرد فعلي'!$B$2:$B$12001,$B$2,'جرد فعلي'!$C$2:$C$12001,$A92,'جرد فعلي'!$A$2:$A$12001,'إعدادات المخزون'!$B$4-1)&gt;0,SUMIFS('جرد فعلي'!$D$2:$D$12001,'جرد فعلي'!$B$2:$B$12001,$B$2,'جرد فعلي'!$C$2:$C$12001,$A92,'جرد فعلي'!$A$2:$A$12001,'إعدادات المخزون'!$B$4-1),"")</f>
        <v/>
      </c>
      <c r="S92" s="110" t="str">
        <f aca="false">IF(AND(K92="نعم",R92&lt;&gt;""),(L92-J92)-(R92-Q92),"")</f>
        <v/>
      </c>
      <c r="T92" s="109" t="str">
        <f aca="false">IF(S92="","",S92*C92)</f>
        <v/>
      </c>
      <c r="U92" s="110" t="n">
        <f aca="false">IF(K92="نعم",L92,J92)</f>
        <v>29</v>
      </c>
      <c r="V92" s="110" t="n">
        <f aca="false">SUMPRODUCT('مصفوفة الاستهلاك'!$CI$2:$CI$190,'متجهات المبيعات'!$G$2:$G$190)/'مواد المخزون'!$D$87/MAX(1,MIN('إعدادات المخزون'!$B$11,'إعدادات المخزون'!$B$4-'إعدادات المخزون'!$B$5+1))</f>
        <v>0.25</v>
      </c>
      <c r="W92" s="110" t="n">
        <f aca="false">IF(V92&lt;=0,0,ROUNDUP(MAX(0,V92*('إعدادات المخزون'!$B$8+'إعدادات المخزون'!$B$9+'إعدادات المخزون'!$B$10)-MAX(U92,0))/'مواد المخزون'!$F87,0)*'مواد المخزون'!$F87)</f>
        <v>0</v>
      </c>
      <c r="X92" s="109" t="n">
        <f aca="false">IF(AND(K92="نعم",O92&lt;0),-O92+ROW()*0.000000001,0)</f>
        <v>0</v>
      </c>
      <c r="Y92" s="109" t="n">
        <f aca="false">IF(AND(K92="نعم",O92&gt;0),O92+ROW()*0.000000001,0)</f>
        <v>0</v>
      </c>
      <c r="Z92" s="110" t="n">
        <f aca="false">SUMIFS('مشتريات يومية'!$D$2:$D$4001,'مشتريات يومية'!$B$2:$B$4001,$B$2,'مشتريات يومية'!$C$2:$C$4001,$A92,'مشتريات يومية'!$A$2:$A$4001,'إعدادات المخزون'!$B$4)+SUMIFS('هالك وتحويلات'!$E$2:$E$3001,'هالك وتحويلات'!$B$2:$B$3001,$B$2,'هالك وتحويلات'!$C$2:$C$3001,$A92,'هالك وتحويلات'!$D$2:$D$3001,"تحويل وارد",'هالك وتحويلات'!$A$2:$A$3001,'إعدادات المخزون'!$B$4)-SUMIFS('هالك وتحويلات'!$E$2:$E$3001,'هالك وتحويلات'!$B$2:$B$3001,$B$2,'هالك وتحويلات'!$C$2:$C$3001,$A92,'هالك وتحويلات'!$D$2:$D$3001,"تحويل صادر",'هالك وتحويلات'!$A$2:$A$3001,'إعدادات المخزون'!$B$4)-SUMIFS('هالك وتحويلات'!$E$2:$E$3001,'هالك وتحويلات'!$B$2:$B$3001,$B$2,'هالك وتحويلات'!$C$2:$C$3001,$A92,'هالك وتحويلات'!$D$2:$D$3001,"هالك",'هالك وتحويلات'!$A$2:$A$3001,'إعدادات المخزون'!$B$4)-SUMIFS('هالك وتحويلات'!$E$2:$E$3001,'هالك وتحويلات'!$B$2:$B$3001,$B$2,'هالك وتحويلات'!$C$2:$C$3001,$A92,'هالك وتحويلات'!$D$2:$D$3001,"ضيافة / أكل موظفين",'هالك وتحويلات'!$A$2:$A$3001,'إعدادات المخزون'!$B$4)-SUMPRODUCT('مصفوفة الاستهلاك'!$CI$2:$CI$190,'متجهات المبيعات'!$E$2:$E$190)/'مواد المخزون'!$D$87</f>
        <v>-0.25</v>
      </c>
      <c r="AA92" s="109" t="n">
        <f aca="false">IF(K92="نعم",O92,0)</f>
        <v>0</v>
      </c>
      <c r="AB92" s="109" t="n">
        <f aca="false">IF(K92="نعم",J92*C92,0)</f>
        <v>0</v>
      </c>
      <c r="AC92" s="109" t="n">
        <f aca="false">IF(T92="",0,T92)</f>
        <v>0</v>
      </c>
    </row>
    <row r="93" customFormat="false" ht="15" hidden="false" customHeight="false" outlineLevel="0" collapsed="false">
      <c r="A93" s="34" t="str">
        <f aca="false">'مواد المخزون'!A88</f>
        <v>عصير</v>
      </c>
      <c r="B93" s="36" t="str">
        <f aca="false">'مواد المخزون'!B88</f>
        <v>قطعة</v>
      </c>
      <c r="C93" s="109" t="n">
        <f aca="false">'مواد المخزون'!E88</f>
        <v>7</v>
      </c>
      <c r="D93" s="110" t="n">
        <f aca="false">'جرد أول المدة'!D91</f>
        <v>0</v>
      </c>
      <c r="E93" s="110" t="n">
        <f aca="false">SUMIFS('مشتريات يومية'!$D$2:$D$4001,'مشتريات يومية'!$B$2:$B$4001,$B$2,'مشتريات يومية'!$C$2:$C$4001,$A93,'مشتريات يومية'!$A$2:$A$4001,"&gt;="&amp;'إعدادات المخزون'!$B$5,'مشتريات يومية'!$A$2:$A$4001,"&lt;="&amp;'إعدادات المخزون'!$B$4)</f>
        <v>0</v>
      </c>
      <c r="F93" s="110" t="n">
        <f aca="false">SUMIFS('هالك وتحويلات'!$E$2:$E$3001,'هالك وتحويلات'!$B$2:$B$3001,$B$2,'هالك وتحويلات'!$C$2:$C$3001,$A93,'هالك وتحويلات'!$D$2:$D$3001,"تحويل وارد",'هالك وتحويلات'!$A$2:$A$3001,"&gt;="&amp;'إعدادات المخزون'!$B$5,'هالك وتحويلات'!$A$2:$A$3001,"&lt;="&amp;'إعدادات المخزون'!$B$4)</f>
        <v>0</v>
      </c>
      <c r="G93" s="110" t="n">
        <f aca="false">SUMIFS('هالك وتحويلات'!$E$2:$E$3001,'هالك وتحويلات'!$B$2:$B$3001,$B$2,'هالك وتحويلات'!$C$2:$C$3001,$A93,'هالك وتحويلات'!$D$2:$D$3001,"تحويل صادر",'هالك وتحويلات'!$A$2:$A$3001,"&gt;="&amp;'إعدادات المخزون'!$B$5,'هالك وتحويلات'!$A$2:$A$3001,"&lt;="&amp;'إعدادات المخزون'!$B$4)</f>
        <v>0</v>
      </c>
      <c r="H93" s="110" t="n">
        <f aca="false">SUMPRODUCT('مصفوفة الاستهلاك'!$CJ$2:$CJ$190,'متجهات المبيعات'!$F$2:$F$190)/'مواد المخزون'!$D$88</f>
        <v>2.0004</v>
      </c>
      <c r="I93" s="110" t="n">
        <f aca="false">SUMIFS('هالك وتحويلات'!$E$2:$E$3001,'هالك وتحويلات'!$B$2:$B$3001,$B$2,'هالك وتحويلات'!$C$2:$C$3001,$A93,'هالك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وتحويلات'!$C$2:$C$3001,$A93,'هالك وتحويلات'!$D$2:$D$3001,"ضيافة / أكل موظفين",'هالك وتحويلات'!$A$2:$A$3001,"&gt;="&amp;'إعدادات المخزون'!$B$5,'هالك وتحويلات'!$A$2:$A$3001,"&lt;="&amp;'إعدادات المخزون'!$B$4)</f>
        <v>0</v>
      </c>
      <c r="J93" s="110" t="n">
        <f aca="false">D93+E93+F93-G93-H93-I93</f>
        <v>-2.0004</v>
      </c>
      <c r="K93" s="36" t="str">
        <f aca="false">IF(COUNTIFS('جرد فعلي'!$B$2:$B$12001,$B$2,'جرد فعلي'!$C$2:$C$12001,$A93,'جرد فعلي'!$A$2:$A$12001,'إعدادات المخزون'!$B$4)&gt;0,"نعم","لا")</f>
        <v>لا</v>
      </c>
      <c r="L93" s="111" t="str">
        <f aca="false">IF(K93="نعم",SUMIFS('جرد فعلي'!$D$2:$D$12001,'جرد فعلي'!$B$2:$B$12001,$B$2,'جرد فعلي'!$C$2:$C$12001,$A93,'جرد فعلي'!$A$2:$A$12001,'إعدادات المخزون'!$B$4),"")</f>
        <v/>
      </c>
      <c r="M93" s="110" t="str">
        <f aca="false">IF(K93="نعم",L93-J93,"")</f>
        <v/>
      </c>
      <c r="N93" s="112" t="str">
        <f aca="false">IF(K93="نعم",IF(J93=0,IF(M93=0,0,SIGN(M93)),M93/ABS(J93)),"")</f>
        <v/>
      </c>
      <c r="O93" s="109" t="str">
        <f aca="false">IF(K93="نعم",M93*C93,"")</f>
        <v/>
      </c>
      <c r="P93" s="36" t="str">
        <f aca="false">IF(K93&lt;&gt;"نعم","لم يُجرد",IF(ABS(N93)&lt;='إعدادات المخزون'!$B$7,"مطابق",IF(M93&lt;0,"عجز","زيادة")))</f>
        <v>لم يُجرد</v>
      </c>
      <c r="Q93" s="110" t="n">
        <f aca="false">J93-Z93</f>
        <v>-1.8337</v>
      </c>
      <c r="R93" s="110" t="str">
        <f aca="false">IF(COUNTIFS('جرد فعلي'!$B$2:$B$12001,$B$2,'جرد فعلي'!$C$2:$C$12001,$A93,'جرد فعلي'!$A$2:$A$12001,'إعدادات المخزون'!$B$4-1)&gt;0,SUMIFS('جرد فعلي'!$D$2:$D$12001,'جرد فعلي'!$B$2:$B$12001,$B$2,'جرد فعلي'!$C$2:$C$12001,$A93,'جرد فعلي'!$A$2:$A$12001,'إعدادات المخزون'!$B$4-1),"")</f>
        <v/>
      </c>
      <c r="S93" s="110" t="str">
        <f aca="false">IF(AND(K93="نعم",R93&lt;&gt;""),(L93-J93)-(R93-Q93),"")</f>
        <v/>
      </c>
      <c r="T93" s="109" t="str">
        <f aca="false">IF(S93="","",S93*C93)</f>
        <v/>
      </c>
      <c r="U93" s="110" t="n">
        <f aca="false">IF(K93="نعم",L93,J93)</f>
        <v>-2.0004</v>
      </c>
      <c r="V93" s="110" t="n">
        <f aca="false">SUMPRODUCT('مصفوفة الاستهلاك'!$CJ$2:$CJ$190,'متجهات المبيعات'!$G$2:$G$190)/'مواد المخزون'!$D$88/MAX(1,MIN('إعدادات المخزون'!$B$11,'إعدادات المخزون'!$B$4-'إعدادات المخزون'!$B$5+1))</f>
        <v>0.1667</v>
      </c>
      <c r="W93" s="110" t="n">
        <f aca="false">IF(V93&lt;=0,0,ROUNDUP(MAX(0,V93*('إعدادات المخزون'!$B$8+'إعدادات المخزون'!$B$9+'إعدادات المخزون'!$B$10)-MAX(U93,0))/'مواد المخزون'!$F88,0)*'مواد المخزون'!$F88)</f>
        <v>1</v>
      </c>
      <c r="X93" s="109" t="n">
        <f aca="false">IF(AND(K93="نعم",O93&lt;0),-O93+ROW()*0.000000001,0)</f>
        <v>0</v>
      </c>
      <c r="Y93" s="109" t="n">
        <f aca="false">IF(AND(K93="نعم",O93&gt;0),O93+ROW()*0.000000001,0)</f>
        <v>0</v>
      </c>
      <c r="Z93" s="110" t="n">
        <f aca="false">SUMIFS('مشتريات يومية'!$D$2:$D$4001,'مشتريات يومية'!$B$2:$B$4001,$B$2,'مشتريات يومية'!$C$2:$C$4001,$A93,'مشتريات يومية'!$A$2:$A$4001,'إعدادات المخزون'!$B$4)+SUMIFS('هالك وتحويلات'!$E$2:$E$3001,'هالك وتحويلات'!$B$2:$B$3001,$B$2,'هالك وتحويلات'!$C$2:$C$3001,$A93,'هالك وتحويلات'!$D$2:$D$3001,"تحويل وارد",'هالك وتحويلات'!$A$2:$A$3001,'إعدادات المخزون'!$B$4)-SUMIFS('هالك وتحويلات'!$E$2:$E$3001,'هالك وتحويلات'!$B$2:$B$3001,$B$2,'هالك وتحويلات'!$C$2:$C$3001,$A93,'هالك وتحويلات'!$D$2:$D$3001,"تحويل صادر",'هالك وتحويلات'!$A$2:$A$3001,'إعدادات المخزون'!$B$4)-SUMIFS('هالك وتحويلات'!$E$2:$E$3001,'هالك وتحويلات'!$B$2:$B$3001,$B$2,'هالك وتحويلات'!$C$2:$C$3001,$A93,'هالك وتحويلات'!$D$2:$D$3001,"هالك",'هالك وتحويلات'!$A$2:$A$3001,'إعدادات المخزون'!$B$4)-SUMIFS('هالك وتحويلات'!$E$2:$E$3001,'هالك وتحويلات'!$B$2:$B$3001,$B$2,'هالك وتحويلات'!$C$2:$C$3001,$A93,'هالك وتحويلات'!$D$2:$D$3001,"ضيافة / أكل موظفين",'هالك وتحويلات'!$A$2:$A$3001,'إعدادات المخزون'!$B$4)-SUMPRODUCT('مصفوفة الاستهلاك'!$CJ$2:$CJ$190,'متجهات المبيعات'!$E$2:$E$190)/'مواد المخزون'!$D$88</f>
        <v>-0.1667</v>
      </c>
      <c r="AA93" s="109" t="n">
        <f aca="false">IF(K93="نعم",O93,0)</f>
        <v>0</v>
      </c>
      <c r="AB93" s="109" t="n">
        <f aca="false">IF(K93="نعم",J93*C93,0)</f>
        <v>0</v>
      </c>
      <c r="AC93" s="109" t="n">
        <f aca="false">IF(T93="",0,T93)</f>
        <v>0</v>
      </c>
    </row>
    <row r="94" customFormat="false" ht="15" hidden="false" customHeight="false" outlineLevel="0" collapsed="false">
      <c r="A94" s="34" t="str">
        <f aca="false">'مواد المخزون'!A89</f>
        <v>بيبسي 2 لتر</v>
      </c>
      <c r="B94" s="36" t="str">
        <f aca="false">'مواد المخزون'!B89</f>
        <v>قطعة</v>
      </c>
      <c r="C94" s="109" t="n">
        <f aca="false">'مواد المخزون'!E89</f>
        <v>40</v>
      </c>
      <c r="D94" s="110" t="n">
        <f aca="false">'جرد أول المدة'!D92</f>
        <v>0</v>
      </c>
      <c r="E94" s="110" t="n">
        <f aca="false">SUMIFS('مشتريات يومية'!$D$2:$D$4001,'مشتريات يومية'!$B$2:$B$4001,$B$2,'مشتريات يومية'!$C$2:$C$4001,$A94,'مشتريات يومية'!$A$2:$A$4001,"&gt;="&amp;'إعدادات المخزون'!$B$5,'مشتريات يومية'!$A$2:$A$4001,"&lt;="&amp;'إعدادات المخزون'!$B$4)</f>
        <v>1</v>
      </c>
      <c r="F94" s="110" t="n">
        <f aca="false">SUMIFS('هالك وتحويلات'!$E$2:$E$3001,'هالك وتحويلات'!$B$2:$B$3001,$B$2,'هالك وتحويلات'!$C$2:$C$3001,$A94,'هالك وتحويلات'!$D$2:$D$3001,"تحويل وارد",'هالك وتحويلات'!$A$2:$A$3001,"&gt;="&amp;'إعدادات المخزون'!$B$5,'هالك وتحويلات'!$A$2:$A$3001,"&lt;="&amp;'إعدادات المخزون'!$B$4)</f>
        <v>0</v>
      </c>
      <c r="G94" s="110" t="n">
        <f aca="false">SUMIFS('هالك وتحويلات'!$E$2:$E$3001,'هالك وتحويلات'!$B$2:$B$3001,$B$2,'هالك وتحويلات'!$C$2:$C$3001,$A94,'هالك وتحويلات'!$D$2:$D$3001,"تحويل صادر",'هالك وتحويلات'!$A$2:$A$3001,"&gt;="&amp;'إعدادات المخزون'!$B$5,'هالك وتحويلات'!$A$2:$A$3001,"&lt;="&amp;'إعدادات المخزون'!$B$4)</f>
        <v>0</v>
      </c>
      <c r="H94" s="110" t="n">
        <f aca="false">SUMPRODUCT('مصفوفة الاستهلاك'!$CK$2:$CK$190,'متجهات المبيعات'!$F$2:$F$190)/'مواد المخزون'!$D$89</f>
        <v>0.9996</v>
      </c>
      <c r="I94" s="110" t="n">
        <f aca="false">SUMIFS('هالك وتحويلات'!$E$2:$E$3001,'هالك وتحويلات'!$B$2:$B$3001,$B$2,'هالك وتحويلات'!$C$2:$C$3001,$A94,'هالك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وتحويلات'!$C$2:$C$3001,$A94,'هالك وتحويلات'!$D$2:$D$3001,"ضيافة / أكل موظفين",'هالك وتحويلات'!$A$2:$A$3001,"&gt;="&amp;'إعدادات المخزون'!$B$5,'هالك وتحويلات'!$A$2:$A$3001,"&lt;="&amp;'إعدادات المخزون'!$B$4)</f>
        <v>0</v>
      </c>
      <c r="J94" s="110" t="n">
        <f aca="false">D94+E94+F94-G94-H94-I94</f>
        <v>0.000399999999999956</v>
      </c>
      <c r="K94" s="36" t="str">
        <f aca="false">IF(COUNTIFS('جرد فعلي'!$B$2:$B$12001,$B$2,'جرد فعلي'!$C$2:$C$12001,$A94,'جرد فعلي'!$A$2:$A$12001,'إعدادات المخزون'!$B$4)&gt;0,"نعم","لا")</f>
        <v>لا</v>
      </c>
      <c r="L94" s="111" t="str">
        <f aca="false">IF(K94="نعم",SUMIFS('جرد فعلي'!$D$2:$D$12001,'جرد فعلي'!$B$2:$B$12001,$B$2,'جرد فعلي'!$C$2:$C$12001,$A94,'جرد فعلي'!$A$2:$A$12001,'إعدادات المخزون'!$B$4),"")</f>
        <v/>
      </c>
      <c r="M94" s="110" t="str">
        <f aca="false">IF(K94="نعم",L94-J94,"")</f>
        <v/>
      </c>
      <c r="N94" s="112" t="str">
        <f aca="false">IF(K94="نعم",IF(J94=0,IF(M94=0,0,SIGN(M94)),M94/ABS(J94)),"")</f>
        <v/>
      </c>
      <c r="O94" s="109" t="str">
        <f aca="false">IF(K94="نعم",M94*C94,"")</f>
        <v/>
      </c>
      <c r="P94" s="36" t="str">
        <f aca="false">IF(K94&lt;&gt;"نعم","لم يُجرد",IF(ABS(N94)&lt;='إعدادات المخزون'!$B$7,"مطابق",IF(M94&lt;0,"عجز","زيادة")))</f>
        <v>لم يُجرد</v>
      </c>
      <c r="Q94" s="110" t="n">
        <f aca="false">J94-Z94</f>
        <v>0.0837</v>
      </c>
      <c r="R94" s="110" t="str">
        <f aca="false">IF(COUNTIFS('جرد فعلي'!$B$2:$B$12001,$B$2,'جرد فعلي'!$C$2:$C$12001,$A94,'جرد فعلي'!$A$2:$A$12001,'إعدادات المخزون'!$B$4-1)&gt;0,SUMIFS('جرد فعلي'!$D$2:$D$12001,'جرد فعلي'!$B$2:$B$12001,$B$2,'جرد فعلي'!$C$2:$C$12001,$A94,'جرد فعلي'!$A$2:$A$12001,'إعدادات المخزون'!$B$4-1),"")</f>
        <v/>
      </c>
      <c r="S94" s="110" t="str">
        <f aca="false">IF(AND(K94="نعم",R94&lt;&gt;""),(L94-J94)-(R94-Q94),"")</f>
        <v/>
      </c>
      <c r="T94" s="109" t="str">
        <f aca="false">IF(S94="","",S94*C94)</f>
        <v/>
      </c>
      <c r="U94" s="110" t="n">
        <f aca="false">IF(K94="نعم",L94,J94)</f>
        <v>0.000399999999999956</v>
      </c>
      <c r="V94" s="110" t="n">
        <f aca="false">SUMPRODUCT('مصفوفة الاستهلاك'!$CK$2:$CK$190,'متجهات المبيعات'!$G$2:$G$190)/'مواد المخزون'!$D$89/MAX(1,MIN('إعدادات المخزون'!$B$11,'إعدادات المخزون'!$B$4-'إعدادات المخزون'!$B$5+1))</f>
        <v>0.0833</v>
      </c>
      <c r="W94" s="110" t="n">
        <f aca="false">IF(V94&lt;=0,0,ROUNDUP(MAX(0,V94*('إعدادات المخزون'!$B$8+'إعدادات المخزون'!$B$9+'إعدادات المخزون'!$B$10)-MAX(U94,0))/'مواد المخزون'!$F89,0)*'مواد المخزون'!$F89)</f>
        <v>1</v>
      </c>
      <c r="X94" s="109" t="n">
        <f aca="false">IF(AND(K94="نعم",O94&lt;0),-O94+ROW()*0.000000001,0)</f>
        <v>0</v>
      </c>
      <c r="Y94" s="109" t="n">
        <f aca="false">IF(AND(K94="نعم",O94&gt;0),O94+ROW()*0.000000001,0)</f>
        <v>0</v>
      </c>
      <c r="Z94" s="110" t="n">
        <f aca="false">SUMIFS('مشتريات يومية'!$D$2:$D$4001,'مشتريات يومية'!$B$2:$B$4001,$B$2,'مشتريات يومية'!$C$2:$C$4001,$A94,'مشتريات يومية'!$A$2:$A$4001,'إعدادات المخزون'!$B$4)+SUMIFS('هالك وتحويلات'!$E$2:$E$3001,'هالك وتحويلات'!$B$2:$B$3001,$B$2,'هالك وتحويلات'!$C$2:$C$3001,$A94,'هالك وتحويلات'!$D$2:$D$3001,"تحويل وارد",'هالك وتحويلات'!$A$2:$A$3001,'إعدادات المخزون'!$B$4)-SUMIFS('هالك وتحويلات'!$E$2:$E$3001,'هالك وتحويلات'!$B$2:$B$3001,$B$2,'هالك وتحويلات'!$C$2:$C$3001,$A94,'هالك وتحويلات'!$D$2:$D$3001,"تحويل صادر",'هالك وتحويلات'!$A$2:$A$3001,'إعدادات المخزون'!$B$4)-SUMIFS('هالك وتحويلات'!$E$2:$E$3001,'هالك وتحويلات'!$B$2:$B$3001,$B$2,'هالك وتحويلات'!$C$2:$C$3001,$A94,'هالك وتحويلات'!$D$2:$D$3001,"هالك",'هالك وتحويلات'!$A$2:$A$3001,'إعدادات المخزون'!$B$4)-SUMIFS('هالك وتحويلات'!$E$2:$E$3001,'هالك وتحويلات'!$B$2:$B$3001,$B$2,'هالك وتحويلات'!$C$2:$C$3001,$A94,'هالك وتحويلات'!$D$2:$D$3001,"ضيافة / أكل موظفين",'هالك وتحويلات'!$A$2:$A$3001,'إعدادات المخزون'!$B$4)-SUMPRODUCT('مصفوفة الاستهلاك'!$CK$2:$CK$190,'متجهات المبيعات'!$E$2:$E$190)/'مواد المخزون'!$D$89</f>
        <v>-0.0833</v>
      </c>
      <c r="AA94" s="109" t="n">
        <f aca="false">IF(K94="نعم",O94,0)</f>
        <v>0</v>
      </c>
      <c r="AB94" s="109" t="n">
        <f aca="false">IF(K94="نعم",J94*C94,0)</f>
        <v>0</v>
      </c>
      <c r="AC94" s="109" t="n">
        <f aca="false">IF(T94="",0,T94)</f>
        <v>0</v>
      </c>
    </row>
    <row r="95" customFormat="false" ht="15" hidden="false" customHeight="false" outlineLevel="0" collapsed="false">
      <c r="A95" s="34" t="str">
        <f aca="false">'مواد المخزون'!A90</f>
        <v>مياة معدنية صغير</v>
      </c>
      <c r="B95" s="36" t="str">
        <f aca="false">'مواد المخزون'!B90</f>
        <v>قطعة</v>
      </c>
      <c r="C95" s="109" t="n">
        <f aca="false">'مواد المخزون'!E90</f>
        <v>7</v>
      </c>
      <c r="D95" s="110" t="n">
        <f aca="false">'جرد أول المدة'!D93</f>
        <v>0</v>
      </c>
      <c r="E95" s="110" t="n">
        <f aca="false">SUMIFS('مشتريات يومية'!$D$2:$D$4001,'مشتريات يومية'!$B$2:$B$4001,$B$2,'مشتريات يومية'!$C$2:$C$4001,$A95,'مشتريات يومية'!$A$2:$A$4001,"&gt;="&amp;'إعدادات المخزون'!$B$5,'مشتريات يومية'!$A$2:$A$4001,"&lt;="&amp;'إعدادات المخزون'!$B$4)</f>
        <v>1</v>
      </c>
      <c r="F95" s="110" t="n">
        <f aca="false">SUMIFS('هالك وتحويلات'!$E$2:$E$3001,'هالك وتحويلات'!$B$2:$B$3001,$B$2,'هالك وتحويلات'!$C$2:$C$3001,$A95,'هالك وتحويلات'!$D$2:$D$3001,"تحويل وارد",'هالك وتحويلات'!$A$2:$A$3001,"&gt;="&amp;'إعدادات المخزون'!$B$5,'هالك وتحويلات'!$A$2:$A$3001,"&lt;="&amp;'إعدادات المخزون'!$B$4)</f>
        <v>0</v>
      </c>
      <c r="G95" s="110" t="n">
        <f aca="false">SUMIFS('هالك وتحويلات'!$E$2:$E$3001,'هالك وتحويلات'!$B$2:$B$3001,$B$2,'هالك وتحويلات'!$C$2:$C$3001,$A95,'هالك وتحويلات'!$D$2:$D$3001,"تحويل صادر",'هالك وتحويلات'!$A$2:$A$3001,"&gt;="&amp;'إعدادات المخزون'!$B$5,'هالك وتحويلات'!$A$2:$A$3001,"&lt;="&amp;'إعدادات المخزون'!$B$4)</f>
        <v>0</v>
      </c>
      <c r="H95" s="110" t="n">
        <f aca="false">SUMPRODUCT('مصفوفة الاستهلاك'!$CL$2:$CL$190,'متجهات المبيعات'!$F$2:$F$190)/'مواد المخزون'!$D$90</f>
        <v>0.9996</v>
      </c>
      <c r="I95" s="110" t="n">
        <f aca="false">SUMIFS('هالك وتحويلات'!$E$2:$E$3001,'هالك وتحويلات'!$B$2:$B$3001,$B$2,'هالك وتحويلات'!$C$2:$C$3001,$A95,'هالك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وتحويلات'!$C$2:$C$3001,$A95,'هالك وتحويلات'!$D$2:$D$3001,"ضيافة / أكل موظفين",'هالك وتحويلات'!$A$2:$A$3001,"&gt;="&amp;'إعدادات المخزون'!$B$5,'هالك وتحويلات'!$A$2:$A$3001,"&lt;="&amp;'إعدادات المخزون'!$B$4)</f>
        <v>0</v>
      </c>
      <c r="J95" s="110" t="n">
        <f aca="false">D95+E95+F95-G95-H95-I95</f>
        <v>0.000399999999999956</v>
      </c>
      <c r="K95" s="36" t="str">
        <f aca="false">IF(COUNTIFS('جرد فعلي'!$B$2:$B$12001,$B$2,'جرد فعلي'!$C$2:$C$12001,$A95,'جرد فعلي'!$A$2:$A$12001,'إعدادات المخزون'!$B$4)&gt;0,"نعم","لا")</f>
        <v>لا</v>
      </c>
      <c r="L95" s="111" t="str">
        <f aca="false">IF(K95="نعم",SUMIFS('جرد فعلي'!$D$2:$D$12001,'جرد فعلي'!$B$2:$B$12001,$B$2,'جرد فعلي'!$C$2:$C$12001,$A95,'جرد فعلي'!$A$2:$A$12001,'إعدادات المخزون'!$B$4),"")</f>
        <v/>
      </c>
      <c r="M95" s="110" t="str">
        <f aca="false">IF(K95="نعم",L95-J95,"")</f>
        <v/>
      </c>
      <c r="N95" s="112" t="str">
        <f aca="false">IF(K95="نعم",IF(J95=0,IF(M95=0,0,SIGN(M95)),M95/ABS(J95)),"")</f>
        <v/>
      </c>
      <c r="O95" s="109" t="str">
        <f aca="false">IF(K95="نعم",M95*C95,"")</f>
        <v/>
      </c>
      <c r="P95" s="36" t="str">
        <f aca="false">IF(K95&lt;&gt;"نعم","لم يُجرد",IF(ABS(N95)&lt;='إعدادات المخزون'!$B$7,"مطابق",IF(M95&lt;0,"عجز","زيادة")))</f>
        <v>لم يُجرد</v>
      </c>
      <c r="Q95" s="110" t="n">
        <f aca="false">J95-Z95</f>
        <v>0.0837</v>
      </c>
      <c r="R95" s="110" t="str">
        <f aca="false">IF(COUNTIFS('جرد فعلي'!$B$2:$B$12001,$B$2,'جرد فعلي'!$C$2:$C$12001,$A95,'جرد فعلي'!$A$2:$A$12001,'إعدادات المخزون'!$B$4-1)&gt;0,SUMIFS('جرد فعلي'!$D$2:$D$12001,'جرد فعلي'!$B$2:$B$12001,$B$2,'جرد فعلي'!$C$2:$C$12001,$A95,'جرد فعلي'!$A$2:$A$12001,'إعدادات المخزون'!$B$4-1),"")</f>
        <v/>
      </c>
      <c r="S95" s="110" t="str">
        <f aca="false">IF(AND(K95="نعم",R95&lt;&gt;""),(L95-J95)-(R95-Q95),"")</f>
        <v/>
      </c>
      <c r="T95" s="109" t="str">
        <f aca="false">IF(S95="","",S95*C95)</f>
        <v/>
      </c>
      <c r="U95" s="110" t="n">
        <f aca="false">IF(K95="نعم",L95,J95)</f>
        <v>0.000399999999999956</v>
      </c>
      <c r="V95" s="110" t="n">
        <f aca="false">SUMPRODUCT('مصفوفة الاستهلاك'!$CL$2:$CL$190,'متجهات المبيعات'!$G$2:$G$190)/'مواد المخزون'!$D$90/MAX(1,MIN('إعدادات المخزون'!$B$11,'إعدادات المخزون'!$B$4-'إعدادات المخزون'!$B$5+1))</f>
        <v>0.0833</v>
      </c>
      <c r="W95" s="110" t="n">
        <f aca="false">IF(V95&lt;=0,0,ROUNDUP(MAX(0,V95*('إعدادات المخزون'!$B$8+'إعدادات المخزون'!$B$9+'إعدادات المخزون'!$B$10)-MAX(U95,0))/'مواد المخزون'!$F90,0)*'مواد المخزون'!$F90)</f>
        <v>1</v>
      </c>
      <c r="X95" s="109" t="n">
        <f aca="false">IF(AND(K95="نعم",O95&lt;0),-O95+ROW()*0.000000001,0)</f>
        <v>0</v>
      </c>
      <c r="Y95" s="109" t="n">
        <f aca="false">IF(AND(K95="نعم",O95&gt;0),O95+ROW()*0.000000001,0)</f>
        <v>0</v>
      </c>
      <c r="Z95" s="110" t="n">
        <f aca="false">SUMIFS('مشتريات يومية'!$D$2:$D$4001,'مشتريات يومية'!$B$2:$B$4001,$B$2,'مشتريات يومية'!$C$2:$C$4001,$A95,'مشتريات يومية'!$A$2:$A$4001,'إعدادات المخزون'!$B$4)+SUMIFS('هالك وتحويلات'!$E$2:$E$3001,'هالك وتحويلات'!$B$2:$B$3001,$B$2,'هالك وتحويلات'!$C$2:$C$3001,$A95,'هالك وتحويلات'!$D$2:$D$3001,"تحويل وارد",'هالك وتحويلات'!$A$2:$A$3001,'إعدادات المخزون'!$B$4)-SUMIFS('هالك وتحويلات'!$E$2:$E$3001,'هالك وتحويلات'!$B$2:$B$3001,$B$2,'هالك وتحويلات'!$C$2:$C$3001,$A95,'هالك وتحويلات'!$D$2:$D$3001,"تحويل صادر",'هالك وتحويلات'!$A$2:$A$3001,'إعدادات المخزون'!$B$4)-SUMIFS('هالك وتحويلات'!$E$2:$E$3001,'هالك وتحويلات'!$B$2:$B$3001,$B$2,'هالك وتحويلات'!$C$2:$C$3001,$A95,'هالك وتحويلات'!$D$2:$D$3001,"هالك",'هالك وتحويلات'!$A$2:$A$3001,'إعدادات المخزون'!$B$4)-SUMIFS('هالك وتحويلات'!$E$2:$E$3001,'هالك وتحويلات'!$B$2:$B$3001,$B$2,'هالك وتحويلات'!$C$2:$C$3001,$A95,'هالك وتحويلات'!$D$2:$D$3001,"ضيافة / أكل موظفين",'هالك وتحويلات'!$A$2:$A$3001,'إعدادات المخزون'!$B$4)-SUMPRODUCT('مصفوفة الاستهلاك'!$CL$2:$CL$190,'متجهات المبيعات'!$E$2:$E$190)/'مواد المخزون'!$D$90</f>
        <v>-0.0833</v>
      </c>
      <c r="AA95" s="109" t="n">
        <f aca="false">IF(K95="نعم",O95,0)</f>
        <v>0</v>
      </c>
      <c r="AB95" s="109" t="n">
        <f aca="false">IF(K95="نعم",J95*C95,0)</f>
        <v>0</v>
      </c>
      <c r="AC95" s="109" t="n">
        <f aca="false">IF(T95="",0,T95)</f>
        <v>0</v>
      </c>
    </row>
    <row r="97" customFormat="false" ht="15" hidden="false" customHeight="false" outlineLevel="0" collapsed="false">
      <c r="A97" s="33" t="s">
        <v>828</v>
      </c>
      <c r="O97" s="113" t="n">
        <f aca="false">SUM(AA7:AA95)</f>
        <v>0</v>
      </c>
    </row>
  </sheetData>
  <autoFilter ref="A6:W95"/>
  <conditionalFormatting sqref="P7:P95">
    <cfRule type="cellIs" priority="2" operator="equal" aboveAverage="0" equalAverage="0" bottom="0" percent="0" rank="0" text="" dxfId="0">
      <formula>"عجز"</formula>
    </cfRule>
    <cfRule type="cellIs" priority="3" operator="equal" aboveAverage="0" equalAverage="0" bottom="0" percent="0" rank="0" text="" dxfId="16">
      <formula>"زيادة"</formula>
    </cfRule>
    <cfRule type="cellIs" priority="4" operator="equal" aboveAverage="0" equalAverage="0" bottom="0" percent="0" rank="0" text="" dxfId="17">
      <formula>"مطابق"</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1"/>
    <col collapsed="false" customWidth="true" hidden="false" outlineLevel="0" max="5" min="4" style="0" width="12"/>
    <col collapsed="false" customWidth="true" hidden="false" outlineLevel="0" max="7" min="6" style="0" width="11"/>
    <col collapsed="false" customWidth="true" hidden="false" outlineLevel="0" max="8" min="8" style="0" width="15"/>
    <col collapsed="false" customWidth="true" hidden="false" outlineLevel="0" max="9" min="9" style="0" width="11"/>
    <col collapsed="false" customWidth="true" hidden="false" outlineLevel="0" max="10" min="10" style="0" width="13"/>
    <col collapsed="false" customWidth="true" hidden="false" outlineLevel="0" max="11" min="11" style="0" width="9"/>
    <col collapsed="false" customWidth="true" hidden="false" outlineLevel="0" max="13" min="12" style="0" width="12"/>
    <col collapsed="false" customWidth="true" hidden="false" outlineLevel="0" max="14" min="14" style="0" width="10"/>
    <col collapsed="false" customWidth="true" hidden="false" outlineLevel="0" max="15" min="15" style="0" width="14"/>
    <col collapsed="false" customWidth="true" hidden="false" outlineLevel="0" max="18" min="16" style="0" width="11"/>
    <col collapsed="false" customWidth="true" hidden="false" outlineLevel="0" max="19" min="19" style="0" width="12"/>
    <col collapsed="false" customWidth="true" hidden="false" outlineLevel="0" max="23" min="20" style="0" width="13"/>
    <col collapsed="false" customWidth="true" hidden="true" outlineLevel="0" max="29" min="24" style="0" width="12"/>
  </cols>
  <sheetData>
    <row r="1" customFormat="false" ht="17.9" hidden="false" customHeight="false" outlineLevel="0" collapsed="false">
      <c r="A1" s="40" t="s">
        <v>830</v>
      </c>
    </row>
    <row r="2" customFormat="false" ht="15" hidden="false" customHeight="false" outlineLevel="0" collapsed="false">
      <c r="A2" s="104" t="s">
        <v>800</v>
      </c>
      <c r="B2" s="108" t="s">
        <v>34</v>
      </c>
    </row>
    <row r="3" customFormat="false" ht="15" hidden="false" customHeight="false" outlineLevel="0" collapsed="false">
      <c r="A3" s="104" t="s">
        <v>801</v>
      </c>
      <c r="B3" s="103" t="n">
        <f aca="false">'إعدادات المخزون'!$B$4</f>
        <v>46307</v>
      </c>
    </row>
    <row r="4" customFormat="false" ht="15" hidden="false" customHeight="false" outlineLevel="0" collapsed="false">
      <c r="A4" s="17" t="s">
        <v>802</v>
      </c>
    </row>
    <row r="6" customFormat="false" ht="51.75" hidden="false" customHeight="true" outlineLevel="0" collapsed="false">
      <c r="A6" s="18" t="s">
        <v>59</v>
      </c>
      <c r="B6" s="18" t="s">
        <v>687</v>
      </c>
      <c r="C6" s="18" t="s">
        <v>774</v>
      </c>
      <c r="D6" s="18" t="s">
        <v>803</v>
      </c>
      <c r="E6" s="18" t="s">
        <v>804</v>
      </c>
      <c r="F6" s="18" t="s">
        <v>805</v>
      </c>
      <c r="G6" s="18" t="s">
        <v>806</v>
      </c>
      <c r="H6" s="18" t="s">
        <v>807</v>
      </c>
      <c r="I6" s="18" t="s">
        <v>808</v>
      </c>
      <c r="J6" s="18" t="s">
        <v>809</v>
      </c>
      <c r="K6" s="18" t="s">
        <v>810</v>
      </c>
      <c r="L6" s="18" t="s">
        <v>811</v>
      </c>
      <c r="M6" s="18" t="s">
        <v>60</v>
      </c>
      <c r="N6" s="18" t="s">
        <v>812</v>
      </c>
      <c r="O6" s="18" t="s">
        <v>813</v>
      </c>
      <c r="P6" s="18" t="s">
        <v>814</v>
      </c>
      <c r="Q6" s="18" t="s">
        <v>815</v>
      </c>
      <c r="R6" s="18" t="s">
        <v>816</v>
      </c>
      <c r="S6" s="18" t="s">
        <v>817</v>
      </c>
      <c r="T6" s="18" t="s">
        <v>818</v>
      </c>
      <c r="U6" s="18" t="s">
        <v>819</v>
      </c>
      <c r="V6" s="18" t="s">
        <v>820</v>
      </c>
      <c r="W6" s="18" t="s">
        <v>821</v>
      </c>
      <c r="X6" s="18" t="s">
        <v>822</v>
      </c>
      <c r="Y6" s="18" t="s">
        <v>823</v>
      </c>
      <c r="Z6" s="18" t="s">
        <v>824</v>
      </c>
      <c r="AA6" s="18" t="s">
        <v>825</v>
      </c>
      <c r="AB6" s="18" t="s">
        <v>826</v>
      </c>
      <c r="AC6" s="18" t="s">
        <v>827</v>
      </c>
    </row>
    <row r="7" customFormat="false" ht="15" hidden="false" customHeight="false" outlineLevel="0" collapsed="false">
      <c r="A7" s="34" t="str">
        <f aca="false">'مواد المخزون'!A2</f>
        <v>اطباق سيلفر مكرونة</v>
      </c>
      <c r="B7" s="36" t="str">
        <f aca="false">'مواد المخزون'!B2</f>
        <v>قطعة</v>
      </c>
      <c r="C7" s="109" t="n">
        <f aca="false">'مواد المخزون'!E2</f>
        <v>3.3</v>
      </c>
      <c r="D7" s="110" t="n">
        <f aca="false">'جرد أول المدة'!E5</f>
        <v>215</v>
      </c>
      <c r="E7" s="110" t="n">
        <f aca="false">SUMIFS('مشتريات يومية'!$D$2:$D$4001,'مشتريات يومية'!$B$2:$B$4001,$B$2,'مشتريات يومية'!$C$2:$C$4001,$A7,'مشتريات يومية'!$A$2:$A$4001,"&gt;="&amp;'إعدادات المخزون'!$B$5,'مشتريات يومية'!$A$2:$A$4001,"&lt;="&amp;'إعدادات المخزون'!$B$4)</f>
        <v>0</v>
      </c>
      <c r="F7" s="110" t="n">
        <f aca="false">SUMIFS('هالك وتحويلات'!$E$2:$E$3001,'هالك وتحويلات'!$B$2:$B$3001,$B$2,'هالك وتحويلات'!$C$2:$C$3001,$A7,'هالك وتحويلات'!$D$2:$D$3001,"تحويل وارد",'هالك وتحويلات'!$A$2:$A$3001,"&gt;="&amp;'إعدادات المخزون'!$B$5,'هالك وتحويلات'!$A$2:$A$3001,"&lt;="&amp;'إعدادات المخزون'!$B$4)</f>
        <v>0</v>
      </c>
      <c r="G7" s="110" t="n">
        <f aca="false">SUMIFS('هالك وتحويلات'!$E$2:$E$3001,'هالك وتحويلات'!$B$2:$B$3001,$B$2,'هالك وتحويلات'!$C$2:$C$3001,$A7,'هالك وتحويلات'!$D$2:$D$3001,"تحويل صادر",'هالك وتحويلات'!$A$2:$A$3001,"&gt;="&amp;'إعدادات المخزون'!$B$5,'هالك وتحويلات'!$A$2:$A$3001,"&lt;="&amp;'إعدادات المخزون'!$B$4)</f>
        <v>0</v>
      </c>
      <c r="H7" s="110" t="n">
        <f aca="false">SUMPRODUCT('مصفوفة الاستهلاك (عصافرة)'!$B$2:$B$190,'متجهات المبيعات'!$I$2:$I$190)/'مواد المخزون'!$D$2</f>
        <v>76.002</v>
      </c>
      <c r="I7" s="110" t="n">
        <f aca="false">SUMIFS('هالك وتحويلات'!$E$2:$E$3001,'هالك وتحويلات'!$B$2:$B$3001,$B$2,'هالك وتحويلات'!$C$2:$C$3001,$A7,'هالك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وتحويلات'!$C$2:$C$3001,$A7,'هالك وتحويلات'!$D$2:$D$3001,"ضيافة / أكل موظفين",'هالك وتحويلات'!$A$2:$A$3001,"&gt;="&amp;'إعدادات المخزون'!$B$5,'هالك وتحويلات'!$A$2:$A$3001,"&lt;="&amp;'إعدادات المخزون'!$B$4)</f>
        <v>0</v>
      </c>
      <c r="J7" s="110" t="n">
        <f aca="false">D7+E7+F7-G7-H7-I7</f>
        <v>138.998</v>
      </c>
      <c r="K7" s="36" t="str">
        <f aca="false">IF(COUNTIFS('جرد فعلي'!$B$2:$B$12001,$B$2,'جرد فعلي'!$C$2:$C$12001,$A7,'جرد فعلي'!$A$2:$A$12001,'إعدادات المخزون'!$B$4)&gt;0,"نعم","لا")</f>
        <v>لا</v>
      </c>
      <c r="L7" s="111" t="str">
        <f aca="false">IF(K7="نعم",SUMIFS('جرد فعلي'!$D$2:$D$12001,'جرد فعلي'!$B$2:$B$12001,$B$2,'جرد فعلي'!$C$2:$C$12001,$A7,'جرد فعلي'!$A$2:$A$12001,'إعدادات المخزون'!$B$4),"")</f>
        <v/>
      </c>
      <c r="M7" s="110" t="str">
        <f aca="false">IF(K7="نعم",L7-J7,"")</f>
        <v/>
      </c>
      <c r="N7" s="112" t="str">
        <f aca="false">IF(K7="نعم",IF(J7=0,IF(M7=0,0,SIGN(M7)),M7/ABS(J7)),"")</f>
        <v/>
      </c>
      <c r="O7" s="109" t="str">
        <f aca="false">IF(K7="نعم",M7*C7,"")</f>
        <v/>
      </c>
      <c r="P7" s="36" t="str">
        <f aca="false">IF(K7&lt;&gt;"نعم","لم يُجرد",IF(ABS(N7)&lt;='إعدادات المخزون'!$B$7,"مطابق",IF(M7&lt;0,"عجز","زيادة")))</f>
        <v>لم يُجرد</v>
      </c>
      <c r="Q7" s="110" t="n">
        <f aca="false">J7-Z7</f>
        <v>145.3315</v>
      </c>
      <c r="R7" s="110" t="str">
        <f aca="false">IF(COUNTIFS('جرد فعلي'!$B$2:$B$12001,$B$2,'جرد فعلي'!$C$2:$C$12001,$A7,'جرد فعلي'!$A$2:$A$12001,'إعدادات المخزون'!$B$4-1)&gt;0,SUMIFS('جرد فعلي'!$D$2:$D$12001,'جرد فعلي'!$B$2:$B$12001,$B$2,'جرد فعلي'!$C$2:$C$12001,$A7,'جرد فعلي'!$A$2:$A$12001,'إعدادات المخزون'!$B$4-1),"")</f>
        <v/>
      </c>
      <c r="S7" s="110" t="str">
        <f aca="false">IF(AND(K7="نعم",R7&lt;&gt;""),(L7-J7)-(R7-Q7),"")</f>
        <v/>
      </c>
      <c r="T7" s="109" t="str">
        <f aca="false">IF(S7="","",S7*C7)</f>
        <v/>
      </c>
      <c r="U7" s="110" t="n">
        <f aca="false">IF(K7="نعم",L7,J7)</f>
        <v>138.998</v>
      </c>
      <c r="V7" s="110" t="n">
        <f aca="false">SUMPRODUCT('مصفوفة الاستهلاك (عصافرة)'!$B$2:$B$190,'متجهات المبيعات'!$J$2:$J$190)/'مواد المخزون'!$D$2/MAX(1,MIN('إعدادات المخزون'!$B$11,'إعدادات المخزون'!$B$4-'إعدادات المخزون'!$B$5+1))</f>
        <v>6.3335</v>
      </c>
      <c r="W7" s="110" t="n">
        <f aca="false">IF(V7&lt;=0,0,ROUNDUP(MAX(0,V7*('إعدادات المخزون'!$B$8+'إعدادات المخزون'!$B$9+'إعدادات المخزون'!$B$10)-MAX(U7,0))/'مواد المخزون'!$F2,0)*'مواد المخزون'!$F2)</f>
        <v>0</v>
      </c>
      <c r="X7" s="109" t="n">
        <f aca="false">IF(AND(K7="نعم",O7&lt;0),-O7+ROW()*0.000000001,0)</f>
        <v>0</v>
      </c>
      <c r="Y7" s="109" t="n">
        <f aca="false">IF(AND(K7="نعم",O7&gt;0),O7+ROW()*0.000000001,0)</f>
        <v>0</v>
      </c>
      <c r="Z7" s="110" t="n">
        <f aca="false">SUMIFS('مشتريات يومية'!$D$2:$D$4001,'مشتريات يومية'!$B$2:$B$4001,$B$2,'مشتريات يومية'!$C$2:$C$4001,$A7,'مشتريات يومية'!$A$2:$A$4001,'إعدادات المخزون'!$B$4)+SUMIFS('هالك وتحويلات'!$E$2:$E$3001,'هالك وتحويلات'!$B$2:$B$3001,$B$2,'هالك وتحويلات'!$C$2:$C$3001,$A7,'هالك وتحويلات'!$D$2:$D$3001,"تحويل وارد",'هالك وتحويلات'!$A$2:$A$3001,'إعدادات المخزون'!$B$4)-SUMIFS('هالك وتحويلات'!$E$2:$E$3001,'هالك وتحويلات'!$B$2:$B$3001,$B$2,'هالك وتحويلات'!$C$2:$C$3001,$A7,'هالك وتحويلات'!$D$2:$D$3001,"تحويل صادر",'هالك وتحويلات'!$A$2:$A$3001,'إعدادات المخزون'!$B$4)-SUMIFS('هالك وتحويلات'!$E$2:$E$3001,'هالك وتحويلات'!$B$2:$B$3001,$B$2,'هالك وتحويلات'!$C$2:$C$3001,$A7,'هالك وتحويلات'!$D$2:$D$3001,"هالك",'هالك وتحويلات'!$A$2:$A$3001,'إعدادات المخزون'!$B$4)-SUMIFS('هالك وتحويلات'!$E$2:$E$3001,'هالك وتحويلات'!$B$2:$B$3001,$B$2,'هالك وتحويلات'!$C$2:$C$3001,$A7,'هالك وتحويلات'!$D$2:$D$3001,"ضيافة / أكل موظفين",'هالك وتحويلات'!$A$2:$A$3001,'إعدادات المخزون'!$B$4)-SUMPRODUCT('مصفوفة الاستهلاك (عصافرة)'!$B$2:$B$190,'متجهات المبيعات'!$H$2:$H$190)/'مواد المخزون'!$D$2</f>
        <v>-6.3335</v>
      </c>
      <c r="AA7" s="109" t="n">
        <f aca="false">IF(K7="نعم",O7,0)</f>
        <v>0</v>
      </c>
      <c r="AB7" s="109" t="n">
        <f aca="false">IF(K7="نعم",J7*C7,0)</f>
        <v>0</v>
      </c>
      <c r="AC7" s="109" t="n">
        <f aca="false">IF(T7="",0,T7)</f>
        <v>0</v>
      </c>
    </row>
    <row r="8" customFormat="false" ht="15" hidden="false" customHeight="false" outlineLevel="0" collapsed="false">
      <c r="A8" s="34" t="str">
        <f aca="false">'مواد المخزون'!A3</f>
        <v>اطباق فوم كيلو</v>
      </c>
      <c r="B8" s="36" t="str">
        <f aca="false">'مواد المخزون'!B3</f>
        <v>قطعة</v>
      </c>
      <c r="C8" s="109" t="n">
        <f aca="false">'مواد المخزون'!E3</f>
        <v>0.8</v>
      </c>
      <c r="D8" s="110" t="n">
        <f aca="false">'جرد أول المدة'!E6</f>
        <v>243</v>
      </c>
      <c r="E8" s="110" t="n">
        <f aca="false">SUMIFS('مشتريات يومية'!$D$2:$D$4001,'مشتريات يومية'!$B$2:$B$4001,$B$2,'مشتريات يومية'!$C$2:$C$4001,$A8,'مشتريات يومية'!$A$2:$A$4001,"&gt;="&amp;'إعدادات المخزون'!$B$5,'مشتريات يومية'!$A$2:$A$4001,"&lt;="&amp;'إعدادات المخزون'!$B$4)</f>
        <v>1000</v>
      </c>
      <c r="F8" s="110" t="n">
        <f aca="false">SUMIFS('هالك وتحويلات'!$E$2:$E$3001,'هالك وتحويلات'!$B$2:$B$3001,$B$2,'هالك وتحويلات'!$C$2:$C$3001,$A8,'هالك وتحويلات'!$D$2:$D$3001,"تحويل وارد",'هالك وتحويلات'!$A$2:$A$3001,"&gt;="&amp;'إعدادات المخزون'!$B$5,'هالك وتحويلات'!$A$2:$A$3001,"&lt;="&amp;'إعدادات المخزون'!$B$4)</f>
        <v>0</v>
      </c>
      <c r="G8" s="110" t="n">
        <f aca="false">SUMIFS('هالك وتحويلات'!$E$2:$E$3001,'هالك وتحويلات'!$B$2:$B$3001,$B$2,'هالك وتحويلات'!$C$2:$C$3001,$A8,'هالك وتحويلات'!$D$2:$D$3001,"تحويل صادر",'هالك وتحويلات'!$A$2:$A$3001,"&gt;="&amp;'إعدادات المخزون'!$B$5,'هالك وتحويلات'!$A$2:$A$3001,"&lt;="&amp;'إعدادات المخزون'!$B$4)</f>
        <v>0</v>
      </c>
      <c r="H8" s="110" t="n">
        <f aca="false">SUMPRODUCT('مصفوفة الاستهلاك (عصافرة)'!$C$2:$C$190,'متجهات المبيعات'!$I$2:$I$190)/'مواد المخزون'!$D$3</f>
        <v>519.4992</v>
      </c>
      <c r="I8" s="110" t="n">
        <f aca="false">SUMIFS('هالك وتحويلات'!$E$2:$E$3001,'هالك وتحويلات'!$B$2:$B$3001,$B$2,'هالك وتحويلات'!$C$2:$C$3001,$A8,'هالك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وتحويلات'!$C$2:$C$3001,$A8,'هالك وتحويلات'!$D$2:$D$3001,"ضيافة / أكل موظفين",'هالك وتحويلات'!$A$2:$A$3001,"&gt;="&amp;'إعدادات المخزون'!$B$5,'هالك وتحويلات'!$A$2:$A$3001,"&lt;="&amp;'إعدادات المخزون'!$B$4)</f>
        <v>0</v>
      </c>
      <c r="J8" s="110" t="n">
        <f aca="false">D8+E8+F8-G8-H8-I8</f>
        <v>723.5008</v>
      </c>
      <c r="K8" s="36" t="str">
        <f aca="false">IF(COUNTIFS('جرد فعلي'!$B$2:$B$12001,$B$2,'جرد فعلي'!$C$2:$C$12001,$A8,'جرد فعلي'!$A$2:$A$12001,'إعدادات المخزون'!$B$4)&gt;0,"نعم","لا")</f>
        <v>لا</v>
      </c>
      <c r="L8" s="111" t="str">
        <f aca="false">IF(K8="نعم",SUMIFS('جرد فعلي'!$D$2:$D$12001,'جرد فعلي'!$B$2:$B$12001,$B$2,'جرد فعلي'!$C$2:$C$12001,$A8,'جرد فعلي'!$A$2:$A$12001,'إعدادات المخزون'!$B$4),"")</f>
        <v/>
      </c>
      <c r="M8" s="110" t="str">
        <f aca="false">IF(K8="نعم",L8-J8,"")</f>
        <v/>
      </c>
      <c r="N8" s="112" t="str">
        <f aca="false">IF(K8="نعم",IF(J8=0,IF(M8=0,0,SIGN(M8)),M8/ABS(J8)),"")</f>
        <v/>
      </c>
      <c r="O8" s="109" t="str">
        <f aca="false">IF(K8="نعم",M8*C8,"")</f>
        <v/>
      </c>
      <c r="P8" s="36" t="str">
        <f aca="false">IF(K8&lt;&gt;"نعم","لم يُجرد",IF(ABS(N8)&lt;='إعدادات المخزون'!$B$7,"مطابق",IF(M8&lt;0,"عجز","زيادة")))</f>
        <v>لم يُجرد</v>
      </c>
      <c r="Q8" s="110" t="n">
        <f aca="false">J8-Z8</f>
        <v>766.7924</v>
      </c>
      <c r="R8" s="110" t="str">
        <f aca="false">IF(COUNTIFS('جرد فعلي'!$B$2:$B$12001,$B$2,'جرد فعلي'!$C$2:$C$12001,$A8,'جرد فعلي'!$A$2:$A$12001,'إعدادات المخزون'!$B$4-1)&gt;0,SUMIFS('جرد فعلي'!$D$2:$D$12001,'جرد فعلي'!$B$2:$B$12001,$B$2,'جرد فعلي'!$C$2:$C$12001,$A8,'جرد فعلي'!$A$2:$A$12001,'إعدادات المخزون'!$B$4-1),"")</f>
        <v/>
      </c>
      <c r="S8" s="110" t="str">
        <f aca="false">IF(AND(K8="نعم",R8&lt;&gt;""),(L8-J8)-(R8-Q8),"")</f>
        <v/>
      </c>
      <c r="T8" s="109" t="str">
        <f aca="false">IF(S8="","",S8*C8)</f>
        <v/>
      </c>
      <c r="U8" s="110" t="n">
        <f aca="false">IF(K8="نعم",L8,J8)</f>
        <v>723.5008</v>
      </c>
      <c r="V8" s="110" t="n">
        <f aca="false">SUMPRODUCT('مصفوفة الاستهلاك (عصافرة)'!$C$2:$C$190,'متجهات المبيعات'!$J$2:$J$190)/'مواد المخزون'!$D$3/MAX(1,MIN('إعدادات المخزون'!$B$11,'إعدادات المخزون'!$B$4-'إعدادات المخزون'!$B$5+1))</f>
        <v>43.2916</v>
      </c>
      <c r="W8" s="110" t="n">
        <f aca="false">IF(V8&lt;=0,0,ROUNDUP(MAX(0,V8*('إعدادات المخزون'!$B$8+'إعدادات المخزون'!$B$9+'إعدادات المخزون'!$B$10)-MAX(U8,0))/'مواد المخزون'!$F3,0)*'مواد المخزون'!$F3)</f>
        <v>0</v>
      </c>
      <c r="X8" s="109" t="n">
        <f aca="false">IF(AND(K8="نعم",O8&lt;0),-O8+ROW()*0.000000001,0)</f>
        <v>0</v>
      </c>
      <c r="Y8" s="109" t="n">
        <f aca="false">IF(AND(K8="نعم",O8&gt;0),O8+ROW()*0.000000001,0)</f>
        <v>0</v>
      </c>
      <c r="Z8" s="110" t="n">
        <f aca="false">SUMIFS('مشتريات يومية'!$D$2:$D$4001,'مشتريات يومية'!$B$2:$B$4001,$B$2,'مشتريات يومية'!$C$2:$C$4001,$A8,'مشتريات يومية'!$A$2:$A$4001,'إعدادات المخزون'!$B$4)+SUMIFS('هالك وتحويلات'!$E$2:$E$3001,'هالك وتحويلات'!$B$2:$B$3001,$B$2,'هالك وتحويلات'!$C$2:$C$3001,$A8,'هالك وتحويلات'!$D$2:$D$3001,"تحويل وارد",'هالك وتحويلات'!$A$2:$A$3001,'إعدادات المخزون'!$B$4)-SUMIFS('هالك وتحويلات'!$E$2:$E$3001,'هالك وتحويلات'!$B$2:$B$3001,$B$2,'هالك وتحويلات'!$C$2:$C$3001,$A8,'هالك وتحويلات'!$D$2:$D$3001,"تحويل صادر",'هالك وتحويلات'!$A$2:$A$3001,'إعدادات المخزون'!$B$4)-SUMIFS('هالك وتحويلات'!$E$2:$E$3001,'هالك وتحويلات'!$B$2:$B$3001,$B$2,'هالك وتحويلات'!$C$2:$C$3001,$A8,'هالك وتحويلات'!$D$2:$D$3001,"هالك",'هالك وتحويلات'!$A$2:$A$3001,'إعدادات المخزون'!$B$4)-SUMIFS('هالك وتحويلات'!$E$2:$E$3001,'هالك وتحويلات'!$B$2:$B$3001,$B$2,'هالك وتحويلات'!$C$2:$C$3001,$A8,'هالك وتحويلات'!$D$2:$D$3001,"ضيافة / أكل موظفين",'هالك وتحويلات'!$A$2:$A$3001,'إعدادات المخزون'!$B$4)-SUMPRODUCT('مصفوفة الاستهلاك (عصافرة)'!$C$2:$C$190,'متجهات المبيعات'!$H$2:$H$190)/'مواد المخزون'!$D$3</f>
        <v>-43.2916</v>
      </c>
      <c r="AA8" s="109" t="n">
        <f aca="false">IF(K8="نعم",O8,0)</f>
        <v>0</v>
      </c>
      <c r="AB8" s="109" t="n">
        <f aca="false">IF(K8="نعم",J8*C8,0)</f>
        <v>0</v>
      </c>
      <c r="AC8" s="109" t="n">
        <f aca="false">IF(T8="",0,T8)</f>
        <v>0</v>
      </c>
    </row>
    <row r="9" customFormat="false" ht="15" hidden="false" customHeight="false" outlineLevel="0" collapsed="false">
      <c r="A9" s="34" t="str">
        <f aca="false">'مواد المخزون'!A4</f>
        <v>اكياس مطبوعة كبير</v>
      </c>
      <c r="B9" s="36" t="str">
        <f aca="false">'مواد المخزون'!B4</f>
        <v>كجم</v>
      </c>
      <c r="C9" s="109" t="n">
        <f aca="false">'مواد المخزون'!E4</f>
        <v>70</v>
      </c>
      <c r="D9" s="110" t="n">
        <f aca="false">'جرد أول المدة'!E7</f>
        <v>22.98</v>
      </c>
      <c r="E9" s="110" t="n">
        <f aca="false">SUMIFS('مشتريات يومية'!$D$2:$D$4001,'مشتريات يومية'!$B$2:$B$4001,$B$2,'مشتريات يومية'!$C$2:$C$4001,$A9,'مشتريات يومية'!$A$2:$A$4001,"&gt;="&amp;'إعدادات المخزون'!$B$5,'مشتريات يومية'!$A$2:$A$4001,"&lt;="&amp;'إعدادات المخزون'!$B$4)</f>
        <v>25</v>
      </c>
      <c r="F9" s="110" t="n">
        <f aca="false">SUMIFS('هالك وتحويلات'!$E$2:$E$3001,'هالك وتحويلات'!$B$2:$B$3001,$B$2,'هالك وتحويلات'!$C$2:$C$3001,$A9,'هالك وتحويلات'!$D$2:$D$3001,"تحويل وارد",'هالك وتحويلات'!$A$2:$A$3001,"&gt;="&amp;'إعدادات المخزون'!$B$5,'هالك وتحويلات'!$A$2:$A$3001,"&lt;="&amp;'إعدادات المخزون'!$B$4)</f>
        <v>0</v>
      </c>
      <c r="G9" s="110" t="n">
        <f aca="false">SUMIFS('هالك وتحويلات'!$E$2:$E$3001,'هالك وتحويلات'!$B$2:$B$3001,$B$2,'هالك وتحويلات'!$C$2:$C$3001,$A9,'هالك وتحويلات'!$D$2:$D$3001,"تحويل صادر",'هالك وتحويلات'!$A$2:$A$3001,"&gt;="&amp;'إعدادات المخزون'!$B$5,'هالك وتحويلات'!$A$2:$A$3001,"&lt;="&amp;'إعدادات المخزون'!$B$4)</f>
        <v>0</v>
      </c>
      <c r="H9" s="110" t="n">
        <f aca="false">SUMPRODUCT('مصفوفة الاستهلاك (عصافرة)'!$D$2:$D$190,'متجهات المبيعات'!$I$2:$I$190)/'مواد المخزون'!$D$4</f>
        <v>34.389996</v>
      </c>
      <c r="I9" s="110" t="n">
        <f aca="false">SUMIFS('هالك وتحويلات'!$E$2:$E$3001,'هالك وتحويلات'!$B$2:$B$3001,$B$2,'هالك وتحويلات'!$C$2:$C$3001,$A9,'هالك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وتحويلات'!$C$2:$C$3001,$A9,'هالك وتحويلات'!$D$2:$D$3001,"ضيافة / أكل موظفين",'هالك وتحويلات'!$A$2:$A$3001,"&gt;="&amp;'إعدادات المخزون'!$B$5,'هالك وتحويلات'!$A$2:$A$3001,"&lt;="&amp;'إعدادات المخزون'!$B$4)</f>
        <v>0</v>
      </c>
      <c r="J9" s="110" t="n">
        <f aca="false">D9+E9+F9-G9-H9-I9</f>
        <v>13.590004</v>
      </c>
      <c r="K9" s="36" t="str">
        <f aca="false">IF(COUNTIFS('جرد فعلي'!$B$2:$B$12001,$B$2,'جرد فعلي'!$C$2:$C$12001,$A9,'جرد فعلي'!$A$2:$A$12001,'إعدادات المخزون'!$B$4)&gt;0,"نعم","لا")</f>
        <v>لا</v>
      </c>
      <c r="L9" s="111" t="str">
        <f aca="false">IF(K9="نعم",SUMIFS('جرد فعلي'!$D$2:$D$12001,'جرد فعلي'!$B$2:$B$12001,$B$2,'جرد فعلي'!$C$2:$C$12001,$A9,'جرد فعلي'!$A$2:$A$12001,'إعدادات المخزون'!$B$4),"")</f>
        <v/>
      </c>
      <c r="M9" s="110" t="str">
        <f aca="false">IF(K9="نعم",L9-J9,"")</f>
        <v/>
      </c>
      <c r="N9" s="112" t="str">
        <f aca="false">IF(K9="نعم",IF(J9=0,IF(M9=0,0,SIGN(M9)),M9/ABS(J9)),"")</f>
        <v/>
      </c>
      <c r="O9" s="109" t="str">
        <f aca="false">IF(K9="نعم",M9*C9,"")</f>
        <v/>
      </c>
      <c r="P9" s="36" t="str">
        <f aca="false">IF(K9&lt;&gt;"نعم","لم يُجرد",IF(ABS(N9)&lt;='إعدادات المخزون'!$B$7,"مطابق",IF(M9&lt;0,"عجز","زيادة")))</f>
        <v>لم يُجرد</v>
      </c>
      <c r="Q9" s="110" t="n">
        <f aca="false">J9-Z9</f>
        <v>16.455837</v>
      </c>
      <c r="R9" s="110" t="str">
        <f aca="false">IF(COUNTIFS('جرد فعلي'!$B$2:$B$12001,$B$2,'جرد فعلي'!$C$2:$C$12001,$A9,'جرد فعلي'!$A$2:$A$12001,'إعدادات المخزون'!$B$4-1)&gt;0,SUMIFS('جرد فعلي'!$D$2:$D$12001,'جرد فعلي'!$B$2:$B$12001,$B$2,'جرد فعلي'!$C$2:$C$12001,$A9,'جرد فعلي'!$A$2:$A$12001,'إعدادات المخزون'!$B$4-1),"")</f>
        <v/>
      </c>
      <c r="S9" s="110" t="str">
        <f aca="false">IF(AND(K9="نعم",R9&lt;&gt;""),(L9-J9)-(R9-Q9),"")</f>
        <v/>
      </c>
      <c r="T9" s="109" t="str">
        <f aca="false">IF(S9="","",S9*C9)</f>
        <v/>
      </c>
      <c r="U9" s="110" t="n">
        <f aca="false">IF(K9="نعم",L9,J9)</f>
        <v>13.590004</v>
      </c>
      <c r="V9" s="110" t="n">
        <f aca="false">SUMPRODUCT('مصفوفة الاستهلاك (عصافرة)'!$D$2:$D$190,'متجهات المبيعات'!$J$2:$J$190)/'مواد المخزون'!$D$4/MAX(1,MIN('إعدادات المخزون'!$B$11,'إعدادات المخزون'!$B$4-'إعدادات المخزون'!$B$5+1))</f>
        <v>2.865833</v>
      </c>
      <c r="W9" s="110" t="n">
        <f aca="false">IF(V9&lt;=0,0,ROUNDUP(MAX(0,V9*('إعدادات المخزون'!$B$8+'إعدادات المخزون'!$B$9+'إعدادات المخزون'!$B$10)-MAX(U9,0))/'مواد المخزون'!$F4,0)*'مواد المخزون'!$F4)</f>
        <v>0</v>
      </c>
      <c r="X9" s="109" t="n">
        <f aca="false">IF(AND(K9="نعم",O9&lt;0),-O9+ROW()*0.000000001,0)</f>
        <v>0</v>
      </c>
      <c r="Y9" s="109" t="n">
        <f aca="false">IF(AND(K9="نعم",O9&gt;0),O9+ROW()*0.000000001,0)</f>
        <v>0</v>
      </c>
      <c r="Z9" s="110" t="n">
        <f aca="false">SUMIFS('مشتريات يومية'!$D$2:$D$4001,'مشتريات يومية'!$B$2:$B$4001,$B$2,'مشتريات يومية'!$C$2:$C$4001,$A9,'مشتريات يومية'!$A$2:$A$4001,'إعدادات المخزون'!$B$4)+SUMIFS('هالك وتحويلات'!$E$2:$E$3001,'هالك وتحويلات'!$B$2:$B$3001,$B$2,'هالك وتحويلات'!$C$2:$C$3001,$A9,'هالك وتحويلات'!$D$2:$D$3001,"تحويل وارد",'هالك وتحويلات'!$A$2:$A$3001,'إعدادات المخزون'!$B$4)-SUMIFS('هالك وتحويلات'!$E$2:$E$3001,'هالك وتحويلات'!$B$2:$B$3001,$B$2,'هالك وتحويلات'!$C$2:$C$3001,$A9,'هالك وتحويلات'!$D$2:$D$3001,"تحويل صادر",'هالك وتحويلات'!$A$2:$A$3001,'إعدادات المخزون'!$B$4)-SUMIFS('هالك وتحويلات'!$E$2:$E$3001,'هالك وتحويلات'!$B$2:$B$3001,$B$2,'هالك وتحويلات'!$C$2:$C$3001,$A9,'هالك وتحويلات'!$D$2:$D$3001,"هالك",'هالك وتحويلات'!$A$2:$A$3001,'إعدادات المخزون'!$B$4)-SUMIFS('هالك وتحويلات'!$E$2:$E$3001,'هالك وتحويلات'!$B$2:$B$3001,$B$2,'هالك وتحويلات'!$C$2:$C$3001,$A9,'هالك وتحويلات'!$D$2:$D$3001,"ضيافة / أكل موظفين",'هالك وتحويلات'!$A$2:$A$3001,'إعدادات المخزون'!$B$4)-SUMPRODUCT('مصفوفة الاستهلاك (عصافرة)'!$D$2:$D$190,'متجهات المبيعات'!$H$2:$H$190)/'مواد المخزون'!$D$4</f>
        <v>-2.865833</v>
      </c>
      <c r="AA9" s="109" t="n">
        <f aca="false">IF(K9="نعم",O9,0)</f>
        <v>0</v>
      </c>
      <c r="AB9" s="109" t="n">
        <f aca="false">IF(K9="نعم",J9*C9,0)</f>
        <v>0</v>
      </c>
      <c r="AC9" s="109" t="n">
        <f aca="false">IF(T9="",0,T9)</f>
        <v>0</v>
      </c>
    </row>
    <row r="10" customFormat="false" ht="15" hidden="false" customHeight="false" outlineLevel="0" collapsed="false">
      <c r="A10" s="34" t="str">
        <f aca="false">'مواد المخزون'!A5</f>
        <v>اكياس مطبوعة وسط</v>
      </c>
      <c r="B10" s="36" t="str">
        <f aca="false">'مواد المخزون'!B5</f>
        <v>كجم</v>
      </c>
      <c r="C10" s="109" t="n">
        <f aca="false">'مواد المخزون'!E5</f>
        <v>70</v>
      </c>
      <c r="D10" s="110" t="n">
        <f aca="false">'جرد أول المدة'!E8</f>
        <v>22.75</v>
      </c>
      <c r="E10" s="110" t="n">
        <f aca="false">SUMIFS('مشتريات يومية'!$D$2:$D$4001,'مشتريات يومية'!$B$2:$B$4001,$B$2,'مشتريات يومية'!$C$2:$C$4001,$A10,'مشتريات يومية'!$A$2:$A$4001,"&gt;="&amp;'إعدادات المخزون'!$B$5,'مشتريات يومية'!$A$2:$A$4001,"&lt;="&amp;'إعدادات المخزون'!$B$4)</f>
        <v>25</v>
      </c>
      <c r="F10" s="110" t="n">
        <f aca="false">SUMIFS('هالك وتحويلات'!$E$2:$E$3001,'هالك وتحويلات'!$B$2:$B$3001,$B$2,'هالك وتحويلات'!$C$2:$C$3001,$A10,'هالك وتحويلات'!$D$2:$D$3001,"تحويل وارد",'هالك وتحويلات'!$A$2:$A$3001,"&gt;="&amp;'إعدادات المخزون'!$B$5,'هالك وتحويلات'!$A$2:$A$3001,"&lt;="&amp;'إعدادات المخزون'!$B$4)</f>
        <v>0</v>
      </c>
      <c r="G10" s="110" t="n">
        <f aca="false">SUMIFS('هالك وتحويلات'!$E$2:$E$3001,'هالك وتحويلات'!$B$2:$B$3001,$B$2,'هالك وتحويلات'!$C$2:$C$3001,$A10,'هالك وتحويلات'!$D$2:$D$3001,"تحويل صادر",'هالك وتحويلات'!$A$2:$A$3001,"&gt;="&amp;'إعدادات المخزون'!$B$5,'هالك وتحويلات'!$A$2:$A$3001,"&lt;="&amp;'إعدادات المخزون'!$B$4)</f>
        <v>0</v>
      </c>
      <c r="H10" s="110" t="n">
        <f aca="false">SUMPRODUCT('مصفوفة الاستهلاك (عصافرة)'!$E$2:$E$190,'متجهات المبيعات'!$I$2:$I$190)/'مواد المخزون'!$D$5</f>
        <v>15.950016</v>
      </c>
      <c r="I10" s="110" t="n">
        <f aca="false">SUMIFS('هالك وتحويلات'!$E$2:$E$3001,'هالك وتحويلات'!$B$2:$B$3001,$B$2,'هالك وتحويلات'!$C$2:$C$3001,$A10,'هالك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وتحويلات'!$C$2:$C$3001,$A10,'هالك وتحويلات'!$D$2:$D$3001,"ضيافة / أكل موظفين",'هالك وتحويلات'!$A$2:$A$3001,"&gt;="&amp;'إعدادات المخزون'!$B$5,'هالك وتحويلات'!$A$2:$A$3001,"&lt;="&amp;'إعدادات المخزون'!$B$4)</f>
        <v>0</v>
      </c>
      <c r="J10" s="110" t="n">
        <f aca="false">D10+E10+F10-G10-H10-I10</f>
        <v>31.799984</v>
      </c>
      <c r="K10" s="36" t="str">
        <f aca="false">IF(COUNTIFS('جرد فعلي'!$B$2:$B$12001,$B$2,'جرد فعلي'!$C$2:$C$12001,$A10,'جرد فعلي'!$A$2:$A$12001,'إعدادات المخزون'!$B$4)&gt;0,"نعم","لا")</f>
        <v>لا</v>
      </c>
      <c r="L10" s="111" t="str">
        <f aca="false">IF(K10="نعم",SUMIFS('جرد فعلي'!$D$2:$D$12001,'جرد فعلي'!$B$2:$B$12001,$B$2,'جرد فعلي'!$C$2:$C$12001,$A10,'جرد فعلي'!$A$2:$A$12001,'إعدادات المخزون'!$B$4),"")</f>
        <v/>
      </c>
      <c r="M10" s="110" t="str">
        <f aca="false">IF(K10="نعم",L10-J10,"")</f>
        <v/>
      </c>
      <c r="N10" s="112" t="str">
        <f aca="false">IF(K10="نعم",IF(J10=0,IF(M10=0,0,SIGN(M10)),M10/ABS(J10)),"")</f>
        <v/>
      </c>
      <c r="O10" s="109" t="str">
        <f aca="false">IF(K10="نعم",M10*C10,"")</f>
        <v/>
      </c>
      <c r="P10" s="36" t="str">
        <f aca="false">IF(K10&lt;&gt;"نعم","لم يُجرد",IF(ABS(N10)&lt;='إعدادات المخزون'!$B$7,"مطابق",IF(M10&lt;0,"عجز","زيادة")))</f>
        <v>لم يُجرد</v>
      </c>
      <c r="Q10" s="110" t="n">
        <f aca="false">J10-Z10</f>
        <v>33.129152</v>
      </c>
      <c r="R10" s="110" t="str">
        <f aca="false">IF(COUNTIFS('جرد فعلي'!$B$2:$B$12001,$B$2,'جرد فعلي'!$C$2:$C$12001,$A10,'جرد فعلي'!$A$2:$A$12001,'إعدادات المخزون'!$B$4-1)&gt;0,SUMIFS('جرد فعلي'!$D$2:$D$12001,'جرد فعلي'!$B$2:$B$12001,$B$2,'جرد فعلي'!$C$2:$C$12001,$A10,'جرد فعلي'!$A$2:$A$12001,'إعدادات المخزون'!$B$4-1),"")</f>
        <v/>
      </c>
      <c r="S10" s="110" t="str">
        <f aca="false">IF(AND(K10="نعم",R10&lt;&gt;""),(L10-J10)-(R10-Q10),"")</f>
        <v/>
      </c>
      <c r="T10" s="109" t="str">
        <f aca="false">IF(S10="","",S10*C10)</f>
        <v/>
      </c>
      <c r="U10" s="110" t="n">
        <f aca="false">IF(K10="نعم",L10,J10)</f>
        <v>31.799984</v>
      </c>
      <c r="V10" s="110" t="n">
        <f aca="false">SUMPRODUCT('مصفوفة الاستهلاك (عصافرة)'!$E$2:$E$190,'متجهات المبيعات'!$J$2:$J$190)/'مواد المخزون'!$D$5/MAX(1,MIN('إعدادات المخزون'!$B$11,'إعدادات المخزون'!$B$4-'إعدادات المخزون'!$B$5+1))</f>
        <v>1.329168</v>
      </c>
      <c r="W10" s="110" t="n">
        <f aca="false">IF(V10&lt;=0,0,ROUNDUP(MAX(0,V10*('إعدادات المخزون'!$B$8+'إعدادات المخزون'!$B$9+'إعدادات المخزون'!$B$10)-MAX(U10,0))/'مواد المخزون'!$F5,0)*'مواد المخزون'!$F5)</f>
        <v>0</v>
      </c>
      <c r="X10" s="109" t="n">
        <f aca="false">IF(AND(K10="نعم",O10&lt;0),-O10+ROW()*0.000000001,0)</f>
        <v>0</v>
      </c>
      <c r="Y10" s="109" t="n">
        <f aca="false">IF(AND(K10="نعم",O10&gt;0),O10+ROW()*0.000000001,0)</f>
        <v>0</v>
      </c>
      <c r="Z10" s="110" t="n">
        <f aca="false">SUMIFS('مشتريات يومية'!$D$2:$D$4001,'مشتريات يومية'!$B$2:$B$4001,$B$2,'مشتريات يومية'!$C$2:$C$4001,$A10,'مشتريات يومية'!$A$2:$A$4001,'إعدادات المخزون'!$B$4)+SUMIFS('هالك وتحويلات'!$E$2:$E$3001,'هالك وتحويلات'!$B$2:$B$3001,$B$2,'هالك وتحويلات'!$C$2:$C$3001,$A10,'هالك وتحويلات'!$D$2:$D$3001,"تحويل وارد",'هالك وتحويلات'!$A$2:$A$3001,'إعدادات المخزون'!$B$4)-SUMIFS('هالك وتحويلات'!$E$2:$E$3001,'هالك وتحويلات'!$B$2:$B$3001,$B$2,'هالك وتحويلات'!$C$2:$C$3001,$A10,'هالك وتحويلات'!$D$2:$D$3001,"تحويل صادر",'هالك وتحويلات'!$A$2:$A$3001,'إعدادات المخزون'!$B$4)-SUMIFS('هالك وتحويلات'!$E$2:$E$3001,'هالك وتحويلات'!$B$2:$B$3001,$B$2,'هالك وتحويلات'!$C$2:$C$3001,$A10,'هالك وتحويلات'!$D$2:$D$3001,"هالك",'هالك وتحويلات'!$A$2:$A$3001,'إعدادات المخزون'!$B$4)-SUMIFS('هالك وتحويلات'!$E$2:$E$3001,'هالك وتحويلات'!$B$2:$B$3001,$B$2,'هالك وتحويلات'!$C$2:$C$3001,$A10,'هالك وتحويلات'!$D$2:$D$3001,"ضيافة / أكل موظفين",'هالك وتحويلات'!$A$2:$A$3001,'إعدادات المخزون'!$B$4)-SUMPRODUCT('مصفوفة الاستهلاك (عصافرة)'!$E$2:$E$190,'متجهات المبيعات'!$H$2:$H$190)/'مواد المخزون'!$D$5</f>
        <v>-1.329168</v>
      </c>
      <c r="AA10" s="109" t="n">
        <f aca="false">IF(K10="نعم",O10,0)</f>
        <v>0</v>
      </c>
      <c r="AB10" s="109" t="n">
        <f aca="false">IF(K10="نعم",J10*C10,0)</f>
        <v>0</v>
      </c>
      <c r="AC10" s="109" t="n">
        <f aca="false">IF(T10="",0,T10)</f>
        <v>0</v>
      </c>
    </row>
    <row r="11" customFormat="false" ht="15" hidden="false" customHeight="false" outlineLevel="0" collapsed="false">
      <c r="A11" s="34" t="str">
        <f aca="false">'مواد المخزون'!A6</f>
        <v>برجر 100 جرام</v>
      </c>
      <c r="B11" s="36" t="str">
        <f aca="false">'مواد المخزون'!B6</f>
        <v>قطعة</v>
      </c>
      <c r="C11" s="109" t="n">
        <f aca="false">'مواد المخزون'!E6</f>
        <v>18</v>
      </c>
      <c r="D11" s="110" t="n">
        <f aca="false">'جرد أول المدة'!E9</f>
        <v>68</v>
      </c>
      <c r="E11" s="110" t="n">
        <f aca="false">SUMIFS('مشتريات يومية'!$D$2:$D$4001,'مشتريات يومية'!$B$2:$B$4001,$B$2,'مشتريات يومية'!$C$2:$C$4001,$A11,'مشتريات يومية'!$A$2:$A$4001,"&gt;="&amp;'إعدادات المخزون'!$B$5,'مشتريات يومية'!$A$2:$A$4001,"&lt;="&amp;'إعدادات المخزون'!$B$4)</f>
        <v>249</v>
      </c>
      <c r="F11" s="110" t="n">
        <f aca="false">SUMIFS('هالك وتحويلات'!$E$2:$E$3001,'هالك وتحويلات'!$B$2:$B$3001,$B$2,'هالك وتحويلات'!$C$2:$C$3001,$A11,'هالك وتحويلات'!$D$2:$D$3001,"تحويل وارد",'هالك وتحويلات'!$A$2:$A$3001,"&gt;="&amp;'إعدادات المخزون'!$B$5,'هالك وتحويلات'!$A$2:$A$3001,"&lt;="&amp;'إعدادات المخزون'!$B$4)</f>
        <v>0</v>
      </c>
      <c r="G11" s="110" t="n">
        <f aca="false">SUMIFS('هالك وتحويلات'!$E$2:$E$3001,'هالك وتحويلات'!$B$2:$B$3001,$B$2,'هالك وتحويلات'!$C$2:$C$3001,$A11,'هالك وتحويلات'!$D$2:$D$3001,"تحويل صادر",'هالك وتحويلات'!$A$2:$A$3001,"&gt;="&amp;'إعدادات المخزون'!$B$5,'هالك وتحويلات'!$A$2:$A$3001,"&lt;="&amp;'إعدادات المخزون'!$B$4)</f>
        <v>0</v>
      </c>
      <c r="H11" s="110" t="n">
        <f aca="false">SUMPRODUCT('مصفوفة الاستهلاك (عصافرة)'!$F$2:$F$190,'متجهات المبيعات'!$I$2:$I$190)/'مواد المخزون'!$D$6</f>
        <v>252.9996</v>
      </c>
      <c r="I11" s="110" t="n">
        <f aca="false">SUMIFS('هالك وتحويلات'!$E$2:$E$3001,'هالك وتحويلات'!$B$2:$B$3001,$B$2,'هالك وتحويلات'!$C$2:$C$3001,$A11,'هالك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وتحويلات'!$C$2:$C$3001,$A11,'هالك وتحويلات'!$D$2:$D$3001,"ضيافة / أكل موظفين",'هالك وتحويلات'!$A$2:$A$3001,"&gt;="&amp;'إعدادات المخزون'!$B$5,'هالك وتحويلات'!$A$2:$A$3001,"&lt;="&amp;'إعدادات المخزون'!$B$4)</f>
        <v>0</v>
      </c>
      <c r="J11" s="110" t="n">
        <f aca="false">D11+E11+F11-G11-H11-I11</f>
        <v>64.0004</v>
      </c>
      <c r="K11" s="36" t="str">
        <f aca="false">IF(COUNTIFS('جرد فعلي'!$B$2:$B$12001,$B$2,'جرد فعلي'!$C$2:$C$12001,$A11,'جرد فعلي'!$A$2:$A$12001,'إعدادات المخزون'!$B$4)&gt;0,"نعم","لا")</f>
        <v>لا</v>
      </c>
      <c r="L11" s="111" t="str">
        <f aca="false">IF(K11="نعم",SUMIFS('جرد فعلي'!$D$2:$D$12001,'جرد فعلي'!$B$2:$B$12001,$B$2,'جرد فعلي'!$C$2:$C$12001,$A11,'جرد فعلي'!$A$2:$A$12001,'إعدادات المخزون'!$B$4),"")</f>
        <v/>
      </c>
      <c r="M11" s="110" t="str">
        <f aca="false">IF(K11="نعم",L11-J11,"")</f>
        <v/>
      </c>
      <c r="N11" s="112" t="str">
        <f aca="false">IF(K11="نعم",IF(J11=0,IF(M11=0,0,SIGN(M11)),M11/ABS(J11)),"")</f>
        <v/>
      </c>
      <c r="O11" s="109" t="str">
        <f aca="false">IF(K11="نعم",M11*C11,"")</f>
        <v/>
      </c>
      <c r="P11" s="36" t="str">
        <f aca="false">IF(K11&lt;&gt;"نعم","لم يُجرد",IF(ABS(N11)&lt;='إعدادات المخزون'!$B$7,"مطابق",IF(M11&lt;0,"عجز","زيادة")))</f>
        <v>لم يُجرد</v>
      </c>
      <c r="Q11" s="110" t="n">
        <f aca="false">J11-Z11</f>
        <v>85.0837</v>
      </c>
      <c r="R11" s="110" t="str">
        <f aca="false">IF(COUNTIFS('جرد فعلي'!$B$2:$B$12001,$B$2,'جرد فعلي'!$C$2:$C$12001,$A11,'جرد فعلي'!$A$2:$A$12001,'إعدادات المخزون'!$B$4-1)&gt;0,SUMIFS('جرد فعلي'!$D$2:$D$12001,'جرد فعلي'!$B$2:$B$12001,$B$2,'جرد فعلي'!$C$2:$C$12001,$A11,'جرد فعلي'!$A$2:$A$12001,'إعدادات المخزون'!$B$4-1),"")</f>
        <v/>
      </c>
      <c r="S11" s="110" t="str">
        <f aca="false">IF(AND(K11="نعم",R11&lt;&gt;""),(L11-J11)-(R11-Q11),"")</f>
        <v/>
      </c>
      <c r="T11" s="109" t="str">
        <f aca="false">IF(S11="","",S11*C11)</f>
        <v/>
      </c>
      <c r="U11" s="110" t="n">
        <f aca="false">IF(K11="نعم",L11,J11)</f>
        <v>64.0004</v>
      </c>
      <c r="V11" s="110" t="n">
        <f aca="false">SUMPRODUCT('مصفوفة الاستهلاك (عصافرة)'!$F$2:$F$190,'متجهات المبيعات'!$J$2:$J$190)/'مواد المخزون'!$D$6/MAX(1,MIN('إعدادات المخزون'!$B$11,'إعدادات المخزون'!$B$4-'إعدادات المخزون'!$B$5+1))</f>
        <v>21.0833</v>
      </c>
      <c r="W11" s="110" t="n">
        <f aca="false">IF(V11&lt;=0,0,ROUNDUP(MAX(0,V11*('إعدادات المخزون'!$B$8+'إعدادات المخزون'!$B$9+'إعدادات المخزون'!$B$10)-MAX(U11,0))/'مواد المخزون'!$F6,0)*'مواد المخزون'!$F6)</f>
        <v>21</v>
      </c>
      <c r="X11" s="109" t="n">
        <f aca="false">IF(AND(K11="نعم",O11&lt;0),-O11+ROW()*0.000000001,0)</f>
        <v>0</v>
      </c>
      <c r="Y11" s="109" t="n">
        <f aca="false">IF(AND(K11="نعم",O11&gt;0),O11+ROW()*0.000000001,0)</f>
        <v>0</v>
      </c>
      <c r="Z11" s="110" t="n">
        <f aca="false">SUMIFS('مشتريات يومية'!$D$2:$D$4001,'مشتريات يومية'!$B$2:$B$4001,$B$2,'مشتريات يومية'!$C$2:$C$4001,$A11,'مشتريات يومية'!$A$2:$A$4001,'إعدادات المخزون'!$B$4)+SUMIFS('هالك وتحويلات'!$E$2:$E$3001,'هالك وتحويلات'!$B$2:$B$3001,$B$2,'هالك وتحويلات'!$C$2:$C$3001,$A11,'هالك وتحويلات'!$D$2:$D$3001,"تحويل وارد",'هالك وتحويلات'!$A$2:$A$3001,'إعدادات المخزون'!$B$4)-SUMIFS('هالك وتحويلات'!$E$2:$E$3001,'هالك وتحويلات'!$B$2:$B$3001,$B$2,'هالك وتحويلات'!$C$2:$C$3001,$A11,'هالك وتحويلات'!$D$2:$D$3001,"تحويل صادر",'هالك وتحويلات'!$A$2:$A$3001,'إعدادات المخزون'!$B$4)-SUMIFS('هالك وتحويلات'!$E$2:$E$3001,'هالك وتحويلات'!$B$2:$B$3001,$B$2,'هالك وتحويلات'!$C$2:$C$3001,$A11,'هالك وتحويلات'!$D$2:$D$3001,"هالك",'هالك وتحويلات'!$A$2:$A$3001,'إعدادات المخزون'!$B$4)-SUMIFS('هالك وتحويلات'!$E$2:$E$3001,'هالك وتحويلات'!$B$2:$B$3001,$B$2,'هالك وتحويلات'!$C$2:$C$3001,$A11,'هالك وتحويلات'!$D$2:$D$3001,"ضيافة / أكل موظفين",'هالك وتحويلات'!$A$2:$A$3001,'إعدادات المخزون'!$B$4)-SUMPRODUCT('مصفوفة الاستهلاك (عصافرة)'!$F$2:$F$190,'متجهات المبيعات'!$H$2:$H$190)/'مواد المخزون'!$D$6</f>
        <v>-21.0833</v>
      </c>
      <c r="AA11" s="109" t="n">
        <f aca="false">IF(K11="نعم",O11,0)</f>
        <v>0</v>
      </c>
      <c r="AB11" s="109" t="n">
        <f aca="false">IF(K11="نعم",J11*C11,0)</f>
        <v>0</v>
      </c>
      <c r="AC11" s="109" t="n">
        <f aca="false">IF(T11="",0,T11)</f>
        <v>0</v>
      </c>
    </row>
    <row r="12" customFormat="false" ht="15" hidden="false" customHeight="false" outlineLevel="0" collapsed="false">
      <c r="A12" s="34" t="str">
        <f aca="false">'مواد المخزون'!A7</f>
        <v>برسيون بسطرمة صغير</v>
      </c>
      <c r="B12" s="36" t="str">
        <f aca="false">'مواد المخزون'!B7</f>
        <v>قطعة</v>
      </c>
      <c r="C12" s="109" t="n">
        <f aca="false">'مواد المخزون'!E7</f>
        <v>35</v>
      </c>
      <c r="D12" s="110" t="n">
        <f aca="false">'جرد أول المدة'!E10</f>
        <v>64</v>
      </c>
      <c r="E12" s="110" t="n">
        <f aca="false">SUMIFS('مشتريات يومية'!$D$2:$D$4001,'مشتريات يومية'!$B$2:$B$4001,$B$2,'مشتريات يومية'!$C$2:$C$4001,$A12,'مشتريات يومية'!$A$2:$A$4001,"&gt;="&amp;'إعدادات المخزون'!$B$5,'مشتريات يومية'!$A$2:$A$4001,"&lt;="&amp;'إعدادات المخزون'!$B$4)</f>
        <v>470</v>
      </c>
      <c r="F12" s="110" t="n">
        <f aca="false">SUMIFS('هالك وتحويلات'!$E$2:$E$3001,'هالك وتحويلات'!$B$2:$B$3001,$B$2,'هالك وتحويلات'!$C$2:$C$3001,$A12,'هالك وتحويلات'!$D$2:$D$3001,"تحويل وارد",'هالك وتحويلات'!$A$2:$A$3001,"&gt;="&amp;'إعدادات المخزون'!$B$5,'هالك وتحويلات'!$A$2:$A$3001,"&lt;="&amp;'إعدادات المخزون'!$B$4)</f>
        <v>0</v>
      </c>
      <c r="G12" s="110" t="n">
        <f aca="false">SUMIFS('هالك وتحويلات'!$E$2:$E$3001,'هالك وتحويلات'!$B$2:$B$3001,$B$2,'هالك وتحويلات'!$C$2:$C$3001,$A12,'هالك وتحويلات'!$D$2:$D$3001,"تحويل صادر",'هالك وتحويلات'!$A$2:$A$3001,"&gt;="&amp;'إعدادات المخزون'!$B$5,'هالك وتحويلات'!$A$2:$A$3001,"&lt;="&amp;'إعدادات المخزون'!$B$4)</f>
        <v>0</v>
      </c>
      <c r="H12" s="110" t="n">
        <f aca="false">SUMPRODUCT('مصفوفة الاستهلاك (عصافرة)'!$G$2:$G$190,'متجهات المبيعات'!$I$2:$I$190)/'مواد المخزون'!$D$7</f>
        <v>460.0008</v>
      </c>
      <c r="I12" s="110" t="n">
        <f aca="false">SUMIFS('هالك وتحويلات'!$E$2:$E$3001,'هالك وتحويلات'!$B$2:$B$3001,$B$2,'هالك وتحويلات'!$C$2:$C$3001,$A12,'هالك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وتحويلات'!$C$2:$C$3001,$A12,'هالك وتحويلات'!$D$2:$D$3001,"ضيافة / أكل موظفين",'هالك وتحويلات'!$A$2:$A$3001,"&gt;="&amp;'إعدادات المخزون'!$B$5,'هالك وتحويلات'!$A$2:$A$3001,"&lt;="&amp;'إعدادات المخزون'!$B$4)</f>
        <v>0</v>
      </c>
      <c r="J12" s="110" t="n">
        <f aca="false">D12+E12+F12-G12-H12-I12</f>
        <v>73.9992</v>
      </c>
      <c r="K12" s="36" t="str">
        <f aca="false">IF(COUNTIFS('جرد فعلي'!$B$2:$B$12001,$B$2,'جرد فعلي'!$C$2:$C$12001,$A12,'جرد فعلي'!$A$2:$A$12001,'إعدادات المخزون'!$B$4)&gt;0,"نعم","لا")</f>
        <v>لا</v>
      </c>
      <c r="L12" s="111" t="str">
        <f aca="false">IF(K12="نعم",SUMIFS('جرد فعلي'!$D$2:$D$12001,'جرد فعلي'!$B$2:$B$12001,$B$2,'جرد فعلي'!$C$2:$C$12001,$A12,'جرد فعلي'!$A$2:$A$12001,'إعدادات المخزون'!$B$4),"")</f>
        <v/>
      </c>
      <c r="M12" s="110" t="str">
        <f aca="false">IF(K12="نعم",L12-J12,"")</f>
        <v/>
      </c>
      <c r="N12" s="112" t="str">
        <f aca="false">IF(K12="نعم",IF(J12=0,IF(M12=0,0,SIGN(M12)),M12/ABS(J12)),"")</f>
        <v/>
      </c>
      <c r="O12" s="109" t="str">
        <f aca="false">IF(K12="نعم",M12*C12,"")</f>
        <v/>
      </c>
      <c r="P12" s="36" t="str">
        <f aca="false">IF(K12&lt;&gt;"نعم","لم يُجرد",IF(ABS(N12)&lt;='إعدادات المخزون'!$B$7,"مطابق",IF(M12&lt;0,"عجز","زيادة")))</f>
        <v>لم يُجرد</v>
      </c>
      <c r="Q12" s="110" t="n">
        <f aca="false">J12-Z12</f>
        <v>112.3326</v>
      </c>
      <c r="R12" s="110" t="str">
        <f aca="false">IF(COUNTIFS('جرد فعلي'!$B$2:$B$12001,$B$2,'جرد فعلي'!$C$2:$C$12001,$A12,'جرد فعلي'!$A$2:$A$12001,'إعدادات المخزون'!$B$4-1)&gt;0,SUMIFS('جرد فعلي'!$D$2:$D$12001,'جرد فعلي'!$B$2:$B$12001,$B$2,'جرد فعلي'!$C$2:$C$12001,$A12,'جرد فعلي'!$A$2:$A$12001,'إعدادات المخزون'!$B$4-1),"")</f>
        <v/>
      </c>
      <c r="S12" s="110" t="str">
        <f aca="false">IF(AND(K12="نعم",R12&lt;&gt;""),(L12-J12)-(R12-Q12),"")</f>
        <v/>
      </c>
      <c r="T12" s="109" t="str">
        <f aca="false">IF(S12="","",S12*C12)</f>
        <v/>
      </c>
      <c r="U12" s="110" t="n">
        <f aca="false">IF(K12="نعم",L12,J12)</f>
        <v>73.9992</v>
      </c>
      <c r="V12" s="110" t="n">
        <f aca="false">SUMPRODUCT('مصفوفة الاستهلاك (عصافرة)'!$G$2:$G$190,'متجهات المبيعات'!$J$2:$J$190)/'مواد المخزون'!$D$7/MAX(1,MIN('إعدادات المخزون'!$B$11,'إعدادات المخزون'!$B$4-'إعدادات المخزون'!$B$5+1))</f>
        <v>38.3334</v>
      </c>
      <c r="W12" s="110" t="n">
        <f aca="false">IF(V12&lt;=0,0,ROUNDUP(MAX(0,V12*('إعدادات المخزون'!$B$8+'إعدادات المخزون'!$B$9+'إعدادات المخزون'!$B$10)-MAX(U12,0))/'مواد المخزون'!$F7,0)*'مواد المخزون'!$F7)</f>
        <v>80</v>
      </c>
      <c r="X12" s="109" t="n">
        <f aca="false">IF(AND(K12="نعم",O12&lt;0),-O12+ROW()*0.000000001,0)</f>
        <v>0</v>
      </c>
      <c r="Y12" s="109" t="n">
        <f aca="false">IF(AND(K12="نعم",O12&gt;0),O12+ROW()*0.000000001,0)</f>
        <v>0</v>
      </c>
      <c r="Z12" s="110" t="n">
        <f aca="false">SUMIFS('مشتريات يومية'!$D$2:$D$4001,'مشتريات يومية'!$B$2:$B$4001,$B$2,'مشتريات يومية'!$C$2:$C$4001,$A12,'مشتريات يومية'!$A$2:$A$4001,'إعدادات المخزون'!$B$4)+SUMIFS('هالك وتحويلات'!$E$2:$E$3001,'هالك وتحويلات'!$B$2:$B$3001,$B$2,'هالك وتحويلات'!$C$2:$C$3001,$A12,'هالك وتحويلات'!$D$2:$D$3001,"تحويل وارد",'هالك وتحويلات'!$A$2:$A$3001,'إعدادات المخزون'!$B$4)-SUMIFS('هالك وتحويلات'!$E$2:$E$3001,'هالك وتحويلات'!$B$2:$B$3001,$B$2,'هالك وتحويلات'!$C$2:$C$3001,$A12,'هالك وتحويلات'!$D$2:$D$3001,"تحويل صادر",'هالك وتحويلات'!$A$2:$A$3001,'إعدادات المخزون'!$B$4)-SUMIFS('هالك وتحويلات'!$E$2:$E$3001,'هالك وتحويلات'!$B$2:$B$3001,$B$2,'هالك وتحويلات'!$C$2:$C$3001,$A12,'هالك وتحويلات'!$D$2:$D$3001,"هالك",'هالك وتحويلات'!$A$2:$A$3001,'إعدادات المخزون'!$B$4)-SUMIFS('هالك وتحويلات'!$E$2:$E$3001,'هالك وتحويلات'!$B$2:$B$3001,$B$2,'هالك وتحويلات'!$C$2:$C$3001,$A12,'هالك وتحويلات'!$D$2:$D$3001,"ضيافة / أكل موظفين",'هالك وتحويلات'!$A$2:$A$3001,'إعدادات المخزون'!$B$4)-SUMPRODUCT('مصفوفة الاستهلاك (عصافرة)'!$G$2:$G$190,'متجهات المبيعات'!$H$2:$H$190)/'مواد المخزون'!$D$7</f>
        <v>-38.3334</v>
      </c>
      <c r="AA12" s="109" t="n">
        <f aca="false">IF(K12="نعم",O12,0)</f>
        <v>0</v>
      </c>
      <c r="AB12" s="109" t="n">
        <f aca="false">IF(K12="نعم",J12*C12,0)</f>
        <v>0</v>
      </c>
      <c r="AC12" s="109" t="n">
        <f aca="false">IF(T12="",0,T12)</f>
        <v>0</v>
      </c>
    </row>
    <row r="13" customFormat="false" ht="15" hidden="false" customHeight="false" outlineLevel="0" collapsed="false">
      <c r="A13" s="34" t="str">
        <f aca="false">'مواد المخزون'!A8</f>
        <v>برسيون بسطرمة كبير</v>
      </c>
      <c r="B13" s="36" t="str">
        <f aca="false">'مواد المخزون'!B8</f>
        <v>قطعة</v>
      </c>
      <c r="C13" s="109" t="n">
        <f aca="false">'مواد المخزون'!E8</f>
        <v>46.6667</v>
      </c>
      <c r="D13" s="110" t="n">
        <f aca="false">'جرد أول المدة'!E11</f>
        <v>98.5</v>
      </c>
      <c r="E13" s="110" t="n">
        <f aca="false">SUMIFS('مشتريات يومية'!$D$2:$D$4001,'مشتريات يومية'!$B$2:$B$4001,$B$2,'مشتريات يومية'!$C$2:$C$4001,$A13,'مشتريات يومية'!$A$2:$A$4001,"&gt;="&amp;'إعدادات المخزون'!$B$5,'مشتريات يومية'!$A$2:$A$4001,"&lt;="&amp;'إعدادات المخزون'!$B$4)</f>
        <v>80</v>
      </c>
      <c r="F13" s="110" t="n">
        <f aca="false">SUMIFS('هالك وتحويلات'!$E$2:$E$3001,'هالك وتحويلات'!$B$2:$B$3001,$B$2,'هالك وتحويلات'!$C$2:$C$3001,$A13,'هالك وتحويلات'!$D$2:$D$3001,"تحويل وارد",'هالك وتحويلات'!$A$2:$A$3001,"&gt;="&amp;'إعدادات المخزون'!$B$5,'هالك وتحويلات'!$A$2:$A$3001,"&lt;="&amp;'إعدادات المخزون'!$B$4)</f>
        <v>0</v>
      </c>
      <c r="G13" s="110" t="n">
        <f aca="false">SUMIFS('هالك وتحويلات'!$E$2:$E$3001,'هالك وتحويلات'!$B$2:$B$3001,$B$2,'هالك وتحويلات'!$C$2:$C$3001,$A13,'هالك وتحويلات'!$D$2:$D$3001,"تحويل صادر",'هالك وتحويلات'!$A$2:$A$3001,"&gt;="&amp;'إعدادات المخزون'!$B$5,'هالك وتحويلات'!$A$2:$A$3001,"&lt;="&amp;'إعدادات المخزون'!$B$4)</f>
        <v>0</v>
      </c>
      <c r="H13" s="110" t="n">
        <f aca="false">SUMPRODUCT('مصفوفة الاستهلاك (عصافرة)'!$H$2:$H$190,'متجهات المبيعات'!$I$2:$I$190)/'مواد المخزون'!$D$8</f>
        <v>62.9994</v>
      </c>
      <c r="I13" s="110" t="n">
        <f aca="false">SUMIFS('هالك وتحويلات'!$E$2:$E$3001,'هالك وتحويلات'!$B$2:$B$3001,$B$2,'هالك وتحويلات'!$C$2:$C$3001,$A13,'هالك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وتحويلات'!$C$2:$C$3001,$A13,'هالك وتحويلات'!$D$2:$D$3001,"ضيافة / أكل موظفين",'هالك وتحويلات'!$A$2:$A$3001,"&gt;="&amp;'إعدادات المخزون'!$B$5,'هالك وتحويلات'!$A$2:$A$3001,"&lt;="&amp;'إعدادات المخزون'!$B$4)</f>
        <v>0</v>
      </c>
      <c r="J13" s="110" t="n">
        <f aca="false">D13+E13+F13-G13-H13-I13</f>
        <v>115.5006</v>
      </c>
      <c r="K13" s="36" t="str">
        <f aca="false">IF(COUNTIFS('جرد فعلي'!$B$2:$B$12001,$B$2,'جرد فعلي'!$C$2:$C$12001,$A13,'جرد فعلي'!$A$2:$A$12001,'إعدادات المخزون'!$B$4)&gt;0,"نعم","لا")</f>
        <v>لا</v>
      </c>
      <c r="L13" s="111" t="str">
        <f aca="false">IF(K13="نعم",SUMIFS('جرد فعلي'!$D$2:$D$12001,'جرد فعلي'!$B$2:$B$12001,$B$2,'جرد فعلي'!$C$2:$C$12001,$A13,'جرد فعلي'!$A$2:$A$12001,'إعدادات المخزون'!$B$4),"")</f>
        <v/>
      </c>
      <c r="M13" s="110" t="str">
        <f aca="false">IF(K13="نعم",L13-J13,"")</f>
        <v/>
      </c>
      <c r="N13" s="112" t="str">
        <f aca="false">IF(K13="نعم",IF(J13=0,IF(M13=0,0,SIGN(M13)),M13/ABS(J13)),"")</f>
        <v/>
      </c>
      <c r="O13" s="109" t="str">
        <f aca="false">IF(K13="نعم",M13*C13,"")</f>
        <v/>
      </c>
      <c r="P13" s="36" t="str">
        <f aca="false">IF(K13&lt;&gt;"نعم","لم يُجرد",IF(ABS(N13)&lt;='إعدادات المخزون'!$B$7,"مطابق",IF(M13&lt;0,"عجز","زيادة")))</f>
        <v>لم يُجرد</v>
      </c>
      <c r="Q13" s="110" t="n">
        <f aca="false">J13-Z13</f>
        <v>120.75055</v>
      </c>
      <c r="R13" s="110" t="str">
        <f aca="false">IF(COUNTIFS('جرد فعلي'!$B$2:$B$12001,$B$2,'جرد فعلي'!$C$2:$C$12001,$A13,'جرد فعلي'!$A$2:$A$12001,'إعدادات المخزون'!$B$4-1)&gt;0,SUMIFS('جرد فعلي'!$D$2:$D$12001,'جرد فعلي'!$B$2:$B$12001,$B$2,'جرد فعلي'!$C$2:$C$12001,$A13,'جرد فعلي'!$A$2:$A$12001,'إعدادات المخزون'!$B$4-1),"")</f>
        <v/>
      </c>
      <c r="S13" s="110" t="str">
        <f aca="false">IF(AND(K13="نعم",R13&lt;&gt;""),(L13-J13)-(R13-Q13),"")</f>
        <v/>
      </c>
      <c r="T13" s="109" t="str">
        <f aca="false">IF(S13="","",S13*C13)</f>
        <v/>
      </c>
      <c r="U13" s="110" t="n">
        <f aca="false">IF(K13="نعم",L13,J13)</f>
        <v>115.5006</v>
      </c>
      <c r="V13" s="110" t="n">
        <f aca="false">SUMPRODUCT('مصفوفة الاستهلاك (عصافرة)'!$H$2:$H$190,'متجهات المبيعات'!$J$2:$J$190)/'مواد المخزون'!$D$8/MAX(1,MIN('إعدادات المخزون'!$B$11,'إعدادات المخزون'!$B$4-'إعدادات المخزون'!$B$5+1))</f>
        <v>5.24995</v>
      </c>
      <c r="W13" s="110" t="n">
        <f aca="false">IF(V13&lt;=0,0,ROUNDUP(MAX(0,V13*('إعدادات المخزون'!$B$8+'إعدادات المخزون'!$B$9+'إعدادات المخزون'!$B$10)-MAX(U13,0))/'مواد المخزون'!$F8,0)*'مواد المخزون'!$F8)</f>
        <v>0</v>
      </c>
      <c r="X13" s="109" t="n">
        <f aca="false">IF(AND(K13="نعم",O13&lt;0),-O13+ROW()*0.000000001,0)</f>
        <v>0</v>
      </c>
      <c r="Y13" s="109" t="n">
        <f aca="false">IF(AND(K13="نعم",O13&gt;0),O13+ROW()*0.000000001,0)</f>
        <v>0</v>
      </c>
      <c r="Z13" s="110" t="n">
        <f aca="false">SUMIFS('مشتريات يومية'!$D$2:$D$4001,'مشتريات يومية'!$B$2:$B$4001,$B$2,'مشتريات يومية'!$C$2:$C$4001,$A13,'مشتريات يومية'!$A$2:$A$4001,'إعدادات المخزون'!$B$4)+SUMIFS('هالك وتحويلات'!$E$2:$E$3001,'هالك وتحويلات'!$B$2:$B$3001,$B$2,'هالك وتحويلات'!$C$2:$C$3001,$A13,'هالك وتحويلات'!$D$2:$D$3001,"تحويل وارد",'هالك وتحويلات'!$A$2:$A$3001,'إعدادات المخزون'!$B$4)-SUMIFS('هالك وتحويلات'!$E$2:$E$3001,'هالك وتحويلات'!$B$2:$B$3001,$B$2,'هالك وتحويلات'!$C$2:$C$3001,$A13,'هالك وتحويلات'!$D$2:$D$3001,"تحويل صادر",'هالك وتحويلات'!$A$2:$A$3001,'إعدادات المخزون'!$B$4)-SUMIFS('هالك وتحويلات'!$E$2:$E$3001,'هالك وتحويلات'!$B$2:$B$3001,$B$2,'هالك وتحويلات'!$C$2:$C$3001,$A13,'هالك وتحويلات'!$D$2:$D$3001,"هالك",'هالك وتحويلات'!$A$2:$A$3001,'إعدادات المخزون'!$B$4)-SUMIFS('هالك وتحويلات'!$E$2:$E$3001,'هالك وتحويلات'!$B$2:$B$3001,$B$2,'هالك وتحويلات'!$C$2:$C$3001,$A13,'هالك وتحويلات'!$D$2:$D$3001,"ضيافة / أكل موظفين",'هالك وتحويلات'!$A$2:$A$3001,'إعدادات المخزون'!$B$4)-SUMPRODUCT('مصفوفة الاستهلاك (عصافرة)'!$H$2:$H$190,'متجهات المبيعات'!$H$2:$H$190)/'مواد المخزون'!$D$8</f>
        <v>-5.24995</v>
      </c>
      <c r="AA13" s="109" t="n">
        <f aca="false">IF(K13="نعم",O13,0)</f>
        <v>0</v>
      </c>
      <c r="AB13" s="109" t="n">
        <f aca="false">IF(K13="نعم",J13*C13,0)</f>
        <v>0</v>
      </c>
      <c r="AC13" s="109" t="n">
        <f aca="false">IF(T13="",0,T13)</f>
        <v>0</v>
      </c>
    </row>
    <row r="14" customFormat="false" ht="15" hidden="false" customHeight="false" outlineLevel="0" collapsed="false">
      <c r="A14" s="34" t="str">
        <f aca="false">'مواد المخزون'!A9</f>
        <v>برسيون بطاطس</v>
      </c>
      <c r="B14" s="36" t="str">
        <f aca="false">'مواد المخزون'!B9</f>
        <v>قطعة</v>
      </c>
      <c r="C14" s="109" t="n">
        <f aca="false">'مواد المخزون'!E9</f>
        <v>5.65</v>
      </c>
      <c r="D14" s="110" t="n">
        <f aca="false">'جرد أول المدة'!E12</f>
        <v>33</v>
      </c>
      <c r="E14" s="110" t="n">
        <f aca="false">SUMIFS('مشتريات يومية'!$D$2:$D$4001,'مشتريات يومية'!$B$2:$B$4001,$B$2,'مشتريات يومية'!$C$2:$C$4001,$A14,'مشتريات يومية'!$A$2:$A$4001,"&gt;="&amp;'إعدادات المخزون'!$B$5,'مشتريات يومية'!$A$2:$A$4001,"&lt;="&amp;'إعدادات المخزون'!$B$4)</f>
        <v>225</v>
      </c>
      <c r="F14" s="110" t="n">
        <f aca="false">SUMIFS('هالك وتحويلات'!$E$2:$E$3001,'هالك وتحويلات'!$B$2:$B$3001,$B$2,'هالك وتحويلات'!$C$2:$C$3001,$A14,'هالك وتحويلات'!$D$2:$D$3001,"تحويل وارد",'هالك وتحويلات'!$A$2:$A$3001,"&gt;="&amp;'إعدادات المخزون'!$B$5,'هالك وتحويلات'!$A$2:$A$3001,"&lt;="&amp;'إعدادات المخزون'!$B$4)</f>
        <v>0</v>
      </c>
      <c r="G14" s="110" t="n">
        <f aca="false">SUMIFS('هالك وتحويلات'!$E$2:$E$3001,'هالك وتحويلات'!$B$2:$B$3001,$B$2,'هالك وتحويلات'!$C$2:$C$3001,$A14,'هالك وتحويلات'!$D$2:$D$3001,"تحويل صادر",'هالك وتحويلات'!$A$2:$A$3001,"&gt;="&amp;'إعدادات المخزون'!$B$5,'هالك وتحويلات'!$A$2:$A$3001,"&lt;="&amp;'إعدادات المخزون'!$B$4)</f>
        <v>0</v>
      </c>
      <c r="H14" s="110" t="n">
        <f aca="false">SUMPRODUCT('مصفوفة الاستهلاك (عصافرة)'!$I$2:$I$190,'متجهات المبيعات'!$I$2:$I$190)/'مواد المخزون'!$D$9</f>
        <v>88.4988</v>
      </c>
      <c r="I14" s="110" t="n">
        <f aca="false">SUMIFS('هالك وتحويلات'!$E$2:$E$3001,'هالك وتحويلات'!$B$2:$B$3001,$B$2,'هالك وتحويلات'!$C$2:$C$3001,$A14,'هالك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وتحويلات'!$C$2:$C$3001,$A14,'هالك وتحويلات'!$D$2:$D$3001,"ضيافة / أكل موظفين",'هالك وتحويلات'!$A$2:$A$3001,"&gt;="&amp;'إعدادات المخزون'!$B$5,'هالك وتحويلات'!$A$2:$A$3001,"&lt;="&amp;'إعدادات المخزون'!$B$4)</f>
        <v>0</v>
      </c>
      <c r="J14" s="110" t="n">
        <f aca="false">D14+E14+F14-G14-H14-I14</f>
        <v>169.5012</v>
      </c>
      <c r="K14" s="36" t="str">
        <f aca="false">IF(COUNTIFS('جرد فعلي'!$B$2:$B$12001,$B$2,'جرد فعلي'!$C$2:$C$12001,$A14,'جرد فعلي'!$A$2:$A$12001,'إعدادات المخزون'!$B$4)&gt;0,"نعم","لا")</f>
        <v>لا</v>
      </c>
      <c r="L14" s="111" t="str">
        <f aca="false">IF(K14="نعم",SUMIFS('جرد فعلي'!$D$2:$D$12001,'جرد فعلي'!$B$2:$B$12001,$B$2,'جرد فعلي'!$C$2:$C$12001,$A14,'جرد فعلي'!$A$2:$A$12001,'إعدادات المخزون'!$B$4),"")</f>
        <v/>
      </c>
      <c r="M14" s="110" t="str">
        <f aca="false">IF(K14="نعم",L14-J14,"")</f>
        <v/>
      </c>
      <c r="N14" s="112" t="str">
        <f aca="false">IF(K14="نعم",IF(J14=0,IF(M14=0,0,SIGN(M14)),M14/ABS(J14)),"")</f>
        <v/>
      </c>
      <c r="O14" s="109" t="str">
        <f aca="false">IF(K14="نعم",M14*C14,"")</f>
        <v/>
      </c>
      <c r="P14" s="36" t="str">
        <f aca="false">IF(K14&lt;&gt;"نعم","لم يُجرد",IF(ABS(N14)&lt;='إعدادات المخزون'!$B$7,"مطابق",IF(M14&lt;0,"عجز","زيادة")))</f>
        <v>لم يُجرد</v>
      </c>
      <c r="Q14" s="110" t="n">
        <f aca="false">J14-Z14</f>
        <v>176.8761</v>
      </c>
      <c r="R14" s="110" t="str">
        <f aca="false">IF(COUNTIFS('جرد فعلي'!$B$2:$B$12001,$B$2,'جرد فعلي'!$C$2:$C$12001,$A14,'جرد فعلي'!$A$2:$A$12001,'إعدادات المخزون'!$B$4-1)&gt;0,SUMIFS('جرد فعلي'!$D$2:$D$12001,'جرد فعلي'!$B$2:$B$12001,$B$2,'جرد فعلي'!$C$2:$C$12001,$A14,'جرد فعلي'!$A$2:$A$12001,'إعدادات المخزون'!$B$4-1),"")</f>
        <v/>
      </c>
      <c r="S14" s="110" t="str">
        <f aca="false">IF(AND(K14="نعم",R14&lt;&gt;""),(L14-J14)-(R14-Q14),"")</f>
        <v/>
      </c>
      <c r="T14" s="109" t="str">
        <f aca="false">IF(S14="","",S14*C14)</f>
        <v/>
      </c>
      <c r="U14" s="110" t="n">
        <f aca="false">IF(K14="نعم",L14,J14)</f>
        <v>169.5012</v>
      </c>
      <c r="V14" s="110" t="n">
        <f aca="false">SUMPRODUCT('مصفوفة الاستهلاك (عصافرة)'!$I$2:$I$190,'متجهات المبيعات'!$J$2:$J$190)/'مواد المخزون'!$D$9/MAX(1,MIN('إعدادات المخزون'!$B$11,'إعدادات المخزون'!$B$4-'إعدادات المخزون'!$B$5+1))</f>
        <v>7.3749</v>
      </c>
      <c r="W14" s="110" t="n">
        <f aca="false">IF(V14&lt;=0,0,ROUNDUP(MAX(0,V14*('إعدادات المخزون'!$B$8+'إعدادات المخزون'!$B$9+'إعدادات المخزون'!$B$10)-MAX(U14,0))/'مواد المخزون'!$F9,0)*'مواد المخزون'!$F9)</f>
        <v>0</v>
      </c>
      <c r="X14" s="109" t="n">
        <f aca="false">IF(AND(K14="نعم",O14&lt;0),-O14+ROW()*0.000000001,0)</f>
        <v>0</v>
      </c>
      <c r="Y14" s="109" t="n">
        <f aca="false">IF(AND(K14="نعم",O14&gt;0),O14+ROW()*0.000000001,0)</f>
        <v>0</v>
      </c>
      <c r="Z14" s="110" t="n">
        <f aca="false">SUMIFS('مشتريات يومية'!$D$2:$D$4001,'مشتريات يومية'!$B$2:$B$4001,$B$2,'مشتريات يومية'!$C$2:$C$4001,$A14,'مشتريات يومية'!$A$2:$A$4001,'إعدادات المخزون'!$B$4)+SUMIFS('هالك وتحويلات'!$E$2:$E$3001,'هالك وتحويلات'!$B$2:$B$3001,$B$2,'هالك وتحويلات'!$C$2:$C$3001,$A14,'هالك وتحويلات'!$D$2:$D$3001,"تحويل وارد",'هالك وتحويلات'!$A$2:$A$3001,'إعدادات المخزون'!$B$4)-SUMIFS('هالك وتحويلات'!$E$2:$E$3001,'هالك وتحويلات'!$B$2:$B$3001,$B$2,'هالك وتحويلات'!$C$2:$C$3001,$A14,'هالك وتحويلات'!$D$2:$D$3001,"تحويل صادر",'هالك وتحويلات'!$A$2:$A$3001,'إعدادات المخزون'!$B$4)-SUMIFS('هالك وتحويلات'!$E$2:$E$3001,'هالك وتحويلات'!$B$2:$B$3001,$B$2,'هالك وتحويلات'!$C$2:$C$3001,$A14,'هالك وتحويلات'!$D$2:$D$3001,"هالك",'هالك وتحويلات'!$A$2:$A$3001,'إعدادات المخزون'!$B$4)-SUMIFS('هالك وتحويلات'!$E$2:$E$3001,'هالك وتحويلات'!$B$2:$B$3001,$B$2,'هالك وتحويلات'!$C$2:$C$3001,$A14,'هالك وتحويلات'!$D$2:$D$3001,"ضيافة / أكل موظفين",'هالك وتحويلات'!$A$2:$A$3001,'إعدادات المخزون'!$B$4)-SUMPRODUCT('مصفوفة الاستهلاك (عصافرة)'!$I$2:$I$190,'متجهات المبيعات'!$H$2:$H$190)/'مواد المخزون'!$D$9</f>
        <v>-7.3749</v>
      </c>
      <c r="AA14" s="109" t="n">
        <f aca="false">IF(K14="نعم",O14,0)</f>
        <v>0</v>
      </c>
      <c r="AB14" s="109" t="n">
        <f aca="false">IF(K14="نعم",J14*C14,0)</f>
        <v>0</v>
      </c>
      <c r="AC14" s="109" t="n">
        <f aca="false">IF(T14="",0,T14)</f>
        <v>0</v>
      </c>
    </row>
    <row r="15" customFormat="false" ht="15" hidden="false" customHeight="false" outlineLevel="0" collapsed="false">
      <c r="A15" s="34" t="str">
        <f aca="false">'مواد المخزون'!A10</f>
        <v>برسيون جبنة رومي صغير</v>
      </c>
      <c r="B15" s="36" t="str">
        <f aca="false">'مواد المخزون'!B10</f>
        <v>قطعة</v>
      </c>
      <c r="C15" s="109" t="n">
        <f aca="false">'مواد المخزون'!E10</f>
        <v>9</v>
      </c>
      <c r="D15" s="110" t="n">
        <f aca="false">'جرد أول المدة'!E13</f>
        <v>44</v>
      </c>
      <c r="E15" s="110" t="n">
        <f aca="false">SUMIFS('مشتريات يومية'!$D$2:$D$4001,'مشتريات يومية'!$B$2:$B$4001,$B$2,'مشتريات يومية'!$C$2:$C$4001,$A15,'مشتريات يومية'!$A$2:$A$4001,"&gt;="&amp;'إعدادات المخزون'!$B$5,'مشتريات يومية'!$A$2:$A$4001,"&lt;="&amp;'إعدادات المخزون'!$B$4)</f>
        <v>600</v>
      </c>
      <c r="F15" s="110" t="n">
        <f aca="false">SUMIFS('هالك وتحويلات'!$E$2:$E$3001,'هالك وتحويلات'!$B$2:$B$3001,$B$2,'هالك وتحويلات'!$C$2:$C$3001,$A15,'هالك وتحويلات'!$D$2:$D$3001,"تحويل وارد",'هالك وتحويلات'!$A$2:$A$3001,"&gt;="&amp;'إعدادات المخزون'!$B$5,'هالك وتحويلات'!$A$2:$A$3001,"&lt;="&amp;'إعدادات المخزون'!$B$4)</f>
        <v>0</v>
      </c>
      <c r="G15" s="110" t="n">
        <f aca="false">SUMIFS('هالك وتحويلات'!$E$2:$E$3001,'هالك وتحويلات'!$B$2:$B$3001,$B$2,'هالك وتحويلات'!$C$2:$C$3001,$A15,'هالك وتحويلات'!$D$2:$D$3001,"تحويل صادر",'هالك وتحويلات'!$A$2:$A$3001,"&gt;="&amp;'إعدادات المخزون'!$B$5,'هالك وتحويلات'!$A$2:$A$3001,"&lt;="&amp;'إعدادات المخزون'!$B$4)</f>
        <v>0</v>
      </c>
      <c r="H15" s="110" t="n">
        <f aca="false">SUMPRODUCT('مصفوفة الاستهلاك (عصافرة)'!$J$2:$J$190,'متجهات المبيعات'!$I$2:$I$190)/'مواد المخزون'!$D$10</f>
        <v>642.5004</v>
      </c>
      <c r="I15" s="110" t="n">
        <f aca="false">SUMIFS('هالك وتحويلات'!$E$2:$E$3001,'هالك وتحويلات'!$B$2:$B$3001,$B$2,'هالك وتحويلات'!$C$2:$C$3001,$A15,'هالك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وتحويلات'!$C$2:$C$3001,$A15,'هالك وتحويلات'!$D$2:$D$3001,"ضيافة / أكل موظفين",'هالك وتحويلات'!$A$2:$A$3001,"&gt;="&amp;'إعدادات المخزون'!$B$5,'هالك وتحويلات'!$A$2:$A$3001,"&lt;="&amp;'إعدادات المخزون'!$B$4)</f>
        <v>0</v>
      </c>
      <c r="J15" s="110" t="n">
        <f aca="false">D15+E15+F15-G15-H15-I15</f>
        <v>1.49959999999999</v>
      </c>
      <c r="K15" s="36" t="str">
        <f aca="false">IF(COUNTIFS('جرد فعلي'!$B$2:$B$12001,$B$2,'جرد فعلي'!$C$2:$C$12001,$A15,'جرد فعلي'!$A$2:$A$12001,'إعدادات المخزون'!$B$4)&gt;0,"نعم","لا")</f>
        <v>لا</v>
      </c>
      <c r="L15" s="111" t="str">
        <f aca="false">IF(K15="نعم",SUMIFS('جرد فعلي'!$D$2:$D$12001,'جرد فعلي'!$B$2:$B$12001,$B$2,'جرد فعلي'!$C$2:$C$12001,$A15,'جرد فعلي'!$A$2:$A$12001,'إعدادات المخزون'!$B$4),"")</f>
        <v/>
      </c>
      <c r="M15" s="110" t="str">
        <f aca="false">IF(K15="نعم",L15-J15,"")</f>
        <v/>
      </c>
      <c r="N15" s="112" t="str">
        <f aca="false">IF(K15="نعم",IF(J15=0,IF(M15=0,0,SIGN(M15)),M15/ABS(J15)),"")</f>
        <v/>
      </c>
      <c r="O15" s="109" t="str">
        <f aca="false">IF(K15="نعم",M15*C15,"")</f>
        <v/>
      </c>
      <c r="P15" s="36" t="str">
        <f aca="false">IF(K15&lt;&gt;"نعم","لم يُجرد",IF(ABS(N15)&lt;='إعدادات المخزون'!$B$7,"مطابق",IF(M15&lt;0,"عجز","زيادة")))</f>
        <v>لم يُجرد</v>
      </c>
      <c r="Q15" s="110" t="n">
        <f aca="false">J15-Z15</f>
        <v>55.0413</v>
      </c>
      <c r="R15" s="110" t="str">
        <f aca="false">IF(COUNTIFS('جرد فعلي'!$B$2:$B$12001,$B$2,'جرد فعلي'!$C$2:$C$12001,$A15,'جرد فعلي'!$A$2:$A$12001,'إعدادات المخزون'!$B$4-1)&gt;0,SUMIFS('جرد فعلي'!$D$2:$D$12001,'جرد فعلي'!$B$2:$B$12001,$B$2,'جرد فعلي'!$C$2:$C$12001,$A15,'جرد فعلي'!$A$2:$A$12001,'إعدادات المخزون'!$B$4-1),"")</f>
        <v/>
      </c>
      <c r="S15" s="110" t="str">
        <f aca="false">IF(AND(K15="نعم",R15&lt;&gt;""),(L15-J15)-(R15-Q15),"")</f>
        <v/>
      </c>
      <c r="T15" s="109" t="str">
        <f aca="false">IF(S15="","",S15*C15)</f>
        <v/>
      </c>
      <c r="U15" s="110" t="n">
        <f aca="false">IF(K15="نعم",L15,J15)</f>
        <v>1.49959999999999</v>
      </c>
      <c r="V15" s="110" t="n">
        <f aca="false">SUMPRODUCT('مصفوفة الاستهلاك (عصافرة)'!$J$2:$J$190,'متجهات المبيعات'!$J$2:$J$190)/'مواد المخزون'!$D$10/MAX(1,MIN('إعدادات المخزون'!$B$11,'إعدادات المخزون'!$B$4-'إعدادات المخزون'!$B$5+1))</f>
        <v>53.5417</v>
      </c>
      <c r="W15" s="110" t="n">
        <f aca="false">IF(V15&lt;=0,0,ROUNDUP(MAX(0,V15*('إعدادات المخزون'!$B$8+'إعدادات المخزون'!$B$9+'إعدادات المخزون'!$B$10)-MAX(U15,0))/'مواد المخزون'!$F10,0)*'مواد المخزون'!$F10)</f>
        <v>213</v>
      </c>
      <c r="X15" s="109" t="n">
        <f aca="false">IF(AND(K15="نعم",O15&lt;0),-O15+ROW()*0.000000001,0)</f>
        <v>0</v>
      </c>
      <c r="Y15" s="109" t="n">
        <f aca="false">IF(AND(K15="نعم",O15&gt;0),O15+ROW()*0.000000001,0)</f>
        <v>0</v>
      </c>
      <c r="Z15" s="110" t="n">
        <f aca="false">SUMIFS('مشتريات يومية'!$D$2:$D$4001,'مشتريات يومية'!$B$2:$B$4001,$B$2,'مشتريات يومية'!$C$2:$C$4001,$A15,'مشتريات يومية'!$A$2:$A$4001,'إعدادات المخزون'!$B$4)+SUMIFS('هالك وتحويلات'!$E$2:$E$3001,'هالك وتحويلات'!$B$2:$B$3001,$B$2,'هالك وتحويلات'!$C$2:$C$3001,$A15,'هالك وتحويلات'!$D$2:$D$3001,"تحويل وارد",'هالك وتحويلات'!$A$2:$A$3001,'إعدادات المخزون'!$B$4)-SUMIFS('هالك وتحويلات'!$E$2:$E$3001,'هالك وتحويلات'!$B$2:$B$3001,$B$2,'هالك وتحويلات'!$C$2:$C$3001,$A15,'هالك وتحويلات'!$D$2:$D$3001,"تحويل صادر",'هالك وتحويلات'!$A$2:$A$3001,'إعدادات المخزون'!$B$4)-SUMIFS('هالك وتحويلات'!$E$2:$E$3001,'هالك وتحويلات'!$B$2:$B$3001,$B$2,'هالك وتحويلات'!$C$2:$C$3001,$A15,'هالك وتحويلات'!$D$2:$D$3001,"هالك",'هالك وتحويلات'!$A$2:$A$3001,'إعدادات المخزون'!$B$4)-SUMIFS('هالك وتحويلات'!$E$2:$E$3001,'هالك وتحويلات'!$B$2:$B$3001,$B$2,'هالك وتحويلات'!$C$2:$C$3001,$A15,'هالك وتحويلات'!$D$2:$D$3001,"ضيافة / أكل موظفين",'هالك وتحويلات'!$A$2:$A$3001,'إعدادات المخزون'!$B$4)-SUMPRODUCT('مصفوفة الاستهلاك (عصافرة)'!$J$2:$J$190,'متجهات المبيعات'!$H$2:$H$190)/'مواد المخزون'!$D$10</f>
        <v>-53.5417</v>
      </c>
      <c r="AA15" s="109" t="n">
        <f aca="false">IF(K15="نعم",O15,0)</f>
        <v>0</v>
      </c>
      <c r="AB15" s="109" t="n">
        <f aca="false">IF(K15="نعم",J15*C15,0)</f>
        <v>0</v>
      </c>
      <c r="AC15" s="109" t="n">
        <f aca="false">IF(T15="",0,T15)</f>
        <v>0</v>
      </c>
    </row>
    <row r="16" customFormat="false" ht="15" hidden="false" customHeight="false" outlineLevel="0" collapsed="false">
      <c r="A16" s="34" t="str">
        <f aca="false">'مواد المخزون'!A11</f>
        <v>برسيون جمبري صغير</v>
      </c>
      <c r="B16" s="36" t="str">
        <f aca="false">'مواد المخزون'!B11</f>
        <v>قطعة</v>
      </c>
      <c r="C16" s="109" t="n">
        <f aca="false">'مواد المخزون'!E11</f>
        <v>95</v>
      </c>
      <c r="D16" s="110" t="n">
        <f aca="false">'جرد أول المدة'!E14</f>
        <v>12</v>
      </c>
      <c r="E16" s="110" t="n">
        <f aca="false">SUMIFS('مشتريات يومية'!$D$2:$D$4001,'مشتريات يومية'!$B$2:$B$4001,$B$2,'مشتريات يومية'!$C$2:$C$4001,$A16,'مشتريات يومية'!$A$2:$A$4001,"&gt;="&amp;'إعدادات المخزون'!$B$5,'مشتريات يومية'!$A$2:$A$4001,"&lt;="&amp;'إعدادات المخزون'!$B$4)</f>
        <v>10</v>
      </c>
      <c r="F16" s="110" t="n">
        <f aca="false">SUMIFS('هالك وتحويلات'!$E$2:$E$3001,'هالك وتحويلات'!$B$2:$B$3001,$B$2,'هالك وتحويلات'!$C$2:$C$3001,$A16,'هالك وتحويلات'!$D$2:$D$3001,"تحويل وارد",'هالك وتحويلات'!$A$2:$A$3001,"&gt;="&amp;'إعدادات المخزون'!$B$5,'هالك وتحويلات'!$A$2:$A$3001,"&lt;="&amp;'إعدادات المخزون'!$B$4)</f>
        <v>0</v>
      </c>
      <c r="G16" s="110" t="n">
        <f aca="false">SUMIFS('هالك وتحويلات'!$E$2:$E$3001,'هالك وتحويلات'!$B$2:$B$3001,$B$2,'هالك وتحويلات'!$C$2:$C$3001,$A16,'هالك وتحويلات'!$D$2:$D$3001,"تحويل صادر",'هالك وتحويلات'!$A$2:$A$3001,"&gt;="&amp;'إعدادات المخزون'!$B$5,'هالك وتحويلات'!$A$2:$A$3001,"&lt;="&amp;'إعدادات المخزون'!$B$4)</f>
        <v>0</v>
      </c>
      <c r="H16" s="110" t="n">
        <f aca="false">SUMPRODUCT('مصفوفة الاستهلاك (عصافرة)'!$K$2:$K$190,'متجهات المبيعات'!$I$2:$I$190)/'مواد المخزون'!$D$11</f>
        <v>13.5012</v>
      </c>
      <c r="I16" s="110" t="n">
        <f aca="false">SUMIFS('هالك وتحويلات'!$E$2:$E$3001,'هالك وتحويلات'!$B$2:$B$3001,$B$2,'هالك وتحويلات'!$C$2:$C$3001,$A16,'هالك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وتحويلات'!$C$2:$C$3001,$A16,'هالك وتحويلات'!$D$2:$D$3001,"ضيافة / أكل موظفين",'هالك وتحويلات'!$A$2:$A$3001,"&gt;="&amp;'إعدادات المخزون'!$B$5,'هالك وتحويلات'!$A$2:$A$3001,"&lt;="&amp;'إعدادات المخزون'!$B$4)</f>
        <v>0</v>
      </c>
      <c r="J16" s="110" t="n">
        <f aca="false">D16+E16+F16-G16-H16-I16</f>
        <v>8.4988</v>
      </c>
      <c r="K16" s="36" t="str">
        <f aca="false">IF(COUNTIFS('جرد فعلي'!$B$2:$B$12001,$B$2,'جرد فعلي'!$C$2:$C$12001,$A16,'جرد فعلي'!$A$2:$A$12001,'إعدادات المخزون'!$B$4)&gt;0,"نعم","لا")</f>
        <v>لا</v>
      </c>
      <c r="L16" s="111" t="str">
        <f aca="false">IF(K16="نعم",SUMIFS('جرد فعلي'!$D$2:$D$12001,'جرد فعلي'!$B$2:$B$12001,$B$2,'جرد فعلي'!$C$2:$C$12001,$A16,'جرد فعلي'!$A$2:$A$12001,'إعدادات المخزون'!$B$4),"")</f>
        <v/>
      </c>
      <c r="M16" s="110" t="str">
        <f aca="false">IF(K16="نعم",L16-J16,"")</f>
        <v/>
      </c>
      <c r="N16" s="112" t="str">
        <f aca="false">IF(K16="نعم",IF(J16=0,IF(M16=0,0,SIGN(M16)),M16/ABS(J16)),"")</f>
        <v/>
      </c>
      <c r="O16" s="109" t="str">
        <f aca="false">IF(K16="نعم",M16*C16,"")</f>
        <v/>
      </c>
      <c r="P16" s="36" t="str">
        <f aca="false">IF(K16&lt;&gt;"نعم","لم يُجرد",IF(ABS(N16)&lt;='إعدادات المخزون'!$B$7,"مطابق",IF(M16&lt;0,"عجز","زيادة")))</f>
        <v>لم يُجرد</v>
      </c>
      <c r="Q16" s="110" t="n">
        <f aca="false">J16-Z16</f>
        <v>9.6239</v>
      </c>
      <c r="R16" s="110" t="str">
        <f aca="false">IF(COUNTIFS('جرد فعلي'!$B$2:$B$12001,$B$2,'جرد فعلي'!$C$2:$C$12001,$A16,'جرد فعلي'!$A$2:$A$12001,'إعدادات المخزون'!$B$4-1)&gt;0,SUMIFS('جرد فعلي'!$D$2:$D$12001,'جرد فعلي'!$B$2:$B$12001,$B$2,'جرد فعلي'!$C$2:$C$12001,$A16,'جرد فعلي'!$A$2:$A$12001,'إعدادات المخزون'!$B$4-1),"")</f>
        <v/>
      </c>
      <c r="S16" s="110" t="str">
        <f aca="false">IF(AND(K16="نعم",R16&lt;&gt;""),(L16-J16)-(R16-Q16),"")</f>
        <v/>
      </c>
      <c r="T16" s="109" t="str">
        <f aca="false">IF(S16="","",S16*C16)</f>
        <v/>
      </c>
      <c r="U16" s="110" t="n">
        <f aca="false">IF(K16="نعم",L16,J16)</f>
        <v>8.4988</v>
      </c>
      <c r="V16" s="110" t="n">
        <f aca="false">SUMPRODUCT('مصفوفة الاستهلاك (عصافرة)'!$K$2:$K$190,'متجهات المبيعات'!$J$2:$J$190)/'مواد المخزون'!$D$11/MAX(1,MIN('إعدادات المخزون'!$B$11,'إعدادات المخزون'!$B$4-'إعدادات المخزون'!$B$5+1))</f>
        <v>1.1251</v>
      </c>
      <c r="W16" s="110" t="n">
        <f aca="false">IF(V16&lt;=0,0,ROUNDUP(MAX(0,V16*('إعدادات المخزون'!$B$8+'إعدادات المخزون'!$B$9+'إعدادات المخزون'!$B$10)-MAX(U16,0))/'مواد المخزون'!$F11,0)*'مواد المخزون'!$F11)</f>
        <v>0</v>
      </c>
      <c r="X16" s="109" t="n">
        <f aca="false">IF(AND(K16="نعم",O16&lt;0),-O16+ROW()*0.000000001,0)</f>
        <v>0</v>
      </c>
      <c r="Y16" s="109" t="n">
        <f aca="false">IF(AND(K16="نعم",O16&gt;0),O16+ROW()*0.000000001,0)</f>
        <v>0</v>
      </c>
      <c r="Z16" s="110" t="n">
        <f aca="false">SUMIFS('مشتريات يومية'!$D$2:$D$4001,'مشتريات يومية'!$B$2:$B$4001,$B$2,'مشتريات يومية'!$C$2:$C$4001,$A16,'مشتريات يومية'!$A$2:$A$4001,'إعدادات المخزون'!$B$4)+SUMIFS('هالك وتحويلات'!$E$2:$E$3001,'هالك وتحويلات'!$B$2:$B$3001,$B$2,'هالك وتحويلات'!$C$2:$C$3001,$A16,'هالك وتحويلات'!$D$2:$D$3001,"تحويل وارد",'هالك وتحويلات'!$A$2:$A$3001,'إعدادات المخزون'!$B$4)-SUMIFS('هالك وتحويلات'!$E$2:$E$3001,'هالك وتحويلات'!$B$2:$B$3001,$B$2,'هالك وتحويلات'!$C$2:$C$3001,$A16,'هالك وتحويلات'!$D$2:$D$3001,"تحويل صادر",'هالك وتحويلات'!$A$2:$A$3001,'إعدادات المخزون'!$B$4)-SUMIFS('هالك وتحويلات'!$E$2:$E$3001,'هالك وتحويلات'!$B$2:$B$3001,$B$2,'هالك وتحويلات'!$C$2:$C$3001,$A16,'هالك وتحويلات'!$D$2:$D$3001,"هالك",'هالك وتحويلات'!$A$2:$A$3001,'إعدادات المخزون'!$B$4)-SUMIFS('هالك وتحويلات'!$E$2:$E$3001,'هالك وتحويلات'!$B$2:$B$3001,$B$2,'هالك وتحويلات'!$C$2:$C$3001,$A16,'هالك وتحويلات'!$D$2:$D$3001,"ضيافة / أكل موظفين",'هالك وتحويلات'!$A$2:$A$3001,'إعدادات المخزون'!$B$4)-SUMPRODUCT('مصفوفة الاستهلاك (عصافرة)'!$K$2:$K$190,'متجهات المبيعات'!$H$2:$H$190)/'مواد المخزون'!$D$11</f>
        <v>-1.1251</v>
      </c>
      <c r="AA16" s="109" t="n">
        <f aca="false">IF(K16="نعم",O16,0)</f>
        <v>0</v>
      </c>
      <c r="AB16" s="109" t="n">
        <f aca="false">IF(K16="نعم",J16*C16,0)</f>
        <v>0</v>
      </c>
      <c r="AC16" s="109" t="n">
        <f aca="false">IF(T16="",0,T16)</f>
        <v>0</v>
      </c>
    </row>
    <row r="17" customFormat="false" ht="15" hidden="false" customHeight="false" outlineLevel="0" collapsed="false">
      <c r="A17" s="34" t="str">
        <f aca="false">'مواد المخزون'!A12</f>
        <v>برسيون سدق صغير</v>
      </c>
      <c r="B17" s="36" t="str">
        <f aca="false">'مواد المخزون'!B12</f>
        <v>قطعة</v>
      </c>
      <c r="C17" s="109" t="n">
        <f aca="false">'مواد المخزون'!E12</f>
        <v>34</v>
      </c>
      <c r="D17" s="110" t="n">
        <f aca="false">'جرد أول المدة'!E15</f>
        <v>62</v>
      </c>
      <c r="E17" s="110" t="n">
        <f aca="false">SUMIFS('مشتريات يومية'!$D$2:$D$4001,'مشتريات يومية'!$B$2:$B$4001,$B$2,'مشتريات يومية'!$C$2:$C$4001,$A17,'مشتريات يومية'!$A$2:$A$4001,"&gt;="&amp;'إعدادات المخزون'!$B$5,'مشتريات يومية'!$A$2:$A$4001,"&lt;="&amp;'إعدادات المخزون'!$B$4)</f>
        <v>541</v>
      </c>
      <c r="F17" s="110" t="n">
        <f aca="false">SUMIFS('هالك وتحويلات'!$E$2:$E$3001,'هالك وتحويلات'!$B$2:$B$3001,$B$2,'هالك وتحويلات'!$C$2:$C$3001,$A17,'هالك وتحويلات'!$D$2:$D$3001,"تحويل وارد",'هالك وتحويلات'!$A$2:$A$3001,"&gt;="&amp;'إعدادات المخزون'!$B$5,'هالك وتحويلات'!$A$2:$A$3001,"&lt;="&amp;'إعدادات المخزون'!$B$4)</f>
        <v>0</v>
      </c>
      <c r="G17" s="110" t="n">
        <f aca="false">SUMIFS('هالك وتحويلات'!$E$2:$E$3001,'هالك وتحويلات'!$B$2:$B$3001,$B$2,'هالك وتحويلات'!$C$2:$C$3001,$A17,'هالك وتحويلات'!$D$2:$D$3001,"تحويل صادر",'هالك وتحويلات'!$A$2:$A$3001,"&gt;="&amp;'إعدادات المخزون'!$B$5,'هالك وتحويلات'!$A$2:$A$3001,"&lt;="&amp;'إعدادات المخزون'!$B$4)</f>
        <v>0</v>
      </c>
      <c r="H17" s="110" t="n">
        <f aca="false">SUMPRODUCT('مصفوفة الاستهلاك (عصافرة)'!$L$2:$L$190,'متجهات المبيعات'!$I$2:$I$190)/'مواد المخزون'!$D$12</f>
        <v>537</v>
      </c>
      <c r="I17" s="110" t="n">
        <f aca="false">SUMIFS('هالك وتحويلات'!$E$2:$E$3001,'هالك وتحويلات'!$B$2:$B$3001,$B$2,'هالك وتحويلات'!$C$2:$C$3001,$A17,'هالك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وتحويلات'!$C$2:$C$3001,$A17,'هالك وتحويلات'!$D$2:$D$3001,"ضيافة / أكل موظفين",'هالك وتحويلات'!$A$2:$A$3001,"&gt;="&amp;'إعدادات المخزون'!$B$5,'هالك وتحويلات'!$A$2:$A$3001,"&lt;="&amp;'إعدادات المخزون'!$B$4)</f>
        <v>0</v>
      </c>
      <c r="J17" s="110" t="n">
        <f aca="false">D17+E17+F17-G17-H17-I17</f>
        <v>66</v>
      </c>
      <c r="K17" s="36" t="str">
        <f aca="false">IF(COUNTIFS('جرد فعلي'!$B$2:$B$12001,$B$2,'جرد فعلي'!$C$2:$C$12001,$A17,'جرد فعلي'!$A$2:$A$12001,'إعدادات المخزون'!$B$4)&gt;0,"نعم","لا")</f>
        <v>لا</v>
      </c>
      <c r="L17" s="111" t="str">
        <f aca="false">IF(K17="نعم",SUMIFS('جرد فعلي'!$D$2:$D$12001,'جرد فعلي'!$B$2:$B$12001,$B$2,'جرد فعلي'!$C$2:$C$12001,$A17,'جرد فعلي'!$A$2:$A$12001,'إعدادات المخزون'!$B$4),"")</f>
        <v/>
      </c>
      <c r="M17" s="110" t="str">
        <f aca="false">IF(K17="نعم",L17-J17,"")</f>
        <v/>
      </c>
      <c r="N17" s="112" t="str">
        <f aca="false">IF(K17="نعم",IF(J17=0,IF(M17=0,0,SIGN(M17)),M17/ABS(J17)),"")</f>
        <v/>
      </c>
      <c r="O17" s="109" t="str">
        <f aca="false">IF(K17="نعم",M17*C17,"")</f>
        <v/>
      </c>
      <c r="P17" s="36" t="str">
        <f aca="false">IF(K17&lt;&gt;"نعم","لم يُجرد",IF(ABS(N17)&lt;='إعدادات المخزون'!$B$7,"مطابق",IF(M17&lt;0,"عجز","زيادة")))</f>
        <v>لم يُجرد</v>
      </c>
      <c r="Q17" s="110" t="n">
        <f aca="false">J17-Z17</f>
        <v>110.75</v>
      </c>
      <c r="R17" s="110" t="str">
        <f aca="false">IF(COUNTIFS('جرد فعلي'!$B$2:$B$12001,$B$2,'جرد فعلي'!$C$2:$C$12001,$A17,'جرد فعلي'!$A$2:$A$12001,'إعدادات المخزون'!$B$4-1)&gt;0,SUMIFS('جرد فعلي'!$D$2:$D$12001,'جرد فعلي'!$B$2:$B$12001,$B$2,'جرد فعلي'!$C$2:$C$12001,$A17,'جرد فعلي'!$A$2:$A$12001,'إعدادات المخزون'!$B$4-1),"")</f>
        <v/>
      </c>
      <c r="S17" s="110" t="str">
        <f aca="false">IF(AND(K17="نعم",R17&lt;&gt;""),(L17-J17)-(R17-Q17),"")</f>
        <v/>
      </c>
      <c r="T17" s="109" t="str">
        <f aca="false">IF(S17="","",S17*C17)</f>
        <v/>
      </c>
      <c r="U17" s="110" t="n">
        <f aca="false">IF(K17="نعم",L17,J17)</f>
        <v>66</v>
      </c>
      <c r="V17" s="110" t="n">
        <f aca="false">SUMPRODUCT('مصفوفة الاستهلاك (عصافرة)'!$L$2:$L$190,'متجهات المبيعات'!$J$2:$J$190)/'مواد المخزون'!$D$12/MAX(1,MIN('إعدادات المخزون'!$B$11,'إعدادات المخزون'!$B$4-'إعدادات المخزون'!$B$5+1))</f>
        <v>44.75</v>
      </c>
      <c r="W17" s="110" t="n">
        <f aca="false">IF(V17&lt;=0,0,ROUNDUP(MAX(0,V17*('إعدادات المخزون'!$B$8+'إعدادات المخزون'!$B$9+'إعدادات المخزون'!$B$10)-MAX(U17,0))/'مواد المخزون'!$F12,0)*'مواد المخزون'!$F12)</f>
        <v>113</v>
      </c>
      <c r="X17" s="109" t="n">
        <f aca="false">IF(AND(K17="نعم",O17&lt;0),-O17+ROW()*0.000000001,0)</f>
        <v>0</v>
      </c>
      <c r="Y17" s="109" t="n">
        <f aca="false">IF(AND(K17="نعم",O17&gt;0),O17+ROW()*0.000000001,0)</f>
        <v>0</v>
      </c>
      <c r="Z17" s="110" t="n">
        <f aca="false">SUMIFS('مشتريات يومية'!$D$2:$D$4001,'مشتريات يومية'!$B$2:$B$4001,$B$2,'مشتريات يومية'!$C$2:$C$4001,$A17,'مشتريات يومية'!$A$2:$A$4001,'إعدادات المخزون'!$B$4)+SUMIFS('هالك وتحويلات'!$E$2:$E$3001,'هالك وتحويلات'!$B$2:$B$3001,$B$2,'هالك وتحويلات'!$C$2:$C$3001,$A17,'هالك وتحويلات'!$D$2:$D$3001,"تحويل وارد",'هالك وتحويلات'!$A$2:$A$3001,'إعدادات المخزون'!$B$4)-SUMIFS('هالك وتحويلات'!$E$2:$E$3001,'هالك وتحويلات'!$B$2:$B$3001,$B$2,'هالك وتحويلات'!$C$2:$C$3001,$A17,'هالك وتحويلات'!$D$2:$D$3001,"تحويل صادر",'هالك وتحويلات'!$A$2:$A$3001,'إعدادات المخزون'!$B$4)-SUMIFS('هالك وتحويلات'!$E$2:$E$3001,'هالك وتحويلات'!$B$2:$B$3001,$B$2,'هالك وتحويلات'!$C$2:$C$3001,$A17,'هالك وتحويلات'!$D$2:$D$3001,"هالك",'هالك وتحويلات'!$A$2:$A$3001,'إعدادات المخزون'!$B$4)-SUMIFS('هالك وتحويلات'!$E$2:$E$3001,'هالك وتحويلات'!$B$2:$B$3001,$B$2,'هالك وتحويلات'!$C$2:$C$3001,$A17,'هالك وتحويلات'!$D$2:$D$3001,"ضيافة / أكل موظفين",'هالك وتحويلات'!$A$2:$A$3001,'إعدادات المخزون'!$B$4)-SUMPRODUCT('مصفوفة الاستهلاك (عصافرة)'!$L$2:$L$190,'متجهات المبيعات'!$H$2:$H$190)/'مواد المخزون'!$D$12</f>
        <v>-44.75</v>
      </c>
      <c r="AA17" s="109" t="n">
        <f aca="false">IF(K17="نعم",O17,0)</f>
        <v>0</v>
      </c>
      <c r="AB17" s="109" t="n">
        <f aca="false">IF(K17="نعم",J17*C17,0)</f>
        <v>0</v>
      </c>
      <c r="AC17" s="109" t="n">
        <f aca="false">IF(T17="",0,T17)</f>
        <v>0</v>
      </c>
    </row>
    <row r="18" customFormat="false" ht="15" hidden="false" customHeight="false" outlineLevel="0" collapsed="false">
      <c r="A18" s="34" t="str">
        <f aca="false">'مواد المخزون'!A13</f>
        <v>برسيون سدق كبير</v>
      </c>
      <c r="B18" s="36" t="str">
        <f aca="false">'مواد المخزون'!B13</f>
        <v>قطعة</v>
      </c>
      <c r="C18" s="109" t="n">
        <f aca="false">'مواد المخزون'!E13</f>
        <v>45</v>
      </c>
      <c r="D18" s="110" t="n">
        <f aca="false">'جرد أول المدة'!E16</f>
        <v>26</v>
      </c>
      <c r="E18" s="110" t="n">
        <f aca="false">SUMIFS('مشتريات يومية'!$D$2:$D$4001,'مشتريات يومية'!$B$2:$B$4001,$B$2,'مشتريات يومية'!$C$2:$C$4001,$A18,'مشتريات يومية'!$A$2:$A$4001,"&gt;="&amp;'إعدادات المخزون'!$B$5,'مشتريات يومية'!$A$2:$A$4001,"&lt;="&amp;'إعدادات المخزون'!$B$4)</f>
        <v>100</v>
      </c>
      <c r="F18" s="110" t="n">
        <f aca="false">SUMIFS('هالك وتحويلات'!$E$2:$E$3001,'هالك وتحويلات'!$B$2:$B$3001,$B$2,'هالك وتحويلات'!$C$2:$C$3001,$A18,'هالك وتحويلات'!$D$2:$D$3001,"تحويل وارد",'هالك وتحويلات'!$A$2:$A$3001,"&gt;="&amp;'إعدادات المخزون'!$B$5,'هالك وتحويلات'!$A$2:$A$3001,"&lt;="&amp;'إعدادات المخزون'!$B$4)</f>
        <v>0</v>
      </c>
      <c r="G18" s="110" t="n">
        <f aca="false">SUMIFS('هالك وتحويلات'!$E$2:$E$3001,'هالك وتحويلات'!$B$2:$B$3001,$B$2,'هالك وتحويلات'!$C$2:$C$3001,$A18,'هالك وتحويلات'!$D$2:$D$3001,"تحويل صادر",'هالك وتحويلات'!$A$2:$A$3001,"&gt;="&amp;'إعدادات المخزون'!$B$5,'هالك وتحويلات'!$A$2:$A$3001,"&lt;="&amp;'إعدادات المخزون'!$B$4)</f>
        <v>0</v>
      </c>
      <c r="H18" s="110" t="n">
        <f aca="false">SUMPRODUCT('مصفوفة الاستهلاك (عصافرة)'!$M$2:$M$190,'متجهات المبيعات'!$I$2:$I$190)/'مواد المخزون'!$D$13</f>
        <v>88.4994</v>
      </c>
      <c r="I18" s="110" t="n">
        <f aca="false">SUMIFS('هالك وتحويلات'!$E$2:$E$3001,'هالك وتحويلات'!$B$2:$B$3001,$B$2,'هالك وتحويلات'!$C$2:$C$3001,$A18,'هالك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وتحويلات'!$C$2:$C$3001,$A18,'هالك وتحويلات'!$D$2:$D$3001,"ضيافة / أكل موظفين",'هالك وتحويلات'!$A$2:$A$3001,"&gt;="&amp;'إعدادات المخزون'!$B$5,'هالك وتحويلات'!$A$2:$A$3001,"&lt;="&amp;'إعدادات المخزون'!$B$4)</f>
        <v>0</v>
      </c>
      <c r="J18" s="110" t="n">
        <f aca="false">D18+E18+F18-G18-H18-I18</f>
        <v>37.5006</v>
      </c>
      <c r="K18" s="36" t="str">
        <f aca="false">IF(COUNTIFS('جرد فعلي'!$B$2:$B$12001,$B$2,'جرد فعلي'!$C$2:$C$12001,$A18,'جرد فعلي'!$A$2:$A$12001,'إعدادات المخزون'!$B$4)&gt;0,"نعم","لا")</f>
        <v>لا</v>
      </c>
      <c r="L18" s="111" t="str">
        <f aca="false">IF(K18="نعم",SUMIFS('جرد فعلي'!$D$2:$D$12001,'جرد فعلي'!$B$2:$B$12001,$B$2,'جرد فعلي'!$C$2:$C$12001,$A18,'جرد فعلي'!$A$2:$A$12001,'إعدادات المخزون'!$B$4),"")</f>
        <v/>
      </c>
      <c r="M18" s="110" t="str">
        <f aca="false">IF(K18="نعم",L18-J18,"")</f>
        <v/>
      </c>
      <c r="N18" s="112" t="str">
        <f aca="false">IF(K18="نعم",IF(J18=0,IF(M18=0,0,SIGN(M18)),M18/ABS(J18)),"")</f>
        <v/>
      </c>
      <c r="O18" s="109" t="str">
        <f aca="false">IF(K18="نعم",M18*C18,"")</f>
        <v/>
      </c>
      <c r="P18" s="36" t="str">
        <f aca="false">IF(K18&lt;&gt;"نعم","لم يُجرد",IF(ABS(N18)&lt;='إعدادات المخزون'!$B$7,"مطابق",IF(M18&lt;0,"عجز","زيادة")))</f>
        <v>لم يُجرد</v>
      </c>
      <c r="Q18" s="110" t="n">
        <f aca="false">J18-Z18</f>
        <v>44.87555</v>
      </c>
      <c r="R18" s="110" t="str">
        <f aca="false">IF(COUNTIFS('جرد فعلي'!$B$2:$B$12001,$B$2,'جرد فعلي'!$C$2:$C$12001,$A18,'جرد فعلي'!$A$2:$A$12001,'إعدادات المخزون'!$B$4-1)&gt;0,SUMIFS('جرد فعلي'!$D$2:$D$12001,'جرد فعلي'!$B$2:$B$12001,$B$2,'جرد فعلي'!$C$2:$C$12001,$A18,'جرد فعلي'!$A$2:$A$12001,'إعدادات المخزون'!$B$4-1),"")</f>
        <v/>
      </c>
      <c r="S18" s="110" t="str">
        <f aca="false">IF(AND(K18="نعم",R18&lt;&gt;""),(L18-J18)-(R18-Q18),"")</f>
        <v/>
      </c>
      <c r="T18" s="109" t="str">
        <f aca="false">IF(S18="","",S18*C18)</f>
        <v/>
      </c>
      <c r="U18" s="110" t="n">
        <f aca="false">IF(K18="نعم",L18,J18)</f>
        <v>37.5006</v>
      </c>
      <c r="V18" s="110" t="n">
        <f aca="false">SUMPRODUCT('مصفوفة الاستهلاك (عصافرة)'!$M$2:$M$190,'متجهات المبيعات'!$J$2:$J$190)/'مواد المخزون'!$D$13/MAX(1,MIN('إعدادات المخزون'!$B$11,'إعدادات المخزون'!$B$4-'إعدادات المخزون'!$B$5+1))</f>
        <v>7.37495</v>
      </c>
      <c r="W18" s="110" t="n">
        <f aca="false">IF(V18&lt;=0,0,ROUNDUP(MAX(0,V18*('إعدادات المخزون'!$B$8+'إعدادات المخزون'!$B$9+'إعدادات المخزون'!$B$10)-MAX(U18,0))/'مواد المخزون'!$F13,0)*'مواد المخزون'!$F13)</f>
        <v>0</v>
      </c>
      <c r="X18" s="109" t="n">
        <f aca="false">IF(AND(K18="نعم",O18&lt;0),-O18+ROW()*0.000000001,0)</f>
        <v>0</v>
      </c>
      <c r="Y18" s="109" t="n">
        <f aca="false">IF(AND(K18="نعم",O18&gt;0),O18+ROW()*0.000000001,0)</f>
        <v>0</v>
      </c>
      <c r="Z18" s="110" t="n">
        <f aca="false">SUMIFS('مشتريات يومية'!$D$2:$D$4001,'مشتريات يومية'!$B$2:$B$4001,$B$2,'مشتريات يومية'!$C$2:$C$4001,$A18,'مشتريات يومية'!$A$2:$A$4001,'إعدادات المخزون'!$B$4)+SUMIFS('هالك وتحويلات'!$E$2:$E$3001,'هالك وتحويلات'!$B$2:$B$3001,$B$2,'هالك وتحويلات'!$C$2:$C$3001,$A18,'هالك وتحويلات'!$D$2:$D$3001,"تحويل وارد",'هالك وتحويلات'!$A$2:$A$3001,'إعدادات المخزون'!$B$4)-SUMIFS('هالك وتحويلات'!$E$2:$E$3001,'هالك وتحويلات'!$B$2:$B$3001,$B$2,'هالك وتحويلات'!$C$2:$C$3001,$A18,'هالك وتحويلات'!$D$2:$D$3001,"تحويل صادر",'هالك وتحويلات'!$A$2:$A$3001,'إعدادات المخزون'!$B$4)-SUMIFS('هالك وتحويلات'!$E$2:$E$3001,'هالك وتحويلات'!$B$2:$B$3001,$B$2,'هالك وتحويلات'!$C$2:$C$3001,$A18,'هالك وتحويلات'!$D$2:$D$3001,"هالك",'هالك وتحويلات'!$A$2:$A$3001,'إعدادات المخزون'!$B$4)-SUMIFS('هالك وتحويلات'!$E$2:$E$3001,'هالك وتحويلات'!$B$2:$B$3001,$B$2,'هالك وتحويلات'!$C$2:$C$3001,$A18,'هالك وتحويلات'!$D$2:$D$3001,"ضيافة / أكل موظفين",'هالك وتحويلات'!$A$2:$A$3001,'إعدادات المخزون'!$B$4)-SUMPRODUCT('مصفوفة الاستهلاك (عصافرة)'!$M$2:$M$190,'متجهات المبيعات'!$H$2:$H$190)/'مواد المخزون'!$D$13</f>
        <v>-7.37495</v>
      </c>
      <c r="AA18" s="109" t="n">
        <f aca="false">IF(K18="نعم",O18,0)</f>
        <v>0</v>
      </c>
      <c r="AB18" s="109" t="n">
        <f aca="false">IF(K18="نعم",J18*C18,0)</f>
        <v>0</v>
      </c>
      <c r="AC18" s="109" t="n">
        <f aca="false">IF(T18="",0,T18)</f>
        <v>0</v>
      </c>
    </row>
    <row r="19" customFormat="false" ht="15" hidden="false" customHeight="false" outlineLevel="0" collapsed="false">
      <c r="A19" s="34" t="str">
        <f aca="false">'مواد المخزون'!A14</f>
        <v>برسيون سلامي صغير</v>
      </c>
      <c r="B19" s="36" t="str">
        <f aca="false">'مواد المخزون'!B14</f>
        <v>قطعة</v>
      </c>
      <c r="C19" s="109" t="n">
        <f aca="false">'مواد المخزون'!E14</f>
        <v>26.9708</v>
      </c>
      <c r="D19" s="110" t="n">
        <f aca="false">'جرد أول المدة'!E17</f>
        <v>13</v>
      </c>
      <c r="E19" s="110" t="n">
        <f aca="false">SUMIFS('مشتريات يومية'!$D$2:$D$4001,'مشتريات يومية'!$B$2:$B$4001,$B$2,'مشتريات يومية'!$C$2:$C$4001,$A19,'مشتريات يومية'!$A$2:$A$4001,"&gt;="&amp;'إعدادات المخزون'!$B$5,'مشتريات يومية'!$A$2:$A$4001,"&lt;="&amp;'إعدادات المخزون'!$B$4)</f>
        <v>64</v>
      </c>
      <c r="F19" s="110" t="n">
        <f aca="false">SUMIFS('هالك وتحويلات'!$E$2:$E$3001,'هالك وتحويلات'!$B$2:$B$3001,$B$2,'هالك وتحويلات'!$C$2:$C$3001,$A19,'هالك وتحويلات'!$D$2:$D$3001,"تحويل وارد",'هالك وتحويلات'!$A$2:$A$3001,"&gt;="&amp;'إعدادات المخزون'!$B$5,'هالك وتحويلات'!$A$2:$A$3001,"&lt;="&amp;'إعدادات المخزون'!$B$4)</f>
        <v>0</v>
      </c>
      <c r="G19" s="110" t="n">
        <f aca="false">SUMIFS('هالك وتحويلات'!$E$2:$E$3001,'هالك وتحويلات'!$B$2:$B$3001,$B$2,'هالك وتحويلات'!$C$2:$C$3001,$A19,'هالك وتحويلات'!$D$2:$D$3001,"تحويل صادر",'هالك وتحويلات'!$A$2:$A$3001,"&gt;="&amp;'إعدادات المخزون'!$B$5,'هالك وتحويلات'!$A$2:$A$3001,"&lt;="&amp;'إعدادات المخزون'!$B$4)</f>
        <v>0</v>
      </c>
      <c r="H19" s="110" t="n">
        <f aca="false">SUMPRODUCT('مصفوفة الاستهلاك (عصافرة)'!$N$2:$N$190,'متجهات المبيعات'!$I$2:$I$190)/'مواد المخزون'!$D$14</f>
        <v>48.1992</v>
      </c>
      <c r="I19" s="110" t="n">
        <f aca="false">SUMIFS('هالك وتحويلات'!$E$2:$E$3001,'هالك وتحويلات'!$B$2:$B$3001,$B$2,'هالك وتحويلات'!$C$2:$C$3001,$A19,'هالك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وتحويلات'!$C$2:$C$3001,$A19,'هالك وتحويلات'!$D$2:$D$3001,"ضيافة / أكل موظفين",'هالك وتحويلات'!$A$2:$A$3001,"&gt;="&amp;'إعدادات المخزون'!$B$5,'هالك وتحويلات'!$A$2:$A$3001,"&lt;="&amp;'إعدادات المخزون'!$B$4)</f>
        <v>0</v>
      </c>
      <c r="J19" s="110" t="n">
        <f aca="false">D19+E19+F19-G19-H19-I19</f>
        <v>28.8008</v>
      </c>
      <c r="K19" s="36" t="str">
        <f aca="false">IF(COUNTIFS('جرد فعلي'!$B$2:$B$12001,$B$2,'جرد فعلي'!$C$2:$C$12001,$A19,'جرد فعلي'!$A$2:$A$12001,'إعدادات المخزون'!$B$4)&gt;0,"نعم","لا")</f>
        <v>لا</v>
      </c>
      <c r="L19" s="111" t="str">
        <f aca="false">IF(K19="نعم",SUMIFS('جرد فعلي'!$D$2:$D$12001,'جرد فعلي'!$B$2:$B$12001,$B$2,'جرد فعلي'!$C$2:$C$12001,$A19,'جرد فعلي'!$A$2:$A$12001,'إعدادات المخزون'!$B$4),"")</f>
        <v/>
      </c>
      <c r="M19" s="110" t="str">
        <f aca="false">IF(K19="نعم",L19-J19,"")</f>
        <v/>
      </c>
      <c r="N19" s="112" t="str">
        <f aca="false">IF(K19="نعم",IF(J19=0,IF(M19=0,0,SIGN(M19)),M19/ABS(J19)),"")</f>
        <v/>
      </c>
      <c r="O19" s="109" t="str">
        <f aca="false">IF(K19="نعم",M19*C19,"")</f>
        <v/>
      </c>
      <c r="P19" s="36" t="str">
        <f aca="false">IF(K19&lt;&gt;"نعم","لم يُجرد",IF(ABS(N19)&lt;='إعدادات المخزون'!$B$7,"مطابق",IF(M19&lt;0,"عجز","زيادة")))</f>
        <v>لم يُجرد</v>
      </c>
      <c r="Q19" s="110" t="n">
        <f aca="false">J19-Z19</f>
        <v>32.8174</v>
      </c>
      <c r="R19" s="110" t="str">
        <f aca="false">IF(COUNTIFS('جرد فعلي'!$B$2:$B$12001,$B$2,'جرد فعلي'!$C$2:$C$12001,$A19,'جرد فعلي'!$A$2:$A$12001,'إعدادات المخزون'!$B$4-1)&gt;0,SUMIFS('جرد فعلي'!$D$2:$D$12001,'جرد فعلي'!$B$2:$B$12001,$B$2,'جرد فعلي'!$C$2:$C$12001,$A19,'جرد فعلي'!$A$2:$A$12001,'إعدادات المخزون'!$B$4-1),"")</f>
        <v/>
      </c>
      <c r="S19" s="110" t="str">
        <f aca="false">IF(AND(K19="نعم",R19&lt;&gt;""),(L19-J19)-(R19-Q19),"")</f>
        <v/>
      </c>
      <c r="T19" s="109" t="str">
        <f aca="false">IF(S19="","",S19*C19)</f>
        <v/>
      </c>
      <c r="U19" s="110" t="n">
        <f aca="false">IF(K19="نعم",L19,J19)</f>
        <v>28.8008</v>
      </c>
      <c r="V19" s="110" t="n">
        <f aca="false">SUMPRODUCT('مصفوفة الاستهلاك (عصافرة)'!$N$2:$N$190,'متجهات المبيعات'!$J$2:$J$190)/'مواد المخزون'!$D$14/MAX(1,MIN('إعدادات المخزون'!$B$11,'إعدادات المخزون'!$B$4-'إعدادات المخزون'!$B$5+1))</f>
        <v>4.0166</v>
      </c>
      <c r="W19" s="110" t="n">
        <f aca="false">IF(V19&lt;=0,0,ROUNDUP(MAX(0,V19*('إعدادات المخزون'!$B$8+'إعدادات المخزون'!$B$9+'إعدادات المخزون'!$B$10)-MAX(U19,0))/'مواد المخزون'!$F14,0)*'مواد المخزون'!$F14)</f>
        <v>0</v>
      </c>
      <c r="X19" s="109" t="n">
        <f aca="false">IF(AND(K19="نعم",O19&lt;0),-O19+ROW()*0.000000001,0)</f>
        <v>0</v>
      </c>
      <c r="Y19" s="109" t="n">
        <f aca="false">IF(AND(K19="نعم",O19&gt;0),O19+ROW()*0.000000001,0)</f>
        <v>0</v>
      </c>
      <c r="Z19" s="110" t="n">
        <f aca="false">SUMIFS('مشتريات يومية'!$D$2:$D$4001,'مشتريات يومية'!$B$2:$B$4001,$B$2,'مشتريات يومية'!$C$2:$C$4001,$A19,'مشتريات يومية'!$A$2:$A$4001,'إعدادات المخزون'!$B$4)+SUMIFS('هالك وتحويلات'!$E$2:$E$3001,'هالك وتحويلات'!$B$2:$B$3001,$B$2,'هالك وتحويلات'!$C$2:$C$3001,$A19,'هالك وتحويلات'!$D$2:$D$3001,"تحويل وارد",'هالك وتحويلات'!$A$2:$A$3001,'إعدادات المخزون'!$B$4)-SUMIFS('هالك وتحويلات'!$E$2:$E$3001,'هالك وتحويلات'!$B$2:$B$3001,$B$2,'هالك وتحويلات'!$C$2:$C$3001,$A19,'هالك وتحويلات'!$D$2:$D$3001,"تحويل صادر",'هالك وتحويلات'!$A$2:$A$3001,'إعدادات المخزون'!$B$4)-SUMIFS('هالك وتحويلات'!$E$2:$E$3001,'هالك وتحويلات'!$B$2:$B$3001,$B$2,'هالك وتحويلات'!$C$2:$C$3001,$A19,'هالك وتحويلات'!$D$2:$D$3001,"هالك",'هالك وتحويلات'!$A$2:$A$3001,'إعدادات المخزون'!$B$4)-SUMIFS('هالك وتحويلات'!$E$2:$E$3001,'هالك وتحويلات'!$B$2:$B$3001,$B$2,'هالك وتحويلات'!$C$2:$C$3001,$A19,'هالك وتحويلات'!$D$2:$D$3001,"ضيافة / أكل موظفين",'هالك وتحويلات'!$A$2:$A$3001,'إعدادات المخزون'!$B$4)-SUMPRODUCT('مصفوفة الاستهلاك (عصافرة)'!$N$2:$N$190,'متجهات المبيعات'!$H$2:$H$190)/'مواد المخزون'!$D$14</f>
        <v>-4.0166</v>
      </c>
      <c r="AA19" s="109" t="n">
        <f aca="false">IF(K19="نعم",O19,0)</f>
        <v>0</v>
      </c>
      <c r="AB19" s="109" t="n">
        <f aca="false">IF(K19="نعم",J19*C19,0)</f>
        <v>0</v>
      </c>
      <c r="AC19" s="109" t="n">
        <f aca="false">IF(T19="",0,T19)</f>
        <v>0</v>
      </c>
    </row>
    <row r="20" customFormat="false" ht="15" hidden="false" customHeight="false" outlineLevel="0" collapsed="false">
      <c r="A20" s="34" t="str">
        <f aca="false">'مواد المخزون'!A15</f>
        <v>برسيون فراخ جريل صغير</v>
      </c>
      <c r="B20" s="36" t="str">
        <f aca="false">'مواد المخزون'!B15</f>
        <v>قطعة</v>
      </c>
      <c r="C20" s="109" t="n">
        <f aca="false">'مواد المخزون'!E15</f>
        <v>33.982</v>
      </c>
      <c r="D20" s="110" t="n">
        <f aca="false">'جرد أول المدة'!E18</f>
        <v>48</v>
      </c>
      <c r="E20" s="110" t="n">
        <f aca="false">SUMIFS('مشتريات يومية'!$D$2:$D$4001,'مشتريات يومية'!$B$2:$B$4001,$B$2,'مشتريات يومية'!$C$2:$C$4001,$A20,'مشتريات يومية'!$A$2:$A$4001,"&gt;="&amp;'إعدادات المخزون'!$B$5,'مشتريات يومية'!$A$2:$A$4001,"&lt;="&amp;'إعدادات المخزون'!$B$4)</f>
        <v>210</v>
      </c>
      <c r="F20" s="110" t="n">
        <f aca="false">SUMIFS('هالك وتحويلات'!$E$2:$E$3001,'هالك وتحويلات'!$B$2:$B$3001,$B$2,'هالك وتحويلات'!$C$2:$C$3001,$A20,'هالك وتحويلات'!$D$2:$D$3001,"تحويل وارد",'هالك وتحويلات'!$A$2:$A$3001,"&gt;="&amp;'إعدادات المخزون'!$B$5,'هالك وتحويلات'!$A$2:$A$3001,"&lt;="&amp;'إعدادات المخزون'!$B$4)</f>
        <v>0</v>
      </c>
      <c r="G20" s="110" t="n">
        <f aca="false">SUMIFS('هالك وتحويلات'!$E$2:$E$3001,'هالك وتحويلات'!$B$2:$B$3001,$B$2,'هالك وتحويلات'!$C$2:$C$3001,$A20,'هالك وتحويلات'!$D$2:$D$3001,"تحويل صادر",'هالك وتحويلات'!$A$2:$A$3001,"&gt;="&amp;'إعدادات المخزون'!$B$5,'هالك وتحويلات'!$A$2:$A$3001,"&lt;="&amp;'إعدادات المخزون'!$B$4)</f>
        <v>0</v>
      </c>
      <c r="H20" s="110" t="n">
        <f aca="false">SUMPRODUCT('مصفوفة الاستهلاك (عصافرة)'!$O$2:$O$190,'متجهات المبيعات'!$I$2:$I$190)/'مواد المخزون'!$D$15</f>
        <v>230.001</v>
      </c>
      <c r="I20" s="110" t="n">
        <f aca="false">SUMIFS('هالك وتحويلات'!$E$2:$E$3001,'هالك وتحويلات'!$B$2:$B$3001,$B$2,'هالك وتحويلات'!$C$2:$C$3001,$A20,'هالك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وتحويلات'!$C$2:$C$3001,$A20,'هالك وتحويلات'!$D$2:$D$3001,"ضيافة / أكل موظفين",'هالك وتحويلات'!$A$2:$A$3001,"&gt;="&amp;'إعدادات المخزون'!$B$5,'هالك وتحويلات'!$A$2:$A$3001,"&lt;="&amp;'إعدادات المخزون'!$B$4)</f>
        <v>0</v>
      </c>
      <c r="J20" s="110" t="n">
        <f aca="false">D20+E20+F20-G20-H20-I20</f>
        <v>27.999</v>
      </c>
      <c r="K20" s="36" t="str">
        <f aca="false">IF(COUNTIFS('جرد فعلي'!$B$2:$B$12001,$B$2,'جرد فعلي'!$C$2:$C$12001,$A20,'جرد فعلي'!$A$2:$A$12001,'إعدادات المخزون'!$B$4)&gt;0,"نعم","لا")</f>
        <v>لا</v>
      </c>
      <c r="L20" s="111" t="str">
        <f aca="false">IF(K20="نعم",SUMIFS('جرد فعلي'!$D$2:$D$12001,'جرد فعلي'!$B$2:$B$12001,$B$2,'جرد فعلي'!$C$2:$C$12001,$A20,'جرد فعلي'!$A$2:$A$12001,'إعدادات المخزون'!$B$4),"")</f>
        <v/>
      </c>
      <c r="M20" s="110" t="str">
        <f aca="false">IF(K20="نعم",L20-J20,"")</f>
        <v/>
      </c>
      <c r="N20" s="112" t="str">
        <f aca="false">IF(K20="نعم",IF(J20=0,IF(M20=0,0,SIGN(M20)),M20/ABS(J20)),"")</f>
        <v/>
      </c>
      <c r="O20" s="109" t="str">
        <f aca="false">IF(K20="نعم",M20*C20,"")</f>
        <v/>
      </c>
      <c r="P20" s="36" t="str">
        <f aca="false">IF(K20&lt;&gt;"نعم","لم يُجرد",IF(ABS(N20)&lt;='إعدادات المخزون'!$B$7,"مطابق",IF(M20&lt;0,"عجز","زيادة")))</f>
        <v>لم يُجرد</v>
      </c>
      <c r="Q20" s="110" t="n">
        <f aca="false">J20-Z20</f>
        <v>47.16575</v>
      </c>
      <c r="R20" s="110" t="str">
        <f aca="false">IF(COUNTIFS('جرد فعلي'!$B$2:$B$12001,$B$2,'جرد فعلي'!$C$2:$C$12001,$A20,'جرد فعلي'!$A$2:$A$12001,'إعدادات المخزون'!$B$4-1)&gt;0,SUMIFS('جرد فعلي'!$D$2:$D$12001,'جرد فعلي'!$B$2:$B$12001,$B$2,'جرد فعلي'!$C$2:$C$12001,$A20,'جرد فعلي'!$A$2:$A$12001,'إعدادات المخزون'!$B$4-1),"")</f>
        <v/>
      </c>
      <c r="S20" s="110" t="str">
        <f aca="false">IF(AND(K20="نعم",R20&lt;&gt;""),(L20-J20)-(R20-Q20),"")</f>
        <v/>
      </c>
      <c r="T20" s="109" t="str">
        <f aca="false">IF(S20="","",S20*C20)</f>
        <v/>
      </c>
      <c r="U20" s="110" t="n">
        <f aca="false">IF(K20="نعم",L20,J20)</f>
        <v>27.999</v>
      </c>
      <c r="V20" s="110" t="n">
        <f aca="false">SUMPRODUCT('مصفوفة الاستهلاك (عصافرة)'!$O$2:$O$190,'متجهات المبيعات'!$J$2:$J$190)/'مواد المخزون'!$D$15/MAX(1,MIN('إعدادات المخزون'!$B$11,'إعدادات المخزون'!$B$4-'إعدادات المخزون'!$B$5+1))</f>
        <v>19.16675</v>
      </c>
      <c r="W20" s="110" t="n">
        <f aca="false">IF(V20&lt;=0,0,ROUNDUP(MAX(0,V20*('إعدادات المخزون'!$B$8+'إعدادات المخزون'!$B$9+'إعدادات المخزون'!$B$10)-MAX(U20,0))/'مواد المخزون'!$F15,0)*'مواد المخزون'!$F15)</f>
        <v>49</v>
      </c>
      <c r="X20" s="109" t="n">
        <f aca="false">IF(AND(K20="نعم",O20&lt;0),-O20+ROW()*0.000000001,0)</f>
        <v>0</v>
      </c>
      <c r="Y20" s="109" t="n">
        <f aca="false">IF(AND(K20="نعم",O20&gt;0),O20+ROW()*0.000000001,0)</f>
        <v>0</v>
      </c>
      <c r="Z20" s="110" t="n">
        <f aca="false">SUMIFS('مشتريات يومية'!$D$2:$D$4001,'مشتريات يومية'!$B$2:$B$4001,$B$2,'مشتريات يومية'!$C$2:$C$4001,$A20,'مشتريات يومية'!$A$2:$A$4001,'إعدادات المخزون'!$B$4)+SUMIFS('هالك وتحويلات'!$E$2:$E$3001,'هالك وتحويلات'!$B$2:$B$3001,$B$2,'هالك وتحويلات'!$C$2:$C$3001,$A20,'هالك وتحويلات'!$D$2:$D$3001,"تحويل وارد",'هالك وتحويلات'!$A$2:$A$3001,'إعدادات المخزون'!$B$4)-SUMIFS('هالك وتحويلات'!$E$2:$E$3001,'هالك وتحويلات'!$B$2:$B$3001,$B$2,'هالك وتحويلات'!$C$2:$C$3001,$A20,'هالك وتحويلات'!$D$2:$D$3001,"تحويل صادر",'هالك وتحويلات'!$A$2:$A$3001,'إعدادات المخزون'!$B$4)-SUMIFS('هالك وتحويلات'!$E$2:$E$3001,'هالك وتحويلات'!$B$2:$B$3001,$B$2,'هالك وتحويلات'!$C$2:$C$3001,$A20,'هالك وتحويلات'!$D$2:$D$3001,"هالك",'هالك وتحويلات'!$A$2:$A$3001,'إعدادات المخزون'!$B$4)-SUMIFS('هالك وتحويلات'!$E$2:$E$3001,'هالك وتحويلات'!$B$2:$B$3001,$B$2,'هالك وتحويلات'!$C$2:$C$3001,$A20,'هالك وتحويلات'!$D$2:$D$3001,"ضيافة / أكل موظفين",'هالك وتحويلات'!$A$2:$A$3001,'إعدادات المخزون'!$B$4)-SUMPRODUCT('مصفوفة الاستهلاك (عصافرة)'!$O$2:$O$190,'متجهات المبيعات'!$H$2:$H$190)/'مواد المخزون'!$D$15</f>
        <v>-19.16675</v>
      </c>
      <c r="AA20" s="109" t="n">
        <f aca="false">IF(K20="نعم",O20,0)</f>
        <v>0</v>
      </c>
      <c r="AB20" s="109" t="n">
        <f aca="false">IF(K20="نعم",J20*C20,0)</f>
        <v>0</v>
      </c>
      <c r="AC20" s="109" t="n">
        <f aca="false">IF(T20="",0,T20)</f>
        <v>0</v>
      </c>
    </row>
    <row r="21" customFormat="false" ht="15" hidden="false" customHeight="false" outlineLevel="0" collapsed="false">
      <c r="A21" s="34" t="str">
        <f aca="false">'مواد المخزون'!A16</f>
        <v>برسيون فراخ جريل كبير</v>
      </c>
      <c r="B21" s="36" t="str">
        <f aca="false">'مواد المخزون'!B16</f>
        <v>قطعة</v>
      </c>
      <c r="C21" s="109" t="n">
        <f aca="false">'مواد المخزون'!E16</f>
        <v>48.7817</v>
      </c>
      <c r="D21" s="110" t="n">
        <f aca="false">'جرد أول المدة'!E19</f>
        <v>59.5</v>
      </c>
      <c r="E21" s="110" t="n">
        <f aca="false">SUMIFS('مشتريات يومية'!$D$2:$D$4001,'مشتريات يومية'!$B$2:$B$4001,$B$2,'مشتريات يومية'!$C$2:$C$4001,$A21,'مشتريات يومية'!$A$2:$A$4001,"&gt;="&amp;'إعدادات المخزون'!$B$5,'مشتريات يومية'!$A$2:$A$4001,"&lt;="&amp;'إعدادات المخزون'!$B$4)</f>
        <v>40</v>
      </c>
      <c r="F21" s="110" t="n">
        <f aca="false">SUMIFS('هالك وتحويلات'!$E$2:$E$3001,'هالك وتحويلات'!$B$2:$B$3001,$B$2,'هالك وتحويلات'!$C$2:$C$3001,$A21,'هالك وتحويلات'!$D$2:$D$3001,"تحويل وارد",'هالك وتحويلات'!$A$2:$A$3001,"&gt;="&amp;'إعدادات المخزون'!$B$5,'هالك وتحويلات'!$A$2:$A$3001,"&lt;="&amp;'إعدادات المخزون'!$B$4)</f>
        <v>0</v>
      </c>
      <c r="G21" s="110" t="n">
        <f aca="false">SUMIFS('هالك وتحويلات'!$E$2:$E$3001,'هالك وتحويلات'!$B$2:$B$3001,$B$2,'هالك وتحويلات'!$C$2:$C$3001,$A21,'هالك وتحويلات'!$D$2:$D$3001,"تحويل صادر",'هالك وتحويلات'!$A$2:$A$3001,"&gt;="&amp;'إعدادات المخزون'!$B$5,'هالك وتحويلات'!$A$2:$A$3001,"&lt;="&amp;'إعدادات المخزون'!$B$4)</f>
        <v>0</v>
      </c>
      <c r="H21" s="110" t="n">
        <f aca="false">SUMPRODUCT('مصفوفة الاستهلاك (عصافرة)'!$P$2:$P$190,'متجهات المبيعات'!$I$2:$I$190)/'مواد المخزون'!$D$16</f>
        <v>21.9996</v>
      </c>
      <c r="I21" s="110" t="n">
        <f aca="false">SUMIFS('هالك وتحويلات'!$E$2:$E$3001,'هالك وتحويلات'!$B$2:$B$3001,$B$2,'هالك وتحويلات'!$C$2:$C$3001,$A21,'هالك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وتحويلات'!$C$2:$C$3001,$A21,'هالك وتحويلات'!$D$2:$D$3001,"ضيافة / أكل موظفين",'هالك وتحويلات'!$A$2:$A$3001,"&gt;="&amp;'إعدادات المخزون'!$B$5,'هالك وتحويلات'!$A$2:$A$3001,"&lt;="&amp;'إعدادات المخزون'!$B$4)</f>
        <v>0</v>
      </c>
      <c r="J21" s="110" t="n">
        <f aca="false">D21+E21+F21-G21-H21-I21</f>
        <v>77.5004</v>
      </c>
      <c r="K21" s="36" t="str">
        <f aca="false">IF(COUNTIFS('جرد فعلي'!$B$2:$B$12001,$B$2,'جرد فعلي'!$C$2:$C$12001,$A21,'جرد فعلي'!$A$2:$A$12001,'إعدادات المخزون'!$B$4)&gt;0,"نعم","لا")</f>
        <v>لا</v>
      </c>
      <c r="L21" s="111" t="str">
        <f aca="false">IF(K21="نعم",SUMIFS('جرد فعلي'!$D$2:$D$12001,'جرد فعلي'!$B$2:$B$12001,$B$2,'جرد فعلي'!$C$2:$C$12001,$A21,'جرد فعلي'!$A$2:$A$12001,'إعدادات المخزون'!$B$4),"")</f>
        <v/>
      </c>
      <c r="M21" s="110" t="str">
        <f aca="false">IF(K21="نعم",L21-J21,"")</f>
        <v/>
      </c>
      <c r="N21" s="112" t="str">
        <f aca="false">IF(K21="نعم",IF(J21=0,IF(M21=0,0,SIGN(M21)),M21/ABS(J21)),"")</f>
        <v/>
      </c>
      <c r="O21" s="109" t="str">
        <f aca="false">IF(K21="نعم",M21*C21,"")</f>
        <v/>
      </c>
      <c r="P21" s="36" t="str">
        <f aca="false">IF(K21&lt;&gt;"نعم","لم يُجرد",IF(ABS(N21)&lt;='إعدادات المخزون'!$B$7,"مطابق",IF(M21&lt;0,"عجز","زيادة")))</f>
        <v>لم يُجرد</v>
      </c>
      <c r="Q21" s="110" t="n">
        <f aca="false">J21-Z21</f>
        <v>79.3337</v>
      </c>
      <c r="R21" s="110" t="str">
        <f aca="false">IF(COUNTIFS('جرد فعلي'!$B$2:$B$12001,$B$2,'جرد فعلي'!$C$2:$C$12001,$A21,'جرد فعلي'!$A$2:$A$12001,'إعدادات المخزون'!$B$4-1)&gt;0,SUMIFS('جرد فعلي'!$D$2:$D$12001,'جرد فعلي'!$B$2:$B$12001,$B$2,'جرد فعلي'!$C$2:$C$12001,$A21,'جرد فعلي'!$A$2:$A$12001,'إعدادات المخزون'!$B$4-1),"")</f>
        <v/>
      </c>
      <c r="S21" s="110" t="str">
        <f aca="false">IF(AND(K21="نعم",R21&lt;&gt;""),(L21-J21)-(R21-Q21),"")</f>
        <v/>
      </c>
      <c r="T21" s="109" t="str">
        <f aca="false">IF(S21="","",S21*C21)</f>
        <v/>
      </c>
      <c r="U21" s="110" t="n">
        <f aca="false">IF(K21="نعم",L21,J21)</f>
        <v>77.5004</v>
      </c>
      <c r="V21" s="110" t="n">
        <f aca="false">SUMPRODUCT('مصفوفة الاستهلاك (عصافرة)'!$P$2:$P$190,'متجهات المبيعات'!$J$2:$J$190)/'مواد المخزون'!$D$16/MAX(1,MIN('إعدادات المخزون'!$B$11,'إعدادات المخزون'!$B$4-'إعدادات المخزون'!$B$5+1))</f>
        <v>1.8333</v>
      </c>
      <c r="W21" s="110" t="n">
        <f aca="false">IF(V21&lt;=0,0,ROUNDUP(MAX(0,V21*('إعدادات المخزون'!$B$8+'إعدادات المخزون'!$B$9+'إعدادات المخزون'!$B$10)-MAX(U21,0))/'مواد المخزون'!$F16,0)*'مواد المخزون'!$F16)</f>
        <v>0</v>
      </c>
      <c r="X21" s="109" t="n">
        <f aca="false">IF(AND(K21="نعم",O21&lt;0),-O21+ROW()*0.000000001,0)</f>
        <v>0</v>
      </c>
      <c r="Y21" s="109" t="n">
        <f aca="false">IF(AND(K21="نعم",O21&gt;0),O21+ROW()*0.000000001,0)</f>
        <v>0</v>
      </c>
      <c r="Z21" s="110" t="n">
        <f aca="false">SUMIFS('مشتريات يومية'!$D$2:$D$4001,'مشتريات يومية'!$B$2:$B$4001,$B$2,'مشتريات يومية'!$C$2:$C$4001,$A21,'مشتريات يومية'!$A$2:$A$4001,'إعدادات المخزون'!$B$4)+SUMIFS('هالك وتحويلات'!$E$2:$E$3001,'هالك وتحويلات'!$B$2:$B$3001,$B$2,'هالك وتحويلات'!$C$2:$C$3001,$A21,'هالك وتحويلات'!$D$2:$D$3001,"تحويل وارد",'هالك وتحويلات'!$A$2:$A$3001,'إعدادات المخزون'!$B$4)-SUMIFS('هالك وتحويلات'!$E$2:$E$3001,'هالك وتحويلات'!$B$2:$B$3001,$B$2,'هالك وتحويلات'!$C$2:$C$3001,$A21,'هالك وتحويلات'!$D$2:$D$3001,"تحويل صادر",'هالك وتحويلات'!$A$2:$A$3001,'إعدادات المخزون'!$B$4)-SUMIFS('هالك وتحويلات'!$E$2:$E$3001,'هالك وتحويلات'!$B$2:$B$3001,$B$2,'هالك وتحويلات'!$C$2:$C$3001,$A21,'هالك وتحويلات'!$D$2:$D$3001,"هالك",'هالك وتحويلات'!$A$2:$A$3001,'إعدادات المخزون'!$B$4)-SUMIFS('هالك وتحويلات'!$E$2:$E$3001,'هالك وتحويلات'!$B$2:$B$3001,$B$2,'هالك وتحويلات'!$C$2:$C$3001,$A21,'هالك وتحويلات'!$D$2:$D$3001,"ضيافة / أكل موظفين",'هالك وتحويلات'!$A$2:$A$3001,'إعدادات المخزون'!$B$4)-SUMPRODUCT('مصفوفة الاستهلاك (عصافرة)'!$P$2:$P$190,'متجهات المبيعات'!$H$2:$H$190)/'مواد المخزون'!$D$16</f>
        <v>-1.8333</v>
      </c>
      <c r="AA21" s="109" t="n">
        <f aca="false">IF(K21="نعم",O21,0)</f>
        <v>0</v>
      </c>
      <c r="AB21" s="109" t="n">
        <f aca="false">IF(K21="نعم",J21*C21,0)</f>
        <v>0</v>
      </c>
      <c r="AC21" s="109" t="n">
        <f aca="false">IF(T21="",0,T21)</f>
        <v>0</v>
      </c>
    </row>
    <row r="22" customFormat="false" ht="15" hidden="false" customHeight="false" outlineLevel="0" collapsed="false">
      <c r="A22" s="34" t="str">
        <f aca="false">'مواد المخزون'!A17</f>
        <v>برسيون فراخ كريسبي صغير</v>
      </c>
      <c r="B22" s="36" t="str">
        <f aca="false">'مواد المخزون'!B17</f>
        <v>قطعة</v>
      </c>
      <c r="C22" s="109" t="n">
        <f aca="false">'مواد المخزون'!E17</f>
        <v>30</v>
      </c>
      <c r="D22" s="110" t="n">
        <f aca="false">'جرد أول المدة'!E20</f>
        <v>28</v>
      </c>
      <c r="E22" s="110" t="n">
        <f aca="false">SUMIFS('مشتريات يومية'!$D$2:$D$4001,'مشتريات يومية'!$B$2:$B$4001,$B$2,'مشتريات يومية'!$C$2:$C$4001,$A22,'مشتريات يومية'!$A$2:$A$4001,"&gt;="&amp;'إعدادات المخزون'!$B$5,'مشتريات يومية'!$A$2:$A$4001,"&lt;="&amp;'إعدادات المخزون'!$B$4)</f>
        <v>120</v>
      </c>
      <c r="F22" s="110" t="n">
        <f aca="false">SUMIFS('هالك وتحويلات'!$E$2:$E$3001,'هالك وتحويلات'!$B$2:$B$3001,$B$2,'هالك وتحويلات'!$C$2:$C$3001,$A22,'هالك وتحويلات'!$D$2:$D$3001,"تحويل وارد",'هالك وتحويلات'!$A$2:$A$3001,"&gt;="&amp;'إعدادات المخزون'!$B$5,'هالك وتحويلات'!$A$2:$A$3001,"&lt;="&amp;'إعدادات المخزون'!$B$4)</f>
        <v>0</v>
      </c>
      <c r="G22" s="110" t="n">
        <f aca="false">SUMIFS('هالك وتحويلات'!$E$2:$E$3001,'هالك وتحويلات'!$B$2:$B$3001,$B$2,'هالك وتحويلات'!$C$2:$C$3001,$A22,'هالك وتحويلات'!$D$2:$D$3001,"تحويل صادر",'هالك وتحويلات'!$A$2:$A$3001,"&gt;="&amp;'إعدادات المخزون'!$B$5,'هالك وتحويلات'!$A$2:$A$3001,"&lt;="&amp;'إعدادات المخزون'!$B$4)</f>
        <v>0</v>
      </c>
      <c r="H22" s="110" t="n">
        <f aca="false">SUMPRODUCT('مصفوفة الاستهلاك (عصافرة)'!$Q$2:$Q$190,'متجهات المبيعات'!$I$2:$I$190)/'مواد المخزون'!$D$17</f>
        <v>112.0002</v>
      </c>
      <c r="I22" s="110" t="n">
        <f aca="false">SUMIFS('هالك وتحويلات'!$E$2:$E$3001,'هالك وتحويلات'!$B$2:$B$3001,$B$2,'هالك وتحويلات'!$C$2:$C$3001,$A22,'هالك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وتحويلات'!$C$2:$C$3001,$A22,'هالك وتحويلات'!$D$2:$D$3001,"ضيافة / أكل موظفين",'هالك وتحويلات'!$A$2:$A$3001,"&gt;="&amp;'إعدادات المخزون'!$B$5,'هالك وتحويلات'!$A$2:$A$3001,"&lt;="&amp;'إعدادات المخزون'!$B$4)</f>
        <v>0</v>
      </c>
      <c r="J22" s="110" t="n">
        <f aca="false">D22+E22+F22-G22-H22-I22</f>
        <v>35.9998</v>
      </c>
      <c r="K22" s="36" t="str">
        <f aca="false">IF(COUNTIFS('جرد فعلي'!$B$2:$B$12001,$B$2,'جرد فعلي'!$C$2:$C$12001,$A22,'جرد فعلي'!$A$2:$A$12001,'إعدادات المخزون'!$B$4)&gt;0,"نعم","لا")</f>
        <v>لا</v>
      </c>
      <c r="L22" s="111" t="str">
        <f aca="false">IF(K22="نعم",SUMIFS('جرد فعلي'!$D$2:$D$12001,'جرد فعلي'!$B$2:$B$12001,$B$2,'جرد فعلي'!$C$2:$C$12001,$A22,'جرد فعلي'!$A$2:$A$12001,'إعدادات المخزون'!$B$4),"")</f>
        <v/>
      </c>
      <c r="M22" s="110" t="str">
        <f aca="false">IF(K22="نعم",L22-J22,"")</f>
        <v/>
      </c>
      <c r="N22" s="112" t="str">
        <f aca="false">IF(K22="نعم",IF(J22=0,IF(M22=0,0,SIGN(M22)),M22/ABS(J22)),"")</f>
        <v/>
      </c>
      <c r="O22" s="109" t="str">
        <f aca="false">IF(K22="نعم",M22*C22,"")</f>
        <v/>
      </c>
      <c r="P22" s="36" t="str">
        <f aca="false">IF(K22&lt;&gt;"نعم","لم يُجرد",IF(ABS(N22)&lt;='إعدادات المخزون'!$B$7,"مطابق",IF(M22&lt;0,"عجز","زيادة")))</f>
        <v>لم يُجرد</v>
      </c>
      <c r="Q22" s="110" t="n">
        <f aca="false">J22-Z22</f>
        <v>45.33315</v>
      </c>
      <c r="R22" s="110" t="str">
        <f aca="false">IF(COUNTIFS('جرد فعلي'!$B$2:$B$12001,$B$2,'جرد فعلي'!$C$2:$C$12001,$A22,'جرد فعلي'!$A$2:$A$12001,'إعدادات المخزون'!$B$4-1)&gt;0,SUMIFS('جرد فعلي'!$D$2:$D$12001,'جرد فعلي'!$B$2:$B$12001,$B$2,'جرد فعلي'!$C$2:$C$12001,$A22,'جرد فعلي'!$A$2:$A$12001,'إعدادات المخزون'!$B$4-1),"")</f>
        <v/>
      </c>
      <c r="S22" s="110" t="str">
        <f aca="false">IF(AND(K22="نعم",R22&lt;&gt;""),(L22-J22)-(R22-Q22),"")</f>
        <v/>
      </c>
      <c r="T22" s="109" t="str">
        <f aca="false">IF(S22="","",S22*C22)</f>
        <v/>
      </c>
      <c r="U22" s="110" t="n">
        <f aca="false">IF(K22="نعم",L22,J22)</f>
        <v>35.9998</v>
      </c>
      <c r="V22" s="110" t="n">
        <f aca="false">SUMPRODUCT('مصفوفة الاستهلاك (عصافرة)'!$Q$2:$Q$190,'متجهات المبيعات'!$J$2:$J$190)/'مواد المخزون'!$D$17/MAX(1,MIN('إعدادات المخزون'!$B$11,'إعدادات المخزون'!$B$4-'إعدادات المخزون'!$B$5+1))</f>
        <v>9.33335</v>
      </c>
      <c r="W22" s="110" t="n">
        <f aca="false">IF(V22&lt;=0,0,ROUNDUP(MAX(0,V22*('إعدادات المخزون'!$B$8+'إعدادات المخزون'!$B$9+'إعدادات المخزون'!$B$10)-MAX(U22,0))/'مواد المخزون'!$F17,0)*'مواد المخزون'!$F17)</f>
        <v>2</v>
      </c>
      <c r="X22" s="109" t="n">
        <f aca="false">IF(AND(K22="نعم",O22&lt;0),-O22+ROW()*0.000000001,0)</f>
        <v>0</v>
      </c>
      <c r="Y22" s="109" t="n">
        <f aca="false">IF(AND(K22="نعم",O22&gt;0),O22+ROW()*0.000000001,0)</f>
        <v>0</v>
      </c>
      <c r="Z22" s="110" t="n">
        <f aca="false">SUMIFS('مشتريات يومية'!$D$2:$D$4001,'مشتريات يومية'!$B$2:$B$4001,$B$2,'مشتريات يومية'!$C$2:$C$4001,$A22,'مشتريات يومية'!$A$2:$A$4001,'إعدادات المخزون'!$B$4)+SUMIFS('هالك وتحويلات'!$E$2:$E$3001,'هالك وتحويلات'!$B$2:$B$3001,$B$2,'هالك وتحويلات'!$C$2:$C$3001,$A22,'هالك وتحويلات'!$D$2:$D$3001,"تحويل وارد",'هالك وتحويلات'!$A$2:$A$3001,'إعدادات المخزون'!$B$4)-SUMIFS('هالك وتحويلات'!$E$2:$E$3001,'هالك وتحويلات'!$B$2:$B$3001,$B$2,'هالك وتحويلات'!$C$2:$C$3001,$A22,'هالك وتحويلات'!$D$2:$D$3001,"تحويل صادر",'هالك وتحويلات'!$A$2:$A$3001,'إعدادات المخزون'!$B$4)-SUMIFS('هالك وتحويلات'!$E$2:$E$3001,'هالك وتحويلات'!$B$2:$B$3001,$B$2,'هالك وتحويلات'!$C$2:$C$3001,$A22,'هالك وتحويلات'!$D$2:$D$3001,"هالك",'هالك وتحويلات'!$A$2:$A$3001,'إعدادات المخزون'!$B$4)-SUMIFS('هالك وتحويلات'!$E$2:$E$3001,'هالك وتحويلات'!$B$2:$B$3001,$B$2,'هالك وتحويلات'!$C$2:$C$3001,$A22,'هالك وتحويلات'!$D$2:$D$3001,"ضيافة / أكل موظفين",'هالك وتحويلات'!$A$2:$A$3001,'إعدادات المخزون'!$B$4)-SUMPRODUCT('مصفوفة الاستهلاك (عصافرة)'!$Q$2:$Q$190,'متجهات المبيعات'!$H$2:$H$190)/'مواد المخزون'!$D$17</f>
        <v>-9.33335</v>
      </c>
      <c r="AA22" s="109" t="n">
        <f aca="false">IF(K22="نعم",O22,0)</f>
        <v>0</v>
      </c>
      <c r="AB22" s="109" t="n">
        <f aca="false">IF(K22="نعم",J22*C22,0)</f>
        <v>0</v>
      </c>
      <c r="AC22" s="109" t="n">
        <f aca="false">IF(T22="",0,T22)</f>
        <v>0</v>
      </c>
    </row>
    <row r="23" customFormat="false" ht="15" hidden="false" customHeight="false" outlineLevel="0" collapsed="false">
      <c r="A23" s="34" t="str">
        <f aca="false">'مواد المخزون'!A18</f>
        <v>برسيون فراخ كريسبي كبير</v>
      </c>
      <c r="B23" s="36" t="str">
        <f aca="false">'مواد المخزون'!B18</f>
        <v>قطعة</v>
      </c>
      <c r="C23" s="109" t="n">
        <f aca="false">'مواد المخزون'!E18</f>
        <v>29</v>
      </c>
      <c r="D23" s="110" t="n">
        <f aca="false">'جرد أول المدة'!E21</f>
        <v>0</v>
      </c>
      <c r="E23" s="110" t="n">
        <f aca="false">SUMIFS('مشتريات يومية'!$D$2:$D$4001,'مشتريات يومية'!$B$2:$B$4001,$B$2,'مشتريات يومية'!$C$2:$C$4001,$A23,'مشتريات يومية'!$A$2:$A$4001,"&gt;="&amp;'إعدادات المخزون'!$B$5,'مشتريات يومية'!$A$2:$A$4001,"&lt;="&amp;'إعدادات المخزون'!$B$4)</f>
        <v>0</v>
      </c>
      <c r="F23" s="110" t="n">
        <f aca="false">SUMIFS('هالك وتحويلات'!$E$2:$E$3001,'هالك وتحويلات'!$B$2:$B$3001,$B$2,'هالك وتحويلات'!$C$2:$C$3001,$A23,'هالك وتحويلات'!$D$2:$D$3001,"تحويل وارد",'هالك وتحويلات'!$A$2:$A$3001,"&gt;="&amp;'إعدادات المخزون'!$B$5,'هالك وتحويلات'!$A$2:$A$3001,"&lt;="&amp;'إعدادات المخزون'!$B$4)</f>
        <v>0</v>
      </c>
      <c r="G23" s="110" t="n">
        <f aca="false">SUMIFS('هالك وتحويلات'!$E$2:$E$3001,'هالك وتحويلات'!$B$2:$B$3001,$B$2,'هالك وتحويلات'!$C$2:$C$3001,$A23,'هالك وتحويلات'!$D$2:$D$3001,"تحويل صادر",'هالك وتحويلات'!$A$2:$A$3001,"&gt;="&amp;'إعدادات المخزون'!$B$5,'هالك وتحويلات'!$A$2:$A$3001,"&lt;="&amp;'إعدادات المخزون'!$B$4)</f>
        <v>0</v>
      </c>
      <c r="H23" s="110" t="n">
        <f aca="false">SUMPRODUCT('مصفوفة الاستهلاك (عصافرة)'!$R$2:$R$190,'متجهات المبيعات'!$I$2:$I$190)/'مواد المخزون'!$D$18</f>
        <v>3.9996</v>
      </c>
      <c r="I23" s="110" t="n">
        <f aca="false">SUMIFS('هالك وتحويلات'!$E$2:$E$3001,'هالك وتحويلات'!$B$2:$B$3001,$B$2,'هالك وتحويلات'!$C$2:$C$3001,$A23,'هالك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وتحويلات'!$C$2:$C$3001,$A23,'هالك وتحويلات'!$D$2:$D$3001,"ضيافة / أكل موظفين",'هالك وتحويلات'!$A$2:$A$3001,"&gt;="&amp;'إعدادات المخزون'!$B$5,'هالك وتحويلات'!$A$2:$A$3001,"&lt;="&amp;'إعدادات المخزون'!$B$4)</f>
        <v>0</v>
      </c>
      <c r="J23" s="110" t="n">
        <f aca="false">D23+E23+F23-G23-H23-I23</f>
        <v>-3.9996</v>
      </c>
      <c r="K23" s="36" t="str">
        <f aca="false">IF(COUNTIFS('جرد فعلي'!$B$2:$B$12001,$B$2,'جرد فعلي'!$C$2:$C$12001,$A23,'جرد فعلي'!$A$2:$A$12001,'إعدادات المخزون'!$B$4)&gt;0,"نعم","لا")</f>
        <v>لا</v>
      </c>
      <c r="L23" s="111" t="str">
        <f aca="false">IF(K23="نعم",SUMIFS('جرد فعلي'!$D$2:$D$12001,'جرد فعلي'!$B$2:$B$12001,$B$2,'جرد فعلي'!$C$2:$C$12001,$A23,'جرد فعلي'!$A$2:$A$12001,'إعدادات المخزون'!$B$4),"")</f>
        <v/>
      </c>
      <c r="M23" s="110" t="str">
        <f aca="false">IF(K23="نعم",L23-J23,"")</f>
        <v/>
      </c>
      <c r="N23" s="112" t="str">
        <f aca="false">IF(K23="نعم",IF(J23=0,IF(M23=0,0,SIGN(M23)),M23/ABS(J23)),"")</f>
        <v/>
      </c>
      <c r="O23" s="109" t="str">
        <f aca="false">IF(K23="نعم",M23*C23,"")</f>
        <v/>
      </c>
      <c r="P23" s="36" t="str">
        <f aca="false">IF(K23&lt;&gt;"نعم","لم يُجرد",IF(ABS(N23)&lt;='إعدادات المخزون'!$B$7,"مطابق",IF(M23&lt;0,"عجز","زيادة")))</f>
        <v>لم يُجرد</v>
      </c>
      <c r="Q23" s="110" t="n">
        <f aca="false">J23-Z23</f>
        <v>-3.6663</v>
      </c>
      <c r="R23" s="110" t="str">
        <f aca="false">IF(COUNTIFS('جرد فعلي'!$B$2:$B$12001,$B$2,'جرد فعلي'!$C$2:$C$12001,$A23,'جرد فعلي'!$A$2:$A$12001,'إعدادات المخزون'!$B$4-1)&gt;0,SUMIFS('جرد فعلي'!$D$2:$D$12001,'جرد فعلي'!$B$2:$B$12001,$B$2,'جرد فعلي'!$C$2:$C$12001,$A23,'جرد فعلي'!$A$2:$A$12001,'إعدادات المخزون'!$B$4-1),"")</f>
        <v/>
      </c>
      <c r="S23" s="110" t="str">
        <f aca="false">IF(AND(K23="نعم",R23&lt;&gt;""),(L23-J23)-(R23-Q23),"")</f>
        <v/>
      </c>
      <c r="T23" s="109" t="str">
        <f aca="false">IF(S23="","",S23*C23)</f>
        <v/>
      </c>
      <c r="U23" s="110" t="n">
        <f aca="false">IF(K23="نعم",L23,J23)</f>
        <v>-3.9996</v>
      </c>
      <c r="V23" s="110" t="n">
        <f aca="false">SUMPRODUCT('مصفوفة الاستهلاك (عصافرة)'!$R$2:$R$190,'متجهات المبيعات'!$J$2:$J$190)/'مواد المخزون'!$D$18/MAX(1,MIN('إعدادات المخزون'!$B$11,'إعدادات المخزون'!$B$4-'إعدادات المخزون'!$B$5+1))</f>
        <v>0.3333</v>
      </c>
      <c r="W23" s="110" t="n">
        <f aca="false">IF(V23&lt;=0,0,ROUNDUP(MAX(0,V23*('إعدادات المخزون'!$B$8+'إعدادات المخزون'!$B$9+'إعدادات المخزون'!$B$10)-MAX(U23,0))/'مواد المخزون'!$F18,0)*'مواد المخزون'!$F18)</f>
        <v>2</v>
      </c>
      <c r="X23" s="109" t="n">
        <f aca="false">IF(AND(K23="نعم",O23&lt;0),-O23+ROW()*0.000000001,0)</f>
        <v>0</v>
      </c>
      <c r="Y23" s="109" t="n">
        <f aca="false">IF(AND(K23="نعم",O23&gt;0),O23+ROW()*0.000000001,0)</f>
        <v>0</v>
      </c>
      <c r="Z23" s="110" t="n">
        <f aca="false">SUMIFS('مشتريات يومية'!$D$2:$D$4001,'مشتريات يومية'!$B$2:$B$4001,$B$2,'مشتريات يومية'!$C$2:$C$4001,$A23,'مشتريات يومية'!$A$2:$A$4001,'إعدادات المخزون'!$B$4)+SUMIFS('هالك وتحويلات'!$E$2:$E$3001,'هالك وتحويلات'!$B$2:$B$3001,$B$2,'هالك وتحويلات'!$C$2:$C$3001,$A23,'هالك وتحويلات'!$D$2:$D$3001,"تحويل وارد",'هالك وتحويلات'!$A$2:$A$3001,'إعدادات المخزون'!$B$4)-SUMIFS('هالك وتحويلات'!$E$2:$E$3001,'هالك وتحويلات'!$B$2:$B$3001,$B$2,'هالك وتحويلات'!$C$2:$C$3001,$A23,'هالك وتحويلات'!$D$2:$D$3001,"تحويل صادر",'هالك وتحويلات'!$A$2:$A$3001,'إعدادات المخزون'!$B$4)-SUMIFS('هالك وتحويلات'!$E$2:$E$3001,'هالك وتحويلات'!$B$2:$B$3001,$B$2,'هالك وتحويلات'!$C$2:$C$3001,$A23,'هالك وتحويلات'!$D$2:$D$3001,"هالك",'هالك وتحويلات'!$A$2:$A$3001,'إعدادات المخزون'!$B$4)-SUMIFS('هالك وتحويلات'!$E$2:$E$3001,'هالك وتحويلات'!$B$2:$B$3001,$B$2,'هالك وتحويلات'!$C$2:$C$3001,$A23,'هالك وتحويلات'!$D$2:$D$3001,"ضيافة / أكل موظفين",'هالك وتحويلات'!$A$2:$A$3001,'إعدادات المخزون'!$B$4)-SUMPRODUCT('مصفوفة الاستهلاك (عصافرة)'!$R$2:$R$190,'متجهات المبيعات'!$H$2:$H$190)/'مواد المخزون'!$D$18</f>
        <v>-0.3333</v>
      </c>
      <c r="AA23" s="109" t="n">
        <f aca="false">IF(K23="نعم",O23,0)</f>
        <v>0</v>
      </c>
      <c r="AB23" s="109" t="n">
        <f aca="false">IF(K23="نعم",J23*C23,0)</f>
        <v>0</v>
      </c>
      <c r="AC23" s="109" t="n">
        <f aca="false">IF(T23="",0,T23)</f>
        <v>0</v>
      </c>
    </row>
    <row r="24" customFormat="false" ht="15" hidden="false" customHeight="false" outlineLevel="0" collapsed="false">
      <c r="A24" s="34" t="str">
        <f aca="false">'مواد المخزون'!A19</f>
        <v>برسيون قشطة</v>
      </c>
      <c r="B24" s="36" t="str">
        <f aca="false">'مواد المخزون'!B19</f>
        <v>قطعة</v>
      </c>
      <c r="C24" s="109" t="n">
        <f aca="false">'مواد المخزون'!E19</f>
        <v>25</v>
      </c>
      <c r="D24" s="110" t="n">
        <f aca="false">'جرد أول المدة'!E22</f>
        <v>21</v>
      </c>
      <c r="E24" s="110" t="n">
        <f aca="false">SUMIFS('مشتريات يومية'!$D$2:$D$4001,'مشتريات يومية'!$B$2:$B$4001,$B$2,'مشتريات يومية'!$C$2:$C$4001,$A24,'مشتريات يومية'!$A$2:$A$4001,"&gt;="&amp;'إعدادات المخزون'!$B$5,'مشتريات يومية'!$A$2:$A$4001,"&lt;="&amp;'إعدادات المخزون'!$B$4)</f>
        <v>0</v>
      </c>
      <c r="F24" s="110" t="n">
        <f aca="false">SUMIFS('هالك وتحويلات'!$E$2:$E$3001,'هالك وتحويلات'!$B$2:$B$3001,$B$2,'هالك وتحويلات'!$C$2:$C$3001,$A24,'هالك وتحويلات'!$D$2:$D$3001,"تحويل وارد",'هالك وتحويلات'!$A$2:$A$3001,"&gt;="&amp;'إعدادات المخزون'!$B$5,'هالك وتحويلات'!$A$2:$A$3001,"&lt;="&amp;'إعدادات المخزون'!$B$4)</f>
        <v>0</v>
      </c>
      <c r="G24" s="110" t="n">
        <f aca="false">SUMIFS('هالك وتحويلات'!$E$2:$E$3001,'هالك وتحويلات'!$B$2:$B$3001,$B$2,'هالك وتحويلات'!$C$2:$C$3001,$A24,'هالك وتحويلات'!$D$2:$D$3001,"تحويل صادر",'هالك وتحويلات'!$A$2:$A$3001,"&gt;="&amp;'إعدادات المخزون'!$B$5,'هالك وتحويلات'!$A$2:$A$3001,"&lt;="&amp;'إعدادات المخزون'!$B$4)</f>
        <v>0</v>
      </c>
      <c r="H24" s="110" t="n">
        <f aca="false">SUMPRODUCT('مصفوفة الاستهلاك (عصافرة)'!$S$2:$S$190,'متجهات المبيعات'!$I$2:$I$190)/'مواد المخزون'!$D$19</f>
        <v>6.9996</v>
      </c>
      <c r="I24" s="110" t="n">
        <f aca="false">SUMIFS('هالك وتحويلات'!$E$2:$E$3001,'هالك وتحويلات'!$B$2:$B$3001,$B$2,'هالك وتحويلات'!$C$2:$C$3001,$A24,'هالك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وتحويلات'!$C$2:$C$3001,$A24,'هالك وتحويلات'!$D$2:$D$3001,"ضيافة / أكل موظفين",'هالك وتحويلات'!$A$2:$A$3001,"&gt;="&amp;'إعدادات المخزون'!$B$5,'هالك وتحويلات'!$A$2:$A$3001,"&lt;="&amp;'إعدادات المخزون'!$B$4)</f>
        <v>0</v>
      </c>
      <c r="J24" s="110" t="n">
        <f aca="false">D24+E24+F24-G24-H24-I24</f>
        <v>14.0004</v>
      </c>
      <c r="K24" s="36" t="str">
        <f aca="false">IF(COUNTIFS('جرد فعلي'!$B$2:$B$12001,$B$2,'جرد فعلي'!$C$2:$C$12001,$A24,'جرد فعلي'!$A$2:$A$12001,'إعدادات المخزون'!$B$4)&gt;0,"نعم","لا")</f>
        <v>لا</v>
      </c>
      <c r="L24" s="111" t="str">
        <f aca="false">IF(K24="نعم",SUMIFS('جرد فعلي'!$D$2:$D$12001,'جرد فعلي'!$B$2:$B$12001,$B$2,'جرد فعلي'!$C$2:$C$12001,$A24,'جرد فعلي'!$A$2:$A$12001,'إعدادات المخزون'!$B$4),"")</f>
        <v/>
      </c>
      <c r="M24" s="110" t="str">
        <f aca="false">IF(K24="نعم",L24-J24,"")</f>
        <v/>
      </c>
      <c r="N24" s="112" t="str">
        <f aca="false">IF(K24="نعم",IF(J24=0,IF(M24=0,0,SIGN(M24)),M24/ABS(J24)),"")</f>
        <v/>
      </c>
      <c r="O24" s="109" t="str">
        <f aca="false">IF(K24="نعم",M24*C24,"")</f>
        <v/>
      </c>
      <c r="P24" s="36" t="str">
        <f aca="false">IF(K24&lt;&gt;"نعم","لم يُجرد",IF(ABS(N24)&lt;='إعدادات المخزون'!$B$7,"مطابق",IF(M24&lt;0,"عجز","زيادة")))</f>
        <v>لم يُجرد</v>
      </c>
      <c r="Q24" s="110" t="n">
        <f aca="false">J24-Z24</f>
        <v>14.5837</v>
      </c>
      <c r="R24" s="110" t="str">
        <f aca="false">IF(COUNTIFS('جرد فعلي'!$B$2:$B$12001,$B$2,'جرد فعلي'!$C$2:$C$12001,$A24,'جرد فعلي'!$A$2:$A$12001,'إعدادات المخزون'!$B$4-1)&gt;0,SUMIFS('جرد فعلي'!$D$2:$D$12001,'جرد فعلي'!$B$2:$B$12001,$B$2,'جرد فعلي'!$C$2:$C$12001,$A24,'جرد فعلي'!$A$2:$A$12001,'إعدادات المخزون'!$B$4-1),"")</f>
        <v/>
      </c>
      <c r="S24" s="110" t="str">
        <f aca="false">IF(AND(K24="نعم",R24&lt;&gt;""),(L24-J24)-(R24-Q24),"")</f>
        <v/>
      </c>
      <c r="T24" s="109" t="str">
        <f aca="false">IF(S24="","",S24*C24)</f>
        <v/>
      </c>
      <c r="U24" s="110" t="n">
        <f aca="false">IF(K24="نعم",L24,J24)</f>
        <v>14.0004</v>
      </c>
      <c r="V24" s="110" t="n">
        <f aca="false">SUMPRODUCT('مصفوفة الاستهلاك (عصافرة)'!$S$2:$S$190,'متجهات المبيعات'!$J$2:$J$190)/'مواد المخزون'!$D$19/MAX(1,MIN('إعدادات المخزون'!$B$11,'إعدادات المخزون'!$B$4-'إعدادات المخزون'!$B$5+1))</f>
        <v>0.5833</v>
      </c>
      <c r="W24" s="110" t="n">
        <f aca="false">IF(V24&lt;=0,0,ROUNDUP(MAX(0,V24*('إعدادات المخزون'!$B$8+'إعدادات المخزون'!$B$9+'إعدادات المخزون'!$B$10)-MAX(U24,0))/'مواد المخزون'!$F19,0)*'مواد المخزون'!$F19)</f>
        <v>0</v>
      </c>
      <c r="X24" s="109" t="n">
        <f aca="false">IF(AND(K24="نعم",O24&lt;0),-O24+ROW()*0.000000001,0)</f>
        <v>0</v>
      </c>
      <c r="Y24" s="109" t="n">
        <f aca="false">IF(AND(K24="نعم",O24&gt;0),O24+ROW()*0.000000001,0)</f>
        <v>0</v>
      </c>
      <c r="Z24" s="110" t="n">
        <f aca="false">SUMIFS('مشتريات يومية'!$D$2:$D$4001,'مشتريات يومية'!$B$2:$B$4001,$B$2,'مشتريات يومية'!$C$2:$C$4001,$A24,'مشتريات يومية'!$A$2:$A$4001,'إعدادات المخزون'!$B$4)+SUMIFS('هالك وتحويلات'!$E$2:$E$3001,'هالك وتحويلات'!$B$2:$B$3001,$B$2,'هالك وتحويلات'!$C$2:$C$3001,$A24,'هالك وتحويلات'!$D$2:$D$3001,"تحويل وارد",'هالك وتحويلات'!$A$2:$A$3001,'إعدادات المخزون'!$B$4)-SUMIFS('هالك وتحويلات'!$E$2:$E$3001,'هالك وتحويلات'!$B$2:$B$3001,$B$2,'هالك وتحويلات'!$C$2:$C$3001,$A24,'هالك وتحويلات'!$D$2:$D$3001,"تحويل صادر",'هالك وتحويلات'!$A$2:$A$3001,'إعدادات المخزون'!$B$4)-SUMIFS('هالك وتحويلات'!$E$2:$E$3001,'هالك وتحويلات'!$B$2:$B$3001,$B$2,'هالك وتحويلات'!$C$2:$C$3001,$A24,'هالك وتحويلات'!$D$2:$D$3001,"هالك",'هالك وتحويلات'!$A$2:$A$3001,'إعدادات المخزون'!$B$4)-SUMIFS('هالك وتحويلات'!$E$2:$E$3001,'هالك وتحويلات'!$B$2:$B$3001,$B$2,'هالك وتحويلات'!$C$2:$C$3001,$A24,'هالك وتحويلات'!$D$2:$D$3001,"ضيافة / أكل موظفين",'هالك وتحويلات'!$A$2:$A$3001,'إعدادات المخزون'!$B$4)-SUMPRODUCT('مصفوفة الاستهلاك (عصافرة)'!$S$2:$S$190,'متجهات المبيعات'!$H$2:$H$190)/'مواد المخزون'!$D$19</f>
        <v>-0.5833</v>
      </c>
      <c r="AA24" s="109" t="n">
        <f aca="false">IF(K24="نعم",O24,0)</f>
        <v>0</v>
      </c>
      <c r="AB24" s="109" t="n">
        <f aca="false">IF(K24="نعم",J24*C24,0)</f>
        <v>0</v>
      </c>
      <c r="AC24" s="109" t="n">
        <f aca="false">IF(T24="",0,T24)</f>
        <v>0</v>
      </c>
    </row>
    <row r="25" customFormat="false" ht="15" hidden="false" customHeight="false" outlineLevel="0" collapsed="false">
      <c r="A25" s="34" t="str">
        <f aca="false">'مواد المخزون'!A20</f>
        <v>برسيون لحمة مفرومة</v>
      </c>
      <c r="B25" s="36" t="str">
        <f aca="false">'مواد المخزون'!B20</f>
        <v>قطعة</v>
      </c>
      <c r="C25" s="109" t="n">
        <f aca="false">'مواد المخزون'!E20</f>
        <v>21</v>
      </c>
      <c r="D25" s="110" t="n">
        <f aca="false">'جرد أول المدة'!E23</f>
        <v>13.5</v>
      </c>
      <c r="E25" s="110" t="n">
        <f aca="false">SUMIFS('مشتريات يومية'!$D$2:$D$4001,'مشتريات يومية'!$B$2:$B$4001,$B$2,'مشتريات يومية'!$C$2:$C$4001,$A25,'مشتريات يومية'!$A$2:$A$4001,"&gt;="&amp;'إعدادات المخزون'!$B$5,'مشتريات يومية'!$A$2:$A$4001,"&lt;="&amp;'إعدادات المخزون'!$B$4)</f>
        <v>20</v>
      </c>
      <c r="F25" s="110" t="n">
        <f aca="false">SUMIFS('هالك وتحويلات'!$E$2:$E$3001,'هالك وتحويلات'!$B$2:$B$3001,$B$2,'هالك وتحويلات'!$C$2:$C$3001,$A25,'هالك وتحويلات'!$D$2:$D$3001,"تحويل وارد",'هالك وتحويلات'!$A$2:$A$3001,"&gt;="&amp;'إعدادات المخزون'!$B$5,'هالك وتحويلات'!$A$2:$A$3001,"&lt;="&amp;'إعدادات المخزون'!$B$4)</f>
        <v>0</v>
      </c>
      <c r="G25" s="110" t="n">
        <f aca="false">SUMIFS('هالك وتحويلات'!$E$2:$E$3001,'هالك وتحويلات'!$B$2:$B$3001,$B$2,'هالك وتحويلات'!$C$2:$C$3001,$A25,'هالك وتحويلات'!$D$2:$D$3001,"تحويل صادر",'هالك وتحويلات'!$A$2:$A$3001,"&gt;="&amp;'إعدادات المخزون'!$B$5,'هالك وتحويلات'!$A$2:$A$3001,"&lt;="&amp;'إعدادات المخزون'!$B$4)</f>
        <v>0</v>
      </c>
      <c r="H25" s="110" t="n">
        <f aca="false">SUMPRODUCT('مصفوفة الاستهلاك (عصافرة)'!$T$2:$T$190,'متجهات المبيعات'!$I$2:$I$190)/'مواد المخزون'!$D$20</f>
        <v>20.0004</v>
      </c>
      <c r="I25" s="110" t="n">
        <f aca="false">SUMIFS('هالك وتحويلات'!$E$2:$E$3001,'هالك وتحويلات'!$B$2:$B$3001,$B$2,'هالك وتحويلات'!$C$2:$C$3001,$A25,'هالك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وتحويلات'!$C$2:$C$3001,$A25,'هالك وتحويلات'!$D$2:$D$3001,"ضيافة / أكل موظفين",'هالك وتحويلات'!$A$2:$A$3001,"&gt;="&amp;'إعدادات المخزون'!$B$5,'هالك وتحويلات'!$A$2:$A$3001,"&lt;="&amp;'إعدادات المخزون'!$B$4)</f>
        <v>0</v>
      </c>
      <c r="J25" s="110" t="n">
        <f aca="false">D25+E25+F25-G25-H25-I25</f>
        <v>13.4996</v>
      </c>
      <c r="K25" s="36" t="str">
        <f aca="false">IF(COUNTIFS('جرد فعلي'!$B$2:$B$12001,$B$2,'جرد فعلي'!$C$2:$C$12001,$A25,'جرد فعلي'!$A$2:$A$12001,'إعدادات المخزون'!$B$4)&gt;0,"نعم","لا")</f>
        <v>لا</v>
      </c>
      <c r="L25" s="111" t="str">
        <f aca="false">IF(K25="نعم",SUMIFS('جرد فعلي'!$D$2:$D$12001,'جرد فعلي'!$B$2:$B$12001,$B$2,'جرد فعلي'!$C$2:$C$12001,$A25,'جرد فعلي'!$A$2:$A$12001,'إعدادات المخزون'!$B$4),"")</f>
        <v/>
      </c>
      <c r="M25" s="110" t="str">
        <f aca="false">IF(K25="نعم",L25-J25,"")</f>
        <v/>
      </c>
      <c r="N25" s="112" t="str">
        <f aca="false">IF(K25="نعم",IF(J25=0,IF(M25=0,0,SIGN(M25)),M25/ABS(J25)),"")</f>
        <v/>
      </c>
      <c r="O25" s="109" t="str">
        <f aca="false">IF(K25="نعم",M25*C25,"")</f>
        <v/>
      </c>
      <c r="P25" s="36" t="str">
        <f aca="false">IF(K25&lt;&gt;"نعم","لم يُجرد",IF(ABS(N25)&lt;='إعدادات المخزون'!$B$7,"مطابق",IF(M25&lt;0,"عجز","زيادة")))</f>
        <v>لم يُجرد</v>
      </c>
      <c r="Q25" s="110" t="n">
        <f aca="false">J25-Z25</f>
        <v>15.1663</v>
      </c>
      <c r="R25" s="110" t="str">
        <f aca="false">IF(COUNTIFS('جرد فعلي'!$B$2:$B$12001,$B$2,'جرد فعلي'!$C$2:$C$12001,$A25,'جرد فعلي'!$A$2:$A$12001,'إعدادات المخزون'!$B$4-1)&gt;0,SUMIFS('جرد فعلي'!$D$2:$D$12001,'جرد فعلي'!$B$2:$B$12001,$B$2,'جرد فعلي'!$C$2:$C$12001,$A25,'جرد فعلي'!$A$2:$A$12001,'إعدادات المخزون'!$B$4-1),"")</f>
        <v/>
      </c>
      <c r="S25" s="110" t="str">
        <f aca="false">IF(AND(K25="نعم",R25&lt;&gt;""),(L25-J25)-(R25-Q25),"")</f>
        <v/>
      </c>
      <c r="T25" s="109" t="str">
        <f aca="false">IF(S25="","",S25*C25)</f>
        <v/>
      </c>
      <c r="U25" s="110" t="n">
        <f aca="false">IF(K25="نعم",L25,J25)</f>
        <v>13.4996</v>
      </c>
      <c r="V25" s="110" t="n">
        <f aca="false">SUMPRODUCT('مصفوفة الاستهلاك (عصافرة)'!$T$2:$T$190,'متجهات المبيعات'!$J$2:$J$190)/'مواد المخزون'!$D$20/MAX(1,MIN('إعدادات المخزون'!$B$11,'إعدادات المخزون'!$B$4-'إعدادات المخزون'!$B$5+1))</f>
        <v>1.6667</v>
      </c>
      <c r="W25" s="110" t="n">
        <f aca="false">IF(V25&lt;=0,0,ROUNDUP(MAX(0,V25*('إعدادات المخزون'!$B$8+'إعدادات المخزون'!$B$9+'إعدادات المخزون'!$B$10)-MAX(U25,0))/'مواد المخزون'!$F20,0)*'مواد المخزون'!$F20)</f>
        <v>0</v>
      </c>
      <c r="X25" s="109" t="n">
        <f aca="false">IF(AND(K25="نعم",O25&lt;0),-O25+ROW()*0.000000001,0)</f>
        <v>0</v>
      </c>
      <c r="Y25" s="109" t="n">
        <f aca="false">IF(AND(K25="نعم",O25&gt;0),O25+ROW()*0.000000001,0)</f>
        <v>0</v>
      </c>
      <c r="Z25" s="110" t="n">
        <f aca="false">SUMIFS('مشتريات يومية'!$D$2:$D$4001,'مشتريات يومية'!$B$2:$B$4001,$B$2,'مشتريات يومية'!$C$2:$C$4001,$A25,'مشتريات يومية'!$A$2:$A$4001,'إعدادات المخزون'!$B$4)+SUMIFS('هالك وتحويلات'!$E$2:$E$3001,'هالك وتحويلات'!$B$2:$B$3001,$B$2,'هالك وتحويلات'!$C$2:$C$3001,$A25,'هالك وتحويلات'!$D$2:$D$3001,"تحويل وارد",'هالك وتحويلات'!$A$2:$A$3001,'إعدادات المخزون'!$B$4)-SUMIFS('هالك وتحويلات'!$E$2:$E$3001,'هالك وتحويلات'!$B$2:$B$3001,$B$2,'هالك وتحويلات'!$C$2:$C$3001,$A25,'هالك وتحويلات'!$D$2:$D$3001,"تحويل صادر",'هالك وتحويلات'!$A$2:$A$3001,'إعدادات المخزون'!$B$4)-SUMIFS('هالك وتحويلات'!$E$2:$E$3001,'هالك وتحويلات'!$B$2:$B$3001,$B$2,'هالك وتحويلات'!$C$2:$C$3001,$A25,'هالك وتحويلات'!$D$2:$D$3001,"هالك",'هالك وتحويلات'!$A$2:$A$3001,'إعدادات المخزون'!$B$4)-SUMIFS('هالك وتحويلات'!$E$2:$E$3001,'هالك وتحويلات'!$B$2:$B$3001,$B$2,'هالك وتحويلات'!$C$2:$C$3001,$A25,'هالك وتحويلات'!$D$2:$D$3001,"ضيافة / أكل موظفين",'هالك وتحويلات'!$A$2:$A$3001,'إعدادات المخزون'!$B$4)-SUMPRODUCT('مصفوفة الاستهلاك (عصافرة)'!$T$2:$T$190,'متجهات المبيعات'!$H$2:$H$190)/'مواد المخزون'!$D$20</f>
        <v>-1.6667</v>
      </c>
      <c r="AA25" s="109" t="n">
        <f aca="false">IF(K25="نعم",O25,0)</f>
        <v>0</v>
      </c>
      <c r="AB25" s="109" t="n">
        <f aca="false">IF(K25="نعم",J25*C25,0)</f>
        <v>0</v>
      </c>
      <c r="AC25" s="109" t="n">
        <f aca="false">IF(T25="",0,T25)</f>
        <v>0</v>
      </c>
    </row>
    <row r="26" customFormat="false" ht="15" hidden="false" customHeight="false" outlineLevel="0" collapsed="false">
      <c r="A26" s="34" t="str">
        <f aca="false">'مواد المخزون'!A21</f>
        <v>برسيون مكسرات</v>
      </c>
      <c r="B26" s="36" t="str">
        <f aca="false">'مواد المخزون'!B21</f>
        <v>قطعة</v>
      </c>
      <c r="C26" s="109" t="n">
        <f aca="false">'مواد المخزون'!E21</f>
        <v>23</v>
      </c>
      <c r="D26" s="110" t="n">
        <f aca="false">'جرد أول المدة'!E24</f>
        <v>4</v>
      </c>
      <c r="E26" s="110" t="n">
        <f aca="false">SUMIFS('مشتريات يومية'!$D$2:$D$4001,'مشتريات يومية'!$B$2:$B$4001,$B$2,'مشتريات يومية'!$C$2:$C$4001,$A26,'مشتريات يومية'!$A$2:$A$4001,"&gt;="&amp;'إعدادات المخزون'!$B$5,'مشتريات يومية'!$A$2:$A$4001,"&lt;="&amp;'إعدادات المخزون'!$B$4)</f>
        <v>30</v>
      </c>
      <c r="F26" s="110" t="n">
        <f aca="false">SUMIFS('هالك وتحويلات'!$E$2:$E$3001,'هالك وتحويلات'!$B$2:$B$3001,$B$2,'هالك وتحويلات'!$C$2:$C$3001,$A26,'هالك وتحويلات'!$D$2:$D$3001,"تحويل وارد",'هالك وتحويلات'!$A$2:$A$3001,"&gt;="&amp;'إعدادات المخزون'!$B$5,'هالك وتحويلات'!$A$2:$A$3001,"&lt;="&amp;'إعدادات المخزون'!$B$4)</f>
        <v>0</v>
      </c>
      <c r="G26" s="110" t="n">
        <f aca="false">SUMIFS('هالك وتحويلات'!$E$2:$E$3001,'هالك وتحويلات'!$B$2:$B$3001,$B$2,'هالك وتحويلات'!$C$2:$C$3001,$A26,'هالك وتحويلات'!$D$2:$D$3001,"تحويل صادر",'هالك وتحويلات'!$A$2:$A$3001,"&gt;="&amp;'إعدادات المخزون'!$B$5,'هالك وتحويلات'!$A$2:$A$3001,"&lt;="&amp;'إعدادات المخزون'!$B$4)</f>
        <v>0</v>
      </c>
      <c r="H26" s="110" t="n">
        <f aca="false">SUMPRODUCT('مصفوفة الاستهلاك (عصافرة)'!$U$2:$U$190,'متجهات المبيعات'!$I$2:$I$190)/'مواد المخزون'!$D$21</f>
        <v>24.9996</v>
      </c>
      <c r="I26" s="110" t="n">
        <f aca="false">SUMIFS('هالك وتحويلات'!$E$2:$E$3001,'هالك وتحويلات'!$B$2:$B$3001,$B$2,'هالك وتحويلات'!$C$2:$C$3001,$A26,'هالك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وتحويلات'!$C$2:$C$3001,$A26,'هالك وتحويلات'!$D$2:$D$3001,"ضيافة / أكل موظفين",'هالك وتحويلات'!$A$2:$A$3001,"&gt;="&amp;'إعدادات المخزون'!$B$5,'هالك وتحويلات'!$A$2:$A$3001,"&lt;="&amp;'إعدادات المخزون'!$B$4)</f>
        <v>0</v>
      </c>
      <c r="J26" s="110" t="n">
        <f aca="false">D26+E26+F26-G26-H26-I26</f>
        <v>9.0004</v>
      </c>
      <c r="K26" s="36" t="str">
        <f aca="false">IF(COUNTIFS('جرد فعلي'!$B$2:$B$12001,$B$2,'جرد فعلي'!$C$2:$C$12001,$A26,'جرد فعلي'!$A$2:$A$12001,'إعدادات المخزون'!$B$4)&gt;0,"نعم","لا")</f>
        <v>لا</v>
      </c>
      <c r="L26" s="111" t="str">
        <f aca="false">IF(K26="نعم",SUMIFS('جرد فعلي'!$D$2:$D$12001,'جرد فعلي'!$B$2:$B$12001,$B$2,'جرد فعلي'!$C$2:$C$12001,$A26,'جرد فعلي'!$A$2:$A$12001,'إعدادات المخزون'!$B$4),"")</f>
        <v/>
      </c>
      <c r="M26" s="110" t="str">
        <f aca="false">IF(K26="نعم",L26-J26,"")</f>
        <v/>
      </c>
      <c r="N26" s="112" t="str">
        <f aca="false">IF(K26="نعم",IF(J26=0,IF(M26=0,0,SIGN(M26)),M26/ABS(J26)),"")</f>
        <v/>
      </c>
      <c r="O26" s="109" t="str">
        <f aca="false">IF(K26="نعم",M26*C26,"")</f>
        <v/>
      </c>
      <c r="P26" s="36" t="str">
        <f aca="false">IF(K26&lt;&gt;"نعم","لم يُجرد",IF(ABS(N26)&lt;='إعدادات المخزون'!$B$7,"مطابق",IF(M26&lt;0,"عجز","زيادة")))</f>
        <v>لم يُجرد</v>
      </c>
      <c r="Q26" s="110" t="n">
        <f aca="false">J26-Z26</f>
        <v>11.0837</v>
      </c>
      <c r="R26" s="110" t="str">
        <f aca="false">IF(COUNTIFS('جرد فعلي'!$B$2:$B$12001,$B$2,'جرد فعلي'!$C$2:$C$12001,$A26,'جرد فعلي'!$A$2:$A$12001,'إعدادات المخزون'!$B$4-1)&gt;0,SUMIFS('جرد فعلي'!$D$2:$D$12001,'جرد فعلي'!$B$2:$B$12001,$B$2,'جرد فعلي'!$C$2:$C$12001,$A26,'جرد فعلي'!$A$2:$A$12001,'إعدادات المخزون'!$B$4-1),"")</f>
        <v/>
      </c>
      <c r="S26" s="110" t="str">
        <f aca="false">IF(AND(K26="نعم",R26&lt;&gt;""),(L26-J26)-(R26-Q26),"")</f>
        <v/>
      </c>
      <c r="T26" s="109" t="str">
        <f aca="false">IF(S26="","",S26*C26)</f>
        <v/>
      </c>
      <c r="U26" s="110" t="n">
        <f aca="false">IF(K26="نعم",L26,J26)</f>
        <v>9.0004</v>
      </c>
      <c r="V26" s="110" t="n">
        <f aca="false">SUMPRODUCT('مصفوفة الاستهلاك (عصافرة)'!$U$2:$U$190,'متجهات المبيعات'!$J$2:$J$190)/'مواد المخزون'!$D$21/MAX(1,MIN('إعدادات المخزون'!$B$11,'إعدادات المخزون'!$B$4-'إعدادات المخزون'!$B$5+1))</f>
        <v>2.0833</v>
      </c>
      <c r="W26" s="110" t="n">
        <f aca="false">IF(V26&lt;=0,0,ROUNDUP(MAX(0,V26*('إعدادات المخزون'!$B$8+'إعدادات المخزون'!$B$9+'إعدادات المخزون'!$B$10)-MAX(U26,0))/'مواد المخزون'!$F21,0)*'مواد المخزون'!$F21)</f>
        <v>0</v>
      </c>
      <c r="X26" s="109" t="n">
        <f aca="false">IF(AND(K26="نعم",O26&lt;0),-O26+ROW()*0.000000001,0)</f>
        <v>0</v>
      </c>
      <c r="Y26" s="109" t="n">
        <f aca="false">IF(AND(K26="نعم",O26&gt;0),O26+ROW()*0.000000001,0)</f>
        <v>0</v>
      </c>
      <c r="Z26" s="110" t="n">
        <f aca="false">SUMIFS('مشتريات يومية'!$D$2:$D$4001,'مشتريات يومية'!$B$2:$B$4001,$B$2,'مشتريات يومية'!$C$2:$C$4001,$A26,'مشتريات يومية'!$A$2:$A$4001,'إعدادات المخزون'!$B$4)+SUMIFS('هالك وتحويلات'!$E$2:$E$3001,'هالك وتحويلات'!$B$2:$B$3001,$B$2,'هالك وتحويلات'!$C$2:$C$3001,$A26,'هالك وتحويلات'!$D$2:$D$3001,"تحويل وارد",'هالك وتحويلات'!$A$2:$A$3001,'إعدادات المخزون'!$B$4)-SUMIFS('هالك وتحويلات'!$E$2:$E$3001,'هالك وتحويلات'!$B$2:$B$3001,$B$2,'هالك وتحويلات'!$C$2:$C$3001,$A26,'هالك وتحويلات'!$D$2:$D$3001,"تحويل صادر",'هالك وتحويلات'!$A$2:$A$3001,'إعدادات المخزون'!$B$4)-SUMIFS('هالك وتحويلات'!$E$2:$E$3001,'هالك وتحويلات'!$B$2:$B$3001,$B$2,'هالك وتحويلات'!$C$2:$C$3001,$A26,'هالك وتحويلات'!$D$2:$D$3001,"هالك",'هالك وتحويلات'!$A$2:$A$3001,'إعدادات المخزون'!$B$4)-SUMIFS('هالك وتحويلات'!$E$2:$E$3001,'هالك وتحويلات'!$B$2:$B$3001,$B$2,'هالك وتحويلات'!$C$2:$C$3001,$A26,'هالك وتحويلات'!$D$2:$D$3001,"ضيافة / أكل موظفين",'هالك وتحويلات'!$A$2:$A$3001,'إعدادات المخزون'!$B$4)-SUMPRODUCT('مصفوفة الاستهلاك (عصافرة)'!$U$2:$U$190,'متجهات المبيعات'!$H$2:$H$190)/'مواد المخزون'!$D$21</f>
        <v>-2.0833</v>
      </c>
      <c r="AA26" s="109" t="n">
        <f aca="false">IF(K26="نعم",O26,0)</f>
        <v>0</v>
      </c>
      <c r="AB26" s="109" t="n">
        <f aca="false">IF(K26="نعم",J26*C26,0)</f>
        <v>0</v>
      </c>
      <c r="AC26" s="109" t="n">
        <f aca="false">IF(T26="",0,T26)</f>
        <v>0</v>
      </c>
    </row>
    <row r="27" customFormat="false" ht="15" hidden="false" customHeight="false" outlineLevel="0" collapsed="false">
      <c r="A27" s="34" t="str">
        <f aca="false">'مواد المخزون'!A22</f>
        <v>برسيون موتزريلا بيتزا صغير</v>
      </c>
      <c r="B27" s="36" t="str">
        <f aca="false">'مواد المخزون'!B22</f>
        <v>قطعة</v>
      </c>
      <c r="C27" s="109" t="n">
        <f aca="false">'مواد المخزون'!E22</f>
        <v>20</v>
      </c>
      <c r="D27" s="110" t="n">
        <f aca="false">'جرد أول المدة'!E25</f>
        <v>174</v>
      </c>
      <c r="E27" s="110" t="n">
        <f aca="false">SUMIFS('مشتريات يومية'!$D$2:$D$4001,'مشتريات يومية'!$B$2:$B$4001,$B$2,'مشتريات يومية'!$C$2:$C$4001,$A27,'مشتريات يومية'!$A$2:$A$4001,"&gt;="&amp;'إعدادات المخزون'!$B$5,'مشتريات يومية'!$A$2:$A$4001,"&lt;="&amp;'إعدادات المخزون'!$B$4)</f>
        <v>780</v>
      </c>
      <c r="F27" s="110" t="n">
        <f aca="false">SUMIFS('هالك وتحويلات'!$E$2:$E$3001,'هالك وتحويلات'!$B$2:$B$3001,$B$2,'هالك وتحويلات'!$C$2:$C$3001,$A27,'هالك وتحويلات'!$D$2:$D$3001,"تحويل وارد",'هالك وتحويلات'!$A$2:$A$3001,"&gt;="&amp;'إعدادات المخزون'!$B$5,'هالك وتحويلات'!$A$2:$A$3001,"&lt;="&amp;'إعدادات المخزون'!$B$4)</f>
        <v>0</v>
      </c>
      <c r="G27" s="110" t="n">
        <f aca="false">SUMIFS('هالك وتحويلات'!$E$2:$E$3001,'هالك وتحويلات'!$B$2:$B$3001,$B$2,'هالك وتحويلات'!$C$2:$C$3001,$A27,'هالك وتحويلات'!$D$2:$D$3001,"تحويل صادر",'هالك وتحويلات'!$A$2:$A$3001,"&gt;="&amp;'إعدادات المخزون'!$B$5,'هالك وتحويلات'!$A$2:$A$3001,"&lt;="&amp;'إعدادات المخزون'!$B$4)</f>
        <v>0</v>
      </c>
      <c r="H27" s="110" t="n">
        <f aca="false">SUMPRODUCT('مصفوفة الاستهلاك (عصافرة)'!$V$2:$V$190,'متجهات المبيعات'!$I$2:$I$190)/'مواد المخزون'!$D$22</f>
        <v>769.62915</v>
      </c>
      <c r="I27" s="110" t="n">
        <f aca="false">SUMIFS('هالك وتحويلات'!$E$2:$E$3001,'هالك وتحويلات'!$B$2:$B$3001,$B$2,'هالك وتحويلات'!$C$2:$C$3001,$A27,'هالك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وتحويلات'!$C$2:$C$3001,$A27,'هالك وتحويلات'!$D$2:$D$3001,"ضيافة / أكل موظفين",'هالك وتحويلات'!$A$2:$A$3001,"&gt;="&amp;'إعدادات المخزون'!$B$5,'هالك وتحويلات'!$A$2:$A$3001,"&lt;="&amp;'إعدادات المخزون'!$B$4)</f>
        <v>0</v>
      </c>
      <c r="J27" s="110" t="n">
        <f aca="false">D27+E27+F27-G27-H27-I27</f>
        <v>184.37085</v>
      </c>
      <c r="K27" s="36" t="str">
        <f aca="false">IF(COUNTIFS('جرد فعلي'!$B$2:$B$12001,$B$2,'جرد فعلي'!$C$2:$C$12001,$A27,'جرد فعلي'!$A$2:$A$12001,'إعدادات المخزون'!$B$4)&gt;0,"نعم","لا")</f>
        <v>لا</v>
      </c>
      <c r="L27" s="111" t="str">
        <f aca="false">IF(K27="نعم",SUMIFS('جرد فعلي'!$D$2:$D$12001,'جرد فعلي'!$B$2:$B$12001,$B$2,'جرد فعلي'!$C$2:$C$12001,$A27,'جرد فعلي'!$A$2:$A$12001,'إعدادات المخزون'!$B$4),"")</f>
        <v/>
      </c>
      <c r="M27" s="110" t="str">
        <f aca="false">IF(K27="نعم",L27-J27,"")</f>
        <v/>
      </c>
      <c r="N27" s="112" t="str">
        <f aca="false">IF(K27="نعم",IF(J27=0,IF(M27=0,0,SIGN(M27)),M27/ABS(J27)),"")</f>
        <v/>
      </c>
      <c r="O27" s="109" t="str">
        <f aca="false">IF(K27="نعم",M27*C27,"")</f>
        <v/>
      </c>
      <c r="P27" s="36" t="str">
        <f aca="false">IF(K27&lt;&gt;"نعم","لم يُجرد",IF(ABS(N27)&lt;='إعدادات المخزون'!$B$7,"مطابق",IF(M27&lt;0,"عجز","زيادة")))</f>
        <v>لم يُجرد</v>
      </c>
      <c r="Q27" s="110" t="n">
        <f aca="false">J27-Z27</f>
        <v>248.5066125</v>
      </c>
      <c r="R27" s="110" t="str">
        <f aca="false">IF(COUNTIFS('جرد فعلي'!$B$2:$B$12001,$B$2,'جرد فعلي'!$C$2:$C$12001,$A27,'جرد فعلي'!$A$2:$A$12001,'إعدادات المخزون'!$B$4-1)&gt;0,SUMIFS('جرد فعلي'!$D$2:$D$12001,'جرد فعلي'!$B$2:$B$12001,$B$2,'جرد فعلي'!$C$2:$C$12001,$A27,'جرد فعلي'!$A$2:$A$12001,'إعدادات المخزون'!$B$4-1),"")</f>
        <v/>
      </c>
      <c r="S27" s="110" t="str">
        <f aca="false">IF(AND(K27="نعم",R27&lt;&gt;""),(L27-J27)-(R27-Q27),"")</f>
        <v/>
      </c>
      <c r="T27" s="109" t="str">
        <f aca="false">IF(S27="","",S27*C27)</f>
        <v/>
      </c>
      <c r="U27" s="110" t="n">
        <f aca="false">IF(K27="نعم",L27,J27)</f>
        <v>184.37085</v>
      </c>
      <c r="V27" s="110" t="n">
        <f aca="false">SUMPRODUCT('مصفوفة الاستهلاك (عصافرة)'!$V$2:$V$190,'متجهات المبيعات'!$J$2:$J$190)/'مواد المخزون'!$D$22/MAX(1,MIN('إعدادات المخزون'!$B$11,'إعدادات المخزون'!$B$4-'إعدادات المخزون'!$B$5+1))</f>
        <v>64.1357625</v>
      </c>
      <c r="W27" s="110" t="n">
        <f aca="false">IF(V27&lt;=0,0,ROUNDUP(MAX(0,V27*('إعدادات المخزون'!$B$8+'إعدادات المخزون'!$B$9+'إعدادات المخزون'!$B$10)-MAX(U27,0))/'مواد المخزون'!$F22,0)*'مواد المخزون'!$F22)</f>
        <v>73</v>
      </c>
      <c r="X27" s="109" t="n">
        <f aca="false">IF(AND(K27="نعم",O27&lt;0),-O27+ROW()*0.000000001,0)</f>
        <v>0</v>
      </c>
      <c r="Y27" s="109" t="n">
        <f aca="false">IF(AND(K27="نعم",O27&gt;0),O27+ROW()*0.000000001,0)</f>
        <v>0</v>
      </c>
      <c r="Z27" s="110" t="n">
        <f aca="false">SUMIFS('مشتريات يومية'!$D$2:$D$4001,'مشتريات يومية'!$B$2:$B$4001,$B$2,'مشتريات يومية'!$C$2:$C$4001,$A27,'مشتريات يومية'!$A$2:$A$4001,'إعدادات المخزون'!$B$4)+SUMIFS('هالك وتحويلات'!$E$2:$E$3001,'هالك وتحويلات'!$B$2:$B$3001,$B$2,'هالك وتحويلات'!$C$2:$C$3001,$A27,'هالك وتحويلات'!$D$2:$D$3001,"تحويل وارد",'هالك وتحويلات'!$A$2:$A$3001,'إعدادات المخزون'!$B$4)-SUMIFS('هالك وتحويلات'!$E$2:$E$3001,'هالك وتحويلات'!$B$2:$B$3001,$B$2,'هالك وتحويلات'!$C$2:$C$3001,$A27,'هالك وتحويلات'!$D$2:$D$3001,"تحويل صادر",'هالك وتحويلات'!$A$2:$A$3001,'إعدادات المخزون'!$B$4)-SUMIFS('هالك وتحويلات'!$E$2:$E$3001,'هالك وتحويلات'!$B$2:$B$3001,$B$2,'هالك وتحويلات'!$C$2:$C$3001,$A27,'هالك وتحويلات'!$D$2:$D$3001,"هالك",'هالك وتحويلات'!$A$2:$A$3001,'إعدادات المخزون'!$B$4)-SUMIFS('هالك وتحويلات'!$E$2:$E$3001,'هالك وتحويلات'!$B$2:$B$3001,$B$2,'هالك وتحويلات'!$C$2:$C$3001,$A27,'هالك وتحويلات'!$D$2:$D$3001,"ضيافة / أكل موظفين",'هالك وتحويلات'!$A$2:$A$3001,'إعدادات المخزون'!$B$4)-SUMPRODUCT('مصفوفة الاستهلاك (عصافرة)'!$V$2:$V$190,'متجهات المبيعات'!$H$2:$H$190)/'مواد المخزون'!$D$22</f>
        <v>-64.1357625</v>
      </c>
      <c r="AA27" s="109" t="n">
        <f aca="false">IF(K27="نعم",O27,0)</f>
        <v>0</v>
      </c>
      <c r="AB27" s="109" t="n">
        <f aca="false">IF(K27="نعم",J27*C27,0)</f>
        <v>0</v>
      </c>
      <c r="AC27" s="109" t="n">
        <f aca="false">IF(T27="",0,T27)</f>
        <v>0</v>
      </c>
    </row>
    <row r="28" customFormat="false" ht="15" hidden="false" customHeight="false" outlineLevel="0" collapsed="false">
      <c r="A28" s="34" t="str">
        <f aca="false">'مواد المخزون'!A23</f>
        <v>برسيون موتزريلا بيتزا كبير</v>
      </c>
      <c r="B28" s="36" t="str">
        <f aca="false">'مواد المخزون'!B23</f>
        <v>قطعة</v>
      </c>
      <c r="C28" s="109" t="n">
        <f aca="false">'مواد المخزون'!E23</f>
        <v>27.1395</v>
      </c>
      <c r="D28" s="110" t="n">
        <f aca="false">'جرد أول المدة'!E26</f>
        <v>0</v>
      </c>
      <c r="E28" s="110" t="n">
        <f aca="false">SUMIFS('مشتريات يومية'!$D$2:$D$4001,'مشتريات يومية'!$B$2:$B$4001,$B$2,'مشتريات يومية'!$C$2:$C$4001,$A28,'مشتريات يومية'!$A$2:$A$4001,"&gt;="&amp;'إعدادات المخزون'!$B$5,'مشتريات يومية'!$A$2:$A$4001,"&lt;="&amp;'إعدادات المخزون'!$B$4)</f>
        <v>0</v>
      </c>
      <c r="F28" s="110" t="n">
        <f aca="false">SUMIFS('هالك وتحويلات'!$E$2:$E$3001,'هالك وتحويلات'!$B$2:$B$3001,$B$2,'هالك وتحويلات'!$C$2:$C$3001,$A28,'هالك وتحويلات'!$D$2:$D$3001,"تحويل وارد",'هالك وتحويلات'!$A$2:$A$3001,"&gt;="&amp;'إعدادات المخزون'!$B$5,'هالك وتحويلات'!$A$2:$A$3001,"&lt;="&amp;'إعدادات المخزون'!$B$4)</f>
        <v>0</v>
      </c>
      <c r="G28" s="110" t="n">
        <f aca="false">SUMIFS('هالك وتحويلات'!$E$2:$E$3001,'هالك وتحويلات'!$B$2:$B$3001,$B$2,'هالك وتحويلات'!$C$2:$C$3001,$A28,'هالك وتحويلات'!$D$2:$D$3001,"تحويل صادر",'هالك وتحويلات'!$A$2:$A$3001,"&gt;="&amp;'إعدادات المخزون'!$B$5,'هالك وتحويلات'!$A$2:$A$3001,"&lt;="&amp;'إعدادات المخزون'!$B$4)</f>
        <v>0</v>
      </c>
      <c r="H28" s="110" t="n">
        <f aca="false">SUMPRODUCT('مصفوفة الاستهلاك (عصافرة)'!$W$2:$W$190,'متجهات المبيعات'!$I$2:$I$190)/'مواد المخزون'!$D$23</f>
        <v>0</v>
      </c>
      <c r="I28" s="110" t="n">
        <f aca="false">SUMIFS('هالك وتحويلات'!$E$2:$E$3001,'هالك وتحويلات'!$B$2:$B$3001,$B$2,'هالك وتحويلات'!$C$2:$C$3001,$A28,'هالك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وتحويلات'!$C$2:$C$3001,$A28,'هالك وتحويلات'!$D$2:$D$3001,"ضيافة / أكل موظفين",'هالك وتحويلات'!$A$2:$A$3001,"&gt;="&amp;'إعدادات المخزون'!$B$5,'هالك وتحويلات'!$A$2:$A$3001,"&lt;="&amp;'إعدادات المخزون'!$B$4)</f>
        <v>0</v>
      </c>
      <c r="J28" s="110" t="n">
        <f aca="false">D28+E28+F28-G28-H28-I28</f>
        <v>0</v>
      </c>
      <c r="K28" s="36" t="str">
        <f aca="false">IF(COUNTIFS('جرد فعلي'!$B$2:$B$12001,$B$2,'جرد فعلي'!$C$2:$C$12001,$A28,'جرد فعلي'!$A$2:$A$12001,'إعدادات المخزون'!$B$4)&gt;0,"نعم","لا")</f>
        <v>لا</v>
      </c>
      <c r="L28" s="111" t="str">
        <f aca="false">IF(K28="نعم",SUMIFS('جرد فعلي'!$D$2:$D$12001,'جرد فعلي'!$B$2:$B$12001,$B$2,'جرد فعلي'!$C$2:$C$12001,$A28,'جرد فعلي'!$A$2:$A$12001,'إعدادات المخزون'!$B$4),"")</f>
        <v/>
      </c>
      <c r="M28" s="110" t="str">
        <f aca="false">IF(K28="نعم",L28-J28,"")</f>
        <v/>
      </c>
      <c r="N28" s="112" t="str">
        <f aca="false">IF(K28="نعم",IF(J28=0,IF(M28=0,0,SIGN(M28)),M28/ABS(J28)),"")</f>
        <v/>
      </c>
      <c r="O28" s="109" t="str">
        <f aca="false">IF(K28="نعم",M28*C28,"")</f>
        <v/>
      </c>
      <c r="P28" s="36" t="str">
        <f aca="false">IF(K28&lt;&gt;"نعم","لم يُجرد",IF(ABS(N28)&lt;='إعدادات المخزون'!$B$7,"مطابق",IF(M28&lt;0,"عجز","زيادة")))</f>
        <v>لم يُجرد</v>
      </c>
      <c r="Q28" s="110" t="n">
        <f aca="false">J28-Z28</f>
        <v>0</v>
      </c>
      <c r="R28" s="110" t="str">
        <f aca="false">IF(COUNTIFS('جرد فعلي'!$B$2:$B$12001,$B$2,'جرد فعلي'!$C$2:$C$12001,$A28,'جرد فعلي'!$A$2:$A$12001,'إعدادات المخزون'!$B$4-1)&gt;0,SUMIFS('جرد فعلي'!$D$2:$D$12001,'جرد فعلي'!$B$2:$B$12001,$B$2,'جرد فعلي'!$C$2:$C$12001,$A28,'جرد فعلي'!$A$2:$A$12001,'إعدادات المخزون'!$B$4-1),"")</f>
        <v/>
      </c>
      <c r="S28" s="110" t="str">
        <f aca="false">IF(AND(K28="نعم",R28&lt;&gt;""),(L28-J28)-(R28-Q28),"")</f>
        <v/>
      </c>
      <c r="T28" s="109" t="str">
        <f aca="false">IF(S28="","",S28*C28)</f>
        <v/>
      </c>
      <c r="U28" s="110" t="n">
        <f aca="false">IF(K28="نعم",L28,J28)</f>
        <v>0</v>
      </c>
      <c r="V28" s="110" t="n">
        <f aca="false">SUMPRODUCT('مصفوفة الاستهلاك (عصافرة)'!$W$2:$W$190,'متجهات المبيعات'!$J$2:$J$190)/'مواد المخزون'!$D$23/MAX(1,MIN('إعدادات المخزون'!$B$11,'إعدادات المخزون'!$B$4-'إعدادات المخزون'!$B$5+1))</f>
        <v>0</v>
      </c>
      <c r="W28" s="110" t="n">
        <f aca="false">IF(V28&lt;=0,0,ROUNDUP(MAX(0,V28*('إعدادات المخزون'!$B$8+'إعدادات المخزون'!$B$9+'إعدادات المخزون'!$B$10)-MAX(U28,0))/'مواد المخزون'!$F23,0)*'مواد المخزون'!$F23)</f>
        <v>0</v>
      </c>
      <c r="X28" s="109" t="n">
        <f aca="false">IF(AND(K28="نعم",O28&lt;0),-O28+ROW()*0.000000001,0)</f>
        <v>0</v>
      </c>
      <c r="Y28" s="109" t="n">
        <f aca="false">IF(AND(K28="نعم",O28&gt;0),O28+ROW()*0.000000001,0)</f>
        <v>0</v>
      </c>
      <c r="Z28" s="110" t="n">
        <f aca="false">SUMIFS('مشتريات يومية'!$D$2:$D$4001,'مشتريات يومية'!$B$2:$B$4001,$B$2,'مشتريات يومية'!$C$2:$C$4001,$A28,'مشتريات يومية'!$A$2:$A$4001,'إعدادات المخزون'!$B$4)+SUMIFS('هالك وتحويلات'!$E$2:$E$3001,'هالك وتحويلات'!$B$2:$B$3001,$B$2,'هالك وتحويلات'!$C$2:$C$3001,$A28,'هالك وتحويلات'!$D$2:$D$3001,"تحويل وارد",'هالك وتحويلات'!$A$2:$A$3001,'إعدادات المخزون'!$B$4)-SUMIFS('هالك وتحويلات'!$E$2:$E$3001,'هالك وتحويلات'!$B$2:$B$3001,$B$2,'هالك وتحويلات'!$C$2:$C$3001,$A28,'هالك وتحويلات'!$D$2:$D$3001,"تحويل صادر",'هالك وتحويلات'!$A$2:$A$3001,'إعدادات المخزون'!$B$4)-SUMIFS('هالك وتحويلات'!$E$2:$E$3001,'هالك وتحويلات'!$B$2:$B$3001,$B$2,'هالك وتحويلات'!$C$2:$C$3001,$A28,'هالك وتحويلات'!$D$2:$D$3001,"هالك",'هالك وتحويلات'!$A$2:$A$3001,'إعدادات المخزون'!$B$4)-SUMIFS('هالك وتحويلات'!$E$2:$E$3001,'هالك وتحويلات'!$B$2:$B$3001,$B$2,'هالك وتحويلات'!$C$2:$C$3001,$A28,'هالك وتحويلات'!$D$2:$D$3001,"ضيافة / أكل موظفين",'هالك وتحويلات'!$A$2:$A$3001,'إعدادات المخزون'!$B$4)-SUMPRODUCT('مصفوفة الاستهلاك (عصافرة)'!$W$2:$W$190,'متجهات المبيعات'!$H$2:$H$190)/'مواد المخزون'!$D$23</f>
        <v>0</v>
      </c>
      <c r="AA28" s="109" t="n">
        <f aca="false">IF(K28="نعم",O28,0)</f>
        <v>0</v>
      </c>
      <c r="AB28" s="109" t="n">
        <f aca="false">IF(K28="نعم",J28*C28,0)</f>
        <v>0</v>
      </c>
      <c r="AC28" s="109" t="n">
        <f aca="false">IF(T28="",0,T28)</f>
        <v>0</v>
      </c>
    </row>
    <row r="29" customFormat="false" ht="15" hidden="false" customHeight="false" outlineLevel="0" collapsed="false">
      <c r="A29" s="34" t="str">
        <f aca="false">'مواد المخزون'!A24</f>
        <v>برسيون موتزريلا فطير صغير</v>
      </c>
      <c r="B29" s="36" t="str">
        <f aca="false">'مواد المخزون'!B24</f>
        <v>قطعة</v>
      </c>
      <c r="C29" s="109" t="n">
        <f aca="false">'مواد المخزون'!E24</f>
        <v>17.5</v>
      </c>
      <c r="D29" s="110" t="n">
        <f aca="false">'جرد أول المدة'!E27</f>
        <v>92</v>
      </c>
      <c r="E29" s="110" t="n">
        <f aca="false">SUMIFS('مشتريات يومية'!$D$2:$D$4001,'مشتريات يومية'!$B$2:$B$4001,$B$2,'مشتريات يومية'!$C$2:$C$4001,$A29,'مشتريات يومية'!$A$2:$A$4001,"&gt;="&amp;'إعدادات المخزون'!$B$5,'مشتريات يومية'!$A$2:$A$4001,"&lt;="&amp;'إعدادات المخزون'!$B$4)</f>
        <v>1320</v>
      </c>
      <c r="F29" s="110" t="n">
        <f aca="false">SUMIFS('هالك وتحويلات'!$E$2:$E$3001,'هالك وتحويلات'!$B$2:$B$3001,$B$2,'هالك وتحويلات'!$C$2:$C$3001,$A29,'هالك وتحويلات'!$D$2:$D$3001,"تحويل وارد",'هالك وتحويلات'!$A$2:$A$3001,"&gt;="&amp;'إعدادات المخزون'!$B$5,'هالك وتحويلات'!$A$2:$A$3001,"&lt;="&amp;'إعدادات المخزون'!$B$4)</f>
        <v>0</v>
      </c>
      <c r="G29" s="110" t="n">
        <f aca="false">SUMIFS('هالك وتحويلات'!$E$2:$E$3001,'هالك وتحويلات'!$B$2:$B$3001,$B$2,'هالك وتحويلات'!$C$2:$C$3001,$A29,'هالك وتحويلات'!$D$2:$D$3001,"تحويل صادر",'هالك وتحويلات'!$A$2:$A$3001,"&gt;="&amp;'إعدادات المخزون'!$B$5,'هالك وتحويلات'!$A$2:$A$3001,"&lt;="&amp;'إعدادات المخزون'!$B$4)</f>
        <v>0</v>
      </c>
      <c r="H29" s="110" t="n">
        <f aca="false">SUMPRODUCT('مصفوفة الاستهلاك (عصافرة)'!$X$2:$X$190,'متجهات المبيعات'!$I$2:$I$190)/'مواد المخزون'!$D$24</f>
        <v>1282.9998</v>
      </c>
      <c r="I29" s="110" t="n">
        <f aca="false">SUMIFS('هالك وتحويلات'!$E$2:$E$3001,'هالك وتحويلات'!$B$2:$B$3001,$B$2,'هالك وتحويلات'!$C$2:$C$3001,$A29,'هالك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وتحويلات'!$C$2:$C$3001,$A29,'هالك وتحويلات'!$D$2:$D$3001,"ضيافة / أكل موظفين",'هالك وتحويلات'!$A$2:$A$3001,"&gt;="&amp;'إعدادات المخزون'!$B$5,'هالك وتحويلات'!$A$2:$A$3001,"&lt;="&amp;'إعدادات المخزون'!$B$4)</f>
        <v>0</v>
      </c>
      <c r="J29" s="110" t="n">
        <f aca="false">D29+E29+F29-G29-H29-I29</f>
        <v>129.0002</v>
      </c>
      <c r="K29" s="36" t="str">
        <f aca="false">IF(COUNTIFS('جرد فعلي'!$B$2:$B$12001,$B$2,'جرد فعلي'!$C$2:$C$12001,$A29,'جرد فعلي'!$A$2:$A$12001,'إعدادات المخزون'!$B$4)&gt;0,"نعم","لا")</f>
        <v>لا</v>
      </c>
      <c r="L29" s="111" t="str">
        <f aca="false">IF(K29="نعم",SUMIFS('جرد فعلي'!$D$2:$D$12001,'جرد فعلي'!$B$2:$B$12001,$B$2,'جرد فعلي'!$C$2:$C$12001,$A29,'جرد فعلي'!$A$2:$A$12001,'إعدادات المخزون'!$B$4),"")</f>
        <v/>
      </c>
      <c r="M29" s="110" t="str">
        <f aca="false">IF(K29="نعم",L29-J29,"")</f>
        <v/>
      </c>
      <c r="N29" s="112" t="str">
        <f aca="false">IF(K29="نعم",IF(J29=0,IF(M29=0,0,SIGN(M29)),M29/ABS(J29)),"")</f>
        <v/>
      </c>
      <c r="O29" s="109" t="str">
        <f aca="false">IF(K29="نعم",M29*C29,"")</f>
        <v/>
      </c>
      <c r="P29" s="36" t="str">
        <f aca="false">IF(K29&lt;&gt;"نعم","لم يُجرد",IF(ABS(N29)&lt;='إعدادات المخزون'!$B$7,"مطابق",IF(M29&lt;0,"عجز","زيادة")))</f>
        <v>لم يُجرد</v>
      </c>
      <c r="Q29" s="110" t="n">
        <f aca="false">J29-Z29</f>
        <v>235.91685</v>
      </c>
      <c r="R29" s="110" t="str">
        <f aca="false">IF(COUNTIFS('جرد فعلي'!$B$2:$B$12001,$B$2,'جرد فعلي'!$C$2:$C$12001,$A29,'جرد فعلي'!$A$2:$A$12001,'إعدادات المخزون'!$B$4-1)&gt;0,SUMIFS('جرد فعلي'!$D$2:$D$12001,'جرد فعلي'!$B$2:$B$12001,$B$2,'جرد فعلي'!$C$2:$C$12001,$A29,'جرد فعلي'!$A$2:$A$12001,'إعدادات المخزون'!$B$4-1),"")</f>
        <v/>
      </c>
      <c r="S29" s="110" t="str">
        <f aca="false">IF(AND(K29="نعم",R29&lt;&gt;""),(L29-J29)-(R29-Q29),"")</f>
        <v/>
      </c>
      <c r="T29" s="109" t="str">
        <f aca="false">IF(S29="","",S29*C29)</f>
        <v/>
      </c>
      <c r="U29" s="110" t="n">
        <f aca="false">IF(K29="نعم",L29,J29)</f>
        <v>129.0002</v>
      </c>
      <c r="V29" s="110" t="n">
        <f aca="false">SUMPRODUCT('مصفوفة الاستهلاك (عصافرة)'!$X$2:$X$190,'متجهات المبيعات'!$J$2:$J$190)/'مواد المخزون'!$D$24/MAX(1,MIN('إعدادات المخزون'!$B$11,'إعدادات المخزون'!$B$4-'إعدادات المخزون'!$B$5+1))</f>
        <v>106.91665</v>
      </c>
      <c r="W29" s="110" t="n">
        <f aca="false">IF(V29&lt;=0,0,ROUNDUP(MAX(0,V29*('إعدادات المخزون'!$B$8+'إعدادات المخزون'!$B$9+'إعدادات المخزون'!$B$10)-MAX(U29,0))/'مواد المخزون'!$F24,0)*'مواد المخزون'!$F24)</f>
        <v>299</v>
      </c>
      <c r="X29" s="109" t="n">
        <f aca="false">IF(AND(K29="نعم",O29&lt;0),-O29+ROW()*0.000000001,0)</f>
        <v>0</v>
      </c>
      <c r="Y29" s="109" t="n">
        <f aca="false">IF(AND(K29="نعم",O29&gt;0),O29+ROW()*0.000000001,0)</f>
        <v>0</v>
      </c>
      <c r="Z29" s="110" t="n">
        <f aca="false">SUMIFS('مشتريات يومية'!$D$2:$D$4001,'مشتريات يومية'!$B$2:$B$4001,$B$2,'مشتريات يومية'!$C$2:$C$4001,$A29,'مشتريات يومية'!$A$2:$A$4001,'إعدادات المخزون'!$B$4)+SUMIFS('هالك وتحويلات'!$E$2:$E$3001,'هالك وتحويلات'!$B$2:$B$3001,$B$2,'هالك وتحويلات'!$C$2:$C$3001,$A29,'هالك وتحويلات'!$D$2:$D$3001,"تحويل وارد",'هالك وتحويلات'!$A$2:$A$3001,'إعدادات المخزون'!$B$4)-SUMIFS('هالك وتحويلات'!$E$2:$E$3001,'هالك وتحويلات'!$B$2:$B$3001,$B$2,'هالك وتحويلات'!$C$2:$C$3001,$A29,'هالك وتحويلات'!$D$2:$D$3001,"تحويل صادر",'هالك وتحويلات'!$A$2:$A$3001,'إعدادات المخزون'!$B$4)-SUMIFS('هالك وتحويلات'!$E$2:$E$3001,'هالك وتحويلات'!$B$2:$B$3001,$B$2,'هالك وتحويلات'!$C$2:$C$3001,$A29,'هالك وتحويلات'!$D$2:$D$3001,"هالك",'هالك وتحويلات'!$A$2:$A$3001,'إعدادات المخزون'!$B$4)-SUMIFS('هالك وتحويلات'!$E$2:$E$3001,'هالك وتحويلات'!$B$2:$B$3001,$B$2,'هالك وتحويلات'!$C$2:$C$3001,$A29,'هالك وتحويلات'!$D$2:$D$3001,"ضيافة / أكل موظفين",'هالك وتحويلات'!$A$2:$A$3001,'إعدادات المخزون'!$B$4)-SUMPRODUCT('مصفوفة الاستهلاك (عصافرة)'!$X$2:$X$190,'متجهات المبيعات'!$H$2:$H$190)/'مواد المخزون'!$D$24</f>
        <v>-106.91665</v>
      </c>
      <c r="AA29" s="109" t="n">
        <f aca="false">IF(K29="نعم",O29,0)</f>
        <v>0</v>
      </c>
      <c r="AB29" s="109" t="n">
        <f aca="false">IF(K29="نعم",J29*C29,0)</f>
        <v>0</v>
      </c>
      <c r="AC29" s="109" t="n">
        <f aca="false">IF(T29="",0,T29)</f>
        <v>0</v>
      </c>
    </row>
    <row r="30" customFormat="false" ht="15" hidden="false" customHeight="false" outlineLevel="0" collapsed="false">
      <c r="A30" s="34" t="str">
        <f aca="false">'مواد المخزون'!A25</f>
        <v>برسيون موتزريلا فطير كبير</v>
      </c>
      <c r="B30" s="36" t="str">
        <f aca="false">'مواد المخزون'!B25</f>
        <v>قطعة</v>
      </c>
      <c r="C30" s="109" t="n">
        <f aca="false">'مواد المخزون'!E25</f>
        <v>25</v>
      </c>
      <c r="D30" s="110" t="n">
        <f aca="false">'جرد أول المدة'!E28</f>
        <v>0</v>
      </c>
      <c r="E30" s="110" t="n">
        <f aca="false">SUMIFS('مشتريات يومية'!$D$2:$D$4001,'مشتريات يومية'!$B$2:$B$4001,$B$2,'مشتريات يومية'!$C$2:$C$4001,$A30,'مشتريات يومية'!$A$2:$A$4001,"&gt;="&amp;'إعدادات المخزون'!$B$5,'مشتريات يومية'!$A$2:$A$4001,"&lt;="&amp;'إعدادات المخزون'!$B$4)</f>
        <v>0</v>
      </c>
      <c r="F30" s="110" t="n">
        <f aca="false">SUMIFS('هالك وتحويلات'!$E$2:$E$3001,'هالك وتحويلات'!$B$2:$B$3001,$B$2,'هالك وتحويلات'!$C$2:$C$3001,$A30,'هالك وتحويلات'!$D$2:$D$3001,"تحويل وارد",'هالك وتحويلات'!$A$2:$A$3001,"&gt;="&amp;'إعدادات المخزون'!$B$5,'هالك وتحويلات'!$A$2:$A$3001,"&lt;="&amp;'إعدادات المخزون'!$B$4)</f>
        <v>0</v>
      </c>
      <c r="G30" s="110" t="n">
        <f aca="false">SUMIFS('هالك وتحويلات'!$E$2:$E$3001,'هالك وتحويلات'!$B$2:$B$3001,$B$2,'هالك وتحويلات'!$C$2:$C$3001,$A30,'هالك وتحويلات'!$D$2:$D$3001,"تحويل صادر",'هالك وتحويلات'!$A$2:$A$3001,"&gt;="&amp;'إعدادات المخزون'!$B$5,'هالك وتحويلات'!$A$2:$A$3001,"&lt;="&amp;'إعدادات المخزون'!$B$4)</f>
        <v>0</v>
      </c>
      <c r="H30" s="110" t="n">
        <f aca="false">SUMPRODUCT('مصفوفة الاستهلاك (عصافرة)'!$Y$2:$Y$190,'متجهات المبيعات'!$I$2:$I$190)/'مواد المخزون'!$D$25</f>
        <v>0</v>
      </c>
      <c r="I30" s="110" t="n">
        <f aca="false">SUMIFS('هالك وتحويلات'!$E$2:$E$3001,'هالك وتحويلات'!$B$2:$B$3001,$B$2,'هالك وتحويلات'!$C$2:$C$3001,$A30,'هالك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وتحويلات'!$C$2:$C$3001,$A30,'هالك وتحويلات'!$D$2:$D$3001,"ضيافة / أكل موظفين",'هالك وتحويلات'!$A$2:$A$3001,"&gt;="&amp;'إعدادات المخزون'!$B$5,'هالك وتحويلات'!$A$2:$A$3001,"&lt;="&amp;'إعدادات المخزون'!$B$4)</f>
        <v>0</v>
      </c>
      <c r="J30" s="110" t="n">
        <f aca="false">D30+E30+F30-G30-H30-I30</f>
        <v>0</v>
      </c>
      <c r="K30" s="36" t="str">
        <f aca="false">IF(COUNTIFS('جرد فعلي'!$B$2:$B$12001,$B$2,'جرد فعلي'!$C$2:$C$12001,$A30,'جرد فعلي'!$A$2:$A$12001,'إعدادات المخزون'!$B$4)&gt;0,"نعم","لا")</f>
        <v>لا</v>
      </c>
      <c r="L30" s="111" t="str">
        <f aca="false">IF(K30="نعم",SUMIFS('جرد فعلي'!$D$2:$D$12001,'جرد فعلي'!$B$2:$B$12001,$B$2,'جرد فعلي'!$C$2:$C$12001,$A30,'جرد فعلي'!$A$2:$A$12001,'إعدادات المخزون'!$B$4),"")</f>
        <v/>
      </c>
      <c r="M30" s="110" t="str">
        <f aca="false">IF(K30="نعم",L30-J30,"")</f>
        <v/>
      </c>
      <c r="N30" s="112" t="str">
        <f aca="false">IF(K30="نعم",IF(J30=0,IF(M30=0,0,SIGN(M30)),M30/ABS(J30)),"")</f>
        <v/>
      </c>
      <c r="O30" s="109" t="str">
        <f aca="false">IF(K30="نعم",M30*C30,"")</f>
        <v/>
      </c>
      <c r="P30" s="36" t="str">
        <f aca="false">IF(K30&lt;&gt;"نعم","لم يُجرد",IF(ABS(N30)&lt;='إعدادات المخزون'!$B$7,"مطابق",IF(M30&lt;0,"عجز","زيادة")))</f>
        <v>لم يُجرد</v>
      </c>
      <c r="Q30" s="110" t="n">
        <f aca="false">J30-Z30</f>
        <v>0</v>
      </c>
      <c r="R30" s="110" t="str">
        <f aca="false">IF(COUNTIFS('جرد فعلي'!$B$2:$B$12001,$B$2,'جرد فعلي'!$C$2:$C$12001,$A30,'جرد فعلي'!$A$2:$A$12001,'إعدادات المخزون'!$B$4-1)&gt;0,SUMIFS('جرد فعلي'!$D$2:$D$12001,'جرد فعلي'!$B$2:$B$12001,$B$2,'جرد فعلي'!$C$2:$C$12001,$A30,'جرد فعلي'!$A$2:$A$12001,'إعدادات المخزون'!$B$4-1),"")</f>
        <v/>
      </c>
      <c r="S30" s="110" t="str">
        <f aca="false">IF(AND(K30="نعم",R30&lt;&gt;""),(L30-J30)-(R30-Q30),"")</f>
        <v/>
      </c>
      <c r="T30" s="109" t="str">
        <f aca="false">IF(S30="","",S30*C30)</f>
        <v/>
      </c>
      <c r="U30" s="110" t="n">
        <f aca="false">IF(K30="نعم",L30,J30)</f>
        <v>0</v>
      </c>
      <c r="V30" s="110" t="n">
        <f aca="false">SUMPRODUCT('مصفوفة الاستهلاك (عصافرة)'!$Y$2:$Y$190,'متجهات المبيعات'!$J$2:$J$190)/'مواد المخزون'!$D$25/MAX(1,MIN('إعدادات المخزون'!$B$11,'إعدادات المخزون'!$B$4-'إعدادات المخزون'!$B$5+1))</f>
        <v>0</v>
      </c>
      <c r="W30" s="110" t="n">
        <f aca="false">IF(V30&lt;=0,0,ROUNDUP(MAX(0,V30*('إعدادات المخزون'!$B$8+'إعدادات المخزون'!$B$9+'إعدادات المخزون'!$B$10)-MAX(U30,0))/'مواد المخزون'!$F25,0)*'مواد المخزون'!$F25)</f>
        <v>0</v>
      </c>
      <c r="X30" s="109" t="n">
        <f aca="false">IF(AND(K30="نعم",O30&lt;0),-O30+ROW()*0.000000001,0)</f>
        <v>0</v>
      </c>
      <c r="Y30" s="109" t="n">
        <f aca="false">IF(AND(K30="نعم",O30&gt;0),O30+ROW()*0.000000001,0)</f>
        <v>0</v>
      </c>
      <c r="Z30" s="110" t="n">
        <f aca="false">SUMIFS('مشتريات يومية'!$D$2:$D$4001,'مشتريات يومية'!$B$2:$B$4001,$B$2,'مشتريات يومية'!$C$2:$C$4001,$A30,'مشتريات يومية'!$A$2:$A$4001,'إعدادات المخزون'!$B$4)+SUMIFS('هالك وتحويلات'!$E$2:$E$3001,'هالك وتحويلات'!$B$2:$B$3001,$B$2,'هالك وتحويلات'!$C$2:$C$3001,$A30,'هالك وتحويلات'!$D$2:$D$3001,"تحويل وارد",'هالك وتحويلات'!$A$2:$A$3001,'إعدادات المخزون'!$B$4)-SUMIFS('هالك وتحويلات'!$E$2:$E$3001,'هالك وتحويلات'!$B$2:$B$3001,$B$2,'هالك وتحويلات'!$C$2:$C$3001,$A30,'هالك وتحويلات'!$D$2:$D$3001,"تحويل صادر",'هالك وتحويلات'!$A$2:$A$3001,'إعدادات المخزون'!$B$4)-SUMIFS('هالك وتحويلات'!$E$2:$E$3001,'هالك وتحويلات'!$B$2:$B$3001,$B$2,'هالك وتحويلات'!$C$2:$C$3001,$A30,'هالك وتحويلات'!$D$2:$D$3001,"هالك",'هالك وتحويلات'!$A$2:$A$3001,'إعدادات المخزون'!$B$4)-SUMIFS('هالك وتحويلات'!$E$2:$E$3001,'هالك وتحويلات'!$B$2:$B$3001,$B$2,'هالك وتحويلات'!$C$2:$C$3001,$A30,'هالك وتحويلات'!$D$2:$D$3001,"ضيافة / أكل موظفين",'هالك وتحويلات'!$A$2:$A$3001,'إعدادات المخزون'!$B$4)-SUMPRODUCT('مصفوفة الاستهلاك (عصافرة)'!$Y$2:$Y$190,'متجهات المبيعات'!$H$2:$H$190)/'مواد المخزون'!$D$25</f>
        <v>0</v>
      </c>
      <c r="AA30" s="109" t="n">
        <f aca="false">IF(K30="نعم",O30,0)</f>
        <v>0</v>
      </c>
      <c r="AB30" s="109" t="n">
        <f aca="false">IF(K30="نعم",J30*C30,0)</f>
        <v>0</v>
      </c>
      <c r="AC30" s="109" t="n">
        <f aca="false">IF(T30="",0,T30)</f>
        <v>0</v>
      </c>
    </row>
    <row r="31" customFormat="false" ht="15" hidden="false" customHeight="false" outlineLevel="0" collapsed="false">
      <c r="A31" s="34" t="str">
        <f aca="false">'مواد المخزون'!A26</f>
        <v>بسكوت اوريو مجروش</v>
      </c>
      <c r="B31" s="36" t="str">
        <f aca="false">'مواد المخزون'!B26</f>
        <v>كجم</v>
      </c>
      <c r="C31" s="109" t="n">
        <f aca="false">'مواد المخزون'!E26</f>
        <v>100</v>
      </c>
      <c r="D31" s="110" t="n">
        <f aca="false">'جرد أول المدة'!E29</f>
        <v>0.7</v>
      </c>
      <c r="E31" s="110" t="n">
        <f aca="false">SUMIFS('مشتريات يومية'!$D$2:$D$4001,'مشتريات يومية'!$B$2:$B$4001,$B$2,'مشتريات يومية'!$C$2:$C$4001,$A31,'مشتريات يومية'!$A$2:$A$4001,"&gt;="&amp;'إعدادات المخزون'!$B$5,'مشتريات يومية'!$A$2:$A$4001,"&lt;="&amp;'إعدادات المخزون'!$B$4)</f>
        <v>0</v>
      </c>
      <c r="F31" s="110" t="n">
        <f aca="false">SUMIFS('هالك وتحويلات'!$E$2:$E$3001,'هالك وتحويلات'!$B$2:$B$3001,$B$2,'هالك وتحويلات'!$C$2:$C$3001,$A31,'هالك وتحويلات'!$D$2:$D$3001,"تحويل وارد",'هالك وتحويلات'!$A$2:$A$3001,"&gt;="&amp;'إعدادات المخزون'!$B$5,'هالك وتحويلات'!$A$2:$A$3001,"&lt;="&amp;'إعدادات المخزون'!$B$4)</f>
        <v>0</v>
      </c>
      <c r="G31" s="110" t="n">
        <f aca="false">SUMIFS('هالك وتحويلات'!$E$2:$E$3001,'هالك وتحويلات'!$B$2:$B$3001,$B$2,'هالك وتحويلات'!$C$2:$C$3001,$A31,'هالك وتحويلات'!$D$2:$D$3001,"تحويل صادر",'هالك وتحويلات'!$A$2:$A$3001,"&gt;="&amp;'إعدادات المخزون'!$B$5,'هالك وتحويلات'!$A$2:$A$3001,"&lt;="&amp;'إعدادات المخزون'!$B$4)</f>
        <v>0</v>
      </c>
      <c r="H31" s="110" t="n">
        <f aca="false">SUMPRODUCT('مصفوفة الاستهلاك (عصافرة)'!$Z$2:$Z$190,'متجهات المبيعات'!$I$2:$I$190)/'مواد المخزون'!$D$26</f>
        <v>0.510012</v>
      </c>
      <c r="I31" s="110" t="n">
        <f aca="false">SUMIFS('هالك وتحويلات'!$E$2:$E$3001,'هالك وتحويلات'!$B$2:$B$3001,$B$2,'هالك وتحويلات'!$C$2:$C$3001,$A31,'هالك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وتحويلات'!$C$2:$C$3001,$A31,'هالك وتحويلات'!$D$2:$D$3001,"ضيافة / أكل موظفين",'هالك وتحويلات'!$A$2:$A$3001,"&gt;="&amp;'إعدادات المخزون'!$B$5,'هالك وتحويلات'!$A$2:$A$3001,"&lt;="&amp;'إعدادات المخزون'!$B$4)</f>
        <v>0</v>
      </c>
      <c r="J31" s="110" t="n">
        <f aca="false">D31+E31+F31-G31-H31-I31</f>
        <v>0.189988</v>
      </c>
      <c r="K31" s="36" t="str">
        <f aca="false">IF(COUNTIFS('جرد فعلي'!$B$2:$B$12001,$B$2,'جرد فعلي'!$C$2:$C$12001,$A31,'جرد فعلي'!$A$2:$A$12001,'إعدادات المخزون'!$B$4)&gt;0,"نعم","لا")</f>
        <v>لا</v>
      </c>
      <c r="L31" s="111" t="str">
        <f aca="false">IF(K31="نعم",SUMIFS('جرد فعلي'!$D$2:$D$12001,'جرد فعلي'!$B$2:$B$12001,$B$2,'جرد فعلي'!$C$2:$C$12001,$A31,'جرد فعلي'!$A$2:$A$12001,'إعدادات المخزون'!$B$4),"")</f>
        <v/>
      </c>
      <c r="M31" s="110" t="str">
        <f aca="false">IF(K31="نعم",L31-J31,"")</f>
        <v/>
      </c>
      <c r="N31" s="112" t="str">
        <f aca="false">IF(K31="نعم",IF(J31=0,IF(M31=0,0,SIGN(M31)),M31/ABS(J31)),"")</f>
        <v/>
      </c>
      <c r="O31" s="109" t="str">
        <f aca="false">IF(K31="نعم",M31*C31,"")</f>
        <v/>
      </c>
      <c r="P31" s="36" t="str">
        <f aca="false">IF(K31&lt;&gt;"نعم","لم يُجرد",IF(ABS(N31)&lt;='إعدادات المخزون'!$B$7,"مطابق",IF(M31&lt;0,"عجز","زيادة")))</f>
        <v>لم يُجرد</v>
      </c>
      <c r="Q31" s="110" t="n">
        <f aca="false">J31-Z31</f>
        <v>0.232489</v>
      </c>
      <c r="R31" s="110" t="str">
        <f aca="false">IF(COUNTIFS('جرد فعلي'!$B$2:$B$12001,$B$2,'جرد فعلي'!$C$2:$C$12001,$A31,'جرد فعلي'!$A$2:$A$12001,'إعدادات المخزون'!$B$4-1)&gt;0,SUMIFS('جرد فعلي'!$D$2:$D$12001,'جرد فعلي'!$B$2:$B$12001,$B$2,'جرد فعلي'!$C$2:$C$12001,$A31,'جرد فعلي'!$A$2:$A$12001,'إعدادات المخزون'!$B$4-1),"")</f>
        <v/>
      </c>
      <c r="S31" s="110" t="str">
        <f aca="false">IF(AND(K31="نعم",R31&lt;&gt;""),(L31-J31)-(R31-Q31),"")</f>
        <v/>
      </c>
      <c r="T31" s="109" t="str">
        <f aca="false">IF(S31="","",S31*C31)</f>
        <v/>
      </c>
      <c r="U31" s="110" t="n">
        <f aca="false">IF(K31="نعم",L31,J31)</f>
        <v>0.189988</v>
      </c>
      <c r="V31" s="110" t="n">
        <f aca="false">SUMPRODUCT('مصفوفة الاستهلاك (عصافرة)'!$Z$2:$Z$190,'متجهات المبيعات'!$J$2:$J$190)/'مواد المخزون'!$D$26/MAX(1,MIN('إعدادات المخزون'!$B$11,'إعدادات المخزون'!$B$4-'إعدادات المخزون'!$B$5+1))</f>
        <v>0.042501</v>
      </c>
      <c r="W31" s="110" t="n">
        <f aca="false">IF(V31&lt;=0,0,ROUNDUP(MAX(0,V31*('إعدادات المخزون'!$B$8+'إعدادات المخزون'!$B$9+'إعدادات المخزون'!$B$10)-MAX(U31,0))/'مواد المخزون'!$F26,0)*'مواد المخزون'!$F26)</f>
        <v>0</v>
      </c>
      <c r="X31" s="109" t="n">
        <f aca="false">IF(AND(K31="نعم",O31&lt;0),-O31+ROW()*0.000000001,0)</f>
        <v>0</v>
      </c>
      <c r="Y31" s="109" t="n">
        <f aca="false">IF(AND(K31="نعم",O31&gt;0),O31+ROW()*0.000000001,0)</f>
        <v>0</v>
      </c>
      <c r="Z31" s="110" t="n">
        <f aca="false">SUMIFS('مشتريات يومية'!$D$2:$D$4001,'مشتريات يومية'!$B$2:$B$4001,$B$2,'مشتريات يومية'!$C$2:$C$4001,$A31,'مشتريات يومية'!$A$2:$A$4001,'إعدادات المخزون'!$B$4)+SUMIFS('هالك وتحويلات'!$E$2:$E$3001,'هالك وتحويلات'!$B$2:$B$3001,$B$2,'هالك وتحويلات'!$C$2:$C$3001,$A31,'هالك وتحويلات'!$D$2:$D$3001,"تحويل وارد",'هالك وتحويلات'!$A$2:$A$3001,'إعدادات المخزون'!$B$4)-SUMIFS('هالك وتحويلات'!$E$2:$E$3001,'هالك وتحويلات'!$B$2:$B$3001,$B$2,'هالك وتحويلات'!$C$2:$C$3001,$A31,'هالك وتحويلات'!$D$2:$D$3001,"تحويل صادر",'هالك وتحويلات'!$A$2:$A$3001,'إعدادات المخزون'!$B$4)-SUMIFS('هالك وتحويلات'!$E$2:$E$3001,'هالك وتحويلات'!$B$2:$B$3001,$B$2,'هالك وتحويلات'!$C$2:$C$3001,$A31,'هالك وتحويلات'!$D$2:$D$3001,"هالك",'هالك وتحويلات'!$A$2:$A$3001,'إعدادات المخزون'!$B$4)-SUMIFS('هالك وتحويلات'!$E$2:$E$3001,'هالك وتحويلات'!$B$2:$B$3001,$B$2,'هالك وتحويلات'!$C$2:$C$3001,$A31,'هالك وتحويلات'!$D$2:$D$3001,"ضيافة / أكل موظفين",'هالك وتحويلات'!$A$2:$A$3001,'إعدادات المخزون'!$B$4)-SUMPRODUCT('مصفوفة الاستهلاك (عصافرة)'!$Z$2:$Z$190,'متجهات المبيعات'!$H$2:$H$190)/'مواد المخزون'!$D$26</f>
        <v>-0.042501</v>
      </c>
      <c r="AA31" s="109" t="n">
        <f aca="false">IF(K31="نعم",O31,0)</f>
        <v>0</v>
      </c>
      <c r="AB31" s="109" t="n">
        <f aca="false">IF(K31="نعم",J31*C31,0)</f>
        <v>0</v>
      </c>
      <c r="AC31" s="109" t="n">
        <f aca="false">IF(T31="",0,T31)</f>
        <v>0</v>
      </c>
    </row>
    <row r="32" customFormat="false" ht="15" hidden="false" customHeight="false" outlineLevel="0" collapsed="false">
      <c r="A32" s="34" t="str">
        <f aca="false">'مواد المخزون'!A27</f>
        <v>بسكوت للوتس باكو</v>
      </c>
      <c r="B32" s="36" t="str">
        <f aca="false">'مواد المخزون'!B27</f>
        <v>كجم</v>
      </c>
      <c r="C32" s="109" t="n">
        <f aca="false">'مواد المخزون'!E27</f>
        <v>104.58</v>
      </c>
      <c r="D32" s="110" t="n">
        <f aca="false">'جرد أول المدة'!E30</f>
        <v>0.75</v>
      </c>
      <c r="E32" s="110" t="n">
        <f aca="false">SUMIFS('مشتريات يومية'!$D$2:$D$4001,'مشتريات يومية'!$B$2:$B$4001,$B$2,'مشتريات يومية'!$C$2:$C$4001,$A32,'مشتريات يومية'!$A$2:$A$4001,"&gt;="&amp;'إعدادات المخزون'!$B$5,'مشتريات يومية'!$A$2:$A$4001,"&lt;="&amp;'إعدادات المخزون'!$B$4)</f>
        <v>0</v>
      </c>
      <c r="F32" s="110" t="n">
        <f aca="false">SUMIFS('هالك وتحويلات'!$E$2:$E$3001,'هالك وتحويلات'!$B$2:$B$3001,$B$2,'هالك وتحويلات'!$C$2:$C$3001,$A32,'هالك وتحويلات'!$D$2:$D$3001,"تحويل وارد",'هالك وتحويلات'!$A$2:$A$3001,"&gt;="&amp;'إعدادات المخزون'!$B$5,'هالك وتحويلات'!$A$2:$A$3001,"&lt;="&amp;'إعدادات المخزون'!$B$4)</f>
        <v>0</v>
      </c>
      <c r="G32" s="110" t="n">
        <f aca="false">SUMIFS('هالك وتحويلات'!$E$2:$E$3001,'هالك وتحويلات'!$B$2:$B$3001,$B$2,'هالك وتحويلات'!$C$2:$C$3001,$A32,'هالك وتحويلات'!$D$2:$D$3001,"تحويل صادر",'هالك وتحويلات'!$A$2:$A$3001,"&gt;="&amp;'إعدادات المخزون'!$B$5,'هالك وتحويلات'!$A$2:$A$3001,"&lt;="&amp;'إعدادات المخزون'!$B$4)</f>
        <v>0</v>
      </c>
      <c r="H32" s="110" t="n">
        <f aca="false">SUMPRODUCT('مصفوفة الاستهلاك (عصافرة)'!$AA$2:$AA$190,'متجهات المبيعات'!$I$2:$I$190)/'مواد المخزون'!$D$27</f>
        <v>0</v>
      </c>
      <c r="I32" s="110" t="n">
        <f aca="false">SUMIFS('هالك وتحويلات'!$E$2:$E$3001,'هالك وتحويلات'!$B$2:$B$3001,$B$2,'هالك وتحويلات'!$C$2:$C$3001,$A32,'هالك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وتحويلات'!$C$2:$C$3001,$A32,'هالك وتحويلات'!$D$2:$D$3001,"ضيافة / أكل موظفين",'هالك وتحويلات'!$A$2:$A$3001,"&gt;="&amp;'إعدادات المخزون'!$B$5,'هالك وتحويلات'!$A$2:$A$3001,"&lt;="&amp;'إعدادات المخزون'!$B$4)</f>
        <v>0</v>
      </c>
      <c r="J32" s="110" t="n">
        <f aca="false">D32+E32+F32-G32-H32-I32</f>
        <v>0.75</v>
      </c>
      <c r="K32" s="36" t="str">
        <f aca="false">IF(COUNTIFS('جرد فعلي'!$B$2:$B$12001,$B$2,'جرد فعلي'!$C$2:$C$12001,$A32,'جرد فعلي'!$A$2:$A$12001,'إعدادات المخزون'!$B$4)&gt;0,"نعم","لا")</f>
        <v>لا</v>
      </c>
      <c r="L32" s="111" t="str">
        <f aca="false">IF(K32="نعم",SUMIFS('جرد فعلي'!$D$2:$D$12001,'جرد فعلي'!$B$2:$B$12001,$B$2,'جرد فعلي'!$C$2:$C$12001,$A32,'جرد فعلي'!$A$2:$A$12001,'إعدادات المخزون'!$B$4),"")</f>
        <v/>
      </c>
      <c r="M32" s="110" t="str">
        <f aca="false">IF(K32="نعم",L32-J32,"")</f>
        <v/>
      </c>
      <c r="N32" s="112" t="str">
        <f aca="false">IF(K32="نعم",IF(J32=0,IF(M32=0,0,SIGN(M32)),M32/ABS(J32)),"")</f>
        <v/>
      </c>
      <c r="O32" s="109" t="str">
        <f aca="false">IF(K32="نعم",M32*C32,"")</f>
        <v/>
      </c>
      <c r="P32" s="36" t="str">
        <f aca="false">IF(K32&lt;&gt;"نعم","لم يُجرد",IF(ABS(N32)&lt;='إعدادات المخزون'!$B$7,"مطابق",IF(M32&lt;0,"عجز","زيادة")))</f>
        <v>لم يُجرد</v>
      </c>
      <c r="Q32" s="110" t="n">
        <f aca="false">J32-Z32</f>
        <v>0.75</v>
      </c>
      <c r="R32" s="110" t="str">
        <f aca="false">IF(COUNTIFS('جرد فعلي'!$B$2:$B$12001,$B$2,'جرد فعلي'!$C$2:$C$12001,$A32,'جرد فعلي'!$A$2:$A$12001,'إعدادات المخزون'!$B$4-1)&gt;0,SUMIFS('جرد فعلي'!$D$2:$D$12001,'جرد فعلي'!$B$2:$B$12001,$B$2,'جرد فعلي'!$C$2:$C$12001,$A32,'جرد فعلي'!$A$2:$A$12001,'إعدادات المخزون'!$B$4-1),"")</f>
        <v/>
      </c>
      <c r="S32" s="110" t="str">
        <f aca="false">IF(AND(K32="نعم",R32&lt;&gt;""),(L32-J32)-(R32-Q32),"")</f>
        <v/>
      </c>
      <c r="T32" s="109" t="str">
        <f aca="false">IF(S32="","",S32*C32)</f>
        <v/>
      </c>
      <c r="U32" s="110" t="n">
        <f aca="false">IF(K32="نعم",L32,J32)</f>
        <v>0.75</v>
      </c>
      <c r="V32" s="110" t="n">
        <f aca="false">SUMPRODUCT('مصفوفة الاستهلاك (عصافرة)'!$AA$2:$AA$190,'متجهات المبيعات'!$J$2:$J$190)/'مواد المخزون'!$D$27/MAX(1,MIN('إعدادات المخزون'!$B$11,'إعدادات المخزون'!$B$4-'إعدادات المخزون'!$B$5+1))</f>
        <v>0</v>
      </c>
      <c r="W32" s="110" t="n">
        <f aca="false">IF(V32&lt;=0,0,ROUNDUP(MAX(0,V32*('إعدادات المخزون'!$B$8+'إعدادات المخزون'!$B$9+'إعدادات المخزون'!$B$10)-MAX(U32,0))/'مواد المخزون'!$F27,0)*'مواد المخزون'!$F27)</f>
        <v>0</v>
      </c>
      <c r="X32" s="109" t="n">
        <f aca="false">IF(AND(K32="نعم",O32&lt;0),-O32+ROW()*0.000000001,0)</f>
        <v>0</v>
      </c>
      <c r="Y32" s="109" t="n">
        <f aca="false">IF(AND(K32="نعم",O32&gt;0),O32+ROW()*0.000000001,0)</f>
        <v>0</v>
      </c>
      <c r="Z32" s="110" t="n">
        <f aca="false">SUMIFS('مشتريات يومية'!$D$2:$D$4001,'مشتريات يومية'!$B$2:$B$4001,$B$2,'مشتريات يومية'!$C$2:$C$4001,$A32,'مشتريات يومية'!$A$2:$A$4001,'إعدادات المخزون'!$B$4)+SUMIFS('هالك وتحويلات'!$E$2:$E$3001,'هالك وتحويلات'!$B$2:$B$3001,$B$2,'هالك وتحويلات'!$C$2:$C$3001,$A32,'هالك وتحويلات'!$D$2:$D$3001,"تحويل وارد",'هالك وتحويلات'!$A$2:$A$3001,'إعدادات المخزون'!$B$4)-SUMIFS('هالك وتحويلات'!$E$2:$E$3001,'هالك وتحويلات'!$B$2:$B$3001,$B$2,'هالك وتحويلات'!$C$2:$C$3001,$A32,'هالك وتحويلات'!$D$2:$D$3001,"تحويل صادر",'هالك وتحويلات'!$A$2:$A$3001,'إعدادات المخزون'!$B$4)-SUMIFS('هالك وتحويلات'!$E$2:$E$3001,'هالك وتحويلات'!$B$2:$B$3001,$B$2,'هالك وتحويلات'!$C$2:$C$3001,$A32,'هالك وتحويلات'!$D$2:$D$3001,"هالك",'هالك وتحويلات'!$A$2:$A$3001,'إعدادات المخزون'!$B$4)-SUMIFS('هالك وتحويلات'!$E$2:$E$3001,'هالك وتحويلات'!$B$2:$B$3001,$B$2,'هالك وتحويلات'!$C$2:$C$3001,$A32,'هالك وتحويلات'!$D$2:$D$3001,"ضيافة / أكل موظفين",'هالك وتحويلات'!$A$2:$A$3001,'إعدادات المخزون'!$B$4)-SUMPRODUCT('مصفوفة الاستهلاك (عصافرة)'!$AA$2:$AA$190,'متجهات المبيعات'!$H$2:$H$190)/'مواد المخزون'!$D$27</f>
        <v>0</v>
      </c>
      <c r="AA32" s="109" t="n">
        <f aca="false">IF(K32="نعم",O32,0)</f>
        <v>0</v>
      </c>
      <c r="AB32" s="109" t="n">
        <f aca="false">IF(K32="نعم",J32*C32,0)</f>
        <v>0</v>
      </c>
      <c r="AC32" s="109" t="n">
        <f aca="false">IF(T32="",0,T32)</f>
        <v>0</v>
      </c>
    </row>
    <row r="33" customFormat="false" ht="15" hidden="false" customHeight="false" outlineLevel="0" collapsed="false">
      <c r="A33" s="34" t="str">
        <f aca="false">'مواد المخزون'!A28</f>
        <v>بسكوت للوتس مجروش</v>
      </c>
      <c r="B33" s="36" t="str">
        <f aca="false">'مواد المخزون'!B28</f>
        <v>كجم</v>
      </c>
      <c r="C33" s="109" t="n">
        <f aca="false">'مواد المخزون'!E28</f>
        <v>100</v>
      </c>
      <c r="D33" s="110" t="n">
        <f aca="false">'جرد أول المدة'!E31</f>
        <v>1.05</v>
      </c>
      <c r="E33" s="110" t="n">
        <f aca="false">SUMIFS('مشتريات يومية'!$D$2:$D$4001,'مشتريات يومية'!$B$2:$B$4001,$B$2,'مشتريات يومية'!$C$2:$C$4001,$A33,'مشتريات يومية'!$A$2:$A$4001,"&gt;="&amp;'إعدادات المخزون'!$B$5,'مشتريات يومية'!$A$2:$A$4001,"&lt;="&amp;'إعدادات المخزون'!$B$4)</f>
        <v>0</v>
      </c>
      <c r="F33" s="110" t="n">
        <f aca="false">SUMIFS('هالك وتحويلات'!$E$2:$E$3001,'هالك وتحويلات'!$B$2:$B$3001,$B$2,'هالك وتحويلات'!$C$2:$C$3001,$A33,'هالك وتحويلات'!$D$2:$D$3001,"تحويل وارد",'هالك وتحويلات'!$A$2:$A$3001,"&gt;="&amp;'إعدادات المخزون'!$B$5,'هالك وتحويلات'!$A$2:$A$3001,"&lt;="&amp;'إعدادات المخزون'!$B$4)</f>
        <v>0</v>
      </c>
      <c r="G33" s="110" t="n">
        <f aca="false">SUMIFS('هالك وتحويلات'!$E$2:$E$3001,'هالك وتحويلات'!$B$2:$B$3001,$B$2,'هالك وتحويلات'!$C$2:$C$3001,$A33,'هالك وتحويلات'!$D$2:$D$3001,"تحويل صادر",'هالك وتحويلات'!$A$2:$A$3001,"&gt;="&amp;'إعدادات المخزون'!$B$5,'هالك وتحويلات'!$A$2:$A$3001,"&lt;="&amp;'إعدادات المخزون'!$B$4)</f>
        <v>0</v>
      </c>
      <c r="H33" s="110" t="n">
        <f aca="false">SUMPRODUCT('مصفوفة الاستهلاك (عصافرة)'!$AB$2:$AB$190,'متجهات المبيعات'!$I$2:$I$190)/'مواد المخزون'!$D$28</f>
        <v>0.510012</v>
      </c>
      <c r="I33" s="110" t="n">
        <f aca="false">SUMIFS('هالك وتحويلات'!$E$2:$E$3001,'هالك وتحويلات'!$B$2:$B$3001,$B$2,'هالك وتحويلات'!$C$2:$C$3001,$A33,'هالك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وتحويلات'!$C$2:$C$3001,$A33,'هالك وتحويلات'!$D$2:$D$3001,"ضيافة / أكل موظفين",'هالك وتحويلات'!$A$2:$A$3001,"&gt;="&amp;'إعدادات المخزون'!$B$5,'هالك وتحويلات'!$A$2:$A$3001,"&lt;="&amp;'إعدادات المخزون'!$B$4)</f>
        <v>0</v>
      </c>
      <c r="J33" s="110" t="n">
        <f aca="false">D33+E33+F33-G33-H33-I33</f>
        <v>0.539988</v>
      </c>
      <c r="K33" s="36" t="str">
        <f aca="false">IF(COUNTIFS('جرد فعلي'!$B$2:$B$12001,$B$2,'جرد فعلي'!$C$2:$C$12001,$A33,'جرد فعلي'!$A$2:$A$12001,'إعدادات المخزون'!$B$4)&gt;0,"نعم","لا")</f>
        <v>لا</v>
      </c>
      <c r="L33" s="111" t="str">
        <f aca="false">IF(K33="نعم",SUMIFS('جرد فعلي'!$D$2:$D$12001,'جرد فعلي'!$B$2:$B$12001,$B$2,'جرد فعلي'!$C$2:$C$12001,$A33,'جرد فعلي'!$A$2:$A$12001,'إعدادات المخزون'!$B$4),"")</f>
        <v/>
      </c>
      <c r="M33" s="110" t="str">
        <f aca="false">IF(K33="نعم",L33-J33,"")</f>
        <v/>
      </c>
      <c r="N33" s="112" t="str">
        <f aca="false">IF(K33="نعم",IF(J33=0,IF(M33=0,0,SIGN(M33)),M33/ABS(J33)),"")</f>
        <v/>
      </c>
      <c r="O33" s="109" t="str">
        <f aca="false">IF(K33="نعم",M33*C33,"")</f>
        <v/>
      </c>
      <c r="P33" s="36" t="str">
        <f aca="false">IF(K33&lt;&gt;"نعم","لم يُجرد",IF(ABS(N33)&lt;='إعدادات المخزون'!$B$7,"مطابق",IF(M33&lt;0,"عجز","زيادة")))</f>
        <v>لم يُجرد</v>
      </c>
      <c r="Q33" s="110" t="n">
        <f aca="false">J33-Z33</f>
        <v>0.582489</v>
      </c>
      <c r="R33" s="110" t="str">
        <f aca="false">IF(COUNTIFS('جرد فعلي'!$B$2:$B$12001,$B$2,'جرد فعلي'!$C$2:$C$12001,$A33,'جرد فعلي'!$A$2:$A$12001,'إعدادات المخزون'!$B$4-1)&gt;0,SUMIFS('جرد فعلي'!$D$2:$D$12001,'جرد فعلي'!$B$2:$B$12001,$B$2,'جرد فعلي'!$C$2:$C$12001,$A33,'جرد فعلي'!$A$2:$A$12001,'إعدادات المخزون'!$B$4-1),"")</f>
        <v/>
      </c>
      <c r="S33" s="110" t="str">
        <f aca="false">IF(AND(K33="نعم",R33&lt;&gt;""),(L33-J33)-(R33-Q33),"")</f>
        <v/>
      </c>
      <c r="T33" s="109" t="str">
        <f aca="false">IF(S33="","",S33*C33)</f>
        <v/>
      </c>
      <c r="U33" s="110" t="n">
        <f aca="false">IF(K33="نعم",L33,J33)</f>
        <v>0.539988</v>
      </c>
      <c r="V33" s="110" t="n">
        <f aca="false">SUMPRODUCT('مصفوفة الاستهلاك (عصافرة)'!$AB$2:$AB$190,'متجهات المبيعات'!$J$2:$J$190)/'مواد المخزون'!$D$28/MAX(1,MIN('إعدادات المخزون'!$B$11,'إعدادات المخزون'!$B$4-'إعدادات المخزون'!$B$5+1))</f>
        <v>0.042501</v>
      </c>
      <c r="W33" s="110" t="n">
        <f aca="false">IF(V33&lt;=0,0,ROUNDUP(MAX(0,V33*('إعدادات المخزون'!$B$8+'إعدادات المخزون'!$B$9+'إعدادات المخزون'!$B$10)-MAX(U33,0))/'مواد المخزون'!$F28,0)*'مواد المخزون'!$F28)</f>
        <v>0</v>
      </c>
      <c r="X33" s="109" t="n">
        <f aca="false">IF(AND(K33="نعم",O33&lt;0),-O33+ROW()*0.000000001,0)</f>
        <v>0</v>
      </c>
      <c r="Y33" s="109" t="n">
        <f aca="false">IF(AND(K33="نعم",O33&gt;0),O33+ROW()*0.000000001,0)</f>
        <v>0</v>
      </c>
      <c r="Z33" s="110" t="n">
        <f aca="false">SUMIFS('مشتريات يومية'!$D$2:$D$4001,'مشتريات يومية'!$B$2:$B$4001,$B$2,'مشتريات يومية'!$C$2:$C$4001,$A33,'مشتريات يومية'!$A$2:$A$4001,'إعدادات المخزون'!$B$4)+SUMIFS('هالك وتحويلات'!$E$2:$E$3001,'هالك وتحويلات'!$B$2:$B$3001,$B$2,'هالك وتحويلات'!$C$2:$C$3001,$A33,'هالك وتحويلات'!$D$2:$D$3001,"تحويل وارد",'هالك وتحويلات'!$A$2:$A$3001,'إعدادات المخزون'!$B$4)-SUMIFS('هالك وتحويلات'!$E$2:$E$3001,'هالك وتحويلات'!$B$2:$B$3001,$B$2,'هالك وتحويلات'!$C$2:$C$3001,$A33,'هالك وتحويلات'!$D$2:$D$3001,"تحويل صادر",'هالك وتحويلات'!$A$2:$A$3001,'إعدادات المخزون'!$B$4)-SUMIFS('هالك وتحويلات'!$E$2:$E$3001,'هالك وتحويلات'!$B$2:$B$3001,$B$2,'هالك وتحويلات'!$C$2:$C$3001,$A33,'هالك وتحويلات'!$D$2:$D$3001,"هالك",'هالك وتحويلات'!$A$2:$A$3001,'إعدادات المخزون'!$B$4)-SUMIFS('هالك وتحويلات'!$E$2:$E$3001,'هالك وتحويلات'!$B$2:$B$3001,$B$2,'هالك وتحويلات'!$C$2:$C$3001,$A33,'هالك وتحويلات'!$D$2:$D$3001,"ضيافة / أكل موظفين",'هالك وتحويلات'!$A$2:$A$3001,'إعدادات المخزون'!$B$4)-SUMPRODUCT('مصفوفة الاستهلاك (عصافرة)'!$AB$2:$AB$190,'متجهات المبيعات'!$H$2:$H$190)/'مواد المخزون'!$D$28</f>
        <v>-0.042501</v>
      </c>
      <c r="AA33" s="109" t="n">
        <f aca="false">IF(K33="نعم",O33,0)</f>
        <v>0</v>
      </c>
      <c r="AB33" s="109" t="n">
        <f aca="false">IF(K33="نعم",J33*C33,0)</f>
        <v>0</v>
      </c>
      <c r="AC33" s="109" t="n">
        <f aca="false">IF(T33="",0,T33)</f>
        <v>0</v>
      </c>
    </row>
    <row r="34" customFormat="false" ht="15" hidden="false" customHeight="false" outlineLevel="0" collapsed="false">
      <c r="A34" s="34" t="str">
        <f aca="false">'مواد المخزون'!A29</f>
        <v>بشاميل مصنع</v>
      </c>
      <c r="B34" s="36" t="str">
        <f aca="false">'مواد المخزون'!B29</f>
        <v>كجم</v>
      </c>
      <c r="C34" s="109" t="n">
        <f aca="false">'مواد المخزون'!E29</f>
        <v>41</v>
      </c>
      <c r="D34" s="110" t="n">
        <f aca="false">'جرد أول المدة'!E32</f>
        <v>13.6</v>
      </c>
      <c r="E34" s="110" t="n">
        <f aca="false">SUMIFS('مشتريات يومية'!$D$2:$D$4001,'مشتريات يومية'!$B$2:$B$4001,$B$2,'مشتريات يومية'!$C$2:$C$4001,$A34,'مشتريات يومية'!$A$2:$A$4001,"&gt;="&amp;'إعدادات المخزون'!$B$5,'مشتريات يومية'!$A$2:$A$4001,"&lt;="&amp;'إعدادات المخزون'!$B$4)</f>
        <v>20</v>
      </c>
      <c r="F34" s="110" t="n">
        <f aca="false">SUMIFS('هالك وتحويلات'!$E$2:$E$3001,'هالك وتحويلات'!$B$2:$B$3001,$B$2,'هالك وتحويلات'!$C$2:$C$3001,$A34,'هالك وتحويلات'!$D$2:$D$3001,"تحويل وارد",'هالك وتحويلات'!$A$2:$A$3001,"&gt;="&amp;'إعدادات المخزون'!$B$5,'هالك وتحويلات'!$A$2:$A$3001,"&lt;="&amp;'إعدادات المخزون'!$B$4)</f>
        <v>0</v>
      </c>
      <c r="G34" s="110" t="n">
        <f aca="false">SUMIFS('هالك وتحويلات'!$E$2:$E$3001,'هالك وتحويلات'!$B$2:$B$3001,$B$2,'هالك وتحويلات'!$C$2:$C$3001,$A34,'هالك وتحويلات'!$D$2:$D$3001,"تحويل صادر",'هالك وتحويلات'!$A$2:$A$3001,"&gt;="&amp;'إعدادات المخزون'!$B$5,'هالك وتحويلات'!$A$2:$A$3001,"&lt;="&amp;'إعدادات المخزون'!$B$4)</f>
        <v>0</v>
      </c>
      <c r="H34" s="110" t="n">
        <f aca="false">SUMPRODUCT('مصفوفة الاستهلاك (عصافرة)'!$AC$2:$AC$190,'متجهات المبيعات'!$I$2:$I$190)/'مواد المخزون'!$D$29</f>
        <v>14.50044</v>
      </c>
      <c r="I34" s="110" t="n">
        <f aca="false">SUMIFS('هالك وتحويلات'!$E$2:$E$3001,'هالك وتحويلات'!$B$2:$B$3001,$B$2,'هالك وتحويلات'!$C$2:$C$3001,$A34,'هالك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وتحويلات'!$C$2:$C$3001,$A34,'هالك وتحويلات'!$D$2:$D$3001,"ضيافة / أكل موظفين",'هالك وتحويلات'!$A$2:$A$3001,"&gt;="&amp;'إعدادات المخزون'!$B$5,'هالك وتحويلات'!$A$2:$A$3001,"&lt;="&amp;'إعدادات المخزون'!$B$4)</f>
        <v>0</v>
      </c>
      <c r="J34" s="110" t="n">
        <f aca="false">D34+E34+F34-G34-H34-I34</f>
        <v>19.09956</v>
      </c>
      <c r="K34" s="36" t="str">
        <f aca="false">IF(COUNTIFS('جرد فعلي'!$B$2:$B$12001,$B$2,'جرد فعلي'!$C$2:$C$12001,$A34,'جرد فعلي'!$A$2:$A$12001,'إعدادات المخزون'!$B$4)&gt;0,"نعم","لا")</f>
        <v>لا</v>
      </c>
      <c r="L34" s="111" t="str">
        <f aca="false">IF(K34="نعم",SUMIFS('جرد فعلي'!$D$2:$D$12001,'جرد فعلي'!$B$2:$B$12001,$B$2,'جرد فعلي'!$C$2:$C$12001,$A34,'جرد فعلي'!$A$2:$A$12001,'إعدادات المخزون'!$B$4),"")</f>
        <v/>
      </c>
      <c r="M34" s="110" t="str">
        <f aca="false">IF(K34="نعم",L34-J34,"")</f>
        <v/>
      </c>
      <c r="N34" s="112" t="str">
        <f aca="false">IF(K34="نعم",IF(J34=0,IF(M34=0,0,SIGN(M34)),M34/ABS(J34)),"")</f>
        <v/>
      </c>
      <c r="O34" s="109" t="str">
        <f aca="false">IF(K34="نعم",M34*C34,"")</f>
        <v/>
      </c>
      <c r="P34" s="36" t="str">
        <f aca="false">IF(K34&lt;&gt;"نعم","لم يُجرد",IF(ABS(N34)&lt;='إعدادات المخزون'!$B$7,"مطابق",IF(M34&lt;0,"عجز","زيادة")))</f>
        <v>لم يُجرد</v>
      </c>
      <c r="Q34" s="110" t="n">
        <f aca="false">J34-Z34</f>
        <v>20.30793</v>
      </c>
      <c r="R34" s="110" t="str">
        <f aca="false">IF(COUNTIFS('جرد فعلي'!$B$2:$B$12001,$B$2,'جرد فعلي'!$C$2:$C$12001,$A34,'جرد فعلي'!$A$2:$A$12001,'إعدادات المخزون'!$B$4-1)&gt;0,SUMIFS('جرد فعلي'!$D$2:$D$12001,'جرد فعلي'!$B$2:$B$12001,$B$2,'جرد فعلي'!$C$2:$C$12001,$A34,'جرد فعلي'!$A$2:$A$12001,'إعدادات المخزون'!$B$4-1),"")</f>
        <v/>
      </c>
      <c r="S34" s="110" t="str">
        <f aca="false">IF(AND(K34="نعم",R34&lt;&gt;""),(L34-J34)-(R34-Q34),"")</f>
        <v/>
      </c>
      <c r="T34" s="109" t="str">
        <f aca="false">IF(S34="","",S34*C34)</f>
        <v/>
      </c>
      <c r="U34" s="110" t="n">
        <f aca="false">IF(K34="نعم",L34,J34)</f>
        <v>19.09956</v>
      </c>
      <c r="V34" s="110" t="n">
        <f aca="false">SUMPRODUCT('مصفوفة الاستهلاك (عصافرة)'!$AC$2:$AC$190,'متجهات المبيعات'!$J$2:$J$190)/'مواد المخزون'!$D$29/MAX(1,MIN('إعدادات المخزون'!$B$11,'إعدادات المخزون'!$B$4-'إعدادات المخزون'!$B$5+1))</f>
        <v>1.20837</v>
      </c>
      <c r="W34" s="110" t="n">
        <f aca="false">IF(V34&lt;=0,0,ROUNDUP(MAX(0,V34*('إعدادات المخزون'!$B$8+'إعدادات المخزون'!$B$9+'إعدادات المخزون'!$B$10)-MAX(U34,0))/'مواد المخزون'!$F29,0)*'مواد المخزون'!$F29)</f>
        <v>0</v>
      </c>
      <c r="X34" s="109" t="n">
        <f aca="false">IF(AND(K34="نعم",O34&lt;0),-O34+ROW()*0.000000001,0)</f>
        <v>0</v>
      </c>
      <c r="Y34" s="109" t="n">
        <f aca="false">IF(AND(K34="نعم",O34&gt;0),O34+ROW()*0.000000001,0)</f>
        <v>0</v>
      </c>
      <c r="Z34" s="110" t="n">
        <f aca="false">SUMIFS('مشتريات يومية'!$D$2:$D$4001,'مشتريات يومية'!$B$2:$B$4001,$B$2,'مشتريات يومية'!$C$2:$C$4001,$A34,'مشتريات يومية'!$A$2:$A$4001,'إعدادات المخزون'!$B$4)+SUMIFS('هالك وتحويلات'!$E$2:$E$3001,'هالك وتحويلات'!$B$2:$B$3001,$B$2,'هالك وتحويلات'!$C$2:$C$3001,$A34,'هالك وتحويلات'!$D$2:$D$3001,"تحويل وارد",'هالك وتحويلات'!$A$2:$A$3001,'إعدادات المخزون'!$B$4)-SUMIFS('هالك وتحويلات'!$E$2:$E$3001,'هالك وتحويلات'!$B$2:$B$3001,$B$2,'هالك وتحويلات'!$C$2:$C$3001,$A34,'هالك وتحويلات'!$D$2:$D$3001,"تحويل صادر",'هالك وتحويلات'!$A$2:$A$3001,'إعدادات المخزون'!$B$4)-SUMIFS('هالك وتحويلات'!$E$2:$E$3001,'هالك وتحويلات'!$B$2:$B$3001,$B$2,'هالك وتحويلات'!$C$2:$C$3001,$A34,'هالك وتحويلات'!$D$2:$D$3001,"هالك",'هالك وتحويلات'!$A$2:$A$3001,'إعدادات المخزون'!$B$4)-SUMIFS('هالك وتحويلات'!$E$2:$E$3001,'هالك وتحويلات'!$B$2:$B$3001,$B$2,'هالك وتحويلات'!$C$2:$C$3001,$A34,'هالك وتحويلات'!$D$2:$D$3001,"ضيافة / أكل موظفين",'هالك وتحويلات'!$A$2:$A$3001,'إعدادات المخزون'!$B$4)-SUMPRODUCT('مصفوفة الاستهلاك (عصافرة)'!$AC$2:$AC$190,'متجهات المبيعات'!$H$2:$H$190)/'مواد المخزون'!$D$29</f>
        <v>-1.20837</v>
      </c>
      <c r="AA34" s="109" t="n">
        <f aca="false">IF(K34="نعم",O34,0)</f>
        <v>0</v>
      </c>
      <c r="AB34" s="109" t="n">
        <f aca="false">IF(K34="نعم",J34*C34,0)</f>
        <v>0</v>
      </c>
      <c r="AC34" s="109" t="n">
        <f aca="false">IF(T34="",0,T34)</f>
        <v>0</v>
      </c>
    </row>
    <row r="35" customFormat="false" ht="15" hidden="false" customHeight="false" outlineLevel="0" collapsed="false">
      <c r="A35" s="34" t="str">
        <f aca="false">'مواد المخزون'!A30</f>
        <v>بشاميل مصنع صيامي</v>
      </c>
      <c r="B35" s="36" t="str">
        <f aca="false">'مواد المخزون'!B30</f>
        <v>كجم</v>
      </c>
      <c r="C35" s="109" t="n">
        <f aca="false">'مواد المخزون'!E30</f>
        <v>25</v>
      </c>
      <c r="D35" s="110" t="n">
        <f aca="false">'جرد أول المدة'!E33</f>
        <v>0</v>
      </c>
      <c r="E35" s="110" t="n">
        <f aca="false">SUMIFS('مشتريات يومية'!$D$2:$D$4001,'مشتريات يومية'!$B$2:$B$4001,$B$2,'مشتريات يومية'!$C$2:$C$4001,$A35,'مشتريات يومية'!$A$2:$A$4001,"&gt;="&amp;'إعدادات المخزون'!$B$5,'مشتريات يومية'!$A$2:$A$4001,"&lt;="&amp;'إعدادات المخزون'!$B$4)</f>
        <v>0</v>
      </c>
      <c r="F35" s="110" t="n">
        <f aca="false">SUMIFS('هالك وتحويلات'!$E$2:$E$3001,'هالك وتحويلات'!$B$2:$B$3001,$B$2,'هالك وتحويلات'!$C$2:$C$3001,$A35,'هالك وتحويلات'!$D$2:$D$3001,"تحويل وارد",'هالك وتحويلات'!$A$2:$A$3001,"&gt;="&amp;'إعدادات المخزون'!$B$5,'هالك وتحويلات'!$A$2:$A$3001,"&lt;="&amp;'إعدادات المخزون'!$B$4)</f>
        <v>0</v>
      </c>
      <c r="G35" s="110" t="n">
        <f aca="false">SUMIFS('هالك وتحويلات'!$E$2:$E$3001,'هالك وتحويلات'!$B$2:$B$3001,$B$2,'هالك وتحويلات'!$C$2:$C$3001,$A35,'هالك وتحويلات'!$D$2:$D$3001,"تحويل صادر",'هالك وتحويلات'!$A$2:$A$3001,"&gt;="&amp;'إعدادات المخزون'!$B$5,'هالك وتحويلات'!$A$2:$A$3001,"&lt;="&amp;'إعدادات المخزون'!$B$4)</f>
        <v>0</v>
      </c>
      <c r="H35" s="110" t="n">
        <f aca="false">SUMPRODUCT('مصفوفة الاستهلاك (عصافرة)'!$AD$2:$AD$190,'متجهات المبيعات'!$I$2:$I$190)/'مواد المخزون'!$D$30</f>
        <v>0.79992</v>
      </c>
      <c r="I35" s="110" t="n">
        <f aca="false">SUMIFS('هالك وتحويلات'!$E$2:$E$3001,'هالك وتحويلات'!$B$2:$B$3001,$B$2,'هالك وتحويلات'!$C$2:$C$3001,$A35,'هالك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وتحويلات'!$C$2:$C$3001,$A35,'هالك وتحويلات'!$D$2:$D$3001,"ضيافة / أكل موظفين",'هالك وتحويلات'!$A$2:$A$3001,"&gt;="&amp;'إعدادات المخزون'!$B$5,'هالك وتحويلات'!$A$2:$A$3001,"&lt;="&amp;'إعدادات المخزون'!$B$4)</f>
        <v>0</v>
      </c>
      <c r="J35" s="110" t="n">
        <f aca="false">D35+E35+F35-G35-H35-I35</f>
        <v>-0.79992</v>
      </c>
      <c r="K35" s="36" t="str">
        <f aca="false">IF(COUNTIFS('جرد فعلي'!$B$2:$B$12001,$B$2,'جرد فعلي'!$C$2:$C$12001,$A35,'جرد فعلي'!$A$2:$A$12001,'إعدادات المخزون'!$B$4)&gt;0,"نعم","لا")</f>
        <v>لا</v>
      </c>
      <c r="L35" s="111" t="str">
        <f aca="false">IF(K35="نعم",SUMIFS('جرد فعلي'!$D$2:$D$12001,'جرد فعلي'!$B$2:$B$12001,$B$2,'جرد فعلي'!$C$2:$C$12001,$A35,'جرد فعلي'!$A$2:$A$12001,'إعدادات المخزون'!$B$4),"")</f>
        <v/>
      </c>
      <c r="M35" s="110" t="str">
        <f aca="false">IF(K35="نعم",L35-J35,"")</f>
        <v/>
      </c>
      <c r="N35" s="112" t="str">
        <f aca="false">IF(K35="نعم",IF(J35=0,IF(M35=0,0,SIGN(M35)),M35/ABS(J35)),"")</f>
        <v/>
      </c>
      <c r="O35" s="109" t="str">
        <f aca="false">IF(K35="نعم",M35*C35,"")</f>
        <v/>
      </c>
      <c r="P35" s="36" t="str">
        <f aca="false">IF(K35&lt;&gt;"نعم","لم يُجرد",IF(ABS(N35)&lt;='إعدادات المخزون'!$B$7,"مطابق",IF(M35&lt;0,"عجز","زيادة")))</f>
        <v>لم يُجرد</v>
      </c>
      <c r="Q35" s="110" t="n">
        <f aca="false">J35-Z35</f>
        <v>-0.73326</v>
      </c>
      <c r="R35" s="110" t="str">
        <f aca="false">IF(COUNTIFS('جرد فعلي'!$B$2:$B$12001,$B$2,'جرد فعلي'!$C$2:$C$12001,$A35,'جرد فعلي'!$A$2:$A$12001,'إعدادات المخزون'!$B$4-1)&gt;0,SUMIFS('جرد فعلي'!$D$2:$D$12001,'جرد فعلي'!$B$2:$B$12001,$B$2,'جرد فعلي'!$C$2:$C$12001,$A35,'جرد فعلي'!$A$2:$A$12001,'إعدادات المخزون'!$B$4-1),"")</f>
        <v/>
      </c>
      <c r="S35" s="110" t="str">
        <f aca="false">IF(AND(K35="نعم",R35&lt;&gt;""),(L35-J35)-(R35-Q35),"")</f>
        <v/>
      </c>
      <c r="T35" s="109" t="str">
        <f aca="false">IF(S35="","",S35*C35)</f>
        <v/>
      </c>
      <c r="U35" s="110" t="n">
        <f aca="false">IF(K35="نعم",L35,J35)</f>
        <v>-0.79992</v>
      </c>
      <c r="V35" s="110" t="n">
        <f aca="false">SUMPRODUCT('مصفوفة الاستهلاك (عصافرة)'!$AD$2:$AD$190,'متجهات المبيعات'!$J$2:$J$190)/'مواد المخزون'!$D$30/MAX(1,MIN('إعدادات المخزون'!$B$11,'إعدادات المخزون'!$B$4-'إعدادات المخزون'!$B$5+1))</f>
        <v>0.06666</v>
      </c>
      <c r="W35" s="110" t="n">
        <f aca="false">IF(V35&lt;=0,0,ROUNDUP(MAX(0,V35*('إعدادات المخزون'!$B$8+'إعدادات المخزون'!$B$9+'إعدادات المخزون'!$B$10)-MAX(U35,0))/'مواد المخزون'!$F30,0)*'مواد المخزون'!$F30)</f>
        <v>1</v>
      </c>
      <c r="X35" s="109" t="n">
        <f aca="false">IF(AND(K35="نعم",O35&lt;0),-O35+ROW()*0.000000001,0)</f>
        <v>0</v>
      </c>
      <c r="Y35" s="109" t="n">
        <f aca="false">IF(AND(K35="نعم",O35&gt;0),O35+ROW()*0.000000001,0)</f>
        <v>0</v>
      </c>
      <c r="Z35" s="110" t="n">
        <f aca="false">SUMIFS('مشتريات يومية'!$D$2:$D$4001,'مشتريات يومية'!$B$2:$B$4001,$B$2,'مشتريات يومية'!$C$2:$C$4001,$A35,'مشتريات يومية'!$A$2:$A$4001,'إعدادات المخزون'!$B$4)+SUMIFS('هالك وتحويلات'!$E$2:$E$3001,'هالك وتحويلات'!$B$2:$B$3001,$B$2,'هالك وتحويلات'!$C$2:$C$3001,$A35,'هالك وتحويلات'!$D$2:$D$3001,"تحويل وارد",'هالك وتحويلات'!$A$2:$A$3001,'إعدادات المخزون'!$B$4)-SUMIFS('هالك وتحويلات'!$E$2:$E$3001,'هالك وتحويلات'!$B$2:$B$3001,$B$2,'هالك وتحويلات'!$C$2:$C$3001,$A35,'هالك وتحويلات'!$D$2:$D$3001,"تحويل صادر",'هالك وتحويلات'!$A$2:$A$3001,'إعدادات المخزون'!$B$4)-SUMIFS('هالك وتحويلات'!$E$2:$E$3001,'هالك وتحويلات'!$B$2:$B$3001,$B$2,'هالك وتحويلات'!$C$2:$C$3001,$A35,'هالك وتحويلات'!$D$2:$D$3001,"هالك",'هالك وتحويلات'!$A$2:$A$3001,'إعدادات المخزون'!$B$4)-SUMIFS('هالك وتحويلات'!$E$2:$E$3001,'هالك وتحويلات'!$B$2:$B$3001,$B$2,'هالك وتحويلات'!$C$2:$C$3001,$A35,'هالك وتحويلات'!$D$2:$D$3001,"ضيافة / أكل موظفين",'هالك وتحويلات'!$A$2:$A$3001,'إعدادات المخزون'!$B$4)-SUMPRODUCT('مصفوفة الاستهلاك (عصافرة)'!$AD$2:$AD$190,'متجهات المبيعات'!$H$2:$H$190)/'مواد المخزون'!$D$30</f>
        <v>-0.06666</v>
      </c>
      <c r="AA35" s="109" t="n">
        <f aca="false">IF(K35="نعم",O35,0)</f>
        <v>0</v>
      </c>
      <c r="AB35" s="109" t="n">
        <f aca="false">IF(K35="نعم",J35*C35,0)</f>
        <v>0</v>
      </c>
      <c r="AC35" s="109" t="n">
        <f aca="false">IF(T35="",0,T35)</f>
        <v>0</v>
      </c>
    </row>
    <row r="36" customFormat="false" ht="15" hidden="false" customHeight="false" outlineLevel="0" collapsed="false">
      <c r="A36" s="34" t="str">
        <f aca="false">'مواد المخزون'!A31</f>
        <v>بصل</v>
      </c>
      <c r="B36" s="36" t="str">
        <f aca="false">'مواد المخزون'!B31</f>
        <v>كجم</v>
      </c>
      <c r="C36" s="109" t="n">
        <f aca="false">'مواد المخزون'!E31</f>
        <v>18</v>
      </c>
      <c r="D36" s="110" t="n">
        <f aca="false">'جرد أول المدة'!E34</f>
        <v>0</v>
      </c>
      <c r="E36" s="110" t="n">
        <f aca="false">SUMIFS('مشتريات يومية'!$D$2:$D$4001,'مشتريات يومية'!$B$2:$B$4001,$B$2,'مشتريات يومية'!$C$2:$C$4001,$A36,'مشتريات يومية'!$A$2:$A$4001,"&gt;="&amp;'إعدادات المخزون'!$B$5,'مشتريات يومية'!$A$2:$A$4001,"&lt;="&amp;'إعدادات المخزون'!$B$4)</f>
        <v>0</v>
      </c>
      <c r="F36" s="110" t="n">
        <f aca="false">SUMIFS('هالك وتحويلات'!$E$2:$E$3001,'هالك وتحويلات'!$B$2:$B$3001,$B$2,'هالك وتحويلات'!$C$2:$C$3001,$A36,'هالك وتحويلات'!$D$2:$D$3001,"تحويل وارد",'هالك وتحويلات'!$A$2:$A$3001,"&gt;="&amp;'إعدادات المخزون'!$B$5,'هالك وتحويلات'!$A$2:$A$3001,"&lt;="&amp;'إعدادات المخزون'!$B$4)</f>
        <v>0</v>
      </c>
      <c r="G36" s="110" t="n">
        <f aca="false">SUMIFS('هالك وتحويلات'!$E$2:$E$3001,'هالك وتحويلات'!$B$2:$B$3001,$B$2,'هالك وتحويلات'!$C$2:$C$3001,$A36,'هالك وتحويلات'!$D$2:$D$3001,"تحويل صادر",'هالك وتحويلات'!$A$2:$A$3001,"&gt;="&amp;'إعدادات المخزون'!$B$5,'هالك وتحويلات'!$A$2:$A$3001,"&lt;="&amp;'إعدادات المخزون'!$B$4)</f>
        <v>0</v>
      </c>
      <c r="H36" s="110" t="n">
        <f aca="false">SUMPRODUCT('مصفوفة الاستهلاك (عصافرة)'!$AE$2:$AE$190,'متجهات المبيعات'!$I$2:$I$190)/'مواد المخزون'!$D$31</f>
        <v>2.839992</v>
      </c>
      <c r="I36" s="110" t="n">
        <f aca="false">SUMIFS('هالك وتحويلات'!$E$2:$E$3001,'هالك وتحويلات'!$B$2:$B$3001,$B$2,'هالك وتحويلات'!$C$2:$C$3001,$A36,'هالك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وتحويلات'!$C$2:$C$3001,$A36,'هالك وتحويلات'!$D$2:$D$3001,"ضيافة / أكل موظفين",'هالك وتحويلات'!$A$2:$A$3001,"&gt;="&amp;'إعدادات المخزون'!$B$5,'هالك وتحويلات'!$A$2:$A$3001,"&lt;="&amp;'إعدادات المخزون'!$B$4)</f>
        <v>0</v>
      </c>
      <c r="J36" s="110" t="n">
        <f aca="false">D36+E36+F36-G36-H36-I36</f>
        <v>-2.839992</v>
      </c>
      <c r="K36" s="36" t="str">
        <f aca="false">IF(COUNTIFS('جرد فعلي'!$B$2:$B$12001,$B$2,'جرد فعلي'!$C$2:$C$12001,$A36,'جرد فعلي'!$A$2:$A$12001,'إعدادات المخزون'!$B$4)&gt;0,"نعم","لا")</f>
        <v>لا</v>
      </c>
      <c r="L36" s="111" t="str">
        <f aca="false">IF(K36="نعم",SUMIFS('جرد فعلي'!$D$2:$D$12001,'جرد فعلي'!$B$2:$B$12001,$B$2,'جرد فعلي'!$C$2:$C$12001,$A36,'جرد فعلي'!$A$2:$A$12001,'إعدادات المخزون'!$B$4),"")</f>
        <v/>
      </c>
      <c r="M36" s="110" t="str">
        <f aca="false">IF(K36="نعم",L36-J36,"")</f>
        <v/>
      </c>
      <c r="N36" s="112" t="str">
        <f aca="false">IF(K36="نعم",IF(J36=0,IF(M36=0,0,SIGN(M36)),M36/ABS(J36)),"")</f>
        <v/>
      </c>
      <c r="O36" s="109" t="str">
        <f aca="false">IF(K36="نعم",M36*C36,"")</f>
        <v/>
      </c>
      <c r="P36" s="36" t="str">
        <f aca="false">IF(K36&lt;&gt;"نعم","لم يُجرد",IF(ABS(N36)&lt;='إعدادات المخزون'!$B$7,"مطابق",IF(M36&lt;0,"عجز","زيادة")))</f>
        <v>لم يُجرد</v>
      </c>
      <c r="Q36" s="110" t="n">
        <f aca="false">J36-Z36</f>
        <v>-2.603326</v>
      </c>
      <c r="R36" s="110" t="str">
        <f aca="false">IF(COUNTIFS('جرد فعلي'!$B$2:$B$12001,$B$2,'جرد فعلي'!$C$2:$C$12001,$A36,'جرد فعلي'!$A$2:$A$12001,'إعدادات المخزون'!$B$4-1)&gt;0,SUMIFS('جرد فعلي'!$D$2:$D$12001,'جرد فعلي'!$B$2:$B$12001,$B$2,'جرد فعلي'!$C$2:$C$12001,$A36,'جرد فعلي'!$A$2:$A$12001,'إعدادات المخزون'!$B$4-1),"")</f>
        <v/>
      </c>
      <c r="S36" s="110" t="str">
        <f aca="false">IF(AND(K36="نعم",R36&lt;&gt;""),(L36-J36)-(R36-Q36),"")</f>
        <v/>
      </c>
      <c r="T36" s="109" t="str">
        <f aca="false">IF(S36="","",S36*C36)</f>
        <v/>
      </c>
      <c r="U36" s="110" t="n">
        <f aca="false">IF(K36="نعم",L36,J36)</f>
        <v>-2.839992</v>
      </c>
      <c r="V36" s="110" t="n">
        <f aca="false">SUMPRODUCT('مصفوفة الاستهلاك (عصافرة)'!$AE$2:$AE$190,'متجهات المبيعات'!$J$2:$J$190)/'مواد المخزون'!$D$31/MAX(1,MIN('إعدادات المخزون'!$B$11,'إعدادات المخزون'!$B$4-'إعدادات المخزون'!$B$5+1))</f>
        <v>0.236666</v>
      </c>
      <c r="W36" s="110" t="n">
        <f aca="false">IF(V36&lt;=0,0,ROUNDUP(MAX(0,V36*('إعدادات المخزون'!$B$8+'إعدادات المخزون'!$B$9+'إعدادات المخزون'!$B$10)-MAX(U36,0))/'مواد المخزون'!$F31,0)*'مواد المخزون'!$F31)</f>
        <v>1</v>
      </c>
      <c r="X36" s="109" t="n">
        <f aca="false">IF(AND(K36="نعم",O36&lt;0),-O36+ROW()*0.000000001,0)</f>
        <v>0</v>
      </c>
      <c r="Y36" s="109" t="n">
        <f aca="false">IF(AND(K36="نعم",O36&gt;0),O36+ROW()*0.000000001,0)</f>
        <v>0</v>
      </c>
      <c r="Z36" s="110" t="n">
        <f aca="false">SUMIFS('مشتريات يومية'!$D$2:$D$4001,'مشتريات يومية'!$B$2:$B$4001,$B$2,'مشتريات يومية'!$C$2:$C$4001,$A36,'مشتريات يومية'!$A$2:$A$4001,'إعدادات المخزون'!$B$4)+SUMIFS('هالك وتحويلات'!$E$2:$E$3001,'هالك وتحويلات'!$B$2:$B$3001,$B$2,'هالك وتحويلات'!$C$2:$C$3001,$A36,'هالك وتحويلات'!$D$2:$D$3001,"تحويل وارد",'هالك وتحويلات'!$A$2:$A$3001,'إعدادات المخزون'!$B$4)-SUMIFS('هالك وتحويلات'!$E$2:$E$3001,'هالك وتحويلات'!$B$2:$B$3001,$B$2,'هالك وتحويلات'!$C$2:$C$3001,$A36,'هالك وتحويلات'!$D$2:$D$3001,"تحويل صادر",'هالك وتحويلات'!$A$2:$A$3001,'إعدادات المخزون'!$B$4)-SUMIFS('هالك وتحويلات'!$E$2:$E$3001,'هالك وتحويلات'!$B$2:$B$3001,$B$2,'هالك وتحويلات'!$C$2:$C$3001,$A36,'هالك وتحويلات'!$D$2:$D$3001,"هالك",'هالك وتحويلات'!$A$2:$A$3001,'إعدادات المخزون'!$B$4)-SUMIFS('هالك وتحويلات'!$E$2:$E$3001,'هالك وتحويلات'!$B$2:$B$3001,$B$2,'هالك وتحويلات'!$C$2:$C$3001,$A36,'هالك وتحويلات'!$D$2:$D$3001,"ضيافة / أكل موظفين",'هالك وتحويلات'!$A$2:$A$3001,'إعدادات المخزون'!$B$4)-SUMPRODUCT('مصفوفة الاستهلاك (عصافرة)'!$AE$2:$AE$190,'متجهات المبيعات'!$H$2:$H$190)/'مواد المخزون'!$D$31</f>
        <v>-0.236666</v>
      </c>
      <c r="AA36" s="109" t="n">
        <f aca="false">IF(K36="نعم",O36,0)</f>
        <v>0</v>
      </c>
      <c r="AB36" s="109" t="n">
        <f aca="false">IF(K36="نعم",J36*C36,0)</f>
        <v>0</v>
      </c>
      <c r="AC36" s="109" t="n">
        <f aca="false">IF(T36="",0,T36)</f>
        <v>0</v>
      </c>
    </row>
    <row r="37" customFormat="false" ht="15" hidden="false" customHeight="false" outlineLevel="0" collapsed="false">
      <c r="A37" s="34" t="str">
        <f aca="false">'مواد المخزون'!A32</f>
        <v>بكر استريتش</v>
      </c>
      <c r="B37" s="36" t="str">
        <f aca="false">'مواد المخزون'!B32</f>
        <v>رول</v>
      </c>
      <c r="C37" s="109" t="n">
        <f aca="false">'مواد المخزون'!E32</f>
        <v>730</v>
      </c>
      <c r="D37" s="110" t="n">
        <f aca="false">'جرد أول المدة'!E35</f>
        <v>5</v>
      </c>
      <c r="E37" s="110" t="n">
        <f aca="false">SUMIFS('مشتريات يومية'!$D$2:$D$4001,'مشتريات يومية'!$B$2:$B$4001,$B$2,'مشتريات يومية'!$C$2:$C$4001,$A37,'مشتريات يومية'!$A$2:$A$4001,"&gt;="&amp;'إعدادات المخزون'!$B$5,'مشتريات يومية'!$A$2:$A$4001,"&lt;="&amp;'إعدادات المخزون'!$B$4)</f>
        <v>0</v>
      </c>
      <c r="F37" s="110" t="n">
        <f aca="false">SUMIFS('هالك وتحويلات'!$E$2:$E$3001,'هالك وتحويلات'!$B$2:$B$3001,$B$2,'هالك وتحويلات'!$C$2:$C$3001,$A37,'هالك وتحويلات'!$D$2:$D$3001,"تحويل وارد",'هالك وتحويلات'!$A$2:$A$3001,"&gt;="&amp;'إعدادات المخزون'!$B$5,'هالك وتحويلات'!$A$2:$A$3001,"&lt;="&amp;'إعدادات المخزون'!$B$4)</f>
        <v>0</v>
      </c>
      <c r="G37" s="110" t="n">
        <f aca="false">SUMIFS('هالك وتحويلات'!$E$2:$E$3001,'هالك وتحويلات'!$B$2:$B$3001,$B$2,'هالك وتحويلات'!$C$2:$C$3001,$A37,'هالك وتحويلات'!$D$2:$D$3001,"تحويل صادر",'هالك وتحويلات'!$A$2:$A$3001,"&gt;="&amp;'إعدادات المخزون'!$B$5,'هالك وتحويلات'!$A$2:$A$3001,"&lt;="&amp;'إعدادات المخزون'!$B$4)</f>
        <v>0</v>
      </c>
      <c r="H37" s="110" t="n">
        <f aca="false">SUMPRODUCT('مصفوفة الاستهلاك (عصافرة)'!$AF$2:$AF$190,'متجهات المبيعات'!$I$2:$I$190)/'مواد المخزون'!$D$32</f>
        <v>3.607494</v>
      </c>
      <c r="I37" s="110" t="n">
        <f aca="false">SUMIFS('هالك وتحويلات'!$E$2:$E$3001,'هالك وتحويلات'!$B$2:$B$3001,$B$2,'هالك وتحويلات'!$C$2:$C$3001,$A37,'هالك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وتحويلات'!$C$2:$C$3001,$A37,'هالك وتحويلات'!$D$2:$D$3001,"ضيافة / أكل موظفين",'هالك وتحويلات'!$A$2:$A$3001,"&gt;="&amp;'إعدادات المخزون'!$B$5,'هالك وتحويلات'!$A$2:$A$3001,"&lt;="&amp;'إعدادات المخزون'!$B$4)</f>
        <v>0</v>
      </c>
      <c r="J37" s="110" t="n">
        <f aca="false">D37+E37+F37-G37-H37-I37</f>
        <v>1.392506</v>
      </c>
      <c r="K37" s="36" t="str">
        <f aca="false">IF(COUNTIFS('جرد فعلي'!$B$2:$B$12001,$B$2,'جرد فعلي'!$C$2:$C$12001,$A37,'جرد فعلي'!$A$2:$A$12001,'إعدادات المخزون'!$B$4)&gt;0,"نعم","لا")</f>
        <v>لا</v>
      </c>
      <c r="L37" s="111" t="str">
        <f aca="false">IF(K37="نعم",SUMIFS('جرد فعلي'!$D$2:$D$12001,'جرد فعلي'!$B$2:$B$12001,$B$2,'جرد فعلي'!$C$2:$C$12001,$A37,'جرد فعلي'!$A$2:$A$12001,'إعدادات المخزون'!$B$4),"")</f>
        <v/>
      </c>
      <c r="M37" s="110" t="str">
        <f aca="false">IF(K37="نعم",L37-J37,"")</f>
        <v/>
      </c>
      <c r="N37" s="112" t="str">
        <f aca="false">IF(K37="نعم",IF(J37=0,IF(M37=0,0,SIGN(M37)),M37/ABS(J37)),"")</f>
        <v/>
      </c>
      <c r="O37" s="109" t="str">
        <f aca="false">IF(K37="نعم",M37*C37,"")</f>
        <v/>
      </c>
      <c r="P37" s="36" t="str">
        <f aca="false">IF(K37&lt;&gt;"نعم","لم يُجرد",IF(ABS(N37)&lt;='إعدادات المخزون'!$B$7,"مطابق",IF(M37&lt;0,"عجز","زيادة")))</f>
        <v>لم يُجرد</v>
      </c>
      <c r="Q37" s="110" t="n">
        <f aca="false">J37-Z37</f>
        <v>1.6931305</v>
      </c>
      <c r="R37" s="110" t="str">
        <f aca="false">IF(COUNTIFS('جرد فعلي'!$B$2:$B$12001,$B$2,'جرد فعلي'!$C$2:$C$12001,$A37,'جرد فعلي'!$A$2:$A$12001,'إعدادات المخزون'!$B$4-1)&gt;0,SUMIFS('جرد فعلي'!$D$2:$D$12001,'جرد فعلي'!$B$2:$B$12001,$B$2,'جرد فعلي'!$C$2:$C$12001,$A37,'جرد فعلي'!$A$2:$A$12001,'إعدادات المخزون'!$B$4-1),"")</f>
        <v/>
      </c>
      <c r="S37" s="110" t="str">
        <f aca="false">IF(AND(K37="نعم",R37&lt;&gt;""),(L37-J37)-(R37-Q37),"")</f>
        <v/>
      </c>
      <c r="T37" s="109" t="str">
        <f aca="false">IF(S37="","",S37*C37)</f>
        <v/>
      </c>
      <c r="U37" s="110" t="n">
        <f aca="false">IF(K37="نعم",L37,J37)</f>
        <v>1.392506</v>
      </c>
      <c r="V37" s="110" t="n">
        <f aca="false">SUMPRODUCT('مصفوفة الاستهلاك (عصافرة)'!$AF$2:$AF$190,'متجهات المبيعات'!$J$2:$J$190)/'مواد المخزون'!$D$32/MAX(1,MIN('إعدادات المخزون'!$B$11,'إعدادات المخزون'!$B$4-'إعدادات المخزون'!$B$5+1))</f>
        <v>0.3006245</v>
      </c>
      <c r="W37" s="110" t="n">
        <f aca="false">IF(V37&lt;=0,0,ROUNDUP(MAX(0,V37*('إعدادات المخزون'!$B$8+'إعدادات المخزون'!$B$9+'إعدادات المخزون'!$B$10)-MAX(U37,0))/'مواد المخزون'!$F32,0)*'مواد المخزون'!$F32)</f>
        <v>0</v>
      </c>
      <c r="X37" s="109" t="n">
        <f aca="false">IF(AND(K37="نعم",O37&lt;0),-O37+ROW()*0.000000001,0)</f>
        <v>0</v>
      </c>
      <c r="Y37" s="109" t="n">
        <f aca="false">IF(AND(K37="نعم",O37&gt;0),O37+ROW()*0.000000001,0)</f>
        <v>0</v>
      </c>
      <c r="Z37" s="110" t="n">
        <f aca="false">SUMIFS('مشتريات يومية'!$D$2:$D$4001,'مشتريات يومية'!$B$2:$B$4001,$B$2,'مشتريات يومية'!$C$2:$C$4001,$A37,'مشتريات يومية'!$A$2:$A$4001,'إعدادات المخزون'!$B$4)+SUMIFS('هالك وتحويلات'!$E$2:$E$3001,'هالك وتحويلات'!$B$2:$B$3001,$B$2,'هالك وتحويلات'!$C$2:$C$3001,$A37,'هالك وتحويلات'!$D$2:$D$3001,"تحويل وارد",'هالك وتحويلات'!$A$2:$A$3001,'إعدادات المخزون'!$B$4)-SUMIFS('هالك وتحويلات'!$E$2:$E$3001,'هالك وتحويلات'!$B$2:$B$3001,$B$2,'هالك وتحويلات'!$C$2:$C$3001,$A37,'هالك وتحويلات'!$D$2:$D$3001,"تحويل صادر",'هالك وتحويلات'!$A$2:$A$3001,'إعدادات المخزون'!$B$4)-SUMIFS('هالك وتحويلات'!$E$2:$E$3001,'هالك وتحويلات'!$B$2:$B$3001,$B$2,'هالك وتحويلات'!$C$2:$C$3001,$A37,'هالك وتحويلات'!$D$2:$D$3001,"هالك",'هالك وتحويلات'!$A$2:$A$3001,'إعدادات المخزون'!$B$4)-SUMIFS('هالك وتحويلات'!$E$2:$E$3001,'هالك وتحويلات'!$B$2:$B$3001,$B$2,'هالك وتحويلات'!$C$2:$C$3001,$A37,'هالك وتحويلات'!$D$2:$D$3001,"ضيافة / أكل موظفين",'هالك وتحويلات'!$A$2:$A$3001,'إعدادات المخزون'!$B$4)-SUMPRODUCT('مصفوفة الاستهلاك (عصافرة)'!$AF$2:$AF$190,'متجهات المبيعات'!$H$2:$H$190)/'مواد المخزون'!$D$32</f>
        <v>-0.3006245</v>
      </c>
      <c r="AA37" s="109" t="n">
        <f aca="false">IF(K37="نعم",O37,0)</f>
        <v>0</v>
      </c>
      <c r="AB37" s="109" t="n">
        <f aca="false">IF(K37="نعم",J37*C37,0)</f>
        <v>0</v>
      </c>
      <c r="AC37" s="109" t="n">
        <f aca="false">IF(T37="",0,T37)</f>
        <v>0</v>
      </c>
    </row>
    <row r="38" customFormat="false" ht="15" hidden="false" customHeight="false" outlineLevel="0" collapsed="false">
      <c r="A38" s="34" t="str">
        <f aca="false">'مواد المخزون'!A33</f>
        <v>بيبسي كانز</v>
      </c>
      <c r="B38" s="36" t="str">
        <f aca="false">'مواد المخزون'!B33</f>
        <v>قطعة</v>
      </c>
      <c r="C38" s="109" t="n">
        <f aca="false">'مواد المخزون'!E33</f>
        <v>17.1875</v>
      </c>
      <c r="D38" s="110" t="n">
        <f aca="false">'جرد أول المدة'!E36</f>
        <v>0</v>
      </c>
      <c r="E38" s="110" t="n">
        <f aca="false">SUMIFS('مشتريات يومية'!$D$2:$D$4001,'مشتريات يومية'!$B$2:$B$4001,$B$2,'مشتريات يومية'!$C$2:$C$4001,$A38,'مشتريات يومية'!$A$2:$A$4001,"&gt;="&amp;'إعدادات المخزون'!$B$5,'مشتريات يومية'!$A$2:$A$4001,"&lt;="&amp;'إعدادات المخزون'!$B$4)</f>
        <v>1</v>
      </c>
      <c r="F38" s="110" t="n">
        <f aca="false">SUMIFS('هالك وتحويلات'!$E$2:$E$3001,'هالك وتحويلات'!$B$2:$B$3001,$B$2,'هالك وتحويلات'!$C$2:$C$3001,$A38,'هالك وتحويلات'!$D$2:$D$3001,"تحويل وارد",'هالك وتحويلات'!$A$2:$A$3001,"&gt;="&amp;'إعدادات المخزون'!$B$5,'هالك وتحويلات'!$A$2:$A$3001,"&lt;="&amp;'إعدادات المخزون'!$B$4)</f>
        <v>0</v>
      </c>
      <c r="G38" s="110" t="n">
        <f aca="false">SUMIFS('هالك وتحويلات'!$E$2:$E$3001,'هالك وتحويلات'!$B$2:$B$3001,$B$2,'هالك وتحويلات'!$C$2:$C$3001,$A38,'هالك وتحويلات'!$D$2:$D$3001,"تحويل صادر",'هالك وتحويلات'!$A$2:$A$3001,"&gt;="&amp;'إعدادات المخزون'!$B$5,'هالك وتحويلات'!$A$2:$A$3001,"&lt;="&amp;'إعدادات المخزون'!$B$4)</f>
        <v>0</v>
      </c>
      <c r="H38" s="110" t="n">
        <f aca="false">SUMPRODUCT('مصفوفة الاستهلاك (عصافرة)'!$AG$2:$AG$190,'متجهات المبيعات'!$I$2:$I$190)/'مواد المخزون'!$D$33</f>
        <v>3.9996</v>
      </c>
      <c r="I38" s="110" t="n">
        <f aca="false">SUMIFS('هالك وتحويلات'!$E$2:$E$3001,'هالك وتحويلات'!$B$2:$B$3001,$B$2,'هالك وتحويلات'!$C$2:$C$3001,$A38,'هالك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وتحويلات'!$C$2:$C$3001,$A38,'هالك وتحويلات'!$D$2:$D$3001,"ضيافة / أكل موظفين",'هالك وتحويلات'!$A$2:$A$3001,"&gt;="&amp;'إعدادات المخزون'!$B$5,'هالك وتحويلات'!$A$2:$A$3001,"&lt;="&amp;'إعدادات المخزون'!$B$4)</f>
        <v>0</v>
      </c>
      <c r="J38" s="110" t="n">
        <f aca="false">D38+E38+F38-G38-H38-I38</f>
        <v>-2.9996</v>
      </c>
      <c r="K38" s="36" t="str">
        <f aca="false">IF(COUNTIFS('جرد فعلي'!$B$2:$B$12001,$B$2,'جرد فعلي'!$C$2:$C$12001,$A38,'جرد فعلي'!$A$2:$A$12001,'إعدادات المخزون'!$B$4)&gt;0,"نعم","لا")</f>
        <v>لا</v>
      </c>
      <c r="L38" s="111" t="str">
        <f aca="false">IF(K38="نعم",SUMIFS('جرد فعلي'!$D$2:$D$12001,'جرد فعلي'!$B$2:$B$12001,$B$2,'جرد فعلي'!$C$2:$C$12001,$A38,'جرد فعلي'!$A$2:$A$12001,'إعدادات المخزون'!$B$4),"")</f>
        <v/>
      </c>
      <c r="M38" s="110" t="str">
        <f aca="false">IF(K38="نعم",L38-J38,"")</f>
        <v/>
      </c>
      <c r="N38" s="112" t="str">
        <f aca="false">IF(K38="نعم",IF(J38=0,IF(M38=0,0,SIGN(M38)),M38/ABS(J38)),"")</f>
        <v/>
      </c>
      <c r="O38" s="109" t="str">
        <f aca="false">IF(K38="نعم",M38*C38,"")</f>
        <v/>
      </c>
      <c r="P38" s="36" t="str">
        <f aca="false">IF(K38&lt;&gt;"نعم","لم يُجرد",IF(ABS(N38)&lt;='إعدادات المخزون'!$B$7,"مطابق",IF(M38&lt;0,"عجز","زيادة")))</f>
        <v>لم يُجرد</v>
      </c>
      <c r="Q38" s="110" t="n">
        <f aca="false">J38-Z38</f>
        <v>-2.6663</v>
      </c>
      <c r="R38" s="110" t="str">
        <f aca="false">IF(COUNTIFS('جرد فعلي'!$B$2:$B$12001,$B$2,'جرد فعلي'!$C$2:$C$12001,$A38,'جرد فعلي'!$A$2:$A$12001,'إعدادات المخزون'!$B$4-1)&gt;0,SUMIFS('جرد فعلي'!$D$2:$D$12001,'جرد فعلي'!$B$2:$B$12001,$B$2,'جرد فعلي'!$C$2:$C$12001,$A38,'جرد فعلي'!$A$2:$A$12001,'إعدادات المخزون'!$B$4-1),"")</f>
        <v/>
      </c>
      <c r="S38" s="110" t="str">
        <f aca="false">IF(AND(K38="نعم",R38&lt;&gt;""),(L38-J38)-(R38-Q38),"")</f>
        <v/>
      </c>
      <c r="T38" s="109" t="str">
        <f aca="false">IF(S38="","",S38*C38)</f>
        <v/>
      </c>
      <c r="U38" s="110" t="n">
        <f aca="false">IF(K38="نعم",L38,J38)</f>
        <v>-2.9996</v>
      </c>
      <c r="V38" s="110" t="n">
        <f aca="false">SUMPRODUCT('مصفوفة الاستهلاك (عصافرة)'!$AG$2:$AG$190,'متجهات المبيعات'!$J$2:$J$190)/'مواد المخزون'!$D$33/MAX(1,MIN('إعدادات المخزون'!$B$11,'إعدادات المخزون'!$B$4-'إعدادات المخزون'!$B$5+1))</f>
        <v>0.3333</v>
      </c>
      <c r="W38" s="110" t="n">
        <f aca="false">IF(V38&lt;=0,0,ROUNDUP(MAX(0,V38*('إعدادات المخزون'!$B$8+'إعدادات المخزون'!$B$9+'إعدادات المخزون'!$B$10)-MAX(U38,0))/'مواد المخزون'!$F33,0)*'مواد المخزون'!$F33)</f>
        <v>2</v>
      </c>
      <c r="X38" s="109" t="n">
        <f aca="false">IF(AND(K38="نعم",O38&lt;0),-O38+ROW()*0.000000001,0)</f>
        <v>0</v>
      </c>
      <c r="Y38" s="109" t="n">
        <f aca="false">IF(AND(K38="نعم",O38&gt;0),O38+ROW()*0.000000001,0)</f>
        <v>0</v>
      </c>
      <c r="Z38" s="110" t="n">
        <f aca="false">SUMIFS('مشتريات يومية'!$D$2:$D$4001,'مشتريات يومية'!$B$2:$B$4001,$B$2,'مشتريات يومية'!$C$2:$C$4001,$A38,'مشتريات يومية'!$A$2:$A$4001,'إعدادات المخزون'!$B$4)+SUMIFS('هالك وتحويلات'!$E$2:$E$3001,'هالك وتحويلات'!$B$2:$B$3001,$B$2,'هالك وتحويلات'!$C$2:$C$3001,$A38,'هالك وتحويلات'!$D$2:$D$3001,"تحويل وارد",'هالك وتحويلات'!$A$2:$A$3001,'إعدادات المخزون'!$B$4)-SUMIFS('هالك وتحويلات'!$E$2:$E$3001,'هالك وتحويلات'!$B$2:$B$3001,$B$2,'هالك وتحويلات'!$C$2:$C$3001,$A38,'هالك وتحويلات'!$D$2:$D$3001,"تحويل صادر",'هالك وتحويلات'!$A$2:$A$3001,'إعدادات المخزون'!$B$4)-SUMIFS('هالك وتحويلات'!$E$2:$E$3001,'هالك وتحويلات'!$B$2:$B$3001,$B$2,'هالك وتحويلات'!$C$2:$C$3001,$A38,'هالك وتحويلات'!$D$2:$D$3001,"هالك",'هالك وتحويلات'!$A$2:$A$3001,'إعدادات المخزون'!$B$4)-SUMIFS('هالك وتحويلات'!$E$2:$E$3001,'هالك وتحويلات'!$B$2:$B$3001,$B$2,'هالك وتحويلات'!$C$2:$C$3001,$A38,'هالك وتحويلات'!$D$2:$D$3001,"ضيافة / أكل موظفين",'هالك وتحويلات'!$A$2:$A$3001,'إعدادات المخزون'!$B$4)-SUMPRODUCT('مصفوفة الاستهلاك (عصافرة)'!$AG$2:$AG$190,'متجهات المبيعات'!$H$2:$H$190)/'مواد المخزون'!$D$33</f>
        <v>-0.3333</v>
      </c>
      <c r="AA38" s="109" t="n">
        <f aca="false">IF(K38="نعم",O38,0)</f>
        <v>0</v>
      </c>
      <c r="AB38" s="109" t="n">
        <f aca="false">IF(K38="نعم",J38*C38,0)</f>
        <v>0</v>
      </c>
      <c r="AC38" s="109" t="n">
        <f aca="false">IF(T38="",0,T38)</f>
        <v>0</v>
      </c>
    </row>
    <row r="39" customFormat="false" ht="15" hidden="false" customHeight="false" outlineLevel="0" collapsed="false">
      <c r="A39" s="34" t="str">
        <f aca="false">'مواد المخزون'!A34</f>
        <v>بيبسي لتر</v>
      </c>
      <c r="B39" s="36" t="str">
        <f aca="false">'مواد المخزون'!B34</f>
        <v>لتر</v>
      </c>
      <c r="C39" s="109" t="n">
        <f aca="false">'مواد المخزون'!E34</f>
        <v>30</v>
      </c>
      <c r="D39" s="110" t="n">
        <f aca="false">'جرد أول المدة'!E37</f>
        <v>0</v>
      </c>
      <c r="E39" s="110" t="n">
        <f aca="false">SUMIFS('مشتريات يومية'!$D$2:$D$4001,'مشتريات يومية'!$B$2:$B$4001,$B$2,'مشتريات يومية'!$C$2:$C$4001,$A39,'مشتريات يومية'!$A$2:$A$4001,"&gt;="&amp;'إعدادات المخزون'!$B$5,'مشتريات يومية'!$A$2:$A$4001,"&lt;="&amp;'إعدادات المخزون'!$B$4)</f>
        <v>0</v>
      </c>
      <c r="F39" s="110" t="n">
        <f aca="false">SUMIFS('هالك وتحويلات'!$E$2:$E$3001,'هالك وتحويلات'!$B$2:$B$3001,$B$2,'هالك وتحويلات'!$C$2:$C$3001,$A39,'هالك وتحويلات'!$D$2:$D$3001,"تحويل وارد",'هالك وتحويلات'!$A$2:$A$3001,"&gt;="&amp;'إعدادات المخزون'!$B$5,'هالك وتحويلات'!$A$2:$A$3001,"&lt;="&amp;'إعدادات المخزون'!$B$4)</f>
        <v>0</v>
      </c>
      <c r="G39" s="110" t="n">
        <f aca="false">SUMIFS('هالك وتحويلات'!$E$2:$E$3001,'هالك وتحويلات'!$B$2:$B$3001,$B$2,'هالك وتحويلات'!$C$2:$C$3001,$A39,'هالك وتحويلات'!$D$2:$D$3001,"تحويل صادر",'هالك وتحويلات'!$A$2:$A$3001,"&gt;="&amp;'إعدادات المخزون'!$B$5,'هالك وتحويلات'!$A$2:$A$3001,"&lt;="&amp;'إعدادات المخزون'!$B$4)</f>
        <v>0</v>
      </c>
      <c r="H39" s="110" t="n">
        <f aca="false">SUMPRODUCT('مصفوفة الاستهلاك (عصافرة)'!$AH$2:$AH$190,'متجهات المبيعات'!$I$2:$I$190)/'مواد المخزون'!$D$34</f>
        <v>0</v>
      </c>
      <c r="I39" s="110" t="n">
        <f aca="false">SUMIFS('هالك وتحويلات'!$E$2:$E$3001,'هالك وتحويلات'!$B$2:$B$3001,$B$2,'هالك وتحويلات'!$C$2:$C$3001,$A39,'هالك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وتحويلات'!$C$2:$C$3001,$A39,'هالك وتحويلات'!$D$2:$D$3001,"ضيافة / أكل موظفين",'هالك وتحويلات'!$A$2:$A$3001,"&gt;="&amp;'إعدادات المخزون'!$B$5,'هالك وتحويلات'!$A$2:$A$3001,"&lt;="&amp;'إعدادات المخزون'!$B$4)</f>
        <v>0</v>
      </c>
      <c r="J39" s="110" t="n">
        <f aca="false">D39+E39+F39-G39-H39-I39</f>
        <v>0</v>
      </c>
      <c r="K39" s="36" t="str">
        <f aca="false">IF(COUNTIFS('جرد فعلي'!$B$2:$B$12001,$B$2,'جرد فعلي'!$C$2:$C$12001,$A39,'جرد فعلي'!$A$2:$A$12001,'إعدادات المخزون'!$B$4)&gt;0,"نعم","لا")</f>
        <v>لا</v>
      </c>
      <c r="L39" s="111" t="str">
        <f aca="false">IF(K39="نعم",SUMIFS('جرد فعلي'!$D$2:$D$12001,'جرد فعلي'!$B$2:$B$12001,$B$2,'جرد فعلي'!$C$2:$C$12001,$A39,'جرد فعلي'!$A$2:$A$12001,'إعدادات المخزون'!$B$4),"")</f>
        <v/>
      </c>
      <c r="M39" s="110" t="str">
        <f aca="false">IF(K39="نعم",L39-J39,"")</f>
        <v/>
      </c>
      <c r="N39" s="112" t="str">
        <f aca="false">IF(K39="نعم",IF(J39=0,IF(M39=0,0,SIGN(M39)),M39/ABS(J39)),"")</f>
        <v/>
      </c>
      <c r="O39" s="109" t="str">
        <f aca="false">IF(K39="نعم",M39*C39,"")</f>
        <v/>
      </c>
      <c r="P39" s="36" t="str">
        <f aca="false">IF(K39&lt;&gt;"نعم","لم يُجرد",IF(ABS(N39)&lt;='إعدادات المخزون'!$B$7,"مطابق",IF(M39&lt;0,"عجز","زيادة")))</f>
        <v>لم يُجرد</v>
      </c>
      <c r="Q39" s="110" t="n">
        <f aca="false">J39-Z39</f>
        <v>0</v>
      </c>
      <c r="R39" s="110" t="str">
        <f aca="false">IF(COUNTIFS('جرد فعلي'!$B$2:$B$12001,$B$2,'جرد فعلي'!$C$2:$C$12001,$A39,'جرد فعلي'!$A$2:$A$12001,'إعدادات المخزون'!$B$4-1)&gt;0,SUMIFS('جرد فعلي'!$D$2:$D$12001,'جرد فعلي'!$B$2:$B$12001,$B$2,'جرد فعلي'!$C$2:$C$12001,$A39,'جرد فعلي'!$A$2:$A$12001,'إعدادات المخزون'!$B$4-1),"")</f>
        <v/>
      </c>
      <c r="S39" s="110" t="str">
        <f aca="false">IF(AND(K39="نعم",R39&lt;&gt;""),(L39-J39)-(R39-Q39),"")</f>
        <v/>
      </c>
      <c r="T39" s="109" t="str">
        <f aca="false">IF(S39="","",S39*C39)</f>
        <v/>
      </c>
      <c r="U39" s="110" t="n">
        <f aca="false">IF(K39="نعم",L39,J39)</f>
        <v>0</v>
      </c>
      <c r="V39" s="110" t="n">
        <f aca="false">SUMPRODUCT('مصفوفة الاستهلاك (عصافرة)'!$AH$2:$AH$190,'متجهات المبيعات'!$J$2:$J$190)/'مواد المخزون'!$D$34/MAX(1,MIN('إعدادات المخزون'!$B$11,'إعدادات المخزون'!$B$4-'إعدادات المخزون'!$B$5+1))</f>
        <v>0</v>
      </c>
      <c r="W39" s="110" t="n">
        <f aca="false">IF(V39&lt;=0,0,ROUNDUP(MAX(0,V39*('إعدادات المخزون'!$B$8+'إعدادات المخزون'!$B$9+'إعدادات المخزون'!$B$10)-MAX(U39,0))/'مواد المخزون'!$F34,0)*'مواد المخزون'!$F34)</f>
        <v>0</v>
      </c>
      <c r="X39" s="109" t="n">
        <f aca="false">IF(AND(K39="نعم",O39&lt;0),-O39+ROW()*0.000000001,0)</f>
        <v>0</v>
      </c>
      <c r="Y39" s="109" t="n">
        <f aca="false">IF(AND(K39="نعم",O39&gt;0),O39+ROW()*0.000000001,0)</f>
        <v>0</v>
      </c>
      <c r="Z39" s="110" t="n">
        <f aca="false">SUMIFS('مشتريات يومية'!$D$2:$D$4001,'مشتريات يومية'!$B$2:$B$4001,$B$2,'مشتريات يومية'!$C$2:$C$4001,$A39,'مشتريات يومية'!$A$2:$A$4001,'إعدادات المخزون'!$B$4)+SUMIFS('هالك وتحويلات'!$E$2:$E$3001,'هالك وتحويلات'!$B$2:$B$3001,$B$2,'هالك وتحويلات'!$C$2:$C$3001,$A39,'هالك وتحويلات'!$D$2:$D$3001,"تحويل وارد",'هالك وتحويلات'!$A$2:$A$3001,'إعدادات المخزون'!$B$4)-SUMIFS('هالك وتحويلات'!$E$2:$E$3001,'هالك وتحويلات'!$B$2:$B$3001,$B$2,'هالك وتحويلات'!$C$2:$C$3001,$A39,'هالك وتحويلات'!$D$2:$D$3001,"تحويل صادر",'هالك وتحويلات'!$A$2:$A$3001,'إعدادات المخزون'!$B$4)-SUMIFS('هالك وتحويلات'!$E$2:$E$3001,'هالك وتحويلات'!$B$2:$B$3001,$B$2,'هالك وتحويلات'!$C$2:$C$3001,$A39,'هالك وتحويلات'!$D$2:$D$3001,"هالك",'هالك وتحويلات'!$A$2:$A$3001,'إعدادات المخزون'!$B$4)-SUMIFS('هالك وتحويلات'!$E$2:$E$3001,'هالك وتحويلات'!$B$2:$B$3001,$B$2,'هالك وتحويلات'!$C$2:$C$3001,$A39,'هالك وتحويلات'!$D$2:$D$3001,"ضيافة / أكل موظفين",'هالك وتحويلات'!$A$2:$A$3001,'إعدادات المخزون'!$B$4)-SUMPRODUCT('مصفوفة الاستهلاك (عصافرة)'!$AH$2:$AH$190,'متجهات المبيعات'!$H$2:$H$190)/'مواد المخزون'!$D$34</f>
        <v>0</v>
      </c>
      <c r="AA39" s="109" t="n">
        <f aca="false">IF(K39="نعم",O39,0)</f>
        <v>0</v>
      </c>
      <c r="AB39" s="109" t="n">
        <f aca="false">IF(K39="نعم",J39*C39,0)</f>
        <v>0</v>
      </c>
      <c r="AC39" s="109" t="n">
        <f aca="false">IF(T39="",0,T39)</f>
        <v>0</v>
      </c>
    </row>
    <row r="40" customFormat="false" ht="15" hidden="false" customHeight="false" outlineLevel="0" collapsed="false">
      <c r="A40" s="34" t="str">
        <f aca="false">'مواد المخزون'!A35</f>
        <v>جبنة رومي/شيدر صيامي</v>
      </c>
      <c r="B40" s="36" t="str">
        <f aca="false">'مواد المخزون'!B35</f>
        <v>كجم</v>
      </c>
      <c r="C40" s="109" t="n">
        <f aca="false">'مواد المخزون'!E35</f>
        <v>105</v>
      </c>
      <c r="D40" s="110" t="n">
        <f aca="false">'جرد أول المدة'!E38</f>
        <v>0</v>
      </c>
      <c r="E40" s="110" t="n">
        <f aca="false">SUMIFS('مشتريات يومية'!$D$2:$D$4001,'مشتريات يومية'!$B$2:$B$4001,$B$2,'مشتريات يومية'!$C$2:$C$4001,$A40,'مشتريات يومية'!$A$2:$A$4001,"&gt;="&amp;'إعدادات المخزون'!$B$5,'مشتريات يومية'!$A$2:$A$4001,"&lt;="&amp;'إعدادات المخزون'!$B$4)</f>
        <v>0</v>
      </c>
      <c r="F40" s="110" t="n">
        <f aca="false">SUMIFS('هالك وتحويلات'!$E$2:$E$3001,'هالك وتحويلات'!$B$2:$B$3001,$B$2,'هالك وتحويلات'!$C$2:$C$3001,$A40,'هالك وتحويلات'!$D$2:$D$3001,"تحويل وارد",'هالك وتحويلات'!$A$2:$A$3001,"&gt;="&amp;'إعدادات المخزون'!$B$5,'هالك وتحويلات'!$A$2:$A$3001,"&lt;="&amp;'إعدادات المخزون'!$B$4)</f>
        <v>0</v>
      </c>
      <c r="G40" s="110" t="n">
        <f aca="false">SUMIFS('هالك وتحويلات'!$E$2:$E$3001,'هالك وتحويلات'!$B$2:$B$3001,$B$2,'هالك وتحويلات'!$C$2:$C$3001,$A40,'هالك وتحويلات'!$D$2:$D$3001,"تحويل صادر",'هالك وتحويلات'!$A$2:$A$3001,"&gt;="&amp;'إعدادات المخزون'!$B$5,'هالك وتحويلات'!$A$2:$A$3001,"&lt;="&amp;'إعدادات المخزون'!$B$4)</f>
        <v>0</v>
      </c>
      <c r="H40" s="110" t="n">
        <f aca="false">SUMPRODUCT('مصفوفة الاستهلاك (عصافرة)'!$AI$2:$AI$190,'متجهات المبيعات'!$I$2:$I$190)/'مواد المخزون'!$D$35</f>
        <v>0</v>
      </c>
      <c r="I40" s="110" t="n">
        <f aca="false">SUMIFS('هالك وتحويلات'!$E$2:$E$3001,'هالك وتحويلات'!$B$2:$B$3001,$B$2,'هالك وتحويلات'!$C$2:$C$3001,$A40,'هالك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وتحويلات'!$C$2:$C$3001,$A40,'هالك وتحويلات'!$D$2:$D$3001,"ضيافة / أكل موظفين",'هالك وتحويلات'!$A$2:$A$3001,"&gt;="&amp;'إعدادات المخزون'!$B$5,'هالك وتحويلات'!$A$2:$A$3001,"&lt;="&amp;'إعدادات المخزون'!$B$4)</f>
        <v>0</v>
      </c>
      <c r="J40" s="110" t="n">
        <f aca="false">D40+E40+F40-G40-H40-I40</f>
        <v>0</v>
      </c>
      <c r="K40" s="36" t="str">
        <f aca="false">IF(COUNTIFS('جرد فعلي'!$B$2:$B$12001,$B$2,'جرد فعلي'!$C$2:$C$12001,$A40,'جرد فعلي'!$A$2:$A$12001,'إعدادات المخزون'!$B$4)&gt;0,"نعم","لا")</f>
        <v>لا</v>
      </c>
      <c r="L40" s="111" t="str">
        <f aca="false">IF(K40="نعم",SUMIFS('جرد فعلي'!$D$2:$D$12001,'جرد فعلي'!$B$2:$B$12001,$B$2,'جرد فعلي'!$C$2:$C$12001,$A40,'جرد فعلي'!$A$2:$A$12001,'إعدادات المخزون'!$B$4),"")</f>
        <v/>
      </c>
      <c r="M40" s="110" t="str">
        <f aca="false">IF(K40="نعم",L40-J40,"")</f>
        <v/>
      </c>
      <c r="N40" s="112" t="str">
        <f aca="false">IF(K40="نعم",IF(J40=0,IF(M40=0,0,SIGN(M40)),M40/ABS(J40)),"")</f>
        <v/>
      </c>
      <c r="O40" s="109" t="str">
        <f aca="false">IF(K40="نعم",M40*C40,"")</f>
        <v/>
      </c>
      <c r="P40" s="36" t="str">
        <f aca="false">IF(K40&lt;&gt;"نعم","لم يُجرد",IF(ABS(N40)&lt;='إعدادات المخزون'!$B$7,"مطابق",IF(M40&lt;0,"عجز","زيادة")))</f>
        <v>لم يُجرد</v>
      </c>
      <c r="Q40" s="110" t="n">
        <f aca="false">J40-Z40</f>
        <v>0</v>
      </c>
      <c r="R40" s="110" t="str">
        <f aca="false">IF(COUNTIFS('جرد فعلي'!$B$2:$B$12001,$B$2,'جرد فعلي'!$C$2:$C$12001,$A40,'جرد فعلي'!$A$2:$A$12001,'إعدادات المخزون'!$B$4-1)&gt;0,SUMIFS('جرد فعلي'!$D$2:$D$12001,'جرد فعلي'!$B$2:$B$12001,$B$2,'جرد فعلي'!$C$2:$C$12001,$A40,'جرد فعلي'!$A$2:$A$12001,'إعدادات المخزون'!$B$4-1),"")</f>
        <v/>
      </c>
      <c r="S40" s="110" t="str">
        <f aca="false">IF(AND(K40="نعم",R40&lt;&gt;""),(L40-J40)-(R40-Q40),"")</f>
        <v/>
      </c>
      <c r="T40" s="109" t="str">
        <f aca="false">IF(S40="","",S40*C40)</f>
        <v/>
      </c>
      <c r="U40" s="110" t="n">
        <f aca="false">IF(K40="نعم",L40,J40)</f>
        <v>0</v>
      </c>
      <c r="V40" s="110" t="n">
        <f aca="false">SUMPRODUCT('مصفوفة الاستهلاك (عصافرة)'!$AI$2:$AI$190,'متجهات المبيعات'!$J$2:$J$190)/'مواد المخزون'!$D$35/MAX(1,MIN('إعدادات المخزون'!$B$11,'إعدادات المخزون'!$B$4-'إعدادات المخزون'!$B$5+1))</f>
        <v>0</v>
      </c>
      <c r="W40" s="110" t="n">
        <f aca="false">IF(V40&lt;=0,0,ROUNDUP(MAX(0,V40*('إعدادات المخزون'!$B$8+'إعدادات المخزون'!$B$9+'إعدادات المخزون'!$B$10)-MAX(U40,0))/'مواد المخزون'!$F35,0)*'مواد المخزون'!$F35)</f>
        <v>0</v>
      </c>
      <c r="X40" s="109" t="n">
        <f aca="false">IF(AND(K40="نعم",O40&lt;0),-O40+ROW()*0.000000001,0)</f>
        <v>0</v>
      </c>
      <c r="Y40" s="109" t="n">
        <f aca="false">IF(AND(K40="نعم",O40&gt;0),O40+ROW()*0.000000001,0)</f>
        <v>0</v>
      </c>
      <c r="Z40" s="110" t="n">
        <f aca="false">SUMIFS('مشتريات يومية'!$D$2:$D$4001,'مشتريات يومية'!$B$2:$B$4001,$B$2,'مشتريات يومية'!$C$2:$C$4001,$A40,'مشتريات يومية'!$A$2:$A$4001,'إعدادات المخزون'!$B$4)+SUMIFS('هالك وتحويلات'!$E$2:$E$3001,'هالك وتحويلات'!$B$2:$B$3001,$B$2,'هالك وتحويلات'!$C$2:$C$3001,$A40,'هالك وتحويلات'!$D$2:$D$3001,"تحويل وارد",'هالك وتحويلات'!$A$2:$A$3001,'إعدادات المخزون'!$B$4)-SUMIFS('هالك وتحويلات'!$E$2:$E$3001,'هالك وتحويلات'!$B$2:$B$3001,$B$2,'هالك وتحويلات'!$C$2:$C$3001,$A40,'هالك وتحويلات'!$D$2:$D$3001,"تحويل صادر",'هالك وتحويلات'!$A$2:$A$3001,'إعدادات المخزون'!$B$4)-SUMIFS('هالك وتحويلات'!$E$2:$E$3001,'هالك وتحويلات'!$B$2:$B$3001,$B$2,'هالك وتحويلات'!$C$2:$C$3001,$A40,'هالك وتحويلات'!$D$2:$D$3001,"هالك",'هالك وتحويلات'!$A$2:$A$3001,'إعدادات المخزون'!$B$4)-SUMIFS('هالك وتحويلات'!$E$2:$E$3001,'هالك وتحويلات'!$B$2:$B$3001,$B$2,'هالك وتحويلات'!$C$2:$C$3001,$A40,'هالك وتحويلات'!$D$2:$D$3001,"ضيافة / أكل موظفين",'هالك وتحويلات'!$A$2:$A$3001,'إعدادات المخزون'!$B$4)-SUMPRODUCT('مصفوفة الاستهلاك (عصافرة)'!$AI$2:$AI$190,'متجهات المبيعات'!$H$2:$H$190)/'مواد المخزون'!$D$35</f>
        <v>0</v>
      </c>
      <c r="AA40" s="109" t="n">
        <f aca="false">IF(K40="نعم",O40,0)</f>
        <v>0</v>
      </c>
      <c r="AB40" s="109" t="n">
        <f aca="false">IF(K40="نعم",J40*C40,0)</f>
        <v>0</v>
      </c>
      <c r="AC40" s="109" t="n">
        <f aca="false">IF(T40="",0,T40)</f>
        <v>0</v>
      </c>
    </row>
    <row r="41" customFormat="false" ht="15" hidden="false" customHeight="false" outlineLevel="0" collapsed="false">
      <c r="A41" s="34" t="str">
        <f aca="false">'مواد المخزون'!A36</f>
        <v>جلافزات شفاف</v>
      </c>
      <c r="B41" s="36" t="str">
        <f aca="false">'مواد المخزون'!B36</f>
        <v>علبة</v>
      </c>
      <c r="C41" s="109" t="n">
        <f aca="false">'مواد المخزون'!E36</f>
        <v>9</v>
      </c>
      <c r="D41" s="110" t="n">
        <f aca="false">'جرد أول المدة'!E39</f>
        <v>68</v>
      </c>
      <c r="E41" s="110" t="n">
        <f aca="false">SUMIFS('مشتريات يومية'!$D$2:$D$4001,'مشتريات يومية'!$B$2:$B$4001,$B$2,'مشتريات يومية'!$C$2:$C$4001,$A41,'مشتريات يومية'!$A$2:$A$4001,"&gt;="&amp;'إعدادات المخزون'!$B$5,'مشتريات يومية'!$A$2:$A$4001,"&lt;="&amp;'إعدادات المخزون'!$B$4)</f>
        <v>0</v>
      </c>
      <c r="F41" s="110" t="n">
        <f aca="false">SUMIFS('هالك وتحويلات'!$E$2:$E$3001,'هالك وتحويلات'!$B$2:$B$3001,$B$2,'هالك وتحويلات'!$C$2:$C$3001,$A41,'هالك وتحويلات'!$D$2:$D$3001,"تحويل وارد",'هالك وتحويلات'!$A$2:$A$3001,"&gt;="&amp;'إعدادات المخزون'!$B$5,'هالك وتحويلات'!$A$2:$A$3001,"&lt;="&amp;'إعدادات المخزون'!$B$4)</f>
        <v>0</v>
      </c>
      <c r="G41" s="110" t="n">
        <f aca="false">SUMIFS('هالك وتحويلات'!$E$2:$E$3001,'هالك وتحويلات'!$B$2:$B$3001,$B$2,'هالك وتحويلات'!$C$2:$C$3001,$A41,'هالك وتحويلات'!$D$2:$D$3001,"تحويل صادر",'هالك وتحويلات'!$A$2:$A$3001,"&gt;="&amp;'إعدادات المخزون'!$B$5,'هالك وتحويلات'!$A$2:$A$3001,"&lt;="&amp;'إعدادات المخزون'!$B$4)</f>
        <v>0</v>
      </c>
      <c r="H41" s="110" t="n">
        <f aca="false">SUMPRODUCT('مصفوفة الاستهلاك (عصافرة)'!$AJ$2:$AJ$190,'متجهات المبيعات'!$I$2:$I$190)/'مواد المخزون'!$D$36</f>
        <v>92.60004</v>
      </c>
      <c r="I41" s="110" t="n">
        <f aca="false">SUMIFS('هالك وتحويلات'!$E$2:$E$3001,'هالك وتحويلات'!$B$2:$B$3001,$B$2,'هالك وتحويلات'!$C$2:$C$3001,$A41,'هالك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وتحويلات'!$C$2:$C$3001,$A41,'هالك وتحويلات'!$D$2:$D$3001,"ضيافة / أكل موظفين",'هالك وتحويلات'!$A$2:$A$3001,"&gt;="&amp;'إعدادات المخزون'!$B$5,'هالك وتحويلات'!$A$2:$A$3001,"&lt;="&amp;'إعدادات المخزون'!$B$4)</f>
        <v>0</v>
      </c>
      <c r="J41" s="110" t="n">
        <f aca="false">D41+E41+F41-G41-H41-I41</f>
        <v>-24.60004</v>
      </c>
      <c r="K41" s="36" t="str">
        <f aca="false">IF(COUNTIFS('جرد فعلي'!$B$2:$B$12001,$B$2,'جرد فعلي'!$C$2:$C$12001,$A41,'جرد فعلي'!$A$2:$A$12001,'إعدادات المخزون'!$B$4)&gt;0,"نعم","لا")</f>
        <v>لا</v>
      </c>
      <c r="L41" s="111" t="str">
        <f aca="false">IF(K41="نعم",SUMIFS('جرد فعلي'!$D$2:$D$12001,'جرد فعلي'!$B$2:$B$12001,$B$2,'جرد فعلي'!$C$2:$C$12001,$A41,'جرد فعلي'!$A$2:$A$12001,'إعدادات المخزون'!$B$4),"")</f>
        <v/>
      </c>
      <c r="M41" s="110" t="str">
        <f aca="false">IF(K41="نعم",L41-J41,"")</f>
        <v/>
      </c>
      <c r="N41" s="112" t="str">
        <f aca="false">IF(K41="نعم",IF(J41=0,IF(M41=0,0,SIGN(M41)),M41/ABS(J41)),"")</f>
        <v/>
      </c>
      <c r="O41" s="109" t="str">
        <f aca="false">IF(K41="نعم",M41*C41,"")</f>
        <v/>
      </c>
      <c r="P41" s="36" t="str">
        <f aca="false">IF(K41&lt;&gt;"نعم","لم يُجرد",IF(ABS(N41)&lt;='إعدادات المخزون'!$B$7,"مطابق",IF(M41&lt;0,"عجز","زيادة")))</f>
        <v>لم يُجرد</v>
      </c>
      <c r="Q41" s="110" t="n">
        <f aca="false">J41-Z41</f>
        <v>-16.88337</v>
      </c>
      <c r="R41" s="110" t="str">
        <f aca="false">IF(COUNTIFS('جرد فعلي'!$B$2:$B$12001,$B$2,'جرد فعلي'!$C$2:$C$12001,$A41,'جرد فعلي'!$A$2:$A$12001,'إعدادات المخزون'!$B$4-1)&gt;0,SUMIFS('جرد فعلي'!$D$2:$D$12001,'جرد فعلي'!$B$2:$B$12001,$B$2,'جرد فعلي'!$C$2:$C$12001,$A41,'جرد فعلي'!$A$2:$A$12001,'إعدادات المخزون'!$B$4-1),"")</f>
        <v/>
      </c>
      <c r="S41" s="110" t="str">
        <f aca="false">IF(AND(K41="نعم",R41&lt;&gt;""),(L41-J41)-(R41-Q41),"")</f>
        <v/>
      </c>
      <c r="T41" s="109" t="str">
        <f aca="false">IF(S41="","",S41*C41)</f>
        <v/>
      </c>
      <c r="U41" s="110" t="n">
        <f aca="false">IF(K41="نعم",L41,J41)</f>
        <v>-24.60004</v>
      </c>
      <c r="V41" s="110" t="n">
        <f aca="false">SUMPRODUCT('مصفوفة الاستهلاك (عصافرة)'!$AJ$2:$AJ$190,'متجهات المبيعات'!$J$2:$J$190)/'مواد المخزون'!$D$36/MAX(1,MIN('إعدادات المخزون'!$B$11,'إعدادات المخزون'!$B$4-'إعدادات المخزون'!$B$5+1))</f>
        <v>7.71667</v>
      </c>
      <c r="W41" s="110" t="n">
        <f aca="false">IF(V41&lt;=0,0,ROUNDUP(MAX(0,V41*('إعدادات المخزون'!$B$8+'إعدادات المخزون'!$B$9+'إعدادات المخزون'!$B$10)-MAX(U41,0))/'مواد المخزون'!$F36,0)*'مواد المخزون'!$F36)</f>
        <v>31</v>
      </c>
      <c r="X41" s="109" t="n">
        <f aca="false">IF(AND(K41="نعم",O41&lt;0),-O41+ROW()*0.000000001,0)</f>
        <v>0</v>
      </c>
      <c r="Y41" s="109" t="n">
        <f aca="false">IF(AND(K41="نعم",O41&gt;0),O41+ROW()*0.000000001,0)</f>
        <v>0</v>
      </c>
      <c r="Z41" s="110" t="n">
        <f aca="false">SUMIFS('مشتريات يومية'!$D$2:$D$4001,'مشتريات يومية'!$B$2:$B$4001,$B$2,'مشتريات يومية'!$C$2:$C$4001,$A41,'مشتريات يومية'!$A$2:$A$4001,'إعدادات المخزون'!$B$4)+SUMIFS('هالك وتحويلات'!$E$2:$E$3001,'هالك وتحويلات'!$B$2:$B$3001,$B$2,'هالك وتحويلات'!$C$2:$C$3001,$A41,'هالك وتحويلات'!$D$2:$D$3001,"تحويل وارد",'هالك وتحويلات'!$A$2:$A$3001,'إعدادات المخزون'!$B$4)-SUMIFS('هالك وتحويلات'!$E$2:$E$3001,'هالك وتحويلات'!$B$2:$B$3001,$B$2,'هالك وتحويلات'!$C$2:$C$3001,$A41,'هالك وتحويلات'!$D$2:$D$3001,"تحويل صادر",'هالك وتحويلات'!$A$2:$A$3001,'إعدادات المخزون'!$B$4)-SUMIFS('هالك وتحويلات'!$E$2:$E$3001,'هالك وتحويلات'!$B$2:$B$3001,$B$2,'هالك وتحويلات'!$C$2:$C$3001,$A41,'هالك وتحويلات'!$D$2:$D$3001,"هالك",'هالك وتحويلات'!$A$2:$A$3001,'إعدادات المخزون'!$B$4)-SUMIFS('هالك وتحويلات'!$E$2:$E$3001,'هالك وتحويلات'!$B$2:$B$3001,$B$2,'هالك وتحويلات'!$C$2:$C$3001,$A41,'هالك وتحويلات'!$D$2:$D$3001,"ضيافة / أكل موظفين",'هالك وتحويلات'!$A$2:$A$3001,'إعدادات المخزون'!$B$4)-SUMPRODUCT('مصفوفة الاستهلاك (عصافرة)'!$AJ$2:$AJ$190,'متجهات المبيعات'!$H$2:$H$190)/'مواد المخزون'!$D$36</f>
        <v>-7.71667</v>
      </c>
      <c r="AA41" s="109" t="n">
        <f aca="false">IF(K41="نعم",O41,0)</f>
        <v>0</v>
      </c>
      <c r="AB41" s="109" t="n">
        <f aca="false">IF(K41="نعم",J41*C41,0)</f>
        <v>0</v>
      </c>
      <c r="AC41" s="109" t="n">
        <f aca="false">IF(T41="",0,T41)</f>
        <v>0</v>
      </c>
    </row>
    <row r="42" customFormat="false" ht="15" hidden="false" customHeight="false" outlineLevel="0" collapsed="false">
      <c r="A42" s="34" t="str">
        <f aca="false">'مواد المخزون'!A37</f>
        <v>جوزهند</v>
      </c>
      <c r="B42" s="36" t="str">
        <f aca="false">'مواد المخزون'!B37</f>
        <v>كجم</v>
      </c>
      <c r="C42" s="109" t="n">
        <f aca="false">'مواد المخزون'!E37</f>
        <v>200</v>
      </c>
      <c r="D42" s="110" t="n">
        <f aca="false">'جرد أول المدة'!E40</f>
        <v>0.65</v>
      </c>
      <c r="E42" s="110" t="n">
        <f aca="false">SUMIFS('مشتريات يومية'!$D$2:$D$4001,'مشتريات يومية'!$B$2:$B$4001,$B$2,'مشتريات يومية'!$C$2:$C$4001,$A42,'مشتريات يومية'!$A$2:$A$4001,"&gt;="&amp;'إعدادات المخزون'!$B$5,'مشتريات يومية'!$A$2:$A$4001,"&lt;="&amp;'إعدادات المخزون'!$B$4)</f>
        <v>1.5</v>
      </c>
      <c r="F42" s="110" t="n">
        <f aca="false">SUMIFS('هالك وتحويلات'!$E$2:$E$3001,'هالك وتحويلات'!$B$2:$B$3001,$B$2,'هالك وتحويلات'!$C$2:$C$3001,$A42,'هالك وتحويلات'!$D$2:$D$3001,"تحويل وارد",'هالك وتحويلات'!$A$2:$A$3001,"&gt;="&amp;'إعدادات المخزون'!$B$5,'هالك وتحويلات'!$A$2:$A$3001,"&lt;="&amp;'إعدادات المخزون'!$B$4)</f>
        <v>0</v>
      </c>
      <c r="G42" s="110" t="n">
        <f aca="false">SUMIFS('هالك وتحويلات'!$E$2:$E$3001,'هالك وتحويلات'!$B$2:$B$3001,$B$2,'هالك وتحويلات'!$C$2:$C$3001,$A42,'هالك وتحويلات'!$D$2:$D$3001,"تحويل صادر",'هالك وتحويلات'!$A$2:$A$3001,"&gt;="&amp;'إعدادات المخزون'!$B$5,'هالك وتحويلات'!$A$2:$A$3001,"&lt;="&amp;'إعدادات المخزون'!$B$4)</f>
        <v>0</v>
      </c>
      <c r="H42" s="110" t="n">
        <f aca="false">SUMPRODUCT('مصفوفة الاستهلاك (عصافرة)'!$AK$2:$AK$190,'متجهات المبيعات'!$I$2:$I$190)/'مواد المخزون'!$D$37</f>
        <v>0.72</v>
      </c>
      <c r="I42" s="110" t="n">
        <f aca="false">SUMIFS('هالك وتحويلات'!$E$2:$E$3001,'هالك وتحويلات'!$B$2:$B$3001,$B$2,'هالك وتحويلات'!$C$2:$C$3001,$A42,'هالك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وتحويلات'!$C$2:$C$3001,$A42,'هالك وتحويلات'!$D$2:$D$3001,"ضيافة / أكل موظفين",'هالك وتحويلات'!$A$2:$A$3001,"&gt;="&amp;'إعدادات المخزون'!$B$5,'هالك وتحويلات'!$A$2:$A$3001,"&lt;="&amp;'إعدادات المخزون'!$B$4)</f>
        <v>0</v>
      </c>
      <c r="J42" s="110" t="n">
        <f aca="false">D42+E42+F42-G42-H42-I42</f>
        <v>1.43</v>
      </c>
      <c r="K42" s="36" t="str">
        <f aca="false">IF(COUNTIFS('جرد فعلي'!$B$2:$B$12001,$B$2,'جرد فعلي'!$C$2:$C$12001,$A42,'جرد فعلي'!$A$2:$A$12001,'إعدادات المخزون'!$B$4)&gt;0,"نعم","لا")</f>
        <v>لا</v>
      </c>
      <c r="L42" s="111" t="str">
        <f aca="false">IF(K42="نعم",SUMIFS('جرد فعلي'!$D$2:$D$12001,'جرد فعلي'!$B$2:$B$12001,$B$2,'جرد فعلي'!$C$2:$C$12001,$A42,'جرد فعلي'!$A$2:$A$12001,'إعدادات المخزون'!$B$4),"")</f>
        <v/>
      </c>
      <c r="M42" s="110" t="str">
        <f aca="false">IF(K42="نعم",L42-J42,"")</f>
        <v/>
      </c>
      <c r="N42" s="112" t="str">
        <f aca="false">IF(K42="نعم",IF(J42=0,IF(M42=0,0,SIGN(M42)),M42/ABS(J42)),"")</f>
        <v/>
      </c>
      <c r="O42" s="109" t="str">
        <f aca="false">IF(K42="نعم",M42*C42,"")</f>
        <v/>
      </c>
      <c r="P42" s="36" t="str">
        <f aca="false">IF(K42&lt;&gt;"نعم","لم يُجرد",IF(ABS(N42)&lt;='إعدادات المخزون'!$B$7,"مطابق",IF(M42&lt;0,"عجز","زيادة")))</f>
        <v>لم يُجرد</v>
      </c>
      <c r="Q42" s="110" t="n">
        <f aca="false">J42-Z42</f>
        <v>1.49</v>
      </c>
      <c r="R42" s="110" t="str">
        <f aca="false">IF(COUNTIFS('جرد فعلي'!$B$2:$B$12001,$B$2,'جرد فعلي'!$C$2:$C$12001,$A42,'جرد فعلي'!$A$2:$A$12001,'إعدادات المخزون'!$B$4-1)&gt;0,SUMIFS('جرد فعلي'!$D$2:$D$12001,'جرد فعلي'!$B$2:$B$12001,$B$2,'جرد فعلي'!$C$2:$C$12001,$A42,'جرد فعلي'!$A$2:$A$12001,'إعدادات المخزون'!$B$4-1),"")</f>
        <v/>
      </c>
      <c r="S42" s="110" t="str">
        <f aca="false">IF(AND(K42="نعم",R42&lt;&gt;""),(L42-J42)-(R42-Q42),"")</f>
        <v/>
      </c>
      <c r="T42" s="109" t="str">
        <f aca="false">IF(S42="","",S42*C42)</f>
        <v/>
      </c>
      <c r="U42" s="110" t="n">
        <f aca="false">IF(K42="نعم",L42,J42)</f>
        <v>1.43</v>
      </c>
      <c r="V42" s="110" t="n">
        <f aca="false">SUMPRODUCT('مصفوفة الاستهلاك (عصافرة)'!$AK$2:$AK$190,'متجهات المبيعات'!$J$2:$J$190)/'مواد المخزون'!$D$37/MAX(1,MIN('إعدادات المخزون'!$B$11,'إعدادات المخزون'!$B$4-'إعدادات المخزون'!$B$5+1))</f>
        <v>0.06</v>
      </c>
      <c r="W42" s="110" t="n">
        <f aca="false">IF(V42&lt;=0,0,ROUNDUP(MAX(0,V42*('إعدادات المخزون'!$B$8+'إعدادات المخزون'!$B$9+'إعدادات المخزون'!$B$10)-MAX(U42,0))/'مواد المخزون'!$F37,0)*'مواد المخزون'!$F37)</f>
        <v>0</v>
      </c>
      <c r="X42" s="109" t="n">
        <f aca="false">IF(AND(K42="نعم",O42&lt;0),-O42+ROW()*0.000000001,0)</f>
        <v>0</v>
      </c>
      <c r="Y42" s="109" t="n">
        <f aca="false">IF(AND(K42="نعم",O42&gt;0),O42+ROW()*0.000000001,0)</f>
        <v>0</v>
      </c>
      <c r="Z42" s="110" t="n">
        <f aca="false">SUMIFS('مشتريات يومية'!$D$2:$D$4001,'مشتريات يومية'!$B$2:$B$4001,$B$2,'مشتريات يومية'!$C$2:$C$4001,$A42,'مشتريات يومية'!$A$2:$A$4001,'إعدادات المخزون'!$B$4)+SUMIFS('هالك وتحويلات'!$E$2:$E$3001,'هالك وتحويلات'!$B$2:$B$3001,$B$2,'هالك وتحويلات'!$C$2:$C$3001,$A42,'هالك وتحويلات'!$D$2:$D$3001,"تحويل وارد",'هالك وتحويلات'!$A$2:$A$3001,'إعدادات المخزون'!$B$4)-SUMIFS('هالك وتحويلات'!$E$2:$E$3001,'هالك وتحويلات'!$B$2:$B$3001,$B$2,'هالك وتحويلات'!$C$2:$C$3001,$A42,'هالك وتحويلات'!$D$2:$D$3001,"تحويل صادر",'هالك وتحويلات'!$A$2:$A$3001,'إعدادات المخزون'!$B$4)-SUMIFS('هالك وتحويلات'!$E$2:$E$3001,'هالك وتحويلات'!$B$2:$B$3001,$B$2,'هالك وتحويلات'!$C$2:$C$3001,$A42,'هالك وتحويلات'!$D$2:$D$3001,"هالك",'هالك وتحويلات'!$A$2:$A$3001,'إعدادات المخزون'!$B$4)-SUMIFS('هالك وتحويلات'!$E$2:$E$3001,'هالك وتحويلات'!$B$2:$B$3001,$B$2,'هالك وتحويلات'!$C$2:$C$3001,$A42,'هالك وتحويلات'!$D$2:$D$3001,"ضيافة / أكل موظفين",'هالك وتحويلات'!$A$2:$A$3001,'إعدادات المخزون'!$B$4)-SUMPRODUCT('مصفوفة الاستهلاك (عصافرة)'!$AK$2:$AK$190,'متجهات المبيعات'!$H$2:$H$190)/'مواد المخزون'!$D$37</f>
        <v>-0.06</v>
      </c>
      <c r="AA42" s="109" t="n">
        <f aca="false">IF(K42="نعم",O42,0)</f>
        <v>0</v>
      </c>
      <c r="AB42" s="109" t="n">
        <f aca="false">IF(K42="نعم",J42*C42,0)</f>
        <v>0</v>
      </c>
      <c r="AC42" s="109" t="n">
        <f aca="false">IF(T42="",0,T42)</f>
        <v>0</v>
      </c>
    </row>
    <row r="43" customFormat="false" ht="15" hidden="false" customHeight="false" outlineLevel="0" collapsed="false">
      <c r="A43" s="34" t="str">
        <f aca="false">'مواد المخزون'!A38</f>
        <v>خيار مخلل</v>
      </c>
      <c r="B43" s="36" t="str">
        <f aca="false">'مواد المخزون'!B38</f>
        <v>كجم</v>
      </c>
      <c r="C43" s="109" t="n">
        <f aca="false">'مواد المخزون'!E38</f>
        <v>30</v>
      </c>
      <c r="D43" s="110" t="n">
        <f aca="false">'جرد أول المدة'!E41</f>
        <v>6.5</v>
      </c>
      <c r="E43" s="110" t="n">
        <f aca="false">SUMIFS('مشتريات يومية'!$D$2:$D$4001,'مشتريات يومية'!$B$2:$B$4001,$B$2,'مشتريات يومية'!$C$2:$C$4001,$A43,'مشتريات يومية'!$A$2:$A$4001,"&gt;="&amp;'إعدادات المخزون'!$B$5,'مشتريات يومية'!$A$2:$A$4001,"&lt;="&amp;'إعدادات المخزون'!$B$4)</f>
        <v>0</v>
      </c>
      <c r="F43" s="110" t="n">
        <f aca="false">SUMIFS('هالك وتحويلات'!$E$2:$E$3001,'هالك وتحويلات'!$B$2:$B$3001,$B$2,'هالك وتحويلات'!$C$2:$C$3001,$A43,'هالك وتحويلات'!$D$2:$D$3001,"تحويل وارد",'هالك وتحويلات'!$A$2:$A$3001,"&gt;="&amp;'إعدادات المخزون'!$B$5,'هالك وتحويلات'!$A$2:$A$3001,"&lt;="&amp;'إعدادات المخزون'!$B$4)</f>
        <v>0</v>
      </c>
      <c r="G43" s="110" t="n">
        <f aca="false">SUMIFS('هالك وتحويلات'!$E$2:$E$3001,'هالك وتحويلات'!$B$2:$B$3001,$B$2,'هالك وتحويلات'!$C$2:$C$3001,$A43,'هالك وتحويلات'!$D$2:$D$3001,"تحويل صادر",'هالك وتحويلات'!$A$2:$A$3001,"&gt;="&amp;'إعدادات المخزون'!$B$5,'هالك وتحويلات'!$A$2:$A$3001,"&lt;="&amp;'إعدادات المخزون'!$B$4)</f>
        <v>0</v>
      </c>
      <c r="H43" s="110" t="n">
        <f aca="false">SUMPRODUCT('مصفوفة الاستهلاك (عصافرة)'!$AL$2:$AL$190,'متجهات المبيعات'!$I$2:$I$190)/'مواد المخزون'!$D$38</f>
        <v>2.839992</v>
      </c>
      <c r="I43" s="110" t="n">
        <f aca="false">SUMIFS('هالك وتحويلات'!$E$2:$E$3001,'هالك وتحويلات'!$B$2:$B$3001,$B$2,'هالك وتحويلات'!$C$2:$C$3001,$A43,'هالك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وتحويلات'!$C$2:$C$3001,$A43,'هالك وتحويلات'!$D$2:$D$3001,"ضيافة / أكل موظفين",'هالك وتحويلات'!$A$2:$A$3001,"&gt;="&amp;'إعدادات المخزون'!$B$5,'هالك وتحويلات'!$A$2:$A$3001,"&lt;="&amp;'إعدادات المخزون'!$B$4)</f>
        <v>0</v>
      </c>
      <c r="J43" s="110" t="n">
        <f aca="false">D43+E43+F43-G43-H43-I43</f>
        <v>3.660008</v>
      </c>
      <c r="K43" s="36" t="str">
        <f aca="false">IF(COUNTIFS('جرد فعلي'!$B$2:$B$12001,$B$2,'جرد فعلي'!$C$2:$C$12001,$A43,'جرد فعلي'!$A$2:$A$12001,'إعدادات المخزون'!$B$4)&gt;0,"نعم","لا")</f>
        <v>لا</v>
      </c>
      <c r="L43" s="111" t="str">
        <f aca="false">IF(K43="نعم",SUMIFS('جرد فعلي'!$D$2:$D$12001,'جرد فعلي'!$B$2:$B$12001,$B$2,'جرد فعلي'!$C$2:$C$12001,$A43,'جرد فعلي'!$A$2:$A$12001,'إعدادات المخزون'!$B$4),"")</f>
        <v/>
      </c>
      <c r="M43" s="110" t="str">
        <f aca="false">IF(K43="نعم",L43-J43,"")</f>
        <v/>
      </c>
      <c r="N43" s="112" t="str">
        <f aca="false">IF(K43="نعم",IF(J43=0,IF(M43=0,0,SIGN(M43)),M43/ABS(J43)),"")</f>
        <v/>
      </c>
      <c r="O43" s="109" t="str">
        <f aca="false">IF(K43="نعم",M43*C43,"")</f>
        <v/>
      </c>
      <c r="P43" s="36" t="str">
        <f aca="false">IF(K43&lt;&gt;"نعم","لم يُجرد",IF(ABS(N43)&lt;='إعدادات المخزون'!$B$7,"مطابق",IF(M43&lt;0,"عجز","زيادة")))</f>
        <v>لم يُجرد</v>
      </c>
      <c r="Q43" s="110" t="n">
        <f aca="false">J43-Z43</f>
        <v>3.896674</v>
      </c>
      <c r="R43" s="110" t="str">
        <f aca="false">IF(COUNTIFS('جرد فعلي'!$B$2:$B$12001,$B$2,'جرد فعلي'!$C$2:$C$12001,$A43,'جرد فعلي'!$A$2:$A$12001,'إعدادات المخزون'!$B$4-1)&gt;0,SUMIFS('جرد فعلي'!$D$2:$D$12001,'جرد فعلي'!$B$2:$B$12001,$B$2,'جرد فعلي'!$C$2:$C$12001,$A43,'جرد فعلي'!$A$2:$A$12001,'إعدادات المخزون'!$B$4-1),"")</f>
        <v/>
      </c>
      <c r="S43" s="110" t="str">
        <f aca="false">IF(AND(K43="نعم",R43&lt;&gt;""),(L43-J43)-(R43-Q43),"")</f>
        <v/>
      </c>
      <c r="T43" s="109" t="str">
        <f aca="false">IF(S43="","",S43*C43)</f>
        <v/>
      </c>
      <c r="U43" s="110" t="n">
        <f aca="false">IF(K43="نعم",L43,J43)</f>
        <v>3.660008</v>
      </c>
      <c r="V43" s="110" t="n">
        <f aca="false">SUMPRODUCT('مصفوفة الاستهلاك (عصافرة)'!$AL$2:$AL$190,'متجهات المبيعات'!$J$2:$J$190)/'مواد المخزون'!$D$38/MAX(1,MIN('إعدادات المخزون'!$B$11,'إعدادات المخزون'!$B$4-'إعدادات المخزون'!$B$5+1))</f>
        <v>0.236666</v>
      </c>
      <c r="W43" s="110" t="n">
        <f aca="false">IF(V43&lt;=0,0,ROUNDUP(MAX(0,V43*('إعدادات المخزون'!$B$8+'إعدادات المخزون'!$B$9+'إعدادات المخزون'!$B$10)-MAX(U43,0))/'مواد المخزون'!$F38,0)*'مواد المخزون'!$F38)</f>
        <v>0</v>
      </c>
      <c r="X43" s="109" t="n">
        <f aca="false">IF(AND(K43="نعم",O43&lt;0),-O43+ROW()*0.000000001,0)</f>
        <v>0</v>
      </c>
      <c r="Y43" s="109" t="n">
        <f aca="false">IF(AND(K43="نعم",O43&gt;0),O43+ROW()*0.000000001,0)</f>
        <v>0</v>
      </c>
      <c r="Z43" s="110" t="n">
        <f aca="false">SUMIFS('مشتريات يومية'!$D$2:$D$4001,'مشتريات يومية'!$B$2:$B$4001,$B$2,'مشتريات يومية'!$C$2:$C$4001,$A43,'مشتريات يومية'!$A$2:$A$4001,'إعدادات المخزون'!$B$4)+SUMIFS('هالك وتحويلات'!$E$2:$E$3001,'هالك وتحويلات'!$B$2:$B$3001,$B$2,'هالك وتحويلات'!$C$2:$C$3001,$A43,'هالك وتحويلات'!$D$2:$D$3001,"تحويل وارد",'هالك وتحويلات'!$A$2:$A$3001,'إعدادات المخزون'!$B$4)-SUMIFS('هالك وتحويلات'!$E$2:$E$3001,'هالك وتحويلات'!$B$2:$B$3001,$B$2,'هالك وتحويلات'!$C$2:$C$3001,$A43,'هالك وتحويلات'!$D$2:$D$3001,"تحويل صادر",'هالك وتحويلات'!$A$2:$A$3001,'إعدادات المخزون'!$B$4)-SUMIFS('هالك وتحويلات'!$E$2:$E$3001,'هالك وتحويلات'!$B$2:$B$3001,$B$2,'هالك وتحويلات'!$C$2:$C$3001,$A43,'هالك وتحويلات'!$D$2:$D$3001,"هالك",'هالك وتحويلات'!$A$2:$A$3001,'إعدادات المخزون'!$B$4)-SUMIFS('هالك وتحويلات'!$E$2:$E$3001,'هالك وتحويلات'!$B$2:$B$3001,$B$2,'هالك وتحويلات'!$C$2:$C$3001,$A43,'هالك وتحويلات'!$D$2:$D$3001,"ضيافة / أكل موظفين",'هالك وتحويلات'!$A$2:$A$3001,'إعدادات المخزون'!$B$4)-SUMPRODUCT('مصفوفة الاستهلاك (عصافرة)'!$AL$2:$AL$190,'متجهات المبيعات'!$H$2:$H$190)/'مواد المخزون'!$D$38</f>
        <v>-0.236666</v>
      </c>
      <c r="AA43" s="109" t="n">
        <f aca="false">IF(K43="نعم",O43,0)</f>
        <v>0</v>
      </c>
      <c r="AB43" s="109" t="n">
        <f aca="false">IF(K43="نعم",J43*C43,0)</f>
        <v>0</v>
      </c>
      <c r="AC43" s="109" t="n">
        <f aca="false">IF(T43="",0,T43)</f>
        <v>0</v>
      </c>
    </row>
    <row r="44" customFormat="false" ht="15" hidden="false" customHeight="false" outlineLevel="0" collapsed="false">
      <c r="A44" s="34" t="str">
        <f aca="false">'مواد المخزون'!A39</f>
        <v>دقيق</v>
      </c>
      <c r="B44" s="36" t="str">
        <f aca="false">'مواد المخزون'!B39</f>
        <v>كجم</v>
      </c>
      <c r="C44" s="109" t="n">
        <f aca="false">'مواد المخزون'!E39</f>
        <v>20.3571</v>
      </c>
      <c r="D44" s="110" t="n">
        <f aca="false">'جرد أول المدة'!E42</f>
        <v>50.255</v>
      </c>
      <c r="E44" s="110" t="n">
        <f aca="false">SUMIFS('مشتريات يومية'!$D$2:$D$4001,'مشتريات يومية'!$B$2:$B$4001,$B$2,'مشتريات يومية'!$C$2:$C$4001,$A44,'مشتريات يومية'!$A$2:$A$4001,"&gt;="&amp;'إعدادات المخزون'!$B$5,'مشتريات يومية'!$A$2:$A$4001,"&lt;="&amp;'إعدادات المخزون'!$B$4)</f>
        <v>0</v>
      </c>
      <c r="F44" s="110" t="n">
        <f aca="false">SUMIFS('هالك وتحويلات'!$E$2:$E$3001,'هالك وتحويلات'!$B$2:$B$3001,$B$2,'هالك وتحويلات'!$C$2:$C$3001,$A44,'هالك وتحويلات'!$D$2:$D$3001,"تحويل وارد",'هالك وتحويلات'!$A$2:$A$3001,"&gt;="&amp;'إعدادات المخزون'!$B$5,'هالك وتحويلات'!$A$2:$A$3001,"&lt;="&amp;'إعدادات المخزون'!$B$4)</f>
        <v>0</v>
      </c>
      <c r="G44" s="110" t="n">
        <f aca="false">SUMIFS('هالك وتحويلات'!$E$2:$E$3001,'هالك وتحويلات'!$B$2:$B$3001,$B$2,'هالك وتحويلات'!$C$2:$C$3001,$A44,'هالك وتحويلات'!$D$2:$D$3001,"تحويل صادر",'هالك وتحويلات'!$A$2:$A$3001,"&gt;="&amp;'إعدادات المخزون'!$B$5,'هالك وتحويلات'!$A$2:$A$3001,"&lt;="&amp;'إعدادات المخزون'!$B$4)</f>
        <v>0</v>
      </c>
      <c r="H44" s="110" t="n">
        <f aca="false">SUMPRODUCT('مصفوفة الاستهلاك (عصافرة)'!$AM$2:$AM$190,'متجهات المبيعات'!$I$2:$I$190)/'مواد المخزون'!$D$39</f>
        <v>7.91669999968333</v>
      </c>
      <c r="I44" s="110" t="n">
        <f aca="false">SUMIFS('هالك وتحويلات'!$E$2:$E$3001,'هالك وتحويلات'!$B$2:$B$3001,$B$2,'هالك وتحويلات'!$C$2:$C$3001,$A44,'هالك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وتحويلات'!$C$2:$C$3001,$A44,'هالك وتحويلات'!$D$2:$D$3001,"ضيافة / أكل موظفين",'هالك وتحويلات'!$A$2:$A$3001,"&gt;="&amp;'إعدادات المخزون'!$B$5,'هالك وتحويلات'!$A$2:$A$3001,"&lt;="&amp;'إعدادات المخزون'!$B$4)</f>
        <v>0</v>
      </c>
      <c r="J44" s="110" t="n">
        <f aca="false">D44+E44+F44-G44-H44-I44</f>
        <v>42.3383000003167</v>
      </c>
      <c r="K44" s="36" t="str">
        <f aca="false">IF(COUNTIFS('جرد فعلي'!$B$2:$B$12001,$B$2,'جرد فعلي'!$C$2:$C$12001,$A44,'جرد فعلي'!$A$2:$A$12001,'إعدادات المخزون'!$B$4)&gt;0,"نعم","لا")</f>
        <v>لا</v>
      </c>
      <c r="L44" s="111" t="str">
        <f aca="false">IF(K44="نعم",SUMIFS('جرد فعلي'!$D$2:$D$12001,'جرد فعلي'!$B$2:$B$12001,$B$2,'جرد فعلي'!$C$2:$C$12001,$A44,'جرد فعلي'!$A$2:$A$12001,'إعدادات المخزون'!$B$4),"")</f>
        <v/>
      </c>
      <c r="M44" s="110" t="str">
        <f aca="false">IF(K44="نعم",L44-J44,"")</f>
        <v/>
      </c>
      <c r="N44" s="112" t="str">
        <f aca="false">IF(K44="نعم",IF(J44=0,IF(M44=0,0,SIGN(M44)),M44/ABS(J44)),"")</f>
        <v/>
      </c>
      <c r="O44" s="109" t="str">
        <f aca="false">IF(K44="نعم",M44*C44,"")</f>
        <v/>
      </c>
      <c r="P44" s="36" t="str">
        <f aca="false">IF(K44&lt;&gt;"نعم","لم يُجرد",IF(ABS(N44)&lt;='إعدادات المخزون'!$B$7,"مطابق",IF(M44&lt;0,"عجز","زيادة")))</f>
        <v>لم يُجرد</v>
      </c>
      <c r="Q44" s="110" t="n">
        <f aca="false">J44-Z44</f>
        <v>42.9980250002903</v>
      </c>
      <c r="R44" s="110" t="str">
        <f aca="false">IF(COUNTIFS('جرد فعلي'!$B$2:$B$12001,$B$2,'جرد فعلي'!$C$2:$C$12001,$A44,'جرد فعلي'!$A$2:$A$12001,'إعدادات المخزون'!$B$4-1)&gt;0,SUMIFS('جرد فعلي'!$D$2:$D$12001,'جرد فعلي'!$B$2:$B$12001,$B$2,'جرد فعلي'!$C$2:$C$12001,$A44,'جرد فعلي'!$A$2:$A$12001,'إعدادات المخزون'!$B$4-1),"")</f>
        <v/>
      </c>
      <c r="S44" s="110" t="str">
        <f aca="false">IF(AND(K44="نعم",R44&lt;&gt;""),(L44-J44)-(R44-Q44),"")</f>
        <v/>
      </c>
      <c r="T44" s="109" t="str">
        <f aca="false">IF(S44="","",S44*C44)</f>
        <v/>
      </c>
      <c r="U44" s="110" t="n">
        <f aca="false">IF(K44="نعم",L44,J44)</f>
        <v>42.3383000003167</v>
      </c>
      <c r="V44" s="110" t="n">
        <f aca="false">SUMPRODUCT('مصفوفة الاستهلاك (عصافرة)'!$AM$2:$AM$190,'متجهات المبيعات'!$J$2:$J$190)/'مواد المخزون'!$D$39/MAX(1,MIN('إعدادات المخزون'!$B$11,'إعدادات المخزون'!$B$4-'إعدادات المخزون'!$B$5+1))</f>
        <v>0.659724999973611</v>
      </c>
      <c r="W44" s="110" t="n">
        <f aca="false">IF(V44&lt;=0,0,ROUNDUP(MAX(0,V44*('إعدادات المخزون'!$B$8+'إعدادات المخزون'!$B$9+'إعدادات المخزون'!$B$10)-MAX(U44,0))/'مواد المخزون'!$F39,0)*'مواد المخزون'!$F39)</f>
        <v>0</v>
      </c>
      <c r="X44" s="109" t="n">
        <f aca="false">IF(AND(K44="نعم",O44&lt;0),-O44+ROW()*0.000000001,0)</f>
        <v>0</v>
      </c>
      <c r="Y44" s="109" t="n">
        <f aca="false">IF(AND(K44="نعم",O44&gt;0),O44+ROW()*0.000000001,0)</f>
        <v>0</v>
      </c>
      <c r="Z44" s="110" t="n">
        <f aca="false">SUMIFS('مشتريات يومية'!$D$2:$D$4001,'مشتريات يومية'!$B$2:$B$4001,$B$2,'مشتريات يومية'!$C$2:$C$4001,$A44,'مشتريات يومية'!$A$2:$A$4001,'إعدادات المخزون'!$B$4)+SUMIFS('هالك وتحويلات'!$E$2:$E$3001,'هالك وتحويلات'!$B$2:$B$3001,$B$2,'هالك وتحويلات'!$C$2:$C$3001,$A44,'هالك وتحويلات'!$D$2:$D$3001,"تحويل وارد",'هالك وتحويلات'!$A$2:$A$3001,'إعدادات المخزون'!$B$4)-SUMIFS('هالك وتحويلات'!$E$2:$E$3001,'هالك وتحويلات'!$B$2:$B$3001,$B$2,'هالك وتحويلات'!$C$2:$C$3001,$A44,'هالك وتحويلات'!$D$2:$D$3001,"تحويل صادر",'هالك وتحويلات'!$A$2:$A$3001,'إعدادات المخزون'!$B$4)-SUMIFS('هالك وتحويلات'!$E$2:$E$3001,'هالك وتحويلات'!$B$2:$B$3001,$B$2,'هالك وتحويلات'!$C$2:$C$3001,$A44,'هالك وتحويلات'!$D$2:$D$3001,"هالك",'هالك وتحويلات'!$A$2:$A$3001,'إعدادات المخزون'!$B$4)-SUMIFS('هالك وتحويلات'!$E$2:$E$3001,'هالك وتحويلات'!$B$2:$B$3001,$B$2,'هالك وتحويلات'!$C$2:$C$3001,$A44,'هالك وتحويلات'!$D$2:$D$3001,"ضيافة / أكل موظفين",'هالك وتحويلات'!$A$2:$A$3001,'إعدادات المخزون'!$B$4)-SUMPRODUCT('مصفوفة الاستهلاك (عصافرة)'!$AM$2:$AM$190,'متجهات المبيعات'!$H$2:$H$190)/'مواد المخزون'!$D$39</f>
        <v>-0.659724999973611</v>
      </c>
      <c r="AA44" s="109" t="n">
        <f aca="false">IF(K44="نعم",O44,0)</f>
        <v>0</v>
      </c>
      <c r="AB44" s="109" t="n">
        <f aca="false">IF(K44="نعم",J44*C44,0)</f>
        <v>0</v>
      </c>
      <c r="AC44" s="109" t="n">
        <f aca="false">IF(T44="",0,T44)</f>
        <v>0</v>
      </c>
    </row>
    <row r="45" customFormat="false" ht="15" hidden="false" customHeight="false" outlineLevel="0" collapsed="false">
      <c r="A45" s="34" t="str">
        <f aca="false">'مواد المخزون'!A40</f>
        <v>زبدة</v>
      </c>
      <c r="B45" s="36" t="str">
        <f aca="false">'مواد المخزون'!B40</f>
        <v>كجم</v>
      </c>
      <c r="C45" s="109" t="n">
        <f aca="false">'مواد المخزون'!E40</f>
        <v>120</v>
      </c>
      <c r="D45" s="110" t="n">
        <f aca="false">'جرد أول المدة'!E43</f>
        <v>1.528</v>
      </c>
      <c r="E45" s="110" t="n">
        <f aca="false">SUMIFS('مشتريات يومية'!$D$2:$D$4001,'مشتريات يومية'!$B$2:$B$4001,$B$2,'مشتريات يومية'!$C$2:$C$4001,$A45,'مشتريات يومية'!$A$2:$A$4001,"&gt;="&amp;'إعدادات المخزون'!$B$5,'مشتريات يومية'!$A$2:$A$4001,"&lt;="&amp;'إعدادات المخزون'!$B$4)</f>
        <v>9</v>
      </c>
      <c r="F45" s="110" t="n">
        <f aca="false">SUMIFS('هالك وتحويلات'!$E$2:$E$3001,'هالك وتحويلات'!$B$2:$B$3001,$B$2,'هالك وتحويلات'!$C$2:$C$3001,$A45,'هالك وتحويلات'!$D$2:$D$3001,"تحويل وارد",'هالك وتحويلات'!$A$2:$A$3001,"&gt;="&amp;'إعدادات المخزون'!$B$5,'هالك وتحويلات'!$A$2:$A$3001,"&lt;="&amp;'إعدادات المخزون'!$B$4)</f>
        <v>0</v>
      </c>
      <c r="G45" s="110" t="n">
        <f aca="false">SUMIFS('هالك وتحويلات'!$E$2:$E$3001,'هالك وتحويلات'!$B$2:$B$3001,$B$2,'هالك وتحويلات'!$C$2:$C$3001,$A45,'هالك وتحويلات'!$D$2:$D$3001,"تحويل صادر",'هالك وتحويلات'!$A$2:$A$3001,"&gt;="&amp;'إعدادات المخزون'!$B$5,'هالك وتحويلات'!$A$2:$A$3001,"&lt;="&amp;'إعدادات المخزون'!$B$4)</f>
        <v>0</v>
      </c>
      <c r="H45" s="110" t="n">
        <f aca="false">SUMPRODUCT('مصفوفة الاستهلاك (عصافرة)'!$AN$2:$AN$190,'متجهات المبيعات'!$I$2:$I$190)/'مواد المخزون'!$D$40</f>
        <v>1.82081700003167</v>
      </c>
      <c r="I45" s="110" t="n">
        <f aca="false">SUMIFS('هالك وتحويلات'!$E$2:$E$3001,'هالك وتحويلات'!$B$2:$B$3001,$B$2,'هالك وتحويلات'!$C$2:$C$3001,$A45,'هالك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وتحويلات'!$C$2:$C$3001,$A45,'هالك وتحويلات'!$D$2:$D$3001,"ضيافة / أكل موظفين",'هالك وتحويلات'!$A$2:$A$3001,"&gt;="&amp;'إعدادات المخزون'!$B$5,'هالك وتحويلات'!$A$2:$A$3001,"&lt;="&amp;'إعدادات المخزون'!$B$4)</f>
        <v>0</v>
      </c>
      <c r="J45" s="110" t="n">
        <f aca="false">D45+E45+F45-G45-H45-I45</f>
        <v>8.70718299996833</v>
      </c>
      <c r="K45" s="36" t="str">
        <f aca="false">IF(COUNTIFS('جرد فعلي'!$B$2:$B$12001,$B$2,'جرد فعلي'!$C$2:$C$12001,$A45,'جرد فعلي'!$A$2:$A$12001,'إعدادات المخزون'!$B$4)&gt;0,"نعم","لا")</f>
        <v>لا</v>
      </c>
      <c r="L45" s="111" t="str">
        <f aca="false">IF(K45="نعم",SUMIFS('جرد فعلي'!$D$2:$D$12001,'جرد فعلي'!$B$2:$B$12001,$B$2,'جرد فعلي'!$C$2:$C$12001,$A45,'جرد فعلي'!$A$2:$A$12001,'إعدادات المخزون'!$B$4),"")</f>
        <v/>
      </c>
      <c r="M45" s="110" t="str">
        <f aca="false">IF(K45="نعم",L45-J45,"")</f>
        <v/>
      </c>
      <c r="N45" s="112" t="str">
        <f aca="false">IF(K45="نعم",IF(J45=0,IF(M45=0,0,SIGN(M45)),M45/ABS(J45)),"")</f>
        <v/>
      </c>
      <c r="O45" s="109" t="str">
        <f aca="false">IF(K45="نعم",M45*C45,"")</f>
        <v/>
      </c>
      <c r="P45" s="36" t="str">
        <f aca="false">IF(K45&lt;&gt;"نعم","لم يُجرد",IF(ABS(N45)&lt;='إعدادات المخزون'!$B$7,"مطابق",IF(M45&lt;0,"عجز","زيادة")))</f>
        <v>لم يُجرد</v>
      </c>
      <c r="Q45" s="110" t="n">
        <f aca="false">J45-Z45</f>
        <v>8.85891774997097</v>
      </c>
      <c r="R45" s="110" t="str">
        <f aca="false">IF(COUNTIFS('جرد فعلي'!$B$2:$B$12001,$B$2,'جرد فعلي'!$C$2:$C$12001,$A45,'جرد فعلي'!$A$2:$A$12001,'إعدادات المخزون'!$B$4-1)&gt;0,SUMIFS('جرد فعلي'!$D$2:$D$12001,'جرد فعلي'!$B$2:$B$12001,$B$2,'جرد فعلي'!$C$2:$C$12001,$A45,'جرد فعلي'!$A$2:$A$12001,'إعدادات المخزون'!$B$4-1),"")</f>
        <v/>
      </c>
      <c r="S45" s="110" t="str">
        <f aca="false">IF(AND(K45="نعم",R45&lt;&gt;""),(L45-J45)-(R45-Q45),"")</f>
        <v/>
      </c>
      <c r="T45" s="109" t="str">
        <f aca="false">IF(S45="","",S45*C45)</f>
        <v/>
      </c>
      <c r="U45" s="110" t="n">
        <f aca="false">IF(K45="نعم",L45,J45)</f>
        <v>8.70718299996833</v>
      </c>
      <c r="V45" s="110" t="n">
        <f aca="false">SUMPRODUCT('مصفوفة الاستهلاك (عصافرة)'!$AN$2:$AN$190,'متجهات المبيعات'!$J$2:$J$190)/'مواد المخزون'!$D$40/MAX(1,MIN('إعدادات المخزون'!$B$11,'إعدادات المخزون'!$B$4-'إعدادات المخزون'!$B$5+1))</f>
        <v>0.151734750002639</v>
      </c>
      <c r="W45" s="110" t="n">
        <f aca="false">IF(V45&lt;=0,0,ROUNDUP(MAX(0,V45*('إعدادات المخزون'!$B$8+'إعدادات المخزون'!$B$9+'إعدادات المخزون'!$B$10)-MAX(U45,0))/'مواد المخزون'!$F40,0)*'مواد المخزون'!$F40)</f>
        <v>0</v>
      </c>
      <c r="X45" s="109" t="n">
        <f aca="false">IF(AND(K45="نعم",O45&lt;0),-O45+ROW()*0.000000001,0)</f>
        <v>0</v>
      </c>
      <c r="Y45" s="109" t="n">
        <f aca="false">IF(AND(K45="نعم",O45&gt;0),O45+ROW()*0.000000001,0)</f>
        <v>0</v>
      </c>
      <c r="Z45" s="110" t="n">
        <f aca="false">SUMIFS('مشتريات يومية'!$D$2:$D$4001,'مشتريات يومية'!$B$2:$B$4001,$B$2,'مشتريات يومية'!$C$2:$C$4001,$A45,'مشتريات يومية'!$A$2:$A$4001,'إعدادات المخزون'!$B$4)+SUMIFS('هالك وتحويلات'!$E$2:$E$3001,'هالك وتحويلات'!$B$2:$B$3001,$B$2,'هالك وتحويلات'!$C$2:$C$3001,$A45,'هالك وتحويلات'!$D$2:$D$3001,"تحويل وارد",'هالك وتحويلات'!$A$2:$A$3001,'إعدادات المخزون'!$B$4)-SUMIFS('هالك وتحويلات'!$E$2:$E$3001,'هالك وتحويلات'!$B$2:$B$3001,$B$2,'هالك وتحويلات'!$C$2:$C$3001,$A45,'هالك وتحويلات'!$D$2:$D$3001,"تحويل صادر",'هالك وتحويلات'!$A$2:$A$3001,'إعدادات المخزون'!$B$4)-SUMIFS('هالك وتحويلات'!$E$2:$E$3001,'هالك وتحويلات'!$B$2:$B$3001,$B$2,'هالك وتحويلات'!$C$2:$C$3001,$A45,'هالك وتحويلات'!$D$2:$D$3001,"هالك",'هالك وتحويلات'!$A$2:$A$3001,'إعدادات المخزون'!$B$4)-SUMIFS('هالك وتحويلات'!$E$2:$E$3001,'هالك وتحويلات'!$B$2:$B$3001,$B$2,'هالك وتحويلات'!$C$2:$C$3001,$A45,'هالك وتحويلات'!$D$2:$D$3001,"ضيافة / أكل موظفين",'هالك وتحويلات'!$A$2:$A$3001,'إعدادات المخزون'!$B$4)-SUMPRODUCT('مصفوفة الاستهلاك (عصافرة)'!$AN$2:$AN$190,'متجهات المبيعات'!$H$2:$H$190)/'مواد المخزون'!$D$40</f>
        <v>-0.151734750002639</v>
      </c>
      <c r="AA45" s="109" t="n">
        <f aca="false">IF(K45="نعم",O45,0)</f>
        <v>0</v>
      </c>
      <c r="AB45" s="109" t="n">
        <f aca="false">IF(K45="نعم",J45*C45,0)</f>
        <v>0</v>
      </c>
      <c r="AC45" s="109" t="n">
        <f aca="false">IF(T45="",0,T45)</f>
        <v>0</v>
      </c>
    </row>
    <row r="46" customFormat="false" ht="15" hidden="false" customHeight="false" outlineLevel="0" collapsed="false">
      <c r="A46" s="34" t="str">
        <f aca="false">'مواد المخزون'!A41</f>
        <v>زبيب</v>
      </c>
      <c r="B46" s="36" t="str">
        <f aca="false">'مواد المخزون'!B41</f>
        <v>كجم</v>
      </c>
      <c r="C46" s="109" t="n">
        <f aca="false">'مواد المخزون'!E41</f>
        <v>220</v>
      </c>
      <c r="D46" s="110" t="n">
        <f aca="false">'جرد أول المدة'!E44</f>
        <v>0.94</v>
      </c>
      <c r="E46" s="110" t="n">
        <f aca="false">SUMIFS('مشتريات يومية'!$D$2:$D$4001,'مشتريات يومية'!$B$2:$B$4001,$B$2,'مشتريات يومية'!$C$2:$C$4001,$A46,'مشتريات يومية'!$A$2:$A$4001,"&gt;="&amp;'إعدادات المخزون'!$B$5,'مشتريات يومية'!$A$2:$A$4001,"&lt;="&amp;'إعدادات المخزون'!$B$4)</f>
        <v>1.5</v>
      </c>
      <c r="F46" s="110" t="n">
        <f aca="false">SUMIFS('هالك وتحويلات'!$E$2:$E$3001,'هالك وتحويلات'!$B$2:$B$3001,$B$2,'هالك وتحويلات'!$C$2:$C$3001,$A46,'هالك وتحويلات'!$D$2:$D$3001,"تحويل وارد",'هالك وتحويلات'!$A$2:$A$3001,"&gt;="&amp;'إعدادات المخزون'!$B$5,'هالك وتحويلات'!$A$2:$A$3001,"&lt;="&amp;'إعدادات المخزون'!$B$4)</f>
        <v>0</v>
      </c>
      <c r="G46" s="110" t="n">
        <f aca="false">SUMIFS('هالك وتحويلات'!$E$2:$E$3001,'هالك وتحويلات'!$B$2:$B$3001,$B$2,'هالك وتحويلات'!$C$2:$C$3001,$A46,'هالك وتحويلات'!$D$2:$D$3001,"تحويل صادر",'هالك وتحويلات'!$A$2:$A$3001,"&gt;="&amp;'إعدادات المخزون'!$B$5,'هالك وتحويلات'!$A$2:$A$3001,"&lt;="&amp;'إعدادات المخزون'!$B$4)</f>
        <v>0</v>
      </c>
      <c r="H46" s="110" t="n">
        <f aca="false">SUMPRODUCT('مصفوفة الاستهلاك (عصافرة)'!$AO$2:$AO$190,'متجهات المبيعات'!$I$2:$I$190)/'مواد المخزون'!$D$41</f>
        <v>1.44</v>
      </c>
      <c r="I46" s="110" t="n">
        <f aca="false">SUMIFS('هالك وتحويلات'!$E$2:$E$3001,'هالك وتحويلات'!$B$2:$B$3001,$B$2,'هالك وتحويلات'!$C$2:$C$3001,$A46,'هالك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وتحويلات'!$C$2:$C$3001,$A46,'هالك وتحويلات'!$D$2:$D$3001,"ضيافة / أكل موظفين",'هالك وتحويلات'!$A$2:$A$3001,"&gt;="&amp;'إعدادات المخزون'!$B$5,'هالك وتحويلات'!$A$2:$A$3001,"&lt;="&amp;'إعدادات المخزون'!$B$4)</f>
        <v>0</v>
      </c>
      <c r="J46" s="110" t="n">
        <f aca="false">D46+E46+F46-G46-H46-I46</f>
        <v>1</v>
      </c>
      <c r="K46" s="36" t="str">
        <f aca="false">IF(COUNTIFS('جرد فعلي'!$B$2:$B$12001,$B$2,'جرد فعلي'!$C$2:$C$12001,$A46,'جرد فعلي'!$A$2:$A$12001,'إعدادات المخزون'!$B$4)&gt;0,"نعم","لا")</f>
        <v>لا</v>
      </c>
      <c r="L46" s="111" t="str">
        <f aca="false">IF(K46="نعم",SUMIFS('جرد فعلي'!$D$2:$D$12001,'جرد فعلي'!$B$2:$B$12001,$B$2,'جرد فعلي'!$C$2:$C$12001,$A46,'جرد فعلي'!$A$2:$A$12001,'إعدادات المخزون'!$B$4),"")</f>
        <v/>
      </c>
      <c r="M46" s="110" t="str">
        <f aca="false">IF(K46="نعم",L46-J46,"")</f>
        <v/>
      </c>
      <c r="N46" s="112" t="str">
        <f aca="false">IF(K46="نعم",IF(J46=0,IF(M46=0,0,SIGN(M46)),M46/ABS(J46)),"")</f>
        <v/>
      </c>
      <c r="O46" s="109" t="str">
        <f aca="false">IF(K46="نعم",M46*C46,"")</f>
        <v/>
      </c>
      <c r="P46" s="36" t="str">
        <f aca="false">IF(K46&lt;&gt;"نعم","لم يُجرد",IF(ABS(N46)&lt;='إعدادات المخزون'!$B$7,"مطابق",IF(M46&lt;0,"عجز","زيادة")))</f>
        <v>لم يُجرد</v>
      </c>
      <c r="Q46" s="110" t="n">
        <f aca="false">J46-Z46</f>
        <v>1.12</v>
      </c>
      <c r="R46" s="110" t="str">
        <f aca="false">IF(COUNTIFS('جرد فعلي'!$B$2:$B$12001,$B$2,'جرد فعلي'!$C$2:$C$12001,$A46,'جرد فعلي'!$A$2:$A$12001,'إعدادات المخزون'!$B$4-1)&gt;0,SUMIFS('جرد فعلي'!$D$2:$D$12001,'جرد فعلي'!$B$2:$B$12001,$B$2,'جرد فعلي'!$C$2:$C$12001,$A46,'جرد فعلي'!$A$2:$A$12001,'إعدادات المخزون'!$B$4-1),"")</f>
        <v/>
      </c>
      <c r="S46" s="110" t="str">
        <f aca="false">IF(AND(K46="نعم",R46&lt;&gt;""),(L46-J46)-(R46-Q46),"")</f>
        <v/>
      </c>
      <c r="T46" s="109" t="str">
        <f aca="false">IF(S46="","",S46*C46)</f>
        <v/>
      </c>
      <c r="U46" s="110" t="n">
        <f aca="false">IF(K46="نعم",L46,J46)</f>
        <v>1</v>
      </c>
      <c r="V46" s="110" t="n">
        <f aca="false">SUMPRODUCT('مصفوفة الاستهلاك (عصافرة)'!$AO$2:$AO$190,'متجهات المبيعات'!$J$2:$J$190)/'مواد المخزون'!$D$41/MAX(1,MIN('إعدادات المخزون'!$B$11,'إعدادات المخزون'!$B$4-'إعدادات المخزون'!$B$5+1))</f>
        <v>0.12</v>
      </c>
      <c r="W46" s="110" t="n">
        <f aca="false">IF(V46&lt;=0,0,ROUNDUP(MAX(0,V46*('إعدادات المخزون'!$B$8+'إعدادات المخزون'!$B$9+'إعدادات المخزون'!$B$10)-MAX(U46,0))/'مواد المخزون'!$F41,0)*'مواد المخزون'!$F41)</f>
        <v>0</v>
      </c>
      <c r="X46" s="109" t="n">
        <f aca="false">IF(AND(K46="نعم",O46&lt;0),-O46+ROW()*0.000000001,0)</f>
        <v>0</v>
      </c>
      <c r="Y46" s="109" t="n">
        <f aca="false">IF(AND(K46="نعم",O46&gt;0),O46+ROW()*0.000000001,0)</f>
        <v>0</v>
      </c>
      <c r="Z46" s="110" t="n">
        <f aca="false">SUMIFS('مشتريات يومية'!$D$2:$D$4001,'مشتريات يومية'!$B$2:$B$4001,$B$2,'مشتريات يومية'!$C$2:$C$4001,$A46,'مشتريات يومية'!$A$2:$A$4001,'إعدادات المخزون'!$B$4)+SUMIFS('هالك وتحويلات'!$E$2:$E$3001,'هالك وتحويلات'!$B$2:$B$3001,$B$2,'هالك وتحويلات'!$C$2:$C$3001,$A46,'هالك وتحويلات'!$D$2:$D$3001,"تحويل وارد",'هالك وتحويلات'!$A$2:$A$3001,'إعدادات المخزون'!$B$4)-SUMIFS('هالك وتحويلات'!$E$2:$E$3001,'هالك وتحويلات'!$B$2:$B$3001,$B$2,'هالك وتحويلات'!$C$2:$C$3001,$A46,'هالك وتحويلات'!$D$2:$D$3001,"تحويل صادر",'هالك وتحويلات'!$A$2:$A$3001,'إعدادات المخزون'!$B$4)-SUMIFS('هالك وتحويلات'!$E$2:$E$3001,'هالك وتحويلات'!$B$2:$B$3001,$B$2,'هالك وتحويلات'!$C$2:$C$3001,$A46,'هالك وتحويلات'!$D$2:$D$3001,"هالك",'هالك وتحويلات'!$A$2:$A$3001,'إعدادات المخزون'!$B$4)-SUMIFS('هالك وتحويلات'!$E$2:$E$3001,'هالك وتحويلات'!$B$2:$B$3001,$B$2,'هالك وتحويلات'!$C$2:$C$3001,$A46,'هالك وتحويلات'!$D$2:$D$3001,"ضيافة / أكل موظفين",'هالك وتحويلات'!$A$2:$A$3001,'إعدادات المخزون'!$B$4)-SUMPRODUCT('مصفوفة الاستهلاك (عصافرة)'!$AO$2:$AO$190,'متجهات المبيعات'!$H$2:$H$190)/'مواد المخزون'!$D$41</f>
        <v>-0.12</v>
      </c>
      <c r="AA46" s="109" t="n">
        <f aca="false">IF(K46="نعم",O46,0)</f>
        <v>0</v>
      </c>
      <c r="AB46" s="109" t="n">
        <f aca="false">IF(K46="نعم",J46*C46,0)</f>
        <v>0</v>
      </c>
      <c r="AC46" s="109" t="n">
        <f aca="false">IF(T46="",0,T46)</f>
        <v>0</v>
      </c>
    </row>
    <row r="47" customFormat="false" ht="15" hidden="false" customHeight="false" outlineLevel="0" collapsed="false">
      <c r="A47" s="34" t="str">
        <f aca="false">'مواد المخزون'!A42</f>
        <v>زيتون</v>
      </c>
      <c r="B47" s="36" t="str">
        <f aca="false">'مواد المخزون'!B42</f>
        <v>كجم</v>
      </c>
      <c r="C47" s="109" t="n">
        <f aca="false">'مواد المخزون'!E42</f>
        <v>95</v>
      </c>
      <c r="D47" s="110" t="n">
        <f aca="false">'جرد أول المدة'!E45</f>
        <v>9.57</v>
      </c>
      <c r="E47" s="110" t="n">
        <f aca="false">SUMIFS('مشتريات يومية'!$D$2:$D$4001,'مشتريات يومية'!$B$2:$B$4001,$B$2,'مشتريات يومية'!$C$2:$C$4001,$A47,'مشتريات يومية'!$A$2:$A$4001,"&gt;="&amp;'إعدادات المخزون'!$B$5,'مشتريات يومية'!$A$2:$A$4001,"&lt;="&amp;'إعدادات المخزون'!$B$4)</f>
        <v>25</v>
      </c>
      <c r="F47" s="110" t="n">
        <f aca="false">SUMIFS('هالك وتحويلات'!$E$2:$E$3001,'هالك وتحويلات'!$B$2:$B$3001,$B$2,'هالك وتحويلات'!$C$2:$C$3001,$A47,'هالك وتحويلات'!$D$2:$D$3001,"تحويل وارد",'هالك وتحويلات'!$A$2:$A$3001,"&gt;="&amp;'إعدادات المخزون'!$B$5,'هالك وتحويلات'!$A$2:$A$3001,"&lt;="&amp;'إعدادات المخزون'!$B$4)</f>
        <v>0</v>
      </c>
      <c r="G47" s="110" t="n">
        <f aca="false">SUMIFS('هالك وتحويلات'!$E$2:$E$3001,'هالك وتحويلات'!$B$2:$B$3001,$B$2,'هالك وتحويلات'!$C$2:$C$3001,$A47,'هالك وتحويلات'!$D$2:$D$3001,"تحويل صادر",'هالك وتحويلات'!$A$2:$A$3001,"&gt;="&amp;'إعدادات المخزون'!$B$5,'هالك وتحويلات'!$A$2:$A$3001,"&lt;="&amp;'إعدادات المخزون'!$B$4)</f>
        <v>0</v>
      </c>
      <c r="H47" s="110" t="n">
        <f aca="false">SUMPRODUCT('مصفوفة الاستهلاك (عصافرة)'!$AP$2:$AP$190,'متجهات المبيعات'!$I$2:$I$190)/'مواد المخزون'!$D$42</f>
        <v>35.470008</v>
      </c>
      <c r="I47" s="110" t="n">
        <f aca="false">SUMIFS('هالك وتحويلات'!$E$2:$E$3001,'هالك وتحويلات'!$B$2:$B$3001,$B$2,'هالك وتحويلات'!$C$2:$C$3001,$A47,'هالك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وتحويلات'!$C$2:$C$3001,$A47,'هالك وتحويلات'!$D$2:$D$3001,"ضيافة / أكل موظفين",'هالك وتحويلات'!$A$2:$A$3001,"&gt;="&amp;'إعدادات المخزون'!$B$5,'هالك وتحويلات'!$A$2:$A$3001,"&lt;="&amp;'إعدادات المخزون'!$B$4)</f>
        <v>0</v>
      </c>
      <c r="J47" s="110" t="n">
        <f aca="false">D47+E47+F47-G47-H47-I47</f>
        <v>-0.900008</v>
      </c>
      <c r="K47" s="36" t="str">
        <f aca="false">IF(COUNTIFS('جرد فعلي'!$B$2:$B$12001,$B$2,'جرد فعلي'!$C$2:$C$12001,$A47,'جرد فعلي'!$A$2:$A$12001,'إعدادات المخزون'!$B$4)&gt;0,"نعم","لا")</f>
        <v>لا</v>
      </c>
      <c r="L47" s="111" t="str">
        <f aca="false">IF(K47="نعم",SUMIFS('جرد فعلي'!$D$2:$D$12001,'جرد فعلي'!$B$2:$B$12001,$B$2,'جرد فعلي'!$C$2:$C$12001,$A47,'جرد فعلي'!$A$2:$A$12001,'إعدادات المخزون'!$B$4),"")</f>
        <v/>
      </c>
      <c r="M47" s="110" t="str">
        <f aca="false">IF(K47="نعم",L47-J47,"")</f>
        <v/>
      </c>
      <c r="N47" s="112" t="str">
        <f aca="false">IF(K47="نعم",IF(J47=0,IF(M47=0,0,SIGN(M47)),M47/ABS(J47)),"")</f>
        <v/>
      </c>
      <c r="O47" s="109" t="str">
        <f aca="false">IF(K47="نعم",M47*C47,"")</f>
        <v/>
      </c>
      <c r="P47" s="36" t="str">
        <f aca="false">IF(K47&lt;&gt;"نعم","لم يُجرد",IF(ABS(N47)&lt;='إعدادات المخزون'!$B$7,"مطابق",IF(M47&lt;0,"عجز","زيادة")))</f>
        <v>لم يُجرد</v>
      </c>
      <c r="Q47" s="110" t="n">
        <f aca="false">J47-Z47</f>
        <v>2.055826</v>
      </c>
      <c r="R47" s="110" t="str">
        <f aca="false">IF(COUNTIFS('جرد فعلي'!$B$2:$B$12001,$B$2,'جرد فعلي'!$C$2:$C$12001,$A47,'جرد فعلي'!$A$2:$A$12001,'إعدادات المخزون'!$B$4-1)&gt;0,SUMIFS('جرد فعلي'!$D$2:$D$12001,'جرد فعلي'!$B$2:$B$12001,$B$2,'جرد فعلي'!$C$2:$C$12001,$A47,'جرد فعلي'!$A$2:$A$12001,'إعدادات المخزون'!$B$4-1),"")</f>
        <v/>
      </c>
      <c r="S47" s="110" t="str">
        <f aca="false">IF(AND(K47="نعم",R47&lt;&gt;""),(L47-J47)-(R47-Q47),"")</f>
        <v/>
      </c>
      <c r="T47" s="109" t="str">
        <f aca="false">IF(S47="","",S47*C47)</f>
        <v/>
      </c>
      <c r="U47" s="110" t="n">
        <f aca="false">IF(K47="نعم",L47,J47)</f>
        <v>-0.900008</v>
      </c>
      <c r="V47" s="110" t="n">
        <f aca="false">SUMPRODUCT('مصفوفة الاستهلاك (عصافرة)'!$AP$2:$AP$190,'متجهات المبيعات'!$J$2:$J$190)/'مواد المخزون'!$D$42/MAX(1,MIN('إعدادات المخزون'!$B$11,'إعدادات المخزون'!$B$4-'إعدادات المخزون'!$B$5+1))</f>
        <v>2.955834</v>
      </c>
      <c r="W47" s="110" t="n">
        <f aca="false">IF(V47&lt;=0,0,ROUNDUP(MAX(0,V47*('إعدادات المخزون'!$B$8+'إعدادات المخزون'!$B$9+'إعدادات المخزون'!$B$10)-MAX(U47,0))/'مواد المخزون'!$F42,0)*'مواد المخزون'!$F42)</f>
        <v>12</v>
      </c>
      <c r="X47" s="109" t="n">
        <f aca="false">IF(AND(K47="نعم",O47&lt;0),-O47+ROW()*0.000000001,0)</f>
        <v>0</v>
      </c>
      <c r="Y47" s="109" t="n">
        <f aca="false">IF(AND(K47="نعم",O47&gt;0),O47+ROW()*0.000000001,0)</f>
        <v>0</v>
      </c>
      <c r="Z47" s="110" t="n">
        <f aca="false">SUMIFS('مشتريات يومية'!$D$2:$D$4001,'مشتريات يومية'!$B$2:$B$4001,$B$2,'مشتريات يومية'!$C$2:$C$4001,$A47,'مشتريات يومية'!$A$2:$A$4001,'إعدادات المخزون'!$B$4)+SUMIFS('هالك وتحويلات'!$E$2:$E$3001,'هالك وتحويلات'!$B$2:$B$3001,$B$2,'هالك وتحويلات'!$C$2:$C$3001,$A47,'هالك وتحويلات'!$D$2:$D$3001,"تحويل وارد",'هالك وتحويلات'!$A$2:$A$3001,'إعدادات المخزون'!$B$4)-SUMIFS('هالك وتحويلات'!$E$2:$E$3001,'هالك وتحويلات'!$B$2:$B$3001,$B$2,'هالك وتحويلات'!$C$2:$C$3001,$A47,'هالك وتحويلات'!$D$2:$D$3001,"تحويل صادر",'هالك وتحويلات'!$A$2:$A$3001,'إعدادات المخزون'!$B$4)-SUMIFS('هالك وتحويلات'!$E$2:$E$3001,'هالك وتحويلات'!$B$2:$B$3001,$B$2,'هالك وتحويلات'!$C$2:$C$3001,$A47,'هالك وتحويلات'!$D$2:$D$3001,"هالك",'هالك وتحويلات'!$A$2:$A$3001,'إعدادات المخزون'!$B$4)-SUMIFS('هالك وتحويلات'!$E$2:$E$3001,'هالك وتحويلات'!$B$2:$B$3001,$B$2,'هالك وتحويلات'!$C$2:$C$3001,$A47,'هالك وتحويلات'!$D$2:$D$3001,"ضيافة / أكل موظفين",'هالك وتحويلات'!$A$2:$A$3001,'إعدادات المخزون'!$B$4)-SUMPRODUCT('مصفوفة الاستهلاك (عصافرة)'!$AP$2:$AP$190,'متجهات المبيعات'!$H$2:$H$190)/'مواد المخزون'!$D$42</f>
        <v>-2.955834</v>
      </c>
      <c r="AA47" s="109" t="n">
        <f aca="false">IF(K47="نعم",O47,0)</f>
        <v>0</v>
      </c>
      <c r="AB47" s="109" t="n">
        <f aca="false">IF(K47="نعم",J47*C47,0)</f>
        <v>0</v>
      </c>
      <c r="AC47" s="109" t="n">
        <f aca="false">IF(T47="",0,T47)</f>
        <v>0</v>
      </c>
    </row>
    <row r="48" customFormat="false" ht="15" hidden="false" customHeight="false" outlineLevel="0" collapsed="false">
      <c r="A48" s="34" t="str">
        <f aca="false">'مواد المخزون'!A43</f>
        <v>سكر بودرة</v>
      </c>
      <c r="B48" s="36" t="str">
        <f aca="false">'مواد المخزون'!B43</f>
        <v>كجم</v>
      </c>
      <c r="C48" s="109" t="n">
        <f aca="false">'مواد المخزون'!E43</f>
        <v>30.6593</v>
      </c>
      <c r="D48" s="110" t="n">
        <f aca="false">'جرد أول المدة'!E46</f>
        <v>4.821</v>
      </c>
      <c r="E48" s="110" t="n">
        <f aca="false">SUMIFS('مشتريات يومية'!$D$2:$D$4001,'مشتريات يومية'!$B$2:$B$4001,$B$2,'مشتريات يومية'!$C$2:$C$4001,$A48,'مشتريات يومية'!$A$2:$A$4001,"&gt;="&amp;'إعدادات المخزون'!$B$5,'مشتريات يومية'!$A$2:$A$4001,"&lt;="&amp;'إعدادات المخزون'!$B$4)</f>
        <v>85</v>
      </c>
      <c r="F48" s="110" t="n">
        <f aca="false">SUMIFS('هالك وتحويلات'!$E$2:$E$3001,'هالك وتحويلات'!$B$2:$B$3001,$B$2,'هالك وتحويلات'!$C$2:$C$3001,$A48,'هالك وتحويلات'!$D$2:$D$3001,"تحويل وارد",'هالك وتحويلات'!$A$2:$A$3001,"&gt;="&amp;'إعدادات المخزون'!$B$5,'هالك وتحويلات'!$A$2:$A$3001,"&lt;="&amp;'إعدادات المخزون'!$B$4)</f>
        <v>0</v>
      </c>
      <c r="G48" s="110" t="n">
        <f aca="false">SUMIFS('هالك وتحويلات'!$E$2:$E$3001,'هالك وتحويلات'!$B$2:$B$3001,$B$2,'هالك وتحويلات'!$C$2:$C$3001,$A48,'هالك وتحويلات'!$D$2:$D$3001,"تحويل صادر",'هالك وتحويلات'!$A$2:$A$3001,"&gt;="&amp;'إعدادات المخزون'!$B$5,'هالك وتحويلات'!$A$2:$A$3001,"&lt;="&amp;'إعدادات المخزون'!$B$4)</f>
        <v>0</v>
      </c>
      <c r="H48" s="110" t="n">
        <f aca="false">SUMPRODUCT('مصفوفة الاستهلاك (عصافرة)'!$AQ$2:$AQ$190,'متجهات المبيعات'!$I$2:$I$190)/'مواد المخزون'!$D$43</f>
        <v>27.8707950000317</v>
      </c>
      <c r="I48" s="110" t="n">
        <f aca="false">SUMIFS('هالك وتحويلات'!$E$2:$E$3001,'هالك وتحويلات'!$B$2:$B$3001,$B$2,'هالك وتحويلات'!$C$2:$C$3001,$A48,'هالك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وتحويلات'!$C$2:$C$3001,$A48,'هالك وتحويلات'!$D$2:$D$3001,"ضيافة / أكل موظفين",'هالك وتحويلات'!$A$2:$A$3001,"&gt;="&amp;'إعدادات المخزون'!$B$5,'هالك وتحويلات'!$A$2:$A$3001,"&lt;="&amp;'إعدادات المخزون'!$B$4)</f>
        <v>0</v>
      </c>
      <c r="J48" s="110" t="n">
        <f aca="false">D48+E48+F48-G48-H48-I48</f>
        <v>61.9502049999683</v>
      </c>
      <c r="K48" s="36" t="str">
        <f aca="false">IF(COUNTIFS('جرد فعلي'!$B$2:$B$12001,$B$2,'جرد فعلي'!$C$2:$C$12001,$A48,'جرد فعلي'!$A$2:$A$12001,'إعدادات المخزون'!$B$4)&gt;0,"نعم","لا")</f>
        <v>لا</v>
      </c>
      <c r="L48" s="111" t="str">
        <f aca="false">IF(K48="نعم",SUMIFS('جرد فعلي'!$D$2:$D$12001,'جرد فعلي'!$B$2:$B$12001,$B$2,'جرد فعلي'!$C$2:$C$12001,$A48,'جرد فعلي'!$A$2:$A$12001,'إعدادات المخزون'!$B$4),"")</f>
        <v/>
      </c>
      <c r="M48" s="110" t="str">
        <f aca="false">IF(K48="نعم",L48-J48,"")</f>
        <v/>
      </c>
      <c r="N48" s="112" t="str">
        <f aca="false">IF(K48="نعم",IF(J48=0,IF(M48=0,0,SIGN(M48)),M48/ABS(J48)),"")</f>
        <v/>
      </c>
      <c r="O48" s="109" t="str">
        <f aca="false">IF(K48="نعم",M48*C48,"")</f>
        <v/>
      </c>
      <c r="P48" s="36" t="str">
        <f aca="false">IF(K48&lt;&gt;"نعم","لم يُجرد",IF(ABS(N48)&lt;='إعدادات المخزون'!$B$7,"مطابق",IF(M48&lt;0,"عجز","زيادة")))</f>
        <v>لم يُجرد</v>
      </c>
      <c r="Q48" s="110" t="n">
        <f aca="false">J48-Z48</f>
        <v>64.272771249971</v>
      </c>
      <c r="R48" s="110" t="str">
        <f aca="false">IF(COUNTIFS('جرد فعلي'!$B$2:$B$12001,$B$2,'جرد فعلي'!$C$2:$C$12001,$A48,'جرد فعلي'!$A$2:$A$12001,'إعدادات المخزون'!$B$4-1)&gt;0,SUMIFS('جرد فعلي'!$D$2:$D$12001,'جرد فعلي'!$B$2:$B$12001,$B$2,'جرد فعلي'!$C$2:$C$12001,$A48,'جرد فعلي'!$A$2:$A$12001,'إعدادات المخزون'!$B$4-1),"")</f>
        <v/>
      </c>
      <c r="S48" s="110" t="str">
        <f aca="false">IF(AND(K48="نعم",R48&lt;&gt;""),(L48-J48)-(R48-Q48),"")</f>
        <v/>
      </c>
      <c r="T48" s="109" t="str">
        <f aca="false">IF(S48="","",S48*C48)</f>
        <v/>
      </c>
      <c r="U48" s="110" t="n">
        <f aca="false">IF(K48="نعم",L48,J48)</f>
        <v>61.9502049999683</v>
      </c>
      <c r="V48" s="110" t="n">
        <f aca="false">SUMPRODUCT('مصفوفة الاستهلاك (عصافرة)'!$AQ$2:$AQ$190,'متجهات المبيعات'!$J$2:$J$190)/'مواد المخزون'!$D$43/MAX(1,MIN('إعدادات المخزون'!$B$11,'إعدادات المخزون'!$B$4-'إعدادات المخزون'!$B$5+1))</f>
        <v>2.32256625000264</v>
      </c>
      <c r="W48" s="110" t="n">
        <f aca="false">IF(V48&lt;=0,0,ROUNDUP(MAX(0,V48*('إعدادات المخزون'!$B$8+'إعدادات المخزون'!$B$9+'إعدادات المخزون'!$B$10)-MAX(U48,0))/'مواد المخزون'!$F43,0)*'مواد المخزون'!$F43)</f>
        <v>0</v>
      </c>
      <c r="X48" s="109" t="n">
        <f aca="false">IF(AND(K48="نعم",O48&lt;0),-O48+ROW()*0.000000001,0)</f>
        <v>0</v>
      </c>
      <c r="Y48" s="109" t="n">
        <f aca="false">IF(AND(K48="نعم",O48&gt;0),O48+ROW()*0.000000001,0)</f>
        <v>0</v>
      </c>
      <c r="Z48" s="110" t="n">
        <f aca="false">SUMIFS('مشتريات يومية'!$D$2:$D$4001,'مشتريات يومية'!$B$2:$B$4001,$B$2,'مشتريات يومية'!$C$2:$C$4001,$A48,'مشتريات يومية'!$A$2:$A$4001,'إعدادات المخزون'!$B$4)+SUMIFS('هالك وتحويلات'!$E$2:$E$3001,'هالك وتحويلات'!$B$2:$B$3001,$B$2,'هالك وتحويلات'!$C$2:$C$3001,$A48,'هالك وتحويلات'!$D$2:$D$3001,"تحويل وارد",'هالك وتحويلات'!$A$2:$A$3001,'إعدادات المخزون'!$B$4)-SUMIFS('هالك وتحويلات'!$E$2:$E$3001,'هالك وتحويلات'!$B$2:$B$3001,$B$2,'هالك وتحويلات'!$C$2:$C$3001,$A48,'هالك وتحويلات'!$D$2:$D$3001,"تحويل صادر",'هالك وتحويلات'!$A$2:$A$3001,'إعدادات المخزون'!$B$4)-SUMIFS('هالك وتحويلات'!$E$2:$E$3001,'هالك وتحويلات'!$B$2:$B$3001,$B$2,'هالك وتحويلات'!$C$2:$C$3001,$A48,'هالك وتحويلات'!$D$2:$D$3001,"هالك",'هالك وتحويلات'!$A$2:$A$3001,'إعدادات المخزون'!$B$4)-SUMIFS('هالك وتحويلات'!$E$2:$E$3001,'هالك وتحويلات'!$B$2:$B$3001,$B$2,'هالك وتحويلات'!$C$2:$C$3001,$A48,'هالك وتحويلات'!$D$2:$D$3001,"ضيافة / أكل موظفين",'هالك وتحويلات'!$A$2:$A$3001,'إعدادات المخزون'!$B$4)-SUMPRODUCT('مصفوفة الاستهلاك (عصافرة)'!$AQ$2:$AQ$190,'متجهات المبيعات'!$H$2:$H$190)/'مواد المخزون'!$D$43</f>
        <v>-2.32256625000264</v>
      </c>
      <c r="AA48" s="109" t="n">
        <f aca="false">IF(K48="نعم",O48,0)</f>
        <v>0</v>
      </c>
      <c r="AB48" s="109" t="n">
        <f aca="false">IF(K48="نعم",J48*C48,0)</f>
        <v>0</v>
      </c>
      <c r="AC48" s="109" t="n">
        <f aca="false">IF(T48="",0,T48)</f>
        <v>0</v>
      </c>
    </row>
    <row r="49" customFormat="false" ht="15" hidden="false" customHeight="false" outlineLevel="0" collapsed="false">
      <c r="A49" s="34" t="str">
        <f aca="false">'مواد المخزون'!A44</f>
        <v>سمنة الشيخ</v>
      </c>
      <c r="B49" s="36" t="str">
        <f aca="false">'مواد المخزون'!B44</f>
        <v>كجم</v>
      </c>
      <c r="C49" s="109" t="n">
        <f aca="false">'مواد المخزون'!E44</f>
        <v>380</v>
      </c>
      <c r="D49" s="110" t="n">
        <f aca="false">'جرد أول المدة'!E47</f>
        <v>5.06</v>
      </c>
      <c r="E49" s="110" t="n">
        <f aca="false">SUMIFS('مشتريات يومية'!$D$2:$D$4001,'مشتريات يومية'!$B$2:$B$4001,$B$2,'مشتريات يومية'!$C$2:$C$4001,$A49,'مشتريات يومية'!$A$2:$A$4001,"&gt;="&amp;'إعدادات المخزون'!$B$5,'مشتريات يومية'!$A$2:$A$4001,"&lt;="&amp;'إعدادات المخزون'!$B$4)</f>
        <v>2</v>
      </c>
      <c r="F49" s="110" t="n">
        <f aca="false">SUMIFS('هالك وتحويلات'!$E$2:$E$3001,'هالك وتحويلات'!$B$2:$B$3001,$B$2,'هالك وتحويلات'!$C$2:$C$3001,$A49,'هالك وتحويلات'!$D$2:$D$3001,"تحويل وارد",'هالك وتحويلات'!$A$2:$A$3001,"&gt;="&amp;'إعدادات المخزون'!$B$5,'هالك وتحويلات'!$A$2:$A$3001,"&lt;="&amp;'إعدادات المخزون'!$B$4)</f>
        <v>0</v>
      </c>
      <c r="G49" s="110" t="n">
        <f aca="false">SUMIFS('هالك وتحويلات'!$E$2:$E$3001,'هالك وتحويلات'!$B$2:$B$3001,$B$2,'هالك وتحويلات'!$C$2:$C$3001,$A49,'هالك وتحويلات'!$D$2:$D$3001,"تحويل صادر",'هالك وتحويلات'!$A$2:$A$3001,"&gt;="&amp;'إعدادات المخزون'!$B$5,'هالك وتحويلات'!$A$2:$A$3001,"&lt;="&amp;'إعدادات المخزون'!$B$4)</f>
        <v>0</v>
      </c>
      <c r="H49" s="110" t="n">
        <f aca="false">SUMPRODUCT('مصفوفة الاستهلاك (عصافرة)'!$AR$2:$AR$190,'متجهات المبيعات'!$I$2:$I$190)/'مواد المخزون'!$D$44</f>
        <v>0.37998</v>
      </c>
      <c r="I49" s="110" t="n">
        <f aca="false">SUMIFS('هالك وتحويلات'!$E$2:$E$3001,'هالك وتحويلات'!$B$2:$B$3001,$B$2,'هالك وتحويلات'!$C$2:$C$3001,$A49,'هالك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وتحويلات'!$C$2:$C$3001,$A49,'هالك وتحويلات'!$D$2:$D$3001,"ضيافة / أكل موظفين",'هالك وتحويلات'!$A$2:$A$3001,"&gt;="&amp;'إعدادات المخزون'!$B$5,'هالك وتحويلات'!$A$2:$A$3001,"&lt;="&amp;'إعدادات المخزون'!$B$4)</f>
        <v>0</v>
      </c>
      <c r="J49" s="110" t="n">
        <f aca="false">D49+E49+F49-G49-H49-I49</f>
        <v>6.68002</v>
      </c>
      <c r="K49" s="36" t="str">
        <f aca="false">IF(COUNTIFS('جرد فعلي'!$B$2:$B$12001,$B$2,'جرد فعلي'!$C$2:$C$12001,$A49,'جرد فعلي'!$A$2:$A$12001,'إعدادات المخزون'!$B$4)&gt;0,"نعم","لا")</f>
        <v>لا</v>
      </c>
      <c r="L49" s="111" t="str">
        <f aca="false">IF(K49="نعم",SUMIFS('جرد فعلي'!$D$2:$D$12001,'جرد فعلي'!$B$2:$B$12001,$B$2,'جرد فعلي'!$C$2:$C$12001,$A49,'جرد فعلي'!$A$2:$A$12001,'إعدادات المخزون'!$B$4),"")</f>
        <v/>
      </c>
      <c r="M49" s="110" t="str">
        <f aca="false">IF(K49="نعم",L49-J49,"")</f>
        <v/>
      </c>
      <c r="N49" s="112" t="str">
        <f aca="false">IF(K49="نعم",IF(J49=0,IF(M49=0,0,SIGN(M49)),M49/ABS(J49)),"")</f>
        <v/>
      </c>
      <c r="O49" s="109" t="str">
        <f aca="false">IF(K49="نعم",M49*C49,"")</f>
        <v/>
      </c>
      <c r="P49" s="36" t="str">
        <f aca="false">IF(K49&lt;&gt;"نعم","لم يُجرد",IF(ABS(N49)&lt;='إعدادات المخزون'!$B$7,"مطابق",IF(M49&lt;0,"عجز","زيادة")))</f>
        <v>لم يُجرد</v>
      </c>
      <c r="Q49" s="110" t="n">
        <f aca="false">J49-Z49</f>
        <v>6.711685</v>
      </c>
      <c r="R49" s="110" t="str">
        <f aca="false">IF(COUNTIFS('جرد فعلي'!$B$2:$B$12001,$B$2,'جرد فعلي'!$C$2:$C$12001,$A49,'جرد فعلي'!$A$2:$A$12001,'إعدادات المخزون'!$B$4-1)&gt;0,SUMIFS('جرد فعلي'!$D$2:$D$12001,'جرد فعلي'!$B$2:$B$12001,$B$2,'جرد فعلي'!$C$2:$C$12001,$A49,'جرد فعلي'!$A$2:$A$12001,'إعدادات المخزون'!$B$4-1),"")</f>
        <v/>
      </c>
      <c r="S49" s="110" t="str">
        <f aca="false">IF(AND(K49="نعم",R49&lt;&gt;""),(L49-J49)-(R49-Q49),"")</f>
        <v/>
      </c>
      <c r="T49" s="109" t="str">
        <f aca="false">IF(S49="","",S49*C49)</f>
        <v/>
      </c>
      <c r="U49" s="110" t="n">
        <f aca="false">IF(K49="نعم",L49,J49)</f>
        <v>6.68002</v>
      </c>
      <c r="V49" s="110" t="n">
        <f aca="false">SUMPRODUCT('مصفوفة الاستهلاك (عصافرة)'!$AR$2:$AR$190,'متجهات المبيعات'!$J$2:$J$190)/'مواد المخزون'!$D$44/MAX(1,MIN('إعدادات المخزون'!$B$11,'إعدادات المخزون'!$B$4-'إعدادات المخزون'!$B$5+1))</f>
        <v>0.031665</v>
      </c>
      <c r="W49" s="110" t="n">
        <f aca="false">IF(V49&lt;=0,0,ROUNDUP(MAX(0,V49*('إعدادات المخزون'!$B$8+'إعدادات المخزون'!$B$9+'إعدادات المخزون'!$B$10)-MAX(U49,0))/'مواد المخزون'!$F44,0)*'مواد المخزون'!$F44)</f>
        <v>0</v>
      </c>
      <c r="X49" s="109" t="n">
        <f aca="false">IF(AND(K49="نعم",O49&lt;0),-O49+ROW()*0.000000001,0)</f>
        <v>0</v>
      </c>
      <c r="Y49" s="109" t="n">
        <f aca="false">IF(AND(K49="نعم",O49&gt;0),O49+ROW()*0.000000001,0)</f>
        <v>0</v>
      </c>
      <c r="Z49" s="110" t="n">
        <f aca="false">SUMIFS('مشتريات يومية'!$D$2:$D$4001,'مشتريات يومية'!$B$2:$B$4001,$B$2,'مشتريات يومية'!$C$2:$C$4001,$A49,'مشتريات يومية'!$A$2:$A$4001,'إعدادات المخزون'!$B$4)+SUMIFS('هالك وتحويلات'!$E$2:$E$3001,'هالك وتحويلات'!$B$2:$B$3001,$B$2,'هالك وتحويلات'!$C$2:$C$3001,$A49,'هالك وتحويلات'!$D$2:$D$3001,"تحويل وارد",'هالك وتحويلات'!$A$2:$A$3001,'إعدادات المخزون'!$B$4)-SUMIFS('هالك وتحويلات'!$E$2:$E$3001,'هالك وتحويلات'!$B$2:$B$3001,$B$2,'هالك وتحويلات'!$C$2:$C$3001,$A49,'هالك وتحويلات'!$D$2:$D$3001,"تحويل صادر",'هالك وتحويلات'!$A$2:$A$3001,'إعدادات المخزون'!$B$4)-SUMIFS('هالك وتحويلات'!$E$2:$E$3001,'هالك وتحويلات'!$B$2:$B$3001,$B$2,'هالك وتحويلات'!$C$2:$C$3001,$A49,'هالك وتحويلات'!$D$2:$D$3001,"هالك",'هالك وتحويلات'!$A$2:$A$3001,'إعدادات المخزون'!$B$4)-SUMIFS('هالك وتحويلات'!$E$2:$E$3001,'هالك وتحويلات'!$B$2:$B$3001,$B$2,'هالك وتحويلات'!$C$2:$C$3001,$A49,'هالك وتحويلات'!$D$2:$D$3001,"ضيافة / أكل موظفين",'هالك وتحويلات'!$A$2:$A$3001,'إعدادات المخزون'!$B$4)-SUMPRODUCT('مصفوفة الاستهلاك (عصافرة)'!$AR$2:$AR$190,'متجهات المبيعات'!$H$2:$H$190)/'مواد المخزون'!$D$44</f>
        <v>-0.031665</v>
      </c>
      <c r="AA49" s="109" t="n">
        <f aca="false">IF(K49="نعم",O49,0)</f>
        <v>0</v>
      </c>
      <c r="AB49" s="109" t="n">
        <f aca="false">IF(K49="نعم",J49*C49,0)</f>
        <v>0</v>
      </c>
      <c r="AC49" s="109" t="n">
        <f aca="false">IF(T49="",0,T49)</f>
        <v>0</v>
      </c>
    </row>
    <row r="50" customFormat="false" ht="15" hidden="false" customHeight="false" outlineLevel="0" collapsed="false">
      <c r="A50" s="34" t="str">
        <f aca="false">'مواد المخزون'!A45</f>
        <v>سيلفر رول</v>
      </c>
      <c r="B50" s="36" t="str">
        <f aca="false">'مواد المخزون'!B45</f>
        <v>رول</v>
      </c>
      <c r="C50" s="109" t="n">
        <f aca="false">'مواد المخزون'!E45</f>
        <v>503.78</v>
      </c>
      <c r="D50" s="110" t="n">
        <f aca="false">'جرد أول المدة'!E48</f>
        <v>1.92</v>
      </c>
      <c r="E50" s="110" t="n">
        <f aca="false">SUMIFS('مشتريات يومية'!$D$2:$D$4001,'مشتريات يومية'!$B$2:$B$4001,$B$2,'مشتريات يومية'!$C$2:$C$4001,$A50,'مشتريات يومية'!$A$2:$A$4001,"&gt;="&amp;'إعدادات المخزون'!$B$5,'مشتريات يومية'!$A$2:$A$4001,"&lt;="&amp;'إعدادات المخزون'!$B$4)</f>
        <v>0</v>
      </c>
      <c r="F50" s="110" t="n">
        <f aca="false">SUMIFS('هالك وتحويلات'!$E$2:$E$3001,'هالك وتحويلات'!$B$2:$B$3001,$B$2,'هالك وتحويلات'!$C$2:$C$3001,$A50,'هالك وتحويلات'!$D$2:$D$3001,"تحويل وارد",'هالك وتحويلات'!$A$2:$A$3001,"&gt;="&amp;'إعدادات المخزون'!$B$5,'هالك وتحويلات'!$A$2:$A$3001,"&lt;="&amp;'إعدادات المخزون'!$B$4)</f>
        <v>0</v>
      </c>
      <c r="G50" s="110" t="n">
        <f aca="false">SUMIFS('هالك وتحويلات'!$E$2:$E$3001,'هالك وتحويلات'!$B$2:$B$3001,$B$2,'هالك وتحويلات'!$C$2:$C$3001,$A50,'هالك وتحويلات'!$D$2:$D$3001,"تحويل صادر",'هالك وتحويلات'!$A$2:$A$3001,"&gt;="&amp;'إعدادات المخزون'!$B$5,'هالك وتحويلات'!$A$2:$A$3001,"&lt;="&amp;'إعدادات المخزون'!$B$4)</f>
        <v>0</v>
      </c>
      <c r="H50" s="110" t="n">
        <f aca="false">SUMPRODUCT('مصفوفة الاستهلاك (عصافرة)'!$AS$2:$AS$190,'متجهات المبيعات'!$I$2:$I$190)/'مواد المخزون'!$D$45</f>
        <v>0.560004</v>
      </c>
      <c r="I50" s="110" t="n">
        <f aca="false">SUMIFS('هالك وتحويلات'!$E$2:$E$3001,'هالك وتحويلات'!$B$2:$B$3001,$B$2,'هالك وتحويلات'!$C$2:$C$3001,$A50,'هالك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وتحويلات'!$C$2:$C$3001,$A50,'هالك وتحويلات'!$D$2:$D$3001,"ضيافة / أكل موظفين",'هالك وتحويلات'!$A$2:$A$3001,"&gt;="&amp;'إعدادات المخزون'!$B$5,'هالك وتحويلات'!$A$2:$A$3001,"&lt;="&amp;'إعدادات المخزون'!$B$4)</f>
        <v>0</v>
      </c>
      <c r="J50" s="110" t="n">
        <f aca="false">D50+E50+F50-G50-H50-I50</f>
        <v>1.359996</v>
      </c>
      <c r="K50" s="36" t="str">
        <f aca="false">IF(COUNTIFS('جرد فعلي'!$B$2:$B$12001,$B$2,'جرد فعلي'!$C$2:$C$12001,$A50,'جرد فعلي'!$A$2:$A$12001,'إعدادات المخزون'!$B$4)&gt;0,"نعم","لا")</f>
        <v>لا</v>
      </c>
      <c r="L50" s="111" t="str">
        <f aca="false">IF(K50="نعم",SUMIFS('جرد فعلي'!$D$2:$D$12001,'جرد فعلي'!$B$2:$B$12001,$B$2,'جرد فعلي'!$C$2:$C$12001,$A50,'جرد فعلي'!$A$2:$A$12001,'إعدادات المخزون'!$B$4),"")</f>
        <v/>
      </c>
      <c r="M50" s="110" t="str">
        <f aca="false">IF(K50="نعم",L50-J50,"")</f>
        <v/>
      </c>
      <c r="N50" s="112" t="str">
        <f aca="false">IF(K50="نعم",IF(J50=0,IF(M50=0,0,SIGN(M50)),M50/ABS(J50)),"")</f>
        <v/>
      </c>
      <c r="O50" s="109" t="str">
        <f aca="false">IF(K50="نعم",M50*C50,"")</f>
        <v/>
      </c>
      <c r="P50" s="36" t="str">
        <f aca="false">IF(K50&lt;&gt;"نعم","لم يُجرد",IF(ABS(N50)&lt;='إعدادات المخزون'!$B$7,"مطابق",IF(M50&lt;0,"عجز","زيادة")))</f>
        <v>لم يُجرد</v>
      </c>
      <c r="Q50" s="110" t="n">
        <f aca="false">J50-Z50</f>
        <v>1.406663</v>
      </c>
      <c r="R50" s="110" t="str">
        <f aca="false">IF(COUNTIFS('جرد فعلي'!$B$2:$B$12001,$B$2,'جرد فعلي'!$C$2:$C$12001,$A50,'جرد فعلي'!$A$2:$A$12001,'إعدادات المخزون'!$B$4-1)&gt;0,SUMIFS('جرد فعلي'!$D$2:$D$12001,'جرد فعلي'!$B$2:$B$12001,$B$2,'جرد فعلي'!$C$2:$C$12001,$A50,'جرد فعلي'!$A$2:$A$12001,'إعدادات المخزون'!$B$4-1),"")</f>
        <v/>
      </c>
      <c r="S50" s="110" t="str">
        <f aca="false">IF(AND(K50="نعم",R50&lt;&gt;""),(L50-J50)-(R50-Q50),"")</f>
        <v/>
      </c>
      <c r="T50" s="109" t="str">
        <f aca="false">IF(S50="","",S50*C50)</f>
        <v/>
      </c>
      <c r="U50" s="110" t="n">
        <f aca="false">IF(K50="نعم",L50,J50)</f>
        <v>1.359996</v>
      </c>
      <c r="V50" s="110" t="n">
        <f aca="false">SUMPRODUCT('مصفوفة الاستهلاك (عصافرة)'!$AS$2:$AS$190,'متجهات المبيعات'!$J$2:$J$190)/'مواد المخزون'!$D$45/MAX(1,MIN('إعدادات المخزون'!$B$11,'إعدادات المخزون'!$B$4-'إعدادات المخزون'!$B$5+1))</f>
        <v>0.046667</v>
      </c>
      <c r="W50" s="110" t="n">
        <f aca="false">IF(V50&lt;=0,0,ROUNDUP(MAX(0,V50*('إعدادات المخزون'!$B$8+'إعدادات المخزون'!$B$9+'إعدادات المخزون'!$B$10)-MAX(U50,0))/'مواد المخزون'!$F45,0)*'مواد المخزون'!$F45)</f>
        <v>0</v>
      </c>
      <c r="X50" s="109" t="n">
        <f aca="false">IF(AND(K50="نعم",O50&lt;0),-O50+ROW()*0.000000001,0)</f>
        <v>0</v>
      </c>
      <c r="Y50" s="109" t="n">
        <f aca="false">IF(AND(K50="نعم",O50&gt;0),O50+ROW()*0.000000001,0)</f>
        <v>0</v>
      </c>
      <c r="Z50" s="110" t="n">
        <f aca="false">SUMIFS('مشتريات يومية'!$D$2:$D$4001,'مشتريات يومية'!$B$2:$B$4001,$B$2,'مشتريات يومية'!$C$2:$C$4001,$A50,'مشتريات يومية'!$A$2:$A$4001,'إعدادات المخزون'!$B$4)+SUMIFS('هالك وتحويلات'!$E$2:$E$3001,'هالك وتحويلات'!$B$2:$B$3001,$B$2,'هالك وتحويلات'!$C$2:$C$3001,$A50,'هالك وتحويلات'!$D$2:$D$3001,"تحويل وارد",'هالك وتحويلات'!$A$2:$A$3001,'إعدادات المخزون'!$B$4)-SUMIFS('هالك وتحويلات'!$E$2:$E$3001,'هالك وتحويلات'!$B$2:$B$3001,$B$2,'هالك وتحويلات'!$C$2:$C$3001,$A50,'هالك وتحويلات'!$D$2:$D$3001,"تحويل صادر",'هالك وتحويلات'!$A$2:$A$3001,'إعدادات المخزون'!$B$4)-SUMIFS('هالك وتحويلات'!$E$2:$E$3001,'هالك وتحويلات'!$B$2:$B$3001,$B$2,'هالك وتحويلات'!$C$2:$C$3001,$A50,'هالك وتحويلات'!$D$2:$D$3001,"هالك",'هالك وتحويلات'!$A$2:$A$3001,'إعدادات المخزون'!$B$4)-SUMIFS('هالك وتحويلات'!$E$2:$E$3001,'هالك وتحويلات'!$B$2:$B$3001,$B$2,'هالك وتحويلات'!$C$2:$C$3001,$A50,'هالك وتحويلات'!$D$2:$D$3001,"ضيافة / أكل موظفين",'هالك وتحويلات'!$A$2:$A$3001,'إعدادات المخزون'!$B$4)-SUMPRODUCT('مصفوفة الاستهلاك (عصافرة)'!$AS$2:$AS$190,'متجهات المبيعات'!$H$2:$H$190)/'مواد المخزون'!$D$45</f>
        <v>-0.046667</v>
      </c>
      <c r="AA50" s="109" t="n">
        <f aca="false">IF(K50="نعم",O50,0)</f>
        <v>0</v>
      </c>
      <c r="AB50" s="109" t="n">
        <f aca="false">IF(K50="نعم",J50*C50,0)</f>
        <v>0</v>
      </c>
      <c r="AC50" s="109" t="n">
        <f aca="false">IF(T50="",0,T50)</f>
        <v>0</v>
      </c>
    </row>
    <row r="51" customFormat="false" ht="15" hidden="false" customHeight="false" outlineLevel="0" collapsed="false">
      <c r="A51" s="34" t="str">
        <f aca="false">'مواد المخزون'!A46</f>
        <v>شرايح بلاستيك وسط</v>
      </c>
      <c r="B51" s="36" t="str">
        <f aca="false">'مواد المخزون'!B46</f>
        <v>كجم</v>
      </c>
      <c r="C51" s="109" t="n">
        <f aca="false">'مواد المخزون'!E46</f>
        <v>135</v>
      </c>
      <c r="D51" s="110" t="n">
        <f aca="false">'جرد أول المدة'!E49</f>
        <v>1</v>
      </c>
      <c r="E51" s="110" t="n">
        <f aca="false">SUMIFS('مشتريات يومية'!$D$2:$D$4001,'مشتريات يومية'!$B$2:$B$4001,$B$2,'مشتريات يومية'!$C$2:$C$4001,$A51,'مشتريات يومية'!$A$2:$A$4001,"&gt;="&amp;'إعدادات المخزون'!$B$5,'مشتريات يومية'!$A$2:$A$4001,"&lt;="&amp;'إعدادات المخزون'!$B$4)</f>
        <v>1</v>
      </c>
      <c r="F51" s="110" t="n">
        <f aca="false">SUMIFS('هالك وتحويلات'!$E$2:$E$3001,'هالك وتحويلات'!$B$2:$B$3001,$B$2,'هالك وتحويلات'!$C$2:$C$3001,$A51,'هالك وتحويلات'!$D$2:$D$3001,"تحويل وارد",'هالك وتحويلات'!$A$2:$A$3001,"&gt;="&amp;'إعدادات المخزون'!$B$5,'هالك وتحويلات'!$A$2:$A$3001,"&lt;="&amp;'إعدادات المخزون'!$B$4)</f>
        <v>0</v>
      </c>
      <c r="G51" s="110" t="n">
        <f aca="false">SUMIFS('هالك وتحويلات'!$E$2:$E$3001,'هالك وتحويلات'!$B$2:$B$3001,$B$2,'هالك وتحويلات'!$C$2:$C$3001,$A51,'هالك وتحويلات'!$D$2:$D$3001,"تحويل صادر",'هالك وتحويلات'!$A$2:$A$3001,"&gt;="&amp;'إعدادات المخزون'!$B$5,'هالك وتحويلات'!$A$2:$A$3001,"&lt;="&amp;'إعدادات المخزون'!$B$4)</f>
        <v>0</v>
      </c>
      <c r="H51" s="110" t="n">
        <f aca="false">SUMPRODUCT('مصفوفة الاستهلاك (عصافرة)'!$AT$2:$AT$190,'متجهات المبيعات'!$I$2:$I$190)/'مواد المخزون'!$D$46</f>
        <v>2.597496</v>
      </c>
      <c r="I51" s="110" t="n">
        <f aca="false">SUMIFS('هالك وتحويلات'!$E$2:$E$3001,'هالك وتحويلات'!$B$2:$B$3001,$B$2,'هالك وتحويلات'!$C$2:$C$3001,$A51,'هالك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وتحويلات'!$C$2:$C$3001,$A51,'هالك وتحويلات'!$D$2:$D$3001,"ضيافة / أكل موظفين",'هالك وتحويلات'!$A$2:$A$3001,"&gt;="&amp;'إعدادات المخزون'!$B$5,'هالك وتحويلات'!$A$2:$A$3001,"&lt;="&amp;'إعدادات المخزون'!$B$4)</f>
        <v>0</v>
      </c>
      <c r="J51" s="110" t="n">
        <f aca="false">D51+E51+F51-G51-H51-I51</f>
        <v>-0.597496</v>
      </c>
      <c r="K51" s="36" t="str">
        <f aca="false">IF(COUNTIFS('جرد فعلي'!$B$2:$B$12001,$B$2,'جرد فعلي'!$C$2:$C$12001,$A51,'جرد فعلي'!$A$2:$A$12001,'إعدادات المخزون'!$B$4)&gt;0,"نعم","لا")</f>
        <v>لا</v>
      </c>
      <c r="L51" s="111" t="str">
        <f aca="false">IF(K51="نعم",SUMIFS('جرد فعلي'!$D$2:$D$12001,'جرد فعلي'!$B$2:$B$12001,$B$2,'جرد فعلي'!$C$2:$C$12001,$A51,'جرد فعلي'!$A$2:$A$12001,'إعدادات المخزون'!$B$4),"")</f>
        <v/>
      </c>
      <c r="M51" s="110" t="str">
        <f aca="false">IF(K51="نعم",L51-J51,"")</f>
        <v/>
      </c>
      <c r="N51" s="112" t="str">
        <f aca="false">IF(K51="نعم",IF(J51=0,IF(M51=0,0,SIGN(M51)),M51/ABS(J51)),"")</f>
        <v/>
      </c>
      <c r="O51" s="109" t="str">
        <f aca="false">IF(K51="نعم",M51*C51,"")</f>
        <v/>
      </c>
      <c r="P51" s="36" t="str">
        <f aca="false">IF(K51&lt;&gt;"نعم","لم يُجرد",IF(ABS(N51)&lt;='إعدادات المخزون'!$B$7,"مطابق",IF(M51&lt;0,"عجز","زيادة")))</f>
        <v>لم يُجرد</v>
      </c>
      <c r="Q51" s="110" t="n">
        <f aca="false">J51-Z51</f>
        <v>-0.381038</v>
      </c>
      <c r="R51" s="110" t="str">
        <f aca="false">IF(COUNTIFS('جرد فعلي'!$B$2:$B$12001,$B$2,'جرد فعلي'!$C$2:$C$12001,$A51,'جرد فعلي'!$A$2:$A$12001,'إعدادات المخزون'!$B$4-1)&gt;0,SUMIFS('جرد فعلي'!$D$2:$D$12001,'جرد فعلي'!$B$2:$B$12001,$B$2,'جرد فعلي'!$C$2:$C$12001,$A51,'جرد فعلي'!$A$2:$A$12001,'إعدادات المخزون'!$B$4-1),"")</f>
        <v/>
      </c>
      <c r="S51" s="110" t="str">
        <f aca="false">IF(AND(K51="نعم",R51&lt;&gt;""),(L51-J51)-(R51-Q51),"")</f>
        <v/>
      </c>
      <c r="T51" s="109" t="str">
        <f aca="false">IF(S51="","",S51*C51)</f>
        <v/>
      </c>
      <c r="U51" s="110" t="n">
        <f aca="false">IF(K51="نعم",L51,J51)</f>
        <v>-0.597496</v>
      </c>
      <c r="V51" s="110" t="n">
        <f aca="false">SUMPRODUCT('مصفوفة الاستهلاك (عصافرة)'!$AT$2:$AT$190,'متجهات المبيعات'!$J$2:$J$190)/'مواد المخزون'!$D$46/MAX(1,MIN('إعدادات المخزون'!$B$11,'إعدادات المخزون'!$B$4-'إعدادات المخزون'!$B$5+1))</f>
        <v>0.216458</v>
      </c>
      <c r="W51" s="110" t="n">
        <f aca="false">IF(V51&lt;=0,0,ROUNDUP(MAX(0,V51*('إعدادات المخزون'!$B$8+'إعدادات المخزون'!$B$9+'إعدادات المخزون'!$B$10)-MAX(U51,0))/'مواد المخزون'!$F46,0)*'مواد المخزون'!$F46)</f>
        <v>1</v>
      </c>
      <c r="X51" s="109" t="n">
        <f aca="false">IF(AND(K51="نعم",O51&lt;0),-O51+ROW()*0.000000001,0)</f>
        <v>0</v>
      </c>
      <c r="Y51" s="109" t="n">
        <f aca="false">IF(AND(K51="نعم",O51&gt;0),O51+ROW()*0.000000001,0)</f>
        <v>0</v>
      </c>
      <c r="Z51" s="110" t="n">
        <f aca="false">SUMIFS('مشتريات يومية'!$D$2:$D$4001,'مشتريات يومية'!$B$2:$B$4001,$B$2,'مشتريات يومية'!$C$2:$C$4001,$A51,'مشتريات يومية'!$A$2:$A$4001,'إعدادات المخزون'!$B$4)+SUMIFS('هالك وتحويلات'!$E$2:$E$3001,'هالك وتحويلات'!$B$2:$B$3001,$B$2,'هالك وتحويلات'!$C$2:$C$3001,$A51,'هالك وتحويلات'!$D$2:$D$3001,"تحويل وارد",'هالك وتحويلات'!$A$2:$A$3001,'إعدادات المخزون'!$B$4)-SUMIFS('هالك وتحويلات'!$E$2:$E$3001,'هالك وتحويلات'!$B$2:$B$3001,$B$2,'هالك وتحويلات'!$C$2:$C$3001,$A51,'هالك وتحويلات'!$D$2:$D$3001,"تحويل صادر",'هالك وتحويلات'!$A$2:$A$3001,'إعدادات المخزون'!$B$4)-SUMIFS('هالك وتحويلات'!$E$2:$E$3001,'هالك وتحويلات'!$B$2:$B$3001,$B$2,'هالك وتحويلات'!$C$2:$C$3001,$A51,'هالك وتحويلات'!$D$2:$D$3001,"هالك",'هالك وتحويلات'!$A$2:$A$3001,'إعدادات المخزون'!$B$4)-SUMIFS('هالك وتحويلات'!$E$2:$E$3001,'هالك وتحويلات'!$B$2:$B$3001,$B$2,'هالك وتحويلات'!$C$2:$C$3001,$A51,'هالك وتحويلات'!$D$2:$D$3001,"ضيافة / أكل موظفين",'هالك وتحويلات'!$A$2:$A$3001,'إعدادات المخزون'!$B$4)-SUMPRODUCT('مصفوفة الاستهلاك (عصافرة)'!$AT$2:$AT$190,'متجهات المبيعات'!$H$2:$H$190)/'مواد المخزون'!$D$46</f>
        <v>-0.216458</v>
      </c>
      <c r="AA51" s="109" t="n">
        <f aca="false">IF(K51="نعم",O51,0)</f>
        <v>0</v>
      </c>
      <c r="AB51" s="109" t="n">
        <f aca="false">IF(K51="نعم",J51*C51,0)</f>
        <v>0</v>
      </c>
      <c r="AC51" s="109" t="n">
        <f aca="false">IF(T51="",0,T51)</f>
        <v>0</v>
      </c>
    </row>
    <row r="52" customFormat="false" ht="15" hidden="false" customHeight="false" outlineLevel="0" collapsed="false">
      <c r="A52" s="34" t="str">
        <f aca="false">'مواد المخزون'!A47</f>
        <v>شوك بلاستيك</v>
      </c>
      <c r="B52" s="36" t="str">
        <f aca="false">'مواد المخزون'!B47</f>
        <v>قطعة</v>
      </c>
      <c r="C52" s="109" t="n">
        <f aca="false">'مواد المخزون'!E47</f>
        <v>0.3</v>
      </c>
      <c r="D52" s="110" t="n">
        <f aca="false">'جرد أول المدة'!E50</f>
        <v>1058</v>
      </c>
      <c r="E52" s="110" t="n">
        <f aca="false">SUMIFS('مشتريات يومية'!$D$2:$D$4001,'مشتريات يومية'!$B$2:$B$4001,$B$2,'مشتريات يومية'!$C$2:$C$4001,$A52,'مشتريات يومية'!$A$2:$A$4001,"&gt;="&amp;'إعدادات المخزون'!$B$5,'مشتريات يومية'!$A$2:$A$4001,"&lt;="&amp;'إعدادات المخزون'!$B$4)</f>
        <v>4000</v>
      </c>
      <c r="F52" s="110" t="n">
        <f aca="false">SUMIFS('هالك وتحويلات'!$E$2:$E$3001,'هالك وتحويلات'!$B$2:$B$3001,$B$2,'هالك وتحويلات'!$C$2:$C$3001,$A52,'هالك وتحويلات'!$D$2:$D$3001,"تحويل وارد",'هالك وتحويلات'!$A$2:$A$3001,"&gt;="&amp;'إعدادات المخزون'!$B$5,'هالك وتحويلات'!$A$2:$A$3001,"&lt;="&amp;'إعدادات المخزون'!$B$4)</f>
        <v>0</v>
      </c>
      <c r="G52" s="110" t="n">
        <f aca="false">SUMIFS('هالك وتحويلات'!$E$2:$E$3001,'هالك وتحويلات'!$B$2:$B$3001,$B$2,'هالك وتحويلات'!$C$2:$C$3001,$A52,'هالك وتحويلات'!$D$2:$D$3001,"تحويل صادر",'هالك وتحويلات'!$A$2:$A$3001,"&gt;="&amp;'إعدادات المخزون'!$B$5,'هالك وتحويلات'!$A$2:$A$3001,"&lt;="&amp;'إعدادات المخزون'!$B$4)</f>
        <v>0</v>
      </c>
      <c r="H52" s="110" t="n">
        <f aca="false">SUMPRODUCT('مصفوفة الاستهلاك (عصافرة)'!$AU$2:$AU$190,'متجهات المبيعات'!$I$2:$I$190)/'مواد المخزون'!$D$47</f>
        <v>797.5008</v>
      </c>
      <c r="I52" s="110" t="n">
        <f aca="false">SUMIFS('هالك وتحويلات'!$E$2:$E$3001,'هالك وتحويلات'!$B$2:$B$3001,$B$2,'هالك وتحويلات'!$C$2:$C$3001,$A52,'هالك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وتحويلات'!$C$2:$C$3001,$A52,'هالك وتحويلات'!$D$2:$D$3001,"ضيافة / أكل موظفين",'هالك وتحويلات'!$A$2:$A$3001,"&gt;="&amp;'إعدادات المخزون'!$B$5,'هالك وتحويلات'!$A$2:$A$3001,"&lt;="&amp;'إعدادات المخزون'!$B$4)</f>
        <v>0</v>
      </c>
      <c r="J52" s="110" t="n">
        <f aca="false">D52+E52+F52-G52-H52-I52</f>
        <v>4260.4992</v>
      </c>
      <c r="K52" s="36" t="str">
        <f aca="false">IF(COUNTIFS('جرد فعلي'!$B$2:$B$12001,$B$2,'جرد فعلي'!$C$2:$C$12001,$A52,'جرد فعلي'!$A$2:$A$12001,'إعدادات المخزون'!$B$4)&gt;0,"نعم","لا")</f>
        <v>لا</v>
      </c>
      <c r="L52" s="111" t="str">
        <f aca="false">IF(K52="نعم",SUMIFS('جرد فعلي'!$D$2:$D$12001,'جرد فعلي'!$B$2:$B$12001,$B$2,'جرد فعلي'!$C$2:$C$12001,$A52,'جرد فعلي'!$A$2:$A$12001,'إعدادات المخزون'!$B$4),"")</f>
        <v/>
      </c>
      <c r="M52" s="110" t="str">
        <f aca="false">IF(K52="نعم",L52-J52,"")</f>
        <v/>
      </c>
      <c r="N52" s="112" t="str">
        <f aca="false">IF(K52="نعم",IF(J52=0,IF(M52=0,0,SIGN(M52)),M52/ABS(J52)),"")</f>
        <v/>
      </c>
      <c r="O52" s="109" t="str">
        <f aca="false">IF(K52="نعم",M52*C52,"")</f>
        <v/>
      </c>
      <c r="P52" s="36" t="str">
        <f aca="false">IF(K52&lt;&gt;"نعم","لم يُجرد",IF(ABS(N52)&lt;='إعدادات المخزون'!$B$7,"مطابق",IF(M52&lt;0,"عجز","زيادة")))</f>
        <v>لم يُجرد</v>
      </c>
      <c r="Q52" s="110" t="n">
        <f aca="false">J52-Z52</f>
        <v>4326.9576</v>
      </c>
      <c r="R52" s="110" t="str">
        <f aca="false">IF(COUNTIFS('جرد فعلي'!$B$2:$B$12001,$B$2,'جرد فعلي'!$C$2:$C$12001,$A52,'جرد فعلي'!$A$2:$A$12001,'إعدادات المخزون'!$B$4-1)&gt;0,SUMIFS('جرد فعلي'!$D$2:$D$12001,'جرد فعلي'!$B$2:$B$12001,$B$2,'جرد فعلي'!$C$2:$C$12001,$A52,'جرد فعلي'!$A$2:$A$12001,'إعدادات المخزون'!$B$4-1),"")</f>
        <v/>
      </c>
      <c r="S52" s="110" t="str">
        <f aca="false">IF(AND(K52="نعم",R52&lt;&gt;""),(L52-J52)-(R52-Q52),"")</f>
        <v/>
      </c>
      <c r="T52" s="109" t="str">
        <f aca="false">IF(S52="","",S52*C52)</f>
        <v/>
      </c>
      <c r="U52" s="110" t="n">
        <f aca="false">IF(K52="نعم",L52,J52)</f>
        <v>4260.4992</v>
      </c>
      <c r="V52" s="110" t="n">
        <f aca="false">SUMPRODUCT('مصفوفة الاستهلاك (عصافرة)'!$AU$2:$AU$190,'متجهات المبيعات'!$J$2:$J$190)/'مواد المخزون'!$D$47/MAX(1,MIN('إعدادات المخزون'!$B$11,'إعدادات المخزون'!$B$4-'إعدادات المخزون'!$B$5+1))</f>
        <v>66.4584</v>
      </c>
      <c r="W52" s="110" t="n">
        <f aca="false">IF(V52&lt;=0,0,ROUNDUP(MAX(0,V52*('إعدادات المخزون'!$B$8+'إعدادات المخزون'!$B$9+'إعدادات المخزون'!$B$10)-MAX(U52,0))/'مواد المخزون'!$F47,0)*'مواد المخزون'!$F47)</f>
        <v>0</v>
      </c>
      <c r="X52" s="109" t="n">
        <f aca="false">IF(AND(K52="نعم",O52&lt;0),-O52+ROW()*0.000000001,0)</f>
        <v>0</v>
      </c>
      <c r="Y52" s="109" t="n">
        <f aca="false">IF(AND(K52="نعم",O52&gt;0),O52+ROW()*0.000000001,0)</f>
        <v>0</v>
      </c>
      <c r="Z52" s="110" t="n">
        <f aca="false">SUMIFS('مشتريات يومية'!$D$2:$D$4001,'مشتريات يومية'!$B$2:$B$4001,$B$2,'مشتريات يومية'!$C$2:$C$4001,$A52,'مشتريات يومية'!$A$2:$A$4001,'إعدادات المخزون'!$B$4)+SUMIFS('هالك وتحويلات'!$E$2:$E$3001,'هالك وتحويلات'!$B$2:$B$3001,$B$2,'هالك وتحويلات'!$C$2:$C$3001,$A52,'هالك وتحويلات'!$D$2:$D$3001,"تحويل وارد",'هالك وتحويلات'!$A$2:$A$3001,'إعدادات المخزون'!$B$4)-SUMIFS('هالك وتحويلات'!$E$2:$E$3001,'هالك وتحويلات'!$B$2:$B$3001,$B$2,'هالك وتحويلات'!$C$2:$C$3001,$A52,'هالك وتحويلات'!$D$2:$D$3001,"تحويل صادر",'هالك وتحويلات'!$A$2:$A$3001,'إعدادات المخزون'!$B$4)-SUMIFS('هالك وتحويلات'!$E$2:$E$3001,'هالك وتحويلات'!$B$2:$B$3001,$B$2,'هالك وتحويلات'!$C$2:$C$3001,$A52,'هالك وتحويلات'!$D$2:$D$3001,"هالك",'هالك وتحويلات'!$A$2:$A$3001,'إعدادات المخزون'!$B$4)-SUMIFS('هالك وتحويلات'!$E$2:$E$3001,'هالك وتحويلات'!$B$2:$B$3001,$B$2,'هالك وتحويلات'!$C$2:$C$3001,$A52,'هالك وتحويلات'!$D$2:$D$3001,"ضيافة / أكل موظفين",'هالك وتحويلات'!$A$2:$A$3001,'إعدادات المخزون'!$B$4)-SUMPRODUCT('مصفوفة الاستهلاك (عصافرة)'!$AU$2:$AU$190,'متجهات المبيعات'!$H$2:$H$190)/'مواد المخزون'!$D$47</f>
        <v>-66.4584</v>
      </c>
      <c r="AA52" s="109" t="n">
        <f aca="false">IF(K52="نعم",O52,0)</f>
        <v>0</v>
      </c>
      <c r="AB52" s="109" t="n">
        <f aca="false">IF(K52="نعم",J52*C52,0)</f>
        <v>0</v>
      </c>
      <c r="AC52" s="109" t="n">
        <f aca="false">IF(T52="",0,T52)</f>
        <v>0</v>
      </c>
    </row>
    <row r="53" customFormat="false" ht="15" hidden="false" customHeight="false" outlineLevel="0" collapsed="false">
      <c r="A53" s="34" t="str">
        <f aca="false">'مواد المخزون'!A48</f>
        <v>شيكولاتة بني</v>
      </c>
      <c r="B53" s="36" t="str">
        <f aca="false">'مواد المخزون'!B48</f>
        <v>كجم</v>
      </c>
      <c r="C53" s="109" t="n">
        <f aca="false">'مواد المخزون'!E48</f>
        <v>127.6582</v>
      </c>
      <c r="D53" s="110" t="n">
        <f aca="false">'جرد أول المدة'!E51</f>
        <v>7.485</v>
      </c>
      <c r="E53" s="110" t="n">
        <f aca="false">SUMIFS('مشتريات يومية'!$D$2:$D$4001,'مشتريات يومية'!$B$2:$B$4001,$B$2,'مشتريات يومية'!$C$2:$C$4001,$A53,'مشتريات يومية'!$A$2:$A$4001,"&gt;="&amp;'إعدادات المخزون'!$B$5,'مشتريات يومية'!$A$2:$A$4001,"&lt;="&amp;'إعدادات المخزون'!$B$4)</f>
        <v>25</v>
      </c>
      <c r="F53" s="110" t="n">
        <f aca="false">SUMIFS('هالك وتحويلات'!$E$2:$E$3001,'هالك وتحويلات'!$B$2:$B$3001,$B$2,'هالك وتحويلات'!$C$2:$C$3001,$A53,'هالك وتحويلات'!$D$2:$D$3001,"تحويل وارد",'هالك وتحويلات'!$A$2:$A$3001,"&gt;="&amp;'إعدادات المخزون'!$B$5,'هالك وتحويلات'!$A$2:$A$3001,"&lt;="&amp;'إعدادات المخزون'!$B$4)</f>
        <v>0</v>
      </c>
      <c r="G53" s="110" t="n">
        <f aca="false">SUMIFS('هالك وتحويلات'!$E$2:$E$3001,'هالك وتحويلات'!$B$2:$B$3001,$B$2,'هالك وتحويلات'!$C$2:$C$3001,$A53,'هالك وتحويلات'!$D$2:$D$3001,"تحويل صادر",'هالك وتحويلات'!$A$2:$A$3001,"&gt;="&amp;'إعدادات المخزون'!$B$5,'هالك وتحويلات'!$A$2:$A$3001,"&lt;="&amp;'إعدادات المخزون'!$B$4)</f>
        <v>0</v>
      </c>
      <c r="H53" s="110" t="n">
        <f aca="false">SUMPRODUCT('مصفوفة الاستهلاك (عصافرة)'!$AV$2:$AV$190,'متجهات المبيعات'!$I$2:$I$190)/'مواد المخزون'!$D$48</f>
        <v>23.98008</v>
      </c>
      <c r="I53" s="110" t="n">
        <f aca="false">SUMIFS('هالك وتحويلات'!$E$2:$E$3001,'هالك وتحويلات'!$B$2:$B$3001,$B$2,'هالك وتحويلات'!$C$2:$C$3001,$A53,'هالك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وتحويلات'!$C$2:$C$3001,$A53,'هالك وتحويلات'!$D$2:$D$3001,"ضيافة / أكل موظفين",'هالك وتحويلات'!$A$2:$A$3001,"&gt;="&amp;'إعدادات المخزون'!$B$5,'هالك وتحويلات'!$A$2:$A$3001,"&lt;="&amp;'إعدادات المخزون'!$B$4)</f>
        <v>0</v>
      </c>
      <c r="J53" s="110" t="n">
        <f aca="false">D53+E53+F53-G53-H53-I53</f>
        <v>8.50492</v>
      </c>
      <c r="K53" s="36" t="str">
        <f aca="false">IF(COUNTIFS('جرد فعلي'!$B$2:$B$12001,$B$2,'جرد فعلي'!$C$2:$C$12001,$A53,'جرد فعلي'!$A$2:$A$12001,'إعدادات المخزون'!$B$4)&gt;0,"نعم","لا")</f>
        <v>لا</v>
      </c>
      <c r="L53" s="111" t="str">
        <f aca="false">IF(K53="نعم",SUMIFS('جرد فعلي'!$D$2:$D$12001,'جرد فعلي'!$B$2:$B$12001,$B$2,'جرد فعلي'!$C$2:$C$12001,$A53,'جرد فعلي'!$A$2:$A$12001,'إعدادات المخزون'!$B$4),"")</f>
        <v/>
      </c>
      <c r="M53" s="110" t="str">
        <f aca="false">IF(K53="نعم",L53-J53,"")</f>
        <v/>
      </c>
      <c r="N53" s="112" t="str">
        <f aca="false">IF(K53="نعم",IF(J53=0,IF(M53=0,0,SIGN(M53)),M53/ABS(J53)),"")</f>
        <v/>
      </c>
      <c r="O53" s="109" t="str">
        <f aca="false">IF(K53="نعم",M53*C53,"")</f>
        <v/>
      </c>
      <c r="P53" s="36" t="str">
        <f aca="false">IF(K53&lt;&gt;"نعم","لم يُجرد",IF(ABS(N53)&lt;='إعدادات المخزون'!$B$7,"مطابق",IF(M53&lt;0,"عجز","زيادة")))</f>
        <v>لم يُجرد</v>
      </c>
      <c r="Q53" s="110" t="n">
        <f aca="false">J53-Z53</f>
        <v>10.50326</v>
      </c>
      <c r="R53" s="110" t="str">
        <f aca="false">IF(COUNTIFS('جرد فعلي'!$B$2:$B$12001,$B$2,'جرد فعلي'!$C$2:$C$12001,$A53,'جرد فعلي'!$A$2:$A$12001,'إعدادات المخزون'!$B$4-1)&gt;0,SUMIFS('جرد فعلي'!$D$2:$D$12001,'جرد فعلي'!$B$2:$B$12001,$B$2,'جرد فعلي'!$C$2:$C$12001,$A53,'جرد فعلي'!$A$2:$A$12001,'إعدادات المخزون'!$B$4-1),"")</f>
        <v/>
      </c>
      <c r="S53" s="110" t="str">
        <f aca="false">IF(AND(K53="نعم",R53&lt;&gt;""),(L53-J53)-(R53-Q53),"")</f>
        <v/>
      </c>
      <c r="T53" s="109" t="str">
        <f aca="false">IF(S53="","",S53*C53)</f>
        <v/>
      </c>
      <c r="U53" s="110" t="n">
        <f aca="false">IF(K53="نعم",L53,J53)</f>
        <v>8.50492</v>
      </c>
      <c r="V53" s="110" t="n">
        <f aca="false">SUMPRODUCT('مصفوفة الاستهلاك (عصافرة)'!$AV$2:$AV$190,'متجهات المبيعات'!$J$2:$J$190)/'مواد المخزون'!$D$48/MAX(1,MIN('إعدادات المخزون'!$B$11,'إعدادات المخزون'!$B$4-'إعدادات المخزون'!$B$5+1))</f>
        <v>1.99834</v>
      </c>
      <c r="W53" s="110" t="n">
        <f aca="false">IF(V53&lt;=0,0,ROUNDUP(MAX(0,V53*('إعدادات المخزون'!$B$8+'إعدادات المخزون'!$B$9+'إعدادات المخزون'!$B$10)-MAX(U53,0))/'مواد المخزون'!$F48,0)*'مواد المخزون'!$F48)</f>
        <v>0</v>
      </c>
      <c r="X53" s="109" t="n">
        <f aca="false">IF(AND(K53="نعم",O53&lt;0),-O53+ROW()*0.000000001,0)</f>
        <v>0</v>
      </c>
      <c r="Y53" s="109" t="n">
        <f aca="false">IF(AND(K53="نعم",O53&gt;0),O53+ROW()*0.000000001,0)</f>
        <v>0</v>
      </c>
      <c r="Z53" s="110" t="n">
        <f aca="false">SUMIFS('مشتريات يومية'!$D$2:$D$4001,'مشتريات يومية'!$B$2:$B$4001,$B$2,'مشتريات يومية'!$C$2:$C$4001,$A53,'مشتريات يومية'!$A$2:$A$4001,'إعدادات المخزون'!$B$4)+SUMIFS('هالك وتحويلات'!$E$2:$E$3001,'هالك وتحويلات'!$B$2:$B$3001,$B$2,'هالك وتحويلات'!$C$2:$C$3001,$A53,'هالك وتحويلات'!$D$2:$D$3001,"تحويل وارد",'هالك وتحويلات'!$A$2:$A$3001,'إعدادات المخزون'!$B$4)-SUMIFS('هالك وتحويلات'!$E$2:$E$3001,'هالك وتحويلات'!$B$2:$B$3001,$B$2,'هالك وتحويلات'!$C$2:$C$3001,$A53,'هالك وتحويلات'!$D$2:$D$3001,"تحويل صادر",'هالك وتحويلات'!$A$2:$A$3001,'إعدادات المخزون'!$B$4)-SUMIFS('هالك وتحويلات'!$E$2:$E$3001,'هالك وتحويلات'!$B$2:$B$3001,$B$2,'هالك وتحويلات'!$C$2:$C$3001,$A53,'هالك وتحويلات'!$D$2:$D$3001,"هالك",'هالك وتحويلات'!$A$2:$A$3001,'إعدادات المخزون'!$B$4)-SUMIFS('هالك وتحويلات'!$E$2:$E$3001,'هالك وتحويلات'!$B$2:$B$3001,$B$2,'هالك وتحويلات'!$C$2:$C$3001,$A53,'هالك وتحويلات'!$D$2:$D$3001,"ضيافة / أكل موظفين",'هالك وتحويلات'!$A$2:$A$3001,'إعدادات المخزون'!$B$4)-SUMPRODUCT('مصفوفة الاستهلاك (عصافرة)'!$AV$2:$AV$190,'متجهات المبيعات'!$H$2:$H$190)/'مواد المخزون'!$D$48</f>
        <v>-1.99834</v>
      </c>
      <c r="AA53" s="109" t="n">
        <f aca="false">IF(K53="نعم",O53,0)</f>
        <v>0</v>
      </c>
      <c r="AB53" s="109" t="n">
        <f aca="false">IF(K53="نعم",J53*C53,0)</f>
        <v>0</v>
      </c>
      <c r="AC53" s="109" t="n">
        <f aca="false">IF(T53="",0,T53)</f>
        <v>0</v>
      </c>
    </row>
    <row r="54" customFormat="false" ht="15" hidden="false" customHeight="false" outlineLevel="0" collapsed="false">
      <c r="A54" s="34" t="str">
        <f aca="false">'مواد المخزون'!A49</f>
        <v>شيكولاتة بيضاء</v>
      </c>
      <c r="B54" s="36" t="str">
        <f aca="false">'مواد المخزون'!B49</f>
        <v>كجم</v>
      </c>
      <c r="C54" s="109" t="n">
        <f aca="false">'مواد المخزون'!E49</f>
        <v>100</v>
      </c>
      <c r="D54" s="110" t="n">
        <f aca="false">'جرد أول المدة'!E52</f>
        <v>4.07</v>
      </c>
      <c r="E54" s="110" t="n">
        <f aca="false">SUMIFS('مشتريات يومية'!$D$2:$D$4001,'مشتريات يومية'!$B$2:$B$4001,$B$2,'مشتريات يومية'!$C$2:$C$4001,$A54,'مشتريات يومية'!$A$2:$A$4001,"&gt;="&amp;'إعدادات المخزون'!$B$5,'مشتريات يومية'!$A$2:$A$4001,"&lt;="&amp;'إعدادات المخزون'!$B$4)</f>
        <v>4</v>
      </c>
      <c r="F54" s="110" t="n">
        <f aca="false">SUMIFS('هالك وتحويلات'!$E$2:$E$3001,'هالك وتحويلات'!$B$2:$B$3001,$B$2,'هالك وتحويلات'!$C$2:$C$3001,$A54,'هالك وتحويلات'!$D$2:$D$3001,"تحويل وارد",'هالك وتحويلات'!$A$2:$A$3001,"&gt;="&amp;'إعدادات المخزون'!$B$5,'هالك وتحويلات'!$A$2:$A$3001,"&lt;="&amp;'إعدادات المخزون'!$B$4)</f>
        <v>0</v>
      </c>
      <c r="G54" s="110" t="n">
        <f aca="false">SUMIFS('هالك وتحويلات'!$E$2:$E$3001,'هالك وتحويلات'!$B$2:$B$3001,$B$2,'هالك وتحويلات'!$C$2:$C$3001,$A54,'هالك وتحويلات'!$D$2:$D$3001,"تحويل صادر",'هالك وتحويلات'!$A$2:$A$3001,"&gt;="&amp;'إعدادات المخزون'!$B$5,'هالك وتحويلات'!$A$2:$A$3001,"&lt;="&amp;'إعدادات المخزون'!$B$4)</f>
        <v>0</v>
      </c>
      <c r="H54" s="110" t="n">
        <f aca="false">SUMPRODUCT('مصفوفة الاستهلاك (عصافرة)'!$AW$2:$AW$190,'متجهات المبيعات'!$I$2:$I$190)/'مواد المخزون'!$D$49</f>
        <v>5.200008</v>
      </c>
      <c r="I54" s="110" t="n">
        <f aca="false">SUMIFS('هالك وتحويلات'!$E$2:$E$3001,'هالك وتحويلات'!$B$2:$B$3001,$B$2,'هالك وتحويلات'!$C$2:$C$3001,$A54,'هالك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وتحويلات'!$C$2:$C$3001,$A54,'هالك وتحويلات'!$D$2:$D$3001,"ضيافة / أكل موظفين",'هالك وتحويلات'!$A$2:$A$3001,"&gt;="&amp;'إعدادات المخزون'!$B$5,'هالك وتحويلات'!$A$2:$A$3001,"&lt;="&amp;'إعدادات المخزون'!$B$4)</f>
        <v>0</v>
      </c>
      <c r="J54" s="110" t="n">
        <f aca="false">D54+E54+F54-G54-H54-I54</f>
        <v>2.869992</v>
      </c>
      <c r="K54" s="36" t="str">
        <f aca="false">IF(COUNTIFS('جرد فعلي'!$B$2:$B$12001,$B$2,'جرد فعلي'!$C$2:$C$12001,$A54,'جرد فعلي'!$A$2:$A$12001,'إعدادات المخزون'!$B$4)&gt;0,"نعم","لا")</f>
        <v>لا</v>
      </c>
      <c r="L54" s="111" t="str">
        <f aca="false">IF(K54="نعم",SUMIFS('جرد فعلي'!$D$2:$D$12001,'جرد فعلي'!$B$2:$B$12001,$B$2,'جرد فعلي'!$C$2:$C$12001,$A54,'جرد فعلي'!$A$2:$A$12001,'إعدادات المخزون'!$B$4),"")</f>
        <v/>
      </c>
      <c r="M54" s="110" t="str">
        <f aca="false">IF(K54="نعم",L54-J54,"")</f>
        <v/>
      </c>
      <c r="N54" s="112" t="str">
        <f aca="false">IF(K54="نعم",IF(J54=0,IF(M54=0,0,SIGN(M54)),M54/ABS(J54)),"")</f>
        <v/>
      </c>
      <c r="O54" s="109" t="str">
        <f aca="false">IF(K54="نعم",M54*C54,"")</f>
        <v/>
      </c>
      <c r="P54" s="36" t="str">
        <f aca="false">IF(K54&lt;&gt;"نعم","لم يُجرد",IF(ABS(N54)&lt;='إعدادات المخزون'!$B$7,"مطابق",IF(M54&lt;0,"عجز","زيادة")))</f>
        <v>لم يُجرد</v>
      </c>
      <c r="Q54" s="110" t="n">
        <f aca="false">J54-Z54</f>
        <v>3.303326</v>
      </c>
      <c r="R54" s="110" t="str">
        <f aca="false">IF(COUNTIFS('جرد فعلي'!$B$2:$B$12001,$B$2,'جرد فعلي'!$C$2:$C$12001,$A54,'جرد فعلي'!$A$2:$A$12001,'إعدادات المخزون'!$B$4-1)&gt;0,SUMIFS('جرد فعلي'!$D$2:$D$12001,'جرد فعلي'!$B$2:$B$12001,$B$2,'جرد فعلي'!$C$2:$C$12001,$A54,'جرد فعلي'!$A$2:$A$12001,'إعدادات المخزون'!$B$4-1),"")</f>
        <v/>
      </c>
      <c r="S54" s="110" t="str">
        <f aca="false">IF(AND(K54="نعم",R54&lt;&gt;""),(L54-J54)-(R54-Q54),"")</f>
        <v/>
      </c>
      <c r="T54" s="109" t="str">
        <f aca="false">IF(S54="","",S54*C54)</f>
        <v/>
      </c>
      <c r="U54" s="110" t="n">
        <f aca="false">IF(K54="نعم",L54,J54)</f>
        <v>2.869992</v>
      </c>
      <c r="V54" s="110" t="n">
        <f aca="false">SUMPRODUCT('مصفوفة الاستهلاك (عصافرة)'!$AW$2:$AW$190,'متجهات المبيعات'!$J$2:$J$190)/'مواد المخزون'!$D$49/MAX(1,MIN('إعدادات المخزون'!$B$11,'إعدادات المخزون'!$B$4-'إعدادات المخزون'!$B$5+1))</f>
        <v>0.433334</v>
      </c>
      <c r="W54" s="110" t="n">
        <f aca="false">IF(V54&lt;=0,0,ROUNDUP(MAX(0,V54*('إعدادات المخزون'!$B$8+'إعدادات المخزون'!$B$9+'إعدادات المخزون'!$B$10)-MAX(U54,0))/'مواد المخزون'!$F49,0)*'مواد المخزون'!$F49)</f>
        <v>0</v>
      </c>
      <c r="X54" s="109" t="n">
        <f aca="false">IF(AND(K54="نعم",O54&lt;0),-O54+ROW()*0.000000001,0)</f>
        <v>0</v>
      </c>
      <c r="Y54" s="109" t="n">
        <f aca="false">IF(AND(K54="نعم",O54&gt;0),O54+ROW()*0.000000001,0)</f>
        <v>0</v>
      </c>
      <c r="Z54" s="110" t="n">
        <f aca="false">SUMIFS('مشتريات يومية'!$D$2:$D$4001,'مشتريات يومية'!$B$2:$B$4001,$B$2,'مشتريات يومية'!$C$2:$C$4001,$A54,'مشتريات يومية'!$A$2:$A$4001,'إعدادات المخزون'!$B$4)+SUMIFS('هالك وتحويلات'!$E$2:$E$3001,'هالك وتحويلات'!$B$2:$B$3001,$B$2,'هالك وتحويلات'!$C$2:$C$3001,$A54,'هالك وتحويلات'!$D$2:$D$3001,"تحويل وارد",'هالك وتحويلات'!$A$2:$A$3001,'إعدادات المخزون'!$B$4)-SUMIFS('هالك وتحويلات'!$E$2:$E$3001,'هالك وتحويلات'!$B$2:$B$3001,$B$2,'هالك وتحويلات'!$C$2:$C$3001,$A54,'هالك وتحويلات'!$D$2:$D$3001,"تحويل صادر",'هالك وتحويلات'!$A$2:$A$3001,'إعدادات المخزون'!$B$4)-SUMIFS('هالك وتحويلات'!$E$2:$E$3001,'هالك وتحويلات'!$B$2:$B$3001,$B$2,'هالك وتحويلات'!$C$2:$C$3001,$A54,'هالك وتحويلات'!$D$2:$D$3001,"هالك",'هالك وتحويلات'!$A$2:$A$3001,'إعدادات المخزون'!$B$4)-SUMIFS('هالك وتحويلات'!$E$2:$E$3001,'هالك وتحويلات'!$B$2:$B$3001,$B$2,'هالك وتحويلات'!$C$2:$C$3001,$A54,'هالك وتحويلات'!$D$2:$D$3001,"ضيافة / أكل موظفين",'هالك وتحويلات'!$A$2:$A$3001,'إعدادات المخزون'!$B$4)-SUMPRODUCT('مصفوفة الاستهلاك (عصافرة)'!$AW$2:$AW$190,'متجهات المبيعات'!$H$2:$H$190)/'مواد المخزون'!$D$49</f>
        <v>-0.433334</v>
      </c>
      <c r="AA54" s="109" t="n">
        <f aca="false">IF(K54="نعم",O54,0)</f>
        <v>0</v>
      </c>
      <c r="AB54" s="109" t="n">
        <f aca="false">IF(K54="نعم",J54*C54,0)</f>
        <v>0</v>
      </c>
      <c r="AC54" s="109" t="n">
        <f aca="false">IF(T54="",0,T54)</f>
        <v>0</v>
      </c>
    </row>
    <row r="55" customFormat="false" ht="15" hidden="false" customHeight="false" outlineLevel="0" collapsed="false">
      <c r="A55" s="34" t="str">
        <f aca="false">'مواد المخزون'!A50</f>
        <v>صلصة مصنع</v>
      </c>
      <c r="B55" s="36" t="str">
        <f aca="false">'مواد المخزون'!B50</f>
        <v>كجم</v>
      </c>
      <c r="C55" s="109" t="n">
        <f aca="false">'مواد المخزون'!E50</f>
        <v>32</v>
      </c>
      <c r="D55" s="110" t="n">
        <f aca="false">'جرد أول المدة'!E53</f>
        <v>6.526</v>
      </c>
      <c r="E55" s="110" t="n">
        <f aca="false">SUMIFS('مشتريات يومية'!$D$2:$D$4001,'مشتريات يومية'!$B$2:$B$4001,$B$2,'مشتريات يومية'!$C$2:$C$4001,$A55,'مشتريات يومية'!$A$2:$A$4001,"&gt;="&amp;'إعدادات المخزون'!$B$5,'مشتريات يومية'!$A$2:$A$4001,"&lt;="&amp;'إعدادات المخزون'!$B$4)</f>
        <v>21</v>
      </c>
      <c r="F55" s="110" t="n">
        <f aca="false">SUMIFS('هالك وتحويلات'!$E$2:$E$3001,'هالك وتحويلات'!$B$2:$B$3001,$B$2,'هالك وتحويلات'!$C$2:$C$3001,$A55,'هالك وتحويلات'!$D$2:$D$3001,"تحويل وارد",'هالك وتحويلات'!$A$2:$A$3001,"&gt;="&amp;'إعدادات المخزون'!$B$5,'هالك وتحويلات'!$A$2:$A$3001,"&lt;="&amp;'إعدادات المخزون'!$B$4)</f>
        <v>0</v>
      </c>
      <c r="G55" s="110" t="n">
        <f aca="false">SUMIFS('هالك وتحويلات'!$E$2:$E$3001,'هالك وتحويلات'!$B$2:$B$3001,$B$2,'هالك وتحويلات'!$C$2:$C$3001,$A55,'هالك وتحويلات'!$D$2:$D$3001,"تحويل صادر",'هالك وتحويلات'!$A$2:$A$3001,"&gt;="&amp;'إعدادات المخزون'!$B$5,'هالك وتحويلات'!$A$2:$A$3001,"&lt;="&amp;'إعدادات المخزون'!$B$4)</f>
        <v>0</v>
      </c>
      <c r="H55" s="110" t="n">
        <f aca="false">SUMPRODUCT('مصفوفة الاستهلاك (عصافرة)'!$AX$2:$AX$190,'متجهات المبيعات'!$I$2:$I$190)/'مواد المخزون'!$D$50</f>
        <v>22.480032</v>
      </c>
      <c r="I55" s="110" t="n">
        <f aca="false">SUMIFS('هالك وتحويلات'!$E$2:$E$3001,'هالك وتحويلات'!$B$2:$B$3001,$B$2,'هالك وتحويلات'!$C$2:$C$3001,$A55,'هالك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وتحويلات'!$C$2:$C$3001,$A55,'هالك وتحويلات'!$D$2:$D$3001,"ضيافة / أكل موظفين",'هالك وتحويلات'!$A$2:$A$3001,"&gt;="&amp;'إعدادات المخزون'!$B$5,'هالك وتحويلات'!$A$2:$A$3001,"&lt;="&amp;'إعدادات المخزون'!$B$4)</f>
        <v>0</v>
      </c>
      <c r="J55" s="110" t="n">
        <f aca="false">D55+E55+F55-G55-H55-I55</f>
        <v>5.045968</v>
      </c>
      <c r="K55" s="36" t="str">
        <f aca="false">IF(COUNTIFS('جرد فعلي'!$B$2:$B$12001,$B$2,'جرد فعلي'!$C$2:$C$12001,$A55,'جرد فعلي'!$A$2:$A$12001,'إعدادات المخزون'!$B$4)&gt;0,"نعم","لا")</f>
        <v>لا</v>
      </c>
      <c r="L55" s="111" t="str">
        <f aca="false">IF(K55="نعم",SUMIFS('جرد فعلي'!$D$2:$D$12001,'جرد فعلي'!$B$2:$B$12001,$B$2,'جرد فعلي'!$C$2:$C$12001,$A55,'جرد فعلي'!$A$2:$A$12001,'إعدادات المخزون'!$B$4),"")</f>
        <v/>
      </c>
      <c r="M55" s="110" t="str">
        <f aca="false">IF(K55="نعم",L55-J55,"")</f>
        <v/>
      </c>
      <c r="N55" s="112" t="str">
        <f aca="false">IF(K55="نعم",IF(J55=0,IF(M55=0,0,SIGN(M55)),M55/ABS(J55)),"")</f>
        <v/>
      </c>
      <c r="O55" s="109" t="str">
        <f aca="false">IF(K55="نعم",M55*C55,"")</f>
        <v/>
      </c>
      <c r="P55" s="36" t="str">
        <f aca="false">IF(K55&lt;&gt;"نعم","لم يُجرد",IF(ABS(N55)&lt;='إعدادات المخزون'!$B$7,"مطابق",IF(M55&lt;0,"عجز","زيادة")))</f>
        <v>لم يُجرد</v>
      </c>
      <c r="Q55" s="110" t="n">
        <f aca="false">J55-Z55</f>
        <v>6.919304</v>
      </c>
      <c r="R55" s="110" t="str">
        <f aca="false">IF(COUNTIFS('جرد فعلي'!$B$2:$B$12001,$B$2,'جرد فعلي'!$C$2:$C$12001,$A55,'جرد فعلي'!$A$2:$A$12001,'إعدادات المخزون'!$B$4-1)&gt;0,SUMIFS('جرد فعلي'!$D$2:$D$12001,'جرد فعلي'!$B$2:$B$12001,$B$2,'جرد فعلي'!$C$2:$C$12001,$A55,'جرد فعلي'!$A$2:$A$12001,'إعدادات المخزون'!$B$4-1),"")</f>
        <v/>
      </c>
      <c r="S55" s="110" t="str">
        <f aca="false">IF(AND(K55="نعم",R55&lt;&gt;""),(L55-J55)-(R55-Q55),"")</f>
        <v/>
      </c>
      <c r="T55" s="109" t="str">
        <f aca="false">IF(S55="","",S55*C55)</f>
        <v/>
      </c>
      <c r="U55" s="110" t="n">
        <f aca="false">IF(K55="نعم",L55,J55)</f>
        <v>5.045968</v>
      </c>
      <c r="V55" s="110" t="n">
        <f aca="false">SUMPRODUCT('مصفوفة الاستهلاك (عصافرة)'!$AX$2:$AX$190,'متجهات المبيعات'!$J$2:$J$190)/'مواد المخزون'!$D$50/MAX(1,MIN('إعدادات المخزون'!$B$11,'إعدادات المخزون'!$B$4-'إعدادات المخزون'!$B$5+1))</f>
        <v>1.873336</v>
      </c>
      <c r="W55" s="110" t="n">
        <f aca="false">IF(V55&lt;=0,0,ROUNDUP(MAX(0,V55*('إعدادات المخزون'!$B$8+'إعدادات المخزون'!$B$9+'إعدادات المخزون'!$B$10)-MAX(U55,0))/'مواد المخزون'!$F50,0)*'مواد المخزون'!$F50)</f>
        <v>3</v>
      </c>
      <c r="X55" s="109" t="n">
        <f aca="false">IF(AND(K55="نعم",O55&lt;0),-O55+ROW()*0.000000001,0)</f>
        <v>0</v>
      </c>
      <c r="Y55" s="109" t="n">
        <f aca="false">IF(AND(K55="نعم",O55&gt;0),O55+ROW()*0.000000001,0)</f>
        <v>0</v>
      </c>
      <c r="Z55" s="110" t="n">
        <f aca="false">SUMIFS('مشتريات يومية'!$D$2:$D$4001,'مشتريات يومية'!$B$2:$B$4001,$B$2,'مشتريات يومية'!$C$2:$C$4001,$A55,'مشتريات يومية'!$A$2:$A$4001,'إعدادات المخزون'!$B$4)+SUMIFS('هالك وتحويلات'!$E$2:$E$3001,'هالك وتحويلات'!$B$2:$B$3001,$B$2,'هالك وتحويلات'!$C$2:$C$3001,$A55,'هالك وتحويلات'!$D$2:$D$3001,"تحويل وارد",'هالك وتحويلات'!$A$2:$A$3001,'إعدادات المخزون'!$B$4)-SUMIFS('هالك وتحويلات'!$E$2:$E$3001,'هالك وتحويلات'!$B$2:$B$3001,$B$2,'هالك وتحويلات'!$C$2:$C$3001,$A55,'هالك وتحويلات'!$D$2:$D$3001,"تحويل صادر",'هالك وتحويلات'!$A$2:$A$3001,'إعدادات المخزون'!$B$4)-SUMIFS('هالك وتحويلات'!$E$2:$E$3001,'هالك وتحويلات'!$B$2:$B$3001,$B$2,'هالك وتحويلات'!$C$2:$C$3001,$A55,'هالك وتحويلات'!$D$2:$D$3001,"هالك",'هالك وتحويلات'!$A$2:$A$3001,'إعدادات المخزون'!$B$4)-SUMIFS('هالك وتحويلات'!$E$2:$E$3001,'هالك وتحويلات'!$B$2:$B$3001,$B$2,'هالك وتحويلات'!$C$2:$C$3001,$A55,'هالك وتحويلات'!$D$2:$D$3001,"ضيافة / أكل موظفين",'هالك وتحويلات'!$A$2:$A$3001,'إعدادات المخزون'!$B$4)-SUMPRODUCT('مصفوفة الاستهلاك (عصافرة)'!$AX$2:$AX$190,'متجهات المبيعات'!$H$2:$H$190)/'مواد المخزون'!$D$50</f>
        <v>-1.873336</v>
      </c>
      <c r="AA55" s="109" t="n">
        <f aca="false">IF(K55="نعم",O55,0)</f>
        <v>0</v>
      </c>
      <c r="AB55" s="109" t="n">
        <f aca="false">IF(K55="نعم",J55*C55,0)</f>
        <v>0</v>
      </c>
      <c r="AC55" s="109" t="n">
        <f aca="false">IF(T55="",0,T55)</f>
        <v>0</v>
      </c>
    </row>
    <row r="56" customFormat="false" ht="15" hidden="false" customHeight="false" outlineLevel="0" collapsed="false">
      <c r="A56" s="34" t="str">
        <f aca="false">'مواد المخزون'!A51</f>
        <v>صوص باربيكيو كيلو</v>
      </c>
      <c r="B56" s="36" t="str">
        <f aca="false">'مواد المخزون'!B51</f>
        <v>كجم</v>
      </c>
      <c r="C56" s="109" t="n">
        <f aca="false">'مواد المخزون'!E51</f>
        <v>70</v>
      </c>
      <c r="D56" s="110" t="n">
        <f aca="false">'جرد أول المدة'!E54</f>
        <v>4.3</v>
      </c>
      <c r="E56" s="110" t="n">
        <f aca="false">SUMIFS('مشتريات يومية'!$D$2:$D$4001,'مشتريات يومية'!$B$2:$B$4001,$B$2,'مشتريات يومية'!$C$2:$C$4001,$A56,'مشتريات يومية'!$A$2:$A$4001,"&gt;="&amp;'إعدادات المخزون'!$B$5,'مشتريات يومية'!$A$2:$A$4001,"&lt;="&amp;'إعدادات المخزون'!$B$4)</f>
        <v>9</v>
      </c>
      <c r="F56" s="110" t="n">
        <f aca="false">SUMIFS('هالك وتحويلات'!$E$2:$E$3001,'هالك وتحويلات'!$B$2:$B$3001,$B$2,'هالك وتحويلات'!$C$2:$C$3001,$A56,'هالك وتحويلات'!$D$2:$D$3001,"تحويل وارد",'هالك وتحويلات'!$A$2:$A$3001,"&gt;="&amp;'إعدادات المخزون'!$B$5,'هالك وتحويلات'!$A$2:$A$3001,"&lt;="&amp;'إعدادات المخزون'!$B$4)</f>
        <v>0</v>
      </c>
      <c r="G56" s="110" t="n">
        <f aca="false">SUMIFS('هالك وتحويلات'!$E$2:$E$3001,'هالك وتحويلات'!$B$2:$B$3001,$B$2,'هالك وتحويلات'!$C$2:$C$3001,$A56,'هالك وتحويلات'!$D$2:$D$3001,"تحويل صادر",'هالك وتحويلات'!$A$2:$A$3001,"&gt;="&amp;'إعدادات المخزون'!$B$5,'هالك وتحويلات'!$A$2:$A$3001,"&lt;="&amp;'إعدادات المخزون'!$B$4)</f>
        <v>0</v>
      </c>
      <c r="H56" s="110" t="n">
        <f aca="false">SUMPRODUCT('مصفوفة الاستهلاك (عصافرة)'!$AY$2:$AY$190,'متجهات المبيعات'!$I$2:$I$190)/'مواد المخزون'!$D$51</f>
        <v>11.63368668</v>
      </c>
      <c r="I56" s="110" t="n">
        <f aca="false">SUMIFS('هالك وتحويلات'!$E$2:$E$3001,'هالك وتحويلات'!$B$2:$B$3001,$B$2,'هالك وتحويلات'!$C$2:$C$3001,$A56,'هالك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وتحويلات'!$C$2:$C$3001,$A56,'هالك وتحويلات'!$D$2:$D$3001,"ضيافة / أكل موظفين",'هالك وتحويلات'!$A$2:$A$3001,"&gt;="&amp;'إعدادات المخزون'!$B$5,'هالك وتحويلات'!$A$2:$A$3001,"&lt;="&amp;'إعدادات المخزون'!$B$4)</f>
        <v>0</v>
      </c>
      <c r="J56" s="110" t="n">
        <f aca="false">D56+E56+F56-G56-H56-I56</f>
        <v>1.66631332</v>
      </c>
      <c r="K56" s="36" t="str">
        <f aca="false">IF(COUNTIFS('جرد فعلي'!$B$2:$B$12001,$B$2,'جرد فعلي'!$C$2:$C$12001,$A56,'جرد فعلي'!$A$2:$A$12001,'إعدادات المخزون'!$B$4)&gt;0,"نعم","لا")</f>
        <v>لا</v>
      </c>
      <c r="L56" s="111" t="str">
        <f aca="false">IF(K56="نعم",SUMIFS('جرد فعلي'!$D$2:$D$12001,'جرد فعلي'!$B$2:$B$12001,$B$2,'جرد فعلي'!$C$2:$C$12001,$A56,'جرد فعلي'!$A$2:$A$12001,'إعدادات المخزون'!$B$4),"")</f>
        <v/>
      </c>
      <c r="M56" s="110" t="str">
        <f aca="false">IF(K56="نعم",L56-J56,"")</f>
        <v/>
      </c>
      <c r="N56" s="112" t="str">
        <f aca="false">IF(K56="نعم",IF(J56=0,IF(M56=0,0,SIGN(M56)),M56/ABS(J56)),"")</f>
        <v/>
      </c>
      <c r="O56" s="109" t="str">
        <f aca="false">IF(K56="نعم",M56*C56,"")</f>
        <v/>
      </c>
      <c r="P56" s="36" t="str">
        <f aca="false">IF(K56&lt;&gt;"نعم","لم يُجرد",IF(ABS(N56)&lt;='إعدادات المخزون'!$B$7,"مطابق",IF(M56&lt;0,"عجز","زيادة")))</f>
        <v>لم يُجرد</v>
      </c>
      <c r="Q56" s="110" t="n">
        <f aca="false">J56-Z56</f>
        <v>2.63578721</v>
      </c>
      <c r="R56" s="110" t="str">
        <f aca="false">IF(COUNTIFS('جرد فعلي'!$B$2:$B$12001,$B$2,'جرد فعلي'!$C$2:$C$12001,$A56,'جرد فعلي'!$A$2:$A$12001,'إعدادات المخزون'!$B$4-1)&gt;0,SUMIFS('جرد فعلي'!$D$2:$D$12001,'جرد فعلي'!$B$2:$B$12001,$B$2,'جرد فعلي'!$C$2:$C$12001,$A56,'جرد فعلي'!$A$2:$A$12001,'إعدادات المخزون'!$B$4-1),"")</f>
        <v/>
      </c>
      <c r="S56" s="110" t="str">
        <f aca="false">IF(AND(K56="نعم",R56&lt;&gt;""),(L56-J56)-(R56-Q56),"")</f>
        <v/>
      </c>
      <c r="T56" s="109" t="str">
        <f aca="false">IF(S56="","",S56*C56)</f>
        <v/>
      </c>
      <c r="U56" s="110" t="n">
        <f aca="false">IF(K56="نعم",L56,J56)</f>
        <v>1.66631332</v>
      </c>
      <c r="V56" s="110" t="n">
        <f aca="false">SUMPRODUCT('مصفوفة الاستهلاك (عصافرة)'!$AY$2:$AY$190,'متجهات المبيعات'!$J$2:$J$190)/'مواد المخزون'!$D$51/MAX(1,MIN('إعدادات المخزون'!$B$11,'إعدادات المخزون'!$B$4-'إعدادات المخزون'!$B$5+1))</f>
        <v>0.96947389</v>
      </c>
      <c r="W56" s="110" t="n">
        <f aca="false">IF(V56&lt;=0,0,ROUNDUP(MAX(0,V56*('إعدادات المخزون'!$B$8+'إعدادات المخزون'!$B$9+'إعدادات المخزون'!$B$10)-MAX(U56,0))/'مواد المخزون'!$F51,0)*'مواد المخزون'!$F51)</f>
        <v>3</v>
      </c>
      <c r="X56" s="109" t="n">
        <f aca="false">IF(AND(K56="نعم",O56&lt;0),-O56+ROW()*0.000000001,0)</f>
        <v>0</v>
      </c>
      <c r="Y56" s="109" t="n">
        <f aca="false">IF(AND(K56="نعم",O56&gt;0),O56+ROW()*0.000000001,0)</f>
        <v>0</v>
      </c>
      <c r="Z56" s="110" t="n">
        <f aca="false">SUMIFS('مشتريات يومية'!$D$2:$D$4001,'مشتريات يومية'!$B$2:$B$4001,$B$2,'مشتريات يومية'!$C$2:$C$4001,$A56,'مشتريات يومية'!$A$2:$A$4001,'إعدادات المخزون'!$B$4)+SUMIFS('هالك وتحويلات'!$E$2:$E$3001,'هالك وتحويلات'!$B$2:$B$3001,$B$2,'هالك وتحويلات'!$C$2:$C$3001,$A56,'هالك وتحويلات'!$D$2:$D$3001,"تحويل وارد",'هالك وتحويلات'!$A$2:$A$3001,'إعدادات المخزون'!$B$4)-SUMIFS('هالك وتحويلات'!$E$2:$E$3001,'هالك وتحويلات'!$B$2:$B$3001,$B$2,'هالك وتحويلات'!$C$2:$C$3001,$A56,'هالك وتحويلات'!$D$2:$D$3001,"تحويل صادر",'هالك وتحويلات'!$A$2:$A$3001,'إعدادات المخزون'!$B$4)-SUMIFS('هالك وتحويلات'!$E$2:$E$3001,'هالك وتحويلات'!$B$2:$B$3001,$B$2,'هالك وتحويلات'!$C$2:$C$3001,$A56,'هالك وتحويلات'!$D$2:$D$3001,"هالك",'هالك وتحويلات'!$A$2:$A$3001,'إعدادات المخزون'!$B$4)-SUMIFS('هالك وتحويلات'!$E$2:$E$3001,'هالك وتحويلات'!$B$2:$B$3001,$B$2,'هالك وتحويلات'!$C$2:$C$3001,$A56,'هالك وتحويلات'!$D$2:$D$3001,"ضيافة / أكل موظفين",'هالك وتحويلات'!$A$2:$A$3001,'إعدادات المخزون'!$B$4)-SUMPRODUCT('مصفوفة الاستهلاك (عصافرة)'!$AY$2:$AY$190,'متجهات المبيعات'!$H$2:$H$190)/'مواد المخزون'!$D$51</f>
        <v>-0.96947389</v>
      </c>
      <c r="AA56" s="109" t="n">
        <f aca="false">IF(K56="نعم",O56,0)</f>
        <v>0</v>
      </c>
      <c r="AB56" s="109" t="n">
        <f aca="false">IF(K56="نعم",J56*C56,0)</f>
        <v>0</v>
      </c>
      <c r="AC56" s="109" t="n">
        <f aca="false">IF(T56="",0,T56)</f>
        <v>0</v>
      </c>
    </row>
    <row r="57" customFormat="false" ht="15" hidden="false" customHeight="false" outlineLevel="0" collapsed="false">
      <c r="A57" s="34" t="str">
        <f aca="false">'مواد المخزون'!A52</f>
        <v>صوص تكساس برجر</v>
      </c>
      <c r="B57" s="36" t="str">
        <f aca="false">'مواد المخزون'!B52</f>
        <v>كجم</v>
      </c>
      <c r="C57" s="109" t="n">
        <f aca="false">'مواد المخزون'!E52</f>
        <v>140</v>
      </c>
      <c r="D57" s="110" t="n">
        <f aca="false">'جرد أول المدة'!E55</f>
        <v>3.25</v>
      </c>
      <c r="E57" s="110" t="n">
        <f aca="false">SUMIFS('مشتريات يومية'!$D$2:$D$4001,'مشتريات يومية'!$B$2:$B$4001,$B$2,'مشتريات يومية'!$C$2:$C$4001,$A57,'مشتريات يومية'!$A$2:$A$4001,"&gt;="&amp;'إعدادات المخزون'!$B$5,'مشتريات يومية'!$A$2:$A$4001,"&lt;="&amp;'إعدادات المخزون'!$B$4)</f>
        <v>9</v>
      </c>
      <c r="F57" s="110" t="n">
        <f aca="false">SUMIFS('هالك وتحويلات'!$E$2:$E$3001,'هالك وتحويلات'!$B$2:$B$3001,$B$2,'هالك وتحويلات'!$C$2:$C$3001,$A57,'هالك وتحويلات'!$D$2:$D$3001,"تحويل وارد",'هالك وتحويلات'!$A$2:$A$3001,"&gt;="&amp;'إعدادات المخزون'!$B$5,'هالك وتحويلات'!$A$2:$A$3001,"&lt;="&amp;'إعدادات المخزون'!$B$4)</f>
        <v>0</v>
      </c>
      <c r="G57" s="110" t="n">
        <f aca="false">SUMIFS('هالك وتحويلات'!$E$2:$E$3001,'هالك وتحويلات'!$B$2:$B$3001,$B$2,'هالك وتحويلات'!$C$2:$C$3001,$A57,'هالك وتحويلات'!$D$2:$D$3001,"تحويل صادر",'هالك وتحويلات'!$A$2:$A$3001,"&gt;="&amp;'إعدادات المخزون'!$B$5,'هالك وتحويلات'!$A$2:$A$3001,"&lt;="&amp;'إعدادات المخزون'!$B$4)</f>
        <v>0</v>
      </c>
      <c r="H57" s="110" t="n">
        <f aca="false">SUMPRODUCT('مصفوفة الاستهلاك (عصافرة)'!$AZ$2:$AZ$190,'متجهات المبيعات'!$I$2:$I$190)/'مواد المخزون'!$D$52</f>
        <v>6.23368668</v>
      </c>
      <c r="I57" s="110" t="n">
        <f aca="false">SUMIFS('هالك وتحويلات'!$E$2:$E$3001,'هالك وتحويلات'!$B$2:$B$3001,$B$2,'هالك وتحويلات'!$C$2:$C$3001,$A57,'هالك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وتحويلات'!$C$2:$C$3001,$A57,'هالك وتحويلات'!$D$2:$D$3001,"ضيافة / أكل موظفين",'هالك وتحويلات'!$A$2:$A$3001,"&gt;="&amp;'إعدادات المخزون'!$B$5,'هالك وتحويلات'!$A$2:$A$3001,"&lt;="&amp;'إعدادات المخزون'!$B$4)</f>
        <v>0</v>
      </c>
      <c r="J57" s="110" t="n">
        <f aca="false">D57+E57+F57-G57-H57-I57</f>
        <v>6.01631332</v>
      </c>
      <c r="K57" s="36" t="str">
        <f aca="false">IF(COUNTIFS('جرد فعلي'!$B$2:$B$12001,$B$2,'جرد فعلي'!$C$2:$C$12001,$A57,'جرد فعلي'!$A$2:$A$12001,'إعدادات المخزون'!$B$4)&gt;0,"نعم","لا")</f>
        <v>لا</v>
      </c>
      <c r="L57" s="111" t="str">
        <f aca="false">IF(K57="نعم",SUMIFS('جرد فعلي'!$D$2:$D$12001,'جرد فعلي'!$B$2:$B$12001,$B$2,'جرد فعلي'!$C$2:$C$12001,$A57,'جرد فعلي'!$A$2:$A$12001,'إعدادات المخزون'!$B$4),"")</f>
        <v/>
      </c>
      <c r="M57" s="110" t="str">
        <f aca="false">IF(K57="نعم",L57-J57,"")</f>
        <v/>
      </c>
      <c r="N57" s="112" t="str">
        <f aca="false">IF(K57="نعم",IF(J57=0,IF(M57=0,0,SIGN(M57)),M57/ABS(J57)),"")</f>
        <v/>
      </c>
      <c r="O57" s="109" t="str">
        <f aca="false">IF(K57="نعم",M57*C57,"")</f>
        <v/>
      </c>
      <c r="P57" s="36" t="str">
        <f aca="false">IF(K57&lt;&gt;"نعم","لم يُجرد",IF(ABS(N57)&lt;='إعدادات المخزون'!$B$7,"مطابق",IF(M57&lt;0,"عجز","زيادة")))</f>
        <v>لم يُجرد</v>
      </c>
      <c r="Q57" s="110" t="n">
        <f aca="false">J57-Z57</f>
        <v>6.53578721</v>
      </c>
      <c r="R57" s="110" t="str">
        <f aca="false">IF(COUNTIFS('جرد فعلي'!$B$2:$B$12001,$B$2,'جرد فعلي'!$C$2:$C$12001,$A57,'جرد فعلي'!$A$2:$A$12001,'إعدادات المخزون'!$B$4-1)&gt;0,SUMIFS('جرد فعلي'!$D$2:$D$12001,'جرد فعلي'!$B$2:$B$12001,$B$2,'جرد فعلي'!$C$2:$C$12001,$A57,'جرد فعلي'!$A$2:$A$12001,'إعدادات المخزون'!$B$4-1),"")</f>
        <v/>
      </c>
      <c r="S57" s="110" t="str">
        <f aca="false">IF(AND(K57="نعم",R57&lt;&gt;""),(L57-J57)-(R57-Q57),"")</f>
        <v/>
      </c>
      <c r="T57" s="109" t="str">
        <f aca="false">IF(S57="","",S57*C57)</f>
        <v/>
      </c>
      <c r="U57" s="110" t="n">
        <f aca="false">IF(K57="نعم",L57,J57)</f>
        <v>6.01631332</v>
      </c>
      <c r="V57" s="110" t="n">
        <f aca="false">SUMPRODUCT('مصفوفة الاستهلاك (عصافرة)'!$AZ$2:$AZ$190,'متجهات المبيعات'!$J$2:$J$190)/'مواد المخزون'!$D$52/MAX(1,MIN('إعدادات المخزون'!$B$11,'إعدادات المخزون'!$B$4-'إعدادات المخزون'!$B$5+1))</f>
        <v>0.51947389</v>
      </c>
      <c r="W57" s="110" t="n">
        <f aca="false">IF(V57&lt;=0,0,ROUNDUP(MAX(0,V57*('إعدادات المخزون'!$B$8+'إعدادات المخزون'!$B$9+'إعدادات المخزون'!$B$10)-MAX(U57,0))/'مواد المخزون'!$F52,0)*'مواد المخزون'!$F52)</f>
        <v>0</v>
      </c>
      <c r="X57" s="109" t="n">
        <f aca="false">IF(AND(K57="نعم",O57&lt;0),-O57+ROW()*0.000000001,0)</f>
        <v>0</v>
      </c>
      <c r="Y57" s="109" t="n">
        <f aca="false">IF(AND(K57="نعم",O57&gt;0),O57+ROW()*0.000000001,0)</f>
        <v>0</v>
      </c>
      <c r="Z57" s="110" t="n">
        <f aca="false">SUMIFS('مشتريات يومية'!$D$2:$D$4001,'مشتريات يومية'!$B$2:$B$4001,$B$2,'مشتريات يومية'!$C$2:$C$4001,$A57,'مشتريات يومية'!$A$2:$A$4001,'إعدادات المخزون'!$B$4)+SUMIFS('هالك وتحويلات'!$E$2:$E$3001,'هالك وتحويلات'!$B$2:$B$3001,$B$2,'هالك وتحويلات'!$C$2:$C$3001,$A57,'هالك وتحويلات'!$D$2:$D$3001,"تحويل وارد",'هالك وتحويلات'!$A$2:$A$3001,'إعدادات المخزون'!$B$4)-SUMIFS('هالك وتحويلات'!$E$2:$E$3001,'هالك وتحويلات'!$B$2:$B$3001,$B$2,'هالك وتحويلات'!$C$2:$C$3001,$A57,'هالك وتحويلات'!$D$2:$D$3001,"تحويل صادر",'هالك وتحويلات'!$A$2:$A$3001,'إعدادات المخزون'!$B$4)-SUMIFS('هالك وتحويلات'!$E$2:$E$3001,'هالك وتحويلات'!$B$2:$B$3001,$B$2,'هالك وتحويلات'!$C$2:$C$3001,$A57,'هالك وتحويلات'!$D$2:$D$3001,"هالك",'هالك وتحويلات'!$A$2:$A$3001,'إعدادات المخزون'!$B$4)-SUMIFS('هالك وتحويلات'!$E$2:$E$3001,'هالك وتحويلات'!$B$2:$B$3001,$B$2,'هالك وتحويلات'!$C$2:$C$3001,$A57,'هالك وتحويلات'!$D$2:$D$3001,"ضيافة / أكل موظفين",'هالك وتحويلات'!$A$2:$A$3001,'إعدادات المخزون'!$B$4)-SUMPRODUCT('مصفوفة الاستهلاك (عصافرة)'!$AZ$2:$AZ$190,'متجهات المبيعات'!$H$2:$H$190)/'مواد المخزون'!$D$52</f>
        <v>-0.51947389</v>
      </c>
      <c r="AA57" s="109" t="n">
        <f aca="false">IF(K57="نعم",O57,0)</f>
        <v>0</v>
      </c>
      <c r="AB57" s="109" t="n">
        <f aca="false">IF(K57="نعم",J57*C57,0)</f>
        <v>0</v>
      </c>
      <c r="AC57" s="109" t="n">
        <f aca="false">IF(T57="",0,T57)</f>
        <v>0</v>
      </c>
    </row>
    <row r="58" customFormat="false" ht="15" hidden="false" customHeight="false" outlineLevel="0" collapsed="false">
      <c r="A58" s="34" t="str">
        <f aca="false">'مواد المخزون'!A53</f>
        <v>صوص رانش كيلو</v>
      </c>
      <c r="B58" s="36" t="str">
        <f aca="false">'مواد المخزون'!B53</f>
        <v>كجم</v>
      </c>
      <c r="C58" s="109" t="n">
        <f aca="false">'مواد المخزون'!E53</f>
        <v>105</v>
      </c>
      <c r="D58" s="110" t="n">
        <f aca="false">'جرد أول المدة'!E56</f>
        <v>5.31</v>
      </c>
      <c r="E58" s="110" t="n">
        <f aca="false">SUMIFS('مشتريات يومية'!$D$2:$D$4001,'مشتريات يومية'!$B$2:$B$4001,$B$2,'مشتريات يومية'!$C$2:$C$4001,$A58,'مشتريات يومية'!$A$2:$A$4001,"&gt;="&amp;'إعدادات المخزون'!$B$5,'مشتريات يومية'!$A$2:$A$4001,"&lt;="&amp;'إعدادات المخزون'!$B$4)</f>
        <v>15</v>
      </c>
      <c r="F58" s="110" t="n">
        <f aca="false">SUMIFS('هالك وتحويلات'!$E$2:$E$3001,'هالك وتحويلات'!$B$2:$B$3001,$B$2,'هالك وتحويلات'!$C$2:$C$3001,$A58,'هالك وتحويلات'!$D$2:$D$3001,"تحويل وارد",'هالك وتحويلات'!$A$2:$A$3001,"&gt;="&amp;'إعدادات المخزون'!$B$5,'هالك وتحويلات'!$A$2:$A$3001,"&lt;="&amp;'إعدادات المخزون'!$B$4)</f>
        <v>0</v>
      </c>
      <c r="G58" s="110" t="n">
        <f aca="false">SUMIFS('هالك وتحويلات'!$E$2:$E$3001,'هالك وتحويلات'!$B$2:$B$3001,$B$2,'هالك وتحويلات'!$C$2:$C$3001,$A58,'هالك وتحويلات'!$D$2:$D$3001,"تحويل صادر",'هالك وتحويلات'!$A$2:$A$3001,"&gt;="&amp;'إعدادات المخزون'!$B$5,'هالك وتحويلات'!$A$2:$A$3001,"&lt;="&amp;'إعدادات المخزون'!$B$4)</f>
        <v>0</v>
      </c>
      <c r="H58" s="110" t="n">
        <f aca="false">SUMPRODUCT('مصفوفة الاستهلاك (عصافرة)'!$BA$2:$BA$190,'متجهات المبيعات'!$I$2:$I$190)/'مواد المخزون'!$D$53</f>
        <v>21.69996</v>
      </c>
      <c r="I58" s="110" t="n">
        <f aca="false">SUMIFS('هالك وتحويلات'!$E$2:$E$3001,'هالك وتحويلات'!$B$2:$B$3001,$B$2,'هالك وتحويلات'!$C$2:$C$3001,$A58,'هالك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وتحويلات'!$C$2:$C$3001,$A58,'هالك وتحويلات'!$D$2:$D$3001,"ضيافة / أكل موظفين",'هالك وتحويلات'!$A$2:$A$3001,"&gt;="&amp;'إعدادات المخزون'!$B$5,'هالك وتحويلات'!$A$2:$A$3001,"&lt;="&amp;'إعدادات المخزون'!$B$4)</f>
        <v>0</v>
      </c>
      <c r="J58" s="110" t="n">
        <f aca="false">D58+E58+F58-G58-H58-I58</f>
        <v>-1.38996</v>
      </c>
      <c r="K58" s="36" t="str">
        <f aca="false">IF(COUNTIFS('جرد فعلي'!$B$2:$B$12001,$B$2,'جرد فعلي'!$C$2:$C$12001,$A58,'جرد فعلي'!$A$2:$A$12001,'إعدادات المخزون'!$B$4)&gt;0,"نعم","لا")</f>
        <v>لا</v>
      </c>
      <c r="L58" s="111" t="str">
        <f aca="false">IF(K58="نعم",SUMIFS('جرد فعلي'!$D$2:$D$12001,'جرد فعلي'!$B$2:$B$12001,$B$2,'جرد فعلي'!$C$2:$C$12001,$A58,'جرد فعلي'!$A$2:$A$12001,'إعدادات المخزون'!$B$4),"")</f>
        <v/>
      </c>
      <c r="M58" s="110" t="str">
        <f aca="false">IF(K58="نعم",L58-J58,"")</f>
        <v/>
      </c>
      <c r="N58" s="112" t="str">
        <f aca="false">IF(K58="نعم",IF(J58=0,IF(M58=0,0,SIGN(M58)),M58/ABS(J58)),"")</f>
        <v/>
      </c>
      <c r="O58" s="109" t="str">
        <f aca="false">IF(K58="نعم",M58*C58,"")</f>
        <v/>
      </c>
      <c r="P58" s="36" t="str">
        <f aca="false">IF(K58&lt;&gt;"نعم","لم يُجرد",IF(ABS(N58)&lt;='إعدادات المخزون'!$B$7,"مطابق",IF(M58&lt;0,"عجز","زيادة")))</f>
        <v>لم يُجرد</v>
      </c>
      <c r="Q58" s="110" t="n">
        <f aca="false">J58-Z58</f>
        <v>0.418369999999998</v>
      </c>
      <c r="R58" s="110" t="str">
        <f aca="false">IF(COUNTIFS('جرد فعلي'!$B$2:$B$12001,$B$2,'جرد فعلي'!$C$2:$C$12001,$A58,'جرد فعلي'!$A$2:$A$12001,'إعدادات المخزون'!$B$4-1)&gt;0,SUMIFS('جرد فعلي'!$D$2:$D$12001,'جرد فعلي'!$B$2:$B$12001,$B$2,'جرد فعلي'!$C$2:$C$12001,$A58,'جرد فعلي'!$A$2:$A$12001,'إعدادات المخزون'!$B$4-1),"")</f>
        <v/>
      </c>
      <c r="S58" s="110" t="str">
        <f aca="false">IF(AND(K58="نعم",R58&lt;&gt;""),(L58-J58)-(R58-Q58),"")</f>
        <v/>
      </c>
      <c r="T58" s="109" t="str">
        <f aca="false">IF(S58="","",S58*C58)</f>
        <v/>
      </c>
      <c r="U58" s="110" t="n">
        <f aca="false">IF(K58="نعم",L58,J58)</f>
        <v>-1.38996</v>
      </c>
      <c r="V58" s="110" t="n">
        <f aca="false">SUMPRODUCT('مصفوفة الاستهلاك (عصافرة)'!$BA$2:$BA$190,'متجهات المبيعات'!$J$2:$J$190)/'مواد المخزون'!$D$53/MAX(1,MIN('إعدادات المخزون'!$B$11,'إعدادات المخزون'!$B$4-'إعدادات المخزون'!$B$5+1))</f>
        <v>1.80833</v>
      </c>
      <c r="W58" s="110" t="n">
        <f aca="false">IF(V58&lt;=0,0,ROUNDUP(MAX(0,V58*('إعدادات المخزون'!$B$8+'إعدادات المخزون'!$B$9+'إعدادات المخزون'!$B$10)-MAX(U58,0))/'مواد المخزون'!$F53,0)*'مواد المخزون'!$F53)</f>
        <v>8</v>
      </c>
      <c r="X58" s="109" t="n">
        <f aca="false">IF(AND(K58="نعم",O58&lt;0),-O58+ROW()*0.000000001,0)</f>
        <v>0</v>
      </c>
      <c r="Y58" s="109" t="n">
        <f aca="false">IF(AND(K58="نعم",O58&gt;0),O58+ROW()*0.000000001,0)</f>
        <v>0</v>
      </c>
      <c r="Z58" s="110" t="n">
        <f aca="false">SUMIFS('مشتريات يومية'!$D$2:$D$4001,'مشتريات يومية'!$B$2:$B$4001,$B$2,'مشتريات يومية'!$C$2:$C$4001,$A58,'مشتريات يومية'!$A$2:$A$4001,'إعدادات المخزون'!$B$4)+SUMIFS('هالك وتحويلات'!$E$2:$E$3001,'هالك وتحويلات'!$B$2:$B$3001,$B$2,'هالك وتحويلات'!$C$2:$C$3001,$A58,'هالك وتحويلات'!$D$2:$D$3001,"تحويل وارد",'هالك وتحويلات'!$A$2:$A$3001,'إعدادات المخزون'!$B$4)-SUMIFS('هالك وتحويلات'!$E$2:$E$3001,'هالك وتحويلات'!$B$2:$B$3001,$B$2,'هالك وتحويلات'!$C$2:$C$3001,$A58,'هالك وتحويلات'!$D$2:$D$3001,"تحويل صادر",'هالك وتحويلات'!$A$2:$A$3001,'إعدادات المخزون'!$B$4)-SUMIFS('هالك وتحويلات'!$E$2:$E$3001,'هالك وتحويلات'!$B$2:$B$3001,$B$2,'هالك وتحويلات'!$C$2:$C$3001,$A58,'هالك وتحويلات'!$D$2:$D$3001,"هالك",'هالك وتحويلات'!$A$2:$A$3001,'إعدادات المخزون'!$B$4)-SUMIFS('هالك وتحويلات'!$E$2:$E$3001,'هالك وتحويلات'!$B$2:$B$3001,$B$2,'هالك وتحويلات'!$C$2:$C$3001,$A58,'هالك وتحويلات'!$D$2:$D$3001,"ضيافة / أكل موظفين",'هالك وتحويلات'!$A$2:$A$3001,'إعدادات المخزون'!$B$4)-SUMPRODUCT('مصفوفة الاستهلاك (عصافرة)'!$BA$2:$BA$190,'متجهات المبيعات'!$H$2:$H$190)/'مواد المخزون'!$D$53</f>
        <v>-1.80833</v>
      </c>
      <c r="AA58" s="109" t="n">
        <f aca="false">IF(K58="نعم",O58,0)</f>
        <v>0</v>
      </c>
      <c r="AB58" s="109" t="n">
        <f aca="false">IF(K58="نعم",J58*C58,0)</f>
        <v>0</v>
      </c>
      <c r="AC58" s="109" t="n">
        <f aca="false">IF(T58="",0,T58)</f>
        <v>0</v>
      </c>
    </row>
    <row r="59" customFormat="false" ht="15" hidden="false" customHeight="false" outlineLevel="0" collapsed="false">
      <c r="A59" s="34" t="str">
        <f aca="false">'مواد المخزون'!A54</f>
        <v>صوص شيدر كيلو</v>
      </c>
      <c r="B59" s="36" t="str">
        <f aca="false">'مواد المخزون'!B54</f>
        <v>كجم</v>
      </c>
      <c r="C59" s="109" t="n">
        <f aca="false">'مواد المخزون'!E54</f>
        <v>140</v>
      </c>
      <c r="D59" s="110" t="n">
        <f aca="false">'جرد أول المدة'!E57</f>
        <v>3.04</v>
      </c>
      <c r="E59" s="110" t="n">
        <f aca="false">SUMIFS('مشتريات يومية'!$D$2:$D$4001,'مشتريات يومية'!$B$2:$B$4001,$B$2,'مشتريات يومية'!$C$2:$C$4001,$A59,'مشتريات يومية'!$A$2:$A$4001,"&gt;="&amp;'إعدادات المخزون'!$B$5,'مشتريات يومية'!$A$2:$A$4001,"&lt;="&amp;'إعدادات المخزون'!$B$4)</f>
        <v>20</v>
      </c>
      <c r="F59" s="110" t="n">
        <f aca="false">SUMIFS('هالك وتحويلات'!$E$2:$E$3001,'هالك وتحويلات'!$B$2:$B$3001,$B$2,'هالك وتحويلات'!$C$2:$C$3001,$A59,'هالك وتحويلات'!$D$2:$D$3001,"تحويل وارد",'هالك وتحويلات'!$A$2:$A$3001,"&gt;="&amp;'إعدادات المخزون'!$B$5,'هالك وتحويلات'!$A$2:$A$3001,"&lt;="&amp;'إعدادات المخزون'!$B$4)</f>
        <v>0</v>
      </c>
      <c r="G59" s="110" t="n">
        <f aca="false">SUMIFS('هالك وتحويلات'!$E$2:$E$3001,'هالك وتحويلات'!$B$2:$B$3001,$B$2,'هالك وتحويلات'!$C$2:$C$3001,$A59,'هالك وتحويلات'!$D$2:$D$3001,"تحويل صادر",'هالك وتحويلات'!$A$2:$A$3001,"&gt;="&amp;'إعدادات المخزون'!$B$5,'هالك وتحويلات'!$A$2:$A$3001,"&lt;="&amp;'إعدادات المخزون'!$B$4)</f>
        <v>0</v>
      </c>
      <c r="H59" s="110" t="n">
        <f aca="false">SUMPRODUCT('مصفوفة الاستهلاك (عصافرة)'!$BB$2:$BB$190,'متجهات المبيعات'!$I$2:$I$190)/'مواد المخزون'!$D$54</f>
        <v>28.23376668</v>
      </c>
      <c r="I59" s="110" t="n">
        <f aca="false">SUMIFS('هالك وتحويلات'!$E$2:$E$3001,'هالك وتحويلات'!$B$2:$B$3001,$B$2,'هالك وتحويلات'!$C$2:$C$3001,$A59,'هالك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وتحويلات'!$C$2:$C$3001,$A59,'هالك وتحويلات'!$D$2:$D$3001,"ضيافة / أكل موظفين",'هالك وتحويلات'!$A$2:$A$3001,"&gt;="&amp;'إعدادات المخزون'!$B$5,'هالك وتحويلات'!$A$2:$A$3001,"&lt;="&amp;'إعدادات المخزون'!$B$4)</f>
        <v>0</v>
      </c>
      <c r="J59" s="110" t="n">
        <f aca="false">D59+E59+F59-G59-H59-I59</f>
        <v>-5.19376668</v>
      </c>
      <c r="K59" s="36" t="str">
        <f aca="false">IF(COUNTIFS('جرد فعلي'!$B$2:$B$12001,$B$2,'جرد فعلي'!$C$2:$C$12001,$A59,'جرد فعلي'!$A$2:$A$12001,'إعدادات المخزون'!$B$4)&gt;0,"نعم","لا")</f>
        <v>لا</v>
      </c>
      <c r="L59" s="111" t="str">
        <f aca="false">IF(K59="نعم",SUMIFS('جرد فعلي'!$D$2:$D$12001,'جرد فعلي'!$B$2:$B$12001,$B$2,'جرد فعلي'!$C$2:$C$12001,$A59,'جرد فعلي'!$A$2:$A$12001,'إعدادات المخزون'!$B$4),"")</f>
        <v/>
      </c>
      <c r="M59" s="110" t="str">
        <f aca="false">IF(K59="نعم",L59-J59,"")</f>
        <v/>
      </c>
      <c r="N59" s="112" t="str">
        <f aca="false">IF(K59="نعم",IF(J59=0,IF(M59=0,0,SIGN(M59)),M59/ABS(J59)),"")</f>
        <v/>
      </c>
      <c r="O59" s="109" t="str">
        <f aca="false">IF(K59="نعم",M59*C59,"")</f>
        <v/>
      </c>
      <c r="P59" s="36" t="str">
        <f aca="false">IF(K59&lt;&gt;"نعم","لم يُجرد",IF(ABS(N59)&lt;='إعدادات المخزون'!$B$7,"مطابق",IF(M59&lt;0,"عجز","زيادة")))</f>
        <v>لم يُجرد</v>
      </c>
      <c r="Q59" s="110" t="n">
        <f aca="false">J59-Z59</f>
        <v>-2.84095279</v>
      </c>
      <c r="R59" s="110" t="str">
        <f aca="false">IF(COUNTIFS('جرد فعلي'!$B$2:$B$12001,$B$2,'جرد فعلي'!$C$2:$C$12001,$A59,'جرد فعلي'!$A$2:$A$12001,'إعدادات المخزون'!$B$4-1)&gt;0,SUMIFS('جرد فعلي'!$D$2:$D$12001,'جرد فعلي'!$B$2:$B$12001,$B$2,'جرد فعلي'!$C$2:$C$12001,$A59,'جرد فعلي'!$A$2:$A$12001,'إعدادات المخزون'!$B$4-1),"")</f>
        <v/>
      </c>
      <c r="S59" s="110" t="str">
        <f aca="false">IF(AND(K59="نعم",R59&lt;&gt;""),(L59-J59)-(R59-Q59),"")</f>
        <v/>
      </c>
      <c r="T59" s="109" t="str">
        <f aca="false">IF(S59="","",S59*C59)</f>
        <v/>
      </c>
      <c r="U59" s="110" t="n">
        <f aca="false">IF(K59="نعم",L59,J59)</f>
        <v>-5.19376668</v>
      </c>
      <c r="V59" s="110" t="n">
        <f aca="false">SUMPRODUCT('مصفوفة الاستهلاك (عصافرة)'!$BB$2:$BB$190,'متجهات المبيعات'!$J$2:$J$190)/'مواد المخزون'!$D$54/MAX(1,MIN('إعدادات المخزون'!$B$11,'إعدادات المخزون'!$B$4-'إعدادات المخزون'!$B$5+1))</f>
        <v>2.35281389</v>
      </c>
      <c r="W59" s="110" t="n">
        <f aca="false">IF(V59&lt;=0,0,ROUNDUP(MAX(0,V59*('إعدادات المخزون'!$B$8+'إعدادات المخزون'!$B$9+'إعدادات المخزون'!$B$10)-MAX(U59,0))/'مواد المخزون'!$F54,0)*'مواد المخزون'!$F54)</f>
        <v>10</v>
      </c>
      <c r="X59" s="109" t="n">
        <f aca="false">IF(AND(K59="نعم",O59&lt;0),-O59+ROW()*0.000000001,0)</f>
        <v>0</v>
      </c>
      <c r="Y59" s="109" t="n">
        <f aca="false">IF(AND(K59="نعم",O59&gt;0),O59+ROW()*0.000000001,0)</f>
        <v>0</v>
      </c>
      <c r="Z59" s="110" t="n">
        <f aca="false">SUMIFS('مشتريات يومية'!$D$2:$D$4001,'مشتريات يومية'!$B$2:$B$4001,$B$2,'مشتريات يومية'!$C$2:$C$4001,$A59,'مشتريات يومية'!$A$2:$A$4001,'إعدادات المخزون'!$B$4)+SUMIFS('هالك وتحويلات'!$E$2:$E$3001,'هالك وتحويلات'!$B$2:$B$3001,$B$2,'هالك وتحويلات'!$C$2:$C$3001,$A59,'هالك وتحويلات'!$D$2:$D$3001,"تحويل وارد",'هالك وتحويلات'!$A$2:$A$3001,'إعدادات المخزون'!$B$4)-SUMIFS('هالك وتحويلات'!$E$2:$E$3001,'هالك وتحويلات'!$B$2:$B$3001,$B$2,'هالك وتحويلات'!$C$2:$C$3001,$A59,'هالك وتحويلات'!$D$2:$D$3001,"تحويل صادر",'هالك وتحويلات'!$A$2:$A$3001,'إعدادات المخزون'!$B$4)-SUMIFS('هالك وتحويلات'!$E$2:$E$3001,'هالك وتحويلات'!$B$2:$B$3001,$B$2,'هالك وتحويلات'!$C$2:$C$3001,$A59,'هالك وتحويلات'!$D$2:$D$3001,"هالك",'هالك وتحويلات'!$A$2:$A$3001,'إعدادات المخزون'!$B$4)-SUMIFS('هالك وتحويلات'!$E$2:$E$3001,'هالك وتحويلات'!$B$2:$B$3001,$B$2,'هالك وتحويلات'!$C$2:$C$3001,$A59,'هالك وتحويلات'!$D$2:$D$3001,"ضيافة / أكل موظفين",'هالك وتحويلات'!$A$2:$A$3001,'إعدادات المخزون'!$B$4)-SUMPRODUCT('مصفوفة الاستهلاك (عصافرة)'!$BB$2:$BB$190,'متجهات المبيعات'!$H$2:$H$190)/'مواد المخزون'!$D$54</f>
        <v>-2.35281389</v>
      </c>
      <c r="AA59" s="109" t="n">
        <f aca="false">IF(K59="نعم",O59,0)</f>
        <v>0</v>
      </c>
      <c r="AB59" s="109" t="n">
        <f aca="false">IF(K59="نعم",J59*C59,0)</f>
        <v>0</v>
      </c>
      <c r="AC59" s="109" t="n">
        <f aca="false">IF(T59="",0,T59)</f>
        <v>0</v>
      </c>
    </row>
    <row r="60" customFormat="false" ht="15" hidden="false" customHeight="false" outlineLevel="0" collapsed="false">
      <c r="A60" s="34" t="str">
        <f aca="false">'مواد المخزون'!A55</f>
        <v>طماطم</v>
      </c>
      <c r="B60" s="36" t="str">
        <f aca="false">'مواد المخزون'!B55</f>
        <v>كجم</v>
      </c>
      <c r="C60" s="109" t="n">
        <f aca="false">'مواد المخزون'!E55</f>
        <v>21</v>
      </c>
      <c r="D60" s="110" t="n">
        <f aca="false">'جرد أول المدة'!E58</f>
        <v>3.485</v>
      </c>
      <c r="E60" s="110" t="n">
        <f aca="false">SUMIFS('مشتريات يومية'!$D$2:$D$4001,'مشتريات يومية'!$B$2:$B$4001,$B$2,'مشتريات يومية'!$C$2:$C$4001,$A60,'مشتريات يومية'!$A$2:$A$4001,"&gt;="&amp;'إعدادات المخزون'!$B$5,'مشتريات يومية'!$A$2:$A$4001,"&lt;="&amp;'إعدادات المخزون'!$B$4)</f>
        <v>133</v>
      </c>
      <c r="F60" s="110" t="n">
        <f aca="false">SUMIFS('هالك وتحويلات'!$E$2:$E$3001,'هالك وتحويلات'!$B$2:$B$3001,$B$2,'هالك وتحويلات'!$C$2:$C$3001,$A60,'هالك وتحويلات'!$D$2:$D$3001,"تحويل وارد",'هالك وتحويلات'!$A$2:$A$3001,"&gt;="&amp;'إعدادات المخزون'!$B$5,'هالك وتحويلات'!$A$2:$A$3001,"&lt;="&amp;'إعدادات المخزون'!$B$4)</f>
        <v>0</v>
      </c>
      <c r="G60" s="110" t="n">
        <f aca="false">SUMIFS('هالك وتحويلات'!$E$2:$E$3001,'هالك وتحويلات'!$B$2:$B$3001,$B$2,'هالك وتحويلات'!$C$2:$C$3001,$A60,'هالك وتحويلات'!$D$2:$D$3001,"تحويل صادر",'هالك وتحويلات'!$A$2:$A$3001,"&gt;="&amp;'إعدادات المخزون'!$B$5,'هالك وتحويلات'!$A$2:$A$3001,"&lt;="&amp;'إعدادات المخزون'!$B$4)</f>
        <v>0</v>
      </c>
      <c r="H60" s="110" t="n">
        <f aca="false">SUMPRODUCT('مصفوفة الاستهلاك (عصافرة)'!$BC$2:$BC$190,'متجهات المبيعات'!$I$2:$I$190)/'مواد المخزون'!$D$55</f>
        <v>56.045004</v>
      </c>
      <c r="I60" s="110" t="n">
        <f aca="false">SUMIFS('هالك وتحويلات'!$E$2:$E$3001,'هالك وتحويلات'!$B$2:$B$3001,$B$2,'هالك وتحويلات'!$C$2:$C$3001,$A60,'هالك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وتحويلات'!$C$2:$C$3001,$A60,'هالك وتحويلات'!$D$2:$D$3001,"ضيافة / أكل موظفين",'هالك وتحويلات'!$A$2:$A$3001,"&gt;="&amp;'إعدادات المخزون'!$B$5,'هالك وتحويلات'!$A$2:$A$3001,"&lt;="&amp;'إعدادات المخزون'!$B$4)</f>
        <v>0</v>
      </c>
      <c r="J60" s="110" t="n">
        <f aca="false">D60+E60+F60-G60-H60-I60</f>
        <v>80.439996</v>
      </c>
      <c r="K60" s="36" t="str">
        <f aca="false">IF(COUNTIFS('جرد فعلي'!$B$2:$B$12001,$B$2,'جرد فعلي'!$C$2:$C$12001,$A60,'جرد فعلي'!$A$2:$A$12001,'إعدادات المخزون'!$B$4)&gt;0,"نعم","لا")</f>
        <v>لا</v>
      </c>
      <c r="L60" s="111" t="str">
        <f aca="false">IF(K60="نعم",SUMIFS('جرد فعلي'!$D$2:$D$12001,'جرد فعلي'!$B$2:$B$12001,$B$2,'جرد فعلي'!$C$2:$C$12001,$A60,'جرد فعلي'!$A$2:$A$12001,'إعدادات المخزون'!$B$4),"")</f>
        <v/>
      </c>
      <c r="M60" s="110" t="str">
        <f aca="false">IF(K60="نعم",L60-J60,"")</f>
        <v/>
      </c>
      <c r="N60" s="112" t="str">
        <f aca="false">IF(K60="نعم",IF(J60=0,IF(M60=0,0,SIGN(M60)),M60/ABS(J60)),"")</f>
        <v/>
      </c>
      <c r="O60" s="109" t="str">
        <f aca="false">IF(K60="نعم",M60*C60,"")</f>
        <v/>
      </c>
      <c r="P60" s="36" t="str">
        <f aca="false">IF(K60&lt;&gt;"نعم","لم يُجرد",IF(ABS(N60)&lt;='إعدادات المخزون'!$B$7,"مطابق",IF(M60&lt;0,"عجز","زيادة")))</f>
        <v>لم يُجرد</v>
      </c>
      <c r="Q60" s="110" t="n">
        <f aca="false">J60-Z60</f>
        <v>85.110413</v>
      </c>
      <c r="R60" s="110" t="str">
        <f aca="false">IF(COUNTIFS('جرد فعلي'!$B$2:$B$12001,$B$2,'جرد فعلي'!$C$2:$C$12001,$A60,'جرد فعلي'!$A$2:$A$12001,'إعدادات المخزون'!$B$4-1)&gt;0,SUMIFS('جرد فعلي'!$D$2:$D$12001,'جرد فعلي'!$B$2:$B$12001,$B$2,'جرد فعلي'!$C$2:$C$12001,$A60,'جرد فعلي'!$A$2:$A$12001,'إعدادات المخزون'!$B$4-1),"")</f>
        <v/>
      </c>
      <c r="S60" s="110" t="str">
        <f aca="false">IF(AND(K60="نعم",R60&lt;&gt;""),(L60-J60)-(R60-Q60),"")</f>
        <v/>
      </c>
      <c r="T60" s="109" t="str">
        <f aca="false">IF(S60="","",S60*C60)</f>
        <v/>
      </c>
      <c r="U60" s="110" t="n">
        <f aca="false">IF(K60="نعم",L60,J60)</f>
        <v>80.439996</v>
      </c>
      <c r="V60" s="110" t="n">
        <f aca="false">SUMPRODUCT('مصفوفة الاستهلاك (عصافرة)'!$BC$2:$BC$190,'متجهات المبيعات'!$J$2:$J$190)/'مواد المخزون'!$D$55/MAX(1,MIN('إعدادات المخزون'!$B$11,'إعدادات المخزون'!$B$4-'إعدادات المخزون'!$B$5+1))</f>
        <v>4.670417</v>
      </c>
      <c r="W60" s="110" t="n">
        <f aca="false">IF(V60&lt;=0,0,ROUNDUP(MAX(0,V60*('إعدادات المخزون'!$B$8+'إعدادات المخزون'!$B$9+'إعدادات المخزون'!$B$10)-MAX(U60,0))/'مواد المخزون'!$F55,0)*'مواد المخزون'!$F55)</f>
        <v>0</v>
      </c>
      <c r="X60" s="109" t="n">
        <f aca="false">IF(AND(K60="نعم",O60&lt;0),-O60+ROW()*0.000000001,0)</f>
        <v>0</v>
      </c>
      <c r="Y60" s="109" t="n">
        <f aca="false">IF(AND(K60="نعم",O60&gt;0),O60+ROW()*0.000000001,0)</f>
        <v>0</v>
      </c>
      <c r="Z60" s="110" t="n">
        <f aca="false">SUMIFS('مشتريات يومية'!$D$2:$D$4001,'مشتريات يومية'!$B$2:$B$4001,$B$2,'مشتريات يومية'!$C$2:$C$4001,$A60,'مشتريات يومية'!$A$2:$A$4001,'إعدادات المخزون'!$B$4)+SUMIFS('هالك وتحويلات'!$E$2:$E$3001,'هالك وتحويلات'!$B$2:$B$3001,$B$2,'هالك وتحويلات'!$C$2:$C$3001,$A60,'هالك وتحويلات'!$D$2:$D$3001,"تحويل وارد",'هالك وتحويلات'!$A$2:$A$3001,'إعدادات المخزون'!$B$4)-SUMIFS('هالك وتحويلات'!$E$2:$E$3001,'هالك وتحويلات'!$B$2:$B$3001,$B$2,'هالك وتحويلات'!$C$2:$C$3001,$A60,'هالك وتحويلات'!$D$2:$D$3001,"تحويل صادر",'هالك وتحويلات'!$A$2:$A$3001,'إعدادات المخزون'!$B$4)-SUMIFS('هالك وتحويلات'!$E$2:$E$3001,'هالك وتحويلات'!$B$2:$B$3001,$B$2,'هالك وتحويلات'!$C$2:$C$3001,$A60,'هالك وتحويلات'!$D$2:$D$3001,"هالك",'هالك وتحويلات'!$A$2:$A$3001,'إعدادات المخزون'!$B$4)-SUMIFS('هالك وتحويلات'!$E$2:$E$3001,'هالك وتحويلات'!$B$2:$B$3001,$B$2,'هالك وتحويلات'!$C$2:$C$3001,$A60,'هالك وتحويلات'!$D$2:$D$3001,"ضيافة / أكل موظفين",'هالك وتحويلات'!$A$2:$A$3001,'إعدادات المخزون'!$B$4)-SUMPRODUCT('مصفوفة الاستهلاك (عصافرة)'!$BC$2:$BC$190,'متجهات المبيعات'!$H$2:$H$190)/'مواد المخزون'!$D$55</f>
        <v>-4.670417</v>
      </c>
      <c r="AA60" s="109" t="n">
        <f aca="false">IF(K60="نعم",O60,0)</f>
        <v>0</v>
      </c>
      <c r="AB60" s="109" t="n">
        <f aca="false">IF(K60="نعم",J60*C60,0)</f>
        <v>0</v>
      </c>
      <c r="AC60" s="109" t="n">
        <f aca="false">IF(T60="",0,T60)</f>
        <v>0</v>
      </c>
    </row>
    <row r="61" customFormat="false" ht="15" hidden="false" customHeight="false" outlineLevel="0" collapsed="false">
      <c r="A61" s="34" t="str">
        <f aca="false">'مواد المخزون'!A56</f>
        <v>عجين بيتزا</v>
      </c>
      <c r="B61" s="36" t="str">
        <f aca="false">'مواد المخزون'!B56</f>
        <v>كجم</v>
      </c>
      <c r="C61" s="109" t="n">
        <f aca="false">'مواد المخزون'!E56</f>
        <v>22</v>
      </c>
      <c r="D61" s="110" t="n">
        <f aca="false">'جرد أول المدة'!E59</f>
        <v>44.18</v>
      </c>
      <c r="E61" s="110" t="n">
        <f aca="false">SUMIFS('مشتريات يومية'!$D$2:$D$4001,'مشتريات يومية'!$B$2:$B$4001,$B$2,'مشتريات يومية'!$C$2:$C$4001,$A61,'مشتريات يومية'!$A$2:$A$4001,"&gt;="&amp;'إعدادات المخزون'!$B$5,'مشتريات يومية'!$A$2:$A$4001,"&lt;="&amp;'إعدادات المخزون'!$B$4)</f>
        <v>159.5</v>
      </c>
      <c r="F61" s="110" t="n">
        <f aca="false">SUMIFS('هالك وتحويلات'!$E$2:$E$3001,'هالك وتحويلات'!$B$2:$B$3001,$B$2,'هالك وتحويلات'!$C$2:$C$3001,$A61,'هالك وتحويلات'!$D$2:$D$3001,"تحويل وارد",'هالك وتحويلات'!$A$2:$A$3001,"&gt;="&amp;'إعدادات المخزون'!$B$5,'هالك وتحويلات'!$A$2:$A$3001,"&lt;="&amp;'إعدادات المخزون'!$B$4)</f>
        <v>0</v>
      </c>
      <c r="G61" s="110" t="n">
        <f aca="false">SUMIFS('هالك وتحويلات'!$E$2:$E$3001,'هالك وتحويلات'!$B$2:$B$3001,$B$2,'هالك وتحويلات'!$C$2:$C$3001,$A61,'هالك وتحويلات'!$D$2:$D$3001,"تحويل صادر",'هالك وتحويلات'!$A$2:$A$3001,"&gt;="&amp;'إعدادات المخزون'!$B$5,'هالك وتحويلات'!$A$2:$A$3001,"&lt;="&amp;'إعدادات المخزون'!$B$4)</f>
        <v>0</v>
      </c>
      <c r="H61" s="110" t="n">
        <f aca="false">SUMPRODUCT('مصفوفة الاستهلاك (عصافرة)'!$BD$2:$BD$190,'متجهات المبيعات'!$I$2:$I$190)/'مواد المخزون'!$D$56</f>
        <v>152.940096</v>
      </c>
      <c r="I61" s="110" t="n">
        <f aca="false">SUMIFS('هالك وتحويلات'!$E$2:$E$3001,'هالك وتحويلات'!$B$2:$B$3001,$B$2,'هالك وتحويلات'!$C$2:$C$3001,$A61,'هالك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وتحويلات'!$C$2:$C$3001,$A61,'هالك وتحويلات'!$D$2:$D$3001,"ضيافة / أكل موظفين",'هالك وتحويلات'!$A$2:$A$3001,"&gt;="&amp;'إعدادات المخزون'!$B$5,'هالك وتحويلات'!$A$2:$A$3001,"&lt;="&amp;'إعدادات المخزون'!$B$4)</f>
        <v>0</v>
      </c>
      <c r="J61" s="110" t="n">
        <f aca="false">D61+E61+F61-G61-H61-I61</f>
        <v>50.739904</v>
      </c>
      <c r="K61" s="36" t="str">
        <f aca="false">IF(COUNTIFS('جرد فعلي'!$B$2:$B$12001,$B$2,'جرد فعلي'!$C$2:$C$12001,$A61,'جرد فعلي'!$A$2:$A$12001,'إعدادات المخزون'!$B$4)&gt;0,"نعم","لا")</f>
        <v>لا</v>
      </c>
      <c r="L61" s="111" t="str">
        <f aca="false">IF(K61="نعم",SUMIFS('جرد فعلي'!$D$2:$D$12001,'جرد فعلي'!$B$2:$B$12001,$B$2,'جرد فعلي'!$C$2:$C$12001,$A61,'جرد فعلي'!$A$2:$A$12001,'إعدادات المخزون'!$B$4),"")</f>
        <v/>
      </c>
      <c r="M61" s="110" t="str">
        <f aca="false">IF(K61="نعم",L61-J61,"")</f>
        <v/>
      </c>
      <c r="N61" s="112" t="str">
        <f aca="false">IF(K61="نعم",IF(J61=0,IF(M61=0,0,SIGN(M61)),M61/ABS(J61)),"")</f>
        <v/>
      </c>
      <c r="O61" s="109" t="str">
        <f aca="false">IF(K61="نعم",M61*C61,"")</f>
        <v/>
      </c>
      <c r="P61" s="36" t="str">
        <f aca="false">IF(K61&lt;&gt;"نعم","لم يُجرد",IF(ABS(N61)&lt;='إعدادات المخزون'!$B$7,"مطابق",IF(M61&lt;0,"عجز","زيادة")))</f>
        <v>لم يُجرد</v>
      </c>
      <c r="Q61" s="110" t="n">
        <f aca="false">J61-Z61</f>
        <v>63.484912</v>
      </c>
      <c r="R61" s="110" t="str">
        <f aca="false">IF(COUNTIFS('جرد فعلي'!$B$2:$B$12001,$B$2,'جرد فعلي'!$C$2:$C$12001,$A61,'جرد فعلي'!$A$2:$A$12001,'إعدادات المخزون'!$B$4-1)&gt;0,SUMIFS('جرد فعلي'!$D$2:$D$12001,'جرد فعلي'!$B$2:$B$12001,$B$2,'جرد فعلي'!$C$2:$C$12001,$A61,'جرد فعلي'!$A$2:$A$12001,'إعدادات المخزون'!$B$4-1),"")</f>
        <v/>
      </c>
      <c r="S61" s="110" t="str">
        <f aca="false">IF(AND(K61="نعم",R61&lt;&gt;""),(L61-J61)-(R61-Q61),"")</f>
        <v/>
      </c>
      <c r="T61" s="109" t="str">
        <f aca="false">IF(S61="","",S61*C61)</f>
        <v/>
      </c>
      <c r="U61" s="110" t="n">
        <f aca="false">IF(K61="نعم",L61,J61)</f>
        <v>50.739904</v>
      </c>
      <c r="V61" s="110" t="n">
        <f aca="false">SUMPRODUCT('مصفوفة الاستهلاك (عصافرة)'!$BD$2:$BD$190,'متجهات المبيعات'!$J$2:$J$190)/'مواد المخزون'!$D$56/MAX(1,MIN('إعدادات المخزون'!$B$11,'إعدادات المخزون'!$B$4-'إعدادات المخزون'!$B$5+1))</f>
        <v>12.745008</v>
      </c>
      <c r="W61" s="110" t="n">
        <f aca="false">IF(V61&lt;=0,0,ROUNDUP(MAX(0,V61*('إعدادات المخزون'!$B$8+'إعدادات المخزون'!$B$9+'إعدادات المخزون'!$B$10)-MAX(U61,0))/'مواد المخزون'!$F56,0)*'مواد المخزون'!$F56)</f>
        <v>1</v>
      </c>
      <c r="X61" s="109" t="n">
        <f aca="false">IF(AND(K61="نعم",O61&lt;0),-O61+ROW()*0.000000001,0)</f>
        <v>0</v>
      </c>
      <c r="Y61" s="109" t="n">
        <f aca="false">IF(AND(K61="نعم",O61&gt;0),O61+ROW()*0.000000001,0)</f>
        <v>0</v>
      </c>
      <c r="Z61" s="110" t="n">
        <f aca="false">SUMIFS('مشتريات يومية'!$D$2:$D$4001,'مشتريات يومية'!$B$2:$B$4001,$B$2,'مشتريات يومية'!$C$2:$C$4001,$A61,'مشتريات يومية'!$A$2:$A$4001,'إعدادات المخزون'!$B$4)+SUMIFS('هالك وتحويلات'!$E$2:$E$3001,'هالك وتحويلات'!$B$2:$B$3001,$B$2,'هالك وتحويلات'!$C$2:$C$3001,$A61,'هالك وتحويلات'!$D$2:$D$3001,"تحويل وارد",'هالك وتحويلات'!$A$2:$A$3001,'إعدادات المخزون'!$B$4)-SUMIFS('هالك وتحويلات'!$E$2:$E$3001,'هالك وتحويلات'!$B$2:$B$3001,$B$2,'هالك وتحويلات'!$C$2:$C$3001,$A61,'هالك وتحويلات'!$D$2:$D$3001,"تحويل صادر",'هالك وتحويلات'!$A$2:$A$3001,'إعدادات المخزون'!$B$4)-SUMIFS('هالك وتحويلات'!$E$2:$E$3001,'هالك وتحويلات'!$B$2:$B$3001,$B$2,'هالك وتحويلات'!$C$2:$C$3001,$A61,'هالك وتحويلات'!$D$2:$D$3001,"هالك",'هالك وتحويلات'!$A$2:$A$3001,'إعدادات المخزون'!$B$4)-SUMIFS('هالك وتحويلات'!$E$2:$E$3001,'هالك وتحويلات'!$B$2:$B$3001,$B$2,'هالك وتحويلات'!$C$2:$C$3001,$A61,'هالك وتحويلات'!$D$2:$D$3001,"ضيافة / أكل موظفين",'هالك وتحويلات'!$A$2:$A$3001,'إعدادات المخزون'!$B$4)-SUMPRODUCT('مصفوفة الاستهلاك (عصافرة)'!$BD$2:$BD$190,'متجهات المبيعات'!$H$2:$H$190)/'مواد المخزون'!$D$56</f>
        <v>-12.745008</v>
      </c>
      <c r="AA61" s="109" t="n">
        <f aca="false">IF(K61="نعم",O61,0)</f>
        <v>0</v>
      </c>
      <c r="AB61" s="109" t="n">
        <f aca="false">IF(K61="نعم",J61*C61,0)</f>
        <v>0</v>
      </c>
      <c r="AC61" s="109" t="n">
        <f aca="false">IF(T61="",0,T61)</f>
        <v>0</v>
      </c>
    </row>
    <row r="62" customFormat="false" ht="15" hidden="false" customHeight="false" outlineLevel="0" collapsed="false">
      <c r="A62" s="34" t="str">
        <f aca="false">'مواد المخزون'!A57</f>
        <v>عجين فطير</v>
      </c>
      <c r="B62" s="36" t="str">
        <f aca="false">'مواد المخزون'!B57</f>
        <v>قطعة</v>
      </c>
      <c r="C62" s="109" t="n">
        <f aca="false">'مواد المخزون'!E57</f>
        <v>4</v>
      </c>
      <c r="D62" s="110" t="n">
        <f aca="false">'جرد أول المدة'!E60</f>
        <v>109</v>
      </c>
      <c r="E62" s="110" t="n">
        <f aca="false">SUMIFS('مشتريات يومية'!$D$2:$D$4001,'مشتريات يومية'!$B$2:$B$4001,$B$2,'مشتريات يومية'!$C$2:$C$4001,$A62,'مشتريات يومية'!$A$2:$A$4001,"&gt;="&amp;'إعدادات المخزون'!$B$5,'مشتريات يومية'!$A$2:$A$4001,"&lt;="&amp;'إعدادات المخزون'!$B$4)</f>
        <v>1943</v>
      </c>
      <c r="F62" s="110" t="n">
        <f aca="false">SUMIFS('هالك وتحويلات'!$E$2:$E$3001,'هالك وتحويلات'!$B$2:$B$3001,$B$2,'هالك وتحويلات'!$C$2:$C$3001,$A62,'هالك وتحويلات'!$D$2:$D$3001,"تحويل وارد",'هالك وتحويلات'!$A$2:$A$3001,"&gt;="&amp;'إعدادات المخزون'!$B$5,'هالك وتحويلات'!$A$2:$A$3001,"&lt;="&amp;'إعدادات المخزون'!$B$4)</f>
        <v>0</v>
      </c>
      <c r="G62" s="110" t="n">
        <f aca="false">SUMIFS('هالك وتحويلات'!$E$2:$E$3001,'هالك وتحويلات'!$B$2:$B$3001,$B$2,'هالك وتحويلات'!$C$2:$C$3001,$A62,'هالك وتحويلات'!$D$2:$D$3001,"تحويل صادر",'هالك وتحويلات'!$A$2:$A$3001,"&gt;="&amp;'إعدادات المخزون'!$B$5,'هالك وتحويلات'!$A$2:$A$3001,"&lt;="&amp;'إعدادات المخزون'!$B$4)</f>
        <v>0</v>
      </c>
      <c r="H62" s="110" t="n">
        <f aca="false">SUMPRODUCT('مصفوفة الاستهلاك (عصافرة)'!$BE$2:$BE$190,'متجهات المبيعات'!$I$2:$I$190)/'مواد المخزون'!$D$57</f>
        <v>1876.9956</v>
      </c>
      <c r="I62" s="110" t="n">
        <f aca="false">SUMIFS('هالك وتحويلات'!$E$2:$E$3001,'هالك وتحويلات'!$B$2:$B$3001,$B$2,'هالك وتحويلات'!$C$2:$C$3001,$A62,'هالك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وتحويلات'!$C$2:$C$3001,$A62,'هالك وتحويلات'!$D$2:$D$3001,"ضيافة / أكل موظفين",'هالك وتحويلات'!$A$2:$A$3001,"&gt;="&amp;'إعدادات المخزون'!$B$5,'هالك وتحويلات'!$A$2:$A$3001,"&lt;="&amp;'إعدادات المخزون'!$B$4)</f>
        <v>0</v>
      </c>
      <c r="J62" s="110" t="n">
        <f aca="false">D62+E62+F62-G62-H62-I62</f>
        <v>175.0044</v>
      </c>
      <c r="K62" s="36" t="str">
        <f aca="false">IF(COUNTIFS('جرد فعلي'!$B$2:$B$12001,$B$2,'جرد فعلي'!$C$2:$C$12001,$A62,'جرد فعلي'!$A$2:$A$12001,'إعدادات المخزون'!$B$4)&gt;0,"نعم","لا")</f>
        <v>لا</v>
      </c>
      <c r="L62" s="111" t="str">
        <f aca="false">IF(K62="نعم",SUMIFS('جرد فعلي'!$D$2:$D$12001,'جرد فعلي'!$B$2:$B$12001,$B$2,'جرد فعلي'!$C$2:$C$12001,$A62,'جرد فعلي'!$A$2:$A$12001,'إعدادات المخزون'!$B$4),"")</f>
        <v/>
      </c>
      <c r="M62" s="110" t="str">
        <f aca="false">IF(K62="نعم",L62-J62,"")</f>
        <v/>
      </c>
      <c r="N62" s="112" t="str">
        <f aca="false">IF(K62="نعم",IF(J62=0,IF(M62=0,0,SIGN(M62)),M62/ABS(J62)),"")</f>
        <v/>
      </c>
      <c r="O62" s="109" t="str">
        <f aca="false">IF(K62="نعم",M62*C62,"")</f>
        <v/>
      </c>
      <c r="P62" s="36" t="str">
        <f aca="false">IF(K62&lt;&gt;"نعم","لم يُجرد",IF(ABS(N62)&lt;='إعدادات المخزون'!$B$7,"مطابق",IF(M62&lt;0,"عجز","زيادة")))</f>
        <v>لم يُجرد</v>
      </c>
      <c r="Q62" s="110" t="n">
        <f aca="false">J62-Z62</f>
        <v>331.4207</v>
      </c>
      <c r="R62" s="110" t="str">
        <f aca="false">IF(COUNTIFS('جرد فعلي'!$B$2:$B$12001,$B$2,'جرد فعلي'!$C$2:$C$12001,$A62,'جرد فعلي'!$A$2:$A$12001,'إعدادات المخزون'!$B$4-1)&gt;0,SUMIFS('جرد فعلي'!$D$2:$D$12001,'جرد فعلي'!$B$2:$B$12001,$B$2,'جرد فعلي'!$C$2:$C$12001,$A62,'جرد فعلي'!$A$2:$A$12001,'إعدادات المخزون'!$B$4-1),"")</f>
        <v/>
      </c>
      <c r="S62" s="110" t="str">
        <f aca="false">IF(AND(K62="نعم",R62&lt;&gt;""),(L62-J62)-(R62-Q62),"")</f>
        <v/>
      </c>
      <c r="T62" s="109" t="str">
        <f aca="false">IF(S62="","",S62*C62)</f>
        <v/>
      </c>
      <c r="U62" s="110" t="n">
        <f aca="false">IF(K62="نعم",L62,J62)</f>
        <v>175.0044</v>
      </c>
      <c r="V62" s="110" t="n">
        <f aca="false">SUMPRODUCT('مصفوفة الاستهلاك (عصافرة)'!$BE$2:$BE$190,'متجهات المبيعات'!$J$2:$J$190)/'مواد المخزون'!$D$57/MAX(1,MIN('إعدادات المخزون'!$B$11,'إعدادات المخزون'!$B$4-'إعدادات المخزون'!$B$5+1))</f>
        <v>156.4163</v>
      </c>
      <c r="W62" s="110" t="n">
        <f aca="false">IF(V62&lt;=0,0,ROUNDUP(MAX(0,V62*('إعدادات المخزون'!$B$8+'إعدادات المخزون'!$B$9+'إعدادات المخزون'!$B$10)-MAX(U62,0))/'مواد المخزون'!$F57,0)*'مواد المخزون'!$F57)</f>
        <v>451</v>
      </c>
      <c r="X62" s="109" t="n">
        <f aca="false">IF(AND(K62="نعم",O62&lt;0),-O62+ROW()*0.000000001,0)</f>
        <v>0</v>
      </c>
      <c r="Y62" s="109" t="n">
        <f aca="false">IF(AND(K62="نعم",O62&gt;0),O62+ROW()*0.000000001,0)</f>
        <v>0</v>
      </c>
      <c r="Z62" s="110" t="n">
        <f aca="false">SUMIFS('مشتريات يومية'!$D$2:$D$4001,'مشتريات يومية'!$B$2:$B$4001,$B$2,'مشتريات يومية'!$C$2:$C$4001,$A62,'مشتريات يومية'!$A$2:$A$4001,'إعدادات المخزون'!$B$4)+SUMIFS('هالك وتحويلات'!$E$2:$E$3001,'هالك وتحويلات'!$B$2:$B$3001,$B$2,'هالك وتحويلات'!$C$2:$C$3001,$A62,'هالك وتحويلات'!$D$2:$D$3001,"تحويل وارد",'هالك وتحويلات'!$A$2:$A$3001,'إعدادات المخزون'!$B$4)-SUMIFS('هالك وتحويلات'!$E$2:$E$3001,'هالك وتحويلات'!$B$2:$B$3001,$B$2,'هالك وتحويلات'!$C$2:$C$3001,$A62,'هالك وتحويلات'!$D$2:$D$3001,"تحويل صادر",'هالك وتحويلات'!$A$2:$A$3001,'إعدادات المخزون'!$B$4)-SUMIFS('هالك وتحويلات'!$E$2:$E$3001,'هالك وتحويلات'!$B$2:$B$3001,$B$2,'هالك وتحويلات'!$C$2:$C$3001,$A62,'هالك وتحويلات'!$D$2:$D$3001,"هالك",'هالك وتحويلات'!$A$2:$A$3001,'إعدادات المخزون'!$B$4)-SUMIFS('هالك وتحويلات'!$E$2:$E$3001,'هالك وتحويلات'!$B$2:$B$3001,$B$2,'هالك وتحويلات'!$C$2:$C$3001,$A62,'هالك وتحويلات'!$D$2:$D$3001,"ضيافة / أكل موظفين",'هالك وتحويلات'!$A$2:$A$3001,'إعدادات المخزون'!$B$4)-SUMPRODUCT('مصفوفة الاستهلاك (عصافرة)'!$BE$2:$BE$190,'متجهات المبيعات'!$H$2:$H$190)/'مواد المخزون'!$D$57</f>
        <v>-156.4163</v>
      </c>
      <c r="AA62" s="109" t="n">
        <f aca="false">IF(K62="نعم",O62,0)</f>
        <v>0</v>
      </c>
      <c r="AB62" s="109" t="n">
        <f aca="false">IF(K62="نعم",J62*C62,0)</f>
        <v>0</v>
      </c>
      <c r="AC62" s="109" t="n">
        <f aca="false">IF(T62="",0,T62)</f>
        <v>0</v>
      </c>
    </row>
    <row r="63" customFormat="false" ht="15" hidden="false" customHeight="false" outlineLevel="0" collapsed="false">
      <c r="A63" s="34" t="str">
        <f aca="false">'مواد المخزون'!A58</f>
        <v>عسل ابيض</v>
      </c>
      <c r="B63" s="36" t="str">
        <f aca="false">'مواد المخزون'!B58</f>
        <v>كجم</v>
      </c>
      <c r="C63" s="109" t="n">
        <f aca="false">'مواد المخزون'!E58</f>
        <v>140</v>
      </c>
      <c r="D63" s="110" t="n">
        <f aca="false">'جرد أول المدة'!E61</f>
        <v>0.6</v>
      </c>
      <c r="E63" s="110" t="n">
        <f aca="false">SUMIFS('مشتريات يومية'!$D$2:$D$4001,'مشتريات يومية'!$B$2:$B$4001,$B$2,'مشتريات يومية'!$C$2:$C$4001,$A63,'مشتريات يومية'!$A$2:$A$4001,"&gt;="&amp;'إعدادات المخزون'!$B$5,'مشتريات يومية'!$A$2:$A$4001,"&lt;="&amp;'إعدادات المخزون'!$B$4)</f>
        <v>1</v>
      </c>
      <c r="F63" s="110" t="n">
        <f aca="false">SUMIFS('هالك وتحويلات'!$E$2:$E$3001,'هالك وتحويلات'!$B$2:$B$3001,$B$2,'هالك وتحويلات'!$C$2:$C$3001,$A63,'هالك وتحويلات'!$D$2:$D$3001,"تحويل وارد",'هالك وتحويلات'!$A$2:$A$3001,"&gt;="&amp;'إعدادات المخزون'!$B$5,'هالك وتحويلات'!$A$2:$A$3001,"&lt;="&amp;'إعدادات المخزون'!$B$4)</f>
        <v>0</v>
      </c>
      <c r="G63" s="110" t="n">
        <f aca="false">SUMIFS('هالك وتحويلات'!$E$2:$E$3001,'هالك وتحويلات'!$B$2:$B$3001,$B$2,'هالك وتحويلات'!$C$2:$C$3001,$A63,'هالك وتحويلات'!$D$2:$D$3001,"تحويل صادر",'هالك وتحويلات'!$A$2:$A$3001,"&gt;="&amp;'إعدادات المخزون'!$B$5,'هالك وتحويلات'!$A$2:$A$3001,"&lt;="&amp;'إعدادات المخزون'!$B$4)</f>
        <v>0</v>
      </c>
      <c r="H63" s="110" t="n">
        <f aca="false">SUMPRODUCT('مصفوفة الاستهلاك (عصافرة)'!$BF$2:$BF$190,'متجهات المبيعات'!$I$2:$I$190)/'مواد المخزون'!$D$58</f>
        <v>0.42</v>
      </c>
      <c r="I63" s="110" t="n">
        <f aca="false">SUMIFS('هالك وتحويلات'!$E$2:$E$3001,'هالك وتحويلات'!$B$2:$B$3001,$B$2,'هالك وتحويلات'!$C$2:$C$3001,$A63,'هالك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وتحويلات'!$C$2:$C$3001,$A63,'هالك وتحويلات'!$D$2:$D$3001,"ضيافة / أكل موظفين",'هالك وتحويلات'!$A$2:$A$3001,"&gt;="&amp;'إعدادات المخزون'!$B$5,'هالك وتحويلات'!$A$2:$A$3001,"&lt;="&amp;'إعدادات المخزون'!$B$4)</f>
        <v>0</v>
      </c>
      <c r="J63" s="110" t="n">
        <f aca="false">D63+E63+F63-G63-H63-I63</f>
        <v>1.18</v>
      </c>
      <c r="K63" s="36" t="str">
        <f aca="false">IF(COUNTIFS('جرد فعلي'!$B$2:$B$12001,$B$2,'جرد فعلي'!$C$2:$C$12001,$A63,'جرد فعلي'!$A$2:$A$12001,'إعدادات المخزون'!$B$4)&gt;0,"نعم","لا")</f>
        <v>لا</v>
      </c>
      <c r="L63" s="111" t="str">
        <f aca="false">IF(K63="نعم",SUMIFS('جرد فعلي'!$D$2:$D$12001,'جرد فعلي'!$B$2:$B$12001,$B$2,'جرد فعلي'!$C$2:$C$12001,$A63,'جرد فعلي'!$A$2:$A$12001,'إعدادات المخزون'!$B$4),"")</f>
        <v/>
      </c>
      <c r="M63" s="110" t="str">
        <f aca="false">IF(K63="نعم",L63-J63,"")</f>
        <v/>
      </c>
      <c r="N63" s="112" t="str">
        <f aca="false">IF(K63="نعم",IF(J63=0,IF(M63=0,0,SIGN(M63)),M63/ABS(J63)),"")</f>
        <v/>
      </c>
      <c r="O63" s="109" t="str">
        <f aca="false">IF(K63="نعم",M63*C63,"")</f>
        <v/>
      </c>
      <c r="P63" s="36" t="str">
        <f aca="false">IF(K63&lt;&gt;"نعم","لم يُجرد",IF(ABS(N63)&lt;='إعدادات المخزون'!$B$7,"مطابق",IF(M63&lt;0,"عجز","زيادة")))</f>
        <v>لم يُجرد</v>
      </c>
      <c r="Q63" s="110" t="n">
        <f aca="false">J63-Z63</f>
        <v>1.215</v>
      </c>
      <c r="R63" s="110" t="str">
        <f aca="false">IF(COUNTIFS('جرد فعلي'!$B$2:$B$12001,$B$2,'جرد فعلي'!$C$2:$C$12001,$A63,'جرد فعلي'!$A$2:$A$12001,'إعدادات المخزون'!$B$4-1)&gt;0,SUMIFS('جرد فعلي'!$D$2:$D$12001,'جرد فعلي'!$B$2:$B$12001,$B$2,'جرد فعلي'!$C$2:$C$12001,$A63,'جرد فعلي'!$A$2:$A$12001,'إعدادات المخزون'!$B$4-1),"")</f>
        <v/>
      </c>
      <c r="S63" s="110" t="str">
        <f aca="false">IF(AND(K63="نعم",R63&lt;&gt;""),(L63-J63)-(R63-Q63),"")</f>
        <v/>
      </c>
      <c r="T63" s="109" t="str">
        <f aca="false">IF(S63="","",S63*C63)</f>
        <v/>
      </c>
      <c r="U63" s="110" t="n">
        <f aca="false">IF(K63="نعم",L63,J63)</f>
        <v>1.18</v>
      </c>
      <c r="V63" s="110" t="n">
        <f aca="false">SUMPRODUCT('مصفوفة الاستهلاك (عصافرة)'!$BF$2:$BF$190,'متجهات المبيعات'!$J$2:$J$190)/'مواد المخزون'!$D$58/MAX(1,MIN('إعدادات المخزون'!$B$11,'إعدادات المخزون'!$B$4-'إعدادات المخزون'!$B$5+1))</f>
        <v>0.035</v>
      </c>
      <c r="W63" s="110" t="n">
        <f aca="false">IF(V63&lt;=0,0,ROUNDUP(MAX(0,V63*('إعدادات المخزون'!$B$8+'إعدادات المخزون'!$B$9+'إعدادات المخزون'!$B$10)-MAX(U63,0))/'مواد المخزون'!$F58,0)*'مواد المخزون'!$F58)</f>
        <v>0</v>
      </c>
      <c r="X63" s="109" t="n">
        <f aca="false">IF(AND(K63="نعم",O63&lt;0),-O63+ROW()*0.000000001,0)</f>
        <v>0</v>
      </c>
      <c r="Y63" s="109" t="n">
        <f aca="false">IF(AND(K63="نعم",O63&gt;0),O63+ROW()*0.000000001,0)</f>
        <v>0</v>
      </c>
      <c r="Z63" s="110" t="n">
        <f aca="false">SUMIFS('مشتريات يومية'!$D$2:$D$4001,'مشتريات يومية'!$B$2:$B$4001,$B$2,'مشتريات يومية'!$C$2:$C$4001,$A63,'مشتريات يومية'!$A$2:$A$4001,'إعدادات المخزون'!$B$4)+SUMIFS('هالك وتحويلات'!$E$2:$E$3001,'هالك وتحويلات'!$B$2:$B$3001,$B$2,'هالك وتحويلات'!$C$2:$C$3001,$A63,'هالك وتحويلات'!$D$2:$D$3001,"تحويل وارد",'هالك وتحويلات'!$A$2:$A$3001,'إعدادات المخزون'!$B$4)-SUMIFS('هالك وتحويلات'!$E$2:$E$3001,'هالك وتحويلات'!$B$2:$B$3001,$B$2,'هالك وتحويلات'!$C$2:$C$3001,$A63,'هالك وتحويلات'!$D$2:$D$3001,"تحويل صادر",'هالك وتحويلات'!$A$2:$A$3001,'إعدادات المخزون'!$B$4)-SUMIFS('هالك وتحويلات'!$E$2:$E$3001,'هالك وتحويلات'!$B$2:$B$3001,$B$2,'هالك وتحويلات'!$C$2:$C$3001,$A63,'هالك وتحويلات'!$D$2:$D$3001,"هالك",'هالك وتحويلات'!$A$2:$A$3001,'إعدادات المخزون'!$B$4)-SUMIFS('هالك وتحويلات'!$E$2:$E$3001,'هالك وتحويلات'!$B$2:$B$3001,$B$2,'هالك وتحويلات'!$C$2:$C$3001,$A63,'هالك وتحويلات'!$D$2:$D$3001,"ضيافة / أكل موظفين",'هالك وتحويلات'!$A$2:$A$3001,'إعدادات المخزون'!$B$4)-SUMPRODUCT('مصفوفة الاستهلاك (عصافرة)'!$BF$2:$BF$190,'متجهات المبيعات'!$H$2:$H$190)/'مواد المخزون'!$D$58</f>
        <v>-0.035</v>
      </c>
      <c r="AA63" s="109" t="n">
        <f aca="false">IF(K63="نعم",O63,0)</f>
        <v>0</v>
      </c>
      <c r="AB63" s="109" t="n">
        <f aca="false">IF(K63="نعم",J63*C63,0)</f>
        <v>0</v>
      </c>
      <c r="AC63" s="109" t="n">
        <f aca="false">IF(T63="",0,T63)</f>
        <v>0</v>
      </c>
    </row>
    <row r="64" customFormat="false" ht="15" hidden="false" customHeight="false" outlineLevel="0" collapsed="false">
      <c r="A64" s="34" t="str">
        <f aca="false">'مواد المخزون'!A59</f>
        <v>علب بيتزا كبير</v>
      </c>
      <c r="B64" s="36" t="str">
        <f aca="false">'مواد المخزون'!B59</f>
        <v>قطعة</v>
      </c>
      <c r="C64" s="109" t="n">
        <f aca="false">'مواد المخزون'!E59</f>
        <v>5.5</v>
      </c>
      <c r="D64" s="110" t="n">
        <f aca="false">'جرد أول المدة'!E62</f>
        <v>996</v>
      </c>
      <c r="E64" s="110" t="n">
        <f aca="false">SUMIFS('مشتريات يومية'!$D$2:$D$4001,'مشتريات يومية'!$B$2:$B$4001,$B$2,'مشتريات يومية'!$C$2:$C$4001,$A64,'مشتريات يومية'!$A$2:$A$4001,"&gt;="&amp;'إعدادات المخزون'!$B$5,'مشتريات يومية'!$A$2:$A$4001,"&lt;="&amp;'إعدادات المخزون'!$B$4)</f>
        <v>0</v>
      </c>
      <c r="F64" s="110" t="n">
        <f aca="false">SUMIFS('هالك وتحويلات'!$E$2:$E$3001,'هالك وتحويلات'!$B$2:$B$3001,$B$2,'هالك وتحويلات'!$C$2:$C$3001,$A64,'هالك وتحويلات'!$D$2:$D$3001,"تحويل وارد",'هالك وتحويلات'!$A$2:$A$3001,"&gt;="&amp;'إعدادات المخزون'!$B$5,'هالك وتحويلات'!$A$2:$A$3001,"&lt;="&amp;'إعدادات المخزون'!$B$4)</f>
        <v>0</v>
      </c>
      <c r="G64" s="110" t="n">
        <f aca="false">SUMIFS('هالك وتحويلات'!$E$2:$E$3001,'هالك وتحويلات'!$B$2:$B$3001,$B$2,'هالك وتحويلات'!$C$2:$C$3001,$A64,'هالك وتحويلات'!$D$2:$D$3001,"تحويل صادر",'هالك وتحويلات'!$A$2:$A$3001,"&gt;="&amp;'إعدادات المخزون'!$B$5,'هالك وتحويلات'!$A$2:$A$3001,"&lt;="&amp;'إعدادات المخزون'!$B$4)</f>
        <v>0</v>
      </c>
      <c r="H64" s="110" t="n">
        <f aca="false">SUMPRODUCT('مصفوفة الاستهلاك (عصافرة)'!$BG$2:$BG$190,'متجهات المبيعات'!$I$2:$I$190)/'مواد المخزون'!$D$59</f>
        <v>213</v>
      </c>
      <c r="I64" s="110" t="n">
        <f aca="false">SUMIFS('هالك وتحويلات'!$E$2:$E$3001,'هالك وتحويلات'!$B$2:$B$3001,$B$2,'هالك وتحويلات'!$C$2:$C$3001,$A64,'هالك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وتحويلات'!$C$2:$C$3001,$A64,'هالك وتحويلات'!$D$2:$D$3001,"ضيافة / أكل موظفين",'هالك وتحويلات'!$A$2:$A$3001,"&gt;="&amp;'إعدادات المخزون'!$B$5,'هالك وتحويلات'!$A$2:$A$3001,"&lt;="&amp;'إعدادات المخزون'!$B$4)</f>
        <v>0</v>
      </c>
      <c r="J64" s="110" t="n">
        <f aca="false">D64+E64+F64-G64-H64-I64</f>
        <v>783</v>
      </c>
      <c r="K64" s="36" t="str">
        <f aca="false">IF(COUNTIFS('جرد فعلي'!$B$2:$B$12001,$B$2,'جرد فعلي'!$C$2:$C$12001,$A64,'جرد فعلي'!$A$2:$A$12001,'إعدادات المخزون'!$B$4)&gt;0,"نعم","لا")</f>
        <v>لا</v>
      </c>
      <c r="L64" s="111" t="str">
        <f aca="false">IF(K64="نعم",SUMIFS('جرد فعلي'!$D$2:$D$12001,'جرد فعلي'!$B$2:$B$12001,$B$2,'جرد فعلي'!$C$2:$C$12001,$A64,'جرد فعلي'!$A$2:$A$12001,'إعدادات المخزون'!$B$4),"")</f>
        <v/>
      </c>
      <c r="M64" s="110" t="str">
        <f aca="false">IF(K64="نعم",L64-J64,"")</f>
        <v/>
      </c>
      <c r="N64" s="112" t="str">
        <f aca="false">IF(K64="نعم",IF(J64=0,IF(M64=0,0,SIGN(M64)),M64/ABS(J64)),"")</f>
        <v/>
      </c>
      <c r="O64" s="109" t="str">
        <f aca="false">IF(K64="نعم",M64*C64,"")</f>
        <v/>
      </c>
      <c r="P64" s="36" t="str">
        <f aca="false">IF(K64&lt;&gt;"نعم","لم يُجرد",IF(ABS(N64)&lt;='إعدادات المخزون'!$B$7,"مطابق",IF(M64&lt;0,"عجز","زيادة")))</f>
        <v>لم يُجرد</v>
      </c>
      <c r="Q64" s="110" t="n">
        <f aca="false">J64-Z64</f>
        <v>800.75</v>
      </c>
      <c r="R64" s="110" t="str">
        <f aca="false">IF(COUNTIFS('جرد فعلي'!$B$2:$B$12001,$B$2,'جرد فعلي'!$C$2:$C$12001,$A64,'جرد فعلي'!$A$2:$A$12001,'إعدادات المخزون'!$B$4-1)&gt;0,SUMIFS('جرد فعلي'!$D$2:$D$12001,'جرد فعلي'!$B$2:$B$12001,$B$2,'جرد فعلي'!$C$2:$C$12001,$A64,'جرد فعلي'!$A$2:$A$12001,'إعدادات المخزون'!$B$4-1),"")</f>
        <v/>
      </c>
      <c r="S64" s="110" t="str">
        <f aca="false">IF(AND(K64="نعم",R64&lt;&gt;""),(L64-J64)-(R64-Q64),"")</f>
        <v/>
      </c>
      <c r="T64" s="109" t="str">
        <f aca="false">IF(S64="","",S64*C64)</f>
        <v/>
      </c>
      <c r="U64" s="110" t="n">
        <f aca="false">IF(K64="نعم",L64,J64)</f>
        <v>783</v>
      </c>
      <c r="V64" s="110" t="n">
        <f aca="false">SUMPRODUCT('مصفوفة الاستهلاك (عصافرة)'!$BG$2:$BG$190,'متجهات المبيعات'!$J$2:$J$190)/'مواد المخزون'!$D$59/MAX(1,MIN('إعدادات المخزون'!$B$11,'إعدادات المخزون'!$B$4-'إعدادات المخزون'!$B$5+1))</f>
        <v>17.75</v>
      </c>
      <c r="W64" s="110" t="n">
        <f aca="false">IF(V64&lt;=0,0,ROUNDUP(MAX(0,V64*('إعدادات المخزون'!$B$8+'إعدادات المخزون'!$B$9+'إعدادات المخزون'!$B$10)-MAX(U64,0))/'مواد المخزون'!$F59,0)*'مواد المخزون'!$F59)</f>
        <v>0</v>
      </c>
      <c r="X64" s="109" t="n">
        <f aca="false">IF(AND(K64="نعم",O64&lt;0),-O64+ROW()*0.000000001,0)</f>
        <v>0</v>
      </c>
      <c r="Y64" s="109" t="n">
        <f aca="false">IF(AND(K64="نعم",O64&gt;0),O64+ROW()*0.000000001,0)</f>
        <v>0</v>
      </c>
      <c r="Z64" s="110" t="n">
        <f aca="false">SUMIFS('مشتريات يومية'!$D$2:$D$4001,'مشتريات يومية'!$B$2:$B$4001,$B$2,'مشتريات يومية'!$C$2:$C$4001,$A64,'مشتريات يومية'!$A$2:$A$4001,'إعدادات المخزون'!$B$4)+SUMIFS('هالك وتحويلات'!$E$2:$E$3001,'هالك وتحويلات'!$B$2:$B$3001,$B$2,'هالك وتحويلات'!$C$2:$C$3001,$A64,'هالك وتحويلات'!$D$2:$D$3001,"تحويل وارد",'هالك وتحويلات'!$A$2:$A$3001,'إعدادات المخزون'!$B$4)-SUMIFS('هالك وتحويلات'!$E$2:$E$3001,'هالك وتحويلات'!$B$2:$B$3001,$B$2,'هالك وتحويلات'!$C$2:$C$3001,$A64,'هالك وتحويلات'!$D$2:$D$3001,"تحويل صادر",'هالك وتحويلات'!$A$2:$A$3001,'إعدادات المخزون'!$B$4)-SUMIFS('هالك وتحويلات'!$E$2:$E$3001,'هالك وتحويلات'!$B$2:$B$3001,$B$2,'هالك وتحويلات'!$C$2:$C$3001,$A64,'هالك وتحويلات'!$D$2:$D$3001,"هالك",'هالك وتحويلات'!$A$2:$A$3001,'إعدادات المخزون'!$B$4)-SUMIFS('هالك وتحويلات'!$E$2:$E$3001,'هالك وتحويلات'!$B$2:$B$3001,$B$2,'هالك وتحويلات'!$C$2:$C$3001,$A64,'هالك وتحويلات'!$D$2:$D$3001,"ضيافة / أكل موظفين",'هالك وتحويلات'!$A$2:$A$3001,'إعدادات المخزون'!$B$4)-SUMPRODUCT('مصفوفة الاستهلاك (عصافرة)'!$BG$2:$BG$190,'متجهات المبيعات'!$H$2:$H$190)/'مواد المخزون'!$D$59</f>
        <v>-17.75</v>
      </c>
      <c r="AA64" s="109" t="n">
        <f aca="false">IF(K64="نعم",O64,0)</f>
        <v>0</v>
      </c>
      <c r="AB64" s="109" t="n">
        <f aca="false">IF(K64="نعم",J64*C64,0)</f>
        <v>0</v>
      </c>
      <c r="AC64" s="109" t="n">
        <f aca="false">IF(T64="",0,T64)</f>
        <v>0</v>
      </c>
    </row>
    <row r="65" customFormat="false" ht="15" hidden="false" customHeight="false" outlineLevel="0" collapsed="false">
      <c r="A65" s="34" t="str">
        <f aca="false">'مواد المخزون'!A60</f>
        <v>علب بيتزا وسط</v>
      </c>
      <c r="B65" s="36" t="str">
        <f aca="false">'مواد المخزون'!B60</f>
        <v>قطعة</v>
      </c>
      <c r="C65" s="109" t="n">
        <f aca="false">'مواد المخزون'!E60</f>
        <v>4.5</v>
      </c>
      <c r="D65" s="110" t="n">
        <f aca="false">'جرد أول المدة'!E63</f>
        <v>4995</v>
      </c>
      <c r="E65" s="110" t="n">
        <f aca="false">SUMIFS('مشتريات يومية'!$D$2:$D$4001,'مشتريات يومية'!$B$2:$B$4001,$B$2,'مشتريات يومية'!$C$2:$C$4001,$A65,'مشتريات يومية'!$A$2:$A$4001,"&gt;="&amp;'إعدادات المخزون'!$B$5,'مشتريات يومية'!$A$2:$A$4001,"&lt;="&amp;'إعدادات المخزون'!$B$4)</f>
        <v>0</v>
      </c>
      <c r="F65" s="110" t="n">
        <f aca="false">SUMIFS('هالك وتحويلات'!$E$2:$E$3001,'هالك وتحويلات'!$B$2:$B$3001,$B$2,'هالك وتحويلات'!$C$2:$C$3001,$A65,'هالك وتحويلات'!$D$2:$D$3001,"تحويل وارد",'هالك وتحويلات'!$A$2:$A$3001,"&gt;="&amp;'إعدادات المخزون'!$B$5,'هالك وتحويلات'!$A$2:$A$3001,"&lt;="&amp;'إعدادات المخزون'!$B$4)</f>
        <v>0</v>
      </c>
      <c r="G65" s="110" t="n">
        <f aca="false">SUMIFS('هالك وتحويلات'!$E$2:$E$3001,'هالك وتحويلات'!$B$2:$B$3001,$B$2,'هالك وتحويلات'!$C$2:$C$3001,$A65,'هالك وتحويلات'!$D$2:$D$3001,"تحويل صادر",'هالك وتحويلات'!$A$2:$A$3001,"&gt;="&amp;'إعدادات المخزون'!$B$5,'هالك وتحويلات'!$A$2:$A$3001,"&lt;="&amp;'إعدادات المخزون'!$B$4)</f>
        <v>0</v>
      </c>
      <c r="H65" s="110" t="n">
        <f aca="false">SUMPRODUCT('مصفوفة الاستهلاك (عصافرة)'!$BH$2:$BH$190,'متجهات المبيعات'!$I$2:$I$190)/'مواد المخزون'!$D$60</f>
        <v>1376.0004</v>
      </c>
      <c r="I65" s="110" t="n">
        <f aca="false">SUMIFS('هالك وتحويلات'!$E$2:$E$3001,'هالك وتحويلات'!$B$2:$B$3001,$B$2,'هالك وتحويلات'!$C$2:$C$3001,$A65,'هالك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وتحويلات'!$C$2:$C$3001,$A65,'هالك وتحويلات'!$D$2:$D$3001,"ضيافة / أكل موظفين",'هالك وتحويلات'!$A$2:$A$3001,"&gt;="&amp;'إعدادات المخزون'!$B$5,'هالك وتحويلات'!$A$2:$A$3001,"&lt;="&amp;'إعدادات المخزون'!$B$4)</f>
        <v>0</v>
      </c>
      <c r="J65" s="110" t="n">
        <f aca="false">D65+E65+F65-G65-H65-I65</f>
        <v>3618.9996</v>
      </c>
      <c r="K65" s="36" t="str">
        <f aca="false">IF(COUNTIFS('جرد فعلي'!$B$2:$B$12001,$B$2,'جرد فعلي'!$C$2:$C$12001,$A65,'جرد فعلي'!$A$2:$A$12001,'إعدادات المخزون'!$B$4)&gt;0,"نعم","لا")</f>
        <v>لا</v>
      </c>
      <c r="L65" s="111" t="str">
        <f aca="false">IF(K65="نعم",SUMIFS('جرد فعلي'!$D$2:$D$12001,'جرد فعلي'!$B$2:$B$12001,$B$2,'جرد فعلي'!$C$2:$C$12001,$A65,'جرد فعلي'!$A$2:$A$12001,'إعدادات المخزون'!$B$4),"")</f>
        <v/>
      </c>
      <c r="M65" s="110" t="str">
        <f aca="false">IF(K65="نعم",L65-J65,"")</f>
        <v/>
      </c>
      <c r="N65" s="112" t="str">
        <f aca="false">IF(K65="نعم",IF(J65=0,IF(M65=0,0,SIGN(M65)),M65/ABS(J65)),"")</f>
        <v/>
      </c>
      <c r="O65" s="109" t="str">
        <f aca="false">IF(K65="نعم",M65*C65,"")</f>
        <v/>
      </c>
      <c r="P65" s="36" t="str">
        <f aca="false">IF(K65&lt;&gt;"نعم","لم يُجرد",IF(ABS(N65)&lt;='إعدادات المخزون'!$B$7,"مطابق",IF(M65&lt;0,"عجز","زيادة")))</f>
        <v>لم يُجرد</v>
      </c>
      <c r="Q65" s="110" t="n">
        <f aca="false">J65-Z65</f>
        <v>3733.6663</v>
      </c>
      <c r="R65" s="110" t="str">
        <f aca="false">IF(COUNTIFS('جرد فعلي'!$B$2:$B$12001,$B$2,'جرد فعلي'!$C$2:$C$12001,$A65,'جرد فعلي'!$A$2:$A$12001,'إعدادات المخزون'!$B$4-1)&gt;0,SUMIFS('جرد فعلي'!$D$2:$D$12001,'جرد فعلي'!$B$2:$B$12001,$B$2,'جرد فعلي'!$C$2:$C$12001,$A65,'جرد فعلي'!$A$2:$A$12001,'إعدادات المخزون'!$B$4-1),"")</f>
        <v/>
      </c>
      <c r="S65" s="110" t="str">
        <f aca="false">IF(AND(K65="نعم",R65&lt;&gt;""),(L65-J65)-(R65-Q65),"")</f>
        <v/>
      </c>
      <c r="T65" s="109" t="str">
        <f aca="false">IF(S65="","",S65*C65)</f>
        <v/>
      </c>
      <c r="U65" s="110" t="n">
        <f aca="false">IF(K65="نعم",L65,J65)</f>
        <v>3618.9996</v>
      </c>
      <c r="V65" s="110" t="n">
        <f aca="false">SUMPRODUCT('مصفوفة الاستهلاك (عصافرة)'!$BH$2:$BH$190,'متجهات المبيعات'!$J$2:$J$190)/'مواد المخزون'!$D$60/MAX(1,MIN('إعدادات المخزون'!$B$11,'إعدادات المخزون'!$B$4-'إعدادات المخزون'!$B$5+1))</f>
        <v>114.6667</v>
      </c>
      <c r="W65" s="110" t="n">
        <f aca="false">IF(V65&lt;=0,0,ROUNDUP(MAX(0,V65*('إعدادات المخزون'!$B$8+'إعدادات المخزون'!$B$9+'إعدادات المخزون'!$B$10)-MAX(U65,0))/'مواد المخزون'!$F60,0)*'مواد المخزون'!$F60)</f>
        <v>0</v>
      </c>
      <c r="X65" s="109" t="n">
        <f aca="false">IF(AND(K65="نعم",O65&lt;0),-O65+ROW()*0.000000001,0)</f>
        <v>0</v>
      </c>
      <c r="Y65" s="109" t="n">
        <f aca="false">IF(AND(K65="نعم",O65&gt;0),O65+ROW()*0.000000001,0)</f>
        <v>0</v>
      </c>
      <c r="Z65" s="110" t="n">
        <f aca="false">SUMIFS('مشتريات يومية'!$D$2:$D$4001,'مشتريات يومية'!$B$2:$B$4001,$B$2,'مشتريات يومية'!$C$2:$C$4001,$A65,'مشتريات يومية'!$A$2:$A$4001,'إعدادات المخزون'!$B$4)+SUMIFS('هالك وتحويلات'!$E$2:$E$3001,'هالك وتحويلات'!$B$2:$B$3001,$B$2,'هالك وتحويلات'!$C$2:$C$3001,$A65,'هالك وتحويلات'!$D$2:$D$3001,"تحويل وارد",'هالك وتحويلات'!$A$2:$A$3001,'إعدادات المخزون'!$B$4)-SUMIFS('هالك وتحويلات'!$E$2:$E$3001,'هالك وتحويلات'!$B$2:$B$3001,$B$2,'هالك وتحويلات'!$C$2:$C$3001,$A65,'هالك وتحويلات'!$D$2:$D$3001,"تحويل صادر",'هالك وتحويلات'!$A$2:$A$3001,'إعدادات المخزون'!$B$4)-SUMIFS('هالك وتحويلات'!$E$2:$E$3001,'هالك وتحويلات'!$B$2:$B$3001,$B$2,'هالك وتحويلات'!$C$2:$C$3001,$A65,'هالك وتحويلات'!$D$2:$D$3001,"هالك",'هالك وتحويلات'!$A$2:$A$3001,'إعدادات المخزون'!$B$4)-SUMIFS('هالك وتحويلات'!$E$2:$E$3001,'هالك وتحويلات'!$B$2:$B$3001,$B$2,'هالك وتحويلات'!$C$2:$C$3001,$A65,'هالك وتحويلات'!$D$2:$D$3001,"ضيافة / أكل موظفين",'هالك وتحويلات'!$A$2:$A$3001,'إعدادات المخزون'!$B$4)-SUMPRODUCT('مصفوفة الاستهلاك (عصافرة)'!$BH$2:$BH$190,'متجهات المبيعات'!$H$2:$H$190)/'مواد المخزون'!$D$60</f>
        <v>-114.6667</v>
      </c>
      <c r="AA65" s="109" t="n">
        <f aca="false">IF(K65="نعم",O65,0)</f>
        <v>0</v>
      </c>
      <c r="AB65" s="109" t="n">
        <f aca="false">IF(K65="نعم",J65*C65,0)</f>
        <v>0</v>
      </c>
      <c r="AC65" s="109" t="n">
        <f aca="false">IF(T65="",0,T65)</f>
        <v>0</v>
      </c>
    </row>
    <row r="66" customFormat="false" ht="15" hidden="false" customHeight="false" outlineLevel="0" collapsed="false">
      <c r="A66" s="34" t="str">
        <f aca="false">'مواد المخزون'!A61</f>
        <v>علبة بطاطس صغير</v>
      </c>
      <c r="B66" s="36" t="str">
        <f aca="false">'مواد المخزون'!B61</f>
        <v>قطعة</v>
      </c>
      <c r="C66" s="109" t="n">
        <f aca="false">'مواد المخزون'!E61</f>
        <v>1.7</v>
      </c>
      <c r="D66" s="110" t="n">
        <f aca="false">'جرد أول المدة'!E64</f>
        <v>39</v>
      </c>
      <c r="E66" s="110" t="n">
        <f aca="false">SUMIFS('مشتريات يومية'!$D$2:$D$4001,'مشتريات يومية'!$B$2:$B$4001,$B$2,'مشتريات يومية'!$C$2:$C$4001,$A66,'مشتريات يومية'!$A$2:$A$4001,"&gt;="&amp;'إعدادات المخزون'!$B$5,'مشتريات يومية'!$A$2:$A$4001,"&lt;="&amp;'إعدادات المخزون'!$B$4)</f>
        <v>50</v>
      </c>
      <c r="F66" s="110" t="n">
        <f aca="false">SUMIFS('هالك وتحويلات'!$E$2:$E$3001,'هالك وتحويلات'!$B$2:$B$3001,$B$2,'هالك وتحويلات'!$C$2:$C$3001,$A66,'هالك وتحويلات'!$D$2:$D$3001,"تحويل وارد",'هالك وتحويلات'!$A$2:$A$3001,"&gt;="&amp;'إعدادات المخزون'!$B$5,'هالك وتحويلات'!$A$2:$A$3001,"&lt;="&amp;'إعدادات المخزون'!$B$4)</f>
        <v>0</v>
      </c>
      <c r="G66" s="110" t="n">
        <f aca="false">SUMIFS('هالك وتحويلات'!$E$2:$E$3001,'هالك وتحويلات'!$B$2:$B$3001,$B$2,'هالك وتحويلات'!$C$2:$C$3001,$A66,'هالك وتحويلات'!$D$2:$D$3001,"تحويل صادر",'هالك وتحويلات'!$A$2:$A$3001,"&gt;="&amp;'إعدادات المخزون'!$B$5,'هالك وتحويلات'!$A$2:$A$3001,"&lt;="&amp;'إعدادات المخزون'!$B$4)</f>
        <v>0</v>
      </c>
      <c r="H66" s="110" t="n">
        <f aca="false">SUMPRODUCT('مصفوفة الاستهلاك (عصافرة)'!$BI$2:$BI$190,'متجهات المبيعات'!$I$2:$I$190)/'مواد المخزون'!$D$61</f>
        <v>25.0008</v>
      </c>
      <c r="I66" s="110" t="n">
        <f aca="false">SUMIFS('هالك وتحويلات'!$E$2:$E$3001,'هالك وتحويلات'!$B$2:$B$3001,$B$2,'هالك وتحويلات'!$C$2:$C$3001,$A66,'هالك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وتحويلات'!$C$2:$C$3001,$A66,'هالك وتحويلات'!$D$2:$D$3001,"ضيافة / أكل موظفين",'هالك وتحويلات'!$A$2:$A$3001,"&gt;="&amp;'إعدادات المخزون'!$B$5,'هالك وتحويلات'!$A$2:$A$3001,"&lt;="&amp;'إعدادات المخزون'!$B$4)</f>
        <v>0</v>
      </c>
      <c r="J66" s="110" t="n">
        <f aca="false">D66+E66+F66-G66-H66-I66</f>
        <v>63.9992</v>
      </c>
      <c r="K66" s="36" t="str">
        <f aca="false">IF(COUNTIFS('جرد فعلي'!$B$2:$B$12001,$B$2,'جرد فعلي'!$C$2:$C$12001,$A66,'جرد فعلي'!$A$2:$A$12001,'إعدادات المخزون'!$B$4)&gt;0,"نعم","لا")</f>
        <v>لا</v>
      </c>
      <c r="L66" s="111" t="str">
        <f aca="false">IF(K66="نعم",SUMIFS('جرد فعلي'!$D$2:$D$12001,'جرد فعلي'!$B$2:$B$12001,$B$2,'جرد فعلي'!$C$2:$C$12001,$A66,'جرد فعلي'!$A$2:$A$12001,'إعدادات المخزون'!$B$4),"")</f>
        <v/>
      </c>
      <c r="M66" s="110" t="str">
        <f aca="false">IF(K66="نعم",L66-J66,"")</f>
        <v/>
      </c>
      <c r="N66" s="112" t="str">
        <f aca="false">IF(K66="نعم",IF(J66=0,IF(M66=0,0,SIGN(M66)),M66/ABS(J66)),"")</f>
        <v/>
      </c>
      <c r="O66" s="109" t="str">
        <f aca="false">IF(K66="نعم",M66*C66,"")</f>
        <v/>
      </c>
      <c r="P66" s="36" t="str">
        <f aca="false">IF(K66&lt;&gt;"نعم","لم يُجرد",IF(ABS(N66)&lt;='إعدادات المخزون'!$B$7,"مطابق",IF(M66&lt;0,"عجز","زيادة")))</f>
        <v>لم يُجرد</v>
      </c>
      <c r="Q66" s="110" t="n">
        <f aca="false">J66-Z66</f>
        <v>66.0826</v>
      </c>
      <c r="R66" s="110" t="str">
        <f aca="false">IF(COUNTIFS('جرد فعلي'!$B$2:$B$12001,$B$2,'جرد فعلي'!$C$2:$C$12001,$A66,'جرد فعلي'!$A$2:$A$12001,'إعدادات المخزون'!$B$4-1)&gt;0,SUMIFS('جرد فعلي'!$D$2:$D$12001,'جرد فعلي'!$B$2:$B$12001,$B$2,'جرد فعلي'!$C$2:$C$12001,$A66,'جرد فعلي'!$A$2:$A$12001,'إعدادات المخزون'!$B$4-1),"")</f>
        <v/>
      </c>
      <c r="S66" s="110" t="str">
        <f aca="false">IF(AND(K66="نعم",R66&lt;&gt;""),(L66-J66)-(R66-Q66),"")</f>
        <v/>
      </c>
      <c r="T66" s="109" t="str">
        <f aca="false">IF(S66="","",S66*C66)</f>
        <v/>
      </c>
      <c r="U66" s="110" t="n">
        <f aca="false">IF(K66="نعم",L66,J66)</f>
        <v>63.9992</v>
      </c>
      <c r="V66" s="110" t="n">
        <f aca="false">SUMPRODUCT('مصفوفة الاستهلاك (عصافرة)'!$BI$2:$BI$190,'متجهات المبيعات'!$J$2:$J$190)/'مواد المخزون'!$D$61/MAX(1,MIN('إعدادات المخزون'!$B$11,'إعدادات المخزون'!$B$4-'إعدادات المخزون'!$B$5+1))</f>
        <v>2.0834</v>
      </c>
      <c r="W66" s="110" t="n">
        <f aca="false">IF(V66&lt;=0,0,ROUNDUP(MAX(0,V66*('إعدادات المخزون'!$B$8+'إعدادات المخزون'!$B$9+'إعدادات المخزون'!$B$10)-MAX(U66,0))/'مواد المخزون'!$F61,0)*'مواد المخزون'!$F61)</f>
        <v>0</v>
      </c>
      <c r="X66" s="109" t="n">
        <f aca="false">IF(AND(K66="نعم",O66&lt;0),-O66+ROW()*0.000000001,0)</f>
        <v>0</v>
      </c>
      <c r="Y66" s="109" t="n">
        <f aca="false">IF(AND(K66="نعم",O66&gt;0),O66+ROW()*0.000000001,0)</f>
        <v>0</v>
      </c>
      <c r="Z66" s="110" t="n">
        <f aca="false">SUMIFS('مشتريات يومية'!$D$2:$D$4001,'مشتريات يومية'!$B$2:$B$4001,$B$2,'مشتريات يومية'!$C$2:$C$4001,$A66,'مشتريات يومية'!$A$2:$A$4001,'إعدادات المخزون'!$B$4)+SUMIFS('هالك وتحويلات'!$E$2:$E$3001,'هالك وتحويلات'!$B$2:$B$3001,$B$2,'هالك وتحويلات'!$C$2:$C$3001,$A66,'هالك وتحويلات'!$D$2:$D$3001,"تحويل وارد",'هالك وتحويلات'!$A$2:$A$3001,'إعدادات المخزون'!$B$4)-SUMIFS('هالك وتحويلات'!$E$2:$E$3001,'هالك وتحويلات'!$B$2:$B$3001,$B$2,'هالك وتحويلات'!$C$2:$C$3001,$A66,'هالك وتحويلات'!$D$2:$D$3001,"تحويل صادر",'هالك وتحويلات'!$A$2:$A$3001,'إعدادات المخزون'!$B$4)-SUMIFS('هالك وتحويلات'!$E$2:$E$3001,'هالك وتحويلات'!$B$2:$B$3001,$B$2,'هالك وتحويلات'!$C$2:$C$3001,$A66,'هالك وتحويلات'!$D$2:$D$3001,"هالك",'هالك وتحويلات'!$A$2:$A$3001,'إعدادات المخزون'!$B$4)-SUMIFS('هالك وتحويلات'!$E$2:$E$3001,'هالك وتحويلات'!$B$2:$B$3001,$B$2,'هالك وتحويلات'!$C$2:$C$3001,$A66,'هالك وتحويلات'!$D$2:$D$3001,"ضيافة / أكل موظفين",'هالك وتحويلات'!$A$2:$A$3001,'إعدادات المخزون'!$B$4)-SUMPRODUCT('مصفوفة الاستهلاك (عصافرة)'!$BI$2:$BI$190,'متجهات المبيعات'!$H$2:$H$190)/'مواد المخزون'!$D$61</f>
        <v>-2.0834</v>
      </c>
      <c r="AA66" s="109" t="n">
        <f aca="false">IF(K66="نعم",O66,0)</f>
        <v>0</v>
      </c>
      <c r="AB66" s="109" t="n">
        <f aca="false">IF(K66="نعم",J66*C66,0)</f>
        <v>0</v>
      </c>
      <c r="AC66" s="109" t="n">
        <f aca="false">IF(T66="",0,T66)</f>
        <v>0</v>
      </c>
    </row>
    <row r="67" customFormat="false" ht="15" hidden="false" customHeight="false" outlineLevel="0" collapsed="false">
      <c r="A67" s="34" t="str">
        <f aca="false">'مواد المخزون'!A62</f>
        <v>علبة بطاطس كبير</v>
      </c>
      <c r="B67" s="36" t="str">
        <f aca="false">'مواد المخزون'!B62</f>
        <v>قطعة</v>
      </c>
      <c r="C67" s="109" t="n">
        <f aca="false">'مواد المخزون'!E62</f>
        <v>2</v>
      </c>
      <c r="D67" s="110" t="n">
        <f aca="false">'جرد أول المدة'!E65</f>
        <v>87</v>
      </c>
      <c r="E67" s="110" t="n">
        <f aca="false">SUMIFS('مشتريات يومية'!$D$2:$D$4001,'مشتريات يومية'!$B$2:$B$4001,$B$2,'مشتريات يومية'!$C$2:$C$4001,$A67,'مشتريات يومية'!$A$2:$A$4001,"&gt;="&amp;'إعدادات المخزون'!$B$5,'مشتريات يومية'!$A$2:$A$4001,"&lt;="&amp;'إعدادات المخزون'!$B$4)</f>
        <v>0</v>
      </c>
      <c r="F67" s="110" t="n">
        <f aca="false">SUMIFS('هالك وتحويلات'!$E$2:$E$3001,'هالك وتحويلات'!$B$2:$B$3001,$B$2,'هالك وتحويلات'!$C$2:$C$3001,$A67,'هالك وتحويلات'!$D$2:$D$3001,"تحويل وارد",'هالك وتحويلات'!$A$2:$A$3001,"&gt;="&amp;'إعدادات المخزون'!$B$5,'هالك وتحويلات'!$A$2:$A$3001,"&lt;="&amp;'إعدادات المخزون'!$B$4)</f>
        <v>0</v>
      </c>
      <c r="G67" s="110" t="n">
        <f aca="false">SUMIFS('هالك وتحويلات'!$E$2:$E$3001,'هالك وتحويلات'!$B$2:$B$3001,$B$2,'هالك وتحويلات'!$C$2:$C$3001,$A67,'هالك وتحويلات'!$D$2:$D$3001,"تحويل صادر",'هالك وتحويلات'!$A$2:$A$3001,"&gt;="&amp;'إعدادات المخزون'!$B$5,'هالك وتحويلات'!$A$2:$A$3001,"&lt;="&amp;'إعدادات المخزون'!$B$4)</f>
        <v>0</v>
      </c>
      <c r="H67" s="110" t="n">
        <f aca="false">SUMPRODUCT('مصفوفة الاستهلاك (عصافرة)'!$BJ$2:$BJ$190,'متجهات المبيعات'!$I$2:$I$190)/'مواد المخزون'!$D$62</f>
        <v>15.9996</v>
      </c>
      <c r="I67" s="110" t="n">
        <f aca="false">SUMIFS('هالك وتحويلات'!$E$2:$E$3001,'هالك وتحويلات'!$B$2:$B$3001,$B$2,'هالك وتحويلات'!$C$2:$C$3001,$A67,'هالك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وتحويلات'!$C$2:$C$3001,$A67,'هالك وتحويلات'!$D$2:$D$3001,"ضيافة / أكل موظفين",'هالك وتحويلات'!$A$2:$A$3001,"&gt;="&amp;'إعدادات المخزون'!$B$5,'هالك وتحويلات'!$A$2:$A$3001,"&lt;="&amp;'إعدادات المخزون'!$B$4)</f>
        <v>0</v>
      </c>
      <c r="J67" s="110" t="n">
        <f aca="false">D67+E67+F67-G67-H67-I67</f>
        <v>71.0004</v>
      </c>
      <c r="K67" s="36" t="str">
        <f aca="false">IF(COUNTIFS('جرد فعلي'!$B$2:$B$12001,$B$2,'جرد فعلي'!$C$2:$C$12001,$A67,'جرد فعلي'!$A$2:$A$12001,'إعدادات المخزون'!$B$4)&gt;0,"نعم","لا")</f>
        <v>لا</v>
      </c>
      <c r="L67" s="111" t="str">
        <f aca="false">IF(K67="نعم",SUMIFS('جرد فعلي'!$D$2:$D$12001,'جرد فعلي'!$B$2:$B$12001,$B$2,'جرد فعلي'!$C$2:$C$12001,$A67,'جرد فعلي'!$A$2:$A$12001,'إعدادات المخزون'!$B$4),"")</f>
        <v/>
      </c>
      <c r="M67" s="110" t="str">
        <f aca="false">IF(K67="نعم",L67-J67,"")</f>
        <v/>
      </c>
      <c r="N67" s="112" t="str">
        <f aca="false">IF(K67="نعم",IF(J67=0,IF(M67=0,0,SIGN(M67)),M67/ABS(J67)),"")</f>
        <v/>
      </c>
      <c r="O67" s="109" t="str">
        <f aca="false">IF(K67="نعم",M67*C67,"")</f>
        <v/>
      </c>
      <c r="P67" s="36" t="str">
        <f aca="false">IF(K67&lt;&gt;"نعم","لم يُجرد",IF(ABS(N67)&lt;='إعدادات المخزون'!$B$7,"مطابق",IF(M67&lt;0,"عجز","زيادة")))</f>
        <v>لم يُجرد</v>
      </c>
      <c r="Q67" s="110" t="n">
        <f aca="false">J67-Z67</f>
        <v>72.3337</v>
      </c>
      <c r="R67" s="110" t="str">
        <f aca="false">IF(COUNTIFS('جرد فعلي'!$B$2:$B$12001,$B$2,'جرد فعلي'!$C$2:$C$12001,$A67,'جرد فعلي'!$A$2:$A$12001,'إعدادات المخزون'!$B$4-1)&gt;0,SUMIFS('جرد فعلي'!$D$2:$D$12001,'جرد فعلي'!$B$2:$B$12001,$B$2,'جرد فعلي'!$C$2:$C$12001,$A67,'جرد فعلي'!$A$2:$A$12001,'إعدادات المخزون'!$B$4-1),"")</f>
        <v/>
      </c>
      <c r="S67" s="110" t="str">
        <f aca="false">IF(AND(K67="نعم",R67&lt;&gt;""),(L67-J67)-(R67-Q67),"")</f>
        <v/>
      </c>
      <c r="T67" s="109" t="str">
        <f aca="false">IF(S67="","",S67*C67)</f>
        <v/>
      </c>
      <c r="U67" s="110" t="n">
        <f aca="false">IF(K67="نعم",L67,J67)</f>
        <v>71.0004</v>
      </c>
      <c r="V67" s="110" t="n">
        <f aca="false">SUMPRODUCT('مصفوفة الاستهلاك (عصافرة)'!$BJ$2:$BJ$190,'متجهات المبيعات'!$J$2:$J$190)/'مواد المخزون'!$D$62/MAX(1,MIN('إعدادات المخزون'!$B$11,'إعدادات المخزون'!$B$4-'إعدادات المخزون'!$B$5+1))</f>
        <v>1.3333</v>
      </c>
      <c r="W67" s="110" t="n">
        <f aca="false">IF(V67&lt;=0,0,ROUNDUP(MAX(0,V67*('إعدادات المخزون'!$B$8+'إعدادات المخزون'!$B$9+'إعدادات المخزون'!$B$10)-MAX(U67,0))/'مواد المخزون'!$F62,0)*'مواد المخزون'!$F62)</f>
        <v>0</v>
      </c>
      <c r="X67" s="109" t="n">
        <f aca="false">IF(AND(K67="نعم",O67&lt;0),-O67+ROW()*0.000000001,0)</f>
        <v>0</v>
      </c>
      <c r="Y67" s="109" t="n">
        <f aca="false">IF(AND(K67="نعم",O67&gt;0),O67+ROW()*0.000000001,0)</f>
        <v>0</v>
      </c>
      <c r="Z67" s="110" t="n">
        <f aca="false">SUMIFS('مشتريات يومية'!$D$2:$D$4001,'مشتريات يومية'!$B$2:$B$4001,$B$2,'مشتريات يومية'!$C$2:$C$4001,$A67,'مشتريات يومية'!$A$2:$A$4001,'إعدادات المخزون'!$B$4)+SUMIFS('هالك وتحويلات'!$E$2:$E$3001,'هالك وتحويلات'!$B$2:$B$3001,$B$2,'هالك وتحويلات'!$C$2:$C$3001,$A67,'هالك وتحويلات'!$D$2:$D$3001,"تحويل وارد",'هالك وتحويلات'!$A$2:$A$3001,'إعدادات المخزون'!$B$4)-SUMIFS('هالك وتحويلات'!$E$2:$E$3001,'هالك وتحويلات'!$B$2:$B$3001,$B$2,'هالك وتحويلات'!$C$2:$C$3001,$A67,'هالك وتحويلات'!$D$2:$D$3001,"تحويل صادر",'هالك وتحويلات'!$A$2:$A$3001,'إعدادات المخزون'!$B$4)-SUMIFS('هالك وتحويلات'!$E$2:$E$3001,'هالك وتحويلات'!$B$2:$B$3001,$B$2,'هالك وتحويلات'!$C$2:$C$3001,$A67,'هالك وتحويلات'!$D$2:$D$3001,"هالك",'هالك وتحويلات'!$A$2:$A$3001,'إعدادات المخزون'!$B$4)-SUMIFS('هالك وتحويلات'!$E$2:$E$3001,'هالك وتحويلات'!$B$2:$B$3001,$B$2,'هالك وتحويلات'!$C$2:$C$3001,$A67,'هالك وتحويلات'!$D$2:$D$3001,"ضيافة / أكل موظفين",'هالك وتحويلات'!$A$2:$A$3001,'إعدادات المخزون'!$B$4)-SUMPRODUCT('مصفوفة الاستهلاك (عصافرة)'!$BJ$2:$BJ$190,'متجهات المبيعات'!$H$2:$H$190)/'مواد المخزون'!$D$62</f>
        <v>-1.3333</v>
      </c>
      <c r="AA67" s="109" t="n">
        <f aca="false">IF(K67="نعم",O67,0)</f>
        <v>0</v>
      </c>
      <c r="AB67" s="109" t="n">
        <f aca="false">IF(K67="نعم",J67*C67,0)</f>
        <v>0</v>
      </c>
      <c r="AC67" s="109" t="n">
        <f aca="false">IF(T67="",0,T67)</f>
        <v>0</v>
      </c>
    </row>
    <row r="68" customFormat="false" ht="15" hidden="false" customHeight="false" outlineLevel="0" collapsed="false">
      <c r="A68" s="34" t="str">
        <f aca="false">'مواد المخزون'!A63</f>
        <v>علبة بلاستيك وجبات</v>
      </c>
      <c r="B68" s="36" t="str">
        <f aca="false">'مواد المخزون'!B63</f>
        <v>قطعة</v>
      </c>
      <c r="C68" s="109" t="n">
        <f aca="false">'مواد المخزون'!E63</f>
        <v>3.1</v>
      </c>
      <c r="D68" s="110" t="n">
        <f aca="false">'جرد أول المدة'!E66</f>
        <v>99</v>
      </c>
      <c r="E68" s="110" t="n">
        <f aca="false">SUMIFS('مشتريات يومية'!$D$2:$D$4001,'مشتريات يومية'!$B$2:$B$4001,$B$2,'مشتريات يومية'!$C$2:$C$4001,$A68,'مشتريات يومية'!$A$2:$A$4001,"&gt;="&amp;'إعدادات المخزون'!$B$5,'مشتريات يومية'!$A$2:$A$4001,"&lt;="&amp;'إعدادات المخزون'!$B$4)</f>
        <v>50</v>
      </c>
      <c r="F68" s="110" t="n">
        <f aca="false">SUMIFS('هالك وتحويلات'!$E$2:$E$3001,'هالك وتحويلات'!$B$2:$B$3001,$B$2,'هالك وتحويلات'!$C$2:$C$3001,$A68,'هالك وتحويلات'!$D$2:$D$3001,"تحويل وارد",'هالك وتحويلات'!$A$2:$A$3001,"&gt;="&amp;'إعدادات المخزون'!$B$5,'هالك وتحويلات'!$A$2:$A$3001,"&lt;="&amp;'إعدادات المخزون'!$B$4)</f>
        <v>0</v>
      </c>
      <c r="G68" s="110" t="n">
        <f aca="false">SUMIFS('هالك وتحويلات'!$E$2:$E$3001,'هالك وتحويلات'!$B$2:$B$3001,$B$2,'هالك وتحويلات'!$C$2:$C$3001,$A68,'هالك وتحويلات'!$D$2:$D$3001,"تحويل صادر",'هالك وتحويلات'!$A$2:$A$3001,"&gt;="&amp;'إعدادات المخزون'!$B$5,'هالك وتحويلات'!$A$2:$A$3001,"&lt;="&amp;'إعدادات المخزون'!$B$4)</f>
        <v>0</v>
      </c>
      <c r="H68" s="110" t="n">
        <f aca="false">SUMPRODUCT('مصفوفة الاستهلاك (عصافرة)'!$BK$2:$BK$190,'متجهات المبيعات'!$I$2:$I$190)/'مواد المخزون'!$D$63</f>
        <v>184.9992</v>
      </c>
      <c r="I68" s="110" t="n">
        <f aca="false">SUMIFS('هالك وتحويلات'!$E$2:$E$3001,'هالك وتحويلات'!$B$2:$B$3001,$B$2,'هالك وتحويلات'!$C$2:$C$3001,$A68,'هالك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وتحويلات'!$C$2:$C$3001,$A68,'هالك وتحويلات'!$D$2:$D$3001,"ضيافة / أكل موظفين",'هالك وتحويلات'!$A$2:$A$3001,"&gt;="&amp;'إعدادات المخزون'!$B$5,'هالك وتحويلات'!$A$2:$A$3001,"&lt;="&amp;'إعدادات المخزون'!$B$4)</f>
        <v>0</v>
      </c>
      <c r="J68" s="110" t="n">
        <f aca="false">D68+E68+F68-G68-H68-I68</f>
        <v>-35.9992</v>
      </c>
      <c r="K68" s="36" t="str">
        <f aca="false">IF(COUNTIFS('جرد فعلي'!$B$2:$B$12001,$B$2,'جرد فعلي'!$C$2:$C$12001,$A68,'جرد فعلي'!$A$2:$A$12001,'إعدادات المخزون'!$B$4)&gt;0,"نعم","لا")</f>
        <v>لا</v>
      </c>
      <c r="L68" s="111" t="str">
        <f aca="false">IF(K68="نعم",SUMIFS('جرد فعلي'!$D$2:$D$12001,'جرد فعلي'!$B$2:$B$12001,$B$2,'جرد فعلي'!$C$2:$C$12001,$A68,'جرد فعلي'!$A$2:$A$12001,'إعدادات المخزون'!$B$4),"")</f>
        <v/>
      </c>
      <c r="M68" s="110" t="str">
        <f aca="false">IF(K68="نعم",L68-J68,"")</f>
        <v/>
      </c>
      <c r="N68" s="112" t="str">
        <f aca="false">IF(K68="نعم",IF(J68=0,IF(M68=0,0,SIGN(M68)),M68/ABS(J68)),"")</f>
        <v/>
      </c>
      <c r="O68" s="109" t="str">
        <f aca="false">IF(K68="نعم",M68*C68,"")</f>
        <v/>
      </c>
      <c r="P68" s="36" t="str">
        <f aca="false">IF(K68&lt;&gt;"نعم","لم يُجرد",IF(ABS(N68)&lt;='إعدادات المخزون'!$B$7,"مطابق",IF(M68&lt;0,"عجز","زيادة")))</f>
        <v>لم يُجرد</v>
      </c>
      <c r="Q68" s="110" t="n">
        <f aca="false">J68-Z68</f>
        <v>-20.5826</v>
      </c>
      <c r="R68" s="110" t="str">
        <f aca="false">IF(COUNTIFS('جرد فعلي'!$B$2:$B$12001,$B$2,'جرد فعلي'!$C$2:$C$12001,$A68,'جرد فعلي'!$A$2:$A$12001,'إعدادات المخزون'!$B$4-1)&gt;0,SUMIFS('جرد فعلي'!$D$2:$D$12001,'جرد فعلي'!$B$2:$B$12001,$B$2,'جرد فعلي'!$C$2:$C$12001,$A68,'جرد فعلي'!$A$2:$A$12001,'إعدادات المخزون'!$B$4-1),"")</f>
        <v/>
      </c>
      <c r="S68" s="110" t="str">
        <f aca="false">IF(AND(K68="نعم",R68&lt;&gt;""),(L68-J68)-(R68-Q68),"")</f>
        <v/>
      </c>
      <c r="T68" s="109" t="str">
        <f aca="false">IF(S68="","",S68*C68)</f>
        <v/>
      </c>
      <c r="U68" s="110" t="n">
        <f aca="false">IF(K68="نعم",L68,J68)</f>
        <v>-35.9992</v>
      </c>
      <c r="V68" s="110" t="n">
        <f aca="false">SUMPRODUCT('مصفوفة الاستهلاك (عصافرة)'!$BK$2:$BK$190,'متجهات المبيعات'!$J$2:$J$190)/'مواد المخزون'!$D$63/MAX(1,MIN('إعدادات المخزون'!$B$11,'إعدادات المخزون'!$B$4-'إعدادات المخزون'!$B$5+1))</f>
        <v>15.4166</v>
      </c>
      <c r="W68" s="110" t="n">
        <f aca="false">IF(V68&lt;=0,0,ROUNDUP(MAX(0,V68*('إعدادات المخزون'!$B$8+'إعدادات المخزون'!$B$9+'إعدادات المخزون'!$B$10)-MAX(U68,0))/'مواد المخزون'!$F63,0)*'مواد المخزون'!$F63)</f>
        <v>62</v>
      </c>
      <c r="X68" s="109" t="n">
        <f aca="false">IF(AND(K68="نعم",O68&lt;0),-O68+ROW()*0.000000001,0)</f>
        <v>0</v>
      </c>
      <c r="Y68" s="109" t="n">
        <f aca="false">IF(AND(K68="نعم",O68&gt;0),O68+ROW()*0.000000001,0)</f>
        <v>0</v>
      </c>
      <c r="Z68" s="110" t="n">
        <f aca="false">SUMIFS('مشتريات يومية'!$D$2:$D$4001,'مشتريات يومية'!$B$2:$B$4001,$B$2,'مشتريات يومية'!$C$2:$C$4001,$A68,'مشتريات يومية'!$A$2:$A$4001,'إعدادات المخزون'!$B$4)+SUMIFS('هالك وتحويلات'!$E$2:$E$3001,'هالك وتحويلات'!$B$2:$B$3001,$B$2,'هالك وتحويلات'!$C$2:$C$3001,$A68,'هالك وتحويلات'!$D$2:$D$3001,"تحويل وارد",'هالك وتحويلات'!$A$2:$A$3001,'إعدادات المخزون'!$B$4)-SUMIFS('هالك وتحويلات'!$E$2:$E$3001,'هالك وتحويلات'!$B$2:$B$3001,$B$2,'هالك وتحويلات'!$C$2:$C$3001,$A68,'هالك وتحويلات'!$D$2:$D$3001,"تحويل صادر",'هالك وتحويلات'!$A$2:$A$3001,'إعدادات المخزون'!$B$4)-SUMIFS('هالك وتحويلات'!$E$2:$E$3001,'هالك وتحويلات'!$B$2:$B$3001,$B$2,'هالك وتحويلات'!$C$2:$C$3001,$A68,'هالك وتحويلات'!$D$2:$D$3001,"هالك",'هالك وتحويلات'!$A$2:$A$3001,'إعدادات المخزون'!$B$4)-SUMIFS('هالك وتحويلات'!$E$2:$E$3001,'هالك وتحويلات'!$B$2:$B$3001,$B$2,'هالك وتحويلات'!$C$2:$C$3001,$A68,'هالك وتحويلات'!$D$2:$D$3001,"ضيافة / أكل موظفين",'هالك وتحويلات'!$A$2:$A$3001,'إعدادات المخزون'!$B$4)-SUMPRODUCT('مصفوفة الاستهلاك (عصافرة)'!$BK$2:$BK$190,'متجهات المبيعات'!$H$2:$H$190)/'مواد المخزون'!$D$63</f>
        <v>-15.4166</v>
      </c>
      <c r="AA68" s="109" t="n">
        <f aca="false">IF(K68="نعم",O68,0)</f>
        <v>0</v>
      </c>
      <c r="AB68" s="109" t="n">
        <f aca="false">IF(K68="نعم",J68*C68,0)</f>
        <v>0</v>
      </c>
      <c r="AC68" s="109" t="n">
        <f aca="false">IF(T68="",0,T68)</f>
        <v>0</v>
      </c>
    </row>
    <row r="69" customFormat="false" ht="15" hidden="false" customHeight="false" outlineLevel="0" collapsed="false">
      <c r="A69" s="34" t="str">
        <f aca="false">'مواد المخزون'!A64</f>
        <v>علبة تونة صغير</v>
      </c>
      <c r="B69" s="36" t="str">
        <f aca="false">'مواد المخزون'!B64</f>
        <v>قطعة</v>
      </c>
      <c r="C69" s="109" t="n">
        <f aca="false">'مواد المخزون'!E64</f>
        <v>42.03</v>
      </c>
      <c r="D69" s="110" t="n">
        <f aca="false">'جرد أول المدة'!E67</f>
        <v>6</v>
      </c>
      <c r="E69" s="110" t="n">
        <f aca="false">SUMIFS('مشتريات يومية'!$D$2:$D$4001,'مشتريات يومية'!$B$2:$B$4001,$B$2,'مشتريات يومية'!$C$2:$C$4001,$A69,'مشتريات يومية'!$A$2:$A$4001,"&gt;="&amp;'إعدادات المخزون'!$B$5,'مشتريات يومية'!$A$2:$A$4001,"&lt;="&amp;'إعدادات المخزون'!$B$4)</f>
        <v>0</v>
      </c>
      <c r="F69" s="110" t="n">
        <f aca="false">SUMIFS('هالك وتحويلات'!$E$2:$E$3001,'هالك وتحويلات'!$B$2:$B$3001,$B$2,'هالك وتحويلات'!$C$2:$C$3001,$A69,'هالك وتحويلات'!$D$2:$D$3001,"تحويل وارد",'هالك وتحويلات'!$A$2:$A$3001,"&gt;="&amp;'إعدادات المخزون'!$B$5,'هالك وتحويلات'!$A$2:$A$3001,"&lt;="&amp;'إعدادات المخزون'!$B$4)</f>
        <v>0</v>
      </c>
      <c r="G69" s="110" t="n">
        <f aca="false">SUMIFS('هالك وتحويلات'!$E$2:$E$3001,'هالك وتحويلات'!$B$2:$B$3001,$B$2,'هالك وتحويلات'!$C$2:$C$3001,$A69,'هالك وتحويلات'!$D$2:$D$3001,"تحويل صادر",'هالك وتحويلات'!$A$2:$A$3001,"&gt;="&amp;'إعدادات المخزون'!$B$5,'هالك وتحويلات'!$A$2:$A$3001,"&lt;="&amp;'إعدادات المخزون'!$B$4)</f>
        <v>0</v>
      </c>
      <c r="H69" s="110" t="n">
        <f aca="false">SUMPRODUCT('مصفوفة الاستهلاك (عصافرة)'!$BL$2:$BL$190,'متجهات المبيعات'!$I$2:$I$190)/'مواد المخزون'!$D$64</f>
        <v>0.9996</v>
      </c>
      <c r="I69" s="110" t="n">
        <f aca="false">SUMIFS('هالك وتحويلات'!$E$2:$E$3001,'هالك وتحويلات'!$B$2:$B$3001,$B$2,'هالك وتحويلات'!$C$2:$C$3001,$A69,'هالك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وتحويلات'!$C$2:$C$3001,$A69,'هالك وتحويلات'!$D$2:$D$3001,"ضيافة / أكل موظفين",'هالك وتحويلات'!$A$2:$A$3001,"&gt;="&amp;'إعدادات المخزون'!$B$5,'هالك وتحويلات'!$A$2:$A$3001,"&lt;="&amp;'إعدادات المخزون'!$B$4)</f>
        <v>0</v>
      </c>
      <c r="J69" s="110" t="n">
        <f aca="false">D69+E69+F69-G69-H69-I69</f>
        <v>5.0004</v>
      </c>
      <c r="K69" s="36" t="str">
        <f aca="false">IF(COUNTIFS('جرد فعلي'!$B$2:$B$12001,$B$2,'جرد فعلي'!$C$2:$C$12001,$A69,'جرد فعلي'!$A$2:$A$12001,'إعدادات المخزون'!$B$4)&gt;0,"نعم","لا")</f>
        <v>لا</v>
      </c>
      <c r="L69" s="111" t="str">
        <f aca="false">IF(K69="نعم",SUMIFS('جرد فعلي'!$D$2:$D$12001,'جرد فعلي'!$B$2:$B$12001,$B$2,'جرد فعلي'!$C$2:$C$12001,$A69,'جرد فعلي'!$A$2:$A$12001,'إعدادات المخزون'!$B$4),"")</f>
        <v/>
      </c>
      <c r="M69" s="110" t="str">
        <f aca="false">IF(K69="نعم",L69-J69,"")</f>
        <v/>
      </c>
      <c r="N69" s="112" t="str">
        <f aca="false">IF(K69="نعم",IF(J69=0,IF(M69=0,0,SIGN(M69)),M69/ABS(J69)),"")</f>
        <v/>
      </c>
      <c r="O69" s="109" t="str">
        <f aca="false">IF(K69="نعم",M69*C69,"")</f>
        <v/>
      </c>
      <c r="P69" s="36" t="str">
        <f aca="false">IF(K69&lt;&gt;"نعم","لم يُجرد",IF(ABS(N69)&lt;='إعدادات المخزون'!$B$7,"مطابق",IF(M69&lt;0,"عجز","زيادة")))</f>
        <v>لم يُجرد</v>
      </c>
      <c r="Q69" s="110" t="n">
        <f aca="false">J69-Z69</f>
        <v>5.0837</v>
      </c>
      <c r="R69" s="110" t="str">
        <f aca="false">IF(COUNTIFS('جرد فعلي'!$B$2:$B$12001,$B$2,'جرد فعلي'!$C$2:$C$12001,$A69,'جرد فعلي'!$A$2:$A$12001,'إعدادات المخزون'!$B$4-1)&gt;0,SUMIFS('جرد فعلي'!$D$2:$D$12001,'جرد فعلي'!$B$2:$B$12001,$B$2,'جرد فعلي'!$C$2:$C$12001,$A69,'جرد فعلي'!$A$2:$A$12001,'إعدادات المخزون'!$B$4-1),"")</f>
        <v/>
      </c>
      <c r="S69" s="110" t="str">
        <f aca="false">IF(AND(K69="نعم",R69&lt;&gt;""),(L69-J69)-(R69-Q69),"")</f>
        <v/>
      </c>
      <c r="T69" s="109" t="str">
        <f aca="false">IF(S69="","",S69*C69)</f>
        <v/>
      </c>
      <c r="U69" s="110" t="n">
        <f aca="false">IF(K69="نعم",L69,J69)</f>
        <v>5.0004</v>
      </c>
      <c r="V69" s="110" t="n">
        <f aca="false">SUMPRODUCT('مصفوفة الاستهلاك (عصافرة)'!$BL$2:$BL$190,'متجهات المبيعات'!$J$2:$J$190)/'مواد المخزون'!$D$64/MAX(1,MIN('إعدادات المخزون'!$B$11,'إعدادات المخزون'!$B$4-'إعدادات المخزون'!$B$5+1))</f>
        <v>0.0833</v>
      </c>
      <c r="W69" s="110" t="n">
        <f aca="false">IF(V69&lt;=0,0,ROUNDUP(MAX(0,V69*('إعدادات المخزون'!$B$8+'إعدادات المخزون'!$B$9+'إعدادات المخزون'!$B$10)-MAX(U69,0))/'مواد المخزون'!$F64,0)*'مواد المخزون'!$F64)</f>
        <v>0</v>
      </c>
      <c r="X69" s="109" t="n">
        <f aca="false">IF(AND(K69="نعم",O69&lt;0),-O69+ROW()*0.000000001,0)</f>
        <v>0</v>
      </c>
      <c r="Y69" s="109" t="n">
        <f aca="false">IF(AND(K69="نعم",O69&gt;0),O69+ROW()*0.000000001,0)</f>
        <v>0</v>
      </c>
      <c r="Z69" s="110" t="n">
        <f aca="false">SUMIFS('مشتريات يومية'!$D$2:$D$4001,'مشتريات يومية'!$B$2:$B$4001,$B$2,'مشتريات يومية'!$C$2:$C$4001,$A69,'مشتريات يومية'!$A$2:$A$4001,'إعدادات المخزون'!$B$4)+SUMIFS('هالك وتحويلات'!$E$2:$E$3001,'هالك وتحويلات'!$B$2:$B$3001,$B$2,'هالك وتحويلات'!$C$2:$C$3001,$A69,'هالك وتحويلات'!$D$2:$D$3001,"تحويل وارد",'هالك وتحويلات'!$A$2:$A$3001,'إعدادات المخزون'!$B$4)-SUMIFS('هالك وتحويلات'!$E$2:$E$3001,'هالك وتحويلات'!$B$2:$B$3001,$B$2,'هالك وتحويلات'!$C$2:$C$3001,$A69,'هالك وتحويلات'!$D$2:$D$3001,"تحويل صادر",'هالك وتحويلات'!$A$2:$A$3001,'إعدادات المخزون'!$B$4)-SUMIFS('هالك وتحويلات'!$E$2:$E$3001,'هالك وتحويلات'!$B$2:$B$3001,$B$2,'هالك وتحويلات'!$C$2:$C$3001,$A69,'هالك وتحويلات'!$D$2:$D$3001,"هالك",'هالك وتحويلات'!$A$2:$A$3001,'إعدادات المخزون'!$B$4)-SUMIFS('هالك وتحويلات'!$E$2:$E$3001,'هالك وتحويلات'!$B$2:$B$3001,$B$2,'هالك وتحويلات'!$C$2:$C$3001,$A69,'هالك وتحويلات'!$D$2:$D$3001,"ضيافة / أكل موظفين",'هالك وتحويلات'!$A$2:$A$3001,'إعدادات المخزون'!$B$4)-SUMPRODUCT('مصفوفة الاستهلاك (عصافرة)'!$BL$2:$BL$190,'متجهات المبيعات'!$H$2:$H$190)/'مواد المخزون'!$D$64</f>
        <v>-0.0833</v>
      </c>
      <c r="AA69" s="109" t="n">
        <f aca="false">IF(K69="نعم",O69,0)</f>
        <v>0</v>
      </c>
      <c r="AB69" s="109" t="n">
        <f aca="false">IF(K69="نعم",J69*C69,0)</f>
        <v>0</v>
      </c>
      <c r="AC69" s="109" t="n">
        <f aca="false">IF(T69="",0,T69)</f>
        <v>0</v>
      </c>
    </row>
    <row r="70" customFormat="false" ht="15" hidden="false" customHeight="false" outlineLevel="0" collapsed="false">
      <c r="A70" s="34" t="str">
        <f aca="false">'مواد المخزون'!A65</f>
        <v>فراخ كريسبي صيامي</v>
      </c>
      <c r="B70" s="36" t="str">
        <f aca="false">'مواد المخزون'!B65</f>
        <v>كجم</v>
      </c>
      <c r="C70" s="109" t="n">
        <f aca="false">'مواد المخزون'!E65</f>
        <v>150</v>
      </c>
      <c r="D70" s="110" t="n">
        <f aca="false">'جرد أول المدة'!E68</f>
        <v>0</v>
      </c>
      <c r="E70" s="110" t="n">
        <f aca="false">SUMIFS('مشتريات يومية'!$D$2:$D$4001,'مشتريات يومية'!$B$2:$B$4001,$B$2,'مشتريات يومية'!$C$2:$C$4001,$A70,'مشتريات يومية'!$A$2:$A$4001,"&gt;="&amp;'إعدادات المخزون'!$B$5,'مشتريات يومية'!$A$2:$A$4001,"&lt;="&amp;'إعدادات المخزون'!$B$4)</f>
        <v>0</v>
      </c>
      <c r="F70" s="110" t="n">
        <f aca="false">SUMIFS('هالك وتحويلات'!$E$2:$E$3001,'هالك وتحويلات'!$B$2:$B$3001,$B$2,'هالك وتحويلات'!$C$2:$C$3001,$A70,'هالك وتحويلات'!$D$2:$D$3001,"تحويل وارد",'هالك وتحويلات'!$A$2:$A$3001,"&gt;="&amp;'إعدادات المخزون'!$B$5,'هالك وتحويلات'!$A$2:$A$3001,"&lt;="&amp;'إعدادات المخزون'!$B$4)</f>
        <v>0</v>
      </c>
      <c r="G70" s="110" t="n">
        <f aca="false">SUMIFS('هالك وتحويلات'!$E$2:$E$3001,'هالك وتحويلات'!$B$2:$B$3001,$B$2,'هالك وتحويلات'!$C$2:$C$3001,$A70,'هالك وتحويلات'!$D$2:$D$3001,"تحويل صادر",'هالك وتحويلات'!$A$2:$A$3001,"&gt;="&amp;'إعدادات المخزون'!$B$5,'هالك وتحويلات'!$A$2:$A$3001,"&lt;="&amp;'إعدادات المخزون'!$B$4)</f>
        <v>0</v>
      </c>
      <c r="H70" s="110" t="n">
        <f aca="false">SUMPRODUCT('مصفوفة الاستهلاك (عصافرة)'!$BM$2:$BM$190,'متجهات المبيعات'!$I$2:$I$190)/'مواد المخزون'!$D$65</f>
        <v>0</v>
      </c>
      <c r="I70" s="110" t="n">
        <f aca="false">SUMIFS('هالك وتحويلات'!$E$2:$E$3001,'هالك وتحويلات'!$B$2:$B$3001,$B$2,'هالك وتحويلات'!$C$2:$C$3001,$A70,'هالك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وتحويلات'!$C$2:$C$3001,$A70,'هالك وتحويلات'!$D$2:$D$3001,"ضيافة / أكل موظفين",'هالك وتحويلات'!$A$2:$A$3001,"&gt;="&amp;'إعدادات المخزون'!$B$5,'هالك وتحويلات'!$A$2:$A$3001,"&lt;="&amp;'إعدادات المخزون'!$B$4)</f>
        <v>0</v>
      </c>
      <c r="J70" s="110" t="n">
        <f aca="false">D70+E70+F70-G70-H70-I70</f>
        <v>0</v>
      </c>
      <c r="K70" s="36" t="str">
        <f aca="false">IF(COUNTIFS('جرد فعلي'!$B$2:$B$12001,$B$2,'جرد فعلي'!$C$2:$C$12001,$A70,'جرد فعلي'!$A$2:$A$12001,'إعدادات المخزون'!$B$4)&gt;0,"نعم","لا")</f>
        <v>لا</v>
      </c>
      <c r="L70" s="111" t="str">
        <f aca="false">IF(K70="نعم",SUMIFS('جرد فعلي'!$D$2:$D$12001,'جرد فعلي'!$B$2:$B$12001,$B$2,'جرد فعلي'!$C$2:$C$12001,$A70,'جرد فعلي'!$A$2:$A$12001,'إعدادات المخزون'!$B$4),"")</f>
        <v/>
      </c>
      <c r="M70" s="110" t="str">
        <f aca="false">IF(K70="نعم",L70-J70,"")</f>
        <v/>
      </c>
      <c r="N70" s="112" t="str">
        <f aca="false">IF(K70="نعم",IF(J70=0,IF(M70=0,0,SIGN(M70)),M70/ABS(J70)),"")</f>
        <v/>
      </c>
      <c r="O70" s="109" t="str">
        <f aca="false">IF(K70="نعم",M70*C70,"")</f>
        <v/>
      </c>
      <c r="P70" s="36" t="str">
        <f aca="false">IF(K70&lt;&gt;"نعم","لم يُجرد",IF(ABS(N70)&lt;='إعدادات المخزون'!$B$7,"مطابق",IF(M70&lt;0,"عجز","زيادة")))</f>
        <v>لم يُجرد</v>
      </c>
      <c r="Q70" s="110" t="n">
        <f aca="false">J70-Z70</f>
        <v>0</v>
      </c>
      <c r="R70" s="110" t="str">
        <f aca="false">IF(COUNTIFS('جرد فعلي'!$B$2:$B$12001,$B$2,'جرد فعلي'!$C$2:$C$12001,$A70,'جرد فعلي'!$A$2:$A$12001,'إعدادات المخزون'!$B$4-1)&gt;0,SUMIFS('جرد فعلي'!$D$2:$D$12001,'جرد فعلي'!$B$2:$B$12001,$B$2,'جرد فعلي'!$C$2:$C$12001,$A70,'جرد فعلي'!$A$2:$A$12001,'إعدادات المخزون'!$B$4-1),"")</f>
        <v/>
      </c>
      <c r="S70" s="110" t="str">
        <f aca="false">IF(AND(K70="نعم",R70&lt;&gt;""),(L70-J70)-(R70-Q70),"")</f>
        <v/>
      </c>
      <c r="T70" s="109" t="str">
        <f aca="false">IF(S70="","",S70*C70)</f>
        <v/>
      </c>
      <c r="U70" s="110" t="n">
        <f aca="false">IF(K70="نعم",L70,J70)</f>
        <v>0</v>
      </c>
      <c r="V70" s="110" t="n">
        <f aca="false">SUMPRODUCT('مصفوفة الاستهلاك (عصافرة)'!$BM$2:$BM$190,'متجهات المبيعات'!$J$2:$J$190)/'مواد المخزون'!$D$65/MAX(1,MIN('إعدادات المخزون'!$B$11,'إعدادات المخزون'!$B$4-'إعدادات المخزون'!$B$5+1))</f>
        <v>0</v>
      </c>
      <c r="W70" s="110" t="n">
        <f aca="false">IF(V70&lt;=0,0,ROUNDUP(MAX(0,V70*('إعدادات المخزون'!$B$8+'إعدادات المخزون'!$B$9+'إعدادات المخزون'!$B$10)-MAX(U70,0))/'مواد المخزون'!$F65,0)*'مواد المخزون'!$F65)</f>
        <v>0</v>
      </c>
      <c r="X70" s="109" t="n">
        <f aca="false">IF(AND(K70="نعم",O70&lt;0),-O70+ROW()*0.000000001,0)</f>
        <v>0</v>
      </c>
      <c r="Y70" s="109" t="n">
        <f aca="false">IF(AND(K70="نعم",O70&gt;0),O70+ROW()*0.000000001,0)</f>
        <v>0</v>
      </c>
      <c r="Z70" s="110" t="n">
        <f aca="false">SUMIFS('مشتريات يومية'!$D$2:$D$4001,'مشتريات يومية'!$B$2:$B$4001,$B$2,'مشتريات يومية'!$C$2:$C$4001,$A70,'مشتريات يومية'!$A$2:$A$4001,'إعدادات المخزون'!$B$4)+SUMIFS('هالك وتحويلات'!$E$2:$E$3001,'هالك وتحويلات'!$B$2:$B$3001,$B$2,'هالك وتحويلات'!$C$2:$C$3001,$A70,'هالك وتحويلات'!$D$2:$D$3001,"تحويل وارد",'هالك وتحويلات'!$A$2:$A$3001,'إعدادات المخزون'!$B$4)-SUMIFS('هالك وتحويلات'!$E$2:$E$3001,'هالك وتحويلات'!$B$2:$B$3001,$B$2,'هالك وتحويلات'!$C$2:$C$3001,$A70,'هالك وتحويلات'!$D$2:$D$3001,"تحويل صادر",'هالك وتحويلات'!$A$2:$A$3001,'إعدادات المخزون'!$B$4)-SUMIFS('هالك وتحويلات'!$E$2:$E$3001,'هالك وتحويلات'!$B$2:$B$3001,$B$2,'هالك وتحويلات'!$C$2:$C$3001,$A70,'هالك وتحويلات'!$D$2:$D$3001,"هالك",'هالك وتحويلات'!$A$2:$A$3001,'إعدادات المخزون'!$B$4)-SUMIFS('هالك وتحويلات'!$E$2:$E$3001,'هالك وتحويلات'!$B$2:$B$3001,$B$2,'هالك وتحويلات'!$C$2:$C$3001,$A70,'هالك وتحويلات'!$D$2:$D$3001,"ضيافة / أكل موظفين",'هالك وتحويلات'!$A$2:$A$3001,'إعدادات المخزون'!$B$4)-SUMPRODUCT('مصفوفة الاستهلاك (عصافرة)'!$BM$2:$BM$190,'متجهات المبيعات'!$H$2:$H$190)/'مواد المخزون'!$D$65</f>
        <v>0</v>
      </c>
      <c r="AA70" s="109" t="n">
        <f aca="false">IF(K70="نعم",O70,0)</f>
        <v>0</v>
      </c>
      <c r="AB70" s="109" t="n">
        <f aca="false">IF(K70="نعم",J70*C70,0)</f>
        <v>0</v>
      </c>
      <c r="AC70" s="109" t="n">
        <f aca="false">IF(T70="",0,T70)</f>
        <v>0</v>
      </c>
    </row>
    <row r="71" customFormat="false" ht="15" hidden="false" customHeight="false" outlineLevel="0" collapsed="false">
      <c r="A71" s="34" t="str">
        <f aca="false">'مواد المخزون'!A66</f>
        <v>فلفل كوبي</v>
      </c>
      <c r="B71" s="36" t="str">
        <f aca="false">'مواد المخزون'!B66</f>
        <v>كجم</v>
      </c>
      <c r="C71" s="109" t="n">
        <f aca="false">'مواد المخزون'!E66</f>
        <v>27</v>
      </c>
      <c r="D71" s="110" t="n">
        <f aca="false">'جرد أول المدة'!E69</f>
        <v>2.8</v>
      </c>
      <c r="E71" s="110" t="n">
        <f aca="false">SUMIFS('مشتريات يومية'!$D$2:$D$4001,'مشتريات يومية'!$B$2:$B$4001,$B$2,'مشتريات يومية'!$C$2:$C$4001,$A71,'مشتريات يومية'!$A$2:$A$4001,"&gt;="&amp;'إعدادات المخزون'!$B$5,'مشتريات يومية'!$A$2:$A$4001,"&lt;="&amp;'إعدادات المخزون'!$B$4)</f>
        <v>74.5</v>
      </c>
      <c r="F71" s="110" t="n">
        <f aca="false">SUMIFS('هالك وتحويلات'!$E$2:$E$3001,'هالك وتحويلات'!$B$2:$B$3001,$B$2,'هالك وتحويلات'!$C$2:$C$3001,$A71,'هالك وتحويلات'!$D$2:$D$3001,"تحويل وارد",'هالك وتحويلات'!$A$2:$A$3001,"&gt;="&amp;'إعدادات المخزون'!$B$5,'هالك وتحويلات'!$A$2:$A$3001,"&lt;="&amp;'إعدادات المخزون'!$B$4)</f>
        <v>0</v>
      </c>
      <c r="G71" s="110" t="n">
        <f aca="false">SUMIFS('هالك وتحويلات'!$E$2:$E$3001,'هالك وتحويلات'!$B$2:$B$3001,$B$2,'هالك وتحويلات'!$C$2:$C$3001,$A71,'هالك وتحويلات'!$D$2:$D$3001,"تحويل صادر",'هالك وتحويلات'!$A$2:$A$3001,"&gt;="&amp;'إعدادات المخزون'!$B$5,'هالك وتحويلات'!$A$2:$A$3001,"&lt;="&amp;'إعدادات المخزون'!$B$4)</f>
        <v>0</v>
      </c>
      <c r="H71" s="110" t="n">
        <f aca="false">SUMPRODUCT('مصفوفة الاستهلاك (عصافرة)'!$BN$2:$BN$190,'متجهات المبيعات'!$I$2:$I$190)/'مواد المخزون'!$D$66</f>
        <v>38.31</v>
      </c>
      <c r="I71" s="110" t="n">
        <f aca="false">SUMIFS('هالك وتحويلات'!$E$2:$E$3001,'هالك وتحويلات'!$B$2:$B$3001,$B$2,'هالك وتحويلات'!$C$2:$C$3001,$A71,'هالك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وتحويلات'!$C$2:$C$3001,$A71,'هالك وتحويلات'!$D$2:$D$3001,"ضيافة / أكل موظفين",'هالك وتحويلات'!$A$2:$A$3001,"&gt;="&amp;'إعدادات المخزون'!$B$5,'هالك وتحويلات'!$A$2:$A$3001,"&lt;="&amp;'إعدادات المخزون'!$B$4)</f>
        <v>0</v>
      </c>
      <c r="J71" s="110" t="n">
        <f aca="false">D71+E71+F71-G71-H71-I71</f>
        <v>38.99</v>
      </c>
      <c r="K71" s="36" t="str">
        <f aca="false">IF(COUNTIFS('جرد فعلي'!$B$2:$B$12001,$B$2,'جرد فعلي'!$C$2:$C$12001,$A71,'جرد فعلي'!$A$2:$A$12001,'إعدادات المخزون'!$B$4)&gt;0,"نعم","لا")</f>
        <v>لا</v>
      </c>
      <c r="L71" s="111" t="str">
        <f aca="false">IF(K71="نعم",SUMIFS('جرد فعلي'!$D$2:$D$12001,'جرد فعلي'!$B$2:$B$12001,$B$2,'جرد فعلي'!$C$2:$C$12001,$A71,'جرد فعلي'!$A$2:$A$12001,'إعدادات المخزون'!$B$4),"")</f>
        <v/>
      </c>
      <c r="M71" s="110" t="str">
        <f aca="false">IF(K71="نعم",L71-J71,"")</f>
        <v/>
      </c>
      <c r="N71" s="112" t="str">
        <f aca="false">IF(K71="نعم",IF(J71=0,IF(M71=0,0,SIGN(M71)),M71/ABS(J71)),"")</f>
        <v/>
      </c>
      <c r="O71" s="109" t="str">
        <f aca="false">IF(K71="نعم",M71*C71,"")</f>
        <v/>
      </c>
      <c r="P71" s="36" t="str">
        <f aca="false">IF(K71&lt;&gt;"نعم","لم يُجرد",IF(ABS(N71)&lt;='إعدادات المخزون'!$B$7,"مطابق",IF(M71&lt;0,"عجز","زيادة")))</f>
        <v>لم يُجرد</v>
      </c>
      <c r="Q71" s="110" t="n">
        <f aca="false">J71-Z71</f>
        <v>42.1825</v>
      </c>
      <c r="R71" s="110" t="str">
        <f aca="false">IF(COUNTIFS('جرد فعلي'!$B$2:$B$12001,$B$2,'جرد فعلي'!$C$2:$C$12001,$A71,'جرد فعلي'!$A$2:$A$12001,'إعدادات المخزون'!$B$4-1)&gt;0,SUMIFS('جرد فعلي'!$D$2:$D$12001,'جرد فعلي'!$B$2:$B$12001,$B$2,'جرد فعلي'!$C$2:$C$12001,$A71,'جرد فعلي'!$A$2:$A$12001,'إعدادات المخزون'!$B$4-1),"")</f>
        <v/>
      </c>
      <c r="S71" s="110" t="str">
        <f aca="false">IF(AND(K71="نعم",R71&lt;&gt;""),(L71-J71)-(R71-Q71),"")</f>
        <v/>
      </c>
      <c r="T71" s="109" t="str">
        <f aca="false">IF(S71="","",S71*C71)</f>
        <v/>
      </c>
      <c r="U71" s="110" t="n">
        <f aca="false">IF(K71="نعم",L71,J71)</f>
        <v>38.99</v>
      </c>
      <c r="V71" s="110" t="n">
        <f aca="false">SUMPRODUCT('مصفوفة الاستهلاك (عصافرة)'!$BN$2:$BN$190,'متجهات المبيعات'!$J$2:$J$190)/'مواد المخزون'!$D$66/MAX(1,MIN('إعدادات المخزون'!$B$11,'إعدادات المخزون'!$B$4-'إعدادات المخزون'!$B$5+1))</f>
        <v>3.1925</v>
      </c>
      <c r="W71" s="110" t="n">
        <f aca="false">IF(V71&lt;=0,0,ROUNDUP(MAX(0,V71*('إعدادات المخزون'!$B$8+'إعدادات المخزون'!$B$9+'إعدادات المخزون'!$B$10)-MAX(U71,0))/'مواد المخزون'!$F66,0)*'مواد المخزون'!$F66)</f>
        <v>0</v>
      </c>
      <c r="X71" s="109" t="n">
        <f aca="false">IF(AND(K71="نعم",O71&lt;0),-O71+ROW()*0.000000001,0)</f>
        <v>0</v>
      </c>
      <c r="Y71" s="109" t="n">
        <f aca="false">IF(AND(K71="نعم",O71&gt;0),O71+ROW()*0.000000001,0)</f>
        <v>0</v>
      </c>
      <c r="Z71" s="110" t="n">
        <f aca="false">SUMIFS('مشتريات يومية'!$D$2:$D$4001,'مشتريات يومية'!$B$2:$B$4001,$B$2,'مشتريات يومية'!$C$2:$C$4001,$A71,'مشتريات يومية'!$A$2:$A$4001,'إعدادات المخزون'!$B$4)+SUMIFS('هالك وتحويلات'!$E$2:$E$3001,'هالك وتحويلات'!$B$2:$B$3001,$B$2,'هالك وتحويلات'!$C$2:$C$3001,$A71,'هالك وتحويلات'!$D$2:$D$3001,"تحويل وارد",'هالك وتحويلات'!$A$2:$A$3001,'إعدادات المخزون'!$B$4)-SUMIFS('هالك وتحويلات'!$E$2:$E$3001,'هالك وتحويلات'!$B$2:$B$3001,$B$2,'هالك وتحويلات'!$C$2:$C$3001,$A71,'هالك وتحويلات'!$D$2:$D$3001,"تحويل صادر",'هالك وتحويلات'!$A$2:$A$3001,'إعدادات المخزون'!$B$4)-SUMIFS('هالك وتحويلات'!$E$2:$E$3001,'هالك وتحويلات'!$B$2:$B$3001,$B$2,'هالك وتحويلات'!$C$2:$C$3001,$A71,'هالك وتحويلات'!$D$2:$D$3001,"هالك",'هالك وتحويلات'!$A$2:$A$3001,'إعدادات المخزون'!$B$4)-SUMIFS('هالك وتحويلات'!$E$2:$E$3001,'هالك وتحويلات'!$B$2:$B$3001,$B$2,'هالك وتحويلات'!$C$2:$C$3001,$A71,'هالك وتحويلات'!$D$2:$D$3001,"ضيافة / أكل موظفين",'هالك وتحويلات'!$A$2:$A$3001,'إعدادات المخزون'!$B$4)-SUMPRODUCT('مصفوفة الاستهلاك (عصافرة)'!$BN$2:$BN$190,'متجهات المبيعات'!$H$2:$H$190)/'مواد المخزون'!$D$66</f>
        <v>-3.1925</v>
      </c>
      <c r="AA71" s="109" t="n">
        <f aca="false">IF(K71="نعم",O71,0)</f>
        <v>0</v>
      </c>
      <c r="AB71" s="109" t="n">
        <f aca="false">IF(K71="نعم",J71*C71,0)</f>
        <v>0</v>
      </c>
      <c r="AC71" s="109" t="n">
        <f aca="false">IF(T71="",0,T71)</f>
        <v>0</v>
      </c>
    </row>
    <row r="72" customFormat="false" ht="15" hidden="false" customHeight="false" outlineLevel="0" collapsed="false">
      <c r="A72" s="34" t="str">
        <f aca="false">'مواد المخزون'!A67</f>
        <v>قطعة جبنة كيري</v>
      </c>
      <c r="B72" s="36" t="str">
        <f aca="false">'مواد المخزون'!B67</f>
        <v>قطعة</v>
      </c>
      <c r="C72" s="109" t="n">
        <f aca="false">'مواد المخزون'!E67</f>
        <v>7</v>
      </c>
      <c r="D72" s="110" t="n">
        <f aca="false">'جرد أول المدة'!E70</f>
        <v>85</v>
      </c>
      <c r="E72" s="110" t="n">
        <f aca="false">SUMIFS('مشتريات يومية'!$D$2:$D$4001,'مشتريات يومية'!$B$2:$B$4001,$B$2,'مشتريات يومية'!$C$2:$C$4001,$A72,'مشتريات يومية'!$A$2:$A$4001,"&gt;="&amp;'إعدادات المخزون'!$B$5,'مشتريات يومية'!$A$2:$A$4001,"&lt;="&amp;'إعدادات المخزون'!$B$4)</f>
        <v>576</v>
      </c>
      <c r="F72" s="110" t="n">
        <f aca="false">SUMIFS('هالك وتحويلات'!$E$2:$E$3001,'هالك وتحويلات'!$B$2:$B$3001,$B$2,'هالك وتحويلات'!$C$2:$C$3001,$A72,'هالك وتحويلات'!$D$2:$D$3001,"تحويل وارد",'هالك وتحويلات'!$A$2:$A$3001,"&gt;="&amp;'إعدادات المخزون'!$B$5,'هالك وتحويلات'!$A$2:$A$3001,"&lt;="&amp;'إعدادات المخزون'!$B$4)</f>
        <v>0</v>
      </c>
      <c r="G72" s="110" t="n">
        <f aca="false">SUMIFS('هالك وتحويلات'!$E$2:$E$3001,'هالك وتحويلات'!$B$2:$B$3001,$B$2,'هالك وتحويلات'!$C$2:$C$3001,$A72,'هالك وتحويلات'!$D$2:$D$3001,"تحويل صادر",'هالك وتحويلات'!$A$2:$A$3001,"&gt;="&amp;'إعدادات المخزون'!$B$5,'هالك وتحويلات'!$A$2:$A$3001,"&lt;="&amp;'إعدادات المخزون'!$B$4)</f>
        <v>0</v>
      </c>
      <c r="H72" s="110" t="n">
        <f aca="false">SUMPRODUCT('مصفوفة الاستهلاك (عصافرة)'!$BO$2:$BO$190,'متجهات المبيعات'!$I$2:$I$190)/'مواد المخزون'!$D$67</f>
        <v>549.0012</v>
      </c>
      <c r="I72" s="110" t="n">
        <f aca="false">SUMIFS('هالك وتحويلات'!$E$2:$E$3001,'هالك وتحويلات'!$B$2:$B$3001,$B$2,'هالك وتحويلات'!$C$2:$C$3001,$A72,'هالك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وتحويلات'!$C$2:$C$3001,$A72,'هالك وتحويلات'!$D$2:$D$3001,"ضيافة / أكل موظفين",'هالك وتحويلات'!$A$2:$A$3001,"&gt;="&amp;'إعدادات المخزون'!$B$5,'هالك وتحويلات'!$A$2:$A$3001,"&lt;="&amp;'إعدادات المخزون'!$B$4)</f>
        <v>0</v>
      </c>
      <c r="J72" s="110" t="n">
        <f aca="false">D72+E72+F72-G72-H72-I72</f>
        <v>111.9988</v>
      </c>
      <c r="K72" s="36" t="str">
        <f aca="false">IF(COUNTIFS('جرد فعلي'!$B$2:$B$12001,$B$2,'جرد فعلي'!$C$2:$C$12001,$A72,'جرد فعلي'!$A$2:$A$12001,'إعدادات المخزون'!$B$4)&gt;0,"نعم","لا")</f>
        <v>لا</v>
      </c>
      <c r="L72" s="111" t="str">
        <f aca="false">IF(K72="نعم",SUMIFS('جرد فعلي'!$D$2:$D$12001,'جرد فعلي'!$B$2:$B$12001,$B$2,'جرد فعلي'!$C$2:$C$12001,$A72,'جرد فعلي'!$A$2:$A$12001,'إعدادات المخزون'!$B$4),"")</f>
        <v/>
      </c>
      <c r="M72" s="110" t="str">
        <f aca="false">IF(K72="نعم",L72-J72,"")</f>
        <v/>
      </c>
      <c r="N72" s="112" t="str">
        <f aca="false">IF(K72="نعم",IF(J72=0,IF(M72=0,0,SIGN(M72)),M72/ABS(J72)),"")</f>
        <v/>
      </c>
      <c r="O72" s="109" t="str">
        <f aca="false">IF(K72="نعم",M72*C72,"")</f>
        <v/>
      </c>
      <c r="P72" s="36" t="str">
        <f aca="false">IF(K72&lt;&gt;"نعم","لم يُجرد",IF(ABS(N72)&lt;='إعدادات المخزون'!$B$7,"مطابق",IF(M72&lt;0,"عجز","زيادة")))</f>
        <v>لم يُجرد</v>
      </c>
      <c r="Q72" s="110" t="n">
        <f aca="false">J72-Z72</f>
        <v>157.7489</v>
      </c>
      <c r="R72" s="110" t="str">
        <f aca="false">IF(COUNTIFS('جرد فعلي'!$B$2:$B$12001,$B$2,'جرد فعلي'!$C$2:$C$12001,$A72,'جرد فعلي'!$A$2:$A$12001,'إعدادات المخزون'!$B$4-1)&gt;0,SUMIFS('جرد فعلي'!$D$2:$D$12001,'جرد فعلي'!$B$2:$B$12001,$B$2,'جرد فعلي'!$C$2:$C$12001,$A72,'جرد فعلي'!$A$2:$A$12001,'إعدادات المخزون'!$B$4-1),"")</f>
        <v/>
      </c>
      <c r="S72" s="110" t="str">
        <f aca="false">IF(AND(K72="نعم",R72&lt;&gt;""),(L72-J72)-(R72-Q72),"")</f>
        <v/>
      </c>
      <c r="T72" s="109" t="str">
        <f aca="false">IF(S72="","",S72*C72)</f>
        <v/>
      </c>
      <c r="U72" s="110" t="n">
        <f aca="false">IF(K72="نعم",L72,J72)</f>
        <v>111.9988</v>
      </c>
      <c r="V72" s="110" t="n">
        <f aca="false">SUMPRODUCT('مصفوفة الاستهلاك (عصافرة)'!$BO$2:$BO$190,'متجهات المبيعات'!$J$2:$J$190)/'مواد المخزون'!$D$67/MAX(1,MIN('إعدادات المخزون'!$B$11,'إعدادات المخزون'!$B$4-'إعدادات المخزون'!$B$5+1))</f>
        <v>45.7501</v>
      </c>
      <c r="W72" s="110" t="n">
        <f aca="false">IF(V72&lt;=0,0,ROUNDUP(MAX(0,V72*('إعدادات المخزون'!$B$8+'إعدادات المخزون'!$B$9+'إعدادات المخزون'!$B$10)-MAX(U72,0))/'مواد المخزون'!$F67,0)*'مواد المخزون'!$F67)</f>
        <v>72</v>
      </c>
      <c r="X72" s="109" t="n">
        <f aca="false">IF(AND(K72="نعم",O72&lt;0),-O72+ROW()*0.000000001,0)</f>
        <v>0</v>
      </c>
      <c r="Y72" s="109" t="n">
        <f aca="false">IF(AND(K72="نعم",O72&gt;0),O72+ROW()*0.000000001,0)</f>
        <v>0</v>
      </c>
      <c r="Z72" s="110" t="n">
        <f aca="false">SUMIFS('مشتريات يومية'!$D$2:$D$4001,'مشتريات يومية'!$B$2:$B$4001,$B$2,'مشتريات يومية'!$C$2:$C$4001,$A72,'مشتريات يومية'!$A$2:$A$4001,'إعدادات المخزون'!$B$4)+SUMIFS('هالك وتحويلات'!$E$2:$E$3001,'هالك وتحويلات'!$B$2:$B$3001,$B$2,'هالك وتحويلات'!$C$2:$C$3001,$A72,'هالك وتحويلات'!$D$2:$D$3001,"تحويل وارد",'هالك وتحويلات'!$A$2:$A$3001,'إعدادات المخزون'!$B$4)-SUMIFS('هالك وتحويلات'!$E$2:$E$3001,'هالك وتحويلات'!$B$2:$B$3001,$B$2,'هالك وتحويلات'!$C$2:$C$3001,$A72,'هالك وتحويلات'!$D$2:$D$3001,"تحويل صادر",'هالك وتحويلات'!$A$2:$A$3001,'إعدادات المخزون'!$B$4)-SUMIFS('هالك وتحويلات'!$E$2:$E$3001,'هالك وتحويلات'!$B$2:$B$3001,$B$2,'هالك وتحويلات'!$C$2:$C$3001,$A72,'هالك وتحويلات'!$D$2:$D$3001,"هالك",'هالك وتحويلات'!$A$2:$A$3001,'إعدادات المخزون'!$B$4)-SUMIFS('هالك وتحويلات'!$E$2:$E$3001,'هالك وتحويلات'!$B$2:$B$3001,$B$2,'هالك وتحويلات'!$C$2:$C$3001,$A72,'هالك وتحويلات'!$D$2:$D$3001,"ضيافة / أكل موظفين",'هالك وتحويلات'!$A$2:$A$3001,'إعدادات المخزون'!$B$4)-SUMPRODUCT('مصفوفة الاستهلاك (عصافرة)'!$BO$2:$BO$190,'متجهات المبيعات'!$H$2:$H$190)/'مواد المخزون'!$D$67</f>
        <v>-45.7501</v>
      </c>
      <c r="AA72" s="109" t="n">
        <f aca="false">IF(K72="نعم",O72,0)</f>
        <v>0</v>
      </c>
      <c r="AB72" s="109" t="n">
        <f aca="false">IF(K72="نعم",J72*C72,0)</f>
        <v>0</v>
      </c>
      <c r="AC72" s="109" t="n">
        <f aca="false">IF(T72="",0,T72)</f>
        <v>0</v>
      </c>
    </row>
    <row r="73" customFormat="false" ht="15" hidden="false" customHeight="false" outlineLevel="0" collapsed="false">
      <c r="A73" s="34" t="str">
        <f aca="false">'مواد المخزون'!A68</f>
        <v>كاتشب ظرف</v>
      </c>
      <c r="B73" s="36" t="str">
        <f aca="false">'مواد المخزون'!B68</f>
        <v>قطعة</v>
      </c>
      <c r="C73" s="109" t="n">
        <f aca="false">'مواد المخزون'!E68</f>
        <v>0.3</v>
      </c>
      <c r="D73" s="110" t="n">
        <f aca="false">'جرد أول المدة'!E71</f>
        <v>3577</v>
      </c>
      <c r="E73" s="110" t="n">
        <f aca="false">SUMIFS('مشتريات يومية'!$D$2:$D$4001,'مشتريات يومية'!$B$2:$B$4001,$B$2,'مشتريات يومية'!$C$2:$C$4001,$A73,'مشتريات يومية'!$A$2:$A$4001,"&gt;="&amp;'إعدادات المخزون'!$B$5,'مشتريات يومية'!$A$2:$A$4001,"&lt;="&amp;'إعدادات المخزون'!$B$4)</f>
        <v>4000</v>
      </c>
      <c r="F73" s="110" t="n">
        <f aca="false">SUMIFS('هالك وتحويلات'!$E$2:$E$3001,'هالك وتحويلات'!$B$2:$B$3001,$B$2,'هالك وتحويلات'!$C$2:$C$3001,$A73,'هالك وتحويلات'!$D$2:$D$3001,"تحويل وارد",'هالك وتحويلات'!$A$2:$A$3001,"&gt;="&amp;'إعدادات المخزون'!$B$5,'هالك وتحويلات'!$A$2:$A$3001,"&lt;="&amp;'إعدادات المخزون'!$B$4)</f>
        <v>0</v>
      </c>
      <c r="G73" s="110" t="n">
        <f aca="false">SUMIFS('هالك وتحويلات'!$E$2:$E$3001,'هالك وتحويلات'!$B$2:$B$3001,$B$2,'هالك وتحويلات'!$C$2:$C$3001,$A73,'هالك وتحويلات'!$D$2:$D$3001,"تحويل صادر",'هالك وتحويلات'!$A$2:$A$3001,"&gt;="&amp;'إعدادات المخزون'!$B$5,'هالك وتحويلات'!$A$2:$A$3001,"&lt;="&amp;'إعدادات المخزون'!$B$4)</f>
        <v>0</v>
      </c>
      <c r="H73" s="110" t="n">
        <f aca="false">SUMPRODUCT('مصفوفة الاستهلاك (عصافرة)'!$BP$2:$BP$190,'متجهات المبيعات'!$I$2:$I$190)/'مواد المخزون'!$D$68</f>
        <v>3861.0036</v>
      </c>
      <c r="I73" s="110" t="n">
        <f aca="false">SUMIFS('هالك وتحويلات'!$E$2:$E$3001,'هالك وتحويلات'!$B$2:$B$3001,$B$2,'هالك وتحويلات'!$C$2:$C$3001,$A73,'هالك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وتحويلات'!$C$2:$C$3001,$A73,'هالك وتحويلات'!$D$2:$D$3001,"ضيافة / أكل موظفين",'هالك وتحويلات'!$A$2:$A$3001,"&gt;="&amp;'إعدادات المخزون'!$B$5,'هالك وتحويلات'!$A$2:$A$3001,"&lt;="&amp;'إعدادات المخزون'!$B$4)</f>
        <v>0</v>
      </c>
      <c r="J73" s="110" t="n">
        <f aca="false">D73+E73+F73-G73-H73-I73</f>
        <v>3715.9964</v>
      </c>
      <c r="K73" s="36" t="str">
        <f aca="false">IF(COUNTIFS('جرد فعلي'!$B$2:$B$12001,$B$2,'جرد فعلي'!$C$2:$C$12001,$A73,'جرد فعلي'!$A$2:$A$12001,'إعدادات المخزون'!$B$4)&gt;0,"نعم","لا")</f>
        <v>لا</v>
      </c>
      <c r="L73" s="111" t="str">
        <f aca="false">IF(K73="نعم",SUMIFS('جرد فعلي'!$D$2:$D$12001,'جرد فعلي'!$B$2:$B$12001,$B$2,'جرد فعلي'!$C$2:$C$12001,$A73,'جرد فعلي'!$A$2:$A$12001,'إعدادات المخزون'!$B$4),"")</f>
        <v/>
      </c>
      <c r="M73" s="110" t="str">
        <f aca="false">IF(K73="نعم",L73-J73,"")</f>
        <v/>
      </c>
      <c r="N73" s="112" t="str">
        <f aca="false">IF(K73="نعم",IF(J73=0,IF(M73=0,0,SIGN(M73)),M73/ABS(J73)),"")</f>
        <v/>
      </c>
      <c r="O73" s="109" t="str">
        <f aca="false">IF(K73="نعم",M73*C73,"")</f>
        <v/>
      </c>
      <c r="P73" s="36" t="str">
        <f aca="false">IF(K73&lt;&gt;"نعم","لم يُجرد",IF(ABS(N73)&lt;='إعدادات المخزون'!$B$7,"مطابق",IF(M73&lt;0,"عجز","زيادة")))</f>
        <v>لم يُجرد</v>
      </c>
      <c r="Q73" s="110" t="n">
        <f aca="false">J73-Z73</f>
        <v>4037.7467</v>
      </c>
      <c r="R73" s="110" t="str">
        <f aca="false">IF(COUNTIFS('جرد فعلي'!$B$2:$B$12001,$B$2,'جرد فعلي'!$C$2:$C$12001,$A73,'جرد فعلي'!$A$2:$A$12001,'إعدادات المخزون'!$B$4-1)&gt;0,SUMIFS('جرد فعلي'!$D$2:$D$12001,'جرد فعلي'!$B$2:$B$12001,$B$2,'جرد فعلي'!$C$2:$C$12001,$A73,'جرد فعلي'!$A$2:$A$12001,'إعدادات المخزون'!$B$4-1),"")</f>
        <v/>
      </c>
      <c r="S73" s="110" t="str">
        <f aca="false">IF(AND(K73="نعم",R73&lt;&gt;""),(L73-J73)-(R73-Q73),"")</f>
        <v/>
      </c>
      <c r="T73" s="109" t="str">
        <f aca="false">IF(S73="","",S73*C73)</f>
        <v/>
      </c>
      <c r="U73" s="110" t="n">
        <f aca="false">IF(K73="نعم",L73,J73)</f>
        <v>3715.9964</v>
      </c>
      <c r="V73" s="110" t="n">
        <f aca="false">SUMPRODUCT('مصفوفة الاستهلاك (عصافرة)'!$BP$2:$BP$190,'متجهات المبيعات'!$J$2:$J$190)/'مواد المخزون'!$D$68/MAX(1,MIN('إعدادات المخزون'!$B$11,'إعدادات المخزون'!$B$4-'إعدادات المخزون'!$B$5+1))</f>
        <v>321.7503</v>
      </c>
      <c r="W73" s="110" t="n">
        <f aca="false">IF(V73&lt;=0,0,ROUNDUP(MAX(0,V73*('إعدادات المخزون'!$B$8+'إعدادات المخزون'!$B$9+'إعدادات المخزون'!$B$10)-MAX(U73,0))/'مواد المخزون'!$F68,0)*'مواد المخزون'!$F68)</f>
        <v>0</v>
      </c>
      <c r="X73" s="109" t="n">
        <f aca="false">IF(AND(K73="نعم",O73&lt;0),-O73+ROW()*0.000000001,0)</f>
        <v>0</v>
      </c>
      <c r="Y73" s="109" t="n">
        <f aca="false">IF(AND(K73="نعم",O73&gt;0),O73+ROW()*0.000000001,0)</f>
        <v>0</v>
      </c>
      <c r="Z73" s="110" t="n">
        <f aca="false">SUMIFS('مشتريات يومية'!$D$2:$D$4001,'مشتريات يومية'!$B$2:$B$4001,$B$2,'مشتريات يومية'!$C$2:$C$4001,$A73,'مشتريات يومية'!$A$2:$A$4001,'إعدادات المخزون'!$B$4)+SUMIFS('هالك وتحويلات'!$E$2:$E$3001,'هالك وتحويلات'!$B$2:$B$3001,$B$2,'هالك وتحويلات'!$C$2:$C$3001,$A73,'هالك وتحويلات'!$D$2:$D$3001,"تحويل وارد",'هالك وتحويلات'!$A$2:$A$3001,'إعدادات المخزون'!$B$4)-SUMIFS('هالك وتحويلات'!$E$2:$E$3001,'هالك وتحويلات'!$B$2:$B$3001,$B$2,'هالك وتحويلات'!$C$2:$C$3001,$A73,'هالك وتحويلات'!$D$2:$D$3001,"تحويل صادر",'هالك وتحويلات'!$A$2:$A$3001,'إعدادات المخزون'!$B$4)-SUMIFS('هالك وتحويلات'!$E$2:$E$3001,'هالك وتحويلات'!$B$2:$B$3001,$B$2,'هالك وتحويلات'!$C$2:$C$3001,$A73,'هالك وتحويلات'!$D$2:$D$3001,"هالك",'هالك وتحويلات'!$A$2:$A$3001,'إعدادات المخزون'!$B$4)-SUMIFS('هالك وتحويلات'!$E$2:$E$3001,'هالك وتحويلات'!$B$2:$B$3001,$B$2,'هالك وتحويلات'!$C$2:$C$3001,$A73,'هالك وتحويلات'!$D$2:$D$3001,"ضيافة / أكل موظفين",'هالك وتحويلات'!$A$2:$A$3001,'إعدادات المخزون'!$B$4)-SUMPRODUCT('مصفوفة الاستهلاك (عصافرة)'!$BP$2:$BP$190,'متجهات المبيعات'!$H$2:$H$190)/'مواد المخزون'!$D$68</f>
        <v>-321.7503</v>
      </c>
      <c r="AA73" s="109" t="n">
        <f aca="false">IF(K73="نعم",O73,0)</f>
        <v>0</v>
      </c>
      <c r="AB73" s="109" t="n">
        <f aca="false">IF(K73="نعم",J73*C73,0)</f>
        <v>0</v>
      </c>
      <c r="AC73" s="109" t="n">
        <f aca="false">IF(T73="",0,T73)</f>
        <v>0</v>
      </c>
    </row>
    <row r="74" customFormat="false" ht="15" hidden="false" customHeight="false" outlineLevel="0" collapsed="false">
      <c r="A74" s="34" t="str">
        <f aca="false">'مواد المخزون'!A69</f>
        <v>كاستر بودر</v>
      </c>
      <c r="B74" s="36" t="str">
        <f aca="false">'مواد المخزون'!B69</f>
        <v>كجم</v>
      </c>
      <c r="C74" s="109" t="n">
        <f aca="false">'مواد المخزون'!E69</f>
        <v>90</v>
      </c>
      <c r="D74" s="110" t="n">
        <f aca="false">'جرد أول المدة'!E72</f>
        <v>7.3</v>
      </c>
      <c r="E74" s="110" t="n">
        <f aca="false">SUMIFS('مشتريات يومية'!$D$2:$D$4001,'مشتريات يومية'!$B$2:$B$4001,$B$2,'مشتريات يومية'!$C$2:$C$4001,$A74,'مشتريات يومية'!$A$2:$A$4001,"&gt;="&amp;'إعدادات المخزون'!$B$5,'مشتريات يومية'!$A$2:$A$4001,"&lt;="&amp;'إعدادات المخزون'!$B$4)</f>
        <v>7.2</v>
      </c>
      <c r="F74" s="110" t="n">
        <f aca="false">SUMIFS('هالك وتحويلات'!$E$2:$E$3001,'هالك وتحويلات'!$B$2:$B$3001,$B$2,'هالك وتحويلات'!$C$2:$C$3001,$A74,'هالك وتحويلات'!$D$2:$D$3001,"تحويل وارد",'هالك وتحويلات'!$A$2:$A$3001,"&gt;="&amp;'إعدادات المخزون'!$B$5,'هالك وتحويلات'!$A$2:$A$3001,"&lt;="&amp;'إعدادات المخزون'!$B$4)</f>
        <v>0</v>
      </c>
      <c r="G74" s="110" t="n">
        <f aca="false">SUMIFS('هالك وتحويلات'!$E$2:$E$3001,'هالك وتحويلات'!$B$2:$B$3001,$B$2,'هالك وتحويلات'!$C$2:$C$3001,$A74,'هالك وتحويلات'!$D$2:$D$3001,"تحويل صادر",'هالك وتحويلات'!$A$2:$A$3001,"&gt;="&amp;'إعدادات المخزون'!$B$5,'هالك وتحويلات'!$A$2:$A$3001,"&lt;="&amp;'إعدادات المخزون'!$B$4)</f>
        <v>0</v>
      </c>
      <c r="H74" s="110" t="n">
        <f aca="false">SUMPRODUCT('مصفوفة الاستهلاك (عصافرة)'!$BQ$2:$BQ$190,'متجهات المبيعات'!$I$2:$I$190)/'مواد المخزون'!$D$69</f>
        <v>18.1432296</v>
      </c>
      <c r="I74" s="110" t="n">
        <f aca="false">SUMIFS('هالك وتحويلات'!$E$2:$E$3001,'هالك وتحويلات'!$B$2:$B$3001,$B$2,'هالك وتحويلات'!$C$2:$C$3001,$A74,'هالك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وتحويلات'!$C$2:$C$3001,$A74,'هالك وتحويلات'!$D$2:$D$3001,"ضيافة / أكل موظفين",'هالك وتحويلات'!$A$2:$A$3001,"&gt;="&amp;'إعدادات المخزون'!$B$5,'هالك وتحويلات'!$A$2:$A$3001,"&lt;="&amp;'إعدادات المخزون'!$B$4)</f>
        <v>0</v>
      </c>
      <c r="J74" s="110" t="n">
        <f aca="false">D74+E74+F74-G74-H74-I74</f>
        <v>-3.6432296</v>
      </c>
      <c r="K74" s="36" t="str">
        <f aca="false">IF(COUNTIFS('جرد فعلي'!$B$2:$B$12001,$B$2,'جرد فعلي'!$C$2:$C$12001,$A74,'جرد فعلي'!$A$2:$A$12001,'إعدادات المخزون'!$B$4)&gt;0,"نعم","لا")</f>
        <v>لا</v>
      </c>
      <c r="L74" s="111" t="str">
        <f aca="false">IF(K74="نعم",SUMIFS('جرد فعلي'!$D$2:$D$12001,'جرد فعلي'!$B$2:$B$12001,$B$2,'جرد فعلي'!$C$2:$C$12001,$A74,'جرد فعلي'!$A$2:$A$12001,'إعدادات المخزون'!$B$4),"")</f>
        <v/>
      </c>
      <c r="M74" s="110" t="str">
        <f aca="false">IF(K74="نعم",L74-J74,"")</f>
        <v/>
      </c>
      <c r="N74" s="112" t="str">
        <f aca="false">IF(K74="نعم",IF(J74=0,IF(M74=0,0,SIGN(M74)),M74/ABS(J74)),"")</f>
        <v/>
      </c>
      <c r="O74" s="109" t="str">
        <f aca="false">IF(K74="نعم",M74*C74,"")</f>
        <v/>
      </c>
      <c r="P74" s="36" t="str">
        <f aca="false">IF(K74&lt;&gt;"نعم","لم يُجرد",IF(ABS(N74)&lt;='إعدادات المخزون'!$B$7,"مطابق",IF(M74&lt;0,"عجز","زيادة")))</f>
        <v>لم يُجرد</v>
      </c>
      <c r="Q74" s="110" t="n">
        <f aca="false">J74-Z74</f>
        <v>-2.1312938</v>
      </c>
      <c r="R74" s="110" t="str">
        <f aca="false">IF(COUNTIFS('جرد فعلي'!$B$2:$B$12001,$B$2,'جرد فعلي'!$C$2:$C$12001,$A74,'جرد فعلي'!$A$2:$A$12001,'إعدادات المخزون'!$B$4-1)&gt;0,SUMIFS('جرد فعلي'!$D$2:$D$12001,'جرد فعلي'!$B$2:$B$12001,$B$2,'جرد فعلي'!$C$2:$C$12001,$A74,'جرد فعلي'!$A$2:$A$12001,'إعدادات المخزون'!$B$4-1),"")</f>
        <v/>
      </c>
      <c r="S74" s="110" t="str">
        <f aca="false">IF(AND(K74="نعم",R74&lt;&gt;""),(L74-J74)-(R74-Q74),"")</f>
        <v/>
      </c>
      <c r="T74" s="109" t="str">
        <f aca="false">IF(S74="","",S74*C74)</f>
        <v/>
      </c>
      <c r="U74" s="110" t="n">
        <f aca="false">IF(K74="نعم",L74,J74)</f>
        <v>-3.6432296</v>
      </c>
      <c r="V74" s="110" t="n">
        <f aca="false">SUMPRODUCT('مصفوفة الاستهلاك (عصافرة)'!$BQ$2:$BQ$190,'متجهات المبيعات'!$J$2:$J$190)/'مواد المخزون'!$D$69/MAX(1,MIN('إعدادات المخزون'!$B$11,'إعدادات المخزون'!$B$4-'إعدادات المخزون'!$B$5+1))</f>
        <v>1.5119358</v>
      </c>
      <c r="W74" s="110" t="n">
        <f aca="false">IF(V74&lt;=0,0,ROUNDUP(MAX(0,V74*('إعدادات المخزون'!$B$8+'إعدادات المخزون'!$B$9+'إعدادات المخزون'!$B$10)-MAX(U74,0))/'مواد المخزون'!$F69,0)*'مواد المخزون'!$F69)</f>
        <v>7</v>
      </c>
      <c r="X74" s="109" t="n">
        <f aca="false">IF(AND(K74="نعم",O74&lt;0),-O74+ROW()*0.000000001,0)</f>
        <v>0</v>
      </c>
      <c r="Y74" s="109" t="n">
        <f aca="false">IF(AND(K74="نعم",O74&gt;0),O74+ROW()*0.000000001,0)</f>
        <v>0</v>
      </c>
      <c r="Z74" s="110" t="n">
        <f aca="false">SUMIFS('مشتريات يومية'!$D$2:$D$4001,'مشتريات يومية'!$B$2:$B$4001,$B$2,'مشتريات يومية'!$C$2:$C$4001,$A74,'مشتريات يومية'!$A$2:$A$4001,'إعدادات المخزون'!$B$4)+SUMIFS('هالك وتحويلات'!$E$2:$E$3001,'هالك وتحويلات'!$B$2:$B$3001,$B$2,'هالك وتحويلات'!$C$2:$C$3001,$A74,'هالك وتحويلات'!$D$2:$D$3001,"تحويل وارد",'هالك وتحويلات'!$A$2:$A$3001,'إعدادات المخزون'!$B$4)-SUMIFS('هالك وتحويلات'!$E$2:$E$3001,'هالك وتحويلات'!$B$2:$B$3001,$B$2,'هالك وتحويلات'!$C$2:$C$3001,$A74,'هالك وتحويلات'!$D$2:$D$3001,"تحويل صادر",'هالك وتحويلات'!$A$2:$A$3001,'إعدادات المخزون'!$B$4)-SUMIFS('هالك وتحويلات'!$E$2:$E$3001,'هالك وتحويلات'!$B$2:$B$3001,$B$2,'هالك وتحويلات'!$C$2:$C$3001,$A74,'هالك وتحويلات'!$D$2:$D$3001,"هالك",'هالك وتحويلات'!$A$2:$A$3001,'إعدادات المخزون'!$B$4)-SUMIFS('هالك وتحويلات'!$E$2:$E$3001,'هالك وتحويلات'!$B$2:$B$3001,$B$2,'هالك وتحويلات'!$C$2:$C$3001,$A74,'هالك وتحويلات'!$D$2:$D$3001,"ضيافة / أكل موظفين",'هالك وتحويلات'!$A$2:$A$3001,'إعدادات المخزون'!$B$4)-SUMPRODUCT('مصفوفة الاستهلاك (عصافرة)'!$BQ$2:$BQ$190,'متجهات المبيعات'!$H$2:$H$190)/'مواد المخزون'!$D$69</f>
        <v>-1.5119358</v>
      </c>
      <c r="AA74" s="109" t="n">
        <f aca="false">IF(K74="نعم",O74,0)</f>
        <v>0</v>
      </c>
      <c r="AB74" s="109" t="n">
        <f aca="false">IF(K74="نعم",J74*C74,0)</f>
        <v>0</v>
      </c>
      <c r="AC74" s="109" t="n">
        <f aca="false">IF(T74="",0,T74)</f>
        <v>0</v>
      </c>
    </row>
    <row r="75" customFormat="false" ht="15" hidden="false" customHeight="false" outlineLevel="0" collapsed="false">
      <c r="A75" s="34" t="str">
        <f aca="false">'مواد المخزون'!A70</f>
        <v>كراسي بيتزا</v>
      </c>
      <c r="B75" s="36" t="str">
        <f aca="false">'مواد المخزون'!B70</f>
        <v>قطعة</v>
      </c>
      <c r="C75" s="109" t="n">
        <f aca="false">'مواد المخزون'!E70</f>
        <v>0.5</v>
      </c>
      <c r="D75" s="110" t="n">
        <f aca="false">'جرد أول المدة'!E73</f>
        <v>1661</v>
      </c>
      <c r="E75" s="110" t="n">
        <f aca="false">SUMIFS('مشتريات يومية'!$D$2:$D$4001,'مشتريات يومية'!$B$2:$B$4001,$B$2,'مشتريات يومية'!$C$2:$C$4001,$A75,'مشتريات يومية'!$A$2:$A$4001,"&gt;="&amp;'إعدادات المخزون'!$B$5,'مشتريات يومية'!$A$2:$A$4001,"&lt;="&amp;'إعدادات المخزون'!$B$4)</f>
        <v>3300</v>
      </c>
      <c r="F75" s="110" t="n">
        <f aca="false">SUMIFS('هالك وتحويلات'!$E$2:$E$3001,'هالك وتحويلات'!$B$2:$B$3001,$B$2,'هالك وتحويلات'!$C$2:$C$3001,$A75,'هالك وتحويلات'!$D$2:$D$3001,"تحويل وارد",'هالك وتحويلات'!$A$2:$A$3001,"&gt;="&amp;'إعدادات المخزون'!$B$5,'هالك وتحويلات'!$A$2:$A$3001,"&lt;="&amp;'إعدادات المخزون'!$B$4)</f>
        <v>0</v>
      </c>
      <c r="G75" s="110" t="n">
        <f aca="false">SUMIFS('هالك وتحويلات'!$E$2:$E$3001,'هالك وتحويلات'!$B$2:$B$3001,$B$2,'هالك وتحويلات'!$C$2:$C$3001,$A75,'هالك وتحويلات'!$D$2:$D$3001,"تحويل صادر",'هالك وتحويلات'!$A$2:$A$3001,"&gt;="&amp;'إعدادات المخزون'!$B$5,'هالك وتحويلات'!$A$2:$A$3001,"&lt;="&amp;'إعدادات المخزون'!$B$4)</f>
        <v>0</v>
      </c>
      <c r="H75" s="110" t="n">
        <f aca="false">SUMPRODUCT('مصفوفة الاستهلاك (عصافرة)'!$BR$2:$BR$190,'متجهات المبيعات'!$I$2:$I$190)/'مواد المخزون'!$D$70</f>
        <v>1719.4998</v>
      </c>
      <c r="I75" s="110" t="n">
        <f aca="false">SUMIFS('هالك وتحويلات'!$E$2:$E$3001,'هالك وتحويلات'!$B$2:$B$3001,$B$2,'هالك وتحويلات'!$C$2:$C$3001,$A75,'هالك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وتحويلات'!$C$2:$C$3001,$A75,'هالك وتحويلات'!$D$2:$D$3001,"ضيافة / أكل موظفين",'هالك وتحويلات'!$A$2:$A$3001,"&gt;="&amp;'إعدادات المخزون'!$B$5,'هالك وتحويلات'!$A$2:$A$3001,"&lt;="&amp;'إعدادات المخزون'!$B$4)</f>
        <v>0</v>
      </c>
      <c r="J75" s="110" t="n">
        <f aca="false">D75+E75+F75-G75-H75-I75</f>
        <v>3241.5002</v>
      </c>
      <c r="K75" s="36" t="str">
        <f aca="false">IF(COUNTIFS('جرد فعلي'!$B$2:$B$12001,$B$2,'جرد فعلي'!$C$2:$C$12001,$A75,'جرد فعلي'!$A$2:$A$12001,'إعدادات المخزون'!$B$4)&gt;0,"نعم","لا")</f>
        <v>لا</v>
      </c>
      <c r="L75" s="111" t="str">
        <f aca="false">IF(K75="نعم",SUMIFS('جرد فعلي'!$D$2:$D$12001,'جرد فعلي'!$B$2:$B$12001,$B$2,'جرد فعلي'!$C$2:$C$12001,$A75,'جرد فعلي'!$A$2:$A$12001,'إعدادات المخزون'!$B$4),"")</f>
        <v/>
      </c>
      <c r="M75" s="110" t="str">
        <f aca="false">IF(K75="نعم",L75-J75,"")</f>
        <v/>
      </c>
      <c r="N75" s="112" t="str">
        <f aca="false">IF(K75="نعم",IF(J75=0,IF(M75=0,0,SIGN(M75)),M75/ABS(J75)),"")</f>
        <v/>
      </c>
      <c r="O75" s="109" t="str">
        <f aca="false">IF(K75="نعم",M75*C75,"")</f>
        <v/>
      </c>
      <c r="P75" s="36" t="str">
        <f aca="false">IF(K75&lt;&gt;"نعم","لم يُجرد",IF(ABS(N75)&lt;='إعدادات المخزون'!$B$7,"مطابق",IF(M75&lt;0,"عجز","زيادة")))</f>
        <v>لم يُجرد</v>
      </c>
      <c r="Q75" s="110" t="n">
        <f aca="false">J75-Z75</f>
        <v>3384.79185</v>
      </c>
      <c r="R75" s="110" t="str">
        <f aca="false">IF(COUNTIFS('جرد فعلي'!$B$2:$B$12001,$B$2,'جرد فعلي'!$C$2:$C$12001,$A75,'جرد فعلي'!$A$2:$A$12001,'إعدادات المخزون'!$B$4-1)&gt;0,SUMIFS('جرد فعلي'!$D$2:$D$12001,'جرد فعلي'!$B$2:$B$12001,$B$2,'جرد فعلي'!$C$2:$C$12001,$A75,'جرد فعلي'!$A$2:$A$12001,'إعدادات المخزون'!$B$4-1),"")</f>
        <v/>
      </c>
      <c r="S75" s="110" t="str">
        <f aca="false">IF(AND(K75="نعم",R75&lt;&gt;""),(L75-J75)-(R75-Q75),"")</f>
        <v/>
      </c>
      <c r="T75" s="109" t="str">
        <f aca="false">IF(S75="","",S75*C75)</f>
        <v/>
      </c>
      <c r="U75" s="110" t="n">
        <f aca="false">IF(K75="نعم",L75,J75)</f>
        <v>3241.5002</v>
      </c>
      <c r="V75" s="110" t="n">
        <f aca="false">SUMPRODUCT('مصفوفة الاستهلاك (عصافرة)'!$BR$2:$BR$190,'متجهات المبيعات'!$J$2:$J$190)/'مواد المخزون'!$D$70/MAX(1,MIN('إعدادات المخزون'!$B$11,'إعدادات المخزون'!$B$4-'إعدادات المخزون'!$B$5+1))</f>
        <v>143.29165</v>
      </c>
      <c r="W75" s="110" t="n">
        <f aca="false">IF(V75&lt;=0,0,ROUNDUP(MAX(0,V75*('إعدادات المخزون'!$B$8+'إعدادات المخزون'!$B$9+'إعدادات المخزون'!$B$10)-MAX(U75,0))/'مواد المخزون'!$F70,0)*'مواد المخزون'!$F70)</f>
        <v>0</v>
      </c>
      <c r="X75" s="109" t="n">
        <f aca="false">IF(AND(K75="نعم",O75&lt;0),-O75+ROW()*0.000000001,0)</f>
        <v>0</v>
      </c>
      <c r="Y75" s="109" t="n">
        <f aca="false">IF(AND(K75="نعم",O75&gt;0),O75+ROW()*0.000000001,0)</f>
        <v>0</v>
      </c>
      <c r="Z75" s="110" t="n">
        <f aca="false">SUMIFS('مشتريات يومية'!$D$2:$D$4001,'مشتريات يومية'!$B$2:$B$4001,$B$2,'مشتريات يومية'!$C$2:$C$4001,$A75,'مشتريات يومية'!$A$2:$A$4001,'إعدادات المخزون'!$B$4)+SUMIFS('هالك وتحويلات'!$E$2:$E$3001,'هالك وتحويلات'!$B$2:$B$3001,$B$2,'هالك وتحويلات'!$C$2:$C$3001,$A75,'هالك وتحويلات'!$D$2:$D$3001,"تحويل وارد",'هالك وتحويلات'!$A$2:$A$3001,'إعدادات المخزون'!$B$4)-SUMIFS('هالك وتحويلات'!$E$2:$E$3001,'هالك وتحويلات'!$B$2:$B$3001,$B$2,'هالك وتحويلات'!$C$2:$C$3001,$A75,'هالك وتحويلات'!$D$2:$D$3001,"تحويل صادر",'هالك وتحويلات'!$A$2:$A$3001,'إعدادات المخزون'!$B$4)-SUMIFS('هالك وتحويلات'!$E$2:$E$3001,'هالك وتحويلات'!$B$2:$B$3001,$B$2,'هالك وتحويلات'!$C$2:$C$3001,$A75,'هالك وتحويلات'!$D$2:$D$3001,"هالك",'هالك وتحويلات'!$A$2:$A$3001,'إعدادات المخزون'!$B$4)-SUMIFS('هالك وتحويلات'!$E$2:$E$3001,'هالك وتحويلات'!$B$2:$B$3001,$B$2,'هالك وتحويلات'!$C$2:$C$3001,$A75,'هالك وتحويلات'!$D$2:$D$3001,"ضيافة / أكل موظفين",'هالك وتحويلات'!$A$2:$A$3001,'إعدادات المخزون'!$B$4)-SUMPRODUCT('مصفوفة الاستهلاك (عصافرة)'!$BR$2:$BR$190,'متجهات المبيعات'!$H$2:$H$190)/'مواد المخزون'!$D$70</f>
        <v>-143.29165</v>
      </c>
      <c r="AA75" s="109" t="n">
        <f aca="false">IF(K75="نعم",O75,0)</f>
        <v>0</v>
      </c>
      <c r="AB75" s="109" t="n">
        <f aca="false">IF(K75="نعم",J75*C75,0)</f>
        <v>0</v>
      </c>
      <c r="AC75" s="109" t="n">
        <f aca="false">IF(T75="",0,T75)</f>
        <v>0</v>
      </c>
    </row>
    <row r="76" customFormat="false" ht="15" hidden="false" customHeight="false" outlineLevel="0" collapsed="false">
      <c r="A76" s="34" t="str">
        <f aca="false">'مواد المخزون'!A71</f>
        <v>كريز احمر</v>
      </c>
      <c r="B76" s="36" t="str">
        <f aca="false">'مواد المخزون'!B71</f>
        <v>كجم</v>
      </c>
      <c r="C76" s="109" t="n">
        <f aca="false">'مواد المخزون'!E71</f>
        <v>420</v>
      </c>
      <c r="D76" s="110" t="n">
        <f aca="false">'جرد أول المدة'!E74</f>
        <v>1.8</v>
      </c>
      <c r="E76" s="110" t="n">
        <f aca="false">SUMIFS('مشتريات يومية'!$D$2:$D$4001,'مشتريات يومية'!$B$2:$B$4001,$B$2,'مشتريات يومية'!$C$2:$C$4001,$A76,'مشتريات يومية'!$A$2:$A$4001,"&gt;="&amp;'إعدادات المخزون'!$B$5,'مشتريات يومية'!$A$2:$A$4001,"&lt;="&amp;'إعدادات المخزون'!$B$4)</f>
        <v>0</v>
      </c>
      <c r="F76" s="110" t="n">
        <f aca="false">SUMIFS('هالك وتحويلات'!$E$2:$E$3001,'هالك وتحويلات'!$B$2:$B$3001,$B$2,'هالك وتحويلات'!$C$2:$C$3001,$A76,'هالك وتحويلات'!$D$2:$D$3001,"تحويل وارد",'هالك وتحويلات'!$A$2:$A$3001,"&gt;="&amp;'إعدادات المخزون'!$B$5,'هالك وتحويلات'!$A$2:$A$3001,"&lt;="&amp;'إعدادات المخزون'!$B$4)</f>
        <v>0</v>
      </c>
      <c r="G76" s="110" t="n">
        <f aca="false">SUMIFS('هالك وتحويلات'!$E$2:$E$3001,'هالك وتحويلات'!$B$2:$B$3001,$B$2,'هالك وتحويلات'!$C$2:$C$3001,$A76,'هالك وتحويلات'!$D$2:$D$3001,"تحويل صادر",'هالك وتحويلات'!$A$2:$A$3001,"&gt;="&amp;'إعدادات المخزون'!$B$5,'هالك وتحويلات'!$A$2:$A$3001,"&lt;="&amp;'إعدادات المخزون'!$B$4)</f>
        <v>0</v>
      </c>
      <c r="H76" s="110" t="n">
        <f aca="false">SUMPRODUCT('مصفوفة الاستهلاك (عصافرة)'!$BS$2:$BS$190,'متجهات المبيعات'!$I$2:$I$190)/'مواد المخزون'!$D$71</f>
        <v>1.38</v>
      </c>
      <c r="I76" s="110" t="n">
        <f aca="false">SUMIFS('هالك وتحويلات'!$E$2:$E$3001,'هالك وتحويلات'!$B$2:$B$3001,$B$2,'هالك وتحويلات'!$C$2:$C$3001,$A76,'هالك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وتحويلات'!$C$2:$C$3001,$A76,'هالك وتحويلات'!$D$2:$D$3001,"ضيافة / أكل موظفين",'هالك وتحويلات'!$A$2:$A$3001,"&gt;="&amp;'إعدادات المخزون'!$B$5,'هالك وتحويلات'!$A$2:$A$3001,"&lt;="&amp;'إعدادات المخزون'!$B$4)</f>
        <v>0</v>
      </c>
      <c r="J76" s="110" t="n">
        <f aca="false">D76+E76+F76-G76-H76-I76</f>
        <v>0.42</v>
      </c>
      <c r="K76" s="36" t="str">
        <f aca="false">IF(COUNTIFS('جرد فعلي'!$B$2:$B$12001,$B$2,'جرد فعلي'!$C$2:$C$12001,$A76,'جرد فعلي'!$A$2:$A$12001,'إعدادات المخزون'!$B$4)&gt;0,"نعم","لا")</f>
        <v>لا</v>
      </c>
      <c r="L76" s="111" t="str">
        <f aca="false">IF(K76="نعم",SUMIFS('جرد فعلي'!$D$2:$D$12001,'جرد فعلي'!$B$2:$B$12001,$B$2,'جرد فعلي'!$C$2:$C$12001,$A76,'جرد فعلي'!$A$2:$A$12001,'إعدادات المخزون'!$B$4),"")</f>
        <v/>
      </c>
      <c r="M76" s="110" t="str">
        <f aca="false">IF(K76="نعم",L76-J76,"")</f>
        <v/>
      </c>
      <c r="N76" s="112" t="str">
        <f aca="false">IF(K76="نعم",IF(J76=0,IF(M76=0,0,SIGN(M76)),M76/ABS(J76)),"")</f>
        <v/>
      </c>
      <c r="O76" s="109" t="str">
        <f aca="false">IF(K76="نعم",M76*C76,"")</f>
        <v/>
      </c>
      <c r="P76" s="36" t="str">
        <f aca="false">IF(K76&lt;&gt;"نعم","لم يُجرد",IF(ABS(N76)&lt;='إعدادات المخزون'!$B$7,"مطابق",IF(M76&lt;0,"عجز","زيادة")))</f>
        <v>لم يُجرد</v>
      </c>
      <c r="Q76" s="110" t="n">
        <f aca="false">J76-Z76</f>
        <v>0.535</v>
      </c>
      <c r="R76" s="110" t="str">
        <f aca="false">IF(COUNTIFS('جرد فعلي'!$B$2:$B$12001,$B$2,'جرد فعلي'!$C$2:$C$12001,$A76,'جرد فعلي'!$A$2:$A$12001,'إعدادات المخزون'!$B$4-1)&gt;0,SUMIFS('جرد فعلي'!$D$2:$D$12001,'جرد فعلي'!$B$2:$B$12001,$B$2,'جرد فعلي'!$C$2:$C$12001,$A76,'جرد فعلي'!$A$2:$A$12001,'إعدادات المخزون'!$B$4-1),"")</f>
        <v/>
      </c>
      <c r="S76" s="110" t="str">
        <f aca="false">IF(AND(K76="نعم",R76&lt;&gt;""),(L76-J76)-(R76-Q76),"")</f>
        <v/>
      </c>
      <c r="T76" s="109" t="str">
        <f aca="false">IF(S76="","",S76*C76)</f>
        <v/>
      </c>
      <c r="U76" s="110" t="n">
        <f aca="false">IF(K76="نعم",L76,J76)</f>
        <v>0.42</v>
      </c>
      <c r="V76" s="110" t="n">
        <f aca="false">SUMPRODUCT('مصفوفة الاستهلاك (عصافرة)'!$BS$2:$BS$190,'متجهات المبيعات'!$J$2:$J$190)/'مواد المخزون'!$D$71/MAX(1,MIN('إعدادات المخزون'!$B$11,'إعدادات المخزون'!$B$4-'إعدادات المخزون'!$B$5+1))</f>
        <v>0.115</v>
      </c>
      <c r="W76" s="110" t="n">
        <f aca="false">IF(V76&lt;=0,0,ROUNDUP(MAX(0,V76*('إعدادات المخزون'!$B$8+'إعدادات المخزون'!$B$9+'إعدادات المخزون'!$B$10)-MAX(U76,0))/'مواد المخزون'!$F71,0)*'مواد المخزون'!$F71)</f>
        <v>1</v>
      </c>
      <c r="X76" s="109" t="n">
        <f aca="false">IF(AND(K76="نعم",O76&lt;0),-O76+ROW()*0.000000001,0)</f>
        <v>0</v>
      </c>
      <c r="Y76" s="109" t="n">
        <f aca="false">IF(AND(K76="نعم",O76&gt;0),O76+ROW()*0.000000001,0)</f>
        <v>0</v>
      </c>
      <c r="Z76" s="110" t="n">
        <f aca="false">SUMIFS('مشتريات يومية'!$D$2:$D$4001,'مشتريات يومية'!$B$2:$B$4001,$B$2,'مشتريات يومية'!$C$2:$C$4001,$A76,'مشتريات يومية'!$A$2:$A$4001,'إعدادات المخزون'!$B$4)+SUMIFS('هالك وتحويلات'!$E$2:$E$3001,'هالك وتحويلات'!$B$2:$B$3001,$B$2,'هالك وتحويلات'!$C$2:$C$3001,$A76,'هالك وتحويلات'!$D$2:$D$3001,"تحويل وارد",'هالك وتحويلات'!$A$2:$A$3001,'إعدادات المخزون'!$B$4)-SUMIFS('هالك وتحويلات'!$E$2:$E$3001,'هالك وتحويلات'!$B$2:$B$3001,$B$2,'هالك وتحويلات'!$C$2:$C$3001,$A76,'هالك وتحويلات'!$D$2:$D$3001,"تحويل صادر",'هالك وتحويلات'!$A$2:$A$3001,'إعدادات المخزون'!$B$4)-SUMIFS('هالك وتحويلات'!$E$2:$E$3001,'هالك وتحويلات'!$B$2:$B$3001,$B$2,'هالك وتحويلات'!$C$2:$C$3001,$A76,'هالك وتحويلات'!$D$2:$D$3001,"هالك",'هالك وتحويلات'!$A$2:$A$3001,'إعدادات المخزون'!$B$4)-SUMIFS('هالك وتحويلات'!$E$2:$E$3001,'هالك وتحويلات'!$B$2:$B$3001,$B$2,'هالك وتحويلات'!$C$2:$C$3001,$A76,'هالك وتحويلات'!$D$2:$D$3001,"ضيافة / أكل موظفين",'هالك وتحويلات'!$A$2:$A$3001,'إعدادات المخزون'!$B$4)-SUMPRODUCT('مصفوفة الاستهلاك (عصافرة)'!$BS$2:$BS$190,'متجهات المبيعات'!$H$2:$H$190)/'مواد المخزون'!$D$71</f>
        <v>-0.115</v>
      </c>
      <c r="AA76" s="109" t="n">
        <f aca="false">IF(K76="نعم",O76,0)</f>
        <v>0</v>
      </c>
      <c r="AB76" s="109" t="n">
        <f aca="false">IF(K76="نعم",J76*C76,0)</f>
        <v>0</v>
      </c>
      <c r="AC76" s="109" t="n">
        <f aca="false">IF(T76="",0,T76)</f>
        <v>0</v>
      </c>
    </row>
    <row r="77" customFormat="false" ht="15" hidden="false" customHeight="false" outlineLevel="0" collapsed="false">
      <c r="A77" s="34" t="str">
        <f aca="false">'مواد المخزون'!A72</f>
        <v>كفرات كريب</v>
      </c>
      <c r="B77" s="36" t="str">
        <f aca="false">'مواد المخزون'!B72</f>
        <v>قطعة</v>
      </c>
      <c r="C77" s="109" t="n">
        <f aca="false">'مواد المخزون'!E72</f>
        <v>2</v>
      </c>
      <c r="D77" s="110" t="n">
        <f aca="false">'جرد أول المدة'!E75</f>
        <v>74</v>
      </c>
      <c r="E77" s="110" t="n">
        <f aca="false">SUMIFS('مشتريات يومية'!$D$2:$D$4001,'مشتريات يومية'!$B$2:$B$4001,$B$2,'مشتريات يومية'!$C$2:$C$4001,$A77,'مشتريات يومية'!$A$2:$A$4001,"&gt;="&amp;'إعدادات المخزون'!$B$5,'مشتريات يومية'!$A$2:$A$4001,"&lt;="&amp;'إعدادات المخزون'!$B$4)</f>
        <v>400</v>
      </c>
      <c r="F77" s="110" t="n">
        <f aca="false">SUMIFS('هالك وتحويلات'!$E$2:$E$3001,'هالك وتحويلات'!$B$2:$B$3001,$B$2,'هالك وتحويلات'!$C$2:$C$3001,$A77,'هالك وتحويلات'!$D$2:$D$3001,"تحويل وارد",'هالك وتحويلات'!$A$2:$A$3001,"&gt;="&amp;'إعدادات المخزون'!$B$5,'هالك وتحويلات'!$A$2:$A$3001,"&lt;="&amp;'إعدادات المخزون'!$B$4)</f>
        <v>0</v>
      </c>
      <c r="G77" s="110" t="n">
        <f aca="false">SUMIFS('هالك وتحويلات'!$E$2:$E$3001,'هالك وتحويلات'!$B$2:$B$3001,$B$2,'هالك وتحويلات'!$C$2:$C$3001,$A77,'هالك وتحويلات'!$D$2:$D$3001,"تحويل صادر",'هالك وتحويلات'!$A$2:$A$3001,"&gt;="&amp;'إعدادات المخزون'!$B$5,'هالك وتحويلات'!$A$2:$A$3001,"&lt;="&amp;'إعدادات المخزون'!$B$4)</f>
        <v>0</v>
      </c>
      <c r="H77" s="110" t="n">
        <f aca="false">SUMPRODUCT('مصفوفة الاستهلاك (عصافرة)'!$BT$2:$BT$190,'متجهات المبيعات'!$I$2:$I$190)/'مواد المخزون'!$D$72</f>
        <v>95.0004</v>
      </c>
      <c r="I77" s="110" t="n">
        <f aca="false">SUMIFS('هالك وتحويلات'!$E$2:$E$3001,'هالك وتحويلات'!$B$2:$B$3001,$B$2,'هالك وتحويلات'!$C$2:$C$3001,$A77,'هالك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وتحويلات'!$C$2:$C$3001,$A77,'هالك وتحويلات'!$D$2:$D$3001,"ضيافة / أكل موظفين",'هالك وتحويلات'!$A$2:$A$3001,"&gt;="&amp;'إعدادات المخزون'!$B$5,'هالك وتحويلات'!$A$2:$A$3001,"&lt;="&amp;'إعدادات المخزون'!$B$4)</f>
        <v>0</v>
      </c>
      <c r="J77" s="110" t="n">
        <f aca="false">D77+E77+F77-G77-H77-I77</f>
        <v>378.9996</v>
      </c>
      <c r="K77" s="36" t="str">
        <f aca="false">IF(COUNTIFS('جرد فعلي'!$B$2:$B$12001,$B$2,'جرد فعلي'!$C$2:$C$12001,$A77,'جرد فعلي'!$A$2:$A$12001,'إعدادات المخزون'!$B$4)&gt;0,"نعم","لا")</f>
        <v>لا</v>
      </c>
      <c r="L77" s="111" t="str">
        <f aca="false">IF(K77="نعم",SUMIFS('جرد فعلي'!$D$2:$D$12001,'جرد فعلي'!$B$2:$B$12001,$B$2,'جرد فعلي'!$C$2:$C$12001,$A77,'جرد فعلي'!$A$2:$A$12001,'إعدادات المخزون'!$B$4),"")</f>
        <v/>
      </c>
      <c r="M77" s="110" t="str">
        <f aca="false">IF(K77="نعم",L77-J77,"")</f>
        <v/>
      </c>
      <c r="N77" s="112" t="str">
        <f aca="false">IF(K77="نعم",IF(J77=0,IF(M77=0,0,SIGN(M77)),M77/ABS(J77)),"")</f>
        <v/>
      </c>
      <c r="O77" s="109" t="str">
        <f aca="false">IF(K77="نعم",M77*C77,"")</f>
        <v/>
      </c>
      <c r="P77" s="36" t="str">
        <f aca="false">IF(K77&lt;&gt;"نعم","لم يُجرد",IF(ABS(N77)&lt;='إعدادات المخزون'!$B$7,"مطابق",IF(M77&lt;0,"عجز","زيادة")))</f>
        <v>لم يُجرد</v>
      </c>
      <c r="Q77" s="110" t="n">
        <f aca="false">J77-Z77</f>
        <v>386.9163</v>
      </c>
      <c r="R77" s="110" t="str">
        <f aca="false">IF(COUNTIFS('جرد فعلي'!$B$2:$B$12001,$B$2,'جرد فعلي'!$C$2:$C$12001,$A77,'جرد فعلي'!$A$2:$A$12001,'إعدادات المخزون'!$B$4-1)&gt;0,SUMIFS('جرد فعلي'!$D$2:$D$12001,'جرد فعلي'!$B$2:$B$12001,$B$2,'جرد فعلي'!$C$2:$C$12001,$A77,'جرد فعلي'!$A$2:$A$12001,'إعدادات المخزون'!$B$4-1),"")</f>
        <v/>
      </c>
      <c r="S77" s="110" t="str">
        <f aca="false">IF(AND(K77="نعم",R77&lt;&gt;""),(L77-J77)-(R77-Q77),"")</f>
        <v/>
      </c>
      <c r="T77" s="109" t="str">
        <f aca="false">IF(S77="","",S77*C77)</f>
        <v/>
      </c>
      <c r="U77" s="110" t="n">
        <f aca="false">IF(K77="نعم",L77,J77)</f>
        <v>378.9996</v>
      </c>
      <c r="V77" s="110" t="n">
        <f aca="false">SUMPRODUCT('مصفوفة الاستهلاك (عصافرة)'!$BT$2:$BT$190,'متجهات المبيعات'!$J$2:$J$190)/'مواد المخزون'!$D$72/MAX(1,MIN('إعدادات المخزون'!$B$11,'إعدادات المخزون'!$B$4-'إعدادات المخزون'!$B$5+1))</f>
        <v>7.9167</v>
      </c>
      <c r="W77" s="110" t="n">
        <f aca="false">IF(V77&lt;=0,0,ROUNDUP(MAX(0,V77*('إعدادات المخزون'!$B$8+'إعدادات المخزون'!$B$9+'إعدادات المخزون'!$B$10)-MAX(U77,0))/'مواد المخزون'!$F72,0)*'مواد المخزون'!$F72)</f>
        <v>0</v>
      </c>
      <c r="X77" s="109" t="n">
        <f aca="false">IF(AND(K77="نعم",O77&lt;0),-O77+ROW()*0.000000001,0)</f>
        <v>0</v>
      </c>
      <c r="Y77" s="109" t="n">
        <f aca="false">IF(AND(K77="نعم",O77&gt;0),O77+ROW()*0.000000001,0)</f>
        <v>0</v>
      </c>
      <c r="Z77" s="110" t="n">
        <f aca="false">SUMIFS('مشتريات يومية'!$D$2:$D$4001,'مشتريات يومية'!$B$2:$B$4001,$B$2,'مشتريات يومية'!$C$2:$C$4001,$A77,'مشتريات يومية'!$A$2:$A$4001,'إعدادات المخزون'!$B$4)+SUMIFS('هالك وتحويلات'!$E$2:$E$3001,'هالك وتحويلات'!$B$2:$B$3001,$B$2,'هالك وتحويلات'!$C$2:$C$3001,$A77,'هالك وتحويلات'!$D$2:$D$3001,"تحويل وارد",'هالك وتحويلات'!$A$2:$A$3001,'إعدادات المخزون'!$B$4)-SUMIFS('هالك وتحويلات'!$E$2:$E$3001,'هالك وتحويلات'!$B$2:$B$3001,$B$2,'هالك وتحويلات'!$C$2:$C$3001,$A77,'هالك وتحويلات'!$D$2:$D$3001,"تحويل صادر",'هالك وتحويلات'!$A$2:$A$3001,'إعدادات المخزون'!$B$4)-SUMIFS('هالك وتحويلات'!$E$2:$E$3001,'هالك وتحويلات'!$B$2:$B$3001,$B$2,'هالك وتحويلات'!$C$2:$C$3001,$A77,'هالك وتحويلات'!$D$2:$D$3001,"هالك",'هالك وتحويلات'!$A$2:$A$3001,'إعدادات المخزون'!$B$4)-SUMIFS('هالك وتحويلات'!$E$2:$E$3001,'هالك وتحويلات'!$B$2:$B$3001,$B$2,'هالك وتحويلات'!$C$2:$C$3001,$A77,'هالك وتحويلات'!$D$2:$D$3001,"ضيافة / أكل موظفين",'هالك وتحويلات'!$A$2:$A$3001,'إعدادات المخزون'!$B$4)-SUMPRODUCT('مصفوفة الاستهلاك (عصافرة)'!$BT$2:$BT$190,'متجهات المبيعات'!$H$2:$H$190)/'مواد المخزون'!$D$72</f>
        <v>-7.9167</v>
      </c>
      <c r="AA77" s="109" t="n">
        <f aca="false">IF(K77="نعم",O77,0)</f>
        <v>0</v>
      </c>
      <c r="AB77" s="109" t="n">
        <f aca="false">IF(K77="نعم",J77*C77,0)</f>
        <v>0</v>
      </c>
      <c r="AC77" s="109" t="n">
        <f aca="false">IF(T77="",0,T77)</f>
        <v>0</v>
      </c>
    </row>
    <row r="78" customFormat="false" ht="15" hidden="false" customHeight="false" outlineLevel="0" collapsed="false">
      <c r="A78" s="34" t="str">
        <f aca="false">'مواد المخزون'!A73</f>
        <v>لبن</v>
      </c>
      <c r="B78" s="36" t="str">
        <f aca="false">'مواد المخزون'!B73</f>
        <v>لتر</v>
      </c>
      <c r="C78" s="109" t="n">
        <f aca="false">'مواد المخزون'!E73</f>
        <v>20.6667</v>
      </c>
      <c r="D78" s="110" t="n">
        <f aca="false">'جرد أول المدة'!E76</f>
        <v>9.068</v>
      </c>
      <c r="E78" s="110" t="n">
        <f aca="false">SUMIFS('مشتريات يومية'!$D$2:$D$4001,'مشتريات يومية'!$B$2:$B$4001,$B$2,'مشتريات يومية'!$C$2:$C$4001,$A78,'مشتريات يومية'!$A$2:$A$4001,"&gt;="&amp;'إعدادات المخزون'!$B$5,'مشتريات يومية'!$A$2:$A$4001,"&lt;="&amp;'إعدادات المخزون'!$B$4)</f>
        <v>100</v>
      </c>
      <c r="F78" s="110" t="n">
        <f aca="false">SUMIFS('هالك وتحويلات'!$E$2:$E$3001,'هالك وتحويلات'!$B$2:$B$3001,$B$2,'هالك وتحويلات'!$C$2:$C$3001,$A78,'هالك وتحويلات'!$D$2:$D$3001,"تحويل وارد",'هالك وتحويلات'!$A$2:$A$3001,"&gt;="&amp;'إعدادات المخزون'!$B$5,'هالك وتحويلات'!$A$2:$A$3001,"&lt;="&amp;'إعدادات المخزون'!$B$4)</f>
        <v>0</v>
      </c>
      <c r="G78" s="110" t="n">
        <f aca="false">SUMIFS('هالك وتحويلات'!$E$2:$E$3001,'هالك وتحويلات'!$B$2:$B$3001,$B$2,'هالك وتحويلات'!$C$2:$C$3001,$A78,'هالك وتحويلات'!$D$2:$D$3001,"تحويل صادر",'هالك وتحويلات'!$A$2:$A$3001,"&gt;="&amp;'إعدادات المخزون'!$B$5,'هالك وتحويلات'!$A$2:$A$3001,"&lt;="&amp;'إعدادات المخزون'!$B$4)</f>
        <v>0</v>
      </c>
      <c r="H78" s="110" t="n">
        <f aca="false">SUMPRODUCT('مصفوفة الاستهلاك (عصافرة)'!$BU$2:$BU$190,'متجهات المبيعات'!$I$2:$I$190)/'مواد المخزون'!$D$73</f>
        <v>131.696705999683</v>
      </c>
      <c r="I78" s="110" t="n">
        <f aca="false">SUMIFS('هالك وتحويلات'!$E$2:$E$3001,'هالك وتحويلات'!$B$2:$B$3001,$B$2,'هالك وتحويلات'!$C$2:$C$3001,$A78,'هالك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وتحويلات'!$C$2:$C$3001,$A78,'هالك وتحويلات'!$D$2:$D$3001,"ضيافة / أكل موظفين",'هالك وتحويلات'!$A$2:$A$3001,"&gt;="&amp;'إعدادات المخزون'!$B$5,'هالك وتحويلات'!$A$2:$A$3001,"&lt;="&amp;'إعدادات المخزون'!$B$4)</f>
        <v>0</v>
      </c>
      <c r="J78" s="110" t="n">
        <f aca="false">D78+E78+F78-G78-H78-I78</f>
        <v>-22.6287059996833</v>
      </c>
      <c r="K78" s="36" t="str">
        <f aca="false">IF(COUNTIFS('جرد فعلي'!$B$2:$B$12001,$B$2,'جرد فعلي'!$C$2:$C$12001,$A78,'جرد فعلي'!$A$2:$A$12001,'إعدادات المخزون'!$B$4)&gt;0,"نعم","لا")</f>
        <v>لا</v>
      </c>
      <c r="L78" s="111" t="str">
        <f aca="false">IF(K78="نعم",SUMIFS('جرد فعلي'!$D$2:$D$12001,'جرد فعلي'!$B$2:$B$12001,$B$2,'جرد فعلي'!$C$2:$C$12001,$A78,'جرد فعلي'!$A$2:$A$12001,'إعدادات المخزون'!$B$4),"")</f>
        <v/>
      </c>
      <c r="M78" s="110" t="str">
        <f aca="false">IF(K78="نعم",L78-J78,"")</f>
        <v/>
      </c>
      <c r="N78" s="112" t="str">
        <f aca="false">IF(K78="نعم",IF(J78=0,IF(M78=0,0,SIGN(M78)),M78/ABS(J78)),"")</f>
        <v/>
      </c>
      <c r="O78" s="109" t="str">
        <f aca="false">IF(K78="نعم",M78*C78,"")</f>
        <v/>
      </c>
      <c r="P78" s="36" t="str">
        <f aca="false">IF(K78&lt;&gt;"نعم","لم يُجرد",IF(ABS(N78)&lt;='إعدادات المخزون'!$B$7,"مطابق",IF(M78&lt;0,"عجز","زيادة")))</f>
        <v>لم يُجرد</v>
      </c>
      <c r="Q78" s="110" t="n">
        <f aca="false">J78-Z78</f>
        <v>-11.6539804997097</v>
      </c>
      <c r="R78" s="110" t="str">
        <f aca="false">IF(COUNTIFS('جرد فعلي'!$B$2:$B$12001,$B$2,'جرد فعلي'!$C$2:$C$12001,$A78,'جرد فعلي'!$A$2:$A$12001,'إعدادات المخزون'!$B$4-1)&gt;0,SUMIFS('جرد فعلي'!$D$2:$D$12001,'جرد فعلي'!$B$2:$B$12001,$B$2,'جرد فعلي'!$C$2:$C$12001,$A78,'جرد فعلي'!$A$2:$A$12001,'إعدادات المخزون'!$B$4-1),"")</f>
        <v/>
      </c>
      <c r="S78" s="110" t="str">
        <f aca="false">IF(AND(K78="نعم",R78&lt;&gt;""),(L78-J78)-(R78-Q78),"")</f>
        <v/>
      </c>
      <c r="T78" s="109" t="str">
        <f aca="false">IF(S78="","",S78*C78)</f>
        <v/>
      </c>
      <c r="U78" s="110" t="n">
        <f aca="false">IF(K78="نعم",L78,J78)</f>
        <v>-22.6287059996833</v>
      </c>
      <c r="V78" s="110" t="n">
        <f aca="false">SUMPRODUCT('مصفوفة الاستهلاك (عصافرة)'!$BU$2:$BU$190,'متجهات المبيعات'!$J$2:$J$190)/'مواد المخزون'!$D$73/MAX(1,MIN('إعدادات المخزون'!$B$11,'إعدادات المخزون'!$B$4-'إعدادات المخزون'!$B$5+1))</f>
        <v>10.9747254999736</v>
      </c>
      <c r="W78" s="110" t="n">
        <f aca="false">IF(V78&lt;=0,0,ROUNDUP(MAX(0,V78*('إعدادات المخزون'!$B$8+'إعدادات المخزون'!$B$9+'إعدادات المخزون'!$B$10)-MAX(U78,0))/'مواد المخزون'!$F73,0)*'مواد المخزون'!$F73)</f>
        <v>44</v>
      </c>
      <c r="X78" s="109" t="n">
        <f aca="false">IF(AND(K78="نعم",O78&lt;0),-O78+ROW()*0.000000001,0)</f>
        <v>0</v>
      </c>
      <c r="Y78" s="109" t="n">
        <f aca="false">IF(AND(K78="نعم",O78&gt;0),O78+ROW()*0.000000001,0)</f>
        <v>0</v>
      </c>
      <c r="Z78" s="110" t="n">
        <f aca="false">SUMIFS('مشتريات يومية'!$D$2:$D$4001,'مشتريات يومية'!$B$2:$B$4001,$B$2,'مشتريات يومية'!$C$2:$C$4001,$A78,'مشتريات يومية'!$A$2:$A$4001,'إعدادات المخزون'!$B$4)+SUMIFS('هالك وتحويلات'!$E$2:$E$3001,'هالك وتحويلات'!$B$2:$B$3001,$B$2,'هالك وتحويلات'!$C$2:$C$3001,$A78,'هالك وتحويلات'!$D$2:$D$3001,"تحويل وارد",'هالك وتحويلات'!$A$2:$A$3001,'إعدادات المخزون'!$B$4)-SUMIFS('هالك وتحويلات'!$E$2:$E$3001,'هالك وتحويلات'!$B$2:$B$3001,$B$2,'هالك وتحويلات'!$C$2:$C$3001,$A78,'هالك وتحويلات'!$D$2:$D$3001,"تحويل صادر",'هالك وتحويلات'!$A$2:$A$3001,'إعدادات المخزون'!$B$4)-SUMIFS('هالك وتحويلات'!$E$2:$E$3001,'هالك وتحويلات'!$B$2:$B$3001,$B$2,'هالك وتحويلات'!$C$2:$C$3001,$A78,'هالك وتحويلات'!$D$2:$D$3001,"هالك",'هالك وتحويلات'!$A$2:$A$3001,'إعدادات المخزون'!$B$4)-SUMIFS('هالك وتحويلات'!$E$2:$E$3001,'هالك وتحويلات'!$B$2:$B$3001,$B$2,'هالك وتحويلات'!$C$2:$C$3001,$A78,'هالك وتحويلات'!$D$2:$D$3001,"ضيافة / أكل موظفين",'هالك وتحويلات'!$A$2:$A$3001,'إعدادات المخزون'!$B$4)-SUMPRODUCT('مصفوفة الاستهلاك (عصافرة)'!$BU$2:$BU$190,'متجهات المبيعات'!$H$2:$H$190)/'مواد المخزون'!$D$73</f>
        <v>-10.9747254999736</v>
      </c>
      <c r="AA78" s="109" t="n">
        <f aca="false">IF(K78="نعم",O78,0)</f>
        <v>0</v>
      </c>
      <c r="AB78" s="109" t="n">
        <f aca="false">IF(K78="نعم",J78*C78,0)</f>
        <v>0</v>
      </c>
      <c r="AC78" s="109" t="n">
        <f aca="false">IF(T78="",0,T78)</f>
        <v>0</v>
      </c>
    </row>
    <row r="79" customFormat="false" ht="15" hidden="false" customHeight="false" outlineLevel="0" collapsed="false">
      <c r="A79" s="34" t="str">
        <f aca="false">'مواد المخزون'!A74</f>
        <v>لعبة اطفال</v>
      </c>
      <c r="B79" s="36" t="str">
        <f aca="false">'مواد المخزون'!B74</f>
        <v>قطعة</v>
      </c>
      <c r="C79" s="109" t="n">
        <f aca="false">'مواد المخزون'!E74</f>
        <v>6</v>
      </c>
      <c r="D79" s="110" t="n">
        <f aca="false">'جرد أول المدة'!E77</f>
        <v>7</v>
      </c>
      <c r="E79" s="110" t="n">
        <f aca="false">SUMIFS('مشتريات يومية'!$D$2:$D$4001,'مشتريات يومية'!$B$2:$B$4001,$B$2,'مشتريات يومية'!$C$2:$C$4001,$A79,'مشتريات يومية'!$A$2:$A$4001,"&gt;="&amp;'إعدادات المخزون'!$B$5,'مشتريات يومية'!$A$2:$A$4001,"&lt;="&amp;'إعدادات المخزون'!$B$4)</f>
        <v>0</v>
      </c>
      <c r="F79" s="110" t="n">
        <f aca="false">SUMIFS('هالك وتحويلات'!$E$2:$E$3001,'هالك وتحويلات'!$B$2:$B$3001,$B$2,'هالك وتحويلات'!$C$2:$C$3001,$A79,'هالك وتحويلات'!$D$2:$D$3001,"تحويل وارد",'هالك وتحويلات'!$A$2:$A$3001,"&gt;="&amp;'إعدادات المخزون'!$B$5,'هالك وتحويلات'!$A$2:$A$3001,"&lt;="&amp;'إعدادات المخزون'!$B$4)</f>
        <v>0</v>
      </c>
      <c r="G79" s="110" t="n">
        <f aca="false">SUMIFS('هالك وتحويلات'!$E$2:$E$3001,'هالك وتحويلات'!$B$2:$B$3001,$B$2,'هالك وتحويلات'!$C$2:$C$3001,$A79,'هالك وتحويلات'!$D$2:$D$3001,"تحويل صادر",'هالك وتحويلات'!$A$2:$A$3001,"&gt;="&amp;'إعدادات المخزون'!$B$5,'هالك وتحويلات'!$A$2:$A$3001,"&lt;="&amp;'إعدادات المخزون'!$B$4)</f>
        <v>0</v>
      </c>
      <c r="H79" s="110" t="n">
        <f aca="false">SUMPRODUCT('مصفوفة الاستهلاك (عصافرة)'!$BV$2:$BV$190,'متجهات المبيعات'!$I$2:$I$190)/'مواد المخزون'!$D$74</f>
        <v>3.9984</v>
      </c>
      <c r="I79" s="110" t="n">
        <f aca="false">SUMIFS('هالك وتحويلات'!$E$2:$E$3001,'هالك وتحويلات'!$B$2:$B$3001,$B$2,'هالك وتحويلات'!$C$2:$C$3001,$A79,'هالك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وتحويلات'!$C$2:$C$3001,$A79,'هالك وتحويلات'!$D$2:$D$3001,"ضيافة / أكل موظفين",'هالك وتحويلات'!$A$2:$A$3001,"&gt;="&amp;'إعدادات المخزون'!$B$5,'هالك وتحويلات'!$A$2:$A$3001,"&lt;="&amp;'إعدادات المخزون'!$B$4)</f>
        <v>0</v>
      </c>
      <c r="J79" s="110" t="n">
        <f aca="false">D79+E79+F79-G79-H79-I79</f>
        <v>3.0016</v>
      </c>
      <c r="K79" s="36" t="str">
        <f aca="false">IF(COUNTIFS('جرد فعلي'!$B$2:$B$12001,$B$2,'جرد فعلي'!$C$2:$C$12001,$A79,'جرد فعلي'!$A$2:$A$12001,'إعدادات المخزون'!$B$4)&gt;0,"نعم","لا")</f>
        <v>لا</v>
      </c>
      <c r="L79" s="111" t="str">
        <f aca="false">IF(K79="نعم",SUMIFS('جرد فعلي'!$D$2:$D$12001,'جرد فعلي'!$B$2:$B$12001,$B$2,'جرد فعلي'!$C$2:$C$12001,$A79,'جرد فعلي'!$A$2:$A$12001,'إعدادات المخزون'!$B$4),"")</f>
        <v/>
      </c>
      <c r="M79" s="110" t="str">
        <f aca="false">IF(K79="نعم",L79-J79,"")</f>
        <v/>
      </c>
      <c r="N79" s="112" t="str">
        <f aca="false">IF(K79="نعم",IF(J79=0,IF(M79=0,0,SIGN(M79)),M79/ABS(J79)),"")</f>
        <v/>
      </c>
      <c r="O79" s="109" t="str">
        <f aca="false">IF(K79="نعم",M79*C79,"")</f>
        <v/>
      </c>
      <c r="P79" s="36" t="str">
        <f aca="false">IF(K79&lt;&gt;"نعم","لم يُجرد",IF(ABS(N79)&lt;='إعدادات المخزون'!$B$7,"مطابق",IF(M79&lt;0,"عجز","زيادة")))</f>
        <v>لم يُجرد</v>
      </c>
      <c r="Q79" s="110" t="n">
        <f aca="false">J79-Z79</f>
        <v>3.3348</v>
      </c>
      <c r="R79" s="110" t="str">
        <f aca="false">IF(COUNTIFS('جرد فعلي'!$B$2:$B$12001,$B$2,'جرد فعلي'!$C$2:$C$12001,$A79,'جرد فعلي'!$A$2:$A$12001,'إعدادات المخزون'!$B$4-1)&gt;0,SUMIFS('جرد فعلي'!$D$2:$D$12001,'جرد فعلي'!$B$2:$B$12001,$B$2,'جرد فعلي'!$C$2:$C$12001,$A79,'جرد فعلي'!$A$2:$A$12001,'إعدادات المخزون'!$B$4-1),"")</f>
        <v/>
      </c>
      <c r="S79" s="110" t="str">
        <f aca="false">IF(AND(K79="نعم",R79&lt;&gt;""),(L79-J79)-(R79-Q79),"")</f>
        <v/>
      </c>
      <c r="T79" s="109" t="str">
        <f aca="false">IF(S79="","",S79*C79)</f>
        <v/>
      </c>
      <c r="U79" s="110" t="n">
        <f aca="false">IF(K79="نعم",L79,J79)</f>
        <v>3.0016</v>
      </c>
      <c r="V79" s="110" t="n">
        <f aca="false">SUMPRODUCT('مصفوفة الاستهلاك (عصافرة)'!$BV$2:$BV$190,'متجهات المبيعات'!$J$2:$J$190)/'مواد المخزون'!$D$74/MAX(1,MIN('إعدادات المخزون'!$B$11,'إعدادات المخزون'!$B$4-'إعدادات المخزون'!$B$5+1))</f>
        <v>0.3332</v>
      </c>
      <c r="W79" s="110" t="n">
        <f aca="false">IF(V79&lt;=0,0,ROUNDUP(MAX(0,V79*('إعدادات المخزون'!$B$8+'إعدادات المخزون'!$B$9+'إعدادات المخزون'!$B$10)-MAX(U79,0))/'مواد المخزون'!$F74,0)*'مواد المخزون'!$F74)</f>
        <v>0</v>
      </c>
      <c r="X79" s="109" t="n">
        <f aca="false">IF(AND(K79="نعم",O79&lt;0),-O79+ROW()*0.000000001,0)</f>
        <v>0</v>
      </c>
      <c r="Y79" s="109" t="n">
        <f aca="false">IF(AND(K79="نعم",O79&gt;0),O79+ROW()*0.000000001,0)</f>
        <v>0</v>
      </c>
      <c r="Z79" s="110" t="n">
        <f aca="false">SUMIFS('مشتريات يومية'!$D$2:$D$4001,'مشتريات يومية'!$B$2:$B$4001,$B$2,'مشتريات يومية'!$C$2:$C$4001,$A79,'مشتريات يومية'!$A$2:$A$4001,'إعدادات المخزون'!$B$4)+SUMIFS('هالك وتحويلات'!$E$2:$E$3001,'هالك وتحويلات'!$B$2:$B$3001,$B$2,'هالك وتحويلات'!$C$2:$C$3001,$A79,'هالك وتحويلات'!$D$2:$D$3001,"تحويل وارد",'هالك وتحويلات'!$A$2:$A$3001,'إعدادات المخزون'!$B$4)-SUMIFS('هالك وتحويلات'!$E$2:$E$3001,'هالك وتحويلات'!$B$2:$B$3001,$B$2,'هالك وتحويلات'!$C$2:$C$3001,$A79,'هالك وتحويلات'!$D$2:$D$3001,"تحويل صادر",'هالك وتحويلات'!$A$2:$A$3001,'إعدادات المخزون'!$B$4)-SUMIFS('هالك وتحويلات'!$E$2:$E$3001,'هالك وتحويلات'!$B$2:$B$3001,$B$2,'هالك وتحويلات'!$C$2:$C$3001,$A79,'هالك وتحويلات'!$D$2:$D$3001,"هالك",'هالك وتحويلات'!$A$2:$A$3001,'إعدادات المخزون'!$B$4)-SUMIFS('هالك وتحويلات'!$E$2:$E$3001,'هالك وتحويلات'!$B$2:$B$3001,$B$2,'هالك وتحويلات'!$C$2:$C$3001,$A79,'هالك وتحويلات'!$D$2:$D$3001,"ضيافة / أكل موظفين",'هالك وتحويلات'!$A$2:$A$3001,'إعدادات المخزون'!$B$4)-SUMPRODUCT('مصفوفة الاستهلاك (عصافرة)'!$BV$2:$BV$190,'متجهات المبيعات'!$H$2:$H$190)/'مواد المخزون'!$D$74</f>
        <v>-0.3332</v>
      </c>
      <c r="AA79" s="109" t="n">
        <f aca="false">IF(K79="نعم",O79,0)</f>
        <v>0</v>
      </c>
      <c r="AB79" s="109" t="n">
        <f aca="false">IF(K79="نعم",J79*C79,0)</f>
        <v>0</v>
      </c>
      <c r="AC79" s="109" t="n">
        <f aca="false">IF(T79="",0,T79)</f>
        <v>0</v>
      </c>
    </row>
    <row r="80" customFormat="false" ht="15" hidden="false" customHeight="false" outlineLevel="0" collapsed="false">
      <c r="A80" s="34" t="str">
        <f aca="false">'مواد المخزون'!A75</f>
        <v>للوتس سبريد</v>
      </c>
      <c r="B80" s="36" t="str">
        <f aca="false">'مواد المخزون'!B75</f>
        <v>كجم</v>
      </c>
      <c r="C80" s="109" t="n">
        <f aca="false">'مواد المخزون'!E75</f>
        <v>135</v>
      </c>
      <c r="D80" s="110" t="n">
        <f aca="false">'جرد أول المدة'!E78</f>
        <v>0.975</v>
      </c>
      <c r="E80" s="110" t="n">
        <f aca="false">SUMIFS('مشتريات يومية'!$D$2:$D$4001,'مشتريات يومية'!$B$2:$B$4001,$B$2,'مشتريات يومية'!$C$2:$C$4001,$A80,'مشتريات يومية'!$A$2:$A$4001,"&gt;="&amp;'إعدادات المخزون'!$B$5,'مشتريات يومية'!$A$2:$A$4001,"&lt;="&amp;'إعدادات المخزون'!$B$4)</f>
        <v>1</v>
      </c>
      <c r="F80" s="110" t="n">
        <f aca="false">SUMIFS('هالك وتحويلات'!$E$2:$E$3001,'هالك وتحويلات'!$B$2:$B$3001,$B$2,'هالك وتحويلات'!$C$2:$C$3001,$A80,'هالك وتحويلات'!$D$2:$D$3001,"تحويل وارد",'هالك وتحويلات'!$A$2:$A$3001,"&gt;="&amp;'إعدادات المخزون'!$B$5,'هالك وتحويلات'!$A$2:$A$3001,"&lt;="&amp;'إعدادات المخزون'!$B$4)</f>
        <v>0</v>
      </c>
      <c r="G80" s="110" t="n">
        <f aca="false">SUMIFS('هالك وتحويلات'!$E$2:$E$3001,'هالك وتحويلات'!$B$2:$B$3001,$B$2,'هالك وتحويلات'!$C$2:$C$3001,$A80,'هالك وتحويلات'!$D$2:$D$3001,"تحويل صادر",'هالك وتحويلات'!$A$2:$A$3001,"&gt;="&amp;'إعدادات المخزون'!$B$5,'هالك وتحويلات'!$A$2:$A$3001,"&lt;="&amp;'إعدادات المخزون'!$B$4)</f>
        <v>0</v>
      </c>
      <c r="H80" s="110" t="n">
        <f aca="false">SUMPRODUCT('مصفوفة الاستهلاك (عصافرة)'!$BW$2:$BW$190,'متجهات المبيعات'!$I$2:$I$190)/'مواد المخزون'!$D$75</f>
        <v>0.85002</v>
      </c>
      <c r="I80" s="110" t="n">
        <f aca="false">SUMIFS('هالك وتحويلات'!$E$2:$E$3001,'هالك وتحويلات'!$B$2:$B$3001,$B$2,'هالك وتحويلات'!$C$2:$C$3001,$A80,'هالك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وتحويلات'!$C$2:$C$3001,$A80,'هالك وتحويلات'!$D$2:$D$3001,"ضيافة / أكل موظفين",'هالك وتحويلات'!$A$2:$A$3001,"&gt;="&amp;'إعدادات المخزون'!$B$5,'هالك وتحويلات'!$A$2:$A$3001,"&lt;="&amp;'إعدادات المخزون'!$B$4)</f>
        <v>0</v>
      </c>
      <c r="J80" s="110" t="n">
        <f aca="false">D80+E80+F80-G80-H80-I80</f>
        <v>1.12498</v>
      </c>
      <c r="K80" s="36" t="str">
        <f aca="false">IF(COUNTIFS('جرد فعلي'!$B$2:$B$12001,$B$2,'جرد فعلي'!$C$2:$C$12001,$A80,'جرد فعلي'!$A$2:$A$12001,'إعدادات المخزون'!$B$4)&gt;0,"نعم","لا")</f>
        <v>لا</v>
      </c>
      <c r="L80" s="111" t="str">
        <f aca="false">IF(K80="نعم",SUMIFS('جرد فعلي'!$D$2:$D$12001,'جرد فعلي'!$B$2:$B$12001,$B$2,'جرد فعلي'!$C$2:$C$12001,$A80,'جرد فعلي'!$A$2:$A$12001,'إعدادات المخزون'!$B$4),"")</f>
        <v/>
      </c>
      <c r="M80" s="110" t="str">
        <f aca="false">IF(K80="نعم",L80-J80,"")</f>
        <v/>
      </c>
      <c r="N80" s="112" t="str">
        <f aca="false">IF(K80="نعم",IF(J80=0,IF(M80=0,0,SIGN(M80)),M80/ABS(J80)),"")</f>
        <v/>
      </c>
      <c r="O80" s="109" t="str">
        <f aca="false">IF(K80="نعم",M80*C80,"")</f>
        <v/>
      </c>
      <c r="P80" s="36" t="str">
        <f aca="false">IF(K80&lt;&gt;"نعم","لم يُجرد",IF(ABS(N80)&lt;='إعدادات المخزون'!$B$7,"مطابق",IF(M80&lt;0,"عجز","زيادة")))</f>
        <v>لم يُجرد</v>
      </c>
      <c r="Q80" s="110" t="n">
        <f aca="false">J80-Z80</f>
        <v>1.195815</v>
      </c>
      <c r="R80" s="110" t="str">
        <f aca="false">IF(COUNTIFS('جرد فعلي'!$B$2:$B$12001,$B$2,'جرد فعلي'!$C$2:$C$12001,$A80,'جرد فعلي'!$A$2:$A$12001,'إعدادات المخزون'!$B$4-1)&gt;0,SUMIFS('جرد فعلي'!$D$2:$D$12001,'جرد فعلي'!$B$2:$B$12001,$B$2,'جرد فعلي'!$C$2:$C$12001,$A80,'جرد فعلي'!$A$2:$A$12001,'إعدادات المخزون'!$B$4-1),"")</f>
        <v/>
      </c>
      <c r="S80" s="110" t="str">
        <f aca="false">IF(AND(K80="نعم",R80&lt;&gt;""),(L80-J80)-(R80-Q80),"")</f>
        <v/>
      </c>
      <c r="T80" s="109" t="str">
        <f aca="false">IF(S80="","",S80*C80)</f>
        <v/>
      </c>
      <c r="U80" s="110" t="n">
        <f aca="false">IF(K80="نعم",L80,J80)</f>
        <v>1.12498</v>
      </c>
      <c r="V80" s="110" t="n">
        <f aca="false">SUMPRODUCT('مصفوفة الاستهلاك (عصافرة)'!$BW$2:$BW$190,'متجهات المبيعات'!$J$2:$J$190)/'مواد المخزون'!$D$75/MAX(1,MIN('إعدادات المخزون'!$B$11,'إعدادات المخزون'!$B$4-'إعدادات المخزون'!$B$5+1))</f>
        <v>0.070835</v>
      </c>
      <c r="W80" s="110" t="n">
        <f aca="false">IF(V80&lt;=0,0,ROUNDUP(MAX(0,V80*('إعدادات المخزون'!$B$8+'إعدادات المخزون'!$B$9+'إعدادات المخزون'!$B$10)-MAX(U80,0))/'مواد المخزون'!$F75,0)*'مواد المخزون'!$F75)</f>
        <v>0</v>
      </c>
      <c r="X80" s="109" t="n">
        <f aca="false">IF(AND(K80="نعم",O80&lt;0),-O80+ROW()*0.000000001,0)</f>
        <v>0</v>
      </c>
      <c r="Y80" s="109" t="n">
        <f aca="false">IF(AND(K80="نعم",O80&gt;0),O80+ROW()*0.000000001,0)</f>
        <v>0</v>
      </c>
      <c r="Z80" s="110" t="n">
        <f aca="false">SUMIFS('مشتريات يومية'!$D$2:$D$4001,'مشتريات يومية'!$B$2:$B$4001,$B$2,'مشتريات يومية'!$C$2:$C$4001,$A80,'مشتريات يومية'!$A$2:$A$4001,'إعدادات المخزون'!$B$4)+SUMIFS('هالك وتحويلات'!$E$2:$E$3001,'هالك وتحويلات'!$B$2:$B$3001,$B$2,'هالك وتحويلات'!$C$2:$C$3001,$A80,'هالك وتحويلات'!$D$2:$D$3001,"تحويل وارد",'هالك وتحويلات'!$A$2:$A$3001,'إعدادات المخزون'!$B$4)-SUMIFS('هالك وتحويلات'!$E$2:$E$3001,'هالك وتحويلات'!$B$2:$B$3001,$B$2,'هالك وتحويلات'!$C$2:$C$3001,$A80,'هالك وتحويلات'!$D$2:$D$3001,"تحويل صادر",'هالك وتحويلات'!$A$2:$A$3001,'إعدادات المخزون'!$B$4)-SUMIFS('هالك وتحويلات'!$E$2:$E$3001,'هالك وتحويلات'!$B$2:$B$3001,$B$2,'هالك وتحويلات'!$C$2:$C$3001,$A80,'هالك وتحويلات'!$D$2:$D$3001,"هالك",'هالك وتحويلات'!$A$2:$A$3001,'إعدادات المخزون'!$B$4)-SUMIFS('هالك وتحويلات'!$E$2:$E$3001,'هالك وتحويلات'!$B$2:$B$3001,$B$2,'هالك وتحويلات'!$C$2:$C$3001,$A80,'هالك وتحويلات'!$D$2:$D$3001,"ضيافة / أكل موظفين",'هالك وتحويلات'!$A$2:$A$3001,'إعدادات المخزون'!$B$4)-SUMPRODUCT('مصفوفة الاستهلاك (عصافرة)'!$BW$2:$BW$190,'متجهات المبيعات'!$H$2:$H$190)/'مواد المخزون'!$D$75</f>
        <v>-0.070835</v>
      </c>
      <c r="AA80" s="109" t="n">
        <f aca="false">IF(K80="نعم",O80,0)</f>
        <v>0</v>
      </c>
      <c r="AB80" s="109" t="n">
        <f aca="false">IF(K80="نعم",J80*C80,0)</f>
        <v>0</v>
      </c>
      <c r="AC80" s="109" t="n">
        <f aca="false">IF(T80="",0,T80)</f>
        <v>0</v>
      </c>
    </row>
    <row r="81" customFormat="false" ht="15" hidden="false" customHeight="false" outlineLevel="0" collapsed="false">
      <c r="A81" s="34" t="str">
        <f aca="false">'مواد المخزون'!A76</f>
        <v>مشروم فريش</v>
      </c>
      <c r="B81" s="36" t="str">
        <f aca="false">'مواد المخزون'!B76</f>
        <v>كجم</v>
      </c>
      <c r="C81" s="109" t="n">
        <f aca="false">'مواد المخزون'!E76</f>
        <v>151.2027</v>
      </c>
      <c r="D81" s="110" t="n">
        <f aca="false">'جرد أول المدة'!E79</f>
        <v>0</v>
      </c>
      <c r="E81" s="110" t="n">
        <f aca="false">SUMIFS('مشتريات يومية'!$D$2:$D$4001,'مشتريات يومية'!$B$2:$B$4001,$B$2,'مشتريات يومية'!$C$2:$C$4001,$A81,'مشتريات يومية'!$A$2:$A$4001,"&gt;="&amp;'إعدادات المخزون'!$B$5,'مشتريات يومية'!$A$2:$A$4001,"&lt;="&amp;'إعدادات المخزون'!$B$4)</f>
        <v>3.82</v>
      </c>
      <c r="F81" s="110" t="n">
        <f aca="false">SUMIFS('هالك وتحويلات'!$E$2:$E$3001,'هالك وتحويلات'!$B$2:$B$3001,$B$2,'هالك وتحويلات'!$C$2:$C$3001,$A81,'هالك وتحويلات'!$D$2:$D$3001,"تحويل وارد",'هالك وتحويلات'!$A$2:$A$3001,"&gt;="&amp;'إعدادات المخزون'!$B$5,'هالك وتحويلات'!$A$2:$A$3001,"&lt;="&amp;'إعدادات المخزون'!$B$4)</f>
        <v>0</v>
      </c>
      <c r="G81" s="110" t="n">
        <f aca="false">SUMIFS('هالك وتحويلات'!$E$2:$E$3001,'هالك وتحويلات'!$B$2:$B$3001,$B$2,'هالك وتحويلات'!$C$2:$C$3001,$A81,'هالك وتحويلات'!$D$2:$D$3001,"تحويل صادر",'هالك وتحويلات'!$A$2:$A$3001,"&gt;="&amp;'إعدادات المخزون'!$B$5,'هالك وتحويلات'!$A$2:$A$3001,"&lt;="&amp;'إعدادات المخزون'!$B$4)</f>
        <v>0</v>
      </c>
      <c r="H81" s="110" t="n">
        <f aca="false">SUMPRODUCT('مصفوفة الاستهلاك (عصافرة)'!$BX$2:$BX$190,'متجهات المبيعات'!$I$2:$I$190)/'مواد المخزون'!$D$76</f>
        <v>3.229896</v>
      </c>
      <c r="I81" s="110" t="n">
        <f aca="false">SUMIFS('هالك وتحويلات'!$E$2:$E$3001,'هالك وتحويلات'!$B$2:$B$3001,$B$2,'هالك وتحويلات'!$C$2:$C$3001,$A81,'هالك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وتحويلات'!$C$2:$C$3001,$A81,'هالك وتحويلات'!$D$2:$D$3001,"ضيافة / أكل موظفين",'هالك وتحويلات'!$A$2:$A$3001,"&gt;="&amp;'إعدادات المخزون'!$B$5,'هالك وتحويلات'!$A$2:$A$3001,"&lt;="&amp;'إعدادات المخزون'!$B$4)</f>
        <v>0</v>
      </c>
      <c r="J81" s="110" t="n">
        <f aca="false">D81+E81+F81-G81-H81-I81</f>
        <v>0.590104</v>
      </c>
      <c r="K81" s="36" t="str">
        <f aca="false">IF(COUNTIFS('جرد فعلي'!$B$2:$B$12001,$B$2,'جرد فعلي'!$C$2:$C$12001,$A81,'جرد فعلي'!$A$2:$A$12001,'إعدادات المخزون'!$B$4)&gt;0,"نعم","لا")</f>
        <v>لا</v>
      </c>
      <c r="L81" s="111" t="str">
        <f aca="false">IF(K81="نعم",SUMIFS('جرد فعلي'!$D$2:$D$12001,'جرد فعلي'!$B$2:$B$12001,$B$2,'جرد فعلي'!$C$2:$C$12001,$A81,'جرد فعلي'!$A$2:$A$12001,'إعدادات المخزون'!$B$4),"")</f>
        <v/>
      </c>
      <c r="M81" s="110" t="str">
        <f aca="false">IF(K81="نعم",L81-J81,"")</f>
        <v/>
      </c>
      <c r="N81" s="112" t="str">
        <f aca="false">IF(K81="نعم",IF(J81=0,IF(M81=0,0,SIGN(M81)),M81/ABS(J81)),"")</f>
        <v/>
      </c>
      <c r="O81" s="109" t="str">
        <f aca="false">IF(K81="نعم",M81*C81,"")</f>
        <v/>
      </c>
      <c r="P81" s="36" t="str">
        <f aca="false">IF(K81&lt;&gt;"نعم","لم يُجرد",IF(ABS(N81)&lt;='إعدادات المخزون'!$B$7,"مطابق",IF(M81&lt;0,"عجز","زيادة")))</f>
        <v>لم يُجرد</v>
      </c>
      <c r="Q81" s="110" t="n">
        <f aca="false">J81-Z81</f>
        <v>0.859262</v>
      </c>
      <c r="R81" s="110" t="str">
        <f aca="false">IF(COUNTIFS('جرد فعلي'!$B$2:$B$12001,$B$2,'جرد فعلي'!$C$2:$C$12001,$A81,'جرد فعلي'!$A$2:$A$12001,'إعدادات المخزون'!$B$4-1)&gt;0,SUMIFS('جرد فعلي'!$D$2:$D$12001,'جرد فعلي'!$B$2:$B$12001,$B$2,'جرد فعلي'!$C$2:$C$12001,$A81,'جرد فعلي'!$A$2:$A$12001,'إعدادات المخزون'!$B$4-1),"")</f>
        <v/>
      </c>
      <c r="S81" s="110" t="str">
        <f aca="false">IF(AND(K81="نعم",R81&lt;&gt;""),(L81-J81)-(R81-Q81),"")</f>
        <v/>
      </c>
      <c r="T81" s="109" t="str">
        <f aca="false">IF(S81="","",S81*C81)</f>
        <v/>
      </c>
      <c r="U81" s="110" t="n">
        <f aca="false">IF(K81="نعم",L81,J81)</f>
        <v>0.590104</v>
      </c>
      <c r="V81" s="110" t="n">
        <f aca="false">SUMPRODUCT('مصفوفة الاستهلاك (عصافرة)'!$BX$2:$BX$190,'متجهات المبيعات'!$J$2:$J$190)/'مواد المخزون'!$D$76/MAX(1,MIN('إعدادات المخزون'!$B$11,'إعدادات المخزون'!$B$4-'إعدادات المخزون'!$B$5+1))</f>
        <v>0.269158</v>
      </c>
      <c r="W81" s="110" t="n">
        <f aca="false">IF(V81&lt;=0,0,ROUNDUP(MAX(0,V81*('إعدادات المخزون'!$B$8+'إعدادات المخزون'!$B$9+'إعدادات المخزون'!$B$10)-MAX(U81,0))/'مواد المخزون'!$F76,0)*'مواد المخزون'!$F76)</f>
        <v>1</v>
      </c>
      <c r="X81" s="109" t="n">
        <f aca="false">IF(AND(K81="نعم",O81&lt;0),-O81+ROW()*0.000000001,0)</f>
        <v>0</v>
      </c>
      <c r="Y81" s="109" t="n">
        <f aca="false">IF(AND(K81="نعم",O81&gt;0),O81+ROW()*0.000000001,0)</f>
        <v>0</v>
      </c>
      <c r="Z81" s="110" t="n">
        <f aca="false">SUMIFS('مشتريات يومية'!$D$2:$D$4001,'مشتريات يومية'!$B$2:$B$4001,$B$2,'مشتريات يومية'!$C$2:$C$4001,$A81,'مشتريات يومية'!$A$2:$A$4001,'إعدادات المخزون'!$B$4)+SUMIFS('هالك وتحويلات'!$E$2:$E$3001,'هالك وتحويلات'!$B$2:$B$3001,$B$2,'هالك وتحويلات'!$C$2:$C$3001,$A81,'هالك وتحويلات'!$D$2:$D$3001,"تحويل وارد",'هالك وتحويلات'!$A$2:$A$3001,'إعدادات المخزون'!$B$4)-SUMIFS('هالك وتحويلات'!$E$2:$E$3001,'هالك وتحويلات'!$B$2:$B$3001,$B$2,'هالك وتحويلات'!$C$2:$C$3001,$A81,'هالك وتحويلات'!$D$2:$D$3001,"تحويل صادر",'هالك وتحويلات'!$A$2:$A$3001,'إعدادات المخزون'!$B$4)-SUMIFS('هالك وتحويلات'!$E$2:$E$3001,'هالك وتحويلات'!$B$2:$B$3001,$B$2,'هالك وتحويلات'!$C$2:$C$3001,$A81,'هالك وتحويلات'!$D$2:$D$3001,"هالك",'هالك وتحويلات'!$A$2:$A$3001,'إعدادات المخزون'!$B$4)-SUMIFS('هالك وتحويلات'!$E$2:$E$3001,'هالك وتحويلات'!$B$2:$B$3001,$B$2,'هالك وتحويلات'!$C$2:$C$3001,$A81,'هالك وتحويلات'!$D$2:$D$3001,"ضيافة / أكل موظفين",'هالك وتحويلات'!$A$2:$A$3001,'إعدادات المخزون'!$B$4)-SUMPRODUCT('مصفوفة الاستهلاك (عصافرة)'!$BX$2:$BX$190,'متجهات المبيعات'!$H$2:$H$190)/'مواد المخزون'!$D$76</f>
        <v>-0.269158</v>
      </c>
      <c r="AA81" s="109" t="n">
        <f aca="false">IF(K81="نعم",O81,0)</f>
        <v>0</v>
      </c>
      <c r="AB81" s="109" t="n">
        <f aca="false">IF(K81="نعم",J81*C81,0)</f>
        <v>0</v>
      </c>
      <c r="AC81" s="109" t="n">
        <f aca="false">IF(T81="",0,T81)</f>
        <v>0</v>
      </c>
    </row>
    <row r="82" customFormat="false" ht="15" hidden="false" customHeight="false" outlineLevel="0" collapsed="false">
      <c r="A82" s="34" t="str">
        <f aca="false">'مواد المخزون'!A77</f>
        <v>مكرونة خام</v>
      </c>
      <c r="B82" s="36" t="str">
        <f aca="false">'مواد المخزون'!B77</f>
        <v>كجم</v>
      </c>
      <c r="C82" s="109" t="n">
        <f aca="false">'مواد المخزون'!E77</f>
        <v>24</v>
      </c>
      <c r="D82" s="110" t="n">
        <f aca="false">'جرد أول المدة'!E80</f>
        <v>20.25</v>
      </c>
      <c r="E82" s="110" t="n">
        <f aca="false">SUMIFS('مشتريات يومية'!$D$2:$D$4001,'مشتريات يومية'!$B$2:$B$4001,$B$2,'مشتريات يومية'!$C$2:$C$4001,$A82,'مشتريات يومية'!$A$2:$A$4001,"&gt;="&amp;'إعدادات المخزون'!$B$5,'مشتريات يومية'!$A$2:$A$4001,"&lt;="&amp;'إعدادات المخزون'!$B$4)</f>
        <v>10</v>
      </c>
      <c r="F82" s="110" t="n">
        <f aca="false">SUMIFS('هالك وتحويلات'!$E$2:$E$3001,'هالك وتحويلات'!$B$2:$B$3001,$B$2,'هالك وتحويلات'!$C$2:$C$3001,$A82,'هالك وتحويلات'!$D$2:$D$3001,"تحويل وارد",'هالك وتحويلات'!$A$2:$A$3001,"&gt;="&amp;'إعدادات المخزون'!$B$5,'هالك وتحويلات'!$A$2:$A$3001,"&lt;="&amp;'إعدادات المخزون'!$B$4)</f>
        <v>0</v>
      </c>
      <c r="G82" s="110" t="n">
        <f aca="false">SUMIFS('هالك وتحويلات'!$E$2:$E$3001,'هالك وتحويلات'!$B$2:$B$3001,$B$2,'هالك وتحويلات'!$C$2:$C$3001,$A82,'هالك وتحويلات'!$D$2:$D$3001,"تحويل صادر",'هالك وتحويلات'!$A$2:$A$3001,"&gt;="&amp;'إعدادات المخزون'!$B$5,'هالك وتحويلات'!$A$2:$A$3001,"&lt;="&amp;'إعدادات المخزون'!$B$4)</f>
        <v>0</v>
      </c>
      <c r="H82" s="110" t="n">
        <f aca="false">SUMPRODUCT('مصفوفة الاستهلاك (عصافرة)'!$BY$2:$BY$190,'متجهات المبيعات'!$I$2:$I$190)/'مواد المخزون'!$D$77</f>
        <v>11.47527</v>
      </c>
      <c r="I82" s="110" t="n">
        <f aca="false">SUMIFS('هالك وتحويلات'!$E$2:$E$3001,'هالك وتحويلات'!$B$2:$B$3001,$B$2,'هالك وتحويلات'!$C$2:$C$3001,$A82,'هالك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وتحويلات'!$C$2:$C$3001,$A82,'هالك وتحويلات'!$D$2:$D$3001,"ضيافة / أكل موظفين",'هالك وتحويلات'!$A$2:$A$3001,"&gt;="&amp;'إعدادات المخزون'!$B$5,'هالك وتحويلات'!$A$2:$A$3001,"&lt;="&amp;'إعدادات المخزون'!$B$4)</f>
        <v>0</v>
      </c>
      <c r="J82" s="110" t="n">
        <f aca="false">D82+E82+F82-G82-H82-I82</f>
        <v>18.77473</v>
      </c>
      <c r="K82" s="36" t="str">
        <f aca="false">IF(COUNTIFS('جرد فعلي'!$B$2:$B$12001,$B$2,'جرد فعلي'!$C$2:$C$12001,$A82,'جرد فعلي'!$A$2:$A$12001,'إعدادات المخزون'!$B$4)&gt;0,"نعم","لا")</f>
        <v>لا</v>
      </c>
      <c r="L82" s="111" t="str">
        <f aca="false">IF(K82="نعم",SUMIFS('جرد فعلي'!$D$2:$D$12001,'جرد فعلي'!$B$2:$B$12001,$B$2,'جرد فعلي'!$C$2:$C$12001,$A82,'جرد فعلي'!$A$2:$A$12001,'إعدادات المخزون'!$B$4),"")</f>
        <v/>
      </c>
      <c r="M82" s="110" t="str">
        <f aca="false">IF(K82="نعم",L82-J82,"")</f>
        <v/>
      </c>
      <c r="N82" s="112" t="str">
        <f aca="false">IF(K82="نعم",IF(J82=0,IF(M82=0,0,SIGN(M82)),M82/ABS(J82)),"")</f>
        <v/>
      </c>
      <c r="O82" s="109" t="str">
        <f aca="false">IF(K82="نعم",M82*C82,"")</f>
        <v/>
      </c>
      <c r="P82" s="36" t="str">
        <f aca="false">IF(K82&lt;&gt;"نعم","لم يُجرد",IF(ABS(N82)&lt;='إعدادات المخزون'!$B$7,"مطابق",IF(M82&lt;0,"عجز","زيادة")))</f>
        <v>لم يُجرد</v>
      </c>
      <c r="Q82" s="110" t="n">
        <f aca="false">J82-Z82</f>
        <v>19.7310025</v>
      </c>
      <c r="R82" s="110" t="str">
        <f aca="false">IF(COUNTIFS('جرد فعلي'!$B$2:$B$12001,$B$2,'جرد فعلي'!$C$2:$C$12001,$A82,'جرد فعلي'!$A$2:$A$12001,'إعدادات المخزون'!$B$4-1)&gt;0,SUMIFS('جرد فعلي'!$D$2:$D$12001,'جرد فعلي'!$B$2:$B$12001,$B$2,'جرد فعلي'!$C$2:$C$12001,$A82,'جرد فعلي'!$A$2:$A$12001,'إعدادات المخزون'!$B$4-1),"")</f>
        <v/>
      </c>
      <c r="S82" s="110" t="str">
        <f aca="false">IF(AND(K82="نعم",R82&lt;&gt;""),(L82-J82)-(R82-Q82),"")</f>
        <v/>
      </c>
      <c r="T82" s="109" t="str">
        <f aca="false">IF(S82="","",S82*C82)</f>
        <v/>
      </c>
      <c r="U82" s="110" t="n">
        <f aca="false">IF(K82="نعم",L82,J82)</f>
        <v>18.77473</v>
      </c>
      <c r="V82" s="110" t="n">
        <f aca="false">SUMPRODUCT('مصفوفة الاستهلاك (عصافرة)'!$BY$2:$BY$190,'متجهات المبيعات'!$J$2:$J$190)/'مواد المخزون'!$D$77/MAX(1,MIN('إعدادات المخزون'!$B$11,'إعدادات المخزون'!$B$4-'إعدادات المخزون'!$B$5+1))</f>
        <v>0.9562725</v>
      </c>
      <c r="W82" s="110" t="n">
        <f aca="false">IF(V82&lt;=0,0,ROUNDUP(MAX(0,V82*('إعدادات المخزون'!$B$8+'إعدادات المخزون'!$B$9+'إعدادات المخزون'!$B$10)-MAX(U82,0))/'مواد المخزون'!$F77,0)*'مواد المخزون'!$F77)</f>
        <v>0</v>
      </c>
      <c r="X82" s="109" t="n">
        <f aca="false">IF(AND(K82="نعم",O82&lt;0),-O82+ROW()*0.000000001,0)</f>
        <v>0</v>
      </c>
      <c r="Y82" s="109" t="n">
        <f aca="false">IF(AND(K82="نعم",O82&gt;0),O82+ROW()*0.000000001,0)</f>
        <v>0</v>
      </c>
      <c r="Z82" s="110" t="n">
        <f aca="false">SUMIFS('مشتريات يومية'!$D$2:$D$4001,'مشتريات يومية'!$B$2:$B$4001,$B$2,'مشتريات يومية'!$C$2:$C$4001,$A82,'مشتريات يومية'!$A$2:$A$4001,'إعدادات المخزون'!$B$4)+SUMIFS('هالك وتحويلات'!$E$2:$E$3001,'هالك وتحويلات'!$B$2:$B$3001,$B$2,'هالك وتحويلات'!$C$2:$C$3001,$A82,'هالك وتحويلات'!$D$2:$D$3001,"تحويل وارد",'هالك وتحويلات'!$A$2:$A$3001,'إعدادات المخزون'!$B$4)-SUMIFS('هالك وتحويلات'!$E$2:$E$3001,'هالك وتحويلات'!$B$2:$B$3001,$B$2,'هالك وتحويلات'!$C$2:$C$3001,$A82,'هالك وتحويلات'!$D$2:$D$3001,"تحويل صادر",'هالك وتحويلات'!$A$2:$A$3001,'إعدادات المخزون'!$B$4)-SUMIFS('هالك وتحويلات'!$E$2:$E$3001,'هالك وتحويلات'!$B$2:$B$3001,$B$2,'هالك وتحويلات'!$C$2:$C$3001,$A82,'هالك وتحويلات'!$D$2:$D$3001,"هالك",'هالك وتحويلات'!$A$2:$A$3001,'إعدادات المخزون'!$B$4)-SUMIFS('هالك وتحويلات'!$E$2:$E$3001,'هالك وتحويلات'!$B$2:$B$3001,$B$2,'هالك وتحويلات'!$C$2:$C$3001,$A82,'هالك وتحويلات'!$D$2:$D$3001,"ضيافة / أكل موظفين",'هالك وتحويلات'!$A$2:$A$3001,'إعدادات المخزون'!$B$4)-SUMPRODUCT('مصفوفة الاستهلاك (عصافرة)'!$BY$2:$BY$190,'متجهات المبيعات'!$H$2:$H$190)/'مواد المخزون'!$D$77</f>
        <v>-0.9562725</v>
      </c>
      <c r="AA82" s="109" t="n">
        <f aca="false">IF(K82="نعم",O82,0)</f>
        <v>0</v>
      </c>
      <c r="AB82" s="109" t="n">
        <f aca="false">IF(K82="نعم",J82*C82,0)</f>
        <v>0</v>
      </c>
      <c r="AC82" s="109" t="n">
        <f aca="false">IF(T82="",0,T82)</f>
        <v>0</v>
      </c>
    </row>
    <row r="83" customFormat="false" ht="15" hidden="false" customHeight="false" outlineLevel="0" collapsed="false">
      <c r="A83" s="34" t="str">
        <f aca="false">'مواد المخزون'!A78</f>
        <v>نوتيلا كيلو</v>
      </c>
      <c r="B83" s="36" t="str">
        <f aca="false">'مواد المخزون'!B78</f>
        <v>كجم</v>
      </c>
      <c r="C83" s="109" t="n">
        <f aca="false">'مواد المخزون'!E78</f>
        <v>610</v>
      </c>
      <c r="D83" s="110" t="n">
        <f aca="false">'جرد أول المدة'!E81</f>
        <v>1</v>
      </c>
      <c r="E83" s="110" t="n">
        <f aca="false">SUMIFS('مشتريات يومية'!$D$2:$D$4001,'مشتريات يومية'!$B$2:$B$4001,$B$2,'مشتريات يومية'!$C$2:$C$4001,$A83,'مشتريات يومية'!$A$2:$A$4001,"&gt;="&amp;'إعدادات المخزون'!$B$5,'مشتريات يومية'!$A$2:$A$4001,"&lt;="&amp;'إعدادات المخزون'!$B$4)</f>
        <v>0</v>
      </c>
      <c r="F83" s="110" t="n">
        <f aca="false">SUMIFS('هالك وتحويلات'!$E$2:$E$3001,'هالك وتحويلات'!$B$2:$B$3001,$B$2,'هالك وتحويلات'!$C$2:$C$3001,$A83,'هالك وتحويلات'!$D$2:$D$3001,"تحويل وارد",'هالك وتحويلات'!$A$2:$A$3001,"&gt;="&amp;'إعدادات المخزون'!$B$5,'هالك وتحويلات'!$A$2:$A$3001,"&lt;="&amp;'إعدادات المخزون'!$B$4)</f>
        <v>0</v>
      </c>
      <c r="G83" s="110" t="n">
        <f aca="false">SUMIFS('هالك وتحويلات'!$E$2:$E$3001,'هالك وتحويلات'!$B$2:$B$3001,$B$2,'هالك وتحويلات'!$C$2:$C$3001,$A83,'هالك وتحويلات'!$D$2:$D$3001,"تحويل صادر",'هالك وتحويلات'!$A$2:$A$3001,"&gt;="&amp;'إعدادات المخزون'!$B$5,'هالك وتحويلات'!$A$2:$A$3001,"&lt;="&amp;'إعدادات المخزون'!$B$4)</f>
        <v>0</v>
      </c>
      <c r="H83" s="110" t="n">
        <f aca="false">SUMPRODUCT('مصفوفة الاستهلاك (عصافرة)'!$BZ$2:$BZ$190,'متجهات المبيعات'!$I$2:$I$190)/'مواد المخزون'!$D$78</f>
        <v>1.119936</v>
      </c>
      <c r="I83" s="110" t="n">
        <f aca="false">SUMIFS('هالك وتحويلات'!$E$2:$E$3001,'هالك وتحويلات'!$B$2:$B$3001,$B$2,'هالك وتحويلات'!$C$2:$C$3001,$A83,'هالك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وتحويلات'!$C$2:$C$3001,$A83,'هالك وتحويلات'!$D$2:$D$3001,"ضيافة / أكل موظفين",'هالك وتحويلات'!$A$2:$A$3001,"&gt;="&amp;'إعدادات المخزون'!$B$5,'هالك وتحويلات'!$A$2:$A$3001,"&lt;="&amp;'إعدادات المخزون'!$B$4)</f>
        <v>0</v>
      </c>
      <c r="J83" s="110" t="n">
        <f aca="false">D83+E83+F83-G83-H83-I83</f>
        <v>-0.119936</v>
      </c>
      <c r="K83" s="36" t="str">
        <f aca="false">IF(COUNTIFS('جرد فعلي'!$B$2:$B$12001,$B$2,'جرد فعلي'!$C$2:$C$12001,$A83,'جرد فعلي'!$A$2:$A$12001,'إعدادات المخزون'!$B$4)&gt;0,"نعم","لا")</f>
        <v>لا</v>
      </c>
      <c r="L83" s="111" t="str">
        <f aca="false">IF(K83="نعم",SUMIFS('جرد فعلي'!$D$2:$D$12001,'جرد فعلي'!$B$2:$B$12001,$B$2,'جرد فعلي'!$C$2:$C$12001,$A83,'جرد فعلي'!$A$2:$A$12001,'إعدادات المخزون'!$B$4),"")</f>
        <v/>
      </c>
      <c r="M83" s="110" t="str">
        <f aca="false">IF(K83="نعم",L83-J83,"")</f>
        <v/>
      </c>
      <c r="N83" s="112" t="str">
        <f aca="false">IF(K83="نعم",IF(J83=0,IF(M83=0,0,SIGN(M83)),M83/ABS(J83)),"")</f>
        <v/>
      </c>
      <c r="O83" s="109" t="str">
        <f aca="false">IF(K83="نعم",M83*C83,"")</f>
        <v/>
      </c>
      <c r="P83" s="36" t="str">
        <f aca="false">IF(K83&lt;&gt;"نعم","لم يُجرد",IF(ABS(N83)&lt;='إعدادات المخزون'!$B$7,"مطابق",IF(M83&lt;0,"عجز","زيادة")))</f>
        <v>لم يُجرد</v>
      </c>
      <c r="Q83" s="110" t="n">
        <f aca="false">J83-Z83</f>
        <v>-0.0266080000000001</v>
      </c>
      <c r="R83" s="110" t="str">
        <f aca="false">IF(COUNTIFS('جرد فعلي'!$B$2:$B$12001,$B$2,'جرد فعلي'!$C$2:$C$12001,$A83,'جرد فعلي'!$A$2:$A$12001,'إعدادات المخزون'!$B$4-1)&gt;0,SUMIFS('جرد فعلي'!$D$2:$D$12001,'جرد فعلي'!$B$2:$B$12001,$B$2,'جرد فعلي'!$C$2:$C$12001,$A83,'جرد فعلي'!$A$2:$A$12001,'إعدادات المخزون'!$B$4-1),"")</f>
        <v/>
      </c>
      <c r="S83" s="110" t="str">
        <f aca="false">IF(AND(K83="نعم",R83&lt;&gt;""),(L83-J83)-(R83-Q83),"")</f>
        <v/>
      </c>
      <c r="T83" s="109" t="str">
        <f aca="false">IF(S83="","",S83*C83)</f>
        <v/>
      </c>
      <c r="U83" s="110" t="n">
        <f aca="false">IF(K83="نعم",L83,J83)</f>
        <v>-0.119936</v>
      </c>
      <c r="V83" s="110" t="n">
        <f aca="false">SUMPRODUCT('مصفوفة الاستهلاك (عصافرة)'!$BZ$2:$BZ$190,'متجهات المبيعات'!$J$2:$J$190)/'مواد المخزون'!$D$78/MAX(1,MIN('إعدادات المخزون'!$B$11,'إعدادات المخزون'!$B$4-'إعدادات المخزون'!$B$5+1))</f>
        <v>0.093328</v>
      </c>
      <c r="W83" s="110" t="n">
        <f aca="false">IF(V83&lt;=0,0,ROUNDUP(MAX(0,V83*('إعدادات المخزون'!$B$8+'إعدادات المخزون'!$B$9+'إعدادات المخزون'!$B$10)-MAX(U83,0))/'مواد المخزون'!$F78,0)*'مواد المخزون'!$F78)</f>
        <v>1</v>
      </c>
      <c r="X83" s="109" t="n">
        <f aca="false">IF(AND(K83="نعم",O83&lt;0),-O83+ROW()*0.000000001,0)</f>
        <v>0</v>
      </c>
      <c r="Y83" s="109" t="n">
        <f aca="false">IF(AND(K83="نعم",O83&gt;0),O83+ROW()*0.000000001,0)</f>
        <v>0</v>
      </c>
      <c r="Z83" s="110" t="n">
        <f aca="false">SUMIFS('مشتريات يومية'!$D$2:$D$4001,'مشتريات يومية'!$B$2:$B$4001,$B$2,'مشتريات يومية'!$C$2:$C$4001,$A83,'مشتريات يومية'!$A$2:$A$4001,'إعدادات المخزون'!$B$4)+SUMIFS('هالك وتحويلات'!$E$2:$E$3001,'هالك وتحويلات'!$B$2:$B$3001,$B$2,'هالك وتحويلات'!$C$2:$C$3001,$A83,'هالك وتحويلات'!$D$2:$D$3001,"تحويل وارد",'هالك وتحويلات'!$A$2:$A$3001,'إعدادات المخزون'!$B$4)-SUMIFS('هالك وتحويلات'!$E$2:$E$3001,'هالك وتحويلات'!$B$2:$B$3001,$B$2,'هالك وتحويلات'!$C$2:$C$3001,$A83,'هالك وتحويلات'!$D$2:$D$3001,"تحويل صادر",'هالك وتحويلات'!$A$2:$A$3001,'إعدادات المخزون'!$B$4)-SUMIFS('هالك وتحويلات'!$E$2:$E$3001,'هالك وتحويلات'!$B$2:$B$3001,$B$2,'هالك وتحويلات'!$C$2:$C$3001,$A83,'هالك وتحويلات'!$D$2:$D$3001,"هالك",'هالك وتحويلات'!$A$2:$A$3001,'إعدادات المخزون'!$B$4)-SUMIFS('هالك وتحويلات'!$E$2:$E$3001,'هالك وتحويلات'!$B$2:$B$3001,$B$2,'هالك وتحويلات'!$C$2:$C$3001,$A83,'هالك وتحويلات'!$D$2:$D$3001,"ضيافة / أكل موظفين",'هالك وتحويلات'!$A$2:$A$3001,'إعدادات المخزون'!$B$4)-SUMPRODUCT('مصفوفة الاستهلاك (عصافرة)'!$BZ$2:$BZ$190,'متجهات المبيعات'!$H$2:$H$190)/'مواد المخزون'!$D$78</f>
        <v>-0.093328</v>
      </c>
      <c r="AA83" s="109" t="n">
        <f aca="false">IF(K83="نعم",O83,0)</f>
        <v>0</v>
      </c>
      <c r="AB83" s="109" t="n">
        <f aca="false">IF(K83="نعم",J83*C83,0)</f>
        <v>0</v>
      </c>
      <c r="AC83" s="109" t="n">
        <f aca="false">IF(T83="",0,T83)</f>
        <v>0</v>
      </c>
    </row>
    <row r="84" customFormat="false" ht="15" hidden="false" customHeight="false" outlineLevel="0" collapsed="false">
      <c r="A84" s="34" t="str">
        <f aca="false">'مواد المخزون'!A79</f>
        <v>ورق زبدة وسط كيلو 500 ورقة</v>
      </c>
      <c r="B84" s="36" t="str">
        <f aca="false">'مواد المخزون'!B79</f>
        <v>كجم</v>
      </c>
      <c r="C84" s="109" t="n">
        <f aca="false">'مواد المخزون'!E79</f>
        <v>45.8125</v>
      </c>
      <c r="D84" s="110" t="n">
        <f aca="false">'جرد أول المدة'!E82</f>
        <v>3.855</v>
      </c>
      <c r="E84" s="110" t="n">
        <f aca="false">SUMIFS('مشتريات يومية'!$D$2:$D$4001,'مشتريات يومية'!$B$2:$B$4001,$B$2,'مشتريات يومية'!$C$2:$C$4001,$A84,'مشتريات يومية'!$A$2:$A$4001,"&gt;="&amp;'إعدادات المخزون'!$B$5,'مشتريات يومية'!$A$2:$A$4001,"&lt;="&amp;'إعدادات المخزون'!$B$4)</f>
        <v>0</v>
      </c>
      <c r="F84" s="110" t="n">
        <f aca="false">SUMIFS('هالك وتحويلات'!$E$2:$E$3001,'هالك وتحويلات'!$B$2:$B$3001,$B$2,'هالك وتحويلات'!$C$2:$C$3001,$A84,'هالك وتحويلات'!$D$2:$D$3001,"تحويل وارد",'هالك وتحويلات'!$A$2:$A$3001,"&gt;="&amp;'إعدادات المخزون'!$B$5,'هالك وتحويلات'!$A$2:$A$3001,"&lt;="&amp;'إعدادات المخزون'!$B$4)</f>
        <v>0</v>
      </c>
      <c r="G84" s="110" t="n">
        <f aca="false">SUMIFS('هالك وتحويلات'!$E$2:$E$3001,'هالك وتحويلات'!$B$2:$B$3001,$B$2,'هالك وتحويلات'!$C$2:$C$3001,$A84,'هالك وتحويلات'!$D$2:$D$3001,"تحويل صادر",'هالك وتحويلات'!$A$2:$A$3001,"&gt;="&amp;'إعدادات المخزون'!$B$5,'هالك وتحويلات'!$A$2:$A$3001,"&lt;="&amp;'إعدادات المخزون'!$B$4)</f>
        <v>0</v>
      </c>
      <c r="H84" s="110" t="n">
        <f aca="false">SUMPRODUCT('مصفوفة الاستهلاك (عصافرة)'!$CA$2:$CA$190,'متجهات المبيعات'!$I$2:$I$190)/'مواد المخزون'!$D$79</f>
        <v>13.7559984</v>
      </c>
      <c r="I84" s="110" t="n">
        <f aca="false">SUMIFS('هالك وتحويلات'!$E$2:$E$3001,'هالك وتحويلات'!$B$2:$B$3001,$B$2,'هالك وتحويلات'!$C$2:$C$3001,$A84,'هالك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وتحويلات'!$C$2:$C$3001,$A84,'هالك وتحويلات'!$D$2:$D$3001,"ضيافة / أكل موظفين",'هالك وتحويلات'!$A$2:$A$3001,"&gt;="&amp;'إعدادات المخزون'!$B$5,'هالك وتحويلات'!$A$2:$A$3001,"&lt;="&amp;'إعدادات المخزون'!$B$4)</f>
        <v>0</v>
      </c>
      <c r="J84" s="110" t="n">
        <f aca="false">D84+E84+F84-G84-H84-I84</f>
        <v>-9.9009984</v>
      </c>
      <c r="K84" s="36" t="str">
        <f aca="false">IF(COUNTIFS('جرد فعلي'!$B$2:$B$12001,$B$2,'جرد فعلي'!$C$2:$C$12001,$A84,'جرد فعلي'!$A$2:$A$12001,'إعدادات المخزون'!$B$4)&gt;0,"نعم","لا")</f>
        <v>لا</v>
      </c>
      <c r="L84" s="111" t="str">
        <f aca="false">IF(K84="نعم",SUMIFS('جرد فعلي'!$D$2:$D$12001,'جرد فعلي'!$B$2:$B$12001,$B$2,'جرد فعلي'!$C$2:$C$12001,$A84,'جرد فعلي'!$A$2:$A$12001,'إعدادات المخزون'!$B$4),"")</f>
        <v/>
      </c>
      <c r="M84" s="110" t="str">
        <f aca="false">IF(K84="نعم",L84-J84,"")</f>
        <v/>
      </c>
      <c r="N84" s="112" t="str">
        <f aca="false">IF(K84="نعم",IF(J84=0,IF(M84=0,0,SIGN(M84)),M84/ABS(J84)),"")</f>
        <v/>
      </c>
      <c r="O84" s="109" t="str">
        <f aca="false">IF(K84="نعم",M84*C84,"")</f>
        <v/>
      </c>
      <c r="P84" s="36" t="str">
        <f aca="false">IF(K84&lt;&gt;"نعم","لم يُجرد",IF(ABS(N84)&lt;='إعدادات المخزون'!$B$7,"مطابق",IF(M84&lt;0,"عجز","زيادة")))</f>
        <v>لم يُجرد</v>
      </c>
      <c r="Q84" s="110" t="n">
        <f aca="false">J84-Z84</f>
        <v>-8.7546652</v>
      </c>
      <c r="R84" s="110" t="str">
        <f aca="false">IF(COUNTIFS('جرد فعلي'!$B$2:$B$12001,$B$2,'جرد فعلي'!$C$2:$C$12001,$A84,'جرد فعلي'!$A$2:$A$12001,'إعدادات المخزون'!$B$4-1)&gt;0,SUMIFS('جرد فعلي'!$D$2:$D$12001,'جرد فعلي'!$B$2:$B$12001,$B$2,'جرد فعلي'!$C$2:$C$12001,$A84,'جرد فعلي'!$A$2:$A$12001,'إعدادات المخزون'!$B$4-1),"")</f>
        <v/>
      </c>
      <c r="S84" s="110" t="str">
        <f aca="false">IF(AND(K84="نعم",R84&lt;&gt;""),(L84-J84)-(R84-Q84),"")</f>
        <v/>
      </c>
      <c r="T84" s="109" t="str">
        <f aca="false">IF(S84="","",S84*C84)</f>
        <v/>
      </c>
      <c r="U84" s="110" t="n">
        <f aca="false">IF(K84="نعم",L84,J84)</f>
        <v>-9.9009984</v>
      </c>
      <c r="V84" s="110" t="n">
        <f aca="false">SUMPRODUCT('مصفوفة الاستهلاك (عصافرة)'!$CA$2:$CA$190,'متجهات المبيعات'!$J$2:$J$190)/'مواد المخزون'!$D$79/MAX(1,MIN('إعدادات المخزون'!$B$11,'إعدادات المخزون'!$B$4-'إعدادات المخزون'!$B$5+1))</f>
        <v>1.1463332</v>
      </c>
      <c r="W84" s="110" t="n">
        <f aca="false">IF(V84&lt;=0,0,ROUNDUP(MAX(0,V84*('إعدادات المخزون'!$B$8+'إعدادات المخزون'!$B$9+'إعدادات المخزون'!$B$10)-MAX(U84,0))/'مواد المخزون'!$F79,0)*'مواد المخزون'!$F79)</f>
        <v>5</v>
      </c>
      <c r="X84" s="109" t="n">
        <f aca="false">IF(AND(K84="نعم",O84&lt;0),-O84+ROW()*0.000000001,0)</f>
        <v>0</v>
      </c>
      <c r="Y84" s="109" t="n">
        <f aca="false">IF(AND(K84="نعم",O84&gt;0),O84+ROW()*0.000000001,0)</f>
        <v>0</v>
      </c>
      <c r="Z84" s="110" t="n">
        <f aca="false">SUMIFS('مشتريات يومية'!$D$2:$D$4001,'مشتريات يومية'!$B$2:$B$4001,$B$2,'مشتريات يومية'!$C$2:$C$4001,$A84,'مشتريات يومية'!$A$2:$A$4001,'إعدادات المخزون'!$B$4)+SUMIFS('هالك وتحويلات'!$E$2:$E$3001,'هالك وتحويلات'!$B$2:$B$3001,$B$2,'هالك وتحويلات'!$C$2:$C$3001,$A84,'هالك وتحويلات'!$D$2:$D$3001,"تحويل وارد",'هالك وتحويلات'!$A$2:$A$3001,'إعدادات المخزون'!$B$4)-SUMIFS('هالك وتحويلات'!$E$2:$E$3001,'هالك وتحويلات'!$B$2:$B$3001,$B$2,'هالك وتحويلات'!$C$2:$C$3001,$A84,'هالك وتحويلات'!$D$2:$D$3001,"تحويل صادر",'هالك وتحويلات'!$A$2:$A$3001,'إعدادات المخزون'!$B$4)-SUMIFS('هالك وتحويلات'!$E$2:$E$3001,'هالك وتحويلات'!$B$2:$B$3001,$B$2,'هالك وتحويلات'!$C$2:$C$3001,$A84,'هالك وتحويلات'!$D$2:$D$3001,"هالك",'هالك وتحويلات'!$A$2:$A$3001,'إعدادات المخزون'!$B$4)-SUMIFS('هالك وتحويلات'!$E$2:$E$3001,'هالك وتحويلات'!$B$2:$B$3001,$B$2,'هالك وتحويلات'!$C$2:$C$3001,$A84,'هالك وتحويلات'!$D$2:$D$3001,"ضيافة / أكل موظفين",'هالك وتحويلات'!$A$2:$A$3001,'إعدادات المخزون'!$B$4)-SUMPRODUCT('مصفوفة الاستهلاك (عصافرة)'!$CA$2:$CA$190,'متجهات المبيعات'!$H$2:$H$190)/'مواد المخزون'!$D$79</f>
        <v>-1.1463332</v>
      </c>
      <c r="AA84" s="109" t="n">
        <f aca="false">IF(K84="نعم",O84,0)</f>
        <v>0</v>
      </c>
      <c r="AB84" s="109" t="n">
        <f aca="false">IF(K84="نعم",J84*C84,0)</f>
        <v>0</v>
      </c>
      <c r="AC84" s="109" t="n">
        <f aca="false">IF(T84="",0,T84)</f>
        <v>0</v>
      </c>
    </row>
    <row r="85" customFormat="false" ht="15" hidden="false" customHeight="false" outlineLevel="0" collapsed="false">
      <c r="A85" s="34" t="str">
        <f aca="false">'مواد المخزون'!A80</f>
        <v>اكياس كفرات</v>
      </c>
      <c r="B85" s="36" t="str">
        <f aca="false">'مواد المخزون'!B80</f>
        <v>كجم</v>
      </c>
      <c r="C85" s="109" t="n">
        <f aca="false">'مواد المخزون'!E80</f>
        <v>200</v>
      </c>
      <c r="D85" s="110" t="n">
        <f aca="false">'جرد أول المدة'!E83</f>
        <v>2</v>
      </c>
      <c r="E85" s="110" t="n">
        <f aca="false">SUMIFS('مشتريات يومية'!$D$2:$D$4001,'مشتريات يومية'!$B$2:$B$4001,$B$2,'مشتريات يومية'!$C$2:$C$4001,$A85,'مشتريات يومية'!$A$2:$A$4001,"&gt;="&amp;'إعدادات المخزون'!$B$5,'مشتريات يومية'!$A$2:$A$4001,"&lt;="&amp;'إعدادات المخزون'!$B$4)</f>
        <v>0</v>
      </c>
      <c r="F85" s="110" t="n">
        <f aca="false">SUMIFS('هالك وتحويلات'!$E$2:$E$3001,'هالك وتحويلات'!$B$2:$B$3001,$B$2,'هالك وتحويلات'!$C$2:$C$3001,$A85,'هالك وتحويلات'!$D$2:$D$3001,"تحويل وارد",'هالك وتحويلات'!$A$2:$A$3001,"&gt;="&amp;'إعدادات المخزون'!$B$5,'هالك وتحويلات'!$A$2:$A$3001,"&lt;="&amp;'إعدادات المخزون'!$B$4)</f>
        <v>0</v>
      </c>
      <c r="G85" s="110" t="n">
        <f aca="false">SUMIFS('هالك وتحويلات'!$E$2:$E$3001,'هالك وتحويلات'!$B$2:$B$3001,$B$2,'هالك وتحويلات'!$C$2:$C$3001,$A85,'هالك وتحويلات'!$D$2:$D$3001,"تحويل صادر",'هالك وتحويلات'!$A$2:$A$3001,"&gt;="&amp;'إعدادات المخزون'!$B$5,'هالك وتحويلات'!$A$2:$A$3001,"&lt;="&amp;'إعدادات المخزون'!$B$4)</f>
        <v>0</v>
      </c>
      <c r="H85" s="110" t="n">
        <f aca="false">SUMPRODUCT('مصفوفة الاستهلاك (عصافرة)'!$CB$2:$CB$190,'متجهات المبيعات'!$I$2:$I$190)/'مواد المخزون'!$D$80</f>
        <v>8.597499</v>
      </c>
      <c r="I85" s="110" t="n">
        <f aca="false">SUMIFS('هالك وتحويلات'!$E$2:$E$3001,'هالك وتحويلات'!$B$2:$B$3001,$B$2,'هالك وتحويلات'!$C$2:$C$3001,$A85,'هالك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وتحويلات'!$C$2:$C$3001,$A85,'هالك وتحويلات'!$D$2:$D$3001,"ضيافة / أكل موظفين",'هالك وتحويلات'!$A$2:$A$3001,"&gt;="&amp;'إعدادات المخزون'!$B$5,'هالك وتحويلات'!$A$2:$A$3001,"&lt;="&amp;'إعدادات المخزون'!$B$4)</f>
        <v>0</v>
      </c>
      <c r="J85" s="110" t="n">
        <f aca="false">D85+E85+F85-G85-H85-I85</f>
        <v>-6.597499</v>
      </c>
      <c r="K85" s="36" t="str">
        <f aca="false">IF(COUNTIFS('جرد فعلي'!$B$2:$B$12001,$B$2,'جرد فعلي'!$C$2:$C$12001,$A85,'جرد فعلي'!$A$2:$A$12001,'إعدادات المخزون'!$B$4)&gt;0,"نعم","لا")</f>
        <v>لا</v>
      </c>
      <c r="L85" s="111" t="str">
        <f aca="false">IF(K85="نعم",SUMIFS('جرد فعلي'!$D$2:$D$12001,'جرد فعلي'!$B$2:$B$12001,$B$2,'جرد فعلي'!$C$2:$C$12001,$A85,'جرد فعلي'!$A$2:$A$12001,'إعدادات المخزون'!$B$4),"")</f>
        <v/>
      </c>
      <c r="M85" s="110" t="str">
        <f aca="false">IF(K85="نعم",L85-J85,"")</f>
        <v/>
      </c>
      <c r="N85" s="112" t="str">
        <f aca="false">IF(K85="نعم",IF(J85=0,IF(M85=0,0,SIGN(M85)),M85/ABS(J85)),"")</f>
        <v/>
      </c>
      <c r="O85" s="109" t="str">
        <f aca="false">IF(K85="نعم",M85*C85,"")</f>
        <v/>
      </c>
      <c r="P85" s="36" t="str">
        <f aca="false">IF(K85&lt;&gt;"نعم","لم يُجرد",IF(ABS(N85)&lt;='إعدادات المخزون'!$B$7,"مطابق",IF(M85&lt;0,"عجز","زيادة")))</f>
        <v>لم يُجرد</v>
      </c>
      <c r="Q85" s="110" t="n">
        <f aca="false">J85-Z85</f>
        <v>-5.88104075</v>
      </c>
      <c r="R85" s="110" t="str">
        <f aca="false">IF(COUNTIFS('جرد فعلي'!$B$2:$B$12001,$B$2,'جرد فعلي'!$C$2:$C$12001,$A85,'جرد فعلي'!$A$2:$A$12001,'إعدادات المخزون'!$B$4-1)&gt;0,SUMIFS('جرد فعلي'!$D$2:$D$12001,'جرد فعلي'!$B$2:$B$12001,$B$2,'جرد فعلي'!$C$2:$C$12001,$A85,'جرد فعلي'!$A$2:$A$12001,'إعدادات المخزون'!$B$4-1),"")</f>
        <v/>
      </c>
      <c r="S85" s="110" t="str">
        <f aca="false">IF(AND(K85="نعم",R85&lt;&gt;""),(L85-J85)-(R85-Q85),"")</f>
        <v/>
      </c>
      <c r="T85" s="109" t="str">
        <f aca="false">IF(S85="","",S85*C85)</f>
        <v/>
      </c>
      <c r="U85" s="110" t="n">
        <f aca="false">IF(K85="نعم",L85,J85)</f>
        <v>-6.597499</v>
      </c>
      <c r="V85" s="110" t="n">
        <f aca="false">SUMPRODUCT('مصفوفة الاستهلاك (عصافرة)'!$CB$2:$CB$190,'متجهات المبيعات'!$J$2:$J$190)/'مواد المخزون'!$D$80/MAX(1,MIN('إعدادات المخزون'!$B$11,'إعدادات المخزون'!$B$4-'إعدادات المخزون'!$B$5+1))</f>
        <v>0.71645825</v>
      </c>
      <c r="W85" s="110" t="n">
        <f aca="false">IF(V85&lt;=0,0,ROUNDUP(MAX(0,V85*('إعدادات المخزون'!$B$8+'إعدادات المخزون'!$B$9+'إعدادات المخزون'!$B$10)-MAX(U85,0))/'مواد المخزون'!$F80,0)*'مواد المخزون'!$F80)</f>
        <v>3</v>
      </c>
      <c r="X85" s="109" t="n">
        <f aca="false">IF(AND(K85="نعم",O85&lt;0),-O85+ROW()*0.000000001,0)</f>
        <v>0</v>
      </c>
      <c r="Y85" s="109" t="n">
        <f aca="false">IF(AND(K85="نعم",O85&gt;0),O85+ROW()*0.000000001,0)</f>
        <v>0</v>
      </c>
      <c r="Z85" s="110" t="n">
        <f aca="false">SUMIFS('مشتريات يومية'!$D$2:$D$4001,'مشتريات يومية'!$B$2:$B$4001,$B$2,'مشتريات يومية'!$C$2:$C$4001,$A85,'مشتريات يومية'!$A$2:$A$4001,'إعدادات المخزون'!$B$4)+SUMIFS('هالك وتحويلات'!$E$2:$E$3001,'هالك وتحويلات'!$B$2:$B$3001,$B$2,'هالك وتحويلات'!$C$2:$C$3001,$A85,'هالك وتحويلات'!$D$2:$D$3001,"تحويل وارد",'هالك وتحويلات'!$A$2:$A$3001,'إعدادات المخزون'!$B$4)-SUMIFS('هالك وتحويلات'!$E$2:$E$3001,'هالك وتحويلات'!$B$2:$B$3001,$B$2,'هالك وتحويلات'!$C$2:$C$3001,$A85,'هالك وتحويلات'!$D$2:$D$3001,"تحويل صادر",'هالك وتحويلات'!$A$2:$A$3001,'إعدادات المخزون'!$B$4)-SUMIFS('هالك وتحويلات'!$E$2:$E$3001,'هالك وتحويلات'!$B$2:$B$3001,$B$2,'هالك وتحويلات'!$C$2:$C$3001,$A85,'هالك وتحويلات'!$D$2:$D$3001,"هالك",'هالك وتحويلات'!$A$2:$A$3001,'إعدادات المخزون'!$B$4)-SUMIFS('هالك وتحويلات'!$E$2:$E$3001,'هالك وتحويلات'!$B$2:$B$3001,$B$2,'هالك وتحويلات'!$C$2:$C$3001,$A85,'هالك وتحويلات'!$D$2:$D$3001,"ضيافة / أكل موظفين",'هالك وتحويلات'!$A$2:$A$3001,'إعدادات المخزون'!$B$4)-SUMPRODUCT('مصفوفة الاستهلاك (عصافرة)'!$CB$2:$CB$190,'متجهات المبيعات'!$H$2:$H$190)/'مواد المخزون'!$D$80</f>
        <v>-0.71645825</v>
      </c>
      <c r="AA85" s="109" t="n">
        <f aca="false">IF(K85="نعم",O85,0)</f>
        <v>0</v>
      </c>
      <c r="AB85" s="109" t="n">
        <f aca="false">IF(K85="نعم",J85*C85,0)</f>
        <v>0</v>
      </c>
      <c r="AC85" s="109" t="n">
        <f aca="false">IF(T85="",0,T85)</f>
        <v>0</v>
      </c>
    </row>
    <row r="86" customFormat="false" ht="15" hidden="false" customHeight="false" outlineLevel="0" collapsed="false">
      <c r="A86" s="34" t="str">
        <f aca="false">'مواد المخزون'!A81</f>
        <v>علبة كاليزوني</v>
      </c>
      <c r="B86" s="36" t="str">
        <f aca="false">'مواد المخزون'!B81</f>
        <v>قطعة</v>
      </c>
      <c r="C86" s="109" t="n">
        <f aca="false">'مواد المخزون'!E81</f>
        <v>4.47</v>
      </c>
      <c r="D86" s="110" t="n">
        <f aca="false">'جرد أول المدة'!E84</f>
        <v>1505</v>
      </c>
      <c r="E86" s="110" t="n">
        <f aca="false">SUMIFS('مشتريات يومية'!$D$2:$D$4001,'مشتريات يومية'!$B$2:$B$4001,$B$2,'مشتريات يومية'!$C$2:$C$4001,$A86,'مشتريات يومية'!$A$2:$A$4001,"&gt;="&amp;'إعدادات المخزون'!$B$5,'مشتريات يومية'!$A$2:$A$4001,"&lt;="&amp;'إعدادات المخزون'!$B$4)</f>
        <v>0</v>
      </c>
      <c r="F86" s="110" t="n">
        <f aca="false">SUMIFS('هالك وتحويلات'!$E$2:$E$3001,'هالك وتحويلات'!$B$2:$B$3001,$B$2,'هالك وتحويلات'!$C$2:$C$3001,$A86,'هالك وتحويلات'!$D$2:$D$3001,"تحويل وارد",'هالك وتحويلات'!$A$2:$A$3001,"&gt;="&amp;'إعدادات المخزون'!$B$5,'هالك وتحويلات'!$A$2:$A$3001,"&lt;="&amp;'إعدادات المخزون'!$B$4)</f>
        <v>0</v>
      </c>
      <c r="G86" s="110" t="n">
        <f aca="false">SUMIFS('هالك وتحويلات'!$E$2:$E$3001,'هالك وتحويلات'!$B$2:$B$3001,$B$2,'هالك وتحويلات'!$C$2:$C$3001,$A86,'هالك وتحويلات'!$D$2:$D$3001,"تحويل صادر",'هالك وتحويلات'!$A$2:$A$3001,"&gt;="&amp;'إعدادات المخزون'!$B$5,'هالك وتحويلات'!$A$2:$A$3001,"&lt;="&amp;'إعدادات المخزون'!$B$4)</f>
        <v>0</v>
      </c>
      <c r="H86" s="110" t="n">
        <f aca="false">SUMPRODUCT('مصفوفة الاستهلاك (عصافرة)'!$CC$2:$CC$190,'متجهات المبيعات'!$I$2:$I$190)/'مواد المخزون'!$D$81</f>
        <v>76.002</v>
      </c>
      <c r="I86" s="110" t="n">
        <f aca="false">SUMIFS('هالك وتحويلات'!$E$2:$E$3001,'هالك وتحويلات'!$B$2:$B$3001,$B$2,'هالك وتحويلات'!$C$2:$C$3001,$A86,'هالك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وتحويلات'!$C$2:$C$3001,$A86,'هالك وتحويلات'!$D$2:$D$3001,"ضيافة / أكل موظفين",'هالك وتحويلات'!$A$2:$A$3001,"&gt;="&amp;'إعدادات المخزون'!$B$5,'هالك وتحويلات'!$A$2:$A$3001,"&lt;="&amp;'إعدادات المخزون'!$B$4)</f>
        <v>0</v>
      </c>
      <c r="J86" s="110" t="n">
        <f aca="false">D86+E86+F86-G86-H86-I86</f>
        <v>1428.998</v>
      </c>
      <c r="K86" s="36" t="str">
        <f aca="false">IF(COUNTIFS('جرد فعلي'!$B$2:$B$12001,$B$2,'جرد فعلي'!$C$2:$C$12001,$A86,'جرد فعلي'!$A$2:$A$12001,'إعدادات المخزون'!$B$4)&gt;0,"نعم","لا")</f>
        <v>لا</v>
      </c>
      <c r="L86" s="111" t="str">
        <f aca="false">IF(K86="نعم",SUMIFS('جرد فعلي'!$D$2:$D$12001,'جرد فعلي'!$B$2:$B$12001,$B$2,'جرد فعلي'!$C$2:$C$12001,$A86,'جرد فعلي'!$A$2:$A$12001,'إعدادات المخزون'!$B$4),"")</f>
        <v/>
      </c>
      <c r="M86" s="110" t="str">
        <f aca="false">IF(K86="نعم",L86-J86,"")</f>
        <v/>
      </c>
      <c r="N86" s="112" t="str">
        <f aca="false">IF(K86="نعم",IF(J86=0,IF(M86=0,0,SIGN(M86)),M86/ABS(J86)),"")</f>
        <v/>
      </c>
      <c r="O86" s="109" t="str">
        <f aca="false">IF(K86="نعم",M86*C86,"")</f>
        <v/>
      </c>
      <c r="P86" s="36" t="str">
        <f aca="false">IF(K86&lt;&gt;"نعم","لم يُجرد",IF(ABS(N86)&lt;='إعدادات المخزون'!$B$7,"مطابق",IF(M86&lt;0,"عجز","زيادة")))</f>
        <v>لم يُجرد</v>
      </c>
      <c r="Q86" s="110" t="n">
        <f aca="false">J86-Z86</f>
        <v>1435.3315</v>
      </c>
      <c r="R86" s="110" t="str">
        <f aca="false">IF(COUNTIFS('جرد فعلي'!$B$2:$B$12001,$B$2,'جرد فعلي'!$C$2:$C$12001,$A86,'جرد فعلي'!$A$2:$A$12001,'إعدادات المخزون'!$B$4-1)&gt;0,SUMIFS('جرد فعلي'!$D$2:$D$12001,'جرد فعلي'!$B$2:$B$12001,$B$2,'جرد فعلي'!$C$2:$C$12001,$A86,'جرد فعلي'!$A$2:$A$12001,'إعدادات المخزون'!$B$4-1),"")</f>
        <v/>
      </c>
      <c r="S86" s="110" t="str">
        <f aca="false">IF(AND(K86="نعم",R86&lt;&gt;""),(L86-J86)-(R86-Q86),"")</f>
        <v/>
      </c>
      <c r="T86" s="109" t="str">
        <f aca="false">IF(S86="","",S86*C86)</f>
        <v/>
      </c>
      <c r="U86" s="110" t="n">
        <f aca="false">IF(K86="نعم",L86,J86)</f>
        <v>1428.998</v>
      </c>
      <c r="V86" s="110" t="n">
        <f aca="false">SUMPRODUCT('مصفوفة الاستهلاك (عصافرة)'!$CC$2:$CC$190,'متجهات المبيعات'!$J$2:$J$190)/'مواد المخزون'!$D$81/MAX(1,MIN('إعدادات المخزون'!$B$11,'إعدادات المخزون'!$B$4-'إعدادات المخزون'!$B$5+1))</f>
        <v>6.3335</v>
      </c>
      <c r="W86" s="110" t="n">
        <f aca="false">IF(V86&lt;=0,0,ROUNDUP(MAX(0,V86*('إعدادات المخزون'!$B$8+'إعدادات المخزون'!$B$9+'إعدادات المخزون'!$B$10)-MAX(U86,0))/'مواد المخزون'!$F81,0)*'مواد المخزون'!$F81)</f>
        <v>0</v>
      </c>
      <c r="X86" s="109" t="n">
        <f aca="false">IF(AND(K86="نعم",O86&lt;0),-O86+ROW()*0.000000001,0)</f>
        <v>0</v>
      </c>
      <c r="Y86" s="109" t="n">
        <f aca="false">IF(AND(K86="نعم",O86&gt;0),O86+ROW()*0.000000001,0)</f>
        <v>0</v>
      </c>
      <c r="Z86" s="110" t="n">
        <f aca="false">SUMIFS('مشتريات يومية'!$D$2:$D$4001,'مشتريات يومية'!$B$2:$B$4001,$B$2,'مشتريات يومية'!$C$2:$C$4001,$A86,'مشتريات يومية'!$A$2:$A$4001,'إعدادات المخزون'!$B$4)+SUMIFS('هالك وتحويلات'!$E$2:$E$3001,'هالك وتحويلات'!$B$2:$B$3001,$B$2,'هالك وتحويلات'!$C$2:$C$3001,$A86,'هالك وتحويلات'!$D$2:$D$3001,"تحويل وارد",'هالك وتحويلات'!$A$2:$A$3001,'إعدادات المخزون'!$B$4)-SUMIFS('هالك وتحويلات'!$E$2:$E$3001,'هالك وتحويلات'!$B$2:$B$3001,$B$2,'هالك وتحويلات'!$C$2:$C$3001,$A86,'هالك وتحويلات'!$D$2:$D$3001,"تحويل صادر",'هالك وتحويلات'!$A$2:$A$3001,'إعدادات المخزون'!$B$4)-SUMIFS('هالك وتحويلات'!$E$2:$E$3001,'هالك وتحويلات'!$B$2:$B$3001,$B$2,'هالك وتحويلات'!$C$2:$C$3001,$A86,'هالك وتحويلات'!$D$2:$D$3001,"هالك",'هالك وتحويلات'!$A$2:$A$3001,'إعدادات المخزون'!$B$4)-SUMIFS('هالك وتحويلات'!$E$2:$E$3001,'هالك وتحويلات'!$B$2:$B$3001,$B$2,'هالك وتحويلات'!$C$2:$C$3001,$A86,'هالك وتحويلات'!$D$2:$D$3001,"ضيافة / أكل موظفين",'هالك وتحويلات'!$A$2:$A$3001,'إعدادات المخزون'!$B$4)-SUMPRODUCT('مصفوفة الاستهلاك (عصافرة)'!$CC$2:$CC$190,'متجهات المبيعات'!$H$2:$H$190)/'مواد المخزون'!$D$81</f>
        <v>-6.3335</v>
      </c>
      <c r="AA86" s="109" t="n">
        <f aca="false">IF(K86="نعم",O86,0)</f>
        <v>0</v>
      </c>
      <c r="AB86" s="109" t="n">
        <f aca="false">IF(K86="نعم",J86*C86,0)</f>
        <v>0</v>
      </c>
      <c r="AC86" s="109" t="n">
        <f aca="false">IF(T86="",0,T86)</f>
        <v>0</v>
      </c>
    </row>
    <row r="87" customFormat="false" ht="15" hidden="false" customHeight="false" outlineLevel="0" collapsed="false">
      <c r="A87" s="34" t="str">
        <f aca="false">'مواد المخزون'!A82</f>
        <v>سوسيس/سدق صيامي</v>
      </c>
      <c r="B87" s="36" t="str">
        <f aca="false">'مواد المخزون'!B82</f>
        <v>كجم</v>
      </c>
      <c r="C87" s="109" t="n">
        <f aca="false">'مواد المخزون'!E82</f>
        <v>220.02</v>
      </c>
      <c r="D87" s="110" t="n">
        <f aca="false">'جرد أول المدة'!E85</f>
        <v>0</v>
      </c>
      <c r="E87" s="110" t="n">
        <f aca="false">SUMIFS('مشتريات يومية'!$D$2:$D$4001,'مشتريات يومية'!$B$2:$B$4001,$B$2,'مشتريات يومية'!$C$2:$C$4001,$A87,'مشتريات يومية'!$A$2:$A$4001,"&gt;="&amp;'إعدادات المخزون'!$B$5,'مشتريات يومية'!$A$2:$A$4001,"&lt;="&amp;'إعدادات المخزون'!$B$4)</f>
        <v>0</v>
      </c>
      <c r="F87" s="110" t="n">
        <f aca="false">SUMIFS('هالك وتحويلات'!$E$2:$E$3001,'هالك وتحويلات'!$B$2:$B$3001,$B$2,'هالك وتحويلات'!$C$2:$C$3001,$A87,'هالك وتحويلات'!$D$2:$D$3001,"تحويل وارد",'هالك وتحويلات'!$A$2:$A$3001,"&gt;="&amp;'إعدادات المخزون'!$B$5,'هالك وتحويلات'!$A$2:$A$3001,"&lt;="&amp;'إعدادات المخزون'!$B$4)</f>
        <v>0</v>
      </c>
      <c r="G87" s="110" t="n">
        <f aca="false">SUMIFS('هالك وتحويلات'!$E$2:$E$3001,'هالك وتحويلات'!$B$2:$B$3001,$B$2,'هالك وتحويلات'!$C$2:$C$3001,$A87,'هالك وتحويلات'!$D$2:$D$3001,"تحويل صادر",'هالك وتحويلات'!$A$2:$A$3001,"&gt;="&amp;'إعدادات المخزون'!$B$5,'هالك وتحويلات'!$A$2:$A$3001,"&lt;="&amp;'إعدادات المخزون'!$B$4)</f>
        <v>0</v>
      </c>
      <c r="H87" s="110" t="n">
        <f aca="false">SUMPRODUCT('مصفوفة الاستهلاك (عصافرة)'!$CD$2:$CD$190,'متجهات المبيعات'!$I$2:$I$190)/'مواد المخزون'!$D$82</f>
        <v>0</v>
      </c>
      <c r="I87" s="110" t="n">
        <f aca="false">SUMIFS('هالك وتحويلات'!$E$2:$E$3001,'هالك وتحويلات'!$B$2:$B$3001,$B$2,'هالك وتحويلات'!$C$2:$C$3001,$A87,'هالك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وتحويلات'!$C$2:$C$3001,$A87,'هالك وتحويلات'!$D$2:$D$3001,"ضيافة / أكل موظفين",'هالك وتحويلات'!$A$2:$A$3001,"&gt;="&amp;'إعدادات المخزون'!$B$5,'هالك وتحويلات'!$A$2:$A$3001,"&lt;="&amp;'إعدادات المخزون'!$B$4)</f>
        <v>0</v>
      </c>
      <c r="J87" s="110" t="n">
        <f aca="false">D87+E87+F87-G87-H87-I87</f>
        <v>0</v>
      </c>
      <c r="K87" s="36" t="str">
        <f aca="false">IF(COUNTIFS('جرد فعلي'!$B$2:$B$12001,$B$2,'جرد فعلي'!$C$2:$C$12001,$A87,'جرد فعلي'!$A$2:$A$12001,'إعدادات المخزون'!$B$4)&gt;0,"نعم","لا")</f>
        <v>لا</v>
      </c>
      <c r="L87" s="111" t="str">
        <f aca="false">IF(K87="نعم",SUMIFS('جرد فعلي'!$D$2:$D$12001,'جرد فعلي'!$B$2:$B$12001,$B$2,'جرد فعلي'!$C$2:$C$12001,$A87,'جرد فعلي'!$A$2:$A$12001,'إعدادات المخزون'!$B$4),"")</f>
        <v/>
      </c>
      <c r="M87" s="110" t="str">
        <f aca="false">IF(K87="نعم",L87-J87,"")</f>
        <v/>
      </c>
      <c r="N87" s="112" t="str">
        <f aca="false">IF(K87="نعم",IF(J87=0,IF(M87=0,0,SIGN(M87)),M87/ABS(J87)),"")</f>
        <v/>
      </c>
      <c r="O87" s="109" t="str">
        <f aca="false">IF(K87="نعم",M87*C87,"")</f>
        <v/>
      </c>
      <c r="P87" s="36" t="str">
        <f aca="false">IF(K87&lt;&gt;"نعم","لم يُجرد",IF(ABS(N87)&lt;='إعدادات المخزون'!$B$7,"مطابق",IF(M87&lt;0,"عجز","زيادة")))</f>
        <v>لم يُجرد</v>
      </c>
      <c r="Q87" s="110" t="n">
        <f aca="false">J87-Z87</f>
        <v>0</v>
      </c>
      <c r="R87" s="110" t="str">
        <f aca="false">IF(COUNTIFS('جرد فعلي'!$B$2:$B$12001,$B$2,'جرد فعلي'!$C$2:$C$12001,$A87,'جرد فعلي'!$A$2:$A$12001,'إعدادات المخزون'!$B$4-1)&gt;0,SUMIFS('جرد فعلي'!$D$2:$D$12001,'جرد فعلي'!$B$2:$B$12001,$B$2,'جرد فعلي'!$C$2:$C$12001,$A87,'جرد فعلي'!$A$2:$A$12001,'إعدادات المخزون'!$B$4-1),"")</f>
        <v/>
      </c>
      <c r="S87" s="110" t="str">
        <f aca="false">IF(AND(K87="نعم",R87&lt;&gt;""),(L87-J87)-(R87-Q87),"")</f>
        <v/>
      </c>
      <c r="T87" s="109" t="str">
        <f aca="false">IF(S87="","",S87*C87)</f>
        <v/>
      </c>
      <c r="U87" s="110" t="n">
        <f aca="false">IF(K87="نعم",L87,J87)</f>
        <v>0</v>
      </c>
      <c r="V87" s="110" t="n">
        <f aca="false">SUMPRODUCT('مصفوفة الاستهلاك (عصافرة)'!$CD$2:$CD$190,'متجهات المبيعات'!$J$2:$J$190)/'مواد المخزون'!$D$82/MAX(1,MIN('إعدادات المخزون'!$B$11,'إعدادات المخزون'!$B$4-'إعدادات المخزون'!$B$5+1))</f>
        <v>0</v>
      </c>
      <c r="W87" s="110" t="n">
        <f aca="false">IF(V87&lt;=0,0,ROUNDUP(MAX(0,V87*('إعدادات المخزون'!$B$8+'إعدادات المخزون'!$B$9+'إعدادات المخزون'!$B$10)-MAX(U87,0))/'مواد المخزون'!$F82,0)*'مواد المخزون'!$F82)</f>
        <v>0</v>
      </c>
      <c r="X87" s="109" t="n">
        <f aca="false">IF(AND(K87="نعم",O87&lt;0),-O87+ROW()*0.000000001,0)</f>
        <v>0</v>
      </c>
      <c r="Y87" s="109" t="n">
        <f aca="false">IF(AND(K87="نعم",O87&gt;0),O87+ROW()*0.000000001,0)</f>
        <v>0</v>
      </c>
      <c r="Z87" s="110" t="n">
        <f aca="false">SUMIFS('مشتريات يومية'!$D$2:$D$4001,'مشتريات يومية'!$B$2:$B$4001,$B$2,'مشتريات يومية'!$C$2:$C$4001,$A87,'مشتريات يومية'!$A$2:$A$4001,'إعدادات المخزون'!$B$4)+SUMIFS('هالك وتحويلات'!$E$2:$E$3001,'هالك وتحويلات'!$B$2:$B$3001,$B$2,'هالك وتحويلات'!$C$2:$C$3001,$A87,'هالك وتحويلات'!$D$2:$D$3001,"تحويل وارد",'هالك وتحويلات'!$A$2:$A$3001,'إعدادات المخزون'!$B$4)-SUMIFS('هالك وتحويلات'!$E$2:$E$3001,'هالك وتحويلات'!$B$2:$B$3001,$B$2,'هالك وتحويلات'!$C$2:$C$3001,$A87,'هالك وتحويلات'!$D$2:$D$3001,"تحويل صادر",'هالك وتحويلات'!$A$2:$A$3001,'إعدادات المخزون'!$B$4)-SUMIFS('هالك وتحويلات'!$E$2:$E$3001,'هالك وتحويلات'!$B$2:$B$3001,$B$2,'هالك وتحويلات'!$C$2:$C$3001,$A87,'هالك وتحويلات'!$D$2:$D$3001,"هالك",'هالك وتحويلات'!$A$2:$A$3001,'إعدادات المخزون'!$B$4)-SUMIFS('هالك وتحويلات'!$E$2:$E$3001,'هالك وتحويلات'!$B$2:$B$3001,$B$2,'هالك وتحويلات'!$C$2:$C$3001,$A87,'هالك وتحويلات'!$D$2:$D$3001,"ضيافة / أكل موظفين",'هالك وتحويلات'!$A$2:$A$3001,'إعدادات المخزون'!$B$4)-SUMPRODUCT('مصفوفة الاستهلاك (عصافرة)'!$CD$2:$CD$190,'متجهات المبيعات'!$H$2:$H$190)/'مواد المخزون'!$D$82</f>
        <v>0</v>
      </c>
      <c r="AA87" s="109" t="n">
        <f aca="false">IF(K87="نعم",O87,0)</f>
        <v>0</v>
      </c>
      <c r="AB87" s="109" t="n">
        <f aca="false">IF(K87="نعم",J87*C87,0)</f>
        <v>0</v>
      </c>
      <c r="AC87" s="109" t="n">
        <f aca="false">IF(T87="",0,T87)</f>
        <v>0</v>
      </c>
    </row>
    <row r="88" customFormat="false" ht="15" hidden="false" customHeight="false" outlineLevel="0" collapsed="false">
      <c r="A88" s="34" t="str">
        <f aca="false">'مواد المخزون'!A83</f>
        <v>شاورما فراخ/سدق صيامي</v>
      </c>
      <c r="B88" s="36" t="str">
        <f aca="false">'مواد المخزون'!B83</f>
        <v>كجم</v>
      </c>
      <c r="C88" s="109" t="n">
        <f aca="false">'مواد المخزون'!E83</f>
        <v>219.23</v>
      </c>
      <c r="D88" s="110" t="n">
        <f aca="false">'جرد أول المدة'!E86</f>
        <v>0.77</v>
      </c>
      <c r="E88" s="110" t="n">
        <f aca="false">SUMIFS('مشتريات يومية'!$D$2:$D$4001,'مشتريات يومية'!$B$2:$B$4001,$B$2,'مشتريات يومية'!$C$2:$C$4001,$A88,'مشتريات يومية'!$A$2:$A$4001,"&gt;="&amp;'إعدادات المخزون'!$B$5,'مشتريات يومية'!$A$2:$A$4001,"&lt;="&amp;'إعدادات المخزون'!$B$4)</f>
        <v>0</v>
      </c>
      <c r="F88" s="110" t="n">
        <f aca="false">SUMIFS('هالك وتحويلات'!$E$2:$E$3001,'هالك وتحويلات'!$B$2:$B$3001,$B$2,'هالك وتحويلات'!$C$2:$C$3001,$A88,'هالك وتحويلات'!$D$2:$D$3001,"تحويل وارد",'هالك وتحويلات'!$A$2:$A$3001,"&gt;="&amp;'إعدادات المخزون'!$B$5,'هالك وتحويلات'!$A$2:$A$3001,"&lt;="&amp;'إعدادات المخزون'!$B$4)</f>
        <v>0</v>
      </c>
      <c r="G88" s="110" t="n">
        <f aca="false">SUMIFS('هالك وتحويلات'!$E$2:$E$3001,'هالك وتحويلات'!$B$2:$B$3001,$B$2,'هالك وتحويلات'!$C$2:$C$3001,$A88,'هالك وتحويلات'!$D$2:$D$3001,"تحويل صادر",'هالك وتحويلات'!$A$2:$A$3001,"&gt;="&amp;'إعدادات المخزون'!$B$5,'هالك وتحويلات'!$A$2:$A$3001,"&lt;="&amp;'إعدادات المخزون'!$B$4)</f>
        <v>0</v>
      </c>
      <c r="H88" s="110" t="n">
        <f aca="false">SUMPRODUCT('مصفوفة الاستهلاك (عصافرة)'!$CE$2:$CE$190,'متجهات المبيعات'!$I$2:$I$190)/'مواد المخزون'!$D$83</f>
        <v>0</v>
      </c>
      <c r="I88" s="110" t="n">
        <f aca="false">SUMIFS('هالك وتحويلات'!$E$2:$E$3001,'هالك وتحويلات'!$B$2:$B$3001,$B$2,'هالك وتحويلات'!$C$2:$C$3001,$A88,'هالك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وتحويلات'!$C$2:$C$3001,$A88,'هالك وتحويلات'!$D$2:$D$3001,"ضيافة / أكل موظفين",'هالك وتحويلات'!$A$2:$A$3001,"&gt;="&amp;'إعدادات المخزون'!$B$5,'هالك وتحويلات'!$A$2:$A$3001,"&lt;="&amp;'إعدادات المخزون'!$B$4)</f>
        <v>0</v>
      </c>
      <c r="J88" s="110" t="n">
        <f aca="false">D88+E88+F88-G88-H88-I88</f>
        <v>0.77</v>
      </c>
      <c r="K88" s="36" t="str">
        <f aca="false">IF(COUNTIFS('جرد فعلي'!$B$2:$B$12001,$B$2,'جرد فعلي'!$C$2:$C$12001,$A88,'جرد فعلي'!$A$2:$A$12001,'إعدادات المخزون'!$B$4)&gt;0,"نعم","لا")</f>
        <v>لا</v>
      </c>
      <c r="L88" s="111" t="str">
        <f aca="false">IF(K88="نعم",SUMIFS('جرد فعلي'!$D$2:$D$12001,'جرد فعلي'!$B$2:$B$12001,$B$2,'جرد فعلي'!$C$2:$C$12001,$A88,'جرد فعلي'!$A$2:$A$12001,'إعدادات المخزون'!$B$4),"")</f>
        <v/>
      </c>
      <c r="M88" s="110" t="str">
        <f aca="false">IF(K88="نعم",L88-J88,"")</f>
        <v/>
      </c>
      <c r="N88" s="112" t="str">
        <f aca="false">IF(K88="نعم",IF(J88=0,IF(M88=0,0,SIGN(M88)),M88/ABS(J88)),"")</f>
        <v/>
      </c>
      <c r="O88" s="109" t="str">
        <f aca="false">IF(K88="نعم",M88*C88,"")</f>
        <v/>
      </c>
      <c r="P88" s="36" t="str">
        <f aca="false">IF(K88&lt;&gt;"نعم","لم يُجرد",IF(ABS(N88)&lt;='إعدادات المخزون'!$B$7,"مطابق",IF(M88&lt;0,"عجز","زيادة")))</f>
        <v>لم يُجرد</v>
      </c>
      <c r="Q88" s="110" t="n">
        <f aca="false">J88-Z88</f>
        <v>0.77</v>
      </c>
      <c r="R88" s="110" t="str">
        <f aca="false">IF(COUNTIFS('جرد فعلي'!$B$2:$B$12001,$B$2,'جرد فعلي'!$C$2:$C$12001,$A88,'جرد فعلي'!$A$2:$A$12001,'إعدادات المخزون'!$B$4-1)&gt;0,SUMIFS('جرد فعلي'!$D$2:$D$12001,'جرد فعلي'!$B$2:$B$12001,$B$2,'جرد فعلي'!$C$2:$C$12001,$A88,'جرد فعلي'!$A$2:$A$12001,'إعدادات المخزون'!$B$4-1),"")</f>
        <v/>
      </c>
      <c r="S88" s="110" t="str">
        <f aca="false">IF(AND(K88="نعم",R88&lt;&gt;""),(L88-J88)-(R88-Q88),"")</f>
        <v/>
      </c>
      <c r="T88" s="109" t="str">
        <f aca="false">IF(S88="","",S88*C88)</f>
        <v/>
      </c>
      <c r="U88" s="110" t="n">
        <f aca="false">IF(K88="نعم",L88,J88)</f>
        <v>0.77</v>
      </c>
      <c r="V88" s="110" t="n">
        <f aca="false">SUMPRODUCT('مصفوفة الاستهلاك (عصافرة)'!$CE$2:$CE$190,'متجهات المبيعات'!$J$2:$J$190)/'مواد المخزون'!$D$83/MAX(1,MIN('إعدادات المخزون'!$B$11,'إعدادات المخزون'!$B$4-'إعدادات المخزون'!$B$5+1))</f>
        <v>0</v>
      </c>
      <c r="W88" s="110" t="n">
        <f aca="false">IF(V88&lt;=0,0,ROUNDUP(MAX(0,V88*('إعدادات المخزون'!$B$8+'إعدادات المخزون'!$B$9+'إعدادات المخزون'!$B$10)-MAX(U88,0))/'مواد المخزون'!$F83,0)*'مواد المخزون'!$F83)</f>
        <v>0</v>
      </c>
      <c r="X88" s="109" t="n">
        <f aca="false">IF(AND(K88="نعم",O88&lt;0),-O88+ROW()*0.000000001,0)</f>
        <v>0</v>
      </c>
      <c r="Y88" s="109" t="n">
        <f aca="false">IF(AND(K88="نعم",O88&gt;0),O88+ROW()*0.000000001,0)</f>
        <v>0</v>
      </c>
      <c r="Z88" s="110" t="n">
        <f aca="false">SUMIFS('مشتريات يومية'!$D$2:$D$4001,'مشتريات يومية'!$B$2:$B$4001,$B$2,'مشتريات يومية'!$C$2:$C$4001,$A88,'مشتريات يومية'!$A$2:$A$4001,'إعدادات المخزون'!$B$4)+SUMIFS('هالك وتحويلات'!$E$2:$E$3001,'هالك وتحويلات'!$B$2:$B$3001,$B$2,'هالك وتحويلات'!$C$2:$C$3001,$A88,'هالك وتحويلات'!$D$2:$D$3001,"تحويل وارد",'هالك وتحويلات'!$A$2:$A$3001,'إعدادات المخزون'!$B$4)-SUMIFS('هالك وتحويلات'!$E$2:$E$3001,'هالك وتحويلات'!$B$2:$B$3001,$B$2,'هالك وتحويلات'!$C$2:$C$3001,$A88,'هالك وتحويلات'!$D$2:$D$3001,"تحويل صادر",'هالك وتحويلات'!$A$2:$A$3001,'إعدادات المخزون'!$B$4)-SUMIFS('هالك وتحويلات'!$E$2:$E$3001,'هالك وتحويلات'!$B$2:$B$3001,$B$2,'هالك وتحويلات'!$C$2:$C$3001,$A88,'هالك وتحويلات'!$D$2:$D$3001,"هالك",'هالك وتحويلات'!$A$2:$A$3001,'إعدادات المخزون'!$B$4)-SUMIFS('هالك وتحويلات'!$E$2:$E$3001,'هالك وتحويلات'!$B$2:$B$3001,$B$2,'هالك وتحويلات'!$C$2:$C$3001,$A88,'هالك وتحويلات'!$D$2:$D$3001,"ضيافة / أكل موظفين",'هالك وتحويلات'!$A$2:$A$3001,'إعدادات المخزون'!$B$4)-SUMPRODUCT('مصفوفة الاستهلاك (عصافرة)'!$CE$2:$CE$190,'متجهات المبيعات'!$H$2:$H$190)/'مواد المخزون'!$D$83</f>
        <v>0</v>
      </c>
      <c r="AA88" s="109" t="n">
        <f aca="false">IF(K88="نعم",O88,0)</f>
        <v>0</v>
      </c>
      <c r="AB88" s="109" t="n">
        <f aca="false">IF(K88="نعم",J88*C88,0)</f>
        <v>0</v>
      </c>
      <c r="AC88" s="109" t="n">
        <f aca="false">IF(T88="",0,T88)</f>
        <v>0</v>
      </c>
    </row>
    <row r="89" customFormat="false" ht="15" hidden="false" customHeight="false" outlineLevel="0" collapsed="false">
      <c r="A89" s="34" t="str">
        <f aca="false">'مواد المخزون'!A84</f>
        <v>برجر صيامي</v>
      </c>
      <c r="B89" s="36" t="str">
        <f aca="false">'مواد المخزون'!B84</f>
        <v>قطعة</v>
      </c>
      <c r="C89" s="109" t="n">
        <f aca="false">'مواد المخزون'!E84</f>
        <v>6</v>
      </c>
      <c r="D89" s="110" t="n">
        <f aca="false">'جرد أول المدة'!E87</f>
        <v>0</v>
      </c>
      <c r="E89" s="110" t="n">
        <f aca="false">SUMIFS('مشتريات يومية'!$D$2:$D$4001,'مشتريات يومية'!$B$2:$B$4001,$B$2,'مشتريات يومية'!$C$2:$C$4001,$A89,'مشتريات يومية'!$A$2:$A$4001,"&gt;="&amp;'إعدادات المخزون'!$B$5,'مشتريات يومية'!$A$2:$A$4001,"&lt;="&amp;'إعدادات المخزون'!$B$4)</f>
        <v>0</v>
      </c>
      <c r="F89" s="110" t="n">
        <f aca="false">SUMIFS('هالك وتحويلات'!$E$2:$E$3001,'هالك وتحويلات'!$B$2:$B$3001,$B$2,'هالك وتحويلات'!$C$2:$C$3001,$A89,'هالك وتحويلات'!$D$2:$D$3001,"تحويل وارد",'هالك وتحويلات'!$A$2:$A$3001,"&gt;="&amp;'إعدادات المخزون'!$B$5,'هالك وتحويلات'!$A$2:$A$3001,"&lt;="&amp;'إعدادات المخزون'!$B$4)</f>
        <v>0</v>
      </c>
      <c r="G89" s="110" t="n">
        <f aca="false">SUMIFS('هالك وتحويلات'!$E$2:$E$3001,'هالك وتحويلات'!$B$2:$B$3001,$B$2,'هالك وتحويلات'!$C$2:$C$3001,$A89,'هالك وتحويلات'!$D$2:$D$3001,"تحويل صادر",'هالك وتحويلات'!$A$2:$A$3001,"&gt;="&amp;'إعدادات المخزون'!$B$5,'هالك وتحويلات'!$A$2:$A$3001,"&lt;="&amp;'إعدادات المخزون'!$B$4)</f>
        <v>0</v>
      </c>
      <c r="H89" s="110" t="n">
        <f aca="false">SUMPRODUCT('مصفوفة الاستهلاك (عصافرة)'!$CF$2:$CF$190,'متجهات المبيعات'!$I$2:$I$190)/'مواد المخزون'!$D$84</f>
        <v>0</v>
      </c>
      <c r="I89" s="110" t="n">
        <f aca="false">SUMIFS('هالك وتحويلات'!$E$2:$E$3001,'هالك وتحويلات'!$B$2:$B$3001,$B$2,'هالك وتحويلات'!$C$2:$C$3001,$A89,'هالك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وتحويلات'!$C$2:$C$3001,$A89,'هالك وتحويلات'!$D$2:$D$3001,"ضيافة / أكل موظفين",'هالك وتحويلات'!$A$2:$A$3001,"&gt;="&amp;'إعدادات المخزون'!$B$5,'هالك وتحويلات'!$A$2:$A$3001,"&lt;="&amp;'إعدادات المخزون'!$B$4)</f>
        <v>0</v>
      </c>
      <c r="J89" s="110" t="n">
        <f aca="false">D89+E89+F89-G89-H89-I89</f>
        <v>0</v>
      </c>
      <c r="K89" s="36" t="str">
        <f aca="false">IF(COUNTIFS('جرد فعلي'!$B$2:$B$12001,$B$2,'جرد فعلي'!$C$2:$C$12001,$A89,'جرد فعلي'!$A$2:$A$12001,'إعدادات المخزون'!$B$4)&gt;0,"نعم","لا")</f>
        <v>لا</v>
      </c>
      <c r="L89" s="111" t="str">
        <f aca="false">IF(K89="نعم",SUMIFS('جرد فعلي'!$D$2:$D$12001,'جرد فعلي'!$B$2:$B$12001,$B$2,'جرد فعلي'!$C$2:$C$12001,$A89,'جرد فعلي'!$A$2:$A$12001,'إعدادات المخزون'!$B$4),"")</f>
        <v/>
      </c>
      <c r="M89" s="110" t="str">
        <f aca="false">IF(K89="نعم",L89-J89,"")</f>
        <v/>
      </c>
      <c r="N89" s="112" t="str">
        <f aca="false">IF(K89="نعم",IF(J89=0,IF(M89=0,0,SIGN(M89)),M89/ABS(J89)),"")</f>
        <v/>
      </c>
      <c r="O89" s="109" t="str">
        <f aca="false">IF(K89="نعم",M89*C89,"")</f>
        <v/>
      </c>
      <c r="P89" s="36" t="str">
        <f aca="false">IF(K89&lt;&gt;"نعم","لم يُجرد",IF(ABS(N89)&lt;='إعدادات المخزون'!$B$7,"مطابق",IF(M89&lt;0,"عجز","زيادة")))</f>
        <v>لم يُجرد</v>
      </c>
      <c r="Q89" s="110" t="n">
        <f aca="false">J89-Z89</f>
        <v>0</v>
      </c>
      <c r="R89" s="110" t="str">
        <f aca="false">IF(COUNTIFS('جرد فعلي'!$B$2:$B$12001,$B$2,'جرد فعلي'!$C$2:$C$12001,$A89,'جرد فعلي'!$A$2:$A$12001,'إعدادات المخزون'!$B$4-1)&gt;0,SUMIFS('جرد فعلي'!$D$2:$D$12001,'جرد فعلي'!$B$2:$B$12001,$B$2,'جرد فعلي'!$C$2:$C$12001,$A89,'جرد فعلي'!$A$2:$A$12001,'إعدادات المخزون'!$B$4-1),"")</f>
        <v/>
      </c>
      <c r="S89" s="110" t="str">
        <f aca="false">IF(AND(K89="نعم",R89&lt;&gt;""),(L89-J89)-(R89-Q89),"")</f>
        <v/>
      </c>
      <c r="T89" s="109" t="str">
        <f aca="false">IF(S89="","",S89*C89)</f>
        <v/>
      </c>
      <c r="U89" s="110" t="n">
        <f aca="false">IF(K89="نعم",L89,J89)</f>
        <v>0</v>
      </c>
      <c r="V89" s="110" t="n">
        <f aca="false">SUMPRODUCT('مصفوفة الاستهلاك (عصافرة)'!$CF$2:$CF$190,'متجهات المبيعات'!$J$2:$J$190)/'مواد المخزون'!$D$84/MAX(1,MIN('إعدادات المخزون'!$B$11,'إعدادات المخزون'!$B$4-'إعدادات المخزون'!$B$5+1))</f>
        <v>0</v>
      </c>
      <c r="W89" s="110" t="n">
        <f aca="false">IF(V89&lt;=0,0,ROUNDUP(MAX(0,V89*('إعدادات المخزون'!$B$8+'إعدادات المخزون'!$B$9+'إعدادات المخزون'!$B$10)-MAX(U89,0))/'مواد المخزون'!$F84,0)*'مواد المخزون'!$F84)</f>
        <v>0</v>
      </c>
      <c r="X89" s="109" t="n">
        <f aca="false">IF(AND(K89="نعم",O89&lt;0),-O89+ROW()*0.000000001,0)</f>
        <v>0</v>
      </c>
      <c r="Y89" s="109" t="n">
        <f aca="false">IF(AND(K89="نعم",O89&gt;0),O89+ROW()*0.000000001,0)</f>
        <v>0</v>
      </c>
      <c r="Z89" s="110" t="n">
        <f aca="false">SUMIFS('مشتريات يومية'!$D$2:$D$4001,'مشتريات يومية'!$B$2:$B$4001,$B$2,'مشتريات يومية'!$C$2:$C$4001,$A89,'مشتريات يومية'!$A$2:$A$4001,'إعدادات المخزون'!$B$4)+SUMIFS('هالك وتحويلات'!$E$2:$E$3001,'هالك وتحويلات'!$B$2:$B$3001,$B$2,'هالك وتحويلات'!$C$2:$C$3001,$A89,'هالك وتحويلات'!$D$2:$D$3001,"تحويل وارد",'هالك وتحويلات'!$A$2:$A$3001,'إعدادات المخزون'!$B$4)-SUMIFS('هالك وتحويلات'!$E$2:$E$3001,'هالك وتحويلات'!$B$2:$B$3001,$B$2,'هالك وتحويلات'!$C$2:$C$3001,$A89,'هالك وتحويلات'!$D$2:$D$3001,"تحويل صادر",'هالك وتحويلات'!$A$2:$A$3001,'إعدادات المخزون'!$B$4)-SUMIFS('هالك وتحويلات'!$E$2:$E$3001,'هالك وتحويلات'!$B$2:$B$3001,$B$2,'هالك وتحويلات'!$C$2:$C$3001,$A89,'هالك وتحويلات'!$D$2:$D$3001,"هالك",'هالك وتحويلات'!$A$2:$A$3001,'إعدادات المخزون'!$B$4)-SUMIFS('هالك وتحويلات'!$E$2:$E$3001,'هالك وتحويلات'!$B$2:$B$3001,$B$2,'هالك وتحويلات'!$C$2:$C$3001,$A89,'هالك وتحويلات'!$D$2:$D$3001,"ضيافة / أكل موظفين",'هالك وتحويلات'!$A$2:$A$3001,'إعدادات المخزون'!$B$4)-SUMPRODUCT('مصفوفة الاستهلاك (عصافرة)'!$CF$2:$CF$190,'متجهات المبيعات'!$H$2:$H$190)/'مواد المخزون'!$D$84</f>
        <v>0</v>
      </c>
      <c r="AA89" s="109" t="n">
        <f aca="false">IF(K89="نعم",O89,0)</f>
        <v>0</v>
      </c>
      <c r="AB89" s="109" t="n">
        <f aca="false">IF(K89="نعم",J89*C89,0)</f>
        <v>0</v>
      </c>
      <c r="AC89" s="109" t="n">
        <f aca="false">IF(T89="",0,T89)</f>
        <v>0</v>
      </c>
    </row>
    <row r="90" customFormat="false" ht="15" hidden="false" customHeight="false" outlineLevel="0" collapsed="false">
      <c r="A90" s="34" t="str">
        <f aca="false">'مواد المخزون'!A85</f>
        <v>سكينة بلاستيك</v>
      </c>
      <c r="B90" s="36" t="str">
        <f aca="false">'مواد المخزون'!B85</f>
        <v>قطعة</v>
      </c>
      <c r="C90" s="109" t="n">
        <f aca="false">'مواد المخزون'!E85</f>
        <v>0.3</v>
      </c>
      <c r="D90" s="110" t="n">
        <f aca="false">'جرد أول المدة'!E88</f>
        <v>207</v>
      </c>
      <c r="E90" s="110" t="n">
        <f aca="false">SUMIFS('مشتريات يومية'!$D$2:$D$4001,'مشتريات يومية'!$B$2:$B$4001,$B$2,'مشتريات يومية'!$C$2:$C$4001,$A90,'مشتريات يومية'!$A$2:$A$4001,"&gt;="&amp;'إعدادات المخزون'!$B$5,'مشتريات يومية'!$A$2:$A$4001,"&lt;="&amp;'إعدادات المخزون'!$B$4)</f>
        <v>300</v>
      </c>
      <c r="F90" s="110" t="n">
        <f aca="false">SUMIFS('هالك وتحويلات'!$E$2:$E$3001,'هالك وتحويلات'!$B$2:$B$3001,$B$2,'هالك وتحويلات'!$C$2:$C$3001,$A90,'هالك وتحويلات'!$D$2:$D$3001,"تحويل وارد",'هالك وتحويلات'!$A$2:$A$3001,"&gt;="&amp;'إعدادات المخزون'!$B$5,'هالك وتحويلات'!$A$2:$A$3001,"&lt;="&amp;'إعدادات المخزون'!$B$4)</f>
        <v>0</v>
      </c>
      <c r="G90" s="110" t="n">
        <f aca="false">SUMIFS('هالك وتحويلات'!$E$2:$E$3001,'هالك وتحويلات'!$B$2:$B$3001,$B$2,'هالك وتحويلات'!$C$2:$C$3001,$A90,'هالك وتحويلات'!$D$2:$D$3001,"تحويل صادر",'هالك وتحويلات'!$A$2:$A$3001,"&gt;="&amp;'إعدادات المخزون'!$B$5,'هالك وتحويلات'!$A$2:$A$3001,"&lt;="&amp;'إعدادات المخزون'!$B$4)</f>
        <v>0</v>
      </c>
      <c r="H90" s="110" t="n">
        <f aca="false">SUMPRODUCT('مصفوفة الاستهلاك (عصافرة)'!$CG$2:$CG$190,'متجهات المبيعات'!$I$2:$I$190)/'مواد المخزون'!$D$85</f>
        <v>130.9992</v>
      </c>
      <c r="I90" s="110" t="n">
        <f aca="false">SUMIFS('هالك وتحويلات'!$E$2:$E$3001,'هالك وتحويلات'!$B$2:$B$3001,$B$2,'هالك وتحويلات'!$C$2:$C$3001,$A90,'هالك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وتحويلات'!$C$2:$C$3001,$A90,'هالك وتحويلات'!$D$2:$D$3001,"ضيافة / أكل موظفين",'هالك وتحويلات'!$A$2:$A$3001,"&gt;="&amp;'إعدادات المخزون'!$B$5,'هالك وتحويلات'!$A$2:$A$3001,"&lt;="&amp;'إعدادات المخزون'!$B$4)</f>
        <v>0</v>
      </c>
      <c r="J90" s="110" t="n">
        <f aca="false">D90+E90+F90-G90-H90-I90</f>
        <v>376.0008</v>
      </c>
      <c r="K90" s="36" t="str">
        <f aca="false">IF(COUNTIFS('جرد فعلي'!$B$2:$B$12001,$B$2,'جرد فعلي'!$C$2:$C$12001,$A90,'جرد فعلي'!$A$2:$A$12001,'إعدادات المخزون'!$B$4)&gt;0,"نعم","لا")</f>
        <v>لا</v>
      </c>
      <c r="L90" s="111" t="str">
        <f aca="false">IF(K90="نعم",SUMIFS('جرد فعلي'!$D$2:$D$12001,'جرد فعلي'!$B$2:$B$12001,$B$2,'جرد فعلي'!$C$2:$C$12001,$A90,'جرد فعلي'!$A$2:$A$12001,'إعدادات المخزون'!$B$4),"")</f>
        <v/>
      </c>
      <c r="M90" s="110" t="str">
        <f aca="false">IF(K90="نعم",L90-J90,"")</f>
        <v/>
      </c>
      <c r="N90" s="112" t="str">
        <f aca="false">IF(K90="نعم",IF(J90=0,IF(M90=0,0,SIGN(M90)),M90/ABS(J90)),"")</f>
        <v/>
      </c>
      <c r="O90" s="109" t="str">
        <f aca="false">IF(K90="نعم",M90*C90,"")</f>
        <v/>
      </c>
      <c r="P90" s="36" t="str">
        <f aca="false">IF(K90&lt;&gt;"نعم","لم يُجرد",IF(ABS(N90)&lt;='إعدادات المخزون'!$B$7,"مطابق",IF(M90&lt;0,"عجز","زيادة")))</f>
        <v>لم يُجرد</v>
      </c>
      <c r="Q90" s="110" t="n">
        <f aca="false">J90-Z90</f>
        <v>386.9174</v>
      </c>
      <c r="R90" s="110" t="str">
        <f aca="false">IF(COUNTIFS('جرد فعلي'!$B$2:$B$12001,$B$2,'جرد فعلي'!$C$2:$C$12001,$A90,'جرد فعلي'!$A$2:$A$12001,'إعدادات المخزون'!$B$4-1)&gt;0,SUMIFS('جرد فعلي'!$D$2:$D$12001,'جرد فعلي'!$B$2:$B$12001,$B$2,'جرد فعلي'!$C$2:$C$12001,$A90,'جرد فعلي'!$A$2:$A$12001,'إعدادات المخزون'!$B$4-1),"")</f>
        <v/>
      </c>
      <c r="S90" s="110" t="str">
        <f aca="false">IF(AND(K90="نعم",R90&lt;&gt;""),(L90-J90)-(R90-Q90),"")</f>
        <v/>
      </c>
      <c r="T90" s="109" t="str">
        <f aca="false">IF(S90="","",S90*C90)</f>
        <v/>
      </c>
      <c r="U90" s="110" t="n">
        <f aca="false">IF(K90="نعم",L90,J90)</f>
        <v>376.0008</v>
      </c>
      <c r="V90" s="110" t="n">
        <f aca="false">SUMPRODUCT('مصفوفة الاستهلاك (عصافرة)'!$CG$2:$CG$190,'متجهات المبيعات'!$J$2:$J$190)/'مواد المخزون'!$D$85/MAX(1,MIN('إعدادات المخزون'!$B$11,'إعدادات المخزون'!$B$4-'إعدادات المخزون'!$B$5+1))</f>
        <v>10.9166</v>
      </c>
      <c r="W90" s="110" t="n">
        <f aca="false">IF(V90&lt;=0,0,ROUNDUP(MAX(0,V90*('إعدادات المخزون'!$B$8+'إعدادات المخزون'!$B$9+'إعدادات المخزون'!$B$10)-MAX(U90,0))/'مواد المخزون'!$F85,0)*'مواد المخزون'!$F85)</f>
        <v>0</v>
      </c>
      <c r="X90" s="109" t="n">
        <f aca="false">IF(AND(K90="نعم",O90&lt;0),-O90+ROW()*0.000000001,0)</f>
        <v>0</v>
      </c>
      <c r="Y90" s="109" t="n">
        <f aca="false">IF(AND(K90="نعم",O90&gt;0),O90+ROW()*0.000000001,0)</f>
        <v>0</v>
      </c>
      <c r="Z90" s="110" t="n">
        <f aca="false">SUMIFS('مشتريات يومية'!$D$2:$D$4001,'مشتريات يومية'!$B$2:$B$4001,$B$2,'مشتريات يومية'!$C$2:$C$4001,$A90,'مشتريات يومية'!$A$2:$A$4001,'إعدادات المخزون'!$B$4)+SUMIFS('هالك وتحويلات'!$E$2:$E$3001,'هالك وتحويلات'!$B$2:$B$3001,$B$2,'هالك وتحويلات'!$C$2:$C$3001,$A90,'هالك وتحويلات'!$D$2:$D$3001,"تحويل وارد",'هالك وتحويلات'!$A$2:$A$3001,'إعدادات المخزون'!$B$4)-SUMIFS('هالك وتحويلات'!$E$2:$E$3001,'هالك وتحويلات'!$B$2:$B$3001,$B$2,'هالك وتحويلات'!$C$2:$C$3001,$A90,'هالك وتحويلات'!$D$2:$D$3001,"تحويل صادر",'هالك وتحويلات'!$A$2:$A$3001,'إعدادات المخزون'!$B$4)-SUMIFS('هالك وتحويلات'!$E$2:$E$3001,'هالك وتحويلات'!$B$2:$B$3001,$B$2,'هالك وتحويلات'!$C$2:$C$3001,$A90,'هالك وتحويلات'!$D$2:$D$3001,"هالك",'هالك وتحويلات'!$A$2:$A$3001,'إعدادات المخزون'!$B$4)-SUMIFS('هالك وتحويلات'!$E$2:$E$3001,'هالك وتحويلات'!$B$2:$B$3001,$B$2,'هالك وتحويلات'!$C$2:$C$3001,$A90,'هالك وتحويلات'!$D$2:$D$3001,"ضيافة / أكل موظفين",'هالك وتحويلات'!$A$2:$A$3001,'إعدادات المخزون'!$B$4)-SUMPRODUCT('مصفوفة الاستهلاك (عصافرة)'!$CG$2:$CG$190,'متجهات المبيعات'!$H$2:$H$190)/'مواد المخزون'!$D$85</f>
        <v>-10.9166</v>
      </c>
      <c r="AA90" s="109" t="n">
        <f aca="false">IF(K90="نعم",O90,0)</f>
        <v>0</v>
      </c>
      <c r="AB90" s="109" t="n">
        <f aca="false">IF(K90="نعم",J90*C90,0)</f>
        <v>0</v>
      </c>
      <c r="AC90" s="109" t="n">
        <f aca="false">IF(T90="",0,T90)</f>
        <v>0</v>
      </c>
    </row>
    <row r="91" customFormat="false" ht="15" hidden="false" customHeight="false" outlineLevel="0" collapsed="false">
      <c r="A91" s="34" t="str">
        <f aca="false">'مواد المخزون'!A86</f>
        <v>علب مكرونة</v>
      </c>
      <c r="B91" s="36" t="str">
        <f aca="false">'مواد المخزون'!B86</f>
        <v>قطعة</v>
      </c>
      <c r="C91" s="109" t="n">
        <f aca="false">'مواد المخزون'!E86</f>
        <v>4.44</v>
      </c>
      <c r="D91" s="110" t="n">
        <f aca="false">'جرد أول المدة'!E89</f>
        <v>1724</v>
      </c>
      <c r="E91" s="110" t="n">
        <f aca="false">SUMIFS('مشتريات يومية'!$D$2:$D$4001,'مشتريات يومية'!$B$2:$B$4001,$B$2,'مشتريات يومية'!$C$2:$C$4001,$A91,'مشتريات يومية'!$A$2:$A$4001,"&gt;="&amp;'إعدادات المخزون'!$B$5,'مشتريات يومية'!$A$2:$A$4001,"&lt;="&amp;'إعدادات المخزون'!$B$4)</f>
        <v>0</v>
      </c>
      <c r="F91" s="110" t="n">
        <f aca="false">SUMIFS('هالك وتحويلات'!$E$2:$E$3001,'هالك وتحويلات'!$B$2:$B$3001,$B$2,'هالك وتحويلات'!$C$2:$C$3001,$A91,'هالك وتحويلات'!$D$2:$D$3001,"تحويل وارد",'هالك وتحويلات'!$A$2:$A$3001,"&gt;="&amp;'إعدادات المخزون'!$B$5,'هالك وتحويلات'!$A$2:$A$3001,"&lt;="&amp;'إعدادات المخزون'!$B$4)</f>
        <v>0</v>
      </c>
      <c r="G91" s="110" t="n">
        <f aca="false">SUMIFS('هالك وتحويلات'!$E$2:$E$3001,'هالك وتحويلات'!$B$2:$B$3001,$B$2,'هالك وتحويلات'!$C$2:$C$3001,$A91,'هالك وتحويلات'!$D$2:$D$3001,"تحويل صادر",'هالك وتحويلات'!$A$2:$A$3001,"&gt;="&amp;'إعدادات المخزون'!$B$5,'هالك وتحويلات'!$A$2:$A$3001,"&lt;="&amp;'إعدادات المخزون'!$B$4)</f>
        <v>0</v>
      </c>
      <c r="H91" s="110" t="n">
        <f aca="false">SUMPRODUCT('مصفوفة الاستهلاك (عصافرة)'!$CH$2:$CH$190,'متجهات المبيعات'!$I$2:$I$190)/'مواد المخزون'!$D$86</f>
        <v>130.9992</v>
      </c>
      <c r="I91" s="110" t="n">
        <f aca="false">SUMIFS('هالك وتحويلات'!$E$2:$E$3001,'هالك وتحويلات'!$B$2:$B$3001,$B$2,'هالك وتحويلات'!$C$2:$C$3001,$A91,'هالك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وتحويلات'!$C$2:$C$3001,$A91,'هالك وتحويلات'!$D$2:$D$3001,"ضيافة / أكل موظفين",'هالك وتحويلات'!$A$2:$A$3001,"&gt;="&amp;'إعدادات المخزون'!$B$5,'هالك وتحويلات'!$A$2:$A$3001,"&lt;="&amp;'إعدادات المخزون'!$B$4)</f>
        <v>0</v>
      </c>
      <c r="J91" s="110" t="n">
        <f aca="false">D91+E91+F91-G91-H91-I91</f>
        <v>1593.0008</v>
      </c>
      <c r="K91" s="36" t="str">
        <f aca="false">IF(COUNTIFS('جرد فعلي'!$B$2:$B$12001,$B$2,'جرد فعلي'!$C$2:$C$12001,$A91,'جرد فعلي'!$A$2:$A$12001,'إعدادات المخزون'!$B$4)&gt;0,"نعم","لا")</f>
        <v>لا</v>
      </c>
      <c r="L91" s="111" t="str">
        <f aca="false">IF(K91="نعم",SUMIFS('جرد فعلي'!$D$2:$D$12001,'جرد فعلي'!$B$2:$B$12001,$B$2,'جرد فعلي'!$C$2:$C$12001,$A91,'جرد فعلي'!$A$2:$A$12001,'إعدادات المخزون'!$B$4),"")</f>
        <v/>
      </c>
      <c r="M91" s="110" t="str">
        <f aca="false">IF(K91="نعم",L91-J91,"")</f>
        <v/>
      </c>
      <c r="N91" s="112" t="str">
        <f aca="false">IF(K91="نعم",IF(J91=0,IF(M91=0,0,SIGN(M91)),M91/ABS(J91)),"")</f>
        <v/>
      </c>
      <c r="O91" s="109" t="str">
        <f aca="false">IF(K91="نعم",M91*C91,"")</f>
        <v/>
      </c>
      <c r="P91" s="36" t="str">
        <f aca="false">IF(K91&lt;&gt;"نعم","لم يُجرد",IF(ABS(N91)&lt;='إعدادات المخزون'!$B$7,"مطابق",IF(M91&lt;0,"عجز","زيادة")))</f>
        <v>لم يُجرد</v>
      </c>
      <c r="Q91" s="110" t="n">
        <f aca="false">J91-Z91</f>
        <v>1603.9174</v>
      </c>
      <c r="R91" s="110" t="str">
        <f aca="false">IF(COUNTIFS('جرد فعلي'!$B$2:$B$12001,$B$2,'جرد فعلي'!$C$2:$C$12001,$A91,'جرد فعلي'!$A$2:$A$12001,'إعدادات المخزون'!$B$4-1)&gt;0,SUMIFS('جرد فعلي'!$D$2:$D$12001,'جرد فعلي'!$B$2:$B$12001,$B$2,'جرد فعلي'!$C$2:$C$12001,$A91,'جرد فعلي'!$A$2:$A$12001,'إعدادات المخزون'!$B$4-1),"")</f>
        <v/>
      </c>
      <c r="S91" s="110" t="str">
        <f aca="false">IF(AND(K91="نعم",R91&lt;&gt;""),(L91-J91)-(R91-Q91),"")</f>
        <v/>
      </c>
      <c r="T91" s="109" t="str">
        <f aca="false">IF(S91="","",S91*C91)</f>
        <v/>
      </c>
      <c r="U91" s="110" t="n">
        <f aca="false">IF(K91="نعم",L91,J91)</f>
        <v>1593.0008</v>
      </c>
      <c r="V91" s="110" t="n">
        <f aca="false">SUMPRODUCT('مصفوفة الاستهلاك (عصافرة)'!$CH$2:$CH$190,'متجهات المبيعات'!$J$2:$J$190)/'مواد المخزون'!$D$86/MAX(1,MIN('إعدادات المخزون'!$B$11,'إعدادات المخزون'!$B$4-'إعدادات المخزون'!$B$5+1))</f>
        <v>10.9166</v>
      </c>
      <c r="W91" s="110" t="n">
        <f aca="false">IF(V91&lt;=0,0,ROUNDUP(MAX(0,V91*('إعدادات المخزون'!$B$8+'إعدادات المخزون'!$B$9+'إعدادات المخزون'!$B$10)-MAX(U91,0))/'مواد المخزون'!$F86,0)*'مواد المخزون'!$F86)</f>
        <v>0</v>
      </c>
      <c r="X91" s="109" t="n">
        <f aca="false">IF(AND(K91="نعم",O91&lt;0),-O91+ROW()*0.000000001,0)</f>
        <v>0</v>
      </c>
      <c r="Y91" s="109" t="n">
        <f aca="false">IF(AND(K91="نعم",O91&gt;0),O91+ROW()*0.000000001,0)</f>
        <v>0</v>
      </c>
      <c r="Z91" s="110" t="n">
        <f aca="false">SUMIFS('مشتريات يومية'!$D$2:$D$4001,'مشتريات يومية'!$B$2:$B$4001,$B$2,'مشتريات يومية'!$C$2:$C$4001,$A91,'مشتريات يومية'!$A$2:$A$4001,'إعدادات المخزون'!$B$4)+SUMIFS('هالك وتحويلات'!$E$2:$E$3001,'هالك وتحويلات'!$B$2:$B$3001,$B$2,'هالك وتحويلات'!$C$2:$C$3001,$A91,'هالك وتحويلات'!$D$2:$D$3001,"تحويل وارد",'هالك وتحويلات'!$A$2:$A$3001,'إعدادات المخزون'!$B$4)-SUMIFS('هالك وتحويلات'!$E$2:$E$3001,'هالك وتحويلات'!$B$2:$B$3001,$B$2,'هالك وتحويلات'!$C$2:$C$3001,$A91,'هالك وتحويلات'!$D$2:$D$3001,"تحويل صادر",'هالك وتحويلات'!$A$2:$A$3001,'إعدادات المخزون'!$B$4)-SUMIFS('هالك وتحويلات'!$E$2:$E$3001,'هالك وتحويلات'!$B$2:$B$3001,$B$2,'هالك وتحويلات'!$C$2:$C$3001,$A91,'هالك وتحويلات'!$D$2:$D$3001,"هالك",'هالك وتحويلات'!$A$2:$A$3001,'إعدادات المخزون'!$B$4)-SUMIFS('هالك وتحويلات'!$E$2:$E$3001,'هالك وتحويلات'!$B$2:$B$3001,$B$2,'هالك وتحويلات'!$C$2:$C$3001,$A91,'هالك وتحويلات'!$D$2:$D$3001,"ضيافة / أكل موظفين",'هالك وتحويلات'!$A$2:$A$3001,'إعدادات المخزون'!$B$4)-SUMPRODUCT('مصفوفة الاستهلاك (عصافرة)'!$CH$2:$CH$190,'متجهات المبيعات'!$H$2:$H$190)/'مواد المخزون'!$D$86</f>
        <v>-10.9166</v>
      </c>
      <c r="AA91" s="109" t="n">
        <f aca="false">IF(K91="نعم",O91,0)</f>
        <v>0</v>
      </c>
      <c r="AB91" s="109" t="n">
        <f aca="false">IF(K91="نعم",J91*C91,0)</f>
        <v>0</v>
      </c>
      <c r="AC91" s="109" t="n">
        <f aca="false">IF(T91="",0,T91)</f>
        <v>0</v>
      </c>
    </row>
    <row r="92" customFormat="false" ht="15" hidden="false" customHeight="false" outlineLevel="0" collapsed="false">
      <c r="A92" s="34" t="str">
        <f aca="false">'مواد المخزون'!A87</f>
        <v>علب بيتزا كيك</v>
      </c>
      <c r="B92" s="36" t="str">
        <f aca="false">'مواد المخزون'!B87</f>
        <v>قطعة</v>
      </c>
      <c r="C92" s="109" t="n">
        <f aca="false">'مواد المخزون'!E87</f>
        <v>8</v>
      </c>
      <c r="D92" s="110" t="n">
        <f aca="false">'جرد أول المدة'!E90</f>
        <v>34</v>
      </c>
      <c r="E92" s="110" t="n">
        <f aca="false">SUMIFS('مشتريات يومية'!$D$2:$D$4001,'مشتريات يومية'!$B$2:$B$4001,$B$2,'مشتريات يومية'!$C$2:$C$4001,$A92,'مشتريات يومية'!$A$2:$A$4001,"&gt;="&amp;'إعدادات المخزون'!$B$5,'مشتريات يومية'!$A$2:$A$4001,"&lt;="&amp;'إعدادات المخزون'!$B$4)</f>
        <v>0</v>
      </c>
      <c r="F92" s="110" t="n">
        <f aca="false">SUMIFS('هالك وتحويلات'!$E$2:$E$3001,'هالك وتحويلات'!$B$2:$B$3001,$B$2,'هالك وتحويلات'!$C$2:$C$3001,$A92,'هالك وتحويلات'!$D$2:$D$3001,"تحويل وارد",'هالك وتحويلات'!$A$2:$A$3001,"&gt;="&amp;'إعدادات المخزون'!$B$5,'هالك وتحويلات'!$A$2:$A$3001,"&lt;="&amp;'إعدادات المخزون'!$B$4)</f>
        <v>0</v>
      </c>
      <c r="G92" s="110" t="n">
        <f aca="false">SUMIFS('هالك وتحويلات'!$E$2:$E$3001,'هالك وتحويلات'!$B$2:$B$3001,$B$2,'هالك وتحويلات'!$C$2:$C$3001,$A92,'هالك وتحويلات'!$D$2:$D$3001,"تحويل صادر",'هالك وتحويلات'!$A$2:$A$3001,"&gt;="&amp;'إعدادات المخزون'!$B$5,'هالك وتحويلات'!$A$2:$A$3001,"&lt;="&amp;'إعدادات المخزون'!$B$4)</f>
        <v>0</v>
      </c>
      <c r="H92" s="110" t="n">
        <f aca="false">SUMPRODUCT('مصفوفة الاستهلاك (عصافرة)'!$CI$2:$CI$190,'متجهات المبيعات'!$I$2:$I$190)/'مواد المخزون'!$D$87</f>
        <v>11.0004</v>
      </c>
      <c r="I92" s="110" t="n">
        <f aca="false">SUMIFS('هالك وتحويلات'!$E$2:$E$3001,'هالك وتحويلات'!$B$2:$B$3001,$B$2,'هالك وتحويلات'!$C$2:$C$3001,$A92,'هالك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وتحويلات'!$C$2:$C$3001,$A92,'هالك وتحويلات'!$D$2:$D$3001,"ضيافة / أكل موظفين",'هالك وتحويلات'!$A$2:$A$3001,"&gt;="&amp;'إعدادات المخزون'!$B$5,'هالك وتحويلات'!$A$2:$A$3001,"&lt;="&amp;'إعدادات المخزون'!$B$4)</f>
        <v>0</v>
      </c>
      <c r="J92" s="110" t="n">
        <f aca="false">D92+E92+F92-G92-H92-I92</f>
        <v>22.9996</v>
      </c>
      <c r="K92" s="36" t="str">
        <f aca="false">IF(COUNTIFS('جرد فعلي'!$B$2:$B$12001,$B$2,'جرد فعلي'!$C$2:$C$12001,$A92,'جرد فعلي'!$A$2:$A$12001,'إعدادات المخزون'!$B$4)&gt;0,"نعم","لا")</f>
        <v>لا</v>
      </c>
      <c r="L92" s="111" t="str">
        <f aca="false">IF(K92="نعم",SUMIFS('جرد فعلي'!$D$2:$D$12001,'جرد فعلي'!$B$2:$B$12001,$B$2,'جرد فعلي'!$C$2:$C$12001,$A92,'جرد فعلي'!$A$2:$A$12001,'إعدادات المخزون'!$B$4),"")</f>
        <v/>
      </c>
      <c r="M92" s="110" t="str">
        <f aca="false">IF(K92="نعم",L92-J92,"")</f>
        <v/>
      </c>
      <c r="N92" s="112" t="str">
        <f aca="false">IF(K92="نعم",IF(J92=0,IF(M92=0,0,SIGN(M92)),M92/ABS(J92)),"")</f>
        <v/>
      </c>
      <c r="O92" s="109" t="str">
        <f aca="false">IF(K92="نعم",M92*C92,"")</f>
        <v/>
      </c>
      <c r="P92" s="36" t="str">
        <f aca="false">IF(K92&lt;&gt;"نعم","لم يُجرد",IF(ABS(N92)&lt;='إعدادات المخزون'!$B$7,"مطابق",IF(M92&lt;0,"عجز","زيادة")))</f>
        <v>لم يُجرد</v>
      </c>
      <c r="Q92" s="110" t="n">
        <f aca="false">J92-Z92</f>
        <v>23.9163</v>
      </c>
      <c r="R92" s="110" t="str">
        <f aca="false">IF(COUNTIFS('جرد فعلي'!$B$2:$B$12001,$B$2,'جرد فعلي'!$C$2:$C$12001,$A92,'جرد فعلي'!$A$2:$A$12001,'إعدادات المخزون'!$B$4-1)&gt;0,SUMIFS('جرد فعلي'!$D$2:$D$12001,'جرد فعلي'!$B$2:$B$12001,$B$2,'جرد فعلي'!$C$2:$C$12001,$A92,'جرد فعلي'!$A$2:$A$12001,'إعدادات المخزون'!$B$4-1),"")</f>
        <v/>
      </c>
      <c r="S92" s="110" t="str">
        <f aca="false">IF(AND(K92="نعم",R92&lt;&gt;""),(L92-J92)-(R92-Q92),"")</f>
        <v/>
      </c>
      <c r="T92" s="109" t="str">
        <f aca="false">IF(S92="","",S92*C92)</f>
        <v/>
      </c>
      <c r="U92" s="110" t="n">
        <f aca="false">IF(K92="نعم",L92,J92)</f>
        <v>22.9996</v>
      </c>
      <c r="V92" s="110" t="n">
        <f aca="false">SUMPRODUCT('مصفوفة الاستهلاك (عصافرة)'!$CI$2:$CI$190,'متجهات المبيعات'!$J$2:$J$190)/'مواد المخزون'!$D$87/MAX(1,MIN('إعدادات المخزون'!$B$11,'إعدادات المخزون'!$B$4-'إعدادات المخزون'!$B$5+1))</f>
        <v>0.9167</v>
      </c>
      <c r="W92" s="110" t="n">
        <f aca="false">IF(V92&lt;=0,0,ROUNDUP(MAX(0,V92*('إعدادات المخزون'!$B$8+'إعدادات المخزون'!$B$9+'إعدادات المخزون'!$B$10)-MAX(U92,0))/'مواد المخزون'!$F87,0)*'مواد المخزون'!$F87)</f>
        <v>0</v>
      </c>
      <c r="X92" s="109" t="n">
        <f aca="false">IF(AND(K92="نعم",O92&lt;0),-O92+ROW()*0.000000001,0)</f>
        <v>0</v>
      </c>
      <c r="Y92" s="109" t="n">
        <f aca="false">IF(AND(K92="نعم",O92&gt;0),O92+ROW()*0.000000001,0)</f>
        <v>0</v>
      </c>
      <c r="Z92" s="110" t="n">
        <f aca="false">SUMIFS('مشتريات يومية'!$D$2:$D$4001,'مشتريات يومية'!$B$2:$B$4001,$B$2,'مشتريات يومية'!$C$2:$C$4001,$A92,'مشتريات يومية'!$A$2:$A$4001,'إعدادات المخزون'!$B$4)+SUMIFS('هالك وتحويلات'!$E$2:$E$3001,'هالك وتحويلات'!$B$2:$B$3001,$B$2,'هالك وتحويلات'!$C$2:$C$3001,$A92,'هالك وتحويلات'!$D$2:$D$3001,"تحويل وارد",'هالك وتحويلات'!$A$2:$A$3001,'إعدادات المخزون'!$B$4)-SUMIFS('هالك وتحويلات'!$E$2:$E$3001,'هالك وتحويلات'!$B$2:$B$3001,$B$2,'هالك وتحويلات'!$C$2:$C$3001,$A92,'هالك وتحويلات'!$D$2:$D$3001,"تحويل صادر",'هالك وتحويلات'!$A$2:$A$3001,'إعدادات المخزون'!$B$4)-SUMIFS('هالك وتحويلات'!$E$2:$E$3001,'هالك وتحويلات'!$B$2:$B$3001,$B$2,'هالك وتحويلات'!$C$2:$C$3001,$A92,'هالك وتحويلات'!$D$2:$D$3001,"هالك",'هالك وتحويلات'!$A$2:$A$3001,'إعدادات المخزون'!$B$4)-SUMIFS('هالك وتحويلات'!$E$2:$E$3001,'هالك وتحويلات'!$B$2:$B$3001,$B$2,'هالك وتحويلات'!$C$2:$C$3001,$A92,'هالك وتحويلات'!$D$2:$D$3001,"ضيافة / أكل موظفين",'هالك وتحويلات'!$A$2:$A$3001,'إعدادات المخزون'!$B$4)-SUMPRODUCT('مصفوفة الاستهلاك (عصافرة)'!$CI$2:$CI$190,'متجهات المبيعات'!$H$2:$H$190)/'مواد المخزون'!$D$87</f>
        <v>-0.9167</v>
      </c>
      <c r="AA92" s="109" t="n">
        <f aca="false">IF(K92="نعم",O92,0)</f>
        <v>0</v>
      </c>
      <c r="AB92" s="109" t="n">
        <f aca="false">IF(K92="نعم",J92*C92,0)</f>
        <v>0</v>
      </c>
      <c r="AC92" s="109" t="n">
        <f aca="false">IF(T92="",0,T92)</f>
        <v>0</v>
      </c>
    </row>
    <row r="93" customFormat="false" ht="15" hidden="false" customHeight="false" outlineLevel="0" collapsed="false">
      <c r="A93" s="34" t="str">
        <f aca="false">'مواد المخزون'!A88</f>
        <v>عصير</v>
      </c>
      <c r="B93" s="36" t="str">
        <f aca="false">'مواد المخزون'!B88</f>
        <v>قطعة</v>
      </c>
      <c r="C93" s="109" t="n">
        <f aca="false">'مواد المخزون'!E88</f>
        <v>7</v>
      </c>
      <c r="D93" s="110" t="n">
        <f aca="false">'جرد أول المدة'!E91</f>
        <v>0</v>
      </c>
      <c r="E93" s="110" t="n">
        <f aca="false">SUMIFS('مشتريات يومية'!$D$2:$D$4001,'مشتريات يومية'!$B$2:$B$4001,$B$2,'مشتريات يومية'!$C$2:$C$4001,$A93,'مشتريات يومية'!$A$2:$A$4001,"&gt;="&amp;'إعدادات المخزون'!$B$5,'مشتريات يومية'!$A$2:$A$4001,"&lt;="&amp;'إعدادات المخزون'!$B$4)</f>
        <v>0</v>
      </c>
      <c r="F93" s="110" t="n">
        <f aca="false">SUMIFS('هالك وتحويلات'!$E$2:$E$3001,'هالك وتحويلات'!$B$2:$B$3001,$B$2,'هالك وتحويلات'!$C$2:$C$3001,$A93,'هالك وتحويلات'!$D$2:$D$3001,"تحويل وارد",'هالك وتحويلات'!$A$2:$A$3001,"&gt;="&amp;'إعدادات المخزون'!$B$5,'هالك وتحويلات'!$A$2:$A$3001,"&lt;="&amp;'إعدادات المخزون'!$B$4)</f>
        <v>0</v>
      </c>
      <c r="G93" s="110" t="n">
        <f aca="false">SUMIFS('هالك وتحويلات'!$E$2:$E$3001,'هالك وتحويلات'!$B$2:$B$3001,$B$2,'هالك وتحويلات'!$C$2:$C$3001,$A93,'هالك وتحويلات'!$D$2:$D$3001,"تحويل صادر",'هالك وتحويلات'!$A$2:$A$3001,"&gt;="&amp;'إعدادات المخزون'!$B$5,'هالك وتحويلات'!$A$2:$A$3001,"&lt;="&amp;'إعدادات المخزون'!$B$4)</f>
        <v>0</v>
      </c>
      <c r="H93" s="110" t="n">
        <f aca="false">SUMPRODUCT('مصفوفة الاستهلاك (عصافرة)'!$CJ$2:$CJ$190,'متجهات المبيعات'!$I$2:$I$190)/'مواد المخزون'!$D$88</f>
        <v>3.9984</v>
      </c>
      <c r="I93" s="110" t="n">
        <f aca="false">SUMIFS('هالك وتحويلات'!$E$2:$E$3001,'هالك وتحويلات'!$B$2:$B$3001,$B$2,'هالك وتحويلات'!$C$2:$C$3001,$A93,'هالك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وتحويلات'!$C$2:$C$3001,$A93,'هالك وتحويلات'!$D$2:$D$3001,"ضيافة / أكل موظفين",'هالك وتحويلات'!$A$2:$A$3001,"&gt;="&amp;'إعدادات المخزون'!$B$5,'هالك وتحويلات'!$A$2:$A$3001,"&lt;="&amp;'إعدادات المخزون'!$B$4)</f>
        <v>0</v>
      </c>
      <c r="J93" s="110" t="n">
        <f aca="false">D93+E93+F93-G93-H93-I93</f>
        <v>-3.9984</v>
      </c>
      <c r="K93" s="36" t="str">
        <f aca="false">IF(COUNTIFS('جرد فعلي'!$B$2:$B$12001,$B$2,'جرد فعلي'!$C$2:$C$12001,$A93,'جرد فعلي'!$A$2:$A$12001,'إعدادات المخزون'!$B$4)&gt;0,"نعم","لا")</f>
        <v>لا</v>
      </c>
      <c r="L93" s="111" t="str">
        <f aca="false">IF(K93="نعم",SUMIFS('جرد فعلي'!$D$2:$D$12001,'جرد فعلي'!$B$2:$B$12001,$B$2,'جرد فعلي'!$C$2:$C$12001,$A93,'جرد فعلي'!$A$2:$A$12001,'إعدادات المخزون'!$B$4),"")</f>
        <v/>
      </c>
      <c r="M93" s="110" t="str">
        <f aca="false">IF(K93="نعم",L93-J93,"")</f>
        <v/>
      </c>
      <c r="N93" s="112" t="str">
        <f aca="false">IF(K93="نعم",IF(J93=0,IF(M93=0,0,SIGN(M93)),M93/ABS(J93)),"")</f>
        <v/>
      </c>
      <c r="O93" s="109" t="str">
        <f aca="false">IF(K93="نعم",M93*C93,"")</f>
        <v/>
      </c>
      <c r="P93" s="36" t="str">
        <f aca="false">IF(K93&lt;&gt;"نعم","لم يُجرد",IF(ABS(N93)&lt;='إعدادات المخزون'!$B$7,"مطابق",IF(M93&lt;0,"عجز","زيادة")))</f>
        <v>لم يُجرد</v>
      </c>
      <c r="Q93" s="110" t="n">
        <f aca="false">J93-Z93</f>
        <v>-3.6652</v>
      </c>
      <c r="R93" s="110" t="str">
        <f aca="false">IF(COUNTIFS('جرد فعلي'!$B$2:$B$12001,$B$2,'جرد فعلي'!$C$2:$C$12001,$A93,'جرد فعلي'!$A$2:$A$12001,'إعدادات المخزون'!$B$4-1)&gt;0,SUMIFS('جرد فعلي'!$D$2:$D$12001,'جرد فعلي'!$B$2:$B$12001,$B$2,'جرد فعلي'!$C$2:$C$12001,$A93,'جرد فعلي'!$A$2:$A$12001,'إعدادات المخزون'!$B$4-1),"")</f>
        <v/>
      </c>
      <c r="S93" s="110" t="str">
        <f aca="false">IF(AND(K93="نعم",R93&lt;&gt;""),(L93-J93)-(R93-Q93),"")</f>
        <v/>
      </c>
      <c r="T93" s="109" t="str">
        <f aca="false">IF(S93="","",S93*C93)</f>
        <v/>
      </c>
      <c r="U93" s="110" t="n">
        <f aca="false">IF(K93="نعم",L93,J93)</f>
        <v>-3.9984</v>
      </c>
      <c r="V93" s="110" t="n">
        <f aca="false">SUMPRODUCT('مصفوفة الاستهلاك (عصافرة)'!$CJ$2:$CJ$190,'متجهات المبيعات'!$J$2:$J$190)/'مواد المخزون'!$D$88/MAX(1,MIN('إعدادات المخزون'!$B$11,'إعدادات المخزون'!$B$4-'إعدادات المخزون'!$B$5+1))</f>
        <v>0.3332</v>
      </c>
      <c r="W93" s="110" t="n">
        <f aca="false">IF(V93&lt;=0,0,ROUNDUP(MAX(0,V93*('إعدادات المخزون'!$B$8+'إعدادات المخزون'!$B$9+'إعدادات المخزون'!$B$10)-MAX(U93,0))/'مواد المخزون'!$F88,0)*'مواد المخزون'!$F88)</f>
        <v>2</v>
      </c>
      <c r="X93" s="109" t="n">
        <f aca="false">IF(AND(K93="نعم",O93&lt;0),-O93+ROW()*0.000000001,0)</f>
        <v>0</v>
      </c>
      <c r="Y93" s="109" t="n">
        <f aca="false">IF(AND(K93="نعم",O93&gt;0),O93+ROW()*0.000000001,0)</f>
        <v>0</v>
      </c>
      <c r="Z93" s="110" t="n">
        <f aca="false">SUMIFS('مشتريات يومية'!$D$2:$D$4001,'مشتريات يومية'!$B$2:$B$4001,$B$2,'مشتريات يومية'!$C$2:$C$4001,$A93,'مشتريات يومية'!$A$2:$A$4001,'إعدادات المخزون'!$B$4)+SUMIFS('هالك وتحويلات'!$E$2:$E$3001,'هالك وتحويلات'!$B$2:$B$3001,$B$2,'هالك وتحويلات'!$C$2:$C$3001,$A93,'هالك وتحويلات'!$D$2:$D$3001,"تحويل وارد",'هالك وتحويلات'!$A$2:$A$3001,'إعدادات المخزون'!$B$4)-SUMIFS('هالك وتحويلات'!$E$2:$E$3001,'هالك وتحويلات'!$B$2:$B$3001,$B$2,'هالك وتحويلات'!$C$2:$C$3001,$A93,'هالك وتحويلات'!$D$2:$D$3001,"تحويل صادر",'هالك وتحويلات'!$A$2:$A$3001,'إعدادات المخزون'!$B$4)-SUMIFS('هالك وتحويلات'!$E$2:$E$3001,'هالك وتحويلات'!$B$2:$B$3001,$B$2,'هالك وتحويلات'!$C$2:$C$3001,$A93,'هالك وتحويلات'!$D$2:$D$3001,"هالك",'هالك وتحويلات'!$A$2:$A$3001,'إعدادات المخزون'!$B$4)-SUMIFS('هالك وتحويلات'!$E$2:$E$3001,'هالك وتحويلات'!$B$2:$B$3001,$B$2,'هالك وتحويلات'!$C$2:$C$3001,$A93,'هالك وتحويلات'!$D$2:$D$3001,"ضيافة / أكل موظفين",'هالك وتحويلات'!$A$2:$A$3001,'إعدادات المخزون'!$B$4)-SUMPRODUCT('مصفوفة الاستهلاك (عصافرة)'!$CJ$2:$CJ$190,'متجهات المبيعات'!$H$2:$H$190)/'مواد المخزون'!$D$88</f>
        <v>-0.3332</v>
      </c>
      <c r="AA93" s="109" t="n">
        <f aca="false">IF(K93="نعم",O93,0)</f>
        <v>0</v>
      </c>
      <c r="AB93" s="109" t="n">
        <f aca="false">IF(K93="نعم",J93*C93,0)</f>
        <v>0</v>
      </c>
      <c r="AC93" s="109" t="n">
        <f aca="false">IF(T93="",0,T93)</f>
        <v>0</v>
      </c>
    </row>
    <row r="94" customFormat="false" ht="15" hidden="false" customHeight="false" outlineLevel="0" collapsed="false">
      <c r="A94" s="34" t="str">
        <f aca="false">'مواد المخزون'!A89</f>
        <v>بيبسي 2 لتر</v>
      </c>
      <c r="B94" s="36" t="str">
        <f aca="false">'مواد المخزون'!B89</f>
        <v>قطعة</v>
      </c>
      <c r="C94" s="109" t="n">
        <f aca="false">'مواد المخزون'!E89</f>
        <v>40</v>
      </c>
      <c r="D94" s="110" t="n">
        <f aca="false">'جرد أول المدة'!E92</f>
        <v>0</v>
      </c>
      <c r="E94" s="110" t="n">
        <f aca="false">SUMIFS('مشتريات يومية'!$D$2:$D$4001,'مشتريات يومية'!$B$2:$B$4001,$B$2,'مشتريات يومية'!$C$2:$C$4001,$A94,'مشتريات يومية'!$A$2:$A$4001,"&gt;="&amp;'إعدادات المخزون'!$B$5,'مشتريات يومية'!$A$2:$A$4001,"&lt;="&amp;'إعدادات المخزون'!$B$4)</f>
        <v>0</v>
      </c>
      <c r="F94" s="110" t="n">
        <f aca="false">SUMIFS('هالك وتحويلات'!$E$2:$E$3001,'هالك وتحويلات'!$B$2:$B$3001,$B$2,'هالك وتحويلات'!$C$2:$C$3001,$A94,'هالك وتحويلات'!$D$2:$D$3001,"تحويل وارد",'هالك وتحويلات'!$A$2:$A$3001,"&gt;="&amp;'إعدادات المخزون'!$B$5,'هالك وتحويلات'!$A$2:$A$3001,"&lt;="&amp;'إعدادات المخزون'!$B$4)</f>
        <v>0</v>
      </c>
      <c r="G94" s="110" t="n">
        <f aca="false">SUMIFS('هالك وتحويلات'!$E$2:$E$3001,'هالك وتحويلات'!$B$2:$B$3001,$B$2,'هالك وتحويلات'!$C$2:$C$3001,$A94,'هالك وتحويلات'!$D$2:$D$3001,"تحويل صادر",'هالك وتحويلات'!$A$2:$A$3001,"&gt;="&amp;'إعدادات المخزون'!$B$5,'هالك وتحويلات'!$A$2:$A$3001,"&lt;="&amp;'إعدادات المخزون'!$B$4)</f>
        <v>0</v>
      </c>
      <c r="H94" s="110" t="n">
        <f aca="false">SUMPRODUCT('مصفوفة الاستهلاك (عصافرة)'!$CK$2:$CK$190,'متجهات المبيعات'!$I$2:$I$190)/'مواد المخزون'!$D$89</f>
        <v>0</v>
      </c>
      <c r="I94" s="110" t="n">
        <f aca="false">SUMIFS('هالك وتحويلات'!$E$2:$E$3001,'هالك وتحويلات'!$B$2:$B$3001,$B$2,'هالك وتحويلات'!$C$2:$C$3001,$A94,'هالك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وتحويلات'!$C$2:$C$3001,$A94,'هالك وتحويلات'!$D$2:$D$3001,"ضيافة / أكل موظفين",'هالك وتحويلات'!$A$2:$A$3001,"&gt;="&amp;'إعدادات المخزون'!$B$5,'هالك وتحويلات'!$A$2:$A$3001,"&lt;="&amp;'إعدادات المخزون'!$B$4)</f>
        <v>0</v>
      </c>
      <c r="J94" s="110" t="n">
        <f aca="false">D94+E94+F94-G94-H94-I94</f>
        <v>0</v>
      </c>
      <c r="K94" s="36" t="str">
        <f aca="false">IF(COUNTIFS('جرد فعلي'!$B$2:$B$12001,$B$2,'جرد فعلي'!$C$2:$C$12001,$A94,'جرد فعلي'!$A$2:$A$12001,'إعدادات المخزون'!$B$4)&gt;0,"نعم","لا")</f>
        <v>لا</v>
      </c>
      <c r="L94" s="111" t="str">
        <f aca="false">IF(K94="نعم",SUMIFS('جرد فعلي'!$D$2:$D$12001,'جرد فعلي'!$B$2:$B$12001,$B$2,'جرد فعلي'!$C$2:$C$12001,$A94,'جرد فعلي'!$A$2:$A$12001,'إعدادات المخزون'!$B$4),"")</f>
        <v/>
      </c>
      <c r="M94" s="110" t="str">
        <f aca="false">IF(K94="نعم",L94-J94,"")</f>
        <v/>
      </c>
      <c r="N94" s="112" t="str">
        <f aca="false">IF(K94="نعم",IF(J94=0,IF(M94=0,0,SIGN(M94)),M94/ABS(J94)),"")</f>
        <v/>
      </c>
      <c r="O94" s="109" t="str">
        <f aca="false">IF(K94="نعم",M94*C94,"")</f>
        <v/>
      </c>
      <c r="P94" s="36" t="str">
        <f aca="false">IF(K94&lt;&gt;"نعم","لم يُجرد",IF(ABS(N94)&lt;='إعدادات المخزون'!$B$7,"مطابق",IF(M94&lt;0,"عجز","زيادة")))</f>
        <v>لم يُجرد</v>
      </c>
      <c r="Q94" s="110" t="n">
        <f aca="false">J94-Z94</f>
        <v>0</v>
      </c>
      <c r="R94" s="110" t="str">
        <f aca="false">IF(COUNTIFS('جرد فعلي'!$B$2:$B$12001,$B$2,'جرد فعلي'!$C$2:$C$12001,$A94,'جرد فعلي'!$A$2:$A$12001,'إعدادات المخزون'!$B$4-1)&gt;0,SUMIFS('جرد فعلي'!$D$2:$D$12001,'جرد فعلي'!$B$2:$B$12001,$B$2,'جرد فعلي'!$C$2:$C$12001,$A94,'جرد فعلي'!$A$2:$A$12001,'إعدادات المخزون'!$B$4-1),"")</f>
        <v/>
      </c>
      <c r="S94" s="110" t="str">
        <f aca="false">IF(AND(K94="نعم",R94&lt;&gt;""),(L94-J94)-(R94-Q94),"")</f>
        <v/>
      </c>
      <c r="T94" s="109" t="str">
        <f aca="false">IF(S94="","",S94*C94)</f>
        <v/>
      </c>
      <c r="U94" s="110" t="n">
        <f aca="false">IF(K94="نعم",L94,J94)</f>
        <v>0</v>
      </c>
      <c r="V94" s="110" t="n">
        <f aca="false">SUMPRODUCT('مصفوفة الاستهلاك (عصافرة)'!$CK$2:$CK$190,'متجهات المبيعات'!$J$2:$J$190)/'مواد المخزون'!$D$89/MAX(1,MIN('إعدادات المخزون'!$B$11,'إعدادات المخزون'!$B$4-'إعدادات المخزون'!$B$5+1))</f>
        <v>0</v>
      </c>
      <c r="W94" s="110" t="n">
        <f aca="false">IF(V94&lt;=0,0,ROUNDUP(MAX(0,V94*('إعدادات المخزون'!$B$8+'إعدادات المخزون'!$B$9+'إعدادات المخزون'!$B$10)-MAX(U94,0))/'مواد المخزون'!$F89,0)*'مواد المخزون'!$F89)</f>
        <v>0</v>
      </c>
      <c r="X94" s="109" t="n">
        <f aca="false">IF(AND(K94="نعم",O94&lt;0),-O94+ROW()*0.000000001,0)</f>
        <v>0</v>
      </c>
      <c r="Y94" s="109" t="n">
        <f aca="false">IF(AND(K94="نعم",O94&gt;0),O94+ROW()*0.000000001,0)</f>
        <v>0</v>
      </c>
      <c r="Z94" s="110" t="n">
        <f aca="false">SUMIFS('مشتريات يومية'!$D$2:$D$4001,'مشتريات يومية'!$B$2:$B$4001,$B$2,'مشتريات يومية'!$C$2:$C$4001,$A94,'مشتريات يومية'!$A$2:$A$4001,'إعدادات المخزون'!$B$4)+SUMIFS('هالك وتحويلات'!$E$2:$E$3001,'هالك وتحويلات'!$B$2:$B$3001,$B$2,'هالك وتحويلات'!$C$2:$C$3001,$A94,'هالك وتحويلات'!$D$2:$D$3001,"تحويل وارد",'هالك وتحويلات'!$A$2:$A$3001,'إعدادات المخزون'!$B$4)-SUMIFS('هالك وتحويلات'!$E$2:$E$3001,'هالك وتحويلات'!$B$2:$B$3001,$B$2,'هالك وتحويلات'!$C$2:$C$3001,$A94,'هالك وتحويلات'!$D$2:$D$3001,"تحويل صادر",'هالك وتحويلات'!$A$2:$A$3001,'إعدادات المخزون'!$B$4)-SUMIFS('هالك وتحويلات'!$E$2:$E$3001,'هالك وتحويلات'!$B$2:$B$3001,$B$2,'هالك وتحويلات'!$C$2:$C$3001,$A94,'هالك وتحويلات'!$D$2:$D$3001,"هالك",'هالك وتحويلات'!$A$2:$A$3001,'إعدادات المخزون'!$B$4)-SUMIFS('هالك وتحويلات'!$E$2:$E$3001,'هالك وتحويلات'!$B$2:$B$3001,$B$2,'هالك وتحويلات'!$C$2:$C$3001,$A94,'هالك وتحويلات'!$D$2:$D$3001,"ضيافة / أكل موظفين",'هالك وتحويلات'!$A$2:$A$3001,'إعدادات المخزون'!$B$4)-SUMPRODUCT('مصفوفة الاستهلاك (عصافرة)'!$CK$2:$CK$190,'متجهات المبيعات'!$H$2:$H$190)/'مواد المخزون'!$D$89</f>
        <v>0</v>
      </c>
      <c r="AA94" s="109" t="n">
        <f aca="false">IF(K94="نعم",O94,0)</f>
        <v>0</v>
      </c>
      <c r="AB94" s="109" t="n">
        <f aca="false">IF(K94="نعم",J94*C94,0)</f>
        <v>0</v>
      </c>
      <c r="AC94" s="109" t="n">
        <f aca="false">IF(T94="",0,T94)</f>
        <v>0</v>
      </c>
    </row>
    <row r="95" customFormat="false" ht="15" hidden="false" customHeight="false" outlineLevel="0" collapsed="false">
      <c r="A95" s="34" t="str">
        <f aca="false">'مواد المخزون'!A90</f>
        <v>مياة معدنية صغير</v>
      </c>
      <c r="B95" s="36" t="str">
        <f aca="false">'مواد المخزون'!B90</f>
        <v>قطعة</v>
      </c>
      <c r="C95" s="109" t="n">
        <f aca="false">'مواد المخزون'!E90</f>
        <v>7</v>
      </c>
      <c r="D95" s="110" t="n">
        <f aca="false">'جرد أول المدة'!E93</f>
        <v>0</v>
      </c>
      <c r="E95" s="110" t="n">
        <f aca="false">SUMIFS('مشتريات يومية'!$D$2:$D$4001,'مشتريات يومية'!$B$2:$B$4001,$B$2,'مشتريات يومية'!$C$2:$C$4001,$A95,'مشتريات يومية'!$A$2:$A$4001,"&gt;="&amp;'إعدادات المخزون'!$B$5,'مشتريات يومية'!$A$2:$A$4001,"&lt;="&amp;'إعدادات المخزون'!$B$4)</f>
        <v>0</v>
      </c>
      <c r="F95" s="110" t="n">
        <f aca="false">SUMIFS('هالك وتحويلات'!$E$2:$E$3001,'هالك وتحويلات'!$B$2:$B$3001,$B$2,'هالك وتحويلات'!$C$2:$C$3001,$A95,'هالك وتحويلات'!$D$2:$D$3001,"تحويل وارد",'هالك وتحويلات'!$A$2:$A$3001,"&gt;="&amp;'إعدادات المخزون'!$B$5,'هالك وتحويلات'!$A$2:$A$3001,"&lt;="&amp;'إعدادات المخزون'!$B$4)</f>
        <v>0</v>
      </c>
      <c r="G95" s="110" t="n">
        <f aca="false">SUMIFS('هالك وتحويلات'!$E$2:$E$3001,'هالك وتحويلات'!$B$2:$B$3001,$B$2,'هالك وتحويلات'!$C$2:$C$3001,$A95,'هالك وتحويلات'!$D$2:$D$3001,"تحويل صادر",'هالك وتحويلات'!$A$2:$A$3001,"&gt;="&amp;'إعدادات المخزون'!$B$5,'هالك وتحويلات'!$A$2:$A$3001,"&lt;="&amp;'إعدادات المخزون'!$B$4)</f>
        <v>0</v>
      </c>
      <c r="H95" s="110" t="n">
        <f aca="false">SUMPRODUCT('مصفوفة الاستهلاك (عصافرة)'!$CL$2:$CL$190,'متجهات المبيعات'!$I$2:$I$190)/'مواد المخزون'!$D$90</f>
        <v>0</v>
      </c>
      <c r="I95" s="110" t="n">
        <f aca="false">SUMIFS('هالك وتحويلات'!$E$2:$E$3001,'هالك وتحويلات'!$B$2:$B$3001,$B$2,'هالك وتحويلات'!$C$2:$C$3001,$A95,'هالك وتحويلات'!$D$2:$D$3001,"هالك",'هالك وتحويلات'!$A$2:$A$3001,"&gt;="&amp;'إعدادات المخزون'!$B$5,'هالك وتحويلات'!$A$2:$A$3001,"&lt;="&amp;'إعدادات المخزون'!$B$4)+SUMIFS('هالك وتحويلات'!$E$2:$E$3001,'هالك وتحويلات'!$B$2:$B$3001,$B$2,'هالك وتحويلات'!$C$2:$C$3001,$A95,'هالك وتحويلات'!$D$2:$D$3001,"ضيافة / أكل موظفين",'هالك وتحويلات'!$A$2:$A$3001,"&gt;="&amp;'إعدادات المخزون'!$B$5,'هالك وتحويلات'!$A$2:$A$3001,"&lt;="&amp;'إعدادات المخزون'!$B$4)</f>
        <v>0</v>
      </c>
      <c r="J95" s="110" t="n">
        <f aca="false">D95+E95+F95-G95-H95-I95</f>
        <v>0</v>
      </c>
      <c r="K95" s="36" t="str">
        <f aca="false">IF(COUNTIFS('جرد فعلي'!$B$2:$B$12001,$B$2,'جرد فعلي'!$C$2:$C$12001,$A95,'جرد فعلي'!$A$2:$A$12001,'إعدادات المخزون'!$B$4)&gt;0,"نعم","لا")</f>
        <v>لا</v>
      </c>
      <c r="L95" s="111" t="str">
        <f aca="false">IF(K95="نعم",SUMIFS('جرد فعلي'!$D$2:$D$12001,'جرد فعلي'!$B$2:$B$12001,$B$2,'جرد فعلي'!$C$2:$C$12001,$A95,'جرد فعلي'!$A$2:$A$12001,'إعدادات المخزون'!$B$4),"")</f>
        <v/>
      </c>
      <c r="M95" s="110" t="str">
        <f aca="false">IF(K95="نعم",L95-J95,"")</f>
        <v/>
      </c>
      <c r="N95" s="112" t="str">
        <f aca="false">IF(K95="نعم",IF(J95=0,IF(M95=0,0,SIGN(M95)),M95/ABS(J95)),"")</f>
        <v/>
      </c>
      <c r="O95" s="109" t="str">
        <f aca="false">IF(K95="نعم",M95*C95,"")</f>
        <v/>
      </c>
      <c r="P95" s="36" t="str">
        <f aca="false">IF(K95&lt;&gt;"نعم","لم يُجرد",IF(ABS(N95)&lt;='إعدادات المخزون'!$B$7,"مطابق",IF(M95&lt;0,"عجز","زيادة")))</f>
        <v>لم يُجرد</v>
      </c>
      <c r="Q95" s="110" t="n">
        <f aca="false">J95-Z95</f>
        <v>0</v>
      </c>
      <c r="R95" s="110" t="str">
        <f aca="false">IF(COUNTIFS('جرد فعلي'!$B$2:$B$12001,$B$2,'جرد فعلي'!$C$2:$C$12001,$A95,'جرد فعلي'!$A$2:$A$12001,'إعدادات المخزون'!$B$4-1)&gt;0,SUMIFS('جرد فعلي'!$D$2:$D$12001,'جرد فعلي'!$B$2:$B$12001,$B$2,'جرد فعلي'!$C$2:$C$12001,$A95,'جرد فعلي'!$A$2:$A$12001,'إعدادات المخزون'!$B$4-1),"")</f>
        <v/>
      </c>
      <c r="S95" s="110" t="str">
        <f aca="false">IF(AND(K95="نعم",R95&lt;&gt;""),(L95-J95)-(R95-Q95),"")</f>
        <v/>
      </c>
      <c r="T95" s="109" t="str">
        <f aca="false">IF(S95="","",S95*C95)</f>
        <v/>
      </c>
      <c r="U95" s="110" t="n">
        <f aca="false">IF(K95="نعم",L95,J95)</f>
        <v>0</v>
      </c>
      <c r="V95" s="110" t="n">
        <f aca="false">SUMPRODUCT('مصفوفة الاستهلاك (عصافرة)'!$CL$2:$CL$190,'متجهات المبيعات'!$J$2:$J$190)/'مواد المخزون'!$D$90/MAX(1,MIN('إعدادات المخزون'!$B$11,'إعدادات المخزون'!$B$4-'إعدادات المخزون'!$B$5+1))</f>
        <v>0</v>
      </c>
      <c r="W95" s="110" t="n">
        <f aca="false">IF(V95&lt;=0,0,ROUNDUP(MAX(0,V95*('إعدادات المخزون'!$B$8+'إعدادات المخزون'!$B$9+'إعدادات المخزون'!$B$10)-MAX(U95,0))/'مواد المخزون'!$F90,0)*'مواد المخزون'!$F90)</f>
        <v>0</v>
      </c>
      <c r="X95" s="109" t="n">
        <f aca="false">IF(AND(K95="نعم",O95&lt;0),-O95+ROW()*0.000000001,0)</f>
        <v>0</v>
      </c>
      <c r="Y95" s="109" t="n">
        <f aca="false">IF(AND(K95="نعم",O95&gt;0),O95+ROW()*0.000000001,0)</f>
        <v>0</v>
      </c>
      <c r="Z95" s="110" t="n">
        <f aca="false">SUMIFS('مشتريات يومية'!$D$2:$D$4001,'مشتريات يومية'!$B$2:$B$4001,$B$2,'مشتريات يومية'!$C$2:$C$4001,$A95,'مشتريات يومية'!$A$2:$A$4001,'إعدادات المخزون'!$B$4)+SUMIFS('هالك وتحويلات'!$E$2:$E$3001,'هالك وتحويلات'!$B$2:$B$3001,$B$2,'هالك وتحويلات'!$C$2:$C$3001,$A95,'هالك وتحويلات'!$D$2:$D$3001,"تحويل وارد",'هالك وتحويلات'!$A$2:$A$3001,'إعدادات المخزون'!$B$4)-SUMIFS('هالك وتحويلات'!$E$2:$E$3001,'هالك وتحويلات'!$B$2:$B$3001,$B$2,'هالك وتحويلات'!$C$2:$C$3001,$A95,'هالك وتحويلات'!$D$2:$D$3001,"تحويل صادر",'هالك وتحويلات'!$A$2:$A$3001,'إعدادات المخزون'!$B$4)-SUMIFS('هالك وتحويلات'!$E$2:$E$3001,'هالك وتحويلات'!$B$2:$B$3001,$B$2,'هالك وتحويلات'!$C$2:$C$3001,$A95,'هالك وتحويلات'!$D$2:$D$3001,"هالك",'هالك وتحويلات'!$A$2:$A$3001,'إعدادات المخزون'!$B$4)-SUMIFS('هالك وتحويلات'!$E$2:$E$3001,'هالك وتحويلات'!$B$2:$B$3001,$B$2,'هالك وتحويلات'!$C$2:$C$3001,$A95,'هالك وتحويلات'!$D$2:$D$3001,"ضيافة / أكل موظفين",'هالك وتحويلات'!$A$2:$A$3001,'إعدادات المخزون'!$B$4)-SUMPRODUCT('مصفوفة الاستهلاك (عصافرة)'!$CL$2:$CL$190,'متجهات المبيعات'!$H$2:$H$190)/'مواد المخزون'!$D$90</f>
        <v>0</v>
      </c>
      <c r="AA95" s="109" t="n">
        <f aca="false">IF(K95="نعم",O95,0)</f>
        <v>0</v>
      </c>
      <c r="AB95" s="109" t="n">
        <f aca="false">IF(K95="نعم",J95*C95,0)</f>
        <v>0</v>
      </c>
      <c r="AC95" s="109" t="n">
        <f aca="false">IF(T95="",0,T95)</f>
        <v>0</v>
      </c>
    </row>
    <row r="97" customFormat="false" ht="15" hidden="false" customHeight="false" outlineLevel="0" collapsed="false">
      <c r="A97" s="33" t="s">
        <v>828</v>
      </c>
      <c r="O97" s="113" t="n">
        <f aca="false">SUM(AA7:AA95)</f>
        <v>0</v>
      </c>
    </row>
  </sheetData>
  <autoFilter ref="A6:W95"/>
  <conditionalFormatting sqref="P7:P95">
    <cfRule type="cellIs" priority="2" operator="equal" aboveAverage="0" equalAverage="0" bottom="0" percent="0" rank="0" text="" dxfId="0">
      <formula>"عجز"</formula>
    </cfRule>
    <cfRule type="cellIs" priority="3" operator="equal" aboveAverage="0" equalAverage="0" bottom="0" percent="0" rank="0" text="" dxfId="16">
      <formula>"زيادة"</formula>
    </cfRule>
    <cfRule type="cellIs" priority="4" operator="equal" aboveAverage="0" equalAverage="0" bottom="0" percent="0" rank="0" text="" dxfId="17">
      <formula>"مطابق"</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9"/>
    <col collapsed="false" customWidth="true" hidden="false" outlineLevel="0" max="12" min="4" style="0" width="12"/>
    <col collapsed="false" customWidth="true" hidden="false" outlineLevel="0" max="13" min="13" style="0" width="14"/>
    <col collapsed="false" customWidth="true" hidden="false" outlineLevel="0" max="14" min="14" style="0" width="16"/>
  </cols>
  <sheetData>
    <row r="1" customFormat="false" ht="18.55" hidden="false" customHeight="false" outlineLevel="0" collapsed="false">
      <c r="A1" s="40" t="s">
        <v>831</v>
      </c>
    </row>
    <row r="2" customFormat="false" ht="15" hidden="false" customHeight="false" outlineLevel="0" collapsed="false">
      <c r="A2" s="17" t="str">
        <f aca="false">"لتاريخ: "&amp;TEXT('إعدادات المخزون'!$B$4,"yyyy-mm-dd")&amp;"  |  تغطية "&amp;'إعدادات المخزون'!$B$8&amp;" يوم + توريد "&amp;'إعدادات المخزون'!$B$9&amp;" + أمان "&amp;'إعدادات المخزون'!$B$10&amp;" (غيّرها من إعدادات المخزون)"</f>
        <v>لتاريخ: 2026-10-12  |  تغطية 2 يوم + توريد 1 + أمان 1 (غيّرها من إعدادات المخزون)</v>
      </c>
    </row>
    <row r="3" customFormat="false" ht="15" hidden="false" customHeight="false" outlineLevel="0" collapsed="false">
      <c r="A3" s="17" t="s">
        <v>832</v>
      </c>
    </row>
    <row r="5" customFormat="false" ht="43.5" hidden="false" customHeight="true" outlineLevel="0" collapsed="false">
      <c r="A5" s="18" t="s">
        <v>833</v>
      </c>
      <c r="B5" s="18" t="s">
        <v>59</v>
      </c>
      <c r="C5" s="18" t="s">
        <v>834</v>
      </c>
      <c r="D5" s="18" t="s">
        <v>835</v>
      </c>
      <c r="E5" s="18" t="s">
        <v>836</v>
      </c>
      <c r="F5" s="18" t="s">
        <v>837</v>
      </c>
      <c r="G5" s="18" t="s">
        <v>838</v>
      </c>
      <c r="H5" s="18" t="s">
        <v>839</v>
      </c>
      <c r="I5" s="18" t="s">
        <v>840</v>
      </c>
      <c r="J5" s="18" t="s">
        <v>841</v>
      </c>
      <c r="K5" s="18" t="s">
        <v>842</v>
      </c>
      <c r="L5" s="18" t="s">
        <v>843</v>
      </c>
      <c r="M5" s="18" t="s">
        <v>844</v>
      </c>
      <c r="N5" s="18" t="s">
        <v>845</v>
      </c>
    </row>
    <row r="6" customFormat="false" ht="15" hidden="false" customHeight="false" outlineLevel="0" collapsed="false">
      <c r="A6" s="36" t="n">
        <v>1</v>
      </c>
      <c r="B6" s="34" t="str">
        <f aca="false">IFERROR(INDEX('مواد المخزون'!$A$2:$A$90,MATCH($A6,'مواد المخزون'!$H$2:$H$90,0)),"")</f>
        <v>بشاميل مصنع</v>
      </c>
      <c r="C6" s="36" t="str">
        <f aca="false">IF($B6="","",INDEX('مواد المخزون'!$B$2:$B$90,MATCH($B6,'مواد المخزون'!$A$2:$A$90,0)))</f>
        <v>كجم</v>
      </c>
      <c r="D6" s="110" t="n">
        <f aca="false">IF($B6="","",INDEX('جرد - محرم بك'!$U$7:$U$95,MATCH($B6,'جرد - محرم بك'!$A$7:$A$95,0)))</f>
        <v>21.04992</v>
      </c>
      <c r="E6" s="110" t="n">
        <f aca="false">IF($B6="","",INDEX('جرد - محرم بك'!$V$7:$V$95,MATCH($B6,'جرد - محرم بك'!$A$7:$A$95,0)))</f>
        <v>1.18334</v>
      </c>
      <c r="F6" s="110" t="n">
        <f aca="false">IF($B6="","",INDEX('جرد - محرم بك'!$W$7:$W$95,MATCH($B6,'جرد - محرم بك'!$A$7:$A$95,0)))</f>
        <v>0</v>
      </c>
      <c r="G6" s="110" t="n">
        <f aca="false">IF($B6="","",INDEX('جرد - ابراهيمية'!$U$7:$U$95,MATCH($B6,'جرد - ابراهيمية'!$A$7:$A$95,0)))</f>
        <v>16.5</v>
      </c>
      <c r="H6" s="110" t="n">
        <f aca="false">IF($B6="","",INDEX('جرد - ابراهيمية'!$V$7:$V$95,MATCH($B6,'جرد - ابراهيمية'!$A$7:$A$95,0)))</f>
        <v>0.75</v>
      </c>
      <c r="I6" s="110" t="n">
        <f aca="false">IF($B6="","",INDEX('جرد - ابراهيمية'!$W$7:$W$95,MATCH($B6,'جرد - ابراهيمية'!$A$7:$A$95,0)))</f>
        <v>0</v>
      </c>
      <c r="J6" s="110" t="n">
        <f aca="false">IF($B6="","",INDEX('جرد - عصافرة'!$U$7:$U$95,MATCH($B6,'جرد - عصافرة'!$A$7:$A$95,0)))</f>
        <v>19.09956</v>
      </c>
      <c r="K6" s="110" t="n">
        <f aca="false">IF($B6="","",INDEX('جرد - عصافرة'!$V$7:$V$95,MATCH($B6,'جرد - عصافرة'!$A$7:$A$95,0)))</f>
        <v>1.20837</v>
      </c>
      <c r="L6" s="110" t="n">
        <f aca="false">IF($B6="","",INDEX('جرد - عصافرة'!$W$7:$W$95,MATCH($B6,'جرد - عصافرة'!$A$7:$A$95,0)))</f>
        <v>0</v>
      </c>
      <c r="M6" s="114" t="n">
        <f aca="false">IF($B6="","",F6+I6+L6)</f>
        <v>0</v>
      </c>
      <c r="N6" s="39" t="n">
        <f aca="false">IF($B6="","",M6*INDEX('مواد المخزون'!$E$2:$E$90,MATCH($B6,'مواد المخزون'!$A$2:$A$90,0)))</f>
        <v>0</v>
      </c>
    </row>
    <row r="7" customFormat="false" ht="15" hidden="false" customHeight="false" outlineLevel="0" collapsed="false">
      <c r="A7" s="36" t="n">
        <v>2</v>
      </c>
      <c r="B7" s="34" t="str">
        <f aca="false">IFERROR(INDEX('مواد المخزون'!$A$2:$A$90,MATCH($A7,'مواد المخزون'!$H$2:$H$90,0)),"")</f>
        <v>بشاميل مصنع صيامي</v>
      </c>
      <c r="C7" s="36" t="str">
        <f aca="false">IF($B7="","",INDEX('مواد المخزون'!$B$2:$B$90,MATCH($B7,'مواد المخزون'!$A$2:$A$90,0)))</f>
        <v>كجم</v>
      </c>
      <c r="D7" s="110" t="n">
        <f aca="false">IF($B7="","",INDEX('جرد - محرم بك'!$U$7:$U$95,MATCH($B7,'جرد - محرم بك'!$A$7:$A$95,0)))</f>
        <v>-0.40008</v>
      </c>
      <c r="E7" s="110" t="n">
        <f aca="false">IF($B7="","",INDEX('جرد - محرم بك'!$V$7:$V$95,MATCH($B7,'جرد - محرم بك'!$A$7:$A$95,0)))</f>
        <v>0.03334</v>
      </c>
      <c r="F7" s="110" t="n">
        <f aca="false">IF($B7="","",INDEX('جرد - محرم بك'!$W$7:$W$95,MATCH($B7,'جرد - محرم بك'!$A$7:$A$95,0)))</f>
        <v>1</v>
      </c>
      <c r="G7" s="110" t="n">
        <f aca="false">IF($B7="","",INDEX('جرد - ابراهيمية'!$U$7:$U$95,MATCH($B7,'جرد - ابراهيمية'!$A$7:$A$95,0)))</f>
        <v>-0.19992</v>
      </c>
      <c r="H7" s="110" t="n">
        <f aca="false">IF($B7="","",INDEX('جرد - ابراهيمية'!$V$7:$V$95,MATCH($B7,'جرد - ابراهيمية'!$A$7:$A$95,0)))</f>
        <v>0.01666</v>
      </c>
      <c r="I7" s="110" t="n">
        <f aca="false">IF($B7="","",INDEX('جرد - ابراهيمية'!$W$7:$W$95,MATCH($B7,'جرد - ابراهيمية'!$A$7:$A$95,0)))</f>
        <v>1</v>
      </c>
      <c r="J7" s="110" t="n">
        <f aca="false">IF($B7="","",INDEX('جرد - عصافرة'!$U$7:$U$95,MATCH($B7,'جرد - عصافرة'!$A$7:$A$95,0)))</f>
        <v>-0.79992</v>
      </c>
      <c r="K7" s="110" t="n">
        <f aca="false">IF($B7="","",INDEX('جرد - عصافرة'!$V$7:$V$95,MATCH($B7,'جرد - عصافرة'!$A$7:$A$95,0)))</f>
        <v>0.06666</v>
      </c>
      <c r="L7" s="110" t="n">
        <f aca="false">IF($B7="","",INDEX('جرد - عصافرة'!$W$7:$W$95,MATCH($B7,'جرد - عصافرة'!$A$7:$A$95,0)))</f>
        <v>1</v>
      </c>
      <c r="M7" s="114" t="n">
        <f aca="false">IF($B7="","",F7+I7+L7)</f>
        <v>3</v>
      </c>
      <c r="N7" s="39" t="n">
        <f aca="false">IF($B7="","",M7*INDEX('مواد المخزون'!$E$2:$E$90,MATCH($B7,'مواد المخزون'!$A$2:$A$90,0)))</f>
        <v>75</v>
      </c>
    </row>
    <row r="8" customFormat="false" ht="15" hidden="false" customHeight="false" outlineLevel="0" collapsed="false">
      <c r="A8" s="36" t="n">
        <v>3</v>
      </c>
      <c r="B8" s="34" t="str">
        <f aca="false">IFERROR(INDEX('مواد المخزون'!$A$2:$A$90,MATCH($A8,'مواد المخزون'!$H$2:$H$90,0)),"")</f>
        <v>صلصة مصنع</v>
      </c>
      <c r="C8" s="36" t="str">
        <f aca="false">IF($B8="","",INDEX('مواد المخزون'!$B$2:$B$90,MATCH($B8,'مواد المخزون'!$A$2:$A$90,0)))</f>
        <v>كجم</v>
      </c>
      <c r="D8" s="110" t="n">
        <f aca="false">IF($B8="","",INDEX('جرد - محرم بك'!$U$7:$U$95,MATCH($B8,'جرد - محرم بك'!$A$7:$A$95,0)))</f>
        <v>7.960192</v>
      </c>
      <c r="E8" s="110" t="n">
        <f aca="false">IF($B8="","",INDEX('جرد - محرم بك'!$V$7:$V$95,MATCH($B8,'جرد - محرم بك'!$A$7:$A$95,0)))</f>
        <v>2.169984</v>
      </c>
      <c r="F8" s="110" t="n">
        <f aca="false">IF($B8="","",INDEX('جرد - محرم بك'!$W$7:$W$95,MATCH($B8,'جرد - محرم بك'!$A$7:$A$95,0)))</f>
        <v>1</v>
      </c>
      <c r="G8" s="110" t="n">
        <f aca="false">IF($B8="","",INDEX('جرد - ابراهيمية'!$U$7:$U$95,MATCH($B8,'جرد - ابراهيمية'!$A$7:$A$95,0)))</f>
        <v>12.537008</v>
      </c>
      <c r="H8" s="110" t="n">
        <f aca="false">IF($B8="","",INDEX('جرد - ابراهيمية'!$V$7:$V$95,MATCH($B8,'جرد - ابراهيمية'!$A$7:$A$95,0)))</f>
        <v>1.771666</v>
      </c>
      <c r="I8" s="110" t="n">
        <f aca="false">IF($B8="","",INDEX('جرد - ابراهيمية'!$W$7:$W$95,MATCH($B8,'جرد - ابراهيمية'!$A$7:$A$95,0)))</f>
        <v>0</v>
      </c>
      <c r="J8" s="110" t="n">
        <f aca="false">IF($B8="","",INDEX('جرد - عصافرة'!$U$7:$U$95,MATCH($B8,'جرد - عصافرة'!$A$7:$A$95,0)))</f>
        <v>5.045968</v>
      </c>
      <c r="K8" s="110" t="n">
        <f aca="false">IF($B8="","",INDEX('جرد - عصافرة'!$V$7:$V$95,MATCH($B8,'جرد - عصافرة'!$A$7:$A$95,0)))</f>
        <v>1.873336</v>
      </c>
      <c r="L8" s="110" t="n">
        <f aca="false">IF($B8="","",INDEX('جرد - عصافرة'!$W$7:$W$95,MATCH($B8,'جرد - عصافرة'!$A$7:$A$95,0)))</f>
        <v>3</v>
      </c>
      <c r="M8" s="114" t="n">
        <f aca="false">IF($B8="","",F8+I8+L8)</f>
        <v>4</v>
      </c>
      <c r="N8" s="39" t="n">
        <f aca="false">IF($B8="","",M8*INDEX('مواد المخزون'!$E$2:$E$90,MATCH($B8,'مواد المخزون'!$A$2:$A$90,0)))</f>
        <v>128</v>
      </c>
    </row>
    <row r="9" customFormat="false" ht="15" hidden="false" customHeight="false" outlineLevel="0" collapsed="false">
      <c r="A9" s="36" t="n">
        <v>4</v>
      </c>
      <c r="B9" s="34" t="str">
        <f aca="false">IFERROR(INDEX('مواد المخزون'!$A$2:$A$90,MATCH($A9,'مواد المخزون'!$H$2:$H$90,0)),"")</f>
        <v>عجين بيتزا</v>
      </c>
      <c r="C9" s="36" t="str">
        <f aca="false">IF($B9="","",INDEX('مواد المخزون'!$B$2:$B$90,MATCH($B9,'مواد المخزون'!$A$2:$A$90,0)))</f>
        <v>كجم</v>
      </c>
      <c r="D9" s="110" t="n">
        <f aca="false">IF($B9="","",INDEX('جرد - محرم بك'!$U$7:$U$95,MATCH($B9,'جرد - محرم بك'!$A$7:$A$95,0)))</f>
        <v>20.441104</v>
      </c>
      <c r="E9" s="110" t="n">
        <f aca="false">IF($B9="","",INDEX('جرد - محرم بك'!$V$7:$V$95,MATCH($B9,'جرد - محرم بك'!$A$7:$A$95,0)))</f>
        <v>13.504908</v>
      </c>
      <c r="F9" s="110" t="n">
        <f aca="false">IF($B9="","",INDEX('جرد - محرم بك'!$W$7:$W$95,MATCH($B9,'جرد - محرم بك'!$A$7:$A$95,0)))</f>
        <v>34</v>
      </c>
      <c r="G9" s="110" t="n">
        <f aca="false">IF($B9="","",INDEX('جرد - ابراهيمية'!$U$7:$U$95,MATCH($B9,'جرد - ابراهيمية'!$A$7:$A$95,0)))</f>
        <v>18.540196</v>
      </c>
      <c r="H9" s="110" t="n">
        <f aca="false">IF($B9="","",INDEX('جرد - ابراهيمية'!$V$7:$V$95,MATCH($B9,'جرد - ابراهيمية'!$A$7:$A$95,0)))</f>
        <v>11.788317</v>
      </c>
      <c r="I9" s="110" t="n">
        <f aca="false">IF($B9="","",INDEX('جرد - ابراهيمية'!$W$7:$W$95,MATCH($B9,'جرد - ابراهيمية'!$A$7:$A$95,0)))</f>
        <v>29</v>
      </c>
      <c r="J9" s="110" t="n">
        <f aca="false">IF($B9="","",INDEX('جرد - عصافرة'!$U$7:$U$95,MATCH($B9,'جرد - عصافرة'!$A$7:$A$95,0)))</f>
        <v>50.739904</v>
      </c>
      <c r="K9" s="110" t="n">
        <f aca="false">IF($B9="","",INDEX('جرد - عصافرة'!$V$7:$V$95,MATCH($B9,'جرد - عصافرة'!$A$7:$A$95,0)))</f>
        <v>12.745008</v>
      </c>
      <c r="L9" s="110" t="n">
        <f aca="false">IF($B9="","",INDEX('جرد - عصافرة'!$W$7:$W$95,MATCH($B9,'جرد - عصافرة'!$A$7:$A$95,0)))</f>
        <v>1</v>
      </c>
      <c r="M9" s="114" t="n">
        <f aca="false">IF($B9="","",F9+I9+L9)</f>
        <v>64</v>
      </c>
      <c r="N9" s="39" t="n">
        <f aca="false">IF($B9="","",M9*INDEX('مواد المخزون'!$E$2:$E$90,MATCH($B9,'مواد المخزون'!$A$2:$A$90,0)))</f>
        <v>1408</v>
      </c>
    </row>
    <row r="10" customFormat="false" ht="15" hidden="false" customHeight="false" outlineLevel="0" collapsed="false">
      <c r="A10" s="36" t="n">
        <v>5</v>
      </c>
      <c r="B10" s="34" t="str">
        <f aca="false">IFERROR(INDEX('مواد المخزون'!$A$2:$A$90,MATCH($A10,'مواد المخزون'!$H$2:$H$90,0)),"")</f>
        <v>عجين فطير</v>
      </c>
      <c r="C10" s="36" t="str">
        <f aca="false">IF($B10="","",INDEX('مواد المخزون'!$B$2:$B$90,MATCH($B10,'مواد المخزون'!$A$2:$A$90,0)))</f>
        <v>قطعة</v>
      </c>
      <c r="D10" s="110" t="n">
        <f aca="false">IF($B10="","",INDEX('جرد - محرم بك'!$U$7:$U$95,MATCH($B10,'جرد - محرم بك'!$A$7:$A$95,0)))</f>
        <v>278.497</v>
      </c>
      <c r="E10" s="110" t="n">
        <f aca="false">IF($B10="","",INDEX('جرد - محرم بك'!$V$7:$V$95,MATCH($B10,'جرد - محرم بك'!$A$7:$A$95,0)))</f>
        <v>147.62525</v>
      </c>
      <c r="F10" s="110" t="n">
        <f aca="false">IF($B10="","",INDEX('جرد - محرم بك'!$W$7:$W$95,MATCH($B10,'جرد - محرم بك'!$A$7:$A$95,0)))</f>
        <v>313</v>
      </c>
      <c r="G10" s="110" t="n">
        <f aca="false">IF($B10="","",INDEX('جرد - ابراهيمية'!$U$7:$U$95,MATCH($B10,'جرد - ابراهيمية'!$A$7:$A$95,0)))</f>
        <v>-112.0026</v>
      </c>
      <c r="H10" s="110" t="n">
        <f aca="false">IF($B10="","",INDEX('جرد - ابراهيمية'!$V$7:$V$95,MATCH($B10,'جرد - ابراهيمية'!$A$7:$A$95,0)))</f>
        <v>142.58355</v>
      </c>
      <c r="I10" s="110" t="n">
        <f aca="false">IF($B10="","",INDEX('جرد - ابراهيمية'!$W$7:$W$95,MATCH($B10,'جرد - ابراهيمية'!$A$7:$A$95,0)))</f>
        <v>571</v>
      </c>
      <c r="J10" s="110" t="n">
        <f aca="false">IF($B10="","",INDEX('جرد - عصافرة'!$U$7:$U$95,MATCH($B10,'جرد - عصافرة'!$A$7:$A$95,0)))</f>
        <v>175.0044</v>
      </c>
      <c r="K10" s="110" t="n">
        <f aca="false">IF($B10="","",INDEX('جرد - عصافرة'!$V$7:$V$95,MATCH($B10,'جرد - عصافرة'!$A$7:$A$95,0)))</f>
        <v>156.4163</v>
      </c>
      <c r="L10" s="110" t="n">
        <f aca="false">IF($B10="","",INDEX('جرد - عصافرة'!$W$7:$W$95,MATCH($B10,'جرد - عصافرة'!$A$7:$A$95,0)))</f>
        <v>451</v>
      </c>
      <c r="M10" s="114" t="n">
        <f aca="false">IF($B10="","",F10+I10+L10)</f>
        <v>1335</v>
      </c>
      <c r="N10" s="39" t="n">
        <f aca="false">IF($B10="","",M10*INDEX('مواد المخزون'!$E$2:$E$90,MATCH($B10,'مواد المخزون'!$A$2:$A$90,0)))</f>
        <v>5340</v>
      </c>
    </row>
    <row r="11" customFormat="false" ht="15" hidden="false" customHeight="false" outlineLevel="0" collapsed="false">
      <c r="A11" s="36" t="n">
        <v>6</v>
      </c>
      <c r="B11" s="34" t="str">
        <f aca="false">IFERROR(INDEX('مواد المخزون'!$A$2:$A$90,MATCH($A11,'مواد المخزون'!$H$2:$H$90,0)),"")</f>
        <v/>
      </c>
      <c r="C11" s="36" t="str">
        <f aca="false">IF($B11="","",INDEX('مواد المخزون'!$B$2:$B$90,MATCH($B11,'مواد المخزون'!$A$2:$A$90,0)))</f>
        <v/>
      </c>
      <c r="D11" s="110" t="str">
        <f aca="false">IF($B11="","",INDEX('جرد - محرم بك'!$U$7:$U$95,MATCH($B11,'جرد - محرم بك'!$A$7:$A$95,0)))</f>
        <v/>
      </c>
      <c r="E11" s="110" t="str">
        <f aca="false">IF($B11="","",INDEX('جرد - محرم بك'!$V$7:$V$95,MATCH($B11,'جرد - محرم بك'!$A$7:$A$95,0)))</f>
        <v/>
      </c>
      <c r="F11" s="110" t="str">
        <f aca="false">IF($B11="","",INDEX('جرد - محرم بك'!$W$7:$W$95,MATCH($B11,'جرد - محرم بك'!$A$7:$A$95,0)))</f>
        <v/>
      </c>
      <c r="G11" s="110" t="str">
        <f aca="false">IF($B11="","",INDEX('جرد - ابراهيمية'!$U$7:$U$95,MATCH($B11,'جرد - ابراهيمية'!$A$7:$A$95,0)))</f>
        <v/>
      </c>
      <c r="H11" s="110" t="str">
        <f aca="false">IF($B11="","",INDEX('جرد - ابراهيمية'!$V$7:$V$95,MATCH($B11,'جرد - ابراهيمية'!$A$7:$A$95,0)))</f>
        <v/>
      </c>
      <c r="I11" s="110" t="str">
        <f aca="false">IF($B11="","",INDEX('جرد - ابراهيمية'!$W$7:$W$95,MATCH($B11,'جرد - ابراهيمية'!$A$7:$A$95,0)))</f>
        <v/>
      </c>
      <c r="J11" s="110" t="str">
        <f aca="false">IF($B11="","",INDEX('جرد - عصافرة'!$U$7:$U$95,MATCH($B11,'جرد - عصافرة'!$A$7:$A$95,0)))</f>
        <v/>
      </c>
      <c r="K11" s="110" t="str">
        <f aca="false">IF($B11="","",INDEX('جرد - عصافرة'!$V$7:$V$95,MATCH($B11,'جرد - عصافرة'!$A$7:$A$95,0)))</f>
        <v/>
      </c>
      <c r="L11" s="110" t="str">
        <f aca="false">IF($B11="","",INDEX('جرد - عصافرة'!$W$7:$W$95,MATCH($B11,'جرد - عصافرة'!$A$7:$A$95,0)))</f>
        <v/>
      </c>
      <c r="M11" s="114" t="str">
        <f aca="false">IF($B11="","",F11+I11+L11)</f>
        <v/>
      </c>
      <c r="N11" s="39" t="str">
        <f aca="false">IF($B11="","",M11*INDEX('مواد المخزون'!$E$2:$E$90,MATCH($B11,'مواد المخزون'!$A$2:$A$90,0)))</f>
        <v/>
      </c>
    </row>
    <row r="12" customFormat="false" ht="15" hidden="false" customHeight="false" outlineLevel="0" collapsed="false">
      <c r="A12" s="36" t="n">
        <v>7</v>
      </c>
      <c r="B12" s="34" t="str">
        <f aca="false">IFERROR(INDEX('مواد المخزون'!$A$2:$A$90,MATCH($A12,'مواد المخزون'!$H$2:$H$90,0)),"")</f>
        <v/>
      </c>
      <c r="C12" s="36" t="str">
        <f aca="false">IF($B12="","",INDEX('مواد المخزون'!$B$2:$B$90,MATCH($B12,'مواد المخزون'!$A$2:$A$90,0)))</f>
        <v/>
      </c>
      <c r="D12" s="110" t="str">
        <f aca="false">IF($B12="","",INDEX('جرد - محرم بك'!$U$7:$U$95,MATCH($B12,'جرد - محرم بك'!$A$7:$A$95,0)))</f>
        <v/>
      </c>
      <c r="E12" s="110" t="str">
        <f aca="false">IF($B12="","",INDEX('جرد - محرم بك'!$V$7:$V$95,MATCH($B12,'جرد - محرم بك'!$A$7:$A$95,0)))</f>
        <v/>
      </c>
      <c r="F12" s="110" t="str">
        <f aca="false">IF($B12="","",INDEX('جرد - محرم بك'!$W$7:$W$95,MATCH($B12,'جرد - محرم بك'!$A$7:$A$95,0)))</f>
        <v/>
      </c>
      <c r="G12" s="110" t="str">
        <f aca="false">IF($B12="","",INDEX('جرد - ابراهيمية'!$U$7:$U$95,MATCH($B12,'جرد - ابراهيمية'!$A$7:$A$95,0)))</f>
        <v/>
      </c>
      <c r="H12" s="110" t="str">
        <f aca="false">IF($B12="","",INDEX('جرد - ابراهيمية'!$V$7:$V$95,MATCH($B12,'جرد - ابراهيمية'!$A$7:$A$95,0)))</f>
        <v/>
      </c>
      <c r="I12" s="110" t="str">
        <f aca="false">IF($B12="","",INDEX('جرد - ابراهيمية'!$W$7:$W$95,MATCH($B12,'جرد - ابراهيمية'!$A$7:$A$95,0)))</f>
        <v/>
      </c>
      <c r="J12" s="110" t="str">
        <f aca="false">IF($B12="","",INDEX('جرد - عصافرة'!$U$7:$U$95,MATCH($B12,'جرد - عصافرة'!$A$7:$A$95,0)))</f>
        <v/>
      </c>
      <c r="K12" s="110" t="str">
        <f aca="false">IF($B12="","",INDEX('جرد - عصافرة'!$V$7:$V$95,MATCH($B12,'جرد - عصافرة'!$A$7:$A$95,0)))</f>
        <v/>
      </c>
      <c r="L12" s="110" t="str">
        <f aca="false">IF($B12="","",INDEX('جرد - عصافرة'!$W$7:$W$95,MATCH($B12,'جرد - عصافرة'!$A$7:$A$95,0)))</f>
        <v/>
      </c>
      <c r="M12" s="114" t="str">
        <f aca="false">IF($B12="","",F12+I12+L12)</f>
        <v/>
      </c>
      <c r="N12" s="39" t="str">
        <f aca="false">IF($B12="","",M12*INDEX('مواد المخزون'!$E$2:$E$90,MATCH($B12,'مواد المخزون'!$A$2:$A$90,0)))</f>
        <v/>
      </c>
    </row>
    <row r="13" customFormat="false" ht="15" hidden="false" customHeight="false" outlineLevel="0" collapsed="false">
      <c r="A13" s="36" t="n">
        <v>8</v>
      </c>
      <c r="B13" s="34" t="str">
        <f aca="false">IFERROR(INDEX('مواد المخزون'!$A$2:$A$90,MATCH($A13,'مواد المخزون'!$H$2:$H$90,0)),"")</f>
        <v/>
      </c>
      <c r="C13" s="36" t="str">
        <f aca="false">IF($B13="","",INDEX('مواد المخزون'!$B$2:$B$90,MATCH($B13,'مواد المخزون'!$A$2:$A$90,0)))</f>
        <v/>
      </c>
      <c r="D13" s="110" t="str">
        <f aca="false">IF($B13="","",INDEX('جرد - محرم بك'!$U$7:$U$95,MATCH($B13,'جرد - محرم بك'!$A$7:$A$95,0)))</f>
        <v/>
      </c>
      <c r="E13" s="110" t="str">
        <f aca="false">IF($B13="","",INDEX('جرد - محرم بك'!$V$7:$V$95,MATCH($B13,'جرد - محرم بك'!$A$7:$A$95,0)))</f>
        <v/>
      </c>
      <c r="F13" s="110" t="str">
        <f aca="false">IF($B13="","",INDEX('جرد - محرم بك'!$W$7:$W$95,MATCH($B13,'جرد - محرم بك'!$A$7:$A$95,0)))</f>
        <v/>
      </c>
      <c r="G13" s="110" t="str">
        <f aca="false">IF($B13="","",INDEX('جرد - ابراهيمية'!$U$7:$U$95,MATCH($B13,'جرد - ابراهيمية'!$A$7:$A$95,0)))</f>
        <v/>
      </c>
      <c r="H13" s="110" t="str">
        <f aca="false">IF($B13="","",INDEX('جرد - ابراهيمية'!$V$7:$V$95,MATCH($B13,'جرد - ابراهيمية'!$A$7:$A$95,0)))</f>
        <v/>
      </c>
      <c r="I13" s="110" t="str">
        <f aca="false">IF($B13="","",INDEX('جرد - ابراهيمية'!$W$7:$W$95,MATCH($B13,'جرد - ابراهيمية'!$A$7:$A$95,0)))</f>
        <v/>
      </c>
      <c r="J13" s="110" t="str">
        <f aca="false">IF($B13="","",INDEX('جرد - عصافرة'!$U$7:$U$95,MATCH($B13,'جرد - عصافرة'!$A$7:$A$95,0)))</f>
        <v/>
      </c>
      <c r="K13" s="110" t="str">
        <f aca="false">IF($B13="","",INDEX('جرد - عصافرة'!$V$7:$V$95,MATCH($B13,'جرد - عصافرة'!$A$7:$A$95,0)))</f>
        <v/>
      </c>
      <c r="L13" s="110" t="str">
        <f aca="false">IF($B13="","",INDEX('جرد - عصافرة'!$W$7:$W$95,MATCH($B13,'جرد - عصافرة'!$A$7:$A$95,0)))</f>
        <v/>
      </c>
      <c r="M13" s="114" t="str">
        <f aca="false">IF($B13="","",F13+I13+L13)</f>
        <v/>
      </c>
      <c r="N13" s="39" t="str">
        <f aca="false">IF($B13="","",M13*INDEX('مواد المخزون'!$E$2:$E$90,MATCH($B13,'مواد المخزون'!$A$2:$A$90,0)))</f>
        <v/>
      </c>
    </row>
    <row r="14" customFormat="false" ht="15" hidden="false" customHeight="false" outlineLevel="0" collapsed="false">
      <c r="A14" s="36" t="n">
        <v>9</v>
      </c>
      <c r="B14" s="34" t="str">
        <f aca="false">IFERROR(INDEX('مواد المخزون'!$A$2:$A$90,MATCH($A14,'مواد المخزون'!$H$2:$H$90,0)),"")</f>
        <v/>
      </c>
      <c r="C14" s="36" t="str">
        <f aca="false">IF($B14="","",INDEX('مواد المخزون'!$B$2:$B$90,MATCH($B14,'مواد المخزون'!$A$2:$A$90,0)))</f>
        <v/>
      </c>
      <c r="D14" s="110" t="str">
        <f aca="false">IF($B14="","",INDEX('جرد - محرم بك'!$U$7:$U$95,MATCH($B14,'جرد - محرم بك'!$A$7:$A$95,0)))</f>
        <v/>
      </c>
      <c r="E14" s="110" t="str">
        <f aca="false">IF($B14="","",INDEX('جرد - محرم بك'!$V$7:$V$95,MATCH($B14,'جرد - محرم بك'!$A$7:$A$95,0)))</f>
        <v/>
      </c>
      <c r="F14" s="110" t="str">
        <f aca="false">IF($B14="","",INDEX('جرد - محرم بك'!$W$7:$W$95,MATCH($B14,'جرد - محرم بك'!$A$7:$A$95,0)))</f>
        <v/>
      </c>
      <c r="G14" s="110" t="str">
        <f aca="false">IF($B14="","",INDEX('جرد - ابراهيمية'!$U$7:$U$95,MATCH($B14,'جرد - ابراهيمية'!$A$7:$A$95,0)))</f>
        <v/>
      </c>
      <c r="H14" s="110" t="str">
        <f aca="false">IF($B14="","",INDEX('جرد - ابراهيمية'!$V$7:$V$95,MATCH($B14,'جرد - ابراهيمية'!$A$7:$A$95,0)))</f>
        <v/>
      </c>
      <c r="I14" s="110" t="str">
        <f aca="false">IF($B14="","",INDEX('جرد - ابراهيمية'!$W$7:$W$95,MATCH($B14,'جرد - ابراهيمية'!$A$7:$A$95,0)))</f>
        <v/>
      </c>
      <c r="J14" s="110" t="str">
        <f aca="false">IF($B14="","",INDEX('جرد - عصافرة'!$U$7:$U$95,MATCH($B14,'جرد - عصافرة'!$A$7:$A$95,0)))</f>
        <v/>
      </c>
      <c r="K14" s="110" t="str">
        <f aca="false">IF($B14="","",INDEX('جرد - عصافرة'!$V$7:$V$95,MATCH($B14,'جرد - عصافرة'!$A$7:$A$95,0)))</f>
        <v/>
      </c>
      <c r="L14" s="110" t="str">
        <f aca="false">IF($B14="","",INDEX('جرد - عصافرة'!$W$7:$W$95,MATCH($B14,'جرد - عصافرة'!$A$7:$A$95,0)))</f>
        <v/>
      </c>
      <c r="M14" s="114" t="str">
        <f aca="false">IF($B14="","",F14+I14+L14)</f>
        <v/>
      </c>
      <c r="N14" s="39" t="str">
        <f aca="false">IF($B14="","",M14*INDEX('مواد المخزون'!$E$2:$E$90,MATCH($B14,'مواد المخزون'!$A$2:$A$90,0)))</f>
        <v/>
      </c>
    </row>
    <row r="15" customFormat="false" ht="15" hidden="false" customHeight="false" outlineLevel="0" collapsed="false">
      <c r="A15" s="36" t="n">
        <v>10</v>
      </c>
      <c r="B15" s="34" t="str">
        <f aca="false">IFERROR(INDEX('مواد المخزون'!$A$2:$A$90,MATCH($A15,'مواد المخزون'!$H$2:$H$90,0)),"")</f>
        <v/>
      </c>
      <c r="C15" s="36" t="str">
        <f aca="false">IF($B15="","",INDEX('مواد المخزون'!$B$2:$B$90,MATCH($B15,'مواد المخزون'!$A$2:$A$90,0)))</f>
        <v/>
      </c>
      <c r="D15" s="110" t="str">
        <f aca="false">IF($B15="","",INDEX('جرد - محرم بك'!$U$7:$U$95,MATCH($B15,'جرد - محرم بك'!$A$7:$A$95,0)))</f>
        <v/>
      </c>
      <c r="E15" s="110" t="str">
        <f aca="false">IF($B15="","",INDEX('جرد - محرم بك'!$V$7:$V$95,MATCH($B15,'جرد - محرم بك'!$A$7:$A$95,0)))</f>
        <v/>
      </c>
      <c r="F15" s="110" t="str">
        <f aca="false">IF($B15="","",INDEX('جرد - محرم بك'!$W$7:$W$95,MATCH($B15,'جرد - محرم بك'!$A$7:$A$95,0)))</f>
        <v/>
      </c>
      <c r="G15" s="110" t="str">
        <f aca="false">IF($B15="","",INDEX('جرد - ابراهيمية'!$U$7:$U$95,MATCH($B15,'جرد - ابراهيمية'!$A$7:$A$95,0)))</f>
        <v/>
      </c>
      <c r="H15" s="110" t="str">
        <f aca="false">IF($B15="","",INDEX('جرد - ابراهيمية'!$V$7:$V$95,MATCH($B15,'جرد - ابراهيمية'!$A$7:$A$95,0)))</f>
        <v/>
      </c>
      <c r="I15" s="110" t="str">
        <f aca="false">IF($B15="","",INDEX('جرد - ابراهيمية'!$W$7:$W$95,MATCH($B15,'جرد - ابراهيمية'!$A$7:$A$95,0)))</f>
        <v/>
      </c>
      <c r="J15" s="110" t="str">
        <f aca="false">IF($B15="","",INDEX('جرد - عصافرة'!$U$7:$U$95,MATCH($B15,'جرد - عصافرة'!$A$7:$A$95,0)))</f>
        <v/>
      </c>
      <c r="K15" s="110" t="str">
        <f aca="false">IF($B15="","",INDEX('جرد - عصافرة'!$V$7:$V$95,MATCH($B15,'جرد - عصافرة'!$A$7:$A$95,0)))</f>
        <v/>
      </c>
      <c r="L15" s="110" t="str">
        <f aca="false">IF($B15="","",INDEX('جرد - عصافرة'!$W$7:$W$95,MATCH($B15,'جرد - عصافرة'!$A$7:$A$95,0)))</f>
        <v/>
      </c>
      <c r="M15" s="114" t="str">
        <f aca="false">IF($B15="","",F15+I15+L15)</f>
        <v/>
      </c>
      <c r="N15" s="39" t="str">
        <f aca="false">IF($B15="","",M15*INDEX('مواد المخزون'!$E$2:$E$90,MATCH($B15,'مواد المخزون'!$A$2:$A$90,0)))</f>
        <v/>
      </c>
    </row>
    <row r="16" customFormat="false" ht="15" hidden="false" customHeight="false" outlineLevel="0" collapsed="false">
      <c r="A16" s="36" t="n">
        <v>11</v>
      </c>
      <c r="B16" s="34" t="str">
        <f aca="false">IFERROR(INDEX('مواد المخزون'!$A$2:$A$90,MATCH($A16,'مواد المخزون'!$H$2:$H$90,0)),"")</f>
        <v/>
      </c>
      <c r="C16" s="36" t="str">
        <f aca="false">IF($B16="","",INDEX('مواد المخزون'!$B$2:$B$90,MATCH($B16,'مواد المخزون'!$A$2:$A$90,0)))</f>
        <v/>
      </c>
      <c r="D16" s="110" t="str">
        <f aca="false">IF($B16="","",INDEX('جرد - محرم بك'!$U$7:$U$95,MATCH($B16,'جرد - محرم بك'!$A$7:$A$95,0)))</f>
        <v/>
      </c>
      <c r="E16" s="110" t="str">
        <f aca="false">IF($B16="","",INDEX('جرد - محرم بك'!$V$7:$V$95,MATCH($B16,'جرد - محرم بك'!$A$7:$A$95,0)))</f>
        <v/>
      </c>
      <c r="F16" s="110" t="str">
        <f aca="false">IF($B16="","",INDEX('جرد - محرم بك'!$W$7:$W$95,MATCH($B16,'جرد - محرم بك'!$A$7:$A$95,0)))</f>
        <v/>
      </c>
      <c r="G16" s="110" t="str">
        <f aca="false">IF($B16="","",INDEX('جرد - ابراهيمية'!$U$7:$U$95,MATCH($B16,'جرد - ابراهيمية'!$A$7:$A$95,0)))</f>
        <v/>
      </c>
      <c r="H16" s="110" t="str">
        <f aca="false">IF($B16="","",INDEX('جرد - ابراهيمية'!$V$7:$V$95,MATCH($B16,'جرد - ابراهيمية'!$A$7:$A$95,0)))</f>
        <v/>
      </c>
      <c r="I16" s="110" t="str">
        <f aca="false">IF($B16="","",INDEX('جرد - ابراهيمية'!$W$7:$W$95,MATCH($B16,'جرد - ابراهيمية'!$A$7:$A$95,0)))</f>
        <v/>
      </c>
      <c r="J16" s="110" t="str">
        <f aca="false">IF($B16="","",INDEX('جرد - عصافرة'!$U$7:$U$95,MATCH($B16,'جرد - عصافرة'!$A$7:$A$95,0)))</f>
        <v/>
      </c>
      <c r="K16" s="110" t="str">
        <f aca="false">IF($B16="","",INDEX('جرد - عصافرة'!$V$7:$V$95,MATCH($B16,'جرد - عصافرة'!$A$7:$A$95,0)))</f>
        <v/>
      </c>
      <c r="L16" s="110" t="str">
        <f aca="false">IF($B16="","",INDEX('جرد - عصافرة'!$W$7:$W$95,MATCH($B16,'جرد - عصافرة'!$A$7:$A$95,0)))</f>
        <v/>
      </c>
      <c r="M16" s="114" t="str">
        <f aca="false">IF($B16="","",F16+I16+L16)</f>
        <v/>
      </c>
      <c r="N16" s="39" t="str">
        <f aca="false">IF($B16="","",M16*INDEX('مواد المخزون'!$E$2:$E$90,MATCH($B16,'مواد المخزون'!$A$2:$A$90,0)))</f>
        <v/>
      </c>
    </row>
    <row r="17" customFormat="false" ht="15" hidden="false" customHeight="false" outlineLevel="0" collapsed="false">
      <c r="A17" s="36" t="n">
        <v>12</v>
      </c>
      <c r="B17" s="34" t="str">
        <f aca="false">IFERROR(INDEX('مواد المخزون'!$A$2:$A$90,MATCH($A17,'مواد المخزون'!$H$2:$H$90,0)),"")</f>
        <v/>
      </c>
      <c r="C17" s="36" t="str">
        <f aca="false">IF($B17="","",INDEX('مواد المخزون'!$B$2:$B$90,MATCH($B17,'مواد المخزون'!$A$2:$A$90,0)))</f>
        <v/>
      </c>
      <c r="D17" s="110" t="str">
        <f aca="false">IF($B17="","",INDEX('جرد - محرم بك'!$U$7:$U$95,MATCH($B17,'جرد - محرم بك'!$A$7:$A$95,0)))</f>
        <v/>
      </c>
      <c r="E17" s="110" t="str">
        <f aca="false">IF($B17="","",INDEX('جرد - محرم بك'!$V$7:$V$95,MATCH($B17,'جرد - محرم بك'!$A$7:$A$95,0)))</f>
        <v/>
      </c>
      <c r="F17" s="110" t="str">
        <f aca="false">IF($B17="","",INDEX('جرد - محرم بك'!$W$7:$W$95,MATCH($B17,'جرد - محرم بك'!$A$7:$A$95,0)))</f>
        <v/>
      </c>
      <c r="G17" s="110" t="str">
        <f aca="false">IF($B17="","",INDEX('جرد - ابراهيمية'!$U$7:$U$95,MATCH($B17,'جرد - ابراهيمية'!$A$7:$A$95,0)))</f>
        <v/>
      </c>
      <c r="H17" s="110" t="str">
        <f aca="false">IF($B17="","",INDEX('جرد - ابراهيمية'!$V$7:$V$95,MATCH($B17,'جرد - ابراهيمية'!$A$7:$A$95,0)))</f>
        <v/>
      </c>
      <c r="I17" s="110" t="str">
        <f aca="false">IF($B17="","",INDEX('جرد - ابراهيمية'!$W$7:$W$95,MATCH($B17,'جرد - ابراهيمية'!$A$7:$A$95,0)))</f>
        <v/>
      </c>
      <c r="J17" s="110" t="str">
        <f aca="false">IF($B17="","",INDEX('جرد - عصافرة'!$U$7:$U$95,MATCH($B17,'جرد - عصافرة'!$A$7:$A$95,0)))</f>
        <v/>
      </c>
      <c r="K17" s="110" t="str">
        <f aca="false">IF($B17="","",INDEX('جرد - عصافرة'!$V$7:$V$95,MATCH($B17,'جرد - عصافرة'!$A$7:$A$95,0)))</f>
        <v/>
      </c>
      <c r="L17" s="110" t="str">
        <f aca="false">IF($B17="","",INDEX('جرد - عصافرة'!$W$7:$W$95,MATCH($B17,'جرد - عصافرة'!$A$7:$A$95,0)))</f>
        <v/>
      </c>
      <c r="M17" s="114" t="str">
        <f aca="false">IF($B17="","",F17+I17+L17)</f>
        <v/>
      </c>
      <c r="N17" s="39" t="str">
        <f aca="false">IF($B17="","",M17*INDEX('مواد المخزون'!$E$2:$E$90,MATCH($B17,'مواد المخزون'!$A$2:$A$90,0)))</f>
        <v/>
      </c>
    </row>
    <row r="18" customFormat="false" ht="15" hidden="false" customHeight="false" outlineLevel="0" collapsed="false">
      <c r="A18" s="36" t="n">
        <v>13</v>
      </c>
      <c r="B18" s="34" t="str">
        <f aca="false">IFERROR(INDEX('مواد المخزون'!$A$2:$A$90,MATCH($A18,'مواد المخزون'!$H$2:$H$90,0)),"")</f>
        <v/>
      </c>
      <c r="C18" s="36" t="str">
        <f aca="false">IF($B18="","",INDEX('مواد المخزون'!$B$2:$B$90,MATCH($B18,'مواد المخزون'!$A$2:$A$90,0)))</f>
        <v/>
      </c>
      <c r="D18" s="110" t="str">
        <f aca="false">IF($B18="","",INDEX('جرد - محرم بك'!$U$7:$U$95,MATCH($B18,'جرد - محرم بك'!$A$7:$A$95,0)))</f>
        <v/>
      </c>
      <c r="E18" s="110" t="str">
        <f aca="false">IF($B18="","",INDEX('جرد - محرم بك'!$V$7:$V$95,MATCH($B18,'جرد - محرم بك'!$A$7:$A$95,0)))</f>
        <v/>
      </c>
      <c r="F18" s="110" t="str">
        <f aca="false">IF($B18="","",INDEX('جرد - محرم بك'!$W$7:$W$95,MATCH($B18,'جرد - محرم بك'!$A$7:$A$95,0)))</f>
        <v/>
      </c>
      <c r="G18" s="110" t="str">
        <f aca="false">IF($B18="","",INDEX('جرد - ابراهيمية'!$U$7:$U$95,MATCH($B18,'جرد - ابراهيمية'!$A$7:$A$95,0)))</f>
        <v/>
      </c>
      <c r="H18" s="110" t="str">
        <f aca="false">IF($B18="","",INDEX('جرد - ابراهيمية'!$V$7:$V$95,MATCH($B18,'جرد - ابراهيمية'!$A$7:$A$95,0)))</f>
        <v/>
      </c>
      <c r="I18" s="110" t="str">
        <f aca="false">IF($B18="","",INDEX('جرد - ابراهيمية'!$W$7:$W$95,MATCH($B18,'جرد - ابراهيمية'!$A$7:$A$95,0)))</f>
        <v/>
      </c>
      <c r="J18" s="110" t="str">
        <f aca="false">IF($B18="","",INDEX('جرد - عصافرة'!$U$7:$U$95,MATCH($B18,'جرد - عصافرة'!$A$7:$A$95,0)))</f>
        <v/>
      </c>
      <c r="K18" s="110" t="str">
        <f aca="false">IF($B18="","",INDEX('جرد - عصافرة'!$V$7:$V$95,MATCH($B18,'جرد - عصافرة'!$A$7:$A$95,0)))</f>
        <v/>
      </c>
      <c r="L18" s="110" t="str">
        <f aca="false">IF($B18="","",INDEX('جرد - عصافرة'!$W$7:$W$95,MATCH($B18,'جرد - عصافرة'!$A$7:$A$95,0)))</f>
        <v/>
      </c>
      <c r="M18" s="114" t="str">
        <f aca="false">IF($B18="","",F18+I18+L18)</f>
        <v/>
      </c>
      <c r="N18" s="39" t="str">
        <f aca="false">IF($B18="","",M18*INDEX('مواد المخزون'!$E$2:$E$90,MATCH($B18,'مواد المخزون'!$A$2:$A$90,0)))</f>
        <v/>
      </c>
    </row>
    <row r="19" customFormat="false" ht="15" hidden="false" customHeight="false" outlineLevel="0" collapsed="false">
      <c r="A19" s="36" t="n">
        <v>14</v>
      </c>
      <c r="B19" s="34" t="str">
        <f aca="false">IFERROR(INDEX('مواد المخزون'!$A$2:$A$90,MATCH($A19,'مواد المخزون'!$H$2:$H$90,0)),"")</f>
        <v/>
      </c>
      <c r="C19" s="36" t="str">
        <f aca="false">IF($B19="","",INDEX('مواد المخزون'!$B$2:$B$90,MATCH($B19,'مواد المخزون'!$A$2:$A$90,0)))</f>
        <v/>
      </c>
      <c r="D19" s="110" t="str">
        <f aca="false">IF($B19="","",INDEX('جرد - محرم بك'!$U$7:$U$95,MATCH($B19,'جرد - محرم بك'!$A$7:$A$95,0)))</f>
        <v/>
      </c>
      <c r="E19" s="110" t="str">
        <f aca="false">IF($B19="","",INDEX('جرد - محرم بك'!$V$7:$V$95,MATCH($B19,'جرد - محرم بك'!$A$7:$A$95,0)))</f>
        <v/>
      </c>
      <c r="F19" s="110" t="str">
        <f aca="false">IF($B19="","",INDEX('جرد - محرم بك'!$W$7:$W$95,MATCH($B19,'جرد - محرم بك'!$A$7:$A$95,0)))</f>
        <v/>
      </c>
      <c r="G19" s="110" t="str">
        <f aca="false">IF($B19="","",INDEX('جرد - ابراهيمية'!$U$7:$U$95,MATCH($B19,'جرد - ابراهيمية'!$A$7:$A$95,0)))</f>
        <v/>
      </c>
      <c r="H19" s="110" t="str">
        <f aca="false">IF($B19="","",INDEX('جرد - ابراهيمية'!$V$7:$V$95,MATCH($B19,'جرد - ابراهيمية'!$A$7:$A$95,0)))</f>
        <v/>
      </c>
      <c r="I19" s="110" t="str">
        <f aca="false">IF($B19="","",INDEX('جرد - ابراهيمية'!$W$7:$W$95,MATCH($B19,'جرد - ابراهيمية'!$A$7:$A$95,0)))</f>
        <v/>
      </c>
      <c r="J19" s="110" t="str">
        <f aca="false">IF($B19="","",INDEX('جرد - عصافرة'!$U$7:$U$95,MATCH($B19,'جرد - عصافرة'!$A$7:$A$95,0)))</f>
        <v/>
      </c>
      <c r="K19" s="110" t="str">
        <f aca="false">IF($B19="","",INDEX('جرد - عصافرة'!$V$7:$V$95,MATCH($B19,'جرد - عصافرة'!$A$7:$A$95,0)))</f>
        <v/>
      </c>
      <c r="L19" s="110" t="str">
        <f aca="false">IF($B19="","",INDEX('جرد - عصافرة'!$W$7:$W$95,MATCH($B19,'جرد - عصافرة'!$A$7:$A$95,0)))</f>
        <v/>
      </c>
      <c r="M19" s="114" t="str">
        <f aca="false">IF($B19="","",F19+I19+L19)</f>
        <v/>
      </c>
      <c r="N19" s="39" t="str">
        <f aca="false">IF($B19="","",M19*INDEX('مواد المخزون'!$E$2:$E$90,MATCH($B19,'مواد المخزون'!$A$2:$A$90,0)))</f>
        <v/>
      </c>
    </row>
    <row r="20" customFormat="false" ht="15" hidden="false" customHeight="false" outlineLevel="0" collapsed="false">
      <c r="A20" s="36" t="n">
        <v>15</v>
      </c>
      <c r="B20" s="34" t="str">
        <f aca="false">IFERROR(INDEX('مواد المخزون'!$A$2:$A$90,MATCH($A20,'مواد المخزون'!$H$2:$H$90,0)),"")</f>
        <v/>
      </c>
      <c r="C20" s="36" t="str">
        <f aca="false">IF($B20="","",INDEX('مواد المخزون'!$B$2:$B$90,MATCH($B20,'مواد المخزون'!$A$2:$A$90,0)))</f>
        <v/>
      </c>
      <c r="D20" s="110" t="str">
        <f aca="false">IF($B20="","",INDEX('جرد - محرم بك'!$U$7:$U$95,MATCH($B20,'جرد - محرم بك'!$A$7:$A$95,0)))</f>
        <v/>
      </c>
      <c r="E20" s="110" t="str">
        <f aca="false">IF($B20="","",INDEX('جرد - محرم بك'!$V$7:$V$95,MATCH($B20,'جرد - محرم بك'!$A$7:$A$95,0)))</f>
        <v/>
      </c>
      <c r="F20" s="110" t="str">
        <f aca="false">IF($B20="","",INDEX('جرد - محرم بك'!$W$7:$W$95,MATCH($B20,'جرد - محرم بك'!$A$7:$A$95,0)))</f>
        <v/>
      </c>
      <c r="G20" s="110" t="str">
        <f aca="false">IF($B20="","",INDEX('جرد - ابراهيمية'!$U$7:$U$95,MATCH($B20,'جرد - ابراهيمية'!$A$7:$A$95,0)))</f>
        <v/>
      </c>
      <c r="H20" s="110" t="str">
        <f aca="false">IF($B20="","",INDEX('جرد - ابراهيمية'!$V$7:$V$95,MATCH($B20,'جرد - ابراهيمية'!$A$7:$A$95,0)))</f>
        <v/>
      </c>
      <c r="I20" s="110" t="str">
        <f aca="false">IF($B20="","",INDEX('جرد - ابراهيمية'!$W$7:$W$95,MATCH($B20,'جرد - ابراهيمية'!$A$7:$A$95,0)))</f>
        <v/>
      </c>
      <c r="J20" s="110" t="str">
        <f aca="false">IF($B20="","",INDEX('جرد - عصافرة'!$U$7:$U$95,MATCH($B20,'جرد - عصافرة'!$A$7:$A$95,0)))</f>
        <v/>
      </c>
      <c r="K20" s="110" t="str">
        <f aca="false">IF($B20="","",INDEX('جرد - عصافرة'!$V$7:$V$95,MATCH($B20,'جرد - عصافرة'!$A$7:$A$95,0)))</f>
        <v/>
      </c>
      <c r="L20" s="110" t="str">
        <f aca="false">IF($B20="","",INDEX('جرد - عصافرة'!$W$7:$W$95,MATCH($B20,'جرد - عصافرة'!$A$7:$A$95,0)))</f>
        <v/>
      </c>
      <c r="M20" s="114" t="str">
        <f aca="false">IF($B20="","",F20+I20+L20)</f>
        <v/>
      </c>
      <c r="N20" s="39" t="str">
        <f aca="false">IF($B20="","",M20*INDEX('مواد المخزون'!$E$2:$E$90,MATCH($B20,'مواد المخزون'!$A$2:$A$90,0)))</f>
        <v/>
      </c>
    </row>
    <row r="21" customFormat="false" ht="15" hidden="false" customHeight="false" outlineLevel="0" collapsed="false">
      <c r="A21" s="36" t="n">
        <v>16</v>
      </c>
      <c r="B21" s="34" t="str">
        <f aca="false">IFERROR(INDEX('مواد المخزون'!$A$2:$A$90,MATCH($A21,'مواد المخزون'!$H$2:$H$90,0)),"")</f>
        <v/>
      </c>
      <c r="C21" s="36" t="str">
        <f aca="false">IF($B21="","",INDEX('مواد المخزون'!$B$2:$B$90,MATCH($B21,'مواد المخزون'!$A$2:$A$90,0)))</f>
        <v/>
      </c>
      <c r="D21" s="110" t="str">
        <f aca="false">IF($B21="","",INDEX('جرد - محرم بك'!$U$7:$U$95,MATCH($B21,'جرد - محرم بك'!$A$7:$A$95,0)))</f>
        <v/>
      </c>
      <c r="E21" s="110" t="str">
        <f aca="false">IF($B21="","",INDEX('جرد - محرم بك'!$V$7:$V$95,MATCH($B21,'جرد - محرم بك'!$A$7:$A$95,0)))</f>
        <v/>
      </c>
      <c r="F21" s="110" t="str">
        <f aca="false">IF($B21="","",INDEX('جرد - محرم بك'!$W$7:$W$95,MATCH($B21,'جرد - محرم بك'!$A$7:$A$95,0)))</f>
        <v/>
      </c>
      <c r="G21" s="110" t="str">
        <f aca="false">IF($B21="","",INDEX('جرد - ابراهيمية'!$U$7:$U$95,MATCH($B21,'جرد - ابراهيمية'!$A$7:$A$95,0)))</f>
        <v/>
      </c>
      <c r="H21" s="110" t="str">
        <f aca="false">IF($B21="","",INDEX('جرد - ابراهيمية'!$V$7:$V$95,MATCH($B21,'جرد - ابراهيمية'!$A$7:$A$95,0)))</f>
        <v/>
      </c>
      <c r="I21" s="110" t="str">
        <f aca="false">IF($B21="","",INDEX('جرد - ابراهيمية'!$W$7:$W$95,MATCH($B21,'جرد - ابراهيمية'!$A$7:$A$95,0)))</f>
        <v/>
      </c>
      <c r="J21" s="110" t="str">
        <f aca="false">IF($B21="","",INDEX('جرد - عصافرة'!$U$7:$U$95,MATCH($B21,'جرد - عصافرة'!$A$7:$A$95,0)))</f>
        <v/>
      </c>
      <c r="K21" s="110" t="str">
        <f aca="false">IF($B21="","",INDEX('جرد - عصافرة'!$V$7:$V$95,MATCH($B21,'جرد - عصافرة'!$A$7:$A$95,0)))</f>
        <v/>
      </c>
      <c r="L21" s="110" t="str">
        <f aca="false">IF($B21="","",INDEX('جرد - عصافرة'!$W$7:$W$95,MATCH($B21,'جرد - عصافرة'!$A$7:$A$95,0)))</f>
        <v/>
      </c>
      <c r="M21" s="114" t="str">
        <f aca="false">IF($B21="","",F21+I21+L21)</f>
        <v/>
      </c>
      <c r="N21" s="39" t="str">
        <f aca="false">IF($B21="","",M21*INDEX('مواد المخزون'!$E$2:$E$90,MATCH($B21,'مواد المخزون'!$A$2:$A$90,0)))</f>
        <v/>
      </c>
    </row>
    <row r="22" customFormat="false" ht="15" hidden="false" customHeight="false" outlineLevel="0" collapsed="false">
      <c r="A22" s="36" t="n">
        <v>17</v>
      </c>
      <c r="B22" s="34" t="str">
        <f aca="false">IFERROR(INDEX('مواد المخزون'!$A$2:$A$90,MATCH($A22,'مواد المخزون'!$H$2:$H$90,0)),"")</f>
        <v/>
      </c>
      <c r="C22" s="36" t="str">
        <f aca="false">IF($B22="","",INDEX('مواد المخزون'!$B$2:$B$90,MATCH($B22,'مواد المخزون'!$A$2:$A$90,0)))</f>
        <v/>
      </c>
      <c r="D22" s="110" t="str">
        <f aca="false">IF($B22="","",INDEX('جرد - محرم بك'!$U$7:$U$95,MATCH($B22,'جرد - محرم بك'!$A$7:$A$95,0)))</f>
        <v/>
      </c>
      <c r="E22" s="110" t="str">
        <f aca="false">IF($B22="","",INDEX('جرد - محرم بك'!$V$7:$V$95,MATCH($B22,'جرد - محرم بك'!$A$7:$A$95,0)))</f>
        <v/>
      </c>
      <c r="F22" s="110" t="str">
        <f aca="false">IF($B22="","",INDEX('جرد - محرم بك'!$W$7:$W$95,MATCH($B22,'جرد - محرم بك'!$A$7:$A$95,0)))</f>
        <v/>
      </c>
      <c r="G22" s="110" t="str">
        <f aca="false">IF($B22="","",INDEX('جرد - ابراهيمية'!$U$7:$U$95,MATCH($B22,'جرد - ابراهيمية'!$A$7:$A$95,0)))</f>
        <v/>
      </c>
      <c r="H22" s="110" t="str">
        <f aca="false">IF($B22="","",INDEX('جرد - ابراهيمية'!$V$7:$V$95,MATCH($B22,'جرد - ابراهيمية'!$A$7:$A$95,0)))</f>
        <v/>
      </c>
      <c r="I22" s="110" t="str">
        <f aca="false">IF($B22="","",INDEX('جرد - ابراهيمية'!$W$7:$W$95,MATCH($B22,'جرد - ابراهيمية'!$A$7:$A$95,0)))</f>
        <v/>
      </c>
      <c r="J22" s="110" t="str">
        <f aca="false">IF($B22="","",INDEX('جرد - عصافرة'!$U$7:$U$95,MATCH($B22,'جرد - عصافرة'!$A$7:$A$95,0)))</f>
        <v/>
      </c>
      <c r="K22" s="110" t="str">
        <f aca="false">IF($B22="","",INDEX('جرد - عصافرة'!$V$7:$V$95,MATCH($B22,'جرد - عصافرة'!$A$7:$A$95,0)))</f>
        <v/>
      </c>
      <c r="L22" s="110" t="str">
        <f aca="false">IF($B22="","",INDEX('جرد - عصافرة'!$W$7:$W$95,MATCH($B22,'جرد - عصافرة'!$A$7:$A$95,0)))</f>
        <v/>
      </c>
      <c r="M22" s="114" t="str">
        <f aca="false">IF($B22="","",F22+I22+L22)</f>
        <v/>
      </c>
      <c r="N22" s="39" t="str">
        <f aca="false">IF($B22="","",M22*INDEX('مواد المخزون'!$E$2:$E$90,MATCH($B22,'مواد المخزون'!$A$2:$A$90,0)))</f>
        <v/>
      </c>
    </row>
    <row r="23" customFormat="false" ht="15" hidden="false" customHeight="false" outlineLevel="0" collapsed="false">
      <c r="A23" s="36" t="n">
        <v>18</v>
      </c>
      <c r="B23" s="34" t="str">
        <f aca="false">IFERROR(INDEX('مواد المخزون'!$A$2:$A$90,MATCH($A23,'مواد المخزون'!$H$2:$H$90,0)),"")</f>
        <v/>
      </c>
      <c r="C23" s="36" t="str">
        <f aca="false">IF($B23="","",INDEX('مواد المخزون'!$B$2:$B$90,MATCH($B23,'مواد المخزون'!$A$2:$A$90,0)))</f>
        <v/>
      </c>
      <c r="D23" s="110" t="str">
        <f aca="false">IF($B23="","",INDEX('جرد - محرم بك'!$U$7:$U$95,MATCH($B23,'جرد - محرم بك'!$A$7:$A$95,0)))</f>
        <v/>
      </c>
      <c r="E23" s="110" t="str">
        <f aca="false">IF($B23="","",INDEX('جرد - محرم بك'!$V$7:$V$95,MATCH($B23,'جرد - محرم بك'!$A$7:$A$95,0)))</f>
        <v/>
      </c>
      <c r="F23" s="110" t="str">
        <f aca="false">IF($B23="","",INDEX('جرد - محرم بك'!$W$7:$W$95,MATCH($B23,'جرد - محرم بك'!$A$7:$A$95,0)))</f>
        <v/>
      </c>
      <c r="G23" s="110" t="str">
        <f aca="false">IF($B23="","",INDEX('جرد - ابراهيمية'!$U$7:$U$95,MATCH($B23,'جرد - ابراهيمية'!$A$7:$A$95,0)))</f>
        <v/>
      </c>
      <c r="H23" s="110" t="str">
        <f aca="false">IF($B23="","",INDEX('جرد - ابراهيمية'!$V$7:$V$95,MATCH($B23,'جرد - ابراهيمية'!$A$7:$A$95,0)))</f>
        <v/>
      </c>
      <c r="I23" s="110" t="str">
        <f aca="false">IF($B23="","",INDEX('جرد - ابراهيمية'!$W$7:$W$95,MATCH($B23,'جرد - ابراهيمية'!$A$7:$A$95,0)))</f>
        <v/>
      </c>
      <c r="J23" s="110" t="str">
        <f aca="false">IF($B23="","",INDEX('جرد - عصافرة'!$U$7:$U$95,MATCH($B23,'جرد - عصافرة'!$A$7:$A$95,0)))</f>
        <v/>
      </c>
      <c r="K23" s="110" t="str">
        <f aca="false">IF($B23="","",INDEX('جرد - عصافرة'!$V$7:$V$95,MATCH($B23,'جرد - عصافرة'!$A$7:$A$95,0)))</f>
        <v/>
      </c>
      <c r="L23" s="110" t="str">
        <f aca="false">IF($B23="","",INDEX('جرد - عصافرة'!$W$7:$W$95,MATCH($B23,'جرد - عصافرة'!$A$7:$A$95,0)))</f>
        <v/>
      </c>
      <c r="M23" s="114" t="str">
        <f aca="false">IF($B23="","",F23+I23+L23)</f>
        <v/>
      </c>
      <c r="N23" s="39" t="str">
        <f aca="false">IF($B23="","",M23*INDEX('مواد المخزون'!$E$2:$E$90,MATCH($B23,'مواد المخزون'!$A$2:$A$90,0)))</f>
        <v/>
      </c>
    </row>
    <row r="24" customFormat="false" ht="15" hidden="false" customHeight="false" outlineLevel="0" collapsed="false">
      <c r="A24" s="36" t="n">
        <v>19</v>
      </c>
      <c r="B24" s="34" t="str">
        <f aca="false">IFERROR(INDEX('مواد المخزون'!$A$2:$A$90,MATCH($A24,'مواد المخزون'!$H$2:$H$90,0)),"")</f>
        <v/>
      </c>
      <c r="C24" s="36" t="str">
        <f aca="false">IF($B24="","",INDEX('مواد المخزون'!$B$2:$B$90,MATCH($B24,'مواد المخزون'!$A$2:$A$90,0)))</f>
        <v/>
      </c>
      <c r="D24" s="110" t="str">
        <f aca="false">IF($B24="","",INDEX('جرد - محرم بك'!$U$7:$U$95,MATCH($B24,'جرد - محرم بك'!$A$7:$A$95,0)))</f>
        <v/>
      </c>
      <c r="E24" s="110" t="str">
        <f aca="false">IF($B24="","",INDEX('جرد - محرم بك'!$V$7:$V$95,MATCH($B24,'جرد - محرم بك'!$A$7:$A$95,0)))</f>
        <v/>
      </c>
      <c r="F24" s="110" t="str">
        <f aca="false">IF($B24="","",INDEX('جرد - محرم بك'!$W$7:$W$95,MATCH($B24,'جرد - محرم بك'!$A$7:$A$95,0)))</f>
        <v/>
      </c>
      <c r="G24" s="110" t="str">
        <f aca="false">IF($B24="","",INDEX('جرد - ابراهيمية'!$U$7:$U$95,MATCH($B24,'جرد - ابراهيمية'!$A$7:$A$95,0)))</f>
        <v/>
      </c>
      <c r="H24" s="110" t="str">
        <f aca="false">IF($B24="","",INDEX('جرد - ابراهيمية'!$V$7:$V$95,MATCH($B24,'جرد - ابراهيمية'!$A$7:$A$95,0)))</f>
        <v/>
      </c>
      <c r="I24" s="110" t="str">
        <f aca="false">IF($B24="","",INDEX('جرد - ابراهيمية'!$W$7:$W$95,MATCH($B24,'جرد - ابراهيمية'!$A$7:$A$95,0)))</f>
        <v/>
      </c>
      <c r="J24" s="110" t="str">
        <f aca="false">IF($B24="","",INDEX('جرد - عصافرة'!$U$7:$U$95,MATCH($B24,'جرد - عصافرة'!$A$7:$A$95,0)))</f>
        <v/>
      </c>
      <c r="K24" s="110" t="str">
        <f aca="false">IF($B24="","",INDEX('جرد - عصافرة'!$V$7:$V$95,MATCH($B24,'جرد - عصافرة'!$A$7:$A$95,0)))</f>
        <v/>
      </c>
      <c r="L24" s="110" t="str">
        <f aca="false">IF($B24="","",INDEX('جرد - عصافرة'!$W$7:$W$95,MATCH($B24,'جرد - عصافرة'!$A$7:$A$95,0)))</f>
        <v/>
      </c>
      <c r="M24" s="114" t="str">
        <f aca="false">IF($B24="","",F24+I24+L24)</f>
        <v/>
      </c>
      <c r="N24" s="39" t="str">
        <f aca="false">IF($B24="","",M24*INDEX('مواد المخزون'!$E$2:$E$90,MATCH($B24,'مواد المخزون'!$A$2:$A$90,0)))</f>
        <v/>
      </c>
    </row>
    <row r="25" customFormat="false" ht="15" hidden="false" customHeight="false" outlineLevel="0" collapsed="false">
      <c r="A25" s="36" t="n">
        <v>20</v>
      </c>
      <c r="B25" s="34" t="str">
        <f aca="false">IFERROR(INDEX('مواد المخزون'!$A$2:$A$90,MATCH($A25,'مواد المخزون'!$H$2:$H$90,0)),"")</f>
        <v/>
      </c>
      <c r="C25" s="36" t="str">
        <f aca="false">IF($B25="","",INDEX('مواد المخزون'!$B$2:$B$90,MATCH($B25,'مواد المخزون'!$A$2:$A$90,0)))</f>
        <v/>
      </c>
      <c r="D25" s="110" t="str">
        <f aca="false">IF($B25="","",INDEX('جرد - محرم بك'!$U$7:$U$95,MATCH($B25,'جرد - محرم بك'!$A$7:$A$95,0)))</f>
        <v/>
      </c>
      <c r="E25" s="110" t="str">
        <f aca="false">IF($B25="","",INDEX('جرد - محرم بك'!$V$7:$V$95,MATCH($B25,'جرد - محرم بك'!$A$7:$A$95,0)))</f>
        <v/>
      </c>
      <c r="F25" s="110" t="str">
        <f aca="false">IF($B25="","",INDEX('جرد - محرم بك'!$W$7:$W$95,MATCH($B25,'جرد - محرم بك'!$A$7:$A$95,0)))</f>
        <v/>
      </c>
      <c r="G25" s="110" t="str">
        <f aca="false">IF($B25="","",INDEX('جرد - ابراهيمية'!$U$7:$U$95,MATCH($B25,'جرد - ابراهيمية'!$A$7:$A$95,0)))</f>
        <v/>
      </c>
      <c r="H25" s="110" t="str">
        <f aca="false">IF($B25="","",INDEX('جرد - ابراهيمية'!$V$7:$V$95,MATCH($B25,'جرد - ابراهيمية'!$A$7:$A$95,0)))</f>
        <v/>
      </c>
      <c r="I25" s="110" t="str">
        <f aca="false">IF($B25="","",INDEX('جرد - ابراهيمية'!$W$7:$W$95,MATCH($B25,'جرد - ابراهيمية'!$A$7:$A$95,0)))</f>
        <v/>
      </c>
      <c r="J25" s="110" t="str">
        <f aca="false">IF($B25="","",INDEX('جرد - عصافرة'!$U$7:$U$95,MATCH($B25,'جرد - عصافرة'!$A$7:$A$95,0)))</f>
        <v/>
      </c>
      <c r="K25" s="110" t="str">
        <f aca="false">IF($B25="","",INDEX('جرد - عصافرة'!$V$7:$V$95,MATCH($B25,'جرد - عصافرة'!$A$7:$A$95,0)))</f>
        <v/>
      </c>
      <c r="L25" s="110" t="str">
        <f aca="false">IF($B25="","",INDEX('جرد - عصافرة'!$W$7:$W$95,MATCH($B25,'جرد - عصافرة'!$A$7:$A$95,0)))</f>
        <v/>
      </c>
      <c r="M25" s="114" t="str">
        <f aca="false">IF($B25="","",F25+I25+L25)</f>
        <v/>
      </c>
      <c r="N25" s="39" t="str">
        <f aca="false">IF($B25="","",M25*INDEX('مواد المخزون'!$E$2:$E$90,MATCH($B25,'مواد المخزون'!$A$2:$A$90,0)))</f>
        <v/>
      </c>
    </row>
    <row r="26" customFormat="false" ht="15" hidden="false" customHeight="false" outlineLevel="0" collapsed="false">
      <c r="A26" s="36" t="n">
        <v>21</v>
      </c>
      <c r="B26" s="34" t="str">
        <f aca="false">IFERROR(INDEX('مواد المخزون'!$A$2:$A$90,MATCH($A26,'مواد المخزون'!$H$2:$H$90,0)),"")</f>
        <v/>
      </c>
      <c r="C26" s="36" t="str">
        <f aca="false">IF($B26="","",INDEX('مواد المخزون'!$B$2:$B$90,MATCH($B26,'مواد المخزون'!$A$2:$A$90,0)))</f>
        <v/>
      </c>
      <c r="D26" s="110" t="str">
        <f aca="false">IF($B26="","",INDEX('جرد - محرم بك'!$U$7:$U$95,MATCH($B26,'جرد - محرم بك'!$A$7:$A$95,0)))</f>
        <v/>
      </c>
      <c r="E26" s="110" t="str">
        <f aca="false">IF($B26="","",INDEX('جرد - محرم بك'!$V$7:$V$95,MATCH($B26,'جرد - محرم بك'!$A$7:$A$95,0)))</f>
        <v/>
      </c>
      <c r="F26" s="110" t="str">
        <f aca="false">IF($B26="","",INDEX('جرد - محرم بك'!$W$7:$W$95,MATCH($B26,'جرد - محرم بك'!$A$7:$A$95,0)))</f>
        <v/>
      </c>
      <c r="G26" s="110" t="str">
        <f aca="false">IF($B26="","",INDEX('جرد - ابراهيمية'!$U$7:$U$95,MATCH($B26,'جرد - ابراهيمية'!$A$7:$A$95,0)))</f>
        <v/>
      </c>
      <c r="H26" s="110" t="str">
        <f aca="false">IF($B26="","",INDEX('جرد - ابراهيمية'!$V$7:$V$95,MATCH($B26,'جرد - ابراهيمية'!$A$7:$A$95,0)))</f>
        <v/>
      </c>
      <c r="I26" s="110" t="str">
        <f aca="false">IF($B26="","",INDEX('جرد - ابراهيمية'!$W$7:$W$95,MATCH($B26,'جرد - ابراهيمية'!$A$7:$A$95,0)))</f>
        <v/>
      </c>
      <c r="J26" s="110" t="str">
        <f aca="false">IF($B26="","",INDEX('جرد - عصافرة'!$U$7:$U$95,MATCH($B26,'جرد - عصافرة'!$A$7:$A$95,0)))</f>
        <v/>
      </c>
      <c r="K26" s="110" t="str">
        <f aca="false">IF($B26="","",INDEX('جرد - عصافرة'!$V$7:$V$95,MATCH($B26,'جرد - عصافرة'!$A$7:$A$95,0)))</f>
        <v/>
      </c>
      <c r="L26" s="110" t="str">
        <f aca="false">IF($B26="","",INDEX('جرد - عصافرة'!$W$7:$W$95,MATCH($B26,'جرد - عصافرة'!$A$7:$A$95,0)))</f>
        <v/>
      </c>
      <c r="M26" s="114" t="str">
        <f aca="false">IF($B26="","",F26+I26+L26)</f>
        <v/>
      </c>
      <c r="N26" s="39" t="str">
        <f aca="false">IF($B26="","",M26*INDEX('مواد المخزون'!$E$2:$E$90,MATCH($B26,'مواد المخزون'!$A$2:$A$90,0)))</f>
        <v/>
      </c>
    </row>
    <row r="27" customFormat="false" ht="15" hidden="false" customHeight="false" outlineLevel="0" collapsed="false">
      <c r="A27" s="36" t="n">
        <v>22</v>
      </c>
      <c r="B27" s="34" t="str">
        <f aca="false">IFERROR(INDEX('مواد المخزون'!$A$2:$A$90,MATCH($A27,'مواد المخزون'!$H$2:$H$90,0)),"")</f>
        <v/>
      </c>
      <c r="C27" s="36" t="str">
        <f aca="false">IF($B27="","",INDEX('مواد المخزون'!$B$2:$B$90,MATCH($B27,'مواد المخزون'!$A$2:$A$90,0)))</f>
        <v/>
      </c>
      <c r="D27" s="110" t="str">
        <f aca="false">IF($B27="","",INDEX('جرد - محرم بك'!$U$7:$U$95,MATCH($B27,'جرد - محرم بك'!$A$7:$A$95,0)))</f>
        <v/>
      </c>
      <c r="E27" s="110" t="str">
        <f aca="false">IF($B27="","",INDEX('جرد - محرم بك'!$V$7:$V$95,MATCH($B27,'جرد - محرم بك'!$A$7:$A$95,0)))</f>
        <v/>
      </c>
      <c r="F27" s="110" t="str">
        <f aca="false">IF($B27="","",INDEX('جرد - محرم بك'!$W$7:$W$95,MATCH($B27,'جرد - محرم بك'!$A$7:$A$95,0)))</f>
        <v/>
      </c>
      <c r="G27" s="110" t="str">
        <f aca="false">IF($B27="","",INDEX('جرد - ابراهيمية'!$U$7:$U$95,MATCH($B27,'جرد - ابراهيمية'!$A$7:$A$95,0)))</f>
        <v/>
      </c>
      <c r="H27" s="110" t="str">
        <f aca="false">IF($B27="","",INDEX('جرد - ابراهيمية'!$V$7:$V$95,MATCH($B27,'جرد - ابراهيمية'!$A$7:$A$95,0)))</f>
        <v/>
      </c>
      <c r="I27" s="110" t="str">
        <f aca="false">IF($B27="","",INDEX('جرد - ابراهيمية'!$W$7:$W$95,MATCH($B27,'جرد - ابراهيمية'!$A$7:$A$95,0)))</f>
        <v/>
      </c>
      <c r="J27" s="110" t="str">
        <f aca="false">IF($B27="","",INDEX('جرد - عصافرة'!$U$7:$U$95,MATCH($B27,'جرد - عصافرة'!$A$7:$A$95,0)))</f>
        <v/>
      </c>
      <c r="K27" s="110" t="str">
        <f aca="false">IF($B27="","",INDEX('جرد - عصافرة'!$V$7:$V$95,MATCH($B27,'جرد - عصافرة'!$A$7:$A$95,0)))</f>
        <v/>
      </c>
      <c r="L27" s="110" t="str">
        <f aca="false">IF($B27="","",INDEX('جرد - عصافرة'!$W$7:$W$95,MATCH($B27,'جرد - عصافرة'!$A$7:$A$95,0)))</f>
        <v/>
      </c>
      <c r="M27" s="114" t="str">
        <f aca="false">IF($B27="","",F27+I27+L27)</f>
        <v/>
      </c>
      <c r="N27" s="39" t="str">
        <f aca="false">IF($B27="","",M27*INDEX('مواد المخزون'!$E$2:$E$90,MATCH($B27,'مواد المخزون'!$A$2:$A$90,0)))</f>
        <v/>
      </c>
    </row>
    <row r="28" customFormat="false" ht="15" hidden="false" customHeight="false" outlineLevel="0" collapsed="false">
      <c r="A28" s="36" t="n">
        <v>23</v>
      </c>
      <c r="B28" s="34" t="str">
        <f aca="false">IFERROR(INDEX('مواد المخزون'!$A$2:$A$90,MATCH($A28,'مواد المخزون'!$H$2:$H$90,0)),"")</f>
        <v/>
      </c>
      <c r="C28" s="36" t="str">
        <f aca="false">IF($B28="","",INDEX('مواد المخزون'!$B$2:$B$90,MATCH($B28,'مواد المخزون'!$A$2:$A$90,0)))</f>
        <v/>
      </c>
      <c r="D28" s="110" t="str">
        <f aca="false">IF($B28="","",INDEX('جرد - محرم بك'!$U$7:$U$95,MATCH($B28,'جرد - محرم بك'!$A$7:$A$95,0)))</f>
        <v/>
      </c>
      <c r="E28" s="110" t="str">
        <f aca="false">IF($B28="","",INDEX('جرد - محرم بك'!$V$7:$V$95,MATCH($B28,'جرد - محرم بك'!$A$7:$A$95,0)))</f>
        <v/>
      </c>
      <c r="F28" s="110" t="str">
        <f aca="false">IF($B28="","",INDEX('جرد - محرم بك'!$W$7:$W$95,MATCH($B28,'جرد - محرم بك'!$A$7:$A$95,0)))</f>
        <v/>
      </c>
      <c r="G28" s="110" t="str">
        <f aca="false">IF($B28="","",INDEX('جرد - ابراهيمية'!$U$7:$U$95,MATCH($B28,'جرد - ابراهيمية'!$A$7:$A$95,0)))</f>
        <v/>
      </c>
      <c r="H28" s="110" t="str">
        <f aca="false">IF($B28="","",INDEX('جرد - ابراهيمية'!$V$7:$V$95,MATCH($B28,'جرد - ابراهيمية'!$A$7:$A$95,0)))</f>
        <v/>
      </c>
      <c r="I28" s="110" t="str">
        <f aca="false">IF($B28="","",INDEX('جرد - ابراهيمية'!$W$7:$W$95,MATCH($B28,'جرد - ابراهيمية'!$A$7:$A$95,0)))</f>
        <v/>
      </c>
      <c r="J28" s="110" t="str">
        <f aca="false">IF($B28="","",INDEX('جرد - عصافرة'!$U$7:$U$95,MATCH($B28,'جرد - عصافرة'!$A$7:$A$95,0)))</f>
        <v/>
      </c>
      <c r="K28" s="110" t="str">
        <f aca="false">IF($B28="","",INDEX('جرد - عصافرة'!$V$7:$V$95,MATCH($B28,'جرد - عصافرة'!$A$7:$A$95,0)))</f>
        <v/>
      </c>
      <c r="L28" s="110" t="str">
        <f aca="false">IF($B28="","",INDEX('جرد - عصافرة'!$W$7:$W$95,MATCH($B28,'جرد - عصافرة'!$A$7:$A$95,0)))</f>
        <v/>
      </c>
      <c r="M28" s="114" t="str">
        <f aca="false">IF($B28="","",F28+I28+L28)</f>
        <v/>
      </c>
      <c r="N28" s="39" t="str">
        <f aca="false">IF($B28="","",M28*INDEX('مواد المخزون'!$E$2:$E$90,MATCH($B28,'مواد المخزون'!$A$2:$A$90,0)))</f>
        <v/>
      </c>
    </row>
    <row r="29" customFormat="false" ht="15" hidden="false" customHeight="false" outlineLevel="0" collapsed="false">
      <c r="A29" s="36" t="n">
        <v>24</v>
      </c>
      <c r="B29" s="34" t="str">
        <f aca="false">IFERROR(INDEX('مواد المخزون'!$A$2:$A$90,MATCH($A29,'مواد المخزون'!$H$2:$H$90,0)),"")</f>
        <v/>
      </c>
      <c r="C29" s="36" t="str">
        <f aca="false">IF($B29="","",INDEX('مواد المخزون'!$B$2:$B$90,MATCH($B29,'مواد المخزون'!$A$2:$A$90,0)))</f>
        <v/>
      </c>
      <c r="D29" s="110" t="str">
        <f aca="false">IF($B29="","",INDEX('جرد - محرم بك'!$U$7:$U$95,MATCH($B29,'جرد - محرم بك'!$A$7:$A$95,0)))</f>
        <v/>
      </c>
      <c r="E29" s="110" t="str">
        <f aca="false">IF($B29="","",INDEX('جرد - محرم بك'!$V$7:$V$95,MATCH($B29,'جرد - محرم بك'!$A$7:$A$95,0)))</f>
        <v/>
      </c>
      <c r="F29" s="110" t="str">
        <f aca="false">IF($B29="","",INDEX('جرد - محرم بك'!$W$7:$W$95,MATCH($B29,'جرد - محرم بك'!$A$7:$A$95,0)))</f>
        <v/>
      </c>
      <c r="G29" s="110" t="str">
        <f aca="false">IF($B29="","",INDEX('جرد - ابراهيمية'!$U$7:$U$95,MATCH($B29,'جرد - ابراهيمية'!$A$7:$A$95,0)))</f>
        <v/>
      </c>
      <c r="H29" s="110" t="str">
        <f aca="false">IF($B29="","",INDEX('جرد - ابراهيمية'!$V$7:$V$95,MATCH($B29,'جرد - ابراهيمية'!$A$7:$A$95,0)))</f>
        <v/>
      </c>
      <c r="I29" s="110" t="str">
        <f aca="false">IF($B29="","",INDEX('جرد - ابراهيمية'!$W$7:$W$95,MATCH($B29,'جرد - ابراهيمية'!$A$7:$A$95,0)))</f>
        <v/>
      </c>
      <c r="J29" s="110" t="str">
        <f aca="false">IF($B29="","",INDEX('جرد - عصافرة'!$U$7:$U$95,MATCH($B29,'جرد - عصافرة'!$A$7:$A$95,0)))</f>
        <v/>
      </c>
      <c r="K29" s="110" t="str">
        <f aca="false">IF($B29="","",INDEX('جرد - عصافرة'!$V$7:$V$95,MATCH($B29,'جرد - عصافرة'!$A$7:$A$95,0)))</f>
        <v/>
      </c>
      <c r="L29" s="110" t="str">
        <f aca="false">IF($B29="","",INDEX('جرد - عصافرة'!$W$7:$W$95,MATCH($B29,'جرد - عصافرة'!$A$7:$A$95,0)))</f>
        <v/>
      </c>
      <c r="M29" s="114" t="str">
        <f aca="false">IF($B29="","",F29+I29+L29)</f>
        <v/>
      </c>
      <c r="N29" s="39" t="str">
        <f aca="false">IF($B29="","",M29*INDEX('مواد المخزون'!$E$2:$E$90,MATCH($B29,'مواد المخزون'!$A$2:$A$90,0)))</f>
        <v/>
      </c>
    </row>
    <row r="30" customFormat="false" ht="15" hidden="false" customHeight="false" outlineLevel="0" collapsed="false">
      <c r="A30" s="36" t="n">
        <v>25</v>
      </c>
      <c r="B30" s="34" t="str">
        <f aca="false">IFERROR(INDEX('مواد المخزون'!$A$2:$A$90,MATCH($A30,'مواد المخزون'!$H$2:$H$90,0)),"")</f>
        <v/>
      </c>
      <c r="C30" s="36" t="str">
        <f aca="false">IF($B30="","",INDEX('مواد المخزون'!$B$2:$B$90,MATCH($B30,'مواد المخزون'!$A$2:$A$90,0)))</f>
        <v/>
      </c>
      <c r="D30" s="110" t="str">
        <f aca="false">IF($B30="","",INDEX('جرد - محرم بك'!$U$7:$U$95,MATCH($B30,'جرد - محرم بك'!$A$7:$A$95,0)))</f>
        <v/>
      </c>
      <c r="E30" s="110" t="str">
        <f aca="false">IF($B30="","",INDEX('جرد - محرم بك'!$V$7:$V$95,MATCH($B30,'جرد - محرم بك'!$A$7:$A$95,0)))</f>
        <v/>
      </c>
      <c r="F30" s="110" t="str">
        <f aca="false">IF($B30="","",INDEX('جرد - محرم بك'!$W$7:$W$95,MATCH($B30,'جرد - محرم بك'!$A$7:$A$95,0)))</f>
        <v/>
      </c>
      <c r="G30" s="110" t="str">
        <f aca="false">IF($B30="","",INDEX('جرد - ابراهيمية'!$U$7:$U$95,MATCH($B30,'جرد - ابراهيمية'!$A$7:$A$95,0)))</f>
        <v/>
      </c>
      <c r="H30" s="110" t="str">
        <f aca="false">IF($B30="","",INDEX('جرد - ابراهيمية'!$V$7:$V$95,MATCH($B30,'جرد - ابراهيمية'!$A$7:$A$95,0)))</f>
        <v/>
      </c>
      <c r="I30" s="110" t="str">
        <f aca="false">IF($B30="","",INDEX('جرد - ابراهيمية'!$W$7:$W$95,MATCH($B30,'جرد - ابراهيمية'!$A$7:$A$95,0)))</f>
        <v/>
      </c>
      <c r="J30" s="110" t="str">
        <f aca="false">IF($B30="","",INDEX('جرد - عصافرة'!$U$7:$U$95,MATCH($B30,'جرد - عصافرة'!$A$7:$A$95,0)))</f>
        <v/>
      </c>
      <c r="K30" s="110" t="str">
        <f aca="false">IF($B30="","",INDEX('جرد - عصافرة'!$V$7:$V$95,MATCH($B30,'جرد - عصافرة'!$A$7:$A$95,0)))</f>
        <v/>
      </c>
      <c r="L30" s="110" t="str">
        <f aca="false">IF($B30="","",INDEX('جرد - عصافرة'!$W$7:$W$95,MATCH($B30,'جرد - عصافرة'!$A$7:$A$95,0)))</f>
        <v/>
      </c>
      <c r="M30" s="114" t="str">
        <f aca="false">IF($B30="","",F30+I30+L30)</f>
        <v/>
      </c>
      <c r="N30" s="39" t="str">
        <f aca="false">IF($B30="","",M30*INDEX('مواد المخزون'!$E$2:$E$90,MATCH($B30,'مواد المخزون'!$A$2:$A$90,0)))</f>
        <v/>
      </c>
    </row>
    <row r="31" customFormat="false" ht="15" hidden="false" customHeight="false" outlineLevel="0" collapsed="false">
      <c r="A31" s="36" t="n">
        <v>26</v>
      </c>
      <c r="B31" s="34" t="str">
        <f aca="false">IFERROR(INDEX('مواد المخزون'!$A$2:$A$90,MATCH($A31,'مواد المخزون'!$H$2:$H$90,0)),"")</f>
        <v/>
      </c>
      <c r="C31" s="36" t="str">
        <f aca="false">IF($B31="","",INDEX('مواد المخزون'!$B$2:$B$90,MATCH($B31,'مواد المخزون'!$A$2:$A$90,0)))</f>
        <v/>
      </c>
      <c r="D31" s="110" t="str">
        <f aca="false">IF($B31="","",INDEX('جرد - محرم بك'!$U$7:$U$95,MATCH($B31,'جرد - محرم بك'!$A$7:$A$95,0)))</f>
        <v/>
      </c>
      <c r="E31" s="110" t="str">
        <f aca="false">IF($B31="","",INDEX('جرد - محرم بك'!$V$7:$V$95,MATCH($B31,'جرد - محرم بك'!$A$7:$A$95,0)))</f>
        <v/>
      </c>
      <c r="F31" s="110" t="str">
        <f aca="false">IF($B31="","",INDEX('جرد - محرم بك'!$W$7:$W$95,MATCH($B31,'جرد - محرم بك'!$A$7:$A$95,0)))</f>
        <v/>
      </c>
      <c r="G31" s="110" t="str">
        <f aca="false">IF($B31="","",INDEX('جرد - ابراهيمية'!$U$7:$U$95,MATCH($B31,'جرد - ابراهيمية'!$A$7:$A$95,0)))</f>
        <v/>
      </c>
      <c r="H31" s="110" t="str">
        <f aca="false">IF($B31="","",INDEX('جرد - ابراهيمية'!$V$7:$V$95,MATCH($B31,'جرد - ابراهيمية'!$A$7:$A$95,0)))</f>
        <v/>
      </c>
      <c r="I31" s="110" t="str">
        <f aca="false">IF($B31="","",INDEX('جرد - ابراهيمية'!$W$7:$W$95,MATCH($B31,'جرد - ابراهيمية'!$A$7:$A$95,0)))</f>
        <v/>
      </c>
      <c r="J31" s="110" t="str">
        <f aca="false">IF($B31="","",INDEX('جرد - عصافرة'!$U$7:$U$95,MATCH($B31,'جرد - عصافرة'!$A$7:$A$95,0)))</f>
        <v/>
      </c>
      <c r="K31" s="110" t="str">
        <f aca="false">IF($B31="","",INDEX('جرد - عصافرة'!$V$7:$V$95,MATCH($B31,'جرد - عصافرة'!$A$7:$A$95,0)))</f>
        <v/>
      </c>
      <c r="L31" s="110" t="str">
        <f aca="false">IF($B31="","",INDEX('جرد - عصافرة'!$W$7:$W$95,MATCH($B31,'جرد - عصافرة'!$A$7:$A$95,0)))</f>
        <v/>
      </c>
      <c r="M31" s="114" t="str">
        <f aca="false">IF($B31="","",F31+I31+L31)</f>
        <v/>
      </c>
      <c r="N31" s="39" t="str">
        <f aca="false">IF($B31="","",M31*INDEX('مواد المخزون'!$E$2:$E$90,MATCH($B31,'مواد المخزون'!$A$2:$A$90,0)))</f>
        <v/>
      </c>
    </row>
    <row r="32" customFormat="false" ht="15" hidden="false" customHeight="false" outlineLevel="0" collapsed="false">
      <c r="A32" s="36" t="n">
        <v>27</v>
      </c>
      <c r="B32" s="34" t="str">
        <f aca="false">IFERROR(INDEX('مواد المخزون'!$A$2:$A$90,MATCH($A32,'مواد المخزون'!$H$2:$H$90,0)),"")</f>
        <v/>
      </c>
      <c r="C32" s="36" t="str">
        <f aca="false">IF($B32="","",INDEX('مواد المخزون'!$B$2:$B$90,MATCH($B32,'مواد المخزون'!$A$2:$A$90,0)))</f>
        <v/>
      </c>
      <c r="D32" s="110" t="str">
        <f aca="false">IF($B32="","",INDEX('جرد - محرم بك'!$U$7:$U$95,MATCH($B32,'جرد - محرم بك'!$A$7:$A$95,0)))</f>
        <v/>
      </c>
      <c r="E32" s="110" t="str">
        <f aca="false">IF($B32="","",INDEX('جرد - محرم بك'!$V$7:$V$95,MATCH($B32,'جرد - محرم بك'!$A$7:$A$95,0)))</f>
        <v/>
      </c>
      <c r="F32" s="110" t="str">
        <f aca="false">IF($B32="","",INDEX('جرد - محرم بك'!$W$7:$W$95,MATCH($B32,'جرد - محرم بك'!$A$7:$A$95,0)))</f>
        <v/>
      </c>
      <c r="G32" s="110" t="str">
        <f aca="false">IF($B32="","",INDEX('جرد - ابراهيمية'!$U$7:$U$95,MATCH($B32,'جرد - ابراهيمية'!$A$7:$A$95,0)))</f>
        <v/>
      </c>
      <c r="H32" s="110" t="str">
        <f aca="false">IF($B32="","",INDEX('جرد - ابراهيمية'!$V$7:$V$95,MATCH($B32,'جرد - ابراهيمية'!$A$7:$A$95,0)))</f>
        <v/>
      </c>
      <c r="I32" s="110" t="str">
        <f aca="false">IF($B32="","",INDEX('جرد - ابراهيمية'!$W$7:$W$95,MATCH($B32,'جرد - ابراهيمية'!$A$7:$A$95,0)))</f>
        <v/>
      </c>
      <c r="J32" s="110" t="str">
        <f aca="false">IF($B32="","",INDEX('جرد - عصافرة'!$U$7:$U$95,MATCH($B32,'جرد - عصافرة'!$A$7:$A$95,0)))</f>
        <v/>
      </c>
      <c r="K32" s="110" t="str">
        <f aca="false">IF($B32="","",INDEX('جرد - عصافرة'!$V$7:$V$95,MATCH($B32,'جرد - عصافرة'!$A$7:$A$95,0)))</f>
        <v/>
      </c>
      <c r="L32" s="110" t="str">
        <f aca="false">IF($B32="","",INDEX('جرد - عصافرة'!$W$7:$W$95,MATCH($B32,'جرد - عصافرة'!$A$7:$A$95,0)))</f>
        <v/>
      </c>
      <c r="M32" s="114" t="str">
        <f aca="false">IF($B32="","",F32+I32+L32)</f>
        <v/>
      </c>
      <c r="N32" s="39" t="str">
        <f aca="false">IF($B32="","",M32*INDEX('مواد المخزون'!$E$2:$E$90,MATCH($B32,'مواد المخزون'!$A$2:$A$90,0)))</f>
        <v/>
      </c>
    </row>
    <row r="33" customFormat="false" ht="15" hidden="false" customHeight="false" outlineLevel="0" collapsed="false">
      <c r="A33" s="36" t="n">
        <v>28</v>
      </c>
      <c r="B33" s="34" t="str">
        <f aca="false">IFERROR(INDEX('مواد المخزون'!$A$2:$A$90,MATCH($A33,'مواد المخزون'!$H$2:$H$90,0)),"")</f>
        <v/>
      </c>
      <c r="C33" s="36" t="str">
        <f aca="false">IF($B33="","",INDEX('مواد المخزون'!$B$2:$B$90,MATCH($B33,'مواد المخزون'!$A$2:$A$90,0)))</f>
        <v/>
      </c>
      <c r="D33" s="110" t="str">
        <f aca="false">IF($B33="","",INDEX('جرد - محرم بك'!$U$7:$U$95,MATCH($B33,'جرد - محرم بك'!$A$7:$A$95,0)))</f>
        <v/>
      </c>
      <c r="E33" s="110" t="str">
        <f aca="false">IF($B33="","",INDEX('جرد - محرم بك'!$V$7:$V$95,MATCH($B33,'جرد - محرم بك'!$A$7:$A$95,0)))</f>
        <v/>
      </c>
      <c r="F33" s="110" t="str">
        <f aca="false">IF($B33="","",INDEX('جرد - محرم بك'!$W$7:$W$95,MATCH($B33,'جرد - محرم بك'!$A$7:$A$95,0)))</f>
        <v/>
      </c>
      <c r="G33" s="110" t="str">
        <f aca="false">IF($B33="","",INDEX('جرد - ابراهيمية'!$U$7:$U$95,MATCH($B33,'جرد - ابراهيمية'!$A$7:$A$95,0)))</f>
        <v/>
      </c>
      <c r="H33" s="110" t="str">
        <f aca="false">IF($B33="","",INDEX('جرد - ابراهيمية'!$V$7:$V$95,MATCH($B33,'جرد - ابراهيمية'!$A$7:$A$95,0)))</f>
        <v/>
      </c>
      <c r="I33" s="110" t="str">
        <f aca="false">IF($B33="","",INDEX('جرد - ابراهيمية'!$W$7:$W$95,MATCH($B33,'جرد - ابراهيمية'!$A$7:$A$95,0)))</f>
        <v/>
      </c>
      <c r="J33" s="110" t="str">
        <f aca="false">IF($B33="","",INDEX('جرد - عصافرة'!$U$7:$U$95,MATCH($B33,'جرد - عصافرة'!$A$7:$A$95,0)))</f>
        <v/>
      </c>
      <c r="K33" s="110" t="str">
        <f aca="false">IF($B33="","",INDEX('جرد - عصافرة'!$V$7:$V$95,MATCH($B33,'جرد - عصافرة'!$A$7:$A$95,0)))</f>
        <v/>
      </c>
      <c r="L33" s="110" t="str">
        <f aca="false">IF($B33="","",INDEX('جرد - عصافرة'!$W$7:$W$95,MATCH($B33,'جرد - عصافرة'!$A$7:$A$95,0)))</f>
        <v/>
      </c>
      <c r="M33" s="114" t="str">
        <f aca="false">IF($B33="","",F33+I33+L33)</f>
        <v/>
      </c>
      <c r="N33" s="39" t="str">
        <f aca="false">IF($B33="","",M33*INDEX('مواد المخزون'!$E$2:$E$90,MATCH($B33,'مواد المخزون'!$A$2:$A$90,0)))</f>
        <v/>
      </c>
    </row>
    <row r="34" customFormat="false" ht="15" hidden="false" customHeight="false" outlineLevel="0" collapsed="false">
      <c r="A34" s="36" t="n">
        <v>29</v>
      </c>
      <c r="B34" s="34" t="str">
        <f aca="false">IFERROR(INDEX('مواد المخزون'!$A$2:$A$90,MATCH($A34,'مواد المخزون'!$H$2:$H$90,0)),"")</f>
        <v/>
      </c>
      <c r="C34" s="36" t="str">
        <f aca="false">IF($B34="","",INDEX('مواد المخزون'!$B$2:$B$90,MATCH($B34,'مواد المخزون'!$A$2:$A$90,0)))</f>
        <v/>
      </c>
      <c r="D34" s="110" t="str">
        <f aca="false">IF($B34="","",INDEX('جرد - محرم بك'!$U$7:$U$95,MATCH($B34,'جرد - محرم بك'!$A$7:$A$95,0)))</f>
        <v/>
      </c>
      <c r="E34" s="110" t="str">
        <f aca="false">IF($B34="","",INDEX('جرد - محرم بك'!$V$7:$V$95,MATCH($B34,'جرد - محرم بك'!$A$7:$A$95,0)))</f>
        <v/>
      </c>
      <c r="F34" s="110" t="str">
        <f aca="false">IF($B34="","",INDEX('جرد - محرم بك'!$W$7:$W$95,MATCH($B34,'جرد - محرم بك'!$A$7:$A$95,0)))</f>
        <v/>
      </c>
      <c r="G34" s="110" t="str">
        <f aca="false">IF($B34="","",INDEX('جرد - ابراهيمية'!$U$7:$U$95,MATCH($B34,'جرد - ابراهيمية'!$A$7:$A$95,0)))</f>
        <v/>
      </c>
      <c r="H34" s="110" t="str">
        <f aca="false">IF($B34="","",INDEX('جرد - ابراهيمية'!$V$7:$V$95,MATCH($B34,'جرد - ابراهيمية'!$A$7:$A$95,0)))</f>
        <v/>
      </c>
      <c r="I34" s="110" t="str">
        <f aca="false">IF($B34="","",INDEX('جرد - ابراهيمية'!$W$7:$W$95,MATCH($B34,'جرد - ابراهيمية'!$A$7:$A$95,0)))</f>
        <v/>
      </c>
      <c r="J34" s="110" t="str">
        <f aca="false">IF($B34="","",INDEX('جرد - عصافرة'!$U$7:$U$95,MATCH($B34,'جرد - عصافرة'!$A$7:$A$95,0)))</f>
        <v/>
      </c>
      <c r="K34" s="110" t="str">
        <f aca="false">IF($B34="","",INDEX('جرد - عصافرة'!$V$7:$V$95,MATCH($B34,'جرد - عصافرة'!$A$7:$A$95,0)))</f>
        <v/>
      </c>
      <c r="L34" s="110" t="str">
        <f aca="false">IF($B34="","",INDEX('جرد - عصافرة'!$W$7:$W$95,MATCH($B34,'جرد - عصافرة'!$A$7:$A$95,0)))</f>
        <v/>
      </c>
      <c r="M34" s="114" t="str">
        <f aca="false">IF($B34="","",F34+I34+L34)</f>
        <v/>
      </c>
      <c r="N34" s="39" t="str">
        <f aca="false">IF($B34="","",M34*INDEX('مواد المخزون'!$E$2:$E$90,MATCH($B34,'مواد المخزون'!$A$2:$A$90,0)))</f>
        <v/>
      </c>
    </row>
    <row r="35" customFormat="false" ht="15" hidden="false" customHeight="false" outlineLevel="0" collapsed="false">
      <c r="A35" s="36" t="n">
        <v>30</v>
      </c>
      <c r="B35" s="34" t="str">
        <f aca="false">IFERROR(INDEX('مواد المخزون'!$A$2:$A$90,MATCH($A35,'مواد المخزون'!$H$2:$H$90,0)),"")</f>
        <v/>
      </c>
      <c r="C35" s="36" t="str">
        <f aca="false">IF($B35="","",INDEX('مواد المخزون'!$B$2:$B$90,MATCH($B35,'مواد المخزون'!$A$2:$A$90,0)))</f>
        <v/>
      </c>
      <c r="D35" s="110" t="str">
        <f aca="false">IF($B35="","",INDEX('جرد - محرم بك'!$U$7:$U$95,MATCH($B35,'جرد - محرم بك'!$A$7:$A$95,0)))</f>
        <v/>
      </c>
      <c r="E35" s="110" t="str">
        <f aca="false">IF($B35="","",INDEX('جرد - محرم بك'!$V$7:$V$95,MATCH($B35,'جرد - محرم بك'!$A$7:$A$95,0)))</f>
        <v/>
      </c>
      <c r="F35" s="110" t="str">
        <f aca="false">IF($B35="","",INDEX('جرد - محرم بك'!$W$7:$W$95,MATCH($B35,'جرد - محرم بك'!$A$7:$A$95,0)))</f>
        <v/>
      </c>
      <c r="G35" s="110" t="str">
        <f aca="false">IF($B35="","",INDEX('جرد - ابراهيمية'!$U$7:$U$95,MATCH($B35,'جرد - ابراهيمية'!$A$7:$A$95,0)))</f>
        <v/>
      </c>
      <c r="H35" s="110" t="str">
        <f aca="false">IF($B35="","",INDEX('جرد - ابراهيمية'!$V$7:$V$95,MATCH($B35,'جرد - ابراهيمية'!$A$7:$A$95,0)))</f>
        <v/>
      </c>
      <c r="I35" s="110" t="str">
        <f aca="false">IF($B35="","",INDEX('جرد - ابراهيمية'!$W$7:$W$95,MATCH($B35,'جرد - ابراهيمية'!$A$7:$A$95,0)))</f>
        <v/>
      </c>
      <c r="J35" s="110" t="str">
        <f aca="false">IF($B35="","",INDEX('جرد - عصافرة'!$U$7:$U$95,MATCH($B35,'جرد - عصافرة'!$A$7:$A$95,0)))</f>
        <v/>
      </c>
      <c r="K35" s="110" t="str">
        <f aca="false">IF($B35="","",INDEX('جرد - عصافرة'!$V$7:$V$95,MATCH($B35,'جرد - عصافرة'!$A$7:$A$95,0)))</f>
        <v/>
      </c>
      <c r="L35" s="110" t="str">
        <f aca="false">IF($B35="","",INDEX('جرد - عصافرة'!$W$7:$W$95,MATCH($B35,'جرد - عصافرة'!$A$7:$A$95,0)))</f>
        <v/>
      </c>
      <c r="M35" s="114" t="str">
        <f aca="false">IF($B35="","",F35+I35+L35)</f>
        <v/>
      </c>
      <c r="N35" s="39" t="str">
        <f aca="false">IF($B35="","",M35*INDEX('مواد المخزون'!$E$2:$E$90,MATCH($B35,'مواد المخزون'!$A$2:$A$90,0)))</f>
        <v/>
      </c>
    </row>
    <row r="36" customFormat="false" ht="15" hidden="false" customHeight="false" outlineLevel="0" collapsed="false">
      <c r="A36" s="36" t="n">
        <v>31</v>
      </c>
      <c r="B36" s="34" t="str">
        <f aca="false">IFERROR(INDEX('مواد المخزون'!$A$2:$A$90,MATCH($A36,'مواد المخزون'!$H$2:$H$90,0)),"")</f>
        <v/>
      </c>
      <c r="C36" s="36" t="str">
        <f aca="false">IF($B36="","",INDEX('مواد المخزون'!$B$2:$B$90,MATCH($B36,'مواد المخزون'!$A$2:$A$90,0)))</f>
        <v/>
      </c>
      <c r="D36" s="110" t="str">
        <f aca="false">IF($B36="","",INDEX('جرد - محرم بك'!$U$7:$U$95,MATCH($B36,'جرد - محرم بك'!$A$7:$A$95,0)))</f>
        <v/>
      </c>
      <c r="E36" s="110" t="str">
        <f aca="false">IF($B36="","",INDEX('جرد - محرم بك'!$V$7:$V$95,MATCH($B36,'جرد - محرم بك'!$A$7:$A$95,0)))</f>
        <v/>
      </c>
      <c r="F36" s="110" t="str">
        <f aca="false">IF($B36="","",INDEX('جرد - محرم بك'!$W$7:$W$95,MATCH($B36,'جرد - محرم بك'!$A$7:$A$95,0)))</f>
        <v/>
      </c>
      <c r="G36" s="110" t="str">
        <f aca="false">IF($B36="","",INDEX('جرد - ابراهيمية'!$U$7:$U$95,MATCH($B36,'جرد - ابراهيمية'!$A$7:$A$95,0)))</f>
        <v/>
      </c>
      <c r="H36" s="110" t="str">
        <f aca="false">IF($B36="","",INDEX('جرد - ابراهيمية'!$V$7:$V$95,MATCH($B36,'جرد - ابراهيمية'!$A$7:$A$95,0)))</f>
        <v/>
      </c>
      <c r="I36" s="110" t="str">
        <f aca="false">IF($B36="","",INDEX('جرد - ابراهيمية'!$W$7:$W$95,MATCH($B36,'جرد - ابراهيمية'!$A$7:$A$95,0)))</f>
        <v/>
      </c>
      <c r="J36" s="110" t="str">
        <f aca="false">IF($B36="","",INDEX('جرد - عصافرة'!$U$7:$U$95,MATCH($B36,'جرد - عصافرة'!$A$7:$A$95,0)))</f>
        <v/>
      </c>
      <c r="K36" s="110" t="str">
        <f aca="false">IF($B36="","",INDEX('جرد - عصافرة'!$V$7:$V$95,MATCH($B36,'جرد - عصافرة'!$A$7:$A$95,0)))</f>
        <v/>
      </c>
      <c r="L36" s="110" t="str">
        <f aca="false">IF($B36="","",INDEX('جرد - عصافرة'!$W$7:$W$95,MATCH($B36,'جرد - عصافرة'!$A$7:$A$95,0)))</f>
        <v/>
      </c>
      <c r="M36" s="114" t="str">
        <f aca="false">IF($B36="","",F36+I36+L36)</f>
        <v/>
      </c>
      <c r="N36" s="39" t="str">
        <f aca="false">IF($B36="","",M36*INDEX('مواد المخزون'!$E$2:$E$90,MATCH($B36,'مواد المخزون'!$A$2:$A$90,0)))</f>
        <v/>
      </c>
    </row>
    <row r="37" customFormat="false" ht="15" hidden="false" customHeight="false" outlineLevel="0" collapsed="false">
      <c r="A37" s="36" t="n">
        <v>32</v>
      </c>
      <c r="B37" s="34" t="str">
        <f aca="false">IFERROR(INDEX('مواد المخزون'!$A$2:$A$90,MATCH($A37,'مواد المخزون'!$H$2:$H$90,0)),"")</f>
        <v/>
      </c>
      <c r="C37" s="36" t="str">
        <f aca="false">IF($B37="","",INDEX('مواد المخزون'!$B$2:$B$90,MATCH($B37,'مواد المخزون'!$A$2:$A$90,0)))</f>
        <v/>
      </c>
      <c r="D37" s="110" t="str">
        <f aca="false">IF($B37="","",INDEX('جرد - محرم بك'!$U$7:$U$95,MATCH($B37,'جرد - محرم بك'!$A$7:$A$95,0)))</f>
        <v/>
      </c>
      <c r="E37" s="110" t="str">
        <f aca="false">IF($B37="","",INDEX('جرد - محرم بك'!$V$7:$V$95,MATCH($B37,'جرد - محرم بك'!$A$7:$A$95,0)))</f>
        <v/>
      </c>
      <c r="F37" s="110" t="str">
        <f aca="false">IF($B37="","",INDEX('جرد - محرم بك'!$W$7:$W$95,MATCH($B37,'جرد - محرم بك'!$A$7:$A$95,0)))</f>
        <v/>
      </c>
      <c r="G37" s="110" t="str">
        <f aca="false">IF($B37="","",INDEX('جرد - ابراهيمية'!$U$7:$U$95,MATCH($B37,'جرد - ابراهيمية'!$A$7:$A$95,0)))</f>
        <v/>
      </c>
      <c r="H37" s="110" t="str">
        <f aca="false">IF($B37="","",INDEX('جرد - ابراهيمية'!$V$7:$V$95,MATCH($B37,'جرد - ابراهيمية'!$A$7:$A$95,0)))</f>
        <v/>
      </c>
      <c r="I37" s="110" t="str">
        <f aca="false">IF($B37="","",INDEX('جرد - ابراهيمية'!$W$7:$W$95,MATCH($B37,'جرد - ابراهيمية'!$A$7:$A$95,0)))</f>
        <v/>
      </c>
      <c r="J37" s="110" t="str">
        <f aca="false">IF($B37="","",INDEX('جرد - عصافرة'!$U$7:$U$95,MATCH($B37,'جرد - عصافرة'!$A$7:$A$95,0)))</f>
        <v/>
      </c>
      <c r="K37" s="110" t="str">
        <f aca="false">IF($B37="","",INDEX('جرد - عصافرة'!$V$7:$V$95,MATCH($B37,'جرد - عصافرة'!$A$7:$A$95,0)))</f>
        <v/>
      </c>
      <c r="L37" s="110" t="str">
        <f aca="false">IF($B37="","",INDEX('جرد - عصافرة'!$W$7:$W$95,MATCH($B37,'جرد - عصافرة'!$A$7:$A$95,0)))</f>
        <v/>
      </c>
      <c r="M37" s="114" t="str">
        <f aca="false">IF($B37="","",F37+I37+L37)</f>
        <v/>
      </c>
      <c r="N37" s="39" t="str">
        <f aca="false">IF($B37="","",M37*INDEX('مواد المخزون'!$E$2:$E$90,MATCH($B37,'مواد المخزون'!$A$2:$A$90,0)))</f>
        <v/>
      </c>
    </row>
    <row r="38" customFormat="false" ht="15" hidden="false" customHeight="false" outlineLevel="0" collapsed="false">
      <c r="A38" s="36" t="n">
        <v>33</v>
      </c>
      <c r="B38" s="34" t="str">
        <f aca="false">IFERROR(INDEX('مواد المخزون'!$A$2:$A$90,MATCH($A38,'مواد المخزون'!$H$2:$H$90,0)),"")</f>
        <v/>
      </c>
      <c r="C38" s="36" t="str">
        <f aca="false">IF($B38="","",INDEX('مواد المخزون'!$B$2:$B$90,MATCH($B38,'مواد المخزون'!$A$2:$A$90,0)))</f>
        <v/>
      </c>
      <c r="D38" s="110" t="str">
        <f aca="false">IF($B38="","",INDEX('جرد - محرم بك'!$U$7:$U$95,MATCH($B38,'جرد - محرم بك'!$A$7:$A$95,0)))</f>
        <v/>
      </c>
      <c r="E38" s="110" t="str">
        <f aca="false">IF($B38="","",INDEX('جرد - محرم بك'!$V$7:$V$95,MATCH($B38,'جرد - محرم بك'!$A$7:$A$95,0)))</f>
        <v/>
      </c>
      <c r="F38" s="110" t="str">
        <f aca="false">IF($B38="","",INDEX('جرد - محرم بك'!$W$7:$W$95,MATCH($B38,'جرد - محرم بك'!$A$7:$A$95,0)))</f>
        <v/>
      </c>
      <c r="G38" s="110" t="str">
        <f aca="false">IF($B38="","",INDEX('جرد - ابراهيمية'!$U$7:$U$95,MATCH($B38,'جرد - ابراهيمية'!$A$7:$A$95,0)))</f>
        <v/>
      </c>
      <c r="H38" s="110" t="str">
        <f aca="false">IF($B38="","",INDEX('جرد - ابراهيمية'!$V$7:$V$95,MATCH($B38,'جرد - ابراهيمية'!$A$7:$A$95,0)))</f>
        <v/>
      </c>
      <c r="I38" s="110" t="str">
        <f aca="false">IF($B38="","",INDEX('جرد - ابراهيمية'!$W$7:$W$95,MATCH($B38,'جرد - ابراهيمية'!$A$7:$A$95,0)))</f>
        <v/>
      </c>
      <c r="J38" s="110" t="str">
        <f aca="false">IF($B38="","",INDEX('جرد - عصافرة'!$U$7:$U$95,MATCH($B38,'جرد - عصافرة'!$A$7:$A$95,0)))</f>
        <v/>
      </c>
      <c r="K38" s="110" t="str">
        <f aca="false">IF($B38="","",INDEX('جرد - عصافرة'!$V$7:$V$95,MATCH($B38,'جرد - عصافرة'!$A$7:$A$95,0)))</f>
        <v/>
      </c>
      <c r="L38" s="110" t="str">
        <f aca="false">IF($B38="","",INDEX('جرد - عصافرة'!$W$7:$W$95,MATCH($B38,'جرد - عصافرة'!$A$7:$A$95,0)))</f>
        <v/>
      </c>
      <c r="M38" s="114" t="str">
        <f aca="false">IF($B38="","",F38+I38+L38)</f>
        <v/>
      </c>
      <c r="N38" s="39" t="str">
        <f aca="false">IF($B38="","",M38*INDEX('مواد المخزون'!$E$2:$E$90,MATCH($B38,'مواد المخزون'!$A$2:$A$90,0)))</f>
        <v/>
      </c>
    </row>
    <row r="39" customFormat="false" ht="15" hidden="false" customHeight="false" outlineLevel="0" collapsed="false">
      <c r="A39" s="36" t="n">
        <v>34</v>
      </c>
      <c r="B39" s="34" t="str">
        <f aca="false">IFERROR(INDEX('مواد المخزون'!$A$2:$A$90,MATCH($A39,'مواد المخزون'!$H$2:$H$90,0)),"")</f>
        <v/>
      </c>
      <c r="C39" s="36" t="str">
        <f aca="false">IF($B39="","",INDEX('مواد المخزون'!$B$2:$B$90,MATCH($B39,'مواد المخزون'!$A$2:$A$90,0)))</f>
        <v/>
      </c>
      <c r="D39" s="110" t="str">
        <f aca="false">IF($B39="","",INDEX('جرد - محرم بك'!$U$7:$U$95,MATCH($B39,'جرد - محرم بك'!$A$7:$A$95,0)))</f>
        <v/>
      </c>
      <c r="E39" s="110" t="str">
        <f aca="false">IF($B39="","",INDEX('جرد - محرم بك'!$V$7:$V$95,MATCH($B39,'جرد - محرم بك'!$A$7:$A$95,0)))</f>
        <v/>
      </c>
      <c r="F39" s="110" t="str">
        <f aca="false">IF($B39="","",INDEX('جرد - محرم بك'!$W$7:$W$95,MATCH($B39,'جرد - محرم بك'!$A$7:$A$95,0)))</f>
        <v/>
      </c>
      <c r="G39" s="110" t="str">
        <f aca="false">IF($B39="","",INDEX('جرد - ابراهيمية'!$U$7:$U$95,MATCH($B39,'جرد - ابراهيمية'!$A$7:$A$95,0)))</f>
        <v/>
      </c>
      <c r="H39" s="110" t="str">
        <f aca="false">IF($B39="","",INDEX('جرد - ابراهيمية'!$V$7:$V$95,MATCH($B39,'جرد - ابراهيمية'!$A$7:$A$95,0)))</f>
        <v/>
      </c>
      <c r="I39" s="110" t="str">
        <f aca="false">IF($B39="","",INDEX('جرد - ابراهيمية'!$W$7:$W$95,MATCH($B39,'جرد - ابراهيمية'!$A$7:$A$95,0)))</f>
        <v/>
      </c>
      <c r="J39" s="110" t="str">
        <f aca="false">IF($B39="","",INDEX('جرد - عصافرة'!$U$7:$U$95,MATCH($B39,'جرد - عصافرة'!$A$7:$A$95,0)))</f>
        <v/>
      </c>
      <c r="K39" s="110" t="str">
        <f aca="false">IF($B39="","",INDEX('جرد - عصافرة'!$V$7:$V$95,MATCH($B39,'جرد - عصافرة'!$A$7:$A$95,0)))</f>
        <v/>
      </c>
      <c r="L39" s="110" t="str">
        <f aca="false">IF($B39="","",INDEX('جرد - عصافرة'!$W$7:$W$95,MATCH($B39,'جرد - عصافرة'!$A$7:$A$95,0)))</f>
        <v/>
      </c>
      <c r="M39" s="114" t="str">
        <f aca="false">IF($B39="","",F39+I39+L39)</f>
        <v/>
      </c>
      <c r="N39" s="39" t="str">
        <f aca="false">IF($B39="","",M39*INDEX('مواد المخزون'!$E$2:$E$90,MATCH($B39,'مواد المخزون'!$A$2:$A$90,0)))</f>
        <v/>
      </c>
    </row>
    <row r="40" customFormat="false" ht="15" hidden="false" customHeight="false" outlineLevel="0" collapsed="false">
      <c r="A40" s="36" t="n">
        <v>35</v>
      </c>
      <c r="B40" s="34" t="str">
        <f aca="false">IFERROR(INDEX('مواد المخزون'!$A$2:$A$90,MATCH($A40,'مواد المخزون'!$H$2:$H$90,0)),"")</f>
        <v/>
      </c>
      <c r="C40" s="36" t="str">
        <f aca="false">IF($B40="","",INDEX('مواد المخزون'!$B$2:$B$90,MATCH($B40,'مواد المخزون'!$A$2:$A$90,0)))</f>
        <v/>
      </c>
      <c r="D40" s="110" t="str">
        <f aca="false">IF($B40="","",INDEX('جرد - محرم بك'!$U$7:$U$95,MATCH($B40,'جرد - محرم بك'!$A$7:$A$95,0)))</f>
        <v/>
      </c>
      <c r="E40" s="110" t="str">
        <f aca="false">IF($B40="","",INDEX('جرد - محرم بك'!$V$7:$V$95,MATCH($B40,'جرد - محرم بك'!$A$7:$A$95,0)))</f>
        <v/>
      </c>
      <c r="F40" s="110" t="str">
        <f aca="false">IF($B40="","",INDEX('جرد - محرم بك'!$W$7:$W$95,MATCH($B40,'جرد - محرم بك'!$A$7:$A$95,0)))</f>
        <v/>
      </c>
      <c r="G40" s="110" t="str">
        <f aca="false">IF($B40="","",INDEX('جرد - ابراهيمية'!$U$7:$U$95,MATCH($B40,'جرد - ابراهيمية'!$A$7:$A$95,0)))</f>
        <v/>
      </c>
      <c r="H40" s="110" t="str">
        <f aca="false">IF($B40="","",INDEX('جرد - ابراهيمية'!$V$7:$V$95,MATCH($B40,'جرد - ابراهيمية'!$A$7:$A$95,0)))</f>
        <v/>
      </c>
      <c r="I40" s="110" t="str">
        <f aca="false">IF($B40="","",INDEX('جرد - ابراهيمية'!$W$7:$W$95,MATCH($B40,'جرد - ابراهيمية'!$A$7:$A$95,0)))</f>
        <v/>
      </c>
      <c r="J40" s="110" t="str">
        <f aca="false">IF($B40="","",INDEX('جرد - عصافرة'!$U$7:$U$95,MATCH($B40,'جرد - عصافرة'!$A$7:$A$95,0)))</f>
        <v/>
      </c>
      <c r="K40" s="110" t="str">
        <f aca="false">IF($B40="","",INDEX('جرد - عصافرة'!$V$7:$V$95,MATCH($B40,'جرد - عصافرة'!$A$7:$A$95,0)))</f>
        <v/>
      </c>
      <c r="L40" s="110" t="str">
        <f aca="false">IF($B40="","",INDEX('جرد - عصافرة'!$W$7:$W$95,MATCH($B40,'جرد - عصافرة'!$A$7:$A$95,0)))</f>
        <v/>
      </c>
      <c r="M40" s="114" t="str">
        <f aca="false">IF($B40="","",F40+I40+L40)</f>
        <v/>
      </c>
      <c r="N40" s="39" t="str">
        <f aca="false">IF($B40="","",M40*INDEX('مواد المخزون'!$E$2:$E$90,MATCH($B40,'مواد المخزون'!$A$2:$A$90,0)))</f>
        <v/>
      </c>
    </row>
    <row r="41" customFormat="false" ht="15" hidden="false" customHeight="false" outlineLevel="0" collapsed="false">
      <c r="A41" s="36" t="n">
        <v>36</v>
      </c>
      <c r="B41" s="34" t="str">
        <f aca="false">IFERROR(INDEX('مواد المخزون'!$A$2:$A$90,MATCH($A41,'مواد المخزون'!$H$2:$H$90,0)),"")</f>
        <v/>
      </c>
      <c r="C41" s="36" t="str">
        <f aca="false">IF($B41="","",INDEX('مواد المخزون'!$B$2:$B$90,MATCH($B41,'مواد المخزون'!$A$2:$A$90,0)))</f>
        <v/>
      </c>
      <c r="D41" s="110" t="str">
        <f aca="false">IF($B41="","",INDEX('جرد - محرم بك'!$U$7:$U$95,MATCH($B41,'جرد - محرم بك'!$A$7:$A$95,0)))</f>
        <v/>
      </c>
      <c r="E41" s="110" t="str">
        <f aca="false">IF($B41="","",INDEX('جرد - محرم بك'!$V$7:$V$95,MATCH($B41,'جرد - محرم بك'!$A$7:$A$95,0)))</f>
        <v/>
      </c>
      <c r="F41" s="110" t="str">
        <f aca="false">IF($B41="","",INDEX('جرد - محرم بك'!$W$7:$W$95,MATCH($B41,'جرد - محرم بك'!$A$7:$A$95,0)))</f>
        <v/>
      </c>
      <c r="G41" s="110" t="str">
        <f aca="false">IF($B41="","",INDEX('جرد - ابراهيمية'!$U$7:$U$95,MATCH($B41,'جرد - ابراهيمية'!$A$7:$A$95,0)))</f>
        <v/>
      </c>
      <c r="H41" s="110" t="str">
        <f aca="false">IF($B41="","",INDEX('جرد - ابراهيمية'!$V$7:$V$95,MATCH($B41,'جرد - ابراهيمية'!$A$7:$A$95,0)))</f>
        <v/>
      </c>
      <c r="I41" s="110" t="str">
        <f aca="false">IF($B41="","",INDEX('جرد - ابراهيمية'!$W$7:$W$95,MATCH($B41,'جرد - ابراهيمية'!$A$7:$A$95,0)))</f>
        <v/>
      </c>
      <c r="J41" s="110" t="str">
        <f aca="false">IF($B41="","",INDEX('جرد - عصافرة'!$U$7:$U$95,MATCH($B41,'جرد - عصافرة'!$A$7:$A$95,0)))</f>
        <v/>
      </c>
      <c r="K41" s="110" t="str">
        <f aca="false">IF($B41="","",INDEX('جرد - عصافرة'!$V$7:$V$95,MATCH($B41,'جرد - عصافرة'!$A$7:$A$95,0)))</f>
        <v/>
      </c>
      <c r="L41" s="110" t="str">
        <f aca="false">IF($B41="","",INDEX('جرد - عصافرة'!$W$7:$W$95,MATCH($B41,'جرد - عصافرة'!$A$7:$A$95,0)))</f>
        <v/>
      </c>
      <c r="M41" s="114" t="str">
        <f aca="false">IF($B41="","",F41+I41+L41)</f>
        <v/>
      </c>
      <c r="N41" s="39" t="str">
        <f aca="false">IF($B41="","",M41*INDEX('مواد المخزون'!$E$2:$E$90,MATCH($B41,'مواد المخزون'!$A$2:$A$90,0)))</f>
        <v/>
      </c>
    </row>
    <row r="42" customFormat="false" ht="15" hidden="false" customHeight="false" outlineLevel="0" collapsed="false">
      <c r="A42" s="36" t="n">
        <v>37</v>
      </c>
      <c r="B42" s="34" t="str">
        <f aca="false">IFERROR(INDEX('مواد المخزون'!$A$2:$A$90,MATCH($A42,'مواد المخزون'!$H$2:$H$90,0)),"")</f>
        <v/>
      </c>
      <c r="C42" s="36" t="str">
        <f aca="false">IF($B42="","",INDEX('مواد المخزون'!$B$2:$B$90,MATCH($B42,'مواد المخزون'!$A$2:$A$90,0)))</f>
        <v/>
      </c>
      <c r="D42" s="110" t="str">
        <f aca="false">IF($B42="","",INDEX('جرد - محرم بك'!$U$7:$U$95,MATCH($B42,'جرد - محرم بك'!$A$7:$A$95,0)))</f>
        <v/>
      </c>
      <c r="E42" s="110" t="str">
        <f aca="false">IF($B42="","",INDEX('جرد - محرم بك'!$V$7:$V$95,MATCH($B42,'جرد - محرم بك'!$A$7:$A$95,0)))</f>
        <v/>
      </c>
      <c r="F42" s="110" t="str">
        <f aca="false">IF($B42="","",INDEX('جرد - محرم بك'!$W$7:$W$95,MATCH($B42,'جرد - محرم بك'!$A$7:$A$95,0)))</f>
        <v/>
      </c>
      <c r="G42" s="110" t="str">
        <f aca="false">IF($B42="","",INDEX('جرد - ابراهيمية'!$U$7:$U$95,MATCH($B42,'جرد - ابراهيمية'!$A$7:$A$95,0)))</f>
        <v/>
      </c>
      <c r="H42" s="110" t="str">
        <f aca="false">IF($B42="","",INDEX('جرد - ابراهيمية'!$V$7:$V$95,MATCH($B42,'جرد - ابراهيمية'!$A$7:$A$95,0)))</f>
        <v/>
      </c>
      <c r="I42" s="110" t="str">
        <f aca="false">IF($B42="","",INDEX('جرد - ابراهيمية'!$W$7:$W$95,MATCH($B42,'جرد - ابراهيمية'!$A$7:$A$95,0)))</f>
        <v/>
      </c>
      <c r="J42" s="110" t="str">
        <f aca="false">IF($B42="","",INDEX('جرد - عصافرة'!$U$7:$U$95,MATCH($B42,'جرد - عصافرة'!$A$7:$A$95,0)))</f>
        <v/>
      </c>
      <c r="K42" s="110" t="str">
        <f aca="false">IF($B42="","",INDEX('جرد - عصافرة'!$V$7:$V$95,MATCH($B42,'جرد - عصافرة'!$A$7:$A$95,0)))</f>
        <v/>
      </c>
      <c r="L42" s="110" t="str">
        <f aca="false">IF($B42="","",INDEX('جرد - عصافرة'!$W$7:$W$95,MATCH($B42,'جرد - عصافرة'!$A$7:$A$95,0)))</f>
        <v/>
      </c>
      <c r="M42" s="114" t="str">
        <f aca="false">IF($B42="","",F42+I42+L42)</f>
        <v/>
      </c>
      <c r="N42" s="39" t="str">
        <f aca="false">IF($B42="","",M42*INDEX('مواد المخزون'!$E$2:$E$90,MATCH($B42,'مواد المخزون'!$A$2:$A$90,0)))</f>
        <v/>
      </c>
    </row>
    <row r="43" customFormat="false" ht="15" hidden="false" customHeight="false" outlineLevel="0" collapsed="false">
      <c r="A43" s="36" t="n">
        <v>38</v>
      </c>
      <c r="B43" s="34" t="str">
        <f aca="false">IFERROR(INDEX('مواد المخزون'!$A$2:$A$90,MATCH($A43,'مواد المخزون'!$H$2:$H$90,0)),"")</f>
        <v/>
      </c>
      <c r="C43" s="36" t="str">
        <f aca="false">IF($B43="","",INDEX('مواد المخزون'!$B$2:$B$90,MATCH($B43,'مواد المخزون'!$A$2:$A$90,0)))</f>
        <v/>
      </c>
      <c r="D43" s="110" t="str">
        <f aca="false">IF($B43="","",INDEX('جرد - محرم بك'!$U$7:$U$95,MATCH($B43,'جرد - محرم بك'!$A$7:$A$95,0)))</f>
        <v/>
      </c>
      <c r="E43" s="110" t="str">
        <f aca="false">IF($B43="","",INDEX('جرد - محرم بك'!$V$7:$V$95,MATCH($B43,'جرد - محرم بك'!$A$7:$A$95,0)))</f>
        <v/>
      </c>
      <c r="F43" s="110" t="str">
        <f aca="false">IF($B43="","",INDEX('جرد - محرم بك'!$W$7:$W$95,MATCH($B43,'جرد - محرم بك'!$A$7:$A$95,0)))</f>
        <v/>
      </c>
      <c r="G43" s="110" t="str">
        <f aca="false">IF($B43="","",INDEX('جرد - ابراهيمية'!$U$7:$U$95,MATCH($B43,'جرد - ابراهيمية'!$A$7:$A$95,0)))</f>
        <v/>
      </c>
      <c r="H43" s="110" t="str">
        <f aca="false">IF($B43="","",INDEX('جرد - ابراهيمية'!$V$7:$V$95,MATCH($B43,'جرد - ابراهيمية'!$A$7:$A$95,0)))</f>
        <v/>
      </c>
      <c r="I43" s="110" t="str">
        <f aca="false">IF($B43="","",INDEX('جرد - ابراهيمية'!$W$7:$W$95,MATCH($B43,'جرد - ابراهيمية'!$A$7:$A$95,0)))</f>
        <v/>
      </c>
      <c r="J43" s="110" t="str">
        <f aca="false">IF($B43="","",INDEX('جرد - عصافرة'!$U$7:$U$95,MATCH($B43,'جرد - عصافرة'!$A$7:$A$95,0)))</f>
        <v/>
      </c>
      <c r="K43" s="110" t="str">
        <f aca="false">IF($B43="","",INDEX('جرد - عصافرة'!$V$7:$V$95,MATCH($B43,'جرد - عصافرة'!$A$7:$A$95,0)))</f>
        <v/>
      </c>
      <c r="L43" s="110" t="str">
        <f aca="false">IF($B43="","",INDEX('جرد - عصافرة'!$W$7:$W$95,MATCH($B43,'جرد - عصافرة'!$A$7:$A$95,0)))</f>
        <v/>
      </c>
      <c r="M43" s="114" t="str">
        <f aca="false">IF($B43="","",F43+I43+L43)</f>
        <v/>
      </c>
      <c r="N43" s="39" t="str">
        <f aca="false">IF($B43="","",M43*INDEX('مواد المخزون'!$E$2:$E$90,MATCH($B43,'مواد المخزون'!$A$2:$A$90,0)))</f>
        <v/>
      </c>
    </row>
    <row r="44" customFormat="false" ht="15" hidden="false" customHeight="false" outlineLevel="0" collapsed="false">
      <c r="A44" s="36" t="n">
        <v>39</v>
      </c>
      <c r="B44" s="34" t="str">
        <f aca="false">IFERROR(INDEX('مواد المخزون'!$A$2:$A$90,MATCH($A44,'مواد المخزون'!$H$2:$H$90,0)),"")</f>
        <v/>
      </c>
      <c r="C44" s="36" t="str">
        <f aca="false">IF($B44="","",INDEX('مواد المخزون'!$B$2:$B$90,MATCH($B44,'مواد المخزون'!$A$2:$A$90,0)))</f>
        <v/>
      </c>
      <c r="D44" s="110" t="str">
        <f aca="false">IF($B44="","",INDEX('جرد - محرم بك'!$U$7:$U$95,MATCH($B44,'جرد - محرم بك'!$A$7:$A$95,0)))</f>
        <v/>
      </c>
      <c r="E44" s="110" t="str">
        <f aca="false">IF($B44="","",INDEX('جرد - محرم بك'!$V$7:$V$95,MATCH($B44,'جرد - محرم بك'!$A$7:$A$95,0)))</f>
        <v/>
      </c>
      <c r="F44" s="110" t="str">
        <f aca="false">IF($B44="","",INDEX('جرد - محرم بك'!$W$7:$W$95,MATCH($B44,'جرد - محرم بك'!$A$7:$A$95,0)))</f>
        <v/>
      </c>
      <c r="G44" s="110" t="str">
        <f aca="false">IF($B44="","",INDEX('جرد - ابراهيمية'!$U$7:$U$95,MATCH($B44,'جرد - ابراهيمية'!$A$7:$A$95,0)))</f>
        <v/>
      </c>
      <c r="H44" s="110" t="str">
        <f aca="false">IF($B44="","",INDEX('جرد - ابراهيمية'!$V$7:$V$95,MATCH($B44,'جرد - ابراهيمية'!$A$7:$A$95,0)))</f>
        <v/>
      </c>
      <c r="I44" s="110" t="str">
        <f aca="false">IF($B44="","",INDEX('جرد - ابراهيمية'!$W$7:$W$95,MATCH($B44,'جرد - ابراهيمية'!$A$7:$A$95,0)))</f>
        <v/>
      </c>
      <c r="J44" s="110" t="str">
        <f aca="false">IF($B44="","",INDEX('جرد - عصافرة'!$U$7:$U$95,MATCH($B44,'جرد - عصافرة'!$A$7:$A$95,0)))</f>
        <v/>
      </c>
      <c r="K44" s="110" t="str">
        <f aca="false">IF($B44="","",INDEX('جرد - عصافرة'!$V$7:$V$95,MATCH($B44,'جرد - عصافرة'!$A$7:$A$95,0)))</f>
        <v/>
      </c>
      <c r="L44" s="110" t="str">
        <f aca="false">IF($B44="","",INDEX('جرد - عصافرة'!$W$7:$W$95,MATCH($B44,'جرد - عصافرة'!$A$7:$A$95,0)))</f>
        <v/>
      </c>
      <c r="M44" s="114" t="str">
        <f aca="false">IF($B44="","",F44+I44+L44)</f>
        <v/>
      </c>
      <c r="N44" s="39" t="str">
        <f aca="false">IF($B44="","",M44*INDEX('مواد المخزون'!$E$2:$E$90,MATCH($B44,'مواد المخزون'!$A$2:$A$90,0)))</f>
        <v/>
      </c>
    </row>
    <row r="45" customFormat="false" ht="15" hidden="false" customHeight="false" outlineLevel="0" collapsed="false">
      <c r="A45" s="36" t="n">
        <v>40</v>
      </c>
      <c r="B45" s="34" t="str">
        <f aca="false">IFERROR(INDEX('مواد المخزون'!$A$2:$A$90,MATCH($A45,'مواد المخزون'!$H$2:$H$90,0)),"")</f>
        <v/>
      </c>
      <c r="C45" s="36" t="str">
        <f aca="false">IF($B45="","",INDEX('مواد المخزون'!$B$2:$B$90,MATCH($B45,'مواد المخزون'!$A$2:$A$90,0)))</f>
        <v/>
      </c>
      <c r="D45" s="110" t="str">
        <f aca="false">IF($B45="","",INDEX('جرد - محرم بك'!$U$7:$U$95,MATCH($B45,'جرد - محرم بك'!$A$7:$A$95,0)))</f>
        <v/>
      </c>
      <c r="E45" s="110" t="str">
        <f aca="false">IF($B45="","",INDEX('جرد - محرم بك'!$V$7:$V$95,MATCH($B45,'جرد - محرم بك'!$A$7:$A$95,0)))</f>
        <v/>
      </c>
      <c r="F45" s="110" t="str">
        <f aca="false">IF($B45="","",INDEX('جرد - محرم بك'!$W$7:$W$95,MATCH($B45,'جرد - محرم بك'!$A$7:$A$95,0)))</f>
        <v/>
      </c>
      <c r="G45" s="110" t="str">
        <f aca="false">IF($B45="","",INDEX('جرد - ابراهيمية'!$U$7:$U$95,MATCH($B45,'جرد - ابراهيمية'!$A$7:$A$95,0)))</f>
        <v/>
      </c>
      <c r="H45" s="110" t="str">
        <f aca="false">IF($B45="","",INDEX('جرد - ابراهيمية'!$V$7:$V$95,MATCH($B45,'جرد - ابراهيمية'!$A$7:$A$95,0)))</f>
        <v/>
      </c>
      <c r="I45" s="110" t="str">
        <f aca="false">IF($B45="","",INDEX('جرد - ابراهيمية'!$W$7:$W$95,MATCH($B45,'جرد - ابراهيمية'!$A$7:$A$95,0)))</f>
        <v/>
      </c>
      <c r="J45" s="110" t="str">
        <f aca="false">IF($B45="","",INDEX('جرد - عصافرة'!$U$7:$U$95,MATCH($B45,'جرد - عصافرة'!$A$7:$A$95,0)))</f>
        <v/>
      </c>
      <c r="K45" s="110" t="str">
        <f aca="false">IF($B45="","",INDEX('جرد - عصافرة'!$V$7:$V$95,MATCH($B45,'جرد - عصافرة'!$A$7:$A$95,0)))</f>
        <v/>
      </c>
      <c r="L45" s="110" t="str">
        <f aca="false">IF($B45="","",INDEX('جرد - عصافرة'!$W$7:$W$95,MATCH($B45,'جرد - عصافرة'!$A$7:$A$95,0)))</f>
        <v/>
      </c>
      <c r="M45" s="114" t="str">
        <f aca="false">IF($B45="","",F45+I45+L45)</f>
        <v/>
      </c>
      <c r="N45" s="39" t="str">
        <f aca="false">IF($B45="","",M45*INDEX('مواد المخزون'!$E$2:$E$90,MATCH($B45,'مواد المخزون'!$A$2:$A$90,0)))</f>
        <v/>
      </c>
    </row>
    <row r="46" customFormat="false" ht="15" hidden="false" customHeight="false" outlineLevel="0" collapsed="false">
      <c r="A46" s="36" t="n">
        <v>41</v>
      </c>
      <c r="B46" s="34" t="str">
        <f aca="false">IFERROR(INDEX('مواد المخزون'!$A$2:$A$90,MATCH($A46,'مواد المخزون'!$H$2:$H$90,0)),"")</f>
        <v/>
      </c>
      <c r="C46" s="36" t="str">
        <f aca="false">IF($B46="","",INDEX('مواد المخزون'!$B$2:$B$90,MATCH($B46,'مواد المخزون'!$A$2:$A$90,0)))</f>
        <v/>
      </c>
      <c r="D46" s="110" t="str">
        <f aca="false">IF($B46="","",INDEX('جرد - محرم بك'!$U$7:$U$95,MATCH($B46,'جرد - محرم بك'!$A$7:$A$95,0)))</f>
        <v/>
      </c>
      <c r="E46" s="110" t="str">
        <f aca="false">IF($B46="","",INDEX('جرد - محرم بك'!$V$7:$V$95,MATCH($B46,'جرد - محرم بك'!$A$7:$A$95,0)))</f>
        <v/>
      </c>
      <c r="F46" s="110" t="str">
        <f aca="false">IF($B46="","",INDEX('جرد - محرم بك'!$W$7:$W$95,MATCH($B46,'جرد - محرم بك'!$A$7:$A$95,0)))</f>
        <v/>
      </c>
      <c r="G46" s="110" t="str">
        <f aca="false">IF($B46="","",INDEX('جرد - ابراهيمية'!$U$7:$U$95,MATCH($B46,'جرد - ابراهيمية'!$A$7:$A$95,0)))</f>
        <v/>
      </c>
      <c r="H46" s="110" t="str">
        <f aca="false">IF($B46="","",INDEX('جرد - ابراهيمية'!$V$7:$V$95,MATCH($B46,'جرد - ابراهيمية'!$A$7:$A$95,0)))</f>
        <v/>
      </c>
      <c r="I46" s="110" t="str">
        <f aca="false">IF($B46="","",INDEX('جرد - ابراهيمية'!$W$7:$W$95,MATCH($B46,'جرد - ابراهيمية'!$A$7:$A$95,0)))</f>
        <v/>
      </c>
      <c r="J46" s="110" t="str">
        <f aca="false">IF($B46="","",INDEX('جرد - عصافرة'!$U$7:$U$95,MATCH($B46,'جرد - عصافرة'!$A$7:$A$95,0)))</f>
        <v/>
      </c>
      <c r="K46" s="110" t="str">
        <f aca="false">IF($B46="","",INDEX('جرد - عصافرة'!$V$7:$V$95,MATCH($B46,'جرد - عصافرة'!$A$7:$A$95,0)))</f>
        <v/>
      </c>
      <c r="L46" s="110" t="str">
        <f aca="false">IF($B46="","",INDEX('جرد - عصافرة'!$W$7:$W$95,MATCH($B46,'جرد - عصافرة'!$A$7:$A$95,0)))</f>
        <v/>
      </c>
      <c r="M46" s="114" t="str">
        <f aca="false">IF($B46="","",F46+I46+L46)</f>
        <v/>
      </c>
      <c r="N46" s="39" t="str">
        <f aca="false">IF($B46="","",M46*INDEX('مواد المخزون'!$E$2:$E$90,MATCH($B46,'مواد المخزون'!$A$2:$A$90,0)))</f>
        <v/>
      </c>
    </row>
    <row r="47" customFormat="false" ht="15" hidden="false" customHeight="false" outlineLevel="0" collapsed="false">
      <c r="A47" s="36" t="n">
        <v>42</v>
      </c>
      <c r="B47" s="34" t="str">
        <f aca="false">IFERROR(INDEX('مواد المخزون'!$A$2:$A$90,MATCH($A47,'مواد المخزون'!$H$2:$H$90,0)),"")</f>
        <v/>
      </c>
      <c r="C47" s="36" t="str">
        <f aca="false">IF($B47="","",INDEX('مواد المخزون'!$B$2:$B$90,MATCH($B47,'مواد المخزون'!$A$2:$A$90,0)))</f>
        <v/>
      </c>
      <c r="D47" s="110" t="str">
        <f aca="false">IF($B47="","",INDEX('جرد - محرم بك'!$U$7:$U$95,MATCH($B47,'جرد - محرم بك'!$A$7:$A$95,0)))</f>
        <v/>
      </c>
      <c r="E47" s="110" t="str">
        <f aca="false">IF($B47="","",INDEX('جرد - محرم بك'!$V$7:$V$95,MATCH($B47,'جرد - محرم بك'!$A$7:$A$95,0)))</f>
        <v/>
      </c>
      <c r="F47" s="110" t="str">
        <f aca="false">IF($B47="","",INDEX('جرد - محرم بك'!$W$7:$W$95,MATCH($B47,'جرد - محرم بك'!$A$7:$A$95,0)))</f>
        <v/>
      </c>
      <c r="G47" s="110" t="str">
        <f aca="false">IF($B47="","",INDEX('جرد - ابراهيمية'!$U$7:$U$95,MATCH($B47,'جرد - ابراهيمية'!$A$7:$A$95,0)))</f>
        <v/>
      </c>
      <c r="H47" s="110" t="str">
        <f aca="false">IF($B47="","",INDEX('جرد - ابراهيمية'!$V$7:$V$95,MATCH($B47,'جرد - ابراهيمية'!$A$7:$A$95,0)))</f>
        <v/>
      </c>
      <c r="I47" s="110" t="str">
        <f aca="false">IF($B47="","",INDEX('جرد - ابراهيمية'!$W$7:$W$95,MATCH($B47,'جرد - ابراهيمية'!$A$7:$A$95,0)))</f>
        <v/>
      </c>
      <c r="J47" s="110" t="str">
        <f aca="false">IF($B47="","",INDEX('جرد - عصافرة'!$U$7:$U$95,MATCH($B47,'جرد - عصافرة'!$A$7:$A$95,0)))</f>
        <v/>
      </c>
      <c r="K47" s="110" t="str">
        <f aca="false">IF($B47="","",INDEX('جرد - عصافرة'!$V$7:$V$95,MATCH($B47,'جرد - عصافرة'!$A$7:$A$95,0)))</f>
        <v/>
      </c>
      <c r="L47" s="110" t="str">
        <f aca="false">IF($B47="","",INDEX('جرد - عصافرة'!$W$7:$W$95,MATCH($B47,'جرد - عصافرة'!$A$7:$A$95,0)))</f>
        <v/>
      </c>
      <c r="M47" s="114" t="str">
        <f aca="false">IF($B47="","",F47+I47+L47)</f>
        <v/>
      </c>
      <c r="N47" s="39" t="str">
        <f aca="false">IF($B47="","",M47*INDEX('مواد المخزون'!$E$2:$E$90,MATCH($B47,'مواد المخزون'!$A$2:$A$90,0)))</f>
        <v/>
      </c>
    </row>
    <row r="48" customFormat="false" ht="15" hidden="false" customHeight="false" outlineLevel="0" collapsed="false">
      <c r="A48" s="36" t="n">
        <v>43</v>
      </c>
      <c r="B48" s="34" t="str">
        <f aca="false">IFERROR(INDEX('مواد المخزون'!$A$2:$A$90,MATCH($A48,'مواد المخزون'!$H$2:$H$90,0)),"")</f>
        <v/>
      </c>
      <c r="C48" s="36" t="str">
        <f aca="false">IF($B48="","",INDEX('مواد المخزون'!$B$2:$B$90,MATCH($B48,'مواد المخزون'!$A$2:$A$90,0)))</f>
        <v/>
      </c>
      <c r="D48" s="110" t="str">
        <f aca="false">IF($B48="","",INDEX('جرد - محرم بك'!$U$7:$U$95,MATCH($B48,'جرد - محرم بك'!$A$7:$A$95,0)))</f>
        <v/>
      </c>
      <c r="E48" s="110" t="str">
        <f aca="false">IF($B48="","",INDEX('جرد - محرم بك'!$V$7:$V$95,MATCH($B48,'جرد - محرم بك'!$A$7:$A$95,0)))</f>
        <v/>
      </c>
      <c r="F48" s="110" t="str">
        <f aca="false">IF($B48="","",INDEX('جرد - محرم بك'!$W$7:$W$95,MATCH($B48,'جرد - محرم بك'!$A$7:$A$95,0)))</f>
        <v/>
      </c>
      <c r="G48" s="110" t="str">
        <f aca="false">IF($B48="","",INDEX('جرد - ابراهيمية'!$U$7:$U$95,MATCH($B48,'جرد - ابراهيمية'!$A$7:$A$95,0)))</f>
        <v/>
      </c>
      <c r="H48" s="110" t="str">
        <f aca="false">IF($B48="","",INDEX('جرد - ابراهيمية'!$V$7:$V$95,MATCH($B48,'جرد - ابراهيمية'!$A$7:$A$95,0)))</f>
        <v/>
      </c>
      <c r="I48" s="110" t="str">
        <f aca="false">IF($B48="","",INDEX('جرد - ابراهيمية'!$W$7:$W$95,MATCH($B48,'جرد - ابراهيمية'!$A$7:$A$95,0)))</f>
        <v/>
      </c>
      <c r="J48" s="110" t="str">
        <f aca="false">IF($B48="","",INDEX('جرد - عصافرة'!$U$7:$U$95,MATCH($B48,'جرد - عصافرة'!$A$7:$A$95,0)))</f>
        <v/>
      </c>
      <c r="K48" s="110" t="str">
        <f aca="false">IF($B48="","",INDEX('جرد - عصافرة'!$V$7:$V$95,MATCH($B48,'جرد - عصافرة'!$A$7:$A$95,0)))</f>
        <v/>
      </c>
      <c r="L48" s="110" t="str">
        <f aca="false">IF($B48="","",INDEX('جرد - عصافرة'!$W$7:$W$95,MATCH($B48,'جرد - عصافرة'!$A$7:$A$95,0)))</f>
        <v/>
      </c>
      <c r="M48" s="114" t="str">
        <f aca="false">IF($B48="","",F48+I48+L48)</f>
        <v/>
      </c>
      <c r="N48" s="39" t="str">
        <f aca="false">IF($B48="","",M48*INDEX('مواد المخزون'!$E$2:$E$90,MATCH($B48,'مواد المخزون'!$A$2:$A$90,0)))</f>
        <v/>
      </c>
    </row>
    <row r="49" customFormat="false" ht="15" hidden="false" customHeight="false" outlineLevel="0" collapsed="false">
      <c r="A49" s="36" t="n">
        <v>44</v>
      </c>
      <c r="B49" s="34" t="str">
        <f aca="false">IFERROR(INDEX('مواد المخزون'!$A$2:$A$90,MATCH($A49,'مواد المخزون'!$H$2:$H$90,0)),"")</f>
        <v/>
      </c>
      <c r="C49" s="36" t="str">
        <f aca="false">IF($B49="","",INDEX('مواد المخزون'!$B$2:$B$90,MATCH($B49,'مواد المخزون'!$A$2:$A$90,0)))</f>
        <v/>
      </c>
      <c r="D49" s="110" t="str">
        <f aca="false">IF($B49="","",INDEX('جرد - محرم بك'!$U$7:$U$95,MATCH($B49,'جرد - محرم بك'!$A$7:$A$95,0)))</f>
        <v/>
      </c>
      <c r="E49" s="110" t="str">
        <f aca="false">IF($B49="","",INDEX('جرد - محرم بك'!$V$7:$V$95,MATCH($B49,'جرد - محرم بك'!$A$7:$A$95,0)))</f>
        <v/>
      </c>
      <c r="F49" s="110" t="str">
        <f aca="false">IF($B49="","",INDEX('جرد - محرم بك'!$W$7:$W$95,MATCH($B49,'جرد - محرم بك'!$A$7:$A$95,0)))</f>
        <v/>
      </c>
      <c r="G49" s="110" t="str">
        <f aca="false">IF($B49="","",INDEX('جرد - ابراهيمية'!$U$7:$U$95,MATCH($B49,'جرد - ابراهيمية'!$A$7:$A$95,0)))</f>
        <v/>
      </c>
      <c r="H49" s="110" t="str">
        <f aca="false">IF($B49="","",INDEX('جرد - ابراهيمية'!$V$7:$V$95,MATCH($B49,'جرد - ابراهيمية'!$A$7:$A$95,0)))</f>
        <v/>
      </c>
      <c r="I49" s="110" t="str">
        <f aca="false">IF($B49="","",INDEX('جرد - ابراهيمية'!$W$7:$W$95,MATCH($B49,'جرد - ابراهيمية'!$A$7:$A$95,0)))</f>
        <v/>
      </c>
      <c r="J49" s="110" t="str">
        <f aca="false">IF($B49="","",INDEX('جرد - عصافرة'!$U$7:$U$95,MATCH($B49,'جرد - عصافرة'!$A$7:$A$95,0)))</f>
        <v/>
      </c>
      <c r="K49" s="110" t="str">
        <f aca="false">IF($B49="","",INDEX('جرد - عصافرة'!$V$7:$V$95,MATCH($B49,'جرد - عصافرة'!$A$7:$A$95,0)))</f>
        <v/>
      </c>
      <c r="L49" s="110" t="str">
        <f aca="false">IF($B49="","",INDEX('جرد - عصافرة'!$W$7:$W$95,MATCH($B49,'جرد - عصافرة'!$A$7:$A$95,0)))</f>
        <v/>
      </c>
      <c r="M49" s="114" t="str">
        <f aca="false">IF($B49="","",F49+I49+L49)</f>
        <v/>
      </c>
      <c r="N49" s="39" t="str">
        <f aca="false">IF($B49="","",M49*INDEX('مواد المخزون'!$E$2:$E$90,MATCH($B49,'مواد المخزون'!$A$2:$A$90,0)))</f>
        <v/>
      </c>
    </row>
    <row r="50" customFormat="false" ht="15" hidden="false" customHeight="false" outlineLevel="0" collapsed="false">
      <c r="A50" s="36" t="n">
        <v>45</v>
      </c>
      <c r="B50" s="34" t="str">
        <f aca="false">IFERROR(INDEX('مواد المخزون'!$A$2:$A$90,MATCH($A50,'مواد المخزون'!$H$2:$H$90,0)),"")</f>
        <v/>
      </c>
      <c r="C50" s="36" t="str">
        <f aca="false">IF($B50="","",INDEX('مواد المخزون'!$B$2:$B$90,MATCH($B50,'مواد المخزون'!$A$2:$A$90,0)))</f>
        <v/>
      </c>
      <c r="D50" s="110" t="str">
        <f aca="false">IF($B50="","",INDEX('جرد - محرم بك'!$U$7:$U$95,MATCH($B50,'جرد - محرم بك'!$A$7:$A$95,0)))</f>
        <v/>
      </c>
      <c r="E50" s="110" t="str">
        <f aca="false">IF($B50="","",INDEX('جرد - محرم بك'!$V$7:$V$95,MATCH($B50,'جرد - محرم بك'!$A$7:$A$95,0)))</f>
        <v/>
      </c>
      <c r="F50" s="110" t="str">
        <f aca="false">IF($B50="","",INDEX('جرد - محرم بك'!$W$7:$W$95,MATCH($B50,'جرد - محرم بك'!$A$7:$A$95,0)))</f>
        <v/>
      </c>
      <c r="G50" s="110" t="str">
        <f aca="false">IF($B50="","",INDEX('جرد - ابراهيمية'!$U$7:$U$95,MATCH($B50,'جرد - ابراهيمية'!$A$7:$A$95,0)))</f>
        <v/>
      </c>
      <c r="H50" s="110" t="str">
        <f aca="false">IF($B50="","",INDEX('جرد - ابراهيمية'!$V$7:$V$95,MATCH($B50,'جرد - ابراهيمية'!$A$7:$A$95,0)))</f>
        <v/>
      </c>
      <c r="I50" s="110" t="str">
        <f aca="false">IF($B50="","",INDEX('جرد - ابراهيمية'!$W$7:$W$95,MATCH($B50,'جرد - ابراهيمية'!$A$7:$A$95,0)))</f>
        <v/>
      </c>
      <c r="J50" s="110" t="str">
        <f aca="false">IF($B50="","",INDEX('جرد - عصافرة'!$U$7:$U$95,MATCH($B50,'جرد - عصافرة'!$A$7:$A$95,0)))</f>
        <v/>
      </c>
      <c r="K50" s="110" t="str">
        <f aca="false">IF($B50="","",INDEX('جرد - عصافرة'!$V$7:$V$95,MATCH($B50,'جرد - عصافرة'!$A$7:$A$95,0)))</f>
        <v/>
      </c>
      <c r="L50" s="110" t="str">
        <f aca="false">IF($B50="","",INDEX('جرد - عصافرة'!$W$7:$W$95,MATCH($B50,'جرد - عصافرة'!$A$7:$A$95,0)))</f>
        <v/>
      </c>
      <c r="M50" s="114" t="str">
        <f aca="false">IF($B50="","",F50+I50+L50)</f>
        <v/>
      </c>
      <c r="N50" s="39" t="str">
        <f aca="false">IF($B50="","",M50*INDEX('مواد المخزون'!$E$2:$E$90,MATCH($B50,'مواد المخزون'!$A$2:$A$90,0)))</f>
        <v/>
      </c>
    </row>
    <row r="51" customFormat="false" ht="15" hidden="false" customHeight="false" outlineLevel="0" collapsed="false">
      <c r="A51" s="36" t="n">
        <v>46</v>
      </c>
      <c r="B51" s="34" t="str">
        <f aca="false">IFERROR(INDEX('مواد المخزون'!$A$2:$A$90,MATCH($A51,'مواد المخزون'!$H$2:$H$90,0)),"")</f>
        <v/>
      </c>
      <c r="C51" s="36" t="str">
        <f aca="false">IF($B51="","",INDEX('مواد المخزون'!$B$2:$B$90,MATCH($B51,'مواد المخزون'!$A$2:$A$90,0)))</f>
        <v/>
      </c>
      <c r="D51" s="110" t="str">
        <f aca="false">IF($B51="","",INDEX('جرد - محرم بك'!$U$7:$U$95,MATCH($B51,'جرد - محرم بك'!$A$7:$A$95,0)))</f>
        <v/>
      </c>
      <c r="E51" s="110" t="str">
        <f aca="false">IF($B51="","",INDEX('جرد - محرم بك'!$V$7:$V$95,MATCH($B51,'جرد - محرم بك'!$A$7:$A$95,0)))</f>
        <v/>
      </c>
      <c r="F51" s="110" t="str">
        <f aca="false">IF($B51="","",INDEX('جرد - محرم بك'!$W$7:$W$95,MATCH($B51,'جرد - محرم بك'!$A$7:$A$95,0)))</f>
        <v/>
      </c>
      <c r="G51" s="110" t="str">
        <f aca="false">IF($B51="","",INDEX('جرد - ابراهيمية'!$U$7:$U$95,MATCH($B51,'جرد - ابراهيمية'!$A$7:$A$95,0)))</f>
        <v/>
      </c>
      <c r="H51" s="110" t="str">
        <f aca="false">IF($B51="","",INDEX('جرد - ابراهيمية'!$V$7:$V$95,MATCH($B51,'جرد - ابراهيمية'!$A$7:$A$95,0)))</f>
        <v/>
      </c>
      <c r="I51" s="110" t="str">
        <f aca="false">IF($B51="","",INDEX('جرد - ابراهيمية'!$W$7:$W$95,MATCH($B51,'جرد - ابراهيمية'!$A$7:$A$95,0)))</f>
        <v/>
      </c>
      <c r="J51" s="110" t="str">
        <f aca="false">IF($B51="","",INDEX('جرد - عصافرة'!$U$7:$U$95,MATCH($B51,'جرد - عصافرة'!$A$7:$A$95,0)))</f>
        <v/>
      </c>
      <c r="K51" s="110" t="str">
        <f aca="false">IF($B51="","",INDEX('جرد - عصافرة'!$V$7:$V$95,MATCH($B51,'جرد - عصافرة'!$A$7:$A$95,0)))</f>
        <v/>
      </c>
      <c r="L51" s="110" t="str">
        <f aca="false">IF($B51="","",INDEX('جرد - عصافرة'!$W$7:$W$95,MATCH($B51,'جرد - عصافرة'!$A$7:$A$95,0)))</f>
        <v/>
      </c>
      <c r="M51" s="114" t="str">
        <f aca="false">IF($B51="","",F51+I51+L51)</f>
        <v/>
      </c>
      <c r="N51" s="39" t="str">
        <f aca="false">IF($B51="","",M51*INDEX('مواد المخزون'!$E$2:$E$90,MATCH($B51,'مواد المخزون'!$A$2:$A$90,0)))</f>
        <v/>
      </c>
    </row>
    <row r="52" customFormat="false" ht="15" hidden="false" customHeight="false" outlineLevel="0" collapsed="false">
      <c r="A52" s="36" t="n">
        <v>47</v>
      </c>
      <c r="B52" s="34" t="str">
        <f aca="false">IFERROR(INDEX('مواد المخزون'!$A$2:$A$90,MATCH($A52,'مواد المخزون'!$H$2:$H$90,0)),"")</f>
        <v/>
      </c>
      <c r="C52" s="36" t="str">
        <f aca="false">IF($B52="","",INDEX('مواد المخزون'!$B$2:$B$90,MATCH($B52,'مواد المخزون'!$A$2:$A$90,0)))</f>
        <v/>
      </c>
      <c r="D52" s="110" t="str">
        <f aca="false">IF($B52="","",INDEX('جرد - محرم بك'!$U$7:$U$95,MATCH($B52,'جرد - محرم بك'!$A$7:$A$95,0)))</f>
        <v/>
      </c>
      <c r="E52" s="110" t="str">
        <f aca="false">IF($B52="","",INDEX('جرد - محرم بك'!$V$7:$V$95,MATCH($B52,'جرد - محرم بك'!$A$7:$A$95,0)))</f>
        <v/>
      </c>
      <c r="F52" s="110" t="str">
        <f aca="false">IF($B52="","",INDEX('جرد - محرم بك'!$W$7:$W$95,MATCH($B52,'جرد - محرم بك'!$A$7:$A$95,0)))</f>
        <v/>
      </c>
      <c r="G52" s="110" t="str">
        <f aca="false">IF($B52="","",INDEX('جرد - ابراهيمية'!$U$7:$U$95,MATCH($B52,'جرد - ابراهيمية'!$A$7:$A$95,0)))</f>
        <v/>
      </c>
      <c r="H52" s="110" t="str">
        <f aca="false">IF($B52="","",INDEX('جرد - ابراهيمية'!$V$7:$V$95,MATCH($B52,'جرد - ابراهيمية'!$A$7:$A$95,0)))</f>
        <v/>
      </c>
      <c r="I52" s="110" t="str">
        <f aca="false">IF($B52="","",INDEX('جرد - ابراهيمية'!$W$7:$W$95,MATCH($B52,'جرد - ابراهيمية'!$A$7:$A$95,0)))</f>
        <v/>
      </c>
      <c r="J52" s="110" t="str">
        <f aca="false">IF($B52="","",INDEX('جرد - عصافرة'!$U$7:$U$95,MATCH($B52,'جرد - عصافرة'!$A$7:$A$95,0)))</f>
        <v/>
      </c>
      <c r="K52" s="110" t="str">
        <f aca="false">IF($B52="","",INDEX('جرد - عصافرة'!$V$7:$V$95,MATCH($B52,'جرد - عصافرة'!$A$7:$A$95,0)))</f>
        <v/>
      </c>
      <c r="L52" s="110" t="str">
        <f aca="false">IF($B52="","",INDEX('جرد - عصافرة'!$W$7:$W$95,MATCH($B52,'جرد - عصافرة'!$A$7:$A$95,0)))</f>
        <v/>
      </c>
      <c r="M52" s="114" t="str">
        <f aca="false">IF($B52="","",F52+I52+L52)</f>
        <v/>
      </c>
      <c r="N52" s="39" t="str">
        <f aca="false">IF($B52="","",M52*INDEX('مواد المخزون'!$E$2:$E$90,MATCH($B52,'مواد المخزون'!$A$2:$A$90,0)))</f>
        <v/>
      </c>
    </row>
    <row r="53" customFormat="false" ht="15" hidden="false" customHeight="false" outlineLevel="0" collapsed="false">
      <c r="A53" s="36" t="n">
        <v>48</v>
      </c>
      <c r="B53" s="34" t="str">
        <f aca="false">IFERROR(INDEX('مواد المخزون'!$A$2:$A$90,MATCH($A53,'مواد المخزون'!$H$2:$H$90,0)),"")</f>
        <v/>
      </c>
      <c r="C53" s="36" t="str">
        <f aca="false">IF($B53="","",INDEX('مواد المخزون'!$B$2:$B$90,MATCH($B53,'مواد المخزون'!$A$2:$A$90,0)))</f>
        <v/>
      </c>
      <c r="D53" s="110" t="str">
        <f aca="false">IF($B53="","",INDEX('جرد - محرم بك'!$U$7:$U$95,MATCH($B53,'جرد - محرم بك'!$A$7:$A$95,0)))</f>
        <v/>
      </c>
      <c r="E53" s="110" t="str">
        <f aca="false">IF($B53="","",INDEX('جرد - محرم بك'!$V$7:$V$95,MATCH($B53,'جرد - محرم بك'!$A$7:$A$95,0)))</f>
        <v/>
      </c>
      <c r="F53" s="110" t="str">
        <f aca="false">IF($B53="","",INDEX('جرد - محرم بك'!$W$7:$W$95,MATCH($B53,'جرد - محرم بك'!$A$7:$A$95,0)))</f>
        <v/>
      </c>
      <c r="G53" s="110" t="str">
        <f aca="false">IF($B53="","",INDEX('جرد - ابراهيمية'!$U$7:$U$95,MATCH($B53,'جرد - ابراهيمية'!$A$7:$A$95,0)))</f>
        <v/>
      </c>
      <c r="H53" s="110" t="str">
        <f aca="false">IF($B53="","",INDEX('جرد - ابراهيمية'!$V$7:$V$95,MATCH($B53,'جرد - ابراهيمية'!$A$7:$A$95,0)))</f>
        <v/>
      </c>
      <c r="I53" s="110" t="str">
        <f aca="false">IF($B53="","",INDEX('جرد - ابراهيمية'!$W$7:$W$95,MATCH($B53,'جرد - ابراهيمية'!$A$7:$A$95,0)))</f>
        <v/>
      </c>
      <c r="J53" s="110" t="str">
        <f aca="false">IF($B53="","",INDEX('جرد - عصافرة'!$U$7:$U$95,MATCH($B53,'جرد - عصافرة'!$A$7:$A$95,0)))</f>
        <v/>
      </c>
      <c r="K53" s="110" t="str">
        <f aca="false">IF($B53="","",INDEX('جرد - عصافرة'!$V$7:$V$95,MATCH($B53,'جرد - عصافرة'!$A$7:$A$95,0)))</f>
        <v/>
      </c>
      <c r="L53" s="110" t="str">
        <f aca="false">IF($B53="","",INDEX('جرد - عصافرة'!$W$7:$W$95,MATCH($B53,'جرد - عصافرة'!$A$7:$A$95,0)))</f>
        <v/>
      </c>
      <c r="M53" s="114" t="str">
        <f aca="false">IF($B53="","",F53+I53+L53)</f>
        <v/>
      </c>
      <c r="N53" s="39" t="str">
        <f aca="false">IF($B53="","",M53*INDEX('مواد المخزون'!$E$2:$E$90,MATCH($B53,'مواد المخزون'!$A$2:$A$90,0)))</f>
        <v/>
      </c>
    </row>
    <row r="54" customFormat="false" ht="15" hidden="false" customHeight="false" outlineLevel="0" collapsed="false">
      <c r="A54" s="36" t="n">
        <v>49</v>
      </c>
      <c r="B54" s="34" t="str">
        <f aca="false">IFERROR(INDEX('مواد المخزون'!$A$2:$A$90,MATCH($A54,'مواد المخزون'!$H$2:$H$90,0)),"")</f>
        <v/>
      </c>
      <c r="C54" s="36" t="str">
        <f aca="false">IF($B54="","",INDEX('مواد المخزون'!$B$2:$B$90,MATCH($B54,'مواد المخزون'!$A$2:$A$90,0)))</f>
        <v/>
      </c>
      <c r="D54" s="110" t="str">
        <f aca="false">IF($B54="","",INDEX('جرد - محرم بك'!$U$7:$U$95,MATCH($B54,'جرد - محرم بك'!$A$7:$A$95,0)))</f>
        <v/>
      </c>
      <c r="E54" s="110" t="str">
        <f aca="false">IF($B54="","",INDEX('جرد - محرم بك'!$V$7:$V$95,MATCH($B54,'جرد - محرم بك'!$A$7:$A$95,0)))</f>
        <v/>
      </c>
      <c r="F54" s="110" t="str">
        <f aca="false">IF($B54="","",INDEX('جرد - محرم بك'!$W$7:$W$95,MATCH($B54,'جرد - محرم بك'!$A$7:$A$95,0)))</f>
        <v/>
      </c>
      <c r="G54" s="110" t="str">
        <f aca="false">IF($B54="","",INDEX('جرد - ابراهيمية'!$U$7:$U$95,MATCH($B54,'جرد - ابراهيمية'!$A$7:$A$95,0)))</f>
        <v/>
      </c>
      <c r="H54" s="110" t="str">
        <f aca="false">IF($B54="","",INDEX('جرد - ابراهيمية'!$V$7:$V$95,MATCH($B54,'جرد - ابراهيمية'!$A$7:$A$95,0)))</f>
        <v/>
      </c>
      <c r="I54" s="110" t="str">
        <f aca="false">IF($B54="","",INDEX('جرد - ابراهيمية'!$W$7:$W$95,MATCH($B54,'جرد - ابراهيمية'!$A$7:$A$95,0)))</f>
        <v/>
      </c>
      <c r="J54" s="110" t="str">
        <f aca="false">IF($B54="","",INDEX('جرد - عصافرة'!$U$7:$U$95,MATCH($B54,'جرد - عصافرة'!$A$7:$A$95,0)))</f>
        <v/>
      </c>
      <c r="K54" s="110" t="str">
        <f aca="false">IF($B54="","",INDEX('جرد - عصافرة'!$V$7:$V$95,MATCH($B54,'جرد - عصافرة'!$A$7:$A$95,0)))</f>
        <v/>
      </c>
      <c r="L54" s="110" t="str">
        <f aca="false">IF($B54="","",INDEX('جرد - عصافرة'!$W$7:$W$95,MATCH($B54,'جرد - عصافرة'!$A$7:$A$95,0)))</f>
        <v/>
      </c>
      <c r="M54" s="114" t="str">
        <f aca="false">IF($B54="","",F54+I54+L54)</f>
        <v/>
      </c>
      <c r="N54" s="39" t="str">
        <f aca="false">IF($B54="","",M54*INDEX('مواد المخزون'!$E$2:$E$90,MATCH($B54,'مواد المخزون'!$A$2:$A$90,0)))</f>
        <v/>
      </c>
    </row>
    <row r="55" customFormat="false" ht="15" hidden="false" customHeight="false" outlineLevel="0" collapsed="false">
      <c r="A55" s="36" t="n">
        <v>50</v>
      </c>
      <c r="B55" s="34" t="str">
        <f aca="false">IFERROR(INDEX('مواد المخزون'!$A$2:$A$90,MATCH($A55,'مواد المخزون'!$H$2:$H$90,0)),"")</f>
        <v/>
      </c>
      <c r="C55" s="36" t="str">
        <f aca="false">IF($B55="","",INDEX('مواد المخزون'!$B$2:$B$90,MATCH($B55,'مواد المخزون'!$A$2:$A$90,0)))</f>
        <v/>
      </c>
      <c r="D55" s="110" t="str">
        <f aca="false">IF($B55="","",INDEX('جرد - محرم بك'!$U$7:$U$95,MATCH($B55,'جرد - محرم بك'!$A$7:$A$95,0)))</f>
        <v/>
      </c>
      <c r="E55" s="110" t="str">
        <f aca="false">IF($B55="","",INDEX('جرد - محرم بك'!$V$7:$V$95,MATCH($B55,'جرد - محرم بك'!$A$7:$A$95,0)))</f>
        <v/>
      </c>
      <c r="F55" s="110" t="str">
        <f aca="false">IF($B55="","",INDEX('جرد - محرم بك'!$W$7:$W$95,MATCH($B55,'جرد - محرم بك'!$A$7:$A$95,0)))</f>
        <v/>
      </c>
      <c r="G55" s="110" t="str">
        <f aca="false">IF($B55="","",INDEX('جرد - ابراهيمية'!$U$7:$U$95,MATCH($B55,'جرد - ابراهيمية'!$A$7:$A$95,0)))</f>
        <v/>
      </c>
      <c r="H55" s="110" t="str">
        <f aca="false">IF($B55="","",INDEX('جرد - ابراهيمية'!$V$7:$V$95,MATCH($B55,'جرد - ابراهيمية'!$A$7:$A$95,0)))</f>
        <v/>
      </c>
      <c r="I55" s="110" t="str">
        <f aca="false">IF($B55="","",INDEX('جرد - ابراهيمية'!$W$7:$W$95,MATCH($B55,'جرد - ابراهيمية'!$A$7:$A$95,0)))</f>
        <v/>
      </c>
      <c r="J55" s="110" t="str">
        <f aca="false">IF($B55="","",INDEX('جرد - عصافرة'!$U$7:$U$95,MATCH($B55,'جرد - عصافرة'!$A$7:$A$95,0)))</f>
        <v/>
      </c>
      <c r="K55" s="110" t="str">
        <f aca="false">IF($B55="","",INDEX('جرد - عصافرة'!$V$7:$V$95,MATCH($B55,'جرد - عصافرة'!$A$7:$A$95,0)))</f>
        <v/>
      </c>
      <c r="L55" s="110" t="str">
        <f aca="false">IF($B55="","",INDEX('جرد - عصافرة'!$W$7:$W$95,MATCH($B55,'جرد - عصافرة'!$A$7:$A$95,0)))</f>
        <v/>
      </c>
      <c r="M55" s="114" t="str">
        <f aca="false">IF($B55="","",F55+I55+L55)</f>
        <v/>
      </c>
      <c r="N55" s="39" t="str">
        <f aca="false">IF($B55="","",M55*INDEX('مواد المخزون'!$E$2:$E$90,MATCH($B55,'مواد المخزون'!$A$2:$A$90,0)))</f>
        <v/>
      </c>
    </row>
    <row r="56" customFormat="false" ht="15" hidden="false" customHeight="false" outlineLevel="0" collapsed="false">
      <c r="A56" s="36" t="n">
        <v>51</v>
      </c>
      <c r="B56" s="34" t="str">
        <f aca="false">IFERROR(INDEX('مواد المخزون'!$A$2:$A$90,MATCH($A56,'مواد المخزون'!$H$2:$H$90,0)),"")</f>
        <v/>
      </c>
      <c r="C56" s="36" t="str">
        <f aca="false">IF($B56="","",INDEX('مواد المخزون'!$B$2:$B$90,MATCH($B56,'مواد المخزون'!$A$2:$A$90,0)))</f>
        <v/>
      </c>
      <c r="D56" s="110" t="str">
        <f aca="false">IF($B56="","",INDEX('جرد - محرم بك'!$U$7:$U$95,MATCH($B56,'جرد - محرم بك'!$A$7:$A$95,0)))</f>
        <v/>
      </c>
      <c r="E56" s="110" t="str">
        <f aca="false">IF($B56="","",INDEX('جرد - محرم بك'!$V$7:$V$95,MATCH($B56,'جرد - محرم بك'!$A$7:$A$95,0)))</f>
        <v/>
      </c>
      <c r="F56" s="110" t="str">
        <f aca="false">IF($B56="","",INDEX('جرد - محرم بك'!$W$7:$W$95,MATCH($B56,'جرد - محرم بك'!$A$7:$A$95,0)))</f>
        <v/>
      </c>
      <c r="G56" s="110" t="str">
        <f aca="false">IF($B56="","",INDEX('جرد - ابراهيمية'!$U$7:$U$95,MATCH($B56,'جرد - ابراهيمية'!$A$7:$A$95,0)))</f>
        <v/>
      </c>
      <c r="H56" s="110" t="str">
        <f aca="false">IF($B56="","",INDEX('جرد - ابراهيمية'!$V$7:$V$95,MATCH($B56,'جرد - ابراهيمية'!$A$7:$A$95,0)))</f>
        <v/>
      </c>
      <c r="I56" s="110" t="str">
        <f aca="false">IF($B56="","",INDEX('جرد - ابراهيمية'!$W$7:$W$95,MATCH($B56,'جرد - ابراهيمية'!$A$7:$A$95,0)))</f>
        <v/>
      </c>
      <c r="J56" s="110" t="str">
        <f aca="false">IF($B56="","",INDEX('جرد - عصافرة'!$U$7:$U$95,MATCH($B56,'جرد - عصافرة'!$A$7:$A$95,0)))</f>
        <v/>
      </c>
      <c r="K56" s="110" t="str">
        <f aca="false">IF($B56="","",INDEX('جرد - عصافرة'!$V$7:$V$95,MATCH($B56,'جرد - عصافرة'!$A$7:$A$95,0)))</f>
        <v/>
      </c>
      <c r="L56" s="110" t="str">
        <f aca="false">IF($B56="","",INDEX('جرد - عصافرة'!$W$7:$W$95,MATCH($B56,'جرد - عصافرة'!$A$7:$A$95,0)))</f>
        <v/>
      </c>
      <c r="M56" s="114" t="str">
        <f aca="false">IF($B56="","",F56+I56+L56)</f>
        <v/>
      </c>
      <c r="N56" s="39" t="str">
        <f aca="false">IF($B56="","",M56*INDEX('مواد المخزون'!$E$2:$E$90,MATCH($B56,'مواد المخزون'!$A$2:$A$90,0)))</f>
        <v/>
      </c>
    </row>
    <row r="57" customFormat="false" ht="15" hidden="false" customHeight="false" outlineLevel="0" collapsed="false">
      <c r="A57" s="36" t="n">
        <v>52</v>
      </c>
      <c r="B57" s="34" t="str">
        <f aca="false">IFERROR(INDEX('مواد المخزون'!$A$2:$A$90,MATCH($A57,'مواد المخزون'!$H$2:$H$90,0)),"")</f>
        <v/>
      </c>
      <c r="C57" s="36" t="str">
        <f aca="false">IF($B57="","",INDEX('مواد المخزون'!$B$2:$B$90,MATCH($B57,'مواد المخزون'!$A$2:$A$90,0)))</f>
        <v/>
      </c>
      <c r="D57" s="110" t="str">
        <f aca="false">IF($B57="","",INDEX('جرد - محرم بك'!$U$7:$U$95,MATCH($B57,'جرد - محرم بك'!$A$7:$A$95,0)))</f>
        <v/>
      </c>
      <c r="E57" s="110" t="str">
        <f aca="false">IF($B57="","",INDEX('جرد - محرم بك'!$V$7:$V$95,MATCH($B57,'جرد - محرم بك'!$A$7:$A$95,0)))</f>
        <v/>
      </c>
      <c r="F57" s="110" t="str">
        <f aca="false">IF($B57="","",INDEX('جرد - محرم بك'!$W$7:$W$95,MATCH($B57,'جرد - محرم بك'!$A$7:$A$95,0)))</f>
        <v/>
      </c>
      <c r="G57" s="110" t="str">
        <f aca="false">IF($B57="","",INDEX('جرد - ابراهيمية'!$U$7:$U$95,MATCH($B57,'جرد - ابراهيمية'!$A$7:$A$95,0)))</f>
        <v/>
      </c>
      <c r="H57" s="110" t="str">
        <f aca="false">IF($B57="","",INDEX('جرد - ابراهيمية'!$V$7:$V$95,MATCH($B57,'جرد - ابراهيمية'!$A$7:$A$95,0)))</f>
        <v/>
      </c>
      <c r="I57" s="110" t="str">
        <f aca="false">IF($B57="","",INDEX('جرد - ابراهيمية'!$W$7:$W$95,MATCH($B57,'جرد - ابراهيمية'!$A$7:$A$95,0)))</f>
        <v/>
      </c>
      <c r="J57" s="110" t="str">
        <f aca="false">IF($B57="","",INDEX('جرد - عصافرة'!$U$7:$U$95,MATCH($B57,'جرد - عصافرة'!$A$7:$A$95,0)))</f>
        <v/>
      </c>
      <c r="K57" s="110" t="str">
        <f aca="false">IF($B57="","",INDEX('جرد - عصافرة'!$V$7:$V$95,MATCH($B57,'جرد - عصافرة'!$A$7:$A$95,0)))</f>
        <v/>
      </c>
      <c r="L57" s="110" t="str">
        <f aca="false">IF($B57="","",INDEX('جرد - عصافرة'!$W$7:$W$95,MATCH($B57,'جرد - عصافرة'!$A$7:$A$95,0)))</f>
        <v/>
      </c>
      <c r="M57" s="114" t="str">
        <f aca="false">IF($B57="","",F57+I57+L57)</f>
        <v/>
      </c>
      <c r="N57" s="39" t="str">
        <f aca="false">IF($B57="","",M57*INDEX('مواد المخزون'!$E$2:$E$90,MATCH($B57,'مواد المخزون'!$A$2:$A$90,0)))</f>
        <v/>
      </c>
    </row>
    <row r="58" customFormat="false" ht="15" hidden="false" customHeight="false" outlineLevel="0" collapsed="false">
      <c r="A58" s="36" t="n">
        <v>53</v>
      </c>
      <c r="B58" s="34" t="str">
        <f aca="false">IFERROR(INDEX('مواد المخزون'!$A$2:$A$90,MATCH($A58,'مواد المخزون'!$H$2:$H$90,0)),"")</f>
        <v/>
      </c>
      <c r="C58" s="36" t="str">
        <f aca="false">IF($B58="","",INDEX('مواد المخزون'!$B$2:$B$90,MATCH($B58,'مواد المخزون'!$A$2:$A$90,0)))</f>
        <v/>
      </c>
      <c r="D58" s="110" t="str">
        <f aca="false">IF($B58="","",INDEX('جرد - محرم بك'!$U$7:$U$95,MATCH($B58,'جرد - محرم بك'!$A$7:$A$95,0)))</f>
        <v/>
      </c>
      <c r="E58" s="110" t="str">
        <f aca="false">IF($B58="","",INDEX('جرد - محرم بك'!$V$7:$V$95,MATCH($B58,'جرد - محرم بك'!$A$7:$A$95,0)))</f>
        <v/>
      </c>
      <c r="F58" s="110" t="str">
        <f aca="false">IF($B58="","",INDEX('جرد - محرم بك'!$W$7:$W$95,MATCH($B58,'جرد - محرم بك'!$A$7:$A$95,0)))</f>
        <v/>
      </c>
      <c r="G58" s="110" t="str">
        <f aca="false">IF($B58="","",INDEX('جرد - ابراهيمية'!$U$7:$U$95,MATCH($B58,'جرد - ابراهيمية'!$A$7:$A$95,0)))</f>
        <v/>
      </c>
      <c r="H58" s="110" t="str">
        <f aca="false">IF($B58="","",INDEX('جرد - ابراهيمية'!$V$7:$V$95,MATCH($B58,'جرد - ابراهيمية'!$A$7:$A$95,0)))</f>
        <v/>
      </c>
      <c r="I58" s="110" t="str">
        <f aca="false">IF($B58="","",INDEX('جرد - ابراهيمية'!$W$7:$W$95,MATCH($B58,'جرد - ابراهيمية'!$A$7:$A$95,0)))</f>
        <v/>
      </c>
      <c r="J58" s="110" t="str">
        <f aca="false">IF($B58="","",INDEX('جرد - عصافرة'!$U$7:$U$95,MATCH($B58,'جرد - عصافرة'!$A$7:$A$95,0)))</f>
        <v/>
      </c>
      <c r="K58" s="110" t="str">
        <f aca="false">IF($B58="","",INDEX('جرد - عصافرة'!$V$7:$V$95,MATCH($B58,'جرد - عصافرة'!$A$7:$A$95,0)))</f>
        <v/>
      </c>
      <c r="L58" s="110" t="str">
        <f aca="false">IF($B58="","",INDEX('جرد - عصافرة'!$W$7:$W$95,MATCH($B58,'جرد - عصافرة'!$A$7:$A$95,0)))</f>
        <v/>
      </c>
      <c r="M58" s="114" t="str">
        <f aca="false">IF($B58="","",F58+I58+L58)</f>
        <v/>
      </c>
      <c r="N58" s="39" t="str">
        <f aca="false">IF($B58="","",M58*INDEX('مواد المخزون'!$E$2:$E$90,MATCH($B58,'مواد المخزون'!$A$2:$A$90,0)))</f>
        <v/>
      </c>
    </row>
    <row r="59" customFormat="false" ht="15" hidden="false" customHeight="false" outlineLevel="0" collapsed="false">
      <c r="A59" s="36" t="n">
        <v>54</v>
      </c>
      <c r="B59" s="34" t="str">
        <f aca="false">IFERROR(INDEX('مواد المخزون'!$A$2:$A$90,MATCH($A59,'مواد المخزون'!$H$2:$H$90,0)),"")</f>
        <v/>
      </c>
      <c r="C59" s="36" t="str">
        <f aca="false">IF($B59="","",INDEX('مواد المخزون'!$B$2:$B$90,MATCH($B59,'مواد المخزون'!$A$2:$A$90,0)))</f>
        <v/>
      </c>
      <c r="D59" s="110" t="str">
        <f aca="false">IF($B59="","",INDEX('جرد - محرم بك'!$U$7:$U$95,MATCH($B59,'جرد - محرم بك'!$A$7:$A$95,0)))</f>
        <v/>
      </c>
      <c r="E59" s="110" t="str">
        <f aca="false">IF($B59="","",INDEX('جرد - محرم بك'!$V$7:$V$95,MATCH($B59,'جرد - محرم بك'!$A$7:$A$95,0)))</f>
        <v/>
      </c>
      <c r="F59" s="110" t="str">
        <f aca="false">IF($B59="","",INDEX('جرد - محرم بك'!$W$7:$W$95,MATCH($B59,'جرد - محرم بك'!$A$7:$A$95,0)))</f>
        <v/>
      </c>
      <c r="G59" s="110" t="str">
        <f aca="false">IF($B59="","",INDEX('جرد - ابراهيمية'!$U$7:$U$95,MATCH($B59,'جرد - ابراهيمية'!$A$7:$A$95,0)))</f>
        <v/>
      </c>
      <c r="H59" s="110" t="str">
        <f aca="false">IF($B59="","",INDEX('جرد - ابراهيمية'!$V$7:$V$95,MATCH($B59,'جرد - ابراهيمية'!$A$7:$A$95,0)))</f>
        <v/>
      </c>
      <c r="I59" s="110" t="str">
        <f aca="false">IF($B59="","",INDEX('جرد - ابراهيمية'!$W$7:$W$95,MATCH($B59,'جرد - ابراهيمية'!$A$7:$A$95,0)))</f>
        <v/>
      </c>
      <c r="J59" s="110" t="str">
        <f aca="false">IF($B59="","",INDEX('جرد - عصافرة'!$U$7:$U$95,MATCH($B59,'جرد - عصافرة'!$A$7:$A$95,0)))</f>
        <v/>
      </c>
      <c r="K59" s="110" t="str">
        <f aca="false">IF($B59="","",INDEX('جرد - عصافرة'!$V$7:$V$95,MATCH($B59,'جرد - عصافرة'!$A$7:$A$95,0)))</f>
        <v/>
      </c>
      <c r="L59" s="110" t="str">
        <f aca="false">IF($B59="","",INDEX('جرد - عصافرة'!$W$7:$W$95,MATCH($B59,'جرد - عصافرة'!$A$7:$A$95,0)))</f>
        <v/>
      </c>
      <c r="M59" s="114" t="str">
        <f aca="false">IF($B59="","",F59+I59+L59)</f>
        <v/>
      </c>
      <c r="N59" s="39" t="str">
        <f aca="false">IF($B59="","",M59*INDEX('مواد المخزون'!$E$2:$E$90,MATCH($B59,'مواد المخزون'!$A$2:$A$90,0)))</f>
        <v/>
      </c>
    </row>
    <row r="60" customFormat="false" ht="15" hidden="false" customHeight="false" outlineLevel="0" collapsed="false">
      <c r="A60" s="36" t="n">
        <v>55</v>
      </c>
      <c r="B60" s="34" t="str">
        <f aca="false">IFERROR(INDEX('مواد المخزون'!$A$2:$A$90,MATCH($A60,'مواد المخزون'!$H$2:$H$90,0)),"")</f>
        <v/>
      </c>
      <c r="C60" s="36" t="str">
        <f aca="false">IF($B60="","",INDEX('مواد المخزون'!$B$2:$B$90,MATCH($B60,'مواد المخزون'!$A$2:$A$90,0)))</f>
        <v/>
      </c>
      <c r="D60" s="110" t="str">
        <f aca="false">IF($B60="","",INDEX('جرد - محرم بك'!$U$7:$U$95,MATCH($B60,'جرد - محرم بك'!$A$7:$A$95,0)))</f>
        <v/>
      </c>
      <c r="E60" s="110" t="str">
        <f aca="false">IF($B60="","",INDEX('جرد - محرم بك'!$V$7:$V$95,MATCH($B60,'جرد - محرم بك'!$A$7:$A$95,0)))</f>
        <v/>
      </c>
      <c r="F60" s="110" t="str">
        <f aca="false">IF($B60="","",INDEX('جرد - محرم بك'!$W$7:$W$95,MATCH($B60,'جرد - محرم بك'!$A$7:$A$95,0)))</f>
        <v/>
      </c>
      <c r="G60" s="110" t="str">
        <f aca="false">IF($B60="","",INDEX('جرد - ابراهيمية'!$U$7:$U$95,MATCH($B60,'جرد - ابراهيمية'!$A$7:$A$95,0)))</f>
        <v/>
      </c>
      <c r="H60" s="110" t="str">
        <f aca="false">IF($B60="","",INDEX('جرد - ابراهيمية'!$V$7:$V$95,MATCH($B60,'جرد - ابراهيمية'!$A$7:$A$95,0)))</f>
        <v/>
      </c>
      <c r="I60" s="110" t="str">
        <f aca="false">IF($B60="","",INDEX('جرد - ابراهيمية'!$W$7:$W$95,MATCH($B60,'جرد - ابراهيمية'!$A$7:$A$95,0)))</f>
        <v/>
      </c>
      <c r="J60" s="110" t="str">
        <f aca="false">IF($B60="","",INDEX('جرد - عصافرة'!$U$7:$U$95,MATCH($B60,'جرد - عصافرة'!$A$7:$A$95,0)))</f>
        <v/>
      </c>
      <c r="K60" s="110" t="str">
        <f aca="false">IF($B60="","",INDEX('جرد - عصافرة'!$V$7:$V$95,MATCH($B60,'جرد - عصافرة'!$A$7:$A$95,0)))</f>
        <v/>
      </c>
      <c r="L60" s="110" t="str">
        <f aca="false">IF($B60="","",INDEX('جرد - عصافرة'!$W$7:$W$95,MATCH($B60,'جرد - عصافرة'!$A$7:$A$95,0)))</f>
        <v/>
      </c>
      <c r="M60" s="114" t="str">
        <f aca="false">IF($B60="","",F60+I60+L60)</f>
        <v/>
      </c>
      <c r="N60" s="39" t="str">
        <f aca="false">IF($B60="","",M60*INDEX('مواد المخزون'!$E$2:$E$90,MATCH($B60,'مواد المخزون'!$A$2:$A$90,0)))</f>
        <v/>
      </c>
    </row>
    <row r="61" customFormat="false" ht="15" hidden="false" customHeight="false" outlineLevel="0" collapsed="false">
      <c r="A61" s="36" t="n">
        <v>56</v>
      </c>
      <c r="B61" s="34" t="str">
        <f aca="false">IFERROR(INDEX('مواد المخزون'!$A$2:$A$90,MATCH($A61,'مواد المخزون'!$H$2:$H$90,0)),"")</f>
        <v/>
      </c>
      <c r="C61" s="36" t="str">
        <f aca="false">IF($B61="","",INDEX('مواد المخزون'!$B$2:$B$90,MATCH($B61,'مواد المخزون'!$A$2:$A$90,0)))</f>
        <v/>
      </c>
      <c r="D61" s="110" t="str">
        <f aca="false">IF($B61="","",INDEX('جرد - محرم بك'!$U$7:$U$95,MATCH($B61,'جرد - محرم بك'!$A$7:$A$95,0)))</f>
        <v/>
      </c>
      <c r="E61" s="110" t="str">
        <f aca="false">IF($B61="","",INDEX('جرد - محرم بك'!$V$7:$V$95,MATCH($B61,'جرد - محرم بك'!$A$7:$A$95,0)))</f>
        <v/>
      </c>
      <c r="F61" s="110" t="str">
        <f aca="false">IF($B61="","",INDEX('جرد - محرم بك'!$W$7:$W$95,MATCH($B61,'جرد - محرم بك'!$A$7:$A$95,0)))</f>
        <v/>
      </c>
      <c r="G61" s="110" t="str">
        <f aca="false">IF($B61="","",INDEX('جرد - ابراهيمية'!$U$7:$U$95,MATCH($B61,'جرد - ابراهيمية'!$A$7:$A$95,0)))</f>
        <v/>
      </c>
      <c r="H61" s="110" t="str">
        <f aca="false">IF($B61="","",INDEX('جرد - ابراهيمية'!$V$7:$V$95,MATCH($B61,'جرد - ابراهيمية'!$A$7:$A$95,0)))</f>
        <v/>
      </c>
      <c r="I61" s="110" t="str">
        <f aca="false">IF($B61="","",INDEX('جرد - ابراهيمية'!$W$7:$W$95,MATCH($B61,'جرد - ابراهيمية'!$A$7:$A$95,0)))</f>
        <v/>
      </c>
      <c r="J61" s="110" t="str">
        <f aca="false">IF($B61="","",INDEX('جرد - عصافرة'!$U$7:$U$95,MATCH($B61,'جرد - عصافرة'!$A$7:$A$95,0)))</f>
        <v/>
      </c>
      <c r="K61" s="110" t="str">
        <f aca="false">IF($B61="","",INDEX('جرد - عصافرة'!$V$7:$V$95,MATCH($B61,'جرد - عصافرة'!$A$7:$A$95,0)))</f>
        <v/>
      </c>
      <c r="L61" s="110" t="str">
        <f aca="false">IF($B61="","",INDEX('جرد - عصافرة'!$W$7:$W$95,MATCH($B61,'جرد - عصافرة'!$A$7:$A$95,0)))</f>
        <v/>
      </c>
      <c r="M61" s="114" t="str">
        <f aca="false">IF($B61="","",F61+I61+L61)</f>
        <v/>
      </c>
      <c r="N61" s="39" t="str">
        <f aca="false">IF($B61="","",M61*INDEX('مواد المخزون'!$E$2:$E$90,MATCH($B61,'مواد المخزون'!$A$2:$A$90,0)))</f>
        <v/>
      </c>
    </row>
    <row r="62" customFormat="false" ht="15" hidden="false" customHeight="false" outlineLevel="0" collapsed="false">
      <c r="A62" s="36" t="n">
        <v>57</v>
      </c>
      <c r="B62" s="34" t="str">
        <f aca="false">IFERROR(INDEX('مواد المخزون'!$A$2:$A$90,MATCH($A62,'مواد المخزون'!$H$2:$H$90,0)),"")</f>
        <v/>
      </c>
      <c r="C62" s="36" t="str">
        <f aca="false">IF($B62="","",INDEX('مواد المخزون'!$B$2:$B$90,MATCH($B62,'مواد المخزون'!$A$2:$A$90,0)))</f>
        <v/>
      </c>
      <c r="D62" s="110" t="str">
        <f aca="false">IF($B62="","",INDEX('جرد - محرم بك'!$U$7:$U$95,MATCH($B62,'جرد - محرم بك'!$A$7:$A$95,0)))</f>
        <v/>
      </c>
      <c r="E62" s="110" t="str">
        <f aca="false">IF($B62="","",INDEX('جرد - محرم بك'!$V$7:$V$95,MATCH($B62,'جرد - محرم بك'!$A$7:$A$95,0)))</f>
        <v/>
      </c>
      <c r="F62" s="110" t="str">
        <f aca="false">IF($B62="","",INDEX('جرد - محرم بك'!$W$7:$W$95,MATCH($B62,'جرد - محرم بك'!$A$7:$A$95,0)))</f>
        <v/>
      </c>
      <c r="G62" s="110" t="str">
        <f aca="false">IF($B62="","",INDEX('جرد - ابراهيمية'!$U$7:$U$95,MATCH($B62,'جرد - ابراهيمية'!$A$7:$A$95,0)))</f>
        <v/>
      </c>
      <c r="H62" s="110" t="str">
        <f aca="false">IF($B62="","",INDEX('جرد - ابراهيمية'!$V$7:$V$95,MATCH($B62,'جرد - ابراهيمية'!$A$7:$A$95,0)))</f>
        <v/>
      </c>
      <c r="I62" s="110" t="str">
        <f aca="false">IF($B62="","",INDEX('جرد - ابراهيمية'!$W$7:$W$95,MATCH($B62,'جرد - ابراهيمية'!$A$7:$A$95,0)))</f>
        <v/>
      </c>
      <c r="J62" s="110" t="str">
        <f aca="false">IF($B62="","",INDEX('جرد - عصافرة'!$U$7:$U$95,MATCH($B62,'جرد - عصافرة'!$A$7:$A$95,0)))</f>
        <v/>
      </c>
      <c r="K62" s="110" t="str">
        <f aca="false">IF($B62="","",INDEX('جرد - عصافرة'!$V$7:$V$95,MATCH($B62,'جرد - عصافرة'!$A$7:$A$95,0)))</f>
        <v/>
      </c>
      <c r="L62" s="110" t="str">
        <f aca="false">IF($B62="","",INDEX('جرد - عصافرة'!$W$7:$W$95,MATCH($B62,'جرد - عصافرة'!$A$7:$A$95,0)))</f>
        <v/>
      </c>
      <c r="M62" s="114" t="str">
        <f aca="false">IF($B62="","",F62+I62+L62)</f>
        <v/>
      </c>
      <c r="N62" s="39" t="str">
        <f aca="false">IF($B62="","",M62*INDEX('مواد المخزون'!$E$2:$E$90,MATCH($B62,'مواد المخزون'!$A$2:$A$90,0)))</f>
        <v/>
      </c>
    </row>
    <row r="63" customFormat="false" ht="15" hidden="false" customHeight="false" outlineLevel="0" collapsed="false">
      <c r="A63" s="36" t="n">
        <v>58</v>
      </c>
      <c r="B63" s="34" t="str">
        <f aca="false">IFERROR(INDEX('مواد المخزون'!$A$2:$A$90,MATCH($A63,'مواد المخزون'!$H$2:$H$90,0)),"")</f>
        <v/>
      </c>
      <c r="C63" s="36" t="str">
        <f aca="false">IF($B63="","",INDEX('مواد المخزون'!$B$2:$B$90,MATCH($B63,'مواد المخزون'!$A$2:$A$90,0)))</f>
        <v/>
      </c>
      <c r="D63" s="110" t="str">
        <f aca="false">IF($B63="","",INDEX('جرد - محرم بك'!$U$7:$U$95,MATCH($B63,'جرد - محرم بك'!$A$7:$A$95,0)))</f>
        <v/>
      </c>
      <c r="E63" s="110" t="str">
        <f aca="false">IF($B63="","",INDEX('جرد - محرم بك'!$V$7:$V$95,MATCH($B63,'جرد - محرم بك'!$A$7:$A$95,0)))</f>
        <v/>
      </c>
      <c r="F63" s="110" t="str">
        <f aca="false">IF($B63="","",INDEX('جرد - محرم بك'!$W$7:$W$95,MATCH($B63,'جرد - محرم بك'!$A$7:$A$95,0)))</f>
        <v/>
      </c>
      <c r="G63" s="110" t="str">
        <f aca="false">IF($B63="","",INDEX('جرد - ابراهيمية'!$U$7:$U$95,MATCH($B63,'جرد - ابراهيمية'!$A$7:$A$95,0)))</f>
        <v/>
      </c>
      <c r="H63" s="110" t="str">
        <f aca="false">IF($B63="","",INDEX('جرد - ابراهيمية'!$V$7:$V$95,MATCH($B63,'جرد - ابراهيمية'!$A$7:$A$95,0)))</f>
        <v/>
      </c>
      <c r="I63" s="110" t="str">
        <f aca="false">IF($B63="","",INDEX('جرد - ابراهيمية'!$W$7:$W$95,MATCH($B63,'جرد - ابراهيمية'!$A$7:$A$95,0)))</f>
        <v/>
      </c>
      <c r="J63" s="110" t="str">
        <f aca="false">IF($B63="","",INDEX('جرد - عصافرة'!$U$7:$U$95,MATCH($B63,'جرد - عصافرة'!$A$7:$A$95,0)))</f>
        <v/>
      </c>
      <c r="K63" s="110" t="str">
        <f aca="false">IF($B63="","",INDEX('جرد - عصافرة'!$V$7:$V$95,MATCH($B63,'جرد - عصافرة'!$A$7:$A$95,0)))</f>
        <v/>
      </c>
      <c r="L63" s="110" t="str">
        <f aca="false">IF($B63="","",INDEX('جرد - عصافرة'!$W$7:$W$95,MATCH($B63,'جرد - عصافرة'!$A$7:$A$95,0)))</f>
        <v/>
      </c>
      <c r="M63" s="114" t="str">
        <f aca="false">IF($B63="","",F63+I63+L63)</f>
        <v/>
      </c>
      <c r="N63" s="39" t="str">
        <f aca="false">IF($B63="","",M63*INDEX('مواد المخزون'!$E$2:$E$90,MATCH($B63,'مواد المخزون'!$A$2:$A$90,0)))</f>
        <v/>
      </c>
    </row>
    <row r="64" customFormat="false" ht="15" hidden="false" customHeight="false" outlineLevel="0" collapsed="false">
      <c r="A64" s="36" t="n">
        <v>59</v>
      </c>
      <c r="B64" s="34" t="str">
        <f aca="false">IFERROR(INDEX('مواد المخزون'!$A$2:$A$90,MATCH($A64,'مواد المخزون'!$H$2:$H$90,0)),"")</f>
        <v/>
      </c>
      <c r="C64" s="36" t="str">
        <f aca="false">IF($B64="","",INDEX('مواد المخزون'!$B$2:$B$90,MATCH($B64,'مواد المخزون'!$A$2:$A$90,0)))</f>
        <v/>
      </c>
      <c r="D64" s="110" t="str">
        <f aca="false">IF($B64="","",INDEX('جرد - محرم بك'!$U$7:$U$95,MATCH($B64,'جرد - محرم بك'!$A$7:$A$95,0)))</f>
        <v/>
      </c>
      <c r="E64" s="110" t="str">
        <f aca="false">IF($B64="","",INDEX('جرد - محرم بك'!$V$7:$V$95,MATCH($B64,'جرد - محرم بك'!$A$7:$A$95,0)))</f>
        <v/>
      </c>
      <c r="F64" s="110" t="str">
        <f aca="false">IF($B64="","",INDEX('جرد - محرم بك'!$W$7:$W$95,MATCH($B64,'جرد - محرم بك'!$A$7:$A$95,0)))</f>
        <v/>
      </c>
      <c r="G64" s="110" t="str">
        <f aca="false">IF($B64="","",INDEX('جرد - ابراهيمية'!$U$7:$U$95,MATCH($B64,'جرد - ابراهيمية'!$A$7:$A$95,0)))</f>
        <v/>
      </c>
      <c r="H64" s="110" t="str">
        <f aca="false">IF($B64="","",INDEX('جرد - ابراهيمية'!$V$7:$V$95,MATCH($B64,'جرد - ابراهيمية'!$A$7:$A$95,0)))</f>
        <v/>
      </c>
      <c r="I64" s="110" t="str">
        <f aca="false">IF($B64="","",INDEX('جرد - ابراهيمية'!$W$7:$W$95,MATCH($B64,'جرد - ابراهيمية'!$A$7:$A$95,0)))</f>
        <v/>
      </c>
      <c r="J64" s="110" t="str">
        <f aca="false">IF($B64="","",INDEX('جرد - عصافرة'!$U$7:$U$95,MATCH($B64,'جرد - عصافرة'!$A$7:$A$95,0)))</f>
        <v/>
      </c>
      <c r="K64" s="110" t="str">
        <f aca="false">IF($B64="","",INDEX('جرد - عصافرة'!$V$7:$V$95,MATCH($B64,'جرد - عصافرة'!$A$7:$A$95,0)))</f>
        <v/>
      </c>
      <c r="L64" s="110" t="str">
        <f aca="false">IF($B64="","",INDEX('جرد - عصافرة'!$W$7:$W$95,MATCH($B64,'جرد - عصافرة'!$A$7:$A$95,0)))</f>
        <v/>
      </c>
      <c r="M64" s="114" t="str">
        <f aca="false">IF($B64="","",F64+I64+L64)</f>
        <v/>
      </c>
      <c r="N64" s="39" t="str">
        <f aca="false">IF($B64="","",M64*INDEX('مواد المخزون'!$E$2:$E$90,MATCH($B64,'مواد المخزون'!$A$2:$A$90,0)))</f>
        <v/>
      </c>
    </row>
    <row r="65" customFormat="false" ht="15" hidden="false" customHeight="false" outlineLevel="0" collapsed="false">
      <c r="A65" s="36" t="n">
        <v>60</v>
      </c>
      <c r="B65" s="34" t="str">
        <f aca="false">IFERROR(INDEX('مواد المخزون'!$A$2:$A$90,MATCH($A65,'مواد المخزون'!$H$2:$H$90,0)),"")</f>
        <v/>
      </c>
      <c r="C65" s="36" t="str">
        <f aca="false">IF($B65="","",INDEX('مواد المخزون'!$B$2:$B$90,MATCH($B65,'مواد المخزون'!$A$2:$A$90,0)))</f>
        <v/>
      </c>
      <c r="D65" s="110" t="str">
        <f aca="false">IF($B65="","",INDEX('جرد - محرم بك'!$U$7:$U$95,MATCH($B65,'جرد - محرم بك'!$A$7:$A$95,0)))</f>
        <v/>
      </c>
      <c r="E65" s="110" t="str">
        <f aca="false">IF($B65="","",INDEX('جرد - محرم بك'!$V$7:$V$95,MATCH($B65,'جرد - محرم بك'!$A$7:$A$95,0)))</f>
        <v/>
      </c>
      <c r="F65" s="110" t="str">
        <f aca="false">IF($B65="","",INDEX('جرد - محرم بك'!$W$7:$W$95,MATCH($B65,'جرد - محرم بك'!$A$7:$A$95,0)))</f>
        <v/>
      </c>
      <c r="G65" s="110" t="str">
        <f aca="false">IF($B65="","",INDEX('جرد - ابراهيمية'!$U$7:$U$95,MATCH($B65,'جرد - ابراهيمية'!$A$7:$A$95,0)))</f>
        <v/>
      </c>
      <c r="H65" s="110" t="str">
        <f aca="false">IF($B65="","",INDEX('جرد - ابراهيمية'!$V$7:$V$95,MATCH($B65,'جرد - ابراهيمية'!$A$7:$A$95,0)))</f>
        <v/>
      </c>
      <c r="I65" s="110" t="str">
        <f aca="false">IF($B65="","",INDEX('جرد - ابراهيمية'!$W$7:$W$95,MATCH($B65,'جرد - ابراهيمية'!$A$7:$A$95,0)))</f>
        <v/>
      </c>
      <c r="J65" s="110" t="str">
        <f aca="false">IF($B65="","",INDEX('جرد - عصافرة'!$U$7:$U$95,MATCH($B65,'جرد - عصافرة'!$A$7:$A$95,0)))</f>
        <v/>
      </c>
      <c r="K65" s="110" t="str">
        <f aca="false">IF($B65="","",INDEX('جرد - عصافرة'!$V$7:$V$95,MATCH($B65,'جرد - عصافرة'!$A$7:$A$95,0)))</f>
        <v/>
      </c>
      <c r="L65" s="110" t="str">
        <f aca="false">IF($B65="","",INDEX('جرد - عصافرة'!$W$7:$W$95,MATCH($B65,'جرد - عصافرة'!$A$7:$A$95,0)))</f>
        <v/>
      </c>
      <c r="M65" s="114" t="str">
        <f aca="false">IF($B65="","",F65+I65+L65)</f>
        <v/>
      </c>
      <c r="N65" s="39" t="str">
        <f aca="false">IF($B65="","",M65*INDEX('مواد المخزون'!$E$2:$E$90,MATCH($B65,'مواد المخزون'!$A$2:$A$90,0)))</f>
        <v/>
      </c>
    </row>
    <row r="66" customFormat="false" ht="15" hidden="false" customHeight="false" outlineLevel="0" collapsed="false">
      <c r="B66" s="33" t="s">
        <v>846</v>
      </c>
      <c r="N66" s="102" t="n">
        <f aca="false">SUM(N6:N65)</f>
        <v>6951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L19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s>
  <sheetData>
    <row r="1" customFormat="false" ht="60" hidden="false" customHeight="true" outlineLevel="0" collapsed="false">
      <c r="A1" s="33" t="s">
        <v>847</v>
      </c>
      <c r="B1" s="115" t="s">
        <v>122</v>
      </c>
      <c r="C1" s="115" t="s">
        <v>125</v>
      </c>
      <c r="D1" s="115" t="s">
        <v>133</v>
      </c>
      <c r="E1" s="115" t="s">
        <v>136</v>
      </c>
      <c r="F1" s="115" t="s">
        <v>140</v>
      </c>
      <c r="G1" s="115" t="s">
        <v>142</v>
      </c>
      <c r="H1" s="115" t="s">
        <v>144</v>
      </c>
      <c r="I1" s="115" t="s">
        <v>146</v>
      </c>
      <c r="J1" s="115" t="s">
        <v>148</v>
      </c>
      <c r="K1" s="115" t="s">
        <v>150</v>
      </c>
      <c r="L1" s="115" t="s">
        <v>152</v>
      </c>
      <c r="M1" s="115" t="s">
        <v>154</v>
      </c>
      <c r="N1" s="115" t="s">
        <v>156</v>
      </c>
      <c r="O1" s="115" t="s">
        <v>158</v>
      </c>
      <c r="P1" s="115" t="s">
        <v>160</v>
      </c>
      <c r="Q1" s="115" t="s">
        <v>162</v>
      </c>
      <c r="R1" s="115" t="s">
        <v>164</v>
      </c>
      <c r="S1" s="115" t="s">
        <v>166</v>
      </c>
      <c r="T1" s="115" t="s">
        <v>168</v>
      </c>
      <c r="U1" s="115" t="s">
        <v>170</v>
      </c>
      <c r="V1" s="115" t="s">
        <v>172</v>
      </c>
      <c r="W1" s="115" t="s">
        <v>174</v>
      </c>
      <c r="X1" s="115" t="s">
        <v>176</v>
      </c>
      <c r="Y1" s="115" t="s">
        <v>178</v>
      </c>
      <c r="Z1" s="115" t="s">
        <v>180</v>
      </c>
      <c r="AA1" s="115" t="s">
        <v>183</v>
      </c>
      <c r="AB1" s="115" t="s">
        <v>185</v>
      </c>
      <c r="AC1" s="115" t="s">
        <v>186</v>
      </c>
      <c r="AD1" s="115" t="s">
        <v>188</v>
      </c>
      <c r="AE1" s="115" t="s">
        <v>190</v>
      </c>
      <c r="AF1" s="115" t="s">
        <v>192</v>
      </c>
      <c r="AG1" s="115" t="s">
        <v>202</v>
      </c>
      <c r="AH1" s="115" t="s">
        <v>204</v>
      </c>
      <c r="AI1" s="115" t="s">
        <v>207</v>
      </c>
      <c r="AJ1" s="115" t="s">
        <v>211</v>
      </c>
      <c r="AK1" s="115" t="s">
        <v>214</v>
      </c>
      <c r="AL1" s="115" t="s">
        <v>217</v>
      </c>
      <c r="AM1" s="115" t="s">
        <v>218</v>
      </c>
      <c r="AN1" s="115" t="s">
        <v>220</v>
      </c>
      <c r="AO1" s="115" t="s">
        <v>221</v>
      </c>
      <c r="AP1" s="115" t="s">
        <v>227</v>
      </c>
      <c r="AQ1" s="115" t="s">
        <v>229</v>
      </c>
      <c r="AR1" s="115" t="s">
        <v>232</v>
      </c>
      <c r="AS1" s="115" t="s">
        <v>234</v>
      </c>
      <c r="AT1" s="115" t="s">
        <v>239</v>
      </c>
      <c r="AU1" s="115" t="s">
        <v>243</v>
      </c>
      <c r="AV1" s="115" t="s">
        <v>245</v>
      </c>
      <c r="AW1" s="115" t="s">
        <v>247</v>
      </c>
      <c r="AX1" s="115" t="s">
        <v>250</v>
      </c>
      <c r="AY1" s="115" t="s">
        <v>252</v>
      </c>
      <c r="AZ1" s="115" t="s">
        <v>254</v>
      </c>
      <c r="BA1" s="115" t="s">
        <v>256</v>
      </c>
      <c r="BB1" s="115" t="s">
        <v>258</v>
      </c>
      <c r="BC1" s="115" t="s">
        <v>260</v>
      </c>
      <c r="BD1" s="115" t="s">
        <v>262</v>
      </c>
      <c r="BE1" s="115" t="s">
        <v>264</v>
      </c>
      <c r="BF1" s="115" t="s">
        <v>266</v>
      </c>
      <c r="BG1" s="115" t="s">
        <v>268</v>
      </c>
      <c r="BH1" s="115" t="s">
        <v>270</v>
      </c>
      <c r="BI1" s="115" t="s">
        <v>274</v>
      </c>
      <c r="BJ1" s="115" t="s">
        <v>276</v>
      </c>
      <c r="BK1" s="115" t="s">
        <v>278</v>
      </c>
      <c r="BL1" s="115" t="s">
        <v>280</v>
      </c>
      <c r="BM1" s="115" t="s">
        <v>282</v>
      </c>
      <c r="BN1" s="115" t="s">
        <v>284</v>
      </c>
      <c r="BO1" s="115" t="s">
        <v>288</v>
      </c>
      <c r="BP1" s="115" t="s">
        <v>290</v>
      </c>
      <c r="BQ1" s="115" t="s">
        <v>291</v>
      </c>
      <c r="BR1" s="115" t="s">
        <v>293</v>
      </c>
      <c r="BS1" s="115" t="s">
        <v>295</v>
      </c>
      <c r="BT1" s="115" t="s">
        <v>297</v>
      </c>
      <c r="BU1" s="115" t="s">
        <v>298</v>
      </c>
      <c r="BV1" s="115" t="s">
        <v>300</v>
      </c>
      <c r="BW1" s="115" t="s">
        <v>302</v>
      </c>
      <c r="BX1" s="115" t="s">
        <v>307</v>
      </c>
      <c r="BY1" s="115" t="s">
        <v>309</v>
      </c>
      <c r="BZ1" s="115" t="s">
        <v>317</v>
      </c>
      <c r="CA1" s="115" t="s">
        <v>319</v>
      </c>
      <c r="CB1" s="115" t="s">
        <v>322</v>
      </c>
      <c r="CC1" s="115" t="s">
        <v>328</v>
      </c>
      <c r="CD1" s="115" t="s">
        <v>336</v>
      </c>
      <c r="CE1" s="115" t="s">
        <v>338</v>
      </c>
      <c r="CF1" s="115" t="s">
        <v>340</v>
      </c>
      <c r="CG1" s="115" t="s">
        <v>342</v>
      </c>
      <c r="CH1" s="115" t="s">
        <v>344</v>
      </c>
      <c r="CI1" s="115" t="s">
        <v>346</v>
      </c>
      <c r="CJ1" s="115" t="s">
        <v>350</v>
      </c>
      <c r="CK1" s="115" t="s">
        <v>352</v>
      </c>
      <c r="CL1" s="115" t="s">
        <v>354</v>
      </c>
    </row>
    <row r="2" customFormat="false" ht="15" hidden="false" customHeight="false" outlineLevel="0" collapsed="false">
      <c r="A2" s="116" t="str">
        <f aca="false">المنيو!B2</f>
        <v>بيتزا مارجريتا وسط</v>
      </c>
      <c r="B2" s="117" t="n">
        <f aca="false">SUMIFS(الريسبي!$C$2:$C$1800,الريسبي!$A$2:$A$1800,$A2,الريسبي!$B$2:$B$1800,B$1)</f>
        <v>0</v>
      </c>
      <c r="C2" s="117" t="n">
        <f aca="false">SUMIFS(الريسبي!$C$2:$C$1800,الريسبي!$A$2:$A$1800,$A2,الريسبي!$B$2:$B$1800,C$1)</f>
        <v>0</v>
      </c>
      <c r="D2" s="117" t="n">
        <f aca="false">SUMIFS(الريسبي!$C$2:$C$1800,الريسبي!$A$2:$A$1800,$A2,الريسبي!$B$2:$B$1800,D$1)</f>
        <v>1</v>
      </c>
      <c r="E2" s="117" t="n">
        <f aca="false">SUMIFS(الريسبي!$C$2:$C$1800,الريسبي!$A$2:$A$1800,$A2,الريسبي!$B$2:$B$1800,E$1)</f>
        <v>0</v>
      </c>
      <c r="F2" s="117" t="n">
        <f aca="false">SUMIFS(الريسبي!$C$2:$C$1800,الريسبي!$A$2:$A$1800,$A2,الريسبي!$B$2:$B$1800,F$1)</f>
        <v>0</v>
      </c>
      <c r="G2" s="117" t="n">
        <f aca="false">SUMIFS(الريسبي!$C$2:$C$1800,الريسبي!$A$2:$A$1800,$A2,الريسبي!$B$2:$B$1800,G$1)</f>
        <v>0</v>
      </c>
      <c r="H2" s="117" t="n">
        <f aca="false">SUMIFS(الريسبي!$C$2:$C$1800,الريسبي!$A$2:$A$1800,$A2,الريسبي!$B$2:$B$1800,H$1)</f>
        <v>0</v>
      </c>
      <c r="I2" s="117" t="n">
        <f aca="false">SUMIFS(الريسبي!$C$2:$C$1800,الريسبي!$A$2:$A$1800,$A2,الريسبي!$B$2:$B$1800,I$1)</f>
        <v>0</v>
      </c>
      <c r="J2" s="117" t="n">
        <f aca="false">SUMIFS(الريسبي!$C$2:$C$1800,الريسبي!$A$2:$A$1800,$A2,الريسبي!$B$2:$B$1800,J$1)</f>
        <v>0</v>
      </c>
      <c r="K2" s="117" t="n">
        <f aca="false">SUMIFS(الريسبي!$C$2:$C$1800,الريسبي!$A$2:$A$1800,$A2,الريسبي!$B$2:$B$1800,K$1)</f>
        <v>0</v>
      </c>
      <c r="L2" s="117" t="n">
        <f aca="false">SUMIFS(الريسبي!$C$2:$C$1800,الريسبي!$A$2:$A$1800,$A2,الريسبي!$B$2:$B$1800,L$1)</f>
        <v>0</v>
      </c>
      <c r="M2" s="117" t="n">
        <f aca="false">SUMIFS(الريسبي!$C$2:$C$1800,الريسبي!$A$2:$A$1800,$A2,الريسبي!$B$2:$B$1800,M$1)</f>
        <v>0</v>
      </c>
      <c r="N2" s="117" t="n">
        <f aca="false">SUMIFS(الريسبي!$C$2:$C$1800,الريسبي!$A$2:$A$1800,$A2,الريسبي!$B$2:$B$1800,N$1)</f>
        <v>0</v>
      </c>
      <c r="O2" s="117" t="n">
        <f aca="false">SUMIFS(الريسبي!$C$2:$C$1800,الريسبي!$A$2:$A$1800,$A2,الريسبي!$B$2:$B$1800,O$1)</f>
        <v>0</v>
      </c>
      <c r="P2" s="117" t="n">
        <f aca="false">SUMIFS(الريسبي!$C$2:$C$1800,الريسبي!$A$2:$A$1800,$A2,الريسبي!$B$2:$B$1800,P$1)</f>
        <v>0</v>
      </c>
      <c r="Q2" s="117" t="n">
        <f aca="false">SUMIFS(الريسبي!$C$2:$C$1800,الريسبي!$A$2:$A$1800,$A2,الريسبي!$B$2:$B$1800,Q$1)</f>
        <v>0</v>
      </c>
      <c r="R2" s="117" t="n">
        <f aca="false">SUMIFS(الريسبي!$C$2:$C$1800,الريسبي!$A$2:$A$1800,$A2,الريسبي!$B$2:$B$1800,R$1)</f>
        <v>0</v>
      </c>
      <c r="S2" s="117" t="n">
        <f aca="false">SUMIFS(الريسبي!$C$2:$C$1800,الريسبي!$A$2:$A$1800,$A2,الريسبي!$B$2:$B$1800,S$1)</f>
        <v>0</v>
      </c>
      <c r="T2" s="117" t="n">
        <f aca="false">SUMIFS(الريسبي!$C$2:$C$1800,الريسبي!$A$2:$A$1800,$A2,الريسبي!$B$2:$B$1800,T$1)</f>
        <v>0</v>
      </c>
      <c r="U2" s="117" t="n">
        <f aca="false">SUMIFS(الريسبي!$C$2:$C$1800,الريسبي!$A$2:$A$1800,$A2,الريسبي!$B$2:$B$1800,U$1)</f>
        <v>0</v>
      </c>
      <c r="V2" s="117" t="n">
        <f aca="false">SUMIFS(الريسبي!$C$2:$C$1800,الريسبي!$A$2:$A$1800,$A2,الريسبي!$B$2:$B$1800,V$1)</f>
        <v>1</v>
      </c>
      <c r="W2" s="117" t="n">
        <f aca="false">SUMIFS(الريسبي!$C$2:$C$1800,الريسبي!$A$2:$A$1800,$A2,الريسبي!$B$2:$B$1800,W$1)</f>
        <v>0</v>
      </c>
      <c r="X2" s="117" t="n">
        <f aca="false">SUMIFS(الريسبي!$C$2:$C$1800,الريسبي!$A$2:$A$1800,$A2,الريسبي!$B$2:$B$1800,X$1)</f>
        <v>0</v>
      </c>
      <c r="Y2" s="117" t="n">
        <f aca="false">SUMIFS(الريسبي!$C$2:$C$1800,الريسبي!$A$2:$A$1800,$A2,الريسبي!$B$2:$B$1800,Y$1)</f>
        <v>0</v>
      </c>
      <c r="Z2" s="117" t="n">
        <f aca="false">SUMIFS(الريسبي!$C$2:$C$1800,الريسبي!$A$2:$A$1800,$A2,الريسبي!$B$2:$B$1800,Z$1)</f>
        <v>0</v>
      </c>
      <c r="AA2" s="117" t="n">
        <f aca="false">SUMIFS(الريسبي!$C$2:$C$1800,الريسبي!$A$2:$A$1800,$A2,الريسبي!$B$2:$B$1800,AA$1)</f>
        <v>0</v>
      </c>
      <c r="AB2" s="117" t="n">
        <f aca="false">SUMIFS(الريسبي!$C$2:$C$1800,الريسبي!$A$2:$A$1800,$A2,الريسبي!$B$2:$B$1800,AB$1)</f>
        <v>0</v>
      </c>
      <c r="AC2" s="117" t="n">
        <f aca="false">SUMIFS(الريسبي!$C$2:$C$1800,الريسبي!$A$2:$A$1800,$A2,الريسبي!$B$2:$B$1800,AC$1)</f>
        <v>0</v>
      </c>
      <c r="AD2" s="117" t="n">
        <f aca="false">SUMIFS(الريسبي!$C$2:$C$1800,الريسبي!$A$2:$A$1800,$A2,الريسبي!$B$2:$B$1800,AD$1)</f>
        <v>0</v>
      </c>
      <c r="AE2" s="117" t="n">
        <f aca="false">SUMIFS(الريسبي!$C$2:$C$1800,الريسبي!$A$2:$A$1800,$A2,الريسبي!$B$2:$B$1800,AE$1)</f>
        <v>0</v>
      </c>
      <c r="AF2" s="117" t="n">
        <f aca="false">SUMIFS(الريسبي!$C$2:$C$1800,الريسبي!$A$2:$A$1800,$A2,الريسبي!$B$2:$B$1800,AF$1)</f>
        <v>0</v>
      </c>
      <c r="AG2" s="117" t="n">
        <f aca="false">SUMIFS(الريسبي!$C$2:$C$1800,الريسبي!$A$2:$A$1800,$A2,الريسبي!$B$2:$B$1800,AG$1)</f>
        <v>0</v>
      </c>
      <c r="AH2" s="117" t="n">
        <f aca="false">SUMIFS(الريسبي!$C$2:$C$1800,الريسبي!$A$2:$A$1800,$A2,الريسبي!$B$2:$B$1800,AH$1)</f>
        <v>0</v>
      </c>
      <c r="AI2" s="117" t="n">
        <f aca="false">SUMIFS(الريسبي!$C$2:$C$1800,الريسبي!$A$2:$A$1800,$A2,الريسبي!$B$2:$B$1800,AI$1)</f>
        <v>0</v>
      </c>
      <c r="AJ2" s="117" t="n">
        <f aca="false">SUMIFS(الريسبي!$C$2:$C$1800,الريسبي!$A$2:$A$1800,$A2,الريسبي!$B$2:$B$1800,AJ$1)</f>
        <v>2</v>
      </c>
      <c r="AK2" s="117" t="n">
        <f aca="false">SUMIFS(الريسبي!$C$2:$C$1800,الريسبي!$A$2:$A$1800,$A2,الريسبي!$B$2:$B$1800,AK$1)</f>
        <v>0</v>
      </c>
      <c r="AL2" s="117" t="n">
        <f aca="false">SUMIFS(الريسبي!$C$2:$C$1800,الريسبي!$A$2:$A$1800,$A2,الريسبي!$B$2:$B$1800,AL$1)</f>
        <v>0</v>
      </c>
      <c r="AM2" s="117" t="n">
        <f aca="false">SUMIFS(الريسبي!$C$2:$C$1800,الريسبي!$A$2:$A$1800,$A2,الريسبي!$B$2:$B$1800,AM$1)+0.08333333333*SUMIFS(الريسبي!$C$2:$C$1800,الريسبي!$A$2:$A$1800,$A2,الريسبي!$B$2:$B$1800,"عجين كريب (مصنع بالمطعم)")+0.08333333333*SUMIFS(الريسبي!$C$2:$C$1800,الريسبي!$A$2:$A$1800,$A2,الريسبي!$B$2:$B$1800,"عجين كريب صيامي (بدون لبن)")</f>
        <v>0</v>
      </c>
      <c r="AN2" s="117" t="n">
        <f aca="false">SUMIFS(الريسبي!$C$2:$C$1800,الريسبي!$A$2:$A$1800,$A2,الريسبي!$B$2:$B$1800,AN$1)+0.004166666667*SUMIFS(الريسبي!$C$2:$C$1800,الريسبي!$A$2:$A$1800,$A2,الريسبي!$B$2:$B$1800,"عجين كريب (مصنع بالمطعم)")+0.004166666667*SUMIFS(الريسبي!$C$2:$C$1800,الريسبي!$A$2:$A$1800,$A2,الريسبي!$B$2:$B$1800,"عجين كريب صيامي (بدون لبن)")</f>
        <v>0</v>
      </c>
      <c r="AO2" s="117" t="n">
        <f aca="false">SUMIFS(الريسبي!$C$2:$C$1800,الريسبي!$A$2:$A$1800,$A2,الريسبي!$B$2:$B$1800,AO$1)</f>
        <v>0</v>
      </c>
      <c r="AP2" s="117" t="n">
        <f aca="false">SUMIFS(الريسبي!$C$2:$C$1800,الريسبي!$A$2:$A$1800,$A2,الريسبي!$B$2:$B$1800,AP$1)</f>
        <v>0.02</v>
      </c>
      <c r="AQ2" s="117" t="n">
        <f aca="false">SUMIFS(الريسبي!$C$2:$C$1800,الريسبي!$A$2:$A$1800,$A2,الريسبي!$B$2:$B$1800,AQ$1)+0.004166666667*SUMIFS(الريسبي!$C$2:$C$1800,الريسبي!$A$2:$A$1800,$A2,الريسبي!$B$2:$B$1800,"عجين كريب (مصنع بالمطعم)")+0.004166666667*SUMIFS(الريسبي!$C$2:$C$1800,الريسبي!$A$2:$A$1800,$A2,الريسبي!$B$2:$B$1800,"عجين كريب صيامي (بدون لبن)")</f>
        <v>0</v>
      </c>
      <c r="AR2" s="117" t="n">
        <f aca="false">SUMIFS(الريسبي!$C$2:$C$1800,الريسبي!$A$2:$A$1800,$A2,الريسبي!$B$2:$B$1800,AR$1)</f>
        <v>0</v>
      </c>
      <c r="AS2" s="117" t="n">
        <f aca="false">SUMIFS(الريسبي!$C$2:$C$1800,الريسبي!$A$2:$A$1800,$A2,الريسبي!$B$2:$B$1800,AS$1)</f>
        <v>0</v>
      </c>
      <c r="AT2" s="117" t="n">
        <f aca="false">SUMIFS(الريسبي!$C$2:$C$1800,الريسبي!$A$2:$A$1800,$A2,الريسبي!$B$2:$B$1800,AT$1)</f>
        <v>0</v>
      </c>
      <c r="AU2" s="117" t="n">
        <f aca="false">SUMIFS(الريسبي!$C$2:$C$1800,الريسبي!$A$2:$A$1800,$A2,الريسبي!$B$2:$B$1800,AU$1)</f>
        <v>0</v>
      </c>
      <c r="AV2" s="117" t="n">
        <f aca="false">SUMIFS(الريسبي!$C$2:$C$1800,الريسبي!$A$2:$A$1800,$A2,الريسبي!$B$2:$B$1800,AV$1)</f>
        <v>0</v>
      </c>
      <c r="AW2" s="117" t="n">
        <f aca="false">SUMIFS(الريسبي!$C$2:$C$1800,الريسبي!$A$2:$A$1800,$A2,الريسبي!$B$2:$B$1800,AW$1)</f>
        <v>0</v>
      </c>
      <c r="AX2" s="117" t="n">
        <f aca="false">SUMIFS(الريسبي!$C$2:$C$1800,الريسبي!$A$2:$A$1800,$A2,الريسبي!$B$2:$B$1800,AX$1)</f>
        <v>0.04</v>
      </c>
      <c r="AY2" s="117" t="n">
        <f aca="false">SUMIFS(الريسبي!$C$2:$C$1800,الريسبي!$A$2:$A$1800,$A2,الريسبي!$B$2:$B$1800,AY$1)</f>
        <v>0</v>
      </c>
      <c r="AZ2" s="117" t="n">
        <f aca="false">SUMIFS(الريسبي!$C$2:$C$1800,الريسبي!$A$2:$A$1800,$A2,الريسبي!$B$2:$B$1800,AZ$1)</f>
        <v>0</v>
      </c>
      <c r="BA2" s="117" t="n">
        <f aca="false">SUMIFS(الريسبي!$C$2:$C$1800,الريسبي!$A$2:$A$1800,$A2,الريسبي!$B$2:$B$1800,BA$1)</f>
        <v>0</v>
      </c>
      <c r="BB2" s="117" t="n">
        <f aca="false">SUMIFS(الريسبي!$C$2:$C$1800,الريسبي!$A$2:$A$1800,$A2,الريسبي!$B$2:$B$1800,BB$1)</f>
        <v>0</v>
      </c>
      <c r="BC2" s="117" t="n">
        <f aca="false">SUMIFS(الريسبي!$C$2:$C$1800,الريسبي!$A$2:$A$1800,$A2,الريسبي!$B$2:$B$1800,BC$1)</f>
        <v>0.03</v>
      </c>
      <c r="BD2" s="117" t="n">
        <f aca="false">SUMIFS(الريسبي!$C$2:$C$1800,الريسبي!$A$2:$A$1800,$A2,الريسبي!$B$2:$B$1800,BD$1)</f>
        <v>0.22</v>
      </c>
      <c r="BE2" s="117" t="n">
        <f aca="false">SUMIFS(الريسبي!$C$2:$C$1800,الريسبي!$A$2:$A$1800,$A2,الريسبي!$B$2:$B$1800,BE$1)</f>
        <v>0</v>
      </c>
      <c r="BF2" s="117" t="n">
        <f aca="false">SUMIFS(الريسبي!$C$2:$C$1800,الريسبي!$A$2:$A$1800,$A2,الريسبي!$B$2:$B$1800,BF$1)</f>
        <v>0</v>
      </c>
      <c r="BG2" s="117" t="n">
        <f aca="false">SUMIFS(الريسبي!$C$2:$C$1800,الريسبي!$A$2:$A$1800,$A2,الريسبي!$B$2:$B$1800,BG$1)</f>
        <v>0</v>
      </c>
      <c r="BH2" s="117" t="n">
        <f aca="false">SUMIFS(الريسبي!$C$2:$C$1800,الريسبي!$A$2:$A$1800,$A2,الريسبي!$B$2:$B$1800,BH$1)</f>
        <v>1</v>
      </c>
      <c r="BI2" s="117" t="n">
        <f aca="false">SUMIFS(الريسبي!$C$2:$C$1800,الريسبي!$A$2:$A$1800,$A2,الريسبي!$B$2:$B$1800,BI$1)</f>
        <v>0</v>
      </c>
      <c r="BJ2" s="117" t="n">
        <f aca="false">SUMIFS(الريسبي!$C$2:$C$1800,الريسبي!$A$2:$A$1800,$A2,الريسبي!$B$2:$B$1800,BJ$1)</f>
        <v>0</v>
      </c>
      <c r="BK2" s="117" t="n">
        <f aca="false">SUMIFS(الريسبي!$C$2:$C$1800,الريسبي!$A$2:$A$1800,$A2,الريسبي!$B$2:$B$1800,BK$1)</f>
        <v>0</v>
      </c>
      <c r="BL2" s="117" t="n">
        <f aca="false">SUMIFS(الريسبي!$C$2:$C$1800,الريسبي!$A$2:$A$1800,$A2,الريسبي!$B$2:$B$1800,BL$1)</f>
        <v>0</v>
      </c>
      <c r="BM2" s="117" t="n">
        <f aca="false">SUMIFS(الريسبي!$C$2:$C$1800,الريسبي!$A$2:$A$1800,$A2,الريسبي!$B$2:$B$1800,BM$1)</f>
        <v>0</v>
      </c>
      <c r="BN2" s="117" t="n">
        <f aca="false">SUMIFS(الريسبي!$C$2:$C$1800,الريسبي!$A$2:$A$1800,$A2,الريسبي!$B$2:$B$1800,BN$1)</f>
        <v>0.02</v>
      </c>
      <c r="BO2" s="117" t="n">
        <f aca="false">SUMIFS(الريسبي!$C$2:$C$1800,الريسبي!$A$2:$A$1800,$A2,الريسبي!$B$2:$B$1800,BO$1)</f>
        <v>0</v>
      </c>
      <c r="BP2" s="117" t="n">
        <f aca="false">SUMIFS(الريسبي!$C$2:$C$1800,الريسبي!$A$2:$A$1800,$A2,الريسبي!$B$2:$B$1800,BP$1)</f>
        <v>2</v>
      </c>
      <c r="BQ2" s="117" t="n">
        <f aca="false">SUMIFS(الريسبي!$C$2:$C$1800,الريسبي!$A$2:$A$1800,$A2,الريسبي!$B$2:$B$1800,BQ$1)+0.17*SUMIFS(الريسبي!$C$2:$C$1800,الريسبي!$A$2:$A$1800,$A2,الريسبي!$B$2:$B$1800,"كاسترد مصنع (خليط بودر + لبن)")+0.17*SUMIFS(الريسبي!$C$2:$C$1800,الريسبي!$A$2:$A$1800,$A2,الريسبي!$B$2:$B$1800,"كاسترد مصنع صيامي (بدون لبن)")</f>
        <v>0</v>
      </c>
      <c r="BR2" s="117" t="n">
        <f aca="false">SUMIFS(الريسبي!$C$2:$C$1800,الريسبي!$A$2:$A$1800,$A2,الريسبي!$B$2:$B$1800,BR$1)</f>
        <v>1</v>
      </c>
      <c r="BS2" s="117" t="n">
        <f aca="false">SUMIFS(الريسبي!$C$2:$C$1800,الريسبي!$A$2:$A$1800,$A2,الريسبي!$B$2:$B$1800,BS$1)</f>
        <v>0</v>
      </c>
      <c r="BT2" s="117" t="n">
        <f aca="false">SUMIFS(الريسبي!$C$2:$C$1800,الريسبي!$A$2:$A$1800,$A2,الريسبي!$B$2:$B$1800,BT$1)</f>
        <v>0</v>
      </c>
      <c r="BU2" s="117" t="n">
        <f aca="false">SUMIFS(الريسبي!$C$2:$C$1800,الريسبي!$A$2:$A$1800,$A2,الريسبي!$B$2:$B$1800,BU$1)+0.4*SUMIFS(الريسبي!$C$2:$C$1800,الريسبي!$A$2:$A$1800,$A2,الريسبي!$B$2:$B$1800,"كاسترد مصنع (خليط بودر + لبن)")+0.03333333333*SUMIFS(الريسبي!$C$2:$C$1800,الريسبي!$A$2:$A$1800,$A2,الريسبي!$B$2:$B$1800,"عجين كريب (مصنع بالمطعم)")</f>
        <v>0</v>
      </c>
      <c r="BV2" s="117" t="n">
        <f aca="false">SUMIFS(الريسبي!$C$2:$C$1800,الريسبي!$A$2:$A$1800,$A2,الريسبي!$B$2:$B$1800,BV$1)</f>
        <v>0</v>
      </c>
      <c r="BW2" s="117" t="n">
        <f aca="false">SUMIFS(الريسبي!$C$2:$C$1800,الريسبي!$A$2:$A$1800,$A2,الريسبي!$B$2:$B$1800,BW$1)</f>
        <v>0</v>
      </c>
      <c r="BX2" s="117" t="n">
        <f aca="false">SUMIFS(الريسبي!$C$2:$C$1800,الريسبي!$A$2:$A$1800,$A2,الريسبي!$B$2:$B$1800,BX$1)</f>
        <v>0</v>
      </c>
      <c r="BY2" s="117" t="n">
        <f aca="false">SUMIFS(الريسبي!$C$2:$C$1800,الريسبي!$A$2:$A$1800,$A2,الريسبي!$B$2:$B$1800,BY$1)</f>
        <v>0</v>
      </c>
      <c r="BZ2" s="117" t="n">
        <f aca="false">SUMIFS(الريسبي!$C$2:$C$1800,الريسبي!$A$2:$A$1800,$A2,الريسبي!$B$2:$B$1800,BZ$1)</f>
        <v>0</v>
      </c>
      <c r="CA2" s="117" t="n">
        <f aca="false">SUMIFS(الريسبي!$C$2:$C$1800,الريسبي!$A$2:$A$1800,$A2,الريسبي!$B$2:$B$1800,CA$1)</f>
        <v>1</v>
      </c>
      <c r="CB2" s="117" t="n">
        <f aca="false">SUMIFS(الريسبي!$C$2:$C$1800,الريسبي!$A$2:$A$1800,$A2,الريسبي!$B$2:$B$1800,CB$1)</f>
        <v>1</v>
      </c>
      <c r="CC2" s="117" t="n">
        <f aca="false">SUMIFS(الريسبي!$C$2:$C$1800,الريسبي!$A$2:$A$1800,$A2,الريسبي!$B$2:$B$1800,CC$1)</f>
        <v>0</v>
      </c>
      <c r="CD2" s="117" t="n">
        <f aca="false">SUMIFS(الريسبي!$C$2:$C$1800,الريسبي!$A$2:$A$1800,$A2,الريسبي!$B$2:$B$1800,CD$1)</f>
        <v>0</v>
      </c>
      <c r="CE2" s="117" t="n">
        <f aca="false">SUMIFS(الريسبي!$C$2:$C$1800,الريسبي!$A$2:$A$1800,$A2,الريسبي!$B$2:$B$1800,CE$1)</f>
        <v>0</v>
      </c>
      <c r="CF2" s="117" t="n">
        <f aca="false">SUMIFS(الريسبي!$C$2:$C$1800,الريسبي!$A$2:$A$1800,$A2,الريسبي!$B$2:$B$1800,CF$1)</f>
        <v>0</v>
      </c>
      <c r="CG2" s="117" t="n">
        <f aca="false">SUMIFS(الريسبي!$C$2:$C$1800,الريسبي!$A$2:$A$1800,$A2,الريسبي!$B$2:$B$1800,CG$1)</f>
        <v>0</v>
      </c>
      <c r="CH2" s="117" t="n">
        <f aca="false">SUMIFS(الريسبي!$C$2:$C$1800,الريسبي!$A$2:$A$1800,$A2,الريسبي!$B$2:$B$1800,CH$1)</f>
        <v>0</v>
      </c>
      <c r="CI2" s="117" t="n">
        <f aca="false">SUMIFS(الريسبي!$C$2:$C$1800,الريسبي!$A$2:$A$1800,$A2,الريسبي!$B$2:$B$1800,CI$1)</f>
        <v>0</v>
      </c>
      <c r="CJ2" s="117" t="n">
        <f aca="false">SUMIFS(الريسبي!$C$2:$C$1800,الريسبي!$A$2:$A$1800,$A2,الريسبي!$B$2:$B$1800,CJ$1)</f>
        <v>0</v>
      </c>
      <c r="CK2" s="117" t="n">
        <f aca="false">SUMIFS(الريسبي!$C$2:$C$1800,الريسبي!$A$2:$A$1800,$A2,الريسبي!$B$2:$B$1800,CK$1)</f>
        <v>0</v>
      </c>
      <c r="CL2" s="117" t="n">
        <f aca="false">SUMIFS(الريسبي!$C$2:$C$1800,الريسبي!$A$2:$A$1800,$A2,الريسبي!$B$2:$B$1800,CL$1)</f>
        <v>0</v>
      </c>
    </row>
    <row r="3" customFormat="false" ht="15" hidden="false" customHeight="false" outlineLevel="0" collapsed="false">
      <c r="A3" s="116" t="str">
        <f aca="false">المنيو!B3</f>
        <v>بيتزا مارجريتا حجم اكبر</v>
      </c>
      <c r="B3" s="117" t="n">
        <f aca="false">SUMIFS(الريسبي!$C$2:$C$1800,الريسبي!$A$2:$A$1800,$A3,الريسبي!$B$2:$B$1800,B$1)</f>
        <v>0</v>
      </c>
      <c r="C3" s="117" t="n">
        <f aca="false">SUMIFS(الريسبي!$C$2:$C$1800,الريسبي!$A$2:$A$1800,$A3,الريسبي!$B$2:$B$1800,C$1)</f>
        <v>0</v>
      </c>
      <c r="D3" s="117" t="n">
        <f aca="false">SUMIFS(الريسبي!$C$2:$C$1800,الريسبي!$A$2:$A$1800,$A3,الريسبي!$B$2:$B$1800,D$1)</f>
        <v>1</v>
      </c>
      <c r="E3" s="117" t="n">
        <f aca="false">SUMIFS(الريسبي!$C$2:$C$1800,الريسبي!$A$2:$A$1800,$A3,الريسبي!$B$2:$B$1800,E$1)</f>
        <v>0</v>
      </c>
      <c r="F3" s="117" t="n">
        <f aca="false">SUMIFS(الريسبي!$C$2:$C$1800,الريسبي!$A$2:$A$1800,$A3,الريسبي!$B$2:$B$1800,F$1)</f>
        <v>0</v>
      </c>
      <c r="G3" s="117" t="n">
        <f aca="false">SUMIFS(الريسبي!$C$2:$C$1800,الريسبي!$A$2:$A$1800,$A3,الريسبي!$B$2:$B$1800,G$1)</f>
        <v>0</v>
      </c>
      <c r="H3" s="117" t="n">
        <f aca="false">SUMIFS(الريسبي!$C$2:$C$1800,الريسبي!$A$2:$A$1800,$A3,الريسبي!$B$2:$B$1800,H$1)</f>
        <v>0</v>
      </c>
      <c r="I3" s="117" t="n">
        <f aca="false">SUMIFS(الريسبي!$C$2:$C$1800,الريسبي!$A$2:$A$1800,$A3,الريسبي!$B$2:$B$1800,I$1)</f>
        <v>0</v>
      </c>
      <c r="J3" s="117" t="n">
        <f aca="false">SUMIFS(الريسبي!$C$2:$C$1800,الريسبي!$A$2:$A$1800,$A3,الريسبي!$B$2:$B$1800,J$1)</f>
        <v>0</v>
      </c>
      <c r="K3" s="117" t="n">
        <f aca="false">SUMIFS(الريسبي!$C$2:$C$1800,الريسبي!$A$2:$A$1800,$A3,الريسبي!$B$2:$B$1800,K$1)</f>
        <v>0</v>
      </c>
      <c r="L3" s="117" t="n">
        <f aca="false">SUMIFS(الريسبي!$C$2:$C$1800,الريسبي!$A$2:$A$1800,$A3,الريسبي!$B$2:$B$1800,L$1)</f>
        <v>0</v>
      </c>
      <c r="M3" s="117" t="n">
        <f aca="false">SUMIFS(الريسبي!$C$2:$C$1800,الريسبي!$A$2:$A$1800,$A3,الريسبي!$B$2:$B$1800,M$1)</f>
        <v>0</v>
      </c>
      <c r="N3" s="117" t="n">
        <f aca="false">SUMIFS(الريسبي!$C$2:$C$1800,الريسبي!$A$2:$A$1800,$A3,الريسبي!$B$2:$B$1800,N$1)</f>
        <v>0</v>
      </c>
      <c r="O3" s="117" t="n">
        <f aca="false">SUMIFS(الريسبي!$C$2:$C$1800,الريسبي!$A$2:$A$1800,$A3,الريسبي!$B$2:$B$1800,O$1)</f>
        <v>0</v>
      </c>
      <c r="P3" s="117" t="n">
        <f aca="false">SUMIFS(الريسبي!$C$2:$C$1800,الريسبي!$A$2:$A$1800,$A3,الريسبي!$B$2:$B$1800,P$1)</f>
        <v>0</v>
      </c>
      <c r="Q3" s="117" t="n">
        <f aca="false">SUMIFS(الريسبي!$C$2:$C$1800,الريسبي!$A$2:$A$1800,$A3,الريسبي!$B$2:$B$1800,Q$1)</f>
        <v>0</v>
      </c>
      <c r="R3" s="117" t="n">
        <f aca="false">SUMIFS(الريسبي!$C$2:$C$1800,الريسبي!$A$2:$A$1800,$A3,الريسبي!$B$2:$B$1800,R$1)</f>
        <v>0</v>
      </c>
      <c r="S3" s="117" t="n">
        <f aca="false">SUMIFS(الريسبي!$C$2:$C$1800,الريسبي!$A$2:$A$1800,$A3,الريسبي!$B$2:$B$1800,S$1)</f>
        <v>0</v>
      </c>
      <c r="T3" s="117" t="n">
        <f aca="false">SUMIFS(الريسبي!$C$2:$C$1800,الريسبي!$A$2:$A$1800,$A3,الريسبي!$B$2:$B$1800,T$1)</f>
        <v>0</v>
      </c>
      <c r="U3" s="117" t="n">
        <f aca="false">SUMIFS(الريسبي!$C$2:$C$1800,الريسبي!$A$2:$A$1800,$A3,الريسبي!$B$2:$B$1800,U$1)</f>
        <v>0</v>
      </c>
      <c r="V3" s="117" t="n">
        <f aca="false">SUMIFS(الريسبي!$C$2:$C$1800,الريسبي!$A$2:$A$1800,$A3,الريسبي!$B$2:$B$1800,V$1)</f>
        <v>0</v>
      </c>
      <c r="W3" s="117" t="n">
        <f aca="false">SUMIFS(الريسبي!$C$2:$C$1800,الريسبي!$A$2:$A$1800,$A3,الريسبي!$B$2:$B$1800,W$1)</f>
        <v>1</v>
      </c>
      <c r="X3" s="117" t="n">
        <f aca="false">SUMIFS(الريسبي!$C$2:$C$1800,الريسبي!$A$2:$A$1800,$A3,الريسبي!$B$2:$B$1800,X$1)</f>
        <v>0</v>
      </c>
      <c r="Y3" s="117" t="n">
        <f aca="false">SUMIFS(الريسبي!$C$2:$C$1800,الريسبي!$A$2:$A$1800,$A3,الريسبي!$B$2:$B$1800,Y$1)</f>
        <v>0</v>
      </c>
      <c r="Z3" s="117" t="n">
        <f aca="false">SUMIFS(الريسبي!$C$2:$C$1800,الريسبي!$A$2:$A$1800,$A3,الريسبي!$B$2:$B$1800,Z$1)</f>
        <v>0</v>
      </c>
      <c r="AA3" s="117" t="n">
        <f aca="false">SUMIFS(الريسبي!$C$2:$C$1800,الريسبي!$A$2:$A$1800,$A3,الريسبي!$B$2:$B$1800,AA$1)</f>
        <v>0</v>
      </c>
      <c r="AB3" s="117" t="n">
        <f aca="false">SUMIFS(الريسبي!$C$2:$C$1800,الريسبي!$A$2:$A$1800,$A3,الريسبي!$B$2:$B$1800,AB$1)</f>
        <v>0</v>
      </c>
      <c r="AC3" s="117" t="n">
        <f aca="false">SUMIFS(الريسبي!$C$2:$C$1800,الريسبي!$A$2:$A$1800,$A3,الريسبي!$B$2:$B$1800,AC$1)</f>
        <v>0</v>
      </c>
      <c r="AD3" s="117" t="n">
        <f aca="false">SUMIFS(الريسبي!$C$2:$C$1800,الريسبي!$A$2:$A$1800,$A3,الريسبي!$B$2:$B$1800,AD$1)</f>
        <v>0</v>
      </c>
      <c r="AE3" s="117" t="n">
        <f aca="false">SUMIFS(الريسبي!$C$2:$C$1800,الريسبي!$A$2:$A$1800,$A3,الريسبي!$B$2:$B$1800,AE$1)</f>
        <v>0</v>
      </c>
      <c r="AF3" s="117" t="n">
        <f aca="false">SUMIFS(الريسبي!$C$2:$C$1800,الريسبي!$A$2:$A$1800,$A3,الريسبي!$B$2:$B$1800,AF$1)</f>
        <v>0</v>
      </c>
      <c r="AG3" s="117" t="n">
        <f aca="false">SUMIFS(الريسبي!$C$2:$C$1800,الريسبي!$A$2:$A$1800,$A3,الريسبي!$B$2:$B$1800,AG$1)</f>
        <v>0</v>
      </c>
      <c r="AH3" s="117" t="n">
        <f aca="false">SUMIFS(الريسبي!$C$2:$C$1800,الريسبي!$A$2:$A$1800,$A3,الريسبي!$B$2:$B$1800,AH$1)</f>
        <v>0</v>
      </c>
      <c r="AI3" s="117" t="n">
        <f aca="false">SUMIFS(الريسبي!$C$2:$C$1800,الريسبي!$A$2:$A$1800,$A3,الريسبي!$B$2:$B$1800,AI$1)</f>
        <v>0</v>
      </c>
      <c r="AJ3" s="117" t="n">
        <f aca="false">SUMIFS(الريسبي!$C$2:$C$1800,الريسبي!$A$2:$A$1800,$A3,الريسبي!$B$2:$B$1800,AJ$1)</f>
        <v>2</v>
      </c>
      <c r="AK3" s="117" t="n">
        <f aca="false">SUMIFS(الريسبي!$C$2:$C$1800,الريسبي!$A$2:$A$1800,$A3,الريسبي!$B$2:$B$1800,AK$1)</f>
        <v>0</v>
      </c>
      <c r="AL3" s="117" t="n">
        <f aca="false">SUMIFS(الريسبي!$C$2:$C$1800,الريسبي!$A$2:$A$1800,$A3,الريسبي!$B$2:$B$1800,AL$1)</f>
        <v>0</v>
      </c>
      <c r="AM3" s="117" t="n">
        <f aca="false">SUMIFS(الريسبي!$C$2:$C$1800,الريسبي!$A$2:$A$1800,$A3,الريسبي!$B$2:$B$1800,AM$1)+0.08333333333*SUMIFS(الريسبي!$C$2:$C$1800,الريسبي!$A$2:$A$1800,$A3,الريسبي!$B$2:$B$1800,"عجين كريب (مصنع بالمطعم)")+0.08333333333*SUMIFS(الريسبي!$C$2:$C$1800,الريسبي!$A$2:$A$1800,$A3,الريسبي!$B$2:$B$1800,"عجين كريب صيامي (بدون لبن)")</f>
        <v>0</v>
      </c>
      <c r="AN3" s="117" t="n">
        <f aca="false">SUMIFS(الريسبي!$C$2:$C$1800,الريسبي!$A$2:$A$1800,$A3,الريسبي!$B$2:$B$1800,AN$1)+0.004166666667*SUMIFS(الريسبي!$C$2:$C$1800,الريسبي!$A$2:$A$1800,$A3,الريسبي!$B$2:$B$1800,"عجين كريب (مصنع بالمطعم)")+0.004166666667*SUMIFS(الريسبي!$C$2:$C$1800,الريسبي!$A$2:$A$1800,$A3,الريسبي!$B$2:$B$1800,"عجين كريب صيامي (بدون لبن)")</f>
        <v>0</v>
      </c>
      <c r="AO3" s="117" t="n">
        <f aca="false">SUMIFS(الريسبي!$C$2:$C$1800,الريسبي!$A$2:$A$1800,$A3,الريسبي!$B$2:$B$1800,AO$1)</f>
        <v>0</v>
      </c>
      <c r="AP3" s="117" t="n">
        <f aca="false">SUMIFS(الريسبي!$C$2:$C$1800,الريسبي!$A$2:$A$1800,$A3,الريسبي!$B$2:$B$1800,AP$1)</f>
        <v>0.03</v>
      </c>
      <c r="AQ3" s="117" t="n">
        <f aca="false">SUMIFS(الريسبي!$C$2:$C$1800,الريسبي!$A$2:$A$1800,$A3,الريسبي!$B$2:$B$1800,AQ$1)+0.004166666667*SUMIFS(الريسبي!$C$2:$C$1800,الريسبي!$A$2:$A$1800,$A3,الريسبي!$B$2:$B$1800,"عجين كريب (مصنع بالمطعم)")+0.004166666667*SUMIFS(الريسبي!$C$2:$C$1800,الريسبي!$A$2:$A$1800,$A3,الريسبي!$B$2:$B$1800,"عجين كريب صيامي (بدون لبن)")</f>
        <v>0</v>
      </c>
      <c r="AR3" s="117" t="n">
        <f aca="false">SUMIFS(الريسبي!$C$2:$C$1800,الريسبي!$A$2:$A$1800,$A3,الريسبي!$B$2:$B$1800,AR$1)</f>
        <v>0</v>
      </c>
      <c r="AS3" s="117" t="n">
        <f aca="false">SUMIFS(الريسبي!$C$2:$C$1800,الريسبي!$A$2:$A$1800,$A3,الريسبي!$B$2:$B$1800,AS$1)</f>
        <v>0</v>
      </c>
      <c r="AT3" s="117" t="n">
        <f aca="false">SUMIFS(الريسبي!$C$2:$C$1800,الريسبي!$A$2:$A$1800,$A3,الريسبي!$B$2:$B$1800,AT$1)</f>
        <v>0</v>
      </c>
      <c r="AU3" s="117" t="n">
        <f aca="false">SUMIFS(الريسبي!$C$2:$C$1800,الريسبي!$A$2:$A$1800,$A3,الريسبي!$B$2:$B$1800,AU$1)</f>
        <v>0</v>
      </c>
      <c r="AV3" s="117" t="n">
        <f aca="false">SUMIFS(الريسبي!$C$2:$C$1800,الريسبي!$A$2:$A$1800,$A3,الريسبي!$B$2:$B$1800,AV$1)</f>
        <v>0</v>
      </c>
      <c r="AW3" s="117" t="n">
        <f aca="false">SUMIFS(الريسبي!$C$2:$C$1800,الريسبي!$A$2:$A$1800,$A3,الريسبي!$B$2:$B$1800,AW$1)</f>
        <v>0</v>
      </c>
      <c r="AX3" s="117" t="n">
        <f aca="false">SUMIFS(الريسبي!$C$2:$C$1800,الريسبي!$A$2:$A$1800,$A3,الريسبي!$B$2:$B$1800,AX$1)</f>
        <v>0.06</v>
      </c>
      <c r="AY3" s="117" t="n">
        <f aca="false">SUMIFS(الريسبي!$C$2:$C$1800,الريسبي!$A$2:$A$1800,$A3,الريسبي!$B$2:$B$1800,AY$1)</f>
        <v>0</v>
      </c>
      <c r="AZ3" s="117" t="n">
        <f aca="false">SUMIFS(الريسبي!$C$2:$C$1800,الريسبي!$A$2:$A$1800,$A3,الريسبي!$B$2:$B$1800,AZ$1)</f>
        <v>0</v>
      </c>
      <c r="BA3" s="117" t="n">
        <f aca="false">SUMIFS(الريسبي!$C$2:$C$1800,الريسبي!$A$2:$A$1800,$A3,الريسبي!$B$2:$B$1800,BA$1)</f>
        <v>0</v>
      </c>
      <c r="BB3" s="117" t="n">
        <f aca="false">SUMIFS(الريسبي!$C$2:$C$1800,الريسبي!$A$2:$A$1800,$A3,الريسبي!$B$2:$B$1800,BB$1)</f>
        <v>0</v>
      </c>
      <c r="BC3" s="117" t="n">
        <f aca="false">SUMIFS(الريسبي!$C$2:$C$1800,الريسبي!$A$2:$A$1800,$A3,الريسبي!$B$2:$B$1800,BC$1)</f>
        <v>0.045</v>
      </c>
      <c r="BD3" s="117" t="n">
        <f aca="false">SUMIFS(الريسبي!$C$2:$C$1800,الريسبي!$A$2:$A$1800,$A3,الريسبي!$B$2:$B$1800,BD$1)</f>
        <v>0.3</v>
      </c>
      <c r="BE3" s="117" t="n">
        <f aca="false">SUMIFS(الريسبي!$C$2:$C$1800,الريسبي!$A$2:$A$1800,$A3,الريسبي!$B$2:$B$1800,BE$1)</f>
        <v>0</v>
      </c>
      <c r="BF3" s="117" t="n">
        <f aca="false">SUMIFS(الريسبي!$C$2:$C$1800,الريسبي!$A$2:$A$1800,$A3,الريسبي!$B$2:$B$1800,BF$1)</f>
        <v>0</v>
      </c>
      <c r="BG3" s="117" t="n">
        <f aca="false">SUMIFS(الريسبي!$C$2:$C$1800,الريسبي!$A$2:$A$1800,$A3,الريسبي!$B$2:$B$1800,BG$1)</f>
        <v>1</v>
      </c>
      <c r="BH3" s="117" t="n">
        <f aca="false">SUMIFS(الريسبي!$C$2:$C$1800,الريسبي!$A$2:$A$1800,$A3,الريسبي!$B$2:$B$1800,BH$1)</f>
        <v>0</v>
      </c>
      <c r="BI3" s="117" t="n">
        <f aca="false">SUMIFS(الريسبي!$C$2:$C$1800,الريسبي!$A$2:$A$1800,$A3,الريسبي!$B$2:$B$1800,BI$1)</f>
        <v>0</v>
      </c>
      <c r="BJ3" s="117" t="n">
        <f aca="false">SUMIFS(الريسبي!$C$2:$C$1800,الريسبي!$A$2:$A$1800,$A3,الريسبي!$B$2:$B$1800,BJ$1)</f>
        <v>0</v>
      </c>
      <c r="BK3" s="117" t="n">
        <f aca="false">SUMIFS(الريسبي!$C$2:$C$1800,الريسبي!$A$2:$A$1800,$A3,الريسبي!$B$2:$B$1800,BK$1)</f>
        <v>0</v>
      </c>
      <c r="BL3" s="117" t="n">
        <f aca="false">SUMIFS(الريسبي!$C$2:$C$1800,الريسبي!$A$2:$A$1800,$A3,الريسبي!$B$2:$B$1800,BL$1)</f>
        <v>0</v>
      </c>
      <c r="BM3" s="117" t="n">
        <f aca="false">SUMIFS(الريسبي!$C$2:$C$1800,الريسبي!$A$2:$A$1800,$A3,الريسبي!$B$2:$B$1800,BM$1)</f>
        <v>0</v>
      </c>
      <c r="BN3" s="117" t="n">
        <f aca="false">SUMIFS(الريسبي!$C$2:$C$1800,الريسبي!$A$2:$A$1800,$A3,الريسبي!$B$2:$B$1800,BN$1)</f>
        <v>0.03</v>
      </c>
      <c r="BO3" s="117" t="n">
        <f aca="false">SUMIFS(الريسبي!$C$2:$C$1800,الريسبي!$A$2:$A$1800,$A3,الريسبي!$B$2:$B$1800,BO$1)</f>
        <v>0</v>
      </c>
      <c r="BP3" s="117" t="n">
        <f aca="false">SUMIFS(الريسبي!$C$2:$C$1800,الريسبي!$A$2:$A$1800,$A3,الريسبي!$B$2:$B$1800,BP$1)</f>
        <v>3</v>
      </c>
      <c r="BQ3" s="117" t="n">
        <f aca="false">SUMIFS(الريسبي!$C$2:$C$1800,الريسبي!$A$2:$A$1800,$A3,الريسبي!$B$2:$B$1800,BQ$1)+0.17*SUMIFS(الريسبي!$C$2:$C$1800,الريسبي!$A$2:$A$1800,$A3,الريسبي!$B$2:$B$1800,"كاسترد مصنع (خليط بودر + لبن)")+0.17*SUMIFS(الريسبي!$C$2:$C$1800,الريسبي!$A$2:$A$1800,$A3,الريسبي!$B$2:$B$1800,"كاسترد مصنع صيامي (بدون لبن)")</f>
        <v>0</v>
      </c>
      <c r="BR3" s="117" t="n">
        <f aca="false">SUMIFS(الريسبي!$C$2:$C$1800,الريسبي!$A$2:$A$1800,$A3,الريسبي!$B$2:$B$1800,BR$1)</f>
        <v>1</v>
      </c>
      <c r="BS3" s="117" t="n">
        <f aca="false">SUMIFS(الريسبي!$C$2:$C$1800,الريسبي!$A$2:$A$1800,$A3,الريسبي!$B$2:$B$1800,BS$1)</f>
        <v>0</v>
      </c>
      <c r="BT3" s="117" t="n">
        <f aca="false">SUMIFS(الريسبي!$C$2:$C$1800,الريسبي!$A$2:$A$1800,$A3,الريسبي!$B$2:$B$1800,BT$1)</f>
        <v>0</v>
      </c>
      <c r="BU3" s="117" t="n">
        <f aca="false">SUMIFS(الريسبي!$C$2:$C$1800,الريسبي!$A$2:$A$1800,$A3,الريسبي!$B$2:$B$1800,BU$1)+0.4*SUMIFS(الريسبي!$C$2:$C$1800,الريسبي!$A$2:$A$1800,$A3,الريسبي!$B$2:$B$1800,"كاسترد مصنع (خليط بودر + لبن)")+0.03333333333*SUMIFS(الريسبي!$C$2:$C$1800,الريسبي!$A$2:$A$1800,$A3,الريسبي!$B$2:$B$1800,"عجين كريب (مصنع بالمطعم)")</f>
        <v>0</v>
      </c>
      <c r="BV3" s="117" t="n">
        <f aca="false">SUMIFS(الريسبي!$C$2:$C$1800,الريسبي!$A$2:$A$1800,$A3,الريسبي!$B$2:$B$1800,BV$1)</f>
        <v>0</v>
      </c>
      <c r="BW3" s="117" t="n">
        <f aca="false">SUMIFS(الريسبي!$C$2:$C$1800,الريسبي!$A$2:$A$1800,$A3,الريسبي!$B$2:$B$1800,BW$1)</f>
        <v>0</v>
      </c>
      <c r="BX3" s="117" t="n">
        <f aca="false">SUMIFS(الريسبي!$C$2:$C$1800,الريسبي!$A$2:$A$1800,$A3,الريسبي!$B$2:$B$1800,BX$1)</f>
        <v>0</v>
      </c>
      <c r="BY3" s="117" t="n">
        <f aca="false">SUMIFS(الريسبي!$C$2:$C$1800,الريسبي!$A$2:$A$1800,$A3,الريسبي!$B$2:$B$1800,BY$1)</f>
        <v>0</v>
      </c>
      <c r="BZ3" s="117" t="n">
        <f aca="false">SUMIFS(الريسبي!$C$2:$C$1800,الريسبي!$A$2:$A$1800,$A3,الريسبي!$B$2:$B$1800,BZ$1)</f>
        <v>0</v>
      </c>
      <c r="CA3" s="117" t="n">
        <f aca="false">SUMIFS(الريسبي!$C$2:$C$1800,الريسبي!$A$2:$A$1800,$A3,الريسبي!$B$2:$B$1800,CA$1)</f>
        <v>1</v>
      </c>
      <c r="CB3" s="117" t="n">
        <f aca="false">SUMIFS(الريسبي!$C$2:$C$1800,الريسبي!$A$2:$A$1800,$A3,الريسبي!$B$2:$B$1800,CB$1)</f>
        <v>1</v>
      </c>
      <c r="CC3" s="117" t="n">
        <f aca="false">SUMIFS(الريسبي!$C$2:$C$1800,الريسبي!$A$2:$A$1800,$A3,الريسبي!$B$2:$B$1800,CC$1)</f>
        <v>0</v>
      </c>
      <c r="CD3" s="117" t="n">
        <f aca="false">SUMIFS(الريسبي!$C$2:$C$1800,الريسبي!$A$2:$A$1800,$A3,الريسبي!$B$2:$B$1800,CD$1)</f>
        <v>0</v>
      </c>
      <c r="CE3" s="117" t="n">
        <f aca="false">SUMIFS(الريسبي!$C$2:$C$1800,الريسبي!$A$2:$A$1800,$A3,الريسبي!$B$2:$B$1800,CE$1)</f>
        <v>0</v>
      </c>
      <c r="CF3" s="117" t="n">
        <f aca="false">SUMIFS(الريسبي!$C$2:$C$1800,الريسبي!$A$2:$A$1800,$A3,الريسبي!$B$2:$B$1800,CF$1)</f>
        <v>0</v>
      </c>
      <c r="CG3" s="117" t="n">
        <f aca="false">SUMIFS(الريسبي!$C$2:$C$1800,الريسبي!$A$2:$A$1800,$A3,الريسبي!$B$2:$B$1800,CG$1)</f>
        <v>0</v>
      </c>
      <c r="CH3" s="117" t="n">
        <f aca="false">SUMIFS(الريسبي!$C$2:$C$1800,الريسبي!$A$2:$A$1800,$A3,الريسبي!$B$2:$B$1800,CH$1)</f>
        <v>0</v>
      </c>
      <c r="CI3" s="117" t="n">
        <f aca="false">SUMIFS(الريسبي!$C$2:$C$1800,الريسبي!$A$2:$A$1800,$A3,الريسبي!$B$2:$B$1800,CI$1)</f>
        <v>0</v>
      </c>
      <c r="CJ3" s="117" t="n">
        <f aca="false">SUMIFS(الريسبي!$C$2:$C$1800,الريسبي!$A$2:$A$1800,$A3,الريسبي!$B$2:$B$1800,CJ$1)</f>
        <v>0</v>
      </c>
      <c r="CK3" s="117" t="n">
        <f aca="false">SUMIFS(الريسبي!$C$2:$C$1800,الريسبي!$A$2:$A$1800,$A3,الريسبي!$B$2:$B$1800,CK$1)</f>
        <v>0</v>
      </c>
      <c r="CL3" s="117" t="n">
        <f aca="false">SUMIFS(الريسبي!$C$2:$C$1800,الريسبي!$A$2:$A$1800,$A3,الريسبي!$B$2:$B$1800,CL$1)</f>
        <v>0</v>
      </c>
    </row>
    <row r="4" customFormat="false" ht="15" hidden="false" customHeight="false" outlineLevel="0" collapsed="false">
      <c r="A4" s="116" t="str">
        <f aca="false">المنيو!B4</f>
        <v>بيتزا بسطرمة وسط</v>
      </c>
      <c r="B4" s="117" t="n">
        <f aca="false">SUMIFS(الريسبي!$C$2:$C$1800,الريسبي!$A$2:$A$1800,$A4,الريسبي!$B$2:$B$1800,B$1)</f>
        <v>0</v>
      </c>
      <c r="C4" s="117" t="n">
        <f aca="false">SUMIFS(الريسبي!$C$2:$C$1800,الريسبي!$A$2:$A$1800,$A4,الريسبي!$B$2:$B$1800,C$1)</f>
        <v>0</v>
      </c>
      <c r="D4" s="117" t="n">
        <f aca="false">SUMIFS(الريسبي!$C$2:$C$1800,الريسبي!$A$2:$A$1800,$A4,الريسبي!$B$2:$B$1800,D$1)</f>
        <v>1</v>
      </c>
      <c r="E4" s="117" t="n">
        <f aca="false">SUMIFS(الريسبي!$C$2:$C$1800,الريسبي!$A$2:$A$1800,$A4,الريسبي!$B$2:$B$1800,E$1)</f>
        <v>0</v>
      </c>
      <c r="F4" s="117" t="n">
        <f aca="false">SUMIFS(الريسبي!$C$2:$C$1800,الريسبي!$A$2:$A$1800,$A4,الريسبي!$B$2:$B$1800,F$1)</f>
        <v>0</v>
      </c>
      <c r="G4" s="117" t="n">
        <f aca="false">SUMIFS(الريسبي!$C$2:$C$1800,الريسبي!$A$2:$A$1800,$A4,الريسبي!$B$2:$B$1800,G$1)</f>
        <v>1</v>
      </c>
      <c r="H4" s="117" t="n">
        <f aca="false">SUMIFS(الريسبي!$C$2:$C$1800,الريسبي!$A$2:$A$1800,$A4,الريسبي!$B$2:$B$1800,H$1)</f>
        <v>0</v>
      </c>
      <c r="I4" s="117" t="n">
        <f aca="false">SUMIFS(الريسبي!$C$2:$C$1800,الريسبي!$A$2:$A$1800,$A4,الريسبي!$B$2:$B$1800,I$1)</f>
        <v>0</v>
      </c>
      <c r="J4" s="117" t="n">
        <f aca="false">SUMIFS(الريسبي!$C$2:$C$1800,الريسبي!$A$2:$A$1800,$A4,الريسبي!$B$2:$B$1800,J$1)</f>
        <v>0</v>
      </c>
      <c r="K4" s="117" t="n">
        <f aca="false">SUMIFS(الريسبي!$C$2:$C$1800,الريسبي!$A$2:$A$1800,$A4,الريسبي!$B$2:$B$1800,K$1)</f>
        <v>0</v>
      </c>
      <c r="L4" s="117" t="n">
        <f aca="false">SUMIFS(الريسبي!$C$2:$C$1800,الريسبي!$A$2:$A$1800,$A4,الريسبي!$B$2:$B$1800,L$1)</f>
        <v>0</v>
      </c>
      <c r="M4" s="117" t="n">
        <f aca="false">SUMIFS(الريسبي!$C$2:$C$1800,الريسبي!$A$2:$A$1800,$A4,الريسبي!$B$2:$B$1800,M$1)</f>
        <v>0</v>
      </c>
      <c r="N4" s="117" t="n">
        <f aca="false">SUMIFS(الريسبي!$C$2:$C$1800,الريسبي!$A$2:$A$1800,$A4,الريسبي!$B$2:$B$1800,N$1)</f>
        <v>0</v>
      </c>
      <c r="O4" s="117" t="n">
        <f aca="false">SUMIFS(الريسبي!$C$2:$C$1800,الريسبي!$A$2:$A$1800,$A4,الريسبي!$B$2:$B$1800,O$1)</f>
        <v>0</v>
      </c>
      <c r="P4" s="117" t="n">
        <f aca="false">SUMIFS(الريسبي!$C$2:$C$1800,الريسبي!$A$2:$A$1800,$A4,الريسبي!$B$2:$B$1800,P$1)</f>
        <v>0</v>
      </c>
      <c r="Q4" s="117" t="n">
        <f aca="false">SUMIFS(الريسبي!$C$2:$C$1800,الريسبي!$A$2:$A$1800,$A4,الريسبي!$B$2:$B$1800,Q$1)</f>
        <v>0</v>
      </c>
      <c r="R4" s="117" t="n">
        <f aca="false">SUMIFS(الريسبي!$C$2:$C$1800,الريسبي!$A$2:$A$1800,$A4,الريسبي!$B$2:$B$1800,R$1)</f>
        <v>0</v>
      </c>
      <c r="S4" s="117" t="n">
        <f aca="false">SUMIFS(الريسبي!$C$2:$C$1800,الريسبي!$A$2:$A$1800,$A4,الريسبي!$B$2:$B$1800,S$1)</f>
        <v>0</v>
      </c>
      <c r="T4" s="117" t="n">
        <f aca="false">SUMIFS(الريسبي!$C$2:$C$1800,الريسبي!$A$2:$A$1800,$A4,الريسبي!$B$2:$B$1800,T$1)</f>
        <v>0</v>
      </c>
      <c r="U4" s="117" t="n">
        <f aca="false">SUMIFS(الريسبي!$C$2:$C$1800,الريسبي!$A$2:$A$1800,$A4,الريسبي!$B$2:$B$1800,U$1)</f>
        <v>0</v>
      </c>
      <c r="V4" s="117" t="n">
        <f aca="false">SUMIFS(الريسبي!$C$2:$C$1800,الريسبي!$A$2:$A$1800,$A4,الريسبي!$B$2:$B$1800,V$1)</f>
        <v>1</v>
      </c>
      <c r="W4" s="117" t="n">
        <f aca="false">SUMIFS(الريسبي!$C$2:$C$1800,الريسبي!$A$2:$A$1800,$A4,الريسبي!$B$2:$B$1800,W$1)</f>
        <v>0</v>
      </c>
      <c r="X4" s="117" t="n">
        <f aca="false">SUMIFS(الريسبي!$C$2:$C$1800,الريسبي!$A$2:$A$1800,$A4,الريسبي!$B$2:$B$1800,X$1)</f>
        <v>0</v>
      </c>
      <c r="Y4" s="117" t="n">
        <f aca="false">SUMIFS(الريسبي!$C$2:$C$1800,الريسبي!$A$2:$A$1800,$A4,الريسبي!$B$2:$B$1800,Y$1)</f>
        <v>0</v>
      </c>
      <c r="Z4" s="117" t="n">
        <f aca="false">SUMIFS(الريسبي!$C$2:$C$1800,الريسبي!$A$2:$A$1800,$A4,الريسبي!$B$2:$B$1800,Z$1)</f>
        <v>0</v>
      </c>
      <c r="AA4" s="117" t="n">
        <f aca="false">SUMIFS(الريسبي!$C$2:$C$1800,الريسبي!$A$2:$A$1800,$A4,الريسبي!$B$2:$B$1800,AA$1)</f>
        <v>0</v>
      </c>
      <c r="AB4" s="117" t="n">
        <f aca="false">SUMIFS(الريسبي!$C$2:$C$1800,الريسبي!$A$2:$A$1800,$A4,الريسبي!$B$2:$B$1800,AB$1)</f>
        <v>0</v>
      </c>
      <c r="AC4" s="117" t="n">
        <f aca="false">SUMIFS(الريسبي!$C$2:$C$1800,الريسبي!$A$2:$A$1800,$A4,الريسبي!$B$2:$B$1800,AC$1)</f>
        <v>0</v>
      </c>
      <c r="AD4" s="117" t="n">
        <f aca="false">SUMIFS(الريسبي!$C$2:$C$1800,الريسبي!$A$2:$A$1800,$A4,الريسبي!$B$2:$B$1800,AD$1)</f>
        <v>0</v>
      </c>
      <c r="AE4" s="117" t="n">
        <f aca="false">SUMIFS(الريسبي!$C$2:$C$1800,الريسبي!$A$2:$A$1800,$A4,الريسبي!$B$2:$B$1800,AE$1)</f>
        <v>0</v>
      </c>
      <c r="AF4" s="117" t="n">
        <f aca="false">SUMIFS(الريسبي!$C$2:$C$1800,الريسبي!$A$2:$A$1800,$A4,الريسبي!$B$2:$B$1800,AF$1)</f>
        <v>0</v>
      </c>
      <c r="AG4" s="117" t="n">
        <f aca="false">SUMIFS(الريسبي!$C$2:$C$1800,الريسبي!$A$2:$A$1800,$A4,الريسبي!$B$2:$B$1800,AG$1)</f>
        <v>0</v>
      </c>
      <c r="AH4" s="117" t="n">
        <f aca="false">SUMIFS(الريسبي!$C$2:$C$1800,الريسبي!$A$2:$A$1800,$A4,الريسبي!$B$2:$B$1800,AH$1)</f>
        <v>0</v>
      </c>
      <c r="AI4" s="117" t="n">
        <f aca="false">SUMIFS(الريسبي!$C$2:$C$1800,الريسبي!$A$2:$A$1800,$A4,الريسبي!$B$2:$B$1800,AI$1)</f>
        <v>0</v>
      </c>
      <c r="AJ4" s="117" t="n">
        <f aca="false">SUMIFS(الريسبي!$C$2:$C$1800,الريسبي!$A$2:$A$1800,$A4,الريسبي!$B$2:$B$1800,AJ$1)</f>
        <v>2</v>
      </c>
      <c r="AK4" s="117" t="n">
        <f aca="false">SUMIFS(الريسبي!$C$2:$C$1800,الريسبي!$A$2:$A$1800,$A4,الريسبي!$B$2:$B$1800,AK$1)</f>
        <v>0</v>
      </c>
      <c r="AL4" s="117" t="n">
        <f aca="false">SUMIFS(الريسبي!$C$2:$C$1800,الريسبي!$A$2:$A$1800,$A4,الريسبي!$B$2:$B$1800,AL$1)</f>
        <v>0</v>
      </c>
      <c r="AM4" s="117" t="n">
        <f aca="false">SUMIFS(الريسبي!$C$2:$C$1800,الريسبي!$A$2:$A$1800,$A4,الريسبي!$B$2:$B$1800,AM$1)+0.08333333333*SUMIFS(الريسبي!$C$2:$C$1800,الريسبي!$A$2:$A$1800,$A4,الريسبي!$B$2:$B$1800,"عجين كريب (مصنع بالمطعم)")+0.08333333333*SUMIFS(الريسبي!$C$2:$C$1800,الريسبي!$A$2:$A$1800,$A4,الريسبي!$B$2:$B$1800,"عجين كريب صيامي (بدون لبن)")</f>
        <v>0</v>
      </c>
      <c r="AN4" s="117" t="n">
        <f aca="false">SUMIFS(الريسبي!$C$2:$C$1800,الريسبي!$A$2:$A$1800,$A4,الريسبي!$B$2:$B$1800,AN$1)+0.004166666667*SUMIFS(الريسبي!$C$2:$C$1800,الريسبي!$A$2:$A$1800,$A4,الريسبي!$B$2:$B$1800,"عجين كريب (مصنع بالمطعم)")+0.004166666667*SUMIFS(الريسبي!$C$2:$C$1800,الريسبي!$A$2:$A$1800,$A4,الريسبي!$B$2:$B$1800,"عجين كريب صيامي (بدون لبن)")</f>
        <v>0</v>
      </c>
      <c r="AO4" s="117" t="n">
        <f aca="false">SUMIFS(الريسبي!$C$2:$C$1800,الريسبي!$A$2:$A$1800,$A4,الريسبي!$B$2:$B$1800,AO$1)</f>
        <v>0</v>
      </c>
      <c r="AP4" s="117" t="n">
        <f aca="false">SUMIFS(الريسبي!$C$2:$C$1800,الريسبي!$A$2:$A$1800,$A4,الريسبي!$B$2:$B$1800,AP$1)</f>
        <v>0.02</v>
      </c>
      <c r="AQ4" s="117" t="n">
        <f aca="false">SUMIFS(الريسبي!$C$2:$C$1800,الريسبي!$A$2:$A$1800,$A4,الريسبي!$B$2:$B$1800,AQ$1)+0.004166666667*SUMIFS(الريسبي!$C$2:$C$1800,الريسبي!$A$2:$A$1800,$A4,الريسبي!$B$2:$B$1800,"عجين كريب (مصنع بالمطعم)")+0.004166666667*SUMIFS(الريسبي!$C$2:$C$1800,الريسبي!$A$2:$A$1800,$A4,الريسبي!$B$2:$B$1800,"عجين كريب صيامي (بدون لبن)")</f>
        <v>0</v>
      </c>
      <c r="AR4" s="117" t="n">
        <f aca="false">SUMIFS(الريسبي!$C$2:$C$1800,الريسبي!$A$2:$A$1800,$A4,الريسبي!$B$2:$B$1800,AR$1)</f>
        <v>0</v>
      </c>
      <c r="AS4" s="117" t="n">
        <f aca="false">SUMIFS(الريسبي!$C$2:$C$1800,الريسبي!$A$2:$A$1800,$A4,الريسبي!$B$2:$B$1800,AS$1)</f>
        <v>0</v>
      </c>
      <c r="AT4" s="117" t="n">
        <f aca="false">SUMIFS(الريسبي!$C$2:$C$1800,الريسبي!$A$2:$A$1800,$A4,الريسبي!$B$2:$B$1800,AT$1)</f>
        <v>0</v>
      </c>
      <c r="AU4" s="117" t="n">
        <f aca="false">SUMIFS(الريسبي!$C$2:$C$1800,الريسبي!$A$2:$A$1800,$A4,الريسبي!$B$2:$B$1800,AU$1)</f>
        <v>0</v>
      </c>
      <c r="AV4" s="117" t="n">
        <f aca="false">SUMIFS(الريسبي!$C$2:$C$1800,الريسبي!$A$2:$A$1800,$A4,الريسبي!$B$2:$B$1800,AV$1)</f>
        <v>0</v>
      </c>
      <c r="AW4" s="117" t="n">
        <f aca="false">SUMIFS(الريسبي!$C$2:$C$1800,الريسبي!$A$2:$A$1800,$A4,الريسبي!$B$2:$B$1800,AW$1)</f>
        <v>0</v>
      </c>
      <c r="AX4" s="117" t="n">
        <f aca="false">SUMIFS(الريسبي!$C$2:$C$1800,الريسبي!$A$2:$A$1800,$A4,الريسبي!$B$2:$B$1800,AX$1)</f>
        <v>0.04</v>
      </c>
      <c r="AY4" s="117" t="n">
        <f aca="false">SUMIFS(الريسبي!$C$2:$C$1800,الريسبي!$A$2:$A$1800,$A4,الريسبي!$B$2:$B$1800,AY$1)</f>
        <v>0</v>
      </c>
      <c r="AZ4" s="117" t="n">
        <f aca="false">SUMIFS(الريسبي!$C$2:$C$1800,الريسبي!$A$2:$A$1800,$A4,الريسبي!$B$2:$B$1800,AZ$1)</f>
        <v>0</v>
      </c>
      <c r="BA4" s="117" t="n">
        <f aca="false">SUMIFS(الريسبي!$C$2:$C$1800,الريسبي!$A$2:$A$1800,$A4,الريسبي!$B$2:$B$1800,BA$1)</f>
        <v>0</v>
      </c>
      <c r="BB4" s="117" t="n">
        <f aca="false">SUMIFS(الريسبي!$C$2:$C$1800,الريسبي!$A$2:$A$1800,$A4,الريسبي!$B$2:$B$1800,BB$1)</f>
        <v>0</v>
      </c>
      <c r="BC4" s="117" t="n">
        <f aca="false">SUMIFS(الريسبي!$C$2:$C$1800,الريسبي!$A$2:$A$1800,$A4,الريسبي!$B$2:$B$1800,BC$1)</f>
        <v>0.03</v>
      </c>
      <c r="BD4" s="117" t="n">
        <f aca="false">SUMIFS(الريسبي!$C$2:$C$1800,الريسبي!$A$2:$A$1800,$A4,الريسبي!$B$2:$B$1800,BD$1)</f>
        <v>0.22</v>
      </c>
      <c r="BE4" s="117" t="n">
        <f aca="false">SUMIFS(الريسبي!$C$2:$C$1800,الريسبي!$A$2:$A$1800,$A4,الريسبي!$B$2:$B$1800,BE$1)</f>
        <v>0</v>
      </c>
      <c r="BF4" s="117" t="n">
        <f aca="false">SUMIFS(الريسبي!$C$2:$C$1800,الريسبي!$A$2:$A$1800,$A4,الريسبي!$B$2:$B$1800,BF$1)</f>
        <v>0</v>
      </c>
      <c r="BG4" s="117" t="n">
        <f aca="false">SUMIFS(الريسبي!$C$2:$C$1800,الريسبي!$A$2:$A$1800,$A4,الريسبي!$B$2:$B$1800,BG$1)</f>
        <v>0</v>
      </c>
      <c r="BH4" s="117" t="n">
        <f aca="false">SUMIFS(الريسبي!$C$2:$C$1800,الريسبي!$A$2:$A$1800,$A4,الريسبي!$B$2:$B$1800,BH$1)</f>
        <v>1</v>
      </c>
      <c r="BI4" s="117" t="n">
        <f aca="false">SUMIFS(الريسبي!$C$2:$C$1800,الريسبي!$A$2:$A$1800,$A4,الريسبي!$B$2:$B$1800,BI$1)</f>
        <v>0</v>
      </c>
      <c r="BJ4" s="117" t="n">
        <f aca="false">SUMIFS(الريسبي!$C$2:$C$1800,الريسبي!$A$2:$A$1800,$A4,الريسبي!$B$2:$B$1800,BJ$1)</f>
        <v>0</v>
      </c>
      <c r="BK4" s="117" t="n">
        <f aca="false">SUMIFS(الريسبي!$C$2:$C$1800,الريسبي!$A$2:$A$1800,$A4,الريسبي!$B$2:$B$1800,BK$1)</f>
        <v>0</v>
      </c>
      <c r="BL4" s="117" t="n">
        <f aca="false">SUMIFS(الريسبي!$C$2:$C$1800,الريسبي!$A$2:$A$1800,$A4,الريسبي!$B$2:$B$1800,BL$1)</f>
        <v>0</v>
      </c>
      <c r="BM4" s="117" t="n">
        <f aca="false">SUMIFS(الريسبي!$C$2:$C$1800,الريسبي!$A$2:$A$1800,$A4,الريسبي!$B$2:$B$1800,BM$1)</f>
        <v>0</v>
      </c>
      <c r="BN4" s="117" t="n">
        <f aca="false">SUMIFS(الريسبي!$C$2:$C$1800,الريسبي!$A$2:$A$1800,$A4,الريسبي!$B$2:$B$1800,BN$1)</f>
        <v>0.02</v>
      </c>
      <c r="BO4" s="117" t="n">
        <f aca="false">SUMIFS(الريسبي!$C$2:$C$1800,الريسبي!$A$2:$A$1800,$A4,الريسبي!$B$2:$B$1800,BO$1)</f>
        <v>0</v>
      </c>
      <c r="BP4" s="117" t="n">
        <f aca="false">SUMIFS(الريسبي!$C$2:$C$1800,الريسبي!$A$2:$A$1800,$A4,الريسبي!$B$2:$B$1800,BP$1)</f>
        <v>2</v>
      </c>
      <c r="BQ4" s="117" t="n">
        <f aca="false">SUMIFS(الريسبي!$C$2:$C$1800,الريسبي!$A$2:$A$1800,$A4,الريسبي!$B$2:$B$1800,BQ$1)+0.17*SUMIFS(الريسبي!$C$2:$C$1800,الريسبي!$A$2:$A$1800,$A4,الريسبي!$B$2:$B$1800,"كاسترد مصنع (خليط بودر + لبن)")+0.17*SUMIFS(الريسبي!$C$2:$C$1800,الريسبي!$A$2:$A$1800,$A4,الريسبي!$B$2:$B$1800,"كاسترد مصنع صيامي (بدون لبن)")</f>
        <v>0</v>
      </c>
      <c r="BR4" s="117" t="n">
        <f aca="false">SUMIFS(الريسبي!$C$2:$C$1800,الريسبي!$A$2:$A$1800,$A4,الريسبي!$B$2:$B$1800,BR$1)</f>
        <v>1</v>
      </c>
      <c r="BS4" s="117" t="n">
        <f aca="false">SUMIFS(الريسبي!$C$2:$C$1800,الريسبي!$A$2:$A$1800,$A4,الريسبي!$B$2:$B$1800,BS$1)</f>
        <v>0</v>
      </c>
      <c r="BT4" s="117" t="n">
        <f aca="false">SUMIFS(الريسبي!$C$2:$C$1800,الريسبي!$A$2:$A$1800,$A4,الريسبي!$B$2:$B$1800,BT$1)</f>
        <v>0</v>
      </c>
      <c r="BU4" s="117" t="n">
        <f aca="false">SUMIFS(الريسبي!$C$2:$C$1800,الريسبي!$A$2:$A$1800,$A4,الريسبي!$B$2:$B$1800,BU$1)+0.4*SUMIFS(الريسبي!$C$2:$C$1800,الريسبي!$A$2:$A$1800,$A4,الريسبي!$B$2:$B$1800,"كاسترد مصنع (خليط بودر + لبن)")+0.03333333333*SUMIFS(الريسبي!$C$2:$C$1800,الريسبي!$A$2:$A$1800,$A4,الريسبي!$B$2:$B$1800,"عجين كريب (مصنع بالمطعم)")</f>
        <v>0</v>
      </c>
      <c r="BV4" s="117" t="n">
        <f aca="false">SUMIFS(الريسبي!$C$2:$C$1800,الريسبي!$A$2:$A$1800,$A4,الريسبي!$B$2:$B$1800,BV$1)</f>
        <v>0</v>
      </c>
      <c r="BW4" s="117" t="n">
        <f aca="false">SUMIFS(الريسبي!$C$2:$C$1800,الريسبي!$A$2:$A$1800,$A4,الريسبي!$B$2:$B$1800,BW$1)</f>
        <v>0</v>
      </c>
      <c r="BX4" s="117" t="n">
        <f aca="false">SUMIFS(الريسبي!$C$2:$C$1800,الريسبي!$A$2:$A$1800,$A4,الريسبي!$B$2:$B$1800,BX$1)</f>
        <v>0</v>
      </c>
      <c r="BY4" s="117" t="n">
        <f aca="false">SUMIFS(الريسبي!$C$2:$C$1800,الريسبي!$A$2:$A$1800,$A4,الريسبي!$B$2:$B$1800,BY$1)</f>
        <v>0</v>
      </c>
      <c r="BZ4" s="117" t="n">
        <f aca="false">SUMIFS(الريسبي!$C$2:$C$1800,الريسبي!$A$2:$A$1800,$A4,الريسبي!$B$2:$B$1800,BZ$1)</f>
        <v>0</v>
      </c>
      <c r="CA4" s="117" t="n">
        <f aca="false">SUMIFS(الريسبي!$C$2:$C$1800,الريسبي!$A$2:$A$1800,$A4,الريسبي!$B$2:$B$1800,CA$1)</f>
        <v>1</v>
      </c>
      <c r="CB4" s="117" t="n">
        <f aca="false">SUMIFS(الريسبي!$C$2:$C$1800,الريسبي!$A$2:$A$1800,$A4,الريسبي!$B$2:$B$1800,CB$1)</f>
        <v>1</v>
      </c>
      <c r="CC4" s="117" t="n">
        <f aca="false">SUMIFS(الريسبي!$C$2:$C$1800,الريسبي!$A$2:$A$1800,$A4,الريسبي!$B$2:$B$1800,CC$1)</f>
        <v>0</v>
      </c>
      <c r="CD4" s="117" t="n">
        <f aca="false">SUMIFS(الريسبي!$C$2:$C$1800,الريسبي!$A$2:$A$1800,$A4,الريسبي!$B$2:$B$1800,CD$1)</f>
        <v>0</v>
      </c>
      <c r="CE4" s="117" t="n">
        <f aca="false">SUMIFS(الريسبي!$C$2:$C$1800,الريسبي!$A$2:$A$1800,$A4,الريسبي!$B$2:$B$1800,CE$1)</f>
        <v>0</v>
      </c>
      <c r="CF4" s="117" t="n">
        <f aca="false">SUMIFS(الريسبي!$C$2:$C$1800,الريسبي!$A$2:$A$1800,$A4,الريسبي!$B$2:$B$1800,CF$1)</f>
        <v>0</v>
      </c>
      <c r="CG4" s="117" t="n">
        <f aca="false">SUMIFS(الريسبي!$C$2:$C$1800,الريسبي!$A$2:$A$1800,$A4,الريسبي!$B$2:$B$1800,CG$1)</f>
        <v>0</v>
      </c>
      <c r="CH4" s="117" t="n">
        <f aca="false">SUMIFS(الريسبي!$C$2:$C$1800,الريسبي!$A$2:$A$1800,$A4,الريسبي!$B$2:$B$1800,CH$1)</f>
        <v>0</v>
      </c>
      <c r="CI4" s="117" t="n">
        <f aca="false">SUMIFS(الريسبي!$C$2:$C$1800,الريسبي!$A$2:$A$1800,$A4,الريسبي!$B$2:$B$1800,CI$1)</f>
        <v>0</v>
      </c>
      <c r="CJ4" s="117" t="n">
        <f aca="false">SUMIFS(الريسبي!$C$2:$C$1800,الريسبي!$A$2:$A$1800,$A4,الريسبي!$B$2:$B$1800,CJ$1)</f>
        <v>0</v>
      </c>
      <c r="CK4" s="117" t="n">
        <f aca="false">SUMIFS(الريسبي!$C$2:$C$1800,الريسبي!$A$2:$A$1800,$A4,الريسبي!$B$2:$B$1800,CK$1)</f>
        <v>0</v>
      </c>
      <c r="CL4" s="117" t="n">
        <f aca="false">SUMIFS(الريسبي!$C$2:$C$1800,الريسبي!$A$2:$A$1800,$A4,الريسبي!$B$2:$B$1800,CL$1)</f>
        <v>0</v>
      </c>
    </row>
    <row r="5" customFormat="false" ht="15" hidden="false" customHeight="false" outlineLevel="0" collapsed="false">
      <c r="A5" s="116" t="str">
        <f aca="false">المنيو!B5</f>
        <v>بيتزا بسطرمة حجم اكبر</v>
      </c>
      <c r="B5" s="117" t="n">
        <f aca="false">SUMIFS(الريسبي!$C$2:$C$1800,الريسبي!$A$2:$A$1800,$A5,الريسبي!$B$2:$B$1800,B$1)</f>
        <v>0</v>
      </c>
      <c r="C5" s="117" t="n">
        <f aca="false">SUMIFS(الريسبي!$C$2:$C$1800,الريسبي!$A$2:$A$1800,$A5,الريسبي!$B$2:$B$1800,C$1)</f>
        <v>0</v>
      </c>
      <c r="D5" s="117" t="n">
        <f aca="false">SUMIFS(الريسبي!$C$2:$C$1800,الريسبي!$A$2:$A$1800,$A5,الريسبي!$B$2:$B$1800,D$1)</f>
        <v>1</v>
      </c>
      <c r="E5" s="117" t="n">
        <f aca="false">SUMIFS(الريسبي!$C$2:$C$1800,الريسبي!$A$2:$A$1800,$A5,الريسبي!$B$2:$B$1800,E$1)</f>
        <v>0</v>
      </c>
      <c r="F5" s="117" t="n">
        <f aca="false">SUMIFS(الريسبي!$C$2:$C$1800,الريسبي!$A$2:$A$1800,$A5,الريسبي!$B$2:$B$1800,F$1)</f>
        <v>0</v>
      </c>
      <c r="G5" s="117" t="n">
        <f aca="false">SUMIFS(الريسبي!$C$2:$C$1800,الريسبي!$A$2:$A$1800,$A5,الريسبي!$B$2:$B$1800,G$1)</f>
        <v>0</v>
      </c>
      <c r="H5" s="117" t="n">
        <f aca="false">SUMIFS(الريسبي!$C$2:$C$1800,الريسبي!$A$2:$A$1800,$A5,الريسبي!$B$2:$B$1800,H$1)</f>
        <v>1</v>
      </c>
      <c r="I5" s="117" t="n">
        <f aca="false">SUMIFS(الريسبي!$C$2:$C$1800,الريسبي!$A$2:$A$1800,$A5,الريسبي!$B$2:$B$1800,I$1)</f>
        <v>0</v>
      </c>
      <c r="J5" s="117" t="n">
        <f aca="false">SUMIFS(الريسبي!$C$2:$C$1800,الريسبي!$A$2:$A$1800,$A5,الريسبي!$B$2:$B$1800,J$1)</f>
        <v>0</v>
      </c>
      <c r="K5" s="117" t="n">
        <f aca="false">SUMIFS(الريسبي!$C$2:$C$1800,الريسبي!$A$2:$A$1800,$A5,الريسبي!$B$2:$B$1800,K$1)</f>
        <v>0</v>
      </c>
      <c r="L5" s="117" t="n">
        <f aca="false">SUMIFS(الريسبي!$C$2:$C$1800,الريسبي!$A$2:$A$1800,$A5,الريسبي!$B$2:$B$1800,L$1)</f>
        <v>0</v>
      </c>
      <c r="M5" s="117" t="n">
        <f aca="false">SUMIFS(الريسبي!$C$2:$C$1800,الريسبي!$A$2:$A$1800,$A5,الريسبي!$B$2:$B$1800,M$1)</f>
        <v>0</v>
      </c>
      <c r="N5" s="117" t="n">
        <f aca="false">SUMIFS(الريسبي!$C$2:$C$1800,الريسبي!$A$2:$A$1800,$A5,الريسبي!$B$2:$B$1800,N$1)</f>
        <v>0</v>
      </c>
      <c r="O5" s="117" t="n">
        <f aca="false">SUMIFS(الريسبي!$C$2:$C$1800,الريسبي!$A$2:$A$1800,$A5,الريسبي!$B$2:$B$1800,O$1)</f>
        <v>0</v>
      </c>
      <c r="P5" s="117" t="n">
        <f aca="false">SUMIFS(الريسبي!$C$2:$C$1800,الريسبي!$A$2:$A$1800,$A5,الريسبي!$B$2:$B$1800,P$1)</f>
        <v>0</v>
      </c>
      <c r="Q5" s="117" t="n">
        <f aca="false">SUMIFS(الريسبي!$C$2:$C$1800,الريسبي!$A$2:$A$1800,$A5,الريسبي!$B$2:$B$1800,Q$1)</f>
        <v>0</v>
      </c>
      <c r="R5" s="117" t="n">
        <f aca="false">SUMIFS(الريسبي!$C$2:$C$1800,الريسبي!$A$2:$A$1800,$A5,الريسبي!$B$2:$B$1800,R$1)</f>
        <v>0</v>
      </c>
      <c r="S5" s="117" t="n">
        <f aca="false">SUMIFS(الريسبي!$C$2:$C$1800,الريسبي!$A$2:$A$1800,$A5,الريسبي!$B$2:$B$1800,S$1)</f>
        <v>0</v>
      </c>
      <c r="T5" s="117" t="n">
        <f aca="false">SUMIFS(الريسبي!$C$2:$C$1800,الريسبي!$A$2:$A$1800,$A5,الريسبي!$B$2:$B$1800,T$1)</f>
        <v>0</v>
      </c>
      <c r="U5" s="117" t="n">
        <f aca="false">SUMIFS(الريسبي!$C$2:$C$1800,الريسبي!$A$2:$A$1800,$A5,الريسبي!$B$2:$B$1800,U$1)</f>
        <v>0</v>
      </c>
      <c r="V5" s="117" t="n">
        <f aca="false">SUMIFS(الريسبي!$C$2:$C$1800,الريسبي!$A$2:$A$1800,$A5,الريسبي!$B$2:$B$1800,V$1)</f>
        <v>0</v>
      </c>
      <c r="W5" s="117" t="n">
        <f aca="false">SUMIFS(الريسبي!$C$2:$C$1800,الريسبي!$A$2:$A$1800,$A5,الريسبي!$B$2:$B$1800,W$1)</f>
        <v>1</v>
      </c>
      <c r="X5" s="117" t="n">
        <f aca="false">SUMIFS(الريسبي!$C$2:$C$1800,الريسبي!$A$2:$A$1800,$A5,الريسبي!$B$2:$B$1800,X$1)</f>
        <v>0</v>
      </c>
      <c r="Y5" s="117" t="n">
        <f aca="false">SUMIFS(الريسبي!$C$2:$C$1800,الريسبي!$A$2:$A$1800,$A5,الريسبي!$B$2:$B$1800,Y$1)</f>
        <v>0</v>
      </c>
      <c r="Z5" s="117" t="n">
        <f aca="false">SUMIFS(الريسبي!$C$2:$C$1800,الريسبي!$A$2:$A$1800,$A5,الريسبي!$B$2:$B$1800,Z$1)</f>
        <v>0</v>
      </c>
      <c r="AA5" s="117" t="n">
        <f aca="false">SUMIFS(الريسبي!$C$2:$C$1800,الريسبي!$A$2:$A$1800,$A5,الريسبي!$B$2:$B$1800,AA$1)</f>
        <v>0</v>
      </c>
      <c r="AB5" s="117" t="n">
        <f aca="false">SUMIFS(الريسبي!$C$2:$C$1800,الريسبي!$A$2:$A$1800,$A5,الريسبي!$B$2:$B$1800,AB$1)</f>
        <v>0</v>
      </c>
      <c r="AC5" s="117" t="n">
        <f aca="false">SUMIFS(الريسبي!$C$2:$C$1800,الريسبي!$A$2:$A$1800,$A5,الريسبي!$B$2:$B$1800,AC$1)</f>
        <v>0</v>
      </c>
      <c r="AD5" s="117" t="n">
        <f aca="false">SUMIFS(الريسبي!$C$2:$C$1800,الريسبي!$A$2:$A$1800,$A5,الريسبي!$B$2:$B$1800,AD$1)</f>
        <v>0</v>
      </c>
      <c r="AE5" s="117" t="n">
        <f aca="false">SUMIFS(الريسبي!$C$2:$C$1800,الريسبي!$A$2:$A$1800,$A5,الريسبي!$B$2:$B$1800,AE$1)</f>
        <v>0</v>
      </c>
      <c r="AF5" s="117" t="n">
        <f aca="false">SUMIFS(الريسبي!$C$2:$C$1800,الريسبي!$A$2:$A$1800,$A5,الريسبي!$B$2:$B$1800,AF$1)</f>
        <v>0</v>
      </c>
      <c r="AG5" s="117" t="n">
        <f aca="false">SUMIFS(الريسبي!$C$2:$C$1800,الريسبي!$A$2:$A$1800,$A5,الريسبي!$B$2:$B$1800,AG$1)</f>
        <v>0</v>
      </c>
      <c r="AH5" s="117" t="n">
        <f aca="false">SUMIFS(الريسبي!$C$2:$C$1800,الريسبي!$A$2:$A$1800,$A5,الريسبي!$B$2:$B$1800,AH$1)</f>
        <v>0</v>
      </c>
      <c r="AI5" s="117" t="n">
        <f aca="false">SUMIFS(الريسبي!$C$2:$C$1800,الريسبي!$A$2:$A$1800,$A5,الريسبي!$B$2:$B$1800,AI$1)</f>
        <v>0</v>
      </c>
      <c r="AJ5" s="117" t="n">
        <f aca="false">SUMIFS(الريسبي!$C$2:$C$1800,الريسبي!$A$2:$A$1800,$A5,الريسبي!$B$2:$B$1800,AJ$1)</f>
        <v>2</v>
      </c>
      <c r="AK5" s="117" t="n">
        <f aca="false">SUMIFS(الريسبي!$C$2:$C$1800,الريسبي!$A$2:$A$1800,$A5,الريسبي!$B$2:$B$1800,AK$1)</f>
        <v>0</v>
      </c>
      <c r="AL5" s="117" t="n">
        <f aca="false">SUMIFS(الريسبي!$C$2:$C$1800,الريسبي!$A$2:$A$1800,$A5,الريسبي!$B$2:$B$1800,AL$1)</f>
        <v>0</v>
      </c>
      <c r="AM5" s="117" t="n">
        <f aca="false">SUMIFS(الريسبي!$C$2:$C$1800,الريسبي!$A$2:$A$1800,$A5,الريسبي!$B$2:$B$1800,AM$1)+0.08333333333*SUMIFS(الريسبي!$C$2:$C$1800,الريسبي!$A$2:$A$1800,$A5,الريسبي!$B$2:$B$1800,"عجين كريب (مصنع بالمطعم)")+0.08333333333*SUMIFS(الريسبي!$C$2:$C$1800,الريسبي!$A$2:$A$1800,$A5,الريسبي!$B$2:$B$1800,"عجين كريب صيامي (بدون لبن)")</f>
        <v>0</v>
      </c>
      <c r="AN5" s="117" t="n">
        <f aca="false">SUMIFS(الريسبي!$C$2:$C$1800,الريسبي!$A$2:$A$1800,$A5,الريسبي!$B$2:$B$1800,AN$1)+0.004166666667*SUMIFS(الريسبي!$C$2:$C$1800,الريسبي!$A$2:$A$1800,$A5,الريسبي!$B$2:$B$1800,"عجين كريب (مصنع بالمطعم)")+0.004166666667*SUMIFS(الريسبي!$C$2:$C$1800,الريسبي!$A$2:$A$1800,$A5,الريسبي!$B$2:$B$1800,"عجين كريب صيامي (بدون لبن)")</f>
        <v>0</v>
      </c>
      <c r="AO5" s="117" t="n">
        <f aca="false">SUMIFS(الريسبي!$C$2:$C$1800,الريسبي!$A$2:$A$1800,$A5,الريسبي!$B$2:$B$1800,AO$1)</f>
        <v>0</v>
      </c>
      <c r="AP5" s="117" t="n">
        <f aca="false">SUMIFS(الريسبي!$C$2:$C$1800,الريسبي!$A$2:$A$1800,$A5,الريسبي!$B$2:$B$1800,AP$1)</f>
        <v>0.03</v>
      </c>
      <c r="AQ5" s="117" t="n">
        <f aca="false">SUMIFS(الريسبي!$C$2:$C$1800,الريسبي!$A$2:$A$1800,$A5,الريسبي!$B$2:$B$1800,AQ$1)+0.004166666667*SUMIFS(الريسبي!$C$2:$C$1800,الريسبي!$A$2:$A$1800,$A5,الريسبي!$B$2:$B$1800,"عجين كريب (مصنع بالمطعم)")+0.004166666667*SUMIFS(الريسبي!$C$2:$C$1800,الريسبي!$A$2:$A$1800,$A5,الريسبي!$B$2:$B$1800,"عجين كريب صيامي (بدون لبن)")</f>
        <v>0</v>
      </c>
      <c r="AR5" s="117" t="n">
        <f aca="false">SUMIFS(الريسبي!$C$2:$C$1800,الريسبي!$A$2:$A$1800,$A5,الريسبي!$B$2:$B$1800,AR$1)</f>
        <v>0</v>
      </c>
      <c r="AS5" s="117" t="n">
        <f aca="false">SUMIFS(الريسبي!$C$2:$C$1800,الريسبي!$A$2:$A$1800,$A5,الريسبي!$B$2:$B$1800,AS$1)</f>
        <v>0</v>
      </c>
      <c r="AT5" s="117" t="n">
        <f aca="false">SUMIFS(الريسبي!$C$2:$C$1800,الريسبي!$A$2:$A$1800,$A5,الريسبي!$B$2:$B$1800,AT$1)</f>
        <v>0</v>
      </c>
      <c r="AU5" s="117" t="n">
        <f aca="false">SUMIFS(الريسبي!$C$2:$C$1800,الريسبي!$A$2:$A$1800,$A5,الريسبي!$B$2:$B$1800,AU$1)</f>
        <v>0</v>
      </c>
      <c r="AV5" s="117" t="n">
        <f aca="false">SUMIFS(الريسبي!$C$2:$C$1800,الريسبي!$A$2:$A$1800,$A5,الريسبي!$B$2:$B$1800,AV$1)</f>
        <v>0</v>
      </c>
      <c r="AW5" s="117" t="n">
        <f aca="false">SUMIFS(الريسبي!$C$2:$C$1800,الريسبي!$A$2:$A$1800,$A5,الريسبي!$B$2:$B$1800,AW$1)</f>
        <v>0</v>
      </c>
      <c r="AX5" s="117" t="n">
        <f aca="false">SUMIFS(الريسبي!$C$2:$C$1800,الريسبي!$A$2:$A$1800,$A5,الريسبي!$B$2:$B$1800,AX$1)</f>
        <v>0.06</v>
      </c>
      <c r="AY5" s="117" t="n">
        <f aca="false">SUMIFS(الريسبي!$C$2:$C$1800,الريسبي!$A$2:$A$1800,$A5,الريسبي!$B$2:$B$1800,AY$1)</f>
        <v>0</v>
      </c>
      <c r="AZ5" s="117" t="n">
        <f aca="false">SUMIFS(الريسبي!$C$2:$C$1800,الريسبي!$A$2:$A$1800,$A5,الريسبي!$B$2:$B$1800,AZ$1)</f>
        <v>0</v>
      </c>
      <c r="BA5" s="117" t="n">
        <f aca="false">SUMIFS(الريسبي!$C$2:$C$1800,الريسبي!$A$2:$A$1800,$A5,الريسبي!$B$2:$B$1800,BA$1)</f>
        <v>0</v>
      </c>
      <c r="BB5" s="117" t="n">
        <f aca="false">SUMIFS(الريسبي!$C$2:$C$1800,الريسبي!$A$2:$A$1800,$A5,الريسبي!$B$2:$B$1800,BB$1)</f>
        <v>0</v>
      </c>
      <c r="BC5" s="117" t="n">
        <f aca="false">SUMIFS(الريسبي!$C$2:$C$1800,الريسبي!$A$2:$A$1800,$A5,الريسبي!$B$2:$B$1800,BC$1)</f>
        <v>0.045</v>
      </c>
      <c r="BD5" s="117" t="n">
        <f aca="false">SUMIFS(الريسبي!$C$2:$C$1800,الريسبي!$A$2:$A$1800,$A5,الريسبي!$B$2:$B$1800,BD$1)</f>
        <v>0.3</v>
      </c>
      <c r="BE5" s="117" t="n">
        <f aca="false">SUMIFS(الريسبي!$C$2:$C$1800,الريسبي!$A$2:$A$1800,$A5,الريسبي!$B$2:$B$1800,BE$1)</f>
        <v>0</v>
      </c>
      <c r="BF5" s="117" t="n">
        <f aca="false">SUMIFS(الريسبي!$C$2:$C$1800,الريسبي!$A$2:$A$1800,$A5,الريسبي!$B$2:$B$1800,BF$1)</f>
        <v>0</v>
      </c>
      <c r="BG5" s="117" t="n">
        <f aca="false">SUMIFS(الريسبي!$C$2:$C$1800,الريسبي!$A$2:$A$1800,$A5,الريسبي!$B$2:$B$1800,BG$1)</f>
        <v>1</v>
      </c>
      <c r="BH5" s="117" t="n">
        <f aca="false">SUMIFS(الريسبي!$C$2:$C$1800,الريسبي!$A$2:$A$1800,$A5,الريسبي!$B$2:$B$1800,BH$1)</f>
        <v>0</v>
      </c>
      <c r="BI5" s="117" t="n">
        <f aca="false">SUMIFS(الريسبي!$C$2:$C$1800,الريسبي!$A$2:$A$1800,$A5,الريسبي!$B$2:$B$1800,BI$1)</f>
        <v>0</v>
      </c>
      <c r="BJ5" s="117" t="n">
        <f aca="false">SUMIFS(الريسبي!$C$2:$C$1800,الريسبي!$A$2:$A$1800,$A5,الريسبي!$B$2:$B$1800,BJ$1)</f>
        <v>0</v>
      </c>
      <c r="BK5" s="117" t="n">
        <f aca="false">SUMIFS(الريسبي!$C$2:$C$1800,الريسبي!$A$2:$A$1800,$A5,الريسبي!$B$2:$B$1800,BK$1)</f>
        <v>0</v>
      </c>
      <c r="BL5" s="117" t="n">
        <f aca="false">SUMIFS(الريسبي!$C$2:$C$1800,الريسبي!$A$2:$A$1800,$A5,الريسبي!$B$2:$B$1800,BL$1)</f>
        <v>0</v>
      </c>
      <c r="BM5" s="117" t="n">
        <f aca="false">SUMIFS(الريسبي!$C$2:$C$1800,الريسبي!$A$2:$A$1800,$A5,الريسبي!$B$2:$B$1800,BM$1)</f>
        <v>0</v>
      </c>
      <c r="BN5" s="117" t="n">
        <f aca="false">SUMIFS(الريسبي!$C$2:$C$1800,الريسبي!$A$2:$A$1800,$A5,الريسبي!$B$2:$B$1800,BN$1)</f>
        <v>0.03</v>
      </c>
      <c r="BO5" s="117" t="n">
        <f aca="false">SUMIFS(الريسبي!$C$2:$C$1800,الريسبي!$A$2:$A$1800,$A5,الريسبي!$B$2:$B$1800,BO$1)</f>
        <v>0</v>
      </c>
      <c r="BP5" s="117" t="n">
        <f aca="false">SUMIFS(الريسبي!$C$2:$C$1800,الريسبي!$A$2:$A$1800,$A5,الريسبي!$B$2:$B$1800,BP$1)</f>
        <v>3</v>
      </c>
      <c r="BQ5" s="117" t="n">
        <f aca="false">SUMIFS(الريسبي!$C$2:$C$1800,الريسبي!$A$2:$A$1800,$A5,الريسبي!$B$2:$B$1800,BQ$1)+0.17*SUMIFS(الريسبي!$C$2:$C$1800,الريسبي!$A$2:$A$1800,$A5,الريسبي!$B$2:$B$1800,"كاسترد مصنع (خليط بودر + لبن)")+0.17*SUMIFS(الريسبي!$C$2:$C$1800,الريسبي!$A$2:$A$1800,$A5,الريسبي!$B$2:$B$1800,"كاسترد مصنع صيامي (بدون لبن)")</f>
        <v>0</v>
      </c>
      <c r="BR5" s="117" t="n">
        <f aca="false">SUMIFS(الريسبي!$C$2:$C$1800,الريسبي!$A$2:$A$1800,$A5,الريسبي!$B$2:$B$1800,BR$1)</f>
        <v>1</v>
      </c>
      <c r="BS5" s="117" t="n">
        <f aca="false">SUMIFS(الريسبي!$C$2:$C$1800,الريسبي!$A$2:$A$1800,$A5,الريسبي!$B$2:$B$1800,BS$1)</f>
        <v>0</v>
      </c>
      <c r="BT5" s="117" t="n">
        <f aca="false">SUMIFS(الريسبي!$C$2:$C$1800,الريسبي!$A$2:$A$1800,$A5,الريسبي!$B$2:$B$1800,BT$1)</f>
        <v>0</v>
      </c>
      <c r="BU5" s="117" t="n">
        <f aca="false">SUMIFS(الريسبي!$C$2:$C$1800,الريسبي!$A$2:$A$1800,$A5,الريسبي!$B$2:$B$1800,BU$1)+0.4*SUMIFS(الريسبي!$C$2:$C$1800,الريسبي!$A$2:$A$1800,$A5,الريسبي!$B$2:$B$1800,"كاسترد مصنع (خليط بودر + لبن)")+0.03333333333*SUMIFS(الريسبي!$C$2:$C$1800,الريسبي!$A$2:$A$1800,$A5,الريسبي!$B$2:$B$1800,"عجين كريب (مصنع بالمطعم)")</f>
        <v>0</v>
      </c>
      <c r="BV5" s="117" t="n">
        <f aca="false">SUMIFS(الريسبي!$C$2:$C$1800,الريسبي!$A$2:$A$1800,$A5,الريسبي!$B$2:$B$1800,BV$1)</f>
        <v>0</v>
      </c>
      <c r="BW5" s="117" t="n">
        <f aca="false">SUMIFS(الريسبي!$C$2:$C$1800,الريسبي!$A$2:$A$1800,$A5,الريسبي!$B$2:$B$1800,BW$1)</f>
        <v>0</v>
      </c>
      <c r="BX5" s="117" t="n">
        <f aca="false">SUMIFS(الريسبي!$C$2:$C$1800,الريسبي!$A$2:$A$1800,$A5,الريسبي!$B$2:$B$1800,BX$1)</f>
        <v>0</v>
      </c>
      <c r="BY5" s="117" t="n">
        <f aca="false">SUMIFS(الريسبي!$C$2:$C$1800,الريسبي!$A$2:$A$1800,$A5,الريسبي!$B$2:$B$1800,BY$1)</f>
        <v>0</v>
      </c>
      <c r="BZ5" s="117" t="n">
        <f aca="false">SUMIFS(الريسبي!$C$2:$C$1800,الريسبي!$A$2:$A$1800,$A5,الريسبي!$B$2:$B$1800,BZ$1)</f>
        <v>0</v>
      </c>
      <c r="CA5" s="117" t="n">
        <f aca="false">SUMIFS(الريسبي!$C$2:$C$1800,الريسبي!$A$2:$A$1800,$A5,الريسبي!$B$2:$B$1800,CA$1)</f>
        <v>1</v>
      </c>
      <c r="CB5" s="117" t="n">
        <f aca="false">SUMIFS(الريسبي!$C$2:$C$1800,الريسبي!$A$2:$A$1800,$A5,الريسبي!$B$2:$B$1800,CB$1)</f>
        <v>1</v>
      </c>
      <c r="CC5" s="117" t="n">
        <f aca="false">SUMIFS(الريسبي!$C$2:$C$1800,الريسبي!$A$2:$A$1800,$A5,الريسبي!$B$2:$B$1800,CC$1)</f>
        <v>0</v>
      </c>
      <c r="CD5" s="117" t="n">
        <f aca="false">SUMIFS(الريسبي!$C$2:$C$1800,الريسبي!$A$2:$A$1800,$A5,الريسبي!$B$2:$B$1800,CD$1)</f>
        <v>0</v>
      </c>
      <c r="CE5" s="117" t="n">
        <f aca="false">SUMIFS(الريسبي!$C$2:$C$1800,الريسبي!$A$2:$A$1800,$A5,الريسبي!$B$2:$B$1800,CE$1)</f>
        <v>0</v>
      </c>
      <c r="CF5" s="117" t="n">
        <f aca="false">SUMIFS(الريسبي!$C$2:$C$1800,الريسبي!$A$2:$A$1800,$A5,الريسبي!$B$2:$B$1800,CF$1)</f>
        <v>0</v>
      </c>
      <c r="CG5" s="117" t="n">
        <f aca="false">SUMIFS(الريسبي!$C$2:$C$1800,الريسبي!$A$2:$A$1800,$A5,الريسبي!$B$2:$B$1800,CG$1)</f>
        <v>0</v>
      </c>
      <c r="CH5" s="117" t="n">
        <f aca="false">SUMIFS(الريسبي!$C$2:$C$1800,الريسبي!$A$2:$A$1800,$A5,الريسبي!$B$2:$B$1800,CH$1)</f>
        <v>0</v>
      </c>
      <c r="CI5" s="117" t="n">
        <f aca="false">SUMIFS(الريسبي!$C$2:$C$1800,الريسبي!$A$2:$A$1800,$A5,الريسبي!$B$2:$B$1800,CI$1)</f>
        <v>0</v>
      </c>
      <c r="CJ5" s="117" t="n">
        <f aca="false">SUMIFS(الريسبي!$C$2:$C$1800,الريسبي!$A$2:$A$1800,$A5,الريسبي!$B$2:$B$1800,CJ$1)</f>
        <v>0</v>
      </c>
      <c r="CK5" s="117" t="n">
        <f aca="false">SUMIFS(الريسبي!$C$2:$C$1800,الريسبي!$A$2:$A$1800,$A5,الريسبي!$B$2:$B$1800,CK$1)</f>
        <v>0</v>
      </c>
      <c r="CL5" s="117" t="n">
        <f aca="false">SUMIFS(الريسبي!$C$2:$C$1800,الريسبي!$A$2:$A$1800,$A5,الريسبي!$B$2:$B$1800,CL$1)</f>
        <v>0</v>
      </c>
    </row>
    <row r="6" customFormat="false" ht="15" hidden="false" customHeight="false" outlineLevel="0" collapsed="false">
      <c r="A6" s="116" t="str">
        <f aca="false">المنيو!B6</f>
        <v>بيتزا سدق وسط</v>
      </c>
      <c r="B6" s="117" t="n">
        <f aca="false">SUMIFS(الريسبي!$C$2:$C$1800,الريسبي!$A$2:$A$1800,$A6,الريسبي!$B$2:$B$1800,B$1)</f>
        <v>0</v>
      </c>
      <c r="C6" s="117" t="n">
        <f aca="false">SUMIFS(الريسبي!$C$2:$C$1800,الريسبي!$A$2:$A$1800,$A6,الريسبي!$B$2:$B$1800,C$1)</f>
        <v>0</v>
      </c>
      <c r="D6" s="117" t="n">
        <f aca="false">SUMIFS(الريسبي!$C$2:$C$1800,الريسبي!$A$2:$A$1800,$A6,الريسبي!$B$2:$B$1800,D$1)</f>
        <v>1</v>
      </c>
      <c r="E6" s="117" t="n">
        <f aca="false">SUMIFS(الريسبي!$C$2:$C$1800,الريسبي!$A$2:$A$1800,$A6,الريسبي!$B$2:$B$1800,E$1)</f>
        <v>0</v>
      </c>
      <c r="F6" s="117" t="n">
        <f aca="false">SUMIFS(الريسبي!$C$2:$C$1800,الريسبي!$A$2:$A$1800,$A6,الريسبي!$B$2:$B$1800,F$1)</f>
        <v>0</v>
      </c>
      <c r="G6" s="117" t="n">
        <f aca="false">SUMIFS(الريسبي!$C$2:$C$1800,الريسبي!$A$2:$A$1800,$A6,الريسبي!$B$2:$B$1800,G$1)</f>
        <v>0</v>
      </c>
      <c r="H6" s="117" t="n">
        <f aca="false">SUMIFS(الريسبي!$C$2:$C$1800,الريسبي!$A$2:$A$1800,$A6,الريسبي!$B$2:$B$1800,H$1)</f>
        <v>0</v>
      </c>
      <c r="I6" s="117" t="n">
        <f aca="false">SUMIFS(الريسبي!$C$2:$C$1800,الريسبي!$A$2:$A$1800,$A6,الريسبي!$B$2:$B$1800,I$1)</f>
        <v>0</v>
      </c>
      <c r="J6" s="117" t="n">
        <f aca="false">SUMIFS(الريسبي!$C$2:$C$1800,الريسبي!$A$2:$A$1800,$A6,الريسبي!$B$2:$B$1800,J$1)</f>
        <v>0</v>
      </c>
      <c r="K6" s="117" t="n">
        <f aca="false">SUMIFS(الريسبي!$C$2:$C$1800,الريسبي!$A$2:$A$1800,$A6,الريسبي!$B$2:$B$1800,K$1)</f>
        <v>0</v>
      </c>
      <c r="L6" s="117" t="n">
        <f aca="false">SUMIFS(الريسبي!$C$2:$C$1800,الريسبي!$A$2:$A$1800,$A6,الريسبي!$B$2:$B$1800,L$1)</f>
        <v>1</v>
      </c>
      <c r="M6" s="117" t="n">
        <f aca="false">SUMIFS(الريسبي!$C$2:$C$1800,الريسبي!$A$2:$A$1800,$A6,الريسبي!$B$2:$B$1800,M$1)</f>
        <v>0</v>
      </c>
      <c r="N6" s="117" t="n">
        <f aca="false">SUMIFS(الريسبي!$C$2:$C$1800,الريسبي!$A$2:$A$1800,$A6,الريسبي!$B$2:$B$1800,N$1)</f>
        <v>0</v>
      </c>
      <c r="O6" s="117" t="n">
        <f aca="false">SUMIFS(الريسبي!$C$2:$C$1800,الريسبي!$A$2:$A$1800,$A6,الريسبي!$B$2:$B$1800,O$1)</f>
        <v>0</v>
      </c>
      <c r="P6" s="117" t="n">
        <f aca="false">SUMIFS(الريسبي!$C$2:$C$1800,الريسبي!$A$2:$A$1800,$A6,الريسبي!$B$2:$B$1800,P$1)</f>
        <v>0</v>
      </c>
      <c r="Q6" s="117" t="n">
        <f aca="false">SUMIFS(الريسبي!$C$2:$C$1800,الريسبي!$A$2:$A$1800,$A6,الريسبي!$B$2:$B$1800,Q$1)</f>
        <v>0</v>
      </c>
      <c r="R6" s="117" t="n">
        <f aca="false">SUMIFS(الريسبي!$C$2:$C$1800,الريسبي!$A$2:$A$1800,$A6,الريسبي!$B$2:$B$1800,R$1)</f>
        <v>0</v>
      </c>
      <c r="S6" s="117" t="n">
        <f aca="false">SUMIFS(الريسبي!$C$2:$C$1800,الريسبي!$A$2:$A$1800,$A6,الريسبي!$B$2:$B$1800,S$1)</f>
        <v>0</v>
      </c>
      <c r="T6" s="117" t="n">
        <f aca="false">SUMIFS(الريسبي!$C$2:$C$1800,الريسبي!$A$2:$A$1800,$A6,الريسبي!$B$2:$B$1800,T$1)</f>
        <v>0</v>
      </c>
      <c r="U6" s="117" t="n">
        <f aca="false">SUMIFS(الريسبي!$C$2:$C$1800,الريسبي!$A$2:$A$1800,$A6,الريسبي!$B$2:$B$1800,U$1)</f>
        <v>0</v>
      </c>
      <c r="V6" s="117" t="n">
        <f aca="false">SUMIFS(الريسبي!$C$2:$C$1800,الريسبي!$A$2:$A$1800,$A6,الريسبي!$B$2:$B$1800,V$1)</f>
        <v>1</v>
      </c>
      <c r="W6" s="117" t="n">
        <f aca="false">SUMIFS(الريسبي!$C$2:$C$1800,الريسبي!$A$2:$A$1800,$A6,الريسبي!$B$2:$B$1800,W$1)</f>
        <v>0</v>
      </c>
      <c r="X6" s="117" t="n">
        <f aca="false">SUMIFS(الريسبي!$C$2:$C$1800,الريسبي!$A$2:$A$1800,$A6,الريسبي!$B$2:$B$1800,X$1)</f>
        <v>0</v>
      </c>
      <c r="Y6" s="117" t="n">
        <f aca="false">SUMIFS(الريسبي!$C$2:$C$1800,الريسبي!$A$2:$A$1800,$A6,الريسبي!$B$2:$B$1800,Y$1)</f>
        <v>0</v>
      </c>
      <c r="Z6" s="117" t="n">
        <f aca="false">SUMIFS(الريسبي!$C$2:$C$1800,الريسبي!$A$2:$A$1800,$A6,الريسبي!$B$2:$B$1800,Z$1)</f>
        <v>0</v>
      </c>
      <c r="AA6" s="117" t="n">
        <f aca="false">SUMIFS(الريسبي!$C$2:$C$1800,الريسبي!$A$2:$A$1800,$A6,الريسبي!$B$2:$B$1800,AA$1)</f>
        <v>0</v>
      </c>
      <c r="AB6" s="117" t="n">
        <f aca="false">SUMIFS(الريسبي!$C$2:$C$1800,الريسبي!$A$2:$A$1800,$A6,الريسبي!$B$2:$B$1800,AB$1)</f>
        <v>0</v>
      </c>
      <c r="AC6" s="117" t="n">
        <f aca="false">SUMIFS(الريسبي!$C$2:$C$1800,الريسبي!$A$2:$A$1800,$A6,الريسبي!$B$2:$B$1800,AC$1)</f>
        <v>0</v>
      </c>
      <c r="AD6" s="117" t="n">
        <f aca="false">SUMIFS(الريسبي!$C$2:$C$1800,الريسبي!$A$2:$A$1800,$A6,الريسبي!$B$2:$B$1800,AD$1)</f>
        <v>0</v>
      </c>
      <c r="AE6" s="117" t="n">
        <f aca="false">SUMIFS(الريسبي!$C$2:$C$1800,الريسبي!$A$2:$A$1800,$A6,الريسبي!$B$2:$B$1800,AE$1)</f>
        <v>0</v>
      </c>
      <c r="AF6" s="117" t="n">
        <f aca="false">SUMIFS(الريسبي!$C$2:$C$1800,الريسبي!$A$2:$A$1800,$A6,الريسبي!$B$2:$B$1800,AF$1)</f>
        <v>0</v>
      </c>
      <c r="AG6" s="117" t="n">
        <f aca="false">SUMIFS(الريسبي!$C$2:$C$1800,الريسبي!$A$2:$A$1800,$A6,الريسبي!$B$2:$B$1800,AG$1)</f>
        <v>0</v>
      </c>
      <c r="AH6" s="117" t="n">
        <f aca="false">SUMIFS(الريسبي!$C$2:$C$1800,الريسبي!$A$2:$A$1800,$A6,الريسبي!$B$2:$B$1800,AH$1)</f>
        <v>0</v>
      </c>
      <c r="AI6" s="117" t="n">
        <f aca="false">SUMIFS(الريسبي!$C$2:$C$1800,الريسبي!$A$2:$A$1800,$A6,الريسبي!$B$2:$B$1800,AI$1)</f>
        <v>0</v>
      </c>
      <c r="AJ6" s="117" t="n">
        <f aca="false">SUMIFS(الريسبي!$C$2:$C$1800,الريسبي!$A$2:$A$1800,$A6,الريسبي!$B$2:$B$1800,AJ$1)</f>
        <v>2</v>
      </c>
      <c r="AK6" s="117" t="n">
        <f aca="false">SUMIFS(الريسبي!$C$2:$C$1800,الريسبي!$A$2:$A$1800,$A6,الريسبي!$B$2:$B$1800,AK$1)</f>
        <v>0</v>
      </c>
      <c r="AL6" s="117" t="n">
        <f aca="false">SUMIFS(الريسبي!$C$2:$C$1800,الريسبي!$A$2:$A$1800,$A6,الريسبي!$B$2:$B$1800,AL$1)</f>
        <v>0</v>
      </c>
      <c r="AM6" s="117" t="n">
        <f aca="false">SUMIFS(الريسبي!$C$2:$C$1800,الريسبي!$A$2:$A$1800,$A6,الريسبي!$B$2:$B$1800,AM$1)+0.08333333333*SUMIFS(الريسبي!$C$2:$C$1800,الريسبي!$A$2:$A$1800,$A6,الريسبي!$B$2:$B$1800,"عجين كريب (مصنع بالمطعم)")+0.08333333333*SUMIFS(الريسبي!$C$2:$C$1800,الريسبي!$A$2:$A$1800,$A6,الريسبي!$B$2:$B$1800,"عجين كريب صيامي (بدون لبن)")</f>
        <v>0</v>
      </c>
      <c r="AN6" s="117" t="n">
        <f aca="false">SUMIFS(الريسبي!$C$2:$C$1800,الريسبي!$A$2:$A$1800,$A6,الريسبي!$B$2:$B$1800,AN$1)+0.004166666667*SUMIFS(الريسبي!$C$2:$C$1800,الريسبي!$A$2:$A$1800,$A6,الريسبي!$B$2:$B$1800,"عجين كريب (مصنع بالمطعم)")+0.004166666667*SUMIFS(الريسبي!$C$2:$C$1800,الريسبي!$A$2:$A$1800,$A6,الريسبي!$B$2:$B$1800,"عجين كريب صيامي (بدون لبن)")</f>
        <v>0</v>
      </c>
      <c r="AO6" s="117" t="n">
        <f aca="false">SUMIFS(الريسبي!$C$2:$C$1800,الريسبي!$A$2:$A$1800,$A6,الريسبي!$B$2:$B$1800,AO$1)</f>
        <v>0</v>
      </c>
      <c r="AP6" s="117" t="n">
        <f aca="false">SUMIFS(الريسبي!$C$2:$C$1800,الريسبي!$A$2:$A$1800,$A6,الريسبي!$B$2:$B$1800,AP$1)</f>
        <v>0.02</v>
      </c>
      <c r="AQ6" s="117" t="n">
        <f aca="false">SUMIFS(الريسبي!$C$2:$C$1800,الريسبي!$A$2:$A$1800,$A6,الريسبي!$B$2:$B$1800,AQ$1)+0.004166666667*SUMIFS(الريسبي!$C$2:$C$1800,الريسبي!$A$2:$A$1800,$A6,الريسبي!$B$2:$B$1800,"عجين كريب (مصنع بالمطعم)")+0.004166666667*SUMIFS(الريسبي!$C$2:$C$1800,الريسبي!$A$2:$A$1800,$A6,الريسبي!$B$2:$B$1800,"عجين كريب صيامي (بدون لبن)")</f>
        <v>0</v>
      </c>
      <c r="AR6" s="117" t="n">
        <f aca="false">SUMIFS(الريسبي!$C$2:$C$1800,الريسبي!$A$2:$A$1800,$A6,الريسبي!$B$2:$B$1800,AR$1)</f>
        <v>0</v>
      </c>
      <c r="AS6" s="117" t="n">
        <f aca="false">SUMIFS(الريسبي!$C$2:$C$1800,الريسبي!$A$2:$A$1800,$A6,الريسبي!$B$2:$B$1800,AS$1)</f>
        <v>0</v>
      </c>
      <c r="AT6" s="117" t="n">
        <f aca="false">SUMIFS(الريسبي!$C$2:$C$1800,الريسبي!$A$2:$A$1800,$A6,الريسبي!$B$2:$B$1800,AT$1)</f>
        <v>0</v>
      </c>
      <c r="AU6" s="117" t="n">
        <f aca="false">SUMIFS(الريسبي!$C$2:$C$1800,الريسبي!$A$2:$A$1800,$A6,الريسبي!$B$2:$B$1800,AU$1)</f>
        <v>0</v>
      </c>
      <c r="AV6" s="117" t="n">
        <f aca="false">SUMIFS(الريسبي!$C$2:$C$1800,الريسبي!$A$2:$A$1800,$A6,الريسبي!$B$2:$B$1800,AV$1)</f>
        <v>0</v>
      </c>
      <c r="AW6" s="117" t="n">
        <f aca="false">SUMIFS(الريسبي!$C$2:$C$1800,الريسبي!$A$2:$A$1800,$A6,الريسبي!$B$2:$B$1800,AW$1)</f>
        <v>0</v>
      </c>
      <c r="AX6" s="117" t="n">
        <f aca="false">SUMIFS(الريسبي!$C$2:$C$1800,الريسبي!$A$2:$A$1800,$A6,الريسبي!$B$2:$B$1800,AX$1)</f>
        <v>0.04</v>
      </c>
      <c r="AY6" s="117" t="n">
        <f aca="false">SUMIFS(الريسبي!$C$2:$C$1800,الريسبي!$A$2:$A$1800,$A6,الريسبي!$B$2:$B$1800,AY$1)</f>
        <v>0</v>
      </c>
      <c r="AZ6" s="117" t="n">
        <f aca="false">SUMIFS(الريسبي!$C$2:$C$1800,الريسبي!$A$2:$A$1800,$A6,الريسبي!$B$2:$B$1800,AZ$1)</f>
        <v>0</v>
      </c>
      <c r="BA6" s="117" t="n">
        <f aca="false">SUMIFS(الريسبي!$C$2:$C$1800,الريسبي!$A$2:$A$1800,$A6,الريسبي!$B$2:$B$1800,BA$1)</f>
        <v>0</v>
      </c>
      <c r="BB6" s="117" t="n">
        <f aca="false">SUMIFS(الريسبي!$C$2:$C$1800,الريسبي!$A$2:$A$1800,$A6,الريسبي!$B$2:$B$1800,BB$1)</f>
        <v>0</v>
      </c>
      <c r="BC6" s="117" t="n">
        <f aca="false">SUMIFS(الريسبي!$C$2:$C$1800,الريسبي!$A$2:$A$1800,$A6,الريسبي!$B$2:$B$1800,BC$1)</f>
        <v>0.03</v>
      </c>
      <c r="BD6" s="117" t="n">
        <f aca="false">SUMIFS(الريسبي!$C$2:$C$1800,الريسبي!$A$2:$A$1800,$A6,الريسبي!$B$2:$B$1800,BD$1)</f>
        <v>0.22</v>
      </c>
      <c r="BE6" s="117" t="n">
        <f aca="false">SUMIFS(الريسبي!$C$2:$C$1800,الريسبي!$A$2:$A$1800,$A6,الريسبي!$B$2:$B$1800,BE$1)</f>
        <v>0</v>
      </c>
      <c r="BF6" s="117" t="n">
        <f aca="false">SUMIFS(الريسبي!$C$2:$C$1800,الريسبي!$A$2:$A$1800,$A6,الريسبي!$B$2:$B$1800,BF$1)</f>
        <v>0</v>
      </c>
      <c r="BG6" s="117" t="n">
        <f aca="false">SUMIFS(الريسبي!$C$2:$C$1800,الريسبي!$A$2:$A$1800,$A6,الريسبي!$B$2:$B$1800,BG$1)</f>
        <v>0</v>
      </c>
      <c r="BH6" s="117" t="n">
        <f aca="false">SUMIFS(الريسبي!$C$2:$C$1800,الريسبي!$A$2:$A$1800,$A6,الريسبي!$B$2:$B$1800,BH$1)</f>
        <v>1</v>
      </c>
      <c r="BI6" s="117" t="n">
        <f aca="false">SUMIFS(الريسبي!$C$2:$C$1800,الريسبي!$A$2:$A$1800,$A6,الريسبي!$B$2:$B$1800,BI$1)</f>
        <v>0</v>
      </c>
      <c r="BJ6" s="117" t="n">
        <f aca="false">SUMIFS(الريسبي!$C$2:$C$1800,الريسبي!$A$2:$A$1800,$A6,الريسبي!$B$2:$B$1800,BJ$1)</f>
        <v>0</v>
      </c>
      <c r="BK6" s="117" t="n">
        <f aca="false">SUMIFS(الريسبي!$C$2:$C$1800,الريسبي!$A$2:$A$1800,$A6,الريسبي!$B$2:$B$1800,BK$1)</f>
        <v>0</v>
      </c>
      <c r="BL6" s="117" t="n">
        <f aca="false">SUMIFS(الريسبي!$C$2:$C$1800,الريسبي!$A$2:$A$1800,$A6,الريسبي!$B$2:$B$1800,BL$1)</f>
        <v>0</v>
      </c>
      <c r="BM6" s="117" t="n">
        <f aca="false">SUMIFS(الريسبي!$C$2:$C$1800,الريسبي!$A$2:$A$1800,$A6,الريسبي!$B$2:$B$1800,BM$1)</f>
        <v>0</v>
      </c>
      <c r="BN6" s="117" t="n">
        <f aca="false">SUMIFS(الريسبي!$C$2:$C$1800,الريسبي!$A$2:$A$1800,$A6,الريسبي!$B$2:$B$1800,BN$1)</f>
        <v>0.02</v>
      </c>
      <c r="BO6" s="117" t="n">
        <f aca="false">SUMIFS(الريسبي!$C$2:$C$1800,الريسبي!$A$2:$A$1800,$A6,الريسبي!$B$2:$B$1800,BO$1)</f>
        <v>0</v>
      </c>
      <c r="BP6" s="117" t="n">
        <f aca="false">SUMIFS(الريسبي!$C$2:$C$1800,الريسبي!$A$2:$A$1800,$A6,الريسبي!$B$2:$B$1800,BP$1)</f>
        <v>2</v>
      </c>
      <c r="BQ6" s="117" t="n">
        <f aca="false">SUMIFS(الريسبي!$C$2:$C$1800,الريسبي!$A$2:$A$1800,$A6,الريسبي!$B$2:$B$1800,BQ$1)+0.17*SUMIFS(الريسبي!$C$2:$C$1800,الريسبي!$A$2:$A$1800,$A6,الريسبي!$B$2:$B$1800,"كاسترد مصنع (خليط بودر + لبن)")+0.17*SUMIFS(الريسبي!$C$2:$C$1800,الريسبي!$A$2:$A$1800,$A6,الريسبي!$B$2:$B$1800,"كاسترد مصنع صيامي (بدون لبن)")</f>
        <v>0</v>
      </c>
      <c r="BR6" s="117" t="n">
        <f aca="false">SUMIFS(الريسبي!$C$2:$C$1800,الريسبي!$A$2:$A$1800,$A6,الريسبي!$B$2:$B$1800,BR$1)</f>
        <v>1</v>
      </c>
      <c r="BS6" s="117" t="n">
        <f aca="false">SUMIFS(الريسبي!$C$2:$C$1800,الريسبي!$A$2:$A$1800,$A6,الريسبي!$B$2:$B$1800,BS$1)</f>
        <v>0</v>
      </c>
      <c r="BT6" s="117" t="n">
        <f aca="false">SUMIFS(الريسبي!$C$2:$C$1800,الريسبي!$A$2:$A$1800,$A6,الريسبي!$B$2:$B$1800,BT$1)</f>
        <v>0</v>
      </c>
      <c r="BU6" s="117" t="n">
        <f aca="false">SUMIFS(الريسبي!$C$2:$C$1800,الريسبي!$A$2:$A$1800,$A6,الريسبي!$B$2:$B$1800,BU$1)+0.4*SUMIFS(الريسبي!$C$2:$C$1800,الريسبي!$A$2:$A$1800,$A6,الريسبي!$B$2:$B$1800,"كاسترد مصنع (خليط بودر + لبن)")+0.03333333333*SUMIFS(الريسبي!$C$2:$C$1800,الريسبي!$A$2:$A$1800,$A6,الريسبي!$B$2:$B$1800,"عجين كريب (مصنع بالمطعم)")</f>
        <v>0</v>
      </c>
      <c r="BV6" s="117" t="n">
        <f aca="false">SUMIFS(الريسبي!$C$2:$C$1800,الريسبي!$A$2:$A$1800,$A6,الريسبي!$B$2:$B$1800,BV$1)</f>
        <v>0</v>
      </c>
      <c r="BW6" s="117" t="n">
        <f aca="false">SUMIFS(الريسبي!$C$2:$C$1800,الريسبي!$A$2:$A$1800,$A6,الريسبي!$B$2:$B$1800,BW$1)</f>
        <v>0</v>
      </c>
      <c r="BX6" s="117" t="n">
        <f aca="false">SUMIFS(الريسبي!$C$2:$C$1800,الريسبي!$A$2:$A$1800,$A6,الريسبي!$B$2:$B$1800,BX$1)</f>
        <v>0</v>
      </c>
      <c r="BY6" s="117" t="n">
        <f aca="false">SUMIFS(الريسبي!$C$2:$C$1800,الريسبي!$A$2:$A$1800,$A6,الريسبي!$B$2:$B$1800,BY$1)</f>
        <v>0</v>
      </c>
      <c r="BZ6" s="117" t="n">
        <f aca="false">SUMIFS(الريسبي!$C$2:$C$1800,الريسبي!$A$2:$A$1800,$A6,الريسبي!$B$2:$B$1800,BZ$1)</f>
        <v>0</v>
      </c>
      <c r="CA6" s="117" t="n">
        <f aca="false">SUMIFS(الريسبي!$C$2:$C$1800,الريسبي!$A$2:$A$1800,$A6,الريسبي!$B$2:$B$1800,CA$1)</f>
        <v>1</v>
      </c>
      <c r="CB6" s="117" t="n">
        <f aca="false">SUMIFS(الريسبي!$C$2:$C$1800,الريسبي!$A$2:$A$1800,$A6,الريسبي!$B$2:$B$1800,CB$1)</f>
        <v>1</v>
      </c>
      <c r="CC6" s="117" t="n">
        <f aca="false">SUMIFS(الريسبي!$C$2:$C$1800,الريسبي!$A$2:$A$1800,$A6,الريسبي!$B$2:$B$1800,CC$1)</f>
        <v>0</v>
      </c>
      <c r="CD6" s="117" t="n">
        <f aca="false">SUMIFS(الريسبي!$C$2:$C$1800,الريسبي!$A$2:$A$1800,$A6,الريسبي!$B$2:$B$1800,CD$1)</f>
        <v>0</v>
      </c>
      <c r="CE6" s="117" t="n">
        <f aca="false">SUMIFS(الريسبي!$C$2:$C$1800,الريسبي!$A$2:$A$1800,$A6,الريسبي!$B$2:$B$1800,CE$1)</f>
        <v>0</v>
      </c>
      <c r="CF6" s="117" t="n">
        <f aca="false">SUMIFS(الريسبي!$C$2:$C$1800,الريسبي!$A$2:$A$1800,$A6,الريسبي!$B$2:$B$1800,CF$1)</f>
        <v>0</v>
      </c>
      <c r="CG6" s="117" t="n">
        <f aca="false">SUMIFS(الريسبي!$C$2:$C$1800,الريسبي!$A$2:$A$1800,$A6,الريسبي!$B$2:$B$1800,CG$1)</f>
        <v>0</v>
      </c>
      <c r="CH6" s="117" t="n">
        <f aca="false">SUMIFS(الريسبي!$C$2:$C$1800,الريسبي!$A$2:$A$1800,$A6,الريسبي!$B$2:$B$1800,CH$1)</f>
        <v>0</v>
      </c>
      <c r="CI6" s="117" t="n">
        <f aca="false">SUMIFS(الريسبي!$C$2:$C$1800,الريسبي!$A$2:$A$1800,$A6,الريسبي!$B$2:$B$1800,CI$1)</f>
        <v>0</v>
      </c>
      <c r="CJ6" s="117" t="n">
        <f aca="false">SUMIFS(الريسبي!$C$2:$C$1800,الريسبي!$A$2:$A$1800,$A6,الريسبي!$B$2:$B$1800,CJ$1)</f>
        <v>0</v>
      </c>
      <c r="CK6" s="117" t="n">
        <f aca="false">SUMIFS(الريسبي!$C$2:$C$1800,الريسبي!$A$2:$A$1800,$A6,الريسبي!$B$2:$B$1800,CK$1)</f>
        <v>0</v>
      </c>
      <c r="CL6" s="117" t="n">
        <f aca="false">SUMIFS(الريسبي!$C$2:$C$1800,الريسبي!$A$2:$A$1800,$A6,الريسبي!$B$2:$B$1800,CL$1)</f>
        <v>0</v>
      </c>
    </row>
    <row r="7" customFormat="false" ht="15" hidden="false" customHeight="false" outlineLevel="0" collapsed="false">
      <c r="A7" s="116" t="str">
        <f aca="false">المنيو!B7</f>
        <v>بيتزا سدق حجم اكبر</v>
      </c>
      <c r="B7" s="117" t="n">
        <f aca="false">SUMIFS(الريسبي!$C$2:$C$1800,الريسبي!$A$2:$A$1800,$A7,الريسبي!$B$2:$B$1800,B$1)</f>
        <v>0</v>
      </c>
      <c r="C7" s="117" t="n">
        <f aca="false">SUMIFS(الريسبي!$C$2:$C$1800,الريسبي!$A$2:$A$1800,$A7,الريسبي!$B$2:$B$1800,C$1)</f>
        <v>0</v>
      </c>
      <c r="D7" s="117" t="n">
        <f aca="false">SUMIFS(الريسبي!$C$2:$C$1800,الريسبي!$A$2:$A$1800,$A7,الريسبي!$B$2:$B$1800,D$1)</f>
        <v>1</v>
      </c>
      <c r="E7" s="117" t="n">
        <f aca="false">SUMIFS(الريسبي!$C$2:$C$1800,الريسبي!$A$2:$A$1800,$A7,الريسبي!$B$2:$B$1800,E$1)</f>
        <v>0</v>
      </c>
      <c r="F7" s="117" t="n">
        <f aca="false">SUMIFS(الريسبي!$C$2:$C$1800,الريسبي!$A$2:$A$1800,$A7,الريسبي!$B$2:$B$1800,F$1)</f>
        <v>0</v>
      </c>
      <c r="G7" s="117" t="n">
        <f aca="false">SUMIFS(الريسبي!$C$2:$C$1800,الريسبي!$A$2:$A$1800,$A7,الريسبي!$B$2:$B$1800,G$1)</f>
        <v>0</v>
      </c>
      <c r="H7" s="117" t="n">
        <f aca="false">SUMIFS(الريسبي!$C$2:$C$1800,الريسبي!$A$2:$A$1800,$A7,الريسبي!$B$2:$B$1800,H$1)</f>
        <v>0</v>
      </c>
      <c r="I7" s="117" t="n">
        <f aca="false">SUMIFS(الريسبي!$C$2:$C$1800,الريسبي!$A$2:$A$1800,$A7,الريسبي!$B$2:$B$1800,I$1)</f>
        <v>0</v>
      </c>
      <c r="J7" s="117" t="n">
        <f aca="false">SUMIFS(الريسبي!$C$2:$C$1800,الريسبي!$A$2:$A$1800,$A7,الريسبي!$B$2:$B$1800,J$1)</f>
        <v>0</v>
      </c>
      <c r="K7" s="117" t="n">
        <f aca="false">SUMIFS(الريسبي!$C$2:$C$1800,الريسبي!$A$2:$A$1800,$A7,الريسبي!$B$2:$B$1800,K$1)</f>
        <v>0</v>
      </c>
      <c r="L7" s="117" t="n">
        <f aca="false">SUMIFS(الريسبي!$C$2:$C$1800,الريسبي!$A$2:$A$1800,$A7,الريسبي!$B$2:$B$1800,L$1)</f>
        <v>0</v>
      </c>
      <c r="M7" s="117" t="n">
        <f aca="false">SUMIFS(الريسبي!$C$2:$C$1800,الريسبي!$A$2:$A$1800,$A7,الريسبي!$B$2:$B$1800,M$1)</f>
        <v>1</v>
      </c>
      <c r="N7" s="117" t="n">
        <f aca="false">SUMIFS(الريسبي!$C$2:$C$1800,الريسبي!$A$2:$A$1800,$A7,الريسبي!$B$2:$B$1800,N$1)</f>
        <v>0</v>
      </c>
      <c r="O7" s="117" t="n">
        <f aca="false">SUMIFS(الريسبي!$C$2:$C$1800,الريسبي!$A$2:$A$1800,$A7,الريسبي!$B$2:$B$1800,O$1)</f>
        <v>0</v>
      </c>
      <c r="P7" s="117" t="n">
        <f aca="false">SUMIFS(الريسبي!$C$2:$C$1800,الريسبي!$A$2:$A$1800,$A7,الريسبي!$B$2:$B$1800,P$1)</f>
        <v>0</v>
      </c>
      <c r="Q7" s="117" t="n">
        <f aca="false">SUMIFS(الريسبي!$C$2:$C$1800,الريسبي!$A$2:$A$1800,$A7,الريسبي!$B$2:$B$1800,Q$1)</f>
        <v>0</v>
      </c>
      <c r="R7" s="117" t="n">
        <f aca="false">SUMIFS(الريسبي!$C$2:$C$1800,الريسبي!$A$2:$A$1800,$A7,الريسبي!$B$2:$B$1800,R$1)</f>
        <v>0</v>
      </c>
      <c r="S7" s="117" t="n">
        <f aca="false">SUMIFS(الريسبي!$C$2:$C$1800,الريسبي!$A$2:$A$1800,$A7,الريسبي!$B$2:$B$1800,S$1)</f>
        <v>0</v>
      </c>
      <c r="T7" s="117" t="n">
        <f aca="false">SUMIFS(الريسبي!$C$2:$C$1800,الريسبي!$A$2:$A$1800,$A7,الريسبي!$B$2:$B$1800,T$1)</f>
        <v>0</v>
      </c>
      <c r="U7" s="117" t="n">
        <f aca="false">SUMIFS(الريسبي!$C$2:$C$1800,الريسبي!$A$2:$A$1800,$A7,الريسبي!$B$2:$B$1800,U$1)</f>
        <v>0</v>
      </c>
      <c r="V7" s="117" t="n">
        <f aca="false">SUMIFS(الريسبي!$C$2:$C$1800,الريسبي!$A$2:$A$1800,$A7,الريسبي!$B$2:$B$1800,V$1)</f>
        <v>0</v>
      </c>
      <c r="W7" s="117" t="n">
        <f aca="false">SUMIFS(الريسبي!$C$2:$C$1800,الريسبي!$A$2:$A$1800,$A7,الريسبي!$B$2:$B$1800,W$1)</f>
        <v>1</v>
      </c>
      <c r="X7" s="117" t="n">
        <f aca="false">SUMIFS(الريسبي!$C$2:$C$1800,الريسبي!$A$2:$A$1800,$A7,الريسبي!$B$2:$B$1800,X$1)</f>
        <v>0</v>
      </c>
      <c r="Y7" s="117" t="n">
        <f aca="false">SUMIFS(الريسبي!$C$2:$C$1800,الريسبي!$A$2:$A$1800,$A7,الريسبي!$B$2:$B$1800,Y$1)</f>
        <v>0</v>
      </c>
      <c r="Z7" s="117" t="n">
        <f aca="false">SUMIFS(الريسبي!$C$2:$C$1800,الريسبي!$A$2:$A$1800,$A7,الريسبي!$B$2:$B$1800,Z$1)</f>
        <v>0</v>
      </c>
      <c r="AA7" s="117" t="n">
        <f aca="false">SUMIFS(الريسبي!$C$2:$C$1800,الريسبي!$A$2:$A$1800,$A7,الريسبي!$B$2:$B$1800,AA$1)</f>
        <v>0</v>
      </c>
      <c r="AB7" s="117" t="n">
        <f aca="false">SUMIFS(الريسبي!$C$2:$C$1800,الريسبي!$A$2:$A$1800,$A7,الريسبي!$B$2:$B$1800,AB$1)</f>
        <v>0</v>
      </c>
      <c r="AC7" s="117" t="n">
        <f aca="false">SUMIFS(الريسبي!$C$2:$C$1800,الريسبي!$A$2:$A$1800,$A7,الريسبي!$B$2:$B$1800,AC$1)</f>
        <v>0</v>
      </c>
      <c r="AD7" s="117" t="n">
        <f aca="false">SUMIFS(الريسبي!$C$2:$C$1800,الريسبي!$A$2:$A$1800,$A7,الريسبي!$B$2:$B$1800,AD$1)</f>
        <v>0</v>
      </c>
      <c r="AE7" s="117" t="n">
        <f aca="false">SUMIFS(الريسبي!$C$2:$C$1800,الريسبي!$A$2:$A$1800,$A7,الريسبي!$B$2:$B$1800,AE$1)</f>
        <v>0</v>
      </c>
      <c r="AF7" s="117" t="n">
        <f aca="false">SUMIFS(الريسبي!$C$2:$C$1800,الريسبي!$A$2:$A$1800,$A7,الريسبي!$B$2:$B$1800,AF$1)</f>
        <v>0</v>
      </c>
      <c r="AG7" s="117" t="n">
        <f aca="false">SUMIFS(الريسبي!$C$2:$C$1800,الريسبي!$A$2:$A$1800,$A7,الريسبي!$B$2:$B$1800,AG$1)</f>
        <v>0</v>
      </c>
      <c r="AH7" s="117" t="n">
        <f aca="false">SUMIFS(الريسبي!$C$2:$C$1800,الريسبي!$A$2:$A$1800,$A7,الريسبي!$B$2:$B$1800,AH$1)</f>
        <v>0</v>
      </c>
      <c r="AI7" s="117" t="n">
        <f aca="false">SUMIFS(الريسبي!$C$2:$C$1800,الريسبي!$A$2:$A$1800,$A7,الريسبي!$B$2:$B$1800,AI$1)</f>
        <v>0</v>
      </c>
      <c r="AJ7" s="117" t="n">
        <f aca="false">SUMIFS(الريسبي!$C$2:$C$1800,الريسبي!$A$2:$A$1800,$A7,الريسبي!$B$2:$B$1800,AJ$1)</f>
        <v>2</v>
      </c>
      <c r="AK7" s="117" t="n">
        <f aca="false">SUMIFS(الريسبي!$C$2:$C$1800,الريسبي!$A$2:$A$1800,$A7,الريسبي!$B$2:$B$1800,AK$1)</f>
        <v>0</v>
      </c>
      <c r="AL7" s="117" t="n">
        <f aca="false">SUMIFS(الريسبي!$C$2:$C$1800,الريسبي!$A$2:$A$1800,$A7,الريسبي!$B$2:$B$1800,AL$1)</f>
        <v>0</v>
      </c>
      <c r="AM7" s="117" t="n">
        <f aca="false">SUMIFS(الريسبي!$C$2:$C$1800,الريسبي!$A$2:$A$1800,$A7,الريسبي!$B$2:$B$1800,AM$1)+0.08333333333*SUMIFS(الريسبي!$C$2:$C$1800,الريسبي!$A$2:$A$1800,$A7,الريسبي!$B$2:$B$1800,"عجين كريب (مصنع بالمطعم)")+0.08333333333*SUMIFS(الريسبي!$C$2:$C$1800,الريسبي!$A$2:$A$1800,$A7,الريسبي!$B$2:$B$1800,"عجين كريب صيامي (بدون لبن)")</f>
        <v>0</v>
      </c>
      <c r="AN7" s="117" t="n">
        <f aca="false">SUMIFS(الريسبي!$C$2:$C$1800,الريسبي!$A$2:$A$1800,$A7,الريسبي!$B$2:$B$1800,AN$1)+0.004166666667*SUMIFS(الريسبي!$C$2:$C$1800,الريسبي!$A$2:$A$1800,$A7,الريسبي!$B$2:$B$1800,"عجين كريب (مصنع بالمطعم)")+0.004166666667*SUMIFS(الريسبي!$C$2:$C$1800,الريسبي!$A$2:$A$1800,$A7,الريسبي!$B$2:$B$1800,"عجين كريب صيامي (بدون لبن)")</f>
        <v>0</v>
      </c>
      <c r="AO7" s="117" t="n">
        <f aca="false">SUMIFS(الريسبي!$C$2:$C$1800,الريسبي!$A$2:$A$1800,$A7,الريسبي!$B$2:$B$1800,AO$1)</f>
        <v>0</v>
      </c>
      <c r="AP7" s="117" t="n">
        <f aca="false">SUMIFS(الريسبي!$C$2:$C$1800,الريسبي!$A$2:$A$1800,$A7,الريسبي!$B$2:$B$1800,AP$1)</f>
        <v>0.03</v>
      </c>
      <c r="AQ7" s="117" t="n">
        <f aca="false">SUMIFS(الريسبي!$C$2:$C$1800,الريسبي!$A$2:$A$1800,$A7,الريسبي!$B$2:$B$1800,AQ$1)+0.004166666667*SUMIFS(الريسبي!$C$2:$C$1800,الريسبي!$A$2:$A$1800,$A7,الريسبي!$B$2:$B$1800,"عجين كريب (مصنع بالمطعم)")+0.004166666667*SUMIFS(الريسبي!$C$2:$C$1800,الريسبي!$A$2:$A$1800,$A7,الريسبي!$B$2:$B$1800,"عجين كريب صيامي (بدون لبن)")</f>
        <v>0</v>
      </c>
      <c r="AR7" s="117" t="n">
        <f aca="false">SUMIFS(الريسبي!$C$2:$C$1800,الريسبي!$A$2:$A$1800,$A7,الريسبي!$B$2:$B$1800,AR$1)</f>
        <v>0</v>
      </c>
      <c r="AS7" s="117" t="n">
        <f aca="false">SUMIFS(الريسبي!$C$2:$C$1800,الريسبي!$A$2:$A$1800,$A7,الريسبي!$B$2:$B$1800,AS$1)</f>
        <v>0</v>
      </c>
      <c r="AT7" s="117" t="n">
        <f aca="false">SUMIFS(الريسبي!$C$2:$C$1800,الريسبي!$A$2:$A$1800,$A7,الريسبي!$B$2:$B$1800,AT$1)</f>
        <v>0</v>
      </c>
      <c r="AU7" s="117" t="n">
        <f aca="false">SUMIFS(الريسبي!$C$2:$C$1800,الريسبي!$A$2:$A$1800,$A7,الريسبي!$B$2:$B$1800,AU$1)</f>
        <v>0</v>
      </c>
      <c r="AV7" s="117" t="n">
        <f aca="false">SUMIFS(الريسبي!$C$2:$C$1800,الريسبي!$A$2:$A$1800,$A7,الريسبي!$B$2:$B$1800,AV$1)</f>
        <v>0</v>
      </c>
      <c r="AW7" s="117" t="n">
        <f aca="false">SUMIFS(الريسبي!$C$2:$C$1800,الريسبي!$A$2:$A$1800,$A7,الريسبي!$B$2:$B$1800,AW$1)</f>
        <v>0</v>
      </c>
      <c r="AX7" s="117" t="n">
        <f aca="false">SUMIFS(الريسبي!$C$2:$C$1800,الريسبي!$A$2:$A$1800,$A7,الريسبي!$B$2:$B$1800,AX$1)</f>
        <v>0.06</v>
      </c>
      <c r="AY7" s="117" t="n">
        <f aca="false">SUMIFS(الريسبي!$C$2:$C$1800,الريسبي!$A$2:$A$1800,$A7,الريسبي!$B$2:$B$1800,AY$1)</f>
        <v>0</v>
      </c>
      <c r="AZ7" s="117" t="n">
        <f aca="false">SUMIFS(الريسبي!$C$2:$C$1800,الريسبي!$A$2:$A$1800,$A7,الريسبي!$B$2:$B$1800,AZ$1)</f>
        <v>0</v>
      </c>
      <c r="BA7" s="117" t="n">
        <f aca="false">SUMIFS(الريسبي!$C$2:$C$1800,الريسبي!$A$2:$A$1800,$A7,الريسبي!$B$2:$B$1800,BA$1)</f>
        <v>0</v>
      </c>
      <c r="BB7" s="117" t="n">
        <f aca="false">SUMIFS(الريسبي!$C$2:$C$1800,الريسبي!$A$2:$A$1800,$A7,الريسبي!$B$2:$B$1800,BB$1)</f>
        <v>0</v>
      </c>
      <c r="BC7" s="117" t="n">
        <f aca="false">SUMIFS(الريسبي!$C$2:$C$1800,الريسبي!$A$2:$A$1800,$A7,الريسبي!$B$2:$B$1800,BC$1)</f>
        <v>0.045</v>
      </c>
      <c r="BD7" s="117" t="n">
        <f aca="false">SUMIFS(الريسبي!$C$2:$C$1800,الريسبي!$A$2:$A$1800,$A7,الريسبي!$B$2:$B$1800,BD$1)</f>
        <v>0.3</v>
      </c>
      <c r="BE7" s="117" t="n">
        <f aca="false">SUMIFS(الريسبي!$C$2:$C$1800,الريسبي!$A$2:$A$1800,$A7,الريسبي!$B$2:$B$1800,BE$1)</f>
        <v>0</v>
      </c>
      <c r="BF7" s="117" t="n">
        <f aca="false">SUMIFS(الريسبي!$C$2:$C$1800,الريسبي!$A$2:$A$1800,$A7,الريسبي!$B$2:$B$1800,BF$1)</f>
        <v>0</v>
      </c>
      <c r="BG7" s="117" t="n">
        <f aca="false">SUMIFS(الريسبي!$C$2:$C$1800,الريسبي!$A$2:$A$1800,$A7,الريسبي!$B$2:$B$1800,BG$1)</f>
        <v>1</v>
      </c>
      <c r="BH7" s="117" t="n">
        <f aca="false">SUMIFS(الريسبي!$C$2:$C$1800,الريسبي!$A$2:$A$1800,$A7,الريسبي!$B$2:$B$1800,BH$1)</f>
        <v>0</v>
      </c>
      <c r="BI7" s="117" t="n">
        <f aca="false">SUMIFS(الريسبي!$C$2:$C$1800,الريسبي!$A$2:$A$1800,$A7,الريسبي!$B$2:$B$1800,BI$1)</f>
        <v>0</v>
      </c>
      <c r="BJ7" s="117" t="n">
        <f aca="false">SUMIFS(الريسبي!$C$2:$C$1800,الريسبي!$A$2:$A$1800,$A7,الريسبي!$B$2:$B$1800,BJ$1)</f>
        <v>0</v>
      </c>
      <c r="BK7" s="117" t="n">
        <f aca="false">SUMIFS(الريسبي!$C$2:$C$1800,الريسبي!$A$2:$A$1800,$A7,الريسبي!$B$2:$B$1800,BK$1)</f>
        <v>0</v>
      </c>
      <c r="BL7" s="117" t="n">
        <f aca="false">SUMIFS(الريسبي!$C$2:$C$1800,الريسبي!$A$2:$A$1800,$A7,الريسبي!$B$2:$B$1800,BL$1)</f>
        <v>0</v>
      </c>
      <c r="BM7" s="117" t="n">
        <f aca="false">SUMIFS(الريسبي!$C$2:$C$1800,الريسبي!$A$2:$A$1800,$A7,الريسبي!$B$2:$B$1800,BM$1)</f>
        <v>0</v>
      </c>
      <c r="BN7" s="117" t="n">
        <f aca="false">SUMIFS(الريسبي!$C$2:$C$1800,الريسبي!$A$2:$A$1800,$A7,الريسبي!$B$2:$B$1800,BN$1)</f>
        <v>0.03</v>
      </c>
      <c r="BO7" s="117" t="n">
        <f aca="false">SUMIFS(الريسبي!$C$2:$C$1800,الريسبي!$A$2:$A$1800,$A7,الريسبي!$B$2:$B$1800,BO$1)</f>
        <v>0</v>
      </c>
      <c r="BP7" s="117" t="n">
        <f aca="false">SUMIFS(الريسبي!$C$2:$C$1800,الريسبي!$A$2:$A$1800,$A7,الريسبي!$B$2:$B$1800,BP$1)</f>
        <v>3</v>
      </c>
      <c r="BQ7" s="117" t="n">
        <f aca="false">SUMIFS(الريسبي!$C$2:$C$1800,الريسبي!$A$2:$A$1800,$A7,الريسبي!$B$2:$B$1800,BQ$1)+0.17*SUMIFS(الريسبي!$C$2:$C$1800,الريسبي!$A$2:$A$1800,$A7,الريسبي!$B$2:$B$1800,"كاسترد مصنع (خليط بودر + لبن)")+0.17*SUMIFS(الريسبي!$C$2:$C$1800,الريسبي!$A$2:$A$1800,$A7,الريسبي!$B$2:$B$1800,"كاسترد مصنع صيامي (بدون لبن)")</f>
        <v>0</v>
      </c>
      <c r="BR7" s="117" t="n">
        <f aca="false">SUMIFS(الريسبي!$C$2:$C$1800,الريسبي!$A$2:$A$1800,$A7,الريسبي!$B$2:$B$1800,BR$1)</f>
        <v>1</v>
      </c>
      <c r="BS7" s="117" t="n">
        <f aca="false">SUMIFS(الريسبي!$C$2:$C$1800,الريسبي!$A$2:$A$1800,$A7,الريسبي!$B$2:$B$1800,BS$1)</f>
        <v>0</v>
      </c>
      <c r="BT7" s="117" t="n">
        <f aca="false">SUMIFS(الريسبي!$C$2:$C$1800,الريسبي!$A$2:$A$1800,$A7,الريسبي!$B$2:$B$1800,BT$1)</f>
        <v>0</v>
      </c>
      <c r="BU7" s="117" t="n">
        <f aca="false">SUMIFS(الريسبي!$C$2:$C$1800,الريسبي!$A$2:$A$1800,$A7,الريسبي!$B$2:$B$1800,BU$1)+0.4*SUMIFS(الريسبي!$C$2:$C$1800,الريسبي!$A$2:$A$1800,$A7,الريسبي!$B$2:$B$1800,"كاسترد مصنع (خليط بودر + لبن)")+0.03333333333*SUMIFS(الريسبي!$C$2:$C$1800,الريسبي!$A$2:$A$1800,$A7,الريسبي!$B$2:$B$1800,"عجين كريب (مصنع بالمطعم)")</f>
        <v>0</v>
      </c>
      <c r="BV7" s="117" t="n">
        <f aca="false">SUMIFS(الريسبي!$C$2:$C$1800,الريسبي!$A$2:$A$1800,$A7,الريسبي!$B$2:$B$1800,BV$1)</f>
        <v>0</v>
      </c>
      <c r="BW7" s="117" t="n">
        <f aca="false">SUMIFS(الريسبي!$C$2:$C$1800,الريسبي!$A$2:$A$1800,$A7,الريسبي!$B$2:$B$1800,BW$1)</f>
        <v>0</v>
      </c>
      <c r="BX7" s="117" t="n">
        <f aca="false">SUMIFS(الريسبي!$C$2:$C$1800,الريسبي!$A$2:$A$1800,$A7,الريسبي!$B$2:$B$1800,BX$1)</f>
        <v>0</v>
      </c>
      <c r="BY7" s="117" t="n">
        <f aca="false">SUMIFS(الريسبي!$C$2:$C$1800,الريسبي!$A$2:$A$1800,$A7,الريسبي!$B$2:$B$1800,BY$1)</f>
        <v>0</v>
      </c>
      <c r="BZ7" s="117" t="n">
        <f aca="false">SUMIFS(الريسبي!$C$2:$C$1800,الريسبي!$A$2:$A$1800,$A7,الريسبي!$B$2:$B$1800,BZ$1)</f>
        <v>0</v>
      </c>
      <c r="CA7" s="117" t="n">
        <f aca="false">SUMIFS(الريسبي!$C$2:$C$1800,الريسبي!$A$2:$A$1800,$A7,الريسبي!$B$2:$B$1800,CA$1)</f>
        <v>1</v>
      </c>
      <c r="CB7" s="117" t="n">
        <f aca="false">SUMIFS(الريسبي!$C$2:$C$1800,الريسبي!$A$2:$A$1800,$A7,الريسبي!$B$2:$B$1800,CB$1)</f>
        <v>1</v>
      </c>
      <c r="CC7" s="117" t="n">
        <f aca="false">SUMIFS(الريسبي!$C$2:$C$1800,الريسبي!$A$2:$A$1800,$A7,الريسبي!$B$2:$B$1800,CC$1)</f>
        <v>0</v>
      </c>
      <c r="CD7" s="117" t="n">
        <f aca="false">SUMIFS(الريسبي!$C$2:$C$1800,الريسبي!$A$2:$A$1800,$A7,الريسبي!$B$2:$B$1800,CD$1)</f>
        <v>0</v>
      </c>
      <c r="CE7" s="117" t="n">
        <f aca="false">SUMIFS(الريسبي!$C$2:$C$1800,الريسبي!$A$2:$A$1800,$A7,الريسبي!$B$2:$B$1800,CE$1)</f>
        <v>0</v>
      </c>
      <c r="CF7" s="117" t="n">
        <f aca="false">SUMIFS(الريسبي!$C$2:$C$1800,الريسبي!$A$2:$A$1800,$A7,الريسبي!$B$2:$B$1800,CF$1)</f>
        <v>0</v>
      </c>
      <c r="CG7" s="117" t="n">
        <f aca="false">SUMIFS(الريسبي!$C$2:$C$1800,الريسبي!$A$2:$A$1800,$A7,الريسبي!$B$2:$B$1800,CG$1)</f>
        <v>0</v>
      </c>
      <c r="CH7" s="117" t="n">
        <f aca="false">SUMIFS(الريسبي!$C$2:$C$1800,الريسبي!$A$2:$A$1800,$A7,الريسبي!$B$2:$B$1800,CH$1)</f>
        <v>0</v>
      </c>
      <c r="CI7" s="117" t="n">
        <f aca="false">SUMIFS(الريسبي!$C$2:$C$1800,الريسبي!$A$2:$A$1800,$A7,الريسبي!$B$2:$B$1800,CI$1)</f>
        <v>0</v>
      </c>
      <c r="CJ7" s="117" t="n">
        <f aca="false">SUMIFS(الريسبي!$C$2:$C$1800,الريسبي!$A$2:$A$1800,$A7,الريسبي!$B$2:$B$1800,CJ$1)</f>
        <v>0</v>
      </c>
      <c r="CK7" s="117" t="n">
        <f aca="false">SUMIFS(الريسبي!$C$2:$C$1800,الريسبي!$A$2:$A$1800,$A7,الريسبي!$B$2:$B$1800,CK$1)</f>
        <v>0</v>
      </c>
      <c r="CL7" s="117" t="n">
        <f aca="false">SUMIFS(الريسبي!$C$2:$C$1800,الريسبي!$A$2:$A$1800,$A7,الريسبي!$B$2:$B$1800,CL$1)</f>
        <v>0</v>
      </c>
    </row>
    <row r="8" customFormat="false" ht="15" hidden="false" customHeight="false" outlineLevel="0" collapsed="false">
      <c r="A8" s="116" t="str">
        <f aca="false">المنيو!B8</f>
        <v>بيتزا دبل سلامي / بيبروني وسط</v>
      </c>
      <c r="B8" s="117" t="n">
        <f aca="false">SUMIFS(الريسبي!$C$2:$C$1800,الريسبي!$A$2:$A$1800,$A8,الريسبي!$B$2:$B$1800,B$1)</f>
        <v>0</v>
      </c>
      <c r="C8" s="117" t="n">
        <f aca="false">SUMIFS(الريسبي!$C$2:$C$1800,الريسبي!$A$2:$A$1800,$A8,الريسبي!$B$2:$B$1800,C$1)</f>
        <v>0</v>
      </c>
      <c r="D8" s="117" t="n">
        <f aca="false">SUMIFS(الريسبي!$C$2:$C$1800,الريسبي!$A$2:$A$1800,$A8,الريسبي!$B$2:$B$1800,D$1)</f>
        <v>1</v>
      </c>
      <c r="E8" s="117" t="n">
        <f aca="false">SUMIFS(الريسبي!$C$2:$C$1800,الريسبي!$A$2:$A$1800,$A8,الريسبي!$B$2:$B$1800,E$1)</f>
        <v>0</v>
      </c>
      <c r="F8" s="117" t="n">
        <f aca="false">SUMIFS(الريسبي!$C$2:$C$1800,الريسبي!$A$2:$A$1800,$A8,الريسبي!$B$2:$B$1800,F$1)</f>
        <v>0</v>
      </c>
      <c r="G8" s="117" t="n">
        <f aca="false">SUMIFS(الريسبي!$C$2:$C$1800,الريسبي!$A$2:$A$1800,$A8,الريسبي!$B$2:$B$1800,G$1)</f>
        <v>0</v>
      </c>
      <c r="H8" s="117" t="n">
        <f aca="false">SUMIFS(الريسبي!$C$2:$C$1800,الريسبي!$A$2:$A$1800,$A8,الريسبي!$B$2:$B$1800,H$1)</f>
        <v>0</v>
      </c>
      <c r="I8" s="117" t="n">
        <f aca="false">SUMIFS(الريسبي!$C$2:$C$1800,الريسبي!$A$2:$A$1800,$A8,الريسبي!$B$2:$B$1800,I$1)</f>
        <v>0</v>
      </c>
      <c r="J8" s="117" t="n">
        <f aca="false">SUMIFS(الريسبي!$C$2:$C$1800,الريسبي!$A$2:$A$1800,$A8,الريسبي!$B$2:$B$1800,J$1)</f>
        <v>0</v>
      </c>
      <c r="K8" s="117" t="n">
        <f aca="false">SUMIFS(الريسبي!$C$2:$C$1800,الريسبي!$A$2:$A$1800,$A8,الريسبي!$B$2:$B$1800,K$1)</f>
        <v>0</v>
      </c>
      <c r="L8" s="117" t="n">
        <f aca="false">SUMIFS(الريسبي!$C$2:$C$1800,الريسبي!$A$2:$A$1800,$A8,الريسبي!$B$2:$B$1800,L$1)</f>
        <v>0</v>
      </c>
      <c r="M8" s="117" t="n">
        <f aca="false">SUMIFS(الريسبي!$C$2:$C$1800,الريسبي!$A$2:$A$1800,$A8,الريسبي!$B$2:$B$1800,M$1)</f>
        <v>0</v>
      </c>
      <c r="N8" s="117" t="n">
        <f aca="false">SUMIFS(الريسبي!$C$2:$C$1800,الريسبي!$A$2:$A$1800,$A8,الريسبي!$B$2:$B$1800,N$1)</f>
        <v>1</v>
      </c>
      <c r="O8" s="117" t="n">
        <f aca="false">SUMIFS(الريسبي!$C$2:$C$1800,الريسبي!$A$2:$A$1800,$A8,الريسبي!$B$2:$B$1800,O$1)</f>
        <v>0</v>
      </c>
      <c r="P8" s="117" t="n">
        <f aca="false">SUMIFS(الريسبي!$C$2:$C$1800,الريسبي!$A$2:$A$1800,$A8,الريسبي!$B$2:$B$1800,P$1)</f>
        <v>0</v>
      </c>
      <c r="Q8" s="117" t="n">
        <f aca="false">SUMIFS(الريسبي!$C$2:$C$1800,الريسبي!$A$2:$A$1800,$A8,الريسبي!$B$2:$B$1800,Q$1)</f>
        <v>0</v>
      </c>
      <c r="R8" s="117" t="n">
        <f aca="false">SUMIFS(الريسبي!$C$2:$C$1800,الريسبي!$A$2:$A$1800,$A8,الريسبي!$B$2:$B$1800,R$1)</f>
        <v>0</v>
      </c>
      <c r="S8" s="117" t="n">
        <f aca="false">SUMIFS(الريسبي!$C$2:$C$1800,الريسبي!$A$2:$A$1800,$A8,الريسبي!$B$2:$B$1800,S$1)</f>
        <v>0</v>
      </c>
      <c r="T8" s="117" t="n">
        <f aca="false">SUMIFS(الريسبي!$C$2:$C$1800,الريسبي!$A$2:$A$1800,$A8,الريسبي!$B$2:$B$1800,T$1)</f>
        <v>0</v>
      </c>
      <c r="U8" s="117" t="n">
        <f aca="false">SUMIFS(الريسبي!$C$2:$C$1800,الريسبي!$A$2:$A$1800,$A8,الريسبي!$B$2:$B$1800,U$1)</f>
        <v>0</v>
      </c>
      <c r="V8" s="117" t="n">
        <f aca="false">SUMIFS(الريسبي!$C$2:$C$1800,الريسبي!$A$2:$A$1800,$A8,الريسبي!$B$2:$B$1800,V$1)</f>
        <v>1</v>
      </c>
      <c r="W8" s="117" t="n">
        <f aca="false">SUMIFS(الريسبي!$C$2:$C$1800,الريسبي!$A$2:$A$1800,$A8,الريسبي!$B$2:$B$1800,W$1)</f>
        <v>0</v>
      </c>
      <c r="X8" s="117" t="n">
        <f aca="false">SUMIFS(الريسبي!$C$2:$C$1800,الريسبي!$A$2:$A$1800,$A8,الريسبي!$B$2:$B$1800,X$1)</f>
        <v>0</v>
      </c>
      <c r="Y8" s="117" t="n">
        <f aca="false">SUMIFS(الريسبي!$C$2:$C$1800,الريسبي!$A$2:$A$1800,$A8,الريسبي!$B$2:$B$1800,Y$1)</f>
        <v>0</v>
      </c>
      <c r="Z8" s="117" t="n">
        <f aca="false">SUMIFS(الريسبي!$C$2:$C$1800,الريسبي!$A$2:$A$1800,$A8,الريسبي!$B$2:$B$1800,Z$1)</f>
        <v>0</v>
      </c>
      <c r="AA8" s="117" t="n">
        <f aca="false">SUMIFS(الريسبي!$C$2:$C$1800,الريسبي!$A$2:$A$1800,$A8,الريسبي!$B$2:$B$1800,AA$1)</f>
        <v>0</v>
      </c>
      <c r="AB8" s="117" t="n">
        <f aca="false">SUMIFS(الريسبي!$C$2:$C$1800,الريسبي!$A$2:$A$1800,$A8,الريسبي!$B$2:$B$1800,AB$1)</f>
        <v>0</v>
      </c>
      <c r="AC8" s="117" t="n">
        <f aca="false">SUMIFS(الريسبي!$C$2:$C$1800,الريسبي!$A$2:$A$1800,$A8,الريسبي!$B$2:$B$1800,AC$1)</f>
        <v>0</v>
      </c>
      <c r="AD8" s="117" t="n">
        <f aca="false">SUMIFS(الريسبي!$C$2:$C$1800,الريسبي!$A$2:$A$1800,$A8,الريسبي!$B$2:$B$1800,AD$1)</f>
        <v>0</v>
      </c>
      <c r="AE8" s="117" t="n">
        <f aca="false">SUMIFS(الريسبي!$C$2:$C$1800,الريسبي!$A$2:$A$1800,$A8,الريسبي!$B$2:$B$1800,AE$1)</f>
        <v>0</v>
      </c>
      <c r="AF8" s="117" t="n">
        <f aca="false">SUMIFS(الريسبي!$C$2:$C$1800,الريسبي!$A$2:$A$1800,$A8,الريسبي!$B$2:$B$1800,AF$1)</f>
        <v>0</v>
      </c>
      <c r="AG8" s="117" t="n">
        <f aca="false">SUMIFS(الريسبي!$C$2:$C$1800,الريسبي!$A$2:$A$1800,$A8,الريسبي!$B$2:$B$1800,AG$1)</f>
        <v>0</v>
      </c>
      <c r="AH8" s="117" t="n">
        <f aca="false">SUMIFS(الريسبي!$C$2:$C$1800,الريسبي!$A$2:$A$1800,$A8,الريسبي!$B$2:$B$1800,AH$1)</f>
        <v>0</v>
      </c>
      <c r="AI8" s="117" t="n">
        <f aca="false">SUMIFS(الريسبي!$C$2:$C$1800,الريسبي!$A$2:$A$1800,$A8,الريسبي!$B$2:$B$1800,AI$1)</f>
        <v>0</v>
      </c>
      <c r="AJ8" s="117" t="n">
        <f aca="false">SUMIFS(الريسبي!$C$2:$C$1800,الريسبي!$A$2:$A$1800,$A8,الريسبي!$B$2:$B$1800,AJ$1)</f>
        <v>2</v>
      </c>
      <c r="AK8" s="117" t="n">
        <f aca="false">SUMIFS(الريسبي!$C$2:$C$1800,الريسبي!$A$2:$A$1800,$A8,الريسبي!$B$2:$B$1800,AK$1)</f>
        <v>0</v>
      </c>
      <c r="AL8" s="117" t="n">
        <f aca="false">SUMIFS(الريسبي!$C$2:$C$1800,الريسبي!$A$2:$A$1800,$A8,الريسبي!$B$2:$B$1800,AL$1)</f>
        <v>0</v>
      </c>
      <c r="AM8" s="117" t="n">
        <f aca="false">SUMIFS(الريسبي!$C$2:$C$1800,الريسبي!$A$2:$A$1800,$A8,الريسبي!$B$2:$B$1800,AM$1)+0.08333333333*SUMIFS(الريسبي!$C$2:$C$1800,الريسبي!$A$2:$A$1800,$A8,الريسبي!$B$2:$B$1800,"عجين كريب (مصنع بالمطعم)")+0.08333333333*SUMIFS(الريسبي!$C$2:$C$1800,الريسبي!$A$2:$A$1800,$A8,الريسبي!$B$2:$B$1800,"عجين كريب صيامي (بدون لبن)")</f>
        <v>0</v>
      </c>
      <c r="AN8" s="117" t="n">
        <f aca="false">SUMIFS(الريسبي!$C$2:$C$1800,الريسبي!$A$2:$A$1800,$A8,الريسبي!$B$2:$B$1800,AN$1)+0.004166666667*SUMIFS(الريسبي!$C$2:$C$1800,الريسبي!$A$2:$A$1800,$A8,الريسبي!$B$2:$B$1800,"عجين كريب (مصنع بالمطعم)")+0.004166666667*SUMIFS(الريسبي!$C$2:$C$1800,الريسبي!$A$2:$A$1800,$A8,الريسبي!$B$2:$B$1800,"عجين كريب صيامي (بدون لبن)")</f>
        <v>0</v>
      </c>
      <c r="AO8" s="117" t="n">
        <f aca="false">SUMIFS(الريسبي!$C$2:$C$1800,الريسبي!$A$2:$A$1800,$A8,الريسبي!$B$2:$B$1800,AO$1)</f>
        <v>0</v>
      </c>
      <c r="AP8" s="117" t="n">
        <f aca="false">SUMIFS(الريسبي!$C$2:$C$1800,الريسبي!$A$2:$A$1800,$A8,الريسبي!$B$2:$B$1800,AP$1)</f>
        <v>0.02</v>
      </c>
      <c r="AQ8" s="117" t="n">
        <f aca="false">SUMIFS(الريسبي!$C$2:$C$1800,الريسبي!$A$2:$A$1800,$A8,الريسبي!$B$2:$B$1800,AQ$1)+0.004166666667*SUMIFS(الريسبي!$C$2:$C$1800,الريسبي!$A$2:$A$1800,$A8,الريسبي!$B$2:$B$1800,"عجين كريب (مصنع بالمطعم)")+0.004166666667*SUMIFS(الريسبي!$C$2:$C$1800,الريسبي!$A$2:$A$1800,$A8,الريسبي!$B$2:$B$1800,"عجين كريب صيامي (بدون لبن)")</f>
        <v>0</v>
      </c>
      <c r="AR8" s="117" t="n">
        <f aca="false">SUMIFS(الريسبي!$C$2:$C$1800,الريسبي!$A$2:$A$1800,$A8,الريسبي!$B$2:$B$1800,AR$1)</f>
        <v>0</v>
      </c>
      <c r="AS8" s="117" t="n">
        <f aca="false">SUMIFS(الريسبي!$C$2:$C$1800,الريسبي!$A$2:$A$1800,$A8,الريسبي!$B$2:$B$1800,AS$1)</f>
        <v>0</v>
      </c>
      <c r="AT8" s="117" t="n">
        <f aca="false">SUMIFS(الريسبي!$C$2:$C$1800,الريسبي!$A$2:$A$1800,$A8,الريسبي!$B$2:$B$1800,AT$1)</f>
        <v>0</v>
      </c>
      <c r="AU8" s="117" t="n">
        <f aca="false">SUMIFS(الريسبي!$C$2:$C$1800,الريسبي!$A$2:$A$1800,$A8,الريسبي!$B$2:$B$1800,AU$1)</f>
        <v>0</v>
      </c>
      <c r="AV8" s="117" t="n">
        <f aca="false">SUMIFS(الريسبي!$C$2:$C$1800,الريسبي!$A$2:$A$1800,$A8,الريسبي!$B$2:$B$1800,AV$1)</f>
        <v>0</v>
      </c>
      <c r="AW8" s="117" t="n">
        <f aca="false">SUMIFS(الريسبي!$C$2:$C$1800,الريسبي!$A$2:$A$1800,$A8,الريسبي!$B$2:$B$1800,AW$1)</f>
        <v>0</v>
      </c>
      <c r="AX8" s="117" t="n">
        <f aca="false">SUMIFS(الريسبي!$C$2:$C$1800,الريسبي!$A$2:$A$1800,$A8,الريسبي!$B$2:$B$1800,AX$1)</f>
        <v>0.04</v>
      </c>
      <c r="AY8" s="117" t="n">
        <f aca="false">SUMIFS(الريسبي!$C$2:$C$1800,الريسبي!$A$2:$A$1800,$A8,الريسبي!$B$2:$B$1800,AY$1)</f>
        <v>0</v>
      </c>
      <c r="AZ8" s="117" t="n">
        <f aca="false">SUMIFS(الريسبي!$C$2:$C$1800,الريسبي!$A$2:$A$1800,$A8,الريسبي!$B$2:$B$1800,AZ$1)</f>
        <v>0</v>
      </c>
      <c r="BA8" s="117" t="n">
        <f aca="false">SUMIFS(الريسبي!$C$2:$C$1800,الريسبي!$A$2:$A$1800,$A8,الريسبي!$B$2:$B$1800,BA$1)</f>
        <v>0</v>
      </c>
      <c r="BB8" s="117" t="n">
        <f aca="false">SUMIFS(الريسبي!$C$2:$C$1800,الريسبي!$A$2:$A$1800,$A8,الريسبي!$B$2:$B$1800,BB$1)</f>
        <v>0</v>
      </c>
      <c r="BC8" s="117" t="n">
        <f aca="false">SUMIFS(الريسبي!$C$2:$C$1800,الريسبي!$A$2:$A$1800,$A8,الريسبي!$B$2:$B$1800,BC$1)</f>
        <v>0.03</v>
      </c>
      <c r="BD8" s="117" t="n">
        <f aca="false">SUMIFS(الريسبي!$C$2:$C$1800,الريسبي!$A$2:$A$1800,$A8,الريسبي!$B$2:$B$1800,BD$1)</f>
        <v>0.22</v>
      </c>
      <c r="BE8" s="117" t="n">
        <f aca="false">SUMIFS(الريسبي!$C$2:$C$1800,الريسبي!$A$2:$A$1800,$A8,الريسبي!$B$2:$B$1800,BE$1)</f>
        <v>0</v>
      </c>
      <c r="BF8" s="117" t="n">
        <f aca="false">SUMIFS(الريسبي!$C$2:$C$1800,الريسبي!$A$2:$A$1800,$A8,الريسبي!$B$2:$B$1800,BF$1)</f>
        <v>0</v>
      </c>
      <c r="BG8" s="117" t="n">
        <f aca="false">SUMIFS(الريسبي!$C$2:$C$1800,الريسبي!$A$2:$A$1800,$A8,الريسبي!$B$2:$B$1800,BG$1)</f>
        <v>0</v>
      </c>
      <c r="BH8" s="117" t="n">
        <f aca="false">SUMIFS(الريسبي!$C$2:$C$1800,الريسبي!$A$2:$A$1800,$A8,الريسبي!$B$2:$B$1800,BH$1)</f>
        <v>1</v>
      </c>
      <c r="BI8" s="117" t="n">
        <f aca="false">SUMIFS(الريسبي!$C$2:$C$1800,الريسبي!$A$2:$A$1800,$A8,الريسبي!$B$2:$B$1800,BI$1)</f>
        <v>0</v>
      </c>
      <c r="BJ8" s="117" t="n">
        <f aca="false">SUMIFS(الريسبي!$C$2:$C$1800,الريسبي!$A$2:$A$1800,$A8,الريسبي!$B$2:$B$1800,BJ$1)</f>
        <v>0</v>
      </c>
      <c r="BK8" s="117" t="n">
        <f aca="false">SUMIFS(الريسبي!$C$2:$C$1800,الريسبي!$A$2:$A$1800,$A8,الريسبي!$B$2:$B$1800,BK$1)</f>
        <v>0</v>
      </c>
      <c r="BL8" s="117" t="n">
        <f aca="false">SUMIFS(الريسبي!$C$2:$C$1800,الريسبي!$A$2:$A$1800,$A8,الريسبي!$B$2:$B$1800,BL$1)</f>
        <v>0</v>
      </c>
      <c r="BM8" s="117" t="n">
        <f aca="false">SUMIFS(الريسبي!$C$2:$C$1800,الريسبي!$A$2:$A$1800,$A8,الريسبي!$B$2:$B$1800,BM$1)</f>
        <v>0</v>
      </c>
      <c r="BN8" s="117" t="n">
        <f aca="false">SUMIFS(الريسبي!$C$2:$C$1800,الريسبي!$A$2:$A$1800,$A8,الريسبي!$B$2:$B$1800,BN$1)</f>
        <v>0.02</v>
      </c>
      <c r="BO8" s="117" t="n">
        <f aca="false">SUMIFS(الريسبي!$C$2:$C$1800,الريسبي!$A$2:$A$1800,$A8,الريسبي!$B$2:$B$1800,BO$1)</f>
        <v>0</v>
      </c>
      <c r="BP8" s="117" t="n">
        <f aca="false">SUMIFS(الريسبي!$C$2:$C$1800,الريسبي!$A$2:$A$1800,$A8,الريسبي!$B$2:$B$1800,BP$1)</f>
        <v>2</v>
      </c>
      <c r="BQ8" s="117" t="n">
        <f aca="false">SUMIFS(الريسبي!$C$2:$C$1800,الريسبي!$A$2:$A$1800,$A8,الريسبي!$B$2:$B$1800,BQ$1)+0.17*SUMIFS(الريسبي!$C$2:$C$1800,الريسبي!$A$2:$A$1800,$A8,الريسبي!$B$2:$B$1800,"كاسترد مصنع (خليط بودر + لبن)")+0.17*SUMIFS(الريسبي!$C$2:$C$1800,الريسبي!$A$2:$A$1800,$A8,الريسبي!$B$2:$B$1800,"كاسترد مصنع صيامي (بدون لبن)")</f>
        <v>0</v>
      </c>
      <c r="BR8" s="117" t="n">
        <f aca="false">SUMIFS(الريسبي!$C$2:$C$1800,الريسبي!$A$2:$A$1800,$A8,الريسبي!$B$2:$B$1800,BR$1)</f>
        <v>1</v>
      </c>
      <c r="BS8" s="117" t="n">
        <f aca="false">SUMIFS(الريسبي!$C$2:$C$1800,الريسبي!$A$2:$A$1800,$A8,الريسبي!$B$2:$B$1800,BS$1)</f>
        <v>0</v>
      </c>
      <c r="BT8" s="117" t="n">
        <f aca="false">SUMIFS(الريسبي!$C$2:$C$1800,الريسبي!$A$2:$A$1800,$A8,الريسبي!$B$2:$B$1800,BT$1)</f>
        <v>0</v>
      </c>
      <c r="BU8" s="117" t="n">
        <f aca="false">SUMIFS(الريسبي!$C$2:$C$1800,الريسبي!$A$2:$A$1800,$A8,الريسبي!$B$2:$B$1800,BU$1)+0.4*SUMIFS(الريسبي!$C$2:$C$1800,الريسبي!$A$2:$A$1800,$A8,الريسبي!$B$2:$B$1800,"كاسترد مصنع (خليط بودر + لبن)")+0.03333333333*SUMIFS(الريسبي!$C$2:$C$1800,الريسبي!$A$2:$A$1800,$A8,الريسبي!$B$2:$B$1800,"عجين كريب (مصنع بالمطعم)")</f>
        <v>0</v>
      </c>
      <c r="BV8" s="117" t="n">
        <f aca="false">SUMIFS(الريسبي!$C$2:$C$1800,الريسبي!$A$2:$A$1800,$A8,الريسبي!$B$2:$B$1800,BV$1)</f>
        <v>0</v>
      </c>
      <c r="BW8" s="117" t="n">
        <f aca="false">SUMIFS(الريسبي!$C$2:$C$1800,الريسبي!$A$2:$A$1800,$A8,الريسبي!$B$2:$B$1800,BW$1)</f>
        <v>0</v>
      </c>
      <c r="BX8" s="117" t="n">
        <f aca="false">SUMIFS(الريسبي!$C$2:$C$1800,الريسبي!$A$2:$A$1800,$A8,الريسبي!$B$2:$B$1800,BX$1)</f>
        <v>0</v>
      </c>
      <c r="BY8" s="117" t="n">
        <f aca="false">SUMIFS(الريسبي!$C$2:$C$1800,الريسبي!$A$2:$A$1800,$A8,الريسبي!$B$2:$B$1800,BY$1)</f>
        <v>0</v>
      </c>
      <c r="BZ8" s="117" t="n">
        <f aca="false">SUMIFS(الريسبي!$C$2:$C$1800,الريسبي!$A$2:$A$1800,$A8,الريسبي!$B$2:$B$1800,BZ$1)</f>
        <v>0</v>
      </c>
      <c r="CA8" s="117" t="n">
        <f aca="false">SUMIFS(الريسبي!$C$2:$C$1800,الريسبي!$A$2:$A$1800,$A8,الريسبي!$B$2:$B$1800,CA$1)</f>
        <v>1</v>
      </c>
      <c r="CB8" s="117" t="n">
        <f aca="false">SUMIFS(الريسبي!$C$2:$C$1800,الريسبي!$A$2:$A$1800,$A8,الريسبي!$B$2:$B$1800,CB$1)</f>
        <v>1</v>
      </c>
      <c r="CC8" s="117" t="n">
        <f aca="false">SUMIFS(الريسبي!$C$2:$C$1800,الريسبي!$A$2:$A$1800,$A8,الريسبي!$B$2:$B$1800,CC$1)</f>
        <v>0</v>
      </c>
      <c r="CD8" s="117" t="n">
        <f aca="false">SUMIFS(الريسبي!$C$2:$C$1800,الريسبي!$A$2:$A$1800,$A8,الريسبي!$B$2:$B$1800,CD$1)</f>
        <v>0</v>
      </c>
      <c r="CE8" s="117" t="n">
        <f aca="false">SUMIFS(الريسبي!$C$2:$C$1800,الريسبي!$A$2:$A$1800,$A8,الريسبي!$B$2:$B$1800,CE$1)</f>
        <v>0</v>
      </c>
      <c r="CF8" s="117" t="n">
        <f aca="false">SUMIFS(الريسبي!$C$2:$C$1800,الريسبي!$A$2:$A$1800,$A8,الريسبي!$B$2:$B$1800,CF$1)</f>
        <v>0</v>
      </c>
      <c r="CG8" s="117" t="n">
        <f aca="false">SUMIFS(الريسبي!$C$2:$C$1800,الريسبي!$A$2:$A$1800,$A8,الريسبي!$B$2:$B$1800,CG$1)</f>
        <v>0</v>
      </c>
      <c r="CH8" s="117" t="n">
        <f aca="false">SUMIFS(الريسبي!$C$2:$C$1800,الريسبي!$A$2:$A$1800,$A8,الريسبي!$B$2:$B$1800,CH$1)</f>
        <v>0</v>
      </c>
      <c r="CI8" s="117" t="n">
        <f aca="false">SUMIFS(الريسبي!$C$2:$C$1800,الريسبي!$A$2:$A$1800,$A8,الريسبي!$B$2:$B$1800,CI$1)</f>
        <v>0</v>
      </c>
      <c r="CJ8" s="117" t="n">
        <f aca="false">SUMIFS(الريسبي!$C$2:$C$1800,الريسبي!$A$2:$A$1800,$A8,الريسبي!$B$2:$B$1800,CJ$1)</f>
        <v>0</v>
      </c>
      <c r="CK8" s="117" t="n">
        <f aca="false">SUMIFS(الريسبي!$C$2:$C$1800,الريسبي!$A$2:$A$1800,$A8,الريسبي!$B$2:$B$1800,CK$1)</f>
        <v>0</v>
      </c>
      <c r="CL8" s="117" t="n">
        <f aca="false">SUMIFS(الريسبي!$C$2:$C$1800,الريسبي!$A$2:$A$1800,$A8,الريسبي!$B$2:$B$1800,CL$1)</f>
        <v>0</v>
      </c>
    </row>
    <row r="9" customFormat="false" ht="15" hidden="false" customHeight="false" outlineLevel="0" collapsed="false">
      <c r="A9" s="116" t="str">
        <f aca="false">المنيو!B9</f>
        <v>بيتزا دبل سلامي / بيبروني حجم اكبر</v>
      </c>
      <c r="B9" s="117" t="n">
        <f aca="false">SUMIFS(الريسبي!$C$2:$C$1800,الريسبي!$A$2:$A$1800,$A9,الريسبي!$B$2:$B$1800,B$1)</f>
        <v>0</v>
      </c>
      <c r="C9" s="117" t="n">
        <f aca="false">SUMIFS(الريسبي!$C$2:$C$1800,الريسبي!$A$2:$A$1800,$A9,الريسبي!$B$2:$B$1800,C$1)</f>
        <v>0</v>
      </c>
      <c r="D9" s="117" t="n">
        <f aca="false">SUMIFS(الريسبي!$C$2:$C$1800,الريسبي!$A$2:$A$1800,$A9,الريسبي!$B$2:$B$1800,D$1)</f>
        <v>1</v>
      </c>
      <c r="E9" s="117" t="n">
        <f aca="false">SUMIFS(الريسبي!$C$2:$C$1800,الريسبي!$A$2:$A$1800,$A9,الريسبي!$B$2:$B$1800,E$1)</f>
        <v>0</v>
      </c>
      <c r="F9" s="117" t="n">
        <f aca="false">SUMIFS(الريسبي!$C$2:$C$1800,الريسبي!$A$2:$A$1800,$A9,الريسبي!$B$2:$B$1800,F$1)</f>
        <v>0</v>
      </c>
      <c r="G9" s="117" t="n">
        <f aca="false">SUMIFS(الريسبي!$C$2:$C$1800,الريسبي!$A$2:$A$1800,$A9,الريسبي!$B$2:$B$1800,G$1)</f>
        <v>0</v>
      </c>
      <c r="H9" s="117" t="n">
        <f aca="false">SUMIFS(الريسبي!$C$2:$C$1800,الريسبي!$A$2:$A$1800,$A9,الريسبي!$B$2:$B$1800,H$1)</f>
        <v>0</v>
      </c>
      <c r="I9" s="117" t="n">
        <f aca="false">SUMIFS(الريسبي!$C$2:$C$1800,الريسبي!$A$2:$A$1800,$A9,الريسبي!$B$2:$B$1800,I$1)</f>
        <v>0</v>
      </c>
      <c r="J9" s="117" t="n">
        <f aca="false">SUMIFS(الريسبي!$C$2:$C$1800,الريسبي!$A$2:$A$1800,$A9,الريسبي!$B$2:$B$1800,J$1)</f>
        <v>0</v>
      </c>
      <c r="K9" s="117" t="n">
        <f aca="false">SUMIFS(الريسبي!$C$2:$C$1800,الريسبي!$A$2:$A$1800,$A9,الريسبي!$B$2:$B$1800,K$1)</f>
        <v>0</v>
      </c>
      <c r="L9" s="117" t="n">
        <f aca="false">SUMIFS(الريسبي!$C$2:$C$1800,الريسبي!$A$2:$A$1800,$A9,الريسبي!$B$2:$B$1800,L$1)</f>
        <v>0</v>
      </c>
      <c r="M9" s="117" t="n">
        <f aca="false">SUMIFS(الريسبي!$C$2:$C$1800,الريسبي!$A$2:$A$1800,$A9,الريسبي!$B$2:$B$1800,M$1)</f>
        <v>0</v>
      </c>
      <c r="N9" s="117" t="n">
        <f aca="false">SUMIFS(الريسبي!$C$2:$C$1800,الريسبي!$A$2:$A$1800,$A9,الريسبي!$B$2:$B$1800,N$1)</f>
        <v>1.5</v>
      </c>
      <c r="O9" s="117" t="n">
        <f aca="false">SUMIFS(الريسبي!$C$2:$C$1800,الريسبي!$A$2:$A$1800,$A9,الريسبي!$B$2:$B$1800,O$1)</f>
        <v>0</v>
      </c>
      <c r="P9" s="117" t="n">
        <f aca="false">SUMIFS(الريسبي!$C$2:$C$1800,الريسبي!$A$2:$A$1800,$A9,الريسبي!$B$2:$B$1800,P$1)</f>
        <v>0</v>
      </c>
      <c r="Q9" s="117" t="n">
        <f aca="false">SUMIFS(الريسبي!$C$2:$C$1800,الريسبي!$A$2:$A$1800,$A9,الريسبي!$B$2:$B$1800,Q$1)</f>
        <v>0</v>
      </c>
      <c r="R9" s="117" t="n">
        <f aca="false">SUMIFS(الريسبي!$C$2:$C$1800,الريسبي!$A$2:$A$1800,$A9,الريسبي!$B$2:$B$1800,R$1)</f>
        <v>0</v>
      </c>
      <c r="S9" s="117" t="n">
        <f aca="false">SUMIFS(الريسبي!$C$2:$C$1800,الريسبي!$A$2:$A$1800,$A9,الريسبي!$B$2:$B$1800,S$1)</f>
        <v>0</v>
      </c>
      <c r="T9" s="117" t="n">
        <f aca="false">SUMIFS(الريسبي!$C$2:$C$1800,الريسبي!$A$2:$A$1800,$A9,الريسبي!$B$2:$B$1800,T$1)</f>
        <v>0</v>
      </c>
      <c r="U9" s="117" t="n">
        <f aca="false">SUMIFS(الريسبي!$C$2:$C$1800,الريسبي!$A$2:$A$1800,$A9,الريسبي!$B$2:$B$1800,U$1)</f>
        <v>0</v>
      </c>
      <c r="V9" s="117" t="n">
        <f aca="false">SUMIFS(الريسبي!$C$2:$C$1800,الريسبي!$A$2:$A$1800,$A9,الريسبي!$B$2:$B$1800,V$1)</f>
        <v>0</v>
      </c>
      <c r="W9" s="117" t="n">
        <f aca="false">SUMIFS(الريسبي!$C$2:$C$1800,الريسبي!$A$2:$A$1800,$A9,الريسبي!$B$2:$B$1800,W$1)</f>
        <v>1</v>
      </c>
      <c r="X9" s="117" t="n">
        <f aca="false">SUMIFS(الريسبي!$C$2:$C$1800,الريسبي!$A$2:$A$1800,$A9,الريسبي!$B$2:$B$1800,X$1)</f>
        <v>0</v>
      </c>
      <c r="Y9" s="117" t="n">
        <f aca="false">SUMIFS(الريسبي!$C$2:$C$1800,الريسبي!$A$2:$A$1800,$A9,الريسبي!$B$2:$B$1800,Y$1)</f>
        <v>0</v>
      </c>
      <c r="Z9" s="117" t="n">
        <f aca="false">SUMIFS(الريسبي!$C$2:$C$1800,الريسبي!$A$2:$A$1800,$A9,الريسبي!$B$2:$B$1800,Z$1)</f>
        <v>0</v>
      </c>
      <c r="AA9" s="117" t="n">
        <f aca="false">SUMIFS(الريسبي!$C$2:$C$1800,الريسبي!$A$2:$A$1800,$A9,الريسبي!$B$2:$B$1800,AA$1)</f>
        <v>0</v>
      </c>
      <c r="AB9" s="117" t="n">
        <f aca="false">SUMIFS(الريسبي!$C$2:$C$1800,الريسبي!$A$2:$A$1800,$A9,الريسبي!$B$2:$B$1800,AB$1)</f>
        <v>0</v>
      </c>
      <c r="AC9" s="117" t="n">
        <f aca="false">SUMIFS(الريسبي!$C$2:$C$1800,الريسبي!$A$2:$A$1800,$A9,الريسبي!$B$2:$B$1800,AC$1)</f>
        <v>0</v>
      </c>
      <c r="AD9" s="117" t="n">
        <f aca="false">SUMIFS(الريسبي!$C$2:$C$1800,الريسبي!$A$2:$A$1800,$A9,الريسبي!$B$2:$B$1800,AD$1)</f>
        <v>0</v>
      </c>
      <c r="AE9" s="117" t="n">
        <f aca="false">SUMIFS(الريسبي!$C$2:$C$1800,الريسبي!$A$2:$A$1800,$A9,الريسبي!$B$2:$B$1800,AE$1)</f>
        <v>0</v>
      </c>
      <c r="AF9" s="117" t="n">
        <f aca="false">SUMIFS(الريسبي!$C$2:$C$1800,الريسبي!$A$2:$A$1800,$A9,الريسبي!$B$2:$B$1800,AF$1)</f>
        <v>0</v>
      </c>
      <c r="AG9" s="117" t="n">
        <f aca="false">SUMIFS(الريسبي!$C$2:$C$1800,الريسبي!$A$2:$A$1800,$A9,الريسبي!$B$2:$B$1800,AG$1)</f>
        <v>0</v>
      </c>
      <c r="AH9" s="117" t="n">
        <f aca="false">SUMIFS(الريسبي!$C$2:$C$1800,الريسبي!$A$2:$A$1800,$A9,الريسبي!$B$2:$B$1800,AH$1)</f>
        <v>0</v>
      </c>
      <c r="AI9" s="117" t="n">
        <f aca="false">SUMIFS(الريسبي!$C$2:$C$1800,الريسبي!$A$2:$A$1800,$A9,الريسبي!$B$2:$B$1800,AI$1)</f>
        <v>0</v>
      </c>
      <c r="AJ9" s="117" t="n">
        <f aca="false">SUMIFS(الريسبي!$C$2:$C$1800,الريسبي!$A$2:$A$1800,$A9,الريسبي!$B$2:$B$1800,AJ$1)</f>
        <v>2</v>
      </c>
      <c r="AK9" s="117" t="n">
        <f aca="false">SUMIFS(الريسبي!$C$2:$C$1800,الريسبي!$A$2:$A$1800,$A9,الريسبي!$B$2:$B$1800,AK$1)</f>
        <v>0</v>
      </c>
      <c r="AL9" s="117" t="n">
        <f aca="false">SUMIFS(الريسبي!$C$2:$C$1800,الريسبي!$A$2:$A$1800,$A9,الريسبي!$B$2:$B$1800,AL$1)</f>
        <v>0</v>
      </c>
      <c r="AM9" s="117" t="n">
        <f aca="false">SUMIFS(الريسبي!$C$2:$C$1800,الريسبي!$A$2:$A$1800,$A9,الريسبي!$B$2:$B$1800,AM$1)+0.08333333333*SUMIFS(الريسبي!$C$2:$C$1800,الريسبي!$A$2:$A$1800,$A9,الريسبي!$B$2:$B$1800,"عجين كريب (مصنع بالمطعم)")+0.08333333333*SUMIFS(الريسبي!$C$2:$C$1800,الريسبي!$A$2:$A$1800,$A9,الريسبي!$B$2:$B$1800,"عجين كريب صيامي (بدون لبن)")</f>
        <v>0</v>
      </c>
      <c r="AN9" s="117" t="n">
        <f aca="false">SUMIFS(الريسبي!$C$2:$C$1800,الريسبي!$A$2:$A$1800,$A9,الريسبي!$B$2:$B$1800,AN$1)+0.004166666667*SUMIFS(الريسبي!$C$2:$C$1800,الريسبي!$A$2:$A$1800,$A9,الريسبي!$B$2:$B$1800,"عجين كريب (مصنع بالمطعم)")+0.004166666667*SUMIFS(الريسبي!$C$2:$C$1800,الريسبي!$A$2:$A$1800,$A9,الريسبي!$B$2:$B$1800,"عجين كريب صيامي (بدون لبن)")</f>
        <v>0</v>
      </c>
      <c r="AO9" s="117" t="n">
        <f aca="false">SUMIFS(الريسبي!$C$2:$C$1800,الريسبي!$A$2:$A$1800,$A9,الريسبي!$B$2:$B$1800,AO$1)</f>
        <v>0</v>
      </c>
      <c r="AP9" s="117" t="n">
        <f aca="false">SUMIFS(الريسبي!$C$2:$C$1800,الريسبي!$A$2:$A$1800,$A9,الريسبي!$B$2:$B$1800,AP$1)</f>
        <v>0.03</v>
      </c>
      <c r="AQ9" s="117" t="n">
        <f aca="false">SUMIFS(الريسبي!$C$2:$C$1800,الريسبي!$A$2:$A$1800,$A9,الريسبي!$B$2:$B$1800,AQ$1)+0.004166666667*SUMIFS(الريسبي!$C$2:$C$1800,الريسبي!$A$2:$A$1800,$A9,الريسبي!$B$2:$B$1800,"عجين كريب (مصنع بالمطعم)")+0.004166666667*SUMIFS(الريسبي!$C$2:$C$1800,الريسبي!$A$2:$A$1800,$A9,الريسبي!$B$2:$B$1800,"عجين كريب صيامي (بدون لبن)")</f>
        <v>0</v>
      </c>
      <c r="AR9" s="117" t="n">
        <f aca="false">SUMIFS(الريسبي!$C$2:$C$1800,الريسبي!$A$2:$A$1800,$A9,الريسبي!$B$2:$B$1800,AR$1)</f>
        <v>0</v>
      </c>
      <c r="AS9" s="117" t="n">
        <f aca="false">SUMIFS(الريسبي!$C$2:$C$1800,الريسبي!$A$2:$A$1800,$A9,الريسبي!$B$2:$B$1800,AS$1)</f>
        <v>0</v>
      </c>
      <c r="AT9" s="117" t="n">
        <f aca="false">SUMIFS(الريسبي!$C$2:$C$1800,الريسبي!$A$2:$A$1800,$A9,الريسبي!$B$2:$B$1800,AT$1)</f>
        <v>0</v>
      </c>
      <c r="AU9" s="117" t="n">
        <f aca="false">SUMIFS(الريسبي!$C$2:$C$1800,الريسبي!$A$2:$A$1800,$A9,الريسبي!$B$2:$B$1800,AU$1)</f>
        <v>0</v>
      </c>
      <c r="AV9" s="117" t="n">
        <f aca="false">SUMIFS(الريسبي!$C$2:$C$1800,الريسبي!$A$2:$A$1800,$A9,الريسبي!$B$2:$B$1800,AV$1)</f>
        <v>0</v>
      </c>
      <c r="AW9" s="117" t="n">
        <f aca="false">SUMIFS(الريسبي!$C$2:$C$1800,الريسبي!$A$2:$A$1800,$A9,الريسبي!$B$2:$B$1800,AW$1)</f>
        <v>0</v>
      </c>
      <c r="AX9" s="117" t="n">
        <f aca="false">SUMIFS(الريسبي!$C$2:$C$1800,الريسبي!$A$2:$A$1800,$A9,الريسبي!$B$2:$B$1800,AX$1)</f>
        <v>0.06</v>
      </c>
      <c r="AY9" s="117" t="n">
        <f aca="false">SUMIFS(الريسبي!$C$2:$C$1800,الريسبي!$A$2:$A$1800,$A9,الريسبي!$B$2:$B$1800,AY$1)</f>
        <v>0</v>
      </c>
      <c r="AZ9" s="117" t="n">
        <f aca="false">SUMIFS(الريسبي!$C$2:$C$1800,الريسبي!$A$2:$A$1800,$A9,الريسبي!$B$2:$B$1800,AZ$1)</f>
        <v>0</v>
      </c>
      <c r="BA9" s="117" t="n">
        <f aca="false">SUMIFS(الريسبي!$C$2:$C$1800,الريسبي!$A$2:$A$1800,$A9,الريسبي!$B$2:$B$1800,BA$1)</f>
        <v>0</v>
      </c>
      <c r="BB9" s="117" t="n">
        <f aca="false">SUMIFS(الريسبي!$C$2:$C$1800,الريسبي!$A$2:$A$1800,$A9,الريسبي!$B$2:$B$1800,BB$1)</f>
        <v>0</v>
      </c>
      <c r="BC9" s="117" t="n">
        <f aca="false">SUMIFS(الريسبي!$C$2:$C$1800,الريسبي!$A$2:$A$1800,$A9,الريسبي!$B$2:$B$1800,BC$1)</f>
        <v>0.045</v>
      </c>
      <c r="BD9" s="117" t="n">
        <f aca="false">SUMIFS(الريسبي!$C$2:$C$1800,الريسبي!$A$2:$A$1800,$A9,الريسبي!$B$2:$B$1800,BD$1)</f>
        <v>0.3</v>
      </c>
      <c r="BE9" s="117" t="n">
        <f aca="false">SUMIFS(الريسبي!$C$2:$C$1800,الريسبي!$A$2:$A$1800,$A9,الريسبي!$B$2:$B$1800,BE$1)</f>
        <v>0</v>
      </c>
      <c r="BF9" s="117" t="n">
        <f aca="false">SUMIFS(الريسبي!$C$2:$C$1800,الريسبي!$A$2:$A$1800,$A9,الريسبي!$B$2:$B$1800,BF$1)</f>
        <v>0</v>
      </c>
      <c r="BG9" s="117" t="n">
        <f aca="false">SUMIFS(الريسبي!$C$2:$C$1800,الريسبي!$A$2:$A$1800,$A9,الريسبي!$B$2:$B$1800,BG$1)</f>
        <v>1</v>
      </c>
      <c r="BH9" s="117" t="n">
        <f aca="false">SUMIFS(الريسبي!$C$2:$C$1800,الريسبي!$A$2:$A$1800,$A9,الريسبي!$B$2:$B$1800,BH$1)</f>
        <v>0</v>
      </c>
      <c r="BI9" s="117" t="n">
        <f aca="false">SUMIFS(الريسبي!$C$2:$C$1800,الريسبي!$A$2:$A$1800,$A9,الريسبي!$B$2:$B$1800,BI$1)</f>
        <v>0</v>
      </c>
      <c r="BJ9" s="117" t="n">
        <f aca="false">SUMIFS(الريسبي!$C$2:$C$1800,الريسبي!$A$2:$A$1800,$A9,الريسبي!$B$2:$B$1800,BJ$1)</f>
        <v>0</v>
      </c>
      <c r="BK9" s="117" t="n">
        <f aca="false">SUMIFS(الريسبي!$C$2:$C$1800,الريسبي!$A$2:$A$1800,$A9,الريسبي!$B$2:$B$1800,BK$1)</f>
        <v>0</v>
      </c>
      <c r="BL9" s="117" t="n">
        <f aca="false">SUMIFS(الريسبي!$C$2:$C$1800,الريسبي!$A$2:$A$1800,$A9,الريسبي!$B$2:$B$1800,BL$1)</f>
        <v>0</v>
      </c>
      <c r="BM9" s="117" t="n">
        <f aca="false">SUMIFS(الريسبي!$C$2:$C$1800,الريسبي!$A$2:$A$1800,$A9,الريسبي!$B$2:$B$1800,BM$1)</f>
        <v>0</v>
      </c>
      <c r="BN9" s="117" t="n">
        <f aca="false">SUMIFS(الريسبي!$C$2:$C$1800,الريسبي!$A$2:$A$1800,$A9,الريسبي!$B$2:$B$1800,BN$1)</f>
        <v>0.03</v>
      </c>
      <c r="BO9" s="117" t="n">
        <f aca="false">SUMIFS(الريسبي!$C$2:$C$1800,الريسبي!$A$2:$A$1800,$A9,الريسبي!$B$2:$B$1800,BO$1)</f>
        <v>0</v>
      </c>
      <c r="BP9" s="117" t="n">
        <f aca="false">SUMIFS(الريسبي!$C$2:$C$1800,الريسبي!$A$2:$A$1800,$A9,الريسبي!$B$2:$B$1800,BP$1)</f>
        <v>3</v>
      </c>
      <c r="BQ9" s="117" t="n">
        <f aca="false">SUMIFS(الريسبي!$C$2:$C$1800,الريسبي!$A$2:$A$1800,$A9,الريسبي!$B$2:$B$1800,BQ$1)+0.17*SUMIFS(الريسبي!$C$2:$C$1800,الريسبي!$A$2:$A$1800,$A9,الريسبي!$B$2:$B$1800,"كاسترد مصنع (خليط بودر + لبن)")+0.17*SUMIFS(الريسبي!$C$2:$C$1800,الريسبي!$A$2:$A$1800,$A9,الريسبي!$B$2:$B$1800,"كاسترد مصنع صيامي (بدون لبن)")</f>
        <v>0</v>
      </c>
      <c r="BR9" s="117" t="n">
        <f aca="false">SUMIFS(الريسبي!$C$2:$C$1800,الريسبي!$A$2:$A$1800,$A9,الريسبي!$B$2:$B$1800,BR$1)</f>
        <v>1</v>
      </c>
      <c r="BS9" s="117" t="n">
        <f aca="false">SUMIFS(الريسبي!$C$2:$C$1800,الريسبي!$A$2:$A$1800,$A9,الريسبي!$B$2:$B$1800,BS$1)</f>
        <v>0</v>
      </c>
      <c r="BT9" s="117" t="n">
        <f aca="false">SUMIFS(الريسبي!$C$2:$C$1800,الريسبي!$A$2:$A$1800,$A9,الريسبي!$B$2:$B$1800,BT$1)</f>
        <v>0</v>
      </c>
      <c r="BU9" s="117" t="n">
        <f aca="false">SUMIFS(الريسبي!$C$2:$C$1800,الريسبي!$A$2:$A$1800,$A9,الريسبي!$B$2:$B$1800,BU$1)+0.4*SUMIFS(الريسبي!$C$2:$C$1800,الريسبي!$A$2:$A$1800,$A9,الريسبي!$B$2:$B$1800,"كاسترد مصنع (خليط بودر + لبن)")+0.03333333333*SUMIFS(الريسبي!$C$2:$C$1800,الريسبي!$A$2:$A$1800,$A9,الريسبي!$B$2:$B$1800,"عجين كريب (مصنع بالمطعم)")</f>
        <v>0</v>
      </c>
      <c r="BV9" s="117" t="n">
        <f aca="false">SUMIFS(الريسبي!$C$2:$C$1800,الريسبي!$A$2:$A$1800,$A9,الريسبي!$B$2:$B$1800,BV$1)</f>
        <v>0</v>
      </c>
      <c r="BW9" s="117" t="n">
        <f aca="false">SUMIFS(الريسبي!$C$2:$C$1800,الريسبي!$A$2:$A$1800,$A9,الريسبي!$B$2:$B$1800,BW$1)</f>
        <v>0</v>
      </c>
      <c r="BX9" s="117" t="n">
        <f aca="false">SUMIFS(الريسبي!$C$2:$C$1800,الريسبي!$A$2:$A$1800,$A9,الريسبي!$B$2:$B$1800,BX$1)</f>
        <v>0</v>
      </c>
      <c r="BY9" s="117" t="n">
        <f aca="false">SUMIFS(الريسبي!$C$2:$C$1800,الريسبي!$A$2:$A$1800,$A9,الريسبي!$B$2:$B$1800,BY$1)</f>
        <v>0</v>
      </c>
      <c r="BZ9" s="117" t="n">
        <f aca="false">SUMIFS(الريسبي!$C$2:$C$1800,الريسبي!$A$2:$A$1800,$A9,الريسبي!$B$2:$B$1800,BZ$1)</f>
        <v>0</v>
      </c>
      <c r="CA9" s="117" t="n">
        <f aca="false">SUMIFS(الريسبي!$C$2:$C$1800,الريسبي!$A$2:$A$1800,$A9,الريسبي!$B$2:$B$1800,CA$1)</f>
        <v>1</v>
      </c>
      <c r="CB9" s="117" t="n">
        <f aca="false">SUMIFS(الريسبي!$C$2:$C$1800,الريسبي!$A$2:$A$1800,$A9,الريسبي!$B$2:$B$1800,CB$1)</f>
        <v>1</v>
      </c>
      <c r="CC9" s="117" t="n">
        <f aca="false">SUMIFS(الريسبي!$C$2:$C$1800,الريسبي!$A$2:$A$1800,$A9,الريسبي!$B$2:$B$1800,CC$1)</f>
        <v>0</v>
      </c>
      <c r="CD9" s="117" t="n">
        <f aca="false">SUMIFS(الريسبي!$C$2:$C$1800,الريسبي!$A$2:$A$1800,$A9,الريسبي!$B$2:$B$1800,CD$1)</f>
        <v>0</v>
      </c>
      <c r="CE9" s="117" t="n">
        <f aca="false">SUMIFS(الريسبي!$C$2:$C$1800,الريسبي!$A$2:$A$1800,$A9,الريسبي!$B$2:$B$1800,CE$1)</f>
        <v>0</v>
      </c>
      <c r="CF9" s="117" t="n">
        <f aca="false">SUMIFS(الريسبي!$C$2:$C$1800,الريسبي!$A$2:$A$1800,$A9,الريسبي!$B$2:$B$1800,CF$1)</f>
        <v>0</v>
      </c>
      <c r="CG9" s="117" t="n">
        <f aca="false">SUMIFS(الريسبي!$C$2:$C$1800,الريسبي!$A$2:$A$1800,$A9,الريسبي!$B$2:$B$1800,CG$1)</f>
        <v>0</v>
      </c>
      <c r="CH9" s="117" t="n">
        <f aca="false">SUMIFS(الريسبي!$C$2:$C$1800,الريسبي!$A$2:$A$1800,$A9,الريسبي!$B$2:$B$1800,CH$1)</f>
        <v>0</v>
      </c>
      <c r="CI9" s="117" t="n">
        <f aca="false">SUMIFS(الريسبي!$C$2:$C$1800,الريسبي!$A$2:$A$1800,$A9,الريسبي!$B$2:$B$1800,CI$1)</f>
        <v>0</v>
      </c>
      <c r="CJ9" s="117" t="n">
        <f aca="false">SUMIFS(الريسبي!$C$2:$C$1800,الريسبي!$A$2:$A$1800,$A9,الريسبي!$B$2:$B$1800,CJ$1)</f>
        <v>0</v>
      </c>
      <c r="CK9" s="117" t="n">
        <f aca="false">SUMIFS(الريسبي!$C$2:$C$1800,الريسبي!$A$2:$A$1800,$A9,الريسبي!$B$2:$B$1800,CK$1)</f>
        <v>0</v>
      </c>
      <c r="CL9" s="117" t="n">
        <f aca="false">SUMIFS(الريسبي!$C$2:$C$1800,الريسبي!$A$2:$A$1800,$A9,الريسبي!$B$2:$B$1800,CL$1)</f>
        <v>0</v>
      </c>
    </row>
    <row r="10" customFormat="false" ht="15" hidden="false" customHeight="false" outlineLevel="0" collapsed="false">
      <c r="A10" s="116" t="str">
        <f aca="false">المنيو!B10</f>
        <v>بيتزا مشكل جبن وسط</v>
      </c>
      <c r="B10" s="117" t="n">
        <f aca="false">SUMIFS(الريسبي!$C$2:$C$1800,الريسبي!$A$2:$A$1800,$A10,الريسبي!$B$2:$B$1800,B$1)</f>
        <v>0</v>
      </c>
      <c r="C10" s="117" t="n">
        <f aca="false">SUMIFS(الريسبي!$C$2:$C$1800,الريسبي!$A$2:$A$1800,$A10,الريسبي!$B$2:$B$1800,C$1)</f>
        <v>0</v>
      </c>
      <c r="D10" s="117" t="n">
        <f aca="false">SUMIFS(الريسبي!$C$2:$C$1800,الريسبي!$A$2:$A$1800,$A10,الريسبي!$B$2:$B$1800,D$1)</f>
        <v>1</v>
      </c>
      <c r="E10" s="117" t="n">
        <f aca="false">SUMIFS(الريسبي!$C$2:$C$1800,الريسبي!$A$2:$A$1800,$A10,الريسبي!$B$2:$B$1800,E$1)</f>
        <v>0</v>
      </c>
      <c r="F10" s="117" t="n">
        <f aca="false">SUMIFS(الريسبي!$C$2:$C$1800,الريسبي!$A$2:$A$1800,$A10,الريسبي!$B$2:$B$1800,F$1)</f>
        <v>0</v>
      </c>
      <c r="G10" s="117" t="n">
        <f aca="false">SUMIFS(الريسبي!$C$2:$C$1800,الريسبي!$A$2:$A$1800,$A10,الريسبي!$B$2:$B$1800,G$1)</f>
        <v>0</v>
      </c>
      <c r="H10" s="117" t="n">
        <f aca="false">SUMIFS(الريسبي!$C$2:$C$1800,الريسبي!$A$2:$A$1800,$A10,الريسبي!$B$2:$B$1800,H$1)</f>
        <v>0</v>
      </c>
      <c r="I10" s="117" t="n">
        <f aca="false">SUMIFS(الريسبي!$C$2:$C$1800,الريسبي!$A$2:$A$1800,$A10,الريسبي!$B$2:$B$1800,I$1)</f>
        <v>0</v>
      </c>
      <c r="J10" s="117" t="n">
        <f aca="false">SUMIFS(الريسبي!$C$2:$C$1800,الريسبي!$A$2:$A$1800,$A10,الريسبي!$B$2:$B$1800,J$1)</f>
        <v>1</v>
      </c>
      <c r="K10" s="117" t="n">
        <f aca="false">SUMIFS(الريسبي!$C$2:$C$1800,الريسبي!$A$2:$A$1800,$A10,الريسبي!$B$2:$B$1800,K$1)</f>
        <v>0</v>
      </c>
      <c r="L10" s="117" t="n">
        <f aca="false">SUMIFS(الريسبي!$C$2:$C$1800,الريسبي!$A$2:$A$1800,$A10,الريسبي!$B$2:$B$1800,L$1)</f>
        <v>0</v>
      </c>
      <c r="M10" s="117" t="n">
        <f aca="false">SUMIFS(الريسبي!$C$2:$C$1800,الريسبي!$A$2:$A$1800,$A10,الريسبي!$B$2:$B$1800,M$1)</f>
        <v>0</v>
      </c>
      <c r="N10" s="117" t="n">
        <f aca="false">SUMIFS(الريسبي!$C$2:$C$1800,الريسبي!$A$2:$A$1800,$A10,الريسبي!$B$2:$B$1800,N$1)</f>
        <v>0</v>
      </c>
      <c r="O10" s="117" t="n">
        <f aca="false">SUMIFS(الريسبي!$C$2:$C$1800,الريسبي!$A$2:$A$1800,$A10,الريسبي!$B$2:$B$1800,O$1)</f>
        <v>0</v>
      </c>
      <c r="P10" s="117" t="n">
        <f aca="false">SUMIFS(الريسبي!$C$2:$C$1800,الريسبي!$A$2:$A$1800,$A10,الريسبي!$B$2:$B$1800,P$1)</f>
        <v>0</v>
      </c>
      <c r="Q10" s="117" t="n">
        <f aca="false">SUMIFS(الريسبي!$C$2:$C$1800,الريسبي!$A$2:$A$1800,$A10,الريسبي!$B$2:$B$1800,Q$1)</f>
        <v>0</v>
      </c>
      <c r="R10" s="117" t="n">
        <f aca="false">SUMIFS(الريسبي!$C$2:$C$1800,الريسبي!$A$2:$A$1800,$A10,الريسبي!$B$2:$B$1800,R$1)</f>
        <v>0</v>
      </c>
      <c r="S10" s="117" t="n">
        <f aca="false">SUMIFS(الريسبي!$C$2:$C$1800,الريسبي!$A$2:$A$1800,$A10,الريسبي!$B$2:$B$1800,S$1)</f>
        <v>0</v>
      </c>
      <c r="T10" s="117" t="n">
        <f aca="false">SUMIFS(الريسبي!$C$2:$C$1800,الريسبي!$A$2:$A$1800,$A10,الريسبي!$B$2:$B$1800,T$1)</f>
        <v>0</v>
      </c>
      <c r="U10" s="117" t="n">
        <f aca="false">SUMIFS(الريسبي!$C$2:$C$1800,الريسبي!$A$2:$A$1800,$A10,الريسبي!$B$2:$B$1800,U$1)</f>
        <v>0</v>
      </c>
      <c r="V10" s="117" t="n">
        <f aca="false">SUMIFS(الريسبي!$C$2:$C$1800,الريسبي!$A$2:$A$1800,$A10,الريسبي!$B$2:$B$1800,V$1)</f>
        <v>1</v>
      </c>
      <c r="W10" s="117" t="n">
        <f aca="false">SUMIFS(الريسبي!$C$2:$C$1800,الريسبي!$A$2:$A$1800,$A10,الريسبي!$B$2:$B$1800,W$1)</f>
        <v>0</v>
      </c>
      <c r="X10" s="117" t="n">
        <f aca="false">SUMIFS(الريسبي!$C$2:$C$1800,الريسبي!$A$2:$A$1800,$A10,الريسبي!$B$2:$B$1800,X$1)</f>
        <v>0</v>
      </c>
      <c r="Y10" s="117" t="n">
        <f aca="false">SUMIFS(الريسبي!$C$2:$C$1800,الريسبي!$A$2:$A$1800,$A10,الريسبي!$B$2:$B$1800,Y$1)</f>
        <v>0</v>
      </c>
      <c r="Z10" s="117" t="n">
        <f aca="false">SUMIFS(الريسبي!$C$2:$C$1800,الريسبي!$A$2:$A$1800,$A10,الريسبي!$B$2:$B$1800,Z$1)</f>
        <v>0</v>
      </c>
      <c r="AA10" s="117" t="n">
        <f aca="false">SUMIFS(الريسبي!$C$2:$C$1800,الريسبي!$A$2:$A$1800,$A10,الريسبي!$B$2:$B$1800,AA$1)</f>
        <v>0</v>
      </c>
      <c r="AB10" s="117" t="n">
        <f aca="false">SUMIFS(الريسبي!$C$2:$C$1800,الريسبي!$A$2:$A$1800,$A10,الريسبي!$B$2:$B$1800,AB$1)</f>
        <v>0</v>
      </c>
      <c r="AC10" s="117" t="n">
        <f aca="false">SUMIFS(الريسبي!$C$2:$C$1800,الريسبي!$A$2:$A$1800,$A10,الريسبي!$B$2:$B$1800,AC$1)</f>
        <v>0</v>
      </c>
      <c r="AD10" s="117" t="n">
        <f aca="false">SUMIFS(الريسبي!$C$2:$C$1800,الريسبي!$A$2:$A$1800,$A10,الريسبي!$B$2:$B$1800,AD$1)</f>
        <v>0</v>
      </c>
      <c r="AE10" s="117" t="n">
        <f aca="false">SUMIFS(الريسبي!$C$2:$C$1800,الريسبي!$A$2:$A$1800,$A10,الريسبي!$B$2:$B$1800,AE$1)</f>
        <v>0</v>
      </c>
      <c r="AF10" s="117" t="n">
        <f aca="false">SUMIFS(الريسبي!$C$2:$C$1800,الريسبي!$A$2:$A$1800,$A10,الريسبي!$B$2:$B$1800,AF$1)</f>
        <v>0</v>
      </c>
      <c r="AG10" s="117" t="n">
        <f aca="false">SUMIFS(الريسبي!$C$2:$C$1800,الريسبي!$A$2:$A$1800,$A10,الريسبي!$B$2:$B$1800,AG$1)</f>
        <v>0</v>
      </c>
      <c r="AH10" s="117" t="n">
        <f aca="false">SUMIFS(الريسبي!$C$2:$C$1800,الريسبي!$A$2:$A$1800,$A10,الريسبي!$B$2:$B$1800,AH$1)</f>
        <v>0</v>
      </c>
      <c r="AI10" s="117" t="n">
        <f aca="false">SUMIFS(الريسبي!$C$2:$C$1800,الريسبي!$A$2:$A$1800,$A10,الريسبي!$B$2:$B$1800,AI$1)</f>
        <v>0</v>
      </c>
      <c r="AJ10" s="117" t="n">
        <f aca="false">SUMIFS(الريسبي!$C$2:$C$1800,الريسبي!$A$2:$A$1800,$A10,الريسبي!$B$2:$B$1800,AJ$1)</f>
        <v>2</v>
      </c>
      <c r="AK10" s="117" t="n">
        <f aca="false">SUMIFS(الريسبي!$C$2:$C$1800,الريسبي!$A$2:$A$1800,$A10,الريسبي!$B$2:$B$1800,AK$1)</f>
        <v>0</v>
      </c>
      <c r="AL10" s="117" t="n">
        <f aca="false">SUMIFS(الريسبي!$C$2:$C$1800,الريسبي!$A$2:$A$1800,$A10,الريسبي!$B$2:$B$1800,AL$1)</f>
        <v>0</v>
      </c>
      <c r="AM10" s="117" t="n">
        <f aca="false">SUMIFS(الريسبي!$C$2:$C$1800,الريسبي!$A$2:$A$1800,$A10,الريسبي!$B$2:$B$1800,AM$1)+0.08333333333*SUMIFS(الريسبي!$C$2:$C$1800,الريسبي!$A$2:$A$1800,$A10,الريسبي!$B$2:$B$1800,"عجين كريب (مصنع بالمطعم)")+0.08333333333*SUMIFS(الريسبي!$C$2:$C$1800,الريسبي!$A$2:$A$1800,$A10,الريسبي!$B$2:$B$1800,"عجين كريب صيامي (بدون لبن)")</f>
        <v>0</v>
      </c>
      <c r="AN10" s="117" t="n">
        <f aca="false">SUMIFS(الريسبي!$C$2:$C$1800,الريسبي!$A$2:$A$1800,$A10,الريسبي!$B$2:$B$1800,AN$1)+0.004166666667*SUMIFS(الريسبي!$C$2:$C$1800,الريسبي!$A$2:$A$1800,$A10,الريسبي!$B$2:$B$1800,"عجين كريب (مصنع بالمطعم)")+0.004166666667*SUMIFS(الريسبي!$C$2:$C$1800,الريسبي!$A$2:$A$1800,$A10,الريسبي!$B$2:$B$1800,"عجين كريب صيامي (بدون لبن)")</f>
        <v>0</v>
      </c>
      <c r="AO10" s="117" t="n">
        <f aca="false">SUMIFS(الريسبي!$C$2:$C$1800,الريسبي!$A$2:$A$1800,$A10,الريسبي!$B$2:$B$1800,AO$1)</f>
        <v>0</v>
      </c>
      <c r="AP10" s="117" t="n">
        <f aca="false">SUMIFS(الريسبي!$C$2:$C$1800,الريسبي!$A$2:$A$1800,$A10,الريسبي!$B$2:$B$1800,AP$1)</f>
        <v>0.02</v>
      </c>
      <c r="AQ10" s="117" t="n">
        <f aca="false">SUMIFS(الريسبي!$C$2:$C$1800,الريسبي!$A$2:$A$1800,$A10,الريسبي!$B$2:$B$1800,AQ$1)+0.004166666667*SUMIFS(الريسبي!$C$2:$C$1800,الريسبي!$A$2:$A$1800,$A10,الريسبي!$B$2:$B$1800,"عجين كريب (مصنع بالمطعم)")+0.004166666667*SUMIFS(الريسبي!$C$2:$C$1800,الريسبي!$A$2:$A$1800,$A10,الريسبي!$B$2:$B$1800,"عجين كريب صيامي (بدون لبن)")</f>
        <v>0</v>
      </c>
      <c r="AR10" s="117" t="n">
        <f aca="false">SUMIFS(الريسبي!$C$2:$C$1800,الريسبي!$A$2:$A$1800,$A10,الريسبي!$B$2:$B$1800,AR$1)</f>
        <v>0</v>
      </c>
      <c r="AS10" s="117" t="n">
        <f aca="false">SUMIFS(الريسبي!$C$2:$C$1800,الريسبي!$A$2:$A$1800,$A10,الريسبي!$B$2:$B$1800,AS$1)</f>
        <v>0</v>
      </c>
      <c r="AT10" s="117" t="n">
        <f aca="false">SUMIFS(الريسبي!$C$2:$C$1800,الريسبي!$A$2:$A$1800,$A10,الريسبي!$B$2:$B$1800,AT$1)</f>
        <v>0</v>
      </c>
      <c r="AU10" s="117" t="n">
        <f aca="false">SUMIFS(الريسبي!$C$2:$C$1800,الريسبي!$A$2:$A$1800,$A10,الريسبي!$B$2:$B$1800,AU$1)</f>
        <v>0</v>
      </c>
      <c r="AV10" s="117" t="n">
        <f aca="false">SUMIFS(الريسبي!$C$2:$C$1800,الريسبي!$A$2:$A$1800,$A10,الريسبي!$B$2:$B$1800,AV$1)</f>
        <v>0</v>
      </c>
      <c r="AW10" s="117" t="n">
        <f aca="false">SUMIFS(الريسبي!$C$2:$C$1800,الريسبي!$A$2:$A$1800,$A10,الريسبي!$B$2:$B$1800,AW$1)</f>
        <v>0</v>
      </c>
      <c r="AX10" s="117" t="n">
        <f aca="false">SUMIFS(الريسبي!$C$2:$C$1800,الريسبي!$A$2:$A$1800,$A10,الريسبي!$B$2:$B$1800,AX$1)</f>
        <v>0.04</v>
      </c>
      <c r="AY10" s="117" t="n">
        <f aca="false">SUMIFS(الريسبي!$C$2:$C$1800,الريسبي!$A$2:$A$1800,$A10,الريسبي!$B$2:$B$1800,AY$1)</f>
        <v>0</v>
      </c>
      <c r="AZ10" s="117" t="n">
        <f aca="false">SUMIFS(الريسبي!$C$2:$C$1800,الريسبي!$A$2:$A$1800,$A10,الريسبي!$B$2:$B$1800,AZ$1)</f>
        <v>0</v>
      </c>
      <c r="BA10" s="117" t="n">
        <f aca="false">SUMIFS(الريسبي!$C$2:$C$1800,الريسبي!$A$2:$A$1800,$A10,الريسبي!$B$2:$B$1800,BA$1)</f>
        <v>0</v>
      </c>
      <c r="BB10" s="117" t="n">
        <f aca="false">SUMIFS(الريسبي!$C$2:$C$1800,الريسبي!$A$2:$A$1800,$A10,الريسبي!$B$2:$B$1800,BB$1)</f>
        <v>0.1</v>
      </c>
      <c r="BC10" s="117" t="n">
        <f aca="false">SUMIFS(الريسبي!$C$2:$C$1800,الريسبي!$A$2:$A$1800,$A10,الريسبي!$B$2:$B$1800,BC$1)</f>
        <v>0.03</v>
      </c>
      <c r="BD10" s="117" t="n">
        <f aca="false">SUMIFS(الريسبي!$C$2:$C$1800,الريسبي!$A$2:$A$1800,$A10,الريسبي!$B$2:$B$1800,BD$1)</f>
        <v>0.22</v>
      </c>
      <c r="BE10" s="117" t="n">
        <f aca="false">SUMIFS(الريسبي!$C$2:$C$1800,الريسبي!$A$2:$A$1800,$A10,الريسبي!$B$2:$B$1800,BE$1)</f>
        <v>0</v>
      </c>
      <c r="BF10" s="117" t="n">
        <f aca="false">SUMIFS(الريسبي!$C$2:$C$1800,الريسبي!$A$2:$A$1800,$A10,الريسبي!$B$2:$B$1800,BF$1)</f>
        <v>0</v>
      </c>
      <c r="BG10" s="117" t="n">
        <f aca="false">SUMIFS(الريسبي!$C$2:$C$1800,الريسبي!$A$2:$A$1800,$A10,الريسبي!$B$2:$B$1800,BG$1)</f>
        <v>0</v>
      </c>
      <c r="BH10" s="117" t="n">
        <f aca="false">SUMIFS(الريسبي!$C$2:$C$1800,الريسبي!$A$2:$A$1800,$A10,الريسبي!$B$2:$B$1800,BH$1)</f>
        <v>1</v>
      </c>
      <c r="BI10" s="117" t="n">
        <f aca="false">SUMIFS(الريسبي!$C$2:$C$1800,الريسبي!$A$2:$A$1800,$A10,الريسبي!$B$2:$B$1800,BI$1)</f>
        <v>0</v>
      </c>
      <c r="BJ10" s="117" t="n">
        <f aca="false">SUMIFS(الريسبي!$C$2:$C$1800,الريسبي!$A$2:$A$1800,$A10,الريسبي!$B$2:$B$1800,BJ$1)</f>
        <v>0</v>
      </c>
      <c r="BK10" s="117" t="n">
        <f aca="false">SUMIFS(الريسبي!$C$2:$C$1800,الريسبي!$A$2:$A$1800,$A10,الريسبي!$B$2:$B$1800,BK$1)</f>
        <v>0</v>
      </c>
      <c r="BL10" s="117" t="n">
        <f aca="false">SUMIFS(الريسبي!$C$2:$C$1800,الريسبي!$A$2:$A$1800,$A10,الريسبي!$B$2:$B$1800,BL$1)</f>
        <v>0</v>
      </c>
      <c r="BM10" s="117" t="n">
        <f aca="false">SUMIFS(الريسبي!$C$2:$C$1800,الريسبي!$A$2:$A$1800,$A10,الريسبي!$B$2:$B$1800,BM$1)</f>
        <v>0</v>
      </c>
      <c r="BN10" s="117" t="n">
        <f aca="false">SUMIFS(الريسبي!$C$2:$C$1800,الريسبي!$A$2:$A$1800,$A10,الريسبي!$B$2:$B$1800,BN$1)</f>
        <v>0.02</v>
      </c>
      <c r="BO10" s="117" t="n">
        <f aca="false">SUMIFS(الريسبي!$C$2:$C$1800,الريسبي!$A$2:$A$1800,$A10,الريسبي!$B$2:$B$1800,BO$1)</f>
        <v>2</v>
      </c>
      <c r="BP10" s="117" t="n">
        <f aca="false">SUMIFS(الريسبي!$C$2:$C$1800,الريسبي!$A$2:$A$1800,$A10,الريسبي!$B$2:$B$1800,BP$1)</f>
        <v>2</v>
      </c>
      <c r="BQ10" s="117" t="n">
        <f aca="false">SUMIFS(الريسبي!$C$2:$C$1800,الريسبي!$A$2:$A$1800,$A10,الريسبي!$B$2:$B$1800,BQ$1)+0.17*SUMIFS(الريسبي!$C$2:$C$1800,الريسبي!$A$2:$A$1800,$A10,الريسبي!$B$2:$B$1800,"كاسترد مصنع (خليط بودر + لبن)")+0.17*SUMIFS(الريسبي!$C$2:$C$1800,الريسبي!$A$2:$A$1800,$A10,الريسبي!$B$2:$B$1800,"كاسترد مصنع صيامي (بدون لبن)")</f>
        <v>0</v>
      </c>
      <c r="BR10" s="117" t="n">
        <f aca="false">SUMIFS(الريسبي!$C$2:$C$1800,الريسبي!$A$2:$A$1800,$A10,الريسبي!$B$2:$B$1800,BR$1)</f>
        <v>1</v>
      </c>
      <c r="BS10" s="117" t="n">
        <f aca="false">SUMIFS(الريسبي!$C$2:$C$1800,الريسبي!$A$2:$A$1800,$A10,الريسبي!$B$2:$B$1800,BS$1)</f>
        <v>0</v>
      </c>
      <c r="BT10" s="117" t="n">
        <f aca="false">SUMIFS(الريسبي!$C$2:$C$1800,الريسبي!$A$2:$A$1800,$A10,الريسبي!$B$2:$B$1800,BT$1)</f>
        <v>0</v>
      </c>
      <c r="BU10" s="117" t="n">
        <f aca="false">SUMIFS(الريسبي!$C$2:$C$1800,الريسبي!$A$2:$A$1800,$A10,الريسبي!$B$2:$B$1800,BU$1)+0.4*SUMIFS(الريسبي!$C$2:$C$1800,الريسبي!$A$2:$A$1800,$A10,الريسبي!$B$2:$B$1800,"كاسترد مصنع (خليط بودر + لبن)")+0.03333333333*SUMIFS(الريسبي!$C$2:$C$1800,الريسبي!$A$2:$A$1800,$A10,الريسبي!$B$2:$B$1800,"عجين كريب (مصنع بالمطعم)")</f>
        <v>0</v>
      </c>
      <c r="BV10" s="117" t="n">
        <f aca="false">SUMIFS(الريسبي!$C$2:$C$1800,الريسبي!$A$2:$A$1800,$A10,الريسبي!$B$2:$B$1800,BV$1)</f>
        <v>0</v>
      </c>
      <c r="BW10" s="117" t="n">
        <f aca="false">SUMIFS(الريسبي!$C$2:$C$1800,الريسبي!$A$2:$A$1800,$A10,الريسبي!$B$2:$B$1800,BW$1)</f>
        <v>0</v>
      </c>
      <c r="BX10" s="117" t="n">
        <f aca="false">SUMIFS(الريسبي!$C$2:$C$1800,الريسبي!$A$2:$A$1800,$A10,الريسبي!$B$2:$B$1800,BX$1)</f>
        <v>0</v>
      </c>
      <c r="BY10" s="117" t="n">
        <f aca="false">SUMIFS(الريسبي!$C$2:$C$1800,الريسبي!$A$2:$A$1800,$A10,الريسبي!$B$2:$B$1800,BY$1)</f>
        <v>0</v>
      </c>
      <c r="BZ10" s="117" t="n">
        <f aca="false">SUMIFS(الريسبي!$C$2:$C$1800,الريسبي!$A$2:$A$1800,$A10,الريسبي!$B$2:$B$1800,BZ$1)</f>
        <v>0</v>
      </c>
      <c r="CA10" s="117" t="n">
        <f aca="false">SUMIFS(الريسبي!$C$2:$C$1800,الريسبي!$A$2:$A$1800,$A10,الريسبي!$B$2:$B$1800,CA$1)</f>
        <v>1</v>
      </c>
      <c r="CB10" s="117" t="n">
        <f aca="false">SUMIFS(الريسبي!$C$2:$C$1800,الريسبي!$A$2:$A$1800,$A10,الريسبي!$B$2:$B$1800,CB$1)</f>
        <v>1</v>
      </c>
      <c r="CC10" s="117" t="n">
        <f aca="false">SUMIFS(الريسبي!$C$2:$C$1800,الريسبي!$A$2:$A$1800,$A10,الريسبي!$B$2:$B$1800,CC$1)</f>
        <v>0</v>
      </c>
      <c r="CD10" s="117" t="n">
        <f aca="false">SUMIFS(الريسبي!$C$2:$C$1800,الريسبي!$A$2:$A$1800,$A10,الريسبي!$B$2:$B$1800,CD$1)</f>
        <v>0</v>
      </c>
      <c r="CE10" s="117" t="n">
        <f aca="false">SUMIFS(الريسبي!$C$2:$C$1800,الريسبي!$A$2:$A$1800,$A10,الريسبي!$B$2:$B$1800,CE$1)</f>
        <v>0</v>
      </c>
      <c r="CF10" s="117" t="n">
        <f aca="false">SUMIFS(الريسبي!$C$2:$C$1800,الريسبي!$A$2:$A$1800,$A10,الريسبي!$B$2:$B$1800,CF$1)</f>
        <v>0</v>
      </c>
      <c r="CG10" s="117" t="n">
        <f aca="false">SUMIFS(الريسبي!$C$2:$C$1800,الريسبي!$A$2:$A$1800,$A10,الريسبي!$B$2:$B$1800,CG$1)</f>
        <v>0</v>
      </c>
      <c r="CH10" s="117" t="n">
        <f aca="false">SUMIFS(الريسبي!$C$2:$C$1800,الريسبي!$A$2:$A$1800,$A10,الريسبي!$B$2:$B$1800,CH$1)</f>
        <v>0</v>
      </c>
      <c r="CI10" s="117" t="n">
        <f aca="false">SUMIFS(الريسبي!$C$2:$C$1800,الريسبي!$A$2:$A$1800,$A10,الريسبي!$B$2:$B$1800,CI$1)</f>
        <v>0</v>
      </c>
      <c r="CJ10" s="117" t="n">
        <f aca="false">SUMIFS(الريسبي!$C$2:$C$1800,الريسبي!$A$2:$A$1800,$A10,الريسبي!$B$2:$B$1800,CJ$1)</f>
        <v>0</v>
      </c>
      <c r="CK10" s="117" t="n">
        <f aca="false">SUMIFS(الريسبي!$C$2:$C$1800,الريسبي!$A$2:$A$1800,$A10,الريسبي!$B$2:$B$1800,CK$1)</f>
        <v>0</v>
      </c>
      <c r="CL10" s="117" t="n">
        <f aca="false">SUMIFS(الريسبي!$C$2:$C$1800,الريسبي!$A$2:$A$1800,$A10,الريسبي!$B$2:$B$1800,CL$1)</f>
        <v>0</v>
      </c>
    </row>
    <row r="11" customFormat="false" ht="15" hidden="false" customHeight="false" outlineLevel="0" collapsed="false">
      <c r="A11" s="116" t="str">
        <f aca="false">المنيو!B11</f>
        <v>بيتزا مشكل جبن حجم اكبر</v>
      </c>
      <c r="B11" s="117" t="n">
        <f aca="false">SUMIFS(الريسبي!$C$2:$C$1800,الريسبي!$A$2:$A$1800,$A11,الريسبي!$B$2:$B$1800,B$1)</f>
        <v>0</v>
      </c>
      <c r="C11" s="117" t="n">
        <f aca="false">SUMIFS(الريسبي!$C$2:$C$1800,الريسبي!$A$2:$A$1800,$A11,الريسبي!$B$2:$B$1800,C$1)</f>
        <v>0</v>
      </c>
      <c r="D11" s="117" t="n">
        <f aca="false">SUMIFS(الريسبي!$C$2:$C$1800,الريسبي!$A$2:$A$1800,$A11,الريسبي!$B$2:$B$1800,D$1)</f>
        <v>1</v>
      </c>
      <c r="E11" s="117" t="n">
        <f aca="false">SUMIFS(الريسبي!$C$2:$C$1800,الريسبي!$A$2:$A$1800,$A11,الريسبي!$B$2:$B$1800,E$1)</f>
        <v>0</v>
      </c>
      <c r="F11" s="117" t="n">
        <f aca="false">SUMIFS(الريسبي!$C$2:$C$1800,الريسبي!$A$2:$A$1800,$A11,الريسبي!$B$2:$B$1800,F$1)</f>
        <v>0</v>
      </c>
      <c r="G11" s="117" t="n">
        <f aca="false">SUMIFS(الريسبي!$C$2:$C$1800,الريسبي!$A$2:$A$1800,$A11,الريسبي!$B$2:$B$1800,G$1)</f>
        <v>0</v>
      </c>
      <c r="H11" s="117" t="n">
        <f aca="false">SUMIFS(الريسبي!$C$2:$C$1800,الريسبي!$A$2:$A$1800,$A11,الريسبي!$B$2:$B$1800,H$1)</f>
        <v>0</v>
      </c>
      <c r="I11" s="117" t="n">
        <f aca="false">SUMIFS(الريسبي!$C$2:$C$1800,الريسبي!$A$2:$A$1800,$A11,الريسبي!$B$2:$B$1800,I$1)</f>
        <v>0</v>
      </c>
      <c r="J11" s="117" t="n">
        <f aca="false">SUMIFS(الريسبي!$C$2:$C$1800,الريسبي!$A$2:$A$1800,$A11,الريسبي!$B$2:$B$1800,J$1)</f>
        <v>1.5</v>
      </c>
      <c r="K11" s="117" t="n">
        <f aca="false">SUMIFS(الريسبي!$C$2:$C$1800,الريسبي!$A$2:$A$1800,$A11,الريسبي!$B$2:$B$1800,K$1)</f>
        <v>0</v>
      </c>
      <c r="L11" s="117" t="n">
        <f aca="false">SUMIFS(الريسبي!$C$2:$C$1800,الريسبي!$A$2:$A$1800,$A11,الريسبي!$B$2:$B$1800,L$1)</f>
        <v>0</v>
      </c>
      <c r="M11" s="117" t="n">
        <f aca="false">SUMIFS(الريسبي!$C$2:$C$1800,الريسبي!$A$2:$A$1800,$A11,الريسبي!$B$2:$B$1800,M$1)</f>
        <v>0</v>
      </c>
      <c r="N11" s="117" t="n">
        <f aca="false">SUMIFS(الريسبي!$C$2:$C$1800,الريسبي!$A$2:$A$1800,$A11,الريسبي!$B$2:$B$1800,N$1)</f>
        <v>0</v>
      </c>
      <c r="O11" s="117" t="n">
        <f aca="false">SUMIFS(الريسبي!$C$2:$C$1800,الريسبي!$A$2:$A$1800,$A11,الريسبي!$B$2:$B$1800,O$1)</f>
        <v>0</v>
      </c>
      <c r="P11" s="117" t="n">
        <f aca="false">SUMIFS(الريسبي!$C$2:$C$1800,الريسبي!$A$2:$A$1800,$A11,الريسبي!$B$2:$B$1800,P$1)</f>
        <v>0</v>
      </c>
      <c r="Q11" s="117" t="n">
        <f aca="false">SUMIFS(الريسبي!$C$2:$C$1800,الريسبي!$A$2:$A$1800,$A11,الريسبي!$B$2:$B$1800,Q$1)</f>
        <v>0</v>
      </c>
      <c r="R11" s="117" t="n">
        <f aca="false">SUMIFS(الريسبي!$C$2:$C$1800,الريسبي!$A$2:$A$1800,$A11,الريسبي!$B$2:$B$1800,R$1)</f>
        <v>0</v>
      </c>
      <c r="S11" s="117" t="n">
        <f aca="false">SUMIFS(الريسبي!$C$2:$C$1800,الريسبي!$A$2:$A$1800,$A11,الريسبي!$B$2:$B$1800,S$1)</f>
        <v>0</v>
      </c>
      <c r="T11" s="117" t="n">
        <f aca="false">SUMIFS(الريسبي!$C$2:$C$1800,الريسبي!$A$2:$A$1800,$A11,الريسبي!$B$2:$B$1800,T$1)</f>
        <v>0</v>
      </c>
      <c r="U11" s="117" t="n">
        <f aca="false">SUMIFS(الريسبي!$C$2:$C$1800,الريسبي!$A$2:$A$1800,$A11,الريسبي!$B$2:$B$1800,U$1)</f>
        <v>0</v>
      </c>
      <c r="V11" s="117" t="n">
        <f aca="false">SUMIFS(الريسبي!$C$2:$C$1800,الريسبي!$A$2:$A$1800,$A11,الريسبي!$B$2:$B$1800,V$1)</f>
        <v>0</v>
      </c>
      <c r="W11" s="117" t="n">
        <f aca="false">SUMIFS(الريسبي!$C$2:$C$1800,الريسبي!$A$2:$A$1800,$A11,الريسبي!$B$2:$B$1800,W$1)</f>
        <v>1</v>
      </c>
      <c r="X11" s="117" t="n">
        <f aca="false">SUMIFS(الريسبي!$C$2:$C$1800,الريسبي!$A$2:$A$1800,$A11,الريسبي!$B$2:$B$1800,X$1)</f>
        <v>0</v>
      </c>
      <c r="Y11" s="117" t="n">
        <f aca="false">SUMIFS(الريسبي!$C$2:$C$1800,الريسبي!$A$2:$A$1800,$A11,الريسبي!$B$2:$B$1800,Y$1)</f>
        <v>0</v>
      </c>
      <c r="Z11" s="117" t="n">
        <f aca="false">SUMIFS(الريسبي!$C$2:$C$1800,الريسبي!$A$2:$A$1800,$A11,الريسبي!$B$2:$B$1800,Z$1)</f>
        <v>0</v>
      </c>
      <c r="AA11" s="117" t="n">
        <f aca="false">SUMIFS(الريسبي!$C$2:$C$1800,الريسبي!$A$2:$A$1800,$A11,الريسبي!$B$2:$B$1800,AA$1)</f>
        <v>0</v>
      </c>
      <c r="AB11" s="117" t="n">
        <f aca="false">SUMIFS(الريسبي!$C$2:$C$1800,الريسبي!$A$2:$A$1800,$A11,الريسبي!$B$2:$B$1800,AB$1)</f>
        <v>0</v>
      </c>
      <c r="AC11" s="117" t="n">
        <f aca="false">SUMIFS(الريسبي!$C$2:$C$1800,الريسبي!$A$2:$A$1800,$A11,الريسبي!$B$2:$B$1800,AC$1)</f>
        <v>0</v>
      </c>
      <c r="AD11" s="117" t="n">
        <f aca="false">SUMIFS(الريسبي!$C$2:$C$1800,الريسبي!$A$2:$A$1800,$A11,الريسبي!$B$2:$B$1800,AD$1)</f>
        <v>0</v>
      </c>
      <c r="AE11" s="117" t="n">
        <f aca="false">SUMIFS(الريسبي!$C$2:$C$1800,الريسبي!$A$2:$A$1800,$A11,الريسبي!$B$2:$B$1800,AE$1)</f>
        <v>0</v>
      </c>
      <c r="AF11" s="117" t="n">
        <f aca="false">SUMIFS(الريسبي!$C$2:$C$1800,الريسبي!$A$2:$A$1800,$A11,الريسبي!$B$2:$B$1800,AF$1)</f>
        <v>0</v>
      </c>
      <c r="AG11" s="117" t="n">
        <f aca="false">SUMIFS(الريسبي!$C$2:$C$1800,الريسبي!$A$2:$A$1800,$A11,الريسبي!$B$2:$B$1800,AG$1)</f>
        <v>0</v>
      </c>
      <c r="AH11" s="117" t="n">
        <f aca="false">SUMIFS(الريسبي!$C$2:$C$1800,الريسبي!$A$2:$A$1800,$A11,الريسبي!$B$2:$B$1800,AH$1)</f>
        <v>0</v>
      </c>
      <c r="AI11" s="117" t="n">
        <f aca="false">SUMIFS(الريسبي!$C$2:$C$1800,الريسبي!$A$2:$A$1800,$A11,الريسبي!$B$2:$B$1800,AI$1)</f>
        <v>0</v>
      </c>
      <c r="AJ11" s="117" t="n">
        <f aca="false">SUMIFS(الريسبي!$C$2:$C$1800,الريسبي!$A$2:$A$1800,$A11,الريسبي!$B$2:$B$1800,AJ$1)</f>
        <v>2</v>
      </c>
      <c r="AK11" s="117" t="n">
        <f aca="false">SUMIFS(الريسبي!$C$2:$C$1800,الريسبي!$A$2:$A$1800,$A11,الريسبي!$B$2:$B$1800,AK$1)</f>
        <v>0</v>
      </c>
      <c r="AL11" s="117" t="n">
        <f aca="false">SUMIFS(الريسبي!$C$2:$C$1800,الريسبي!$A$2:$A$1800,$A11,الريسبي!$B$2:$B$1800,AL$1)</f>
        <v>0</v>
      </c>
      <c r="AM11" s="117" t="n">
        <f aca="false">SUMIFS(الريسبي!$C$2:$C$1800,الريسبي!$A$2:$A$1800,$A11,الريسبي!$B$2:$B$1800,AM$1)+0.08333333333*SUMIFS(الريسبي!$C$2:$C$1800,الريسبي!$A$2:$A$1800,$A11,الريسبي!$B$2:$B$1800,"عجين كريب (مصنع بالمطعم)")+0.08333333333*SUMIFS(الريسبي!$C$2:$C$1800,الريسبي!$A$2:$A$1800,$A11,الريسبي!$B$2:$B$1800,"عجين كريب صيامي (بدون لبن)")</f>
        <v>0</v>
      </c>
      <c r="AN11" s="117" t="n">
        <f aca="false">SUMIFS(الريسبي!$C$2:$C$1800,الريسبي!$A$2:$A$1800,$A11,الريسبي!$B$2:$B$1800,AN$1)+0.004166666667*SUMIFS(الريسبي!$C$2:$C$1800,الريسبي!$A$2:$A$1800,$A11,الريسبي!$B$2:$B$1800,"عجين كريب (مصنع بالمطعم)")+0.004166666667*SUMIFS(الريسبي!$C$2:$C$1800,الريسبي!$A$2:$A$1800,$A11,الريسبي!$B$2:$B$1800,"عجين كريب صيامي (بدون لبن)")</f>
        <v>0</v>
      </c>
      <c r="AO11" s="117" t="n">
        <f aca="false">SUMIFS(الريسبي!$C$2:$C$1800,الريسبي!$A$2:$A$1800,$A11,الريسبي!$B$2:$B$1800,AO$1)</f>
        <v>0</v>
      </c>
      <c r="AP11" s="117" t="n">
        <f aca="false">SUMIFS(الريسبي!$C$2:$C$1800,الريسبي!$A$2:$A$1800,$A11,الريسبي!$B$2:$B$1800,AP$1)</f>
        <v>0.03</v>
      </c>
      <c r="AQ11" s="117" t="n">
        <f aca="false">SUMIFS(الريسبي!$C$2:$C$1800,الريسبي!$A$2:$A$1800,$A11,الريسبي!$B$2:$B$1800,AQ$1)+0.004166666667*SUMIFS(الريسبي!$C$2:$C$1800,الريسبي!$A$2:$A$1800,$A11,الريسبي!$B$2:$B$1800,"عجين كريب (مصنع بالمطعم)")+0.004166666667*SUMIFS(الريسبي!$C$2:$C$1800,الريسبي!$A$2:$A$1800,$A11,الريسبي!$B$2:$B$1800,"عجين كريب صيامي (بدون لبن)")</f>
        <v>0</v>
      </c>
      <c r="AR11" s="117" t="n">
        <f aca="false">SUMIFS(الريسبي!$C$2:$C$1800,الريسبي!$A$2:$A$1800,$A11,الريسبي!$B$2:$B$1800,AR$1)</f>
        <v>0</v>
      </c>
      <c r="AS11" s="117" t="n">
        <f aca="false">SUMIFS(الريسبي!$C$2:$C$1800,الريسبي!$A$2:$A$1800,$A11,الريسبي!$B$2:$B$1800,AS$1)</f>
        <v>0</v>
      </c>
      <c r="AT11" s="117" t="n">
        <f aca="false">SUMIFS(الريسبي!$C$2:$C$1800,الريسبي!$A$2:$A$1800,$A11,الريسبي!$B$2:$B$1800,AT$1)</f>
        <v>0</v>
      </c>
      <c r="AU11" s="117" t="n">
        <f aca="false">SUMIFS(الريسبي!$C$2:$C$1800,الريسبي!$A$2:$A$1800,$A11,الريسبي!$B$2:$B$1800,AU$1)</f>
        <v>0</v>
      </c>
      <c r="AV11" s="117" t="n">
        <f aca="false">SUMIFS(الريسبي!$C$2:$C$1800,الريسبي!$A$2:$A$1800,$A11,الريسبي!$B$2:$B$1800,AV$1)</f>
        <v>0</v>
      </c>
      <c r="AW11" s="117" t="n">
        <f aca="false">SUMIFS(الريسبي!$C$2:$C$1800,الريسبي!$A$2:$A$1800,$A11,الريسبي!$B$2:$B$1800,AW$1)</f>
        <v>0</v>
      </c>
      <c r="AX11" s="117" t="n">
        <f aca="false">SUMIFS(الريسبي!$C$2:$C$1800,الريسبي!$A$2:$A$1800,$A11,الريسبي!$B$2:$B$1800,AX$1)</f>
        <v>0.06</v>
      </c>
      <c r="AY11" s="117" t="n">
        <f aca="false">SUMIFS(الريسبي!$C$2:$C$1800,الريسبي!$A$2:$A$1800,$A11,الريسبي!$B$2:$B$1800,AY$1)</f>
        <v>0</v>
      </c>
      <c r="AZ11" s="117" t="n">
        <f aca="false">SUMIFS(الريسبي!$C$2:$C$1800,الريسبي!$A$2:$A$1800,$A11,الريسبي!$B$2:$B$1800,AZ$1)</f>
        <v>0</v>
      </c>
      <c r="BA11" s="117" t="n">
        <f aca="false">SUMIFS(الريسبي!$C$2:$C$1800,الريسبي!$A$2:$A$1800,$A11,الريسبي!$B$2:$B$1800,BA$1)</f>
        <v>0</v>
      </c>
      <c r="BB11" s="117" t="n">
        <f aca="false">SUMIFS(الريسبي!$C$2:$C$1800,الريسبي!$A$2:$A$1800,$A11,الريسبي!$B$2:$B$1800,BB$1)</f>
        <v>0.15</v>
      </c>
      <c r="BC11" s="117" t="n">
        <f aca="false">SUMIFS(الريسبي!$C$2:$C$1800,الريسبي!$A$2:$A$1800,$A11,الريسبي!$B$2:$B$1800,BC$1)</f>
        <v>0.045</v>
      </c>
      <c r="BD11" s="117" t="n">
        <f aca="false">SUMIFS(الريسبي!$C$2:$C$1800,الريسبي!$A$2:$A$1800,$A11,الريسبي!$B$2:$B$1800,BD$1)</f>
        <v>0.3</v>
      </c>
      <c r="BE11" s="117" t="n">
        <f aca="false">SUMIFS(الريسبي!$C$2:$C$1800,الريسبي!$A$2:$A$1800,$A11,الريسبي!$B$2:$B$1800,BE$1)</f>
        <v>0</v>
      </c>
      <c r="BF11" s="117" t="n">
        <f aca="false">SUMIFS(الريسبي!$C$2:$C$1800,الريسبي!$A$2:$A$1800,$A11,الريسبي!$B$2:$B$1800,BF$1)</f>
        <v>0</v>
      </c>
      <c r="BG11" s="117" t="n">
        <f aca="false">SUMIFS(الريسبي!$C$2:$C$1800,الريسبي!$A$2:$A$1800,$A11,الريسبي!$B$2:$B$1800,BG$1)</f>
        <v>1</v>
      </c>
      <c r="BH11" s="117" t="n">
        <f aca="false">SUMIFS(الريسبي!$C$2:$C$1800,الريسبي!$A$2:$A$1800,$A11,الريسبي!$B$2:$B$1800,BH$1)</f>
        <v>0</v>
      </c>
      <c r="BI11" s="117" t="n">
        <f aca="false">SUMIFS(الريسبي!$C$2:$C$1800,الريسبي!$A$2:$A$1800,$A11,الريسبي!$B$2:$B$1800,BI$1)</f>
        <v>0</v>
      </c>
      <c r="BJ11" s="117" t="n">
        <f aca="false">SUMIFS(الريسبي!$C$2:$C$1800,الريسبي!$A$2:$A$1800,$A11,الريسبي!$B$2:$B$1800,BJ$1)</f>
        <v>0</v>
      </c>
      <c r="BK11" s="117" t="n">
        <f aca="false">SUMIFS(الريسبي!$C$2:$C$1800,الريسبي!$A$2:$A$1800,$A11,الريسبي!$B$2:$B$1800,BK$1)</f>
        <v>0</v>
      </c>
      <c r="BL11" s="117" t="n">
        <f aca="false">SUMIFS(الريسبي!$C$2:$C$1800,الريسبي!$A$2:$A$1800,$A11,الريسبي!$B$2:$B$1800,BL$1)</f>
        <v>0</v>
      </c>
      <c r="BM11" s="117" t="n">
        <f aca="false">SUMIFS(الريسبي!$C$2:$C$1800,الريسبي!$A$2:$A$1800,$A11,الريسبي!$B$2:$B$1800,BM$1)</f>
        <v>0</v>
      </c>
      <c r="BN11" s="117" t="n">
        <f aca="false">SUMIFS(الريسبي!$C$2:$C$1800,الريسبي!$A$2:$A$1800,$A11,الريسبي!$B$2:$B$1800,BN$1)</f>
        <v>0.03</v>
      </c>
      <c r="BO11" s="117" t="n">
        <f aca="false">SUMIFS(الريسبي!$C$2:$C$1800,الريسبي!$A$2:$A$1800,$A11,الريسبي!$B$2:$B$1800,BO$1)</f>
        <v>3</v>
      </c>
      <c r="BP11" s="117" t="n">
        <f aca="false">SUMIFS(الريسبي!$C$2:$C$1800,الريسبي!$A$2:$A$1800,$A11,الريسبي!$B$2:$B$1800,BP$1)</f>
        <v>3</v>
      </c>
      <c r="BQ11" s="117" t="n">
        <f aca="false">SUMIFS(الريسبي!$C$2:$C$1800,الريسبي!$A$2:$A$1800,$A11,الريسبي!$B$2:$B$1800,BQ$1)+0.17*SUMIFS(الريسبي!$C$2:$C$1800,الريسبي!$A$2:$A$1800,$A11,الريسبي!$B$2:$B$1800,"كاسترد مصنع (خليط بودر + لبن)")+0.17*SUMIFS(الريسبي!$C$2:$C$1800,الريسبي!$A$2:$A$1800,$A11,الريسبي!$B$2:$B$1800,"كاسترد مصنع صيامي (بدون لبن)")</f>
        <v>0</v>
      </c>
      <c r="BR11" s="117" t="n">
        <f aca="false">SUMIFS(الريسبي!$C$2:$C$1800,الريسبي!$A$2:$A$1800,$A11,الريسبي!$B$2:$B$1800,BR$1)</f>
        <v>1</v>
      </c>
      <c r="BS11" s="117" t="n">
        <f aca="false">SUMIFS(الريسبي!$C$2:$C$1800,الريسبي!$A$2:$A$1800,$A11,الريسبي!$B$2:$B$1800,BS$1)</f>
        <v>0</v>
      </c>
      <c r="BT11" s="117" t="n">
        <f aca="false">SUMIFS(الريسبي!$C$2:$C$1800,الريسبي!$A$2:$A$1800,$A11,الريسبي!$B$2:$B$1800,BT$1)</f>
        <v>0</v>
      </c>
      <c r="BU11" s="117" t="n">
        <f aca="false">SUMIFS(الريسبي!$C$2:$C$1800,الريسبي!$A$2:$A$1800,$A11,الريسبي!$B$2:$B$1800,BU$1)+0.4*SUMIFS(الريسبي!$C$2:$C$1800,الريسبي!$A$2:$A$1800,$A11,الريسبي!$B$2:$B$1800,"كاسترد مصنع (خليط بودر + لبن)")+0.03333333333*SUMIFS(الريسبي!$C$2:$C$1800,الريسبي!$A$2:$A$1800,$A11,الريسبي!$B$2:$B$1800,"عجين كريب (مصنع بالمطعم)")</f>
        <v>0</v>
      </c>
      <c r="BV11" s="117" t="n">
        <f aca="false">SUMIFS(الريسبي!$C$2:$C$1800,الريسبي!$A$2:$A$1800,$A11,الريسبي!$B$2:$B$1800,BV$1)</f>
        <v>0</v>
      </c>
      <c r="BW11" s="117" t="n">
        <f aca="false">SUMIFS(الريسبي!$C$2:$C$1800,الريسبي!$A$2:$A$1800,$A11,الريسبي!$B$2:$B$1800,BW$1)</f>
        <v>0</v>
      </c>
      <c r="BX11" s="117" t="n">
        <f aca="false">SUMIFS(الريسبي!$C$2:$C$1800,الريسبي!$A$2:$A$1800,$A11,الريسبي!$B$2:$B$1800,BX$1)</f>
        <v>0</v>
      </c>
      <c r="BY11" s="117" t="n">
        <f aca="false">SUMIFS(الريسبي!$C$2:$C$1800,الريسبي!$A$2:$A$1800,$A11,الريسبي!$B$2:$B$1800,BY$1)</f>
        <v>0</v>
      </c>
      <c r="BZ11" s="117" t="n">
        <f aca="false">SUMIFS(الريسبي!$C$2:$C$1800,الريسبي!$A$2:$A$1800,$A11,الريسبي!$B$2:$B$1800,BZ$1)</f>
        <v>0</v>
      </c>
      <c r="CA11" s="117" t="n">
        <f aca="false">SUMIFS(الريسبي!$C$2:$C$1800,الريسبي!$A$2:$A$1800,$A11,الريسبي!$B$2:$B$1800,CA$1)</f>
        <v>1</v>
      </c>
      <c r="CB11" s="117" t="n">
        <f aca="false">SUMIFS(الريسبي!$C$2:$C$1800,الريسبي!$A$2:$A$1800,$A11,الريسبي!$B$2:$B$1800,CB$1)</f>
        <v>1</v>
      </c>
      <c r="CC11" s="117" t="n">
        <f aca="false">SUMIFS(الريسبي!$C$2:$C$1800,الريسبي!$A$2:$A$1800,$A11,الريسبي!$B$2:$B$1800,CC$1)</f>
        <v>0</v>
      </c>
      <c r="CD11" s="117" t="n">
        <f aca="false">SUMIFS(الريسبي!$C$2:$C$1800,الريسبي!$A$2:$A$1800,$A11,الريسبي!$B$2:$B$1800,CD$1)</f>
        <v>0</v>
      </c>
      <c r="CE11" s="117" t="n">
        <f aca="false">SUMIFS(الريسبي!$C$2:$C$1800,الريسبي!$A$2:$A$1800,$A11,الريسبي!$B$2:$B$1800,CE$1)</f>
        <v>0</v>
      </c>
      <c r="CF11" s="117" t="n">
        <f aca="false">SUMIFS(الريسبي!$C$2:$C$1800,الريسبي!$A$2:$A$1800,$A11,الريسبي!$B$2:$B$1800,CF$1)</f>
        <v>0</v>
      </c>
      <c r="CG11" s="117" t="n">
        <f aca="false">SUMIFS(الريسبي!$C$2:$C$1800,الريسبي!$A$2:$A$1800,$A11,الريسبي!$B$2:$B$1800,CG$1)</f>
        <v>0</v>
      </c>
      <c r="CH11" s="117" t="n">
        <f aca="false">SUMIFS(الريسبي!$C$2:$C$1800,الريسبي!$A$2:$A$1800,$A11,الريسبي!$B$2:$B$1800,CH$1)</f>
        <v>0</v>
      </c>
      <c r="CI11" s="117" t="n">
        <f aca="false">SUMIFS(الريسبي!$C$2:$C$1800,الريسبي!$A$2:$A$1800,$A11,الريسبي!$B$2:$B$1800,CI$1)</f>
        <v>0</v>
      </c>
      <c r="CJ11" s="117" t="n">
        <f aca="false">SUMIFS(الريسبي!$C$2:$C$1800,الريسبي!$A$2:$A$1800,$A11,الريسبي!$B$2:$B$1800,CJ$1)</f>
        <v>0</v>
      </c>
      <c r="CK11" s="117" t="n">
        <f aca="false">SUMIFS(الريسبي!$C$2:$C$1800,الريسبي!$A$2:$A$1800,$A11,الريسبي!$B$2:$B$1800,CK$1)</f>
        <v>0</v>
      </c>
      <c r="CL11" s="117" t="n">
        <f aca="false">SUMIFS(الريسبي!$C$2:$C$1800,الريسبي!$A$2:$A$1800,$A11,الريسبي!$B$2:$B$1800,CL$1)</f>
        <v>0</v>
      </c>
    </row>
    <row r="12" customFormat="false" ht="15" hidden="false" customHeight="false" outlineLevel="0" collapsed="false">
      <c r="A12" s="116" t="str">
        <f aca="false">المنيو!B12</f>
        <v>بيتزا فراخ رانش وسط</v>
      </c>
      <c r="B12" s="117" t="n">
        <f aca="false">SUMIFS(الريسبي!$C$2:$C$1800,الريسبي!$A$2:$A$1800,$A12,الريسبي!$B$2:$B$1800,B$1)</f>
        <v>0</v>
      </c>
      <c r="C12" s="117" t="n">
        <f aca="false">SUMIFS(الريسبي!$C$2:$C$1800,الريسبي!$A$2:$A$1800,$A12,الريسبي!$B$2:$B$1800,C$1)</f>
        <v>0</v>
      </c>
      <c r="D12" s="117" t="n">
        <f aca="false">SUMIFS(الريسبي!$C$2:$C$1800,الريسبي!$A$2:$A$1800,$A12,الريسبي!$B$2:$B$1800,D$1)</f>
        <v>1</v>
      </c>
      <c r="E12" s="117" t="n">
        <f aca="false">SUMIFS(الريسبي!$C$2:$C$1800,الريسبي!$A$2:$A$1800,$A12,الريسبي!$B$2:$B$1800,E$1)</f>
        <v>0</v>
      </c>
      <c r="F12" s="117" t="n">
        <f aca="false">SUMIFS(الريسبي!$C$2:$C$1800,الريسبي!$A$2:$A$1800,$A12,الريسبي!$B$2:$B$1800,F$1)</f>
        <v>0</v>
      </c>
      <c r="G12" s="117" t="n">
        <f aca="false">SUMIFS(الريسبي!$C$2:$C$1800,الريسبي!$A$2:$A$1800,$A12,الريسبي!$B$2:$B$1800,G$1)</f>
        <v>0</v>
      </c>
      <c r="H12" s="117" t="n">
        <f aca="false">SUMIFS(الريسبي!$C$2:$C$1800,الريسبي!$A$2:$A$1800,$A12,الريسبي!$B$2:$B$1800,H$1)</f>
        <v>0</v>
      </c>
      <c r="I12" s="117" t="n">
        <f aca="false">SUMIFS(الريسبي!$C$2:$C$1800,الريسبي!$A$2:$A$1800,$A12,الريسبي!$B$2:$B$1800,I$1)</f>
        <v>0</v>
      </c>
      <c r="J12" s="117" t="n">
        <f aca="false">SUMIFS(الريسبي!$C$2:$C$1800,الريسبي!$A$2:$A$1800,$A12,الريسبي!$B$2:$B$1800,J$1)</f>
        <v>0</v>
      </c>
      <c r="K12" s="117" t="n">
        <f aca="false">SUMIFS(الريسبي!$C$2:$C$1800,الريسبي!$A$2:$A$1800,$A12,الريسبي!$B$2:$B$1800,K$1)</f>
        <v>0</v>
      </c>
      <c r="L12" s="117" t="n">
        <f aca="false">SUMIFS(الريسبي!$C$2:$C$1800,الريسبي!$A$2:$A$1800,$A12,الريسبي!$B$2:$B$1800,L$1)</f>
        <v>0</v>
      </c>
      <c r="M12" s="117" t="n">
        <f aca="false">SUMIFS(الريسبي!$C$2:$C$1800,الريسبي!$A$2:$A$1800,$A12,الريسبي!$B$2:$B$1800,M$1)</f>
        <v>0</v>
      </c>
      <c r="N12" s="117" t="n">
        <f aca="false">SUMIFS(الريسبي!$C$2:$C$1800,الريسبي!$A$2:$A$1800,$A12,الريسبي!$B$2:$B$1800,N$1)</f>
        <v>0</v>
      </c>
      <c r="O12" s="117" t="n">
        <f aca="false">SUMIFS(الريسبي!$C$2:$C$1800,الريسبي!$A$2:$A$1800,$A12,الريسبي!$B$2:$B$1800,O$1)</f>
        <v>1</v>
      </c>
      <c r="P12" s="117" t="n">
        <f aca="false">SUMIFS(الريسبي!$C$2:$C$1800,الريسبي!$A$2:$A$1800,$A12,الريسبي!$B$2:$B$1800,P$1)</f>
        <v>0</v>
      </c>
      <c r="Q12" s="117" t="n">
        <f aca="false">SUMIFS(الريسبي!$C$2:$C$1800,الريسبي!$A$2:$A$1800,$A12,الريسبي!$B$2:$B$1800,Q$1)</f>
        <v>0</v>
      </c>
      <c r="R12" s="117" t="n">
        <f aca="false">SUMIFS(الريسبي!$C$2:$C$1800,الريسبي!$A$2:$A$1800,$A12,الريسبي!$B$2:$B$1800,R$1)</f>
        <v>0</v>
      </c>
      <c r="S12" s="117" t="n">
        <f aca="false">SUMIFS(الريسبي!$C$2:$C$1800,الريسبي!$A$2:$A$1800,$A12,الريسبي!$B$2:$B$1800,S$1)</f>
        <v>0</v>
      </c>
      <c r="T12" s="117" t="n">
        <f aca="false">SUMIFS(الريسبي!$C$2:$C$1800,الريسبي!$A$2:$A$1800,$A12,الريسبي!$B$2:$B$1800,T$1)</f>
        <v>0</v>
      </c>
      <c r="U12" s="117" t="n">
        <f aca="false">SUMIFS(الريسبي!$C$2:$C$1800,الريسبي!$A$2:$A$1800,$A12,الريسبي!$B$2:$B$1800,U$1)</f>
        <v>0</v>
      </c>
      <c r="V12" s="117" t="n">
        <f aca="false">SUMIFS(الريسبي!$C$2:$C$1800,الريسبي!$A$2:$A$1800,$A12,الريسبي!$B$2:$B$1800,V$1)</f>
        <v>1</v>
      </c>
      <c r="W12" s="117" t="n">
        <f aca="false">SUMIFS(الريسبي!$C$2:$C$1800,الريسبي!$A$2:$A$1800,$A12,الريسبي!$B$2:$B$1800,W$1)</f>
        <v>0</v>
      </c>
      <c r="X12" s="117" t="n">
        <f aca="false">SUMIFS(الريسبي!$C$2:$C$1800,الريسبي!$A$2:$A$1800,$A12,الريسبي!$B$2:$B$1800,X$1)</f>
        <v>0</v>
      </c>
      <c r="Y12" s="117" t="n">
        <f aca="false">SUMIFS(الريسبي!$C$2:$C$1800,الريسبي!$A$2:$A$1800,$A12,الريسبي!$B$2:$B$1800,Y$1)</f>
        <v>0</v>
      </c>
      <c r="Z12" s="117" t="n">
        <f aca="false">SUMIFS(الريسبي!$C$2:$C$1800,الريسبي!$A$2:$A$1800,$A12,الريسبي!$B$2:$B$1800,Z$1)</f>
        <v>0</v>
      </c>
      <c r="AA12" s="117" t="n">
        <f aca="false">SUMIFS(الريسبي!$C$2:$C$1800,الريسبي!$A$2:$A$1800,$A12,الريسبي!$B$2:$B$1800,AA$1)</f>
        <v>0</v>
      </c>
      <c r="AB12" s="117" t="n">
        <f aca="false">SUMIFS(الريسبي!$C$2:$C$1800,الريسبي!$A$2:$A$1800,$A12,الريسبي!$B$2:$B$1800,AB$1)</f>
        <v>0</v>
      </c>
      <c r="AC12" s="117" t="n">
        <f aca="false">SUMIFS(الريسبي!$C$2:$C$1800,الريسبي!$A$2:$A$1800,$A12,الريسبي!$B$2:$B$1800,AC$1)</f>
        <v>0</v>
      </c>
      <c r="AD12" s="117" t="n">
        <f aca="false">SUMIFS(الريسبي!$C$2:$C$1800,الريسبي!$A$2:$A$1800,$A12,الريسبي!$B$2:$B$1800,AD$1)</f>
        <v>0</v>
      </c>
      <c r="AE12" s="117" t="n">
        <f aca="false">SUMIFS(الريسبي!$C$2:$C$1800,الريسبي!$A$2:$A$1800,$A12,الريسبي!$B$2:$B$1800,AE$1)</f>
        <v>0</v>
      </c>
      <c r="AF12" s="117" t="n">
        <f aca="false">SUMIFS(الريسبي!$C$2:$C$1800,الريسبي!$A$2:$A$1800,$A12,الريسبي!$B$2:$B$1800,AF$1)</f>
        <v>0</v>
      </c>
      <c r="AG12" s="117" t="n">
        <f aca="false">SUMIFS(الريسبي!$C$2:$C$1800,الريسبي!$A$2:$A$1800,$A12,الريسبي!$B$2:$B$1800,AG$1)</f>
        <v>0</v>
      </c>
      <c r="AH12" s="117" t="n">
        <f aca="false">SUMIFS(الريسبي!$C$2:$C$1800,الريسبي!$A$2:$A$1800,$A12,الريسبي!$B$2:$B$1800,AH$1)</f>
        <v>0</v>
      </c>
      <c r="AI12" s="117" t="n">
        <f aca="false">SUMIFS(الريسبي!$C$2:$C$1800,الريسبي!$A$2:$A$1800,$A12,الريسبي!$B$2:$B$1800,AI$1)</f>
        <v>0</v>
      </c>
      <c r="AJ12" s="117" t="n">
        <f aca="false">SUMIFS(الريسبي!$C$2:$C$1800,الريسبي!$A$2:$A$1800,$A12,الريسبي!$B$2:$B$1800,AJ$1)</f>
        <v>2</v>
      </c>
      <c r="AK12" s="117" t="n">
        <f aca="false">SUMIFS(الريسبي!$C$2:$C$1800,الريسبي!$A$2:$A$1800,$A12,الريسبي!$B$2:$B$1800,AK$1)</f>
        <v>0</v>
      </c>
      <c r="AL12" s="117" t="n">
        <f aca="false">SUMIFS(الريسبي!$C$2:$C$1800,الريسبي!$A$2:$A$1800,$A12,الريسبي!$B$2:$B$1800,AL$1)</f>
        <v>0</v>
      </c>
      <c r="AM12" s="117" t="n">
        <f aca="false">SUMIFS(الريسبي!$C$2:$C$1800,الريسبي!$A$2:$A$1800,$A12,الريسبي!$B$2:$B$1800,AM$1)+0.08333333333*SUMIFS(الريسبي!$C$2:$C$1800,الريسبي!$A$2:$A$1800,$A12,الريسبي!$B$2:$B$1800,"عجين كريب (مصنع بالمطعم)")+0.08333333333*SUMIFS(الريسبي!$C$2:$C$1800,الريسبي!$A$2:$A$1800,$A12,الريسبي!$B$2:$B$1800,"عجين كريب صيامي (بدون لبن)")</f>
        <v>0</v>
      </c>
      <c r="AN12" s="117" t="n">
        <f aca="false">SUMIFS(الريسبي!$C$2:$C$1800,الريسبي!$A$2:$A$1800,$A12,الريسبي!$B$2:$B$1800,AN$1)+0.004166666667*SUMIFS(الريسبي!$C$2:$C$1800,الريسبي!$A$2:$A$1800,$A12,الريسبي!$B$2:$B$1800,"عجين كريب (مصنع بالمطعم)")+0.004166666667*SUMIFS(الريسبي!$C$2:$C$1800,الريسبي!$A$2:$A$1800,$A12,الريسبي!$B$2:$B$1800,"عجين كريب صيامي (بدون لبن)")</f>
        <v>0</v>
      </c>
      <c r="AO12" s="117" t="n">
        <f aca="false">SUMIFS(الريسبي!$C$2:$C$1800,الريسبي!$A$2:$A$1800,$A12,الريسبي!$B$2:$B$1800,AO$1)</f>
        <v>0</v>
      </c>
      <c r="AP12" s="117" t="n">
        <f aca="false">SUMIFS(الريسبي!$C$2:$C$1800,الريسبي!$A$2:$A$1800,$A12,الريسبي!$B$2:$B$1800,AP$1)</f>
        <v>0.02</v>
      </c>
      <c r="AQ12" s="117" t="n">
        <f aca="false">SUMIFS(الريسبي!$C$2:$C$1800,الريسبي!$A$2:$A$1800,$A12,الريسبي!$B$2:$B$1800,AQ$1)+0.004166666667*SUMIFS(الريسبي!$C$2:$C$1800,الريسبي!$A$2:$A$1800,$A12,الريسبي!$B$2:$B$1800,"عجين كريب (مصنع بالمطعم)")+0.004166666667*SUMIFS(الريسبي!$C$2:$C$1800,الريسبي!$A$2:$A$1800,$A12,الريسبي!$B$2:$B$1800,"عجين كريب صيامي (بدون لبن)")</f>
        <v>0</v>
      </c>
      <c r="AR12" s="117" t="n">
        <f aca="false">SUMIFS(الريسبي!$C$2:$C$1800,الريسبي!$A$2:$A$1800,$A12,الريسبي!$B$2:$B$1800,AR$1)</f>
        <v>0</v>
      </c>
      <c r="AS12" s="117" t="n">
        <f aca="false">SUMIFS(الريسبي!$C$2:$C$1800,الريسبي!$A$2:$A$1800,$A12,الريسبي!$B$2:$B$1800,AS$1)</f>
        <v>0</v>
      </c>
      <c r="AT12" s="117" t="n">
        <f aca="false">SUMIFS(الريسبي!$C$2:$C$1800,الريسبي!$A$2:$A$1800,$A12,الريسبي!$B$2:$B$1800,AT$1)</f>
        <v>0</v>
      </c>
      <c r="AU12" s="117" t="n">
        <f aca="false">SUMIFS(الريسبي!$C$2:$C$1800,الريسبي!$A$2:$A$1800,$A12,الريسبي!$B$2:$B$1800,AU$1)</f>
        <v>0</v>
      </c>
      <c r="AV12" s="117" t="n">
        <f aca="false">SUMIFS(الريسبي!$C$2:$C$1800,الريسبي!$A$2:$A$1800,$A12,الريسبي!$B$2:$B$1800,AV$1)</f>
        <v>0</v>
      </c>
      <c r="AW12" s="117" t="n">
        <f aca="false">SUMIFS(الريسبي!$C$2:$C$1800,الريسبي!$A$2:$A$1800,$A12,الريسبي!$B$2:$B$1800,AW$1)</f>
        <v>0</v>
      </c>
      <c r="AX12" s="117" t="n">
        <f aca="false">SUMIFS(الريسبي!$C$2:$C$1800,الريسبي!$A$2:$A$1800,$A12,الريسبي!$B$2:$B$1800,AX$1)</f>
        <v>0.04</v>
      </c>
      <c r="AY12" s="117" t="n">
        <f aca="false">SUMIFS(الريسبي!$C$2:$C$1800,الريسبي!$A$2:$A$1800,$A12,الريسبي!$B$2:$B$1800,AY$1)</f>
        <v>0</v>
      </c>
      <c r="AZ12" s="117" t="n">
        <f aca="false">SUMIFS(الريسبي!$C$2:$C$1800,الريسبي!$A$2:$A$1800,$A12,الريسبي!$B$2:$B$1800,AZ$1)</f>
        <v>0</v>
      </c>
      <c r="BA12" s="117" t="n">
        <f aca="false">SUMIFS(الريسبي!$C$2:$C$1800,الريسبي!$A$2:$A$1800,$A12,الريسبي!$B$2:$B$1800,BA$1)</f>
        <v>0.1</v>
      </c>
      <c r="BB12" s="117" t="n">
        <f aca="false">SUMIFS(الريسبي!$C$2:$C$1800,الريسبي!$A$2:$A$1800,$A12,الريسبي!$B$2:$B$1800,BB$1)</f>
        <v>0</v>
      </c>
      <c r="BC12" s="117" t="n">
        <f aca="false">SUMIFS(الريسبي!$C$2:$C$1800,الريسبي!$A$2:$A$1800,$A12,الريسبي!$B$2:$B$1800,BC$1)</f>
        <v>0.03</v>
      </c>
      <c r="BD12" s="117" t="n">
        <f aca="false">SUMIFS(الريسبي!$C$2:$C$1800,الريسبي!$A$2:$A$1800,$A12,الريسبي!$B$2:$B$1800,BD$1)</f>
        <v>0.22</v>
      </c>
      <c r="BE12" s="117" t="n">
        <f aca="false">SUMIFS(الريسبي!$C$2:$C$1800,الريسبي!$A$2:$A$1800,$A12,الريسبي!$B$2:$B$1800,BE$1)</f>
        <v>0</v>
      </c>
      <c r="BF12" s="117" t="n">
        <f aca="false">SUMIFS(الريسبي!$C$2:$C$1800,الريسبي!$A$2:$A$1800,$A12,الريسبي!$B$2:$B$1800,BF$1)</f>
        <v>0</v>
      </c>
      <c r="BG12" s="117" t="n">
        <f aca="false">SUMIFS(الريسبي!$C$2:$C$1800,الريسبي!$A$2:$A$1800,$A12,الريسبي!$B$2:$B$1800,BG$1)</f>
        <v>0</v>
      </c>
      <c r="BH12" s="117" t="n">
        <f aca="false">SUMIFS(الريسبي!$C$2:$C$1800,الريسبي!$A$2:$A$1800,$A12,الريسبي!$B$2:$B$1800,BH$1)</f>
        <v>1</v>
      </c>
      <c r="BI12" s="117" t="n">
        <f aca="false">SUMIFS(الريسبي!$C$2:$C$1800,الريسبي!$A$2:$A$1800,$A12,الريسبي!$B$2:$B$1800,BI$1)</f>
        <v>0</v>
      </c>
      <c r="BJ12" s="117" t="n">
        <f aca="false">SUMIFS(الريسبي!$C$2:$C$1800,الريسبي!$A$2:$A$1800,$A12,الريسبي!$B$2:$B$1800,BJ$1)</f>
        <v>0</v>
      </c>
      <c r="BK12" s="117" t="n">
        <f aca="false">SUMIFS(الريسبي!$C$2:$C$1800,الريسبي!$A$2:$A$1800,$A12,الريسبي!$B$2:$B$1800,BK$1)</f>
        <v>0</v>
      </c>
      <c r="BL12" s="117" t="n">
        <f aca="false">SUMIFS(الريسبي!$C$2:$C$1800,الريسبي!$A$2:$A$1800,$A12,الريسبي!$B$2:$B$1800,BL$1)</f>
        <v>0</v>
      </c>
      <c r="BM12" s="117" t="n">
        <f aca="false">SUMIFS(الريسبي!$C$2:$C$1800,الريسبي!$A$2:$A$1800,$A12,الريسبي!$B$2:$B$1800,BM$1)</f>
        <v>0</v>
      </c>
      <c r="BN12" s="117" t="n">
        <f aca="false">SUMIFS(الريسبي!$C$2:$C$1800,الريسبي!$A$2:$A$1800,$A12,الريسبي!$B$2:$B$1800,BN$1)</f>
        <v>0.02</v>
      </c>
      <c r="BO12" s="117" t="n">
        <f aca="false">SUMIFS(الريسبي!$C$2:$C$1800,الريسبي!$A$2:$A$1800,$A12,الريسبي!$B$2:$B$1800,BO$1)</f>
        <v>0</v>
      </c>
      <c r="BP12" s="117" t="n">
        <f aca="false">SUMIFS(الريسبي!$C$2:$C$1800,الريسبي!$A$2:$A$1800,$A12,الريسبي!$B$2:$B$1800,BP$1)</f>
        <v>2</v>
      </c>
      <c r="BQ12" s="117" t="n">
        <f aca="false">SUMIFS(الريسبي!$C$2:$C$1800,الريسبي!$A$2:$A$1800,$A12,الريسبي!$B$2:$B$1800,BQ$1)+0.17*SUMIFS(الريسبي!$C$2:$C$1800,الريسبي!$A$2:$A$1800,$A12,الريسبي!$B$2:$B$1800,"كاسترد مصنع (خليط بودر + لبن)")+0.17*SUMIFS(الريسبي!$C$2:$C$1800,الريسبي!$A$2:$A$1800,$A12,الريسبي!$B$2:$B$1800,"كاسترد مصنع صيامي (بدون لبن)")</f>
        <v>0</v>
      </c>
      <c r="BR12" s="117" t="n">
        <f aca="false">SUMIFS(الريسبي!$C$2:$C$1800,الريسبي!$A$2:$A$1800,$A12,الريسبي!$B$2:$B$1800,BR$1)</f>
        <v>1</v>
      </c>
      <c r="BS12" s="117" t="n">
        <f aca="false">SUMIFS(الريسبي!$C$2:$C$1800,الريسبي!$A$2:$A$1800,$A12,الريسبي!$B$2:$B$1800,BS$1)</f>
        <v>0</v>
      </c>
      <c r="BT12" s="117" t="n">
        <f aca="false">SUMIFS(الريسبي!$C$2:$C$1800,الريسبي!$A$2:$A$1800,$A12,الريسبي!$B$2:$B$1800,BT$1)</f>
        <v>0</v>
      </c>
      <c r="BU12" s="117" t="n">
        <f aca="false">SUMIFS(الريسبي!$C$2:$C$1800,الريسبي!$A$2:$A$1800,$A12,الريسبي!$B$2:$B$1800,BU$1)+0.4*SUMIFS(الريسبي!$C$2:$C$1800,الريسبي!$A$2:$A$1800,$A12,الريسبي!$B$2:$B$1800,"كاسترد مصنع (خليط بودر + لبن)")+0.03333333333*SUMIFS(الريسبي!$C$2:$C$1800,الريسبي!$A$2:$A$1800,$A12,الريسبي!$B$2:$B$1800,"عجين كريب (مصنع بالمطعم)")</f>
        <v>0</v>
      </c>
      <c r="BV12" s="117" t="n">
        <f aca="false">SUMIFS(الريسبي!$C$2:$C$1800,الريسبي!$A$2:$A$1800,$A12,الريسبي!$B$2:$B$1800,BV$1)</f>
        <v>0</v>
      </c>
      <c r="BW12" s="117" t="n">
        <f aca="false">SUMIFS(الريسبي!$C$2:$C$1800,الريسبي!$A$2:$A$1800,$A12,الريسبي!$B$2:$B$1800,BW$1)</f>
        <v>0</v>
      </c>
      <c r="BX12" s="117" t="n">
        <f aca="false">SUMIFS(الريسبي!$C$2:$C$1800,الريسبي!$A$2:$A$1800,$A12,الريسبي!$B$2:$B$1800,BX$1)</f>
        <v>0</v>
      </c>
      <c r="BY12" s="117" t="n">
        <f aca="false">SUMIFS(الريسبي!$C$2:$C$1800,الريسبي!$A$2:$A$1800,$A12,الريسبي!$B$2:$B$1800,BY$1)</f>
        <v>0</v>
      </c>
      <c r="BZ12" s="117" t="n">
        <f aca="false">SUMIFS(الريسبي!$C$2:$C$1800,الريسبي!$A$2:$A$1800,$A12,الريسبي!$B$2:$B$1800,BZ$1)</f>
        <v>0</v>
      </c>
      <c r="CA12" s="117" t="n">
        <f aca="false">SUMIFS(الريسبي!$C$2:$C$1800,الريسبي!$A$2:$A$1800,$A12,الريسبي!$B$2:$B$1800,CA$1)</f>
        <v>1</v>
      </c>
      <c r="CB12" s="117" t="n">
        <f aca="false">SUMIFS(الريسبي!$C$2:$C$1800,الريسبي!$A$2:$A$1800,$A12,الريسبي!$B$2:$B$1800,CB$1)</f>
        <v>1</v>
      </c>
      <c r="CC12" s="117" t="n">
        <f aca="false">SUMIFS(الريسبي!$C$2:$C$1800,الريسبي!$A$2:$A$1800,$A12,الريسبي!$B$2:$B$1800,CC$1)</f>
        <v>0</v>
      </c>
      <c r="CD12" s="117" t="n">
        <f aca="false">SUMIFS(الريسبي!$C$2:$C$1800,الريسبي!$A$2:$A$1800,$A12,الريسبي!$B$2:$B$1800,CD$1)</f>
        <v>0</v>
      </c>
      <c r="CE12" s="117" t="n">
        <f aca="false">SUMIFS(الريسبي!$C$2:$C$1800,الريسبي!$A$2:$A$1800,$A12,الريسبي!$B$2:$B$1800,CE$1)</f>
        <v>0</v>
      </c>
      <c r="CF12" s="117" t="n">
        <f aca="false">SUMIFS(الريسبي!$C$2:$C$1800,الريسبي!$A$2:$A$1800,$A12,الريسبي!$B$2:$B$1800,CF$1)</f>
        <v>0</v>
      </c>
      <c r="CG12" s="117" t="n">
        <f aca="false">SUMIFS(الريسبي!$C$2:$C$1800,الريسبي!$A$2:$A$1800,$A12,الريسبي!$B$2:$B$1800,CG$1)</f>
        <v>0</v>
      </c>
      <c r="CH12" s="117" t="n">
        <f aca="false">SUMIFS(الريسبي!$C$2:$C$1800,الريسبي!$A$2:$A$1800,$A12,الريسبي!$B$2:$B$1800,CH$1)</f>
        <v>0</v>
      </c>
      <c r="CI12" s="117" t="n">
        <f aca="false">SUMIFS(الريسبي!$C$2:$C$1800,الريسبي!$A$2:$A$1800,$A12,الريسبي!$B$2:$B$1800,CI$1)</f>
        <v>0</v>
      </c>
      <c r="CJ12" s="117" t="n">
        <f aca="false">SUMIFS(الريسبي!$C$2:$C$1800,الريسبي!$A$2:$A$1800,$A12,الريسبي!$B$2:$B$1800,CJ$1)</f>
        <v>0</v>
      </c>
      <c r="CK12" s="117" t="n">
        <f aca="false">SUMIFS(الريسبي!$C$2:$C$1800,الريسبي!$A$2:$A$1800,$A12,الريسبي!$B$2:$B$1800,CK$1)</f>
        <v>0</v>
      </c>
      <c r="CL12" s="117" t="n">
        <f aca="false">SUMIFS(الريسبي!$C$2:$C$1800,الريسبي!$A$2:$A$1800,$A12,الريسبي!$B$2:$B$1800,CL$1)</f>
        <v>0</v>
      </c>
    </row>
    <row r="13" customFormat="false" ht="15" hidden="false" customHeight="false" outlineLevel="0" collapsed="false">
      <c r="A13" s="116" t="str">
        <f aca="false">المنيو!B13</f>
        <v>بيتزا فراخ رانش حجم اكبر</v>
      </c>
      <c r="B13" s="117" t="n">
        <f aca="false">SUMIFS(الريسبي!$C$2:$C$1800,الريسبي!$A$2:$A$1800,$A13,الريسبي!$B$2:$B$1800,B$1)</f>
        <v>0</v>
      </c>
      <c r="C13" s="117" t="n">
        <f aca="false">SUMIFS(الريسبي!$C$2:$C$1800,الريسبي!$A$2:$A$1800,$A13,الريسبي!$B$2:$B$1800,C$1)</f>
        <v>0</v>
      </c>
      <c r="D13" s="117" t="n">
        <f aca="false">SUMIFS(الريسبي!$C$2:$C$1800,الريسبي!$A$2:$A$1800,$A13,الريسبي!$B$2:$B$1800,D$1)</f>
        <v>1</v>
      </c>
      <c r="E13" s="117" t="n">
        <f aca="false">SUMIFS(الريسبي!$C$2:$C$1800,الريسبي!$A$2:$A$1800,$A13,الريسبي!$B$2:$B$1800,E$1)</f>
        <v>0</v>
      </c>
      <c r="F13" s="117" t="n">
        <f aca="false">SUMIFS(الريسبي!$C$2:$C$1800,الريسبي!$A$2:$A$1800,$A13,الريسبي!$B$2:$B$1800,F$1)</f>
        <v>0</v>
      </c>
      <c r="G13" s="117" t="n">
        <f aca="false">SUMIFS(الريسبي!$C$2:$C$1800,الريسبي!$A$2:$A$1800,$A13,الريسبي!$B$2:$B$1800,G$1)</f>
        <v>0</v>
      </c>
      <c r="H13" s="117" t="n">
        <f aca="false">SUMIFS(الريسبي!$C$2:$C$1800,الريسبي!$A$2:$A$1800,$A13,الريسبي!$B$2:$B$1800,H$1)</f>
        <v>0</v>
      </c>
      <c r="I13" s="117" t="n">
        <f aca="false">SUMIFS(الريسبي!$C$2:$C$1800,الريسبي!$A$2:$A$1800,$A13,الريسبي!$B$2:$B$1800,I$1)</f>
        <v>0</v>
      </c>
      <c r="J13" s="117" t="n">
        <f aca="false">SUMIFS(الريسبي!$C$2:$C$1800,الريسبي!$A$2:$A$1800,$A13,الريسبي!$B$2:$B$1800,J$1)</f>
        <v>0</v>
      </c>
      <c r="K13" s="117" t="n">
        <f aca="false">SUMIFS(الريسبي!$C$2:$C$1800,الريسبي!$A$2:$A$1800,$A13,الريسبي!$B$2:$B$1800,K$1)</f>
        <v>0</v>
      </c>
      <c r="L13" s="117" t="n">
        <f aca="false">SUMIFS(الريسبي!$C$2:$C$1800,الريسبي!$A$2:$A$1800,$A13,الريسبي!$B$2:$B$1800,L$1)</f>
        <v>0</v>
      </c>
      <c r="M13" s="117" t="n">
        <f aca="false">SUMIFS(الريسبي!$C$2:$C$1800,الريسبي!$A$2:$A$1800,$A13,الريسبي!$B$2:$B$1800,M$1)</f>
        <v>0</v>
      </c>
      <c r="N13" s="117" t="n">
        <f aca="false">SUMIFS(الريسبي!$C$2:$C$1800,الريسبي!$A$2:$A$1800,$A13,الريسبي!$B$2:$B$1800,N$1)</f>
        <v>0</v>
      </c>
      <c r="O13" s="117" t="n">
        <f aca="false">SUMIFS(الريسبي!$C$2:$C$1800,الريسبي!$A$2:$A$1800,$A13,الريسبي!$B$2:$B$1800,O$1)</f>
        <v>0</v>
      </c>
      <c r="P13" s="117" t="n">
        <f aca="false">SUMIFS(الريسبي!$C$2:$C$1800,الريسبي!$A$2:$A$1800,$A13,الريسبي!$B$2:$B$1800,P$1)</f>
        <v>1</v>
      </c>
      <c r="Q13" s="117" t="n">
        <f aca="false">SUMIFS(الريسبي!$C$2:$C$1800,الريسبي!$A$2:$A$1800,$A13,الريسبي!$B$2:$B$1800,Q$1)</f>
        <v>0</v>
      </c>
      <c r="R13" s="117" t="n">
        <f aca="false">SUMIFS(الريسبي!$C$2:$C$1800,الريسبي!$A$2:$A$1800,$A13,الريسبي!$B$2:$B$1800,R$1)</f>
        <v>0</v>
      </c>
      <c r="S13" s="117" t="n">
        <f aca="false">SUMIFS(الريسبي!$C$2:$C$1800,الريسبي!$A$2:$A$1800,$A13,الريسبي!$B$2:$B$1800,S$1)</f>
        <v>0</v>
      </c>
      <c r="T13" s="117" t="n">
        <f aca="false">SUMIFS(الريسبي!$C$2:$C$1800,الريسبي!$A$2:$A$1800,$A13,الريسبي!$B$2:$B$1800,T$1)</f>
        <v>0</v>
      </c>
      <c r="U13" s="117" t="n">
        <f aca="false">SUMIFS(الريسبي!$C$2:$C$1800,الريسبي!$A$2:$A$1800,$A13,الريسبي!$B$2:$B$1800,U$1)</f>
        <v>0</v>
      </c>
      <c r="V13" s="117" t="n">
        <f aca="false">SUMIFS(الريسبي!$C$2:$C$1800,الريسبي!$A$2:$A$1800,$A13,الريسبي!$B$2:$B$1800,V$1)</f>
        <v>0</v>
      </c>
      <c r="W13" s="117" t="n">
        <f aca="false">SUMIFS(الريسبي!$C$2:$C$1800,الريسبي!$A$2:$A$1800,$A13,الريسبي!$B$2:$B$1800,W$1)</f>
        <v>1</v>
      </c>
      <c r="X13" s="117" t="n">
        <f aca="false">SUMIFS(الريسبي!$C$2:$C$1800,الريسبي!$A$2:$A$1800,$A13,الريسبي!$B$2:$B$1800,X$1)</f>
        <v>0</v>
      </c>
      <c r="Y13" s="117" t="n">
        <f aca="false">SUMIFS(الريسبي!$C$2:$C$1800,الريسبي!$A$2:$A$1800,$A13,الريسبي!$B$2:$B$1800,Y$1)</f>
        <v>0</v>
      </c>
      <c r="Z13" s="117" t="n">
        <f aca="false">SUMIFS(الريسبي!$C$2:$C$1800,الريسبي!$A$2:$A$1800,$A13,الريسبي!$B$2:$B$1800,Z$1)</f>
        <v>0</v>
      </c>
      <c r="AA13" s="117" t="n">
        <f aca="false">SUMIFS(الريسبي!$C$2:$C$1800,الريسبي!$A$2:$A$1800,$A13,الريسبي!$B$2:$B$1800,AA$1)</f>
        <v>0</v>
      </c>
      <c r="AB13" s="117" t="n">
        <f aca="false">SUMIFS(الريسبي!$C$2:$C$1800,الريسبي!$A$2:$A$1800,$A13,الريسبي!$B$2:$B$1800,AB$1)</f>
        <v>0</v>
      </c>
      <c r="AC13" s="117" t="n">
        <f aca="false">SUMIFS(الريسبي!$C$2:$C$1800,الريسبي!$A$2:$A$1800,$A13,الريسبي!$B$2:$B$1800,AC$1)</f>
        <v>0</v>
      </c>
      <c r="AD13" s="117" t="n">
        <f aca="false">SUMIFS(الريسبي!$C$2:$C$1800,الريسبي!$A$2:$A$1800,$A13,الريسبي!$B$2:$B$1800,AD$1)</f>
        <v>0</v>
      </c>
      <c r="AE13" s="117" t="n">
        <f aca="false">SUMIFS(الريسبي!$C$2:$C$1800,الريسبي!$A$2:$A$1800,$A13,الريسبي!$B$2:$B$1800,AE$1)</f>
        <v>0</v>
      </c>
      <c r="AF13" s="117" t="n">
        <f aca="false">SUMIFS(الريسبي!$C$2:$C$1800,الريسبي!$A$2:$A$1800,$A13,الريسبي!$B$2:$B$1800,AF$1)</f>
        <v>0</v>
      </c>
      <c r="AG13" s="117" t="n">
        <f aca="false">SUMIFS(الريسبي!$C$2:$C$1800,الريسبي!$A$2:$A$1800,$A13,الريسبي!$B$2:$B$1800,AG$1)</f>
        <v>0</v>
      </c>
      <c r="AH13" s="117" t="n">
        <f aca="false">SUMIFS(الريسبي!$C$2:$C$1800,الريسبي!$A$2:$A$1800,$A13,الريسبي!$B$2:$B$1800,AH$1)</f>
        <v>0</v>
      </c>
      <c r="AI13" s="117" t="n">
        <f aca="false">SUMIFS(الريسبي!$C$2:$C$1800,الريسبي!$A$2:$A$1800,$A13,الريسبي!$B$2:$B$1800,AI$1)</f>
        <v>0</v>
      </c>
      <c r="AJ13" s="117" t="n">
        <f aca="false">SUMIFS(الريسبي!$C$2:$C$1800,الريسبي!$A$2:$A$1800,$A13,الريسبي!$B$2:$B$1800,AJ$1)</f>
        <v>2</v>
      </c>
      <c r="AK13" s="117" t="n">
        <f aca="false">SUMIFS(الريسبي!$C$2:$C$1800,الريسبي!$A$2:$A$1800,$A13,الريسبي!$B$2:$B$1800,AK$1)</f>
        <v>0</v>
      </c>
      <c r="AL13" s="117" t="n">
        <f aca="false">SUMIFS(الريسبي!$C$2:$C$1800,الريسبي!$A$2:$A$1800,$A13,الريسبي!$B$2:$B$1800,AL$1)</f>
        <v>0</v>
      </c>
      <c r="AM13" s="117" t="n">
        <f aca="false">SUMIFS(الريسبي!$C$2:$C$1800,الريسبي!$A$2:$A$1800,$A13,الريسبي!$B$2:$B$1800,AM$1)+0.08333333333*SUMIFS(الريسبي!$C$2:$C$1800,الريسبي!$A$2:$A$1800,$A13,الريسبي!$B$2:$B$1800,"عجين كريب (مصنع بالمطعم)")+0.08333333333*SUMIFS(الريسبي!$C$2:$C$1800,الريسبي!$A$2:$A$1800,$A13,الريسبي!$B$2:$B$1800,"عجين كريب صيامي (بدون لبن)")</f>
        <v>0</v>
      </c>
      <c r="AN13" s="117" t="n">
        <f aca="false">SUMIFS(الريسبي!$C$2:$C$1800,الريسبي!$A$2:$A$1800,$A13,الريسبي!$B$2:$B$1800,AN$1)+0.004166666667*SUMIFS(الريسبي!$C$2:$C$1800,الريسبي!$A$2:$A$1800,$A13,الريسبي!$B$2:$B$1800,"عجين كريب (مصنع بالمطعم)")+0.004166666667*SUMIFS(الريسبي!$C$2:$C$1800,الريسبي!$A$2:$A$1800,$A13,الريسبي!$B$2:$B$1800,"عجين كريب صيامي (بدون لبن)")</f>
        <v>0</v>
      </c>
      <c r="AO13" s="117" t="n">
        <f aca="false">SUMIFS(الريسبي!$C$2:$C$1800,الريسبي!$A$2:$A$1800,$A13,الريسبي!$B$2:$B$1800,AO$1)</f>
        <v>0</v>
      </c>
      <c r="AP13" s="117" t="n">
        <f aca="false">SUMIFS(الريسبي!$C$2:$C$1800,الريسبي!$A$2:$A$1800,$A13,الريسبي!$B$2:$B$1800,AP$1)</f>
        <v>0.03</v>
      </c>
      <c r="AQ13" s="117" t="n">
        <f aca="false">SUMIFS(الريسبي!$C$2:$C$1800,الريسبي!$A$2:$A$1800,$A13,الريسبي!$B$2:$B$1800,AQ$1)+0.004166666667*SUMIFS(الريسبي!$C$2:$C$1800,الريسبي!$A$2:$A$1800,$A13,الريسبي!$B$2:$B$1800,"عجين كريب (مصنع بالمطعم)")+0.004166666667*SUMIFS(الريسبي!$C$2:$C$1800,الريسبي!$A$2:$A$1800,$A13,الريسبي!$B$2:$B$1800,"عجين كريب صيامي (بدون لبن)")</f>
        <v>0</v>
      </c>
      <c r="AR13" s="117" t="n">
        <f aca="false">SUMIFS(الريسبي!$C$2:$C$1800,الريسبي!$A$2:$A$1800,$A13,الريسبي!$B$2:$B$1800,AR$1)</f>
        <v>0</v>
      </c>
      <c r="AS13" s="117" t="n">
        <f aca="false">SUMIFS(الريسبي!$C$2:$C$1800,الريسبي!$A$2:$A$1800,$A13,الريسبي!$B$2:$B$1800,AS$1)</f>
        <v>0</v>
      </c>
      <c r="AT13" s="117" t="n">
        <f aca="false">SUMIFS(الريسبي!$C$2:$C$1800,الريسبي!$A$2:$A$1800,$A13,الريسبي!$B$2:$B$1800,AT$1)</f>
        <v>0</v>
      </c>
      <c r="AU13" s="117" t="n">
        <f aca="false">SUMIFS(الريسبي!$C$2:$C$1800,الريسبي!$A$2:$A$1800,$A13,الريسبي!$B$2:$B$1800,AU$1)</f>
        <v>0</v>
      </c>
      <c r="AV13" s="117" t="n">
        <f aca="false">SUMIFS(الريسبي!$C$2:$C$1800,الريسبي!$A$2:$A$1800,$A13,الريسبي!$B$2:$B$1800,AV$1)</f>
        <v>0</v>
      </c>
      <c r="AW13" s="117" t="n">
        <f aca="false">SUMIFS(الريسبي!$C$2:$C$1800,الريسبي!$A$2:$A$1800,$A13,الريسبي!$B$2:$B$1800,AW$1)</f>
        <v>0</v>
      </c>
      <c r="AX13" s="117" t="n">
        <f aca="false">SUMIFS(الريسبي!$C$2:$C$1800,الريسبي!$A$2:$A$1800,$A13,الريسبي!$B$2:$B$1800,AX$1)</f>
        <v>0.06</v>
      </c>
      <c r="AY13" s="117" t="n">
        <f aca="false">SUMIFS(الريسبي!$C$2:$C$1800,الريسبي!$A$2:$A$1800,$A13,الريسبي!$B$2:$B$1800,AY$1)</f>
        <v>0</v>
      </c>
      <c r="AZ13" s="117" t="n">
        <f aca="false">SUMIFS(الريسبي!$C$2:$C$1800,الريسبي!$A$2:$A$1800,$A13,الريسبي!$B$2:$B$1800,AZ$1)</f>
        <v>0</v>
      </c>
      <c r="BA13" s="117" t="n">
        <f aca="false">SUMIFS(الريسبي!$C$2:$C$1800,الريسبي!$A$2:$A$1800,$A13,الريسبي!$B$2:$B$1800,BA$1)</f>
        <v>0.15</v>
      </c>
      <c r="BB13" s="117" t="n">
        <f aca="false">SUMIFS(الريسبي!$C$2:$C$1800,الريسبي!$A$2:$A$1800,$A13,الريسبي!$B$2:$B$1800,BB$1)</f>
        <v>0</v>
      </c>
      <c r="BC13" s="117" t="n">
        <f aca="false">SUMIFS(الريسبي!$C$2:$C$1800,الريسبي!$A$2:$A$1800,$A13,الريسبي!$B$2:$B$1800,BC$1)</f>
        <v>0.045</v>
      </c>
      <c r="BD13" s="117" t="n">
        <f aca="false">SUMIFS(الريسبي!$C$2:$C$1800,الريسبي!$A$2:$A$1800,$A13,الريسبي!$B$2:$B$1800,BD$1)</f>
        <v>0.3</v>
      </c>
      <c r="BE13" s="117" t="n">
        <f aca="false">SUMIFS(الريسبي!$C$2:$C$1800,الريسبي!$A$2:$A$1800,$A13,الريسبي!$B$2:$B$1800,BE$1)</f>
        <v>0</v>
      </c>
      <c r="BF13" s="117" t="n">
        <f aca="false">SUMIFS(الريسبي!$C$2:$C$1800,الريسبي!$A$2:$A$1800,$A13,الريسبي!$B$2:$B$1800,BF$1)</f>
        <v>0</v>
      </c>
      <c r="BG13" s="117" t="n">
        <f aca="false">SUMIFS(الريسبي!$C$2:$C$1800,الريسبي!$A$2:$A$1800,$A13,الريسبي!$B$2:$B$1800,BG$1)</f>
        <v>1</v>
      </c>
      <c r="BH13" s="117" t="n">
        <f aca="false">SUMIFS(الريسبي!$C$2:$C$1800,الريسبي!$A$2:$A$1800,$A13,الريسبي!$B$2:$B$1800,BH$1)</f>
        <v>0</v>
      </c>
      <c r="BI13" s="117" t="n">
        <f aca="false">SUMIFS(الريسبي!$C$2:$C$1800,الريسبي!$A$2:$A$1800,$A13,الريسبي!$B$2:$B$1800,BI$1)</f>
        <v>0</v>
      </c>
      <c r="BJ13" s="117" t="n">
        <f aca="false">SUMIFS(الريسبي!$C$2:$C$1800,الريسبي!$A$2:$A$1800,$A13,الريسبي!$B$2:$B$1800,BJ$1)</f>
        <v>0</v>
      </c>
      <c r="BK13" s="117" t="n">
        <f aca="false">SUMIFS(الريسبي!$C$2:$C$1800,الريسبي!$A$2:$A$1800,$A13,الريسبي!$B$2:$B$1800,BK$1)</f>
        <v>0</v>
      </c>
      <c r="BL13" s="117" t="n">
        <f aca="false">SUMIFS(الريسبي!$C$2:$C$1800,الريسبي!$A$2:$A$1800,$A13,الريسبي!$B$2:$B$1800,BL$1)</f>
        <v>0</v>
      </c>
      <c r="BM13" s="117" t="n">
        <f aca="false">SUMIFS(الريسبي!$C$2:$C$1800,الريسبي!$A$2:$A$1800,$A13,الريسبي!$B$2:$B$1800,BM$1)</f>
        <v>0</v>
      </c>
      <c r="BN13" s="117" t="n">
        <f aca="false">SUMIFS(الريسبي!$C$2:$C$1800,الريسبي!$A$2:$A$1800,$A13,الريسبي!$B$2:$B$1800,BN$1)</f>
        <v>0.03</v>
      </c>
      <c r="BO13" s="117" t="n">
        <f aca="false">SUMIFS(الريسبي!$C$2:$C$1800,الريسبي!$A$2:$A$1800,$A13,الريسبي!$B$2:$B$1800,BO$1)</f>
        <v>0</v>
      </c>
      <c r="BP13" s="117" t="n">
        <f aca="false">SUMIFS(الريسبي!$C$2:$C$1800,الريسبي!$A$2:$A$1800,$A13,الريسبي!$B$2:$B$1800,BP$1)</f>
        <v>3</v>
      </c>
      <c r="BQ13" s="117" t="n">
        <f aca="false">SUMIFS(الريسبي!$C$2:$C$1800,الريسبي!$A$2:$A$1800,$A13,الريسبي!$B$2:$B$1800,BQ$1)+0.17*SUMIFS(الريسبي!$C$2:$C$1800,الريسبي!$A$2:$A$1800,$A13,الريسبي!$B$2:$B$1800,"كاسترد مصنع (خليط بودر + لبن)")+0.17*SUMIFS(الريسبي!$C$2:$C$1800,الريسبي!$A$2:$A$1800,$A13,الريسبي!$B$2:$B$1800,"كاسترد مصنع صيامي (بدون لبن)")</f>
        <v>0</v>
      </c>
      <c r="BR13" s="117" t="n">
        <f aca="false">SUMIFS(الريسبي!$C$2:$C$1800,الريسبي!$A$2:$A$1800,$A13,الريسبي!$B$2:$B$1800,BR$1)</f>
        <v>1</v>
      </c>
      <c r="BS13" s="117" t="n">
        <f aca="false">SUMIFS(الريسبي!$C$2:$C$1800,الريسبي!$A$2:$A$1800,$A13,الريسبي!$B$2:$B$1800,BS$1)</f>
        <v>0</v>
      </c>
      <c r="BT13" s="117" t="n">
        <f aca="false">SUMIFS(الريسبي!$C$2:$C$1800,الريسبي!$A$2:$A$1800,$A13,الريسبي!$B$2:$B$1800,BT$1)</f>
        <v>0</v>
      </c>
      <c r="BU13" s="117" t="n">
        <f aca="false">SUMIFS(الريسبي!$C$2:$C$1800,الريسبي!$A$2:$A$1800,$A13,الريسبي!$B$2:$B$1800,BU$1)+0.4*SUMIFS(الريسبي!$C$2:$C$1800,الريسبي!$A$2:$A$1800,$A13,الريسبي!$B$2:$B$1800,"كاسترد مصنع (خليط بودر + لبن)")+0.03333333333*SUMIFS(الريسبي!$C$2:$C$1800,الريسبي!$A$2:$A$1800,$A13,الريسبي!$B$2:$B$1800,"عجين كريب (مصنع بالمطعم)")</f>
        <v>0</v>
      </c>
      <c r="BV13" s="117" t="n">
        <f aca="false">SUMIFS(الريسبي!$C$2:$C$1800,الريسبي!$A$2:$A$1800,$A13,الريسبي!$B$2:$B$1800,BV$1)</f>
        <v>0</v>
      </c>
      <c r="BW13" s="117" t="n">
        <f aca="false">SUMIFS(الريسبي!$C$2:$C$1800,الريسبي!$A$2:$A$1800,$A13,الريسبي!$B$2:$B$1800,BW$1)</f>
        <v>0</v>
      </c>
      <c r="BX13" s="117" t="n">
        <f aca="false">SUMIFS(الريسبي!$C$2:$C$1800,الريسبي!$A$2:$A$1800,$A13,الريسبي!$B$2:$B$1800,BX$1)</f>
        <v>0</v>
      </c>
      <c r="BY13" s="117" t="n">
        <f aca="false">SUMIFS(الريسبي!$C$2:$C$1800,الريسبي!$A$2:$A$1800,$A13,الريسبي!$B$2:$B$1800,BY$1)</f>
        <v>0</v>
      </c>
      <c r="BZ13" s="117" t="n">
        <f aca="false">SUMIFS(الريسبي!$C$2:$C$1800,الريسبي!$A$2:$A$1800,$A13,الريسبي!$B$2:$B$1800,BZ$1)</f>
        <v>0</v>
      </c>
      <c r="CA13" s="117" t="n">
        <f aca="false">SUMIFS(الريسبي!$C$2:$C$1800,الريسبي!$A$2:$A$1800,$A13,الريسبي!$B$2:$B$1800,CA$1)</f>
        <v>1</v>
      </c>
      <c r="CB13" s="117" t="n">
        <f aca="false">SUMIFS(الريسبي!$C$2:$C$1800,الريسبي!$A$2:$A$1800,$A13,الريسبي!$B$2:$B$1800,CB$1)</f>
        <v>1</v>
      </c>
      <c r="CC13" s="117" t="n">
        <f aca="false">SUMIFS(الريسبي!$C$2:$C$1800,الريسبي!$A$2:$A$1800,$A13,الريسبي!$B$2:$B$1800,CC$1)</f>
        <v>0</v>
      </c>
      <c r="CD13" s="117" t="n">
        <f aca="false">SUMIFS(الريسبي!$C$2:$C$1800,الريسبي!$A$2:$A$1800,$A13,الريسبي!$B$2:$B$1800,CD$1)</f>
        <v>0</v>
      </c>
      <c r="CE13" s="117" t="n">
        <f aca="false">SUMIFS(الريسبي!$C$2:$C$1800,الريسبي!$A$2:$A$1800,$A13,الريسبي!$B$2:$B$1800,CE$1)</f>
        <v>0</v>
      </c>
      <c r="CF13" s="117" t="n">
        <f aca="false">SUMIFS(الريسبي!$C$2:$C$1800,الريسبي!$A$2:$A$1800,$A13,الريسبي!$B$2:$B$1800,CF$1)</f>
        <v>0</v>
      </c>
      <c r="CG13" s="117" t="n">
        <f aca="false">SUMIFS(الريسبي!$C$2:$C$1800,الريسبي!$A$2:$A$1800,$A13,الريسبي!$B$2:$B$1800,CG$1)</f>
        <v>0</v>
      </c>
      <c r="CH13" s="117" t="n">
        <f aca="false">SUMIFS(الريسبي!$C$2:$C$1800,الريسبي!$A$2:$A$1800,$A13,الريسبي!$B$2:$B$1800,CH$1)</f>
        <v>0</v>
      </c>
      <c r="CI13" s="117" t="n">
        <f aca="false">SUMIFS(الريسبي!$C$2:$C$1800,الريسبي!$A$2:$A$1800,$A13,الريسبي!$B$2:$B$1800,CI$1)</f>
        <v>0</v>
      </c>
      <c r="CJ13" s="117" t="n">
        <f aca="false">SUMIFS(الريسبي!$C$2:$C$1800,الريسبي!$A$2:$A$1800,$A13,الريسبي!$B$2:$B$1800,CJ$1)</f>
        <v>0</v>
      </c>
      <c r="CK13" s="117" t="n">
        <f aca="false">SUMIFS(الريسبي!$C$2:$C$1800,الريسبي!$A$2:$A$1800,$A13,الريسبي!$B$2:$B$1800,CK$1)</f>
        <v>0</v>
      </c>
      <c r="CL13" s="117" t="n">
        <f aca="false">SUMIFS(الريسبي!$C$2:$C$1800,الريسبي!$A$2:$A$1800,$A13,الريسبي!$B$2:$B$1800,CL$1)</f>
        <v>0</v>
      </c>
    </row>
    <row r="14" customFormat="false" ht="15" hidden="false" customHeight="false" outlineLevel="0" collapsed="false">
      <c r="A14" s="116" t="str">
        <f aca="false">المنيو!B14</f>
        <v>بيتزا فراخ باربيكيو وسط</v>
      </c>
      <c r="B14" s="117" t="n">
        <f aca="false">SUMIFS(الريسبي!$C$2:$C$1800,الريسبي!$A$2:$A$1800,$A14,الريسبي!$B$2:$B$1800,B$1)</f>
        <v>0</v>
      </c>
      <c r="C14" s="117" t="n">
        <f aca="false">SUMIFS(الريسبي!$C$2:$C$1800,الريسبي!$A$2:$A$1800,$A14,الريسبي!$B$2:$B$1800,C$1)</f>
        <v>0</v>
      </c>
      <c r="D14" s="117" t="n">
        <f aca="false">SUMIFS(الريسبي!$C$2:$C$1800,الريسبي!$A$2:$A$1800,$A14,الريسبي!$B$2:$B$1800,D$1)</f>
        <v>1</v>
      </c>
      <c r="E14" s="117" t="n">
        <f aca="false">SUMIFS(الريسبي!$C$2:$C$1800,الريسبي!$A$2:$A$1800,$A14,الريسبي!$B$2:$B$1800,E$1)</f>
        <v>0</v>
      </c>
      <c r="F14" s="117" t="n">
        <f aca="false">SUMIFS(الريسبي!$C$2:$C$1800,الريسبي!$A$2:$A$1800,$A14,الريسبي!$B$2:$B$1800,F$1)</f>
        <v>0</v>
      </c>
      <c r="G14" s="117" t="n">
        <f aca="false">SUMIFS(الريسبي!$C$2:$C$1800,الريسبي!$A$2:$A$1800,$A14,الريسبي!$B$2:$B$1800,G$1)</f>
        <v>0</v>
      </c>
      <c r="H14" s="117" t="n">
        <f aca="false">SUMIFS(الريسبي!$C$2:$C$1800,الريسبي!$A$2:$A$1800,$A14,الريسبي!$B$2:$B$1800,H$1)</f>
        <v>0</v>
      </c>
      <c r="I14" s="117" t="n">
        <f aca="false">SUMIFS(الريسبي!$C$2:$C$1800,الريسبي!$A$2:$A$1800,$A14,الريسبي!$B$2:$B$1800,I$1)</f>
        <v>0</v>
      </c>
      <c r="J14" s="117" t="n">
        <f aca="false">SUMIFS(الريسبي!$C$2:$C$1800,الريسبي!$A$2:$A$1800,$A14,الريسبي!$B$2:$B$1800,J$1)</f>
        <v>0</v>
      </c>
      <c r="K14" s="117" t="n">
        <f aca="false">SUMIFS(الريسبي!$C$2:$C$1800,الريسبي!$A$2:$A$1800,$A14,الريسبي!$B$2:$B$1800,K$1)</f>
        <v>0</v>
      </c>
      <c r="L14" s="117" t="n">
        <f aca="false">SUMIFS(الريسبي!$C$2:$C$1800,الريسبي!$A$2:$A$1800,$A14,الريسبي!$B$2:$B$1800,L$1)</f>
        <v>0</v>
      </c>
      <c r="M14" s="117" t="n">
        <f aca="false">SUMIFS(الريسبي!$C$2:$C$1800,الريسبي!$A$2:$A$1800,$A14,الريسبي!$B$2:$B$1800,M$1)</f>
        <v>0</v>
      </c>
      <c r="N14" s="117" t="n">
        <f aca="false">SUMIFS(الريسبي!$C$2:$C$1800,الريسبي!$A$2:$A$1800,$A14,الريسبي!$B$2:$B$1800,N$1)</f>
        <v>0</v>
      </c>
      <c r="O14" s="117" t="n">
        <f aca="false">SUMIFS(الريسبي!$C$2:$C$1800,الريسبي!$A$2:$A$1800,$A14,الريسبي!$B$2:$B$1800,O$1)</f>
        <v>1</v>
      </c>
      <c r="P14" s="117" t="n">
        <f aca="false">SUMIFS(الريسبي!$C$2:$C$1800,الريسبي!$A$2:$A$1800,$A14,الريسبي!$B$2:$B$1800,P$1)</f>
        <v>0</v>
      </c>
      <c r="Q14" s="117" t="n">
        <f aca="false">SUMIFS(الريسبي!$C$2:$C$1800,الريسبي!$A$2:$A$1800,$A14,الريسبي!$B$2:$B$1800,Q$1)</f>
        <v>0</v>
      </c>
      <c r="R14" s="117" t="n">
        <f aca="false">SUMIFS(الريسبي!$C$2:$C$1800,الريسبي!$A$2:$A$1800,$A14,الريسبي!$B$2:$B$1800,R$1)</f>
        <v>0</v>
      </c>
      <c r="S14" s="117" t="n">
        <f aca="false">SUMIFS(الريسبي!$C$2:$C$1800,الريسبي!$A$2:$A$1800,$A14,الريسبي!$B$2:$B$1800,S$1)</f>
        <v>0</v>
      </c>
      <c r="T14" s="117" t="n">
        <f aca="false">SUMIFS(الريسبي!$C$2:$C$1800,الريسبي!$A$2:$A$1800,$A14,الريسبي!$B$2:$B$1800,T$1)</f>
        <v>0</v>
      </c>
      <c r="U14" s="117" t="n">
        <f aca="false">SUMIFS(الريسبي!$C$2:$C$1800,الريسبي!$A$2:$A$1800,$A14,الريسبي!$B$2:$B$1800,U$1)</f>
        <v>0</v>
      </c>
      <c r="V14" s="117" t="n">
        <f aca="false">SUMIFS(الريسبي!$C$2:$C$1800,الريسبي!$A$2:$A$1800,$A14,الريسبي!$B$2:$B$1800,V$1)</f>
        <v>1</v>
      </c>
      <c r="W14" s="117" t="n">
        <f aca="false">SUMIFS(الريسبي!$C$2:$C$1800,الريسبي!$A$2:$A$1800,$A14,الريسبي!$B$2:$B$1800,W$1)</f>
        <v>0</v>
      </c>
      <c r="X14" s="117" t="n">
        <f aca="false">SUMIFS(الريسبي!$C$2:$C$1800,الريسبي!$A$2:$A$1800,$A14,الريسبي!$B$2:$B$1800,X$1)</f>
        <v>0</v>
      </c>
      <c r="Y14" s="117" t="n">
        <f aca="false">SUMIFS(الريسبي!$C$2:$C$1800,الريسبي!$A$2:$A$1800,$A14,الريسبي!$B$2:$B$1800,Y$1)</f>
        <v>0</v>
      </c>
      <c r="Z14" s="117" t="n">
        <f aca="false">SUMIFS(الريسبي!$C$2:$C$1800,الريسبي!$A$2:$A$1800,$A14,الريسبي!$B$2:$B$1800,Z$1)</f>
        <v>0</v>
      </c>
      <c r="AA14" s="117" t="n">
        <f aca="false">SUMIFS(الريسبي!$C$2:$C$1800,الريسبي!$A$2:$A$1800,$A14,الريسبي!$B$2:$B$1800,AA$1)</f>
        <v>0</v>
      </c>
      <c r="AB14" s="117" t="n">
        <f aca="false">SUMIFS(الريسبي!$C$2:$C$1800,الريسبي!$A$2:$A$1800,$A14,الريسبي!$B$2:$B$1800,AB$1)</f>
        <v>0</v>
      </c>
      <c r="AC14" s="117" t="n">
        <f aca="false">SUMIFS(الريسبي!$C$2:$C$1800,الريسبي!$A$2:$A$1800,$A14,الريسبي!$B$2:$B$1800,AC$1)</f>
        <v>0</v>
      </c>
      <c r="AD14" s="117" t="n">
        <f aca="false">SUMIFS(الريسبي!$C$2:$C$1800,الريسبي!$A$2:$A$1800,$A14,الريسبي!$B$2:$B$1800,AD$1)</f>
        <v>0</v>
      </c>
      <c r="AE14" s="117" t="n">
        <f aca="false">SUMIFS(الريسبي!$C$2:$C$1800,الريسبي!$A$2:$A$1800,$A14,الريسبي!$B$2:$B$1800,AE$1)</f>
        <v>0</v>
      </c>
      <c r="AF14" s="117" t="n">
        <f aca="false">SUMIFS(الريسبي!$C$2:$C$1800,الريسبي!$A$2:$A$1800,$A14,الريسبي!$B$2:$B$1800,AF$1)</f>
        <v>0</v>
      </c>
      <c r="AG14" s="117" t="n">
        <f aca="false">SUMIFS(الريسبي!$C$2:$C$1800,الريسبي!$A$2:$A$1800,$A14,الريسبي!$B$2:$B$1800,AG$1)</f>
        <v>0</v>
      </c>
      <c r="AH14" s="117" t="n">
        <f aca="false">SUMIFS(الريسبي!$C$2:$C$1800,الريسبي!$A$2:$A$1800,$A14,الريسبي!$B$2:$B$1800,AH$1)</f>
        <v>0</v>
      </c>
      <c r="AI14" s="117" t="n">
        <f aca="false">SUMIFS(الريسبي!$C$2:$C$1800,الريسبي!$A$2:$A$1800,$A14,الريسبي!$B$2:$B$1800,AI$1)</f>
        <v>0</v>
      </c>
      <c r="AJ14" s="117" t="n">
        <f aca="false">SUMIFS(الريسبي!$C$2:$C$1800,الريسبي!$A$2:$A$1800,$A14,الريسبي!$B$2:$B$1800,AJ$1)</f>
        <v>2</v>
      </c>
      <c r="AK14" s="117" t="n">
        <f aca="false">SUMIFS(الريسبي!$C$2:$C$1800,الريسبي!$A$2:$A$1800,$A14,الريسبي!$B$2:$B$1800,AK$1)</f>
        <v>0</v>
      </c>
      <c r="AL14" s="117" t="n">
        <f aca="false">SUMIFS(الريسبي!$C$2:$C$1800,الريسبي!$A$2:$A$1800,$A14,الريسبي!$B$2:$B$1800,AL$1)</f>
        <v>0</v>
      </c>
      <c r="AM14" s="117" t="n">
        <f aca="false">SUMIFS(الريسبي!$C$2:$C$1800,الريسبي!$A$2:$A$1800,$A14,الريسبي!$B$2:$B$1800,AM$1)+0.08333333333*SUMIFS(الريسبي!$C$2:$C$1800,الريسبي!$A$2:$A$1800,$A14,الريسبي!$B$2:$B$1800,"عجين كريب (مصنع بالمطعم)")+0.08333333333*SUMIFS(الريسبي!$C$2:$C$1800,الريسبي!$A$2:$A$1800,$A14,الريسبي!$B$2:$B$1800,"عجين كريب صيامي (بدون لبن)")</f>
        <v>0</v>
      </c>
      <c r="AN14" s="117" t="n">
        <f aca="false">SUMIFS(الريسبي!$C$2:$C$1800,الريسبي!$A$2:$A$1800,$A14,الريسبي!$B$2:$B$1800,AN$1)+0.004166666667*SUMIFS(الريسبي!$C$2:$C$1800,الريسبي!$A$2:$A$1800,$A14,الريسبي!$B$2:$B$1800,"عجين كريب (مصنع بالمطعم)")+0.004166666667*SUMIFS(الريسبي!$C$2:$C$1800,الريسبي!$A$2:$A$1800,$A14,الريسبي!$B$2:$B$1800,"عجين كريب صيامي (بدون لبن)")</f>
        <v>0</v>
      </c>
      <c r="AO14" s="117" t="n">
        <f aca="false">SUMIFS(الريسبي!$C$2:$C$1800,الريسبي!$A$2:$A$1800,$A14,الريسبي!$B$2:$B$1800,AO$1)</f>
        <v>0</v>
      </c>
      <c r="AP14" s="117" t="n">
        <f aca="false">SUMIFS(الريسبي!$C$2:$C$1800,الريسبي!$A$2:$A$1800,$A14,الريسبي!$B$2:$B$1800,AP$1)</f>
        <v>0.02</v>
      </c>
      <c r="AQ14" s="117" t="n">
        <f aca="false">SUMIFS(الريسبي!$C$2:$C$1800,الريسبي!$A$2:$A$1800,$A14,الريسبي!$B$2:$B$1800,AQ$1)+0.004166666667*SUMIFS(الريسبي!$C$2:$C$1800,الريسبي!$A$2:$A$1800,$A14,الريسبي!$B$2:$B$1800,"عجين كريب (مصنع بالمطعم)")+0.004166666667*SUMIFS(الريسبي!$C$2:$C$1800,الريسبي!$A$2:$A$1800,$A14,الريسبي!$B$2:$B$1800,"عجين كريب صيامي (بدون لبن)")</f>
        <v>0</v>
      </c>
      <c r="AR14" s="117" t="n">
        <f aca="false">SUMIFS(الريسبي!$C$2:$C$1800,الريسبي!$A$2:$A$1800,$A14,الريسبي!$B$2:$B$1800,AR$1)</f>
        <v>0</v>
      </c>
      <c r="AS14" s="117" t="n">
        <f aca="false">SUMIFS(الريسبي!$C$2:$C$1800,الريسبي!$A$2:$A$1800,$A14,الريسبي!$B$2:$B$1800,AS$1)</f>
        <v>0</v>
      </c>
      <c r="AT14" s="117" t="n">
        <f aca="false">SUMIFS(الريسبي!$C$2:$C$1800,الريسبي!$A$2:$A$1800,$A14,الريسبي!$B$2:$B$1800,AT$1)</f>
        <v>0</v>
      </c>
      <c r="AU14" s="117" t="n">
        <f aca="false">SUMIFS(الريسبي!$C$2:$C$1800,الريسبي!$A$2:$A$1800,$A14,الريسبي!$B$2:$B$1800,AU$1)</f>
        <v>0</v>
      </c>
      <c r="AV14" s="117" t="n">
        <f aca="false">SUMIFS(الريسبي!$C$2:$C$1800,الريسبي!$A$2:$A$1800,$A14,الريسبي!$B$2:$B$1800,AV$1)</f>
        <v>0</v>
      </c>
      <c r="AW14" s="117" t="n">
        <f aca="false">SUMIFS(الريسبي!$C$2:$C$1800,الريسبي!$A$2:$A$1800,$A14,الريسبي!$B$2:$B$1800,AW$1)</f>
        <v>0</v>
      </c>
      <c r="AX14" s="117" t="n">
        <f aca="false">SUMIFS(الريسبي!$C$2:$C$1800,الريسبي!$A$2:$A$1800,$A14,الريسبي!$B$2:$B$1800,AX$1)</f>
        <v>0.04</v>
      </c>
      <c r="AY14" s="117" t="n">
        <f aca="false">SUMIFS(الريسبي!$C$2:$C$1800,الريسبي!$A$2:$A$1800,$A14,الريسبي!$B$2:$B$1800,AY$1)</f>
        <v>0.1</v>
      </c>
      <c r="AZ14" s="117" t="n">
        <f aca="false">SUMIFS(الريسبي!$C$2:$C$1800,الريسبي!$A$2:$A$1800,$A14,الريسبي!$B$2:$B$1800,AZ$1)</f>
        <v>0</v>
      </c>
      <c r="BA14" s="117" t="n">
        <f aca="false">SUMIFS(الريسبي!$C$2:$C$1800,الريسبي!$A$2:$A$1800,$A14,الريسبي!$B$2:$B$1800,BA$1)</f>
        <v>0</v>
      </c>
      <c r="BB14" s="117" t="n">
        <f aca="false">SUMIFS(الريسبي!$C$2:$C$1800,الريسبي!$A$2:$A$1800,$A14,الريسبي!$B$2:$B$1800,BB$1)</f>
        <v>0</v>
      </c>
      <c r="BC14" s="117" t="n">
        <f aca="false">SUMIFS(الريسبي!$C$2:$C$1800,الريسبي!$A$2:$A$1800,$A14,الريسبي!$B$2:$B$1800,BC$1)</f>
        <v>0.03</v>
      </c>
      <c r="BD14" s="117" t="n">
        <f aca="false">SUMIFS(الريسبي!$C$2:$C$1800,الريسبي!$A$2:$A$1800,$A14,الريسبي!$B$2:$B$1800,BD$1)</f>
        <v>0.22</v>
      </c>
      <c r="BE14" s="117" t="n">
        <f aca="false">SUMIFS(الريسبي!$C$2:$C$1800,الريسبي!$A$2:$A$1800,$A14,الريسبي!$B$2:$B$1800,BE$1)</f>
        <v>0</v>
      </c>
      <c r="BF14" s="117" t="n">
        <f aca="false">SUMIFS(الريسبي!$C$2:$C$1800,الريسبي!$A$2:$A$1800,$A14,الريسبي!$B$2:$B$1800,BF$1)</f>
        <v>0</v>
      </c>
      <c r="BG14" s="117" t="n">
        <f aca="false">SUMIFS(الريسبي!$C$2:$C$1800,الريسبي!$A$2:$A$1800,$A14,الريسبي!$B$2:$B$1800,BG$1)</f>
        <v>0</v>
      </c>
      <c r="BH14" s="117" t="n">
        <f aca="false">SUMIFS(الريسبي!$C$2:$C$1800,الريسبي!$A$2:$A$1800,$A14,الريسبي!$B$2:$B$1800,BH$1)</f>
        <v>1</v>
      </c>
      <c r="BI14" s="117" t="n">
        <f aca="false">SUMIFS(الريسبي!$C$2:$C$1800,الريسبي!$A$2:$A$1800,$A14,الريسبي!$B$2:$B$1800,BI$1)</f>
        <v>0</v>
      </c>
      <c r="BJ14" s="117" t="n">
        <f aca="false">SUMIFS(الريسبي!$C$2:$C$1800,الريسبي!$A$2:$A$1800,$A14,الريسبي!$B$2:$B$1800,BJ$1)</f>
        <v>0</v>
      </c>
      <c r="BK14" s="117" t="n">
        <f aca="false">SUMIFS(الريسبي!$C$2:$C$1800,الريسبي!$A$2:$A$1800,$A14,الريسبي!$B$2:$B$1800,BK$1)</f>
        <v>0</v>
      </c>
      <c r="BL14" s="117" t="n">
        <f aca="false">SUMIFS(الريسبي!$C$2:$C$1800,الريسبي!$A$2:$A$1800,$A14,الريسبي!$B$2:$B$1800,BL$1)</f>
        <v>0</v>
      </c>
      <c r="BM14" s="117" t="n">
        <f aca="false">SUMIFS(الريسبي!$C$2:$C$1800,الريسبي!$A$2:$A$1800,$A14,الريسبي!$B$2:$B$1800,BM$1)</f>
        <v>0</v>
      </c>
      <c r="BN14" s="117" t="n">
        <f aca="false">SUMIFS(الريسبي!$C$2:$C$1800,الريسبي!$A$2:$A$1800,$A14,الريسبي!$B$2:$B$1800,BN$1)</f>
        <v>0.02</v>
      </c>
      <c r="BO14" s="117" t="n">
        <f aca="false">SUMIFS(الريسبي!$C$2:$C$1800,الريسبي!$A$2:$A$1800,$A14,الريسبي!$B$2:$B$1800,BO$1)</f>
        <v>0</v>
      </c>
      <c r="BP14" s="117" t="n">
        <f aca="false">SUMIFS(الريسبي!$C$2:$C$1800,الريسبي!$A$2:$A$1800,$A14,الريسبي!$B$2:$B$1800,BP$1)</f>
        <v>2</v>
      </c>
      <c r="BQ14" s="117" t="n">
        <f aca="false">SUMIFS(الريسبي!$C$2:$C$1800,الريسبي!$A$2:$A$1800,$A14,الريسبي!$B$2:$B$1800,BQ$1)+0.17*SUMIFS(الريسبي!$C$2:$C$1800,الريسبي!$A$2:$A$1800,$A14,الريسبي!$B$2:$B$1800,"كاسترد مصنع (خليط بودر + لبن)")+0.17*SUMIFS(الريسبي!$C$2:$C$1800,الريسبي!$A$2:$A$1800,$A14,الريسبي!$B$2:$B$1800,"كاسترد مصنع صيامي (بدون لبن)")</f>
        <v>0</v>
      </c>
      <c r="BR14" s="117" t="n">
        <f aca="false">SUMIFS(الريسبي!$C$2:$C$1800,الريسبي!$A$2:$A$1800,$A14,الريسبي!$B$2:$B$1800,BR$1)</f>
        <v>1</v>
      </c>
      <c r="BS14" s="117" t="n">
        <f aca="false">SUMIFS(الريسبي!$C$2:$C$1800,الريسبي!$A$2:$A$1800,$A14,الريسبي!$B$2:$B$1800,BS$1)</f>
        <v>0</v>
      </c>
      <c r="BT14" s="117" t="n">
        <f aca="false">SUMIFS(الريسبي!$C$2:$C$1800,الريسبي!$A$2:$A$1800,$A14,الريسبي!$B$2:$B$1800,BT$1)</f>
        <v>0</v>
      </c>
      <c r="BU14" s="117" t="n">
        <f aca="false">SUMIFS(الريسبي!$C$2:$C$1800,الريسبي!$A$2:$A$1800,$A14,الريسبي!$B$2:$B$1800,BU$1)+0.4*SUMIFS(الريسبي!$C$2:$C$1800,الريسبي!$A$2:$A$1800,$A14,الريسبي!$B$2:$B$1800,"كاسترد مصنع (خليط بودر + لبن)")+0.03333333333*SUMIFS(الريسبي!$C$2:$C$1800,الريسبي!$A$2:$A$1800,$A14,الريسبي!$B$2:$B$1800,"عجين كريب (مصنع بالمطعم)")</f>
        <v>0</v>
      </c>
      <c r="BV14" s="117" t="n">
        <f aca="false">SUMIFS(الريسبي!$C$2:$C$1800,الريسبي!$A$2:$A$1800,$A14,الريسبي!$B$2:$B$1800,BV$1)</f>
        <v>0</v>
      </c>
      <c r="BW14" s="117" t="n">
        <f aca="false">SUMIFS(الريسبي!$C$2:$C$1800,الريسبي!$A$2:$A$1800,$A14,الريسبي!$B$2:$B$1800,BW$1)</f>
        <v>0</v>
      </c>
      <c r="BX14" s="117" t="n">
        <f aca="false">SUMIFS(الريسبي!$C$2:$C$1800,الريسبي!$A$2:$A$1800,$A14,الريسبي!$B$2:$B$1800,BX$1)</f>
        <v>0</v>
      </c>
      <c r="BY14" s="117" t="n">
        <f aca="false">SUMIFS(الريسبي!$C$2:$C$1800,الريسبي!$A$2:$A$1800,$A14,الريسبي!$B$2:$B$1800,BY$1)</f>
        <v>0</v>
      </c>
      <c r="BZ14" s="117" t="n">
        <f aca="false">SUMIFS(الريسبي!$C$2:$C$1800,الريسبي!$A$2:$A$1800,$A14,الريسبي!$B$2:$B$1800,BZ$1)</f>
        <v>0</v>
      </c>
      <c r="CA14" s="117" t="n">
        <f aca="false">SUMIFS(الريسبي!$C$2:$C$1800,الريسبي!$A$2:$A$1800,$A14,الريسبي!$B$2:$B$1800,CA$1)</f>
        <v>1</v>
      </c>
      <c r="CB14" s="117" t="n">
        <f aca="false">SUMIFS(الريسبي!$C$2:$C$1800,الريسبي!$A$2:$A$1800,$A14,الريسبي!$B$2:$B$1800,CB$1)</f>
        <v>1</v>
      </c>
      <c r="CC14" s="117" t="n">
        <f aca="false">SUMIFS(الريسبي!$C$2:$C$1800,الريسبي!$A$2:$A$1800,$A14,الريسبي!$B$2:$B$1800,CC$1)</f>
        <v>0</v>
      </c>
      <c r="CD14" s="117" t="n">
        <f aca="false">SUMIFS(الريسبي!$C$2:$C$1800,الريسبي!$A$2:$A$1800,$A14,الريسبي!$B$2:$B$1800,CD$1)</f>
        <v>0</v>
      </c>
      <c r="CE14" s="117" t="n">
        <f aca="false">SUMIFS(الريسبي!$C$2:$C$1800,الريسبي!$A$2:$A$1800,$A14,الريسبي!$B$2:$B$1800,CE$1)</f>
        <v>0</v>
      </c>
      <c r="CF14" s="117" t="n">
        <f aca="false">SUMIFS(الريسبي!$C$2:$C$1800,الريسبي!$A$2:$A$1800,$A14,الريسبي!$B$2:$B$1800,CF$1)</f>
        <v>0</v>
      </c>
      <c r="CG14" s="117" t="n">
        <f aca="false">SUMIFS(الريسبي!$C$2:$C$1800,الريسبي!$A$2:$A$1800,$A14,الريسبي!$B$2:$B$1800,CG$1)</f>
        <v>0</v>
      </c>
      <c r="CH14" s="117" t="n">
        <f aca="false">SUMIFS(الريسبي!$C$2:$C$1800,الريسبي!$A$2:$A$1800,$A14,الريسبي!$B$2:$B$1800,CH$1)</f>
        <v>0</v>
      </c>
      <c r="CI14" s="117" t="n">
        <f aca="false">SUMIFS(الريسبي!$C$2:$C$1800,الريسبي!$A$2:$A$1800,$A14,الريسبي!$B$2:$B$1800,CI$1)</f>
        <v>0</v>
      </c>
      <c r="CJ14" s="117" t="n">
        <f aca="false">SUMIFS(الريسبي!$C$2:$C$1800,الريسبي!$A$2:$A$1800,$A14,الريسبي!$B$2:$B$1800,CJ$1)</f>
        <v>0</v>
      </c>
      <c r="CK14" s="117" t="n">
        <f aca="false">SUMIFS(الريسبي!$C$2:$C$1800,الريسبي!$A$2:$A$1800,$A14,الريسبي!$B$2:$B$1800,CK$1)</f>
        <v>0</v>
      </c>
      <c r="CL14" s="117" t="n">
        <f aca="false">SUMIFS(الريسبي!$C$2:$C$1800,الريسبي!$A$2:$A$1800,$A14,الريسبي!$B$2:$B$1800,CL$1)</f>
        <v>0</v>
      </c>
    </row>
    <row r="15" customFormat="false" ht="15" hidden="false" customHeight="false" outlineLevel="0" collapsed="false">
      <c r="A15" s="116" t="str">
        <f aca="false">المنيو!B15</f>
        <v>بيتزا فراخ باربيكيو حجم اكبر</v>
      </c>
      <c r="B15" s="117" t="n">
        <f aca="false">SUMIFS(الريسبي!$C$2:$C$1800,الريسبي!$A$2:$A$1800,$A15,الريسبي!$B$2:$B$1800,B$1)</f>
        <v>0</v>
      </c>
      <c r="C15" s="117" t="n">
        <f aca="false">SUMIFS(الريسبي!$C$2:$C$1800,الريسبي!$A$2:$A$1800,$A15,الريسبي!$B$2:$B$1800,C$1)</f>
        <v>0</v>
      </c>
      <c r="D15" s="117" t="n">
        <f aca="false">SUMIFS(الريسبي!$C$2:$C$1800,الريسبي!$A$2:$A$1800,$A15,الريسبي!$B$2:$B$1800,D$1)</f>
        <v>1</v>
      </c>
      <c r="E15" s="117" t="n">
        <f aca="false">SUMIFS(الريسبي!$C$2:$C$1800,الريسبي!$A$2:$A$1800,$A15,الريسبي!$B$2:$B$1800,E$1)</f>
        <v>0</v>
      </c>
      <c r="F15" s="117" t="n">
        <f aca="false">SUMIFS(الريسبي!$C$2:$C$1800,الريسبي!$A$2:$A$1800,$A15,الريسبي!$B$2:$B$1800,F$1)</f>
        <v>0</v>
      </c>
      <c r="G15" s="117" t="n">
        <f aca="false">SUMIFS(الريسبي!$C$2:$C$1800,الريسبي!$A$2:$A$1800,$A15,الريسبي!$B$2:$B$1800,G$1)</f>
        <v>0</v>
      </c>
      <c r="H15" s="117" t="n">
        <f aca="false">SUMIFS(الريسبي!$C$2:$C$1800,الريسبي!$A$2:$A$1800,$A15,الريسبي!$B$2:$B$1800,H$1)</f>
        <v>0</v>
      </c>
      <c r="I15" s="117" t="n">
        <f aca="false">SUMIFS(الريسبي!$C$2:$C$1800,الريسبي!$A$2:$A$1800,$A15,الريسبي!$B$2:$B$1800,I$1)</f>
        <v>0</v>
      </c>
      <c r="J15" s="117" t="n">
        <f aca="false">SUMIFS(الريسبي!$C$2:$C$1800,الريسبي!$A$2:$A$1800,$A15,الريسبي!$B$2:$B$1800,J$1)</f>
        <v>0</v>
      </c>
      <c r="K15" s="117" t="n">
        <f aca="false">SUMIFS(الريسبي!$C$2:$C$1800,الريسبي!$A$2:$A$1800,$A15,الريسبي!$B$2:$B$1800,K$1)</f>
        <v>0</v>
      </c>
      <c r="L15" s="117" t="n">
        <f aca="false">SUMIFS(الريسبي!$C$2:$C$1800,الريسبي!$A$2:$A$1800,$A15,الريسبي!$B$2:$B$1800,L$1)</f>
        <v>0</v>
      </c>
      <c r="M15" s="117" t="n">
        <f aca="false">SUMIFS(الريسبي!$C$2:$C$1800,الريسبي!$A$2:$A$1800,$A15,الريسبي!$B$2:$B$1800,M$1)</f>
        <v>0</v>
      </c>
      <c r="N15" s="117" t="n">
        <f aca="false">SUMIFS(الريسبي!$C$2:$C$1800,الريسبي!$A$2:$A$1800,$A15,الريسبي!$B$2:$B$1800,N$1)</f>
        <v>0</v>
      </c>
      <c r="O15" s="117" t="n">
        <f aca="false">SUMIFS(الريسبي!$C$2:$C$1800,الريسبي!$A$2:$A$1800,$A15,الريسبي!$B$2:$B$1800,O$1)</f>
        <v>0</v>
      </c>
      <c r="P15" s="117" t="n">
        <f aca="false">SUMIFS(الريسبي!$C$2:$C$1800,الريسبي!$A$2:$A$1800,$A15,الريسبي!$B$2:$B$1800,P$1)</f>
        <v>1</v>
      </c>
      <c r="Q15" s="117" t="n">
        <f aca="false">SUMIFS(الريسبي!$C$2:$C$1800,الريسبي!$A$2:$A$1800,$A15,الريسبي!$B$2:$B$1800,Q$1)</f>
        <v>0</v>
      </c>
      <c r="R15" s="117" t="n">
        <f aca="false">SUMIFS(الريسبي!$C$2:$C$1800,الريسبي!$A$2:$A$1800,$A15,الريسبي!$B$2:$B$1800,R$1)</f>
        <v>0</v>
      </c>
      <c r="S15" s="117" t="n">
        <f aca="false">SUMIFS(الريسبي!$C$2:$C$1800,الريسبي!$A$2:$A$1800,$A15,الريسبي!$B$2:$B$1800,S$1)</f>
        <v>0</v>
      </c>
      <c r="T15" s="117" t="n">
        <f aca="false">SUMIFS(الريسبي!$C$2:$C$1800,الريسبي!$A$2:$A$1800,$A15,الريسبي!$B$2:$B$1800,T$1)</f>
        <v>0</v>
      </c>
      <c r="U15" s="117" t="n">
        <f aca="false">SUMIFS(الريسبي!$C$2:$C$1800,الريسبي!$A$2:$A$1800,$A15,الريسبي!$B$2:$B$1800,U$1)</f>
        <v>0</v>
      </c>
      <c r="V15" s="117" t="n">
        <f aca="false">SUMIFS(الريسبي!$C$2:$C$1800,الريسبي!$A$2:$A$1800,$A15,الريسبي!$B$2:$B$1800,V$1)</f>
        <v>0</v>
      </c>
      <c r="W15" s="117" t="n">
        <f aca="false">SUMIFS(الريسبي!$C$2:$C$1800,الريسبي!$A$2:$A$1800,$A15,الريسبي!$B$2:$B$1800,W$1)</f>
        <v>1</v>
      </c>
      <c r="X15" s="117" t="n">
        <f aca="false">SUMIFS(الريسبي!$C$2:$C$1800,الريسبي!$A$2:$A$1800,$A15,الريسبي!$B$2:$B$1800,X$1)</f>
        <v>0</v>
      </c>
      <c r="Y15" s="117" t="n">
        <f aca="false">SUMIFS(الريسبي!$C$2:$C$1800,الريسبي!$A$2:$A$1800,$A15,الريسبي!$B$2:$B$1800,Y$1)</f>
        <v>0</v>
      </c>
      <c r="Z15" s="117" t="n">
        <f aca="false">SUMIFS(الريسبي!$C$2:$C$1800,الريسبي!$A$2:$A$1800,$A15,الريسبي!$B$2:$B$1800,Z$1)</f>
        <v>0</v>
      </c>
      <c r="AA15" s="117" t="n">
        <f aca="false">SUMIFS(الريسبي!$C$2:$C$1800,الريسبي!$A$2:$A$1800,$A15,الريسبي!$B$2:$B$1800,AA$1)</f>
        <v>0</v>
      </c>
      <c r="AB15" s="117" t="n">
        <f aca="false">SUMIFS(الريسبي!$C$2:$C$1800,الريسبي!$A$2:$A$1800,$A15,الريسبي!$B$2:$B$1800,AB$1)</f>
        <v>0</v>
      </c>
      <c r="AC15" s="117" t="n">
        <f aca="false">SUMIFS(الريسبي!$C$2:$C$1800,الريسبي!$A$2:$A$1800,$A15,الريسبي!$B$2:$B$1800,AC$1)</f>
        <v>0</v>
      </c>
      <c r="AD15" s="117" t="n">
        <f aca="false">SUMIFS(الريسبي!$C$2:$C$1800,الريسبي!$A$2:$A$1800,$A15,الريسبي!$B$2:$B$1800,AD$1)</f>
        <v>0</v>
      </c>
      <c r="AE15" s="117" t="n">
        <f aca="false">SUMIFS(الريسبي!$C$2:$C$1800,الريسبي!$A$2:$A$1800,$A15,الريسبي!$B$2:$B$1800,AE$1)</f>
        <v>0</v>
      </c>
      <c r="AF15" s="117" t="n">
        <f aca="false">SUMIFS(الريسبي!$C$2:$C$1800,الريسبي!$A$2:$A$1800,$A15,الريسبي!$B$2:$B$1800,AF$1)</f>
        <v>0</v>
      </c>
      <c r="AG15" s="117" t="n">
        <f aca="false">SUMIFS(الريسبي!$C$2:$C$1800,الريسبي!$A$2:$A$1800,$A15,الريسبي!$B$2:$B$1800,AG$1)</f>
        <v>0</v>
      </c>
      <c r="AH15" s="117" t="n">
        <f aca="false">SUMIFS(الريسبي!$C$2:$C$1800,الريسبي!$A$2:$A$1800,$A15,الريسبي!$B$2:$B$1800,AH$1)</f>
        <v>0</v>
      </c>
      <c r="AI15" s="117" t="n">
        <f aca="false">SUMIFS(الريسبي!$C$2:$C$1800,الريسبي!$A$2:$A$1800,$A15,الريسبي!$B$2:$B$1800,AI$1)</f>
        <v>0</v>
      </c>
      <c r="AJ15" s="117" t="n">
        <f aca="false">SUMIFS(الريسبي!$C$2:$C$1800,الريسبي!$A$2:$A$1800,$A15,الريسبي!$B$2:$B$1800,AJ$1)</f>
        <v>2</v>
      </c>
      <c r="AK15" s="117" t="n">
        <f aca="false">SUMIFS(الريسبي!$C$2:$C$1800,الريسبي!$A$2:$A$1800,$A15,الريسبي!$B$2:$B$1800,AK$1)</f>
        <v>0</v>
      </c>
      <c r="AL15" s="117" t="n">
        <f aca="false">SUMIFS(الريسبي!$C$2:$C$1800,الريسبي!$A$2:$A$1800,$A15,الريسبي!$B$2:$B$1800,AL$1)</f>
        <v>0</v>
      </c>
      <c r="AM15" s="117" t="n">
        <f aca="false">SUMIFS(الريسبي!$C$2:$C$1800,الريسبي!$A$2:$A$1800,$A15,الريسبي!$B$2:$B$1800,AM$1)+0.08333333333*SUMIFS(الريسبي!$C$2:$C$1800,الريسبي!$A$2:$A$1800,$A15,الريسبي!$B$2:$B$1800,"عجين كريب (مصنع بالمطعم)")+0.08333333333*SUMIFS(الريسبي!$C$2:$C$1800,الريسبي!$A$2:$A$1800,$A15,الريسبي!$B$2:$B$1800,"عجين كريب صيامي (بدون لبن)")</f>
        <v>0</v>
      </c>
      <c r="AN15" s="117" t="n">
        <f aca="false">SUMIFS(الريسبي!$C$2:$C$1800,الريسبي!$A$2:$A$1800,$A15,الريسبي!$B$2:$B$1800,AN$1)+0.004166666667*SUMIFS(الريسبي!$C$2:$C$1800,الريسبي!$A$2:$A$1800,$A15,الريسبي!$B$2:$B$1800,"عجين كريب (مصنع بالمطعم)")+0.004166666667*SUMIFS(الريسبي!$C$2:$C$1800,الريسبي!$A$2:$A$1800,$A15,الريسبي!$B$2:$B$1800,"عجين كريب صيامي (بدون لبن)")</f>
        <v>0</v>
      </c>
      <c r="AO15" s="117" t="n">
        <f aca="false">SUMIFS(الريسبي!$C$2:$C$1800,الريسبي!$A$2:$A$1800,$A15,الريسبي!$B$2:$B$1800,AO$1)</f>
        <v>0</v>
      </c>
      <c r="AP15" s="117" t="n">
        <f aca="false">SUMIFS(الريسبي!$C$2:$C$1800,الريسبي!$A$2:$A$1800,$A15,الريسبي!$B$2:$B$1800,AP$1)</f>
        <v>0.03</v>
      </c>
      <c r="AQ15" s="117" t="n">
        <f aca="false">SUMIFS(الريسبي!$C$2:$C$1800,الريسبي!$A$2:$A$1800,$A15,الريسبي!$B$2:$B$1800,AQ$1)+0.004166666667*SUMIFS(الريسبي!$C$2:$C$1800,الريسبي!$A$2:$A$1800,$A15,الريسبي!$B$2:$B$1800,"عجين كريب (مصنع بالمطعم)")+0.004166666667*SUMIFS(الريسبي!$C$2:$C$1800,الريسبي!$A$2:$A$1800,$A15,الريسبي!$B$2:$B$1800,"عجين كريب صيامي (بدون لبن)")</f>
        <v>0</v>
      </c>
      <c r="AR15" s="117" t="n">
        <f aca="false">SUMIFS(الريسبي!$C$2:$C$1800,الريسبي!$A$2:$A$1800,$A15,الريسبي!$B$2:$B$1800,AR$1)</f>
        <v>0</v>
      </c>
      <c r="AS15" s="117" t="n">
        <f aca="false">SUMIFS(الريسبي!$C$2:$C$1800,الريسبي!$A$2:$A$1800,$A15,الريسبي!$B$2:$B$1800,AS$1)</f>
        <v>0</v>
      </c>
      <c r="AT15" s="117" t="n">
        <f aca="false">SUMIFS(الريسبي!$C$2:$C$1800,الريسبي!$A$2:$A$1800,$A15,الريسبي!$B$2:$B$1800,AT$1)</f>
        <v>0</v>
      </c>
      <c r="AU15" s="117" t="n">
        <f aca="false">SUMIFS(الريسبي!$C$2:$C$1800,الريسبي!$A$2:$A$1800,$A15,الريسبي!$B$2:$B$1800,AU$1)</f>
        <v>0</v>
      </c>
      <c r="AV15" s="117" t="n">
        <f aca="false">SUMIFS(الريسبي!$C$2:$C$1800,الريسبي!$A$2:$A$1800,$A15,الريسبي!$B$2:$B$1800,AV$1)</f>
        <v>0</v>
      </c>
      <c r="AW15" s="117" t="n">
        <f aca="false">SUMIFS(الريسبي!$C$2:$C$1800,الريسبي!$A$2:$A$1800,$A15,الريسبي!$B$2:$B$1800,AW$1)</f>
        <v>0</v>
      </c>
      <c r="AX15" s="117" t="n">
        <f aca="false">SUMIFS(الريسبي!$C$2:$C$1800,الريسبي!$A$2:$A$1800,$A15,الريسبي!$B$2:$B$1800,AX$1)</f>
        <v>0.06</v>
      </c>
      <c r="AY15" s="117" t="n">
        <f aca="false">SUMIFS(الريسبي!$C$2:$C$1800,الريسبي!$A$2:$A$1800,$A15,الريسبي!$B$2:$B$1800,AY$1)</f>
        <v>0.15</v>
      </c>
      <c r="AZ15" s="117" t="n">
        <f aca="false">SUMIFS(الريسبي!$C$2:$C$1800,الريسبي!$A$2:$A$1800,$A15,الريسبي!$B$2:$B$1800,AZ$1)</f>
        <v>0</v>
      </c>
      <c r="BA15" s="117" t="n">
        <f aca="false">SUMIFS(الريسبي!$C$2:$C$1800,الريسبي!$A$2:$A$1800,$A15,الريسبي!$B$2:$B$1800,BA$1)</f>
        <v>0</v>
      </c>
      <c r="BB15" s="117" t="n">
        <f aca="false">SUMIFS(الريسبي!$C$2:$C$1800,الريسبي!$A$2:$A$1800,$A15,الريسبي!$B$2:$B$1800,BB$1)</f>
        <v>0</v>
      </c>
      <c r="BC15" s="117" t="n">
        <f aca="false">SUMIFS(الريسبي!$C$2:$C$1800,الريسبي!$A$2:$A$1800,$A15,الريسبي!$B$2:$B$1800,BC$1)</f>
        <v>0.045</v>
      </c>
      <c r="BD15" s="117" t="n">
        <f aca="false">SUMIFS(الريسبي!$C$2:$C$1800,الريسبي!$A$2:$A$1800,$A15,الريسبي!$B$2:$B$1800,BD$1)</f>
        <v>0.3</v>
      </c>
      <c r="BE15" s="117" t="n">
        <f aca="false">SUMIFS(الريسبي!$C$2:$C$1800,الريسبي!$A$2:$A$1800,$A15,الريسبي!$B$2:$B$1800,BE$1)</f>
        <v>0</v>
      </c>
      <c r="BF15" s="117" t="n">
        <f aca="false">SUMIFS(الريسبي!$C$2:$C$1800,الريسبي!$A$2:$A$1800,$A15,الريسبي!$B$2:$B$1800,BF$1)</f>
        <v>0</v>
      </c>
      <c r="BG15" s="117" t="n">
        <f aca="false">SUMIFS(الريسبي!$C$2:$C$1800,الريسبي!$A$2:$A$1800,$A15,الريسبي!$B$2:$B$1800,BG$1)</f>
        <v>1</v>
      </c>
      <c r="BH15" s="117" t="n">
        <f aca="false">SUMIFS(الريسبي!$C$2:$C$1800,الريسبي!$A$2:$A$1800,$A15,الريسبي!$B$2:$B$1800,BH$1)</f>
        <v>0</v>
      </c>
      <c r="BI15" s="117" t="n">
        <f aca="false">SUMIFS(الريسبي!$C$2:$C$1800,الريسبي!$A$2:$A$1800,$A15,الريسبي!$B$2:$B$1800,BI$1)</f>
        <v>0</v>
      </c>
      <c r="BJ15" s="117" t="n">
        <f aca="false">SUMIFS(الريسبي!$C$2:$C$1800,الريسبي!$A$2:$A$1800,$A15,الريسبي!$B$2:$B$1800,BJ$1)</f>
        <v>0</v>
      </c>
      <c r="BK15" s="117" t="n">
        <f aca="false">SUMIFS(الريسبي!$C$2:$C$1800,الريسبي!$A$2:$A$1800,$A15,الريسبي!$B$2:$B$1800,BK$1)</f>
        <v>0</v>
      </c>
      <c r="BL15" s="117" t="n">
        <f aca="false">SUMIFS(الريسبي!$C$2:$C$1800,الريسبي!$A$2:$A$1800,$A15,الريسبي!$B$2:$B$1800,BL$1)</f>
        <v>0</v>
      </c>
      <c r="BM15" s="117" t="n">
        <f aca="false">SUMIFS(الريسبي!$C$2:$C$1800,الريسبي!$A$2:$A$1800,$A15,الريسبي!$B$2:$B$1800,BM$1)</f>
        <v>0</v>
      </c>
      <c r="BN15" s="117" t="n">
        <f aca="false">SUMIFS(الريسبي!$C$2:$C$1800,الريسبي!$A$2:$A$1800,$A15,الريسبي!$B$2:$B$1800,BN$1)</f>
        <v>0.03</v>
      </c>
      <c r="BO15" s="117" t="n">
        <f aca="false">SUMIFS(الريسبي!$C$2:$C$1800,الريسبي!$A$2:$A$1800,$A15,الريسبي!$B$2:$B$1800,BO$1)</f>
        <v>0</v>
      </c>
      <c r="BP15" s="117" t="n">
        <f aca="false">SUMIFS(الريسبي!$C$2:$C$1800,الريسبي!$A$2:$A$1800,$A15,الريسبي!$B$2:$B$1800,BP$1)</f>
        <v>3</v>
      </c>
      <c r="BQ15" s="117" t="n">
        <f aca="false">SUMIFS(الريسبي!$C$2:$C$1800,الريسبي!$A$2:$A$1800,$A15,الريسبي!$B$2:$B$1800,BQ$1)+0.17*SUMIFS(الريسبي!$C$2:$C$1800,الريسبي!$A$2:$A$1800,$A15,الريسبي!$B$2:$B$1800,"كاسترد مصنع (خليط بودر + لبن)")+0.17*SUMIFS(الريسبي!$C$2:$C$1800,الريسبي!$A$2:$A$1800,$A15,الريسبي!$B$2:$B$1800,"كاسترد مصنع صيامي (بدون لبن)")</f>
        <v>0</v>
      </c>
      <c r="BR15" s="117" t="n">
        <f aca="false">SUMIFS(الريسبي!$C$2:$C$1800,الريسبي!$A$2:$A$1800,$A15,الريسبي!$B$2:$B$1800,BR$1)</f>
        <v>1</v>
      </c>
      <c r="BS15" s="117" t="n">
        <f aca="false">SUMIFS(الريسبي!$C$2:$C$1800,الريسبي!$A$2:$A$1800,$A15,الريسبي!$B$2:$B$1800,BS$1)</f>
        <v>0</v>
      </c>
      <c r="BT15" s="117" t="n">
        <f aca="false">SUMIFS(الريسبي!$C$2:$C$1800,الريسبي!$A$2:$A$1800,$A15,الريسبي!$B$2:$B$1800,BT$1)</f>
        <v>0</v>
      </c>
      <c r="BU15" s="117" t="n">
        <f aca="false">SUMIFS(الريسبي!$C$2:$C$1800,الريسبي!$A$2:$A$1800,$A15,الريسبي!$B$2:$B$1800,BU$1)+0.4*SUMIFS(الريسبي!$C$2:$C$1800,الريسبي!$A$2:$A$1800,$A15,الريسبي!$B$2:$B$1800,"كاسترد مصنع (خليط بودر + لبن)")+0.03333333333*SUMIFS(الريسبي!$C$2:$C$1800,الريسبي!$A$2:$A$1800,$A15,الريسبي!$B$2:$B$1800,"عجين كريب (مصنع بالمطعم)")</f>
        <v>0</v>
      </c>
      <c r="BV15" s="117" t="n">
        <f aca="false">SUMIFS(الريسبي!$C$2:$C$1800,الريسبي!$A$2:$A$1800,$A15,الريسبي!$B$2:$B$1800,BV$1)</f>
        <v>0</v>
      </c>
      <c r="BW15" s="117" t="n">
        <f aca="false">SUMIFS(الريسبي!$C$2:$C$1800,الريسبي!$A$2:$A$1800,$A15,الريسبي!$B$2:$B$1800,BW$1)</f>
        <v>0</v>
      </c>
      <c r="BX15" s="117" t="n">
        <f aca="false">SUMIFS(الريسبي!$C$2:$C$1800,الريسبي!$A$2:$A$1800,$A15,الريسبي!$B$2:$B$1800,BX$1)</f>
        <v>0</v>
      </c>
      <c r="BY15" s="117" t="n">
        <f aca="false">SUMIFS(الريسبي!$C$2:$C$1800,الريسبي!$A$2:$A$1800,$A15,الريسبي!$B$2:$B$1800,BY$1)</f>
        <v>0</v>
      </c>
      <c r="BZ15" s="117" t="n">
        <f aca="false">SUMIFS(الريسبي!$C$2:$C$1800,الريسبي!$A$2:$A$1800,$A15,الريسبي!$B$2:$B$1800,BZ$1)</f>
        <v>0</v>
      </c>
      <c r="CA15" s="117" t="n">
        <f aca="false">SUMIFS(الريسبي!$C$2:$C$1800,الريسبي!$A$2:$A$1800,$A15,الريسبي!$B$2:$B$1800,CA$1)</f>
        <v>1</v>
      </c>
      <c r="CB15" s="117" t="n">
        <f aca="false">SUMIFS(الريسبي!$C$2:$C$1800,الريسبي!$A$2:$A$1800,$A15,الريسبي!$B$2:$B$1800,CB$1)</f>
        <v>1</v>
      </c>
      <c r="CC15" s="117" t="n">
        <f aca="false">SUMIFS(الريسبي!$C$2:$C$1800,الريسبي!$A$2:$A$1800,$A15,الريسبي!$B$2:$B$1800,CC$1)</f>
        <v>0</v>
      </c>
      <c r="CD15" s="117" t="n">
        <f aca="false">SUMIFS(الريسبي!$C$2:$C$1800,الريسبي!$A$2:$A$1800,$A15,الريسبي!$B$2:$B$1800,CD$1)</f>
        <v>0</v>
      </c>
      <c r="CE15" s="117" t="n">
        <f aca="false">SUMIFS(الريسبي!$C$2:$C$1800,الريسبي!$A$2:$A$1800,$A15,الريسبي!$B$2:$B$1800,CE$1)</f>
        <v>0</v>
      </c>
      <c r="CF15" s="117" t="n">
        <f aca="false">SUMIFS(الريسبي!$C$2:$C$1800,الريسبي!$A$2:$A$1800,$A15,الريسبي!$B$2:$B$1800,CF$1)</f>
        <v>0</v>
      </c>
      <c r="CG15" s="117" t="n">
        <f aca="false">SUMIFS(الريسبي!$C$2:$C$1800,الريسبي!$A$2:$A$1800,$A15,الريسبي!$B$2:$B$1800,CG$1)</f>
        <v>0</v>
      </c>
      <c r="CH15" s="117" t="n">
        <f aca="false">SUMIFS(الريسبي!$C$2:$C$1800,الريسبي!$A$2:$A$1800,$A15,الريسبي!$B$2:$B$1800,CH$1)</f>
        <v>0</v>
      </c>
      <c r="CI15" s="117" t="n">
        <f aca="false">SUMIFS(الريسبي!$C$2:$C$1800,الريسبي!$A$2:$A$1800,$A15,الريسبي!$B$2:$B$1800,CI$1)</f>
        <v>0</v>
      </c>
      <c r="CJ15" s="117" t="n">
        <f aca="false">SUMIFS(الريسبي!$C$2:$C$1800,الريسبي!$A$2:$A$1800,$A15,الريسبي!$B$2:$B$1800,CJ$1)</f>
        <v>0</v>
      </c>
      <c r="CK15" s="117" t="n">
        <f aca="false">SUMIFS(الريسبي!$C$2:$C$1800,الريسبي!$A$2:$A$1800,$A15,الريسبي!$B$2:$B$1800,CK$1)</f>
        <v>0</v>
      </c>
      <c r="CL15" s="117" t="n">
        <f aca="false">SUMIFS(الريسبي!$C$2:$C$1800,الريسبي!$A$2:$A$1800,$A15,الريسبي!$B$2:$B$1800,CL$1)</f>
        <v>0</v>
      </c>
    </row>
    <row r="16" customFormat="false" ht="15" hidden="false" customHeight="false" outlineLevel="0" collapsed="false">
      <c r="A16" s="116" t="str">
        <f aca="false">المنيو!B16</f>
        <v>بيتزا فراخ كريسبي رانش وسط</v>
      </c>
      <c r="B16" s="117" t="n">
        <f aca="false">SUMIFS(الريسبي!$C$2:$C$1800,الريسبي!$A$2:$A$1800,$A16,الريسبي!$B$2:$B$1800,B$1)</f>
        <v>0</v>
      </c>
      <c r="C16" s="117" t="n">
        <f aca="false">SUMIFS(الريسبي!$C$2:$C$1800,الريسبي!$A$2:$A$1800,$A16,الريسبي!$B$2:$B$1800,C$1)</f>
        <v>0</v>
      </c>
      <c r="D16" s="117" t="n">
        <f aca="false">SUMIFS(الريسبي!$C$2:$C$1800,الريسبي!$A$2:$A$1800,$A16,الريسبي!$B$2:$B$1800,D$1)</f>
        <v>1</v>
      </c>
      <c r="E16" s="117" t="n">
        <f aca="false">SUMIFS(الريسبي!$C$2:$C$1800,الريسبي!$A$2:$A$1800,$A16,الريسبي!$B$2:$B$1800,E$1)</f>
        <v>0</v>
      </c>
      <c r="F16" s="117" t="n">
        <f aca="false">SUMIFS(الريسبي!$C$2:$C$1800,الريسبي!$A$2:$A$1800,$A16,الريسبي!$B$2:$B$1800,F$1)</f>
        <v>0</v>
      </c>
      <c r="G16" s="117" t="n">
        <f aca="false">SUMIFS(الريسبي!$C$2:$C$1800,الريسبي!$A$2:$A$1800,$A16,الريسبي!$B$2:$B$1800,G$1)</f>
        <v>0</v>
      </c>
      <c r="H16" s="117" t="n">
        <f aca="false">SUMIFS(الريسبي!$C$2:$C$1800,الريسبي!$A$2:$A$1800,$A16,الريسبي!$B$2:$B$1800,H$1)</f>
        <v>0</v>
      </c>
      <c r="I16" s="117" t="n">
        <f aca="false">SUMIFS(الريسبي!$C$2:$C$1800,الريسبي!$A$2:$A$1800,$A16,الريسبي!$B$2:$B$1800,I$1)</f>
        <v>0</v>
      </c>
      <c r="J16" s="117" t="n">
        <f aca="false">SUMIFS(الريسبي!$C$2:$C$1800,الريسبي!$A$2:$A$1800,$A16,الريسبي!$B$2:$B$1800,J$1)</f>
        <v>0</v>
      </c>
      <c r="K16" s="117" t="n">
        <f aca="false">SUMIFS(الريسبي!$C$2:$C$1800,الريسبي!$A$2:$A$1800,$A16,الريسبي!$B$2:$B$1800,K$1)</f>
        <v>0</v>
      </c>
      <c r="L16" s="117" t="n">
        <f aca="false">SUMIFS(الريسبي!$C$2:$C$1800,الريسبي!$A$2:$A$1800,$A16,الريسبي!$B$2:$B$1800,L$1)</f>
        <v>0</v>
      </c>
      <c r="M16" s="117" t="n">
        <f aca="false">SUMIFS(الريسبي!$C$2:$C$1800,الريسبي!$A$2:$A$1800,$A16,الريسبي!$B$2:$B$1800,M$1)</f>
        <v>0</v>
      </c>
      <c r="N16" s="117" t="n">
        <f aca="false">SUMIFS(الريسبي!$C$2:$C$1800,الريسبي!$A$2:$A$1800,$A16,الريسبي!$B$2:$B$1800,N$1)</f>
        <v>0</v>
      </c>
      <c r="O16" s="117" t="n">
        <f aca="false">SUMIFS(الريسبي!$C$2:$C$1800,الريسبي!$A$2:$A$1800,$A16,الريسبي!$B$2:$B$1800,O$1)</f>
        <v>0</v>
      </c>
      <c r="P16" s="117" t="n">
        <f aca="false">SUMIFS(الريسبي!$C$2:$C$1800,الريسبي!$A$2:$A$1800,$A16,الريسبي!$B$2:$B$1800,P$1)</f>
        <v>0</v>
      </c>
      <c r="Q16" s="117" t="n">
        <f aca="false">SUMIFS(الريسبي!$C$2:$C$1800,الريسبي!$A$2:$A$1800,$A16,الريسبي!$B$2:$B$1800,Q$1)</f>
        <v>1</v>
      </c>
      <c r="R16" s="117" t="n">
        <f aca="false">SUMIFS(الريسبي!$C$2:$C$1800,الريسبي!$A$2:$A$1800,$A16,الريسبي!$B$2:$B$1800,R$1)</f>
        <v>0</v>
      </c>
      <c r="S16" s="117" t="n">
        <f aca="false">SUMIFS(الريسبي!$C$2:$C$1800,الريسبي!$A$2:$A$1800,$A16,الريسبي!$B$2:$B$1800,S$1)</f>
        <v>0</v>
      </c>
      <c r="T16" s="117" t="n">
        <f aca="false">SUMIFS(الريسبي!$C$2:$C$1800,الريسبي!$A$2:$A$1800,$A16,الريسبي!$B$2:$B$1800,T$1)</f>
        <v>0</v>
      </c>
      <c r="U16" s="117" t="n">
        <f aca="false">SUMIFS(الريسبي!$C$2:$C$1800,الريسبي!$A$2:$A$1800,$A16,الريسبي!$B$2:$B$1800,U$1)</f>
        <v>0</v>
      </c>
      <c r="V16" s="117" t="n">
        <f aca="false">SUMIFS(الريسبي!$C$2:$C$1800,الريسبي!$A$2:$A$1800,$A16,الريسبي!$B$2:$B$1800,V$1)</f>
        <v>1</v>
      </c>
      <c r="W16" s="117" t="n">
        <f aca="false">SUMIFS(الريسبي!$C$2:$C$1800,الريسبي!$A$2:$A$1800,$A16,الريسبي!$B$2:$B$1800,W$1)</f>
        <v>0</v>
      </c>
      <c r="X16" s="117" t="n">
        <f aca="false">SUMIFS(الريسبي!$C$2:$C$1800,الريسبي!$A$2:$A$1800,$A16,الريسبي!$B$2:$B$1800,X$1)</f>
        <v>0</v>
      </c>
      <c r="Y16" s="117" t="n">
        <f aca="false">SUMIFS(الريسبي!$C$2:$C$1800,الريسبي!$A$2:$A$1800,$A16,الريسبي!$B$2:$B$1800,Y$1)</f>
        <v>0</v>
      </c>
      <c r="Z16" s="117" t="n">
        <f aca="false">SUMIFS(الريسبي!$C$2:$C$1800,الريسبي!$A$2:$A$1800,$A16,الريسبي!$B$2:$B$1800,Z$1)</f>
        <v>0</v>
      </c>
      <c r="AA16" s="117" t="n">
        <f aca="false">SUMIFS(الريسبي!$C$2:$C$1800,الريسبي!$A$2:$A$1800,$A16,الريسبي!$B$2:$B$1800,AA$1)</f>
        <v>0</v>
      </c>
      <c r="AB16" s="117" t="n">
        <f aca="false">SUMIFS(الريسبي!$C$2:$C$1800,الريسبي!$A$2:$A$1800,$A16,الريسبي!$B$2:$B$1800,AB$1)</f>
        <v>0</v>
      </c>
      <c r="AC16" s="117" t="n">
        <f aca="false">SUMIFS(الريسبي!$C$2:$C$1800,الريسبي!$A$2:$A$1800,$A16,الريسبي!$B$2:$B$1800,AC$1)</f>
        <v>0</v>
      </c>
      <c r="AD16" s="117" t="n">
        <f aca="false">SUMIFS(الريسبي!$C$2:$C$1800,الريسبي!$A$2:$A$1800,$A16,الريسبي!$B$2:$B$1800,AD$1)</f>
        <v>0</v>
      </c>
      <c r="AE16" s="117" t="n">
        <f aca="false">SUMIFS(الريسبي!$C$2:$C$1800,الريسبي!$A$2:$A$1800,$A16,الريسبي!$B$2:$B$1800,AE$1)</f>
        <v>0</v>
      </c>
      <c r="AF16" s="117" t="n">
        <f aca="false">SUMIFS(الريسبي!$C$2:$C$1800,الريسبي!$A$2:$A$1800,$A16,الريسبي!$B$2:$B$1800,AF$1)</f>
        <v>0</v>
      </c>
      <c r="AG16" s="117" t="n">
        <f aca="false">SUMIFS(الريسبي!$C$2:$C$1800,الريسبي!$A$2:$A$1800,$A16,الريسبي!$B$2:$B$1800,AG$1)</f>
        <v>0</v>
      </c>
      <c r="AH16" s="117" t="n">
        <f aca="false">SUMIFS(الريسبي!$C$2:$C$1800,الريسبي!$A$2:$A$1800,$A16,الريسبي!$B$2:$B$1800,AH$1)</f>
        <v>0</v>
      </c>
      <c r="AI16" s="117" t="n">
        <f aca="false">SUMIFS(الريسبي!$C$2:$C$1800,الريسبي!$A$2:$A$1800,$A16,الريسبي!$B$2:$B$1800,AI$1)</f>
        <v>0</v>
      </c>
      <c r="AJ16" s="117" t="n">
        <f aca="false">SUMIFS(الريسبي!$C$2:$C$1800,الريسبي!$A$2:$A$1800,$A16,الريسبي!$B$2:$B$1800,AJ$1)</f>
        <v>2</v>
      </c>
      <c r="AK16" s="117" t="n">
        <f aca="false">SUMIFS(الريسبي!$C$2:$C$1800,الريسبي!$A$2:$A$1800,$A16,الريسبي!$B$2:$B$1800,AK$1)</f>
        <v>0</v>
      </c>
      <c r="AL16" s="117" t="n">
        <f aca="false">SUMIFS(الريسبي!$C$2:$C$1800,الريسبي!$A$2:$A$1800,$A16,الريسبي!$B$2:$B$1800,AL$1)</f>
        <v>0</v>
      </c>
      <c r="AM16" s="117" t="n">
        <f aca="false">SUMIFS(الريسبي!$C$2:$C$1800,الريسبي!$A$2:$A$1800,$A16,الريسبي!$B$2:$B$1800,AM$1)+0.08333333333*SUMIFS(الريسبي!$C$2:$C$1800,الريسبي!$A$2:$A$1800,$A16,الريسبي!$B$2:$B$1800,"عجين كريب (مصنع بالمطعم)")+0.08333333333*SUMIFS(الريسبي!$C$2:$C$1800,الريسبي!$A$2:$A$1800,$A16,الريسبي!$B$2:$B$1800,"عجين كريب صيامي (بدون لبن)")</f>
        <v>0</v>
      </c>
      <c r="AN16" s="117" t="n">
        <f aca="false">SUMIFS(الريسبي!$C$2:$C$1800,الريسبي!$A$2:$A$1800,$A16,الريسبي!$B$2:$B$1800,AN$1)+0.004166666667*SUMIFS(الريسبي!$C$2:$C$1800,الريسبي!$A$2:$A$1800,$A16,الريسبي!$B$2:$B$1800,"عجين كريب (مصنع بالمطعم)")+0.004166666667*SUMIFS(الريسبي!$C$2:$C$1800,الريسبي!$A$2:$A$1800,$A16,الريسبي!$B$2:$B$1800,"عجين كريب صيامي (بدون لبن)")</f>
        <v>0</v>
      </c>
      <c r="AO16" s="117" t="n">
        <f aca="false">SUMIFS(الريسبي!$C$2:$C$1800,الريسبي!$A$2:$A$1800,$A16,الريسبي!$B$2:$B$1800,AO$1)</f>
        <v>0</v>
      </c>
      <c r="AP16" s="117" t="n">
        <f aca="false">SUMIFS(الريسبي!$C$2:$C$1800,الريسبي!$A$2:$A$1800,$A16,الريسبي!$B$2:$B$1800,AP$1)</f>
        <v>0.02</v>
      </c>
      <c r="AQ16" s="117" t="n">
        <f aca="false">SUMIFS(الريسبي!$C$2:$C$1800,الريسبي!$A$2:$A$1800,$A16,الريسبي!$B$2:$B$1800,AQ$1)+0.004166666667*SUMIFS(الريسبي!$C$2:$C$1800,الريسبي!$A$2:$A$1800,$A16,الريسبي!$B$2:$B$1800,"عجين كريب (مصنع بالمطعم)")+0.004166666667*SUMIFS(الريسبي!$C$2:$C$1800,الريسبي!$A$2:$A$1800,$A16,الريسبي!$B$2:$B$1800,"عجين كريب صيامي (بدون لبن)")</f>
        <v>0</v>
      </c>
      <c r="AR16" s="117" t="n">
        <f aca="false">SUMIFS(الريسبي!$C$2:$C$1800,الريسبي!$A$2:$A$1800,$A16,الريسبي!$B$2:$B$1800,AR$1)</f>
        <v>0</v>
      </c>
      <c r="AS16" s="117" t="n">
        <f aca="false">SUMIFS(الريسبي!$C$2:$C$1800,الريسبي!$A$2:$A$1800,$A16,الريسبي!$B$2:$B$1800,AS$1)</f>
        <v>0</v>
      </c>
      <c r="AT16" s="117" t="n">
        <f aca="false">SUMIFS(الريسبي!$C$2:$C$1800,الريسبي!$A$2:$A$1800,$A16,الريسبي!$B$2:$B$1800,AT$1)</f>
        <v>0</v>
      </c>
      <c r="AU16" s="117" t="n">
        <f aca="false">SUMIFS(الريسبي!$C$2:$C$1800,الريسبي!$A$2:$A$1800,$A16,الريسبي!$B$2:$B$1800,AU$1)</f>
        <v>0</v>
      </c>
      <c r="AV16" s="117" t="n">
        <f aca="false">SUMIFS(الريسبي!$C$2:$C$1800,الريسبي!$A$2:$A$1800,$A16,الريسبي!$B$2:$B$1800,AV$1)</f>
        <v>0</v>
      </c>
      <c r="AW16" s="117" t="n">
        <f aca="false">SUMIFS(الريسبي!$C$2:$C$1800,الريسبي!$A$2:$A$1800,$A16,الريسبي!$B$2:$B$1800,AW$1)</f>
        <v>0</v>
      </c>
      <c r="AX16" s="117" t="n">
        <f aca="false">SUMIFS(الريسبي!$C$2:$C$1800,الريسبي!$A$2:$A$1800,$A16,الريسبي!$B$2:$B$1800,AX$1)</f>
        <v>0.04</v>
      </c>
      <c r="AY16" s="117" t="n">
        <f aca="false">SUMIFS(الريسبي!$C$2:$C$1800,الريسبي!$A$2:$A$1800,$A16,الريسبي!$B$2:$B$1800,AY$1)</f>
        <v>0</v>
      </c>
      <c r="AZ16" s="117" t="n">
        <f aca="false">SUMIFS(الريسبي!$C$2:$C$1800,الريسبي!$A$2:$A$1800,$A16,الريسبي!$B$2:$B$1800,AZ$1)</f>
        <v>0</v>
      </c>
      <c r="BA16" s="117" t="n">
        <f aca="false">SUMIFS(الريسبي!$C$2:$C$1800,الريسبي!$A$2:$A$1800,$A16,الريسبي!$B$2:$B$1800,BA$1)</f>
        <v>0.1</v>
      </c>
      <c r="BB16" s="117" t="n">
        <f aca="false">SUMIFS(الريسبي!$C$2:$C$1800,الريسبي!$A$2:$A$1800,$A16,الريسبي!$B$2:$B$1800,BB$1)</f>
        <v>0</v>
      </c>
      <c r="BC16" s="117" t="n">
        <f aca="false">SUMIFS(الريسبي!$C$2:$C$1800,الريسبي!$A$2:$A$1800,$A16,الريسبي!$B$2:$B$1800,BC$1)</f>
        <v>0.03</v>
      </c>
      <c r="BD16" s="117" t="n">
        <f aca="false">SUMIFS(الريسبي!$C$2:$C$1800,الريسبي!$A$2:$A$1800,$A16,الريسبي!$B$2:$B$1800,BD$1)</f>
        <v>0.22</v>
      </c>
      <c r="BE16" s="117" t="n">
        <f aca="false">SUMIFS(الريسبي!$C$2:$C$1800,الريسبي!$A$2:$A$1800,$A16,الريسبي!$B$2:$B$1800,BE$1)</f>
        <v>0</v>
      </c>
      <c r="BF16" s="117" t="n">
        <f aca="false">SUMIFS(الريسبي!$C$2:$C$1800,الريسبي!$A$2:$A$1800,$A16,الريسبي!$B$2:$B$1800,BF$1)</f>
        <v>0</v>
      </c>
      <c r="BG16" s="117" t="n">
        <f aca="false">SUMIFS(الريسبي!$C$2:$C$1800,الريسبي!$A$2:$A$1800,$A16,الريسبي!$B$2:$B$1800,BG$1)</f>
        <v>0</v>
      </c>
      <c r="BH16" s="117" t="n">
        <f aca="false">SUMIFS(الريسبي!$C$2:$C$1800,الريسبي!$A$2:$A$1800,$A16,الريسبي!$B$2:$B$1800,BH$1)</f>
        <v>1</v>
      </c>
      <c r="BI16" s="117" t="n">
        <f aca="false">SUMIFS(الريسبي!$C$2:$C$1800,الريسبي!$A$2:$A$1800,$A16,الريسبي!$B$2:$B$1800,BI$1)</f>
        <v>0</v>
      </c>
      <c r="BJ16" s="117" t="n">
        <f aca="false">SUMIFS(الريسبي!$C$2:$C$1800,الريسبي!$A$2:$A$1800,$A16,الريسبي!$B$2:$B$1800,BJ$1)</f>
        <v>0</v>
      </c>
      <c r="BK16" s="117" t="n">
        <f aca="false">SUMIFS(الريسبي!$C$2:$C$1800,الريسبي!$A$2:$A$1800,$A16,الريسبي!$B$2:$B$1800,BK$1)</f>
        <v>0</v>
      </c>
      <c r="BL16" s="117" t="n">
        <f aca="false">SUMIFS(الريسبي!$C$2:$C$1800,الريسبي!$A$2:$A$1800,$A16,الريسبي!$B$2:$B$1800,BL$1)</f>
        <v>0</v>
      </c>
      <c r="BM16" s="117" t="n">
        <f aca="false">SUMIFS(الريسبي!$C$2:$C$1800,الريسبي!$A$2:$A$1800,$A16,الريسبي!$B$2:$B$1800,BM$1)</f>
        <v>0</v>
      </c>
      <c r="BN16" s="117" t="n">
        <f aca="false">SUMIFS(الريسبي!$C$2:$C$1800,الريسبي!$A$2:$A$1800,$A16,الريسبي!$B$2:$B$1800,BN$1)</f>
        <v>0.02</v>
      </c>
      <c r="BO16" s="117" t="n">
        <f aca="false">SUMIFS(الريسبي!$C$2:$C$1800,الريسبي!$A$2:$A$1800,$A16,الريسبي!$B$2:$B$1800,BO$1)</f>
        <v>0</v>
      </c>
      <c r="BP16" s="117" t="n">
        <f aca="false">SUMIFS(الريسبي!$C$2:$C$1800,الريسبي!$A$2:$A$1800,$A16,الريسبي!$B$2:$B$1800,BP$1)</f>
        <v>2</v>
      </c>
      <c r="BQ16" s="117" t="n">
        <f aca="false">SUMIFS(الريسبي!$C$2:$C$1800,الريسبي!$A$2:$A$1800,$A16,الريسبي!$B$2:$B$1800,BQ$1)+0.17*SUMIFS(الريسبي!$C$2:$C$1800,الريسبي!$A$2:$A$1800,$A16,الريسبي!$B$2:$B$1800,"كاسترد مصنع (خليط بودر + لبن)")+0.17*SUMIFS(الريسبي!$C$2:$C$1800,الريسبي!$A$2:$A$1800,$A16,الريسبي!$B$2:$B$1800,"كاسترد مصنع صيامي (بدون لبن)")</f>
        <v>0</v>
      </c>
      <c r="BR16" s="117" t="n">
        <f aca="false">SUMIFS(الريسبي!$C$2:$C$1800,الريسبي!$A$2:$A$1800,$A16,الريسبي!$B$2:$B$1800,BR$1)</f>
        <v>1</v>
      </c>
      <c r="BS16" s="117" t="n">
        <f aca="false">SUMIFS(الريسبي!$C$2:$C$1800,الريسبي!$A$2:$A$1800,$A16,الريسبي!$B$2:$B$1800,BS$1)</f>
        <v>0</v>
      </c>
      <c r="BT16" s="117" t="n">
        <f aca="false">SUMIFS(الريسبي!$C$2:$C$1800,الريسبي!$A$2:$A$1800,$A16,الريسبي!$B$2:$B$1800,BT$1)</f>
        <v>0</v>
      </c>
      <c r="BU16" s="117" t="n">
        <f aca="false">SUMIFS(الريسبي!$C$2:$C$1800,الريسبي!$A$2:$A$1800,$A16,الريسبي!$B$2:$B$1800,BU$1)+0.4*SUMIFS(الريسبي!$C$2:$C$1800,الريسبي!$A$2:$A$1800,$A16,الريسبي!$B$2:$B$1800,"كاسترد مصنع (خليط بودر + لبن)")+0.03333333333*SUMIFS(الريسبي!$C$2:$C$1800,الريسبي!$A$2:$A$1800,$A16,الريسبي!$B$2:$B$1800,"عجين كريب (مصنع بالمطعم)")</f>
        <v>0</v>
      </c>
      <c r="BV16" s="117" t="n">
        <f aca="false">SUMIFS(الريسبي!$C$2:$C$1800,الريسبي!$A$2:$A$1800,$A16,الريسبي!$B$2:$B$1800,BV$1)</f>
        <v>0</v>
      </c>
      <c r="BW16" s="117" t="n">
        <f aca="false">SUMIFS(الريسبي!$C$2:$C$1800,الريسبي!$A$2:$A$1800,$A16,الريسبي!$B$2:$B$1800,BW$1)</f>
        <v>0</v>
      </c>
      <c r="BX16" s="117" t="n">
        <f aca="false">SUMIFS(الريسبي!$C$2:$C$1800,الريسبي!$A$2:$A$1800,$A16,الريسبي!$B$2:$B$1800,BX$1)</f>
        <v>0</v>
      </c>
      <c r="BY16" s="117" t="n">
        <f aca="false">SUMIFS(الريسبي!$C$2:$C$1800,الريسبي!$A$2:$A$1800,$A16,الريسبي!$B$2:$B$1800,BY$1)</f>
        <v>0</v>
      </c>
      <c r="BZ16" s="117" t="n">
        <f aca="false">SUMIFS(الريسبي!$C$2:$C$1800,الريسبي!$A$2:$A$1800,$A16,الريسبي!$B$2:$B$1800,BZ$1)</f>
        <v>0</v>
      </c>
      <c r="CA16" s="117" t="n">
        <f aca="false">SUMIFS(الريسبي!$C$2:$C$1800,الريسبي!$A$2:$A$1800,$A16,الريسبي!$B$2:$B$1800,CA$1)</f>
        <v>1</v>
      </c>
      <c r="CB16" s="117" t="n">
        <f aca="false">SUMIFS(الريسبي!$C$2:$C$1800,الريسبي!$A$2:$A$1800,$A16,الريسبي!$B$2:$B$1800,CB$1)</f>
        <v>1</v>
      </c>
      <c r="CC16" s="117" t="n">
        <f aca="false">SUMIFS(الريسبي!$C$2:$C$1800,الريسبي!$A$2:$A$1800,$A16,الريسبي!$B$2:$B$1800,CC$1)</f>
        <v>0</v>
      </c>
      <c r="CD16" s="117" t="n">
        <f aca="false">SUMIFS(الريسبي!$C$2:$C$1800,الريسبي!$A$2:$A$1800,$A16,الريسبي!$B$2:$B$1800,CD$1)</f>
        <v>0</v>
      </c>
      <c r="CE16" s="117" t="n">
        <f aca="false">SUMIFS(الريسبي!$C$2:$C$1800,الريسبي!$A$2:$A$1800,$A16,الريسبي!$B$2:$B$1800,CE$1)</f>
        <v>0</v>
      </c>
      <c r="CF16" s="117" t="n">
        <f aca="false">SUMIFS(الريسبي!$C$2:$C$1800,الريسبي!$A$2:$A$1800,$A16,الريسبي!$B$2:$B$1800,CF$1)</f>
        <v>0</v>
      </c>
      <c r="CG16" s="117" t="n">
        <f aca="false">SUMIFS(الريسبي!$C$2:$C$1800,الريسبي!$A$2:$A$1800,$A16,الريسبي!$B$2:$B$1800,CG$1)</f>
        <v>0</v>
      </c>
      <c r="CH16" s="117" t="n">
        <f aca="false">SUMIFS(الريسبي!$C$2:$C$1800,الريسبي!$A$2:$A$1800,$A16,الريسبي!$B$2:$B$1800,CH$1)</f>
        <v>0</v>
      </c>
      <c r="CI16" s="117" t="n">
        <f aca="false">SUMIFS(الريسبي!$C$2:$C$1800,الريسبي!$A$2:$A$1800,$A16,الريسبي!$B$2:$B$1800,CI$1)</f>
        <v>0</v>
      </c>
      <c r="CJ16" s="117" t="n">
        <f aca="false">SUMIFS(الريسبي!$C$2:$C$1800,الريسبي!$A$2:$A$1800,$A16,الريسبي!$B$2:$B$1800,CJ$1)</f>
        <v>0</v>
      </c>
      <c r="CK16" s="117" t="n">
        <f aca="false">SUMIFS(الريسبي!$C$2:$C$1800,الريسبي!$A$2:$A$1800,$A16,الريسبي!$B$2:$B$1800,CK$1)</f>
        <v>0</v>
      </c>
      <c r="CL16" s="117" t="n">
        <f aca="false">SUMIFS(الريسبي!$C$2:$C$1800,الريسبي!$A$2:$A$1800,$A16,الريسبي!$B$2:$B$1800,CL$1)</f>
        <v>0</v>
      </c>
    </row>
    <row r="17" customFormat="false" ht="15" hidden="false" customHeight="false" outlineLevel="0" collapsed="false">
      <c r="A17" s="116" t="str">
        <f aca="false">المنيو!B17</f>
        <v>بيتزا فراخ كريسبي رانش حجم اكبر</v>
      </c>
      <c r="B17" s="117" t="n">
        <f aca="false">SUMIFS(الريسبي!$C$2:$C$1800,الريسبي!$A$2:$A$1800,$A17,الريسبي!$B$2:$B$1800,B$1)</f>
        <v>0</v>
      </c>
      <c r="C17" s="117" t="n">
        <f aca="false">SUMIFS(الريسبي!$C$2:$C$1800,الريسبي!$A$2:$A$1800,$A17,الريسبي!$B$2:$B$1800,C$1)</f>
        <v>0</v>
      </c>
      <c r="D17" s="117" t="n">
        <f aca="false">SUMIFS(الريسبي!$C$2:$C$1800,الريسبي!$A$2:$A$1800,$A17,الريسبي!$B$2:$B$1800,D$1)</f>
        <v>1</v>
      </c>
      <c r="E17" s="117" t="n">
        <f aca="false">SUMIFS(الريسبي!$C$2:$C$1800,الريسبي!$A$2:$A$1800,$A17,الريسبي!$B$2:$B$1800,E$1)</f>
        <v>0</v>
      </c>
      <c r="F17" s="117" t="n">
        <f aca="false">SUMIFS(الريسبي!$C$2:$C$1800,الريسبي!$A$2:$A$1800,$A17,الريسبي!$B$2:$B$1800,F$1)</f>
        <v>0</v>
      </c>
      <c r="G17" s="117" t="n">
        <f aca="false">SUMIFS(الريسبي!$C$2:$C$1800,الريسبي!$A$2:$A$1800,$A17,الريسبي!$B$2:$B$1800,G$1)</f>
        <v>0</v>
      </c>
      <c r="H17" s="117" t="n">
        <f aca="false">SUMIFS(الريسبي!$C$2:$C$1800,الريسبي!$A$2:$A$1800,$A17,الريسبي!$B$2:$B$1800,H$1)</f>
        <v>0</v>
      </c>
      <c r="I17" s="117" t="n">
        <f aca="false">SUMIFS(الريسبي!$C$2:$C$1800,الريسبي!$A$2:$A$1800,$A17,الريسبي!$B$2:$B$1800,I$1)</f>
        <v>0</v>
      </c>
      <c r="J17" s="117" t="n">
        <f aca="false">SUMIFS(الريسبي!$C$2:$C$1800,الريسبي!$A$2:$A$1800,$A17,الريسبي!$B$2:$B$1800,J$1)</f>
        <v>0</v>
      </c>
      <c r="K17" s="117" t="n">
        <f aca="false">SUMIFS(الريسبي!$C$2:$C$1800,الريسبي!$A$2:$A$1800,$A17,الريسبي!$B$2:$B$1800,K$1)</f>
        <v>0</v>
      </c>
      <c r="L17" s="117" t="n">
        <f aca="false">SUMIFS(الريسبي!$C$2:$C$1800,الريسبي!$A$2:$A$1800,$A17,الريسبي!$B$2:$B$1800,L$1)</f>
        <v>0</v>
      </c>
      <c r="M17" s="117" t="n">
        <f aca="false">SUMIFS(الريسبي!$C$2:$C$1800,الريسبي!$A$2:$A$1800,$A17,الريسبي!$B$2:$B$1800,M$1)</f>
        <v>0</v>
      </c>
      <c r="N17" s="117" t="n">
        <f aca="false">SUMIFS(الريسبي!$C$2:$C$1800,الريسبي!$A$2:$A$1800,$A17,الريسبي!$B$2:$B$1800,N$1)</f>
        <v>0</v>
      </c>
      <c r="O17" s="117" t="n">
        <f aca="false">SUMIFS(الريسبي!$C$2:$C$1800,الريسبي!$A$2:$A$1800,$A17,الريسبي!$B$2:$B$1800,O$1)</f>
        <v>0</v>
      </c>
      <c r="P17" s="117" t="n">
        <f aca="false">SUMIFS(الريسبي!$C$2:$C$1800,الريسبي!$A$2:$A$1800,$A17,الريسبي!$B$2:$B$1800,P$1)</f>
        <v>0</v>
      </c>
      <c r="Q17" s="117" t="n">
        <f aca="false">SUMIFS(الريسبي!$C$2:$C$1800,الريسبي!$A$2:$A$1800,$A17,الريسبي!$B$2:$B$1800,Q$1)</f>
        <v>0</v>
      </c>
      <c r="R17" s="117" t="n">
        <f aca="false">SUMIFS(الريسبي!$C$2:$C$1800,الريسبي!$A$2:$A$1800,$A17,الريسبي!$B$2:$B$1800,R$1)</f>
        <v>1</v>
      </c>
      <c r="S17" s="117" t="n">
        <f aca="false">SUMIFS(الريسبي!$C$2:$C$1800,الريسبي!$A$2:$A$1800,$A17,الريسبي!$B$2:$B$1800,S$1)</f>
        <v>0</v>
      </c>
      <c r="T17" s="117" t="n">
        <f aca="false">SUMIFS(الريسبي!$C$2:$C$1800,الريسبي!$A$2:$A$1800,$A17,الريسبي!$B$2:$B$1800,T$1)</f>
        <v>0</v>
      </c>
      <c r="U17" s="117" t="n">
        <f aca="false">SUMIFS(الريسبي!$C$2:$C$1800,الريسبي!$A$2:$A$1800,$A17,الريسبي!$B$2:$B$1800,U$1)</f>
        <v>0</v>
      </c>
      <c r="V17" s="117" t="n">
        <f aca="false">SUMIFS(الريسبي!$C$2:$C$1800,الريسبي!$A$2:$A$1800,$A17,الريسبي!$B$2:$B$1800,V$1)</f>
        <v>0</v>
      </c>
      <c r="W17" s="117" t="n">
        <f aca="false">SUMIFS(الريسبي!$C$2:$C$1800,الريسبي!$A$2:$A$1800,$A17,الريسبي!$B$2:$B$1800,W$1)</f>
        <v>1</v>
      </c>
      <c r="X17" s="117" t="n">
        <f aca="false">SUMIFS(الريسبي!$C$2:$C$1800,الريسبي!$A$2:$A$1800,$A17,الريسبي!$B$2:$B$1800,X$1)</f>
        <v>0</v>
      </c>
      <c r="Y17" s="117" t="n">
        <f aca="false">SUMIFS(الريسبي!$C$2:$C$1800,الريسبي!$A$2:$A$1800,$A17,الريسبي!$B$2:$B$1800,Y$1)</f>
        <v>0</v>
      </c>
      <c r="Z17" s="117" t="n">
        <f aca="false">SUMIFS(الريسبي!$C$2:$C$1800,الريسبي!$A$2:$A$1800,$A17,الريسبي!$B$2:$B$1800,Z$1)</f>
        <v>0</v>
      </c>
      <c r="AA17" s="117" t="n">
        <f aca="false">SUMIFS(الريسبي!$C$2:$C$1800,الريسبي!$A$2:$A$1800,$A17,الريسبي!$B$2:$B$1800,AA$1)</f>
        <v>0</v>
      </c>
      <c r="AB17" s="117" t="n">
        <f aca="false">SUMIFS(الريسبي!$C$2:$C$1800,الريسبي!$A$2:$A$1800,$A17,الريسبي!$B$2:$B$1800,AB$1)</f>
        <v>0</v>
      </c>
      <c r="AC17" s="117" t="n">
        <f aca="false">SUMIFS(الريسبي!$C$2:$C$1800,الريسبي!$A$2:$A$1800,$A17,الريسبي!$B$2:$B$1800,AC$1)</f>
        <v>0</v>
      </c>
      <c r="AD17" s="117" t="n">
        <f aca="false">SUMIFS(الريسبي!$C$2:$C$1800,الريسبي!$A$2:$A$1800,$A17,الريسبي!$B$2:$B$1800,AD$1)</f>
        <v>0</v>
      </c>
      <c r="AE17" s="117" t="n">
        <f aca="false">SUMIFS(الريسبي!$C$2:$C$1800,الريسبي!$A$2:$A$1800,$A17,الريسبي!$B$2:$B$1800,AE$1)</f>
        <v>0</v>
      </c>
      <c r="AF17" s="117" t="n">
        <f aca="false">SUMIFS(الريسبي!$C$2:$C$1800,الريسبي!$A$2:$A$1800,$A17,الريسبي!$B$2:$B$1800,AF$1)</f>
        <v>0</v>
      </c>
      <c r="AG17" s="117" t="n">
        <f aca="false">SUMIFS(الريسبي!$C$2:$C$1800,الريسبي!$A$2:$A$1800,$A17,الريسبي!$B$2:$B$1800,AG$1)</f>
        <v>0</v>
      </c>
      <c r="AH17" s="117" t="n">
        <f aca="false">SUMIFS(الريسبي!$C$2:$C$1800,الريسبي!$A$2:$A$1800,$A17,الريسبي!$B$2:$B$1800,AH$1)</f>
        <v>0</v>
      </c>
      <c r="AI17" s="117" t="n">
        <f aca="false">SUMIFS(الريسبي!$C$2:$C$1800,الريسبي!$A$2:$A$1800,$A17,الريسبي!$B$2:$B$1800,AI$1)</f>
        <v>0</v>
      </c>
      <c r="AJ17" s="117" t="n">
        <f aca="false">SUMIFS(الريسبي!$C$2:$C$1800,الريسبي!$A$2:$A$1800,$A17,الريسبي!$B$2:$B$1800,AJ$1)</f>
        <v>2</v>
      </c>
      <c r="AK17" s="117" t="n">
        <f aca="false">SUMIFS(الريسبي!$C$2:$C$1800,الريسبي!$A$2:$A$1800,$A17,الريسبي!$B$2:$B$1800,AK$1)</f>
        <v>0</v>
      </c>
      <c r="AL17" s="117" t="n">
        <f aca="false">SUMIFS(الريسبي!$C$2:$C$1800,الريسبي!$A$2:$A$1800,$A17,الريسبي!$B$2:$B$1800,AL$1)</f>
        <v>0</v>
      </c>
      <c r="AM17" s="117" t="n">
        <f aca="false">SUMIFS(الريسبي!$C$2:$C$1800,الريسبي!$A$2:$A$1800,$A17,الريسبي!$B$2:$B$1800,AM$1)+0.08333333333*SUMIFS(الريسبي!$C$2:$C$1800,الريسبي!$A$2:$A$1800,$A17,الريسبي!$B$2:$B$1800,"عجين كريب (مصنع بالمطعم)")+0.08333333333*SUMIFS(الريسبي!$C$2:$C$1800,الريسبي!$A$2:$A$1800,$A17,الريسبي!$B$2:$B$1800,"عجين كريب صيامي (بدون لبن)")</f>
        <v>0</v>
      </c>
      <c r="AN17" s="117" t="n">
        <f aca="false">SUMIFS(الريسبي!$C$2:$C$1800,الريسبي!$A$2:$A$1800,$A17,الريسبي!$B$2:$B$1800,AN$1)+0.004166666667*SUMIFS(الريسبي!$C$2:$C$1800,الريسبي!$A$2:$A$1800,$A17,الريسبي!$B$2:$B$1800,"عجين كريب (مصنع بالمطعم)")+0.004166666667*SUMIFS(الريسبي!$C$2:$C$1800,الريسبي!$A$2:$A$1800,$A17,الريسبي!$B$2:$B$1800,"عجين كريب صيامي (بدون لبن)")</f>
        <v>0</v>
      </c>
      <c r="AO17" s="117" t="n">
        <f aca="false">SUMIFS(الريسبي!$C$2:$C$1800,الريسبي!$A$2:$A$1800,$A17,الريسبي!$B$2:$B$1800,AO$1)</f>
        <v>0</v>
      </c>
      <c r="AP17" s="117" t="n">
        <f aca="false">SUMIFS(الريسبي!$C$2:$C$1800,الريسبي!$A$2:$A$1800,$A17,الريسبي!$B$2:$B$1800,AP$1)</f>
        <v>0.03</v>
      </c>
      <c r="AQ17" s="117" t="n">
        <f aca="false">SUMIFS(الريسبي!$C$2:$C$1800,الريسبي!$A$2:$A$1800,$A17,الريسبي!$B$2:$B$1800,AQ$1)+0.004166666667*SUMIFS(الريسبي!$C$2:$C$1800,الريسبي!$A$2:$A$1800,$A17,الريسبي!$B$2:$B$1800,"عجين كريب (مصنع بالمطعم)")+0.004166666667*SUMIFS(الريسبي!$C$2:$C$1800,الريسبي!$A$2:$A$1800,$A17,الريسبي!$B$2:$B$1800,"عجين كريب صيامي (بدون لبن)")</f>
        <v>0</v>
      </c>
      <c r="AR17" s="117" t="n">
        <f aca="false">SUMIFS(الريسبي!$C$2:$C$1800,الريسبي!$A$2:$A$1800,$A17,الريسبي!$B$2:$B$1800,AR$1)</f>
        <v>0</v>
      </c>
      <c r="AS17" s="117" t="n">
        <f aca="false">SUMIFS(الريسبي!$C$2:$C$1800,الريسبي!$A$2:$A$1800,$A17,الريسبي!$B$2:$B$1800,AS$1)</f>
        <v>0</v>
      </c>
      <c r="AT17" s="117" t="n">
        <f aca="false">SUMIFS(الريسبي!$C$2:$C$1800,الريسبي!$A$2:$A$1800,$A17,الريسبي!$B$2:$B$1800,AT$1)</f>
        <v>0</v>
      </c>
      <c r="AU17" s="117" t="n">
        <f aca="false">SUMIFS(الريسبي!$C$2:$C$1800,الريسبي!$A$2:$A$1800,$A17,الريسبي!$B$2:$B$1800,AU$1)</f>
        <v>0</v>
      </c>
      <c r="AV17" s="117" t="n">
        <f aca="false">SUMIFS(الريسبي!$C$2:$C$1800,الريسبي!$A$2:$A$1800,$A17,الريسبي!$B$2:$B$1800,AV$1)</f>
        <v>0</v>
      </c>
      <c r="AW17" s="117" t="n">
        <f aca="false">SUMIFS(الريسبي!$C$2:$C$1800,الريسبي!$A$2:$A$1800,$A17,الريسبي!$B$2:$B$1800,AW$1)</f>
        <v>0</v>
      </c>
      <c r="AX17" s="117" t="n">
        <f aca="false">SUMIFS(الريسبي!$C$2:$C$1800,الريسبي!$A$2:$A$1800,$A17,الريسبي!$B$2:$B$1800,AX$1)</f>
        <v>0.06</v>
      </c>
      <c r="AY17" s="117" t="n">
        <f aca="false">SUMIFS(الريسبي!$C$2:$C$1800,الريسبي!$A$2:$A$1800,$A17,الريسبي!$B$2:$B$1800,AY$1)</f>
        <v>0</v>
      </c>
      <c r="AZ17" s="117" t="n">
        <f aca="false">SUMIFS(الريسبي!$C$2:$C$1800,الريسبي!$A$2:$A$1800,$A17,الريسبي!$B$2:$B$1800,AZ$1)</f>
        <v>0</v>
      </c>
      <c r="BA17" s="117" t="n">
        <f aca="false">SUMIFS(الريسبي!$C$2:$C$1800,الريسبي!$A$2:$A$1800,$A17,الريسبي!$B$2:$B$1800,BA$1)</f>
        <v>0.15</v>
      </c>
      <c r="BB17" s="117" t="n">
        <f aca="false">SUMIFS(الريسبي!$C$2:$C$1800,الريسبي!$A$2:$A$1800,$A17,الريسبي!$B$2:$B$1800,BB$1)</f>
        <v>0</v>
      </c>
      <c r="BC17" s="117" t="n">
        <f aca="false">SUMIFS(الريسبي!$C$2:$C$1800,الريسبي!$A$2:$A$1800,$A17,الريسبي!$B$2:$B$1800,BC$1)</f>
        <v>0.045</v>
      </c>
      <c r="BD17" s="117" t="n">
        <f aca="false">SUMIFS(الريسبي!$C$2:$C$1800,الريسبي!$A$2:$A$1800,$A17,الريسبي!$B$2:$B$1800,BD$1)</f>
        <v>0.3</v>
      </c>
      <c r="BE17" s="117" t="n">
        <f aca="false">SUMIFS(الريسبي!$C$2:$C$1800,الريسبي!$A$2:$A$1800,$A17,الريسبي!$B$2:$B$1800,BE$1)</f>
        <v>0</v>
      </c>
      <c r="BF17" s="117" t="n">
        <f aca="false">SUMIFS(الريسبي!$C$2:$C$1800,الريسبي!$A$2:$A$1800,$A17,الريسبي!$B$2:$B$1800,BF$1)</f>
        <v>0</v>
      </c>
      <c r="BG17" s="117" t="n">
        <f aca="false">SUMIFS(الريسبي!$C$2:$C$1800,الريسبي!$A$2:$A$1800,$A17,الريسبي!$B$2:$B$1800,BG$1)</f>
        <v>1</v>
      </c>
      <c r="BH17" s="117" t="n">
        <f aca="false">SUMIFS(الريسبي!$C$2:$C$1800,الريسبي!$A$2:$A$1800,$A17,الريسبي!$B$2:$B$1800,BH$1)</f>
        <v>0</v>
      </c>
      <c r="BI17" s="117" t="n">
        <f aca="false">SUMIFS(الريسبي!$C$2:$C$1800,الريسبي!$A$2:$A$1800,$A17,الريسبي!$B$2:$B$1800,BI$1)</f>
        <v>0</v>
      </c>
      <c r="BJ17" s="117" t="n">
        <f aca="false">SUMIFS(الريسبي!$C$2:$C$1800,الريسبي!$A$2:$A$1800,$A17,الريسبي!$B$2:$B$1800,BJ$1)</f>
        <v>0</v>
      </c>
      <c r="BK17" s="117" t="n">
        <f aca="false">SUMIFS(الريسبي!$C$2:$C$1800,الريسبي!$A$2:$A$1800,$A17,الريسبي!$B$2:$B$1800,BK$1)</f>
        <v>0</v>
      </c>
      <c r="BL17" s="117" t="n">
        <f aca="false">SUMIFS(الريسبي!$C$2:$C$1800,الريسبي!$A$2:$A$1800,$A17,الريسبي!$B$2:$B$1800,BL$1)</f>
        <v>0</v>
      </c>
      <c r="BM17" s="117" t="n">
        <f aca="false">SUMIFS(الريسبي!$C$2:$C$1800,الريسبي!$A$2:$A$1800,$A17,الريسبي!$B$2:$B$1800,BM$1)</f>
        <v>0</v>
      </c>
      <c r="BN17" s="117" t="n">
        <f aca="false">SUMIFS(الريسبي!$C$2:$C$1800,الريسبي!$A$2:$A$1800,$A17,الريسبي!$B$2:$B$1800,BN$1)</f>
        <v>0.03</v>
      </c>
      <c r="BO17" s="117" t="n">
        <f aca="false">SUMIFS(الريسبي!$C$2:$C$1800,الريسبي!$A$2:$A$1800,$A17,الريسبي!$B$2:$B$1800,BO$1)</f>
        <v>0</v>
      </c>
      <c r="BP17" s="117" t="n">
        <f aca="false">SUMIFS(الريسبي!$C$2:$C$1800,الريسبي!$A$2:$A$1800,$A17,الريسبي!$B$2:$B$1800,BP$1)</f>
        <v>3</v>
      </c>
      <c r="BQ17" s="117" t="n">
        <f aca="false">SUMIFS(الريسبي!$C$2:$C$1800,الريسبي!$A$2:$A$1800,$A17,الريسبي!$B$2:$B$1800,BQ$1)+0.17*SUMIFS(الريسبي!$C$2:$C$1800,الريسبي!$A$2:$A$1800,$A17,الريسبي!$B$2:$B$1800,"كاسترد مصنع (خليط بودر + لبن)")+0.17*SUMIFS(الريسبي!$C$2:$C$1800,الريسبي!$A$2:$A$1800,$A17,الريسبي!$B$2:$B$1800,"كاسترد مصنع صيامي (بدون لبن)")</f>
        <v>0</v>
      </c>
      <c r="BR17" s="117" t="n">
        <f aca="false">SUMIFS(الريسبي!$C$2:$C$1800,الريسبي!$A$2:$A$1800,$A17,الريسبي!$B$2:$B$1800,BR$1)</f>
        <v>1</v>
      </c>
      <c r="BS17" s="117" t="n">
        <f aca="false">SUMIFS(الريسبي!$C$2:$C$1800,الريسبي!$A$2:$A$1800,$A17,الريسبي!$B$2:$B$1800,BS$1)</f>
        <v>0</v>
      </c>
      <c r="BT17" s="117" t="n">
        <f aca="false">SUMIFS(الريسبي!$C$2:$C$1800,الريسبي!$A$2:$A$1800,$A17,الريسبي!$B$2:$B$1800,BT$1)</f>
        <v>0</v>
      </c>
      <c r="BU17" s="117" t="n">
        <f aca="false">SUMIFS(الريسبي!$C$2:$C$1800,الريسبي!$A$2:$A$1800,$A17,الريسبي!$B$2:$B$1800,BU$1)+0.4*SUMIFS(الريسبي!$C$2:$C$1800,الريسبي!$A$2:$A$1800,$A17,الريسبي!$B$2:$B$1800,"كاسترد مصنع (خليط بودر + لبن)")+0.03333333333*SUMIFS(الريسبي!$C$2:$C$1800,الريسبي!$A$2:$A$1800,$A17,الريسبي!$B$2:$B$1800,"عجين كريب (مصنع بالمطعم)")</f>
        <v>0</v>
      </c>
      <c r="BV17" s="117" t="n">
        <f aca="false">SUMIFS(الريسبي!$C$2:$C$1800,الريسبي!$A$2:$A$1800,$A17,الريسبي!$B$2:$B$1800,BV$1)</f>
        <v>0</v>
      </c>
      <c r="BW17" s="117" t="n">
        <f aca="false">SUMIFS(الريسبي!$C$2:$C$1800,الريسبي!$A$2:$A$1800,$A17,الريسبي!$B$2:$B$1800,BW$1)</f>
        <v>0</v>
      </c>
      <c r="BX17" s="117" t="n">
        <f aca="false">SUMIFS(الريسبي!$C$2:$C$1800,الريسبي!$A$2:$A$1800,$A17,الريسبي!$B$2:$B$1800,BX$1)</f>
        <v>0</v>
      </c>
      <c r="BY17" s="117" t="n">
        <f aca="false">SUMIFS(الريسبي!$C$2:$C$1800,الريسبي!$A$2:$A$1800,$A17,الريسبي!$B$2:$B$1800,BY$1)</f>
        <v>0</v>
      </c>
      <c r="BZ17" s="117" t="n">
        <f aca="false">SUMIFS(الريسبي!$C$2:$C$1800,الريسبي!$A$2:$A$1800,$A17,الريسبي!$B$2:$B$1800,BZ$1)</f>
        <v>0</v>
      </c>
      <c r="CA17" s="117" t="n">
        <f aca="false">SUMIFS(الريسبي!$C$2:$C$1800,الريسبي!$A$2:$A$1800,$A17,الريسبي!$B$2:$B$1800,CA$1)</f>
        <v>1</v>
      </c>
      <c r="CB17" s="117" t="n">
        <f aca="false">SUMIFS(الريسبي!$C$2:$C$1800,الريسبي!$A$2:$A$1800,$A17,الريسبي!$B$2:$B$1800,CB$1)</f>
        <v>1</v>
      </c>
      <c r="CC17" s="117" t="n">
        <f aca="false">SUMIFS(الريسبي!$C$2:$C$1800,الريسبي!$A$2:$A$1800,$A17,الريسبي!$B$2:$B$1800,CC$1)</f>
        <v>0</v>
      </c>
      <c r="CD17" s="117" t="n">
        <f aca="false">SUMIFS(الريسبي!$C$2:$C$1800,الريسبي!$A$2:$A$1800,$A17,الريسبي!$B$2:$B$1800,CD$1)</f>
        <v>0</v>
      </c>
      <c r="CE17" s="117" t="n">
        <f aca="false">SUMIFS(الريسبي!$C$2:$C$1800,الريسبي!$A$2:$A$1800,$A17,الريسبي!$B$2:$B$1800,CE$1)</f>
        <v>0</v>
      </c>
      <c r="CF17" s="117" t="n">
        <f aca="false">SUMIFS(الريسبي!$C$2:$C$1800,الريسبي!$A$2:$A$1800,$A17,الريسبي!$B$2:$B$1800,CF$1)</f>
        <v>0</v>
      </c>
      <c r="CG17" s="117" t="n">
        <f aca="false">SUMIFS(الريسبي!$C$2:$C$1800,الريسبي!$A$2:$A$1800,$A17,الريسبي!$B$2:$B$1800,CG$1)</f>
        <v>0</v>
      </c>
      <c r="CH17" s="117" t="n">
        <f aca="false">SUMIFS(الريسبي!$C$2:$C$1800,الريسبي!$A$2:$A$1800,$A17,الريسبي!$B$2:$B$1800,CH$1)</f>
        <v>0</v>
      </c>
      <c r="CI17" s="117" t="n">
        <f aca="false">SUMIFS(الريسبي!$C$2:$C$1800,الريسبي!$A$2:$A$1800,$A17,الريسبي!$B$2:$B$1800,CI$1)</f>
        <v>0</v>
      </c>
      <c r="CJ17" s="117" t="n">
        <f aca="false">SUMIFS(الريسبي!$C$2:$C$1800,الريسبي!$A$2:$A$1800,$A17,الريسبي!$B$2:$B$1800,CJ$1)</f>
        <v>0</v>
      </c>
      <c r="CK17" s="117" t="n">
        <f aca="false">SUMIFS(الريسبي!$C$2:$C$1800,الريسبي!$A$2:$A$1800,$A17,الريسبي!$B$2:$B$1800,CK$1)</f>
        <v>0</v>
      </c>
      <c r="CL17" s="117" t="n">
        <f aca="false">SUMIFS(الريسبي!$C$2:$C$1800,الريسبي!$A$2:$A$1800,$A17,الريسبي!$B$2:$B$1800,CL$1)</f>
        <v>0</v>
      </c>
    </row>
    <row r="18" customFormat="false" ht="15" hidden="false" customHeight="false" outlineLevel="0" collapsed="false">
      <c r="A18" s="116" t="str">
        <f aca="false">المنيو!B18</f>
        <v>بيتزا فراخ كريسبي شيدر وسط</v>
      </c>
      <c r="B18" s="117" t="n">
        <f aca="false">SUMIFS(الريسبي!$C$2:$C$1800,الريسبي!$A$2:$A$1800,$A18,الريسبي!$B$2:$B$1800,B$1)</f>
        <v>0</v>
      </c>
      <c r="C18" s="117" t="n">
        <f aca="false">SUMIFS(الريسبي!$C$2:$C$1800,الريسبي!$A$2:$A$1800,$A18,الريسبي!$B$2:$B$1800,C$1)</f>
        <v>0</v>
      </c>
      <c r="D18" s="117" t="n">
        <f aca="false">SUMIFS(الريسبي!$C$2:$C$1800,الريسبي!$A$2:$A$1800,$A18,الريسبي!$B$2:$B$1800,D$1)</f>
        <v>1</v>
      </c>
      <c r="E18" s="117" t="n">
        <f aca="false">SUMIFS(الريسبي!$C$2:$C$1800,الريسبي!$A$2:$A$1800,$A18,الريسبي!$B$2:$B$1800,E$1)</f>
        <v>0</v>
      </c>
      <c r="F18" s="117" t="n">
        <f aca="false">SUMIFS(الريسبي!$C$2:$C$1800,الريسبي!$A$2:$A$1800,$A18,الريسبي!$B$2:$B$1800,F$1)</f>
        <v>0</v>
      </c>
      <c r="G18" s="117" t="n">
        <f aca="false">SUMIFS(الريسبي!$C$2:$C$1800,الريسبي!$A$2:$A$1800,$A18,الريسبي!$B$2:$B$1800,G$1)</f>
        <v>0</v>
      </c>
      <c r="H18" s="117" t="n">
        <f aca="false">SUMIFS(الريسبي!$C$2:$C$1800,الريسبي!$A$2:$A$1800,$A18,الريسبي!$B$2:$B$1800,H$1)</f>
        <v>0</v>
      </c>
      <c r="I18" s="117" t="n">
        <f aca="false">SUMIFS(الريسبي!$C$2:$C$1800,الريسبي!$A$2:$A$1800,$A18,الريسبي!$B$2:$B$1800,I$1)</f>
        <v>0</v>
      </c>
      <c r="J18" s="117" t="n">
        <f aca="false">SUMIFS(الريسبي!$C$2:$C$1800,الريسبي!$A$2:$A$1800,$A18,الريسبي!$B$2:$B$1800,J$1)</f>
        <v>0</v>
      </c>
      <c r="K18" s="117" t="n">
        <f aca="false">SUMIFS(الريسبي!$C$2:$C$1800,الريسبي!$A$2:$A$1800,$A18,الريسبي!$B$2:$B$1800,K$1)</f>
        <v>0</v>
      </c>
      <c r="L18" s="117" t="n">
        <f aca="false">SUMIFS(الريسبي!$C$2:$C$1800,الريسبي!$A$2:$A$1800,$A18,الريسبي!$B$2:$B$1800,L$1)</f>
        <v>0</v>
      </c>
      <c r="M18" s="117" t="n">
        <f aca="false">SUMIFS(الريسبي!$C$2:$C$1800,الريسبي!$A$2:$A$1800,$A18,الريسبي!$B$2:$B$1800,M$1)</f>
        <v>0</v>
      </c>
      <c r="N18" s="117" t="n">
        <f aca="false">SUMIFS(الريسبي!$C$2:$C$1800,الريسبي!$A$2:$A$1800,$A18,الريسبي!$B$2:$B$1800,N$1)</f>
        <v>0</v>
      </c>
      <c r="O18" s="117" t="n">
        <f aca="false">SUMIFS(الريسبي!$C$2:$C$1800,الريسبي!$A$2:$A$1800,$A18,الريسبي!$B$2:$B$1800,O$1)</f>
        <v>0</v>
      </c>
      <c r="P18" s="117" t="n">
        <f aca="false">SUMIFS(الريسبي!$C$2:$C$1800,الريسبي!$A$2:$A$1800,$A18,الريسبي!$B$2:$B$1800,P$1)</f>
        <v>0</v>
      </c>
      <c r="Q18" s="117" t="n">
        <f aca="false">SUMIFS(الريسبي!$C$2:$C$1800,الريسبي!$A$2:$A$1800,$A18,الريسبي!$B$2:$B$1800,Q$1)</f>
        <v>1</v>
      </c>
      <c r="R18" s="117" t="n">
        <f aca="false">SUMIFS(الريسبي!$C$2:$C$1800,الريسبي!$A$2:$A$1800,$A18,الريسبي!$B$2:$B$1800,R$1)</f>
        <v>0</v>
      </c>
      <c r="S18" s="117" t="n">
        <f aca="false">SUMIFS(الريسبي!$C$2:$C$1800,الريسبي!$A$2:$A$1800,$A18,الريسبي!$B$2:$B$1800,S$1)</f>
        <v>0</v>
      </c>
      <c r="T18" s="117" t="n">
        <f aca="false">SUMIFS(الريسبي!$C$2:$C$1800,الريسبي!$A$2:$A$1800,$A18,الريسبي!$B$2:$B$1800,T$1)</f>
        <v>0</v>
      </c>
      <c r="U18" s="117" t="n">
        <f aca="false">SUMIFS(الريسبي!$C$2:$C$1800,الريسبي!$A$2:$A$1800,$A18,الريسبي!$B$2:$B$1800,U$1)</f>
        <v>0</v>
      </c>
      <c r="V18" s="117" t="n">
        <f aca="false">SUMIFS(الريسبي!$C$2:$C$1800,الريسبي!$A$2:$A$1800,$A18,الريسبي!$B$2:$B$1800,V$1)</f>
        <v>1</v>
      </c>
      <c r="W18" s="117" t="n">
        <f aca="false">SUMIFS(الريسبي!$C$2:$C$1800,الريسبي!$A$2:$A$1800,$A18,الريسبي!$B$2:$B$1800,W$1)</f>
        <v>0</v>
      </c>
      <c r="X18" s="117" t="n">
        <f aca="false">SUMIFS(الريسبي!$C$2:$C$1800,الريسبي!$A$2:$A$1800,$A18,الريسبي!$B$2:$B$1800,X$1)</f>
        <v>0</v>
      </c>
      <c r="Y18" s="117" t="n">
        <f aca="false">SUMIFS(الريسبي!$C$2:$C$1800,الريسبي!$A$2:$A$1800,$A18,الريسبي!$B$2:$B$1800,Y$1)</f>
        <v>0</v>
      </c>
      <c r="Z18" s="117" t="n">
        <f aca="false">SUMIFS(الريسبي!$C$2:$C$1800,الريسبي!$A$2:$A$1800,$A18,الريسبي!$B$2:$B$1800,Z$1)</f>
        <v>0</v>
      </c>
      <c r="AA18" s="117" t="n">
        <f aca="false">SUMIFS(الريسبي!$C$2:$C$1800,الريسبي!$A$2:$A$1800,$A18,الريسبي!$B$2:$B$1800,AA$1)</f>
        <v>0</v>
      </c>
      <c r="AB18" s="117" t="n">
        <f aca="false">SUMIFS(الريسبي!$C$2:$C$1800,الريسبي!$A$2:$A$1800,$A18,الريسبي!$B$2:$B$1800,AB$1)</f>
        <v>0</v>
      </c>
      <c r="AC18" s="117" t="n">
        <f aca="false">SUMIFS(الريسبي!$C$2:$C$1800,الريسبي!$A$2:$A$1800,$A18,الريسبي!$B$2:$B$1800,AC$1)</f>
        <v>0</v>
      </c>
      <c r="AD18" s="117" t="n">
        <f aca="false">SUMIFS(الريسبي!$C$2:$C$1800,الريسبي!$A$2:$A$1800,$A18,الريسبي!$B$2:$B$1800,AD$1)</f>
        <v>0</v>
      </c>
      <c r="AE18" s="117" t="n">
        <f aca="false">SUMIFS(الريسبي!$C$2:$C$1800,الريسبي!$A$2:$A$1800,$A18,الريسبي!$B$2:$B$1800,AE$1)</f>
        <v>0</v>
      </c>
      <c r="AF18" s="117" t="n">
        <f aca="false">SUMIFS(الريسبي!$C$2:$C$1800,الريسبي!$A$2:$A$1800,$A18,الريسبي!$B$2:$B$1800,AF$1)</f>
        <v>0</v>
      </c>
      <c r="AG18" s="117" t="n">
        <f aca="false">SUMIFS(الريسبي!$C$2:$C$1800,الريسبي!$A$2:$A$1800,$A18,الريسبي!$B$2:$B$1800,AG$1)</f>
        <v>0</v>
      </c>
      <c r="AH18" s="117" t="n">
        <f aca="false">SUMIFS(الريسبي!$C$2:$C$1800,الريسبي!$A$2:$A$1800,$A18,الريسبي!$B$2:$B$1800,AH$1)</f>
        <v>0</v>
      </c>
      <c r="AI18" s="117" t="n">
        <f aca="false">SUMIFS(الريسبي!$C$2:$C$1800,الريسبي!$A$2:$A$1800,$A18,الريسبي!$B$2:$B$1800,AI$1)</f>
        <v>0</v>
      </c>
      <c r="AJ18" s="117" t="n">
        <f aca="false">SUMIFS(الريسبي!$C$2:$C$1800,الريسبي!$A$2:$A$1800,$A18,الريسبي!$B$2:$B$1800,AJ$1)</f>
        <v>2</v>
      </c>
      <c r="AK18" s="117" t="n">
        <f aca="false">SUMIFS(الريسبي!$C$2:$C$1800,الريسبي!$A$2:$A$1800,$A18,الريسبي!$B$2:$B$1800,AK$1)</f>
        <v>0</v>
      </c>
      <c r="AL18" s="117" t="n">
        <f aca="false">SUMIFS(الريسبي!$C$2:$C$1800,الريسبي!$A$2:$A$1800,$A18,الريسبي!$B$2:$B$1800,AL$1)</f>
        <v>0</v>
      </c>
      <c r="AM18" s="117" t="n">
        <f aca="false">SUMIFS(الريسبي!$C$2:$C$1800,الريسبي!$A$2:$A$1800,$A18,الريسبي!$B$2:$B$1800,AM$1)+0.08333333333*SUMIFS(الريسبي!$C$2:$C$1800,الريسبي!$A$2:$A$1800,$A18,الريسبي!$B$2:$B$1800,"عجين كريب (مصنع بالمطعم)")+0.08333333333*SUMIFS(الريسبي!$C$2:$C$1800,الريسبي!$A$2:$A$1800,$A18,الريسبي!$B$2:$B$1800,"عجين كريب صيامي (بدون لبن)")</f>
        <v>0</v>
      </c>
      <c r="AN18" s="117" t="n">
        <f aca="false">SUMIFS(الريسبي!$C$2:$C$1800,الريسبي!$A$2:$A$1800,$A18,الريسبي!$B$2:$B$1800,AN$1)+0.004166666667*SUMIFS(الريسبي!$C$2:$C$1800,الريسبي!$A$2:$A$1800,$A18,الريسبي!$B$2:$B$1800,"عجين كريب (مصنع بالمطعم)")+0.004166666667*SUMIFS(الريسبي!$C$2:$C$1800,الريسبي!$A$2:$A$1800,$A18,الريسبي!$B$2:$B$1800,"عجين كريب صيامي (بدون لبن)")</f>
        <v>0</v>
      </c>
      <c r="AO18" s="117" t="n">
        <f aca="false">SUMIFS(الريسبي!$C$2:$C$1800,الريسبي!$A$2:$A$1800,$A18,الريسبي!$B$2:$B$1800,AO$1)</f>
        <v>0</v>
      </c>
      <c r="AP18" s="117" t="n">
        <f aca="false">SUMIFS(الريسبي!$C$2:$C$1800,الريسبي!$A$2:$A$1800,$A18,الريسبي!$B$2:$B$1800,AP$1)</f>
        <v>0.02</v>
      </c>
      <c r="AQ18" s="117" t="n">
        <f aca="false">SUMIFS(الريسبي!$C$2:$C$1800,الريسبي!$A$2:$A$1800,$A18,الريسبي!$B$2:$B$1800,AQ$1)+0.004166666667*SUMIFS(الريسبي!$C$2:$C$1800,الريسبي!$A$2:$A$1800,$A18,الريسبي!$B$2:$B$1800,"عجين كريب (مصنع بالمطعم)")+0.004166666667*SUMIFS(الريسبي!$C$2:$C$1800,الريسبي!$A$2:$A$1800,$A18,الريسبي!$B$2:$B$1800,"عجين كريب صيامي (بدون لبن)")</f>
        <v>0</v>
      </c>
      <c r="AR18" s="117" t="n">
        <f aca="false">SUMIFS(الريسبي!$C$2:$C$1800,الريسبي!$A$2:$A$1800,$A18,الريسبي!$B$2:$B$1800,AR$1)</f>
        <v>0</v>
      </c>
      <c r="AS18" s="117" t="n">
        <f aca="false">SUMIFS(الريسبي!$C$2:$C$1800,الريسبي!$A$2:$A$1800,$A18,الريسبي!$B$2:$B$1800,AS$1)</f>
        <v>0</v>
      </c>
      <c r="AT18" s="117" t="n">
        <f aca="false">SUMIFS(الريسبي!$C$2:$C$1800,الريسبي!$A$2:$A$1800,$A18,الريسبي!$B$2:$B$1800,AT$1)</f>
        <v>0</v>
      </c>
      <c r="AU18" s="117" t="n">
        <f aca="false">SUMIFS(الريسبي!$C$2:$C$1800,الريسبي!$A$2:$A$1800,$A18,الريسبي!$B$2:$B$1800,AU$1)</f>
        <v>0</v>
      </c>
      <c r="AV18" s="117" t="n">
        <f aca="false">SUMIFS(الريسبي!$C$2:$C$1800,الريسبي!$A$2:$A$1800,$A18,الريسبي!$B$2:$B$1800,AV$1)</f>
        <v>0</v>
      </c>
      <c r="AW18" s="117" t="n">
        <f aca="false">SUMIFS(الريسبي!$C$2:$C$1800,الريسبي!$A$2:$A$1800,$A18,الريسبي!$B$2:$B$1800,AW$1)</f>
        <v>0</v>
      </c>
      <c r="AX18" s="117" t="n">
        <f aca="false">SUMIFS(الريسبي!$C$2:$C$1800,الريسبي!$A$2:$A$1800,$A18,الريسبي!$B$2:$B$1800,AX$1)</f>
        <v>0.04</v>
      </c>
      <c r="AY18" s="117" t="n">
        <f aca="false">SUMIFS(الريسبي!$C$2:$C$1800,الريسبي!$A$2:$A$1800,$A18,الريسبي!$B$2:$B$1800,AY$1)</f>
        <v>0</v>
      </c>
      <c r="AZ18" s="117" t="n">
        <f aca="false">SUMIFS(الريسبي!$C$2:$C$1800,الريسبي!$A$2:$A$1800,$A18,الريسبي!$B$2:$B$1800,AZ$1)</f>
        <v>0</v>
      </c>
      <c r="BA18" s="117" t="n">
        <f aca="false">SUMIFS(الريسبي!$C$2:$C$1800,الريسبي!$A$2:$A$1800,$A18,الريسبي!$B$2:$B$1800,BA$1)</f>
        <v>0</v>
      </c>
      <c r="BB18" s="117" t="n">
        <f aca="false">SUMIFS(الريسبي!$C$2:$C$1800,الريسبي!$A$2:$A$1800,$A18,الريسبي!$B$2:$B$1800,BB$1)</f>
        <v>0.1</v>
      </c>
      <c r="BC18" s="117" t="n">
        <f aca="false">SUMIFS(الريسبي!$C$2:$C$1800,الريسبي!$A$2:$A$1800,$A18,الريسبي!$B$2:$B$1800,BC$1)</f>
        <v>0.03</v>
      </c>
      <c r="BD18" s="117" t="n">
        <f aca="false">SUMIFS(الريسبي!$C$2:$C$1800,الريسبي!$A$2:$A$1800,$A18,الريسبي!$B$2:$B$1800,BD$1)</f>
        <v>0.22</v>
      </c>
      <c r="BE18" s="117" t="n">
        <f aca="false">SUMIFS(الريسبي!$C$2:$C$1800,الريسبي!$A$2:$A$1800,$A18,الريسبي!$B$2:$B$1800,BE$1)</f>
        <v>0</v>
      </c>
      <c r="BF18" s="117" t="n">
        <f aca="false">SUMIFS(الريسبي!$C$2:$C$1800,الريسبي!$A$2:$A$1800,$A18,الريسبي!$B$2:$B$1800,BF$1)</f>
        <v>0</v>
      </c>
      <c r="BG18" s="117" t="n">
        <f aca="false">SUMIFS(الريسبي!$C$2:$C$1800,الريسبي!$A$2:$A$1800,$A18,الريسبي!$B$2:$B$1800,BG$1)</f>
        <v>0</v>
      </c>
      <c r="BH18" s="117" t="n">
        <f aca="false">SUMIFS(الريسبي!$C$2:$C$1800,الريسبي!$A$2:$A$1800,$A18,الريسبي!$B$2:$B$1800,BH$1)</f>
        <v>1</v>
      </c>
      <c r="BI18" s="117" t="n">
        <f aca="false">SUMIFS(الريسبي!$C$2:$C$1800,الريسبي!$A$2:$A$1800,$A18,الريسبي!$B$2:$B$1800,BI$1)</f>
        <v>0</v>
      </c>
      <c r="BJ18" s="117" t="n">
        <f aca="false">SUMIFS(الريسبي!$C$2:$C$1800,الريسبي!$A$2:$A$1800,$A18,الريسبي!$B$2:$B$1800,BJ$1)</f>
        <v>0</v>
      </c>
      <c r="BK18" s="117" t="n">
        <f aca="false">SUMIFS(الريسبي!$C$2:$C$1800,الريسبي!$A$2:$A$1800,$A18,الريسبي!$B$2:$B$1800,BK$1)</f>
        <v>0</v>
      </c>
      <c r="BL18" s="117" t="n">
        <f aca="false">SUMIFS(الريسبي!$C$2:$C$1800,الريسبي!$A$2:$A$1800,$A18,الريسبي!$B$2:$B$1800,BL$1)</f>
        <v>0</v>
      </c>
      <c r="BM18" s="117" t="n">
        <f aca="false">SUMIFS(الريسبي!$C$2:$C$1800,الريسبي!$A$2:$A$1800,$A18,الريسبي!$B$2:$B$1800,BM$1)</f>
        <v>0</v>
      </c>
      <c r="BN18" s="117" t="n">
        <f aca="false">SUMIFS(الريسبي!$C$2:$C$1800,الريسبي!$A$2:$A$1800,$A18,الريسبي!$B$2:$B$1800,BN$1)</f>
        <v>0.02</v>
      </c>
      <c r="BO18" s="117" t="n">
        <f aca="false">SUMIFS(الريسبي!$C$2:$C$1800,الريسبي!$A$2:$A$1800,$A18,الريسبي!$B$2:$B$1800,BO$1)</f>
        <v>0</v>
      </c>
      <c r="BP18" s="117" t="n">
        <f aca="false">SUMIFS(الريسبي!$C$2:$C$1800,الريسبي!$A$2:$A$1800,$A18,الريسبي!$B$2:$B$1800,BP$1)</f>
        <v>2</v>
      </c>
      <c r="BQ18" s="117" t="n">
        <f aca="false">SUMIFS(الريسبي!$C$2:$C$1800,الريسبي!$A$2:$A$1800,$A18,الريسبي!$B$2:$B$1800,BQ$1)+0.17*SUMIFS(الريسبي!$C$2:$C$1800,الريسبي!$A$2:$A$1800,$A18,الريسبي!$B$2:$B$1800,"كاسترد مصنع (خليط بودر + لبن)")+0.17*SUMIFS(الريسبي!$C$2:$C$1800,الريسبي!$A$2:$A$1800,$A18,الريسبي!$B$2:$B$1800,"كاسترد مصنع صيامي (بدون لبن)")</f>
        <v>0</v>
      </c>
      <c r="BR18" s="117" t="n">
        <f aca="false">SUMIFS(الريسبي!$C$2:$C$1800,الريسبي!$A$2:$A$1800,$A18,الريسبي!$B$2:$B$1800,BR$1)</f>
        <v>1</v>
      </c>
      <c r="BS18" s="117" t="n">
        <f aca="false">SUMIFS(الريسبي!$C$2:$C$1800,الريسبي!$A$2:$A$1800,$A18,الريسبي!$B$2:$B$1800,BS$1)</f>
        <v>0</v>
      </c>
      <c r="BT18" s="117" t="n">
        <f aca="false">SUMIFS(الريسبي!$C$2:$C$1800,الريسبي!$A$2:$A$1800,$A18,الريسبي!$B$2:$B$1800,BT$1)</f>
        <v>0</v>
      </c>
      <c r="BU18" s="117" t="n">
        <f aca="false">SUMIFS(الريسبي!$C$2:$C$1800,الريسبي!$A$2:$A$1800,$A18,الريسبي!$B$2:$B$1800,BU$1)+0.4*SUMIFS(الريسبي!$C$2:$C$1800,الريسبي!$A$2:$A$1800,$A18,الريسبي!$B$2:$B$1800,"كاسترد مصنع (خليط بودر + لبن)")+0.03333333333*SUMIFS(الريسبي!$C$2:$C$1800,الريسبي!$A$2:$A$1800,$A18,الريسبي!$B$2:$B$1800,"عجين كريب (مصنع بالمطعم)")</f>
        <v>0</v>
      </c>
      <c r="BV18" s="117" t="n">
        <f aca="false">SUMIFS(الريسبي!$C$2:$C$1800,الريسبي!$A$2:$A$1800,$A18,الريسبي!$B$2:$B$1800,BV$1)</f>
        <v>0</v>
      </c>
      <c r="BW18" s="117" t="n">
        <f aca="false">SUMIFS(الريسبي!$C$2:$C$1800,الريسبي!$A$2:$A$1800,$A18,الريسبي!$B$2:$B$1800,BW$1)</f>
        <v>0</v>
      </c>
      <c r="BX18" s="117" t="n">
        <f aca="false">SUMIFS(الريسبي!$C$2:$C$1800,الريسبي!$A$2:$A$1800,$A18,الريسبي!$B$2:$B$1800,BX$1)</f>
        <v>0</v>
      </c>
      <c r="BY18" s="117" t="n">
        <f aca="false">SUMIFS(الريسبي!$C$2:$C$1800,الريسبي!$A$2:$A$1800,$A18,الريسبي!$B$2:$B$1800,BY$1)</f>
        <v>0</v>
      </c>
      <c r="BZ18" s="117" t="n">
        <f aca="false">SUMIFS(الريسبي!$C$2:$C$1800,الريسبي!$A$2:$A$1800,$A18,الريسبي!$B$2:$B$1800,BZ$1)</f>
        <v>0</v>
      </c>
      <c r="CA18" s="117" t="n">
        <f aca="false">SUMIFS(الريسبي!$C$2:$C$1800,الريسبي!$A$2:$A$1800,$A18,الريسبي!$B$2:$B$1800,CA$1)</f>
        <v>1</v>
      </c>
      <c r="CB18" s="117" t="n">
        <f aca="false">SUMIFS(الريسبي!$C$2:$C$1800,الريسبي!$A$2:$A$1800,$A18,الريسبي!$B$2:$B$1800,CB$1)</f>
        <v>1</v>
      </c>
      <c r="CC18" s="117" t="n">
        <f aca="false">SUMIFS(الريسبي!$C$2:$C$1800,الريسبي!$A$2:$A$1800,$A18,الريسبي!$B$2:$B$1800,CC$1)</f>
        <v>0</v>
      </c>
      <c r="CD18" s="117" t="n">
        <f aca="false">SUMIFS(الريسبي!$C$2:$C$1800,الريسبي!$A$2:$A$1800,$A18,الريسبي!$B$2:$B$1800,CD$1)</f>
        <v>0</v>
      </c>
      <c r="CE18" s="117" t="n">
        <f aca="false">SUMIFS(الريسبي!$C$2:$C$1800,الريسبي!$A$2:$A$1800,$A18,الريسبي!$B$2:$B$1800,CE$1)</f>
        <v>0</v>
      </c>
      <c r="CF18" s="117" t="n">
        <f aca="false">SUMIFS(الريسبي!$C$2:$C$1800,الريسبي!$A$2:$A$1800,$A18,الريسبي!$B$2:$B$1800,CF$1)</f>
        <v>0</v>
      </c>
      <c r="CG18" s="117" t="n">
        <f aca="false">SUMIFS(الريسبي!$C$2:$C$1800,الريسبي!$A$2:$A$1800,$A18,الريسبي!$B$2:$B$1800,CG$1)</f>
        <v>0</v>
      </c>
      <c r="CH18" s="117" t="n">
        <f aca="false">SUMIFS(الريسبي!$C$2:$C$1800,الريسبي!$A$2:$A$1800,$A18,الريسبي!$B$2:$B$1800,CH$1)</f>
        <v>0</v>
      </c>
      <c r="CI18" s="117" t="n">
        <f aca="false">SUMIFS(الريسبي!$C$2:$C$1800,الريسبي!$A$2:$A$1800,$A18,الريسبي!$B$2:$B$1800,CI$1)</f>
        <v>0</v>
      </c>
      <c r="CJ18" s="117" t="n">
        <f aca="false">SUMIFS(الريسبي!$C$2:$C$1800,الريسبي!$A$2:$A$1800,$A18,الريسبي!$B$2:$B$1800,CJ$1)</f>
        <v>0</v>
      </c>
      <c r="CK18" s="117" t="n">
        <f aca="false">SUMIFS(الريسبي!$C$2:$C$1800,الريسبي!$A$2:$A$1800,$A18,الريسبي!$B$2:$B$1800,CK$1)</f>
        <v>0</v>
      </c>
      <c r="CL18" s="117" t="n">
        <f aca="false">SUMIFS(الريسبي!$C$2:$C$1800,الريسبي!$A$2:$A$1800,$A18,الريسبي!$B$2:$B$1800,CL$1)</f>
        <v>0</v>
      </c>
    </row>
    <row r="19" customFormat="false" ht="15" hidden="false" customHeight="false" outlineLevel="0" collapsed="false">
      <c r="A19" s="116" t="str">
        <f aca="false">المنيو!B19</f>
        <v>بيتزا فراخ كريسبي شيدر حجم اكبر</v>
      </c>
      <c r="B19" s="117" t="n">
        <f aca="false">SUMIFS(الريسبي!$C$2:$C$1800,الريسبي!$A$2:$A$1800,$A19,الريسبي!$B$2:$B$1800,B$1)</f>
        <v>0</v>
      </c>
      <c r="C19" s="117" t="n">
        <f aca="false">SUMIFS(الريسبي!$C$2:$C$1800,الريسبي!$A$2:$A$1800,$A19,الريسبي!$B$2:$B$1800,C$1)</f>
        <v>0</v>
      </c>
      <c r="D19" s="117" t="n">
        <f aca="false">SUMIFS(الريسبي!$C$2:$C$1800,الريسبي!$A$2:$A$1800,$A19,الريسبي!$B$2:$B$1800,D$1)</f>
        <v>1</v>
      </c>
      <c r="E19" s="117" t="n">
        <f aca="false">SUMIFS(الريسبي!$C$2:$C$1800,الريسبي!$A$2:$A$1800,$A19,الريسبي!$B$2:$B$1800,E$1)</f>
        <v>0</v>
      </c>
      <c r="F19" s="117" t="n">
        <f aca="false">SUMIFS(الريسبي!$C$2:$C$1800,الريسبي!$A$2:$A$1800,$A19,الريسبي!$B$2:$B$1800,F$1)</f>
        <v>0</v>
      </c>
      <c r="G19" s="117" t="n">
        <f aca="false">SUMIFS(الريسبي!$C$2:$C$1800,الريسبي!$A$2:$A$1800,$A19,الريسبي!$B$2:$B$1800,G$1)</f>
        <v>0</v>
      </c>
      <c r="H19" s="117" t="n">
        <f aca="false">SUMIFS(الريسبي!$C$2:$C$1800,الريسبي!$A$2:$A$1800,$A19,الريسبي!$B$2:$B$1800,H$1)</f>
        <v>0</v>
      </c>
      <c r="I19" s="117" t="n">
        <f aca="false">SUMIFS(الريسبي!$C$2:$C$1800,الريسبي!$A$2:$A$1800,$A19,الريسبي!$B$2:$B$1800,I$1)</f>
        <v>0</v>
      </c>
      <c r="J19" s="117" t="n">
        <f aca="false">SUMIFS(الريسبي!$C$2:$C$1800,الريسبي!$A$2:$A$1800,$A19,الريسبي!$B$2:$B$1800,J$1)</f>
        <v>0</v>
      </c>
      <c r="K19" s="117" t="n">
        <f aca="false">SUMIFS(الريسبي!$C$2:$C$1800,الريسبي!$A$2:$A$1800,$A19,الريسبي!$B$2:$B$1800,K$1)</f>
        <v>0</v>
      </c>
      <c r="L19" s="117" t="n">
        <f aca="false">SUMIFS(الريسبي!$C$2:$C$1800,الريسبي!$A$2:$A$1800,$A19,الريسبي!$B$2:$B$1800,L$1)</f>
        <v>0</v>
      </c>
      <c r="M19" s="117" t="n">
        <f aca="false">SUMIFS(الريسبي!$C$2:$C$1800,الريسبي!$A$2:$A$1800,$A19,الريسبي!$B$2:$B$1800,M$1)</f>
        <v>0</v>
      </c>
      <c r="N19" s="117" t="n">
        <f aca="false">SUMIFS(الريسبي!$C$2:$C$1800,الريسبي!$A$2:$A$1800,$A19,الريسبي!$B$2:$B$1800,N$1)</f>
        <v>0</v>
      </c>
      <c r="O19" s="117" t="n">
        <f aca="false">SUMIFS(الريسبي!$C$2:$C$1800,الريسبي!$A$2:$A$1800,$A19,الريسبي!$B$2:$B$1800,O$1)</f>
        <v>0</v>
      </c>
      <c r="P19" s="117" t="n">
        <f aca="false">SUMIFS(الريسبي!$C$2:$C$1800,الريسبي!$A$2:$A$1800,$A19,الريسبي!$B$2:$B$1800,P$1)</f>
        <v>0</v>
      </c>
      <c r="Q19" s="117" t="n">
        <f aca="false">SUMIFS(الريسبي!$C$2:$C$1800,الريسبي!$A$2:$A$1800,$A19,الريسبي!$B$2:$B$1800,Q$1)</f>
        <v>0</v>
      </c>
      <c r="R19" s="117" t="n">
        <f aca="false">SUMIFS(الريسبي!$C$2:$C$1800,الريسبي!$A$2:$A$1800,$A19,الريسبي!$B$2:$B$1800,R$1)</f>
        <v>1</v>
      </c>
      <c r="S19" s="117" t="n">
        <f aca="false">SUMIFS(الريسبي!$C$2:$C$1800,الريسبي!$A$2:$A$1800,$A19,الريسبي!$B$2:$B$1800,S$1)</f>
        <v>0</v>
      </c>
      <c r="T19" s="117" t="n">
        <f aca="false">SUMIFS(الريسبي!$C$2:$C$1800,الريسبي!$A$2:$A$1800,$A19,الريسبي!$B$2:$B$1800,T$1)</f>
        <v>0</v>
      </c>
      <c r="U19" s="117" t="n">
        <f aca="false">SUMIFS(الريسبي!$C$2:$C$1800,الريسبي!$A$2:$A$1800,$A19,الريسبي!$B$2:$B$1800,U$1)</f>
        <v>0</v>
      </c>
      <c r="V19" s="117" t="n">
        <f aca="false">SUMIFS(الريسبي!$C$2:$C$1800,الريسبي!$A$2:$A$1800,$A19,الريسبي!$B$2:$B$1800,V$1)</f>
        <v>0</v>
      </c>
      <c r="W19" s="117" t="n">
        <f aca="false">SUMIFS(الريسبي!$C$2:$C$1800,الريسبي!$A$2:$A$1800,$A19,الريسبي!$B$2:$B$1800,W$1)</f>
        <v>1</v>
      </c>
      <c r="X19" s="117" t="n">
        <f aca="false">SUMIFS(الريسبي!$C$2:$C$1800,الريسبي!$A$2:$A$1800,$A19,الريسبي!$B$2:$B$1800,X$1)</f>
        <v>0</v>
      </c>
      <c r="Y19" s="117" t="n">
        <f aca="false">SUMIFS(الريسبي!$C$2:$C$1800,الريسبي!$A$2:$A$1800,$A19,الريسبي!$B$2:$B$1800,Y$1)</f>
        <v>0</v>
      </c>
      <c r="Z19" s="117" t="n">
        <f aca="false">SUMIFS(الريسبي!$C$2:$C$1800,الريسبي!$A$2:$A$1800,$A19,الريسبي!$B$2:$B$1800,Z$1)</f>
        <v>0</v>
      </c>
      <c r="AA19" s="117" t="n">
        <f aca="false">SUMIFS(الريسبي!$C$2:$C$1800,الريسبي!$A$2:$A$1800,$A19,الريسبي!$B$2:$B$1800,AA$1)</f>
        <v>0</v>
      </c>
      <c r="AB19" s="117" t="n">
        <f aca="false">SUMIFS(الريسبي!$C$2:$C$1800,الريسبي!$A$2:$A$1800,$A19,الريسبي!$B$2:$B$1800,AB$1)</f>
        <v>0</v>
      </c>
      <c r="AC19" s="117" t="n">
        <f aca="false">SUMIFS(الريسبي!$C$2:$C$1800,الريسبي!$A$2:$A$1800,$A19,الريسبي!$B$2:$B$1800,AC$1)</f>
        <v>0</v>
      </c>
      <c r="AD19" s="117" t="n">
        <f aca="false">SUMIFS(الريسبي!$C$2:$C$1800,الريسبي!$A$2:$A$1800,$A19,الريسبي!$B$2:$B$1800,AD$1)</f>
        <v>0</v>
      </c>
      <c r="AE19" s="117" t="n">
        <f aca="false">SUMIFS(الريسبي!$C$2:$C$1800,الريسبي!$A$2:$A$1800,$A19,الريسبي!$B$2:$B$1800,AE$1)</f>
        <v>0</v>
      </c>
      <c r="AF19" s="117" t="n">
        <f aca="false">SUMIFS(الريسبي!$C$2:$C$1800,الريسبي!$A$2:$A$1800,$A19,الريسبي!$B$2:$B$1800,AF$1)</f>
        <v>0</v>
      </c>
      <c r="AG19" s="117" t="n">
        <f aca="false">SUMIFS(الريسبي!$C$2:$C$1800,الريسبي!$A$2:$A$1800,$A19,الريسبي!$B$2:$B$1800,AG$1)</f>
        <v>0</v>
      </c>
      <c r="AH19" s="117" t="n">
        <f aca="false">SUMIFS(الريسبي!$C$2:$C$1800,الريسبي!$A$2:$A$1800,$A19,الريسبي!$B$2:$B$1800,AH$1)</f>
        <v>0</v>
      </c>
      <c r="AI19" s="117" t="n">
        <f aca="false">SUMIFS(الريسبي!$C$2:$C$1800,الريسبي!$A$2:$A$1800,$A19,الريسبي!$B$2:$B$1800,AI$1)</f>
        <v>0</v>
      </c>
      <c r="AJ19" s="117" t="n">
        <f aca="false">SUMIFS(الريسبي!$C$2:$C$1800,الريسبي!$A$2:$A$1800,$A19,الريسبي!$B$2:$B$1800,AJ$1)</f>
        <v>2</v>
      </c>
      <c r="AK19" s="117" t="n">
        <f aca="false">SUMIFS(الريسبي!$C$2:$C$1800,الريسبي!$A$2:$A$1800,$A19,الريسبي!$B$2:$B$1800,AK$1)</f>
        <v>0</v>
      </c>
      <c r="AL19" s="117" t="n">
        <f aca="false">SUMIFS(الريسبي!$C$2:$C$1800,الريسبي!$A$2:$A$1800,$A19,الريسبي!$B$2:$B$1800,AL$1)</f>
        <v>0</v>
      </c>
      <c r="AM19" s="117" t="n">
        <f aca="false">SUMIFS(الريسبي!$C$2:$C$1800,الريسبي!$A$2:$A$1800,$A19,الريسبي!$B$2:$B$1800,AM$1)+0.08333333333*SUMIFS(الريسبي!$C$2:$C$1800,الريسبي!$A$2:$A$1800,$A19,الريسبي!$B$2:$B$1800,"عجين كريب (مصنع بالمطعم)")+0.08333333333*SUMIFS(الريسبي!$C$2:$C$1800,الريسبي!$A$2:$A$1800,$A19,الريسبي!$B$2:$B$1800,"عجين كريب صيامي (بدون لبن)")</f>
        <v>0</v>
      </c>
      <c r="AN19" s="117" t="n">
        <f aca="false">SUMIFS(الريسبي!$C$2:$C$1800,الريسبي!$A$2:$A$1800,$A19,الريسبي!$B$2:$B$1800,AN$1)+0.004166666667*SUMIFS(الريسبي!$C$2:$C$1800,الريسبي!$A$2:$A$1800,$A19,الريسبي!$B$2:$B$1800,"عجين كريب (مصنع بالمطعم)")+0.004166666667*SUMIFS(الريسبي!$C$2:$C$1800,الريسبي!$A$2:$A$1800,$A19,الريسبي!$B$2:$B$1800,"عجين كريب صيامي (بدون لبن)")</f>
        <v>0</v>
      </c>
      <c r="AO19" s="117" t="n">
        <f aca="false">SUMIFS(الريسبي!$C$2:$C$1800,الريسبي!$A$2:$A$1800,$A19,الريسبي!$B$2:$B$1800,AO$1)</f>
        <v>0</v>
      </c>
      <c r="AP19" s="117" t="n">
        <f aca="false">SUMIFS(الريسبي!$C$2:$C$1800,الريسبي!$A$2:$A$1800,$A19,الريسبي!$B$2:$B$1800,AP$1)</f>
        <v>0.03</v>
      </c>
      <c r="AQ19" s="117" t="n">
        <f aca="false">SUMIFS(الريسبي!$C$2:$C$1800,الريسبي!$A$2:$A$1800,$A19,الريسبي!$B$2:$B$1800,AQ$1)+0.004166666667*SUMIFS(الريسبي!$C$2:$C$1800,الريسبي!$A$2:$A$1800,$A19,الريسبي!$B$2:$B$1800,"عجين كريب (مصنع بالمطعم)")+0.004166666667*SUMIFS(الريسبي!$C$2:$C$1800,الريسبي!$A$2:$A$1800,$A19,الريسبي!$B$2:$B$1800,"عجين كريب صيامي (بدون لبن)")</f>
        <v>0</v>
      </c>
      <c r="AR19" s="117" t="n">
        <f aca="false">SUMIFS(الريسبي!$C$2:$C$1800,الريسبي!$A$2:$A$1800,$A19,الريسبي!$B$2:$B$1800,AR$1)</f>
        <v>0</v>
      </c>
      <c r="AS19" s="117" t="n">
        <f aca="false">SUMIFS(الريسبي!$C$2:$C$1800,الريسبي!$A$2:$A$1800,$A19,الريسبي!$B$2:$B$1800,AS$1)</f>
        <v>0</v>
      </c>
      <c r="AT19" s="117" t="n">
        <f aca="false">SUMIFS(الريسبي!$C$2:$C$1800,الريسبي!$A$2:$A$1800,$A19,الريسبي!$B$2:$B$1800,AT$1)</f>
        <v>0</v>
      </c>
      <c r="AU19" s="117" t="n">
        <f aca="false">SUMIFS(الريسبي!$C$2:$C$1800,الريسبي!$A$2:$A$1800,$A19,الريسبي!$B$2:$B$1800,AU$1)</f>
        <v>0</v>
      </c>
      <c r="AV19" s="117" t="n">
        <f aca="false">SUMIFS(الريسبي!$C$2:$C$1800,الريسبي!$A$2:$A$1800,$A19,الريسبي!$B$2:$B$1800,AV$1)</f>
        <v>0</v>
      </c>
      <c r="AW19" s="117" t="n">
        <f aca="false">SUMIFS(الريسبي!$C$2:$C$1800,الريسبي!$A$2:$A$1800,$A19,الريسبي!$B$2:$B$1800,AW$1)</f>
        <v>0</v>
      </c>
      <c r="AX19" s="117" t="n">
        <f aca="false">SUMIFS(الريسبي!$C$2:$C$1800,الريسبي!$A$2:$A$1800,$A19,الريسبي!$B$2:$B$1800,AX$1)</f>
        <v>0.06</v>
      </c>
      <c r="AY19" s="117" t="n">
        <f aca="false">SUMIFS(الريسبي!$C$2:$C$1800,الريسبي!$A$2:$A$1800,$A19,الريسبي!$B$2:$B$1800,AY$1)</f>
        <v>0</v>
      </c>
      <c r="AZ19" s="117" t="n">
        <f aca="false">SUMIFS(الريسبي!$C$2:$C$1800,الريسبي!$A$2:$A$1800,$A19,الريسبي!$B$2:$B$1800,AZ$1)</f>
        <v>0</v>
      </c>
      <c r="BA19" s="117" t="n">
        <f aca="false">SUMIFS(الريسبي!$C$2:$C$1800,الريسبي!$A$2:$A$1800,$A19,الريسبي!$B$2:$B$1800,BA$1)</f>
        <v>0</v>
      </c>
      <c r="BB19" s="117" t="n">
        <f aca="false">SUMIFS(الريسبي!$C$2:$C$1800,الريسبي!$A$2:$A$1800,$A19,الريسبي!$B$2:$B$1800,BB$1)</f>
        <v>0.15</v>
      </c>
      <c r="BC19" s="117" t="n">
        <f aca="false">SUMIFS(الريسبي!$C$2:$C$1800,الريسبي!$A$2:$A$1800,$A19,الريسبي!$B$2:$B$1800,BC$1)</f>
        <v>0.045</v>
      </c>
      <c r="BD19" s="117" t="n">
        <f aca="false">SUMIFS(الريسبي!$C$2:$C$1800,الريسبي!$A$2:$A$1800,$A19,الريسبي!$B$2:$B$1800,BD$1)</f>
        <v>0.3</v>
      </c>
      <c r="BE19" s="117" t="n">
        <f aca="false">SUMIFS(الريسبي!$C$2:$C$1800,الريسبي!$A$2:$A$1800,$A19,الريسبي!$B$2:$B$1800,BE$1)</f>
        <v>0</v>
      </c>
      <c r="BF19" s="117" t="n">
        <f aca="false">SUMIFS(الريسبي!$C$2:$C$1800,الريسبي!$A$2:$A$1800,$A19,الريسبي!$B$2:$B$1800,BF$1)</f>
        <v>0</v>
      </c>
      <c r="BG19" s="117" t="n">
        <f aca="false">SUMIFS(الريسبي!$C$2:$C$1800,الريسبي!$A$2:$A$1800,$A19,الريسبي!$B$2:$B$1800,BG$1)</f>
        <v>1</v>
      </c>
      <c r="BH19" s="117" t="n">
        <f aca="false">SUMIFS(الريسبي!$C$2:$C$1800,الريسبي!$A$2:$A$1800,$A19,الريسبي!$B$2:$B$1800,BH$1)</f>
        <v>0</v>
      </c>
      <c r="BI19" s="117" t="n">
        <f aca="false">SUMIFS(الريسبي!$C$2:$C$1800,الريسبي!$A$2:$A$1800,$A19,الريسبي!$B$2:$B$1800,BI$1)</f>
        <v>0</v>
      </c>
      <c r="BJ19" s="117" t="n">
        <f aca="false">SUMIFS(الريسبي!$C$2:$C$1800,الريسبي!$A$2:$A$1800,$A19,الريسبي!$B$2:$B$1800,BJ$1)</f>
        <v>0</v>
      </c>
      <c r="BK19" s="117" t="n">
        <f aca="false">SUMIFS(الريسبي!$C$2:$C$1800,الريسبي!$A$2:$A$1800,$A19,الريسبي!$B$2:$B$1800,BK$1)</f>
        <v>0</v>
      </c>
      <c r="BL19" s="117" t="n">
        <f aca="false">SUMIFS(الريسبي!$C$2:$C$1800,الريسبي!$A$2:$A$1800,$A19,الريسبي!$B$2:$B$1800,BL$1)</f>
        <v>0</v>
      </c>
      <c r="BM19" s="117" t="n">
        <f aca="false">SUMIFS(الريسبي!$C$2:$C$1800,الريسبي!$A$2:$A$1800,$A19,الريسبي!$B$2:$B$1800,BM$1)</f>
        <v>0</v>
      </c>
      <c r="BN19" s="117" t="n">
        <f aca="false">SUMIFS(الريسبي!$C$2:$C$1800,الريسبي!$A$2:$A$1800,$A19,الريسبي!$B$2:$B$1800,BN$1)</f>
        <v>0.03</v>
      </c>
      <c r="BO19" s="117" t="n">
        <f aca="false">SUMIFS(الريسبي!$C$2:$C$1800,الريسبي!$A$2:$A$1800,$A19,الريسبي!$B$2:$B$1800,BO$1)</f>
        <v>0</v>
      </c>
      <c r="BP19" s="117" t="n">
        <f aca="false">SUMIFS(الريسبي!$C$2:$C$1800,الريسبي!$A$2:$A$1800,$A19,الريسبي!$B$2:$B$1800,BP$1)</f>
        <v>3</v>
      </c>
      <c r="BQ19" s="117" t="n">
        <f aca="false">SUMIFS(الريسبي!$C$2:$C$1800,الريسبي!$A$2:$A$1800,$A19,الريسبي!$B$2:$B$1800,BQ$1)+0.17*SUMIFS(الريسبي!$C$2:$C$1800,الريسبي!$A$2:$A$1800,$A19,الريسبي!$B$2:$B$1800,"كاسترد مصنع (خليط بودر + لبن)")+0.17*SUMIFS(الريسبي!$C$2:$C$1800,الريسبي!$A$2:$A$1800,$A19,الريسبي!$B$2:$B$1800,"كاسترد مصنع صيامي (بدون لبن)")</f>
        <v>0</v>
      </c>
      <c r="BR19" s="117" t="n">
        <f aca="false">SUMIFS(الريسبي!$C$2:$C$1800,الريسبي!$A$2:$A$1800,$A19,الريسبي!$B$2:$B$1800,BR$1)</f>
        <v>1</v>
      </c>
      <c r="BS19" s="117" t="n">
        <f aca="false">SUMIFS(الريسبي!$C$2:$C$1800,الريسبي!$A$2:$A$1800,$A19,الريسبي!$B$2:$B$1800,BS$1)</f>
        <v>0</v>
      </c>
      <c r="BT19" s="117" t="n">
        <f aca="false">SUMIFS(الريسبي!$C$2:$C$1800,الريسبي!$A$2:$A$1800,$A19,الريسبي!$B$2:$B$1800,BT$1)</f>
        <v>0</v>
      </c>
      <c r="BU19" s="117" t="n">
        <f aca="false">SUMIFS(الريسبي!$C$2:$C$1800,الريسبي!$A$2:$A$1800,$A19,الريسبي!$B$2:$B$1800,BU$1)+0.4*SUMIFS(الريسبي!$C$2:$C$1800,الريسبي!$A$2:$A$1800,$A19,الريسبي!$B$2:$B$1800,"كاسترد مصنع (خليط بودر + لبن)")+0.03333333333*SUMIFS(الريسبي!$C$2:$C$1800,الريسبي!$A$2:$A$1800,$A19,الريسبي!$B$2:$B$1800,"عجين كريب (مصنع بالمطعم)")</f>
        <v>0</v>
      </c>
      <c r="BV19" s="117" t="n">
        <f aca="false">SUMIFS(الريسبي!$C$2:$C$1800,الريسبي!$A$2:$A$1800,$A19,الريسبي!$B$2:$B$1800,BV$1)</f>
        <v>0</v>
      </c>
      <c r="BW19" s="117" t="n">
        <f aca="false">SUMIFS(الريسبي!$C$2:$C$1800,الريسبي!$A$2:$A$1800,$A19,الريسبي!$B$2:$B$1800,BW$1)</f>
        <v>0</v>
      </c>
      <c r="BX19" s="117" t="n">
        <f aca="false">SUMIFS(الريسبي!$C$2:$C$1800,الريسبي!$A$2:$A$1800,$A19,الريسبي!$B$2:$B$1800,BX$1)</f>
        <v>0</v>
      </c>
      <c r="BY19" s="117" t="n">
        <f aca="false">SUMIFS(الريسبي!$C$2:$C$1800,الريسبي!$A$2:$A$1800,$A19,الريسبي!$B$2:$B$1800,BY$1)</f>
        <v>0</v>
      </c>
      <c r="BZ19" s="117" t="n">
        <f aca="false">SUMIFS(الريسبي!$C$2:$C$1800,الريسبي!$A$2:$A$1800,$A19,الريسبي!$B$2:$B$1800,BZ$1)</f>
        <v>0</v>
      </c>
      <c r="CA19" s="117" t="n">
        <f aca="false">SUMIFS(الريسبي!$C$2:$C$1800,الريسبي!$A$2:$A$1800,$A19,الريسبي!$B$2:$B$1800,CA$1)</f>
        <v>1</v>
      </c>
      <c r="CB19" s="117" t="n">
        <f aca="false">SUMIFS(الريسبي!$C$2:$C$1800,الريسبي!$A$2:$A$1800,$A19,الريسبي!$B$2:$B$1800,CB$1)</f>
        <v>1</v>
      </c>
      <c r="CC19" s="117" t="n">
        <f aca="false">SUMIFS(الريسبي!$C$2:$C$1800,الريسبي!$A$2:$A$1800,$A19,الريسبي!$B$2:$B$1800,CC$1)</f>
        <v>0</v>
      </c>
      <c r="CD19" s="117" t="n">
        <f aca="false">SUMIFS(الريسبي!$C$2:$C$1800,الريسبي!$A$2:$A$1800,$A19,الريسبي!$B$2:$B$1800,CD$1)</f>
        <v>0</v>
      </c>
      <c r="CE19" s="117" t="n">
        <f aca="false">SUMIFS(الريسبي!$C$2:$C$1800,الريسبي!$A$2:$A$1800,$A19,الريسبي!$B$2:$B$1800,CE$1)</f>
        <v>0</v>
      </c>
      <c r="CF19" s="117" t="n">
        <f aca="false">SUMIFS(الريسبي!$C$2:$C$1800,الريسبي!$A$2:$A$1800,$A19,الريسبي!$B$2:$B$1800,CF$1)</f>
        <v>0</v>
      </c>
      <c r="CG19" s="117" t="n">
        <f aca="false">SUMIFS(الريسبي!$C$2:$C$1800,الريسبي!$A$2:$A$1800,$A19,الريسبي!$B$2:$B$1800,CG$1)</f>
        <v>0</v>
      </c>
      <c r="CH19" s="117" t="n">
        <f aca="false">SUMIFS(الريسبي!$C$2:$C$1800,الريسبي!$A$2:$A$1800,$A19,الريسبي!$B$2:$B$1800,CH$1)</f>
        <v>0</v>
      </c>
      <c r="CI19" s="117" t="n">
        <f aca="false">SUMIFS(الريسبي!$C$2:$C$1800,الريسبي!$A$2:$A$1800,$A19,الريسبي!$B$2:$B$1800,CI$1)</f>
        <v>0</v>
      </c>
      <c r="CJ19" s="117" t="n">
        <f aca="false">SUMIFS(الريسبي!$C$2:$C$1800,الريسبي!$A$2:$A$1800,$A19,الريسبي!$B$2:$B$1800,CJ$1)</f>
        <v>0</v>
      </c>
      <c r="CK19" s="117" t="n">
        <f aca="false">SUMIFS(الريسبي!$C$2:$C$1800,الريسبي!$A$2:$A$1800,$A19,الريسبي!$B$2:$B$1800,CK$1)</f>
        <v>0</v>
      </c>
      <c r="CL19" s="117" t="n">
        <f aca="false">SUMIFS(الريسبي!$C$2:$C$1800,الريسبي!$A$2:$A$1800,$A19,الريسبي!$B$2:$B$1800,CL$1)</f>
        <v>0</v>
      </c>
    </row>
    <row r="20" customFormat="false" ht="15" hidden="false" customHeight="false" outlineLevel="0" collapsed="false">
      <c r="A20" s="116" t="str">
        <f aca="false">المنيو!B20</f>
        <v>بيتزا مشكل لحوم النكش وسط</v>
      </c>
      <c r="B20" s="117" t="n">
        <f aca="false">SUMIFS(الريسبي!$C$2:$C$1800,الريسبي!$A$2:$A$1800,$A20,الريسبي!$B$2:$B$1800,B$1)</f>
        <v>0</v>
      </c>
      <c r="C20" s="117" t="n">
        <f aca="false">SUMIFS(الريسبي!$C$2:$C$1800,الريسبي!$A$2:$A$1800,$A20,الريسبي!$B$2:$B$1800,C$1)</f>
        <v>0</v>
      </c>
      <c r="D20" s="117" t="n">
        <f aca="false">SUMIFS(الريسبي!$C$2:$C$1800,الريسبي!$A$2:$A$1800,$A20,الريسبي!$B$2:$B$1800,D$1)</f>
        <v>1</v>
      </c>
      <c r="E20" s="117" t="n">
        <f aca="false">SUMIFS(الريسبي!$C$2:$C$1800,الريسبي!$A$2:$A$1800,$A20,الريسبي!$B$2:$B$1800,E$1)</f>
        <v>0</v>
      </c>
      <c r="F20" s="117" t="n">
        <f aca="false">SUMIFS(الريسبي!$C$2:$C$1800,الريسبي!$A$2:$A$1800,$A20,الريسبي!$B$2:$B$1800,F$1)</f>
        <v>0</v>
      </c>
      <c r="G20" s="117" t="n">
        <f aca="false">SUMIFS(الريسبي!$C$2:$C$1800,الريسبي!$A$2:$A$1800,$A20,الريسبي!$B$2:$B$1800,G$1)</f>
        <v>1</v>
      </c>
      <c r="H20" s="117" t="n">
        <f aca="false">SUMIFS(الريسبي!$C$2:$C$1800,الريسبي!$A$2:$A$1800,$A20,الريسبي!$B$2:$B$1800,H$1)</f>
        <v>0</v>
      </c>
      <c r="I20" s="117" t="n">
        <f aca="false">SUMIFS(الريسبي!$C$2:$C$1800,الريسبي!$A$2:$A$1800,$A20,الريسبي!$B$2:$B$1800,I$1)</f>
        <v>0</v>
      </c>
      <c r="J20" s="117" t="n">
        <f aca="false">SUMIFS(الريسبي!$C$2:$C$1800,الريسبي!$A$2:$A$1800,$A20,الريسبي!$B$2:$B$1800,J$1)</f>
        <v>0</v>
      </c>
      <c r="K20" s="117" t="n">
        <f aca="false">SUMIFS(الريسبي!$C$2:$C$1800,الريسبي!$A$2:$A$1800,$A20,الريسبي!$B$2:$B$1800,K$1)</f>
        <v>0</v>
      </c>
      <c r="L20" s="117" t="n">
        <f aca="false">SUMIFS(الريسبي!$C$2:$C$1800,الريسبي!$A$2:$A$1800,$A20,الريسبي!$B$2:$B$1800,L$1)</f>
        <v>1</v>
      </c>
      <c r="M20" s="117" t="n">
        <f aca="false">SUMIFS(الريسبي!$C$2:$C$1800,الريسبي!$A$2:$A$1800,$A20,الريسبي!$B$2:$B$1800,M$1)</f>
        <v>0</v>
      </c>
      <c r="N20" s="117" t="n">
        <f aca="false">SUMIFS(الريسبي!$C$2:$C$1800,الريسبي!$A$2:$A$1800,$A20,الريسبي!$B$2:$B$1800,N$1)</f>
        <v>0</v>
      </c>
      <c r="O20" s="117" t="n">
        <f aca="false">SUMIFS(الريسبي!$C$2:$C$1800,الريسبي!$A$2:$A$1800,$A20,الريسبي!$B$2:$B$1800,O$1)</f>
        <v>0</v>
      </c>
      <c r="P20" s="117" t="n">
        <f aca="false">SUMIFS(الريسبي!$C$2:$C$1800,الريسبي!$A$2:$A$1800,$A20,الريسبي!$B$2:$B$1800,P$1)</f>
        <v>0</v>
      </c>
      <c r="Q20" s="117" t="n">
        <f aca="false">SUMIFS(الريسبي!$C$2:$C$1800,الريسبي!$A$2:$A$1800,$A20,الريسبي!$B$2:$B$1800,Q$1)</f>
        <v>0</v>
      </c>
      <c r="R20" s="117" t="n">
        <f aca="false">SUMIFS(الريسبي!$C$2:$C$1800,الريسبي!$A$2:$A$1800,$A20,الريسبي!$B$2:$B$1800,R$1)</f>
        <v>0</v>
      </c>
      <c r="S20" s="117" t="n">
        <f aca="false">SUMIFS(الريسبي!$C$2:$C$1800,الريسبي!$A$2:$A$1800,$A20,الريسبي!$B$2:$B$1800,S$1)</f>
        <v>0</v>
      </c>
      <c r="T20" s="117" t="n">
        <f aca="false">SUMIFS(الريسبي!$C$2:$C$1800,الريسبي!$A$2:$A$1800,$A20,الريسبي!$B$2:$B$1800,T$1)</f>
        <v>1</v>
      </c>
      <c r="U20" s="117" t="n">
        <f aca="false">SUMIFS(الريسبي!$C$2:$C$1800,الريسبي!$A$2:$A$1800,$A20,الريسبي!$B$2:$B$1800,U$1)</f>
        <v>0</v>
      </c>
      <c r="V20" s="117" t="n">
        <f aca="false">SUMIFS(الريسبي!$C$2:$C$1800,الريسبي!$A$2:$A$1800,$A20,الريسبي!$B$2:$B$1800,V$1)</f>
        <v>1</v>
      </c>
      <c r="W20" s="117" t="n">
        <f aca="false">SUMIFS(الريسبي!$C$2:$C$1800,الريسبي!$A$2:$A$1800,$A20,الريسبي!$B$2:$B$1800,W$1)</f>
        <v>0</v>
      </c>
      <c r="X20" s="117" t="n">
        <f aca="false">SUMIFS(الريسبي!$C$2:$C$1800,الريسبي!$A$2:$A$1800,$A20,الريسبي!$B$2:$B$1800,X$1)</f>
        <v>0</v>
      </c>
      <c r="Y20" s="117" t="n">
        <f aca="false">SUMIFS(الريسبي!$C$2:$C$1800,الريسبي!$A$2:$A$1800,$A20,الريسبي!$B$2:$B$1800,Y$1)</f>
        <v>0</v>
      </c>
      <c r="Z20" s="117" t="n">
        <f aca="false">SUMIFS(الريسبي!$C$2:$C$1800,الريسبي!$A$2:$A$1800,$A20,الريسبي!$B$2:$B$1800,Z$1)</f>
        <v>0</v>
      </c>
      <c r="AA20" s="117" t="n">
        <f aca="false">SUMIFS(الريسبي!$C$2:$C$1800,الريسبي!$A$2:$A$1800,$A20,الريسبي!$B$2:$B$1800,AA$1)</f>
        <v>0</v>
      </c>
      <c r="AB20" s="117" t="n">
        <f aca="false">SUMIFS(الريسبي!$C$2:$C$1800,الريسبي!$A$2:$A$1800,$A20,الريسبي!$B$2:$B$1800,AB$1)</f>
        <v>0</v>
      </c>
      <c r="AC20" s="117" t="n">
        <f aca="false">SUMIFS(الريسبي!$C$2:$C$1800,الريسبي!$A$2:$A$1800,$A20,الريسبي!$B$2:$B$1800,AC$1)</f>
        <v>0</v>
      </c>
      <c r="AD20" s="117" t="n">
        <f aca="false">SUMIFS(الريسبي!$C$2:$C$1800,الريسبي!$A$2:$A$1800,$A20,الريسبي!$B$2:$B$1800,AD$1)</f>
        <v>0</v>
      </c>
      <c r="AE20" s="117" t="n">
        <f aca="false">SUMIFS(الريسبي!$C$2:$C$1800,الريسبي!$A$2:$A$1800,$A20,الريسبي!$B$2:$B$1800,AE$1)</f>
        <v>0</v>
      </c>
      <c r="AF20" s="117" t="n">
        <f aca="false">SUMIFS(الريسبي!$C$2:$C$1800,الريسبي!$A$2:$A$1800,$A20,الريسبي!$B$2:$B$1800,AF$1)</f>
        <v>0</v>
      </c>
      <c r="AG20" s="117" t="n">
        <f aca="false">SUMIFS(الريسبي!$C$2:$C$1800,الريسبي!$A$2:$A$1800,$A20,الريسبي!$B$2:$B$1800,AG$1)</f>
        <v>0</v>
      </c>
      <c r="AH20" s="117" t="n">
        <f aca="false">SUMIFS(الريسبي!$C$2:$C$1800,الريسبي!$A$2:$A$1800,$A20,الريسبي!$B$2:$B$1800,AH$1)</f>
        <v>0</v>
      </c>
      <c r="AI20" s="117" t="n">
        <f aca="false">SUMIFS(الريسبي!$C$2:$C$1800,الريسبي!$A$2:$A$1800,$A20,الريسبي!$B$2:$B$1800,AI$1)</f>
        <v>0</v>
      </c>
      <c r="AJ20" s="117" t="n">
        <f aca="false">SUMIFS(الريسبي!$C$2:$C$1800,الريسبي!$A$2:$A$1800,$A20,الريسبي!$B$2:$B$1800,AJ$1)</f>
        <v>2</v>
      </c>
      <c r="AK20" s="117" t="n">
        <f aca="false">SUMIFS(الريسبي!$C$2:$C$1800,الريسبي!$A$2:$A$1800,$A20,الريسبي!$B$2:$B$1800,AK$1)</f>
        <v>0</v>
      </c>
      <c r="AL20" s="117" t="n">
        <f aca="false">SUMIFS(الريسبي!$C$2:$C$1800,الريسبي!$A$2:$A$1800,$A20,الريسبي!$B$2:$B$1800,AL$1)</f>
        <v>0</v>
      </c>
      <c r="AM20" s="117" t="n">
        <f aca="false">SUMIFS(الريسبي!$C$2:$C$1800,الريسبي!$A$2:$A$1800,$A20,الريسبي!$B$2:$B$1800,AM$1)+0.08333333333*SUMIFS(الريسبي!$C$2:$C$1800,الريسبي!$A$2:$A$1800,$A20,الريسبي!$B$2:$B$1800,"عجين كريب (مصنع بالمطعم)")+0.08333333333*SUMIFS(الريسبي!$C$2:$C$1800,الريسبي!$A$2:$A$1800,$A20,الريسبي!$B$2:$B$1800,"عجين كريب صيامي (بدون لبن)")</f>
        <v>0</v>
      </c>
      <c r="AN20" s="117" t="n">
        <f aca="false">SUMIFS(الريسبي!$C$2:$C$1800,الريسبي!$A$2:$A$1800,$A20,الريسبي!$B$2:$B$1800,AN$1)+0.004166666667*SUMIFS(الريسبي!$C$2:$C$1800,الريسبي!$A$2:$A$1800,$A20,الريسبي!$B$2:$B$1800,"عجين كريب (مصنع بالمطعم)")+0.004166666667*SUMIFS(الريسبي!$C$2:$C$1800,الريسبي!$A$2:$A$1800,$A20,الريسبي!$B$2:$B$1800,"عجين كريب صيامي (بدون لبن)")</f>
        <v>0</v>
      </c>
      <c r="AO20" s="117" t="n">
        <f aca="false">SUMIFS(الريسبي!$C$2:$C$1800,الريسبي!$A$2:$A$1800,$A20,الريسبي!$B$2:$B$1800,AO$1)</f>
        <v>0</v>
      </c>
      <c r="AP20" s="117" t="n">
        <f aca="false">SUMIFS(الريسبي!$C$2:$C$1800,الريسبي!$A$2:$A$1800,$A20,الريسبي!$B$2:$B$1800,AP$1)</f>
        <v>0.02</v>
      </c>
      <c r="AQ20" s="117" t="n">
        <f aca="false">SUMIFS(الريسبي!$C$2:$C$1800,الريسبي!$A$2:$A$1800,$A20,الريسبي!$B$2:$B$1800,AQ$1)+0.004166666667*SUMIFS(الريسبي!$C$2:$C$1800,الريسبي!$A$2:$A$1800,$A20,الريسبي!$B$2:$B$1800,"عجين كريب (مصنع بالمطعم)")+0.004166666667*SUMIFS(الريسبي!$C$2:$C$1800,الريسبي!$A$2:$A$1800,$A20,الريسبي!$B$2:$B$1800,"عجين كريب صيامي (بدون لبن)")</f>
        <v>0</v>
      </c>
      <c r="AR20" s="117" t="n">
        <f aca="false">SUMIFS(الريسبي!$C$2:$C$1800,الريسبي!$A$2:$A$1800,$A20,الريسبي!$B$2:$B$1800,AR$1)</f>
        <v>0</v>
      </c>
      <c r="AS20" s="117" t="n">
        <f aca="false">SUMIFS(الريسبي!$C$2:$C$1800,الريسبي!$A$2:$A$1800,$A20,الريسبي!$B$2:$B$1800,AS$1)</f>
        <v>0</v>
      </c>
      <c r="AT20" s="117" t="n">
        <f aca="false">SUMIFS(الريسبي!$C$2:$C$1800,الريسبي!$A$2:$A$1800,$A20,الريسبي!$B$2:$B$1800,AT$1)</f>
        <v>0</v>
      </c>
      <c r="AU20" s="117" t="n">
        <f aca="false">SUMIFS(الريسبي!$C$2:$C$1800,الريسبي!$A$2:$A$1800,$A20,الريسبي!$B$2:$B$1800,AU$1)</f>
        <v>0</v>
      </c>
      <c r="AV20" s="117" t="n">
        <f aca="false">SUMIFS(الريسبي!$C$2:$C$1800,الريسبي!$A$2:$A$1800,$A20,الريسبي!$B$2:$B$1800,AV$1)</f>
        <v>0</v>
      </c>
      <c r="AW20" s="117" t="n">
        <f aca="false">SUMIFS(الريسبي!$C$2:$C$1800,الريسبي!$A$2:$A$1800,$A20,الريسبي!$B$2:$B$1800,AW$1)</f>
        <v>0</v>
      </c>
      <c r="AX20" s="117" t="n">
        <f aca="false">SUMIFS(الريسبي!$C$2:$C$1800,الريسبي!$A$2:$A$1800,$A20,الريسبي!$B$2:$B$1800,AX$1)</f>
        <v>0.04</v>
      </c>
      <c r="AY20" s="117" t="n">
        <f aca="false">SUMIFS(الريسبي!$C$2:$C$1800,الريسبي!$A$2:$A$1800,$A20,الريسبي!$B$2:$B$1800,AY$1)</f>
        <v>0</v>
      </c>
      <c r="AZ20" s="117" t="n">
        <f aca="false">SUMIFS(الريسبي!$C$2:$C$1800,الريسبي!$A$2:$A$1800,$A20,الريسبي!$B$2:$B$1800,AZ$1)</f>
        <v>0</v>
      </c>
      <c r="BA20" s="117" t="n">
        <f aca="false">SUMIFS(الريسبي!$C$2:$C$1800,الريسبي!$A$2:$A$1800,$A20,الريسبي!$B$2:$B$1800,BA$1)</f>
        <v>0</v>
      </c>
      <c r="BB20" s="117" t="n">
        <f aca="false">SUMIFS(الريسبي!$C$2:$C$1800,الريسبي!$A$2:$A$1800,$A20,الريسبي!$B$2:$B$1800,BB$1)</f>
        <v>0</v>
      </c>
      <c r="BC20" s="117" t="n">
        <f aca="false">SUMIFS(الريسبي!$C$2:$C$1800,الريسبي!$A$2:$A$1800,$A20,الريسبي!$B$2:$B$1800,BC$1)</f>
        <v>0.03</v>
      </c>
      <c r="BD20" s="117" t="n">
        <f aca="false">SUMIFS(الريسبي!$C$2:$C$1800,الريسبي!$A$2:$A$1800,$A20,الريسبي!$B$2:$B$1800,BD$1)</f>
        <v>0.22</v>
      </c>
      <c r="BE20" s="117" t="n">
        <f aca="false">SUMIFS(الريسبي!$C$2:$C$1800,الريسبي!$A$2:$A$1800,$A20,الريسبي!$B$2:$B$1800,BE$1)</f>
        <v>0</v>
      </c>
      <c r="BF20" s="117" t="n">
        <f aca="false">SUMIFS(الريسبي!$C$2:$C$1800,الريسبي!$A$2:$A$1800,$A20,الريسبي!$B$2:$B$1800,BF$1)</f>
        <v>0</v>
      </c>
      <c r="BG20" s="117" t="n">
        <f aca="false">SUMIFS(الريسبي!$C$2:$C$1800,الريسبي!$A$2:$A$1800,$A20,الريسبي!$B$2:$B$1800,BG$1)</f>
        <v>0</v>
      </c>
      <c r="BH20" s="117" t="n">
        <f aca="false">SUMIFS(الريسبي!$C$2:$C$1800,الريسبي!$A$2:$A$1800,$A20,الريسبي!$B$2:$B$1800,BH$1)</f>
        <v>1</v>
      </c>
      <c r="BI20" s="117" t="n">
        <f aca="false">SUMIFS(الريسبي!$C$2:$C$1800,الريسبي!$A$2:$A$1800,$A20,الريسبي!$B$2:$B$1800,BI$1)</f>
        <v>0</v>
      </c>
      <c r="BJ20" s="117" t="n">
        <f aca="false">SUMIFS(الريسبي!$C$2:$C$1800,الريسبي!$A$2:$A$1800,$A20,الريسبي!$B$2:$B$1800,BJ$1)</f>
        <v>0</v>
      </c>
      <c r="BK20" s="117" t="n">
        <f aca="false">SUMIFS(الريسبي!$C$2:$C$1800,الريسبي!$A$2:$A$1800,$A20,الريسبي!$B$2:$B$1800,BK$1)</f>
        <v>0</v>
      </c>
      <c r="BL20" s="117" t="n">
        <f aca="false">SUMIFS(الريسبي!$C$2:$C$1800,الريسبي!$A$2:$A$1800,$A20,الريسبي!$B$2:$B$1800,BL$1)</f>
        <v>0</v>
      </c>
      <c r="BM20" s="117" t="n">
        <f aca="false">SUMIFS(الريسبي!$C$2:$C$1800,الريسبي!$A$2:$A$1800,$A20,الريسبي!$B$2:$B$1800,BM$1)</f>
        <v>0</v>
      </c>
      <c r="BN20" s="117" t="n">
        <f aca="false">SUMIFS(الريسبي!$C$2:$C$1800,الريسبي!$A$2:$A$1800,$A20,الريسبي!$B$2:$B$1800,BN$1)</f>
        <v>0.02</v>
      </c>
      <c r="BO20" s="117" t="n">
        <f aca="false">SUMIFS(الريسبي!$C$2:$C$1800,الريسبي!$A$2:$A$1800,$A20,الريسبي!$B$2:$B$1800,BO$1)</f>
        <v>0</v>
      </c>
      <c r="BP20" s="117" t="n">
        <f aca="false">SUMIFS(الريسبي!$C$2:$C$1800,الريسبي!$A$2:$A$1800,$A20,الريسبي!$B$2:$B$1800,BP$1)</f>
        <v>2</v>
      </c>
      <c r="BQ20" s="117" t="n">
        <f aca="false">SUMIFS(الريسبي!$C$2:$C$1800,الريسبي!$A$2:$A$1800,$A20,الريسبي!$B$2:$B$1800,BQ$1)+0.17*SUMIFS(الريسبي!$C$2:$C$1800,الريسبي!$A$2:$A$1800,$A20,الريسبي!$B$2:$B$1800,"كاسترد مصنع (خليط بودر + لبن)")+0.17*SUMIFS(الريسبي!$C$2:$C$1800,الريسبي!$A$2:$A$1800,$A20,الريسبي!$B$2:$B$1800,"كاسترد مصنع صيامي (بدون لبن)")</f>
        <v>0</v>
      </c>
      <c r="BR20" s="117" t="n">
        <f aca="false">SUMIFS(الريسبي!$C$2:$C$1800,الريسبي!$A$2:$A$1800,$A20,الريسبي!$B$2:$B$1800,BR$1)</f>
        <v>1</v>
      </c>
      <c r="BS20" s="117" t="n">
        <f aca="false">SUMIFS(الريسبي!$C$2:$C$1800,الريسبي!$A$2:$A$1800,$A20,الريسبي!$B$2:$B$1800,BS$1)</f>
        <v>0</v>
      </c>
      <c r="BT20" s="117" t="n">
        <f aca="false">SUMIFS(الريسبي!$C$2:$C$1800,الريسبي!$A$2:$A$1800,$A20,الريسبي!$B$2:$B$1800,BT$1)</f>
        <v>0</v>
      </c>
      <c r="BU20" s="117" t="n">
        <f aca="false">SUMIFS(الريسبي!$C$2:$C$1800,الريسبي!$A$2:$A$1800,$A20,الريسبي!$B$2:$B$1800,BU$1)+0.4*SUMIFS(الريسبي!$C$2:$C$1800,الريسبي!$A$2:$A$1800,$A20,الريسبي!$B$2:$B$1800,"كاسترد مصنع (خليط بودر + لبن)")+0.03333333333*SUMIFS(الريسبي!$C$2:$C$1800,الريسبي!$A$2:$A$1800,$A20,الريسبي!$B$2:$B$1800,"عجين كريب (مصنع بالمطعم)")</f>
        <v>0</v>
      </c>
      <c r="BV20" s="117" t="n">
        <f aca="false">SUMIFS(الريسبي!$C$2:$C$1800,الريسبي!$A$2:$A$1800,$A20,الريسبي!$B$2:$B$1800,BV$1)</f>
        <v>0</v>
      </c>
      <c r="BW20" s="117" t="n">
        <f aca="false">SUMIFS(الريسبي!$C$2:$C$1800,الريسبي!$A$2:$A$1800,$A20,الريسبي!$B$2:$B$1800,BW$1)</f>
        <v>0</v>
      </c>
      <c r="BX20" s="117" t="n">
        <f aca="false">SUMIFS(الريسبي!$C$2:$C$1800,الريسبي!$A$2:$A$1800,$A20,الريسبي!$B$2:$B$1800,BX$1)</f>
        <v>0</v>
      </c>
      <c r="BY20" s="117" t="n">
        <f aca="false">SUMIFS(الريسبي!$C$2:$C$1800,الريسبي!$A$2:$A$1800,$A20,الريسبي!$B$2:$B$1800,BY$1)</f>
        <v>0</v>
      </c>
      <c r="BZ20" s="117" t="n">
        <f aca="false">SUMIFS(الريسبي!$C$2:$C$1800,الريسبي!$A$2:$A$1800,$A20,الريسبي!$B$2:$B$1800,BZ$1)</f>
        <v>0</v>
      </c>
      <c r="CA20" s="117" t="n">
        <f aca="false">SUMIFS(الريسبي!$C$2:$C$1800,الريسبي!$A$2:$A$1800,$A20,الريسبي!$B$2:$B$1800,CA$1)</f>
        <v>1</v>
      </c>
      <c r="CB20" s="117" t="n">
        <f aca="false">SUMIFS(الريسبي!$C$2:$C$1800,الريسبي!$A$2:$A$1800,$A20,الريسبي!$B$2:$B$1800,CB$1)</f>
        <v>1</v>
      </c>
      <c r="CC20" s="117" t="n">
        <f aca="false">SUMIFS(الريسبي!$C$2:$C$1800,الريسبي!$A$2:$A$1800,$A20,الريسبي!$B$2:$B$1800,CC$1)</f>
        <v>0</v>
      </c>
      <c r="CD20" s="117" t="n">
        <f aca="false">SUMIFS(الريسبي!$C$2:$C$1800,الريسبي!$A$2:$A$1800,$A20,الريسبي!$B$2:$B$1800,CD$1)</f>
        <v>0</v>
      </c>
      <c r="CE20" s="117" t="n">
        <f aca="false">SUMIFS(الريسبي!$C$2:$C$1800,الريسبي!$A$2:$A$1800,$A20,الريسبي!$B$2:$B$1800,CE$1)</f>
        <v>0</v>
      </c>
      <c r="CF20" s="117" t="n">
        <f aca="false">SUMIFS(الريسبي!$C$2:$C$1800,الريسبي!$A$2:$A$1800,$A20,الريسبي!$B$2:$B$1800,CF$1)</f>
        <v>0</v>
      </c>
      <c r="CG20" s="117" t="n">
        <f aca="false">SUMIFS(الريسبي!$C$2:$C$1800,الريسبي!$A$2:$A$1800,$A20,الريسبي!$B$2:$B$1800,CG$1)</f>
        <v>0</v>
      </c>
      <c r="CH20" s="117" t="n">
        <f aca="false">SUMIFS(الريسبي!$C$2:$C$1800,الريسبي!$A$2:$A$1800,$A20,الريسبي!$B$2:$B$1800,CH$1)</f>
        <v>0</v>
      </c>
      <c r="CI20" s="117" t="n">
        <f aca="false">SUMIFS(الريسبي!$C$2:$C$1800,الريسبي!$A$2:$A$1800,$A20,الريسبي!$B$2:$B$1800,CI$1)</f>
        <v>0</v>
      </c>
      <c r="CJ20" s="117" t="n">
        <f aca="false">SUMIFS(الريسبي!$C$2:$C$1800,الريسبي!$A$2:$A$1800,$A20,الريسبي!$B$2:$B$1800,CJ$1)</f>
        <v>0</v>
      </c>
      <c r="CK20" s="117" t="n">
        <f aca="false">SUMIFS(الريسبي!$C$2:$C$1800,الريسبي!$A$2:$A$1800,$A20,الريسبي!$B$2:$B$1800,CK$1)</f>
        <v>0</v>
      </c>
      <c r="CL20" s="117" t="n">
        <f aca="false">SUMIFS(الريسبي!$C$2:$C$1800,الريسبي!$A$2:$A$1800,$A20,الريسبي!$B$2:$B$1800,CL$1)</f>
        <v>0</v>
      </c>
    </row>
    <row r="21" customFormat="false" ht="15" hidden="false" customHeight="false" outlineLevel="0" collapsed="false">
      <c r="A21" s="116" t="str">
        <f aca="false">المنيو!B21</f>
        <v>بيتزا مشكل لحوم النكش حجم اكبر</v>
      </c>
      <c r="B21" s="117" t="n">
        <f aca="false">SUMIFS(الريسبي!$C$2:$C$1800,الريسبي!$A$2:$A$1800,$A21,الريسبي!$B$2:$B$1800,B$1)</f>
        <v>0</v>
      </c>
      <c r="C21" s="117" t="n">
        <f aca="false">SUMIFS(الريسبي!$C$2:$C$1800,الريسبي!$A$2:$A$1800,$A21,الريسبي!$B$2:$B$1800,C$1)</f>
        <v>0</v>
      </c>
      <c r="D21" s="117" t="n">
        <f aca="false">SUMIFS(الريسبي!$C$2:$C$1800,الريسبي!$A$2:$A$1800,$A21,الريسبي!$B$2:$B$1800,D$1)</f>
        <v>1</v>
      </c>
      <c r="E21" s="117" t="n">
        <f aca="false">SUMIFS(الريسبي!$C$2:$C$1800,الريسبي!$A$2:$A$1800,$A21,الريسبي!$B$2:$B$1800,E$1)</f>
        <v>0</v>
      </c>
      <c r="F21" s="117" t="n">
        <f aca="false">SUMIFS(الريسبي!$C$2:$C$1800,الريسبي!$A$2:$A$1800,$A21,الريسبي!$B$2:$B$1800,F$1)</f>
        <v>0</v>
      </c>
      <c r="G21" s="117" t="n">
        <f aca="false">SUMIFS(الريسبي!$C$2:$C$1800,الريسبي!$A$2:$A$1800,$A21,الريسبي!$B$2:$B$1800,G$1)</f>
        <v>0</v>
      </c>
      <c r="H21" s="117" t="n">
        <f aca="false">SUMIFS(الريسبي!$C$2:$C$1800,الريسبي!$A$2:$A$1800,$A21,الريسبي!$B$2:$B$1800,H$1)</f>
        <v>1</v>
      </c>
      <c r="I21" s="117" t="n">
        <f aca="false">SUMIFS(الريسبي!$C$2:$C$1800,الريسبي!$A$2:$A$1800,$A21,الريسبي!$B$2:$B$1800,I$1)</f>
        <v>0</v>
      </c>
      <c r="J21" s="117" t="n">
        <f aca="false">SUMIFS(الريسبي!$C$2:$C$1800,الريسبي!$A$2:$A$1800,$A21,الريسبي!$B$2:$B$1800,J$1)</f>
        <v>0</v>
      </c>
      <c r="K21" s="117" t="n">
        <f aca="false">SUMIFS(الريسبي!$C$2:$C$1800,الريسبي!$A$2:$A$1800,$A21,الريسبي!$B$2:$B$1800,K$1)</f>
        <v>0</v>
      </c>
      <c r="L21" s="117" t="n">
        <f aca="false">SUMIFS(الريسبي!$C$2:$C$1800,الريسبي!$A$2:$A$1800,$A21,الريسبي!$B$2:$B$1800,L$1)</f>
        <v>0</v>
      </c>
      <c r="M21" s="117" t="n">
        <f aca="false">SUMIFS(الريسبي!$C$2:$C$1800,الريسبي!$A$2:$A$1800,$A21,الريسبي!$B$2:$B$1800,M$1)</f>
        <v>1</v>
      </c>
      <c r="N21" s="117" t="n">
        <f aca="false">SUMIFS(الريسبي!$C$2:$C$1800,الريسبي!$A$2:$A$1800,$A21,الريسبي!$B$2:$B$1800,N$1)</f>
        <v>0</v>
      </c>
      <c r="O21" s="117" t="n">
        <f aca="false">SUMIFS(الريسبي!$C$2:$C$1800,الريسبي!$A$2:$A$1800,$A21,الريسبي!$B$2:$B$1800,O$1)</f>
        <v>0</v>
      </c>
      <c r="P21" s="117" t="n">
        <f aca="false">SUMIFS(الريسبي!$C$2:$C$1800,الريسبي!$A$2:$A$1800,$A21,الريسبي!$B$2:$B$1800,P$1)</f>
        <v>0</v>
      </c>
      <c r="Q21" s="117" t="n">
        <f aca="false">SUMIFS(الريسبي!$C$2:$C$1800,الريسبي!$A$2:$A$1800,$A21,الريسبي!$B$2:$B$1800,Q$1)</f>
        <v>0</v>
      </c>
      <c r="R21" s="117" t="n">
        <f aca="false">SUMIFS(الريسبي!$C$2:$C$1800,الريسبي!$A$2:$A$1800,$A21,الريسبي!$B$2:$B$1800,R$1)</f>
        <v>0</v>
      </c>
      <c r="S21" s="117" t="n">
        <f aca="false">SUMIFS(الريسبي!$C$2:$C$1800,الريسبي!$A$2:$A$1800,$A21,الريسبي!$B$2:$B$1800,S$1)</f>
        <v>0</v>
      </c>
      <c r="T21" s="117" t="n">
        <f aca="false">SUMIFS(الريسبي!$C$2:$C$1800,الريسبي!$A$2:$A$1800,$A21,الريسبي!$B$2:$B$1800,T$1)</f>
        <v>1</v>
      </c>
      <c r="U21" s="117" t="n">
        <f aca="false">SUMIFS(الريسبي!$C$2:$C$1800,الريسبي!$A$2:$A$1800,$A21,الريسبي!$B$2:$B$1800,U$1)</f>
        <v>0</v>
      </c>
      <c r="V21" s="117" t="n">
        <f aca="false">SUMIFS(الريسبي!$C$2:$C$1800,الريسبي!$A$2:$A$1800,$A21,الريسبي!$B$2:$B$1800,V$1)</f>
        <v>0</v>
      </c>
      <c r="W21" s="117" t="n">
        <f aca="false">SUMIFS(الريسبي!$C$2:$C$1800,الريسبي!$A$2:$A$1800,$A21,الريسبي!$B$2:$B$1800,W$1)</f>
        <v>1</v>
      </c>
      <c r="X21" s="117" t="n">
        <f aca="false">SUMIFS(الريسبي!$C$2:$C$1800,الريسبي!$A$2:$A$1800,$A21,الريسبي!$B$2:$B$1800,X$1)</f>
        <v>0</v>
      </c>
      <c r="Y21" s="117" t="n">
        <f aca="false">SUMIFS(الريسبي!$C$2:$C$1800,الريسبي!$A$2:$A$1800,$A21,الريسبي!$B$2:$B$1800,Y$1)</f>
        <v>0</v>
      </c>
      <c r="Z21" s="117" t="n">
        <f aca="false">SUMIFS(الريسبي!$C$2:$C$1800,الريسبي!$A$2:$A$1800,$A21,الريسبي!$B$2:$B$1800,Z$1)</f>
        <v>0</v>
      </c>
      <c r="AA21" s="117" t="n">
        <f aca="false">SUMIFS(الريسبي!$C$2:$C$1800,الريسبي!$A$2:$A$1800,$A21,الريسبي!$B$2:$B$1800,AA$1)</f>
        <v>0</v>
      </c>
      <c r="AB21" s="117" t="n">
        <f aca="false">SUMIFS(الريسبي!$C$2:$C$1800,الريسبي!$A$2:$A$1800,$A21,الريسبي!$B$2:$B$1800,AB$1)</f>
        <v>0</v>
      </c>
      <c r="AC21" s="117" t="n">
        <f aca="false">SUMIFS(الريسبي!$C$2:$C$1800,الريسبي!$A$2:$A$1800,$A21,الريسبي!$B$2:$B$1800,AC$1)</f>
        <v>0</v>
      </c>
      <c r="AD21" s="117" t="n">
        <f aca="false">SUMIFS(الريسبي!$C$2:$C$1800,الريسبي!$A$2:$A$1800,$A21,الريسبي!$B$2:$B$1800,AD$1)</f>
        <v>0</v>
      </c>
      <c r="AE21" s="117" t="n">
        <f aca="false">SUMIFS(الريسبي!$C$2:$C$1800,الريسبي!$A$2:$A$1800,$A21,الريسبي!$B$2:$B$1800,AE$1)</f>
        <v>0</v>
      </c>
      <c r="AF21" s="117" t="n">
        <f aca="false">SUMIFS(الريسبي!$C$2:$C$1800,الريسبي!$A$2:$A$1800,$A21,الريسبي!$B$2:$B$1800,AF$1)</f>
        <v>0</v>
      </c>
      <c r="AG21" s="117" t="n">
        <f aca="false">SUMIFS(الريسبي!$C$2:$C$1800,الريسبي!$A$2:$A$1800,$A21,الريسبي!$B$2:$B$1800,AG$1)</f>
        <v>0</v>
      </c>
      <c r="AH21" s="117" t="n">
        <f aca="false">SUMIFS(الريسبي!$C$2:$C$1800,الريسبي!$A$2:$A$1800,$A21,الريسبي!$B$2:$B$1800,AH$1)</f>
        <v>0</v>
      </c>
      <c r="AI21" s="117" t="n">
        <f aca="false">SUMIFS(الريسبي!$C$2:$C$1800,الريسبي!$A$2:$A$1800,$A21,الريسبي!$B$2:$B$1800,AI$1)</f>
        <v>0</v>
      </c>
      <c r="AJ21" s="117" t="n">
        <f aca="false">SUMIFS(الريسبي!$C$2:$C$1800,الريسبي!$A$2:$A$1800,$A21,الريسبي!$B$2:$B$1800,AJ$1)</f>
        <v>2</v>
      </c>
      <c r="AK21" s="117" t="n">
        <f aca="false">SUMIFS(الريسبي!$C$2:$C$1800,الريسبي!$A$2:$A$1800,$A21,الريسبي!$B$2:$B$1800,AK$1)</f>
        <v>0</v>
      </c>
      <c r="AL21" s="117" t="n">
        <f aca="false">SUMIFS(الريسبي!$C$2:$C$1800,الريسبي!$A$2:$A$1800,$A21,الريسبي!$B$2:$B$1800,AL$1)</f>
        <v>0</v>
      </c>
      <c r="AM21" s="117" t="n">
        <f aca="false">SUMIFS(الريسبي!$C$2:$C$1800,الريسبي!$A$2:$A$1800,$A21,الريسبي!$B$2:$B$1800,AM$1)+0.08333333333*SUMIFS(الريسبي!$C$2:$C$1800,الريسبي!$A$2:$A$1800,$A21,الريسبي!$B$2:$B$1800,"عجين كريب (مصنع بالمطعم)")+0.08333333333*SUMIFS(الريسبي!$C$2:$C$1800,الريسبي!$A$2:$A$1800,$A21,الريسبي!$B$2:$B$1800,"عجين كريب صيامي (بدون لبن)")</f>
        <v>0</v>
      </c>
      <c r="AN21" s="117" t="n">
        <f aca="false">SUMIFS(الريسبي!$C$2:$C$1800,الريسبي!$A$2:$A$1800,$A21,الريسبي!$B$2:$B$1800,AN$1)+0.004166666667*SUMIFS(الريسبي!$C$2:$C$1800,الريسبي!$A$2:$A$1800,$A21,الريسبي!$B$2:$B$1800,"عجين كريب (مصنع بالمطعم)")+0.004166666667*SUMIFS(الريسبي!$C$2:$C$1800,الريسبي!$A$2:$A$1800,$A21,الريسبي!$B$2:$B$1800,"عجين كريب صيامي (بدون لبن)")</f>
        <v>0</v>
      </c>
      <c r="AO21" s="117" t="n">
        <f aca="false">SUMIFS(الريسبي!$C$2:$C$1800,الريسبي!$A$2:$A$1800,$A21,الريسبي!$B$2:$B$1800,AO$1)</f>
        <v>0</v>
      </c>
      <c r="AP21" s="117" t="n">
        <f aca="false">SUMIFS(الريسبي!$C$2:$C$1800,الريسبي!$A$2:$A$1800,$A21,الريسبي!$B$2:$B$1800,AP$1)</f>
        <v>0.03</v>
      </c>
      <c r="AQ21" s="117" t="n">
        <f aca="false">SUMIFS(الريسبي!$C$2:$C$1800,الريسبي!$A$2:$A$1800,$A21,الريسبي!$B$2:$B$1800,AQ$1)+0.004166666667*SUMIFS(الريسبي!$C$2:$C$1800,الريسبي!$A$2:$A$1800,$A21,الريسبي!$B$2:$B$1800,"عجين كريب (مصنع بالمطعم)")+0.004166666667*SUMIFS(الريسبي!$C$2:$C$1800,الريسبي!$A$2:$A$1800,$A21,الريسبي!$B$2:$B$1800,"عجين كريب صيامي (بدون لبن)")</f>
        <v>0</v>
      </c>
      <c r="AR21" s="117" t="n">
        <f aca="false">SUMIFS(الريسبي!$C$2:$C$1800,الريسبي!$A$2:$A$1800,$A21,الريسبي!$B$2:$B$1800,AR$1)</f>
        <v>0</v>
      </c>
      <c r="AS21" s="117" t="n">
        <f aca="false">SUMIFS(الريسبي!$C$2:$C$1800,الريسبي!$A$2:$A$1800,$A21,الريسبي!$B$2:$B$1800,AS$1)</f>
        <v>0</v>
      </c>
      <c r="AT21" s="117" t="n">
        <f aca="false">SUMIFS(الريسبي!$C$2:$C$1800,الريسبي!$A$2:$A$1800,$A21,الريسبي!$B$2:$B$1800,AT$1)</f>
        <v>0</v>
      </c>
      <c r="AU21" s="117" t="n">
        <f aca="false">SUMIFS(الريسبي!$C$2:$C$1800,الريسبي!$A$2:$A$1800,$A21,الريسبي!$B$2:$B$1800,AU$1)</f>
        <v>0</v>
      </c>
      <c r="AV21" s="117" t="n">
        <f aca="false">SUMIFS(الريسبي!$C$2:$C$1800,الريسبي!$A$2:$A$1800,$A21,الريسبي!$B$2:$B$1800,AV$1)</f>
        <v>0</v>
      </c>
      <c r="AW21" s="117" t="n">
        <f aca="false">SUMIFS(الريسبي!$C$2:$C$1800,الريسبي!$A$2:$A$1800,$A21,الريسبي!$B$2:$B$1800,AW$1)</f>
        <v>0</v>
      </c>
      <c r="AX21" s="117" t="n">
        <f aca="false">SUMIFS(الريسبي!$C$2:$C$1800,الريسبي!$A$2:$A$1800,$A21,الريسبي!$B$2:$B$1800,AX$1)</f>
        <v>0.06</v>
      </c>
      <c r="AY21" s="117" t="n">
        <f aca="false">SUMIFS(الريسبي!$C$2:$C$1800,الريسبي!$A$2:$A$1800,$A21,الريسبي!$B$2:$B$1800,AY$1)</f>
        <v>0</v>
      </c>
      <c r="AZ21" s="117" t="n">
        <f aca="false">SUMIFS(الريسبي!$C$2:$C$1800,الريسبي!$A$2:$A$1800,$A21,الريسبي!$B$2:$B$1800,AZ$1)</f>
        <v>0</v>
      </c>
      <c r="BA21" s="117" t="n">
        <f aca="false">SUMIFS(الريسبي!$C$2:$C$1800,الريسبي!$A$2:$A$1800,$A21,الريسبي!$B$2:$B$1800,BA$1)</f>
        <v>0</v>
      </c>
      <c r="BB21" s="117" t="n">
        <f aca="false">SUMIFS(الريسبي!$C$2:$C$1800,الريسبي!$A$2:$A$1800,$A21,الريسبي!$B$2:$B$1800,BB$1)</f>
        <v>0</v>
      </c>
      <c r="BC21" s="117" t="n">
        <f aca="false">SUMIFS(الريسبي!$C$2:$C$1800,الريسبي!$A$2:$A$1800,$A21,الريسبي!$B$2:$B$1800,BC$1)</f>
        <v>0.045</v>
      </c>
      <c r="BD21" s="117" t="n">
        <f aca="false">SUMIFS(الريسبي!$C$2:$C$1800,الريسبي!$A$2:$A$1800,$A21,الريسبي!$B$2:$B$1800,BD$1)</f>
        <v>0.3</v>
      </c>
      <c r="BE21" s="117" t="n">
        <f aca="false">SUMIFS(الريسبي!$C$2:$C$1800,الريسبي!$A$2:$A$1800,$A21,الريسبي!$B$2:$B$1800,BE$1)</f>
        <v>0</v>
      </c>
      <c r="BF21" s="117" t="n">
        <f aca="false">SUMIFS(الريسبي!$C$2:$C$1800,الريسبي!$A$2:$A$1800,$A21,الريسبي!$B$2:$B$1800,BF$1)</f>
        <v>0</v>
      </c>
      <c r="BG21" s="117" t="n">
        <f aca="false">SUMIFS(الريسبي!$C$2:$C$1800,الريسبي!$A$2:$A$1800,$A21,الريسبي!$B$2:$B$1800,BG$1)</f>
        <v>1</v>
      </c>
      <c r="BH21" s="117" t="n">
        <f aca="false">SUMIFS(الريسبي!$C$2:$C$1800,الريسبي!$A$2:$A$1800,$A21,الريسبي!$B$2:$B$1800,BH$1)</f>
        <v>0</v>
      </c>
      <c r="BI21" s="117" t="n">
        <f aca="false">SUMIFS(الريسبي!$C$2:$C$1800,الريسبي!$A$2:$A$1800,$A21,الريسبي!$B$2:$B$1800,BI$1)</f>
        <v>0</v>
      </c>
      <c r="BJ21" s="117" t="n">
        <f aca="false">SUMIFS(الريسبي!$C$2:$C$1800,الريسبي!$A$2:$A$1800,$A21,الريسبي!$B$2:$B$1800,BJ$1)</f>
        <v>0</v>
      </c>
      <c r="BK21" s="117" t="n">
        <f aca="false">SUMIFS(الريسبي!$C$2:$C$1800,الريسبي!$A$2:$A$1800,$A21,الريسبي!$B$2:$B$1800,BK$1)</f>
        <v>0</v>
      </c>
      <c r="BL21" s="117" t="n">
        <f aca="false">SUMIFS(الريسبي!$C$2:$C$1800,الريسبي!$A$2:$A$1800,$A21,الريسبي!$B$2:$B$1800,BL$1)</f>
        <v>0</v>
      </c>
      <c r="BM21" s="117" t="n">
        <f aca="false">SUMIFS(الريسبي!$C$2:$C$1800,الريسبي!$A$2:$A$1800,$A21,الريسبي!$B$2:$B$1800,BM$1)</f>
        <v>0</v>
      </c>
      <c r="BN21" s="117" t="n">
        <f aca="false">SUMIFS(الريسبي!$C$2:$C$1800,الريسبي!$A$2:$A$1800,$A21,الريسبي!$B$2:$B$1800,BN$1)</f>
        <v>0.03</v>
      </c>
      <c r="BO21" s="117" t="n">
        <f aca="false">SUMIFS(الريسبي!$C$2:$C$1800,الريسبي!$A$2:$A$1800,$A21,الريسبي!$B$2:$B$1800,BO$1)</f>
        <v>0</v>
      </c>
      <c r="BP21" s="117" t="n">
        <f aca="false">SUMIFS(الريسبي!$C$2:$C$1800,الريسبي!$A$2:$A$1800,$A21,الريسبي!$B$2:$B$1800,BP$1)</f>
        <v>3</v>
      </c>
      <c r="BQ21" s="117" t="n">
        <f aca="false">SUMIFS(الريسبي!$C$2:$C$1800,الريسبي!$A$2:$A$1800,$A21,الريسبي!$B$2:$B$1800,BQ$1)+0.17*SUMIFS(الريسبي!$C$2:$C$1800,الريسبي!$A$2:$A$1800,$A21,الريسبي!$B$2:$B$1800,"كاسترد مصنع (خليط بودر + لبن)")+0.17*SUMIFS(الريسبي!$C$2:$C$1800,الريسبي!$A$2:$A$1800,$A21,الريسبي!$B$2:$B$1800,"كاسترد مصنع صيامي (بدون لبن)")</f>
        <v>0</v>
      </c>
      <c r="BR21" s="117" t="n">
        <f aca="false">SUMIFS(الريسبي!$C$2:$C$1800,الريسبي!$A$2:$A$1800,$A21,الريسبي!$B$2:$B$1800,BR$1)</f>
        <v>1</v>
      </c>
      <c r="BS21" s="117" t="n">
        <f aca="false">SUMIFS(الريسبي!$C$2:$C$1800,الريسبي!$A$2:$A$1800,$A21,الريسبي!$B$2:$B$1800,BS$1)</f>
        <v>0</v>
      </c>
      <c r="BT21" s="117" t="n">
        <f aca="false">SUMIFS(الريسبي!$C$2:$C$1800,الريسبي!$A$2:$A$1800,$A21,الريسبي!$B$2:$B$1800,BT$1)</f>
        <v>0</v>
      </c>
      <c r="BU21" s="117" t="n">
        <f aca="false">SUMIFS(الريسبي!$C$2:$C$1800,الريسبي!$A$2:$A$1800,$A21,الريسبي!$B$2:$B$1800,BU$1)+0.4*SUMIFS(الريسبي!$C$2:$C$1800,الريسبي!$A$2:$A$1800,$A21,الريسبي!$B$2:$B$1800,"كاسترد مصنع (خليط بودر + لبن)")+0.03333333333*SUMIFS(الريسبي!$C$2:$C$1800,الريسبي!$A$2:$A$1800,$A21,الريسبي!$B$2:$B$1800,"عجين كريب (مصنع بالمطعم)")</f>
        <v>0</v>
      </c>
      <c r="BV21" s="117" t="n">
        <f aca="false">SUMIFS(الريسبي!$C$2:$C$1800,الريسبي!$A$2:$A$1800,$A21,الريسبي!$B$2:$B$1800,BV$1)</f>
        <v>0</v>
      </c>
      <c r="BW21" s="117" t="n">
        <f aca="false">SUMIFS(الريسبي!$C$2:$C$1800,الريسبي!$A$2:$A$1800,$A21,الريسبي!$B$2:$B$1800,BW$1)</f>
        <v>0</v>
      </c>
      <c r="BX21" s="117" t="n">
        <f aca="false">SUMIFS(الريسبي!$C$2:$C$1800,الريسبي!$A$2:$A$1800,$A21,الريسبي!$B$2:$B$1800,BX$1)</f>
        <v>0</v>
      </c>
      <c r="BY21" s="117" t="n">
        <f aca="false">SUMIFS(الريسبي!$C$2:$C$1800,الريسبي!$A$2:$A$1800,$A21,الريسبي!$B$2:$B$1800,BY$1)</f>
        <v>0</v>
      </c>
      <c r="BZ21" s="117" t="n">
        <f aca="false">SUMIFS(الريسبي!$C$2:$C$1800,الريسبي!$A$2:$A$1800,$A21,الريسبي!$B$2:$B$1800,BZ$1)</f>
        <v>0</v>
      </c>
      <c r="CA21" s="117" t="n">
        <f aca="false">SUMIFS(الريسبي!$C$2:$C$1800,الريسبي!$A$2:$A$1800,$A21,الريسبي!$B$2:$B$1800,CA$1)</f>
        <v>1</v>
      </c>
      <c r="CB21" s="117" t="n">
        <f aca="false">SUMIFS(الريسبي!$C$2:$C$1800,الريسبي!$A$2:$A$1800,$A21,الريسبي!$B$2:$B$1800,CB$1)</f>
        <v>1</v>
      </c>
      <c r="CC21" s="117" t="n">
        <f aca="false">SUMIFS(الريسبي!$C$2:$C$1800,الريسبي!$A$2:$A$1800,$A21,الريسبي!$B$2:$B$1800,CC$1)</f>
        <v>0</v>
      </c>
      <c r="CD21" s="117" t="n">
        <f aca="false">SUMIFS(الريسبي!$C$2:$C$1800,الريسبي!$A$2:$A$1800,$A21,الريسبي!$B$2:$B$1800,CD$1)</f>
        <v>0</v>
      </c>
      <c r="CE21" s="117" t="n">
        <f aca="false">SUMIFS(الريسبي!$C$2:$C$1800,الريسبي!$A$2:$A$1800,$A21,الريسبي!$B$2:$B$1800,CE$1)</f>
        <v>0</v>
      </c>
      <c r="CF21" s="117" t="n">
        <f aca="false">SUMIFS(الريسبي!$C$2:$C$1800,الريسبي!$A$2:$A$1800,$A21,الريسبي!$B$2:$B$1800,CF$1)</f>
        <v>0</v>
      </c>
      <c r="CG21" s="117" t="n">
        <f aca="false">SUMIFS(الريسبي!$C$2:$C$1800,الريسبي!$A$2:$A$1800,$A21,الريسبي!$B$2:$B$1800,CG$1)</f>
        <v>0</v>
      </c>
      <c r="CH21" s="117" t="n">
        <f aca="false">SUMIFS(الريسبي!$C$2:$C$1800,الريسبي!$A$2:$A$1800,$A21,الريسبي!$B$2:$B$1800,CH$1)</f>
        <v>0</v>
      </c>
      <c r="CI21" s="117" t="n">
        <f aca="false">SUMIFS(الريسبي!$C$2:$C$1800,الريسبي!$A$2:$A$1800,$A21,الريسبي!$B$2:$B$1800,CI$1)</f>
        <v>0</v>
      </c>
      <c r="CJ21" s="117" t="n">
        <f aca="false">SUMIFS(الريسبي!$C$2:$C$1800,الريسبي!$A$2:$A$1800,$A21,الريسبي!$B$2:$B$1800,CJ$1)</f>
        <v>0</v>
      </c>
      <c r="CK21" s="117" t="n">
        <f aca="false">SUMIFS(الريسبي!$C$2:$C$1800,الريسبي!$A$2:$A$1800,$A21,الريسبي!$B$2:$B$1800,CK$1)</f>
        <v>0</v>
      </c>
      <c r="CL21" s="117" t="n">
        <f aca="false">SUMIFS(الريسبي!$C$2:$C$1800,الريسبي!$A$2:$A$1800,$A21,الريسبي!$B$2:$B$1800,CL$1)</f>
        <v>0</v>
      </c>
    </row>
    <row r="22" customFormat="false" ht="15" hidden="false" customHeight="false" outlineLevel="0" collapsed="false">
      <c r="A22" s="116" t="str">
        <f aca="false">المنيو!B22</f>
        <v>بيتزا جمبري وسط</v>
      </c>
      <c r="B22" s="117" t="n">
        <f aca="false">SUMIFS(الريسبي!$C$2:$C$1800,الريسبي!$A$2:$A$1800,$A22,الريسبي!$B$2:$B$1800,B$1)</f>
        <v>0</v>
      </c>
      <c r="C22" s="117" t="n">
        <f aca="false">SUMIFS(الريسبي!$C$2:$C$1800,الريسبي!$A$2:$A$1800,$A22,الريسبي!$B$2:$B$1800,C$1)</f>
        <v>0</v>
      </c>
      <c r="D22" s="117" t="n">
        <f aca="false">SUMIFS(الريسبي!$C$2:$C$1800,الريسبي!$A$2:$A$1800,$A22,الريسبي!$B$2:$B$1800,D$1)</f>
        <v>1</v>
      </c>
      <c r="E22" s="117" t="n">
        <f aca="false">SUMIFS(الريسبي!$C$2:$C$1800,الريسبي!$A$2:$A$1800,$A22,الريسبي!$B$2:$B$1800,E$1)</f>
        <v>0</v>
      </c>
      <c r="F22" s="117" t="n">
        <f aca="false">SUMIFS(الريسبي!$C$2:$C$1800,الريسبي!$A$2:$A$1800,$A22,الريسبي!$B$2:$B$1800,F$1)</f>
        <v>0</v>
      </c>
      <c r="G22" s="117" t="n">
        <f aca="false">SUMIFS(الريسبي!$C$2:$C$1800,الريسبي!$A$2:$A$1800,$A22,الريسبي!$B$2:$B$1800,G$1)</f>
        <v>0</v>
      </c>
      <c r="H22" s="117" t="n">
        <f aca="false">SUMIFS(الريسبي!$C$2:$C$1800,الريسبي!$A$2:$A$1800,$A22,الريسبي!$B$2:$B$1800,H$1)</f>
        <v>0</v>
      </c>
      <c r="I22" s="117" t="n">
        <f aca="false">SUMIFS(الريسبي!$C$2:$C$1800,الريسبي!$A$2:$A$1800,$A22,الريسبي!$B$2:$B$1800,I$1)</f>
        <v>0</v>
      </c>
      <c r="J22" s="117" t="n">
        <f aca="false">SUMIFS(الريسبي!$C$2:$C$1800,الريسبي!$A$2:$A$1800,$A22,الريسبي!$B$2:$B$1800,J$1)</f>
        <v>0</v>
      </c>
      <c r="K22" s="117" t="n">
        <f aca="false">SUMIFS(الريسبي!$C$2:$C$1800,الريسبي!$A$2:$A$1800,$A22,الريسبي!$B$2:$B$1800,K$1)</f>
        <v>1</v>
      </c>
      <c r="L22" s="117" t="n">
        <f aca="false">SUMIFS(الريسبي!$C$2:$C$1800,الريسبي!$A$2:$A$1800,$A22,الريسبي!$B$2:$B$1800,L$1)</f>
        <v>0</v>
      </c>
      <c r="M22" s="117" t="n">
        <f aca="false">SUMIFS(الريسبي!$C$2:$C$1800,الريسبي!$A$2:$A$1800,$A22,الريسبي!$B$2:$B$1800,M$1)</f>
        <v>0</v>
      </c>
      <c r="N22" s="117" t="n">
        <f aca="false">SUMIFS(الريسبي!$C$2:$C$1800,الريسبي!$A$2:$A$1800,$A22,الريسبي!$B$2:$B$1800,N$1)</f>
        <v>0</v>
      </c>
      <c r="O22" s="117" t="n">
        <f aca="false">SUMIFS(الريسبي!$C$2:$C$1800,الريسبي!$A$2:$A$1800,$A22,الريسبي!$B$2:$B$1800,O$1)</f>
        <v>0</v>
      </c>
      <c r="P22" s="117" t="n">
        <f aca="false">SUMIFS(الريسبي!$C$2:$C$1800,الريسبي!$A$2:$A$1800,$A22,الريسبي!$B$2:$B$1800,P$1)</f>
        <v>0</v>
      </c>
      <c r="Q22" s="117" t="n">
        <f aca="false">SUMIFS(الريسبي!$C$2:$C$1800,الريسبي!$A$2:$A$1800,$A22,الريسبي!$B$2:$B$1800,Q$1)</f>
        <v>0</v>
      </c>
      <c r="R22" s="117" t="n">
        <f aca="false">SUMIFS(الريسبي!$C$2:$C$1800,الريسبي!$A$2:$A$1800,$A22,الريسبي!$B$2:$B$1800,R$1)</f>
        <v>0</v>
      </c>
      <c r="S22" s="117" t="n">
        <f aca="false">SUMIFS(الريسبي!$C$2:$C$1800,الريسبي!$A$2:$A$1800,$A22,الريسبي!$B$2:$B$1800,S$1)</f>
        <v>0</v>
      </c>
      <c r="T22" s="117" t="n">
        <f aca="false">SUMIFS(الريسبي!$C$2:$C$1800,الريسبي!$A$2:$A$1800,$A22,الريسبي!$B$2:$B$1800,T$1)</f>
        <v>0</v>
      </c>
      <c r="U22" s="117" t="n">
        <f aca="false">SUMIFS(الريسبي!$C$2:$C$1800,الريسبي!$A$2:$A$1800,$A22,الريسبي!$B$2:$B$1800,U$1)</f>
        <v>0</v>
      </c>
      <c r="V22" s="117" t="n">
        <f aca="false">SUMIFS(الريسبي!$C$2:$C$1800,الريسبي!$A$2:$A$1800,$A22,الريسبي!$B$2:$B$1800,V$1)</f>
        <v>1</v>
      </c>
      <c r="W22" s="117" t="n">
        <f aca="false">SUMIFS(الريسبي!$C$2:$C$1800,الريسبي!$A$2:$A$1800,$A22,الريسبي!$B$2:$B$1800,W$1)</f>
        <v>0</v>
      </c>
      <c r="X22" s="117" t="n">
        <f aca="false">SUMIFS(الريسبي!$C$2:$C$1800,الريسبي!$A$2:$A$1800,$A22,الريسبي!$B$2:$B$1800,X$1)</f>
        <v>0</v>
      </c>
      <c r="Y22" s="117" t="n">
        <f aca="false">SUMIFS(الريسبي!$C$2:$C$1800,الريسبي!$A$2:$A$1800,$A22,الريسبي!$B$2:$B$1800,Y$1)</f>
        <v>0</v>
      </c>
      <c r="Z22" s="117" t="n">
        <f aca="false">SUMIFS(الريسبي!$C$2:$C$1800,الريسبي!$A$2:$A$1800,$A22,الريسبي!$B$2:$B$1800,Z$1)</f>
        <v>0</v>
      </c>
      <c r="AA22" s="117" t="n">
        <f aca="false">SUMIFS(الريسبي!$C$2:$C$1800,الريسبي!$A$2:$A$1800,$A22,الريسبي!$B$2:$B$1800,AA$1)</f>
        <v>0</v>
      </c>
      <c r="AB22" s="117" t="n">
        <f aca="false">SUMIFS(الريسبي!$C$2:$C$1800,الريسبي!$A$2:$A$1800,$A22,الريسبي!$B$2:$B$1800,AB$1)</f>
        <v>0</v>
      </c>
      <c r="AC22" s="117" t="n">
        <f aca="false">SUMIFS(الريسبي!$C$2:$C$1800,الريسبي!$A$2:$A$1800,$A22,الريسبي!$B$2:$B$1800,AC$1)</f>
        <v>0</v>
      </c>
      <c r="AD22" s="117" t="n">
        <f aca="false">SUMIFS(الريسبي!$C$2:$C$1800,الريسبي!$A$2:$A$1800,$A22,الريسبي!$B$2:$B$1800,AD$1)</f>
        <v>0</v>
      </c>
      <c r="AE22" s="117" t="n">
        <f aca="false">SUMIFS(الريسبي!$C$2:$C$1800,الريسبي!$A$2:$A$1800,$A22,الريسبي!$B$2:$B$1800,AE$1)</f>
        <v>0</v>
      </c>
      <c r="AF22" s="117" t="n">
        <f aca="false">SUMIFS(الريسبي!$C$2:$C$1800,الريسبي!$A$2:$A$1800,$A22,الريسبي!$B$2:$B$1800,AF$1)</f>
        <v>0</v>
      </c>
      <c r="AG22" s="117" t="n">
        <f aca="false">SUMIFS(الريسبي!$C$2:$C$1800,الريسبي!$A$2:$A$1800,$A22,الريسبي!$B$2:$B$1800,AG$1)</f>
        <v>0</v>
      </c>
      <c r="AH22" s="117" t="n">
        <f aca="false">SUMIFS(الريسبي!$C$2:$C$1800,الريسبي!$A$2:$A$1800,$A22,الريسبي!$B$2:$B$1800,AH$1)</f>
        <v>0</v>
      </c>
      <c r="AI22" s="117" t="n">
        <f aca="false">SUMIFS(الريسبي!$C$2:$C$1800,الريسبي!$A$2:$A$1800,$A22,الريسبي!$B$2:$B$1800,AI$1)</f>
        <v>0</v>
      </c>
      <c r="AJ22" s="117" t="n">
        <f aca="false">SUMIFS(الريسبي!$C$2:$C$1800,الريسبي!$A$2:$A$1800,$A22,الريسبي!$B$2:$B$1800,AJ$1)</f>
        <v>2</v>
      </c>
      <c r="AK22" s="117" t="n">
        <f aca="false">SUMIFS(الريسبي!$C$2:$C$1800,الريسبي!$A$2:$A$1800,$A22,الريسبي!$B$2:$B$1800,AK$1)</f>
        <v>0</v>
      </c>
      <c r="AL22" s="117" t="n">
        <f aca="false">SUMIFS(الريسبي!$C$2:$C$1800,الريسبي!$A$2:$A$1800,$A22,الريسبي!$B$2:$B$1800,AL$1)</f>
        <v>0</v>
      </c>
      <c r="AM22" s="117" t="n">
        <f aca="false">SUMIFS(الريسبي!$C$2:$C$1800,الريسبي!$A$2:$A$1800,$A22,الريسبي!$B$2:$B$1800,AM$1)+0.08333333333*SUMIFS(الريسبي!$C$2:$C$1800,الريسبي!$A$2:$A$1800,$A22,الريسبي!$B$2:$B$1800,"عجين كريب (مصنع بالمطعم)")+0.08333333333*SUMIFS(الريسبي!$C$2:$C$1800,الريسبي!$A$2:$A$1800,$A22,الريسبي!$B$2:$B$1800,"عجين كريب صيامي (بدون لبن)")</f>
        <v>0</v>
      </c>
      <c r="AN22" s="117" t="n">
        <f aca="false">SUMIFS(الريسبي!$C$2:$C$1800,الريسبي!$A$2:$A$1800,$A22,الريسبي!$B$2:$B$1800,AN$1)+0.004166666667*SUMIFS(الريسبي!$C$2:$C$1800,الريسبي!$A$2:$A$1800,$A22,الريسبي!$B$2:$B$1800,"عجين كريب (مصنع بالمطعم)")+0.004166666667*SUMIFS(الريسبي!$C$2:$C$1800,الريسبي!$A$2:$A$1800,$A22,الريسبي!$B$2:$B$1800,"عجين كريب صيامي (بدون لبن)")</f>
        <v>0</v>
      </c>
      <c r="AO22" s="117" t="n">
        <f aca="false">SUMIFS(الريسبي!$C$2:$C$1800,الريسبي!$A$2:$A$1800,$A22,الريسبي!$B$2:$B$1800,AO$1)</f>
        <v>0</v>
      </c>
      <c r="AP22" s="117" t="n">
        <f aca="false">SUMIFS(الريسبي!$C$2:$C$1800,الريسبي!$A$2:$A$1800,$A22,الريسبي!$B$2:$B$1800,AP$1)</f>
        <v>0.02</v>
      </c>
      <c r="AQ22" s="117" t="n">
        <f aca="false">SUMIFS(الريسبي!$C$2:$C$1800,الريسبي!$A$2:$A$1800,$A22,الريسبي!$B$2:$B$1800,AQ$1)+0.004166666667*SUMIFS(الريسبي!$C$2:$C$1800,الريسبي!$A$2:$A$1800,$A22,الريسبي!$B$2:$B$1800,"عجين كريب (مصنع بالمطعم)")+0.004166666667*SUMIFS(الريسبي!$C$2:$C$1800,الريسبي!$A$2:$A$1800,$A22,الريسبي!$B$2:$B$1800,"عجين كريب صيامي (بدون لبن)")</f>
        <v>0</v>
      </c>
      <c r="AR22" s="117" t="n">
        <f aca="false">SUMIFS(الريسبي!$C$2:$C$1800,الريسبي!$A$2:$A$1800,$A22,الريسبي!$B$2:$B$1800,AR$1)</f>
        <v>0</v>
      </c>
      <c r="AS22" s="117" t="n">
        <f aca="false">SUMIFS(الريسبي!$C$2:$C$1800,الريسبي!$A$2:$A$1800,$A22,الريسبي!$B$2:$B$1800,AS$1)</f>
        <v>0</v>
      </c>
      <c r="AT22" s="117" t="n">
        <f aca="false">SUMIFS(الريسبي!$C$2:$C$1800,الريسبي!$A$2:$A$1800,$A22,الريسبي!$B$2:$B$1800,AT$1)</f>
        <v>0</v>
      </c>
      <c r="AU22" s="117" t="n">
        <f aca="false">SUMIFS(الريسبي!$C$2:$C$1800,الريسبي!$A$2:$A$1800,$A22,الريسبي!$B$2:$B$1800,AU$1)</f>
        <v>0</v>
      </c>
      <c r="AV22" s="117" t="n">
        <f aca="false">SUMIFS(الريسبي!$C$2:$C$1800,الريسبي!$A$2:$A$1800,$A22,الريسبي!$B$2:$B$1800,AV$1)</f>
        <v>0</v>
      </c>
      <c r="AW22" s="117" t="n">
        <f aca="false">SUMIFS(الريسبي!$C$2:$C$1800,الريسبي!$A$2:$A$1800,$A22,الريسبي!$B$2:$B$1800,AW$1)</f>
        <v>0</v>
      </c>
      <c r="AX22" s="117" t="n">
        <f aca="false">SUMIFS(الريسبي!$C$2:$C$1800,الريسبي!$A$2:$A$1800,$A22,الريسبي!$B$2:$B$1800,AX$1)</f>
        <v>0.04</v>
      </c>
      <c r="AY22" s="117" t="n">
        <f aca="false">SUMIFS(الريسبي!$C$2:$C$1800,الريسبي!$A$2:$A$1800,$A22,الريسبي!$B$2:$B$1800,AY$1)</f>
        <v>0</v>
      </c>
      <c r="AZ22" s="117" t="n">
        <f aca="false">SUMIFS(الريسبي!$C$2:$C$1800,الريسبي!$A$2:$A$1800,$A22,الريسبي!$B$2:$B$1800,AZ$1)</f>
        <v>0</v>
      </c>
      <c r="BA22" s="117" t="n">
        <f aca="false">SUMIFS(الريسبي!$C$2:$C$1800,الريسبي!$A$2:$A$1800,$A22,الريسبي!$B$2:$B$1800,BA$1)</f>
        <v>0</v>
      </c>
      <c r="BB22" s="117" t="n">
        <f aca="false">SUMIFS(الريسبي!$C$2:$C$1800,الريسبي!$A$2:$A$1800,$A22,الريسبي!$B$2:$B$1800,BB$1)</f>
        <v>0</v>
      </c>
      <c r="BC22" s="117" t="n">
        <f aca="false">SUMIFS(الريسبي!$C$2:$C$1800,الريسبي!$A$2:$A$1800,$A22,الريسبي!$B$2:$B$1800,BC$1)</f>
        <v>0.03</v>
      </c>
      <c r="BD22" s="117" t="n">
        <f aca="false">SUMIFS(الريسبي!$C$2:$C$1800,الريسبي!$A$2:$A$1800,$A22,الريسبي!$B$2:$B$1800,BD$1)</f>
        <v>0.22</v>
      </c>
      <c r="BE22" s="117" t="n">
        <f aca="false">SUMIFS(الريسبي!$C$2:$C$1800,الريسبي!$A$2:$A$1800,$A22,الريسبي!$B$2:$B$1800,BE$1)</f>
        <v>0</v>
      </c>
      <c r="BF22" s="117" t="n">
        <f aca="false">SUMIFS(الريسبي!$C$2:$C$1800,الريسبي!$A$2:$A$1800,$A22,الريسبي!$B$2:$B$1800,BF$1)</f>
        <v>0</v>
      </c>
      <c r="BG22" s="117" t="n">
        <f aca="false">SUMIFS(الريسبي!$C$2:$C$1800,الريسبي!$A$2:$A$1800,$A22,الريسبي!$B$2:$B$1800,BG$1)</f>
        <v>0</v>
      </c>
      <c r="BH22" s="117" t="n">
        <f aca="false">SUMIFS(الريسبي!$C$2:$C$1800,الريسبي!$A$2:$A$1800,$A22,الريسبي!$B$2:$B$1800,BH$1)</f>
        <v>1</v>
      </c>
      <c r="BI22" s="117" t="n">
        <f aca="false">SUMIFS(الريسبي!$C$2:$C$1800,الريسبي!$A$2:$A$1800,$A22,الريسبي!$B$2:$B$1800,BI$1)</f>
        <v>0</v>
      </c>
      <c r="BJ22" s="117" t="n">
        <f aca="false">SUMIFS(الريسبي!$C$2:$C$1800,الريسبي!$A$2:$A$1800,$A22,الريسبي!$B$2:$B$1800,BJ$1)</f>
        <v>0</v>
      </c>
      <c r="BK22" s="117" t="n">
        <f aca="false">SUMIFS(الريسبي!$C$2:$C$1800,الريسبي!$A$2:$A$1800,$A22,الريسبي!$B$2:$B$1800,BK$1)</f>
        <v>0</v>
      </c>
      <c r="BL22" s="117" t="n">
        <f aca="false">SUMIFS(الريسبي!$C$2:$C$1800,الريسبي!$A$2:$A$1800,$A22,الريسبي!$B$2:$B$1800,BL$1)</f>
        <v>0</v>
      </c>
      <c r="BM22" s="117" t="n">
        <f aca="false">SUMIFS(الريسبي!$C$2:$C$1800,الريسبي!$A$2:$A$1800,$A22,الريسبي!$B$2:$B$1800,BM$1)</f>
        <v>0</v>
      </c>
      <c r="BN22" s="117" t="n">
        <f aca="false">SUMIFS(الريسبي!$C$2:$C$1800,الريسبي!$A$2:$A$1800,$A22,الريسبي!$B$2:$B$1800,BN$1)</f>
        <v>0.02</v>
      </c>
      <c r="BO22" s="117" t="n">
        <f aca="false">SUMIFS(الريسبي!$C$2:$C$1800,الريسبي!$A$2:$A$1800,$A22,الريسبي!$B$2:$B$1800,BO$1)</f>
        <v>0</v>
      </c>
      <c r="BP22" s="117" t="n">
        <f aca="false">SUMIFS(الريسبي!$C$2:$C$1800,الريسبي!$A$2:$A$1800,$A22,الريسبي!$B$2:$B$1800,BP$1)</f>
        <v>2</v>
      </c>
      <c r="BQ22" s="117" t="n">
        <f aca="false">SUMIFS(الريسبي!$C$2:$C$1800,الريسبي!$A$2:$A$1800,$A22,الريسبي!$B$2:$B$1800,BQ$1)+0.17*SUMIFS(الريسبي!$C$2:$C$1800,الريسبي!$A$2:$A$1800,$A22,الريسبي!$B$2:$B$1800,"كاسترد مصنع (خليط بودر + لبن)")+0.17*SUMIFS(الريسبي!$C$2:$C$1800,الريسبي!$A$2:$A$1800,$A22,الريسبي!$B$2:$B$1800,"كاسترد مصنع صيامي (بدون لبن)")</f>
        <v>0</v>
      </c>
      <c r="BR22" s="117" t="n">
        <f aca="false">SUMIFS(الريسبي!$C$2:$C$1800,الريسبي!$A$2:$A$1800,$A22,الريسبي!$B$2:$B$1800,BR$1)</f>
        <v>1</v>
      </c>
      <c r="BS22" s="117" t="n">
        <f aca="false">SUMIFS(الريسبي!$C$2:$C$1800,الريسبي!$A$2:$A$1800,$A22,الريسبي!$B$2:$B$1800,BS$1)</f>
        <v>0</v>
      </c>
      <c r="BT22" s="117" t="n">
        <f aca="false">SUMIFS(الريسبي!$C$2:$C$1800,الريسبي!$A$2:$A$1800,$A22,الريسبي!$B$2:$B$1800,BT$1)</f>
        <v>0</v>
      </c>
      <c r="BU22" s="117" t="n">
        <f aca="false">SUMIFS(الريسبي!$C$2:$C$1800,الريسبي!$A$2:$A$1800,$A22,الريسبي!$B$2:$B$1800,BU$1)+0.4*SUMIFS(الريسبي!$C$2:$C$1800,الريسبي!$A$2:$A$1800,$A22,الريسبي!$B$2:$B$1800,"كاسترد مصنع (خليط بودر + لبن)")+0.03333333333*SUMIFS(الريسبي!$C$2:$C$1800,الريسبي!$A$2:$A$1800,$A22,الريسبي!$B$2:$B$1800,"عجين كريب (مصنع بالمطعم)")</f>
        <v>0</v>
      </c>
      <c r="BV22" s="117" t="n">
        <f aca="false">SUMIFS(الريسبي!$C$2:$C$1800,الريسبي!$A$2:$A$1800,$A22,الريسبي!$B$2:$B$1800,BV$1)</f>
        <v>0</v>
      </c>
      <c r="BW22" s="117" t="n">
        <f aca="false">SUMIFS(الريسبي!$C$2:$C$1800,الريسبي!$A$2:$A$1800,$A22,الريسبي!$B$2:$B$1800,BW$1)</f>
        <v>0</v>
      </c>
      <c r="BX22" s="117" t="n">
        <f aca="false">SUMIFS(الريسبي!$C$2:$C$1800,الريسبي!$A$2:$A$1800,$A22,الريسبي!$B$2:$B$1800,BX$1)</f>
        <v>0</v>
      </c>
      <c r="BY22" s="117" t="n">
        <f aca="false">SUMIFS(الريسبي!$C$2:$C$1800,الريسبي!$A$2:$A$1800,$A22,الريسبي!$B$2:$B$1800,BY$1)</f>
        <v>0</v>
      </c>
      <c r="BZ22" s="117" t="n">
        <f aca="false">SUMIFS(الريسبي!$C$2:$C$1800,الريسبي!$A$2:$A$1800,$A22,الريسبي!$B$2:$B$1800,BZ$1)</f>
        <v>0</v>
      </c>
      <c r="CA22" s="117" t="n">
        <f aca="false">SUMIFS(الريسبي!$C$2:$C$1800,الريسبي!$A$2:$A$1800,$A22,الريسبي!$B$2:$B$1800,CA$1)</f>
        <v>1</v>
      </c>
      <c r="CB22" s="117" t="n">
        <f aca="false">SUMIFS(الريسبي!$C$2:$C$1800,الريسبي!$A$2:$A$1800,$A22,الريسبي!$B$2:$B$1800,CB$1)</f>
        <v>1</v>
      </c>
      <c r="CC22" s="117" t="n">
        <f aca="false">SUMIFS(الريسبي!$C$2:$C$1800,الريسبي!$A$2:$A$1800,$A22,الريسبي!$B$2:$B$1800,CC$1)</f>
        <v>0</v>
      </c>
      <c r="CD22" s="117" t="n">
        <f aca="false">SUMIFS(الريسبي!$C$2:$C$1800,الريسبي!$A$2:$A$1800,$A22,الريسبي!$B$2:$B$1800,CD$1)</f>
        <v>0</v>
      </c>
      <c r="CE22" s="117" t="n">
        <f aca="false">SUMIFS(الريسبي!$C$2:$C$1800,الريسبي!$A$2:$A$1800,$A22,الريسبي!$B$2:$B$1800,CE$1)</f>
        <v>0</v>
      </c>
      <c r="CF22" s="117" t="n">
        <f aca="false">SUMIFS(الريسبي!$C$2:$C$1800,الريسبي!$A$2:$A$1800,$A22,الريسبي!$B$2:$B$1800,CF$1)</f>
        <v>0</v>
      </c>
      <c r="CG22" s="117" t="n">
        <f aca="false">SUMIFS(الريسبي!$C$2:$C$1800,الريسبي!$A$2:$A$1800,$A22,الريسبي!$B$2:$B$1800,CG$1)</f>
        <v>0</v>
      </c>
      <c r="CH22" s="117" t="n">
        <f aca="false">SUMIFS(الريسبي!$C$2:$C$1800,الريسبي!$A$2:$A$1800,$A22,الريسبي!$B$2:$B$1800,CH$1)</f>
        <v>0</v>
      </c>
      <c r="CI22" s="117" t="n">
        <f aca="false">SUMIFS(الريسبي!$C$2:$C$1800,الريسبي!$A$2:$A$1800,$A22,الريسبي!$B$2:$B$1800,CI$1)</f>
        <v>0</v>
      </c>
      <c r="CJ22" s="117" t="n">
        <f aca="false">SUMIFS(الريسبي!$C$2:$C$1800,الريسبي!$A$2:$A$1800,$A22,الريسبي!$B$2:$B$1800,CJ$1)</f>
        <v>0</v>
      </c>
      <c r="CK22" s="117" t="n">
        <f aca="false">SUMIFS(الريسبي!$C$2:$C$1800,الريسبي!$A$2:$A$1800,$A22,الريسبي!$B$2:$B$1800,CK$1)</f>
        <v>0</v>
      </c>
      <c r="CL22" s="117" t="n">
        <f aca="false">SUMIFS(الريسبي!$C$2:$C$1800,الريسبي!$A$2:$A$1800,$A22,الريسبي!$B$2:$B$1800,CL$1)</f>
        <v>0</v>
      </c>
    </row>
    <row r="23" customFormat="false" ht="15" hidden="false" customHeight="false" outlineLevel="0" collapsed="false">
      <c r="A23" s="116" t="str">
        <f aca="false">المنيو!B23</f>
        <v>بيتزا جمبري حجم اكبر</v>
      </c>
      <c r="B23" s="117" t="n">
        <f aca="false">SUMIFS(الريسبي!$C$2:$C$1800,الريسبي!$A$2:$A$1800,$A23,الريسبي!$B$2:$B$1800,B$1)</f>
        <v>0</v>
      </c>
      <c r="C23" s="117" t="n">
        <f aca="false">SUMIFS(الريسبي!$C$2:$C$1800,الريسبي!$A$2:$A$1800,$A23,الريسبي!$B$2:$B$1800,C$1)</f>
        <v>0</v>
      </c>
      <c r="D23" s="117" t="n">
        <f aca="false">SUMIFS(الريسبي!$C$2:$C$1800,الريسبي!$A$2:$A$1800,$A23,الريسبي!$B$2:$B$1800,D$1)</f>
        <v>1</v>
      </c>
      <c r="E23" s="117" t="n">
        <f aca="false">SUMIFS(الريسبي!$C$2:$C$1800,الريسبي!$A$2:$A$1800,$A23,الريسبي!$B$2:$B$1800,E$1)</f>
        <v>0</v>
      </c>
      <c r="F23" s="117" t="n">
        <f aca="false">SUMIFS(الريسبي!$C$2:$C$1800,الريسبي!$A$2:$A$1800,$A23,الريسبي!$B$2:$B$1800,F$1)</f>
        <v>0</v>
      </c>
      <c r="G23" s="117" t="n">
        <f aca="false">SUMIFS(الريسبي!$C$2:$C$1800,الريسبي!$A$2:$A$1800,$A23,الريسبي!$B$2:$B$1800,G$1)</f>
        <v>0</v>
      </c>
      <c r="H23" s="117" t="n">
        <f aca="false">SUMIFS(الريسبي!$C$2:$C$1800,الريسبي!$A$2:$A$1800,$A23,الريسبي!$B$2:$B$1800,H$1)</f>
        <v>0</v>
      </c>
      <c r="I23" s="117" t="n">
        <f aca="false">SUMIFS(الريسبي!$C$2:$C$1800,الريسبي!$A$2:$A$1800,$A23,الريسبي!$B$2:$B$1800,I$1)</f>
        <v>0</v>
      </c>
      <c r="J23" s="117" t="n">
        <f aca="false">SUMIFS(الريسبي!$C$2:$C$1800,الريسبي!$A$2:$A$1800,$A23,الريسبي!$B$2:$B$1800,J$1)</f>
        <v>0</v>
      </c>
      <c r="K23" s="117" t="n">
        <f aca="false">SUMIFS(الريسبي!$C$2:$C$1800,الريسبي!$A$2:$A$1800,$A23,الريسبي!$B$2:$B$1800,K$1)</f>
        <v>1.5</v>
      </c>
      <c r="L23" s="117" t="n">
        <f aca="false">SUMIFS(الريسبي!$C$2:$C$1800,الريسبي!$A$2:$A$1800,$A23,الريسبي!$B$2:$B$1800,L$1)</f>
        <v>0</v>
      </c>
      <c r="M23" s="117" t="n">
        <f aca="false">SUMIFS(الريسبي!$C$2:$C$1800,الريسبي!$A$2:$A$1800,$A23,الريسبي!$B$2:$B$1800,M$1)</f>
        <v>0</v>
      </c>
      <c r="N23" s="117" t="n">
        <f aca="false">SUMIFS(الريسبي!$C$2:$C$1800,الريسبي!$A$2:$A$1800,$A23,الريسبي!$B$2:$B$1800,N$1)</f>
        <v>0</v>
      </c>
      <c r="O23" s="117" t="n">
        <f aca="false">SUMIFS(الريسبي!$C$2:$C$1800,الريسبي!$A$2:$A$1800,$A23,الريسبي!$B$2:$B$1800,O$1)</f>
        <v>0</v>
      </c>
      <c r="P23" s="117" t="n">
        <f aca="false">SUMIFS(الريسبي!$C$2:$C$1800,الريسبي!$A$2:$A$1800,$A23,الريسبي!$B$2:$B$1800,P$1)</f>
        <v>0</v>
      </c>
      <c r="Q23" s="117" t="n">
        <f aca="false">SUMIFS(الريسبي!$C$2:$C$1800,الريسبي!$A$2:$A$1800,$A23,الريسبي!$B$2:$B$1800,Q$1)</f>
        <v>0</v>
      </c>
      <c r="R23" s="117" t="n">
        <f aca="false">SUMIFS(الريسبي!$C$2:$C$1800,الريسبي!$A$2:$A$1800,$A23,الريسبي!$B$2:$B$1800,R$1)</f>
        <v>0</v>
      </c>
      <c r="S23" s="117" t="n">
        <f aca="false">SUMIFS(الريسبي!$C$2:$C$1800,الريسبي!$A$2:$A$1800,$A23,الريسبي!$B$2:$B$1800,S$1)</f>
        <v>0</v>
      </c>
      <c r="T23" s="117" t="n">
        <f aca="false">SUMIFS(الريسبي!$C$2:$C$1800,الريسبي!$A$2:$A$1800,$A23,الريسبي!$B$2:$B$1800,T$1)</f>
        <v>0</v>
      </c>
      <c r="U23" s="117" t="n">
        <f aca="false">SUMIFS(الريسبي!$C$2:$C$1800,الريسبي!$A$2:$A$1800,$A23,الريسبي!$B$2:$B$1800,U$1)</f>
        <v>0</v>
      </c>
      <c r="V23" s="117" t="n">
        <f aca="false">SUMIFS(الريسبي!$C$2:$C$1800,الريسبي!$A$2:$A$1800,$A23,الريسبي!$B$2:$B$1800,V$1)</f>
        <v>0</v>
      </c>
      <c r="W23" s="117" t="n">
        <f aca="false">SUMIFS(الريسبي!$C$2:$C$1800,الريسبي!$A$2:$A$1800,$A23,الريسبي!$B$2:$B$1800,W$1)</f>
        <v>1</v>
      </c>
      <c r="X23" s="117" t="n">
        <f aca="false">SUMIFS(الريسبي!$C$2:$C$1800,الريسبي!$A$2:$A$1800,$A23,الريسبي!$B$2:$B$1800,X$1)</f>
        <v>0</v>
      </c>
      <c r="Y23" s="117" t="n">
        <f aca="false">SUMIFS(الريسبي!$C$2:$C$1800,الريسبي!$A$2:$A$1800,$A23,الريسبي!$B$2:$B$1800,Y$1)</f>
        <v>0</v>
      </c>
      <c r="Z23" s="117" t="n">
        <f aca="false">SUMIFS(الريسبي!$C$2:$C$1800,الريسبي!$A$2:$A$1800,$A23,الريسبي!$B$2:$B$1800,Z$1)</f>
        <v>0</v>
      </c>
      <c r="AA23" s="117" t="n">
        <f aca="false">SUMIFS(الريسبي!$C$2:$C$1800,الريسبي!$A$2:$A$1800,$A23,الريسبي!$B$2:$B$1800,AA$1)</f>
        <v>0</v>
      </c>
      <c r="AB23" s="117" t="n">
        <f aca="false">SUMIFS(الريسبي!$C$2:$C$1800,الريسبي!$A$2:$A$1800,$A23,الريسبي!$B$2:$B$1800,AB$1)</f>
        <v>0</v>
      </c>
      <c r="AC23" s="117" t="n">
        <f aca="false">SUMIFS(الريسبي!$C$2:$C$1800,الريسبي!$A$2:$A$1800,$A23,الريسبي!$B$2:$B$1800,AC$1)</f>
        <v>0</v>
      </c>
      <c r="AD23" s="117" t="n">
        <f aca="false">SUMIFS(الريسبي!$C$2:$C$1800,الريسبي!$A$2:$A$1800,$A23,الريسبي!$B$2:$B$1800,AD$1)</f>
        <v>0</v>
      </c>
      <c r="AE23" s="117" t="n">
        <f aca="false">SUMIFS(الريسبي!$C$2:$C$1800,الريسبي!$A$2:$A$1800,$A23,الريسبي!$B$2:$B$1800,AE$1)</f>
        <v>0</v>
      </c>
      <c r="AF23" s="117" t="n">
        <f aca="false">SUMIFS(الريسبي!$C$2:$C$1800,الريسبي!$A$2:$A$1800,$A23,الريسبي!$B$2:$B$1800,AF$1)</f>
        <v>0</v>
      </c>
      <c r="AG23" s="117" t="n">
        <f aca="false">SUMIFS(الريسبي!$C$2:$C$1800,الريسبي!$A$2:$A$1800,$A23,الريسبي!$B$2:$B$1800,AG$1)</f>
        <v>0</v>
      </c>
      <c r="AH23" s="117" t="n">
        <f aca="false">SUMIFS(الريسبي!$C$2:$C$1800,الريسبي!$A$2:$A$1800,$A23,الريسبي!$B$2:$B$1800,AH$1)</f>
        <v>0</v>
      </c>
      <c r="AI23" s="117" t="n">
        <f aca="false">SUMIFS(الريسبي!$C$2:$C$1800,الريسبي!$A$2:$A$1800,$A23,الريسبي!$B$2:$B$1800,AI$1)</f>
        <v>0</v>
      </c>
      <c r="AJ23" s="117" t="n">
        <f aca="false">SUMIFS(الريسبي!$C$2:$C$1800,الريسبي!$A$2:$A$1800,$A23,الريسبي!$B$2:$B$1800,AJ$1)</f>
        <v>2</v>
      </c>
      <c r="AK23" s="117" t="n">
        <f aca="false">SUMIFS(الريسبي!$C$2:$C$1800,الريسبي!$A$2:$A$1800,$A23,الريسبي!$B$2:$B$1800,AK$1)</f>
        <v>0</v>
      </c>
      <c r="AL23" s="117" t="n">
        <f aca="false">SUMIFS(الريسبي!$C$2:$C$1800,الريسبي!$A$2:$A$1800,$A23,الريسبي!$B$2:$B$1800,AL$1)</f>
        <v>0</v>
      </c>
      <c r="AM23" s="117" t="n">
        <f aca="false">SUMIFS(الريسبي!$C$2:$C$1800,الريسبي!$A$2:$A$1800,$A23,الريسبي!$B$2:$B$1800,AM$1)+0.08333333333*SUMIFS(الريسبي!$C$2:$C$1800,الريسبي!$A$2:$A$1800,$A23,الريسبي!$B$2:$B$1800,"عجين كريب (مصنع بالمطعم)")+0.08333333333*SUMIFS(الريسبي!$C$2:$C$1800,الريسبي!$A$2:$A$1800,$A23,الريسبي!$B$2:$B$1800,"عجين كريب صيامي (بدون لبن)")</f>
        <v>0</v>
      </c>
      <c r="AN23" s="117" t="n">
        <f aca="false">SUMIFS(الريسبي!$C$2:$C$1800,الريسبي!$A$2:$A$1800,$A23,الريسبي!$B$2:$B$1800,AN$1)+0.004166666667*SUMIFS(الريسبي!$C$2:$C$1800,الريسبي!$A$2:$A$1800,$A23,الريسبي!$B$2:$B$1800,"عجين كريب (مصنع بالمطعم)")+0.004166666667*SUMIFS(الريسبي!$C$2:$C$1800,الريسبي!$A$2:$A$1800,$A23,الريسبي!$B$2:$B$1800,"عجين كريب صيامي (بدون لبن)")</f>
        <v>0</v>
      </c>
      <c r="AO23" s="117" t="n">
        <f aca="false">SUMIFS(الريسبي!$C$2:$C$1800,الريسبي!$A$2:$A$1800,$A23,الريسبي!$B$2:$B$1800,AO$1)</f>
        <v>0</v>
      </c>
      <c r="AP23" s="117" t="n">
        <f aca="false">SUMIFS(الريسبي!$C$2:$C$1800,الريسبي!$A$2:$A$1800,$A23,الريسبي!$B$2:$B$1800,AP$1)</f>
        <v>0.03</v>
      </c>
      <c r="AQ23" s="117" t="n">
        <f aca="false">SUMIFS(الريسبي!$C$2:$C$1800,الريسبي!$A$2:$A$1800,$A23,الريسبي!$B$2:$B$1800,AQ$1)+0.004166666667*SUMIFS(الريسبي!$C$2:$C$1800,الريسبي!$A$2:$A$1800,$A23,الريسبي!$B$2:$B$1800,"عجين كريب (مصنع بالمطعم)")+0.004166666667*SUMIFS(الريسبي!$C$2:$C$1800,الريسبي!$A$2:$A$1800,$A23,الريسبي!$B$2:$B$1800,"عجين كريب صيامي (بدون لبن)")</f>
        <v>0</v>
      </c>
      <c r="AR23" s="117" t="n">
        <f aca="false">SUMIFS(الريسبي!$C$2:$C$1800,الريسبي!$A$2:$A$1800,$A23,الريسبي!$B$2:$B$1800,AR$1)</f>
        <v>0</v>
      </c>
      <c r="AS23" s="117" t="n">
        <f aca="false">SUMIFS(الريسبي!$C$2:$C$1800,الريسبي!$A$2:$A$1800,$A23,الريسبي!$B$2:$B$1800,AS$1)</f>
        <v>0</v>
      </c>
      <c r="AT23" s="117" t="n">
        <f aca="false">SUMIFS(الريسبي!$C$2:$C$1800,الريسبي!$A$2:$A$1800,$A23,الريسبي!$B$2:$B$1800,AT$1)</f>
        <v>0</v>
      </c>
      <c r="AU23" s="117" t="n">
        <f aca="false">SUMIFS(الريسبي!$C$2:$C$1800,الريسبي!$A$2:$A$1800,$A23,الريسبي!$B$2:$B$1800,AU$1)</f>
        <v>0</v>
      </c>
      <c r="AV23" s="117" t="n">
        <f aca="false">SUMIFS(الريسبي!$C$2:$C$1800,الريسبي!$A$2:$A$1800,$A23,الريسبي!$B$2:$B$1800,AV$1)</f>
        <v>0</v>
      </c>
      <c r="AW23" s="117" t="n">
        <f aca="false">SUMIFS(الريسبي!$C$2:$C$1800,الريسبي!$A$2:$A$1800,$A23,الريسبي!$B$2:$B$1800,AW$1)</f>
        <v>0</v>
      </c>
      <c r="AX23" s="117" t="n">
        <f aca="false">SUMIFS(الريسبي!$C$2:$C$1800,الريسبي!$A$2:$A$1800,$A23,الريسبي!$B$2:$B$1800,AX$1)</f>
        <v>0.06</v>
      </c>
      <c r="AY23" s="117" t="n">
        <f aca="false">SUMIFS(الريسبي!$C$2:$C$1800,الريسبي!$A$2:$A$1800,$A23,الريسبي!$B$2:$B$1800,AY$1)</f>
        <v>0</v>
      </c>
      <c r="AZ23" s="117" t="n">
        <f aca="false">SUMIFS(الريسبي!$C$2:$C$1800,الريسبي!$A$2:$A$1800,$A23,الريسبي!$B$2:$B$1800,AZ$1)</f>
        <v>0</v>
      </c>
      <c r="BA23" s="117" t="n">
        <f aca="false">SUMIFS(الريسبي!$C$2:$C$1800,الريسبي!$A$2:$A$1800,$A23,الريسبي!$B$2:$B$1800,BA$1)</f>
        <v>0</v>
      </c>
      <c r="BB23" s="117" t="n">
        <f aca="false">SUMIFS(الريسبي!$C$2:$C$1800,الريسبي!$A$2:$A$1800,$A23,الريسبي!$B$2:$B$1800,BB$1)</f>
        <v>0</v>
      </c>
      <c r="BC23" s="117" t="n">
        <f aca="false">SUMIFS(الريسبي!$C$2:$C$1800,الريسبي!$A$2:$A$1800,$A23,الريسبي!$B$2:$B$1800,BC$1)</f>
        <v>0.045</v>
      </c>
      <c r="BD23" s="117" t="n">
        <f aca="false">SUMIFS(الريسبي!$C$2:$C$1800,الريسبي!$A$2:$A$1800,$A23,الريسبي!$B$2:$B$1800,BD$1)</f>
        <v>0.3</v>
      </c>
      <c r="BE23" s="117" t="n">
        <f aca="false">SUMIFS(الريسبي!$C$2:$C$1800,الريسبي!$A$2:$A$1800,$A23,الريسبي!$B$2:$B$1800,BE$1)</f>
        <v>0</v>
      </c>
      <c r="BF23" s="117" t="n">
        <f aca="false">SUMIFS(الريسبي!$C$2:$C$1800,الريسبي!$A$2:$A$1800,$A23,الريسبي!$B$2:$B$1800,BF$1)</f>
        <v>0</v>
      </c>
      <c r="BG23" s="117" t="n">
        <f aca="false">SUMIFS(الريسبي!$C$2:$C$1800,الريسبي!$A$2:$A$1800,$A23,الريسبي!$B$2:$B$1800,BG$1)</f>
        <v>1</v>
      </c>
      <c r="BH23" s="117" t="n">
        <f aca="false">SUMIFS(الريسبي!$C$2:$C$1800,الريسبي!$A$2:$A$1800,$A23,الريسبي!$B$2:$B$1800,BH$1)</f>
        <v>0</v>
      </c>
      <c r="BI23" s="117" t="n">
        <f aca="false">SUMIFS(الريسبي!$C$2:$C$1800,الريسبي!$A$2:$A$1800,$A23,الريسبي!$B$2:$B$1800,BI$1)</f>
        <v>0</v>
      </c>
      <c r="BJ23" s="117" t="n">
        <f aca="false">SUMIFS(الريسبي!$C$2:$C$1800,الريسبي!$A$2:$A$1800,$A23,الريسبي!$B$2:$B$1800,BJ$1)</f>
        <v>0</v>
      </c>
      <c r="BK23" s="117" t="n">
        <f aca="false">SUMIFS(الريسبي!$C$2:$C$1800,الريسبي!$A$2:$A$1800,$A23,الريسبي!$B$2:$B$1800,BK$1)</f>
        <v>0</v>
      </c>
      <c r="BL23" s="117" t="n">
        <f aca="false">SUMIFS(الريسبي!$C$2:$C$1800,الريسبي!$A$2:$A$1800,$A23,الريسبي!$B$2:$B$1800,BL$1)</f>
        <v>0</v>
      </c>
      <c r="BM23" s="117" t="n">
        <f aca="false">SUMIFS(الريسبي!$C$2:$C$1800,الريسبي!$A$2:$A$1800,$A23,الريسبي!$B$2:$B$1800,BM$1)</f>
        <v>0</v>
      </c>
      <c r="BN23" s="117" t="n">
        <f aca="false">SUMIFS(الريسبي!$C$2:$C$1800,الريسبي!$A$2:$A$1800,$A23,الريسبي!$B$2:$B$1800,BN$1)</f>
        <v>0.03</v>
      </c>
      <c r="BO23" s="117" t="n">
        <f aca="false">SUMIFS(الريسبي!$C$2:$C$1800,الريسبي!$A$2:$A$1800,$A23,الريسبي!$B$2:$B$1800,BO$1)</f>
        <v>0</v>
      </c>
      <c r="BP23" s="117" t="n">
        <f aca="false">SUMIFS(الريسبي!$C$2:$C$1800,الريسبي!$A$2:$A$1800,$A23,الريسبي!$B$2:$B$1800,BP$1)</f>
        <v>3</v>
      </c>
      <c r="BQ23" s="117" t="n">
        <f aca="false">SUMIFS(الريسبي!$C$2:$C$1800,الريسبي!$A$2:$A$1800,$A23,الريسبي!$B$2:$B$1800,BQ$1)+0.17*SUMIFS(الريسبي!$C$2:$C$1800,الريسبي!$A$2:$A$1800,$A23,الريسبي!$B$2:$B$1800,"كاسترد مصنع (خليط بودر + لبن)")+0.17*SUMIFS(الريسبي!$C$2:$C$1800,الريسبي!$A$2:$A$1800,$A23,الريسبي!$B$2:$B$1800,"كاسترد مصنع صيامي (بدون لبن)")</f>
        <v>0</v>
      </c>
      <c r="BR23" s="117" t="n">
        <f aca="false">SUMIFS(الريسبي!$C$2:$C$1800,الريسبي!$A$2:$A$1800,$A23,الريسبي!$B$2:$B$1800,BR$1)</f>
        <v>1</v>
      </c>
      <c r="BS23" s="117" t="n">
        <f aca="false">SUMIFS(الريسبي!$C$2:$C$1800,الريسبي!$A$2:$A$1800,$A23,الريسبي!$B$2:$B$1800,BS$1)</f>
        <v>0</v>
      </c>
      <c r="BT23" s="117" t="n">
        <f aca="false">SUMIFS(الريسبي!$C$2:$C$1800,الريسبي!$A$2:$A$1800,$A23,الريسبي!$B$2:$B$1800,BT$1)</f>
        <v>0</v>
      </c>
      <c r="BU23" s="117" t="n">
        <f aca="false">SUMIFS(الريسبي!$C$2:$C$1800,الريسبي!$A$2:$A$1800,$A23,الريسبي!$B$2:$B$1800,BU$1)+0.4*SUMIFS(الريسبي!$C$2:$C$1800,الريسبي!$A$2:$A$1800,$A23,الريسبي!$B$2:$B$1800,"كاسترد مصنع (خليط بودر + لبن)")+0.03333333333*SUMIFS(الريسبي!$C$2:$C$1800,الريسبي!$A$2:$A$1800,$A23,الريسبي!$B$2:$B$1800,"عجين كريب (مصنع بالمطعم)")</f>
        <v>0</v>
      </c>
      <c r="BV23" s="117" t="n">
        <f aca="false">SUMIFS(الريسبي!$C$2:$C$1800,الريسبي!$A$2:$A$1800,$A23,الريسبي!$B$2:$B$1800,BV$1)</f>
        <v>0</v>
      </c>
      <c r="BW23" s="117" t="n">
        <f aca="false">SUMIFS(الريسبي!$C$2:$C$1800,الريسبي!$A$2:$A$1800,$A23,الريسبي!$B$2:$B$1800,BW$1)</f>
        <v>0</v>
      </c>
      <c r="BX23" s="117" t="n">
        <f aca="false">SUMIFS(الريسبي!$C$2:$C$1800,الريسبي!$A$2:$A$1800,$A23,الريسبي!$B$2:$B$1800,BX$1)</f>
        <v>0</v>
      </c>
      <c r="BY23" s="117" t="n">
        <f aca="false">SUMIFS(الريسبي!$C$2:$C$1800,الريسبي!$A$2:$A$1800,$A23,الريسبي!$B$2:$B$1800,BY$1)</f>
        <v>0</v>
      </c>
      <c r="BZ23" s="117" t="n">
        <f aca="false">SUMIFS(الريسبي!$C$2:$C$1800,الريسبي!$A$2:$A$1800,$A23,الريسبي!$B$2:$B$1800,BZ$1)</f>
        <v>0</v>
      </c>
      <c r="CA23" s="117" t="n">
        <f aca="false">SUMIFS(الريسبي!$C$2:$C$1800,الريسبي!$A$2:$A$1800,$A23,الريسبي!$B$2:$B$1800,CA$1)</f>
        <v>1</v>
      </c>
      <c r="CB23" s="117" t="n">
        <f aca="false">SUMIFS(الريسبي!$C$2:$C$1800,الريسبي!$A$2:$A$1800,$A23,الريسبي!$B$2:$B$1800,CB$1)</f>
        <v>1</v>
      </c>
      <c r="CC23" s="117" t="n">
        <f aca="false">SUMIFS(الريسبي!$C$2:$C$1800,الريسبي!$A$2:$A$1800,$A23,الريسبي!$B$2:$B$1800,CC$1)</f>
        <v>0</v>
      </c>
      <c r="CD23" s="117" t="n">
        <f aca="false">SUMIFS(الريسبي!$C$2:$C$1800,الريسبي!$A$2:$A$1800,$A23,الريسبي!$B$2:$B$1800,CD$1)</f>
        <v>0</v>
      </c>
      <c r="CE23" s="117" t="n">
        <f aca="false">SUMIFS(الريسبي!$C$2:$C$1800,الريسبي!$A$2:$A$1800,$A23,الريسبي!$B$2:$B$1800,CE$1)</f>
        <v>0</v>
      </c>
      <c r="CF23" s="117" t="n">
        <f aca="false">SUMIFS(الريسبي!$C$2:$C$1800,الريسبي!$A$2:$A$1800,$A23,الريسبي!$B$2:$B$1800,CF$1)</f>
        <v>0</v>
      </c>
      <c r="CG23" s="117" t="n">
        <f aca="false">SUMIFS(الريسبي!$C$2:$C$1800,الريسبي!$A$2:$A$1800,$A23,الريسبي!$B$2:$B$1800,CG$1)</f>
        <v>0</v>
      </c>
      <c r="CH23" s="117" t="n">
        <f aca="false">SUMIFS(الريسبي!$C$2:$C$1800,الريسبي!$A$2:$A$1800,$A23,الريسبي!$B$2:$B$1800,CH$1)</f>
        <v>0</v>
      </c>
      <c r="CI23" s="117" t="n">
        <f aca="false">SUMIFS(الريسبي!$C$2:$C$1800,الريسبي!$A$2:$A$1800,$A23,الريسبي!$B$2:$B$1800,CI$1)</f>
        <v>0</v>
      </c>
      <c r="CJ23" s="117" t="n">
        <f aca="false">SUMIFS(الريسبي!$C$2:$C$1800,الريسبي!$A$2:$A$1800,$A23,الريسبي!$B$2:$B$1800,CJ$1)</f>
        <v>0</v>
      </c>
      <c r="CK23" s="117" t="n">
        <f aca="false">SUMIFS(الريسبي!$C$2:$C$1800,الريسبي!$A$2:$A$1800,$A23,الريسبي!$B$2:$B$1800,CK$1)</f>
        <v>0</v>
      </c>
      <c r="CL23" s="117" t="n">
        <f aca="false">SUMIFS(الريسبي!$C$2:$C$1800,الريسبي!$A$2:$A$1800,$A23,الريسبي!$B$2:$B$1800,CL$1)</f>
        <v>0</v>
      </c>
    </row>
    <row r="24" customFormat="false" ht="15" hidden="false" customHeight="false" outlineLevel="0" collapsed="false">
      <c r="A24" s="116" t="str">
        <f aca="false">المنيو!B24</f>
        <v>فطيرة سدق وسط</v>
      </c>
      <c r="B24" s="117" t="n">
        <f aca="false">SUMIFS(الريسبي!$C$2:$C$1800,الريسبي!$A$2:$A$1800,$A24,الريسبي!$B$2:$B$1800,B$1)</f>
        <v>0</v>
      </c>
      <c r="C24" s="117" t="n">
        <f aca="false">SUMIFS(الريسبي!$C$2:$C$1800,الريسبي!$A$2:$A$1800,$A24,الريسبي!$B$2:$B$1800,C$1)</f>
        <v>0</v>
      </c>
      <c r="D24" s="117" t="n">
        <f aca="false">SUMIFS(الريسبي!$C$2:$C$1800,الريسبي!$A$2:$A$1800,$A24,الريسبي!$B$2:$B$1800,D$1)</f>
        <v>1</v>
      </c>
      <c r="E24" s="117" t="n">
        <f aca="false">SUMIFS(الريسبي!$C$2:$C$1800,الريسبي!$A$2:$A$1800,$A24,الريسبي!$B$2:$B$1800,E$1)</f>
        <v>0</v>
      </c>
      <c r="F24" s="117" t="n">
        <f aca="false">SUMIFS(الريسبي!$C$2:$C$1800,الريسبي!$A$2:$A$1800,$A24,الريسبي!$B$2:$B$1800,F$1)</f>
        <v>0</v>
      </c>
      <c r="G24" s="117" t="n">
        <f aca="false">SUMIFS(الريسبي!$C$2:$C$1800,الريسبي!$A$2:$A$1800,$A24,الريسبي!$B$2:$B$1800,G$1)</f>
        <v>0</v>
      </c>
      <c r="H24" s="117" t="n">
        <f aca="false">SUMIFS(الريسبي!$C$2:$C$1800,الريسبي!$A$2:$A$1800,$A24,الريسبي!$B$2:$B$1800,H$1)</f>
        <v>0</v>
      </c>
      <c r="I24" s="117" t="n">
        <f aca="false">SUMIFS(الريسبي!$C$2:$C$1800,الريسبي!$A$2:$A$1800,$A24,الريسبي!$B$2:$B$1800,I$1)</f>
        <v>0</v>
      </c>
      <c r="J24" s="117" t="n">
        <f aca="false">SUMIFS(الريسبي!$C$2:$C$1800,الريسبي!$A$2:$A$1800,$A24,الريسبي!$B$2:$B$1800,J$1)</f>
        <v>1</v>
      </c>
      <c r="K24" s="117" t="n">
        <f aca="false">SUMIFS(الريسبي!$C$2:$C$1800,الريسبي!$A$2:$A$1800,$A24,الريسبي!$B$2:$B$1800,K$1)</f>
        <v>0</v>
      </c>
      <c r="L24" s="117" t="n">
        <f aca="false">SUMIFS(الريسبي!$C$2:$C$1800,الريسبي!$A$2:$A$1800,$A24,الريسبي!$B$2:$B$1800,L$1)</f>
        <v>1</v>
      </c>
      <c r="M24" s="117" t="n">
        <f aca="false">SUMIFS(الريسبي!$C$2:$C$1800,الريسبي!$A$2:$A$1800,$A24,الريسبي!$B$2:$B$1800,M$1)</f>
        <v>0</v>
      </c>
      <c r="N24" s="117" t="n">
        <f aca="false">SUMIFS(الريسبي!$C$2:$C$1800,الريسبي!$A$2:$A$1800,$A24,الريسبي!$B$2:$B$1800,N$1)</f>
        <v>0</v>
      </c>
      <c r="O24" s="117" t="n">
        <f aca="false">SUMIFS(الريسبي!$C$2:$C$1800,الريسبي!$A$2:$A$1800,$A24,الريسبي!$B$2:$B$1800,O$1)</f>
        <v>0</v>
      </c>
      <c r="P24" s="117" t="n">
        <f aca="false">SUMIFS(الريسبي!$C$2:$C$1800,الريسبي!$A$2:$A$1800,$A24,الريسبي!$B$2:$B$1800,P$1)</f>
        <v>0</v>
      </c>
      <c r="Q24" s="117" t="n">
        <f aca="false">SUMIFS(الريسبي!$C$2:$C$1800,الريسبي!$A$2:$A$1800,$A24,الريسبي!$B$2:$B$1800,Q$1)</f>
        <v>0</v>
      </c>
      <c r="R24" s="117" t="n">
        <f aca="false">SUMIFS(الريسبي!$C$2:$C$1800,الريسبي!$A$2:$A$1800,$A24,الريسبي!$B$2:$B$1800,R$1)</f>
        <v>0</v>
      </c>
      <c r="S24" s="117" t="n">
        <f aca="false">SUMIFS(الريسبي!$C$2:$C$1800,الريسبي!$A$2:$A$1800,$A24,الريسبي!$B$2:$B$1800,S$1)</f>
        <v>0</v>
      </c>
      <c r="T24" s="117" t="n">
        <f aca="false">SUMIFS(الريسبي!$C$2:$C$1800,الريسبي!$A$2:$A$1800,$A24,الريسبي!$B$2:$B$1800,T$1)</f>
        <v>0</v>
      </c>
      <c r="U24" s="117" t="n">
        <f aca="false">SUMIFS(الريسبي!$C$2:$C$1800,الريسبي!$A$2:$A$1800,$A24,الريسبي!$B$2:$B$1800,U$1)</f>
        <v>0</v>
      </c>
      <c r="V24" s="117" t="n">
        <f aca="false">SUMIFS(الريسبي!$C$2:$C$1800,الريسبي!$A$2:$A$1800,$A24,الريسبي!$B$2:$B$1800,V$1)</f>
        <v>0</v>
      </c>
      <c r="W24" s="117" t="n">
        <f aca="false">SUMIFS(الريسبي!$C$2:$C$1800,الريسبي!$A$2:$A$1800,$A24,الريسبي!$B$2:$B$1800,W$1)</f>
        <v>0</v>
      </c>
      <c r="X24" s="117" t="n">
        <f aca="false">SUMIFS(الريسبي!$C$2:$C$1800,الريسبي!$A$2:$A$1800,$A24,الريسبي!$B$2:$B$1800,X$1)</f>
        <v>1</v>
      </c>
      <c r="Y24" s="117" t="n">
        <f aca="false">SUMIFS(الريسبي!$C$2:$C$1800,الريسبي!$A$2:$A$1800,$A24,الريسبي!$B$2:$B$1800,Y$1)</f>
        <v>0</v>
      </c>
      <c r="Z24" s="117" t="n">
        <f aca="false">SUMIFS(الريسبي!$C$2:$C$1800,الريسبي!$A$2:$A$1800,$A24,الريسبي!$B$2:$B$1800,Z$1)</f>
        <v>0</v>
      </c>
      <c r="AA24" s="117" t="n">
        <f aca="false">SUMIFS(الريسبي!$C$2:$C$1800,الريسبي!$A$2:$A$1800,$A24,الريسبي!$B$2:$B$1800,AA$1)</f>
        <v>0</v>
      </c>
      <c r="AB24" s="117" t="n">
        <f aca="false">SUMIFS(الريسبي!$C$2:$C$1800,الريسبي!$A$2:$A$1800,$A24,الريسبي!$B$2:$B$1800,AB$1)</f>
        <v>0</v>
      </c>
      <c r="AC24" s="117" t="n">
        <f aca="false">SUMIFS(الريسبي!$C$2:$C$1800,الريسبي!$A$2:$A$1800,$A24,الريسبي!$B$2:$B$1800,AC$1)</f>
        <v>0</v>
      </c>
      <c r="AD24" s="117" t="n">
        <f aca="false">SUMIFS(الريسبي!$C$2:$C$1800,الريسبي!$A$2:$A$1800,$A24,الريسبي!$B$2:$B$1800,AD$1)</f>
        <v>0</v>
      </c>
      <c r="AE24" s="117" t="n">
        <f aca="false">SUMIFS(الريسبي!$C$2:$C$1800,الريسبي!$A$2:$A$1800,$A24,الريسبي!$B$2:$B$1800,AE$1)</f>
        <v>0</v>
      </c>
      <c r="AF24" s="117" t="n">
        <f aca="false">SUMIFS(الريسبي!$C$2:$C$1800,الريسبي!$A$2:$A$1800,$A24,الريسبي!$B$2:$B$1800,AF$1)</f>
        <v>0</v>
      </c>
      <c r="AG24" s="117" t="n">
        <f aca="false">SUMIFS(الريسبي!$C$2:$C$1800,الريسبي!$A$2:$A$1800,$A24,الريسبي!$B$2:$B$1800,AG$1)</f>
        <v>0</v>
      </c>
      <c r="AH24" s="117" t="n">
        <f aca="false">SUMIFS(الريسبي!$C$2:$C$1800,الريسبي!$A$2:$A$1800,$A24,الريسبي!$B$2:$B$1800,AH$1)</f>
        <v>0</v>
      </c>
      <c r="AI24" s="117" t="n">
        <f aca="false">SUMIFS(الريسبي!$C$2:$C$1800,الريسبي!$A$2:$A$1800,$A24,الريسبي!$B$2:$B$1800,AI$1)</f>
        <v>0</v>
      </c>
      <c r="AJ24" s="117" t="n">
        <f aca="false">SUMIFS(الريسبي!$C$2:$C$1800,الريسبي!$A$2:$A$1800,$A24,الريسبي!$B$2:$B$1800,AJ$1)</f>
        <v>2</v>
      </c>
      <c r="AK24" s="117" t="n">
        <f aca="false">SUMIFS(الريسبي!$C$2:$C$1800,الريسبي!$A$2:$A$1800,$A24,الريسبي!$B$2:$B$1800,AK$1)</f>
        <v>0</v>
      </c>
      <c r="AL24" s="117" t="n">
        <f aca="false">SUMIFS(الريسبي!$C$2:$C$1800,الريسبي!$A$2:$A$1800,$A24,الريسبي!$B$2:$B$1800,AL$1)</f>
        <v>0</v>
      </c>
      <c r="AM24" s="117" t="n">
        <f aca="false">SUMIFS(الريسبي!$C$2:$C$1800,الريسبي!$A$2:$A$1800,$A24,الريسبي!$B$2:$B$1800,AM$1)+0.08333333333*SUMIFS(الريسبي!$C$2:$C$1800,الريسبي!$A$2:$A$1800,$A24,الريسبي!$B$2:$B$1800,"عجين كريب (مصنع بالمطعم)")+0.08333333333*SUMIFS(الريسبي!$C$2:$C$1800,الريسبي!$A$2:$A$1800,$A24,الريسبي!$B$2:$B$1800,"عجين كريب صيامي (بدون لبن)")</f>
        <v>0</v>
      </c>
      <c r="AN24" s="117" t="n">
        <f aca="false">SUMIFS(الريسبي!$C$2:$C$1800,الريسبي!$A$2:$A$1800,$A24,الريسبي!$B$2:$B$1800,AN$1)+0.004166666667*SUMIFS(الريسبي!$C$2:$C$1800,الريسبي!$A$2:$A$1800,$A24,الريسبي!$B$2:$B$1800,"عجين كريب (مصنع بالمطعم)")+0.004166666667*SUMIFS(الريسبي!$C$2:$C$1800,الريسبي!$A$2:$A$1800,$A24,الريسبي!$B$2:$B$1800,"عجين كريب صيامي (بدون لبن)")</f>
        <v>0</v>
      </c>
      <c r="AO24" s="117" t="n">
        <f aca="false">SUMIFS(الريسبي!$C$2:$C$1800,الريسبي!$A$2:$A$1800,$A24,الريسبي!$B$2:$B$1800,AO$1)</f>
        <v>0</v>
      </c>
      <c r="AP24" s="117" t="n">
        <f aca="false">SUMIFS(الريسبي!$C$2:$C$1800,الريسبي!$A$2:$A$1800,$A24,الريسبي!$B$2:$B$1800,AP$1)</f>
        <v>0.02</v>
      </c>
      <c r="AQ24" s="117" t="n">
        <f aca="false">SUMIFS(الريسبي!$C$2:$C$1800,الريسبي!$A$2:$A$1800,$A24,الريسبي!$B$2:$B$1800,AQ$1)+0.004166666667*SUMIFS(الريسبي!$C$2:$C$1800,الريسبي!$A$2:$A$1800,$A24,الريسبي!$B$2:$B$1800,"عجين كريب (مصنع بالمطعم)")+0.004166666667*SUMIFS(الريسبي!$C$2:$C$1800,الريسبي!$A$2:$A$1800,$A24,الريسبي!$B$2:$B$1800,"عجين كريب صيامي (بدون لبن)")</f>
        <v>0</v>
      </c>
      <c r="AR24" s="117" t="n">
        <f aca="false">SUMIFS(الريسبي!$C$2:$C$1800,الريسبي!$A$2:$A$1800,$A24,الريسبي!$B$2:$B$1800,AR$1)</f>
        <v>0</v>
      </c>
      <c r="AS24" s="117" t="n">
        <f aca="false">SUMIFS(الريسبي!$C$2:$C$1800,الريسبي!$A$2:$A$1800,$A24,الريسبي!$B$2:$B$1800,AS$1)</f>
        <v>0</v>
      </c>
      <c r="AT24" s="117" t="n">
        <f aca="false">SUMIFS(الريسبي!$C$2:$C$1800,الريسبي!$A$2:$A$1800,$A24,الريسبي!$B$2:$B$1800,AT$1)</f>
        <v>0</v>
      </c>
      <c r="AU24" s="117" t="n">
        <f aca="false">SUMIFS(الريسبي!$C$2:$C$1800,الريسبي!$A$2:$A$1800,$A24,الريسبي!$B$2:$B$1800,AU$1)</f>
        <v>0</v>
      </c>
      <c r="AV24" s="117" t="n">
        <f aca="false">SUMIFS(الريسبي!$C$2:$C$1800,الريسبي!$A$2:$A$1800,$A24,الريسبي!$B$2:$B$1800,AV$1)</f>
        <v>0</v>
      </c>
      <c r="AW24" s="117" t="n">
        <f aca="false">SUMIFS(الريسبي!$C$2:$C$1800,الريسبي!$A$2:$A$1800,$A24,الريسبي!$B$2:$B$1800,AW$1)</f>
        <v>0</v>
      </c>
      <c r="AX24" s="117" t="n">
        <f aca="false">SUMIFS(الريسبي!$C$2:$C$1800,الريسبي!$A$2:$A$1800,$A24,الريسبي!$B$2:$B$1800,AX$1)</f>
        <v>0</v>
      </c>
      <c r="AY24" s="117" t="n">
        <f aca="false">SUMIFS(الريسبي!$C$2:$C$1800,الريسبي!$A$2:$A$1800,$A24,الريسبي!$B$2:$B$1800,AY$1)</f>
        <v>0</v>
      </c>
      <c r="AZ24" s="117" t="n">
        <f aca="false">SUMIFS(الريسبي!$C$2:$C$1800,الريسبي!$A$2:$A$1800,$A24,الريسبي!$B$2:$B$1800,AZ$1)</f>
        <v>0</v>
      </c>
      <c r="BA24" s="117" t="n">
        <f aca="false">SUMIFS(الريسبي!$C$2:$C$1800,الريسبي!$A$2:$A$1800,$A24,الريسبي!$B$2:$B$1800,BA$1)</f>
        <v>0</v>
      </c>
      <c r="BB24" s="117" t="n">
        <f aca="false">SUMIFS(الريسبي!$C$2:$C$1800,الريسبي!$A$2:$A$1800,$A24,الريسبي!$B$2:$B$1800,BB$1)</f>
        <v>0</v>
      </c>
      <c r="BC24" s="117" t="n">
        <f aca="false">SUMIFS(الريسبي!$C$2:$C$1800,الريسبي!$A$2:$A$1800,$A24,الريسبي!$B$2:$B$1800,BC$1)</f>
        <v>0.03</v>
      </c>
      <c r="BD24" s="117" t="n">
        <f aca="false">SUMIFS(الريسبي!$C$2:$C$1800,الريسبي!$A$2:$A$1800,$A24,الريسبي!$B$2:$B$1800,BD$1)</f>
        <v>0</v>
      </c>
      <c r="BE24" s="117" t="n">
        <f aca="false">SUMIFS(الريسبي!$C$2:$C$1800,الريسبي!$A$2:$A$1800,$A24,الريسبي!$B$2:$B$1800,BE$1)</f>
        <v>1</v>
      </c>
      <c r="BF24" s="117" t="n">
        <f aca="false">SUMIFS(الريسبي!$C$2:$C$1800,الريسبي!$A$2:$A$1800,$A24,الريسبي!$B$2:$B$1800,BF$1)</f>
        <v>0</v>
      </c>
      <c r="BG24" s="117" t="n">
        <f aca="false">SUMIFS(الريسبي!$C$2:$C$1800,الريسبي!$A$2:$A$1800,$A24,الريسبي!$B$2:$B$1800,BG$1)</f>
        <v>0</v>
      </c>
      <c r="BH24" s="117" t="n">
        <f aca="false">SUMIFS(الريسبي!$C$2:$C$1800,الريسبي!$A$2:$A$1800,$A24,الريسبي!$B$2:$B$1800,BH$1)</f>
        <v>1</v>
      </c>
      <c r="BI24" s="117" t="n">
        <f aca="false">SUMIFS(الريسبي!$C$2:$C$1800,الريسبي!$A$2:$A$1800,$A24,الريسبي!$B$2:$B$1800,BI$1)</f>
        <v>0</v>
      </c>
      <c r="BJ24" s="117" t="n">
        <f aca="false">SUMIFS(الريسبي!$C$2:$C$1800,الريسبي!$A$2:$A$1800,$A24,الريسبي!$B$2:$B$1800,BJ$1)</f>
        <v>0</v>
      </c>
      <c r="BK24" s="117" t="n">
        <f aca="false">SUMIFS(الريسبي!$C$2:$C$1800,الريسبي!$A$2:$A$1800,$A24,الريسبي!$B$2:$B$1800,BK$1)</f>
        <v>0</v>
      </c>
      <c r="BL24" s="117" t="n">
        <f aca="false">SUMIFS(الريسبي!$C$2:$C$1800,الريسبي!$A$2:$A$1800,$A24,الريسبي!$B$2:$B$1800,BL$1)</f>
        <v>0</v>
      </c>
      <c r="BM24" s="117" t="n">
        <f aca="false">SUMIFS(الريسبي!$C$2:$C$1800,الريسبي!$A$2:$A$1800,$A24,الريسبي!$B$2:$B$1800,BM$1)</f>
        <v>0</v>
      </c>
      <c r="BN24" s="117" t="n">
        <f aca="false">SUMIFS(الريسبي!$C$2:$C$1800,الريسبي!$A$2:$A$1800,$A24,الريسبي!$B$2:$B$1800,BN$1)</f>
        <v>0.02</v>
      </c>
      <c r="BO24" s="117" t="n">
        <f aca="false">SUMIFS(الريسبي!$C$2:$C$1800,الريسبي!$A$2:$A$1800,$A24,الريسبي!$B$2:$B$1800,BO$1)</f>
        <v>0</v>
      </c>
      <c r="BP24" s="117" t="n">
        <f aca="false">SUMIFS(الريسبي!$C$2:$C$1800,الريسبي!$A$2:$A$1800,$A24,الريسبي!$B$2:$B$1800,BP$1)</f>
        <v>2</v>
      </c>
      <c r="BQ24" s="117" t="n">
        <f aca="false">SUMIFS(الريسبي!$C$2:$C$1800,الريسبي!$A$2:$A$1800,$A24,الريسبي!$B$2:$B$1800,BQ$1)+0.17*SUMIFS(الريسبي!$C$2:$C$1800,الريسبي!$A$2:$A$1800,$A24,الريسبي!$B$2:$B$1800,"كاسترد مصنع (خليط بودر + لبن)")+0.17*SUMIFS(الريسبي!$C$2:$C$1800,الريسبي!$A$2:$A$1800,$A24,الريسبي!$B$2:$B$1800,"كاسترد مصنع صيامي (بدون لبن)")</f>
        <v>0</v>
      </c>
      <c r="BR24" s="117" t="n">
        <f aca="false">SUMIFS(الريسبي!$C$2:$C$1800,الريسبي!$A$2:$A$1800,$A24,الريسبي!$B$2:$B$1800,BR$1)</f>
        <v>1</v>
      </c>
      <c r="BS24" s="117" t="n">
        <f aca="false">SUMIFS(الريسبي!$C$2:$C$1800,الريسبي!$A$2:$A$1800,$A24,الريسبي!$B$2:$B$1800,BS$1)</f>
        <v>0</v>
      </c>
      <c r="BT24" s="117" t="n">
        <f aca="false">SUMIFS(الريسبي!$C$2:$C$1800,الريسبي!$A$2:$A$1800,$A24,الريسبي!$B$2:$B$1800,BT$1)</f>
        <v>0</v>
      </c>
      <c r="BU24" s="117" t="n">
        <f aca="false">SUMIFS(الريسبي!$C$2:$C$1800,الريسبي!$A$2:$A$1800,$A24,الريسبي!$B$2:$B$1800,BU$1)+0.4*SUMIFS(الريسبي!$C$2:$C$1800,الريسبي!$A$2:$A$1800,$A24,الريسبي!$B$2:$B$1800,"كاسترد مصنع (خليط بودر + لبن)")+0.03333333333*SUMIFS(الريسبي!$C$2:$C$1800,الريسبي!$A$2:$A$1800,$A24,الريسبي!$B$2:$B$1800,"عجين كريب (مصنع بالمطعم)")</f>
        <v>0</v>
      </c>
      <c r="BV24" s="117" t="n">
        <f aca="false">SUMIFS(الريسبي!$C$2:$C$1800,الريسبي!$A$2:$A$1800,$A24,الريسبي!$B$2:$B$1800,BV$1)</f>
        <v>0</v>
      </c>
      <c r="BW24" s="117" t="n">
        <f aca="false">SUMIFS(الريسبي!$C$2:$C$1800,الريسبي!$A$2:$A$1800,$A24,الريسبي!$B$2:$B$1800,BW$1)</f>
        <v>0</v>
      </c>
      <c r="BX24" s="117" t="n">
        <f aca="false">SUMIFS(الريسبي!$C$2:$C$1800,الريسبي!$A$2:$A$1800,$A24,الريسبي!$B$2:$B$1800,BX$1)</f>
        <v>0</v>
      </c>
      <c r="BY24" s="117" t="n">
        <f aca="false">SUMIFS(الريسبي!$C$2:$C$1800,الريسبي!$A$2:$A$1800,$A24,الريسبي!$B$2:$B$1800,BY$1)</f>
        <v>0</v>
      </c>
      <c r="BZ24" s="117" t="n">
        <f aca="false">SUMIFS(الريسبي!$C$2:$C$1800,الريسبي!$A$2:$A$1800,$A24,الريسبي!$B$2:$B$1800,BZ$1)</f>
        <v>0</v>
      </c>
      <c r="CA24" s="117" t="n">
        <f aca="false">SUMIFS(الريسبي!$C$2:$C$1800,الريسبي!$A$2:$A$1800,$A24,الريسبي!$B$2:$B$1800,CA$1)</f>
        <v>1</v>
      </c>
      <c r="CB24" s="117" t="n">
        <f aca="false">SUMIFS(الريسبي!$C$2:$C$1800,الريسبي!$A$2:$A$1800,$A24,الريسبي!$B$2:$B$1800,CB$1)</f>
        <v>1</v>
      </c>
      <c r="CC24" s="117" t="n">
        <f aca="false">SUMIFS(الريسبي!$C$2:$C$1800,الريسبي!$A$2:$A$1800,$A24,الريسبي!$B$2:$B$1800,CC$1)</f>
        <v>0</v>
      </c>
      <c r="CD24" s="117" t="n">
        <f aca="false">SUMIFS(الريسبي!$C$2:$C$1800,الريسبي!$A$2:$A$1800,$A24,الريسبي!$B$2:$B$1800,CD$1)</f>
        <v>0</v>
      </c>
      <c r="CE24" s="117" t="n">
        <f aca="false">SUMIFS(الريسبي!$C$2:$C$1800,الريسبي!$A$2:$A$1800,$A24,الريسبي!$B$2:$B$1800,CE$1)</f>
        <v>0</v>
      </c>
      <c r="CF24" s="117" t="n">
        <f aca="false">SUMIFS(الريسبي!$C$2:$C$1800,الريسبي!$A$2:$A$1800,$A24,الريسبي!$B$2:$B$1800,CF$1)</f>
        <v>0</v>
      </c>
      <c r="CG24" s="117" t="n">
        <f aca="false">SUMIFS(الريسبي!$C$2:$C$1800,الريسبي!$A$2:$A$1800,$A24,الريسبي!$B$2:$B$1800,CG$1)</f>
        <v>0</v>
      </c>
      <c r="CH24" s="117" t="n">
        <f aca="false">SUMIFS(الريسبي!$C$2:$C$1800,الريسبي!$A$2:$A$1800,$A24,الريسبي!$B$2:$B$1800,CH$1)</f>
        <v>0</v>
      </c>
      <c r="CI24" s="117" t="n">
        <f aca="false">SUMIFS(الريسبي!$C$2:$C$1800,الريسبي!$A$2:$A$1800,$A24,الريسبي!$B$2:$B$1800,CI$1)</f>
        <v>0</v>
      </c>
      <c r="CJ24" s="117" t="n">
        <f aca="false">SUMIFS(الريسبي!$C$2:$C$1800,الريسبي!$A$2:$A$1800,$A24,الريسبي!$B$2:$B$1800,CJ$1)</f>
        <v>0</v>
      </c>
      <c r="CK24" s="117" t="n">
        <f aca="false">SUMIFS(الريسبي!$C$2:$C$1800,الريسبي!$A$2:$A$1800,$A24,الريسبي!$B$2:$B$1800,CK$1)</f>
        <v>0</v>
      </c>
      <c r="CL24" s="117" t="n">
        <f aca="false">SUMIFS(الريسبي!$C$2:$C$1800,الريسبي!$A$2:$A$1800,$A24,الريسبي!$B$2:$B$1800,CL$1)</f>
        <v>0</v>
      </c>
    </row>
    <row r="25" customFormat="false" ht="15" hidden="false" customHeight="false" outlineLevel="0" collapsed="false">
      <c r="A25" s="116" t="str">
        <f aca="false">المنيو!B25</f>
        <v>فطيرة سدق حجم اكبر</v>
      </c>
      <c r="B25" s="117" t="n">
        <f aca="false">SUMIFS(الريسبي!$C$2:$C$1800,الريسبي!$A$2:$A$1800,$A25,الريسبي!$B$2:$B$1800,B$1)</f>
        <v>0</v>
      </c>
      <c r="C25" s="117" t="n">
        <f aca="false">SUMIFS(الريسبي!$C$2:$C$1800,الريسبي!$A$2:$A$1800,$A25,الريسبي!$B$2:$B$1800,C$1)</f>
        <v>0</v>
      </c>
      <c r="D25" s="117" t="n">
        <f aca="false">SUMIFS(الريسبي!$C$2:$C$1800,الريسبي!$A$2:$A$1800,$A25,الريسبي!$B$2:$B$1800,D$1)</f>
        <v>1</v>
      </c>
      <c r="E25" s="117" t="n">
        <f aca="false">SUMIFS(الريسبي!$C$2:$C$1800,الريسبي!$A$2:$A$1800,$A25,الريسبي!$B$2:$B$1800,E$1)</f>
        <v>0</v>
      </c>
      <c r="F25" s="117" t="n">
        <f aca="false">SUMIFS(الريسبي!$C$2:$C$1800,الريسبي!$A$2:$A$1800,$A25,الريسبي!$B$2:$B$1800,F$1)</f>
        <v>0</v>
      </c>
      <c r="G25" s="117" t="n">
        <f aca="false">SUMIFS(الريسبي!$C$2:$C$1800,الريسبي!$A$2:$A$1800,$A25,الريسبي!$B$2:$B$1800,G$1)</f>
        <v>0</v>
      </c>
      <c r="H25" s="117" t="n">
        <f aca="false">SUMIFS(الريسبي!$C$2:$C$1800,الريسبي!$A$2:$A$1800,$A25,الريسبي!$B$2:$B$1800,H$1)</f>
        <v>0</v>
      </c>
      <c r="I25" s="117" t="n">
        <f aca="false">SUMIFS(الريسبي!$C$2:$C$1800,الريسبي!$A$2:$A$1800,$A25,الريسبي!$B$2:$B$1800,I$1)</f>
        <v>0</v>
      </c>
      <c r="J25" s="117" t="n">
        <f aca="false">SUMIFS(الريسبي!$C$2:$C$1800,الريسبي!$A$2:$A$1800,$A25,الريسبي!$B$2:$B$1800,J$1)</f>
        <v>1.5</v>
      </c>
      <c r="K25" s="117" t="n">
        <f aca="false">SUMIFS(الريسبي!$C$2:$C$1800,الريسبي!$A$2:$A$1800,$A25,الريسبي!$B$2:$B$1800,K$1)</f>
        <v>0</v>
      </c>
      <c r="L25" s="117" t="n">
        <f aca="false">SUMIFS(الريسبي!$C$2:$C$1800,الريسبي!$A$2:$A$1800,$A25,الريسبي!$B$2:$B$1800,L$1)</f>
        <v>0</v>
      </c>
      <c r="M25" s="117" t="n">
        <f aca="false">SUMIFS(الريسبي!$C$2:$C$1800,الريسبي!$A$2:$A$1800,$A25,الريسبي!$B$2:$B$1800,M$1)</f>
        <v>1</v>
      </c>
      <c r="N25" s="117" t="n">
        <f aca="false">SUMIFS(الريسبي!$C$2:$C$1800,الريسبي!$A$2:$A$1800,$A25,الريسبي!$B$2:$B$1800,N$1)</f>
        <v>0</v>
      </c>
      <c r="O25" s="117" t="n">
        <f aca="false">SUMIFS(الريسبي!$C$2:$C$1800,الريسبي!$A$2:$A$1800,$A25,الريسبي!$B$2:$B$1800,O$1)</f>
        <v>0</v>
      </c>
      <c r="P25" s="117" t="n">
        <f aca="false">SUMIFS(الريسبي!$C$2:$C$1800,الريسبي!$A$2:$A$1800,$A25,الريسبي!$B$2:$B$1800,P$1)</f>
        <v>0</v>
      </c>
      <c r="Q25" s="117" t="n">
        <f aca="false">SUMIFS(الريسبي!$C$2:$C$1800,الريسبي!$A$2:$A$1800,$A25,الريسبي!$B$2:$B$1800,Q$1)</f>
        <v>0</v>
      </c>
      <c r="R25" s="117" t="n">
        <f aca="false">SUMIFS(الريسبي!$C$2:$C$1800,الريسبي!$A$2:$A$1800,$A25,الريسبي!$B$2:$B$1800,R$1)</f>
        <v>0</v>
      </c>
      <c r="S25" s="117" t="n">
        <f aca="false">SUMIFS(الريسبي!$C$2:$C$1800,الريسبي!$A$2:$A$1800,$A25,الريسبي!$B$2:$B$1800,S$1)</f>
        <v>0</v>
      </c>
      <c r="T25" s="117" t="n">
        <f aca="false">SUMIFS(الريسبي!$C$2:$C$1800,الريسبي!$A$2:$A$1800,$A25,الريسبي!$B$2:$B$1800,T$1)</f>
        <v>0</v>
      </c>
      <c r="U25" s="117" t="n">
        <f aca="false">SUMIFS(الريسبي!$C$2:$C$1800,الريسبي!$A$2:$A$1800,$A25,الريسبي!$B$2:$B$1800,U$1)</f>
        <v>0</v>
      </c>
      <c r="V25" s="117" t="n">
        <f aca="false">SUMIFS(الريسبي!$C$2:$C$1800,الريسبي!$A$2:$A$1800,$A25,الريسبي!$B$2:$B$1800,V$1)</f>
        <v>0</v>
      </c>
      <c r="W25" s="117" t="n">
        <f aca="false">SUMIFS(الريسبي!$C$2:$C$1800,الريسبي!$A$2:$A$1800,$A25,الريسبي!$B$2:$B$1800,W$1)</f>
        <v>0</v>
      </c>
      <c r="X25" s="117" t="n">
        <f aca="false">SUMIFS(الريسبي!$C$2:$C$1800,الريسبي!$A$2:$A$1800,$A25,الريسبي!$B$2:$B$1800,X$1)</f>
        <v>0</v>
      </c>
      <c r="Y25" s="117" t="n">
        <f aca="false">SUMIFS(الريسبي!$C$2:$C$1800,الريسبي!$A$2:$A$1800,$A25,الريسبي!$B$2:$B$1800,Y$1)</f>
        <v>1</v>
      </c>
      <c r="Z25" s="117" t="n">
        <f aca="false">SUMIFS(الريسبي!$C$2:$C$1800,الريسبي!$A$2:$A$1800,$A25,الريسبي!$B$2:$B$1800,Z$1)</f>
        <v>0</v>
      </c>
      <c r="AA25" s="117" t="n">
        <f aca="false">SUMIFS(الريسبي!$C$2:$C$1800,الريسبي!$A$2:$A$1800,$A25,الريسبي!$B$2:$B$1800,AA$1)</f>
        <v>0</v>
      </c>
      <c r="AB25" s="117" t="n">
        <f aca="false">SUMIFS(الريسبي!$C$2:$C$1800,الريسبي!$A$2:$A$1800,$A25,الريسبي!$B$2:$B$1800,AB$1)</f>
        <v>0</v>
      </c>
      <c r="AC25" s="117" t="n">
        <f aca="false">SUMIFS(الريسبي!$C$2:$C$1800,الريسبي!$A$2:$A$1800,$A25,الريسبي!$B$2:$B$1800,AC$1)</f>
        <v>0</v>
      </c>
      <c r="AD25" s="117" t="n">
        <f aca="false">SUMIFS(الريسبي!$C$2:$C$1800,الريسبي!$A$2:$A$1800,$A25,الريسبي!$B$2:$B$1800,AD$1)</f>
        <v>0</v>
      </c>
      <c r="AE25" s="117" t="n">
        <f aca="false">SUMIFS(الريسبي!$C$2:$C$1800,الريسبي!$A$2:$A$1800,$A25,الريسبي!$B$2:$B$1800,AE$1)</f>
        <v>0</v>
      </c>
      <c r="AF25" s="117" t="n">
        <f aca="false">SUMIFS(الريسبي!$C$2:$C$1800,الريسبي!$A$2:$A$1800,$A25,الريسبي!$B$2:$B$1800,AF$1)</f>
        <v>0</v>
      </c>
      <c r="AG25" s="117" t="n">
        <f aca="false">SUMIFS(الريسبي!$C$2:$C$1800,الريسبي!$A$2:$A$1800,$A25,الريسبي!$B$2:$B$1800,AG$1)</f>
        <v>0</v>
      </c>
      <c r="AH25" s="117" t="n">
        <f aca="false">SUMIFS(الريسبي!$C$2:$C$1800,الريسبي!$A$2:$A$1800,$A25,الريسبي!$B$2:$B$1800,AH$1)</f>
        <v>0</v>
      </c>
      <c r="AI25" s="117" t="n">
        <f aca="false">SUMIFS(الريسبي!$C$2:$C$1800,الريسبي!$A$2:$A$1800,$A25,الريسبي!$B$2:$B$1800,AI$1)</f>
        <v>0</v>
      </c>
      <c r="AJ25" s="117" t="n">
        <f aca="false">SUMIFS(الريسبي!$C$2:$C$1800,الريسبي!$A$2:$A$1800,$A25,الريسبي!$B$2:$B$1800,AJ$1)</f>
        <v>2</v>
      </c>
      <c r="AK25" s="117" t="n">
        <f aca="false">SUMIFS(الريسبي!$C$2:$C$1800,الريسبي!$A$2:$A$1800,$A25,الريسبي!$B$2:$B$1800,AK$1)</f>
        <v>0</v>
      </c>
      <c r="AL25" s="117" t="n">
        <f aca="false">SUMIFS(الريسبي!$C$2:$C$1800,الريسبي!$A$2:$A$1800,$A25,الريسبي!$B$2:$B$1800,AL$1)</f>
        <v>0</v>
      </c>
      <c r="AM25" s="117" t="n">
        <f aca="false">SUMIFS(الريسبي!$C$2:$C$1800,الريسبي!$A$2:$A$1800,$A25,الريسبي!$B$2:$B$1800,AM$1)+0.08333333333*SUMIFS(الريسبي!$C$2:$C$1800,الريسبي!$A$2:$A$1800,$A25,الريسبي!$B$2:$B$1800,"عجين كريب (مصنع بالمطعم)")+0.08333333333*SUMIFS(الريسبي!$C$2:$C$1800,الريسبي!$A$2:$A$1800,$A25,الريسبي!$B$2:$B$1800,"عجين كريب صيامي (بدون لبن)")</f>
        <v>0</v>
      </c>
      <c r="AN25" s="117" t="n">
        <f aca="false">SUMIFS(الريسبي!$C$2:$C$1800,الريسبي!$A$2:$A$1800,$A25,الريسبي!$B$2:$B$1800,AN$1)+0.004166666667*SUMIFS(الريسبي!$C$2:$C$1800,الريسبي!$A$2:$A$1800,$A25,الريسبي!$B$2:$B$1800,"عجين كريب (مصنع بالمطعم)")+0.004166666667*SUMIFS(الريسبي!$C$2:$C$1800,الريسبي!$A$2:$A$1800,$A25,الريسبي!$B$2:$B$1800,"عجين كريب صيامي (بدون لبن)")</f>
        <v>0</v>
      </c>
      <c r="AO25" s="117" t="n">
        <f aca="false">SUMIFS(الريسبي!$C$2:$C$1800,الريسبي!$A$2:$A$1800,$A25,الريسبي!$B$2:$B$1800,AO$1)</f>
        <v>0</v>
      </c>
      <c r="AP25" s="117" t="n">
        <f aca="false">SUMIFS(الريسبي!$C$2:$C$1800,الريسبي!$A$2:$A$1800,$A25,الريسبي!$B$2:$B$1800,AP$1)</f>
        <v>0.03</v>
      </c>
      <c r="AQ25" s="117" t="n">
        <f aca="false">SUMIFS(الريسبي!$C$2:$C$1800,الريسبي!$A$2:$A$1800,$A25,الريسبي!$B$2:$B$1800,AQ$1)+0.004166666667*SUMIFS(الريسبي!$C$2:$C$1800,الريسبي!$A$2:$A$1800,$A25,الريسبي!$B$2:$B$1800,"عجين كريب (مصنع بالمطعم)")+0.004166666667*SUMIFS(الريسبي!$C$2:$C$1800,الريسبي!$A$2:$A$1800,$A25,الريسبي!$B$2:$B$1800,"عجين كريب صيامي (بدون لبن)")</f>
        <v>0</v>
      </c>
      <c r="AR25" s="117" t="n">
        <f aca="false">SUMIFS(الريسبي!$C$2:$C$1800,الريسبي!$A$2:$A$1800,$A25,الريسبي!$B$2:$B$1800,AR$1)</f>
        <v>0</v>
      </c>
      <c r="AS25" s="117" t="n">
        <f aca="false">SUMIFS(الريسبي!$C$2:$C$1800,الريسبي!$A$2:$A$1800,$A25,الريسبي!$B$2:$B$1800,AS$1)</f>
        <v>0</v>
      </c>
      <c r="AT25" s="117" t="n">
        <f aca="false">SUMIFS(الريسبي!$C$2:$C$1800,الريسبي!$A$2:$A$1800,$A25,الريسبي!$B$2:$B$1800,AT$1)</f>
        <v>0</v>
      </c>
      <c r="AU25" s="117" t="n">
        <f aca="false">SUMIFS(الريسبي!$C$2:$C$1800,الريسبي!$A$2:$A$1800,$A25,الريسبي!$B$2:$B$1800,AU$1)</f>
        <v>0</v>
      </c>
      <c r="AV25" s="117" t="n">
        <f aca="false">SUMIFS(الريسبي!$C$2:$C$1800,الريسبي!$A$2:$A$1800,$A25,الريسبي!$B$2:$B$1800,AV$1)</f>
        <v>0</v>
      </c>
      <c r="AW25" s="117" t="n">
        <f aca="false">SUMIFS(الريسبي!$C$2:$C$1800,الريسبي!$A$2:$A$1800,$A25,الريسبي!$B$2:$B$1800,AW$1)</f>
        <v>0</v>
      </c>
      <c r="AX25" s="117" t="n">
        <f aca="false">SUMIFS(الريسبي!$C$2:$C$1800,الريسبي!$A$2:$A$1800,$A25,الريسبي!$B$2:$B$1800,AX$1)</f>
        <v>0</v>
      </c>
      <c r="AY25" s="117" t="n">
        <f aca="false">SUMIFS(الريسبي!$C$2:$C$1800,الريسبي!$A$2:$A$1800,$A25,الريسبي!$B$2:$B$1800,AY$1)</f>
        <v>0</v>
      </c>
      <c r="AZ25" s="117" t="n">
        <f aca="false">SUMIFS(الريسبي!$C$2:$C$1800,الريسبي!$A$2:$A$1800,$A25,الريسبي!$B$2:$B$1800,AZ$1)</f>
        <v>0</v>
      </c>
      <c r="BA25" s="117" t="n">
        <f aca="false">SUMIFS(الريسبي!$C$2:$C$1800,الريسبي!$A$2:$A$1800,$A25,الريسبي!$B$2:$B$1800,BA$1)</f>
        <v>0</v>
      </c>
      <c r="BB25" s="117" t="n">
        <f aca="false">SUMIFS(الريسبي!$C$2:$C$1800,الريسبي!$A$2:$A$1800,$A25,الريسبي!$B$2:$B$1800,BB$1)</f>
        <v>0</v>
      </c>
      <c r="BC25" s="117" t="n">
        <f aca="false">SUMIFS(الريسبي!$C$2:$C$1800,الريسبي!$A$2:$A$1800,$A25,الريسبي!$B$2:$B$1800,BC$1)</f>
        <v>0.045</v>
      </c>
      <c r="BD25" s="117" t="n">
        <f aca="false">SUMIFS(الريسبي!$C$2:$C$1800,الريسبي!$A$2:$A$1800,$A25,الريسبي!$B$2:$B$1800,BD$1)</f>
        <v>0</v>
      </c>
      <c r="BE25" s="117" t="n">
        <f aca="false">SUMIFS(الريسبي!$C$2:$C$1800,الريسبي!$A$2:$A$1800,$A25,الريسبي!$B$2:$B$1800,BE$1)</f>
        <v>1.5</v>
      </c>
      <c r="BF25" s="117" t="n">
        <f aca="false">SUMIFS(الريسبي!$C$2:$C$1800,الريسبي!$A$2:$A$1800,$A25,الريسبي!$B$2:$B$1800,BF$1)</f>
        <v>0</v>
      </c>
      <c r="BG25" s="117" t="n">
        <f aca="false">SUMIFS(الريسبي!$C$2:$C$1800,الريسبي!$A$2:$A$1800,$A25,الريسبي!$B$2:$B$1800,BG$1)</f>
        <v>1</v>
      </c>
      <c r="BH25" s="117" t="n">
        <f aca="false">SUMIFS(الريسبي!$C$2:$C$1800,الريسبي!$A$2:$A$1800,$A25,الريسبي!$B$2:$B$1800,BH$1)</f>
        <v>0</v>
      </c>
      <c r="BI25" s="117" t="n">
        <f aca="false">SUMIFS(الريسبي!$C$2:$C$1800,الريسبي!$A$2:$A$1800,$A25,الريسبي!$B$2:$B$1800,BI$1)</f>
        <v>0</v>
      </c>
      <c r="BJ25" s="117" t="n">
        <f aca="false">SUMIFS(الريسبي!$C$2:$C$1800,الريسبي!$A$2:$A$1800,$A25,الريسبي!$B$2:$B$1800,BJ$1)</f>
        <v>0</v>
      </c>
      <c r="BK25" s="117" t="n">
        <f aca="false">SUMIFS(الريسبي!$C$2:$C$1800,الريسبي!$A$2:$A$1800,$A25,الريسبي!$B$2:$B$1800,BK$1)</f>
        <v>0</v>
      </c>
      <c r="BL25" s="117" t="n">
        <f aca="false">SUMIFS(الريسبي!$C$2:$C$1800,الريسبي!$A$2:$A$1800,$A25,الريسبي!$B$2:$B$1800,BL$1)</f>
        <v>0</v>
      </c>
      <c r="BM25" s="117" t="n">
        <f aca="false">SUMIFS(الريسبي!$C$2:$C$1800,الريسبي!$A$2:$A$1800,$A25,الريسبي!$B$2:$B$1800,BM$1)</f>
        <v>0</v>
      </c>
      <c r="BN25" s="117" t="n">
        <f aca="false">SUMIFS(الريسبي!$C$2:$C$1800,الريسبي!$A$2:$A$1800,$A25,الريسبي!$B$2:$B$1800,BN$1)</f>
        <v>0.03</v>
      </c>
      <c r="BO25" s="117" t="n">
        <f aca="false">SUMIFS(الريسبي!$C$2:$C$1800,الريسبي!$A$2:$A$1800,$A25,الريسبي!$B$2:$B$1800,BO$1)</f>
        <v>0</v>
      </c>
      <c r="BP25" s="117" t="n">
        <f aca="false">SUMIFS(الريسبي!$C$2:$C$1800,الريسبي!$A$2:$A$1800,$A25,الريسبي!$B$2:$B$1800,BP$1)</f>
        <v>3</v>
      </c>
      <c r="BQ25" s="117" t="n">
        <f aca="false">SUMIFS(الريسبي!$C$2:$C$1800,الريسبي!$A$2:$A$1800,$A25,الريسبي!$B$2:$B$1800,BQ$1)+0.17*SUMIFS(الريسبي!$C$2:$C$1800,الريسبي!$A$2:$A$1800,$A25,الريسبي!$B$2:$B$1800,"كاسترد مصنع (خليط بودر + لبن)")+0.17*SUMIFS(الريسبي!$C$2:$C$1800,الريسبي!$A$2:$A$1800,$A25,الريسبي!$B$2:$B$1800,"كاسترد مصنع صيامي (بدون لبن)")</f>
        <v>0</v>
      </c>
      <c r="BR25" s="117" t="n">
        <f aca="false">SUMIFS(الريسبي!$C$2:$C$1800,الريسبي!$A$2:$A$1800,$A25,الريسبي!$B$2:$B$1800,BR$1)</f>
        <v>1</v>
      </c>
      <c r="BS25" s="117" t="n">
        <f aca="false">SUMIFS(الريسبي!$C$2:$C$1800,الريسبي!$A$2:$A$1800,$A25,الريسبي!$B$2:$B$1800,BS$1)</f>
        <v>0</v>
      </c>
      <c r="BT25" s="117" t="n">
        <f aca="false">SUMIFS(الريسبي!$C$2:$C$1800,الريسبي!$A$2:$A$1800,$A25,الريسبي!$B$2:$B$1800,BT$1)</f>
        <v>0</v>
      </c>
      <c r="BU25" s="117" t="n">
        <f aca="false">SUMIFS(الريسبي!$C$2:$C$1800,الريسبي!$A$2:$A$1800,$A25,الريسبي!$B$2:$B$1800,BU$1)+0.4*SUMIFS(الريسبي!$C$2:$C$1800,الريسبي!$A$2:$A$1800,$A25,الريسبي!$B$2:$B$1800,"كاسترد مصنع (خليط بودر + لبن)")+0.03333333333*SUMIFS(الريسبي!$C$2:$C$1800,الريسبي!$A$2:$A$1800,$A25,الريسبي!$B$2:$B$1800,"عجين كريب (مصنع بالمطعم)")</f>
        <v>0</v>
      </c>
      <c r="BV25" s="117" t="n">
        <f aca="false">SUMIFS(الريسبي!$C$2:$C$1800,الريسبي!$A$2:$A$1800,$A25,الريسبي!$B$2:$B$1800,BV$1)</f>
        <v>0</v>
      </c>
      <c r="BW25" s="117" t="n">
        <f aca="false">SUMIFS(الريسبي!$C$2:$C$1800,الريسبي!$A$2:$A$1800,$A25,الريسبي!$B$2:$B$1800,BW$1)</f>
        <v>0</v>
      </c>
      <c r="BX25" s="117" t="n">
        <f aca="false">SUMIFS(الريسبي!$C$2:$C$1800,الريسبي!$A$2:$A$1800,$A25,الريسبي!$B$2:$B$1800,BX$1)</f>
        <v>0</v>
      </c>
      <c r="BY25" s="117" t="n">
        <f aca="false">SUMIFS(الريسبي!$C$2:$C$1800,الريسبي!$A$2:$A$1800,$A25,الريسبي!$B$2:$B$1800,BY$1)</f>
        <v>0</v>
      </c>
      <c r="BZ25" s="117" t="n">
        <f aca="false">SUMIFS(الريسبي!$C$2:$C$1800,الريسبي!$A$2:$A$1800,$A25,الريسبي!$B$2:$B$1800,BZ$1)</f>
        <v>0</v>
      </c>
      <c r="CA25" s="117" t="n">
        <f aca="false">SUMIFS(الريسبي!$C$2:$C$1800,الريسبي!$A$2:$A$1800,$A25,الريسبي!$B$2:$B$1800,CA$1)</f>
        <v>1</v>
      </c>
      <c r="CB25" s="117" t="n">
        <f aca="false">SUMIFS(الريسبي!$C$2:$C$1800,الريسبي!$A$2:$A$1800,$A25,الريسبي!$B$2:$B$1800,CB$1)</f>
        <v>1</v>
      </c>
      <c r="CC25" s="117" t="n">
        <f aca="false">SUMIFS(الريسبي!$C$2:$C$1800,الريسبي!$A$2:$A$1800,$A25,الريسبي!$B$2:$B$1800,CC$1)</f>
        <v>0</v>
      </c>
      <c r="CD25" s="117" t="n">
        <f aca="false">SUMIFS(الريسبي!$C$2:$C$1800,الريسبي!$A$2:$A$1800,$A25,الريسبي!$B$2:$B$1800,CD$1)</f>
        <v>0</v>
      </c>
      <c r="CE25" s="117" t="n">
        <f aca="false">SUMIFS(الريسبي!$C$2:$C$1800,الريسبي!$A$2:$A$1800,$A25,الريسبي!$B$2:$B$1800,CE$1)</f>
        <v>0</v>
      </c>
      <c r="CF25" s="117" t="n">
        <f aca="false">SUMIFS(الريسبي!$C$2:$C$1800,الريسبي!$A$2:$A$1800,$A25,الريسبي!$B$2:$B$1800,CF$1)</f>
        <v>0</v>
      </c>
      <c r="CG25" s="117" t="n">
        <f aca="false">SUMIFS(الريسبي!$C$2:$C$1800,الريسبي!$A$2:$A$1800,$A25,الريسبي!$B$2:$B$1800,CG$1)</f>
        <v>0</v>
      </c>
      <c r="CH25" s="117" t="n">
        <f aca="false">SUMIFS(الريسبي!$C$2:$C$1800,الريسبي!$A$2:$A$1800,$A25,الريسبي!$B$2:$B$1800,CH$1)</f>
        <v>0</v>
      </c>
      <c r="CI25" s="117" t="n">
        <f aca="false">SUMIFS(الريسبي!$C$2:$C$1800,الريسبي!$A$2:$A$1800,$A25,الريسبي!$B$2:$B$1800,CI$1)</f>
        <v>0</v>
      </c>
      <c r="CJ25" s="117" t="n">
        <f aca="false">SUMIFS(الريسبي!$C$2:$C$1800,الريسبي!$A$2:$A$1800,$A25,الريسبي!$B$2:$B$1800,CJ$1)</f>
        <v>0</v>
      </c>
      <c r="CK25" s="117" t="n">
        <f aca="false">SUMIFS(الريسبي!$C$2:$C$1800,الريسبي!$A$2:$A$1800,$A25,الريسبي!$B$2:$B$1800,CK$1)</f>
        <v>0</v>
      </c>
      <c r="CL25" s="117" t="n">
        <f aca="false">SUMIFS(الريسبي!$C$2:$C$1800,الريسبي!$A$2:$A$1800,$A25,الريسبي!$B$2:$B$1800,CL$1)</f>
        <v>0</v>
      </c>
    </row>
    <row r="26" customFormat="false" ht="15" hidden="false" customHeight="false" outlineLevel="0" collapsed="false">
      <c r="A26" s="116" t="str">
        <f aca="false">المنيو!B26</f>
        <v>فطيرة بسطرمة وسط</v>
      </c>
      <c r="B26" s="117" t="n">
        <f aca="false">SUMIFS(الريسبي!$C$2:$C$1800,الريسبي!$A$2:$A$1800,$A26,الريسبي!$B$2:$B$1800,B$1)</f>
        <v>0</v>
      </c>
      <c r="C26" s="117" t="n">
        <f aca="false">SUMIFS(الريسبي!$C$2:$C$1800,الريسبي!$A$2:$A$1800,$A26,الريسبي!$B$2:$B$1800,C$1)</f>
        <v>0</v>
      </c>
      <c r="D26" s="117" t="n">
        <f aca="false">SUMIFS(الريسبي!$C$2:$C$1800,الريسبي!$A$2:$A$1800,$A26,الريسبي!$B$2:$B$1800,D$1)</f>
        <v>1</v>
      </c>
      <c r="E26" s="117" t="n">
        <f aca="false">SUMIFS(الريسبي!$C$2:$C$1800,الريسبي!$A$2:$A$1800,$A26,الريسبي!$B$2:$B$1800,E$1)</f>
        <v>0</v>
      </c>
      <c r="F26" s="117" t="n">
        <f aca="false">SUMIFS(الريسبي!$C$2:$C$1800,الريسبي!$A$2:$A$1800,$A26,الريسبي!$B$2:$B$1800,F$1)</f>
        <v>0</v>
      </c>
      <c r="G26" s="117" t="n">
        <f aca="false">SUMIFS(الريسبي!$C$2:$C$1800,الريسبي!$A$2:$A$1800,$A26,الريسبي!$B$2:$B$1800,G$1)</f>
        <v>1</v>
      </c>
      <c r="H26" s="117" t="n">
        <f aca="false">SUMIFS(الريسبي!$C$2:$C$1800,الريسبي!$A$2:$A$1800,$A26,الريسبي!$B$2:$B$1800,H$1)</f>
        <v>0</v>
      </c>
      <c r="I26" s="117" t="n">
        <f aca="false">SUMIFS(الريسبي!$C$2:$C$1800,الريسبي!$A$2:$A$1800,$A26,الريسبي!$B$2:$B$1800,I$1)</f>
        <v>0</v>
      </c>
      <c r="J26" s="117" t="n">
        <f aca="false">SUMIFS(الريسبي!$C$2:$C$1800,الريسبي!$A$2:$A$1800,$A26,الريسبي!$B$2:$B$1800,J$1)</f>
        <v>0</v>
      </c>
      <c r="K26" s="117" t="n">
        <f aca="false">SUMIFS(الريسبي!$C$2:$C$1800,الريسبي!$A$2:$A$1800,$A26,الريسبي!$B$2:$B$1800,K$1)</f>
        <v>0</v>
      </c>
      <c r="L26" s="117" t="n">
        <f aca="false">SUMIFS(الريسبي!$C$2:$C$1800,الريسبي!$A$2:$A$1800,$A26,الريسبي!$B$2:$B$1800,L$1)</f>
        <v>0</v>
      </c>
      <c r="M26" s="117" t="n">
        <f aca="false">SUMIFS(الريسبي!$C$2:$C$1800,الريسبي!$A$2:$A$1800,$A26,الريسبي!$B$2:$B$1800,M$1)</f>
        <v>0</v>
      </c>
      <c r="N26" s="117" t="n">
        <f aca="false">SUMIFS(الريسبي!$C$2:$C$1800,الريسبي!$A$2:$A$1800,$A26,الريسبي!$B$2:$B$1800,N$1)</f>
        <v>0</v>
      </c>
      <c r="O26" s="117" t="n">
        <f aca="false">SUMIFS(الريسبي!$C$2:$C$1800,الريسبي!$A$2:$A$1800,$A26,الريسبي!$B$2:$B$1800,O$1)</f>
        <v>0</v>
      </c>
      <c r="P26" s="117" t="n">
        <f aca="false">SUMIFS(الريسبي!$C$2:$C$1800,الريسبي!$A$2:$A$1800,$A26,الريسبي!$B$2:$B$1800,P$1)</f>
        <v>0</v>
      </c>
      <c r="Q26" s="117" t="n">
        <f aca="false">SUMIFS(الريسبي!$C$2:$C$1800,الريسبي!$A$2:$A$1800,$A26,الريسبي!$B$2:$B$1800,Q$1)</f>
        <v>0</v>
      </c>
      <c r="R26" s="117" t="n">
        <f aca="false">SUMIFS(الريسبي!$C$2:$C$1800,الريسبي!$A$2:$A$1800,$A26,الريسبي!$B$2:$B$1800,R$1)</f>
        <v>0</v>
      </c>
      <c r="S26" s="117" t="n">
        <f aca="false">SUMIFS(الريسبي!$C$2:$C$1800,الريسبي!$A$2:$A$1800,$A26,الريسبي!$B$2:$B$1800,S$1)</f>
        <v>0</v>
      </c>
      <c r="T26" s="117" t="n">
        <f aca="false">SUMIFS(الريسبي!$C$2:$C$1800,الريسبي!$A$2:$A$1800,$A26,الريسبي!$B$2:$B$1800,T$1)</f>
        <v>0</v>
      </c>
      <c r="U26" s="117" t="n">
        <f aca="false">SUMIFS(الريسبي!$C$2:$C$1800,الريسبي!$A$2:$A$1800,$A26,الريسبي!$B$2:$B$1800,U$1)</f>
        <v>0</v>
      </c>
      <c r="V26" s="117" t="n">
        <f aca="false">SUMIFS(الريسبي!$C$2:$C$1800,الريسبي!$A$2:$A$1800,$A26,الريسبي!$B$2:$B$1800,V$1)</f>
        <v>0</v>
      </c>
      <c r="W26" s="117" t="n">
        <f aca="false">SUMIFS(الريسبي!$C$2:$C$1800,الريسبي!$A$2:$A$1800,$A26,الريسبي!$B$2:$B$1800,W$1)</f>
        <v>0</v>
      </c>
      <c r="X26" s="117" t="n">
        <f aca="false">SUMIFS(الريسبي!$C$2:$C$1800,الريسبي!$A$2:$A$1800,$A26,الريسبي!$B$2:$B$1800,X$1)</f>
        <v>1</v>
      </c>
      <c r="Y26" s="117" t="n">
        <f aca="false">SUMIFS(الريسبي!$C$2:$C$1800,الريسبي!$A$2:$A$1800,$A26,الريسبي!$B$2:$B$1800,Y$1)</f>
        <v>0</v>
      </c>
      <c r="Z26" s="117" t="n">
        <f aca="false">SUMIFS(الريسبي!$C$2:$C$1800,الريسبي!$A$2:$A$1800,$A26,الريسبي!$B$2:$B$1800,Z$1)</f>
        <v>0</v>
      </c>
      <c r="AA26" s="117" t="n">
        <f aca="false">SUMIFS(الريسبي!$C$2:$C$1800,الريسبي!$A$2:$A$1800,$A26,الريسبي!$B$2:$B$1800,AA$1)</f>
        <v>0</v>
      </c>
      <c r="AB26" s="117" t="n">
        <f aca="false">SUMIFS(الريسبي!$C$2:$C$1800,الريسبي!$A$2:$A$1800,$A26,الريسبي!$B$2:$B$1800,AB$1)</f>
        <v>0</v>
      </c>
      <c r="AC26" s="117" t="n">
        <f aca="false">SUMIFS(الريسبي!$C$2:$C$1800,الريسبي!$A$2:$A$1800,$A26,الريسبي!$B$2:$B$1800,AC$1)</f>
        <v>0</v>
      </c>
      <c r="AD26" s="117" t="n">
        <f aca="false">SUMIFS(الريسبي!$C$2:$C$1800,الريسبي!$A$2:$A$1800,$A26,الريسبي!$B$2:$B$1800,AD$1)</f>
        <v>0</v>
      </c>
      <c r="AE26" s="117" t="n">
        <f aca="false">SUMIFS(الريسبي!$C$2:$C$1800,الريسبي!$A$2:$A$1800,$A26,الريسبي!$B$2:$B$1800,AE$1)</f>
        <v>0</v>
      </c>
      <c r="AF26" s="117" t="n">
        <f aca="false">SUMIFS(الريسبي!$C$2:$C$1800,الريسبي!$A$2:$A$1800,$A26,الريسبي!$B$2:$B$1800,AF$1)</f>
        <v>0</v>
      </c>
      <c r="AG26" s="117" t="n">
        <f aca="false">SUMIFS(الريسبي!$C$2:$C$1800,الريسبي!$A$2:$A$1800,$A26,الريسبي!$B$2:$B$1800,AG$1)</f>
        <v>0</v>
      </c>
      <c r="AH26" s="117" t="n">
        <f aca="false">SUMIFS(الريسبي!$C$2:$C$1800,الريسبي!$A$2:$A$1800,$A26,الريسبي!$B$2:$B$1800,AH$1)</f>
        <v>0</v>
      </c>
      <c r="AI26" s="117" t="n">
        <f aca="false">SUMIFS(الريسبي!$C$2:$C$1800,الريسبي!$A$2:$A$1800,$A26,الريسبي!$B$2:$B$1800,AI$1)</f>
        <v>0</v>
      </c>
      <c r="AJ26" s="117" t="n">
        <f aca="false">SUMIFS(الريسبي!$C$2:$C$1800,الريسبي!$A$2:$A$1800,$A26,الريسبي!$B$2:$B$1800,AJ$1)</f>
        <v>2</v>
      </c>
      <c r="AK26" s="117" t="n">
        <f aca="false">SUMIFS(الريسبي!$C$2:$C$1800,الريسبي!$A$2:$A$1800,$A26,الريسبي!$B$2:$B$1800,AK$1)</f>
        <v>0</v>
      </c>
      <c r="AL26" s="117" t="n">
        <f aca="false">SUMIFS(الريسبي!$C$2:$C$1800,الريسبي!$A$2:$A$1800,$A26,الريسبي!$B$2:$B$1800,AL$1)</f>
        <v>0</v>
      </c>
      <c r="AM26" s="117" t="n">
        <f aca="false">SUMIFS(الريسبي!$C$2:$C$1800,الريسبي!$A$2:$A$1800,$A26,الريسبي!$B$2:$B$1800,AM$1)+0.08333333333*SUMIFS(الريسبي!$C$2:$C$1800,الريسبي!$A$2:$A$1800,$A26,الريسبي!$B$2:$B$1800,"عجين كريب (مصنع بالمطعم)")+0.08333333333*SUMIFS(الريسبي!$C$2:$C$1800,الريسبي!$A$2:$A$1800,$A26,الريسبي!$B$2:$B$1800,"عجين كريب صيامي (بدون لبن)")</f>
        <v>0</v>
      </c>
      <c r="AN26" s="117" t="n">
        <f aca="false">SUMIFS(الريسبي!$C$2:$C$1800,الريسبي!$A$2:$A$1800,$A26,الريسبي!$B$2:$B$1800,AN$1)+0.004166666667*SUMIFS(الريسبي!$C$2:$C$1800,الريسبي!$A$2:$A$1800,$A26,الريسبي!$B$2:$B$1800,"عجين كريب (مصنع بالمطعم)")+0.004166666667*SUMIFS(الريسبي!$C$2:$C$1800,الريسبي!$A$2:$A$1800,$A26,الريسبي!$B$2:$B$1800,"عجين كريب صيامي (بدون لبن)")</f>
        <v>0</v>
      </c>
      <c r="AO26" s="117" t="n">
        <f aca="false">SUMIFS(الريسبي!$C$2:$C$1800,الريسبي!$A$2:$A$1800,$A26,الريسبي!$B$2:$B$1800,AO$1)</f>
        <v>0</v>
      </c>
      <c r="AP26" s="117" t="n">
        <f aca="false">SUMIFS(الريسبي!$C$2:$C$1800,الريسبي!$A$2:$A$1800,$A26,الريسبي!$B$2:$B$1800,AP$1)</f>
        <v>0.02</v>
      </c>
      <c r="AQ26" s="117" t="n">
        <f aca="false">SUMIFS(الريسبي!$C$2:$C$1800,الريسبي!$A$2:$A$1800,$A26,الريسبي!$B$2:$B$1800,AQ$1)+0.004166666667*SUMIFS(الريسبي!$C$2:$C$1800,الريسبي!$A$2:$A$1800,$A26,الريسبي!$B$2:$B$1800,"عجين كريب (مصنع بالمطعم)")+0.004166666667*SUMIFS(الريسبي!$C$2:$C$1800,الريسبي!$A$2:$A$1800,$A26,الريسبي!$B$2:$B$1800,"عجين كريب صيامي (بدون لبن)")</f>
        <v>0</v>
      </c>
      <c r="AR26" s="117" t="n">
        <f aca="false">SUMIFS(الريسبي!$C$2:$C$1800,الريسبي!$A$2:$A$1800,$A26,الريسبي!$B$2:$B$1800,AR$1)</f>
        <v>0</v>
      </c>
      <c r="AS26" s="117" t="n">
        <f aca="false">SUMIFS(الريسبي!$C$2:$C$1800,الريسبي!$A$2:$A$1800,$A26,الريسبي!$B$2:$B$1800,AS$1)</f>
        <v>0</v>
      </c>
      <c r="AT26" s="117" t="n">
        <f aca="false">SUMIFS(الريسبي!$C$2:$C$1800,الريسبي!$A$2:$A$1800,$A26,الريسبي!$B$2:$B$1800,AT$1)</f>
        <v>0</v>
      </c>
      <c r="AU26" s="117" t="n">
        <f aca="false">SUMIFS(الريسبي!$C$2:$C$1800,الريسبي!$A$2:$A$1800,$A26,الريسبي!$B$2:$B$1800,AU$1)</f>
        <v>0</v>
      </c>
      <c r="AV26" s="117" t="n">
        <f aca="false">SUMIFS(الريسبي!$C$2:$C$1800,الريسبي!$A$2:$A$1800,$A26,الريسبي!$B$2:$B$1800,AV$1)</f>
        <v>0</v>
      </c>
      <c r="AW26" s="117" t="n">
        <f aca="false">SUMIFS(الريسبي!$C$2:$C$1800,الريسبي!$A$2:$A$1800,$A26,الريسبي!$B$2:$B$1800,AW$1)</f>
        <v>0</v>
      </c>
      <c r="AX26" s="117" t="n">
        <f aca="false">SUMIFS(الريسبي!$C$2:$C$1800,الريسبي!$A$2:$A$1800,$A26,الريسبي!$B$2:$B$1800,AX$1)</f>
        <v>0</v>
      </c>
      <c r="AY26" s="117" t="n">
        <f aca="false">SUMIFS(الريسبي!$C$2:$C$1800,الريسبي!$A$2:$A$1800,$A26,الريسبي!$B$2:$B$1800,AY$1)</f>
        <v>0</v>
      </c>
      <c r="AZ26" s="117" t="n">
        <f aca="false">SUMIFS(الريسبي!$C$2:$C$1800,الريسبي!$A$2:$A$1800,$A26,الريسبي!$B$2:$B$1800,AZ$1)</f>
        <v>0</v>
      </c>
      <c r="BA26" s="117" t="n">
        <f aca="false">SUMIFS(الريسبي!$C$2:$C$1800,الريسبي!$A$2:$A$1800,$A26,الريسبي!$B$2:$B$1800,BA$1)</f>
        <v>0</v>
      </c>
      <c r="BB26" s="117" t="n">
        <f aca="false">SUMIFS(الريسبي!$C$2:$C$1800,الريسبي!$A$2:$A$1800,$A26,الريسبي!$B$2:$B$1800,BB$1)</f>
        <v>0</v>
      </c>
      <c r="BC26" s="117" t="n">
        <f aca="false">SUMIFS(الريسبي!$C$2:$C$1800,الريسبي!$A$2:$A$1800,$A26,الريسبي!$B$2:$B$1800,BC$1)</f>
        <v>0.03</v>
      </c>
      <c r="BD26" s="117" t="n">
        <f aca="false">SUMIFS(الريسبي!$C$2:$C$1800,الريسبي!$A$2:$A$1800,$A26,الريسبي!$B$2:$B$1800,BD$1)</f>
        <v>0</v>
      </c>
      <c r="BE26" s="117" t="n">
        <f aca="false">SUMIFS(الريسبي!$C$2:$C$1800,الريسبي!$A$2:$A$1800,$A26,الريسبي!$B$2:$B$1800,BE$1)</f>
        <v>1</v>
      </c>
      <c r="BF26" s="117" t="n">
        <f aca="false">SUMIFS(الريسبي!$C$2:$C$1800,الريسبي!$A$2:$A$1800,$A26,الريسبي!$B$2:$B$1800,BF$1)</f>
        <v>0</v>
      </c>
      <c r="BG26" s="117" t="n">
        <f aca="false">SUMIFS(الريسبي!$C$2:$C$1800,الريسبي!$A$2:$A$1800,$A26,الريسبي!$B$2:$B$1800,BG$1)</f>
        <v>0</v>
      </c>
      <c r="BH26" s="117" t="n">
        <f aca="false">SUMIFS(الريسبي!$C$2:$C$1800,الريسبي!$A$2:$A$1800,$A26,الريسبي!$B$2:$B$1800,BH$1)</f>
        <v>1</v>
      </c>
      <c r="BI26" s="117" t="n">
        <f aca="false">SUMIFS(الريسبي!$C$2:$C$1800,الريسبي!$A$2:$A$1800,$A26,الريسبي!$B$2:$B$1800,BI$1)</f>
        <v>0</v>
      </c>
      <c r="BJ26" s="117" t="n">
        <f aca="false">SUMIFS(الريسبي!$C$2:$C$1800,الريسبي!$A$2:$A$1800,$A26,الريسبي!$B$2:$B$1800,BJ$1)</f>
        <v>0</v>
      </c>
      <c r="BK26" s="117" t="n">
        <f aca="false">SUMIFS(الريسبي!$C$2:$C$1800,الريسبي!$A$2:$A$1800,$A26,الريسبي!$B$2:$B$1800,BK$1)</f>
        <v>0</v>
      </c>
      <c r="BL26" s="117" t="n">
        <f aca="false">SUMIFS(الريسبي!$C$2:$C$1800,الريسبي!$A$2:$A$1800,$A26,الريسبي!$B$2:$B$1800,BL$1)</f>
        <v>0</v>
      </c>
      <c r="BM26" s="117" t="n">
        <f aca="false">SUMIFS(الريسبي!$C$2:$C$1800,الريسبي!$A$2:$A$1800,$A26,الريسبي!$B$2:$B$1800,BM$1)</f>
        <v>0</v>
      </c>
      <c r="BN26" s="117" t="n">
        <f aca="false">SUMIFS(الريسبي!$C$2:$C$1800,الريسبي!$A$2:$A$1800,$A26,الريسبي!$B$2:$B$1800,BN$1)</f>
        <v>0.02</v>
      </c>
      <c r="BO26" s="117" t="n">
        <f aca="false">SUMIFS(الريسبي!$C$2:$C$1800,الريسبي!$A$2:$A$1800,$A26,الريسبي!$B$2:$B$1800,BO$1)</f>
        <v>0</v>
      </c>
      <c r="BP26" s="117" t="n">
        <f aca="false">SUMIFS(الريسبي!$C$2:$C$1800,الريسبي!$A$2:$A$1800,$A26,الريسبي!$B$2:$B$1800,BP$1)</f>
        <v>2</v>
      </c>
      <c r="BQ26" s="117" t="n">
        <f aca="false">SUMIFS(الريسبي!$C$2:$C$1800,الريسبي!$A$2:$A$1800,$A26,الريسبي!$B$2:$B$1800,BQ$1)+0.17*SUMIFS(الريسبي!$C$2:$C$1800,الريسبي!$A$2:$A$1800,$A26,الريسبي!$B$2:$B$1800,"كاسترد مصنع (خليط بودر + لبن)")+0.17*SUMIFS(الريسبي!$C$2:$C$1800,الريسبي!$A$2:$A$1800,$A26,الريسبي!$B$2:$B$1800,"كاسترد مصنع صيامي (بدون لبن)")</f>
        <v>0</v>
      </c>
      <c r="BR26" s="117" t="n">
        <f aca="false">SUMIFS(الريسبي!$C$2:$C$1800,الريسبي!$A$2:$A$1800,$A26,الريسبي!$B$2:$B$1800,BR$1)</f>
        <v>1</v>
      </c>
      <c r="BS26" s="117" t="n">
        <f aca="false">SUMIFS(الريسبي!$C$2:$C$1800,الريسبي!$A$2:$A$1800,$A26,الريسبي!$B$2:$B$1800,BS$1)</f>
        <v>0</v>
      </c>
      <c r="BT26" s="117" t="n">
        <f aca="false">SUMIFS(الريسبي!$C$2:$C$1800,الريسبي!$A$2:$A$1800,$A26,الريسبي!$B$2:$B$1800,BT$1)</f>
        <v>0</v>
      </c>
      <c r="BU26" s="117" t="n">
        <f aca="false">SUMIFS(الريسبي!$C$2:$C$1800,الريسبي!$A$2:$A$1800,$A26,الريسبي!$B$2:$B$1800,BU$1)+0.4*SUMIFS(الريسبي!$C$2:$C$1800,الريسبي!$A$2:$A$1800,$A26,الريسبي!$B$2:$B$1800,"كاسترد مصنع (خليط بودر + لبن)")+0.03333333333*SUMIFS(الريسبي!$C$2:$C$1800,الريسبي!$A$2:$A$1800,$A26,الريسبي!$B$2:$B$1800,"عجين كريب (مصنع بالمطعم)")</f>
        <v>0</v>
      </c>
      <c r="BV26" s="117" t="n">
        <f aca="false">SUMIFS(الريسبي!$C$2:$C$1800,الريسبي!$A$2:$A$1800,$A26,الريسبي!$B$2:$B$1800,BV$1)</f>
        <v>0</v>
      </c>
      <c r="BW26" s="117" t="n">
        <f aca="false">SUMIFS(الريسبي!$C$2:$C$1800,الريسبي!$A$2:$A$1800,$A26,الريسبي!$B$2:$B$1800,BW$1)</f>
        <v>0</v>
      </c>
      <c r="BX26" s="117" t="n">
        <f aca="false">SUMIFS(الريسبي!$C$2:$C$1800,الريسبي!$A$2:$A$1800,$A26,الريسبي!$B$2:$B$1800,BX$1)</f>
        <v>0</v>
      </c>
      <c r="BY26" s="117" t="n">
        <f aca="false">SUMIFS(الريسبي!$C$2:$C$1800,الريسبي!$A$2:$A$1800,$A26,الريسبي!$B$2:$B$1800,BY$1)</f>
        <v>0</v>
      </c>
      <c r="BZ26" s="117" t="n">
        <f aca="false">SUMIFS(الريسبي!$C$2:$C$1800,الريسبي!$A$2:$A$1800,$A26,الريسبي!$B$2:$B$1800,BZ$1)</f>
        <v>0</v>
      </c>
      <c r="CA26" s="117" t="n">
        <f aca="false">SUMIFS(الريسبي!$C$2:$C$1800,الريسبي!$A$2:$A$1800,$A26,الريسبي!$B$2:$B$1800,CA$1)</f>
        <v>1</v>
      </c>
      <c r="CB26" s="117" t="n">
        <f aca="false">SUMIFS(الريسبي!$C$2:$C$1800,الريسبي!$A$2:$A$1800,$A26,الريسبي!$B$2:$B$1800,CB$1)</f>
        <v>1</v>
      </c>
      <c r="CC26" s="117" t="n">
        <f aca="false">SUMIFS(الريسبي!$C$2:$C$1800,الريسبي!$A$2:$A$1800,$A26,الريسبي!$B$2:$B$1800,CC$1)</f>
        <v>0</v>
      </c>
      <c r="CD26" s="117" t="n">
        <f aca="false">SUMIFS(الريسبي!$C$2:$C$1800,الريسبي!$A$2:$A$1800,$A26,الريسبي!$B$2:$B$1800,CD$1)</f>
        <v>0</v>
      </c>
      <c r="CE26" s="117" t="n">
        <f aca="false">SUMIFS(الريسبي!$C$2:$C$1800,الريسبي!$A$2:$A$1800,$A26,الريسبي!$B$2:$B$1800,CE$1)</f>
        <v>0</v>
      </c>
      <c r="CF26" s="117" t="n">
        <f aca="false">SUMIFS(الريسبي!$C$2:$C$1800,الريسبي!$A$2:$A$1800,$A26,الريسبي!$B$2:$B$1800,CF$1)</f>
        <v>0</v>
      </c>
      <c r="CG26" s="117" t="n">
        <f aca="false">SUMIFS(الريسبي!$C$2:$C$1800,الريسبي!$A$2:$A$1800,$A26,الريسبي!$B$2:$B$1800,CG$1)</f>
        <v>0</v>
      </c>
      <c r="CH26" s="117" t="n">
        <f aca="false">SUMIFS(الريسبي!$C$2:$C$1800,الريسبي!$A$2:$A$1800,$A26,الريسبي!$B$2:$B$1800,CH$1)</f>
        <v>0</v>
      </c>
      <c r="CI26" s="117" t="n">
        <f aca="false">SUMIFS(الريسبي!$C$2:$C$1800,الريسبي!$A$2:$A$1800,$A26,الريسبي!$B$2:$B$1800,CI$1)</f>
        <v>0</v>
      </c>
      <c r="CJ26" s="117" t="n">
        <f aca="false">SUMIFS(الريسبي!$C$2:$C$1800,الريسبي!$A$2:$A$1800,$A26,الريسبي!$B$2:$B$1800,CJ$1)</f>
        <v>0</v>
      </c>
      <c r="CK26" s="117" t="n">
        <f aca="false">SUMIFS(الريسبي!$C$2:$C$1800,الريسبي!$A$2:$A$1800,$A26,الريسبي!$B$2:$B$1800,CK$1)</f>
        <v>0</v>
      </c>
      <c r="CL26" s="117" t="n">
        <f aca="false">SUMIFS(الريسبي!$C$2:$C$1800,الريسبي!$A$2:$A$1800,$A26,الريسبي!$B$2:$B$1800,CL$1)</f>
        <v>0</v>
      </c>
    </row>
    <row r="27" customFormat="false" ht="15" hidden="false" customHeight="false" outlineLevel="0" collapsed="false">
      <c r="A27" s="116" t="str">
        <f aca="false">المنيو!B27</f>
        <v>فطيرة بسطرمة حجم اكبر</v>
      </c>
      <c r="B27" s="117" t="n">
        <f aca="false">SUMIFS(الريسبي!$C$2:$C$1800,الريسبي!$A$2:$A$1800,$A27,الريسبي!$B$2:$B$1800,B$1)</f>
        <v>0</v>
      </c>
      <c r="C27" s="117" t="n">
        <f aca="false">SUMIFS(الريسبي!$C$2:$C$1800,الريسبي!$A$2:$A$1800,$A27,الريسبي!$B$2:$B$1800,C$1)</f>
        <v>0</v>
      </c>
      <c r="D27" s="117" t="n">
        <f aca="false">SUMIFS(الريسبي!$C$2:$C$1800,الريسبي!$A$2:$A$1800,$A27,الريسبي!$B$2:$B$1800,D$1)</f>
        <v>1</v>
      </c>
      <c r="E27" s="117" t="n">
        <f aca="false">SUMIFS(الريسبي!$C$2:$C$1800,الريسبي!$A$2:$A$1800,$A27,الريسبي!$B$2:$B$1800,E$1)</f>
        <v>0</v>
      </c>
      <c r="F27" s="117" t="n">
        <f aca="false">SUMIFS(الريسبي!$C$2:$C$1800,الريسبي!$A$2:$A$1800,$A27,الريسبي!$B$2:$B$1800,F$1)</f>
        <v>0</v>
      </c>
      <c r="G27" s="117" t="n">
        <f aca="false">SUMIFS(الريسبي!$C$2:$C$1800,الريسبي!$A$2:$A$1800,$A27,الريسبي!$B$2:$B$1800,G$1)</f>
        <v>0</v>
      </c>
      <c r="H27" s="117" t="n">
        <f aca="false">SUMIFS(الريسبي!$C$2:$C$1800,الريسبي!$A$2:$A$1800,$A27,الريسبي!$B$2:$B$1800,H$1)</f>
        <v>1</v>
      </c>
      <c r="I27" s="117" t="n">
        <f aca="false">SUMIFS(الريسبي!$C$2:$C$1800,الريسبي!$A$2:$A$1800,$A27,الريسبي!$B$2:$B$1800,I$1)</f>
        <v>0</v>
      </c>
      <c r="J27" s="117" t="n">
        <f aca="false">SUMIFS(الريسبي!$C$2:$C$1800,الريسبي!$A$2:$A$1800,$A27,الريسبي!$B$2:$B$1800,J$1)</f>
        <v>0</v>
      </c>
      <c r="K27" s="117" t="n">
        <f aca="false">SUMIFS(الريسبي!$C$2:$C$1800,الريسبي!$A$2:$A$1800,$A27,الريسبي!$B$2:$B$1800,K$1)</f>
        <v>0</v>
      </c>
      <c r="L27" s="117" t="n">
        <f aca="false">SUMIFS(الريسبي!$C$2:$C$1800,الريسبي!$A$2:$A$1800,$A27,الريسبي!$B$2:$B$1800,L$1)</f>
        <v>0</v>
      </c>
      <c r="M27" s="117" t="n">
        <f aca="false">SUMIFS(الريسبي!$C$2:$C$1800,الريسبي!$A$2:$A$1800,$A27,الريسبي!$B$2:$B$1800,M$1)</f>
        <v>0</v>
      </c>
      <c r="N27" s="117" t="n">
        <f aca="false">SUMIFS(الريسبي!$C$2:$C$1800,الريسبي!$A$2:$A$1800,$A27,الريسبي!$B$2:$B$1800,N$1)</f>
        <v>0</v>
      </c>
      <c r="O27" s="117" t="n">
        <f aca="false">SUMIFS(الريسبي!$C$2:$C$1800,الريسبي!$A$2:$A$1800,$A27,الريسبي!$B$2:$B$1800,O$1)</f>
        <v>0</v>
      </c>
      <c r="P27" s="117" t="n">
        <f aca="false">SUMIFS(الريسبي!$C$2:$C$1800,الريسبي!$A$2:$A$1800,$A27,الريسبي!$B$2:$B$1800,P$1)</f>
        <v>0</v>
      </c>
      <c r="Q27" s="117" t="n">
        <f aca="false">SUMIFS(الريسبي!$C$2:$C$1800,الريسبي!$A$2:$A$1800,$A27,الريسبي!$B$2:$B$1800,Q$1)</f>
        <v>0</v>
      </c>
      <c r="R27" s="117" t="n">
        <f aca="false">SUMIFS(الريسبي!$C$2:$C$1800,الريسبي!$A$2:$A$1800,$A27,الريسبي!$B$2:$B$1800,R$1)</f>
        <v>0</v>
      </c>
      <c r="S27" s="117" t="n">
        <f aca="false">SUMIFS(الريسبي!$C$2:$C$1800,الريسبي!$A$2:$A$1800,$A27,الريسبي!$B$2:$B$1800,S$1)</f>
        <v>0</v>
      </c>
      <c r="T27" s="117" t="n">
        <f aca="false">SUMIFS(الريسبي!$C$2:$C$1800,الريسبي!$A$2:$A$1800,$A27,الريسبي!$B$2:$B$1800,T$1)</f>
        <v>0</v>
      </c>
      <c r="U27" s="117" t="n">
        <f aca="false">SUMIFS(الريسبي!$C$2:$C$1800,الريسبي!$A$2:$A$1800,$A27,الريسبي!$B$2:$B$1800,U$1)</f>
        <v>0</v>
      </c>
      <c r="V27" s="117" t="n">
        <f aca="false">SUMIFS(الريسبي!$C$2:$C$1800,الريسبي!$A$2:$A$1800,$A27,الريسبي!$B$2:$B$1800,V$1)</f>
        <v>0</v>
      </c>
      <c r="W27" s="117" t="n">
        <f aca="false">SUMIFS(الريسبي!$C$2:$C$1800,الريسبي!$A$2:$A$1800,$A27,الريسبي!$B$2:$B$1800,W$1)</f>
        <v>0</v>
      </c>
      <c r="X27" s="117" t="n">
        <f aca="false">SUMIFS(الريسبي!$C$2:$C$1800,الريسبي!$A$2:$A$1800,$A27,الريسبي!$B$2:$B$1800,X$1)</f>
        <v>0</v>
      </c>
      <c r="Y27" s="117" t="n">
        <f aca="false">SUMIFS(الريسبي!$C$2:$C$1800,الريسبي!$A$2:$A$1800,$A27,الريسبي!$B$2:$B$1800,Y$1)</f>
        <v>1</v>
      </c>
      <c r="Z27" s="117" t="n">
        <f aca="false">SUMIFS(الريسبي!$C$2:$C$1800,الريسبي!$A$2:$A$1800,$A27,الريسبي!$B$2:$B$1800,Z$1)</f>
        <v>0</v>
      </c>
      <c r="AA27" s="117" t="n">
        <f aca="false">SUMIFS(الريسبي!$C$2:$C$1800,الريسبي!$A$2:$A$1800,$A27,الريسبي!$B$2:$B$1800,AA$1)</f>
        <v>0</v>
      </c>
      <c r="AB27" s="117" t="n">
        <f aca="false">SUMIFS(الريسبي!$C$2:$C$1800,الريسبي!$A$2:$A$1800,$A27,الريسبي!$B$2:$B$1800,AB$1)</f>
        <v>0</v>
      </c>
      <c r="AC27" s="117" t="n">
        <f aca="false">SUMIFS(الريسبي!$C$2:$C$1800,الريسبي!$A$2:$A$1800,$A27,الريسبي!$B$2:$B$1800,AC$1)</f>
        <v>0</v>
      </c>
      <c r="AD27" s="117" t="n">
        <f aca="false">SUMIFS(الريسبي!$C$2:$C$1800,الريسبي!$A$2:$A$1800,$A27,الريسبي!$B$2:$B$1800,AD$1)</f>
        <v>0</v>
      </c>
      <c r="AE27" s="117" t="n">
        <f aca="false">SUMIFS(الريسبي!$C$2:$C$1800,الريسبي!$A$2:$A$1800,$A27,الريسبي!$B$2:$B$1800,AE$1)</f>
        <v>0</v>
      </c>
      <c r="AF27" s="117" t="n">
        <f aca="false">SUMIFS(الريسبي!$C$2:$C$1800,الريسبي!$A$2:$A$1800,$A27,الريسبي!$B$2:$B$1800,AF$1)</f>
        <v>0</v>
      </c>
      <c r="AG27" s="117" t="n">
        <f aca="false">SUMIFS(الريسبي!$C$2:$C$1800,الريسبي!$A$2:$A$1800,$A27,الريسبي!$B$2:$B$1800,AG$1)</f>
        <v>0</v>
      </c>
      <c r="AH27" s="117" t="n">
        <f aca="false">SUMIFS(الريسبي!$C$2:$C$1800,الريسبي!$A$2:$A$1800,$A27,الريسبي!$B$2:$B$1800,AH$1)</f>
        <v>0</v>
      </c>
      <c r="AI27" s="117" t="n">
        <f aca="false">SUMIFS(الريسبي!$C$2:$C$1800,الريسبي!$A$2:$A$1800,$A27,الريسبي!$B$2:$B$1800,AI$1)</f>
        <v>0</v>
      </c>
      <c r="AJ27" s="117" t="n">
        <f aca="false">SUMIFS(الريسبي!$C$2:$C$1800,الريسبي!$A$2:$A$1800,$A27,الريسبي!$B$2:$B$1800,AJ$1)</f>
        <v>2</v>
      </c>
      <c r="AK27" s="117" t="n">
        <f aca="false">SUMIFS(الريسبي!$C$2:$C$1800,الريسبي!$A$2:$A$1800,$A27,الريسبي!$B$2:$B$1800,AK$1)</f>
        <v>0</v>
      </c>
      <c r="AL27" s="117" t="n">
        <f aca="false">SUMIFS(الريسبي!$C$2:$C$1800,الريسبي!$A$2:$A$1800,$A27,الريسبي!$B$2:$B$1800,AL$1)</f>
        <v>0</v>
      </c>
      <c r="AM27" s="117" t="n">
        <f aca="false">SUMIFS(الريسبي!$C$2:$C$1800,الريسبي!$A$2:$A$1800,$A27,الريسبي!$B$2:$B$1800,AM$1)+0.08333333333*SUMIFS(الريسبي!$C$2:$C$1800,الريسبي!$A$2:$A$1800,$A27,الريسبي!$B$2:$B$1800,"عجين كريب (مصنع بالمطعم)")+0.08333333333*SUMIFS(الريسبي!$C$2:$C$1800,الريسبي!$A$2:$A$1800,$A27,الريسبي!$B$2:$B$1800,"عجين كريب صيامي (بدون لبن)")</f>
        <v>0</v>
      </c>
      <c r="AN27" s="117" t="n">
        <f aca="false">SUMIFS(الريسبي!$C$2:$C$1800,الريسبي!$A$2:$A$1800,$A27,الريسبي!$B$2:$B$1800,AN$1)+0.004166666667*SUMIFS(الريسبي!$C$2:$C$1800,الريسبي!$A$2:$A$1800,$A27,الريسبي!$B$2:$B$1800,"عجين كريب (مصنع بالمطعم)")+0.004166666667*SUMIFS(الريسبي!$C$2:$C$1800,الريسبي!$A$2:$A$1800,$A27,الريسبي!$B$2:$B$1800,"عجين كريب صيامي (بدون لبن)")</f>
        <v>0</v>
      </c>
      <c r="AO27" s="117" t="n">
        <f aca="false">SUMIFS(الريسبي!$C$2:$C$1800,الريسبي!$A$2:$A$1800,$A27,الريسبي!$B$2:$B$1800,AO$1)</f>
        <v>0</v>
      </c>
      <c r="AP27" s="117" t="n">
        <f aca="false">SUMIFS(الريسبي!$C$2:$C$1800,الريسبي!$A$2:$A$1800,$A27,الريسبي!$B$2:$B$1800,AP$1)</f>
        <v>0.03</v>
      </c>
      <c r="AQ27" s="117" t="n">
        <f aca="false">SUMIFS(الريسبي!$C$2:$C$1800,الريسبي!$A$2:$A$1800,$A27,الريسبي!$B$2:$B$1800,AQ$1)+0.004166666667*SUMIFS(الريسبي!$C$2:$C$1800,الريسبي!$A$2:$A$1800,$A27,الريسبي!$B$2:$B$1800,"عجين كريب (مصنع بالمطعم)")+0.004166666667*SUMIFS(الريسبي!$C$2:$C$1800,الريسبي!$A$2:$A$1800,$A27,الريسبي!$B$2:$B$1800,"عجين كريب صيامي (بدون لبن)")</f>
        <v>0</v>
      </c>
      <c r="AR27" s="117" t="n">
        <f aca="false">SUMIFS(الريسبي!$C$2:$C$1800,الريسبي!$A$2:$A$1800,$A27,الريسبي!$B$2:$B$1800,AR$1)</f>
        <v>0</v>
      </c>
      <c r="AS27" s="117" t="n">
        <f aca="false">SUMIFS(الريسبي!$C$2:$C$1800,الريسبي!$A$2:$A$1800,$A27,الريسبي!$B$2:$B$1800,AS$1)</f>
        <v>0</v>
      </c>
      <c r="AT27" s="117" t="n">
        <f aca="false">SUMIFS(الريسبي!$C$2:$C$1800,الريسبي!$A$2:$A$1800,$A27,الريسبي!$B$2:$B$1800,AT$1)</f>
        <v>0</v>
      </c>
      <c r="AU27" s="117" t="n">
        <f aca="false">SUMIFS(الريسبي!$C$2:$C$1800,الريسبي!$A$2:$A$1800,$A27,الريسبي!$B$2:$B$1800,AU$1)</f>
        <v>0</v>
      </c>
      <c r="AV27" s="117" t="n">
        <f aca="false">SUMIFS(الريسبي!$C$2:$C$1800,الريسبي!$A$2:$A$1800,$A27,الريسبي!$B$2:$B$1800,AV$1)</f>
        <v>0</v>
      </c>
      <c r="AW27" s="117" t="n">
        <f aca="false">SUMIFS(الريسبي!$C$2:$C$1800,الريسبي!$A$2:$A$1800,$A27,الريسبي!$B$2:$B$1800,AW$1)</f>
        <v>0</v>
      </c>
      <c r="AX27" s="117" t="n">
        <f aca="false">SUMIFS(الريسبي!$C$2:$C$1800,الريسبي!$A$2:$A$1800,$A27,الريسبي!$B$2:$B$1800,AX$1)</f>
        <v>0</v>
      </c>
      <c r="AY27" s="117" t="n">
        <f aca="false">SUMIFS(الريسبي!$C$2:$C$1800,الريسبي!$A$2:$A$1800,$A27,الريسبي!$B$2:$B$1800,AY$1)</f>
        <v>0</v>
      </c>
      <c r="AZ27" s="117" t="n">
        <f aca="false">SUMIFS(الريسبي!$C$2:$C$1800,الريسبي!$A$2:$A$1800,$A27,الريسبي!$B$2:$B$1800,AZ$1)</f>
        <v>0</v>
      </c>
      <c r="BA27" s="117" t="n">
        <f aca="false">SUMIFS(الريسبي!$C$2:$C$1800,الريسبي!$A$2:$A$1800,$A27,الريسبي!$B$2:$B$1800,BA$1)</f>
        <v>0</v>
      </c>
      <c r="BB27" s="117" t="n">
        <f aca="false">SUMIFS(الريسبي!$C$2:$C$1800,الريسبي!$A$2:$A$1800,$A27,الريسبي!$B$2:$B$1800,BB$1)</f>
        <v>0</v>
      </c>
      <c r="BC27" s="117" t="n">
        <f aca="false">SUMIFS(الريسبي!$C$2:$C$1800,الريسبي!$A$2:$A$1800,$A27,الريسبي!$B$2:$B$1800,BC$1)</f>
        <v>0.045</v>
      </c>
      <c r="BD27" s="117" t="n">
        <f aca="false">SUMIFS(الريسبي!$C$2:$C$1800,الريسبي!$A$2:$A$1800,$A27,الريسبي!$B$2:$B$1800,BD$1)</f>
        <v>0</v>
      </c>
      <c r="BE27" s="117" t="n">
        <f aca="false">SUMIFS(الريسبي!$C$2:$C$1800,الريسبي!$A$2:$A$1800,$A27,الريسبي!$B$2:$B$1800,BE$1)</f>
        <v>1.5</v>
      </c>
      <c r="BF27" s="117" t="n">
        <f aca="false">SUMIFS(الريسبي!$C$2:$C$1800,الريسبي!$A$2:$A$1800,$A27,الريسبي!$B$2:$B$1800,BF$1)</f>
        <v>0</v>
      </c>
      <c r="BG27" s="117" t="n">
        <f aca="false">SUMIFS(الريسبي!$C$2:$C$1800,الريسبي!$A$2:$A$1800,$A27,الريسبي!$B$2:$B$1800,BG$1)</f>
        <v>1</v>
      </c>
      <c r="BH27" s="117" t="n">
        <f aca="false">SUMIFS(الريسبي!$C$2:$C$1800,الريسبي!$A$2:$A$1800,$A27,الريسبي!$B$2:$B$1800,BH$1)</f>
        <v>0</v>
      </c>
      <c r="BI27" s="117" t="n">
        <f aca="false">SUMIFS(الريسبي!$C$2:$C$1800,الريسبي!$A$2:$A$1800,$A27,الريسبي!$B$2:$B$1800,BI$1)</f>
        <v>0</v>
      </c>
      <c r="BJ27" s="117" t="n">
        <f aca="false">SUMIFS(الريسبي!$C$2:$C$1800,الريسبي!$A$2:$A$1800,$A27,الريسبي!$B$2:$B$1800,BJ$1)</f>
        <v>0</v>
      </c>
      <c r="BK27" s="117" t="n">
        <f aca="false">SUMIFS(الريسبي!$C$2:$C$1800,الريسبي!$A$2:$A$1800,$A27,الريسبي!$B$2:$B$1800,BK$1)</f>
        <v>0</v>
      </c>
      <c r="BL27" s="117" t="n">
        <f aca="false">SUMIFS(الريسبي!$C$2:$C$1800,الريسبي!$A$2:$A$1800,$A27,الريسبي!$B$2:$B$1800,BL$1)</f>
        <v>0</v>
      </c>
      <c r="BM27" s="117" t="n">
        <f aca="false">SUMIFS(الريسبي!$C$2:$C$1800,الريسبي!$A$2:$A$1800,$A27,الريسبي!$B$2:$B$1800,BM$1)</f>
        <v>0</v>
      </c>
      <c r="BN27" s="117" t="n">
        <f aca="false">SUMIFS(الريسبي!$C$2:$C$1800,الريسبي!$A$2:$A$1800,$A27,الريسبي!$B$2:$B$1800,BN$1)</f>
        <v>0.03</v>
      </c>
      <c r="BO27" s="117" t="n">
        <f aca="false">SUMIFS(الريسبي!$C$2:$C$1800,الريسبي!$A$2:$A$1800,$A27,الريسبي!$B$2:$B$1800,BO$1)</f>
        <v>0</v>
      </c>
      <c r="BP27" s="117" t="n">
        <f aca="false">SUMIFS(الريسبي!$C$2:$C$1800,الريسبي!$A$2:$A$1800,$A27,الريسبي!$B$2:$B$1800,BP$1)</f>
        <v>3</v>
      </c>
      <c r="BQ27" s="117" t="n">
        <f aca="false">SUMIFS(الريسبي!$C$2:$C$1800,الريسبي!$A$2:$A$1800,$A27,الريسبي!$B$2:$B$1800,BQ$1)+0.17*SUMIFS(الريسبي!$C$2:$C$1800,الريسبي!$A$2:$A$1800,$A27,الريسبي!$B$2:$B$1800,"كاسترد مصنع (خليط بودر + لبن)")+0.17*SUMIFS(الريسبي!$C$2:$C$1800,الريسبي!$A$2:$A$1800,$A27,الريسبي!$B$2:$B$1800,"كاسترد مصنع صيامي (بدون لبن)")</f>
        <v>0</v>
      </c>
      <c r="BR27" s="117" t="n">
        <f aca="false">SUMIFS(الريسبي!$C$2:$C$1800,الريسبي!$A$2:$A$1800,$A27,الريسبي!$B$2:$B$1800,BR$1)</f>
        <v>1</v>
      </c>
      <c r="BS27" s="117" t="n">
        <f aca="false">SUMIFS(الريسبي!$C$2:$C$1800,الريسبي!$A$2:$A$1800,$A27,الريسبي!$B$2:$B$1800,BS$1)</f>
        <v>0</v>
      </c>
      <c r="BT27" s="117" t="n">
        <f aca="false">SUMIFS(الريسبي!$C$2:$C$1800,الريسبي!$A$2:$A$1800,$A27,الريسبي!$B$2:$B$1800,BT$1)</f>
        <v>0</v>
      </c>
      <c r="BU27" s="117" t="n">
        <f aca="false">SUMIFS(الريسبي!$C$2:$C$1800,الريسبي!$A$2:$A$1800,$A27,الريسبي!$B$2:$B$1800,BU$1)+0.4*SUMIFS(الريسبي!$C$2:$C$1800,الريسبي!$A$2:$A$1800,$A27,الريسبي!$B$2:$B$1800,"كاسترد مصنع (خليط بودر + لبن)")+0.03333333333*SUMIFS(الريسبي!$C$2:$C$1800,الريسبي!$A$2:$A$1800,$A27,الريسبي!$B$2:$B$1800,"عجين كريب (مصنع بالمطعم)")</f>
        <v>0</v>
      </c>
      <c r="BV27" s="117" t="n">
        <f aca="false">SUMIFS(الريسبي!$C$2:$C$1800,الريسبي!$A$2:$A$1800,$A27,الريسبي!$B$2:$B$1800,BV$1)</f>
        <v>0</v>
      </c>
      <c r="BW27" s="117" t="n">
        <f aca="false">SUMIFS(الريسبي!$C$2:$C$1800,الريسبي!$A$2:$A$1800,$A27,الريسبي!$B$2:$B$1800,BW$1)</f>
        <v>0</v>
      </c>
      <c r="BX27" s="117" t="n">
        <f aca="false">SUMIFS(الريسبي!$C$2:$C$1800,الريسبي!$A$2:$A$1800,$A27,الريسبي!$B$2:$B$1800,BX$1)</f>
        <v>0</v>
      </c>
      <c r="BY27" s="117" t="n">
        <f aca="false">SUMIFS(الريسبي!$C$2:$C$1800,الريسبي!$A$2:$A$1800,$A27,الريسبي!$B$2:$B$1800,BY$1)</f>
        <v>0</v>
      </c>
      <c r="BZ27" s="117" t="n">
        <f aca="false">SUMIFS(الريسبي!$C$2:$C$1800,الريسبي!$A$2:$A$1800,$A27,الريسبي!$B$2:$B$1800,BZ$1)</f>
        <v>0</v>
      </c>
      <c r="CA27" s="117" t="n">
        <f aca="false">SUMIFS(الريسبي!$C$2:$C$1800,الريسبي!$A$2:$A$1800,$A27,الريسبي!$B$2:$B$1800,CA$1)</f>
        <v>1</v>
      </c>
      <c r="CB27" s="117" t="n">
        <f aca="false">SUMIFS(الريسبي!$C$2:$C$1800,الريسبي!$A$2:$A$1800,$A27,الريسبي!$B$2:$B$1800,CB$1)</f>
        <v>1</v>
      </c>
      <c r="CC27" s="117" t="n">
        <f aca="false">SUMIFS(الريسبي!$C$2:$C$1800,الريسبي!$A$2:$A$1800,$A27,الريسبي!$B$2:$B$1800,CC$1)</f>
        <v>0</v>
      </c>
      <c r="CD27" s="117" t="n">
        <f aca="false">SUMIFS(الريسبي!$C$2:$C$1800,الريسبي!$A$2:$A$1800,$A27,الريسبي!$B$2:$B$1800,CD$1)</f>
        <v>0</v>
      </c>
      <c r="CE27" s="117" t="n">
        <f aca="false">SUMIFS(الريسبي!$C$2:$C$1800,الريسبي!$A$2:$A$1800,$A27,الريسبي!$B$2:$B$1800,CE$1)</f>
        <v>0</v>
      </c>
      <c r="CF27" s="117" t="n">
        <f aca="false">SUMIFS(الريسبي!$C$2:$C$1800,الريسبي!$A$2:$A$1800,$A27,الريسبي!$B$2:$B$1800,CF$1)</f>
        <v>0</v>
      </c>
      <c r="CG27" s="117" t="n">
        <f aca="false">SUMIFS(الريسبي!$C$2:$C$1800,الريسبي!$A$2:$A$1800,$A27,الريسبي!$B$2:$B$1800,CG$1)</f>
        <v>0</v>
      </c>
      <c r="CH27" s="117" t="n">
        <f aca="false">SUMIFS(الريسبي!$C$2:$C$1800,الريسبي!$A$2:$A$1800,$A27,الريسبي!$B$2:$B$1800,CH$1)</f>
        <v>0</v>
      </c>
      <c r="CI27" s="117" t="n">
        <f aca="false">SUMIFS(الريسبي!$C$2:$C$1800,الريسبي!$A$2:$A$1800,$A27,الريسبي!$B$2:$B$1800,CI$1)</f>
        <v>0</v>
      </c>
      <c r="CJ27" s="117" t="n">
        <f aca="false">SUMIFS(الريسبي!$C$2:$C$1800,الريسبي!$A$2:$A$1800,$A27,الريسبي!$B$2:$B$1800,CJ$1)</f>
        <v>0</v>
      </c>
      <c r="CK27" s="117" t="n">
        <f aca="false">SUMIFS(الريسبي!$C$2:$C$1800,الريسبي!$A$2:$A$1800,$A27,الريسبي!$B$2:$B$1800,CK$1)</f>
        <v>0</v>
      </c>
      <c r="CL27" s="117" t="n">
        <f aca="false">SUMIFS(الريسبي!$C$2:$C$1800,الريسبي!$A$2:$A$1800,$A27,الريسبي!$B$2:$B$1800,CL$1)</f>
        <v>0</v>
      </c>
    </row>
    <row r="28" customFormat="false" ht="15" hidden="false" customHeight="false" outlineLevel="0" collapsed="false">
      <c r="A28" s="116" t="str">
        <f aca="false">المنيو!B28</f>
        <v>فطيرة ميكس بسطرمة وسدق بالكيري وسط</v>
      </c>
      <c r="B28" s="117" t="n">
        <f aca="false">SUMIFS(الريسبي!$C$2:$C$1800,الريسبي!$A$2:$A$1800,$A28,الريسبي!$B$2:$B$1800,B$1)</f>
        <v>0</v>
      </c>
      <c r="C28" s="117" t="n">
        <f aca="false">SUMIFS(الريسبي!$C$2:$C$1800,الريسبي!$A$2:$A$1800,$A28,الريسبي!$B$2:$B$1800,C$1)</f>
        <v>0</v>
      </c>
      <c r="D28" s="117" t="n">
        <f aca="false">SUMIFS(الريسبي!$C$2:$C$1800,الريسبي!$A$2:$A$1800,$A28,الريسبي!$B$2:$B$1800,D$1)</f>
        <v>1</v>
      </c>
      <c r="E28" s="117" t="n">
        <f aca="false">SUMIFS(الريسبي!$C$2:$C$1800,الريسبي!$A$2:$A$1800,$A28,الريسبي!$B$2:$B$1800,E$1)</f>
        <v>0</v>
      </c>
      <c r="F28" s="117" t="n">
        <f aca="false">SUMIFS(الريسبي!$C$2:$C$1800,الريسبي!$A$2:$A$1800,$A28,الريسبي!$B$2:$B$1800,F$1)</f>
        <v>0</v>
      </c>
      <c r="G28" s="117" t="n">
        <f aca="false">SUMIFS(الريسبي!$C$2:$C$1800,الريسبي!$A$2:$A$1800,$A28,الريسبي!$B$2:$B$1800,G$1)</f>
        <v>1</v>
      </c>
      <c r="H28" s="117" t="n">
        <f aca="false">SUMIFS(الريسبي!$C$2:$C$1800,الريسبي!$A$2:$A$1800,$A28,الريسبي!$B$2:$B$1800,H$1)</f>
        <v>0</v>
      </c>
      <c r="I28" s="117" t="n">
        <f aca="false">SUMIFS(الريسبي!$C$2:$C$1800,الريسبي!$A$2:$A$1800,$A28,الريسبي!$B$2:$B$1800,I$1)</f>
        <v>0</v>
      </c>
      <c r="J28" s="117" t="n">
        <f aca="false">SUMIFS(الريسبي!$C$2:$C$1800,الريسبي!$A$2:$A$1800,$A28,الريسبي!$B$2:$B$1800,J$1)</f>
        <v>0</v>
      </c>
      <c r="K28" s="117" t="n">
        <f aca="false">SUMIFS(الريسبي!$C$2:$C$1800,الريسبي!$A$2:$A$1800,$A28,الريسبي!$B$2:$B$1800,K$1)</f>
        <v>0</v>
      </c>
      <c r="L28" s="117" t="n">
        <f aca="false">SUMIFS(الريسبي!$C$2:$C$1800,الريسبي!$A$2:$A$1800,$A28,الريسبي!$B$2:$B$1800,L$1)</f>
        <v>1</v>
      </c>
      <c r="M28" s="117" t="n">
        <f aca="false">SUMIFS(الريسبي!$C$2:$C$1800,الريسبي!$A$2:$A$1800,$A28,الريسبي!$B$2:$B$1800,M$1)</f>
        <v>0</v>
      </c>
      <c r="N28" s="117" t="n">
        <f aca="false">SUMIFS(الريسبي!$C$2:$C$1800,الريسبي!$A$2:$A$1800,$A28,الريسبي!$B$2:$B$1800,N$1)</f>
        <v>0</v>
      </c>
      <c r="O28" s="117" t="n">
        <f aca="false">SUMIFS(الريسبي!$C$2:$C$1800,الريسبي!$A$2:$A$1800,$A28,الريسبي!$B$2:$B$1800,O$1)</f>
        <v>0</v>
      </c>
      <c r="P28" s="117" t="n">
        <f aca="false">SUMIFS(الريسبي!$C$2:$C$1800,الريسبي!$A$2:$A$1800,$A28,الريسبي!$B$2:$B$1800,P$1)</f>
        <v>0</v>
      </c>
      <c r="Q28" s="117" t="n">
        <f aca="false">SUMIFS(الريسبي!$C$2:$C$1800,الريسبي!$A$2:$A$1800,$A28,الريسبي!$B$2:$B$1800,Q$1)</f>
        <v>0</v>
      </c>
      <c r="R28" s="117" t="n">
        <f aca="false">SUMIFS(الريسبي!$C$2:$C$1800,الريسبي!$A$2:$A$1800,$A28,الريسبي!$B$2:$B$1800,R$1)</f>
        <v>0</v>
      </c>
      <c r="S28" s="117" t="n">
        <f aca="false">SUMIFS(الريسبي!$C$2:$C$1800,الريسبي!$A$2:$A$1800,$A28,الريسبي!$B$2:$B$1800,S$1)</f>
        <v>0</v>
      </c>
      <c r="T28" s="117" t="n">
        <f aca="false">SUMIFS(الريسبي!$C$2:$C$1800,الريسبي!$A$2:$A$1800,$A28,الريسبي!$B$2:$B$1800,T$1)</f>
        <v>0</v>
      </c>
      <c r="U28" s="117" t="n">
        <f aca="false">SUMIFS(الريسبي!$C$2:$C$1800,الريسبي!$A$2:$A$1800,$A28,الريسبي!$B$2:$B$1800,U$1)</f>
        <v>0</v>
      </c>
      <c r="V28" s="117" t="n">
        <f aca="false">SUMIFS(الريسبي!$C$2:$C$1800,الريسبي!$A$2:$A$1800,$A28,الريسبي!$B$2:$B$1800,V$1)</f>
        <v>0</v>
      </c>
      <c r="W28" s="117" t="n">
        <f aca="false">SUMIFS(الريسبي!$C$2:$C$1800,الريسبي!$A$2:$A$1800,$A28,الريسبي!$B$2:$B$1800,W$1)</f>
        <v>0</v>
      </c>
      <c r="X28" s="117" t="n">
        <f aca="false">SUMIFS(الريسبي!$C$2:$C$1800,الريسبي!$A$2:$A$1800,$A28,الريسبي!$B$2:$B$1800,X$1)</f>
        <v>1</v>
      </c>
      <c r="Y28" s="117" t="n">
        <f aca="false">SUMIFS(الريسبي!$C$2:$C$1800,الريسبي!$A$2:$A$1800,$A28,الريسبي!$B$2:$B$1800,Y$1)</f>
        <v>0</v>
      </c>
      <c r="Z28" s="117" t="n">
        <f aca="false">SUMIFS(الريسبي!$C$2:$C$1800,الريسبي!$A$2:$A$1800,$A28,الريسبي!$B$2:$B$1800,Z$1)</f>
        <v>0</v>
      </c>
      <c r="AA28" s="117" t="n">
        <f aca="false">SUMIFS(الريسبي!$C$2:$C$1800,الريسبي!$A$2:$A$1800,$A28,الريسبي!$B$2:$B$1800,AA$1)</f>
        <v>0</v>
      </c>
      <c r="AB28" s="117" t="n">
        <f aca="false">SUMIFS(الريسبي!$C$2:$C$1800,الريسبي!$A$2:$A$1800,$A28,الريسبي!$B$2:$B$1800,AB$1)</f>
        <v>0</v>
      </c>
      <c r="AC28" s="117" t="n">
        <f aca="false">SUMIFS(الريسبي!$C$2:$C$1800,الريسبي!$A$2:$A$1800,$A28,الريسبي!$B$2:$B$1800,AC$1)</f>
        <v>0</v>
      </c>
      <c r="AD28" s="117" t="n">
        <f aca="false">SUMIFS(الريسبي!$C$2:$C$1800,الريسبي!$A$2:$A$1800,$A28,الريسبي!$B$2:$B$1800,AD$1)</f>
        <v>0</v>
      </c>
      <c r="AE28" s="117" t="n">
        <f aca="false">SUMIFS(الريسبي!$C$2:$C$1800,الريسبي!$A$2:$A$1800,$A28,الريسبي!$B$2:$B$1800,AE$1)</f>
        <v>0</v>
      </c>
      <c r="AF28" s="117" t="n">
        <f aca="false">SUMIFS(الريسبي!$C$2:$C$1800,الريسبي!$A$2:$A$1800,$A28,الريسبي!$B$2:$B$1800,AF$1)</f>
        <v>0</v>
      </c>
      <c r="AG28" s="117" t="n">
        <f aca="false">SUMIFS(الريسبي!$C$2:$C$1800,الريسبي!$A$2:$A$1800,$A28,الريسبي!$B$2:$B$1800,AG$1)</f>
        <v>0</v>
      </c>
      <c r="AH28" s="117" t="n">
        <f aca="false">SUMIFS(الريسبي!$C$2:$C$1800,الريسبي!$A$2:$A$1800,$A28,الريسبي!$B$2:$B$1800,AH$1)</f>
        <v>0</v>
      </c>
      <c r="AI28" s="117" t="n">
        <f aca="false">SUMIFS(الريسبي!$C$2:$C$1800,الريسبي!$A$2:$A$1800,$A28,الريسبي!$B$2:$B$1800,AI$1)</f>
        <v>0</v>
      </c>
      <c r="AJ28" s="117" t="n">
        <f aca="false">SUMIFS(الريسبي!$C$2:$C$1800,الريسبي!$A$2:$A$1800,$A28,الريسبي!$B$2:$B$1800,AJ$1)</f>
        <v>2</v>
      </c>
      <c r="AK28" s="117" t="n">
        <f aca="false">SUMIFS(الريسبي!$C$2:$C$1800,الريسبي!$A$2:$A$1800,$A28,الريسبي!$B$2:$B$1800,AK$1)</f>
        <v>0</v>
      </c>
      <c r="AL28" s="117" t="n">
        <f aca="false">SUMIFS(الريسبي!$C$2:$C$1800,الريسبي!$A$2:$A$1800,$A28,الريسبي!$B$2:$B$1800,AL$1)</f>
        <v>0</v>
      </c>
      <c r="AM28" s="117" t="n">
        <f aca="false">SUMIFS(الريسبي!$C$2:$C$1800,الريسبي!$A$2:$A$1800,$A28,الريسبي!$B$2:$B$1800,AM$1)+0.08333333333*SUMIFS(الريسبي!$C$2:$C$1800,الريسبي!$A$2:$A$1800,$A28,الريسبي!$B$2:$B$1800,"عجين كريب (مصنع بالمطعم)")+0.08333333333*SUMIFS(الريسبي!$C$2:$C$1800,الريسبي!$A$2:$A$1800,$A28,الريسبي!$B$2:$B$1800,"عجين كريب صيامي (بدون لبن)")</f>
        <v>0</v>
      </c>
      <c r="AN28" s="117" t="n">
        <f aca="false">SUMIFS(الريسبي!$C$2:$C$1800,الريسبي!$A$2:$A$1800,$A28,الريسبي!$B$2:$B$1800,AN$1)+0.004166666667*SUMIFS(الريسبي!$C$2:$C$1800,الريسبي!$A$2:$A$1800,$A28,الريسبي!$B$2:$B$1800,"عجين كريب (مصنع بالمطعم)")+0.004166666667*SUMIFS(الريسبي!$C$2:$C$1800,الريسبي!$A$2:$A$1800,$A28,الريسبي!$B$2:$B$1800,"عجين كريب صيامي (بدون لبن)")</f>
        <v>0</v>
      </c>
      <c r="AO28" s="117" t="n">
        <f aca="false">SUMIFS(الريسبي!$C$2:$C$1800,الريسبي!$A$2:$A$1800,$A28,الريسبي!$B$2:$B$1800,AO$1)</f>
        <v>0</v>
      </c>
      <c r="AP28" s="117" t="n">
        <f aca="false">SUMIFS(الريسبي!$C$2:$C$1800,الريسبي!$A$2:$A$1800,$A28,الريسبي!$B$2:$B$1800,AP$1)</f>
        <v>0.02</v>
      </c>
      <c r="AQ28" s="117" t="n">
        <f aca="false">SUMIFS(الريسبي!$C$2:$C$1800,الريسبي!$A$2:$A$1800,$A28,الريسبي!$B$2:$B$1800,AQ$1)+0.004166666667*SUMIFS(الريسبي!$C$2:$C$1800,الريسبي!$A$2:$A$1800,$A28,الريسبي!$B$2:$B$1800,"عجين كريب (مصنع بالمطعم)")+0.004166666667*SUMIFS(الريسبي!$C$2:$C$1800,الريسبي!$A$2:$A$1800,$A28,الريسبي!$B$2:$B$1800,"عجين كريب صيامي (بدون لبن)")</f>
        <v>0</v>
      </c>
      <c r="AR28" s="117" t="n">
        <f aca="false">SUMIFS(الريسبي!$C$2:$C$1800,الريسبي!$A$2:$A$1800,$A28,الريسبي!$B$2:$B$1800,AR$1)</f>
        <v>0</v>
      </c>
      <c r="AS28" s="117" t="n">
        <f aca="false">SUMIFS(الريسبي!$C$2:$C$1800,الريسبي!$A$2:$A$1800,$A28,الريسبي!$B$2:$B$1800,AS$1)</f>
        <v>0</v>
      </c>
      <c r="AT28" s="117" t="n">
        <f aca="false">SUMIFS(الريسبي!$C$2:$C$1800,الريسبي!$A$2:$A$1800,$A28,الريسبي!$B$2:$B$1800,AT$1)</f>
        <v>0</v>
      </c>
      <c r="AU28" s="117" t="n">
        <f aca="false">SUMIFS(الريسبي!$C$2:$C$1800,الريسبي!$A$2:$A$1800,$A28,الريسبي!$B$2:$B$1800,AU$1)</f>
        <v>0</v>
      </c>
      <c r="AV28" s="117" t="n">
        <f aca="false">SUMIFS(الريسبي!$C$2:$C$1800,الريسبي!$A$2:$A$1800,$A28,الريسبي!$B$2:$B$1800,AV$1)</f>
        <v>0</v>
      </c>
      <c r="AW28" s="117" t="n">
        <f aca="false">SUMIFS(الريسبي!$C$2:$C$1800,الريسبي!$A$2:$A$1800,$A28,الريسبي!$B$2:$B$1800,AW$1)</f>
        <v>0</v>
      </c>
      <c r="AX28" s="117" t="n">
        <f aca="false">SUMIFS(الريسبي!$C$2:$C$1800,الريسبي!$A$2:$A$1800,$A28,الريسبي!$B$2:$B$1800,AX$1)</f>
        <v>0</v>
      </c>
      <c r="AY28" s="117" t="n">
        <f aca="false">SUMIFS(الريسبي!$C$2:$C$1800,الريسبي!$A$2:$A$1800,$A28,الريسبي!$B$2:$B$1800,AY$1)</f>
        <v>0</v>
      </c>
      <c r="AZ28" s="117" t="n">
        <f aca="false">SUMIFS(الريسبي!$C$2:$C$1800,الريسبي!$A$2:$A$1800,$A28,الريسبي!$B$2:$B$1800,AZ$1)</f>
        <v>0</v>
      </c>
      <c r="BA28" s="117" t="n">
        <f aca="false">SUMIFS(الريسبي!$C$2:$C$1800,الريسبي!$A$2:$A$1800,$A28,الريسبي!$B$2:$B$1800,BA$1)</f>
        <v>0</v>
      </c>
      <c r="BB28" s="117" t="n">
        <f aca="false">SUMIFS(الريسبي!$C$2:$C$1800,الريسبي!$A$2:$A$1800,$A28,الريسبي!$B$2:$B$1800,BB$1)</f>
        <v>0</v>
      </c>
      <c r="BC28" s="117" t="n">
        <f aca="false">SUMIFS(الريسبي!$C$2:$C$1800,الريسبي!$A$2:$A$1800,$A28,الريسبي!$B$2:$B$1800,BC$1)</f>
        <v>0.03</v>
      </c>
      <c r="BD28" s="117" t="n">
        <f aca="false">SUMIFS(الريسبي!$C$2:$C$1800,الريسبي!$A$2:$A$1800,$A28,الريسبي!$B$2:$B$1800,BD$1)</f>
        <v>0</v>
      </c>
      <c r="BE28" s="117" t="n">
        <f aca="false">SUMIFS(الريسبي!$C$2:$C$1800,الريسبي!$A$2:$A$1800,$A28,الريسبي!$B$2:$B$1800,BE$1)</f>
        <v>1</v>
      </c>
      <c r="BF28" s="117" t="n">
        <f aca="false">SUMIFS(الريسبي!$C$2:$C$1800,الريسبي!$A$2:$A$1800,$A28,الريسبي!$B$2:$B$1800,BF$1)</f>
        <v>0</v>
      </c>
      <c r="BG28" s="117" t="n">
        <f aca="false">SUMIFS(الريسبي!$C$2:$C$1800,الريسبي!$A$2:$A$1800,$A28,الريسبي!$B$2:$B$1800,BG$1)</f>
        <v>0</v>
      </c>
      <c r="BH28" s="117" t="n">
        <f aca="false">SUMIFS(الريسبي!$C$2:$C$1800,الريسبي!$A$2:$A$1800,$A28,الريسبي!$B$2:$B$1800,BH$1)</f>
        <v>1</v>
      </c>
      <c r="BI28" s="117" t="n">
        <f aca="false">SUMIFS(الريسبي!$C$2:$C$1800,الريسبي!$A$2:$A$1800,$A28,الريسبي!$B$2:$B$1800,BI$1)</f>
        <v>0</v>
      </c>
      <c r="BJ28" s="117" t="n">
        <f aca="false">SUMIFS(الريسبي!$C$2:$C$1800,الريسبي!$A$2:$A$1800,$A28,الريسبي!$B$2:$B$1800,BJ$1)</f>
        <v>0</v>
      </c>
      <c r="BK28" s="117" t="n">
        <f aca="false">SUMIFS(الريسبي!$C$2:$C$1800,الريسبي!$A$2:$A$1800,$A28,الريسبي!$B$2:$B$1800,BK$1)</f>
        <v>0</v>
      </c>
      <c r="BL28" s="117" t="n">
        <f aca="false">SUMIFS(الريسبي!$C$2:$C$1800,الريسبي!$A$2:$A$1800,$A28,الريسبي!$B$2:$B$1800,BL$1)</f>
        <v>0</v>
      </c>
      <c r="BM28" s="117" t="n">
        <f aca="false">SUMIFS(الريسبي!$C$2:$C$1800,الريسبي!$A$2:$A$1800,$A28,الريسبي!$B$2:$B$1800,BM$1)</f>
        <v>0</v>
      </c>
      <c r="BN28" s="117" t="n">
        <f aca="false">SUMIFS(الريسبي!$C$2:$C$1800,الريسبي!$A$2:$A$1800,$A28,الريسبي!$B$2:$B$1800,BN$1)</f>
        <v>0.02</v>
      </c>
      <c r="BO28" s="117" t="n">
        <f aca="false">SUMIFS(الريسبي!$C$2:$C$1800,الريسبي!$A$2:$A$1800,$A28,الريسبي!$B$2:$B$1800,BO$1)</f>
        <v>2</v>
      </c>
      <c r="BP28" s="117" t="n">
        <f aca="false">SUMIFS(الريسبي!$C$2:$C$1800,الريسبي!$A$2:$A$1800,$A28,الريسبي!$B$2:$B$1800,BP$1)</f>
        <v>2</v>
      </c>
      <c r="BQ28" s="117" t="n">
        <f aca="false">SUMIFS(الريسبي!$C$2:$C$1800,الريسبي!$A$2:$A$1800,$A28,الريسبي!$B$2:$B$1800,BQ$1)+0.17*SUMIFS(الريسبي!$C$2:$C$1800,الريسبي!$A$2:$A$1800,$A28,الريسبي!$B$2:$B$1800,"كاسترد مصنع (خليط بودر + لبن)")+0.17*SUMIFS(الريسبي!$C$2:$C$1800,الريسبي!$A$2:$A$1800,$A28,الريسبي!$B$2:$B$1800,"كاسترد مصنع صيامي (بدون لبن)")</f>
        <v>0</v>
      </c>
      <c r="BR28" s="117" t="n">
        <f aca="false">SUMIFS(الريسبي!$C$2:$C$1800,الريسبي!$A$2:$A$1800,$A28,الريسبي!$B$2:$B$1800,BR$1)</f>
        <v>1</v>
      </c>
      <c r="BS28" s="117" t="n">
        <f aca="false">SUMIFS(الريسبي!$C$2:$C$1800,الريسبي!$A$2:$A$1800,$A28,الريسبي!$B$2:$B$1800,BS$1)</f>
        <v>0</v>
      </c>
      <c r="BT28" s="117" t="n">
        <f aca="false">SUMIFS(الريسبي!$C$2:$C$1800,الريسبي!$A$2:$A$1800,$A28,الريسبي!$B$2:$B$1800,BT$1)</f>
        <v>0</v>
      </c>
      <c r="BU28" s="117" t="n">
        <f aca="false">SUMIFS(الريسبي!$C$2:$C$1800,الريسبي!$A$2:$A$1800,$A28,الريسبي!$B$2:$B$1800,BU$1)+0.4*SUMIFS(الريسبي!$C$2:$C$1800,الريسبي!$A$2:$A$1800,$A28,الريسبي!$B$2:$B$1800,"كاسترد مصنع (خليط بودر + لبن)")+0.03333333333*SUMIFS(الريسبي!$C$2:$C$1800,الريسبي!$A$2:$A$1800,$A28,الريسبي!$B$2:$B$1800,"عجين كريب (مصنع بالمطعم)")</f>
        <v>0</v>
      </c>
      <c r="BV28" s="117" t="n">
        <f aca="false">SUMIFS(الريسبي!$C$2:$C$1800,الريسبي!$A$2:$A$1800,$A28,الريسبي!$B$2:$B$1800,BV$1)</f>
        <v>0</v>
      </c>
      <c r="BW28" s="117" t="n">
        <f aca="false">SUMIFS(الريسبي!$C$2:$C$1800,الريسبي!$A$2:$A$1800,$A28,الريسبي!$B$2:$B$1800,BW$1)</f>
        <v>0</v>
      </c>
      <c r="BX28" s="117" t="n">
        <f aca="false">SUMIFS(الريسبي!$C$2:$C$1800,الريسبي!$A$2:$A$1800,$A28,الريسبي!$B$2:$B$1800,BX$1)</f>
        <v>0</v>
      </c>
      <c r="BY28" s="117" t="n">
        <f aca="false">SUMIFS(الريسبي!$C$2:$C$1800,الريسبي!$A$2:$A$1800,$A28,الريسبي!$B$2:$B$1800,BY$1)</f>
        <v>0</v>
      </c>
      <c r="BZ28" s="117" t="n">
        <f aca="false">SUMIFS(الريسبي!$C$2:$C$1800,الريسبي!$A$2:$A$1800,$A28,الريسبي!$B$2:$B$1800,BZ$1)</f>
        <v>0</v>
      </c>
      <c r="CA28" s="117" t="n">
        <f aca="false">SUMIFS(الريسبي!$C$2:$C$1800,الريسبي!$A$2:$A$1800,$A28,الريسبي!$B$2:$B$1800,CA$1)</f>
        <v>1</v>
      </c>
      <c r="CB28" s="117" t="n">
        <f aca="false">SUMIFS(الريسبي!$C$2:$C$1800,الريسبي!$A$2:$A$1800,$A28,الريسبي!$B$2:$B$1800,CB$1)</f>
        <v>1</v>
      </c>
      <c r="CC28" s="117" t="n">
        <f aca="false">SUMIFS(الريسبي!$C$2:$C$1800,الريسبي!$A$2:$A$1800,$A28,الريسبي!$B$2:$B$1800,CC$1)</f>
        <v>0</v>
      </c>
      <c r="CD28" s="117" t="n">
        <f aca="false">SUMIFS(الريسبي!$C$2:$C$1800,الريسبي!$A$2:$A$1800,$A28,الريسبي!$B$2:$B$1800,CD$1)</f>
        <v>0</v>
      </c>
      <c r="CE28" s="117" t="n">
        <f aca="false">SUMIFS(الريسبي!$C$2:$C$1800,الريسبي!$A$2:$A$1800,$A28,الريسبي!$B$2:$B$1800,CE$1)</f>
        <v>0</v>
      </c>
      <c r="CF28" s="117" t="n">
        <f aca="false">SUMIFS(الريسبي!$C$2:$C$1800,الريسبي!$A$2:$A$1800,$A28,الريسبي!$B$2:$B$1800,CF$1)</f>
        <v>0</v>
      </c>
      <c r="CG28" s="117" t="n">
        <f aca="false">SUMIFS(الريسبي!$C$2:$C$1800,الريسبي!$A$2:$A$1800,$A28,الريسبي!$B$2:$B$1800,CG$1)</f>
        <v>0</v>
      </c>
      <c r="CH28" s="117" t="n">
        <f aca="false">SUMIFS(الريسبي!$C$2:$C$1800,الريسبي!$A$2:$A$1800,$A28,الريسبي!$B$2:$B$1800,CH$1)</f>
        <v>0</v>
      </c>
      <c r="CI28" s="117" t="n">
        <f aca="false">SUMIFS(الريسبي!$C$2:$C$1800,الريسبي!$A$2:$A$1800,$A28,الريسبي!$B$2:$B$1800,CI$1)</f>
        <v>0</v>
      </c>
      <c r="CJ28" s="117" t="n">
        <f aca="false">SUMIFS(الريسبي!$C$2:$C$1800,الريسبي!$A$2:$A$1800,$A28,الريسبي!$B$2:$B$1800,CJ$1)</f>
        <v>0</v>
      </c>
      <c r="CK28" s="117" t="n">
        <f aca="false">SUMIFS(الريسبي!$C$2:$C$1800,الريسبي!$A$2:$A$1800,$A28,الريسبي!$B$2:$B$1800,CK$1)</f>
        <v>0</v>
      </c>
      <c r="CL28" s="117" t="n">
        <f aca="false">SUMIFS(الريسبي!$C$2:$C$1800,الريسبي!$A$2:$A$1800,$A28,الريسبي!$B$2:$B$1800,CL$1)</f>
        <v>0</v>
      </c>
    </row>
    <row r="29" customFormat="false" ht="15" hidden="false" customHeight="false" outlineLevel="0" collapsed="false">
      <c r="A29" s="116" t="str">
        <f aca="false">المنيو!B29</f>
        <v>فطيرة ميكس بسطرمة وسدق بالكيري حجم اكبر</v>
      </c>
      <c r="B29" s="117" t="n">
        <f aca="false">SUMIFS(الريسبي!$C$2:$C$1800,الريسبي!$A$2:$A$1800,$A29,الريسبي!$B$2:$B$1800,B$1)</f>
        <v>0</v>
      </c>
      <c r="C29" s="117" t="n">
        <f aca="false">SUMIFS(الريسبي!$C$2:$C$1800,الريسبي!$A$2:$A$1800,$A29,الريسبي!$B$2:$B$1800,C$1)</f>
        <v>0</v>
      </c>
      <c r="D29" s="117" t="n">
        <f aca="false">SUMIFS(الريسبي!$C$2:$C$1800,الريسبي!$A$2:$A$1800,$A29,الريسبي!$B$2:$B$1800,D$1)</f>
        <v>1</v>
      </c>
      <c r="E29" s="117" t="n">
        <f aca="false">SUMIFS(الريسبي!$C$2:$C$1800,الريسبي!$A$2:$A$1800,$A29,الريسبي!$B$2:$B$1800,E$1)</f>
        <v>0</v>
      </c>
      <c r="F29" s="117" t="n">
        <f aca="false">SUMIFS(الريسبي!$C$2:$C$1800,الريسبي!$A$2:$A$1800,$A29,الريسبي!$B$2:$B$1800,F$1)</f>
        <v>0</v>
      </c>
      <c r="G29" s="117" t="n">
        <f aca="false">SUMIFS(الريسبي!$C$2:$C$1800,الريسبي!$A$2:$A$1800,$A29,الريسبي!$B$2:$B$1800,G$1)</f>
        <v>0</v>
      </c>
      <c r="H29" s="117" t="n">
        <f aca="false">SUMIFS(الريسبي!$C$2:$C$1800,الريسبي!$A$2:$A$1800,$A29,الريسبي!$B$2:$B$1800,H$1)</f>
        <v>1</v>
      </c>
      <c r="I29" s="117" t="n">
        <f aca="false">SUMIFS(الريسبي!$C$2:$C$1800,الريسبي!$A$2:$A$1800,$A29,الريسبي!$B$2:$B$1800,I$1)</f>
        <v>0</v>
      </c>
      <c r="J29" s="117" t="n">
        <f aca="false">SUMIFS(الريسبي!$C$2:$C$1800,الريسبي!$A$2:$A$1800,$A29,الريسبي!$B$2:$B$1800,J$1)</f>
        <v>0</v>
      </c>
      <c r="K29" s="117" t="n">
        <f aca="false">SUMIFS(الريسبي!$C$2:$C$1800,الريسبي!$A$2:$A$1800,$A29,الريسبي!$B$2:$B$1800,K$1)</f>
        <v>0</v>
      </c>
      <c r="L29" s="117" t="n">
        <f aca="false">SUMIFS(الريسبي!$C$2:$C$1800,الريسبي!$A$2:$A$1800,$A29,الريسبي!$B$2:$B$1800,L$1)</f>
        <v>0</v>
      </c>
      <c r="M29" s="117" t="n">
        <f aca="false">SUMIFS(الريسبي!$C$2:$C$1800,الريسبي!$A$2:$A$1800,$A29,الريسبي!$B$2:$B$1800,M$1)</f>
        <v>1</v>
      </c>
      <c r="N29" s="117" t="n">
        <f aca="false">SUMIFS(الريسبي!$C$2:$C$1800,الريسبي!$A$2:$A$1800,$A29,الريسبي!$B$2:$B$1800,N$1)</f>
        <v>0</v>
      </c>
      <c r="O29" s="117" t="n">
        <f aca="false">SUMIFS(الريسبي!$C$2:$C$1800,الريسبي!$A$2:$A$1800,$A29,الريسبي!$B$2:$B$1800,O$1)</f>
        <v>0</v>
      </c>
      <c r="P29" s="117" t="n">
        <f aca="false">SUMIFS(الريسبي!$C$2:$C$1800,الريسبي!$A$2:$A$1800,$A29,الريسبي!$B$2:$B$1800,P$1)</f>
        <v>0</v>
      </c>
      <c r="Q29" s="117" t="n">
        <f aca="false">SUMIFS(الريسبي!$C$2:$C$1800,الريسبي!$A$2:$A$1800,$A29,الريسبي!$B$2:$B$1800,Q$1)</f>
        <v>0</v>
      </c>
      <c r="R29" s="117" t="n">
        <f aca="false">SUMIFS(الريسبي!$C$2:$C$1800,الريسبي!$A$2:$A$1800,$A29,الريسبي!$B$2:$B$1800,R$1)</f>
        <v>0</v>
      </c>
      <c r="S29" s="117" t="n">
        <f aca="false">SUMIFS(الريسبي!$C$2:$C$1800,الريسبي!$A$2:$A$1800,$A29,الريسبي!$B$2:$B$1800,S$1)</f>
        <v>0</v>
      </c>
      <c r="T29" s="117" t="n">
        <f aca="false">SUMIFS(الريسبي!$C$2:$C$1800,الريسبي!$A$2:$A$1800,$A29,الريسبي!$B$2:$B$1800,T$1)</f>
        <v>0</v>
      </c>
      <c r="U29" s="117" t="n">
        <f aca="false">SUMIFS(الريسبي!$C$2:$C$1800,الريسبي!$A$2:$A$1800,$A29,الريسبي!$B$2:$B$1800,U$1)</f>
        <v>0</v>
      </c>
      <c r="V29" s="117" t="n">
        <f aca="false">SUMIFS(الريسبي!$C$2:$C$1800,الريسبي!$A$2:$A$1800,$A29,الريسبي!$B$2:$B$1800,V$1)</f>
        <v>0</v>
      </c>
      <c r="W29" s="117" t="n">
        <f aca="false">SUMIFS(الريسبي!$C$2:$C$1800,الريسبي!$A$2:$A$1800,$A29,الريسبي!$B$2:$B$1800,W$1)</f>
        <v>0</v>
      </c>
      <c r="X29" s="117" t="n">
        <f aca="false">SUMIFS(الريسبي!$C$2:$C$1800,الريسبي!$A$2:$A$1800,$A29,الريسبي!$B$2:$B$1800,X$1)</f>
        <v>0</v>
      </c>
      <c r="Y29" s="117" t="n">
        <f aca="false">SUMIFS(الريسبي!$C$2:$C$1800,الريسبي!$A$2:$A$1800,$A29,الريسبي!$B$2:$B$1800,Y$1)</f>
        <v>1</v>
      </c>
      <c r="Z29" s="117" t="n">
        <f aca="false">SUMIFS(الريسبي!$C$2:$C$1800,الريسبي!$A$2:$A$1800,$A29,الريسبي!$B$2:$B$1800,Z$1)</f>
        <v>0</v>
      </c>
      <c r="AA29" s="117" t="n">
        <f aca="false">SUMIFS(الريسبي!$C$2:$C$1800,الريسبي!$A$2:$A$1800,$A29,الريسبي!$B$2:$B$1800,AA$1)</f>
        <v>0</v>
      </c>
      <c r="AB29" s="117" t="n">
        <f aca="false">SUMIFS(الريسبي!$C$2:$C$1800,الريسبي!$A$2:$A$1800,$A29,الريسبي!$B$2:$B$1800,AB$1)</f>
        <v>0</v>
      </c>
      <c r="AC29" s="117" t="n">
        <f aca="false">SUMIFS(الريسبي!$C$2:$C$1800,الريسبي!$A$2:$A$1800,$A29,الريسبي!$B$2:$B$1800,AC$1)</f>
        <v>0</v>
      </c>
      <c r="AD29" s="117" t="n">
        <f aca="false">SUMIFS(الريسبي!$C$2:$C$1800,الريسبي!$A$2:$A$1800,$A29,الريسبي!$B$2:$B$1800,AD$1)</f>
        <v>0</v>
      </c>
      <c r="AE29" s="117" t="n">
        <f aca="false">SUMIFS(الريسبي!$C$2:$C$1800,الريسبي!$A$2:$A$1800,$A29,الريسبي!$B$2:$B$1800,AE$1)</f>
        <v>0</v>
      </c>
      <c r="AF29" s="117" t="n">
        <f aca="false">SUMIFS(الريسبي!$C$2:$C$1800,الريسبي!$A$2:$A$1800,$A29,الريسبي!$B$2:$B$1800,AF$1)</f>
        <v>0</v>
      </c>
      <c r="AG29" s="117" t="n">
        <f aca="false">SUMIFS(الريسبي!$C$2:$C$1800,الريسبي!$A$2:$A$1800,$A29,الريسبي!$B$2:$B$1800,AG$1)</f>
        <v>0</v>
      </c>
      <c r="AH29" s="117" t="n">
        <f aca="false">SUMIFS(الريسبي!$C$2:$C$1800,الريسبي!$A$2:$A$1800,$A29,الريسبي!$B$2:$B$1800,AH$1)</f>
        <v>0</v>
      </c>
      <c r="AI29" s="117" t="n">
        <f aca="false">SUMIFS(الريسبي!$C$2:$C$1800,الريسبي!$A$2:$A$1800,$A29,الريسبي!$B$2:$B$1800,AI$1)</f>
        <v>0</v>
      </c>
      <c r="AJ29" s="117" t="n">
        <f aca="false">SUMIFS(الريسبي!$C$2:$C$1800,الريسبي!$A$2:$A$1800,$A29,الريسبي!$B$2:$B$1800,AJ$1)</f>
        <v>2</v>
      </c>
      <c r="AK29" s="117" t="n">
        <f aca="false">SUMIFS(الريسبي!$C$2:$C$1800,الريسبي!$A$2:$A$1800,$A29,الريسبي!$B$2:$B$1800,AK$1)</f>
        <v>0</v>
      </c>
      <c r="AL29" s="117" t="n">
        <f aca="false">SUMIFS(الريسبي!$C$2:$C$1800,الريسبي!$A$2:$A$1800,$A29,الريسبي!$B$2:$B$1800,AL$1)</f>
        <v>0</v>
      </c>
      <c r="AM29" s="117" t="n">
        <f aca="false">SUMIFS(الريسبي!$C$2:$C$1800,الريسبي!$A$2:$A$1800,$A29,الريسبي!$B$2:$B$1800,AM$1)+0.08333333333*SUMIFS(الريسبي!$C$2:$C$1800,الريسبي!$A$2:$A$1800,$A29,الريسبي!$B$2:$B$1800,"عجين كريب (مصنع بالمطعم)")+0.08333333333*SUMIFS(الريسبي!$C$2:$C$1800,الريسبي!$A$2:$A$1800,$A29,الريسبي!$B$2:$B$1800,"عجين كريب صيامي (بدون لبن)")</f>
        <v>0</v>
      </c>
      <c r="AN29" s="117" t="n">
        <f aca="false">SUMIFS(الريسبي!$C$2:$C$1800,الريسبي!$A$2:$A$1800,$A29,الريسبي!$B$2:$B$1800,AN$1)+0.004166666667*SUMIFS(الريسبي!$C$2:$C$1800,الريسبي!$A$2:$A$1800,$A29,الريسبي!$B$2:$B$1800,"عجين كريب (مصنع بالمطعم)")+0.004166666667*SUMIFS(الريسبي!$C$2:$C$1800,الريسبي!$A$2:$A$1800,$A29,الريسبي!$B$2:$B$1800,"عجين كريب صيامي (بدون لبن)")</f>
        <v>0</v>
      </c>
      <c r="AO29" s="117" t="n">
        <f aca="false">SUMIFS(الريسبي!$C$2:$C$1800,الريسبي!$A$2:$A$1800,$A29,الريسبي!$B$2:$B$1800,AO$1)</f>
        <v>0</v>
      </c>
      <c r="AP29" s="117" t="n">
        <f aca="false">SUMIFS(الريسبي!$C$2:$C$1800,الريسبي!$A$2:$A$1800,$A29,الريسبي!$B$2:$B$1800,AP$1)</f>
        <v>0.03</v>
      </c>
      <c r="AQ29" s="117" t="n">
        <f aca="false">SUMIFS(الريسبي!$C$2:$C$1800,الريسبي!$A$2:$A$1800,$A29,الريسبي!$B$2:$B$1800,AQ$1)+0.004166666667*SUMIFS(الريسبي!$C$2:$C$1800,الريسبي!$A$2:$A$1800,$A29,الريسبي!$B$2:$B$1800,"عجين كريب (مصنع بالمطعم)")+0.004166666667*SUMIFS(الريسبي!$C$2:$C$1800,الريسبي!$A$2:$A$1800,$A29,الريسبي!$B$2:$B$1800,"عجين كريب صيامي (بدون لبن)")</f>
        <v>0</v>
      </c>
      <c r="AR29" s="117" t="n">
        <f aca="false">SUMIFS(الريسبي!$C$2:$C$1800,الريسبي!$A$2:$A$1800,$A29,الريسبي!$B$2:$B$1800,AR$1)</f>
        <v>0</v>
      </c>
      <c r="AS29" s="117" t="n">
        <f aca="false">SUMIFS(الريسبي!$C$2:$C$1800,الريسبي!$A$2:$A$1800,$A29,الريسبي!$B$2:$B$1800,AS$1)</f>
        <v>0</v>
      </c>
      <c r="AT29" s="117" t="n">
        <f aca="false">SUMIFS(الريسبي!$C$2:$C$1800,الريسبي!$A$2:$A$1800,$A29,الريسبي!$B$2:$B$1800,AT$1)</f>
        <v>0</v>
      </c>
      <c r="AU29" s="117" t="n">
        <f aca="false">SUMIFS(الريسبي!$C$2:$C$1800,الريسبي!$A$2:$A$1800,$A29,الريسبي!$B$2:$B$1800,AU$1)</f>
        <v>0</v>
      </c>
      <c r="AV29" s="117" t="n">
        <f aca="false">SUMIFS(الريسبي!$C$2:$C$1800,الريسبي!$A$2:$A$1800,$A29,الريسبي!$B$2:$B$1800,AV$1)</f>
        <v>0</v>
      </c>
      <c r="AW29" s="117" t="n">
        <f aca="false">SUMIFS(الريسبي!$C$2:$C$1800,الريسبي!$A$2:$A$1800,$A29,الريسبي!$B$2:$B$1800,AW$1)</f>
        <v>0</v>
      </c>
      <c r="AX29" s="117" t="n">
        <f aca="false">SUMIFS(الريسبي!$C$2:$C$1800,الريسبي!$A$2:$A$1800,$A29,الريسبي!$B$2:$B$1800,AX$1)</f>
        <v>0</v>
      </c>
      <c r="AY29" s="117" t="n">
        <f aca="false">SUMIFS(الريسبي!$C$2:$C$1800,الريسبي!$A$2:$A$1800,$A29,الريسبي!$B$2:$B$1800,AY$1)</f>
        <v>0</v>
      </c>
      <c r="AZ29" s="117" t="n">
        <f aca="false">SUMIFS(الريسبي!$C$2:$C$1800,الريسبي!$A$2:$A$1800,$A29,الريسبي!$B$2:$B$1800,AZ$1)</f>
        <v>0</v>
      </c>
      <c r="BA29" s="117" t="n">
        <f aca="false">SUMIFS(الريسبي!$C$2:$C$1800,الريسبي!$A$2:$A$1800,$A29,الريسبي!$B$2:$B$1800,BA$1)</f>
        <v>0</v>
      </c>
      <c r="BB29" s="117" t="n">
        <f aca="false">SUMIFS(الريسبي!$C$2:$C$1800,الريسبي!$A$2:$A$1800,$A29,الريسبي!$B$2:$B$1800,BB$1)</f>
        <v>0</v>
      </c>
      <c r="BC29" s="117" t="n">
        <f aca="false">SUMIFS(الريسبي!$C$2:$C$1800,الريسبي!$A$2:$A$1800,$A29,الريسبي!$B$2:$B$1800,BC$1)</f>
        <v>0.045</v>
      </c>
      <c r="BD29" s="117" t="n">
        <f aca="false">SUMIFS(الريسبي!$C$2:$C$1800,الريسبي!$A$2:$A$1800,$A29,الريسبي!$B$2:$B$1800,BD$1)</f>
        <v>0</v>
      </c>
      <c r="BE29" s="117" t="n">
        <f aca="false">SUMIFS(الريسبي!$C$2:$C$1800,الريسبي!$A$2:$A$1800,$A29,الريسبي!$B$2:$B$1800,BE$1)</f>
        <v>1.5</v>
      </c>
      <c r="BF29" s="117" t="n">
        <f aca="false">SUMIFS(الريسبي!$C$2:$C$1800,الريسبي!$A$2:$A$1800,$A29,الريسبي!$B$2:$B$1800,BF$1)</f>
        <v>0</v>
      </c>
      <c r="BG29" s="117" t="n">
        <f aca="false">SUMIFS(الريسبي!$C$2:$C$1800,الريسبي!$A$2:$A$1800,$A29,الريسبي!$B$2:$B$1800,BG$1)</f>
        <v>1</v>
      </c>
      <c r="BH29" s="117" t="n">
        <f aca="false">SUMIFS(الريسبي!$C$2:$C$1800,الريسبي!$A$2:$A$1800,$A29,الريسبي!$B$2:$B$1800,BH$1)</f>
        <v>0</v>
      </c>
      <c r="BI29" s="117" t="n">
        <f aca="false">SUMIFS(الريسبي!$C$2:$C$1800,الريسبي!$A$2:$A$1800,$A29,الريسبي!$B$2:$B$1800,BI$1)</f>
        <v>0</v>
      </c>
      <c r="BJ29" s="117" t="n">
        <f aca="false">SUMIFS(الريسبي!$C$2:$C$1800,الريسبي!$A$2:$A$1800,$A29,الريسبي!$B$2:$B$1800,BJ$1)</f>
        <v>0</v>
      </c>
      <c r="BK29" s="117" t="n">
        <f aca="false">SUMIFS(الريسبي!$C$2:$C$1800,الريسبي!$A$2:$A$1800,$A29,الريسبي!$B$2:$B$1800,BK$1)</f>
        <v>0</v>
      </c>
      <c r="BL29" s="117" t="n">
        <f aca="false">SUMIFS(الريسبي!$C$2:$C$1800,الريسبي!$A$2:$A$1800,$A29,الريسبي!$B$2:$B$1800,BL$1)</f>
        <v>0</v>
      </c>
      <c r="BM29" s="117" t="n">
        <f aca="false">SUMIFS(الريسبي!$C$2:$C$1800,الريسبي!$A$2:$A$1800,$A29,الريسبي!$B$2:$B$1800,BM$1)</f>
        <v>0</v>
      </c>
      <c r="BN29" s="117" t="n">
        <f aca="false">SUMIFS(الريسبي!$C$2:$C$1800,الريسبي!$A$2:$A$1800,$A29,الريسبي!$B$2:$B$1800,BN$1)</f>
        <v>0.03</v>
      </c>
      <c r="BO29" s="117" t="n">
        <f aca="false">SUMIFS(الريسبي!$C$2:$C$1800,الريسبي!$A$2:$A$1800,$A29,الريسبي!$B$2:$B$1800,BO$1)</f>
        <v>3</v>
      </c>
      <c r="BP29" s="117" t="n">
        <f aca="false">SUMIFS(الريسبي!$C$2:$C$1800,الريسبي!$A$2:$A$1800,$A29,الريسبي!$B$2:$B$1800,BP$1)</f>
        <v>3</v>
      </c>
      <c r="BQ29" s="117" t="n">
        <f aca="false">SUMIFS(الريسبي!$C$2:$C$1800,الريسبي!$A$2:$A$1800,$A29,الريسبي!$B$2:$B$1800,BQ$1)+0.17*SUMIFS(الريسبي!$C$2:$C$1800,الريسبي!$A$2:$A$1800,$A29,الريسبي!$B$2:$B$1800,"كاسترد مصنع (خليط بودر + لبن)")+0.17*SUMIFS(الريسبي!$C$2:$C$1800,الريسبي!$A$2:$A$1800,$A29,الريسبي!$B$2:$B$1800,"كاسترد مصنع صيامي (بدون لبن)")</f>
        <v>0</v>
      </c>
      <c r="BR29" s="117" t="n">
        <f aca="false">SUMIFS(الريسبي!$C$2:$C$1800,الريسبي!$A$2:$A$1800,$A29,الريسبي!$B$2:$B$1800,BR$1)</f>
        <v>1</v>
      </c>
      <c r="BS29" s="117" t="n">
        <f aca="false">SUMIFS(الريسبي!$C$2:$C$1800,الريسبي!$A$2:$A$1800,$A29,الريسبي!$B$2:$B$1800,BS$1)</f>
        <v>0</v>
      </c>
      <c r="BT29" s="117" t="n">
        <f aca="false">SUMIFS(الريسبي!$C$2:$C$1800,الريسبي!$A$2:$A$1800,$A29,الريسبي!$B$2:$B$1800,BT$1)</f>
        <v>0</v>
      </c>
      <c r="BU29" s="117" t="n">
        <f aca="false">SUMIFS(الريسبي!$C$2:$C$1800,الريسبي!$A$2:$A$1800,$A29,الريسبي!$B$2:$B$1800,BU$1)+0.4*SUMIFS(الريسبي!$C$2:$C$1800,الريسبي!$A$2:$A$1800,$A29,الريسبي!$B$2:$B$1800,"كاسترد مصنع (خليط بودر + لبن)")+0.03333333333*SUMIFS(الريسبي!$C$2:$C$1800,الريسبي!$A$2:$A$1800,$A29,الريسبي!$B$2:$B$1800,"عجين كريب (مصنع بالمطعم)")</f>
        <v>0</v>
      </c>
      <c r="BV29" s="117" t="n">
        <f aca="false">SUMIFS(الريسبي!$C$2:$C$1800,الريسبي!$A$2:$A$1800,$A29,الريسبي!$B$2:$B$1800,BV$1)</f>
        <v>0</v>
      </c>
      <c r="BW29" s="117" t="n">
        <f aca="false">SUMIFS(الريسبي!$C$2:$C$1800,الريسبي!$A$2:$A$1800,$A29,الريسبي!$B$2:$B$1800,BW$1)</f>
        <v>0</v>
      </c>
      <c r="BX29" s="117" t="n">
        <f aca="false">SUMIFS(الريسبي!$C$2:$C$1800,الريسبي!$A$2:$A$1800,$A29,الريسبي!$B$2:$B$1800,BX$1)</f>
        <v>0</v>
      </c>
      <c r="BY29" s="117" t="n">
        <f aca="false">SUMIFS(الريسبي!$C$2:$C$1800,الريسبي!$A$2:$A$1800,$A29,الريسبي!$B$2:$B$1800,BY$1)</f>
        <v>0</v>
      </c>
      <c r="BZ29" s="117" t="n">
        <f aca="false">SUMIFS(الريسبي!$C$2:$C$1800,الريسبي!$A$2:$A$1800,$A29,الريسبي!$B$2:$B$1800,BZ$1)</f>
        <v>0</v>
      </c>
      <c r="CA29" s="117" t="n">
        <f aca="false">SUMIFS(الريسبي!$C$2:$C$1800,الريسبي!$A$2:$A$1800,$A29,الريسبي!$B$2:$B$1800,CA$1)</f>
        <v>1</v>
      </c>
      <c r="CB29" s="117" t="n">
        <f aca="false">SUMIFS(الريسبي!$C$2:$C$1800,الريسبي!$A$2:$A$1800,$A29,الريسبي!$B$2:$B$1800,CB$1)</f>
        <v>1</v>
      </c>
      <c r="CC29" s="117" t="n">
        <f aca="false">SUMIFS(الريسبي!$C$2:$C$1800,الريسبي!$A$2:$A$1800,$A29,الريسبي!$B$2:$B$1800,CC$1)</f>
        <v>0</v>
      </c>
      <c r="CD29" s="117" t="n">
        <f aca="false">SUMIFS(الريسبي!$C$2:$C$1800,الريسبي!$A$2:$A$1800,$A29,الريسبي!$B$2:$B$1800,CD$1)</f>
        <v>0</v>
      </c>
      <c r="CE29" s="117" t="n">
        <f aca="false">SUMIFS(الريسبي!$C$2:$C$1800,الريسبي!$A$2:$A$1800,$A29,الريسبي!$B$2:$B$1800,CE$1)</f>
        <v>0</v>
      </c>
      <c r="CF29" s="117" t="n">
        <f aca="false">SUMIFS(الريسبي!$C$2:$C$1800,الريسبي!$A$2:$A$1800,$A29,الريسبي!$B$2:$B$1800,CF$1)</f>
        <v>0</v>
      </c>
      <c r="CG29" s="117" t="n">
        <f aca="false">SUMIFS(الريسبي!$C$2:$C$1800,الريسبي!$A$2:$A$1800,$A29,الريسبي!$B$2:$B$1800,CG$1)</f>
        <v>0</v>
      </c>
      <c r="CH29" s="117" t="n">
        <f aca="false">SUMIFS(الريسبي!$C$2:$C$1800,الريسبي!$A$2:$A$1800,$A29,الريسبي!$B$2:$B$1800,CH$1)</f>
        <v>0</v>
      </c>
      <c r="CI29" s="117" t="n">
        <f aca="false">SUMIFS(الريسبي!$C$2:$C$1800,الريسبي!$A$2:$A$1800,$A29,الريسبي!$B$2:$B$1800,CI$1)</f>
        <v>0</v>
      </c>
      <c r="CJ29" s="117" t="n">
        <f aca="false">SUMIFS(الريسبي!$C$2:$C$1800,الريسبي!$A$2:$A$1800,$A29,الريسبي!$B$2:$B$1800,CJ$1)</f>
        <v>0</v>
      </c>
      <c r="CK29" s="117" t="n">
        <f aca="false">SUMIFS(الريسبي!$C$2:$C$1800,الريسبي!$A$2:$A$1800,$A29,الريسبي!$B$2:$B$1800,CK$1)</f>
        <v>0</v>
      </c>
      <c r="CL29" s="117" t="n">
        <f aca="false">SUMIFS(الريسبي!$C$2:$C$1800,الريسبي!$A$2:$A$1800,$A29,الريسبي!$B$2:$B$1800,CL$1)</f>
        <v>0</v>
      </c>
    </row>
    <row r="30" customFormat="false" ht="15" hidden="false" customHeight="false" outlineLevel="0" collapsed="false">
      <c r="A30" s="116" t="str">
        <f aca="false">المنيو!B30</f>
        <v>فطيرة مشكل جبن وسط</v>
      </c>
      <c r="B30" s="117" t="n">
        <f aca="false">SUMIFS(الريسبي!$C$2:$C$1800,الريسبي!$A$2:$A$1800,$A30,الريسبي!$B$2:$B$1800,B$1)</f>
        <v>0</v>
      </c>
      <c r="C30" s="117" t="n">
        <f aca="false">SUMIFS(الريسبي!$C$2:$C$1800,الريسبي!$A$2:$A$1800,$A30,الريسبي!$B$2:$B$1800,C$1)</f>
        <v>0</v>
      </c>
      <c r="D30" s="117" t="n">
        <f aca="false">SUMIFS(الريسبي!$C$2:$C$1800,الريسبي!$A$2:$A$1800,$A30,الريسبي!$B$2:$B$1800,D$1)</f>
        <v>1</v>
      </c>
      <c r="E30" s="117" t="n">
        <f aca="false">SUMIFS(الريسبي!$C$2:$C$1800,الريسبي!$A$2:$A$1800,$A30,الريسبي!$B$2:$B$1800,E$1)</f>
        <v>0</v>
      </c>
      <c r="F30" s="117" t="n">
        <f aca="false">SUMIFS(الريسبي!$C$2:$C$1800,الريسبي!$A$2:$A$1800,$A30,الريسبي!$B$2:$B$1800,F$1)</f>
        <v>0</v>
      </c>
      <c r="G30" s="117" t="n">
        <f aca="false">SUMIFS(الريسبي!$C$2:$C$1800,الريسبي!$A$2:$A$1800,$A30,الريسبي!$B$2:$B$1800,G$1)</f>
        <v>0</v>
      </c>
      <c r="H30" s="117" t="n">
        <f aca="false">SUMIFS(الريسبي!$C$2:$C$1800,الريسبي!$A$2:$A$1800,$A30,الريسبي!$B$2:$B$1800,H$1)</f>
        <v>0</v>
      </c>
      <c r="I30" s="117" t="n">
        <f aca="false">SUMIFS(الريسبي!$C$2:$C$1800,الريسبي!$A$2:$A$1800,$A30,الريسبي!$B$2:$B$1800,I$1)</f>
        <v>0</v>
      </c>
      <c r="J30" s="117" t="n">
        <f aca="false">SUMIFS(الريسبي!$C$2:$C$1800,الريسبي!$A$2:$A$1800,$A30,الريسبي!$B$2:$B$1800,J$1)</f>
        <v>1</v>
      </c>
      <c r="K30" s="117" t="n">
        <f aca="false">SUMIFS(الريسبي!$C$2:$C$1800,الريسبي!$A$2:$A$1800,$A30,الريسبي!$B$2:$B$1800,K$1)</f>
        <v>0</v>
      </c>
      <c r="L30" s="117" t="n">
        <f aca="false">SUMIFS(الريسبي!$C$2:$C$1800,الريسبي!$A$2:$A$1800,$A30,الريسبي!$B$2:$B$1800,L$1)</f>
        <v>0</v>
      </c>
      <c r="M30" s="117" t="n">
        <f aca="false">SUMIFS(الريسبي!$C$2:$C$1800,الريسبي!$A$2:$A$1800,$A30,الريسبي!$B$2:$B$1800,M$1)</f>
        <v>0</v>
      </c>
      <c r="N30" s="117" t="n">
        <f aca="false">SUMIFS(الريسبي!$C$2:$C$1800,الريسبي!$A$2:$A$1800,$A30,الريسبي!$B$2:$B$1800,N$1)</f>
        <v>0</v>
      </c>
      <c r="O30" s="117" t="n">
        <f aca="false">SUMIFS(الريسبي!$C$2:$C$1800,الريسبي!$A$2:$A$1800,$A30,الريسبي!$B$2:$B$1800,O$1)</f>
        <v>0</v>
      </c>
      <c r="P30" s="117" t="n">
        <f aca="false">SUMIFS(الريسبي!$C$2:$C$1800,الريسبي!$A$2:$A$1800,$A30,الريسبي!$B$2:$B$1800,P$1)</f>
        <v>0</v>
      </c>
      <c r="Q30" s="117" t="n">
        <f aca="false">SUMIFS(الريسبي!$C$2:$C$1800,الريسبي!$A$2:$A$1800,$A30,الريسبي!$B$2:$B$1800,Q$1)</f>
        <v>0</v>
      </c>
      <c r="R30" s="117" t="n">
        <f aca="false">SUMIFS(الريسبي!$C$2:$C$1800,الريسبي!$A$2:$A$1800,$A30,الريسبي!$B$2:$B$1800,R$1)</f>
        <v>0</v>
      </c>
      <c r="S30" s="117" t="n">
        <f aca="false">SUMIFS(الريسبي!$C$2:$C$1800,الريسبي!$A$2:$A$1800,$A30,الريسبي!$B$2:$B$1800,S$1)</f>
        <v>0</v>
      </c>
      <c r="T30" s="117" t="n">
        <f aca="false">SUMIFS(الريسبي!$C$2:$C$1800,الريسبي!$A$2:$A$1800,$A30,الريسبي!$B$2:$B$1800,T$1)</f>
        <v>0</v>
      </c>
      <c r="U30" s="117" t="n">
        <f aca="false">SUMIFS(الريسبي!$C$2:$C$1800,الريسبي!$A$2:$A$1800,$A30,الريسبي!$B$2:$B$1800,U$1)</f>
        <v>0</v>
      </c>
      <c r="V30" s="117" t="n">
        <f aca="false">SUMIFS(الريسبي!$C$2:$C$1800,الريسبي!$A$2:$A$1800,$A30,الريسبي!$B$2:$B$1800,V$1)</f>
        <v>0</v>
      </c>
      <c r="W30" s="117" t="n">
        <f aca="false">SUMIFS(الريسبي!$C$2:$C$1800,الريسبي!$A$2:$A$1800,$A30,الريسبي!$B$2:$B$1800,W$1)</f>
        <v>0</v>
      </c>
      <c r="X30" s="117" t="n">
        <f aca="false">SUMIFS(الريسبي!$C$2:$C$1800,الريسبي!$A$2:$A$1800,$A30,الريسبي!$B$2:$B$1800,X$1)</f>
        <v>1.5</v>
      </c>
      <c r="Y30" s="117" t="n">
        <f aca="false">SUMIFS(الريسبي!$C$2:$C$1800,الريسبي!$A$2:$A$1800,$A30,الريسبي!$B$2:$B$1800,Y$1)</f>
        <v>0</v>
      </c>
      <c r="Z30" s="117" t="n">
        <f aca="false">SUMIFS(الريسبي!$C$2:$C$1800,الريسبي!$A$2:$A$1800,$A30,الريسبي!$B$2:$B$1800,Z$1)</f>
        <v>0</v>
      </c>
      <c r="AA30" s="117" t="n">
        <f aca="false">SUMIFS(الريسبي!$C$2:$C$1800,الريسبي!$A$2:$A$1800,$A30,الريسبي!$B$2:$B$1800,AA$1)</f>
        <v>0</v>
      </c>
      <c r="AB30" s="117" t="n">
        <f aca="false">SUMIFS(الريسبي!$C$2:$C$1800,الريسبي!$A$2:$A$1800,$A30,الريسبي!$B$2:$B$1800,AB$1)</f>
        <v>0</v>
      </c>
      <c r="AC30" s="117" t="n">
        <f aca="false">SUMIFS(الريسبي!$C$2:$C$1800,الريسبي!$A$2:$A$1800,$A30,الريسبي!$B$2:$B$1800,AC$1)</f>
        <v>0</v>
      </c>
      <c r="AD30" s="117" t="n">
        <f aca="false">SUMIFS(الريسبي!$C$2:$C$1800,الريسبي!$A$2:$A$1800,$A30,الريسبي!$B$2:$B$1800,AD$1)</f>
        <v>0</v>
      </c>
      <c r="AE30" s="117" t="n">
        <f aca="false">SUMIFS(الريسبي!$C$2:$C$1800,الريسبي!$A$2:$A$1800,$A30,الريسبي!$B$2:$B$1800,AE$1)</f>
        <v>0</v>
      </c>
      <c r="AF30" s="117" t="n">
        <f aca="false">SUMIFS(الريسبي!$C$2:$C$1800,الريسبي!$A$2:$A$1800,$A30,الريسبي!$B$2:$B$1800,AF$1)</f>
        <v>0</v>
      </c>
      <c r="AG30" s="117" t="n">
        <f aca="false">SUMIFS(الريسبي!$C$2:$C$1800,الريسبي!$A$2:$A$1800,$A30,الريسبي!$B$2:$B$1800,AG$1)</f>
        <v>0</v>
      </c>
      <c r="AH30" s="117" t="n">
        <f aca="false">SUMIFS(الريسبي!$C$2:$C$1800,الريسبي!$A$2:$A$1800,$A30,الريسبي!$B$2:$B$1800,AH$1)</f>
        <v>0</v>
      </c>
      <c r="AI30" s="117" t="n">
        <f aca="false">SUMIFS(الريسبي!$C$2:$C$1800,الريسبي!$A$2:$A$1800,$A30,الريسبي!$B$2:$B$1800,AI$1)</f>
        <v>0</v>
      </c>
      <c r="AJ30" s="117" t="n">
        <f aca="false">SUMIFS(الريسبي!$C$2:$C$1800,الريسبي!$A$2:$A$1800,$A30,الريسبي!$B$2:$B$1800,AJ$1)</f>
        <v>2</v>
      </c>
      <c r="AK30" s="117" t="n">
        <f aca="false">SUMIFS(الريسبي!$C$2:$C$1800,الريسبي!$A$2:$A$1800,$A30,الريسبي!$B$2:$B$1800,AK$1)</f>
        <v>0</v>
      </c>
      <c r="AL30" s="117" t="n">
        <f aca="false">SUMIFS(الريسبي!$C$2:$C$1800,الريسبي!$A$2:$A$1800,$A30,الريسبي!$B$2:$B$1800,AL$1)</f>
        <v>0</v>
      </c>
      <c r="AM30" s="117" t="n">
        <f aca="false">SUMIFS(الريسبي!$C$2:$C$1800,الريسبي!$A$2:$A$1800,$A30,الريسبي!$B$2:$B$1800,AM$1)+0.08333333333*SUMIFS(الريسبي!$C$2:$C$1800,الريسبي!$A$2:$A$1800,$A30,الريسبي!$B$2:$B$1800,"عجين كريب (مصنع بالمطعم)")+0.08333333333*SUMIFS(الريسبي!$C$2:$C$1800,الريسبي!$A$2:$A$1800,$A30,الريسبي!$B$2:$B$1800,"عجين كريب صيامي (بدون لبن)")</f>
        <v>0</v>
      </c>
      <c r="AN30" s="117" t="n">
        <f aca="false">SUMIFS(الريسبي!$C$2:$C$1800,الريسبي!$A$2:$A$1800,$A30,الريسبي!$B$2:$B$1800,AN$1)+0.004166666667*SUMIFS(الريسبي!$C$2:$C$1800,الريسبي!$A$2:$A$1800,$A30,الريسبي!$B$2:$B$1800,"عجين كريب (مصنع بالمطعم)")+0.004166666667*SUMIFS(الريسبي!$C$2:$C$1800,الريسبي!$A$2:$A$1800,$A30,الريسبي!$B$2:$B$1800,"عجين كريب صيامي (بدون لبن)")</f>
        <v>0</v>
      </c>
      <c r="AO30" s="117" t="n">
        <f aca="false">SUMIFS(الريسبي!$C$2:$C$1800,الريسبي!$A$2:$A$1800,$A30,الريسبي!$B$2:$B$1800,AO$1)</f>
        <v>0</v>
      </c>
      <c r="AP30" s="117" t="n">
        <f aca="false">SUMIFS(الريسبي!$C$2:$C$1800,الريسبي!$A$2:$A$1800,$A30,الريسبي!$B$2:$B$1800,AP$1)</f>
        <v>0.02</v>
      </c>
      <c r="AQ30" s="117" t="n">
        <f aca="false">SUMIFS(الريسبي!$C$2:$C$1800,الريسبي!$A$2:$A$1800,$A30,الريسبي!$B$2:$B$1800,AQ$1)+0.004166666667*SUMIFS(الريسبي!$C$2:$C$1800,الريسبي!$A$2:$A$1800,$A30,الريسبي!$B$2:$B$1800,"عجين كريب (مصنع بالمطعم)")+0.004166666667*SUMIFS(الريسبي!$C$2:$C$1800,الريسبي!$A$2:$A$1800,$A30,الريسبي!$B$2:$B$1800,"عجين كريب صيامي (بدون لبن)")</f>
        <v>0</v>
      </c>
      <c r="AR30" s="117" t="n">
        <f aca="false">SUMIFS(الريسبي!$C$2:$C$1800,الريسبي!$A$2:$A$1800,$A30,الريسبي!$B$2:$B$1800,AR$1)</f>
        <v>0</v>
      </c>
      <c r="AS30" s="117" t="n">
        <f aca="false">SUMIFS(الريسبي!$C$2:$C$1800,الريسبي!$A$2:$A$1800,$A30,الريسبي!$B$2:$B$1800,AS$1)</f>
        <v>0</v>
      </c>
      <c r="AT30" s="117" t="n">
        <f aca="false">SUMIFS(الريسبي!$C$2:$C$1800,الريسبي!$A$2:$A$1800,$A30,الريسبي!$B$2:$B$1800,AT$1)</f>
        <v>0</v>
      </c>
      <c r="AU30" s="117" t="n">
        <f aca="false">SUMIFS(الريسبي!$C$2:$C$1800,الريسبي!$A$2:$A$1800,$A30,الريسبي!$B$2:$B$1800,AU$1)</f>
        <v>0</v>
      </c>
      <c r="AV30" s="117" t="n">
        <f aca="false">SUMIFS(الريسبي!$C$2:$C$1800,الريسبي!$A$2:$A$1800,$A30,الريسبي!$B$2:$B$1800,AV$1)</f>
        <v>0</v>
      </c>
      <c r="AW30" s="117" t="n">
        <f aca="false">SUMIFS(الريسبي!$C$2:$C$1800,الريسبي!$A$2:$A$1800,$A30,الريسبي!$B$2:$B$1800,AW$1)</f>
        <v>0</v>
      </c>
      <c r="AX30" s="117" t="n">
        <f aca="false">SUMIFS(الريسبي!$C$2:$C$1800,الريسبي!$A$2:$A$1800,$A30,الريسبي!$B$2:$B$1800,AX$1)</f>
        <v>0</v>
      </c>
      <c r="AY30" s="117" t="n">
        <f aca="false">SUMIFS(الريسبي!$C$2:$C$1800,الريسبي!$A$2:$A$1800,$A30,الريسبي!$B$2:$B$1800,AY$1)</f>
        <v>0</v>
      </c>
      <c r="AZ30" s="117" t="n">
        <f aca="false">SUMIFS(الريسبي!$C$2:$C$1800,الريسبي!$A$2:$A$1800,$A30,الريسبي!$B$2:$B$1800,AZ$1)</f>
        <v>0</v>
      </c>
      <c r="BA30" s="117" t="n">
        <f aca="false">SUMIFS(الريسبي!$C$2:$C$1800,الريسبي!$A$2:$A$1800,$A30,الريسبي!$B$2:$B$1800,BA$1)</f>
        <v>0</v>
      </c>
      <c r="BB30" s="117" t="n">
        <f aca="false">SUMIFS(الريسبي!$C$2:$C$1800,الريسبي!$A$2:$A$1800,$A30,الريسبي!$B$2:$B$1800,BB$1)</f>
        <v>0.1</v>
      </c>
      <c r="BC30" s="117" t="n">
        <f aca="false">SUMIFS(الريسبي!$C$2:$C$1800,الريسبي!$A$2:$A$1800,$A30,الريسبي!$B$2:$B$1800,BC$1)</f>
        <v>0.03</v>
      </c>
      <c r="BD30" s="117" t="n">
        <f aca="false">SUMIFS(الريسبي!$C$2:$C$1800,الريسبي!$A$2:$A$1800,$A30,الريسبي!$B$2:$B$1800,BD$1)</f>
        <v>0</v>
      </c>
      <c r="BE30" s="117" t="n">
        <f aca="false">SUMIFS(الريسبي!$C$2:$C$1800,الريسبي!$A$2:$A$1800,$A30,الريسبي!$B$2:$B$1800,BE$1)</f>
        <v>1</v>
      </c>
      <c r="BF30" s="117" t="n">
        <f aca="false">SUMIFS(الريسبي!$C$2:$C$1800,الريسبي!$A$2:$A$1800,$A30,الريسبي!$B$2:$B$1800,BF$1)</f>
        <v>0</v>
      </c>
      <c r="BG30" s="117" t="n">
        <f aca="false">SUMIFS(الريسبي!$C$2:$C$1800,الريسبي!$A$2:$A$1800,$A30,الريسبي!$B$2:$B$1800,BG$1)</f>
        <v>0</v>
      </c>
      <c r="BH30" s="117" t="n">
        <f aca="false">SUMIFS(الريسبي!$C$2:$C$1800,الريسبي!$A$2:$A$1800,$A30,الريسبي!$B$2:$B$1800,BH$1)</f>
        <v>1</v>
      </c>
      <c r="BI30" s="117" t="n">
        <f aca="false">SUMIFS(الريسبي!$C$2:$C$1800,الريسبي!$A$2:$A$1800,$A30,الريسبي!$B$2:$B$1800,BI$1)</f>
        <v>0</v>
      </c>
      <c r="BJ30" s="117" t="n">
        <f aca="false">SUMIFS(الريسبي!$C$2:$C$1800,الريسبي!$A$2:$A$1800,$A30,الريسبي!$B$2:$B$1800,BJ$1)</f>
        <v>0</v>
      </c>
      <c r="BK30" s="117" t="n">
        <f aca="false">SUMIFS(الريسبي!$C$2:$C$1800,الريسبي!$A$2:$A$1800,$A30,الريسبي!$B$2:$B$1800,BK$1)</f>
        <v>0</v>
      </c>
      <c r="BL30" s="117" t="n">
        <f aca="false">SUMIFS(الريسبي!$C$2:$C$1800,الريسبي!$A$2:$A$1800,$A30,الريسبي!$B$2:$B$1800,BL$1)</f>
        <v>0</v>
      </c>
      <c r="BM30" s="117" t="n">
        <f aca="false">SUMIFS(الريسبي!$C$2:$C$1800,الريسبي!$A$2:$A$1800,$A30,الريسبي!$B$2:$B$1800,BM$1)</f>
        <v>0</v>
      </c>
      <c r="BN30" s="117" t="n">
        <f aca="false">SUMIFS(الريسبي!$C$2:$C$1800,الريسبي!$A$2:$A$1800,$A30,الريسبي!$B$2:$B$1800,BN$1)</f>
        <v>0.02</v>
      </c>
      <c r="BO30" s="117" t="n">
        <f aca="false">SUMIFS(الريسبي!$C$2:$C$1800,الريسبي!$A$2:$A$1800,$A30,الريسبي!$B$2:$B$1800,BO$1)</f>
        <v>2</v>
      </c>
      <c r="BP30" s="117" t="n">
        <f aca="false">SUMIFS(الريسبي!$C$2:$C$1800,الريسبي!$A$2:$A$1800,$A30,الريسبي!$B$2:$B$1800,BP$1)</f>
        <v>2</v>
      </c>
      <c r="BQ30" s="117" t="n">
        <f aca="false">SUMIFS(الريسبي!$C$2:$C$1800,الريسبي!$A$2:$A$1800,$A30,الريسبي!$B$2:$B$1800,BQ$1)+0.17*SUMIFS(الريسبي!$C$2:$C$1800,الريسبي!$A$2:$A$1800,$A30,الريسبي!$B$2:$B$1800,"كاسترد مصنع (خليط بودر + لبن)")+0.17*SUMIFS(الريسبي!$C$2:$C$1800,الريسبي!$A$2:$A$1800,$A30,الريسبي!$B$2:$B$1800,"كاسترد مصنع صيامي (بدون لبن)")</f>
        <v>0</v>
      </c>
      <c r="BR30" s="117" t="n">
        <f aca="false">SUMIFS(الريسبي!$C$2:$C$1800,الريسبي!$A$2:$A$1800,$A30,الريسبي!$B$2:$B$1800,BR$1)</f>
        <v>1</v>
      </c>
      <c r="BS30" s="117" t="n">
        <f aca="false">SUMIFS(الريسبي!$C$2:$C$1800,الريسبي!$A$2:$A$1800,$A30,الريسبي!$B$2:$B$1800,BS$1)</f>
        <v>0</v>
      </c>
      <c r="BT30" s="117" t="n">
        <f aca="false">SUMIFS(الريسبي!$C$2:$C$1800,الريسبي!$A$2:$A$1800,$A30,الريسبي!$B$2:$B$1800,BT$1)</f>
        <v>0</v>
      </c>
      <c r="BU30" s="117" t="n">
        <f aca="false">SUMIFS(الريسبي!$C$2:$C$1800,الريسبي!$A$2:$A$1800,$A30,الريسبي!$B$2:$B$1800,BU$1)+0.4*SUMIFS(الريسبي!$C$2:$C$1800,الريسبي!$A$2:$A$1800,$A30,الريسبي!$B$2:$B$1800,"كاسترد مصنع (خليط بودر + لبن)")+0.03333333333*SUMIFS(الريسبي!$C$2:$C$1800,الريسبي!$A$2:$A$1800,$A30,الريسبي!$B$2:$B$1800,"عجين كريب (مصنع بالمطعم)")</f>
        <v>0</v>
      </c>
      <c r="BV30" s="117" t="n">
        <f aca="false">SUMIFS(الريسبي!$C$2:$C$1800,الريسبي!$A$2:$A$1800,$A30,الريسبي!$B$2:$B$1800,BV$1)</f>
        <v>0</v>
      </c>
      <c r="BW30" s="117" t="n">
        <f aca="false">SUMIFS(الريسبي!$C$2:$C$1800,الريسبي!$A$2:$A$1800,$A30,الريسبي!$B$2:$B$1800,BW$1)</f>
        <v>0</v>
      </c>
      <c r="BX30" s="117" t="n">
        <f aca="false">SUMIFS(الريسبي!$C$2:$C$1800,الريسبي!$A$2:$A$1800,$A30,الريسبي!$B$2:$B$1800,BX$1)</f>
        <v>0</v>
      </c>
      <c r="BY30" s="117" t="n">
        <f aca="false">SUMIFS(الريسبي!$C$2:$C$1800,الريسبي!$A$2:$A$1800,$A30,الريسبي!$B$2:$B$1800,BY$1)</f>
        <v>0</v>
      </c>
      <c r="BZ30" s="117" t="n">
        <f aca="false">SUMIFS(الريسبي!$C$2:$C$1800,الريسبي!$A$2:$A$1800,$A30,الريسبي!$B$2:$B$1800,BZ$1)</f>
        <v>0</v>
      </c>
      <c r="CA30" s="117" t="n">
        <f aca="false">SUMIFS(الريسبي!$C$2:$C$1800,الريسبي!$A$2:$A$1800,$A30,الريسبي!$B$2:$B$1800,CA$1)</f>
        <v>1</v>
      </c>
      <c r="CB30" s="117" t="n">
        <f aca="false">SUMIFS(الريسبي!$C$2:$C$1800,الريسبي!$A$2:$A$1800,$A30,الريسبي!$B$2:$B$1800,CB$1)</f>
        <v>1</v>
      </c>
      <c r="CC30" s="117" t="n">
        <f aca="false">SUMIFS(الريسبي!$C$2:$C$1800,الريسبي!$A$2:$A$1800,$A30,الريسبي!$B$2:$B$1800,CC$1)</f>
        <v>0</v>
      </c>
      <c r="CD30" s="117" t="n">
        <f aca="false">SUMIFS(الريسبي!$C$2:$C$1800,الريسبي!$A$2:$A$1800,$A30,الريسبي!$B$2:$B$1800,CD$1)</f>
        <v>0</v>
      </c>
      <c r="CE30" s="117" t="n">
        <f aca="false">SUMIFS(الريسبي!$C$2:$C$1800,الريسبي!$A$2:$A$1800,$A30,الريسبي!$B$2:$B$1800,CE$1)</f>
        <v>0</v>
      </c>
      <c r="CF30" s="117" t="n">
        <f aca="false">SUMIFS(الريسبي!$C$2:$C$1800,الريسبي!$A$2:$A$1800,$A30,الريسبي!$B$2:$B$1800,CF$1)</f>
        <v>0</v>
      </c>
      <c r="CG30" s="117" t="n">
        <f aca="false">SUMIFS(الريسبي!$C$2:$C$1800,الريسبي!$A$2:$A$1800,$A30,الريسبي!$B$2:$B$1800,CG$1)</f>
        <v>0</v>
      </c>
      <c r="CH30" s="117" t="n">
        <f aca="false">SUMIFS(الريسبي!$C$2:$C$1800,الريسبي!$A$2:$A$1800,$A30,الريسبي!$B$2:$B$1800,CH$1)</f>
        <v>0</v>
      </c>
      <c r="CI30" s="117" t="n">
        <f aca="false">SUMIFS(الريسبي!$C$2:$C$1800,الريسبي!$A$2:$A$1800,$A30,الريسبي!$B$2:$B$1800,CI$1)</f>
        <v>0</v>
      </c>
      <c r="CJ30" s="117" t="n">
        <f aca="false">SUMIFS(الريسبي!$C$2:$C$1800,الريسبي!$A$2:$A$1800,$A30,الريسبي!$B$2:$B$1800,CJ$1)</f>
        <v>0</v>
      </c>
      <c r="CK30" s="117" t="n">
        <f aca="false">SUMIFS(الريسبي!$C$2:$C$1800,الريسبي!$A$2:$A$1800,$A30,الريسبي!$B$2:$B$1800,CK$1)</f>
        <v>0</v>
      </c>
      <c r="CL30" s="117" t="n">
        <f aca="false">SUMIFS(الريسبي!$C$2:$C$1800,الريسبي!$A$2:$A$1800,$A30,الريسبي!$B$2:$B$1800,CL$1)</f>
        <v>0</v>
      </c>
    </row>
    <row r="31" customFormat="false" ht="15" hidden="false" customHeight="false" outlineLevel="0" collapsed="false">
      <c r="A31" s="116" t="str">
        <f aca="false">المنيو!B31</f>
        <v>فطيرة مشكل جبن حجم اكبر</v>
      </c>
      <c r="B31" s="117" t="n">
        <f aca="false">SUMIFS(الريسبي!$C$2:$C$1800,الريسبي!$A$2:$A$1800,$A31,الريسبي!$B$2:$B$1800,B$1)</f>
        <v>0</v>
      </c>
      <c r="C31" s="117" t="n">
        <f aca="false">SUMIFS(الريسبي!$C$2:$C$1800,الريسبي!$A$2:$A$1800,$A31,الريسبي!$B$2:$B$1800,C$1)</f>
        <v>0</v>
      </c>
      <c r="D31" s="117" t="n">
        <f aca="false">SUMIFS(الريسبي!$C$2:$C$1800,الريسبي!$A$2:$A$1800,$A31,الريسبي!$B$2:$B$1800,D$1)</f>
        <v>1</v>
      </c>
      <c r="E31" s="117" t="n">
        <f aca="false">SUMIFS(الريسبي!$C$2:$C$1800,الريسبي!$A$2:$A$1800,$A31,الريسبي!$B$2:$B$1800,E$1)</f>
        <v>0</v>
      </c>
      <c r="F31" s="117" t="n">
        <f aca="false">SUMIFS(الريسبي!$C$2:$C$1800,الريسبي!$A$2:$A$1800,$A31,الريسبي!$B$2:$B$1800,F$1)</f>
        <v>0</v>
      </c>
      <c r="G31" s="117" t="n">
        <f aca="false">SUMIFS(الريسبي!$C$2:$C$1800,الريسبي!$A$2:$A$1800,$A31,الريسبي!$B$2:$B$1800,G$1)</f>
        <v>0</v>
      </c>
      <c r="H31" s="117" t="n">
        <f aca="false">SUMIFS(الريسبي!$C$2:$C$1800,الريسبي!$A$2:$A$1800,$A31,الريسبي!$B$2:$B$1800,H$1)</f>
        <v>0</v>
      </c>
      <c r="I31" s="117" t="n">
        <f aca="false">SUMIFS(الريسبي!$C$2:$C$1800,الريسبي!$A$2:$A$1800,$A31,الريسبي!$B$2:$B$1800,I$1)</f>
        <v>0</v>
      </c>
      <c r="J31" s="117" t="n">
        <f aca="false">SUMIFS(الريسبي!$C$2:$C$1800,الريسبي!$A$2:$A$1800,$A31,الريسبي!$B$2:$B$1800,J$1)</f>
        <v>1.5</v>
      </c>
      <c r="K31" s="117" t="n">
        <f aca="false">SUMIFS(الريسبي!$C$2:$C$1800,الريسبي!$A$2:$A$1800,$A31,الريسبي!$B$2:$B$1800,K$1)</f>
        <v>0</v>
      </c>
      <c r="L31" s="117" t="n">
        <f aca="false">SUMIFS(الريسبي!$C$2:$C$1800,الريسبي!$A$2:$A$1800,$A31,الريسبي!$B$2:$B$1800,L$1)</f>
        <v>0</v>
      </c>
      <c r="M31" s="117" t="n">
        <f aca="false">SUMIFS(الريسبي!$C$2:$C$1800,الريسبي!$A$2:$A$1800,$A31,الريسبي!$B$2:$B$1800,M$1)</f>
        <v>0</v>
      </c>
      <c r="N31" s="117" t="n">
        <f aca="false">SUMIFS(الريسبي!$C$2:$C$1800,الريسبي!$A$2:$A$1800,$A31,الريسبي!$B$2:$B$1800,N$1)</f>
        <v>0</v>
      </c>
      <c r="O31" s="117" t="n">
        <f aca="false">SUMIFS(الريسبي!$C$2:$C$1800,الريسبي!$A$2:$A$1800,$A31,الريسبي!$B$2:$B$1800,O$1)</f>
        <v>0</v>
      </c>
      <c r="P31" s="117" t="n">
        <f aca="false">SUMIFS(الريسبي!$C$2:$C$1800,الريسبي!$A$2:$A$1800,$A31,الريسبي!$B$2:$B$1800,P$1)</f>
        <v>0</v>
      </c>
      <c r="Q31" s="117" t="n">
        <f aca="false">SUMIFS(الريسبي!$C$2:$C$1800,الريسبي!$A$2:$A$1800,$A31,الريسبي!$B$2:$B$1800,Q$1)</f>
        <v>0</v>
      </c>
      <c r="R31" s="117" t="n">
        <f aca="false">SUMIFS(الريسبي!$C$2:$C$1800,الريسبي!$A$2:$A$1800,$A31,الريسبي!$B$2:$B$1800,R$1)</f>
        <v>0</v>
      </c>
      <c r="S31" s="117" t="n">
        <f aca="false">SUMIFS(الريسبي!$C$2:$C$1800,الريسبي!$A$2:$A$1800,$A31,الريسبي!$B$2:$B$1800,S$1)</f>
        <v>0</v>
      </c>
      <c r="T31" s="117" t="n">
        <f aca="false">SUMIFS(الريسبي!$C$2:$C$1800,الريسبي!$A$2:$A$1800,$A31,الريسبي!$B$2:$B$1800,T$1)</f>
        <v>0</v>
      </c>
      <c r="U31" s="117" t="n">
        <f aca="false">SUMIFS(الريسبي!$C$2:$C$1800,الريسبي!$A$2:$A$1800,$A31,الريسبي!$B$2:$B$1800,U$1)</f>
        <v>0</v>
      </c>
      <c r="V31" s="117" t="n">
        <f aca="false">SUMIFS(الريسبي!$C$2:$C$1800,الريسبي!$A$2:$A$1800,$A31,الريسبي!$B$2:$B$1800,V$1)</f>
        <v>0</v>
      </c>
      <c r="W31" s="117" t="n">
        <f aca="false">SUMIFS(الريسبي!$C$2:$C$1800,الريسبي!$A$2:$A$1800,$A31,الريسبي!$B$2:$B$1800,W$1)</f>
        <v>0</v>
      </c>
      <c r="X31" s="117" t="n">
        <f aca="false">SUMIFS(الريسبي!$C$2:$C$1800,الريسبي!$A$2:$A$1800,$A31,الريسبي!$B$2:$B$1800,X$1)</f>
        <v>0</v>
      </c>
      <c r="Y31" s="117" t="n">
        <f aca="false">SUMIFS(الريسبي!$C$2:$C$1800,الريسبي!$A$2:$A$1800,$A31,الريسبي!$B$2:$B$1800,Y$1)</f>
        <v>1.5</v>
      </c>
      <c r="Z31" s="117" t="n">
        <f aca="false">SUMIFS(الريسبي!$C$2:$C$1800,الريسبي!$A$2:$A$1800,$A31,الريسبي!$B$2:$B$1800,Z$1)</f>
        <v>0</v>
      </c>
      <c r="AA31" s="117" t="n">
        <f aca="false">SUMIFS(الريسبي!$C$2:$C$1800,الريسبي!$A$2:$A$1800,$A31,الريسبي!$B$2:$B$1800,AA$1)</f>
        <v>0</v>
      </c>
      <c r="AB31" s="117" t="n">
        <f aca="false">SUMIFS(الريسبي!$C$2:$C$1800,الريسبي!$A$2:$A$1800,$A31,الريسبي!$B$2:$B$1800,AB$1)</f>
        <v>0</v>
      </c>
      <c r="AC31" s="117" t="n">
        <f aca="false">SUMIFS(الريسبي!$C$2:$C$1800,الريسبي!$A$2:$A$1800,$A31,الريسبي!$B$2:$B$1800,AC$1)</f>
        <v>0</v>
      </c>
      <c r="AD31" s="117" t="n">
        <f aca="false">SUMIFS(الريسبي!$C$2:$C$1800,الريسبي!$A$2:$A$1800,$A31,الريسبي!$B$2:$B$1800,AD$1)</f>
        <v>0</v>
      </c>
      <c r="AE31" s="117" t="n">
        <f aca="false">SUMIFS(الريسبي!$C$2:$C$1800,الريسبي!$A$2:$A$1800,$A31,الريسبي!$B$2:$B$1800,AE$1)</f>
        <v>0</v>
      </c>
      <c r="AF31" s="117" t="n">
        <f aca="false">SUMIFS(الريسبي!$C$2:$C$1800,الريسبي!$A$2:$A$1800,$A31,الريسبي!$B$2:$B$1800,AF$1)</f>
        <v>0</v>
      </c>
      <c r="AG31" s="117" t="n">
        <f aca="false">SUMIFS(الريسبي!$C$2:$C$1800,الريسبي!$A$2:$A$1800,$A31,الريسبي!$B$2:$B$1800,AG$1)</f>
        <v>0</v>
      </c>
      <c r="AH31" s="117" t="n">
        <f aca="false">SUMIFS(الريسبي!$C$2:$C$1800,الريسبي!$A$2:$A$1800,$A31,الريسبي!$B$2:$B$1800,AH$1)</f>
        <v>0</v>
      </c>
      <c r="AI31" s="117" t="n">
        <f aca="false">SUMIFS(الريسبي!$C$2:$C$1800,الريسبي!$A$2:$A$1800,$A31,الريسبي!$B$2:$B$1800,AI$1)</f>
        <v>0</v>
      </c>
      <c r="AJ31" s="117" t="n">
        <f aca="false">SUMIFS(الريسبي!$C$2:$C$1800,الريسبي!$A$2:$A$1800,$A31,الريسبي!$B$2:$B$1800,AJ$1)</f>
        <v>2</v>
      </c>
      <c r="AK31" s="117" t="n">
        <f aca="false">SUMIFS(الريسبي!$C$2:$C$1800,الريسبي!$A$2:$A$1800,$A31,الريسبي!$B$2:$B$1800,AK$1)</f>
        <v>0</v>
      </c>
      <c r="AL31" s="117" t="n">
        <f aca="false">SUMIFS(الريسبي!$C$2:$C$1800,الريسبي!$A$2:$A$1800,$A31,الريسبي!$B$2:$B$1800,AL$1)</f>
        <v>0</v>
      </c>
      <c r="AM31" s="117" t="n">
        <f aca="false">SUMIFS(الريسبي!$C$2:$C$1800,الريسبي!$A$2:$A$1800,$A31,الريسبي!$B$2:$B$1800,AM$1)+0.08333333333*SUMIFS(الريسبي!$C$2:$C$1800,الريسبي!$A$2:$A$1800,$A31,الريسبي!$B$2:$B$1800,"عجين كريب (مصنع بالمطعم)")+0.08333333333*SUMIFS(الريسبي!$C$2:$C$1800,الريسبي!$A$2:$A$1800,$A31,الريسبي!$B$2:$B$1800,"عجين كريب صيامي (بدون لبن)")</f>
        <v>0</v>
      </c>
      <c r="AN31" s="117" t="n">
        <f aca="false">SUMIFS(الريسبي!$C$2:$C$1800,الريسبي!$A$2:$A$1800,$A31,الريسبي!$B$2:$B$1800,AN$1)+0.004166666667*SUMIFS(الريسبي!$C$2:$C$1800,الريسبي!$A$2:$A$1800,$A31,الريسبي!$B$2:$B$1800,"عجين كريب (مصنع بالمطعم)")+0.004166666667*SUMIFS(الريسبي!$C$2:$C$1800,الريسبي!$A$2:$A$1800,$A31,الريسبي!$B$2:$B$1800,"عجين كريب صيامي (بدون لبن)")</f>
        <v>0</v>
      </c>
      <c r="AO31" s="117" t="n">
        <f aca="false">SUMIFS(الريسبي!$C$2:$C$1800,الريسبي!$A$2:$A$1800,$A31,الريسبي!$B$2:$B$1800,AO$1)</f>
        <v>0</v>
      </c>
      <c r="AP31" s="117" t="n">
        <f aca="false">SUMIFS(الريسبي!$C$2:$C$1800,الريسبي!$A$2:$A$1800,$A31,الريسبي!$B$2:$B$1800,AP$1)</f>
        <v>0.03</v>
      </c>
      <c r="AQ31" s="117" t="n">
        <f aca="false">SUMIFS(الريسبي!$C$2:$C$1800,الريسبي!$A$2:$A$1800,$A31,الريسبي!$B$2:$B$1800,AQ$1)+0.004166666667*SUMIFS(الريسبي!$C$2:$C$1800,الريسبي!$A$2:$A$1800,$A31,الريسبي!$B$2:$B$1800,"عجين كريب (مصنع بالمطعم)")+0.004166666667*SUMIFS(الريسبي!$C$2:$C$1800,الريسبي!$A$2:$A$1800,$A31,الريسبي!$B$2:$B$1800,"عجين كريب صيامي (بدون لبن)")</f>
        <v>0</v>
      </c>
      <c r="AR31" s="117" t="n">
        <f aca="false">SUMIFS(الريسبي!$C$2:$C$1800,الريسبي!$A$2:$A$1800,$A31,الريسبي!$B$2:$B$1800,AR$1)</f>
        <v>0</v>
      </c>
      <c r="AS31" s="117" t="n">
        <f aca="false">SUMIFS(الريسبي!$C$2:$C$1800,الريسبي!$A$2:$A$1800,$A31,الريسبي!$B$2:$B$1800,AS$1)</f>
        <v>0</v>
      </c>
      <c r="AT31" s="117" t="n">
        <f aca="false">SUMIFS(الريسبي!$C$2:$C$1800,الريسبي!$A$2:$A$1800,$A31,الريسبي!$B$2:$B$1800,AT$1)</f>
        <v>0</v>
      </c>
      <c r="AU31" s="117" t="n">
        <f aca="false">SUMIFS(الريسبي!$C$2:$C$1800,الريسبي!$A$2:$A$1800,$A31,الريسبي!$B$2:$B$1800,AU$1)</f>
        <v>0</v>
      </c>
      <c r="AV31" s="117" t="n">
        <f aca="false">SUMIFS(الريسبي!$C$2:$C$1800,الريسبي!$A$2:$A$1800,$A31,الريسبي!$B$2:$B$1800,AV$1)</f>
        <v>0</v>
      </c>
      <c r="AW31" s="117" t="n">
        <f aca="false">SUMIFS(الريسبي!$C$2:$C$1800,الريسبي!$A$2:$A$1800,$A31,الريسبي!$B$2:$B$1800,AW$1)</f>
        <v>0</v>
      </c>
      <c r="AX31" s="117" t="n">
        <f aca="false">SUMIFS(الريسبي!$C$2:$C$1800,الريسبي!$A$2:$A$1800,$A31,الريسبي!$B$2:$B$1800,AX$1)</f>
        <v>0</v>
      </c>
      <c r="AY31" s="117" t="n">
        <f aca="false">SUMIFS(الريسبي!$C$2:$C$1800,الريسبي!$A$2:$A$1800,$A31,الريسبي!$B$2:$B$1800,AY$1)</f>
        <v>0</v>
      </c>
      <c r="AZ31" s="117" t="n">
        <f aca="false">SUMIFS(الريسبي!$C$2:$C$1800,الريسبي!$A$2:$A$1800,$A31,الريسبي!$B$2:$B$1800,AZ$1)</f>
        <v>0</v>
      </c>
      <c r="BA31" s="117" t="n">
        <f aca="false">SUMIFS(الريسبي!$C$2:$C$1800,الريسبي!$A$2:$A$1800,$A31,الريسبي!$B$2:$B$1800,BA$1)</f>
        <v>0</v>
      </c>
      <c r="BB31" s="117" t="n">
        <f aca="false">SUMIFS(الريسبي!$C$2:$C$1800,الريسبي!$A$2:$A$1800,$A31,الريسبي!$B$2:$B$1800,BB$1)</f>
        <v>0.15</v>
      </c>
      <c r="BC31" s="117" t="n">
        <f aca="false">SUMIFS(الريسبي!$C$2:$C$1800,الريسبي!$A$2:$A$1800,$A31,الريسبي!$B$2:$B$1800,BC$1)</f>
        <v>0.045</v>
      </c>
      <c r="BD31" s="117" t="n">
        <f aca="false">SUMIFS(الريسبي!$C$2:$C$1800,الريسبي!$A$2:$A$1800,$A31,الريسبي!$B$2:$B$1800,BD$1)</f>
        <v>0</v>
      </c>
      <c r="BE31" s="117" t="n">
        <f aca="false">SUMIFS(الريسبي!$C$2:$C$1800,الريسبي!$A$2:$A$1800,$A31,الريسبي!$B$2:$B$1800,BE$1)</f>
        <v>1.5</v>
      </c>
      <c r="BF31" s="117" t="n">
        <f aca="false">SUMIFS(الريسبي!$C$2:$C$1800,الريسبي!$A$2:$A$1800,$A31,الريسبي!$B$2:$B$1800,BF$1)</f>
        <v>0</v>
      </c>
      <c r="BG31" s="117" t="n">
        <f aca="false">SUMIFS(الريسبي!$C$2:$C$1800,الريسبي!$A$2:$A$1800,$A31,الريسبي!$B$2:$B$1800,BG$1)</f>
        <v>1</v>
      </c>
      <c r="BH31" s="117" t="n">
        <f aca="false">SUMIFS(الريسبي!$C$2:$C$1800,الريسبي!$A$2:$A$1800,$A31,الريسبي!$B$2:$B$1800,BH$1)</f>
        <v>0</v>
      </c>
      <c r="BI31" s="117" t="n">
        <f aca="false">SUMIFS(الريسبي!$C$2:$C$1800,الريسبي!$A$2:$A$1800,$A31,الريسبي!$B$2:$B$1800,BI$1)</f>
        <v>0</v>
      </c>
      <c r="BJ31" s="117" t="n">
        <f aca="false">SUMIFS(الريسبي!$C$2:$C$1800,الريسبي!$A$2:$A$1800,$A31,الريسبي!$B$2:$B$1800,BJ$1)</f>
        <v>0</v>
      </c>
      <c r="BK31" s="117" t="n">
        <f aca="false">SUMIFS(الريسبي!$C$2:$C$1800,الريسبي!$A$2:$A$1800,$A31,الريسبي!$B$2:$B$1800,BK$1)</f>
        <v>0</v>
      </c>
      <c r="BL31" s="117" t="n">
        <f aca="false">SUMIFS(الريسبي!$C$2:$C$1800,الريسبي!$A$2:$A$1800,$A31,الريسبي!$B$2:$B$1800,BL$1)</f>
        <v>0</v>
      </c>
      <c r="BM31" s="117" t="n">
        <f aca="false">SUMIFS(الريسبي!$C$2:$C$1800,الريسبي!$A$2:$A$1800,$A31,الريسبي!$B$2:$B$1800,BM$1)</f>
        <v>0</v>
      </c>
      <c r="BN31" s="117" t="n">
        <f aca="false">SUMIFS(الريسبي!$C$2:$C$1800,الريسبي!$A$2:$A$1800,$A31,الريسبي!$B$2:$B$1800,BN$1)</f>
        <v>0.03</v>
      </c>
      <c r="BO31" s="117" t="n">
        <f aca="false">SUMIFS(الريسبي!$C$2:$C$1800,الريسبي!$A$2:$A$1800,$A31,الريسبي!$B$2:$B$1800,BO$1)</f>
        <v>3</v>
      </c>
      <c r="BP31" s="117" t="n">
        <f aca="false">SUMIFS(الريسبي!$C$2:$C$1800,الريسبي!$A$2:$A$1800,$A31,الريسبي!$B$2:$B$1800,BP$1)</f>
        <v>3</v>
      </c>
      <c r="BQ31" s="117" t="n">
        <f aca="false">SUMIFS(الريسبي!$C$2:$C$1800,الريسبي!$A$2:$A$1800,$A31,الريسبي!$B$2:$B$1800,BQ$1)+0.17*SUMIFS(الريسبي!$C$2:$C$1800,الريسبي!$A$2:$A$1800,$A31,الريسبي!$B$2:$B$1800,"كاسترد مصنع (خليط بودر + لبن)")+0.17*SUMIFS(الريسبي!$C$2:$C$1800,الريسبي!$A$2:$A$1800,$A31,الريسبي!$B$2:$B$1800,"كاسترد مصنع صيامي (بدون لبن)")</f>
        <v>0</v>
      </c>
      <c r="BR31" s="117" t="n">
        <f aca="false">SUMIFS(الريسبي!$C$2:$C$1800,الريسبي!$A$2:$A$1800,$A31,الريسبي!$B$2:$B$1800,BR$1)</f>
        <v>1</v>
      </c>
      <c r="BS31" s="117" t="n">
        <f aca="false">SUMIFS(الريسبي!$C$2:$C$1800,الريسبي!$A$2:$A$1800,$A31,الريسبي!$B$2:$B$1800,BS$1)</f>
        <v>0</v>
      </c>
      <c r="BT31" s="117" t="n">
        <f aca="false">SUMIFS(الريسبي!$C$2:$C$1800,الريسبي!$A$2:$A$1800,$A31,الريسبي!$B$2:$B$1800,BT$1)</f>
        <v>0</v>
      </c>
      <c r="BU31" s="117" t="n">
        <f aca="false">SUMIFS(الريسبي!$C$2:$C$1800,الريسبي!$A$2:$A$1800,$A31,الريسبي!$B$2:$B$1800,BU$1)+0.4*SUMIFS(الريسبي!$C$2:$C$1800,الريسبي!$A$2:$A$1800,$A31,الريسبي!$B$2:$B$1800,"كاسترد مصنع (خليط بودر + لبن)")+0.03333333333*SUMIFS(الريسبي!$C$2:$C$1800,الريسبي!$A$2:$A$1800,$A31,الريسبي!$B$2:$B$1800,"عجين كريب (مصنع بالمطعم)")</f>
        <v>0</v>
      </c>
      <c r="BV31" s="117" t="n">
        <f aca="false">SUMIFS(الريسبي!$C$2:$C$1800,الريسبي!$A$2:$A$1800,$A31,الريسبي!$B$2:$B$1800,BV$1)</f>
        <v>0</v>
      </c>
      <c r="BW31" s="117" t="n">
        <f aca="false">SUMIFS(الريسبي!$C$2:$C$1800,الريسبي!$A$2:$A$1800,$A31,الريسبي!$B$2:$B$1800,BW$1)</f>
        <v>0</v>
      </c>
      <c r="BX31" s="117" t="n">
        <f aca="false">SUMIFS(الريسبي!$C$2:$C$1800,الريسبي!$A$2:$A$1800,$A31,الريسبي!$B$2:$B$1800,BX$1)</f>
        <v>0</v>
      </c>
      <c r="BY31" s="117" t="n">
        <f aca="false">SUMIFS(الريسبي!$C$2:$C$1800,الريسبي!$A$2:$A$1800,$A31,الريسبي!$B$2:$B$1800,BY$1)</f>
        <v>0</v>
      </c>
      <c r="BZ31" s="117" t="n">
        <f aca="false">SUMIFS(الريسبي!$C$2:$C$1800,الريسبي!$A$2:$A$1800,$A31,الريسبي!$B$2:$B$1800,BZ$1)</f>
        <v>0</v>
      </c>
      <c r="CA31" s="117" t="n">
        <f aca="false">SUMIFS(الريسبي!$C$2:$C$1800,الريسبي!$A$2:$A$1800,$A31,الريسبي!$B$2:$B$1800,CA$1)</f>
        <v>1</v>
      </c>
      <c r="CB31" s="117" t="n">
        <f aca="false">SUMIFS(الريسبي!$C$2:$C$1800,الريسبي!$A$2:$A$1800,$A31,الريسبي!$B$2:$B$1800,CB$1)</f>
        <v>1</v>
      </c>
      <c r="CC31" s="117" t="n">
        <f aca="false">SUMIFS(الريسبي!$C$2:$C$1800,الريسبي!$A$2:$A$1800,$A31,الريسبي!$B$2:$B$1800,CC$1)</f>
        <v>0</v>
      </c>
      <c r="CD31" s="117" t="n">
        <f aca="false">SUMIFS(الريسبي!$C$2:$C$1800,الريسبي!$A$2:$A$1800,$A31,الريسبي!$B$2:$B$1800,CD$1)</f>
        <v>0</v>
      </c>
      <c r="CE31" s="117" t="n">
        <f aca="false">SUMIFS(الريسبي!$C$2:$C$1800,الريسبي!$A$2:$A$1800,$A31,الريسبي!$B$2:$B$1800,CE$1)</f>
        <v>0</v>
      </c>
      <c r="CF31" s="117" t="n">
        <f aca="false">SUMIFS(الريسبي!$C$2:$C$1800,الريسبي!$A$2:$A$1800,$A31,الريسبي!$B$2:$B$1800,CF$1)</f>
        <v>0</v>
      </c>
      <c r="CG31" s="117" t="n">
        <f aca="false">SUMIFS(الريسبي!$C$2:$C$1800,الريسبي!$A$2:$A$1800,$A31,الريسبي!$B$2:$B$1800,CG$1)</f>
        <v>0</v>
      </c>
      <c r="CH31" s="117" t="n">
        <f aca="false">SUMIFS(الريسبي!$C$2:$C$1800,الريسبي!$A$2:$A$1800,$A31,الريسبي!$B$2:$B$1800,CH$1)</f>
        <v>0</v>
      </c>
      <c r="CI31" s="117" t="n">
        <f aca="false">SUMIFS(الريسبي!$C$2:$C$1800,الريسبي!$A$2:$A$1800,$A31,الريسبي!$B$2:$B$1800,CI$1)</f>
        <v>0</v>
      </c>
      <c r="CJ31" s="117" t="n">
        <f aca="false">SUMIFS(الريسبي!$C$2:$C$1800,الريسبي!$A$2:$A$1800,$A31,الريسبي!$B$2:$B$1800,CJ$1)</f>
        <v>0</v>
      </c>
      <c r="CK31" s="117" t="n">
        <f aca="false">SUMIFS(الريسبي!$C$2:$C$1800,الريسبي!$A$2:$A$1800,$A31,الريسبي!$B$2:$B$1800,CK$1)</f>
        <v>0</v>
      </c>
      <c r="CL31" s="117" t="n">
        <f aca="false">SUMIFS(الريسبي!$C$2:$C$1800,الريسبي!$A$2:$A$1800,$A31,الريسبي!$B$2:$B$1800,CL$1)</f>
        <v>0</v>
      </c>
    </row>
    <row r="32" customFormat="false" ht="15" hidden="false" customHeight="false" outlineLevel="0" collapsed="false">
      <c r="A32" s="116" t="str">
        <f aca="false">المنيو!B32</f>
        <v>فطيرة فراخ رانش وسط</v>
      </c>
      <c r="B32" s="117" t="n">
        <f aca="false">SUMIFS(الريسبي!$C$2:$C$1800,الريسبي!$A$2:$A$1800,$A32,الريسبي!$B$2:$B$1800,B$1)</f>
        <v>0</v>
      </c>
      <c r="C32" s="117" t="n">
        <f aca="false">SUMIFS(الريسبي!$C$2:$C$1800,الريسبي!$A$2:$A$1800,$A32,الريسبي!$B$2:$B$1800,C$1)</f>
        <v>0</v>
      </c>
      <c r="D32" s="117" t="n">
        <f aca="false">SUMIFS(الريسبي!$C$2:$C$1800,الريسبي!$A$2:$A$1800,$A32,الريسبي!$B$2:$B$1800,D$1)</f>
        <v>1</v>
      </c>
      <c r="E32" s="117" t="n">
        <f aca="false">SUMIFS(الريسبي!$C$2:$C$1800,الريسبي!$A$2:$A$1800,$A32,الريسبي!$B$2:$B$1800,E$1)</f>
        <v>0</v>
      </c>
      <c r="F32" s="117" t="n">
        <f aca="false">SUMIFS(الريسبي!$C$2:$C$1800,الريسبي!$A$2:$A$1800,$A32,الريسبي!$B$2:$B$1800,F$1)</f>
        <v>0</v>
      </c>
      <c r="G32" s="117" t="n">
        <f aca="false">SUMIFS(الريسبي!$C$2:$C$1800,الريسبي!$A$2:$A$1800,$A32,الريسبي!$B$2:$B$1800,G$1)</f>
        <v>0</v>
      </c>
      <c r="H32" s="117" t="n">
        <f aca="false">SUMIFS(الريسبي!$C$2:$C$1800,الريسبي!$A$2:$A$1800,$A32,الريسبي!$B$2:$B$1800,H$1)</f>
        <v>0</v>
      </c>
      <c r="I32" s="117" t="n">
        <f aca="false">SUMIFS(الريسبي!$C$2:$C$1800,الريسبي!$A$2:$A$1800,$A32,الريسبي!$B$2:$B$1800,I$1)</f>
        <v>0</v>
      </c>
      <c r="J32" s="117" t="n">
        <f aca="false">SUMIFS(الريسبي!$C$2:$C$1800,الريسبي!$A$2:$A$1800,$A32,الريسبي!$B$2:$B$1800,J$1)</f>
        <v>0</v>
      </c>
      <c r="K32" s="117" t="n">
        <f aca="false">SUMIFS(الريسبي!$C$2:$C$1800,الريسبي!$A$2:$A$1800,$A32,الريسبي!$B$2:$B$1800,K$1)</f>
        <v>0</v>
      </c>
      <c r="L32" s="117" t="n">
        <f aca="false">SUMIFS(الريسبي!$C$2:$C$1800,الريسبي!$A$2:$A$1800,$A32,الريسبي!$B$2:$B$1800,L$1)</f>
        <v>0</v>
      </c>
      <c r="M32" s="117" t="n">
        <f aca="false">SUMIFS(الريسبي!$C$2:$C$1800,الريسبي!$A$2:$A$1800,$A32,الريسبي!$B$2:$B$1800,M$1)</f>
        <v>0</v>
      </c>
      <c r="N32" s="117" t="n">
        <f aca="false">SUMIFS(الريسبي!$C$2:$C$1800,الريسبي!$A$2:$A$1800,$A32,الريسبي!$B$2:$B$1800,N$1)</f>
        <v>0</v>
      </c>
      <c r="O32" s="117" t="n">
        <f aca="false">SUMIFS(الريسبي!$C$2:$C$1800,الريسبي!$A$2:$A$1800,$A32,الريسبي!$B$2:$B$1800,O$1)</f>
        <v>1</v>
      </c>
      <c r="P32" s="117" t="n">
        <f aca="false">SUMIFS(الريسبي!$C$2:$C$1800,الريسبي!$A$2:$A$1800,$A32,الريسبي!$B$2:$B$1800,P$1)</f>
        <v>0</v>
      </c>
      <c r="Q32" s="117" t="n">
        <f aca="false">SUMIFS(الريسبي!$C$2:$C$1800,الريسبي!$A$2:$A$1800,$A32,الريسبي!$B$2:$B$1800,Q$1)</f>
        <v>0</v>
      </c>
      <c r="R32" s="117" t="n">
        <f aca="false">SUMIFS(الريسبي!$C$2:$C$1800,الريسبي!$A$2:$A$1800,$A32,الريسبي!$B$2:$B$1800,R$1)</f>
        <v>0</v>
      </c>
      <c r="S32" s="117" t="n">
        <f aca="false">SUMIFS(الريسبي!$C$2:$C$1800,الريسبي!$A$2:$A$1800,$A32,الريسبي!$B$2:$B$1800,S$1)</f>
        <v>0</v>
      </c>
      <c r="T32" s="117" t="n">
        <f aca="false">SUMIFS(الريسبي!$C$2:$C$1800,الريسبي!$A$2:$A$1800,$A32,الريسبي!$B$2:$B$1800,T$1)</f>
        <v>0</v>
      </c>
      <c r="U32" s="117" t="n">
        <f aca="false">SUMIFS(الريسبي!$C$2:$C$1800,الريسبي!$A$2:$A$1800,$A32,الريسبي!$B$2:$B$1800,U$1)</f>
        <v>0</v>
      </c>
      <c r="V32" s="117" t="n">
        <f aca="false">SUMIFS(الريسبي!$C$2:$C$1800,الريسبي!$A$2:$A$1800,$A32,الريسبي!$B$2:$B$1800,V$1)</f>
        <v>0</v>
      </c>
      <c r="W32" s="117" t="n">
        <f aca="false">SUMIFS(الريسبي!$C$2:$C$1800,الريسبي!$A$2:$A$1800,$A32,الريسبي!$B$2:$B$1800,W$1)</f>
        <v>0</v>
      </c>
      <c r="X32" s="117" t="n">
        <f aca="false">SUMIFS(الريسبي!$C$2:$C$1800,الريسبي!$A$2:$A$1800,$A32,الريسبي!$B$2:$B$1800,X$1)</f>
        <v>1</v>
      </c>
      <c r="Y32" s="117" t="n">
        <f aca="false">SUMIFS(الريسبي!$C$2:$C$1800,الريسبي!$A$2:$A$1800,$A32,الريسبي!$B$2:$B$1800,Y$1)</f>
        <v>0</v>
      </c>
      <c r="Z32" s="117" t="n">
        <f aca="false">SUMIFS(الريسبي!$C$2:$C$1800,الريسبي!$A$2:$A$1800,$A32,الريسبي!$B$2:$B$1800,Z$1)</f>
        <v>0</v>
      </c>
      <c r="AA32" s="117" t="n">
        <f aca="false">SUMIFS(الريسبي!$C$2:$C$1800,الريسبي!$A$2:$A$1800,$A32,الريسبي!$B$2:$B$1800,AA$1)</f>
        <v>0</v>
      </c>
      <c r="AB32" s="117" t="n">
        <f aca="false">SUMIFS(الريسبي!$C$2:$C$1800,الريسبي!$A$2:$A$1800,$A32,الريسبي!$B$2:$B$1800,AB$1)</f>
        <v>0</v>
      </c>
      <c r="AC32" s="117" t="n">
        <f aca="false">SUMIFS(الريسبي!$C$2:$C$1800,الريسبي!$A$2:$A$1800,$A32,الريسبي!$B$2:$B$1800,AC$1)</f>
        <v>0</v>
      </c>
      <c r="AD32" s="117" t="n">
        <f aca="false">SUMIFS(الريسبي!$C$2:$C$1800,الريسبي!$A$2:$A$1800,$A32,الريسبي!$B$2:$B$1800,AD$1)</f>
        <v>0</v>
      </c>
      <c r="AE32" s="117" t="n">
        <f aca="false">SUMIFS(الريسبي!$C$2:$C$1800,الريسبي!$A$2:$A$1800,$A32,الريسبي!$B$2:$B$1800,AE$1)</f>
        <v>0</v>
      </c>
      <c r="AF32" s="117" t="n">
        <f aca="false">SUMIFS(الريسبي!$C$2:$C$1800,الريسبي!$A$2:$A$1800,$A32,الريسبي!$B$2:$B$1800,AF$1)</f>
        <v>0</v>
      </c>
      <c r="AG32" s="117" t="n">
        <f aca="false">SUMIFS(الريسبي!$C$2:$C$1800,الريسبي!$A$2:$A$1800,$A32,الريسبي!$B$2:$B$1800,AG$1)</f>
        <v>0</v>
      </c>
      <c r="AH32" s="117" t="n">
        <f aca="false">SUMIFS(الريسبي!$C$2:$C$1800,الريسبي!$A$2:$A$1800,$A32,الريسبي!$B$2:$B$1800,AH$1)</f>
        <v>0</v>
      </c>
      <c r="AI32" s="117" t="n">
        <f aca="false">SUMIFS(الريسبي!$C$2:$C$1800,الريسبي!$A$2:$A$1800,$A32,الريسبي!$B$2:$B$1800,AI$1)</f>
        <v>0</v>
      </c>
      <c r="AJ32" s="117" t="n">
        <f aca="false">SUMIFS(الريسبي!$C$2:$C$1800,الريسبي!$A$2:$A$1800,$A32,الريسبي!$B$2:$B$1800,AJ$1)</f>
        <v>2</v>
      </c>
      <c r="AK32" s="117" t="n">
        <f aca="false">SUMIFS(الريسبي!$C$2:$C$1800,الريسبي!$A$2:$A$1800,$A32,الريسبي!$B$2:$B$1800,AK$1)</f>
        <v>0</v>
      </c>
      <c r="AL32" s="117" t="n">
        <f aca="false">SUMIFS(الريسبي!$C$2:$C$1800,الريسبي!$A$2:$A$1800,$A32,الريسبي!$B$2:$B$1800,AL$1)</f>
        <v>0</v>
      </c>
      <c r="AM32" s="117" t="n">
        <f aca="false">SUMIFS(الريسبي!$C$2:$C$1800,الريسبي!$A$2:$A$1800,$A32,الريسبي!$B$2:$B$1800,AM$1)+0.08333333333*SUMIFS(الريسبي!$C$2:$C$1800,الريسبي!$A$2:$A$1800,$A32,الريسبي!$B$2:$B$1800,"عجين كريب (مصنع بالمطعم)")+0.08333333333*SUMIFS(الريسبي!$C$2:$C$1800,الريسبي!$A$2:$A$1800,$A32,الريسبي!$B$2:$B$1800,"عجين كريب صيامي (بدون لبن)")</f>
        <v>0</v>
      </c>
      <c r="AN32" s="117" t="n">
        <f aca="false">SUMIFS(الريسبي!$C$2:$C$1800,الريسبي!$A$2:$A$1800,$A32,الريسبي!$B$2:$B$1800,AN$1)+0.004166666667*SUMIFS(الريسبي!$C$2:$C$1800,الريسبي!$A$2:$A$1800,$A32,الريسبي!$B$2:$B$1800,"عجين كريب (مصنع بالمطعم)")+0.004166666667*SUMIFS(الريسبي!$C$2:$C$1800,الريسبي!$A$2:$A$1800,$A32,الريسبي!$B$2:$B$1800,"عجين كريب صيامي (بدون لبن)")</f>
        <v>0</v>
      </c>
      <c r="AO32" s="117" t="n">
        <f aca="false">SUMIFS(الريسبي!$C$2:$C$1800,الريسبي!$A$2:$A$1800,$A32,الريسبي!$B$2:$B$1800,AO$1)</f>
        <v>0</v>
      </c>
      <c r="AP32" s="117" t="n">
        <f aca="false">SUMIFS(الريسبي!$C$2:$C$1800,الريسبي!$A$2:$A$1800,$A32,الريسبي!$B$2:$B$1800,AP$1)</f>
        <v>0.02</v>
      </c>
      <c r="AQ32" s="117" t="n">
        <f aca="false">SUMIFS(الريسبي!$C$2:$C$1800,الريسبي!$A$2:$A$1800,$A32,الريسبي!$B$2:$B$1800,AQ$1)+0.004166666667*SUMIFS(الريسبي!$C$2:$C$1800,الريسبي!$A$2:$A$1800,$A32,الريسبي!$B$2:$B$1800,"عجين كريب (مصنع بالمطعم)")+0.004166666667*SUMIFS(الريسبي!$C$2:$C$1800,الريسبي!$A$2:$A$1800,$A32,الريسبي!$B$2:$B$1800,"عجين كريب صيامي (بدون لبن)")</f>
        <v>0</v>
      </c>
      <c r="AR32" s="117" t="n">
        <f aca="false">SUMIFS(الريسبي!$C$2:$C$1800,الريسبي!$A$2:$A$1800,$A32,الريسبي!$B$2:$B$1800,AR$1)</f>
        <v>0</v>
      </c>
      <c r="AS32" s="117" t="n">
        <f aca="false">SUMIFS(الريسبي!$C$2:$C$1800,الريسبي!$A$2:$A$1800,$A32,الريسبي!$B$2:$B$1800,AS$1)</f>
        <v>0</v>
      </c>
      <c r="AT32" s="117" t="n">
        <f aca="false">SUMIFS(الريسبي!$C$2:$C$1800,الريسبي!$A$2:$A$1800,$A32,الريسبي!$B$2:$B$1800,AT$1)</f>
        <v>0</v>
      </c>
      <c r="AU32" s="117" t="n">
        <f aca="false">SUMIFS(الريسبي!$C$2:$C$1800,الريسبي!$A$2:$A$1800,$A32,الريسبي!$B$2:$B$1800,AU$1)</f>
        <v>0</v>
      </c>
      <c r="AV32" s="117" t="n">
        <f aca="false">SUMIFS(الريسبي!$C$2:$C$1800,الريسبي!$A$2:$A$1800,$A32,الريسبي!$B$2:$B$1800,AV$1)</f>
        <v>0</v>
      </c>
      <c r="AW32" s="117" t="n">
        <f aca="false">SUMIFS(الريسبي!$C$2:$C$1800,الريسبي!$A$2:$A$1800,$A32,الريسبي!$B$2:$B$1800,AW$1)</f>
        <v>0</v>
      </c>
      <c r="AX32" s="117" t="n">
        <f aca="false">SUMIFS(الريسبي!$C$2:$C$1800,الريسبي!$A$2:$A$1800,$A32,الريسبي!$B$2:$B$1800,AX$1)</f>
        <v>0</v>
      </c>
      <c r="AY32" s="117" t="n">
        <f aca="false">SUMIFS(الريسبي!$C$2:$C$1800,الريسبي!$A$2:$A$1800,$A32,الريسبي!$B$2:$B$1800,AY$1)</f>
        <v>0</v>
      </c>
      <c r="AZ32" s="117" t="n">
        <f aca="false">SUMIFS(الريسبي!$C$2:$C$1800,الريسبي!$A$2:$A$1800,$A32,الريسبي!$B$2:$B$1800,AZ$1)</f>
        <v>0</v>
      </c>
      <c r="BA32" s="117" t="n">
        <f aca="false">SUMIFS(الريسبي!$C$2:$C$1800,الريسبي!$A$2:$A$1800,$A32,الريسبي!$B$2:$B$1800,BA$1)</f>
        <v>0.1</v>
      </c>
      <c r="BB32" s="117" t="n">
        <f aca="false">SUMIFS(الريسبي!$C$2:$C$1800,الريسبي!$A$2:$A$1800,$A32,الريسبي!$B$2:$B$1800,BB$1)</f>
        <v>0</v>
      </c>
      <c r="BC32" s="117" t="n">
        <f aca="false">SUMIFS(الريسبي!$C$2:$C$1800,الريسبي!$A$2:$A$1800,$A32,الريسبي!$B$2:$B$1800,BC$1)</f>
        <v>0.03</v>
      </c>
      <c r="BD32" s="117" t="n">
        <f aca="false">SUMIFS(الريسبي!$C$2:$C$1800,الريسبي!$A$2:$A$1800,$A32,الريسبي!$B$2:$B$1800,BD$1)</f>
        <v>0</v>
      </c>
      <c r="BE32" s="117" t="n">
        <f aca="false">SUMIFS(الريسبي!$C$2:$C$1800,الريسبي!$A$2:$A$1800,$A32,الريسبي!$B$2:$B$1800,BE$1)</f>
        <v>1</v>
      </c>
      <c r="BF32" s="117" t="n">
        <f aca="false">SUMIFS(الريسبي!$C$2:$C$1800,الريسبي!$A$2:$A$1800,$A32,الريسبي!$B$2:$B$1800,BF$1)</f>
        <v>0</v>
      </c>
      <c r="BG32" s="117" t="n">
        <f aca="false">SUMIFS(الريسبي!$C$2:$C$1800,الريسبي!$A$2:$A$1800,$A32,الريسبي!$B$2:$B$1800,BG$1)</f>
        <v>0</v>
      </c>
      <c r="BH32" s="117" t="n">
        <f aca="false">SUMIFS(الريسبي!$C$2:$C$1800,الريسبي!$A$2:$A$1800,$A32,الريسبي!$B$2:$B$1800,BH$1)</f>
        <v>1</v>
      </c>
      <c r="BI32" s="117" t="n">
        <f aca="false">SUMIFS(الريسبي!$C$2:$C$1800,الريسبي!$A$2:$A$1800,$A32,الريسبي!$B$2:$B$1800,BI$1)</f>
        <v>0</v>
      </c>
      <c r="BJ32" s="117" t="n">
        <f aca="false">SUMIFS(الريسبي!$C$2:$C$1800,الريسبي!$A$2:$A$1800,$A32,الريسبي!$B$2:$B$1800,BJ$1)</f>
        <v>0</v>
      </c>
      <c r="BK32" s="117" t="n">
        <f aca="false">SUMIFS(الريسبي!$C$2:$C$1800,الريسبي!$A$2:$A$1800,$A32,الريسبي!$B$2:$B$1800,BK$1)</f>
        <v>0</v>
      </c>
      <c r="BL32" s="117" t="n">
        <f aca="false">SUMIFS(الريسبي!$C$2:$C$1800,الريسبي!$A$2:$A$1800,$A32,الريسبي!$B$2:$B$1800,BL$1)</f>
        <v>0</v>
      </c>
      <c r="BM32" s="117" t="n">
        <f aca="false">SUMIFS(الريسبي!$C$2:$C$1800,الريسبي!$A$2:$A$1800,$A32,الريسبي!$B$2:$B$1800,BM$1)</f>
        <v>0</v>
      </c>
      <c r="BN32" s="117" t="n">
        <f aca="false">SUMIFS(الريسبي!$C$2:$C$1800,الريسبي!$A$2:$A$1800,$A32,الريسبي!$B$2:$B$1800,BN$1)</f>
        <v>0.02</v>
      </c>
      <c r="BO32" s="117" t="n">
        <f aca="false">SUMIFS(الريسبي!$C$2:$C$1800,الريسبي!$A$2:$A$1800,$A32,الريسبي!$B$2:$B$1800,BO$1)</f>
        <v>0</v>
      </c>
      <c r="BP32" s="117" t="n">
        <f aca="false">SUMIFS(الريسبي!$C$2:$C$1800,الريسبي!$A$2:$A$1800,$A32,الريسبي!$B$2:$B$1800,BP$1)</f>
        <v>2</v>
      </c>
      <c r="BQ32" s="117" t="n">
        <f aca="false">SUMIFS(الريسبي!$C$2:$C$1800,الريسبي!$A$2:$A$1800,$A32,الريسبي!$B$2:$B$1800,BQ$1)+0.17*SUMIFS(الريسبي!$C$2:$C$1800,الريسبي!$A$2:$A$1800,$A32,الريسبي!$B$2:$B$1800,"كاسترد مصنع (خليط بودر + لبن)")+0.17*SUMIFS(الريسبي!$C$2:$C$1800,الريسبي!$A$2:$A$1800,$A32,الريسبي!$B$2:$B$1800,"كاسترد مصنع صيامي (بدون لبن)")</f>
        <v>0</v>
      </c>
      <c r="BR32" s="117" t="n">
        <f aca="false">SUMIFS(الريسبي!$C$2:$C$1800,الريسبي!$A$2:$A$1800,$A32,الريسبي!$B$2:$B$1800,BR$1)</f>
        <v>1</v>
      </c>
      <c r="BS32" s="117" t="n">
        <f aca="false">SUMIFS(الريسبي!$C$2:$C$1800,الريسبي!$A$2:$A$1800,$A32,الريسبي!$B$2:$B$1800,BS$1)</f>
        <v>0</v>
      </c>
      <c r="BT32" s="117" t="n">
        <f aca="false">SUMIFS(الريسبي!$C$2:$C$1800,الريسبي!$A$2:$A$1800,$A32,الريسبي!$B$2:$B$1800,BT$1)</f>
        <v>0</v>
      </c>
      <c r="BU32" s="117" t="n">
        <f aca="false">SUMIFS(الريسبي!$C$2:$C$1800,الريسبي!$A$2:$A$1800,$A32,الريسبي!$B$2:$B$1800,BU$1)+0.4*SUMIFS(الريسبي!$C$2:$C$1800,الريسبي!$A$2:$A$1800,$A32,الريسبي!$B$2:$B$1800,"كاسترد مصنع (خليط بودر + لبن)")+0.03333333333*SUMIFS(الريسبي!$C$2:$C$1800,الريسبي!$A$2:$A$1800,$A32,الريسبي!$B$2:$B$1800,"عجين كريب (مصنع بالمطعم)")</f>
        <v>0</v>
      </c>
      <c r="BV32" s="117" t="n">
        <f aca="false">SUMIFS(الريسبي!$C$2:$C$1800,الريسبي!$A$2:$A$1800,$A32,الريسبي!$B$2:$B$1800,BV$1)</f>
        <v>0</v>
      </c>
      <c r="BW32" s="117" t="n">
        <f aca="false">SUMIFS(الريسبي!$C$2:$C$1800,الريسبي!$A$2:$A$1800,$A32,الريسبي!$B$2:$B$1800,BW$1)</f>
        <v>0</v>
      </c>
      <c r="BX32" s="117" t="n">
        <f aca="false">SUMIFS(الريسبي!$C$2:$C$1800,الريسبي!$A$2:$A$1800,$A32,الريسبي!$B$2:$B$1800,BX$1)</f>
        <v>0</v>
      </c>
      <c r="BY32" s="117" t="n">
        <f aca="false">SUMIFS(الريسبي!$C$2:$C$1800,الريسبي!$A$2:$A$1800,$A32,الريسبي!$B$2:$B$1800,BY$1)</f>
        <v>0</v>
      </c>
      <c r="BZ32" s="117" t="n">
        <f aca="false">SUMIFS(الريسبي!$C$2:$C$1800,الريسبي!$A$2:$A$1800,$A32,الريسبي!$B$2:$B$1800,BZ$1)</f>
        <v>0</v>
      </c>
      <c r="CA32" s="117" t="n">
        <f aca="false">SUMIFS(الريسبي!$C$2:$C$1800,الريسبي!$A$2:$A$1800,$A32,الريسبي!$B$2:$B$1800,CA$1)</f>
        <v>1</v>
      </c>
      <c r="CB32" s="117" t="n">
        <f aca="false">SUMIFS(الريسبي!$C$2:$C$1800,الريسبي!$A$2:$A$1800,$A32,الريسبي!$B$2:$B$1800,CB$1)</f>
        <v>1</v>
      </c>
      <c r="CC32" s="117" t="n">
        <f aca="false">SUMIFS(الريسبي!$C$2:$C$1800,الريسبي!$A$2:$A$1800,$A32,الريسبي!$B$2:$B$1800,CC$1)</f>
        <v>0</v>
      </c>
      <c r="CD32" s="117" t="n">
        <f aca="false">SUMIFS(الريسبي!$C$2:$C$1800,الريسبي!$A$2:$A$1800,$A32,الريسبي!$B$2:$B$1800,CD$1)</f>
        <v>0</v>
      </c>
      <c r="CE32" s="117" t="n">
        <f aca="false">SUMIFS(الريسبي!$C$2:$C$1800,الريسبي!$A$2:$A$1800,$A32,الريسبي!$B$2:$B$1800,CE$1)</f>
        <v>0</v>
      </c>
      <c r="CF32" s="117" t="n">
        <f aca="false">SUMIFS(الريسبي!$C$2:$C$1800,الريسبي!$A$2:$A$1800,$A32,الريسبي!$B$2:$B$1800,CF$1)</f>
        <v>0</v>
      </c>
      <c r="CG32" s="117" t="n">
        <f aca="false">SUMIFS(الريسبي!$C$2:$C$1800,الريسبي!$A$2:$A$1800,$A32,الريسبي!$B$2:$B$1800,CG$1)</f>
        <v>0</v>
      </c>
      <c r="CH32" s="117" t="n">
        <f aca="false">SUMIFS(الريسبي!$C$2:$C$1800,الريسبي!$A$2:$A$1800,$A32,الريسبي!$B$2:$B$1800,CH$1)</f>
        <v>0</v>
      </c>
      <c r="CI32" s="117" t="n">
        <f aca="false">SUMIFS(الريسبي!$C$2:$C$1800,الريسبي!$A$2:$A$1800,$A32,الريسبي!$B$2:$B$1800,CI$1)</f>
        <v>0</v>
      </c>
      <c r="CJ32" s="117" t="n">
        <f aca="false">SUMIFS(الريسبي!$C$2:$C$1800,الريسبي!$A$2:$A$1800,$A32,الريسبي!$B$2:$B$1800,CJ$1)</f>
        <v>0</v>
      </c>
      <c r="CK32" s="117" t="n">
        <f aca="false">SUMIFS(الريسبي!$C$2:$C$1800,الريسبي!$A$2:$A$1800,$A32,الريسبي!$B$2:$B$1800,CK$1)</f>
        <v>0</v>
      </c>
      <c r="CL32" s="117" t="n">
        <f aca="false">SUMIFS(الريسبي!$C$2:$C$1800,الريسبي!$A$2:$A$1800,$A32,الريسبي!$B$2:$B$1800,CL$1)</f>
        <v>0</v>
      </c>
    </row>
    <row r="33" customFormat="false" ht="15" hidden="false" customHeight="false" outlineLevel="0" collapsed="false">
      <c r="A33" s="116" t="str">
        <f aca="false">المنيو!B33</f>
        <v>فطيرة فراخ رانش حجم اكبر</v>
      </c>
      <c r="B33" s="117" t="n">
        <f aca="false">SUMIFS(الريسبي!$C$2:$C$1800,الريسبي!$A$2:$A$1800,$A33,الريسبي!$B$2:$B$1800,B$1)</f>
        <v>0</v>
      </c>
      <c r="C33" s="117" t="n">
        <f aca="false">SUMIFS(الريسبي!$C$2:$C$1800,الريسبي!$A$2:$A$1800,$A33,الريسبي!$B$2:$B$1800,C$1)</f>
        <v>0</v>
      </c>
      <c r="D33" s="117" t="n">
        <f aca="false">SUMIFS(الريسبي!$C$2:$C$1800,الريسبي!$A$2:$A$1800,$A33,الريسبي!$B$2:$B$1800,D$1)</f>
        <v>1</v>
      </c>
      <c r="E33" s="117" t="n">
        <f aca="false">SUMIFS(الريسبي!$C$2:$C$1800,الريسبي!$A$2:$A$1800,$A33,الريسبي!$B$2:$B$1800,E$1)</f>
        <v>0</v>
      </c>
      <c r="F33" s="117" t="n">
        <f aca="false">SUMIFS(الريسبي!$C$2:$C$1800,الريسبي!$A$2:$A$1800,$A33,الريسبي!$B$2:$B$1800,F$1)</f>
        <v>0</v>
      </c>
      <c r="G33" s="117" t="n">
        <f aca="false">SUMIFS(الريسبي!$C$2:$C$1800,الريسبي!$A$2:$A$1800,$A33,الريسبي!$B$2:$B$1800,G$1)</f>
        <v>0</v>
      </c>
      <c r="H33" s="117" t="n">
        <f aca="false">SUMIFS(الريسبي!$C$2:$C$1800,الريسبي!$A$2:$A$1800,$A33,الريسبي!$B$2:$B$1800,H$1)</f>
        <v>0</v>
      </c>
      <c r="I33" s="117" t="n">
        <f aca="false">SUMIFS(الريسبي!$C$2:$C$1800,الريسبي!$A$2:$A$1800,$A33,الريسبي!$B$2:$B$1800,I$1)</f>
        <v>0</v>
      </c>
      <c r="J33" s="117" t="n">
        <f aca="false">SUMIFS(الريسبي!$C$2:$C$1800,الريسبي!$A$2:$A$1800,$A33,الريسبي!$B$2:$B$1800,J$1)</f>
        <v>0</v>
      </c>
      <c r="K33" s="117" t="n">
        <f aca="false">SUMIFS(الريسبي!$C$2:$C$1800,الريسبي!$A$2:$A$1800,$A33,الريسبي!$B$2:$B$1800,K$1)</f>
        <v>0</v>
      </c>
      <c r="L33" s="117" t="n">
        <f aca="false">SUMIFS(الريسبي!$C$2:$C$1800,الريسبي!$A$2:$A$1800,$A33,الريسبي!$B$2:$B$1800,L$1)</f>
        <v>0</v>
      </c>
      <c r="M33" s="117" t="n">
        <f aca="false">SUMIFS(الريسبي!$C$2:$C$1800,الريسبي!$A$2:$A$1800,$A33,الريسبي!$B$2:$B$1800,M$1)</f>
        <v>0</v>
      </c>
      <c r="N33" s="117" t="n">
        <f aca="false">SUMIFS(الريسبي!$C$2:$C$1800,الريسبي!$A$2:$A$1800,$A33,الريسبي!$B$2:$B$1800,N$1)</f>
        <v>0</v>
      </c>
      <c r="O33" s="117" t="n">
        <f aca="false">SUMIFS(الريسبي!$C$2:$C$1800,الريسبي!$A$2:$A$1800,$A33,الريسبي!$B$2:$B$1800,O$1)</f>
        <v>0</v>
      </c>
      <c r="P33" s="117" t="n">
        <f aca="false">SUMIFS(الريسبي!$C$2:$C$1800,الريسبي!$A$2:$A$1800,$A33,الريسبي!$B$2:$B$1800,P$1)</f>
        <v>1</v>
      </c>
      <c r="Q33" s="117" t="n">
        <f aca="false">SUMIFS(الريسبي!$C$2:$C$1800,الريسبي!$A$2:$A$1800,$A33,الريسبي!$B$2:$B$1800,Q$1)</f>
        <v>0</v>
      </c>
      <c r="R33" s="117" t="n">
        <f aca="false">SUMIFS(الريسبي!$C$2:$C$1800,الريسبي!$A$2:$A$1800,$A33,الريسبي!$B$2:$B$1800,R$1)</f>
        <v>0</v>
      </c>
      <c r="S33" s="117" t="n">
        <f aca="false">SUMIFS(الريسبي!$C$2:$C$1800,الريسبي!$A$2:$A$1800,$A33,الريسبي!$B$2:$B$1800,S$1)</f>
        <v>0</v>
      </c>
      <c r="T33" s="117" t="n">
        <f aca="false">SUMIFS(الريسبي!$C$2:$C$1800,الريسبي!$A$2:$A$1800,$A33,الريسبي!$B$2:$B$1800,T$1)</f>
        <v>0</v>
      </c>
      <c r="U33" s="117" t="n">
        <f aca="false">SUMIFS(الريسبي!$C$2:$C$1800,الريسبي!$A$2:$A$1800,$A33,الريسبي!$B$2:$B$1800,U$1)</f>
        <v>0</v>
      </c>
      <c r="V33" s="117" t="n">
        <f aca="false">SUMIFS(الريسبي!$C$2:$C$1800,الريسبي!$A$2:$A$1800,$A33,الريسبي!$B$2:$B$1800,V$1)</f>
        <v>0</v>
      </c>
      <c r="W33" s="117" t="n">
        <f aca="false">SUMIFS(الريسبي!$C$2:$C$1800,الريسبي!$A$2:$A$1800,$A33,الريسبي!$B$2:$B$1800,W$1)</f>
        <v>0</v>
      </c>
      <c r="X33" s="117" t="n">
        <f aca="false">SUMIFS(الريسبي!$C$2:$C$1800,الريسبي!$A$2:$A$1800,$A33,الريسبي!$B$2:$B$1800,X$1)</f>
        <v>0</v>
      </c>
      <c r="Y33" s="117" t="n">
        <f aca="false">SUMIFS(الريسبي!$C$2:$C$1800,الريسبي!$A$2:$A$1800,$A33,الريسبي!$B$2:$B$1800,Y$1)</f>
        <v>1</v>
      </c>
      <c r="Z33" s="117" t="n">
        <f aca="false">SUMIFS(الريسبي!$C$2:$C$1800,الريسبي!$A$2:$A$1800,$A33,الريسبي!$B$2:$B$1800,Z$1)</f>
        <v>0</v>
      </c>
      <c r="AA33" s="117" t="n">
        <f aca="false">SUMIFS(الريسبي!$C$2:$C$1800,الريسبي!$A$2:$A$1800,$A33,الريسبي!$B$2:$B$1800,AA$1)</f>
        <v>0</v>
      </c>
      <c r="AB33" s="117" t="n">
        <f aca="false">SUMIFS(الريسبي!$C$2:$C$1800,الريسبي!$A$2:$A$1800,$A33,الريسبي!$B$2:$B$1800,AB$1)</f>
        <v>0</v>
      </c>
      <c r="AC33" s="117" t="n">
        <f aca="false">SUMIFS(الريسبي!$C$2:$C$1800,الريسبي!$A$2:$A$1800,$A33,الريسبي!$B$2:$B$1800,AC$1)</f>
        <v>0</v>
      </c>
      <c r="AD33" s="117" t="n">
        <f aca="false">SUMIFS(الريسبي!$C$2:$C$1800,الريسبي!$A$2:$A$1800,$A33,الريسبي!$B$2:$B$1800,AD$1)</f>
        <v>0</v>
      </c>
      <c r="AE33" s="117" t="n">
        <f aca="false">SUMIFS(الريسبي!$C$2:$C$1800,الريسبي!$A$2:$A$1800,$A33,الريسبي!$B$2:$B$1800,AE$1)</f>
        <v>0</v>
      </c>
      <c r="AF33" s="117" t="n">
        <f aca="false">SUMIFS(الريسبي!$C$2:$C$1800,الريسبي!$A$2:$A$1800,$A33,الريسبي!$B$2:$B$1800,AF$1)</f>
        <v>0</v>
      </c>
      <c r="AG33" s="117" t="n">
        <f aca="false">SUMIFS(الريسبي!$C$2:$C$1800,الريسبي!$A$2:$A$1800,$A33,الريسبي!$B$2:$B$1800,AG$1)</f>
        <v>0</v>
      </c>
      <c r="AH33" s="117" t="n">
        <f aca="false">SUMIFS(الريسبي!$C$2:$C$1800,الريسبي!$A$2:$A$1800,$A33,الريسبي!$B$2:$B$1800,AH$1)</f>
        <v>0</v>
      </c>
      <c r="AI33" s="117" t="n">
        <f aca="false">SUMIFS(الريسبي!$C$2:$C$1800,الريسبي!$A$2:$A$1800,$A33,الريسبي!$B$2:$B$1800,AI$1)</f>
        <v>0</v>
      </c>
      <c r="AJ33" s="117" t="n">
        <f aca="false">SUMIFS(الريسبي!$C$2:$C$1800,الريسبي!$A$2:$A$1800,$A33,الريسبي!$B$2:$B$1800,AJ$1)</f>
        <v>2</v>
      </c>
      <c r="AK33" s="117" t="n">
        <f aca="false">SUMIFS(الريسبي!$C$2:$C$1800,الريسبي!$A$2:$A$1800,$A33,الريسبي!$B$2:$B$1800,AK$1)</f>
        <v>0</v>
      </c>
      <c r="AL33" s="117" t="n">
        <f aca="false">SUMIFS(الريسبي!$C$2:$C$1800,الريسبي!$A$2:$A$1800,$A33,الريسبي!$B$2:$B$1800,AL$1)</f>
        <v>0</v>
      </c>
      <c r="AM33" s="117" t="n">
        <f aca="false">SUMIFS(الريسبي!$C$2:$C$1800,الريسبي!$A$2:$A$1800,$A33,الريسبي!$B$2:$B$1800,AM$1)+0.08333333333*SUMIFS(الريسبي!$C$2:$C$1800,الريسبي!$A$2:$A$1800,$A33,الريسبي!$B$2:$B$1800,"عجين كريب (مصنع بالمطعم)")+0.08333333333*SUMIFS(الريسبي!$C$2:$C$1800,الريسبي!$A$2:$A$1800,$A33,الريسبي!$B$2:$B$1800,"عجين كريب صيامي (بدون لبن)")</f>
        <v>0</v>
      </c>
      <c r="AN33" s="117" t="n">
        <f aca="false">SUMIFS(الريسبي!$C$2:$C$1800,الريسبي!$A$2:$A$1800,$A33,الريسبي!$B$2:$B$1800,AN$1)+0.004166666667*SUMIFS(الريسبي!$C$2:$C$1800,الريسبي!$A$2:$A$1800,$A33,الريسبي!$B$2:$B$1800,"عجين كريب (مصنع بالمطعم)")+0.004166666667*SUMIFS(الريسبي!$C$2:$C$1800,الريسبي!$A$2:$A$1800,$A33,الريسبي!$B$2:$B$1800,"عجين كريب صيامي (بدون لبن)")</f>
        <v>0</v>
      </c>
      <c r="AO33" s="117" t="n">
        <f aca="false">SUMIFS(الريسبي!$C$2:$C$1800,الريسبي!$A$2:$A$1800,$A33,الريسبي!$B$2:$B$1800,AO$1)</f>
        <v>0</v>
      </c>
      <c r="AP33" s="117" t="n">
        <f aca="false">SUMIFS(الريسبي!$C$2:$C$1800,الريسبي!$A$2:$A$1800,$A33,الريسبي!$B$2:$B$1800,AP$1)</f>
        <v>0.03</v>
      </c>
      <c r="AQ33" s="117" t="n">
        <f aca="false">SUMIFS(الريسبي!$C$2:$C$1800,الريسبي!$A$2:$A$1800,$A33,الريسبي!$B$2:$B$1800,AQ$1)+0.004166666667*SUMIFS(الريسبي!$C$2:$C$1800,الريسبي!$A$2:$A$1800,$A33,الريسبي!$B$2:$B$1800,"عجين كريب (مصنع بالمطعم)")+0.004166666667*SUMIFS(الريسبي!$C$2:$C$1800,الريسبي!$A$2:$A$1800,$A33,الريسبي!$B$2:$B$1800,"عجين كريب صيامي (بدون لبن)")</f>
        <v>0</v>
      </c>
      <c r="AR33" s="117" t="n">
        <f aca="false">SUMIFS(الريسبي!$C$2:$C$1800,الريسبي!$A$2:$A$1800,$A33,الريسبي!$B$2:$B$1800,AR$1)</f>
        <v>0</v>
      </c>
      <c r="AS33" s="117" t="n">
        <f aca="false">SUMIFS(الريسبي!$C$2:$C$1800,الريسبي!$A$2:$A$1800,$A33,الريسبي!$B$2:$B$1800,AS$1)</f>
        <v>0</v>
      </c>
      <c r="AT33" s="117" t="n">
        <f aca="false">SUMIFS(الريسبي!$C$2:$C$1800,الريسبي!$A$2:$A$1800,$A33,الريسبي!$B$2:$B$1800,AT$1)</f>
        <v>0</v>
      </c>
      <c r="AU33" s="117" t="n">
        <f aca="false">SUMIFS(الريسبي!$C$2:$C$1800,الريسبي!$A$2:$A$1800,$A33,الريسبي!$B$2:$B$1800,AU$1)</f>
        <v>0</v>
      </c>
      <c r="AV33" s="117" t="n">
        <f aca="false">SUMIFS(الريسبي!$C$2:$C$1800,الريسبي!$A$2:$A$1800,$A33,الريسبي!$B$2:$B$1800,AV$1)</f>
        <v>0</v>
      </c>
      <c r="AW33" s="117" t="n">
        <f aca="false">SUMIFS(الريسبي!$C$2:$C$1800,الريسبي!$A$2:$A$1800,$A33,الريسبي!$B$2:$B$1800,AW$1)</f>
        <v>0</v>
      </c>
      <c r="AX33" s="117" t="n">
        <f aca="false">SUMIFS(الريسبي!$C$2:$C$1800,الريسبي!$A$2:$A$1800,$A33,الريسبي!$B$2:$B$1800,AX$1)</f>
        <v>0</v>
      </c>
      <c r="AY33" s="117" t="n">
        <f aca="false">SUMIFS(الريسبي!$C$2:$C$1800,الريسبي!$A$2:$A$1800,$A33,الريسبي!$B$2:$B$1800,AY$1)</f>
        <v>0</v>
      </c>
      <c r="AZ33" s="117" t="n">
        <f aca="false">SUMIFS(الريسبي!$C$2:$C$1800,الريسبي!$A$2:$A$1800,$A33,الريسبي!$B$2:$B$1800,AZ$1)</f>
        <v>0</v>
      </c>
      <c r="BA33" s="117" t="n">
        <f aca="false">SUMIFS(الريسبي!$C$2:$C$1800,الريسبي!$A$2:$A$1800,$A33,الريسبي!$B$2:$B$1800,BA$1)</f>
        <v>0.15</v>
      </c>
      <c r="BB33" s="117" t="n">
        <f aca="false">SUMIFS(الريسبي!$C$2:$C$1800,الريسبي!$A$2:$A$1800,$A33,الريسبي!$B$2:$B$1800,BB$1)</f>
        <v>0</v>
      </c>
      <c r="BC33" s="117" t="n">
        <f aca="false">SUMIFS(الريسبي!$C$2:$C$1800,الريسبي!$A$2:$A$1800,$A33,الريسبي!$B$2:$B$1800,BC$1)</f>
        <v>0.045</v>
      </c>
      <c r="BD33" s="117" t="n">
        <f aca="false">SUMIFS(الريسبي!$C$2:$C$1800,الريسبي!$A$2:$A$1800,$A33,الريسبي!$B$2:$B$1800,BD$1)</f>
        <v>0</v>
      </c>
      <c r="BE33" s="117" t="n">
        <f aca="false">SUMIFS(الريسبي!$C$2:$C$1800,الريسبي!$A$2:$A$1800,$A33,الريسبي!$B$2:$B$1800,BE$1)</f>
        <v>1.5</v>
      </c>
      <c r="BF33" s="117" t="n">
        <f aca="false">SUMIFS(الريسبي!$C$2:$C$1800,الريسبي!$A$2:$A$1800,$A33,الريسبي!$B$2:$B$1800,BF$1)</f>
        <v>0</v>
      </c>
      <c r="BG33" s="117" t="n">
        <f aca="false">SUMIFS(الريسبي!$C$2:$C$1800,الريسبي!$A$2:$A$1800,$A33,الريسبي!$B$2:$B$1800,BG$1)</f>
        <v>1</v>
      </c>
      <c r="BH33" s="117" t="n">
        <f aca="false">SUMIFS(الريسبي!$C$2:$C$1800,الريسبي!$A$2:$A$1800,$A33,الريسبي!$B$2:$B$1800,BH$1)</f>
        <v>0</v>
      </c>
      <c r="BI33" s="117" t="n">
        <f aca="false">SUMIFS(الريسبي!$C$2:$C$1800,الريسبي!$A$2:$A$1800,$A33,الريسبي!$B$2:$B$1800,BI$1)</f>
        <v>0</v>
      </c>
      <c r="BJ33" s="117" t="n">
        <f aca="false">SUMIFS(الريسبي!$C$2:$C$1800,الريسبي!$A$2:$A$1800,$A33,الريسبي!$B$2:$B$1800,BJ$1)</f>
        <v>0</v>
      </c>
      <c r="BK33" s="117" t="n">
        <f aca="false">SUMIFS(الريسبي!$C$2:$C$1800,الريسبي!$A$2:$A$1800,$A33,الريسبي!$B$2:$B$1800,BK$1)</f>
        <v>0</v>
      </c>
      <c r="BL33" s="117" t="n">
        <f aca="false">SUMIFS(الريسبي!$C$2:$C$1800,الريسبي!$A$2:$A$1800,$A33,الريسبي!$B$2:$B$1800,BL$1)</f>
        <v>0</v>
      </c>
      <c r="BM33" s="117" t="n">
        <f aca="false">SUMIFS(الريسبي!$C$2:$C$1800,الريسبي!$A$2:$A$1800,$A33,الريسبي!$B$2:$B$1800,BM$1)</f>
        <v>0</v>
      </c>
      <c r="BN33" s="117" t="n">
        <f aca="false">SUMIFS(الريسبي!$C$2:$C$1800,الريسبي!$A$2:$A$1800,$A33,الريسبي!$B$2:$B$1800,BN$1)</f>
        <v>0.03</v>
      </c>
      <c r="BO33" s="117" t="n">
        <f aca="false">SUMIFS(الريسبي!$C$2:$C$1800,الريسبي!$A$2:$A$1800,$A33,الريسبي!$B$2:$B$1800,BO$1)</f>
        <v>0</v>
      </c>
      <c r="BP33" s="117" t="n">
        <f aca="false">SUMIFS(الريسبي!$C$2:$C$1800,الريسبي!$A$2:$A$1800,$A33,الريسبي!$B$2:$B$1800,BP$1)</f>
        <v>3</v>
      </c>
      <c r="BQ33" s="117" t="n">
        <f aca="false">SUMIFS(الريسبي!$C$2:$C$1800,الريسبي!$A$2:$A$1800,$A33,الريسبي!$B$2:$B$1800,BQ$1)+0.17*SUMIFS(الريسبي!$C$2:$C$1800,الريسبي!$A$2:$A$1800,$A33,الريسبي!$B$2:$B$1800,"كاسترد مصنع (خليط بودر + لبن)")+0.17*SUMIFS(الريسبي!$C$2:$C$1800,الريسبي!$A$2:$A$1800,$A33,الريسبي!$B$2:$B$1800,"كاسترد مصنع صيامي (بدون لبن)")</f>
        <v>0</v>
      </c>
      <c r="BR33" s="117" t="n">
        <f aca="false">SUMIFS(الريسبي!$C$2:$C$1800,الريسبي!$A$2:$A$1800,$A33,الريسبي!$B$2:$B$1800,BR$1)</f>
        <v>1</v>
      </c>
      <c r="BS33" s="117" t="n">
        <f aca="false">SUMIFS(الريسبي!$C$2:$C$1800,الريسبي!$A$2:$A$1800,$A33,الريسبي!$B$2:$B$1800,BS$1)</f>
        <v>0</v>
      </c>
      <c r="BT33" s="117" t="n">
        <f aca="false">SUMIFS(الريسبي!$C$2:$C$1800,الريسبي!$A$2:$A$1800,$A33,الريسبي!$B$2:$B$1800,BT$1)</f>
        <v>0</v>
      </c>
      <c r="BU33" s="117" t="n">
        <f aca="false">SUMIFS(الريسبي!$C$2:$C$1800,الريسبي!$A$2:$A$1800,$A33,الريسبي!$B$2:$B$1800,BU$1)+0.4*SUMIFS(الريسبي!$C$2:$C$1800,الريسبي!$A$2:$A$1800,$A33,الريسبي!$B$2:$B$1800,"كاسترد مصنع (خليط بودر + لبن)")+0.03333333333*SUMIFS(الريسبي!$C$2:$C$1800,الريسبي!$A$2:$A$1800,$A33,الريسبي!$B$2:$B$1800,"عجين كريب (مصنع بالمطعم)")</f>
        <v>0</v>
      </c>
      <c r="BV33" s="117" t="n">
        <f aca="false">SUMIFS(الريسبي!$C$2:$C$1800,الريسبي!$A$2:$A$1800,$A33,الريسبي!$B$2:$B$1800,BV$1)</f>
        <v>0</v>
      </c>
      <c r="BW33" s="117" t="n">
        <f aca="false">SUMIFS(الريسبي!$C$2:$C$1800,الريسبي!$A$2:$A$1800,$A33,الريسبي!$B$2:$B$1800,BW$1)</f>
        <v>0</v>
      </c>
      <c r="BX33" s="117" t="n">
        <f aca="false">SUMIFS(الريسبي!$C$2:$C$1800,الريسبي!$A$2:$A$1800,$A33,الريسبي!$B$2:$B$1800,BX$1)</f>
        <v>0</v>
      </c>
      <c r="BY33" s="117" t="n">
        <f aca="false">SUMIFS(الريسبي!$C$2:$C$1800,الريسبي!$A$2:$A$1800,$A33,الريسبي!$B$2:$B$1800,BY$1)</f>
        <v>0</v>
      </c>
      <c r="BZ33" s="117" t="n">
        <f aca="false">SUMIFS(الريسبي!$C$2:$C$1800,الريسبي!$A$2:$A$1800,$A33,الريسبي!$B$2:$B$1800,BZ$1)</f>
        <v>0</v>
      </c>
      <c r="CA33" s="117" t="n">
        <f aca="false">SUMIFS(الريسبي!$C$2:$C$1800,الريسبي!$A$2:$A$1800,$A33,الريسبي!$B$2:$B$1800,CA$1)</f>
        <v>1</v>
      </c>
      <c r="CB33" s="117" t="n">
        <f aca="false">SUMIFS(الريسبي!$C$2:$C$1800,الريسبي!$A$2:$A$1800,$A33,الريسبي!$B$2:$B$1800,CB$1)</f>
        <v>1</v>
      </c>
      <c r="CC33" s="117" t="n">
        <f aca="false">SUMIFS(الريسبي!$C$2:$C$1800,الريسبي!$A$2:$A$1800,$A33,الريسبي!$B$2:$B$1800,CC$1)</f>
        <v>0</v>
      </c>
      <c r="CD33" s="117" t="n">
        <f aca="false">SUMIFS(الريسبي!$C$2:$C$1800,الريسبي!$A$2:$A$1800,$A33,الريسبي!$B$2:$B$1800,CD$1)</f>
        <v>0</v>
      </c>
      <c r="CE33" s="117" t="n">
        <f aca="false">SUMIFS(الريسبي!$C$2:$C$1800,الريسبي!$A$2:$A$1800,$A33,الريسبي!$B$2:$B$1800,CE$1)</f>
        <v>0</v>
      </c>
      <c r="CF33" s="117" t="n">
        <f aca="false">SUMIFS(الريسبي!$C$2:$C$1800,الريسبي!$A$2:$A$1800,$A33,الريسبي!$B$2:$B$1800,CF$1)</f>
        <v>0</v>
      </c>
      <c r="CG33" s="117" t="n">
        <f aca="false">SUMIFS(الريسبي!$C$2:$C$1800,الريسبي!$A$2:$A$1800,$A33,الريسبي!$B$2:$B$1800,CG$1)</f>
        <v>0</v>
      </c>
      <c r="CH33" s="117" t="n">
        <f aca="false">SUMIFS(الريسبي!$C$2:$C$1800,الريسبي!$A$2:$A$1800,$A33,الريسبي!$B$2:$B$1800,CH$1)</f>
        <v>0</v>
      </c>
      <c r="CI33" s="117" t="n">
        <f aca="false">SUMIFS(الريسبي!$C$2:$C$1800,الريسبي!$A$2:$A$1800,$A33,الريسبي!$B$2:$B$1800,CI$1)</f>
        <v>0</v>
      </c>
      <c r="CJ33" s="117" t="n">
        <f aca="false">SUMIFS(الريسبي!$C$2:$C$1800,الريسبي!$A$2:$A$1800,$A33,الريسبي!$B$2:$B$1800,CJ$1)</f>
        <v>0</v>
      </c>
      <c r="CK33" s="117" t="n">
        <f aca="false">SUMIFS(الريسبي!$C$2:$C$1800,الريسبي!$A$2:$A$1800,$A33,الريسبي!$B$2:$B$1800,CK$1)</f>
        <v>0</v>
      </c>
      <c r="CL33" s="117" t="n">
        <f aca="false">SUMIFS(الريسبي!$C$2:$C$1800,الريسبي!$A$2:$A$1800,$A33,الريسبي!$B$2:$B$1800,CL$1)</f>
        <v>0</v>
      </c>
    </row>
    <row r="34" customFormat="false" ht="15" hidden="false" customHeight="false" outlineLevel="0" collapsed="false">
      <c r="A34" s="116" t="str">
        <f aca="false">المنيو!B34</f>
        <v>فطيرة فراخ باربيكيو وسط</v>
      </c>
      <c r="B34" s="117" t="n">
        <f aca="false">SUMIFS(الريسبي!$C$2:$C$1800,الريسبي!$A$2:$A$1800,$A34,الريسبي!$B$2:$B$1800,B$1)</f>
        <v>0</v>
      </c>
      <c r="C34" s="117" t="n">
        <f aca="false">SUMIFS(الريسبي!$C$2:$C$1800,الريسبي!$A$2:$A$1800,$A34,الريسبي!$B$2:$B$1800,C$1)</f>
        <v>0</v>
      </c>
      <c r="D34" s="117" t="n">
        <f aca="false">SUMIFS(الريسبي!$C$2:$C$1800,الريسبي!$A$2:$A$1800,$A34,الريسبي!$B$2:$B$1800,D$1)</f>
        <v>1</v>
      </c>
      <c r="E34" s="117" t="n">
        <f aca="false">SUMIFS(الريسبي!$C$2:$C$1800,الريسبي!$A$2:$A$1800,$A34,الريسبي!$B$2:$B$1800,E$1)</f>
        <v>0</v>
      </c>
      <c r="F34" s="117" t="n">
        <f aca="false">SUMIFS(الريسبي!$C$2:$C$1800,الريسبي!$A$2:$A$1800,$A34,الريسبي!$B$2:$B$1800,F$1)</f>
        <v>0</v>
      </c>
      <c r="G34" s="117" t="n">
        <f aca="false">SUMIFS(الريسبي!$C$2:$C$1800,الريسبي!$A$2:$A$1800,$A34,الريسبي!$B$2:$B$1800,G$1)</f>
        <v>0</v>
      </c>
      <c r="H34" s="117" t="n">
        <f aca="false">SUMIFS(الريسبي!$C$2:$C$1800,الريسبي!$A$2:$A$1800,$A34,الريسبي!$B$2:$B$1800,H$1)</f>
        <v>0</v>
      </c>
      <c r="I34" s="117" t="n">
        <f aca="false">SUMIFS(الريسبي!$C$2:$C$1800,الريسبي!$A$2:$A$1800,$A34,الريسبي!$B$2:$B$1800,I$1)</f>
        <v>0</v>
      </c>
      <c r="J34" s="117" t="n">
        <f aca="false">SUMIFS(الريسبي!$C$2:$C$1800,الريسبي!$A$2:$A$1800,$A34,الريسبي!$B$2:$B$1800,J$1)</f>
        <v>0</v>
      </c>
      <c r="K34" s="117" t="n">
        <f aca="false">SUMIFS(الريسبي!$C$2:$C$1800,الريسبي!$A$2:$A$1800,$A34,الريسبي!$B$2:$B$1800,K$1)</f>
        <v>0</v>
      </c>
      <c r="L34" s="117" t="n">
        <f aca="false">SUMIFS(الريسبي!$C$2:$C$1800,الريسبي!$A$2:$A$1800,$A34,الريسبي!$B$2:$B$1800,L$1)</f>
        <v>0</v>
      </c>
      <c r="M34" s="117" t="n">
        <f aca="false">SUMIFS(الريسبي!$C$2:$C$1800,الريسبي!$A$2:$A$1800,$A34,الريسبي!$B$2:$B$1800,M$1)</f>
        <v>0</v>
      </c>
      <c r="N34" s="117" t="n">
        <f aca="false">SUMIFS(الريسبي!$C$2:$C$1800,الريسبي!$A$2:$A$1800,$A34,الريسبي!$B$2:$B$1800,N$1)</f>
        <v>0</v>
      </c>
      <c r="O34" s="117" t="n">
        <f aca="false">SUMIFS(الريسبي!$C$2:$C$1800,الريسبي!$A$2:$A$1800,$A34,الريسبي!$B$2:$B$1800,O$1)</f>
        <v>1</v>
      </c>
      <c r="P34" s="117" t="n">
        <f aca="false">SUMIFS(الريسبي!$C$2:$C$1800,الريسبي!$A$2:$A$1800,$A34,الريسبي!$B$2:$B$1800,P$1)</f>
        <v>0</v>
      </c>
      <c r="Q34" s="117" t="n">
        <f aca="false">SUMIFS(الريسبي!$C$2:$C$1800,الريسبي!$A$2:$A$1800,$A34,الريسبي!$B$2:$B$1800,Q$1)</f>
        <v>0</v>
      </c>
      <c r="R34" s="117" t="n">
        <f aca="false">SUMIFS(الريسبي!$C$2:$C$1800,الريسبي!$A$2:$A$1800,$A34,الريسبي!$B$2:$B$1800,R$1)</f>
        <v>0</v>
      </c>
      <c r="S34" s="117" t="n">
        <f aca="false">SUMIFS(الريسبي!$C$2:$C$1800,الريسبي!$A$2:$A$1800,$A34,الريسبي!$B$2:$B$1800,S$1)</f>
        <v>0</v>
      </c>
      <c r="T34" s="117" t="n">
        <f aca="false">SUMIFS(الريسبي!$C$2:$C$1800,الريسبي!$A$2:$A$1800,$A34,الريسبي!$B$2:$B$1800,T$1)</f>
        <v>0</v>
      </c>
      <c r="U34" s="117" t="n">
        <f aca="false">SUMIFS(الريسبي!$C$2:$C$1800,الريسبي!$A$2:$A$1800,$A34,الريسبي!$B$2:$B$1800,U$1)</f>
        <v>0</v>
      </c>
      <c r="V34" s="117" t="n">
        <f aca="false">SUMIFS(الريسبي!$C$2:$C$1800,الريسبي!$A$2:$A$1800,$A34,الريسبي!$B$2:$B$1800,V$1)</f>
        <v>0</v>
      </c>
      <c r="W34" s="117" t="n">
        <f aca="false">SUMIFS(الريسبي!$C$2:$C$1800,الريسبي!$A$2:$A$1800,$A34,الريسبي!$B$2:$B$1800,W$1)</f>
        <v>0</v>
      </c>
      <c r="X34" s="117" t="n">
        <f aca="false">SUMIFS(الريسبي!$C$2:$C$1800,الريسبي!$A$2:$A$1800,$A34,الريسبي!$B$2:$B$1800,X$1)</f>
        <v>1</v>
      </c>
      <c r="Y34" s="117" t="n">
        <f aca="false">SUMIFS(الريسبي!$C$2:$C$1800,الريسبي!$A$2:$A$1800,$A34,الريسبي!$B$2:$B$1800,Y$1)</f>
        <v>0</v>
      </c>
      <c r="Z34" s="117" t="n">
        <f aca="false">SUMIFS(الريسبي!$C$2:$C$1800,الريسبي!$A$2:$A$1800,$A34,الريسبي!$B$2:$B$1800,Z$1)</f>
        <v>0</v>
      </c>
      <c r="AA34" s="117" t="n">
        <f aca="false">SUMIFS(الريسبي!$C$2:$C$1800,الريسبي!$A$2:$A$1800,$A34,الريسبي!$B$2:$B$1800,AA$1)</f>
        <v>0</v>
      </c>
      <c r="AB34" s="117" t="n">
        <f aca="false">SUMIFS(الريسبي!$C$2:$C$1800,الريسبي!$A$2:$A$1800,$A34,الريسبي!$B$2:$B$1800,AB$1)</f>
        <v>0</v>
      </c>
      <c r="AC34" s="117" t="n">
        <f aca="false">SUMIFS(الريسبي!$C$2:$C$1800,الريسبي!$A$2:$A$1800,$A34,الريسبي!$B$2:$B$1800,AC$1)</f>
        <v>0</v>
      </c>
      <c r="AD34" s="117" t="n">
        <f aca="false">SUMIFS(الريسبي!$C$2:$C$1800,الريسبي!$A$2:$A$1800,$A34,الريسبي!$B$2:$B$1800,AD$1)</f>
        <v>0</v>
      </c>
      <c r="AE34" s="117" t="n">
        <f aca="false">SUMIFS(الريسبي!$C$2:$C$1800,الريسبي!$A$2:$A$1800,$A34,الريسبي!$B$2:$B$1800,AE$1)</f>
        <v>0</v>
      </c>
      <c r="AF34" s="117" t="n">
        <f aca="false">SUMIFS(الريسبي!$C$2:$C$1800,الريسبي!$A$2:$A$1800,$A34,الريسبي!$B$2:$B$1800,AF$1)</f>
        <v>0</v>
      </c>
      <c r="AG34" s="117" t="n">
        <f aca="false">SUMIFS(الريسبي!$C$2:$C$1800,الريسبي!$A$2:$A$1800,$A34,الريسبي!$B$2:$B$1800,AG$1)</f>
        <v>0</v>
      </c>
      <c r="AH34" s="117" t="n">
        <f aca="false">SUMIFS(الريسبي!$C$2:$C$1800,الريسبي!$A$2:$A$1800,$A34,الريسبي!$B$2:$B$1800,AH$1)</f>
        <v>0</v>
      </c>
      <c r="AI34" s="117" t="n">
        <f aca="false">SUMIFS(الريسبي!$C$2:$C$1800,الريسبي!$A$2:$A$1800,$A34,الريسبي!$B$2:$B$1800,AI$1)</f>
        <v>0</v>
      </c>
      <c r="AJ34" s="117" t="n">
        <f aca="false">SUMIFS(الريسبي!$C$2:$C$1800,الريسبي!$A$2:$A$1800,$A34,الريسبي!$B$2:$B$1800,AJ$1)</f>
        <v>2</v>
      </c>
      <c r="AK34" s="117" t="n">
        <f aca="false">SUMIFS(الريسبي!$C$2:$C$1800,الريسبي!$A$2:$A$1800,$A34,الريسبي!$B$2:$B$1800,AK$1)</f>
        <v>0</v>
      </c>
      <c r="AL34" s="117" t="n">
        <f aca="false">SUMIFS(الريسبي!$C$2:$C$1800,الريسبي!$A$2:$A$1800,$A34,الريسبي!$B$2:$B$1800,AL$1)</f>
        <v>0</v>
      </c>
      <c r="AM34" s="117" t="n">
        <f aca="false">SUMIFS(الريسبي!$C$2:$C$1800,الريسبي!$A$2:$A$1800,$A34,الريسبي!$B$2:$B$1800,AM$1)+0.08333333333*SUMIFS(الريسبي!$C$2:$C$1800,الريسبي!$A$2:$A$1800,$A34,الريسبي!$B$2:$B$1800,"عجين كريب (مصنع بالمطعم)")+0.08333333333*SUMIFS(الريسبي!$C$2:$C$1800,الريسبي!$A$2:$A$1800,$A34,الريسبي!$B$2:$B$1800,"عجين كريب صيامي (بدون لبن)")</f>
        <v>0</v>
      </c>
      <c r="AN34" s="117" t="n">
        <f aca="false">SUMIFS(الريسبي!$C$2:$C$1800,الريسبي!$A$2:$A$1800,$A34,الريسبي!$B$2:$B$1800,AN$1)+0.004166666667*SUMIFS(الريسبي!$C$2:$C$1800,الريسبي!$A$2:$A$1800,$A34,الريسبي!$B$2:$B$1800,"عجين كريب (مصنع بالمطعم)")+0.004166666667*SUMIFS(الريسبي!$C$2:$C$1800,الريسبي!$A$2:$A$1800,$A34,الريسبي!$B$2:$B$1800,"عجين كريب صيامي (بدون لبن)")</f>
        <v>0</v>
      </c>
      <c r="AO34" s="117" t="n">
        <f aca="false">SUMIFS(الريسبي!$C$2:$C$1800,الريسبي!$A$2:$A$1800,$A34,الريسبي!$B$2:$B$1800,AO$1)</f>
        <v>0</v>
      </c>
      <c r="AP34" s="117" t="n">
        <f aca="false">SUMIFS(الريسبي!$C$2:$C$1800,الريسبي!$A$2:$A$1800,$A34,الريسبي!$B$2:$B$1800,AP$1)</f>
        <v>0.02</v>
      </c>
      <c r="AQ34" s="117" t="n">
        <f aca="false">SUMIFS(الريسبي!$C$2:$C$1800,الريسبي!$A$2:$A$1800,$A34,الريسبي!$B$2:$B$1800,AQ$1)+0.004166666667*SUMIFS(الريسبي!$C$2:$C$1800,الريسبي!$A$2:$A$1800,$A34,الريسبي!$B$2:$B$1800,"عجين كريب (مصنع بالمطعم)")+0.004166666667*SUMIFS(الريسبي!$C$2:$C$1800,الريسبي!$A$2:$A$1800,$A34,الريسبي!$B$2:$B$1800,"عجين كريب صيامي (بدون لبن)")</f>
        <v>0</v>
      </c>
      <c r="AR34" s="117" t="n">
        <f aca="false">SUMIFS(الريسبي!$C$2:$C$1800,الريسبي!$A$2:$A$1800,$A34,الريسبي!$B$2:$B$1800,AR$1)</f>
        <v>0</v>
      </c>
      <c r="AS34" s="117" t="n">
        <f aca="false">SUMIFS(الريسبي!$C$2:$C$1800,الريسبي!$A$2:$A$1800,$A34,الريسبي!$B$2:$B$1800,AS$1)</f>
        <v>0</v>
      </c>
      <c r="AT34" s="117" t="n">
        <f aca="false">SUMIFS(الريسبي!$C$2:$C$1800,الريسبي!$A$2:$A$1800,$A34,الريسبي!$B$2:$B$1800,AT$1)</f>
        <v>0</v>
      </c>
      <c r="AU34" s="117" t="n">
        <f aca="false">SUMIFS(الريسبي!$C$2:$C$1800,الريسبي!$A$2:$A$1800,$A34,الريسبي!$B$2:$B$1800,AU$1)</f>
        <v>0</v>
      </c>
      <c r="AV34" s="117" t="n">
        <f aca="false">SUMIFS(الريسبي!$C$2:$C$1800,الريسبي!$A$2:$A$1800,$A34,الريسبي!$B$2:$B$1800,AV$1)</f>
        <v>0</v>
      </c>
      <c r="AW34" s="117" t="n">
        <f aca="false">SUMIFS(الريسبي!$C$2:$C$1800,الريسبي!$A$2:$A$1800,$A34,الريسبي!$B$2:$B$1800,AW$1)</f>
        <v>0</v>
      </c>
      <c r="AX34" s="117" t="n">
        <f aca="false">SUMIFS(الريسبي!$C$2:$C$1800,الريسبي!$A$2:$A$1800,$A34,الريسبي!$B$2:$B$1800,AX$1)</f>
        <v>0</v>
      </c>
      <c r="AY34" s="117" t="n">
        <f aca="false">SUMIFS(الريسبي!$C$2:$C$1800,الريسبي!$A$2:$A$1800,$A34,الريسبي!$B$2:$B$1800,AY$1)</f>
        <v>0.1</v>
      </c>
      <c r="AZ34" s="117" t="n">
        <f aca="false">SUMIFS(الريسبي!$C$2:$C$1800,الريسبي!$A$2:$A$1800,$A34,الريسبي!$B$2:$B$1800,AZ$1)</f>
        <v>0</v>
      </c>
      <c r="BA34" s="117" t="n">
        <f aca="false">SUMIFS(الريسبي!$C$2:$C$1800,الريسبي!$A$2:$A$1800,$A34,الريسبي!$B$2:$B$1800,BA$1)</f>
        <v>0</v>
      </c>
      <c r="BB34" s="117" t="n">
        <f aca="false">SUMIFS(الريسبي!$C$2:$C$1800,الريسبي!$A$2:$A$1800,$A34,الريسبي!$B$2:$B$1800,BB$1)</f>
        <v>0</v>
      </c>
      <c r="BC34" s="117" t="n">
        <f aca="false">SUMIFS(الريسبي!$C$2:$C$1800,الريسبي!$A$2:$A$1800,$A34,الريسبي!$B$2:$B$1800,BC$1)</f>
        <v>0.03</v>
      </c>
      <c r="BD34" s="117" t="n">
        <f aca="false">SUMIFS(الريسبي!$C$2:$C$1800,الريسبي!$A$2:$A$1800,$A34,الريسبي!$B$2:$B$1800,BD$1)</f>
        <v>0</v>
      </c>
      <c r="BE34" s="117" t="n">
        <f aca="false">SUMIFS(الريسبي!$C$2:$C$1800,الريسبي!$A$2:$A$1800,$A34,الريسبي!$B$2:$B$1800,BE$1)</f>
        <v>1</v>
      </c>
      <c r="BF34" s="117" t="n">
        <f aca="false">SUMIFS(الريسبي!$C$2:$C$1800,الريسبي!$A$2:$A$1800,$A34,الريسبي!$B$2:$B$1800,BF$1)</f>
        <v>0</v>
      </c>
      <c r="BG34" s="117" t="n">
        <f aca="false">SUMIFS(الريسبي!$C$2:$C$1800,الريسبي!$A$2:$A$1800,$A34,الريسبي!$B$2:$B$1800,BG$1)</f>
        <v>0</v>
      </c>
      <c r="BH34" s="117" t="n">
        <f aca="false">SUMIFS(الريسبي!$C$2:$C$1800,الريسبي!$A$2:$A$1800,$A34,الريسبي!$B$2:$B$1800,BH$1)</f>
        <v>1</v>
      </c>
      <c r="BI34" s="117" t="n">
        <f aca="false">SUMIFS(الريسبي!$C$2:$C$1800,الريسبي!$A$2:$A$1800,$A34,الريسبي!$B$2:$B$1800,BI$1)</f>
        <v>0</v>
      </c>
      <c r="BJ34" s="117" t="n">
        <f aca="false">SUMIFS(الريسبي!$C$2:$C$1800,الريسبي!$A$2:$A$1800,$A34,الريسبي!$B$2:$B$1800,BJ$1)</f>
        <v>0</v>
      </c>
      <c r="BK34" s="117" t="n">
        <f aca="false">SUMIFS(الريسبي!$C$2:$C$1800,الريسبي!$A$2:$A$1800,$A34,الريسبي!$B$2:$B$1800,BK$1)</f>
        <v>0</v>
      </c>
      <c r="BL34" s="117" t="n">
        <f aca="false">SUMIFS(الريسبي!$C$2:$C$1800,الريسبي!$A$2:$A$1800,$A34,الريسبي!$B$2:$B$1800,BL$1)</f>
        <v>0</v>
      </c>
      <c r="BM34" s="117" t="n">
        <f aca="false">SUMIFS(الريسبي!$C$2:$C$1800,الريسبي!$A$2:$A$1800,$A34,الريسبي!$B$2:$B$1800,BM$1)</f>
        <v>0</v>
      </c>
      <c r="BN34" s="117" t="n">
        <f aca="false">SUMIFS(الريسبي!$C$2:$C$1800,الريسبي!$A$2:$A$1800,$A34,الريسبي!$B$2:$B$1800,BN$1)</f>
        <v>0.02</v>
      </c>
      <c r="BO34" s="117" t="n">
        <f aca="false">SUMIFS(الريسبي!$C$2:$C$1800,الريسبي!$A$2:$A$1800,$A34,الريسبي!$B$2:$B$1800,BO$1)</f>
        <v>0</v>
      </c>
      <c r="BP34" s="117" t="n">
        <f aca="false">SUMIFS(الريسبي!$C$2:$C$1800,الريسبي!$A$2:$A$1800,$A34,الريسبي!$B$2:$B$1800,BP$1)</f>
        <v>2</v>
      </c>
      <c r="BQ34" s="117" t="n">
        <f aca="false">SUMIFS(الريسبي!$C$2:$C$1800,الريسبي!$A$2:$A$1800,$A34,الريسبي!$B$2:$B$1800,BQ$1)+0.17*SUMIFS(الريسبي!$C$2:$C$1800,الريسبي!$A$2:$A$1800,$A34,الريسبي!$B$2:$B$1800,"كاسترد مصنع (خليط بودر + لبن)")+0.17*SUMIFS(الريسبي!$C$2:$C$1800,الريسبي!$A$2:$A$1800,$A34,الريسبي!$B$2:$B$1800,"كاسترد مصنع صيامي (بدون لبن)")</f>
        <v>0</v>
      </c>
      <c r="BR34" s="117" t="n">
        <f aca="false">SUMIFS(الريسبي!$C$2:$C$1800,الريسبي!$A$2:$A$1800,$A34,الريسبي!$B$2:$B$1800,BR$1)</f>
        <v>1</v>
      </c>
      <c r="BS34" s="117" t="n">
        <f aca="false">SUMIFS(الريسبي!$C$2:$C$1800,الريسبي!$A$2:$A$1800,$A34,الريسبي!$B$2:$B$1800,BS$1)</f>
        <v>0</v>
      </c>
      <c r="BT34" s="117" t="n">
        <f aca="false">SUMIFS(الريسبي!$C$2:$C$1800,الريسبي!$A$2:$A$1800,$A34,الريسبي!$B$2:$B$1800,BT$1)</f>
        <v>0</v>
      </c>
      <c r="BU34" s="117" t="n">
        <f aca="false">SUMIFS(الريسبي!$C$2:$C$1800,الريسبي!$A$2:$A$1800,$A34,الريسبي!$B$2:$B$1800,BU$1)+0.4*SUMIFS(الريسبي!$C$2:$C$1800,الريسبي!$A$2:$A$1800,$A34,الريسبي!$B$2:$B$1800,"كاسترد مصنع (خليط بودر + لبن)")+0.03333333333*SUMIFS(الريسبي!$C$2:$C$1800,الريسبي!$A$2:$A$1800,$A34,الريسبي!$B$2:$B$1800,"عجين كريب (مصنع بالمطعم)")</f>
        <v>0</v>
      </c>
      <c r="BV34" s="117" t="n">
        <f aca="false">SUMIFS(الريسبي!$C$2:$C$1800,الريسبي!$A$2:$A$1800,$A34,الريسبي!$B$2:$B$1800,BV$1)</f>
        <v>0</v>
      </c>
      <c r="BW34" s="117" t="n">
        <f aca="false">SUMIFS(الريسبي!$C$2:$C$1800,الريسبي!$A$2:$A$1800,$A34,الريسبي!$B$2:$B$1800,BW$1)</f>
        <v>0</v>
      </c>
      <c r="BX34" s="117" t="n">
        <f aca="false">SUMIFS(الريسبي!$C$2:$C$1800,الريسبي!$A$2:$A$1800,$A34,الريسبي!$B$2:$B$1800,BX$1)</f>
        <v>0</v>
      </c>
      <c r="BY34" s="117" t="n">
        <f aca="false">SUMIFS(الريسبي!$C$2:$C$1800,الريسبي!$A$2:$A$1800,$A34,الريسبي!$B$2:$B$1800,BY$1)</f>
        <v>0</v>
      </c>
      <c r="BZ34" s="117" t="n">
        <f aca="false">SUMIFS(الريسبي!$C$2:$C$1800,الريسبي!$A$2:$A$1800,$A34,الريسبي!$B$2:$B$1800,BZ$1)</f>
        <v>0</v>
      </c>
      <c r="CA34" s="117" t="n">
        <f aca="false">SUMIFS(الريسبي!$C$2:$C$1800,الريسبي!$A$2:$A$1800,$A34,الريسبي!$B$2:$B$1800,CA$1)</f>
        <v>1</v>
      </c>
      <c r="CB34" s="117" t="n">
        <f aca="false">SUMIFS(الريسبي!$C$2:$C$1800,الريسبي!$A$2:$A$1800,$A34,الريسبي!$B$2:$B$1800,CB$1)</f>
        <v>1</v>
      </c>
      <c r="CC34" s="117" t="n">
        <f aca="false">SUMIFS(الريسبي!$C$2:$C$1800,الريسبي!$A$2:$A$1800,$A34,الريسبي!$B$2:$B$1800,CC$1)</f>
        <v>0</v>
      </c>
      <c r="CD34" s="117" t="n">
        <f aca="false">SUMIFS(الريسبي!$C$2:$C$1800,الريسبي!$A$2:$A$1800,$A34,الريسبي!$B$2:$B$1800,CD$1)</f>
        <v>0</v>
      </c>
      <c r="CE34" s="117" t="n">
        <f aca="false">SUMIFS(الريسبي!$C$2:$C$1800,الريسبي!$A$2:$A$1800,$A34,الريسبي!$B$2:$B$1800,CE$1)</f>
        <v>0</v>
      </c>
      <c r="CF34" s="117" t="n">
        <f aca="false">SUMIFS(الريسبي!$C$2:$C$1800,الريسبي!$A$2:$A$1800,$A34,الريسبي!$B$2:$B$1800,CF$1)</f>
        <v>0</v>
      </c>
      <c r="CG34" s="117" t="n">
        <f aca="false">SUMIFS(الريسبي!$C$2:$C$1800,الريسبي!$A$2:$A$1800,$A34,الريسبي!$B$2:$B$1800,CG$1)</f>
        <v>0</v>
      </c>
      <c r="CH34" s="117" t="n">
        <f aca="false">SUMIFS(الريسبي!$C$2:$C$1800,الريسبي!$A$2:$A$1800,$A34,الريسبي!$B$2:$B$1800,CH$1)</f>
        <v>0</v>
      </c>
      <c r="CI34" s="117" t="n">
        <f aca="false">SUMIFS(الريسبي!$C$2:$C$1800,الريسبي!$A$2:$A$1800,$A34,الريسبي!$B$2:$B$1800,CI$1)</f>
        <v>0</v>
      </c>
      <c r="CJ34" s="117" t="n">
        <f aca="false">SUMIFS(الريسبي!$C$2:$C$1800,الريسبي!$A$2:$A$1800,$A34,الريسبي!$B$2:$B$1800,CJ$1)</f>
        <v>0</v>
      </c>
      <c r="CK34" s="117" t="n">
        <f aca="false">SUMIFS(الريسبي!$C$2:$C$1800,الريسبي!$A$2:$A$1800,$A34,الريسبي!$B$2:$B$1800,CK$1)</f>
        <v>0</v>
      </c>
      <c r="CL34" s="117" t="n">
        <f aca="false">SUMIFS(الريسبي!$C$2:$C$1800,الريسبي!$A$2:$A$1800,$A34,الريسبي!$B$2:$B$1800,CL$1)</f>
        <v>0</v>
      </c>
    </row>
    <row r="35" customFormat="false" ht="15" hidden="false" customHeight="false" outlineLevel="0" collapsed="false">
      <c r="A35" s="116" t="str">
        <f aca="false">المنيو!B35</f>
        <v>فطيرة فراخ باربيكيو حجم اكبر</v>
      </c>
      <c r="B35" s="117" t="n">
        <f aca="false">SUMIFS(الريسبي!$C$2:$C$1800,الريسبي!$A$2:$A$1800,$A35,الريسبي!$B$2:$B$1800,B$1)</f>
        <v>0</v>
      </c>
      <c r="C35" s="117" t="n">
        <f aca="false">SUMIFS(الريسبي!$C$2:$C$1800,الريسبي!$A$2:$A$1800,$A35,الريسبي!$B$2:$B$1800,C$1)</f>
        <v>0</v>
      </c>
      <c r="D35" s="117" t="n">
        <f aca="false">SUMIFS(الريسبي!$C$2:$C$1800,الريسبي!$A$2:$A$1800,$A35,الريسبي!$B$2:$B$1800,D$1)</f>
        <v>1</v>
      </c>
      <c r="E35" s="117" t="n">
        <f aca="false">SUMIFS(الريسبي!$C$2:$C$1800,الريسبي!$A$2:$A$1800,$A35,الريسبي!$B$2:$B$1800,E$1)</f>
        <v>0</v>
      </c>
      <c r="F35" s="117" t="n">
        <f aca="false">SUMIFS(الريسبي!$C$2:$C$1800,الريسبي!$A$2:$A$1800,$A35,الريسبي!$B$2:$B$1800,F$1)</f>
        <v>0</v>
      </c>
      <c r="G35" s="117" t="n">
        <f aca="false">SUMIFS(الريسبي!$C$2:$C$1800,الريسبي!$A$2:$A$1800,$A35,الريسبي!$B$2:$B$1800,G$1)</f>
        <v>0</v>
      </c>
      <c r="H35" s="117" t="n">
        <f aca="false">SUMIFS(الريسبي!$C$2:$C$1800,الريسبي!$A$2:$A$1800,$A35,الريسبي!$B$2:$B$1800,H$1)</f>
        <v>0</v>
      </c>
      <c r="I35" s="117" t="n">
        <f aca="false">SUMIFS(الريسبي!$C$2:$C$1800,الريسبي!$A$2:$A$1800,$A35,الريسبي!$B$2:$B$1800,I$1)</f>
        <v>0</v>
      </c>
      <c r="J35" s="117" t="n">
        <f aca="false">SUMIFS(الريسبي!$C$2:$C$1800,الريسبي!$A$2:$A$1800,$A35,الريسبي!$B$2:$B$1800,J$1)</f>
        <v>0</v>
      </c>
      <c r="K35" s="117" t="n">
        <f aca="false">SUMIFS(الريسبي!$C$2:$C$1800,الريسبي!$A$2:$A$1800,$A35,الريسبي!$B$2:$B$1800,K$1)</f>
        <v>0</v>
      </c>
      <c r="L35" s="117" t="n">
        <f aca="false">SUMIFS(الريسبي!$C$2:$C$1800,الريسبي!$A$2:$A$1800,$A35,الريسبي!$B$2:$B$1800,L$1)</f>
        <v>0</v>
      </c>
      <c r="M35" s="117" t="n">
        <f aca="false">SUMIFS(الريسبي!$C$2:$C$1800,الريسبي!$A$2:$A$1800,$A35,الريسبي!$B$2:$B$1800,M$1)</f>
        <v>0</v>
      </c>
      <c r="N35" s="117" t="n">
        <f aca="false">SUMIFS(الريسبي!$C$2:$C$1800,الريسبي!$A$2:$A$1800,$A35,الريسبي!$B$2:$B$1800,N$1)</f>
        <v>0</v>
      </c>
      <c r="O35" s="117" t="n">
        <f aca="false">SUMIFS(الريسبي!$C$2:$C$1800,الريسبي!$A$2:$A$1800,$A35,الريسبي!$B$2:$B$1800,O$1)</f>
        <v>0</v>
      </c>
      <c r="P35" s="117" t="n">
        <f aca="false">SUMIFS(الريسبي!$C$2:$C$1800,الريسبي!$A$2:$A$1800,$A35,الريسبي!$B$2:$B$1800,P$1)</f>
        <v>1</v>
      </c>
      <c r="Q35" s="117" t="n">
        <f aca="false">SUMIFS(الريسبي!$C$2:$C$1800,الريسبي!$A$2:$A$1800,$A35,الريسبي!$B$2:$B$1800,Q$1)</f>
        <v>0</v>
      </c>
      <c r="R35" s="117" t="n">
        <f aca="false">SUMIFS(الريسبي!$C$2:$C$1800,الريسبي!$A$2:$A$1800,$A35,الريسبي!$B$2:$B$1800,R$1)</f>
        <v>0</v>
      </c>
      <c r="S35" s="117" t="n">
        <f aca="false">SUMIFS(الريسبي!$C$2:$C$1800,الريسبي!$A$2:$A$1800,$A35,الريسبي!$B$2:$B$1800,S$1)</f>
        <v>0</v>
      </c>
      <c r="T35" s="117" t="n">
        <f aca="false">SUMIFS(الريسبي!$C$2:$C$1800,الريسبي!$A$2:$A$1800,$A35,الريسبي!$B$2:$B$1800,T$1)</f>
        <v>0</v>
      </c>
      <c r="U35" s="117" t="n">
        <f aca="false">SUMIFS(الريسبي!$C$2:$C$1800,الريسبي!$A$2:$A$1800,$A35,الريسبي!$B$2:$B$1800,U$1)</f>
        <v>0</v>
      </c>
      <c r="V35" s="117" t="n">
        <f aca="false">SUMIFS(الريسبي!$C$2:$C$1800,الريسبي!$A$2:$A$1800,$A35,الريسبي!$B$2:$B$1800,V$1)</f>
        <v>0</v>
      </c>
      <c r="W35" s="117" t="n">
        <f aca="false">SUMIFS(الريسبي!$C$2:$C$1800,الريسبي!$A$2:$A$1800,$A35,الريسبي!$B$2:$B$1800,W$1)</f>
        <v>0</v>
      </c>
      <c r="X35" s="117" t="n">
        <f aca="false">SUMIFS(الريسبي!$C$2:$C$1800,الريسبي!$A$2:$A$1800,$A35,الريسبي!$B$2:$B$1800,X$1)</f>
        <v>0</v>
      </c>
      <c r="Y35" s="117" t="n">
        <f aca="false">SUMIFS(الريسبي!$C$2:$C$1800,الريسبي!$A$2:$A$1800,$A35,الريسبي!$B$2:$B$1800,Y$1)</f>
        <v>1</v>
      </c>
      <c r="Z35" s="117" t="n">
        <f aca="false">SUMIFS(الريسبي!$C$2:$C$1800,الريسبي!$A$2:$A$1800,$A35,الريسبي!$B$2:$B$1800,Z$1)</f>
        <v>0</v>
      </c>
      <c r="AA35" s="117" t="n">
        <f aca="false">SUMIFS(الريسبي!$C$2:$C$1800,الريسبي!$A$2:$A$1800,$A35,الريسبي!$B$2:$B$1800,AA$1)</f>
        <v>0</v>
      </c>
      <c r="AB35" s="117" t="n">
        <f aca="false">SUMIFS(الريسبي!$C$2:$C$1800,الريسبي!$A$2:$A$1800,$A35,الريسبي!$B$2:$B$1800,AB$1)</f>
        <v>0</v>
      </c>
      <c r="AC35" s="117" t="n">
        <f aca="false">SUMIFS(الريسبي!$C$2:$C$1800,الريسبي!$A$2:$A$1800,$A35,الريسبي!$B$2:$B$1800,AC$1)</f>
        <v>0</v>
      </c>
      <c r="AD35" s="117" t="n">
        <f aca="false">SUMIFS(الريسبي!$C$2:$C$1800,الريسبي!$A$2:$A$1800,$A35,الريسبي!$B$2:$B$1800,AD$1)</f>
        <v>0</v>
      </c>
      <c r="AE35" s="117" t="n">
        <f aca="false">SUMIFS(الريسبي!$C$2:$C$1800,الريسبي!$A$2:$A$1800,$A35,الريسبي!$B$2:$B$1800,AE$1)</f>
        <v>0</v>
      </c>
      <c r="AF35" s="117" t="n">
        <f aca="false">SUMIFS(الريسبي!$C$2:$C$1800,الريسبي!$A$2:$A$1800,$A35,الريسبي!$B$2:$B$1800,AF$1)</f>
        <v>0</v>
      </c>
      <c r="AG35" s="117" t="n">
        <f aca="false">SUMIFS(الريسبي!$C$2:$C$1800,الريسبي!$A$2:$A$1800,$A35,الريسبي!$B$2:$B$1800,AG$1)</f>
        <v>0</v>
      </c>
      <c r="AH35" s="117" t="n">
        <f aca="false">SUMIFS(الريسبي!$C$2:$C$1800,الريسبي!$A$2:$A$1800,$A35,الريسبي!$B$2:$B$1800,AH$1)</f>
        <v>0</v>
      </c>
      <c r="AI35" s="117" t="n">
        <f aca="false">SUMIFS(الريسبي!$C$2:$C$1800,الريسبي!$A$2:$A$1800,$A35,الريسبي!$B$2:$B$1800,AI$1)</f>
        <v>0</v>
      </c>
      <c r="AJ35" s="117" t="n">
        <f aca="false">SUMIFS(الريسبي!$C$2:$C$1800,الريسبي!$A$2:$A$1800,$A35,الريسبي!$B$2:$B$1800,AJ$1)</f>
        <v>2</v>
      </c>
      <c r="AK35" s="117" t="n">
        <f aca="false">SUMIFS(الريسبي!$C$2:$C$1800,الريسبي!$A$2:$A$1800,$A35,الريسبي!$B$2:$B$1800,AK$1)</f>
        <v>0</v>
      </c>
      <c r="AL35" s="117" t="n">
        <f aca="false">SUMIFS(الريسبي!$C$2:$C$1800,الريسبي!$A$2:$A$1800,$A35,الريسبي!$B$2:$B$1800,AL$1)</f>
        <v>0</v>
      </c>
      <c r="AM35" s="117" t="n">
        <f aca="false">SUMIFS(الريسبي!$C$2:$C$1800,الريسبي!$A$2:$A$1800,$A35,الريسبي!$B$2:$B$1800,AM$1)+0.08333333333*SUMIFS(الريسبي!$C$2:$C$1800,الريسبي!$A$2:$A$1800,$A35,الريسبي!$B$2:$B$1800,"عجين كريب (مصنع بالمطعم)")+0.08333333333*SUMIFS(الريسبي!$C$2:$C$1800,الريسبي!$A$2:$A$1800,$A35,الريسبي!$B$2:$B$1800,"عجين كريب صيامي (بدون لبن)")</f>
        <v>0</v>
      </c>
      <c r="AN35" s="117" t="n">
        <f aca="false">SUMIFS(الريسبي!$C$2:$C$1800,الريسبي!$A$2:$A$1800,$A35,الريسبي!$B$2:$B$1800,AN$1)+0.004166666667*SUMIFS(الريسبي!$C$2:$C$1800,الريسبي!$A$2:$A$1800,$A35,الريسبي!$B$2:$B$1800,"عجين كريب (مصنع بالمطعم)")+0.004166666667*SUMIFS(الريسبي!$C$2:$C$1800,الريسبي!$A$2:$A$1800,$A35,الريسبي!$B$2:$B$1800,"عجين كريب صيامي (بدون لبن)")</f>
        <v>0</v>
      </c>
      <c r="AO35" s="117" t="n">
        <f aca="false">SUMIFS(الريسبي!$C$2:$C$1800,الريسبي!$A$2:$A$1800,$A35,الريسبي!$B$2:$B$1800,AO$1)</f>
        <v>0</v>
      </c>
      <c r="AP35" s="117" t="n">
        <f aca="false">SUMIFS(الريسبي!$C$2:$C$1800,الريسبي!$A$2:$A$1800,$A35,الريسبي!$B$2:$B$1800,AP$1)</f>
        <v>0.03</v>
      </c>
      <c r="AQ35" s="117" t="n">
        <f aca="false">SUMIFS(الريسبي!$C$2:$C$1800,الريسبي!$A$2:$A$1800,$A35,الريسبي!$B$2:$B$1800,AQ$1)+0.004166666667*SUMIFS(الريسبي!$C$2:$C$1800,الريسبي!$A$2:$A$1800,$A35,الريسبي!$B$2:$B$1800,"عجين كريب (مصنع بالمطعم)")+0.004166666667*SUMIFS(الريسبي!$C$2:$C$1800,الريسبي!$A$2:$A$1800,$A35,الريسبي!$B$2:$B$1800,"عجين كريب صيامي (بدون لبن)")</f>
        <v>0</v>
      </c>
      <c r="AR35" s="117" t="n">
        <f aca="false">SUMIFS(الريسبي!$C$2:$C$1800,الريسبي!$A$2:$A$1800,$A35,الريسبي!$B$2:$B$1800,AR$1)</f>
        <v>0</v>
      </c>
      <c r="AS35" s="117" t="n">
        <f aca="false">SUMIFS(الريسبي!$C$2:$C$1800,الريسبي!$A$2:$A$1800,$A35,الريسبي!$B$2:$B$1800,AS$1)</f>
        <v>0</v>
      </c>
      <c r="AT35" s="117" t="n">
        <f aca="false">SUMIFS(الريسبي!$C$2:$C$1800,الريسبي!$A$2:$A$1800,$A35,الريسبي!$B$2:$B$1800,AT$1)</f>
        <v>0</v>
      </c>
      <c r="AU35" s="117" t="n">
        <f aca="false">SUMIFS(الريسبي!$C$2:$C$1800,الريسبي!$A$2:$A$1800,$A35,الريسبي!$B$2:$B$1800,AU$1)</f>
        <v>0</v>
      </c>
      <c r="AV35" s="117" t="n">
        <f aca="false">SUMIFS(الريسبي!$C$2:$C$1800,الريسبي!$A$2:$A$1800,$A35,الريسبي!$B$2:$B$1800,AV$1)</f>
        <v>0</v>
      </c>
      <c r="AW35" s="117" t="n">
        <f aca="false">SUMIFS(الريسبي!$C$2:$C$1800,الريسبي!$A$2:$A$1800,$A35,الريسبي!$B$2:$B$1800,AW$1)</f>
        <v>0</v>
      </c>
      <c r="AX35" s="117" t="n">
        <f aca="false">SUMIFS(الريسبي!$C$2:$C$1800,الريسبي!$A$2:$A$1800,$A35,الريسبي!$B$2:$B$1800,AX$1)</f>
        <v>0</v>
      </c>
      <c r="AY35" s="117" t="n">
        <f aca="false">SUMIFS(الريسبي!$C$2:$C$1800,الريسبي!$A$2:$A$1800,$A35,الريسبي!$B$2:$B$1800,AY$1)</f>
        <v>0.15</v>
      </c>
      <c r="AZ35" s="117" t="n">
        <f aca="false">SUMIFS(الريسبي!$C$2:$C$1800,الريسبي!$A$2:$A$1800,$A35,الريسبي!$B$2:$B$1800,AZ$1)</f>
        <v>0</v>
      </c>
      <c r="BA35" s="117" t="n">
        <f aca="false">SUMIFS(الريسبي!$C$2:$C$1800,الريسبي!$A$2:$A$1800,$A35,الريسبي!$B$2:$B$1800,BA$1)</f>
        <v>0</v>
      </c>
      <c r="BB35" s="117" t="n">
        <f aca="false">SUMIFS(الريسبي!$C$2:$C$1800,الريسبي!$A$2:$A$1800,$A35,الريسبي!$B$2:$B$1800,BB$1)</f>
        <v>0</v>
      </c>
      <c r="BC35" s="117" t="n">
        <f aca="false">SUMIFS(الريسبي!$C$2:$C$1800,الريسبي!$A$2:$A$1800,$A35,الريسبي!$B$2:$B$1800,BC$1)</f>
        <v>0.045</v>
      </c>
      <c r="BD35" s="117" t="n">
        <f aca="false">SUMIFS(الريسبي!$C$2:$C$1800,الريسبي!$A$2:$A$1800,$A35,الريسبي!$B$2:$B$1800,BD$1)</f>
        <v>0</v>
      </c>
      <c r="BE35" s="117" t="n">
        <f aca="false">SUMIFS(الريسبي!$C$2:$C$1800,الريسبي!$A$2:$A$1800,$A35,الريسبي!$B$2:$B$1800,BE$1)</f>
        <v>1.5</v>
      </c>
      <c r="BF35" s="117" t="n">
        <f aca="false">SUMIFS(الريسبي!$C$2:$C$1800,الريسبي!$A$2:$A$1800,$A35,الريسبي!$B$2:$B$1800,BF$1)</f>
        <v>0</v>
      </c>
      <c r="BG35" s="117" t="n">
        <f aca="false">SUMIFS(الريسبي!$C$2:$C$1800,الريسبي!$A$2:$A$1800,$A35,الريسبي!$B$2:$B$1800,BG$1)</f>
        <v>1</v>
      </c>
      <c r="BH35" s="117" t="n">
        <f aca="false">SUMIFS(الريسبي!$C$2:$C$1800,الريسبي!$A$2:$A$1800,$A35,الريسبي!$B$2:$B$1800,BH$1)</f>
        <v>0</v>
      </c>
      <c r="BI35" s="117" t="n">
        <f aca="false">SUMIFS(الريسبي!$C$2:$C$1800,الريسبي!$A$2:$A$1800,$A35,الريسبي!$B$2:$B$1800,BI$1)</f>
        <v>0</v>
      </c>
      <c r="BJ35" s="117" t="n">
        <f aca="false">SUMIFS(الريسبي!$C$2:$C$1800,الريسبي!$A$2:$A$1800,$A35,الريسبي!$B$2:$B$1800,BJ$1)</f>
        <v>0</v>
      </c>
      <c r="BK35" s="117" t="n">
        <f aca="false">SUMIFS(الريسبي!$C$2:$C$1800,الريسبي!$A$2:$A$1800,$A35,الريسبي!$B$2:$B$1800,BK$1)</f>
        <v>0</v>
      </c>
      <c r="BL35" s="117" t="n">
        <f aca="false">SUMIFS(الريسبي!$C$2:$C$1800,الريسبي!$A$2:$A$1800,$A35,الريسبي!$B$2:$B$1800,BL$1)</f>
        <v>0</v>
      </c>
      <c r="BM35" s="117" t="n">
        <f aca="false">SUMIFS(الريسبي!$C$2:$C$1800,الريسبي!$A$2:$A$1800,$A35,الريسبي!$B$2:$B$1800,BM$1)</f>
        <v>0</v>
      </c>
      <c r="BN35" s="117" t="n">
        <f aca="false">SUMIFS(الريسبي!$C$2:$C$1800,الريسبي!$A$2:$A$1800,$A35,الريسبي!$B$2:$B$1800,BN$1)</f>
        <v>0.03</v>
      </c>
      <c r="BO35" s="117" t="n">
        <f aca="false">SUMIFS(الريسبي!$C$2:$C$1800,الريسبي!$A$2:$A$1800,$A35,الريسبي!$B$2:$B$1800,BO$1)</f>
        <v>0</v>
      </c>
      <c r="BP35" s="117" t="n">
        <f aca="false">SUMIFS(الريسبي!$C$2:$C$1800,الريسبي!$A$2:$A$1800,$A35,الريسبي!$B$2:$B$1800,BP$1)</f>
        <v>3</v>
      </c>
      <c r="BQ35" s="117" t="n">
        <f aca="false">SUMIFS(الريسبي!$C$2:$C$1800,الريسبي!$A$2:$A$1800,$A35,الريسبي!$B$2:$B$1800,BQ$1)+0.17*SUMIFS(الريسبي!$C$2:$C$1800,الريسبي!$A$2:$A$1800,$A35,الريسبي!$B$2:$B$1800,"كاسترد مصنع (خليط بودر + لبن)")+0.17*SUMIFS(الريسبي!$C$2:$C$1800,الريسبي!$A$2:$A$1800,$A35,الريسبي!$B$2:$B$1800,"كاسترد مصنع صيامي (بدون لبن)")</f>
        <v>0</v>
      </c>
      <c r="BR35" s="117" t="n">
        <f aca="false">SUMIFS(الريسبي!$C$2:$C$1800,الريسبي!$A$2:$A$1800,$A35,الريسبي!$B$2:$B$1800,BR$1)</f>
        <v>1</v>
      </c>
      <c r="BS35" s="117" t="n">
        <f aca="false">SUMIFS(الريسبي!$C$2:$C$1800,الريسبي!$A$2:$A$1800,$A35,الريسبي!$B$2:$B$1800,BS$1)</f>
        <v>0</v>
      </c>
      <c r="BT35" s="117" t="n">
        <f aca="false">SUMIFS(الريسبي!$C$2:$C$1800,الريسبي!$A$2:$A$1800,$A35,الريسبي!$B$2:$B$1800,BT$1)</f>
        <v>0</v>
      </c>
      <c r="BU35" s="117" t="n">
        <f aca="false">SUMIFS(الريسبي!$C$2:$C$1800,الريسبي!$A$2:$A$1800,$A35,الريسبي!$B$2:$B$1800,BU$1)+0.4*SUMIFS(الريسبي!$C$2:$C$1800,الريسبي!$A$2:$A$1800,$A35,الريسبي!$B$2:$B$1800,"كاسترد مصنع (خليط بودر + لبن)")+0.03333333333*SUMIFS(الريسبي!$C$2:$C$1800,الريسبي!$A$2:$A$1800,$A35,الريسبي!$B$2:$B$1800,"عجين كريب (مصنع بالمطعم)")</f>
        <v>0</v>
      </c>
      <c r="BV35" s="117" t="n">
        <f aca="false">SUMIFS(الريسبي!$C$2:$C$1800,الريسبي!$A$2:$A$1800,$A35,الريسبي!$B$2:$B$1800,BV$1)</f>
        <v>0</v>
      </c>
      <c r="BW35" s="117" t="n">
        <f aca="false">SUMIFS(الريسبي!$C$2:$C$1800,الريسبي!$A$2:$A$1800,$A35,الريسبي!$B$2:$B$1800,BW$1)</f>
        <v>0</v>
      </c>
      <c r="BX35" s="117" t="n">
        <f aca="false">SUMIFS(الريسبي!$C$2:$C$1800,الريسبي!$A$2:$A$1800,$A35,الريسبي!$B$2:$B$1800,BX$1)</f>
        <v>0</v>
      </c>
      <c r="BY35" s="117" t="n">
        <f aca="false">SUMIFS(الريسبي!$C$2:$C$1800,الريسبي!$A$2:$A$1800,$A35,الريسبي!$B$2:$B$1800,BY$1)</f>
        <v>0</v>
      </c>
      <c r="BZ35" s="117" t="n">
        <f aca="false">SUMIFS(الريسبي!$C$2:$C$1800,الريسبي!$A$2:$A$1800,$A35,الريسبي!$B$2:$B$1800,BZ$1)</f>
        <v>0</v>
      </c>
      <c r="CA35" s="117" t="n">
        <f aca="false">SUMIFS(الريسبي!$C$2:$C$1800,الريسبي!$A$2:$A$1800,$A35,الريسبي!$B$2:$B$1800,CA$1)</f>
        <v>1</v>
      </c>
      <c r="CB35" s="117" t="n">
        <f aca="false">SUMIFS(الريسبي!$C$2:$C$1800,الريسبي!$A$2:$A$1800,$A35,الريسبي!$B$2:$B$1800,CB$1)</f>
        <v>1</v>
      </c>
      <c r="CC35" s="117" t="n">
        <f aca="false">SUMIFS(الريسبي!$C$2:$C$1800,الريسبي!$A$2:$A$1800,$A35,الريسبي!$B$2:$B$1800,CC$1)</f>
        <v>0</v>
      </c>
      <c r="CD35" s="117" t="n">
        <f aca="false">SUMIFS(الريسبي!$C$2:$C$1800,الريسبي!$A$2:$A$1800,$A35,الريسبي!$B$2:$B$1800,CD$1)</f>
        <v>0</v>
      </c>
      <c r="CE35" s="117" t="n">
        <f aca="false">SUMIFS(الريسبي!$C$2:$C$1800,الريسبي!$A$2:$A$1800,$A35,الريسبي!$B$2:$B$1800,CE$1)</f>
        <v>0</v>
      </c>
      <c r="CF35" s="117" t="n">
        <f aca="false">SUMIFS(الريسبي!$C$2:$C$1800,الريسبي!$A$2:$A$1800,$A35,الريسبي!$B$2:$B$1800,CF$1)</f>
        <v>0</v>
      </c>
      <c r="CG35" s="117" t="n">
        <f aca="false">SUMIFS(الريسبي!$C$2:$C$1800,الريسبي!$A$2:$A$1800,$A35,الريسبي!$B$2:$B$1800,CG$1)</f>
        <v>0</v>
      </c>
      <c r="CH35" s="117" t="n">
        <f aca="false">SUMIFS(الريسبي!$C$2:$C$1800,الريسبي!$A$2:$A$1800,$A35,الريسبي!$B$2:$B$1800,CH$1)</f>
        <v>0</v>
      </c>
      <c r="CI35" s="117" t="n">
        <f aca="false">SUMIFS(الريسبي!$C$2:$C$1800,الريسبي!$A$2:$A$1800,$A35,الريسبي!$B$2:$B$1800,CI$1)</f>
        <v>0</v>
      </c>
      <c r="CJ35" s="117" t="n">
        <f aca="false">SUMIFS(الريسبي!$C$2:$C$1800,الريسبي!$A$2:$A$1800,$A35,الريسبي!$B$2:$B$1800,CJ$1)</f>
        <v>0</v>
      </c>
      <c r="CK35" s="117" t="n">
        <f aca="false">SUMIFS(الريسبي!$C$2:$C$1800,الريسبي!$A$2:$A$1800,$A35,الريسبي!$B$2:$B$1800,CK$1)</f>
        <v>0</v>
      </c>
      <c r="CL35" s="117" t="n">
        <f aca="false">SUMIFS(الريسبي!$C$2:$C$1800,الريسبي!$A$2:$A$1800,$A35,الريسبي!$B$2:$B$1800,CL$1)</f>
        <v>0</v>
      </c>
    </row>
    <row r="36" customFormat="false" ht="15" hidden="false" customHeight="false" outlineLevel="0" collapsed="false">
      <c r="A36" s="116" t="str">
        <f aca="false">المنيو!B36</f>
        <v>فطيرة فراخ كريسبي رانش وسط</v>
      </c>
      <c r="B36" s="117" t="n">
        <f aca="false">SUMIFS(الريسبي!$C$2:$C$1800,الريسبي!$A$2:$A$1800,$A36,الريسبي!$B$2:$B$1800,B$1)</f>
        <v>0</v>
      </c>
      <c r="C36" s="117" t="n">
        <f aca="false">SUMIFS(الريسبي!$C$2:$C$1800,الريسبي!$A$2:$A$1800,$A36,الريسبي!$B$2:$B$1800,C$1)</f>
        <v>0</v>
      </c>
      <c r="D36" s="117" t="n">
        <f aca="false">SUMIFS(الريسبي!$C$2:$C$1800,الريسبي!$A$2:$A$1800,$A36,الريسبي!$B$2:$B$1800,D$1)</f>
        <v>1</v>
      </c>
      <c r="E36" s="117" t="n">
        <f aca="false">SUMIFS(الريسبي!$C$2:$C$1800,الريسبي!$A$2:$A$1800,$A36,الريسبي!$B$2:$B$1800,E$1)</f>
        <v>0</v>
      </c>
      <c r="F36" s="117" t="n">
        <f aca="false">SUMIFS(الريسبي!$C$2:$C$1800,الريسبي!$A$2:$A$1800,$A36,الريسبي!$B$2:$B$1800,F$1)</f>
        <v>0</v>
      </c>
      <c r="G36" s="117" t="n">
        <f aca="false">SUMIFS(الريسبي!$C$2:$C$1800,الريسبي!$A$2:$A$1800,$A36,الريسبي!$B$2:$B$1800,G$1)</f>
        <v>0</v>
      </c>
      <c r="H36" s="117" t="n">
        <f aca="false">SUMIFS(الريسبي!$C$2:$C$1800,الريسبي!$A$2:$A$1800,$A36,الريسبي!$B$2:$B$1800,H$1)</f>
        <v>0</v>
      </c>
      <c r="I36" s="117" t="n">
        <f aca="false">SUMIFS(الريسبي!$C$2:$C$1800,الريسبي!$A$2:$A$1800,$A36,الريسبي!$B$2:$B$1800,I$1)</f>
        <v>0</v>
      </c>
      <c r="J36" s="117" t="n">
        <f aca="false">SUMIFS(الريسبي!$C$2:$C$1800,الريسبي!$A$2:$A$1800,$A36,الريسبي!$B$2:$B$1800,J$1)</f>
        <v>0</v>
      </c>
      <c r="K36" s="117" t="n">
        <f aca="false">SUMIFS(الريسبي!$C$2:$C$1800,الريسبي!$A$2:$A$1800,$A36,الريسبي!$B$2:$B$1800,K$1)</f>
        <v>0</v>
      </c>
      <c r="L36" s="117" t="n">
        <f aca="false">SUMIFS(الريسبي!$C$2:$C$1800,الريسبي!$A$2:$A$1800,$A36,الريسبي!$B$2:$B$1800,L$1)</f>
        <v>0</v>
      </c>
      <c r="M36" s="117" t="n">
        <f aca="false">SUMIFS(الريسبي!$C$2:$C$1800,الريسبي!$A$2:$A$1800,$A36,الريسبي!$B$2:$B$1800,M$1)</f>
        <v>0</v>
      </c>
      <c r="N36" s="117" t="n">
        <f aca="false">SUMIFS(الريسبي!$C$2:$C$1800,الريسبي!$A$2:$A$1800,$A36,الريسبي!$B$2:$B$1800,N$1)</f>
        <v>0</v>
      </c>
      <c r="O36" s="117" t="n">
        <f aca="false">SUMIFS(الريسبي!$C$2:$C$1800,الريسبي!$A$2:$A$1800,$A36,الريسبي!$B$2:$B$1800,O$1)</f>
        <v>0</v>
      </c>
      <c r="P36" s="117" t="n">
        <f aca="false">SUMIFS(الريسبي!$C$2:$C$1800,الريسبي!$A$2:$A$1800,$A36,الريسبي!$B$2:$B$1800,P$1)</f>
        <v>0</v>
      </c>
      <c r="Q36" s="117" t="n">
        <f aca="false">SUMIFS(الريسبي!$C$2:$C$1800,الريسبي!$A$2:$A$1800,$A36,الريسبي!$B$2:$B$1800,Q$1)</f>
        <v>1</v>
      </c>
      <c r="R36" s="117" t="n">
        <f aca="false">SUMIFS(الريسبي!$C$2:$C$1800,الريسبي!$A$2:$A$1800,$A36,الريسبي!$B$2:$B$1800,R$1)</f>
        <v>0</v>
      </c>
      <c r="S36" s="117" t="n">
        <f aca="false">SUMIFS(الريسبي!$C$2:$C$1800,الريسبي!$A$2:$A$1800,$A36,الريسبي!$B$2:$B$1800,S$1)</f>
        <v>0</v>
      </c>
      <c r="T36" s="117" t="n">
        <f aca="false">SUMIFS(الريسبي!$C$2:$C$1800,الريسبي!$A$2:$A$1800,$A36,الريسبي!$B$2:$B$1800,T$1)</f>
        <v>0</v>
      </c>
      <c r="U36" s="117" t="n">
        <f aca="false">SUMIFS(الريسبي!$C$2:$C$1800,الريسبي!$A$2:$A$1800,$A36,الريسبي!$B$2:$B$1800,U$1)</f>
        <v>0</v>
      </c>
      <c r="V36" s="117" t="n">
        <f aca="false">SUMIFS(الريسبي!$C$2:$C$1800,الريسبي!$A$2:$A$1800,$A36,الريسبي!$B$2:$B$1800,V$1)</f>
        <v>0</v>
      </c>
      <c r="W36" s="117" t="n">
        <f aca="false">SUMIFS(الريسبي!$C$2:$C$1800,الريسبي!$A$2:$A$1800,$A36,الريسبي!$B$2:$B$1800,W$1)</f>
        <v>0</v>
      </c>
      <c r="X36" s="117" t="n">
        <f aca="false">SUMIFS(الريسبي!$C$2:$C$1800,الريسبي!$A$2:$A$1800,$A36,الريسبي!$B$2:$B$1800,X$1)</f>
        <v>1</v>
      </c>
      <c r="Y36" s="117" t="n">
        <f aca="false">SUMIFS(الريسبي!$C$2:$C$1800,الريسبي!$A$2:$A$1800,$A36,الريسبي!$B$2:$B$1800,Y$1)</f>
        <v>0</v>
      </c>
      <c r="Z36" s="117" t="n">
        <f aca="false">SUMIFS(الريسبي!$C$2:$C$1800,الريسبي!$A$2:$A$1800,$A36,الريسبي!$B$2:$B$1800,Z$1)</f>
        <v>0</v>
      </c>
      <c r="AA36" s="117" t="n">
        <f aca="false">SUMIFS(الريسبي!$C$2:$C$1800,الريسبي!$A$2:$A$1800,$A36,الريسبي!$B$2:$B$1800,AA$1)</f>
        <v>0</v>
      </c>
      <c r="AB36" s="117" t="n">
        <f aca="false">SUMIFS(الريسبي!$C$2:$C$1800,الريسبي!$A$2:$A$1800,$A36,الريسبي!$B$2:$B$1800,AB$1)</f>
        <v>0</v>
      </c>
      <c r="AC36" s="117" t="n">
        <f aca="false">SUMIFS(الريسبي!$C$2:$C$1800,الريسبي!$A$2:$A$1800,$A36,الريسبي!$B$2:$B$1800,AC$1)</f>
        <v>0</v>
      </c>
      <c r="AD36" s="117" t="n">
        <f aca="false">SUMIFS(الريسبي!$C$2:$C$1800,الريسبي!$A$2:$A$1800,$A36,الريسبي!$B$2:$B$1800,AD$1)</f>
        <v>0</v>
      </c>
      <c r="AE36" s="117" t="n">
        <f aca="false">SUMIFS(الريسبي!$C$2:$C$1800,الريسبي!$A$2:$A$1800,$A36,الريسبي!$B$2:$B$1800,AE$1)</f>
        <v>0</v>
      </c>
      <c r="AF36" s="117" t="n">
        <f aca="false">SUMIFS(الريسبي!$C$2:$C$1800,الريسبي!$A$2:$A$1800,$A36,الريسبي!$B$2:$B$1800,AF$1)</f>
        <v>0</v>
      </c>
      <c r="AG36" s="117" t="n">
        <f aca="false">SUMIFS(الريسبي!$C$2:$C$1800,الريسبي!$A$2:$A$1800,$A36,الريسبي!$B$2:$B$1800,AG$1)</f>
        <v>0</v>
      </c>
      <c r="AH36" s="117" t="n">
        <f aca="false">SUMIFS(الريسبي!$C$2:$C$1800,الريسبي!$A$2:$A$1800,$A36,الريسبي!$B$2:$B$1800,AH$1)</f>
        <v>0</v>
      </c>
      <c r="AI36" s="117" t="n">
        <f aca="false">SUMIFS(الريسبي!$C$2:$C$1800,الريسبي!$A$2:$A$1800,$A36,الريسبي!$B$2:$B$1800,AI$1)</f>
        <v>0</v>
      </c>
      <c r="AJ36" s="117" t="n">
        <f aca="false">SUMIFS(الريسبي!$C$2:$C$1800,الريسبي!$A$2:$A$1800,$A36,الريسبي!$B$2:$B$1800,AJ$1)</f>
        <v>2</v>
      </c>
      <c r="AK36" s="117" t="n">
        <f aca="false">SUMIFS(الريسبي!$C$2:$C$1800,الريسبي!$A$2:$A$1800,$A36,الريسبي!$B$2:$B$1800,AK$1)</f>
        <v>0</v>
      </c>
      <c r="AL36" s="117" t="n">
        <f aca="false">SUMIFS(الريسبي!$C$2:$C$1800,الريسبي!$A$2:$A$1800,$A36,الريسبي!$B$2:$B$1800,AL$1)</f>
        <v>0</v>
      </c>
      <c r="AM36" s="117" t="n">
        <f aca="false">SUMIFS(الريسبي!$C$2:$C$1800,الريسبي!$A$2:$A$1800,$A36,الريسبي!$B$2:$B$1800,AM$1)+0.08333333333*SUMIFS(الريسبي!$C$2:$C$1800,الريسبي!$A$2:$A$1800,$A36,الريسبي!$B$2:$B$1800,"عجين كريب (مصنع بالمطعم)")+0.08333333333*SUMIFS(الريسبي!$C$2:$C$1800,الريسبي!$A$2:$A$1800,$A36,الريسبي!$B$2:$B$1800,"عجين كريب صيامي (بدون لبن)")</f>
        <v>0</v>
      </c>
      <c r="AN36" s="117" t="n">
        <f aca="false">SUMIFS(الريسبي!$C$2:$C$1800,الريسبي!$A$2:$A$1800,$A36,الريسبي!$B$2:$B$1800,AN$1)+0.004166666667*SUMIFS(الريسبي!$C$2:$C$1800,الريسبي!$A$2:$A$1800,$A36,الريسبي!$B$2:$B$1800,"عجين كريب (مصنع بالمطعم)")+0.004166666667*SUMIFS(الريسبي!$C$2:$C$1800,الريسبي!$A$2:$A$1800,$A36,الريسبي!$B$2:$B$1800,"عجين كريب صيامي (بدون لبن)")</f>
        <v>0</v>
      </c>
      <c r="AO36" s="117" t="n">
        <f aca="false">SUMIFS(الريسبي!$C$2:$C$1800,الريسبي!$A$2:$A$1800,$A36,الريسبي!$B$2:$B$1800,AO$1)</f>
        <v>0</v>
      </c>
      <c r="AP36" s="117" t="n">
        <f aca="false">SUMIFS(الريسبي!$C$2:$C$1800,الريسبي!$A$2:$A$1800,$A36,الريسبي!$B$2:$B$1800,AP$1)</f>
        <v>0.02</v>
      </c>
      <c r="AQ36" s="117" t="n">
        <f aca="false">SUMIFS(الريسبي!$C$2:$C$1800,الريسبي!$A$2:$A$1800,$A36,الريسبي!$B$2:$B$1800,AQ$1)+0.004166666667*SUMIFS(الريسبي!$C$2:$C$1800,الريسبي!$A$2:$A$1800,$A36,الريسبي!$B$2:$B$1800,"عجين كريب (مصنع بالمطعم)")+0.004166666667*SUMIFS(الريسبي!$C$2:$C$1800,الريسبي!$A$2:$A$1800,$A36,الريسبي!$B$2:$B$1800,"عجين كريب صيامي (بدون لبن)")</f>
        <v>0</v>
      </c>
      <c r="AR36" s="117" t="n">
        <f aca="false">SUMIFS(الريسبي!$C$2:$C$1800,الريسبي!$A$2:$A$1800,$A36,الريسبي!$B$2:$B$1800,AR$1)</f>
        <v>0</v>
      </c>
      <c r="AS36" s="117" t="n">
        <f aca="false">SUMIFS(الريسبي!$C$2:$C$1800,الريسبي!$A$2:$A$1800,$A36,الريسبي!$B$2:$B$1800,AS$1)</f>
        <v>0</v>
      </c>
      <c r="AT36" s="117" t="n">
        <f aca="false">SUMIFS(الريسبي!$C$2:$C$1800,الريسبي!$A$2:$A$1800,$A36,الريسبي!$B$2:$B$1800,AT$1)</f>
        <v>0</v>
      </c>
      <c r="AU36" s="117" t="n">
        <f aca="false">SUMIFS(الريسبي!$C$2:$C$1800,الريسبي!$A$2:$A$1800,$A36,الريسبي!$B$2:$B$1800,AU$1)</f>
        <v>0</v>
      </c>
      <c r="AV36" s="117" t="n">
        <f aca="false">SUMIFS(الريسبي!$C$2:$C$1800,الريسبي!$A$2:$A$1800,$A36,الريسبي!$B$2:$B$1800,AV$1)</f>
        <v>0</v>
      </c>
      <c r="AW36" s="117" t="n">
        <f aca="false">SUMIFS(الريسبي!$C$2:$C$1800,الريسبي!$A$2:$A$1800,$A36,الريسبي!$B$2:$B$1800,AW$1)</f>
        <v>0</v>
      </c>
      <c r="AX36" s="117" t="n">
        <f aca="false">SUMIFS(الريسبي!$C$2:$C$1800,الريسبي!$A$2:$A$1800,$A36,الريسبي!$B$2:$B$1800,AX$1)</f>
        <v>0</v>
      </c>
      <c r="AY36" s="117" t="n">
        <f aca="false">SUMIFS(الريسبي!$C$2:$C$1800,الريسبي!$A$2:$A$1800,$A36,الريسبي!$B$2:$B$1800,AY$1)</f>
        <v>0</v>
      </c>
      <c r="AZ36" s="117" t="n">
        <f aca="false">SUMIFS(الريسبي!$C$2:$C$1800,الريسبي!$A$2:$A$1800,$A36,الريسبي!$B$2:$B$1800,AZ$1)</f>
        <v>0</v>
      </c>
      <c r="BA36" s="117" t="n">
        <f aca="false">SUMIFS(الريسبي!$C$2:$C$1800,الريسبي!$A$2:$A$1800,$A36,الريسبي!$B$2:$B$1800,BA$1)</f>
        <v>0.1</v>
      </c>
      <c r="BB36" s="117" t="n">
        <f aca="false">SUMIFS(الريسبي!$C$2:$C$1800,الريسبي!$A$2:$A$1800,$A36,الريسبي!$B$2:$B$1800,BB$1)</f>
        <v>0</v>
      </c>
      <c r="BC36" s="117" t="n">
        <f aca="false">SUMIFS(الريسبي!$C$2:$C$1800,الريسبي!$A$2:$A$1800,$A36,الريسبي!$B$2:$B$1800,BC$1)</f>
        <v>0.03</v>
      </c>
      <c r="BD36" s="117" t="n">
        <f aca="false">SUMIFS(الريسبي!$C$2:$C$1800,الريسبي!$A$2:$A$1800,$A36,الريسبي!$B$2:$B$1800,BD$1)</f>
        <v>0</v>
      </c>
      <c r="BE36" s="117" t="n">
        <f aca="false">SUMIFS(الريسبي!$C$2:$C$1800,الريسبي!$A$2:$A$1800,$A36,الريسبي!$B$2:$B$1800,BE$1)</f>
        <v>1</v>
      </c>
      <c r="BF36" s="117" t="n">
        <f aca="false">SUMIFS(الريسبي!$C$2:$C$1800,الريسبي!$A$2:$A$1800,$A36,الريسبي!$B$2:$B$1800,BF$1)</f>
        <v>0</v>
      </c>
      <c r="BG36" s="117" t="n">
        <f aca="false">SUMIFS(الريسبي!$C$2:$C$1800,الريسبي!$A$2:$A$1800,$A36,الريسبي!$B$2:$B$1800,BG$1)</f>
        <v>0</v>
      </c>
      <c r="BH36" s="117" t="n">
        <f aca="false">SUMIFS(الريسبي!$C$2:$C$1800,الريسبي!$A$2:$A$1800,$A36,الريسبي!$B$2:$B$1800,BH$1)</f>
        <v>1</v>
      </c>
      <c r="BI36" s="117" t="n">
        <f aca="false">SUMIFS(الريسبي!$C$2:$C$1800,الريسبي!$A$2:$A$1800,$A36,الريسبي!$B$2:$B$1800,BI$1)</f>
        <v>0</v>
      </c>
      <c r="BJ36" s="117" t="n">
        <f aca="false">SUMIFS(الريسبي!$C$2:$C$1800,الريسبي!$A$2:$A$1800,$A36,الريسبي!$B$2:$B$1800,BJ$1)</f>
        <v>0</v>
      </c>
      <c r="BK36" s="117" t="n">
        <f aca="false">SUMIFS(الريسبي!$C$2:$C$1800,الريسبي!$A$2:$A$1800,$A36,الريسبي!$B$2:$B$1800,BK$1)</f>
        <v>0</v>
      </c>
      <c r="BL36" s="117" t="n">
        <f aca="false">SUMIFS(الريسبي!$C$2:$C$1800,الريسبي!$A$2:$A$1800,$A36,الريسبي!$B$2:$B$1800,BL$1)</f>
        <v>0</v>
      </c>
      <c r="BM36" s="117" t="n">
        <f aca="false">SUMIFS(الريسبي!$C$2:$C$1800,الريسبي!$A$2:$A$1800,$A36,الريسبي!$B$2:$B$1800,BM$1)</f>
        <v>0</v>
      </c>
      <c r="BN36" s="117" t="n">
        <f aca="false">SUMIFS(الريسبي!$C$2:$C$1800,الريسبي!$A$2:$A$1800,$A36,الريسبي!$B$2:$B$1800,BN$1)</f>
        <v>0.02</v>
      </c>
      <c r="BO36" s="117" t="n">
        <f aca="false">SUMIFS(الريسبي!$C$2:$C$1800,الريسبي!$A$2:$A$1800,$A36,الريسبي!$B$2:$B$1800,BO$1)</f>
        <v>0</v>
      </c>
      <c r="BP36" s="117" t="n">
        <f aca="false">SUMIFS(الريسبي!$C$2:$C$1800,الريسبي!$A$2:$A$1800,$A36,الريسبي!$B$2:$B$1800,BP$1)</f>
        <v>2</v>
      </c>
      <c r="BQ36" s="117" t="n">
        <f aca="false">SUMIFS(الريسبي!$C$2:$C$1800,الريسبي!$A$2:$A$1800,$A36,الريسبي!$B$2:$B$1800,BQ$1)+0.17*SUMIFS(الريسبي!$C$2:$C$1800,الريسبي!$A$2:$A$1800,$A36,الريسبي!$B$2:$B$1800,"كاسترد مصنع (خليط بودر + لبن)")+0.17*SUMIFS(الريسبي!$C$2:$C$1800,الريسبي!$A$2:$A$1800,$A36,الريسبي!$B$2:$B$1800,"كاسترد مصنع صيامي (بدون لبن)")</f>
        <v>0</v>
      </c>
      <c r="BR36" s="117" t="n">
        <f aca="false">SUMIFS(الريسبي!$C$2:$C$1800,الريسبي!$A$2:$A$1800,$A36,الريسبي!$B$2:$B$1800,BR$1)</f>
        <v>1</v>
      </c>
      <c r="BS36" s="117" t="n">
        <f aca="false">SUMIFS(الريسبي!$C$2:$C$1800,الريسبي!$A$2:$A$1800,$A36,الريسبي!$B$2:$B$1800,BS$1)</f>
        <v>0</v>
      </c>
      <c r="BT36" s="117" t="n">
        <f aca="false">SUMIFS(الريسبي!$C$2:$C$1800,الريسبي!$A$2:$A$1800,$A36,الريسبي!$B$2:$B$1800,BT$1)</f>
        <v>0</v>
      </c>
      <c r="BU36" s="117" t="n">
        <f aca="false">SUMIFS(الريسبي!$C$2:$C$1800,الريسبي!$A$2:$A$1800,$A36,الريسبي!$B$2:$B$1800,BU$1)+0.4*SUMIFS(الريسبي!$C$2:$C$1800,الريسبي!$A$2:$A$1800,$A36,الريسبي!$B$2:$B$1800,"كاسترد مصنع (خليط بودر + لبن)")+0.03333333333*SUMIFS(الريسبي!$C$2:$C$1800,الريسبي!$A$2:$A$1800,$A36,الريسبي!$B$2:$B$1800,"عجين كريب (مصنع بالمطعم)")</f>
        <v>0</v>
      </c>
      <c r="BV36" s="117" t="n">
        <f aca="false">SUMIFS(الريسبي!$C$2:$C$1800,الريسبي!$A$2:$A$1800,$A36,الريسبي!$B$2:$B$1800,BV$1)</f>
        <v>0</v>
      </c>
      <c r="BW36" s="117" t="n">
        <f aca="false">SUMIFS(الريسبي!$C$2:$C$1800,الريسبي!$A$2:$A$1800,$A36,الريسبي!$B$2:$B$1800,BW$1)</f>
        <v>0</v>
      </c>
      <c r="BX36" s="117" t="n">
        <f aca="false">SUMIFS(الريسبي!$C$2:$C$1800,الريسبي!$A$2:$A$1800,$A36,الريسبي!$B$2:$B$1800,BX$1)</f>
        <v>0</v>
      </c>
      <c r="BY36" s="117" t="n">
        <f aca="false">SUMIFS(الريسبي!$C$2:$C$1800,الريسبي!$A$2:$A$1800,$A36,الريسبي!$B$2:$B$1800,BY$1)</f>
        <v>0</v>
      </c>
      <c r="BZ36" s="117" t="n">
        <f aca="false">SUMIFS(الريسبي!$C$2:$C$1800,الريسبي!$A$2:$A$1800,$A36,الريسبي!$B$2:$B$1800,BZ$1)</f>
        <v>0</v>
      </c>
      <c r="CA36" s="117" t="n">
        <f aca="false">SUMIFS(الريسبي!$C$2:$C$1800,الريسبي!$A$2:$A$1800,$A36,الريسبي!$B$2:$B$1800,CA$1)</f>
        <v>1</v>
      </c>
      <c r="CB36" s="117" t="n">
        <f aca="false">SUMIFS(الريسبي!$C$2:$C$1800,الريسبي!$A$2:$A$1800,$A36,الريسبي!$B$2:$B$1800,CB$1)</f>
        <v>1</v>
      </c>
      <c r="CC36" s="117" t="n">
        <f aca="false">SUMIFS(الريسبي!$C$2:$C$1800,الريسبي!$A$2:$A$1800,$A36,الريسبي!$B$2:$B$1800,CC$1)</f>
        <v>0</v>
      </c>
      <c r="CD36" s="117" t="n">
        <f aca="false">SUMIFS(الريسبي!$C$2:$C$1800,الريسبي!$A$2:$A$1800,$A36,الريسبي!$B$2:$B$1800,CD$1)</f>
        <v>0</v>
      </c>
      <c r="CE36" s="117" t="n">
        <f aca="false">SUMIFS(الريسبي!$C$2:$C$1800,الريسبي!$A$2:$A$1800,$A36,الريسبي!$B$2:$B$1800,CE$1)</f>
        <v>0</v>
      </c>
      <c r="CF36" s="117" t="n">
        <f aca="false">SUMIFS(الريسبي!$C$2:$C$1800,الريسبي!$A$2:$A$1800,$A36,الريسبي!$B$2:$B$1800,CF$1)</f>
        <v>0</v>
      </c>
      <c r="CG36" s="117" t="n">
        <f aca="false">SUMIFS(الريسبي!$C$2:$C$1800,الريسبي!$A$2:$A$1800,$A36,الريسبي!$B$2:$B$1800,CG$1)</f>
        <v>0</v>
      </c>
      <c r="CH36" s="117" t="n">
        <f aca="false">SUMIFS(الريسبي!$C$2:$C$1800,الريسبي!$A$2:$A$1800,$A36,الريسبي!$B$2:$B$1800,CH$1)</f>
        <v>0</v>
      </c>
      <c r="CI36" s="117" t="n">
        <f aca="false">SUMIFS(الريسبي!$C$2:$C$1800,الريسبي!$A$2:$A$1800,$A36,الريسبي!$B$2:$B$1800,CI$1)</f>
        <v>0</v>
      </c>
      <c r="CJ36" s="117" t="n">
        <f aca="false">SUMIFS(الريسبي!$C$2:$C$1800,الريسبي!$A$2:$A$1800,$A36,الريسبي!$B$2:$B$1800,CJ$1)</f>
        <v>0</v>
      </c>
      <c r="CK36" s="117" t="n">
        <f aca="false">SUMIFS(الريسبي!$C$2:$C$1800,الريسبي!$A$2:$A$1800,$A36,الريسبي!$B$2:$B$1800,CK$1)</f>
        <v>0</v>
      </c>
      <c r="CL36" s="117" t="n">
        <f aca="false">SUMIFS(الريسبي!$C$2:$C$1800,الريسبي!$A$2:$A$1800,$A36,الريسبي!$B$2:$B$1800,CL$1)</f>
        <v>0</v>
      </c>
    </row>
    <row r="37" customFormat="false" ht="15" hidden="false" customHeight="false" outlineLevel="0" collapsed="false">
      <c r="A37" s="116" t="str">
        <f aca="false">المنيو!B37</f>
        <v>فطيرة فراخ كريسبي رانش حجم اكبر</v>
      </c>
      <c r="B37" s="117" t="n">
        <f aca="false">SUMIFS(الريسبي!$C$2:$C$1800,الريسبي!$A$2:$A$1800,$A37,الريسبي!$B$2:$B$1800,B$1)</f>
        <v>0</v>
      </c>
      <c r="C37" s="117" t="n">
        <f aca="false">SUMIFS(الريسبي!$C$2:$C$1800,الريسبي!$A$2:$A$1800,$A37,الريسبي!$B$2:$B$1800,C$1)</f>
        <v>0</v>
      </c>
      <c r="D37" s="117" t="n">
        <f aca="false">SUMIFS(الريسبي!$C$2:$C$1800,الريسبي!$A$2:$A$1800,$A37,الريسبي!$B$2:$B$1800,D$1)</f>
        <v>1</v>
      </c>
      <c r="E37" s="117" t="n">
        <f aca="false">SUMIFS(الريسبي!$C$2:$C$1800,الريسبي!$A$2:$A$1800,$A37,الريسبي!$B$2:$B$1800,E$1)</f>
        <v>0</v>
      </c>
      <c r="F37" s="117" t="n">
        <f aca="false">SUMIFS(الريسبي!$C$2:$C$1800,الريسبي!$A$2:$A$1800,$A37,الريسبي!$B$2:$B$1800,F$1)</f>
        <v>0</v>
      </c>
      <c r="G37" s="117" t="n">
        <f aca="false">SUMIFS(الريسبي!$C$2:$C$1800,الريسبي!$A$2:$A$1800,$A37,الريسبي!$B$2:$B$1800,G$1)</f>
        <v>0</v>
      </c>
      <c r="H37" s="117" t="n">
        <f aca="false">SUMIFS(الريسبي!$C$2:$C$1800,الريسبي!$A$2:$A$1800,$A37,الريسبي!$B$2:$B$1800,H$1)</f>
        <v>0</v>
      </c>
      <c r="I37" s="117" t="n">
        <f aca="false">SUMIFS(الريسبي!$C$2:$C$1800,الريسبي!$A$2:$A$1800,$A37,الريسبي!$B$2:$B$1800,I$1)</f>
        <v>0</v>
      </c>
      <c r="J37" s="117" t="n">
        <f aca="false">SUMIFS(الريسبي!$C$2:$C$1800,الريسبي!$A$2:$A$1800,$A37,الريسبي!$B$2:$B$1800,J$1)</f>
        <v>0</v>
      </c>
      <c r="K37" s="117" t="n">
        <f aca="false">SUMIFS(الريسبي!$C$2:$C$1800,الريسبي!$A$2:$A$1800,$A37,الريسبي!$B$2:$B$1800,K$1)</f>
        <v>0</v>
      </c>
      <c r="L37" s="117" t="n">
        <f aca="false">SUMIFS(الريسبي!$C$2:$C$1800,الريسبي!$A$2:$A$1800,$A37,الريسبي!$B$2:$B$1800,L$1)</f>
        <v>0</v>
      </c>
      <c r="M37" s="117" t="n">
        <f aca="false">SUMIFS(الريسبي!$C$2:$C$1800,الريسبي!$A$2:$A$1800,$A37,الريسبي!$B$2:$B$1800,M$1)</f>
        <v>0</v>
      </c>
      <c r="N37" s="117" t="n">
        <f aca="false">SUMIFS(الريسبي!$C$2:$C$1800,الريسبي!$A$2:$A$1800,$A37,الريسبي!$B$2:$B$1800,N$1)</f>
        <v>0</v>
      </c>
      <c r="O37" s="117" t="n">
        <f aca="false">SUMIFS(الريسبي!$C$2:$C$1800,الريسبي!$A$2:$A$1800,$A37,الريسبي!$B$2:$B$1800,O$1)</f>
        <v>0</v>
      </c>
      <c r="P37" s="117" t="n">
        <f aca="false">SUMIFS(الريسبي!$C$2:$C$1800,الريسبي!$A$2:$A$1800,$A37,الريسبي!$B$2:$B$1800,P$1)</f>
        <v>0</v>
      </c>
      <c r="Q37" s="117" t="n">
        <f aca="false">SUMIFS(الريسبي!$C$2:$C$1800,الريسبي!$A$2:$A$1800,$A37,الريسبي!$B$2:$B$1800,Q$1)</f>
        <v>0</v>
      </c>
      <c r="R37" s="117" t="n">
        <f aca="false">SUMIFS(الريسبي!$C$2:$C$1800,الريسبي!$A$2:$A$1800,$A37,الريسبي!$B$2:$B$1800,R$1)</f>
        <v>1</v>
      </c>
      <c r="S37" s="117" t="n">
        <f aca="false">SUMIFS(الريسبي!$C$2:$C$1800,الريسبي!$A$2:$A$1800,$A37,الريسبي!$B$2:$B$1800,S$1)</f>
        <v>0</v>
      </c>
      <c r="T37" s="117" t="n">
        <f aca="false">SUMIFS(الريسبي!$C$2:$C$1800,الريسبي!$A$2:$A$1800,$A37,الريسبي!$B$2:$B$1800,T$1)</f>
        <v>0</v>
      </c>
      <c r="U37" s="117" t="n">
        <f aca="false">SUMIFS(الريسبي!$C$2:$C$1800,الريسبي!$A$2:$A$1800,$A37,الريسبي!$B$2:$B$1800,U$1)</f>
        <v>0</v>
      </c>
      <c r="V37" s="117" t="n">
        <f aca="false">SUMIFS(الريسبي!$C$2:$C$1800,الريسبي!$A$2:$A$1800,$A37,الريسبي!$B$2:$B$1800,V$1)</f>
        <v>0</v>
      </c>
      <c r="W37" s="117" t="n">
        <f aca="false">SUMIFS(الريسبي!$C$2:$C$1800,الريسبي!$A$2:$A$1800,$A37,الريسبي!$B$2:$B$1800,W$1)</f>
        <v>0</v>
      </c>
      <c r="X37" s="117" t="n">
        <f aca="false">SUMIFS(الريسبي!$C$2:$C$1800,الريسبي!$A$2:$A$1800,$A37,الريسبي!$B$2:$B$1800,X$1)</f>
        <v>0</v>
      </c>
      <c r="Y37" s="117" t="n">
        <f aca="false">SUMIFS(الريسبي!$C$2:$C$1800,الريسبي!$A$2:$A$1800,$A37,الريسبي!$B$2:$B$1800,Y$1)</f>
        <v>1</v>
      </c>
      <c r="Z37" s="117" t="n">
        <f aca="false">SUMIFS(الريسبي!$C$2:$C$1800,الريسبي!$A$2:$A$1800,$A37,الريسبي!$B$2:$B$1800,Z$1)</f>
        <v>0</v>
      </c>
      <c r="AA37" s="117" t="n">
        <f aca="false">SUMIFS(الريسبي!$C$2:$C$1800,الريسبي!$A$2:$A$1800,$A37,الريسبي!$B$2:$B$1800,AA$1)</f>
        <v>0</v>
      </c>
      <c r="AB37" s="117" t="n">
        <f aca="false">SUMIFS(الريسبي!$C$2:$C$1800,الريسبي!$A$2:$A$1800,$A37,الريسبي!$B$2:$B$1800,AB$1)</f>
        <v>0</v>
      </c>
      <c r="AC37" s="117" t="n">
        <f aca="false">SUMIFS(الريسبي!$C$2:$C$1800,الريسبي!$A$2:$A$1800,$A37,الريسبي!$B$2:$B$1800,AC$1)</f>
        <v>0</v>
      </c>
      <c r="AD37" s="117" t="n">
        <f aca="false">SUMIFS(الريسبي!$C$2:$C$1800,الريسبي!$A$2:$A$1800,$A37,الريسبي!$B$2:$B$1800,AD$1)</f>
        <v>0</v>
      </c>
      <c r="AE37" s="117" t="n">
        <f aca="false">SUMIFS(الريسبي!$C$2:$C$1800,الريسبي!$A$2:$A$1800,$A37,الريسبي!$B$2:$B$1800,AE$1)</f>
        <v>0</v>
      </c>
      <c r="AF37" s="117" t="n">
        <f aca="false">SUMIFS(الريسبي!$C$2:$C$1800,الريسبي!$A$2:$A$1800,$A37,الريسبي!$B$2:$B$1800,AF$1)</f>
        <v>0</v>
      </c>
      <c r="AG37" s="117" t="n">
        <f aca="false">SUMIFS(الريسبي!$C$2:$C$1800,الريسبي!$A$2:$A$1800,$A37,الريسبي!$B$2:$B$1800,AG$1)</f>
        <v>0</v>
      </c>
      <c r="AH37" s="117" t="n">
        <f aca="false">SUMIFS(الريسبي!$C$2:$C$1800,الريسبي!$A$2:$A$1800,$A37,الريسبي!$B$2:$B$1800,AH$1)</f>
        <v>0</v>
      </c>
      <c r="AI37" s="117" t="n">
        <f aca="false">SUMIFS(الريسبي!$C$2:$C$1800,الريسبي!$A$2:$A$1800,$A37,الريسبي!$B$2:$B$1800,AI$1)</f>
        <v>0</v>
      </c>
      <c r="AJ37" s="117" t="n">
        <f aca="false">SUMIFS(الريسبي!$C$2:$C$1800,الريسبي!$A$2:$A$1800,$A37,الريسبي!$B$2:$B$1800,AJ$1)</f>
        <v>2</v>
      </c>
      <c r="AK37" s="117" t="n">
        <f aca="false">SUMIFS(الريسبي!$C$2:$C$1800,الريسبي!$A$2:$A$1800,$A37,الريسبي!$B$2:$B$1800,AK$1)</f>
        <v>0</v>
      </c>
      <c r="AL37" s="117" t="n">
        <f aca="false">SUMIFS(الريسبي!$C$2:$C$1800,الريسبي!$A$2:$A$1800,$A37,الريسبي!$B$2:$B$1800,AL$1)</f>
        <v>0</v>
      </c>
      <c r="AM37" s="117" t="n">
        <f aca="false">SUMIFS(الريسبي!$C$2:$C$1800,الريسبي!$A$2:$A$1800,$A37,الريسبي!$B$2:$B$1800,AM$1)+0.08333333333*SUMIFS(الريسبي!$C$2:$C$1800,الريسبي!$A$2:$A$1800,$A37,الريسبي!$B$2:$B$1800,"عجين كريب (مصنع بالمطعم)")+0.08333333333*SUMIFS(الريسبي!$C$2:$C$1800,الريسبي!$A$2:$A$1800,$A37,الريسبي!$B$2:$B$1800,"عجين كريب صيامي (بدون لبن)")</f>
        <v>0</v>
      </c>
      <c r="AN37" s="117" t="n">
        <f aca="false">SUMIFS(الريسبي!$C$2:$C$1800,الريسبي!$A$2:$A$1800,$A37,الريسبي!$B$2:$B$1800,AN$1)+0.004166666667*SUMIFS(الريسبي!$C$2:$C$1800,الريسبي!$A$2:$A$1800,$A37,الريسبي!$B$2:$B$1800,"عجين كريب (مصنع بالمطعم)")+0.004166666667*SUMIFS(الريسبي!$C$2:$C$1800,الريسبي!$A$2:$A$1800,$A37,الريسبي!$B$2:$B$1800,"عجين كريب صيامي (بدون لبن)")</f>
        <v>0</v>
      </c>
      <c r="AO37" s="117" t="n">
        <f aca="false">SUMIFS(الريسبي!$C$2:$C$1800,الريسبي!$A$2:$A$1800,$A37,الريسبي!$B$2:$B$1800,AO$1)</f>
        <v>0</v>
      </c>
      <c r="AP37" s="117" t="n">
        <f aca="false">SUMIFS(الريسبي!$C$2:$C$1800,الريسبي!$A$2:$A$1800,$A37,الريسبي!$B$2:$B$1800,AP$1)</f>
        <v>0.03</v>
      </c>
      <c r="AQ37" s="117" t="n">
        <f aca="false">SUMIFS(الريسبي!$C$2:$C$1800,الريسبي!$A$2:$A$1800,$A37,الريسبي!$B$2:$B$1800,AQ$1)+0.004166666667*SUMIFS(الريسبي!$C$2:$C$1800,الريسبي!$A$2:$A$1800,$A37,الريسبي!$B$2:$B$1800,"عجين كريب (مصنع بالمطعم)")+0.004166666667*SUMIFS(الريسبي!$C$2:$C$1800,الريسبي!$A$2:$A$1800,$A37,الريسبي!$B$2:$B$1800,"عجين كريب صيامي (بدون لبن)")</f>
        <v>0</v>
      </c>
      <c r="AR37" s="117" t="n">
        <f aca="false">SUMIFS(الريسبي!$C$2:$C$1800,الريسبي!$A$2:$A$1800,$A37,الريسبي!$B$2:$B$1800,AR$1)</f>
        <v>0</v>
      </c>
      <c r="AS37" s="117" t="n">
        <f aca="false">SUMIFS(الريسبي!$C$2:$C$1800,الريسبي!$A$2:$A$1800,$A37,الريسبي!$B$2:$B$1800,AS$1)</f>
        <v>0</v>
      </c>
      <c r="AT37" s="117" t="n">
        <f aca="false">SUMIFS(الريسبي!$C$2:$C$1800,الريسبي!$A$2:$A$1800,$A37,الريسبي!$B$2:$B$1800,AT$1)</f>
        <v>0</v>
      </c>
      <c r="AU37" s="117" t="n">
        <f aca="false">SUMIFS(الريسبي!$C$2:$C$1800,الريسبي!$A$2:$A$1800,$A37,الريسبي!$B$2:$B$1800,AU$1)</f>
        <v>0</v>
      </c>
      <c r="AV37" s="117" t="n">
        <f aca="false">SUMIFS(الريسبي!$C$2:$C$1800,الريسبي!$A$2:$A$1800,$A37,الريسبي!$B$2:$B$1800,AV$1)</f>
        <v>0</v>
      </c>
      <c r="AW37" s="117" t="n">
        <f aca="false">SUMIFS(الريسبي!$C$2:$C$1800,الريسبي!$A$2:$A$1800,$A37,الريسبي!$B$2:$B$1800,AW$1)</f>
        <v>0</v>
      </c>
      <c r="AX37" s="117" t="n">
        <f aca="false">SUMIFS(الريسبي!$C$2:$C$1800,الريسبي!$A$2:$A$1800,$A37,الريسبي!$B$2:$B$1800,AX$1)</f>
        <v>0</v>
      </c>
      <c r="AY37" s="117" t="n">
        <f aca="false">SUMIFS(الريسبي!$C$2:$C$1800,الريسبي!$A$2:$A$1800,$A37,الريسبي!$B$2:$B$1800,AY$1)</f>
        <v>0</v>
      </c>
      <c r="AZ37" s="117" t="n">
        <f aca="false">SUMIFS(الريسبي!$C$2:$C$1800,الريسبي!$A$2:$A$1800,$A37,الريسبي!$B$2:$B$1800,AZ$1)</f>
        <v>0</v>
      </c>
      <c r="BA37" s="117" t="n">
        <f aca="false">SUMIFS(الريسبي!$C$2:$C$1800,الريسبي!$A$2:$A$1800,$A37,الريسبي!$B$2:$B$1800,BA$1)</f>
        <v>0.15</v>
      </c>
      <c r="BB37" s="117" t="n">
        <f aca="false">SUMIFS(الريسبي!$C$2:$C$1800,الريسبي!$A$2:$A$1800,$A37,الريسبي!$B$2:$B$1800,BB$1)</f>
        <v>0</v>
      </c>
      <c r="BC37" s="117" t="n">
        <f aca="false">SUMIFS(الريسبي!$C$2:$C$1800,الريسبي!$A$2:$A$1800,$A37,الريسبي!$B$2:$B$1800,BC$1)</f>
        <v>0.045</v>
      </c>
      <c r="BD37" s="117" t="n">
        <f aca="false">SUMIFS(الريسبي!$C$2:$C$1800,الريسبي!$A$2:$A$1800,$A37,الريسبي!$B$2:$B$1800,BD$1)</f>
        <v>0</v>
      </c>
      <c r="BE37" s="117" t="n">
        <f aca="false">SUMIFS(الريسبي!$C$2:$C$1800,الريسبي!$A$2:$A$1800,$A37,الريسبي!$B$2:$B$1800,BE$1)</f>
        <v>1.5</v>
      </c>
      <c r="BF37" s="117" t="n">
        <f aca="false">SUMIFS(الريسبي!$C$2:$C$1800,الريسبي!$A$2:$A$1800,$A37,الريسبي!$B$2:$B$1800,BF$1)</f>
        <v>0</v>
      </c>
      <c r="BG37" s="117" t="n">
        <f aca="false">SUMIFS(الريسبي!$C$2:$C$1800,الريسبي!$A$2:$A$1800,$A37,الريسبي!$B$2:$B$1800,BG$1)</f>
        <v>1</v>
      </c>
      <c r="BH37" s="117" t="n">
        <f aca="false">SUMIFS(الريسبي!$C$2:$C$1800,الريسبي!$A$2:$A$1800,$A37,الريسبي!$B$2:$B$1800,BH$1)</f>
        <v>0</v>
      </c>
      <c r="BI37" s="117" t="n">
        <f aca="false">SUMIFS(الريسبي!$C$2:$C$1800,الريسبي!$A$2:$A$1800,$A37,الريسبي!$B$2:$B$1800,BI$1)</f>
        <v>0</v>
      </c>
      <c r="BJ37" s="117" t="n">
        <f aca="false">SUMIFS(الريسبي!$C$2:$C$1800,الريسبي!$A$2:$A$1800,$A37,الريسبي!$B$2:$B$1800,BJ$1)</f>
        <v>0</v>
      </c>
      <c r="BK37" s="117" t="n">
        <f aca="false">SUMIFS(الريسبي!$C$2:$C$1800,الريسبي!$A$2:$A$1800,$A37,الريسبي!$B$2:$B$1800,BK$1)</f>
        <v>0</v>
      </c>
      <c r="BL37" s="117" t="n">
        <f aca="false">SUMIFS(الريسبي!$C$2:$C$1800,الريسبي!$A$2:$A$1800,$A37,الريسبي!$B$2:$B$1800,BL$1)</f>
        <v>0</v>
      </c>
      <c r="BM37" s="117" t="n">
        <f aca="false">SUMIFS(الريسبي!$C$2:$C$1800,الريسبي!$A$2:$A$1800,$A37,الريسبي!$B$2:$B$1800,BM$1)</f>
        <v>0</v>
      </c>
      <c r="BN37" s="117" t="n">
        <f aca="false">SUMIFS(الريسبي!$C$2:$C$1800,الريسبي!$A$2:$A$1800,$A37,الريسبي!$B$2:$B$1800,BN$1)</f>
        <v>0.03</v>
      </c>
      <c r="BO37" s="117" t="n">
        <f aca="false">SUMIFS(الريسبي!$C$2:$C$1800,الريسبي!$A$2:$A$1800,$A37,الريسبي!$B$2:$B$1800,BO$1)</f>
        <v>0</v>
      </c>
      <c r="BP37" s="117" t="n">
        <f aca="false">SUMIFS(الريسبي!$C$2:$C$1800,الريسبي!$A$2:$A$1800,$A37,الريسبي!$B$2:$B$1800,BP$1)</f>
        <v>3</v>
      </c>
      <c r="BQ37" s="117" t="n">
        <f aca="false">SUMIFS(الريسبي!$C$2:$C$1800,الريسبي!$A$2:$A$1800,$A37,الريسبي!$B$2:$B$1800,BQ$1)+0.17*SUMIFS(الريسبي!$C$2:$C$1800,الريسبي!$A$2:$A$1800,$A37,الريسبي!$B$2:$B$1800,"كاسترد مصنع (خليط بودر + لبن)")+0.17*SUMIFS(الريسبي!$C$2:$C$1800,الريسبي!$A$2:$A$1800,$A37,الريسبي!$B$2:$B$1800,"كاسترد مصنع صيامي (بدون لبن)")</f>
        <v>0</v>
      </c>
      <c r="BR37" s="117" t="n">
        <f aca="false">SUMIFS(الريسبي!$C$2:$C$1800,الريسبي!$A$2:$A$1800,$A37,الريسبي!$B$2:$B$1800,BR$1)</f>
        <v>1</v>
      </c>
      <c r="BS37" s="117" t="n">
        <f aca="false">SUMIFS(الريسبي!$C$2:$C$1800,الريسبي!$A$2:$A$1800,$A37,الريسبي!$B$2:$B$1800,BS$1)</f>
        <v>0</v>
      </c>
      <c r="BT37" s="117" t="n">
        <f aca="false">SUMIFS(الريسبي!$C$2:$C$1800,الريسبي!$A$2:$A$1800,$A37,الريسبي!$B$2:$B$1800,BT$1)</f>
        <v>0</v>
      </c>
      <c r="BU37" s="117" t="n">
        <f aca="false">SUMIFS(الريسبي!$C$2:$C$1800,الريسبي!$A$2:$A$1800,$A37,الريسبي!$B$2:$B$1800,BU$1)+0.4*SUMIFS(الريسبي!$C$2:$C$1800,الريسبي!$A$2:$A$1800,$A37,الريسبي!$B$2:$B$1800,"كاسترد مصنع (خليط بودر + لبن)")+0.03333333333*SUMIFS(الريسبي!$C$2:$C$1800,الريسبي!$A$2:$A$1800,$A37,الريسبي!$B$2:$B$1800,"عجين كريب (مصنع بالمطعم)")</f>
        <v>0</v>
      </c>
      <c r="BV37" s="117" t="n">
        <f aca="false">SUMIFS(الريسبي!$C$2:$C$1800,الريسبي!$A$2:$A$1800,$A37,الريسبي!$B$2:$B$1800,BV$1)</f>
        <v>0</v>
      </c>
      <c r="BW37" s="117" t="n">
        <f aca="false">SUMIFS(الريسبي!$C$2:$C$1800,الريسبي!$A$2:$A$1800,$A37,الريسبي!$B$2:$B$1800,BW$1)</f>
        <v>0</v>
      </c>
      <c r="BX37" s="117" t="n">
        <f aca="false">SUMIFS(الريسبي!$C$2:$C$1800,الريسبي!$A$2:$A$1800,$A37,الريسبي!$B$2:$B$1800,BX$1)</f>
        <v>0</v>
      </c>
      <c r="BY37" s="117" t="n">
        <f aca="false">SUMIFS(الريسبي!$C$2:$C$1800,الريسبي!$A$2:$A$1800,$A37,الريسبي!$B$2:$B$1800,BY$1)</f>
        <v>0</v>
      </c>
      <c r="BZ37" s="117" t="n">
        <f aca="false">SUMIFS(الريسبي!$C$2:$C$1800,الريسبي!$A$2:$A$1800,$A37,الريسبي!$B$2:$B$1800,BZ$1)</f>
        <v>0</v>
      </c>
      <c r="CA37" s="117" t="n">
        <f aca="false">SUMIFS(الريسبي!$C$2:$C$1800,الريسبي!$A$2:$A$1800,$A37,الريسبي!$B$2:$B$1800,CA$1)</f>
        <v>1</v>
      </c>
      <c r="CB37" s="117" t="n">
        <f aca="false">SUMIFS(الريسبي!$C$2:$C$1800,الريسبي!$A$2:$A$1800,$A37,الريسبي!$B$2:$B$1800,CB$1)</f>
        <v>1</v>
      </c>
      <c r="CC37" s="117" t="n">
        <f aca="false">SUMIFS(الريسبي!$C$2:$C$1800,الريسبي!$A$2:$A$1800,$A37,الريسبي!$B$2:$B$1800,CC$1)</f>
        <v>0</v>
      </c>
      <c r="CD37" s="117" t="n">
        <f aca="false">SUMIFS(الريسبي!$C$2:$C$1800,الريسبي!$A$2:$A$1800,$A37,الريسبي!$B$2:$B$1800,CD$1)</f>
        <v>0</v>
      </c>
      <c r="CE37" s="117" t="n">
        <f aca="false">SUMIFS(الريسبي!$C$2:$C$1800,الريسبي!$A$2:$A$1800,$A37,الريسبي!$B$2:$B$1800,CE$1)</f>
        <v>0</v>
      </c>
      <c r="CF37" s="117" t="n">
        <f aca="false">SUMIFS(الريسبي!$C$2:$C$1800,الريسبي!$A$2:$A$1800,$A37,الريسبي!$B$2:$B$1800,CF$1)</f>
        <v>0</v>
      </c>
      <c r="CG37" s="117" t="n">
        <f aca="false">SUMIFS(الريسبي!$C$2:$C$1800,الريسبي!$A$2:$A$1800,$A37,الريسبي!$B$2:$B$1800,CG$1)</f>
        <v>0</v>
      </c>
      <c r="CH37" s="117" t="n">
        <f aca="false">SUMIFS(الريسبي!$C$2:$C$1800,الريسبي!$A$2:$A$1800,$A37,الريسبي!$B$2:$B$1800,CH$1)</f>
        <v>0</v>
      </c>
      <c r="CI37" s="117" t="n">
        <f aca="false">SUMIFS(الريسبي!$C$2:$C$1800,الريسبي!$A$2:$A$1800,$A37,الريسبي!$B$2:$B$1800,CI$1)</f>
        <v>0</v>
      </c>
      <c r="CJ37" s="117" t="n">
        <f aca="false">SUMIFS(الريسبي!$C$2:$C$1800,الريسبي!$A$2:$A$1800,$A37,الريسبي!$B$2:$B$1800,CJ$1)</f>
        <v>0</v>
      </c>
      <c r="CK37" s="117" t="n">
        <f aca="false">SUMIFS(الريسبي!$C$2:$C$1800,الريسبي!$A$2:$A$1800,$A37,الريسبي!$B$2:$B$1800,CK$1)</f>
        <v>0</v>
      </c>
      <c r="CL37" s="117" t="n">
        <f aca="false">SUMIFS(الريسبي!$C$2:$C$1800,الريسبي!$A$2:$A$1800,$A37,الريسبي!$B$2:$B$1800,CL$1)</f>
        <v>0</v>
      </c>
    </row>
    <row r="38" customFormat="false" ht="15" hidden="false" customHeight="false" outlineLevel="0" collapsed="false">
      <c r="A38" s="116" t="str">
        <f aca="false">المنيو!B38</f>
        <v>فطيرة فراخ كريسبي شيدر وسط</v>
      </c>
      <c r="B38" s="117" t="n">
        <f aca="false">SUMIFS(الريسبي!$C$2:$C$1800,الريسبي!$A$2:$A$1800,$A38,الريسبي!$B$2:$B$1800,B$1)</f>
        <v>0</v>
      </c>
      <c r="C38" s="117" t="n">
        <f aca="false">SUMIFS(الريسبي!$C$2:$C$1800,الريسبي!$A$2:$A$1800,$A38,الريسبي!$B$2:$B$1800,C$1)</f>
        <v>0</v>
      </c>
      <c r="D38" s="117" t="n">
        <f aca="false">SUMIFS(الريسبي!$C$2:$C$1800,الريسبي!$A$2:$A$1800,$A38,الريسبي!$B$2:$B$1800,D$1)</f>
        <v>1</v>
      </c>
      <c r="E38" s="117" t="n">
        <f aca="false">SUMIFS(الريسبي!$C$2:$C$1800,الريسبي!$A$2:$A$1800,$A38,الريسبي!$B$2:$B$1800,E$1)</f>
        <v>0</v>
      </c>
      <c r="F38" s="117" t="n">
        <f aca="false">SUMIFS(الريسبي!$C$2:$C$1800,الريسبي!$A$2:$A$1800,$A38,الريسبي!$B$2:$B$1800,F$1)</f>
        <v>0</v>
      </c>
      <c r="G38" s="117" t="n">
        <f aca="false">SUMIFS(الريسبي!$C$2:$C$1800,الريسبي!$A$2:$A$1800,$A38,الريسبي!$B$2:$B$1800,G$1)</f>
        <v>0</v>
      </c>
      <c r="H38" s="117" t="n">
        <f aca="false">SUMIFS(الريسبي!$C$2:$C$1800,الريسبي!$A$2:$A$1800,$A38,الريسبي!$B$2:$B$1800,H$1)</f>
        <v>0</v>
      </c>
      <c r="I38" s="117" t="n">
        <f aca="false">SUMIFS(الريسبي!$C$2:$C$1800,الريسبي!$A$2:$A$1800,$A38,الريسبي!$B$2:$B$1800,I$1)</f>
        <v>0</v>
      </c>
      <c r="J38" s="117" t="n">
        <f aca="false">SUMIFS(الريسبي!$C$2:$C$1800,الريسبي!$A$2:$A$1800,$A38,الريسبي!$B$2:$B$1800,J$1)</f>
        <v>0</v>
      </c>
      <c r="K38" s="117" t="n">
        <f aca="false">SUMIFS(الريسبي!$C$2:$C$1800,الريسبي!$A$2:$A$1800,$A38,الريسبي!$B$2:$B$1800,K$1)</f>
        <v>0</v>
      </c>
      <c r="L38" s="117" t="n">
        <f aca="false">SUMIFS(الريسبي!$C$2:$C$1800,الريسبي!$A$2:$A$1800,$A38,الريسبي!$B$2:$B$1800,L$1)</f>
        <v>0</v>
      </c>
      <c r="M38" s="117" t="n">
        <f aca="false">SUMIFS(الريسبي!$C$2:$C$1800,الريسبي!$A$2:$A$1800,$A38,الريسبي!$B$2:$B$1800,M$1)</f>
        <v>0</v>
      </c>
      <c r="N38" s="117" t="n">
        <f aca="false">SUMIFS(الريسبي!$C$2:$C$1800,الريسبي!$A$2:$A$1800,$A38,الريسبي!$B$2:$B$1800,N$1)</f>
        <v>0</v>
      </c>
      <c r="O38" s="117" t="n">
        <f aca="false">SUMIFS(الريسبي!$C$2:$C$1800,الريسبي!$A$2:$A$1800,$A38,الريسبي!$B$2:$B$1800,O$1)</f>
        <v>0</v>
      </c>
      <c r="P38" s="117" t="n">
        <f aca="false">SUMIFS(الريسبي!$C$2:$C$1800,الريسبي!$A$2:$A$1800,$A38,الريسبي!$B$2:$B$1800,P$1)</f>
        <v>0</v>
      </c>
      <c r="Q38" s="117" t="n">
        <f aca="false">SUMIFS(الريسبي!$C$2:$C$1800,الريسبي!$A$2:$A$1800,$A38,الريسبي!$B$2:$B$1800,Q$1)</f>
        <v>1</v>
      </c>
      <c r="R38" s="117" t="n">
        <f aca="false">SUMIFS(الريسبي!$C$2:$C$1800,الريسبي!$A$2:$A$1800,$A38,الريسبي!$B$2:$B$1800,R$1)</f>
        <v>0</v>
      </c>
      <c r="S38" s="117" t="n">
        <f aca="false">SUMIFS(الريسبي!$C$2:$C$1800,الريسبي!$A$2:$A$1800,$A38,الريسبي!$B$2:$B$1800,S$1)</f>
        <v>0</v>
      </c>
      <c r="T38" s="117" t="n">
        <f aca="false">SUMIFS(الريسبي!$C$2:$C$1800,الريسبي!$A$2:$A$1800,$A38,الريسبي!$B$2:$B$1800,T$1)</f>
        <v>0</v>
      </c>
      <c r="U38" s="117" t="n">
        <f aca="false">SUMIFS(الريسبي!$C$2:$C$1800,الريسبي!$A$2:$A$1800,$A38,الريسبي!$B$2:$B$1800,U$1)</f>
        <v>0</v>
      </c>
      <c r="V38" s="117" t="n">
        <f aca="false">SUMIFS(الريسبي!$C$2:$C$1800,الريسبي!$A$2:$A$1800,$A38,الريسبي!$B$2:$B$1800,V$1)</f>
        <v>0</v>
      </c>
      <c r="W38" s="117" t="n">
        <f aca="false">SUMIFS(الريسبي!$C$2:$C$1800,الريسبي!$A$2:$A$1800,$A38,الريسبي!$B$2:$B$1800,W$1)</f>
        <v>0</v>
      </c>
      <c r="X38" s="117" t="n">
        <f aca="false">SUMIFS(الريسبي!$C$2:$C$1800,الريسبي!$A$2:$A$1800,$A38,الريسبي!$B$2:$B$1800,X$1)</f>
        <v>1</v>
      </c>
      <c r="Y38" s="117" t="n">
        <f aca="false">SUMIFS(الريسبي!$C$2:$C$1800,الريسبي!$A$2:$A$1800,$A38,الريسبي!$B$2:$B$1800,Y$1)</f>
        <v>0</v>
      </c>
      <c r="Z38" s="117" t="n">
        <f aca="false">SUMIFS(الريسبي!$C$2:$C$1800,الريسبي!$A$2:$A$1800,$A38,الريسبي!$B$2:$B$1800,Z$1)</f>
        <v>0</v>
      </c>
      <c r="AA38" s="117" t="n">
        <f aca="false">SUMIFS(الريسبي!$C$2:$C$1800,الريسبي!$A$2:$A$1800,$A38,الريسبي!$B$2:$B$1800,AA$1)</f>
        <v>0</v>
      </c>
      <c r="AB38" s="117" t="n">
        <f aca="false">SUMIFS(الريسبي!$C$2:$C$1800,الريسبي!$A$2:$A$1800,$A38,الريسبي!$B$2:$B$1800,AB$1)</f>
        <v>0</v>
      </c>
      <c r="AC38" s="117" t="n">
        <f aca="false">SUMIFS(الريسبي!$C$2:$C$1800,الريسبي!$A$2:$A$1800,$A38,الريسبي!$B$2:$B$1800,AC$1)</f>
        <v>0</v>
      </c>
      <c r="AD38" s="117" t="n">
        <f aca="false">SUMIFS(الريسبي!$C$2:$C$1800,الريسبي!$A$2:$A$1800,$A38,الريسبي!$B$2:$B$1800,AD$1)</f>
        <v>0</v>
      </c>
      <c r="AE38" s="117" t="n">
        <f aca="false">SUMIFS(الريسبي!$C$2:$C$1800,الريسبي!$A$2:$A$1800,$A38,الريسبي!$B$2:$B$1800,AE$1)</f>
        <v>0</v>
      </c>
      <c r="AF38" s="117" t="n">
        <f aca="false">SUMIFS(الريسبي!$C$2:$C$1800,الريسبي!$A$2:$A$1800,$A38,الريسبي!$B$2:$B$1800,AF$1)</f>
        <v>0</v>
      </c>
      <c r="AG38" s="117" t="n">
        <f aca="false">SUMIFS(الريسبي!$C$2:$C$1800,الريسبي!$A$2:$A$1800,$A38,الريسبي!$B$2:$B$1800,AG$1)</f>
        <v>0</v>
      </c>
      <c r="AH38" s="117" t="n">
        <f aca="false">SUMIFS(الريسبي!$C$2:$C$1800,الريسبي!$A$2:$A$1800,$A38,الريسبي!$B$2:$B$1800,AH$1)</f>
        <v>0</v>
      </c>
      <c r="AI38" s="117" t="n">
        <f aca="false">SUMIFS(الريسبي!$C$2:$C$1800,الريسبي!$A$2:$A$1800,$A38,الريسبي!$B$2:$B$1800,AI$1)</f>
        <v>0</v>
      </c>
      <c r="AJ38" s="117" t="n">
        <f aca="false">SUMIFS(الريسبي!$C$2:$C$1800,الريسبي!$A$2:$A$1800,$A38,الريسبي!$B$2:$B$1800,AJ$1)</f>
        <v>2</v>
      </c>
      <c r="AK38" s="117" t="n">
        <f aca="false">SUMIFS(الريسبي!$C$2:$C$1800,الريسبي!$A$2:$A$1800,$A38,الريسبي!$B$2:$B$1800,AK$1)</f>
        <v>0</v>
      </c>
      <c r="AL38" s="117" t="n">
        <f aca="false">SUMIFS(الريسبي!$C$2:$C$1800,الريسبي!$A$2:$A$1800,$A38,الريسبي!$B$2:$B$1800,AL$1)</f>
        <v>0</v>
      </c>
      <c r="AM38" s="117" t="n">
        <f aca="false">SUMIFS(الريسبي!$C$2:$C$1800,الريسبي!$A$2:$A$1800,$A38,الريسبي!$B$2:$B$1800,AM$1)+0.08333333333*SUMIFS(الريسبي!$C$2:$C$1800,الريسبي!$A$2:$A$1800,$A38,الريسبي!$B$2:$B$1800,"عجين كريب (مصنع بالمطعم)")+0.08333333333*SUMIFS(الريسبي!$C$2:$C$1800,الريسبي!$A$2:$A$1800,$A38,الريسبي!$B$2:$B$1800,"عجين كريب صيامي (بدون لبن)")</f>
        <v>0</v>
      </c>
      <c r="AN38" s="117" t="n">
        <f aca="false">SUMIFS(الريسبي!$C$2:$C$1800,الريسبي!$A$2:$A$1800,$A38,الريسبي!$B$2:$B$1800,AN$1)+0.004166666667*SUMIFS(الريسبي!$C$2:$C$1800,الريسبي!$A$2:$A$1800,$A38,الريسبي!$B$2:$B$1800,"عجين كريب (مصنع بالمطعم)")+0.004166666667*SUMIFS(الريسبي!$C$2:$C$1800,الريسبي!$A$2:$A$1800,$A38,الريسبي!$B$2:$B$1800,"عجين كريب صيامي (بدون لبن)")</f>
        <v>0</v>
      </c>
      <c r="AO38" s="117" t="n">
        <f aca="false">SUMIFS(الريسبي!$C$2:$C$1800,الريسبي!$A$2:$A$1800,$A38,الريسبي!$B$2:$B$1800,AO$1)</f>
        <v>0</v>
      </c>
      <c r="AP38" s="117" t="n">
        <f aca="false">SUMIFS(الريسبي!$C$2:$C$1800,الريسبي!$A$2:$A$1800,$A38,الريسبي!$B$2:$B$1800,AP$1)</f>
        <v>0.02</v>
      </c>
      <c r="AQ38" s="117" t="n">
        <f aca="false">SUMIFS(الريسبي!$C$2:$C$1800,الريسبي!$A$2:$A$1800,$A38,الريسبي!$B$2:$B$1800,AQ$1)+0.004166666667*SUMIFS(الريسبي!$C$2:$C$1800,الريسبي!$A$2:$A$1800,$A38,الريسبي!$B$2:$B$1800,"عجين كريب (مصنع بالمطعم)")+0.004166666667*SUMIFS(الريسبي!$C$2:$C$1800,الريسبي!$A$2:$A$1800,$A38,الريسبي!$B$2:$B$1800,"عجين كريب صيامي (بدون لبن)")</f>
        <v>0</v>
      </c>
      <c r="AR38" s="117" t="n">
        <f aca="false">SUMIFS(الريسبي!$C$2:$C$1800,الريسبي!$A$2:$A$1800,$A38,الريسبي!$B$2:$B$1800,AR$1)</f>
        <v>0</v>
      </c>
      <c r="AS38" s="117" t="n">
        <f aca="false">SUMIFS(الريسبي!$C$2:$C$1800,الريسبي!$A$2:$A$1800,$A38,الريسبي!$B$2:$B$1800,AS$1)</f>
        <v>0</v>
      </c>
      <c r="AT38" s="117" t="n">
        <f aca="false">SUMIFS(الريسبي!$C$2:$C$1800,الريسبي!$A$2:$A$1800,$A38,الريسبي!$B$2:$B$1800,AT$1)</f>
        <v>0</v>
      </c>
      <c r="AU38" s="117" t="n">
        <f aca="false">SUMIFS(الريسبي!$C$2:$C$1800,الريسبي!$A$2:$A$1800,$A38,الريسبي!$B$2:$B$1800,AU$1)</f>
        <v>0</v>
      </c>
      <c r="AV38" s="117" t="n">
        <f aca="false">SUMIFS(الريسبي!$C$2:$C$1800,الريسبي!$A$2:$A$1800,$A38,الريسبي!$B$2:$B$1800,AV$1)</f>
        <v>0</v>
      </c>
      <c r="AW38" s="117" t="n">
        <f aca="false">SUMIFS(الريسبي!$C$2:$C$1800,الريسبي!$A$2:$A$1800,$A38,الريسبي!$B$2:$B$1800,AW$1)</f>
        <v>0</v>
      </c>
      <c r="AX38" s="117" t="n">
        <f aca="false">SUMIFS(الريسبي!$C$2:$C$1800,الريسبي!$A$2:$A$1800,$A38,الريسبي!$B$2:$B$1800,AX$1)</f>
        <v>0</v>
      </c>
      <c r="AY38" s="117" t="n">
        <f aca="false">SUMIFS(الريسبي!$C$2:$C$1800,الريسبي!$A$2:$A$1800,$A38,الريسبي!$B$2:$B$1800,AY$1)</f>
        <v>0</v>
      </c>
      <c r="AZ38" s="117" t="n">
        <f aca="false">SUMIFS(الريسبي!$C$2:$C$1800,الريسبي!$A$2:$A$1800,$A38,الريسبي!$B$2:$B$1800,AZ$1)</f>
        <v>0</v>
      </c>
      <c r="BA38" s="117" t="n">
        <f aca="false">SUMIFS(الريسبي!$C$2:$C$1800,الريسبي!$A$2:$A$1800,$A38,الريسبي!$B$2:$B$1800,BA$1)</f>
        <v>0</v>
      </c>
      <c r="BB38" s="117" t="n">
        <f aca="false">SUMIFS(الريسبي!$C$2:$C$1800,الريسبي!$A$2:$A$1800,$A38,الريسبي!$B$2:$B$1800,BB$1)</f>
        <v>0.1</v>
      </c>
      <c r="BC38" s="117" t="n">
        <f aca="false">SUMIFS(الريسبي!$C$2:$C$1800,الريسبي!$A$2:$A$1800,$A38,الريسبي!$B$2:$B$1800,BC$1)</f>
        <v>0.03</v>
      </c>
      <c r="BD38" s="117" t="n">
        <f aca="false">SUMIFS(الريسبي!$C$2:$C$1800,الريسبي!$A$2:$A$1800,$A38,الريسبي!$B$2:$B$1800,BD$1)</f>
        <v>0</v>
      </c>
      <c r="BE38" s="117" t="n">
        <f aca="false">SUMIFS(الريسبي!$C$2:$C$1800,الريسبي!$A$2:$A$1800,$A38,الريسبي!$B$2:$B$1800,BE$1)</f>
        <v>1</v>
      </c>
      <c r="BF38" s="117" t="n">
        <f aca="false">SUMIFS(الريسبي!$C$2:$C$1800,الريسبي!$A$2:$A$1800,$A38,الريسبي!$B$2:$B$1800,BF$1)</f>
        <v>0</v>
      </c>
      <c r="BG38" s="117" t="n">
        <f aca="false">SUMIFS(الريسبي!$C$2:$C$1800,الريسبي!$A$2:$A$1800,$A38,الريسبي!$B$2:$B$1800,BG$1)</f>
        <v>0</v>
      </c>
      <c r="BH38" s="117" t="n">
        <f aca="false">SUMIFS(الريسبي!$C$2:$C$1800,الريسبي!$A$2:$A$1800,$A38,الريسبي!$B$2:$B$1800,BH$1)</f>
        <v>1</v>
      </c>
      <c r="BI38" s="117" t="n">
        <f aca="false">SUMIFS(الريسبي!$C$2:$C$1800,الريسبي!$A$2:$A$1800,$A38,الريسبي!$B$2:$B$1800,BI$1)</f>
        <v>0</v>
      </c>
      <c r="BJ38" s="117" t="n">
        <f aca="false">SUMIFS(الريسبي!$C$2:$C$1800,الريسبي!$A$2:$A$1800,$A38,الريسبي!$B$2:$B$1800,BJ$1)</f>
        <v>0</v>
      </c>
      <c r="BK38" s="117" t="n">
        <f aca="false">SUMIFS(الريسبي!$C$2:$C$1800,الريسبي!$A$2:$A$1800,$A38,الريسبي!$B$2:$B$1800,BK$1)</f>
        <v>0</v>
      </c>
      <c r="BL38" s="117" t="n">
        <f aca="false">SUMIFS(الريسبي!$C$2:$C$1800,الريسبي!$A$2:$A$1800,$A38,الريسبي!$B$2:$B$1800,BL$1)</f>
        <v>0</v>
      </c>
      <c r="BM38" s="117" t="n">
        <f aca="false">SUMIFS(الريسبي!$C$2:$C$1800,الريسبي!$A$2:$A$1800,$A38,الريسبي!$B$2:$B$1800,BM$1)</f>
        <v>0</v>
      </c>
      <c r="BN38" s="117" t="n">
        <f aca="false">SUMIFS(الريسبي!$C$2:$C$1800,الريسبي!$A$2:$A$1800,$A38,الريسبي!$B$2:$B$1800,BN$1)</f>
        <v>0.02</v>
      </c>
      <c r="BO38" s="117" t="n">
        <f aca="false">SUMIFS(الريسبي!$C$2:$C$1800,الريسبي!$A$2:$A$1800,$A38,الريسبي!$B$2:$B$1800,BO$1)</f>
        <v>0</v>
      </c>
      <c r="BP38" s="117" t="n">
        <f aca="false">SUMIFS(الريسبي!$C$2:$C$1800,الريسبي!$A$2:$A$1800,$A38,الريسبي!$B$2:$B$1800,BP$1)</f>
        <v>2</v>
      </c>
      <c r="BQ38" s="117" t="n">
        <f aca="false">SUMIFS(الريسبي!$C$2:$C$1800,الريسبي!$A$2:$A$1800,$A38,الريسبي!$B$2:$B$1800,BQ$1)+0.17*SUMIFS(الريسبي!$C$2:$C$1800,الريسبي!$A$2:$A$1800,$A38,الريسبي!$B$2:$B$1800,"كاسترد مصنع (خليط بودر + لبن)")+0.17*SUMIFS(الريسبي!$C$2:$C$1800,الريسبي!$A$2:$A$1800,$A38,الريسبي!$B$2:$B$1800,"كاسترد مصنع صيامي (بدون لبن)")</f>
        <v>0</v>
      </c>
      <c r="BR38" s="117" t="n">
        <f aca="false">SUMIFS(الريسبي!$C$2:$C$1800,الريسبي!$A$2:$A$1800,$A38,الريسبي!$B$2:$B$1800,BR$1)</f>
        <v>1</v>
      </c>
      <c r="BS38" s="117" t="n">
        <f aca="false">SUMIFS(الريسبي!$C$2:$C$1800,الريسبي!$A$2:$A$1800,$A38,الريسبي!$B$2:$B$1800,BS$1)</f>
        <v>0</v>
      </c>
      <c r="BT38" s="117" t="n">
        <f aca="false">SUMIFS(الريسبي!$C$2:$C$1800,الريسبي!$A$2:$A$1800,$A38,الريسبي!$B$2:$B$1800,BT$1)</f>
        <v>0</v>
      </c>
      <c r="BU38" s="117" t="n">
        <f aca="false">SUMIFS(الريسبي!$C$2:$C$1800,الريسبي!$A$2:$A$1800,$A38,الريسبي!$B$2:$B$1800,BU$1)+0.4*SUMIFS(الريسبي!$C$2:$C$1800,الريسبي!$A$2:$A$1800,$A38,الريسبي!$B$2:$B$1800,"كاسترد مصنع (خليط بودر + لبن)")+0.03333333333*SUMIFS(الريسبي!$C$2:$C$1800,الريسبي!$A$2:$A$1800,$A38,الريسبي!$B$2:$B$1800,"عجين كريب (مصنع بالمطعم)")</f>
        <v>0</v>
      </c>
      <c r="BV38" s="117" t="n">
        <f aca="false">SUMIFS(الريسبي!$C$2:$C$1800,الريسبي!$A$2:$A$1800,$A38,الريسبي!$B$2:$B$1800,BV$1)</f>
        <v>0</v>
      </c>
      <c r="BW38" s="117" t="n">
        <f aca="false">SUMIFS(الريسبي!$C$2:$C$1800,الريسبي!$A$2:$A$1800,$A38,الريسبي!$B$2:$B$1800,BW$1)</f>
        <v>0</v>
      </c>
      <c r="BX38" s="117" t="n">
        <f aca="false">SUMIFS(الريسبي!$C$2:$C$1800,الريسبي!$A$2:$A$1800,$A38,الريسبي!$B$2:$B$1800,BX$1)</f>
        <v>0</v>
      </c>
      <c r="BY38" s="117" t="n">
        <f aca="false">SUMIFS(الريسبي!$C$2:$C$1800,الريسبي!$A$2:$A$1800,$A38,الريسبي!$B$2:$B$1800,BY$1)</f>
        <v>0</v>
      </c>
      <c r="BZ38" s="117" t="n">
        <f aca="false">SUMIFS(الريسبي!$C$2:$C$1800,الريسبي!$A$2:$A$1800,$A38,الريسبي!$B$2:$B$1800,BZ$1)</f>
        <v>0</v>
      </c>
      <c r="CA38" s="117" t="n">
        <f aca="false">SUMIFS(الريسبي!$C$2:$C$1800,الريسبي!$A$2:$A$1800,$A38,الريسبي!$B$2:$B$1800,CA$1)</f>
        <v>1</v>
      </c>
      <c r="CB38" s="117" t="n">
        <f aca="false">SUMIFS(الريسبي!$C$2:$C$1800,الريسبي!$A$2:$A$1800,$A38,الريسبي!$B$2:$B$1800,CB$1)</f>
        <v>1</v>
      </c>
      <c r="CC38" s="117" t="n">
        <f aca="false">SUMIFS(الريسبي!$C$2:$C$1800,الريسبي!$A$2:$A$1800,$A38,الريسبي!$B$2:$B$1800,CC$1)</f>
        <v>0</v>
      </c>
      <c r="CD38" s="117" t="n">
        <f aca="false">SUMIFS(الريسبي!$C$2:$C$1800,الريسبي!$A$2:$A$1800,$A38,الريسبي!$B$2:$B$1800,CD$1)</f>
        <v>0</v>
      </c>
      <c r="CE38" s="117" t="n">
        <f aca="false">SUMIFS(الريسبي!$C$2:$C$1800,الريسبي!$A$2:$A$1800,$A38,الريسبي!$B$2:$B$1800,CE$1)</f>
        <v>0</v>
      </c>
      <c r="CF38" s="117" t="n">
        <f aca="false">SUMIFS(الريسبي!$C$2:$C$1800,الريسبي!$A$2:$A$1800,$A38,الريسبي!$B$2:$B$1800,CF$1)</f>
        <v>0</v>
      </c>
      <c r="CG38" s="117" t="n">
        <f aca="false">SUMIFS(الريسبي!$C$2:$C$1800,الريسبي!$A$2:$A$1800,$A38,الريسبي!$B$2:$B$1800,CG$1)</f>
        <v>0</v>
      </c>
      <c r="CH38" s="117" t="n">
        <f aca="false">SUMIFS(الريسبي!$C$2:$C$1800,الريسبي!$A$2:$A$1800,$A38,الريسبي!$B$2:$B$1800,CH$1)</f>
        <v>0</v>
      </c>
      <c r="CI38" s="117" t="n">
        <f aca="false">SUMIFS(الريسبي!$C$2:$C$1800,الريسبي!$A$2:$A$1800,$A38,الريسبي!$B$2:$B$1800,CI$1)</f>
        <v>0</v>
      </c>
      <c r="CJ38" s="117" t="n">
        <f aca="false">SUMIFS(الريسبي!$C$2:$C$1800,الريسبي!$A$2:$A$1800,$A38,الريسبي!$B$2:$B$1800,CJ$1)</f>
        <v>0</v>
      </c>
      <c r="CK38" s="117" t="n">
        <f aca="false">SUMIFS(الريسبي!$C$2:$C$1800,الريسبي!$A$2:$A$1800,$A38,الريسبي!$B$2:$B$1800,CK$1)</f>
        <v>0</v>
      </c>
      <c r="CL38" s="117" t="n">
        <f aca="false">SUMIFS(الريسبي!$C$2:$C$1800,الريسبي!$A$2:$A$1800,$A38,الريسبي!$B$2:$B$1800,CL$1)</f>
        <v>0</v>
      </c>
    </row>
    <row r="39" customFormat="false" ht="15" hidden="false" customHeight="false" outlineLevel="0" collapsed="false">
      <c r="A39" s="116" t="str">
        <f aca="false">المنيو!B39</f>
        <v>فطيرة فراخ كريسبي شيدر حجم اكبر</v>
      </c>
      <c r="B39" s="117" t="n">
        <f aca="false">SUMIFS(الريسبي!$C$2:$C$1800,الريسبي!$A$2:$A$1800,$A39,الريسبي!$B$2:$B$1800,B$1)</f>
        <v>0</v>
      </c>
      <c r="C39" s="117" t="n">
        <f aca="false">SUMIFS(الريسبي!$C$2:$C$1800,الريسبي!$A$2:$A$1800,$A39,الريسبي!$B$2:$B$1800,C$1)</f>
        <v>0</v>
      </c>
      <c r="D39" s="117" t="n">
        <f aca="false">SUMIFS(الريسبي!$C$2:$C$1800,الريسبي!$A$2:$A$1800,$A39,الريسبي!$B$2:$B$1800,D$1)</f>
        <v>1</v>
      </c>
      <c r="E39" s="117" t="n">
        <f aca="false">SUMIFS(الريسبي!$C$2:$C$1800,الريسبي!$A$2:$A$1800,$A39,الريسبي!$B$2:$B$1800,E$1)</f>
        <v>0</v>
      </c>
      <c r="F39" s="117" t="n">
        <f aca="false">SUMIFS(الريسبي!$C$2:$C$1800,الريسبي!$A$2:$A$1800,$A39,الريسبي!$B$2:$B$1800,F$1)</f>
        <v>0</v>
      </c>
      <c r="G39" s="117" t="n">
        <f aca="false">SUMIFS(الريسبي!$C$2:$C$1800,الريسبي!$A$2:$A$1800,$A39,الريسبي!$B$2:$B$1800,G$1)</f>
        <v>0</v>
      </c>
      <c r="H39" s="117" t="n">
        <f aca="false">SUMIFS(الريسبي!$C$2:$C$1800,الريسبي!$A$2:$A$1800,$A39,الريسبي!$B$2:$B$1800,H$1)</f>
        <v>0</v>
      </c>
      <c r="I39" s="117" t="n">
        <f aca="false">SUMIFS(الريسبي!$C$2:$C$1800,الريسبي!$A$2:$A$1800,$A39,الريسبي!$B$2:$B$1800,I$1)</f>
        <v>0</v>
      </c>
      <c r="J39" s="117" t="n">
        <f aca="false">SUMIFS(الريسبي!$C$2:$C$1800,الريسبي!$A$2:$A$1800,$A39,الريسبي!$B$2:$B$1800,J$1)</f>
        <v>0</v>
      </c>
      <c r="K39" s="117" t="n">
        <f aca="false">SUMIFS(الريسبي!$C$2:$C$1800,الريسبي!$A$2:$A$1800,$A39,الريسبي!$B$2:$B$1800,K$1)</f>
        <v>0</v>
      </c>
      <c r="L39" s="117" t="n">
        <f aca="false">SUMIFS(الريسبي!$C$2:$C$1800,الريسبي!$A$2:$A$1800,$A39,الريسبي!$B$2:$B$1800,L$1)</f>
        <v>0</v>
      </c>
      <c r="M39" s="117" t="n">
        <f aca="false">SUMIFS(الريسبي!$C$2:$C$1800,الريسبي!$A$2:$A$1800,$A39,الريسبي!$B$2:$B$1800,M$1)</f>
        <v>0</v>
      </c>
      <c r="N39" s="117" t="n">
        <f aca="false">SUMIFS(الريسبي!$C$2:$C$1800,الريسبي!$A$2:$A$1800,$A39,الريسبي!$B$2:$B$1800,N$1)</f>
        <v>0</v>
      </c>
      <c r="O39" s="117" t="n">
        <f aca="false">SUMIFS(الريسبي!$C$2:$C$1800,الريسبي!$A$2:$A$1800,$A39,الريسبي!$B$2:$B$1800,O$1)</f>
        <v>0</v>
      </c>
      <c r="P39" s="117" t="n">
        <f aca="false">SUMIFS(الريسبي!$C$2:$C$1800,الريسبي!$A$2:$A$1800,$A39,الريسبي!$B$2:$B$1800,P$1)</f>
        <v>0</v>
      </c>
      <c r="Q39" s="117" t="n">
        <f aca="false">SUMIFS(الريسبي!$C$2:$C$1800,الريسبي!$A$2:$A$1800,$A39,الريسبي!$B$2:$B$1800,Q$1)</f>
        <v>0</v>
      </c>
      <c r="R39" s="117" t="n">
        <f aca="false">SUMIFS(الريسبي!$C$2:$C$1800,الريسبي!$A$2:$A$1800,$A39,الريسبي!$B$2:$B$1800,R$1)</f>
        <v>1</v>
      </c>
      <c r="S39" s="117" t="n">
        <f aca="false">SUMIFS(الريسبي!$C$2:$C$1800,الريسبي!$A$2:$A$1800,$A39,الريسبي!$B$2:$B$1800,S$1)</f>
        <v>0</v>
      </c>
      <c r="T39" s="117" t="n">
        <f aca="false">SUMIFS(الريسبي!$C$2:$C$1800,الريسبي!$A$2:$A$1800,$A39,الريسبي!$B$2:$B$1800,T$1)</f>
        <v>0</v>
      </c>
      <c r="U39" s="117" t="n">
        <f aca="false">SUMIFS(الريسبي!$C$2:$C$1800,الريسبي!$A$2:$A$1800,$A39,الريسبي!$B$2:$B$1800,U$1)</f>
        <v>0</v>
      </c>
      <c r="V39" s="117" t="n">
        <f aca="false">SUMIFS(الريسبي!$C$2:$C$1800,الريسبي!$A$2:$A$1800,$A39,الريسبي!$B$2:$B$1800,V$1)</f>
        <v>0</v>
      </c>
      <c r="W39" s="117" t="n">
        <f aca="false">SUMIFS(الريسبي!$C$2:$C$1800,الريسبي!$A$2:$A$1800,$A39,الريسبي!$B$2:$B$1800,W$1)</f>
        <v>0</v>
      </c>
      <c r="X39" s="117" t="n">
        <f aca="false">SUMIFS(الريسبي!$C$2:$C$1800,الريسبي!$A$2:$A$1800,$A39,الريسبي!$B$2:$B$1800,X$1)</f>
        <v>0</v>
      </c>
      <c r="Y39" s="117" t="n">
        <f aca="false">SUMIFS(الريسبي!$C$2:$C$1800,الريسبي!$A$2:$A$1800,$A39,الريسبي!$B$2:$B$1800,Y$1)</f>
        <v>1</v>
      </c>
      <c r="Z39" s="117" t="n">
        <f aca="false">SUMIFS(الريسبي!$C$2:$C$1800,الريسبي!$A$2:$A$1800,$A39,الريسبي!$B$2:$B$1800,Z$1)</f>
        <v>0</v>
      </c>
      <c r="AA39" s="117" t="n">
        <f aca="false">SUMIFS(الريسبي!$C$2:$C$1800,الريسبي!$A$2:$A$1800,$A39,الريسبي!$B$2:$B$1800,AA$1)</f>
        <v>0</v>
      </c>
      <c r="AB39" s="117" t="n">
        <f aca="false">SUMIFS(الريسبي!$C$2:$C$1800,الريسبي!$A$2:$A$1800,$A39,الريسبي!$B$2:$B$1800,AB$1)</f>
        <v>0</v>
      </c>
      <c r="AC39" s="117" t="n">
        <f aca="false">SUMIFS(الريسبي!$C$2:$C$1800,الريسبي!$A$2:$A$1800,$A39,الريسبي!$B$2:$B$1800,AC$1)</f>
        <v>0</v>
      </c>
      <c r="AD39" s="117" t="n">
        <f aca="false">SUMIFS(الريسبي!$C$2:$C$1800,الريسبي!$A$2:$A$1800,$A39,الريسبي!$B$2:$B$1800,AD$1)</f>
        <v>0</v>
      </c>
      <c r="AE39" s="117" t="n">
        <f aca="false">SUMIFS(الريسبي!$C$2:$C$1800,الريسبي!$A$2:$A$1800,$A39,الريسبي!$B$2:$B$1800,AE$1)</f>
        <v>0</v>
      </c>
      <c r="AF39" s="117" t="n">
        <f aca="false">SUMIFS(الريسبي!$C$2:$C$1800,الريسبي!$A$2:$A$1800,$A39,الريسبي!$B$2:$B$1800,AF$1)</f>
        <v>0</v>
      </c>
      <c r="AG39" s="117" t="n">
        <f aca="false">SUMIFS(الريسبي!$C$2:$C$1800,الريسبي!$A$2:$A$1800,$A39,الريسبي!$B$2:$B$1800,AG$1)</f>
        <v>0</v>
      </c>
      <c r="AH39" s="117" t="n">
        <f aca="false">SUMIFS(الريسبي!$C$2:$C$1800,الريسبي!$A$2:$A$1800,$A39,الريسبي!$B$2:$B$1800,AH$1)</f>
        <v>0</v>
      </c>
      <c r="AI39" s="117" t="n">
        <f aca="false">SUMIFS(الريسبي!$C$2:$C$1800,الريسبي!$A$2:$A$1800,$A39,الريسبي!$B$2:$B$1800,AI$1)</f>
        <v>0</v>
      </c>
      <c r="AJ39" s="117" t="n">
        <f aca="false">SUMIFS(الريسبي!$C$2:$C$1800,الريسبي!$A$2:$A$1800,$A39,الريسبي!$B$2:$B$1800,AJ$1)</f>
        <v>2</v>
      </c>
      <c r="AK39" s="117" t="n">
        <f aca="false">SUMIFS(الريسبي!$C$2:$C$1800,الريسبي!$A$2:$A$1800,$A39,الريسبي!$B$2:$B$1800,AK$1)</f>
        <v>0</v>
      </c>
      <c r="AL39" s="117" t="n">
        <f aca="false">SUMIFS(الريسبي!$C$2:$C$1800,الريسبي!$A$2:$A$1800,$A39,الريسبي!$B$2:$B$1800,AL$1)</f>
        <v>0</v>
      </c>
      <c r="AM39" s="117" t="n">
        <f aca="false">SUMIFS(الريسبي!$C$2:$C$1800,الريسبي!$A$2:$A$1800,$A39,الريسبي!$B$2:$B$1800,AM$1)+0.08333333333*SUMIFS(الريسبي!$C$2:$C$1800,الريسبي!$A$2:$A$1800,$A39,الريسبي!$B$2:$B$1800,"عجين كريب (مصنع بالمطعم)")+0.08333333333*SUMIFS(الريسبي!$C$2:$C$1800,الريسبي!$A$2:$A$1800,$A39,الريسبي!$B$2:$B$1800,"عجين كريب صيامي (بدون لبن)")</f>
        <v>0</v>
      </c>
      <c r="AN39" s="117" t="n">
        <f aca="false">SUMIFS(الريسبي!$C$2:$C$1800,الريسبي!$A$2:$A$1800,$A39,الريسبي!$B$2:$B$1800,AN$1)+0.004166666667*SUMIFS(الريسبي!$C$2:$C$1800,الريسبي!$A$2:$A$1800,$A39,الريسبي!$B$2:$B$1800,"عجين كريب (مصنع بالمطعم)")+0.004166666667*SUMIFS(الريسبي!$C$2:$C$1800,الريسبي!$A$2:$A$1800,$A39,الريسبي!$B$2:$B$1800,"عجين كريب صيامي (بدون لبن)")</f>
        <v>0</v>
      </c>
      <c r="AO39" s="117" t="n">
        <f aca="false">SUMIFS(الريسبي!$C$2:$C$1800,الريسبي!$A$2:$A$1800,$A39,الريسبي!$B$2:$B$1800,AO$1)</f>
        <v>0</v>
      </c>
      <c r="AP39" s="117" t="n">
        <f aca="false">SUMIFS(الريسبي!$C$2:$C$1800,الريسبي!$A$2:$A$1800,$A39,الريسبي!$B$2:$B$1800,AP$1)</f>
        <v>0.03</v>
      </c>
      <c r="AQ39" s="117" t="n">
        <f aca="false">SUMIFS(الريسبي!$C$2:$C$1800,الريسبي!$A$2:$A$1800,$A39,الريسبي!$B$2:$B$1800,AQ$1)+0.004166666667*SUMIFS(الريسبي!$C$2:$C$1800,الريسبي!$A$2:$A$1800,$A39,الريسبي!$B$2:$B$1800,"عجين كريب (مصنع بالمطعم)")+0.004166666667*SUMIFS(الريسبي!$C$2:$C$1800,الريسبي!$A$2:$A$1800,$A39,الريسبي!$B$2:$B$1800,"عجين كريب صيامي (بدون لبن)")</f>
        <v>0</v>
      </c>
      <c r="AR39" s="117" t="n">
        <f aca="false">SUMIFS(الريسبي!$C$2:$C$1800,الريسبي!$A$2:$A$1800,$A39,الريسبي!$B$2:$B$1800,AR$1)</f>
        <v>0</v>
      </c>
      <c r="AS39" s="117" t="n">
        <f aca="false">SUMIFS(الريسبي!$C$2:$C$1800,الريسبي!$A$2:$A$1800,$A39,الريسبي!$B$2:$B$1800,AS$1)</f>
        <v>0</v>
      </c>
      <c r="AT39" s="117" t="n">
        <f aca="false">SUMIFS(الريسبي!$C$2:$C$1800,الريسبي!$A$2:$A$1800,$A39,الريسبي!$B$2:$B$1800,AT$1)</f>
        <v>0</v>
      </c>
      <c r="AU39" s="117" t="n">
        <f aca="false">SUMIFS(الريسبي!$C$2:$C$1800,الريسبي!$A$2:$A$1800,$A39,الريسبي!$B$2:$B$1800,AU$1)</f>
        <v>0</v>
      </c>
      <c r="AV39" s="117" t="n">
        <f aca="false">SUMIFS(الريسبي!$C$2:$C$1800,الريسبي!$A$2:$A$1800,$A39,الريسبي!$B$2:$B$1800,AV$1)</f>
        <v>0</v>
      </c>
      <c r="AW39" s="117" t="n">
        <f aca="false">SUMIFS(الريسبي!$C$2:$C$1800,الريسبي!$A$2:$A$1800,$A39,الريسبي!$B$2:$B$1800,AW$1)</f>
        <v>0</v>
      </c>
      <c r="AX39" s="117" t="n">
        <f aca="false">SUMIFS(الريسبي!$C$2:$C$1800,الريسبي!$A$2:$A$1800,$A39,الريسبي!$B$2:$B$1800,AX$1)</f>
        <v>0</v>
      </c>
      <c r="AY39" s="117" t="n">
        <f aca="false">SUMIFS(الريسبي!$C$2:$C$1800,الريسبي!$A$2:$A$1800,$A39,الريسبي!$B$2:$B$1800,AY$1)</f>
        <v>0</v>
      </c>
      <c r="AZ39" s="117" t="n">
        <f aca="false">SUMIFS(الريسبي!$C$2:$C$1800,الريسبي!$A$2:$A$1800,$A39,الريسبي!$B$2:$B$1800,AZ$1)</f>
        <v>0</v>
      </c>
      <c r="BA39" s="117" t="n">
        <f aca="false">SUMIFS(الريسبي!$C$2:$C$1800,الريسبي!$A$2:$A$1800,$A39,الريسبي!$B$2:$B$1800,BA$1)</f>
        <v>0</v>
      </c>
      <c r="BB39" s="117" t="n">
        <f aca="false">SUMIFS(الريسبي!$C$2:$C$1800,الريسبي!$A$2:$A$1800,$A39,الريسبي!$B$2:$B$1800,BB$1)</f>
        <v>0.15</v>
      </c>
      <c r="BC39" s="117" t="n">
        <f aca="false">SUMIFS(الريسبي!$C$2:$C$1800,الريسبي!$A$2:$A$1800,$A39,الريسبي!$B$2:$B$1800,BC$1)</f>
        <v>0.045</v>
      </c>
      <c r="BD39" s="117" t="n">
        <f aca="false">SUMIFS(الريسبي!$C$2:$C$1800,الريسبي!$A$2:$A$1800,$A39,الريسبي!$B$2:$B$1800,BD$1)</f>
        <v>0</v>
      </c>
      <c r="BE39" s="117" t="n">
        <f aca="false">SUMIFS(الريسبي!$C$2:$C$1800,الريسبي!$A$2:$A$1800,$A39,الريسبي!$B$2:$B$1800,BE$1)</f>
        <v>1.5</v>
      </c>
      <c r="BF39" s="117" t="n">
        <f aca="false">SUMIFS(الريسبي!$C$2:$C$1800,الريسبي!$A$2:$A$1800,$A39,الريسبي!$B$2:$B$1800,BF$1)</f>
        <v>0</v>
      </c>
      <c r="BG39" s="117" t="n">
        <f aca="false">SUMIFS(الريسبي!$C$2:$C$1800,الريسبي!$A$2:$A$1800,$A39,الريسبي!$B$2:$B$1800,BG$1)</f>
        <v>1</v>
      </c>
      <c r="BH39" s="117" t="n">
        <f aca="false">SUMIFS(الريسبي!$C$2:$C$1800,الريسبي!$A$2:$A$1800,$A39,الريسبي!$B$2:$B$1800,BH$1)</f>
        <v>0</v>
      </c>
      <c r="BI39" s="117" t="n">
        <f aca="false">SUMIFS(الريسبي!$C$2:$C$1800,الريسبي!$A$2:$A$1800,$A39,الريسبي!$B$2:$B$1800,BI$1)</f>
        <v>0</v>
      </c>
      <c r="BJ39" s="117" t="n">
        <f aca="false">SUMIFS(الريسبي!$C$2:$C$1800,الريسبي!$A$2:$A$1800,$A39,الريسبي!$B$2:$B$1800,BJ$1)</f>
        <v>0</v>
      </c>
      <c r="BK39" s="117" t="n">
        <f aca="false">SUMIFS(الريسبي!$C$2:$C$1800,الريسبي!$A$2:$A$1800,$A39,الريسبي!$B$2:$B$1800,BK$1)</f>
        <v>0</v>
      </c>
      <c r="BL39" s="117" t="n">
        <f aca="false">SUMIFS(الريسبي!$C$2:$C$1800,الريسبي!$A$2:$A$1800,$A39,الريسبي!$B$2:$B$1800,BL$1)</f>
        <v>0</v>
      </c>
      <c r="BM39" s="117" t="n">
        <f aca="false">SUMIFS(الريسبي!$C$2:$C$1800,الريسبي!$A$2:$A$1800,$A39,الريسبي!$B$2:$B$1800,BM$1)</f>
        <v>0</v>
      </c>
      <c r="BN39" s="117" t="n">
        <f aca="false">SUMIFS(الريسبي!$C$2:$C$1800,الريسبي!$A$2:$A$1800,$A39,الريسبي!$B$2:$B$1800,BN$1)</f>
        <v>0.03</v>
      </c>
      <c r="BO39" s="117" t="n">
        <f aca="false">SUMIFS(الريسبي!$C$2:$C$1800,الريسبي!$A$2:$A$1800,$A39,الريسبي!$B$2:$B$1800,BO$1)</f>
        <v>0</v>
      </c>
      <c r="BP39" s="117" t="n">
        <f aca="false">SUMIFS(الريسبي!$C$2:$C$1800,الريسبي!$A$2:$A$1800,$A39,الريسبي!$B$2:$B$1800,BP$1)</f>
        <v>3</v>
      </c>
      <c r="BQ39" s="117" t="n">
        <f aca="false">SUMIFS(الريسبي!$C$2:$C$1800,الريسبي!$A$2:$A$1800,$A39,الريسبي!$B$2:$B$1800,BQ$1)+0.17*SUMIFS(الريسبي!$C$2:$C$1800,الريسبي!$A$2:$A$1800,$A39,الريسبي!$B$2:$B$1800,"كاسترد مصنع (خليط بودر + لبن)")+0.17*SUMIFS(الريسبي!$C$2:$C$1800,الريسبي!$A$2:$A$1800,$A39,الريسبي!$B$2:$B$1800,"كاسترد مصنع صيامي (بدون لبن)")</f>
        <v>0</v>
      </c>
      <c r="BR39" s="117" t="n">
        <f aca="false">SUMIFS(الريسبي!$C$2:$C$1800,الريسبي!$A$2:$A$1800,$A39,الريسبي!$B$2:$B$1800,BR$1)</f>
        <v>1</v>
      </c>
      <c r="BS39" s="117" t="n">
        <f aca="false">SUMIFS(الريسبي!$C$2:$C$1800,الريسبي!$A$2:$A$1800,$A39,الريسبي!$B$2:$B$1800,BS$1)</f>
        <v>0</v>
      </c>
      <c r="BT39" s="117" t="n">
        <f aca="false">SUMIFS(الريسبي!$C$2:$C$1800,الريسبي!$A$2:$A$1800,$A39,الريسبي!$B$2:$B$1800,BT$1)</f>
        <v>0</v>
      </c>
      <c r="BU39" s="117" t="n">
        <f aca="false">SUMIFS(الريسبي!$C$2:$C$1800,الريسبي!$A$2:$A$1800,$A39,الريسبي!$B$2:$B$1800,BU$1)+0.4*SUMIFS(الريسبي!$C$2:$C$1800,الريسبي!$A$2:$A$1800,$A39,الريسبي!$B$2:$B$1800,"كاسترد مصنع (خليط بودر + لبن)")+0.03333333333*SUMIFS(الريسبي!$C$2:$C$1800,الريسبي!$A$2:$A$1800,$A39,الريسبي!$B$2:$B$1800,"عجين كريب (مصنع بالمطعم)")</f>
        <v>0</v>
      </c>
      <c r="BV39" s="117" t="n">
        <f aca="false">SUMIFS(الريسبي!$C$2:$C$1800,الريسبي!$A$2:$A$1800,$A39,الريسبي!$B$2:$B$1800,BV$1)</f>
        <v>0</v>
      </c>
      <c r="BW39" s="117" t="n">
        <f aca="false">SUMIFS(الريسبي!$C$2:$C$1800,الريسبي!$A$2:$A$1800,$A39,الريسبي!$B$2:$B$1800,BW$1)</f>
        <v>0</v>
      </c>
      <c r="BX39" s="117" t="n">
        <f aca="false">SUMIFS(الريسبي!$C$2:$C$1800,الريسبي!$A$2:$A$1800,$A39,الريسبي!$B$2:$B$1800,BX$1)</f>
        <v>0</v>
      </c>
      <c r="BY39" s="117" t="n">
        <f aca="false">SUMIFS(الريسبي!$C$2:$C$1800,الريسبي!$A$2:$A$1800,$A39,الريسبي!$B$2:$B$1800,BY$1)</f>
        <v>0</v>
      </c>
      <c r="BZ39" s="117" t="n">
        <f aca="false">SUMIFS(الريسبي!$C$2:$C$1800,الريسبي!$A$2:$A$1800,$A39,الريسبي!$B$2:$B$1800,BZ$1)</f>
        <v>0</v>
      </c>
      <c r="CA39" s="117" t="n">
        <f aca="false">SUMIFS(الريسبي!$C$2:$C$1800,الريسبي!$A$2:$A$1800,$A39,الريسبي!$B$2:$B$1800,CA$1)</f>
        <v>1</v>
      </c>
      <c r="CB39" s="117" t="n">
        <f aca="false">SUMIFS(الريسبي!$C$2:$C$1800,الريسبي!$A$2:$A$1800,$A39,الريسبي!$B$2:$B$1800,CB$1)</f>
        <v>1</v>
      </c>
      <c r="CC39" s="117" t="n">
        <f aca="false">SUMIFS(الريسبي!$C$2:$C$1800,الريسبي!$A$2:$A$1800,$A39,الريسبي!$B$2:$B$1800,CC$1)</f>
        <v>0</v>
      </c>
      <c r="CD39" s="117" t="n">
        <f aca="false">SUMIFS(الريسبي!$C$2:$C$1800,الريسبي!$A$2:$A$1800,$A39,الريسبي!$B$2:$B$1800,CD$1)</f>
        <v>0</v>
      </c>
      <c r="CE39" s="117" t="n">
        <f aca="false">SUMIFS(الريسبي!$C$2:$C$1800,الريسبي!$A$2:$A$1800,$A39,الريسبي!$B$2:$B$1800,CE$1)</f>
        <v>0</v>
      </c>
      <c r="CF39" s="117" t="n">
        <f aca="false">SUMIFS(الريسبي!$C$2:$C$1800,الريسبي!$A$2:$A$1800,$A39,الريسبي!$B$2:$B$1800,CF$1)</f>
        <v>0</v>
      </c>
      <c r="CG39" s="117" t="n">
        <f aca="false">SUMIFS(الريسبي!$C$2:$C$1800,الريسبي!$A$2:$A$1800,$A39,الريسبي!$B$2:$B$1800,CG$1)</f>
        <v>0</v>
      </c>
      <c r="CH39" s="117" t="n">
        <f aca="false">SUMIFS(الريسبي!$C$2:$C$1800,الريسبي!$A$2:$A$1800,$A39,الريسبي!$B$2:$B$1800,CH$1)</f>
        <v>0</v>
      </c>
      <c r="CI39" s="117" t="n">
        <f aca="false">SUMIFS(الريسبي!$C$2:$C$1800,الريسبي!$A$2:$A$1800,$A39,الريسبي!$B$2:$B$1800,CI$1)</f>
        <v>0</v>
      </c>
      <c r="CJ39" s="117" t="n">
        <f aca="false">SUMIFS(الريسبي!$C$2:$C$1800,الريسبي!$A$2:$A$1800,$A39,الريسبي!$B$2:$B$1800,CJ$1)</f>
        <v>0</v>
      </c>
      <c r="CK39" s="117" t="n">
        <f aca="false">SUMIFS(الريسبي!$C$2:$C$1800,الريسبي!$A$2:$A$1800,$A39,الريسبي!$B$2:$B$1800,CK$1)</f>
        <v>0</v>
      </c>
      <c r="CL39" s="117" t="n">
        <f aca="false">SUMIFS(الريسبي!$C$2:$C$1800,الريسبي!$A$2:$A$1800,$A39,الريسبي!$B$2:$B$1800,CL$1)</f>
        <v>0</v>
      </c>
    </row>
    <row r="40" customFormat="false" ht="15" hidden="false" customHeight="false" outlineLevel="0" collapsed="false">
      <c r="A40" s="116" t="str">
        <f aca="false">المنيو!B40</f>
        <v>فطيرة مشكل لحوم النكش وسط</v>
      </c>
      <c r="B40" s="117" t="n">
        <f aca="false">SUMIFS(الريسبي!$C$2:$C$1800,الريسبي!$A$2:$A$1800,$A40,الريسبي!$B$2:$B$1800,B$1)</f>
        <v>0</v>
      </c>
      <c r="C40" s="117" t="n">
        <f aca="false">SUMIFS(الريسبي!$C$2:$C$1800,الريسبي!$A$2:$A$1800,$A40,الريسبي!$B$2:$B$1800,C$1)</f>
        <v>0</v>
      </c>
      <c r="D40" s="117" t="n">
        <f aca="false">SUMIFS(الريسبي!$C$2:$C$1800,الريسبي!$A$2:$A$1800,$A40,الريسبي!$B$2:$B$1800,D$1)</f>
        <v>1</v>
      </c>
      <c r="E40" s="117" t="n">
        <f aca="false">SUMIFS(الريسبي!$C$2:$C$1800,الريسبي!$A$2:$A$1800,$A40,الريسبي!$B$2:$B$1800,E$1)</f>
        <v>0</v>
      </c>
      <c r="F40" s="117" t="n">
        <f aca="false">SUMIFS(الريسبي!$C$2:$C$1800,الريسبي!$A$2:$A$1800,$A40,الريسبي!$B$2:$B$1800,F$1)</f>
        <v>0</v>
      </c>
      <c r="G40" s="117" t="n">
        <f aca="false">SUMIFS(الريسبي!$C$2:$C$1800,الريسبي!$A$2:$A$1800,$A40,الريسبي!$B$2:$B$1800,G$1)</f>
        <v>1</v>
      </c>
      <c r="H40" s="117" t="n">
        <f aca="false">SUMIFS(الريسبي!$C$2:$C$1800,الريسبي!$A$2:$A$1800,$A40,الريسبي!$B$2:$B$1800,H$1)</f>
        <v>0</v>
      </c>
      <c r="I40" s="117" t="n">
        <f aca="false">SUMIFS(الريسبي!$C$2:$C$1800,الريسبي!$A$2:$A$1800,$A40,الريسبي!$B$2:$B$1800,I$1)</f>
        <v>0</v>
      </c>
      <c r="J40" s="117" t="n">
        <f aca="false">SUMIFS(الريسبي!$C$2:$C$1800,الريسبي!$A$2:$A$1800,$A40,الريسبي!$B$2:$B$1800,J$1)</f>
        <v>0</v>
      </c>
      <c r="K40" s="117" t="n">
        <f aca="false">SUMIFS(الريسبي!$C$2:$C$1800,الريسبي!$A$2:$A$1800,$A40,الريسبي!$B$2:$B$1800,K$1)</f>
        <v>0</v>
      </c>
      <c r="L40" s="117" t="n">
        <f aca="false">SUMIFS(الريسبي!$C$2:$C$1800,الريسبي!$A$2:$A$1800,$A40,الريسبي!$B$2:$B$1800,L$1)</f>
        <v>1</v>
      </c>
      <c r="M40" s="117" t="n">
        <f aca="false">SUMIFS(الريسبي!$C$2:$C$1800,الريسبي!$A$2:$A$1800,$A40,الريسبي!$B$2:$B$1800,M$1)</f>
        <v>0</v>
      </c>
      <c r="N40" s="117" t="n">
        <f aca="false">SUMIFS(الريسبي!$C$2:$C$1800,الريسبي!$A$2:$A$1800,$A40,الريسبي!$B$2:$B$1800,N$1)</f>
        <v>0</v>
      </c>
      <c r="O40" s="117" t="n">
        <f aca="false">SUMIFS(الريسبي!$C$2:$C$1800,الريسبي!$A$2:$A$1800,$A40,الريسبي!$B$2:$B$1800,O$1)</f>
        <v>0</v>
      </c>
      <c r="P40" s="117" t="n">
        <f aca="false">SUMIFS(الريسبي!$C$2:$C$1800,الريسبي!$A$2:$A$1800,$A40,الريسبي!$B$2:$B$1800,P$1)</f>
        <v>0</v>
      </c>
      <c r="Q40" s="117" t="n">
        <f aca="false">SUMIFS(الريسبي!$C$2:$C$1800,الريسبي!$A$2:$A$1800,$A40,الريسبي!$B$2:$B$1800,Q$1)</f>
        <v>0</v>
      </c>
      <c r="R40" s="117" t="n">
        <f aca="false">SUMIFS(الريسبي!$C$2:$C$1800,الريسبي!$A$2:$A$1800,$A40,الريسبي!$B$2:$B$1800,R$1)</f>
        <v>0</v>
      </c>
      <c r="S40" s="117" t="n">
        <f aca="false">SUMIFS(الريسبي!$C$2:$C$1800,الريسبي!$A$2:$A$1800,$A40,الريسبي!$B$2:$B$1800,S$1)</f>
        <v>0</v>
      </c>
      <c r="T40" s="117" t="n">
        <f aca="false">SUMIFS(الريسبي!$C$2:$C$1800,الريسبي!$A$2:$A$1800,$A40,الريسبي!$B$2:$B$1800,T$1)</f>
        <v>1</v>
      </c>
      <c r="U40" s="117" t="n">
        <f aca="false">SUMIFS(الريسبي!$C$2:$C$1800,الريسبي!$A$2:$A$1800,$A40,الريسبي!$B$2:$B$1800,U$1)</f>
        <v>0</v>
      </c>
      <c r="V40" s="117" t="n">
        <f aca="false">SUMIFS(الريسبي!$C$2:$C$1800,الريسبي!$A$2:$A$1800,$A40,الريسبي!$B$2:$B$1800,V$1)</f>
        <v>0</v>
      </c>
      <c r="W40" s="117" t="n">
        <f aca="false">SUMIFS(الريسبي!$C$2:$C$1800,الريسبي!$A$2:$A$1800,$A40,الريسبي!$B$2:$B$1800,W$1)</f>
        <v>0</v>
      </c>
      <c r="X40" s="117" t="n">
        <f aca="false">SUMIFS(الريسبي!$C$2:$C$1800,الريسبي!$A$2:$A$1800,$A40,الريسبي!$B$2:$B$1800,X$1)</f>
        <v>1</v>
      </c>
      <c r="Y40" s="117" t="n">
        <f aca="false">SUMIFS(الريسبي!$C$2:$C$1800,الريسبي!$A$2:$A$1800,$A40,الريسبي!$B$2:$B$1800,Y$1)</f>
        <v>0</v>
      </c>
      <c r="Z40" s="117" t="n">
        <f aca="false">SUMIFS(الريسبي!$C$2:$C$1800,الريسبي!$A$2:$A$1800,$A40,الريسبي!$B$2:$B$1800,Z$1)</f>
        <v>0</v>
      </c>
      <c r="AA40" s="117" t="n">
        <f aca="false">SUMIFS(الريسبي!$C$2:$C$1800,الريسبي!$A$2:$A$1800,$A40,الريسبي!$B$2:$B$1800,AA$1)</f>
        <v>0</v>
      </c>
      <c r="AB40" s="117" t="n">
        <f aca="false">SUMIFS(الريسبي!$C$2:$C$1800,الريسبي!$A$2:$A$1800,$A40,الريسبي!$B$2:$B$1800,AB$1)</f>
        <v>0</v>
      </c>
      <c r="AC40" s="117" t="n">
        <f aca="false">SUMIFS(الريسبي!$C$2:$C$1800,الريسبي!$A$2:$A$1800,$A40,الريسبي!$B$2:$B$1800,AC$1)</f>
        <v>0</v>
      </c>
      <c r="AD40" s="117" t="n">
        <f aca="false">SUMIFS(الريسبي!$C$2:$C$1800,الريسبي!$A$2:$A$1800,$A40,الريسبي!$B$2:$B$1800,AD$1)</f>
        <v>0</v>
      </c>
      <c r="AE40" s="117" t="n">
        <f aca="false">SUMIFS(الريسبي!$C$2:$C$1800,الريسبي!$A$2:$A$1800,$A40,الريسبي!$B$2:$B$1800,AE$1)</f>
        <v>0</v>
      </c>
      <c r="AF40" s="117" t="n">
        <f aca="false">SUMIFS(الريسبي!$C$2:$C$1800,الريسبي!$A$2:$A$1800,$A40,الريسبي!$B$2:$B$1800,AF$1)</f>
        <v>0</v>
      </c>
      <c r="AG40" s="117" t="n">
        <f aca="false">SUMIFS(الريسبي!$C$2:$C$1800,الريسبي!$A$2:$A$1800,$A40,الريسبي!$B$2:$B$1800,AG$1)</f>
        <v>0</v>
      </c>
      <c r="AH40" s="117" t="n">
        <f aca="false">SUMIFS(الريسبي!$C$2:$C$1800,الريسبي!$A$2:$A$1800,$A40,الريسبي!$B$2:$B$1800,AH$1)</f>
        <v>0</v>
      </c>
      <c r="AI40" s="117" t="n">
        <f aca="false">SUMIFS(الريسبي!$C$2:$C$1800,الريسبي!$A$2:$A$1800,$A40,الريسبي!$B$2:$B$1800,AI$1)</f>
        <v>0</v>
      </c>
      <c r="AJ40" s="117" t="n">
        <f aca="false">SUMIFS(الريسبي!$C$2:$C$1800,الريسبي!$A$2:$A$1800,$A40,الريسبي!$B$2:$B$1800,AJ$1)</f>
        <v>2</v>
      </c>
      <c r="AK40" s="117" t="n">
        <f aca="false">SUMIFS(الريسبي!$C$2:$C$1800,الريسبي!$A$2:$A$1800,$A40,الريسبي!$B$2:$B$1800,AK$1)</f>
        <v>0</v>
      </c>
      <c r="AL40" s="117" t="n">
        <f aca="false">SUMIFS(الريسبي!$C$2:$C$1800,الريسبي!$A$2:$A$1800,$A40,الريسبي!$B$2:$B$1800,AL$1)</f>
        <v>0</v>
      </c>
      <c r="AM40" s="117" t="n">
        <f aca="false">SUMIFS(الريسبي!$C$2:$C$1800,الريسبي!$A$2:$A$1800,$A40,الريسبي!$B$2:$B$1800,AM$1)+0.08333333333*SUMIFS(الريسبي!$C$2:$C$1800,الريسبي!$A$2:$A$1800,$A40,الريسبي!$B$2:$B$1800,"عجين كريب (مصنع بالمطعم)")+0.08333333333*SUMIFS(الريسبي!$C$2:$C$1800,الريسبي!$A$2:$A$1800,$A40,الريسبي!$B$2:$B$1800,"عجين كريب صيامي (بدون لبن)")</f>
        <v>0</v>
      </c>
      <c r="AN40" s="117" t="n">
        <f aca="false">SUMIFS(الريسبي!$C$2:$C$1800,الريسبي!$A$2:$A$1800,$A40,الريسبي!$B$2:$B$1800,AN$1)+0.004166666667*SUMIFS(الريسبي!$C$2:$C$1800,الريسبي!$A$2:$A$1800,$A40,الريسبي!$B$2:$B$1800,"عجين كريب (مصنع بالمطعم)")+0.004166666667*SUMIFS(الريسبي!$C$2:$C$1800,الريسبي!$A$2:$A$1800,$A40,الريسبي!$B$2:$B$1800,"عجين كريب صيامي (بدون لبن)")</f>
        <v>0</v>
      </c>
      <c r="AO40" s="117" t="n">
        <f aca="false">SUMIFS(الريسبي!$C$2:$C$1800,الريسبي!$A$2:$A$1800,$A40,الريسبي!$B$2:$B$1800,AO$1)</f>
        <v>0</v>
      </c>
      <c r="AP40" s="117" t="n">
        <f aca="false">SUMIFS(الريسبي!$C$2:$C$1800,الريسبي!$A$2:$A$1800,$A40,الريسبي!$B$2:$B$1800,AP$1)</f>
        <v>0.02</v>
      </c>
      <c r="AQ40" s="117" t="n">
        <f aca="false">SUMIFS(الريسبي!$C$2:$C$1800,الريسبي!$A$2:$A$1800,$A40,الريسبي!$B$2:$B$1800,AQ$1)+0.004166666667*SUMIFS(الريسبي!$C$2:$C$1800,الريسبي!$A$2:$A$1800,$A40,الريسبي!$B$2:$B$1800,"عجين كريب (مصنع بالمطعم)")+0.004166666667*SUMIFS(الريسبي!$C$2:$C$1800,الريسبي!$A$2:$A$1800,$A40,الريسبي!$B$2:$B$1800,"عجين كريب صيامي (بدون لبن)")</f>
        <v>0</v>
      </c>
      <c r="AR40" s="117" t="n">
        <f aca="false">SUMIFS(الريسبي!$C$2:$C$1800,الريسبي!$A$2:$A$1800,$A40,الريسبي!$B$2:$B$1800,AR$1)</f>
        <v>0</v>
      </c>
      <c r="AS40" s="117" t="n">
        <f aca="false">SUMIFS(الريسبي!$C$2:$C$1800,الريسبي!$A$2:$A$1800,$A40,الريسبي!$B$2:$B$1800,AS$1)</f>
        <v>0</v>
      </c>
      <c r="AT40" s="117" t="n">
        <f aca="false">SUMIFS(الريسبي!$C$2:$C$1800,الريسبي!$A$2:$A$1800,$A40,الريسبي!$B$2:$B$1800,AT$1)</f>
        <v>0</v>
      </c>
      <c r="AU40" s="117" t="n">
        <f aca="false">SUMIFS(الريسبي!$C$2:$C$1800,الريسبي!$A$2:$A$1800,$A40,الريسبي!$B$2:$B$1800,AU$1)</f>
        <v>0</v>
      </c>
      <c r="AV40" s="117" t="n">
        <f aca="false">SUMIFS(الريسبي!$C$2:$C$1800,الريسبي!$A$2:$A$1800,$A40,الريسبي!$B$2:$B$1800,AV$1)</f>
        <v>0</v>
      </c>
      <c r="AW40" s="117" t="n">
        <f aca="false">SUMIFS(الريسبي!$C$2:$C$1800,الريسبي!$A$2:$A$1800,$A40,الريسبي!$B$2:$B$1800,AW$1)</f>
        <v>0</v>
      </c>
      <c r="AX40" s="117" t="n">
        <f aca="false">SUMIFS(الريسبي!$C$2:$C$1800,الريسبي!$A$2:$A$1800,$A40,الريسبي!$B$2:$B$1800,AX$1)</f>
        <v>0</v>
      </c>
      <c r="AY40" s="117" t="n">
        <f aca="false">SUMIFS(الريسبي!$C$2:$C$1800,الريسبي!$A$2:$A$1800,$A40,الريسبي!$B$2:$B$1800,AY$1)</f>
        <v>0</v>
      </c>
      <c r="AZ40" s="117" t="n">
        <f aca="false">SUMIFS(الريسبي!$C$2:$C$1800,الريسبي!$A$2:$A$1800,$A40,الريسبي!$B$2:$B$1800,AZ$1)</f>
        <v>0</v>
      </c>
      <c r="BA40" s="117" t="n">
        <f aca="false">SUMIFS(الريسبي!$C$2:$C$1800,الريسبي!$A$2:$A$1800,$A40,الريسبي!$B$2:$B$1800,BA$1)</f>
        <v>0</v>
      </c>
      <c r="BB40" s="117" t="n">
        <f aca="false">SUMIFS(الريسبي!$C$2:$C$1800,الريسبي!$A$2:$A$1800,$A40,الريسبي!$B$2:$B$1800,BB$1)</f>
        <v>0</v>
      </c>
      <c r="BC40" s="117" t="n">
        <f aca="false">SUMIFS(الريسبي!$C$2:$C$1800,الريسبي!$A$2:$A$1800,$A40,الريسبي!$B$2:$B$1800,BC$1)</f>
        <v>0.03</v>
      </c>
      <c r="BD40" s="117" t="n">
        <f aca="false">SUMIFS(الريسبي!$C$2:$C$1800,الريسبي!$A$2:$A$1800,$A40,الريسبي!$B$2:$B$1800,BD$1)</f>
        <v>0</v>
      </c>
      <c r="BE40" s="117" t="n">
        <f aca="false">SUMIFS(الريسبي!$C$2:$C$1800,الريسبي!$A$2:$A$1800,$A40,الريسبي!$B$2:$B$1800,BE$1)</f>
        <v>1</v>
      </c>
      <c r="BF40" s="117" t="n">
        <f aca="false">SUMIFS(الريسبي!$C$2:$C$1800,الريسبي!$A$2:$A$1800,$A40,الريسبي!$B$2:$B$1800,BF$1)</f>
        <v>0</v>
      </c>
      <c r="BG40" s="117" t="n">
        <f aca="false">SUMIFS(الريسبي!$C$2:$C$1800,الريسبي!$A$2:$A$1800,$A40,الريسبي!$B$2:$B$1800,BG$1)</f>
        <v>0</v>
      </c>
      <c r="BH40" s="117" t="n">
        <f aca="false">SUMIFS(الريسبي!$C$2:$C$1800,الريسبي!$A$2:$A$1800,$A40,الريسبي!$B$2:$B$1800,BH$1)</f>
        <v>1</v>
      </c>
      <c r="BI40" s="117" t="n">
        <f aca="false">SUMIFS(الريسبي!$C$2:$C$1800,الريسبي!$A$2:$A$1800,$A40,الريسبي!$B$2:$B$1800,BI$1)</f>
        <v>0</v>
      </c>
      <c r="BJ40" s="117" t="n">
        <f aca="false">SUMIFS(الريسبي!$C$2:$C$1800,الريسبي!$A$2:$A$1800,$A40,الريسبي!$B$2:$B$1800,BJ$1)</f>
        <v>0</v>
      </c>
      <c r="BK40" s="117" t="n">
        <f aca="false">SUMIFS(الريسبي!$C$2:$C$1800,الريسبي!$A$2:$A$1800,$A40,الريسبي!$B$2:$B$1800,BK$1)</f>
        <v>0</v>
      </c>
      <c r="BL40" s="117" t="n">
        <f aca="false">SUMIFS(الريسبي!$C$2:$C$1800,الريسبي!$A$2:$A$1800,$A40,الريسبي!$B$2:$B$1800,BL$1)</f>
        <v>0</v>
      </c>
      <c r="BM40" s="117" t="n">
        <f aca="false">SUMIFS(الريسبي!$C$2:$C$1800,الريسبي!$A$2:$A$1800,$A40,الريسبي!$B$2:$B$1800,BM$1)</f>
        <v>0</v>
      </c>
      <c r="BN40" s="117" t="n">
        <f aca="false">SUMIFS(الريسبي!$C$2:$C$1800,الريسبي!$A$2:$A$1800,$A40,الريسبي!$B$2:$B$1800,BN$1)</f>
        <v>0.02</v>
      </c>
      <c r="BO40" s="117" t="n">
        <f aca="false">SUMIFS(الريسبي!$C$2:$C$1800,الريسبي!$A$2:$A$1800,$A40,الريسبي!$B$2:$B$1800,BO$1)</f>
        <v>0</v>
      </c>
      <c r="BP40" s="117" t="n">
        <f aca="false">SUMIFS(الريسبي!$C$2:$C$1800,الريسبي!$A$2:$A$1800,$A40,الريسبي!$B$2:$B$1800,BP$1)</f>
        <v>2</v>
      </c>
      <c r="BQ40" s="117" t="n">
        <f aca="false">SUMIFS(الريسبي!$C$2:$C$1800,الريسبي!$A$2:$A$1800,$A40,الريسبي!$B$2:$B$1800,BQ$1)+0.17*SUMIFS(الريسبي!$C$2:$C$1800,الريسبي!$A$2:$A$1800,$A40,الريسبي!$B$2:$B$1800,"كاسترد مصنع (خليط بودر + لبن)")+0.17*SUMIFS(الريسبي!$C$2:$C$1800,الريسبي!$A$2:$A$1800,$A40,الريسبي!$B$2:$B$1800,"كاسترد مصنع صيامي (بدون لبن)")</f>
        <v>0</v>
      </c>
      <c r="BR40" s="117" t="n">
        <f aca="false">SUMIFS(الريسبي!$C$2:$C$1800,الريسبي!$A$2:$A$1800,$A40,الريسبي!$B$2:$B$1800,BR$1)</f>
        <v>1</v>
      </c>
      <c r="BS40" s="117" t="n">
        <f aca="false">SUMIFS(الريسبي!$C$2:$C$1800,الريسبي!$A$2:$A$1800,$A40,الريسبي!$B$2:$B$1800,BS$1)</f>
        <v>0</v>
      </c>
      <c r="BT40" s="117" t="n">
        <f aca="false">SUMIFS(الريسبي!$C$2:$C$1800,الريسبي!$A$2:$A$1800,$A40,الريسبي!$B$2:$B$1800,BT$1)</f>
        <v>0</v>
      </c>
      <c r="BU40" s="117" t="n">
        <f aca="false">SUMIFS(الريسبي!$C$2:$C$1800,الريسبي!$A$2:$A$1800,$A40,الريسبي!$B$2:$B$1800,BU$1)+0.4*SUMIFS(الريسبي!$C$2:$C$1800,الريسبي!$A$2:$A$1800,$A40,الريسبي!$B$2:$B$1800,"كاسترد مصنع (خليط بودر + لبن)")+0.03333333333*SUMIFS(الريسبي!$C$2:$C$1800,الريسبي!$A$2:$A$1800,$A40,الريسبي!$B$2:$B$1800,"عجين كريب (مصنع بالمطعم)")</f>
        <v>0</v>
      </c>
      <c r="BV40" s="117" t="n">
        <f aca="false">SUMIFS(الريسبي!$C$2:$C$1800,الريسبي!$A$2:$A$1800,$A40,الريسبي!$B$2:$B$1800,BV$1)</f>
        <v>0</v>
      </c>
      <c r="BW40" s="117" t="n">
        <f aca="false">SUMIFS(الريسبي!$C$2:$C$1800,الريسبي!$A$2:$A$1800,$A40,الريسبي!$B$2:$B$1800,BW$1)</f>
        <v>0</v>
      </c>
      <c r="BX40" s="117" t="n">
        <f aca="false">SUMIFS(الريسبي!$C$2:$C$1800,الريسبي!$A$2:$A$1800,$A40,الريسبي!$B$2:$B$1800,BX$1)</f>
        <v>0</v>
      </c>
      <c r="BY40" s="117" t="n">
        <f aca="false">SUMIFS(الريسبي!$C$2:$C$1800,الريسبي!$A$2:$A$1800,$A40,الريسبي!$B$2:$B$1800,BY$1)</f>
        <v>0</v>
      </c>
      <c r="BZ40" s="117" t="n">
        <f aca="false">SUMIFS(الريسبي!$C$2:$C$1800,الريسبي!$A$2:$A$1800,$A40,الريسبي!$B$2:$B$1800,BZ$1)</f>
        <v>0</v>
      </c>
      <c r="CA40" s="117" t="n">
        <f aca="false">SUMIFS(الريسبي!$C$2:$C$1800,الريسبي!$A$2:$A$1800,$A40,الريسبي!$B$2:$B$1800,CA$1)</f>
        <v>1</v>
      </c>
      <c r="CB40" s="117" t="n">
        <f aca="false">SUMIFS(الريسبي!$C$2:$C$1800,الريسبي!$A$2:$A$1800,$A40,الريسبي!$B$2:$B$1800,CB$1)</f>
        <v>1</v>
      </c>
      <c r="CC40" s="117" t="n">
        <f aca="false">SUMIFS(الريسبي!$C$2:$C$1800,الريسبي!$A$2:$A$1800,$A40,الريسبي!$B$2:$B$1800,CC$1)</f>
        <v>0</v>
      </c>
      <c r="CD40" s="117" t="n">
        <f aca="false">SUMIFS(الريسبي!$C$2:$C$1800,الريسبي!$A$2:$A$1800,$A40,الريسبي!$B$2:$B$1800,CD$1)</f>
        <v>0</v>
      </c>
      <c r="CE40" s="117" t="n">
        <f aca="false">SUMIFS(الريسبي!$C$2:$C$1800,الريسبي!$A$2:$A$1800,$A40,الريسبي!$B$2:$B$1800,CE$1)</f>
        <v>0</v>
      </c>
      <c r="CF40" s="117" t="n">
        <f aca="false">SUMIFS(الريسبي!$C$2:$C$1800,الريسبي!$A$2:$A$1800,$A40,الريسبي!$B$2:$B$1800,CF$1)</f>
        <v>0</v>
      </c>
      <c r="CG40" s="117" t="n">
        <f aca="false">SUMIFS(الريسبي!$C$2:$C$1800,الريسبي!$A$2:$A$1800,$A40,الريسبي!$B$2:$B$1800,CG$1)</f>
        <v>0</v>
      </c>
      <c r="CH40" s="117" t="n">
        <f aca="false">SUMIFS(الريسبي!$C$2:$C$1800,الريسبي!$A$2:$A$1800,$A40,الريسبي!$B$2:$B$1800,CH$1)</f>
        <v>0</v>
      </c>
      <c r="CI40" s="117" t="n">
        <f aca="false">SUMIFS(الريسبي!$C$2:$C$1800,الريسبي!$A$2:$A$1800,$A40,الريسبي!$B$2:$B$1800,CI$1)</f>
        <v>0</v>
      </c>
      <c r="CJ40" s="117" t="n">
        <f aca="false">SUMIFS(الريسبي!$C$2:$C$1800,الريسبي!$A$2:$A$1800,$A40,الريسبي!$B$2:$B$1800,CJ$1)</f>
        <v>0</v>
      </c>
      <c r="CK40" s="117" t="n">
        <f aca="false">SUMIFS(الريسبي!$C$2:$C$1800,الريسبي!$A$2:$A$1800,$A40,الريسبي!$B$2:$B$1800,CK$1)</f>
        <v>0</v>
      </c>
      <c r="CL40" s="117" t="n">
        <f aca="false">SUMIFS(الريسبي!$C$2:$C$1800,الريسبي!$A$2:$A$1800,$A40,الريسبي!$B$2:$B$1800,CL$1)</f>
        <v>0</v>
      </c>
    </row>
    <row r="41" customFormat="false" ht="15" hidden="false" customHeight="false" outlineLevel="0" collapsed="false">
      <c r="A41" s="116" t="str">
        <f aca="false">المنيو!B41</f>
        <v>فطيرة مشكل لحوم النكش حجم اكبر</v>
      </c>
      <c r="B41" s="117" t="n">
        <f aca="false">SUMIFS(الريسبي!$C$2:$C$1800,الريسبي!$A$2:$A$1800,$A41,الريسبي!$B$2:$B$1800,B$1)</f>
        <v>0</v>
      </c>
      <c r="C41" s="117" t="n">
        <f aca="false">SUMIFS(الريسبي!$C$2:$C$1800,الريسبي!$A$2:$A$1800,$A41,الريسبي!$B$2:$B$1800,C$1)</f>
        <v>0</v>
      </c>
      <c r="D41" s="117" t="n">
        <f aca="false">SUMIFS(الريسبي!$C$2:$C$1800,الريسبي!$A$2:$A$1800,$A41,الريسبي!$B$2:$B$1800,D$1)</f>
        <v>1</v>
      </c>
      <c r="E41" s="117" t="n">
        <f aca="false">SUMIFS(الريسبي!$C$2:$C$1800,الريسبي!$A$2:$A$1800,$A41,الريسبي!$B$2:$B$1800,E$1)</f>
        <v>0</v>
      </c>
      <c r="F41" s="117" t="n">
        <f aca="false">SUMIFS(الريسبي!$C$2:$C$1800,الريسبي!$A$2:$A$1800,$A41,الريسبي!$B$2:$B$1800,F$1)</f>
        <v>0</v>
      </c>
      <c r="G41" s="117" t="n">
        <f aca="false">SUMIFS(الريسبي!$C$2:$C$1800,الريسبي!$A$2:$A$1800,$A41,الريسبي!$B$2:$B$1800,G$1)</f>
        <v>0</v>
      </c>
      <c r="H41" s="117" t="n">
        <f aca="false">SUMIFS(الريسبي!$C$2:$C$1800,الريسبي!$A$2:$A$1800,$A41,الريسبي!$B$2:$B$1800,H$1)</f>
        <v>1</v>
      </c>
      <c r="I41" s="117" t="n">
        <f aca="false">SUMIFS(الريسبي!$C$2:$C$1800,الريسبي!$A$2:$A$1800,$A41,الريسبي!$B$2:$B$1800,I$1)</f>
        <v>0</v>
      </c>
      <c r="J41" s="117" t="n">
        <f aca="false">SUMIFS(الريسبي!$C$2:$C$1800,الريسبي!$A$2:$A$1800,$A41,الريسبي!$B$2:$B$1800,J$1)</f>
        <v>0</v>
      </c>
      <c r="K41" s="117" t="n">
        <f aca="false">SUMIFS(الريسبي!$C$2:$C$1800,الريسبي!$A$2:$A$1800,$A41,الريسبي!$B$2:$B$1800,K$1)</f>
        <v>0</v>
      </c>
      <c r="L41" s="117" t="n">
        <f aca="false">SUMIFS(الريسبي!$C$2:$C$1800,الريسبي!$A$2:$A$1800,$A41,الريسبي!$B$2:$B$1800,L$1)</f>
        <v>0</v>
      </c>
      <c r="M41" s="117" t="n">
        <f aca="false">SUMIFS(الريسبي!$C$2:$C$1800,الريسبي!$A$2:$A$1800,$A41,الريسبي!$B$2:$B$1800,M$1)</f>
        <v>1</v>
      </c>
      <c r="N41" s="117" t="n">
        <f aca="false">SUMIFS(الريسبي!$C$2:$C$1800,الريسبي!$A$2:$A$1800,$A41,الريسبي!$B$2:$B$1800,N$1)</f>
        <v>0</v>
      </c>
      <c r="O41" s="117" t="n">
        <f aca="false">SUMIFS(الريسبي!$C$2:$C$1800,الريسبي!$A$2:$A$1800,$A41,الريسبي!$B$2:$B$1800,O$1)</f>
        <v>0</v>
      </c>
      <c r="P41" s="117" t="n">
        <f aca="false">SUMIFS(الريسبي!$C$2:$C$1800,الريسبي!$A$2:$A$1800,$A41,الريسبي!$B$2:$B$1800,P$1)</f>
        <v>0</v>
      </c>
      <c r="Q41" s="117" t="n">
        <f aca="false">SUMIFS(الريسبي!$C$2:$C$1800,الريسبي!$A$2:$A$1800,$A41,الريسبي!$B$2:$B$1800,Q$1)</f>
        <v>0</v>
      </c>
      <c r="R41" s="117" t="n">
        <f aca="false">SUMIFS(الريسبي!$C$2:$C$1800,الريسبي!$A$2:$A$1800,$A41,الريسبي!$B$2:$B$1800,R$1)</f>
        <v>0</v>
      </c>
      <c r="S41" s="117" t="n">
        <f aca="false">SUMIFS(الريسبي!$C$2:$C$1800,الريسبي!$A$2:$A$1800,$A41,الريسبي!$B$2:$B$1800,S$1)</f>
        <v>0</v>
      </c>
      <c r="T41" s="117" t="n">
        <f aca="false">SUMIFS(الريسبي!$C$2:$C$1800,الريسبي!$A$2:$A$1800,$A41,الريسبي!$B$2:$B$1800,T$1)</f>
        <v>1</v>
      </c>
      <c r="U41" s="117" t="n">
        <f aca="false">SUMIFS(الريسبي!$C$2:$C$1800,الريسبي!$A$2:$A$1800,$A41,الريسبي!$B$2:$B$1800,U$1)</f>
        <v>0</v>
      </c>
      <c r="V41" s="117" t="n">
        <f aca="false">SUMIFS(الريسبي!$C$2:$C$1800,الريسبي!$A$2:$A$1800,$A41,الريسبي!$B$2:$B$1800,V$1)</f>
        <v>0</v>
      </c>
      <c r="W41" s="117" t="n">
        <f aca="false">SUMIFS(الريسبي!$C$2:$C$1800,الريسبي!$A$2:$A$1800,$A41,الريسبي!$B$2:$B$1800,W$1)</f>
        <v>0</v>
      </c>
      <c r="X41" s="117" t="n">
        <f aca="false">SUMIFS(الريسبي!$C$2:$C$1800,الريسبي!$A$2:$A$1800,$A41,الريسبي!$B$2:$B$1800,X$1)</f>
        <v>0</v>
      </c>
      <c r="Y41" s="117" t="n">
        <f aca="false">SUMIFS(الريسبي!$C$2:$C$1800,الريسبي!$A$2:$A$1800,$A41,الريسبي!$B$2:$B$1800,Y$1)</f>
        <v>1</v>
      </c>
      <c r="Z41" s="117" t="n">
        <f aca="false">SUMIFS(الريسبي!$C$2:$C$1800,الريسبي!$A$2:$A$1800,$A41,الريسبي!$B$2:$B$1800,Z$1)</f>
        <v>0</v>
      </c>
      <c r="AA41" s="117" t="n">
        <f aca="false">SUMIFS(الريسبي!$C$2:$C$1800,الريسبي!$A$2:$A$1800,$A41,الريسبي!$B$2:$B$1800,AA$1)</f>
        <v>0</v>
      </c>
      <c r="AB41" s="117" t="n">
        <f aca="false">SUMIFS(الريسبي!$C$2:$C$1800,الريسبي!$A$2:$A$1800,$A41,الريسبي!$B$2:$B$1800,AB$1)</f>
        <v>0</v>
      </c>
      <c r="AC41" s="117" t="n">
        <f aca="false">SUMIFS(الريسبي!$C$2:$C$1800,الريسبي!$A$2:$A$1800,$A41,الريسبي!$B$2:$B$1800,AC$1)</f>
        <v>0</v>
      </c>
      <c r="AD41" s="117" t="n">
        <f aca="false">SUMIFS(الريسبي!$C$2:$C$1800,الريسبي!$A$2:$A$1800,$A41,الريسبي!$B$2:$B$1800,AD$1)</f>
        <v>0</v>
      </c>
      <c r="AE41" s="117" t="n">
        <f aca="false">SUMIFS(الريسبي!$C$2:$C$1800,الريسبي!$A$2:$A$1800,$A41,الريسبي!$B$2:$B$1800,AE$1)</f>
        <v>0</v>
      </c>
      <c r="AF41" s="117" t="n">
        <f aca="false">SUMIFS(الريسبي!$C$2:$C$1800,الريسبي!$A$2:$A$1800,$A41,الريسبي!$B$2:$B$1800,AF$1)</f>
        <v>0</v>
      </c>
      <c r="AG41" s="117" t="n">
        <f aca="false">SUMIFS(الريسبي!$C$2:$C$1800,الريسبي!$A$2:$A$1800,$A41,الريسبي!$B$2:$B$1800,AG$1)</f>
        <v>0</v>
      </c>
      <c r="AH41" s="117" t="n">
        <f aca="false">SUMIFS(الريسبي!$C$2:$C$1800,الريسبي!$A$2:$A$1800,$A41,الريسبي!$B$2:$B$1800,AH$1)</f>
        <v>0</v>
      </c>
      <c r="AI41" s="117" t="n">
        <f aca="false">SUMIFS(الريسبي!$C$2:$C$1800,الريسبي!$A$2:$A$1800,$A41,الريسبي!$B$2:$B$1800,AI$1)</f>
        <v>0</v>
      </c>
      <c r="AJ41" s="117" t="n">
        <f aca="false">SUMIFS(الريسبي!$C$2:$C$1800,الريسبي!$A$2:$A$1800,$A41,الريسبي!$B$2:$B$1800,AJ$1)</f>
        <v>2</v>
      </c>
      <c r="AK41" s="117" t="n">
        <f aca="false">SUMIFS(الريسبي!$C$2:$C$1800,الريسبي!$A$2:$A$1800,$A41,الريسبي!$B$2:$B$1800,AK$1)</f>
        <v>0</v>
      </c>
      <c r="AL41" s="117" t="n">
        <f aca="false">SUMIFS(الريسبي!$C$2:$C$1800,الريسبي!$A$2:$A$1800,$A41,الريسبي!$B$2:$B$1800,AL$1)</f>
        <v>0</v>
      </c>
      <c r="AM41" s="117" t="n">
        <f aca="false">SUMIFS(الريسبي!$C$2:$C$1800,الريسبي!$A$2:$A$1800,$A41,الريسبي!$B$2:$B$1800,AM$1)+0.08333333333*SUMIFS(الريسبي!$C$2:$C$1800,الريسبي!$A$2:$A$1800,$A41,الريسبي!$B$2:$B$1800,"عجين كريب (مصنع بالمطعم)")+0.08333333333*SUMIFS(الريسبي!$C$2:$C$1800,الريسبي!$A$2:$A$1800,$A41,الريسبي!$B$2:$B$1800,"عجين كريب صيامي (بدون لبن)")</f>
        <v>0</v>
      </c>
      <c r="AN41" s="117" t="n">
        <f aca="false">SUMIFS(الريسبي!$C$2:$C$1800,الريسبي!$A$2:$A$1800,$A41,الريسبي!$B$2:$B$1800,AN$1)+0.004166666667*SUMIFS(الريسبي!$C$2:$C$1800,الريسبي!$A$2:$A$1800,$A41,الريسبي!$B$2:$B$1800,"عجين كريب (مصنع بالمطعم)")+0.004166666667*SUMIFS(الريسبي!$C$2:$C$1800,الريسبي!$A$2:$A$1800,$A41,الريسبي!$B$2:$B$1800,"عجين كريب صيامي (بدون لبن)")</f>
        <v>0</v>
      </c>
      <c r="AO41" s="117" t="n">
        <f aca="false">SUMIFS(الريسبي!$C$2:$C$1800,الريسبي!$A$2:$A$1800,$A41,الريسبي!$B$2:$B$1800,AO$1)</f>
        <v>0</v>
      </c>
      <c r="AP41" s="117" t="n">
        <f aca="false">SUMIFS(الريسبي!$C$2:$C$1800,الريسبي!$A$2:$A$1800,$A41,الريسبي!$B$2:$B$1800,AP$1)</f>
        <v>0.03</v>
      </c>
      <c r="AQ41" s="117" t="n">
        <f aca="false">SUMIFS(الريسبي!$C$2:$C$1800,الريسبي!$A$2:$A$1800,$A41,الريسبي!$B$2:$B$1800,AQ$1)+0.004166666667*SUMIFS(الريسبي!$C$2:$C$1800,الريسبي!$A$2:$A$1800,$A41,الريسبي!$B$2:$B$1800,"عجين كريب (مصنع بالمطعم)")+0.004166666667*SUMIFS(الريسبي!$C$2:$C$1800,الريسبي!$A$2:$A$1800,$A41,الريسبي!$B$2:$B$1800,"عجين كريب صيامي (بدون لبن)")</f>
        <v>0</v>
      </c>
      <c r="AR41" s="117" t="n">
        <f aca="false">SUMIFS(الريسبي!$C$2:$C$1800,الريسبي!$A$2:$A$1800,$A41,الريسبي!$B$2:$B$1800,AR$1)</f>
        <v>0</v>
      </c>
      <c r="AS41" s="117" t="n">
        <f aca="false">SUMIFS(الريسبي!$C$2:$C$1800,الريسبي!$A$2:$A$1800,$A41,الريسبي!$B$2:$B$1800,AS$1)</f>
        <v>0</v>
      </c>
      <c r="AT41" s="117" t="n">
        <f aca="false">SUMIFS(الريسبي!$C$2:$C$1800,الريسبي!$A$2:$A$1800,$A41,الريسبي!$B$2:$B$1800,AT$1)</f>
        <v>0</v>
      </c>
      <c r="AU41" s="117" t="n">
        <f aca="false">SUMIFS(الريسبي!$C$2:$C$1800,الريسبي!$A$2:$A$1800,$A41,الريسبي!$B$2:$B$1800,AU$1)</f>
        <v>0</v>
      </c>
      <c r="AV41" s="117" t="n">
        <f aca="false">SUMIFS(الريسبي!$C$2:$C$1800,الريسبي!$A$2:$A$1800,$A41,الريسبي!$B$2:$B$1800,AV$1)</f>
        <v>0</v>
      </c>
      <c r="AW41" s="117" t="n">
        <f aca="false">SUMIFS(الريسبي!$C$2:$C$1800,الريسبي!$A$2:$A$1800,$A41,الريسبي!$B$2:$B$1800,AW$1)</f>
        <v>0</v>
      </c>
      <c r="AX41" s="117" t="n">
        <f aca="false">SUMIFS(الريسبي!$C$2:$C$1800,الريسبي!$A$2:$A$1800,$A41,الريسبي!$B$2:$B$1800,AX$1)</f>
        <v>0</v>
      </c>
      <c r="AY41" s="117" t="n">
        <f aca="false">SUMIFS(الريسبي!$C$2:$C$1800,الريسبي!$A$2:$A$1800,$A41,الريسبي!$B$2:$B$1800,AY$1)</f>
        <v>0</v>
      </c>
      <c r="AZ41" s="117" t="n">
        <f aca="false">SUMIFS(الريسبي!$C$2:$C$1800,الريسبي!$A$2:$A$1800,$A41,الريسبي!$B$2:$B$1800,AZ$1)</f>
        <v>0</v>
      </c>
      <c r="BA41" s="117" t="n">
        <f aca="false">SUMIFS(الريسبي!$C$2:$C$1800,الريسبي!$A$2:$A$1800,$A41,الريسبي!$B$2:$B$1800,BA$1)</f>
        <v>0</v>
      </c>
      <c r="BB41" s="117" t="n">
        <f aca="false">SUMIFS(الريسبي!$C$2:$C$1800,الريسبي!$A$2:$A$1800,$A41,الريسبي!$B$2:$B$1800,BB$1)</f>
        <v>0</v>
      </c>
      <c r="BC41" s="117" t="n">
        <f aca="false">SUMIFS(الريسبي!$C$2:$C$1800,الريسبي!$A$2:$A$1800,$A41,الريسبي!$B$2:$B$1800,BC$1)</f>
        <v>0.045</v>
      </c>
      <c r="BD41" s="117" t="n">
        <f aca="false">SUMIFS(الريسبي!$C$2:$C$1800,الريسبي!$A$2:$A$1800,$A41,الريسبي!$B$2:$B$1800,BD$1)</f>
        <v>0</v>
      </c>
      <c r="BE41" s="117" t="n">
        <f aca="false">SUMIFS(الريسبي!$C$2:$C$1800,الريسبي!$A$2:$A$1800,$A41,الريسبي!$B$2:$B$1800,BE$1)</f>
        <v>1.5</v>
      </c>
      <c r="BF41" s="117" t="n">
        <f aca="false">SUMIFS(الريسبي!$C$2:$C$1800,الريسبي!$A$2:$A$1800,$A41,الريسبي!$B$2:$B$1800,BF$1)</f>
        <v>0</v>
      </c>
      <c r="BG41" s="117" t="n">
        <f aca="false">SUMIFS(الريسبي!$C$2:$C$1800,الريسبي!$A$2:$A$1800,$A41,الريسبي!$B$2:$B$1800,BG$1)</f>
        <v>1</v>
      </c>
      <c r="BH41" s="117" t="n">
        <f aca="false">SUMIFS(الريسبي!$C$2:$C$1800,الريسبي!$A$2:$A$1800,$A41,الريسبي!$B$2:$B$1800,BH$1)</f>
        <v>0</v>
      </c>
      <c r="BI41" s="117" t="n">
        <f aca="false">SUMIFS(الريسبي!$C$2:$C$1800,الريسبي!$A$2:$A$1800,$A41,الريسبي!$B$2:$B$1800,BI$1)</f>
        <v>0</v>
      </c>
      <c r="BJ41" s="117" t="n">
        <f aca="false">SUMIFS(الريسبي!$C$2:$C$1800,الريسبي!$A$2:$A$1800,$A41,الريسبي!$B$2:$B$1800,BJ$1)</f>
        <v>0</v>
      </c>
      <c r="BK41" s="117" t="n">
        <f aca="false">SUMIFS(الريسبي!$C$2:$C$1800,الريسبي!$A$2:$A$1800,$A41,الريسبي!$B$2:$B$1800,BK$1)</f>
        <v>0</v>
      </c>
      <c r="BL41" s="117" t="n">
        <f aca="false">SUMIFS(الريسبي!$C$2:$C$1800,الريسبي!$A$2:$A$1800,$A41,الريسبي!$B$2:$B$1800,BL$1)</f>
        <v>0</v>
      </c>
      <c r="BM41" s="117" t="n">
        <f aca="false">SUMIFS(الريسبي!$C$2:$C$1800,الريسبي!$A$2:$A$1800,$A41,الريسبي!$B$2:$B$1800,BM$1)</f>
        <v>0</v>
      </c>
      <c r="BN41" s="117" t="n">
        <f aca="false">SUMIFS(الريسبي!$C$2:$C$1800,الريسبي!$A$2:$A$1800,$A41,الريسبي!$B$2:$B$1800,BN$1)</f>
        <v>0.03</v>
      </c>
      <c r="BO41" s="117" t="n">
        <f aca="false">SUMIFS(الريسبي!$C$2:$C$1800,الريسبي!$A$2:$A$1800,$A41,الريسبي!$B$2:$B$1800,BO$1)</f>
        <v>0</v>
      </c>
      <c r="BP41" s="117" t="n">
        <f aca="false">SUMIFS(الريسبي!$C$2:$C$1800,الريسبي!$A$2:$A$1800,$A41,الريسبي!$B$2:$B$1800,BP$1)</f>
        <v>3</v>
      </c>
      <c r="BQ41" s="117" t="n">
        <f aca="false">SUMIFS(الريسبي!$C$2:$C$1800,الريسبي!$A$2:$A$1800,$A41,الريسبي!$B$2:$B$1800,BQ$1)+0.17*SUMIFS(الريسبي!$C$2:$C$1800,الريسبي!$A$2:$A$1800,$A41,الريسبي!$B$2:$B$1800,"كاسترد مصنع (خليط بودر + لبن)")+0.17*SUMIFS(الريسبي!$C$2:$C$1800,الريسبي!$A$2:$A$1800,$A41,الريسبي!$B$2:$B$1800,"كاسترد مصنع صيامي (بدون لبن)")</f>
        <v>0</v>
      </c>
      <c r="BR41" s="117" t="n">
        <f aca="false">SUMIFS(الريسبي!$C$2:$C$1800,الريسبي!$A$2:$A$1800,$A41,الريسبي!$B$2:$B$1800,BR$1)</f>
        <v>1</v>
      </c>
      <c r="BS41" s="117" t="n">
        <f aca="false">SUMIFS(الريسبي!$C$2:$C$1800,الريسبي!$A$2:$A$1800,$A41,الريسبي!$B$2:$B$1800,BS$1)</f>
        <v>0</v>
      </c>
      <c r="BT41" s="117" t="n">
        <f aca="false">SUMIFS(الريسبي!$C$2:$C$1800,الريسبي!$A$2:$A$1800,$A41,الريسبي!$B$2:$B$1800,BT$1)</f>
        <v>0</v>
      </c>
      <c r="BU41" s="117" t="n">
        <f aca="false">SUMIFS(الريسبي!$C$2:$C$1800,الريسبي!$A$2:$A$1800,$A41,الريسبي!$B$2:$B$1800,BU$1)+0.4*SUMIFS(الريسبي!$C$2:$C$1800,الريسبي!$A$2:$A$1800,$A41,الريسبي!$B$2:$B$1800,"كاسترد مصنع (خليط بودر + لبن)")+0.03333333333*SUMIFS(الريسبي!$C$2:$C$1800,الريسبي!$A$2:$A$1800,$A41,الريسبي!$B$2:$B$1800,"عجين كريب (مصنع بالمطعم)")</f>
        <v>0</v>
      </c>
      <c r="BV41" s="117" t="n">
        <f aca="false">SUMIFS(الريسبي!$C$2:$C$1800,الريسبي!$A$2:$A$1800,$A41,الريسبي!$B$2:$B$1800,BV$1)</f>
        <v>0</v>
      </c>
      <c r="BW41" s="117" t="n">
        <f aca="false">SUMIFS(الريسبي!$C$2:$C$1800,الريسبي!$A$2:$A$1800,$A41,الريسبي!$B$2:$B$1800,BW$1)</f>
        <v>0</v>
      </c>
      <c r="BX41" s="117" t="n">
        <f aca="false">SUMIFS(الريسبي!$C$2:$C$1800,الريسبي!$A$2:$A$1800,$A41,الريسبي!$B$2:$B$1800,BX$1)</f>
        <v>0</v>
      </c>
      <c r="BY41" s="117" t="n">
        <f aca="false">SUMIFS(الريسبي!$C$2:$C$1800,الريسبي!$A$2:$A$1800,$A41,الريسبي!$B$2:$B$1800,BY$1)</f>
        <v>0</v>
      </c>
      <c r="BZ41" s="117" t="n">
        <f aca="false">SUMIFS(الريسبي!$C$2:$C$1800,الريسبي!$A$2:$A$1800,$A41,الريسبي!$B$2:$B$1800,BZ$1)</f>
        <v>0</v>
      </c>
      <c r="CA41" s="117" t="n">
        <f aca="false">SUMIFS(الريسبي!$C$2:$C$1800,الريسبي!$A$2:$A$1800,$A41,الريسبي!$B$2:$B$1800,CA$1)</f>
        <v>1</v>
      </c>
      <c r="CB41" s="117" t="n">
        <f aca="false">SUMIFS(الريسبي!$C$2:$C$1800,الريسبي!$A$2:$A$1800,$A41,الريسبي!$B$2:$B$1800,CB$1)</f>
        <v>1</v>
      </c>
      <c r="CC41" s="117" t="n">
        <f aca="false">SUMIFS(الريسبي!$C$2:$C$1800,الريسبي!$A$2:$A$1800,$A41,الريسبي!$B$2:$B$1800,CC$1)</f>
        <v>0</v>
      </c>
      <c r="CD41" s="117" t="n">
        <f aca="false">SUMIFS(الريسبي!$C$2:$C$1800,الريسبي!$A$2:$A$1800,$A41,الريسبي!$B$2:$B$1800,CD$1)</f>
        <v>0</v>
      </c>
      <c r="CE41" s="117" t="n">
        <f aca="false">SUMIFS(الريسبي!$C$2:$C$1800,الريسبي!$A$2:$A$1800,$A41,الريسبي!$B$2:$B$1800,CE$1)</f>
        <v>0</v>
      </c>
      <c r="CF41" s="117" t="n">
        <f aca="false">SUMIFS(الريسبي!$C$2:$C$1800,الريسبي!$A$2:$A$1800,$A41,الريسبي!$B$2:$B$1800,CF$1)</f>
        <v>0</v>
      </c>
      <c r="CG41" s="117" t="n">
        <f aca="false">SUMIFS(الريسبي!$C$2:$C$1800,الريسبي!$A$2:$A$1800,$A41,الريسبي!$B$2:$B$1800,CG$1)</f>
        <v>0</v>
      </c>
      <c r="CH41" s="117" t="n">
        <f aca="false">SUMIFS(الريسبي!$C$2:$C$1800,الريسبي!$A$2:$A$1800,$A41,الريسبي!$B$2:$B$1800,CH$1)</f>
        <v>0</v>
      </c>
      <c r="CI41" s="117" t="n">
        <f aca="false">SUMIFS(الريسبي!$C$2:$C$1800,الريسبي!$A$2:$A$1800,$A41,الريسبي!$B$2:$B$1800,CI$1)</f>
        <v>0</v>
      </c>
      <c r="CJ41" s="117" t="n">
        <f aca="false">SUMIFS(الريسبي!$C$2:$C$1800,الريسبي!$A$2:$A$1800,$A41,الريسبي!$B$2:$B$1800,CJ$1)</f>
        <v>0</v>
      </c>
      <c r="CK41" s="117" t="n">
        <f aca="false">SUMIFS(الريسبي!$C$2:$C$1800,الريسبي!$A$2:$A$1800,$A41,الريسبي!$B$2:$B$1800,CK$1)</f>
        <v>0</v>
      </c>
      <c r="CL41" s="117" t="n">
        <f aca="false">SUMIFS(الريسبي!$C$2:$C$1800,الريسبي!$A$2:$A$1800,$A41,الريسبي!$B$2:$B$1800,CL$1)</f>
        <v>0</v>
      </c>
    </row>
    <row r="42" customFormat="false" ht="15" hidden="false" customHeight="false" outlineLevel="0" collapsed="false">
      <c r="A42" s="116" t="str">
        <f aca="false">المنيو!B42</f>
        <v>فطيرة مشلتت بالسمنة البلدي صغير</v>
      </c>
      <c r="B42" s="117" t="n">
        <f aca="false">SUMIFS(الريسبي!$C$2:$C$1800,الريسبي!$A$2:$A$1800,$A42,الريسبي!$B$2:$B$1800,B$1)</f>
        <v>0</v>
      </c>
      <c r="C42" s="117" t="n">
        <f aca="false">SUMIFS(الريسبي!$C$2:$C$1800,الريسبي!$A$2:$A$1800,$A42,الريسبي!$B$2:$B$1800,C$1)</f>
        <v>0</v>
      </c>
      <c r="D42" s="117" t="n">
        <f aca="false">SUMIFS(الريسبي!$C$2:$C$1800,الريسبي!$A$2:$A$1800,$A42,الريسبي!$B$2:$B$1800,D$1)</f>
        <v>0</v>
      </c>
      <c r="E42" s="117" t="n">
        <f aca="false">SUMIFS(الريسبي!$C$2:$C$1800,الريسبي!$A$2:$A$1800,$A42,الريسبي!$B$2:$B$1800,E$1)</f>
        <v>1</v>
      </c>
      <c r="F42" s="117" t="n">
        <f aca="false">SUMIFS(الريسبي!$C$2:$C$1800,الريسبي!$A$2:$A$1800,$A42,الريسبي!$B$2:$B$1800,F$1)</f>
        <v>0</v>
      </c>
      <c r="G42" s="117" t="n">
        <f aca="false">SUMIFS(الريسبي!$C$2:$C$1800,الريسبي!$A$2:$A$1800,$A42,الريسبي!$B$2:$B$1800,G$1)</f>
        <v>0</v>
      </c>
      <c r="H42" s="117" t="n">
        <f aca="false">SUMIFS(الريسبي!$C$2:$C$1800,الريسبي!$A$2:$A$1800,$A42,الريسبي!$B$2:$B$1800,H$1)</f>
        <v>0</v>
      </c>
      <c r="I42" s="117" t="n">
        <f aca="false">SUMIFS(الريسبي!$C$2:$C$1800,الريسبي!$A$2:$A$1800,$A42,الريسبي!$B$2:$B$1800,I$1)</f>
        <v>0</v>
      </c>
      <c r="J42" s="117" t="n">
        <f aca="false">SUMIFS(الريسبي!$C$2:$C$1800,الريسبي!$A$2:$A$1800,$A42,الريسبي!$B$2:$B$1800,J$1)</f>
        <v>0</v>
      </c>
      <c r="K42" s="117" t="n">
        <f aca="false">SUMIFS(الريسبي!$C$2:$C$1800,الريسبي!$A$2:$A$1800,$A42,الريسبي!$B$2:$B$1800,K$1)</f>
        <v>0</v>
      </c>
      <c r="L42" s="117" t="n">
        <f aca="false">SUMIFS(الريسبي!$C$2:$C$1800,الريسبي!$A$2:$A$1800,$A42,الريسبي!$B$2:$B$1800,L$1)</f>
        <v>0</v>
      </c>
      <c r="M42" s="117" t="n">
        <f aca="false">SUMIFS(الريسبي!$C$2:$C$1800,الريسبي!$A$2:$A$1800,$A42,الريسبي!$B$2:$B$1800,M$1)</f>
        <v>0</v>
      </c>
      <c r="N42" s="117" t="n">
        <f aca="false">SUMIFS(الريسبي!$C$2:$C$1800,الريسبي!$A$2:$A$1800,$A42,الريسبي!$B$2:$B$1800,N$1)</f>
        <v>0</v>
      </c>
      <c r="O42" s="117" t="n">
        <f aca="false">SUMIFS(الريسبي!$C$2:$C$1800,الريسبي!$A$2:$A$1800,$A42,الريسبي!$B$2:$B$1800,O$1)</f>
        <v>0</v>
      </c>
      <c r="P42" s="117" t="n">
        <f aca="false">SUMIFS(الريسبي!$C$2:$C$1800,الريسبي!$A$2:$A$1800,$A42,الريسبي!$B$2:$B$1800,P$1)</f>
        <v>0</v>
      </c>
      <c r="Q42" s="117" t="n">
        <f aca="false">SUMIFS(الريسبي!$C$2:$C$1800,الريسبي!$A$2:$A$1800,$A42,الريسبي!$B$2:$B$1800,Q$1)</f>
        <v>0</v>
      </c>
      <c r="R42" s="117" t="n">
        <f aca="false">SUMIFS(الريسبي!$C$2:$C$1800,الريسبي!$A$2:$A$1800,$A42,الريسبي!$B$2:$B$1800,R$1)</f>
        <v>0</v>
      </c>
      <c r="S42" s="117" t="n">
        <f aca="false">SUMIFS(الريسبي!$C$2:$C$1800,الريسبي!$A$2:$A$1800,$A42,الريسبي!$B$2:$B$1800,S$1)</f>
        <v>0</v>
      </c>
      <c r="T42" s="117" t="n">
        <f aca="false">SUMIFS(الريسبي!$C$2:$C$1800,الريسبي!$A$2:$A$1800,$A42,الريسبي!$B$2:$B$1800,T$1)</f>
        <v>0</v>
      </c>
      <c r="U42" s="117" t="n">
        <f aca="false">SUMIFS(الريسبي!$C$2:$C$1800,الريسبي!$A$2:$A$1800,$A42,الريسبي!$B$2:$B$1800,U$1)</f>
        <v>0</v>
      </c>
      <c r="V42" s="117" t="n">
        <f aca="false">SUMIFS(الريسبي!$C$2:$C$1800,الريسبي!$A$2:$A$1800,$A42,الريسبي!$B$2:$B$1800,V$1)</f>
        <v>0</v>
      </c>
      <c r="W42" s="117" t="n">
        <f aca="false">SUMIFS(الريسبي!$C$2:$C$1800,الريسبي!$A$2:$A$1800,$A42,الريسبي!$B$2:$B$1800,W$1)</f>
        <v>0</v>
      </c>
      <c r="X42" s="117" t="n">
        <f aca="false">SUMIFS(الريسبي!$C$2:$C$1800,الريسبي!$A$2:$A$1800,$A42,الريسبي!$B$2:$B$1800,X$1)</f>
        <v>0</v>
      </c>
      <c r="Y42" s="117" t="n">
        <f aca="false">SUMIFS(الريسبي!$C$2:$C$1800,الريسبي!$A$2:$A$1800,$A42,الريسبي!$B$2:$B$1800,Y$1)</f>
        <v>0</v>
      </c>
      <c r="Z42" s="117" t="n">
        <f aca="false">SUMIFS(الريسبي!$C$2:$C$1800,الريسبي!$A$2:$A$1800,$A42,الريسبي!$B$2:$B$1800,Z$1)</f>
        <v>0</v>
      </c>
      <c r="AA42" s="117" t="n">
        <f aca="false">SUMIFS(الريسبي!$C$2:$C$1800,الريسبي!$A$2:$A$1800,$A42,الريسبي!$B$2:$B$1800,AA$1)</f>
        <v>0</v>
      </c>
      <c r="AB42" s="117" t="n">
        <f aca="false">SUMIFS(الريسبي!$C$2:$C$1800,الريسبي!$A$2:$A$1800,$A42,الريسبي!$B$2:$B$1800,AB$1)</f>
        <v>0</v>
      </c>
      <c r="AC42" s="117" t="n">
        <f aca="false">SUMIFS(الريسبي!$C$2:$C$1800,الريسبي!$A$2:$A$1800,$A42,الريسبي!$B$2:$B$1800,AC$1)</f>
        <v>0</v>
      </c>
      <c r="AD42" s="117" t="n">
        <f aca="false">SUMIFS(الريسبي!$C$2:$C$1800,الريسبي!$A$2:$A$1800,$A42,الريسبي!$B$2:$B$1800,AD$1)</f>
        <v>0</v>
      </c>
      <c r="AE42" s="117" t="n">
        <f aca="false">SUMIFS(الريسبي!$C$2:$C$1800,الريسبي!$A$2:$A$1800,$A42,الريسبي!$B$2:$B$1800,AE$1)</f>
        <v>0</v>
      </c>
      <c r="AF42" s="117" t="n">
        <f aca="false">SUMIFS(الريسبي!$C$2:$C$1800,الريسبي!$A$2:$A$1800,$A42,الريسبي!$B$2:$B$1800,AF$1)</f>
        <v>1</v>
      </c>
      <c r="AG42" s="117" t="n">
        <f aca="false">SUMIFS(الريسبي!$C$2:$C$1800,الريسبي!$A$2:$A$1800,$A42,الريسبي!$B$2:$B$1800,AG$1)</f>
        <v>0</v>
      </c>
      <c r="AH42" s="117" t="n">
        <f aca="false">SUMIFS(الريسبي!$C$2:$C$1800,الريسبي!$A$2:$A$1800,$A42,الريسبي!$B$2:$B$1800,AH$1)</f>
        <v>0</v>
      </c>
      <c r="AI42" s="117" t="n">
        <f aca="false">SUMIFS(الريسبي!$C$2:$C$1800,الريسبي!$A$2:$A$1800,$A42,الريسبي!$B$2:$B$1800,AI$1)</f>
        <v>0</v>
      </c>
      <c r="AJ42" s="117" t="n">
        <f aca="false">SUMIFS(الريسبي!$C$2:$C$1800,الريسبي!$A$2:$A$1800,$A42,الريسبي!$B$2:$B$1800,AJ$1)</f>
        <v>0</v>
      </c>
      <c r="AK42" s="117" t="n">
        <f aca="false">SUMIFS(الريسبي!$C$2:$C$1800,الريسبي!$A$2:$A$1800,$A42,الريسبي!$B$2:$B$1800,AK$1)</f>
        <v>0</v>
      </c>
      <c r="AL42" s="117" t="n">
        <f aca="false">SUMIFS(الريسبي!$C$2:$C$1800,الريسبي!$A$2:$A$1800,$A42,الريسبي!$B$2:$B$1800,AL$1)</f>
        <v>0</v>
      </c>
      <c r="AM42" s="117" t="n">
        <f aca="false">SUMIFS(الريسبي!$C$2:$C$1800,الريسبي!$A$2:$A$1800,$A42,الريسبي!$B$2:$B$1800,AM$1)+0.08333333333*SUMIFS(الريسبي!$C$2:$C$1800,الريسبي!$A$2:$A$1800,$A42,الريسبي!$B$2:$B$1800,"عجين كريب (مصنع بالمطعم)")+0.08333333333*SUMIFS(الريسبي!$C$2:$C$1800,الريسبي!$A$2:$A$1800,$A42,الريسبي!$B$2:$B$1800,"عجين كريب صيامي (بدون لبن)")</f>
        <v>0</v>
      </c>
      <c r="AN42" s="117" t="n">
        <f aca="false">SUMIFS(الريسبي!$C$2:$C$1800,الريسبي!$A$2:$A$1800,$A42,الريسبي!$B$2:$B$1800,AN$1)+0.004166666667*SUMIFS(الريسبي!$C$2:$C$1800,الريسبي!$A$2:$A$1800,$A42,الريسبي!$B$2:$B$1800,"عجين كريب (مصنع بالمطعم)")+0.004166666667*SUMIFS(الريسبي!$C$2:$C$1800,الريسبي!$A$2:$A$1800,$A42,الريسبي!$B$2:$B$1800,"عجين كريب صيامي (بدون لبن)")</f>
        <v>0.05</v>
      </c>
      <c r="AO42" s="117" t="n">
        <f aca="false">SUMIFS(الريسبي!$C$2:$C$1800,الريسبي!$A$2:$A$1800,$A42,الريسبي!$B$2:$B$1800,AO$1)</f>
        <v>0</v>
      </c>
      <c r="AP42" s="117" t="n">
        <f aca="false">SUMIFS(الريسبي!$C$2:$C$1800,الريسبي!$A$2:$A$1800,$A42,الريسبي!$B$2:$B$1800,AP$1)</f>
        <v>0</v>
      </c>
      <c r="AQ42" s="117" t="n">
        <f aca="false">SUMIFS(الريسبي!$C$2:$C$1800,الريسبي!$A$2:$A$1800,$A42,الريسبي!$B$2:$B$1800,AQ$1)+0.004166666667*SUMIFS(الريسبي!$C$2:$C$1800,الريسبي!$A$2:$A$1800,$A42,الريسبي!$B$2:$B$1800,"عجين كريب (مصنع بالمطعم)")+0.004166666667*SUMIFS(الريسبي!$C$2:$C$1800,الريسبي!$A$2:$A$1800,$A42,الريسبي!$B$2:$B$1800,"عجين كريب صيامي (بدون لبن)")</f>
        <v>0</v>
      </c>
      <c r="AR42" s="117" t="n">
        <f aca="false">SUMIFS(الريسبي!$C$2:$C$1800,الريسبي!$A$2:$A$1800,$A42,الريسبي!$B$2:$B$1800,AR$1)</f>
        <v>0.03</v>
      </c>
      <c r="AS42" s="117" t="n">
        <f aca="false">SUMIFS(الريسبي!$C$2:$C$1800,الريسبي!$A$2:$A$1800,$A42,الريسبي!$B$2:$B$1800,AS$1)</f>
        <v>0</v>
      </c>
      <c r="AT42" s="117" t="n">
        <f aca="false">SUMIFS(الريسبي!$C$2:$C$1800,الريسبي!$A$2:$A$1800,$A42,الريسبي!$B$2:$B$1800,AT$1)</f>
        <v>0</v>
      </c>
      <c r="AU42" s="117" t="n">
        <f aca="false">SUMIFS(الريسبي!$C$2:$C$1800,الريسبي!$A$2:$A$1800,$A42,الريسبي!$B$2:$B$1800,AU$1)</f>
        <v>1</v>
      </c>
      <c r="AV42" s="117" t="n">
        <f aca="false">SUMIFS(الريسبي!$C$2:$C$1800,الريسبي!$A$2:$A$1800,$A42,الريسبي!$B$2:$B$1800,AV$1)</f>
        <v>0</v>
      </c>
      <c r="AW42" s="117" t="n">
        <f aca="false">SUMIFS(الريسبي!$C$2:$C$1800,الريسبي!$A$2:$A$1800,$A42,الريسبي!$B$2:$B$1800,AW$1)</f>
        <v>0</v>
      </c>
      <c r="AX42" s="117" t="n">
        <f aca="false">SUMIFS(الريسبي!$C$2:$C$1800,الريسبي!$A$2:$A$1800,$A42,الريسبي!$B$2:$B$1800,AX$1)</f>
        <v>0</v>
      </c>
      <c r="AY42" s="117" t="n">
        <f aca="false">SUMIFS(الريسبي!$C$2:$C$1800,الريسبي!$A$2:$A$1800,$A42,الريسبي!$B$2:$B$1800,AY$1)</f>
        <v>0</v>
      </c>
      <c r="AZ42" s="117" t="n">
        <f aca="false">SUMIFS(الريسبي!$C$2:$C$1800,الريسبي!$A$2:$A$1800,$A42,الريسبي!$B$2:$B$1800,AZ$1)</f>
        <v>0</v>
      </c>
      <c r="BA42" s="117" t="n">
        <f aca="false">SUMIFS(الريسبي!$C$2:$C$1800,الريسبي!$A$2:$A$1800,$A42,الريسبي!$B$2:$B$1800,BA$1)</f>
        <v>0</v>
      </c>
      <c r="BB42" s="117" t="n">
        <f aca="false">SUMIFS(الريسبي!$C$2:$C$1800,الريسبي!$A$2:$A$1800,$A42,الريسبي!$B$2:$B$1800,BB$1)</f>
        <v>0</v>
      </c>
      <c r="BC42" s="117" t="n">
        <f aca="false">SUMIFS(الريسبي!$C$2:$C$1800,الريسبي!$A$2:$A$1800,$A42,الريسبي!$B$2:$B$1800,BC$1)</f>
        <v>0</v>
      </c>
      <c r="BD42" s="117" t="n">
        <f aca="false">SUMIFS(الريسبي!$C$2:$C$1800,الريسبي!$A$2:$A$1800,$A42,الريسبي!$B$2:$B$1800,BD$1)</f>
        <v>0</v>
      </c>
      <c r="BE42" s="117" t="n">
        <f aca="false">SUMIFS(الريسبي!$C$2:$C$1800,الريسبي!$A$2:$A$1800,$A42,الريسبي!$B$2:$B$1800,BE$1)</f>
        <v>4</v>
      </c>
      <c r="BF42" s="117" t="n">
        <f aca="false">SUMIFS(الريسبي!$C$2:$C$1800,الريسبي!$A$2:$A$1800,$A42,الريسبي!$B$2:$B$1800,BF$1)</f>
        <v>0</v>
      </c>
      <c r="BG42" s="117" t="n">
        <f aca="false">SUMIFS(الريسبي!$C$2:$C$1800,الريسبي!$A$2:$A$1800,$A42,الريسبي!$B$2:$B$1800,BG$1)</f>
        <v>0</v>
      </c>
      <c r="BH42" s="117" t="n">
        <f aca="false">SUMIFS(الريسبي!$C$2:$C$1800,الريسبي!$A$2:$A$1800,$A42,الريسبي!$B$2:$B$1800,BH$1)</f>
        <v>0</v>
      </c>
      <c r="BI42" s="117" t="n">
        <f aca="false">SUMIFS(الريسبي!$C$2:$C$1800,الريسبي!$A$2:$A$1800,$A42,الريسبي!$B$2:$B$1800,BI$1)</f>
        <v>0</v>
      </c>
      <c r="BJ42" s="117" t="n">
        <f aca="false">SUMIFS(الريسبي!$C$2:$C$1800,الريسبي!$A$2:$A$1800,$A42,الريسبي!$B$2:$B$1800,BJ$1)</f>
        <v>0</v>
      </c>
      <c r="BK42" s="117" t="n">
        <f aca="false">SUMIFS(الريسبي!$C$2:$C$1800,الريسبي!$A$2:$A$1800,$A42,الريسبي!$B$2:$B$1800,BK$1)</f>
        <v>1</v>
      </c>
      <c r="BL42" s="117" t="n">
        <f aca="false">SUMIFS(الريسبي!$C$2:$C$1800,الريسبي!$A$2:$A$1800,$A42,الريسبي!$B$2:$B$1800,BL$1)</f>
        <v>0</v>
      </c>
      <c r="BM42" s="117" t="n">
        <f aca="false">SUMIFS(الريسبي!$C$2:$C$1800,الريسبي!$A$2:$A$1800,$A42,الريسبي!$B$2:$B$1800,BM$1)</f>
        <v>0</v>
      </c>
      <c r="BN42" s="117" t="n">
        <f aca="false">SUMIFS(الريسبي!$C$2:$C$1800,الريسبي!$A$2:$A$1800,$A42,الريسبي!$B$2:$B$1800,BN$1)</f>
        <v>0</v>
      </c>
      <c r="BO42" s="117" t="n">
        <f aca="false">SUMIFS(الريسبي!$C$2:$C$1800,الريسبي!$A$2:$A$1800,$A42,الريسبي!$B$2:$B$1800,BO$1)</f>
        <v>0</v>
      </c>
      <c r="BP42" s="117" t="n">
        <f aca="false">SUMIFS(الريسبي!$C$2:$C$1800,الريسبي!$A$2:$A$1800,$A42,الريسبي!$B$2:$B$1800,BP$1)</f>
        <v>0</v>
      </c>
      <c r="BQ42" s="117" t="n">
        <f aca="false">SUMIFS(الريسبي!$C$2:$C$1800,الريسبي!$A$2:$A$1800,$A42,الريسبي!$B$2:$B$1800,BQ$1)+0.17*SUMIFS(الريسبي!$C$2:$C$1800,الريسبي!$A$2:$A$1800,$A42,الريسبي!$B$2:$B$1800,"كاسترد مصنع (خليط بودر + لبن)")+0.17*SUMIFS(الريسبي!$C$2:$C$1800,الريسبي!$A$2:$A$1800,$A42,الريسبي!$B$2:$B$1800,"كاسترد مصنع صيامي (بدون لبن)")</f>
        <v>0</v>
      </c>
      <c r="BR42" s="117" t="n">
        <f aca="false">SUMIFS(الريسبي!$C$2:$C$1800,الريسبي!$A$2:$A$1800,$A42,الريسبي!$B$2:$B$1800,BR$1)</f>
        <v>0</v>
      </c>
      <c r="BS42" s="117" t="n">
        <f aca="false">SUMIFS(الريسبي!$C$2:$C$1800,الريسبي!$A$2:$A$1800,$A42,الريسبي!$B$2:$B$1800,BS$1)</f>
        <v>0</v>
      </c>
      <c r="BT42" s="117" t="n">
        <f aca="false">SUMIFS(الريسبي!$C$2:$C$1800,الريسبي!$A$2:$A$1800,$A42,الريسبي!$B$2:$B$1800,BT$1)</f>
        <v>0</v>
      </c>
      <c r="BU42" s="117" t="n">
        <f aca="false">SUMIFS(الريسبي!$C$2:$C$1800,الريسبي!$A$2:$A$1800,$A42,الريسبي!$B$2:$B$1800,BU$1)+0.4*SUMIFS(الريسبي!$C$2:$C$1800,الريسبي!$A$2:$A$1800,$A42,الريسبي!$B$2:$B$1800,"كاسترد مصنع (خليط بودر + لبن)")+0.03333333333*SUMIFS(الريسبي!$C$2:$C$1800,الريسبي!$A$2:$A$1800,$A42,الريسبي!$B$2:$B$1800,"عجين كريب (مصنع بالمطعم)")</f>
        <v>0</v>
      </c>
      <c r="BV42" s="117" t="n">
        <f aca="false">SUMIFS(الريسبي!$C$2:$C$1800,الريسبي!$A$2:$A$1800,$A42,الريسبي!$B$2:$B$1800,BV$1)</f>
        <v>0</v>
      </c>
      <c r="BW42" s="117" t="n">
        <f aca="false">SUMIFS(الريسبي!$C$2:$C$1800,الريسبي!$A$2:$A$1800,$A42,الريسبي!$B$2:$B$1800,BW$1)</f>
        <v>0</v>
      </c>
      <c r="BX42" s="117" t="n">
        <f aca="false">SUMIFS(الريسبي!$C$2:$C$1800,الريسبي!$A$2:$A$1800,$A42,الريسبي!$B$2:$B$1800,BX$1)</f>
        <v>0</v>
      </c>
      <c r="BY42" s="117" t="n">
        <f aca="false">SUMIFS(الريسبي!$C$2:$C$1800,الريسبي!$A$2:$A$1800,$A42,الريسبي!$B$2:$B$1800,BY$1)</f>
        <v>0</v>
      </c>
      <c r="BZ42" s="117" t="n">
        <f aca="false">SUMIFS(الريسبي!$C$2:$C$1800,الريسبي!$A$2:$A$1800,$A42,الريسبي!$B$2:$B$1800,BZ$1)</f>
        <v>0</v>
      </c>
      <c r="CA42" s="117" t="n">
        <f aca="false">SUMIFS(الريسبي!$C$2:$C$1800,الريسبي!$A$2:$A$1800,$A42,الريسبي!$B$2:$B$1800,CA$1)</f>
        <v>0</v>
      </c>
      <c r="CB42" s="117" t="n">
        <f aca="false">SUMIFS(الريسبي!$C$2:$C$1800,الريسبي!$A$2:$A$1800,$A42,الريسبي!$B$2:$B$1800,CB$1)</f>
        <v>0</v>
      </c>
      <c r="CC42" s="117" t="n">
        <f aca="false">SUMIFS(الريسبي!$C$2:$C$1800,الريسبي!$A$2:$A$1800,$A42,الريسبي!$B$2:$B$1800,CC$1)</f>
        <v>0</v>
      </c>
      <c r="CD42" s="117" t="n">
        <f aca="false">SUMIFS(الريسبي!$C$2:$C$1800,الريسبي!$A$2:$A$1800,$A42,الريسبي!$B$2:$B$1800,CD$1)</f>
        <v>0</v>
      </c>
      <c r="CE42" s="117" t="n">
        <f aca="false">SUMIFS(الريسبي!$C$2:$C$1800,الريسبي!$A$2:$A$1800,$A42,الريسبي!$B$2:$B$1800,CE$1)</f>
        <v>0</v>
      </c>
      <c r="CF42" s="117" t="n">
        <f aca="false">SUMIFS(الريسبي!$C$2:$C$1800,الريسبي!$A$2:$A$1800,$A42,الريسبي!$B$2:$B$1800,CF$1)</f>
        <v>0</v>
      </c>
      <c r="CG42" s="117" t="n">
        <f aca="false">SUMIFS(الريسبي!$C$2:$C$1800,الريسبي!$A$2:$A$1800,$A42,الريسبي!$B$2:$B$1800,CG$1)</f>
        <v>0</v>
      </c>
      <c r="CH42" s="117" t="n">
        <f aca="false">SUMIFS(الريسبي!$C$2:$C$1800,الريسبي!$A$2:$A$1800,$A42,الريسبي!$B$2:$B$1800,CH$1)</f>
        <v>0</v>
      </c>
      <c r="CI42" s="117" t="n">
        <f aca="false">SUMIFS(الريسبي!$C$2:$C$1800,الريسبي!$A$2:$A$1800,$A42,الريسبي!$B$2:$B$1800,CI$1)</f>
        <v>0</v>
      </c>
      <c r="CJ42" s="117" t="n">
        <f aca="false">SUMIFS(الريسبي!$C$2:$C$1800,الريسبي!$A$2:$A$1800,$A42,الريسبي!$B$2:$B$1800,CJ$1)</f>
        <v>0</v>
      </c>
      <c r="CK42" s="117" t="n">
        <f aca="false">SUMIFS(الريسبي!$C$2:$C$1800,الريسبي!$A$2:$A$1800,$A42,الريسبي!$B$2:$B$1800,CK$1)</f>
        <v>0</v>
      </c>
      <c r="CL42" s="117" t="n">
        <f aca="false">SUMIFS(الريسبي!$C$2:$C$1800,الريسبي!$A$2:$A$1800,$A42,الريسبي!$B$2:$B$1800,CL$1)</f>
        <v>0</v>
      </c>
    </row>
    <row r="43" customFormat="false" ht="15" hidden="false" customHeight="false" outlineLevel="0" collapsed="false">
      <c r="A43" s="116" t="str">
        <f aca="false">المنيو!B43</f>
        <v>فطيرة مشلتت بالسمنة البلدي وسط</v>
      </c>
      <c r="B43" s="117" t="n">
        <f aca="false">SUMIFS(الريسبي!$C$2:$C$1800,الريسبي!$A$2:$A$1800,$A43,الريسبي!$B$2:$B$1800,B$1)</f>
        <v>0</v>
      </c>
      <c r="C43" s="117" t="n">
        <f aca="false">SUMIFS(الريسبي!$C$2:$C$1800,الريسبي!$A$2:$A$1800,$A43,الريسبي!$B$2:$B$1800,C$1)</f>
        <v>0</v>
      </c>
      <c r="D43" s="117" t="n">
        <f aca="false">SUMIFS(الريسبي!$C$2:$C$1800,الريسبي!$A$2:$A$1800,$A43,الريسبي!$B$2:$B$1800,D$1)</f>
        <v>0</v>
      </c>
      <c r="E43" s="117" t="n">
        <f aca="false">SUMIFS(الريسبي!$C$2:$C$1800,الريسبي!$A$2:$A$1800,$A43,الريسبي!$B$2:$B$1800,E$1)</f>
        <v>1</v>
      </c>
      <c r="F43" s="117" t="n">
        <f aca="false">SUMIFS(الريسبي!$C$2:$C$1800,الريسبي!$A$2:$A$1800,$A43,الريسبي!$B$2:$B$1800,F$1)</f>
        <v>0</v>
      </c>
      <c r="G43" s="117" t="n">
        <f aca="false">SUMIFS(الريسبي!$C$2:$C$1800,الريسبي!$A$2:$A$1800,$A43,الريسبي!$B$2:$B$1800,G$1)</f>
        <v>0</v>
      </c>
      <c r="H43" s="117" t="n">
        <f aca="false">SUMIFS(الريسبي!$C$2:$C$1800,الريسبي!$A$2:$A$1800,$A43,الريسبي!$B$2:$B$1800,H$1)</f>
        <v>0</v>
      </c>
      <c r="I43" s="117" t="n">
        <f aca="false">SUMIFS(الريسبي!$C$2:$C$1800,الريسبي!$A$2:$A$1800,$A43,الريسبي!$B$2:$B$1800,I$1)</f>
        <v>0</v>
      </c>
      <c r="J43" s="117" t="n">
        <f aca="false">SUMIFS(الريسبي!$C$2:$C$1800,الريسبي!$A$2:$A$1800,$A43,الريسبي!$B$2:$B$1800,J$1)</f>
        <v>0</v>
      </c>
      <c r="K43" s="117" t="n">
        <f aca="false">SUMIFS(الريسبي!$C$2:$C$1800,الريسبي!$A$2:$A$1800,$A43,الريسبي!$B$2:$B$1800,K$1)</f>
        <v>0</v>
      </c>
      <c r="L43" s="117" t="n">
        <f aca="false">SUMIFS(الريسبي!$C$2:$C$1800,الريسبي!$A$2:$A$1800,$A43,الريسبي!$B$2:$B$1800,L$1)</f>
        <v>0</v>
      </c>
      <c r="M43" s="117" t="n">
        <f aca="false">SUMIFS(الريسبي!$C$2:$C$1800,الريسبي!$A$2:$A$1800,$A43,الريسبي!$B$2:$B$1800,M$1)</f>
        <v>0</v>
      </c>
      <c r="N43" s="117" t="n">
        <f aca="false">SUMIFS(الريسبي!$C$2:$C$1800,الريسبي!$A$2:$A$1800,$A43,الريسبي!$B$2:$B$1800,N$1)</f>
        <v>0</v>
      </c>
      <c r="O43" s="117" t="n">
        <f aca="false">SUMIFS(الريسبي!$C$2:$C$1800,الريسبي!$A$2:$A$1800,$A43,الريسبي!$B$2:$B$1800,O$1)</f>
        <v>0</v>
      </c>
      <c r="P43" s="117" t="n">
        <f aca="false">SUMIFS(الريسبي!$C$2:$C$1800,الريسبي!$A$2:$A$1800,$A43,الريسبي!$B$2:$B$1800,P$1)</f>
        <v>0</v>
      </c>
      <c r="Q43" s="117" t="n">
        <f aca="false">SUMIFS(الريسبي!$C$2:$C$1800,الريسبي!$A$2:$A$1800,$A43,الريسبي!$B$2:$B$1800,Q$1)</f>
        <v>0</v>
      </c>
      <c r="R43" s="117" t="n">
        <f aca="false">SUMIFS(الريسبي!$C$2:$C$1800,الريسبي!$A$2:$A$1800,$A43,الريسبي!$B$2:$B$1800,R$1)</f>
        <v>0</v>
      </c>
      <c r="S43" s="117" t="n">
        <f aca="false">SUMIFS(الريسبي!$C$2:$C$1800,الريسبي!$A$2:$A$1800,$A43,الريسبي!$B$2:$B$1800,S$1)</f>
        <v>0</v>
      </c>
      <c r="T43" s="117" t="n">
        <f aca="false">SUMIFS(الريسبي!$C$2:$C$1800,الريسبي!$A$2:$A$1800,$A43,الريسبي!$B$2:$B$1800,T$1)</f>
        <v>0</v>
      </c>
      <c r="U43" s="117" t="n">
        <f aca="false">SUMIFS(الريسبي!$C$2:$C$1800,الريسبي!$A$2:$A$1800,$A43,الريسبي!$B$2:$B$1800,U$1)</f>
        <v>0</v>
      </c>
      <c r="V43" s="117" t="n">
        <f aca="false">SUMIFS(الريسبي!$C$2:$C$1800,الريسبي!$A$2:$A$1800,$A43,الريسبي!$B$2:$B$1800,V$1)</f>
        <v>0</v>
      </c>
      <c r="W43" s="117" t="n">
        <f aca="false">SUMIFS(الريسبي!$C$2:$C$1800,الريسبي!$A$2:$A$1800,$A43,الريسبي!$B$2:$B$1800,W$1)</f>
        <v>0</v>
      </c>
      <c r="X43" s="117" t="n">
        <f aca="false">SUMIFS(الريسبي!$C$2:$C$1800,الريسبي!$A$2:$A$1800,$A43,الريسبي!$B$2:$B$1800,X$1)</f>
        <v>0</v>
      </c>
      <c r="Y43" s="117" t="n">
        <f aca="false">SUMIFS(الريسبي!$C$2:$C$1800,الريسبي!$A$2:$A$1800,$A43,الريسبي!$B$2:$B$1800,Y$1)</f>
        <v>0</v>
      </c>
      <c r="Z43" s="117" t="n">
        <f aca="false">SUMIFS(الريسبي!$C$2:$C$1800,الريسبي!$A$2:$A$1800,$A43,الريسبي!$B$2:$B$1800,Z$1)</f>
        <v>0</v>
      </c>
      <c r="AA43" s="117" t="n">
        <f aca="false">SUMIFS(الريسبي!$C$2:$C$1800,الريسبي!$A$2:$A$1800,$A43,الريسبي!$B$2:$B$1800,AA$1)</f>
        <v>0</v>
      </c>
      <c r="AB43" s="117" t="n">
        <f aca="false">SUMIFS(الريسبي!$C$2:$C$1800,الريسبي!$A$2:$A$1800,$A43,الريسبي!$B$2:$B$1800,AB$1)</f>
        <v>0</v>
      </c>
      <c r="AC43" s="117" t="n">
        <f aca="false">SUMIFS(الريسبي!$C$2:$C$1800,الريسبي!$A$2:$A$1800,$A43,الريسبي!$B$2:$B$1800,AC$1)</f>
        <v>0</v>
      </c>
      <c r="AD43" s="117" t="n">
        <f aca="false">SUMIFS(الريسبي!$C$2:$C$1800,الريسبي!$A$2:$A$1800,$A43,الريسبي!$B$2:$B$1800,AD$1)</f>
        <v>0</v>
      </c>
      <c r="AE43" s="117" t="n">
        <f aca="false">SUMIFS(الريسبي!$C$2:$C$1800,الريسبي!$A$2:$A$1800,$A43,الريسبي!$B$2:$B$1800,AE$1)</f>
        <v>0</v>
      </c>
      <c r="AF43" s="117" t="n">
        <f aca="false">SUMIFS(الريسبي!$C$2:$C$1800,الريسبي!$A$2:$A$1800,$A43,الريسبي!$B$2:$B$1800,AF$1)</f>
        <v>1</v>
      </c>
      <c r="AG43" s="117" t="n">
        <f aca="false">SUMIFS(الريسبي!$C$2:$C$1800,الريسبي!$A$2:$A$1800,$A43,الريسبي!$B$2:$B$1800,AG$1)</f>
        <v>0</v>
      </c>
      <c r="AH43" s="117" t="n">
        <f aca="false">SUMIFS(الريسبي!$C$2:$C$1800,الريسبي!$A$2:$A$1800,$A43,الريسبي!$B$2:$B$1800,AH$1)</f>
        <v>0</v>
      </c>
      <c r="AI43" s="117" t="n">
        <f aca="false">SUMIFS(الريسبي!$C$2:$C$1800,الريسبي!$A$2:$A$1800,$A43,الريسبي!$B$2:$B$1800,AI$1)</f>
        <v>0</v>
      </c>
      <c r="AJ43" s="117" t="n">
        <f aca="false">SUMIFS(الريسبي!$C$2:$C$1800,الريسبي!$A$2:$A$1800,$A43,الريسبي!$B$2:$B$1800,AJ$1)</f>
        <v>0</v>
      </c>
      <c r="AK43" s="117" t="n">
        <f aca="false">SUMIFS(الريسبي!$C$2:$C$1800,الريسبي!$A$2:$A$1800,$A43,الريسبي!$B$2:$B$1800,AK$1)</f>
        <v>0</v>
      </c>
      <c r="AL43" s="117" t="n">
        <f aca="false">SUMIFS(الريسبي!$C$2:$C$1800,الريسبي!$A$2:$A$1800,$A43,الريسبي!$B$2:$B$1800,AL$1)</f>
        <v>0</v>
      </c>
      <c r="AM43" s="117" t="n">
        <f aca="false">SUMIFS(الريسبي!$C$2:$C$1800,الريسبي!$A$2:$A$1800,$A43,الريسبي!$B$2:$B$1800,AM$1)+0.08333333333*SUMIFS(الريسبي!$C$2:$C$1800,الريسبي!$A$2:$A$1800,$A43,الريسبي!$B$2:$B$1800,"عجين كريب (مصنع بالمطعم)")+0.08333333333*SUMIFS(الريسبي!$C$2:$C$1800,الريسبي!$A$2:$A$1800,$A43,الريسبي!$B$2:$B$1800,"عجين كريب صيامي (بدون لبن)")</f>
        <v>0</v>
      </c>
      <c r="AN43" s="117" t="n">
        <f aca="false">SUMIFS(الريسبي!$C$2:$C$1800,الريسبي!$A$2:$A$1800,$A43,الريسبي!$B$2:$B$1800,AN$1)+0.004166666667*SUMIFS(الريسبي!$C$2:$C$1800,الريسبي!$A$2:$A$1800,$A43,الريسبي!$B$2:$B$1800,"عجين كريب (مصنع بالمطعم)")+0.004166666667*SUMIFS(الريسبي!$C$2:$C$1800,الريسبي!$A$2:$A$1800,$A43,الريسبي!$B$2:$B$1800,"عجين كريب صيامي (بدون لبن)")</f>
        <v>0.1</v>
      </c>
      <c r="AO43" s="117" t="n">
        <f aca="false">SUMIFS(الريسبي!$C$2:$C$1800,الريسبي!$A$2:$A$1800,$A43,الريسبي!$B$2:$B$1800,AO$1)</f>
        <v>0</v>
      </c>
      <c r="AP43" s="117" t="n">
        <f aca="false">SUMIFS(الريسبي!$C$2:$C$1800,الريسبي!$A$2:$A$1800,$A43,الريسبي!$B$2:$B$1800,AP$1)</f>
        <v>0</v>
      </c>
      <c r="AQ43" s="117" t="n">
        <f aca="false">SUMIFS(الريسبي!$C$2:$C$1800,الريسبي!$A$2:$A$1800,$A43,الريسبي!$B$2:$B$1800,AQ$1)+0.004166666667*SUMIFS(الريسبي!$C$2:$C$1800,الريسبي!$A$2:$A$1800,$A43,الريسبي!$B$2:$B$1800,"عجين كريب (مصنع بالمطعم)")+0.004166666667*SUMIFS(الريسبي!$C$2:$C$1800,الريسبي!$A$2:$A$1800,$A43,الريسبي!$B$2:$B$1800,"عجين كريب صيامي (بدون لبن)")</f>
        <v>0</v>
      </c>
      <c r="AR43" s="117" t="n">
        <f aca="false">SUMIFS(الريسبي!$C$2:$C$1800,الريسبي!$A$2:$A$1800,$A43,الريسبي!$B$2:$B$1800,AR$1)</f>
        <v>0.05</v>
      </c>
      <c r="AS43" s="117" t="n">
        <f aca="false">SUMIFS(الريسبي!$C$2:$C$1800,الريسبي!$A$2:$A$1800,$A43,الريسبي!$B$2:$B$1800,AS$1)</f>
        <v>0</v>
      </c>
      <c r="AT43" s="117" t="n">
        <f aca="false">SUMIFS(الريسبي!$C$2:$C$1800,الريسبي!$A$2:$A$1800,$A43,الريسبي!$B$2:$B$1800,AT$1)</f>
        <v>0</v>
      </c>
      <c r="AU43" s="117" t="n">
        <f aca="false">SUMIFS(الريسبي!$C$2:$C$1800,الريسبي!$A$2:$A$1800,$A43,الريسبي!$B$2:$B$1800,AU$1)</f>
        <v>1</v>
      </c>
      <c r="AV43" s="117" t="n">
        <f aca="false">SUMIFS(الريسبي!$C$2:$C$1800,الريسبي!$A$2:$A$1800,$A43,الريسبي!$B$2:$B$1800,AV$1)</f>
        <v>0</v>
      </c>
      <c r="AW43" s="117" t="n">
        <f aca="false">SUMIFS(الريسبي!$C$2:$C$1800,الريسبي!$A$2:$A$1800,$A43,الريسبي!$B$2:$B$1800,AW$1)</f>
        <v>0</v>
      </c>
      <c r="AX43" s="117" t="n">
        <f aca="false">SUMIFS(الريسبي!$C$2:$C$1800,الريسبي!$A$2:$A$1800,$A43,الريسبي!$B$2:$B$1800,AX$1)</f>
        <v>0</v>
      </c>
      <c r="AY43" s="117" t="n">
        <f aca="false">SUMIFS(الريسبي!$C$2:$C$1800,الريسبي!$A$2:$A$1800,$A43,الريسبي!$B$2:$B$1800,AY$1)</f>
        <v>0</v>
      </c>
      <c r="AZ43" s="117" t="n">
        <f aca="false">SUMIFS(الريسبي!$C$2:$C$1800,الريسبي!$A$2:$A$1800,$A43,الريسبي!$B$2:$B$1800,AZ$1)</f>
        <v>0</v>
      </c>
      <c r="BA43" s="117" t="n">
        <f aca="false">SUMIFS(الريسبي!$C$2:$C$1800,الريسبي!$A$2:$A$1800,$A43,الريسبي!$B$2:$B$1800,BA$1)</f>
        <v>0</v>
      </c>
      <c r="BB43" s="117" t="n">
        <f aca="false">SUMIFS(الريسبي!$C$2:$C$1800,الريسبي!$A$2:$A$1800,$A43,الريسبي!$B$2:$B$1800,BB$1)</f>
        <v>0</v>
      </c>
      <c r="BC43" s="117" t="n">
        <f aca="false">SUMIFS(الريسبي!$C$2:$C$1800,الريسبي!$A$2:$A$1800,$A43,الريسبي!$B$2:$B$1800,BC$1)</f>
        <v>0</v>
      </c>
      <c r="BD43" s="117" t="n">
        <f aca="false">SUMIFS(الريسبي!$C$2:$C$1800,الريسبي!$A$2:$A$1800,$A43,الريسبي!$B$2:$B$1800,BD$1)</f>
        <v>0</v>
      </c>
      <c r="BE43" s="117" t="n">
        <f aca="false">SUMIFS(الريسبي!$C$2:$C$1800,الريسبي!$A$2:$A$1800,$A43,الريسبي!$B$2:$B$1800,BE$1)</f>
        <v>6</v>
      </c>
      <c r="BF43" s="117" t="n">
        <f aca="false">SUMIFS(الريسبي!$C$2:$C$1800,الريسبي!$A$2:$A$1800,$A43,الريسبي!$B$2:$B$1800,BF$1)</f>
        <v>0</v>
      </c>
      <c r="BG43" s="117" t="n">
        <f aca="false">SUMIFS(الريسبي!$C$2:$C$1800,الريسبي!$A$2:$A$1800,$A43,الريسبي!$B$2:$B$1800,BG$1)</f>
        <v>0</v>
      </c>
      <c r="BH43" s="117" t="n">
        <f aca="false">SUMIFS(الريسبي!$C$2:$C$1800,الريسبي!$A$2:$A$1800,$A43,الريسبي!$B$2:$B$1800,BH$1)</f>
        <v>0</v>
      </c>
      <c r="BI43" s="117" t="n">
        <f aca="false">SUMIFS(الريسبي!$C$2:$C$1800,الريسبي!$A$2:$A$1800,$A43,الريسبي!$B$2:$B$1800,BI$1)</f>
        <v>0</v>
      </c>
      <c r="BJ43" s="117" t="n">
        <f aca="false">SUMIFS(الريسبي!$C$2:$C$1800,الريسبي!$A$2:$A$1800,$A43,الريسبي!$B$2:$B$1800,BJ$1)</f>
        <v>0</v>
      </c>
      <c r="BK43" s="117" t="n">
        <f aca="false">SUMIFS(الريسبي!$C$2:$C$1800,الريسبي!$A$2:$A$1800,$A43,الريسبي!$B$2:$B$1800,BK$1)</f>
        <v>1</v>
      </c>
      <c r="BL43" s="117" t="n">
        <f aca="false">SUMIFS(الريسبي!$C$2:$C$1800,الريسبي!$A$2:$A$1800,$A43,الريسبي!$B$2:$B$1800,BL$1)</f>
        <v>0</v>
      </c>
      <c r="BM43" s="117" t="n">
        <f aca="false">SUMIFS(الريسبي!$C$2:$C$1800,الريسبي!$A$2:$A$1800,$A43,الريسبي!$B$2:$B$1800,BM$1)</f>
        <v>0</v>
      </c>
      <c r="BN43" s="117" t="n">
        <f aca="false">SUMIFS(الريسبي!$C$2:$C$1800,الريسبي!$A$2:$A$1800,$A43,الريسبي!$B$2:$B$1800,BN$1)</f>
        <v>0</v>
      </c>
      <c r="BO43" s="117" t="n">
        <f aca="false">SUMIFS(الريسبي!$C$2:$C$1800,الريسبي!$A$2:$A$1800,$A43,الريسبي!$B$2:$B$1800,BO$1)</f>
        <v>0</v>
      </c>
      <c r="BP43" s="117" t="n">
        <f aca="false">SUMIFS(الريسبي!$C$2:$C$1800,الريسبي!$A$2:$A$1800,$A43,الريسبي!$B$2:$B$1800,BP$1)</f>
        <v>0</v>
      </c>
      <c r="BQ43" s="117" t="n">
        <f aca="false">SUMIFS(الريسبي!$C$2:$C$1800,الريسبي!$A$2:$A$1800,$A43,الريسبي!$B$2:$B$1800,BQ$1)+0.17*SUMIFS(الريسبي!$C$2:$C$1800,الريسبي!$A$2:$A$1800,$A43,الريسبي!$B$2:$B$1800,"كاسترد مصنع (خليط بودر + لبن)")+0.17*SUMIFS(الريسبي!$C$2:$C$1800,الريسبي!$A$2:$A$1800,$A43,الريسبي!$B$2:$B$1800,"كاسترد مصنع صيامي (بدون لبن)")</f>
        <v>0</v>
      </c>
      <c r="BR43" s="117" t="n">
        <f aca="false">SUMIFS(الريسبي!$C$2:$C$1800,الريسبي!$A$2:$A$1800,$A43,الريسبي!$B$2:$B$1800,BR$1)</f>
        <v>0</v>
      </c>
      <c r="BS43" s="117" t="n">
        <f aca="false">SUMIFS(الريسبي!$C$2:$C$1800,الريسبي!$A$2:$A$1800,$A43,الريسبي!$B$2:$B$1800,BS$1)</f>
        <v>0</v>
      </c>
      <c r="BT43" s="117" t="n">
        <f aca="false">SUMIFS(الريسبي!$C$2:$C$1800,الريسبي!$A$2:$A$1800,$A43,الريسبي!$B$2:$B$1800,BT$1)</f>
        <v>0</v>
      </c>
      <c r="BU43" s="117" t="n">
        <f aca="false">SUMIFS(الريسبي!$C$2:$C$1800,الريسبي!$A$2:$A$1800,$A43,الريسبي!$B$2:$B$1800,BU$1)+0.4*SUMIFS(الريسبي!$C$2:$C$1800,الريسبي!$A$2:$A$1800,$A43,الريسبي!$B$2:$B$1800,"كاسترد مصنع (خليط بودر + لبن)")+0.03333333333*SUMIFS(الريسبي!$C$2:$C$1800,الريسبي!$A$2:$A$1800,$A43,الريسبي!$B$2:$B$1800,"عجين كريب (مصنع بالمطعم)")</f>
        <v>0</v>
      </c>
      <c r="BV43" s="117" t="n">
        <f aca="false">SUMIFS(الريسبي!$C$2:$C$1800,الريسبي!$A$2:$A$1800,$A43,الريسبي!$B$2:$B$1800,BV$1)</f>
        <v>0</v>
      </c>
      <c r="BW43" s="117" t="n">
        <f aca="false">SUMIFS(الريسبي!$C$2:$C$1800,الريسبي!$A$2:$A$1800,$A43,الريسبي!$B$2:$B$1800,BW$1)</f>
        <v>0</v>
      </c>
      <c r="BX43" s="117" t="n">
        <f aca="false">SUMIFS(الريسبي!$C$2:$C$1800,الريسبي!$A$2:$A$1800,$A43,الريسبي!$B$2:$B$1800,BX$1)</f>
        <v>0</v>
      </c>
      <c r="BY43" s="117" t="n">
        <f aca="false">SUMIFS(الريسبي!$C$2:$C$1800,الريسبي!$A$2:$A$1800,$A43,الريسبي!$B$2:$B$1800,BY$1)</f>
        <v>0</v>
      </c>
      <c r="BZ43" s="117" t="n">
        <f aca="false">SUMIFS(الريسبي!$C$2:$C$1800,الريسبي!$A$2:$A$1800,$A43,الريسبي!$B$2:$B$1800,BZ$1)</f>
        <v>0</v>
      </c>
      <c r="CA43" s="117" t="n">
        <f aca="false">SUMIFS(الريسبي!$C$2:$C$1800,الريسبي!$A$2:$A$1800,$A43,الريسبي!$B$2:$B$1800,CA$1)</f>
        <v>0</v>
      </c>
      <c r="CB43" s="117" t="n">
        <f aca="false">SUMIFS(الريسبي!$C$2:$C$1800,الريسبي!$A$2:$A$1800,$A43,الريسبي!$B$2:$B$1800,CB$1)</f>
        <v>0</v>
      </c>
      <c r="CC43" s="117" t="n">
        <f aca="false">SUMIFS(الريسبي!$C$2:$C$1800,الريسبي!$A$2:$A$1800,$A43,الريسبي!$B$2:$B$1800,CC$1)</f>
        <v>0</v>
      </c>
      <c r="CD43" s="117" t="n">
        <f aca="false">SUMIFS(الريسبي!$C$2:$C$1800,الريسبي!$A$2:$A$1800,$A43,الريسبي!$B$2:$B$1800,CD$1)</f>
        <v>0</v>
      </c>
      <c r="CE43" s="117" t="n">
        <f aca="false">SUMIFS(الريسبي!$C$2:$C$1800,الريسبي!$A$2:$A$1800,$A43,الريسبي!$B$2:$B$1800,CE$1)</f>
        <v>0</v>
      </c>
      <c r="CF43" s="117" t="n">
        <f aca="false">SUMIFS(الريسبي!$C$2:$C$1800,الريسبي!$A$2:$A$1800,$A43,الريسبي!$B$2:$B$1800,CF$1)</f>
        <v>0</v>
      </c>
      <c r="CG43" s="117" t="n">
        <f aca="false">SUMIFS(الريسبي!$C$2:$C$1800,الريسبي!$A$2:$A$1800,$A43,الريسبي!$B$2:$B$1800,CG$1)</f>
        <v>0</v>
      </c>
      <c r="CH43" s="117" t="n">
        <f aca="false">SUMIFS(الريسبي!$C$2:$C$1800,الريسبي!$A$2:$A$1800,$A43,الريسبي!$B$2:$B$1800,CH$1)</f>
        <v>0</v>
      </c>
      <c r="CI43" s="117" t="n">
        <f aca="false">SUMIFS(الريسبي!$C$2:$C$1800,الريسبي!$A$2:$A$1800,$A43,الريسبي!$B$2:$B$1800,CI$1)</f>
        <v>0</v>
      </c>
      <c r="CJ43" s="117" t="n">
        <f aca="false">SUMIFS(الريسبي!$C$2:$C$1800,الريسبي!$A$2:$A$1800,$A43,الريسبي!$B$2:$B$1800,CJ$1)</f>
        <v>0</v>
      </c>
      <c r="CK43" s="117" t="n">
        <f aca="false">SUMIFS(الريسبي!$C$2:$C$1800,الريسبي!$A$2:$A$1800,$A43,الريسبي!$B$2:$B$1800,CK$1)</f>
        <v>0</v>
      </c>
      <c r="CL43" s="117" t="n">
        <f aca="false">SUMIFS(الريسبي!$C$2:$C$1800,الريسبي!$A$2:$A$1800,$A43,الريسبي!$B$2:$B$1800,CL$1)</f>
        <v>0</v>
      </c>
    </row>
    <row r="44" customFormat="false" ht="15" hidden="false" customHeight="false" outlineLevel="0" collapsed="false">
      <c r="A44" s="116" t="str">
        <f aca="false">المنيو!B44</f>
        <v>فطيرة مشلتت بالسمنة البلدي كبير</v>
      </c>
      <c r="B44" s="117" t="n">
        <f aca="false">SUMIFS(الريسبي!$C$2:$C$1800,الريسبي!$A$2:$A$1800,$A44,الريسبي!$B$2:$B$1800,B$1)</f>
        <v>0</v>
      </c>
      <c r="C44" s="117" t="n">
        <f aca="false">SUMIFS(الريسبي!$C$2:$C$1800,الريسبي!$A$2:$A$1800,$A44,الريسبي!$B$2:$B$1800,C$1)</f>
        <v>0</v>
      </c>
      <c r="D44" s="117" t="n">
        <f aca="false">SUMIFS(الريسبي!$C$2:$C$1800,الريسبي!$A$2:$A$1800,$A44,الريسبي!$B$2:$B$1800,D$1)</f>
        <v>0</v>
      </c>
      <c r="E44" s="117" t="n">
        <f aca="false">SUMIFS(الريسبي!$C$2:$C$1800,الريسبي!$A$2:$A$1800,$A44,الريسبي!$B$2:$B$1800,E$1)</f>
        <v>1</v>
      </c>
      <c r="F44" s="117" t="n">
        <f aca="false">SUMIFS(الريسبي!$C$2:$C$1800,الريسبي!$A$2:$A$1800,$A44,الريسبي!$B$2:$B$1800,F$1)</f>
        <v>0</v>
      </c>
      <c r="G44" s="117" t="n">
        <f aca="false">SUMIFS(الريسبي!$C$2:$C$1800,الريسبي!$A$2:$A$1800,$A44,الريسبي!$B$2:$B$1800,G$1)</f>
        <v>0</v>
      </c>
      <c r="H44" s="117" t="n">
        <f aca="false">SUMIFS(الريسبي!$C$2:$C$1800,الريسبي!$A$2:$A$1800,$A44,الريسبي!$B$2:$B$1800,H$1)</f>
        <v>0</v>
      </c>
      <c r="I44" s="117" t="n">
        <f aca="false">SUMIFS(الريسبي!$C$2:$C$1800,الريسبي!$A$2:$A$1800,$A44,الريسبي!$B$2:$B$1800,I$1)</f>
        <v>0</v>
      </c>
      <c r="J44" s="117" t="n">
        <f aca="false">SUMIFS(الريسبي!$C$2:$C$1800,الريسبي!$A$2:$A$1800,$A44,الريسبي!$B$2:$B$1800,J$1)</f>
        <v>0</v>
      </c>
      <c r="K44" s="117" t="n">
        <f aca="false">SUMIFS(الريسبي!$C$2:$C$1800,الريسبي!$A$2:$A$1800,$A44,الريسبي!$B$2:$B$1800,K$1)</f>
        <v>0</v>
      </c>
      <c r="L44" s="117" t="n">
        <f aca="false">SUMIFS(الريسبي!$C$2:$C$1800,الريسبي!$A$2:$A$1800,$A44,الريسبي!$B$2:$B$1800,L$1)</f>
        <v>0</v>
      </c>
      <c r="M44" s="117" t="n">
        <f aca="false">SUMIFS(الريسبي!$C$2:$C$1800,الريسبي!$A$2:$A$1800,$A44,الريسبي!$B$2:$B$1800,M$1)</f>
        <v>0</v>
      </c>
      <c r="N44" s="117" t="n">
        <f aca="false">SUMIFS(الريسبي!$C$2:$C$1800,الريسبي!$A$2:$A$1800,$A44,الريسبي!$B$2:$B$1800,N$1)</f>
        <v>0</v>
      </c>
      <c r="O44" s="117" t="n">
        <f aca="false">SUMIFS(الريسبي!$C$2:$C$1800,الريسبي!$A$2:$A$1800,$A44,الريسبي!$B$2:$B$1800,O$1)</f>
        <v>0</v>
      </c>
      <c r="P44" s="117" t="n">
        <f aca="false">SUMIFS(الريسبي!$C$2:$C$1800,الريسبي!$A$2:$A$1800,$A44,الريسبي!$B$2:$B$1800,P$1)</f>
        <v>0</v>
      </c>
      <c r="Q44" s="117" t="n">
        <f aca="false">SUMIFS(الريسبي!$C$2:$C$1800,الريسبي!$A$2:$A$1800,$A44,الريسبي!$B$2:$B$1800,Q$1)</f>
        <v>0</v>
      </c>
      <c r="R44" s="117" t="n">
        <f aca="false">SUMIFS(الريسبي!$C$2:$C$1800,الريسبي!$A$2:$A$1800,$A44,الريسبي!$B$2:$B$1800,R$1)</f>
        <v>0</v>
      </c>
      <c r="S44" s="117" t="n">
        <f aca="false">SUMIFS(الريسبي!$C$2:$C$1800,الريسبي!$A$2:$A$1800,$A44,الريسبي!$B$2:$B$1800,S$1)</f>
        <v>0</v>
      </c>
      <c r="T44" s="117" t="n">
        <f aca="false">SUMIFS(الريسبي!$C$2:$C$1800,الريسبي!$A$2:$A$1800,$A44,الريسبي!$B$2:$B$1800,T$1)</f>
        <v>0</v>
      </c>
      <c r="U44" s="117" t="n">
        <f aca="false">SUMIFS(الريسبي!$C$2:$C$1800,الريسبي!$A$2:$A$1800,$A44,الريسبي!$B$2:$B$1800,U$1)</f>
        <v>0</v>
      </c>
      <c r="V44" s="117" t="n">
        <f aca="false">SUMIFS(الريسبي!$C$2:$C$1800,الريسبي!$A$2:$A$1800,$A44,الريسبي!$B$2:$B$1800,V$1)</f>
        <v>0</v>
      </c>
      <c r="W44" s="117" t="n">
        <f aca="false">SUMIFS(الريسبي!$C$2:$C$1800,الريسبي!$A$2:$A$1800,$A44,الريسبي!$B$2:$B$1800,W$1)</f>
        <v>0</v>
      </c>
      <c r="X44" s="117" t="n">
        <f aca="false">SUMIFS(الريسبي!$C$2:$C$1800,الريسبي!$A$2:$A$1800,$A44,الريسبي!$B$2:$B$1800,X$1)</f>
        <v>0</v>
      </c>
      <c r="Y44" s="117" t="n">
        <f aca="false">SUMIFS(الريسبي!$C$2:$C$1800,الريسبي!$A$2:$A$1800,$A44,الريسبي!$B$2:$B$1800,Y$1)</f>
        <v>0</v>
      </c>
      <c r="Z44" s="117" t="n">
        <f aca="false">SUMIFS(الريسبي!$C$2:$C$1800,الريسبي!$A$2:$A$1800,$A44,الريسبي!$B$2:$B$1800,Z$1)</f>
        <v>0</v>
      </c>
      <c r="AA44" s="117" t="n">
        <f aca="false">SUMIFS(الريسبي!$C$2:$C$1800,الريسبي!$A$2:$A$1800,$A44,الريسبي!$B$2:$B$1800,AA$1)</f>
        <v>0</v>
      </c>
      <c r="AB44" s="117" t="n">
        <f aca="false">SUMIFS(الريسبي!$C$2:$C$1800,الريسبي!$A$2:$A$1800,$A44,الريسبي!$B$2:$B$1800,AB$1)</f>
        <v>0</v>
      </c>
      <c r="AC44" s="117" t="n">
        <f aca="false">SUMIFS(الريسبي!$C$2:$C$1800,الريسبي!$A$2:$A$1800,$A44,الريسبي!$B$2:$B$1800,AC$1)</f>
        <v>0</v>
      </c>
      <c r="AD44" s="117" t="n">
        <f aca="false">SUMIFS(الريسبي!$C$2:$C$1800,الريسبي!$A$2:$A$1800,$A44,الريسبي!$B$2:$B$1800,AD$1)</f>
        <v>0</v>
      </c>
      <c r="AE44" s="117" t="n">
        <f aca="false">SUMIFS(الريسبي!$C$2:$C$1800,الريسبي!$A$2:$A$1800,$A44,الريسبي!$B$2:$B$1800,AE$1)</f>
        <v>0</v>
      </c>
      <c r="AF44" s="117" t="n">
        <f aca="false">SUMIFS(الريسبي!$C$2:$C$1800,الريسبي!$A$2:$A$1800,$A44,الريسبي!$B$2:$B$1800,AF$1)</f>
        <v>1</v>
      </c>
      <c r="AG44" s="117" t="n">
        <f aca="false">SUMIFS(الريسبي!$C$2:$C$1800,الريسبي!$A$2:$A$1800,$A44,الريسبي!$B$2:$B$1800,AG$1)</f>
        <v>0</v>
      </c>
      <c r="AH44" s="117" t="n">
        <f aca="false">SUMIFS(الريسبي!$C$2:$C$1800,الريسبي!$A$2:$A$1800,$A44,الريسبي!$B$2:$B$1800,AH$1)</f>
        <v>0</v>
      </c>
      <c r="AI44" s="117" t="n">
        <f aca="false">SUMIFS(الريسبي!$C$2:$C$1800,الريسبي!$A$2:$A$1800,$A44,الريسبي!$B$2:$B$1800,AI$1)</f>
        <v>0</v>
      </c>
      <c r="AJ44" s="117" t="n">
        <f aca="false">SUMIFS(الريسبي!$C$2:$C$1800,الريسبي!$A$2:$A$1800,$A44,الريسبي!$B$2:$B$1800,AJ$1)</f>
        <v>0</v>
      </c>
      <c r="AK44" s="117" t="n">
        <f aca="false">SUMIFS(الريسبي!$C$2:$C$1800,الريسبي!$A$2:$A$1800,$A44,الريسبي!$B$2:$B$1800,AK$1)</f>
        <v>0</v>
      </c>
      <c r="AL44" s="117" t="n">
        <f aca="false">SUMIFS(الريسبي!$C$2:$C$1800,الريسبي!$A$2:$A$1800,$A44,الريسبي!$B$2:$B$1800,AL$1)</f>
        <v>0</v>
      </c>
      <c r="AM44" s="117" t="n">
        <f aca="false">SUMIFS(الريسبي!$C$2:$C$1800,الريسبي!$A$2:$A$1800,$A44,الريسبي!$B$2:$B$1800,AM$1)+0.08333333333*SUMIFS(الريسبي!$C$2:$C$1800,الريسبي!$A$2:$A$1800,$A44,الريسبي!$B$2:$B$1800,"عجين كريب (مصنع بالمطعم)")+0.08333333333*SUMIFS(الريسبي!$C$2:$C$1800,الريسبي!$A$2:$A$1800,$A44,الريسبي!$B$2:$B$1800,"عجين كريب صيامي (بدون لبن)")</f>
        <v>0</v>
      </c>
      <c r="AN44" s="117" t="n">
        <f aca="false">SUMIFS(الريسبي!$C$2:$C$1800,الريسبي!$A$2:$A$1800,$A44,الريسبي!$B$2:$B$1800,AN$1)+0.004166666667*SUMIFS(الريسبي!$C$2:$C$1800,الريسبي!$A$2:$A$1800,$A44,الريسبي!$B$2:$B$1800,"عجين كريب (مصنع بالمطعم)")+0.004166666667*SUMIFS(الريسبي!$C$2:$C$1800,الريسبي!$A$2:$A$1800,$A44,الريسبي!$B$2:$B$1800,"عجين كريب صيامي (بدون لبن)")</f>
        <v>0.15</v>
      </c>
      <c r="AO44" s="117" t="n">
        <f aca="false">SUMIFS(الريسبي!$C$2:$C$1800,الريسبي!$A$2:$A$1800,$A44,الريسبي!$B$2:$B$1800,AO$1)</f>
        <v>0</v>
      </c>
      <c r="AP44" s="117" t="n">
        <f aca="false">SUMIFS(الريسبي!$C$2:$C$1800,الريسبي!$A$2:$A$1800,$A44,الريسبي!$B$2:$B$1800,AP$1)</f>
        <v>0</v>
      </c>
      <c r="AQ44" s="117" t="n">
        <f aca="false">SUMIFS(الريسبي!$C$2:$C$1800,الريسبي!$A$2:$A$1800,$A44,الريسبي!$B$2:$B$1800,AQ$1)+0.004166666667*SUMIFS(الريسبي!$C$2:$C$1800,الريسبي!$A$2:$A$1800,$A44,الريسبي!$B$2:$B$1800,"عجين كريب (مصنع بالمطعم)")+0.004166666667*SUMIFS(الريسبي!$C$2:$C$1800,الريسبي!$A$2:$A$1800,$A44,الريسبي!$B$2:$B$1800,"عجين كريب صيامي (بدون لبن)")</f>
        <v>0</v>
      </c>
      <c r="AR44" s="117" t="n">
        <f aca="false">SUMIFS(الريسبي!$C$2:$C$1800,الريسبي!$A$2:$A$1800,$A44,الريسبي!$B$2:$B$1800,AR$1)</f>
        <v>0.07</v>
      </c>
      <c r="AS44" s="117" t="n">
        <f aca="false">SUMIFS(الريسبي!$C$2:$C$1800,الريسبي!$A$2:$A$1800,$A44,الريسبي!$B$2:$B$1800,AS$1)</f>
        <v>0</v>
      </c>
      <c r="AT44" s="117" t="n">
        <f aca="false">SUMIFS(الريسبي!$C$2:$C$1800,الريسبي!$A$2:$A$1800,$A44,الريسبي!$B$2:$B$1800,AT$1)</f>
        <v>0</v>
      </c>
      <c r="AU44" s="117" t="n">
        <f aca="false">SUMIFS(الريسبي!$C$2:$C$1800,الريسبي!$A$2:$A$1800,$A44,الريسبي!$B$2:$B$1800,AU$1)</f>
        <v>1</v>
      </c>
      <c r="AV44" s="117" t="n">
        <f aca="false">SUMIFS(الريسبي!$C$2:$C$1800,الريسبي!$A$2:$A$1800,$A44,الريسبي!$B$2:$B$1800,AV$1)</f>
        <v>0</v>
      </c>
      <c r="AW44" s="117" t="n">
        <f aca="false">SUMIFS(الريسبي!$C$2:$C$1800,الريسبي!$A$2:$A$1800,$A44,الريسبي!$B$2:$B$1800,AW$1)</f>
        <v>0</v>
      </c>
      <c r="AX44" s="117" t="n">
        <f aca="false">SUMIFS(الريسبي!$C$2:$C$1800,الريسبي!$A$2:$A$1800,$A44,الريسبي!$B$2:$B$1800,AX$1)</f>
        <v>0</v>
      </c>
      <c r="AY44" s="117" t="n">
        <f aca="false">SUMIFS(الريسبي!$C$2:$C$1800,الريسبي!$A$2:$A$1800,$A44,الريسبي!$B$2:$B$1800,AY$1)</f>
        <v>0</v>
      </c>
      <c r="AZ44" s="117" t="n">
        <f aca="false">SUMIFS(الريسبي!$C$2:$C$1800,الريسبي!$A$2:$A$1800,$A44,الريسبي!$B$2:$B$1800,AZ$1)</f>
        <v>0</v>
      </c>
      <c r="BA44" s="117" t="n">
        <f aca="false">SUMIFS(الريسبي!$C$2:$C$1800,الريسبي!$A$2:$A$1800,$A44,الريسبي!$B$2:$B$1800,BA$1)</f>
        <v>0</v>
      </c>
      <c r="BB44" s="117" t="n">
        <f aca="false">SUMIFS(الريسبي!$C$2:$C$1800,الريسبي!$A$2:$A$1800,$A44,الريسبي!$B$2:$B$1800,BB$1)</f>
        <v>0</v>
      </c>
      <c r="BC44" s="117" t="n">
        <f aca="false">SUMIFS(الريسبي!$C$2:$C$1800,الريسبي!$A$2:$A$1800,$A44,الريسبي!$B$2:$B$1800,BC$1)</f>
        <v>0</v>
      </c>
      <c r="BD44" s="117" t="n">
        <f aca="false">SUMIFS(الريسبي!$C$2:$C$1800,الريسبي!$A$2:$A$1800,$A44,الريسبي!$B$2:$B$1800,BD$1)</f>
        <v>0</v>
      </c>
      <c r="BE44" s="117" t="n">
        <f aca="false">SUMIFS(الريسبي!$C$2:$C$1800,الريسبي!$A$2:$A$1800,$A44,الريسبي!$B$2:$B$1800,BE$1)</f>
        <v>9</v>
      </c>
      <c r="BF44" s="117" t="n">
        <f aca="false">SUMIFS(الريسبي!$C$2:$C$1800,الريسبي!$A$2:$A$1800,$A44,الريسبي!$B$2:$B$1800,BF$1)</f>
        <v>0</v>
      </c>
      <c r="BG44" s="117" t="n">
        <f aca="false">SUMIFS(الريسبي!$C$2:$C$1800,الريسبي!$A$2:$A$1800,$A44,الريسبي!$B$2:$B$1800,BG$1)</f>
        <v>0</v>
      </c>
      <c r="BH44" s="117" t="n">
        <f aca="false">SUMIFS(الريسبي!$C$2:$C$1800,الريسبي!$A$2:$A$1800,$A44,الريسبي!$B$2:$B$1800,BH$1)</f>
        <v>0</v>
      </c>
      <c r="BI44" s="117" t="n">
        <f aca="false">SUMIFS(الريسبي!$C$2:$C$1800,الريسبي!$A$2:$A$1800,$A44,الريسبي!$B$2:$B$1800,BI$1)</f>
        <v>0</v>
      </c>
      <c r="BJ44" s="117" t="n">
        <f aca="false">SUMIFS(الريسبي!$C$2:$C$1800,الريسبي!$A$2:$A$1800,$A44,الريسبي!$B$2:$B$1800,BJ$1)</f>
        <v>0</v>
      </c>
      <c r="BK44" s="117" t="n">
        <f aca="false">SUMIFS(الريسبي!$C$2:$C$1800,الريسبي!$A$2:$A$1800,$A44,الريسبي!$B$2:$B$1800,BK$1)</f>
        <v>1</v>
      </c>
      <c r="BL44" s="117" t="n">
        <f aca="false">SUMIFS(الريسبي!$C$2:$C$1800,الريسبي!$A$2:$A$1800,$A44,الريسبي!$B$2:$B$1800,BL$1)</f>
        <v>0</v>
      </c>
      <c r="BM44" s="117" t="n">
        <f aca="false">SUMIFS(الريسبي!$C$2:$C$1800,الريسبي!$A$2:$A$1800,$A44,الريسبي!$B$2:$B$1800,BM$1)</f>
        <v>0</v>
      </c>
      <c r="BN44" s="117" t="n">
        <f aca="false">SUMIFS(الريسبي!$C$2:$C$1800,الريسبي!$A$2:$A$1800,$A44,الريسبي!$B$2:$B$1800,BN$1)</f>
        <v>0</v>
      </c>
      <c r="BO44" s="117" t="n">
        <f aca="false">SUMIFS(الريسبي!$C$2:$C$1800,الريسبي!$A$2:$A$1800,$A44,الريسبي!$B$2:$B$1800,BO$1)</f>
        <v>0</v>
      </c>
      <c r="BP44" s="117" t="n">
        <f aca="false">SUMIFS(الريسبي!$C$2:$C$1800,الريسبي!$A$2:$A$1800,$A44,الريسبي!$B$2:$B$1800,BP$1)</f>
        <v>0</v>
      </c>
      <c r="BQ44" s="117" t="n">
        <f aca="false">SUMIFS(الريسبي!$C$2:$C$1800,الريسبي!$A$2:$A$1800,$A44,الريسبي!$B$2:$B$1800,BQ$1)+0.17*SUMIFS(الريسبي!$C$2:$C$1800,الريسبي!$A$2:$A$1800,$A44,الريسبي!$B$2:$B$1800,"كاسترد مصنع (خليط بودر + لبن)")+0.17*SUMIFS(الريسبي!$C$2:$C$1800,الريسبي!$A$2:$A$1800,$A44,الريسبي!$B$2:$B$1800,"كاسترد مصنع صيامي (بدون لبن)")</f>
        <v>0</v>
      </c>
      <c r="BR44" s="117" t="n">
        <f aca="false">SUMIFS(الريسبي!$C$2:$C$1800,الريسبي!$A$2:$A$1800,$A44,الريسبي!$B$2:$B$1800,BR$1)</f>
        <v>0</v>
      </c>
      <c r="BS44" s="117" t="n">
        <f aca="false">SUMIFS(الريسبي!$C$2:$C$1800,الريسبي!$A$2:$A$1800,$A44,الريسبي!$B$2:$B$1800,BS$1)</f>
        <v>0</v>
      </c>
      <c r="BT44" s="117" t="n">
        <f aca="false">SUMIFS(الريسبي!$C$2:$C$1800,الريسبي!$A$2:$A$1800,$A44,الريسبي!$B$2:$B$1800,BT$1)</f>
        <v>0</v>
      </c>
      <c r="BU44" s="117" t="n">
        <f aca="false">SUMIFS(الريسبي!$C$2:$C$1800,الريسبي!$A$2:$A$1800,$A44,الريسبي!$B$2:$B$1800,BU$1)+0.4*SUMIFS(الريسبي!$C$2:$C$1800,الريسبي!$A$2:$A$1800,$A44,الريسبي!$B$2:$B$1800,"كاسترد مصنع (خليط بودر + لبن)")+0.03333333333*SUMIFS(الريسبي!$C$2:$C$1800,الريسبي!$A$2:$A$1800,$A44,الريسبي!$B$2:$B$1800,"عجين كريب (مصنع بالمطعم)")</f>
        <v>0</v>
      </c>
      <c r="BV44" s="117" t="n">
        <f aca="false">SUMIFS(الريسبي!$C$2:$C$1800,الريسبي!$A$2:$A$1800,$A44,الريسبي!$B$2:$B$1800,BV$1)</f>
        <v>0</v>
      </c>
      <c r="BW44" s="117" t="n">
        <f aca="false">SUMIFS(الريسبي!$C$2:$C$1800,الريسبي!$A$2:$A$1800,$A44,الريسبي!$B$2:$B$1800,BW$1)</f>
        <v>0</v>
      </c>
      <c r="BX44" s="117" t="n">
        <f aca="false">SUMIFS(الريسبي!$C$2:$C$1800,الريسبي!$A$2:$A$1800,$A44,الريسبي!$B$2:$B$1800,BX$1)</f>
        <v>0</v>
      </c>
      <c r="BY44" s="117" t="n">
        <f aca="false">SUMIFS(الريسبي!$C$2:$C$1800,الريسبي!$A$2:$A$1800,$A44,الريسبي!$B$2:$B$1800,BY$1)</f>
        <v>0</v>
      </c>
      <c r="BZ44" s="117" t="n">
        <f aca="false">SUMIFS(الريسبي!$C$2:$C$1800,الريسبي!$A$2:$A$1800,$A44,الريسبي!$B$2:$B$1800,BZ$1)</f>
        <v>0</v>
      </c>
      <c r="CA44" s="117" t="n">
        <f aca="false">SUMIFS(الريسبي!$C$2:$C$1800,الريسبي!$A$2:$A$1800,$A44,الريسبي!$B$2:$B$1800,CA$1)</f>
        <v>0</v>
      </c>
      <c r="CB44" s="117" t="n">
        <f aca="false">SUMIFS(الريسبي!$C$2:$C$1800,الريسبي!$A$2:$A$1800,$A44,الريسبي!$B$2:$B$1800,CB$1)</f>
        <v>0</v>
      </c>
      <c r="CC44" s="117" t="n">
        <f aca="false">SUMIFS(الريسبي!$C$2:$C$1800,الريسبي!$A$2:$A$1800,$A44,الريسبي!$B$2:$B$1800,CC$1)</f>
        <v>0</v>
      </c>
      <c r="CD44" s="117" t="n">
        <f aca="false">SUMIFS(الريسبي!$C$2:$C$1800,الريسبي!$A$2:$A$1800,$A44,الريسبي!$B$2:$B$1800,CD$1)</f>
        <v>0</v>
      </c>
      <c r="CE44" s="117" t="n">
        <f aca="false">SUMIFS(الريسبي!$C$2:$C$1800,الريسبي!$A$2:$A$1800,$A44,الريسبي!$B$2:$B$1800,CE$1)</f>
        <v>0</v>
      </c>
      <c r="CF44" s="117" t="n">
        <f aca="false">SUMIFS(الريسبي!$C$2:$C$1800,الريسبي!$A$2:$A$1800,$A44,الريسبي!$B$2:$B$1800,CF$1)</f>
        <v>0</v>
      </c>
      <c r="CG44" s="117" t="n">
        <f aca="false">SUMIFS(الريسبي!$C$2:$C$1800,الريسبي!$A$2:$A$1800,$A44,الريسبي!$B$2:$B$1800,CG$1)</f>
        <v>0</v>
      </c>
      <c r="CH44" s="117" t="n">
        <f aca="false">SUMIFS(الريسبي!$C$2:$C$1800,الريسبي!$A$2:$A$1800,$A44,الريسبي!$B$2:$B$1800,CH$1)</f>
        <v>0</v>
      </c>
      <c r="CI44" s="117" t="n">
        <f aca="false">SUMIFS(الريسبي!$C$2:$C$1800,الريسبي!$A$2:$A$1800,$A44,الريسبي!$B$2:$B$1800,CI$1)</f>
        <v>0</v>
      </c>
      <c r="CJ44" s="117" t="n">
        <f aca="false">SUMIFS(الريسبي!$C$2:$C$1800,الريسبي!$A$2:$A$1800,$A44,الريسبي!$B$2:$B$1800,CJ$1)</f>
        <v>0</v>
      </c>
      <c r="CK44" s="117" t="n">
        <f aca="false">SUMIFS(الريسبي!$C$2:$C$1800,الريسبي!$A$2:$A$1800,$A44,الريسبي!$B$2:$B$1800,CK$1)</f>
        <v>0</v>
      </c>
      <c r="CL44" s="117" t="n">
        <f aca="false">SUMIFS(الريسبي!$C$2:$C$1800,الريسبي!$A$2:$A$1800,$A44,الريسبي!$B$2:$B$1800,CL$1)</f>
        <v>0</v>
      </c>
    </row>
    <row r="45" customFormat="false" ht="15" hidden="false" customHeight="false" outlineLevel="0" collapsed="false">
      <c r="A45" s="116" t="str">
        <f aca="false">المنيو!B45</f>
        <v>فطيرة جمبري وسط</v>
      </c>
      <c r="B45" s="117" t="n">
        <f aca="false">SUMIFS(الريسبي!$C$2:$C$1800,الريسبي!$A$2:$A$1800,$A45,الريسبي!$B$2:$B$1800,B$1)</f>
        <v>0</v>
      </c>
      <c r="C45" s="117" t="n">
        <f aca="false">SUMIFS(الريسبي!$C$2:$C$1800,الريسبي!$A$2:$A$1800,$A45,الريسبي!$B$2:$B$1800,C$1)</f>
        <v>0</v>
      </c>
      <c r="D45" s="117" t="n">
        <f aca="false">SUMIFS(الريسبي!$C$2:$C$1800,الريسبي!$A$2:$A$1800,$A45,الريسبي!$B$2:$B$1800,D$1)</f>
        <v>1</v>
      </c>
      <c r="E45" s="117" t="n">
        <f aca="false">SUMIFS(الريسبي!$C$2:$C$1800,الريسبي!$A$2:$A$1800,$A45,الريسبي!$B$2:$B$1800,E$1)</f>
        <v>0</v>
      </c>
      <c r="F45" s="117" t="n">
        <f aca="false">SUMIFS(الريسبي!$C$2:$C$1800,الريسبي!$A$2:$A$1800,$A45,الريسبي!$B$2:$B$1800,F$1)</f>
        <v>0</v>
      </c>
      <c r="G45" s="117" t="n">
        <f aca="false">SUMIFS(الريسبي!$C$2:$C$1800,الريسبي!$A$2:$A$1800,$A45,الريسبي!$B$2:$B$1800,G$1)</f>
        <v>0</v>
      </c>
      <c r="H45" s="117" t="n">
        <f aca="false">SUMIFS(الريسبي!$C$2:$C$1800,الريسبي!$A$2:$A$1800,$A45,الريسبي!$B$2:$B$1800,H$1)</f>
        <v>0</v>
      </c>
      <c r="I45" s="117" t="n">
        <f aca="false">SUMIFS(الريسبي!$C$2:$C$1800,الريسبي!$A$2:$A$1800,$A45,الريسبي!$B$2:$B$1800,I$1)</f>
        <v>0</v>
      </c>
      <c r="J45" s="117" t="n">
        <f aca="false">SUMIFS(الريسبي!$C$2:$C$1800,الريسبي!$A$2:$A$1800,$A45,الريسبي!$B$2:$B$1800,J$1)</f>
        <v>0</v>
      </c>
      <c r="K45" s="117" t="n">
        <f aca="false">SUMIFS(الريسبي!$C$2:$C$1800,الريسبي!$A$2:$A$1800,$A45,الريسبي!$B$2:$B$1800,K$1)</f>
        <v>1</v>
      </c>
      <c r="L45" s="117" t="n">
        <f aca="false">SUMIFS(الريسبي!$C$2:$C$1800,الريسبي!$A$2:$A$1800,$A45,الريسبي!$B$2:$B$1800,L$1)</f>
        <v>0</v>
      </c>
      <c r="M45" s="117" t="n">
        <f aca="false">SUMIFS(الريسبي!$C$2:$C$1800,الريسبي!$A$2:$A$1800,$A45,الريسبي!$B$2:$B$1800,M$1)</f>
        <v>0</v>
      </c>
      <c r="N45" s="117" t="n">
        <f aca="false">SUMIFS(الريسبي!$C$2:$C$1800,الريسبي!$A$2:$A$1800,$A45,الريسبي!$B$2:$B$1800,N$1)</f>
        <v>0</v>
      </c>
      <c r="O45" s="117" t="n">
        <f aca="false">SUMIFS(الريسبي!$C$2:$C$1800,الريسبي!$A$2:$A$1800,$A45,الريسبي!$B$2:$B$1800,O$1)</f>
        <v>0</v>
      </c>
      <c r="P45" s="117" t="n">
        <f aca="false">SUMIFS(الريسبي!$C$2:$C$1800,الريسبي!$A$2:$A$1800,$A45,الريسبي!$B$2:$B$1800,P$1)</f>
        <v>0</v>
      </c>
      <c r="Q45" s="117" t="n">
        <f aca="false">SUMIFS(الريسبي!$C$2:$C$1800,الريسبي!$A$2:$A$1800,$A45,الريسبي!$B$2:$B$1800,Q$1)</f>
        <v>0</v>
      </c>
      <c r="R45" s="117" t="n">
        <f aca="false">SUMIFS(الريسبي!$C$2:$C$1800,الريسبي!$A$2:$A$1800,$A45,الريسبي!$B$2:$B$1800,R$1)</f>
        <v>0</v>
      </c>
      <c r="S45" s="117" t="n">
        <f aca="false">SUMIFS(الريسبي!$C$2:$C$1800,الريسبي!$A$2:$A$1800,$A45,الريسبي!$B$2:$B$1800,S$1)</f>
        <v>0</v>
      </c>
      <c r="T45" s="117" t="n">
        <f aca="false">SUMIFS(الريسبي!$C$2:$C$1800,الريسبي!$A$2:$A$1800,$A45,الريسبي!$B$2:$B$1800,T$1)</f>
        <v>0</v>
      </c>
      <c r="U45" s="117" t="n">
        <f aca="false">SUMIFS(الريسبي!$C$2:$C$1800,الريسبي!$A$2:$A$1800,$A45,الريسبي!$B$2:$B$1800,U$1)</f>
        <v>0</v>
      </c>
      <c r="V45" s="117" t="n">
        <f aca="false">SUMIFS(الريسبي!$C$2:$C$1800,الريسبي!$A$2:$A$1800,$A45,الريسبي!$B$2:$B$1800,V$1)</f>
        <v>0</v>
      </c>
      <c r="W45" s="117" t="n">
        <f aca="false">SUMIFS(الريسبي!$C$2:$C$1800,الريسبي!$A$2:$A$1800,$A45,الريسبي!$B$2:$B$1800,W$1)</f>
        <v>0</v>
      </c>
      <c r="X45" s="117" t="n">
        <f aca="false">SUMIFS(الريسبي!$C$2:$C$1800,الريسبي!$A$2:$A$1800,$A45,الريسبي!$B$2:$B$1800,X$1)</f>
        <v>1</v>
      </c>
      <c r="Y45" s="117" t="n">
        <f aca="false">SUMIFS(الريسبي!$C$2:$C$1800,الريسبي!$A$2:$A$1800,$A45,الريسبي!$B$2:$B$1800,Y$1)</f>
        <v>0</v>
      </c>
      <c r="Z45" s="117" t="n">
        <f aca="false">SUMIFS(الريسبي!$C$2:$C$1800,الريسبي!$A$2:$A$1800,$A45,الريسبي!$B$2:$B$1800,Z$1)</f>
        <v>0</v>
      </c>
      <c r="AA45" s="117" t="n">
        <f aca="false">SUMIFS(الريسبي!$C$2:$C$1800,الريسبي!$A$2:$A$1800,$A45,الريسبي!$B$2:$B$1800,AA$1)</f>
        <v>0</v>
      </c>
      <c r="AB45" s="117" t="n">
        <f aca="false">SUMIFS(الريسبي!$C$2:$C$1800,الريسبي!$A$2:$A$1800,$A45,الريسبي!$B$2:$B$1800,AB$1)</f>
        <v>0</v>
      </c>
      <c r="AC45" s="117" t="n">
        <f aca="false">SUMIFS(الريسبي!$C$2:$C$1800,الريسبي!$A$2:$A$1800,$A45,الريسبي!$B$2:$B$1800,AC$1)</f>
        <v>0</v>
      </c>
      <c r="AD45" s="117" t="n">
        <f aca="false">SUMIFS(الريسبي!$C$2:$C$1800,الريسبي!$A$2:$A$1800,$A45,الريسبي!$B$2:$B$1800,AD$1)</f>
        <v>0</v>
      </c>
      <c r="AE45" s="117" t="n">
        <f aca="false">SUMIFS(الريسبي!$C$2:$C$1800,الريسبي!$A$2:$A$1800,$A45,الريسبي!$B$2:$B$1800,AE$1)</f>
        <v>0</v>
      </c>
      <c r="AF45" s="117" t="n">
        <f aca="false">SUMIFS(الريسبي!$C$2:$C$1800,الريسبي!$A$2:$A$1800,$A45,الريسبي!$B$2:$B$1800,AF$1)</f>
        <v>0</v>
      </c>
      <c r="AG45" s="117" t="n">
        <f aca="false">SUMIFS(الريسبي!$C$2:$C$1800,الريسبي!$A$2:$A$1800,$A45,الريسبي!$B$2:$B$1800,AG$1)</f>
        <v>0</v>
      </c>
      <c r="AH45" s="117" t="n">
        <f aca="false">SUMIFS(الريسبي!$C$2:$C$1800,الريسبي!$A$2:$A$1800,$A45,الريسبي!$B$2:$B$1800,AH$1)</f>
        <v>0</v>
      </c>
      <c r="AI45" s="117" t="n">
        <f aca="false">SUMIFS(الريسبي!$C$2:$C$1800,الريسبي!$A$2:$A$1800,$A45,الريسبي!$B$2:$B$1800,AI$1)</f>
        <v>0</v>
      </c>
      <c r="AJ45" s="117" t="n">
        <f aca="false">SUMIFS(الريسبي!$C$2:$C$1800,الريسبي!$A$2:$A$1800,$A45,الريسبي!$B$2:$B$1800,AJ$1)</f>
        <v>2</v>
      </c>
      <c r="AK45" s="117" t="n">
        <f aca="false">SUMIFS(الريسبي!$C$2:$C$1800,الريسبي!$A$2:$A$1800,$A45,الريسبي!$B$2:$B$1800,AK$1)</f>
        <v>0</v>
      </c>
      <c r="AL45" s="117" t="n">
        <f aca="false">SUMIFS(الريسبي!$C$2:$C$1800,الريسبي!$A$2:$A$1800,$A45,الريسبي!$B$2:$B$1800,AL$1)</f>
        <v>0</v>
      </c>
      <c r="AM45" s="117" t="n">
        <f aca="false">SUMIFS(الريسبي!$C$2:$C$1800,الريسبي!$A$2:$A$1800,$A45,الريسبي!$B$2:$B$1800,AM$1)+0.08333333333*SUMIFS(الريسبي!$C$2:$C$1800,الريسبي!$A$2:$A$1800,$A45,الريسبي!$B$2:$B$1800,"عجين كريب (مصنع بالمطعم)")+0.08333333333*SUMIFS(الريسبي!$C$2:$C$1800,الريسبي!$A$2:$A$1800,$A45,الريسبي!$B$2:$B$1800,"عجين كريب صيامي (بدون لبن)")</f>
        <v>0</v>
      </c>
      <c r="AN45" s="117" t="n">
        <f aca="false">SUMIFS(الريسبي!$C$2:$C$1800,الريسبي!$A$2:$A$1800,$A45,الريسبي!$B$2:$B$1800,AN$1)+0.004166666667*SUMIFS(الريسبي!$C$2:$C$1800,الريسبي!$A$2:$A$1800,$A45,الريسبي!$B$2:$B$1800,"عجين كريب (مصنع بالمطعم)")+0.004166666667*SUMIFS(الريسبي!$C$2:$C$1800,الريسبي!$A$2:$A$1800,$A45,الريسبي!$B$2:$B$1800,"عجين كريب صيامي (بدون لبن)")</f>
        <v>0</v>
      </c>
      <c r="AO45" s="117" t="n">
        <f aca="false">SUMIFS(الريسبي!$C$2:$C$1800,الريسبي!$A$2:$A$1800,$A45,الريسبي!$B$2:$B$1800,AO$1)</f>
        <v>0</v>
      </c>
      <c r="AP45" s="117" t="n">
        <f aca="false">SUMIFS(الريسبي!$C$2:$C$1800,الريسبي!$A$2:$A$1800,$A45,الريسبي!$B$2:$B$1800,AP$1)</f>
        <v>0.02</v>
      </c>
      <c r="AQ45" s="117" t="n">
        <f aca="false">SUMIFS(الريسبي!$C$2:$C$1800,الريسبي!$A$2:$A$1800,$A45,الريسبي!$B$2:$B$1800,AQ$1)+0.004166666667*SUMIFS(الريسبي!$C$2:$C$1800,الريسبي!$A$2:$A$1800,$A45,الريسبي!$B$2:$B$1800,"عجين كريب (مصنع بالمطعم)")+0.004166666667*SUMIFS(الريسبي!$C$2:$C$1800,الريسبي!$A$2:$A$1800,$A45,الريسبي!$B$2:$B$1800,"عجين كريب صيامي (بدون لبن)")</f>
        <v>0</v>
      </c>
      <c r="AR45" s="117" t="n">
        <f aca="false">SUMIFS(الريسبي!$C$2:$C$1800,الريسبي!$A$2:$A$1800,$A45,الريسبي!$B$2:$B$1800,AR$1)</f>
        <v>0</v>
      </c>
      <c r="AS45" s="117" t="n">
        <f aca="false">SUMIFS(الريسبي!$C$2:$C$1800,الريسبي!$A$2:$A$1800,$A45,الريسبي!$B$2:$B$1800,AS$1)</f>
        <v>0</v>
      </c>
      <c r="AT45" s="117" t="n">
        <f aca="false">SUMIFS(الريسبي!$C$2:$C$1800,الريسبي!$A$2:$A$1800,$A45,الريسبي!$B$2:$B$1800,AT$1)</f>
        <v>0</v>
      </c>
      <c r="AU45" s="117" t="n">
        <f aca="false">SUMIFS(الريسبي!$C$2:$C$1800,الريسبي!$A$2:$A$1800,$A45,الريسبي!$B$2:$B$1800,AU$1)</f>
        <v>0</v>
      </c>
      <c r="AV45" s="117" t="n">
        <f aca="false">SUMIFS(الريسبي!$C$2:$C$1800,الريسبي!$A$2:$A$1800,$A45,الريسبي!$B$2:$B$1800,AV$1)</f>
        <v>0</v>
      </c>
      <c r="AW45" s="117" t="n">
        <f aca="false">SUMIFS(الريسبي!$C$2:$C$1800,الريسبي!$A$2:$A$1800,$A45,الريسبي!$B$2:$B$1800,AW$1)</f>
        <v>0</v>
      </c>
      <c r="AX45" s="117" t="n">
        <f aca="false">SUMIFS(الريسبي!$C$2:$C$1800,الريسبي!$A$2:$A$1800,$A45,الريسبي!$B$2:$B$1800,AX$1)</f>
        <v>0</v>
      </c>
      <c r="AY45" s="117" t="n">
        <f aca="false">SUMIFS(الريسبي!$C$2:$C$1800,الريسبي!$A$2:$A$1800,$A45,الريسبي!$B$2:$B$1800,AY$1)</f>
        <v>0</v>
      </c>
      <c r="AZ45" s="117" t="n">
        <f aca="false">SUMIFS(الريسبي!$C$2:$C$1800,الريسبي!$A$2:$A$1800,$A45,الريسبي!$B$2:$B$1800,AZ$1)</f>
        <v>0</v>
      </c>
      <c r="BA45" s="117" t="n">
        <f aca="false">SUMIFS(الريسبي!$C$2:$C$1800,الريسبي!$A$2:$A$1800,$A45,الريسبي!$B$2:$B$1800,BA$1)</f>
        <v>0</v>
      </c>
      <c r="BB45" s="117" t="n">
        <f aca="false">SUMIFS(الريسبي!$C$2:$C$1800,الريسبي!$A$2:$A$1800,$A45,الريسبي!$B$2:$B$1800,BB$1)</f>
        <v>0</v>
      </c>
      <c r="BC45" s="117" t="n">
        <f aca="false">SUMIFS(الريسبي!$C$2:$C$1800,الريسبي!$A$2:$A$1800,$A45,الريسبي!$B$2:$B$1800,BC$1)</f>
        <v>0.03</v>
      </c>
      <c r="BD45" s="117" t="n">
        <f aca="false">SUMIFS(الريسبي!$C$2:$C$1800,الريسبي!$A$2:$A$1800,$A45,الريسبي!$B$2:$B$1800,BD$1)</f>
        <v>0</v>
      </c>
      <c r="BE45" s="117" t="n">
        <f aca="false">SUMIFS(الريسبي!$C$2:$C$1800,الريسبي!$A$2:$A$1800,$A45,الريسبي!$B$2:$B$1800,BE$1)</f>
        <v>1</v>
      </c>
      <c r="BF45" s="117" t="n">
        <f aca="false">SUMIFS(الريسبي!$C$2:$C$1800,الريسبي!$A$2:$A$1800,$A45,الريسبي!$B$2:$B$1800,BF$1)</f>
        <v>0</v>
      </c>
      <c r="BG45" s="117" t="n">
        <f aca="false">SUMIFS(الريسبي!$C$2:$C$1800,الريسبي!$A$2:$A$1800,$A45,الريسبي!$B$2:$B$1800,BG$1)</f>
        <v>0</v>
      </c>
      <c r="BH45" s="117" t="n">
        <f aca="false">SUMIFS(الريسبي!$C$2:$C$1800,الريسبي!$A$2:$A$1800,$A45,الريسبي!$B$2:$B$1800,BH$1)</f>
        <v>1</v>
      </c>
      <c r="BI45" s="117" t="n">
        <f aca="false">SUMIFS(الريسبي!$C$2:$C$1800,الريسبي!$A$2:$A$1800,$A45,الريسبي!$B$2:$B$1800,BI$1)</f>
        <v>0</v>
      </c>
      <c r="BJ45" s="117" t="n">
        <f aca="false">SUMIFS(الريسبي!$C$2:$C$1800,الريسبي!$A$2:$A$1800,$A45,الريسبي!$B$2:$B$1800,BJ$1)</f>
        <v>0</v>
      </c>
      <c r="BK45" s="117" t="n">
        <f aca="false">SUMIFS(الريسبي!$C$2:$C$1800,الريسبي!$A$2:$A$1800,$A45,الريسبي!$B$2:$B$1800,BK$1)</f>
        <v>0</v>
      </c>
      <c r="BL45" s="117" t="n">
        <f aca="false">SUMIFS(الريسبي!$C$2:$C$1800,الريسبي!$A$2:$A$1800,$A45,الريسبي!$B$2:$B$1800,BL$1)</f>
        <v>0</v>
      </c>
      <c r="BM45" s="117" t="n">
        <f aca="false">SUMIFS(الريسبي!$C$2:$C$1800,الريسبي!$A$2:$A$1800,$A45,الريسبي!$B$2:$B$1800,BM$1)</f>
        <v>0</v>
      </c>
      <c r="BN45" s="117" t="n">
        <f aca="false">SUMIFS(الريسبي!$C$2:$C$1800,الريسبي!$A$2:$A$1800,$A45,الريسبي!$B$2:$B$1800,BN$1)</f>
        <v>0.02</v>
      </c>
      <c r="BO45" s="117" t="n">
        <f aca="false">SUMIFS(الريسبي!$C$2:$C$1800,الريسبي!$A$2:$A$1800,$A45,الريسبي!$B$2:$B$1800,BO$1)</f>
        <v>0</v>
      </c>
      <c r="BP45" s="117" t="n">
        <f aca="false">SUMIFS(الريسبي!$C$2:$C$1800,الريسبي!$A$2:$A$1800,$A45,الريسبي!$B$2:$B$1800,BP$1)</f>
        <v>2</v>
      </c>
      <c r="BQ45" s="117" t="n">
        <f aca="false">SUMIFS(الريسبي!$C$2:$C$1800,الريسبي!$A$2:$A$1800,$A45,الريسبي!$B$2:$B$1800,BQ$1)+0.17*SUMIFS(الريسبي!$C$2:$C$1800,الريسبي!$A$2:$A$1800,$A45,الريسبي!$B$2:$B$1800,"كاسترد مصنع (خليط بودر + لبن)")+0.17*SUMIFS(الريسبي!$C$2:$C$1800,الريسبي!$A$2:$A$1800,$A45,الريسبي!$B$2:$B$1800,"كاسترد مصنع صيامي (بدون لبن)")</f>
        <v>0</v>
      </c>
      <c r="BR45" s="117" t="n">
        <f aca="false">SUMIFS(الريسبي!$C$2:$C$1800,الريسبي!$A$2:$A$1800,$A45,الريسبي!$B$2:$B$1800,BR$1)</f>
        <v>1</v>
      </c>
      <c r="BS45" s="117" t="n">
        <f aca="false">SUMIFS(الريسبي!$C$2:$C$1800,الريسبي!$A$2:$A$1800,$A45,الريسبي!$B$2:$B$1800,BS$1)</f>
        <v>0</v>
      </c>
      <c r="BT45" s="117" t="n">
        <f aca="false">SUMIFS(الريسبي!$C$2:$C$1800,الريسبي!$A$2:$A$1800,$A45,الريسبي!$B$2:$B$1800,BT$1)</f>
        <v>0</v>
      </c>
      <c r="BU45" s="117" t="n">
        <f aca="false">SUMIFS(الريسبي!$C$2:$C$1800,الريسبي!$A$2:$A$1800,$A45,الريسبي!$B$2:$B$1800,BU$1)+0.4*SUMIFS(الريسبي!$C$2:$C$1800,الريسبي!$A$2:$A$1800,$A45,الريسبي!$B$2:$B$1800,"كاسترد مصنع (خليط بودر + لبن)")+0.03333333333*SUMIFS(الريسبي!$C$2:$C$1800,الريسبي!$A$2:$A$1800,$A45,الريسبي!$B$2:$B$1800,"عجين كريب (مصنع بالمطعم)")</f>
        <v>0</v>
      </c>
      <c r="BV45" s="117" t="n">
        <f aca="false">SUMIFS(الريسبي!$C$2:$C$1800,الريسبي!$A$2:$A$1800,$A45,الريسبي!$B$2:$B$1800,BV$1)</f>
        <v>0</v>
      </c>
      <c r="BW45" s="117" t="n">
        <f aca="false">SUMIFS(الريسبي!$C$2:$C$1800,الريسبي!$A$2:$A$1800,$A45,الريسبي!$B$2:$B$1800,BW$1)</f>
        <v>0</v>
      </c>
      <c r="BX45" s="117" t="n">
        <f aca="false">SUMIFS(الريسبي!$C$2:$C$1800,الريسبي!$A$2:$A$1800,$A45,الريسبي!$B$2:$B$1800,BX$1)</f>
        <v>0</v>
      </c>
      <c r="BY45" s="117" t="n">
        <f aca="false">SUMIFS(الريسبي!$C$2:$C$1800,الريسبي!$A$2:$A$1800,$A45,الريسبي!$B$2:$B$1800,BY$1)</f>
        <v>0</v>
      </c>
      <c r="BZ45" s="117" t="n">
        <f aca="false">SUMIFS(الريسبي!$C$2:$C$1800,الريسبي!$A$2:$A$1800,$A45,الريسبي!$B$2:$B$1800,BZ$1)</f>
        <v>0</v>
      </c>
      <c r="CA45" s="117" t="n">
        <f aca="false">SUMIFS(الريسبي!$C$2:$C$1800,الريسبي!$A$2:$A$1800,$A45,الريسبي!$B$2:$B$1800,CA$1)</f>
        <v>1</v>
      </c>
      <c r="CB45" s="117" t="n">
        <f aca="false">SUMIFS(الريسبي!$C$2:$C$1800,الريسبي!$A$2:$A$1800,$A45,الريسبي!$B$2:$B$1800,CB$1)</f>
        <v>1</v>
      </c>
      <c r="CC45" s="117" t="n">
        <f aca="false">SUMIFS(الريسبي!$C$2:$C$1800,الريسبي!$A$2:$A$1800,$A45,الريسبي!$B$2:$B$1800,CC$1)</f>
        <v>0</v>
      </c>
      <c r="CD45" s="117" t="n">
        <f aca="false">SUMIFS(الريسبي!$C$2:$C$1800,الريسبي!$A$2:$A$1800,$A45,الريسبي!$B$2:$B$1800,CD$1)</f>
        <v>0</v>
      </c>
      <c r="CE45" s="117" t="n">
        <f aca="false">SUMIFS(الريسبي!$C$2:$C$1800,الريسبي!$A$2:$A$1800,$A45,الريسبي!$B$2:$B$1800,CE$1)</f>
        <v>0</v>
      </c>
      <c r="CF45" s="117" t="n">
        <f aca="false">SUMIFS(الريسبي!$C$2:$C$1800,الريسبي!$A$2:$A$1800,$A45,الريسبي!$B$2:$B$1800,CF$1)</f>
        <v>0</v>
      </c>
      <c r="CG45" s="117" t="n">
        <f aca="false">SUMIFS(الريسبي!$C$2:$C$1800,الريسبي!$A$2:$A$1800,$A45,الريسبي!$B$2:$B$1800,CG$1)</f>
        <v>0</v>
      </c>
      <c r="CH45" s="117" t="n">
        <f aca="false">SUMIFS(الريسبي!$C$2:$C$1800,الريسبي!$A$2:$A$1800,$A45,الريسبي!$B$2:$B$1800,CH$1)</f>
        <v>0</v>
      </c>
      <c r="CI45" s="117" t="n">
        <f aca="false">SUMIFS(الريسبي!$C$2:$C$1800,الريسبي!$A$2:$A$1800,$A45,الريسبي!$B$2:$B$1800,CI$1)</f>
        <v>0</v>
      </c>
      <c r="CJ45" s="117" t="n">
        <f aca="false">SUMIFS(الريسبي!$C$2:$C$1800,الريسبي!$A$2:$A$1800,$A45,الريسبي!$B$2:$B$1800,CJ$1)</f>
        <v>0</v>
      </c>
      <c r="CK45" s="117" t="n">
        <f aca="false">SUMIFS(الريسبي!$C$2:$C$1800,الريسبي!$A$2:$A$1800,$A45,الريسبي!$B$2:$B$1800,CK$1)</f>
        <v>0</v>
      </c>
      <c r="CL45" s="117" t="n">
        <f aca="false">SUMIFS(الريسبي!$C$2:$C$1800,الريسبي!$A$2:$A$1800,$A45,الريسبي!$B$2:$B$1800,CL$1)</f>
        <v>0</v>
      </c>
    </row>
    <row r="46" customFormat="false" ht="15" hidden="false" customHeight="false" outlineLevel="0" collapsed="false">
      <c r="A46" s="116" t="str">
        <f aca="false">المنيو!B46</f>
        <v>فطيرة جمبري حجم اكبر</v>
      </c>
      <c r="B46" s="117" t="n">
        <f aca="false">SUMIFS(الريسبي!$C$2:$C$1800,الريسبي!$A$2:$A$1800,$A46,الريسبي!$B$2:$B$1800,B$1)</f>
        <v>0</v>
      </c>
      <c r="C46" s="117" t="n">
        <f aca="false">SUMIFS(الريسبي!$C$2:$C$1800,الريسبي!$A$2:$A$1800,$A46,الريسبي!$B$2:$B$1800,C$1)</f>
        <v>0</v>
      </c>
      <c r="D46" s="117" t="n">
        <f aca="false">SUMIFS(الريسبي!$C$2:$C$1800,الريسبي!$A$2:$A$1800,$A46,الريسبي!$B$2:$B$1800,D$1)</f>
        <v>1</v>
      </c>
      <c r="E46" s="117" t="n">
        <f aca="false">SUMIFS(الريسبي!$C$2:$C$1800,الريسبي!$A$2:$A$1800,$A46,الريسبي!$B$2:$B$1800,E$1)</f>
        <v>0</v>
      </c>
      <c r="F46" s="117" t="n">
        <f aca="false">SUMIFS(الريسبي!$C$2:$C$1800,الريسبي!$A$2:$A$1800,$A46,الريسبي!$B$2:$B$1800,F$1)</f>
        <v>0</v>
      </c>
      <c r="G46" s="117" t="n">
        <f aca="false">SUMIFS(الريسبي!$C$2:$C$1800,الريسبي!$A$2:$A$1800,$A46,الريسبي!$B$2:$B$1800,G$1)</f>
        <v>0</v>
      </c>
      <c r="H46" s="117" t="n">
        <f aca="false">SUMIFS(الريسبي!$C$2:$C$1800,الريسبي!$A$2:$A$1800,$A46,الريسبي!$B$2:$B$1800,H$1)</f>
        <v>0</v>
      </c>
      <c r="I46" s="117" t="n">
        <f aca="false">SUMIFS(الريسبي!$C$2:$C$1800,الريسبي!$A$2:$A$1800,$A46,الريسبي!$B$2:$B$1800,I$1)</f>
        <v>0</v>
      </c>
      <c r="J46" s="117" t="n">
        <f aca="false">SUMIFS(الريسبي!$C$2:$C$1800,الريسبي!$A$2:$A$1800,$A46,الريسبي!$B$2:$B$1800,J$1)</f>
        <v>0</v>
      </c>
      <c r="K46" s="117" t="n">
        <f aca="false">SUMIFS(الريسبي!$C$2:$C$1800,الريسبي!$A$2:$A$1800,$A46,الريسبي!$B$2:$B$1800,K$1)</f>
        <v>1.5</v>
      </c>
      <c r="L46" s="117" t="n">
        <f aca="false">SUMIFS(الريسبي!$C$2:$C$1800,الريسبي!$A$2:$A$1800,$A46,الريسبي!$B$2:$B$1800,L$1)</f>
        <v>0</v>
      </c>
      <c r="M46" s="117" t="n">
        <f aca="false">SUMIFS(الريسبي!$C$2:$C$1800,الريسبي!$A$2:$A$1800,$A46,الريسبي!$B$2:$B$1800,M$1)</f>
        <v>0</v>
      </c>
      <c r="N46" s="117" t="n">
        <f aca="false">SUMIFS(الريسبي!$C$2:$C$1800,الريسبي!$A$2:$A$1800,$A46,الريسبي!$B$2:$B$1800,N$1)</f>
        <v>0</v>
      </c>
      <c r="O46" s="117" t="n">
        <f aca="false">SUMIFS(الريسبي!$C$2:$C$1800,الريسبي!$A$2:$A$1800,$A46,الريسبي!$B$2:$B$1800,O$1)</f>
        <v>0</v>
      </c>
      <c r="P46" s="117" t="n">
        <f aca="false">SUMIFS(الريسبي!$C$2:$C$1800,الريسبي!$A$2:$A$1800,$A46,الريسبي!$B$2:$B$1800,P$1)</f>
        <v>0</v>
      </c>
      <c r="Q46" s="117" t="n">
        <f aca="false">SUMIFS(الريسبي!$C$2:$C$1800,الريسبي!$A$2:$A$1800,$A46,الريسبي!$B$2:$B$1800,Q$1)</f>
        <v>0</v>
      </c>
      <c r="R46" s="117" t="n">
        <f aca="false">SUMIFS(الريسبي!$C$2:$C$1800,الريسبي!$A$2:$A$1800,$A46,الريسبي!$B$2:$B$1800,R$1)</f>
        <v>0</v>
      </c>
      <c r="S46" s="117" t="n">
        <f aca="false">SUMIFS(الريسبي!$C$2:$C$1800,الريسبي!$A$2:$A$1800,$A46,الريسبي!$B$2:$B$1800,S$1)</f>
        <v>0</v>
      </c>
      <c r="T46" s="117" t="n">
        <f aca="false">SUMIFS(الريسبي!$C$2:$C$1800,الريسبي!$A$2:$A$1800,$A46,الريسبي!$B$2:$B$1800,T$1)</f>
        <v>0</v>
      </c>
      <c r="U46" s="117" t="n">
        <f aca="false">SUMIFS(الريسبي!$C$2:$C$1800,الريسبي!$A$2:$A$1800,$A46,الريسبي!$B$2:$B$1800,U$1)</f>
        <v>0</v>
      </c>
      <c r="V46" s="117" t="n">
        <f aca="false">SUMIFS(الريسبي!$C$2:$C$1800,الريسبي!$A$2:$A$1800,$A46,الريسبي!$B$2:$B$1800,V$1)</f>
        <v>0</v>
      </c>
      <c r="W46" s="117" t="n">
        <f aca="false">SUMIFS(الريسبي!$C$2:$C$1800,الريسبي!$A$2:$A$1800,$A46,الريسبي!$B$2:$B$1800,W$1)</f>
        <v>0</v>
      </c>
      <c r="X46" s="117" t="n">
        <f aca="false">SUMIFS(الريسبي!$C$2:$C$1800,الريسبي!$A$2:$A$1800,$A46,الريسبي!$B$2:$B$1800,X$1)</f>
        <v>0</v>
      </c>
      <c r="Y46" s="117" t="n">
        <f aca="false">SUMIFS(الريسبي!$C$2:$C$1800,الريسبي!$A$2:$A$1800,$A46,الريسبي!$B$2:$B$1800,Y$1)</f>
        <v>1</v>
      </c>
      <c r="Z46" s="117" t="n">
        <f aca="false">SUMIFS(الريسبي!$C$2:$C$1800,الريسبي!$A$2:$A$1800,$A46,الريسبي!$B$2:$B$1800,Z$1)</f>
        <v>0</v>
      </c>
      <c r="AA46" s="117" t="n">
        <f aca="false">SUMIFS(الريسبي!$C$2:$C$1800,الريسبي!$A$2:$A$1800,$A46,الريسبي!$B$2:$B$1800,AA$1)</f>
        <v>0</v>
      </c>
      <c r="AB46" s="117" t="n">
        <f aca="false">SUMIFS(الريسبي!$C$2:$C$1800,الريسبي!$A$2:$A$1800,$A46,الريسبي!$B$2:$B$1800,AB$1)</f>
        <v>0</v>
      </c>
      <c r="AC46" s="117" t="n">
        <f aca="false">SUMIFS(الريسبي!$C$2:$C$1800,الريسبي!$A$2:$A$1800,$A46,الريسبي!$B$2:$B$1800,AC$1)</f>
        <v>0</v>
      </c>
      <c r="AD46" s="117" t="n">
        <f aca="false">SUMIFS(الريسبي!$C$2:$C$1800,الريسبي!$A$2:$A$1800,$A46,الريسبي!$B$2:$B$1800,AD$1)</f>
        <v>0</v>
      </c>
      <c r="AE46" s="117" t="n">
        <f aca="false">SUMIFS(الريسبي!$C$2:$C$1800,الريسبي!$A$2:$A$1800,$A46,الريسبي!$B$2:$B$1800,AE$1)</f>
        <v>0</v>
      </c>
      <c r="AF46" s="117" t="n">
        <f aca="false">SUMIFS(الريسبي!$C$2:$C$1800,الريسبي!$A$2:$A$1800,$A46,الريسبي!$B$2:$B$1800,AF$1)</f>
        <v>0</v>
      </c>
      <c r="AG46" s="117" t="n">
        <f aca="false">SUMIFS(الريسبي!$C$2:$C$1800,الريسبي!$A$2:$A$1800,$A46,الريسبي!$B$2:$B$1800,AG$1)</f>
        <v>0</v>
      </c>
      <c r="AH46" s="117" t="n">
        <f aca="false">SUMIFS(الريسبي!$C$2:$C$1800,الريسبي!$A$2:$A$1800,$A46,الريسبي!$B$2:$B$1800,AH$1)</f>
        <v>0</v>
      </c>
      <c r="AI46" s="117" t="n">
        <f aca="false">SUMIFS(الريسبي!$C$2:$C$1800,الريسبي!$A$2:$A$1800,$A46,الريسبي!$B$2:$B$1800,AI$1)</f>
        <v>0</v>
      </c>
      <c r="AJ46" s="117" t="n">
        <f aca="false">SUMIFS(الريسبي!$C$2:$C$1800,الريسبي!$A$2:$A$1800,$A46,الريسبي!$B$2:$B$1800,AJ$1)</f>
        <v>2</v>
      </c>
      <c r="AK46" s="117" t="n">
        <f aca="false">SUMIFS(الريسبي!$C$2:$C$1800,الريسبي!$A$2:$A$1800,$A46,الريسبي!$B$2:$B$1800,AK$1)</f>
        <v>0</v>
      </c>
      <c r="AL46" s="117" t="n">
        <f aca="false">SUMIFS(الريسبي!$C$2:$C$1800,الريسبي!$A$2:$A$1800,$A46,الريسبي!$B$2:$B$1800,AL$1)</f>
        <v>0</v>
      </c>
      <c r="AM46" s="117" t="n">
        <f aca="false">SUMIFS(الريسبي!$C$2:$C$1800,الريسبي!$A$2:$A$1800,$A46,الريسبي!$B$2:$B$1800,AM$1)+0.08333333333*SUMIFS(الريسبي!$C$2:$C$1800,الريسبي!$A$2:$A$1800,$A46,الريسبي!$B$2:$B$1800,"عجين كريب (مصنع بالمطعم)")+0.08333333333*SUMIFS(الريسبي!$C$2:$C$1800,الريسبي!$A$2:$A$1800,$A46,الريسبي!$B$2:$B$1800,"عجين كريب صيامي (بدون لبن)")</f>
        <v>0</v>
      </c>
      <c r="AN46" s="117" t="n">
        <f aca="false">SUMIFS(الريسبي!$C$2:$C$1800,الريسبي!$A$2:$A$1800,$A46,الريسبي!$B$2:$B$1800,AN$1)+0.004166666667*SUMIFS(الريسبي!$C$2:$C$1800,الريسبي!$A$2:$A$1800,$A46,الريسبي!$B$2:$B$1800,"عجين كريب (مصنع بالمطعم)")+0.004166666667*SUMIFS(الريسبي!$C$2:$C$1800,الريسبي!$A$2:$A$1800,$A46,الريسبي!$B$2:$B$1800,"عجين كريب صيامي (بدون لبن)")</f>
        <v>0</v>
      </c>
      <c r="AO46" s="117" t="n">
        <f aca="false">SUMIFS(الريسبي!$C$2:$C$1800,الريسبي!$A$2:$A$1800,$A46,الريسبي!$B$2:$B$1800,AO$1)</f>
        <v>0</v>
      </c>
      <c r="AP46" s="117" t="n">
        <f aca="false">SUMIFS(الريسبي!$C$2:$C$1800,الريسبي!$A$2:$A$1800,$A46,الريسبي!$B$2:$B$1800,AP$1)</f>
        <v>0.03</v>
      </c>
      <c r="AQ46" s="117" t="n">
        <f aca="false">SUMIFS(الريسبي!$C$2:$C$1800,الريسبي!$A$2:$A$1800,$A46,الريسبي!$B$2:$B$1800,AQ$1)+0.004166666667*SUMIFS(الريسبي!$C$2:$C$1800,الريسبي!$A$2:$A$1800,$A46,الريسبي!$B$2:$B$1800,"عجين كريب (مصنع بالمطعم)")+0.004166666667*SUMIFS(الريسبي!$C$2:$C$1800,الريسبي!$A$2:$A$1800,$A46,الريسبي!$B$2:$B$1800,"عجين كريب صيامي (بدون لبن)")</f>
        <v>0</v>
      </c>
      <c r="AR46" s="117" t="n">
        <f aca="false">SUMIFS(الريسبي!$C$2:$C$1800,الريسبي!$A$2:$A$1800,$A46,الريسبي!$B$2:$B$1800,AR$1)</f>
        <v>0</v>
      </c>
      <c r="AS46" s="117" t="n">
        <f aca="false">SUMIFS(الريسبي!$C$2:$C$1800,الريسبي!$A$2:$A$1800,$A46,الريسبي!$B$2:$B$1800,AS$1)</f>
        <v>0</v>
      </c>
      <c r="AT46" s="117" t="n">
        <f aca="false">SUMIFS(الريسبي!$C$2:$C$1800,الريسبي!$A$2:$A$1800,$A46,الريسبي!$B$2:$B$1800,AT$1)</f>
        <v>0</v>
      </c>
      <c r="AU46" s="117" t="n">
        <f aca="false">SUMIFS(الريسبي!$C$2:$C$1800,الريسبي!$A$2:$A$1800,$A46,الريسبي!$B$2:$B$1800,AU$1)</f>
        <v>0</v>
      </c>
      <c r="AV46" s="117" t="n">
        <f aca="false">SUMIFS(الريسبي!$C$2:$C$1800,الريسبي!$A$2:$A$1800,$A46,الريسبي!$B$2:$B$1800,AV$1)</f>
        <v>0</v>
      </c>
      <c r="AW46" s="117" t="n">
        <f aca="false">SUMIFS(الريسبي!$C$2:$C$1800,الريسبي!$A$2:$A$1800,$A46,الريسبي!$B$2:$B$1800,AW$1)</f>
        <v>0</v>
      </c>
      <c r="AX46" s="117" t="n">
        <f aca="false">SUMIFS(الريسبي!$C$2:$C$1800,الريسبي!$A$2:$A$1800,$A46,الريسبي!$B$2:$B$1800,AX$1)</f>
        <v>0</v>
      </c>
      <c r="AY46" s="117" t="n">
        <f aca="false">SUMIFS(الريسبي!$C$2:$C$1800,الريسبي!$A$2:$A$1800,$A46,الريسبي!$B$2:$B$1800,AY$1)</f>
        <v>0</v>
      </c>
      <c r="AZ46" s="117" t="n">
        <f aca="false">SUMIFS(الريسبي!$C$2:$C$1800,الريسبي!$A$2:$A$1800,$A46,الريسبي!$B$2:$B$1800,AZ$1)</f>
        <v>0</v>
      </c>
      <c r="BA46" s="117" t="n">
        <f aca="false">SUMIFS(الريسبي!$C$2:$C$1800,الريسبي!$A$2:$A$1800,$A46,الريسبي!$B$2:$B$1800,BA$1)</f>
        <v>0</v>
      </c>
      <c r="BB46" s="117" t="n">
        <f aca="false">SUMIFS(الريسبي!$C$2:$C$1800,الريسبي!$A$2:$A$1800,$A46,الريسبي!$B$2:$B$1800,BB$1)</f>
        <v>0</v>
      </c>
      <c r="BC46" s="117" t="n">
        <f aca="false">SUMIFS(الريسبي!$C$2:$C$1800,الريسبي!$A$2:$A$1800,$A46,الريسبي!$B$2:$B$1800,BC$1)</f>
        <v>0.045</v>
      </c>
      <c r="BD46" s="117" t="n">
        <f aca="false">SUMIFS(الريسبي!$C$2:$C$1800,الريسبي!$A$2:$A$1800,$A46,الريسبي!$B$2:$B$1800,BD$1)</f>
        <v>0</v>
      </c>
      <c r="BE46" s="117" t="n">
        <f aca="false">SUMIFS(الريسبي!$C$2:$C$1800,الريسبي!$A$2:$A$1800,$A46,الريسبي!$B$2:$B$1800,BE$1)</f>
        <v>1.5</v>
      </c>
      <c r="BF46" s="117" t="n">
        <f aca="false">SUMIFS(الريسبي!$C$2:$C$1800,الريسبي!$A$2:$A$1800,$A46,الريسبي!$B$2:$B$1800,BF$1)</f>
        <v>0</v>
      </c>
      <c r="BG46" s="117" t="n">
        <f aca="false">SUMIFS(الريسبي!$C$2:$C$1800,الريسبي!$A$2:$A$1800,$A46,الريسبي!$B$2:$B$1800,BG$1)</f>
        <v>1</v>
      </c>
      <c r="BH46" s="117" t="n">
        <f aca="false">SUMIFS(الريسبي!$C$2:$C$1800,الريسبي!$A$2:$A$1800,$A46,الريسبي!$B$2:$B$1800,BH$1)</f>
        <v>0</v>
      </c>
      <c r="BI46" s="117" t="n">
        <f aca="false">SUMIFS(الريسبي!$C$2:$C$1800,الريسبي!$A$2:$A$1800,$A46,الريسبي!$B$2:$B$1800,BI$1)</f>
        <v>0</v>
      </c>
      <c r="BJ46" s="117" t="n">
        <f aca="false">SUMIFS(الريسبي!$C$2:$C$1800,الريسبي!$A$2:$A$1800,$A46,الريسبي!$B$2:$B$1800,BJ$1)</f>
        <v>0</v>
      </c>
      <c r="BK46" s="117" t="n">
        <f aca="false">SUMIFS(الريسبي!$C$2:$C$1800,الريسبي!$A$2:$A$1800,$A46,الريسبي!$B$2:$B$1800,BK$1)</f>
        <v>0</v>
      </c>
      <c r="BL46" s="117" t="n">
        <f aca="false">SUMIFS(الريسبي!$C$2:$C$1800,الريسبي!$A$2:$A$1800,$A46,الريسبي!$B$2:$B$1800,BL$1)</f>
        <v>0</v>
      </c>
      <c r="BM46" s="117" t="n">
        <f aca="false">SUMIFS(الريسبي!$C$2:$C$1800,الريسبي!$A$2:$A$1800,$A46,الريسبي!$B$2:$B$1800,BM$1)</f>
        <v>0</v>
      </c>
      <c r="BN46" s="117" t="n">
        <f aca="false">SUMIFS(الريسبي!$C$2:$C$1800,الريسبي!$A$2:$A$1800,$A46,الريسبي!$B$2:$B$1800,BN$1)</f>
        <v>0.03</v>
      </c>
      <c r="BO46" s="117" t="n">
        <f aca="false">SUMIFS(الريسبي!$C$2:$C$1800,الريسبي!$A$2:$A$1800,$A46,الريسبي!$B$2:$B$1800,BO$1)</f>
        <v>0</v>
      </c>
      <c r="BP46" s="117" t="n">
        <f aca="false">SUMIFS(الريسبي!$C$2:$C$1800,الريسبي!$A$2:$A$1800,$A46,الريسبي!$B$2:$B$1800,BP$1)</f>
        <v>3</v>
      </c>
      <c r="BQ46" s="117" t="n">
        <f aca="false">SUMIFS(الريسبي!$C$2:$C$1800,الريسبي!$A$2:$A$1800,$A46,الريسبي!$B$2:$B$1800,BQ$1)+0.17*SUMIFS(الريسبي!$C$2:$C$1800,الريسبي!$A$2:$A$1800,$A46,الريسبي!$B$2:$B$1800,"كاسترد مصنع (خليط بودر + لبن)")+0.17*SUMIFS(الريسبي!$C$2:$C$1800,الريسبي!$A$2:$A$1800,$A46,الريسبي!$B$2:$B$1800,"كاسترد مصنع صيامي (بدون لبن)")</f>
        <v>0</v>
      </c>
      <c r="BR46" s="117" t="n">
        <f aca="false">SUMIFS(الريسبي!$C$2:$C$1800,الريسبي!$A$2:$A$1800,$A46,الريسبي!$B$2:$B$1800,BR$1)</f>
        <v>1</v>
      </c>
      <c r="BS46" s="117" t="n">
        <f aca="false">SUMIFS(الريسبي!$C$2:$C$1800,الريسبي!$A$2:$A$1800,$A46,الريسبي!$B$2:$B$1800,BS$1)</f>
        <v>0</v>
      </c>
      <c r="BT46" s="117" t="n">
        <f aca="false">SUMIFS(الريسبي!$C$2:$C$1800,الريسبي!$A$2:$A$1800,$A46,الريسبي!$B$2:$B$1800,BT$1)</f>
        <v>0</v>
      </c>
      <c r="BU46" s="117" t="n">
        <f aca="false">SUMIFS(الريسبي!$C$2:$C$1800,الريسبي!$A$2:$A$1800,$A46,الريسبي!$B$2:$B$1800,BU$1)+0.4*SUMIFS(الريسبي!$C$2:$C$1800,الريسبي!$A$2:$A$1800,$A46,الريسبي!$B$2:$B$1800,"كاسترد مصنع (خليط بودر + لبن)")+0.03333333333*SUMIFS(الريسبي!$C$2:$C$1800,الريسبي!$A$2:$A$1800,$A46,الريسبي!$B$2:$B$1800,"عجين كريب (مصنع بالمطعم)")</f>
        <v>0</v>
      </c>
      <c r="BV46" s="117" t="n">
        <f aca="false">SUMIFS(الريسبي!$C$2:$C$1800,الريسبي!$A$2:$A$1800,$A46,الريسبي!$B$2:$B$1800,BV$1)</f>
        <v>0</v>
      </c>
      <c r="BW46" s="117" t="n">
        <f aca="false">SUMIFS(الريسبي!$C$2:$C$1800,الريسبي!$A$2:$A$1800,$A46,الريسبي!$B$2:$B$1800,BW$1)</f>
        <v>0</v>
      </c>
      <c r="BX46" s="117" t="n">
        <f aca="false">SUMIFS(الريسبي!$C$2:$C$1800,الريسبي!$A$2:$A$1800,$A46,الريسبي!$B$2:$B$1800,BX$1)</f>
        <v>0</v>
      </c>
      <c r="BY46" s="117" t="n">
        <f aca="false">SUMIFS(الريسبي!$C$2:$C$1800,الريسبي!$A$2:$A$1800,$A46,الريسبي!$B$2:$B$1800,BY$1)</f>
        <v>0</v>
      </c>
      <c r="BZ46" s="117" t="n">
        <f aca="false">SUMIFS(الريسبي!$C$2:$C$1800,الريسبي!$A$2:$A$1800,$A46,الريسبي!$B$2:$B$1800,BZ$1)</f>
        <v>0</v>
      </c>
      <c r="CA46" s="117" t="n">
        <f aca="false">SUMIFS(الريسبي!$C$2:$C$1800,الريسبي!$A$2:$A$1800,$A46,الريسبي!$B$2:$B$1800,CA$1)</f>
        <v>1</v>
      </c>
      <c r="CB46" s="117" t="n">
        <f aca="false">SUMIFS(الريسبي!$C$2:$C$1800,الريسبي!$A$2:$A$1800,$A46,الريسبي!$B$2:$B$1800,CB$1)</f>
        <v>1</v>
      </c>
      <c r="CC46" s="117" t="n">
        <f aca="false">SUMIFS(الريسبي!$C$2:$C$1800,الريسبي!$A$2:$A$1800,$A46,الريسبي!$B$2:$B$1800,CC$1)</f>
        <v>0</v>
      </c>
      <c r="CD46" s="117" t="n">
        <f aca="false">SUMIFS(الريسبي!$C$2:$C$1800,الريسبي!$A$2:$A$1800,$A46,الريسبي!$B$2:$B$1800,CD$1)</f>
        <v>0</v>
      </c>
      <c r="CE46" s="117" t="n">
        <f aca="false">SUMIFS(الريسبي!$C$2:$C$1800,الريسبي!$A$2:$A$1800,$A46,الريسبي!$B$2:$B$1800,CE$1)</f>
        <v>0</v>
      </c>
      <c r="CF46" s="117" t="n">
        <f aca="false">SUMIFS(الريسبي!$C$2:$C$1800,الريسبي!$A$2:$A$1800,$A46,الريسبي!$B$2:$B$1800,CF$1)</f>
        <v>0</v>
      </c>
      <c r="CG46" s="117" t="n">
        <f aca="false">SUMIFS(الريسبي!$C$2:$C$1800,الريسبي!$A$2:$A$1800,$A46,الريسبي!$B$2:$B$1800,CG$1)</f>
        <v>0</v>
      </c>
      <c r="CH46" s="117" t="n">
        <f aca="false">SUMIFS(الريسبي!$C$2:$C$1800,الريسبي!$A$2:$A$1800,$A46,الريسبي!$B$2:$B$1800,CH$1)</f>
        <v>0</v>
      </c>
      <c r="CI46" s="117" t="n">
        <f aca="false">SUMIFS(الريسبي!$C$2:$C$1800,الريسبي!$A$2:$A$1800,$A46,الريسبي!$B$2:$B$1800,CI$1)</f>
        <v>0</v>
      </c>
      <c r="CJ46" s="117" t="n">
        <f aca="false">SUMIFS(الريسبي!$C$2:$C$1800,الريسبي!$A$2:$A$1800,$A46,الريسبي!$B$2:$B$1800,CJ$1)</f>
        <v>0</v>
      </c>
      <c r="CK46" s="117" t="n">
        <f aca="false">SUMIFS(الريسبي!$C$2:$C$1800,الريسبي!$A$2:$A$1800,$A46,الريسبي!$B$2:$B$1800,CK$1)</f>
        <v>0</v>
      </c>
      <c r="CL46" s="117" t="n">
        <f aca="false">SUMIFS(الريسبي!$C$2:$C$1800,الريسبي!$A$2:$A$1800,$A46,الريسبي!$B$2:$B$1800,CL$1)</f>
        <v>0</v>
      </c>
    </row>
    <row r="47" customFormat="false" ht="15" hidden="false" customHeight="false" outlineLevel="0" collapsed="false">
      <c r="A47" s="116" t="str">
        <f aca="false">المنيو!B47</f>
        <v>فطيرة سكر / كاستر</v>
      </c>
      <c r="B47" s="117" t="n">
        <f aca="false">SUMIFS(الريسبي!$C$2:$C$1800,الريسبي!$A$2:$A$1800,$A47,الريسبي!$B$2:$B$1800,B$1)</f>
        <v>0</v>
      </c>
      <c r="C47" s="117" t="n">
        <f aca="false">SUMIFS(الريسبي!$C$2:$C$1800,الريسبي!$A$2:$A$1800,$A47,الريسبي!$B$2:$B$1800,C$1)</f>
        <v>1</v>
      </c>
      <c r="D47" s="117" t="n">
        <f aca="false">SUMIFS(الريسبي!$C$2:$C$1800,الريسبي!$A$2:$A$1800,$A47,الريسبي!$B$2:$B$1800,D$1)</f>
        <v>0</v>
      </c>
      <c r="E47" s="117" t="n">
        <f aca="false">SUMIFS(الريسبي!$C$2:$C$1800,الريسبي!$A$2:$A$1800,$A47,الريسبي!$B$2:$B$1800,E$1)</f>
        <v>1</v>
      </c>
      <c r="F47" s="117" t="n">
        <f aca="false">SUMIFS(الريسبي!$C$2:$C$1800,الريسبي!$A$2:$A$1800,$A47,الريسبي!$B$2:$B$1800,F$1)</f>
        <v>0</v>
      </c>
      <c r="G47" s="117" t="n">
        <f aca="false">SUMIFS(الريسبي!$C$2:$C$1800,الريسبي!$A$2:$A$1800,$A47,الريسبي!$B$2:$B$1800,G$1)</f>
        <v>0</v>
      </c>
      <c r="H47" s="117" t="n">
        <f aca="false">SUMIFS(الريسبي!$C$2:$C$1800,الريسبي!$A$2:$A$1800,$A47,الريسبي!$B$2:$B$1800,H$1)</f>
        <v>0</v>
      </c>
      <c r="I47" s="117" t="n">
        <f aca="false">SUMIFS(الريسبي!$C$2:$C$1800,الريسبي!$A$2:$A$1800,$A47,الريسبي!$B$2:$B$1800,I$1)</f>
        <v>0</v>
      </c>
      <c r="J47" s="117" t="n">
        <f aca="false">SUMIFS(الريسبي!$C$2:$C$1800,الريسبي!$A$2:$A$1800,$A47,الريسبي!$B$2:$B$1800,J$1)</f>
        <v>0</v>
      </c>
      <c r="K47" s="117" t="n">
        <f aca="false">SUMIFS(الريسبي!$C$2:$C$1800,الريسبي!$A$2:$A$1800,$A47,الريسبي!$B$2:$B$1800,K$1)</f>
        <v>0</v>
      </c>
      <c r="L47" s="117" t="n">
        <f aca="false">SUMIFS(الريسبي!$C$2:$C$1800,الريسبي!$A$2:$A$1800,$A47,الريسبي!$B$2:$B$1800,L$1)</f>
        <v>0</v>
      </c>
      <c r="M47" s="117" t="n">
        <f aca="false">SUMIFS(الريسبي!$C$2:$C$1800,الريسبي!$A$2:$A$1800,$A47,الريسبي!$B$2:$B$1800,M$1)</f>
        <v>0</v>
      </c>
      <c r="N47" s="117" t="n">
        <f aca="false">SUMIFS(الريسبي!$C$2:$C$1800,الريسبي!$A$2:$A$1800,$A47,الريسبي!$B$2:$B$1800,N$1)</f>
        <v>0</v>
      </c>
      <c r="O47" s="117" t="n">
        <f aca="false">SUMIFS(الريسبي!$C$2:$C$1800,الريسبي!$A$2:$A$1800,$A47,الريسبي!$B$2:$B$1800,O$1)</f>
        <v>0</v>
      </c>
      <c r="P47" s="117" t="n">
        <f aca="false">SUMIFS(الريسبي!$C$2:$C$1800,الريسبي!$A$2:$A$1800,$A47,الريسبي!$B$2:$B$1800,P$1)</f>
        <v>0</v>
      </c>
      <c r="Q47" s="117" t="n">
        <f aca="false">SUMIFS(الريسبي!$C$2:$C$1800,الريسبي!$A$2:$A$1800,$A47,الريسبي!$B$2:$B$1800,Q$1)</f>
        <v>0</v>
      </c>
      <c r="R47" s="117" t="n">
        <f aca="false">SUMIFS(الريسبي!$C$2:$C$1800,الريسبي!$A$2:$A$1800,$A47,الريسبي!$B$2:$B$1800,R$1)</f>
        <v>0</v>
      </c>
      <c r="S47" s="117" t="n">
        <f aca="false">SUMIFS(الريسبي!$C$2:$C$1800,الريسبي!$A$2:$A$1800,$A47,الريسبي!$B$2:$B$1800,S$1)</f>
        <v>0</v>
      </c>
      <c r="T47" s="117" t="n">
        <f aca="false">SUMIFS(الريسبي!$C$2:$C$1800,الريسبي!$A$2:$A$1800,$A47,الريسبي!$B$2:$B$1800,T$1)</f>
        <v>0</v>
      </c>
      <c r="U47" s="117" t="n">
        <f aca="false">SUMIFS(الريسبي!$C$2:$C$1800,الريسبي!$A$2:$A$1800,$A47,الريسبي!$B$2:$B$1800,U$1)</f>
        <v>0</v>
      </c>
      <c r="V47" s="117" t="n">
        <f aca="false">SUMIFS(الريسبي!$C$2:$C$1800,الريسبي!$A$2:$A$1800,$A47,الريسبي!$B$2:$B$1800,V$1)</f>
        <v>0</v>
      </c>
      <c r="W47" s="117" t="n">
        <f aca="false">SUMIFS(الريسبي!$C$2:$C$1800,الريسبي!$A$2:$A$1800,$A47,الريسبي!$B$2:$B$1800,W$1)</f>
        <v>0</v>
      </c>
      <c r="X47" s="117" t="n">
        <f aca="false">SUMIFS(الريسبي!$C$2:$C$1800,الريسبي!$A$2:$A$1800,$A47,الريسبي!$B$2:$B$1800,X$1)</f>
        <v>0</v>
      </c>
      <c r="Y47" s="117" t="n">
        <f aca="false">SUMIFS(الريسبي!$C$2:$C$1800,الريسبي!$A$2:$A$1800,$A47,الريسبي!$B$2:$B$1800,Y$1)</f>
        <v>0</v>
      </c>
      <c r="Z47" s="117" t="n">
        <f aca="false">SUMIFS(الريسبي!$C$2:$C$1800,الريسبي!$A$2:$A$1800,$A47,الريسبي!$B$2:$B$1800,Z$1)</f>
        <v>0</v>
      </c>
      <c r="AA47" s="117" t="n">
        <f aca="false">SUMIFS(الريسبي!$C$2:$C$1800,الريسبي!$A$2:$A$1800,$A47,الريسبي!$B$2:$B$1800,AA$1)</f>
        <v>0</v>
      </c>
      <c r="AB47" s="117" t="n">
        <f aca="false">SUMIFS(الريسبي!$C$2:$C$1800,الريسبي!$A$2:$A$1800,$A47,الريسبي!$B$2:$B$1800,AB$1)</f>
        <v>0</v>
      </c>
      <c r="AC47" s="117" t="n">
        <f aca="false">SUMIFS(الريسبي!$C$2:$C$1800,الريسبي!$A$2:$A$1800,$A47,الريسبي!$B$2:$B$1800,AC$1)</f>
        <v>0</v>
      </c>
      <c r="AD47" s="117" t="n">
        <f aca="false">SUMIFS(الريسبي!$C$2:$C$1800,الريسبي!$A$2:$A$1800,$A47,الريسبي!$B$2:$B$1800,AD$1)</f>
        <v>0</v>
      </c>
      <c r="AE47" s="117" t="n">
        <f aca="false">SUMIFS(الريسبي!$C$2:$C$1800,الريسبي!$A$2:$A$1800,$A47,الريسبي!$B$2:$B$1800,AE$1)</f>
        <v>0</v>
      </c>
      <c r="AF47" s="117" t="n">
        <f aca="false">SUMIFS(الريسبي!$C$2:$C$1800,الريسبي!$A$2:$A$1800,$A47,الريسبي!$B$2:$B$1800,AF$1)</f>
        <v>1</v>
      </c>
      <c r="AG47" s="117" t="n">
        <f aca="false">SUMIFS(الريسبي!$C$2:$C$1800,الريسبي!$A$2:$A$1800,$A47,الريسبي!$B$2:$B$1800,AG$1)</f>
        <v>0</v>
      </c>
      <c r="AH47" s="117" t="n">
        <f aca="false">SUMIFS(الريسبي!$C$2:$C$1800,الريسبي!$A$2:$A$1800,$A47,الريسبي!$B$2:$B$1800,AH$1)</f>
        <v>0</v>
      </c>
      <c r="AI47" s="117" t="n">
        <f aca="false">SUMIFS(الريسبي!$C$2:$C$1800,الريسبي!$A$2:$A$1800,$A47,الريسبي!$B$2:$B$1800,AI$1)</f>
        <v>0</v>
      </c>
      <c r="AJ47" s="117" t="n">
        <f aca="false">SUMIFS(الريسبي!$C$2:$C$1800,الريسبي!$A$2:$A$1800,$A47,الريسبي!$B$2:$B$1800,AJ$1)</f>
        <v>2</v>
      </c>
      <c r="AK47" s="117" t="n">
        <f aca="false">SUMIFS(الريسبي!$C$2:$C$1800,الريسبي!$A$2:$A$1800,$A47,الريسبي!$B$2:$B$1800,AK$1)</f>
        <v>0</v>
      </c>
      <c r="AL47" s="117" t="n">
        <f aca="false">SUMIFS(الريسبي!$C$2:$C$1800,الريسبي!$A$2:$A$1800,$A47,الريسبي!$B$2:$B$1800,AL$1)</f>
        <v>0</v>
      </c>
      <c r="AM47" s="117" t="n">
        <f aca="false">SUMIFS(الريسبي!$C$2:$C$1800,الريسبي!$A$2:$A$1800,$A47,الريسبي!$B$2:$B$1800,AM$1)+0.08333333333*SUMIFS(الريسبي!$C$2:$C$1800,الريسبي!$A$2:$A$1800,$A47,الريسبي!$B$2:$B$1800,"عجين كريب (مصنع بالمطعم)")+0.08333333333*SUMIFS(الريسبي!$C$2:$C$1800,الريسبي!$A$2:$A$1800,$A47,الريسبي!$B$2:$B$1800,"عجين كريب صيامي (بدون لبن)")</f>
        <v>0</v>
      </c>
      <c r="AN47" s="117" t="n">
        <f aca="false">SUMIFS(الريسبي!$C$2:$C$1800,الريسبي!$A$2:$A$1800,$A47,الريسبي!$B$2:$B$1800,AN$1)+0.004166666667*SUMIFS(الريسبي!$C$2:$C$1800,الريسبي!$A$2:$A$1800,$A47,الريسبي!$B$2:$B$1800,"عجين كريب (مصنع بالمطعم)")+0.004166666667*SUMIFS(الريسبي!$C$2:$C$1800,الريسبي!$A$2:$A$1800,$A47,الريسبي!$B$2:$B$1800,"عجين كريب صيامي (بدون لبن)")</f>
        <v>0</v>
      </c>
      <c r="AO47" s="117" t="n">
        <f aca="false">SUMIFS(الريسبي!$C$2:$C$1800,الريسبي!$A$2:$A$1800,$A47,الريسبي!$B$2:$B$1800,AO$1)</f>
        <v>0</v>
      </c>
      <c r="AP47" s="117" t="n">
        <f aca="false">SUMIFS(الريسبي!$C$2:$C$1800,الريسبي!$A$2:$A$1800,$A47,الريسبي!$B$2:$B$1800,AP$1)</f>
        <v>0</v>
      </c>
      <c r="AQ47" s="117" t="n">
        <f aca="false">SUMIFS(الريسبي!$C$2:$C$1800,الريسبي!$A$2:$A$1800,$A47,الريسبي!$B$2:$B$1800,AQ$1)+0.004166666667*SUMIFS(الريسبي!$C$2:$C$1800,الريسبي!$A$2:$A$1800,$A47,الريسبي!$B$2:$B$1800,"عجين كريب (مصنع بالمطعم)")+0.004166666667*SUMIFS(الريسبي!$C$2:$C$1800,الريسبي!$A$2:$A$1800,$A47,الريسبي!$B$2:$B$1800,"عجين كريب صيامي (بدون لبن)")</f>
        <v>0.05</v>
      </c>
      <c r="AR47" s="117" t="n">
        <f aca="false">SUMIFS(الريسبي!$C$2:$C$1800,الريسبي!$A$2:$A$1800,$A47,الريسبي!$B$2:$B$1800,AR$1)</f>
        <v>0</v>
      </c>
      <c r="AS47" s="117" t="n">
        <f aca="false">SUMIFS(الريسبي!$C$2:$C$1800,الريسبي!$A$2:$A$1800,$A47,الريسبي!$B$2:$B$1800,AS$1)</f>
        <v>0</v>
      </c>
      <c r="AT47" s="117" t="n">
        <f aca="false">SUMIFS(الريسبي!$C$2:$C$1800,الريسبي!$A$2:$A$1800,$A47,الريسبي!$B$2:$B$1800,AT$1)</f>
        <v>1</v>
      </c>
      <c r="AU47" s="117" t="n">
        <f aca="false">SUMIFS(الريسبي!$C$2:$C$1800,الريسبي!$A$2:$A$1800,$A47,الريسبي!$B$2:$B$1800,AU$1)</f>
        <v>1</v>
      </c>
      <c r="AV47" s="117" t="n">
        <f aca="false">SUMIFS(الريسبي!$C$2:$C$1800,الريسبي!$A$2:$A$1800,$A47,الريسبي!$B$2:$B$1800,AV$1)</f>
        <v>0</v>
      </c>
      <c r="AW47" s="117" t="n">
        <f aca="false">SUMIFS(الريسبي!$C$2:$C$1800,الريسبي!$A$2:$A$1800,$A47,الريسبي!$B$2:$B$1800,AW$1)</f>
        <v>0</v>
      </c>
      <c r="AX47" s="117" t="n">
        <f aca="false">SUMIFS(الريسبي!$C$2:$C$1800,الريسبي!$A$2:$A$1800,$A47,الريسبي!$B$2:$B$1800,AX$1)</f>
        <v>0</v>
      </c>
      <c r="AY47" s="117" t="n">
        <f aca="false">SUMIFS(الريسبي!$C$2:$C$1800,الريسبي!$A$2:$A$1800,$A47,الريسبي!$B$2:$B$1800,AY$1)</f>
        <v>0</v>
      </c>
      <c r="AZ47" s="117" t="n">
        <f aca="false">SUMIFS(الريسبي!$C$2:$C$1800,الريسبي!$A$2:$A$1800,$A47,الريسبي!$B$2:$B$1800,AZ$1)</f>
        <v>0</v>
      </c>
      <c r="BA47" s="117" t="n">
        <f aca="false">SUMIFS(الريسبي!$C$2:$C$1800,الريسبي!$A$2:$A$1800,$A47,الريسبي!$B$2:$B$1800,BA$1)</f>
        <v>0</v>
      </c>
      <c r="BB47" s="117" t="n">
        <f aca="false">SUMIFS(الريسبي!$C$2:$C$1800,الريسبي!$A$2:$A$1800,$A47,الريسبي!$B$2:$B$1800,BB$1)</f>
        <v>0</v>
      </c>
      <c r="BC47" s="117" t="n">
        <f aca="false">SUMIFS(الريسبي!$C$2:$C$1800,الريسبي!$A$2:$A$1800,$A47,الريسبي!$B$2:$B$1800,BC$1)</f>
        <v>0</v>
      </c>
      <c r="BD47" s="117" t="n">
        <f aca="false">SUMIFS(الريسبي!$C$2:$C$1800,الريسبي!$A$2:$A$1800,$A47,الريسبي!$B$2:$B$1800,BD$1)</f>
        <v>0</v>
      </c>
      <c r="BE47" s="117" t="n">
        <f aca="false">SUMIFS(الريسبي!$C$2:$C$1800,الريسبي!$A$2:$A$1800,$A47,الريسبي!$B$2:$B$1800,BE$1)</f>
        <v>1</v>
      </c>
      <c r="BF47" s="117" t="n">
        <f aca="false">SUMIFS(الريسبي!$C$2:$C$1800,الريسبي!$A$2:$A$1800,$A47,الريسبي!$B$2:$B$1800,BF$1)</f>
        <v>0</v>
      </c>
      <c r="BG47" s="117" t="n">
        <f aca="false">SUMIFS(الريسبي!$C$2:$C$1800,الريسبي!$A$2:$A$1800,$A47,الريسبي!$B$2:$B$1800,BG$1)</f>
        <v>0</v>
      </c>
      <c r="BH47" s="117" t="n">
        <f aca="false">SUMIFS(الريسبي!$C$2:$C$1800,الريسبي!$A$2:$A$1800,$A47,الريسبي!$B$2:$B$1800,BH$1)</f>
        <v>0</v>
      </c>
      <c r="BI47" s="117" t="n">
        <f aca="false">SUMIFS(الريسبي!$C$2:$C$1800,الريسبي!$A$2:$A$1800,$A47,الريسبي!$B$2:$B$1800,BI$1)</f>
        <v>0</v>
      </c>
      <c r="BJ47" s="117" t="n">
        <f aca="false">SUMIFS(الريسبي!$C$2:$C$1800,الريسبي!$A$2:$A$1800,$A47,الريسبي!$B$2:$B$1800,BJ$1)</f>
        <v>0</v>
      </c>
      <c r="BK47" s="117" t="n">
        <f aca="false">SUMIFS(الريسبي!$C$2:$C$1800,الريسبي!$A$2:$A$1800,$A47,الريسبي!$B$2:$B$1800,BK$1)</f>
        <v>0</v>
      </c>
      <c r="BL47" s="117" t="n">
        <f aca="false">SUMIFS(الريسبي!$C$2:$C$1800,الريسبي!$A$2:$A$1800,$A47,الريسبي!$B$2:$B$1800,BL$1)</f>
        <v>0</v>
      </c>
      <c r="BM47" s="117" t="n">
        <f aca="false">SUMIFS(الريسبي!$C$2:$C$1800,الريسبي!$A$2:$A$1800,$A47,الريسبي!$B$2:$B$1800,BM$1)</f>
        <v>0</v>
      </c>
      <c r="BN47" s="117" t="n">
        <f aca="false">SUMIFS(الريسبي!$C$2:$C$1800,الريسبي!$A$2:$A$1800,$A47,الريسبي!$B$2:$B$1800,BN$1)</f>
        <v>0</v>
      </c>
      <c r="BO47" s="117" t="n">
        <f aca="false">SUMIFS(الريسبي!$C$2:$C$1800,الريسبي!$A$2:$A$1800,$A47,الريسبي!$B$2:$B$1800,BO$1)</f>
        <v>0</v>
      </c>
      <c r="BP47" s="117" t="n">
        <f aca="false">SUMIFS(الريسبي!$C$2:$C$1800,الريسبي!$A$2:$A$1800,$A47,الريسبي!$B$2:$B$1800,BP$1)</f>
        <v>0</v>
      </c>
      <c r="BQ47" s="117" t="n">
        <f aca="false">SUMIFS(الريسبي!$C$2:$C$1800,الريسبي!$A$2:$A$1800,$A47,الريسبي!$B$2:$B$1800,BQ$1)+0.17*SUMIFS(الريسبي!$C$2:$C$1800,الريسبي!$A$2:$A$1800,$A47,الريسبي!$B$2:$B$1800,"كاسترد مصنع (خليط بودر + لبن)")+0.17*SUMIFS(الريسبي!$C$2:$C$1800,الريسبي!$A$2:$A$1800,$A47,الريسبي!$B$2:$B$1800,"كاسترد مصنع صيامي (بدون لبن)")</f>
        <v>0.0255</v>
      </c>
      <c r="BR47" s="117" t="n">
        <f aca="false">SUMIFS(الريسبي!$C$2:$C$1800,الريسبي!$A$2:$A$1800,$A47,الريسبي!$B$2:$B$1800,BR$1)</f>
        <v>0</v>
      </c>
      <c r="BS47" s="117" t="n">
        <f aca="false">SUMIFS(الريسبي!$C$2:$C$1800,الريسبي!$A$2:$A$1800,$A47,الريسبي!$B$2:$B$1800,BS$1)</f>
        <v>0</v>
      </c>
      <c r="BT47" s="117" t="n">
        <f aca="false">SUMIFS(الريسبي!$C$2:$C$1800,الريسبي!$A$2:$A$1800,$A47,الريسبي!$B$2:$B$1800,BT$1)</f>
        <v>0</v>
      </c>
      <c r="BU47" s="117" t="n">
        <f aca="false">SUMIFS(الريسبي!$C$2:$C$1800,الريسبي!$A$2:$A$1800,$A47,الريسبي!$B$2:$B$1800,BU$1)+0.4*SUMIFS(الريسبي!$C$2:$C$1800,الريسبي!$A$2:$A$1800,$A47,الريسبي!$B$2:$B$1800,"كاسترد مصنع (خليط بودر + لبن)")+0.03333333333*SUMIFS(الريسبي!$C$2:$C$1800,الريسبي!$A$2:$A$1800,$A47,الريسبي!$B$2:$B$1800,"عجين كريب (مصنع بالمطعم)")</f>
        <v>0.21</v>
      </c>
      <c r="BV47" s="117" t="n">
        <f aca="false">SUMIFS(الريسبي!$C$2:$C$1800,الريسبي!$A$2:$A$1800,$A47,الريسبي!$B$2:$B$1800,BV$1)</f>
        <v>0</v>
      </c>
      <c r="BW47" s="117" t="n">
        <f aca="false">SUMIFS(الريسبي!$C$2:$C$1800,الريسبي!$A$2:$A$1800,$A47,الريسبي!$B$2:$B$1800,BW$1)</f>
        <v>0</v>
      </c>
      <c r="BX47" s="117" t="n">
        <f aca="false">SUMIFS(الريسبي!$C$2:$C$1800,الريسبي!$A$2:$A$1800,$A47,الريسبي!$B$2:$B$1800,BX$1)</f>
        <v>0</v>
      </c>
      <c r="BY47" s="117" t="n">
        <f aca="false">SUMIFS(الريسبي!$C$2:$C$1800,الريسبي!$A$2:$A$1800,$A47,الريسبي!$B$2:$B$1800,BY$1)</f>
        <v>0</v>
      </c>
      <c r="BZ47" s="117" t="n">
        <f aca="false">SUMIFS(الريسبي!$C$2:$C$1800,الريسبي!$A$2:$A$1800,$A47,الريسبي!$B$2:$B$1800,BZ$1)</f>
        <v>0</v>
      </c>
      <c r="CA47" s="117" t="n">
        <f aca="false">SUMIFS(الريسبي!$C$2:$C$1800,الريسبي!$A$2:$A$1800,$A47,الريسبي!$B$2:$B$1800,CA$1)</f>
        <v>0</v>
      </c>
      <c r="CB47" s="117" t="n">
        <f aca="false">SUMIFS(الريسبي!$C$2:$C$1800,الريسبي!$A$2:$A$1800,$A47,الريسبي!$B$2:$B$1800,CB$1)</f>
        <v>0</v>
      </c>
      <c r="CC47" s="117" t="n">
        <f aca="false">SUMIFS(الريسبي!$C$2:$C$1800,الريسبي!$A$2:$A$1800,$A47,الريسبي!$B$2:$B$1800,CC$1)</f>
        <v>0</v>
      </c>
      <c r="CD47" s="117" t="n">
        <f aca="false">SUMIFS(الريسبي!$C$2:$C$1800,الريسبي!$A$2:$A$1800,$A47,الريسبي!$B$2:$B$1800,CD$1)</f>
        <v>0</v>
      </c>
      <c r="CE47" s="117" t="n">
        <f aca="false">SUMIFS(الريسبي!$C$2:$C$1800,الريسبي!$A$2:$A$1800,$A47,الريسبي!$B$2:$B$1800,CE$1)</f>
        <v>0</v>
      </c>
      <c r="CF47" s="117" t="n">
        <f aca="false">SUMIFS(الريسبي!$C$2:$C$1800,الريسبي!$A$2:$A$1800,$A47,الريسبي!$B$2:$B$1800,CF$1)</f>
        <v>0</v>
      </c>
      <c r="CG47" s="117" t="n">
        <f aca="false">SUMIFS(الريسبي!$C$2:$C$1800,الريسبي!$A$2:$A$1800,$A47,الريسبي!$B$2:$B$1800,CG$1)</f>
        <v>0</v>
      </c>
      <c r="CH47" s="117" t="n">
        <f aca="false">SUMIFS(الريسبي!$C$2:$C$1800,الريسبي!$A$2:$A$1800,$A47,الريسبي!$B$2:$B$1800,CH$1)</f>
        <v>0</v>
      </c>
      <c r="CI47" s="117" t="n">
        <f aca="false">SUMIFS(الريسبي!$C$2:$C$1800,الريسبي!$A$2:$A$1800,$A47,الريسبي!$B$2:$B$1800,CI$1)</f>
        <v>0</v>
      </c>
      <c r="CJ47" s="117" t="n">
        <f aca="false">SUMIFS(الريسبي!$C$2:$C$1800,الريسبي!$A$2:$A$1800,$A47,الريسبي!$B$2:$B$1800,CJ$1)</f>
        <v>0</v>
      </c>
      <c r="CK47" s="117" t="n">
        <f aca="false">SUMIFS(الريسبي!$C$2:$C$1800,الريسبي!$A$2:$A$1800,$A47,الريسبي!$B$2:$B$1800,CK$1)</f>
        <v>0</v>
      </c>
      <c r="CL47" s="117" t="n">
        <f aca="false">SUMIFS(الريسبي!$C$2:$C$1800,الريسبي!$A$2:$A$1800,$A47,الريسبي!$B$2:$B$1800,CL$1)</f>
        <v>0</v>
      </c>
    </row>
    <row r="48" customFormat="false" ht="15" hidden="false" customHeight="false" outlineLevel="0" collapsed="false">
      <c r="A48" s="116" t="str">
        <f aca="false">المنيو!B48</f>
        <v>فطيرة ملوكي زبيب وجوزهند</v>
      </c>
      <c r="B48" s="117" t="n">
        <f aca="false">SUMIFS(الريسبي!$C$2:$C$1800,الريسبي!$A$2:$A$1800,$A48,الريسبي!$B$2:$B$1800,B$1)</f>
        <v>0</v>
      </c>
      <c r="C48" s="117" t="n">
        <f aca="false">SUMIFS(الريسبي!$C$2:$C$1800,الريسبي!$A$2:$A$1800,$A48,الريسبي!$B$2:$B$1800,C$1)</f>
        <v>0</v>
      </c>
      <c r="D48" s="117" t="n">
        <f aca="false">SUMIFS(الريسبي!$C$2:$C$1800,الريسبي!$A$2:$A$1800,$A48,الريسبي!$B$2:$B$1800,D$1)</f>
        <v>0</v>
      </c>
      <c r="E48" s="117" t="n">
        <f aca="false">SUMIFS(الريسبي!$C$2:$C$1800,الريسبي!$A$2:$A$1800,$A48,الريسبي!$B$2:$B$1800,E$1)</f>
        <v>1</v>
      </c>
      <c r="F48" s="117" t="n">
        <f aca="false">SUMIFS(الريسبي!$C$2:$C$1800,الريسبي!$A$2:$A$1800,$A48,الريسبي!$B$2:$B$1800,F$1)</f>
        <v>0</v>
      </c>
      <c r="G48" s="117" t="n">
        <f aca="false">SUMIFS(الريسبي!$C$2:$C$1800,الريسبي!$A$2:$A$1800,$A48,الريسبي!$B$2:$B$1800,G$1)</f>
        <v>0</v>
      </c>
      <c r="H48" s="117" t="n">
        <f aca="false">SUMIFS(الريسبي!$C$2:$C$1800,الريسبي!$A$2:$A$1800,$A48,الريسبي!$B$2:$B$1800,H$1)</f>
        <v>0</v>
      </c>
      <c r="I48" s="117" t="n">
        <f aca="false">SUMIFS(الريسبي!$C$2:$C$1800,الريسبي!$A$2:$A$1800,$A48,الريسبي!$B$2:$B$1800,I$1)</f>
        <v>0</v>
      </c>
      <c r="J48" s="117" t="n">
        <f aca="false">SUMIFS(الريسبي!$C$2:$C$1800,الريسبي!$A$2:$A$1800,$A48,الريسبي!$B$2:$B$1800,J$1)</f>
        <v>0</v>
      </c>
      <c r="K48" s="117" t="n">
        <f aca="false">SUMIFS(الريسبي!$C$2:$C$1800,الريسبي!$A$2:$A$1800,$A48,الريسبي!$B$2:$B$1800,K$1)</f>
        <v>0</v>
      </c>
      <c r="L48" s="117" t="n">
        <f aca="false">SUMIFS(الريسبي!$C$2:$C$1800,الريسبي!$A$2:$A$1800,$A48,الريسبي!$B$2:$B$1800,L$1)</f>
        <v>0</v>
      </c>
      <c r="M48" s="117" t="n">
        <f aca="false">SUMIFS(الريسبي!$C$2:$C$1800,الريسبي!$A$2:$A$1800,$A48,الريسبي!$B$2:$B$1800,M$1)</f>
        <v>0</v>
      </c>
      <c r="N48" s="117" t="n">
        <f aca="false">SUMIFS(الريسبي!$C$2:$C$1800,الريسبي!$A$2:$A$1800,$A48,الريسبي!$B$2:$B$1800,N$1)</f>
        <v>0</v>
      </c>
      <c r="O48" s="117" t="n">
        <f aca="false">SUMIFS(الريسبي!$C$2:$C$1800,الريسبي!$A$2:$A$1800,$A48,الريسبي!$B$2:$B$1800,O$1)</f>
        <v>0</v>
      </c>
      <c r="P48" s="117" t="n">
        <f aca="false">SUMIFS(الريسبي!$C$2:$C$1800,الريسبي!$A$2:$A$1800,$A48,الريسبي!$B$2:$B$1800,P$1)</f>
        <v>0</v>
      </c>
      <c r="Q48" s="117" t="n">
        <f aca="false">SUMIFS(الريسبي!$C$2:$C$1800,الريسبي!$A$2:$A$1800,$A48,الريسبي!$B$2:$B$1800,Q$1)</f>
        <v>0</v>
      </c>
      <c r="R48" s="117" t="n">
        <f aca="false">SUMIFS(الريسبي!$C$2:$C$1800,الريسبي!$A$2:$A$1800,$A48,الريسبي!$B$2:$B$1800,R$1)</f>
        <v>0</v>
      </c>
      <c r="S48" s="117" t="n">
        <f aca="false">SUMIFS(الريسبي!$C$2:$C$1800,الريسبي!$A$2:$A$1800,$A48,الريسبي!$B$2:$B$1800,S$1)</f>
        <v>0</v>
      </c>
      <c r="T48" s="117" t="n">
        <f aca="false">SUMIFS(الريسبي!$C$2:$C$1800,الريسبي!$A$2:$A$1800,$A48,الريسبي!$B$2:$B$1800,T$1)</f>
        <v>0</v>
      </c>
      <c r="U48" s="117" t="n">
        <f aca="false">SUMIFS(الريسبي!$C$2:$C$1800,الريسبي!$A$2:$A$1800,$A48,الريسبي!$B$2:$B$1800,U$1)</f>
        <v>0</v>
      </c>
      <c r="V48" s="117" t="n">
        <f aca="false">SUMIFS(الريسبي!$C$2:$C$1800,الريسبي!$A$2:$A$1800,$A48,الريسبي!$B$2:$B$1800,V$1)</f>
        <v>0</v>
      </c>
      <c r="W48" s="117" t="n">
        <f aca="false">SUMIFS(الريسبي!$C$2:$C$1800,الريسبي!$A$2:$A$1800,$A48,الريسبي!$B$2:$B$1800,W$1)</f>
        <v>0</v>
      </c>
      <c r="X48" s="117" t="n">
        <f aca="false">SUMIFS(الريسبي!$C$2:$C$1800,الريسبي!$A$2:$A$1800,$A48,الريسبي!$B$2:$B$1800,X$1)</f>
        <v>0</v>
      </c>
      <c r="Y48" s="117" t="n">
        <f aca="false">SUMIFS(الريسبي!$C$2:$C$1800,الريسبي!$A$2:$A$1800,$A48,الريسبي!$B$2:$B$1800,Y$1)</f>
        <v>0</v>
      </c>
      <c r="Z48" s="117" t="n">
        <f aca="false">SUMIFS(الريسبي!$C$2:$C$1800,الريسبي!$A$2:$A$1800,$A48,الريسبي!$B$2:$B$1800,Z$1)</f>
        <v>0</v>
      </c>
      <c r="AA48" s="117" t="n">
        <f aca="false">SUMIFS(الريسبي!$C$2:$C$1800,الريسبي!$A$2:$A$1800,$A48,الريسبي!$B$2:$B$1800,AA$1)</f>
        <v>0</v>
      </c>
      <c r="AB48" s="117" t="n">
        <f aca="false">SUMIFS(الريسبي!$C$2:$C$1800,الريسبي!$A$2:$A$1800,$A48,الريسبي!$B$2:$B$1800,AB$1)</f>
        <v>0</v>
      </c>
      <c r="AC48" s="117" t="n">
        <f aca="false">SUMIFS(الريسبي!$C$2:$C$1800,الريسبي!$A$2:$A$1800,$A48,الريسبي!$B$2:$B$1800,AC$1)</f>
        <v>0</v>
      </c>
      <c r="AD48" s="117" t="n">
        <f aca="false">SUMIFS(الريسبي!$C$2:$C$1800,الريسبي!$A$2:$A$1800,$A48,الريسبي!$B$2:$B$1800,AD$1)</f>
        <v>0</v>
      </c>
      <c r="AE48" s="117" t="n">
        <f aca="false">SUMIFS(الريسبي!$C$2:$C$1800,الريسبي!$A$2:$A$1800,$A48,الريسبي!$B$2:$B$1800,AE$1)</f>
        <v>0</v>
      </c>
      <c r="AF48" s="117" t="n">
        <f aca="false">SUMIFS(الريسبي!$C$2:$C$1800,الريسبي!$A$2:$A$1800,$A48,الريسبي!$B$2:$B$1800,AF$1)</f>
        <v>1</v>
      </c>
      <c r="AG48" s="117" t="n">
        <f aca="false">SUMIFS(الريسبي!$C$2:$C$1800,الريسبي!$A$2:$A$1800,$A48,الريسبي!$B$2:$B$1800,AG$1)</f>
        <v>0</v>
      </c>
      <c r="AH48" s="117" t="n">
        <f aca="false">SUMIFS(الريسبي!$C$2:$C$1800,الريسبي!$A$2:$A$1800,$A48,الريسبي!$B$2:$B$1800,AH$1)</f>
        <v>0</v>
      </c>
      <c r="AI48" s="117" t="n">
        <f aca="false">SUMIFS(الريسبي!$C$2:$C$1800,الريسبي!$A$2:$A$1800,$A48,الريسبي!$B$2:$B$1800,AI$1)</f>
        <v>0</v>
      </c>
      <c r="AJ48" s="117" t="n">
        <f aca="false">SUMIFS(الريسبي!$C$2:$C$1800,الريسبي!$A$2:$A$1800,$A48,الريسبي!$B$2:$B$1800,AJ$1)</f>
        <v>0</v>
      </c>
      <c r="AK48" s="117" t="n">
        <f aca="false">SUMIFS(الريسبي!$C$2:$C$1800,الريسبي!$A$2:$A$1800,$A48,الريسبي!$B$2:$B$1800,AK$1)</f>
        <v>0.03</v>
      </c>
      <c r="AL48" s="117" t="n">
        <f aca="false">SUMIFS(الريسبي!$C$2:$C$1800,الريسبي!$A$2:$A$1800,$A48,الريسبي!$B$2:$B$1800,AL$1)</f>
        <v>0</v>
      </c>
      <c r="AM48" s="117" t="n">
        <f aca="false">SUMIFS(الريسبي!$C$2:$C$1800,الريسبي!$A$2:$A$1800,$A48,الريسبي!$B$2:$B$1800,AM$1)+0.08333333333*SUMIFS(الريسبي!$C$2:$C$1800,الريسبي!$A$2:$A$1800,$A48,الريسبي!$B$2:$B$1800,"عجين كريب (مصنع بالمطعم)")+0.08333333333*SUMIFS(الريسبي!$C$2:$C$1800,الريسبي!$A$2:$A$1800,$A48,الريسبي!$B$2:$B$1800,"عجين كريب صيامي (بدون لبن)")</f>
        <v>0</v>
      </c>
      <c r="AN48" s="117" t="n">
        <f aca="false">SUMIFS(الريسبي!$C$2:$C$1800,الريسبي!$A$2:$A$1800,$A48,الريسبي!$B$2:$B$1800,AN$1)+0.004166666667*SUMIFS(الريسبي!$C$2:$C$1800,الريسبي!$A$2:$A$1800,$A48,الريسبي!$B$2:$B$1800,"عجين كريب (مصنع بالمطعم)")+0.004166666667*SUMIFS(الريسبي!$C$2:$C$1800,الريسبي!$A$2:$A$1800,$A48,الريسبي!$B$2:$B$1800,"عجين كريب صيامي (بدون لبن)")</f>
        <v>0</v>
      </c>
      <c r="AO48" s="117" t="n">
        <f aca="false">SUMIFS(الريسبي!$C$2:$C$1800,الريسبي!$A$2:$A$1800,$A48,الريسبي!$B$2:$B$1800,AO$1)</f>
        <v>0.06</v>
      </c>
      <c r="AP48" s="117" t="n">
        <f aca="false">SUMIFS(الريسبي!$C$2:$C$1800,الريسبي!$A$2:$A$1800,$A48,الريسبي!$B$2:$B$1800,AP$1)</f>
        <v>0</v>
      </c>
      <c r="AQ48" s="117" t="n">
        <f aca="false">SUMIFS(الريسبي!$C$2:$C$1800,الريسبي!$A$2:$A$1800,$A48,الريسبي!$B$2:$B$1800,AQ$1)+0.004166666667*SUMIFS(الريسبي!$C$2:$C$1800,الريسبي!$A$2:$A$1800,$A48,الريسبي!$B$2:$B$1800,"عجين كريب (مصنع بالمطعم)")+0.004166666667*SUMIFS(الريسبي!$C$2:$C$1800,الريسبي!$A$2:$A$1800,$A48,الريسبي!$B$2:$B$1800,"عجين كريب صيامي (بدون لبن)")</f>
        <v>0.05</v>
      </c>
      <c r="AR48" s="117" t="n">
        <f aca="false">SUMIFS(الريسبي!$C$2:$C$1800,الريسبي!$A$2:$A$1800,$A48,الريسبي!$B$2:$B$1800,AR$1)</f>
        <v>0</v>
      </c>
      <c r="AS48" s="117" t="n">
        <f aca="false">SUMIFS(الريسبي!$C$2:$C$1800,الريسبي!$A$2:$A$1800,$A48,الريسبي!$B$2:$B$1800,AS$1)</f>
        <v>0</v>
      </c>
      <c r="AT48" s="117" t="n">
        <f aca="false">SUMIFS(الريسبي!$C$2:$C$1800,الريسبي!$A$2:$A$1800,$A48,الريسبي!$B$2:$B$1800,AT$1)</f>
        <v>0</v>
      </c>
      <c r="AU48" s="117" t="n">
        <f aca="false">SUMIFS(الريسبي!$C$2:$C$1800,الريسبي!$A$2:$A$1800,$A48,الريسبي!$B$2:$B$1800,AU$1)</f>
        <v>1</v>
      </c>
      <c r="AV48" s="117" t="n">
        <f aca="false">SUMIFS(الريسبي!$C$2:$C$1800,الريسبي!$A$2:$A$1800,$A48,الريسبي!$B$2:$B$1800,AV$1)</f>
        <v>0</v>
      </c>
      <c r="AW48" s="117" t="n">
        <f aca="false">SUMIFS(الريسبي!$C$2:$C$1800,الريسبي!$A$2:$A$1800,$A48,الريسبي!$B$2:$B$1800,AW$1)</f>
        <v>0</v>
      </c>
      <c r="AX48" s="117" t="n">
        <f aca="false">SUMIFS(الريسبي!$C$2:$C$1800,الريسبي!$A$2:$A$1800,$A48,الريسبي!$B$2:$B$1800,AX$1)</f>
        <v>0</v>
      </c>
      <c r="AY48" s="117" t="n">
        <f aca="false">SUMIFS(الريسبي!$C$2:$C$1800,الريسبي!$A$2:$A$1800,$A48,الريسبي!$B$2:$B$1800,AY$1)</f>
        <v>0</v>
      </c>
      <c r="AZ48" s="117" t="n">
        <f aca="false">SUMIFS(الريسبي!$C$2:$C$1800,الريسبي!$A$2:$A$1800,$A48,الريسبي!$B$2:$B$1800,AZ$1)</f>
        <v>0</v>
      </c>
      <c r="BA48" s="117" t="n">
        <f aca="false">SUMIFS(الريسبي!$C$2:$C$1800,الريسبي!$A$2:$A$1800,$A48,الريسبي!$B$2:$B$1800,BA$1)</f>
        <v>0</v>
      </c>
      <c r="BB48" s="117" t="n">
        <f aca="false">SUMIFS(الريسبي!$C$2:$C$1800,الريسبي!$A$2:$A$1800,$A48,الريسبي!$B$2:$B$1800,BB$1)</f>
        <v>0</v>
      </c>
      <c r="BC48" s="117" t="n">
        <f aca="false">SUMIFS(الريسبي!$C$2:$C$1800,الريسبي!$A$2:$A$1800,$A48,الريسبي!$B$2:$B$1800,BC$1)</f>
        <v>0</v>
      </c>
      <c r="BD48" s="117" t="n">
        <f aca="false">SUMIFS(الريسبي!$C$2:$C$1800,الريسبي!$A$2:$A$1800,$A48,الريسبي!$B$2:$B$1800,BD$1)</f>
        <v>0</v>
      </c>
      <c r="BE48" s="117" t="n">
        <f aca="false">SUMIFS(الريسبي!$C$2:$C$1800,الريسبي!$A$2:$A$1800,$A48,الريسبي!$B$2:$B$1800,BE$1)</f>
        <v>1</v>
      </c>
      <c r="BF48" s="117" t="n">
        <f aca="false">SUMIFS(الريسبي!$C$2:$C$1800,الريسبي!$A$2:$A$1800,$A48,الريسبي!$B$2:$B$1800,BF$1)</f>
        <v>0</v>
      </c>
      <c r="BG48" s="117" t="n">
        <f aca="false">SUMIFS(الريسبي!$C$2:$C$1800,الريسبي!$A$2:$A$1800,$A48,الريسبي!$B$2:$B$1800,BG$1)</f>
        <v>0</v>
      </c>
      <c r="BH48" s="117" t="n">
        <f aca="false">SUMIFS(الريسبي!$C$2:$C$1800,الريسبي!$A$2:$A$1800,$A48,الريسبي!$B$2:$B$1800,BH$1)</f>
        <v>0</v>
      </c>
      <c r="BI48" s="117" t="n">
        <f aca="false">SUMIFS(الريسبي!$C$2:$C$1800,الريسبي!$A$2:$A$1800,$A48,الريسبي!$B$2:$B$1800,BI$1)</f>
        <v>0</v>
      </c>
      <c r="BJ48" s="117" t="n">
        <f aca="false">SUMIFS(الريسبي!$C$2:$C$1800,الريسبي!$A$2:$A$1800,$A48,الريسبي!$B$2:$B$1800,BJ$1)</f>
        <v>0</v>
      </c>
      <c r="BK48" s="117" t="n">
        <f aca="false">SUMIFS(الريسبي!$C$2:$C$1800,الريسبي!$A$2:$A$1800,$A48,الريسبي!$B$2:$B$1800,BK$1)</f>
        <v>1</v>
      </c>
      <c r="BL48" s="117" t="n">
        <f aca="false">SUMIFS(الريسبي!$C$2:$C$1800,الريسبي!$A$2:$A$1800,$A48,الريسبي!$B$2:$B$1800,BL$1)</f>
        <v>0</v>
      </c>
      <c r="BM48" s="117" t="n">
        <f aca="false">SUMIFS(الريسبي!$C$2:$C$1800,الريسبي!$A$2:$A$1800,$A48,الريسبي!$B$2:$B$1800,BM$1)</f>
        <v>0</v>
      </c>
      <c r="BN48" s="117" t="n">
        <f aca="false">SUMIFS(الريسبي!$C$2:$C$1800,الريسبي!$A$2:$A$1800,$A48,الريسبي!$B$2:$B$1800,BN$1)</f>
        <v>0</v>
      </c>
      <c r="BO48" s="117" t="n">
        <f aca="false">SUMIFS(الريسبي!$C$2:$C$1800,الريسبي!$A$2:$A$1800,$A48,الريسبي!$B$2:$B$1800,BO$1)</f>
        <v>0</v>
      </c>
      <c r="BP48" s="117" t="n">
        <f aca="false">SUMIFS(الريسبي!$C$2:$C$1800,الريسبي!$A$2:$A$1800,$A48,الريسبي!$B$2:$B$1800,BP$1)</f>
        <v>0</v>
      </c>
      <c r="BQ48" s="117" t="n">
        <f aca="false">SUMIFS(الريسبي!$C$2:$C$1800,الريسبي!$A$2:$A$1800,$A48,الريسبي!$B$2:$B$1800,BQ$1)+0.17*SUMIFS(الريسبي!$C$2:$C$1800,الريسبي!$A$2:$A$1800,$A48,الريسبي!$B$2:$B$1800,"كاسترد مصنع (خليط بودر + لبن)")+0.17*SUMIFS(الريسبي!$C$2:$C$1800,الريسبي!$A$2:$A$1800,$A48,الريسبي!$B$2:$B$1800,"كاسترد مصنع صيامي (بدون لبن)")</f>
        <v>0.0255</v>
      </c>
      <c r="BR48" s="117" t="n">
        <f aca="false">SUMIFS(الريسبي!$C$2:$C$1800,الريسبي!$A$2:$A$1800,$A48,الريسبي!$B$2:$B$1800,BR$1)</f>
        <v>0</v>
      </c>
      <c r="BS48" s="117" t="n">
        <f aca="false">SUMIFS(الريسبي!$C$2:$C$1800,الريسبي!$A$2:$A$1800,$A48,الريسبي!$B$2:$B$1800,BS$1)</f>
        <v>0</v>
      </c>
      <c r="BT48" s="117" t="n">
        <f aca="false">SUMIFS(الريسبي!$C$2:$C$1800,الريسبي!$A$2:$A$1800,$A48,الريسبي!$B$2:$B$1800,BT$1)</f>
        <v>0</v>
      </c>
      <c r="BU48" s="117" t="n">
        <f aca="false">SUMIFS(الريسبي!$C$2:$C$1800,الريسبي!$A$2:$A$1800,$A48,الريسبي!$B$2:$B$1800,BU$1)+0.4*SUMIFS(الريسبي!$C$2:$C$1800,الريسبي!$A$2:$A$1800,$A48,الريسبي!$B$2:$B$1800,"كاسترد مصنع (خليط بودر + لبن)")+0.03333333333*SUMIFS(الريسبي!$C$2:$C$1800,الريسبي!$A$2:$A$1800,$A48,الريسبي!$B$2:$B$1800,"عجين كريب (مصنع بالمطعم)")</f>
        <v>0.21</v>
      </c>
      <c r="BV48" s="117" t="n">
        <f aca="false">SUMIFS(الريسبي!$C$2:$C$1800,الريسبي!$A$2:$A$1800,$A48,الريسبي!$B$2:$B$1800,BV$1)</f>
        <v>0</v>
      </c>
      <c r="BW48" s="117" t="n">
        <f aca="false">SUMIFS(الريسبي!$C$2:$C$1800,الريسبي!$A$2:$A$1800,$A48,الريسبي!$B$2:$B$1800,BW$1)</f>
        <v>0</v>
      </c>
      <c r="BX48" s="117" t="n">
        <f aca="false">SUMIFS(الريسبي!$C$2:$C$1800,الريسبي!$A$2:$A$1800,$A48,الريسبي!$B$2:$B$1800,BX$1)</f>
        <v>0</v>
      </c>
      <c r="BY48" s="117" t="n">
        <f aca="false">SUMIFS(الريسبي!$C$2:$C$1800,الريسبي!$A$2:$A$1800,$A48,الريسبي!$B$2:$B$1800,BY$1)</f>
        <v>0</v>
      </c>
      <c r="BZ48" s="117" t="n">
        <f aca="false">SUMIFS(الريسبي!$C$2:$C$1800,الريسبي!$A$2:$A$1800,$A48,الريسبي!$B$2:$B$1800,BZ$1)</f>
        <v>0</v>
      </c>
      <c r="CA48" s="117" t="n">
        <f aca="false">SUMIFS(الريسبي!$C$2:$C$1800,الريسبي!$A$2:$A$1800,$A48,الريسبي!$B$2:$B$1800,CA$1)</f>
        <v>0</v>
      </c>
      <c r="CB48" s="117" t="n">
        <f aca="false">SUMIFS(الريسبي!$C$2:$C$1800,الريسبي!$A$2:$A$1800,$A48,الريسبي!$B$2:$B$1800,CB$1)</f>
        <v>0</v>
      </c>
      <c r="CC48" s="117" t="n">
        <f aca="false">SUMIFS(الريسبي!$C$2:$C$1800,الريسبي!$A$2:$A$1800,$A48,الريسبي!$B$2:$B$1800,CC$1)</f>
        <v>0</v>
      </c>
      <c r="CD48" s="117" t="n">
        <f aca="false">SUMIFS(الريسبي!$C$2:$C$1800,الريسبي!$A$2:$A$1800,$A48,الريسبي!$B$2:$B$1800,CD$1)</f>
        <v>0</v>
      </c>
      <c r="CE48" s="117" t="n">
        <f aca="false">SUMIFS(الريسبي!$C$2:$C$1800,الريسبي!$A$2:$A$1800,$A48,الريسبي!$B$2:$B$1800,CE$1)</f>
        <v>0</v>
      </c>
      <c r="CF48" s="117" t="n">
        <f aca="false">SUMIFS(الريسبي!$C$2:$C$1800,الريسبي!$A$2:$A$1800,$A48,الريسبي!$B$2:$B$1800,CF$1)</f>
        <v>0</v>
      </c>
      <c r="CG48" s="117" t="n">
        <f aca="false">SUMIFS(الريسبي!$C$2:$C$1800,الريسبي!$A$2:$A$1800,$A48,الريسبي!$B$2:$B$1800,CG$1)</f>
        <v>0</v>
      </c>
      <c r="CH48" s="117" t="n">
        <f aca="false">SUMIFS(الريسبي!$C$2:$C$1800,الريسبي!$A$2:$A$1800,$A48,الريسبي!$B$2:$B$1800,CH$1)</f>
        <v>0</v>
      </c>
      <c r="CI48" s="117" t="n">
        <f aca="false">SUMIFS(الريسبي!$C$2:$C$1800,الريسبي!$A$2:$A$1800,$A48,الريسبي!$B$2:$B$1800,CI$1)</f>
        <v>0</v>
      </c>
      <c r="CJ48" s="117" t="n">
        <f aca="false">SUMIFS(الريسبي!$C$2:$C$1800,الريسبي!$A$2:$A$1800,$A48,الريسبي!$B$2:$B$1800,CJ$1)</f>
        <v>0</v>
      </c>
      <c r="CK48" s="117" t="n">
        <f aca="false">SUMIFS(الريسبي!$C$2:$C$1800,الريسبي!$A$2:$A$1800,$A48,الريسبي!$B$2:$B$1800,CK$1)</f>
        <v>0</v>
      </c>
      <c r="CL48" s="117" t="n">
        <f aca="false">SUMIFS(الريسبي!$C$2:$C$1800,الريسبي!$A$2:$A$1800,$A48,الريسبي!$B$2:$B$1800,CL$1)</f>
        <v>0</v>
      </c>
    </row>
    <row r="49" customFormat="false" ht="15" hidden="false" customHeight="false" outlineLevel="0" collapsed="false">
      <c r="A49" s="116" t="str">
        <f aca="false">المنيو!B49</f>
        <v>فطيرة قشطة عسل مكسرات</v>
      </c>
      <c r="B49" s="117" t="n">
        <f aca="false">SUMIFS(الريسبي!$C$2:$C$1800,الريسبي!$A$2:$A$1800,$A49,الريسبي!$B$2:$B$1800,B$1)</f>
        <v>0</v>
      </c>
      <c r="C49" s="117" t="n">
        <f aca="false">SUMIFS(الريسبي!$C$2:$C$1800,الريسبي!$A$2:$A$1800,$A49,الريسبي!$B$2:$B$1800,C$1)</f>
        <v>0</v>
      </c>
      <c r="D49" s="117" t="n">
        <f aca="false">SUMIFS(الريسبي!$C$2:$C$1800,الريسبي!$A$2:$A$1800,$A49,الريسبي!$B$2:$B$1800,D$1)</f>
        <v>0</v>
      </c>
      <c r="E49" s="117" t="n">
        <f aca="false">SUMIFS(الريسبي!$C$2:$C$1800,الريسبي!$A$2:$A$1800,$A49,الريسبي!$B$2:$B$1800,E$1)</f>
        <v>1</v>
      </c>
      <c r="F49" s="117" t="n">
        <f aca="false">SUMIFS(الريسبي!$C$2:$C$1800,الريسبي!$A$2:$A$1800,$A49,الريسبي!$B$2:$B$1800,F$1)</f>
        <v>0</v>
      </c>
      <c r="G49" s="117" t="n">
        <f aca="false">SUMIFS(الريسبي!$C$2:$C$1800,الريسبي!$A$2:$A$1800,$A49,الريسبي!$B$2:$B$1800,G$1)</f>
        <v>0</v>
      </c>
      <c r="H49" s="117" t="n">
        <f aca="false">SUMIFS(الريسبي!$C$2:$C$1800,الريسبي!$A$2:$A$1800,$A49,الريسبي!$B$2:$B$1800,H$1)</f>
        <v>0</v>
      </c>
      <c r="I49" s="117" t="n">
        <f aca="false">SUMIFS(الريسبي!$C$2:$C$1800,الريسبي!$A$2:$A$1800,$A49,الريسبي!$B$2:$B$1800,I$1)</f>
        <v>0</v>
      </c>
      <c r="J49" s="117" t="n">
        <f aca="false">SUMIFS(الريسبي!$C$2:$C$1800,الريسبي!$A$2:$A$1800,$A49,الريسبي!$B$2:$B$1800,J$1)</f>
        <v>0</v>
      </c>
      <c r="K49" s="117" t="n">
        <f aca="false">SUMIFS(الريسبي!$C$2:$C$1800,الريسبي!$A$2:$A$1800,$A49,الريسبي!$B$2:$B$1800,K$1)</f>
        <v>0</v>
      </c>
      <c r="L49" s="117" t="n">
        <f aca="false">SUMIFS(الريسبي!$C$2:$C$1800,الريسبي!$A$2:$A$1800,$A49,الريسبي!$B$2:$B$1800,L$1)</f>
        <v>0</v>
      </c>
      <c r="M49" s="117" t="n">
        <f aca="false">SUMIFS(الريسبي!$C$2:$C$1800,الريسبي!$A$2:$A$1800,$A49,الريسبي!$B$2:$B$1800,M$1)</f>
        <v>0</v>
      </c>
      <c r="N49" s="117" t="n">
        <f aca="false">SUMIFS(الريسبي!$C$2:$C$1800,الريسبي!$A$2:$A$1800,$A49,الريسبي!$B$2:$B$1800,N$1)</f>
        <v>0</v>
      </c>
      <c r="O49" s="117" t="n">
        <f aca="false">SUMIFS(الريسبي!$C$2:$C$1800,الريسبي!$A$2:$A$1800,$A49,الريسبي!$B$2:$B$1800,O$1)</f>
        <v>0</v>
      </c>
      <c r="P49" s="117" t="n">
        <f aca="false">SUMIFS(الريسبي!$C$2:$C$1800,الريسبي!$A$2:$A$1800,$A49,الريسبي!$B$2:$B$1800,P$1)</f>
        <v>0</v>
      </c>
      <c r="Q49" s="117" t="n">
        <f aca="false">SUMIFS(الريسبي!$C$2:$C$1800,الريسبي!$A$2:$A$1800,$A49,الريسبي!$B$2:$B$1800,Q$1)</f>
        <v>0</v>
      </c>
      <c r="R49" s="117" t="n">
        <f aca="false">SUMIFS(الريسبي!$C$2:$C$1800,الريسبي!$A$2:$A$1800,$A49,الريسبي!$B$2:$B$1800,R$1)</f>
        <v>0</v>
      </c>
      <c r="S49" s="117" t="n">
        <f aca="false">SUMIFS(الريسبي!$C$2:$C$1800,الريسبي!$A$2:$A$1800,$A49,الريسبي!$B$2:$B$1800,S$1)</f>
        <v>1</v>
      </c>
      <c r="T49" s="117" t="n">
        <f aca="false">SUMIFS(الريسبي!$C$2:$C$1800,الريسبي!$A$2:$A$1800,$A49,الريسبي!$B$2:$B$1800,T$1)</f>
        <v>0</v>
      </c>
      <c r="U49" s="117" t="n">
        <f aca="false">SUMIFS(الريسبي!$C$2:$C$1800,الريسبي!$A$2:$A$1800,$A49,الريسبي!$B$2:$B$1800,U$1)</f>
        <v>1</v>
      </c>
      <c r="V49" s="117" t="n">
        <f aca="false">SUMIFS(الريسبي!$C$2:$C$1800,الريسبي!$A$2:$A$1800,$A49,الريسبي!$B$2:$B$1800,V$1)</f>
        <v>0</v>
      </c>
      <c r="W49" s="117" t="n">
        <f aca="false">SUMIFS(الريسبي!$C$2:$C$1800,الريسبي!$A$2:$A$1800,$A49,الريسبي!$B$2:$B$1800,W$1)</f>
        <v>0</v>
      </c>
      <c r="X49" s="117" t="n">
        <f aca="false">SUMIFS(الريسبي!$C$2:$C$1800,الريسبي!$A$2:$A$1800,$A49,الريسبي!$B$2:$B$1800,X$1)</f>
        <v>0</v>
      </c>
      <c r="Y49" s="117" t="n">
        <f aca="false">SUMIFS(الريسبي!$C$2:$C$1800,الريسبي!$A$2:$A$1800,$A49,الريسبي!$B$2:$B$1800,Y$1)</f>
        <v>0</v>
      </c>
      <c r="Z49" s="117" t="n">
        <f aca="false">SUMIFS(الريسبي!$C$2:$C$1800,الريسبي!$A$2:$A$1800,$A49,الريسبي!$B$2:$B$1800,Z$1)</f>
        <v>0</v>
      </c>
      <c r="AA49" s="117" t="n">
        <f aca="false">SUMIFS(الريسبي!$C$2:$C$1800,الريسبي!$A$2:$A$1800,$A49,الريسبي!$B$2:$B$1800,AA$1)</f>
        <v>0</v>
      </c>
      <c r="AB49" s="117" t="n">
        <f aca="false">SUMIFS(الريسبي!$C$2:$C$1800,الريسبي!$A$2:$A$1800,$A49,الريسبي!$B$2:$B$1800,AB$1)</f>
        <v>0</v>
      </c>
      <c r="AC49" s="117" t="n">
        <f aca="false">SUMIFS(الريسبي!$C$2:$C$1800,الريسبي!$A$2:$A$1800,$A49,الريسبي!$B$2:$B$1800,AC$1)</f>
        <v>0</v>
      </c>
      <c r="AD49" s="117" t="n">
        <f aca="false">SUMIFS(الريسبي!$C$2:$C$1800,الريسبي!$A$2:$A$1800,$A49,الريسبي!$B$2:$B$1800,AD$1)</f>
        <v>0</v>
      </c>
      <c r="AE49" s="117" t="n">
        <f aca="false">SUMIFS(الريسبي!$C$2:$C$1800,الريسبي!$A$2:$A$1800,$A49,الريسبي!$B$2:$B$1800,AE$1)</f>
        <v>0</v>
      </c>
      <c r="AF49" s="117" t="n">
        <f aca="false">SUMIFS(الريسبي!$C$2:$C$1800,الريسبي!$A$2:$A$1800,$A49,الريسبي!$B$2:$B$1800,AF$1)</f>
        <v>1</v>
      </c>
      <c r="AG49" s="117" t="n">
        <f aca="false">SUMIFS(الريسبي!$C$2:$C$1800,الريسبي!$A$2:$A$1800,$A49,الريسبي!$B$2:$B$1800,AG$1)</f>
        <v>0</v>
      </c>
      <c r="AH49" s="117" t="n">
        <f aca="false">SUMIFS(الريسبي!$C$2:$C$1800,الريسبي!$A$2:$A$1800,$A49,الريسبي!$B$2:$B$1800,AH$1)</f>
        <v>0</v>
      </c>
      <c r="AI49" s="117" t="n">
        <f aca="false">SUMIFS(الريسبي!$C$2:$C$1800,الريسبي!$A$2:$A$1800,$A49,الريسبي!$B$2:$B$1800,AI$1)</f>
        <v>0</v>
      </c>
      <c r="AJ49" s="117" t="n">
        <f aca="false">SUMIFS(الريسبي!$C$2:$C$1800,الريسبي!$A$2:$A$1800,$A49,الريسبي!$B$2:$B$1800,AJ$1)</f>
        <v>0</v>
      </c>
      <c r="AK49" s="117" t="n">
        <f aca="false">SUMIFS(الريسبي!$C$2:$C$1800,الريسبي!$A$2:$A$1800,$A49,الريسبي!$B$2:$B$1800,AK$1)</f>
        <v>0</v>
      </c>
      <c r="AL49" s="117" t="n">
        <f aca="false">SUMIFS(الريسبي!$C$2:$C$1800,الريسبي!$A$2:$A$1800,$A49,الريسبي!$B$2:$B$1800,AL$1)</f>
        <v>0</v>
      </c>
      <c r="AM49" s="117" t="n">
        <f aca="false">SUMIFS(الريسبي!$C$2:$C$1800,الريسبي!$A$2:$A$1800,$A49,الريسبي!$B$2:$B$1800,AM$1)+0.08333333333*SUMIFS(الريسبي!$C$2:$C$1800,الريسبي!$A$2:$A$1800,$A49,الريسبي!$B$2:$B$1800,"عجين كريب (مصنع بالمطعم)")+0.08333333333*SUMIFS(الريسبي!$C$2:$C$1800,الريسبي!$A$2:$A$1800,$A49,الريسبي!$B$2:$B$1800,"عجين كريب صيامي (بدون لبن)")</f>
        <v>0</v>
      </c>
      <c r="AN49" s="117" t="n">
        <f aca="false">SUMIFS(الريسبي!$C$2:$C$1800,الريسبي!$A$2:$A$1800,$A49,الريسبي!$B$2:$B$1800,AN$1)+0.004166666667*SUMIFS(الريسبي!$C$2:$C$1800,الريسبي!$A$2:$A$1800,$A49,الريسبي!$B$2:$B$1800,"عجين كريب (مصنع بالمطعم)")+0.004166666667*SUMIFS(الريسبي!$C$2:$C$1800,الريسبي!$A$2:$A$1800,$A49,الريسبي!$B$2:$B$1800,"عجين كريب صيامي (بدون لبن)")</f>
        <v>0</v>
      </c>
      <c r="AO49" s="117" t="n">
        <f aca="false">SUMIFS(الريسبي!$C$2:$C$1800,الريسبي!$A$2:$A$1800,$A49,الريسبي!$B$2:$B$1800,AO$1)</f>
        <v>0</v>
      </c>
      <c r="AP49" s="117" t="n">
        <f aca="false">SUMIFS(الريسبي!$C$2:$C$1800,الريسبي!$A$2:$A$1800,$A49,الريسبي!$B$2:$B$1800,AP$1)</f>
        <v>0</v>
      </c>
      <c r="AQ49" s="117" t="n">
        <f aca="false">SUMIFS(الريسبي!$C$2:$C$1800,الريسبي!$A$2:$A$1800,$A49,الريسبي!$B$2:$B$1800,AQ$1)+0.004166666667*SUMIFS(الريسبي!$C$2:$C$1800,الريسبي!$A$2:$A$1800,$A49,الريسبي!$B$2:$B$1800,"عجين كريب (مصنع بالمطعم)")+0.004166666667*SUMIFS(الريسبي!$C$2:$C$1800,الريسبي!$A$2:$A$1800,$A49,الريسبي!$B$2:$B$1800,"عجين كريب صيامي (بدون لبن)")</f>
        <v>0.05</v>
      </c>
      <c r="AR49" s="117" t="n">
        <f aca="false">SUMIFS(الريسبي!$C$2:$C$1800,الريسبي!$A$2:$A$1800,$A49,الريسبي!$B$2:$B$1800,AR$1)</f>
        <v>0</v>
      </c>
      <c r="AS49" s="117" t="n">
        <f aca="false">SUMIFS(الريسبي!$C$2:$C$1800,الريسبي!$A$2:$A$1800,$A49,الريسبي!$B$2:$B$1800,AS$1)</f>
        <v>0</v>
      </c>
      <c r="AT49" s="117" t="n">
        <f aca="false">SUMIFS(الريسبي!$C$2:$C$1800,الريسبي!$A$2:$A$1800,$A49,الريسبي!$B$2:$B$1800,AT$1)</f>
        <v>0</v>
      </c>
      <c r="AU49" s="117" t="n">
        <f aca="false">SUMIFS(الريسبي!$C$2:$C$1800,الريسبي!$A$2:$A$1800,$A49,الريسبي!$B$2:$B$1800,AU$1)</f>
        <v>1</v>
      </c>
      <c r="AV49" s="117" t="n">
        <f aca="false">SUMIFS(الريسبي!$C$2:$C$1800,الريسبي!$A$2:$A$1800,$A49,الريسبي!$B$2:$B$1800,AV$1)</f>
        <v>0</v>
      </c>
      <c r="AW49" s="117" t="n">
        <f aca="false">SUMIFS(الريسبي!$C$2:$C$1800,الريسبي!$A$2:$A$1800,$A49,الريسبي!$B$2:$B$1800,AW$1)</f>
        <v>0</v>
      </c>
      <c r="AX49" s="117" t="n">
        <f aca="false">SUMIFS(الريسبي!$C$2:$C$1800,الريسبي!$A$2:$A$1800,$A49,الريسبي!$B$2:$B$1800,AX$1)</f>
        <v>0</v>
      </c>
      <c r="AY49" s="117" t="n">
        <f aca="false">SUMIFS(الريسبي!$C$2:$C$1800,الريسبي!$A$2:$A$1800,$A49,الريسبي!$B$2:$B$1800,AY$1)</f>
        <v>0</v>
      </c>
      <c r="AZ49" s="117" t="n">
        <f aca="false">SUMIFS(الريسبي!$C$2:$C$1800,الريسبي!$A$2:$A$1800,$A49,الريسبي!$B$2:$B$1800,AZ$1)</f>
        <v>0</v>
      </c>
      <c r="BA49" s="117" t="n">
        <f aca="false">SUMIFS(الريسبي!$C$2:$C$1800,الريسبي!$A$2:$A$1800,$A49,الريسبي!$B$2:$B$1800,BA$1)</f>
        <v>0</v>
      </c>
      <c r="BB49" s="117" t="n">
        <f aca="false">SUMIFS(الريسبي!$C$2:$C$1800,الريسبي!$A$2:$A$1800,$A49,الريسبي!$B$2:$B$1800,BB$1)</f>
        <v>0</v>
      </c>
      <c r="BC49" s="117" t="n">
        <f aca="false">SUMIFS(الريسبي!$C$2:$C$1800,الريسبي!$A$2:$A$1800,$A49,الريسبي!$B$2:$B$1800,BC$1)</f>
        <v>0</v>
      </c>
      <c r="BD49" s="117" t="n">
        <f aca="false">SUMIFS(الريسبي!$C$2:$C$1800,الريسبي!$A$2:$A$1800,$A49,الريسبي!$B$2:$B$1800,BD$1)</f>
        <v>0</v>
      </c>
      <c r="BE49" s="117" t="n">
        <f aca="false">SUMIFS(الريسبي!$C$2:$C$1800,الريسبي!$A$2:$A$1800,$A49,الريسبي!$B$2:$B$1800,BE$1)</f>
        <v>1</v>
      </c>
      <c r="BF49" s="117" t="n">
        <f aca="false">SUMIFS(الريسبي!$C$2:$C$1800,الريسبي!$A$2:$A$1800,$A49,الريسبي!$B$2:$B$1800,BF$1)</f>
        <v>0.07</v>
      </c>
      <c r="BG49" s="117" t="n">
        <f aca="false">SUMIFS(الريسبي!$C$2:$C$1800,الريسبي!$A$2:$A$1800,$A49,الريسبي!$B$2:$B$1800,BG$1)</f>
        <v>0</v>
      </c>
      <c r="BH49" s="117" t="n">
        <f aca="false">SUMIFS(الريسبي!$C$2:$C$1800,الريسبي!$A$2:$A$1800,$A49,الريسبي!$B$2:$B$1800,BH$1)</f>
        <v>0</v>
      </c>
      <c r="BI49" s="117" t="n">
        <f aca="false">SUMIFS(الريسبي!$C$2:$C$1800,الريسبي!$A$2:$A$1800,$A49,الريسبي!$B$2:$B$1800,BI$1)</f>
        <v>0</v>
      </c>
      <c r="BJ49" s="117" t="n">
        <f aca="false">SUMIFS(الريسبي!$C$2:$C$1800,الريسبي!$A$2:$A$1800,$A49,الريسبي!$B$2:$B$1800,BJ$1)</f>
        <v>0</v>
      </c>
      <c r="BK49" s="117" t="n">
        <f aca="false">SUMIFS(الريسبي!$C$2:$C$1800,الريسبي!$A$2:$A$1800,$A49,الريسبي!$B$2:$B$1800,BK$1)</f>
        <v>1</v>
      </c>
      <c r="BL49" s="117" t="n">
        <f aca="false">SUMIFS(الريسبي!$C$2:$C$1800,الريسبي!$A$2:$A$1800,$A49,الريسبي!$B$2:$B$1800,BL$1)</f>
        <v>0</v>
      </c>
      <c r="BM49" s="117" t="n">
        <f aca="false">SUMIFS(الريسبي!$C$2:$C$1800,الريسبي!$A$2:$A$1800,$A49,الريسبي!$B$2:$B$1800,BM$1)</f>
        <v>0</v>
      </c>
      <c r="BN49" s="117" t="n">
        <f aca="false">SUMIFS(الريسبي!$C$2:$C$1800,الريسبي!$A$2:$A$1800,$A49,الريسبي!$B$2:$B$1800,BN$1)</f>
        <v>0</v>
      </c>
      <c r="BO49" s="117" t="n">
        <f aca="false">SUMIFS(الريسبي!$C$2:$C$1800,الريسبي!$A$2:$A$1800,$A49,الريسبي!$B$2:$B$1800,BO$1)</f>
        <v>0</v>
      </c>
      <c r="BP49" s="117" t="n">
        <f aca="false">SUMIFS(الريسبي!$C$2:$C$1800,الريسبي!$A$2:$A$1800,$A49,الريسبي!$B$2:$B$1800,BP$1)</f>
        <v>0</v>
      </c>
      <c r="BQ49" s="117" t="n">
        <f aca="false">SUMIFS(الريسبي!$C$2:$C$1800,الريسبي!$A$2:$A$1800,$A49,الريسبي!$B$2:$B$1800,BQ$1)+0.17*SUMIFS(الريسبي!$C$2:$C$1800,الريسبي!$A$2:$A$1800,$A49,الريسبي!$B$2:$B$1800,"كاسترد مصنع (خليط بودر + لبن)")+0.17*SUMIFS(الريسبي!$C$2:$C$1800,الريسبي!$A$2:$A$1800,$A49,الريسبي!$B$2:$B$1800,"كاسترد مصنع صيامي (بدون لبن)")</f>
        <v>0.0255</v>
      </c>
      <c r="BR49" s="117" t="n">
        <f aca="false">SUMIFS(الريسبي!$C$2:$C$1800,الريسبي!$A$2:$A$1800,$A49,الريسبي!$B$2:$B$1800,BR$1)</f>
        <v>0</v>
      </c>
      <c r="BS49" s="117" t="n">
        <f aca="false">SUMIFS(الريسبي!$C$2:$C$1800,الريسبي!$A$2:$A$1800,$A49,الريسبي!$B$2:$B$1800,BS$1)</f>
        <v>0</v>
      </c>
      <c r="BT49" s="117" t="n">
        <f aca="false">SUMIFS(الريسبي!$C$2:$C$1800,الريسبي!$A$2:$A$1800,$A49,الريسبي!$B$2:$B$1800,BT$1)</f>
        <v>0</v>
      </c>
      <c r="BU49" s="117" t="n">
        <f aca="false">SUMIFS(الريسبي!$C$2:$C$1800,الريسبي!$A$2:$A$1800,$A49,الريسبي!$B$2:$B$1800,BU$1)+0.4*SUMIFS(الريسبي!$C$2:$C$1800,الريسبي!$A$2:$A$1800,$A49,الريسبي!$B$2:$B$1800,"كاسترد مصنع (خليط بودر + لبن)")+0.03333333333*SUMIFS(الريسبي!$C$2:$C$1800,الريسبي!$A$2:$A$1800,$A49,الريسبي!$B$2:$B$1800,"عجين كريب (مصنع بالمطعم)")</f>
        <v>0.21</v>
      </c>
      <c r="BV49" s="117" t="n">
        <f aca="false">SUMIFS(الريسبي!$C$2:$C$1800,الريسبي!$A$2:$A$1800,$A49,الريسبي!$B$2:$B$1800,BV$1)</f>
        <v>0</v>
      </c>
      <c r="BW49" s="117" t="n">
        <f aca="false">SUMIFS(الريسبي!$C$2:$C$1800,الريسبي!$A$2:$A$1800,$A49,الريسبي!$B$2:$B$1800,BW$1)</f>
        <v>0</v>
      </c>
      <c r="BX49" s="117" t="n">
        <f aca="false">SUMIFS(الريسبي!$C$2:$C$1800,الريسبي!$A$2:$A$1800,$A49,الريسبي!$B$2:$B$1800,BX$1)</f>
        <v>0</v>
      </c>
      <c r="BY49" s="117" t="n">
        <f aca="false">SUMIFS(الريسبي!$C$2:$C$1800,الريسبي!$A$2:$A$1800,$A49,الريسبي!$B$2:$B$1800,BY$1)</f>
        <v>0</v>
      </c>
      <c r="BZ49" s="117" t="n">
        <f aca="false">SUMIFS(الريسبي!$C$2:$C$1800,الريسبي!$A$2:$A$1800,$A49,الريسبي!$B$2:$B$1800,BZ$1)</f>
        <v>0</v>
      </c>
      <c r="CA49" s="117" t="n">
        <f aca="false">SUMIFS(الريسبي!$C$2:$C$1800,الريسبي!$A$2:$A$1800,$A49,الريسبي!$B$2:$B$1800,CA$1)</f>
        <v>0</v>
      </c>
      <c r="CB49" s="117" t="n">
        <f aca="false">SUMIFS(الريسبي!$C$2:$C$1800,الريسبي!$A$2:$A$1800,$A49,الريسبي!$B$2:$B$1800,CB$1)</f>
        <v>0</v>
      </c>
      <c r="CC49" s="117" t="n">
        <f aca="false">SUMIFS(الريسبي!$C$2:$C$1800,الريسبي!$A$2:$A$1800,$A49,الريسبي!$B$2:$B$1800,CC$1)</f>
        <v>0</v>
      </c>
      <c r="CD49" s="117" t="n">
        <f aca="false">SUMIFS(الريسبي!$C$2:$C$1800,الريسبي!$A$2:$A$1800,$A49,الريسبي!$B$2:$B$1800,CD$1)</f>
        <v>0</v>
      </c>
      <c r="CE49" s="117" t="n">
        <f aca="false">SUMIFS(الريسبي!$C$2:$C$1800,الريسبي!$A$2:$A$1800,$A49,الريسبي!$B$2:$B$1800,CE$1)</f>
        <v>0</v>
      </c>
      <c r="CF49" s="117" t="n">
        <f aca="false">SUMIFS(الريسبي!$C$2:$C$1800,الريسبي!$A$2:$A$1800,$A49,الريسبي!$B$2:$B$1800,CF$1)</f>
        <v>0</v>
      </c>
      <c r="CG49" s="117" t="n">
        <f aca="false">SUMIFS(الريسبي!$C$2:$C$1800,الريسبي!$A$2:$A$1800,$A49,الريسبي!$B$2:$B$1800,CG$1)</f>
        <v>0</v>
      </c>
      <c r="CH49" s="117" t="n">
        <f aca="false">SUMIFS(الريسبي!$C$2:$C$1800,الريسبي!$A$2:$A$1800,$A49,الريسبي!$B$2:$B$1800,CH$1)</f>
        <v>0</v>
      </c>
      <c r="CI49" s="117" t="n">
        <f aca="false">SUMIFS(الريسبي!$C$2:$C$1800,الريسبي!$A$2:$A$1800,$A49,الريسبي!$B$2:$B$1800,CI$1)</f>
        <v>0</v>
      </c>
      <c r="CJ49" s="117" t="n">
        <f aca="false">SUMIFS(الريسبي!$C$2:$C$1800,الريسبي!$A$2:$A$1800,$A49,الريسبي!$B$2:$B$1800,CJ$1)</f>
        <v>0</v>
      </c>
      <c r="CK49" s="117" t="n">
        <f aca="false">SUMIFS(الريسبي!$C$2:$C$1800,الريسبي!$A$2:$A$1800,$A49,الريسبي!$B$2:$B$1800,CK$1)</f>
        <v>0</v>
      </c>
      <c r="CL49" s="117" t="n">
        <f aca="false">SUMIFS(الريسبي!$C$2:$C$1800,الريسبي!$A$2:$A$1800,$A49,الريسبي!$B$2:$B$1800,CL$1)</f>
        <v>0</v>
      </c>
    </row>
    <row r="50" customFormat="false" ht="15" hidden="false" customHeight="false" outlineLevel="0" collapsed="false">
      <c r="A50" s="116" t="str">
        <f aca="false">المنيو!B50</f>
        <v>فطيرة شيكولاتة</v>
      </c>
      <c r="B50" s="117" t="n">
        <f aca="false">SUMIFS(الريسبي!$C$2:$C$1800,الريسبي!$A$2:$A$1800,$A50,الريسبي!$B$2:$B$1800,B$1)</f>
        <v>0</v>
      </c>
      <c r="C50" s="117" t="n">
        <f aca="false">SUMIFS(الريسبي!$C$2:$C$1800,الريسبي!$A$2:$A$1800,$A50,الريسبي!$B$2:$B$1800,C$1)</f>
        <v>0</v>
      </c>
      <c r="D50" s="117" t="n">
        <f aca="false">SUMIFS(الريسبي!$C$2:$C$1800,الريسبي!$A$2:$A$1800,$A50,الريسبي!$B$2:$B$1800,D$1)</f>
        <v>0</v>
      </c>
      <c r="E50" s="117" t="n">
        <f aca="false">SUMIFS(الريسبي!$C$2:$C$1800,الريسبي!$A$2:$A$1800,$A50,الريسبي!$B$2:$B$1800,E$1)</f>
        <v>1</v>
      </c>
      <c r="F50" s="117" t="n">
        <f aca="false">SUMIFS(الريسبي!$C$2:$C$1800,الريسبي!$A$2:$A$1800,$A50,الريسبي!$B$2:$B$1800,F$1)</f>
        <v>0</v>
      </c>
      <c r="G50" s="117" t="n">
        <f aca="false">SUMIFS(الريسبي!$C$2:$C$1800,الريسبي!$A$2:$A$1800,$A50,الريسبي!$B$2:$B$1800,G$1)</f>
        <v>0</v>
      </c>
      <c r="H50" s="117" t="n">
        <f aca="false">SUMIFS(الريسبي!$C$2:$C$1800,الريسبي!$A$2:$A$1800,$A50,الريسبي!$B$2:$B$1800,H$1)</f>
        <v>0</v>
      </c>
      <c r="I50" s="117" t="n">
        <f aca="false">SUMIFS(الريسبي!$C$2:$C$1800,الريسبي!$A$2:$A$1800,$A50,الريسبي!$B$2:$B$1800,I$1)</f>
        <v>0</v>
      </c>
      <c r="J50" s="117" t="n">
        <f aca="false">SUMIFS(الريسبي!$C$2:$C$1800,الريسبي!$A$2:$A$1800,$A50,الريسبي!$B$2:$B$1800,J$1)</f>
        <v>0</v>
      </c>
      <c r="K50" s="117" t="n">
        <f aca="false">SUMIFS(الريسبي!$C$2:$C$1800,الريسبي!$A$2:$A$1800,$A50,الريسبي!$B$2:$B$1800,K$1)</f>
        <v>0</v>
      </c>
      <c r="L50" s="117" t="n">
        <f aca="false">SUMIFS(الريسبي!$C$2:$C$1800,الريسبي!$A$2:$A$1800,$A50,الريسبي!$B$2:$B$1800,L$1)</f>
        <v>0</v>
      </c>
      <c r="M50" s="117" t="n">
        <f aca="false">SUMIFS(الريسبي!$C$2:$C$1800,الريسبي!$A$2:$A$1800,$A50,الريسبي!$B$2:$B$1800,M$1)</f>
        <v>0</v>
      </c>
      <c r="N50" s="117" t="n">
        <f aca="false">SUMIFS(الريسبي!$C$2:$C$1800,الريسبي!$A$2:$A$1800,$A50,الريسبي!$B$2:$B$1800,N$1)</f>
        <v>0</v>
      </c>
      <c r="O50" s="117" t="n">
        <f aca="false">SUMIFS(الريسبي!$C$2:$C$1800,الريسبي!$A$2:$A$1800,$A50,الريسبي!$B$2:$B$1800,O$1)</f>
        <v>0</v>
      </c>
      <c r="P50" s="117" t="n">
        <f aca="false">SUMIFS(الريسبي!$C$2:$C$1800,الريسبي!$A$2:$A$1800,$A50,الريسبي!$B$2:$B$1800,P$1)</f>
        <v>0</v>
      </c>
      <c r="Q50" s="117" t="n">
        <f aca="false">SUMIFS(الريسبي!$C$2:$C$1800,الريسبي!$A$2:$A$1800,$A50,الريسبي!$B$2:$B$1800,Q$1)</f>
        <v>0</v>
      </c>
      <c r="R50" s="117" t="n">
        <f aca="false">SUMIFS(الريسبي!$C$2:$C$1800,الريسبي!$A$2:$A$1800,$A50,الريسبي!$B$2:$B$1800,R$1)</f>
        <v>0</v>
      </c>
      <c r="S50" s="117" t="n">
        <f aca="false">SUMIFS(الريسبي!$C$2:$C$1800,الريسبي!$A$2:$A$1800,$A50,الريسبي!$B$2:$B$1800,S$1)</f>
        <v>0</v>
      </c>
      <c r="T50" s="117" t="n">
        <f aca="false">SUMIFS(الريسبي!$C$2:$C$1800,الريسبي!$A$2:$A$1800,$A50,الريسبي!$B$2:$B$1800,T$1)</f>
        <v>0</v>
      </c>
      <c r="U50" s="117" t="n">
        <f aca="false">SUMIFS(الريسبي!$C$2:$C$1800,الريسبي!$A$2:$A$1800,$A50,الريسبي!$B$2:$B$1800,U$1)</f>
        <v>0</v>
      </c>
      <c r="V50" s="117" t="n">
        <f aca="false">SUMIFS(الريسبي!$C$2:$C$1800,الريسبي!$A$2:$A$1800,$A50,الريسبي!$B$2:$B$1800,V$1)</f>
        <v>0</v>
      </c>
      <c r="W50" s="117" t="n">
        <f aca="false">SUMIFS(الريسبي!$C$2:$C$1800,الريسبي!$A$2:$A$1800,$A50,الريسبي!$B$2:$B$1800,W$1)</f>
        <v>0</v>
      </c>
      <c r="X50" s="117" t="n">
        <f aca="false">SUMIFS(الريسبي!$C$2:$C$1800,الريسبي!$A$2:$A$1800,$A50,الريسبي!$B$2:$B$1800,X$1)</f>
        <v>0</v>
      </c>
      <c r="Y50" s="117" t="n">
        <f aca="false">SUMIFS(الريسبي!$C$2:$C$1800,الريسبي!$A$2:$A$1800,$A50,الريسبي!$B$2:$B$1800,Y$1)</f>
        <v>0</v>
      </c>
      <c r="Z50" s="117" t="n">
        <f aca="false">SUMIFS(الريسبي!$C$2:$C$1800,الريسبي!$A$2:$A$1800,$A50,الريسبي!$B$2:$B$1800,Z$1)</f>
        <v>0</v>
      </c>
      <c r="AA50" s="117" t="n">
        <f aca="false">SUMIFS(الريسبي!$C$2:$C$1800,الريسبي!$A$2:$A$1800,$A50,الريسبي!$B$2:$B$1800,AA$1)</f>
        <v>0</v>
      </c>
      <c r="AB50" s="117" t="n">
        <f aca="false">SUMIFS(الريسبي!$C$2:$C$1800,الريسبي!$A$2:$A$1800,$A50,الريسبي!$B$2:$B$1800,AB$1)</f>
        <v>0</v>
      </c>
      <c r="AC50" s="117" t="n">
        <f aca="false">SUMIFS(الريسبي!$C$2:$C$1800,الريسبي!$A$2:$A$1800,$A50,الريسبي!$B$2:$B$1800,AC$1)</f>
        <v>0</v>
      </c>
      <c r="AD50" s="117" t="n">
        <f aca="false">SUMIFS(الريسبي!$C$2:$C$1800,الريسبي!$A$2:$A$1800,$A50,الريسبي!$B$2:$B$1800,AD$1)</f>
        <v>0</v>
      </c>
      <c r="AE50" s="117" t="n">
        <f aca="false">SUMIFS(الريسبي!$C$2:$C$1800,الريسبي!$A$2:$A$1800,$A50,الريسبي!$B$2:$B$1800,AE$1)</f>
        <v>0</v>
      </c>
      <c r="AF50" s="117" t="n">
        <f aca="false">SUMIFS(الريسبي!$C$2:$C$1800,الريسبي!$A$2:$A$1800,$A50,الريسبي!$B$2:$B$1800,AF$1)</f>
        <v>1</v>
      </c>
      <c r="AG50" s="117" t="n">
        <f aca="false">SUMIFS(الريسبي!$C$2:$C$1800,الريسبي!$A$2:$A$1800,$A50,الريسبي!$B$2:$B$1800,AG$1)</f>
        <v>0</v>
      </c>
      <c r="AH50" s="117" t="n">
        <f aca="false">SUMIFS(الريسبي!$C$2:$C$1800,الريسبي!$A$2:$A$1800,$A50,الريسبي!$B$2:$B$1800,AH$1)</f>
        <v>0</v>
      </c>
      <c r="AI50" s="117" t="n">
        <f aca="false">SUMIFS(الريسبي!$C$2:$C$1800,الريسبي!$A$2:$A$1800,$A50,الريسبي!$B$2:$B$1800,AI$1)</f>
        <v>0</v>
      </c>
      <c r="AJ50" s="117" t="n">
        <f aca="false">SUMIFS(الريسبي!$C$2:$C$1800,الريسبي!$A$2:$A$1800,$A50,الريسبي!$B$2:$B$1800,AJ$1)</f>
        <v>0</v>
      </c>
      <c r="AK50" s="117" t="n">
        <f aca="false">SUMIFS(الريسبي!$C$2:$C$1800,الريسبي!$A$2:$A$1800,$A50,الريسبي!$B$2:$B$1800,AK$1)</f>
        <v>0</v>
      </c>
      <c r="AL50" s="117" t="n">
        <f aca="false">SUMIFS(الريسبي!$C$2:$C$1800,الريسبي!$A$2:$A$1800,$A50,الريسبي!$B$2:$B$1800,AL$1)</f>
        <v>0</v>
      </c>
      <c r="AM50" s="117" t="n">
        <f aca="false">SUMIFS(الريسبي!$C$2:$C$1800,الريسبي!$A$2:$A$1800,$A50,الريسبي!$B$2:$B$1800,AM$1)+0.08333333333*SUMIFS(الريسبي!$C$2:$C$1800,الريسبي!$A$2:$A$1800,$A50,الريسبي!$B$2:$B$1800,"عجين كريب (مصنع بالمطعم)")+0.08333333333*SUMIFS(الريسبي!$C$2:$C$1800,الريسبي!$A$2:$A$1800,$A50,الريسبي!$B$2:$B$1800,"عجين كريب صيامي (بدون لبن)")</f>
        <v>0</v>
      </c>
      <c r="AN50" s="117" t="n">
        <f aca="false">SUMIFS(الريسبي!$C$2:$C$1800,الريسبي!$A$2:$A$1800,$A50,الريسبي!$B$2:$B$1800,AN$1)+0.004166666667*SUMIFS(الريسبي!$C$2:$C$1800,الريسبي!$A$2:$A$1800,$A50,الريسبي!$B$2:$B$1800,"عجين كريب (مصنع بالمطعم)")+0.004166666667*SUMIFS(الريسبي!$C$2:$C$1800,الريسبي!$A$2:$A$1800,$A50,الريسبي!$B$2:$B$1800,"عجين كريب صيامي (بدون لبن)")</f>
        <v>0</v>
      </c>
      <c r="AO50" s="117" t="n">
        <f aca="false">SUMIFS(الريسبي!$C$2:$C$1800,الريسبي!$A$2:$A$1800,$A50,الريسبي!$B$2:$B$1800,AO$1)</f>
        <v>0</v>
      </c>
      <c r="AP50" s="117" t="n">
        <f aca="false">SUMIFS(الريسبي!$C$2:$C$1800,الريسبي!$A$2:$A$1800,$A50,الريسبي!$B$2:$B$1800,AP$1)</f>
        <v>0</v>
      </c>
      <c r="AQ50" s="117" t="n">
        <f aca="false">SUMIFS(الريسبي!$C$2:$C$1800,الريسبي!$A$2:$A$1800,$A50,الريسبي!$B$2:$B$1800,AQ$1)+0.004166666667*SUMIFS(الريسبي!$C$2:$C$1800,الريسبي!$A$2:$A$1800,$A50,الريسبي!$B$2:$B$1800,"عجين كريب (مصنع بالمطعم)")+0.004166666667*SUMIFS(الريسبي!$C$2:$C$1800,الريسبي!$A$2:$A$1800,$A50,الريسبي!$B$2:$B$1800,"عجين كريب صيامي (بدون لبن)")</f>
        <v>0</v>
      </c>
      <c r="AR50" s="117" t="n">
        <f aca="false">SUMIFS(الريسبي!$C$2:$C$1800,الريسبي!$A$2:$A$1800,$A50,الريسبي!$B$2:$B$1800,AR$1)</f>
        <v>0</v>
      </c>
      <c r="AS50" s="117" t="n">
        <f aca="false">SUMIFS(الريسبي!$C$2:$C$1800,الريسبي!$A$2:$A$1800,$A50,الريسبي!$B$2:$B$1800,AS$1)</f>
        <v>0</v>
      </c>
      <c r="AT50" s="117" t="n">
        <f aca="false">SUMIFS(الريسبي!$C$2:$C$1800,الريسبي!$A$2:$A$1800,$A50,الريسبي!$B$2:$B$1800,AT$1)</f>
        <v>0</v>
      </c>
      <c r="AU50" s="117" t="n">
        <f aca="false">SUMIFS(الريسبي!$C$2:$C$1800,الريسبي!$A$2:$A$1800,$A50,الريسبي!$B$2:$B$1800,AU$1)</f>
        <v>1</v>
      </c>
      <c r="AV50" s="117" t="n">
        <f aca="false">SUMIFS(الريسبي!$C$2:$C$1800,الريسبي!$A$2:$A$1800,$A50,الريسبي!$B$2:$B$1800,AV$1)</f>
        <v>0.16</v>
      </c>
      <c r="AW50" s="117" t="n">
        <f aca="false">SUMIFS(الريسبي!$C$2:$C$1800,الريسبي!$A$2:$A$1800,$A50,الريسبي!$B$2:$B$1800,AW$1)</f>
        <v>0.03</v>
      </c>
      <c r="AX50" s="117" t="n">
        <f aca="false">SUMIFS(الريسبي!$C$2:$C$1800,الريسبي!$A$2:$A$1800,$A50,الريسبي!$B$2:$B$1800,AX$1)</f>
        <v>0</v>
      </c>
      <c r="AY50" s="117" t="n">
        <f aca="false">SUMIFS(الريسبي!$C$2:$C$1800,الريسبي!$A$2:$A$1800,$A50,الريسبي!$B$2:$B$1800,AY$1)</f>
        <v>0</v>
      </c>
      <c r="AZ50" s="117" t="n">
        <f aca="false">SUMIFS(الريسبي!$C$2:$C$1800,الريسبي!$A$2:$A$1800,$A50,الريسبي!$B$2:$B$1800,AZ$1)</f>
        <v>0</v>
      </c>
      <c r="BA50" s="117" t="n">
        <f aca="false">SUMIFS(الريسبي!$C$2:$C$1800,الريسبي!$A$2:$A$1800,$A50,الريسبي!$B$2:$B$1800,BA$1)</f>
        <v>0</v>
      </c>
      <c r="BB50" s="117" t="n">
        <f aca="false">SUMIFS(الريسبي!$C$2:$C$1800,الريسبي!$A$2:$A$1800,$A50,الريسبي!$B$2:$B$1800,BB$1)</f>
        <v>0</v>
      </c>
      <c r="BC50" s="117" t="n">
        <f aca="false">SUMIFS(الريسبي!$C$2:$C$1800,الريسبي!$A$2:$A$1800,$A50,الريسبي!$B$2:$B$1800,BC$1)</f>
        <v>0</v>
      </c>
      <c r="BD50" s="117" t="n">
        <f aca="false">SUMIFS(الريسبي!$C$2:$C$1800,الريسبي!$A$2:$A$1800,$A50,الريسبي!$B$2:$B$1800,BD$1)</f>
        <v>0</v>
      </c>
      <c r="BE50" s="117" t="n">
        <f aca="false">SUMIFS(الريسبي!$C$2:$C$1800,الريسبي!$A$2:$A$1800,$A50,الريسبي!$B$2:$B$1800,BE$1)</f>
        <v>1</v>
      </c>
      <c r="BF50" s="117" t="n">
        <f aca="false">SUMIFS(الريسبي!$C$2:$C$1800,الريسبي!$A$2:$A$1800,$A50,الريسبي!$B$2:$B$1800,BF$1)</f>
        <v>0</v>
      </c>
      <c r="BG50" s="117" t="n">
        <f aca="false">SUMIFS(الريسبي!$C$2:$C$1800,الريسبي!$A$2:$A$1800,$A50,الريسبي!$B$2:$B$1800,BG$1)</f>
        <v>0</v>
      </c>
      <c r="BH50" s="117" t="n">
        <f aca="false">SUMIFS(الريسبي!$C$2:$C$1800,الريسبي!$A$2:$A$1800,$A50,الريسبي!$B$2:$B$1800,BH$1)</f>
        <v>0</v>
      </c>
      <c r="BI50" s="117" t="n">
        <f aca="false">SUMIFS(الريسبي!$C$2:$C$1800,الريسبي!$A$2:$A$1800,$A50,الريسبي!$B$2:$B$1800,BI$1)</f>
        <v>0</v>
      </c>
      <c r="BJ50" s="117" t="n">
        <f aca="false">SUMIFS(الريسبي!$C$2:$C$1800,الريسبي!$A$2:$A$1800,$A50,الريسبي!$B$2:$B$1800,BJ$1)</f>
        <v>0</v>
      </c>
      <c r="BK50" s="117" t="n">
        <f aca="false">SUMIFS(الريسبي!$C$2:$C$1800,الريسبي!$A$2:$A$1800,$A50,الريسبي!$B$2:$B$1800,BK$1)</f>
        <v>1</v>
      </c>
      <c r="BL50" s="117" t="n">
        <f aca="false">SUMIFS(الريسبي!$C$2:$C$1800,الريسبي!$A$2:$A$1800,$A50,الريسبي!$B$2:$B$1800,BL$1)</f>
        <v>0</v>
      </c>
      <c r="BM50" s="117" t="n">
        <f aca="false">SUMIFS(الريسبي!$C$2:$C$1800,الريسبي!$A$2:$A$1800,$A50,الريسبي!$B$2:$B$1800,BM$1)</f>
        <v>0</v>
      </c>
      <c r="BN50" s="117" t="n">
        <f aca="false">SUMIFS(الريسبي!$C$2:$C$1800,الريسبي!$A$2:$A$1800,$A50,الريسبي!$B$2:$B$1800,BN$1)</f>
        <v>0</v>
      </c>
      <c r="BO50" s="117" t="n">
        <f aca="false">SUMIFS(الريسبي!$C$2:$C$1800,الريسبي!$A$2:$A$1800,$A50,الريسبي!$B$2:$B$1800,BO$1)</f>
        <v>0</v>
      </c>
      <c r="BP50" s="117" t="n">
        <f aca="false">SUMIFS(الريسبي!$C$2:$C$1800,الريسبي!$A$2:$A$1800,$A50,الريسبي!$B$2:$B$1800,BP$1)</f>
        <v>0</v>
      </c>
      <c r="BQ50" s="117" t="n">
        <f aca="false">SUMIFS(الريسبي!$C$2:$C$1800,الريسبي!$A$2:$A$1800,$A50,الريسبي!$B$2:$B$1800,BQ$1)+0.17*SUMIFS(الريسبي!$C$2:$C$1800,الريسبي!$A$2:$A$1800,$A50,الريسبي!$B$2:$B$1800,"كاسترد مصنع (خليط بودر + لبن)")+0.17*SUMIFS(الريسبي!$C$2:$C$1800,الريسبي!$A$2:$A$1800,$A50,الريسبي!$B$2:$B$1800,"كاسترد مصنع صيامي (بدون لبن)")</f>
        <v>0.0255</v>
      </c>
      <c r="BR50" s="117" t="n">
        <f aca="false">SUMIFS(الريسبي!$C$2:$C$1800,الريسبي!$A$2:$A$1800,$A50,الريسبي!$B$2:$B$1800,BR$1)</f>
        <v>0</v>
      </c>
      <c r="BS50" s="117" t="n">
        <f aca="false">SUMIFS(الريسبي!$C$2:$C$1800,الريسبي!$A$2:$A$1800,$A50,الريسبي!$B$2:$B$1800,BS$1)</f>
        <v>0.01</v>
      </c>
      <c r="BT50" s="117" t="n">
        <f aca="false">SUMIFS(الريسبي!$C$2:$C$1800,الريسبي!$A$2:$A$1800,$A50,الريسبي!$B$2:$B$1800,BT$1)</f>
        <v>0</v>
      </c>
      <c r="BU50" s="117" t="n">
        <f aca="false">SUMIFS(الريسبي!$C$2:$C$1800,الريسبي!$A$2:$A$1800,$A50,الريسبي!$B$2:$B$1800,BU$1)+0.4*SUMIFS(الريسبي!$C$2:$C$1800,الريسبي!$A$2:$A$1800,$A50,الريسبي!$B$2:$B$1800,"كاسترد مصنع (خليط بودر + لبن)")+0.03333333333*SUMIFS(الريسبي!$C$2:$C$1800,الريسبي!$A$2:$A$1800,$A50,الريسبي!$B$2:$B$1800,"عجين كريب (مصنع بالمطعم)")</f>
        <v>0.06</v>
      </c>
      <c r="BV50" s="117" t="n">
        <f aca="false">SUMIFS(الريسبي!$C$2:$C$1800,الريسبي!$A$2:$A$1800,$A50,الريسبي!$B$2:$B$1800,BV$1)</f>
        <v>0</v>
      </c>
      <c r="BW50" s="117" t="n">
        <f aca="false">SUMIFS(الريسبي!$C$2:$C$1800,الريسبي!$A$2:$A$1800,$A50,الريسبي!$B$2:$B$1800,BW$1)</f>
        <v>0</v>
      </c>
      <c r="BX50" s="117" t="n">
        <f aca="false">SUMIFS(الريسبي!$C$2:$C$1800,الريسبي!$A$2:$A$1800,$A50,الريسبي!$B$2:$B$1800,BX$1)</f>
        <v>0</v>
      </c>
      <c r="BY50" s="117" t="n">
        <f aca="false">SUMIFS(الريسبي!$C$2:$C$1800,الريسبي!$A$2:$A$1800,$A50,الريسبي!$B$2:$B$1800,BY$1)</f>
        <v>0</v>
      </c>
      <c r="BZ50" s="117" t="n">
        <f aca="false">SUMIFS(الريسبي!$C$2:$C$1800,الريسبي!$A$2:$A$1800,$A50,الريسبي!$B$2:$B$1800,BZ$1)</f>
        <v>0</v>
      </c>
      <c r="CA50" s="117" t="n">
        <f aca="false">SUMIFS(الريسبي!$C$2:$C$1800,الريسبي!$A$2:$A$1800,$A50,الريسبي!$B$2:$B$1800,CA$1)</f>
        <v>0</v>
      </c>
      <c r="CB50" s="117" t="n">
        <f aca="false">SUMIFS(الريسبي!$C$2:$C$1800,الريسبي!$A$2:$A$1800,$A50,الريسبي!$B$2:$B$1800,CB$1)</f>
        <v>0</v>
      </c>
      <c r="CC50" s="117" t="n">
        <f aca="false">SUMIFS(الريسبي!$C$2:$C$1800,الريسبي!$A$2:$A$1800,$A50,الريسبي!$B$2:$B$1800,CC$1)</f>
        <v>0</v>
      </c>
      <c r="CD50" s="117" t="n">
        <f aca="false">SUMIFS(الريسبي!$C$2:$C$1800,الريسبي!$A$2:$A$1800,$A50,الريسبي!$B$2:$B$1800,CD$1)</f>
        <v>0</v>
      </c>
      <c r="CE50" s="117" t="n">
        <f aca="false">SUMIFS(الريسبي!$C$2:$C$1800,الريسبي!$A$2:$A$1800,$A50,الريسبي!$B$2:$B$1800,CE$1)</f>
        <v>0</v>
      </c>
      <c r="CF50" s="117" t="n">
        <f aca="false">SUMIFS(الريسبي!$C$2:$C$1800,الريسبي!$A$2:$A$1800,$A50,الريسبي!$B$2:$B$1800,CF$1)</f>
        <v>0</v>
      </c>
      <c r="CG50" s="117" t="n">
        <f aca="false">SUMIFS(الريسبي!$C$2:$C$1800,الريسبي!$A$2:$A$1800,$A50,الريسبي!$B$2:$B$1800,CG$1)</f>
        <v>0</v>
      </c>
      <c r="CH50" s="117" t="n">
        <f aca="false">SUMIFS(الريسبي!$C$2:$C$1800,الريسبي!$A$2:$A$1800,$A50,الريسبي!$B$2:$B$1800,CH$1)</f>
        <v>0</v>
      </c>
      <c r="CI50" s="117" t="n">
        <f aca="false">SUMIFS(الريسبي!$C$2:$C$1800,الريسبي!$A$2:$A$1800,$A50,الريسبي!$B$2:$B$1800,CI$1)</f>
        <v>0</v>
      </c>
      <c r="CJ50" s="117" t="n">
        <f aca="false">SUMIFS(الريسبي!$C$2:$C$1800,الريسبي!$A$2:$A$1800,$A50,الريسبي!$B$2:$B$1800,CJ$1)</f>
        <v>0</v>
      </c>
      <c r="CK50" s="117" t="n">
        <f aca="false">SUMIFS(الريسبي!$C$2:$C$1800,الريسبي!$A$2:$A$1800,$A50,الريسبي!$B$2:$B$1800,CK$1)</f>
        <v>0</v>
      </c>
      <c r="CL50" s="117" t="n">
        <f aca="false">SUMIFS(الريسبي!$C$2:$C$1800,الريسبي!$A$2:$A$1800,$A50,الريسبي!$B$2:$B$1800,CL$1)</f>
        <v>0</v>
      </c>
    </row>
    <row r="51" customFormat="false" ht="15" hidden="false" customHeight="false" outlineLevel="0" collapsed="false">
      <c r="A51" s="116" t="str">
        <f aca="false">المنيو!B51</f>
        <v>فطيرة نوتيلا قشطة مكسرات</v>
      </c>
      <c r="B51" s="117" t="n">
        <f aca="false">SUMIFS(الريسبي!$C$2:$C$1800,الريسبي!$A$2:$A$1800,$A51,الريسبي!$B$2:$B$1800,B$1)</f>
        <v>0</v>
      </c>
      <c r="C51" s="117" t="n">
        <f aca="false">SUMIFS(الريسبي!$C$2:$C$1800,الريسبي!$A$2:$A$1800,$A51,الريسبي!$B$2:$B$1800,C$1)</f>
        <v>0</v>
      </c>
      <c r="D51" s="117" t="n">
        <f aca="false">SUMIFS(الريسبي!$C$2:$C$1800,الريسبي!$A$2:$A$1800,$A51,الريسبي!$B$2:$B$1800,D$1)</f>
        <v>0</v>
      </c>
      <c r="E51" s="117" t="n">
        <f aca="false">SUMIFS(الريسبي!$C$2:$C$1800,الريسبي!$A$2:$A$1800,$A51,الريسبي!$B$2:$B$1800,E$1)</f>
        <v>1</v>
      </c>
      <c r="F51" s="117" t="n">
        <f aca="false">SUMIFS(الريسبي!$C$2:$C$1800,الريسبي!$A$2:$A$1800,$A51,الريسبي!$B$2:$B$1800,F$1)</f>
        <v>0</v>
      </c>
      <c r="G51" s="117" t="n">
        <f aca="false">SUMIFS(الريسبي!$C$2:$C$1800,الريسبي!$A$2:$A$1800,$A51,الريسبي!$B$2:$B$1800,G$1)</f>
        <v>0</v>
      </c>
      <c r="H51" s="117" t="n">
        <f aca="false">SUMIFS(الريسبي!$C$2:$C$1800,الريسبي!$A$2:$A$1800,$A51,الريسبي!$B$2:$B$1800,H$1)</f>
        <v>0</v>
      </c>
      <c r="I51" s="117" t="n">
        <f aca="false">SUMIFS(الريسبي!$C$2:$C$1800,الريسبي!$A$2:$A$1800,$A51,الريسبي!$B$2:$B$1800,I$1)</f>
        <v>0</v>
      </c>
      <c r="J51" s="117" t="n">
        <f aca="false">SUMIFS(الريسبي!$C$2:$C$1800,الريسبي!$A$2:$A$1800,$A51,الريسبي!$B$2:$B$1800,J$1)</f>
        <v>0</v>
      </c>
      <c r="K51" s="117" t="n">
        <f aca="false">SUMIFS(الريسبي!$C$2:$C$1800,الريسبي!$A$2:$A$1800,$A51,الريسبي!$B$2:$B$1800,K$1)</f>
        <v>0</v>
      </c>
      <c r="L51" s="117" t="n">
        <f aca="false">SUMIFS(الريسبي!$C$2:$C$1800,الريسبي!$A$2:$A$1800,$A51,الريسبي!$B$2:$B$1800,L$1)</f>
        <v>0</v>
      </c>
      <c r="M51" s="117" t="n">
        <f aca="false">SUMIFS(الريسبي!$C$2:$C$1800,الريسبي!$A$2:$A$1800,$A51,الريسبي!$B$2:$B$1800,M$1)</f>
        <v>0</v>
      </c>
      <c r="N51" s="117" t="n">
        <f aca="false">SUMIFS(الريسبي!$C$2:$C$1800,الريسبي!$A$2:$A$1800,$A51,الريسبي!$B$2:$B$1800,N$1)</f>
        <v>0</v>
      </c>
      <c r="O51" s="117" t="n">
        <f aca="false">SUMIFS(الريسبي!$C$2:$C$1800,الريسبي!$A$2:$A$1800,$A51,الريسبي!$B$2:$B$1800,O$1)</f>
        <v>0</v>
      </c>
      <c r="P51" s="117" t="n">
        <f aca="false">SUMIFS(الريسبي!$C$2:$C$1800,الريسبي!$A$2:$A$1800,$A51,الريسبي!$B$2:$B$1800,P$1)</f>
        <v>0</v>
      </c>
      <c r="Q51" s="117" t="n">
        <f aca="false">SUMIFS(الريسبي!$C$2:$C$1800,الريسبي!$A$2:$A$1800,$A51,الريسبي!$B$2:$B$1800,Q$1)</f>
        <v>0</v>
      </c>
      <c r="R51" s="117" t="n">
        <f aca="false">SUMIFS(الريسبي!$C$2:$C$1800,الريسبي!$A$2:$A$1800,$A51,الريسبي!$B$2:$B$1800,R$1)</f>
        <v>0</v>
      </c>
      <c r="S51" s="117" t="n">
        <f aca="false">SUMIFS(الريسبي!$C$2:$C$1800,الريسبي!$A$2:$A$1800,$A51,الريسبي!$B$2:$B$1800,S$1)</f>
        <v>1</v>
      </c>
      <c r="T51" s="117" t="n">
        <f aca="false">SUMIFS(الريسبي!$C$2:$C$1800,الريسبي!$A$2:$A$1800,$A51,الريسبي!$B$2:$B$1800,T$1)</f>
        <v>0</v>
      </c>
      <c r="U51" s="117" t="n">
        <f aca="false">SUMIFS(الريسبي!$C$2:$C$1800,الريسبي!$A$2:$A$1800,$A51,الريسبي!$B$2:$B$1800,U$1)</f>
        <v>1</v>
      </c>
      <c r="V51" s="117" t="n">
        <f aca="false">SUMIFS(الريسبي!$C$2:$C$1800,الريسبي!$A$2:$A$1800,$A51,الريسبي!$B$2:$B$1800,V$1)</f>
        <v>0</v>
      </c>
      <c r="W51" s="117" t="n">
        <f aca="false">SUMIFS(الريسبي!$C$2:$C$1800,الريسبي!$A$2:$A$1800,$A51,الريسبي!$B$2:$B$1800,W$1)</f>
        <v>0</v>
      </c>
      <c r="X51" s="117" t="n">
        <f aca="false">SUMIFS(الريسبي!$C$2:$C$1800,الريسبي!$A$2:$A$1800,$A51,الريسبي!$B$2:$B$1800,X$1)</f>
        <v>0</v>
      </c>
      <c r="Y51" s="117" t="n">
        <f aca="false">SUMIFS(الريسبي!$C$2:$C$1800,الريسبي!$A$2:$A$1800,$A51,الريسبي!$B$2:$B$1800,Y$1)</f>
        <v>0</v>
      </c>
      <c r="Z51" s="117" t="n">
        <f aca="false">SUMIFS(الريسبي!$C$2:$C$1800,الريسبي!$A$2:$A$1800,$A51,الريسبي!$B$2:$B$1800,Z$1)</f>
        <v>0</v>
      </c>
      <c r="AA51" s="117" t="n">
        <f aca="false">SUMIFS(الريسبي!$C$2:$C$1800,الريسبي!$A$2:$A$1800,$A51,الريسبي!$B$2:$B$1800,AA$1)</f>
        <v>0</v>
      </c>
      <c r="AB51" s="117" t="n">
        <f aca="false">SUMIFS(الريسبي!$C$2:$C$1800,الريسبي!$A$2:$A$1800,$A51,الريسبي!$B$2:$B$1800,AB$1)</f>
        <v>0</v>
      </c>
      <c r="AC51" s="117" t="n">
        <f aca="false">SUMIFS(الريسبي!$C$2:$C$1800,الريسبي!$A$2:$A$1800,$A51,الريسبي!$B$2:$B$1800,AC$1)</f>
        <v>0</v>
      </c>
      <c r="AD51" s="117" t="n">
        <f aca="false">SUMIFS(الريسبي!$C$2:$C$1800,الريسبي!$A$2:$A$1800,$A51,الريسبي!$B$2:$B$1800,AD$1)</f>
        <v>0</v>
      </c>
      <c r="AE51" s="117" t="n">
        <f aca="false">SUMIFS(الريسبي!$C$2:$C$1800,الريسبي!$A$2:$A$1800,$A51,الريسبي!$B$2:$B$1800,AE$1)</f>
        <v>0</v>
      </c>
      <c r="AF51" s="117" t="n">
        <f aca="false">SUMIFS(الريسبي!$C$2:$C$1800,الريسبي!$A$2:$A$1800,$A51,الريسبي!$B$2:$B$1800,AF$1)</f>
        <v>1</v>
      </c>
      <c r="AG51" s="117" t="n">
        <f aca="false">SUMIFS(الريسبي!$C$2:$C$1800,الريسبي!$A$2:$A$1800,$A51,الريسبي!$B$2:$B$1800,AG$1)</f>
        <v>0</v>
      </c>
      <c r="AH51" s="117" t="n">
        <f aca="false">SUMIFS(الريسبي!$C$2:$C$1800,الريسبي!$A$2:$A$1800,$A51,الريسبي!$B$2:$B$1800,AH$1)</f>
        <v>0</v>
      </c>
      <c r="AI51" s="117" t="n">
        <f aca="false">SUMIFS(الريسبي!$C$2:$C$1800,الريسبي!$A$2:$A$1800,$A51,الريسبي!$B$2:$B$1800,AI$1)</f>
        <v>0</v>
      </c>
      <c r="AJ51" s="117" t="n">
        <f aca="false">SUMIFS(الريسبي!$C$2:$C$1800,الريسبي!$A$2:$A$1800,$A51,الريسبي!$B$2:$B$1800,AJ$1)</f>
        <v>0</v>
      </c>
      <c r="AK51" s="117" t="n">
        <f aca="false">SUMIFS(الريسبي!$C$2:$C$1800,الريسبي!$A$2:$A$1800,$A51,الريسبي!$B$2:$B$1800,AK$1)</f>
        <v>0</v>
      </c>
      <c r="AL51" s="117" t="n">
        <f aca="false">SUMIFS(الريسبي!$C$2:$C$1800,الريسبي!$A$2:$A$1800,$A51,الريسبي!$B$2:$B$1800,AL$1)</f>
        <v>0</v>
      </c>
      <c r="AM51" s="117" t="n">
        <f aca="false">SUMIFS(الريسبي!$C$2:$C$1800,الريسبي!$A$2:$A$1800,$A51,الريسبي!$B$2:$B$1800,AM$1)+0.08333333333*SUMIFS(الريسبي!$C$2:$C$1800,الريسبي!$A$2:$A$1800,$A51,الريسبي!$B$2:$B$1800,"عجين كريب (مصنع بالمطعم)")+0.08333333333*SUMIFS(الريسبي!$C$2:$C$1800,الريسبي!$A$2:$A$1800,$A51,الريسبي!$B$2:$B$1800,"عجين كريب صيامي (بدون لبن)")</f>
        <v>0</v>
      </c>
      <c r="AN51" s="117" t="n">
        <f aca="false">SUMIFS(الريسبي!$C$2:$C$1800,الريسبي!$A$2:$A$1800,$A51,الريسبي!$B$2:$B$1800,AN$1)+0.004166666667*SUMIFS(الريسبي!$C$2:$C$1800,الريسبي!$A$2:$A$1800,$A51,الريسبي!$B$2:$B$1800,"عجين كريب (مصنع بالمطعم)")+0.004166666667*SUMIFS(الريسبي!$C$2:$C$1800,الريسبي!$A$2:$A$1800,$A51,الريسبي!$B$2:$B$1800,"عجين كريب صيامي (بدون لبن)")</f>
        <v>0</v>
      </c>
      <c r="AO51" s="117" t="n">
        <f aca="false">SUMIFS(الريسبي!$C$2:$C$1800,الريسبي!$A$2:$A$1800,$A51,الريسبي!$B$2:$B$1800,AO$1)</f>
        <v>0</v>
      </c>
      <c r="AP51" s="117" t="n">
        <f aca="false">SUMIFS(الريسبي!$C$2:$C$1800,الريسبي!$A$2:$A$1800,$A51,الريسبي!$B$2:$B$1800,AP$1)</f>
        <v>0</v>
      </c>
      <c r="AQ51" s="117" t="n">
        <f aca="false">SUMIFS(الريسبي!$C$2:$C$1800,الريسبي!$A$2:$A$1800,$A51,الريسبي!$B$2:$B$1800,AQ$1)+0.004166666667*SUMIFS(الريسبي!$C$2:$C$1800,الريسبي!$A$2:$A$1800,$A51,الريسبي!$B$2:$B$1800,"عجين كريب (مصنع بالمطعم)")+0.004166666667*SUMIFS(الريسبي!$C$2:$C$1800,الريسبي!$A$2:$A$1800,$A51,الريسبي!$B$2:$B$1800,"عجين كريب صيامي (بدون لبن)")</f>
        <v>0</v>
      </c>
      <c r="AR51" s="117" t="n">
        <f aca="false">SUMIFS(الريسبي!$C$2:$C$1800,الريسبي!$A$2:$A$1800,$A51,الريسبي!$B$2:$B$1800,AR$1)</f>
        <v>0</v>
      </c>
      <c r="AS51" s="117" t="n">
        <f aca="false">SUMIFS(الريسبي!$C$2:$C$1800,الريسبي!$A$2:$A$1800,$A51,الريسبي!$B$2:$B$1800,AS$1)</f>
        <v>0</v>
      </c>
      <c r="AT51" s="117" t="n">
        <f aca="false">SUMIFS(الريسبي!$C$2:$C$1800,الريسبي!$A$2:$A$1800,$A51,الريسبي!$B$2:$B$1800,AT$1)</f>
        <v>0</v>
      </c>
      <c r="AU51" s="117" t="n">
        <f aca="false">SUMIFS(الريسبي!$C$2:$C$1800,الريسبي!$A$2:$A$1800,$A51,الريسبي!$B$2:$B$1800,AU$1)</f>
        <v>1</v>
      </c>
      <c r="AV51" s="117" t="n">
        <f aca="false">SUMIFS(الريسبي!$C$2:$C$1800,الريسبي!$A$2:$A$1800,$A51,الريسبي!$B$2:$B$1800,AV$1)</f>
        <v>0</v>
      </c>
      <c r="AW51" s="117" t="n">
        <f aca="false">SUMIFS(الريسبي!$C$2:$C$1800,الريسبي!$A$2:$A$1800,$A51,الريسبي!$B$2:$B$1800,AW$1)</f>
        <v>0.03</v>
      </c>
      <c r="AX51" s="117" t="n">
        <f aca="false">SUMIFS(الريسبي!$C$2:$C$1800,الريسبي!$A$2:$A$1800,$A51,الريسبي!$B$2:$B$1800,AX$1)</f>
        <v>0</v>
      </c>
      <c r="AY51" s="117" t="n">
        <f aca="false">SUMIFS(الريسبي!$C$2:$C$1800,الريسبي!$A$2:$A$1800,$A51,الريسبي!$B$2:$B$1800,AY$1)</f>
        <v>0</v>
      </c>
      <c r="AZ51" s="117" t="n">
        <f aca="false">SUMIFS(الريسبي!$C$2:$C$1800,الريسبي!$A$2:$A$1800,$A51,الريسبي!$B$2:$B$1800,AZ$1)</f>
        <v>0</v>
      </c>
      <c r="BA51" s="117" t="n">
        <f aca="false">SUMIFS(الريسبي!$C$2:$C$1800,الريسبي!$A$2:$A$1800,$A51,الريسبي!$B$2:$B$1800,BA$1)</f>
        <v>0</v>
      </c>
      <c r="BB51" s="117" t="n">
        <f aca="false">SUMIFS(الريسبي!$C$2:$C$1800,الريسبي!$A$2:$A$1800,$A51,الريسبي!$B$2:$B$1800,BB$1)</f>
        <v>0</v>
      </c>
      <c r="BC51" s="117" t="n">
        <f aca="false">SUMIFS(الريسبي!$C$2:$C$1800,الريسبي!$A$2:$A$1800,$A51,الريسبي!$B$2:$B$1800,BC$1)</f>
        <v>0</v>
      </c>
      <c r="BD51" s="117" t="n">
        <f aca="false">SUMIFS(الريسبي!$C$2:$C$1800,الريسبي!$A$2:$A$1800,$A51,الريسبي!$B$2:$B$1800,BD$1)</f>
        <v>0</v>
      </c>
      <c r="BE51" s="117" t="n">
        <f aca="false">SUMIFS(الريسبي!$C$2:$C$1800,الريسبي!$A$2:$A$1800,$A51,الريسبي!$B$2:$B$1800,BE$1)</f>
        <v>1</v>
      </c>
      <c r="BF51" s="117" t="n">
        <f aca="false">SUMIFS(الريسبي!$C$2:$C$1800,الريسبي!$A$2:$A$1800,$A51,الريسبي!$B$2:$B$1800,BF$1)</f>
        <v>0</v>
      </c>
      <c r="BG51" s="117" t="n">
        <f aca="false">SUMIFS(الريسبي!$C$2:$C$1800,الريسبي!$A$2:$A$1800,$A51,الريسبي!$B$2:$B$1800,BG$1)</f>
        <v>0</v>
      </c>
      <c r="BH51" s="117" t="n">
        <f aca="false">SUMIFS(الريسبي!$C$2:$C$1800,الريسبي!$A$2:$A$1800,$A51,الريسبي!$B$2:$B$1800,BH$1)</f>
        <v>0</v>
      </c>
      <c r="BI51" s="117" t="n">
        <f aca="false">SUMIFS(الريسبي!$C$2:$C$1800,الريسبي!$A$2:$A$1800,$A51,الريسبي!$B$2:$B$1800,BI$1)</f>
        <v>0</v>
      </c>
      <c r="BJ51" s="117" t="n">
        <f aca="false">SUMIFS(الريسبي!$C$2:$C$1800,الريسبي!$A$2:$A$1800,$A51,الريسبي!$B$2:$B$1800,BJ$1)</f>
        <v>0</v>
      </c>
      <c r="BK51" s="117" t="n">
        <f aca="false">SUMIFS(الريسبي!$C$2:$C$1800,الريسبي!$A$2:$A$1800,$A51,الريسبي!$B$2:$B$1800,BK$1)</f>
        <v>1</v>
      </c>
      <c r="BL51" s="117" t="n">
        <f aca="false">SUMIFS(الريسبي!$C$2:$C$1800,الريسبي!$A$2:$A$1800,$A51,الريسبي!$B$2:$B$1800,BL$1)</f>
        <v>0</v>
      </c>
      <c r="BM51" s="117" t="n">
        <f aca="false">SUMIFS(الريسبي!$C$2:$C$1800,الريسبي!$A$2:$A$1800,$A51,الريسبي!$B$2:$B$1800,BM$1)</f>
        <v>0</v>
      </c>
      <c r="BN51" s="117" t="n">
        <f aca="false">SUMIFS(الريسبي!$C$2:$C$1800,الريسبي!$A$2:$A$1800,$A51,الريسبي!$B$2:$B$1800,BN$1)</f>
        <v>0</v>
      </c>
      <c r="BO51" s="117" t="n">
        <f aca="false">SUMIFS(الريسبي!$C$2:$C$1800,الريسبي!$A$2:$A$1800,$A51,الريسبي!$B$2:$B$1800,BO$1)</f>
        <v>0</v>
      </c>
      <c r="BP51" s="117" t="n">
        <f aca="false">SUMIFS(الريسبي!$C$2:$C$1800,الريسبي!$A$2:$A$1800,$A51,الريسبي!$B$2:$B$1800,BP$1)</f>
        <v>0</v>
      </c>
      <c r="BQ51" s="117" t="n">
        <f aca="false">SUMIFS(الريسبي!$C$2:$C$1800,الريسبي!$A$2:$A$1800,$A51,الريسبي!$B$2:$B$1800,BQ$1)+0.17*SUMIFS(الريسبي!$C$2:$C$1800,الريسبي!$A$2:$A$1800,$A51,الريسبي!$B$2:$B$1800,"كاسترد مصنع (خليط بودر + لبن)")+0.17*SUMIFS(الريسبي!$C$2:$C$1800,الريسبي!$A$2:$A$1800,$A51,الريسبي!$B$2:$B$1800,"كاسترد مصنع صيامي (بدون لبن)")</f>
        <v>0.0255</v>
      </c>
      <c r="BR51" s="117" t="n">
        <f aca="false">SUMIFS(الريسبي!$C$2:$C$1800,الريسبي!$A$2:$A$1800,$A51,الريسبي!$B$2:$B$1800,BR$1)</f>
        <v>0</v>
      </c>
      <c r="BS51" s="117" t="n">
        <f aca="false">SUMIFS(الريسبي!$C$2:$C$1800,الريسبي!$A$2:$A$1800,$A51,الريسبي!$B$2:$B$1800,BS$1)</f>
        <v>0</v>
      </c>
      <c r="BT51" s="117" t="n">
        <f aca="false">SUMIFS(الريسبي!$C$2:$C$1800,الريسبي!$A$2:$A$1800,$A51,الريسبي!$B$2:$B$1800,BT$1)</f>
        <v>0</v>
      </c>
      <c r="BU51" s="117" t="n">
        <f aca="false">SUMIFS(الريسبي!$C$2:$C$1800,الريسبي!$A$2:$A$1800,$A51,الريسبي!$B$2:$B$1800,BU$1)+0.4*SUMIFS(الريسبي!$C$2:$C$1800,الريسبي!$A$2:$A$1800,$A51,الريسبي!$B$2:$B$1800,"كاسترد مصنع (خليط بودر + لبن)")+0.03333333333*SUMIFS(الريسبي!$C$2:$C$1800,الريسبي!$A$2:$A$1800,$A51,الريسبي!$B$2:$B$1800,"عجين كريب (مصنع بالمطعم)")</f>
        <v>0.06</v>
      </c>
      <c r="BV51" s="117" t="n">
        <f aca="false">SUMIFS(الريسبي!$C$2:$C$1800,الريسبي!$A$2:$A$1800,$A51,الريسبي!$B$2:$B$1800,BV$1)</f>
        <v>0</v>
      </c>
      <c r="BW51" s="117" t="n">
        <f aca="false">SUMIFS(الريسبي!$C$2:$C$1800,الريسبي!$A$2:$A$1800,$A51,الريسبي!$B$2:$B$1800,BW$1)</f>
        <v>0</v>
      </c>
      <c r="BX51" s="117" t="n">
        <f aca="false">SUMIFS(الريسبي!$C$2:$C$1800,الريسبي!$A$2:$A$1800,$A51,الريسبي!$B$2:$B$1800,BX$1)</f>
        <v>0</v>
      </c>
      <c r="BY51" s="117" t="n">
        <f aca="false">SUMIFS(الريسبي!$C$2:$C$1800,الريسبي!$A$2:$A$1800,$A51,الريسبي!$B$2:$B$1800,BY$1)</f>
        <v>0</v>
      </c>
      <c r="BZ51" s="117" t="n">
        <f aca="false">SUMIFS(الريسبي!$C$2:$C$1800,الريسبي!$A$2:$A$1800,$A51,الريسبي!$B$2:$B$1800,BZ$1)</f>
        <v>0.16</v>
      </c>
      <c r="CA51" s="117" t="n">
        <f aca="false">SUMIFS(الريسبي!$C$2:$C$1800,الريسبي!$A$2:$A$1800,$A51,الريسبي!$B$2:$B$1800,CA$1)</f>
        <v>0</v>
      </c>
      <c r="CB51" s="117" t="n">
        <f aca="false">SUMIFS(الريسبي!$C$2:$C$1800,الريسبي!$A$2:$A$1800,$A51,الريسبي!$B$2:$B$1800,CB$1)</f>
        <v>0</v>
      </c>
      <c r="CC51" s="117" t="n">
        <f aca="false">SUMIFS(الريسبي!$C$2:$C$1800,الريسبي!$A$2:$A$1800,$A51,الريسبي!$B$2:$B$1800,CC$1)</f>
        <v>0</v>
      </c>
      <c r="CD51" s="117" t="n">
        <f aca="false">SUMIFS(الريسبي!$C$2:$C$1800,الريسبي!$A$2:$A$1800,$A51,الريسبي!$B$2:$B$1800,CD$1)</f>
        <v>0</v>
      </c>
      <c r="CE51" s="117" t="n">
        <f aca="false">SUMIFS(الريسبي!$C$2:$C$1800,الريسبي!$A$2:$A$1800,$A51,الريسبي!$B$2:$B$1800,CE$1)</f>
        <v>0</v>
      </c>
      <c r="CF51" s="117" t="n">
        <f aca="false">SUMIFS(الريسبي!$C$2:$C$1800,الريسبي!$A$2:$A$1800,$A51,الريسبي!$B$2:$B$1800,CF$1)</f>
        <v>0</v>
      </c>
      <c r="CG51" s="117" t="n">
        <f aca="false">SUMIFS(الريسبي!$C$2:$C$1800,الريسبي!$A$2:$A$1800,$A51,الريسبي!$B$2:$B$1800,CG$1)</f>
        <v>0</v>
      </c>
      <c r="CH51" s="117" t="n">
        <f aca="false">SUMIFS(الريسبي!$C$2:$C$1800,الريسبي!$A$2:$A$1800,$A51,الريسبي!$B$2:$B$1800,CH$1)</f>
        <v>0</v>
      </c>
      <c r="CI51" s="117" t="n">
        <f aca="false">SUMIFS(الريسبي!$C$2:$C$1800,الريسبي!$A$2:$A$1800,$A51,الريسبي!$B$2:$B$1800,CI$1)</f>
        <v>0</v>
      </c>
      <c r="CJ51" s="117" t="n">
        <f aca="false">SUMIFS(الريسبي!$C$2:$C$1800,الريسبي!$A$2:$A$1800,$A51,الريسبي!$B$2:$B$1800,CJ$1)</f>
        <v>0</v>
      </c>
      <c r="CK51" s="117" t="n">
        <f aca="false">SUMIFS(الريسبي!$C$2:$C$1800,الريسبي!$A$2:$A$1800,$A51,الريسبي!$B$2:$B$1800,CK$1)</f>
        <v>0</v>
      </c>
      <c r="CL51" s="117" t="n">
        <f aca="false">SUMIFS(الريسبي!$C$2:$C$1800,الريسبي!$A$2:$A$1800,$A51,الريسبي!$B$2:$B$1800,CL$1)</f>
        <v>0</v>
      </c>
    </row>
    <row r="52" customFormat="false" ht="15" hidden="false" customHeight="false" outlineLevel="0" collapsed="false">
      <c r="A52" s="116" t="str">
        <f aca="false">المنيو!B52</f>
        <v>فطيرة فورسيزون ستاموني</v>
      </c>
      <c r="B52" s="117" t="n">
        <f aca="false">SUMIFS(الريسبي!$C$2:$C$1800,الريسبي!$A$2:$A$1800,$A52,الريسبي!$B$2:$B$1800,B$1)</f>
        <v>0</v>
      </c>
      <c r="C52" s="117" t="n">
        <f aca="false">SUMIFS(الريسبي!$C$2:$C$1800,الريسبي!$A$2:$A$1800,$A52,الريسبي!$B$2:$B$1800,C$1)</f>
        <v>0</v>
      </c>
      <c r="D52" s="117" t="n">
        <f aca="false">SUMIFS(الريسبي!$C$2:$C$1800,الريسبي!$A$2:$A$1800,$A52,الريسبي!$B$2:$B$1800,D$1)</f>
        <v>0</v>
      </c>
      <c r="E52" s="117" t="n">
        <f aca="false">SUMIFS(الريسبي!$C$2:$C$1800,الريسبي!$A$2:$A$1800,$A52,الريسبي!$B$2:$B$1800,E$1)</f>
        <v>1</v>
      </c>
      <c r="F52" s="117" t="n">
        <f aca="false">SUMIFS(الريسبي!$C$2:$C$1800,الريسبي!$A$2:$A$1800,$A52,الريسبي!$B$2:$B$1800,F$1)</f>
        <v>0</v>
      </c>
      <c r="G52" s="117" t="n">
        <f aca="false">SUMIFS(الريسبي!$C$2:$C$1800,الريسبي!$A$2:$A$1800,$A52,الريسبي!$B$2:$B$1800,G$1)</f>
        <v>0</v>
      </c>
      <c r="H52" s="117" t="n">
        <f aca="false">SUMIFS(الريسبي!$C$2:$C$1800,الريسبي!$A$2:$A$1800,$A52,الريسبي!$B$2:$B$1800,H$1)</f>
        <v>0</v>
      </c>
      <c r="I52" s="117" t="n">
        <f aca="false">SUMIFS(الريسبي!$C$2:$C$1800,الريسبي!$A$2:$A$1800,$A52,الريسبي!$B$2:$B$1800,I$1)</f>
        <v>0</v>
      </c>
      <c r="J52" s="117" t="n">
        <f aca="false">SUMIFS(الريسبي!$C$2:$C$1800,الريسبي!$A$2:$A$1800,$A52,الريسبي!$B$2:$B$1800,J$1)</f>
        <v>0</v>
      </c>
      <c r="K52" s="117" t="n">
        <f aca="false">SUMIFS(الريسبي!$C$2:$C$1800,الريسبي!$A$2:$A$1800,$A52,الريسبي!$B$2:$B$1800,K$1)</f>
        <v>0</v>
      </c>
      <c r="L52" s="117" t="n">
        <f aca="false">SUMIFS(الريسبي!$C$2:$C$1800,الريسبي!$A$2:$A$1800,$A52,الريسبي!$B$2:$B$1800,L$1)</f>
        <v>0</v>
      </c>
      <c r="M52" s="117" t="n">
        <f aca="false">SUMIFS(الريسبي!$C$2:$C$1800,الريسبي!$A$2:$A$1800,$A52,الريسبي!$B$2:$B$1800,M$1)</f>
        <v>0</v>
      </c>
      <c r="N52" s="117" t="n">
        <f aca="false">SUMIFS(الريسبي!$C$2:$C$1800,الريسبي!$A$2:$A$1800,$A52,الريسبي!$B$2:$B$1800,N$1)</f>
        <v>0</v>
      </c>
      <c r="O52" s="117" t="n">
        <f aca="false">SUMIFS(الريسبي!$C$2:$C$1800,الريسبي!$A$2:$A$1800,$A52,الريسبي!$B$2:$B$1800,O$1)</f>
        <v>0</v>
      </c>
      <c r="P52" s="117" t="n">
        <f aca="false">SUMIFS(الريسبي!$C$2:$C$1800,الريسبي!$A$2:$A$1800,$A52,الريسبي!$B$2:$B$1800,P$1)</f>
        <v>0</v>
      </c>
      <c r="Q52" s="117" t="n">
        <f aca="false">SUMIFS(الريسبي!$C$2:$C$1800,الريسبي!$A$2:$A$1800,$A52,الريسبي!$B$2:$B$1800,Q$1)</f>
        <v>0</v>
      </c>
      <c r="R52" s="117" t="n">
        <f aca="false">SUMIFS(الريسبي!$C$2:$C$1800,الريسبي!$A$2:$A$1800,$A52,الريسبي!$B$2:$B$1800,R$1)</f>
        <v>0</v>
      </c>
      <c r="S52" s="117" t="n">
        <f aca="false">SUMIFS(الريسبي!$C$2:$C$1800,الريسبي!$A$2:$A$1800,$A52,الريسبي!$B$2:$B$1800,S$1)</f>
        <v>0</v>
      </c>
      <c r="T52" s="117" t="n">
        <f aca="false">SUMIFS(الريسبي!$C$2:$C$1800,الريسبي!$A$2:$A$1800,$A52,الريسبي!$B$2:$B$1800,T$1)</f>
        <v>0</v>
      </c>
      <c r="U52" s="117" t="n">
        <f aca="false">SUMIFS(الريسبي!$C$2:$C$1800,الريسبي!$A$2:$A$1800,$A52,الريسبي!$B$2:$B$1800,U$1)</f>
        <v>1</v>
      </c>
      <c r="V52" s="117" t="n">
        <f aca="false">SUMIFS(الريسبي!$C$2:$C$1800,الريسبي!$A$2:$A$1800,$A52,الريسبي!$B$2:$B$1800,V$1)</f>
        <v>0</v>
      </c>
      <c r="W52" s="117" t="n">
        <f aca="false">SUMIFS(الريسبي!$C$2:$C$1800,الريسبي!$A$2:$A$1800,$A52,الريسبي!$B$2:$B$1800,W$1)</f>
        <v>0</v>
      </c>
      <c r="X52" s="117" t="n">
        <f aca="false">SUMIFS(الريسبي!$C$2:$C$1800,الريسبي!$A$2:$A$1800,$A52,الريسبي!$B$2:$B$1800,X$1)</f>
        <v>0</v>
      </c>
      <c r="Y52" s="117" t="n">
        <f aca="false">SUMIFS(الريسبي!$C$2:$C$1800,الريسبي!$A$2:$A$1800,$A52,الريسبي!$B$2:$B$1800,Y$1)</f>
        <v>0</v>
      </c>
      <c r="Z52" s="117" t="n">
        <f aca="false">SUMIFS(الريسبي!$C$2:$C$1800,الريسبي!$A$2:$A$1800,$A52,الريسبي!$B$2:$B$1800,Z$1)</f>
        <v>0.03</v>
      </c>
      <c r="AA52" s="117" t="n">
        <f aca="false">SUMIFS(الريسبي!$C$2:$C$1800,الريسبي!$A$2:$A$1800,$A52,الريسبي!$B$2:$B$1800,AA$1)</f>
        <v>0</v>
      </c>
      <c r="AB52" s="117" t="n">
        <f aca="false">SUMIFS(الريسبي!$C$2:$C$1800,الريسبي!$A$2:$A$1800,$A52,الريسبي!$B$2:$B$1800,AB$1)</f>
        <v>0.03</v>
      </c>
      <c r="AC52" s="117" t="n">
        <f aca="false">SUMIFS(الريسبي!$C$2:$C$1800,الريسبي!$A$2:$A$1800,$A52,الريسبي!$B$2:$B$1800,AC$1)</f>
        <v>0</v>
      </c>
      <c r="AD52" s="117" t="n">
        <f aca="false">SUMIFS(الريسبي!$C$2:$C$1800,الريسبي!$A$2:$A$1800,$A52,الريسبي!$B$2:$B$1800,AD$1)</f>
        <v>0</v>
      </c>
      <c r="AE52" s="117" t="n">
        <f aca="false">SUMIFS(الريسبي!$C$2:$C$1800,الريسبي!$A$2:$A$1800,$A52,الريسبي!$B$2:$B$1800,AE$1)</f>
        <v>0</v>
      </c>
      <c r="AF52" s="117" t="n">
        <f aca="false">SUMIFS(الريسبي!$C$2:$C$1800,الريسبي!$A$2:$A$1800,$A52,الريسبي!$B$2:$B$1800,AF$1)</f>
        <v>1</v>
      </c>
      <c r="AG52" s="117" t="n">
        <f aca="false">SUMIFS(الريسبي!$C$2:$C$1800,الريسبي!$A$2:$A$1800,$A52,الريسبي!$B$2:$B$1800,AG$1)</f>
        <v>0</v>
      </c>
      <c r="AH52" s="117" t="n">
        <f aca="false">SUMIFS(الريسبي!$C$2:$C$1800,الريسبي!$A$2:$A$1800,$A52,الريسبي!$B$2:$B$1800,AH$1)</f>
        <v>0</v>
      </c>
      <c r="AI52" s="117" t="n">
        <f aca="false">SUMIFS(الريسبي!$C$2:$C$1800,الريسبي!$A$2:$A$1800,$A52,الريسبي!$B$2:$B$1800,AI$1)</f>
        <v>0</v>
      </c>
      <c r="AJ52" s="117" t="n">
        <f aca="false">SUMIFS(الريسبي!$C$2:$C$1800,الريسبي!$A$2:$A$1800,$A52,الريسبي!$B$2:$B$1800,AJ$1)</f>
        <v>0</v>
      </c>
      <c r="AK52" s="117" t="n">
        <f aca="false">SUMIFS(الريسبي!$C$2:$C$1800,الريسبي!$A$2:$A$1800,$A52,الريسبي!$B$2:$B$1800,AK$1)</f>
        <v>0</v>
      </c>
      <c r="AL52" s="117" t="n">
        <f aca="false">SUMIFS(الريسبي!$C$2:$C$1800,الريسبي!$A$2:$A$1800,$A52,الريسبي!$B$2:$B$1800,AL$1)</f>
        <v>0</v>
      </c>
      <c r="AM52" s="117" t="n">
        <f aca="false">SUMIFS(الريسبي!$C$2:$C$1800,الريسبي!$A$2:$A$1800,$A52,الريسبي!$B$2:$B$1800,AM$1)+0.08333333333*SUMIFS(الريسبي!$C$2:$C$1800,الريسبي!$A$2:$A$1800,$A52,الريسبي!$B$2:$B$1800,"عجين كريب (مصنع بالمطعم)")+0.08333333333*SUMIFS(الريسبي!$C$2:$C$1800,الريسبي!$A$2:$A$1800,$A52,الريسبي!$B$2:$B$1800,"عجين كريب صيامي (بدون لبن)")</f>
        <v>0</v>
      </c>
      <c r="AN52" s="117" t="n">
        <f aca="false">SUMIFS(الريسبي!$C$2:$C$1800,الريسبي!$A$2:$A$1800,$A52,الريسبي!$B$2:$B$1800,AN$1)+0.004166666667*SUMIFS(الريسبي!$C$2:$C$1800,الريسبي!$A$2:$A$1800,$A52,الريسبي!$B$2:$B$1800,"عجين كريب (مصنع بالمطعم)")+0.004166666667*SUMIFS(الريسبي!$C$2:$C$1800,الريسبي!$A$2:$A$1800,$A52,الريسبي!$B$2:$B$1800,"عجين كريب صيامي (بدون لبن)")</f>
        <v>0</v>
      </c>
      <c r="AO52" s="117" t="n">
        <f aca="false">SUMIFS(الريسبي!$C$2:$C$1800,الريسبي!$A$2:$A$1800,$A52,الريسبي!$B$2:$B$1800,AO$1)</f>
        <v>0</v>
      </c>
      <c r="AP52" s="117" t="n">
        <f aca="false">SUMIFS(الريسبي!$C$2:$C$1800,الريسبي!$A$2:$A$1800,$A52,الريسبي!$B$2:$B$1800,AP$1)</f>
        <v>0</v>
      </c>
      <c r="AQ52" s="117" t="n">
        <f aca="false">SUMIFS(الريسبي!$C$2:$C$1800,الريسبي!$A$2:$A$1800,$A52,الريسبي!$B$2:$B$1800,AQ$1)+0.004166666667*SUMIFS(الريسبي!$C$2:$C$1800,الريسبي!$A$2:$A$1800,$A52,الريسبي!$B$2:$B$1800,"عجين كريب (مصنع بالمطعم)")+0.004166666667*SUMIFS(الريسبي!$C$2:$C$1800,الريسبي!$A$2:$A$1800,$A52,الريسبي!$B$2:$B$1800,"عجين كريب صيامي (بدون لبن)")</f>
        <v>0</v>
      </c>
      <c r="AR52" s="117" t="n">
        <f aca="false">SUMIFS(الريسبي!$C$2:$C$1800,الريسبي!$A$2:$A$1800,$A52,الريسبي!$B$2:$B$1800,AR$1)</f>
        <v>0</v>
      </c>
      <c r="AS52" s="117" t="n">
        <f aca="false">SUMIFS(الريسبي!$C$2:$C$1800,الريسبي!$A$2:$A$1800,$A52,الريسبي!$B$2:$B$1800,AS$1)</f>
        <v>1</v>
      </c>
      <c r="AT52" s="117" t="n">
        <f aca="false">SUMIFS(الريسبي!$C$2:$C$1800,الريسبي!$A$2:$A$1800,$A52,الريسبي!$B$2:$B$1800,AT$1)</f>
        <v>0</v>
      </c>
      <c r="AU52" s="117" t="n">
        <f aca="false">SUMIFS(الريسبي!$C$2:$C$1800,الريسبي!$A$2:$A$1800,$A52,الريسبي!$B$2:$B$1800,AU$1)</f>
        <v>1</v>
      </c>
      <c r="AV52" s="117" t="n">
        <f aca="false">SUMIFS(الريسبي!$C$2:$C$1800,الريسبي!$A$2:$A$1800,$A52,الريسبي!$B$2:$B$1800,AV$1)</f>
        <v>0.1</v>
      </c>
      <c r="AW52" s="117" t="n">
        <f aca="false">SUMIFS(الريسبي!$C$2:$C$1800,الريسبي!$A$2:$A$1800,$A52,الريسبي!$B$2:$B$1800,AW$1)</f>
        <v>0.05</v>
      </c>
      <c r="AX52" s="117" t="n">
        <f aca="false">SUMIFS(الريسبي!$C$2:$C$1800,الريسبي!$A$2:$A$1800,$A52,الريسبي!$B$2:$B$1800,AX$1)</f>
        <v>0</v>
      </c>
      <c r="AY52" s="117" t="n">
        <f aca="false">SUMIFS(الريسبي!$C$2:$C$1800,الريسبي!$A$2:$A$1800,$A52,الريسبي!$B$2:$B$1800,AY$1)</f>
        <v>0</v>
      </c>
      <c r="AZ52" s="117" t="n">
        <f aca="false">SUMIFS(الريسبي!$C$2:$C$1800,الريسبي!$A$2:$A$1800,$A52,الريسبي!$B$2:$B$1800,AZ$1)</f>
        <v>0</v>
      </c>
      <c r="BA52" s="117" t="n">
        <f aca="false">SUMIFS(الريسبي!$C$2:$C$1800,الريسبي!$A$2:$A$1800,$A52,الريسبي!$B$2:$B$1800,BA$1)</f>
        <v>0</v>
      </c>
      <c r="BB52" s="117" t="n">
        <f aca="false">SUMIFS(الريسبي!$C$2:$C$1800,الريسبي!$A$2:$A$1800,$A52,الريسبي!$B$2:$B$1800,BB$1)</f>
        <v>0</v>
      </c>
      <c r="BC52" s="117" t="n">
        <f aca="false">SUMIFS(الريسبي!$C$2:$C$1800,الريسبي!$A$2:$A$1800,$A52,الريسبي!$B$2:$B$1800,BC$1)</f>
        <v>0</v>
      </c>
      <c r="BD52" s="117" t="n">
        <f aca="false">SUMIFS(الريسبي!$C$2:$C$1800,الريسبي!$A$2:$A$1800,$A52,الريسبي!$B$2:$B$1800,BD$1)</f>
        <v>0</v>
      </c>
      <c r="BE52" s="117" t="n">
        <f aca="false">SUMIFS(الريسبي!$C$2:$C$1800,الريسبي!$A$2:$A$1800,$A52,الريسبي!$B$2:$B$1800,BE$1)</f>
        <v>1</v>
      </c>
      <c r="BF52" s="117" t="n">
        <f aca="false">SUMIFS(الريسبي!$C$2:$C$1800,الريسبي!$A$2:$A$1800,$A52,الريسبي!$B$2:$B$1800,BF$1)</f>
        <v>0</v>
      </c>
      <c r="BG52" s="117" t="n">
        <f aca="false">SUMIFS(الريسبي!$C$2:$C$1800,الريسبي!$A$2:$A$1800,$A52,الريسبي!$B$2:$B$1800,BG$1)</f>
        <v>0</v>
      </c>
      <c r="BH52" s="117" t="n">
        <f aca="false">SUMIFS(الريسبي!$C$2:$C$1800,الريسبي!$A$2:$A$1800,$A52,الريسبي!$B$2:$B$1800,BH$1)</f>
        <v>1</v>
      </c>
      <c r="BI52" s="117" t="n">
        <f aca="false">SUMIFS(الريسبي!$C$2:$C$1800,الريسبي!$A$2:$A$1800,$A52,الريسبي!$B$2:$B$1800,BI$1)</f>
        <v>0</v>
      </c>
      <c r="BJ52" s="117" t="n">
        <f aca="false">SUMIFS(الريسبي!$C$2:$C$1800,الريسبي!$A$2:$A$1800,$A52,الريسبي!$B$2:$B$1800,BJ$1)</f>
        <v>0</v>
      </c>
      <c r="BK52" s="117" t="n">
        <f aca="false">SUMIFS(الريسبي!$C$2:$C$1800,الريسبي!$A$2:$A$1800,$A52,الريسبي!$B$2:$B$1800,BK$1)</f>
        <v>0</v>
      </c>
      <c r="BL52" s="117" t="n">
        <f aca="false">SUMIFS(الريسبي!$C$2:$C$1800,الريسبي!$A$2:$A$1800,$A52,الريسبي!$B$2:$B$1800,BL$1)</f>
        <v>0</v>
      </c>
      <c r="BM52" s="117" t="n">
        <f aca="false">SUMIFS(الريسبي!$C$2:$C$1800,الريسبي!$A$2:$A$1800,$A52,الريسبي!$B$2:$B$1800,BM$1)</f>
        <v>0</v>
      </c>
      <c r="BN52" s="117" t="n">
        <f aca="false">SUMIFS(الريسبي!$C$2:$C$1800,الريسبي!$A$2:$A$1800,$A52,الريسبي!$B$2:$B$1800,BN$1)</f>
        <v>0</v>
      </c>
      <c r="BO52" s="117" t="n">
        <f aca="false">SUMIFS(الريسبي!$C$2:$C$1800,الريسبي!$A$2:$A$1800,$A52,الريسبي!$B$2:$B$1800,BO$1)</f>
        <v>0</v>
      </c>
      <c r="BP52" s="117" t="n">
        <f aca="false">SUMIFS(الريسبي!$C$2:$C$1800,الريسبي!$A$2:$A$1800,$A52,الريسبي!$B$2:$B$1800,BP$1)</f>
        <v>0</v>
      </c>
      <c r="BQ52" s="117" t="n">
        <f aca="false">SUMIFS(الريسبي!$C$2:$C$1800,الريسبي!$A$2:$A$1800,$A52,الريسبي!$B$2:$B$1800,BQ$1)+0.17*SUMIFS(الريسبي!$C$2:$C$1800,الريسبي!$A$2:$A$1800,$A52,الريسبي!$B$2:$B$1800,"كاسترد مصنع (خليط بودر + لبن)")+0.17*SUMIFS(الريسبي!$C$2:$C$1800,الريسبي!$A$2:$A$1800,$A52,الريسبي!$B$2:$B$1800,"كاسترد مصنع صيامي (بدون لبن)")</f>
        <v>0.0255</v>
      </c>
      <c r="BR52" s="117" t="n">
        <f aca="false">SUMIFS(الريسبي!$C$2:$C$1800,الريسبي!$A$2:$A$1800,$A52,الريسبي!$B$2:$B$1800,BR$1)</f>
        <v>0</v>
      </c>
      <c r="BS52" s="117" t="n">
        <f aca="false">SUMIFS(الريسبي!$C$2:$C$1800,الريسبي!$A$2:$A$1800,$A52,الريسبي!$B$2:$B$1800,BS$1)</f>
        <v>0</v>
      </c>
      <c r="BT52" s="117" t="n">
        <f aca="false">SUMIFS(الريسبي!$C$2:$C$1800,الريسبي!$A$2:$A$1800,$A52,الريسبي!$B$2:$B$1800,BT$1)</f>
        <v>0</v>
      </c>
      <c r="BU52" s="117" t="n">
        <f aca="false">SUMIFS(الريسبي!$C$2:$C$1800,الريسبي!$A$2:$A$1800,$A52,الريسبي!$B$2:$B$1800,BU$1)+0.4*SUMIFS(الريسبي!$C$2:$C$1800,الريسبي!$A$2:$A$1800,$A52,الريسبي!$B$2:$B$1800,"كاسترد مصنع (خليط بودر + لبن)")+0.03333333333*SUMIFS(الريسبي!$C$2:$C$1800,الريسبي!$A$2:$A$1800,$A52,الريسبي!$B$2:$B$1800,"عجين كريب (مصنع بالمطعم)")</f>
        <v>0.06</v>
      </c>
      <c r="BV52" s="117" t="n">
        <f aca="false">SUMIFS(الريسبي!$C$2:$C$1800,الريسبي!$A$2:$A$1800,$A52,الريسبي!$B$2:$B$1800,BV$1)</f>
        <v>0</v>
      </c>
      <c r="BW52" s="117" t="n">
        <f aca="false">SUMIFS(الريسبي!$C$2:$C$1800,الريسبي!$A$2:$A$1800,$A52,الريسبي!$B$2:$B$1800,BW$1)</f>
        <v>0.05</v>
      </c>
      <c r="BX52" s="117" t="n">
        <f aca="false">SUMIFS(الريسبي!$C$2:$C$1800,الريسبي!$A$2:$A$1800,$A52,الريسبي!$B$2:$B$1800,BX$1)</f>
        <v>0</v>
      </c>
      <c r="BY52" s="117" t="n">
        <f aca="false">SUMIFS(الريسبي!$C$2:$C$1800,الريسبي!$A$2:$A$1800,$A52,الريسبي!$B$2:$B$1800,BY$1)</f>
        <v>0</v>
      </c>
      <c r="BZ52" s="117" t="n">
        <f aca="false">SUMIFS(الريسبي!$C$2:$C$1800,الريسبي!$A$2:$A$1800,$A52,الريسبي!$B$2:$B$1800,BZ$1)</f>
        <v>0</v>
      </c>
      <c r="CA52" s="117" t="n">
        <f aca="false">SUMIFS(الريسبي!$C$2:$C$1800,الريسبي!$A$2:$A$1800,$A52,الريسبي!$B$2:$B$1800,CA$1)</f>
        <v>0</v>
      </c>
      <c r="CB52" s="117" t="n">
        <f aca="false">SUMIFS(الريسبي!$C$2:$C$1800,الريسبي!$A$2:$A$1800,$A52,الريسبي!$B$2:$B$1800,CB$1)</f>
        <v>0</v>
      </c>
      <c r="CC52" s="117" t="n">
        <f aca="false">SUMIFS(الريسبي!$C$2:$C$1800,الريسبي!$A$2:$A$1800,$A52,الريسبي!$B$2:$B$1800,CC$1)</f>
        <v>0</v>
      </c>
      <c r="CD52" s="117" t="n">
        <f aca="false">SUMIFS(الريسبي!$C$2:$C$1800,الريسبي!$A$2:$A$1800,$A52,الريسبي!$B$2:$B$1800,CD$1)</f>
        <v>0</v>
      </c>
      <c r="CE52" s="117" t="n">
        <f aca="false">SUMIFS(الريسبي!$C$2:$C$1800,الريسبي!$A$2:$A$1800,$A52,الريسبي!$B$2:$B$1800,CE$1)</f>
        <v>0</v>
      </c>
      <c r="CF52" s="117" t="n">
        <f aca="false">SUMIFS(الريسبي!$C$2:$C$1800,الريسبي!$A$2:$A$1800,$A52,الريسبي!$B$2:$B$1800,CF$1)</f>
        <v>0</v>
      </c>
      <c r="CG52" s="117" t="n">
        <f aca="false">SUMIFS(الريسبي!$C$2:$C$1800,الريسبي!$A$2:$A$1800,$A52,الريسبي!$B$2:$B$1800,CG$1)</f>
        <v>0</v>
      </c>
      <c r="CH52" s="117" t="n">
        <f aca="false">SUMIFS(الريسبي!$C$2:$C$1800,الريسبي!$A$2:$A$1800,$A52,الريسبي!$B$2:$B$1800,CH$1)</f>
        <v>0</v>
      </c>
      <c r="CI52" s="117" t="n">
        <f aca="false">SUMIFS(الريسبي!$C$2:$C$1800,الريسبي!$A$2:$A$1800,$A52,الريسبي!$B$2:$B$1800,CI$1)</f>
        <v>0</v>
      </c>
      <c r="CJ52" s="117" t="n">
        <f aca="false">SUMIFS(الريسبي!$C$2:$C$1800,الريسبي!$A$2:$A$1800,$A52,الريسبي!$B$2:$B$1800,CJ$1)</f>
        <v>0</v>
      </c>
      <c r="CK52" s="117" t="n">
        <f aca="false">SUMIFS(الريسبي!$C$2:$C$1800,الريسبي!$A$2:$A$1800,$A52,الريسبي!$B$2:$B$1800,CK$1)</f>
        <v>0</v>
      </c>
      <c r="CL52" s="117" t="n">
        <f aca="false">SUMIFS(الريسبي!$C$2:$C$1800,الريسبي!$A$2:$A$1800,$A52,الريسبي!$B$2:$B$1800,CL$1)</f>
        <v>0</v>
      </c>
    </row>
    <row r="53" customFormat="false" ht="15" hidden="false" customHeight="false" outlineLevel="0" collapsed="false">
      <c r="A53" s="116" t="str">
        <f aca="false">المنيو!B53</f>
        <v>قنبلة برجر</v>
      </c>
      <c r="B53" s="117" t="n">
        <f aca="false">SUMIFS(الريسبي!$C$2:$C$1800,الريسبي!$A$2:$A$1800,$A53,الريسبي!$B$2:$B$1800,B$1)</f>
        <v>0</v>
      </c>
      <c r="C53" s="117" t="n">
        <f aca="false">SUMIFS(الريسبي!$C$2:$C$1800,الريسبي!$A$2:$A$1800,$A53,الريسبي!$B$2:$B$1800,C$1)</f>
        <v>0</v>
      </c>
      <c r="D53" s="117" t="n">
        <f aca="false">SUMIFS(الريسبي!$C$2:$C$1800,الريسبي!$A$2:$A$1800,$A53,الريسبي!$B$2:$B$1800,D$1)</f>
        <v>1</v>
      </c>
      <c r="E53" s="117" t="n">
        <f aca="false">SUMIFS(الريسبي!$C$2:$C$1800,الريسبي!$A$2:$A$1800,$A53,الريسبي!$B$2:$B$1800,E$1)</f>
        <v>0</v>
      </c>
      <c r="F53" s="117" t="n">
        <f aca="false">SUMIFS(الريسبي!$C$2:$C$1800,الريسبي!$A$2:$A$1800,$A53,الريسبي!$B$2:$B$1800,F$1)</f>
        <v>2</v>
      </c>
      <c r="G53" s="117" t="n">
        <f aca="false">SUMIFS(الريسبي!$C$2:$C$1800,الريسبي!$A$2:$A$1800,$A53,الريسبي!$B$2:$B$1800,G$1)</f>
        <v>0</v>
      </c>
      <c r="H53" s="117" t="n">
        <f aca="false">SUMIFS(الريسبي!$C$2:$C$1800,الريسبي!$A$2:$A$1800,$A53,الريسبي!$B$2:$B$1800,H$1)</f>
        <v>0</v>
      </c>
      <c r="I53" s="117" t="n">
        <f aca="false">SUMIFS(الريسبي!$C$2:$C$1800,الريسبي!$A$2:$A$1800,$A53,الريسبي!$B$2:$B$1800,I$1)</f>
        <v>0</v>
      </c>
      <c r="J53" s="117" t="n">
        <f aca="false">SUMIFS(الريسبي!$C$2:$C$1800,الريسبي!$A$2:$A$1800,$A53,الريسبي!$B$2:$B$1800,J$1)</f>
        <v>0</v>
      </c>
      <c r="K53" s="117" t="n">
        <f aca="false">SUMIFS(الريسبي!$C$2:$C$1800,الريسبي!$A$2:$A$1800,$A53,الريسبي!$B$2:$B$1800,K$1)</f>
        <v>0</v>
      </c>
      <c r="L53" s="117" t="n">
        <f aca="false">SUMIFS(الريسبي!$C$2:$C$1800,الريسبي!$A$2:$A$1800,$A53,الريسبي!$B$2:$B$1800,L$1)</f>
        <v>0</v>
      </c>
      <c r="M53" s="117" t="n">
        <f aca="false">SUMIFS(الريسبي!$C$2:$C$1800,الريسبي!$A$2:$A$1800,$A53,الريسبي!$B$2:$B$1800,M$1)</f>
        <v>0</v>
      </c>
      <c r="N53" s="117" t="n">
        <f aca="false">SUMIFS(الريسبي!$C$2:$C$1800,الريسبي!$A$2:$A$1800,$A53,الريسبي!$B$2:$B$1800,N$1)</f>
        <v>0</v>
      </c>
      <c r="O53" s="117" t="n">
        <f aca="false">SUMIFS(الريسبي!$C$2:$C$1800,الريسبي!$A$2:$A$1800,$A53,الريسبي!$B$2:$B$1800,O$1)</f>
        <v>0</v>
      </c>
      <c r="P53" s="117" t="n">
        <f aca="false">SUMIFS(الريسبي!$C$2:$C$1800,الريسبي!$A$2:$A$1800,$A53,الريسبي!$B$2:$B$1800,P$1)</f>
        <v>0</v>
      </c>
      <c r="Q53" s="117" t="n">
        <f aca="false">SUMIFS(الريسبي!$C$2:$C$1800,الريسبي!$A$2:$A$1800,$A53,الريسبي!$B$2:$B$1800,Q$1)</f>
        <v>0</v>
      </c>
      <c r="R53" s="117" t="n">
        <f aca="false">SUMIFS(الريسبي!$C$2:$C$1800,الريسبي!$A$2:$A$1800,$A53,الريسبي!$B$2:$B$1800,R$1)</f>
        <v>0</v>
      </c>
      <c r="S53" s="117" t="n">
        <f aca="false">SUMIFS(الريسبي!$C$2:$C$1800,الريسبي!$A$2:$A$1800,$A53,الريسبي!$B$2:$B$1800,S$1)</f>
        <v>0</v>
      </c>
      <c r="T53" s="117" t="n">
        <f aca="false">SUMIFS(الريسبي!$C$2:$C$1800,الريسبي!$A$2:$A$1800,$A53,الريسبي!$B$2:$B$1800,T$1)</f>
        <v>0</v>
      </c>
      <c r="U53" s="117" t="n">
        <f aca="false">SUMIFS(الريسبي!$C$2:$C$1800,الريسبي!$A$2:$A$1800,$A53,الريسبي!$B$2:$B$1800,U$1)</f>
        <v>0</v>
      </c>
      <c r="V53" s="117" t="n">
        <f aca="false">SUMIFS(الريسبي!$C$2:$C$1800,الريسبي!$A$2:$A$1800,$A53,الريسبي!$B$2:$B$1800,V$1)</f>
        <v>0.5</v>
      </c>
      <c r="W53" s="117" t="n">
        <f aca="false">SUMIFS(الريسبي!$C$2:$C$1800,الريسبي!$A$2:$A$1800,$A53,الريسبي!$B$2:$B$1800,W$1)</f>
        <v>0</v>
      </c>
      <c r="X53" s="117" t="n">
        <f aca="false">SUMIFS(الريسبي!$C$2:$C$1800,الريسبي!$A$2:$A$1800,$A53,الريسبي!$B$2:$B$1800,X$1)</f>
        <v>0</v>
      </c>
      <c r="Y53" s="117" t="n">
        <f aca="false">SUMIFS(الريسبي!$C$2:$C$1800,الريسبي!$A$2:$A$1800,$A53,الريسبي!$B$2:$B$1800,Y$1)</f>
        <v>0</v>
      </c>
      <c r="Z53" s="117" t="n">
        <f aca="false">SUMIFS(الريسبي!$C$2:$C$1800,الريسبي!$A$2:$A$1800,$A53,الريسبي!$B$2:$B$1800,Z$1)</f>
        <v>0</v>
      </c>
      <c r="AA53" s="117" t="n">
        <f aca="false">SUMIFS(الريسبي!$C$2:$C$1800,الريسبي!$A$2:$A$1800,$A53,الريسبي!$B$2:$B$1800,AA$1)</f>
        <v>0</v>
      </c>
      <c r="AB53" s="117" t="n">
        <f aca="false">SUMIFS(الريسبي!$C$2:$C$1800,الريسبي!$A$2:$A$1800,$A53,الريسبي!$B$2:$B$1800,AB$1)</f>
        <v>0</v>
      </c>
      <c r="AC53" s="117" t="n">
        <f aca="false">SUMIFS(الريسبي!$C$2:$C$1800,الريسبي!$A$2:$A$1800,$A53,الريسبي!$B$2:$B$1800,AC$1)</f>
        <v>0</v>
      </c>
      <c r="AD53" s="117" t="n">
        <f aca="false">SUMIFS(الريسبي!$C$2:$C$1800,الريسبي!$A$2:$A$1800,$A53,الريسبي!$B$2:$B$1800,AD$1)</f>
        <v>0</v>
      </c>
      <c r="AE53" s="117" t="n">
        <f aca="false">SUMIFS(الريسبي!$C$2:$C$1800,الريسبي!$A$2:$A$1800,$A53,الريسبي!$B$2:$B$1800,AE$1)</f>
        <v>0.02</v>
      </c>
      <c r="AF53" s="117" t="n">
        <f aca="false">SUMIFS(الريسبي!$C$2:$C$1800,الريسبي!$A$2:$A$1800,$A53,الريسبي!$B$2:$B$1800,AF$1)</f>
        <v>0</v>
      </c>
      <c r="AG53" s="117" t="n">
        <f aca="false">SUMIFS(الريسبي!$C$2:$C$1800,الريسبي!$A$2:$A$1800,$A53,الريسبي!$B$2:$B$1800,AG$1)</f>
        <v>0</v>
      </c>
      <c r="AH53" s="117" t="n">
        <f aca="false">SUMIFS(الريسبي!$C$2:$C$1800,الريسبي!$A$2:$A$1800,$A53,الريسبي!$B$2:$B$1800,AH$1)</f>
        <v>0</v>
      </c>
      <c r="AI53" s="117" t="n">
        <f aca="false">SUMIFS(الريسبي!$C$2:$C$1800,الريسبي!$A$2:$A$1800,$A53,الريسبي!$B$2:$B$1800,AI$1)</f>
        <v>0</v>
      </c>
      <c r="AJ53" s="117" t="n">
        <f aca="false">SUMIFS(الريسبي!$C$2:$C$1800,الريسبي!$A$2:$A$1800,$A53,الريسبي!$B$2:$B$1800,AJ$1)</f>
        <v>2</v>
      </c>
      <c r="AK53" s="117" t="n">
        <f aca="false">SUMIFS(الريسبي!$C$2:$C$1800,الريسبي!$A$2:$A$1800,$A53,الريسبي!$B$2:$B$1800,AK$1)</f>
        <v>0</v>
      </c>
      <c r="AL53" s="117" t="n">
        <f aca="false">SUMIFS(الريسبي!$C$2:$C$1800,الريسبي!$A$2:$A$1800,$A53,الريسبي!$B$2:$B$1800,AL$1)</f>
        <v>0.02</v>
      </c>
      <c r="AM53" s="117" t="n">
        <f aca="false">SUMIFS(الريسبي!$C$2:$C$1800,الريسبي!$A$2:$A$1800,$A53,الريسبي!$B$2:$B$1800,AM$1)+0.08333333333*SUMIFS(الريسبي!$C$2:$C$1800,الريسبي!$A$2:$A$1800,$A53,الريسبي!$B$2:$B$1800,"عجين كريب (مصنع بالمطعم)")+0.08333333333*SUMIFS(الريسبي!$C$2:$C$1800,الريسبي!$A$2:$A$1800,$A53,الريسبي!$B$2:$B$1800,"عجين كريب صيامي (بدون لبن)")</f>
        <v>0</v>
      </c>
      <c r="AN53" s="117" t="n">
        <f aca="false">SUMIFS(الريسبي!$C$2:$C$1800,الريسبي!$A$2:$A$1800,$A53,الريسبي!$B$2:$B$1800,AN$1)+0.004166666667*SUMIFS(الريسبي!$C$2:$C$1800,الريسبي!$A$2:$A$1800,$A53,الريسبي!$B$2:$B$1800,"عجين كريب (مصنع بالمطعم)")+0.004166666667*SUMIFS(الريسبي!$C$2:$C$1800,الريسبي!$A$2:$A$1800,$A53,الريسبي!$B$2:$B$1800,"عجين كريب صيامي (بدون لبن)")</f>
        <v>0</v>
      </c>
      <c r="AO53" s="117" t="n">
        <f aca="false">SUMIFS(الريسبي!$C$2:$C$1800,الريسبي!$A$2:$A$1800,$A53,الريسبي!$B$2:$B$1800,AO$1)</f>
        <v>0</v>
      </c>
      <c r="AP53" s="117" t="n">
        <f aca="false">SUMIFS(الريسبي!$C$2:$C$1800,الريسبي!$A$2:$A$1800,$A53,الريسبي!$B$2:$B$1800,AP$1)</f>
        <v>0</v>
      </c>
      <c r="AQ53" s="117" t="n">
        <f aca="false">SUMIFS(الريسبي!$C$2:$C$1800,الريسبي!$A$2:$A$1800,$A53,الريسبي!$B$2:$B$1800,AQ$1)+0.004166666667*SUMIFS(الريسبي!$C$2:$C$1800,الريسبي!$A$2:$A$1800,$A53,الريسبي!$B$2:$B$1800,"عجين كريب (مصنع بالمطعم)")+0.004166666667*SUMIFS(الريسبي!$C$2:$C$1800,الريسبي!$A$2:$A$1800,$A53,الريسبي!$B$2:$B$1800,"عجين كريب صيامي (بدون لبن)")</f>
        <v>0</v>
      </c>
      <c r="AR53" s="117" t="n">
        <f aca="false">SUMIFS(الريسبي!$C$2:$C$1800,الريسبي!$A$2:$A$1800,$A53,الريسبي!$B$2:$B$1800,AR$1)</f>
        <v>0</v>
      </c>
      <c r="AS53" s="117" t="n">
        <f aca="false">SUMIFS(الريسبي!$C$2:$C$1800,الريسبي!$A$2:$A$1800,$A53,الريسبي!$B$2:$B$1800,AS$1)</f>
        <v>0</v>
      </c>
      <c r="AT53" s="117" t="n">
        <f aca="false">SUMIFS(الريسبي!$C$2:$C$1800,الريسبي!$A$2:$A$1800,$A53,الريسبي!$B$2:$B$1800,AT$1)</f>
        <v>0</v>
      </c>
      <c r="AU53" s="117" t="n">
        <f aca="false">SUMIFS(الريسبي!$C$2:$C$1800,الريسبي!$A$2:$A$1800,$A53,الريسبي!$B$2:$B$1800,AU$1)</f>
        <v>0</v>
      </c>
      <c r="AV53" s="117" t="n">
        <f aca="false">SUMIFS(الريسبي!$C$2:$C$1800,الريسبي!$A$2:$A$1800,$A53,الريسبي!$B$2:$B$1800,AV$1)</f>
        <v>0</v>
      </c>
      <c r="AW53" s="117" t="n">
        <f aca="false">SUMIFS(الريسبي!$C$2:$C$1800,الريسبي!$A$2:$A$1800,$A53,الريسبي!$B$2:$B$1800,AW$1)</f>
        <v>0</v>
      </c>
      <c r="AX53" s="117" t="n">
        <f aca="false">SUMIFS(الريسبي!$C$2:$C$1800,الريسبي!$A$2:$A$1800,$A53,الريسبي!$B$2:$B$1800,AX$1)</f>
        <v>0</v>
      </c>
      <c r="AY53" s="117" t="n">
        <f aca="false">SUMIFS(الريسبي!$C$2:$C$1800,الريسبي!$A$2:$A$1800,$A53,الريسبي!$B$2:$B$1800,AY$1)</f>
        <v>0.05</v>
      </c>
      <c r="AZ53" s="117" t="n">
        <f aca="false">SUMIFS(الريسبي!$C$2:$C$1800,الريسبي!$A$2:$A$1800,$A53,الريسبي!$B$2:$B$1800,AZ$1)</f>
        <v>0.05</v>
      </c>
      <c r="BA53" s="117" t="n">
        <f aca="false">SUMIFS(الريسبي!$C$2:$C$1800,الريسبي!$A$2:$A$1800,$A53,الريسبي!$B$2:$B$1800,BA$1)</f>
        <v>0</v>
      </c>
      <c r="BB53" s="117" t="n">
        <f aca="false">SUMIFS(الريسبي!$C$2:$C$1800,الريسبي!$A$2:$A$1800,$A53,الريسبي!$B$2:$B$1800,BB$1)</f>
        <v>0.05</v>
      </c>
      <c r="BC53" s="117" t="n">
        <f aca="false">SUMIFS(الريسبي!$C$2:$C$1800,الريسبي!$A$2:$A$1800,$A53,الريسبي!$B$2:$B$1800,BC$1)</f>
        <v>0.02</v>
      </c>
      <c r="BD53" s="117" t="n">
        <f aca="false">SUMIFS(الريسبي!$C$2:$C$1800,الريسبي!$A$2:$A$1800,$A53,الريسبي!$B$2:$B$1800,BD$1)</f>
        <v>0.22</v>
      </c>
      <c r="BE53" s="117" t="n">
        <f aca="false">SUMIFS(الريسبي!$C$2:$C$1800,الريسبي!$A$2:$A$1800,$A53,الريسبي!$B$2:$B$1800,BE$1)</f>
        <v>0</v>
      </c>
      <c r="BF53" s="117" t="n">
        <f aca="false">SUMIFS(الريسبي!$C$2:$C$1800,الريسبي!$A$2:$A$1800,$A53,الريسبي!$B$2:$B$1800,BF$1)</f>
        <v>0</v>
      </c>
      <c r="BG53" s="117" t="n">
        <f aca="false">SUMIFS(الريسبي!$C$2:$C$1800,الريسبي!$A$2:$A$1800,$A53,الريسبي!$B$2:$B$1800,BG$1)</f>
        <v>0</v>
      </c>
      <c r="BH53" s="117" t="n">
        <f aca="false">SUMIFS(الريسبي!$C$2:$C$1800,الريسبي!$A$2:$A$1800,$A53,الريسبي!$B$2:$B$1800,BH$1)</f>
        <v>0</v>
      </c>
      <c r="BI53" s="117" t="n">
        <f aca="false">SUMIFS(الريسبي!$C$2:$C$1800,الريسبي!$A$2:$A$1800,$A53,الريسبي!$B$2:$B$1800,BI$1)</f>
        <v>0</v>
      </c>
      <c r="BJ53" s="117" t="n">
        <f aca="false">SUMIFS(الريسبي!$C$2:$C$1800,الريسبي!$A$2:$A$1800,$A53,الريسبي!$B$2:$B$1800,BJ$1)</f>
        <v>0</v>
      </c>
      <c r="BK53" s="117" t="n">
        <f aca="false">SUMIFS(الريسبي!$C$2:$C$1800,الريسبي!$A$2:$A$1800,$A53,الريسبي!$B$2:$B$1800,BK$1)</f>
        <v>0</v>
      </c>
      <c r="BL53" s="117" t="n">
        <f aca="false">SUMIFS(الريسبي!$C$2:$C$1800,الريسبي!$A$2:$A$1800,$A53,الريسبي!$B$2:$B$1800,BL$1)</f>
        <v>0</v>
      </c>
      <c r="BM53" s="117" t="n">
        <f aca="false">SUMIFS(الريسبي!$C$2:$C$1800,الريسبي!$A$2:$A$1800,$A53,الريسبي!$B$2:$B$1800,BM$1)</f>
        <v>0</v>
      </c>
      <c r="BN53" s="117" t="n">
        <f aca="false">SUMIFS(الريسبي!$C$2:$C$1800,الريسبي!$A$2:$A$1800,$A53,الريسبي!$B$2:$B$1800,BN$1)</f>
        <v>0.02</v>
      </c>
      <c r="BO53" s="117" t="n">
        <f aca="false">SUMIFS(الريسبي!$C$2:$C$1800,الريسبي!$A$2:$A$1800,$A53,الريسبي!$B$2:$B$1800,BO$1)</f>
        <v>0</v>
      </c>
      <c r="BP53" s="117" t="n">
        <f aca="false">SUMIFS(الريسبي!$C$2:$C$1800,الريسبي!$A$2:$A$1800,$A53,الريسبي!$B$2:$B$1800,BP$1)</f>
        <v>2</v>
      </c>
      <c r="BQ53" s="117" t="n">
        <f aca="false">SUMIFS(الريسبي!$C$2:$C$1800,الريسبي!$A$2:$A$1800,$A53,الريسبي!$B$2:$B$1800,BQ$1)+0.17*SUMIFS(الريسبي!$C$2:$C$1800,الريسبي!$A$2:$A$1800,$A53,الريسبي!$B$2:$B$1800,"كاسترد مصنع (خليط بودر + لبن)")+0.17*SUMIFS(الريسبي!$C$2:$C$1800,الريسبي!$A$2:$A$1800,$A53,الريسبي!$B$2:$B$1800,"كاسترد مصنع صيامي (بدون لبن)")</f>
        <v>0</v>
      </c>
      <c r="BR53" s="117" t="n">
        <f aca="false">SUMIFS(الريسبي!$C$2:$C$1800,الريسبي!$A$2:$A$1800,$A53,الريسبي!$B$2:$B$1800,BR$1)</f>
        <v>1</v>
      </c>
      <c r="BS53" s="117" t="n">
        <f aca="false">SUMIFS(الريسبي!$C$2:$C$1800,الريسبي!$A$2:$A$1800,$A53,الريسبي!$B$2:$B$1800,BS$1)</f>
        <v>0</v>
      </c>
      <c r="BT53" s="117" t="n">
        <f aca="false">SUMIFS(الريسبي!$C$2:$C$1800,الريسبي!$A$2:$A$1800,$A53,الريسبي!$B$2:$B$1800,BT$1)</f>
        <v>0</v>
      </c>
      <c r="BU53" s="117" t="n">
        <f aca="false">SUMIFS(الريسبي!$C$2:$C$1800,الريسبي!$A$2:$A$1800,$A53,الريسبي!$B$2:$B$1800,BU$1)+0.4*SUMIFS(الريسبي!$C$2:$C$1800,الريسبي!$A$2:$A$1800,$A53,الريسبي!$B$2:$B$1800,"كاسترد مصنع (خليط بودر + لبن)")+0.03333333333*SUMIFS(الريسبي!$C$2:$C$1800,الريسبي!$A$2:$A$1800,$A53,الريسبي!$B$2:$B$1800,"عجين كريب (مصنع بالمطعم)")</f>
        <v>0</v>
      </c>
      <c r="BV53" s="117" t="n">
        <f aca="false">SUMIFS(الريسبي!$C$2:$C$1800,الريسبي!$A$2:$A$1800,$A53,الريسبي!$B$2:$B$1800,BV$1)</f>
        <v>0</v>
      </c>
      <c r="BW53" s="117" t="n">
        <f aca="false">SUMIFS(الريسبي!$C$2:$C$1800,الريسبي!$A$2:$A$1800,$A53,الريسبي!$B$2:$B$1800,BW$1)</f>
        <v>0</v>
      </c>
      <c r="BX53" s="117" t="n">
        <f aca="false">SUMIFS(الريسبي!$C$2:$C$1800,الريسبي!$A$2:$A$1800,$A53,الريسبي!$B$2:$B$1800,BX$1)</f>
        <v>0</v>
      </c>
      <c r="BY53" s="117" t="n">
        <f aca="false">SUMIFS(الريسبي!$C$2:$C$1800,الريسبي!$A$2:$A$1800,$A53,الريسبي!$B$2:$B$1800,BY$1)</f>
        <v>0</v>
      </c>
      <c r="BZ53" s="117" t="n">
        <f aca="false">SUMIFS(الريسبي!$C$2:$C$1800,الريسبي!$A$2:$A$1800,$A53,الريسبي!$B$2:$B$1800,BZ$1)</f>
        <v>0</v>
      </c>
      <c r="CA53" s="117" t="n">
        <f aca="false">SUMIFS(الريسبي!$C$2:$C$1800,الريسبي!$A$2:$A$1800,$A53,الريسبي!$B$2:$B$1800,CA$1)</f>
        <v>1</v>
      </c>
      <c r="CB53" s="117" t="n">
        <f aca="false">SUMIFS(الريسبي!$C$2:$C$1800,الريسبي!$A$2:$A$1800,$A53,الريسبي!$B$2:$B$1800,CB$1)</f>
        <v>1</v>
      </c>
      <c r="CC53" s="117" t="n">
        <f aca="false">SUMIFS(الريسبي!$C$2:$C$1800,الريسبي!$A$2:$A$1800,$A53,الريسبي!$B$2:$B$1800,CC$1)</f>
        <v>0</v>
      </c>
      <c r="CD53" s="117" t="n">
        <f aca="false">SUMIFS(الريسبي!$C$2:$C$1800,الريسبي!$A$2:$A$1800,$A53,الريسبي!$B$2:$B$1800,CD$1)</f>
        <v>0</v>
      </c>
      <c r="CE53" s="117" t="n">
        <f aca="false">SUMIFS(الريسبي!$C$2:$C$1800,الريسبي!$A$2:$A$1800,$A53,الريسبي!$B$2:$B$1800,CE$1)</f>
        <v>0</v>
      </c>
      <c r="CF53" s="117" t="n">
        <f aca="false">SUMIFS(الريسبي!$C$2:$C$1800,الريسبي!$A$2:$A$1800,$A53,الريسبي!$B$2:$B$1800,CF$1)</f>
        <v>0</v>
      </c>
      <c r="CG53" s="117" t="n">
        <f aca="false">SUMIFS(الريسبي!$C$2:$C$1800,الريسبي!$A$2:$A$1800,$A53,الريسبي!$B$2:$B$1800,CG$1)</f>
        <v>1</v>
      </c>
      <c r="CH53" s="117" t="n">
        <f aca="false">SUMIFS(الريسبي!$C$2:$C$1800,الريسبي!$A$2:$A$1800,$A53,الريسبي!$B$2:$B$1800,CH$1)</f>
        <v>1</v>
      </c>
      <c r="CI53" s="117" t="n">
        <f aca="false">SUMIFS(الريسبي!$C$2:$C$1800,الريسبي!$A$2:$A$1800,$A53,الريسبي!$B$2:$B$1800,CI$1)</f>
        <v>0</v>
      </c>
      <c r="CJ53" s="117" t="n">
        <f aca="false">SUMIFS(الريسبي!$C$2:$C$1800,الريسبي!$A$2:$A$1800,$A53,الريسبي!$B$2:$B$1800,CJ$1)</f>
        <v>0</v>
      </c>
      <c r="CK53" s="117" t="n">
        <f aca="false">SUMIFS(الريسبي!$C$2:$C$1800,الريسبي!$A$2:$A$1800,$A53,الريسبي!$B$2:$B$1800,CK$1)</f>
        <v>0</v>
      </c>
      <c r="CL53" s="117" t="n">
        <f aca="false">SUMIFS(الريسبي!$C$2:$C$1800,الريسبي!$A$2:$A$1800,$A53,الريسبي!$B$2:$B$1800,CL$1)</f>
        <v>0</v>
      </c>
    </row>
    <row r="54" customFormat="false" ht="15" hidden="false" customHeight="false" outlineLevel="0" collapsed="false">
      <c r="A54" s="116" t="str">
        <f aca="false">المنيو!B54</f>
        <v>قنبلة كريسبي</v>
      </c>
      <c r="B54" s="117" t="n">
        <f aca="false">SUMIFS(الريسبي!$C$2:$C$1800,الريسبي!$A$2:$A$1800,$A54,الريسبي!$B$2:$B$1800,B$1)</f>
        <v>0</v>
      </c>
      <c r="C54" s="117" t="n">
        <f aca="false">SUMIFS(الريسبي!$C$2:$C$1800,الريسبي!$A$2:$A$1800,$A54,الريسبي!$B$2:$B$1800,C$1)</f>
        <v>0</v>
      </c>
      <c r="D54" s="117" t="n">
        <f aca="false">SUMIFS(الريسبي!$C$2:$C$1800,الريسبي!$A$2:$A$1800,$A54,الريسبي!$B$2:$B$1800,D$1)</f>
        <v>1</v>
      </c>
      <c r="E54" s="117" t="n">
        <f aca="false">SUMIFS(الريسبي!$C$2:$C$1800,الريسبي!$A$2:$A$1800,$A54,الريسبي!$B$2:$B$1800,E$1)</f>
        <v>0</v>
      </c>
      <c r="F54" s="117" t="n">
        <f aca="false">SUMIFS(الريسبي!$C$2:$C$1800,الريسبي!$A$2:$A$1800,$A54,الريسبي!$B$2:$B$1800,F$1)</f>
        <v>0</v>
      </c>
      <c r="G54" s="117" t="n">
        <f aca="false">SUMIFS(الريسبي!$C$2:$C$1800,الريسبي!$A$2:$A$1800,$A54,الريسبي!$B$2:$B$1800,G$1)</f>
        <v>0</v>
      </c>
      <c r="H54" s="117" t="n">
        <f aca="false">SUMIFS(الريسبي!$C$2:$C$1800,الريسبي!$A$2:$A$1800,$A54,الريسبي!$B$2:$B$1800,H$1)</f>
        <v>0</v>
      </c>
      <c r="I54" s="117" t="n">
        <f aca="false">SUMIFS(الريسبي!$C$2:$C$1800,الريسبي!$A$2:$A$1800,$A54,الريسبي!$B$2:$B$1800,I$1)</f>
        <v>0</v>
      </c>
      <c r="J54" s="117" t="n">
        <f aca="false">SUMIFS(الريسبي!$C$2:$C$1800,الريسبي!$A$2:$A$1800,$A54,الريسبي!$B$2:$B$1800,J$1)</f>
        <v>0</v>
      </c>
      <c r="K54" s="117" t="n">
        <f aca="false">SUMIFS(الريسبي!$C$2:$C$1800,الريسبي!$A$2:$A$1800,$A54,الريسبي!$B$2:$B$1800,K$1)</f>
        <v>0</v>
      </c>
      <c r="L54" s="117" t="n">
        <f aca="false">SUMIFS(الريسبي!$C$2:$C$1800,الريسبي!$A$2:$A$1800,$A54,الريسبي!$B$2:$B$1800,L$1)</f>
        <v>0</v>
      </c>
      <c r="M54" s="117" t="n">
        <f aca="false">SUMIFS(الريسبي!$C$2:$C$1800,الريسبي!$A$2:$A$1800,$A54,الريسبي!$B$2:$B$1800,M$1)</f>
        <v>0</v>
      </c>
      <c r="N54" s="117" t="n">
        <f aca="false">SUMIFS(الريسبي!$C$2:$C$1800,الريسبي!$A$2:$A$1800,$A54,الريسبي!$B$2:$B$1800,N$1)</f>
        <v>0</v>
      </c>
      <c r="O54" s="117" t="n">
        <f aca="false">SUMIFS(الريسبي!$C$2:$C$1800,الريسبي!$A$2:$A$1800,$A54,الريسبي!$B$2:$B$1800,O$1)</f>
        <v>0</v>
      </c>
      <c r="P54" s="117" t="n">
        <f aca="false">SUMIFS(الريسبي!$C$2:$C$1800,الريسبي!$A$2:$A$1800,$A54,الريسبي!$B$2:$B$1800,P$1)</f>
        <v>0</v>
      </c>
      <c r="Q54" s="117" t="n">
        <f aca="false">SUMIFS(الريسبي!$C$2:$C$1800,الريسبي!$A$2:$A$1800,$A54,الريسبي!$B$2:$B$1800,Q$1)</f>
        <v>1</v>
      </c>
      <c r="R54" s="117" t="n">
        <f aca="false">SUMIFS(الريسبي!$C$2:$C$1800,الريسبي!$A$2:$A$1800,$A54,الريسبي!$B$2:$B$1800,R$1)</f>
        <v>0</v>
      </c>
      <c r="S54" s="117" t="n">
        <f aca="false">SUMIFS(الريسبي!$C$2:$C$1800,الريسبي!$A$2:$A$1800,$A54,الريسبي!$B$2:$B$1800,S$1)</f>
        <v>0</v>
      </c>
      <c r="T54" s="117" t="n">
        <f aca="false">SUMIFS(الريسبي!$C$2:$C$1800,الريسبي!$A$2:$A$1800,$A54,الريسبي!$B$2:$B$1800,T$1)</f>
        <v>0</v>
      </c>
      <c r="U54" s="117" t="n">
        <f aca="false">SUMIFS(الريسبي!$C$2:$C$1800,الريسبي!$A$2:$A$1800,$A54,الريسبي!$B$2:$B$1800,U$1)</f>
        <v>0</v>
      </c>
      <c r="V54" s="117" t="n">
        <f aca="false">SUMIFS(الريسبي!$C$2:$C$1800,الريسبي!$A$2:$A$1800,$A54,الريسبي!$B$2:$B$1800,V$1)</f>
        <v>1</v>
      </c>
      <c r="W54" s="117" t="n">
        <f aca="false">SUMIFS(الريسبي!$C$2:$C$1800,الريسبي!$A$2:$A$1800,$A54,الريسبي!$B$2:$B$1800,W$1)</f>
        <v>0</v>
      </c>
      <c r="X54" s="117" t="n">
        <f aca="false">SUMIFS(الريسبي!$C$2:$C$1800,الريسبي!$A$2:$A$1800,$A54,الريسبي!$B$2:$B$1800,X$1)</f>
        <v>0</v>
      </c>
      <c r="Y54" s="117" t="n">
        <f aca="false">SUMIFS(الريسبي!$C$2:$C$1800,الريسبي!$A$2:$A$1800,$A54,الريسبي!$B$2:$B$1800,Y$1)</f>
        <v>0</v>
      </c>
      <c r="Z54" s="117" t="n">
        <f aca="false">SUMIFS(الريسبي!$C$2:$C$1800,الريسبي!$A$2:$A$1800,$A54,الريسبي!$B$2:$B$1800,Z$1)</f>
        <v>0</v>
      </c>
      <c r="AA54" s="117" t="n">
        <f aca="false">SUMIFS(الريسبي!$C$2:$C$1800,الريسبي!$A$2:$A$1800,$A54,الريسبي!$B$2:$B$1800,AA$1)</f>
        <v>0</v>
      </c>
      <c r="AB54" s="117" t="n">
        <f aca="false">SUMIFS(الريسبي!$C$2:$C$1800,الريسبي!$A$2:$A$1800,$A54,الريسبي!$B$2:$B$1800,AB$1)</f>
        <v>0</v>
      </c>
      <c r="AC54" s="117" t="n">
        <f aca="false">SUMIFS(الريسبي!$C$2:$C$1800,الريسبي!$A$2:$A$1800,$A54,الريسبي!$B$2:$B$1800,AC$1)</f>
        <v>0</v>
      </c>
      <c r="AD54" s="117" t="n">
        <f aca="false">SUMIFS(الريسبي!$C$2:$C$1800,الريسبي!$A$2:$A$1800,$A54,الريسبي!$B$2:$B$1800,AD$1)</f>
        <v>0</v>
      </c>
      <c r="AE54" s="117" t="n">
        <f aca="false">SUMIFS(الريسبي!$C$2:$C$1800,الريسبي!$A$2:$A$1800,$A54,الريسبي!$B$2:$B$1800,AE$1)</f>
        <v>0.02</v>
      </c>
      <c r="AF54" s="117" t="n">
        <f aca="false">SUMIFS(الريسبي!$C$2:$C$1800,الريسبي!$A$2:$A$1800,$A54,الريسبي!$B$2:$B$1800,AF$1)</f>
        <v>0</v>
      </c>
      <c r="AG54" s="117" t="n">
        <f aca="false">SUMIFS(الريسبي!$C$2:$C$1800,الريسبي!$A$2:$A$1800,$A54,الريسبي!$B$2:$B$1800,AG$1)</f>
        <v>0</v>
      </c>
      <c r="AH54" s="117" t="n">
        <f aca="false">SUMIFS(الريسبي!$C$2:$C$1800,الريسبي!$A$2:$A$1800,$A54,الريسبي!$B$2:$B$1800,AH$1)</f>
        <v>0</v>
      </c>
      <c r="AI54" s="117" t="n">
        <f aca="false">SUMIFS(الريسبي!$C$2:$C$1800,الريسبي!$A$2:$A$1800,$A54,الريسبي!$B$2:$B$1800,AI$1)</f>
        <v>0</v>
      </c>
      <c r="AJ54" s="117" t="n">
        <f aca="false">SUMIFS(الريسبي!$C$2:$C$1800,الريسبي!$A$2:$A$1800,$A54,الريسبي!$B$2:$B$1800,AJ$1)</f>
        <v>2</v>
      </c>
      <c r="AK54" s="117" t="n">
        <f aca="false">SUMIFS(الريسبي!$C$2:$C$1800,الريسبي!$A$2:$A$1800,$A54,الريسبي!$B$2:$B$1800,AK$1)</f>
        <v>0</v>
      </c>
      <c r="AL54" s="117" t="n">
        <f aca="false">SUMIFS(الريسبي!$C$2:$C$1800,الريسبي!$A$2:$A$1800,$A54,الريسبي!$B$2:$B$1800,AL$1)</f>
        <v>0.02</v>
      </c>
      <c r="AM54" s="117" t="n">
        <f aca="false">SUMIFS(الريسبي!$C$2:$C$1800,الريسبي!$A$2:$A$1800,$A54,الريسبي!$B$2:$B$1800,AM$1)+0.08333333333*SUMIFS(الريسبي!$C$2:$C$1800,الريسبي!$A$2:$A$1800,$A54,الريسبي!$B$2:$B$1800,"عجين كريب (مصنع بالمطعم)")+0.08333333333*SUMIFS(الريسبي!$C$2:$C$1800,الريسبي!$A$2:$A$1800,$A54,الريسبي!$B$2:$B$1800,"عجين كريب صيامي (بدون لبن)")</f>
        <v>0</v>
      </c>
      <c r="AN54" s="117" t="n">
        <f aca="false">SUMIFS(الريسبي!$C$2:$C$1800,الريسبي!$A$2:$A$1800,$A54,الريسبي!$B$2:$B$1800,AN$1)+0.004166666667*SUMIFS(الريسبي!$C$2:$C$1800,الريسبي!$A$2:$A$1800,$A54,الريسبي!$B$2:$B$1800,"عجين كريب (مصنع بالمطعم)")+0.004166666667*SUMIFS(الريسبي!$C$2:$C$1800,الريسبي!$A$2:$A$1800,$A54,الريسبي!$B$2:$B$1800,"عجين كريب صيامي (بدون لبن)")</f>
        <v>0</v>
      </c>
      <c r="AO54" s="117" t="n">
        <f aca="false">SUMIFS(الريسبي!$C$2:$C$1800,الريسبي!$A$2:$A$1800,$A54,الريسبي!$B$2:$B$1800,AO$1)</f>
        <v>0</v>
      </c>
      <c r="AP54" s="117" t="n">
        <f aca="false">SUMIFS(الريسبي!$C$2:$C$1800,الريسبي!$A$2:$A$1800,$A54,الريسبي!$B$2:$B$1800,AP$1)</f>
        <v>0</v>
      </c>
      <c r="AQ54" s="117" t="n">
        <f aca="false">SUMIFS(الريسبي!$C$2:$C$1800,الريسبي!$A$2:$A$1800,$A54,الريسبي!$B$2:$B$1800,AQ$1)+0.004166666667*SUMIFS(الريسبي!$C$2:$C$1800,الريسبي!$A$2:$A$1800,$A54,الريسبي!$B$2:$B$1800,"عجين كريب (مصنع بالمطعم)")+0.004166666667*SUMIFS(الريسبي!$C$2:$C$1800,الريسبي!$A$2:$A$1800,$A54,الريسبي!$B$2:$B$1800,"عجين كريب صيامي (بدون لبن)")</f>
        <v>0</v>
      </c>
      <c r="AR54" s="117" t="n">
        <f aca="false">SUMIFS(الريسبي!$C$2:$C$1800,الريسبي!$A$2:$A$1800,$A54,الريسبي!$B$2:$B$1800,AR$1)</f>
        <v>0</v>
      </c>
      <c r="AS54" s="117" t="n">
        <f aca="false">SUMIFS(الريسبي!$C$2:$C$1800,الريسبي!$A$2:$A$1800,$A54,الريسبي!$B$2:$B$1800,AS$1)</f>
        <v>0</v>
      </c>
      <c r="AT54" s="117" t="n">
        <f aca="false">SUMIFS(الريسبي!$C$2:$C$1800,الريسبي!$A$2:$A$1800,$A54,الريسبي!$B$2:$B$1800,AT$1)</f>
        <v>0</v>
      </c>
      <c r="AU54" s="117" t="n">
        <f aca="false">SUMIFS(الريسبي!$C$2:$C$1800,الريسبي!$A$2:$A$1800,$A54,الريسبي!$B$2:$B$1800,AU$1)</f>
        <v>0</v>
      </c>
      <c r="AV54" s="117" t="n">
        <f aca="false">SUMIFS(الريسبي!$C$2:$C$1800,الريسبي!$A$2:$A$1800,$A54,الريسبي!$B$2:$B$1800,AV$1)</f>
        <v>0</v>
      </c>
      <c r="AW54" s="117" t="n">
        <f aca="false">SUMIFS(الريسبي!$C$2:$C$1800,الريسبي!$A$2:$A$1800,$A54,الريسبي!$B$2:$B$1800,AW$1)</f>
        <v>0</v>
      </c>
      <c r="AX54" s="117" t="n">
        <f aca="false">SUMIFS(الريسبي!$C$2:$C$1800,الريسبي!$A$2:$A$1800,$A54,الريسبي!$B$2:$B$1800,AX$1)</f>
        <v>0</v>
      </c>
      <c r="AY54" s="117" t="n">
        <f aca="false">SUMIFS(الريسبي!$C$2:$C$1800,الريسبي!$A$2:$A$1800,$A54,الريسبي!$B$2:$B$1800,AY$1)</f>
        <v>0.05</v>
      </c>
      <c r="AZ54" s="117" t="n">
        <f aca="false">SUMIFS(الريسبي!$C$2:$C$1800,الريسبي!$A$2:$A$1800,$A54,الريسبي!$B$2:$B$1800,AZ$1)</f>
        <v>0</v>
      </c>
      <c r="BA54" s="117" t="n">
        <f aca="false">SUMIFS(الريسبي!$C$2:$C$1800,الريسبي!$A$2:$A$1800,$A54,الريسبي!$B$2:$B$1800,BA$1)</f>
        <v>0.05</v>
      </c>
      <c r="BB54" s="117" t="n">
        <f aca="false">SUMIFS(الريسبي!$C$2:$C$1800,الريسبي!$A$2:$A$1800,$A54,الريسبي!$B$2:$B$1800,BB$1)</f>
        <v>0.05</v>
      </c>
      <c r="BC54" s="117" t="n">
        <f aca="false">SUMIFS(الريسبي!$C$2:$C$1800,الريسبي!$A$2:$A$1800,$A54,الريسبي!$B$2:$B$1800,BC$1)</f>
        <v>0.02</v>
      </c>
      <c r="BD54" s="117" t="n">
        <f aca="false">SUMIFS(الريسبي!$C$2:$C$1800,الريسبي!$A$2:$A$1800,$A54,الريسبي!$B$2:$B$1800,BD$1)</f>
        <v>0.22</v>
      </c>
      <c r="BE54" s="117" t="n">
        <f aca="false">SUMIFS(الريسبي!$C$2:$C$1800,الريسبي!$A$2:$A$1800,$A54,الريسبي!$B$2:$B$1800,BE$1)</f>
        <v>0</v>
      </c>
      <c r="BF54" s="117" t="n">
        <f aca="false">SUMIFS(الريسبي!$C$2:$C$1800,الريسبي!$A$2:$A$1800,$A54,الريسبي!$B$2:$B$1800,BF$1)</f>
        <v>0</v>
      </c>
      <c r="BG54" s="117" t="n">
        <f aca="false">SUMIFS(الريسبي!$C$2:$C$1800,الريسبي!$A$2:$A$1800,$A54,الريسبي!$B$2:$B$1800,BG$1)</f>
        <v>0</v>
      </c>
      <c r="BH54" s="117" t="n">
        <f aca="false">SUMIFS(الريسبي!$C$2:$C$1800,الريسبي!$A$2:$A$1800,$A54,الريسبي!$B$2:$B$1800,BH$1)</f>
        <v>0</v>
      </c>
      <c r="BI54" s="117" t="n">
        <f aca="false">SUMIFS(الريسبي!$C$2:$C$1800,الريسبي!$A$2:$A$1800,$A54,الريسبي!$B$2:$B$1800,BI$1)</f>
        <v>0</v>
      </c>
      <c r="BJ54" s="117" t="n">
        <f aca="false">SUMIFS(الريسبي!$C$2:$C$1800,الريسبي!$A$2:$A$1800,$A54,الريسبي!$B$2:$B$1800,BJ$1)</f>
        <v>0</v>
      </c>
      <c r="BK54" s="117" t="n">
        <f aca="false">SUMIFS(الريسبي!$C$2:$C$1800,الريسبي!$A$2:$A$1800,$A54,الريسبي!$B$2:$B$1800,BK$1)</f>
        <v>0</v>
      </c>
      <c r="BL54" s="117" t="n">
        <f aca="false">SUMIFS(الريسبي!$C$2:$C$1800,الريسبي!$A$2:$A$1800,$A54,الريسبي!$B$2:$B$1800,BL$1)</f>
        <v>0</v>
      </c>
      <c r="BM54" s="117" t="n">
        <f aca="false">SUMIFS(الريسبي!$C$2:$C$1800,الريسبي!$A$2:$A$1800,$A54,الريسبي!$B$2:$B$1800,BM$1)</f>
        <v>0</v>
      </c>
      <c r="BN54" s="117" t="n">
        <f aca="false">SUMIFS(الريسبي!$C$2:$C$1800,الريسبي!$A$2:$A$1800,$A54,الريسبي!$B$2:$B$1800,BN$1)</f>
        <v>0.02</v>
      </c>
      <c r="BO54" s="117" t="n">
        <f aca="false">SUMIFS(الريسبي!$C$2:$C$1800,الريسبي!$A$2:$A$1800,$A54,الريسبي!$B$2:$B$1800,BO$1)</f>
        <v>0</v>
      </c>
      <c r="BP54" s="117" t="n">
        <f aca="false">SUMIFS(الريسبي!$C$2:$C$1800,الريسبي!$A$2:$A$1800,$A54,الريسبي!$B$2:$B$1800,BP$1)</f>
        <v>2</v>
      </c>
      <c r="BQ54" s="117" t="n">
        <f aca="false">SUMIFS(الريسبي!$C$2:$C$1800,الريسبي!$A$2:$A$1800,$A54,الريسبي!$B$2:$B$1800,BQ$1)+0.17*SUMIFS(الريسبي!$C$2:$C$1800,الريسبي!$A$2:$A$1800,$A54,الريسبي!$B$2:$B$1800,"كاسترد مصنع (خليط بودر + لبن)")+0.17*SUMIFS(الريسبي!$C$2:$C$1800,الريسبي!$A$2:$A$1800,$A54,الريسبي!$B$2:$B$1800,"كاسترد مصنع صيامي (بدون لبن)")</f>
        <v>0</v>
      </c>
      <c r="BR54" s="117" t="n">
        <f aca="false">SUMIFS(الريسبي!$C$2:$C$1800,الريسبي!$A$2:$A$1800,$A54,الريسبي!$B$2:$B$1800,BR$1)</f>
        <v>1</v>
      </c>
      <c r="BS54" s="117" t="n">
        <f aca="false">SUMIFS(الريسبي!$C$2:$C$1800,الريسبي!$A$2:$A$1800,$A54,الريسبي!$B$2:$B$1800,BS$1)</f>
        <v>0</v>
      </c>
      <c r="BT54" s="117" t="n">
        <f aca="false">SUMIFS(الريسبي!$C$2:$C$1800,الريسبي!$A$2:$A$1800,$A54,الريسبي!$B$2:$B$1800,BT$1)</f>
        <v>0</v>
      </c>
      <c r="BU54" s="117" t="n">
        <f aca="false">SUMIFS(الريسبي!$C$2:$C$1800,الريسبي!$A$2:$A$1800,$A54,الريسبي!$B$2:$B$1800,BU$1)+0.4*SUMIFS(الريسبي!$C$2:$C$1800,الريسبي!$A$2:$A$1800,$A54,الريسبي!$B$2:$B$1800,"كاسترد مصنع (خليط بودر + لبن)")+0.03333333333*SUMIFS(الريسبي!$C$2:$C$1800,الريسبي!$A$2:$A$1800,$A54,الريسبي!$B$2:$B$1800,"عجين كريب (مصنع بالمطعم)")</f>
        <v>0</v>
      </c>
      <c r="BV54" s="117" t="n">
        <f aca="false">SUMIFS(الريسبي!$C$2:$C$1800,الريسبي!$A$2:$A$1800,$A54,الريسبي!$B$2:$B$1800,BV$1)</f>
        <v>0</v>
      </c>
      <c r="BW54" s="117" t="n">
        <f aca="false">SUMIFS(الريسبي!$C$2:$C$1800,الريسبي!$A$2:$A$1800,$A54,الريسبي!$B$2:$B$1800,BW$1)</f>
        <v>0</v>
      </c>
      <c r="BX54" s="117" t="n">
        <f aca="false">SUMIFS(الريسبي!$C$2:$C$1800,الريسبي!$A$2:$A$1800,$A54,الريسبي!$B$2:$B$1800,BX$1)</f>
        <v>0</v>
      </c>
      <c r="BY54" s="117" t="n">
        <f aca="false">SUMIFS(الريسبي!$C$2:$C$1800,الريسبي!$A$2:$A$1800,$A54,الريسبي!$B$2:$B$1800,BY$1)</f>
        <v>0</v>
      </c>
      <c r="BZ54" s="117" t="n">
        <f aca="false">SUMIFS(الريسبي!$C$2:$C$1800,الريسبي!$A$2:$A$1800,$A54,الريسبي!$B$2:$B$1800,BZ$1)</f>
        <v>0</v>
      </c>
      <c r="CA54" s="117" t="n">
        <f aca="false">SUMIFS(الريسبي!$C$2:$C$1800,الريسبي!$A$2:$A$1800,$A54,الريسبي!$B$2:$B$1800,CA$1)</f>
        <v>1</v>
      </c>
      <c r="CB54" s="117" t="n">
        <f aca="false">SUMIFS(الريسبي!$C$2:$C$1800,الريسبي!$A$2:$A$1800,$A54,الريسبي!$B$2:$B$1800,CB$1)</f>
        <v>1</v>
      </c>
      <c r="CC54" s="117" t="n">
        <f aca="false">SUMIFS(الريسبي!$C$2:$C$1800,الريسبي!$A$2:$A$1800,$A54,الريسبي!$B$2:$B$1800,CC$1)</f>
        <v>0</v>
      </c>
      <c r="CD54" s="117" t="n">
        <f aca="false">SUMIFS(الريسبي!$C$2:$C$1800,الريسبي!$A$2:$A$1800,$A54,الريسبي!$B$2:$B$1800,CD$1)</f>
        <v>0</v>
      </c>
      <c r="CE54" s="117" t="n">
        <f aca="false">SUMIFS(الريسبي!$C$2:$C$1800,الريسبي!$A$2:$A$1800,$A54,الريسبي!$B$2:$B$1800,CE$1)</f>
        <v>0</v>
      </c>
      <c r="CF54" s="117" t="n">
        <f aca="false">SUMIFS(الريسبي!$C$2:$C$1800,الريسبي!$A$2:$A$1800,$A54,الريسبي!$B$2:$B$1800,CF$1)</f>
        <v>0</v>
      </c>
      <c r="CG54" s="117" t="n">
        <f aca="false">SUMIFS(الريسبي!$C$2:$C$1800,الريسبي!$A$2:$A$1800,$A54,الريسبي!$B$2:$B$1800,CG$1)</f>
        <v>1</v>
      </c>
      <c r="CH54" s="117" t="n">
        <f aca="false">SUMIFS(الريسبي!$C$2:$C$1800,الريسبي!$A$2:$A$1800,$A54,الريسبي!$B$2:$B$1800,CH$1)</f>
        <v>1</v>
      </c>
      <c r="CI54" s="117" t="n">
        <f aca="false">SUMIFS(الريسبي!$C$2:$C$1800,الريسبي!$A$2:$A$1800,$A54,الريسبي!$B$2:$B$1800,CI$1)</f>
        <v>0</v>
      </c>
      <c r="CJ54" s="117" t="n">
        <f aca="false">SUMIFS(الريسبي!$C$2:$C$1800,الريسبي!$A$2:$A$1800,$A54,الريسبي!$B$2:$B$1800,CJ$1)</f>
        <v>0</v>
      </c>
      <c r="CK54" s="117" t="n">
        <f aca="false">SUMIFS(الريسبي!$C$2:$C$1800,الريسبي!$A$2:$A$1800,$A54,الريسبي!$B$2:$B$1800,CK$1)</f>
        <v>0</v>
      </c>
      <c r="CL54" s="117" t="n">
        <f aca="false">SUMIFS(الريسبي!$C$2:$C$1800,الريسبي!$A$2:$A$1800,$A54,الريسبي!$B$2:$B$1800,CL$1)</f>
        <v>0</v>
      </c>
    </row>
    <row r="55" customFormat="false" ht="15" hidden="false" customHeight="false" outlineLevel="0" collapsed="false">
      <c r="A55" s="116" t="str">
        <f aca="false">المنيو!B55</f>
        <v>بهججة بيتزا برجر</v>
      </c>
      <c r="B55" s="117" t="n">
        <f aca="false">SUMIFS(الريسبي!$C$2:$C$1800,الريسبي!$A$2:$A$1800,$A55,الريسبي!$B$2:$B$1800,B$1)</f>
        <v>0</v>
      </c>
      <c r="C55" s="117" t="n">
        <f aca="false">SUMIFS(الريسبي!$C$2:$C$1800,الريسبي!$A$2:$A$1800,$A55,الريسبي!$B$2:$B$1800,C$1)</f>
        <v>0</v>
      </c>
      <c r="D55" s="117" t="n">
        <f aca="false">SUMIFS(الريسبي!$C$2:$C$1800,الريسبي!$A$2:$A$1800,$A55,الريسبي!$B$2:$B$1800,D$1)</f>
        <v>1</v>
      </c>
      <c r="E55" s="117" t="n">
        <f aca="false">SUMIFS(الريسبي!$C$2:$C$1800,الريسبي!$A$2:$A$1800,$A55,الريسبي!$B$2:$B$1800,E$1)</f>
        <v>0</v>
      </c>
      <c r="F55" s="117" t="n">
        <f aca="false">SUMIFS(الريسبي!$C$2:$C$1800,الريسبي!$A$2:$A$1800,$A55,الريسبي!$B$2:$B$1800,F$1)</f>
        <v>2</v>
      </c>
      <c r="G55" s="117" t="n">
        <f aca="false">SUMIFS(الريسبي!$C$2:$C$1800,الريسبي!$A$2:$A$1800,$A55,الريسبي!$B$2:$B$1800,G$1)</f>
        <v>0</v>
      </c>
      <c r="H55" s="117" t="n">
        <f aca="false">SUMIFS(الريسبي!$C$2:$C$1800,الريسبي!$A$2:$A$1800,$A55,الريسبي!$B$2:$B$1800,H$1)</f>
        <v>0</v>
      </c>
      <c r="I55" s="117" t="n">
        <f aca="false">SUMIFS(الريسبي!$C$2:$C$1800,الريسبي!$A$2:$A$1800,$A55,الريسبي!$B$2:$B$1800,I$1)</f>
        <v>0</v>
      </c>
      <c r="J55" s="117" t="n">
        <f aca="false">SUMIFS(الريسبي!$C$2:$C$1800,الريسبي!$A$2:$A$1800,$A55,الريسبي!$B$2:$B$1800,J$1)</f>
        <v>0</v>
      </c>
      <c r="K55" s="117" t="n">
        <f aca="false">SUMIFS(الريسبي!$C$2:$C$1800,الريسبي!$A$2:$A$1800,$A55,الريسبي!$B$2:$B$1800,K$1)</f>
        <v>0</v>
      </c>
      <c r="L55" s="117" t="n">
        <f aca="false">SUMIFS(الريسبي!$C$2:$C$1800,الريسبي!$A$2:$A$1800,$A55,الريسبي!$B$2:$B$1800,L$1)</f>
        <v>0</v>
      </c>
      <c r="M55" s="117" t="n">
        <f aca="false">SUMIFS(الريسبي!$C$2:$C$1800,الريسبي!$A$2:$A$1800,$A55,الريسبي!$B$2:$B$1800,M$1)</f>
        <v>0</v>
      </c>
      <c r="N55" s="117" t="n">
        <f aca="false">SUMIFS(الريسبي!$C$2:$C$1800,الريسبي!$A$2:$A$1800,$A55,الريسبي!$B$2:$B$1800,N$1)</f>
        <v>0.3</v>
      </c>
      <c r="O55" s="117" t="n">
        <f aca="false">SUMIFS(الريسبي!$C$2:$C$1800,الريسبي!$A$2:$A$1800,$A55,الريسبي!$B$2:$B$1800,O$1)</f>
        <v>0</v>
      </c>
      <c r="P55" s="117" t="n">
        <f aca="false">SUMIFS(الريسبي!$C$2:$C$1800,الريسبي!$A$2:$A$1800,$A55,الريسبي!$B$2:$B$1800,P$1)</f>
        <v>0</v>
      </c>
      <c r="Q55" s="117" t="n">
        <f aca="false">SUMIFS(الريسبي!$C$2:$C$1800,الريسبي!$A$2:$A$1800,$A55,الريسبي!$B$2:$B$1800,Q$1)</f>
        <v>0</v>
      </c>
      <c r="R55" s="117" t="n">
        <f aca="false">SUMIFS(الريسبي!$C$2:$C$1800,الريسبي!$A$2:$A$1800,$A55,الريسبي!$B$2:$B$1800,R$1)</f>
        <v>0</v>
      </c>
      <c r="S55" s="117" t="n">
        <f aca="false">SUMIFS(الريسبي!$C$2:$C$1800,الريسبي!$A$2:$A$1800,$A55,الريسبي!$B$2:$B$1800,S$1)</f>
        <v>0</v>
      </c>
      <c r="T55" s="117" t="n">
        <f aca="false">SUMIFS(الريسبي!$C$2:$C$1800,الريسبي!$A$2:$A$1800,$A55,الريسبي!$B$2:$B$1800,T$1)</f>
        <v>0</v>
      </c>
      <c r="U55" s="117" t="n">
        <f aca="false">SUMIFS(الريسبي!$C$2:$C$1800,الريسبي!$A$2:$A$1800,$A55,الريسبي!$B$2:$B$1800,U$1)</f>
        <v>0</v>
      </c>
      <c r="V55" s="117" t="n">
        <f aca="false">SUMIFS(الريسبي!$C$2:$C$1800,الريسبي!$A$2:$A$1800,$A55,الريسبي!$B$2:$B$1800,V$1)</f>
        <v>1</v>
      </c>
      <c r="W55" s="117" t="n">
        <f aca="false">SUMIFS(الريسبي!$C$2:$C$1800,الريسبي!$A$2:$A$1800,$A55,الريسبي!$B$2:$B$1800,W$1)</f>
        <v>0</v>
      </c>
      <c r="X55" s="117" t="n">
        <f aca="false">SUMIFS(الريسبي!$C$2:$C$1800,الريسبي!$A$2:$A$1800,$A55,الريسبي!$B$2:$B$1800,X$1)</f>
        <v>0</v>
      </c>
      <c r="Y55" s="117" t="n">
        <f aca="false">SUMIFS(الريسبي!$C$2:$C$1800,الريسبي!$A$2:$A$1800,$A55,الريسبي!$B$2:$B$1800,Y$1)</f>
        <v>0</v>
      </c>
      <c r="Z55" s="117" t="n">
        <f aca="false">SUMIFS(الريسبي!$C$2:$C$1800,الريسبي!$A$2:$A$1800,$A55,الريسبي!$B$2:$B$1800,Z$1)</f>
        <v>0</v>
      </c>
      <c r="AA55" s="117" t="n">
        <f aca="false">SUMIFS(الريسبي!$C$2:$C$1800,الريسبي!$A$2:$A$1800,$A55,الريسبي!$B$2:$B$1800,AA$1)</f>
        <v>0</v>
      </c>
      <c r="AB55" s="117" t="n">
        <f aca="false">SUMIFS(الريسبي!$C$2:$C$1800,الريسبي!$A$2:$A$1800,$A55,الريسبي!$B$2:$B$1800,AB$1)</f>
        <v>0</v>
      </c>
      <c r="AC55" s="117" t="n">
        <f aca="false">SUMIFS(الريسبي!$C$2:$C$1800,الريسبي!$A$2:$A$1800,$A55,الريسبي!$B$2:$B$1800,AC$1)</f>
        <v>0</v>
      </c>
      <c r="AD55" s="117" t="n">
        <f aca="false">SUMIFS(الريسبي!$C$2:$C$1800,الريسبي!$A$2:$A$1800,$A55,الريسبي!$B$2:$B$1800,AD$1)</f>
        <v>0</v>
      </c>
      <c r="AE55" s="117" t="n">
        <f aca="false">SUMIFS(الريسبي!$C$2:$C$1800,الريسبي!$A$2:$A$1800,$A55,الريسبي!$B$2:$B$1800,AE$1)</f>
        <v>0.02</v>
      </c>
      <c r="AF55" s="117" t="n">
        <f aca="false">SUMIFS(الريسبي!$C$2:$C$1800,الريسبي!$A$2:$A$1800,$A55,الريسبي!$B$2:$B$1800,AF$1)</f>
        <v>0</v>
      </c>
      <c r="AG55" s="117" t="n">
        <f aca="false">SUMIFS(الريسبي!$C$2:$C$1800,الريسبي!$A$2:$A$1800,$A55,الريسبي!$B$2:$B$1800,AG$1)</f>
        <v>0</v>
      </c>
      <c r="AH55" s="117" t="n">
        <f aca="false">SUMIFS(الريسبي!$C$2:$C$1800,الريسبي!$A$2:$A$1800,$A55,الريسبي!$B$2:$B$1800,AH$1)</f>
        <v>0</v>
      </c>
      <c r="AI55" s="117" t="n">
        <f aca="false">SUMIFS(الريسبي!$C$2:$C$1800,الريسبي!$A$2:$A$1800,$A55,الريسبي!$B$2:$B$1800,AI$1)</f>
        <v>0</v>
      </c>
      <c r="AJ55" s="117" t="n">
        <f aca="false">SUMIFS(الريسبي!$C$2:$C$1800,الريسبي!$A$2:$A$1800,$A55,الريسبي!$B$2:$B$1800,AJ$1)</f>
        <v>2</v>
      </c>
      <c r="AK55" s="117" t="n">
        <f aca="false">SUMIFS(الريسبي!$C$2:$C$1800,الريسبي!$A$2:$A$1800,$A55,الريسبي!$B$2:$B$1800,AK$1)</f>
        <v>0</v>
      </c>
      <c r="AL55" s="117" t="n">
        <f aca="false">SUMIFS(الريسبي!$C$2:$C$1800,الريسبي!$A$2:$A$1800,$A55,الريسبي!$B$2:$B$1800,AL$1)</f>
        <v>0.02</v>
      </c>
      <c r="AM55" s="117" t="n">
        <f aca="false">SUMIFS(الريسبي!$C$2:$C$1800,الريسبي!$A$2:$A$1800,$A55,الريسبي!$B$2:$B$1800,AM$1)+0.08333333333*SUMIFS(الريسبي!$C$2:$C$1800,الريسبي!$A$2:$A$1800,$A55,الريسبي!$B$2:$B$1800,"عجين كريب (مصنع بالمطعم)")+0.08333333333*SUMIFS(الريسبي!$C$2:$C$1800,الريسبي!$A$2:$A$1800,$A55,الريسبي!$B$2:$B$1800,"عجين كريب صيامي (بدون لبن)")</f>
        <v>0</v>
      </c>
      <c r="AN55" s="117" t="n">
        <f aca="false">SUMIFS(الريسبي!$C$2:$C$1800,الريسبي!$A$2:$A$1800,$A55,الريسبي!$B$2:$B$1800,AN$1)+0.004166666667*SUMIFS(الريسبي!$C$2:$C$1800,الريسبي!$A$2:$A$1800,$A55,الريسبي!$B$2:$B$1800,"عجين كريب (مصنع بالمطعم)")+0.004166666667*SUMIFS(الريسبي!$C$2:$C$1800,الريسبي!$A$2:$A$1800,$A55,الريسبي!$B$2:$B$1800,"عجين كريب صيامي (بدون لبن)")</f>
        <v>0</v>
      </c>
      <c r="AO55" s="117" t="n">
        <f aca="false">SUMIFS(الريسبي!$C$2:$C$1800,الريسبي!$A$2:$A$1800,$A55,الريسبي!$B$2:$B$1800,AO$1)</f>
        <v>0</v>
      </c>
      <c r="AP55" s="117" t="n">
        <f aca="false">SUMIFS(الريسبي!$C$2:$C$1800,الريسبي!$A$2:$A$1800,$A55,الريسبي!$B$2:$B$1800,AP$1)</f>
        <v>0</v>
      </c>
      <c r="AQ55" s="117" t="n">
        <f aca="false">SUMIFS(الريسبي!$C$2:$C$1800,الريسبي!$A$2:$A$1800,$A55,الريسبي!$B$2:$B$1800,AQ$1)+0.004166666667*SUMIFS(الريسبي!$C$2:$C$1800,الريسبي!$A$2:$A$1800,$A55,الريسبي!$B$2:$B$1800,"عجين كريب (مصنع بالمطعم)")+0.004166666667*SUMIFS(الريسبي!$C$2:$C$1800,الريسبي!$A$2:$A$1800,$A55,الريسبي!$B$2:$B$1800,"عجين كريب صيامي (بدون لبن)")</f>
        <v>0</v>
      </c>
      <c r="AR55" s="117" t="n">
        <f aca="false">SUMIFS(الريسبي!$C$2:$C$1800,الريسبي!$A$2:$A$1800,$A55,الريسبي!$B$2:$B$1800,AR$1)</f>
        <v>0</v>
      </c>
      <c r="AS55" s="117" t="n">
        <f aca="false">SUMIFS(الريسبي!$C$2:$C$1800,الريسبي!$A$2:$A$1800,$A55,الريسبي!$B$2:$B$1800,AS$1)</f>
        <v>0</v>
      </c>
      <c r="AT55" s="117" t="n">
        <f aca="false">SUMIFS(الريسبي!$C$2:$C$1800,الريسبي!$A$2:$A$1800,$A55,الريسبي!$B$2:$B$1800,AT$1)</f>
        <v>0</v>
      </c>
      <c r="AU55" s="117" t="n">
        <f aca="false">SUMIFS(الريسبي!$C$2:$C$1800,الريسبي!$A$2:$A$1800,$A55,الريسبي!$B$2:$B$1800,AU$1)</f>
        <v>0</v>
      </c>
      <c r="AV55" s="117" t="n">
        <f aca="false">SUMIFS(الريسبي!$C$2:$C$1800,الريسبي!$A$2:$A$1800,$A55,الريسبي!$B$2:$B$1800,AV$1)</f>
        <v>0</v>
      </c>
      <c r="AW55" s="117" t="n">
        <f aca="false">SUMIFS(الريسبي!$C$2:$C$1800,الريسبي!$A$2:$A$1800,$A55,الريسبي!$B$2:$B$1800,AW$1)</f>
        <v>0</v>
      </c>
      <c r="AX55" s="117" t="n">
        <f aca="false">SUMIFS(الريسبي!$C$2:$C$1800,الريسبي!$A$2:$A$1800,$A55,الريسبي!$B$2:$B$1800,AX$1)</f>
        <v>0</v>
      </c>
      <c r="AY55" s="117" t="n">
        <f aca="false">SUMIFS(الريسبي!$C$2:$C$1800,الريسبي!$A$2:$A$1800,$A55,الريسبي!$B$2:$B$1800,AY$1)</f>
        <v>0.05</v>
      </c>
      <c r="AZ55" s="117" t="n">
        <f aca="false">SUMIFS(الريسبي!$C$2:$C$1800,الريسبي!$A$2:$A$1800,$A55,الريسبي!$B$2:$B$1800,AZ$1)</f>
        <v>0.05</v>
      </c>
      <c r="BA55" s="117" t="n">
        <f aca="false">SUMIFS(الريسبي!$C$2:$C$1800,الريسبي!$A$2:$A$1800,$A55,الريسبي!$B$2:$B$1800,BA$1)</f>
        <v>0</v>
      </c>
      <c r="BB55" s="117" t="n">
        <f aca="false">SUMIFS(الريسبي!$C$2:$C$1800,الريسبي!$A$2:$A$1800,$A55,الريسبي!$B$2:$B$1800,BB$1)</f>
        <v>0.05</v>
      </c>
      <c r="BC55" s="117" t="n">
        <f aca="false">SUMIFS(الريسبي!$C$2:$C$1800,الريسبي!$A$2:$A$1800,$A55,الريسبي!$B$2:$B$1800,BC$1)</f>
        <v>0.02</v>
      </c>
      <c r="BD55" s="117" t="n">
        <f aca="false">SUMIFS(الريسبي!$C$2:$C$1800,الريسبي!$A$2:$A$1800,$A55,الريسبي!$B$2:$B$1800,BD$1)</f>
        <v>0.22</v>
      </c>
      <c r="BE55" s="117" t="n">
        <f aca="false">SUMIFS(الريسبي!$C$2:$C$1800,الريسبي!$A$2:$A$1800,$A55,الريسبي!$B$2:$B$1800,BE$1)</f>
        <v>0</v>
      </c>
      <c r="BF55" s="117" t="n">
        <f aca="false">SUMIFS(الريسبي!$C$2:$C$1800,الريسبي!$A$2:$A$1800,$A55,الريسبي!$B$2:$B$1800,BF$1)</f>
        <v>0</v>
      </c>
      <c r="BG55" s="117" t="n">
        <f aca="false">SUMIFS(الريسبي!$C$2:$C$1800,الريسبي!$A$2:$A$1800,$A55,الريسبي!$B$2:$B$1800,BG$1)</f>
        <v>0</v>
      </c>
      <c r="BH55" s="117" t="n">
        <f aca="false">SUMIFS(الريسبي!$C$2:$C$1800,الريسبي!$A$2:$A$1800,$A55,الريسبي!$B$2:$B$1800,BH$1)</f>
        <v>0</v>
      </c>
      <c r="BI55" s="117" t="n">
        <f aca="false">SUMIFS(الريسبي!$C$2:$C$1800,الريسبي!$A$2:$A$1800,$A55,الريسبي!$B$2:$B$1800,BI$1)</f>
        <v>0</v>
      </c>
      <c r="BJ55" s="117" t="n">
        <f aca="false">SUMIFS(الريسبي!$C$2:$C$1800,الريسبي!$A$2:$A$1800,$A55,الريسبي!$B$2:$B$1800,BJ$1)</f>
        <v>0</v>
      </c>
      <c r="BK55" s="117" t="n">
        <f aca="false">SUMIFS(الريسبي!$C$2:$C$1800,الريسبي!$A$2:$A$1800,$A55,الريسبي!$B$2:$B$1800,BK$1)</f>
        <v>0</v>
      </c>
      <c r="BL55" s="117" t="n">
        <f aca="false">SUMIFS(الريسبي!$C$2:$C$1800,الريسبي!$A$2:$A$1800,$A55,الريسبي!$B$2:$B$1800,BL$1)</f>
        <v>0</v>
      </c>
      <c r="BM55" s="117" t="n">
        <f aca="false">SUMIFS(الريسبي!$C$2:$C$1800,الريسبي!$A$2:$A$1800,$A55,الريسبي!$B$2:$B$1800,BM$1)</f>
        <v>0</v>
      </c>
      <c r="BN55" s="117" t="n">
        <f aca="false">SUMIFS(الريسبي!$C$2:$C$1800,الريسبي!$A$2:$A$1800,$A55,الريسبي!$B$2:$B$1800,BN$1)</f>
        <v>0.02</v>
      </c>
      <c r="BO55" s="117" t="n">
        <f aca="false">SUMIFS(الريسبي!$C$2:$C$1800,الريسبي!$A$2:$A$1800,$A55,الريسبي!$B$2:$B$1800,BO$1)</f>
        <v>0</v>
      </c>
      <c r="BP55" s="117" t="n">
        <f aca="false">SUMIFS(الريسبي!$C$2:$C$1800,الريسبي!$A$2:$A$1800,$A55,الريسبي!$B$2:$B$1800,BP$1)</f>
        <v>2</v>
      </c>
      <c r="BQ55" s="117" t="n">
        <f aca="false">SUMIFS(الريسبي!$C$2:$C$1800,الريسبي!$A$2:$A$1800,$A55,الريسبي!$B$2:$B$1800,BQ$1)+0.17*SUMIFS(الريسبي!$C$2:$C$1800,الريسبي!$A$2:$A$1800,$A55,الريسبي!$B$2:$B$1800,"كاسترد مصنع (خليط بودر + لبن)")+0.17*SUMIFS(الريسبي!$C$2:$C$1800,الريسبي!$A$2:$A$1800,$A55,الريسبي!$B$2:$B$1800,"كاسترد مصنع صيامي (بدون لبن)")</f>
        <v>0</v>
      </c>
      <c r="BR55" s="117" t="n">
        <f aca="false">SUMIFS(الريسبي!$C$2:$C$1800,الريسبي!$A$2:$A$1800,$A55,الريسبي!$B$2:$B$1800,BR$1)</f>
        <v>1</v>
      </c>
      <c r="BS55" s="117" t="n">
        <f aca="false">SUMIFS(الريسبي!$C$2:$C$1800,الريسبي!$A$2:$A$1800,$A55,الريسبي!$B$2:$B$1800,BS$1)</f>
        <v>0</v>
      </c>
      <c r="BT55" s="117" t="n">
        <f aca="false">SUMIFS(الريسبي!$C$2:$C$1800,الريسبي!$A$2:$A$1800,$A55,الريسبي!$B$2:$B$1800,BT$1)</f>
        <v>0</v>
      </c>
      <c r="BU55" s="117" t="n">
        <f aca="false">SUMIFS(الريسبي!$C$2:$C$1800,الريسبي!$A$2:$A$1800,$A55,الريسبي!$B$2:$B$1800,BU$1)+0.4*SUMIFS(الريسبي!$C$2:$C$1800,الريسبي!$A$2:$A$1800,$A55,الريسبي!$B$2:$B$1800,"كاسترد مصنع (خليط بودر + لبن)")+0.03333333333*SUMIFS(الريسبي!$C$2:$C$1800,الريسبي!$A$2:$A$1800,$A55,الريسبي!$B$2:$B$1800,"عجين كريب (مصنع بالمطعم)")</f>
        <v>0</v>
      </c>
      <c r="BV55" s="117" t="n">
        <f aca="false">SUMIFS(الريسبي!$C$2:$C$1800,الريسبي!$A$2:$A$1800,$A55,الريسبي!$B$2:$B$1800,BV$1)</f>
        <v>0</v>
      </c>
      <c r="BW55" s="117" t="n">
        <f aca="false">SUMIFS(الريسبي!$C$2:$C$1800,الريسبي!$A$2:$A$1800,$A55,الريسبي!$B$2:$B$1800,BW$1)</f>
        <v>0</v>
      </c>
      <c r="BX55" s="117" t="n">
        <f aca="false">SUMIFS(الريسبي!$C$2:$C$1800,الريسبي!$A$2:$A$1800,$A55,الريسبي!$B$2:$B$1800,BX$1)</f>
        <v>0</v>
      </c>
      <c r="BY55" s="117" t="n">
        <f aca="false">SUMIFS(الريسبي!$C$2:$C$1800,الريسبي!$A$2:$A$1800,$A55,الريسبي!$B$2:$B$1800,BY$1)</f>
        <v>0</v>
      </c>
      <c r="BZ55" s="117" t="n">
        <f aca="false">SUMIFS(الريسبي!$C$2:$C$1800,الريسبي!$A$2:$A$1800,$A55,الريسبي!$B$2:$B$1800,BZ$1)</f>
        <v>0</v>
      </c>
      <c r="CA55" s="117" t="n">
        <f aca="false">SUMIFS(الريسبي!$C$2:$C$1800,الريسبي!$A$2:$A$1800,$A55,الريسبي!$B$2:$B$1800,CA$1)</f>
        <v>1</v>
      </c>
      <c r="CB55" s="117" t="n">
        <f aca="false">SUMIFS(الريسبي!$C$2:$C$1800,الريسبي!$A$2:$A$1800,$A55,الريسبي!$B$2:$B$1800,CB$1)</f>
        <v>1</v>
      </c>
      <c r="CC55" s="117" t="n">
        <f aca="false">SUMIFS(الريسبي!$C$2:$C$1800,الريسبي!$A$2:$A$1800,$A55,الريسبي!$B$2:$B$1800,CC$1)</f>
        <v>0</v>
      </c>
      <c r="CD55" s="117" t="n">
        <f aca="false">SUMIFS(الريسبي!$C$2:$C$1800,الريسبي!$A$2:$A$1800,$A55,الريسبي!$B$2:$B$1800,CD$1)</f>
        <v>0</v>
      </c>
      <c r="CE55" s="117" t="n">
        <f aca="false">SUMIFS(الريسبي!$C$2:$C$1800,الريسبي!$A$2:$A$1800,$A55,الريسبي!$B$2:$B$1800,CE$1)</f>
        <v>0</v>
      </c>
      <c r="CF55" s="117" t="n">
        <f aca="false">SUMIFS(الريسبي!$C$2:$C$1800,الريسبي!$A$2:$A$1800,$A55,الريسبي!$B$2:$B$1800,CF$1)</f>
        <v>0</v>
      </c>
      <c r="CG55" s="117" t="n">
        <f aca="false">SUMIFS(الريسبي!$C$2:$C$1800,الريسبي!$A$2:$A$1800,$A55,الريسبي!$B$2:$B$1800,CG$1)</f>
        <v>1</v>
      </c>
      <c r="CH55" s="117" t="n">
        <f aca="false">SUMIFS(الريسبي!$C$2:$C$1800,الريسبي!$A$2:$A$1800,$A55,الريسبي!$B$2:$B$1800,CH$1)</f>
        <v>1</v>
      </c>
      <c r="CI55" s="117" t="n">
        <f aca="false">SUMIFS(الريسبي!$C$2:$C$1800,الريسبي!$A$2:$A$1800,$A55,الريسبي!$B$2:$B$1800,CI$1)</f>
        <v>0</v>
      </c>
      <c r="CJ55" s="117" t="n">
        <f aca="false">SUMIFS(الريسبي!$C$2:$C$1800,الريسبي!$A$2:$A$1800,$A55,الريسبي!$B$2:$B$1800,CJ$1)</f>
        <v>0</v>
      </c>
      <c r="CK55" s="117" t="n">
        <f aca="false">SUMIFS(الريسبي!$C$2:$C$1800,الريسبي!$A$2:$A$1800,$A55,الريسبي!$B$2:$B$1800,CK$1)</f>
        <v>0</v>
      </c>
      <c r="CL55" s="117" t="n">
        <f aca="false">SUMIFS(الريسبي!$C$2:$C$1800,الريسبي!$A$2:$A$1800,$A55,الريسبي!$B$2:$B$1800,CL$1)</f>
        <v>0</v>
      </c>
    </row>
    <row r="56" customFormat="false" ht="15" hidden="false" customHeight="false" outlineLevel="0" collapsed="false">
      <c r="A56" s="116" t="str">
        <f aca="false">المنيو!B56</f>
        <v>بهججة كريسبي</v>
      </c>
      <c r="B56" s="117" t="n">
        <f aca="false">SUMIFS(الريسبي!$C$2:$C$1800,الريسبي!$A$2:$A$1800,$A56,الريسبي!$B$2:$B$1800,B$1)</f>
        <v>0</v>
      </c>
      <c r="C56" s="117" t="n">
        <f aca="false">SUMIFS(الريسبي!$C$2:$C$1800,الريسبي!$A$2:$A$1800,$A56,الريسبي!$B$2:$B$1800,C$1)</f>
        <v>0</v>
      </c>
      <c r="D56" s="117" t="n">
        <f aca="false">SUMIFS(الريسبي!$C$2:$C$1800,الريسبي!$A$2:$A$1800,$A56,الريسبي!$B$2:$B$1800,D$1)</f>
        <v>1</v>
      </c>
      <c r="E56" s="117" t="n">
        <f aca="false">SUMIFS(الريسبي!$C$2:$C$1800,الريسبي!$A$2:$A$1800,$A56,الريسبي!$B$2:$B$1800,E$1)</f>
        <v>0</v>
      </c>
      <c r="F56" s="117" t="n">
        <f aca="false">SUMIFS(الريسبي!$C$2:$C$1800,الريسبي!$A$2:$A$1800,$A56,الريسبي!$B$2:$B$1800,F$1)</f>
        <v>0</v>
      </c>
      <c r="G56" s="117" t="n">
        <f aca="false">SUMIFS(الريسبي!$C$2:$C$1800,الريسبي!$A$2:$A$1800,$A56,الريسبي!$B$2:$B$1800,G$1)</f>
        <v>0</v>
      </c>
      <c r="H56" s="117" t="n">
        <f aca="false">SUMIFS(الريسبي!$C$2:$C$1800,الريسبي!$A$2:$A$1800,$A56,الريسبي!$B$2:$B$1800,H$1)</f>
        <v>0</v>
      </c>
      <c r="I56" s="117" t="n">
        <f aca="false">SUMIFS(الريسبي!$C$2:$C$1800,الريسبي!$A$2:$A$1800,$A56,الريسبي!$B$2:$B$1800,I$1)</f>
        <v>0</v>
      </c>
      <c r="J56" s="117" t="n">
        <f aca="false">SUMIFS(الريسبي!$C$2:$C$1800,الريسبي!$A$2:$A$1800,$A56,الريسبي!$B$2:$B$1800,J$1)</f>
        <v>0</v>
      </c>
      <c r="K56" s="117" t="n">
        <f aca="false">SUMIFS(الريسبي!$C$2:$C$1800,الريسبي!$A$2:$A$1800,$A56,الريسبي!$B$2:$B$1800,K$1)</f>
        <v>0</v>
      </c>
      <c r="L56" s="117" t="n">
        <f aca="false">SUMIFS(الريسبي!$C$2:$C$1800,الريسبي!$A$2:$A$1800,$A56,الريسبي!$B$2:$B$1800,L$1)</f>
        <v>0</v>
      </c>
      <c r="M56" s="117" t="n">
        <f aca="false">SUMIFS(الريسبي!$C$2:$C$1800,الريسبي!$A$2:$A$1800,$A56,الريسبي!$B$2:$B$1800,M$1)</f>
        <v>0</v>
      </c>
      <c r="N56" s="117" t="n">
        <f aca="false">SUMIFS(الريسبي!$C$2:$C$1800,الريسبي!$A$2:$A$1800,$A56,الريسبي!$B$2:$B$1800,N$1)</f>
        <v>0.3</v>
      </c>
      <c r="O56" s="117" t="n">
        <f aca="false">SUMIFS(الريسبي!$C$2:$C$1800,الريسبي!$A$2:$A$1800,$A56,الريسبي!$B$2:$B$1800,O$1)</f>
        <v>0</v>
      </c>
      <c r="P56" s="117" t="n">
        <f aca="false">SUMIFS(الريسبي!$C$2:$C$1800,الريسبي!$A$2:$A$1800,$A56,الريسبي!$B$2:$B$1800,P$1)</f>
        <v>0</v>
      </c>
      <c r="Q56" s="117" t="n">
        <f aca="false">SUMIFS(الريسبي!$C$2:$C$1800,الريسبي!$A$2:$A$1800,$A56,الريسبي!$B$2:$B$1800,Q$1)</f>
        <v>1</v>
      </c>
      <c r="R56" s="117" t="n">
        <f aca="false">SUMIFS(الريسبي!$C$2:$C$1800,الريسبي!$A$2:$A$1800,$A56,الريسبي!$B$2:$B$1800,R$1)</f>
        <v>0</v>
      </c>
      <c r="S56" s="117" t="n">
        <f aca="false">SUMIFS(الريسبي!$C$2:$C$1800,الريسبي!$A$2:$A$1800,$A56,الريسبي!$B$2:$B$1800,S$1)</f>
        <v>0</v>
      </c>
      <c r="T56" s="117" t="n">
        <f aca="false">SUMIFS(الريسبي!$C$2:$C$1800,الريسبي!$A$2:$A$1800,$A56,الريسبي!$B$2:$B$1800,T$1)</f>
        <v>0</v>
      </c>
      <c r="U56" s="117" t="n">
        <f aca="false">SUMIFS(الريسبي!$C$2:$C$1800,الريسبي!$A$2:$A$1800,$A56,الريسبي!$B$2:$B$1800,U$1)</f>
        <v>0</v>
      </c>
      <c r="V56" s="117" t="n">
        <f aca="false">SUMIFS(الريسبي!$C$2:$C$1800,الريسبي!$A$2:$A$1800,$A56,الريسبي!$B$2:$B$1800,V$1)</f>
        <v>1</v>
      </c>
      <c r="W56" s="117" t="n">
        <f aca="false">SUMIFS(الريسبي!$C$2:$C$1800,الريسبي!$A$2:$A$1800,$A56,الريسبي!$B$2:$B$1800,W$1)</f>
        <v>0</v>
      </c>
      <c r="X56" s="117" t="n">
        <f aca="false">SUMIFS(الريسبي!$C$2:$C$1800,الريسبي!$A$2:$A$1800,$A56,الريسبي!$B$2:$B$1800,X$1)</f>
        <v>0</v>
      </c>
      <c r="Y56" s="117" t="n">
        <f aca="false">SUMIFS(الريسبي!$C$2:$C$1800,الريسبي!$A$2:$A$1800,$A56,الريسبي!$B$2:$B$1800,Y$1)</f>
        <v>0</v>
      </c>
      <c r="Z56" s="117" t="n">
        <f aca="false">SUMIFS(الريسبي!$C$2:$C$1800,الريسبي!$A$2:$A$1800,$A56,الريسبي!$B$2:$B$1800,Z$1)</f>
        <v>0</v>
      </c>
      <c r="AA56" s="117" t="n">
        <f aca="false">SUMIFS(الريسبي!$C$2:$C$1800,الريسبي!$A$2:$A$1800,$A56,الريسبي!$B$2:$B$1800,AA$1)</f>
        <v>0</v>
      </c>
      <c r="AB56" s="117" t="n">
        <f aca="false">SUMIFS(الريسبي!$C$2:$C$1800,الريسبي!$A$2:$A$1800,$A56,الريسبي!$B$2:$B$1800,AB$1)</f>
        <v>0</v>
      </c>
      <c r="AC56" s="117" t="n">
        <f aca="false">SUMIFS(الريسبي!$C$2:$C$1800,الريسبي!$A$2:$A$1800,$A56,الريسبي!$B$2:$B$1800,AC$1)</f>
        <v>0</v>
      </c>
      <c r="AD56" s="117" t="n">
        <f aca="false">SUMIFS(الريسبي!$C$2:$C$1800,الريسبي!$A$2:$A$1800,$A56,الريسبي!$B$2:$B$1800,AD$1)</f>
        <v>0</v>
      </c>
      <c r="AE56" s="117" t="n">
        <f aca="false">SUMIFS(الريسبي!$C$2:$C$1800,الريسبي!$A$2:$A$1800,$A56,الريسبي!$B$2:$B$1800,AE$1)</f>
        <v>0.02</v>
      </c>
      <c r="AF56" s="117" t="n">
        <f aca="false">SUMIFS(الريسبي!$C$2:$C$1800,الريسبي!$A$2:$A$1800,$A56,الريسبي!$B$2:$B$1800,AF$1)</f>
        <v>0</v>
      </c>
      <c r="AG56" s="117" t="n">
        <f aca="false">SUMIFS(الريسبي!$C$2:$C$1800,الريسبي!$A$2:$A$1800,$A56,الريسبي!$B$2:$B$1800,AG$1)</f>
        <v>0</v>
      </c>
      <c r="AH56" s="117" t="n">
        <f aca="false">SUMIFS(الريسبي!$C$2:$C$1800,الريسبي!$A$2:$A$1800,$A56,الريسبي!$B$2:$B$1800,AH$1)</f>
        <v>0</v>
      </c>
      <c r="AI56" s="117" t="n">
        <f aca="false">SUMIFS(الريسبي!$C$2:$C$1800,الريسبي!$A$2:$A$1800,$A56,الريسبي!$B$2:$B$1800,AI$1)</f>
        <v>0</v>
      </c>
      <c r="AJ56" s="117" t="n">
        <f aca="false">SUMIFS(الريسبي!$C$2:$C$1800,الريسبي!$A$2:$A$1800,$A56,الريسبي!$B$2:$B$1800,AJ$1)</f>
        <v>2</v>
      </c>
      <c r="AK56" s="117" t="n">
        <f aca="false">SUMIFS(الريسبي!$C$2:$C$1800,الريسبي!$A$2:$A$1800,$A56,الريسبي!$B$2:$B$1800,AK$1)</f>
        <v>0</v>
      </c>
      <c r="AL56" s="117" t="n">
        <f aca="false">SUMIFS(الريسبي!$C$2:$C$1800,الريسبي!$A$2:$A$1800,$A56,الريسبي!$B$2:$B$1800,AL$1)</f>
        <v>0.02</v>
      </c>
      <c r="AM56" s="117" t="n">
        <f aca="false">SUMIFS(الريسبي!$C$2:$C$1800,الريسبي!$A$2:$A$1800,$A56,الريسبي!$B$2:$B$1800,AM$1)+0.08333333333*SUMIFS(الريسبي!$C$2:$C$1800,الريسبي!$A$2:$A$1800,$A56,الريسبي!$B$2:$B$1800,"عجين كريب (مصنع بالمطعم)")+0.08333333333*SUMIFS(الريسبي!$C$2:$C$1800,الريسبي!$A$2:$A$1800,$A56,الريسبي!$B$2:$B$1800,"عجين كريب صيامي (بدون لبن)")</f>
        <v>0</v>
      </c>
      <c r="AN56" s="117" t="n">
        <f aca="false">SUMIFS(الريسبي!$C$2:$C$1800,الريسبي!$A$2:$A$1800,$A56,الريسبي!$B$2:$B$1800,AN$1)+0.004166666667*SUMIFS(الريسبي!$C$2:$C$1800,الريسبي!$A$2:$A$1800,$A56,الريسبي!$B$2:$B$1800,"عجين كريب (مصنع بالمطعم)")+0.004166666667*SUMIFS(الريسبي!$C$2:$C$1800,الريسبي!$A$2:$A$1800,$A56,الريسبي!$B$2:$B$1800,"عجين كريب صيامي (بدون لبن)")</f>
        <v>0</v>
      </c>
      <c r="AO56" s="117" t="n">
        <f aca="false">SUMIFS(الريسبي!$C$2:$C$1800,الريسبي!$A$2:$A$1800,$A56,الريسبي!$B$2:$B$1800,AO$1)</f>
        <v>0</v>
      </c>
      <c r="AP56" s="117" t="n">
        <f aca="false">SUMIFS(الريسبي!$C$2:$C$1800,الريسبي!$A$2:$A$1800,$A56,الريسبي!$B$2:$B$1800,AP$1)</f>
        <v>0</v>
      </c>
      <c r="AQ56" s="117" t="n">
        <f aca="false">SUMIFS(الريسبي!$C$2:$C$1800,الريسبي!$A$2:$A$1800,$A56,الريسبي!$B$2:$B$1800,AQ$1)+0.004166666667*SUMIFS(الريسبي!$C$2:$C$1800,الريسبي!$A$2:$A$1800,$A56,الريسبي!$B$2:$B$1800,"عجين كريب (مصنع بالمطعم)")+0.004166666667*SUMIFS(الريسبي!$C$2:$C$1800,الريسبي!$A$2:$A$1800,$A56,الريسبي!$B$2:$B$1800,"عجين كريب صيامي (بدون لبن)")</f>
        <v>0</v>
      </c>
      <c r="AR56" s="117" t="n">
        <f aca="false">SUMIFS(الريسبي!$C$2:$C$1800,الريسبي!$A$2:$A$1800,$A56,الريسبي!$B$2:$B$1800,AR$1)</f>
        <v>0</v>
      </c>
      <c r="AS56" s="117" t="n">
        <f aca="false">SUMIFS(الريسبي!$C$2:$C$1800,الريسبي!$A$2:$A$1800,$A56,الريسبي!$B$2:$B$1800,AS$1)</f>
        <v>0</v>
      </c>
      <c r="AT56" s="117" t="n">
        <f aca="false">SUMIFS(الريسبي!$C$2:$C$1800,الريسبي!$A$2:$A$1800,$A56,الريسبي!$B$2:$B$1800,AT$1)</f>
        <v>0</v>
      </c>
      <c r="AU56" s="117" t="n">
        <f aca="false">SUMIFS(الريسبي!$C$2:$C$1800,الريسبي!$A$2:$A$1800,$A56,الريسبي!$B$2:$B$1800,AU$1)</f>
        <v>0</v>
      </c>
      <c r="AV56" s="117" t="n">
        <f aca="false">SUMIFS(الريسبي!$C$2:$C$1800,الريسبي!$A$2:$A$1800,$A56,الريسبي!$B$2:$B$1800,AV$1)</f>
        <v>0</v>
      </c>
      <c r="AW56" s="117" t="n">
        <f aca="false">SUMIFS(الريسبي!$C$2:$C$1800,الريسبي!$A$2:$A$1800,$A56,الريسبي!$B$2:$B$1800,AW$1)</f>
        <v>0</v>
      </c>
      <c r="AX56" s="117" t="n">
        <f aca="false">SUMIFS(الريسبي!$C$2:$C$1800,الريسبي!$A$2:$A$1800,$A56,الريسبي!$B$2:$B$1800,AX$1)</f>
        <v>0</v>
      </c>
      <c r="AY56" s="117" t="n">
        <f aca="false">SUMIFS(الريسبي!$C$2:$C$1800,الريسبي!$A$2:$A$1800,$A56,الريسبي!$B$2:$B$1800,AY$1)</f>
        <v>0.05</v>
      </c>
      <c r="AZ56" s="117" t="n">
        <f aca="false">SUMIFS(الريسبي!$C$2:$C$1800,الريسبي!$A$2:$A$1800,$A56,الريسبي!$B$2:$B$1800,AZ$1)</f>
        <v>0</v>
      </c>
      <c r="BA56" s="117" t="n">
        <f aca="false">SUMIFS(الريسبي!$C$2:$C$1800,الريسبي!$A$2:$A$1800,$A56,الريسبي!$B$2:$B$1800,BA$1)</f>
        <v>0.05</v>
      </c>
      <c r="BB56" s="117" t="n">
        <f aca="false">SUMIFS(الريسبي!$C$2:$C$1800,الريسبي!$A$2:$A$1800,$A56,الريسبي!$B$2:$B$1800,BB$1)</f>
        <v>0.05</v>
      </c>
      <c r="BC56" s="117" t="n">
        <f aca="false">SUMIFS(الريسبي!$C$2:$C$1800,الريسبي!$A$2:$A$1800,$A56,الريسبي!$B$2:$B$1800,BC$1)</f>
        <v>0.02</v>
      </c>
      <c r="BD56" s="117" t="n">
        <f aca="false">SUMIFS(الريسبي!$C$2:$C$1800,الريسبي!$A$2:$A$1800,$A56,الريسبي!$B$2:$B$1800,BD$1)</f>
        <v>0.22</v>
      </c>
      <c r="BE56" s="117" t="n">
        <f aca="false">SUMIFS(الريسبي!$C$2:$C$1800,الريسبي!$A$2:$A$1800,$A56,الريسبي!$B$2:$B$1800,BE$1)</f>
        <v>0</v>
      </c>
      <c r="BF56" s="117" t="n">
        <f aca="false">SUMIFS(الريسبي!$C$2:$C$1800,الريسبي!$A$2:$A$1800,$A56,الريسبي!$B$2:$B$1800,BF$1)</f>
        <v>0</v>
      </c>
      <c r="BG56" s="117" t="n">
        <f aca="false">SUMIFS(الريسبي!$C$2:$C$1800,الريسبي!$A$2:$A$1800,$A56,الريسبي!$B$2:$B$1800,BG$1)</f>
        <v>0</v>
      </c>
      <c r="BH56" s="117" t="n">
        <f aca="false">SUMIFS(الريسبي!$C$2:$C$1800,الريسبي!$A$2:$A$1800,$A56,الريسبي!$B$2:$B$1800,BH$1)</f>
        <v>0</v>
      </c>
      <c r="BI56" s="117" t="n">
        <f aca="false">SUMIFS(الريسبي!$C$2:$C$1800,الريسبي!$A$2:$A$1800,$A56,الريسبي!$B$2:$B$1800,BI$1)</f>
        <v>0</v>
      </c>
      <c r="BJ56" s="117" t="n">
        <f aca="false">SUMIFS(الريسبي!$C$2:$C$1800,الريسبي!$A$2:$A$1800,$A56,الريسبي!$B$2:$B$1800,BJ$1)</f>
        <v>0</v>
      </c>
      <c r="BK56" s="117" t="n">
        <f aca="false">SUMIFS(الريسبي!$C$2:$C$1800,الريسبي!$A$2:$A$1800,$A56,الريسبي!$B$2:$B$1800,BK$1)</f>
        <v>0</v>
      </c>
      <c r="BL56" s="117" t="n">
        <f aca="false">SUMIFS(الريسبي!$C$2:$C$1800,الريسبي!$A$2:$A$1800,$A56,الريسبي!$B$2:$B$1800,BL$1)</f>
        <v>0</v>
      </c>
      <c r="BM56" s="117" t="n">
        <f aca="false">SUMIFS(الريسبي!$C$2:$C$1800,الريسبي!$A$2:$A$1800,$A56,الريسبي!$B$2:$B$1800,BM$1)</f>
        <v>0</v>
      </c>
      <c r="BN56" s="117" t="n">
        <f aca="false">SUMIFS(الريسبي!$C$2:$C$1800,الريسبي!$A$2:$A$1800,$A56,الريسبي!$B$2:$B$1800,BN$1)</f>
        <v>0.02</v>
      </c>
      <c r="BO56" s="117" t="n">
        <f aca="false">SUMIFS(الريسبي!$C$2:$C$1800,الريسبي!$A$2:$A$1800,$A56,الريسبي!$B$2:$B$1800,BO$1)</f>
        <v>0</v>
      </c>
      <c r="BP56" s="117" t="n">
        <f aca="false">SUMIFS(الريسبي!$C$2:$C$1800,الريسبي!$A$2:$A$1800,$A56,الريسبي!$B$2:$B$1800,BP$1)</f>
        <v>2</v>
      </c>
      <c r="BQ56" s="117" t="n">
        <f aca="false">SUMIFS(الريسبي!$C$2:$C$1800,الريسبي!$A$2:$A$1800,$A56,الريسبي!$B$2:$B$1800,BQ$1)+0.17*SUMIFS(الريسبي!$C$2:$C$1800,الريسبي!$A$2:$A$1800,$A56,الريسبي!$B$2:$B$1800,"كاسترد مصنع (خليط بودر + لبن)")+0.17*SUMIFS(الريسبي!$C$2:$C$1800,الريسبي!$A$2:$A$1800,$A56,الريسبي!$B$2:$B$1800,"كاسترد مصنع صيامي (بدون لبن)")</f>
        <v>0</v>
      </c>
      <c r="BR56" s="117" t="n">
        <f aca="false">SUMIFS(الريسبي!$C$2:$C$1800,الريسبي!$A$2:$A$1800,$A56,الريسبي!$B$2:$B$1800,BR$1)</f>
        <v>1</v>
      </c>
      <c r="BS56" s="117" t="n">
        <f aca="false">SUMIFS(الريسبي!$C$2:$C$1800,الريسبي!$A$2:$A$1800,$A56,الريسبي!$B$2:$B$1800,BS$1)</f>
        <v>0</v>
      </c>
      <c r="BT56" s="117" t="n">
        <f aca="false">SUMIFS(الريسبي!$C$2:$C$1800,الريسبي!$A$2:$A$1800,$A56,الريسبي!$B$2:$B$1800,BT$1)</f>
        <v>0</v>
      </c>
      <c r="BU56" s="117" t="n">
        <f aca="false">SUMIFS(الريسبي!$C$2:$C$1800,الريسبي!$A$2:$A$1800,$A56,الريسبي!$B$2:$B$1800,BU$1)+0.4*SUMIFS(الريسبي!$C$2:$C$1800,الريسبي!$A$2:$A$1800,$A56,الريسبي!$B$2:$B$1800,"كاسترد مصنع (خليط بودر + لبن)")+0.03333333333*SUMIFS(الريسبي!$C$2:$C$1800,الريسبي!$A$2:$A$1800,$A56,الريسبي!$B$2:$B$1800,"عجين كريب (مصنع بالمطعم)")</f>
        <v>0</v>
      </c>
      <c r="BV56" s="117" t="n">
        <f aca="false">SUMIFS(الريسبي!$C$2:$C$1800,الريسبي!$A$2:$A$1800,$A56,الريسبي!$B$2:$B$1800,BV$1)</f>
        <v>0</v>
      </c>
      <c r="BW56" s="117" t="n">
        <f aca="false">SUMIFS(الريسبي!$C$2:$C$1800,الريسبي!$A$2:$A$1800,$A56,الريسبي!$B$2:$B$1800,BW$1)</f>
        <v>0</v>
      </c>
      <c r="BX56" s="117" t="n">
        <f aca="false">SUMIFS(الريسبي!$C$2:$C$1800,الريسبي!$A$2:$A$1800,$A56,الريسبي!$B$2:$B$1800,BX$1)</f>
        <v>0</v>
      </c>
      <c r="BY56" s="117" t="n">
        <f aca="false">SUMIFS(الريسبي!$C$2:$C$1800,الريسبي!$A$2:$A$1800,$A56,الريسبي!$B$2:$B$1800,BY$1)</f>
        <v>0</v>
      </c>
      <c r="BZ56" s="117" t="n">
        <f aca="false">SUMIFS(الريسبي!$C$2:$C$1800,الريسبي!$A$2:$A$1800,$A56,الريسبي!$B$2:$B$1800,BZ$1)</f>
        <v>0</v>
      </c>
      <c r="CA56" s="117" t="n">
        <f aca="false">SUMIFS(الريسبي!$C$2:$C$1800,الريسبي!$A$2:$A$1800,$A56,الريسبي!$B$2:$B$1800,CA$1)</f>
        <v>1</v>
      </c>
      <c r="CB56" s="117" t="n">
        <f aca="false">SUMIFS(الريسبي!$C$2:$C$1800,الريسبي!$A$2:$A$1800,$A56,الريسبي!$B$2:$B$1800,CB$1)</f>
        <v>1</v>
      </c>
      <c r="CC56" s="117" t="n">
        <f aca="false">SUMIFS(الريسبي!$C$2:$C$1800,الريسبي!$A$2:$A$1800,$A56,الريسبي!$B$2:$B$1800,CC$1)</f>
        <v>0</v>
      </c>
      <c r="CD56" s="117" t="n">
        <f aca="false">SUMIFS(الريسبي!$C$2:$C$1800,الريسبي!$A$2:$A$1800,$A56,الريسبي!$B$2:$B$1800,CD$1)</f>
        <v>0</v>
      </c>
      <c r="CE56" s="117" t="n">
        <f aca="false">SUMIFS(الريسبي!$C$2:$C$1800,الريسبي!$A$2:$A$1800,$A56,الريسبي!$B$2:$B$1800,CE$1)</f>
        <v>0</v>
      </c>
      <c r="CF56" s="117" t="n">
        <f aca="false">SUMIFS(الريسبي!$C$2:$C$1800,الريسبي!$A$2:$A$1800,$A56,الريسبي!$B$2:$B$1800,CF$1)</f>
        <v>0</v>
      </c>
      <c r="CG56" s="117" t="n">
        <f aca="false">SUMIFS(الريسبي!$C$2:$C$1800,الريسبي!$A$2:$A$1800,$A56,الريسبي!$B$2:$B$1800,CG$1)</f>
        <v>1</v>
      </c>
      <c r="CH56" s="117" t="n">
        <f aca="false">SUMIFS(الريسبي!$C$2:$C$1800,الريسبي!$A$2:$A$1800,$A56,الريسبي!$B$2:$B$1800,CH$1)</f>
        <v>1</v>
      </c>
      <c r="CI56" s="117" t="n">
        <f aca="false">SUMIFS(الريسبي!$C$2:$C$1800,الريسبي!$A$2:$A$1800,$A56,الريسبي!$B$2:$B$1800,CI$1)</f>
        <v>0</v>
      </c>
      <c r="CJ56" s="117" t="n">
        <f aca="false">SUMIFS(الريسبي!$C$2:$C$1800,الريسبي!$A$2:$A$1800,$A56,الريسبي!$B$2:$B$1800,CJ$1)</f>
        <v>0</v>
      </c>
      <c r="CK56" s="117" t="n">
        <f aca="false">SUMIFS(الريسبي!$C$2:$C$1800,الريسبي!$A$2:$A$1800,$A56,الريسبي!$B$2:$B$1800,CK$1)</f>
        <v>0</v>
      </c>
      <c r="CL56" s="117" t="n">
        <f aca="false">SUMIFS(الريسبي!$C$2:$C$1800,الريسبي!$A$2:$A$1800,$A56,الريسبي!$B$2:$B$1800,CL$1)</f>
        <v>0</v>
      </c>
    </row>
    <row r="57" customFormat="false" ht="15" hidden="false" customHeight="false" outlineLevel="0" collapsed="false">
      <c r="A57" s="116" t="str">
        <f aca="false">المنيو!B57</f>
        <v>شيكاغو بيتزا برجر</v>
      </c>
      <c r="B57" s="117" t="n">
        <f aca="false">SUMIFS(الريسبي!$C$2:$C$1800,الريسبي!$A$2:$A$1800,$A57,الريسبي!$B$2:$B$1800,B$1)</f>
        <v>0</v>
      </c>
      <c r="C57" s="117" t="n">
        <f aca="false">SUMIFS(الريسبي!$C$2:$C$1800,الريسبي!$A$2:$A$1800,$A57,الريسبي!$B$2:$B$1800,C$1)</f>
        <v>0</v>
      </c>
      <c r="D57" s="117" t="n">
        <f aca="false">SUMIFS(الريسبي!$C$2:$C$1800,الريسبي!$A$2:$A$1800,$A57,الريسبي!$B$2:$B$1800,D$1)</f>
        <v>1.5</v>
      </c>
      <c r="E57" s="117" t="n">
        <f aca="false">SUMIFS(الريسبي!$C$2:$C$1800,الريسبي!$A$2:$A$1800,$A57,الريسبي!$B$2:$B$1800,E$1)</f>
        <v>0</v>
      </c>
      <c r="F57" s="117" t="n">
        <f aca="false">SUMIFS(الريسبي!$C$2:$C$1800,الريسبي!$A$2:$A$1800,$A57,الريسبي!$B$2:$B$1800,F$1)</f>
        <v>3</v>
      </c>
      <c r="G57" s="117" t="n">
        <f aca="false">SUMIFS(الريسبي!$C$2:$C$1800,الريسبي!$A$2:$A$1800,$A57,الريسبي!$B$2:$B$1800,G$1)</f>
        <v>0</v>
      </c>
      <c r="H57" s="117" t="n">
        <f aca="false">SUMIFS(الريسبي!$C$2:$C$1800,الريسبي!$A$2:$A$1800,$A57,الريسبي!$B$2:$B$1800,H$1)</f>
        <v>0</v>
      </c>
      <c r="I57" s="117" t="n">
        <f aca="false">SUMIFS(الريسبي!$C$2:$C$1800,الريسبي!$A$2:$A$1800,$A57,الريسبي!$B$2:$B$1800,I$1)</f>
        <v>0</v>
      </c>
      <c r="J57" s="117" t="n">
        <f aca="false">SUMIFS(الريسبي!$C$2:$C$1800,الريسبي!$A$2:$A$1800,$A57,الريسبي!$B$2:$B$1800,J$1)</f>
        <v>0</v>
      </c>
      <c r="K57" s="117" t="n">
        <f aca="false">SUMIFS(الريسبي!$C$2:$C$1800,الريسبي!$A$2:$A$1800,$A57,الريسبي!$B$2:$B$1800,K$1)</f>
        <v>0</v>
      </c>
      <c r="L57" s="117" t="n">
        <f aca="false">SUMIFS(الريسبي!$C$2:$C$1800,الريسبي!$A$2:$A$1800,$A57,الريسبي!$B$2:$B$1800,L$1)</f>
        <v>0</v>
      </c>
      <c r="M57" s="117" t="n">
        <f aca="false">SUMIFS(الريسبي!$C$2:$C$1800,الريسبي!$A$2:$A$1800,$A57,الريسبي!$B$2:$B$1800,M$1)</f>
        <v>0</v>
      </c>
      <c r="N57" s="117" t="n">
        <f aca="false">SUMIFS(الريسبي!$C$2:$C$1800,الريسبي!$A$2:$A$1800,$A57,الريسبي!$B$2:$B$1800,N$1)</f>
        <v>0</v>
      </c>
      <c r="O57" s="117" t="n">
        <f aca="false">SUMIFS(الريسبي!$C$2:$C$1800,الريسبي!$A$2:$A$1800,$A57,الريسبي!$B$2:$B$1800,O$1)</f>
        <v>0</v>
      </c>
      <c r="P57" s="117" t="n">
        <f aca="false">SUMIFS(الريسبي!$C$2:$C$1800,الريسبي!$A$2:$A$1800,$A57,الريسبي!$B$2:$B$1800,P$1)</f>
        <v>0</v>
      </c>
      <c r="Q57" s="117" t="n">
        <f aca="false">SUMIFS(الريسبي!$C$2:$C$1800,الريسبي!$A$2:$A$1800,$A57,الريسبي!$B$2:$B$1800,Q$1)</f>
        <v>0</v>
      </c>
      <c r="R57" s="117" t="n">
        <f aca="false">SUMIFS(الريسبي!$C$2:$C$1800,الريسبي!$A$2:$A$1800,$A57,الريسبي!$B$2:$B$1800,R$1)</f>
        <v>0</v>
      </c>
      <c r="S57" s="117" t="n">
        <f aca="false">SUMIFS(الريسبي!$C$2:$C$1800,الريسبي!$A$2:$A$1800,$A57,الريسبي!$B$2:$B$1800,S$1)</f>
        <v>0</v>
      </c>
      <c r="T57" s="117" t="n">
        <f aca="false">SUMIFS(الريسبي!$C$2:$C$1800,الريسبي!$A$2:$A$1800,$A57,الريسبي!$B$2:$B$1800,T$1)</f>
        <v>0</v>
      </c>
      <c r="U57" s="117" t="n">
        <f aca="false">SUMIFS(الريسبي!$C$2:$C$1800,الريسبي!$A$2:$A$1800,$A57,الريسبي!$B$2:$B$1800,U$1)</f>
        <v>0</v>
      </c>
      <c r="V57" s="117" t="n">
        <f aca="false">SUMIFS(الريسبي!$C$2:$C$1800,الريسبي!$A$2:$A$1800,$A57,الريسبي!$B$2:$B$1800,V$1)</f>
        <v>4</v>
      </c>
      <c r="W57" s="117" t="n">
        <f aca="false">SUMIFS(الريسبي!$C$2:$C$1800,الريسبي!$A$2:$A$1800,$A57,الريسبي!$B$2:$B$1800,W$1)</f>
        <v>0</v>
      </c>
      <c r="X57" s="117" t="n">
        <f aca="false">SUMIFS(الريسبي!$C$2:$C$1800,الريسبي!$A$2:$A$1800,$A57,الريسبي!$B$2:$B$1800,X$1)</f>
        <v>0</v>
      </c>
      <c r="Y57" s="117" t="n">
        <f aca="false">SUMIFS(الريسبي!$C$2:$C$1800,الريسبي!$A$2:$A$1800,$A57,الريسبي!$B$2:$B$1800,Y$1)</f>
        <v>0</v>
      </c>
      <c r="Z57" s="117" t="n">
        <f aca="false">SUMIFS(الريسبي!$C$2:$C$1800,الريسبي!$A$2:$A$1800,$A57,الريسبي!$B$2:$B$1800,Z$1)</f>
        <v>0</v>
      </c>
      <c r="AA57" s="117" t="n">
        <f aca="false">SUMIFS(الريسبي!$C$2:$C$1800,الريسبي!$A$2:$A$1800,$A57,الريسبي!$B$2:$B$1800,AA$1)</f>
        <v>0</v>
      </c>
      <c r="AB57" s="117" t="n">
        <f aca="false">SUMIFS(الريسبي!$C$2:$C$1800,الريسبي!$A$2:$A$1800,$A57,الريسبي!$B$2:$B$1800,AB$1)</f>
        <v>0</v>
      </c>
      <c r="AC57" s="117" t="n">
        <f aca="false">SUMIFS(الريسبي!$C$2:$C$1800,الريسبي!$A$2:$A$1800,$A57,الريسبي!$B$2:$B$1800,AC$1)</f>
        <v>0</v>
      </c>
      <c r="AD57" s="117" t="n">
        <f aca="false">SUMIFS(الريسبي!$C$2:$C$1800,الريسبي!$A$2:$A$1800,$A57,الريسبي!$B$2:$B$1800,AD$1)</f>
        <v>0</v>
      </c>
      <c r="AE57" s="117" t="n">
        <f aca="false">SUMIFS(الريسبي!$C$2:$C$1800,الريسبي!$A$2:$A$1800,$A57,الريسبي!$B$2:$B$1800,AE$1)</f>
        <v>0.02</v>
      </c>
      <c r="AF57" s="117" t="n">
        <f aca="false">SUMIFS(الريسبي!$C$2:$C$1800,الريسبي!$A$2:$A$1800,$A57,الريسبي!$B$2:$B$1800,AF$1)</f>
        <v>0</v>
      </c>
      <c r="AG57" s="117" t="n">
        <f aca="false">SUMIFS(الريسبي!$C$2:$C$1800,الريسبي!$A$2:$A$1800,$A57,الريسبي!$B$2:$B$1800,AG$1)</f>
        <v>0</v>
      </c>
      <c r="AH57" s="117" t="n">
        <f aca="false">SUMIFS(الريسبي!$C$2:$C$1800,الريسبي!$A$2:$A$1800,$A57,الريسبي!$B$2:$B$1800,AH$1)</f>
        <v>0</v>
      </c>
      <c r="AI57" s="117" t="n">
        <f aca="false">SUMIFS(الريسبي!$C$2:$C$1800,الريسبي!$A$2:$A$1800,$A57,الريسبي!$B$2:$B$1800,AI$1)</f>
        <v>0</v>
      </c>
      <c r="AJ57" s="117" t="n">
        <f aca="false">SUMIFS(الريسبي!$C$2:$C$1800,الريسبي!$A$2:$A$1800,$A57,الريسبي!$B$2:$B$1800,AJ$1)</f>
        <v>3</v>
      </c>
      <c r="AK57" s="117" t="n">
        <f aca="false">SUMIFS(الريسبي!$C$2:$C$1800,الريسبي!$A$2:$A$1800,$A57,الريسبي!$B$2:$B$1800,AK$1)</f>
        <v>0</v>
      </c>
      <c r="AL57" s="117" t="n">
        <f aca="false">SUMIFS(الريسبي!$C$2:$C$1800,الريسبي!$A$2:$A$1800,$A57,الريسبي!$B$2:$B$1800,AL$1)</f>
        <v>0.02</v>
      </c>
      <c r="AM57" s="117" t="n">
        <f aca="false">SUMIFS(الريسبي!$C$2:$C$1800,الريسبي!$A$2:$A$1800,$A57,الريسبي!$B$2:$B$1800,AM$1)+0.08333333333*SUMIFS(الريسبي!$C$2:$C$1800,الريسبي!$A$2:$A$1800,$A57,الريسبي!$B$2:$B$1800,"عجين كريب (مصنع بالمطعم)")+0.08333333333*SUMIFS(الريسبي!$C$2:$C$1800,الريسبي!$A$2:$A$1800,$A57,الريسبي!$B$2:$B$1800,"عجين كريب صيامي (بدون لبن)")</f>
        <v>0</v>
      </c>
      <c r="AN57" s="117" t="n">
        <f aca="false">SUMIFS(الريسبي!$C$2:$C$1800,الريسبي!$A$2:$A$1800,$A57,الريسبي!$B$2:$B$1800,AN$1)+0.004166666667*SUMIFS(الريسبي!$C$2:$C$1800,الريسبي!$A$2:$A$1800,$A57,الريسبي!$B$2:$B$1800,"عجين كريب (مصنع بالمطعم)")+0.004166666667*SUMIFS(الريسبي!$C$2:$C$1800,الريسبي!$A$2:$A$1800,$A57,الريسبي!$B$2:$B$1800,"عجين كريب صيامي (بدون لبن)")</f>
        <v>0</v>
      </c>
      <c r="AO57" s="117" t="n">
        <f aca="false">SUMIFS(الريسبي!$C$2:$C$1800,الريسبي!$A$2:$A$1800,$A57,الريسبي!$B$2:$B$1800,AO$1)</f>
        <v>0</v>
      </c>
      <c r="AP57" s="117" t="n">
        <f aca="false">SUMIFS(الريسبي!$C$2:$C$1800,الريسبي!$A$2:$A$1800,$A57,الريسبي!$B$2:$B$1800,AP$1)</f>
        <v>0</v>
      </c>
      <c r="AQ57" s="117" t="n">
        <f aca="false">SUMIFS(الريسبي!$C$2:$C$1800,الريسبي!$A$2:$A$1800,$A57,الريسبي!$B$2:$B$1800,AQ$1)+0.004166666667*SUMIFS(الريسبي!$C$2:$C$1800,الريسبي!$A$2:$A$1800,$A57,الريسبي!$B$2:$B$1800,"عجين كريب (مصنع بالمطعم)")+0.004166666667*SUMIFS(الريسبي!$C$2:$C$1800,الريسبي!$A$2:$A$1800,$A57,الريسبي!$B$2:$B$1800,"عجين كريب صيامي (بدون لبن)")</f>
        <v>0</v>
      </c>
      <c r="AR57" s="117" t="n">
        <f aca="false">SUMIFS(الريسبي!$C$2:$C$1800,الريسبي!$A$2:$A$1800,$A57,الريسبي!$B$2:$B$1800,AR$1)</f>
        <v>0</v>
      </c>
      <c r="AS57" s="117" t="n">
        <f aca="false">SUMIFS(الريسبي!$C$2:$C$1800,الريسبي!$A$2:$A$1800,$A57,الريسبي!$B$2:$B$1800,AS$1)</f>
        <v>0</v>
      </c>
      <c r="AT57" s="117" t="n">
        <f aca="false">SUMIFS(الريسبي!$C$2:$C$1800,الريسبي!$A$2:$A$1800,$A57,الريسبي!$B$2:$B$1800,AT$1)</f>
        <v>0</v>
      </c>
      <c r="AU57" s="117" t="n">
        <f aca="false">SUMIFS(الريسبي!$C$2:$C$1800,الريسبي!$A$2:$A$1800,$A57,الريسبي!$B$2:$B$1800,AU$1)</f>
        <v>0</v>
      </c>
      <c r="AV57" s="117" t="n">
        <f aca="false">SUMIFS(الريسبي!$C$2:$C$1800,الريسبي!$A$2:$A$1800,$A57,الريسبي!$B$2:$B$1800,AV$1)</f>
        <v>0</v>
      </c>
      <c r="AW57" s="117" t="n">
        <f aca="false">SUMIFS(الريسبي!$C$2:$C$1800,الريسبي!$A$2:$A$1800,$A57,الريسبي!$B$2:$B$1800,AW$1)</f>
        <v>0</v>
      </c>
      <c r="AX57" s="117" t="n">
        <f aca="false">SUMIFS(الريسبي!$C$2:$C$1800,الريسبي!$A$2:$A$1800,$A57,الريسبي!$B$2:$B$1800,AX$1)</f>
        <v>0</v>
      </c>
      <c r="AY57" s="117" t="n">
        <f aca="false">SUMIFS(الريسبي!$C$2:$C$1800,الريسبي!$A$2:$A$1800,$A57,الريسبي!$B$2:$B$1800,AY$1)</f>
        <v>0.0667</v>
      </c>
      <c r="AZ57" s="117" t="n">
        <f aca="false">SUMIFS(الريسبي!$C$2:$C$1800,الريسبي!$A$2:$A$1800,$A57,الريسبي!$B$2:$B$1800,AZ$1)</f>
        <v>0.0667</v>
      </c>
      <c r="BA57" s="117" t="n">
        <f aca="false">SUMIFS(الريسبي!$C$2:$C$1800,الريسبي!$A$2:$A$1800,$A57,الريسبي!$B$2:$B$1800,BA$1)</f>
        <v>0</v>
      </c>
      <c r="BB57" s="117" t="n">
        <f aca="false">SUMIFS(الريسبي!$C$2:$C$1800,الريسبي!$A$2:$A$1800,$A57,الريسبي!$B$2:$B$1800,BB$1)</f>
        <v>0.0667</v>
      </c>
      <c r="BC57" s="117" t="n">
        <f aca="false">SUMIFS(الريسبي!$C$2:$C$1800,الريسبي!$A$2:$A$1800,$A57,الريسبي!$B$2:$B$1800,BC$1)</f>
        <v>0.02</v>
      </c>
      <c r="BD57" s="117" t="n">
        <f aca="false">SUMIFS(الريسبي!$C$2:$C$1800,الريسبي!$A$2:$A$1800,$A57,الريسبي!$B$2:$B$1800,BD$1)</f>
        <v>0.3</v>
      </c>
      <c r="BE57" s="117" t="n">
        <f aca="false">SUMIFS(الريسبي!$C$2:$C$1800,الريسبي!$A$2:$A$1800,$A57,الريسبي!$B$2:$B$1800,BE$1)</f>
        <v>0</v>
      </c>
      <c r="BF57" s="117" t="n">
        <f aca="false">SUMIFS(الريسبي!$C$2:$C$1800,الريسبي!$A$2:$A$1800,$A57,الريسبي!$B$2:$B$1800,BF$1)</f>
        <v>0</v>
      </c>
      <c r="BG57" s="117" t="n">
        <f aca="false">SUMIFS(الريسبي!$C$2:$C$1800,الريسبي!$A$2:$A$1800,$A57,الريسبي!$B$2:$B$1800,BG$1)</f>
        <v>0</v>
      </c>
      <c r="BH57" s="117" t="n">
        <f aca="false">SUMIFS(الريسبي!$C$2:$C$1800,الريسبي!$A$2:$A$1800,$A57,الريسبي!$B$2:$B$1800,BH$1)</f>
        <v>0</v>
      </c>
      <c r="BI57" s="117" t="n">
        <f aca="false">SUMIFS(الريسبي!$C$2:$C$1800,الريسبي!$A$2:$A$1800,$A57,الريسبي!$B$2:$B$1800,BI$1)</f>
        <v>0</v>
      </c>
      <c r="BJ57" s="117" t="n">
        <f aca="false">SUMIFS(الريسبي!$C$2:$C$1800,الريسبي!$A$2:$A$1800,$A57,الريسبي!$B$2:$B$1800,BJ$1)</f>
        <v>0</v>
      </c>
      <c r="BK57" s="117" t="n">
        <f aca="false">SUMIFS(الريسبي!$C$2:$C$1800,الريسبي!$A$2:$A$1800,$A57,الريسبي!$B$2:$B$1800,BK$1)</f>
        <v>0</v>
      </c>
      <c r="BL57" s="117" t="n">
        <f aca="false">SUMIFS(الريسبي!$C$2:$C$1800,الريسبي!$A$2:$A$1800,$A57,الريسبي!$B$2:$B$1800,BL$1)</f>
        <v>0</v>
      </c>
      <c r="BM57" s="117" t="n">
        <f aca="false">SUMIFS(الريسبي!$C$2:$C$1800,الريسبي!$A$2:$A$1800,$A57,الريسبي!$B$2:$B$1800,BM$1)</f>
        <v>0</v>
      </c>
      <c r="BN57" s="117" t="n">
        <f aca="false">SUMIFS(الريسبي!$C$2:$C$1800,الريسبي!$A$2:$A$1800,$A57,الريسبي!$B$2:$B$1800,BN$1)</f>
        <v>0.02</v>
      </c>
      <c r="BO57" s="117" t="n">
        <f aca="false">SUMIFS(الريسبي!$C$2:$C$1800,الريسبي!$A$2:$A$1800,$A57,الريسبي!$B$2:$B$1800,BO$1)</f>
        <v>0</v>
      </c>
      <c r="BP57" s="117" t="n">
        <f aca="false">SUMIFS(الريسبي!$C$2:$C$1800,الريسبي!$A$2:$A$1800,$A57,الريسبي!$B$2:$B$1800,BP$1)</f>
        <v>3</v>
      </c>
      <c r="BQ57" s="117" t="n">
        <f aca="false">SUMIFS(الريسبي!$C$2:$C$1800,الريسبي!$A$2:$A$1800,$A57,الريسبي!$B$2:$B$1800,BQ$1)+0.17*SUMIFS(الريسبي!$C$2:$C$1800,الريسبي!$A$2:$A$1800,$A57,الريسبي!$B$2:$B$1800,"كاسترد مصنع (خليط بودر + لبن)")+0.17*SUMIFS(الريسبي!$C$2:$C$1800,الريسبي!$A$2:$A$1800,$A57,الريسبي!$B$2:$B$1800,"كاسترد مصنع صيامي (بدون لبن)")</f>
        <v>0</v>
      </c>
      <c r="BR57" s="117" t="n">
        <f aca="false">SUMIFS(الريسبي!$C$2:$C$1800,الريسبي!$A$2:$A$1800,$A57,الريسبي!$B$2:$B$1800,BR$1)</f>
        <v>1.5</v>
      </c>
      <c r="BS57" s="117" t="n">
        <f aca="false">SUMIFS(الريسبي!$C$2:$C$1800,الريسبي!$A$2:$A$1800,$A57,الريسبي!$B$2:$B$1800,BS$1)</f>
        <v>0</v>
      </c>
      <c r="BT57" s="117" t="n">
        <f aca="false">SUMIFS(الريسبي!$C$2:$C$1800,الريسبي!$A$2:$A$1800,$A57,الريسبي!$B$2:$B$1800,BT$1)</f>
        <v>0</v>
      </c>
      <c r="BU57" s="117" t="n">
        <f aca="false">SUMIFS(الريسبي!$C$2:$C$1800,الريسبي!$A$2:$A$1800,$A57,الريسبي!$B$2:$B$1800,BU$1)+0.4*SUMIFS(الريسبي!$C$2:$C$1800,الريسبي!$A$2:$A$1800,$A57,الريسبي!$B$2:$B$1800,"كاسترد مصنع (خليط بودر + لبن)")+0.03333333333*SUMIFS(الريسبي!$C$2:$C$1800,الريسبي!$A$2:$A$1800,$A57,الريسبي!$B$2:$B$1800,"عجين كريب (مصنع بالمطعم)")</f>
        <v>0</v>
      </c>
      <c r="BV57" s="117" t="n">
        <f aca="false">SUMIFS(الريسبي!$C$2:$C$1800,الريسبي!$A$2:$A$1800,$A57,الريسبي!$B$2:$B$1800,BV$1)</f>
        <v>0</v>
      </c>
      <c r="BW57" s="117" t="n">
        <f aca="false">SUMIFS(الريسبي!$C$2:$C$1800,الريسبي!$A$2:$A$1800,$A57,الريسبي!$B$2:$B$1800,BW$1)</f>
        <v>0</v>
      </c>
      <c r="BX57" s="117" t="n">
        <f aca="false">SUMIFS(الريسبي!$C$2:$C$1800,الريسبي!$A$2:$A$1800,$A57,الريسبي!$B$2:$B$1800,BX$1)</f>
        <v>0</v>
      </c>
      <c r="BY57" s="117" t="n">
        <f aca="false">SUMIFS(الريسبي!$C$2:$C$1800,الريسبي!$A$2:$A$1800,$A57,الريسبي!$B$2:$B$1800,BY$1)</f>
        <v>0</v>
      </c>
      <c r="BZ57" s="117" t="n">
        <f aca="false">SUMIFS(الريسبي!$C$2:$C$1800,الريسبي!$A$2:$A$1800,$A57,الريسبي!$B$2:$B$1800,BZ$1)</f>
        <v>0</v>
      </c>
      <c r="CA57" s="117" t="n">
        <f aca="false">SUMIFS(الريسبي!$C$2:$C$1800,الريسبي!$A$2:$A$1800,$A57,الريسبي!$B$2:$B$1800,CA$1)</f>
        <v>1.5</v>
      </c>
      <c r="CB57" s="117" t="n">
        <f aca="false">SUMIFS(الريسبي!$C$2:$C$1800,الريسبي!$A$2:$A$1800,$A57,الريسبي!$B$2:$B$1800,CB$1)</f>
        <v>1.5</v>
      </c>
      <c r="CC57" s="117" t="n">
        <f aca="false">SUMIFS(الريسبي!$C$2:$C$1800,الريسبي!$A$2:$A$1800,$A57,الريسبي!$B$2:$B$1800,CC$1)</f>
        <v>0</v>
      </c>
      <c r="CD57" s="117" t="n">
        <f aca="false">SUMIFS(الريسبي!$C$2:$C$1800,الريسبي!$A$2:$A$1800,$A57,الريسبي!$B$2:$B$1800,CD$1)</f>
        <v>0</v>
      </c>
      <c r="CE57" s="117" t="n">
        <f aca="false">SUMIFS(الريسبي!$C$2:$C$1800,الريسبي!$A$2:$A$1800,$A57,الريسبي!$B$2:$B$1800,CE$1)</f>
        <v>0</v>
      </c>
      <c r="CF57" s="117" t="n">
        <f aca="false">SUMIFS(الريسبي!$C$2:$C$1800,الريسبي!$A$2:$A$1800,$A57,الريسبي!$B$2:$B$1800,CF$1)</f>
        <v>0</v>
      </c>
      <c r="CG57" s="117" t="n">
        <f aca="false">SUMIFS(الريسبي!$C$2:$C$1800,الريسبي!$A$2:$A$1800,$A57,الريسبي!$B$2:$B$1800,CG$1)</f>
        <v>0</v>
      </c>
      <c r="CH57" s="117" t="n">
        <f aca="false">SUMIFS(الريسبي!$C$2:$C$1800,الريسبي!$A$2:$A$1800,$A57,الريسبي!$B$2:$B$1800,CH$1)</f>
        <v>0</v>
      </c>
      <c r="CI57" s="117" t="n">
        <f aca="false">SUMIFS(الريسبي!$C$2:$C$1800,الريسبي!$A$2:$A$1800,$A57,الريسبي!$B$2:$B$1800,CI$1)</f>
        <v>1</v>
      </c>
      <c r="CJ57" s="117" t="n">
        <f aca="false">SUMIFS(الريسبي!$C$2:$C$1800,الريسبي!$A$2:$A$1800,$A57,الريسبي!$B$2:$B$1800,CJ$1)</f>
        <v>0</v>
      </c>
      <c r="CK57" s="117" t="n">
        <f aca="false">SUMIFS(الريسبي!$C$2:$C$1800,الريسبي!$A$2:$A$1800,$A57,الريسبي!$B$2:$B$1800,CK$1)</f>
        <v>0</v>
      </c>
      <c r="CL57" s="117" t="n">
        <f aca="false">SUMIFS(الريسبي!$C$2:$C$1800,الريسبي!$A$2:$A$1800,$A57,الريسبي!$B$2:$B$1800,CL$1)</f>
        <v>0</v>
      </c>
    </row>
    <row r="58" customFormat="false" ht="15" hidden="false" customHeight="false" outlineLevel="0" collapsed="false">
      <c r="A58" s="116" t="str">
        <f aca="false">المنيو!B58</f>
        <v>فطيررجر</v>
      </c>
      <c r="B58" s="117" t="n">
        <f aca="false">SUMIFS(الريسبي!$C$2:$C$1800,الريسبي!$A$2:$A$1800,$A58,الريسبي!$B$2:$B$1800,B$1)</f>
        <v>0</v>
      </c>
      <c r="C58" s="117" t="n">
        <f aca="false">SUMIFS(الريسبي!$C$2:$C$1800,الريسبي!$A$2:$A$1800,$A58,الريسبي!$B$2:$B$1800,C$1)</f>
        <v>0</v>
      </c>
      <c r="D58" s="117" t="n">
        <f aca="false">SUMIFS(الريسبي!$C$2:$C$1800,الريسبي!$A$2:$A$1800,$A58,الريسبي!$B$2:$B$1800,D$1)</f>
        <v>1</v>
      </c>
      <c r="E58" s="117" t="n">
        <f aca="false">SUMIFS(الريسبي!$C$2:$C$1800,الريسبي!$A$2:$A$1800,$A58,الريسبي!$B$2:$B$1800,E$1)</f>
        <v>0</v>
      </c>
      <c r="F58" s="117" t="n">
        <f aca="false">SUMIFS(الريسبي!$C$2:$C$1800,الريسبي!$A$2:$A$1800,$A58,الريسبي!$B$2:$B$1800,F$1)</f>
        <v>2</v>
      </c>
      <c r="G58" s="117" t="n">
        <f aca="false">SUMIFS(الريسبي!$C$2:$C$1800,الريسبي!$A$2:$A$1800,$A58,الريسبي!$B$2:$B$1800,G$1)</f>
        <v>0</v>
      </c>
      <c r="H58" s="117" t="n">
        <f aca="false">SUMIFS(الريسبي!$C$2:$C$1800,الريسبي!$A$2:$A$1800,$A58,الريسبي!$B$2:$B$1800,H$1)</f>
        <v>0</v>
      </c>
      <c r="I58" s="117" t="n">
        <f aca="false">SUMIFS(الريسبي!$C$2:$C$1800,الريسبي!$A$2:$A$1800,$A58,الريسبي!$B$2:$B$1800,I$1)</f>
        <v>0</v>
      </c>
      <c r="J58" s="117" t="n">
        <f aca="false">SUMIFS(الريسبي!$C$2:$C$1800,الريسبي!$A$2:$A$1800,$A58,الريسبي!$B$2:$B$1800,J$1)</f>
        <v>0</v>
      </c>
      <c r="K58" s="117" t="n">
        <f aca="false">SUMIFS(الريسبي!$C$2:$C$1800,الريسبي!$A$2:$A$1800,$A58,الريسبي!$B$2:$B$1800,K$1)</f>
        <v>0</v>
      </c>
      <c r="L58" s="117" t="n">
        <f aca="false">SUMIFS(الريسبي!$C$2:$C$1800,الريسبي!$A$2:$A$1800,$A58,الريسبي!$B$2:$B$1800,L$1)</f>
        <v>0</v>
      </c>
      <c r="M58" s="117" t="n">
        <f aca="false">SUMIFS(الريسبي!$C$2:$C$1800,الريسبي!$A$2:$A$1800,$A58,الريسبي!$B$2:$B$1800,M$1)</f>
        <v>0</v>
      </c>
      <c r="N58" s="117" t="n">
        <f aca="false">SUMIFS(الريسبي!$C$2:$C$1800,الريسبي!$A$2:$A$1800,$A58,الريسبي!$B$2:$B$1800,N$1)</f>
        <v>0</v>
      </c>
      <c r="O58" s="117" t="n">
        <f aca="false">SUMIFS(الريسبي!$C$2:$C$1800,الريسبي!$A$2:$A$1800,$A58,الريسبي!$B$2:$B$1800,O$1)</f>
        <v>0</v>
      </c>
      <c r="P58" s="117" t="n">
        <f aca="false">SUMIFS(الريسبي!$C$2:$C$1800,الريسبي!$A$2:$A$1800,$A58,الريسبي!$B$2:$B$1800,P$1)</f>
        <v>0</v>
      </c>
      <c r="Q58" s="117" t="n">
        <f aca="false">SUMIFS(الريسبي!$C$2:$C$1800,الريسبي!$A$2:$A$1800,$A58,الريسبي!$B$2:$B$1800,Q$1)</f>
        <v>0</v>
      </c>
      <c r="R58" s="117" t="n">
        <f aca="false">SUMIFS(الريسبي!$C$2:$C$1800,الريسبي!$A$2:$A$1800,$A58,الريسبي!$B$2:$B$1800,R$1)</f>
        <v>0</v>
      </c>
      <c r="S58" s="117" t="n">
        <f aca="false">SUMIFS(الريسبي!$C$2:$C$1800,الريسبي!$A$2:$A$1800,$A58,الريسبي!$B$2:$B$1800,S$1)</f>
        <v>0</v>
      </c>
      <c r="T58" s="117" t="n">
        <f aca="false">SUMIFS(الريسبي!$C$2:$C$1800,الريسبي!$A$2:$A$1800,$A58,الريسبي!$B$2:$B$1800,T$1)</f>
        <v>0</v>
      </c>
      <c r="U58" s="117" t="n">
        <f aca="false">SUMIFS(الريسبي!$C$2:$C$1800,الريسبي!$A$2:$A$1800,$A58,الريسبي!$B$2:$B$1800,U$1)</f>
        <v>0</v>
      </c>
      <c r="V58" s="117" t="n">
        <f aca="false">SUMIFS(الريسبي!$C$2:$C$1800,الريسبي!$A$2:$A$1800,$A58,الريسبي!$B$2:$B$1800,V$1)</f>
        <v>0</v>
      </c>
      <c r="W58" s="117" t="n">
        <f aca="false">SUMIFS(الريسبي!$C$2:$C$1800,الريسبي!$A$2:$A$1800,$A58,الريسبي!$B$2:$B$1800,W$1)</f>
        <v>0</v>
      </c>
      <c r="X58" s="117" t="n">
        <f aca="false">SUMIFS(الريسبي!$C$2:$C$1800,الريسبي!$A$2:$A$1800,$A58,الريسبي!$B$2:$B$1800,X$1)</f>
        <v>0</v>
      </c>
      <c r="Y58" s="117" t="n">
        <f aca="false">SUMIFS(الريسبي!$C$2:$C$1800,الريسبي!$A$2:$A$1800,$A58,الريسبي!$B$2:$B$1800,Y$1)</f>
        <v>0</v>
      </c>
      <c r="Z58" s="117" t="n">
        <f aca="false">SUMIFS(الريسبي!$C$2:$C$1800,الريسبي!$A$2:$A$1800,$A58,الريسبي!$B$2:$B$1800,Z$1)</f>
        <v>0</v>
      </c>
      <c r="AA58" s="117" t="n">
        <f aca="false">SUMIFS(الريسبي!$C$2:$C$1800,الريسبي!$A$2:$A$1800,$A58,الريسبي!$B$2:$B$1800,AA$1)</f>
        <v>0</v>
      </c>
      <c r="AB58" s="117" t="n">
        <f aca="false">SUMIFS(الريسبي!$C$2:$C$1800,الريسبي!$A$2:$A$1800,$A58,الريسبي!$B$2:$B$1800,AB$1)</f>
        <v>0</v>
      </c>
      <c r="AC58" s="117" t="n">
        <f aca="false">SUMIFS(الريسبي!$C$2:$C$1800,الريسبي!$A$2:$A$1800,$A58,الريسبي!$B$2:$B$1800,AC$1)</f>
        <v>0</v>
      </c>
      <c r="AD58" s="117" t="n">
        <f aca="false">SUMIFS(الريسبي!$C$2:$C$1800,الريسبي!$A$2:$A$1800,$A58,الريسبي!$B$2:$B$1800,AD$1)</f>
        <v>0</v>
      </c>
      <c r="AE58" s="117" t="n">
        <f aca="false">SUMIFS(الريسبي!$C$2:$C$1800,الريسبي!$A$2:$A$1800,$A58,الريسبي!$B$2:$B$1800,AE$1)</f>
        <v>0.02</v>
      </c>
      <c r="AF58" s="117" t="n">
        <f aca="false">SUMIFS(الريسبي!$C$2:$C$1800,الريسبي!$A$2:$A$1800,$A58,الريسبي!$B$2:$B$1800,AF$1)</f>
        <v>0</v>
      </c>
      <c r="AG58" s="117" t="n">
        <f aca="false">SUMIFS(الريسبي!$C$2:$C$1800,الريسبي!$A$2:$A$1800,$A58,الريسبي!$B$2:$B$1800,AG$1)</f>
        <v>0</v>
      </c>
      <c r="AH58" s="117" t="n">
        <f aca="false">SUMIFS(الريسبي!$C$2:$C$1800,الريسبي!$A$2:$A$1800,$A58,الريسبي!$B$2:$B$1800,AH$1)</f>
        <v>0</v>
      </c>
      <c r="AI58" s="117" t="n">
        <f aca="false">SUMIFS(الريسبي!$C$2:$C$1800,الريسبي!$A$2:$A$1800,$A58,الريسبي!$B$2:$B$1800,AI$1)</f>
        <v>0</v>
      </c>
      <c r="AJ58" s="117" t="n">
        <f aca="false">SUMIFS(الريسبي!$C$2:$C$1800,الريسبي!$A$2:$A$1800,$A58,الريسبي!$B$2:$B$1800,AJ$1)</f>
        <v>2</v>
      </c>
      <c r="AK58" s="117" t="n">
        <f aca="false">SUMIFS(الريسبي!$C$2:$C$1800,الريسبي!$A$2:$A$1800,$A58,الريسبي!$B$2:$B$1800,AK$1)</f>
        <v>0</v>
      </c>
      <c r="AL58" s="117" t="n">
        <f aca="false">SUMIFS(الريسبي!$C$2:$C$1800,الريسبي!$A$2:$A$1800,$A58,الريسبي!$B$2:$B$1800,AL$1)</f>
        <v>0.02</v>
      </c>
      <c r="AM58" s="117" t="n">
        <f aca="false">SUMIFS(الريسبي!$C$2:$C$1800,الريسبي!$A$2:$A$1800,$A58,الريسبي!$B$2:$B$1800,AM$1)+0.08333333333*SUMIFS(الريسبي!$C$2:$C$1800,الريسبي!$A$2:$A$1800,$A58,الريسبي!$B$2:$B$1800,"عجين كريب (مصنع بالمطعم)")+0.08333333333*SUMIFS(الريسبي!$C$2:$C$1800,الريسبي!$A$2:$A$1800,$A58,الريسبي!$B$2:$B$1800,"عجين كريب صيامي (بدون لبن)")</f>
        <v>0</v>
      </c>
      <c r="AN58" s="117" t="n">
        <f aca="false">SUMIFS(الريسبي!$C$2:$C$1800,الريسبي!$A$2:$A$1800,$A58,الريسبي!$B$2:$B$1800,AN$1)+0.004166666667*SUMIFS(الريسبي!$C$2:$C$1800,الريسبي!$A$2:$A$1800,$A58,الريسبي!$B$2:$B$1800,"عجين كريب (مصنع بالمطعم)")+0.004166666667*SUMIFS(الريسبي!$C$2:$C$1800,الريسبي!$A$2:$A$1800,$A58,الريسبي!$B$2:$B$1800,"عجين كريب صيامي (بدون لبن)")</f>
        <v>0</v>
      </c>
      <c r="AO58" s="117" t="n">
        <f aca="false">SUMIFS(الريسبي!$C$2:$C$1800,الريسبي!$A$2:$A$1800,$A58,الريسبي!$B$2:$B$1800,AO$1)</f>
        <v>0</v>
      </c>
      <c r="AP58" s="117" t="n">
        <f aca="false">SUMIFS(الريسبي!$C$2:$C$1800,الريسبي!$A$2:$A$1800,$A58,الريسبي!$B$2:$B$1800,AP$1)</f>
        <v>0</v>
      </c>
      <c r="AQ58" s="117" t="n">
        <f aca="false">SUMIFS(الريسبي!$C$2:$C$1800,الريسبي!$A$2:$A$1800,$A58,الريسبي!$B$2:$B$1800,AQ$1)+0.004166666667*SUMIFS(الريسبي!$C$2:$C$1800,الريسبي!$A$2:$A$1800,$A58,الريسبي!$B$2:$B$1800,"عجين كريب (مصنع بالمطعم)")+0.004166666667*SUMIFS(الريسبي!$C$2:$C$1800,الريسبي!$A$2:$A$1800,$A58,الريسبي!$B$2:$B$1800,"عجين كريب صيامي (بدون لبن)")</f>
        <v>0</v>
      </c>
      <c r="AR58" s="117" t="n">
        <f aca="false">SUMIFS(الريسبي!$C$2:$C$1800,الريسبي!$A$2:$A$1800,$A58,الريسبي!$B$2:$B$1800,AR$1)</f>
        <v>0</v>
      </c>
      <c r="AS58" s="117" t="n">
        <f aca="false">SUMIFS(الريسبي!$C$2:$C$1800,الريسبي!$A$2:$A$1800,$A58,الريسبي!$B$2:$B$1800,AS$1)</f>
        <v>0</v>
      </c>
      <c r="AT58" s="117" t="n">
        <f aca="false">SUMIFS(الريسبي!$C$2:$C$1800,الريسبي!$A$2:$A$1800,$A58,الريسبي!$B$2:$B$1800,AT$1)</f>
        <v>0</v>
      </c>
      <c r="AU58" s="117" t="n">
        <f aca="false">SUMIFS(الريسبي!$C$2:$C$1800,الريسبي!$A$2:$A$1800,$A58,الريسبي!$B$2:$B$1800,AU$1)</f>
        <v>0</v>
      </c>
      <c r="AV58" s="117" t="n">
        <f aca="false">SUMIFS(الريسبي!$C$2:$C$1800,الريسبي!$A$2:$A$1800,$A58,الريسبي!$B$2:$B$1800,AV$1)</f>
        <v>0</v>
      </c>
      <c r="AW58" s="117" t="n">
        <f aca="false">SUMIFS(الريسبي!$C$2:$C$1800,الريسبي!$A$2:$A$1800,$A58,الريسبي!$B$2:$B$1800,AW$1)</f>
        <v>0</v>
      </c>
      <c r="AX58" s="117" t="n">
        <f aca="false">SUMIFS(الريسبي!$C$2:$C$1800,الريسبي!$A$2:$A$1800,$A58,الريسبي!$B$2:$B$1800,AX$1)</f>
        <v>0</v>
      </c>
      <c r="AY58" s="117" t="n">
        <f aca="false">SUMIFS(الريسبي!$C$2:$C$1800,الريسبي!$A$2:$A$1800,$A58,الريسبي!$B$2:$B$1800,AY$1)</f>
        <v>0.05</v>
      </c>
      <c r="AZ58" s="117" t="n">
        <f aca="false">SUMIFS(الريسبي!$C$2:$C$1800,الريسبي!$A$2:$A$1800,$A58,الريسبي!$B$2:$B$1800,AZ$1)</f>
        <v>0.05</v>
      </c>
      <c r="BA58" s="117" t="n">
        <f aca="false">SUMIFS(الريسبي!$C$2:$C$1800,الريسبي!$A$2:$A$1800,$A58,الريسبي!$B$2:$B$1800,BA$1)</f>
        <v>0</v>
      </c>
      <c r="BB58" s="117" t="n">
        <f aca="false">SUMIFS(الريسبي!$C$2:$C$1800,الريسبي!$A$2:$A$1800,$A58,الريسبي!$B$2:$B$1800,BB$1)</f>
        <v>0.05</v>
      </c>
      <c r="BC58" s="117" t="n">
        <f aca="false">SUMIFS(الريسبي!$C$2:$C$1800,الريسبي!$A$2:$A$1800,$A58,الريسبي!$B$2:$B$1800,BC$1)</f>
        <v>0.02</v>
      </c>
      <c r="BD58" s="117" t="n">
        <f aca="false">SUMIFS(الريسبي!$C$2:$C$1800,الريسبي!$A$2:$A$1800,$A58,الريسبي!$B$2:$B$1800,BD$1)</f>
        <v>0</v>
      </c>
      <c r="BE58" s="117" t="n">
        <f aca="false">SUMIFS(الريسبي!$C$2:$C$1800,الريسبي!$A$2:$A$1800,$A58,الريسبي!$B$2:$B$1800,BE$1)</f>
        <v>2</v>
      </c>
      <c r="BF58" s="117" t="n">
        <f aca="false">SUMIFS(الريسبي!$C$2:$C$1800,الريسبي!$A$2:$A$1800,$A58,الريسبي!$B$2:$B$1800,BF$1)</f>
        <v>0</v>
      </c>
      <c r="BG58" s="117" t="n">
        <f aca="false">SUMIFS(الريسبي!$C$2:$C$1800,الريسبي!$A$2:$A$1800,$A58,الريسبي!$B$2:$B$1800,BG$1)</f>
        <v>0</v>
      </c>
      <c r="BH58" s="117" t="n">
        <f aca="false">SUMIFS(الريسبي!$C$2:$C$1800,الريسبي!$A$2:$A$1800,$A58,الريسبي!$B$2:$B$1800,BH$1)</f>
        <v>0</v>
      </c>
      <c r="BI58" s="117" t="n">
        <f aca="false">SUMIFS(الريسبي!$C$2:$C$1800,الريسبي!$A$2:$A$1800,$A58,الريسبي!$B$2:$B$1800,BI$1)</f>
        <v>0</v>
      </c>
      <c r="BJ58" s="117" t="n">
        <f aca="false">SUMIFS(الريسبي!$C$2:$C$1800,الريسبي!$A$2:$A$1800,$A58,الريسبي!$B$2:$B$1800,BJ$1)</f>
        <v>0</v>
      </c>
      <c r="BK58" s="117" t="n">
        <f aca="false">SUMIFS(الريسبي!$C$2:$C$1800,الريسبي!$A$2:$A$1800,$A58,الريسبي!$B$2:$B$1800,BK$1)</f>
        <v>0</v>
      </c>
      <c r="BL58" s="117" t="n">
        <f aca="false">SUMIFS(الريسبي!$C$2:$C$1800,الريسبي!$A$2:$A$1800,$A58,الريسبي!$B$2:$B$1800,BL$1)</f>
        <v>0</v>
      </c>
      <c r="BM58" s="117" t="n">
        <f aca="false">SUMIFS(الريسبي!$C$2:$C$1800,الريسبي!$A$2:$A$1800,$A58,الريسبي!$B$2:$B$1800,BM$1)</f>
        <v>0</v>
      </c>
      <c r="BN58" s="117" t="n">
        <f aca="false">SUMIFS(الريسبي!$C$2:$C$1800,الريسبي!$A$2:$A$1800,$A58,الريسبي!$B$2:$B$1800,BN$1)</f>
        <v>0.02</v>
      </c>
      <c r="BO58" s="117" t="n">
        <f aca="false">SUMIFS(الريسبي!$C$2:$C$1800,الريسبي!$A$2:$A$1800,$A58,الريسبي!$B$2:$B$1800,BO$1)</f>
        <v>0</v>
      </c>
      <c r="BP58" s="117" t="n">
        <f aca="false">SUMIFS(الريسبي!$C$2:$C$1800,الريسبي!$A$2:$A$1800,$A58,الريسبي!$B$2:$B$1800,BP$1)</f>
        <v>2</v>
      </c>
      <c r="BQ58" s="117" t="n">
        <f aca="false">SUMIFS(الريسبي!$C$2:$C$1800,الريسبي!$A$2:$A$1800,$A58,الريسبي!$B$2:$B$1800,BQ$1)+0.17*SUMIFS(الريسبي!$C$2:$C$1800,الريسبي!$A$2:$A$1800,$A58,الريسبي!$B$2:$B$1800,"كاسترد مصنع (خليط بودر + لبن)")+0.17*SUMIFS(الريسبي!$C$2:$C$1800,الريسبي!$A$2:$A$1800,$A58,الريسبي!$B$2:$B$1800,"كاسترد مصنع صيامي (بدون لبن)")</f>
        <v>0</v>
      </c>
      <c r="BR58" s="117" t="n">
        <f aca="false">SUMIFS(الريسبي!$C$2:$C$1800,الريسبي!$A$2:$A$1800,$A58,الريسبي!$B$2:$B$1800,BR$1)</f>
        <v>1</v>
      </c>
      <c r="BS58" s="117" t="n">
        <f aca="false">SUMIFS(الريسبي!$C$2:$C$1800,الريسبي!$A$2:$A$1800,$A58,الريسبي!$B$2:$B$1800,BS$1)</f>
        <v>0</v>
      </c>
      <c r="BT58" s="117" t="n">
        <f aca="false">SUMIFS(الريسبي!$C$2:$C$1800,الريسبي!$A$2:$A$1800,$A58,الريسبي!$B$2:$B$1800,BT$1)</f>
        <v>0</v>
      </c>
      <c r="BU58" s="117" t="n">
        <f aca="false">SUMIFS(الريسبي!$C$2:$C$1800,الريسبي!$A$2:$A$1800,$A58,الريسبي!$B$2:$B$1800,BU$1)+0.4*SUMIFS(الريسبي!$C$2:$C$1800,الريسبي!$A$2:$A$1800,$A58,الريسبي!$B$2:$B$1800,"كاسترد مصنع (خليط بودر + لبن)")+0.03333333333*SUMIFS(الريسبي!$C$2:$C$1800,الريسبي!$A$2:$A$1800,$A58,الريسبي!$B$2:$B$1800,"عجين كريب (مصنع بالمطعم)")</f>
        <v>0</v>
      </c>
      <c r="BV58" s="117" t="n">
        <f aca="false">SUMIFS(الريسبي!$C$2:$C$1800,الريسبي!$A$2:$A$1800,$A58,الريسبي!$B$2:$B$1800,BV$1)</f>
        <v>0</v>
      </c>
      <c r="BW58" s="117" t="n">
        <f aca="false">SUMIFS(الريسبي!$C$2:$C$1800,الريسبي!$A$2:$A$1800,$A58,الريسبي!$B$2:$B$1800,BW$1)</f>
        <v>0</v>
      </c>
      <c r="BX58" s="117" t="n">
        <f aca="false">SUMIFS(الريسبي!$C$2:$C$1800,الريسبي!$A$2:$A$1800,$A58,الريسبي!$B$2:$B$1800,BX$1)</f>
        <v>0</v>
      </c>
      <c r="BY58" s="117" t="n">
        <f aca="false">SUMIFS(الريسبي!$C$2:$C$1800,الريسبي!$A$2:$A$1800,$A58,الريسبي!$B$2:$B$1800,BY$1)</f>
        <v>0</v>
      </c>
      <c r="BZ58" s="117" t="n">
        <f aca="false">SUMIFS(الريسبي!$C$2:$C$1800,الريسبي!$A$2:$A$1800,$A58,الريسبي!$B$2:$B$1800,BZ$1)</f>
        <v>0</v>
      </c>
      <c r="CA58" s="117" t="n">
        <f aca="false">SUMIFS(الريسبي!$C$2:$C$1800,الريسبي!$A$2:$A$1800,$A58,الريسبي!$B$2:$B$1800,CA$1)</f>
        <v>1</v>
      </c>
      <c r="CB58" s="117" t="n">
        <f aca="false">SUMIFS(الريسبي!$C$2:$C$1800,الريسبي!$A$2:$A$1800,$A58,الريسبي!$B$2:$B$1800,CB$1)</f>
        <v>1</v>
      </c>
      <c r="CC58" s="117" t="n">
        <f aca="false">SUMIFS(الريسبي!$C$2:$C$1800,الريسبي!$A$2:$A$1800,$A58,الريسبي!$B$2:$B$1800,CC$1)</f>
        <v>0</v>
      </c>
      <c r="CD58" s="117" t="n">
        <f aca="false">SUMIFS(الريسبي!$C$2:$C$1800,الريسبي!$A$2:$A$1800,$A58,الريسبي!$B$2:$B$1800,CD$1)</f>
        <v>0</v>
      </c>
      <c r="CE58" s="117" t="n">
        <f aca="false">SUMIFS(الريسبي!$C$2:$C$1800,الريسبي!$A$2:$A$1800,$A58,الريسبي!$B$2:$B$1800,CE$1)</f>
        <v>0</v>
      </c>
      <c r="CF58" s="117" t="n">
        <f aca="false">SUMIFS(الريسبي!$C$2:$C$1800,الريسبي!$A$2:$A$1800,$A58,الريسبي!$B$2:$B$1800,CF$1)</f>
        <v>0</v>
      </c>
      <c r="CG58" s="117" t="n">
        <f aca="false">SUMIFS(الريسبي!$C$2:$C$1800,الريسبي!$A$2:$A$1800,$A58,الريسبي!$B$2:$B$1800,CG$1)</f>
        <v>0</v>
      </c>
      <c r="CH58" s="117" t="n">
        <f aca="false">SUMIFS(الريسبي!$C$2:$C$1800,الريسبي!$A$2:$A$1800,$A58,الريسبي!$B$2:$B$1800,CH$1)</f>
        <v>1</v>
      </c>
      <c r="CI58" s="117" t="n">
        <f aca="false">SUMIFS(الريسبي!$C$2:$C$1800,الريسبي!$A$2:$A$1800,$A58,الريسبي!$B$2:$B$1800,CI$1)</f>
        <v>0</v>
      </c>
      <c r="CJ58" s="117" t="n">
        <f aca="false">SUMIFS(الريسبي!$C$2:$C$1800,الريسبي!$A$2:$A$1800,$A58,الريسبي!$B$2:$B$1800,CJ$1)</f>
        <v>0</v>
      </c>
      <c r="CK58" s="117" t="n">
        <f aca="false">SUMIFS(الريسبي!$C$2:$C$1800,الريسبي!$A$2:$A$1800,$A58,الريسبي!$B$2:$B$1800,CK$1)</f>
        <v>0</v>
      </c>
      <c r="CL58" s="117" t="n">
        <f aca="false">SUMIFS(الريسبي!$C$2:$C$1800,الريسبي!$A$2:$A$1800,$A58,الريسبي!$B$2:$B$1800,CL$1)</f>
        <v>0</v>
      </c>
    </row>
    <row r="59" customFormat="false" ht="15" hidden="false" customHeight="false" outlineLevel="0" collapsed="false">
      <c r="A59" s="116" t="str">
        <f aca="false">المنيو!B59</f>
        <v>مكرونة تجرسكو (فراخ ومشروم)</v>
      </c>
      <c r="B59" s="117" t="n">
        <f aca="false">SUMIFS(الريسبي!$C$2:$C$1800,الريسبي!$A$2:$A$1800,$A59,الريسبي!$B$2:$B$1800,B$1)</f>
        <v>1</v>
      </c>
      <c r="C59" s="117" t="n">
        <f aca="false">SUMIFS(الريسبي!$C$2:$C$1800,الريسبي!$A$2:$A$1800,$A59,الريسبي!$B$2:$B$1800,C$1)</f>
        <v>0</v>
      </c>
      <c r="D59" s="117" t="n">
        <f aca="false">SUMIFS(الريسبي!$C$2:$C$1800,الريسبي!$A$2:$A$1800,$A59,الريسبي!$B$2:$B$1800,D$1)</f>
        <v>0</v>
      </c>
      <c r="E59" s="117" t="n">
        <f aca="false">SUMIFS(الريسبي!$C$2:$C$1800,الريسبي!$A$2:$A$1800,$A59,الريسبي!$B$2:$B$1800,E$1)</f>
        <v>1</v>
      </c>
      <c r="F59" s="117" t="n">
        <f aca="false">SUMIFS(الريسبي!$C$2:$C$1800,الريسبي!$A$2:$A$1800,$A59,الريسبي!$B$2:$B$1800,F$1)</f>
        <v>0</v>
      </c>
      <c r="G59" s="117" t="n">
        <f aca="false">SUMIFS(الريسبي!$C$2:$C$1800,الريسبي!$A$2:$A$1800,$A59,الريسبي!$B$2:$B$1800,G$1)</f>
        <v>0</v>
      </c>
      <c r="H59" s="117" t="n">
        <f aca="false">SUMIFS(الريسبي!$C$2:$C$1800,الريسبي!$A$2:$A$1800,$A59,الريسبي!$B$2:$B$1800,H$1)</f>
        <v>0</v>
      </c>
      <c r="I59" s="117" t="n">
        <f aca="false">SUMIFS(الريسبي!$C$2:$C$1800,الريسبي!$A$2:$A$1800,$A59,الريسبي!$B$2:$B$1800,I$1)</f>
        <v>0</v>
      </c>
      <c r="J59" s="117" t="n">
        <f aca="false">SUMIFS(الريسبي!$C$2:$C$1800,الريسبي!$A$2:$A$1800,$A59,الريسبي!$B$2:$B$1800,J$1)</f>
        <v>0</v>
      </c>
      <c r="K59" s="117" t="n">
        <f aca="false">SUMIFS(الريسبي!$C$2:$C$1800,الريسبي!$A$2:$A$1800,$A59,الريسبي!$B$2:$B$1800,K$1)</f>
        <v>0</v>
      </c>
      <c r="L59" s="117" t="n">
        <f aca="false">SUMIFS(الريسبي!$C$2:$C$1800,الريسبي!$A$2:$A$1800,$A59,الريسبي!$B$2:$B$1800,L$1)</f>
        <v>0</v>
      </c>
      <c r="M59" s="117" t="n">
        <f aca="false">SUMIFS(الريسبي!$C$2:$C$1800,الريسبي!$A$2:$A$1800,$A59,الريسبي!$B$2:$B$1800,M$1)</f>
        <v>0</v>
      </c>
      <c r="N59" s="117" t="n">
        <f aca="false">SUMIFS(الريسبي!$C$2:$C$1800,الريسبي!$A$2:$A$1800,$A59,الريسبي!$B$2:$B$1800,N$1)</f>
        <v>0</v>
      </c>
      <c r="O59" s="117" t="n">
        <f aca="false">SUMIFS(الريسبي!$C$2:$C$1800,الريسبي!$A$2:$A$1800,$A59,الريسبي!$B$2:$B$1800,O$1)</f>
        <v>1</v>
      </c>
      <c r="P59" s="117" t="n">
        <f aca="false">SUMIFS(الريسبي!$C$2:$C$1800,الريسبي!$A$2:$A$1800,$A59,الريسبي!$B$2:$B$1800,P$1)</f>
        <v>0</v>
      </c>
      <c r="Q59" s="117" t="n">
        <f aca="false">SUMIFS(الريسبي!$C$2:$C$1800,الريسبي!$A$2:$A$1800,$A59,الريسبي!$B$2:$B$1800,Q$1)</f>
        <v>0</v>
      </c>
      <c r="R59" s="117" t="n">
        <f aca="false">SUMIFS(الريسبي!$C$2:$C$1800,الريسبي!$A$2:$A$1800,$A59,الريسبي!$B$2:$B$1800,R$1)</f>
        <v>0</v>
      </c>
      <c r="S59" s="117" t="n">
        <f aca="false">SUMIFS(الريسبي!$C$2:$C$1800,الريسبي!$A$2:$A$1800,$A59,الريسبي!$B$2:$B$1800,S$1)</f>
        <v>0</v>
      </c>
      <c r="T59" s="117" t="n">
        <f aca="false">SUMIFS(الريسبي!$C$2:$C$1800,الريسبي!$A$2:$A$1800,$A59,الريسبي!$B$2:$B$1800,T$1)</f>
        <v>0</v>
      </c>
      <c r="U59" s="117" t="n">
        <f aca="false">SUMIFS(الريسبي!$C$2:$C$1800,الريسبي!$A$2:$A$1800,$A59,الريسبي!$B$2:$B$1800,U$1)</f>
        <v>0</v>
      </c>
      <c r="V59" s="117" t="n">
        <f aca="false">SUMIFS(الريسبي!$C$2:$C$1800,الريسبي!$A$2:$A$1800,$A59,الريسبي!$B$2:$B$1800,V$1)</f>
        <v>1</v>
      </c>
      <c r="W59" s="117" t="n">
        <f aca="false">SUMIFS(الريسبي!$C$2:$C$1800,الريسبي!$A$2:$A$1800,$A59,الريسبي!$B$2:$B$1800,W$1)</f>
        <v>0</v>
      </c>
      <c r="X59" s="117" t="n">
        <f aca="false">SUMIFS(الريسبي!$C$2:$C$1800,الريسبي!$A$2:$A$1800,$A59,الريسبي!$B$2:$B$1800,X$1)</f>
        <v>0</v>
      </c>
      <c r="Y59" s="117" t="n">
        <f aca="false">SUMIFS(الريسبي!$C$2:$C$1800,الريسبي!$A$2:$A$1800,$A59,الريسبي!$B$2:$B$1800,Y$1)</f>
        <v>0</v>
      </c>
      <c r="Z59" s="117" t="n">
        <f aca="false">SUMIFS(الريسبي!$C$2:$C$1800,الريسبي!$A$2:$A$1800,$A59,الريسبي!$B$2:$B$1800,Z$1)</f>
        <v>0</v>
      </c>
      <c r="AA59" s="117" t="n">
        <f aca="false">SUMIFS(الريسبي!$C$2:$C$1800,الريسبي!$A$2:$A$1800,$A59,الريسبي!$B$2:$B$1800,AA$1)</f>
        <v>0</v>
      </c>
      <c r="AB59" s="117" t="n">
        <f aca="false">SUMIFS(الريسبي!$C$2:$C$1800,الريسبي!$A$2:$A$1800,$A59,الريسبي!$B$2:$B$1800,AB$1)</f>
        <v>0</v>
      </c>
      <c r="AC59" s="117" t="n">
        <f aca="false">SUMIFS(الريسبي!$C$2:$C$1800,الريسبي!$A$2:$A$1800,$A59,الريسبي!$B$2:$B$1800,AC$1)</f>
        <v>0.2</v>
      </c>
      <c r="AD59" s="117" t="n">
        <f aca="false">SUMIFS(الريسبي!$C$2:$C$1800,الريسبي!$A$2:$A$1800,$A59,الريسبي!$B$2:$B$1800,AD$1)</f>
        <v>0</v>
      </c>
      <c r="AE59" s="117" t="n">
        <f aca="false">SUMIFS(الريسبي!$C$2:$C$1800,الريسبي!$A$2:$A$1800,$A59,الريسبي!$B$2:$B$1800,AE$1)</f>
        <v>0</v>
      </c>
      <c r="AF59" s="117" t="n">
        <f aca="false">SUMIFS(الريسبي!$C$2:$C$1800,الريسبي!$A$2:$A$1800,$A59,الريسبي!$B$2:$B$1800,AF$1)</f>
        <v>0</v>
      </c>
      <c r="AG59" s="117" t="n">
        <f aca="false">SUMIFS(الريسبي!$C$2:$C$1800,الريسبي!$A$2:$A$1800,$A59,الريسبي!$B$2:$B$1800,AG$1)</f>
        <v>0</v>
      </c>
      <c r="AH59" s="117" t="n">
        <f aca="false">SUMIFS(الريسبي!$C$2:$C$1800,الريسبي!$A$2:$A$1800,$A59,الريسبي!$B$2:$B$1800,AH$1)</f>
        <v>0</v>
      </c>
      <c r="AI59" s="117" t="n">
        <f aca="false">SUMIFS(الريسبي!$C$2:$C$1800,الريسبي!$A$2:$A$1800,$A59,الريسبي!$B$2:$B$1800,AI$1)</f>
        <v>0</v>
      </c>
      <c r="AJ59" s="117" t="n">
        <f aca="false">SUMIFS(الريسبي!$C$2:$C$1800,الريسبي!$A$2:$A$1800,$A59,الريسبي!$B$2:$B$1800,AJ$1)</f>
        <v>2</v>
      </c>
      <c r="AK59" s="117" t="n">
        <f aca="false">SUMIFS(الريسبي!$C$2:$C$1800,الريسبي!$A$2:$A$1800,$A59,الريسبي!$B$2:$B$1800,AK$1)</f>
        <v>0</v>
      </c>
      <c r="AL59" s="117" t="n">
        <f aca="false">SUMIFS(الريسبي!$C$2:$C$1800,الريسبي!$A$2:$A$1800,$A59,الريسبي!$B$2:$B$1800,AL$1)</f>
        <v>0</v>
      </c>
      <c r="AM59" s="117" t="n">
        <f aca="false">SUMIFS(الريسبي!$C$2:$C$1800,الريسبي!$A$2:$A$1800,$A59,الريسبي!$B$2:$B$1800,AM$1)+0.08333333333*SUMIFS(الريسبي!$C$2:$C$1800,الريسبي!$A$2:$A$1800,$A59,الريسبي!$B$2:$B$1800,"عجين كريب (مصنع بالمطعم)")+0.08333333333*SUMIFS(الريسبي!$C$2:$C$1800,الريسبي!$A$2:$A$1800,$A59,الريسبي!$B$2:$B$1800,"عجين كريب صيامي (بدون لبن)")</f>
        <v>0</v>
      </c>
      <c r="AN59" s="117" t="n">
        <f aca="false">SUMIFS(الريسبي!$C$2:$C$1800,الريسبي!$A$2:$A$1800,$A59,الريسبي!$B$2:$B$1800,AN$1)+0.004166666667*SUMIFS(الريسبي!$C$2:$C$1800,الريسبي!$A$2:$A$1800,$A59,الريسبي!$B$2:$B$1800,"عجين كريب (مصنع بالمطعم)")+0.004166666667*SUMIFS(الريسبي!$C$2:$C$1800,الريسبي!$A$2:$A$1800,$A59,الريسبي!$B$2:$B$1800,"عجين كريب صيامي (بدون لبن)")</f>
        <v>0.01</v>
      </c>
      <c r="AO59" s="117" t="n">
        <f aca="false">SUMIFS(الريسبي!$C$2:$C$1800,الريسبي!$A$2:$A$1800,$A59,الريسبي!$B$2:$B$1800,AO$1)</f>
        <v>0</v>
      </c>
      <c r="AP59" s="117" t="n">
        <f aca="false">SUMIFS(الريسبي!$C$2:$C$1800,الريسبي!$A$2:$A$1800,$A59,الريسبي!$B$2:$B$1800,AP$1)</f>
        <v>0</v>
      </c>
      <c r="AQ59" s="117" t="n">
        <f aca="false">SUMIFS(الريسبي!$C$2:$C$1800,الريسبي!$A$2:$A$1800,$A59,الريسبي!$B$2:$B$1800,AQ$1)+0.004166666667*SUMIFS(الريسبي!$C$2:$C$1800,الريسبي!$A$2:$A$1800,$A59,الريسبي!$B$2:$B$1800,"عجين كريب (مصنع بالمطعم)")+0.004166666667*SUMIFS(الريسبي!$C$2:$C$1800,الريسبي!$A$2:$A$1800,$A59,الريسبي!$B$2:$B$1800,"عجين كريب صيامي (بدون لبن)")</f>
        <v>0</v>
      </c>
      <c r="AR59" s="117" t="n">
        <f aca="false">SUMIFS(الريسبي!$C$2:$C$1800,الريسبي!$A$2:$A$1800,$A59,الريسبي!$B$2:$B$1800,AR$1)</f>
        <v>0</v>
      </c>
      <c r="AS59" s="117" t="n">
        <f aca="false">SUMIFS(الريسبي!$C$2:$C$1800,الريسبي!$A$2:$A$1800,$A59,الريسبي!$B$2:$B$1800,AS$1)</f>
        <v>0</v>
      </c>
      <c r="AT59" s="117" t="n">
        <f aca="false">SUMIFS(الريسبي!$C$2:$C$1800,الريسبي!$A$2:$A$1800,$A59,الريسبي!$B$2:$B$1800,AT$1)</f>
        <v>0</v>
      </c>
      <c r="AU59" s="117" t="n">
        <f aca="false">SUMIFS(الريسبي!$C$2:$C$1800,الريسبي!$A$2:$A$1800,$A59,الريسبي!$B$2:$B$1800,AU$1)</f>
        <v>1</v>
      </c>
      <c r="AV59" s="117" t="n">
        <f aca="false">SUMIFS(الريسبي!$C$2:$C$1800,الريسبي!$A$2:$A$1800,$A59,الريسبي!$B$2:$B$1800,AV$1)</f>
        <v>0</v>
      </c>
      <c r="AW59" s="117" t="n">
        <f aca="false">SUMIFS(الريسبي!$C$2:$C$1800,الريسبي!$A$2:$A$1800,$A59,الريسبي!$B$2:$B$1800,AW$1)</f>
        <v>0</v>
      </c>
      <c r="AX59" s="117" t="n">
        <f aca="false">SUMIFS(الريسبي!$C$2:$C$1800,الريسبي!$A$2:$A$1800,$A59,الريسبي!$B$2:$B$1800,AX$1)</f>
        <v>0</v>
      </c>
      <c r="AY59" s="117" t="n">
        <f aca="false">SUMIFS(الريسبي!$C$2:$C$1800,الريسبي!$A$2:$A$1800,$A59,الريسبي!$B$2:$B$1800,AY$1)</f>
        <v>0</v>
      </c>
      <c r="AZ59" s="117" t="n">
        <f aca="false">SUMIFS(الريسبي!$C$2:$C$1800,الريسبي!$A$2:$A$1800,$A59,الريسبي!$B$2:$B$1800,AZ$1)</f>
        <v>0</v>
      </c>
      <c r="BA59" s="117" t="n">
        <f aca="false">SUMIFS(الريسبي!$C$2:$C$1800,الريسبي!$A$2:$A$1800,$A59,الريسبي!$B$2:$B$1800,BA$1)</f>
        <v>0</v>
      </c>
      <c r="BB59" s="117" t="n">
        <f aca="false">SUMIFS(الريسبي!$C$2:$C$1800,الريسبي!$A$2:$A$1800,$A59,الريسبي!$B$2:$B$1800,BB$1)</f>
        <v>0</v>
      </c>
      <c r="BC59" s="117" t="n">
        <f aca="false">SUMIFS(الريسبي!$C$2:$C$1800,الريسبي!$A$2:$A$1800,$A59,الريسبي!$B$2:$B$1800,BC$1)</f>
        <v>0</v>
      </c>
      <c r="BD59" s="117" t="n">
        <f aca="false">SUMIFS(الريسبي!$C$2:$C$1800,الريسبي!$A$2:$A$1800,$A59,الريسبي!$B$2:$B$1800,BD$1)</f>
        <v>0</v>
      </c>
      <c r="BE59" s="117" t="n">
        <f aca="false">SUMIFS(الريسبي!$C$2:$C$1800,الريسبي!$A$2:$A$1800,$A59,الريسبي!$B$2:$B$1800,BE$1)</f>
        <v>0</v>
      </c>
      <c r="BF59" s="117" t="n">
        <f aca="false">SUMIFS(الريسبي!$C$2:$C$1800,الريسبي!$A$2:$A$1800,$A59,الريسبي!$B$2:$B$1800,BF$1)</f>
        <v>0</v>
      </c>
      <c r="BG59" s="117" t="n">
        <f aca="false">SUMIFS(الريسبي!$C$2:$C$1800,الريسبي!$A$2:$A$1800,$A59,الريسبي!$B$2:$B$1800,BG$1)</f>
        <v>0</v>
      </c>
      <c r="BH59" s="117" t="n">
        <f aca="false">SUMIFS(الريسبي!$C$2:$C$1800,الريسبي!$A$2:$A$1800,$A59,الريسبي!$B$2:$B$1800,BH$1)</f>
        <v>0</v>
      </c>
      <c r="BI59" s="117" t="n">
        <f aca="false">SUMIFS(الريسبي!$C$2:$C$1800,الريسبي!$A$2:$A$1800,$A59,الريسبي!$B$2:$B$1800,BI$1)</f>
        <v>0</v>
      </c>
      <c r="BJ59" s="117" t="n">
        <f aca="false">SUMIFS(الريسبي!$C$2:$C$1800,الريسبي!$A$2:$A$1800,$A59,الريسبي!$B$2:$B$1800,BJ$1)</f>
        <v>0</v>
      </c>
      <c r="BK59" s="117" t="n">
        <f aca="false">SUMIFS(الريسبي!$C$2:$C$1800,الريسبي!$A$2:$A$1800,$A59,الريسبي!$B$2:$B$1800,BK$1)</f>
        <v>0</v>
      </c>
      <c r="BL59" s="117" t="n">
        <f aca="false">SUMIFS(الريسبي!$C$2:$C$1800,الريسبي!$A$2:$A$1800,$A59,الريسبي!$B$2:$B$1800,BL$1)</f>
        <v>0</v>
      </c>
      <c r="BM59" s="117" t="n">
        <f aca="false">SUMIFS(الريسبي!$C$2:$C$1800,الريسبي!$A$2:$A$1800,$A59,الريسبي!$B$2:$B$1800,BM$1)</f>
        <v>0</v>
      </c>
      <c r="BN59" s="117" t="n">
        <f aca="false">SUMIFS(الريسبي!$C$2:$C$1800,الريسبي!$A$2:$A$1800,$A59,الريسبي!$B$2:$B$1800,BN$1)</f>
        <v>0</v>
      </c>
      <c r="BO59" s="117" t="n">
        <f aca="false">SUMIFS(الريسبي!$C$2:$C$1800,الريسبي!$A$2:$A$1800,$A59,الريسبي!$B$2:$B$1800,BO$1)</f>
        <v>0</v>
      </c>
      <c r="BP59" s="117" t="n">
        <f aca="false">SUMIFS(الريسبي!$C$2:$C$1800,الريسبي!$A$2:$A$1800,$A59,الريسبي!$B$2:$B$1800,BP$1)</f>
        <v>2</v>
      </c>
      <c r="BQ59" s="117" t="n">
        <f aca="false">SUMIFS(الريسبي!$C$2:$C$1800,الريسبي!$A$2:$A$1800,$A59,الريسبي!$B$2:$B$1800,BQ$1)+0.17*SUMIFS(الريسبي!$C$2:$C$1800,الريسبي!$A$2:$A$1800,$A59,الريسبي!$B$2:$B$1800,"كاسترد مصنع (خليط بودر + لبن)")+0.17*SUMIFS(الريسبي!$C$2:$C$1800,الريسبي!$A$2:$A$1800,$A59,الريسبي!$B$2:$B$1800,"كاسترد مصنع صيامي (بدون لبن)")</f>
        <v>0</v>
      </c>
      <c r="BR59" s="117" t="n">
        <f aca="false">SUMIFS(الريسبي!$C$2:$C$1800,الريسبي!$A$2:$A$1800,$A59,الريسبي!$B$2:$B$1800,BR$1)</f>
        <v>0</v>
      </c>
      <c r="BS59" s="117" t="n">
        <f aca="false">SUMIFS(الريسبي!$C$2:$C$1800,الريسبي!$A$2:$A$1800,$A59,الريسبي!$B$2:$B$1800,BS$1)</f>
        <v>0</v>
      </c>
      <c r="BT59" s="117" t="n">
        <f aca="false">SUMIFS(الريسبي!$C$2:$C$1800,الريسبي!$A$2:$A$1800,$A59,الريسبي!$B$2:$B$1800,BT$1)</f>
        <v>0</v>
      </c>
      <c r="BU59" s="117" t="n">
        <f aca="false">SUMIFS(الريسبي!$C$2:$C$1800,الريسبي!$A$2:$A$1800,$A59,الريسبي!$B$2:$B$1800,BU$1)+0.4*SUMIFS(الريسبي!$C$2:$C$1800,الريسبي!$A$2:$A$1800,$A59,الريسبي!$B$2:$B$1800,"كاسترد مصنع (خليط بودر + لبن)")+0.03333333333*SUMIFS(الريسبي!$C$2:$C$1800,الريسبي!$A$2:$A$1800,$A59,الريسبي!$B$2:$B$1800,"عجين كريب (مصنع بالمطعم)")</f>
        <v>0.05</v>
      </c>
      <c r="BV59" s="117" t="n">
        <f aca="false">SUMIFS(الريسبي!$C$2:$C$1800,الريسبي!$A$2:$A$1800,$A59,الريسبي!$B$2:$B$1800,BV$1)</f>
        <v>0</v>
      </c>
      <c r="BW59" s="117" t="n">
        <f aca="false">SUMIFS(الريسبي!$C$2:$C$1800,الريسبي!$A$2:$A$1800,$A59,الريسبي!$B$2:$B$1800,BW$1)</f>
        <v>0</v>
      </c>
      <c r="BX59" s="117" t="n">
        <f aca="false">SUMIFS(الريسبي!$C$2:$C$1800,الريسبي!$A$2:$A$1800,$A59,الريسبي!$B$2:$B$1800,BX$1)</f>
        <v>0.06</v>
      </c>
      <c r="BY59" s="117" t="n">
        <f aca="false">SUMIFS(الريسبي!$C$2:$C$1800,الريسبي!$A$2:$A$1800,$A59,الريسبي!$B$2:$B$1800,BY$1)</f>
        <v>0.15</v>
      </c>
      <c r="BZ59" s="117" t="n">
        <f aca="false">SUMIFS(الريسبي!$C$2:$C$1800,الريسبي!$A$2:$A$1800,$A59,الريسبي!$B$2:$B$1800,BZ$1)</f>
        <v>0</v>
      </c>
      <c r="CA59" s="117" t="n">
        <f aca="false">SUMIFS(الريسبي!$C$2:$C$1800,الريسبي!$A$2:$A$1800,$A59,الريسبي!$B$2:$B$1800,CA$1)</f>
        <v>0</v>
      </c>
      <c r="CB59" s="117" t="n">
        <f aca="false">SUMIFS(الريسبي!$C$2:$C$1800,الريسبي!$A$2:$A$1800,$A59,الريسبي!$B$2:$B$1800,CB$1)</f>
        <v>0</v>
      </c>
      <c r="CC59" s="117" t="n">
        <f aca="false">SUMIFS(الريسبي!$C$2:$C$1800,الريسبي!$A$2:$A$1800,$A59,الريسبي!$B$2:$B$1800,CC$1)</f>
        <v>1</v>
      </c>
      <c r="CD59" s="117" t="n">
        <f aca="false">SUMIFS(الريسبي!$C$2:$C$1800,الريسبي!$A$2:$A$1800,$A59,الريسبي!$B$2:$B$1800,CD$1)</f>
        <v>0</v>
      </c>
      <c r="CE59" s="117" t="n">
        <f aca="false">SUMIFS(الريسبي!$C$2:$C$1800,الريسبي!$A$2:$A$1800,$A59,الريسبي!$B$2:$B$1800,CE$1)</f>
        <v>0</v>
      </c>
      <c r="CF59" s="117" t="n">
        <f aca="false">SUMIFS(الريسبي!$C$2:$C$1800,الريسبي!$A$2:$A$1800,$A59,الريسبي!$B$2:$B$1800,CF$1)</f>
        <v>0</v>
      </c>
      <c r="CG59" s="117" t="n">
        <f aca="false">SUMIFS(الريسبي!$C$2:$C$1800,الريسبي!$A$2:$A$1800,$A59,الريسبي!$B$2:$B$1800,CG$1)</f>
        <v>0</v>
      </c>
      <c r="CH59" s="117" t="n">
        <f aca="false">SUMIFS(الريسبي!$C$2:$C$1800,الريسبي!$A$2:$A$1800,$A59,الريسبي!$B$2:$B$1800,CH$1)</f>
        <v>0</v>
      </c>
      <c r="CI59" s="117" t="n">
        <f aca="false">SUMIFS(الريسبي!$C$2:$C$1800,الريسبي!$A$2:$A$1800,$A59,الريسبي!$B$2:$B$1800,CI$1)</f>
        <v>0</v>
      </c>
      <c r="CJ59" s="117" t="n">
        <f aca="false">SUMIFS(الريسبي!$C$2:$C$1800,الريسبي!$A$2:$A$1800,$A59,الريسبي!$B$2:$B$1800,CJ$1)</f>
        <v>0</v>
      </c>
      <c r="CK59" s="117" t="n">
        <f aca="false">SUMIFS(الريسبي!$C$2:$C$1800,الريسبي!$A$2:$A$1800,$A59,الريسبي!$B$2:$B$1800,CK$1)</f>
        <v>0</v>
      </c>
      <c r="CL59" s="117" t="n">
        <f aca="false">SUMIFS(الريسبي!$C$2:$C$1800,الريسبي!$A$2:$A$1800,$A59,الريسبي!$B$2:$B$1800,CL$1)</f>
        <v>0</v>
      </c>
    </row>
    <row r="60" customFormat="false" ht="15" hidden="false" customHeight="false" outlineLevel="0" collapsed="false">
      <c r="A60" s="116" t="str">
        <f aca="false">المنيو!B60</f>
        <v>مكرونة كريسبي شيدر</v>
      </c>
      <c r="B60" s="117" t="n">
        <f aca="false">SUMIFS(الريسبي!$C$2:$C$1800,الريسبي!$A$2:$A$1800,$A60,الريسبي!$B$2:$B$1800,B$1)</f>
        <v>1</v>
      </c>
      <c r="C60" s="117" t="n">
        <f aca="false">SUMIFS(الريسبي!$C$2:$C$1800,الريسبي!$A$2:$A$1800,$A60,الريسبي!$B$2:$B$1800,C$1)</f>
        <v>0</v>
      </c>
      <c r="D60" s="117" t="n">
        <f aca="false">SUMIFS(الريسبي!$C$2:$C$1800,الريسبي!$A$2:$A$1800,$A60,الريسبي!$B$2:$B$1800,D$1)</f>
        <v>0</v>
      </c>
      <c r="E60" s="117" t="n">
        <f aca="false">SUMIFS(الريسبي!$C$2:$C$1800,الريسبي!$A$2:$A$1800,$A60,الريسبي!$B$2:$B$1800,E$1)</f>
        <v>1</v>
      </c>
      <c r="F60" s="117" t="n">
        <f aca="false">SUMIFS(الريسبي!$C$2:$C$1800,الريسبي!$A$2:$A$1800,$A60,الريسبي!$B$2:$B$1800,F$1)</f>
        <v>0</v>
      </c>
      <c r="G60" s="117" t="n">
        <f aca="false">SUMIFS(الريسبي!$C$2:$C$1800,الريسبي!$A$2:$A$1800,$A60,الريسبي!$B$2:$B$1800,G$1)</f>
        <v>0</v>
      </c>
      <c r="H60" s="117" t="n">
        <f aca="false">SUMIFS(الريسبي!$C$2:$C$1800,الريسبي!$A$2:$A$1800,$A60,الريسبي!$B$2:$B$1800,H$1)</f>
        <v>0</v>
      </c>
      <c r="I60" s="117" t="n">
        <f aca="false">SUMIFS(الريسبي!$C$2:$C$1800,الريسبي!$A$2:$A$1800,$A60,الريسبي!$B$2:$B$1800,I$1)</f>
        <v>0</v>
      </c>
      <c r="J60" s="117" t="n">
        <f aca="false">SUMIFS(الريسبي!$C$2:$C$1800,الريسبي!$A$2:$A$1800,$A60,الريسبي!$B$2:$B$1800,J$1)</f>
        <v>0</v>
      </c>
      <c r="K60" s="117" t="n">
        <f aca="false">SUMIFS(الريسبي!$C$2:$C$1800,الريسبي!$A$2:$A$1800,$A60,الريسبي!$B$2:$B$1800,K$1)</f>
        <v>0</v>
      </c>
      <c r="L60" s="117" t="n">
        <f aca="false">SUMIFS(الريسبي!$C$2:$C$1800,الريسبي!$A$2:$A$1800,$A60,الريسبي!$B$2:$B$1800,L$1)</f>
        <v>0</v>
      </c>
      <c r="M60" s="117" t="n">
        <f aca="false">SUMIFS(الريسبي!$C$2:$C$1800,الريسبي!$A$2:$A$1800,$A60,الريسبي!$B$2:$B$1800,M$1)</f>
        <v>0</v>
      </c>
      <c r="N60" s="117" t="n">
        <f aca="false">SUMIFS(الريسبي!$C$2:$C$1800,الريسبي!$A$2:$A$1800,$A60,الريسبي!$B$2:$B$1800,N$1)</f>
        <v>0</v>
      </c>
      <c r="O60" s="117" t="n">
        <f aca="false">SUMIFS(الريسبي!$C$2:$C$1800,الريسبي!$A$2:$A$1800,$A60,الريسبي!$B$2:$B$1800,O$1)</f>
        <v>0</v>
      </c>
      <c r="P60" s="117" t="n">
        <f aca="false">SUMIFS(الريسبي!$C$2:$C$1800,الريسبي!$A$2:$A$1800,$A60,الريسبي!$B$2:$B$1800,P$1)</f>
        <v>0</v>
      </c>
      <c r="Q60" s="117" t="n">
        <f aca="false">SUMIFS(الريسبي!$C$2:$C$1800,الريسبي!$A$2:$A$1800,$A60,الريسبي!$B$2:$B$1800,Q$1)</f>
        <v>1</v>
      </c>
      <c r="R60" s="117" t="n">
        <f aca="false">SUMIFS(الريسبي!$C$2:$C$1800,الريسبي!$A$2:$A$1800,$A60,الريسبي!$B$2:$B$1800,R$1)</f>
        <v>0</v>
      </c>
      <c r="S60" s="117" t="n">
        <f aca="false">SUMIFS(الريسبي!$C$2:$C$1800,الريسبي!$A$2:$A$1800,$A60,الريسبي!$B$2:$B$1800,S$1)</f>
        <v>0</v>
      </c>
      <c r="T60" s="117" t="n">
        <f aca="false">SUMIFS(الريسبي!$C$2:$C$1800,الريسبي!$A$2:$A$1800,$A60,الريسبي!$B$2:$B$1800,T$1)</f>
        <v>0</v>
      </c>
      <c r="U60" s="117" t="n">
        <f aca="false">SUMIFS(الريسبي!$C$2:$C$1800,الريسبي!$A$2:$A$1800,$A60,الريسبي!$B$2:$B$1800,U$1)</f>
        <v>0</v>
      </c>
      <c r="V60" s="117" t="n">
        <f aca="false">SUMIFS(الريسبي!$C$2:$C$1800,الريسبي!$A$2:$A$1800,$A60,الريسبي!$B$2:$B$1800,V$1)</f>
        <v>1</v>
      </c>
      <c r="W60" s="117" t="n">
        <f aca="false">SUMIFS(الريسبي!$C$2:$C$1800,الريسبي!$A$2:$A$1800,$A60,الريسبي!$B$2:$B$1800,W$1)</f>
        <v>0</v>
      </c>
      <c r="X60" s="117" t="n">
        <f aca="false">SUMIFS(الريسبي!$C$2:$C$1800,الريسبي!$A$2:$A$1800,$A60,الريسبي!$B$2:$B$1800,X$1)</f>
        <v>0</v>
      </c>
      <c r="Y60" s="117" t="n">
        <f aca="false">SUMIFS(الريسبي!$C$2:$C$1800,الريسبي!$A$2:$A$1800,$A60,الريسبي!$B$2:$B$1800,Y$1)</f>
        <v>0</v>
      </c>
      <c r="Z60" s="117" t="n">
        <f aca="false">SUMIFS(الريسبي!$C$2:$C$1800,الريسبي!$A$2:$A$1800,$A60,الريسبي!$B$2:$B$1800,Z$1)</f>
        <v>0</v>
      </c>
      <c r="AA60" s="117" t="n">
        <f aca="false">SUMIFS(الريسبي!$C$2:$C$1800,الريسبي!$A$2:$A$1800,$A60,الريسبي!$B$2:$B$1800,AA$1)</f>
        <v>0</v>
      </c>
      <c r="AB60" s="117" t="n">
        <f aca="false">SUMIFS(الريسبي!$C$2:$C$1800,الريسبي!$A$2:$A$1800,$A60,الريسبي!$B$2:$B$1800,AB$1)</f>
        <v>0</v>
      </c>
      <c r="AC60" s="117" t="n">
        <f aca="false">SUMIFS(الريسبي!$C$2:$C$1800,الريسبي!$A$2:$A$1800,$A60,الريسبي!$B$2:$B$1800,AC$1)</f>
        <v>0.2</v>
      </c>
      <c r="AD60" s="117" t="n">
        <f aca="false">SUMIFS(الريسبي!$C$2:$C$1800,الريسبي!$A$2:$A$1800,$A60,الريسبي!$B$2:$B$1800,AD$1)</f>
        <v>0</v>
      </c>
      <c r="AE60" s="117" t="n">
        <f aca="false">SUMIFS(الريسبي!$C$2:$C$1800,الريسبي!$A$2:$A$1800,$A60,الريسبي!$B$2:$B$1800,AE$1)</f>
        <v>0</v>
      </c>
      <c r="AF60" s="117" t="n">
        <f aca="false">SUMIFS(الريسبي!$C$2:$C$1800,الريسبي!$A$2:$A$1800,$A60,الريسبي!$B$2:$B$1800,AF$1)</f>
        <v>0</v>
      </c>
      <c r="AG60" s="117" t="n">
        <f aca="false">SUMIFS(الريسبي!$C$2:$C$1800,الريسبي!$A$2:$A$1800,$A60,الريسبي!$B$2:$B$1800,AG$1)</f>
        <v>0</v>
      </c>
      <c r="AH60" s="117" t="n">
        <f aca="false">SUMIFS(الريسبي!$C$2:$C$1800,الريسبي!$A$2:$A$1800,$A60,الريسبي!$B$2:$B$1800,AH$1)</f>
        <v>0</v>
      </c>
      <c r="AI60" s="117" t="n">
        <f aca="false">SUMIFS(الريسبي!$C$2:$C$1800,الريسبي!$A$2:$A$1800,$A60,الريسبي!$B$2:$B$1800,AI$1)</f>
        <v>0</v>
      </c>
      <c r="AJ60" s="117" t="n">
        <f aca="false">SUMIFS(الريسبي!$C$2:$C$1800,الريسبي!$A$2:$A$1800,$A60,الريسبي!$B$2:$B$1800,AJ$1)</f>
        <v>2</v>
      </c>
      <c r="AK60" s="117" t="n">
        <f aca="false">SUMIFS(الريسبي!$C$2:$C$1800,الريسبي!$A$2:$A$1800,$A60,الريسبي!$B$2:$B$1800,AK$1)</f>
        <v>0</v>
      </c>
      <c r="AL60" s="117" t="n">
        <f aca="false">SUMIFS(الريسبي!$C$2:$C$1800,الريسبي!$A$2:$A$1800,$A60,الريسبي!$B$2:$B$1800,AL$1)</f>
        <v>0</v>
      </c>
      <c r="AM60" s="117" t="n">
        <f aca="false">SUMIFS(الريسبي!$C$2:$C$1800,الريسبي!$A$2:$A$1800,$A60,الريسبي!$B$2:$B$1800,AM$1)+0.08333333333*SUMIFS(الريسبي!$C$2:$C$1800,الريسبي!$A$2:$A$1800,$A60,الريسبي!$B$2:$B$1800,"عجين كريب (مصنع بالمطعم)")+0.08333333333*SUMIFS(الريسبي!$C$2:$C$1800,الريسبي!$A$2:$A$1800,$A60,الريسبي!$B$2:$B$1800,"عجين كريب صيامي (بدون لبن)")</f>
        <v>0</v>
      </c>
      <c r="AN60" s="117" t="n">
        <f aca="false">SUMIFS(الريسبي!$C$2:$C$1800,الريسبي!$A$2:$A$1800,$A60,الريسبي!$B$2:$B$1800,AN$1)+0.004166666667*SUMIFS(الريسبي!$C$2:$C$1800,الريسبي!$A$2:$A$1800,$A60,الريسبي!$B$2:$B$1800,"عجين كريب (مصنع بالمطعم)")+0.004166666667*SUMIFS(الريسبي!$C$2:$C$1800,الريسبي!$A$2:$A$1800,$A60,الريسبي!$B$2:$B$1800,"عجين كريب صيامي (بدون لبن)")</f>
        <v>0.01</v>
      </c>
      <c r="AO60" s="117" t="n">
        <f aca="false">SUMIFS(الريسبي!$C$2:$C$1800,الريسبي!$A$2:$A$1800,$A60,الريسبي!$B$2:$B$1800,AO$1)</f>
        <v>0</v>
      </c>
      <c r="AP60" s="117" t="n">
        <f aca="false">SUMIFS(الريسبي!$C$2:$C$1800,الريسبي!$A$2:$A$1800,$A60,الريسبي!$B$2:$B$1800,AP$1)</f>
        <v>0</v>
      </c>
      <c r="AQ60" s="117" t="n">
        <f aca="false">SUMIFS(الريسبي!$C$2:$C$1800,الريسبي!$A$2:$A$1800,$A60,الريسبي!$B$2:$B$1800,AQ$1)+0.004166666667*SUMIFS(الريسبي!$C$2:$C$1800,الريسبي!$A$2:$A$1800,$A60,الريسبي!$B$2:$B$1800,"عجين كريب (مصنع بالمطعم)")+0.004166666667*SUMIFS(الريسبي!$C$2:$C$1800,الريسبي!$A$2:$A$1800,$A60,الريسبي!$B$2:$B$1800,"عجين كريب صيامي (بدون لبن)")</f>
        <v>0</v>
      </c>
      <c r="AR60" s="117" t="n">
        <f aca="false">SUMIFS(الريسبي!$C$2:$C$1800,الريسبي!$A$2:$A$1800,$A60,الريسبي!$B$2:$B$1800,AR$1)</f>
        <v>0</v>
      </c>
      <c r="AS60" s="117" t="n">
        <f aca="false">SUMIFS(الريسبي!$C$2:$C$1800,الريسبي!$A$2:$A$1800,$A60,الريسبي!$B$2:$B$1800,AS$1)</f>
        <v>0</v>
      </c>
      <c r="AT60" s="117" t="n">
        <f aca="false">SUMIFS(الريسبي!$C$2:$C$1800,الريسبي!$A$2:$A$1800,$A60,الريسبي!$B$2:$B$1800,AT$1)</f>
        <v>0</v>
      </c>
      <c r="AU60" s="117" t="n">
        <f aca="false">SUMIFS(الريسبي!$C$2:$C$1800,الريسبي!$A$2:$A$1800,$A60,الريسبي!$B$2:$B$1800,AU$1)</f>
        <v>1</v>
      </c>
      <c r="AV60" s="117" t="n">
        <f aca="false">SUMIFS(الريسبي!$C$2:$C$1800,الريسبي!$A$2:$A$1800,$A60,الريسبي!$B$2:$B$1800,AV$1)</f>
        <v>0</v>
      </c>
      <c r="AW60" s="117" t="n">
        <f aca="false">SUMIFS(الريسبي!$C$2:$C$1800,الريسبي!$A$2:$A$1800,$A60,الريسبي!$B$2:$B$1800,AW$1)</f>
        <v>0</v>
      </c>
      <c r="AX60" s="117" t="n">
        <f aca="false">SUMIFS(الريسبي!$C$2:$C$1800,الريسبي!$A$2:$A$1800,$A60,الريسبي!$B$2:$B$1800,AX$1)</f>
        <v>0</v>
      </c>
      <c r="AY60" s="117" t="n">
        <f aca="false">SUMIFS(الريسبي!$C$2:$C$1800,الريسبي!$A$2:$A$1800,$A60,الريسبي!$B$2:$B$1800,AY$1)</f>
        <v>0</v>
      </c>
      <c r="AZ60" s="117" t="n">
        <f aca="false">SUMIFS(الريسبي!$C$2:$C$1800,الريسبي!$A$2:$A$1800,$A60,الريسبي!$B$2:$B$1800,AZ$1)</f>
        <v>0</v>
      </c>
      <c r="BA60" s="117" t="n">
        <f aca="false">SUMIFS(الريسبي!$C$2:$C$1800,الريسبي!$A$2:$A$1800,$A60,الريسبي!$B$2:$B$1800,BA$1)</f>
        <v>0</v>
      </c>
      <c r="BB60" s="117" t="n">
        <f aca="false">SUMIFS(الريسبي!$C$2:$C$1800,الريسبي!$A$2:$A$1800,$A60,الريسبي!$B$2:$B$1800,BB$1)</f>
        <v>0.1</v>
      </c>
      <c r="BC60" s="117" t="n">
        <f aca="false">SUMIFS(الريسبي!$C$2:$C$1800,الريسبي!$A$2:$A$1800,$A60,الريسبي!$B$2:$B$1800,BC$1)</f>
        <v>0</v>
      </c>
      <c r="BD60" s="117" t="n">
        <f aca="false">SUMIFS(الريسبي!$C$2:$C$1800,الريسبي!$A$2:$A$1800,$A60,الريسبي!$B$2:$B$1800,BD$1)</f>
        <v>0</v>
      </c>
      <c r="BE60" s="117" t="n">
        <f aca="false">SUMIFS(الريسبي!$C$2:$C$1800,الريسبي!$A$2:$A$1800,$A60,الريسبي!$B$2:$B$1800,BE$1)</f>
        <v>0</v>
      </c>
      <c r="BF60" s="117" t="n">
        <f aca="false">SUMIFS(الريسبي!$C$2:$C$1800,الريسبي!$A$2:$A$1800,$A60,الريسبي!$B$2:$B$1800,BF$1)</f>
        <v>0</v>
      </c>
      <c r="BG60" s="117" t="n">
        <f aca="false">SUMIFS(الريسبي!$C$2:$C$1800,الريسبي!$A$2:$A$1800,$A60,الريسبي!$B$2:$B$1800,BG$1)</f>
        <v>0</v>
      </c>
      <c r="BH60" s="117" t="n">
        <f aca="false">SUMIFS(الريسبي!$C$2:$C$1800,الريسبي!$A$2:$A$1800,$A60,الريسبي!$B$2:$B$1800,BH$1)</f>
        <v>0</v>
      </c>
      <c r="BI60" s="117" t="n">
        <f aca="false">SUMIFS(الريسبي!$C$2:$C$1800,الريسبي!$A$2:$A$1800,$A60,الريسبي!$B$2:$B$1800,BI$1)</f>
        <v>0</v>
      </c>
      <c r="BJ60" s="117" t="n">
        <f aca="false">SUMIFS(الريسبي!$C$2:$C$1800,الريسبي!$A$2:$A$1800,$A60,الريسبي!$B$2:$B$1800,BJ$1)</f>
        <v>0</v>
      </c>
      <c r="BK60" s="117" t="n">
        <f aca="false">SUMIFS(الريسبي!$C$2:$C$1800,الريسبي!$A$2:$A$1800,$A60,الريسبي!$B$2:$B$1800,BK$1)</f>
        <v>0</v>
      </c>
      <c r="BL60" s="117" t="n">
        <f aca="false">SUMIFS(الريسبي!$C$2:$C$1800,الريسبي!$A$2:$A$1800,$A60,الريسبي!$B$2:$B$1800,BL$1)</f>
        <v>0</v>
      </c>
      <c r="BM60" s="117" t="n">
        <f aca="false">SUMIFS(الريسبي!$C$2:$C$1800,الريسبي!$A$2:$A$1800,$A60,الريسبي!$B$2:$B$1800,BM$1)</f>
        <v>0</v>
      </c>
      <c r="BN60" s="117" t="n">
        <f aca="false">SUMIFS(الريسبي!$C$2:$C$1800,الريسبي!$A$2:$A$1800,$A60,الريسبي!$B$2:$B$1800,BN$1)</f>
        <v>0</v>
      </c>
      <c r="BO60" s="117" t="n">
        <f aca="false">SUMIFS(الريسبي!$C$2:$C$1800,الريسبي!$A$2:$A$1800,$A60,الريسبي!$B$2:$B$1800,BO$1)</f>
        <v>0</v>
      </c>
      <c r="BP60" s="117" t="n">
        <f aca="false">SUMIFS(الريسبي!$C$2:$C$1800,الريسبي!$A$2:$A$1800,$A60,الريسبي!$B$2:$B$1800,BP$1)</f>
        <v>2</v>
      </c>
      <c r="BQ60" s="117" t="n">
        <f aca="false">SUMIFS(الريسبي!$C$2:$C$1800,الريسبي!$A$2:$A$1800,$A60,الريسبي!$B$2:$B$1800,BQ$1)+0.17*SUMIFS(الريسبي!$C$2:$C$1800,الريسبي!$A$2:$A$1800,$A60,الريسبي!$B$2:$B$1800,"كاسترد مصنع (خليط بودر + لبن)")+0.17*SUMIFS(الريسبي!$C$2:$C$1800,الريسبي!$A$2:$A$1800,$A60,الريسبي!$B$2:$B$1800,"كاسترد مصنع صيامي (بدون لبن)")</f>
        <v>0</v>
      </c>
      <c r="BR60" s="117" t="n">
        <f aca="false">SUMIFS(الريسبي!$C$2:$C$1800,الريسبي!$A$2:$A$1800,$A60,الريسبي!$B$2:$B$1800,BR$1)</f>
        <v>0</v>
      </c>
      <c r="BS60" s="117" t="n">
        <f aca="false">SUMIFS(الريسبي!$C$2:$C$1800,الريسبي!$A$2:$A$1800,$A60,الريسبي!$B$2:$B$1800,BS$1)</f>
        <v>0</v>
      </c>
      <c r="BT60" s="117" t="n">
        <f aca="false">SUMIFS(الريسبي!$C$2:$C$1800,الريسبي!$A$2:$A$1800,$A60,الريسبي!$B$2:$B$1800,BT$1)</f>
        <v>0</v>
      </c>
      <c r="BU60" s="117" t="n">
        <f aca="false">SUMIFS(الريسبي!$C$2:$C$1800,الريسبي!$A$2:$A$1800,$A60,الريسبي!$B$2:$B$1800,BU$1)+0.4*SUMIFS(الريسبي!$C$2:$C$1800,الريسبي!$A$2:$A$1800,$A60,الريسبي!$B$2:$B$1800,"كاسترد مصنع (خليط بودر + لبن)")+0.03333333333*SUMIFS(الريسبي!$C$2:$C$1800,الريسبي!$A$2:$A$1800,$A60,الريسبي!$B$2:$B$1800,"عجين كريب (مصنع بالمطعم)")</f>
        <v>0.05</v>
      </c>
      <c r="BV60" s="117" t="n">
        <f aca="false">SUMIFS(الريسبي!$C$2:$C$1800,الريسبي!$A$2:$A$1800,$A60,الريسبي!$B$2:$B$1800,BV$1)</f>
        <v>0</v>
      </c>
      <c r="BW60" s="117" t="n">
        <f aca="false">SUMIFS(الريسبي!$C$2:$C$1800,الريسبي!$A$2:$A$1800,$A60,الريسبي!$B$2:$B$1800,BW$1)</f>
        <v>0</v>
      </c>
      <c r="BX60" s="117" t="n">
        <f aca="false">SUMIFS(الريسبي!$C$2:$C$1800,الريسبي!$A$2:$A$1800,$A60,الريسبي!$B$2:$B$1800,BX$1)</f>
        <v>0</v>
      </c>
      <c r="BY60" s="117" t="n">
        <f aca="false">SUMIFS(الريسبي!$C$2:$C$1800,الريسبي!$A$2:$A$1800,$A60,الريسبي!$B$2:$B$1800,BY$1)</f>
        <v>0.15</v>
      </c>
      <c r="BZ60" s="117" t="n">
        <f aca="false">SUMIFS(الريسبي!$C$2:$C$1800,الريسبي!$A$2:$A$1800,$A60,الريسبي!$B$2:$B$1800,BZ$1)</f>
        <v>0</v>
      </c>
      <c r="CA60" s="117" t="n">
        <f aca="false">SUMIFS(الريسبي!$C$2:$C$1800,الريسبي!$A$2:$A$1800,$A60,الريسبي!$B$2:$B$1800,CA$1)</f>
        <v>0</v>
      </c>
      <c r="CB60" s="117" t="n">
        <f aca="false">SUMIFS(الريسبي!$C$2:$C$1800,الريسبي!$A$2:$A$1800,$A60,الريسبي!$B$2:$B$1800,CB$1)</f>
        <v>0</v>
      </c>
      <c r="CC60" s="117" t="n">
        <f aca="false">SUMIFS(الريسبي!$C$2:$C$1800,الريسبي!$A$2:$A$1800,$A60,الريسبي!$B$2:$B$1800,CC$1)</f>
        <v>1</v>
      </c>
      <c r="CD60" s="117" t="n">
        <f aca="false">SUMIFS(الريسبي!$C$2:$C$1800,الريسبي!$A$2:$A$1800,$A60,الريسبي!$B$2:$B$1800,CD$1)</f>
        <v>0</v>
      </c>
      <c r="CE60" s="117" t="n">
        <f aca="false">SUMIFS(الريسبي!$C$2:$C$1800,الريسبي!$A$2:$A$1800,$A60,الريسبي!$B$2:$B$1800,CE$1)</f>
        <v>0</v>
      </c>
      <c r="CF60" s="117" t="n">
        <f aca="false">SUMIFS(الريسبي!$C$2:$C$1800,الريسبي!$A$2:$A$1800,$A60,الريسبي!$B$2:$B$1800,CF$1)</f>
        <v>0</v>
      </c>
      <c r="CG60" s="117" t="n">
        <f aca="false">SUMIFS(الريسبي!$C$2:$C$1800,الريسبي!$A$2:$A$1800,$A60,الريسبي!$B$2:$B$1800,CG$1)</f>
        <v>0</v>
      </c>
      <c r="CH60" s="117" t="n">
        <f aca="false">SUMIFS(الريسبي!$C$2:$C$1800,الريسبي!$A$2:$A$1800,$A60,الريسبي!$B$2:$B$1800,CH$1)</f>
        <v>0</v>
      </c>
      <c r="CI60" s="117" t="n">
        <f aca="false">SUMIFS(الريسبي!$C$2:$C$1800,الريسبي!$A$2:$A$1800,$A60,الريسبي!$B$2:$B$1800,CI$1)</f>
        <v>0</v>
      </c>
      <c r="CJ60" s="117" t="n">
        <f aca="false">SUMIFS(الريسبي!$C$2:$C$1800,الريسبي!$A$2:$A$1800,$A60,الريسبي!$B$2:$B$1800,CJ$1)</f>
        <v>0</v>
      </c>
      <c r="CK60" s="117" t="n">
        <f aca="false">SUMIFS(الريسبي!$C$2:$C$1800,الريسبي!$A$2:$A$1800,$A60,الريسبي!$B$2:$B$1800,CK$1)</f>
        <v>0</v>
      </c>
      <c r="CL60" s="117" t="n">
        <f aca="false">SUMIFS(الريسبي!$C$2:$C$1800,الريسبي!$A$2:$A$1800,$A60,الريسبي!$B$2:$B$1800,CL$1)</f>
        <v>0</v>
      </c>
    </row>
    <row r="61" customFormat="false" ht="15" hidden="false" customHeight="false" outlineLevel="0" collapsed="false">
      <c r="A61" s="116" t="str">
        <f aca="false">المنيو!B61</f>
        <v>مكرونة كريسبي رانش</v>
      </c>
      <c r="B61" s="117" t="n">
        <f aca="false">SUMIFS(الريسبي!$C$2:$C$1800,الريسبي!$A$2:$A$1800,$A61,الريسبي!$B$2:$B$1800,B$1)</f>
        <v>1</v>
      </c>
      <c r="C61" s="117" t="n">
        <f aca="false">SUMIFS(الريسبي!$C$2:$C$1800,الريسبي!$A$2:$A$1800,$A61,الريسبي!$B$2:$B$1800,C$1)</f>
        <v>0</v>
      </c>
      <c r="D61" s="117" t="n">
        <f aca="false">SUMIFS(الريسبي!$C$2:$C$1800,الريسبي!$A$2:$A$1800,$A61,الريسبي!$B$2:$B$1800,D$1)</f>
        <v>0</v>
      </c>
      <c r="E61" s="117" t="n">
        <f aca="false">SUMIFS(الريسبي!$C$2:$C$1800,الريسبي!$A$2:$A$1800,$A61,الريسبي!$B$2:$B$1800,E$1)</f>
        <v>1</v>
      </c>
      <c r="F61" s="117" t="n">
        <f aca="false">SUMIFS(الريسبي!$C$2:$C$1800,الريسبي!$A$2:$A$1800,$A61,الريسبي!$B$2:$B$1800,F$1)</f>
        <v>0</v>
      </c>
      <c r="G61" s="117" t="n">
        <f aca="false">SUMIFS(الريسبي!$C$2:$C$1800,الريسبي!$A$2:$A$1800,$A61,الريسبي!$B$2:$B$1800,G$1)</f>
        <v>0</v>
      </c>
      <c r="H61" s="117" t="n">
        <f aca="false">SUMIFS(الريسبي!$C$2:$C$1800,الريسبي!$A$2:$A$1800,$A61,الريسبي!$B$2:$B$1800,H$1)</f>
        <v>0</v>
      </c>
      <c r="I61" s="117" t="n">
        <f aca="false">SUMIFS(الريسبي!$C$2:$C$1800,الريسبي!$A$2:$A$1800,$A61,الريسبي!$B$2:$B$1800,I$1)</f>
        <v>0</v>
      </c>
      <c r="J61" s="117" t="n">
        <f aca="false">SUMIFS(الريسبي!$C$2:$C$1800,الريسبي!$A$2:$A$1800,$A61,الريسبي!$B$2:$B$1800,J$1)</f>
        <v>0</v>
      </c>
      <c r="K61" s="117" t="n">
        <f aca="false">SUMIFS(الريسبي!$C$2:$C$1800,الريسبي!$A$2:$A$1800,$A61,الريسبي!$B$2:$B$1800,K$1)</f>
        <v>0</v>
      </c>
      <c r="L61" s="117" t="n">
        <f aca="false">SUMIFS(الريسبي!$C$2:$C$1800,الريسبي!$A$2:$A$1800,$A61,الريسبي!$B$2:$B$1800,L$1)</f>
        <v>0</v>
      </c>
      <c r="M61" s="117" t="n">
        <f aca="false">SUMIFS(الريسبي!$C$2:$C$1800,الريسبي!$A$2:$A$1800,$A61,الريسبي!$B$2:$B$1800,M$1)</f>
        <v>0</v>
      </c>
      <c r="N61" s="117" t="n">
        <f aca="false">SUMIFS(الريسبي!$C$2:$C$1800,الريسبي!$A$2:$A$1800,$A61,الريسبي!$B$2:$B$1800,N$1)</f>
        <v>0</v>
      </c>
      <c r="O61" s="117" t="n">
        <f aca="false">SUMIFS(الريسبي!$C$2:$C$1800,الريسبي!$A$2:$A$1800,$A61,الريسبي!$B$2:$B$1800,O$1)</f>
        <v>0</v>
      </c>
      <c r="P61" s="117" t="n">
        <f aca="false">SUMIFS(الريسبي!$C$2:$C$1800,الريسبي!$A$2:$A$1800,$A61,الريسبي!$B$2:$B$1800,P$1)</f>
        <v>0</v>
      </c>
      <c r="Q61" s="117" t="n">
        <f aca="false">SUMIFS(الريسبي!$C$2:$C$1800,الريسبي!$A$2:$A$1800,$A61,الريسبي!$B$2:$B$1800,Q$1)</f>
        <v>1</v>
      </c>
      <c r="R61" s="117" t="n">
        <f aca="false">SUMIFS(الريسبي!$C$2:$C$1800,الريسبي!$A$2:$A$1800,$A61,الريسبي!$B$2:$B$1800,R$1)</f>
        <v>0</v>
      </c>
      <c r="S61" s="117" t="n">
        <f aca="false">SUMIFS(الريسبي!$C$2:$C$1800,الريسبي!$A$2:$A$1800,$A61,الريسبي!$B$2:$B$1800,S$1)</f>
        <v>0</v>
      </c>
      <c r="T61" s="117" t="n">
        <f aca="false">SUMIFS(الريسبي!$C$2:$C$1800,الريسبي!$A$2:$A$1800,$A61,الريسبي!$B$2:$B$1800,T$1)</f>
        <v>0</v>
      </c>
      <c r="U61" s="117" t="n">
        <f aca="false">SUMIFS(الريسبي!$C$2:$C$1800,الريسبي!$A$2:$A$1800,$A61,الريسبي!$B$2:$B$1800,U$1)</f>
        <v>0</v>
      </c>
      <c r="V61" s="117" t="n">
        <f aca="false">SUMIFS(الريسبي!$C$2:$C$1800,الريسبي!$A$2:$A$1800,$A61,الريسبي!$B$2:$B$1800,V$1)</f>
        <v>1</v>
      </c>
      <c r="W61" s="117" t="n">
        <f aca="false">SUMIFS(الريسبي!$C$2:$C$1800,الريسبي!$A$2:$A$1800,$A61,الريسبي!$B$2:$B$1800,W$1)</f>
        <v>0</v>
      </c>
      <c r="X61" s="117" t="n">
        <f aca="false">SUMIFS(الريسبي!$C$2:$C$1800,الريسبي!$A$2:$A$1800,$A61,الريسبي!$B$2:$B$1800,X$1)</f>
        <v>0</v>
      </c>
      <c r="Y61" s="117" t="n">
        <f aca="false">SUMIFS(الريسبي!$C$2:$C$1800,الريسبي!$A$2:$A$1800,$A61,الريسبي!$B$2:$B$1800,Y$1)</f>
        <v>0</v>
      </c>
      <c r="Z61" s="117" t="n">
        <f aca="false">SUMIFS(الريسبي!$C$2:$C$1800,الريسبي!$A$2:$A$1800,$A61,الريسبي!$B$2:$B$1800,Z$1)</f>
        <v>0</v>
      </c>
      <c r="AA61" s="117" t="n">
        <f aca="false">SUMIFS(الريسبي!$C$2:$C$1800,الريسبي!$A$2:$A$1800,$A61,الريسبي!$B$2:$B$1800,AA$1)</f>
        <v>0</v>
      </c>
      <c r="AB61" s="117" t="n">
        <f aca="false">SUMIFS(الريسبي!$C$2:$C$1800,الريسبي!$A$2:$A$1800,$A61,الريسبي!$B$2:$B$1800,AB$1)</f>
        <v>0</v>
      </c>
      <c r="AC61" s="117" t="n">
        <f aca="false">SUMIFS(الريسبي!$C$2:$C$1800,الريسبي!$A$2:$A$1800,$A61,الريسبي!$B$2:$B$1800,AC$1)</f>
        <v>0.2</v>
      </c>
      <c r="AD61" s="117" t="n">
        <f aca="false">SUMIFS(الريسبي!$C$2:$C$1800,الريسبي!$A$2:$A$1800,$A61,الريسبي!$B$2:$B$1800,AD$1)</f>
        <v>0</v>
      </c>
      <c r="AE61" s="117" t="n">
        <f aca="false">SUMIFS(الريسبي!$C$2:$C$1800,الريسبي!$A$2:$A$1800,$A61,الريسبي!$B$2:$B$1800,AE$1)</f>
        <v>0</v>
      </c>
      <c r="AF61" s="117" t="n">
        <f aca="false">SUMIFS(الريسبي!$C$2:$C$1800,الريسبي!$A$2:$A$1800,$A61,الريسبي!$B$2:$B$1800,AF$1)</f>
        <v>0</v>
      </c>
      <c r="AG61" s="117" t="n">
        <f aca="false">SUMIFS(الريسبي!$C$2:$C$1800,الريسبي!$A$2:$A$1800,$A61,الريسبي!$B$2:$B$1800,AG$1)</f>
        <v>0</v>
      </c>
      <c r="AH61" s="117" t="n">
        <f aca="false">SUMIFS(الريسبي!$C$2:$C$1800,الريسبي!$A$2:$A$1800,$A61,الريسبي!$B$2:$B$1800,AH$1)</f>
        <v>0</v>
      </c>
      <c r="AI61" s="117" t="n">
        <f aca="false">SUMIFS(الريسبي!$C$2:$C$1800,الريسبي!$A$2:$A$1800,$A61,الريسبي!$B$2:$B$1800,AI$1)</f>
        <v>0</v>
      </c>
      <c r="AJ61" s="117" t="n">
        <f aca="false">SUMIFS(الريسبي!$C$2:$C$1800,الريسبي!$A$2:$A$1800,$A61,الريسبي!$B$2:$B$1800,AJ$1)</f>
        <v>2</v>
      </c>
      <c r="AK61" s="117" t="n">
        <f aca="false">SUMIFS(الريسبي!$C$2:$C$1800,الريسبي!$A$2:$A$1800,$A61,الريسبي!$B$2:$B$1800,AK$1)</f>
        <v>0</v>
      </c>
      <c r="AL61" s="117" t="n">
        <f aca="false">SUMIFS(الريسبي!$C$2:$C$1800,الريسبي!$A$2:$A$1800,$A61,الريسبي!$B$2:$B$1800,AL$1)</f>
        <v>0</v>
      </c>
      <c r="AM61" s="117" t="n">
        <f aca="false">SUMIFS(الريسبي!$C$2:$C$1800,الريسبي!$A$2:$A$1800,$A61,الريسبي!$B$2:$B$1800,AM$1)+0.08333333333*SUMIFS(الريسبي!$C$2:$C$1800,الريسبي!$A$2:$A$1800,$A61,الريسبي!$B$2:$B$1800,"عجين كريب (مصنع بالمطعم)")+0.08333333333*SUMIFS(الريسبي!$C$2:$C$1800,الريسبي!$A$2:$A$1800,$A61,الريسبي!$B$2:$B$1800,"عجين كريب صيامي (بدون لبن)")</f>
        <v>0</v>
      </c>
      <c r="AN61" s="117" t="n">
        <f aca="false">SUMIFS(الريسبي!$C$2:$C$1800,الريسبي!$A$2:$A$1800,$A61,الريسبي!$B$2:$B$1800,AN$1)+0.004166666667*SUMIFS(الريسبي!$C$2:$C$1800,الريسبي!$A$2:$A$1800,$A61,الريسبي!$B$2:$B$1800,"عجين كريب (مصنع بالمطعم)")+0.004166666667*SUMIFS(الريسبي!$C$2:$C$1800,الريسبي!$A$2:$A$1800,$A61,الريسبي!$B$2:$B$1800,"عجين كريب صيامي (بدون لبن)")</f>
        <v>0.01</v>
      </c>
      <c r="AO61" s="117" t="n">
        <f aca="false">SUMIFS(الريسبي!$C$2:$C$1800,الريسبي!$A$2:$A$1800,$A61,الريسبي!$B$2:$B$1800,AO$1)</f>
        <v>0</v>
      </c>
      <c r="AP61" s="117" t="n">
        <f aca="false">SUMIFS(الريسبي!$C$2:$C$1800,الريسبي!$A$2:$A$1800,$A61,الريسبي!$B$2:$B$1800,AP$1)</f>
        <v>0</v>
      </c>
      <c r="AQ61" s="117" t="n">
        <f aca="false">SUMIFS(الريسبي!$C$2:$C$1800,الريسبي!$A$2:$A$1800,$A61,الريسبي!$B$2:$B$1800,AQ$1)+0.004166666667*SUMIFS(الريسبي!$C$2:$C$1800,الريسبي!$A$2:$A$1800,$A61,الريسبي!$B$2:$B$1800,"عجين كريب (مصنع بالمطعم)")+0.004166666667*SUMIFS(الريسبي!$C$2:$C$1800,الريسبي!$A$2:$A$1800,$A61,الريسبي!$B$2:$B$1800,"عجين كريب صيامي (بدون لبن)")</f>
        <v>0</v>
      </c>
      <c r="AR61" s="117" t="n">
        <f aca="false">SUMIFS(الريسبي!$C$2:$C$1800,الريسبي!$A$2:$A$1800,$A61,الريسبي!$B$2:$B$1800,AR$1)</f>
        <v>0</v>
      </c>
      <c r="AS61" s="117" t="n">
        <f aca="false">SUMIFS(الريسبي!$C$2:$C$1800,الريسبي!$A$2:$A$1800,$A61,الريسبي!$B$2:$B$1800,AS$1)</f>
        <v>0</v>
      </c>
      <c r="AT61" s="117" t="n">
        <f aca="false">SUMIFS(الريسبي!$C$2:$C$1800,الريسبي!$A$2:$A$1800,$A61,الريسبي!$B$2:$B$1800,AT$1)</f>
        <v>0</v>
      </c>
      <c r="AU61" s="117" t="n">
        <f aca="false">SUMIFS(الريسبي!$C$2:$C$1800,الريسبي!$A$2:$A$1800,$A61,الريسبي!$B$2:$B$1800,AU$1)</f>
        <v>1</v>
      </c>
      <c r="AV61" s="117" t="n">
        <f aca="false">SUMIFS(الريسبي!$C$2:$C$1800,الريسبي!$A$2:$A$1800,$A61,الريسبي!$B$2:$B$1800,AV$1)</f>
        <v>0</v>
      </c>
      <c r="AW61" s="117" t="n">
        <f aca="false">SUMIFS(الريسبي!$C$2:$C$1800,الريسبي!$A$2:$A$1800,$A61,الريسبي!$B$2:$B$1800,AW$1)</f>
        <v>0</v>
      </c>
      <c r="AX61" s="117" t="n">
        <f aca="false">SUMIFS(الريسبي!$C$2:$C$1800,الريسبي!$A$2:$A$1800,$A61,الريسبي!$B$2:$B$1800,AX$1)</f>
        <v>0</v>
      </c>
      <c r="AY61" s="117" t="n">
        <f aca="false">SUMIFS(الريسبي!$C$2:$C$1800,الريسبي!$A$2:$A$1800,$A61,الريسبي!$B$2:$B$1800,AY$1)</f>
        <v>0</v>
      </c>
      <c r="AZ61" s="117" t="n">
        <f aca="false">SUMIFS(الريسبي!$C$2:$C$1800,الريسبي!$A$2:$A$1800,$A61,الريسبي!$B$2:$B$1800,AZ$1)</f>
        <v>0</v>
      </c>
      <c r="BA61" s="117" t="n">
        <f aca="false">SUMIFS(الريسبي!$C$2:$C$1800,الريسبي!$A$2:$A$1800,$A61,الريسبي!$B$2:$B$1800,BA$1)</f>
        <v>0.1</v>
      </c>
      <c r="BB61" s="117" t="n">
        <f aca="false">SUMIFS(الريسبي!$C$2:$C$1800,الريسبي!$A$2:$A$1800,$A61,الريسبي!$B$2:$B$1800,BB$1)</f>
        <v>0</v>
      </c>
      <c r="BC61" s="117" t="n">
        <f aca="false">SUMIFS(الريسبي!$C$2:$C$1800,الريسبي!$A$2:$A$1800,$A61,الريسبي!$B$2:$B$1800,BC$1)</f>
        <v>0</v>
      </c>
      <c r="BD61" s="117" t="n">
        <f aca="false">SUMIFS(الريسبي!$C$2:$C$1800,الريسبي!$A$2:$A$1800,$A61,الريسبي!$B$2:$B$1800,BD$1)</f>
        <v>0</v>
      </c>
      <c r="BE61" s="117" t="n">
        <f aca="false">SUMIFS(الريسبي!$C$2:$C$1800,الريسبي!$A$2:$A$1800,$A61,الريسبي!$B$2:$B$1800,BE$1)</f>
        <v>0</v>
      </c>
      <c r="BF61" s="117" t="n">
        <f aca="false">SUMIFS(الريسبي!$C$2:$C$1800,الريسبي!$A$2:$A$1800,$A61,الريسبي!$B$2:$B$1800,BF$1)</f>
        <v>0</v>
      </c>
      <c r="BG61" s="117" t="n">
        <f aca="false">SUMIFS(الريسبي!$C$2:$C$1800,الريسبي!$A$2:$A$1800,$A61,الريسبي!$B$2:$B$1800,BG$1)</f>
        <v>0</v>
      </c>
      <c r="BH61" s="117" t="n">
        <f aca="false">SUMIFS(الريسبي!$C$2:$C$1800,الريسبي!$A$2:$A$1800,$A61,الريسبي!$B$2:$B$1800,BH$1)</f>
        <v>0</v>
      </c>
      <c r="BI61" s="117" t="n">
        <f aca="false">SUMIFS(الريسبي!$C$2:$C$1800,الريسبي!$A$2:$A$1800,$A61,الريسبي!$B$2:$B$1800,BI$1)</f>
        <v>0</v>
      </c>
      <c r="BJ61" s="117" t="n">
        <f aca="false">SUMIFS(الريسبي!$C$2:$C$1800,الريسبي!$A$2:$A$1800,$A61,الريسبي!$B$2:$B$1800,BJ$1)</f>
        <v>0</v>
      </c>
      <c r="BK61" s="117" t="n">
        <f aca="false">SUMIFS(الريسبي!$C$2:$C$1800,الريسبي!$A$2:$A$1800,$A61,الريسبي!$B$2:$B$1800,BK$1)</f>
        <v>0</v>
      </c>
      <c r="BL61" s="117" t="n">
        <f aca="false">SUMIFS(الريسبي!$C$2:$C$1800,الريسبي!$A$2:$A$1800,$A61,الريسبي!$B$2:$B$1800,BL$1)</f>
        <v>0</v>
      </c>
      <c r="BM61" s="117" t="n">
        <f aca="false">SUMIFS(الريسبي!$C$2:$C$1800,الريسبي!$A$2:$A$1800,$A61,الريسبي!$B$2:$B$1800,BM$1)</f>
        <v>0</v>
      </c>
      <c r="BN61" s="117" t="n">
        <f aca="false">SUMIFS(الريسبي!$C$2:$C$1800,الريسبي!$A$2:$A$1800,$A61,الريسبي!$B$2:$B$1800,BN$1)</f>
        <v>0</v>
      </c>
      <c r="BO61" s="117" t="n">
        <f aca="false">SUMIFS(الريسبي!$C$2:$C$1800,الريسبي!$A$2:$A$1800,$A61,الريسبي!$B$2:$B$1800,BO$1)</f>
        <v>0</v>
      </c>
      <c r="BP61" s="117" t="n">
        <f aca="false">SUMIFS(الريسبي!$C$2:$C$1800,الريسبي!$A$2:$A$1800,$A61,الريسبي!$B$2:$B$1800,BP$1)</f>
        <v>2</v>
      </c>
      <c r="BQ61" s="117" t="n">
        <f aca="false">SUMIFS(الريسبي!$C$2:$C$1800,الريسبي!$A$2:$A$1800,$A61,الريسبي!$B$2:$B$1800,BQ$1)+0.17*SUMIFS(الريسبي!$C$2:$C$1800,الريسبي!$A$2:$A$1800,$A61,الريسبي!$B$2:$B$1800,"كاسترد مصنع (خليط بودر + لبن)")+0.17*SUMIFS(الريسبي!$C$2:$C$1800,الريسبي!$A$2:$A$1800,$A61,الريسبي!$B$2:$B$1800,"كاسترد مصنع صيامي (بدون لبن)")</f>
        <v>0</v>
      </c>
      <c r="BR61" s="117" t="n">
        <f aca="false">SUMIFS(الريسبي!$C$2:$C$1800,الريسبي!$A$2:$A$1800,$A61,الريسبي!$B$2:$B$1800,BR$1)</f>
        <v>0</v>
      </c>
      <c r="BS61" s="117" t="n">
        <f aca="false">SUMIFS(الريسبي!$C$2:$C$1800,الريسبي!$A$2:$A$1800,$A61,الريسبي!$B$2:$B$1800,BS$1)</f>
        <v>0</v>
      </c>
      <c r="BT61" s="117" t="n">
        <f aca="false">SUMIFS(الريسبي!$C$2:$C$1800,الريسبي!$A$2:$A$1800,$A61,الريسبي!$B$2:$B$1800,BT$1)</f>
        <v>0</v>
      </c>
      <c r="BU61" s="117" t="n">
        <f aca="false">SUMIFS(الريسبي!$C$2:$C$1800,الريسبي!$A$2:$A$1800,$A61,الريسبي!$B$2:$B$1800,BU$1)+0.4*SUMIFS(الريسبي!$C$2:$C$1800,الريسبي!$A$2:$A$1800,$A61,الريسبي!$B$2:$B$1800,"كاسترد مصنع (خليط بودر + لبن)")+0.03333333333*SUMIFS(الريسبي!$C$2:$C$1800,الريسبي!$A$2:$A$1800,$A61,الريسبي!$B$2:$B$1800,"عجين كريب (مصنع بالمطعم)")</f>
        <v>0.05</v>
      </c>
      <c r="BV61" s="117" t="n">
        <f aca="false">SUMIFS(الريسبي!$C$2:$C$1800,الريسبي!$A$2:$A$1800,$A61,الريسبي!$B$2:$B$1800,BV$1)</f>
        <v>0</v>
      </c>
      <c r="BW61" s="117" t="n">
        <f aca="false">SUMIFS(الريسبي!$C$2:$C$1800,الريسبي!$A$2:$A$1800,$A61,الريسبي!$B$2:$B$1800,BW$1)</f>
        <v>0</v>
      </c>
      <c r="BX61" s="117" t="n">
        <f aca="false">SUMIFS(الريسبي!$C$2:$C$1800,الريسبي!$A$2:$A$1800,$A61,الريسبي!$B$2:$B$1800,BX$1)</f>
        <v>0</v>
      </c>
      <c r="BY61" s="117" t="n">
        <f aca="false">SUMIFS(الريسبي!$C$2:$C$1800,الريسبي!$A$2:$A$1800,$A61,الريسبي!$B$2:$B$1800,BY$1)</f>
        <v>0.15</v>
      </c>
      <c r="BZ61" s="117" t="n">
        <f aca="false">SUMIFS(الريسبي!$C$2:$C$1800,الريسبي!$A$2:$A$1800,$A61,الريسبي!$B$2:$B$1800,BZ$1)</f>
        <v>0</v>
      </c>
      <c r="CA61" s="117" t="n">
        <f aca="false">SUMIFS(الريسبي!$C$2:$C$1800,الريسبي!$A$2:$A$1800,$A61,الريسبي!$B$2:$B$1800,CA$1)</f>
        <v>0</v>
      </c>
      <c r="CB61" s="117" t="n">
        <f aca="false">SUMIFS(الريسبي!$C$2:$C$1800,الريسبي!$A$2:$A$1800,$A61,الريسبي!$B$2:$B$1800,CB$1)</f>
        <v>0</v>
      </c>
      <c r="CC61" s="117" t="n">
        <f aca="false">SUMIFS(الريسبي!$C$2:$C$1800,الريسبي!$A$2:$A$1800,$A61,الريسبي!$B$2:$B$1800,CC$1)</f>
        <v>1</v>
      </c>
      <c r="CD61" s="117" t="n">
        <f aca="false">SUMIFS(الريسبي!$C$2:$C$1800,الريسبي!$A$2:$A$1800,$A61,الريسبي!$B$2:$B$1800,CD$1)</f>
        <v>0</v>
      </c>
      <c r="CE61" s="117" t="n">
        <f aca="false">SUMIFS(الريسبي!$C$2:$C$1800,الريسبي!$A$2:$A$1800,$A61,الريسبي!$B$2:$B$1800,CE$1)</f>
        <v>0</v>
      </c>
      <c r="CF61" s="117" t="n">
        <f aca="false">SUMIFS(الريسبي!$C$2:$C$1800,الريسبي!$A$2:$A$1800,$A61,الريسبي!$B$2:$B$1800,CF$1)</f>
        <v>0</v>
      </c>
      <c r="CG61" s="117" t="n">
        <f aca="false">SUMIFS(الريسبي!$C$2:$C$1800,الريسبي!$A$2:$A$1800,$A61,الريسبي!$B$2:$B$1800,CG$1)</f>
        <v>0</v>
      </c>
      <c r="CH61" s="117" t="n">
        <f aca="false">SUMIFS(الريسبي!$C$2:$C$1800,الريسبي!$A$2:$A$1800,$A61,الريسبي!$B$2:$B$1800,CH$1)</f>
        <v>0</v>
      </c>
      <c r="CI61" s="117" t="n">
        <f aca="false">SUMIFS(الريسبي!$C$2:$C$1800,الريسبي!$A$2:$A$1800,$A61,الريسبي!$B$2:$B$1800,CI$1)</f>
        <v>0</v>
      </c>
      <c r="CJ61" s="117" t="n">
        <f aca="false">SUMIFS(الريسبي!$C$2:$C$1800,الريسبي!$A$2:$A$1800,$A61,الريسبي!$B$2:$B$1800,CJ$1)</f>
        <v>0</v>
      </c>
      <c r="CK61" s="117" t="n">
        <f aca="false">SUMIFS(الريسبي!$C$2:$C$1800,الريسبي!$A$2:$A$1800,$A61,الريسبي!$B$2:$B$1800,CK$1)</f>
        <v>0</v>
      </c>
      <c r="CL61" s="117" t="n">
        <f aca="false">SUMIFS(الريسبي!$C$2:$C$1800,الريسبي!$A$2:$A$1800,$A61,الريسبي!$B$2:$B$1800,CL$1)</f>
        <v>0</v>
      </c>
    </row>
    <row r="62" customFormat="false" ht="15" hidden="false" customHeight="false" outlineLevel="0" collapsed="false">
      <c r="A62" s="116" t="str">
        <f aca="false">المنيو!B62</f>
        <v>مكرونة جمبري</v>
      </c>
      <c r="B62" s="117" t="n">
        <f aca="false">SUMIFS(الريسبي!$C$2:$C$1800,الريسبي!$A$2:$A$1800,$A62,الريسبي!$B$2:$B$1800,B$1)</f>
        <v>1</v>
      </c>
      <c r="C62" s="117" t="n">
        <f aca="false">SUMIFS(الريسبي!$C$2:$C$1800,الريسبي!$A$2:$A$1800,$A62,الريسبي!$B$2:$B$1800,C$1)</f>
        <v>0</v>
      </c>
      <c r="D62" s="117" t="n">
        <f aca="false">SUMIFS(الريسبي!$C$2:$C$1800,الريسبي!$A$2:$A$1800,$A62,الريسبي!$B$2:$B$1800,D$1)</f>
        <v>0</v>
      </c>
      <c r="E62" s="117" t="n">
        <f aca="false">SUMIFS(الريسبي!$C$2:$C$1800,الريسبي!$A$2:$A$1800,$A62,الريسبي!$B$2:$B$1800,E$1)</f>
        <v>1</v>
      </c>
      <c r="F62" s="117" t="n">
        <f aca="false">SUMIFS(الريسبي!$C$2:$C$1800,الريسبي!$A$2:$A$1800,$A62,الريسبي!$B$2:$B$1800,F$1)</f>
        <v>0</v>
      </c>
      <c r="G62" s="117" t="n">
        <f aca="false">SUMIFS(الريسبي!$C$2:$C$1800,الريسبي!$A$2:$A$1800,$A62,الريسبي!$B$2:$B$1800,G$1)</f>
        <v>0</v>
      </c>
      <c r="H62" s="117" t="n">
        <f aca="false">SUMIFS(الريسبي!$C$2:$C$1800,الريسبي!$A$2:$A$1800,$A62,الريسبي!$B$2:$B$1800,H$1)</f>
        <v>0</v>
      </c>
      <c r="I62" s="117" t="n">
        <f aca="false">SUMIFS(الريسبي!$C$2:$C$1800,الريسبي!$A$2:$A$1800,$A62,الريسبي!$B$2:$B$1800,I$1)</f>
        <v>0</v>
      </c>
      <c r="J62" s="117" t="n">
        <f aca="false">SUMIFS(الريسبي!$C$2:$C$1800,الريسبي!$A$2:$A$1800,$A62,الريسبي!$B$2:$B$1800,J$1)</f>
        <v>0</v>
      </c>
      <c r="K62" s="117" t="n">
        <f aca="false">SUMIFS(الريسبي!$C$2:$C$1800,الريسبي!$A$2:$A$1800,$A62,الريسبي!$B$2:$B$1800,K$1)</f>
        <v>1</v>
      </c>
      <c r="L62" s="117" t="n">
        <f aca="false">SUMIFS(الريسبي!$C$2:$C$1800,الريسبي!$A$2:$A$1800,$A62,الريسبي!$B$2:$B$1800,L$1)</f>
        <v>0</v>
      </c>
      <c r="M62" s="117" t="n">
        <f aca="false">SUMIFS(الريسبي!$C$2:$C$1800,الريسبي!$A$2:$A$1800,$A62,الريسبي!$B$2:$B$1800,M$1)</f>
        <v>0</v>
      </c>
      <c r="N62" s="117" t="n">
        <f aca="false">SUMIFS(الريسبي!$C$2:$C$1800,الريسبي!$A$2:$A$1800,$A62,الريسبي!$B$2:$B$1800,N$1)</f>
        <v>0</v>
      </c>
      <c r="O62" s="117" t="n">
        <f aca="false">SUMIFS(الريسبي!$C$2:$C$1800,الريسبي!$A$2:$A$1800,$A62,الريسبي!$B$2:$B$1800,O$1)</f>
        <v>0</v>
      </c>
      <c r="P62" s="117" t="n">
        <f aca="false">SUMIFS(الريسبي!$C$2:$C$1800,الريسبي!$A$2:$A$1800,$A62,الريسبي!$B$2:$B$1800,P$1)</f>
        <v>0</v>
      </c>
      <c r="Q62" s="117" t="n">
        <f aca="false">SUMIFS(الريسبي!$C$2:$C$1800,الريسبي!$A$2:$A$1800,$A62,الريسبي!$B$2:$B$1800,Q$1)</f>
        <v>0</v>
      </c>
      <c r="R62" s="117" t="n">
        <f aca="false">SUMIFS(الريسبي!$C$2:$C$1800,الريسبي!$A$2:$A$1800,$A62,الريسبي!$B$2:$B$1800,R$1)</f>
        <v>0</v>
      </c>
      <c r="S62" s="117" t="n">
        <f aca="false">SUMIFS(الريسبي!$C$2:$C$1800,الريسبي!$A$2:$A$1800,$A62,الريسبي!$B$2:$B$1800,S$1)</f>
        <v>0</v>
      </c>
      <c r="T62" s="117" t="n">
        <f aca="false">SUMIFS(الريسبي!$C$2:$C$1800,الريسبي!$A$2:$A$1800,$A62,الريسبي!$B$2:$B$1800,T$1)</f>
        <v>0</v>
      </c>
      <c r="U62" s="117" t="n">
        <f aca="false">SUMIFS(الريسبي!$C$2:$C$1800,الريسبي!$A$2:$A$1800,$A62,الريسبي!$B$2:$B$1800,U$1)</f>
        <v>0</v>
      </c>
      <c r="V62" s="117" t="n">
        <f aca="false">SUMIFS(الريسبي!$C$2:$C$1800,الريسبي!$A$2:$A$1800,$A62,الريسبي!$B$2:$B$1800,V$1)</f>
        <v>1</v>
      </c>
      <c r="W62" s="117" t="n">
        <f aca="false">SUMIFS(الريسبي!$C$2:$C$1800,الريسبي!$A$2:$A$1800,$A62,الريسبي!$B$2:$B$1800,W$1)</f>
        <v>0</v>
      </c>
      <c r="X62" s="117" t="n">
        <f aca="false">SUMIFS(الريسبي!$C$2:$C$1800,الريسبي!$A$2:$A$1800,$A62,الريسبي!$B$2:$B$1800,X$1)</f>
        <v>0</v>
      </c>
      <c r="Y62" s="117" t="n">
        <f aca="false">SUMIFS(الريسبي!$C$2:$C$1800,الريسبي!$A$2:$A$1800,$A62,الريسبي!$B$2:$B$1800,Y$1)</f>
        <v>0</v>
      </c>
      <c r="Z62" s="117" t="n">
        <f aca="false">SUMIFS(الريسبي!$C$2:$C$1800,الريسبي!$A$2:$A$1800,$A62,الريسبي!$B$2:$B$1800,Z$1)</f>
        <v>0</v>
      </c>
      <c r="AA62" s="117" t="n">
        <f aca="false">SUMIFS(الريسبي!$C$2:$C$1800,الريسبي!$A$2:$A$1800,$A62,الريسبي!$B$2:$B$1800,AA$1)</f>
        <v>0</v>
      </c>
      <c r="AB62" s="117" t="n">
        <f aca="false">SUMIFS(الريسبي!$C$2:$C$1800,الريسبي!$A$2:$A$1800,$A62,الريسبي!$B$2:$B$1800,AB$1)</f>
        <v>0</v>
      </c>
      <c r="AC62" s="117" t="n">
        <f aca="false">SUMIFS(الريسبي!$C$2:$C$1800,الريسبي!$A$2:$A$1800,$A62,الريسبي!$B$2:$B$1800,AC$1)</f>
        <v>0.2</v>
      </c>
      <c r="AD62" s="117" t="n">
        <f aca="false">SUMIFS(الريسبي!$C$2:$C$1800,الريسبي!$A$2:$A$1800,$A62,الريسبي!$B$2:$B$1800,AD$1)</f>
        <v>0</v>
      </c>
      <c r="AE62" s="117" t="n">
        <f aca="false">SUMIFS(الريسبي!$C$2:$C$1800,الريسبي!$A$2:$A$1800,$A62,الريسبي!$B$2:$B$1800,AE$1)</f>
        <v>0</v>
      </c>
      <c r="AF62" s="117" t="n">
        <f aca="false">SUMIFS(الريسبي!$C$2:$C$1800,الريسبي!$A$2:$A$1800,$A62,الريسبي!$B$2:$B$1800,AF$1)</f>
        <v>0</v>
      </c>
      <c r="AG62" s="117" t="n">
        <f aca="false">SUMIFS(الريسبي!$C$2:$C$1800,الريسبي!$A$2:$A$1800,$A62,الريسبي!$B$2:$B$1800,AG$1)</f>
        <v>0</v>
      </c>
      <c r="AH62" s="117" t="n">
        <f aca="false">SUMIFS(الريسبي!$C$2:$C$1800,الريسبي!$A$2:$A$1800,$A62,الريسبي!$B$2:$B$1800,AH$1)</f>
        <v>0</v>
      </c>
      <c r="AI62" s="117" t="n">
        <f aca="false">SUMIFS(الريسبي!$C$2:$C$1800,الريسبي!$A$2:$A$1800,$A62,الريسبي!$B$2:$B$1800,AI$1)</f>
        <v>0</v>
      </c>
      <c r="AJ62" s="117" t="n">
        <f aca="false">SUMIFS(الريسبي!$C$2:$C$1800,الريسبي!$A$2:$A$1800,$A62,الريسبي!$B$2:$B$1800,AJ$1)</f>
        <v>2</v>
      </c>
      <c r="AK62" s="117" t="n">
        <f aca="false">SUMIFS(الريسبي!$C$2:$C$1800,الريسبي!$A$2:$A$1800,$A62,الريسبي!$B$2:$B$1800,AK$1)</f>
        <v>0</v>
      </c>
      <c r="AL62" s="117" t="n">
        <f aca="false">SUMIFS(الريسبي!$C$2:$C$1800,الريسبي!$A$2:$A$1800,$A62,الريسبي!$B$2:$B$1800,AL$1)</f>
        <v>0</v>
      </c>
      <c r="AM62" s="117" t="n">
        <f aca="false">SUMIFS(الريسبي!$C$2:$C$1800,الريسبي!$A$2:$A$1800,$A62,الريسبي!$B$2:$B$1800,AM$1)+0.08333333333*SUMIFS(الريسبي!$C$2:$C$1800,الريسبي!$A$2:$A$1800,$A62,الريسبي!$B$2:$B$1800,"عجين كريب (مصنع بالمطعم)")+0.08333333333*SUMIFS(الريسبي!$C$2:$C$1800,الريسبي!$A$2:$A$1800,$A62,الريسبي!$B$2:$B$1800,"عجين كريب صيامي (بدون لبن)")</f>
        <v>0</v>
      </c>
      <c r="AN62" s="117" t="n">
        <f aca="false">SUMIFS(الريسبي!$C$2:$C$1800,الريسبي!$A$2:$A$1800,$A62,الريسبي!$B$2:$B$1800,AN$1)+0.004166666667*SUMIFS(الريسبي!$C$2:$C$1800,الريسبي!$A$2:$A$1800,$A62,الريسبي!$B$2:$B$1800,"عجين كريب (مصنع بالمطعم)")+0.004166666667*SUMIFS(الريسبي!$C$2:$C$1800,الريسبي!$A$2:$A$1800,$A62,الريسبي!$B$2:$B$1800,"عجين كريب صيامي (بدون لبن)")</f>
        <v>0.01</v>
      </c>
      <c r="AO62" s="117" t="n">
        <f aca="false">SUMIFS(الريسبي!$C$2:$C$1800,الريسبي!$A$2:$A$1800,$A62,الريسبي!$B$2:$B$1800,AO$1)</f>
        <v>0</v>
      </c>
      <c r="AP62" s="117" t="n">
        <f aca="false">SUMIFS(الريسبي!$C$2:$C$1800,الريسبي!$A$2:$A$1800,$A62,الريسبي!$B$2:$B$1800,AP$1)</f>
        <v>0</v>
      </c>
      <c r="AQ62" s="117" t="n">
        <f aca="false">SUMIFS(الريسبي!$C$2:$C$1800,الريسبي!$A$2:$A$1800,$A62,الريسبي!$B$2:$B$1800,AQ$1)+0.004166666667*SUMIFS(الريسبي!$C$2:$C$1800,الريسبي!$A$2:$A$1800,$A62,الريسبي!$B$2:$B$1800,"عجين كريب (مصنع بالمطعم)")+0.004166666667*SUMIFS(الريسبي!$C$2:$C$1800,الريسبي!$A$2:$A$1800,$A62,الريسبي!$B$2:$B$1800,"عجين كريب صيامي (بدون لبن)")</f>
        <v>0</v>
      </c>
      <c r="AR62" s="117" t="n">
        <f aca="false">SUMIFS(الريسبي!$C$2:$C$1800,الريسبي!$A$2:$A$1800,$A62,الريسبي!$B$2:$B$1800,AR$1)</f>
        <v>0</v>
      </c>
      <c r="AS62" s="117" t="n">
        <f aca="false">SUMIFS(الريسبي!$C$2:$C$1800,الريسبي!$A$2:$A$1800,$A62,الريسبي!$B$2:$B$1800,AS$1)</f>
        <v>0</v>
      </c>
      <c r="AT62" s="117" t="n">
        <f aca="false">SUMIFS(الريسبي!$C$2:$C$1800,الريسبي!$A$2:$A$1800,$A62,الريسبي!$B$2:$B$1800,AT$1)</f>
        <v>0</v>
      </c>
      <c r="AU62" s="117" t="n">
        <f aca="false">SUMIFS(الريسبي!$C$2:$C$1800,الريسبي!$A$2:$A$1800,$A62,الريسبي!$B$2:$B$1800,AU$1)</f>
        <v>1</v>
      </c>
      <c r="AV62" s="117" t="n">
        <f aca="false">SUMIFS(الريسبي!$C$2:$C$1800,الريسبي!$A$2:$A$1800,$A62,الريسبي!$B$2:$B$1800,AV$1)</f>
        <v>0</v>
      </c>
      <c r="AW62" s="117" t="n">
        <f aca="false">SUMIFS(الريسبي!$C$2:$C$1800,الريسبي!$A$2:$A$1800,$A62,الريسبي!$B$2:$B$1800,AW$1)</f>
        <v>0</v>
      </c>
      <c r="AX62" s="117" t="n">
        <f aca="false">SUMIFS(الريسبي!$C$2:$C$1800,الريسبي!$A$2:$A$1800,$A62,الريسبي!$B$2:$B$1800,AX$1)</f>
        <v>0</v>
      </c>
      <c r="AY62" s="117" t="n">
        <f aca="false">SUMIFS(الريسبي!$C$2:$C$1800,الريسبي!$A$2:$A$1800,$A62,الريسبي!$B$2:$B$1800,AY$1)</f>
        <v>0</v>
      </c>
      <c r="AZ62" s="117" t="n">
        <f aca="false">SUMIFS(الريسبي!$C$2:$C$1800,الريسبي!$A$2:$A$1800,$A62,الريسبي!$B$2:$B$1800,AZ$1)</f>
        <v>0</v>
      </c>
      <c r="BA62" s="117" t="n">
        <f aca="false">SUMIFS(الريسبي!$C$2:$C$1800,الريسبي!$A$2:$A$1800,$A62,الريسبي!$B$2:$B$1800,BA$1)</f>
        <v>0</v>
      </c>
      <c r="BB62" s="117" t="n">
        <f aca="false">SUMIFS(الريسبي!$C$2:$C$1800,الريسبي!$A$2:$A$1800,$A62,الريسبي!$B$2:$B$1800,BB$1)</f>
        <v>0</v>
      </c>
      <c r="BC62" s="117" t="n">
        <f aca="false">SUMIFS(الريسبي!$C$2:$C$1800,الريسبي!$A$2:$A$1800,$A62,الريسبي!$B$2:$B$1800,BC$1)</f>
        <v>0</v>
      </c>
      <c r="BD62" s="117" t="n">
        <f aca="false">SUMIFS(الريسبي!$C$2:$C$1800,الريسبي!$A$2:$A$1800,$A62,الريسبي!$B$2:$B$1800,BD$1)</f>
        <v>0</v>
      </c>
      <c r="BE62" s="117" t="n">
        <f aca="false">SUMIFS(الريسبي!$C$2:$C$1800,الريسبي!$A$2:$A$1800,$A62,الريسبي!$B$2:$B$1800,BE$1)</f>
        <v>0</v>
      </c>
      <c r="BF62" s="117" t="n">
        <f aca="false">SUMIFS(الريسبي!$C$2:$C$1800,الريسبي!$A$2:$A$1800,$A62,الريسبي!$B$2:$B$1800,BF$1)</f>
        <v>0</v>
      </c>
      <c r="BG62" s="117" t="n">
        <f aca="false">SUMIFS(الريسبي!$C$2:$C$1800,الريسبي!$A$2:$A$1800,$A62,الريسبي!$B$2:$B$1800,BG$1)</f>
        <v>0</v>
      </c>
      <c r="BH62" s="117" t="n">
        <f aca="false">SUMIFS(الريسبي!$C$2:$C$1800,الريسبي!$A$2:$A$1800,$A62,الريسبي!$B$2:$B$1800,BH$1)</f>
        <v>0</v>
      </c>
      <c r="BI62" s="117" t="n">
        <f aca="false">SUMIFS(الريسبي!$C$2:$C$1800,الريسبي!$A$2:$A$1800,$A62,الريسبي!$B$2:$B$1800,BI$1)</f>
        <v>0</v>
      </c>
      <c r="BJ62" s="117" t="n">
        <f aca="false">SUMIFS(الريسبي!$C$2:$C$1800,الريسبي!$A$2:$A$1800,$A62,الريسبي!$B$2:$B$1800,BJ$1)</f>
        <v>0</v>
      </c>
      <c r="BK62" s="117" t="n">
        <f aca="false">SUMIFS(الريسبي!$C$2:$C$1800,الريسبي!$A$2:$A$1800,$A62,الريسبي!$B$2:$B$1800,BK$1)</f>
        <v>0</v>
      </c>
      <c r="BL62" s="117" t="n">
        <f aca="false">SUMIFS(الريسبي!$C$2:$C$1800,الريسبي!$A$2:$A$1800,$A62,الريسبي!$B$2:$B$1800,BL$1)</f>
        <v>0</v>
      </c>
      <c r="BM62" s="117" t="n">
        <f aca="false">SUMIFS(الريسبي!$C$2:$C$1800,الريسبي!$A$2:$A$1800,$A62,الريسبي!$B$2:$B$1800,BM$1)</f>
        <v>0</v>
      </c>
      <c r="BN62" s="117" t="n">
        <f aca="false">SUMIFS(الريسبي!$C$2:$C$1800,الريسبي!$A$2:$A$1800,$A62,الريسبي!$B$2:$B$1800,BN$1)</f>
        <v>0</v>
      </c>
      <c r="BO62" s="117" t="n">
        <f aca="false">SUMIFS(الريسبي!$C$2:$C$1800,الريسبي!$A$2:$A$1800,$A62,الريسبي!$B$2:$B$1800,BO$1)</f>
        <v>0</v>
      </c>
      <c r="BP62" s="117" t="n">
        <f aca="false">SUMIFS(الريسبي!$C$2:$C$1800,الريسبي!$A$2:$A$1800,$A62,الريسبي!$B$2:$B$1800,BP$1)</f>
        <v>2</v>
      </c>
      <c r="BQ62" s="117" t="n">
        <f aca="false">SUMIFS(الريسبي!$C$2:$C$1800,الريسبي!$A$2:$A$1800,$A62,الريسبي!$B$2:$B$1800,BQ$1)+0.17*SUMIFS(الريسبي!$C$2:$C$1800,الريسبي!$A$2:$A$1800,$A62,الريسبي!$B$2:$B$1800,"كاسترد مصنع (خليط بودر + لبن)")+0.17*SUMIFS(الريسبي!$C$2:$C$1800,الريسبي!$A$2:$A$1800,$A62,الريسبي!$B$2:$B$1800,"كاسترد مصنع صيامي (بدون لبن)")</f>
        <v>0</v>
      </c>
      <c r="BR62" s="117" t="n">
        <f aca="false">SUMIFS(الريسبي!$C$2:$C$1800,الريسبي!$A$2:$A$1800,$A62,الريسبي!$B$2:$B$1800,BR$1)</f>
        <v>0</v>
      </c>
      <c r="BS62" s="117" t="n">
        <f aca="false">SUMIFS(الريسبي!$C$2:$C$1800,الريسبي!$A$2:$A$1800,$A62,الريسبي!$B$2:$B$1800,BS$1)</f>
        <v>0</v>
      </c>
      <c r="BT62" s="117" t="n">
        <f aca="false">SUMIFS(الريسبي!$C$2:$C$1800,الريسبي!$A$2:$A$1800,$A62,الريسبي!$B$2:$B$1800,BT$1)</f>
        <v>0</v>
      </c>
      <c r="BU62" s="117" t="n">
        <f aca="false">SUMIFS(الريسبي!$C$2:$C$1800,الريسبي!$A$2:$A$1800,$A62,الريسبي!$B$2:$B$1800,BU$1)+0.4*SUMIFS(الريسبي!$C$2:$C$1800,الريسبي!$A$2:$A$1800,$A62,الريسبي!$B$2:$B$1800,"كاسترد مصنع (خليط بودر + لبن)")+0.03333333333*SUMIFS(الريسبي!$C$2:$C$1800,الريسبي!$A$2:$A$1800,$A62,الريسبي!$B$2:$B$1800,"عجين كريب (مصنع بالمطعم)")</f>
        <v>0.05</v>
      </c>
      <c r="BV62" s="117" t="n">
        <f aca="false">SUMIFS(الريسبي!$C$2:$C$1800,الريسبي!$A$2:$A$1800,$A62,الريسبي!$B$2:$B$1800,BV$1)</f>
        <v>0</v>
      </c>
      <c r="BW62" s="117" t="n">
        <f aca="false">SUMIFS(الريسبي!$C$2:$C$1800,الريسبي!$A$2:$A$1800,$A62,الريسبي!$B$2:$B$1800,BW$1)</f>
        <v>0</v>
      </c>
      <c r="BX62" s="117" t="n">
        <f aca="false">SUMIFS(الريسبي!$C$2:$C$1800,الريسبي!$A$2:$A$1800,$A62,الريسبي!$B$2:$B$1800,BX$1)</f>
        <v>0</v>
      </c>
      <c r="BY62" s="117" t="n">
        <f aca="false">SUMIFS(الريسبي!$C$2:$C$1800,الريسبي!$A$2:$A$1800,$A62,الريسبي!$B$2:$B$1800,BY$1)</f>
        <v>0.15</v>
      </c>
      <c r="BZ62" s="117" t="n">
        <f aca="false">SUMIFS(الريسبي!$C$2:$C$1800,الريسبي!$A$2:$A$1800,$A62,الريسبي!$B$2:$B$1800,BZ$1)</f>
        <v>0</v>
      </c>
      <c r="CA62" s="117" t="n">
        <f aca="false">SUMIFS(الريسبي!$C$2:$C$1800,الريسبي!$A$2:$A$1800,$A62,الريسبي!$B$2:$B$1800,CA$1)</f>
        <v>0</v>
      </c>
      <c r="CB62" s="117" t="n">
        <f aca="false">SUMIFS(الريسبي!$C$2:$C$1800,الريسبي!$A$2:$A$1800,$A62,الريسبي!$B$2:$B$1800,CB$1)</f>
        <v>0</v>
      </c>
      <c r="CC62" s="117" t="n">
        <f aca="false">SUMIFS(الريسبي!$C$2:$C$1800,الريسبي!$A$2:$A$1800,$A62,الريسبي!$B$2:$B$1800,CC$1)</f>
        <v>1</v>
      </c>
      <c r="CD62" s="117" t="n">
        <f aca="false">SUMIFS(الريسبي!$C$2:$C$1800,الريسبي!$A$2:$A$1800,$A62,الريسبي!$B$2:$B$1800,CD$1)</f>
        <v>0</v>
      </c>
      <c r="CE62" s="117" t="n">
        <f aca="false">SUMIFS(الريسبي!$C$2:$C$1800,الريسبي!$A$2:$A$1800,$A62,الريسبي!$B$2:$B$1800,CE$1)</f>
        <v>0</v>
      </c>
      <c r="CF62" s="117" t="n">
        <f aca="false">SUMIFS(الريسبي!$C$2:$C$1800,الريسبي!$A$2:$A$1800,$A62,الريسبي!$B$2:$B$1800,CF$1)</f>
        <v>0</v>
      </c>
      <c r="CG62" s="117" t="n">
        <f aca="false">SUMIFS(الريسبي!$C$2:$C$1800,الريسبي!$A$2:$A$1800,$A62,الريسبي!$B$2:$B$1800,CG$1)</f>
        <v>0</v>
      </c>
      <c r="CH62" s="117" t="n">
        <f aca="false">SUMIFS(الريسبي!$C$2:$C$1800,الريسبي!$A$2:$A$1800,$A62,الريسبي!$B$2:$B$1800,CH$1)</f>
        <v>0</v>
      </c>
      <c r="CI62" s="117" t="n">
        <f aca="false">SUMIFS(الريسبي!$C$2:$C$1800,الريسبي!$A$2:$A$1800,$A62,الريسبي!$B$2:$B$1800,CI$1)</f>
        <v>0</v>
      </c>
      <c r="CJ62" s="117" t="n">
        <f aca="false">SUMIFS(الريسبي!$C$2:$C$1800,الريسبي!$A$2:$A$1800,$A62,الريسبي!$B$2:$B$1800,CJ$1)</f>
        <v>0</v>
      </c>
      <c r="CK62" s="117" t="n">
        <f aca="false">SUMIFS(الريسبي!$C$2:$C$1800,الريسبي!$A$2:$A$1800,$A62,الريسبي!$B$2:$B$1800,CK$1)</f>
        <v>0</v>
      </c>
      <c r="CL62" s="117" t="n">
        <f aca="false">SUMIFS(الريسبي!$C$2:$C$1800,الريسبي!$A$2:$A$1800,$A62,الريسبي!$B$2:$B$1800,CL$1)</f>
        <v>0</v>
      </c>
    </row>
    <row r="63" customFormat="false" ht="15" hidden="false" customHeight="false" outlineLevel="0" collapsed="false">
      <c r="A63" s="116" t="str">
        <f aca="false">المنيو!B63</f>
        <v>مكرونة صوص ابيض سدق</v>
      </c>
      <c r="B63" s="117" t="n">
        <f aca="false">SUMIFS(الريسبي!$C$2:$C$1800,الريسبي!$A$2:$A$1800,$A63,الريسبي!$B$2:$B$1800,B$1)</f>
        <v>1</v>
      </c>
      <c r="C63" s="117" t="n">
        <f aca="false">SUMIFS(الريسبي!$C$2:$C$1800,الريسبي!$A$2:$A$1800,$A63,الريسبي!$B$2:$B$1800,C$1)</f>
        <v>0</v>
      </c>
      <c r="D63" s="117" t="n">
        <f aca="false">SUMIFS(الريسبي!$C$2:$C$1800,الريسبي!$A$2:$A$1800,$A63,الريسبي!$B$2:$B$1800,D$1)</f>
        <v>0</v>
      </c>
      <c r="E63" s="117" t="n">
        <f aca="false">SUMIFS(الريسبي!$C$2:$C$1800,الريسبي!$A$2:$A$1800,$A63,الريسبي!$B$2:$B$1800,E$1)</f>
        <v>1</v>
      </c>
      <c r="F63" s="117" t="n">
        <f aca="false">SUMIFS(الريسبي!$C$2:$C$1800,الريسبي!$A$2:$A$1800,$A63,الريسبي!$B$2:$B$1800,F$1)</f>
        <v>0</v>
      </c>
      <c r="G63" s="117" t="n">
        <f aca="false">SUMIFS(الريسبي!$C$2:$C$1800,الريسبي!$A$2:$A$1800,$A63,الريسبي!$B$2:$B$1800,G$1)</f>
        <v>0</v>
      </c>
      <c r="H63" s="117" t="n">
        <f aca="false">SUMIFS(الريسبي!$C$2:$C$1800,الريسبي!$A$2:$A$1800,$A63,الريسبي!$B$2:$B$1800,H$1)</f>
        <v>0</v>
      </c>
      <c r="I63" s="117" t="n">
        <f aca="false">SUMIFS(الريسبي!$C$2:$C$1800,الريسبي!$A$2:$A$1800,$A63,الريسبي!$B$2:$B$1800,I$1)</f>
        <v>0</v>
      </c>
      <c r="J63" s="117" t="n">
        <f aca="false">SUMIFS(الريسبي!$C$2:$C$1800,الريسبي!$A$2:$A$1800,$A63,الريسبي!$B$2:$B$1800,J$1)</f>
        <v>0</v>
      </c>
      <c r="K63" s="117" t="n">
        <f aca="false">SUMIFS(الريسبي!$C$2:$C$1800,الريسبي!$A$2:$A$1800,$A63,الريسبي!$B$2:$B$1800,K$1)</f>
        <v>0</v>
      </c>
      <c r="L63" s="117" t="n">
        <f aca="false">SUMIFS(الريسبي!$C$2:$C$1800,الريسبي!$A$2:$A$1800,$A63,الريسبي!$B$2:$B$1800,L$1)</f>
        <v>1</v>
      </c>
      <c r="M63" s="117" t="n">
        <f aca="false">SUMIFS(الريسبي!$C$2:$C$1800,الريسبي!$A$2:$A$1800,$A63,الريسبي!$B$2:$B$1800,M$1)</f>
        <v>0</v>
      </c>
      <c r="N63" s="117" t="n">
        <f aca="false">SUMIFS(الريسبي!$C$2:$C$1800,الريسبي!$A$2:$A$1800,$A63,الريسبي!$B$2:$B$1800,N$1)</f>
        <v>0</v>
      </c>
      <c r="O63" s="117" t="n">
        <f aca="false">SUMIFS(الريسبي!$C$2:$C$1800,الريسبي!$A$2:$A$1800,$A63,الريسبي!$B$2:$B$1800,O$1)</f>
        <v>0</v>
      </c>
      <c r="P63" s="117" t="n">
        <f aca="false">SUMIFS(الريسبي!$C$2:$C$1800,الريسبي!$A$2:$A$1800,$A63,الريسبي!$B$2:$B$1800,P$1)</f>
        <v>0</v>
      </c>
      <c r="Q63" s="117" t="n">
        <f aca="false">SUMIFS(الريسبي!$C$2:$C$1800,الريسبي!$A$2:$A$1800,$A63,الريسبي!$B$2:$B$1800,Q$1)</f>
        <v>0</v>
      </c>
      <c r="R63" s="117" t="n">
        <f aca="false">SUMIFS(الريسبي!$C$2:$C$1800,الريسبي!$A$2:$A$1800,$A63,الريسبي!$B$2:$B$1800,R$1)</f>
        <v>0</v>
      </c>
      <c r="S63" s="117" t="n">
        <f aca="false">SUMIFS(الريسبي!$C$2:$C$1800,الريسبي!$A$2:$A$1800,$A63,الريسبي!$B$2:$B$1800,S$1)</f>
        <v>0</v>
      </c>
      <c r="T63" s="117" t="n">
        <f aca="false">SUMIFS(الريسبي!$C$2:$C$1800,الريسبي!$A$2:$A$1800,$A63,الريسبي!$B$2:$B$1800,T$1)</f>
        <v>0</v>
      </c>
      <c r="U63" s="117" t="n">
        <f aca="false">SUMIFS(الريسبي!$C$2:$C$1800,الريسبي!$A$2:$A$1800,$A63,الريسبي!$B$2:$B$1800,U$1)</f>
        <v>0</v>
      </c>
      <c r="V63" s="117" t="n">
        <f aca="false">SUMIFS(الريسبي!$C$2:$C$1800,الريسبي!$A$2:$A$1800,$A63,الريسبي!$B$2:$B$1800,V$1)</f>
        <v>1</v>
      </c>
      <c r="W63" s="117" t="n">
        <f aca="false">SUMIFS(الريسبي!$C$2:$C$1800,الريسبي!$A$2:$A$1800,$A63,الريسبي!$B$2:$B$1800,W$1)</f>
        <v>0</v>
      </c>
      <c r="X63" s="117" t="n">
        <f aca="false">SUMIFS(الريسبي!$C$2:$C$1800,الريسبي!$A$2:$A$1800,$A63,الريسبي!$B$2:$B$1800,X$1)</f>
        <v>0</v>
      </c>
      <c r="Y63" s="117" t="n">
        <f aca="false">SUMIFS(الريسبي!$C$2:$C$1800,الريسبي!$A$2:$A$1800,$A63,الريسبي!$B$2:$B$1800,Y$1)</f>
        <v>0</v>
      </c>
      <c r="Z63" s="117" t="n">
        <f aca="false">SUMIFS(الريسبي!$C$2:$C$1800,الريسبي!$A$2:$A$1800,$A63,الريسبي!$B$2:$B$1800,Z$1)</f>
        <v>0</v>
      </c>
      <c r="AA63" s="117" t="n">
        <f aca="false">SUMIFS(الريسبي!$C$2:$C$1800,الريسبي!$A$2:$A$1800,$A63,الريسبي!$B$2:$B$1800,AA$1)</f>
        <v>0</v>
      </c>
      <c r="AB63" s="117" t="n">
        <f aca="false">SUMIFS(الريسبي!$C$2:$C$1800,الريسبي!$A$2:$A$1800,$A63,الريسبي!$B$2:$B$1800,AB$1)</f>
        <v>0</v>
      </c>
      <c r="AC63" s="117" t="n">
        <f aca="false">SUMIFS(الريسبي!$C$2:$C$1800,الريسبي!$A$2:$A$1800,$A63,الريسبي!$B$2:$B$1800,AC$1)</f>
        <v>0.2</v>
      </c>
      <c r="AD63" s="117" t="n">
        <f aca="false">SUMIFS(الريسبي!$C$2:$C$1800,الريسبي!$A$2:$A$1800,$A63,الريسبي!$B$2:$B$1800,AD$1)</f>
        <v>0</v>
      </c>
      <c r="AE63" s="117" t="n">
        <f aca="false">SUMIFS(الريسبي!$C$2:$C$1800,الريسبي!$A$2:$A$1800,$A63,الريسبي!$B$2:$B$1800,AE$1)</f>
        <v>0</v>
      </c>
      <c r="AF63" s="117" t="n">
        <f aca="false">SUMIFS(الريسبي!$C$2:$C$1800,الريسبي!$A$2:$A$1800,$A63,الريسبي!$B$2:$B$1800,AF$1)</f>
        <v>0</v>
      </c>
      <c r="AG63" s="117" t="n">
        <f aca="false">SUMIFS(الريسبي!$C$2:$C$1800,الريسبي!$A$2:$A$1800,$A63,الريسبي!$B$2:$B$1800,AG$1)</f>
        <v>0</v>
      </c>
      <c r="AH63" s="117" t="n">
        <f aca="false">SUMIFS(الريسبي!$C$2:$C$1800,الريسبي!$A$2:$A$1800,$A63,الريسبي!$B$2:$B$1800,AH$1)</f>
        <v>0</v>
      </c>
      <c r="AI63" s="117" t="n">
        <f aca="false">SUMIFS(الريسبي!$C$2:$C$1800,الريسبي!$A$2:$A$1800,$A63,الريسبي!$B$2:$B$1800,AI$1)</f>
        <v>0</v>
      </c>
      <c r="AJ63" s="117" t="n">
        <f aca="false">SUMIFS(الريسبي!$C$2:$C$1800,الريسبي!$A$2:$A$1800,$A63,الريسبي!$B$2:$B$1800,AJ$1)</f>
        <v>2</v>
      </c>
      <c r="AK63" s="117" t="n">
        <f aca="false">SUMIFS(الريسبي!$C$2:$C$1800,الريسبي!$A$2:$A$1800,$A63,الريسبي!$B$2:$B$1800,AK$1)</f>
        <v>0</v>
      </c>
      <c r="AL63" s="117" t="n">
        <f aca="false">SUMIFS(الريسبي!$C$2:$C$1800,الريسبي!$A$2:$A$1800,$A63,الريسبي!$B$2:$B$1800,AL$1)</f>
        <v>0</v>
      </c>
      <c r="AM63" s="117" t="n">
        <f aca="false">SUMIFS(الريسبي!$C$2:$C$1800,الريسبي!$A$2:$A$1800,$A63,الريسبي!$B$2:$B$1800,AM$1)+0.08333333333*SUMIFS(الريسبي!$C$2:$C$1800,الريسبي!$A$2:$A$1800,$A63,الريسبي!$B$2:$B$1800,"عجين كريب (مصنع بالمطعم)")+0.08333333333*SUMIFS(الريسبي!$C$2:$C$1800,الريسبي!$A$2:$A$1800,$A63,الريسبي!$B$2:$B$1800,"عجين كريب صيامي (بدون لبن)")</f>
        <v>0</v>
      </c>
      <c r="AN63" s="117" t="n">
        <f aca="false">SUMIFS(الريسبي!$C$2:$C$1800,الريسبي!$A$2:$A$1800,$A63,الريسبي!$B$2:$B$1800,AN$1)+0.004166666667*SUMIFS(الريسبي!$C$2:$C$1800,الريسبي!$A$2:$A$1800,$A63,الريسبي!$B$2:$B$1800,"عجين كريب (مصنع بالمطعم)")+0.004166666667*SUMIFS(الريسبي!$C$2:$C$1800,الريسبي!$A$2:$A$1800,$A63,الريسبي!$B$2:$B$1800,"عجين كريب صيامي (بدون لبن)")</f>
        <v>0.01</v>
      </c>
      <c r="AO63" s="117" t="n">
        <f aca="false">SUMIFS(الريسبي!$C$2:$C$1800,الريسبي!$A$2:$A$1800,$A63,الريسبي!$B$2:$B$1800,AO$1)</f>
        <v>0</v>
      </c>
      <c r="AP63" s="117" t="n">
        <f aca="false">SUMIFS(الريسبي!$C$2:$C$1800,الريسبي!$A$2:$A$1800,$A63,الريسبي!$B$2:$B$1800,AP$1)</f>
        <v>0</v>
      </c>
      <c r="AQ63" s="117" t="n">
        <f aca="false">SUMIFS(الريسبي!$C$2:$C$1800,الريسبي!$A$2:$A$1800,$A63,الريسبي!$B$2:$B$1800,AQ$1)+0.004166666667*SUMIFS(الريسبي!$C$2:$C$1800,الريسبي!$A$2:$A$1800,$A63,الريسبي!$B$2:$B$1800,"عجين كريب (مصنع بالمطعم)")+0.004166666667*SUMIFS(الريسبي!$C$2:$C$1800,الريسبي!$A$2:$A$1800,$A63,الريسبي!$B$2:$B$1800,"عجين كريب صيامي (بدون لبن)")</f>
        <v>0</v>
      </c>
      <c r="AR63" s="117" t="n">
        <f aca="false">SUMIFS(الريسبي!$C$2:$C$1800,الريسبي!$A$2:$A$1800,$A63,الريسبي!$B$2:$B$1800,AR$1)</f>
        <v>0</v>
      </c>
      <c r="AS63" s="117" t="n">
        <f aca="false">SUMIFS(الريسبي!$C$2:$C$1800,الريسبي!$A$2:$A$1800,$A63,الريسبي!$B$2:$B$1800,AS$1)</f>
        <v>0</v>
      </c>
      <c r="AT63" s="117" t="n">
        <f aca="false">SUMIFS(الريسبي!$C$2:$C$1800,الريسبي!$A$2:$A$1800,$A63,الريسبي!$B$2:$B$1800,AT$1)</f>
        <v>0</v>
      </c>
      <c r="AU63" s="117" t="n">
        <f aca="false">SUMIFS(الريسبي!$C$2:$C$1800,الريسبي!$A$2:$A$1800,$A63,الريسبي!$B$2:$B$1800,AU$1)</f>
        <v>1</v>
      </c>
      <c r="AV63" s="117" t="n">
        <f aca="false">SUMIFS(الريسبي!$C$2:$C$1800,الريسبي!$A$2:$A$1800,$A63,الريسبي!$B$2:$B$1800,AV$1)</f>
        <v>0</v>
      </c>
      <c r="AW63" s="117" t="n">
        <f aca="false">SUMIFS(الريسبي!$C$2:$C$1800,الريسبي!$A$2:$A$1800,$A63,الريسبي!$B$2:$B$1800,AW$1)</f>
        <v>0</v>
      </c>
      <c r="AX63" s="117" t="n">
        <f aca="false">SUMIFS(الريسبي!$C$2:$C$1800,الريسبي!$A$2:$A$1800,$A63,الريسبي!$B$2:$B$1800,AX$1)</f>
        <v>0</v>
      </c>
      <c r="AY63" s="117" t="n">
        <f aca="false">SUMIFS(الريسبي!$C$2:$C$1800,الريسبي!$A$2:$A$1800,$A63,الريسبي!$B$2:$B$1800,AY$1)</f>
        <v>0</v>
      </c>
      <c r="AZ63" s="117" t="n">
        <f aca="false">SUMIFS(الريسبي!$C$2:$C$1800,الريسبي!$A$2:$A$1800,$A63,الريسبي!$B$2:$B$1800,AZ$1)</f>
        <v>0</v>
      </c>
      <c r="BA63" s="117" t="n">
        <f aca="false">SUMIFS(الريسبي!$C$2:$C$1800,الريسبي!$A$2:$A$1800,$A63,الريسبي!$B$2:$B$1800,BA$1)</f>
        <v>0</v>
      </c>
      <c r="BB63" s="117" t="n">
        <f aca="false">SUMIFS(الريسبي!$C$2:$C$1800,الريسبي!$A$2:$A$1800,$A63,الريسبي!$B$2:$B$1800,BB$1)</f>
        <v>0</v>
      </c>
      <c r="BC63" s="117" t="n">
        <f aca="false">SUMIFS(الريسبي!$C$2:$C$1800,الريسبي!$A$2:$A$1800,$A63,الريسبي!$B$2:$B$1800,BC$1)</f>
        <v>0</v>
      </c>
      <c r="BD63" s="117" t="n">
        <f aca="false">SUMIFS(الريسبي!$C$2:$C$1800,الريسبي!$A$2:$A$1800,$A63,الريسبي!$B$2:$B$1800,BD$1)</f>
        <v>0</v>
      </c>
      <c r="BE63" s="117" t="n">
        <f aca="false">SUMIFS(الريسبي!$C$2:$C$1800,الريسبي!$A$2:$A$1800,$A63,الريسبي!$B$2:$B$1800,BE$1)</f>
        <v>0</v>
      </c>
      <c r="BF63" s="117" t="n">
        <f aca="false">SUMIFS(الريسبي!$C$2:$C$1800,الريسبي!$A$2:$A$1800,$A63,الريسبي!$B$2:$B$1800,BF$1)</f>
        <v>0</v>
      </c>
      <c r="BG63" s="117" t="n">
        <f aca="false">SUMIFS(الريسبي!$C$2:$C$1800,الريسبي!$A$2:$A$1800,$A63,الريسبي!$B$2:$B$1800,BG$1)</f>
        <v>0</v>
      </c>
      <c r="BH63" s="117" t="n">
        <f aca="false">SUMIFS(الريسبي!$C$2:$C$1800,الريسبي!$A$2:$A$1800,$A63,الريسبي!$B$2:$B$1800,BH$1)</f>
        <v>0</v>
      </c>
      <c r="BI63" s="117" t="n">
        <f aca="false">SUMIFS(الريسبي!$C$2:$C$1800,الريسبي!$A$2:$A$1800,$A63,الريسبي!$B$2:$B$1800,BI$1)</f>
        <v>0</v>
      </c>
      <c r="BJ63" s="117" t="n">
        <f aca="false">SUMIFS(الريسبي!$C$2:$C$1800,الريسبي!$A$2:$A$1800,$A63,الريسبي!$B$2:$B$1800,BJ$1)</f>
        <v>0</v>
      </c>
      <c r="BK63" s="117" t="n">
        <f aca="false">SUMIFS(الريسبي!$C$2:$C$1800,الريسبي!$A$2:$A$1800,$A63,الريسبي!$B$2:$B$1800,BK$1)</f>
        <v>0</v>
      </c>
      <c r="BL63" s="117" t="n">
        <f aca="false">SUMIFS(الريسبي!$C$2:$C$1800,الريسبي!$A$2:$A$1800,$A63,الريسبي!$B$2:$B$1800,BL$1)</f>
        <v>0</v>
      </c>
      <c r="BM63" s="117" t="n">
        <f aca="false">SUMIFS(الريسبي!$C$2:$C$1800,الريسبي!$A$2:$A$1800,$A63,الريسبي!$B$2:$B$1800,BM$1)</f>
        <v>0</v>
      </c>
      <c r="BN63" s="117" t="n">
        <f aca="false">SUMIFS(الريسبي!$C$2:$C$1800,الريسبي!$A$2:$A$1800,$A63,الريسبي!$B$2:$B$1800,BN$1)</f>
        <v>0</v>
      </c>
      <c r="BO63" s="117" t="n">
        <f aca="false">SUMIFS(الريسبي!$C$2:$C$1800,الريسبي!$A$2:$A$1800,$A63,الريسبي!$B$2:$B$1800,BO$1)</f>
        <v>0</v>
      </c>
      <c r="BP63" s="117" t="n">
        <f aca="false">SUMIFS(الريسبي!$C$2:$C$1800,الريسبي!$A$2:$A$1800,$A63,الريسبي!$B$2:$B$1800,BP$1)</f>
        <v>2</v>
      </c>
      <c r="BQ63" s="117" t="n">
        <f aca="false">SUMIFS(الريسبي!$C$2:$C$1800,الريسبي!$A$2:$A$1800,$A63,الريسبي!$B$2:$B$1800,BQ$1)+0.17*SUMIFS(الريسبي!$C$2:$C$1800,الريسبي!$A$2:$A$1800,$A63,الريسبي!$B$2:$B$1800,"كاسترد مصنع (خليط بودر + لبن)")+0.17*SUMIFS(الريسبي!$C$2:$C$1800,الريسبي!$A$2:$A$1800,$A63,الريسبي!$B$2:$B$1800,"كاسترد مصنع صيامي (بدون لبن)")</f>
        <v>0</v>
      </c>
      <c r="BR63" s="117" t="n">
        <f aca="false">SUMIFS(الريسبي!$C$2:$C$1800,الريسبي!$A$2:$A$1800,$A63,الريسبي!$B$2:$B$1800,BR$1)</f>
        <v>0</v>
      </c>
      <c r="BS63" s="117" t="n">
        <f aca="false">SUMIFS(الريسبي!$C$2:$C$1800,الريسبي!$A$2:$A$1800,$A63,الريسبي!$B$2:$B$1800,BS$1)</f>
        <v>0</v>
      </c>
      <c r="BT63" s="117" t="n">
        <f aca="false">SUMIFS(الريسبي!$C$2:$C$1800,الريسبي!$A$2:$A$1800,$A63,الريسبي!$B$2:$B$1800,BT$1)</f>
        <v>0</v>
      </c>
      <c r="BU63" s="117" t="n">
        <f aca="false">SUMIFS(الريسبي!$C$2:$C$1800,الريسبي!$A$2:$A$1800,$A63,الريسبي!$B$2:$B$1800,BU$1)+0.4*SUMIFS(الريسبي!$C$2:$C$1800,الريسبي!$A$2:$A$1800,$A63,الريسبي!$B$2:$B$1800,"كاسترد مصنع (خليط بودر + لبن)")+0.03333333333*SUMIFS(الريسبي!$C$2:$C$1800,الريسبي!$A$2:$A$1800,$A63,الريسبي!$B$2:$B$1800,"عجين كريب (مصنع بالمطعم)")</f>
        <v>0.05</v>
      </c>
      <c r="BV63" s="117" t="n">
        <f aca="false">SUMIFS(الريسبي!$C$2:$C$1800,الريسبي!$A$2:$A$1800,$A63,الريسبي!$B$2:$B$1800,BV$1)</f>
        <v>0</v>
      </c>
      <c r="BW63" s="117" t="n">
        <f aca="false">SUMIFS(الريسبي!$C$2:$C$1800,الريسبي!$A$2:$A$1800,$A63,الريسبي!$B$2:$B$1800,BW$1)</f>
        <v>0</v>
      </c>
      <c r="BX63" s="117" t="n">
        <f aca="false">SUMIFS(الريسبي!$C$2:$C$1800,الريسبي!$A$2:$A$1800,$A63,الريسبي!$B$2:$B$1800,BX$1)</f>
        <v>0</v>
      </c>
      <c r="BY63" s="117" t="n">
        <f aca="false">SUMIFS(الريسبي!$C$2:$C$1800,الريسبي!$A$2:$A$1800,$A63,الريسبي!$B$2:$B$1800,BY$1)</f>
        <v>0.15</v>
      </c>
      <c r="BZ63" s="117" t="n">
        <f aca="false">SUMIFS(الريسبي!$C$2:$C$1800,الريسبي!$A$2:$A$1800,$A63,الريسبي!$B$2:$B$1800,BZ$1)</f>
        <v>0</v>
      </c>
      <c r="CA63" s="117" t="n">
        <f aca="false">SUMIFS(الريسبي!$C$2:$C$1800,الريسبي!$A$2:$A$1800,$A63,الريسبي!$B$2:$B$1800,CA$1)</f>
        <v>0</v>
      </c>
      <c r="CB63" s="117" t="n">
        <f aca="false">SUMIFS(الريسبي!$C$2:$C$1800,الريسبي!$A$2:$A$1800,$A63,الريسبي!$B$2:$B$1800,CB$1)</f>
        <v>0</v>
      </c>
      <c r="CC63" s="117" t="n">
        <f aca="false">SUMIFS(الريسبي!$C$2:$C$1800,الريسبي!$A$2:$A$1800,$A63,الريسبي!$B$2:$B$1800,CC$1)</f>
        <v>1</v>
      </c>
      <c r="CD63" s="117" t="n">
        <f aca="false">SUMIFS(الريسبي!$C$2:$C$1800,الريسبي!$A$2:$A$1800,$A63,الريسبي!$B$2:$B$1800,CD$1)</f>
        <v>0</v>
      </c>
      <c r="CE63" s="117" t="n">
        <f aca="false">SUMIFS(الريسبي!$C$2:$C$1800,الريسبي!$A$2:$A$1800,$A63,الريسبي!$B$2:$B$1800,CE$1)</f>
        <v>0</v>
      </c>
      <c r="CF63" s="117" t="n">
        <f aca="false">SUMIFS(الريسبي!$C$2:$C$1800,الريسبي!$A$2:$A$1800,$A63,الريسبي!$B$2:$B$1800,CF$1)</f>
        <v>0</v>
      </c>
      <c r="CG63" s="117" t="n">
        <f aca="false">SUMIFS(الريسبي!$C$2:$C$1800,الريسبي!$A$2:$A$1800,$A63,الريسبي!$B$2:$B$1800,CG$1)</f>
        <v>0</v>
      </c>
      <c r="CH63" s="117" t="n">
        <f aca="false">SUMIFS(الريسبي!$C$2:$C$1800,الريسبي!$A$2:$A$1800,$A63,الريسبي!$B$2:$B$1800,CH$1)</f>
        <v>0</v>
      </c>
      <c r="CI63" s="117" t="n">
        <f aca="false">SUMIFS(الريسبي!$C$2:$C$1800,الريسبي!$A$2:$A$1800,$A63,الريسبي!$B$2:$B$1800,CI$1)</f>
        <v>0</v>
      </c>
      <c r="CJ63" s="117" t="n">
        <f aca="false">SUMIFS(الريسبي!$C$2:$C$1800,الريسبي!$A$2:$A$1800,$A63,الريسبي!$B$2:$B$1800,CJ$1)</f>
        <v>0</v>
      </c>
      <c r="CK63" s="117" t="n">
        <f aca="false">SUMIFS(الريسبي!$C$2:$C$1800,الريسبي!$A$2:$A$1800,$A63,الريسبي!$B$2:$B$1800,CK$1)</f>
        <v>0</v>
      </c>
      <c r="CL63" s="117" t="n">
        <f aca="false">SUMIFS(الريسبي!$C$2:$C$1800,الريسبي!$A$2:$A$1800,$A63,الريسبي!$B$2:$B$1800,CL$1)</f>
        <v>0</v>
      </c>
    </row>
    <row r="64" customFormat="false" ht="15" hidden="false" customHeight="false" outlineLevel="0" collapsed="false">
      <c r="A64" s="116" t="str">
        <f aca="false">المنيو!B64</f>
        <v>مكرونة صوص ابيض بسطرمة</v>
      </c>
      <c r="B64" s="117" t="n">
        <f aca="false">SUMIFS(الريسبي!$C$2:$C$1800,الريسبي!$A$2:$A$1800,$A64,الريسبي!$B$2:$B$1800,B$1)</f>
        <v>1</v>
      </c>
      <c r="C64" s="117" t="n">
        <f aca="false">SUMIFS(الريسبي!$C$2:$C$1800,الريسبي!$A$2:$A$1800,$A64,الريسبي!$B$2:$B$1800,C$1)</f>
        <v>0</v>
      </c>
      <c r="D64" s="117" t="n">
        <f aca="false">SUMIFS(الريسبي!$C$2:$C$1800,الريسبي!$A$2:$A$1800,$A64,الريسبي!$B$2:$B$1800,D$1)</f>
        <v>0</v>
      </c>
      <c r="E64" s="117" t="n">
        <f aca="false">SUMIFS(الريسبي!$C$2:$C$1800,الريسبي!$A$2:$A$1800,$A64,الريسبي!$B$2:$B$1800,E$1)</f>
        <v>1</v>
      </c>
      <c r="F64" s="117" t="n">
        <f aca="false">SUMIFS(الريسبي!$C$2:$C$1800,الريسبي!$A$2:$A$1800,$A64,الريسبي!$B$2:$B$1800,F$1)</f>
        <v>0</v>
      </c>
      <c r="G64" s="117" t="n">
        <f aca="false">SUMIFS(الريسبي!$C$2:$C$1800,الريسبي!$A$2:$A$1800,$A64,الريسبي!$B$2:$B$1800,G$1)</f>
        <v>1</v>
      </c>
      <c r="H64" s="117" t="n">
        <f aca="false">SUMIFS(الريسبي!$C$2:$C$1800,الريسبي!$A$2:$A$1800,$A64,الريسبي!$B$2:$B$1800,H$1)</f>
        <v>0</v>
      </c>
      <c r="I64" s="117" t="n">
        <f aca="false">SUMIFS(الريسبي!$C$2:$C$1800,الريسبي!$A$2:$A$1800,$A64,الريسبي!$B$2:$B$1800,I$1)</f>
        <v>0</v>
      </c>
      <c r="J64" s="117" t="n">
        <f aca="false">SUMIFS(الريسبي!$C$2:$C$1800,الريسبي!$A$2:$A$1800,$A64,الريسبي!$B$2:$B$1800,J$1)</f>
        <v>0</v>
      </c>
      <c r="K64" s="117" t="n">
        <f aca="false">SUMIFS(الريسبي!$C$2:$C$1800,الريسبي!$A$2:$A$1800,$A64,الريسبي!$B$2:$B$1800,K$1)</f>
        <v>0</v>
      </c>
      <c r="L64" s="117" t="n">
        <f aca="false">SUMIFS(الريسبي!$C$2:$C$1800,الريسبي!$A$2:$A$1800,$A64,الريسبي!$B$2:$B$1800,L$1)</f>
        <v>0</v>
      </c>
      <c r="M64" s="117" t="n">
        <f aca="false">SUMIFS(الريسبي!$C$2:$C$1800,الريسبي!$A$2:$A$1800,$A64,الريسبي!$B$2:$B$1800,M$1)</f>
        <v>0</v>
      </c>
      <c r="N64" s="117" t="n">
        <f aca="false">SUMIFS(الريسبي!$C$2:$C$1800,الريسبي!$A$2:$A$1800,$A64,الريسبي!$B$2:$B$1800,N$1)</f>
        <v>0</v>
      </c>
      <c r="O64" s="117" t="n">
        <f aca="false">SUMIFS(الريسبي!$C$2:$C$1800,الريسبي!$A$2:$A$1800,$A64,الريسبي!$B$2:$B$1800,O$1)</f>
        <v>0</v>
      </c>
      <c r="P64" s="117" t="n">
        <f aca="false">SUMIFS(الريسبي!$C$2:$C$1800,الريسبي!$A$2:$A$1800,$A64,الريسبي!$B$2:$B$1800,P$1)</f>
        <v>0</v>
      </c>
      <c r="Q64" s="117" t="n">
        <f aca="false">SUMIFS(الريسبي!$C$2:$C$1800,الريسبي!$A$2:$A$1800,$A64,الريسبي!$B$2:$B$1800,Q$1)</f>
        <v>0</v>
      </c>
      <c r="R64" s="117" t="n">
        <f aca="false">SUMIFS(الريسبي!$C$2:$C$1800,الريسبي!$A$2:$A$1800,$A64,الريسبي!$B$2:$B$1800,R$1)</f>
        <v>0</v>
      </c>
      <c r="S64" s="117" t="n">
        <f aca="false">SUMIFS(الريسبي!$C$2:$C$1800,الريسبي!$A$2:$A$1800,$A64,الريسبي!$B$2:$B$1800,S$1)</f>
        <v>0</v>
      </c>
      <c r="T64" s="117" t="n">
        <f aca="false">SUMIFS(الريسبي!$C$2:$C$1800,الريسبي!$A$2:$A$1800,$A64,الريسبي!$B$2:$B$1800,T$1)</f>
        <v>0</v>
      </c>
      <c r="U64" s="117" t="n">
        <f aca="false">SUMIFS(الريسبي!$C$2:$C$1800,الريسبي!$A$2:$A$1800,$A64,الريسبي!$B$2:$B$1800,U$1)</f>
        <v>0</v>
      </c>
      <c r="V64" s="117" t="n">
        <f aca="false">SUMIFS(الريسبي!$C$2:$C$1800,الريسبي!$A$2:$A$1800,$A64,الريسبي!$B$2:$B$1800,V$1)</f>
        <v>1</v>
      </c>
      <c r="W64" s="117" t="n">
        <f aca="false">SUMIFS(الريسبي!$C$2:$C$1800,الريسبي!$A$2:$A$1800,$A64,الريسبي!$B$2:$B$1800,W$1)</f>
        <v>0</v>
      </c>
      <c r="X64" s="117" t="n">
        <f aca="false">SUMIFS(الريسبي!$C$2:$C$1800,الريسبي!$A$2:$A$1800,$A64,الريسبي!$B$2:$B$1800,X$1)</f>
        <v>0</v>
      </c>
      <c r="Y64" s="117" t="n">
        <f aca="false">SUMIFS(الريسبي!$C$2:$C$1800,الريسبي!$A$2:$A$1800,$A64,الريسبي!$B$2:$B$1800,Y$1)</f>
        <v>0</v>
      </c>
      <c r="Z64" s="117" t="n">
        <f aca="false">SUMIFS(الريسبي!$C$2:$C$1800,الريسبي!$A$2:$A$1800,$A64,الريسبي!$B$2:$B$1800,Z$1)</f>
        <v>0</v>
      </c>
      <c r="AA64" s="117" t="n">
        <f aca="false">SUMIFS(الريسبي!$C$2:$C$1800,الريسبي!$A$2:$A$1800,$A64,الريسبي!$B$2:$B$1800,AA$1)</f>
        <v>0</v>
      </c>
      <c r="AB64" s="117" t="n">
        <f aca="false">SUMIFS(الريسبي!$C$2:$C$1800,الريسبي!$A$2:$A$1800,$A64,الريسبي!$B$2:$B$1800,AB$1)</f>
        <v>0</v>
      </c>
      <c r="AC64" s="117" t="n">
        <f aca="false">SUMIFS(الريسبي!$C$2:$C$1800,الريسبي!$A$2:$A$1800,$A64,الريسبي!$B$2:$B$1800,AC$1)</f>
        <v>0.2</v>
      </c>
      <c r="AD64" s="117" t="n">
        <f aca="false">SUMIFS(الريسبي!$C$2:$C$1800,الريسبي!$A$2:$A$1800,$A64,الريسبي!$B$2:$B$1800,AD$1)</f>
        <v>0</v>
      </c>
      <c r="AE64" s="117" t="n">
        <f aca="false">SUMIFS(الريسبي!$C$2:$C$1800,الريسبي!$A$2:$A$1800,$A64,الريسبي!$B$2:$B$1800,AE$1)</f>
        <v>0</v>
      </c>
      <c r="AF64" s="117" t="n">
        <f aca="false">SUMIFS(الريسبي!$C$2:$C$1800,الريسبي!$A$2:$A$1800,$A64,الريسبي!$B$2:$B$1800,AF$1)</f>
        <v>0</v>
      </c>
      <c r="AG64" s="117" t="n">
        <f aca="false">SUMIFS(الريسبي!$C$2:$C$1800,الريسبي!$A$2:$A$1800,$A64,الريسبي!$B$2:$B$1800,AG$1)</f>
        <v>0</v>
      </c>
      <c r="AH64" s="117" t="n">
        <f aca="false">SUMIFS(الريسبي!$C$2:$C$1800,الريسبي!$A$2:$A$1800,$A64,الريسبي!$B$2:$B$1800,AH$1)</f>
        <v>0</v>
      </c>
      <c r="AI64" s="117" t="n">
        <f aca="false">SUMIFS(الريسبي!$C$2:$C$1800,الريسبي!$A$2:$A$1800,$A64,الريسبي!$B$2:$B$1800,AI$1)</f>
        <v>0</v>
      </c>
      <c r="AJ64" s="117" t="n">
        <f aca="false">SUMIFS(الريسبي!$C$2:$C$1800,الريسبي!$A$2:$A$1800,$A64,الريسبي!$B$2:$B$1800,AJ$1)</f>
        <v>2</v>
      </c>
      <c r="AK64" s="117" t="n">
        <f aca="false">SUMIFS(الريسبي!$C$2:$C$1800,الريسبي!$A$2:$A$1800,$A64,الريسبي!$B$2:$B$1800,AK$1)</f>
        <v>0</v>
      </c>
      <c r="AL64" s="117" t="n">
        <f aca="false">SUMIFS(الريسبي!$C$2:$C$1800,الريسبي!$A$2:$A$1800,$A64,الريسبي!$B$2:$B$1800,AL$1)</f>
        <v>0</v>
      </c>
      <c r="AM64" s="117" t="n">
        <f aca="false">SUMIFS(الريسبي!$C$2:$C$1800,الريسبي!$A$2:$A$1800,$A64,الريسبي!$B$2:$B$1800,AM$1)+0.08333333333*SUMIFS(الريسبي!$C$2:$C$1800,الريسبي!$A$2:$A$1800,$A64,الريسبي!$B$2:$B$1800,"عجين كريب (مصنع بالمطعم)")+0.08333333333*SUMIFS(الريسبي!$C$2:$C$1800,الريسبي!$A$2:$A$1800,$A64,الريسبي!$B$2:$B$1800,"عجين كريب صيامي (بدون لبن)")</f>
        <v>0</v>
      </c>
      <c r="AN64" s="117" t="n">
        <f aca="false">SUMIFS(الريسبي!$C$2:$C$1800,الريسبي!$A$2:$A$1800,$A64,الريسبي!$B$2:$B$1800,AN$1)+0.004166666667*SUMIFS(الريسبي!$C$2:$C$1800,الريسبي!$A$2:$A$1800,$A64,الريسبي!$B$2:$B$1800,"عجين كريب (مصنع بالمطعم)")+0.004166666667*SUMIFS(الريسبي!$C$2:$C$1800,الريسبي!$A$2:$A$1800,$A64,الريسبي!$B$2:$B$1800,"عجين كريب صيامي (بدون لبن)")</f>
        <v>0.01</v>
      </c>
      <c r="AO64" s="117" t="n">
        <f aca="false">SUMIFS(الريسبي!$C$2:$C$1800,الريسبي!$A$2:$A$1800,$A64,الريسبي!$B$2:$B$1800,AO$1)</f>
        <v>0</v>
      </c>
      <c r="AP64" s="117" t="n">
        <f aca="false">SUMIFS(الريسبي!$C$2:$C$1800,الريسبي!$A$2:$A$1800,$A64,الريسبي!$B$2:$B$1800,AP$1)</f>
        <v>0</v>
      </c>
      <c r="AQ64" s="117" t="n">
        <f aca="false">SUMIFS(الريسبي!$C$2:$C$1800,الريسبي!$A$2:$A$1800,$A64,الريسبي!$B$2:$B$1800,AQ$1)+0.004166666667*SUMIFS(الريسبي!$C$2:$C$1800,الريسبي!$A$2:$A$1800,$A64,الريسبي!$B$2:$B$1800,"عجين كريب (مصنع بالمطعم)")+0.004166666667*SUMIFS(الريسبي!$C$2:$C$1800,الريسبي!$A$2:$A$1800,$A64,الريسبي!$B$2:$B$1800,"عجين كريب صيامي (بدون لبن)")</f>
        <v>0</v>
      </c>
      <c r="AR64" s="117" t="n">
        <f aca="false">SUMIFS(الريسبي!$C$2:$C$1800,الريسبي!$A$2:$A$1800,$A64,الريسبي!$B$2:$B$1800,AR$1)</f>
        <v>0</v>
      </c>
      <c r="AS64" s="117" t="n">
        <f aca="false">SUMIFS(الريسبي!$C$2:$C$1800,الريسبي!$A$2:$A$1800,$A64,الريسبي!$B$2:$B$1800,AS$1)</f>
        <v>0</v>
      </c>
      <c r="AT64" s="117" t="n">
        <f aca="false">SUMIFS(الريسبي!$C$2:$C$1800,الريسبي!$A$2:$A$1800,$A64,الريسبي!$B$2:$B$1800,AT$1)</f>
        <v>0</v>
      </c>
      <c r="AU64" s="117" t="n">
        <f aca="false">SUMIFS(الريسبي!$C$2:$C$1800,الريسبي!$A$2:$A$1800,$A64,الريسبي!$B$2:$B$1800,AU$1)</f>
        <v>1</v>
      </c>
      <c r="AV64" s="117" t="n">
        <f aca="false">SUMIFS(الريسبي!$C$2:$C$1800,الريسبي!$A$2:$A$1800,$A64,الريسبي!$B$2:$B$1800,AV$1)</f>
        <v>0</v>
      </c>
      <c r="AW64" s="117" t="n">
        <f aca="false">SUMIFS(الريسبي!$C$2:$C$1800,الريسبي!$A$2:$A$1800,$A64,الريسبي!$B$2:$B$1800,AW$1)</f>
        <v>0</v>
      </c>
      <c r="AX64" s="117" t="n">
        <f aca="false">SUMIFS(الريسبي!$C$2:$C$1800,الريسبي!$A$2:$A$1800,$A64,الريسبي!$B$2:$B$1800,AX$1)</f>
        <v>0</v>
      </c>
      <c r="AY64" s="117" t="n">
        <f aca="false">SUMIFS(الريسبي!$C$2:$C$1800,الريسبي!$A$2:$A$1800,$A64,الريسبي!$B$2:$B$1800,AY$1)</f>
        <v>0</v>
      </c>
      <c r="AZ64" s="117" t="n">
        <f aca="false">SUMIFS(الريسبي!$C$2:$C$1800,الريسبي!$A$2:$A$1800,$A64,الريسبي!$B$2:$B$1800,AZ$1)</f>
        <v>0</v>
      </c>
      <c r="BA64" s="117" t="n">
        <f aca="false">SUMIFS(الريسبي!$C$2:$C$1800,الريسبي!$A$2:$A$1800,$A64,الريسبي!$B$2:$B$1800,BA$1)</f>
        <v>0</v>
      </c>
      <c r="BB64" s="117" t="n">
        <f aca="false">SUMIFS(الريسبي!$C$2:$C$1800,الريسبي!$A$2:$A$1800,$A64,الريسبي!$B$2:$B$1800,BB$1)</f>
        <v>0</v>
      </c>
      <c r="BC64" s="117" t="n">
        <f aca="false">SUMIFS(الريسبي!$C$2:$C$1800,الريسبي!$A$2:$A$1800,$A64,الريسبي!$B$2:$B$1800,BC$1)</f>
        <v>0</v>
      </c>
      <c r="BD64" s="117" t="n">
        <f aca="false">SUMIFS(الريسبي!$C$2:$C$1800,الريسبي!$A$2:$A$1800,$A64,الريسبي!$B$2:$B$1800,BD$1)</f>
        <v>0</v>
      </c>
      <c r="BE64" s="117" t="n">
        <f aca="false">SUMIFS(الريسبي!$C$2:$C$1800,الريسبي!$A$2:$A$1800,$A64,الريسبي!$B$2:$B$1800,BE$1)</f>
        <v>0</v>
      </c>
      <c r="BF64" s="117" t="n">
        <f aca="false">SUMIFS(الريسبي!$C$2:$C$1800,الريسبي!$A$2:$A$1800,$A64,الريسبي!$B$2:$B$1800,BF$1)</f>
        <v>0</v>
      </c>
      <c r="BG64" s="117" t="n">
        <f aca="false">SUMIFS(الريسبي!$C$2:$C$1800,الريسبي!$A$2:$A$1800,$A64,الريسبي!$B$2:$B$1800,BG$1)</f>
        <v>0</v>
      </c>
      <c r="BH64" s="117" t="n">
        <f aca="false">SUMIFS(الريسبي!$C$2:$C$1800,الريسبي!$A$2:$A$1800,$A64,الريسبي!$B$2:$B$1800,BH$1)</f>
        <v>0</v>
      </c>
      <c r="BI64" s="117" t="n">
        <f aca="false">SUMIFS(الريسبي!$C$2:$C$1800,الريسبي!$A$2:$A$1800,$A64,الريسبي!$B$2:$B$1800,BI$1)</f>
        <v>0</v>
      </c>
      <c r="BJ64" s="117" t="n">
        <f aca="false">SUMIFS(الريسبي!$C$2:$C$1800,الريسبي!$A$2:$A$1800,$A64,الريسبي!$B$2:$B$1800,BJ$1)</f>
        <v>0</v>
      </c>
      <c r="BK64" s="117" t="n">
        <f aca="false">SUMIFS(الريسبي!$C$2:$C$1800,الريسبي!$A$2:$A$1800,$A64,الريسبي!$B$2:$B$1800,BK$1)</f>
        <v>0</v>
      </c>
      <c r="BL64" s="117" t="n">
        <f aca="false">SUMIFS(الريسبي!$C$2:$C$1800,الريسبي!$A$2:$A$1800,$A64,الريسبي!$B$2:$B$1800,BL$1)</f>
        <v>0</v>
      </c>
      <c r="BM64" s="117" t="n">
        <f aca="false">SUMIFS(الريسبي!$C$2:$C$1800,الريسبي!$A$2:$A$1800,$A64,الريسبي!$B$2:$B$1800,BM$1)</f>
        <v>0</v>
      </c>
      <c r="BN64" s="117" t="n">
        <f aca="false">SUMIFS(الريسبي!$C$2:$C$1800,الريسبي!$A$2:$A$1800,$A64,الريسبي!$B$2:$B$1800,BN$1)</f>
        <v>0</v>
      </c>
      <c r="BO64" s="117" t="n">
        <f aca="false">SUMIFS(الريسبي!$C$2:$C$1800,الريسبي!$A$2:$A$1800,$A64,الريسبي!$B$2:$B$1800,BO$1)</f>
        <v>0</v>
      </c>
      <c r="BP64" s="117" t="n">
        <f aca="false">SUMIFS(الريسبي!$C$2:$C$1800,الريسبي!$A$2:$A$1800,$A64,الريسبي!$B$2:$B$1800,BP$1)</f>
        <v>2</v>
      </c>
      <c r="BQ64" s="117" t="n">
        <f aca="false">SUMIFS(الريسبي!$C$2:$C$1800,الريسبي!$A$2:$A$1800,$A64,الريسبي!$B$2:$B$1800,BQ$1)+0.17*SUMIFS(الريسبي!$C$2:$C$1800,الريسبي!$A$2:$A$1800,$A64,الريسبي!$B$2:$B$1800,"كاسترد مصنع (خليط بودر + لبن)")+0.17*SUMIFS(الريسبي!$C$2:$C$1800,الريسبي!$A$2:$A$1800,$A64,الريسبي!$B$2:$B$1800,"كاسترد مصنع صيامي (بدون لبن)")</f>
        <v>0</v>
      </c>
      <c r="BR64" s="117" t="n">
        <f aca="false">SUMIFS(الريسبي!$C$2:$C$1800,الريسبي!$A$2:$A$1800,$A64,الريسبي!$B$2:$B$1800,BR$1)</f>
        <v>0</v>
      </c>
      <c r="BS64" s="117" t="n">
        <f aca="false">SUMIFS(الريسبي!$C$2:$C$1800,الريسبي!$A$2:$A$1800,$A64,الريسبي!$B$2:$B$1800,BS$1)</f>
        <v>0</v>
      </c>
      <c r="BT64" s="117" t="n">
        <f aca="false">SUMIFS(الريسبي!$C$2:$C$1800,الريسبي!$A$2:$A$1800,$A64,الريسبي!$B$2:$B$1800,BT$1)</f>
        <v>0</v>
      </c>
      <c r="BU64" s="117" t="n">
        <f aca="false">SUMIFS(الريسبي!$C$2:$C$1800,الريسبي!$A$2:$A$1800,$A64,الريسبي!$B$2:$B$1800,BU$1)+0.4*SUMIFS(الريسبي!$C$2:$C$1800,الريسبي!$A$2:$A$1800,$A64,الريسبي!$B$2:$B$1800,"كاسترد مصنع (خليط بودر + لبن)")+0.03333333333*SUMIFS(الريسبي!$C$2:$C$1800,الريسبي!$A$2:$A$1800,$A64,الريسبي!$B$2:$B$1800,"عجين كريب (مصنع بالمطعم)")</f>
        <v>0.05</v>
      </c>
      <c r="BV64" s="117" t="n">
        <f aca="false">SUMIFS(الريسبي!$C$2:$C$1800,الريسبي!$A$2:$A$1800,$A64,الريسبي!$B$2:$B$1800,BV$1)</f>
        <v>0</v>
      </c>
      <c r="BW64" s="117" t="n">
        <f aca="false">SUMIFS(الريسبي!$C$2:$C$1800,الريسبي!$A$2:$A$1800,$A64,الريسبي!$B$2:$B$1800,BW$1)</f>
        <v>0</v>
      </c>
      <c r="BX64" s="117" t="n">
        <f aca="false">SUMIFS(الريسبي!$C$2:$C$1800,الريسبي!$A$2:$A$1800,$A64,الريسبي!$B$2:$B$1800,BX$1)</f>
        <v>0</v>
      </c>
      <c r="BY64" s="117" t="n">
        <f aca="false">SUMIFS(الريسبي!$C$2:$C$1800,الريسبي!$A$2:$A$1800,$A64,الريسبي!$B$2:$B$1800,BY$1)</f>
        <v>0.15</v>
      </c>
      <c r="BZ64" s="117" t="n">
        <f aca="false">SUMIFS(الريسبي!$C$2:$C$1800,الريسبي!$A$2:$A$1800,$A64,الريسبي!$B$2:$B$1800,BZ$1)</f>
        <v>0</v>
      </c>
      <c r="CA64" s="117" t="n">
        <f aca="false">SUMIFS(الريسبي!$C$2:$C$1800,الريسبي!$A$2:$A$1800,$A64,الريسبي!$B$2:$B$1800,CA$1)</f>
        <v>0</v>
      </c>
      <c r="CB64" s="117" t="n">
        <f aca="false">SUMIFS(الريسبي!$C$2:$C$1800,الريسبي!$A$2:$A$1800,$A64,الريسبي!$B$2:$B$1800,CB$1)</f>
        <v>0</v>
      </c>
      <c r="CC64" s="117" t="n">
        <f aca="false">SUMIFS(الريسبي!$C$2:$C$1800,الريسبي!$A$2:$A$1800,$A64,الريسبي!$B$2:$B$1800,CC$1)</f>
        <v>1</v>
      </c>
      <c r="CD64" s="117" t="n">
        <f aca="false">SUMIFS(الريسبي!$C$2:$C$1800,الريسبي!$A$2:$A$1800,$A64,الريسبي!$B$2:$B$1800,CD$1)</f>
        <v>0</v>
      </c>
      <c r="CE64" s="117" t="n">
        <f aca="false">SUMIFS(الريسبي!$C$2:$C$1800,الريسبي!$A$2:$A$1800,$A64,الريسبي!$B$2:$B$1800,CE$1)</f>
        <v>0</v>
      </c>
      <c r="CF64" s="117" t="n">
        <f aca="false">SUMIFS(الريسبي!$C$2:$C$1800,الريسبي!$A$2:$A$1800,$A64,الريسبي!$B$2:$B$1800,CF$1)</f>
        <v>0</v>
      </c>
      <c r="CG64" s="117" t="n">
        <f aca="false">SUMIFS(الريسبي!$C$2:$C$1800,الريسبي!$A$2:$A$1800,$A64,الريسبي!$B$2:$B$1800,CG$1)</f>
        <v>0</v>
      </c>
      <c r="CH64" s="117" t="n">
        <f aca="false">SUMIFS(الريسبي!$C$2:$C$1800,الريسبي!$A$2:$A$1800,$A64,الريسبي!$B$2:$B$1800,CH$1)</f>
        <v>0</v>
      </c>
      <c r="CI64" s="117" t="n">
        <f aca="false">SUMIFS(الريسبي!$C$2:$C$1800,الريسبي!$A$2:$A$1800,$A64,الريسبي!$B$2:$B$1800,CI$1)</f>
        <v>0</v>
      </c>
      <c r="CJ64" s="117" t="n">
        <f aca="false">SUMIFS(الريسبي!$C$2:$C$1800,الريسبي!$A$2:$A$1800,$A64,الريسبي!$B$2:$B$1800,CJ$1)</f>
        <v>0</v>
      </c>
      <c r="CK64" s="117" t="n">
        <f aca="false">SUMIFS(الريسبي!$C$2:$C$1800,الريسبي!$A$2:$A$1800,$A64,الريسبي!$B$2:$B$1800,CK$1)</f>
        <v>0</v>
      </c>
      <c r="CL64" s="117" t="n">
        <f aca="false">SUMIFS(الريسبي!$C$2:$C$1800,الريسبي!$A$2:$A$1800,$A64,الريسبي!$B$2:$B$1800,CL$1)</f>
        <v>0</v>
      </c>
    </row>
    <row r="65" customFormat="false" ht="15" hidden="false" customHeight="false" outlineLevel="0" collapsed="false">
      <c r="A65" s="116" t="str">
        <f aca="false">المنيو!B65</f>
        <v>كريب فراخ كريسبي شيدر</v>
      </c>
      <c r="B65" s="117" t="n">
        <f aca="false">SUMIFS(الريسبي!$C$2:$C$1800,الريسبي!$A$2:$A$1800,$A65,الريسبي!$B$2:$B$1800,B$1)</f>
        <v>0</v>
      </c>
      <c r="C65" s="117" t="n">
        <f aca="false">SUMIFS(الريسبي!$C$2:$C$1800,الريسبي!$A$2:$A$1800,$A65,الريسبي!$B$2:$B$1800,C$1)</f>
        <v>0</v>
      </c>
      <c r="D65" s="117" t="n">
        <f aca="false">SUMIFS(الريسبي!$C$2:$C$1800,الريسبي!$A$2:$A$1800,$A65,الريسبي!$B$2:$B$1800,D$1)</f>
        <v>0</v>
      </c>
      <c r="E65" s="117" t="n">
        <f aca="false">SUMIFS(الريسبي!$C$2:$C$1800,الريسبي!$A$2:$A$1800,$A65,الريسبي!$B$2:$B$1800,E$1)</f>
        <v>0</v>
      </c>
      <c r="F65" s="117" t="n">
        <f aca="false">SUMIFS(الريسبي!$C$2:$C$1800,الريسبي!$A$2:$A$1800,$A65,الريسبي!$B$2:$B$1800,F$1)</f>
        <v>0</v>
      </c>
      <c r="G65" s="117" t="n">
        <f aca="false">SUMIFS(الريسبي!$C$2:$C$1800,الريسبي!$A$2:$A$1800,$A65,الريسبي!$B$2:$B$1800,G$1)</f>
        <v>0</v>
      </c>
      <c r="H65" s="117" t="n">
        <f aca="false">SUMIFS(الريسبي!$C$2:$C$1800,الريسبي!$A$2:$A$1800,$A65,الريسبي!$B$2:$B$1800,H$1)</f>
        <v>0</v>
      </c>
      <c r="I65" s="117" t="n">
        <f aca="false">SUMIFS(الريسبي!$C$2:$C$1800,الريسبي!$A$2:$A$1800,$A65,الريسبي!$B$2:$B$1800,I$1)</f>
        <v>0</v>
      </c>
      <c r="J65" s="117" t="n">
        <f aca="false">SUMIFS(الريسبي!$C$2:$C$1800,الريسبي!$A$2:$A$1800,$A65,الريسبي!$B$2:$B$1800,J$1)</f>
        <v>0</v>
      </c>
      <c r="K65" s="117" t="n">
        <f aca="false">SUMIFS(الريسبي!$C$2:$C$1800,الريسبي!$A$2:$A$1800,$A65,الريسبي!$B$2:$B$1800,K$1)</f>
        <v>0</v>
      </c>
      <c r="L65" s="117" t="n">
        <f aca="false">SUMIFS(الريسبي!$C$2:$C$1800,الريسبي!$A$2:$A$1800,$A65,الريسبي!$B$2:$B$1800,L$1)</f>
        <v>0</v>
      </c>
      <c r="M65" s="117" t="n">
        <f aca="false">SUMIFS(الريسبي!$C$2:$C$1800,الريسبي!$A$2:$A$1800,$A65,الريسبي!$B$2:$B$1800,M$1)</f>
        <v>0</v>
      </c>
      <c r="N65" s="117" t="n">
        <f aca="false">SUMIFS(الريسبي!$C$2:$C$1800,الريسبي!$A$2:$A$1800,$A65,الريسبي!$B$2:$B$1800,N$1)</f>
        <v>0</v>
      </c>
      <c r="O65" s="117" t="n">
        <f aca="false">SUMIFS(الريسبي!$C$2:$C$1800,الريسبي!$A$2:$A$1800,$A65,الريسبي!$B$2:$B$1800,O$1)</f>
        <v>0</v>
      </c>
      <c r="P65" s="117" t="n">
        <f aca="false">SUMIFS(الريسبي!$C$2:$C$1800,الريسبي!$A$2:$A$1800,$A65,الريسبي!$B$2:$B$1800,P$1)</f>
        <v>0</v>
      </c>
      <c r="Q65" s="117" t="n">
        <f aca="false">SUMIFS(الريسبي!$C$2:$C$1800,الريسبي!$A$2:$A$1800,$A65,الريسبي!$B$2:$B$1800,Q$1)</f>
        <v>1</v>
      </c>
      <c r="R65" s="117" t="n">
        <f aca="false">SUMIFS(الريسبي!$C$2:$C$1800,الريسبي!$A$2:$A$1800,$A65,الريسبي!$B$2:$B$1800,R$1)</f>
        <v>0</v>
      </c>
      <c r="S65" s="117" t="n">
        <f aca="false">SUMIFS(الريسبي!$C$2:$C$1800,الريسبي!$A$2:$A$1800,$A65,الريسبي!$B$2:$B$1800,S$1)</f>
        <v>0</v>
      </c>
      <c r="T65" s="117" t="n">
        <f aca="false">SUMIFS(الريسبي!$C$2:$C$1800,الريسبي!$A$2:$A$1800,$A65,الريسبي!$B$2:$B$1800,T$1)</f>
        <v>0</v>
      </c>
      <c r="U65" s="117" t="n">
        <f aca="false">SUMIFS(الريسبي!$C$2:$C$1800,الريسبي!$A$2:$A$1800,$A65,الريسبي!$B$2:$B$1800,U$1)</f>
        <v>0</v>
      </c>
      <c r="V65" s="117" t="n">
        <f aca="false">SUMIFS(الريسبي!$C$2:$C$1800,الريسبي!$A$2:$A$1800,$A65,الريسبي!$B$2:$B$1800,V$1)</f>
        <v>0</v>
      </c>
      <c r="W65" s="117" t="n">
        <f aca="false">SUMIFS(الريسبي!$C$2:$C$1800,الريسبي!$A$2:$A$1800,$A65,الريسبي!$B$2:$B$1800,W$1)</f>
        <v>0</v>
      </c>
      <c r="X65" s="117" t="n">
        <f aca="false">SUMIFS(الريسبي!$C$2:$C$1800,الريسبي!$A$2:$A$1800,$A65,الريسبي!$B$2:$B$1800,X$1)</f>
        <v>1</v>
      </c>
      <c r="Y65" s="117" t="n">
        <f aca="false">SUMIFS(الريسبي!$C$2:$C$1800,الريسبي!$A$2:$A$1800,$A65,الريسبي!$B$2:$B$1800,Y$1)</f>
        <v>0</v>
      </c>
      <c r="Z65" s="117" t="n">
        <f aca="false">SUMIFS(الريسبي!$C$2:$C$1800,الريسبي!$A$2:$A$1800,$A65,الريسبي!$B$2:$B$1800,Z$1)</f>
        <v>0</v>
      </c>
      <c r="AA65" s="117" t="n">
        <f aca="false">SUMIFS(الريسبي!$C$2:$C$1800,الريسبي!$A$2:$A$1800,$A65,الريسبي!$B$2:$B$1800,AA$1)</f>
        <v>0</v>
      </c>
      <c r="AB65" s="117" t="n">
        <f aca="false">SUMIFS(الريسبي!$C$2:$C$1800,الريسبي!$A$2:$A$1800,$A65,الريسبي!$B$2:$B$1800,AB$1)</f>
        <v>0</v>
      </c>
      <c r="AC65" s="117" t="n">
        <f aca="false">SUMIFS(الريسبي!$C$2:$C$1800,الريسبي!$A$2:$A$1800,$A65,الريسبي!$B$2:$B$1800,AC$1)</f>
        <v>0</v>
      </c>
      <c r="AD65" s="117" t="n">
        <f aca="false">SUMIFS(الريسبي!$C$2:$C$1800,الريسبي!$A$2:$A$1800,$A65,الريسبي!$B$2:$B$1800,AD$1)</f>
        <v>0</v>
      </c>
      <c r="AE65" s="117" t="n">
        <f aca="false">SUMIFS(الريسبي!$C$2:$C$1800,الريسبي!$A$2:$A$1800,$A65,الريسبي!$B$2:$B$1800,AE$1)</f>
        <v>0</v>
      </c>
      <c r="AF65" s="117" t="n">
        <f aca="false">SUMIFS(الريسبي!$C$2:$C$1800,الريسبي!$A$2:$A$1800,$A65,الريسبي!$B$2:$B$1800,AF$1)</f>
        <v>0</v>
      </c>
      <c r="AG65" s="117" t="n">
        <f aca="false">SUMIFS(الريسبي!$C$2:$C$1800,الريسبي!$A$2:$A$1800,$A65,الريسبي!$B$2:$B$1800,AG$1)</f>
        <v>0</v>
      </c>
      <c r="AH65" s="117" t="n">
        <f aca="false">SUMIFS(الريسبي!$C$2:$C$1800,الريسبي!$A$2:$A$1800,$A65,الريسبي!$B$2:$B$1800,AH$1)</f>
        <v>0</v>
      </c>
      <c r="AI65" s="117" t="n">
        <f aca="false">SUMIFS(الريسبي!$C$2:$C$1800,الريسبي!$A$2:$A$1800,$A65,الريسبي!$B$2:$B$1800,AI$1)</f>
        <v>0</v>
      </c>
      <c r="AJ65" s="117" t="n">
        <f aca="false">SUMIFS(الريسبي!$C$2:$C$1800,الريسبي!$A$2:$A$1800,$A65,الريسبي!$B$2:$B$1800,AJ$1)</f>
        <v>0</v>
      </c>
      <c r="AK65" s="117" t="n">
        <f aca="false">SUMIFS(الريسبي!$C$2:$C$1800,الريسبي!$A$2:$A$1800,$A65,الريسبي!$B$2:$B$1800,AK$1)</f>
        <v>0</v>
      </c>
      <c r="AL65" s="117" t="n">
        <f aca="false">SUMIFS(الريسبي!$C$2:$C$1800,الريسبي!$A$2:$A$1800,$A65,الريسبي!$B$2:$B$1800,AL$1)</f>
        <v>0</v>
      </c>
      <c r="AM65" s="117" t="n">
        <f aca="false">SUMIFS(الريسبي!$C$2:$C$1800,الريسبي!$A$2:$A$1800,$A65,الريسبي!$B$2:$B$1800,AM$1)+0.08333333333*SUMIFS(الريسبي!$C$2:$C$1800,الريسبي!$A$2:$A$1800,$A65,الريسبي!$B$2:$B$1800,"عجين كريب (مصنع بالمطعم)")+0.08333333333*SUMIFS(الريسبي!$C$2:$C$1800,الريسبي!$A$2:$A$1800,$A65,الريسبي!$B$2:$B$1800,"عجين كريب صيامي (بدون لبن)")</f>
        <v>0.08333333333</v>
      </c>
      <c r="AN65" s="117" t="n">
        <f aca="false">SUMIFS(الريسبي!$C$2:$C$1800,الريسبي!$A$2:$A$1800,$A65,الريسبي!$B$2:$B$1800,AN$1)+0.004166666667*SUMIFS(الريسبي!$C$2:$C$1800,الريسبي!$A$2:$A$1800,$A65,الريسبي!$B$2:$B$1800,"عجين كريب (مصنع بالمطعم)")+0.004166666667*SUMIFS(الريسبي!$C$2:$C$1800,الريسبي!$A$2:$A$1800,$A65,الريسبي!$B$2:$B$1800,"عجين كريب صيامي (بدون لبن)")</f>
        <v>0.004166666667</v>
      </c>
      <c r="AO65" s="117" t="n">
        <f aca="false">SUMIFS(الريسبي!$C$2:$C$1800,الريسبي!$A$2:$A$1800,$A65,الريسبي!$B$2:$B$1800,AO$1)</f>
        <v>0</v>
      </c>
      <c r="AP65" s="117" t="n">
        <f aca="false">SUMIFS(الريسبي!$C$2:$C$1800,الريسبي!$A$2:$A$1800,$A65,الريسبي!$B$2:$B$1800,AP$1)</f>
        <v>0.02</v>
      </c>
      <c r="AQ65" s="117" t="n">
        <f aca="false">SUMIFS(الريسبي!$C$2:$C$1800,الريسبي!$A$2:$A$1800,$A65,الريسبي!$B$2:$B$1800,AQ$1)+0.004166666667*SUMIFS(الريسبي!$C$2:$C$1800,الريسبي!$A$2:$A$1800,$A65,الريسبي!$B$2:$B$1800,"عجين كريب (مصنع بالمطعم)")+0.004166666667*SUMIFS(الريسبي!$C$2:$C$1800,الريسبي!$A$2:$A$1800,$A65,الريسبي!$B$2:$B$1800,"عجين كريب صيامي (بدون لبن)")</f>
        <v>0.004166666667</v>
      </c>
      <c r="AR65" s="117" t="n">
        <f aca="false">SUMIFS(الريسبي!$C$2:$C$1800,الريسبي!$A$2:$A$1800,$A65,الريسبي!$B$2:$B$1800,AR$1)</f>
        <v>0</v>
      </c>
      <c r="AS65" s="117" t="n">
        <f aca="false">SUMIFS(الريسبي!$C$2:$C$1800,الريسبي!$A$2:$A$1800,$A65,الريسبي!$B$2:$B$1800,AS$1)</f>
        <v>1</v>
      </c>
      <c r="AT65" s="117" t="n">
        <f aca="false">SUMIFS(الريسبي!$C$2:$C$1800,الريسبي!$A$2:$A$1800,$A65,الريسبي!$B$2:$B$1800,AT$1)</f>
        <v>0</v>
      </c>
      <c r="AU65" s="117" t="n">
        <f aca="false">SUMIFS(الريسبي!$C$2:$C$1800,الريسبي!$A$2:$A$1800,$A65,الريسبي!$B$2:$B$1800,AU$1)</f>
        <v>0</v>
      </c>
      <c r="AV65" s="117" t="n">
        <f aca="false">SUMIFS(الريسبي!$C$2:$C$1800,الريسبي!$A$2:$A$1800,$A65,الريسبي!$B$2:$B$1800,AV$1)</f>
        <v>0</v>
      </c>
      <c r="AW65" s="117" t="n">
        <f aca="false">SUMIFS(الريسبي!$C$2:$C$1800,الريسبي!$A$2:$A$1800,$A65,الريسبي!$B$2:$B$1800,AW$1)</f>
        <v>0</v>
      </c>
      <c r="AX65" s="117" t="n">
        <f aca="false">SUMIFS(الريسبي!$C$2:$C$1800,الريسبي!$A$2:$A$1800,$A65,الريسبي!$B$2:$B$1800,AX$1)</f>
        <v>0</v>
      </c>
      <c r="AY65" s="117" t="n">
        <f aca="false">SUMIFS(الريسبي!$C$2:$C$1800,الريسبي!$A$2:$A$1800,$A65,الريسبي!$B$2:$B$1800,AY$1)</f>
        <v>0</v>
      </c>
      <c r="AZ65" s="117" t="n">
        <f aca="false">SUMIFS(الريسبي!$C$2:$C$1800,الريسبي!$A$2:$A$1800,$A65,الريسبي!$B$2:$B$1800,AZ$1)</f>
        <v>0</v>
      </c>
      <c r="BA65" s="117" t="n">
        <f aca="false">SUMIFS(الريسبي!$C$2:$C$1800,الريسبي!$A$2:$A$1800,$A65,الريسبي!$B$2:$B$1800,BA$1)</f>
        <v>0</v>
      </c>
      <c r="BB65" s="117" t="n">
        <f aca="false">SUMIFS(الريسبي!$C$2:$C$1800,الريسبي!$A$2:$A$1800,$A65,الريسبي!$B$2:$B$1800,BB$1)</f>
        <v>0</v>
      </c>
      <c r="BC65" s="117" t="n">
        <f aca="false">SUMIFS(الريسبي!$C$2:$C$1800,الريسبي!$A$2:$A$1800,$A65,الريسبي!$B$2:$B$1800,BC$1)</f>
        <v>0.03</v>
      </c>
      <c r="BD65" s="117" t="n">
        <f aca="false">SUMIFS(الريسبي!$C$2:$C$1800,الريسبي!$A$2:$A$1800,$A65,الريسبي!$B$2:$B$1800,BD$1)</f>
        <v>0</v>
      </c>
      <c r="BE65" s="117" t="n">
        <f aca="false">SUMIFS(الريسبي!$C$2:$C$1800,الريسبي!$A$2:$A$1800,$A65,الريسبي!$B$2:$B$1800,BE$1)</f>
        <v>0</v>
      </c>
      <c r="BF65" s="117" t="n">
        <f aca="false">SUMIFS(الريسبي!$C$2:$C$1800,الريسبي!$A$2:$A$1800,$A65,الريسبي!$B$2:$B$1800,BF$1)</f>
        <v>0</v>
      </c>
      <c r="BG65" s="117" t="n">
        <f aca="false">SUMIFS(الريسبي!$C$2:$C$1800,الريسبي!$A$2:$A$1800,$A65,الريسبي!$B$2:$B$1800,BG$1)</f>
        <v>0</v>
      </c>
      <c r="BH65" s="117" t="n">
        <f aca="false">SUMIFS(الريسبي!$C$2:$C$1800,الريسبي!$A$2:$A$1800,$A65,الريسبي!$B$2:$B$1800,BH$1)</f>
        <v>0</v>
      </c>
      <c r="BI65" s="117" t="n">
        <f aca="false">SUMIFS(الريسبي!$C$2:$C$1800,الريسبي!$A$2:$A$1800,$A65,الريسبي!$B$2:$B$1800,BI$1)</f>
        <v>0</v>
      </c>
      <c r="BJ65" s="117" t="n">
        <f aca="false">SUMIFS(الريسبي!$C$2:$C$1800,الريسبي!$A$2:$A$1800,$A65,الريسبي!$B$2:$B$1800,BJ$1)</f>
        <v>0</v>
      </c>
      <c r="BK65" s="117" t="n">
        <f aca="false">SUMIFS(الريسبي!$C$2:$C$1800,الريسبي!$A$2:$A$1800,$A65,الريسبي!$B$2:$B$1800,BK$1)</f>
        <v>0</v>
      </c>
      <c r="BL65" s="117" t="n">
        <f aca="false">SUMIFS(الريسبي!$C$2:$C$1800,الريسبي!$A$2:$A$1800,$A65,الريسبي!$B$2:$B$1800,BL$1)</f>
        <v>0</v>
      </c>
      <c r="BM65" s="117" t="n">
        <f aca="false">SUMIFS(الريسبي!$C$2:$C$1800,الريسبي!$A$2:$A$1800,$A65,الريسبي!$B$2:$B$1800,BM$1)</f>
        <v>0</v>
      </c>
      <c r="BN65" s="117" t="n">
        <f aca="false">SUMIFS(الريسبي!$C$2:$C$1800,الريسبي!$A$2:$A$1800,$A65,الريسبي!$B$2:$B$1800,BN$1)</f>
        <v>0.02</v>
      </c>
      <c r="BO65" s="117" t="n">
        <f aca="false">SUMIFS(الريسبي!$C$2:$C$1800,الريسبي!$A$2:$A$1800,$A65,الريسبي!$B$2:$B$1800,BO$1)</f>
        <v>0</v>
      </c>
      <c r="BP65" s="117" t="n">
        <f aca="false">SUMIFS(الريسبي!$C$2:$C$1800,الريسبي!$A$2:$A$1800,$A65,الريسبي!$B$2:$B$1800,BP$1)</f>
        <v>0</v>
      </c>
      <c r="BQ65" s="117" t="n">
        <f aca="false">SUMIFS(الريسبي!$C$2:$C$1800,الريسبي!$A$2:$A$1800,$A65,الريسبي!$B$2:$B$1800,BQ$1)+0.17*SUMIFS(الريسبي!$C$2:$C$1800,الريسبي!$A$2:$A$1800,$A65,الريسبي!$B$2:$B$1800,"كاسترد مصنع (خليط بودر + لبن)")+0.17*SUMIFS(الريسبي!$C$2:$C$1800,الريسبي!$A$2:$A$1800,$A65,الريسبي!$B$2:$B$1800,"كاسترد مصنع صيامي (بدون لبن)")</f>
        <v>0</v>
      </c>
      <c r="BR65" s="117" t="n">
        <f aca="false">SUMIFS(الريسبي!$C$2:$C$1800,الريسبي!$A$2:$A$1800,$A65,الريسبي!$B$2:$B$1800,BR$1)</f>
        <v>0</v>
      </c>
      <c r="BS65" s="117" t="n">
        <f aca="false">SUMIFS(الريسبي!$C$2:$C$1800,الريسبي!$A$2:$A$1800,$A65,الريسبي!$B$2:$B$1800,BS$1)</f>
        <v>0</v>
      </c>
      <c r="BT65" s="117" t="n">
        <f aca="false">SUMIFS(الريسبي!$C$2:$C$1800,الريسبي!$A$2:$A$1800,$A65,الريسبي!$B$2:$B$1800,BT$1)</f>
        <v>1</v>
      </c>
      <c r="BU65" s="117" t="n">
        <f aca="false">SUMIFS(الريسبي!$C$2:$C$1800,الريسبي!$A$2:$A$1800,$A65,الريسبي!$B$2:$B$1800,BU$1)+0.4*SUMIFS(الريسبي!$C$2:$C$1800,الريسبي!$A$2:$A$1800,$A65,الريسبي!$B$2:$B$1800,"كاسترد مصنع (خليط بودر + لبن)")+0.03333333333*SUMIFS(الريسبي!$C$2:$C$1800,الريسبي!$A$2:$A$1800,$A65,الريسبي!$B$2:$B$1800,"عجين كريب (مصنع بالمطعم)")</f>
        <v>0.03333333333</v>
      </c>
      <c r="BV65" s="117" t="n">
        <f aca="false">SUMIFS(الريسبي!$C$2:$C$1800,الريسبي!$A$2:$A$1800,$A65,الريسبي!$B$2:$B$1800,BV$1)</f>
        <v>0</v>
      </c>
      <c r="BW65" s="117" t="n">
        <f aca="false">SUMIFS(الريسبي!$C$2:$C$1800,الريسبي!$A$2:$A$1800,$A65,الريسبي!$B$2:$B$1800,BW$1)</f>
        <v>0</v>
      </c>
      <c r="BX65" s="117" t="n">
        <f aca="false">SUMIFS(الريسبي!$C$2:$C$1800,الريسبي!$A$2:$A$1800,$A65,الريسبي!$B$2:$B$1800,BX$1)</f>
        <v>0</v>
      </c>
      <c r="BY65" s="117" t="n">
        <f aca="false">SUMIFS(الريسبي!$C$2:$C$1800,الريسبي!$A$2:$A$1800,$A65,الريسبي!$B$2:$B$1800,BY$1)</f>
        <v>0</v>
      </c>
      <c r="BZ65" s="117" t="n">
        <f aca="false">SUMIFS(الريسبي!$C$2:$C$1800,الريسبي!$A$2:$A$1800,$A65,الريسبي!$B$2:$B$1800,BZ$1)</f>
        <v>0</v>
      </c>
      <c r="CA65" s="117" t="n">
        <f aca="false">SUMIFS(الريسبي!$C$2:$C$1800,الريسبي!$A$2:$A$1800,$A65,الريسبي!$B$2:$B$1800,CA$1)</f>
        <v>0</v>
      </c>
      <c r="CB65" s="117" t="n">
        <f aca="false">SUMIFS(الريسبي!$C$2:$C$1800,الريسبي!$A$2:$A$1800,$A65,الريسبي!$B$2:$B$1800,CB$1)</f>
        <v>0</v>
      </c>
      <c r="CC65" s="117" t="n">
        <f aca="false">SUMIFS(الريسبي!$C$2:$C$1800,الريسبي!$A$2:$A$1800,$A65,الريسبي!$B$2:$B$1800,CC$1)</f>
        <v>0</v>
      </c>
      <c r="CD65" s="117" t="n">
        <f aca="false">SUMIFS(الريسبي!$C$2:$C$1800,الريسبي!$A$2:$A$1800,$A65,الريسبي!$B$2:$B$1800,CD$1)</f>
        <v>0</v>
      </c>
      <c r="CE65" s="117" t="n">
        <f aca="false">SUMIFS(الريسبي!$C$2:$C$1800,الريسبي!$A$2:$A$1800,$A65,الريسبي!$B$2:$B$1800,CE$1)</f>
        <v>0</v>
      </c>
      <c r="CF65" s="117" t="n">
        <f aca="false">SUMIFS(الريسبي!$C$2:$C$1800,الريسبي!$A$2:$A$1800,$A65,الريسبي!$B$2:$B$1800,CF$1)</f>
        <v>0</v>
      </c>
      <c r="CG65" s="117" t="n">
        <f aca="false">SUMIFS(الريسبي!$C$2:$C$1800,الريسبي!$A$2:$A$1800,$A65,الريسبي!$B$2:$B$1800,CG$1)</f>
        <v>0</v>
      </c>
      <c r="CH65" s="117" t="n">
        <f aca="false">SUMIFS(الريسبي!$C$2:$C$1800,الريسبي!$A$2:$A$1800,$A65,الريسبي!$B$2:$B$1800,CH$1)</f>
        <v>0</v>
      </c>
      <c r="CI65" s="117" t="n">
        <f aca="false">SUMIFS(الريسبي!$C$2:$C$1800,الريسبي!$A$2:$A$1800,$A65,الريسبي!$B$2:$B$1800,CI$1)</f>
        <v>0</v>
      </c>
      <c r="CJ65" s="117" t="n">
        <f aca="false">SUMIFS(الريسبي!$C$2:$C$1800,الريسبي!$A$2:$A$1800,$A65,الريسبي!$B$2:$B$1800,CJ$1)</f>
        <v>0</v>
      </c>
      <c r="CK65" s="117" t="n">
        <f aca="false">SUMIFS(الريسبي!$C$2:$C$1800,الريسبي!$A$2:$A$1800,$A65,الريسبي!$B$2:$B$1800,CK$1)</f>
        <v>0</v>
      </c>
      <c r="CL65" s="117" t="n">
        <f aca="false">SUMIFS(الريسبي!$C$2:$C$1800,الريسبي!$A$2:$A$1800,$A65,الريسبي!$B$2:$B$1800,CL$1)</f>
        <v>0</v>
      </c>
    </row>
    <row r="66" customFormat="false" ht="15" hidden="false" customHeight="false" outlineLevel="0" collapsed="false">
      <c r="A66" s="116" t="str">
        <f aca="false">المنيو!B66</f>
        <v>كريب مشكل فراخ</v>
      </c>
      <c r="B66" s="117" t="n">
        <f aca="false">SUMIFS(الريسبي!$C$2:$C$1800,الريسبي!$A$2:$A$1800,$A66,الريسبي!$B$2:$B$1800,B$1)</f>
        <v>0</v>
      </c>
      <c r="C66" s="117" t="n">
        <f aca="false">SUMIFS(الريسبي!$C$2:$C$1800,الريسبي!$A$2:$A$1800,$A66,الريسبي!$B$2:$B$1800,C$1)</f>
        <v>0</v>
      </c>
      <c r="D66" s="117" t="n">
        <f aca="false">SUMIFS(الريسبي!$C$2:$C$1800,الريسبي!$A$2:$A$1800,$A66,الريسبي!$B$2:$B$1800,D$1)</f>
        <v>0</v>
      </c>
      <c r="E66" s="117" t="n">
        <f aca="false">SUMIFS(الريسبي!$C$2:$C$1800,الريسبي!$A$2:$A$1800,$A66,الريسبي!$B$2:$B$1800,E$1)</f>
        <v>0</v>
      </c>
      <c r="F66" s="117" t="n">
        <f aca="false">SUMIFS(الريسبي!$C$2:$C$1800,الريسبي!$A$2:$A$1800,$A66,الريسبي!$B$2:$B$1800,F$1)</f>
        <v>0</v>
      </c>
      <c r="G66" s="117" t="n">
        <f aca="false">SUMIFS(الريسبي!$C$2:$C$1800,الريسبي!$A$2:$A$1800,$A66,الريسبي!$B$2:$B$1800,G$1)</f>
        <v>0</v>
      </c>
      <c r="H66" s="117" t="n">
        <f aca="false">SUMIFS(الريسبي!$C$2:$C$1800,الريسبي!$A$2:$A$1800,$A66,الريسبي!$B$2:$B$1800,H$1)</f>
        <v>0</v>
      </c>
      <c r="I66" s="117" t="n">
        <f aca="false">SUMIFS(الريسبي!$C$2:$C$1800,الريسبي!$A$2:$A$1800,$A66,الريسبي!$B$2:$B$1800,I$1)</f>
        <v>0</v>
      </c>
      <c r="J66" s="117" t="n">
        <f aca="false">SUMIFS(الريسبي!$C$2:$C$1800,الريسبي!$A$2:$A$1800,$A66,الريسبي!$B$2:$B$1800,J$1)</f>
        <v>0</v>
      </c>
      <c r="K66" s="117" t="n">
        <f aca="false">SUMIFS(الريسبي!$C$2:$C$1800,الريسبي!$A$2:$A$1800,$A66,الريسبي!$B$2:$B$1800,K$1)</f>
        <v>0</v>
      </c>
      <c r="L66" s="117" t="n">
        <f aca="false">SUMIFS(الريسبي!$C$2:$C$1800,الريسبي!$A$2:$A$1800,$A66,الريسبي!$B$2:$B$1800,L$1)</f>
        <v>0</v>
      </c>
      <c r="M66" s="117" t="n">
        <f aca="false">SUMIFS(الريسبي!$C$2:$C$1800,الريسبي!$A$2:$A$1800,$A66,الريسبي!$B$2:$B$1800,M$1)</f>
        <v>0</v>
      </c>
      <c r="N66" s="117" t="n">
        <f aca="false">SUMIFS(الريسبي!$C$2:$C$1800,الريسبي!$A$2:$A$1800,$A66,الريسبي!$B$2:$B$1800,N$1)</f>
        <v>0</v>
      </c>
      <c r="O66" s="117" t="n">
        <f aca="false">SUMIFS(الريسبي!$C$2:$C$1800,الريسبي!$A$2:$A$1800,$A66,الريسبي!$B$2:$B$1800,O$1)</f>
        <v>0.5</v>
      </c>
      <c r="P66" s="117" t="n">
        <f aca="false">SUMIFS(الريسبي!$C$2:$C$1800,الريسبي!$A$2:$A$1800,$A66,الريسبي!$B$2:$B$1800,P$1)</f>
        <v>0</v>
      </c>
      <c r="Q66" s="117" t="n">
        <f aca="false">SUMIFS(الريسبي!$C$2:$C$1800,الريسبي!$A$2:$A$1800,$A66,الريسبي!$B$2:$B$1800,Q$1)</f>
        <v>0.5</v>
      </c>
      <c r="R66" s="117" t="n">
        <f aca="false">SUMIFS(الريسبي!$C$2:$C$1800,الريسبي!$A$2:$A$1800,$A66,الريسبي!$B$2:$B$1800,R$1)</f>
        <v>0</v>
      </c>
      <c r="S66" s="117" t="n">
        <f aca="false">SUMIFS(الريسبي!$C$2:$C$1800,الريسبي!$A$2:$A$1800,$A66,الريسبي!$B$2:$B$1800,S$1)</f>
        <v>0</v>
      </c>
      <c r="T66" s="117" t="n">
        <f aca="false">SUMIFS(الريسبي!$C$2:$C$1800,الريسبي!$A$2:$A$1800,$A66,الريسبي!$B$2:$B$1800,T$1)</f>
        <v>0</v>
      </c>
      <c r="U66" s="117" t="n">
        <f aca="false">SUMIFS(الريسبي!$C$2:$C$1800,الريسبي!$A$2:$A$1800,$A66,الريسبي!$B$2:$B$1800,U$1)</f>
        <v>0</v>
      </c>
      <c r="V66" s="117" t="n">
        <f aca="false">SUMIFS(الريسبي!$C$2:$C$1800,الريسبي!$A$2:$A$1800,$A66,الريسبي!$B$2:$B$1800,V$1)</f>
        <v>0</v>
      </c>
      <c r="W66" s="117" t="n">
        <f aca="false">SUMIFS(الريسبي!$C$2:$C$1800,الريسبي!$A$2:$A$1800,$A66,الريسبي!$B$2:$B$1800,W$1)</f>
        <v>0</v>
      </c>
      <c r="X66" s="117" t="n">
        <f aca="false">SUMIFS(الريسبي!$C$2:$C$1800,الريسبي!$A$2:$A$1800,$A66,الريسبي!$B$2:$B$1800,X$1)</f>
        <v>1</v>
      </c>
      <c r="Y66" s="117" t="n">
        <f aca="false">SUMIFS(الريسبي!$C$2:$C$1800,الريسبي!$A$2:$A$1800,$A66,الريسبي!$B$2:$B$1800,Y$1)</f>
        <v>0</v>
      </c>
      <c r="Z66" s="117" t="n">
        <f aca="false">SUMIFS(الريسبي!$C$2:$C$1800,الريسبي!$A$2:$A$1800,$A66,الريسبي!$B$2:$B$1800,Z$1)</f>
        <v>0</v>
      </c>
      <c r="AA66" s="117" t="n">
        <f aca="false">SUMIFS(الريسبي!$C$2:$C$1800,الريسبي!$A$2:$A$1800,$A66,الريسبي!$B$2:$B$1800,AA$1)</f>
        <v>0</v>
      </c>
      <c r="AB66" s="117" t="n">
        <f aca="false">SUMIFS(الريسبي!$C$2:$C$1800,الريسبي!$A$2:$A$1800,$A66,الريسبي!$B$2:$B$1800,AB$1)</f>
        <v>0</v>
      </c>
      <c r="AC66" s="117" t="n">
        <f aca="false">SUMIFS(الريسبي!$C$2:$C$1800,الريسبي!$A$2:$A$1800,$A66,الريسبي!$B$2:$B$1800,AC$1)</f>
        <v>0</v>
      </c>
      <c r="AD66" s="117" t="n">
        <f aca="false">SUMIFS(الريسبي!$C$2:$C$1800,الريسبي!$A$2:$A$1800,$A66,الريسبي!$B$2:$B$1800,AD$1)</f>
        <v>0</v>
      </c>
      <c r="AE66" s="117" t="n">
        <f aca="false">SUMIFS(الريسبي!$C$2:$C$1800,الريسبي!$A$2:$A$1800,$A66,الريسبي!$B$2:$B$1800,AE$1)</f>
        <v>0</v>
      </c>
      <c r="AF66" s="117" t="n">
        <f aca="false">SUMIFS(الريسبي!$C$2:$C$1800,الريسبي!$A$2:$A$1800,$A66,الريسبي!$B$2:$B$1800,AF$1)</f>
        <v>0</v>
      </c>
      <c r="AG66" s="117" t="n">
        <f aca="false">SUMIFS(الريسبي!$C$2:$C$1800,الريسبي!$A$2:$A$1800,$A66,الريسبي!$B$2:$B$1800,AG$1)</f>
        <v>0</v>
      </c>
      <c r="AH66" s="117" t="n">
        <f aca="false">SUMIFS(الريسبي!$C$2:$C$1800,الريسبي!$A$2:$A$1800,$A66,الريسبي!$B$2:$B$1800,AH$1)</f>
        <v>0</v>
      </c>
      <c r="AI66" s="117" t="n">
        <f aca="false">SUMIFS(الريسبي!$C$2:$C$1800,الريسبي!$A$2:$A$1800,$A66,الريسبي!$B$2:$B$1800,AI$1)</f>
        <v>0</v>
      </c>
      <c r="AJ66" s="117" t="n">
        <f aca="false">SUMIFS(الريسبي!$C$2:$C$1800,الريسبي!$A$2:$A$1800,$A66,الريسبي!$B$2:$B$1800,AJ$1)</f>
        <v>0</v>
      </c>
      <c r="AK66" s="117" t="n">
        <f aca="false">SUMIFS(الريسبي!$C$2:$C$1800,الريسبي!$A$2:$A$1800,$A66,الريسبي!$B$2:$B$1800,AK$1)</f>
        <v>0</v>
      </c>
      <c r="AL66" s="117" t="n">
        <f aca="false">SUMIFS(الريسبي!$C$2:$C$1800,الريسبي!$A$2:$A$1800,$A66,الريسبي!$B$2:$B$1800,AL$1)</f>
        <v>0</v>
      </c>
      <c r="AM66" s="117" t="n">
        <f aca="false">SUMIFS(الريسبي!$C$2:$C$1800,الريسبي!$A$2:$A$1800,$A66,الريسبي!$B$2:$B$1800,AM$1)+0.08333333333*SUMIFS(الريسبي!$C$2:$C$1800,الريسبي!$A$2:$A$1800,$A66,الريسبي!$B$2:$B$1800,"عجين كريب (مصنع بالمطعم)")+0.08333333333*SUMIFS(الريسبي!$C$2:$C$1800,الريسبي!$A$2:$A$1800,$A66,الريسبي!$B$2:$B$1800,"عجين كريب صيامي (بدون لبن)")</f>
        <v>0.08333333333</v>
      </c>
      <c r="AN66" s="117" t="n">
        <f aca="false">SUMIFS(الريسبي!$C$2:$C$1800,الريسبي!$A$2:$A$1800,$A66,الريسبي!$B$2:$B$1800,AN$1)+0.004166666667*SUMIFS(الريسبي!$C$2:$C$1800,الريسبي!$A$2:$A$1800,$A66,الريسبي!$B$2:$B$1800,"عجين كريب (مصنع بالمطعم)")+0.004166666667*SUMIFS(الريسبي!$C$2:$C$1800,الريسبي!$A$2:$A$1800,$A66,الريسبي!$B$2:$B$1800,"عجين كريب صيامي (بدون لبن)")</f>
        <v>0.004166666667</v>
      </c>
      <c r="AO66" s="117" t="n">
        <f aca="false">SUMIFS(الريسبي!$C$2:$C$1800,الريسبي!$A$2:$A$1800,$A66,الريسبي!$B$2:$B$1800,AO$1)</f>
        <v>0</v>
      </c>
      <c r="AP66" s="117" t="n">
        <f aca="false">SUMIFS(الريسبي!$C$2:$C$1800,الريسبي!$A$2:$A$1800,$A66,الريسبي!$B$2:$B$1800,AP$1)</f>
        <v>0.02</v>
      </c>
      <c r="AQ66" s="117" t="n">
        <f aca="false">SUMIFS(الريسبي!$C$2:$C$1800,الريسبي!$A$2:$A$1800,$A66,الريسبي!$B$2:$B$1800,AQ$1)+0.004166666667*SUMIFS(الريسبي!$C$2:$C$1800,الريسبي!$A$2:$A$1800,$A66,الريسبي!$B$2:$B$1800,"عجين كريب (مصنع بالمطعم)")+0.004166666667*SUMIFS(الريسبي!$C$2:$C$1800,الريسبي!$A$2:$A$1800,$A66,الريسبي!$B$2:$B$1800,"عجين كريب صيامي (بدون لبن)")</f>
        <v>0.004166666667</v>
      </c>
      <c r="AR66" s="117" t="n">
        <f aca="false">SUMIFS(الريسبي!$C$2:$C$1800,الريسبي!$A$2:$A$1800,$A66,الريسبي!$B$2:$B$1800,AR$1)</f>
        <v>0</v>
      </c>
      <c r="AS66" s="117" t="n">
        <f aca="false">SUMIFS(الريسبي!$C$2:$C$1800,الريسبي!$A$2:$A$1800,$A66,الريسبي!$B$2:$B$1800,AS$1)</f>
        <v>1</v>
      </c>
      <c r="AT66" s="117" t="n">
        <f aca="false">SUMIFS(الريسبي!$C$2:$C$1800,الريسبي!$A$2:$A$1800,$A66,الريسبي!$B$2:$B$1800,AT$1)</f>
        <v>0</v>
      </c>
      <c r="AU66" s="117" t="n">
        <f aca="false">SUMIFS(الريسبي!$C$2:$C$1800,الريسبي!$A$2:$A$1800,$A66,الريسبي!$B$2:$B$1800,AU$1)</f>
        <v>0</v>
      </c>
      <c r="AV66" s="117" t="n">
        <f aca="false">SUMIFS(الريسبي!$C$2:$C$1800,الريسبي!$A$2:$A$1800,$A66,الريسبي!$B$2:$B$1800,AV$1)</f>
        <v>0</v>
      </c>
      <c r="AW66" s="117" t="n">
        <f aca="false">SUMIFS(الريسبي!$C$2:$C$1800,الريسبي!$A$2:$A$1800,$A66,الريسبي!$B$2:$B$1800,AW$1)</f>
        <v>0</v>
      </c>
      <c r="AX66" s="117" t="n">
        <f aca="false">SUMIFS(الريسبي!$C$2:$C$1800,الريسبي!$A$2:$A$1800,$A66,الريسبي!$B$2:$B$1800,AX$1)</f>
        <v>0</v>
      </c>
      <c r="AY66" s="117" t="n">
        <f aca="false">SUMIFS(الريسبي!$C$2:$C$1800,الريسبي!$A$2:$A$1800,$A66,الريسبي!$B$2:$B$1800,AY$1)</f>
        <v>0</v>
      </c>
      <c r="AZ66" s="117" t="n">
        <f aca="false">SUMIFS(الريسبي!$C$2:$C$1800,الريسبي!$A$2:$A$1800,$A66,الريسبي!$B$2:$B$1800,AZ$1)</f>
        <v>0</v>
      </c>
      <c r="BA66" s="117" t="n">
        <f aca="false">SUMIFS(الريسبي!$C$2:$C$1800,الريسبي!$A$2:$A$1800,$A66,الريسبي!$B$2:$B$1800,BA$1)</f>
        <v>0</v>
      </c>
      <c r="BB66" s="117" t="n">
        <f aca="false">SUMIFS(الريسبي!$C$2:$C$1800,الريسبي!$A$2:$A$1800,$A66,الريسبي!$B$2:$B$1800,BB$1)</f>
        <v>0</v>
      </c>
      <c r="BC66" s="117" t="n">
        <f aca="false">SUMIFS(الريسبي!$C$2:$C$1800,الريسبي!$A$2:$A$1800,$A66,الريسبي!$B$2:$B$1800,BC$1)</f>
        <v>0.03</v>
      </c>
      <c r="BD66" s="117" t="n">
        <f aca="false">SUMIFS(الريسبي!$C$2:$C$1800,الريسبي!$A$2:$A$1800,$A66,الريسبي!$B$2:$B$1800,BD$1)</f>
        <v>0</v>
      </c>
      <c r="BE66" s="117" t="n">
        <f aca="false">SUMIFS(الريسبي!$C$2:$C$1800,الريسبي!$A$2:$A$1800,$A66,الريسبي!$B$2:$B$1800,BE$1)</f>
        <v>0</v>
      </c>
      <c r="BF66" s="117" t="n">
        <f aca="false">SUMIFS(الريسبي!$C$2:$C$1800,الريسبي!$A$2:$A$1800,$A66,الريسبي!$B$2:$B$1800,BF$1)</f>
        <v>0</v>
      </c>
      <c r="BG66" s="117" t="n">
        <f aca="false">SUMIFS(الريسبي!$C$2:$C$1800,الريسبي!$A$2:$A$1800,$A66,الريسبي!$B$2:$B$1800,BG$1)</f>
        <v>0</v>
      </c>
      <c r="BH66" s="117" t="n">
        <f aca="false">SUMIFS(الريسبي!$C$2:$C$1800,الريسبي!$A$2:$A$1800,$A66,الريسبي!$B$2:$B$1800,BH$1)</f>
        <v>0</v>
      </c>
      <c r="BI66" s="117" t="n">
        <f aca="false">SUMIFS(الريسبي!$C$2:$C$1800,الريسبي!$A$2:$A$1800,$A66,الريسبي!$B$2:$B$1800,BI$1)</f>
        <v>0</v>
      </c>
      <c r="BJ66" s="117" t="n">
        <f aca="false">SUMIFS(الريسبي!$C$2:$C$1800,الريسبي!$A$2:$A$1800,$A66,الريسبي!$B$2:$B$1800,BJ$1)</f>
        <v>0</v>
      </c>
      <c r="BK66" s="117" t="n">
        <f aca="false">SUMIFS(الريسبي!$C$2:$C$1800,الريسبي!$A$2:$A$1800,$A66,الريسبي!$B$2:$B$1800,BK$1)</f>
        <v>0</v>
      </c>
      <c r="BL66" s="117" t="n">
        <f aca="false">SUMIFS(الريسبي!$C$2:$C$1800,الريسبي!$A$2:$A$1800,$A66,الريسبي!$B$2:$B$1800,BL$1)</f>
        <v>0</v>
      </c>
      <c r="BM66" s="117" t="n">
        <f aca="false">SUMIFS(الريسبي!$C$2:$C$1800,الريسبي!$A$2:$A$1800,$A66,الريسبي!$B$2:$B$1800,BM$1)</f>
        <v>0</v>
      </c>
      <c r="BN66" s="117" t="n">
        <f aca="false">SUMIFS(الريسبي!$C$2:$C$1800,الريسبي!$A$2:$A$1800,$A66,الريسبي!$B$2:$B$1800,BN$1)</f>
        <v>0.02</v>
      </c>
      <c r="BO66" s="117" t="n">
        <f aca="false">SUMIFS(الريسبي!$C$2:$C$1800,الريسبي!$A$2:$A$1800,$A66,الريسبي!$B$2:$B$1800,BO$1)</f>
        <v>0</v>
      </c>
      <c r="BP66" s="117" t="n">
        <f aca="false">SUMIFS(الريسبي!$C$2:$C$1800,الريسبي!$A$2:$A$1800,$A66,الريسبي!$B$2:$B$1800,BP$1)</f>
        <v>0</v>
      </c>
      <c r="BQ66" s="117" t="n">
        <f aca="false">SUMIFS(الريسبي!$C$2:$C$1800,الريسبي!$A$2:$A$1800,$A66,الريسبي!$B$2:$B$1800,BQ$1)+0.17*SUMIFS(الريسبي!$C$2:$C$1800,الريسبي!$A$2:$A$1800,$A66,الريسبي!$B$2:$B$1800,"كاسترد مصنع (خليط بودر + لبن)")+0.17*SUMIFS(الريسبي!$C$2:$C$1800,الريسبي!$A$2:$A$1800,$A66,الريسبي!$B$2:$B$1800,"كاسترد مصنع صيامي (بدون لبن)")</f>
        <v>0</v>
      </c>
      <c r="BR66" s="117" t="n">
        <f aca="false">SUMIFS(الريسبي!$C$2:$C$1800,الريسبي!$A$2:$A$1800,$A66,الريسبي!$B$2:$B$1800,BR$1)</f>
        <v>0</v>
      </c>
      <c r="BS66" s="117" t="n">
        <f aca="false">SUMIFS(الريسبي!$C$2:$C$1800,الريسبي!$A$2:$A$1800,$A66,الريسبي!$B$2:$B$1800,BS$1)</f>
        <v>0</v>
      </c>
      <c r="BT66" s="117" t="n">
        <f aca="false">SUMIFS(الريسبي!$C$2:$C$1800,الريسبي!$A$2:$A$1800,$A66,الريسبي!$B$2:$B$1800,BT$1)</f>
        <v>1</v>
      </c>
      <c r="BU66" s="117" t="n">
        <f aca="false">SUMIFS(الريسبي!$C$2:$C$1800,الريسبي!$A$2:$A$1800,$A66,الريسبي!$B$2:$B$1800,BU$1)+0.4*SUMIFS(الريسبي!$C$2:$C$1800,الريسبي!$A$2:$A$1800,$A66,الريسبي!$B$2:$B$1800,"كاسترد مصنع (خليط بودر + لبن)")+0.03333333333*SUMIFS(الريسبي!$C$2:$C$1800,الريسبي!$A$2:$A$1800,$A66,الريسبي!$B$2:$B$1800,"عجين كريب (مصنع بالمطعم)")</f>
        <v>0.03333333333</v>
      </c>
      <c r="BV66" s="117" t="n">
        <f aca="false">SUMIFS(الريسبي!$C$2:$C$1800,الريسبي!$A$2:$A$1800,$A66,الريسبي!$B$2:$B$1800,BV$1)</f>
        <v>0</v>
      </c>
      <c r="BW66" s="117" t="n">
        <f aca="false">SUMIFS(الريسبي!$C$2:$C$1800,الريسبي!$A$2:$A$1800,$A66,الريسبي!$B$2:$B$1800,BW$1)</f>
        <v>0</v>
      </c>
      <c r="BX66" s="117" t="n">
        <f aca="false">SUMIFS(الريسبي!$C$2:$C$1800,الريسبي!$A$2:$A$1800,$A66,الريسبي!$B$2:$B$1800,BX$1)</f>
        <v>0</v>
      </c>
      <c r="BY66" s="117" t="n">
        <f aca="false">SUMIFS(الريسبي!$C$2:$C$1800,الريسبي!$A$2:$A$1800,$A66,الريسبي!$B$2:$B$1800,BY$1)</f>
        <v>0</v>
      </c>
      <c r="BZ66" s="117" t="n">
        <f aca="false">SUMIFS(الريسبي!$C$2:$C$1800,الريسبي!$A$2:$A$1800,$A66,الريسبي!$B$2:$B$1800,BZ$1)</f>
        <v>0</v>
      </c>
      <c r="CA66" s="117" t="n">
        <f aca="false">SUMIFS(الريسبي!$C$2:$C$1800,الريسبي!$A$2:$A$1800,$A66,الريسبي!$B$2:$B$1800,CA$1)</f>
        <v>0</v>
      </c>
      <c r="CB66" s="117" t="n">
        <f aca="false">SUMIFS(الريسبي!$C$2:$C$1800,الريسبي!$A$2:$A$1800,$A66,الريسبي!$B$2:$B$1800,CB$1)</f>
        <v>0</v>
      </c>
      <c r="CC66" s="117" t="n">
        <f aca="false">SUMIFS(الريسبي!$C$2:$C$1800,الريسبي!$A$2:$A$1800,$A66,الريسبي!$B$2:$B$1800,CC$1)</f>
        <v>0</v>
      </c>
      <c r="CD66" s="117" t="n">
        <f aca="false">SUMIFS(الريسبي!$C$2:$C$1800,الريسبي!$A$2:$A$1800,$A66,الريسبي!$B$2:$B$1800,CD$1)</f>
        <v>0</v>
      </c>
      <c r="CE66" s="117" t="n">
        <f aca="false">SUMIFS(الريسبي!$C$2:$C$1800,الريسبي!$A$2:$A$1800,$A66,الريسبي!$B$2:$B$1800,CE$1)</f>
        <v>0</v>
      </c>
      <c r="CF66" s="117" t="n">
        <f aca="false">SUMIFS(الريسبي!$C$2:$C$1800,الريسبي!$A$2:$A$1800,$A66,الريسبي!$B$2:$B$1800,CF$1)</f>
        <v>0</v>
      </c>
      <c r="CG66" s="117" t="n">
        <f aca="false">SUMIFS(الريسبي!$C$2:$C$1800,الريسبي!$A$2:$A$1800,$A66,الريسبي!$B$2:$B$1800,CG$1)</f>
        <v>0</v>
      </c>
      <c r="CH66" s="117" t="n">
        <f aca="false">SUMIFS(الريسبي!$C$2:$C$1800,الريسبي!$A$2:$A$1800,$A66,الريسبي!$B$2:$B$1800,CH$1)</f>
        <v>0</v>
      </c>
      <c r="CI66" s="117" t="n">
        <f aca="false">SUMIFS(الريسبي!$C$2:$C$1800,الريسبي!$A$2:$A$1800,$A66,الريسبي!$B$2:$B$1800,CI$1)</f>
        <v>0</v>
      </c>
      <c r="CJ66" s="117" t="n">
        <f aca="false">SUMIFS(الريسبي!$C$2:$C$1800,الريسبي!$A$2:$A$1800,$A66,الريسبي!$B$2:$B$1800,CJ$1)</f>
        <v>0</v>
      </c>
      <c r="CK66" s="117" t="n">
        <f aca="false">SUMIFS(الريسبي!$C$2:$C$1800,الريسبي!$A$2:$A$1800,$A66,الريسبي!$B$2:$B$1800,CK$1)</f>
        <v>0</v>
      </c>
      <c r="CL66" s="117" t="n">
        <f aca="false">SUMIFS(الريسبي!$C$2:$C$1800,الريسبي!$A$2:$A$1800,$A66,الريسبي!$B$2:$B$1800,CL$1)</f>
        <v>0</v>
      </c>
    </row>
    <row r="67" customFormat="false" ht="15" hidden="false" customHeight="false" outlineLevel="0" collapsed="false">
      <c r="A67" s="116" t="str">
        <f aca="false">المنيو!B67</f>
        <v>كريب بسطرمة</v>
      </c>
      <c r="B67" s="117" t="n">
        <f aca="false">SUMIFS(الريسبي!$C$2:$C$1800,الريسبي!$A$2:$A$1800,$A67,الريسبي!$B$2:$B$1800,B$1)</f>
        <v>0</v>
      </c>
      <c r="C67" s="117" t="n">
        <f aca="false">SUMIFS(الريسبي!$C$2:$C$1800,الريسبي!$A$2:$A$1800,$A67,الريسبي!$B$2:$B$1800,C$1)</f>
        <v>0</v>
      </c>
      <c r="D67" s="117" t="n">
        <f aca="false">SUMIFS(الريسبي!$C$2:$C$1800,الريسبي!$A$2:$A$1800,$A67,الريسبي!$B$2:$B$1800,D$1)</f>
        <v>0</v>
      </c>
      <c r="E67" s="117" t="n">
        <f aca="false">SUMIFS(الريسبي!$C$2:$C$1800,الريسبي!$A$2:$A$1800,$A67,الريسبي!$B$2:$B$1800,E$1)</f>
        <v>0</v>
      </c>
      <c r="F67" s="117" t="n">
        <f aca="false">SUMIFS(الريسبي!$C$2:$C$1800,الريسبي!$A$2:$A$1800,$A67,الريسبي!$B$2:$B$1800,F$1)</f>
        <v>0</v>
      </c>
      <c r="G67" s="117" t="n">
        <f aca="false">SUMIFS(الريسبي!$C$2:$C$1800,الريسبي!$A$2:$A$1800,$A67,الريسبي!$B$2:$B$1800,G$1)</f>
        <v>0</v>
      </c>
      <c r="H67" s="117" t="n">
        <f aca="false">SUMIFS(الريسبي!$C$2:$C$1800,الريسبي!$A$2:$A$1800,$A67,الريسبي!$B$2:$B$1800,H$1)</f>
        <v>0.5</v>
      </c>
      <c r="I67" s="117" t="n">
        <f aca="false">SUMIFS(الريسبي!$C$2:$C$1800,الريسبي!$A$2:$A$1800,$A67,الريسبي!$B$2:$B$1800,I$1)</f>
        <v>0</v>
      </c>
      <c r="J67" s="117" t="n">
        <f aca="false">SUMIFS(الريسبي!$C$2:$C$1800,الريسبي!$A$2:$A$1800,$A67,الريسبي!$B$2:$B$1800,J$1)</f>
        <v>0</v>
      </c>
      <c r="K67" s="117" t="n">
        <f aca="false">SUMIFS(الريسبي!$C$2:$C$1800,الريسبي!$A$2:$A$1800,$A67,الريسبي!$B$2:$B$1800,K$1)</f>
        <v>0</v>
      </c>
      <c r="L67" s="117" t="n">
        <f aca="false">SUMIFS(الريسبي!$C$2:$C$1800,الريسبي!$A$2:$A$1800,$A67,الريسبي!$B$2:$B$1800,L$1)</f>
        <v>0</v>
      </c>
      <c r="M67" s="117" t="n">
        <f aca="false">SUMIFS(الريسبي!$C$2:$C$1800,الريسبي!$A$2:$A$1800,$A67,الريسبي!$B$2:$B$1800,M$1)</f>
        <v>0</v>
      </c>
      <c r="N67" s="117" t="n">
        <f aca="false">SUMIFS(الريسبي!$C$2:$C$1800,الريسبي!$A$2:$A$1800,$A67,الريسبي!$B$2:$B$1800,N$1)</f>
        <v>0</v>
      </c>
      <c r="O67" s="117" t="n">
        <f aca="false">SUMIFS(الريسبي!$C$2:$C$1800,الريسبي!$A$2:$A$1800,$A67,الريسبي!$B$2:$B$1800,O$1)</f>
        <v>0</v>
      </c>
      <c r="P67" s="117" t="n">
        <f aca="false">SUMIFS(الريسبي!$C$2:$C$1800,الريسبي!$A$2:$A$1800,$A67,الريسبي!$B$2:$B$1800,P$1)</f>
        <v>0</v>
      </c>
      <c r="Q67" s="117" t="n">
        <f aca="false">SUMIFS(الريسبي!$C$2:$C$1800,الريسبي!$A$2:$A$1800,$A67,الريسبي!$B$2:$B$1800,Q$1)</f>
        <v>0</v>
      </c>
      <c r="R67" s="117" t="n">
        <f aca="false">SUMIFS(الريسبي!$C$2:$C$1800,الريسبي!$A$2:$A$1800,$A67,الريسبي!$B$2:$B$1800,R$1)</f>
        <v>0</v>
      </c>
      <c r="S67" s="117" t="n">
        <f aca="false">SUMIFS(الريسبي!$C$2:$C$1800,الريسبي!$A$2:$A$1800,$A67,الريسبي!$B$2:$B$1800,S$1)</f>
        <v>0</v>
      </c>
      <c r="T67" s="117" t="n">
        <f aca="false">SUMIFS(الريسبي!$C$2:$C$1800,الريسبي!$A$2:$A$1800,$A67,الريسبي!$B$2:$B$1800,T$1)</f>
        <v>0</v>
      </c>
      <c r="U67" s="117" t="n">
        <f aca="false">SUMIFS(الريسبي!$C$2:$C$1800,الريسبي!$A$2:$A$1800,$A67,الريسبي!$B$2:$B$1800,U$1)</f>
        <v>0</v>
      </c>
      <c r="V67" s="117" t="n">
        <f aca="false">SUMIFS(الريسبي!$C$2:$C$1800,الريسبي!$A$2:$A$1800,$A67,الريسبي!$B$2:$B$1800,V$1)</f>
        <v>0</v>
      </c>
      <c r="W67" s="117" t="n">
        <f aca="false">SUMIFS(الريسبي!$C$2:$C$1800,الريسبي!$A$2:$A$1800,$A67,الريسبي!$B$2:$B$1800,W$1)</f>
        <v>0</v>
      </c>
      <c r="X67" s="117" t="n">
        <f aca="false">SUMIFS(الريسبي!$C$2:$C$1800,الريسبي!$A$2:$A$1800,$A67,الريسبي!$B$2:$B$1800,X$1)</f>
        <v>1</v>
      </c>
      <c r="Y67" s="117" t="n">
        <f aca="false">SUMIFS(الريسبي!$C$2:$C$1800,الريسبي!$A$2:$A$1800,$A67,الريسبي!$B$2:$B$1800,Y$1)</f>
        <v>0</v>
      </c>
      <c r="Z67" s="117" t="n">
        <f aca="false">SUMIFS(الريسبي!$C$2:$C$1800,الريسبي!$A$2:$A$1800,$A67,الريسبي!$B$2:$B$1800,Z$1)</f>
        <v>0</v>
      </c>
      <c r="AA67" s="117" t="n">
        <f aca="false">SUMIFS(الريسبي!$C$2:$C$1800,الريسبي!$A$2:$A$1800,$A67,الريسبي!$B$2:$B$1800,AA$1)</f>
        <v>0</v>
      </c>
      <c r="AB67" s="117" t="n">
        <f aca="false">SUMIFS(الريسبي!$C$2:$C$1800,الريسبي!$A$2:$A$1800,$A67,الريسبي!$B$2:$B$1800,AB$1)</f>
        <v>0</v>
      </c>
      <c r="AC67" s="117" t="n">
        <f aca="false">SUMIFS(الريسبي!$C$2:$C$1800,الريسبي!$A$2:$A$1800,$A67,الريسبي!$B$2:$B$1800,AC$1)</f>
        <v>0</v>
      </c>
      <c r="AD67" s="117" t="n">
        <f aca="false">SUMIFS(الريسبي!$C$2:$C$1800,الريسبي!$A$2:$A$1800,$A67,الريسبي!$B$2:$B$1800,AD$1)</f>
        <v>0</v>
      </c>
      <c r="AE67" s="117" t="n">
        <f aca="false">SUMIFS(الريسبي!$C$2:$C$1800,الريسبي!$A$2:$A$1800,$A67,الريسبي!$B$2:$B$1800,AE$1)</f>
        <v>0</v>
      </c>
      <c r="AF67" s="117" t="n">
        <f aca="false">SUMIFS(الريسبي!$C$2:$C$1800,الريسبي!$A$2:$A$1800,$A67,الريسبي!$B$2:$B$1800,AF$1)</f>
        <v>0</v>
      </c>
      <c r="AG67" s="117" t="n">
        <f aca="false">SUMIFS(الريسبي!$C$2:$C$1800,الريسبي!$A$2:$A$1800,$A67,الريسبي!$B$2:$B$1800,AG$1)</f>
        <v>0</v>
      </c>
      <c r="AH67" s="117" t="n">
        <f aca="false">SUMIFS(الريسبي!$C$2:$C$1800,الريسبي!$A$2:$A$1800,$A67,الريسبي!$B$2:$B$1800,AH$1)</f>
        <v>0</v>
      </c>
      <c r="AI67" s="117" t="n">
        <f aca="false">SUMIFS(الريسبي!$C$2:$C$1800,الريسبي!$A$2:$A$1800,$A67,الريسبي!$B$2:$B$1800,AI$1)</f>
        <v>0</v>
      </c>
      <c r="AJ67" s="117" t="n">
        <f aca="false">SUMIFS(الريسبي!$C$2:$C$1800,الريسبي!$A$2:$A$1800,$A67,الريسبي!$B$2:$B$1800,AJ$1)</f>
        <v>0</v>
      </c>
      <c r="AK67" s="117" t="n">
        <f aca="false">SUMIFS(الريسبي!$C$2:$C$1800,الريسبي!$A$2:$A$1800,$A67,الريسبي!$B$2:$B$1800,AK$1)</f>
        <v>0</v>
      </c>
      <c r="AL67" s="117" t="n">
        <f aca="false">SUMIFS(الريسبي!$C$2:$C$1800,الريسبي!$A$2:$A$1800,$A67,الريسبي!$B$2:$B$1800,AL$1)</f>
        <v>0</v>
      </c>
      <c r="AM67" s="117" t="n">
        <f aca="false">SUMIFS(الريسبي!$C$2:$C$1800,الريسبي!$A$2:$A$1800,$A67,الريسبي!$B$2:$B$1800,AM$1)+0.08333333333*SUMIFS(الريسبي!$C$2:$C$1800,الريسبي!$A$2:$A$1800,$A67,الريسبي!$B$2:$B$1800,"عجين كريب (مصنع بالمطعم)")+0.08333333333*SUMIFS(الريسبي!$C$2:$C$1800,الريسبي!$A$2:$A$1800,$A67,الريسبي!$B$2:$B$1800,"عجين كريب صيامي (بدون لبن)")</f>
        <v>0.08333333333</v>
      </c>
      <c r="AN67" s="117" t="n">
        <f aca="false">SUMIFS(الريسبي!$C$2:$C$1800,الريسبي!$A$2:$A$1800,$A67,الريسبي!$B$2:$B$1800,AN$1)+0.004166666667*SUMIFS(الريسبي!$C$2:$C$1800,الريسبي!$A$2:$A$1800,$A67,الريسبي!$B$2:$B$1800,"عجين كريب (مصنع بالمطعم)")+0.004166666667*SUMIFS(الريسبي!$C$2:$C$1800,الريسبي!$A$2:$A$1800,$A67,الريسبي!$B$2:$B$1800,"عجين كريب صيامي (بدون لبن)")</f>
        <v>0.004166666667</v>
      </c>
      <c r="AO67" s="117" t="n">
        <f aca="false">SUMIFS(الريسبي!$C$2:$C$1800,الريسبي!$A$2:$A$1800,$A67,الريسبي!$B$2:$B$1800,AO$1)</f>
        <v>0</v>
      </c>
      <c r="AP67" s="117" t="n">
        <f aca="false">SUMIFS(الريسبي!$C$2:$C$1800,الريسبي!$A$2:$A$1800,$A67,الريسبي!$B$2:$B$1800,AP$1)</f>
        <v>0.02</v>
      </c>
      <c r="AQ67" s="117" t="n">
        <f aca="false">SUMIFS(الريسبي!$C$2:$C$1800,الريسبي!$A$2:$A$1800,$A67,الريسبي!$B$2:$B$1800,AQ$1)+0.004166666667*SUMIFS(الريسبي!$C$2:$C$1800,الريسبي!$A$2:$A$1800,$A67,الريسبي!$B$2:$B$1800,"عجين كريب (مصنع بالمطعم)")+0.004166666667*SUMIFS(الريسبي!$C$2:$C$1800,الريسبي!$A$2:$A$1800,$A67,الريسبي!$B$2:$B$1800,"عجين كريب صيامي (بدون لبن)")</f>
        <v>0.004166666667</v>
      </c>
      <c r="AR67" s="117" t="n">
        <f aca="false">SUMIFS(الريسبي!$C$2:$C$1800,الريسبي!$A$2:$A$1800,$A67,الريسبي!$B$2:$B$1800,AR$1)</f>
        <v>0</v>
      </c>
      <c r="AS67" s="117" t="n">
        <f aca="false">SUMIFS(الريسبي!$C$2:$C$1800,الريسبي!$A$2:$A$1800,$A67,الريسبي!$B$2:$B$1800,AS$1)</f>
        <v>1</v>
      </c>
      <c r="AT67" s="117" t="n">
        <f aca="false">SUMIFS(الريسبي!$C$2:$C$1800,الريسبي!$A$2:$A$1800,$A67,الريسبي!$B$2:$B$1800,AT$1)</f>
        <v>0</v>
      </c>
      <c r="AU67" s="117" t="n">
        <f aca="false">SUMIFS(الريسبي!$C$2:$C$1800,الريسبي!$A$2:$A$1800,$A67,الريسبي!$B$2:$B$1800,AU$1)</f>
        <v>0</v>
      </c>
      <c r="AV67" s="117" t="n">
        <f aca="false">SUMIFS(الريسبي!$C$2:$C$1800,الريسبي!$A$2:$A$1800,$A67,الريسبي!$B$2:$B$1800,AV$1)</f>
        <v>0</v>
      </c>
      <c r="AW67" s="117" t="n">
        <f aca="false">SUMIFS(الريسبي!$C$2:$C$1800,الريسبي!$A$2:$A$1800,$A67,الريسبي!$B$2:$B$1800,AW$1)</f>
        <v>0</v>
      </c>
      <c r="AX67" s="117" t="n">
        <f aca="false">SUMIFS(الريسبي!$C$2:$C$1800,الريسبي!$A$2:$A$1800,$A67,الريسبي!$B$2:$B$1800,AX$1)</f>
        <v>0</v>
      </c>
      <c r="AY67" s="117" t="n">
        <f aca="false">SUMIFS(الريسبي!$C$2:$C$1800,الريسبي!$A$2:$A$1800,$A67,الريسبي!$B$2:$B$1800,AY$1)</f>
        <v>0</v>
      </c>
      <c r="AZ67" s="117" t="n">
        <f aca="false">SUMIFS(الريسبي!$C$2:$C$1800,الريسبي!$A$2:$A$1800,$A67,الريسبي!$B$2:$B$1800,AZ$1)</f>
        <v>0</v>
      </c>
      <c r="BA67" s="117" t="n">
        <f aca="false">SUMIFS(الريسبي!$C$2:$C$1800,الريسبي!$A$2:$A$1800,$A67,الريسبي!$B$2:$B$1800,BA$1)</f>
        <v>0</v>
      </c>
      <c r="BB67" s="117" t="n">
        <f aca="false">SUMIFS(الريسبي!$C$2:$C$1800,الريسبي!$A$2:$A$1800,$A67,الريسبي!$B$2:$B$1800,BB$1)</f>
        <v>0</v>
      </c>
      <c r="BC67" s="117" t="n">
        <f aca="false">SUMIFS(الريسبي!$C$2:$C$1800,الريسبي!$A$2:$A$1800,$A67,الريسبي!$B$2:$B$1800,BC$1)</f>
        <v>0.03</v>
      </c>
      <c r="BD67" s="117" t="n">
        <f aca="false">SUMIFS(الريسبي!$C$2:$C$1800,الريسبي!$A$2:$A$1800,$A67,الريسبي!$B$2:$B$1800,BD$1)</f>
        <v>0</v>
      </c>
      <c r="BE67" s="117" t="n">
        <f aca="false">SUMIFS(الريسبي!$C$2:$C$1800,الريسبي!$A$2:$A$1800,$A67,الريسبي!$B$2:$B$1800,BE$1)</f>
        <v>0</v>
      </c>
      <c r="BF67" s="117" t="n">
        <f aca="false">SUMIFS(الريسبي!$C$2:$C$1800,الريسبي!$A$2:$A$1800,$A67,الريسبي!$B$2:$B$1800,BF$1)</f>
        <v>0</v>
      </c>
      <c r="BG67" s="117" t="n">
        <f aca="false">SUMIFS(الريسبي!$C$2:$C$1800,الريسبي!$A$2:$A$1800,$A67,الريسبي!$B$2:$B$1800,BG$1)</f>
        <v>0</v>
      </c>
      <c r="BH67" s="117" t="n">
        <f aca="false">SUMIFS(الريسبي!$C$2:$C$1800,الريسبي!$A$2:$A$1800,$A67,الريسبي!$B$2:$B$1800,BH$1)</f>
        <v>0</v>
      </c>
      <c r="BI67" s="117" t="n">
        <f aca="false">SUMIFS(الريسبي!$C$2:$C$1800,الريسبي!$A$2:$A$1800,$A67,الريسبي!$B$2:$B$1800,BI$1)</f>
        <v>0</v>
      </c>
      <c r="BJ67" s="117" t="n">
        <f aca="false">SUMIFS(الريسبي!$C$2:$C$1800,الريسبي!$A$2:$A$1800,$A67,الريسبي!$B$2:$B$1800,BJ$1)</f>
        <v>0</v>
      </c>
      <c r="BK67" s="117" t="n">
        <f aca="false">SUMIFS(الريسبي!$C$2:$C$1800,الريسبي!$A$2:$A$1800,$A67,الريسبي!$B$2:$B$1800,BK$1)</f>
        <v>0</v>
      </c>
      <c r="BL67" s="117" t="n">
        <f aca="false">SUMIFS(الريسبي!$C$2:$C$1800,الريسبي!$A$2:$A$1800,$A67,الريسبي!$B$2:$B$1800,BL$1)</f>
        <v>0</v>
      </c>
      <c r="BM67" s="117" t="n">
        <f aca="false">SUMIFS(الريسبي!$C$2:$C$1800,الريسبي!$A$2:$A$1800,$A67,الريسبي!$B$2:$B$1800,BM$1)</f>
        <v>0</v>
      </c>
      <c r="BN67" s="117" t="n">
        <f aca="false">SUMIFS(الريسبي!$C$2:$C$1800,الريسبي!$A$2:$A$1800,$A67,الريسبي!$B$2:$B$1800,BN$1)</f>
        <v>0.02</v>
      </c>
      <c r="BO67" s="117" t="n">
        <f aca="false">SUMIFS(الريسبي!$C$2:$C$1800,الريسبي!$A$2:$A$1800,$A67,الريسبي!$B$2:$B$1800,BO$1)</f>
        <v>0</v>
      </c>
      <c r="BP67" s="117" t="n">
        <f aca="false">SUMIFS(الريسبي!$C$2:$C$1800,الريسبي!$A$2:$A$1800,$A67,الريسبي!$B$2:$B$1800,BP$1)</f>
        <v>0</v>
      </c>
      <c r="BQ67" s="117" t="n">
        <f aca="false">SUMIFS(الريسبي!$C$2:$C$1800,الريسبي!$A$2:$A$1800,$A67,الريسبي!$B$2:$B$1800,BQ$1)+0.17*SUMIFS(الريسبي!$C$2:$C$1800,الريسبي!$A$2:$A$1800,$A67,الريسبي!$B$2:$B$1800,"كاسترد مصنع (خليط بودر + لبن)")+0.17*SUMIFS(الريسبي!$C$2:$C$1800,الريسبي!$A$2:$A$1800,$A67,الريسبي!$B$2:$B$1800,"كاسترد مصنع صيامي (بدون لبن)")</f>
        <v>0</v>
      </c>
      <c r="BR67" s="117" t="n">
        <f aca="false">SUMIFS(الريسبي!$C$2:$C$1800,الريسبي!$A$2:$A$1800,$A67,الريسبي!$B$2:$B$1800,BR$1)</f>
        <v>0</v>
      </c>
      <c r="BS67" s="117" t="n">
        <f aca="false">SUMIFS(الريسبي!$C$2:$C$1800,الريسبي!$A$2:$A$1800,$A67,الريسبي!$B$2:$B$1800,BS$1)</f>
        <v>0</v>
      </c>
      <c r="BT67" s="117" t="n">
        <f aca="false">SUMIFS(الريسبي!$C$2:$C$1800,الريسبي!$A$2:$A$1800,$A67,الريسبي!$B$2:$B$1800,BT$1)</f>
        <v>1</v>
      </c>
      <c r="BU67" s="117" t="n">
        <f aca="false">SUMIFS(الريسبي!$C$2:$C$1800,الريسبي!$A$2:$A$1800,$A67,الريسبي!$B$2:$B$1800,BU$1)+0.4*SUMIFS(الريسبي!$C$2:$C$1800,الريسبي!$A$2:$A$1800,$A67,الريسبي!$B$2:$B$1800,"كاسترد مصنع (خليط بودر + لبن)")+0.03333333333*SUMIFS(الريسبي!$C$2:$C$1800,الريسبي!$A$2:$A$1800,$A67,الريسبي!$B$2:$B$1800,"عجين كريب (مصنع بالمطعم)")</f>
        <v>0.03333333333</v>
      </c>
      <c r="BV67" s="117" t="n">
        <f aca="false">SUMIFS(الريسبي!$C$2:$C$1800,الريسبي!$A$2:$A$1800,$A67,الريسبي!$B$2:$B$1800,BV$1)</f>
        <v>0</v>
      </c>
      <c r="BW67" s="117" t="n">
        <f aca="false">SUMIFS(الريسبي!$C$2:$C$1800,الريسبي!$A$2:$A$1800,$A67,الريسبي!$B$2:$B$1800,BW$1)</f>
        <v>0</v>
      </c>
      <c r="BX67" s="117" t="n">
        <f aca="false">SUMIFS(الريسبي!$C$2:$C$1800,الريسبي!$A$2:$A$1800,$A67,الريسبي!$B$2:$B$1800,BX$1)</f>
        <v>0</v>
      </c>
      <c r="BY67" s="117" t="n">
        <f aca="false">SUMIFS(الريسبي!$C$2:$C$1800,الريسبي!$A$2:$A$1800,$A67,الريسبي!$B$2:$B$1800,BY$1)</f>
        <v>0</v>
      </c>
      <c r="BZ67" s="117" t="n">
        <f aca="false">SUMIFS(الريسبي!$C$2:$C$1800,الريسبي!$A$2:$A$1800,$A67,الريسبي!$B$2:$B$1800,BZ$1)</f>
        <v>0</v>
      </c>
      <c r="CA67" s="117" t="n">
        <f aca="false">SUMIFS(الريسبي!$C$2:$C$1800,الريسبي!$A$2:$A$1800,$A67,الريسبي!$B$2:$B$1800,CA$1)</f>
        <v>0</v>
      </c>
      <c r="CB67" s="117" t="n">
        <f aca="false">SUMIFS(الريسبي!$C$2:$C$1800,الريسبي!$A$2:$A$1800,$A67,الريسبي!$B$2:$B$1800,CB$1)</f>
        <v>0</v>
      </c>
      <c r="CC67" s="117" t="n">
        <f aca="false">SUMIFS(الريسبي!$C$2:$C$1800,الريسبي!$A$2:$A$1800,$A67,الريسبي!$B$2:$B$1800,CC$1)</f>
        <v>0</v>
      </c>
      <c r="CD67" s="117" t="n">
        <f aca="false">SUMIFS(الريسبي!$C$2:$C$1800,الريسبي!$A$2:$A$1800,$A67,الريسبي!$B$2:$B$1800,CD$1)</f>
        <v>0</v>
      </c>
      <c r="CE67" s="117" t="n">
        <f aca="false">SUMIFS(الريسبي!$C$2:$C$1800,الريسبي!$A$2:$A$1800,$A67,الريسبي!$B$2:$B$1800,CE$1)</f>
        <v>0</v>
      </c>
      <c r="CF67" s="117" t="n">
        <f aca="false">SUMIFS(الريسبي!$C$2:$C$1800,الريسبي!$A$2:$A$1800,$A67,الريسبي!$B$2:$B$1800,CF$1)</f>
        <v>0</v>
      </c>
      <c r="CG67" s="117" t="n">
        <f aca="false">SUMIFS(الريسبي!$C$2:$C$1800,الريسبي!$A$2:$A$1800,$A67,الريسبي!$B$2:$B$1800,CG$1)</f>
        <v>0</v>
      </c>
      <c r="CH67" s="117" t="n">
        <f aca="false">SUMIFS(الريسبي!$C$2:$C$1800,الريسبي!$A$2:$A$1800,$A67,الريسبي!$B$2:$B$1800,CH$1)</f>
        <v>0</v>
      </c>
      <c r="CI67" s="117" t="n">
        <f aca="false">SUMIFS(الريسبي!$C$2:$C$1800,الريسبي!$A$2:$A$1800,$A67,الريسبي!$B$2:$B$1800,CI$1)</f>
        <v>0</v>
      </c>
      <c r="CJ67" s="117" t="n">
        <f aca="false">SUMIFS(الريسبي!$C$2:$C$1800,الريسبي!$A$2:$A$1800,$A67,الريسبي!$B$2:$B$1800,CJ$1)</f>
        <v>0</v>
      </c>
      <c r="CK67" s="117" t="n">
        <f aca="false">SUMIFS(الريسبي!$C$2:$C$1800,الريسبي!$A$2:$A$1800,$A67,الريسبي!$B$2:$B$1800,CK$1)</f>
        <v>0</v>
      </c>
      <c r="CL67" s="117" t="n">
        <f aca="false">SUMIFS(الريسبي!$C$2:$C$1800,الريسبي!$A$2:$A$1800,$A67,الريسبي!$B$2:$B$1800,CL$1)</f>
        <v>0</v>
      </c>
    </row>
    <row r="68" customFormat="false" ht="15" hidden="false" customHeight="false" outlineLevel="0" collapsed="false">
      <c r="A68" s="116" t="str">
        <f aca="false">المنيو!B68</f>
        <v>كريب سدق</v>
      </c>
      <c r="B68" s="117" t="n">
        <f aca="false">SUMIFS(الريسبي!$C$2:$C$1800,الريسبي!$A$2:$A$1800,$A68,الريسبي!$B$2:$B$1800,B$1)</f>
        <v>0</v>
      </c>
      <c r="C68" s="117" t="n">
        <f aca="false">SUMIFS(الريسبي!$C$2:$C$1800,الريسبي!$A$2:$A$1800,$A68,الريسبي!$B$2:$B$1800,C$1)</f>
        <v>0</v>
      </c>
      <c r="D68" s="117" t="n">
        <f aca="false">SUMIFS(الريسبي!$C$2:$C$1800,الريسبي!$A$2:$A$1800,$A68,الريسبي!$B$2:$B$1800,D$1)</f>
        <v>0</v>
      </c>
      <c r="E68" s="117" t="n">
        <f aca="false">SUMIFS(الريسبي!$C$2:$C$1800,الريسبي!$A$2:$A$1800,$A68,الريسبي!$B$2:$B$1800,E$1)</f>
        <v>0</v>
      </c>
      <c r="F68" s="117" t="n">
        <f aca="false">SUMIFS(الريسبي!$C$2:$C$1800,الريسبي!$A$2:$A$1800,$A68,الريسبي!$B$2:$B$1800,F$1)</f>
        <v>0</v>
      </c>
      <c r="G68" s="117" t="n">
        <f aca="false">SUMIFS(الريسبي!$C$2:$C$1800,الريسبي!$A$2:$A$1800,$A68,الريسبي!$B$2:$B$1800,G$1)</f>
        <v>0</v>
      </c>
      <c r="H68" s="117" t="n">
        <f aca="false">SUMIFS(الريسبي!$C$2:$C$1800,الريسبي!$A$2:$A$1800,$A68,الريسبي!$B$2:$B$1800,H$1)</f>
        <v>0</v>
      </c>
      <c r="I68" s="117" t="n">
        <f aca="false">SUMIFS(الريسبي!$C$2:$C$1800,الريسبي!$A$2:$A$1800,$A68,الريسبي!$B$2:$B$1800,I$1)</f>
        <v>0</v>
      </c>
      <c r="J68" s="117" t="n">
        <f aca="false">SUMIFS(الريسبي!$C$2:$C$1800,الريسبي!$A$2:$A$1800,$A68,الريسبي!$B$2:$B$1800,J$1)</f>
        <v>0</v>
      </c>
      <c r="K68" s="117" t="n">
        <f aca="false">SUMIFS(الريسبي!$C$2:$C$1800,الريسبي!$A$2:$A$1800,$A68,الريسبي!$B$2:$B$1800,K$1)</f>
        <v>0</v>
      </c>
      <c r="L68" s="117" t="n">
        <f aca="false">SUMIFS(الريسبي!$C$2:$C$1800,الريسبي!$A$2:$A$1800,$A68,الريسبي!$B$2:$B$1800,L$1)</f>
        <v>0</v>
      </c>
      <c r="M68" s="117" t="n">
        <f aca="false">SUMIFS(الريسبي!$C$2:$C$1800,الريسبي!$A$2:$A$1800,$A68,الريسبي!$B$2:$B$1800,M$1)</f>
        <v>0.5</v>
      </c>
      <c r="N68" s="117" t="n">
        <f aca="false">SUMIFS(الريسبي!$C$2:$C$1800,الريسبي!$A$2:$A$1800,$A68,الريسبي!$B$2:$B$1800,N$1)</f>
        <v>0</v>
      </c>
      <c r="O68" s="117" t="n">
        <f aca="false">SUMIFS(الريسبي!$C$2:$C$1800,الريسبي!$A$2:$A$1800,$A68,الريسبي!$B$2:$B$1800,O$1)</f>
        <v>0</v>
      </c>
      <c r="P68" s="117" t="n">
        <f aca="false">SUMIFS(الريسبي!$C$2:$C$1800,الريسبي!$A$2:$A$1800,$A68,الريسبي!$B$2:$B$1800,P$1)</f>
        <v>0</v>
      </c>
      <c r="Q68" s="117" t="n">
        <f aca="false">SUMIFS(الريسبي!$C$2:$C$1800,الريسبي!$A$2:$A$1800,$A68,الريسبي!$B$2:$B$1800,Q$1)</f>
        <v>0</v>
      </c>
      <c r="R68" s="117" t="n">
        <f aca="false">SUMIFS(الريسبي!$C$2:$C$1800,الريسبي!$A$2:$A$1800,$A68,الريسبي!$B$2:$B$1800,R$1)</f>
        <v>0</v>
      </c>
      <c r="S68" s="117" t="n">
        <f aca="false">SUMIFS(الريسبي!$C$2:$C$1800,الريسبي!$A$2:$A$1800,$A68,الريسبي!$B$2:$B$1800,S$1)</f>
        <v>0</v>
      </c>
      <c r="T68" s="117" t="n">
        <f aca="false">SUMIFS(الريسبي!$C$2:$C$1800,الريسبي!$A$2:$A$1800,$A68,الريسبي!$B$2:$B$1800,T$1)</f>
        <v>0</v>
      </c>
      <c r="U68" s="117" t="n">
        <f aca="false">SUMIFS(الريسبي!$C$2:$C$1800,الريسبي!$A$2:$A$1800,$A68,الريسبي!$B$2:$B$1800,U$1)</f>
        <v>0</v>
      </c>
      <c r="V68" s="117" t="n">
        <f aca="false">SUMIFS(الريسبي!$C$2:$C$1800,الريسبي!$A$2:$A$1800,$A68,الريسبي!$B$2:$B$1800,V$1)</f>
        <v>0</v>
      </c>
      <c r="W68" s="117" t="n">
        <f aca="false">SUMIFS(الريسبي!$C$2:$C$1800,الريسبي!$A$2:$A$1800,$A68,الريسبي!$B$2:$B$1800,W$1)</f>
        <v>0</v>
      </c>
      <c r="X68" s="117" t="n">
        <f aca="false">SUMIFS(الريسبي!$C$2:$C$1800,الريسبي!$A$2:$A$1800,$A68,الريسبي!$B$2:$B$1800,X$1)</f>
        <v>1</v>
      </c>
      <c r="Y68" s="117" t="n">
        <f aca="false">SUMIFS(الريسبي!$C$2:$C$1800,الريسبي!$A$2:$A$1800,$A68,الريسبي!$B$2:$B$1800,Y$1)</f>
        <v>0</v>
      </c>
      <c r="Z68" s="117" t="n">
        <f aca="false">SUMIFS(الريسبي!$C$2:$C$1800,الريسبي!$A$2:$A$1800,$A68,الريسبي!$B$2:$B$1800,Z$1)</f>
        <v>0</v>
      </c>
      <c r="AA68" s="117" t="n">
        <f aca="false">SUMIFS(الريسبي!$C$2:$C$1800,الريسبي!$A$2:$A$1800,$A68,الريسبي!$B$2:$B$1800,AA$1)</f>
        <v>0</v>
      </c>
      <c r="AB68" s="117" t="n">
        <f aca="false">SUMIFS(الريسبي!$C$2:$C$1800,الريسبي!$A$2:$A$1800,$A68,الريسبي!$B$2:$B$1800,AB$1)</f>
        <v>0</v>
      </c>
      <c r="AC68" s="117" t="n">
        <f aca="false">SUMIFS(الريسبي!$C$2:$C$1800,الريسبي!$A$2:$A$1800,$A68,الريسبي!$B$2:$B$1800,AC$1)</f>
        <v>0</v>
      </c>
      <c r="AD68" s="117" t="n">
        <f aca="false">SUMIFS(الريسبي!$C$2:$C$1800,الريسبي!$A$2:$A$1800,$A68,الريسبي!$B$2:$B$1800,AD$1)</f>
        <v>0</v>
      </c>
      <c r="AE68" s="117" t="n">
        <f aca="false">SUMIFS(الريسبي!$C$2:$C$1800,الريسبي!$A$2:$A$1800,$A68,الريسبي!$B$2:$B$1800,AE$1)</f>
        <v>0</v>
      </c>
      <c r="AF68" s="117" t="n">
        <f aca="false">SUMIFS(الريسبي!$C$2:$C$1800,الريسبي!$A$2:$A$1800,$A68,الريسبي!$B$2:$B$1800,AF$1)</f>
        <v>0</v>
      </c>
      <c r="AG68" s="117" t="n">
        <f aca="false">SUMIFS(الريسبي!$C$2:$C$1800,الريسبي!$A$2:$A$1800,$A68,الريسبي!$B$2:$B$1800,AG$1)</f>
        <v>0</v>
      </c>
      <c r="AH68" s="117" t="n">
        <f aca="false">SUMIFS(الريسبي!$C$2:$C$1800,الريسبي!$A$2:$A$1800,$A68,الريسبي!$B$2:$B$1800,AH$1)</f>
        <v>0</v>
      </c>
      <c r="AI68" s="117" t="n">
        <f aca="false">SUMIFS(الريسبي!$C$2:$C$1800,الريسبي!$A$2:$A$1800,$A68,الريسبي!$B$2:$B$1800,AI$1)</f>
        <v>0</v>
      </c>
      <c r="AJ68" s="117" t="n">
        <f aca="false">SUMIFS(الريسبي!$C$2:$C$1800,الريسبي!$A$2:$A$1800,$A68,الريسبي!$B$2:$B$1800,AJ$1)</f>
        <v>0</v>
      </c>
      <c r="AK68" s="117" t="n">
        <f aca="false">SUMIFS(الريسبي!$C$2:$C$1800,الريسبي!$A$2:$A$1800,$A68,الريسبي!$B$2:$B$1800,AK$1)</f>
        <v>0</v>
      </c>
      <c r="AL68" s="117" t="n">
        <f aca="false">SUMIFS(الريسبي!$C$2:$C$1800,الريسبي!$A$2:$A$1800,$A68,الريسبي!$B$2:$B$1800,AL$1)</f>
        <v>0</v>
      </c>
      <c r="AM68" s="117" t="n">
        <f aca="false">SUMIFS(الريسبي!$C$2:$C$1800,الريسبي!$A$2:$A$1800,$A68,الريسبي!$B$2:$B$1800,AM$1)+0.08333333333*SUMIFS(الريسبي!$C$2:$C$1800,الريسبي!$A$2:$A$1800,$A68,الريسبي!$B$2:$B$1800,"عجين كريب (مصنع بالمطعم)")+0.08333333333*SUMIFS(الريسبي!$C$2:$C$1800,الريسبي!$A$2:$A$1800,$A68,الريسبي!$B$2:$B$1800,"عجين كريب صيامي (بدون لبن)")</f>
        <v>0.08333333333</v>
      </c>
      <c r="AN68" s="117" t="n">
        <f aca="false">SUMIFS(الريسبي!$C$2:$C$1800,الريسبي!$A$2:$A$1800,$A68,الريسبي!$B$2:$B$1800,AN$1)+0.004166666667*SUMIFS(الريسبي!$C$2:$C$1800,الريسبي!$A$2:$A$1800,$A68,الريسبي!$B$2:$B$1800,"عجين كريب (مصنع بالمطعم)")+0.004166666667*SUMIFS(الريسبي!$C$2:$C$1800,الريسبي!$A$2:$A$1800,$A68,الريسبي!$B$2:$B$1800,"عجين كريب صيامي (بدون لبن)")</f>
        <v>0.004166666667</v>
      </c>
      <c r="AO68" s="117" t="n">
        <f aca="false">SUMIFS(الريسبي!$C$2:$C$1800,الريسبي!$A$2:$A$1800,$A68,الريسبي!$B$2:$B$1800,AO$1)</f>
        <v>0</v>
      </c>
      <c r="AP68" s="117" t="n">
        <f aca="false">SUMIFS(الريسبي!$C$2:$C$1800,الريسبي!$A$2:$A$1800,$A68,الريسبي!$B$2:$B$1800,AP$1)</f>
        <v>0.02</v>
      </c>
      <c r="AQ68" s="117" t="n">
        <f aca="false">SUMIFS(الريسبي!$C$2:$C$1800,الريسبي!$A$2:$A$1800,$A68,الريسبي!$B$2:$B$1800,AQ$1)+0.004166666667*SUMIFS(الريسبي!$C$2:$C$1800,الريسبي!$A$2:$A$1800,$A68,الريسبي!$B$2:$B$1800,"عجين كريب (مصنع بالمطعم)")+0.004166666667*SUMIFS(الريسبي!$C$2:$C$1800,الريسبي!$A$2:$A$1800,$A68,الريسبي!$B$2:$B$1800,"عجين كريب صيامي (بدون لبن)")</f>
        <v>0.004166666667</v>
      </c>
      <c r="AR68" s="117" t="n">
        <f aca="false">SUMIFS(الريسبي!$C$2:$C$1800,الريسبي!$A$2:$A$1800,$A68,الريسبي!$B$2:$B$1800,AR$1)</f>
        <v>0</v>
      </c>
      <c r="AS68" s="117" t="n">
        <f aca="false">SUMIFS(الريسبي!$C$2:$C$1800,الريسبي!$A$2:$A$1800,$A68,الريسبي!$B$2:$B$1800,AS$1)</f>
        <v>1</v>
      </c>
      <c r="AT68" s="117" t="n">
        <f aca="false">SUMIFS(الريسبي!$C$2:$C$1800,الريسبي!$A$2:$A$1800,$A68,الريسبي!$B$2:$B$1800,AT$1)</f>
        <v>0</v>
      </c>
      <c r="AU68" s="117" t="n">
        <f aca="false">SUMIFS(الريسبي!$C$2:$C$1800,الريسبي!$A$2:$A$1800,$A68,الريسبي!$B$2:$B$1800,AU$1)</f>
        <v>0</v>
      </c>
      <c r="AV68" s="117" t="n">
        <f aca="false">SUMIFS(الريسبي!$C$2:$C$1800,الريسبي!$A$2:$A$1800,$A68,الريسبي!$B$2:$B$1800,AV$1)</f>
        <v>0</v>
      </c>
      <c r="AW68" s="117" t="n">
        <f aca="false">SUMIFS(الريسبي!$C$2:$C$1800,الريسبي!$A$2:$A$1800,$A68,الريسبي!$B$2:$B$1800,AW$1)</f>
        <v>0</v>
      </c>
      <c r="AX68" s="117" t="n">
        <f aca="false">SUMIFS(الريسبي!$C$2:$C$1800,الريسبي!$A$2:$A$1800,$A68,الريسبي!$B$2:$B$1800,AX$1)</f>
        <v>0</v>
      </c>
      <c r="AY68" s="117" t="n">
        <f aca="false">SUMIFS(الريسبي!$C$2:$C$1800,الريسبي!$A$2:$A$1800,$A68,الريسبي!$B$2:$B$1800,AY$1)</f>
        <v>0</v>
      </c>
      <c r="AZ68" s="117" t="n">
        <f aca="false">SUMIFS(الريسبي!$C$2:$C$1800,الريسبي!$A$2:$A$1800,$A68,الريسبي!$B$2:$B$1800,AZ$1)</f>
        <v>0</v>
      </c>
      <c r="BA68" s="117" t="n">
        <f aca="false">SUMIFS(الريسبي!$C$2:$C$1800,الريسبي!$A$2:$A$1800,$A68,الريسبي!$B$2:$B$1800,BA$1)</f>
        <v>0</v>
      </c>
      <c r="BB68" s="117" t="n">
        <f aca="false">SUMIFS(الريسبي!$C$2:$C$1800,الريسبي!$A$2:$A$1800,$A68,الريسبي!$B$2:$B$1800,BB$1)</f>
        <v>0</v>
      </c>
      <c r="BC68" s="117" t="n">
        <f aca="false">SUMIFS(الريسبي!$C$2:$C$1800,الريسبي!$A$2:$A$1800,$A68,الريسبي!$B$2:$B$1800,BC$1)</f>
        <v>0.03</v>
      </c>
      <c r="BD68" s="117" t="n">
        <f aca="false">SUMIFS(الريسبي!$C$2:$C$1800,الريسبي!$A$2:$A$1800,$A68,الريسبي!$B$2:$B$1800,BD$1)</f>
        <v>0</v>
      </c>
      <c r="BE68" s="117" t="n">
        <f aca="false">SUMIFS(الريسبي!$C$2:$C$1800,الريسبي!$A$2:$A$1800,$A68,الريسبي!$B$2:$B$1800,BE$1)</f>
        <v>0</v>
      </c>
      <c r="BF68" s="117" t="n">
        <f aca="false">SUMIFS(الريسبي!$C$2:$C$1800,الريسبي!$A$2:$A$1800,$A68,الريسبي!$B$2:$B$1800,BF$1)</f>
        <v>0</v>
      </c>
      <c r="BG68" s="117" t="n">
        <f aca="false">SUMIFS(الريسبي!$C$2:$C$1800,الريسبي!$A$2:$A$1800,$A68,الريسبي!$B$2:$B$1800,BG$1)</f>
        <v>0</v>
      </c>
      <c r="BH68" s="117" t="n">
        <f aca="false">SUMIFS(الريسبي!$C$2:$C$1800,الريسبي!$A$2:$A$1800,$A68,الريسبي!$B$2:$B$1800,BH$1)</f>
        <v>0</v>
      </c>
      <c r="BI68" s="117" t="n">
        <f aca="false">SUMIFS(الريسبي!$C$2:$C$1800,الريسبي!$A$2:$A$1800,$A68,الريسبي!$B$2:$B$1800,BI$1)</f>
        <v>0</v>
      </c>
      <c r="BJ68" s="117" t="n">
        <f aca="false">SUMIFS(الريسبي!$C$2:$C$1800,الريسبي!$A$2:$A$1800,$A68,الريسبي!$B$2:$B$1800,BJ$1)</f>
        <v>0</v>
      </c>
      <c r="BK68" s="117" t="n">
        <f aca="false">SUMIFS(الريسبي!$C$2:$C$1800,الريسبي!$A$2:$A$1800,$A68,الريسبي!$B$2:$B$1800,BK$1)</f>
        <v>0</v>
      </c>
      <c r="BL68" s="117" t="n">
        <f aca="false">SUMIFS(الريسبي!$C$2:$C$1800,الريسبي!$A$2:$A$1800,$A68,الريسبي!$B$2:$B$1800,BL$1)</f>
        <v>0</v>
      </c>
      <c r="BM68" s="117" t="n">
        <f aca="false">SUMIFS(الريسبي!$C$2:$C$1800,الريسبي!$A$2:$A$1800,$A68,الريسبي!$B$2:$B$1800,BM$1)</f>
        <v>0</v>
      </c>
      <c r="BN68" s="117" t="n">
        <f aca="false">SUMIFS(الريسبي!$C$2:$C$1800,الريسبي!$A$2:$A$1800,$A68,الريسبي!$B$2:$B$1800,BN$1)</f>
        <v>0.02</v>
      </c>
      <c r="BO68" s="117" t="n">
        <f aca="false">SUMIFS(الريسبي!$C$2:$C$1800,الريسبي!$A$2:$A$1800,$A68,الريسبي!$B$2:$B$1800,BO$1)</f>
        <v>0</v>
      </c>
      <c r="BP68" s="117" t="n">
        <f aca="false">SUMIFS(الريسبي!$C$2:$C$1800,الريسبي!$A$2:$A$1800,$A68,الريسبي!$B$2:$B$1800,BP$1)</f>
        <v>0</v>
      </c>
      <c r="BQ68" s="117" t="n">
        <f aca="false">SUMIFS(الريسبي!$C$2:$C$1800,الريسبي!$A$2:$A$1800,$A68,الريسبي!$B$2:$B$1800,BQ$1)+0.17*SUMIFS(الريسبي!$C$2:$C$1800,الريسبي!$A$2:$A$1800,$A68,الريسبي!$B$2:$B$1800,"كاسترد مصنع (خليط بودر + لبن)")+0.17*SUMIFS(الريسبي!$C$2:$C$1800,الريسبي!$A$2:$A$1800,$A68,الريسبي!$B$2:$B$1800,"كاسترد مصنع صيامي (بدون لبن)")</f>
        <v>0</v>
      </c>
      <c r="BR68" s="117" t="n">
        <f aca="false">SUMIFS(الريسبي!$C$2:$C$1800,الريسبي!$A$2:$A$1800,$A68,الريسبي!$B$2:$B$1800,BR$1)</f>
        <v>0</v>
      </c>
      <c r="BS68" s="117" t="n">
        <f aca="false">SUMIFS(الريسبي!$C$2:$C$1800,الريسبي!$A$2:$A$1800,$A68,الريسبي!$B$2:$B$1800,BS$1)</f>
        <v>0</v>
      </c>
      <c r="BT68" s="117" t="n">
        <f aca="false">SUMIFS(الريسبي!$C$2:$C$1800,الريسبي!$A$2:$A$1800,$A68,الريسبي!$B$2:$B$1800,BT$1)</f>
        <v>1</v>
      </c>
      <c r="BU68" s="117" t="n">
        <f aca="false">SUMIFS(الريسبي!$C$2:$C$1800,الريسبي!$A$2:$A$1800,$A68,الريسبي!$B$2:$B$1800,BU$1)+0.4*SUMIFS(الريسبي!$C$2:$C$1800,الريسبي!$A$2:$A$1800,$A68,الريسبي!$B$2:$B$1800,"كاسترد مصنع (خليط بودر + لبن)")+0.03333333333*SUMIFS(الريسبي!$C$2:$C$1800,الريسبي!$A$2:$A$1800,$A68,الريسبي!$B$2:$B$1800,"عجين كريب (مصنع بالمطعم)")</f>
        <v>0.03333333333</v>
      </c>
      <c r="BV68" s="117" t="n">
        <f aca="false">SUMIFS(الريسبي!$C$2:$C$1800,الريسبي!$A$2:$A$1800,$A68,الريسبي!$B$2:$B$1800,BV$1)</f>
        <v>0</v>
      </c>
      <c r="BW68" s="117" t="n">
        <f aca="false">SUMIFS(الريسبي!$C$2:$C$1800,الريسبي!$A$2:$A$1800,$A68,الريسبي!$B$2:$B$1800,BW$1)</f>
        <v>0</v>
      </c>
      <c r="BX68" s="117" t="n">
        <f aca="false">SUMIFS(الريسبي!$C$2:$C$1800,الريسبي!$A$2:$A$1800,$A68,الريسبي!$B$2:$B$1800,BX$1)</f>
        <v>0</v>
      </c>
      <c r="BY68" s="117" t="n">
        <f aca="false">SUMIFS(الريسبي!$C$2:$C$1800,الريسبي!$A$2:$A$1800,$A68,الريسبي!$B$2:$B$1800,BY$1)</f>
        <v>0</v>
      </c>
      <c r="BZ68" s="117" t="n">
        <f aca="false">SUMIFS(الريسبي!$C$2:$C$1800,الريسبي!$A$2:$A$1800,$A68,الريسبي!$B$2:$B$1800,BZ$1)</f>
        <v>0</v>
      </c>
      <c r="CA68" s="117" t="n">
        <f aca="false">SUMIFS(الريسبي!$C$2:$C$1800,الريسبي!$A$2:$A$1800,$A68,الريسبي!$B$2:$B$1800,CA$1)</f>
        <v>0</v>
      </c>
      <c r="CB68" s="117" t="n">
        <f aca="false">SUMIFS(الريسبي!$C$2:$C$1800,الريسبي!$A$2:$A$1800,$A68,الريسبي!$B$2:$B$1800,CB$1)</f>
        <v>0</v>
      </c>
      <c r="CC68" s="117" t="n">
        <f aca="false">SUMIFS(الريسبي!$C$2:$C$1800,الريسبي!$A$2:$A$1800,$A68,الريسبي!$B$2:$B$1800,CC$1)</f>
        <v>0</v>
      </c>
      <c r="CD68" s="117" t="n">
        <f aca="false">SUMIFS(الريسبي!$C$2:$C$1800,الريسبي!$A$2:$A$1800,$A68,الريسبي!$B$2:$B$1800,CD$1)</f>
        <v>0</v>
      </c>
      <c r="CE68" s="117" t="n">
        <f aca="false">SUMIFS(الريسبي!$C$2:$C$1800,الريسبي!$A$2:$A$1800,$A68,الريسبي!$B$2:$B$1800,CE$1)</f>
        <v>0</v>
      </c>
      <c r="CF68" s="117" t="n">
        <f aca="false">SUMIFS(الريسبي!$C$2:$C$1800,الريسبي!$A$2:$A$1800,$A68,الريسبي!$B$2:$B$1800,CF$1)</f>
        <v>0</v>
      </c>
      <c r="CG68" s="117" t="n">
        <f aca="false">SUMIFS(الريسبي!$C$2:$C$1800,الريسبي!$A$2:$A$1800,$A68,الريسبي!$B$2:$B$1800,CG$1)</f>
        <v>0</v>
      </c>
      <c r="CH68" s="117" t="n">
        <f aca="false">SUMIFS(الريسبي!$C$2:$C$1800,الريسبي!$A$2:$A$1800,$A68,الريسبي!$B$2:$B$1800,CH$1)</f>
        <v>0</v>
      </c>
      <c r="CI68" s="117" t="n">
        <f aca="false">SUMIFS(الريسبي!$C$2:$C$1800,الريسبي!$A$2:$A$1800,$A68,الريسبي!$B$2:$B$1800,CI$1)</f>
        <v>0</v>
      </c>
      <c r="CJ68" s="117" t="n">
        <f aca="false">SUMIFS(الريسبي!$C$2:$C$1800,الريسبي!$A$2:$A$1800,$A68,الريسبي!$B$2:$B$1800,CJ$1)</f>
        <v>0</v>
      </c>
      <c r="CK68" s="117" t="n">
        <f aca="false">SUMIFS(الريسبي!$C$2:$C$1800,الريسبي!$A$2:$A$1800,$A68,الريسبي!$B$2:$B$1800,CK$1)</f>
        <v>0</v>
      </c>
      <c r="CL68" s="117" t="n">
        <f aca="false">SUMIFS(الريسبي!$C$2:$C$1800,الريسبي!$A$2:$A$1800,$A68,الريسبي!$B$2:$B$1800,CL$1)</f>
        <v>0</v>
      </c>
    </row>
    <row r="69" customFormat="false" ht="15" hidden="false" customHeight="false" outlineLevel="0" collapsed="false">
      <c r="A69" s="116" t="str">
        <f aca="false">المنيو!B69</f>
        <v>كريب فراخ باربيكيو</v>
      </c>
      <c r="B69" s="117" t="n">
        <f aca="false">SUMIFS(الريسبي!$C$2:$C$1800,الريسبي!$A$2:$A$1800,$A69,الريسبي!$B$2:$B$1800,B$1)</f>
        <v>0</v>
      </c>
      <c r="C69" s="117" t="n">
        <f aca="false">SUMIFS(الريسبي!$C$2:$C$1800,الريسبي!$A$2:$A$1800,$A69,الريسبي!$B$2:$B$1800,C$1)</f>
        <v>0</v>
      </c>
      <c r="D69" s="117" t="n">
        <f aca="false">SUMIFS(الريسبي!$C$2:$C$1800,الريسبي!$A$2:$A$1800,$A69,الريسبي!$B$2:$B$1800,D$1)</f>
        <v>0</v>
      </c>
      <c r="E69" s="117" t="n">
        <f aca="false">SUMIFS(الريسبي!$C$2:$C$1800,الريسبي!$A$2:$A$1800,$A69,الريسبي!$B$2:$B$1800,E$1)</f>
        <v>0</v>
      </c>
      <c r="F69" s="117" t="n">
        <f aca="false">SUMIFS(الريسبي!$C$2:$C$1800,الريسبي!$A$2:$A$1800,$A69,الريسبي!$B$2:$B$1800,F$1)</f>
        <v>0</v>
      </c>
      <c r="G69" s="117" t="n">
        <f aca="false">SUMIFS(الريسبي!$C$2:$C$1800,الريسبي!$A$2:$A$1800,$A69,الريسبي!$B$2:$B$1800,G$1)</f>
        <v>0</v>
      </c>
      <c r="H69" s="117" t="n">
        <f aca="false">SUMIFS(الريسبي!$C$2:$C$1800,الريسبي!$A$2:$A$1800,$A69,الريسبي!$B$2:$B$1800,H$1)</f>
        <v>0</v>
      </c>
      <c r="I69" s="117" t="n">
        <f aca="false">SUMIFS(الريسبي!$C$2:$C$1800,الريسبي!$A$2:$A$1800,$A69,الريسبي!$B$2:$B$1800,I$1)</f>
        <v>0</v>
      </c>
      <c r="J69" s="117" t="n">
        <f aca="false">SUMIFS(الريسبي!$C$2:$C$1800,الريسبي!$A$2:$A$1800,$A69,الريسبي!$B$2:$B$1800,J$1)</f>
        <v>0</v>
      </c>
      <c r="K69" s="117" t="n">
        <f aca="false">SUMIFS(الريسبي!$C$2:$C$1800,الريسبي!$A$2:$A$1800,$A69,الريسبي!$B$2:$B$1800,K$1)</f>
        <v>0</v>
      </c>
      <c r="L69" s="117" t="n">
        <f aca="false">SUMIFS(الريسبي!$C$2:$C$1800,الريسبي!$A$2:$A$1800,$A69,الريسبي!$B$2:$B$1800,L$1)</f>
        <v>0</v>
      </c>
      <c r="M69" s="117" t="n">
        <f aca="false">SUMIFS(الريسبي!$C$2:$C$1800,الريسبي!$A$2:$A$1800,$A69,الريسبي!$B$2:$B$1800,M$1)</f>
        <v>0</v>
      </c>
      <c r="N69" s="117" t="n">
        <f aca="false">SUMIFS(الريسبي!$C$2:$C$1800,الريسبي!$A$2:$A$1800,$A69,الريسبي!$B$2:$B$1800,N$1)</f>
        <v>0</v>
      </c>
      <c r="O69" s="117" t="n">
        <f aca="false">SUMIFS(الريسبي!$C$2:$C$1800,الريسبي!$A$2:$A$1800,$A69,الريسبي!$B$2:$B$1800,O$1)</f>
        <v>1</v>
      </c>
      <c r="P69" s="117" t="n">
        <f aca="false">SUMIFS(الريسبي!$C$2:$C$1800,الريسبي!$A$2:$A$1800,$A69,الريسبي!$B$2:$B$1800,P$1)</f>
        <v>0</v>
      </c>
      <c r="Q69" s="117" t="n">
        <f aca="false">SUMIFS(الريسبي!$C$2:$C$1800,الريسبي!$A$2:$A$1800,$A69,الريسبي!$B$2:$B$1800,Q$1)</f>
        <v>0</v>
      </c>
      <c r="R69" s="117" t="n">
        <f aca="false">SUMIFS(الريسبي!$C$2:$C$1800,الريسبي!$A$2:$A$1800,$A69,الريسبي!$B$2:$B$1800,R$1)</f>
        <v>0</v>
      </c>
      <c r="S69" s="117" t="n">
        <f aca="false">SUMIFS(الريسبي!$C$2:$C$1800,الريسبي!$A$2:$A$1800,$A69,الريسبي!$B$2:$B$1800,S$1)</f>
        <v>0</v>
      </c>
      <c r="T69" s="117" t="n">
        <f aca="false">SUMIFS(الريسبي!$C$2:$C$1800,الريسبي!$A$2:$A$1800,$A69,الريسبي!$B$2:$B$1800,T$1)</f>
        <v>0</v>
      </c>
      <c r="U69" s="117" t="n">
        <f aca="false">SUMIFS(الريسبي!$C$2:$C$1800,الريسبي!$A$2:$A$1800,$A69,الريسبي!$B$2:$B$1800,U$1)</f>
        <v>0</v>
      </c>
      <c r="V69" s="117" t="n">
        <f aca="false">SUMIFS(الريسبي!$C$2:$C$1800,الريسبي!$A$2:$A$1800,$A69,الريسبي!$B$2:$B$1800,V$1)</f>
        <v>0</v>
      </c>
      <c r="W69" s="117" t="n">
        <f aca="false">SUMIFS(الريسبي!$C$2:$C$1800,الريسبي!$A$2:$A$1800,$A69,الريسبي!$B$2:$B$1800,W$1)</f>
        <v>0</v>
      </c>
      <c r="X69" s="117" t="n">
        <f aca="false">SUMIFS(الريسبي!$C$2:$C$1800,الريسبي!$A$2:$A$1800,$A69,الريسبي!$B$2:$B$1800,X$1)</f>
        <v>1</v>
      </c>
      <c r="Y69" s="117" t="n">
        <f aca="false">SUMIFS(الريسبي!$C$2:$C$1800,الريسبي!$A$2:$A$1800,$A69,الريسبي!$B$2:$B$1800,Y$1)</f>
        <v>0</v>
      </c>
      <c r="Z69" s="117" t="n">
        <f aca="false">SUMIFS(الريسبي!$C$2:$C$1800,الريسبي!$A$2:$A$1800,$A69,الريسبي!$B$2:$B$1800,Z$1)</f>
        <v>0</v>
      </c>
      <c r="AA69" s="117" t="n">
        <f aca="false">SUMIFS(الريسبي!$C$2:$C$1800,الريسبي!$A$2:$A$1800,$A69,الريسبي!$B$2:$B$1800,AA$1)</f>
        <v>0</v>
      </c>
      <c r="AB69" s="117" t="n">
        <f aca="false">SUMIFS(الريسبي!$C$2:$C$1800,الريسبي!$A$2:$A$1800,$A69,الريسبي!$B$2:$B$1800,AB$1)</f>
        <v>0</v>
      </c>
      <c r="AC69" s="117" t="n">
        <f aca="false">SUMIFS(الريسبي!$C$2:$C$1800,الريسبي!$A$2:$A$1800,$A69,الريسبي!$B$2:$B$1800,AC$1)</f>
        <v>0</v>
      </c>
      <c r="AD69" s="117" t="n">
        <f aca="false">SUMIFS(الريسبي!$C$2:$C$1800,الريسبي!$A$2:$A$1800,$A69,الريسبي!$B$2:$B$1800,AD$1)</f>
        <v>0</v>
      </c>
      <c r="AE69" s="117" t="n">
        <f aca="false">SUMIFS(الريسبي!$C$2:$C$1800,الريسبي!$A$2:$A$1800,$A69,الريسبي!$B$2:$B$1800,AE$1)</f>
        <v>0</v>
      </c>
      <c r="AF69" s="117" t="n">
        <f aca="false">SUMIFS(الريسبي!$C$2:$C$1800,الريسبي!$A$2:$A$1800,$A69,الريسبي!$B$2:$B$1800,AF$1)</f>
        <v>0</v>
      </c>
      <c r="AG69" s="117" t="n">
        <f aca="false">SUMIFS(الريسبي!$C$2:$C$1800,الريسبي!$A$2:$A$1800,$A69,الريسبي!$B$2:$B$1800,AG$1)</f>
        <v>0</v>
      </c>
      <c r="AH69" s="117" t="n">
        <f aca="false">SUMIFS(الريسبي!$C$2:$C$1800,الريسبي!$A$2:$A$1800,$A69,الريسبي!$B$2:$B$1800,AH$1)</f>
        <v>0</v>
      </c>
      <c r="AI69" s="117" t="n">
        <f aca="false">SUMIFS(الريسبي!$C$2:$C$1800,الريسبي!$A$2:$A$1800,$A69,الريسبي!$B$2:$B$1800,AI$1)</f>
        <v>0</v>
      </c>
      <c r="AJ69" s="117" t="n">
        <f aca="false">SUMIFS(الريسبي!$C$2:$C$1800,الريسبي!$A$2:$A$1800,$A69,الريسبي!$B$2:$B$1800,AJ$1)</f>
        <v>0</v>
      </c>
      <c r="AK69" s="117" t="n">
        <f aca="false">SUMIFS(الريسبي!$C$2:$C$1800,الريسبي!$A$2:$A$1800,$A69,الريسبي!$B$2:$B$1800,AK$1)</f>
        <v>0</v>
      </c>
      <c r="AL69" s="117" t="n">
        <f aca="false">SUMIFS(الريسبي!$C$2:$C$1800,الريسبي!$A$2:$A$1800,$A69,الريسبي!$B$2:$B$1800,AL$1)</f>
        <v>0</v>
      </c>
      <c r="AM69" s="117" t="n">
        <f aca="false">SUMIFS(الريسبي!$C$2:$C$1800,الريسبي!$A$2:$A$1800,$A69,الريسبي!$B$2:$B$1800,AM$1)+0.08333333333*SUMIFS(الريسبي!$C$2:$C$1800,الريسبي!$A$2:$A$1800,$A69,الريسبي!$B$2:$B$1800,"عجين كريب (مصنع بالمطعم)")+0.08333333333*SUMIFS(الريسبي!$C$2:$C$1800,الريسبي!$A$2:$A$1800,$A69,الريسبي!$B$2:$B$1800,"عجين كريب صيامي (بدون لبن)")</f>
        <v>0.08333333333</v>
      </c>
      <c r="AN69" s="117" t="n">
        <f aca="false">SUMIFS(الريسبي!$C$2:$C$1800,الريسبي!$A$2:$A$1800,$A69,الريسبي!$B$2:$B$1800,AN$1)+0.004166666667*SUMIFS(الريسبي!$C$2:$C$1800,الريسبي!$A$2:$A$1800,$A69,الريسبي!$B$2:$B$1800,"عجين كريب (مصنع بالمطعم)")+0.004166666667*SUMIFS(الريسبي!$C$2:$C$1800,الريسبي!$A$2:$A$1800,$A69,الريسبي!$B$2:$B$1800,"عجين كريب صيامي (بدون لبن)")</f>
        <v>0.004166666667</v>
      </c>
      <c r="AO69" s="117" t="n">
        <f aca="false">SUMIFS(الريسبي!$C$2:$C$1800,الريسبي!$A$2:$A$1800,$A69,الريسبي!$B$2:$B$1800,AO$1)</f>
        <v>0</v>
      </c>
      <c r="AP69" s="117" t="n">
        <f aca="false">SUMIFS(الريسبي!$C$2:$C$1800,الريسبي!$A$2:$A$1800,$A69,الريسبي!$B$2:$B$1800,AP$1)</f>
        <v>0.02</v>
      </c>
      <c r="AQ69" s="117" t="n">
        <f aca="false">SUMIFS(الريسبي!$C$2:$C$1800,الريسبي!$A$2:$A$1800,$A69,الريسبي!$B$2:$B$1800,AQ$1)+0.004166666667*SUMIFS(الريسبي!$C$2:$C$1800,الريسبي!$A$2:$A$1800,$A69,الريسبي!$B$2:$B$1800,"عجين كريب (مصنع بالمطعم)")+0.004166666667*SUMIFS(الريسبي!$C$2:$C$1800,الريسبي!$A$2:$A$1800,$A69,الريسبي!$B$2:$B$1800,"عجين كريب صيامي (بدون لبن)")</f>
        <v>0.004166666667</v>
      </c>
      <c r="AR69" s="117" t="n">
        <f aca="false">SUMIFS(الريسبي!$C$2:$C$1800,الريسبي!$A$2:$A$1800,$A69,الريسبي!$B$2:$B$1800,AR$1)</f>
        <v>0</v>
      </c>
      <c r="AS69" s="117" t="n">
        <f aca="false">SUMIFS(الريسبي!$C$2:$C$1800,الريسبي!$A$2:$A$1800,$A69,الريسبي!$B$2:$B$1800,AS$1)</f>
        <v>1</v>
      </c>
      <c r="AT69" s="117" t="n">
        <f aca="false">SUMIFS(الريسبي!$C$2:$C$1800,الريسبي!$A$2:$A$1800,$A69,الريسبي!$B$2:$B$1800,AT$1)</f>
        <v>0</v>
      </c>
      <c r="AU69" s="117" t="n">
        <f aca="false">SUMIFS(الريسبي!$C$2:$C$1800,الريسبي!$A$2:$A$1800,$A69,الريسبي!$B$2:$B$1800,AU$1)</f>
        <v>0</v>
      </c>
      <c r="AV69" s="117" t="n">
        <f aca="false">SUMIFS(الريسبي!$C$2:$C$1800,الريسبي!$A$2:$A$1800,$A69,الريسبي!$B$2:$B$1800,AV$1)</f>
        <v>0</v>
      </c>
      <c r="AW69" s="117" t="n">
        <f aca="false">SUMIFS(الريسبي!$C$2:$C$1800,الريسبي!$A$2:$A$1800,$A69,الريسبي!$B$2:$B$1800,AW$1)</f>
        <v>0</v>
      </c>
      <c r="AX69" s="117" t="n">
        <f aca="false">SUMIFS(الريسبي!$C$2:$C$1800,الريسبي!$A$2:$A$1800,$A69,الريسبي!$B$2:$B$1800,AX$1)</f>
        <v>0</v>
      </c>
      <c r="AY69" s="117" t="n">
        <f aca="false">SUMIFS(الريسبي!$C$2:$C$1800,الريسبي!$A$2:$A$1800,$A69,الريسبي!$B$2:$B$1800,AY$1)</f>
        <v>0.1</v>
      </c>
      <c r="AZ69" s="117" t="n">
        <f aca="false">SUMIFS(الريسبي!$C$2:$C$1800,الريسبي!$A$2:$A$1800,$A69,الريسبي!$B$2:$B$1800,AZ$1)</f>
        <v>0</v>
      </c>
      <c r="BA69" s="117" t="n">
        <f aca="false">SUMIFS(الريسبي!$C$2:$C$1800,الريسبي!$A$2:$A$1800,$A69,الريسبي!$B$2:$B$1800,BA$1)</f>
        <v>0</v>
      </c>
      <c r="BB69" s="117" t="n">
        <f aca="false">SUMIFS(الريسبي!$C$2:$C$1800,الريسبي!$A$2:$A$1800,$A69,الريسبي!$B$2:$B$1800,BB$1)</f>
        <v>0</v>
      </c>
      <c r="BC69" s="117" t="n">
        <f aca="false">SUMIFS(الريسبي!$C$2:$C$1800,الريسبي!$A$2:$A$1800,$A69,الريسبي!$B$2:$B$1800,BC$1)</f>
        <v>0.03</v>
      </c>
      <c r="BD69" s="117" t="n">
        <f aca="false">SUMIFS(الريسبي!$C$2:$C$1800,الريسبي!$A$2:$A$1800,$A69,الريسبي!$B$2:$B$1800,BD$1)</f>
        <v>0</v>
      </c>
      <c r="BE69" s="117" t="n">
        <f aca="false">SUMIFS(الريسبي!$C$2:$C$1800,الريسبي!$A$2:$A$1800,$A69,الريسبي!$B$2:$B$1800,BE$1)</f>
        <v>0</v>
      </c>
      <c r="BF69" s="117" t="n">
        <f aca="false">SUMIFS(الريسبي!$C$2:$C$1800,الريسبي!$A$2:$A$1800,$A69,الريسبي!$B$2:$B$1800,BF$1)</f>
        <v>0</v>
      </c>
      <c r="BG69" s="117" t="n">
        <f aca="false">SUMIFS(الريسبي!$C$2:$C$1800,الريسبي!$A$2:$A$1800,$A69,الريسبي!$B$2:$B$1800,BG$1)</f>
        <v>0</v>
      </c>
      <c r="BH69" s="117" t="n">
        <f aca="false">SUMIFS(الريسبي!$C$2:$C$1800,الريسبي!$A$2:$A$1800,$A69,الريسبي!$B$2:$B$1800,BH$1)</f>
        <v>0</v>
      </c>
      <c r="BI69" s="117" t="n">
        <f aca="false">SUMIFS(الريسبي!$C$2:$C$1800,الريسبي!$A$2:$A$1800,$A69,الريسبي!$B$2:$B$1800,BI$1)</f>
        <v>0</v>
      </c>
      <c r="BJ69" s="117" t="n">
        <f aca="false">SUMIFS(الريسبي!$C$2:$C$1800,الريسبي!$A$2:$A$1800,$A69,الريسبي!$B$2:$B$1800,BJ$1)</f>
        <v>0</v>
      </c>
      <c r="BK69" s="117" t="n">
        <f aca="false">SUMIFS(الريسبي!$C$2:$C$1800,الريسبي!$A$2:$A$1800,$A69,الريسبي!$B$2:$B$1800,BK$1)</f>
        <v>0</v>
      </c>
      <c r="BL69" s="117" t="n">
        <f aca="false">SUMIFS(الريسبي!$C$2:$C$1800,الريسبي!$A$2:$A$1800,$A69,الريسبي!$B$2:$B$1800,BL$1)</f>
        <v>0</v>
      </c>
      <c r="BM69" s="117" t="n">
        <f aca="false">SUMIFS(الريسبي!$C$2:$C$1800,الريسبي!$A$2:$A$1800,$A69,الريسبي!$B$2:$B$1800,BM$1)</f>
        <v>0</v>
      </c>
      <c r="BN69" s="117" t="n">
        <f aca="false">SUMIFS(الريسبي!$C$2:$C$1800,الريسبي!$A$2:$A$1800,$A69,الريسبي!$B$2:$B$1800,BN$1)</f>
        <v>0.02</v>
      </c>
      <c r="BO69" s="117" t="n">
        <f aca="false">SUMIFS(الريسبي!$C$2:$C$1800,الريسبي!$A$2:$A$1800,$A69,الريسبي!$B$2:$B$1800,BO$1)</f>
        <v>0</v>
      </c>
      <c r="BP69" s="117" t="n">
        <f aca="false">SUMIFS(الريسبي!$C$2:$C$1800,الريسبي!$A$2:$A$1800,$A69,الريسبي!$B$2:$B$1800,BP$1)</f>
        <v>0</v>
      </c>
      <c r="BQ69" s="117" t="n">
        <f aca="false">SUMIFS(الريسبي!$C$2:$C$1800,الريسبي!$A$2:$A$1800,$A69,الريسبي!$B$2:$B$1800,BQ$1)+0.17*SUMIFS(الريسبي!$C$2:$C$1800,الريسبي!$A$2:$A$1800,$A69,الريسبي!$B$2:$B$1800,"كاسترد مصنع (خليط بودر + لبن)")+0.17*SUMIFS(الريسبي!$C$2:$C$1800,الريسبي!$A$2:$A$1800,$A69,الريسبي!$B$2:$B$1800,"كاسترد مصنع صيامي (بدون لبن)")</f>
        <v>0</v>
      </c>
      <c r="BR69" s="117" t="n">
        <f aca="false">SUMIFS(الريسبي!$C$2:$C$1800,الريسبي!$A$2:$A$1800,$A69,الريسبي!$B$2:$B$1800,BR$1)</f>
        <v>0</v>
      </c>
      <c r="BS69" s="117" t="n">
        <f aca="false">SUMIFS(الريسبي!$C$2:$C$1800,الريسبي!$A$2:$A$1800,$A69,الريسبي!$B$2:$B$1800,BS$1)</f>
        <v>0</v>
      </c>
      <c r="BT69" s="117" t="n">
        <f aca="false">SUMIFS(الريسبي!$C$2:$C$1800,الريسبي!$A$2:$A$1800,$A69,الريسبي!$B$2:$B$1800,BT$1)</f>
        <v>1</v>
      </c>
      <c r="BU69" s="117" t="n">
        <f aca="false">SUMIFS(الريسبي!$C$2:$C$1800,الريسبي!$A$2:$A$1800,$A69,الريسبي!$B$2:$B$1800,BU$1)+0.4*SUMIFS(الريسبي!$C$2:$C$1800,الريسبي!$A$2:$A$1800,$A69,الريسبي!$B$2:$B$1800,"كاسترد مصنع (خليط بودر + لبن)")+0.03333333333*SUMIFS(الريسبي!$C$2:$C$1800,الريسبي!$A$2:$A$1800,$A69,الريسبي!$B$2:$B$1800,"عجين كريب (مصنع بالمطعم)")</f>
        <v>0.03333333333</v>
      </c>
      <c r="BV69" s="117" t="n">
        <f aca="false">SUMIFS(الريسبي!$C$2:$C$1800,الريسبي!$A$2:$A$1800,$A69,الريسبي!$B$2:$B$1800,BV$1)</f>
        <v>0</v>
      </c>
      <c r="BW69" s="117" t="n">
        <f aca="false">SUMIFS(الريسبي!$C$2:$C$1800,الريسبي!$A$2:$A$1800,$A69,الريسبي!$B$2:$B$1800,BW$1)</f>
        <v>0</v>
      </c>
      <c r="BX69" s="117" t="n">
        <f aca="false">SUMIFS(الريسبي!$C$2:$C$1800,الريسبي!$A$2:$A$1800,$A69,الريسبي!$B$2:$B$1800,BX$1)</f>
        <v>0</v>
      </c>
      <c r="BY69" s="117" t="n">
        <f aca="false">SUMIFS(الريسبي!$C$2:$C$1800,الريسبي!$A$2:$A$1800,$A69,الريسبي!$B$2:$B$1800,BY$1)</f>
        <v>0</v>
      </c>
      <c r="BZ69" s="117" t="n">
        <f aca="false">SUMIFS(الريسبي!$C$2:$C$1800,الريسبي!$A$2:$A$1800,$A69,الريسبي!$B$2:$B$1800,BZ$1)</f>
        <v>0</v>
      </c>
      <c r="CA69" s="117" t="n">
        <f aca="false">SUMIFS(الريسبي!$C$2:$C$1800,الريسبي!$A$2:$A$1800,$A69,الريسبي!$B$2:$B$1800,CA$1)</f>
        <v>0</v>
      </c>
      <c r="CB69" s="117" t="n">
        <f aca="false">SUMIFS(الريسبي!$C$2:$C$1800,الريسبي!$A$2:$A$1800,$A69,الريسبي!$B$2:$B$1800,CB$1)</f>
        <v>0</v>
      </c>
      <c r="CC69" s="117" t="n">
        <f aca="false">SUMIFS(الريسبي!$C$2:$C$1800,الريسبي!$A$2:$A$1800,$A69,الريسبي!$B$2:$B$1800,CC$1)</f>
        <v>0</v>
      </c>
      <c r="CD69" s="117" t="n">
        <f aca="false">SUMIFS(الريسبي!$C$2:$C$1800,الريسبي!$A$2:$A$1800,$A69,الريسبي!$B$2:$B$1800,CD$1)</f>
        <v>0</v>
      </c>
      <c r="CE69" s="117" t="n">
        <f aca="false">SUMIFS(الريسبي!$C$2:$C$1800,الريسبي!$A$2:$A$1800,$A69,الريسبي!$B$2:$B$1800,CE$1)</f>
        <v>0</v>
      </c>
      <c r="CF69" s="117" t="n">
        <f aca="false">SUMIFS(الريسبي!$C$2:$C$1800,الريسبي!$A$2:$A$1800,$A69,الريسبي!$B$2:$B$1800,CF$1)</f>
        <v>0</v>
      </c>
      <c r="CG69" s="117" t="n">
        <f aca="false">SUMIFS(الريسبي!$C$2:$C$1800,الريسبي!$A$2:$A$1800,$A69,الريسبي!$B$2:$B$1800,CG$1)</f>
        <v>0</v>
      </c>
      <c r="CH69" s="117" t="n">
        <f aca="false">SUMIFS(الريسبي!$C$2:$C$1800,الريسبي!$A$2:$A$1800,$A69,الريسبي!$B$2:$B$1800,CH$1)</f>
        <v>0</v>
      </c>
      <c r="CI69" s="117" t="n">
        <f aca="false">SUMIFS(الريسبي!$C$2:$C$1800,الريسبي!$A$2:$A$1800,$A69,الريسبي!$B$2:$B$1800,CI$1)</f>
        <v>0</v>
      </c>
      <c r="CJ69" s="117" t="n">
        <f aca="false">SUMIFS(الريسبي!$C$2:$C$1800,الريسبي!$A$2:$A$1800,$A69,الريسبي!$B$2:$B$1800,CJ$1)</f>
        <v>0</v>
      </c>
      <c r="CK69" s="117" t="n">
        <f aca="false">SUMIFS(الريسبي!$C$2:$C$1800,الريسبي!$A$2:$A$1800,$A69,الريسبي!$B$2:$B$1800,CK$1)</f>
        <v>0</v>
      </c>
      <c r="CL69" s="117" t="n">
        <f aca="false">SUMIFS(الريسبي!$C$2:$C$1800,الريسبي!$A$2:$A$1800,$A69,الريسبي!$B$2:$B$1800,CL$1)</f>
        <v>0</v>
      </c>
    </row>
    <row r="70" customFormat="false" ht="15" hidden="false" customHeight="false" outlineLevel="0" collapsed="false">
      <c r="A70" s="116" t="str">
        <f aca="false">المنيو!B70</f>
        <v>عيش كريب</v>
      </c>
      <c r="B70" s="117" t="n">
        <f aca="false">SUMIFS(الريسبي!$C$2:$C$1800,الريسبي!$A$2:$A$1800,$A70,الريسبي!$B$2:$B$1800,B$1)</f>
        <v>0</v>
      </c>
      <c r="C70" s="117" t="n">
        <f aca="false">SUMIFS(الريسبي!$C$2:$C$1800,الريسبي!$A$2:$A$1800,$A70,الريسبي!$B$2:$B$1800,C$1)</f>
        <v>0</v>
      </c>
      <c r="D70" s="117" t="n">
        <f aca="false">SUMIFS(الريسبي!$C$2:$C$1800,الريسبي!$A$2:$A$1800,$A70,الريسبي!$B$2:$B$1800,D$1)</f>
        <v>0</v>
      </c>
      <c r="E70" s="117" t="n">
        <f aca="false">SUMIFS(الريسبي!$C$2:$C$1800,الريسبي!$A$2:$A$1800,$A70,الريسبي!$B$2:$B$1800,E$1)</f>
        <v>0</v>
      </c>
      <c r="F70" s="117" t="n">
        <f aca="false">SUMIFS(الريسبي!$C$2:$C$1800,الريسبي!$A$2:$A$1800,$A70,الريسبي!$B$2:$B$1800,F$1)</f>
        <v>0</v>
      </c>
      <c r="G70" s="117" t="n">
        <f aca="false">SUMIFS(الريسبي!$C$2:$C$1800,الريسبي!$A$2:$A$1800,$A70,الريسبي!$B$2:$B$1800,G$1)</f>
        <v>0</v>
      </c>
      <c r="H70" s="117" t="n">
        <f aca="false">SUMIFS(الريسبي!$C$2:$C$1800,الريسبي!$A$2:$A$1800,$A70,الريسبي!$B$2:$B$1800,H$1)</f>
        <v>0</v>
      </c>
      <c r="I70" s="117" t="n">
        <f aca="false">SUMIFS(الريسبي!$C$2:$C$1800,الريسبي!$A$2:$A$1800,$A70,الريسبي!$B$2:$B$1800,I$1)</f>
        <v>0</v>
      </c>
      <c r="J70" s="117" t="n">
        <f aca="false">SUMIFS(الريسبي!$C$2:$C$1800,الريسبي!$A$2:$A$1800,$A70,الريسبي!$B$2:$B$1800,J$1)</f>
        <v>0</v>
      </c>
      <c r="K70" s="117" t="n">
        <f aca="false">SUMIFS(الريسبي!$C$2:$C$1800,الريسبي!$A$2:$A$1800,$A70,الريسبي!$B$2:$B$1800,K$1)</f>
        <v>0</v>
      </c>
      <c r="L70" s="117" t="n">
        <f aca="false">SUMIFS(الريسبي!$C$2:$C$1800,الريسبي!$A$2:$A$1800,$A70,الريسبي!$B$2:$B$1800,L$1)</f>
        <v>0</v>
      </c>
      <c r="M70" s="117" t="n">
        <f aca="false">SUMIFS(الريسبي!$C$2:$C$1800,الريسبي!$A$2:$A$1800,$A70,الريسبي!$B$2:$B$1800,M$1)</f>
        <v>0</v>
      </c>
      <c r="N70" s="117" t="n">
        <f aca="false">SUMIFS(الريسبي!$C$2:$C$1800,الريسبي!$A$2:$A$1800,$A70,الريسبي!$B$2:$B$1800,N$1)</f>
        <v>0</v>
      </c>
      <c r="O70" s="117" t="n">
        <f aca="false">SUMIFS(الريسبي!$C$2:$C$1800,الريسبي!$A$2:$A$1800,$A70,الريسبي!$B$2:$B$1800,O$1)</f>
        <v>0</v>
      </c>
      <c r="P70" s="117" t="n">
        <f aca="false">SUMIFS(الريسبي!$C$2:$C$1800,الريسبي!$A$2:$A$1800,$A70,الريسبي!$B$2:$B$1800,P$1)</f>
        <v>0</v>
      </c>
      <c r="Q70" s="117" t="n">
        <f aca="false">SUMIFS(الريسبي!$C$2:$C$1800,الريسبي!$A$2:$A$1800,$A70,الريسبي!$B$2:$B$1800,Q$1)</f>
        <v>0</v>
      </c>
      <c r="R70" s="117" t="n">
        <f aca="false">SUMIFS(الريسبي!$C$2:$C$1800,الريسبي!$A$2:$A$1800,$A70,الريسبي!$B$2:$B$1800,R$1)</f>
        <v>0</v>
      </c>
      <c r="S70" s="117" t="n">
        <f aca="false">SUMIFS(الريسبي!$C$2:$C$1800,الريسبي!$A$2:$A$1800,$A70,الريسبي!$B$2:$B$1800,S$1)</f>
        <v>0</v>
      </c>
      <c r="T70" s="117" t="n">
        <f aca="false">SUMIFS(الريسبي!$C$2:$C$1800,الريسبي!$A$2:$A$1800,$A70,الريسبي!$B$2:$B$1800,T$1)</f>
        <v>0</v>
      </c>
      <c r="U70" s="117" t="n">
        <f aca="false">SUMIFS(الريسبي!$C$2:$C$1800,الريسبي!$A$2:$A$1800,$A70,الريسبي!$B$2:$B$1800,U$1)</f>
        <v>0</v>
      </c>
      <c r="V70" s="117" t="n">
        <f aca="false">SUMIFS(الريسبي!$C$2:$C$1800,الريسبي!$A$2:$A$1800,$A70,الريسبي!$B$2:$B$1800,V$1)</f>
        <v>0</v>
      </c>
      <c r="W70" s="117" t="n">
        <f aca="false">SUMIFS(الريسبي!$C$2:$C$1800,الريسبي!$A$2:$A$1800,$A70,الريسبي!$B$2:$B$1800,W$1)</f>
        <v>0</v>
      </c>
      <c r="X70" s="117" t="n">
        <f aca="false">SUMIFS(الريسبي!$C$2:$C$1800,الريسبي!$A$2:$A$1800,$A70,الريسبي!$B$2:$B$1800,X$1)</f>
        <v>0</v>
      </c>
      <c r="Y70" s="117" t="n">
        <f aca="false">SUMIFS(الريسبي!$C$2:$C$1800,الريسبي!$A$2:$A$1800,$A70,الريسبي!$B$2:$B$1800,Y$1)</f>
        <v>0</v>
      </c>
      <c r="Z70" s="117" t="n">
        <f aca="false">SUMIFS(الريسبي!$C$2:$C$1800,الريسبي!$A$2:$A$1800,$A70,الريسبي!$B$2:$B$1800,Z$1)</f>
        <v>0</v>
      </c>
      <c r="AA70" s="117" t="n">
        <f aca="false">SUMIFS(الريسبي!$C$2:$C$1800,الريسبي!$A$2:$A$1800,$A70,الريسبي!$B$2:$B$1800,AA$1)</f>
        <v>0</v>
      </c>
      <c r="AB70" s="117" t="n">
        <f aca="false">SUMIFS(الريسبي!$C$2:$C$1800,الريسبي!$A$2:$A$1800,$A70,الريسبي!$B$2:$B$1800,AB$1)</f>
        <v>0</v>
      </c>
      <c r="AC70" s="117" t="n">
        <f aca="false">SUMIFS(الريسبي!$C$2:$C$1800,الريسبي!$A$2:$A$1800,$A70,الريسبي!$B$2:$B$1800,AC$1)</f>
        <v>0</v>
      </c>
      <c r="AD70" s="117" t="n">
        <f aca="false">SUMIFS(الريسبي!$C$2:$C$1800,الريسبي!$A$2:$A$1800,$A70,الريسبي!$B$2:$B$1800,AD$1)</f>
        <v>0</v>
      </c>
      <c r="AE70" s="117" t="n">
        <f aca="false">SUMIFS(الريسبي!$C$2:$C$1800,الريسبي!$A$2:$A$1800,$A70,الريسبي!$B$2:$B$1800,AE$1)</f>
        <v>0</v>
      </c>
      <c r="AF70" s="117" t="n">
        <f aca="false">SUMIFS(الريسبي!$C$2:$C$1800,الريسبي!$A$2:$A$1800,$A70,الريسبي!$B$2:$B$1800,AF$1)</f>
        <v>0</v>
      </c>
      <c r="AG70" s="117" t="n">
        <f aca="false">SUMIFS(الريسبي!$C$2:$C$1800,الريسبي!$A$2:$A$1800,$A70,الريسبي!$B$2:$B$1800,AG$1)</f>
        <v>0</v>
      </c>
      <c r="AH70" s="117" t="n">
        <f aca="false">SUMIFS(الريسبي!$C$2:$C$1800,الريسبي!$A$2:$A$1800,$A70,الريسبي!$B$2:$B$1800,AH$1)</f>
        <v>0</v>
      </c>
      <c r="AI70" s="117" t="n">
        <f aca="false">SUMIFS(الريسبي!$C$2:$C$1800,الريسبي!$A$2:$A$1800,$A70,الريسبي!$B$2:$B$1800,AI$1)</f>
        <v>0</v>
      </c>
      <c r="AJ70" s="117" t="n">
        <f aca="false">SUMIFS(الريسبي!$C$2:$C$1800,الريسبي!$A$2:$A$1800,$A70,الريسبي!$B$2:$B$1800,AJ$1)</f>
        <v>0</v>
      </c>
      <c r="AK70" s="117" t="n">
        <f aca="false">SUMIFS(الريسبي!$C$2:$C$1800,الريسبي!$A$2:$A$1800,$A70,الريسبي!$B$2:$B$1800,AK$1)</f>
        <v>0</v>
      </c>
      <c r="AL70" s="117" t="n">
        <f aca="false">SUMIFS(الريسبي!$C$2:$C$1800,الريسبي!$A$2:$A$1800,$A70,الريسبي!$B$2:$B$1800,AL$1)</f>
        <v>0</v>
      </c>
      <c r="AM70" s="117" t="n">
        <f aca="false">SUMIFS(الريسبي!$C$2:$C$1800,الريسبي!$A$2:$A$1800,$A70,الريسبي!$B$2:$B$1800,AM$1)+0.08333333333*SUMIFS(الريسبي!$C$2:$C$1800,الريسبي!$A$2:$A$1800,$A70,الريسبي!$B$2:$B$1800,"عجين كريب (مصنع بالمطعم)")+0.08333333333*SUMIFS(الريسبي!$C$2:$C$1800,الريسبي!$A$2:$A$1800,$A70,الريسبي!$B$2:$B$1800,"عجين كريب صيامي (بدون لبن)")</f>
        <v>0.08333333333</v>
      </c>
      <c r="AN70" s="117" t="n">
        <f aca="false">SUMIFS(الريسبي!$C$2:$C$1800,الريسبي!$A$2:$A$1800,$A70,الريسبي!$B$2:$B$1800,AN$1)+0.004166666667*SUMIFS(الريسبي!$C$2:$C$1800,الريسبي!$A$2:$A$1800,$A70,الريسبي!$B$2:$B$1800,"عجين كريب (مصنع بالمطعم)")+0.004166666667*SUMIFS(الريسبي!$C$2:$C$1800,الريسبي!$A$2:$A$1800,$A70,الريسبي!$B$2:$B$1800,"عجين كريب صيامي (بدون لبن)")</f>
        <v>0.004166666667</v>
      </c>
      <c r="AO70" s="117" t="n">
        <f aca="false">SUMIFS(الريسبي!$C$2:$C$1800,الريسبي!$A$2:$A$1800,$A70,الريسبي!$B$2:$B$1800,AO$1)</f>
        <v>0</v>
      </c>
      <c r="AP70" s="117" t="n">
        <f aca="false">SUMIFS(الريسبي!$C$2:$C$1800,الريسبي!$A$2:$A$1800,$A70,الريسبي!$B$2:$B$1800,AP$1)</f>
        <v>0</v>
      </c>
      <c r="AQ70" s="117" t="n">
        <f aca="false">SUMIFS(الريسبي!$C$2:$C$1800,الريسبي!$A$2:$A$1800,$A70,الريسبي!$B$2:$B$1800,AQ$1)+0.004166666667*SUMIFS(الريسبي!$C$2:$C$1800,الريسبي!$A$2:$A$1800,$A70,الريسبي!$B$2:$B$1800,"عجين كريب (مصنع بالمطعم)")+0.004166666667*SUMIFS(الريسبي!$C$2:$C$1800,الريسبي!$A$2:$A$1800,$A70,الريسبي!$B$2:$B$1800,"عجين كريب صيامي (بدون لبن)")</f>
        <v>0.004166666667</v>
      </c>
      <c r="AR70" s="117" t="n">
        <f aca="false">SUMIFS(الريسبي!$C$2:$C$1800,الريسبي!$A$2:$A$1800,$A70,الريسبي!$B$2:$B$1800,AR$1)</f>
        <v>0</v>
      </c>
      <c r="AS70" s="117" t="n">
        <f aca="false">SUMIFS(الريسبي!$C$2:$C$1800,الريسبي!$A$2:$A$1800,$A70,الريسبي!$B$2:$B$1800,AS$1)</f>
        <v>0</v>
      </c>
      <c r="AT70" s="117" t="n">
        <f aca="false">SUMIFS(الريسبي!$C$2:$C$1800,الريسبي!$A$2:$A$1800,$A70,الريسبي!$B$2:$B$1800,AT$1)</f>
        <v>0</v>
      </c>
      <c r="AU70" s="117" t="n">
        <f aca="false">SUMIFS(الريسبي!$C$2:$C$1800,الريسبي!$A$2:$A$1800,$A70,الريسبي!$B$2:$B$1800,AU$1)</f>
        <v>0</v>
      </c>
      <c r="AV70" s="117" t="n">
        <f aca="false">SUMIFS(الريسبي!$C$2:$C$1800,الريسبي!$A$2:$A$1800,$A70,الريسبي!$B$2:$B$1800,AV$1)</f>
        <v>0</v>
      </c>
      <c r="AW70" s="117" t="n">
        <f aca="false">SUMIFS(الريسبي!$C$2:$C$1800,الريسبي!$A$2:$A$1800,$A70,الريسبي!$B$2:$B$1800,AW$1)</f>
        <v>0</v>
      </c>
      <c r="AX70" s="117" t="n">
        <f aca="false">SUMIFS(الريسبي!$C$2:$C$1800,الريسبي!$A$2:$A$1800,$A70,الريسبي!$B$2:$B$1800,AX$1)</f>
        <v>0</v>
      </c>
      <c r="AY70" s="117" t="n">
        <f aca="false">SUMIFS(الريسبي!$C$2:$C$1800,الريسبي!$A$2:$A$1800,$A70,الريسبي!$B$2:$B$1800,AY$1)</f>
        <v>0</v>
      </c>
      <c r="AZ70" s="117" t="n">
        <f aca="false">SUMIFS(الريسبي!$C$2:$C$1800,الريسبي!$A$2:$A$1800,$A70,الريسبي!$B$2:$B$1800,AZ$1)</f>
        <v>0</v>
      </c>
      <c r="BA70" s="117" t="n">
        <f aca="false">SUMIFS(الريسبي!$C$2:$C$1800,الريسبي!$A$2:$A$1800,$A70,الريسبي!$B$2:$B$1800,BA$1)</f>
        <v>0</v>
      </c>
      <c r="BB70" s="117" t="n">
        <f aca="false">SUMIFS(الريسبي!$C$2:$C$1800,الريسبي!$A$2:$A$1800,$A70,الريسبي!$B$2:$B$1800,BB$1)</f>
        <v>0</v>
      </c>
      <c r="BC70" s="117" t="n">
        <f aca="false">SUMIFS(الريسبي!$C$2:$C$1800,الريسبي!$A$2:$A$1800,$A70,الريسبي!$B$2:$B$1800,BC$1)</f>
        <v>0</v>
      </c>
      <c r="BD70" s="117" t="n">
        <f aca="false">SUMIFS(الريسبي!$C$2:$C$1800,الريسبي!$A$2:$A$1800,$A70,الريسبي!$B$2:$B$1800,BD$1)</f>
        <v>0</v>
      </c>
      <c r="BE70" s="117" t="n">
        <f aca="false">SUMIFS(الريسبي!$C$2:$C$1800,الريسبي!$A$2:$A$1800,$A70,الريسبي!$B$2:$B$1800,BE$1)</f>
        <v>0</v>
      </c>
      <c r="BF70" s="117" t="n">
        <f aca="false">SUMIFS(الريسبي!$C$2:$C$1800,الريسبي!$A$2:$A$1800,$A70,الريسبي!$B$2:$B$1800,BF$1)</f>
        <v>0</v>
      </c>
      <c r="BG70" s="117" t="n">
        <f aca="false">SUMIFS(الريسبي!$C$2:$C$1800,الريسبي!$A$2:$A$1800,$A70,الريسبي!$B$2:$B$1800,BG$1)</f>
        <v>0</v>
      </c>
      <c r="BH70" s="117" t="n">
        <f aca="false">SUMIFS(الريسبي!$C$2:$C$1800,الريسبي!$A$2:$A$1800,$A70,الريسبي!$B$2:$B$1800,BH$1)</f>
        <v>0</v>
      </c>
      <c r="BI70" s="117" t="n">
        <f aca="false">SUMIFS(الريسبي!$C$2:$C$1800,الريسبي!$A$2:$A$1800,$A70,الريسبي!$B$2:$B$1800,BI$1)</f>
        <v>0</v>
      </c>
      <c r="BJ70" s="117" t="n">
        <f aca="false">SUMIFS(الريسبي!$C$2:$C$1800,الريسبي!$A$2:$A$1800,$A70,الريسبي!$B$2:$B$1800,BJ$1)</f>
        <v>0</v>
      </c>
      <c r="BK70" s="117" t="n">
        <f aca="false">SUMIFS(الريسبي!$C$2:$C$1800,الريسبي!$A$2:$A$1800,$A70,الريسبي!$B$2:$B$1800,BK$1)</f>
        <v>0</v>
      </c>
      <c r="BL70" s="117" t="n">
        <f aca="false">SUMIFS(الريسبي!$C$2:$C$1800,الريسبي!$A$2:$A$1800,$A70,الريسبي!$B$2:$B$1800,BL$1)</f>
        <v>0</v>
      </c>
      <c r="BM70" s="117" t="n">
        <f aca="false">SUMIFS(الريسبي!$C$2:$C$1800,الريسبي!$A$2:$A$1800,$A70,الريسبي!$B$2:$B$1800,BM$1)</f>
        <v>0</v>
      </c>
      <c r="BN70" s="117" t="n">
        <f aca="false">SUMIFS(الريسبي!$C$2:$C$1800,الريسبي!$A$2:$A$1800,$A70,الريسبي!$B$2:$B$1800,BN$1)</f>
        <v>0</v>
      </c>
      <c r="BO70" s="117" t="n">
        <f aca="false">SUMIFS(الريسبي!$C$2:$C$1800,الريسبي!$A$2:$A$1800,$A70,الريسبي!$B$2:$B$1800,BO$1)</f>
        <v>0</v>
      </c>
      <c r="BP70" s="117" t="n">
        <f aca="false">SUMIFS(الريسبي!$C$2:$C$1800,الريسبي!$A$2:$A$1800,$A70,الريسبي!$B$2:$B$1800,BP$1)</f>
        <v>0</v>
      </c>
      <c r="BQ70" s="117" t="n">
        <f aca="false">SUMIFS(الريسبي!$C$2:$C$1800,الريسبي!$A$2:$A$1800,$A70,الريسبي!$B$2:$B$1800,BQ$1)+0.17*SUMIFS(الريسبي!$C$2:$C$1800,الريسبي!$A$2:$A$1800,$A70,الريسبي!$B$2:$B$1800,"كاسترد مصنع (خليط بودر + لبن)")+0.17*SUMIFS(الريسبي!$C$2:$C$1800,الريسبي!$A$2:$A$1800,$A70,الريسبي!$B$2:$B$1800,"كاسترد مصنع صيامي (بدون لبن)")</f>
        <v>0</v>
      </c>
      <c r="BR70" s="117" t="n">
        <f aca="false">SUMIFS(الريسبي!$C$2:$C$1800,الريسبي!$A$2:$A$1800,$A70,الريسبي!$B$2:$B$1800,BR$1)</f>
        <v>0</v>
      </c>
      <c r="BS70" s="117" t="n">
        <f aca="false">SUMIFS(الريسبي!$C$2:$C$1800,الريسبي!$A$2:$A$1800,$A70,الريسبي!$B$2:$B$1800,BS$1)</f>
        <v>0</v>
      </c>
      <c r="BT70" s="117" t="n">
        <f aca="false">SUMIFS(الريسبي!$C$2:$C$1800,الريسبي!$A$2:$A$1800,$A70,الريسبي!$B$2:$B$1800,BT$1)</f>
        <v>1</v>
      </c>
      <c r="BU70" s="117" t="n">
        <f aca="false">SUMIFS(الريسبي!$C$2:$C$1800,الريسبي!$A$2:$A$1800,$A70,الريسبي!$B$2:$B$1800,BU$1)+0.4*SUMIFS(الريسبي!$C$2:$C$1800,الريسبي!$A$2:$A$1800,$A70,الريسبي!$B$2:$B$1800,"كاسترد مصنع (خليط بودر + لبن)")+0.03333333333*SUMIFS(الريسبي!$C$2:$C$1800,الريسبي!$A$2:$A$1800,$A70,الريسبي!$B$2:$B$1800,"عجين كريب (مصنع بالمطعم)")</f>
        <v>0.03333333333</v>
      </c>
      <c r="BV70" s="117" t="n">
        <f aca="false">SUMIFS(الريسبي!$C$2:$C$1800,الريسبي!$A$2:$A$1800,$A70,الريسبي!$B$2:$B$1800,BV$1)</f>
        <v>0</v>
      </c>
      <c r="BW70" s="117" t="n">
        <f aca="false">SUMIFS(الريسبي!$C$2:$C$1800,الريسبي!$A$2:$A$1800,$A70,الريسبي!$B$2:$B$1800,BW$1)</f>
        <v>0</v>
      </c>
      <c r="BX70" s="117" t="n">
        <f aca="false">SUMIFS(الريسبي!$C$2:$C$1800,الريسبي!$A$2:$A$1800,$A70,الريسبي!$B$2:$B$1800,BX$1)</f>
        <v>0</v>
      </c>
      <c r="BY70" s="117" t="n">
        <f aca="false">SUMIFS(الريسبي!$C$2:$C$1800,الريسبي!$A$2:$A$1800,$A70,الريسبي!$B$2:$B$1800,BY$1)</f>
        <v>0</v>
      </c>
      <c r="BZ70" s="117" t="n">
        <f aca="false">SUMIFS(الريسبي!$C$2:$C$1800,الريسبي!$A$2:$A$1800,$A70,الريسبي!$B$2:$B$1800,BZ$1)</f>
        <v>0</v>
      </c>
      <c r="CA70" s="117" t="n">
        <f aca="false">SUMIFS(الريسبي!$C$2:$C$1800,الريسبي!$A$2:$A$1800,$A70,الريسبي!$B$2:$B$1800,CA$1)</f>
        <v>0</v>
      </c>
      <c r="CB70" s="117" t="n">
        <f aca="false">SUMIFS(الريسبي!$C$2:$C$1800,الريسبي!$A$2:$A$1800,$A70,الريسبي!$B$2:$B$1800,CB$1)</f>
        <v>0</v>
      </c>
      <c r="CC70" s="117" t="n">
        <f aca="false">SUMIFS(الريسبي!$C$2:$C$1800,الريسبي!$A$2:$A$1800,$A70,الريسبي!$B$2:$B$1800,CC$1)</f>
        <v>0</v>
      </c>
      <c r="CD70" s="117" t="n">
        <f aca="false">SUMIFS(الريسبي!$C$2:$C$1800,الريسبي!$A$2:$A$1800,$A70,الريسبي!$B$2:$B$1800,CD$1)</f>
        <v>0</v>
      </c>
      <c r="CE70" s="117" t="n">
        <f aca="false">SUMIFS(الريسبي!$C$2:$C$1800,الريسبي!$A$2:$A$1800,$A70,الريسبي!$B$2:$B$1800,CE$1)</f>
        <v>0</v>
      </c>
      <c r="CF70" s="117" t="n">
        <f aca="false">SUMIFS(الريسبي!$C$2:$C$1800,الريسبي!$A$2:$A$1800,$A70,الريسبي!$B$2:$B$1800,CF$1)</f>
        <v>0</v>
      </c>
      <c r="CG70" s="117" t="n">
        <f aca="false">SUMIFS(الريسبي!$C$2:$C$1800,الريسبي!$A$2:$A$1800,$A70,الريسبي!$B$2:$B$1800,CG$1)</f>
        <v>0</v>
      </c>
      <c r="CH70" s="117" t="n">
        <f aca="false">SUMIFS(الريسبي!$C$2:$C$1800,الريسبي!$A$2:$A$1800,$A70,الريسبي!$B$2:$B$1800,CH$1)</f>
        <v>0</v>
      </c>
      <c r="CI70" s="117" t="n">
        <f aca="false">SUMIFS(الريسبي!$C$2:$C$1800,الريسبي!$A$2:$A$1800,$A70,الريسبي!$B$2:$B$1800,CI$1)</f>
        <v>0</v>
      </c>
      <c r="CJ70" s="117" t="n">
        <f aca="false">SUMIFS(الريسبي!$C$2:$C$1800,الريسبي!$A$2:$A$1800,$A70,الريسبي!$B$2:$B$1800,CJ$1)</f>
        <v>0</v>
      </c>
      <c r="CK70" s="117" t="n">
        <f aca="false">SUMIFS(الريسبي!$C$2:$C$1800,الريسبي!$A$2:$A$1800,$A70,الريسبي!$B$2:$B$1800,CK$1)</f>
        <v>0</v>
      </c>
      <c r="CL70" s="117" t="n">
        <f aca="false">SUMIFS(الريسبي!$C$2:$C$1800,الريسبي!$A$2:$A$1800,$A70,الريسبي!$B$2:$B$1800,CL$1)</f>
        <v>0</v>
      </c>
    </row>
    <row r="71" customFormat="false" ht="15" hidden="false" customHeight="false" outlineLevel="0" collapsed="false">
      <c r="A71" s="116" t="str">
        <f aca="false">المنيو!B71</f>
        <v>باكت بطاطس وسط</v>
      </c>
      <c r="B71" s="117" t="n">
        <f aca="false">SUMIFS(الريسبي!$C$2:$C$1800,الريسبي!$A$2:$A$1800,$A71,الريسبي!$B$2:$B$1800,B$1)</f>
        <v>0</v>
      </c>
      <c r="C71" s="117" t="n">
        <f aca="false">SUMIFS(الريسبي!$C$2:$C$1800,الريسبي!$A$2:$A$1800,$A71,الريسبي!$B$2:$B$1800,C$1)</f>
        <v>0</v>
      </c>
      <c r="D71" s="117" t="n">
        <f aca="false">SUMIFS(الريسبي!$C$2:$C$1800,الريسبي!$A$2:$A$1800,$A71,الريسبي!$B$2:$B$1800,D$1)</f>
        <v>0</v>
      </c>
      <c r="E71" s="117" t="n">
        <f aca="false">SUMIFS(الريسبي!$C$2:$C$1800,الريسبي!$A$2:$A$1800,$A71,الريسبي!$B$2:$B$1800,E$1)</f>
        <v>0</v>
      </c>
      <c r="F71" s="117" t="n">
        <f aca="false">SUMIFS(الريسبي!$C$2:$C$1800,الريسبي!$A$2:$A$1800,$A71,الريسبي!$B$2:$B$1800,F$1)</f>
        <v>0</v>
      </c>
      <c r="G71" s="117" t="n">
        <f aca="false">SUMIFS(الريسبي!$C$2:$C$1800,الريسبي!$A$2:$A$1800,$A71,الريسبي!$B$2:$B$1800,G$1)</f>
        <v>0</v>
      </c>
      <c r="H71" s="117" t="n">
        <f aca="false">SUMIFS(الريسبي!$C$2:$C$1800,الريسبي!$A$2:$A$1800,$A71,الريسبي!$B$2:$B$1800,H$1)</f>
        <v>0</v>
      </c>
      <c r="I71" s="117" t="n">
        <f aca="false">SUMIFS(الريسبي!$C$2:$C$1800,الريسبي!$A$2:$A$1800,$A71,الريسبي!$B$2:$B$1800,I$1)</f>
        <v>1.5</v>
      </c>
      <c r="J71" s="117" t="n">
        <f aca="false">SUMIFS(الريسبي!$C$2:$C$1800,الريسبي!$A$2:$A$1800,$A71,الريسبي!$B$2:$B$1800,J$1)</f>
        <v>0</v>
      </c>
      <c r="K71" s="117" t="n">
        <f aca="false">SUMIFS(الريسبي!$C$2:$C$1800,الريسبي!$A$2:$A$1800,$A71,الريسبي!$B$2:$B$1800,K$1)</f>
        <v>0</v>
      </c>
      <c r="L71" s="117" t="n">
        <f aca="false">SUMIFS(الريسبي!$C$2:$C$1800,الريسبي!$A$2:$A$1800,$A71,الريسبي!$B$2:$B$1800,L$1)</f>
        <v>0</v>
      </c>
      <c r="M71" s="117" t="n">
        <f aca="false">SUMIFS(الريسبي!$C$2:$C$1800,الريسبي!$A$2:$A$1800,$A71,الريسبي!$B$2:$B$1800,M$1)</f>
        <v>0</v>
      </c>
      <c r="N71" s="117" t="n">
        <f aca="false">SUMIFS(الريسبي!$C$2:$C$1800,الريسبي!$A$2:$A$1800,$A71,الريسبي!$B$2:$B$1800,N$1)</f>
        <v>0</v>
      </c>
      <c r="O71" s="117" t="n">
        <f aca="false">SUMIFS(الريسبي!$C$2:$C$1800,الريسبي!$A$2:$A$1800,$A71,الريسبي!$B$2:$B$1800,O$1)</f>
        <v>0</v>
      </c>
      <c r="P71" s="117" t="n">
        <f aca="false">SUMIFS(الريسبي!$C$2:$C$1800,الريسبي!$A$2:$A$1800,$A71,الريسبي!$B$2:$B$1800,P$1)</f>
        <v>0</v>
      </c>
      <c r="Q71" s="117" t="n">
        <f aca="false">SUMIFS(الريسبي!$C$2:$C$1800,الريسبي!$A$2:$A$1800,$A71,الريسبي!$B$2:$B$1800,Q$1)</f>
        <v>0</v>
      </c>
      <c r="R71" s="117" t="n">
        <f aca="false">SUMIFS(الريسبي!$C$2:$C$1800,الريسبي!$A$2:$A$1800,$A71,الريسبي!$B$2:$B$1800,R$1)</f>
        <v>0</v>
      </c>
      <c r="S71" s="117" t="n">
        <f aca="false">SUMIFS(الريسبي!$C$2:$C$1800,الريسبي!$A$2:$A$1800,$A71,الريسبي!$B$2:$B$1800,S$1)</f>
        <v>0</v>
      </c>
      <c r="T71" s="117" t="n">
        <f aca="false">SUMIFS(الريسبي!$C$2:$C$1800,الريسبي!$A$2:$A$1800,$A71,الريسبي!$B$2:$B$1800,T$1)</f>
        <v>0</v>
      </c>
      <c r="U71" s="117" t="n">
        <f aca="false">SUMIFS(الريسبي!$C$2:$C$1800,الريسبي!$A$2:$A$1800,$A71,الريسبي!$B$2:$B$1800,U$1)</f>
        <v>0</v>
      </c>
      <c r="V71" s="117" t="n">
        <f aca="false">SUMIFS(الريسبي!$C$2:$C$1800,الريسبي!$A$2:$A$1800,$A71,الريسبي!$B$2:$B$1800,V$1)</f>
        <v>0</v>
      </c>
      <c r="W71" s="117" t="n">
        <f aca="false">SUMIFS(الريسبي!$C$2:$C$1800,الريسبي!$A$2:$A$1800,$A71,الريسبي!$B$2:$B$1800,W$1)</f>
        <v>0</v>
      </c>
      <c r="X71" s="117" t="n">
        <f aca="false">SUMIFS(الريسبي!$C$2:$C$1800,الريسبي!$A$2:$A$1800,$A71,الريسبي!$B$2:$B$1800,X$1)</f>
        <v>0</v>
      </c>
      <c r="Y71" s="117" t="n">
        <f aca="false">SUMIFS(الريسبي!$C$2:$C$1800,الريسبي!$A$2:$A$1800,$A71,الريسبي!$B$2:$B$1800,Y$1)</f>
        <v>0</v>
      </c>
      <c r="Z71" s="117" t="n">
        <f aca="false">SUMIFS(الريسبي!$C$2:$C$1800,الريسبي!$A$2:$A$1800,$A71,الريسبي!$B$2:$B$1800,Z$1)</f>
        <v>0</v>
      </c>
      <c r="AA71" s="117" t="n">
        <f aca="false">SUMIFS(الريسبي!$C$2:$C$1800,الريسبي!$A$2:$A$1800,$A71,الريسبي!$B$2:$B$1800,AA$1)</f>
        <v>0</v>
      </c>
      <c r="AB71" s="117" t="n">
        <f aca="false">SUMIFS(الريسبي!$C$2:$C$1800,الريسبي!$A$2:$A$1800,$A71,الريسبي!$B$2:$B$1800,AB$1)</f>
        <v>0</v>
      </c>
      <c r="AC71" s="117" t="n">
        <f aca="false">SUMIFS(الريسبي!$C$2:$C$1800,الريسبي!$A$2:$A$1800,$A71,الريسبي!$B$2:$B$1800,AC$1)</f>
        <v>0</v>
      </c>
      <c r="AD71" s="117" t="n">
        <f aca="false">SUMIFS(الريسبي!$C$2:$C$1800,الريسبي!$A$2:$A$1800,$A71,الريسبي!$B$2:$B$1800,AD$1)</f>
        <v>0</v>
      </c>
      <c r="AE71" s="117" t="n">
        <f aca="false">SUMIFS(الريسبي!$C$2:$C$1800,الريسبي!$A$2:$A$1800,$A71,الريسبي!$B$2:$B$1800,AE$1)</f>
        <v>0</v>
      </c>
      <c r="AF71" s="117" t="n">
        <f aca="false">SUMIFS(الريسبي!$C$2:$C$1800,الريسبي!$A$2:$A$1800,$A71,الريسبي!$B$2:$B$1800,AF$1)</f>
        <v>0</v>
      </c>
      <c r="AG71" s="117" t="n">
        <f aca="false">SUMIFS(الريسبي!$C$2:$C$1800,الريسبي!$A$2:$A$1800,$A71,الريسبي!$B$2:$B$1800,AG$1)</f>
        <v>0</v>
      </c>
      <c r="AH71" s="117" t="n">
        <f aca="false">SUMIFS(الريسبي!$C$2:$C$1800,الريسبي!$A$2:$A$1800,$A71,الريسبي!$B$2:$B$1800,AH$1)</f>
        <v>0</v>
      </c>
      <c r="AI71" s="117" t="n">
        <f aca="false">SUMIFS(الريسبي!$C$2:$C$1800,الريسبي!$A$2:$A$1800,$A71,الريسبي!$B$2:$B$1800,AI$1)</f>
        <v>0</v>
      </c>
      <c r="AJ71" s="117" t="n">
        <f aca="false">SUMIFS(الريسبي!$C$2:$C$1800,الريسبي!$A$2:$A$1800,$A71,الريسبي!$B$2:$B$1800,AJ$1)</f>
        <v>0</v>
      </c>
      <c r="AK71" s="117" t="n">
        <f aca="false">SUMIFS(الريسبي!$C$2:$C$1800,الريسبي!$A$2:$A$1800,$A71,الريسبي!$B$2:$B$1800,AK$1)</f>
        <v>0</v>
      </c>
      <c r="AL71" s="117" t="n">
        <f aca="false">SUMIFS(الريسبي!$C$2:$C$1800,الريسبي!$A$2:$A$1800,$A71,الريسبي!$B$2:$B$1800,AL$1)</f>
        <v>0</v>
      </c>
      <c r="AM71" s="117" t="n">
        <f aca="false">SUMIFS(الريسبي!$C$2:$C$1800,الريسبي!$A$2:$A$1800,$A71,الريسبي!$B$2:$B$1800,AM$1)+0.08333333333*SUMIFS(الريسبي!$C$2:$C$1800,الريسبي!$A$2:$A$1800,$A71,الريسبي!$B$2:$B$1800,"عجين كريب (مصنع بالمطعم)")+0.08333333333*SUMIFS(الريسبي!$C$2:$C$1800,الريسبي!$A$2:$A$1800,$A71,الريسبي!$B$2:$B$1800,"عجين كريب صيامي (بدون لبن)")</f>
        <v>0</v>
      </c>
      <c r="AN71" s="117" t="n">
        <f aca="false">SUMIFS(الريسبي!$C$2:$C$1800,الريسبي!$A$2:$A$1800,$A71,الريسبي!$B$2:$B$1800,AN$1)+0.004166666667*SUMIFS(الريسبي!$C$2:$C$1800,الريسبي!$A$2:$A$1800,$A71,الريسبي!$B$2:$B$1800,"عجين كريب (مصنع بالمطعم)")+0.004166666667*SUMIFS(الريسبي!$C$2:$C$1800,الريسبي!$A$2:$A$1800,$A71,الريسبي!$B$2:$B$1800,"عجين كريب صيامي (بدون لبن)")</f>
        <v>0</v>
      </c>
      <c r="AO71" s="117" t="n">
        <f aca="false">SUMIFS(الريسبي!$C$2:$C$1800,الريسبي!$A$2:$A$1800,$A71,الريسبي!$B$2:$B$1800,AO$1)</f>
        <v>0</v>
      </c>
      <c r="AP71" s="117" t="n">
        <f aca="false">SUMIFS(الريسبي!$C$2:$C$1800,الريسبي!$A$2:$A$1800,$A71,الريسبي!$B$2:$B$1800,AP$1)</f>
        <v>0</v>
      </c>
      <c r="AQ71" s="117" t="n">
        <f aca="false">SUMIFS(الريسبي!$C$2:$C$1800,الريسبي!$A$2:$A$1800,$A71,الريسبي!$B$2:$B$1800,AQ$1)+0.004166666667*SUMIFS(الريسبي!$C$2:$C$1800,الريسبي!$A$2:$A$1800,$A71,الريسبي!$B$2:$B$1800,"عجين كريب (مصنع بالمطعم)")+0.004166666667*SUMIFS(الريسبي!$C$2:$C$1800,الريسبي!$A$2:$A$1800,$A71,الريسبي!$B$2:$B$1800,"عجين كريب صيامي (بدون لبن)")</f>
        <v>0</v>
      </c>
      <c r="AR71" s="117" t="n">
        <f aca="false">SUMIFS(الريسبي!$C$2:$C$1800,الريسبي!$A$2:$A$1800,$A71,الريسبي!$B$2:$B$1800,AR$1)</f>
        <v>0</v>
      </c>
      <c r="AS71" s="117" t="n">
        <f aca="false">SUMIFS(الريسبي!$C$2:$C$1800,الريسبي!$A$2:$A$1800,$A71,الريسبي!$B$2:$B$1800,AS$1)</f>
        <v>0</v>
      </c>
      <c r="AT71" s="117" t="n">
        <f aca="false">SUMIFS(الريسبي!$C$2:$C$1800,الريسبي!$A$2:$A$1800,$A71,الريسبي!$B$2:$B$1800,AT$1)</f>
        <v>0</v>
      </c>
      <c r="AU71" s="117" t="n">
        <f aca="false">SUMIFS(الريسبي!$C$2:$C$1800,الريسبي!$A$2:$A$1800,$A71,الريسبي!$B$2:$B$1800,AU$1)</f>
        <v>0</v>
      </c>
      <c r="AV71" s="117" t="n">
        <f aca="false">SUMIFS(الريسبي!$C$2:$C$1800,الريسبي!$A$2:$A$1800,$A71,الريسبي!$B$2:$B$1800,AV$1)</f>
        <v>0</v>
      </c>
      <c r="AW71" s="117" t="n">
        <f aca="false">SUMIFS(الريسبي!$C$2:$C$1800,الريسبي!$A$2:$A$1800,$A71,الريسبي!$B$2:$B$1800,AW$1)</f>
        <v>0</v>
      </c>
      <c r="AX71" s="117" t="n">
        <f aca="false">SUMIFS(الريسبي!$C$2:$C$1800,الريسبي!$A$2:$A$1800,$A71,الريسبي!$B$2:$B$1800,AX$1)</f>
        <v>0</v>
      </c>
      <c r="AY71" s="117" t="n">
        <f aca="false">SUMIFS(الريسبي!$C$2:$C$1800,الريسبي!$A$2:$A$1800,$A71,الريسبي!$B$2:$B$1800,AY$1)</f>
        <v>0</v>
      </c>
      <c r="AZ71" s="117" t="n">
        <f aca="false">SUMIFS(الريسبي!$C$2:$C$1800,الريسبي!$A$2:$A$1800,$A71,الريسبي!$B$2:$B$1800,AZ$1)</f>
        <v>0</v>
      </c>
      <c r="BA71" s="117" t="n">
        <f aca="false">SUMIFS(الريسبي!$C$2:$C$1800,الريسبي!$A$2:$A$1800,$A71,الريسبي!$B$2:$B$1800,BA$1)</f>
        <v>0</v>
      </c>
      <c r="BB71" s="117" t="n">
        <f aca="false">SUMIFS(الريسبي!$C$2:$C$1800,الريسبي!$A$2:$A$1800,$A71,الريسبي!$B$2:$B$1800,BB$1)</f>
        <v>0</v>
      </c>
      <c r="BC71" s="117" t="n">
        <f aca="false">SUMIFS(الريسبي!$C$2:$C$1800,الريسبي!$A$2:$A$1800,$A71,الريسبي!$B$2:$B$1800,BC$1)</f>
        <v>0</v>
      </c>
      <c r="BD71" s="117" t="n">
        <f aca="false">SUMIFS(الريسبي!$C$2:$C$1800,الريسبي!$A$2:$A$1800,$A71,الريسبي!$B$2:$B$1800,BD$1)</f>
        <v>0</v>
      </c>
      <c r="BE71" s="117" t="n">
        <f aca="false">SUMIFS(الريسبي!$C$2:$C$1800,الريسبي!$A$2:$A$1800,$A71,الريسبي!$B$2:$B$1800,BE$1)</f>
        <v>0</v>
      </c>
      <c r="BF71" s="117" t="n">
        <f aca="false">SUMIFS(الريسبي!$C$2:$C$1800,الريسبي!$A$2:$A$1800,$A71,الريسبي!$B$2:$B$1800,BF$1)</f>
        <v>0</v>
      </c>
      <c r="BG71" s="117" t="n">
        <f aca="false">SUMIFS(الريسبي!$C$2:$C$1800,الريسبي!$A$2:$A$1800,$A71,الريسبي!$B$2:$B$1800,BG$1)</f>
        <v>0</v>
      </c>
      <c r="BH71" s="117" t="n">
        <f aca="false">SUMIFS(الريسبي!$C$2:$C$1800,الريسبي!$A$2:$A$1800,$A71,الريسبي!$B$2:$B$1800,BH$1)</f>
        <v>0</v>
      </c>
      <c r="BI71" s="117" t="n">
        <f aca="false">SUMIFS(الريسبي!$C$2:$C$1800,الريسبي!$A$2:$A$1800,$A71,الريسبي!$B$2:$B$1800,BI$1)</f>
        <v>1</v>
      </c>
      <c r="BJ71" s="117" t="n">
        <f aca="false">SUMIFS(الريسبي!$C$2:$C$1800,الريسبي!$A$2:$A$1800,$A71,الريسبي!$B$2:$B$1800,BJ$1)</f>
        <v>0</v>
      </c>
      <c r="BK71" s="117" t="n">
        <f aca="false">SUMIFS(الريسبي!$C$2:$C$1800,الريسبي!$A$2:$A$1800,$A71,الريسبي!$B$2:$B$1800,BK$1)</f>
        <v>0</v>
      </c>
      <c r="BL71" s="117" t="n">
        <f aca="false">SUMIFS(الريسبي!$C$2:$C$1800,الريسبي!$A$2:$A$1800,$A71,الريسبي!$B$2:$B$1800,BL$1)</f>
        <v>0</v>
      </c>
      <c r="BM71" s="117" t="n">
        <f aca="false">SUMIFS(الريسبي!$C$2:$C$1800,الريسبي!$A$2:$A$1800,$A71,الريسبي!$B$2:$B$1800,BM$1)</f>
        <v>0</v>
      </c>
      <c r="BN71" s="117" t="n">
        <f aca="false">SUMIFS(الريسبي!$C$2:$C$1800,الريسبي!$A$2:$A$1800,$A71,الريسبي!$B$2:$B$1800,BN$1)</f>
        <v>0</v>
      </c>
      <c r="BO71" s="117" t="n">
        <f aca="false">SUMIFS(الريسبي!$C$2:$C$1800,الريسبي!$A$2:$A$1800,$A71,الريسبي!$B$2:$B$1800,BO$1)</f>
        <v>0</v>
      </c>
      <c r="BP71" s="117" t="n">
        <f aca="false">SUMIFS(الريسبي!$C$2:$C$1800,الريسبي!$A$2:$A$1800,$A71,الريسبي!$B$2:$B$1800,BP$1)</f>
        <v>1</v>
      </c>
      <c r="BQ71" s="117" t="n">
        <f aca="false">SUMIFS(الريسبي!$C$2:$C$1800,الريسبي!$A$2:$A$1800,$A71,الريسبي!$B$2:$B$1800,BQ$1)+0.17*SUMIFS(الريسبي!$C$2:$C$1800,الريسبي!$A$2:$A$1800,$A71,الريسبي!$B$2:$B$1800,"كاسترد مصنع (خليط بودر + لبن)")+0.17*SUMIFS(الريسبي!$C$2:$C$1800,الريسبي!$A$2:$A$1800,$A71,الريسبي!$B$2:$B$1800,"كاسترد مصنع صيامي (بدون لبن)")</f>
        <v>0</v>
      </c>
      <c r="BR71" s="117" t="n">
        <f aca="false">SUMIFS(الريسبي!$C$2:$C$1800,الريسبي!$A$2:$A$1800,$A71,الريسبي!$B$2:$B$1800,BR$1)</f>
        <v>0</v>
      </c>
      <c r="BS71" s="117" t="n">
        <f aca="false">SUMIFS(الريسبي!$C$2:$C$1800,الريسبي!$A$2:$A$1800,$A71,الريسبي!$B$2:$B$1800,BS$1)</f>
        <v>0</v>
      </c>
      <c r="BT71" s="117" t="n">
        <f aca="false">SUMIFS(الريسبي!$C$2:$C$1800,الريسبي!$A$2:$A$1800,$A71,الريسبي!$B$2:$B$1800,BT$1)</f>
        <v>0</v>
      </c>
      <c r="BU71" s="117" t="n">
        <f aca="false">SUMIFS(الريسبي!$C$2:$C$1800,الريسبي!$A$2:$A$1800,$A71,الريسبي!$B$2:$B$1800,BU$1)+0.4*SUMIFS(الريسبي!$C$2:$C$1800,الريسبي!$A$2:$A$1800,$A71,الريسبي!$B$2:$B$1800,"كاسترد مصنع (خليط بودر + لبن)")+0.03333333333*SUMIFS(الريسبي!$C$2:$C$1800,الريسبي!$A$2:$A$1800,$A71,الريسبي!$B$2:$B$1800,"عجين كريب (مصنع بالمطعم)")</f>
        <v>0</v>
      </c>
      <c r="BV71" s="117" t="n">
        <f aca="false">SUMIFS(الريسبي!$C$2:$C$1800,الريسبي!$A$2:$A$1800,$A71,الريسبي!$B$2:$B$1800,BV$1)</f>
        <v>0</v>
      </c>
      <c r="BW71" s="117" t="n">
        <f aca="false">SUMIFS(الريسبي!$C$2:$C$1800,الريسبي!$A$2:$A$1800,$A71,الريسبي!$B$2:$B$1800,BW$1)</f>
        <v>0</v>
      </c>
      <c r="BX71" s="117" t="n">
        <f aca="false">SUMIFS(الريسبي!$C$2:$C$1800,الريسبي!$A$2:$A$1800,$A71,الريسبي!$B$2:$B$1800,BX$1)</f>
        <v>0</v>
      </c>
      <c r="BY71" s="117" t="n">
        <f aca="false">SUMIFS(الريسبي!$C$2:$C$1800,الريسبي!$A$2:$A$1800,$A71,الريسبي!$B$2:$B$1800,BY$1)</f>
        <v>0</v>
      </c>
      <c r="BZ71" s="117" t="n">
        <f aca="false">SUMIFS(الريسبي!$C$2:$C$1800,الريسبي!$A$2:$A$1800,$A71,الريسبي!$B$2:$B$1800,BZ$1)</f>
        <v>0</v>
      </c>
      <c r="CA71" s="117" t="n">
        <f aca="false">SUMIFS(الريسبي!$C$2:$C$1800,الريسبي!$A$2:$A$1800,$A71,الريسبي!$B$2:$B$1800,CA$1)</f>
        <v>0</v>
      </c>
      <c r="CB71" s="117" t="n">
        <f aca="false">SUMIFS(الريسبي!$C$2:$C$1800,الريسبي!$A$2:$A$1800,$A71,الريسبي!$B$2:$B$1800,CB$1)</f>
        <v>0</v>
      </c>
      <c r="CC71" s="117" t="n">
        <f aca="false">SUMIFS(الريسبي!$C$2:$C$1800,الريسبي!$A$2:$A$1800,$A71,الريسبي!$B$2:$B$1800,CC$1)</f>
        <v>0</v>
      </c>
      <c r="CD71" s="117" t="n">
        <f aca="false">SUMIFS(الريسبي!$C$2:$C$1800,الريسبي!$A$2:$A$1800,$A71,الريسبي!$B$2:$B$1800,CD$1)</f>
        <v>0</v>
      </c>
      <c r="CE71" s="117" t="n">
        <f aca="false">SUMIFS(الريسبي!$C$2:$C$1800,الريسبي!$A$2:$A$1800,$A71,الريسبي!$B$2:$B$1800,CE$1)</f>
        <v>0</v>
      </c>
      <c r="CF71" s="117" t="n">
        <f aca="false">SUMIFS(الريسبي!$C$2:$C$1800,الريسبي!$A$2:$A$1800,$A71,الريسبي!$B$2:$B$1800,CF$1)</f>
        <v>0</v>
      </c>
      <c r="CG71" s="117" t="n">
        <f aca="false">SUMIFS(الريسبي!$C$2:$C$1800,الريسبي!$A$2:$A$1800,$A71,الريسبي!$B$2:$B$1800,CG$1)</f>
        <v>0</v>
      </c>
      <c r="CH71" s="117" t="n">
        <f aca="false">SUMIFS(الريسبي!$C$2:$C$1800,الريسبي!$A$2:$A$1800,$A71,الريسبي!$B$2:$B$1800,CH$1)</f>
        <v>0</v>
      </c>
      <c r="CI71" s="117" t="n">
        <f aca="false">SUMIFS(الريسبي!$C$2:$C$1800,الريسبي!$A$2:$A$1800,$A71,الريسبي!$B$2:$B$1800,CI$1)</f>
        <v>0</v>
      </c>
      <c r="CJ71" s="117" t="n">
        <f aca="false">SUMIFS(الريسبي!$C$2:$C$1800,الريسبي!$A$2:$A$1800,$A71,الريسبي!$B$2:$B$1800,CJ$1)</f>
        <v>0</v>
      </c>
      <c r="CK71" s="117" t="n">
        <f aca="false">SUMIFS(الريسبي!$C$2:$C$1800,الريسبي!$A$2:$A$1800,$A71,الريسبي!$B$2:$B$1800,CK$1)</f>
        <v>0</v>
      </c>
      <c r="CL71" s="117" t="n">
        <f aca="false">SUMIFS(الريسبي!$C$2:$C$1800,الريسبي!$A$2:$A$1800,$A71,الريسبي!$B$2:$B$1800,CL$1)</f>
        <v>0</v>
      </c>
    </row>
    <row r="72" customFormat="false" ht="15" hidden="false" customHeight="false" outlineLevel="0" collapsed="false">
      <c r="A72" s="116" t="str">
        <f aca="false">المنيو!B72</f>
        <v>باكت بطاطس كبير</v>
      </c>
      <c r="B72" s="117" t="n">
        <f aca="false">SUMIFS(الريسبي!$C$2:$C$1800,الريسبي!$A$2:$A$1800,$A72,الريسبي!$B$2:$B$1800,B$1)</f>
        <v>0</v>
      </c>
      <c r="C72" s="117" t="n">
        <f aca="false">SUMIFS(الريسبي!$C$2:$C$1800,الريسبي!$A$2:$A$1800,$A72,الريسبي!$B$2:$B$1800,C$1)</f>
        <v>0</v>
      </c>
      <c r="D72" s="117" t="n">
        <f aca="false">SUMIFS(الريسبي!$C$2:$C$1800,الريسبي!$A$2:$A$1800,$A72,الريسبي!$B$2:$B$1800,D$1)</f>
        <v>0</v>
      </c>
      <c r="E72" s="117" t="n">
        <f aca="false">SUMIFS(الريسبي!$C$2:$C$1800,الريسبي!$A$2:$A$1800,$A72,الريسبي!$B$2:$B$1800,E$1)</f>
        <v>0</v>
      </c>
      <c r="F72" s="117" t="n">
        <f aca="false">SUMIFS(الريسبي!$C$2:$C$1800,الريسبي!$A$2:$A$1800,$A72,الريسبي!$B$2:$B$1800,F$1)</f>
        <v>0</v>
      </c>
      <c r="G72" s="117" t="n">
        <f aca="false">SUMIFS(الريسبي!$C$2:$C$1800,الريسبي!$A$2:$A$1800,$A72,الريسبي!$B$2:$B$1800,G$1)</f>
        <v>0</v>
      </c>
      <c r="H72" s="117" t="n">
        <f aca="false">SUMIFS(الريسبي!$C$2:$C$1800,الريسبي!$A$2:$A$1800,$A72,الريسبي!$B$2:$B$1800,H$1)</f>
        <v>0</v>
      </c>
      <c r="I72" s="117" t="n">
        <f aca="false">SUMIFS(الريسبي!$C$2:$C$1800,الريسبي!$A$2:$A$1800,$A72,الريسبي!$B$2:$B$1800,I$1)</f>
        <v>3</v>
      </c>
      <c r="J72" s="117" t="n">
        <f aca="false">SUMIFS(الريسبي!$C$2:$C$1800,الريسبي!$A$2:$A$1800,$A72,الريسبي!$B$2:$B$1800,J$1)</f>
        <v>0</v>
      </c>
      <c r="K72" s="117" t="n">
        <f aca="false">SUMIFS(الريسبي!$C$2:$C$1800,الريسبي!$A$2:$A$1800,$A72,الريسبي!$B$2:$B$1800,K$1)</f>
        <v>0</v>
      </c>
      <c r="L72" s="117" t="n">
        <f aca="false">SUMIFS(الريسبي!$C$2:$C$1800,الريسبي!$A$2:$A$1800,$A72,الريسبي!$B$2:$B$1800,L$1)</f>
        <v>0</v>
      </c>
      <c r="M72" s="117" t="n">
        <f aca="false">SUMIFS(الريسبي!$C$2:$C$1800,الريسبي!$A$2:$A$1800,$A72,الريسبي!$B$2:$B$1800,M$1)</f>
        <v>0</v>
      </c>
      <c r="N72" s="117" t="n">
        <f aca="false">SUMIFS(الريسبي!$C$2:$C$1800,الريسبي!$A$2:$A$1800,$A72,الريسبي!$B$2:$B$1800,N$1)</f>
        <v>0</v>
      </c>
      <c r="O72" s="117" t="n">
        <f aca="false">SUMIFS(الريسبي!$C$2:$C$1800,الريسبي!$A$2:$A$1800,$A72,الريسبي!$B$2:$B$1800,O$1)</f>
        <v>0</v>
      </c>
      <c r="P72" s="117" t="n">
        <f aca="false">SUMIFS(الريسبي!$C$2:$C$1800,الريسبي!$A$2:$A$1800,$A72,الريسبي!$B$2:$B$1800,P$1)</f>
        <v>0</v>
      </c>
      <c r="Q72" s="117" t="n">
        <f aca="false">SUMIFS(الريسبي!$C$2:$C$1800,الريسبي!$A$2:$A$1800,$A72,الريسبي!$B$2:$B$1800,Q$1)</f>
        <v>0</v>
      </c>
      <c r="R72" s="117" t="n">
        <f aca="false">SUMIFS(الريسبي!$C$2:$C$1800,الريسبي!$A$2:$A$1800,$A72,الريسبي!$B$2:$B$1800,R$1)</f>
        <v>0</v>
      </c>
      <c r="S72" s="117" t="n">
        <f aca="false">SUMIFS(الريسبي!$C$2:$C$1800,الريسبي!$A$2:$A$1800,$A72,الريسبي!$B$2:$B$1800,S$1)</f>
        <v>0</v>
      </c>
      <c r="T72" s="117" t="n">
        <f aca="false">SUMIFS(الريسبي!$C$2:$C$1800,الريسبي!$A$2:$A$1800,$A72,الريسبي!$B$2:$B$1800,T$1)</f>
        <v>0</v>
      </c>
      <c r="U72" s="117" t="n">
        <f aca="false">SUMIFS(الريسبي!$C$2:$C$1800,الريسبي!$A$2:$A$1800,$A72,الريسبي!$B$2:$B$1800,U$1)</f>
        <v>0</v>
      </c>
      <c r="V72" s="117" t="n">
        <f aca="false">SUMIFS(الريسبي!$C$2:$C$1800,الريسبي!$A$2:$A$1800,$A72,الريسبي!$B$2:$B$1800,V$1)</f>
        <v>0</v>
      </c>
      <c r="W72" s="117" t="n">
        <f aca="false">SUMIFS(الريسبي!$C$2:$C$1800,الريسبي!$A$2:$A$1800,$A72,الريسبي!$B$2:$B$1800,W$1)</f>
        <v>0</v>
      </c>
      <c r="X72" s="117" t="n">
        <f aca="false">SUMIFS(الريسبي!$C$2:$C$1800,الريسبي!$A$2:$A$1800,$A72,الريسبي!$B$2:$B$1800,X$1)</f>
        <v>0</v>
      </c>
      <c r="Y72" s="117" t="n">
        <f aca="false">SUMIFS(الريسبي!$C$2:$C$1800,الريسبي!$A$2:$A$1800,$A72,الريسبي!$B$2:$B$1800,Y$1)</f>
        <v>0</v>
      </c>
      <c r="Z72" s="117" t="n">
        <f aca="false">SUMIFS(الريسبي!$C$2:$C$1800,الريسبي!$A$2:$A$1800,$A72,الريسبي!$B$2:$B$1800,Z$1)</f>
        <v>0</v>
      </c>
      <c r="AA72" s="117" t="n">
        <f aca="false">SUMIFS(الريسبي!$C$2:$C$1800,الريسبي!$A$2:$A$1800,$A72,الريسبي!$B$2:$B$1800,AA$1)</f>
        <v>0</v>
      </c>
      <c r="AB72" s="117" t="n">
        <f aca="false">SUMIFS(الريسبي!$C$2:$C$1800,الريسبي!$A$2:$A$1800,$A72,الريسبي!$B$2:$B$1800,AB$1)</f>
        <v>0</v>
      </c>
      <c r="AC72" s="117" t="n">
        <f aca="false">SUMIFS(الريسبي!$C$2:$C$1800,الريسبي!$A$2:$A$1800,$A72,الريسبي!$B$2:$B$1800,AC$1)</f>
        <v>0</v>
      </c>
      <c r="AD72" s="117" t="n">
        <f aca="false">SUMIFS(الريسبي!$C$2:$C$1800,الريسبي!$A$2:$A$1800,$A72,الريسبي!$B$2:$B$1800,AD$1)</f>
        <v>0</v>
      </c>
      <c r="AE72" s="117" t="n">
        <f aca="false">SUMIFS(الريسبي!$C$2:$C$1800,الريسبي!$A$2:$A$1800,$A72,الريسبي!$B$2:$B$1800,AE$1)</f>
        <v>0</v>
      </c>
      <c r="AF72" s="117" t="n">
        <f aca="false">SUMIFS(الريسبي!$C$2:$C$1800,الريسبي!$A$2:$A$1800,$A72,الريسبي!$B$2:$B$1800,AF$1)</f>
        <v>0</v>
      </c>
      <c r="AG72" s="117" t="n">
        <f aca="false">SUMIFS(الريسبي!$C$2:$C$1800,الريسبي!$A$2:$A$1800,$A72,الريسبي!$B$2:$B$1800,AG$1)</f>
        <v>0</v>
      </c>
      <c r="AH72" s="117" t="n">
        <f aca="false">SUMIFS(الريسبي!$C$2:$C$1800,الريسبي!$A$2:$A$1800,$A72,الريسبي!$B$2:$B$1800,AH$1)</f>
        <v>0</v>
      </c>
      <c r="AI72" s="117" t="n">
        <f aca="false">SUMIFS(الريسبي!$C$2:$C$1800,الريسبي!$A$2:$A$1800,$A72,الريسبي!$B$2:$B$1800,AI$1)</f>
        <v>0</v>
      </c>
      <c r="AJ72" s="117" t="n">
        <f aca="false">SUMIFS(الريسبي!$C$2:$C$1800,الريسبي!$A$2:$A$1800,$A72,الريسبي!$B$2:$B$1800,AJ$1)</f>
        <v>0</v>
      </c>
      <c r="AK72" s="117" t="n">
        <f aca="false">SUMIFS(الريسبي!$C$2:$C$1800,الريسبي!$A$2:$A$1800,$A72,الريسبي!$B$2:$B$1800,AK$1)</f>
        <v>0</v>
      </c>
      <c r="AL72" s="117" t="n">
        <f aca="false">SUMIFS(الريسبي!$C$2:$C$1800,الريسبي!$A$2:$A$1800,$A72,الريسبي!$B$2:$B$1800,AL$1)</f>
        <v>0</v>
      </c>
      <c r="AM72" s="117" t="n">
        <f aca="false">SUMIFS(الريسبي!$C$2:$C$1800,الريسبي!$A$2:$A$1800,$A72,الريسبي!$B$2:$B$1800,AM$1)+0.08333333333*SUMIFS(الريسبي!$C$2:$C$1800,الريسبي!$A$2:$A$1800,$A72,الريسبي!$B$2:$B$1800,"عجين كريب (مصنع بالمطعم)")+0.08333333333*SUMIFS(الريسبي!$C$2:$C$1800,الريسبي!$A$2:$A$1800,$A72,الريسبي!$B$2:$B$1800,"عجين كريب صيامي (بدون لبن)")</f>
        <v>0</v>
      </c>
      <c r="AN72" s="117" t="n">
        <f aca="false">SUMIFS(الريسبي!$C$2:$C$1800,الريسبي!$A$2:$A$1800,$A72,الريسبي!$B$2:$B$1800,AN$1)+0.004166666667*SUMIFS(الريسبي!$C$2:$C$1800,الريسبي!$A$2:$A$1800,$A72,الريسبي!$B$2:$B$1800,"عجين كريب (مصنع بالمطعم)")+0.004166666667*SUMIFS(الريسبي!$C$2:$C$1800,الريسبي!$A$2:$A$1800,$A72,الريسبي!$B$2:$B$1800,"عجين كريب صيامي (بدون لبن)")</f>
        <v>0</v>
      </c>
      <c r="AO72" s="117" t="n">
        <f aca="false">SUMIFS(الريسبي!$C$2:$C$1800,الريسبي!$A$2:$A$1800,$A72,الريسبي!$B$2:$B$1800,AO$1)</f>
        <v>0</v>
      </c>
      <c r="AP72" s="117" t="n">
        <f aca="false">SUMIFS(الريسبي!$C$2:$C$1800,الريسبي!$A$2:$A$1800,$A72,الريسبي!$B$2:$B$1800,AP$1)</f>
        <v>0</v>
      </c>
      <c r="AQ72" s="117" t="n">
        <f aca="false">SUMIFS(الريسبي!$C$2:$C$1800,الريسبي!$A$2:$A$1800,$A72,الريسبي!$B$2:$B$1800,AQ$1)+0.004166666667*SUMIFS(الريسبي!$C$2:$C$1800,الريسبي!$A$2:$A$1800,$A72,الريسبي!$B$2:$B$1800,"عجين كريب (مصنع بالمطعم)")+0.004166666667*SUMIFS(الريسبي!$C$2:$C$1800,الريسبي!$A$2:$A$1800,$A72,الريسبي!$B$2:$B$1800,"عجين كريب صيامي (بدون لبن)")</f>
        <v>0</v>
      </c>
      <c r="AR72" s="117" t="n">
        <f aca="false">SUMIFS(الريسبي!$C$2:$C$1800,الريسبي!$A$2:$A$1800,$A72,الريسبي!$B$2:$B$1800,AR$1)</f>
        <v>0</v>
      </c>
      <c r="AS72" s="117" t="n">
        <f aca="false">SUMIFS(الريسبي!$C$2:$C$1800,الريسبي!$A$2:$A$1800,$A72,الريسبي!$B$2:$B$1800,AS$1)</f>
        <v>0</v>
      </c>
      <c r="AT72" s="117" t="n">
        <f aca="false">SUMIFS(الريسبي!$C$2:$C$1800,الريسبي!$A$2:$A$1800,$A72,الريسبي!$B$2:$B$1800,AT$1)</f>
        <v>0</v>
      </c>
      <c r="AU72" s="117" t="n">
        <f aca="false">SUMIFS(الريسبي!$C$2:$C$1800,الريسبي!$A$2:$A$1800,$A72,الريسبي!$B$2:$B$1800,AU$1)</f>
        <v>0</v>
      </c>
      <c r="AV72" s="117" t="n">
        <f aca="false">SUMIFS(الريسبي!$C$2:$C$1800,الريسبي!$A$2:$A$1800,$A72,الريسبي!$B$2:$B$1800,AV$1)</f>
        <v>0</v>
      </c>
      <c r="AW72" s="117" t="n">
        <f aca="false">SUMIFS(الريسبي!$C$2:$C$1800,الريسبي!$A$2:$A$1800,$A72,الريسبي!$B$2:$B$1800,AW$1)</f>
        <v>0</v>
      </c>
      <c r="AX72" s="117" t="n">
        <f aca="false">SUMIFS(الريسبي!$C$2:$C$1800,الريسبي!$A$2:$A$1800,$A72,الريسبي!$B$2:$B$1800,AX$1)</f>
        <v>0</v>
      </c>
      <c r="AY72" s="117" t="n">
        <f aca="false">SUMIFS(الريسبي!$C$2:$C$1800,الريسبي!$A$2:$A$1800,$A72,الريسبي!$B$2:$B$1800,AY$1)</f>
        <v>0</v>
      </c>
      <c r="AZ72" s="117" t="n">
        <f aca="false">SUMIFS(الريسبي!$C$2:$C$1800,الريسبي!$A$2:$A$1800,$A72,الريسبي!$B$2:$B$1800,AZ$1)</f>
        <v>0</v>
      </c>
      <c r="BA72" s="117" t="n">
        <f aca="false">SUMIFS(الريسبي!$C$2:$C$1800,الريسبي!$A$2:$A$1800,$A72,الريسبي!$B$2:$B$1800,BA$1)</f>
        <v>0</v>
      </c>
      <c r="BB72" s="117" t="n">
        <f aca="false">SUMIFS(الريسبي!$C$2:$C$1800,الريسبي!$A$2:$A$1800,$A72,الريسبي!$B$2:$B$1800,BB$1)</f>
        <v>0</v>
      </c>
      <c r="BC72" s="117" t="n">
        <f aca="false">SUMIFS(الريسبي!$C$2:$C$1800,الريسبي!$A$2:$A$1800,$A72,الريسبي!$B$2:$B$1800,BC$1)</f>
        <v>0</v>
      </c>
      <c r="BD72" s="117" t="n">
        <f aca="false">SUMIFS(الريسبي!$C$2:$C$1800,الريسبي!$A$2:$A$1800,$A72,الريسبي!$B$2:$B$1800,BD$1)</f>
        <v>0</v>
      </c>
      <c r="BE72" s="117" t="n">
        <f aca="false">SUMIFS(الريسبي!$C$2:$C$1800,الريسبي!$A$2:$A$1800,$A72,الريسبي!$B$2:$B$1800,BE$1)</f>
        <v>0</v>
      </c>
      <c r="BF72" s="117" t="n">
        <f aca="false">SUMIFS(الريسبي!$C$2:$C$1800,الريسبي!$A$2:$A$1800,$A72,الريسبي!$B$2:$B$1800,BF$1)</f>
        <v>0</v>
      </c>
      <c r="BG72" s="117" t="n">
        <f aca="false">SUMIFS(الريسبي!$C$2:$C$1800,الريسبي!$A$2:$A$1800,$A72,الريسبي!$B$2:$B$1800,BG$1)</f>
        <v>0</v>
      </c>
      <c r="BH72" s="117" t="n">
        <f aca="false">SUMIFS(الريسبي!$C$2:$C$1800,الريسبي!$A$2:$A$1800,$A72,الريسبي!$B$2:$B$1800,BH$1)</f>
        <v>0</v>
      </c>
      <c r="BI72" s="117" t="n">
        <f aca="false">SUMIFS(الريسبي!$C$2:$C$1800,الريسبي!$A$2:$A$1800,$A72,الريسبي!$B$2:$B$1800,BI$1)</f>
        <v>0</v>
      </c>
      <c r="BJ72" s="117" t="n">
        <f aca="false">SUMIFS(الريسبي!$C$2:$C$1800,الريسبي!$A$2:$A$1800,$A72,الريسبي!$B$2:$B$1800,BJ$1)</f>
        <v>1</v>
      </c>
      <c r="BK72" s="117" t="n">
        <f aca="false">SUMIFS(الريسبي!$C$2:$C$1800,الريسبي!$A$2:$A$1800,$A72,الريسبي!$B$2:$B$1800,BK$1)</f>
        <v>0</v>
      </c>
      <c r="BL72" s="117" t="n">
        <f aca="false">SUMIFS(الريسبي!$C$2:$C$1800,الريسبي!$A$2:$A$1800,$A72,الريسبي!$B$2:$B$1800,BL$1)</f>
        <v>0</v>
      </c>
      <c r="BM72" s="117" t="n">
        <f aca="false">SUMIFS(الريسبي!$C$2:$C$1800,الريسبي!$A$2:$A$1800,$A72,الريسبي!$B$2:$B$1800,BM$1)</f>
        <v>0</v>
      </c>
      <c r="BN72" s="117" t="n">
        <f aca="false">SUMIFS(الريسبي!$C$2:$C$1800,الريسبي!$A$2:$A$1800,$A72,الريسبي!$B$2:$B$1800,BN$1)</f>
        <v>0</v>
      </c>
      <c r="BO72" s="117" t="n">
        <f aca="false">SUMIFS(الريسبي!$C$2:$C$1800,الريسبي!$A$2:$A$1800,$A72,الريسبي!$B$2:$B$1800,BO$1)</f>
        <v>0</v>
      </c>
      <c r="BP72" s="117" t="n">
        <f aca="false">SUMIFS(الريسبي!$C$2:$C$1800,الريسبي!$A$2:$A$1800,$A72,الريسبي!$B$2:$B$1800,BP$1)</f>
        <v>2</v>
      </c>
      <c r="BQ72" s="117" t="n">
        <f aca="false">SUMIFS(الريسبي!$C$2:$C$1800,الريسبي!$A$2:$A$1800,$A72,الريسبي!$B$2:$B$1800,BQ$1)+0.17*SUMIFS(الريسبي!$C$2:$C$1800,الريسبي!$A$2:$A$1800,$A72,الريسبي!$B$2:$B$1800,"كاسترد مصنع (خليط بودر + لبن)")+0.17*SUMIFS(الريسبي!$C$2:$C$1800,الريسبي!$A$2:$A$1800,$A72,الريسبي!$B$2:$B$1800,"كاسترد مصنع صيامي (بدون لبن)")</f>
        <v>0</v>
      </c>
      <c r="BR72" s="117" t="n">
        <f aca="false">SUMIFS(الريسبي!$C$2:$C$1800,الريسبي!$A$2:$A$1800,$A72,الريسبي!$B$2:$B$1800,BR$1)</f>
        <v>0</v>
      </c>
      <c r="BS72" s="117" t="n">
        <f aca="false">SUMIFS(الريسبي!$C$2:$C$1800,الريسبي!$A$2:$A$1800,$A72,الريسبي!$B$2:$B$1800,BS$1)</f>
        <v>0</v>
      </c>
      <c r="BT72" s="117" t="n">
        <f aca="false">SUMIFS(الريسبي!$C$2:$C$1800,الريسبي!$A$2:$A$1800,$A72,الريسبي!$B$2:$B$1800,BT$1)</f>
        <v>0</v>
      </c>
      <c r="BU72" s="117" t="n">
        <f aca="false">SUMIFS(الريسبي!$C$2:$C$1800,الريسبي!$A$2:$A$1800,$A72,الريسبي!$B$2:$B$1800,BU$1)+0.4*SUMIFS(الريسبي!$C$2:$C$1800,الريسبي!$A$2:$A$1800,$A72,الريسبي!$B$2:$B$1800,"كاسترد مصنع (خليط بودر + لبن)")+0.03333333333*SUMIFS(الريسبي!$C$2:$C$1800,الريسبي!$A$2:$A$1800,$A72,الريسبي!$B$2:$B$1800,"عجين كريب (مصنع بالمطعم)")</f>
        <v>0</v>
      </c>
      <c r="BV72" s="117" t="n">
        <f aca="false">SUMIFS(الريسبي!$C$2:$C$1800,الريسبي!$A$2:$A$1800,$A72,الريسبي!$B$2:$B$1800,BV$1)</f>
        <v>0</v>
      </c>
      <c r="BW72" s="117" t="n">
        <f aca="false">SUMIFS(الريسبي!$C$2:$C$1800,الريسبي!$A$2:$A$1800,$A72,الريسبي!$B$2:$B$1800,BW$1)</f>
        <v>0</v>
      </c>
      <c r="BX72" s="117" t="n">
        <f aca="false">SUMIFS(الريسبي!$C$2:$C$1800,الريسبي!$A$2:$A$1800,$A72,الريسبي!$B$2:$B$1800,BX$1)</f>
        <v>0</v>
      </c>
      <c r="BY72" s="117" t="n">
        <f aca="false">SUMIFS(الريسبي!$C$2:$C$1800,الريسبي!$A$2:$A$1800,$A72,الريسبي!$B$2:$B$1800,BY$1)</f>
        <v>0</v>
      </c>
      <c r="BZ72" s="117" t="n">
        <f aca="false">SUMIFS(الريسبي!$C$2:$C$1800,الريسبي!$A$2:$A$1800,$A72,الريسبي!$B$2:$B$1800,BZ$1)</f>
        <v>0</v>
      </c>
      <c r="CA72" s="117" t="n">
        <f aca="false">SUMIFS(الريسبي!$C$2:$C$1800,الريسبي!$A$2:$A$1800,$A72,الريسبي!$B$2:$B$1800,CA$1)</f>
        <v>0</v>
      </c>
      <c r="CB72" s="117" t="n">
        <f aca="false">SUMIFS(الريسبي!$C$2:$C$1800,الريسبي!$A$2:$A$1800,$A72,الريسبي!$B$2:$B$1800,CB$1)</f>
        <v>0</v>
      </c>
      <c r="CC72" s="117" t="n">
        <f aca="false">SUMIFS(الريسبي!$C$2:$C$1800,الريسبي!$A$2:$A$1800,$A72,الريسبي!$B$2:$B$1800,CC$1)</f>
        <v>0</v>
      </c>
      <c r="CD72" s="117" t="n">
        <f aca="false">SUMIFS(الريسبي!$C$2:$C$1800,الريسبي!$A$2:$A$1800,$A72,الريسبي!$B$2:$B$1800,CD$1)</f>
        <v>0</v>
      </c>
      <c r="CE72" s="117" t="n">
        <f aca="false">SUMIFS(الريسبي!$C$2:$C$1800,الريسبي!$A$2:$A$1800,$A72,الريسبي!$B$2:$B$1800,CE$1)</f>
        <v>0</v>
      </c>
      <c r="CF72" s="117" t="n">
        <f aca="false">SUMIFS(الريسبي!$C$2:$C$1800,الريسبي!$A$2:$A$1800,$A72,الريسبي!$B$2:$B$1800,CF$1)</f>
        <v>0</v>
      </c>
      <c r="CG72" s="117" t="n">
        <f aca="false">SUMIFS(الريسبي!$C$2:$C$1800,الريسبي!$A$2:$A$1800,$A72,الريسبي!$B$2:$B$1800,CG$1)</f>
        <v>0</v>
      </c>
      <c r="CH72" s="117" t="n">
        <f aca="false">SUMIFS(الريسبي!$C$2:$C$1800,الريسبي!$A$2:$A$1800,$A72,الريسبي!$B$2:$B$1800,CH$1)</f>
        <v>0</v>
      </c>
      <c r="CI72" s="117" t="n">
        <f aca="false">SUMIFS(الريسبي!$C$2:$C$1800,الريسبي!$A$2:$A$1800,$A72,الريسبي!$B$2:$B$1800,CI$1)</f>
        <v>0</v>
      </c>
      <c r="CJ72" s="117" t="n">
        <f aca="false">SUMIFS(الريسبي!$C$2:$C$1800,الريسبي!$A$2:$A$1800,$A72,الريسبي!$B$2:$B$1800,CJ$1)</f>
        <v>0</v>
      </c>
      <c r="CK72" s="117" t="n">
        <f aca="false">SUMIFS(الريسبي!$C$2:$C$1800,الريسبي!$A$2:$A$1800,$A72,الريسبي!$B$2:$B$1800,CK$1)</f>
        <v>0</v>
      </c>
      <c r="CL72" s="117" t="n">
        <f aca="false">SUMIFS(الريسبي!$C$2:$C$1800,الريسبي!$A$2:$A$1800,$A72,الريسبي!$B$2:$B$1800,CL$1)</f>
        <v>0</v>
      </c>
    </row>
    <row r="73" customFormat="false" ht="15" hidden="false" customHeight="false" outlineLevel="0" collapsed="false">
      <c r="A73" s="116" t="str">
        <f aca="false">المنيو!B73</f>
        <v>باكت بطاطس جبنة (وسط)</v>
      </c>
      <c r="B73" s="117" t="n">
        <f aca="false">SUMIFS(الريسبي!$C$2:$C$1800,الريسبي!$A$2:$A$1800,$A73,الريسبي!$B$2:$B$1800,B$1)</f>
        <v>0</v>
      </c>
      <c r="C73" s="117" t="n">
        <f aca="false">SUMIFS(الريسبي!$C$2:$C$1800,الريسبي!$A$2:$A$1800,$A73,الريسبي!$B$2:$B$1800,C$1)</f>
        <v>0</v>
      </c>
      <c r="D73" s="117" t="n">
        <f aca="false">SUMIFS(الريسبي!$C$2:$C$1800,الريسبي!$A$2:$A$1800,$A73,الريسبي!$B$2:$B$1800,D$1)</f>
        <v>0</v>
      </c>
      <c r="E73" s="117" t="n">
        <f aca="false">SUMIFS(الريسبي!$C$2:$C$1800,الريسبي!$A$2:$A$1800,$A73,الريسبي!$B$2:$B$1800,E$1)</f>
        <v>0</v>
      </c>
      <c r="F73" s="117" t="n">
        <f aca="false">SUMIFS(الريسبي!$C$2:$C$1800,الريسبي!$A$2:$A$1800,$A73,الريسبي!$B$2:$B$1800,F$1)</f>
        <v>0</v>
      </c>
      <c r="G73" s="117" t="n">
        <f aca="false">SUMIFS(الريسبي!$C$2:$C$1800,الريسبي!$A$2:$A$1800,$A73,الريسبي!$B$2:$B$1800,G$1)</f>
        <v>0</v>
      </c>
      <c r="H73" s="117" t="n">
        <f aca="false">SUMIFS(الريسبي!$C$2:$C$1800,الريسبي!$A$2:$A$1800,$A73,الريسبي!$B$2:$B$1800,H$1)</f>
        <v>0</v>
      </c>
      <c r="I73" s="117" t="n">
        <f aca="false">SUMIFS(الريسبي!$C$2:$C$1800,الريسبي!$A$2:$A$1800,$A73,الريسبي!$B$2:$B$1800,I$1)</f>
        <v>1.5</v>
      </c>
      <c r="J73" s="117" t="n">
        <f aca="false">SUMIFS(الريسبي!$C$2:$C$1800,الريسبي!$A$2:$A$1800,$A73,الريسبي!$B$2:$B$1800,J$1)</f>
        <v>0</v>
      </c>
      <c r="K73" s="117" t="n">
        <f aca="false">SUMIFS(الريسبي!$C$2:$C$1800,الريسبي!$A$2:$A$1800,$A73,الريسبي!$B$2:$B$1800,K$1)</f>
        <v>0</v>
      </c>
      <c r="L73" s="117" t="n">
        <f aca="false">SUMIFS(الريسبي!$C$2:$C$1800,الريسبي!$A$2:$A$1800,$A73,الريسبي!$B$2:$B$1800,L$1)</f>
        <v>0</v>
      </c>
      <c r="M73" s="117" t="n">
        <f aca="false">SUMIFS(الريسبي!$C$2:$C$1800,الريسبي!$A$2:$A$1800,$A73,الريسبي!$B$2:$B$1800,M$1)</f>
        <v>0</v>
      </c>
      <c r="N73" s="117" t="n">
        <f aca="false">SUMIFS(الريسبي!$C$2:$C$1800,الريسبي!$A$2:$A$1800,$A73,الريسبي!$B$2:$B$1800,N$1)</f>
        <v>0</v>
      </c>
      <c r="O73" s="117" t="n">
        <f aca="false">SUMIFS(الريسبي!$C$2:$C$1800,الريسبي!$A$2:$A$1800,$A73,الريسبي!$B$2:$B$1800,O$1)</f>
        <v>0</v>
      </c>
      <c r="P73" s="117" t="n">
        <f aca="false">SUMIFS(الريسبي!$C$2:$C$1800,الريسبي!$A$2:$A$1800,$A73,الريسبي!$B$2:$B$1800,P$1)</f>
        <v>0</v>
      </c>
      <c r="Q73" s="117" t="n">
        <f aca="false">SUMIFS(الريسبي!$C$2:$C$1800,الريسبي!$A$2:$A$1800,$A73,الريسبي!$B$2:$B$1800,Q$1)</f>
        <v>0</v>
      </c>
      <c r="R73" s="117" t="n">
        <f aca="false">SUMIFS(الريسبي!$C$2:$C$1800,الريسبي!$A$2:$A$1800,$A73,الريسبي!$B$2:$B$1800,R$1)</f>
        <v>0</v>
      </c>
      <c r="S73" s="117" t="n">
        <f aca="false">SUMIFS(الريسبي!$C$2:$C$1800,الريسبي!$A$2:$A$1800,$A73,الريسبي!$B$2:$B$1800,S$1)</f>
        <v>0</v>
      </c>
      <c r="T73" s="117" t="n">
        <f aca="false">SUMIFS(الريسبي!$C$2:$C$1800,الريسبي!$A$2:$A$1800,$A73,الريسبي!$B$2:$B$1800,T$1)</f>
        <v>0</v>
      </c>
      <c r="U73" s="117" t="n">
        <f aca="false">SUMIFS(الريسبي!$C$2:$C$1800,الريسبي!$A$2:$A$1800,$A73,الريسبي!$B$2:$B$1800,U$1)</f>
        <v>0</v>
      </c>
      <c r="V73" s="117" t="n">
        <f aca="false">SUMIFS(الريسبي!$C$2:$C$1800,الريسبي!$A$2:$A$1800,$A73,الريسبي!$B$2:$B$1800,V$1)</f>
        <v>0</v>
      </c>
      <c r="W73" s="117" t="n">
        <f aca="false">SUMIFS(الريسبي!$C$2:$C$1800,الريسبي!$A$2:$A$1800,$A73,الريسبي!$B$2:$B$1800,W$1)</f>
        <v>0</v>
      </c>
      <c r="X73" s="117" t="n">
        <f aca="false">SUMIFS(الريسبي!$C$2:$C$1800,الريسبي!$A$2:$A$1800,$A73,الريسبي!$B$2:$B$1800,X$1)</f>
        <v>0</v>
      </c>
      <c r="Y73" s="117" t="n">
        <f aca="false">SUMIFS(الريسبي!$C$2:$C$1800,الريسبي!$A$2:$A$1800,$A73,الريسبي!$B$2:$B$1800,Y$1)</f>
        <v>0</v>
      </c>
      <c r="Z73" s="117" t="n">
        <f aca="false">SUMIFS(الريسبي!$C$2:$C$1800,الريسبي!$A$2:$A$1800,$A73,الريسبي!$B$2:$B$1800,Z$1)</f>
        <v>0</v>
      </c>
      <c r="AA73" s="117" t="n">
        <f aca="false">SUMIFS(الريسبي!$C$2:$C$1800,الريسبي!$A$2:$A$1800,$A73,الريسبي!$B$2:$B$1800,AA$1)</f>
        <v>0</v>
      </c>
      <c r="AB73" s="117" t="n">
        <f aca="false">SUMIFS(الريسبي!$C$2:$C$1800,الريسبي!$A$2:$A$1800,$A73,الريسبي!$B$2:$B$1800,AB$1)</f>
        <v>0</v>
      </c>
      <c r="AC73" s="117" t="n">
        <f aca="false">SUMIFS(الريسبي!$C$2:$C$1800,الريسبي!$A$2:$A$1800,$A73,الريسبي!$B$2:$B$1800,AC$1)</f>
        <v>0</v>
      </c>
      <c r="AD73" s="117" t="n">
        <f aca="false">SUMIFS(الريسبي!$C$2:$C$1800,الريسبي!$A$2:$A$1800,$A73,الريسبي!$B$2:$B$1800,AD$1)</f>
        <v>0</v>
      </c>
      <c r="AE73" s="117" t="n">
        <f aca="false">SUMIFS(الريسبي!$C$2:$C$1800,الريسبي!$A$2:$A$1800,$A73,الريسبي!$B$2:$B$1800,AE$1)</f>
        <v>0</v>
      </c>
      <c r="AF73" s="117" t="n">
        <f aca="false">SUMIFS(الريسبي!$C$2:$C$1800,الريسبي!$A$2:$A$1800,$A73,الريسبي!$B$2:$B$1800,AF$1)</f>
        <v>0</v>
      </c>
      <c r="AG73" s="117" t="n">
        <f aca="false">SUMIFS(الريسبي!$C$2:$C$1800,الريسبي!$A$2:$A$1800,$A73,الريسبي!$B$2:$B$1800,AG$1)</f>
        <v>0</v>
      </c>
      <c r="AH73" s="117" t="n">
        <f aca="false">SUMIFS(الريسبي!$C$2:$C$1800,الريسبي!$A$2:$A$1800,$A73,الريسبي!$B$2:$B$1800,AH$1)</f>
        <v>0</v>
      </c>
      <c r="AI73" s="117" t="n">
        <f aca="false">SUMIFS(الريسبي!$C$2:$C$1800,الريسبي!$A$2:$A$1800,$A73,الريسبي!$B$2:$B$1800,AI$1)</f>
        <v>0</v>
      </c>
      <c r="AJ73" s="117" t="n">
        <f aca="false">SUMIFS(الريسبي!$C$2:$C$1800,الريسبي!$A$2:$A$1800,$A73,الريسبي!$B$2:$B$1800,AJ$1)</f>
        <v>0</v>
      </c>
      <c r="AK73" s="117" t="n">
        <f aca="false">SUMIFS(الريسبي!$C$2:$C$1800,الريسبي!$A$2:$A$1800,$A73,الريسبي!$B$2:$B$1800,AK$1)</f>
        <v>0</v>
      </c>
      <c r="AL73" s="117" t="n">
        <f aca="false">SUMIFS(الريسبي!$C$2:$C$1800,الريسبي!$A$2:$A$1800,$A73,الريسبي!$B$2:$B$1800,AL$1)</f>
        <v>0</v>
      </c>
      <c r="AM73" s="117" t="n">
        <f aca="false">SUMIFS(الريسبي!$C$2:$C$1800,الريسبي!$A$2:$A$1800,$A73,الريسبي!$B$2:$B$1800,AM$1)+0.08333333333*SUMIFS(الريسبي!$C$2:$C$1800,الريسبي!$A$2:$A$1800,$A73,الريسبي!$B$2:$B$1800,"عجين كريب (مصنع بالمطعم)")+0.08333333333*SUMIFS(الريسبي!$C$2:$C$1800,الريسبي!$A$2:$A$1800,$A73,الريسبي!$B$2:$B$1800,"عجين كريب صيامي (بدون لبن)")</f>
        <v>0</v>
      </c>
      <c r="AN73" s="117" t="n">
        <f aca="false">SUMIFS(الريسبي!$C$2:$C$1800,الريسبي!$A$2:$A$1800,$A73,الريسبي!$B$2:$B$1800,AN$1)+0.004166666667*SUMIFS(الريسبي!$C$2:$C$1800,الريسبي!$A$2:$A$1800,$A73,الريسبي!$B$2:$B$1800,"عجين كريب (مصنع بالمطعم)")+0.004166666667*SUMIFS(الريسبي!$C$2:$C$1800,الريسبي!$A$2:$A$1800,$A73,الريسبي!$B$2:$B$1800,"عجين كريب صيامي (بدون لبن)")</f>
        <v>0</v>
      </c>
      <c r="AO73" s="117" t="n">
        <f aca="false">SUMIFS(الريسبي!$C$2:$C$1800,الريسبي!$A$2:$A$1800,$A73,الريسبي!$B$2:$B$1800,AO$1)</f>
        <v>0</v>
      </c>
      <c r="AP73" s="117" t="n">
        <f aca="false">SUMIFS(الريسبي!$C$2:$C$1800,الريسبي!$A$2:$A$1800,$A73,الريسبي!$B$2:$B$1800,AP$1)</f>
        <v>0</v>
      </c>
      <c r="AQ73" s="117" t="n">
        <f aca="false">SUMIFS(الريسبي!$C$2:$C$1800,الريسبي!$A$2:$A$1800,$A73,الريسبي!$B$2:$B$1800,AQ$1)+0.004166666667*SUMIFS(الريسبي!$C$2:$C$1800,الريسبي!$A$2:$A$1800,$A73,الريسبي!$B$2:$B$1800,"عجين كريب (مصنع بالمطعم)")+0.004166666667*SUMIFS(الريسبي!$C$2:$C$1800,الريسبي!$A$2:$A$1800,$A73,الريسبي!$B$2:$B$1800,"عجين كريب صيامي (بدون لبن)")</f>
        <v>0</v>
      </c>
      <c r="AR73" s="117" t="n">
        <f aca="false">SUMIFS(الريسبي!$C$2:$C$1800,الريسبي!$A$2:$A$1800,$A73,الريسبي!$B$2:$B$1800,AR$1)</f>
        <v>0</v>
      </c>
      <c r="AS73" s="117" t="n">
        <f aca="false">SUMIFS(الريسبي!$C$2:$C$1800,الريسبي!$A$2:$A$1800,$A73,الريسبي!$B$2:$B$1800,AS$1)</f>
        <v>0</v>
      </c>
      <c r="AT73" s="117" t="n">
        <f aca="false">SUMIFS(الريسبي!$C$2:$C$1800,الريسبي!$A$2:$A$1800,$A73,الريسبي!$B$2:$B$1800,AT$1)</f>
        <v>0</v>
      </c>
      <c r="AU73" s="117" t="n">
        <f aca="false">SUMIFS(الريسبي!$C$2:$C$1800,الريسبي!$A$2:$A$1800,$A73,الريسبي!$B$2:$B$1800,AU$1)</f>
        <v>0</v>
      </c>
      <c r="AV73" s="117" t="n">
        <f aca="false">SUMIFS(الريسبي!$C$2:$C$1800,الريسبي!$A$2:$A$1800,$A73,الريسبي!$B$2:$B$1800,AV$1)</f>
        <v>0</v>
      </c>
      <c r="AW73" s="117" t="n">
        <f aca="false">SUMIFS(الريسبي!$C$2:$C$1800,الريسبي!$A$2:$A$1800,$A73,الريسبي!$B$2:$B$1800,AW$1)</f>
        <v>0</v>
      </c>
      <c r="AX73" s="117" t="n">
        <f aca="false">SUMIFS(الريسبي!$C$2:$C$1800,الريسبي!$A$2:$A$1800,$A73,الريسبي!$B$2:$B$1800,AX$1)</f>
        <v>0</v>
      </c>
      <c r="AY73" s="117" t="n">
        <f aca="false">SUMIFS(الريسبي!$C$2:$C$1800,الريسبي!$A$2:$A$1800,$A73,الريسبي!$B$2:$B$1800,AY$1)</f>
        <v>0</v>
      </c>
      <c r="AZ73" s="117" t="n">
        <f aca="false">SUMIFS(الريسبي!$C$2:$C$1800,الريسبي!$A$2:$A$1800,$A73,الريسبي!$B$2:$B$1800,AZ$1)</f>
        <v>0</v>
      </c>
      <c r="BA73" s="117" t="n">
        <f aca="false">SUMIFS(الريسبي!$C$2:$C$1800,الريسبي!$A$2:$A$1800,$A73,الريسبي!$B$2:$B$1800,BA$1)</f>
        <v>0</v>
      </c>
      <c r="BB73" s="117" t="n">
        <f aca="false">SUMIFS(الريسبي!$C$2:$C$1800,الريسبي!$A$2:$A$1800,$A73,الريسبي!$B$2:$B$1800,BB$1)</f>
        <v>0.05</v>
      </c>
      <c r="BC73" s="117" t="n">
        <f aca="false">SUMIFS(الريسبي!$C$2:$C$1800,الريسبي!$A$2:$A$1800,$A73,الريسبي!$B$2:$B$1800,BC$1)</f>
        <v>0</v>
      </c>
      <c r="BD73" s="117" t="n">
        <f aca="false">SUMIFS(الريسبي!$C$2:$C$1800,الريسبي!$A$2:$A$1800,$A73,الريسبي!$B$2:$B$1800,BD$1)</f>
        <v>0</v>
      </c>
      <c r="BE73" s="117" t="n">
        <f aca="false">SUMIFS(الريسبي!$C$2:$C$1800,الريسبي!$A$2:$A$1800,$A73,الريسبي!$B$2:$B$1800,BE$1)</f>
        <v>0</v>
      </c>
      <c r="BF73" s="117" t="n">
        <f aca="false">SUMIFS(الريسبي!$C$2:$C$1800,الريسبي!$A$2:$A$1800,$A73,الريسبي!$B$2:$B$1800,BF$1)</f>
        <v>0</v>
      </c>
      <c r="BG73" s="117" t="n">
        <f aca="false">SUMIFS(الريسبي!$C$2:$C$1800,الريسبي!$A$2:$A$1800,$A73,الريسبي!$B$2:$B$1800,BG$1)</f>
        <v>0</v>
      </c>
      <c r="BH73" s="117" t="n">
        <f aca="false">SUMIFS(الريسبي!$C$2:$C$1800,الريسبي!$A$2:$A$1800,$A73,الريسبي!$B$2:$B$1800,BH$1)</f>
        <v>0</v>
      </c>
      <c r="BI73" s="117" t="n">
        <f aca="false">SUMIFS(الريسبي!$C$2:$C$1800,الريسبي!$A$2:$A$1800,$A73,الريسبي!$B$2:$B$1800,BI$1)</f>
        <v>1</v>
      </c>
      <c r="BJ73" s="117" t="n">
        <f aca="false">SUMIFS(الريسبي!$C$2:$C$1800,الريسبي!$A$2:$A$1800,$A73,الريسبي!$B$2:$B$1800,BJ$1)</f>
        <v>0</v>
      </c>
      <c r="BK73" s="117" t="n">
        <f aca="false">SUMIFS(الريسبي!$C$2:$C$1800,الريسبي!$A$2:$A$1800,$A73,الريسبي!$B$2:$B$1800,BK$1)</f>
        <v>0</v>
      </c>
      <c r="BL73" s="117" t="n">
        <f aca="false">SUMIFS(الريسبي!$C$2:$C$1800,الريسبي!$A$2:$A$1800,$A73,الريسبي!$B$2:$B$1800,BL$1)</f>
        <v>0</v>
      </c>
      <c r="BM73" s="117" t="n">
        <f aca="false">SUMIFS(الريسبي!$C$2:$C$1800,الريسبي!$A$2:$A$1800,$A73,الريسبي!$B$2:$B$1800,BM$1)</f>
        <v>0</v>
      </c>
      <c r="BN73" s="117" t="n">
        <f aca="false">SUMIFS(الريسبي!$C$2:$C$1800,الريسبي!$A$2:$A$1800,$A73,الريسبي!$B$2:$B$1800,BN$1)</f>
        <v>0</v>
      </c>
      <c r="BO73" s="117" t="n">
        <f aca="false">SUMIFS(الريسبي!$C$2:$C$1800,الريسبي!$A$2:$A$1800,$A73,الريسبي!$B$2:$B$1800,BO$1)</f>
        <v>0</v>
      </c>
      <c r="BP73" s="117" t="n">
        <f aca="false">SUMIFS(الريسبي!$C$2:$C$1800,الريسبي!$A$2:$A$1800,$A73,الريسبي!$B$2:$B$1800,BP$1)</f>
        <v>1</v>
      </c>
      <c r="BQ73" s="117" t="n">
        <f aca="false">SUMIFS(الريسبي!$C$2:$C$1800,الريسبي!$A$2:$A$1800,$A73,الريسبي!$B$2:$B$1800,BQ$1)+0.17*SUMIFS(الريسبي!$C$2:$C$1800,الريسبي!$A$2:$A$1800,$A73,الريسبي!$B$2:$B$1800,"كاسترد مصنع (خليط بودر + لبن)")+0.17*SUMIFS(الريسبي!$C$2:$C$1800,الريسبي!$A$2:$A$1800,$A73,الريسبي!$B$2:$B$1800,"كاسترد مصنع صيامي (بدون لبن)")</f>
        <v>0</v>
      </c>
      <c r="BR73" s="117" t="n">
        <f aca="false">SUMIFS(الريسبي!$C$2:$C$1800,الريسبي!$A$2:$A$1800,$A73,الريسبي!$B$2:$B$1800,BR$1)</f>
        <v>0</v>
      </c>
      <c r="BS73" s="117" t="n">
        <f aca="false">SUMIFS(الريسبي!$C$2:$C$1800,الريسبي!$A$2:$A$1800,$A73,الريسبي!$B$2:$B$1800,BS$1)</f>
        <v>0</v>
      </c>
      <c r="BT73" s="117" t="n">
        <f aca="false">SUMIFS(الريسبي!$C$2:$C$1800,الريسبي!$A$2:$A$1800,$A73,الريسبي!$B$2:$B$1800,BT$1)</f>
        <v>0</v>
      </c>
      <c r="BU73" s="117" t="n">
        <f aca="false">SUMIFS(الريسبي!$C$2:$C$1800,الريسبي!$A$2:$A$1800,$A73,الريسبي!$B$2:$B$1800,BU$1)+0.4*SUMIFS(الريسبي!$C$2:$C$1800,الريسبي!$A$2:$A$1800,$A73,الريسبي!$B$2:$B$1800,"كاسترد مصنع (خليط بودر + لبن)")+0.03333333333*SUMIFS(الريسبي!$C$2:$C$1800,الريسبي!$A$2:$A$1800,$A73,الريسبي!$B$2:$B$1800,"عجين كريب (مصنع بالمطعم)")</f>
        <v>0</v>
      </c>
      <c r="BV73" s="117" t="n">
        <f aca="false">SUMIFS(الريسبي!$C$2:$C$1800,الريسبي!$A$2:$A$1800,$A73,الريسبي!$B$2:$B$1800,BV$1)</f>
        <v>0</v>
      </c>
      <c r="BW73" s="117" t="n">
        <f aca="false">SUMIFS(الريسبي!$C$2:$C$1800,الريسبي!$A$2:$A$1800,$A73,الريسبي!$B$2:$B$1800,BW$1)</f>
        <v>0</v>
      </c>
      <c r="BX73" s="117" t="n">
        <f aca="false">SUMIFS(الريسبي!$C$2:$C$1800,الريسبي!$A$2:$A$1800,$A73,الريسبي!$B$2:$B$1800,BX$1)</f>
        <v>0</v>
      </c>
      <c r="BY73" s="117" t="n">
        <f aca="false">SUMIFS(الريسبي!$C$2:$C$1800,الريسبي!$A$2:$A$1800,$A73,الريسبي!$B$2:$B$1800,BY$1)</f>
        <v>0</v>
      </c>
      <c r="BZ73" s="117" t="n">
        <f aca="false">SUMIFS(الريسبي!$C$2:$C$1800,الريسبي!$A$2:$A$1800,$A73,الريسبي!$B$2:$B$1800,BZ$1)</f>
        <v>0</v>
      </c>
      <c r="CA73" s="117" t="n">
        <f aca="false">SUMIFS(الريسبي!$C$2:$C$1800,الريسبي!$A$2:$A$1800,$A73,الريسبي!$B$2:$B$1800,CA$1)</f>
        <v>0</v>
      </c>
      <c r="CB73" s="117" t="n">
        <f aca="false">SUMIFS(الريسبي!$C$2:$C$1800,الريسبي!$A$2:$A$1800,$A73,الريسبي!$B$2:$B$1800,CB$1)</f>
        <v>0</v>
      </c>
      <c r="CC73" s="117" t="n">
        <f aca="false">SUMIFS(الريسبي!$C$2:$C$1800,الريسبي!$A$2:$A$1800,$A73,الريسبي!$B$2:$B$1800,CC$1)</f>
        <v>0</v>
      </c>
      <c r="CD73" s="117" t="n">
        <f aca="false">SUMIFS(الريسبي!$C$2:$C$1800,الريسبي!$A$2:$A$1800,$A73,الريسبي!$B$2:$B$1800,CD$1)</f>
        <v>0</v>
      </c>
      <c r="CE73" s="117" t="n">
        <f aca="false">SUMIFS(الريسبي!$C$2:$C$1800,الريسبي!$A$2:$A$1800,$A73,الريسبي!$B$2:$B$1800,CE$1)</f>
        <v>0</v>
      </c>
      <c r="CF73" s="117" t="n">
        <f aca="false">SUMIFS(الريسبي!$C$2:$C$1800,الريسبي!$A$2:$A$1800,$A73,الريسبي!$B$2:$B$1800,CF$1)</f>
        <v>0</v>
      </c>
      <c r="CG73" s="117" t="n">
        <f aca="false">SUMIFS(الريسبي!$C$2:$C$1800,الريسبي!$A$2:$A$1800,$A73,الريسبي!$B$2:$B$1800,CG$1)</f>
        <v>0</v>
      </c>
      <c r="CH73" s="117" t="n">
        <f aca="false">SUMIFS(الريسبي!$C$2:$C$1800,الريسبي!$A$2:$A$1800,$A73,الريسبي!$B$2:$B$1800,CH$1)</f>
        <v>0</v>
      </c>
      <c r="CI73" s="117" t="n">
        <f aca="false">SUMIFS(الريسبي!$C$2:$C$1800,الريسبي!$A$2:$A$1800,$A73,الريسبي!$B$2:$B$1800,CI$1)</f>
        <v>0</v>
      </c>
      <c r="CJ73" s="117" t="n">
        <f aca="false">SUMIFS(الريسبي!$C$2:$C$1800,الريسبي!$A$2:$A$1800,$A73,الريسبي!$B$2:$B$1800,CJ$1)</f>
        <v>0</v>
      </c>
      <c r="CK73" s="117" t="n">
        <f aca="false">SUMIFS(الريسبي!$C$2:$C$1800,الريسبي!$A$2:$A$1800,$A73,الريسبي!$B$2:$B$1800,CK$1)</f>
        <v>0</v>
      </c>
      <c r="CL73" s="117" t="n">
        <f aca="false">SUMIFS(الريسبي!$C$2:$C$1800,الريسبي!$A$2:$A$1800,$A73,الريسبي!$B$2:$B$1800,CL$1)</f>
        <v>0</v>
      </c>
    </row>
    <row r="74" customFormat="false" ht="15" hidden="false" customHeight="false" outlineLevel="0" collapsed="false">
      <c r="A74" s="116" t="str">
        <f aca="false">المنيو!B74</f>
        <v>باكت بطاطس جبنة (كبير)</v>
      </c>
      <c r="B74" s="117" t="n">
        <f aca="false">SUMIFS(الريسبي!$C$2:$C$1800,الريسبي!$A$2:$A$1800,$A74,الريسبي!$B$2:$B$1800,B$1)</f>
        <v>0</v>
      </c>
      <c r="C74" s="117" t="n">
        <f aca="false">SUMIFS(الريسبي!$C$2:$C$1800,الريسبي!$A$2:$A$1800,$A74,الريسبي!$B$2:$B$1800,C$1)</f>
        <v>0</v>
      </c>
      <c r="D74" s="117" t="n">
        <f aca="false">SUMIFS(الريسبي!$C$2:$C$1800,الريسبي!$A$2:$A$1800,$A74,الريسبي!$B$2:$B$1800,D$1)</f>
        <v>0</v>
      </c>
      <c r="E74" s="117" t="n">
        <f aca="false">SUMIFS(الريسبي!$C$2:$C$1800,الريسبي!$A$2:$A$1800,$A74,الريسبي!$B$2:$B$1800,E$1)</f>
        <v>0</v>
      </c>
      <c r="F74" s="117" t="n">
        <f aca="false">SUMIFS(الريسبي!$C$2:$C$1800,الريسبي!$A$2:$A$1800,$A74,الريسبي!$B$2:$B$1800,F$1)</f>
        <v>0</v>
      </c>
      <c r="G74" s="117" t="n">
        <f aca="false">SUMIFS(الريسبي!$C$2:$C$1800,الريسبي!$A$2:$A$1800,$A74,الريسبي!$B$2:$B$1800,G$1)</f>
        <v>0</v>
      </c>
      <c r="H74" s="117" t="n">
        <f aca="false">SUMIFS(الريسبي!$C$2:$C$1800,الريسبي!$A$2:$A$1800,$A74,الريسبي!$B$2:$B$1800,H$1)</f>
        <v>0</v>
      </c>
      <c r="I74" s="117" t="n">
        <f aca="false">SUMIFS(الريسبي!$C$2:$C$1800,الريسبي!$A$2:$A$1800,$A74,الريسبي!$B$2:$B$1800,I$1)</f>
        <v>3</v>
      </c>
      <c r="J74" s="117" t="n">
        <f aca="false">SUMIFS(الريسبي!$C$2:$C$1800,الريسبي!$A$2:$A$1800,$A74,الريسبي!$B$2:$B$1800,J$1)</f>
        <v>0</v>
      </c>
      <c r="K74" s="117" t="n">
        <f aca="false">SUMIFS(الريسبي!$C$2:$C$1800,الريسبي!$A$2:$A$1800,$A74,الريسبي!$B$2:$B$1800,K$1)</f>
        <v>0</v>
      </c>
      <c r="L74" s="117" t="n">
        <f aca="false">SUMIFS(الريسبي!$C$2:$C$1800,الريسبي!$A$2:$A$1800,$A74,الريسبي!$B$2:$B$1800,L$1)</f>
        <v>0</v>
      </c>
      <c r="M74" s="117" t="n">
        <f aca="false">SUMIFS(الريسبي!$C$2:$C$1800,الريسبي!$A$2:$A$1800,$A74,الريسبي!$B$2:$B$1800,M$1)</f>
        <v>0</v>
      </c>
      <c r="N74" s="117" t="n">
        <f aca="false">SUMIFS(الريسبي!$C$2:$C$1800,الريسبي!$A$2:$A$1800,$A74,الريسبي!$B$2:$B$1800,N$1)</f>
        <v>0</v>
      </c>
      <c r="O74" s="117" t="n">
        <f aca="false">SUMIFS(الريسبي!$C$2:$C$1800,الريسبي!$A$2:$A$1800,$A74,الريسبي!$B$2:$B$1800,O$1)</f>
        <v>0</v>
      </c>
      <c r="P74" s="117" t="n">
        <f aca="false">SUMIFS(الريسبي!$C$2:$C$1800,الريسبي!$A$2:$A$1800,$A74,الريسبي!$B$2:$B$1800,P$1)</f>
        <v>0</v>
      </c>
      <c r="Q74" s="117" t="n">
        <f aca="false">SUMIFS(الريسبي!$C$2:$C$1800,الريسبي!$A$2:$A$1800,$A74,الريسبي!$B$2:$B$1800,Q$1)</f>
        <v>0</v>
      </c>
      <c r="R74" s="117" t="n">
        <f aca="false">SUMIFS(الريسبي!$C$2:$C$1800,الريسبي!$A$2:$A$1800,$A74,الريسبي!$B$2:$B$1800,R$1)</f>
        <v>0</v>
      </c>
      <c r="S74" s="117" t="n">
        <f aca="false">SUMIFS(الريسبي!$C$2:$C$1800,الريسبي!$A$2:$A$1800,$A74,الريسبي!$B$2:$B$1800,S$1)</f>
        <v>0</v>
      </c>
      <c r="T74" s="117" t="n">
        <f aca="false">SUMIFS(الريسبي!$C$2:$C$1800,الريسبي!$A$2:$A$1800,$A74,الريسبي!$B$2:$B$1800,T$1)</f>
        <v>0</v>
      </c>
      <c r="U74" s="117" t="n">
        <f aca="false">SUMIFS(الريسبي!$C$2:$C$1800,الريسبي!$A$2:$A$1800,$A74,الريسبي!$B$2:$B$1800,U$1)</f>
        <v>0</v>
      </c>
      <c r="V74" s="117" t="n">
        <f aca="false">SUMIFS(الريسبي!$C$2:$C$1800,الريسبي!$A$2:$A$1800,$A74,الريسبي!$B$2:$B$1800,V$1)</f>
        <v>0</v>
      </c>
      <c r="W74" s="117" t="n">
        <f aca="false">SUMIFS(الريسبي!$C$2:$C$1800,الريسبي!$A$2:$A$1800,$A74,الريسبي!$B$2:$B$1800,W$1)</f>
        <v>0</v>
      </c>
      <c r="X74" s="117" t="n">
        <f aca="false">SUMIFS(الريسبي!$C$2:$C$1800,الريسبي!$A$2:$A$1800,$A74,الريسبي!$B$2:$B$1800,X$1)</f>
        <v>0</v>
      </c>
      <c r="Y74" s="117" t="n">
        <f aca="false">SUMIFS(الريسبي!$C$2:$C$1800,الريسبي!$A$2:$A$1800,$A74,الريسبي!$B$2:$B$1800,Y$1)</f>
        <v>0</v>
      </c>
      <c r="Z74" s="117" t="n">
        <f aca="false">SUMIFS(الريسبي!$C$2:$C$1800,الريسبي!$A$2:$A$1800,$A74,الريسبي!$B$2:$B$1800,Z$1)</f>
        <v>0</v>
      </c>
      <c r="AA74" s="117" t="n">
        <f aca="false">SUMIFS(الريسبي!$C$2:$C$1800,الريسبي!$A$2:$A$1800,$A74,الريسبي!$B$2:$B$1800,AA$1)</f>
        <v>0</v>
      </c>
      <c r="AB74" s="117" t="n">
        <f aca="false">SUMIFS(الريسبي!$C$2:$C$1800,الريسبي!$A$2:$A$1800,$A74,الريسبي!$B$2:$B$1800,AB$1)</f>
        <v>0</v>
      </c>
      <c r="AC74" s="117" t="n">
        <f aca="false">SUMIFS(الريسبي!$C$2:$C$1800,الريسبي!$A$2:$A$1800,$A74,الريسبي!$B$2:$B$1800,AC$1)</f>
        <v>0</v>
      </c>
      <c r="AD74" s="117" t="n">
        <f aca="false">SUMIFS(الريسبي!$C$2:$C$1800,الريسبي!$A$2:$A$1800,$A74,الريسبي!$B$2:$B$1800,AD$1)</f>
        <v>0</v>
      </c>
      <c r="AE74" s="117" t="n">
        <f aca="false">SUMIFS(الريسبي!$C$2:$C$1800,الريسبي!$A$2:$A$1800,$A74,الريسبي!$B$2:$B$1800,AE$1)</f>
        <v>0</v>
      </c>
      <c r="AF74" s="117" t="n">
        <f aca="false">SUMIFS(الريسبي!$C$2:$C$1800,الريسبي!$A$2:$A$1800,$A74,الريسبي!$B$2:$B$1800,AF$1)</f>
        <v>0</v>
      </c>
      <c r="AG74" s="117" t="n">
        <f aca="false">SUMIFS(الريسبي!$C$2:$C$1800,الريسبي!$A$2:$A$1800,$A74,الريسبي!$B$2:$B$1800,AG$1)</f>
        <v>0</v>
      </c>
      <c r="AH74" s="117" t="n">
        <f aca="false">SUMIFS(الريسبي!$C$2:$C$1800,الريسبي!$A$2:$A$1800,$A74,الريسبي!$B$2:$B$1800,AH$1)</f>
        <v>0</v>
      </c>
      <c r="AI74" s="117" t="n">
        <f aca="false">SUMIFS(الريسبي!$C$2:$C$1800,الريسبي!$A$2:$A$1800,$A74,الريسبي!$B$2:$B$1800,AI$1)</f>
        <v>0</v>
      </c>
      <c r="AJ74" s="117" t="n">
        <f aca="false">SUMIFS(الريسبي!$C$2:$C$1800,الريسبي!$A$2:$A$1800,$A74,الريسبي!$B$2:$B$1800,AJ$1)</f>
        <v>0</v>
      </c>
      <c r="AK74" s="117" t="n">
        <f aca="false">SUMIFS(الريسبي!$C$2:$C$1800,الريسبي!$A$2:$A$1800,$A74,الريسبي!$B$2:$B$1800,AK$1)</f>
        <v>0</v>
      </c>
      <c r="AL74" s="117" t="n">
        <f aca="false">SUMIFS(الريسبي!$C$2:$C$1800,الريسبي!$A$2:$A$1800,$A74,الريسبي!$B$2:$B$1800,AL$1)</f>
        <v>0</v>
      </c>
      <c r="AM74" s="117" t="n">
        <f aca="false">SUMIFS(الريسبي!$C$2:$C$1800,الريسبي!$A$2:$A$1800,$A74,الريسبي!$B$2:$B$1800,AM$1)+0.08333333333*SUMIFS(الريسبي!$C$2:$C$1800,الريسبي!$A$2:$A$1800,$A74,الريسبي!$B$2:$B$1800,"عجين كريب (مصنع بالمطعم)")+0.08333333333*SUMIFS(الريسبي!$C$2:$C$1800,الريسبي!$A$2:$A$1800,$A74,الريسبي!$B$2:$B$1800,"عجين كريب صيامي (بدون لبن)")</f>
        <v>0</v>
      </c>
      <c r="AN74" s="117" t="n">
        <f aca="false">SUMIFS(الريسبي!$C$2:$C$1800,الريسبي!$A$2:$A$1800,$A74,الريسبي!$B$2:$B$1800,AN$1)+0.004166666667*SUMIFS(الريسبي!$C$2:$C$1800,الريسبي!$A$2:$A$1800,$A74,الريسبي!$B$2:$B$1800,"عجين كريب (مصنع بالمطعم)")+0.004166666667*SUMIFS(الريسبي!$C$2:$C$1800,الريسبي!$A$2:$A$1800,$A74,الريسبي!$B$2:$B$1800,"عجين كريب صيامي (بدون لبن)")</f>
        <v>0</v>
      </c>
      <c r="AO74" s="117" t="n">
        <f aca="false">SUMIFS(الريسبي!$C$2:$C$1800,الريسبي!$A$2:$A$1800,$A74,الريسبي!$B$2:$B$1800,AO$1)</f>
        <v>0</v>
      </c>
      <c r="AP74" s="117" t="n">
        <f aca="false">SUMIFS(الريسبي!$C$2:$C$1800,الريسبي!$A$2:$A$1800,$A74,الريسبي!$B$2:$B$1800,AP$1)</f>
        <v>0</v>
      </c>
      <c r="AQ74" s="117" t="n">
        <f aca="false">SUMIFS(الريسبي!$C$2:$C$1800,الريسبي!$A$2:$A$1800,$A74,الريسبي!$B$2:$B$1800,AQ$1)+0.004166666667*SUMIFS(الريسبي!$C$2:$C$1800,الريسبي!$A$2:$A$1800,$A74,الريسبي!$B$2:$B$1800,"عجين كريب (مصنع بالمطعم)")+0.004166666667*SUMIFS(الريسبي!$C$2:$C$1800,الريسبي!$A$2:$A$1800,$A74,الريسبي!$B$2:$B$1800,"عجين كريب صيامي (بدون لبن)")</f>
        <v>0</v>
      </c>
      <c r="AR74" s="117" t="n">
        <f aca="false">SUMIFS(الريسبي!$C$2:$C$1800,الريسبي!$A$2:$A$1800,$A74,الريسبي!$B$2:$B$1800,AR$1)</f>
        <v>0</v>
      </c>
      <c r="AS74" s="117" t="n">
        <f aca="false">SUMIFS(الريسبي!$C$2:$C$1800,الريسبي!$A$2:$A$1800,$A74,الريسبي!$B$2:$B$1800,AS$1)</f>
        <v>0</v>
      </c>
      <c r="AT74" s="117" t="n">
        <f aca="false">SUMIFS(الريسبي!$C$2:$C$1800,الريسبي!$A$2:$A$1800,$A74,الريسبي!$B$2:$B$1800,AT$1)</f>
        <v>0</v>
      </c>
      <c r="AU74" s="117" t="n">
        <f aca="false">SUMIFS(الريسبي!$C$2:$C$1800,الريسبي!$A$2:$A$1800,$A74,الريسبي!$B$2:$B$1800,AU$1)</f>
        <v>0</v>
      </c>
      <c r="AV74" s="117" t="n">
        <f aca="false">SUMIFS(الريسبي!$C$2:$C$1800,الريسبي!$A$2:$A$1800,$A74,الريسبي!$B$2:$B$1800,AV$1)</f>
        <v>0</v>
      </c>
      <c r="AW74" s="117" t="n">
        <f aca="false">SUMIFS(الريسبي!$C$2:$C$1800,الريسبي!$A$2:$A$1800,$A74,الريسبي!$B$2:$B$1800,AW$1)</f>
        <v>0</v>
      </c>
      <c r="AX74" s="117" t="n">
        <f aca="false">SUMIFS(الريسبي!$C$2:$C$1800,الريسبي!$A$2:$A$1800,$A74,الريسبي!$B$2:$B$1800,AX$1)</f>
        <v>0</v>
      </c>
      <c r="AY74" s="117" t="n">
        <f aca="false">SUMIFS(الريسبي!$C$2:$C$1800,الريسبي!$A$2:$A$1800,$A74,الريسبي!$B$2:$B$1800,AY$1)</f>
        <v>0</v>
      </c>
      <c r="AZ74" s="117" t="n">
        <f aca="false">SUMIFS(الريسبي!$C$2:$C$1800,الريسبي!$A$2:$A$1800,$A74,الريسبي!$B$2:$B$1800,AZ$1)</f>
        <v>0</v>
      </c>
      <c r="BA74" s="117" t="n">
        <f aca="false">SUMIFS(الريسبي!$C$2:$C$1800,الريسبي!$A$2:$A$1800,$A74,الريسبي!$B$2:$B$1800,BA$1)</f>
        <v>0</v>
      </c>
      <c r="BB74" s="117" t="n">
        <f aca="false">SUMIFS(الريسبي!$C$2:$C$1800,الريسبي!$A$2:$A$1800,$A74,الريسبي!$B$2:$B$1800,BB$1)</f>
        <v>0.1</v>
      </c>
      <c r="BC74" s="117" t="n">
        <f aca="false">SUMIFS(الريسبي!$C$2:$C$1800,الريسبي!$A$2:$A$1800,$A74,الريسبي!$B$2:$B$1800,BC$1)</f>
        <v>0</v>
      </c>
      <c r="BD74" s="117" t="n">
        <f aca="false">SUMIFS(الريسبي!$C$2:$C$1800,الريسبي!$A$2:$A$1800,$A74,الريسبي!$B$2:$B$1800,BD$1)</f>
        <v>0</v>
      </c>
      <c r="BE74" s="117" t="n">
        <f aca="false">SUMIFS(الريسبي!$C$2:$C$1800,الريسبي!$A$2:$A$1800,$A74,الريسبي!$B$2:$B$1800,BE$1)</f>
        <v>0</v>
      </c>
      <c r="BF74" s="117" t="n">
        <f aca="false">SUMIFS(الريسبي!$C$2:$C$1800,الريسبي!$A$2:$A$1800,$A74,الريسبي!$B$2:$B$1800,BF$1)</f>
        <v>0</v>
      </c>
      <c r="BG74" s="117" t="n">
        <f aca="false">SUMIFS(الريسبي!$C$2:$C$1800,الريسبي!$A$2:$A$1800,$A74,الريسبي!$B$2:$B$1800,BG$1)</f>
        <v>0</v>
      </c>
      <c r="BH74" s="117" t="n">
        <f aca="false">SUMIFS(الريسبي!$C$2:$C$1800,الريسبي!$A$2:$A$1800,$A74,الريسبي!$B$2:$B$1800,BH$1)</f>
        <v>0</v>
      </c>
      <c r="BI74" s="117" t="n">
        <f aca="false">SUMIFS(الريسبي!$C$2:$C$1800,الريسبي!$A$2:$A$1800,$A74,الريسبي!$B$2:$B$1800,BI$1)</f>
        <v>0</v>
      </c>
      <c r="BJ74" s="117" t="n">
        <f aca="false">SUMIFS(الريسبي!$C$2:$C$1800,الريسبي!$A$2:$A$1800,$A74,الريسبي!$B$2:$B$1800,BJ$1)</f>
        <v>1</v>
      </c>
      <c r="BK74" s="117" t="n">
        <f aca="false">SUMIFS(الريسبي!$C$2:$C$1800,الريسبي!$A$2:$A$1800,$A74,الريسبي!$B$2:$B$1800,BK$1)</f>
        <v>0</v>
      </c>
      <c r="BL74" s="117" t="n">
        <f aca="false">SUMIFS(الريسبي!$C$2:$C$1800,الريسبي!$A$2:$A$1800,$A74,الريسبي!$B$2:$B$1800,BL$1)</f>
        <v>0</v>
      </c>
      <c r="BM74" s="117" t="n">
        <f aca="false">SUMIFS(الريسبي!$C$2:$C$1800,الريسبي!$A$2:$A$1800,$A74,الريسبي!$B$2:$B$1800,BM$1)</f>
        <v>0</v>
      </c>
      <c r="BN74" s="117" t="n">
        <f aca="false">SUMIFS(الريسبي!$C$2:$C$1800,الريسبي!$A$2:$A$1800,$A74,الريسبي!$B$2:$B$1800,BN$1)</f>
        <v>0</v>
      </c>
      <c r="BO74" s="117" t="n">
        <f aca="false">SUMIFS(الريسبي!$C$2:$C$1800,الريسبي!$A$2:$A$1800,$A74,الريسبي!$B$2:$B$1800,BO$1)</f>
        <v>0</v>
      </c>
      <c r="BP74" s="117" t="n">
        <f aca="false">SUMIFS(الريسبي!$C$2:$C$1800,الريسبي!$A$2:$A$1800,$A74,الريسبي!$B$2:$B$1800,BP$1)</f>
        <v>2</v>
      </c>
      <c r="BQ74" s="117" t="n">
        <f aca="false">SUMIFS(الريسبي!$C$2:$C$1800,الريسبي!$A$2:$A$1800,$A74,الريسبي!$B$2:$B$1800,BQ$1)+0.17*SUMIFS(الريسبي!$C$2:$C$1800,الريسبي!$A$2:$A$1800,$A74,الريسبي!$B$2:$B$1800,"كاسترد مصنع (خليط بودر + لبن)")+0.17*SUMIFS(الريسبي!$C$2:$C$1800,الريسبي!$A$2:$A$1800,$A74,الريسبي!$B$2:$B$1800,"كاسترد مصنع صيامي (بدون لبن)")</f>
        <v>0</v>
      </c>
      <c r="BR74" s="117" t="n">
        <f aca="false">SUMIFS(الريسبي!$C$2:$C$1800,الريسبي!$A$2:$A$1800,$A74,الريسبي!$B$2:$B$1800,BR$1)</f>
        <v>0</v>
      </c>
      <c r="BS74" s="117" t="n">
        <f aca="false">SUMIFS(الريسبي!$C$2:$C$1800,الريسبي!$A$2:$A$1800,$A74,الريسبي!$B$2:$B$1800,BS$1)</f>
        <v>0</v>
      </c>
      <c r="BT74" s="117" t="n">
        <f aca="false">SUMIFS(الريسبي!$C$2:$C$1800,الريسبي!$A$2:$A$1800,$A74,الريسبي!$B$2:$B$1800,BT$1)</f>
        <v>0</v>
      </c>
      <c r="BU74" s="117" t="n">
        <f aca="false">SUMIFS(الريسبي!$C$2:$C$1800,الريسبي!$A$2:$A$1800,$A74,الريسبي!$B$2:$B$1800,BU$1)+0.4*SUMIFS(الريسبي!$C$2:$C$1800,الريسبي!$A$2:$A$1800,$A74,الريسبي!$B$2:$B$1800,"كاسترد مصنع (خليط بودر + لبن)")+0.03333333333*SUMIFS(الريسبي!$C$2:$C$1800,الريسبي!$A$2:$A$1800,$A74,الريسبي!$B$2:$B$1800,"عجين كريب (مصنع بالمطعم)")</f>
        <v>0</v>
      </c>
      <c r="BV74" s="117" t="n">
        <f aca="false">SUMIFS(الريسبي!$C$2:$C$1800,الريسبي!$A$2:$A$1800,$A74,الريسبي!$B$2:$B$1800,BV$1)</f>
        <v>0</v>
      </c>
      <c r="BW74" s="117" t="n">
        <f aca="false">SUMIFS(الريسبي!$C$2:$C$1800,الريسبي!$A$2:$A$1800,$A74,الريسبي!$B$2:$B$1800,BW$1)</f>
        <v>0</v>
      </c>
      <c r="BX74" s="117" t="n">
        <f aca="false">SUMIFS(الريسبي!$C$2:$C$1800,الريسبي!$A$2:$A$1800,$A74,الريسبي!$B$2:$B$1800,BX$1)</f>
        <v>0</v>
      </c>
      <c r="BY74" s="117" t="n">
        <f aca="false">SUMIFS(الريسبي!$C$2:$C$1800,الريسبي!$A$2:$A$1800,$A74,الريسبي!$B$2:$B$1800,BY$1)</f>
        <v>0</v>
      </c>
      <c r="BZ74" s="117" t="n">
        <f aca="false">SUMIFS(الريسبي!$C$2:$C$1800,الريسبي!$A$2:$A$1800,$A74,الريسبي!$B$2:$B$1800,BZ$1)</f>
        <v>0</v>
      </c>
      <c r="CA74" s="117" t="n">
        <f aca="false">SUMIFS(الريسبي!$C$2:$C$1800,الريسبي!$A$2:$A$1800,$A74,الريسبي!$B$2:$B$1800,CA$1)</f>
        <v>0</v>
      </c>
      <c r="CB74" s="117" t="n">
        <f aca="false">SUMIFS(الريسبي!$C$2:$C$1800,الريسبي!$A$2:$A$1800,$A74,الريسبي!$B$2:$B$1800,CB$1)</f>
        <v>0</v>
      </c>
      <c r="CC74" s="117" t="n">
        <f aca="false">SUMIFS(الريسبي!$C$2:$C$1800,الريسبي!$A$2:$A$1800,$A74,الريسبي!$B$2:$B$1800,CC$1)</f>
        <v>0</v>
      </c>
      <c r="CD74" s="117" t="n">
        <f aca="false">SUMIFS(الريسبي!$C$2:$C$1800,الريسبي!$A$2:$A$1800,$A74,الريسبي!$B$2:$B$1800,CD$1)</f>
        <v>0</v>
      </c>
      <c r="CE74" s="117" t="n">
        <f aca="false">SUMIFS(الريسبي!$C$2:$C$1800,الريسبي!$A$2:$A$1800,$A74,الريسبي!$B$2:$B$1800,CE$1)</f>
        <v>0</v>
      </c>
      <c r="CF74" s="117" t="n">
        <f aca="false">SUMIFS(الريسبي!$C$2:$C$1800,الريسبي!$A$2:$A$1800,$A74,الريسبي!$B$2:$B$1800,CF$1)</f>
        <v>0</v>
      </c>
      <c r="CG74" s="117" t="n">
        <f aca="false">SUMIFS(الريسبي!$C$2:$C$1800,الريسبي!$A$2:$A$1800,$A74,الريسبي!$B$2:$B$1800,CG$1)</f>
        <v>0</v>
      </c>
      <c r="CH74" s="117" t="n">
        <f aca="false">SUMIFS(الريسبي!$C$2:$C$1800,الريسبي!$A$2:$A$1800,$A74,الريسبي!$B$2:$B$1800,CH$1)</f>
        <v>0</v>
      </c>
      <c r="CI74" s="117" t="n">
        <f aca="false">SUMIFS(الريسبي!$C$2:$C$1800,الريسبي!$A$2:$A$1800,$A74,الريسبي!$B$2:$B$1800,CI$1)</f>
        <v>0</v>
      </c>
      <c r="CJ74" s="117" t="n">
        <f aca="false">SUMIFS(الريسبي!$C$2:$C$1800,الريسبي!$A$2:$A$1800,$A74,الريسبي!$B$2:$B$1800,CJ$1)</f>
        <v>0</v>
      </c>
      <c r="CK74" s="117" t="n">
        <f aca="false">SUMIFS(الريسبي!$C$2:$C$1800,الريسبي!$A$2:$A$1800,$A74,الريسبي!$B$2:$B$1800,CK$1)</f>
        <v>0</v>
      </c>
      <c r="CL74" s="117" t="n">
        <f aca="false">SUMIFS(الريسبي!$C$2:$C$1800,الريسبي!$A$2:$A$1800,$A74,الريسبي!$B$2:$B$1800,CL$1)</f>
        <v>0</v>
      </c>
    </row>
    <row r="75" customFormat="false" ht="15" hidden="false" customHeight="false" outlineLevel="0" collapsed="false">
      <c r="A75" s="116" t="str">
        <f aca="false">المنيو!B75</f>
        <v>بيبسي كانز</v>
      </c>
      <c r="B75" s="117" t="n">
        <f aca="false">SUMIFS(الريسبي!$C$2:$C$1800,الريسبي!$A$2:$A$1800,$A75,الريسبي!$B$2:$B$1800,B$1)</f>
        <v>0</v>
      </c>
      <c r="C75" s="117" t="n">
        <f aca="false">SUMIFS(الريسبي!$C$2:$C$1800,الريسبي!$A$2:$A$1800,$A75,الريسبي!$B$2:$B$1800,C$1)</f>
        <v>0</v>
      </c>
      <c r="D75" s="117" t="n">
        <f aca="false">SUMIFS(الريسبي!$C$2:$C$1800,الريسبي!$A$2:$A$1800,$A75,الريسبي!$B$2:$B$1800,D$1)</f>
        <v>0</v>
      </c>
      <c r="E75" s="117" t="n">
        <f aca="false">SUMIFS(الريسبي!$C$2:$C$1800,الريسبي!$A$2:$A$1800,$A75,الريسبي!$B$2:$B$1800,E$1)</f>
        <v>0</v>
      </c>
      <c r="F75" s="117" t="n">
        <f aca="false">SUMIFS(الريسبي!$C$2:$C$1800,الريسبي!$A$2:$A$1800,$A75,الريسبي!$B$2:$B$1800,F$1)</f>
        <v>0</v>
      </c>
      <c r="G75" s="117" t="n">
        <f aca="false">SUMIFS(الريسبي!$C$2:$C$1800,الريسبي!$A$2:$A$1800,$A75,الريسبي!$B$2:$B$1800,G$1)</f>
        <v>0</v>
      </c>
      <c r="H75" s="117" t="n">
        <f aca="false">SUMIFS(الريسبي!$C$2:$C$1800,الريسبي!$A$2:$A$1800,$A75,الريسبي!$B$2:$B$1800,H$1)</f>
        <v>0</v>
      </c>
      <c r="I75" s="117" t="n">
        <f aca="false">SUMIFS(الريسبي!$C$2:$C$1800,الريسبي!$A$2:$A$1800,$A75,الريسبي!$B$2:$B$1800,I$1)</f>
        <v>0</v>
      </c>
      <c r="J75" s="117" t="n">
        <f aca="false">SUMIFS(الريسبي!$C$2:$C$1800,الريسبي!$A$2:$A$1800,$A75,الريسبي!$B$2:$B$1800,J$1)</f>
        <v>0</v>
      </c>
      <c r="K75" s="117" t="n">
        <f aca="false">SUMIFS(الريسبي!$C$2:$C$1800,الريسبي!$A$2:$A$1800,$A75,الريسبي!$B$2:$B$1800,K$1)</f>
        <v>0</v>
      </c>
      <c r="L75" s="117" t="n">
        <f aca="false">SUMIFS(الريسبي!$C$2:$C$1800,الريسبي!$A$2:$A$1800,$A75,الريسبي!$B$2:$B$1800,L$1)</f>
        <v>0</v>
      </c>
      <c r="M75" s="117" t="n">
        <f aca="false">SUMIFS(الريسبي!$C$2:$C$1800,الريسبي!$A$2:$A$1800,$A75,الريسبي!$B$2:$B$1800,M$1)</f>
        <v>0</v>
      </c>
      <c r="N75" s="117" t="n">
        <f aca="false">SUMIFS(الريسبي!$C$2:$C$1800,الريسبي!$A$2:$A$1800,$A75,الريسبي!$B$2:$B$1800,N$1)</f>
        <v>0</v>
      </c>
      <c r="O75" s="117" t="n">
        <f aca="false">SUMIFS(الريسبي!$C$2:$C$1800,الريسبي!$A$2:$A$1800,$A75,الريسبي!$B$2:$B$1800,O$1)</f>
        <v>0</v>
      </c>
      <c r="P75" s="117" t="n">
        <f aca="false">SUMIFS(الريسبي!$C$2:$C$1800,الريسبي!$A$2:$A$1800,$A75,الريسبي!$B$2:$B$1800,P$1)</f>
        <v>0</v>
      </c>
      <c r="Q75" s="117" t="n">
        <f aca="false">SUMIFS(الريسبي!$C$2:$C$1800,الريسبي!$A$2:$A$1800,$A75,الريسبي!$B$2:$B$1800,Q$1)</f>
        <v>0</v>
      </c>
      <c r="R75" s="117" t="n">
        <f aca="false">SUMIFS(الريسبي!$C$2:$C$1800,الريسبي!$A$2:$A$1800,$A75,الريسبي!$B$2:$B$1800,R$1)</f>
        <v>0</v>
      </c>
      <c r="S75" s="117" t="n">
        <f aca="false">SUMIFS(الريسبي!$C$2:$C$1800,الريسبي!$A$2:$A$1800,$A75,الريسبي!$B$2:$B$1800,S$1)</f>
        <v>0</v>
      </c>
      <c r="T75" s="117" t="n">
        <f aca="false">SUMIFS(الريسبي!$C$2:$C$1800,الريسبي!$A$2:$A$1800,$A75,الريسبي!$B$2:$B$1800,T$1)</f>
        <v>0</v>
      </c>
      <c r="U75" s="117" t="n">
        <f aca="false">SUMIFS(الريسبي!$C$2:$C$1800,الريسبي!$A$2:$A$1800,$A75,الريسبي!$B$2:$B$1800,U$1)</f>
        <v>0</v>
      </c>
      <c r="V75" s="117" t="n">
        <f aca="false">SUMIFS(الريسبي!$C$2:$C$1800,الريسبي!$A$2:$A$1800,$A75,الريسبي!$B$2:$B$1800,V$1)</f>
        <v>0</v>
      </c>
      <c r="W75" s="117" t="n">
        <f aca="false">SUMIFS(الريسبي!$C$2:$C$1800,الريسبي!$A$2:$A$1800,$A75,الريسبي!$B$2:$B$1800,W$1)</f>
        <v>0</v>
      </c>
      <c r="X75" s="117" t="n">
        <f aca="false">SUMIFS(الريسبي!$C$2:$C$1800,الريسبي!$A$2:$A$1800,$A75,الريسبي!$B$2:$B$1800,X$1)</f>
        <v>0</v>
      </c>
      <c r="Y75" s="117" t="n">
        <f aca="false">SUMIFS(الريسبي!$C$2:$C$1800,الريسبي!$A$2:$A$1800,$A75,الريسبي!$B$2:$B$1800,Y$1)</f>
        <v>0</v>
      </c>
      <c r="Z75" s="117" t="n">
        <f aca="false">SUMIFS(الريسبي!$C$2:$C$1800,الريسبي!$A$2:$A$1800,$A75,الريسبي!$B$2:$B$1800,Z$1)</f>
        <v>0</v>
      </c>
      <c r="AA75" s="117" t="n">
        <f aca="false">SUMIFS(الريسبي!$C$2:$C$1800,الريسبي!$A$2:$A$1800,$A75,الريسبي!$B$2:$B$1800,AA$1)</f>
        <v>0</v>
      </c>
      <c r="AB75" s="117" t="n">
        <f aca="false">SUMIFS(الريسبي!$C$2:$C$1800,الريسبي!$A$2:$A$1800,$A75,الريسبي!$B$2:$B$1800,AB$1)</f>
        <v>0</v>
      </c>
      <c r="AC75" s="117" t="n">
        <f aca="false">SUMIFS(الريسبي!$C$2:$C$1800,الريسبي!$A$2:$A$1800,$A75,الريسبي!$B$2:$B$1800,AC$1)</f>
        <v>0</v>
      </c>
      <c r="AD75" s="117" t="n">
        <f aca="false">SUMIFS(الريسبي!$C$2:$C$1800,الريسبي!$A$2:$A$1800,$A75,الريسبي!$B$2:$B$1800,AD$1)</f>
        <v>0</v>
      </c>
      <c r="AE75" s="117" t="n">
        <f aca="false">SUMIFS(الريسبي!$C$2:$C$1800,الريسبي!$A$2:$A$1800,$A75,الريسبي!$B$2:$B$1800,AE$1)</f>
        <v>0</v>
      </c>
      <c r="AF75" s="117" t="n">
        <f aca="false">SUMIFS(الريسبي!$C$2:$C$1800,الريسبي!$A$2:$A$1800,$A75,الريسبي!$B$2:$B$1800,AF$1)</f>
        <v>0</v>
      </c>
      <c r="AG75" s="117" t="n">
        <f aca="false">SUMIFS(الريسبي!$C$2:$C$1800,الريسبي!$A$2:$A$1800,$A75,الريسبي!$B$2:$B$1800,AG$1)</f>
        <v>1</v>
      </c>
      <c r="AH75" s="117" t="n">
        <f aca="false">SUMIFS(الريسبي!$C$2:$C$1800,الريسبي!$A$2:$A$1800,$A75,الريسبي!$B$2:$B$1800,AH$1)</f>
        <v>0</v>
      </c>
      <c r="AI75" s="117" t="n">
        <f aca="false">SUMIFS(الريسبي!$C$2:$C$1800,الريسبي!$A$2:$A$1800,$A75,الريسبي!$B$2:$B$1800,AI$1)</f>
        <v>0</v>
      </c>
      <c r="AJ75" s="117" t="n">
        <f aca="false">SUMIFS(الريسبي!$C$2:$C$1800,الريسبي!$A$2:$A$1800,$A75,الريسبي!$B$2:$B$1800,AJ$1)</f>
        <v>0</v>
      </c>
      <c r="AK75" s="117" t="n">
        <f aca="false">SUMIFS(الريسبي!$C$2:$C$1800,الريسبي!$A$2:$A$1800,$A75,الريسبي!$B$2:$B$1800,AK$1)</f>
        <v>0</v>
      </c>
      <c r="AL75" s="117" t="n">
        <f aca="false">SUMIFS(الريسبي!$C$2:$C$1800,الريسبي!$A$2:$A$1800,$A75,الريسبي!$B$2:$B$1800,AL$1)</f>
        <v>0</v>
      </c>
      <c r="AM75" s="117" t="n">
        <f aca="false">SUMIFS(الريسبي!$C$2:$C$1800,الريسبي!$A$2:$A$1800,$A75,الريسبي!$B$2:$B$1800,AM$1)+0.08333333333*SUMIFS(الريسبي!$C$2:$C$1800,الريسبي!$A$2:$A$1800,$A75,الريسبي!$B$2:$B$1800,"عجين كريب (مصنع بالمطعم)")+0.08333333333*SUMIFS(الريسبي!$C$2:$C$1800,الريسبي!$A$2:$A$1800,$A75,الريسبي!$B$2:$B$1800,"عجين كريب صيامي (بدون لبن)")</f>
        <v>0</v>
      </c>
      <c r="AN75" s="117" t="n">
        <f aca="false">SUMIFS(الريسبي!$C$2:$C$1800,الريسبي!$A$2:$A$1800,$A75,الريسبي!$B$2:$B$1800,AN$1)+0.004166666667*SUMIFS(الريسبي!$C$2:$C$1800,الريسبي!$A$2:$A$1800,$A75,الريسبي!$B$2:$B$1800,"عجين كريب (مصنع بالمطعم)")+0.004166666667*SUMIFS(الريسبي!$C$2:$C$1800,الريسبي!$A$2:$A$1800,$A75,الريسبي!$B$2:$B$1800,"عجين كريب صيامي (بدون لبن)")</f>
        <v>0</v>
      </c>
      <c r="AO75" s="117" t="n">
        <f aca="false">SUMIFS(الريسبي!$C$2:$C$1800,الريسبي!$A$2:$A$1800,$A75,الريسبي!$B$2:$B$1800,AO$1)</f>
        <v>0</v>
      </c>
      <c r="AP75" s="117" t="n">
        <f aca="false">SUMIFS(الريسبي!$C$2:$C$1800,الريسبي!$A$2:$A$1800,$A75,الريسبي!$B$2:$B$1800,AP$1)</f>
        <v>0</v>
      </c>
      <c r="AQ75" s="117" t="n">
        <f aca="false">SUMIFS(الريسبي!$C$2:$C$1800,الريسبي!$A$2:$A$1800,$A75,الريسبي!$B$2:$B$1800,AQ$1)+0.004166666667*SUMIFS(الريسبي!$C$2:$C$1800,الريسبي!$A$2:$A$1800,$A75,الريسبي!$B$2:$B$1800,"عجين كريب (مصنع بالمطعم)")+0.004166666667*SUMIFS(الريسبي!$C$2:$C$1800,الريسبي!$A$2:$A$1800,$A75,الريسبي!$B$2:$B$1800,"عجين كريب صيامي (بدون لبن)")</f>
        <v>0</v>
      </c>
      <c r="AR75" s="117" t="n">
        <f aca="false">SUMIFS(الريسبي!$C$2:$C$1800,الريسبي!$A$2:$A$1800,$A75,الريسبي!$B$2:$B$1800,AR$1)</f>
        <v>0</v>
      </c>
      <c r="AS75" s="117" t="n">
        <f aca="false">SUMIFS(الريسبي!$C$2:$C$1800,الريسبي!$A$2:$A$1800,$A75,الريسبي!$B$2:$B$1800,AS$1)</f>
        <v>0</v>
      </c>
      <c r="AT75" s="117" t="n">
        <f aca="false">SUMIFS(الريسبي!$C$2:$C$1800,الريسبي!$A$2:$A$1800,$A75,الريسبي!$B$2:$B$1800,AT$1)</f>
        <v>0</v>
      </c>
      <c r="AU75" s="117" t="n">
        <f aca="false">SUMIFS(الريسبي!$C$2:$C$1800,الريسبي!$A$2:$A$1800,$A75,الريسبي!$B$2:$B$1800,AU$1)</f>
        <v>0</v>
      </c>
      <c r="AV75" s="117" t="n">
        <f aca="false">SUMIFS(الريسبي!$C$2:$C$1800,الريسبي!$A$2:$A$1800,$A75,الريسبي!$B$2:$B$1800,AV$1)</f>
        <v>0</v>
      </c>
      <c r="AW75" s="117" t="n">
        <f aca="false">SUMIFS(الريسبي!$C$2:$C$1800,الريسبي!$A$2:$A$1800,$A75,الريسبي!$B$2:$B$1800,AW$1)</f>
        <v>0</v>
      </c>
      <c r="AX75" s="117" t="n">
        <f aca="false">SUMIFS(الريسبي!$C$2:$C$1800,الريسبي!$A$2:$A$1800,$A75,الريسبي!$B$2:$B$1800,AX$1)</f>
        <v>0</v>
      </c>
      <c r="AY75" s="117" t="n">
        <f aca="false">SUMIFS(الريسبي!$C$2:$C$1800,الريسبي!$A$2:$A$1800,$A75,الريسبي!$B$2:$B$1800,AY$1)</f>
        <v>0</v>
      </c>
      <c r="AZ75" s="117" t="n">
        <f aca="false">SUMIFS(الريسبي!$C$2:$C$1800,الريسبي!$A$2:$A$1800,$A75,الريسبي!$B$2:$B$1800,AZ$1)</f>
        <v>0</v>
      </c>
      <c r="BA75" s="117" t="n">
        <f aca="false">SUMIFS(الريسبي!$C$2:$C$1800,الريسبي!$A$2:$A$1800,$A75,الريسبي!$B$2:$B$1800,BA$1)</f>
        <v>0</v>
      </c>
      <c r="BB75" s="117" t="n">
        <f aca="false">SUMIFS(الريسبي!$C$2:$C$1800,الريسبي!$A$2:$A$1800,$A75,الريسبي!$B$2:$B$1800,BB$1)</f>
        <v>0</v>
      </c>
      <c r="BC75" s="117" t="n">
        <f aca="false">SUMIFS(الريسبي!$C$2:$C$1800,الريسبي!$A$2:$A$1800,$A75,الريسبي!$B$2:$B$1800,BC$1)</f>
        <v>0</v>
      </c>
      <c r="BD75" s="117" t="n">
        <f aca="false">SUMIFS(الريسبي!$C$2:$C$1800,الريسبي!$A$2:$A$1800,$A75,الريسبي!$B$2:$B$1800,BD$1)</f>
        <v>0</v>
      </c>
      <c r="BE75" s="117" t="n">
        <f aca="false">SUMIFS(الريسبي!$C$2:$C$1800,الريسبي!$A$2:$A$1800,$A75,الريسبي!$B$2:$B$1800,BE$1)</f>
        <v>0</v>
      </c>
      <c r="BF75" s="117" t="n">
        <f aca="false">SUMIFS(الريسبي!$C$2:$C$1800,الريسبي!$A$2:$A$1800,$A75,الريسبي!$B$2:$B$1800,BF$1)</f>
        <v>0</v>
      </c>
      <c r="BG75" s="117" t="n">
        <f aca="false">SUMIFS(الريسبي!$C$2:$C$1800,الريسبي!$A$2:$A$1800,$A75,الريسبي!$B$2:$B$1800,BG$1)</f>
        <v>0</v>
      </c>
      <c r="BH75" s="117" t="n">
        <f aca="false">SUMIFS(الريسبي!$C$2:$C$1800,الريسبي!$A$2:$A$1800,$A75,الريسبي!$B$2:$B$1800,BH$1)</f>
        <v>0</v>
      </c>
      <c r="BI75" s="117" t="n">
        <f aca="false">SUMIFS(الريسبي!$C$2:$C$1800,الريسبي!$A$2:$A$1800,$A75,الريسبي!$B$2:$B$1800,BI$1)</f>
        <v>0</v>
      </c>
      <c r="BJ75" s="117" t="n">
        <f aca="false">SUMIFS(الريسبي!$C$2:$C$1800,الريسبي!$A$2:$A$1800,$A75,الريسبي!$B$2:$B$1800,BJ$1)</f>
        <v>0</v>
      </c>
      <c r="BK75" s="117" t="n">
        <f aca="false">SUMIFS(الريسبي!$C$2:$C$1800,الريسبي!$A$2:$A$1800,$A75,الريسبي!$B$2:$B$1800,BK$1)</f>
        <v>0</v>
      </c>
      <c r="BL75" s="117" t="n">
        <f aca="false">SUMIFS(الريسبي!$C$2:$C$1800,الريسبي!$A$2:$A$1800,$A75,الريسبي!$B$2:$B$1800,BL$1)</f>
        <v>0</v>
      </c>
      <c r="BM75" s="117" t="n">
        <f aca="false">SUMIFS(الريسبي!$C$2:$C$1800,الريسبي!$A$2:$A$1800,$A75,الريسبي!$B$2:$B$1800,BM$1)</f>
        <v>0</v>
      </c>
      <c r="BN75" s="117" t="n">
        <f aca="false">SUMIFS(الريسبي!$C$2:$C$1800,الريسبي!$A$2:$A$1800,$A75,الريسبي!$B$2:$B$1800,BN$1)</f>
        <v>0</v>
      </c>
      <c r="BO75" s="117" t="n">
        <f aca="false">SUMIFS(الريسبي!$C$2:$C$1800,الريسبي!$A$2:$A$1800,$A75,الريسبي!$B$2:$B$1800,BO$1)</f>
        <v>0</v>
      </c>
      <c r="BP75" s="117" t="n">
        <f aca="false">SUMIFS(الريسبي!$C$2:$C$1800,الريسبي!$A$2:$A$1800,$A75,الريسبي!$B$2:$B$1800,BP$1)</f>
        <v>0</v>
      </c>
      <c r="BQ75" s="117" t="n">
        <f aca="false">SUMIFS(الريسبي!$C$2:$C$1800,الريسبي!$A$2:$A$1800,$A75,الريسبي!$B$2:$B$1800,BQ$1)+0.17*SUMIFS(الريسبي!$C$2:$C$1800,الريسبي!$A$2:$A$1800,$A75,الريسبي!$B$2:$B$1800,"كاسترد مصنع (خليط بودر + لبن)")+0.17*SUMIFS(الريسبي!$C$2:$C$1800,الريسبي!$A$2:$A$1800,$A75,الريسبي!$B$2:$B$1800,"كاسترد مصنع صيامي (بدون لبن)")</f>
        <v>0</v>
      </c>
      <c r="BR75" s="117" t="n">
        <f aca="false">SUMIFS(الريسبي!$C$2:$C$1800,الريسبي!$A$2:$A$1800,$A75,الريسبي!$B$2:$B$1800,BR$1)</f>
        <v>0</v>
      </c>
      <c r="BS75" s="117" t="n">
        <f aca="false">SUMIFS(الريسبي!$C$2:$C$1800,الريسبي!$A$2:$A$1800,$A75,الريسبي!$B$2:$B$1800,BS$1)</f>
        <v>0</v>
      </c>
      <c r="BT75" s="117" t="n">
        <f aca="false">SUMIFS(الريسبي!$C$2:$C$1800,الريسبي!$A$2:$A$1800,$A75,الريسبي!$B$2:$B$1800,BT$1)</f>
        <v>0</v>
      </c>
      <c r="BU75" s="117" t="n">
        <f aca="false">SUMIFS(الريسبي!$C$2:$C$1800,الريسبي!$A$2:$A$1800,$A75,الريسبي!$B$2:$B$1800,BU$1)+0.4*SUMIFS(الريسبي!$C$2:$C$1800,الريسبي!$A$2:$A$1800,$A75,الريسبي!$B$2:$B$1800,"كاسترد مصنع (خليط بودر + لبن)")+0.03333333333*SUMIFS(الريسبي!$C$2:$C$1800,الريسبي!$A$2:$A$1800,$A75,الريسبي!$B$2:$B$1800,"عجين كريب (مصنع بالمطعم)")</f>
        <v>0</v>
      </c>
      <c r="BV75" s="117" t="n">
        <f aca="false">SUMIFS(الريسبي!$C$2:$C$1800,الريسبي!$A$2:$A$1800,$A75,الريسبي!$B$2:$B$1800,BV$1)</f>
        <v>0</v>
      </c>
      <c r="BW75" s="117" t="n">
        <f aca="false">SUMIFS(الريسبي!$C$2:$C$1800,الريسبي!$A$2:$A$1800,$A75,الريسبي!$B$2:$B$1800,BW$1)</f>
        <v>0</v>
      </c>
      <c r="BX75" s="117" t="n">
        <f aca="false">SUMIFS(الريسبي!$C$2:$C$1800,الريسبي!$A$2:$A$1800,$A75,الريسبي!$B$2:$B$1800,BX$1)</f>
        <v>0</v>
      </c>
      <c r="BY75" s="117" t="n">
        <f aca="false">SUMIFS(الريسبي!$C$2:$C$1800,الريسبي!$A$2:$A$1800,$A75,الريسبي!$B$2:$B$1800,BY$1)</f>
        <v>0</v>
      </c>
      <c r="BZ75" s="117" t="n">
        <f aca="false">SUMIFS(الريسبي!$C$2:$C$1800,الريسبي!$A$2:$A$1800,$A75,الريسبي!$B$2:$B$1800,BZ$1)</f>
        <v>0</v>
      </c>
      <c r="CA75" s="117" t="n">
        <f aca="false">SUMIFS(الريسبي!$C$2:$C$1800,الريسبي!$A$2:$A$1800,$A75,الريسبي!$B$2:$B$1800,CA$1)</f>
        <v>0</v>
      </c>
      <c r="CB75" s="117" t="n">
        <f aca="false">SUMIFS(الريسبي!$C$2:$C$1800,الريسبي!$A$2:$A$1800,$A75,الريسبي!$B$2:$B$1800,CB$1)</f>
        <v>0</v>
      </c>
      <c r="CC75" s="117" t="n">
        <f aca="false">SUMIFS(الريسبي!$C$2:$C$1800,الريسبي!$A$2:$A$1800,$A75,الريسبي!$B$2:$B$1800,CC$1)</f>
        <v>0</v>
      </c>
      <c r="CD75" s="117" t="n">
        <f aca="false">SUMIFS(الريسبي!$C$2:$C$1800,الريسبي!$A$2:$A$1800,$A75,الريسبي!$B$2:$B$1800,CD$1)</f>
        <v>0</v>
      </c>
      <c r="CE75" s="117" t="n">
        <f aca="false">SUMIFS(الريسبي!$C$2:$C$1800,الريسبي!$A$2:$A$1800,$A75,الريسبي!$B$2:$B$1800,CE$1)</f>
        <v>0</v>
      </c>
      <c r="CF75" s="117" t="n">
        <f aca="false">SUMIFS(الريسبي!$C$2:$C$1800,الريسبي!$A$2:$A$1800,$A75,الريسبي!$B$2:$B$1800,CF$1)</f>
        <v>0</v>
      </c>
      <c r="CG75" s="117" t="n">
        <f aca="false">SUMIFS(الريسبي!$C$2:$C$1800,الريسبي!$A$2:$A$1800,$A75,الريسبي!$B$2:$B$1800,CG$1)</f>
        <v>0</v>
      </c>
      <c r="CH75" s="117" t="n">
        <f aca="false">SUMIFS(الريسبي!$C$2:$C$1800,الريسبي!$A$2:$A$1800,$A75,الريسبي!$B$2:$B$1800,CH$1)</f>
        <v>0</v>
      </c>
      <c r="CI75" s="117" t="n">
        <f aca="false">SUMIFS(الريسبي!$C$2:$C$1800,الريسبي!$A$2:$A$1800,$A75,الريسبي!$B$2:$B$1800,CI$1)</f>
        <v>0</v>
      </c>
      <c r="CJ75" s="117" t="n">
        <f aca="false">SUMIFS(الريسبي!$C$2:$C$1800,الريسبي!$A$2:$A$1800,$A75,الريسبي!$B$2:$B$1800,CJ$1)</f>
        <v>0</v>
      </c>
      <c r="CK75" s="117" t="n">
        <f aca="false">SUMIFS(الريسبي!$C$2:$C$1800,الريسبي!$A$2:$A$1800,$A75,الريسبي!$B$2:$B$1800,CK$1)</f>
        <v>0</v>
      </c>
      <c r="CL75" s="117" t="n">
        <f aca="false">SUMIFS(الريسبي!$C$2:$C$1800,الريسبي!$A$2:$A$1800,$A75,الريسبي!$B$2:$B$1800,CL$1)</f>
        <v>0</v>
      </c>
    </row>
    <row r="76" customFormat="false" ht="15" hidden="false" customHeight="false" outlineLevel="0" collapsed="false">
      <c r="A76" s="116" t="str">
        <f aca="false">المنيو!B76</f>
        <v>بيبسي لتر</v>
      </c>
      <c r="B76" s="117" t="n">
        <f aca="false">SUMIFS(الريسبي!$C$2:$C$1800,الريسبي!$A$2:$A$1800,$A76,الريسبي!$B$2:$B$1800,B$1)</f>
        <v>0</v>
      </c>
      <c r="C76" s="117" t="n">
        <f aca="false">SUMIFS(الريسبي!$C$2:$C$1800,الريسبي!$A$2:$A$1800,$A76,الريسبي!$B$2:$B$1800,C$1)</f>
        <v>0</v>
      </c>
      <c r="D76" s="117" t="n">
        <f aca="false">SUMIFS(الريسبي!$C$2:$C$1800,الريسبي!$A$2:$A$1800,$A76,الريسبي!$B$2:$B$1800,D$1)</f>
        <v>0</v>
      </c>
      <c r="E76" s="117" t="n">
        <f aca="false">SUMIFS(الريسبي!$C$2:$C$1800,الريسبي!$A$2:$A$1800,$A76,الريسبي!$B$2:$B$1800,E$1)</f>
        <v>0</v>
      </c>
      <c r="F76" s="117" t="n">
        <f aca="false">SUMIFS(الريسبي!$C$2:$C$1800,الريسبي!$A$2:$A$1800,$A76,الريسبي!$B$2:$B$1800,F$1)</f>
        <v>0</v>
      </c>
      <c r="G76" s="117" t="n">
        <f aca="false">SUMIFS(الريسبي!$C$2:$C$1800,الريسبي!$A$2:$A$1800,$A76,الريسبي!$B$2:$B$1800,G$1)</f>
        <v>0</v>
      </c>
      <c r="H76" s="117" t="n">
        <f aca="false">SUMIFS(الريسبي!$C$2:$C$1800,الريسبي!$A$2:$A$1800,$A76,الريسبي!$B$2:$B$1800,H$1)</f>
        <v>0</v>
      </c>
      <c r="I76" s="117" t="n">
        <f aca="false">SUMIFS(الريسبي!$C$2:$C$1800,الريسبي!$A$2:$A$1800,$A76,الريسبي!$B$2:$B$1800,I$1)</f>
        <v>0</v>
      </c>
      <c r="J76" s="117" t="n">
        <f aca="false">SUMIFS(الريسبي!$C$2:$C$1800,الريسبي!$A$2:$A$1800,$A76,الريسبي!$B$2:$B$1800,J$1)</f>
        <v>0</v>
      </c>
      <c r="K76" s="117" t="n">
        <f aca="false">SUMIFS(الريسبي!$C$2:$C$1800,الريسبي!$A$2:$A$1800,$A76,الريسبي!$B$2:$B$1800,K$1)</f>
        <v>0</v>
      </c>
      <c r="L76" s="117" t="n">
        <f aca="false">SUMIFS(الريسبي!$C$2:$C$1800,الريسبي!$A$2:$A$1800,$A76,الريسبي!$B$2:$B$1800,L$1)</f>
        <v>0</v>
      </c>
      <c r="M76" s="117" t="n">
        <f aca="false">SUMIFS(الريسبي!$C$2:$C$1800,الريسبي!$A$2:$A$1800,$A76,الريسبي!$B$2:$B$1800,M$1)</f>
        <v>0</v>
      </c>
      <c r="N76" s="117" t="n">
        <f aca="false">SUMIFS(الريسبي!$C$2:$C$1800,الريسبي!$A$2:$A$1800,$A76,الريسبي!$B$2:$B$1800,N$1)</f>
        <v>0</v>
      </c>
      <c r="O76" s="117" t="n">
        <f aca="false">SUMIFS(الريسبي!$C$2:$C$1800,الريسبي!$A$2:$A$1800,$A76,الريسبي!$B$2:$B$1800,O$1)</f>
        <v>0</v>
      </c>
      <c r="P76" s="117" t="n">
        <f aca="false">SUMIFS(الريسبي!$C$2:$C$1800,الريسبي!$A$2:$A$1800,$A76,الريسبي!$B$2:$B$1800,P$1)</f>
        <v>0</v>
      </c>
      <c r="Q76" s="117" t="n">
        <f aca="false">SUMIFS(الريسبي!$C$2:$C$1800,الريسبي!$A$2:$A$1800,$A76,الريسبي!$B$2:$B$1800,Q$1)</f>
        <v>0</v>
      </c>
      <c r="R76" s="117" t="n">
        <f aca="false">SUMIFS(الريسبي!$C$2:$C$1800,الريسبي!$A$2:$A$1800,$A76,الريسبي!$B$2:$B$1800,R$1)</f>
        <v>0</v>
      </c>
      <c r="S76" s="117" t="n">
        <f aca="false">SUMIFS(الريسبي!$C$2:$C$1800,الريسبي!$A$2:$A$1800,$A76,الريسبي!$B$2:$B$1800,S$1)</f>
        <v>0</v>
      </c>
      <c r="T76" s="117" t="n">
        <f aca="false">SUMIFS(الريسبي!$C$2:$C$1800,الريسبي!$A$2:$A$1800,$A76,الريسبي!$B$2:$B$1800,T$1)</f>
        <v>0</v>
      </c>
      <c r="U76" s="117" t="n">
        <f aca="false">SUMIFS(الريسبي!$C$2:$C$1800,الريسبي!$A$2:$A$1800,$A76,الريسبي!$B$2:$B$1800,U$1)</f>
        <v>0</v>
      </c>
      <c r="V76" s="117" t="n">
        <f aca="false">SUMIFS(الريسبي!$C$2:$C$1800,الريسبي!$A$2:$A$1800,$A76,الريسبي!$B$2:$B$1800,V$1)</f>
        <v>0</v>
      </c>
      <c r="W76" s="117" t="n">
        <f aca="false">SUMIFS(الريسبي!$C$2:$C$1800,الريسبي!$A$2:$A$1800,$A76,الريسبي!$B$2:$B$1800,W$1)</f>
        <v>0</v>
      </c>
      <c r="X76" s="117" t="n">
        <f aca="false">SUMIFS(الريسبي!$C$2:$C$1800,الريسبي!$A$2:$A$1800,$A76,الريسبي!$B$2:$B$1800,X$1)</f>
        <v>0</v>
      </c>
      <c r="Y76" s="117" t="n">
        <f aca="false">SUMIFS(الريسبي!$C$2:$C$1800,الريسبي!$A$2:$A$1800,$A76,الريسبي!$B$2:$B$1800,Y$1)</f>
        <v>0</v>
      </c>
      <c r="Z76" s="117" t="n">
        <f aca="false">SUMIFS(الريسبي!$C$2:$C$1800,الريسبي!$A$2:$A$1800,$A76,الريسبي!$B$2:$B$1800,Z$1)</f>
        <v>0</v>
      </c>
      <c r="AA76" s="117" t="n">
        <f aca="false">SUMIFS(الريسبي!$C$2:$C$1800,الريسبي!$A$2:$A$1800,$A76,الريسبي!$B$2:$B$1800,AA$1)</f>
        <v>0</v>
      </c>
      <c r="AB76" s="117" t="n">
        <f aca="false">SUMIFS(الريسبي!$C$2:$C$1800,الريسبي!$A$2:$A$1800,$A76,الريسبي!$B$2:$B$1800,AB$1)</f>
        <v>0</v>
      </c>
      <c r="AC76" s="117" t="n">
        <f aca="false">SUMIFS(الريسبي!$C$2:$C$1800,الريسبي!$A$2:$A$1800,$A76,الريسبي!$B$2:$B$1800,AC$1)</f>
        <v>0</v>
      </c>
      <c r="AD76" s="117" t="n">
        <f aca="false">SUMIFS(الريسبي!$C$2:$C$1800,الريسبي!$A$2:$A$1800,$A76,الريسبي!$B$2:$B$1800,AD$1)</f>
        <v>0</v>
      </c>
      <c r="AE76" s="117" t="n">
        <f aca="false">SUMIFS(الريسبي!$C$2:$C$1800,الريسبي!$A$2:$A$1800,$A76,الريسبي!$B$2:$B$1800,AE$1)</f>
        <v>0</v>
      </c>
      <c r="AF76" s="117" t="n">
        <f aca="false">SUMIFS(الريسبي!$C$2:$C$1800,الريسبي!$A$2:$A$1800,$A76,الريسبي!$B$2:$B$1800,AF$1)</f>
        <v>0</v>
      </c>
      <c r="AG76" s="117" t="n">
        <f aca="false">SUMIFS(الريسبي!$C$2:$C$1800,الريسبي!$A$2:$A$1800,$A76,الريسبي!$B$2:$B$1800,AG$1)</f>
        <v>0</v>
      </c>
      <c r="AH76" s="117" t="n">
        <f aca="false">SUMIFS(الريسبي!$C$2:$C$1800,الريسبي!$A$2:$A$1800,$A76,الريسبي!$B$2:$B$1800,AH$1)</f>
        <v>1</v>
      </c>
      <c r="AI76" s="117" t="n">
        <f aca="false">SUMIFS(الريسبي!$C$2:$C$1800,الريسبي!$A$2:$A$1800,$A76,الريسبي!$B$2:$B$1800,AI$1)</f>
        <v>0</v>
      </c>
      <c r="AJ76" s="117" t="n">
        <f aca="false">SUMIFS(الريسبي!$C$2:$C$1800,الريسبي!$A$2:$A$1800,$A76,الريسبي!$B$2:$B$1800,AJ$1)</f>
        <v>0</v>
      </c>
      <c r="AK76" s="117" t="n">
        <f aca="false">SUMIFS(الريسبي!$C$2:$C$1800,الريسبي!$A$2:$A$1800,$A76,الريسبي!$B$2:$B$1800,AK$1)</f>
        <v>0</v>
      </c>
      <c r="AL76" s="117" t="n">
        <f aca="false">SUMIFS(الريسبي!$C$2:$C$1800,الريسبي!$A$2:$A$1800,$A76,الريسبي!$B$2:$B$1800,AL$1)</f>
        <v>0</v>
      </c>
      <c r="AM76" s="117" t="n">
        <f aca="false">SUMIFS(الريسبي!$C$2:$C$1800,الريسبي!$A$2:$A$1800,$A76,الريسبي!$B$2:$B$1800,AM$1)+0.08333333333*SUMIFS(الريسبي!$C$2:$C$1800,الريسبي!$A$2:$A$1800,$A76,الريسبي!$B$2:$B$1800,"عجين كريب (مصنع بالمطعم)")+0.08333333333*SUMIFS(الريسبي!$C$2:$C$1800,الريسبي!$A$2:$A$1800,$A76,الريسبي!$B$2:$B$1800,"عجين كريب صيامي (بدون لبن)")</f>
        <v>0</v>
      </c>
      <c r="AN76" s="117" t="n">
        <f aca="false">SUMIFS(الريسبي!$C$2:$C$1800,الريسبي!$A$2:$A$1800,$A76,الريسبي!$B$2:$B$1800,AN$1)+0.004166666667*SUMIFS(الريسبي!$C$2:$C$1800,الريسبي!$A$2:$A$1800,$A76,الريسبي!$B$2:$B$1800,"عجين كريب (مصنع بالمطعم)")+0.004166666667*SUMIFS(الريسبي!$C$2:$C$1800,الريسبي!$A$2:$A$1800,$A76,الريسبي!$B$2:$B$1800,"عجين كريب صيامي (بدون لبن)")</f>
        <v>0</v>
      </c>
      <c r="AO76" s="117" t="n">
        <f aca="false">SUMIFS(الريسبي!$C$2:$C$1800,الريسبي!$A$2:$A$1800,$A76,الريسبي!$B$2:$B$1800,AO$1)</f>
        <v>0</v>
      </c>
      <c r="AP76" s="117" t="n">
        <f aca="false">SUMIFS(الريسبي!$C$2:$C$1800,الريسبي!$A$2:$A$1800,$A76,الريسبي!$B$2:$B$1800,AP$1)</f>
        <v>0</v>
      </c>
      <c r="AQ76" s="117" t="n">
        <f aca="false">SUMIFS(الريسبي!$C$2:$C$1800,الريسبي!$A$2:$A$1800,$A76,الريسبي!$B$2:$B$1800,AQ$1)+0.004166666667*SUMIFS(الريسبي!$C$2:$C$1800,الريسبي!$A$2:$A$1800,$A76,الريسبي!$B$2:$B$1800,"عجين كريب (مصنع بالمطعم)")+0.004166666667*SUMIFS(الريسبي!$C$2:$C$1800,الريسبي!$A$2:$A$1800,$A76,الريسبي!$B$2:$B$1800,"عجين كريب صيامي (بدون لبن)")</f>
        <v>0</v>
      </c>
      <c r="AR76" s="117" t="n">
        <f aca="false">SUMIFS(الريسبي!$C$2:$C$1800,الريسبي!$A$2:$A$1800,$A76,الريسبي!$B$2:$B$1800,AR$1)</f>
        <v>0</v>
      </c>
      <c r="AS76" s="117" t="n">
        <f aca="false">SUMIFS(الريسبي!$C$2:$C$1800,الريسبي!$A$2:$A$1800,$A76,الريسبي!$B$2:$B$1800,AS$1)</f>
        <v>0</v>
      </c>
      <c r="AT76" s="117" t="n">
        <f aca="false">SUMIFS(الريسبي!$C$2:$C$1800,الريسبي!$A$2:$A$1800,$A76,الريسبي!$B$2:$B$1800,AT$1)</f>
        <v>0</v>
      </c>
      <c r="AU76" s="117" t="n">
        <f aca="false">SUMIFS(الريسبي!$C$2:$C$1800,الريسبي!$A$2:$A$1800,$A76,الريسبي!$B$2:$B$1800,AU$1)</f>
        <v>0</v>
      </c>
      <c r="AV76" s="117" t="n">
        <f aca="false">SUMIFS(الريسبي!$C$2:$C$1800,الريسبي!$A$2:$A$1800,$A76,الريسبي!$B$2:$B$1800,AV$1)</f>
        <v>0</v>
      </c>
      <c r="AW76" s="117" t="n">
        <f aca="false">SUMIFS(الريسبي!$C$2:$C$1800,الريسبي!$A$2:$A$1800,$A76,الريسبي!$B$2:$B$1800,AW$1)</f>
        <v>0</v>
      </c>
      <c r="AX76" s="117" t="n">
        <f aca="false">SUMIFS(الريسبي!$C$2:$C$1800,الريسبي!$A$2:$A$1800,$A76,الريسبي!$B$2:$B$1800,AX$1)</f>
        <v>0</v>
      </c>
      <c r="AY76" s="117" t="n">
        <f aca="false">SUMIFS(الريسبي!$C$2:$C$1800,الريسبي!$A$2:$A$1800,$A76,الريسبي!$B$2:$B$1800,AY$1)</f>
        <v>0</v>
      </c>
      <c r="AZ76" s="117" t="n">
        <f aca="false">SUMIFS(الريسبي!$C$2:$C$1800,الريسبي!$A$2:$A$1800,$A76,الريسبي!$B$2:$B$1800,AZ$1)</f>
        <v>0</v>
      </c>
      <c r="BA76" s="117" t="n">
        <f aca="false">SUMIFS(الريسبي!$C$2:$C$1800,الريسبي!$A$2:$A$1800,$A76,الريسبي!$B$2:$B$1800,BA$1)</f>
        <v>0</v>
      </c>
      <c r="BB76" s="117" t="n">
        <f aca="false">SUMIFS(الريسبي!$C$2:$C$1800,الريسبي!$A$2:$A$1800,$A76,الريسبي!$B$2:$B$1800,BB$1)</f>
        <v>0</v>
      </c>
      <c r="BC76" s="117" t="n">
        <f aca="false">SUMIFS(الريسبي!$C$2:$C$1800,الريسبي!$A$2:$A$1800,$A76,الريسبي!$B$2:$B$1800,BC$1)</f>
        <v>0</v>
      </c>
      <c r="BD76" s="117" t="n">
        <f aca="false">SUMIFS(الريسبي!$C$2:$C$1800,الريسبي!$A$2:$A$1800,$A76,الريسبي!$B$2:$B$1800,BD$1)</f>
        <v>0</v>
      </c>
      <c r="BE76" s="117" t="n">
        <f aca="false">SUMIFS(الريسبي!$C$2:$C$1800,الريسبي!$A$2:$A$1800,$A76,الريسبي!$B$2:$B$1800,BE$1)</f>
        <v>0</v>
      </c>
      <c r="BF76" s="117" t="n">
        <f aca="false">SUMIFS(الريسبي!$C$2:$C$1800,الريسبي!$A$2:$A$1800,$A76,الريسبي!$B$2:$B$1800,BF$1)</f>
        <v>0</v>
      </c>
      <c r="BG76" s="117" t="n">
        <f aca="false">SUMIFS(الريسبي!$C$2:$C$1800,الريسبي!$A$2:$A$1800,$A76,الريسبي!$B$2:$B$1800,BG$1)</f>
        <v>0</v>
      </c>
      <c r="BH76" s="117" t="n">
        <f aca="false">SUMIFS(الريسبي!$C$2:$C$1800,الريسبي!$A$2:$A$1800,$A76,الريسبي!$B$2:$B$1800,BH$1)</f>
        <v>0</v>
      </c>
      <c r="BI76" s="117" t="n">
        <f aca="false">SUMIFS(الريسبي!$C$2:$C$1800,الريسبي!$A$2:$A$1800,$A76,الريسبي!$B$2:$B$1800,BI$1)</f>
        <v>0</v>
      </c>
      <c r="BJ76" s="117" t="n">
        <f aca="false">SUMIFS(الريسبي!$C$2:$C$1800,الريسبي!$A$2:$A$1800,$A76,الريسبي!$B$2:$B$1800,BJ$1)</f>
        <v>0</v>
      </c>
      <c r="BK76" s="117" t="n">
        <f aca="false">SUMIFS(الريسبي!$C$2:$C$1800,الريسبي!$A$2:$A$1800,$A76,الريسبي!$B$2:$B$1800,BK$1)</f>
        <v>0</v>
      </c>
      <c r="BL76" s="117" t="n">
        <f aca="false">SUMIFS(الريسبي!$C$2:$C$1800,الريسبي!$A$2:$A$1800,$A76,الريسبي!$B$2:$B$1800,BL$1)</f>
        <v>0</v>
      </c>
      <c r="BM76" s="117" t="n">
        <f aca="false">SUMIFS(الريسبي!$C$2:$C$1800,الريسبي!$A$2:$A$1800,$A76,الريسبي!$B$2:$B$1800,BM$1)</f>
        <v>0</v>
      </c>
      <c r="BN76" s="117" t="n">
        <f aca="false">SUMIFS(الريسبي!$C$2:$C$1800,الريسبي!$A$2:$A$1800,$A76,الريسبي!$B$2:$B$1800,BN$1)</f>
        <v>0</v>
      </c>
      <c r="BO76" s="117" t="n">
        <f aca="false">SUMIFS(الريسبي!$C$2:$C$1800,الريسبي!$A$2:$A$1800,$A76,الريسبي!$B$2:$B$1800,BO$1)</f>
        <v>0</v>
      </c>
      <c r="BP76" s="117" t="n">
        <f aca="false">SUMIFS(الريسبي!$C$2:$C$1800,الريسبي!$A$2:$A$1800,$A76,الريسبي!$B$2:$B$1800,BP$1)</f>
        <v>0</v>
      </c>
      <c r="BQ76" s="117" t="n">
        <f aca="false">SUMIFS(الريسبي!$C$2:$C$1800,الريسبي!$A$2:$A$1800,$A76,الريسبي!$B$2:$B$1800,BQ$1)+0.17*SUMIFS(الريسبي!$C$2:$C$1800,الريسبي!$A$2:$A$1800,$A76,الريسبي!$B$2:$B$1800,"كاسترد مصنع (خليط بودر + لبن)")+0.17*SUMIFS(الريسبي!$C$2:$C$1800,الريسبي!$A$2:$A$1800,$A76,الريسبي!$B$2:$B$1800,"كاسترد مصنع صيامي (بدون لبن)")</f>
        <v>0</v>
      </c>
      <c r="BR76" s="117" t="n">
        <f aca="false">SUMIFS(الريسبي!$C$2:$C$1800,الريسبي!$A$2:$A$1800,$A76,الريسبي!$B$2:$B$1800,BR$1)</f>
        <v>0</v>
      </c>
      <c r="BS76" s="117" t="n">
        <f aca="false">SUMIFS(الريسبي!$C$2:$C$1800,الريسبي!$A$2:$A$1800,$A76,الريسبي!$B$2:$B$1800,BS$1)</f>
        <v>0</v>
      </c>
      <c r="BT76" s="117" t="n">
        <f aca="false">SUMIFS(الريسبي!$C$2:$C$1800,الريسبي!$A$2:$A$1800,$A76,الريسبي!$B$2:$B$1800,BT$1)</f>
        <v>0</v>
      </c>
      <c r="BU76" s="117" t="n">
        <f aca="false">SUMIFS(الريسبي!$C$2:$C$1800,الريسبي!$A$2:$A$1800,$A76,الريسبي!$B$2:$B$1800,BU$1)+0.4*SUMIFS(الريسبي!$C$2:$C$1800,الريسبي!$A$2:$A$1800,$A76,الريسبي!$B$2:$B$1800,"كاسترد مصنع (خليط بودر + لبن)")+0.03333333333*SUMIFS(الريسبي!$C$2:$C$1800,الريسبي!$A$2:$A$1800,$A76,الريسبي!$B$2:$B$1800,"عجين كريب (مصنع بالمطعم)")</f>
        <v>0</v>
      </c>
      <c r="BV76" s="117" t="n">
        <f aca="false">SUMIFS(الريسبي!$C$2:$C$1800,الريسبي!$A$2:$A$1800,$A76,الريسبي!$B$2:$B$1800,BV$1)</f>
        <v>0</v>
      </c>
      <c r="BW76" s="117" t="n">
        <f aca="false">SUMIFS(الريسبي!$C$2:$C$1800,الريسبي!$A$2:$A$1800,$A76,الريسبي!$B$2:$B$1800,BW$1)</f>
        <v>0</v>
      </c>
      <c r="BX76" s="117" t="n">
        <f aca="false">SUMIFS(الريسبي!$C$2:$C$1800,الريسبي!$A$2:$A$1800,$A76,الريسبي!$B$2:$B$1800,BX$1)</f>
        <v>0</v>
      </c>
      <c r="BY76" s="117" t="n">
        <f aca="false">SUMIFS(الريسبي!$C$2:$C$1800,الريسبي!$A$2:$A$1800,$A76,الريسبي!$B$2:$B$1800,BY$1)</f>
        <v>0</v>
      </c>
      <c r="BZ76" s="117" t="n">
        <f aca="false">SUMIFS(الريسبي!$C$2:$C$1800,الريسبي!$A$2:$A$1800,$A76,الريسبي!$B$2:$B$1800,BZ$1)</f>
        <v>0</v>
      </c>
      <c r="CA76" s="117" t="n">
        <f aca="false">SUMIFS(الريسبي!$C$2:$C$1800,الريسبي!$A$2:$A$1800,$A76,الريسبي!$B$2:$B$1800,CA$1)</f>
        <v>0</v>
      </c>
      <c r="CB76" s="117" t="n">
        <f aca="false">SUMIFS(الريسبي!$C$2:$C$1800,الريسبي!$A$2:$A$1800,$A76,الريسبي!$B$2:$B$1800,CB$1)</f>
        <v>0</v>
      </c>
      <c r="CC76" s="117" t="n">
        <f aca="false">SUMIFS(الريسبي!$C$2:$C$1800,الريسبي!$A$2:$A$1800,$A76,الريسبي!$B$2:$B$1800,CC$1)</f>
        <v>0</v>
      </c>
      <c r="CD76" s="117" t="n">
        <f aca="false">SUMIFS(الريسبي!$C$2:$C$1800,الريسبي!$A$2:$A$1800,$A76,الريسبي!$B$2:$B$1800,CD$1)</f>
        <v>0</v>
      </c>
      <c r="CE76" s="117" t="n">
        <f aca="false">SUMIFS(الريسبي!$C$2:$C$1800,الريسبي!$A$2:$A$1800,$A76,الريسبي!$B$2:$B$1800,CE$1)</f>
        <v>0</v>
      </c>
      <c r="CF76" s="117" t="n">
        <f aca="false">SUMIFS(الريسبي!$C$2:$C$1800,الريسبي!$A$2:$A$1800,$A76,الريسبي!$B$2:$B$1800,CF$1)</f>
        <v>0</v>
      </c>
      <c r="CG76" s="117" t="n">
        <f aca="false">SUMIFS(الريسبي!$C$2:$C$1800,الريسبي!$A$2:$A$1800,$A76,الريسبي!$B$2:$B$1800,CG$1)</f>
        <v>0</v>
      </c>
      <c r="CH76" s="117" t="n">
        <f aca="false">SUMIFS(الريسبي!$C$2:$C$1800,الريسبي!$A$2:$A$1800,$A76,الريسبي!$B$2:$B$1800,CH$1)</f>
        <v>0</v>
      </c>
      <c r="CI76" s="117" t="n">
        <f aca="false">SUMIFS(الريسبي!$C$2:$C$1800,الريسبي!$A$2:$A$1800,$A76,الريسبي!$B$2:$B$1800,CI$1)</f>
        <v>0</v>
      </c>
      <c r="CJ76" s="117" t="n">
        <f aca="false">SUMIFS(الريسبي!$C$2:$C$1800,الريسبي!$A$2:$A$1800,$A76,الريسبي!$B$2:$B$1800,CJ$1)</f>
        <v>0</v>
      </c>
      <c r="CK76" s="117" t="n">
        <f aca="false">SUMIFS(الريسبي!$C$2:$C$1800,الريسبي!$A$2:$A$1800,$A76,الريسبي!$B$2:$B$1800,CK$1)</f>
        <v>0</v>
      </c>
      <c r="CL76" s="117" t="n">
        <f aca="false">SUMIFS(الريسبي!$C$2:$C$1800,الريسبي!$A$2:$A$1800,$A76,الريسبي!$B$2:$B$1800,CL$1)</f>
        <v>0</v>
      </c>
    </row>
    <row r="77" customFormat="false" ht="15" hidden="false" customHeight="false" outlineLevel="0" collapsed="false">
      <c r="A77" s="116" t="str">
        <f aca="false">المنيو!B77</f>
        <v>بيتزا مارجريتا صيامي وسط</v>
      </c>
      <c r="B77" s="117" t="n">
        <f aca="false">SUMIFS(الريسبي!$C$2:$C$1800,الريسبي!$A$2:$A$1800,$A77,الريسبي!$B$2:$B$1800,B$1)</f>
        <v>0</v>
      </c>
      <c r="C77" s="117" t="n">
        <f aca="false">SUMIFS(الريسبي!$C$2:$C$1800,الريسبي!$A$2:$A$1800,$A77,الريسبي!$B$2:$B$1800,C$1)</f>
        <v>0</v>
      </c>
      <c r="D77" s="117" t="n">
        <f aca="false">SUMIFS(الريسبي!$C$2:$C$1800,الريسبي!$A$2:$A$1800,$A77,الريسبي!$B$2:$B$1800,D$1)</f>
        <v>1</v>
      </c>
      <c r="E77" s="117" t="n">
        <f aca="false">SUMIFS(الريسبي!$C$2:$C$1800,الريسبي!$A$2:$A$1800,$A77,الريسبي!$B$2:$B$1800,E$1)</f>
        <v>0</v>
      </c>
      <c r="F77" s="117" t="n">
        <f aca="false">SUMIFS(الريسبي!$C$2:$C$1800,الريسبي!$A$2:$A$1800,$A77,الريسبي!$B$2:$B$1800,F$1)</f>
        <v>0</v>
      </c>
      <c r="G77" s="117" t="n">
        <f aca="false">SUMIFS(الريسبي!$C$2:$C$1800,الريسبي!$A$2:$A$1800,$A77,الريسبي!$B$2:$B$1800,G$1)</f>
        <v>0</v>
      </c>
      <c r="H77" s="117" t="n">
        <f aca="false">SUMIFS(الريسبي!$C$2:$C$1800,الريسبي!$A$2:$A$1800,$A77,الريسبي!$B$2:$B$1800,H$1)</f>
        <v>0</v>
      </c>
      <c r="I77" s="117" t="n">
        <f aca="false">SUMIFS(الريسبي!$C$2:$C$1800,الريسبي!$A$2:$A$1800,$A77,الريسبي!$B$2:$B$1800,I$1)</f>
        <v>0</v>
      </c>
      <c r="J77" s="117" t="n">
        <f aca="false">SUMIFS(الريسبي!$C$2:$C$1800,الريسبي!$A$2:$A$1800,$A77,الريسبي!$B$2:$B$1800,J$1)</f>
        <v>0</v>
      </c>
      <c r="K77" s="117" t="n">
        <f aca="false">SUMIFS(الريسبي!$C$2:$C$1800,الريسبي!$A$2:$A$1800,$A77,الريسبي!$B$2:$B$1800,K$1)</f>
        <v>0</v>
      </c>
      <c r="L77" s="117" t="n">
        <f aca="false">SUMIFS(الريسبي!$C$2:$C$1800,الريسبي!$A$2:$A$1800,$A77,الريسبي!$B$2:$B$1800,L$1)</f>
        <v>0</v>
      </c>
      <c r="M77" s="117" t="n">
        <f aca="false">SUMIFS(الريسبي!$C$2:$C$1800,الريسبي!$A$2:$A$1800,$A77,الريسبي!$B$2:$B$1800,M$1)</f>
        <v>0</v>
      </c>
      <c r="N77" s="117" t="n">
        <f aca="false">SUMIFS(الريسبي!$C$2:$C$1800,الريسبي!$A$2:$A$1800,$A77,الريسبي!$B$2:$B$1800,N$1)</f>
        <v>0</v>
      </c>
      <c r="O77" s="117" t="n">
        <f aca="false">SUMIFS(الريسبي!$C$2:$C$1800,الريسبي!$A$2:$A$1800,$A77,الريسبي!$B$2:$B$1800,O$1)</f>
        <v>0</v>
      </c>
      <c r="P77" s="117" t="n">
        <f aca="false">SUMIFS(الريسبي!$C$2:$C$1800,الريسبي!$A$2:$A$1800,$A77,الريسبي!$B$2:$B$1800,P$1)</f>
        <v>0</v>
      </c>
      <c r="Q77" s="117" t="n">
        <f aca="false">SUMIFS(الريسبي!$C$2:$C$1800,الريسبي!$A$2:$A$1800,$A77,الريسبي!$B$2:$B$1800,Q$1)</f>
        <v>0</v>
      </c>
      <c r="R77" s="117" t="n">
        <f aca="false">SUMIFS(الريسبي!$C$2:$C$1800,الريسبي!$A$2:$A$1800,$A77,الريسبي!$B$2:$B$1800,R$1)</f>
        <v>0</v>
      </c>
      <c r="S77" s="117" t="n">
        <f aca="false">SUMIFS(الريسبي!$C$2:$C$1800,الريسبي!$A$2:$A$1800,$A77,الريسبي!$B$2:$B$1800,S$1)</f>
        <v>0</v>
      </c>
      <c r="T77" s="117" t="n">
        <f aca="false">SUMIFS(الريسبي!$C$2:$C$1800,الريسبي!$A$2:$A$1800,$A77,الريسبي!$B$2:$B$1800,T$1)</f>
        <v>0</v>
      </c>
      <c r="U77" s="117" t="n">
        <f aca="false">SUMIFS(الريسبي!$C$2:$C$1800,الريسبي!$A$2:$A$1800,$A77,الريسبي!$B$2:$B$1800,U$1)</f>
        <v>0</v>
      </c>
      <c r="V77" s="117" t="n">
        <f aca="false">SUMIFS(الريسبي!$C$2:$C$1800,الريسبي!$A$2:$A$1800,$A77,الريسبي!$B$2:$B$1800,V$1)</f>
        <v>0</v>
      </c>
      <c r="W77" s="117" t="n">
        <f aca="false">SUMIFS(الريسبي!$C$2:$C$1800,الريسبي!$A$2:$A$1800,$A77,الريسبي!$B$2:$B$1800,W$1)</f>
        <v>0</v>
      </c>
      <c r="X77" s="117" t="n">
        <f aca="false">SUMIFS(الريسبي!$C$2:$C$1800,الريسبي!$A$2:$A$1800,$A77,الريسبي!$B$2:$B$1800,X$1)</f>
        <v>1</v>
      </c>
      <c r="Y77" s="117" t="n">
        <f aca="false">SUMIFS(الريسبي!$C$2:$C$1800,الريسبي!$A$2:$A$1800,$A77,الريسبي!$B$2:$B$1800,Y$1)</f>
        <v>0</v>
      </c>
      <c r="Z77" s="117" t="n">
        <f aca="false">SUMIFS(الريسبي!$C$2:$C$1800,الريسبي!$A$2:$A$1800,$A77,الريسبي!$B$2:$B$1800,Z$1)</f>
        <v>0</v>
      </c>
      <c r="AA77" s="117" t="n">
        <f aca="false">SUMIFS(الريسبي!$C$2:$C$1800,الريسبي!$A$2:$A$1800,$A77,الريسبي!$B$2:$B$1800,AA$1)</f>
        <v>0</v>
      </c>
      <c r="AB77" s="117" t="n">
        <f aca="false">SUMIFS(الريسبي!$C$2:$C$1800,الريسبي!$A$2:$A$1800,$A77,الريسبي!$B$2:$B$1800,AB$1)</f>
        <v>0</v>
      </c>
      <c r="AC77" s="117" t="n">
        <f aca="false">SUMIFS(الريسبي!$C$2:$C$1800,الريسبي!$A$2:$A$1800,$A77,الريسبي!$B$2:$B$1800,AC$1)</f>
        <v>0</v>
      </c>
      <c r="AD77" s="117" t="n">
        <f aca="false">SUMIFS(الريسبي!$C$2:$C$1800,الريسبي!$A$2:$A$1800,$A77,الريسبي!$B$2:$B$1800,AD$1)</f>
        <v>0</v>
      </c>
      <c r="AE77" s="117" t="n">
        <f aca="false">SUMIFS(الريسبي!$C$2:$C$1800,الريسبي!$A$2:$A$1800,$A77,الريسبي!$B$2:$B$1800,AE$1)</f>
        <v>0</v>
      </c>
      <c r="AF77" s="117" t="n">
        <f aca="false">SUMIFS(الريسبي!$C$2:$C$1800,الريسبي!$A$2:$A$1800,$A77,الريسبي!$B$2:$B$1800,AF$1)</f>
        <v>0</v>
      </c>
      <c r="AG77" s="117" t="n">
        <f aca="false">SUMIFS(الريسبي!$C$2:$C$1800,الريسبي!$A$2:$A$1800,$A77,الريسبي!$B$2:$B$1800,AG$1)</f>
        <v>0</v>
      </c>
      <c r="AH77" s="117" t="n">
        <f aca="false">SUMIFS(الريسبي!$C$2:$C$1800,الريسبي!$A$2:$A$1800,$A77,الريسبي!$B$2:$B$1800,AH$1)</f>
        <v>0</v>
      </c>
      <c r="AI77" s="117" t="n">
        <f aca="false">SUMIFS(الريسبي!$C$2:$C$1800,الريسبي!$A$2:$A$1800,$A77,الريسبي!$B$2:$B$1800,AI$1)</f>
        <v>0</v>
      </c>
      <c r="AJ77" s="117" t="n">
        <f aca="false">SUMIFS(الريسبي!$C$2:$C$1800,الريسبي!$A$2:$A$1800,$A77,الريسبي!$B$2:$B$1800,AJ$1)</f>
        <v>2</v>
      </c>
      <c r="AK77" s="117" t="n">
        <f aca="false">SUMIFS(الريسبي!$C$2:$C$1800,الريسبي!$A$2:$A$1800,$A77,الريسبي!$B$2:$B$1800,AK$1)</f>
        <v>0</v>
      </c>
      <c r="AL77" s="117" t="n">
        <f aca="false">SUMIFS(الريسبي!$C$2:$C$1800,الريسبي!$A$2:$A$1800,$A77,الريسبي!$B$2:$B$1800,AL$1)</f>
        <v>0</v>
      </c>
      <c r="AM77" s="117" t="n">
        <f aca="false">SUMIFS(الريسبي!$C$2:$C$1800,الريسبي!$A$2:$A$1800,$A77,الريسبي!$B$2:$B$1800,AM$1)+0.08333333333*SUMIFS(الريسبي!$C$2:$C$1800,الريسبي!$A$2:$A$1800,$A77,الريسبي!$B$2:$B$1800,"عجين كريب (مصنع بالمطعم)")+0.08333333333*SUMIFS(الريسبي!$C$2:$C$1800,الريسبي!$A$2:$A$1800,$A77,الريسبي!$B$2:$B$1800,"عجين كريب صيامي (بدون لبن)")</f>
        <v>0</v>
      </c>
      <c r="AN77" s="117" t="n">
        <f aca="false">SUMIFS(الريسبي!$C$2:$C$1800,الريسبي!$A$2:$A$1800,$A77,الريسبي!$B$2:$B$1800,AN$1)+0.004166666667*SUMIFS(الريسبي!$C$2:$C$1800,الريسبي!$A$2:$A$1800,$A77,الريسبي!$B$2:$B$1800,"عجين كريب (مصنع بالمطعم)")+0.004166666667*SUMIFS(الريسبي!$C$2:$C$1800,الريسبي!$A$2:$A$1800,$A77,الريسبي!$B$2:$B$1800,"عجين كريب صيامي (بدون لبن)")</f>
        <v>0</v>
      </c>
      <c r="AO77" s="117" t="n">
        <f aca="false">SUMIFS(الريسبي!$C$2:$C$1800,الريسبي!$A$2:$A$1800,$A77,الريسبي!$B$2:$B$1800,AO$1)</f>
        <v>0</v>
      </c>
      <c r="AP77" s="117" t="n">
        <f aca="false">SUMIFS(الريسبي!$C$2:$C$1800,الريسبي!$A$2:$A$1800,$A77,الريسبي!$B$2:$B$1800,AP$1)</f>
        <v>0.02</v>
      </c>
      <c r="AQ77" s="117" t="n">
        <f aca="false">SUMIFS(الريسبي!$C$2:$C$1800,الريسبي!$A$2:$A$1800,$A77,الريسبي!$B$2:$B$1800,AQ$1)+0.004166666667*SUMIFS(الريسبي!$C$2:$C$1800,الريسبي!$A$2:$A$1800,$A77,الريسبي!$B$2:$B$1800,"عجين كريب (مصنع بالمطعم)")+0.004166666667*SUMIFS(الريسبي!$C$2:$C$1800,الريسبي!$A$2:$A$1800,$A77,الريسبي!$B$2:$B$1800,"عجين كريب صيامي (بدون لبن)")</f>
        <v>0</v>
      </c>
      <c r="AR77" s="117" t="n">
        <f aca="false">SUMIFS(الريسبي!$C$2:$C$1800,الريسبي!$A$2:$A$1800,$A77,الريسبي!$B$2:$B$1800,AR$1)</f>
        <v>0</v>
      </c>
      <c r="AS77" s="117" t="n">
        <f aca="false">SUMIFS(الريسبي!$C$2:$C$1800,الريسبي!$A$2:$A$1800,$A77,الريسبي!$B$2:$B$1800,AS$1)</f>
        <v>0</v>
      </c>
      <c r="AT77" s="117" t="n">
        <f aca="false">SUMIFS(الريسبي!$C$2:$C$1800,الريسبي!$A$2:$A$1800,$A77,الريسبي!$B$2:$B$1800,AT$1)</f>
        <v>0</v>
      </c>
      <c r="AU77" s="117" t="n">
        <f aca="false">SUMIFS(الريسبي!$C$2:$C$1800,الريسبي!$A$2:$A$1800,$A77,الريسبي!$B$2:$B$1800,AU$1)</f>
        <v>0</v>
      </c>
      <c r="AV77" s="117" t="n">
        <f aca="false">SUMIFS(الريسبي!$C$2:$C$1800,الريسبي!$A$2:$A$1800,$A77,الريسبي!$B$2:$B$1800,AV$1)</f>
        <v>0</v>
      </c>
      <c r="AW77" s="117" t="n">
        <f aca="false">SUMIFS(الريسبي!$C$2:$C$1800,الريسبي!$A$2:$A$1800,$A77,الريسبي!$B$2:$B$1800,AW$1)</f>
        <v>0</v>
      </c>
      <c r="AX77" s="117" t="n">
        <f aca="false">SUMIFS(الريسبي!$C$2:$C$1800,الريسبي!$A$2:$A$1800,$A77,الريسبي!$B$2:$B$1800,AX$1)</f>
        <v>0.04</v>
      </c>
      <c r="AY77" s="117" t="n">
        <f aca="false">SUMIFS(الريسبي!$C$2:$C$1800,الريسبي!$A$2:$A$1800,$A77,الريسبي!$B$2:$B$1800,AY$1)</f>
        <v>0</v>
      </c>
      <c r="AZ77" s="117" t="n">
        <f aca="false">SUMIFS(الريسبي!$C$2:$C$1800,الريسبي!$A$2:$A$1800,$A77,الريسبي!$B$2:$B$1800,AZ$1)</f>
        <v>0</v>
      </c>
      <c r="BA77" s="117" t="n">
        <f aca="false">SUMIFS(الريسبي!$C$2:$C$1800,الريسبي!$A$2:$A$1800,$A77,الريسبي!$B$2:$B$1800,BA$1)</f>
        <v>0</v>
      </c>
      <c r="BB77" s="117" t="n">
        <f aca="false">SUMIFS(الريسبي!$C$2:$C$1800,الريسبي!$A$2:$A$1800,$A77,الريسبي!$B$2:$B$1800,BB$1)</f>
        <v>0</v>
      </c>
      <c r="BC77" s="117" t="n">
        <f aca="false">SUMIFS(الريسبي!$C$2:$C$1800,الريسبي!$A$2:$A$1800,$A77,الريسبي!$B$2:$B$1800,BC$1)</f>
        <v>0.03</v>
      </c>
      <c r="BD77" s="117" t="n">
        <f aca="false">SUMIFS(الريسبي!$C$2:$C$1800,الريسبي!$A$2:$A$1800,$A77,الريسبي!$B$2:$B$1800,BD$1)</f>
        <v>0.22</v>
      </c>
      <c r="BE77" s="117" t="n">
        <f aca="false">SUMIFS(الريسبي!$C$2:$C$1800,الريسبي!$A$2:$A$1800,$A77,الريسبي!$B$2:$B$1800,BE$1)</f>
        <v>0</v>
      </c>
      <c r="BF77" s="117" t="n">
        <f aca="false">SUMIFS(الريسبي!$C$2:$C$1800,الريسبي!$A$2:$A$1800,$A77,الريسبي!$B$2:$B$1800,BF$1)</f>
        <v>0</v>
      </c>
      <c r="BG77" s="117" t="n">
        <f aca="false">SUMIFS(الريسبي!$C$2:$C$1800,الريسبي!$A$2:$A$1800,$A77,الريسبي!$B$2:$B$1800,BG$1)</f>
        <v>0</v>
      </c>
      <c r="BH77" s="117" t="n">
        <f aca="false">SUMIFS(الريسبي!$C$2:$C$1800,الريسبي!$A$2:$A$1800,$A77,الريسبي!$B$2:$B$1800,BH$1)</f>
        <v>1</v>
      </c>
      <c r="BI77" s="117" t="n">
        <f aca="false">SUMIFS(الريسبي!$C$2:$C$1800,الريسبي!$A$2:$A$1800,$A77,الريسبي!$B$2:$B$1800,BI$1)</f>
        <v>0</v>
      </c>
      <c r="BJ77" s="117" t="n">
        <f aca="false">SUMIFS(الريسبي!$C$2:$C$1800,الريسبي!$A$2:$A$1800,$A77,الريسبي!$B$2:$B$1800,BJ$1)</f>
        <v>0</v>
      </c>
      <c r="BK77" s="117" t="n">
        <f aca="false">SUMIFS(الريسبي!$C$2:$C$1800,الريسبي!$A$2:$A$1800,$A77,الريسبي!$B$2:$B$1800,BK$1)</f>
        <v>0</v>
      </c>
      <c r="BL77" s="117" t="n">
        <f aca="false">SUMIFS(الريسبي!$C$2:$C$1800,الريسبي!$A$2:$A$1800,$A77,الريسبي!$B$2:$B$1800,BL$1)</f>
        <v>0</v>
      </c>
      <c r="BM77" s="117" t="n">
        <f aca="false">SUMIFS(الريسبي!$C$2:$C$1800,الريسبي!$A$2:$A$1800,$A77,الريسبي!$B$2:$B$1800,BM$1)</f>
        <v>0</v>
      </c>
      <c r="BN77" s="117" t="n">
        <f aca="false">SUMIFS(الريسبي!$C$2:$C$1800,الريسبي!$A$2:$A$1800,$A77,الريسبي!$B$2:$B$1800,BN$1)</f>
        <v>0.02</v>
      </c>
      <c r="BO77" s="117" t="n">
        <f aca="false">SUMIFS(الريسبي!$C$2:$C$1800,الريسبي!$A$2:$A$1800,$A77,الريسبي!$B$2:$B$1800,BO$1)</f>
        <v>0</v>
      </c>
      <c r="BP77" s="117" t="n">
        <f aca="false">SUMIFS(الريسبي!$C$2:$C$1800,الريسبي!$A$2:$A$1800,$A77,الريسبي!$B$2:$B$1800,BP$1)</f>
        <v>2</v>
      </c>
      <c r="BQ77" s="117" t="n">
        <f aca="false">SUMIFS(الريسبي!$C$2:$C$1800,الريسبي!$A$2:$A$1800,$A77,الريسبي!$B$2:$B$1800,BQ$1)+0.17*SUMIFS(الريسبي!$C$2:$C$1800,الريسبي!$A$2:$A$1800,$A77,الريسبي!$B$2:$B$1800,"كاسترد مصنع (خليط بودر + لبن)")+0.17*SUMIFS(الريسبي!$C$2:$C$1800,الريسبي!$A$2:$A$1800,$A77,الريسبي!$B$2:$B$1800,"كاسترد مصنع صيامي (بدون لبن)")</f>
        <v>0</v>
      </c>
      <c r="BR77" s="117" t="n">
        <f aca="false">SUMIFS(الريسبي!$C$2:$C$1800,الريسبي!$A$2:$A$1800,$A77,الريسبي!$B$2:$B$1800,BR$1)</f>
        <v>1</v>
      </c>
      <c r="BS77" s="117" t="n">
        <f aca="false">SUMIFS(الريسبي!$C$2:$C$1800,الريسبي!$A$2:$A$1800,$A77,الريسبي!$B$2:$B$1800,BS$1)</f>
        <v>0</v>
      </c>
      <c r="BT77" s="117" t="n">
        <f aca="false">SUMIFS(الريسبي!$C$2:$C$1800,الريسبي!$A$2:$A$1800,$A77,الريسبي!$B$2:$B$1800,BT$1)</f>
        <v>0</v>
      </c>
      <c r="BU77" s="117" t="n">
        <f aca="false">SUMIFS(الريسبي!$C$2:$C$1800,الريسبي!$A$2:$A$1800,$A77,الريسبي!$B$2:$B$1800,BU$1)+0.4*SUMIFS(الريسبي!$C$2:$C$1800,الريسبي!$A$2:$A$1800,$A77,الريسبي!$B$2:$B$1800,"كاسترد مصنع (خليط بودر + لبن)")+0.03333333333*SUMIFS(الريسبي!$C$2:$C$1800,الريسبي!$A$2:$A$1800,$A77,الريسبي!$B$2:$B$1800,"عجين كريب (مصنع بالمطعم)")</f>
        <v>0</v>
      </c>
      <c r="BV77" s="117" t="n">
        <f aca="false">SUMIFS(الريسبي!$C$2:$C$1800,الريسبي!$A$2:$A$1800,$A77,الريسبي!$B$2:$B$1800,BV$1)</f>
        <v>0</v>
      </c>
      <c r="BW77" s="117" t="n">
        <f aca="false">SUMIFS(الريسبي!$C$2:$C$1800,الريسبي!$A$2:$A$1800,$A77,الريسبي!$B$2:$B$1800,BW$1)</f>
        <v>0</v>
      </c>
      <c r="BX77" s="117" t="n">
        <f aca="false">SUMIFS(الريسبي!$C$2:$C$1800,الريسبي!$A$2:$A$1800,$A77,الريسبي!$B$2:$B$1800,BX$1)</f>
        <v>0</v>
      </c>
      <c r="BY77" s="117" t="n">
        <f aca="false">SUMIFS(الريسبي!$C$2:$C$1800,الريسبي!$A$2:$A$1800,$A77,الريسبي!$B$2:$B$1800,BY$1)</f>
        <v>0</v>
      </c>
      <c r="BZ77" s="117" t="n">
        <f aca="false">SUMIFS(الريسبي!$C$2:$C$1800,الريسبي!$A$2:$A$1800,$A77,الريسبي!$B$2:$B$1800,BZ$1)</f>
        <v>0</v>
      </c>
      <c r="CA77" s="117" t="n">
        <f aca="false">SUMIFS(الريسبي!$C$2:$C$1800,الريسبي!$A$2:$A$1800,$A77,الريسبي!$B$2:$B$1800,CA$1)</f>
        <v>1</v>
      </c>
      <c r="CB77" s="117" t="n">
        <f aca="false">SUMIFS(الريسبي!$C$2:$C$1800,الريسبي!$A$2:$A$1800,$A77,الريسبي!$B$2:$B$1800,CB$1)</f>
        <v>1</v>
      </c>
      <c r="CC77" s="117" t="n">
        <f aca="false">SUMIFS(الريسبي!$C$2:$C$1800,الريسبي!$A$2:$A$1800,$A77,الريسبي!$B$2:$B$1800,CC$1)</f>
        <v>0</v>
      </c>
      <c r="CD77" s="117" t="n">
        <f aca="false">SUMIFS(الريسبي!$C$2:$C$1800,الريسبي!$A$2:$A$1800,$A77,الريسبي!$B$2:$B$1800,CD$1)</f>
        <v>0</v>
      </c>
      <c r="CE77" s="117" t="n">
        <f aca="false">SUMIFS(الريسبي!$C$2:$C$1800,الريسبي!$A$2:$A$1800,$A77,الريسبي!$B$2:$B$1800,CE$1)</f>
        <v>0</v>
      </c>
      <c r="CF77" s="117" t="n">
        <f aca="false">SUMIFS(الريسبي!$C$2:$C$1800,الريسبي!$A$2:$A$1800,$A77,الريسبي!$B$2:$B$1800,CF$1)</f>
        <v>0</v>
      </c>
      <c r="CG77" s="117" t="n">
        <f aca="false">SUMIFS(الريسبي!$C$2:$C$1800,الريسبي!$A$2:$A$1800,$A77,الريسبي!$B$2:$B$1800,CG$1)</f>
        <v>0</v>
      </c>
      <c r="CH77" s="117" t="n">
        <f aca="false">SUMIFS(الريسبي!$C$2:$C$1800,الريسبي!$A$2:$A$1800,$A77,الريسبي!$B$2:$B$1800,CH$1)</f>
        <v>0</v>
      </c>
      <c r="CI77" s="117" t="n">
        <f aca="false">SUMIFS(الريسبي!$C$2:$C$1800,الريسبي!$A$2:$A$1800,$A77,الريسبي!$B$2:$B$1800,CI$1)</f>
        <v>0</v>
      </c>
      <c r="CJ77" s="117" t="n">
        <f aca="false">SUMIFS(الريسبي!$C$2:$C$1800,الريسبي!$A$2:$A$1800,$A77,الريسبي!$B$2:$B$1800,CJ$1)</f>
        <v>0</v>
      </c>
      <c r="CK77" s="117" t="n">
        <f aca="false">SUMIFS(الريسبي!$C$2:$C$1800,الريسبي!$A$2:$A$1800,$A77,الريسبي!$B$2:$B$1800,CK$1)</f>
        <v>0</v>
      </c>
      <c r="CL77" s="117" t="n">
        <f aca="false">SUMIFS(الريسبي!$C$2:$C$1800,الريسبي!$A$2:$A$1800,$A77,الريسبي!$B$2:$B$1800,CL$1)</f>
        <v>0</v>
      </c>
    </row>
    <row r="78" customFormat="false" ht="15" hidden="false" customHeight="false" outlineLevel="0" collapsed="false">
      <c r="A78" s="116" t="str">
        <f aca="false">المنيو!B78</f>
        <v>بيتزا مارجريتا صيامي مخصوص</v>
      </c>
      <c r="B78" s="117" t="n">
        <f aca="false">SUMIFS(الريسبي!$C$2:$C$1800,الريسبي!$A$2:$A$1800,$A78,الريسبي!$B$2:$B$1800,B$1)</f>
        <v>0</v>
      </c>
      <c r="C78" s="117" t="n">
        <f aca="false">SUMIFS(الريسبي!$C$2:$C$1800,الريسبي!$A$2:$A$1800,$A78,الريسبي!$B$2:$B$1800,C$1)</f>
        <v>0</v>
      </c>
      <c r="D78" s="117" t="n">
        <f aca="false">SUMIFS(الريسبي!$C$2:$C$1800,الريسبي!$A$2:$A$1800,$A78,الريسبي!$B$2:$B$1800,D$1)</f>
        <v>1</v>
      </c>
      <c r="E78" s="117" t="n">
        <f aca="false">SUMIFS(الريسبي!$C$2:$C$1800,الريسبي!$A$2:$A$1800,$A78,الريسبي!$B$2:$B$1800,E$1)</f>
        <v>0</v>
      </c>
      <c r="F78" s="117" t="n">
        <f aca="false">SUMIFS(الريسبي!$C$2:$C$1800,الريسبي!$A$2:$A$1800,$A78,الريسبي!$B$2:$B$1800,F$1)</f>
        <v>0</v>
      </c>
      <c r="G78" s="117" t="n">
        <f aca="false">SUMIFS(الريسبي!$C$2:$C$1800,الريسبي!$A$2:$A$1800,$A78,الريسبي!$B$2:$B$1800,G$1)</f>
        <v>0</v>
      </c>
      <c r="H78" s="117" t="n">
        <f aca="false">SUMIFS(الريسبي!$C$2:$C$1800,الريسبي!$A$2:$A$1800,$A78,الريسبي!$B$2:$B$1800,H$1)</f>
        <v>0</v>
      </c>
      <c r="I78" s="117" t="n">
        <f aca="false">SUMIFS(الريسبي!$C$2:$C$1800,الريسبي!$A$2:$A$1800,$A78,الريسبي!$B$2:$B$1800,I$1)</f>
        <v>0</v>
      </c>
      <c r="J78" s="117" t="n">
        <f aca="false">SUMIFS(الريسبي!$C$2:$C$1800,الريسبي!$A$2:$A$1800,$A78,الريسبي!$B$2:$B$1800,J$1)</f>
        <v>0</v>
      </c>
      <c r="K78" s="117" t="n">
        <f aca="false">SUMIFS(الريسبي!$C$2:$C$1800,الريسبي!$A$2:$A$1800,$A78,الريسبي!$B$2:$B$1800,K$1)</f>
        <v>0</v>
      </c>
      <c r="L78" s="117" t="n">
        <f aca="false">SUMIFS(الريسبي!$C$2:$C$1800,الريسبي!$A$2:$A$1800,$A78,الريسبي!$B$2:$B$1800,L$1)</f>
        <v>0</v>
      </c>
      <c r="M78" s="117" t="n">
        <f aca="false">SUMIFS(الريسبي!$C$2:$C$1800,الريسبي!$A$2:$A$1800,$A78,الريسبي!$B$2:$B$1800,M$1)</f>
        <v>0</v>
      </c>
      <c r="N78" s="117" t="n">
        <f aca="false">SUMIFS(الريسبي!$C$2:$C$1800,الريسبي!$A$2:$A$1800,$A78,الريسبي!$B$2:$B$1800,N$1)</f>
        <v>0</v>
      </c>
      <c r="O78" s="117" t="n">
        <f aca="false">SUMIFS(الريسبي!$C$2:$C$1800,الريسبي!$A$2:$A$1800,$A78,الريسبي!$B$2:$B$1800,O$1)</f>
        <v>0</v>
      </c>
      <c r="P78" s="117" t="n">
        <f aca="false">SUMIFS(الريسبي!$C$2:$C$1800,الريسبي!$A$2:$A$1800,$A78,الريسبي!$B$2:$B$1800,P$1)</f>
        <v>0</v>
      </c>
      <c r="Q78" s="117" t="n">
        <f aca="false">SUMIFS(الريسبي!$C$2:$C$1800,الريسبي!$A$2:$A$1800,$A78,الريسبي!$B$2:$B$1800,Q$1)</f>
        <v>0</v>
      </c>
      <c r="R78" s="117" t="n">
        <f aca="false">SUMIFS(الريسبي!$C$2:$C$1800,الريسبي!$A$2:$A$1800,$A78,الريسبي!$B$2:$B$1800,R$1)</f>
        <v>0</v>
      </c>
      <c r="S78" s="117" t="n">
        <f aca="false">SUMIFS(الريسبي!$C$2:$C$1800,الريسبي!$A$2:$A$1800,$A78,الريسبي!$B$2:$B$1800,S$1)</f>
        <v>0</v>
      </c>
      <c r="T78" s="117" t="n">
        <f aca="false">SUMIFS(الريسبي!$C$2:$C$1800,الريسبي!$A$2:$A$1800,$A78,الريسبي!$B$2:$B$1800,T$1)</f>
        <v>0</v>
      </c>
      <c r="U78" s="117" t="n">
        <f aca="false">SUMIFS(الريسبي!$C$2:$C$1800,الريسبي!$A$2:$A$1800,$A78,الريسبي!$B$2:$B$1800,U$1)</f>
        <v>0</v>
      </c>
      <c r="V78" s="117" t="n">
        <f aca="false">SUMIFS(الريسبي!$C$2:$C$1800,الريسبي!$A$2:$A$1800,$A78,الريسبي!$B$2:$B$1800,V$1)</f>
        <v>0</v>
      </c>
      <c r="W78" s="117" t="n">
        <f aca="false">SUMIFS(الريسبي!$C$2:$C$1800,الريسبي!$A$2:$A$1800,$A78,الريسبي!$B$2:$B$1800,W$1)</f>
        <v>0</v>
      </c>
      <c r="X78" s="117" t="n">
        <f aca="false">SUMIFS(الريسبي!$C$2:$C$1800,الريسبي!$A$2:$A$1800,$A78,الريسبي!$B$2:$B$1800,X$1)</f>
        <v>0</v>
      </c>
      <c r="Y78" s="117" t="n">
        <f aca="false">SUMIFS(الريسبي!$C$2:$C$1800,الريسبي!$A$2:$A$1800,$A78,الريسبي!$B$2:$B$1800,Y$1)</f>
        <v>1</v>
      </c>
      <c r="Z78" s="117" t="n">
        <f aca="false">SUMIFS(الريسبي!$C$2:$C$1800,الريسبي!$A$2:$A$1800,$A78,الريسبي!$B$2:$B$1800,Z$1)</f>
        <v>0</v>
      </c>
      <c r="AA78" s="117" t="n">
        <f aca="false">SUMIFS(الريسبي!$C$2:$C$1800,الريسبي!$A$2:$A$1800,$A78,الريسبي!$B$2:$B$1800,AA$1)</f>
        <v>0</v>
      </c>
      <c r="AB78" s="117" t="n">
        <f aca="false">SUMIFS(الريسبي!$C$2:$C$1800,الريسبي!$A$2:$A$1800,$A78,الريسبي!$B$2:$B$1800,AB$1)</f>
        <v>0</v>
      </c>
      <c r="AC78" s="117" t="n">
        <f aca="false">SUMIFS(الريسبي!$C$2:$C$1800,الريسبي!$A$2:$A$1800,$A78,الريسبي!$B$2:$B$1800,AC$1)</f>
        <v>0</v>
      </c>
      <c r="AD78" s="117" t="n">
        <f aca="false">SUMIFS(الريسبي!$C$2:$C$1800,الريسبي!$A$2:$A$1800,$A78,الريسبي!$B$2:$B$1800,AD$1)</f>
        <v>0</v>
      </c>
      <c r="AE78" s="117" t="n">
        <f aca="false">SUMIFS(الريسبي!$C$2:$C$1800,الريسبي!$A$2:$A$1800,$A78,الريسبي!$B$2:$B$1800,AE$1)</f>
        <v>0</v>
      </c>
      <c r="AF78" s="117" t="n">
        <f aca="false">SUMIFS(الريسبي!$C$2:$C$1800,الريسبي!$A$2:$A$1800,$A78,الريسبي!$B$2:$B$1800,AF$1)</f>
        <v>0</v>
      </c>
      <c r="AG78" s="117" t="n">
        <f aca="false">SUMIFS(الريسبي!$C$2:$C$1800,الريسبي!$A$2:$A$1800,$A78,الريسبي!$B$2:$B$1800,AG$1)</f>
        <v>0</v>
      </c>
      <c r="AH78" s="117" t="n">
        <f aca="false">SUMIFS(الريسبي!$C$2:$C$1800,الريسبي!$A$2:$A$1800,$A78,الريسبي!$B$2:$B$1800,AH$1)</f>
        <v>0</v>
      </c>
      <c r="AI78" s="117" t="n">
        <f aca="false">SUMIFS(الريسبي!$C$2:$C$1800,الريسبي!$A$2:$A$1800,$A78,الريسبي!$B$2:$B$1800,AI$1)</f>
        <v>0</v>
      </c>
      <c r="AJ78" s="117" t="n">
        <f aca="false">SUMIFS(الريسبي!$C$2:$C$1800,الريسبي!$A$2:$A$1800,$A78,الريسبي!$B$2:$B$1800,AJ$1)</f>
        <v>2</v>
      </c>
      <c r="AK78" s="117" t="n">
        <f aca="false">SUMIFS(الريسبي!$C$2:$C$1800,الريسبي!$A$2:$A$1800,$A78,الريسبي!$B$2:$B$1800,AK$1)</f>
        <v>0</v>
      </c>
      <c r="AL78" s="117" t="n">
        <f aca="false">SUMIFS(الريسبي!$C$2:$C$1800,الريسبي!$A$2:$A$1800,$A78,الريسبي!$B$2:$B$1800,AL$1)</f>
        <v>0</v>
      </c>
      <c r="AM78" s="117" t="n">
        <f aca="false">SUMIFS(الريسبي!$C$2:$C$1800,الريسبي!$A$2:$A$1800,$A78,الريسبي!$B$2:$B$1800,AM$1)+0.08333333333*SUMIFS(الريسبي!$C$2:$C$1800,الريسبي!$A$2:$A$1800,$A78,الريسبي!$B$2:$B$1800,"عجين كريب (مصنع بالمطعم)")+0.08333333333*SUMIFS(الريسبي!$C$2:$C$1800,الريسبي!$A$2:$A$1800,$A78,الريسبي!$B$2:$B$1800,"عجين كريب صيامي (بدون لبن)")</f>
        <v>0</v>
      </c>
      <c r="AN78" s="117" t="n">
        <f aca="false">SUMIFS(الريسبي!$C$2:$C$1800,الريسبي!$A$2:$A$1800,$A78,الريسبي!$B$2:$B$1800,AN$1)+0.004166666667*SUMIFS(الريسبي!$C$2:$C$1800,الريسبي!$A$2:$A$1800,$A78,الريسبي!$B$2:$B$1800,"عجين كريب (مصنع بالمطعم)")+0.004166666667*SUMIFS(الريسبي!$C$2:$C$1800,الريسبي!$A$2:$A$1800,$A78,الريسبي!$B$2:$B$1800,"عجين كريب صيامي (بدون لبن)")</f>
        <v>0</v>
      </c>
      <c r="AO78" s="117" t="n">
        <f aca="false">SUMIFS(الريسبي!$C$2:$C$1800,الريسبي!$A$2:$A$1800,$A78,الريسبي!$B$2:$B$1800,AO$1)</f>
        <v>0</v>
      </c>
      <c r="AP78" s="117" t="n">
        <f aca="false">SUMIFS(الريسبي!$C$2:$C$1800,الريسبي!$A$2:$A$1800,$A78,الريسبي!$B$2:$B$1800,AP$1)</f>
        <v>0.03</v>
      </c>
      <c r="AQ78" s="117" t="n">
        <f aca="false">SUMIFS(الريسبي!$C$2:$C$1800,الريسبي!$A$2:$A$1800,$A78,الريسبي!$B$2:$B$1800,AQ$1)+0.004166666667*SUMIFS(الريسبي!$C$2:$C$1800,الريسبي!$A$2:$A$1800,$A78,الريسبي!$B$2:$B$1800,"عجين كريب (مصنع بالمطعم)")+0.004166666667*SUMIFS(الريسبي!$C$2:$C$1800,الريسبي!$A$2:$A$1800,$A78,الريسبي!$B$2:$B$1800,"عجين كريب صيامي (بدون لبن)")</f>
        <v>0</v>
      </c>
      <c r="AR78" s="117" t="n">
        <f aca="false">SUMIFS(الريسبي!$C$2:$C$1800,الريسبي!$A$2:$A$1800,$A78,الريسبي!$B$2:$B$1800,AR$1)</f>
        <v>0</v>
      </c>
      <c r="AS78" s="117" t="n">
        <f aca="false">SUMIFS(الريسبي!$C$2:$C$1800,الريسبي!$A$2:$A$1800,$A78,الريسبي!$B$2:$B$1800,AS$1)</f>
        <v>0</v>
      </c>
      <c r="AT78" s="117" t="n">
        <f aca="false">SUMIFS(الريسبي!$C$2:$C$1800,الريسبي!$A$2:$A$1800,$A78,الريسبي!$B$2:$B$1800,AT$1)</f>
        <v>0</v>
      </c>
      <c r="AU78" s="117" t="n">
        <f aca="false">SUMIFS(الريسبي!$C$2:$C$1800,الريسبي!$A$2:$A$1800,$A78,الريسبي!$B$2:$B$1800,AU$1)</f>
        <v>0</v>
      </c>
      <c r="AV78" s="117" t="n">
        <f aca="false">SUMIFS(الريسبي!$C$2:$C$1800,الريسبي!$A$2:$A$1800,$A78,الريسبي!$B$2:$B$1800,AV$1)</f>
        <v>0</v>
      </c>
      <c r="AW78" s="117" t="n">
        <f aca="false">SUMIFS(الريسبي!$C$2:$C$1800,الريسبي!$A$2:$A$1800,$A78,الريسبي!$B$2:$B$1800,AW$1)</f>
        <v>0</v>
      </c>
      <c r="AX78" s="117" t="n">
        <f aca="false">SUMIFS(الريسبي!$C$2:$C$1800,الريسبي!$A$2:$A$1800,$A78,الريسبي!$B$2:$B$1800,AX$1)</f>
        <v>0.06</v>
      </c>
      <c r="AY78" s="117" t="n">
        <f aca="false">SUMIFS(الريسبي!$C$2:$C$1800,الريسبي!$A$2:$A$1800,$A78,الريسبي!$B$2:$B$1800,AY$1)</f>
        <v>0</v>
      </c>
      <c r="AZ78" s="117" t="n">
        <f aca="false">SUMIFS(الريسبي!$C$2:$C$1800,الريسبي!$A$2:$A$1800,$A78,الريسبي!$B$2:$B$1800,AZ$1)</f>
        <v>0</v>
      </c>
      <c r="BA78" s="117" t="n">
        <f aca="false">SUMIFS(الريسبي!$C$2:$C$1800,الريسبي!$A$2:$A$1800,$A78,الريسبي!$B$2:$B$1800,BA$1)</f>
        <v>0</v>
      </c>
      <c r="BB78" s="117" t="n">
        <f aca="false">SUMIFS(الريسبي!$C$2:$C$1800,الريسبي!$A$2:$A$1800,$A78,الريسبي!$B$2:$B$1800,BB$1)</f>
        <v>0</v>
      </c>
      <c r="BC78" s="117" t="n">
        <f aca="false">SUMIFS(الريسبي!$C$2:$C$1800,الريسبي!$A$2:$A$1800,$A78,الريسبي!$B$2:$B$1800,BC$1)</f>
        <v>0.045</v>
      </c>
      <c r="BD78" s="117" t="n">
        <f aca="false">SUMIFS(الريسبي!$C$2:$C$1800,الريسبي!$A$2:$A$1800,$A78,الريسبي!$B$2:$B$1800,BD$1)</f>
        <v>0.3</v>
      </c>
      <c r="BE78" s="117" t="n">
        <f aca="false">SUMIFS(الريسبي!$C$2:$C$1800,الريسبي!$A$2:$A$1800,$A78,الريسبي!$B$2:$B$1800,BE$1)</f>
        <v>0</v>
      </c>
      <c r="BF78" s="117" t="n">
        <f aca="false">SUMIFS(الريسبي!$C$2:$C$1800,الريسبي!$A$2:$A$1800,$A78,الريسبي!$B$2:$B$1800,BF$1)</f>
        <v>0</v>
      </c>
      <c r="BG78" s="117" t="n">
        <f aca="false">SUMIFS(الريسبي!$C$2:$C$1800,الريسبي!$A$2:$A$1800,$A78,الريسبي!$B$2:$B$1800,BG$1)</f>
        <v>1</v>
      </c>
      <c r="BH78" s="117" t="n">
        <f aca="false">SUMIFS(الريسبي!$C$2:$C$1800,الريسبي!$A$2:$A$1800,$A78,الريسبي!$B$2:$B$1800,BH$1)</f>
        <v>0</v>
      </c>
      <c r="BI78" s="117" t="n">
        <f aca="false">SUMIFS(الريسبي!$C$2:$C$1800,الريسبي!$A$2:$A$1800,$A78,الريسبي!$B$2:$B$1800,BI$1)</f>
        <v>0</v>
      </c>
      <c r="BJ78" s="117" t="n">
        <f aca="false">SUMIFS(الريسبي!$C$2:$C$1800,الريسبي!$A$2:$A$1800,$A78,الريسبي!$B$2:$B$1800,BJ$1)</f>
        <v>0</v>
      </c>
      <c r="BK78" s="117" t="n">
        <f aca="false">SUMIFS(الريسبي!$C$2:$C$1800,الريسبي!$A$2:$A$1800,$A78,الريسبي!$B$2:$B$1800,BK$1)</f>
        <v>0</v>
      </c>
      <c r="BL78" s="117" t="n">
        <f aca="false">SUMIFS(الريسبي!$C$2:$C$1800,الريسبي!$A$2:$A$1800,$A78,الريسبي!$B$2:$B$1800,BL$1)</f>
        <v>0</v>
      </c>
      <c r="BM78" s="117" t="n">
        <f aca="false">SUMIFS(الريسبي!$C$2:$C$1800,الريسبي!$A$2:$A$1800,$A78,الريسبي!$B$2:$B$1800,BM$1)</f>
        <v>0</v>
      </c>
      <c r="BN78" s="117" t="n">
        <f aca="false">SUMIFS(الريسبي!$C$2:$C$1800,الريسبي!$A$2:$A$1800,$A78,الريسبي!$B$2:$B$1800,BN$1)</f>
        <v>0.03</v>
      </c>
      <c r="BO78" s="117" t="n">
        <f aca="false">SUMIFS(الريسبي!$C$2:$C$1800,الريسبي!$A$2:$A$1800,$A78,الريسبي!$B$2:$B$1800,BO$1)</f>
        <v>0</v>
      </c>
      <c r="BP78" s="117" t="n">
        <f aca="false">SUMIFS(الريسبي!$C$2:$C$1800,الريسبي!$A$2:$A$1800,$A78,الريسبي!$B$2:$B$1800,BP$1)</f>
        <v>3</v>
      </c>
      <c r="BQ78" s="117" t="n">
        <f aca="false">SUMIFS(الريسبي!$C$2:$C$1800,الريسبي!$A$2:$A$1800,$A78,الريسبي!$B$2:$B$1800,BQ$1)+0.17*SUMIFS(الريسبي!$C$2:$C$1800,الريسبي!$A$2:$A$1800,$A78,الريسبي!$B$2:$B$1800,"كاسترد مصنع (خليط بودر + لبن)")+0.17*SUMIFS(الريسبي!$C$2:$C$1800,الريسبي!$A$2:$A$1800,$A78,الريسبي!$B$2:$B$1800,"كاسترد مصنع صيامي (بدون لبن)")</f>
        <v>0</v>
      </c>
      <c r="BR78" s="117" t="n">
        <f aca="false">SUMIFS(الريسبي!$C$2:$C$1800,الريسبي!$A$2:$A$1800,$A78,الريسبي!$B$2:$B$1800,BR$1)</f>
        <v>1</v>
      </c>
      <c r="BS78" s="117" t="n">
        <f aca="false">SUMIFS(الريسبي!$C$2:$C$1800,الريسبي!$A$2:$A$1800,$A78,الريسبي!$B$2:$B$1800,BS$1)</f>
        <v>0</v>
      </c>
      <c r="BT78" s="117" t="n">
        <f aca="false">SUMIFS(الريسبي!$C$2:$C$1800,الريسبي!$A$2:$A$1800,$A78,الريسبي!$B$2:$B$1800,BT$1)</f>
        <v>0</v>
      </c>
      <c r="BU78" s="117" t="n">
        <f aca="false">SUMIFS(الريسبي!$C$2:$C$1800,الريسبي!$A$2:$A$1800,$A78,الريسبي!$B$2:$B$1800,BU$1)+0.4*SUMIFS(الريسبي!$C$2:$C$1800,الريسبي!$A$2:$A$1800,$A78,الريسبي!$B$2:$B$1800,"كاسترد مصنع (خليط بودر + لبن)")+0.03333333333*SUMIFS(الريسبي!$C$2:$C$1800,الريسبي!$A$2:$A$1800,$A78,الريسبي!$B$2:$B$1800,"عجين كريب (مصنع بالمطعم)")</f>
        <v>0</v>
      </c>
      <c r="BV78" s="117" t="n">
        <f aca="false">SUMIFS(الريسبي!$C$2:$C$1800,الريسبي!$A$2:$A$1800,$A78,الريسبي!$B$2:$B$1800,BV$1)</f>
        <v>0</v>
      </c>
      <c r="BW78" s="117" t="n">
        <f aca="false">SUMIFS(الريسبي!$C$2:$C$1800,الريسبي!$A$2:$A$1800,$A78,الريسبي!$B$2:$B$1800,BW$1)</f>
        <v>0</v>
      </c>
      <c r="BX78" s="117" t="n">
        <f aca="false">SUMIFS(الريسبي!$C$2:$C$1800,الريسبي!$A$2:$A$1800,$A78,الريسبي!$B$2:$B$1800,BX$1)</f>
        <v>0</v>
      </c>
      <c r="BY78" s="117" t="n">
        <f aca="false">SUMIFS(الريسبي!$C$2:$C$1800,الريسبي!$A$2:$A$1800,$A78,الريسبي!$B$2:$B$1800,BY$1)</f>
        <v>0</v>
      </c>
      <c r="BZ78" s="117" t="n">
        <f aca="false">SUMIFS(الريسبي!$C$2:$C$1800,الريسبي!$A$2:$A$1800,$A78,الريسبي!$B$2:$B$1800,BZ$1)</f>
        <v>0</v>
      </c>
      <c r="CA78" s="117" t="n">
        <f aca="false">SUMIFS(الريسبي!$C$2:$C$1800,الريسبي!$A$2:$A$1800,$A78,الريسبي!$B$2:$B$1800,CA$1)</f>
        <v>1</v>
      </c>
      <c r="CB78" s="117" t="n">
        <f aca="false">SUMIFS(الريسبي!$C$2:$C$1800,الريسبي!$A$2:$A$1800,$A78,الريسبي!$B$2:$B$1800,CB$1)</f>
        <v>1</v>
      </c>
      <c r="CC78" s="117" t="n">
        <f aca="false">SUMIFS(الريسبي!$C$2:$C$1800,الريسبي!$A$2:$A$1800,$A78,الريسبي!$B$2:$B$1800,CC$1)</f>
        <v>0</v>
      </c>
      <c r="CD78" s="117" t="n">
        <f aca="false">SUMIFS(الريسبي!$C$2:$C$1800,الريسبي!$A$2:$A$1800,$A78,الريسبي!$B$2:$B$1800,CD$1)</f>
        <v>0</v>
      </c>
      <c r="CE78" s="117" t="n">
        <f aca="false">SUMIFS(الريسبي!$C$2:$C$1800,الريسبي!$A$2:$A$1800,$A78,الريسبي!$B$2:$B$1800,CE$1)</f>
        <v>0</v>
      </c>
      <c r="CF78" s="117" t="n">
        <f aca="false">SUMIFS(الريسبي!$C$2:$C$1800,الريسبي!$A$2:$A$1800,$A78,الريسبي!$B$2:$B$1800,CF$1)</f>
        <v>0</v>
      </c>
      <c r="CG78" s="117" t="n">
        <f aca="false">SUMIFS(الريسبي!$C$2:$C$1800,الريسبي!$A$2:$A$1800,$A78,الريسبي!$B$2:$B$1800,CG$1)</f>
        <v>0</v>
      </c>
      <c r="CH78" s="117" t="n">
        <f aca="false">SUMIFS(الريسبي!$C$2:$C$1800,الريسبي!$A$2:$A$1800,$A78,الريسبي!$B$2:$B$1800,CH$1)</f>
        <v>0</v>
      </c>
      <c r="CI78" s="117" t="n">
        <f aca="false">SUMIFS(الريسبي!$C$2:$C$1800,الريسبي!$A$2:$A$1800,$A78,الريسبي!$B$2:$B$1800,CI$1)</f>
        <v>0</v>
      </c>
      <c r="CJ78" s="117" t="n">
        <f aca="false">SUMIFS(الريسبي!$C$2:$C$1800,الريسبي!$A$2:$A$1800,$A78,الريسبي!$B$2:$B$1800,CJ$1)</f>
        <v>0</v>
      </c>
      <c r="CK78" s="117" t="n">
        <f aca="false">SUMIFS(الريسبي!$C$2:$C$1800,الريسبي!$A$2:$A$1800,$A78,الريسبي!$B$2:$B$1800,CK$1)</f>
        <v>0</v>
      </c>
      <c r="CL78" s="117" t="n">
        <f aca="false">SUMIFS(الريسبي!$C$2:$C$1800,الريسبي!$A$2:$A$1800,$A78,الريسبي!$B$2:$B$1800,CL$1)</f>
        <v>0</v>
      </c>
    </row>
    <row r="79" customFormat="false" ht="15" hidden="false" customHeight="false" outlineLevel="0" collapsed="false">
      <c r="A79" s="116" t="str">
        <f aca="false">المنيو!B79</f>
        <v>بيتزا مشروم صيامي وسط</v>
      </c>
      <c r="B79" s="117" t="n">
        <f aca="false">SUMIFS(الريسبي!$C$2:$C$1800,الريسبي!$A$2:$A$1800,$A79,الريسبي!$B$2:$B$1800,B$1)</f>
        <v>0</v>
      </c>
      <c r="C79" s="117" t="n">
        <f aca="false">SUMIFS(الريسبي!$C$2:$C$1800,الريسبي!$A$2:$A$1800,$A79,الريسبي!$B$2:$B$1800,C$1)</f>
        <v>0</v>
      </c>
      <c r="D79" s="117" t="n">
        <f aca="false">SUMIFS(الريسبي!$C$2:$C$1800,الريسبي!$A$2:$A$1800,$A79,الريسبي!$B$2:$B$1800,D$1)</f>
        <v>1</v>
      </c>
      <c r="E79" s="117" t="n">
        <f aca="false">SUMIFS(الريسبي!$C$2:$C$1800,الريسبي!$A$2:$A$1800,$A79,الريسبي!$B$2:$B$1800,E$1)</f>
        <v>0</v>
      </c>
      <c r="F79" s="117" t="n">
        <f aca="false">SUMIFS(الريسبي!$C$2:$C$1800,الريسبي!$A$2:$A$1800,$A79,الريسبي!$B$2:$B$1800,F$1)</f>
        <v>0</v>
      </c>
      <c r="G79" s="117" t="n">
        <f aca="false">SUMIFS(الريسبي!$C$2:$C$1800,الريسبي!$A$2:$A$1800,$A79,الريسبي!$B$2:$B$1800,G$1)</f>
        <v>0</v>
      </c>
      <c r="H79" s="117" t="n">
        <f aca="false">SUMIFS(الريسبي!$C$2:$C$1800,الريسبي!$A$2:$A$1800,$A79,الريسبي!$B$2:$B$1800,H$1)</f>
        <v>0</v>
      </c>
      <c r="I79" s="117" t="n">
        <f aca="false">SUMIFS(الريسبي!$C$2:$C$1800,الريسبي!$A$2:$A$1800,$A79,الريسبي!$B$2:$B$1800,I$1)</f>
        <v>0</v>
      </c>
      <c r="J79" s="117" t="n">
        <f aca="false">SUMIFS(الريسبي!$C$2:$C$1800,الريسبي!$A$2:$A$1800,$A79,الريسبي!$B$2:$B$1800,J$1)</f>
        <v>0</v>
      </c>
      <c r="K79" s="117" t="n">
        <f aca="false">SUMIFS(الريسبي!$C$2:$C$1800,الريسبي!$A$2:$A$1800,$A79,الريسبي!$B$2:$B$1800,K$1)</f>
        <v>0</v>
      </c>
      <c r="L79" s="117" t="n">
        <f aca="false">SUMIFS(الريسبي!$C$2:$C$1800,الريسبي!$A$2:$A$1800,$A79,الريسبي!$B$2:$B$1800,L$1)</f>
        <v>0</v>
      </c>
      <c r="M79" s="117" t="n">
        <f aca="false">SUMIFS(الريسبي!$C$2:$C$1800,الريسبي!$A$2:$A$1800,$A79,الريسبي!$B$2:$B$1800,M$1)</f>
        <v>0</v>
      </c>
      <c r="N79" s="117" t="n">
        <f aca="false">SUMIFS(الريسبي!$C$2:$C$1800,الريسبي!$A$2:$A$1800,$A79,الريسبي!$B$2:$B$1800,N$1)</f>
        <v>0</v>
      </c>
      <c r="O79" s="117" t="n">
        <f aca="false">SUMIFS(الريسبي!$C$2:$C$1800,الريسبي!$A$2:$A$1800,$A79,الريسبي!$B$2:$B$1800,O$1)</f>
        <v>0</v>
      </c>
      <c r="P79" s="117" t="n">
        <f aca="false">SUMIFS(الريسبي!$C$2:$C$1800,الريسبي!$A$2:$A$1800,$A79,الريسبي!$B$2:$B$1800,P$1)</f>
        <v>0</v>
      </c>
      <c r="Q79" s="117" t="n">
        <f aca="false">SUMIFS(الريسبي!$C$2:$C$1800,الريسبي!$A$2:$A$1800,$A79,الريسبي!$B$2:$B$1800,Q$1)</f>
        <v>0</v>
      </c>
      <c r="R79" s="117" t="n">
        <f aca="false">SUMIFS(الريسبي!$C$2:$C$1800,الريسبي!$A$2:$A$1800,$A79,الريسبي!$B$2:$B$1800,R$1)</f>
        <v>0</v>
      </c>
      <c r="S79" s="117" t="n">
        <f aca="false">SUMIFS(الريسبي!$C$2:$C$1800,الريسبي!$A$2:$A$1800,$A79,الريسبي!$B$2:$B$1800,S$1)</f>
        <v>0</v>
      </c>
      <c r="T79" s="117" t="n">
        <f aca="false">SUMIFS(الريسبي!$C$2:$C$1800,الريسبي!$A$2:$A$1800,$A79,الريسبي!$B$2:$B$1800,T$1)</f>
        <v>0</v>
      </c>
      <c r="U79" s="117" t="n">
        <f aca="false">SUMIFS(الريسبي!$C$2:$C$1800,الريسبي!$A$2:$A$1800,$A79,الريسبي!$B$2:$B$1800,U$1)</f>
        <v>0</v>
      </c>
      <c r="V79" s="117" t="n">
        <f aca="false">SUMIFS(الريسبي!$C$2:$C$1800,الريسبي!$A$2:$A$1800,$A79,الريسبي!$B$2:$B$1800,V$1)</f>
        <v>0</v>
      </c>
      <c r="W79" s="117" t="n">
        <f aca="false">SUMIFS(الريسبي!$C$2:$C$1800,الريسبي!$A$2:$A$1800,$A79,الريسبي!$B$2:$B$1800,W$1)</f>
        <v>0</v>
      </c>
      <c r="X79" s="117" t="n">
        <f aca="false">SUMIFS(الريسبي!$C$2:$C$1800,الريسبي!$A$2:$A$1800,$A79,الريسبي!$B$2:$B$1800,X$1)</f>
        <v>1</v>
      </c>
      <c r="Y79" s="117" t="n">
        <f aca="false">SUMIFS(الريسبي!$C$2:$C$1800,الريسبي!$A$2:$A$1800,$A79,الريسبي!$B$2:$B$1800,Y$1)</f>
        <v>0</v>
      </c>
      <c r="Z79" s="117" t="n">
        <f aca="false">SUMIFS(الريسبي!$C$2:$C$1800,الريسبي!$A$2:$A$1800,$A79,الريسبي!$B$2:$B$1800,Z$1)</f>
        <v>0</v>
      </c>
      <c r="AA79" s="117" t="n">
        <f aca="false">SUMIFS(الريسبي!$C$2:$C$1800,الريسبي!$A$2:$A$1800,$A79,الريسبي!$B$2:$B$1800,AA$1)</f>
        <v>0</v>
      </c>
      <c r="AB79" s="117" t="n">
        <f aca="false">SUMIFS(الريسبي!$C$2:$C$1800,الريسبي!$A$2:$A$1800,$A79,الريسبي!$B$2:$B$1800,AB$1)</f>
        <v>0</v>
      </c>
      <c r="AC79" s="117" t="n">
        <f aca="false">SUMIFS(الريسبي!$C$2:$C$1800,الريسبي!$A$2:$A$1800,$A79,الريسبي!$B$2:$B$1800,AC$1)</f>
        <v>0</v>
      </c>
      <c r="AD79" s="117" t="n">
        <f aca="false">SUMIFS(الريسبي!$C$2:$C$1800,الريسبي!$A$2:$A$1800,$A79,الريسبي!$B$2:$B$1800,AD$1)</f>
        <v>0</v>
      </c>
      <c r="AE79" s="117" t="n">
        <f aca="false">SUMIFS(الريسبي!$C$2:$C$1800,الريسبي!$A$2:$A$1800,$A79,الريسبي!$B$2:$B$1800,AE$1)</f>
        <v>0</v>
      </c>
      <c r="AF79" s="117" t="n">
        <f aca="false">SUMIFS(الريسبي!$C$2:$C$1800,الريسبي!$A$2:$A$1800,$A79,الريسبي!$B$2:$B$1800,AF$1)</f>
        <v>0</v>
      </c>
      <c r="AG79" s="117" t="n">
        <f aca="false">SUMIFS(الريسبي!$C$2:$C$1800,الريسبي!$A$2:$A$1800,$A79,الريسبي!$B$2:$B$1800,AG$1)</f>
        <v>0</v>
      </c>
      <c r="AH79" s="117" t="n">
        <f aca="false">SUMIFS(الريسبي!$C$2:$C$1800,الريسبي!$A$2:$A$1800,$A79,الريسبي!$B$2:$B$1800,AH$1)</f>
        <v>0</v>
      </c>
      <c r="AI79" s="117" t="n">
        <f aca="false">SUMIFS(الريسبي!$C$2:$C$1800,الريسبي!$A$2:$A$1800,$A79,الريسبي!$B$2:$B$1800,AI$1)</f>
        <v>0</v>
      </c>
      <c r="AJ79" s="117" t="n">
        <f aca="false">SUMIFS(الريسبي!$C$2:$C$1800,الريسبي!$A$2:$A$1800,$A79,الريسبي!$B$2:$B$1800,AJ$1)</f>
        <v>2</v>
      </c>
      <c r="AK79" s="117" t="n">
        <f aca="false">SUMIFS(الريسبي!$C$2:$C$1800,الريسبي!$A$2:$A$1800,$A79,الريسبي!$B$2:$B$1800,AK$1)</f>
        <v>0</v>
      </c>
      <c r="AL79" s="117" t="n">
        <f aca="false">SUMIFS(الريسبي!$C$2:$C$1800,الريسبي!$A$2:$A$1800,$A79,الريسبي!$B$2:$B$1800,AL$1)</f>
        <v>0</v>
      </c>
      <c r="AM79" s="117" t="n">
        <f aca="false">SUMIFS(الريسبي!$C$2:$C$1800,الريسبي!$A$2:$A$1800,$A79,الريسبي!$B$2:$B$1800,AM$1)+0.08333333333*SUMIFS(الريسبي!$C$2:$C$1800,الريسبي!$A$2:$A$1800,$A79,الريسبي!$B$2:$B$1800,"عجين كريب (مصنع بالمطعم)")+0.08333333333*SUMIFS(الريسبي!$C$2:$C$1800,الريسبي!$A$2:$A$1800,$A79,الريسبي!$B$2:$B$1800,"عجين كريب صيامي (بدون لبن)")</f>
        <v>0</v>
      </c>
      <c r="AN79" s="117" t="n">
        <f aca="false">SUMIFS(الريسبي!$C$2:$C$1800,الريسبي!$A$2:$A$1800,$A79,الريسبي!$B$2:$B$1800,AN$1)+0.004166666667*SUMIFS(الريسبي!$C$2:$C$1800,الريسبي!$A$2:$A$1800,$A79,الريسبي!$B$2:$B$1800,"عجين كريب (مصنع بالمطعم)")+0.004166666667*SUMIFS(الريسبي!$C$2:$C$1800,الريسبي!$A$2:$A$1800,$A79,الريسبي!$B$2:$B$1800,"عجين كريب صيامي (بدون لبن)")</f>
        <v>0</v>
      </c>
      <c r="AO79" s="117" t="n">
        <f aca="false">SUMIFS(الريسبي!$C$2:$C$1800,الريسبي!$A$2:$A$1800,$A79,الريسبي!$B$2:$B$1800,AO$1)</f>
        <v>0</v>
      </c>
      <c r="AP79" s="117" t="n">
        <f aca="false">SUMIFS(الريسبي!$C$2:$C$1800,الريسبي!$A$2:$A$1800,$A79,الريسبي!$B$2:$B$1800,AP$1)</f>
        <v>0.02</v>
      </c>
      <c r="AQ79" s="117" t="n">
        <f aca="false">SUMIFS(الريسبي!$C$2:$C$1800,الريسبي!$A$2:$A$1800,$A79,الريسبي!$B$2:$B$1800,AQ$1)+0.004166666667*SUMIFS(الريسبي!$C$2:$C$1800,الريسبي!$A$2:$A$1800,$A79,الريسبي!$B$2:$B$1800,"عجين كريب (مصنع بالمطعم)")+0.004166666667*SUMIFS(الريسبي!$C$2:$C$1800,الريسبي!$A$2:$A$1800,$A79,الريسبي!$B$2:$B$1800,"عجين كريب صيامي (بدون لبن)")</f>
        <v>0</v>
      </c>
      <c r="AR79" s="117" t="n">
        <f aca="false">SUMIFS(الريسبي!$C$2:$C$1800,الريسبي!$A$2:$A$1800,$A79,الريسبي!$B$2:$B$1800,AR$1)</f>
        <v>0</v>
      </c>
      <c r="AS79" s="117" t="n">
        <f aca="false">SUMIFS(الريسبي!$C$2:$C$1800,الريسبي!$A$2:$A$1800,$A79,الريسبي!$B$2:$B$1800,AS$1)</f>
        <v>0</v>
      </c>
      <c r="AT79" s="117" t="n">
        <f aca="false">SUMIFS(الريسبي!$C$2:$C$1800,الريسبي!$A$2:$A$1800,$A79,الريسبي!$B$2:$B$1800,AT$1)</f>
        <v>0</v>
      </c>
      <c r="AU79" s="117" t="n">
        <f aca="false">SUMIFS(الريسبي!$C$2:$C$1800,الريسبي!$A$2:$A$1800,$A79,الريسبي!$B$2:$B$1800,AU$1)</f>
        <v>0</v>
      </c>
      <c r="AV79" s="117" t="n">
        <f aca="false">SUMIFS(الريسبي!$C$2:$C$1800,الريسبي!$A$2:$A$1800,$A79,الريسبي!$B$2:$B$1800,AV$1)</f>
        <v>0</v>
      </c>
      <c r="AW79" s="117" t="n">
        <f aca="false">SUMIFS(الريسبي!$C$2:$C$1800,الريسبي!$A$2:$A$1800,$A79,الريسبي!$B$2:$B$1800,AW$1)</f>
        <v>0</v>
      </c>
      <c r="AX79" s="117" t="n">
        <f aca="false">SUMIFS(الريسبي!$C$2:$C$1800,الريسبي!$A$2:$A$1800,$A79,الريسبي!$B$2:$B$1800,AX$1)</f>
        <v>0.04</v>
      </c>
      <c r="AY79" s="117" t="n">
        <f aca="false">SUMIFS(الريسبي!$C$2:$C$1800,الريسبي!$A$2:$A$1800,$A79,الريسبي!$B$2:$B$1800,AY$1)</f>
        <v>0</v>
      </c>
      <c r="AZ79" s="117" t="n">
        <f aca="false">SUMIFS(الريسبي!$C$2:$C$1800,الريسبي!$A$2:$A$1800,$A79,الريسبي!$B$2:$B$1800,AZ$1)</f>
        <v>0</v>
      </c>
      <c r="BA79" s="117" t="n">
        <f aca="false">SUMIFS(الريسبي!$C$2:$C$1800,الريسبي!$A$2:$A$1800,$A79,الريسبي!$B$2:$B$1800,BA$1)</f>
        <v>0</v>
      </c>
      <c r="BB79" s="117" t="n">
        <f aca="false">SUMIFS(الريسبي!$C$2:$C$1800,الريسبي!$A$2:$A$1800,$A79,الريسبي!$B$2:$B$1800,BB$1)</f>
        <v>0</v>
      </c>
      <c r="BC79" s="117" t="n">
        <f aca="false">SUMIFS(الريسبي!$C$2:$C$1800,الريسبي!$A$2:$A$1800,$A79,الريسبي!$B$2:$B$1800,BC$1)</f>
        <v>0.03</v>
      </c>
      <c r="BD79" s="117" t="n">
        <f aca="false">SUMIFS(الريسبي!$C$2:$C$1800,الريسبي!$A$2:$A$1800,$A79,الريسبي!$B$2:$B$1800,BD$1)</f>
        <v>0.22</v>
      </c>
      <c r="BE79" s="117" t="n">
        <f aca="false">SUMIFS(الريسبي!$C$2:$C$1800,الريسبي!$A$2:$A$1800,$A79,الريسبي!$B$2:$B$1800,BE$1)</f>
        <v>0</v>
      </c>
      <c r="BF79" s="117" t="n">
        <f aca="false">SUMIFS(الريسبي!$C$2:$C$1800,الريسبي!$A$2:$A$1800,$A79,الريسبي!$B$2:$B$1800,BF$1)</f>
        <v>0</v>
      </c>
      <c r="BG79" s="117" t="n">
        <f aca="false">SUMIFS(الريسبي!$C$2:$C$1800,الريسبي!$A$2:$A$1800,$A79,الريسبي!$B$2:$B$1800,BG$1)</f>
        <v>0</v>
      </c>
      <c r="BH79" s="117" t="n">
        <f aca="false">SUMIFS(الريسبي!$C$2:$C$1800,الريسبي!$A$2:$A$1800,$A79,الريسبي!$B$2:$B$1800,BH$1)</f>
        <v>1</v>
      </c>
      <c r="BI79" s="117" t="n">
        <f aca="false">SUMIFS(الريسبي!$C$2:$C$1800,الريسبي!$A$2:$A$1800,$A79,الريسبي!$B$2:$B$1800,BI$1)</f>
        <v>0</v>
      </c>
      <c r="BJ79" s="117" t="n">
        <f aca="false">SUMIFS(الريسبي!$C$2:$C$1800,الريسبي!$A$2:$A$1800,$A79,الريسبي!$B$2:$B$1800,BJ$1)</f>
        <v>0</v>
      </c>
      <c r="BK79" s="117" t="n">
        <f aca="false">SUMIFS(الريسبي!$C$2:$C$1800,الريسبي!$A$2:$A$1800,$A79,الريسبي!$B$2:$B$1800,BK$1)</f>
        <v>0</v>
      </c>
      <c r="BL79" s="117" t="n">
        <f aca="false">SUMIFS(الريسبي!$C$2:$C$1800,الريسبي!$A$2:$A$1800,$A79,الريسبي!$B$2:$B$1800,BL$1)</f>
        <v>0</v>
      </c>
      <c r="BM79" s="117" t="n">
        <f aca="false">SUMIFS(الريسبي!$C$2:$C$1800,الريسبي!$A$2:$A$1800,$A79,الريسبي!$B$2:$B$1800,BM$1)</f>
        <v>0</v>
      </c>
      <c r="BN79" s="117" t="n">
        <f aca="false">SUMIFS(الريسبي!$C$2:$C$1800,الريسبي!$A$2:$A$1800,$A79,الريسبي!$B$2:$B$1800,BN$1)</f>
        <v>0.02</v>
      </c>
      <c r="BO79" s="117" t="n">
        <f aca="false">SUMIFS(الريسبي!$C$2:$C$1800,الريسبي!$A$2:$A$1800,$A79,الريسبي!$B$2:$B$1800,BO$1)</f>
        <v>0</v>
      </c>
      <c r="BP79" s="117" t="n">
        <f aca="false">SUMIFS(الريسبي!$C$2:$C$1800,الريسبي!$A$2:$A$1800,$A79,الريسبي!$B$2:$B$1800,BP$1)</f>
        <v>2</v>
      </c>
      <c r="BQ79" s="117" t="n">
        <f aca="false">SUMIFS(الريسبي!$C$2:$C$1800,الريسبي!$A$2:$A$1800,$A79,الريسبي!$B$2:$B$1800,BQ$1)+0.17*SUMIFS(الريسبي!$C$2:$C$1800,الريسبي!$A$2:$A$1800,$A79,الريسبي!$B$2:$B$1800,"كاسترد مصنع (خليط بودر + لبن)")+0.17*SUMIFS(الريسبي!$C$2:$C$1800,الريسبي!$A$2:$A$1800,$A79,الريسبي!$B$2:$B$1800,"كاسترد مصنع صيامي (بدون لبن)")</f>
        <v>0</v>
      </c>
      <c r="BR79" s="117" t="n">
        <f aca="false">SUMIFS(الريسبي!$C$2:$C$1800,الريسبي!$A$2:$A$1800,$A79,الريسبي!$B$2:$B$1800,BR$1)</f>
        <v>1</v>
      </c>
      <c r="BS79" s="117" t="n">
        <f aca="false">SUMIFS(الريسبي!$C$2:$C$1800,الريسبي!$A$2:$A$1800,$A79,الريسبي!$B$2:$B$1800,BS$1)</f>
        <v>0</v>
      </c>
      <c r="BT79" s="117" t="n">
        <f aca="false">SUMIFS(الريسبي!$C$2:$C$1800,الريسبي!$A$2:$A$1800,$A79,الريسبي!$B$2:$B$1800,BT$1)</f>
        <v>0</v>
      </c>
      <c r="BU79" s="117" t="n">
        <f aca="false">SUMIFS(الريسبي!$C$2:$C$1800,الريسبي!$A$2:$A$1800,$A79,الريسبي!$B$2:$B$1800,BU$1)+0.4*SUMIFS(الريسبي!$C$2:$C$1800,الريسبي!$A$2:$A$1800,$A79,الريسبي!$B$2:$B$1800,"كاسترد مصنع (خليط بودر + لبن)")+0.03333333333*SUMIFS(الريسبي!$C$2:$C$1800,الريسبي!$A$2:$A$1800,$A79,الريسبي!$B$2:$B$1800,"عجين كريب (مصنع بالمطعم)")</f>
        <v>0</v>
      </c>
      <c r="BV79" s="117" t="n">
        <f aca="false">SUMIFS(الريسبي!$C$2:$C$1800,الريسبي!$A$2:$A$1800,$A79,الريسبي!$B$2:$B$1800,BV$1)</f>
        <v>0</v>
      </c>
      <c r="BW79" s="117" t="n">
        <f aca="false">SUMIFS(الريسبي!$C$2:$C$1800,الريسبي!$A$2:$A$1800,$A79,الريسبي!$B$2:$B$1800,BW$1)</f>
        <v>0</v>
      </c>
      <c r="BX79" s="117" t="n">
        <f aca="false">SUMIFS(الريسبي!$C$2:$C$1800,الريسبي!$A$2:$A$1800,$A79,الريسبي!$B$2:$B$1800,BX$1)</f>
        <v>0.1</v>
      </c>
      <c r="BY79" s="117" t="n">
        <f aca="false">SUMIFS(الريسبي!$C$2:$C$1800,الريسبي!$A$2:$A$1800,$A79,الريسبي!$B$2:$B$1800,BY$1)</f>
        <v>0</v>
      </c>
      <c r="BZ79" s="117" t="n">
        <f aca="false">SUMIFS(الريسبي!$C$2:$C$1800,الريسبي!$A$2:$A$1800,$A79,الريسبي!$B$2:$B$1800,BZ$1)</f>
        <v>0</v>
      </c>
      <c r="CA79" s="117" t="n">
        <f aca="false">SUMIFS(الريسبي!$C$2:$C$1800,الريسبي!$A$2:$A$1800,$A79,الريسبي!$B$2:$B$1800,CA$1)</f>
        <v>1</v>
      </c>
      <c r="CB79" s="117" t="n">
        <f aca="false">SUMIFS(الريسبي!$C$2:$C$1800,الريسبي!$A$2:$A$1800,$A79,الريسبي!$B$2:$B$1800,CB$1)</f>
        <v>1</v>
      </c>
      <c r="CC79" s="117" t="n">
        <f aca="false">SUMIFS(الريسبي!$C$2:$C$1800,الريسبي!$A$2:$A$1800,$A79,الريسبي!$B$2:$B$1800,CC$1)</f>
        <v>0</v>
      </c>
      <c r="CD79" s="117" t="n">
        <f aca="false">SUMIFS(الريسبي!$C$2:$C$1800,الريسبي!$A$2:$A$1800,$A79,الريسبي!$B$2:$B$1800,CD$1)</f>
        <v>0</v>
      </c>
      <c r="CE79" s="117" t="n">
        <f aca="false">SUMIFS(الريسبي!$C$2:$C$1800,الريسبي!$A$2:$A$1800,$A79,الريسبي!$B$2:$B$1800,CE$1)</f>
        <v>0</v>
      </c>
      <c r="CF79" s="117" t="n">
        <f aca="false">SUMIFS(الريسبي!$C$2:$C$1800,الريسبي!$A$2:$A$1800,$A79,الريسبي!$B$2:$B$1800,CF$1)</f>
        <v>0</v>
      </c>
      <c r="CG79" s="117" t="n">
        <f aca="false">SUMIFS(الريسبي!$C$2:$C$1800,الريسبي!$A$2:$A$1800,$A79,الريسبي!$B$2:$B$1800,CG$1)</f>
        <v>0</v>
      </c>
      <c r="CH79" s="117" t="n">
        <f aca="false">SUMIFS(الريسبي!$C$2:$C$1800,الريسبي!$A$2:$A$1800,$A79,الريسبي!$B$2:$B$1800,CH$1)</f>
        <v>0</v>
      </c>
      <c r="CI79" s="117" t="n">
        <f aca="false">SUMIFS(الريسبي!$C$2:$C$1800,الريسبي!$A$2:$A$1800,$A79,الريسبي!$B$2:$B$1800,CI$1)</f>
        <v>0</v>
      </c>
      <c r="CJ79" s="117" t="n">
        <f aca="false">SUMIFS(الريسبي!$C$2:$C$1800,الريسبي!$A$2:$A$1800,$A79,الريسبي!$B$2:$B$1800,CJ$1)</f>
        <v>0</v>
      </c>
      <c r="CK79" s="117" t="n">
        <f aca="false">SUMIFS(الريسبي!$C$2:$C$1800,الريسبي!$A$2:$A$1800,$A79,الريسبي!$B$2:$B$1800,CK$1)</f>
        <v>0</v>
      </c>
      <c r="CL79" s="117" t="n">
        <f aca="false">SUMIFS(الريسبي!$C$2:$C$1800,الريسبي!$A$2:$A$1800,$A79,الريسبي!$B$2:$B$1800,CL$1)</f>
        <v>0</v>
      </c>
    </row>
    <row r="80" customFormat="false" ht="15" hidden="false" customHeight="false" outlineLevel="0" collapsed="false">
      <c r="A80" s="116" t="str">
        <f aca="false">المنيو!B80</f>
        <v>بيتزا مشروم صيامي مخصوص</v>
      </c>
      <c r="B80" s="117" t="n">
        <f aca="false">SUMIFS(الريسبي!$C$2:$C$1800,الريسبي!$A$2:$A$1800,$A80,الريسبي!$B$2:$B$1800,B$1)</f>
        <v>0</v>
      </c>
      <c r="C80" s="117" t="n">
        <f aca="false">SUMIFS(الريسبي!$C$2:$C$1800,الريسبي!$A$2:$A$1800,$A80,الريسبي!$B$2:$B$1800,C$1)</f>
        <v>0</v>
      </c>
      <c r="D80" s="117" t="n">
        <f aca="false">SUMIFS(الريسبي!$C$2:$C$1800,الريسبي!$A$2:$A$1800,$A80,الريسبي!$B$2:$B$1800,D$1)</f>
        <v>1</v>
      </c>
      <c r="E80" s="117" t="n">
        <f aca="false">SUMIFS(الريسبي!$C$2:$C$1800,الريسبي!$A$2:$A$1800,$A80,الريسبي!$B$2:$B$1800,E$1)</f>
        <v>0</v>
      </c>
      <c r="F80" s="117" t="n">
        <f aca="false">SUMIFS(الريسبي!$C$2:$C$1800,الريسبي!$A$2:$A$1800,$A80,الريسبي!$B$2:$B$1800,F$1)</f>
        <v>0</v>
      </c>
      <c r="G80" s="117" t="n">
        <f aca="false">SUMIFS(الريسبي!$C$2:$C$1800,الريسبي!$A$2:$A$1800,$A80,الريسبي!$B$2:$B$1800,G$1)</f>
        <v>0</v>
      </c>
      <c r="H80" s="117" t="n">
        <f aca="false">SUMIFS(الريسبي!$C$2:$C$1800,الريسبي!$A$2:$A$1800,$A80,الريسبي!$B$2:$B$1800,H$1)</f>
        <v>0</v>
      </c>
      <c r="I80" s="117" t="n">
        <f aca="false">SUMIFS(الريسبي!$C$2:$C$1800,الريسبي!$A$2:$A$1800,$A80,الريسبي!$B$2:$B$1800,I$1)</f>
        <v>0</v>
      </c>
      <c r="J80" s="117" t="n">
        <f aca="false">SUMIFS(الريسبي!$C$2:$C$1800,الريسبي!$A$2:$A$1800,$A80,الريسبي!$B$2:$B$1800,J$1)</f>
        <v>0</v>
      </c>
      <c r="K80" s="117" t="n">
        <f aca="false">SUMIFS(الريسبي!$C$2:$C$1800,الريسبي!$A$2:$A$1800,$A80,الريسبي!$B$2:$B$1800,K$1)</f>
        <v>0</v>
      </c>
      <c r="L80" s="117" t="n">
        <f aca="false">SUMIFS(الريسبي!$C$2:$C$1800,الريسبي!$A$2:$A$1800,$A80,الريسبي!$B$2:$B$1800,L$1)</f>
        <v>0</v>
      </c>
      <c r="M80" s="117" t="n">
        <f aca="false">SUMIFS(الريسبي!$C$2:$C$1800,الريسبي!$A$2:$A$1800,$A80,الريسبي!$B$2:$B$1800,M$1)</f>
        <v>0</v>
      </c>
      <c r="N80" s="117" t="n">
        <f aca="false">SUMIFS(الريسبي!$C$2:$C$1800,الريسبي!$A$2:$A$1800,$A80,الريسبي!$B$2:$B$1800,N$1)</f>
        <v>0</v>
      </c>
      <c r="O80" s="117" t="n">
        <f aca="false">SUMIFS(الريسبي!$C$2:$C$1800,الريسبي!$A$2:$A$1800,$A80,الريسبي!$B$2:$B$1800,O$1)</f>
        <v>0</v>
      </c>
      <c r="P80" s="117" t="n">
        <f aca="false">SUMIFS(الريسبي!$C$2:$C$1800,الريسبي!$A$2:$A$1800,$A80,الريسبي!$B$2:$B$1800,P$1)</f>
        <v>0</v>
      </c>
      <c r="Q80" s="117" t="n">
        <f aca="false">SUMIFS(الريسبي!$C$2:$C$1800,الريسبي!$A$2:$A$1800,$A80,الريسبي!$B$2:$B$1800,Q$1)</f>
        <v>0</v>
      </c>
      <c r="R80" s="117" t="n">
        <f aca="false">SUMIFS(الريسبي!$C$2:$C$1800,الريسبي!$A$2:$A$1800,$A80,الريسبي!$B$2:$B$1800,R$1)</f>
        <v>0</v>
      </c>
      <c r="S80" s="117" t="n">
        <f aca="false">SUMIFS(الريسبي!$C$2:$C$1800,الريسبي!$A$2:$A$1800,$A80,الريسبي!$B$2:$B$1800,S$1)</f>
        <v>0</v>
      </c>
      <c r="T80" s="117" t="n">
        <f aca="false">SUMIFS(الريسبي!$C$2:$C$1800,الريسبي!$A$2:$A$1800,$A80,الريسبي!$B$2:$B$1800,T$1)</f>
        <v>0</v>
      </c>
      <c r="U80" s="117" t="n">
        <f aca="false">SUMIFS(الريسبي!$C$2:$C$1800,الريسبي!$A$2:$A$1800,$A80,الريسبي!$B$2:$B$1800,U$1)</f>
        <v>0</v>
      </c>
      <c r="V80" s="117" t="n">
        <f aca="false">SUMIFS(الريسبي!$C$2:$C$1800,الريسبي!$A$2:$A$1800,$A80,الريسبي!$B$2:$B$1800,V$1)</f>
        <v>0</v>
      </c>
      <c r="W80" s="117" t="n">
        <f aca="false">SUMIFS(الريسبي!$C$2:$C$1800,الريسبي!$A$2:$A$1800,$A80,الريسبي!$B$2:$B$1800,W$1)</f>
        <v>0</v>
      </c>
      <c r="X80" s="117" t="n">
        <f aca="false">SUMIFS(الريسبي!$C$2:$C$1800,الريسبي!$A$2:$A$1800,$A80,الريسبي!$B$2:$B$1800,X$1)</f>
        <v>0</v>
      </c>
      <c r="Y80" s="117" t="n">
        <f aca="false">SUMIFS(الريسبي!$C$2:$C$1800,الريسبي!$A$2:$A$1800,$A80,الريسبي!$B$2:$B$1800,Y$1)</f>
        <v>1</v>
      </c>
      <c r="Z80" s="117" t="n">
        <f aca="false">SUMIFS(الريسبي!$C$2:$C$1800,الريسبي!$A$2:$A$1800,$A80,الريسبي!$B$2:$B$1800,Z$1)</f>
        <v>0</v>
      </c>
      <c r="AA80" s="117" t="n">
        <f aca="false">SUMIFS(الريسبي!$C$2:$C$1800,الريسبي!$A$2:$A$1800,$A80,الريسبي!$B$2:$B$1800,AA$1)</f>
        <v>0</v>
      </c>
      <c r="AB80" s="117" t="n">
        <f aca="false">SUMIFS(الريسبي!$C$2:$C$1800,الريسبي!$A$2:$A$1800,$A80,الريسبي!$B$2:$B$1800,AB$1)</f>
        <v>0</v>
      </c>
      <c r="AC80" s="117" t="n">
        <f aca="false">SUMIFS(الريسبي!$C$2:$C$1800,الريسبي!$A$2:$A$1800,$A80,الريسبي!$B$2:$B$1800,AC$1)</f>
        <v>0</v>
      </c>
      <c r="AD80" s="117" t="n">
        <f aca="false">SUMIFS(الريسبي!$C$2:$C$1800,الريسبي!$A$2:$A$1800,$A80,الريسبي!$B$2:$B$1800,AD$1)</f>
        <v>0</v>
      </c>
      <c r="AE80" s="117" t="n">
        <f aca="false">SUMIFS(الريسبي!$C$2:$C$1800,الريسبي!$A$2:$A$1800,$A80,الريسبي!$B$2:$B$1800,AE$1)</f>
        <v>0</v>
      </c>
      <c r="AF80" s="117" t="n">
        <f aca="false">SUMIFS(الريسبي!$C$2:$C$1800,الريسبي!$A$2:$A$1800,$A80,الريسبي!$B$2:$B$1800,AF$1)</f>
        <v>0</v>
      </c>
      <c r="AG80" s="117" t="n">
        <f aca="false">SUMIFS(الريسبي!$C$2:$C$1800,الريسبي!$A$2:$A$1800,$A80,الريسبي!$B$2:$B$1800,AG$1)</f>
        <v>0</v>
      </c>
      <c r="AH80" s="117" t="n">
        <f aca="false">SUMIFS(الريسبي!$C$2:$C$1800,الريسبي!$A$2:$A$1800,$A80,الريسبي!$B$2:$B$1800,AH$1)</f>
        <v>0</v>
      </c>
      <c r="AI80" s="117" t="n">
        <f aca="false">SUMIFS(الريسبي!$C$2:$C$1800,الريسبي!$A$2:$A$1800,$A80,الريسبي!$B$2:$B$1800,AI$1)</f>
        <v>0</v>
      </c>
      <c r="AJ80" s="117" t="n">
        <f aca="false">SUMIFS(الريسبي!$C$2:$C$1800,الريسبي!$A$2:$A$1800,$A80,الريسبي!$B$2:$B$1800,AJ$1)</f>
        <v>2</v>
      </c>
      <c r="AK80" s="117" t="n">
        <f aca="false">SUMIFS(الريسبي!$C$2:$C$1800,الريسبي!$A$2:$A$1800,$A80,الريسبي!$B$2:$B$1800,AK$1)</f>
        <v>0</v>
      </c>
      <c r="AL80" s="117" t="n">
        <f aca="false">SUMIFS(الريسبي!$C$2:$C$1800,الريسبي!$A$2:$A$1800,$A80,الريسبي!$B$2:$B$1800,AL$1)</f>
        <v>0</v>
      </c>
      <c r="AM80" s="117" t="n">
        <f aca="false">SUMIFS(الريسبي!$C$2:$C$1800,الريسبي!$A$2:$A$1800,$A80,الريسبي!$B$2:$B$1800,AM$1)+0.08333333333*SUMIFS(الريسبي!$C$2:$C$1800,الريسبي!$A$2:$A$1800,$A80,الريسبي!$B$2:$B$1800,"عجين كريب (مصنع بالمطعم)")+0.08333333333*SUMIFS(الريسبي!$C$2:$C$1800,الريسبي!$A$2:$A$1800,$A80,الريسبي!$B$2:$B$1800,"عجين كريب صيامي (بدون لبن)")</f>
        <v>0</v>
      </c>
      <c r="AN80" s="117" t="n">
        <f aca="false">SUMIFS(الريسبي!$C$2:$C$1800,الريسبي!$A$2:$A$1800,$A80,الريسبي!$B$2:$B$1800,AN$1)+0.004166666667*SUMIFS(الريسبي!$C$2:$C$1800,الريسبي!$A$2:$A$1800,$A80,الريسبي!$B$2:$B$1800,"عجين كريب (مصنع بالمطعم)")+0.004166666667*SUMIFS(الريسبي!$C$2:$C$1800,الريسبي!$A$2:$A$1800,$A80,الريسبي!$B$2:$B$1800,"عجين كريب صيامي (بدون لبن)")</f>
        <v>0</v>
      </c>
      <c r="AO80" s="117" t="n">
        <f aca="false">SUMIFS(الريسبي!$C$2:$C$1800,الريسبي!$A$2:$A$1800,$A80,الريسبي!$B$2:$B$1800,AO$1)</f>
        <v>0</v>
      </c>
      <c r="AP80" s="117" t="n">
        <f aca="false">SUMIFS(الريسبي!$C$2:$C$1800,الريسبي!$A$2:$A$1800,$A80,الريسبي!$B$2:$B$1800,AP$1)</f>
        <v>0.03</v>
      </c>
      <c r="AQ80" s="117" t="n">
        <f aca="false">SUMIFS(الريسبي!$C$2:$C$1800,الريسبي!$A$2:$A$1800,$A80,الريسبي!$B$2:$B$1800,AQ$1)+0.004166666667*SUMIFS(الريسبي!$C$2:$C$1800,الريسبي!$A$2:$A$1800,$A80,الريسبي!$B$2:$B$1800,"عجين كريب (مصنع بالمطعم)")+0.004166666667*SUMIFS(الريسبي!$C$2:$C$1800,الريسبي!$A$2:$A$1800,$A80,الريسبي!$B$2:$B$1800,"عجين كريب صيامي (بدون لبن)")</f>
        <v>0</v>
      </c>
      <c r="AR80" s="117" t="n">
        <f aca="false">SUMIFS(الريسبي!$C$2:$C$1800,الريسبي!$A$2:$A$1800,$A80,الريسبي!$B$2:$B$1800,AR$1)</f>
        <v>0</v>
      </c>
      <c r="AS80" s="117" t="n">
        <f aca="false">SUMIFS(الريسبي!$C$2:$C$1800,الريسبي!$A$2:$A$1800,$A80,الريسبي!$B$2:$B$1800,AS$1)</f>
        <v>0</v>
      </c>
      <c r="AT80" s="117" t="n">
        <f aca="false">SUMIFS(الريسبي!$C$2:$C$1800,الريسبي!$A$2:$A$1800,$A80,الريسبي!$B$2:$B$1800,AT$1)</f>
        <v>0</v>
      </c>
      <c r="AU80" s="117" t="n">
        <f aca="false">SUMIFS(الريسبي!$C$2:$C$1800,الريسبي!$A$2:$A$1800,$A80,الريسبي!$B$2:$B$1800,AU$1)</f>
        <v>0</v>
      </c>
      <c r="AV80" s="117" t="n">
        <f aca="false">SUMIFS(الريسبي!$C$2:$C$1800,الريسبي!$A$2:$A$1800,$A80,الريسبي!$B$2:$B$1800,AV$1)</f>
        <v>0</v>
      </c>
      <c r="AW80" s="117" t="n">
        <f aca="false">SUMIFS(الريسبي!$C$2:$C$1800,الريسبي!$A$2:$A$1800,$A80,الريسبي!$B$2:$B$1800,AW$1)</f>
        <v>0</v>
      </c>
      <c r="AX80" s="117" t="n">
        <f aca="false">SUMIFS(الريسبي!$C$2:$C$1800,الريسبي!$A$2:$A$1800,$A80,الريسبي!$B$2:$B$1800,AX$1)</f>
        <v>0.06</v>
      </c>
      <c r="AY80" s="117" t="n">
        <f aca="false">SUMIFS(الريسبي!$C$2:$C$1800,الريسبي!$A$2:$A$1800,$A80,الريسبي!$B$2:$B$1800,AY$1)</f>
        <v>0</v>
      </c>
      <c r="AZ80" s="117" t="n">
        <f aca="false">SUMIFS(الريسبي!$C$2:$C$1800,الريسبي!$A$2:$A$1800,$A80,الريسبي!$B$2:$B$1800,AZ$1)</f>
        <v>0</v>
      </c>
      <c r="BA80" s="117" t="n">
        <f aca="false">SUMIFS(الريسبي!$C$2:$C$1800,الريسبي!$A$2:$A$1800,$A80,الريسبي!$B$2:$B$1800,BA$1)</f>
        <v>0</v>
      </c>
      <c r="BB80" s="117" t="n">
        <f aca="false">SUMIFS(الريسبي!$C$2:$C$1800,الريسبي!$A$2:$A$1800,$A80,الريسبي!$B$2:$B$1800,BB$1)</f>
        <v>0</v>
      </c>
      <c r="BC80" s="117" t="n">
        <f aca="false">SUMIFS(الريسبي!$C$2:$C$1800,الريسبي!$A$2:$A$1800,$A80,الريسبي!$B$2:$B$1800,BC$1)</f>
        <v>0.045</v>
      </c>
      <c r="BD80" s="117" t="n">
        <f aca="false">SUMIFS(الريسبي!$C$2:$C$1800,الريسبي!$A$2:$A$1800,$A80,الريسبي!$B$2:$B$1800,BD$1)</f>
        <v>0.3</v>
      </c>
      <c r="BE80" s="117" t="n">
        <f aca="false">SUMIFS(الريسبي!$C$2:$C$1800,الريسبي!$A$2:$A$1800,$A80,الريسبي!$B$2:$B$1800,BE$1)</f>
        <v>0</v>
      </c>
      <c r="BF80" s="117" t="n">
        <f aca="false">SUMIFS(الريسبي!$C$2:$C$1800,الريسبي!$A$2:$A$1800,$A80,الريسبي!$B$2:$B$1800,BF$1)</f>
        <v>0</v>
      </c>
      <c r="BG80" s="117" t="n">
        <f aca="false">SUMIFS(الريسبي!$C$2:$C$1800,الريسبي!$A$2:$A$1800,$A80,الريسبي!$B$2:$B$1800,BG$1)</f>
        <v>1</v>
      </c>
      <c r="BH80" s="117" t="n">
        <f aca="false">SUMIFS(الريسبي!$C$2:$C$1800,الريسبي!$A$2:$A$1800,$A80,الريسبي!$B$2:$B$1800,BH$1)</f>
        <v>0</v>
      </c>
      <c r="BI80" s="117" t="n">
        <f aca="false">SUMIFS(الريسبي!$C$2:$C$1800,الريسبي!$A$2:$A$1800,$A80,الريسبي!$B$2:$B$1800,BI$1)</f>
        <v>0</v>
      </c>
      <c r="BJ80" s="117" t="n">
        <f aca="false">SUMIFS(الريسبي!$C$2:$C$1800,الريسبي!$A$2:$A$1800,$A80,الريسبي!$B$2:$B$1800,BJ$1)</f>
        <v>0</v>
      </c>
      <c r="BK80" s="117" t="n">
        <f aca="false">SUMIFS(الريسبي!$C$2:$C$1800,الريسبي!$A$2:$A$1800,$A80,الريسبي!$B$2:$B$1800,BK$1)</f>
        <v>0</v>
      </c>
      <c r="BL80" s="117" t="n">
        <f aca="false">SUMIFS(الريسبي!$C$2:$C$1800,الريسبي!$A$2:$A$1800,$A80,الريسبي!$B$2:$B$1800,BL$1)</f>
        <v>0</v>
      </c>
      <c r="BM80" s="117" t="n">
        <f aca="false">SUMIFS(الريسبي!$C$2:$C$1800,الريسبي!$A$2:$A$1800,$A80,الريسبي!$B$2:$B$1800,BM$1)</f>
        <v>0</v>
      </c>
      <c r="BN80" s="117" t="n">
        <f aca="false">SUMIFS(الريسبي!$C$2:$C$1800,الريسبي!$A$2:$A$1800,$A80,الريسبي!$B$2:$B$1800,BN$1)</f>
        <v>0.03</v>
      </c>
      <c r="BO80" s="117" t="n">
        <f aca="false">SUMIFS(الريسبي!$C$2:$C$1800,الريسبي!$A$2:$A$1800,$A80,الريسبي!$B$2:$B$1800,BO$1)</f>
        <v>0</v>
      </c>
      <c r="BP80" s="117" t="n">
        <f aca="false">SUMIFS(الريسبي!$C$2:$C$1800,الريسبي!$A$2:$A$1800,$A80,الريسبي!$B$2:$B$1800,BP$1)</f>
        <v>3</v>
      </c>
      <c r="BQ80" s="117" t="n">
        <f aca="false">SUMIFS(الريسبي!$C$2:$C$1800,الريسبي!$A$2:$A$1800,$A80,الريسبي!$B$2:$B$1800,BQ$1)+0.17*SUMIFS(الريسبي!$C$2:$C$1800,الريسبي!$A$2:$A$1800,$A80,الريسبي!$B$2:$B$1800,"كاسترد مصنع (خليط بودر + لبن)")+0.17*SUMIFS(الريسبي!$C$2:$C$1800,الريسبي!$A$2:$A$1800,$A80,الريسبي!$B$2:$B$1800,"كاسترد مصنع صيامي (بدون لبن)")</f>
        <v>0</v>
      </c>
      <c r="BR80" s="117" t="n">
        <f aca="false">SUMIFS(الريسبي!$C$2:$C$1800,الريسبي!$A$2:$A$1800,$A80,الريسبي!$B$2:$B$1800,BR$1)</f>
        <v>1</v>
      </c>
      <c r="BS80" s="117" t="n">
        <f aca="false">SUMIFS(الريسبي!$C$2:$C$1800,الريسبي!$A$2:$A$1800,$A80,الريسبي!$B$2:$B$1800,BS$1)</f>
        <v>0</v>
      </c>
      <c r="BT80" s="117" t="n">
        <f aca="false">SUMIFS(الريسبي!$C$2:$C$1800,الريسبي!$A$2:$A$1800,$A80,الريسبي!$B$2:$B$1800,BT$1)</f>
        <v>0</v>
      </c>
      <c r="BU80" s="117" t="n">
        <f aca="false">SUMIFS(الريسبي!$C$2:$C$1800,الريسبي!$A$2:$A$1800,$A80,الريسبي!$B$2:$B$1800,BU$1)+0.4*SUMIFS(الريسبي!$C$2:$C$1800,الريسبي!$A$2:$A$1800,$A80,الريسبي!$B$2:$B$1800,"كاسترد مصنع (خليط بودر + لبن)")+0.03333333333*SUMIFS(الريسبي!$C$2:$C$1800,الريسبي!$A$2:$A$1800,$A80,الريسبي!$B$2:$B$1800,"عجين كريب (مصنع بالمطعم)")</f>
        <v>0</v>
      </c>
      <c r="BV80" s="117" t="n">
        <f aca="false">SUMIFS(الريسبي!$C$2:$C$1800,الريسبي!$A$2:$A$1800,$A80,الريسبي!$B$2:$B$1800,BV$1)</f>
        <v>0</v>
      </c>
      <c r="BW80" s="117" t="n">
        <f aca="false">SUMIFS(الريسبي!$C$2:$C$1800,الريسبي!$A$2:$A$1800,$A80,الريسبي!$B$2:$B$1800,BW$1)</f>
        <v>0</v>
      </c>
      <c r="BX80" s="117" t="n">
        <f aca="false">SUMIFS(الريسبي!$C$2:$C$1800,الريسبي!$A$2:$A$1800,$A80,الريسبي!$B$2:$B$1800,BX$1)</f>
        <v>0.15</v>
      </c>
      <c r="BY80" s="117" t="n">
        <f aca="false">SUMIFS(الريسبي!$C$2:$C$1800,الريسبي!$A$2:$A$1800,$A80,الريسبي!$B$2:$B$1800,BY$1)</f>
        <v>0</v>
      </c>
      <c r="BZ80" s="117" t="n">
        <f aca="false">SUMIFS(الريسبي!$C$2:$C$1800,الريسبي!$A$2:$A$1800,$A80,الريسبي!$B$2:$B$1800,BZ$1)</f>
        <v>0</v>
      </c>
      <c r="CA80" s="117" t="n">
        <f aca="false">SUMIFS(الريسبي!$C$2:$C$1800,الريسبي!$A$2:$A$1800,$A80,الريسبي!$B$2:$B$1800,CA$1)</f>
        <v>1</v>
      </c>
      <c r="CB80" s="117" t="n">
        <f aca="false">SUMIFS(الريسبي!$C$2:$C$1800,الريسبي!$A$2:$A$1800,$A80,الريسبي!$B$2:$B$1800,CB$1)</f>
        <v>1</v>
      </c>
      <c r="CC80" s="117" t="n">
        <f aca="false">SUMIFS(الريسبي!$C$2:$C$1800,الريسبي!$A$2:$A$1800,$A80,الريسبي!$B$2:$B$1800,CC$1)</f>
        <v>0</v>
      </c>
      <c r="CD80" s="117" t="n">
        <f aca="false">SUMIFS(الريسبي!$C$2:$C$1800,الريسبي!$A$2:$A$1800,$A80,الريسبي!$B$2:$B$1800,CD$1)</f>
        <v>0</v>
      </c>
      <c r="CE80" s="117" t="n">
        <f aca="false">SUMIFS(الريسبي!$C$2:$C$1800,الريسبي!$A$2:$A$1800,$A80,الريسبي!$B$2:$B$1800,CE$1)</f>
        <v>0</v>
      </c>
      <c r="CF80" s="117" t="n">
        <f aca="false">SUMIFS(الريسبي!$C$2:$C$1800,الريسبي!$A$2:$A$1800,$A80,الريسبي!$B$2:$B$1800,CF$1)</f>
        <v>0</v>
      </c>
      <c r="CG80" s="117" t="n">
        <f aca="false">SUMIFS(الريسبي!$C$2:$C$1800,الريسبي!$A$2:$A$1800,$A80,الريسبي!$B$2:$B$1800,CG$1)</f>
        <v>0</v>
      </c>
      <c r="CH80" s="117" t="n">
        <f aca="false">SUMIFS(الريسبي!$C$2:$C$1800,الريسبي!$A$2:$A$1800,$A80,الريسبي!$B$2:$B$1800,CH$1)</f>
        <v>0</v>
      </c>
      <c r="CI80" s="117" t="n">
        <f aca="false">SUMIFS(الريسبي!$C$2:$C$1800,الريسبي!$A$2:$A$1800,$A80,الريسبي!$B$2:$B$1800,CI$1)</f>
        <v>0</v>
      </c>
      <c r="CJ80" s="117" t="n">
        <f aca="false">SUMIFS(الريسبي!$C$2:$C$1800,الريسبي!$A$2:$A$1800,$A80,الريسبي!$B$2:$B$1800,CJ$1)</f>
        <v>0</v>
      </c>
      <c r="CK80" s="117" t="n">
        <f aca="false">SUMIFS(الريسبي!$C$2:$C$1800,الريسبي!$A$2:$A$1800,$A80,الريسبي!$B$2:$B$1800,CK$1)</f>
        <v>0</v>
      </c>
      <c r="CL80" s="117" t="n">
        <f aca="false">SUMIFS(الريسبي!$C$2:$C$1800,الريسبي!$A$2:$A$1800,$A80,الريسبي!$B$2:$B$1800,CL$1)</f>
        <v>0</v>
      </c>
    </row>
    <row r="81" customFormat="false" ht="15" hidden="false" customHeight="false" outlineLevel="0" collapsed="false">
      <c r="A81" s="116" t="str">
        <f aca="false">المنيو!B81</f>
        <v>بيتزا سوسيس صيامي وسط</v>
      </c>
      <c r="B81" s="117" t="n">
        <f aca="false">SUMIFS(الريسبي!$C$2:$C$1800,الريسبي!$A$2:$A$1800,$A81,الريسبي!$B$2:$B$1800,B$1)</f>
        <v>0</v>
      </c>
      <c r="C81" s="117" t="n">
        <f aca="false">SUMIFS(الريسبي!$C$2:$C$1800,الريسبي!$A$2:$A$1800,$A81,الريسبي!$B$2:$B$1800,C$1)</f>
        <v>0</v>
      </c>
      <c r="D81" s="117" t="n">
        <f aca="false">SUMIFS(الريسبي!$C$2:$C$1800,الريسبي!$A$2:$A$1800,$A81,الريسبي!$B$2:$B$1800,D$1)</f>
        <v>1</v>
      </c>
      <c r="E81" s="117" t="n">
        <f aca="false">SUMIFS(الريسبي!$C$2:$C$1800,الريسبي!$A$2:$A$1800,$A81,الريسبي!$B$2:$B$1800,E$1)</f>
        <v>0</v>
      </c>
      <c r="F81" s="117" t="n">
        <f aca="false">SUMIFS(الريسبي!$C$2:$C$1800,الريسبي!$A$2:$A$1800,$A81,الريسبي!$B$2:$B$1800,F$1)</f>
        <v>0</v>
      </c>
      <c r="G81" s="117" t="n">
        <f aca="false">SUMIFS(الريسبي!$C$2:$C$1800,الريسبي!$A$2:$A$1800,$A81,الريسبي!$B$2:$B$1800,G$1)</f>
        <v>0</v>
      </c>
      <c r="H81" s="117" t="n">
        <f aca="false">SUMIFS(الريسبي!$C$2:$C$1800,الريسبي!$A$2:$A$1800,$A81,الريسبي!$B$2:$B$1800,H$1)</f>
        <v>0</v>
      </c>
      <c r="I81" s="117" t="n">
        <f aca="false">SUMIFS(الريسبي!$C$2:$C$1800,الريسبي!$A$2:$A$1800,$A81,الريسبي!$B$2:$B$1800,I$1)</f>
        <v>0</v>
      </c>
      <c r="J81" s="117" t="n">
        <f aca="false">SUMIFS(الريسبي!$C$2:$C$1800,الريسبي!$A$2:$A$1800,$A81,الريسبي!$B$2:$B$1800,J$1)</f>
        <v>0</v>
      </c>
      <c r="K81" s="117" t="n">
        <f aca="false">SUMIFS(الريسبي!$C$2:$C$1800,الريسبي!$A$2:$A$1800,$A81,الريسبي!$B$2:$B$1800,K$1)</f>
        <v>0</v>
      </c>
      <c r="L81" s="117" t="n">
        <f aca="false">SUMIFS(الريسبي!$C$2:$C$1800,الريسبي!$A$2:$A$1800,$A81,الريسبي!$B$2:$B$1800,L$1)</f>
        <v>0</v>
      </c>
      <c r="M81" s="117" t="n">
        <f aca="false">SUMIFS(الريسبي!$C$2:$C$1800,الريسبي!$A$2:$A$1800,$A81,الريسبي!$B$2:$B$1800,M$1)</f>
        <v>0</v>
      </c>
      <c r="N81" s="117" t="n">
        <f aca="false">SUMIFS(الريسبي!$C$2:$C$1800,الريسبي!$A$2:$A$1800,$A81,الريسبي!$B$2:$B$1800,N$1)</f>
        <v>0</v>
      </c>
      <c r="O81" s="117" t="n">
        <f aca="false">SUMIFS(الريسبي!$C$2:$C$1800,الريسبي!$A$2:$A$1800,$A81,الريسبي!$B$2:$B$1800,O$1)</f>
        <v>0</v>
      </c>
      <c r="P81" s="117" t="n">
        <f aca="false">SUMIFS(الريسبي!$C$2:$C$1800,الريسبي!$A$2:$A$1800,$A81,الريسبي!$B$2:$B$1800,P$1)</f>
        <v>0</v>
      </c>
      <c r="Q81" s="117" t="n">
        <f aca="false">SUMIFS(الريسبي!$C$2:$C$1800,الريسبي!$A$2:$A$1800,$A81,الريسبي!$B$2:$B$1800,Q$1)</f>
        <v>0</v>
      </c>
      <c r="R81" s="117" t="n">
        <f aca="false">SUMIFS(الريسبي!$C$2:$C$1800,الريسبي!$A$2:$A$1800,$A81,الريسبي!$B$2:$B$1800,R$1)</f>
        <v>0</v>
      </c>
      <c r="S81" s="117" t="n">
        <f aca="false">SUMIFS(الريسبي!$C$2:$C$1800,الريسبي!$A$2:$A$1800,$A81,الريسبي!$B$2:$B$1800,S$1)</f>
        <v>0</v>
      </c>
      <c r="T81" s="117" t="n">
        <f aca="false">SUMIFS(الريسبي!$C$2:$C$1800,الريسبي!$A$2:$A$1800,$A81,الريسبي!$B$2:$B$1800,T$1)</f>
        <v>0</v>
      </c>
      <c r="U81" s="117" t="n">
        <f aca="false">SUMIFS(الريسبي!$C$2:$C$1800,الريسبي!$A$2:$A$1800,$A81,الريسبي!$B$2:$B$1800,U$1)</f>
        <v>0</v>
      </c>
      <c r="V81" s="117" t="n">
        <f aca="false">SUMIFS(الريسبي!$C$2:$C$1800,الريسبي!$A$2:$A$1800,$A81,الريسبي!$B$2:$B$1800,V$1)</f>
        <v>0</v>
      </c>
      <c r="W81" s="117" t="n">
        <f aca="false">SUMIFS(الريسبي!$C$2:$C$1800,الريسبي!$A$2:$A$1800,$A81,الريسبي!$B$2:$B$1800,W$1)</f>
        <v>0</v>
      </c>
      <c r="X81" s="117" t="n">
        <f aca="false">SUMIFS(الريسبي!$C$2:$C$1800,الريسبي!$A$2:$A$1800,$A81,الريسبي!$B$2:$B$1800,X$1)</f>
        <v>1</v>
      </c>
      <c r="Y81" s="117" t="n">
        <f aca="false">SUMIFS(الريسبي!$C$2:$C$1800,الريسبي!$A$2:$A$1800,$A81,الريسبي!$B$2:$B$1800,Y$1)</f>
        <v>0</v>
      </c>
      <c r="Z81" s="117" t="n">
        <f aca="false">SUMIFS(الريسبي!$C$2:$C$1800,الريسبي!$A$2:$A$1800,$A81,الريسبي!$B$2:$B$1800,Z$1)</f>
        <v>0</v>
      </c>
      <c r="AA81" s="117" t="n">
        <f aca="false">SUMIFS(الريسبي!$C$2:$C$1800,الريسبي!$A$2:$A$1800,$A81,الريسبي!$B$2:$B$1800,AA$1)</f>
        <v>0</v>
      </c>
      <c r="AB81" s="117" t="n">
        <f aca="false">SUMIFS(الريسبي!$C$2:$C$1800,الريسبي!$A$2:$A$1800,$A81,الريسبي!$B$2:$B$1800,AB$1)</f>
        <v>0</v>
      </c>
      <c r="AC81" s="117" t="n">
        <f aca="false">SUMIFS(الريسبي!$C$2:$C$1800,الريسبي!$A$2:$A$1800,$A81,الريسبي!$B$2:$B$1800,AC$1)</f>
        <v>0</v>
      </c>
      <c r="AD81" s="117" t="n">
        <f aca="false">SUMIFS(الريسبي!$C$2:$C$1800,الريسبي!$A$2:$A$1800,$A81,الريسبي!$B$2:$B$1800,AD$1)</f>
        <v>0</v>
      </c>
      <c r="AE81" s="117" t="n">
        <f aca="false">SUMIFS(الريسبي!$C$2:$C$1800,الريسبي!$A$2:$A$1800,$A81,الريسبي!$B$2:$B$1800,AE$1)</f>
        <v>0</v>
      </c>
      <c r="AF81" s="117" t="n">
        <f aca="false">SUMIFS(الريسبي!$C$2:$C$1800,الريسبي!$A$2:$A$1800,$A81,الريسبي!$B$2:$B$1800,AF$1)</f>
        <v>0</v>
      </c>
      <c r="AG81" s="117" t="n">
        <f aca="false">SUMIFS(الريسبي!$C$2:$C$1800,الريسبي!$A$2:$A$1800,$A81,الريسبي!$B$2:$B$1800,AG$1)</f>
        <v>0</v>
      </c>
      <c r="AH81" s="117" t="n">
        <f aca="false">SUMIFS(الريسبي!$C$2:$C$1800,الريسبي!$A$2:$A$1800,$A81,الريسبي!$B$2:$B$1800,AH$1)</f>
        <v>0</v>
      </c>
      <c r="AI81" s="117" t="n">
        <f aca="false">SUMIFS(الريسبي!$C$2:$C$1800,الريسبي!$A$2:$A$1800,$A81,الريسبي!$B$2:$B$1800,AI$1)</f>
        <v>0</v>
      </c>
      <c r="AJ81" s="117" t="n">
        <f aca="false">SUMIFS(الريسبي!$C$2:$C$1800,الريسبي!$A$2:$A$1800,$A81,الريسبي!$B$2:$B$1800,AJ$1)</f>
        <v>2</v>
      </c>
      <c r="AK81" s="117" t="n">
        <f aca="false">SUMIFS(الريسبي!$C$2:$C$1800,الريسبي!$A$2:$A$1800,$A81,الريسبي!$B$2:$B$1800,AK$1)</f>
        <v>0</v>
      </c>
      <c r="AL81" s="117" t="n">
        <f aca="false">SUMIFS(الريسبي!$C$2:$C$1800,الريسبي!$A$2:$A$1800,$A81,الريسبي!$B$2:$B$1800,AL$1)</f>
        <v>0</v>
      </c>
      <c r="AM81" s="117" t="n">
        <f aca="false">SUMIFS(الريسبي!$C$2:$C$1800,الريسبي!$A$2:$A$1800,$A81,الريسبي!$B$2:$B$1800,AM$1)+0.08333333333*SUMIFS(الريسبي!$C$2:$C$1800,الريسبي!$A$2:$A$1800,$A81,الريسبي!$B$2:$B$1800,"عجين كريب (مصنع بالمطعم)")+0.08333333333*SUMIFS(الريسبي!$C$2:$C$1800,الريسبي!$A$2:$A$1800,$A81,الريسبي!$B$2:$B$1800,"عجين كريب صيامي (بدون لبن)")</f>
        <v>0</v>
      </c>
      <c r="AN81" s="117" t="n">
        <f aca="false">SUMIFS(الريسبي!$C$2:$C$1800,الريسبي!$A$2:$A$1800,$A81,الريسبي!$B$2:$B$1800,AN$1)+0.004166666667*SUMIFS(الريسبي!$C$2:$C$1800,الريسبي!$A$2:$A$1800,$A81,الريسبي!$B$2:$B$1800,"عجين كريب (مصنع بالمطعم)")+0.004166666667*SUMIFS(الريسبي!$C$2:$C$1800,الريسبي!$A$2:$A$1800,$A81,الريسبي!$B$2:$B$1800,"عجين كريب صيامي (بدون لبن)")</f>
        <v>0</v>
      </c>
      <c r="AO81" s="117" t="n">
        <f aca="false">SUMIFS(الريسبي!$C$2:$C$1800,الريسبي!$A$2:$A$1800,$A81,الريسبي!$B$2:$B$1800,AO$1)</f>
        <v>0</v>
      </c>
      <c r="AP81" s="117" t="n">
        <f aca="false">SUMIFS(الريسبي!$C$2:$C$1800,الريسبي!$A$2:$A$1800,$A81,الريسبي!$B$2:$B$1800,AP$1)</f>
        <v>0.02</v>
      </c>
      <c r="AQ81" s="117" t="n">
        <f aca="false">SUMIFS(الريسبي!$C$2:$C$1800,الريسبي!$A$2:$A$1800,$A81,الريسبي!$B$2:$B$1800,AQ$1)+0.004166666667*SUMIFS(الريسبي!$C$2:$C$1800,الريسبي!$A$2:$A$1800,$A81,الريسبي!$B$2:$B$1800,"عجين كريب (مصنع بالمطعم)")+0.004166666667*SUMIFS(الريسبي!$C$2:$C$1800,الريسبي!$A$2:$A$1800,$A81,الريسبي!$B$2:$B$1800,"عجين كريب صيامي (بدون لبن)")</f>
        <v>0</v>
      </c>
      <c r="AR81" s="117" t="n">
        <f aca="false">SUMIFS(الريسبي!$C$2:$C$1800,الريسبي!$A$2:$A$1800,$A81,الريسبي!$B$2:$B$1800,AR$1)</f>
        <v>0</v>
      </c>
      <c r="AS81" s="117" t="n">
        <f aca="false">SUMIFS(الريسبي!$C$2:$C$1800,الريسبي!$A$2:$A$1800,$A81,الريسبي!$B$2:$B$1800,AS$1)</f>
        <v>0</v>
      </c>
      <c r="AT81" s="117" t="n">
        <f aca="false">SUMIFS(الريسبي!$C$2:$C$1800,الريسبي!$A$2:$A$1800,$A81,الريسبي!$B$2:$B$1800,AT$1)</f>
        <v>0</v>
      </c>
      <c r="AU81" s="117" t="n">
        <f aca="false">SUMIFS(الريسبي!$C$2:$C$1800,الريسبي!$A$2:$A$1800,$A81,الريسبي!$B$2:$B$1800,AU$1)</f>
        <v>0</v>
      </c>
      <c r="AV81" s="117" t="n">
        <f aca="false">SUMIFS(الريسبي!$C$2:$C$1800,الريسبي!$A$2:$A$1800,$A81,الريسبي!$B$2:$B$1800,AV$1)</f>
        <v>0</v>
      </c>
      <c r="AW81" s="117" t="n">
        <f aca="false">SUMIFS(الريسبي!$C$2:$C$1800,الريسبي!$A$2:$A$1800,$A81,الريسبي!$B$2:$B$1800,AW$1)</f>
        <v>0</v>
      </c>
      <c r="AX81" s="117" t="n">
        <f aca="false">SUMIFS(الريسبي!$C$2:$C$1800,الريسبي!$A$2:$A$1800,$A81,الريسبي!$B$2:$B$1800,AX$1)</f>
        <v>0.04</v>
      </c>
      <c r="AY81" s="117" t="n">
        <f aca="false">SUMIFS(الريسبي!$C$2:$C$1800,الريسبي!$A$2:$A$1800,$A81,الريسبي!$B$2:$B$1800,AY$1)</f>
        <v>0</v>
      </c>
      <c r="AZ81" s="117" t="n">
        <f aca="false">SUMIFS(الريسبي!$C$2:$C$1800,الريسبي!$A$2:$A$1800,$A81,الريسبي!$B$2:$B$1800,AZ$1)</f>
        <v>0</v>
      </c>
      <c r="BA81" s="117" t="n">
        <f aca="false">SUMIFS(الريسبي!$C$2:$C$1800,الريسبي!$A$2:$A$1800,$A81,الريسبي!$B$2:$B$1800,BA$1)</f>
        <v>0</v>
      </c>
      <c r="BB81" s="117" t="n">
        <f aca="false">SUMIFS(الريسبي!$C$2:$C$1800,الريسبي!$A$2:$A$1800,$A81,الريسبي!$B$2:$B$1800,BB$1)</f>
        <v>0</v>
      </c>
      <c r="BC81" s="117" t="n">
        <f aca="false">SUMIFS(الريسبي!$C$2:$C$1800,الريسبي!$A$2:$A$1800,$A81,الريسبي!$B$2:$B$1800,BC$1)</f>
        <v>0.03</v>
      </c>
      <c r="BD81" s="117" t="n">
        <f aca="false">SUMIFS(الريسبي!$C$2:$C$1800,الريسبي!$A$2:$A$1800,$A81,الريسبي!$B$2:$B$1800,BD$1)</f>
        <v>0.22</v>
      </c>
      <c r="BE81" s="117" t="n">
        <f aca="false">SUMIFS(الريسبي!$C$2:$C$1800,الريسبي!$A$2:$A$1800,$A81,الريسبي!$B$2:$B$1800,BE$1)</f>
        <v>0</v>
      </c>
      <c r="BF81" s="117" t="n">
        <f aca="false">SUMIFS(الريسبي!$C$2:$C$1800,الريسبي!$A$2:$A$1800,$A81,الريسبي!$B$2:$B$1800,BF$1)</f>
        <v>0</v>
      </c>
      <c r="BG81" s="117" t="n">
        <f aca="false">SUMIFS(الريسبي!$C$2:$C$1800,الريسبي!$A$2:$A$1800,$A81,الريسبي!$B$2:$B$1800,BG$1)</f>
        <v>0</v>
      </c>
      <c r="BH81" s="117" t="n">
        <f aca="false">SUMIFS(الريسبي!$C$2:$C$1800,الريسبي!$A$2:$A$1800,$A81,الريسبي!$B$2:$B$1800,BH$1)</f>
        <v>1</v>
      </c>
      <c r="BI81" s="117" t="n">
        <f aca="false">SUMIFS(الريسبي!$C$2:$C$1800,الريسبي!$A$2:$A$1800,$A81,الريسبي!$B$2:$B$1800,BI$1)</f>
        <v>0</v>
      </c>
      <c r="BJ81" s="117" t="n">
        <f aca="false">SUMIFS(الريسبي!$C$2:$C$1800,الريسبي!$A$2:$A$1800,$A81,الريسبي!$B$2:$B$1800,BJ$1)</f>
        <v>0</v>
      </c>
      <c r="BK81" s="117" t="n">
        <f aca="false">SUMIFS(الريسبي!$C$2:$C$1800,الريسبي!$A$2:$A$1800,$A81,الريسبي!$B$2:$B$1800,BK$1)</f>
        <v>0</v>
      </c>
      <c r="BL81" s="117" t="n">
        <f aca="false">SUMIFS(الريسبي!$C$2:$C$1800,الريسبي!$A$2:$A$1800,$A81,الريسبي!$B$2:$B$1800,BL$1)</f>
        <v>0</v>
      </c>
      <c r="BM81" s="117" t="n">
        <f aca="false">SUMIFS(الريسبي!$C$2:$C$1800,الريسبي!$A$2:$A$1800,$A81,الريسبي!$B$2:$B$1800,BM$1)</f>
        <v>0</v>
      </c>
      <c r="BN81" s="117" t="n">
        <f aca="false">SUMIFS(الريسبي!$C$2:$C$1800,الريسبي!$A$2:$A$1800,$A81,الريسبي!$B$2:$B$1800,BN$1)</f>
        <v>0.02</v>
      </c>
      <c r="BO81" s="117" t="n">
        <f aca="false">SUMIFS(الريسبي!$C$2:$C$1800,الريسبي!$A$2:$A$1800,$A81,الريسبي!$B$2:$B$1800,BO$1)</f>
        <v>0</v>
      </c>
      <c r="BP81" s="117" t="n">
        <f aca="false">SUMIFS(الريسبي!$C$2:$C$1800,الريسبي!$A$2:$A$1800,$A81,الريسبي!$B$2:$B$1800,BP$1)</f>
        <v>2</v>
      </c>
      <c r="BQ81" s="117" t="n">
        <f aca="false">SUMIFS(الريسبي!$C$2:$C$1800,الريسبي!$A$2:$A$1800,$A81,الريسبي!$B$2:$B$1800,BQ$1)+0.17*SUMIFS(الريسبي!$C$2:$C$1800,الريسبي!$A$2:$A$1800,$A81,الريسبي!$B$2:$B$1800,"كاسترد مصنع (خليط بودر + لبن)")+0.17*SUMIFS(الريسبي!$C$2:$C$1800,الريسبي!$A$2:$A$1800,$A81,الريسبي!$B$2:$B$1800,"كاسترد مصنع صيامي (بدون لبن)")</f>
        <v>0</v>
      </c>
      <c r="BR81" s="117" t="n">
        <f aca="false">SUMIFS(الريسبي!$C$2:$C$1800,الريسبي!$A$2:$A$1800,$A81,الريسبي!$B$2:$B$1800,BR$1)</f>
        <v>1</v>
      </c>
      <c r="BS81" s="117" t="n">
        <f aca="false">SUMIFS(الريسبي!$C$2:$C$1800,الريسبي!$A$2:$A$1800,$A81,الريسبي!$B$2:$B$1800,BS$1)</f>
        <v>0</v>
      </c>
      <c r="BT81" s="117" t="n">
        <f aca="false">SUMIFS(الريسبي!$C$2:$C$1800,الريسبي!$A$2:$A$1800,$A81,الريسبي!$B$2:$B$1800,BT$1)</f>
        <v>0</v>
      </c>
      <c r="BU81" s="117" t="n">
        <f aca="false">SUMIFS(الريسبي!$C$2:$C$1800,الريسبي!$A$2:$A$1800,$A81,الريسبي!$B$2:$B$1800,BU$1)+0.4*SUMIFS(الريسبي!$C$2:$C$1800,الريسبي!$A$2:$A$1800,$A81,الريسبي!$B$2:$B$1800,"كاسترد مصنع (خليط بودر + لبن)")+0.03333333333*SUMIFS(الريسبي!$C$2:$C$1800,الريسبي!$A$2:$A$1800,$A81,الريسبي!$B$2:$B$1800,"عجين كريب (مصنع بالمطعم)")</f>
        <v>0</v>
      </c>
      <c r="BV81" s="117" t="n">
        <f aca="false">SUMIFS(الريسبي!$C$2:$C$1800,الريسبي!$A$2:$A$1800,$A81,الريسبي!$B$2:$B$1800,BV$1)</f>
        <v>0</v>
      </c>
      <c r="BW81" s="117" t="n">
        <f aca="false">SUMIFS(الريسبي!$C$2:$C$1800,الريسبي!$A$2:$A$1800,$A81,الريسبي!$B$2:$B$1800,BW$1)</f>
        <v>0</v>
      </c>
      <c r="BX81" s="117" t="n">
        <f aca="false">SUMIFS(الريسبي!$C$2:$C$1800,الريسبي!$A$2:$A$1800,$A81,الريسبي!$B$2:$B$1800,BX$1)</f>
        <v>0</v>
      </c>
      <c r="BY81" s="117" t="n">
        <f aca="false">SUMIFS(الريسبي!$C$2:$C$1800,الريسبي!$A$2:$A$1800,$A81,الريسبي!$B$2:$B$1800,BY$1)</f>
        <v>0</v>
      </c>
      <c r="BZ81" s="117" t="n">
        <f aca="false">SUMIFS(الريسبي!$C$2:$C$1800,الريسبي!$A$2:$A$1800,$A81,الريسبي!$B$2:$B$1800,BZ$1)</f>
        <v>0</v>
      </c>
      <c r="CA81" s="117" t="n">
        <f aca="false">SUMIFS(الريسبي!$C$2:$C$1800,الريسبي!$A$2:$A$1800,$A81,الريسبي!$B$2:$B$1800,CA$1)</f>
        <v>1</v>
      </c>
      <c r="CB81" s="117" t="n">
        <f aca="false">SUMIFS(الريسبي!$C$2:$C$1800,الريسبي!$A$2:$A$1800,$A81,الريسبي!$B$2:$B$1800,CB$1)</f>
        <v>1</v>
      </c>
      <c r="CC81" s="117" t="n">
        <f aca="false">SUMIFS(الريسبي!$C$2:$C$1800,الريسبي!$A$2:$A$1800,$A81,الريسبي!$B$2:$B$1800,CC$1)</f>
        <v>0</v>
      </c>
      <c r="CD81" s="117" t="n">
        <f aca="false">SUMIFS(الريسبي!$C$2:$C$1800,الريسبي!$A$2:$A$1800,$A81,الريسبي!$B$2:$B$1800,CD$1)</f>
        <v>0.12</v>
      </c>
      <c r="CE81" s="117" t="n">
        <f aca="false">SUMIFS(الريسبي!$C$2:$C$1800,الريسبي!$A$2:$A$1800,$A81,الريسبي!$B$2:$B$1800,CE$1)</f>
        <v>0</v>
      </c>
      <c r="CF81" s="117" t="n">
        <f aca="false">SUMIFS(الريسبي!$C$2:$C$1800,الريسبي!$A$2:$A$1800,$A81,الريسبي!$B$2:$B$1800,CF$1)</f>
        <v>0</v>
      </c>
      <c r="CG81" s="117" t="n">
        <f aca="false">SUMIFS(الريسبي!$C$2:$C$1800,الريسبي!$A$2:$A$1800,$A81,الريسبي!$B$2:$B$1800,CG$1)</f>
        <v>0</v>
      </c>
      <c r="CH81" s="117" t="n">
        <f aca="false">SUMIFS(الريسبي!$C$2:$C$1800,الريسبي!$A$2:$A$1800,$A81,الريسبي!$B$2:$B$1800,CH$1)</f>
        <v>0</v>
      </c>
      <c r="CI81" s="117" t="n">
        <f aca="false">SUMIFS(الريسبي!$C$2:$C$1800,الريسبي!$A$2:$A$1800,$A81,الريسبي!$B$2:$B$1800,CI$1)</f>
        <v>0</v>
      </c>
      <c r="CJ81" s="117" t="n">
        <f aca="false">SUMIFS(الريسبي!$C$2:$C$1800,الريسبي!$A$2:$A$1800,$A81,الريسبي!$B$2:$B$1800,CJ$1)</f>
        <v>0</v>
      </c>
      <c r="CK81" s="117" t="n">
        <f aca="false">SUMIFS(الريسبي!$C$2:$C$1800,الريسبي!$A$2:$A$1800,$A81,الريسبي!$B$2:$B$1800,CK$1)</f>
        <v>0</v>
      </c>
      <c r="CL81" s="117" t="n">
        <f aca="false">SUMIFS(الريسبي!$C$2:$C$1800,الريسبي!$A$2:$A$1800,$A81,الريسبي!$B$2:$B$1800,CL$1)</f>
        <v>0</v>
      </c>
    </row>
    <row r="82" customFormat="false" ht="15" hidden="false" customHeight="false" outlineLevel="0" collapsed="false">
      <c r="A82" s="116" t="str">
        <f aca="false">المنيو!B82</f>
        <v>بيتزا سوسيس صيامي مخصوص</v>
      </c>
      <c r="B82" s="117" t="n">
        <f aca="false">SUMIFS(الريسبي!$C$2:$C$1800,الريسبي!$A$2:$A$1800,$A82,الريسبي!$B$2:$B$1800,B$1)</f>
        <v>0</v>
      </c>
      <c r="C82" s="117" t="n">
        <f aca="false">SUMIFS(الريسبي!$C$2:$C$1800,الريسبي!$A$2:$A$1800,$A82,الريسبي!$B$2:$B$1800,C$1)</f>
        <v>0</v>
      </c>
      <c r="D82" s="117" t="n">
        <f aca="false">SUMIFS(الريسبي!$C$2:$C$1800,الريسبي!$A$2:$A$1800,$A82,الريسبي!$B$2:$B$1800,D$1)</f>
        <v>1</v>
      </c>
      <c r="E82" s="117" t="n">
        <f aca="false">SUMIFS(الريسبي!$C$2:$C$1800,الريسبي!$A$2:$A$1800,$A82,الريسبي!$B$2:$B$1800,E$1)</f>
        <v>0</v>
      </c>
      <c r="F82" s="117" t="n">
        <f aca="false">SUMIFS(الريسبي!$C$2:$C$1800,الريسبي!$A$2:$A$1800,$A82,الريسبي!$B$2:$B$1800,F$1)</f>
        <v>0</v>
      </c>
      <c r="G82" s="117" t="n">
        <f aca="false">SUMIFS(الريسبي!$C$2:$C$1800,الريسبي!$A$2:$A$1800,$A82,الريسبي!$B$2:$B$1800,G$1)</f>
        <v>0</v>
      </c>
      <c r="H82" s="117" t="n">
        <f aca="false">SUMIFS(الريسبي!$C$2:$C$1800,الريسبي!$A$2:$A$1800,$A82,الريسبي!$B$2:$B$1800,H$1)</f>
        <v>0</v>
      </c>
      <c r="I82" s="117" t="n">
        <f aca="false">SUMIFS(الريسبي!$C$2:$C$1800,الريسبي!$A$2:$A$1800,$A82,الريسبي!$B$2:$B$1800,I$1)</f>
        <v>0</v>
      </c>
      <c r="J82" s="117" t="n">
        <f aca="false">SUMIFS(الريسبي!$C$2:$C$1800,الريسبي!$A$2:$A$1800,$A82,الريسبي!$B$2:$B$1800,J$1)</f>
        <v>0</v>
      </c>
      <c r="K82" s="117" t="n">
        <f aca="false">SUMIFS(الريسبي!$C$2:$C$1800,الريسبي!$A$2:$A$1800,$A82,الريسبي!$B$2:$B$1800,K$1)</f>
        <v>0</v>
      </c>
      <c r="L82" s="117" t="n">
        <f aca="false">SUMIFS(الريسبي!$C$2:$C$1800,الريسبي!$A$2:$A$1800,$A82,الريسبي!$B$2:$B$1800,L$1)</f>
        <v>0</v>
      </c>
      <c r="M82" s="117" t="n">
        <f aca="false">SUMIFS(الريسبي!$C$2:$C$1800,الريسبي!$A$2:$A$1800,$A82,الريسبي!$B$2:$B$1800,M$1)</f>
        <v>0</v>
      </c>
      <c r="N82" s="117" t="n">
        <f aca="false">SUMIFS(الريسبي!$C$2:$C$1800,الريسبي!$A$2:$A$1800,$A82,الريسبي!$B$2:$B$1800,N$1)</f>
        <v>0</v>
      </c>
      <c r="O82" s="117" t="n">
        <f aca="false">SUMIFS(الريسبي!$C$2:$C$1800,الريسبي!$A$2:$A$1800,$A82,الريسبي!$B$2:$B$1800,O$1)</f>
        <v>0</v>
      </c>
      <c r="P82" s="117" t="n">
        <f aca="false">SUMIFS(الريسبي!$C$2:$C$1800,الريسبي!$A$2:$A$1800,$A82,الريسبي!$B$2:$B$1800,P$1)</f>
        <v>0</v>
      </c>
      <c r="Q82" s="117" t="n">
        <f aca="false">SUMIFS(الريسبي!$C$2:$C$1800,الريسبي!$A$2:$A$1800,$A82,الريسبي!$B$2:$B$1800,Q$1)</f>
        <v>0</v>
      </c>
      <c r="R82" s="117" t="n">
        <f aca="false">SUMIFS(الريسبي!$C$2:$C$1800,الريسبي!$A$2:$A$1800,$A82,الريسبي!$B$2:$B$1800,R$1)</f>
        <v>0</v>
      </c>
      <c r="S82" s="117" t="n">
        <f aca="false">SUMIFS(الريسبي!$C$2:$C$1800,الريسبي!$A$2:$A$1800,$A82,الريسبي!$B$2:$B$1800,S$1)</f>
        <v>0</v>
      </c>
      <c r="T82" s="117" t="n">
        <f aca="false">SUMIFS(الريسبي!$C$2:$C$1800,الريسبي!$A$2:$A$1800,$A82,الريسبي!$B$2:$B$1800,T$1)</f>
        <v>0</v>
      </c>
      <c r="U82" s="117" t="n">
        <f aca="false">SUMIFS(الريسبي!$C$2:$C$1800,الريسبي!$A$2:$A$1800,$A82,الريسبي!$B$2:$B$1800,U$1)</f>
        <v>0</v>
      </c>
      <c r="V82" s="117" t="n">
        <f aca="false">SUMIFS(الريسبي!$C$2:$C$1800,الريسبي!$A$2:$A$1800,$A82,الريسبي!$B$2:$B$1800,V$1)</f>
        <v>0</v>
      </c>
      <c r="W82" s="117" t="n">
        <f aca="false">SUMIFS(الريسبي!$C$2:$C$1800,الريسبي!$A$2:$A$1800,$A82,الريسبي!$B$2:$B$1800,W$1)</f>
        <v>0</v>
      </c>
      <c r="X82" s="117" t="n">
        <f aca="false">SUMIFS(الريسبي!$C$2:$C$1800,الريسبي!$A$2:$A$1800,$A82,الريسبي!$B$2:$B$1800,X$1)</f>
        <v>0</v>
      </c>
      <c r="Y82" s="117" t="n">
        <f aca="false">SUMIFS(الريسبي!$C$2:$C$1800,الريسبي!$A$2:$A$1800,$A82,الريسبي!$B$2:$B$1800,Y$1)</f>
        <v>1</v>
      </c>
      <c r="Z82" s="117" t="n">
        <f aca="false">SUMIFS(الريسبي!$C$2:$C$1800,الريسبي!$A$2:$A$1800,$A82,الريسبي!$B$2:$B$1800,Z$1)</f>
        <v>0</v>
      </c>
      <c r="AA82" s="117" t="n">
        <f aca="false">SUMIFS(الريسبي!$C$2:$C$1800,الريسبي!$A$2:$A$1800,$A82,الريسبي!$B$2:$B$1800,AA$1)</f>
        <v>0</v>
      </c>
      <c r="AB82" s="117" t="n">
        <f aca="false">SUMIFS(الريسبي!$C$2:$C$1800,الريسبي!$A$2:$A$1800,$A82,الريسبي!$B$2:$B$1800,AB$1)</f>
        <v>0</v>
      </c>
      <c r="AC82" s="117" t="n">
        <f aca="false">SUMIFS(الريسبي!$C$2:$C$1800,الريسبي!$A$2:$A$1800,$A82,الريسبي!$B$2:$B$1800,AC$1)</f>
        <v>0</v>
      </c>
      <c r="AD82" s="117" t="n">
        <f aca="false">SUMIFS(الريسبي!$C$2:$C$1800,الريسبي!$A$2:$A$1800,$A82,الريسبي!$B$2:$B$1800,AD$1)</f>
        <v>0</v>
      </c>
      <c r="AE82" s="117" t="n">
        <f aca="false">SUMIFS(الريسبي!$C$2:$C$1800,الريسبي!$A$2:$A$1800,$A82,الريسبي!$B$2:$B$1800,AE$1)</f>
        <v>0</v>
      </c>
      <c r="AF82" s="117" t="n">
        <f aca="false">SUMIFS(الريسبي!$C$2:$C$1800,الريسبي!$A$2:$A$1800,$A82,الريسبي!$B$2:$B$1800,AF$1)</f>
        <v>0</v>
      </c>
      <c r="AG82" s="117" t="n">
        <f aca="false">SUMIFS(الريسبي!$C$2:$C$1800,الريسبي!$A$2:$A$1800,$A82,الريسبي!$B$2:$B$1800,AG$1)</f>
        <v>0</v>
      </c>
      <c r="AH82" s="117" t="n">
        <f aca="false">SUMIFS(الريسبي!$C$2:$C$1800,الريسبي!$A$2:$A$1800,$A82,الريسبي!$B$2:$B$1800,AH$1)</f>
        <v>0</v>
      </c>
      <c r="AI82" s="117" t="n">
        <f aca="false">SUMIFS(الريسبي!$C$2:$C$1800,الريسبي!$A$2:$A$1800,$A82,الريسبي!$B$2:$B$1800,AI$1)</f>
        <v>0</v>
      </c>
      <c r="AJ82" s="117" t="n">
        <f aca="false">SUMIFS(الريسبي!$C$2:$C$1800,الريسبي!$A$2:$A$1800,$A82,الريسبي!$B$2:$B$1800,AJ$1)</f>
        <v>2</v>
      </c>
      <c r="AK82" s="117" t="n">
        <f aca="false">SUMIFS(الريسبي!$C$2:$C$1800,الريسبي!$A$2:$A$1800,$A82,الريسبي!$B$2:$B$1800,AK$1)</f>
        <v>0</v>
      </c>
      <c r="AL82" s="117" t="n">
        <f aca="false">SUMIFS(الريسبي!$C$2:$C$1800,الريسبي!$A$2:$A$1800,$A82,الريسبي!$B$2:$B$1800,AL$1)</f>
        <v>0</v>
      </c>
      <c r="AM82" s="117" t="n">
        <f aca="false">SUMIFS(الريسبي!$C$2:$C$1800,الريسبي!$A$2:$A$1800,$A82,الريسبي!$B$2:$B$1800,AM$1)+0.08333333333*SUMIFS(الريسبي!$C$2:$C$1800,الريسبي!$A$2:$A$1800,$A82,الريسبي!$B$2:$B$1800,"عجين كريب (مصنع بالمطعم)")+0.08333333333*SUMIFS(الريسبي!$C$2:$C$1800,الريسبي!$A$2:$A$1800,$A82,الريسبي!$B$2:$B$1800,"عجين كريب صيامي (بدون لبن)")</f>
        <v>0</v>
      </c>
      <c r="AN82" s="117" t="n">
        <f aca="false">SUMIFS(الريسبي!$C$2:$C$1800,الريسبي!$A$2:$A$1800,$A82,الريسبي!$B$2:$B$1800,AN$1)+0.004166666667*SUMIFS(الريسبي!$C$2:$C$1800,الريسبي!$A$2:$A$1800,$A82,الريسبي!$B$2:$B$1800,"عجين كريب (مصنع بالمطعم)")+0.004166666667*SUMIFS(الريسبي!$C$2:$C$1800,الريسبي!$A$2:$A$1800,$A82,الريسبي!$B$2:$B$1800,"عجين كريب صيامي (بدون لبن)")</f>
        <v>0</v>
      </c>
      <c r="AO82" s="117" t="n">
        <f aca="false">SUMIFS(الريسبي!$C$2:$C$1800,الريسبي!$A$2:$A$1800,$A82,الريسبي!$B$2:$B$1800,AO$1)</f>
        <v>0</v>
      </c>
      <c r="AP82" s="117" t="n">
        <f aca="false">SUMIFS(الريسبي!$C$2:$C$1800,الريسبي!$A$2:$A$1800,$A82,الريسبي!$B$2:$B$1800,AP$1)</f>
        <v>0.03</v>
      </c>
      <c r="AQ82" s="117" t="n">
        <f aca="false">SUMIFS(الريسبي!$C$2:$C$1800,الريسبي!$A$2:$A$1800,$A82,الريسبي!$B$2:$B$1800,AQ$1)+0.004166666667*SUMIFS(الريسبي!$C$2:$C$1800,الريسبي!$A$2:$A$1800,$A82,الريسبي!$B$2:$B$1800,"عجين كريب (مصنع بالمطعم)")+0.004166666667*SUMIFS(الريسبي!$C$2:$C$1800,الريسبي!$A$2:$A$1800,$A82,الريسبي!$B$2:$B$1800,"عجين كريب صيامي (بدون لبن)")</f>
        <v>0</v>
      </c>
      <c r="AR82" s="117" t="n">
        <f aca="false">SUMIFS(الريسبي!$C$2:$C$1800,الريسبي!$A$2:$A$1800,$A82,الريسبي!$B$2:$B$1800,AR$1)</f>
        <v>0</v>
      </c>
      <c r="AS82" s="117" t="n">
        <f aca="false">SUMIFS(الريسبي!$C$2:$C$1800,الريسبي!$A$2:$A$1800,$A82,الريسبي!$B$2:$B$1800,AS$1)</f>
        <v>0</v>
      </c>
      <c r="AT82" s="117" t="n">
        <f aca="false">SUMIFS(الريسبي!$C$2:$C$1800,الريسبي!$A$2:$A$1800,$A82,الريسبي!$B$2:$B$1800,AT$1)</f>
        <v>0</v>
      </c>
      <c r="AU82" s="117" t="n">
        <f aca="false">SUMIFS(الريسبي!$C$2:$C$1800,الريسبي!$A$2:$A$1800,$A82,الريسبي!$B$2:$B$1800,AU$1)</f>
        <v>0</v>
      </c>
      <c r="AV82" s="117" t="n">
        <f aca="false">SUMIFS(الريسبي!$C$2:$C$1800,الريسبي!$A$2:$A$1800,$A82,الريسبي!$B$2:$B$1800,AV$1)</f>
        <v>0</v>
      </c>
      <c r="AW82" s="117" t="n">
        <f aca="false">SUMIFS(الريسبي!$C$2:$C$1800,الريسبي!$A$2:$A$1800,$A82,الريسبي!$B$2:$B$1800,AW$1)</f>
        <v>0</v>
      </c>
      <c r="AX82" s="117" t="n">
        <f aca="false">SUMIFS(الريسبي!$C$2:$C$1800,الريسبي!$A$2:$A$1800,$A82,الريسبي!$B$2:$B$1800,AX$1)</f>
        <v>0.06</v>
      </c>
      <c r="AY82" s="117" t="n">
        <f aca="false">SUMIFS(الريسبي!$C$2:$C$1800,الريسبي!$A$2:$A$1800,$A82,الريسبي!$B$2:$B$1800,AY$1)</f>
        <v>0</v>
      </c>
      <c r="AZ82" s="117" t="n">
        <f aca="false">SUMIFS(الريسبي!$C$2:$C$1800,الريسبي!$A$2:$A$1800,$A82,الريسبي!$B$2:$B$1800,AZ$1)</f>
        <v>0</v>
      </c>
      <c r="BA82" s="117" t="n">
        <f aca="false">SUMIFS(الريسبي!$C$2:$C$1800,الريسبي!$A$2:$A$1800,$A82,الريسبي!$B$2:$B$1800,BA$1)</f>
        <v>0</v>
      </c>
      <c r="BB82" s="117" t="n">
        <f aca="false">SUMIFS(الريسبي!$C$2:$C$1800,الريسبي!$A$2:$A$1800,$A82,الريسبي!$B$2:$B$1800,BB$1)</f>
        <v>0</v>
      </c>
      <c r="BC82" s="117" t="n">
        <f aca="false">SUMIFS(الريسبي!$C$2:$C$1800,الريسبي!$A$2:$A$1800,$A82,الريسبي!$B$2:$B$1800,BC$1)</f>
        <v>0.045</v>
      </c>
      <c r="BD82" s="117" t="n">
        <f aca="false">SUMIFS(الريسبي!$C$2:$C$1800,الريسبي!$A$2:$A$1800,$A82,الريسبي!$B$2:$B$1800,BD$1)</f>
        <v>0.3</v>
      </c>
      <c r="BE82" s="117" t="n">
        <f aca="false">SUMIFS(الريسبي!$C$2:$C$1800,الريسبي!$A$2:$A$1800,$A82,الريسبي!$B$2:$B$1800,BE$1)</f>
        <v>0</v>
      </c>
      <c r="BF82" s="117" t="n">
        <f aca="false">SUMIFS(الريسبي!$C$2:$C$1800,الريسبي!$A$2:$A$1800,$A82,الريسبي!$B$2:$B$1800,BF$1)</f>
        <v>0</v>
      </c>
      <c r="BG82" s="117" t="n">
        <f aca="false">SUMIFS(الريسبي!$C$2:$C$1800,الريسبي!$A$2:$A$1800,$A82,الريسبي!$B$2:$B$1800,BG$1)</f>
        <v>1</v>
      </c>
      <c r="BH82" s="117" t="n">
        <f aca="false">SUMIFS(الريسبي!$C$2:$C$1800,الريسبي!$A$2:$A$1800,$A82,الريسبي!$B$2:$B$1800,BH$1)</f>
        <v>0</v>
      </c>
      <c r="BI82" s="117" t="n">
        <f aca="false">SUMIFS(الريسبي!$C$2:$C$1800,الريسبي!$A$2:$A$1800,$A82,الريسبي!$B$2:$B$1800,BI$1)</f>
        <v>0</v>
      </c>
      <c r="BJ82" s="117" t="n">
        <f aca="false">SUMIFS(الريسبي!$C$2:$C$1800,الريسبي!$A$2:$A$1800,$A82,الريسبي!$B$2:$B$1800,BJ$1)</f>
        <v>0</v>
      </c>
      <c r="BK82" s="117" t="n">
        <f aca="false">SUMIFS(الريسبي!$C$2:$C$1800,الريسبي!$A$2:$A$1800,$A82,الريسبي!$B$2:$B$1800,BK$1)</f>
        <v>0</v>
      </c>
      <c r="BL82" s="117" t="n">
        <f aca="false">SUMIFS(الريسبي!$C$2:$C$1800,الريسبي!$A$2:$A$1800,$A82,الريسبي!$B$2:$B$1800,BL$1)</f>
        <v>0</v>
      </c>
      <c r="BM82" s="117" t="n">
        <f aca="false">SUMIFS(الريسبي!$C$2:$C$1800,الريسبي!$A$2:$A$1800,$A82,الريسبي!$B$2:$B$1800,BM$1)</f>
        <v>0</v>
      </c>
      <c r="BN82" s="117" t="n">
        <f aca="false">SUMIFS(الريسبي!$C$2:$C$1800,الريسبي!$A$2:$A$1800,$A82,الريسبي!$B$2:$B$1800,BN$1)</f>
        <v>0.03</v>
      </c>
      <c r="BO82" s="117" t="n">
        <f aca="false">SUMIFS(الريسبي!$C$2:$C$1800,الريسبي!$A$2:$A$1800,$A82,الريسبي!$B$2:$B$1800,BO$1)</f>
        <v>0</v>
      </c>
      <c r="BP82" s="117" t="n">
        <f aca="false">SUMIFS(الريسبي!$C$2:$C$1800,الريسبي!$A$2:$A$1800,$A82,الريسبي!$B$2:$B$1800,BP$1)</f>
        <v>3</v>
      </c>
      <c r="BQ82" s="117" t="n">
        <f aca="false">SUMIFS(الريسبي!$C$2:$C$1800,الريسبي!$A$2:$A$1800,$A82,الريسبي!$B$2:$B$1800,BQ$1)+0.17*SUMIFS(الريسبي!$C$2:$C$1800,الريسبي!$A$2:$A$1800,$A82,الريسبي!$B$2:$B$1800,"كاسترد مصنع (خليط بودر + لبن)")+0.17*SUMIFS(الريسبي!$C$2:$C$1800,الريسبي!$A$2:$A$1800,$A82,الريسبي!$B$2:$B$1800,"كاسترد مصنع صيامي (بدون لبن)")</f>
        <v>0</v>
      </c>
      <c r="BR82" s="117" t="n">
        <f aca="false">SUMIFS(الريسبي!$C$2:$C$1800,الريسبي!$A$2:$A$1800,$A82,الريسبي!$B$2:$B$1800,BR$1)</f>
        <v>1</v>
      </c>
      <c r="BS82" s="117" t="n">
        <f aca="false">SUMIFS(الريسبي!$C$2:$C$1800,الريسبي!$A$2:$A$1800,$A82,الريسبي!$B$2:$B$1800,BS$1)</f>
        <v>0</v>
      </c>
      <c r="BT82" s="117" t="n">
        <f aca="false">SUMIFS(الريسبي!$C$2:$C$1800,الريسبي!$A$2:$A$1800,$A82,الريسبي!$B$2:$B$1800,BT$1)</f>
        <v>0</v>
      </c>
      <c r="BU82" s="117" t="n">
        <f aca="false">SUMIFS(الريسبي!$C$2:$C$1800,الريسبي!$A$2:$A$1800,$A82,الريسبي!$B$2:$B$1800,BU$1)+0.4*SUMIFS(الريسبي!$C$2:$C$1800,الريسبي!$A$2:$A$1800,$A82,الريسبي!$B$2:$B$1800,"كاسترد مصنع (خليط بودر + لبن)")+0.03333333333*SUMIFS(الريسبي!$C$2:$C$1800,الريسبي!$A$2:$A$1800,$A82,الريسبي!$B$2:$B$1800,"عجين كريب (مصنع بالمطعم)")</f>
        <v>0</v>
      </c>
      <c r="BV82" s="117" t="n">
        <f aca="false">SUMIFS(الريسبي!$C$2:$C$1800,الريسبي!$A$2:$A$1800,$A82,الريسبي!$B$2:$B$1800,BV$1)</f>
        <v>0</v>
      </c>
      <c r="BW82" s="117" t="n">
        <f aca="false">SUMIFS(الريسبي!$C$2:$C$1800,الريسبي!$A$2:$A$1800,$A82,الريسبي!$B$2:$B$1800,BW$1)</f>
        <v>0</v>
      </c>
      <c r="BX82" s="117" t="n">
        <f aca="false">SUMIFS(الريسبي!$C$2:$C$1800,الريسبي!$A$2:$A$1800,$A82,الريسبي!$B$2:$B$1800,BX$1)</f>
        <v>0</v>
      </c>
      <c r="BY82" s="117" t="n">
        <f aca="false">SUMIFS(الريسبي!$C$2:$C$1800,الريسبي!$A$2:$A$1800,$A82,الريسبي!$B$2:$B$1800,BY$1)</f>
        <v>0</v>
      </c>
      <c r="BZ82" s="117" t="n">
        <f aca="false">SUMIFS(الريسبي!$C$2:$C$1800,الريسبي!$A$2:$A$1800,$A82,الريسبي!$B$2:$B$1800,BZ$1)</f>
        <v>0</v>
      </c>
      <c r="CA82" s="117" t="n">
        <f aca="false">SUMIFS(الريسبي!$C$2:$C$1800,الريسبي!$A$2:$A$1800,$A82,الريسبي!$B$2:$B$1800,CA$1)</f>
        <v>1</v>
      </c>
      <c r="CB82" s="117" t="n">
        <f aca="false">SUMIFS(الريسبي!$C$2:$C$1800,الريسبي!$A$2:$A$1800,$A82,الريسبي!$B$2:$B$1800,CB$1)</f>
        <v>1</v>
      </c>
      <c r="CC82" s="117" t="n">
        <f aca="false">SUMIFS(الريسبي!$C$2:$C$1800,الريسبي!$A$2:$A$1800,$A82,الريسبي!$B$2:$B$1800,CC$1)</f>
        <v>0</v>
      </c>
      <c r="CD82" s="117" t="n">
        <f aca="false">SUMIFS(الريسبي!$C$2:$C$1800,الريسبي!$A$2:$A$1800,$A82,الريسبي!$B$2:$B$1800,CD$1)</f>
        <v>0.18</v>
      </c>
      <c r="CE82" s="117" t="n">
        <f aca="false">SUMIFS(الريسبي!$C$2:$C$1800,الريسبي!$A$2:$A$1800,$A82,الريسبي!$B$2:$B$1800,CE$1)</f>
        <v>0</v>
      </c>
      <c r="CF82" s="117" t="n">
        <f aca="false">SUMIFS(الريسبي!$C$2:$C$1800,الريسبي!$A$2:$A$1800,$A82,الريسبي!$B$2:$B$1800,CF$1)</f>
        <v>0</v>
      </c>
      <c r="CG82" s="117" t="n">
        <f aca="false">SUMIFS(الريسبي!$C$2:$C$1800,الريسبي!$A$2:$A$1800,$A82,الريسبي!$B$2:$B$1800,CG$1)</f>
        <v>0</v>
      </c>
      <c r="CH82" s="117" t="n">
        <f aca="false">SUMIFS(الريسبي!$C$2:$C$1800,الريسبي!$A$2:$A$1800,$A82,الريسبي!$B$2:$B$1800,CH$1)</f>
        <v>0</v>
      </c>
      <c r="CI82" s="117" t="n">
        <f aca="false">SUMIFS(الريسبي!$C$2:$C$1800,الريسبي!$A$2:$A$1800,$A82,الريسبي!$B$2:$B$1800,CI$1)</f>
        <v>0</v>
      </c>
      <c r="CJ82" s="117" t="n">
        <f aca="false">SUMIFS(الريسبي!$C$2:$C$1800,الريسبي!$A$2:$A$1800,$A82,الريسبي!$B$2:$B$1800,CJ$1)</f>
        <v>0</v>
      </c>
      <c r="CK82" s="117" t="n">
        <f aca="false">SUMIFS(الريسبي!$C$2:$C$1800,الريسبي!$A$2:$A$1800,$A82,الريسبي!$B$2:$B$1800,CK$1)</f>
        <v>0</v>
      </c>
      <c r="CL82" s="117" t="n">
        <f aca="false">SUMIFS(الريسبي!$C$2:$C$1800,الريسبي!$A$2:$A$1800,$A82,الريسبي!$B$2:$B$1800,CL$1)</f>
        <v>0</v>
      </c>
    </row>
    <row r="83" customFormat="false" ht="15" hidden="false" customHeight="false" outlineLevel="0" collapsed="false">
      <c r="A83" s="116" t="str">
        <f aca="false">المنيو!B83</f>
        <v>بيتزا شاورما لحم / فراخ صيامي وسط</v>
      </c>
      <c r="B83" s="117" t="n">
        <f aca="false">SUMIFS(الريسبي!$C$2:$C$1800,الريسبي!$A$2:$A$1800,$A83,الريسبي!$B$2:$B$1800,B$1)</f>
        <v>0</v>
      </c>
      <c r="C83" s="117" t="n">
        <f aca="false">SUMIFS(الريسبي!$C$2:$C$1800,الريسبي!$A$2:$A$1800,$A83,الريسبي!$B$2:$B$1800,C$1)</f>
        <v>0</v>
      </c>
      <c r="D83" s="117" t="n">
        <f aca="false">SUMIFS(الريسبي!$C$2:$C$1800,الريسبي!$A$2:$A$1800,$A83,الريسبي!$B$2:$B$1800,D$1)</f>
        <v>1</v>
      </c>
      <c r="E83" s="117" t="n">
        <f aca="false">SUMIFS(الريسبي!$C$2:$C$1800,الريسبي!$A$2:$A$1800,$A83,الريسبي!$B$2:$B$1800,E$1)</f>
        <v>0</v>
      </c>
      <c r="F83" s="117" t="n">
        <f aca="false">SUMIFS(الريسبي!$C$2:$C$1800,الريسبي!$A$2:$A$1800,$A83,الريسبي!$B$2:$B$1800,F$1)</f>
        <v>0</v>
      </c>
      <c r="G83" s="117" t="n">
        <f aca="false">SUMIFS(الريسبي!$C$2:$C$1800,الريسبي!$A$2:$A$1800,$A83,الريسبي!$B$2:$B$1800,G$1)</f>
        <v>0</v>
      </c>
      <c r="H83" s="117" t="n">
        <f aca="false">SUMIFS(الريسبي!$C$2:$C$1800,الريسبي!$A$2:$A$1800,$A83,الريسبي!$B$2:$B$1800,H$1)</f>
        <v>0</v>
      </c>
      <c r="I83" s="117" t="n">
        <f aca="false">SUMIFS(الريسبي!$C$2:$C$1800,الريسبي!$A$2:$A$1800,$A83,الريسبي!$B$2:$B$1800,I$1)</f>
        <v>0</v>
      </c>
      <c r="J83" s="117" t="n">
        <f aca="false">SUMIFS(الريسبي!$C$2:$C$1800,الريسبي!$A$2:$A$1800,$A83,الريسبي!$B$2:$B$1800,J$1)</f>
        <v>0</v>
      </c>
      <c r="K83" s="117" t="n">
        <f aca="false">SUMIFS(الريسبي!$C$2:$C$1800,الريسبي!$A$2:$A$1800,$A83,الريسبي!$B$2:$B$1800,K$1)</f>
        <v>0</v>
      </c>
      <c r="L83" s="117" t="n">
        <f aca="false">SUMIFS(الريسبي!$C$2:$C$1800,الريسبي!$A$2:$A$1800,$A83,الريسبي!$B$2:$B$1800,L$1)</f>
        <v>0</v>
      </c>
      <c r="M83" s="117" t="n">
        <f aca="false">SUMIFS(الريسبي!$C$2:$C$1800,الريسبي!$A$2:$A$1800,$A83,الريسبي!$B$2:$B$1800,M$1)</f>
        <v>0</v>
      </c>
      <c r="N83" s="117" t="n">
        <f aca="false">SUMIFS(الريسبي!$C$2:$C$1800,الريسبي!$A$2:$A$1800,$A83,الريسبي!$B$2:$B$1800,N$1)</f>
        <v>0</v>
      </c>
      <c r="O83" s="117" t="n">
        <f aca="false">SUMIFS(الريسبي!$C$2:$C$1800,الريسبي!$A$2:$A$1800,$A83,الريسبي!$B$2:$B$1800,O$1)</f>
        <v>0</v>
      </c>
      <c r="P83" s="117" t="n">
        <f aca="false">SUMIFS(الريسبي!$C$2:$C$1800,الريسبي!$A$2:$A$1800,$A83,الريسبي!$B$2:$B$1800,P$1)</f>
        <v>0</v>
      </c>
      <c r="Q83" s="117" t="n">
        <f aca="false">SUMIFS(الريسبي!$C$2:$C$1800,الريسبي!$A$2:$A$1800,$A83,الريسبي!$B$2:$B$1800,Q$1)</f>
        <v>0</v>
      </c>
      <c r="R83" s="117" t="n">
        <f aca="false">SUMIFS(الريسبي!$C$2:$C$1800,الريسبي!$A$2:$A$1800,$A83,الريسبي!$B$2:$B$1800,R$1)</f>
        <v>0</v>
      </c>
      <c r="S83" s="117" t="n">
        <f aca="false">SUMIFS(الريسبي!$C$2:$C$1800,الريسبي!$A$2:$A$1800,$A83,الريسبي!$B$2:$B$1800,S$1)</f>
        <v>0</v>
      </c>
      <c r="T83" s="117" t="n">
        <f aca="false">SUMIFS(الريسبي!$C$2:$C$1800,الريسبي!$A$2:$A$1800,$A83,الريسبي!$B$2:$B$1800,T$1)</f>
        <v>0</v>
      </c>
      <c r="U83" s="117" t="n">
        <f aca="false">SUMIFS(الريسبي!$C$2:$C$1800,الريسبي!$A$2:$A$1800,$A83,الريسبي!$B$2:$B$1800,U$1)</f>
        <v>0</v>
      </c>
      <c r="V83" s="117" t="n">
        <f aca="false">SUMIFS(الريسبي!$C$2:$C$1800,الريسبي!$A$2:$A$1800,$A83,الريسبي!$B$2:$B$1800,V$1)</f>
        <v>0</v>
      </c>
      <c r="W83" s="117" t="n">
        <f aca="false">SUMIFS(الريسبي!$C$2:$C$1800,الريسبي!$A$2:$A$1800,$A83,الريسبي!$B$2:$B$1800,W$1)</f>
        <v>0</v>
      </c>
      <c r="X83" s="117" t="n">
        <f aca="false">SUMIFS(الريسبي!$C$2:$C$1800,الريسبي!$A$2:$A$1800,$A83,الريسبي!$B$2:$B$1800,X$1)</f>
        <v>1</v>
      </c>
      <c r="Y83" s="117" t="n">
        <f aca="false">SUMIFS(الريسبي!$C$2:$C$1800,الريسبي!$A$2:$A$1800,$A83,الريسبي!$B$2:$B$1800,Y$1)</f>
        <v>0</v>
      </c>
      <c r="Z83" s="117" t="n">
        <f aca="false">SUMIFS(الريسبي!$C$2:$C$1800,الريسبي!$A$2:$A$1800,$A83,الريسبي!$B$2:$B$1800,Z$1)</f>
        <v>0</v>
      </c>
      <c r="AA83" s="117" t="n">
        <f aca="false">SUMIFS(الريسبي!$C$2:$C$1800,الريسبي!$A$2:$A$1800,$A83,الريسبي!$B$2:$B$1800,AA$1)</f>
        <v>0</v>
      </c>
      <c r="AB83" s="117" t="n">
        <f aca="false">SUMIFS(الريسبي!$C$2:$C$1800,الريسبي!$A$2:$A$1800,$A83,الريسبي!$B$2:$B$1800,AB$1)</f>
        <v>0</v>
      </c>
      <c r="AC83" s="117" t="n">
        <f aca="false">SUMIFS(الريسبي!$C$2:$C$1800,الريسبي!$A$2:$A$1800,$A83,الريسبي!$B$2:$B$1800,AC$1)</f>
        <v>0</v>
      </c>
      <c r="AD83" s="117" t="n">
        <f aca="false">SUMIFS(الريسبي!$C$2:$C$1800,الريسبي!$A$2:$A$1800,$A83,الريسبي!$B$2:$B$1800,AD$1)</f>
        <v>0</v>
      </c>
      <c r="AE83" s="117" t="n">
        <f aca="false">SUMIFS(الريسبي!$C$2:$C$1800,الريسبي!$A$2:$A$1800,$A83,الريسبي!$B$2:$B$1800,AE$1)</f>
        <v>0</v>
      </c>
      <c r="AF83" s="117" t="n">
        <f aca="false">SUMIFS(الريسبي!$C$2:$C$1800,الريسبي!$A$2:$A$1800,$A83,الريسبي!$B$2:$B$1800,AF$1)</f>
        <v>0</v>
      </c>
      <c r="AG83" s="117" t="n">
        <f aca="false">SUMIFS(الريسبي!$C$2:$C$1800,الريسبي!$A$2:$A$1800,$A83,الريسبي!$B$2:$B$1800,AG$1)</f>
        <v>0</v>
      </c>
      <c r="AH83" s="117" t="n">
        <f aca="false">SUMIFS(الريسبي!$C$2:$C$1800,الريسبي!$A$2:$A$1800,$A83,الريسبي!$B$2:$B$1800,AH$1)</f>
        <v>0</v>
      </c>
      <c r="AI83" s="117" t="n">
        <f aca="false">SUMIFS(الريسبي!$C$2:$C$1800,الريسبي!$A$2:$A$1800,$A83,الريسبي!$B$2:$B$1800,AI$1)</f>
        <v>0</v>
      </c>
      <c r="AJ83" s="117" t="n">
        <f aca="false">SUMIFS(الريسبي!$C$2:$C$1800,الريسبي!$A$2:$A$1800,$A83,الريسبي!$B$2:$B$1800,AJ$1)</f>
        <v>2</v>
      </c>
      <c r="AK83" s="117" t="n">
        <f aca="false">SUMIFS(الريسبي!$C$2:$C$1800,الريسبي!$A$2:$A$1800,$A83,الريسبي!$B$2:$B$1800,AK$1)</f>
        <v>0</v>
      </c>
      <c r="AL83" s="117" t="n">
        <f aca="false">SUMIFS(الريسبي!$C$2:$C$1800,الريسبي!$A$2:$A$1800,$A83,الريسبي!$B$2:$B$1800,AL$1)</f>
        <v>0</v>
      </c>
      <c r="AM83" s="117" t="n">
        <f aca="false">SUMIFS(الريسبي!$C$2:$C$1800,الريسبي!$A$2:$A$1800,$A83,الريسبي!$B$2:$B$1800,AM$1)+0.08333333333*SUMIFS(الريسبي!$C$2:$C$1800,الريسبي!$A$2:$A$1800,$A83,الريسبي!$B$2:$B$1800,"عجين كريب (مصنع بالمطعم)")+0.08333333333*SUMIFS(الريسبي!$C$2:$C$1800,الريسبي!$A$2:$A$1800,$A83,الريسبي!$B$2:$B$1800,"عجين كريب صيامي (بدون لبن)")</f>
        <v>0</v>
      </c>
      <c r="AN83" s="117" t="n">
        <f aca="false">SUMIFS(الريسبي!$C$2:$C$1800,الريسبي!$A$2:$A$1800,$A83,الريسبي!$B$2:$B$1800,AN$1)+0.004166666667*SUMIFS(الريسبي!$C$2:$C$1800,الريسبي!$A$2:$A$1800,$A83,الريسبي!$B$2:$B$1800,"عجين كريب (مصنع بالمطعم)")+0.004166666667*SUMIFS(الريسبي!$C$2:$C$1800,الريسبي!$A$2:$A$1800,$A83,الريسبي!$B$2:$B$1800,"عجين كريب صيامي (بدون لبن)")</f>
        <v>0</v>
      </c>
      <c r="AO83" s="117" t="n">
        <f aca="false">SUMIFS(الريسبي!$C$2:$C$1800,الريسبي!$A$2:$A$1800,$A83,الريسبي!$B$2:$B$1800,AO$1)</f>
        <v>0</v>
      </c>
      <c r="AP83" s="117" t="n">
        <f aca="false">SUMIFS(الريسبي!$C$2:$C$1800,الريسبي!$A$2:$A$1800,$A83,الريسبي!$B$2:$B$1800,AP$1)</f>
        <v>0.02</v>
      </c>
      <c r="AQ83" s="117" t="n">
        <f aca="false">SUMIFS(الريسبي!$C$2:$C$1800,الريسبي!$A$2:$A$1800,$A83,الريسبي!$B$2:$B$1800,AQ$1)+0.004166666667*SUMIFS(الريسبي!$C$2:$C$1800,الريسبي!$A$2:$A$1800,$A83,الريسبي!$B$2:$B$1800,"عجين كريب (مصنع بالمطعم)")+0.004166666667*SUMIFS(الريسبي!$C$2:$C$1800,الريسبي!$A$2:$A$1800,$A83,الريسبي!$B$2:$B$1800,"عجين كريب صيامي (بدون لبن)")</f>
        <v>0</v>
      </c>
      <c r="AR83" s="117" t="n">
        <f aca="false">SUMIFS(الريسبي!$C$2:$C$1800,الريسبي!$A$2:$A$1800,$A83,الريسبي!$B$2:$B$1800,AR$1)</f>
        <v>0</v>
      </c>
      <c r="AS83" s="117" t="n">
        <f aca="false">SUMIFS(الريسبي!$C$2:$C$1800,الريسبي!$A$2:$A$1800,$A83,الريسبي!$B$2:$B$1800,AS$1)</f>
        <v>0</v>
      </c>
      <c r="AT83" s="117" t="n">
        <f aca="false">SUMIFS(الريسبي!$C$2:$C$1800,الريسبي!$A$2:$A$1800,$A83,الريسبي!$B$2:$B$1800,AT$1)</f>
        <v>0</v>
      </c>
      <c r="AU83" s="117" t="n">
        <f aca="false">SUMIFS(الريسبي!$C$2:$C$1800,الريسبي!$A$2:$A$1800,$A83,الريسبي!$B$2:$B$1800,AU$1)</f>
        <v>0</v>
      </c>
      <c r="AV83" s="117" t="n">
        <f aca="false">SUMIFS(الريسبي!$C$2:$C$1800,الريسبي!$A$2:$A$1800,$A83,الريسبي!$B$2:$B$1800,AV$1)</f>
        <v>0</v>
      </c>
      <c r="AW83" s="117" t="n">
        <f aca="false">SUMIFS(الريسبي!$C$2:$C$1800,الريسبي!$A$2:$A$1800,$A83,الريسبي!$B$2:$B$1800,AW$1)</f>
        <v>0</v>
      </c>
      <c r="AX83" s="117" t="n">
        <f aca="false">SUMIFS(الريسبي!$C$2:$C$1800,الريسبي!$A$2:$A$1800,$A83,الريسبي!$B$2:$B$1800,AX$1)</f>
        <v>0.04</v>
      </c>
      <c r="AY83" s="117" t="n">
        <f aca="false">SUMIFS(الريسبي!$C$2:$C$1800,الريسبي!$A$2:$A$1800,$A83,الريسبي!$B$2:$B$1800,AY$1)</f>
        <v>0</v>
      </c>
      <c r="AZ83" s="117" t="n">
        <f aca="false">SUMIFS(الريسبي!$C$2:$C$1800,الريسبي!$A$2:$A$1800,$A83,الريسبي!$B$2:$B$1800,AZ$1)</f>
        <v>0</v>
      </c>
      <c r="BA83" s="117" t="n">
        <f aca="false">SUMIFS(الريسبي!$C$2:$C$1800,الريسبي!$A$2:$A$1800,$A83,الريسبي!$B$2:$B$1800,BA$1)</f>
        <v>0</v>
      </c>
      <c r="BB83" s="117" t="n">
        <f aca="false">SUMIFS(الريسبي!$C$2:$C$1800,الريسبي!$A$2:$A$1800,$A83,الريسبي!$B$2:$B$1800,BB$1)</f>
        <v>0</v>
      </c>
      <c r="BC83" s="117" t="n">
        <f aca="false">SUMIFS(الريسبي!$C$2:$C$1800,الريسبي!$A$2:$A$1800,$A83,الريسبي!$B$2:$B$1800,BC$1)</f>
        <v>0.03</v>
      </c>
      <c r="BD83" s="117" t="n">
        <f aca="false">SUMIFS(الريسبي!$C$2:$C$1800,الريسبي!$A$2:$A$1800,$A83,الريسبي!$B$2:$B$1800,BD$1)</f>
        <v>0.22</v>
      </c>
      <c r="BE83" s="117" t="n">
        <f aca="false">SUMIFS(الريسبي!$C$2:$C$1800,الريسبي!$A$2:$A$1800,$A83,الريسبي!$B$2:$B$1800,BE$1)</f>
        <v>0</v>
      </c>
      <c r="BF83" s="117" t="n">
        <f aca="false">SUMIFS(الريسبي!$C$2:$C$1800,الريسبي!$A$2:$A$1800,$A83,الريسبي!$B$2:$B$1800,BF$1)</f>
        <v>0</v>
      </c>
      <c r="BG83" s="117" t="n">
        <f aca="false">SUMIFS(الريسبي!$C$2:$C$1800,الريسبي!$A$2:$A$1800,$A83,الريسبي!$B$2:$B$1800,BG$1)</f>
        <v>0</v>
      </c>
      <c r="BH83" s="117" t="n">
        <f aca="false">SUMIFS(الريسبي!$C$2:$C$1800,الريسبي!$A$2:$A$1800,$A83,الريسبي!$B$2:$B$1800,BH$1)</f>
        <v>1</v>
      </c>
      <c r="BI83" s="117" t="n">
        <f aca="false">SUMIFS(الريسبي!$C$2:$C$1800,الريسبي!$A$2:$A$1800,$A83,الريسبي!$B$2:$B$1800,BI$1)</f>
        <v>0</v>
      </c>
      <c r="BJ83" s="117" t="n">
        <f aca="false">SUMIFS(الريسبي!$C$2:$C$1800,الريسبي!$A$2:$A$1800,$A83,الريسبي!$B$2:$B$1800,BJ$1)</f>
        <v>0</v>
      </c>
      <c r="BK83" s="117" t="n">
        <f aca="false">SUMIFS(الريسبي!$C$2:$C$1800,الريسبي!$A$2:$A$1800,$A83,الريسبي!$B$2:$B$1800,BK$1)</f>
        <v>0</v>
      </c>
      <c r="BL83" s="117" t="n">
        <f aca="false">SUMIFS(الريسبي!$C$2:$C$1800,الريسبي!$A$2:$A$1800,$A83,الريسبي!$B$2:$B$1800,BL$1)</f>
        <v>0</v>
      </c>
      <c r="BM83" s="117" t="n">
        <f aca="false">SUMIFS(الريسبي!$C$2:$C$1800,الريسبي!$A$2:$A$1800,$A83,الريسبي!$B$2:$B$1800,BM$1)</f>
        <v>0</v>
      </c>
      <c r="BN83" s="117" t="n">
        <f aca="false">SUMIFS(الريسبي!$C$2:$C$1800,الريسبي!$A$2:$A$1800,$A83,الريسبي!$B$2:$B$1800,BN$1)</f>
        <v>0.02</v>
      </c>
      <c r="BO83" s="117" t="n">
        <f aca="false">SUMIFS(الريسبي!$C$2:$C$1800,الريسبي!$A$2:$A$1800,$A83,الريسبي!$B$2:$B$1800,BO$1)</f>
        <v>0</v>
      </c>
      <c r="BP83" s="117" t="n">
        <f aca="false">SUMIFS(الريسبي!$C$2:$C$1800,الريسبي!$A$2:$A$1800,$A83,الريسبي!$B$2:$B$1800,BP$1)</f>
        <v>2</v>
      </c>
      <c r="BQ83" s="117" t="n">
        <f aca="false">SUMIFS(الريسبي!$C$2:$C$1800,الريسبي!$A$2:$A$1800,$A83,الريسبي!$B$2:$B$1800,BQ$1)+0.17*SUMIFS(الريسبي!$C$2:$C$1800,الريسبي!$A$2:$A$1800,$A83,الريسبي!$B$2:$B$1800,"كاسترد مصنع (خليط بودر + لبن)")+0.17*SUMIFS(الريسبي!$C$2:$C$1800,الريسبي!$A$2:$A$1800,$A83,الريسبي!$B$2:$B$1800,"كاسترد مصنع صيامي (بدون لبن)")</f>
        <v>0</v>
      </c>
      <c r="BR83" s="117" t="n">
        <f aca="false">SUMIFS(الريسبي!$C$2:$C$1800,الريسبي!$A$2:$A$1800,$A83,الريسبي!$B$2:$B$1800,BR$1)</f>
        <v>1</v>
      </c>
      <c r="BS83" s="117" t="n">
        <f aca="false">SUMIFS(الريسبي!$C$2:$C$1800,الريسبي!$A$2:$A$1800,$A83,الريسبي!$B$2:$B$1800,BS$1)</f>
        <v>0</v>
      </c>
      <c r="BT83" s="117" t="n">
        <f aca="false">SUMIFS(الريسبي!$C$2:$C$1800,الريسبي!$A$2:$A$1800,$A83,الريسبي!$B$2:$B$1800,BT$1)</f>
        <v>0</v>
      </c>
      <c r="BU83" s="117" t="n">
        <f aca="false">SUMIFS(الريسبي!$C$2:$C$1800,الريسبي!$A$2:$A$1800,$A83,الريسبي!$B$2:$B$1800,BU$1)+0.4*SUMIFS(الريسبي!$C$2:$C$1800,الريسبي!$A$2:$A$1800,$A83,الريسبي!$B$2:$B$1800,"كاسترد مصنع (خليط بودر + لبن)")+0.03333333333*SUMIFS(الريسبي!$C$2:$C$1800,الريسبي!$A$2:$A$1800,$A83,الريسبي!$B$2:$B$1800,"عجين كريب (مصنع بالمطعم)")</f>
        <v>0</v>
      </c>
      <c r="BV83" s="117" t="n">
        <f aca="false">SUMIFS(الريسبي!$C$2:$C$1800,الريسبي!$A$2:$A$1800,$A83,الريسبي!$B$2:$B$1800,BV$1)</f>
        <v>0</v>
      </c>
      <c r="BW83" s="117" t="n">
        <f aca="false">SUMIFS(الريسبي!$C$2:$C$1800,الريسبي!$A$2:$A$1800,$A83,الريسبي!$B$2:$B$1800,BW$1)</f>
        <v>0</v>
      </c>
      <c r="BX83" s="117" t="n">
        <f aca="false">SUMIFS(الريسبي!$C$2:$C$1800,الريسبي!$A$2:$A$1800,$A83,الريسبي!$B$2:$B$1800,BX$1)</f>
        <v>0</v>
      </c>
      <c r="BY83" s="117" t="n">
        <f aca="false">SUMIFS(الريسبي!$C$2:$C$1800,الريسبي!$A$2:$A$1800,$A83,الريسبي!$B$2:$B$1800,BY$1)</f>
        <v>0</v>
      </c>
      <c r="BZ83" s="117" t="n">
        <f aca="false">SUMIFS(الريسبي!$C$2:$C$1800,الريسبي!$A$2:$A$1800,$A83,الريسبي!$B$2:$B$1800,BZ$1)</f>
        <v>0</v>
      </c>
      <c r="CA83" s="117" t="n">
        <f aca="false">SUMIFS(الريسبي!$C$2:$C$1800,الريسبي!$A$2:$A$1800,$A83,الريسبي!$B$2:$B$1800,CA$1)</f>
        <v>1</v>
      </c>
      <c r="CB83" s="117" t="n">
        <f aca="false">SUMIFS(الريسبي!$C$2:$C$1800,الريسبي!$A$2:$A$1800,$A83,الريسبي!$B$2:$B$1800,CB$1)</f>
        <v>1</v>
      </c>
      <c r="CC83" s="117" t="n">
        <f aca="false">SUMIFS(الريسبي!$C$2:$C$1800,الريسبي!$A$2:$A$1800,$A83,الريسبي!$B$2:$B$1800,CC$1)</f>
        <v>0</v>
      </c>
      <c r="CD83" s="117" t="n">
        <f aca="false">SUMIFS(الريسبي!$C$2:$C$1800,الريسبي!$A$2:$A$1800,$A83,الريسبي!$B$2:$B$1800,CD$1)</f>
        <v>0</v>
      </c>
      <c r="CE83" s="117" t="n">
        <f aca="false">SUMIFS(الريسبي!$C$2:$C$1800,الريسبي!$A$2:$A$1800,$A83,الريسبي!$B$2:$B$1800,CE$1)</f>
        <v>0.14</v>
      </c>
      <c r="CF83" s="117" t="n">
        <f aca="false">SUMIFS(الريسبي!$C$2:$C$1800,الريسبي!$A$2:$A$1800,$A83,الريسبي!$B$2:$B$1800,CF$1)</f>
        <v>0</v>
      </c>
      <c r="CG83" s="117" t="n">
        <f aca="false">SUMIFS(الريسبي!$C$2:$C$1800,الريسبي!$A$2:$A$1800,$A83,الريسبي!$B$2:$B$1800,CG$1)</f>
        <v>0</v>
      </c>
      <c r="CH83" s="117" t="n">
        <f aca="false">SUMIFS(الريسبي!$C$2:$C$1800,الريسبي!$A$2:$A$1800,$A83,الريسبي!$B$2:$B$1800,CH$1)</f>
        <v>0</v>
      </c>
      <c r="CI83" s="117" t="n">
        <f aca="false">SUMIFS(الريسبي!$C$2:$C$1800,الريسبي!$A$2:$A$1800,$A83,الريسبي!$B$2:$B$1800,CI$1)</f>
        <v>0</v>
      </c>
      <c r="CJ83" s="117" t="n">
        <f aca="false">SUMIFS(الريسبي!$C$2:$C$1800,الريسبي!$A$2:$A$1800,$A83,الريسبي!$B$2:$B$1800,CJ$1)</f>
        <v>0</v>
      </c>
      <c r="CK83" s="117" t="n">
        <f aca="false">SUMIFS(الريسبي!$C$2:$C$1800,الريسبي!$A$2:$A$1800,$A83,الريسبي!$B$2:$B$1800,CK$1)</f>
        <v>0</v>
      </c>
      <c r="CL83" s="117" t="n">
        <f aca="false">SUMIFS(الريسبي!$C$2:$C$1800,الريسبي!$A$2:$A$1800,$A83,الريسبي!$B$2:$B$1800,CL$1)</f>
        <v>0</v>
      </c>
    </row>
    <row r="84" customFormat="false" ht="15" hidden="false" customHeight="false" outlineLevel="0" collapsed="false">
      <c r="A84" s="116" t="str">
        <f aca="false">المنيو!B84</f>
        <v>بيتزا شاورما لحم / فراخ صيامي مخصوص</v>
      </c>
      <c r="B84" s="117" t="n">
        <f aca="false">SUMIFS(الريسبي!$C$2:$C$1800,الريسبي!$A$2:$A$1800,$A84,الريسبي!$B$2:$B$1800,B$1)</f>
        <v>0</v>
      </c>
      <c r="C84" s="117" t="n">
        <f aca="false">SUMIFS(الريسبي!$C$2:$C$1800,الريسبي!$A$2:$A$1800,$A84,الريسبي!$B$2:$B$1800,C$1)</f>
        <v>0</v>
      </c>
      <c r="D84" s="117" t="n">
        <f aca="false">SUMIFS(الريسبي!$C$2:$C$1800,الريسبي!$A$2:$A$1800,$A84,الريسبي!$B$2:$B$1800,D$1)</f>
        <v>1</v>
      </c>
      <c r="E84" s="117" t="n">
        <f aca="false">SUMIFS(الريسبي!$C$2:$C$1800,الريسبي!$A$2:$A$1800,$A84,الريسبي!$B$2:$B$1800,E$1)</f>
        <v>0</v>
      </c>
      <c r="F84" s="117" t="n">
        <f aca="false">SUMIFS(الريسبي!$C$2:$C$1800,الريسبي!$A$2:$A$1800,$A84,الريسبي!$B$2:$B$1800,F$1)</f>
        <v>0</v>
      </c>
      <c r="G84" s="117" t="n">
        <f aca="false">SUMIFS(الريسبي!$C$2:$C$1800,الريسبي!$A$2:$A$1800,$A84,الريسبي!$B$2:$B$1800,G$1)</f>
        <v>0</v>
      </c>
      <c r="H84" s="117" t="n">
        <f aca="false">SUMIFS(الريسبي!$C$2:$C$1800,الريسبي!$A$2:$A$1800,$A84,الريسبي!$B$2:$B$1800,H$1)</f>
        <v>0</v>
      </c>
      <c r="I84" s="117" t="n">
        <f aca="false">SUMIFS(الريسبي!$C$2:$C$1800,الريسبي!$A$2:$A$1800,$A84,الريسبي!$B$2:$B$1800,I$1)</f>
        <v>0</v>
      </c>
      <c r="J84" s="117" t="n">
        <f aca="false">SUMIFS(الريسبي!$C$2:$C$1800,الريسبي!$A$2:$A$1800,$A84,الريسبي!$B$2:$B$1800,J$1)</f>
        <v>0</v>
      </c>
      <c r="K84" s="117" t="n">
        <f aca="false">SUMIFS(الريسبي!$C$2:$C$1800,الريسبي!$A$2:$A$1800,$A84,الريسبي!$B$2:$B$1800,K$1)</f>
        <v>0</v>
      </c>
      <c r="L84" s="117" t="n">
        <f aca="false">SUMIFS(الريسبي!$C$2:$C$1800,الريسبي!$A$2:$A$1800,$A84,الريسبي!$B$2:$B$1800,L$1)</f>
        <v>0</v>
      </c>
      <c r="M84" s="117" t="n">
        <f aca="false">SUMIFS(الريسبي!$C$2:$C$1800,الريسبي!$A$2:$A$1800,$A84,الريسبي!$B$2:$B$1800,M$1)</f>
        <v>0</v>
      </c>
      <c r="N84" s="117" t="n">
        <f aca="false">SUMIFS(الريسبي!$C$2:$C$1800,الريسبي!$A$2:$A$1800,$A84,الريسبي!$B$2:$B$1800,N$1)</f>
        <v>0</v>
      </c>
      <c r="O84" s="117" t="n">
        <f aca="false">SUMIFS(الريسبي!$C$2:$C$1800,الريسبي!$A$2:$A$1800,$A84,الريسبي!$B$2:$B$1800,O$1)</f>
        <v>0</v>
      </c>
      <c r="P84" s="117" t="n">
        <f aca="false">SUMIFS(الريسبي!$C$2:$C$1800,الريسبي!$A$2:$A$1800,$A84,الريسبي!$B$2:$B$1800,P$1)</f>
        <v>0</v>
      </c>
      <c r="Q84" s="117" t="n">
        <f aca="false">SUMIFS(الريسبي!$C$2:$C$1800,الريسبي!$A$2:$A$1800,$A84,الريسبي!$B$2:$B$1800,Q$1)</f>
        <v>0</v>
      </c>
      <c r="R84" s="117" t="n">
        <f aca="false">SUMIFS(الريسبي!$C$2:$C$1800,الريسبي!$A$2:$A$1800,$A84,الريسبي!$B$2:$B$1800,R$1)</f>
        <v>0</v>
      </c>
      <c r="S84" s="117" t="n">
        <f aca="false">SUMIFS(الريسبي!$C$2:$C$1800,الريسبي!$A$2:$A$1800,$A84,الريسبي!$B$2:$B$1800,S$1)</f>
        <v>0</v>
      </c>
      <c r="T84" s="117" t="n">
        <f aca="false">SUMIFS(الريسبي!$C$2:$C$1800,الريسبي!$A$2:$A$1800,$A84,الريسبي!$B$2:$B$1800,T$1)</f>
        <v>0</v>
      </c>
      <c r="U84" s="117" t="n">
        <f aca="false">SUMIFS(الريسبي!$C$2:$C$1800,الريسبي!$A$2:$A$1800,$A84,الريسبي!$B$2:$B$1800,U$1)</f>
        <v>0</v>
      </c>
      <c r="V84" s="117" t="n">
        <f aca="false">SUMIFS(الريسبي!$C$2:$C$1800,الريسبي!$A$2:$A$1800,$A84,الريسبي!$B$2:$B$1800,V$1)</f>
        <v>0</v>
      </c>
      <c r="W84" s="117" t="n">
        <f aca="false">SUMIFS(الريسبي!$C$2:$C$1800,الريسبي!$A$2:$A$1800,$A84,الريسبي!$B$2:$B$1800,W$1)</f>
        <v>0</v>
      </c>
      <c r="X84" s="117" t="n">
        <f aca="false">SUMIFS(الريسبي!$C$2:$C$1800,الريسبي!$A$2:$A$1800,$A84,الريسبي!$B$2:$B$1800,X$1)</f>
        <v>0</v>
      </c>
      <c r="Y84" s="117" t="n">
        <f aca="false">SUMIFS(الريسبي!$C$2:$C$1800,الريسبي!$A$2:$A$1800,$A84,الريسبي!$B$2:$B$1800,Y$1)</f>
        <v>1</v>
      </c>
      <c r="Z84" s="117" t="n">
        <f aca="false">SUMIFS(الريسبي!$C$2:$C$1800,الريسبي!$A$2:$A$1800,$A84,الريسبي!$B$2:$B$1800,Z$1)</f>
        <v>0</v>
      </c>
      <c r="AA84" s="117" t="n">
        <f aca="false">SUMIFS(الريسبي!$C$2:$C$1800,الريسبي!$A$2:$A$1800,$A84,الريسبي!$B$2:$B$1800,AA$1)</f>
        <v>0</v>
      </c>
      <c r="AB84" s="117" t="n">
        <f aca="false">SUMIFS(الريسبي!$C$2:$C$1800,الريسبي!$A$2:$A$1800,$A84,الريسبي!$B$2:$B$1800,AB$1)</f>
        <v>0</v>
      </c>
      <c r="AC84" s="117" t="n">
        <f aca="false">SUMIFS(الريسبي!$C$2:$C$1800,الريسبي!$A$2:$A$1800,$A84,الريسبي!$B$2:$B$1800,AC$1)</f>
        <v>0</v>
      </c>
      <c r="AD84" s="117" t="n">
        <f aca="false">SUMIFS(الريسبي!$C$2:$C$1800,الريسبي!$A$2:$A$1800,$A84,الريسبي!$B$2:$B$1800,AD$1)</f>
        <v>0</v>
      </c>
      <c r="AE84" s="117" t="n">
        <f aca="false">SUMIFS(الريسبي!$C$2:$C$1800,الريسبي!$A$2:$A$1800,$A84,الريسبي!$B$2:$B$1800,AE$1)</f>
        <v>0</v>
      </c>
      <c r="AF84" s="117" t="n">
        <f aca="false">SUMIFS(الريسبي!$C$2:$C$1800,الريسبي!$A$2:$A$1800,$A84,الريسبي!$B$2:$B$1800,AF$1)</f>
        <v>0</v>
      </c>
      <c r="AG84" s="117" t="n">
        <f aca="false">SUMIFS(الريسبي!$C$2:$C$1800,الريسبي!$A$2:$A$1800,$A84,الريسبي!$B$2:$B$1800,AG$1)</f>
        <v>0</v>
      </c>
      <c r="AH84" s="117" t="n">
        <f aca="false">SUMIFS(الريسبي!$C$2:$C$1800,الريسبي!$A$2:$A$1800,$A84,الريسبي!$B$2:$B$1800,AH$1)</f>
        <v>0</v>
      </c>
      <c r="AI84" s="117" t="n">
        <f aca="false">SUMIFS(الريسبي!$C$2:$C$1800,الريسبي!$A$2:$A$1800,$A84,الريسبي!$B$2:$B$1800,AI$1)</f>
        <v>0</v>
      </c>
      <c r="AJ84" s="117" t="n">
        <f aca="false">SUMIFS(الريسبي!$C$2:$C$1800,الريسبي!$A$2:$A$1800,$A84,الريسبي!$B$2:$B$1800,AJ$1)</f>
        <v>2</v>
      </c>
      <c r="AK84" s="117" t="n">
        <f aca="false">SUMIFS(الريسبي!$C$2:$C$1800,الريسبي!$A$2:$A$1800,$A84,الريسبي!$B$2:$B$1800,AK$1)</f>
        <v>0</v>
      </c>
      <c r="AL84" s="117" t="n">
        <f aca="false">SUMIFS(الريسبي!$C$2:$C$1800,الريسبي!$A$2:$A$1800,$A84,الريسبي!$B$2:$B$1800,AL$1)</f>
        <v>0</v>
      </c>
      <c r="AM84" s="117" t="n">
        <f aca="false">SUMIFS(الريسبي!$C$2:$C$1800,الريسبي!$A$2:$A$1800,$A84,الريسبي!$B$2:$B$1800,AM$1)+0.08333333333*SUMIFS(الريسبي!$C$2:$C$1800,الريسبي!$A$2:$A$1800,$A84,الريسبي!$B$2:$B$1800,"عجين كريب (مصنع بالمطعم)")+0.08333333333*SUMIFS(الريسبي!$C$2:$C$1800,الريسبي!$A$2:$A$1800,$A84,الريسبي!$B$2:$B$1800,"عجين كريب صيامي (بدون لبن)")</f>
        <v>0</v>
      </c>
      <c r="AN84" s="117" t="n">
        <f aca="false">SUMIFS(الريسبي!$C$2:$C$1800,الريسبي!$A$2:$A$1800,$A84,الريسبي!$B$2:$B$1800,AN$1)+0.004166666667*SUMIFS(الريسبي!$C$2:$C$1800,الريسبي!$A$2:$A$1800,$A84,الريسبي!$B$2:$B$1800,"عجين كريب (مصنع بالمطعم)")+0.004166666667*SUMIFS(الريسبي!$C$2:$C$1800,الريسبي!$A$2:$A$1800,$A84,الريسبي!$B$2:$B$1800,"عجين كريب صيامي (بدون لبن)")</f>
        <v>0</v>
      </c>
      <c r="AO84" s="117" t="n">
        <f aca="false">SUMIFS(الريسبي!$C$2:$C$1800,الريسبي!$A$2:$A$1800,$A84,الريسبي!$B$2:$B$1800,AO$1)</f>
        <v>0</v>
      </c>
      <c r="AP84" s="117" t="n">
        <f aca="false">SUMIFS(الريسبي!$C$2:$C$1800,الريسبي!$A$2:$A$1800,$A84,الريسبي!$B$2:$B$1800,AP$1)</f>
        <v>0.03</v>
      </c>
      <c r="AQ84" s="117" t="n">
        <f aca="false">SUMIFS(الريسبي!$C$2:$C$1800,الريسبي!$A$2:$A$1800,$A84,الريسبي!$B$2:$B$1800,AQ$1)+0.004166666667*SUMIFS(الريسبي!$C$2:$C$1800,الريسبي!$A$2:$A$1800,$A84,الريسبي!$B$2:$B$1800,"عجين كريب (مصنع بالمطعم)")+0.004166666667*SUMIFS(الريسبي!$C$2:$C$1800,الريسبي!$A$2:$A$1800,$A84,الريسبي!$B$2:$B$1800,"عجين كريب صيامي (بدون لبن)")</f>
        <v>0</v>
      </c>
      <c r="AR84" s="117" t="n">
        <f aca="false">SUMIFS(الريسبي!$C$2:$C$1800,الريسبي!$A$2:$A$1800,$A84,الريسبي!$B$2:$B$1800,AR$1)</f>
        <v>0</v>
      </c>
      <c r="AS84" s="117" t="n">
        <f aca="false">SUMIFS(الريسبي!$C$2:$C$1800,الريسبي!$A$2:$A$1800,$A84,الريسبي!$B$2:$B$1800,AS$1)</f>
        <v>0</v>
      </c>
      <c r="AT84" s="117" t="n">
        <f aca="false">SUMIFS(الريسبي!$C$2:$C$1800,الريسبي!$A$2:$A$1800,$A84,الريسبي!$B$2:$B$1800,AT$1)</f>
        <v>0</v>
      </c>
      <c r="AU84" s="117" t="n">
        <f aca="false">SUMIFS(الريسبي!$C$2:$C$1800,الريسبي!$A$2:$A$1800,$A84,الريسبي!$B$2:$B$1800,AU$1)</f>
        <v>0</v>
      </c>
      <c r="AV84" s="117" t="n">
        <f aca="false">SUMIFS(الريسبي!$C$2:$C$1800,الريسبي!$A$2:$A$1800,$A84,الريسبي!$B$2:$B$1800,AV$1)</f>
        <v>0</v>
      </c>
      <c r="AW84" s="117" t="n">
        <f aca="false">SUMIFS(الريسبي!$C$2:$C$1800,الريسبي!$A$2:$A$1800,$A84,الريسبي!$B$2:$B$1800,AW$1)</f>
        <v>0</v>
      </c>
      <c r="AX84" s="117" t="n">
        <f aca="false">SUMIFS(الريسبي!$C$2:$C$1800,الريسبي!$A$2:$A$1800,$A84,الريسبي!$B$2:$B$1800,AX$1)</f>
        <v>0.06</v>
      </c>
      <c r="AY84" s="117" t="n">
        <f aca="false">SUMIFS(الريسبي!$C$2:$C$1800,الريسبي!$A$2:$A$1800,$A84,الريسبي!$B$2:$B$1800,AY$1)</f>
        <v>0</v>
      </c>
      <c r="AZ84" s="117" t="n">
        <f aca="false">SUMIFS(الريسبي!$C$2:$C$1800,الريسبي!$A$2:$A$1800,$A84,الريسبي!$B$2:$B$1800,AZ$1)</f>
        <v>0</v>
      </c>
      <c r="BA84" s="117" t="n">
        <f aca="false">SUMIFS(الريسبي!$C$2:$C$1800,الريسبي!$A$2:$A$1800,$A84,الريسبي!$B$2:$B$1800,BA$1)</f>
        <v>0</v>
      </c>
      <c r="BB84" s="117" t="n">
        <f aca="false">SUMIFS(الريسبي!$C$2:$C$1800,الريسبي!$A$2:$A$1800,$A84,الريسبي!$B$2:$B$1800,BB$1)</f>
        <v>0</v>
      </c>
      <c r="BC84" s="117" t="n">
        <f aca="false">SUMIFS(الريسبي!$C$2:$C$1800,الريسبي!$A$2:$A$1800,$A84,الريسبي!$B$2:$B$1800,BC$1)</f>
        <v>0.045</v>
      </c>
      <c r="BD84" s="117" t="n">
        <f aca="false">SUMIFS(الريسبي!$C$2:$C$1800,الريسبي!$A$2:$A$1800,$A84,الريسبي!$B$2:$B$1800,BD$1)</f>
        <v>0.3</v>
      </c>
      <c r="BE84" s="117" t="n">
        <f aca="false">SUMIFS(الريسبي!$C$2:$C$1800,الريسبي!$A$2:$A$1800,$A84,الريسبي!$B$2:$B$1800,BE$1)</f>
        <v>0</v>
      </c>
      <c r="BF84" s="117" t="n">
        <f aca="false">SUMIFS(الريسبي!$C$2:$C$1800,الريسبي!$A$2:$A$1800,$A84,الريسبي!$B$2:$B$1800,BF$1)</f>
        <v>0</v>
      </c>
      <c r="BG84" s="117" t="n">
        <f aca="false">SUMIFS(الريسبي!$C$2:$C$1800,الريسبي!$A$2:$A$1800,$A84,الريسبي!$B$2:$B$1800,BG$1)</f>
        <v>1</v>
      </c>
      <c r="BH84" s="117" t="n">
        <f aca="false">SUMIFS(الريسبي!$C$2:$C$1800,الريسبي!$A$2:$A$1800,$A84,الريسبي!$B$2:$B$1800,BH$1)</f>
        <v>0</v>
      </c>
      <c r="BI84" s="117" t="n">
        <f aca="false">SUMIFS(الريسبي!$C$2:$C$1800,الريسبي!$A$2:$A$1800,$A84,الريسبي!$B$2:$B$1800,BI$1)</f>
        <v>0</v>
      </c>
      <c r="BJ84" s="117" t="n">
        <f aca="false">SUMIFS(الريسبي!$C$2:$C$1800,الريسبي!$A$2:$A$1800,$A84,الريسبي!$B$2:$B$1800,BJ$1)</f>
        <v>0</v>
      </c>
      <c r="BK84" s="117" t="n">
        <f aca="false">SUMIFS(الريسبي!$C$2:$C$1800,الريسبي!$A$2:$A$1800,$A84,الريسبي!$B$2:$B$1800,BK$1)</f>
        <v>0</v>
      </c>
      <c r="BL84" s="117" t="n">
        <f aca="false">SUMIFS(الريسبي!$C$2:$C$1800,الريسبي!$A$2:$A$1800,$A84,الريسبي!$B$2:$B$1800,BL$1)</f>
        <v>0</v>
      </c>
      <c r="BM84" s="117" t="n">
        <f aca="false">SUMIFS(الريسبي!$C$2:$C$1800,الريسبي!$A$2:$A$1800,$A84,الريسبي!$B$2:$B$1800,BM$1)</f>
        <v>0</v>
      </c>
      <c r="BN84" s="117" t="n">
        <f aca="false">SUMIFS(الريسبي!$C$2:$C$1800,الريسبي!$A$2:$A$1800,$A84,الريسبي!$B$2:$B$1800,BN$1)</f>
        <v>0.03</v>
      </c>
      <c r="BO84" s="117" t="n">
        <f aca="false">SUMIFS(الريسبي!$C$2:$C$1800,الريسبي!$A$2:$A$1800,$A84,الريسبي!$B$2:$B$1800,BO$1)</f>
        <v>0</v>
      </c>
      <c r="BP84" s="117" t="n">
        <f aca="false">SUMIFS(الريسبي!$C$2:$C$1800,الريسبي!$A$2:$A$1800,$A84,الريسبي!$B$2:$B$1800,BP$1)</f>
        <v>3</v>
      </c>
      <c r="BQ84" s="117" t="n">
        <f aca="false">SUMIFS(الريسبي!$C$2:$C$1800,الريسبي!$A$2:$A$1800,$A84,الريسبي!$B$2:$B$1800,BQ$1)+0.17*SUMIFS(الريسبي!$C$2:$C$1800,الريسبي!$A$2:$A$1800,$A84,الريسبي!$B$2:$B$1800,"كاسترد مصنع (خليط بودر + لبن)")+0.17*SUMIFS(الريسبي!$C$2:$C$1800,الريسبي!$A$2:$A$1800,$A84,الريسبي!$B$2:$B$1800,"كاسترد مصنع صيامي (بدون لبن)")</f>
        <v>0</v>
      </c>
      <c r="BR84" s="117" t="n">
        <f aca="false">SUMIFS(الريسبي!$C$2:$C$1800,الريسبي!$A$2:$A$1800,$A84,الريسبي!$B$2:$B$1800,BR$1)</f>
        <v>1</v>
      </c>
      <c r="BS84" s="117" t="n">
        <f aca="false">SUMIFS(الريسبي!$C$2:$C$1800,الريسبي!$A$2:$A$1800,$A84,الريسبي!$B$2:$B$1800,BS$1)</f>
        <v>0</v>
      </c>
      <c r="BT84" s="117" t="n">
        <f aca="false">SUMIFS(الريسبي!$C$2:$C$1800,الريسبي!$A$2:$A$1800,$A84,الريسبي!$B$2:$B$1800,BT$1)</f>
        <v>0</v>
      </c>
      <c r="BU84" s="117" t="n">
        <f aca="false">SUMIFS(الريسبي!$C$2:$C$1800,الريسبي!$A$2:$A$1800,$A84,الريسبي!$B$2:$B$1800,BU$1)+0.4*SUMIFS(الريسبي!$C$2:$C$1800,الريسبي!$A$2:$A$1800,$A84,الريسبي!$B$2:$B$1800,"كاسترد مصنع (خليط بودر + لبن)")+0.03333333333*SUMIFS(الريسبي!$C$2:$C$1800,الريسبي!$A$2:$A$1800,$A84,الريسبي!$B$2:$B$1800,"عجين كريب (مصنع بالمطعم)")</f>
        <v>0</v>
      </c>
      <c r="BV84" s="117" t="n">
        <f aca="false">SUMIFS(الريسبي!$C$2:$C$1800,الريسبي!$A$2:$A$1800,$A84,الريسبي!$B$2:$B$1800,BV$1)</f>
        <v>0</v>
      </c>
      <c r="BW84" s="117" t="n">
        <f aca="false">SUMIFS(الريسبي!$C$2:$C$1800,الريسبي!$A$2:$A$1800,$A84,الريسبي!$B$2:$B$1800,BW$1)</f>
        <v>0</v>
      </c>
      <c r="BX84" s="117" t="n">
        <f aca="false">SUMIFS(الريسبي!$C$2:$C$1800,الريسبي!$A$2:$A$1800,$A84,الريسبي!$B$2:$B$1800,BX$1)</f>
        <v>0</v>
      </c>
      <c r="BY84" s="117" t="n">
        <f aca="false">SUMIFS(الريسبي!$C$2:$C$1800,الريسبي!$A$2:$A$1800,$A84,الريسبي!$B$2:$B$1800,BY$1)</f>
        <v>0</v>
      </c>
      <c r="BZ84" s="117" t="n">
        <f aca="false">SUMIFS(الريسبي!$C$2:$C$1800,الريسبي!$A$2:$A$1800,$A84,الريسبي!$B$2:$B$1800,BZ$1)</f>
        <v>0</v>
      </c>
      <c r="CA84" s="117" t="n">
        <f aca="false">SUMIFS(الريسبي!$C$2:$C$1800,الريسبي!$A$2:$A$1800,$A84,الريسبي!$B$2:$B$1800,CA$1)</f>
        <v>1</v>
      </c>
      <c r="CB84" s="117" t="n">
        <f aca="false">SUMIFS(الريسبي!$C$2:$C$1800,الريسبي!$A$2:$A$1800,$A84,الريسبي!$B$2:$B$1800,CB$1)</f>
        <v>1</v>
      </c>
      <c r="CC84" s="117" t="n">
        <f aca="false">SUMIFS(الريسبي!$C$2:$C$1800,الريسبي!$A$2:$A$1800,$A84,الريسبي!$B$2:$B$1800,CC$1)</f>
        <v>0</v>
      </c>
      <c r="CD84" s="117" t="n">
        <f aca="false">SUMIFS(الريسبي!$C$2:$C$1800,الريسبي!$A$2:$A$1800,$A84,الريسبي!$B$2:$B$1800,CD$1)</f>
        <v>0</v>
      </c>
      <c r="CE84" s="117" t="n">
        <f aca="false">SUMIFS(الريسبي!$C$2:$C$1800,الريسبي!$A$2:$A$1800,$A84,الريسبي!$B$2:$B$1800,CE$1)</f>
        <v>0.21</v>
      </c>
      <c r="CF84" s="117" t="n">
        <f aca="false">SUMIFS(الريسبي!$C$2:$C$1800,الريسبي!$A$2:$A$1800,$A84,الريسبي!$B$2:$B$1800,CF$1)</f>
        <v>0</v>
      </c>
      <c r="CG84" s="117" t="n">
        <f aca="false">SUMIFS(الريسبي!$C$2:$C$1800,الريسبي!$A$2:$A$1800,$A84,الريسبي!$B$2:$B$1800,CG$1)</f>
        <v>0</v>
      </c>
      <c r="CH84" s="117" t="n">
        <f aca="false">SUMIFS(الريسبي!$C$2:$C$1800,الريسبي!$A$2:$A$1800,$A84,الريسبي!$B$2:$B$1800,CH$1)</f>
        <v>0</v>
      </c>
      <c r="CI84" s="117" t="n">
        <f aca="false">SUMIFS(الريسبي!$C$2:$C$1800,الريسبي!$A$2:$A$1800,$A84,الريسبي!$B$2:$B$1800,CI$1)</f>
        <v>0</v>
      </c>
      <c r="CJ84" s="117" t="n">
        <f aca="false">SUMIFS(الريسبي!$C$2:$C$1800,الريسبي!$A$2:$A$1800,$A84,الريسبي!$B$2:$B$1800,CJ$1)</f>
        <v>0</v>
      </c>
      <c r="CK84" s="117" t="n">
        <f aca="false">SUMIFS(الريسبي!$C$2:$C$1800,الريسبي!$A$2:$A$1800,$A84,الريسبي!$B$2:$B$1800,CK$1)</f>
        <v>0</v>
      </c>
      <c r="CL84" s="117" t="n">
        <f aca="false">SUMIFS(الريسبي!$C$2:$C$1800,الريسبي!$A$2:$A$1800,$A84,الريسبي!$B$2:$B$1800,CL$1)</f>
        <v>0</v>
      </c>
    </row>
    <row r="85" customFormat="false" ht="15" hidden="false" customHeight="false" outlineLevel="0" collapsed="false">
      <c r="A85" s="116" t="str">
        <f aca="false">المنيو!B85</f>
        <v>بيتزا مشكل جبن صيامي وسط</v>
      </c>
      <c r="B85" s="117" t="n">
        <f aca="false">SUMIFS(الريسبي!$C$2:$C$1800,الريسبي!$A$2:$A$1800,$A85,الريسبي!$B$2:$B$1800,B$1)</f>
        <v>0</v>
      </c>
      <c r="C85" s="117" t="n">
        <f aca="false">SUMIFS(الريسبي!$C$2:$C$1800,الريسبي!$A$2:$A$1800,$A85,الريسبي!$B$2:$B$1800,C$1)</f>
        <v>0</v>
      </c>
      <c r="D85" s="117" t="n">
        <f aca="false">SUMIFS(الريسبي!$C$2:$C$1800,الريسبي!$A$2:$A$1800,$A85,الريسبي!$B$2:$B$1800,D$1)</f>
        <v>1</v>
      </c>
      <c r="E85" s="117" t="n">
        <f aca="false">SUMIFS(الريسبي!$C$2:$C$1800,الريسبي!$A$2:$A$1800,$A85,الريسبي!$B$2:$B$1800,E$1)</f>
        <v>0</v>
      </c>
      <c r="F85" s="117" t="n">
        <f aca="false">SUMIFS(الريسبي!$C$2:$C$1800,الريسبي!$A$2:$A$1800,$A85,الريسبي!$B$2:$B$1800,F$1)</f>
        <v>0</v>
      </c>
      <c r="G85" s="117" t="n">
        <f aca="false">SUMIFS(الريسبي!$C$2:$C$1800,الريسبي!$A$2:$A$1800,$A85,الريسبي!$B$2:$B$1800,G$1)</f>
        <v>0</v>
      </c>
      <c r="H85" s="117" t="n">
        <f aca="false">SUMIFS(الريسبي!$C$2:$C$1800,الريسبي!$A$2:$A$1800,$A85,الريسبي!$B$2:$B$1800,H$1)</f>
        <v>0</v>
      </c>
      <c r="I85" s="117" t="n">
        <f aca="false">SUMIFS(الريسبي!$C$2:$C$1800,الريسبي!$A$2:$A$1800,$A85,الريسبي!$B$2:$B$1800,I$1)</f>
        <v>0</v>
      </c>
      <c r="J85" s="117" t="n">
        <f aca="false">SUMIFS(الريسبي!$C$2:$C$1800,الريسبي!$A$2:$A$1800,$A85,الريسبي!$B$2:$B$1800,J$1)</f>
        <v>0</v>
      </c>
      <c r="K85" s="117" t="n">
        <f aca="false">SUMIFS(الريسبي!$C$2:$C$1800,الريسبي!$A$2:$A$1800,$A85,الريسبي!$B$2:$B$1800,K$1)</f>
        <v>0</v>
      </c>
      <c r="L85" s="117" t="n">
        <f aca="false">SUMIFS(الريسبي!$C$2:$C$1800,الريسبي!$A$2:$A$1800,$A85,الريسبي!$B$2:$B$1800,L$1)</f>
        <v>0</v>
      </c>
      <c r="M85" s="117" t="n">
        <f aca="false">SUMIFS(الريسبي!$C$2:$C$1800,الريسبي!$A$2:$A$1800,$A85,الريسبي!$B$2:$B$1800,M$1)</f>
        <v>0</v>
      </c>
      <c r="N85" s="117" t="n">
        <f aca="false">SUMIFS(الريسبي!$C$2:$C$1800,الريسبي!$A$2:$A$1800,$A85,الريسبي!$B$2:$B$1800,N$1)</f>
        <v>0</v>
      </c>
      <c r="O85" s="117" t="n">
        <f aca="false">SUMIFS(الريسبي!$C$2:$C$1800,الريسبي!$A$2:$A$1800,$A85,الريسبي!$B$2:$B$1800,O$1)</f>
        <v>0</v>
      </c>
      <c r="P85" s="117" t="n">
        <f aca="false">SUMIFS(الريسبي!$C$2:$C$1800,الريسبي!$A$2:$A$1800,$A85,الريسبي!$B$2:$B$1800,P$1)</f>
        <v>0</v>
      </c>
      <c r="Q85" s="117" t="n">
        <f aca="false">SUMIFS(الريسبي!$C$2:$C$1800,الريسبي!$A$2:$A$1800,$A85,الريسبي!$B$2:$B$1800,Q$1)</f>
        <v>0</v>
      </c>
      <c r="R85" s="117" t="n">
        <f aca="false">SUMIFS(الريسبي!$C$2:$C$1800,الريسبي!$A$2:$A$1800,$A85,الريسبي!$B$2:$B$1800,R$1)</f>
        <v>0</v>
      </c>
      <c r="S85" s="117" t="n">
        <f aca="false">SUMIFS(الريسبي!$C$2:$C$1800,الريسبي!$A$2:$A$1800,$A85,الريسبي!$B$2:$B$1800,S$1)</f>
        <v>0</v>
      </c>
      <c r="T85" s="117" t="n">
        <f aca="false">SUMIFS(الريسبي!$C$2:$C$1800,الريسبي!$A$2:$A$1800,$A85,الريسبي!$B$2:$B$1800,T$1)</f>
        <v>0</v>
      </c>
      <c r="U85" s="117" t="n">
        <f aca="false">SUMIFS(الريسبي!$C$2:$C$1800,الريسبي!$A$2:$A$1800,$A85,الريسبي!$B$2:$B$1800,U$1)</f>
        <v>0</v>
      </c>
      <c r="V85" s="117" t="n">
        <f aca="false">SUMIFS(الريسبي!$C$2:$C$1800,الريسبي!$A$2:$A$1800,$A85,الريسبي!$B$2:$B$1800,V$1)</f>
        <v>0</v>
      </c>
      <c r="W85" s="117" t="n">
        <f aca="false">SUMIFS(الريسبي!$C$2:$C$1800,الريسبي!$A$2:$A$1800,$A85,الريسبي!$B$2:$B$1800,W$1)</f>
        <v>0</v>
      </c>
      <c r="X85" s="117" t="n">
        <f aca="false">SUMIFS(الريسبي!$C$2:$C$1800,الريسبي!$A$2:$A$1800,$A85,الريسبي!$B$2:$B$1800,X$1)</f>
        <v>1</v>
      </c>
      <c r="Y85" s="117" t="n">
        <f aca="false">SUMIFS(الريسبي!$C$2:$C$1800,الريسبي!$A$2:$A$1800,$A85,الريسبي!$B$2:$B$1800,Y$1)</f>
        <v>0</v>
      </c>
      <c r="Z85" s="117" t="n">
        <f aca="false">SUMIFS(الريسبي!$C$2:$C$1800,الريسبي!$A$2:$A$1800,$A85,الريسبي!$B$2:$B$1800,Z$1)</f>
        <v>0</v>
      </c>
      <c r="AA85" s="117" t="n">
        <f aca="false">SUMIFS(الريسبي!$C$2:$C$1800,الريسبي!$A$2:$A$1800,$A85,الريسبي!$B$2:$B$1800,AA$1)</f>
        <v>0</v>
      </c>
      <c r="AB85" s="117" t="n">
        <f aca="false">SUMIFS(الريسبي!$C$2:$C$1800,الريسبي!$A$2:$A$1800,$A85,الريسبي!$B$2:$B$1800,AB$1)</f>
        <v>0</v>
      </c>
      <c r="AC85" s="117" t="n">
        <f aca="false">SUMIFS(الريسبي!$C$2:$C$1800,الريسبي!$A$2:$A$1800,$A85,الريسبي!$B$2:$B$1800,AC$1)</f>
        <v>0</v>
      </c>
      <c r="AD85" s="117" t="n">
        <f aca="false">SUMIFS(الريسبي!$C$2:$C$1800,الريسبي!$A$2:$A$1800,$A85,الريسبي!$B$2:$B$1800,AD$1)</f>
        <v>0</v>
      </c>
      <c r="AE85" s="117" t="n">
        <f aca="false">SUMIFS(الريسبي!$C$2:$C$1800,الريسبي!$A$2:$A$1800,$A85,الريسبي!$B$2:$B$1800,AE$1)</f>
        <v>0</v>
      </c>
      <c r="AF85" s="117" t="n">
        <f aca="false">SUMIFS(الريسبي!$C$2:$C$1800,الريسبي!$A$2:$A$1800,$A85,الريسبي!$B$2:$B$1800,AF$1)</f>
        <v>0</v>
      </c>
      <c r="AG85" s="117" t="n">
        <f aca="false">SUMIFS(الريسبي!$C$2:$C$1800,الريسبي!$A$2:$A$1800,$A85,الريسبي!$B$2:$B$1800,AG$1)</f>
        <v>0</v>
      </c>
      <c r="AH85" s="117" t="n">
        <f aca="false">SUMIFS(الريسبي!$C$2:$C$1800,الريسبي!$A$2:$A$1800,$A85,الريسبي!$B$2:$B$1800,AH$1)</f>
        <v>0</v>
      </c>
      <c r="AI85" s="117" t="n">
        <f aca="false">SUMIFS(الريسبي!$C$2:$C$1800,الريسبي!$A$2:$A$1800,$A85,الريسبي!$B$2:$B$1800,AI$1)</f>
        <v>0.1</v>
      </c>
      <c r="AJ85" s="117" t="n">
        <f aca="false">SUMIFS(الريسبي!$C$2:$C$1800,الريسبي!$A$2:$A$1800,$A85,الريسبي!$B$2:$B$1800,AJ$1)</f>
        <v>2</v>
      </c>
      <c r="AK85" s="117" t="n">
        <f aca="false">SUMIFS(الريسبي!$C$2:$C$1800,الريسبي!$A$2:$A$1800,$A85,الريسبي!$B$2:$B$1800,AK$1)</f>
        <v>0</v>
      </c>
      <c r="AL85" s="117" t="n">
        <f aca="false">SUMIFS(الريسبي!$C$2:$C$1800,الريسبي!$A$2:$A$1800,$A85,الريسبي!$B$2:$B$1800,AL$1)</f>
        <v>0</v>
      </c>
      <c r="AM85" s="117" t="n">
        <f aca="false">SUMIFS(الريسبي!$C$2:$C$1800,الريسبي!$A$2:$A$1800,$A85,الريسبي!$B$2:$B$1800,AM$1)+0.08333333333*SUMIFS(الريسبي!$C$2:$C$1800,الريسبي!$A$2:$A$1800,$A85,الريسبي!$B$2:$B$1800,"عجين كريب (مصنع بالمطعم)")+0.08333333333*SUMIFS(الريسبي!$C$2:$C$1800,الريسبي!$A$2:$A$1800,$A85,الريسبي!$B$2:$B$1800,"عجين كريب صيامي (بدون لبن)")</f>
        <v>0</v>
      </c>
      <c r="AN85" s="117" t="n">
        <f aca="false">SUMIFS(الريسبي!$C$2:$C$1800,الريسبي!$A$2:$A$1800,$A85,الريسبي!$B$2:$B$1800,AN$1)+0.004166666667*SUMIFS(الريسبي!$C$2:$C$1800,الريسبي!$A$2:$A$1800,$A85,الريسبي!$B$2:$B$1800,"عجين كريب (مصنع بالمطعم)")+0.004166666667*SUMIFS(الريسبي!$C$2:$C$1800,الريسبي!$A$2:$A$1800,$A85,الريسبي!$B$2:$B$1800,"عجين كريب صيامي (بدون لبن)")</f>
        <v>0</v>
      </c>
      <c r="AO85" s="117" t="n">
        <f aca="false">SUMIFS(الريسبي!$C$2:$C$1800,الريسبي!$A$2:$A$1800,$A85,الريسبي!$B$2:$B$1800,AO$1)</f>
        <v>0</v>
      </c>
      <c r="AP85" s="117" t="n">
        <f aca="false">SUMIFS(الريسبي!$C$2:$C$1800,الريسبي!$A$2:$A$1800,$A85,الريسبي!$B$2:$B$1800,AP$1)</f>
        <v>0.02</v>
      </c>
      <c r="AQ85" s="117" t="n">
        <f aca="false">SUMIFS(الريسبي!$C$2:$C$1800,الريسبي!$A$2:$A$1800,$A85,الريسبي!$B$2:$B$1800,AQ$1)+0.004166666667*SUMIFS(الريسبي!$C$2:$C$1800,الريسبي!$A$2:$A$1800,$A85,الريسبي!$B$2:$B$1800,"عجين كريب (مصنع بالمطعم)")+0.004166666667*SUMIFS(الريسبي!$C$2:$C$1800,الريسبي!$A$2:$A$1800,$A85,الريسبي!$B$2:$B$1800,"عجين كريب صيامي (بدون لبن)")</f>
        <v>0</v>
      </c>
      <c r="AR85" s="117" t="n">
        <f aca="false">SUMIFS(الريسبي!$C$2:$C$1800,الريسبي!$A$2:$A$1800,$A85,الريسبي!$B$2:$B$1800,AR$1)</f>
        <v>0</v>
      </c>
      <c r="AS85" s="117" t="n">
        <f aca="false">SUMIFS(الريسبي!$C$2:$C$1800,الريسبي!$A$2:$A$1800,$A85,الريسبي!$B$2:$B$1800,AS$1)</f>
        <v>0</v>
      </c>
      <c r="AT85" s="117" t="n">
        <f aca="false">SUMIFS(الريسبي!$C$2:$C$1800,الريسبي!$A$2:$A$1800,$A85,الريسبي!$B$2:$B$1800,AT$1)</f>
        <v>0</v>
      </c>
      <c r="AU85" s="117" t="n">
        <f aca="false">SUMIFS(الريسبي!$C$2:$C$1800,الريسبي!$A$2:$A$1800,$A85,الريسبي!$B$2:$B$1800,AU$1)</f>
        <v>0</v>
      </c>
      <c r="AV85" s="117" t="n">
        <f aca="false">SUMIFS(الريسبي!$C$2:$C$1800,الريسبي!$A$2:$A$1800,$A85,الريسبي!$B$2:$B$1800,AV$1)</f>
        <v>0</v>
      </c>
      <c r="AW85" s="117" t="n">
        <f aca="false">SUMIFS(الريسبي!$C$2:$C$1800,الريسبي!$A$2:$A$1800,$A85,الريسبي!$B$2:$B$1800,AW$1)</f>
        <v>0</v>
      </c>
      <c r="AX85" s="117" t="n">
        <f aca="false">SUMIFS(الريسبي!$C$2:$C$1800,الريسبي!$A$2:$A$1800,$A85,الريسبي!$B$2:$B$1800,AX$1)</f>
        <v>0.04</v>
      </c>
      <c r="AY85" s="117" t="n">
        <f aca="false">SUMIFS(الريسبي!$C$2:$C$1800,الريسبي!$A$2:$A$1800,$A85,الريسبي!$B$2:$B$1800,AY$1)</f>
        <v>0</v>
      </c>
      <c r="AZ85" s="117" t="n">
        <f aca="false">SUMIFS(الريسبي!$C$2:$C$1800,الريسبي!$A$2:$A$1800,$A85,الريسبي!$B$2:$B$1800,AZ$1)</f>
        <v>0</v>
      </c>
      <c r="BA85" s="117" t="n">
        <f aca="false">SUMIFS(الريسبي!$C$2:$C$1800,الريسبي!$A$2:$A$1800,$A85,الريسبي!$B$2:$B$1800,BA$1)</f>
        <v>0</v>
      </c>
      <c r="BB85" s="117" t="n">
        <f aca="false">SUMIFS(الريسبي!$C$2:$C$1800,الريسبي!$A$2:$A$1800,$A85,الريسبي!$B$2:$B$1800,BB$1)</f>
        <v>0</v>
      </c>
      <c r="BC85" s="117" t="n">
        <f aca="false">SUMIFS(الريسبي!$C$2:$C$1800,الريسبي!$A$2:$A$1800,$A85,الريسبي!$B$2:$B$1800,BC$1)</f>
        <v>0.03</v>
      </c>
      <c r="BD85" s="117" t="n">
        <f aca="false">SUMIFS(الريسبي!$C$2:$C$1800,الريسبي!$A$2:$A$1800,$A85,الريسبي!$B$2:$B$1800,BD$1)</f>
        <v>0.22</v>
      </c>
      <c r="BE85" s="117" t="n">
        <f aca="false">SUMIFS(الريسبي!$C$2:$C$1800,الريسبي!$A$2:$A$1800,$A85,الريسبي!$B$2:$B$1800,BE$1)</f>
        <v>0</v>
      </c>
      <c r="BF85" s="117" t="n">
        <f aca="false">SUMIFS(الريسبي!$C$2:$C$1800,الريسبي!$A$2:$A$1800,$A85,الريسبي!$B$2:$B$1800,BF$1)</f>
        <v>0</v>
      </c>
      <c r="BG85" s="117" t="n">
        <f aca="false">SUMIFS(الريسبي!$C$2:$C$1800,الريسبي!$A$2:$A$1800,$A85,الريسبي!$B$2:$B$1800,BG$1)</f>
        <v>0</v>
      </c>
      <c r="BH85" s="117" t="n">
        <f aca="false">SUMIFS(الريسبي!$C$2:$C$1800,الريسبي!$A$2:$A$1800,$A85,الريسبي!$B$2:$B$1800,BH$1)</f>
        <v>1</v>
      </c>
      <c r="BI85" s="117" t="n">
        <f aca="false">SUMIFS(الريسبي!$C$2:$C$1800,الريسبي!$A$2:$A$1800,$A85,الريسبي!$B$2:$B$1800,BI$1)</f>
        <v>0</v>
      </c>
      <c r="BJ85" s="117" t="n">
        <f aca="false">SUMIFS(الريسبي!$C$2:$C$1800,الريسبي!$A$2:$A$1800,$A85,الريسبي!$B$2:$B$1800,BJ$1)</f>
        <v>0</v>
      </c>
      <c r="BK85" s="117" t="n">
        <f aca="false">SUMIFS(الريسبي!$C$2:$C$1800,الريسبي!$A$2:$A$1800,$A85,الريسبي!$B$2:$B$1800,BK$1)</f>
        <v>0</v>
      </c>
      <c r="BL85" s="117" t="n">
        <f aca="false">SUMIFS(الريسبي!$C$2:$C$1800,الريسبي!$A$2:$A$1800,$A85,الريسبي!$B$2:$B$1800,BL$1)</f>
        <v>0</v>
      </c>
      <c r="BM85" s="117" t="n">
        <f aca="false">SUMIFS(الريسبي!$C$2:$C$1800,الريسبي!$A$2:$A$1800,$A85,الريسبي!$B$2:$B$1800,BM$1)</f>
        <v>0</v>
      </c>
      <c r="BN85" s="117" t="n">
        <f aca="false">SUMIFS(الريسبي!$C$2:$C$1800,الريسبي!$A$2:$A$1800,$A85,الريسبي!$B$2:$B$1800,BN$1)</f>
        <v>0.02</v>
      </c>
      <c r="BO85" s="117" t="n">
        <f aca="false">SUMIFS(الريسبي!$C$2:$C$1800,الريسبي!$A$2:$A$1800,$A85,الريسبي!$B$2:$B$1800,BO$1)</f>
        <v>0</v>
      </c>
      <c r="BP85" s="117" t="n">
        <f aca="false">SUMIFS(الريسبي!$C$2:$C$1800,الريسبي!$A$2:$A$1800,$A85,الريسبي!$B$2:$B$1800,BP$1)</f>
        <v>2</v>
      </c>
      <c r="BQ85" s="117" t="n">
        <f aca="false">SUMIFS(الريسبي!$C$2:$C$1800,الريسبي!$A$2:$A$1800,$A85,الريسبي!$B$2:$B$1800,BQ$1)+0.17*SUMIFS(الريسبي!$C$2:$C$1800,الريسبي!$A$2:$A$1800,$A85,الريسبي!$B$2:$B$1800,"كاسترد مصنع (خليط بودر + لبن)")+0.17*SUMIFS(الريسبي!$C$2:$C$1800,الريسبي!$A$2:$A$1800,$A85,الريسبي!$B$2:$B$1800,"كاسترد مصنع صيامي (بدون لبن)")</f>
        <v>0</v>
      </c>
      <c r="BR85" s="117" t="n">
        <f aca="false">SUMIFS(الريسبي!$C$2:$C$1800,الريسبي!$A$2:$A$1800,$A85,الريسبي!$B$2:$B$1800,BR$1)</f>
        <v>1</v>
      </c>
      <c r="BS85" s="117" t="n">
        <f aca="false">SUMIFS(الريسبي!$C$2:$C$1800,الريسبي!$A$2:$A$1800,$A85,الريسبي!$B$2:$B$1800,BS$1)</f>
        <v>0</v>
      </c>
      <c r="BT85" s="117" t="n">
        <f aca="false">SUMIFS(الريسبي!$C$2:$C$1800,الريسبي!$A$2:$A$1800,$A85,الريسبي!$B$2:$B$1800,BT$1)</f>
        <v>0</v>
      </c>
      <c r="BU85" s="117" t="n">
        <f aca="false">SUMIFS(الريسبي!$C$2:$C$1800,الريسبي!$A$2:$A$1800,$A85,الريسبي!$B$2:$B$1800,BU$1)+0.4*SUMIFS(الريسبي!$C$2:$C$1800,الريسبي!$A$2:$A$1800,$A85,الريسبي!$B$2:$B$1800,"كاسترد مصنع (خليط بودر + لبن)")+0.03333333333*SUMIFS(الريسبي!$C$2:$C$1800,الريسبي!$A$2:$A$1800,$A85,الريسبي!$B$2:$B$1800,"عجين كريب (مصنع بالمطعم)")</f>
        <v>0</v>
      </c>
      <c r="BV85" s="117" t="n">
        <f aca="false">SUMIFS(الريسبي!$C$2:$C$1800,الريسبي!$A$2:$A$1800,$A85,الريسبي!$B$2:$B$1800,BV$1)</f>
        <v>0</v>
      </c>
      <c r="BW85" s="117" t="n">
        <f aca="false">SUMIFS(الريسبي!$C$2:$C$1800,الريسبي!$A$2:$A$1800,$A85,الريسبي!$B$2:$B$1800,BW$1)</f>
        <v>0</v>
      </c>
      <c r="BX85" s="117" t="n">
        <f aca="false">SUMIFS(الريسبي!$C$2:$C$1800,الريسبي!$A$2:$A$1800,$A85,الريسبي!$B$2:$B$1800,BX$1)</f>
        <v>0</v>
      </c>
      <c r="BY85" s="117" t="n">
        <f aca="false">SUMIFS(الريسبي!$C$2:$C$1800,الريسبي!$A$2:$A$1800,$A85,الريسبي!$B$2:$B$1800,BY$1)</f>
        <v>0</v>
      </c>
      <c r="BZ85" s="117" t="n">
        <f aca="false">SUMIFS(الريسبي!$C$2:$C$1800,الريسبي!$A$2:$A$1800,$A85,الريسبي!$B$2:$B$1800,BZ$1)</f>
        <v>0</v>
      </c>
      <c r="CA85" s="117" t="n">
        <f aca="false">SUMIFS(الريسبي!$C$2:$C$1800,الريسبي!$A$2:$A$1800,$A85,الريسبي!$B$2:$B$1800,CA$1)</f>
        <v>1</v>
      </c>
      <c r="CB85" s="117" t="n">
        <f aca="false">SUMIFS(الريسبي!$C$2:$C$1800,الريسبي!$A$2:$A$1800,$A85,الريسبي!$B$2:$B$1800,CB$1)</f>
        <v>1</v>
      </c>
      <c r="CC85" s="117" t="n">
        <f aca="false">SUMIFS(الريسبي!$C$2:$C$1800,الريسبي!$A$2:$A$1800,$A85,الريسبي!$B$2:$B$1800,CC$1)</f>
        <v>0</v>
      </c>
      <c r="CD85" s="117" t="n">
        <f aca="false">SUMIFS(الريسبي!$C$2:$C$1800,الريسبي!$A$2:$A$1800,$A85,الريسبي!$B$2:$B$1800,CD$1)</f>
        <v>0</v>
      </c>
      <c r="CE85" s="117" t="n">
        <f aca="false">SUMIFS(الريسبي!$C$2:$C$1800,الريسبي!$A$2:$A$1800,$A85,الريسبي!$B$2:$B$1800,CE$1)</f>
        <v>0</v>
      </c>
      <c r="CF85" s="117" t="n">
        <f aca="false">SUMIFS(الريسبي!$C$2:$C$1800,الريسبي!$A$2:$A$1800,$A85,الريسبي!$B$2:$B$1800,CF$1)</f>
        <v>0</v>
      </c>
      <c r="CG85" s="117" t="n">
        <f aca="false">SUMIFS(الريسبي!$C$2:$C$1800,الريسبي!$A$2:$A$1800,$A85,الريسبي!$B$2:$B$1800,CG$1)</f>
        <v>0</v>
      </c>
      <c r="CH85" s="117" t="n">
        <f aca="false">SUMIFS(الريسبي!$C$2:$C$1800,الريسبي!$A$2:$A$1800,$A85,الريسبي!$B$2:$B$1800,CH$1)</f>
        <v>0</v>
      </c>
      <c r="CI85" s="117" t="n">
        <f aca="false">SUMIFS(الريسبي!$C$2:$C$1800,الريسبي!$A$2:$A$1800,$A85,الريسبي!$B$2:$B$1800,CI$1)</f>
        <v>0</v>
      </c>
      <c r="CJ85" s="117" t="n">
        <f aca="false">SUMIFS(الريسبي!$C$2:$C$1800,الريسبي!$A$2:$A$1800,$A85,الريسبي!$B$2:$B$1800,CJ$1)</f>
        <v>0</v>
      </c>
      <c r="CK85" s="117" t="n">
        <f aca="false">SUMIFS(الريسبي!$C$2:$C$1800,الريسبي!$A$2:$A$1800,$A85,الريسبي!$B$2:$B$1800,CK$1)</f>
        <v>0</v>
      </c>
      <c r="CL85" s="117" t="n">
        <f aca="false">SUMIFS(الريسبي!$C$2:$C$1800,الريسبي!$A$2:$A$1800,$A85,الريسبي!$B$2:$B$1800,CL$1)</f>
        <v>0</v>
      </c>
    </row>
    <row r="86" customFormat="false" ht="15" hidden="false" customHeight="false" outlineLevel="0" collapsed="false">
      <c r="A86" s="116" t="str">
        <f aca="false">المنيو!B86</f>
        <v>بيتزا مشكل جبن صيامي مخصوص</v>
      </c>
      <c r="B86" s="117" t="n">
        <f aca="false">SUMIFS(الريسبي!$C$2:$C$1800,الريسبي!$A$2:$A$1800,$A86,الريسبي!$B$2:$B$1800,B$1)</f>
        <v>0</v>
      </c>
      <c r="C86" s="117" t="n">
        <f aca="false">SUMIFS(الريسبي!$C$2:$C$1800,الريسبي!$A$2:$A$1800,$A86,الريسبي!$B$2:$B$1800,C$1)</f>
        <v>0</v>
      </c>
      <c r="D86" s="117" t="n">
        <f aca="false">SUMIFS(الريسبي!$C$2:$C$1800,الريسبي!$A$2:$A$1800,$A86,الريسبي!$B$2:$B$1800,D$1)</f>
        <v>1</v>
      </c>
      <c r="E86" s="117" t="n">
        <f aca="false">SUMIFS(الريسبي!$C$2:$C$1800,الريسبي!$A$2:$A$1800,$A86,الريسبي!$B$2:$B$1800,E$1)</f>
        <v>0</v>
      </c>
      <c r="F86" s="117" t="n">
        <f aca="false">SUMIFS(الريسبي!$C$2:$C$1800,الريسبي!$A$2:$A$1800,$A86,الريسبي!$B$2:$B$1800,F$1)</f>
        <v>0</v>
      </c>
      <c r="G86" s="117" t="n">
        <f aca="false">SUMIFS(الريسبي!$C$2:$C$1800,الريسبي!$A$2:$A$1800,$A86,الريسبي!$B$2:$B$1800,G$1)</f>
        <v>0</v>
      </c>
      <c r="H86" s="117" t="n">
        <f aca="false">SUMIFS(الريسبي!$C$2:$C$1800,الريسبي!$A$2:$A$1800,$A86,الريسبي!$B$2:$B$1800,H$1)</f>
        <v>0</v>
      </c>
      <c r="I86" s="117" t="n">
        <f aca="false">SUMIFS(الريسبي!$C$2:$C$1800,الريسبي!$A$2:$A$1800,$A86,الريسبي!$B$2:$B$1800,I$1)</f>
        <v>0</v>
      </c>
      <c r="J86" s="117" t="n">
        <f aca="false">SUMIFS(الريسبي!$C$2:$C$1800,الريسبي!$A$2:$A$1800,$A86,الريسبي!$B$2:$B$1800,J$1)</f>
        <v>0</v>
      </c>
      <c r="K86" s="117" t="n">
        <f aca="false">SUMIFS(الريسبي!$C$2:$C$1800,الريسبي!$A$2:$A$1800,$A86,الريسبي!$B$2:$B$1800,K$1)</f>
        <v>0</v>
      </c>
      <c r="L86" s="117" t="n">
        <f aca="false">SUMIFS(الريسبي!$C$2:$C$1800,الريسبي!$A$2:$A$1800,$A86,الريسبي!$B$2:$B$1800,L$1)</f>
        <v>0</v>
      </c>
      <c r="M86" s="117" t="n">
        <f aca="false">SUMIFS(الريسبي!$C$2:$C$1800,الريسبي!$A$2:$A$1800,$A86,الريسبي!$B$2:$B$1800,M$1)</f>
        <v>0</v>
      </c>
      <c r="N86" s="117" t="n">
        <f aca="false">SUMIFS(الريسبي!$C$2:$C$1800,الريسبي!$A$2:$A$1800,$A86,الريسبي!$B$2:$B$1800,N$1)</f>
        <v>0</v>
      </c>
      <c r="O86" s="117" t="n">
        <f aca="false">SUMIFS(الريسبي!$C$2:$C$1800,الريسبي!$A$2:$A$1800,$A86,الريسبي!$B$2:$B$1800,O$1)</f>
        <v>0</v>
      </c>
      <c r="P86" s="117" t="n">
        <f aca="false">SUMIFS(الريسبي!$C$2:$C$1800,الريسبي!$A$2:$A$1800,$A86,الريسبي!$B$2:$B$1800,P$1)</f>
        <v>0</v>
      </c>
      <c r="Q86" s="117" t="n">
        <f aca="false">SUMIFS(الريسبي!$C$2:$C$1800,الريسبي!$A$2:$A$1800,$A86,الريسبي!$B$2:$B$1800,Q$1)</f>
        <v>0</v>
      </c>
      <c r="R86" s="117" t="n">
        <f aca="false">SUMIFS(الريسبي!$C$2:$C$1800,الريسبي!$A$2:$A$1800,$A86,الريسبي!$B$2:$B$1800,R$1)</f>
        <v>0</v>
      </c>
      <c r="S86" s="117" t="n">
        <f aca="false">SUMIFS(الريسبي!$C$2:$C$1800,الريسبي!$A$2:$A$1800,$A86,الريسبي!$B$2:$B$1800,S$1)</f>
        <v>0</v>
      </c>
      <c r="T86" s="117" t="n">
        <f aca="false">SUMIFS(الريسبي!$C$2:$C$1800,الريسبي!$A$2:$A$1800,$A86,الريسبي!$B$2:$B$1800,T$1)</f>
        <v>0</v>
      </c>
      <c r="U86" s="117" t="n">
        <f aca="false">SUMIFS(الريسبي!$C$2:$C$1800,الريسبي!$A$2:$A$1800,$A86,الريسبي!$B$2:$B$1800,U$1)</f>
        <v>0</v>
      </c>
      <c r="V86" s="117" t="n">
        <f aca="false">SUMIFS(الريسبي!$C$2:$C$1800,الريسبي!$A$2:$A$1800,$A86,الريسبي!$B$2:$B$1800,V$1)</f>
        <v>0</v>
      </c>
      <c r="W86" s="117" t="n">
        <f aca="false">SUMIFS(الريسبي!$C$2:$C$1800,الريسبي!$A$2:$A$1800,$A86,الريسبي!$B$2:$B$1800,W$1)</f>
        <v>0</v>
      </c>
      <c r="X86" s="117" t="n">
        <f aca="false">SUMIFS(الريسبي!$C$2:$C$1800,الريسبي!$A$2:$A$1800,$A86,الريسبي!$B$2:$B$1800,X$1)</f>
        <v>0</v>
      </c>
      <c r="Y86" s="117" t="n">
        <f aca="false">SUMIFS(الريسبي!$C$2:$C$1800,الريسبي!$A$2:$A$1800,$A86,الريسبي!$B$2:$B$1800,Y$1)</f>
        <v>1</v>
      </c>
      <c r="Z86" s="117" t="n">
        <f aca="false">SUMIFS(الريسبي!$C$2:$C$1800,الريسبي!$A$2:$A$1800,$A86,الريسبي!$B$2:$B$1800,Z$1)</f>
        <v>0</v>
      </c>
      <c r="AA86" s="117" t="n">
        <f aca="false">SUMIFS(الريسبي!$C$2:$C$1800,الريسبي!$A$2:$A$1800,$A86,الريسبي!$B$2:$B$1800,AA$1)</f>
        <v>0</v>
      </c>
      <c r="AB86" s="117" t="n">
        <f aca="false">SUMIFS(الريسبي!$C$2:$C$1800,الريسبي!$A$2:$A$1800,$A86,الريسبي!$B$2:$B$1800,AB$1)</f>
        <v>0</v>
      </c>
      <c r="AC86" s="117" t="n">
        <f aca="false">SUMIFS(الريسبي!$C$2:$C$1800,الريسبي!$A$2:$A$1800,$A86,الريسبي!$B$2:$B$1800,AC$1)</f>
        <v>0</v>
      </c>
      <c r="AD86" s="117" t="n">
        <f aca="false">SUMIFS(الريسبي!$C$2:$C$1800,الريسبي!$A$2:$A$1800,$A86,الريسبي!$B$2:$B$1800,AD$1)</f>
        <v>0</v>
      </c>
      <c r="AE86" s="117" t="n">
        <f aca="false">SUMIFS(الريسبي!$C$2:$C$1800,الريسبي!$A$2:$A$1800,$A86,الريسبي!$B$2:$B$1800,AE$1)</f>
        <v>0</v>
      </c>
      <c r="AF86" s="117" t="n">
        <f aca="false">SUMIFS(الريسبي!$C$2:$C$1800,الريسبي!$A$2:$A$1800,$A86,الريسبي!$B$2:$B$1800,AF$1)</f>
        <v>0</v>
      </c>
      <c r="AG86" s="117" t="n">
        <f aca="false">SUMIFS(الريسبي!$C$2:$C$1800,الريسبي!$A$2:$A$1800,$A86,الريسبي!$B$2:$B$1800,AG$1)</f>
        <v>0</v>
      </c>
      <c r="AH86" s="117" t="n">
        <f aca="false">SUMIFS(الريسبي!$C$2:$C$1800,الريسبي!$A$2:$A$1800,$A86,الريسبي!$B$2:$B$1800,AH$1)</f>
        <v>0</v>
      </c>
      <c r="AI86" s="117" t="n">
        <f aca="false">SUMIFS(الريسبي!$C$2:$C$1800,الريسبي!$A$2:$A$1800,$A86,الريسبي!$B$2:$B$1800,AI$1)</f>
        <v>0.15</v>
      </c>
      <c r="AJ86" s="117" t="n">
        <f aca="false">SUMIFS(الريسبي!$C$2:$C$1800,الريسبي!$A$2:$A$1800,$A86,الريسبي!$B$2:$B$1800,AJ$1)</f>
        <v>2</v>
      </c>
      <c r="AK86" s="117" t="n">
        <f aca="false">SUMIFS(الريسبي!$C$2:$C$1800,الريسبي!$A$2:$A$1800,$A86,الريسبي!$B$2:$B$1800,AK$1)</f>
        <v>0</v>
      </c>
      <c r="AL86" s="117" t="n">
        <f aca="false">SUMIFS(الريسبي!$C$2:$C$1800,الريسبي!$A$2:$A$1800,$A86,الريسبي!$B$2:$B$1800,AL$1)</f>
        <v>0</v>
      </c>
      <c r="AM86" s="117" t="n">
        <f aca="false">SUMIFS(الريسبي!$C$2:$C$1800,الريسبي!$A$2:$A$1800,$A86,الريسبي!$B$2:$B$1800,AM$1)+0.08333333333*SUMIFS(الريسبي!$C$2:$C$1800,الريسبي!$A$2:$A$1800,$A86,الريسبي!$B$2:$B$1800,"عجين كريب (مصنع بالمطعم)")+0.08333333333*SUMIFS(الريسبي!$C$2:$C$1800,الريسبي!$A$2:$A$1800,$A86,الريسبي!$B$2:$B$1800,"عجين كريب صيامي (بدون لبن)")</f>
        <v>0</v>
      </c>
      <c r="AN86" s="117" t="n">
        <f aca="false">SUMIFS(الريسبي!$C$2:$C$1800,الريسبي!$A$2:$A$1800,$A86,الريسبي!$B$2:$B$1800,AN$1)+0.004166666667*SUMIFS(الريسبي!$C$2:$C$1800,الريسبي!$A$2:$A$1800,$A86,الريسبي!$B$2:$B$1800,"عجين كريب (مصنع بالمطعم)")+0.004166666667*SUMIFS(الريسبي!$C$2:$C$1800,الريسبي!$A$2:$A$1800,$A86,الريسبي!$B$2:$B$1800,"عجين كريب صيامي (بدون لبن)")</f>
        <v>0</v>
      </c>
      <c r="AO86" s="117" t="n">
        <f aca="false">SUMIFS(الريسبي!$C$2:$C$1800,الريسبي!$A$2:$A$1800,$A86,الريسبي!$B$2:$B$1800,AO$1)</f>
        <v>0</v>
      </c>
      <c r="AP86" s="117" t="n">
        <f aca="false">SUMIFS(الريسبي!$C$2:$C$1800,الريسبي!$A$2:$A$1800,$A86,الريسبي!$B$2:$B$1800,AP$1)</f>
        <v>0.03</v>
      </c>
      <c r="AQ86" s="117" t="n">
        <f aca="false">SUMIFS(الريسبي!$C$2:$C$1800,الريسبي!$A$2:$A$1800,$A86,الريسبي!$B$2:$B$1800,AQ$1)+0.004166666667*SUMIFS(الريسبي!$C$2:$C$1800,الريسبي!$A$2:$A$1800,$A86,الريسبي!$B$2:$B$1800,"عجين كريب (مصنع بالمطعم)")+0.004166666667*SUMIFS(الريسبي!$C$2:$C$1800,الريسبي!$A$2:$A$1800,$A86,الريسبي!$B$2:$B$1800,"عجين كريب صيامي (بدون لبن)")</f>
        <v>0</v>
      </c>
      <c r="AR86" s="117" t="n">
        <f aca="false">SUMIFS(الريسبي!$C$2:$C$1800,الريسبي!$A$2:$A$1800,$A86,الريسبي!$B$2:$B$1800,AR$1)</f>
        <v>0</v>
      </c>
      <c r="AS86" s="117" t="n">
        <f aca="false">SUMIFS(الريسبي!$C$2:$C$1800,الريسبي!$A$2:$A$1800,$A86,الريسبي!$B$2:$B$1800,AS$1)</f>
        <v>0</v>
      </c>
      <c r="AT86" s="117" t="n">
        <f aca="false">SUMIFS(الريسبي!$C$2:$C$1800,الريسبي!$A$2:$A$1800,$A86,الريسبي!$B$2:$B$1800,AT$1)</f>
        <v>0</v>
      </c>
      <c r="AU86" s="117" t="n">
        <f aca="false">SUMIFS(الريسبي!$C$2:$C$1800,الريسبي!$A$2:$A$1800,$A86,الريسبي!$B$2:$B$1800,AU$1)</f>
        <v>0</v>
      </c>
      <c r="AV86" s="117" t="n">
        <f aca="false">SUMIFS(الريسبي!$C$2:$C$1800,الريسبي!$A$2:$A$1800,$A86,الريسبي!$B$2:$B$1800,AV$1)</f>
        <v>0</v>
      </c>
      <c r="AW86" s="117" t="n">
        <f aca="false">SUMIFS(الريسبي!$C$2:$C$1800,الريسبي!$A$2:$A$1800,$A86,الريسبي!$B$2:$B$1800,AW$1)</f>
        <v>0</v>
      </c>
      <c r="AX86" s="117" t="n">
        <f aca="false">SUMIFS(الريسبي!$C$2:$C$1800,الريسبي!$A$2:$A$1800,$A86,الريسبي!$B$2:$B$1800,AX$1)</f>
        <v>0.06</v>
      </c>
      <c r="AY86" s="117" t="n">
        <f aca="false">SUMIFS(الريسبي!$C$2:$C$1800,الريسبي!$A$2:$A$1800,$A86,الريسبي!$B$2:$B$1800,AY$1)</f>
        <v>0</v>
      </c>
      <c r="AZ86" s="117" t="n">
        <f aca="false">SUMIFS(الريسبي!$C$2:$C$1800,الريسبي!$A$2:$A$1800,$A86,الريسبي!$B$2:$B$1800,AZ$1)</f>
        <v>0</v>
      </c>
      <c r="BA86" s="117" t="n">
        <f aca="false">SUMIFS(الريسبي!$C$2:$C$1800,الريسبي!$A$2:$A$1800,$A86,الريسبي!$B$2:$B$1800,BA$1)</f>
        <v>0</v>
      </c>
      <c r="BB86" s="117" t="n">
        <f aca="false">SUMIFS(الريسبي!$C$2:$C$1800,الريسبي!$A$2:$A$1800,$A86,الريسبي!$B$2:$B$1800,BB$1)</f>
        <v>0</v>
      </c>
      <c r="BC86" s="117" t="n">
        <f aca="false">SUMIFS(الريسبي!$C$2:$C$1800,الريسبي!$A$2:$A$1800,$A86,الريسبي!$B$2:$B$1800,BC$1)</f>
        <v>0.045</v>
      </c>
      <c r="BD86" s="117" t="n">
        <f aca="false">SUMIFS(الريسبي!$C$2:$C$1800,الريسبي!$A$2:$A$1800,$A86,الريسبي!$B$2:$B$1800,BD$1)</f>
        <v>0.3</v>
      </c>
      <c r="BE86" s="117" t="n">
        <f aca="false">SUMIFS(الريسبي!$C$2:$C$1800,الريسبي!$A$2:$A$1800,$A86,الريسبي!$B$2:$B$1800,BE$1)</f>
        <v>0</v>
      </c>
      <c r="BF86" s="117" t="n">
        <f aca="false">SUMIFS(الريسبي!$C$2:$C$1800,الريسبي!$A$2:$A$1800,$A86,الريسبي!$B$2:$B$1800,BF$1)</f>
        <v>0</v>
      </c>
      <c r="BG86" s="117" t="n">
        <f aca="false">SUMIFS(الريسبي!$C$2:$C$1800,الريسبي!$A$2:$A$1800,$A86,الريسبي!$B$2:$B$1800,BG$1)</f>
        <v>1</v>
      </c>
      <c r="BH86" s="117" t="n">
        <f aca="false">SUMIFS(الريسبي!$C$2:$C$1800,الريسبي!$A$2:$A$1800,$A86,الريسبي!$B$2:$B$1800,BH$1)</f>
        <v>0</v>
      </c>
      <c r="BI86" s="117" t="n">
        <f aca="false">SUMIFS(الريسبي!$C$2:$C$1800,الريسبي!$A$2:$A$1800,$A86,الريسبي!$B$2:$B$1800,BI$1)</f>
        <v>0</v>
      </c>
      <c r="BJ86" s="117" t="n">
        <f aca="false">SUMIFS(الريسبي!$C$2:$C$1800,الريسبي!$A$2:$A$1800,$A86,الريسبي!$B$2:$B$1800,BJ$1)</f>
        <v>0</v>
      </c>
      <c r="BK86" s="117" t="n">
        <f aca="false">SUMIFS(الريسبي!$C$2:$C$1800,الريسبي!$A$2:$A$1800,$A86,الريسبي!$B$2:$B$1800,BK$1)</f>
        <v>0</v>
      </c>
      <c r="BL86" s="117" t="n">
        <f aca="false">SUMIFS(الريسبي!$C$2:$C$1800,الريسبي!$A$2:$A$1800,$A86,الريسبي!$B$2:$B$1800,BL$1)</f>
        <v>0</v>
      </c>
      <c r="BM86" s="117" t="n">
        <f aca="false">SUMIFS(الريسبي!$C$2:$C$1800,الريسبي!$A$2:$A$1800,$A86,الريسبي!$B$2:$B$1800,BM$1)</f>
        <v>0</v>
      </c>
      <c r="BN86" s="117" t="n">
        <f aca="false">SUMIFS(الريسبي!$C$2:$C$1800,الريسبي!$A$2:$A$1800,$A86,الريسبي!$B$2:$B$1800,BN$1)</f>
        <v>0.03</v>
      </c>
      <c r="BO86" s="117" t="n">
        <f aca="false">SUMIFS(الريسبي!$C$2:$C$1800,الريسبي!$A$2:$A$1800,$A86,الريسبي!$B$2:$B$1800,BO$1)</f>
        <v>0</v>
      </c>
      <c r="BP86" s="117" t="n">
        <f aca="false">SUMIFS(الريسبي!$C$2:$C$1800,الريسبي!$A$2:$A$1800,$A86,الريسبي!$B$2:$B$1800,BP$1)</f>
        <v>3</v>
      </c>
      <c r="BQ86" s="117" t="n">
        <f aca="false">SUMIFS(الريسبي!$C$2:$C$1800,الريسبي!$A$2:$A$1800,$A86,الريسبي!$B$2:$B$1800,BQ$1)+0.17*SUMIFS(الريسبي!$C$2:$C$1800,الريسبي!$A$2:$A$1800,$A86,الريسبي!$B$2:$B$1800,"كاسترد مصنع (خليط بودر + لبن)")+0.17*SUMIFS(الريسبي!$C$2:$C$1800,الريسبي!$A$2:$A$1800,$A86,الريسبي!$B$2:$B$1800,"كاسترد مصنع صيامي (بدون لبن)")</f>
        <v>0</v>
      </c>
      <c r="BR86" s="117" t="n">
        <f aca="false">SUMIFS(الريسبي!$C$2:$C$1800,الريسبي!$A$2:$A$1800,$A86,الريسبي!$B$2:$B$1800,BR$1)</f>
        <v>1</v>
      </c>
      <c r="BS86" s="117" t="n">
        <f aca="false">SUMIFS(الريسبي!$C$2:$C$1800,الريسبي!$A$2:$A$1800,$A86,الريسبي!$B$2:$B$1800,BS$1)</f>
        <v>0</v>
      </c>
      <c r="BT86" s="117" t="n">
        <f aca="false">SUMIFS(الريسبي!$C$2:$C$1800,الريسبي!$A$2:$A$1800,$A86,الريسبي!$B$2:$B$1800,BT$1)</f>
        <v>0</v>
      </c>
      <c r="BU86" s="117" t="n">
        <f aca="false">SUMIFS(الريسبي!$C$2:$C$1800,الريسبي!$A$2:$A$1800,$A86,الريسبي!$B$2:$B$1800,BU$1)+0.4*SUMIFS(الريسبي!$C$2:$C$1800,الريسبي!$A$2:$A$1800,$A86,الريسبي!$B$2:$B$1800,"كاسترد مصنع (خليط بودر + لبن)")+0.03333333333*SUMIFS(الريسبي!$C$2:$C$1800,الريسبي!$A$2:$A$1800,$A86,الريسبي!$B$2:$B$1800,"عجين كريب (مصنع بالمطعم)")</f>
        <v>0</v>
      </c>
      <c r="BV86" s="117" t="n">
        <f aca="false">SUMIFS(الريسبي!$C$2:$C$1800,الريسبي!$A$2:$A$1800,$A86,الريسبي!$B$2:$B$1800,BV$1)</f>
        <v>0</v>
      </c>
      <c r="BW86" s="117" t="n">
        <f aca="false">SUMIFS(الريسبي!$C$2:$C$1800,الريسبي!$A$2:$A$1800,$A86,الريسبي!$B$2:$B$1800,BW$1)</f>
        <v>0</v>
      </c>
      <c r="BX86" s="117" t="n">
        <f aca="false">SUMIFS(الريسبي!$C$2:$C$1800,الريسبي!$A$2:$A$1800,$A86,الريسبي!$B$2:$B$1800,BX$1)</f>
        <v>0</v>
      </c>
      <c r="BY86" s="117" t="n">
        <f aca="false">SUMIFS(الريسبي!$C$2:$C$1800,الريسبي!$A$2:$A$1800,$A86,الريسبي!$B$2:$B$1800,BY$1)</f>
        <v>0</v>
      </c>
      <c r="BZ86" s="117" t="n">
        <f aca="false">SUMIFS(الريسبي!$C$2:$C$1800,الريسبي!$A$2:$A$1800,$A86,الريسبي!$B$2:$B$1800,BZ$1)</f>
        <v>0</v>
      </c>
      <c r="CA86" s="117" t="n">
        <f aca="false">SUMIFS(الريسبي!$C$2:$C$1800,الريسبي!$A$2:$A$1800,$A86,الريسبي!$B$2:$B$1800,CA$1)</f>
        <v>1</v>
      </c>
      <c r="CB86" s="117" t="n">
        <f aca="false">SUMIFS(الريسبي!$C$2:$C$1800,الريسبي!$A$2:$A$1800,$A86,الريسبي!$B$2:$B$1800,CB$1)</f>
        <v>1</v>
      </c>
      <c r="CC86" s="117" t="n">
        <f aca="false">SUMIFS(الريسبي!$C$2:$C$1800,الريسبي!$A$2:$A$1800,$A86,الريسبي!$B$2:$B$1800,CC$1)</f>
        <v>0</v>
      </c>
      <c r="CD86" s="117" t="n">
        <f aca="false">SUMIFS(الريسبي!$C$2:$C$1800,الريسبي!$A$2:$A$1800,$A86,الريسبي!$B$2:$B$1800,CD$1)</f>
        <v>0</v>
      </c>
      <c r="CE86" s="117" t="n">
        <f aca="false">SUMIFS(الريسبي!$C$2:$C$1800,الريسبي!$A$2:$A$1800,$A86,الريسبي!$B$2:$B$1800,CE$1)</f>
        <v>0</v>
      </c>
      <c r="CF86" s="117" t="n">
        <f aca="false">SUMIFS(الريسبي!$C$2:$C$1800,الريسبي!$A$2:$A$1800,$A86,الريسبي!$B$2:$B$1800,CF$1)</f>
        <v>0</v>
      </c>
      <c r="CG86" s="117" t="n">
        <f aca="false">SUMIFS(الريسبي!$C$2:$C$1800,الريسبي!$A$2:$A$1800,$A86,الريسبي!$B$2:$B$1800,CG$1)</f>
        <v>0</v>
      </c>
      <c r="CH86" s="117" t="n">
        <f aca="false">SUMIFS(الريسبي!$C$2:$C$1800,الريسبي!$A$2:$A$1800,$A86,الريسبي!$B$2:$B$1800,CH$1)</f>
        <v>0</v>
      </c>
      <c r="CI86" s="117" t="n">
        <f aca="false">SUMIFS(الريسبي!$C$2:$C$1800,الريسبي!$A$2:$A$1800,$A86,الريسبي!$B$2:$B$1800,CI$1)</f>
        <v>0</v>
      </c>
      <c r="CJ86" s="117" t="n">
        <f aca="false">SUMIFS(الريسبي!$C$2:$C$1800,الريسبي!$A$2:$A$1800,$A86,الريسبي!$B$2:$B$1800,CJ$1)</f>
        <v>0</v>
      </c>
      <c r="CK86" s="117" t="n">
        <f aca="false">SUMIFS(الريسبي!$C$2:$C$1800,الريسبي!$A$2:$A$1800,$A86,الريسبي!$B$2:$B$1800,CK$1)</f>
        <v>0</v>
      </c>
      <c r="CL86" s="117" t="n">
        <f aca="false">SUMIFS(الريسبي!$C$2:$C$1800,الريسبي!$A$2:$A$1800,$A86,الريسبي!$B$2:$B$1800,CL$1)</f>
        <v>0</v>
      </c>
    </row>
    <row r="87" customFormat="false" ht="15" hidden="false" customHeight="false" outlineLevel="0" collapsed="false">
      <c r="A87" s="116" t="str">
        <f aca="false">المنيو!B87</f>
        <v>بيتزا فراخ باربيكيو صيامي وسط</v>
      </c>
      <c r="B87" s="117" t="n">
        <f aca="false">SUMIFS(الريسبي!$C$2:$C$1800,الريسبي!$A$2:$A$1800,$A87,الريسبي!$B$2:$B$1800,B$1)</f>
        <v>0</v>
      </c>
      <c r="C87" s="117" t="n">
        <f aca="false">SUMIFS(الريسبي!$C$2:$C$1800,الريسبي!$A$2:$A$1800,$A87,الريسبي!$B$2:$B$1800,C$1)</f>
        <v>0</v>
      </c>
      <c r="D87" s="117" t="n">
        <f aca="false">SUMIFS(الريسبي!$C$2:$C$1800,الريسبي!$A$2:$A$1800,$A87,الريسبي!$B$2:$B$1800,D$1)</f>
        <v>1</v>
      </c>
      <c r="E87" s="117" t="n">
        <f aca="false">SUMIFS(الريسبي!$C$2:$C$1800,الريسبي!$A$2:$A$1800,$A87,الريسبي!$B$2:$B$1800,E$1)</f>
        <v>0</v>
      </c>
      <c r="F87" s="117" t="n">
        <f aca="false">SUMIFS(الريسبي!$C$2:$C$1800,الريسبي!$A$2:$A$1800,$A87,الريسبي!$B$2:$B$1800,F$1)</f>
        <v>0</v>
      </c>
      <c r="G87" s="117" t="n">
        <f aca="false">SUMIFS(الريسبي!$C$2:$C$1800,الريسبي!$A$2:$A$1800,$A87,الريسبي!$B$2:$B$1800,G$1)</f>
        <v>0</v>
      </c>
      <c r="H87" s="117" t="n">
        <f aca="false">SUMIFS(الريسبي!$C$2:$C$1800,الريسبي!$A$2:$A$1800,$A87,الريسبي!$B$2:$B$1800,H$1)</f>
        <v>0</v>
      </c>
      <c r="I87" s="117" t="n">
        <f aca="false">SUMIFS(الريسبي!$C$2:$C$1800,الريسبي!$A$2:$A$1800,$A87,الريسبي!$B$2:$B$1800,I$1)</f>
        <v>0</v>
      </c>
      <c r="J87" s="117" t="n">
        <f aca="false">SUMIFS(الريسبي!$C$2:$C$1800,الريسبي!$A$2:$A$1800,$A87,الريسبي!$B$2:$B$1800,J$1)</f>
        <v>0</v>
      </c>
      <c r="K87" s="117" t="n">
        <f aca="false">SUMIFS(الريسبي!$C$2:$C$1800,الريسبي!$A$2:$A$1800,$A87,الريسبي!$B$2:$B$1800,K$1)</f>
        <v>0</v>
      </c>
      <c r="L87" s="117" t="n">
        <f aca="false">SUMIFS(الريسبي!$C$2:$C$1800,الريسبي!$A$2:$A$1800,$A87,الريسبي!$B$2:$B$1800,L$1)</f>
        <v>0</v>
      </c>
      <c r="M87" s="117" t="n">
        <f aca="false">SUMIFS(الريسبي!$C$2:$C$1800,الريسبي!$A$2:$A$1800,$A87,الريسبي!$B$2:$B$1800,M$1)</f>
        <v>0</v>
      </c>
      <c r="N87" s="117" t="n">
        <f aca="false">SUMIFS(الريسبي!$C$2:$C$1800,الريسبي!$A$2:$A$1800,$A87,الريسبي!$B$2:$B$1800,N$1)</f>
        <v>0</v>
      </c>
      <c r="O87" s="117" t="n">
        <f aca="false">SUMIFS(الريسبي!$C$2:$C$1800,الريسبي!$A$2:$A$1800,$A87,الريسبي!$B$2:$B$1800,O$1)</f>
        <v>0</v>
      </c>
      <c r="P87" s="117" t="n">
        <f aca="false">SUMIFS(الريسبي!$C$2:$C$1800,الريسبي!$A$2:$A$1800,$A87,الريسبي!$B$2:$B$1800,P$1)</f>
        <v>0</v>
      </c>
      <c r="Q87" s="117" t="n">
        <f aca="false">SUMIFS(الريسبي!$C$2:$C$1800,الريسبي!$A$2:$A$1800,$A87,الريسبي!$B$2:$B$1800,Q$1)</f>
        <v>0</v>
      </c>
      <c r="R87" s="117" t="n">
        <f aca="false">SUMIFS(الريسبي!$C$2:$C$1800,الريسبي!$A$2:$A$1800,$A87,الريسبي!$B$2:$B$1800,R$1)</f>
        <v>0</v>
      </c>
      <c r="S87" s="117" t="n">
        <f aca="false">SUMIFS(الريسبي!$C$2:$C$1800,الريسبي!$A$2:$A$1800,$A87,الريسبي!$B$2:$B$1800,S$1)</f>
        <v>0</v>
      </c>
      <c r="T87" s="117" t="n">
        <f aca="false">SUMIFS(الريسبي!$C$2:$C$1800,الريسبي!$A$2:$A$1800,$A87,الريسبي!$B$2:$B$1800,T$1)</f>
        <v>0</v>
      </c>
      <c r="U87" s="117" t="n">
        <f aca="false">SUMIFS(الريسبي!$C$2:$C$1800,الريسبي!$A$2:$A$1800,$A87,الريسبي!$B$2:$B$1800,U$1)</f>
        <v>0</v>
      </c>
      <c r="V87" s="117" t="n">
        <f aca="false">SUMIFS(الريسبي!$C$2:$C$1800,الريسبي!$A$2:$A$1800,$A87,الريسبي!$B$2:$B$1800,V$1)</f>
        <v>0</v>
      </c>
      <c r="W87" s="117" t="n">
        <f aca="false">SUMIFS(الريسبي!$C$2:$C$1800,الريسبي!$A$2:$A$1800,$A87,الريسبي!$B$2:$B$1800,W$1)</f>
        <v>0</v>
      </c>
      <c r="X87" s="117" t="n">
        <f aca="false">SUMIFS(الريسبي!$C$2:$C$1800,الريسبي!$A$2:$A$1800,$A87,الريسبي!$B$2:$B$1800,X$1)</f>
        <v>1</v>
      </c>
      <c r="Y87" s="117" t="n">
        <f aca="false">SUMIFS(الريسبي!$C$2:$C$1800,الريسبي!$A$2:$A$1800,$A87,الريسبي!$B$2:$B$1800,Y$1)</f>
        <v>0</v>
      </c>
      <c r="Z87" s="117" t="n">
        <f aca="false">SUMIFS(الريسبي!$C$2:$C$1800,الريسبي!$A$2:$A$1800,$A87,الريسبي!$B$2:$B$1800,Z$1)</f>
        <v>0</v>
      </c>
      <c r="AA87" s="117" t="n">
        <f aca="false">SUMIFS(الريسبي!$C$2:$C$1800,الريسبي!$A$2:$A$1800,$A87,الريسبي!$B$2:$B$1800,AA$1)</f>
        <v>0</v>
      </c>
      <c r="AB87" s="117" t="n">
        <f aca="false">SUMIFS(الريسبي!$C$2:$C$1800,الريسبي!$A$2:$A$1800,$A87,الريسبي!$B$2:$B$1800,AB$1)</f>
        <v>0</v>
      </c>
      <c r="AC87" s="117" t="n">
        <f aca="false">SUMIFS(الريسبي!$C$2:$C$1800,الريسبي!$A$2:$A$1800,$A87,الريسبي!$B$2:$B$1800,AC$1)</f>
        <v>0</v>
      </c>
      <c r="AD87" s="117" t="n">
        <f aca="false">SUMIFS(الريسبي!$C$2:$C$1800,الريسبي!$A$2:$A$1800,$A87,الريسبي!$B$2:$B$1800,AD$1)</f>
        <v>0</v>
      </c>
      <c r="AE87" s="117" t="n">
        <f aca="false">SUMIFS(الريسبي!$C$2:$C$1800,الريسبي!$A$2:$A$1800,$A87,الريسبي!$B$2:$B$1800,AE$1)</f>
        <v>0</v>
      </c>
      <c r="AF87" s="117" t="n">
        <f aca="false">SUMIFS(الريسبي!$C$2:$C$1800,الريسبي!$A$2:$A$1800,$A87,الريسبي!$B$2:$B$1800,AF$1)</f>
        <v>0</v>
      </c>
      <c r="AG87" s="117" t="n">
        <f aca="false">SUMIFS(الريسبي!$C$2:$C$1800,الريسبي!$A$2:$A$1800,$A87,الريسبي!$B$2:$B$1800,AG$1)</f>
        <v>0</v>
      </c>
      <c r="AH87" s="117" t="n">
        <f aca="false">SUMIFS(الريسبي!$C$2:$C$1800,الريسبي!$A$2:$A$1800,$A87,الريسبي!$B$2:$B$1800,AH$1)</f>
        <v>0</v>
      </c>
      <c r="AI87" s="117" t="n">
        <f aca="false">SUMIFS(الريسبي!$C$2:$C$1800,الريسبي!$A$2:$A$1800,$A87,الريسبي!$B$2:$B$1800,AI$1)</f>
        <v>0</v>
      </c>
      <c r="AJ87" s="117" t="n">
        <f aca="false">SUMIFS(الريسبي!$C$2:$C$1800,الريسبي!$A$2:$A$1800,$A87,الريسبي!$B$2:$B$1800,AJ$1)</f>
        <v>2</v>
      </c>
      <c r="AK87" s="117" t="n">
        <f aca="false">SUMIFS(الريسبي!$C$2:$C$1800,الريسبي!$A$2:$A$1800,$A87,الريسبي!$B$2:$B$1800,AK$1)</f>
        <v>0</v>
      </c>
      <c r="AL87" s="117" t="n">
        <f aca="false">SUMIFS(الريسبي!$C$2:$C$1800,الريسبي!$A$2:$A$1800,$A87,الريسبي!$B$2:$B$1800,AL$1)</f>
        <v>0</v>
      </c>
      <c r="AM87" s="117" t="n">
        <f aca="false">SUMIFS(الريسبي!$C$2:$C$1800,الريسبي!$A$2:$A$1800,$A87,الريسبي!$B$2:$B$1800,AM$1)+0.08333333333*SUMIFS(الريسبي!$C$2:$C$1800,الريسبي!$A$2:$A$1800,$A87,الريسبي!$B$2:$B$1800,"عجين كريب (مصنع بالمطعم)")+0.08333333333*SUMIFS(الريسبي!$C$2:$C$1800,الريسبي!$A$2:$A$1800,$A87,الريسبي!$B$2:$B$1800,"عجين كريب صيامي (بدون لبن)")</f>
        <v>0</v>
      </c>
      <c r="AN87" s="117" t="n">
        <f aca="false">SUMIFS(الريسبي!$C$2:$C$1800,الريسبي!$A$2:$A$1800,$A87,الريسبي!$B$2:$B$1800,AN$1)+0.004166666667*SUMIFS(الريسبي!$C$2:$C$1800,الريسبي!$A$2:$A$1800,$A87,الريسبي!$B$2:$B$1800,"عجين كريب (مصنع بالمطعم)")+0.004166666667*SUMIFS(الريسبي!$C$2:$C$1800,الريسبي!$A$2:$A$1800,$A87,الريسبي!$B$2:$B$1800,"عجين كريب صيامي (بدون لبن)")</f>
        <v>0</v>
      </c>
      <c r="AO87" s="117" t="n">
        <f aca="false">SUMIFS(الريسبي!$C$2:$C$1800,الريسبي!$A$2:$A$1800,$A87,الريسبي!$B$2:$B$1800,AO$1)</f>
        <v>0</v>
      </c>
      <c r="AP87" s="117" t="n">
        <f aca="false">SUMIFS(الريسبي!$C$2:$C$1800,الريسبي!$A$2:$A$1800,$A87,الريسبي!$B$2:$B$1800,AP$1)</f>
        <v>0.02</v>
      </c>
      <c r="AQ87" s="117" t="n">
        <f aca="false">SUMIFS(الريسبي!$C$2:$C$1800,الريسبي!$A$2:$A$1800,$A87,الريسبي!$B$2:$B$1800,AQ$1)+0.004166666667*SUMIFS(الريسبي!$C$2:$C$1800,الريسبي!$A$2:$A$1800,$A87,الريسبي!$B$2:$B$1800,"عجين كريب (مصنع بالمطعم)")+0.004166666667*SUMIFS(الريسبي!$C$2:$C$1800,الريسبي!$A$2:$A$1800,$A87,الريسبي!$B$2:$B$1800,"عجين كريب صيامي (بدون لبن)")</f>
        <v>0</v>
      </c>
      <c r="AR87" s="117" t="n">
        <f aca="false">SUMIFS(الريسبي!$C$2:$C$1800,الريسبي!$A$2:$A$1800,$A87,الريسبي!$B$2:$B$1800,AR$1)</f>
        <v>0</v>
      </c>
      <c r="AS87" s="117" t="n">
        <f aca="false">SUMIFS(الريسبي!$C$2:$C$1800,الريسبي!$A$2:$A$1800,$A87,الريسبي!$B$2:$B$1800,AS$1)</f>
        <v>0</v>
      </c>
      <c r="AT87" s="117" t="n">
        <f aca="false">SUMIFS(الريسبي!$C$2:$C$1800,الريسبي!$A$2:$A$1800,$A87,الريسبي!$B$2:$B$1800,AT$1)</f>
        <v>0</v>
      </c>
      <c r="AU87" s="117" t="n">
        <f aca="false">SUMIFS(الريسبي!$C$2:$C$1800,الريسبي!$A$2:$A$1800,$A87,الريسبي!$B$2:$B$1800,AU$1)</f>
        <v>0</v>
      </c>
      <c r="AV87" s="117" t="n">
        <f aca="false">SUMIFS(الريسبي!$C$2:$C$1800,الريسبي!$A$2:$A$1800,$A87,الريسبي!$B$2:$B$1800,AV$1)</f>
        <v>0</v>
      </c>
      <c r="AW87" s="117" t="n">
        <f aca="false">SUMIFS(الريسبي!$C$2:$C$1800,الريسبي!$A$2:$A$1800,$A87,الريسبي!$B$2:$B$1800,AW$1)</f>
        <v>0</v>
      </c>
      <c r="AX87" s="117" t="n">
        <f aca="false">SUMIFS(الريسبي!$C$2:$C$1800,الريسبي!$A$2:$A$1800,$A87,الريسبي!$B$2:$B$1800,AX$1)</f>
        <v>0.04</v>
      </c>
      <c r="AY87" s="117" t="n">
        <f aca="false">SUMIFS(الريسبي!$C$2:$C$1800,الريسبي!$A$2:$A$1800,$A87,الريسبي!$B$2:$B$1800,AY$1)</f>
        <v>0.1</v>
      </c>
      <c r="AZ87" s="117" t="n">
        <f aca="false">SUMIFS(الريسبي!$C$2:$C$1800,الريسبي!$A$2:$A$1800,$A87,الريسبي!$B$2:$B$1800,AZ$1)</f>
        <v>0</v>
      </c>
      <c r="BA87" s="117" t="n">
        <f aca="false">SUMIFS(الريسبي!$C$2:$C$1800,الريسبي!$A$2:$A$1800,$A87,الريسبي!$B$2:$B$1800,BA$1)</f>
        <v>0</v>
      </c>
      <c r="BB87" s="117" t="n">
        <f aca="false">SUMIFS(الريسبي!$C$2:$C$1800,الريسبي!$A$2:$A$1800,$A87,الريسبي!$B$2:$B$1800,BB$1)</f>
        <v>0</v>
      </c>
      <c r="BC87" s="117" t="n">
        <f aca="false">SUMIFS(الريسبي!$C$2:$C$1800,الريسبي!$A$2:$A$1800,$A87,الريسبي!$B$2:$B$1800,BC$1)</f>
        <v>0.03</v>
      </c>
      <c r="BD87" s="117" t="n">
        <f aca="false">SUMIFS(الريسبي!$C$2:$C$1800,الريسبي!$A$2:$A$1800,$A87,الريسبي!$B$2:$B$1800,BD$1)</f>
        <v>0.22</v>
      </c>
      <c r="BE87" s="117" t="n">
        <f aca="false">SUMIFS(الريسبي!$C$2:$C$1800,الريسبي!$A$2:$A$1800,$A87,الريسبي!$B$2:$B$1800,BE$1)</f>
        <v>0</v>
      </c>
      <c r="BF87" s="117" t="n">
        <f aca="false">SUMIFS(الريسبي!$C$2:$C$1800,الريسبي!$A$2:$A$1800,$A87,الريسبي!$B$2:$B$1800,BF$1)</f>
        <v>0</v>
      </c>
      <c r="BG87" s="117" t="n">
        <f aca="false">SUMIFS(الريسبي!$C$2:$C$1800,الريسبي!$A$2:$A$1800,$A87,الريسبي!$B$2:$B$1800,BG$1)</f>
        <v>0</v>
      </c>
      <c r="BH87" s="117" t="n">
        <f aca="false">SUMIFS(الريسبي!$C$2:$C$1800,الريسبي!$A$2:$A$1800,$A87,الريسبي!$B$2:$B$1800,BH$1)</f>
        <v>1</v>
      </c>
      <c r="BI87" s="117" t="n">
        <f aca="false">SUMIFS(الريسبي!$C$2:$C$1800,الريسبي!$A$2:$A$1800,$A87,الريسبي!$B$2:$B$1800,BI$1)</f>
        <v>0</v>
      </c>
      <c r="BJ87" s="117" t="n">
        <f aca="false">SUMIFS(الريسبي!$C$2:$C$1800,الريسبي!$A$2:$A$1800,$A87,الريسبي!$B$2:$B$1800,BJ$1)</f>
        <v>0</v>
      </c>
      <c r="BK87" s="117" t="n">
        <f aca="false">SUMIFS(الريسبي!$C$2:$C$1800,الريسبي!$A$2:$A$1800,$A87,الريسبي!$B$2:$B$1800,BK$1)</f>
        <v>0</v>
      </c>
      <c r="BL87" s="117" t="n">
        <f aca="false">SUMIFS(الريسبي!$C$2:$C$1800,الريسبي!$A$2:$A$1800,$A87,الريسبي!$B$2:$B$1800,BL$1)</f>
        <v>0</v>
      </c>
      <c r="BM87" s="117" t="n">
        <f aca="false">SUMIFS(الريسبي!$C$2:$C$1800,الريسبي!$A$2:$A$1800,$A87,الريسبي!$B$2:$B$1800,BM$1)</f>
        <v>0.14</v>
      </c>
      <c r="BN87" s="117" t="n">
        <f aca="false">SUMIFS(الريسبي!$C$2:$C$1800,الريسبي!$A$2:$A$1800,$A87,الريسبي!$B$2:$B$1800,BN$1)</f>
        <v>0.02</v>
      </c>
      <c r="BO87" s="117" t="n">
        <f aca="false">SUMIFS(الريسبي!$C$2:$C$1800,الريسبي!$A$2:$A$1800,$A87,الريسبي!$B$2:$B$1800,BO$1)</f>
        <v>0</v>
      </c>
      <c r="BP87" s="117" t="n">
        <f aca="false">SUMIFS(الريسبي!$C$2:$C$1800,الريسبي!$A$2:$A$1800,$A87,الريسبي!$B$2:$B$1800,BP$1)</f>
        <v>2</v>
      </c>
      <c r="BQ87" s="117" t="n">
        <f aca="false">SUMIFS(الريسبي!$C$2:$C$1800,الريسبي!$A$2:$A$1800,$A87,الريسبي!$B$2:$B$1800,BQ$1)+0.17*SUMIFS(الريسبي!$C$2:$C$1800,الريسبي!$A$2:$A$1800,$A87,الريسبي!$B$2:$B$1800,"كاسترد مصنع (خليط بودر + لبن)")+0.17*SUMIFS(الريسبي!$C$2:$C$1800,الريسبي!$A$2:$A$1800,$A87,الريسبي!$B$2:$B$1800,"كاسترد مصنع صيامي (بدون لبن)")</f>
        <v>0</v>
      </c>
      <c r="BR87" s="117" t="n">
        <f aca="false">SUMIFS(الريسبي!$C$2:$C$1800,الريسبي!$A$2:$A$1800,$A87,الريسبي!$B$2:$B$1800,BR$1)</f>
        <v>1</v>
      </c>
      <c r="BS87" s="117" t="n">
        <f aca="false">SUMIFS(الريسبي!$C$2:$C$1800,الريسبي!$A$2:$A$1800,$A87,الريسبي!$B$2:$B$1800,BS$1)</f>
        <v>0</v>
      </c>
      <c r="BT87" s="117" t="n">
        <f aca="false">SUMIFS(الريسبي!$C$2:$C$1800,الريسبي!$A$2:$A$1800,$A87,الريسبي!$B$2:$B$1800,BT$1)</f>
        <v>0</v>
      </c>
      <c r="BU87" s="117" t="n">
        <f aca="false">SUMIFS(الريسبي!$C$2:$C$1800,الريسبي!$A$2:$A$1800,$A87,الريسبي!$B$2:$B$1800,BU$1)+0.4*SUMIFS(الريسبي!$C$2:$C$1800,الريسبي!$A$2:$A$1800,$A87,الريسبي!$B$2:$B$1800,"كاسترد مصنع (خليط بودر + لبن)")+0.03333333333*SUMIFS(الريسبي!$C$2:$C$1800,الريسبي!$A$2:$A$1800,$A87,الريسبي!$B$2:$B$1800,"عجين كريب (مصنع بالمطعم)")</f>
        <v>0</v>
      </c>
      <c r="BV87" s="117" t="n">
        <f aca="false">SUMIFS(الريسبي!$C$2:$C$1800,الريسبي!$A$2:$A$1800,$A87,الريسبي!$B$2:$B$1800,BV$1)</f>
        <v>0</v>
      </c>
      <c r="BW87" s="117" t="n">
        <f aca="false">SUMIFS(الريسبي!$C$2:$C$1800,الريسبي!$A$2:$A$1800,$A87,الريسبي!$B$2:$B$1800,BW$1)</f>
        <v>0</v>
      </c>
      <c r="BX87" s="117" t="n">
        <f aca="false">SUMIFS(الريسبي!$C$2:$C$1800,الريسبي!$A$2:$A$1800,$A87,الريسبي!$B$2:$B$1800,BX$1)</f>
        <v>0</v>
      </c>
      <c r="BY87" s="117" t="n">
        <f aca="false">SUMIFS(الريسبي!$C$2:$C$1800,الريسبي!$A$2:$A$1800,$A87,الريسبي!$B$2:$B$1800,BY$1)</f>
        <v>0</v>
      </c>
      <c r="BZ87" s="117" t="n">
        <f aca="false">SUMIFS(الريسبي!$C$2:$C$1800,الريسبي!$A$2:$A$1800,$A87,الريسبي!$B$2:$B$1800,BZ$1)</f>
        <v>0</v>
      </c>
      <c r="CA87" s="117" t="n">
        <f aca="false">SUMIFS(الريسبي!$C$2:$C$1800,الريسبي!$A$2:$A$1800,$A87,الريسبي!$B$2:$B$1800,CA$1)</f>
        <v>1</v>
      </c>
      <c r="CB87" s="117" t="n">
        <f aca="false">SUMIFS(الريسبي!$C$2:$C$1800,الريسبي!$A$2:$A$1800,$A87,الريسبي!$B$2:$B$1800,CB$1)</f>
        <v>1</v>
      </c>
      <c r="CC87" s="117" t="n">
        <f aca="false">SUMIFS(الريسبي!$C$2:$C$1800,الريسبي!$A$2:$A$1800,$A87,الريسبي!$B$2:$B$1800,CC$1)</f>
        <v>0</v>
      </c>
      <c r="CD87" s="117" t="n">
        <f aca="false">SUMIFS(الريسبي!$C$2:$C$1800,الريسبي!$A$2:$A$1800,$A87,الريسبي!$B$2:$B$1800,CD$1)</f>
        <v>0</v>
      </c>
      <c r="CE87" s="117" t="n">
        <f aca="false">SUMIFS(الريسبي!$C$2:$C$1800,الريسبي!$A$2:$A$1800,$A87,الريسبي!$B$2:$B$1800,CE$1)</f>
        <v>0</v>
      </c>
      <c r="CF87" s="117" t="n">
        <f aca="false">SUMIFS(الريسبي!$C$2:$C$1800,الريسبي!$A$2:$A$1800,$A87,الريسبي!$B$2:$B$1800,CF$1)</f>
        <v>0</v>
      </c>
      <c r="CG87" s="117" t="n">
        <f aca="false">SUMIFS(الريسبي!$C$2:$C$1800,الريسبي!$A$2:$A$1800,$A87,الريسبي!$B$2:$B$1800,CG$1)</f>
        <v>0</v>
      </c>
      <c r="CH87" s="117" t="n">
        <f aca="false">SUMIFS(الريسبي!$C$2:$C$1800,الريسبي!$A$2:$A$1800,$A87,الريسبي!$B$2:$B$1800,CH$1)</f>
        <v>0</v>
      </c>
      <c r="CI87" s="117" t="n">
        <f aca="false">SUMIFS(الريسبي!$C$2:$C$1800,الريسبي!$A$2:$A$1800,$A87,الريسبي!$B$2:$B$1800,CI$1)</f>
        <v>0</v>
      </c>
      <c r="CJ87" s="117" t="n">
        <f aca="false">SUMIFS(الريسبي!$C$2:$C$1800,الريسبي!$A$2:$A$1800,$A87,الريسبي!$B$2:$B$1800,CJ$1)</f>
        <v>0</v>
      </c>
      <c r="CK87" s="117" t="n">
        <f aca="false">SUMIFS(الريسبي!$C$2:$C$1800,الريسبي!$A$2:$A$1800,$A87,الريسبي!$B$2:$B$1800,CK$1)</f>
        <v>0</v>
      </c>
      <c r="CL87" s="117" t="n">
        <f aca="false">SUMIFS(الريسبي!$C$2:$C$1800,الريسبي!$A$2:$A$1800,$A87,الريسبي!$B$2:$B$1800,CL$1)</f>
        <v>0</v>
      </c>
    </row>
    <row r="88" customFormat="false" ht="15" hidden="false" customHeight="false" outlineLevel="0" collapsed="false">
      <c r="A88" s="116" t="str">
        <f aca="false">المنيو!B88</f>
        <v>بيتزا فراخ باربيكيو صيامي مخصوص</v>
      </c>
      <c r="B88" s="117" t="n">
        <f aca="false">SUMIFS(الريسبي!$C$2:$C$1800,الريسبي!$A$2:$A$1800,$A88,الريسبي!$B$2:$B$1800,B$1)</f>
        <v>0</v>
      </c>
      <c r="C88" s="117" t="n">
        <f aca="false">SUMIFS(الريسبي!$C$2:$C$1800,الريسبي!$A$2:$A$1800,$A88,الريسبي!$B$2:$B$1800,C$1)</f>
        <v>0</v>
      </c>
      <c r="D88" s="117" t="n">
        <f aca="false">SUMIFS(الريسبي!$C$2:$C$1800,الريسبي!$A$2:$A$1800,$A88,الريسبي!$B$2:$B$1800,D$1)</f>
        <v>1</v>
      </c>
      <c r="E88" s="117" t="n">
        <f aca="false">SUMIFS(الريسبي!$C$2:$C$1800,الريسبي!$A$2:$A$1800,$A88,الريسبي!$B$2:$B$1800,E$1)</f>
        <v>0</v>
      </c>
      <c r="F88" s="117" t="n">
        <f aca="false">SUMIFS(الريسبي!$C$2:$C$1800,الريسبي!$A$2:$A$1800,$A88,الريسبي!$B$2:$B$1800,F$1)</f>
        <v>0</v>
      </c>
      <c r="G88" s="117" t="n">
        <f aca="false">SUMIFS(الريسبي!$C$2:$C$1800,الريسبي!$A$2:$A$1800,$A88,الريسبي!$B$2:$B$1800,G$1)</f>
        <v>0</v>
      </c>
      <c r="H88" s="117" t="n">
        <f aca="false">SUMIFS(الريسبي!$C$2:$C$1800,الريسبي!$A$2:$A$1800,$A88,الريسبي!$B$2:$B$1800,H$1)</f>
        <v>0</v>
      </c>
      <c r="I88" s="117" t="n">
        <f aca="false">SUMIFS(الريسبي!$C$2:$C$1800,الريسبي!$A$2:$A$1800,$A88,الريسبي!$B$2:$B$1800,I$1)</f>
        <v>0</v>
      </c>
      <c r="J88" s="117" t="n">
        <f aca="false">SUMIFS(الريسبي!$C$2:$C$1800,الريسبي!$A$2:$A$1800,$A88,الريسبي!$B$2:$B$1800,J$1)</f>
        <v>0</v>
      </c>
      <c r="K88" s="117" t="n">
        <f aca="false">SUMIFS(الريسبي!$C$2:$C$1800,الريسبي!$A$2:$A$1800,$A88,الريسبي!$B$2:$B$1800,K$1)</f>
        <v>0</v>
      </c>
      <c r="L88" s="117" t="n">
        <f aca="false">SUMIFS(الريسبي!$C$2:$C$1800,الريسبي!$A$2:$A$1800,$A88,الريسبي!$B$2:$B$1800,L$1)</f>
        <v>0</v>
      </c>
      <c r="M88" s="117" t="n">
        <f aca="false">SUMIFS(الريسبي!$C$2:$C$1800,الريسبي!$A$2:$A$1800,$A88,الريسبي!$B$2:$B$1800,M$1)</f>
        <v>0</v>
      </c>
      <c r="N88" s="117" t="n">
        <f aca="false">SUMIFS(الريسبي!$C$2:$C$1800,الريسبي!$A$2:$A$1800,$A88,الريسبي!$B$2:$B$1800,N$1)</f>
        <v>0</v>
      </c>
      <c r="O88" s="117" t="n">
        <f aca="false">SUMIFS(الريسبي!$C$2:$C$1800,الريسبي!$A$2:$A$1800,$A88,الريسبي!$B$2:$B$1800,O$1)</f>
        <v>0</v>
      </c>
      <c r="P88" s="117" t="n">
        <f aca="false">SUMIFS(الريسبي!$C$2:$C$1800,الريسبي!$A$2:$A$1800,$A88,الريسبي!$B$2:$B$1800,P$1)</f>
        <v>0</v>
      </c>
      <c r="Q88" s="117" t="n">
        <f aca="false">SUMIFS(الريسبي!$C$2:$C$1800,الريسبي!$A$2:$A$1800,$A88,الريسبي!$B$2:$B$1800,Q$1)</f>
        <v>0</v>
      </c>
      <c r="R88" s="117" t="n">
        <f aca="false">SUMIFS(الريسبي!$C$2:$C$1800,الريسبي!$A$2:$A$1800,$A88,الريسبي!$B$2:$B$1800,R$1)</f>
        <v>0</v>
      </c>
      <c r="S88" s="117" t="n">
        <f aca="false">SUMIFS(الريسبي!$C$2:$C$1800,الريسبي!$A$2:$A$1800,$A88,الريسبي!$B$2:$B$1800,S$1)</f>
        <v>0</v>
      </c>
      <c r="T88" s="117" t="n">
        <f aca="false">SUMIFS(الريسبي!$C$2:$C$1800,الريسبي!$A$2:$A$1800,$A88,الريسبي!$B$2:$B$1800,T$1)</f>
        <v>0</v>
      </c>
      <c r="U88" s="117" t="n">
        <f aca="false">SUMIFS(الريسبي!$C$2:$C$1800,الريسبي!$A$2:$A$1800,$A88,الريسبي!$B$2:$B$1800,U$1)</f>
        <v>0</v>
      </c>
      <c r="V88" s="117" t="n">
        <f aca="false">SUMIFS(الريسبي!$C$2:$C$1800,الريسبي!$A$2:$A$1800,$A88,الريسبي!$B$2:$B$1800,V$1)</f>
        <v>0</v>
      </c>
      <c r="W88" s="117" t="n">
        <f aca="false">SUMIFS(الريسبي!$C$2:$C$1800,الريسبي!$A$2:$A$1800,$A88,الريسبي!$B$2:$B$1800,W$1)</f>
        <v>0</v>
      </c>
      <c r="X88" s="117" t="n">
        <f aca="false">SUMIFS(الريسبي!$C$2:$C$1800,الريسبي!$A$2:$A$1800,$A88,الريسبي!$B$2:$B$1800,X$1)</f>
        <v>0</v>
      </c>
      <c r="Y88" s="117" t="n">
        <f aca="false">SUMIFS(الريسبي!$C$2:$C$1800,الريسبي!$A$2:$A$1800,$A88,الريسبي!$B$2:$B$1800,Y$1)</f>
        <v>1</v>
      </c>
      <c r="Z88" s="117" t="n">
        <f aca="false">SUMIFS(الريسبي!$C$2:$C$1800,الريسبي!$A$2:$A$1800,$A88,الريسبي!$B$2:$B$1800,Z$1)</f>
        <v>0</v>
      </c>
      <c r="AA88" s="117" t="n">
        <f aca="false">SUMIFS(الريسبي!$C$2:$C$1800,الريسبي!$A$2:$A$1800,$A88,الريسبي!$B$2:$B$1800,AA$1)</f>
        <v>0</v>
      </c>
      <c r="AB88" s="117" t="n">
        <f aca="false">SUMIFS(الريسبي!$C$2:$C$1800,الريسبي!$A$2:$A$1800,$A88,الريسبي!$B$2:$B$1800,AB$1)</f>
        <v>0</v>
      </c>
      <c r="AC88" s="117" t="n">
        <f aca="false">SUMIFS(الريسبي!$C$2:$C$1800,الريسبي!$A$2:$A$1800,$A88,الريسبي!$B$2:$B$1800,AC$1)</f>
        <v>0</v>
      </c>
      <c r="AD88" s="117" t="n">
        <f aca="false">SUMIFS(الريسبي!$C$2:$C$1800,الريسبي!$A$2:$A$1800,$A88,الريسبي!$B$2:$B$1800,AD$1)</f>
        <v>0</v>
      </c>
      <c r="AE88" s="117" t="n">
        <f aca="false">SUMIFS(الريسبي!$C$2:$C$1800,الريسبي!$A$2:$A$1800,$A88,الريسبي!$B$2:$B$1800,AE$1)</f>
        <v>0</v>
      </c>
      <c r="AF88" s="117" t="n">
        <f aca="false">SUMIFS(الريسبي!$C$2:$C$1800,الريسبي!$A$2:$A$1800,$A88,الريسبي!$B$2:$B$1800,AF$1)</f>
        <v>0</v>
      </c>
      <c r="AG88" s="117" t="n">
        <f aca="false">SUMIFS(الريسبي!$C$2:$C$1800,الريسبي!$A$2:$A$1800,$A88,الريسبي!$B$2:$B$1800,AG$1)</f>
        <v>0</v>
      </c>
      <c r="AH88" s="117" t="n">
        <f aca="false">SUMIFS(الريسبي!$C$2:$C$1800,الريسبي!$A$2:$A$1800,$A88,الريسبي!$B$2:$B$1800,AH$1)</f>
        <v>0</v>
      </c>
      <c r="AI88" s="117" t="n">
        <f aca="false">SUMIFS(الريسبي!$C$2:$C$1800,الريسبي!$A$2:$A$1800,$A88,الريسبي!$B$2:$B$1800,AI$1)</f>
        <v>0</v>
      </c>
      <c r="AJ88" s="117" t="n">
        <f aca="false">SUMIFS(الريسبي!$C$2:$C$1800,الريسبي!$A$2:$A$1800,$A88,الريسبي!$B$2:$B$1800,AJ$1)</f>
        <v>2</v>
      </c>
      <c r="AK88" s="117" t="n">
        <f aca="false">SUMIFS(الريسبي!$C$2:$C$1800,الريسبي!$A$2:$A$1800,$A88,الريسبي!$B$2:$B$1800,AK$1)</f>
        <v>0</v>
      </c>
      <c r="AL88" s="117" t="n">
        <f aca="false">SUMIFS(الريسبي!$C$2:$C$1800,الريسبي!$A$2:$A$1800,$A88,الريسبي!$B$2:$B$1800,AL$1)</f>
        <v>0</v>
      </c>
      <c r="AM88" s="117" t="n">
        <f aca="false">SUMIFS(الريسبي!$C$2:$C$1800,الريسبي!$A$2:$A$1800,$A88,الريسبي!$B$2:$B$1800,AM$1)+0.08333333333*SUMIFS(الريسبي!$C$2:$C$1800,الريسبي!$A$2:$A$1800,$A88,الريسبي!$B$2:$B$1800,"عجين كريب (مصنع بالمطعم)")+0.08333333333*SUMIFS(الريسبي!$C$2:$C$1800,الريسبي!$A$2:$A$1800,$A88,الريسبي!$B$2:$B$1800,"عجين كريب صيامي (بدون لبن)")</f>
        <v>0</v>
      </c>
      <c r="AN88" s="117" t="n">
        <f aca="false">SUMIFS(الريسبي!$C$2:$C$1800,الريسبي!$A$2:$A$1800,$A88,الريسبي!$B$2:$B$1800,AN$1)+0.004166666667*SUMIFS(الريسبي!$C$2:$C$1800,الريسبي!$A$2:$A$1800,$A88,الريسبي!$B$2:$B$1800,"عجين كريب (مصنع بالمطعم)")+0.004166666667*SUMIFS(الريسبي!$C$2:$C$1800,الريسبي!$A$2:$A$1800,$A88,الريسبي!$B$2:$B$1800,"عجين كريب صيامي (بدون لبن)")</f>
        <v>0</v>
      </c>
      <c r="AO88" s="117" t="n">
        <f aca="false">SUMIFS(الريسبي!$C$2:$C$1800,الريسبي!$A$2:$A$1800,$A88,الريسبي!$B$2:$B$1800,AO$1)</f>
        <v>0</v>
      </c>
      <c r="AP88" s="117" t="n">
        <f aca="false">SUMIFS(الريسبي!$C$2:$C$1800,الريسبي!$A$2:$A$1800,$A88,الريسبي!$B$2:$B$1800,AP$1)</f>
        <v>0.03</v>
      </c>
      <c r="AQ88" s="117" t="n">
        <f aca="false">SUMIFS(الريسبي!$C$2:$C$1800,الريسبي!$A$2:$A$1800,$A88,الريسبي!$B$2:$B$1800,AQ$1)+0.004166666667*SUMIFS(الريسبي!$C$2:$C$1800,الريسبي!$A$2:$A$1800,$A88,الريسبي!$B$2:$B$1800,"عجين كريب (مصنع بالمطعم)")+0.004166666667*SUMIFS(الريسبي!$C$2:$C$1800,الريسبي!$A$2:$A$1800,$A88,الريسبي!$B$2:$B$1800,"عجين كريب صيامي (بدون لبن)")</f>
        <v>0</v>
      </c>
      <c r="AR88" s="117" t="n">
        <f aca="false">SUMIFS(الريسبي!$C$2:$C$1800,الريسبي!$A$2:$A$1800,$A88,الريسبي!$B$2:$B$1800,AR$1)</f>
        <v>0</v>
      </c>
      <c r="AS88" s="117" t="n">
        <f aca="false">SUMIFS(الريسبي!$C$2:$C$1800,الريسبي!$A$2:$A$1800,$A88,الريسبي!$B$2:$B$1800,AS$1)</f>
        <v>0</v>
      </c>
      <c r="AT88" s="117" t="n">
        <f aca="false">SUMIFS(الريسبي!$C$2:$C$1800,الريسبي!$A$2:$A$1800,$A88,الريسبي!$B$2:$B$1800,AT$1)</f>
        <v>0</v>
      </c>
      <c r="AU88" s="117" t="n">
        <f aca="false">SUMIFS(الريسبي!$C$2:$C$1800,الريسبي!$A$2:$A$1800,$A88,الريسبي!$B$2:$B$1800,AU$1)</f>
        <v>0</v>
      </c>
      <c r="AV88" s="117" t="n">
        <f aca="false">SUMIFS(الريسبي!$C$2:$C$1800,الريسبي!$A$2:$A$1800,$A88,الريسبي!$B$2:$B$1800,AV$1)</f>
        <v>0</v>
      </c>
      <c r="AW88" s="117" t="n">
        <f aca="false">SUMIFS(الريسبي!$C$2:$C$1800,الريسبي!$A$2:$A$1800,$A88,الريسبي!$B$2:$B$1800,AW$1)</f>
        <v>0</v>
      </c>
      <c r="AX88" s="117" t="n">
        <f aca="false">SUMIFS(الريسبي!$C$2:$C$1800,الريسبي!$A$2:$A$1800,$A88,الريسبي!$B$2:$B$1800,AX$1)</f>
        <v>0.06</v>
      </c>
      <c r="AY88" s="117" t="n">
        <f aca="false">SUMIFS(الريسبي!$C$2:$C$1800,الريسبي!$A$2:$A$1800,$A88,الريسبي!$B$2:$B$1800,AY$1)</f>
        <v>0.15</v>
      </c>
      <c r="AZ88" s="117" t="n">
        <f aca="false">SUMIFS(الريسبي!$C$2:$C$1800,الريسبي!$A$2:$A$1800,$A88,الريسبي!$B$2:$B$1800,AZ$1)</f>
        <v>0</v>
      </c>
      <c r="BA88" s="117" t="n">
        <f aca="false">SUMIFS(الريسبي!$C$2:$C$1800,الريسبي!$A$2:$A$1800,$A88,الريسبي!$B$2:$B$1800,BA$1)</f>
        <v>0</v>
      </c>
      <c r="BB88" s="117" t="n">
        <f aca="false">SUMIFS(الريسبي!$C$2:$C$1800,الريسبي!$A$2:$A$1800,$A88,الريسبي!$B$2:$B$1800,BB$1)</f>
        <v>0</v>
      </c>
      <c r="BC88" s="117" t="n">
        <f aca="false">SUMIFS(الريسبي!$C$2:$C$1800,الريسبي!$A$2:$A$1800,$A88,الريسبي!$B$2:$B$1800,BC$1)</f>
        <v>0.045</v>
      </c>
      <c r="BD88" s="117" t="n">
        <f aca="false">SUMIFS(الريسبي!$C$2:$C$1800,الريسبي!$A$2:$A$1800,$A88,الريسبي!$B$2:$B$1800,BD$1)</f>
        <v>0.3</v>
      </c>
      <c r="BE88" s="117" t="n">
        <f aca="false">SUMIFS(الريسبي!$C$2:$C$1800,الريسبي!$A$2:$A$1800,$A88,الريسبي!$B$2:$B$1800,BE$1)</f>
        <v>0</v>
      </c>
      <c r="BF88" s="117" t="n">
        <f aca="false">SUMIFS(الريسبي!$C$2:$C$1800,الريسبي!$A$2:$A$1800,$A88,الريسبي!$B$2:$B$1800,BF$1)</f>
        <v>0</v>
      </c>
      <c r="BG88" s="117" t="n">
        <f aca="false">SUMIFS(الريسبي!$C$2:$C$1800,الريسبي!$A$2:$A$1800,$A88,الريسبي!$B$2:$B$1800,BG$1)</f>
        <v>1</v>
      </c>
      <c r="BH88" s="117" t="n">
        <f aca="false">SUMIFS(الريسبي!$C$2:$C$1800,الريسبي!$A$2:$A$1800,$A88,الريسبي!$B$2:$B$1800,BH$1)</f>
        <v>0</v>
      </c>
      <c r="BI88" s="117" t="n">
        <f aca="false">SUMIFS(الريسبي!$C$2:$C$1800,الريسبي!$A$2:$A$1800,$A88,الريسبي!$B$2:$B$1800,BI$1)</f>
        <v>0</v>
      </c>
      <c r="BJ88" s="117" t="n">
        <f aca="false">SUMIFS(الريسبي!$C$2:$C$1800,الريسبي!$A$2:$A$1800,$A88,الريسبي!$B$2:$B$1800,BJ$1)</f>
        <v>0</v>
      </c>
      <c r="BK88" s="117" t="n">
        <f aca="false">SUMIFS(الريسبي!$C$2:$C$1800,الريسبي!$A$2:$A$1800,$A88,الريسبي!$B$2:$B$1800,BK$1)</f>
        <v>0</v>
      </c>
      <c r="BL88" s="117" t="n">
        <f aca="false">SUMIFS(الريسبي!$C$2:$C$1800,الريسبي!$A$2:$A$1800,$A88,الريسبي!$B$2:$B$1800,BL$1)</f>
        <v>0</v>
      </c>
      <c r="BM88" s="117" t="n">
        <f aca="false">SUMIFS(الريسبي!$C$2:$C$1800,الريسبي!$A$2:$A$1800,$A88,الريسبي!$B$2:$B$1800,BM$1)</f>
        <v>0.21</v>
      </c>
      <c r="BN88" s="117" t="n">
        <f aca="false">SUMIFS(الريسبي!$C$2:$C$1800,الريسبي!$A$2:$A$1800,$A88,الريسبي!$B$2:$B$1800,BN$1)</f>
        <v>0.03</v>
      </c>
      <c r="BO88" s="117" t="n">
        <f aca="false">SUMIFS(الريسبي!$C$2:$C$1800,الريسبي!$A$2:$A$1800,$A88,الريسبي!$B$2:$B$1800,BO$1)</f>
        <v>0</v>
      </c>
      <c r="BP88" s="117" t="n">
        <f aca="false">SUMIFS(الريسبي!$C$2:$C$1800,الريسبي!$A$2:$A$1800,$A88,الريسبي!$B$2:$B$1800,BP$1)</f>
        <v>3</v>
      </c>
      <c r="BQ88" s="117" t="n">
        <f aca="false">SUMIFS(الريسبي!$C$2:$C$1800,الريسبي!$A$2:$A$1800,$A88,الريسبي!$B$2:$B$1800,BQ$1)+0.17*SUMIFS(الريسبي!$C$2:$C$1800,الريسبي!$A$2:$A$1800,$A88,الريسبي!$B$2:$B$1800,"كاسترد مصنع (خليط بودر + لبن)")+0.17*SUMIFS(الريسبي!$C$2:$C$1800,الريسبي!$A$2:$A$1800,$A88,الريسبي!$B$2:$B$1800,"كاسترد مصنع صيامي (بدون لبن)")</f>
        <v>0</v>
      </c>
      <c r="BR88" s="117" t="n">
        <f aca="false">SUMIFS(الريسبي!$C$2:$C$1800,الريسبي!$A$2:$A$1800,$A88,الريسبي!$B$2:$B$1800,BR$1)</f>
        <v>1</v>
      </c>
      <c r="BS88" s="117" t="n">
        <f aca="false">SUMIFS(الريسبي!$C$2:$C$1800,الريسبي!$A$2:$A$1800,$A88,الريسبي!$B$2:$B$1800,BS$1)</f>
        <v>0</v>
      </c>
      <c r="BT88" s="117" t="n">
        <f aca="false">SUMIFS(الريسبي!$C$2:$C$1800,الريسبي!$A$2:$A$1800,$A88,الريسبي!$B$2:$B$1800,BT$1)</f>
        <v>0</v>
      </c>
      <c r="BU88" s="117" t="n">
        <f aca="false">SUMIFS(الريسبي!$C$2:$C$1800,الريسبي!$A$2:$A$1800,$A88,الريسبي!$B$2:$B$1800,BU$1)+0.4*SUMIFS(الريسبي!$C$2:$C$1800,الريسبي!$A$2:$A$1800,$A88,الريسبي!$B$2:$B$1800,"كاسترد مصنع (خليط بودر + لبن)")+0.03333333333*SUMIFS(الريسبي!$C$2:$C$1800,الريسبي!$A$2:$A$1800,$A88,الريسبي!$B$2:$B$1800,"عجين كريب (مصنع بالمطعم)")</f>
        <v>0</v>
      </c>
      <c r="BV88" s="117" t="n">
        <f aca="false">SUMIFS(الريسبي!$C$2:$C$1800,الريسبي!$A$2:$A$1800,$A88,الريسبي!$B$2:$B$1800,BV$1)</f>
        <v>0</v>
      </c>
      <c r="BW88" s="117" t="n">
        <f aca="false">SUMIFS(الريسبي!$C$2:$C$1800,الريسبي!$A$2:$A$1800,$A88,الريسبي!$B$2:$B$1800,BW$1)</f>
        <v>0</v>
      </c>
      <c r="BX88" s="117" t="n">
        <f aca="false">SUMIFS(الريسبي!$C$2:$C$1800,الريسبي!$A$2:$A$1800,$A88,الريسبي!$B$2:$B$1800,BX$1)</f>
        <v>0</v>
      </c>
      <c r="BY88" s="117" t="n">
        <f aca="false">SUMIFS(الريسبي!$C$2:$C$1800,الريسبي!$A$2:$A$1800,$A88,الريسبي!$B$2:$B$1800,BY$1)</f>
        <v>0</v>
      </c>
      <c r="BZ88" s="117" t="n">
        <f aca="false">SUMIFS(الريسبي!$C$2:$C$1800,الريسبي!$A$2:$A$1800,$A88,الريسبي!$B$2:$B$1800,BZ$1)</f>
        <v>0</v>
      </c>
      <c r="CA88" s="117" t="n">
        <f aca="false">SUMIFS(الريسبي!$C$2:$C$1800,الريسبي!$A$2:$A$1800,$A88,الريسبي!$B$2:$B$1800,CA$1)</f>
        <v>1</v>
      </c>
      <c r="CB88" s="117" t="n">
        <f aca="false">SUMIFS(الريسبي!$C$2:$C$1800,الريسبي!$A$2:$A$1800,$A88,الريسبي!$B$2:$B$1800,CB$1)</f>
        <v>1</v>
      </c>
      <c r="CC88" s="117" t="n">
        <f aca="false">SUMIFS(الريسبي!$C$2:$C$1800,الريسبي!$A$2:$A$1800,$A88,الريسبي!$B$2:$B$1800,CC$1)</f>
        <v>0</v>
      </c>
      <c r="CD88" s="117" t="n">
        <f aca="false">SUMIFS(الريسبي!$C$2:$C$1800,الريسبي!$A$2:$A$1800,$A88,الريسبي!$B$2:$B$1800,CD$1)</f>
        <v>0</v>
      </c>
      <c r="CE88" s="117" t="n">
        <f aca="false">SUMIFS(الريسبي!$C$2:$C$1800,الريسبي!$A$2:$A$1800,$A88,الريسبي!$B$2:$B$1800,CE$1)</f>
        <v>0</v>
      </c>
      <c r="CF88" s="117" t="n">
        <f aca="false">SUMIFS(الريسبي!$C$2:$C$1800,الريسبي!$A$2:$A$1800,$A88,الريسبي!$B$2:$B$1800,CF$1)</f>
        <v>0</v>
      </c>
      <c r="CG88" s="117" t="n">
        <f aca="false">SUMIFS(الريسبي!$C$2:$C$1800,الريسبي!$A$2:$A$1800,$A88,الريسبي!$B$2:$B$1800,CG$1)</f>
        <v>0</v>
      </c>
      <c r="CH88" s="117" t="n">
        <f aca="false">SUMIFS(الريسبي!$C$2:$C$1800,الريسبي!$A$2:$A$1800,$A88,الريسبي!$B$2:$B$1800,CH$1)</f>
        <v>0</v>
      </c>
      <c r="CI88" s="117" t="n">
        <f aca="false">SUMIFS(الريسبي!$C$2:$C$1800,الريسبي!$A$2:$A$1800,$A88,الريسبي!$B$2:$B$1800,CI$1)</f>
        <v>0</v>
      </c>
      <c r="CJ88" s="117" t="n">
        <f aca="false">SUMIFS(الريسبي!$C$2:$C$1800,الريسبي!$A$2:$A$1800,$A88,الريسبي!$B$2:$B$1800,CJ$1)</f>
        <v>0</v>
      </c>
      <c r="CK88" s="117" t="n">
        <f aca="false">SUMIFS(الريسبي!$C$2:$C$1800,الريسبي!$A$2:$A$1800,$A88,الريسبي!$B$2:$B$1800,CK$1)</f>
        <v>0</v>
      </c>
      <c r="CL88" s="117" t="n">
        <f aca="false">SUMIFS(الريسبي!$C$2:$C$1800,الريسبي!$A$2:$A$1800,$A88,الريسبي!$B$2:$B$1800,CL$1)</f>
        <v>0</v>
      </c>
    </row>
    <row r="89" customFormat="false" ht="15" hidden="false" customHeight="false" outlineLevel="0" collapsed="false">
      <c r="A89" s="116" t="str">
        <f aca="false">المنيو!B89</f>
        <v>بيتزا جمبري صيامي وسط</v>
      </c>
      <c r="B89" s="117" t="n">
        <f aca="false">SUMIFS(الريسبي!$C$2:$C$1800,الريسبي!$A$2:$A$1800,$A89,الريسبي!$B$2:$B$1800,B$1)</f>
        <v>0</v>
      </c>
      <c r="C89" s="117" t="n">
        <f aca="false">SUMIFS(الريسبي!$C$2:$C$1800,الريسبي!$A$2:$A$1800,$A89,الريسبي!$B$2:$B$1800,C$1)</f>
        <v>0</v>
      </c>
      <c r="D89" s="117" t="n">
        <f aca="false">SUMIFS(الريسبي!$C$2:$C$1800,الريسبي!$A$2:$A$1800,$A89,الريسبي!$B$2:$B$1800,D$1)</f>
        <v>1</v>
      </c>
      <c r="E89" s="117" t="n">
        <f aca="false">SUMIFS(الريسبي!$C$2:$C$1800,الريسبي!$A$2:$A$1800,$A89,الريسبي!$B$2:$B$1800,E$1)</f>
        <v>0</v>
      </c>
      <c r="F89" s="117" t="n">
        <f aca="false">SUMIFS(الريسبي!$C$2:$C$1800,الريسبي!$A$2:$A$1800,$A89,الريسبي!$B$2:$B$1800,F$1)</f>
        <v>0</v>
      </c>
      <c r="G89" s="117" t="n">
        <f aca="false">SUMIFS(الريسبي!$C$2:$C$1800,الريسبي!$A$2:$A$1800,$A89,الريسبي!$B$2:$B$1800,G$1)</f>
        <v>0</v>
      </c>
      <c r="H89" s="117" t="n">
        <f aca="false">SUMIFS(الريسبي!$C$2:$C$1800,الريسبي!$A$2:$A$1800,$A89,الريسبي!$B$2:$B$1800,H$1)</f>
        <v>0</v>
      </c>
      <c r="I89" s="117" t="n">
        <f aca="false">SUMIFS(الريسبي!$C$2:$C$1800,الريسبي!$A$2:$A$1800,$A89,الريسبي!$B$2:$B$1800,I$1)</f>
        <v>0</v>
      </c>
      <c r="J89" s="117" t="n">
        <f aca="false">SUMIFS(الريسبي!$C$2:$C$1800,الريسبي!$A$2:$A$1800,$A89,الريسبي!$B$2:$B$1800,J$1)</f>
        <v>0</v>
      </c>
      <c r="K89" s="117" t="n">
        <f aca="false">SUMIFS(الريسبي!$C$2:$C$1800,الريسبي!$A$2:$A$1800,$A89,الريسبي!$B$2:$B$1800,K$1)</f>
        <v>1</v>
      </c>
      <c r="L89" s="117" t="n">
        <f aca="false">SUMIFS(الريسبي!$C$2:$C$1800,الريسبي!$A$2:$A$1800,$A89,الريسبي!$B$2:$B$1800,L$1)</f>
        <v>0</v>
      </c>
      <c r="M89" s="117" t="n">
        <f aca="false">SUMIFS(الريسبي!$C$2:$C$1800,الريسبي!$A$2:$A$1800,$A89,الريسبي!$B$2:$B$1800,M$1)</f>
        <v>0</v>
      </c>
      <c r="N89" s="117" t="n">
        <f aca="false">SUMIFS(الريسبي!$C$2:$C$1800,الريسبي!$A$2:$A$1800,$A89,الريسبي!$B$2:$B$1800,N$1)</f>
        <v>0</v>
      </c>
      <c r="O89" s="117" t="n">
        <f aca="false">SUMIFS(الريسبي!$C$2:$C$1800,الريسبي!$A$2:$A$1800,$A89,الريسبي!$B$2:$B$1800,O$1)</f>
        <v>0</v>
      </c>
      <c r="P89" s="117" t="n">
        <f aca="false">SUMIFS(الريسبي!$C$2:$C$1800,الريسبي!$A$2:$A$1800,$A89,الريسبي!$B$2:$B$1800,P$1)</f>
        <v>0</v>
      </c>
      <c r="Q89" s="117" t="n">
        <f aca="false">SUMIFS(الريسبي!$C$2:$C$1800,الريسبي!$A$2:$A$1800,$A89,الريسبي!$B$2:$B$1800,Q$1)</f>
        <v>0</v>
      </c>
      <c r="R89" s="117" t="n">
        <f aca="false">SUMIFS(الريسبي!$C$2:$C$1800,الريسبي!$A$2:$A$1800,$A89,الريسبي!$B$2:$B$1800,R$1)</f>
        <v>0</v>
      </c>
      <c r="S89" s="117" t="n">
        <f aca="false">SUMIFS(الريسبي!$C$2:$C$1800,الريسبي!$A$2:$A$1800,$A89,الريسبي!$B$2:$B$1800,S$1)</f>
        <v>0</v>
      </c>
      <c r="T89" s="117" t="n">
        <f aca="false">SUMIFS(الريسبي!$C$2:$C$1800,الريسبي!$A$2:$A$1800,$A89,الريسبي!$B$2:$B$1800,T$1)</f>
        <v>0</v>
      </c>
      <c r="U89" s="117" t="n">
        <f aca="false">SUMIFS(الريسبي!$C$2:$C$1800,الريسبي!$A$2:$A$1800,$A89,الريسبي!$B$2:$B$1800,U$1)</f>
        <v>0</v>
      </c>
      <c r="V89" s="117" t="n">
        <f aca="false">SUMIFS(الريسبي!$C$2:$C$1800,الريسبي!$A$2:$A$1800,$A89,الريسبي!$B$2:$B$1800,V$1)</f>
        <v>0</v>
      </c>
      <c r="W89" s="117" t="n">
        <f aca="false">SUMIFS(الريسبي!$C$2:$C$1800,الريسبي!$A$2:$A$1800,$A89,الريسبي!$B$2:$B$1800,W$1)</f>
        <v>0</v>
      </c>
      <c r="X89" s="117" t="n">
        <f aca="false">SUMIFS(الريسبي!$C$2:$C$1800,الريسبي!$A$2:$A$1800,$A89,الريسبي!$B$2:$B$1800,X$1)</f>
        <v>1</v>
      </c>
      <c r="Y89" s="117" t="n">
        <f aca="false">SUMIFS(الريسبي!$C$2:$C$1800,الريسبي!$A$2:$A$1800,$A89,الريسبي!$B$2:$B$1800,Y$1)</f>
        <v>0</v>
      </c>
      <c r="Z89" s="117" t="n">
        <f aca="false">SUMIFS(الريسبي!$C$2:$C$1800,الريسبي!$A$2:$A$1800,$A89,الريسبي!$B$2:$B$1800,Z$1)</f>
        <v>0</v>
      </c>
      <c r="AA89" s="117" t="n">
        <f aca="false">SUMIFS(الريسبي!$C$2:$C$1800,الريسبي!$A$2:$A$1800,$A89,الريسبي!$B$2:$B$1800,AA$1)</f>
        <v>0</v>
      </c>
      <c r="AB89" s="117" t="n">
        <f aca="false">SUMIFS(الريسبي!$C$2:$C$1800,الريسبي!$A$2:$A$1800,$A89,الريسبي!$B$2:$B$1800,AB$1)</f>
        <v>0</v>
      </c>
      <c r="AC89" s="117" t="n">
        <f aca="false">SUMIFS(الريسبي!$C$2:$C$1800,الريسبي!$A$2:$A$1800,$A89,الريسبي!$B$2:$B$1800,AC$1)</f>
        <v>0</v>
      </c>
      <c r="AD89" s="117" t="n">
        <f aca="false">SUMIFS(الريسبي!$C$2:$C$1800,الريسبي!$A$2:$A$1800,$A89,الريسبي!$B$2:$B$1800,AD$1)</f>
        <v>0</v>
      </c>
      <c r="AE89" s="117" t="n">
        <f aca="false">SUMIFS(الريسبي!$C$2:$C$1800,الريسبي!$A$2:$A$1800,$A89,الريسبي!$B$2:$B$1800,AE$1)</f>
        <v>0</v>
      </c>
      <c r="AF89" s="117" t="n">
        <f aca="false">SUMIFS(الريسبي!$C$2:$C$1800,الريسبي!$A$2:$A$1800,$A89,الريسبي!$B$2:$B$1800,AF$1)</f>
        <v>0</v>
      </c>
      <c r="AG89" s="117" t="n">
        <f aca="false">SUMIFS(الريسبي!$C$2:$C$1800,الريسبي!$A$2:$A$1800,$A89,الريسبي!$B$2:$B$1800,AG$1)</f>
        <v>0</v>
      </c>
      <c r="AH89" s="117" t="n">
        <f aca="false">SUMIFS(الريسبي!$C$2:$C$1800,الريسبي!$A$2:$A$1800,$A89,الريسبي!$B$2:$B$1800,AH$1)</f>
        <v>0</v>
      </c>
      <c r="AI89" s="117" t="n">
        <f aca="false">SUMIFS(الريسبي!$C$2:$C$1800,الريسبي!$A$2:$A$1800,$A89,الريسبي!$B$2:$B$1800,AI$1)</f>
        <v>0</v>
      </c>
      <c r="AJ89" s="117" t="n">
        <f aca="false">SUMIFS(الريسبي!$C$2:$C$1800,الريسبي!$A$2:$A$1800,$A89,الريسبي!$B$2:$B$1800,AJ$1)</f>
        <v>2</v>
      </c>
      <c r="AK89" s="117" t="n">
        <f aca="false">SUMIFS(الريسبي!$C$2:$C$1800,الريسبي!$A$2:$A$1800,$A89,الريسبي!$B$2:$B$1800,AK$1)</f>
        <v>0</v>
      </c>
      <c r="AL89" s="117" t="n">
        <f aca="false">SUMIFS(الريسبي!$C$2:$C$1800,الريسبي!$A$2:$A$1800,$A89,الريسبي!$B$2:$B$1800,AL$1)</f>
        <v>0</v>
      </c>
      <c r="AM89" s="117" t="n">
        <f aca="false">SUMIFS(الريسبي!$C$2:$C$1800,الريسبي!$A$2:$A$1800,$A89,الريسبي!$B$2:$B$1800,AM$1)+0.08333333333*SUMIFS(الريسبي!$C$2:$C$1800,الريسبي!$A$2:$A$1800,$A89,الريسبي!$B$2:$B$1800,"عجين كريب (مصنع بالمطعم)")+0.08333333333*SUMIFS(الريسبي!$C$2:$C$1800,الريسبي!$A$2:$A$1800,$A89,الريسبي!$B$2:$B$1800,"عجين كريب صيامي (بدون لبن)")</f>
        <v>0</v>
      </c>
      <c r="AN89" s="117" t="n">
        <f aca="false">SUMIFS(الريسبي!$C$2:$C$1800,الريسبي!$A$2:$A$1800,$A89,الريسبي!$B$2:$B$1800,AN$1)+0.004166666667*SUMIFS(الريسبي!$C$2:$C$1800,الريسبي!$A$2:$A$1800,$A89,الريسبي!$B$2:$B$1800,"عجين كريب (مصنع بالمطعم)")+0.004166666667*SUMIFS(الريسبي!$C$2:$C$1800,الريسبي!$A$2:$A$1800,$A89,الريسبي!$B$2:$B$1800,"عجين كريب صيامي (بدون لبن)")</f>
        <v>0</v>
      </c>
      <c r="AO89" s="117" t="n">
        <f aca="false">SUMIFS(الريسبي!$C$2:$C$1800,الريسبي!$A$2:$A$1800,$A89,الريسبي!$B$2:$B$1800,AO$1)</f>
        <v>0</v>
      </c>
      <c r="AP89" s="117" t="n">
        <f aca="false">SUMIFS(الريسبي!$C$2:$C$1800,الريسبي!$A$2:$A$1800,$A89,الريسبي!$B$2:$B$1800,AP$1)</f>
        <v>0.02</v>
      </c>
      <c r="AQ89" s="117" t="n">
        <f aca="false">SUMIFS(الريسبي!$C$2:$C$1800,الريسبي!$A$2:$A$1800,$A89,الريسبي!$B$2:$B$1800,AQ$1)+0.004166666667*SUMIFS(الريسبي!$C$2:$C$1800,الريسبي!$A$2:$A$1800,$A89,الريسبي!$B$2:$B$1800,"عجين كريب (مصنع بالمطعم)")+0.004166666667*SUMIFS(الريسبي!$C$2:$C$1800,الريسبي!$A$2:$A$1800,$A89,الريسبي!$B$2:$B$1800,"عجين كريب صيامي (بدون لبن)")</f>
        <v>0</v>
      </c>
      <c r="AR89" s="117" t="n">
        <f aca="false">SUMIFS(الريسبي!$C$2:$C$1800,الريسبي!$A$2:$A$1800,$A89,الريسبي!$B$2:$B$1800,AR$1)</f>
        <v>0</v>
      </c>
      <c r="AS89" s="117" t="n">
        <f aca="false">SUMIFS(الريسبي!$C$2:$C$1800,الريسبي!$A$2:$A$1800,$A89,الريسبي!$B$2:$B$1800,AS$1)</f>
        <v>0</v>
      </c>
      <c r="AT89" s="117" t="n">
        <f aca="false">SUMIFS(الريسبي!$C$2:$C$1800,الريسبي!$A$2:$A$1800,$A89,الريسبي!$B$2:$B$1800,AT$1)</f>
        <v>0</v>
      </c>
      <c r="AU89" s="117" t="n">
        <f aca="false">SUMIFS(الريسبي!$C$2:$C$1800,الريسبي!$A$2:$A$1800,$A89,الريسبي!$B$2:$B$1800,AU$1)</f>
        <v>0</v>
      </c>
      <c r="AV89" s="117" t="n">
        <f aca="false">SUMIFS(الريسبي!$C$2:$C$1800,الريسبي!$A$2:$A$1800,$A89,الريسبي!$B$2:$B$1800,AV$1)</f>
        <v>0</v>
      </c>
      <c r="AW89" s="117" t="n">
        <f aca="false">SUMIFS(الريسبي!$C$2:$C$1800,الريسبي!$A$2:$A$1800,$A89,الريسبي!$B$2:$B$1800,AW$1)</f>
        <v>0</v>
      </c>
      <c r="AX89" s="117" t="n">
        <f aca="false">SUMIFS(الريسبي!$C$2:$C$1800,الريسبي!$A$2:$A$1800,$A89,الريسبي!$B$2:$B$1800,AX$1)</f>
        <v>0.04</v>
      </c>
      <c r="AY89" s="117" t="n">
        <f aca="false">SUMIFS(الريسبي!$C$2:$C$1800,الريسبي!$A$2:$A$1800,$A89,الريسبي!$B$2:$B$1800,AY$1)</f>
        <v>0</v>
      </c>
      <c r="AZ89" s="117" t="n">
        <f aca="false">SUMIFS(الريسبي!$C$2:$C$1800,الريسبي!$A$2:$A$1800,$A89,الريسبي!$B$2:$B$1800,AZ$1)</f>
        <v>0</v>
      </c>
      <c r="BA89" s="117" t="n">
        <f aca="false">SUMIFS(الريسبي!$C$2:$C$1800,الريسبي!$A$2:$A$1800,$A89,الريسبي!$B$2:$B$1800,BA$1)</f>
        <v>0</v>
      </c>
      <c r="BB89" s="117" t="n">
        <f aca="false">SUMIFS(الريسبي!$C$2:$C$1800,الريسبي!$A$2:$A$1800,$A89,الريسبي!$B$2:$B$1800,BB$1)</f>
        <v>0</v>
      </c>
      <c r="BC89" s="117" t="n">
        <f aca="false">SUMIFS(الريسبي!$C$2:$C$1800,الريسبي!$A$2:$A$1800,$A89,الريسبي!$B$2:$B$1800,BC$1)</f>
        <v>0.03</v>
      </c>
      <c r="BD89" s="117" t="n">
        <f aca="false">SUMIFS(الريسبي!$C$2:$C$1800,الريسبي!$A$2:$A$1800,$A89,الريسبي!$B$2:$B$1800,BD$1)</f>
        <v>0.22</v>
      </c>
      <c r="BE89" s="117" t="n">
        <f aca="false">SUMIFS(الريسبي!$C$2:$C$1800,الريسبي!$A$2:$A$1800,$A89,الريسبي!$B$2:$B$1800,BE$1)</f>
        <v>0</v>
      </c>
      <c r="BF89" s="117" t="n">
        <f aca="false">SUMIFS(الريسبي!$C$2:$C$1800,الريسبي!$A$2:$A$1800,$A89,الريسبي!$B$2:$B$1800,BF$1)</f>
        <v>0</v>
      </c>
      <c r="BG89" s="117" t="n">
        <f aca="false">SUMIFS(الريسبي!$C$2:$C$1800,الريسبي!$A$2:$A$1800,$A89,الريسبي!$B$2:$B$1800,BG$1)</f>
        <v>0</v>
      </c>
      <c r="BH89" s="117" t="n">
        <f aca="false">SUMIFS(الريسبي!$C$2:$C$1800,الريسبي!$A$2:$A$1800,$A89,الريسبي!$B$2:$B$1800,BH$1)</f>
        <v>1</v>
      </c>
      <c r="BI89" s="117" t="n">
        <f aca="false">SUMIFS(الريسبي!$C$2:$C$1800,الريسبي!$A$2:$A$1800,$A89,الريسبي!$B$2:$B$1800,BI$1)</f>
        <v>0</v>
      </c>
      <c r="BJ89" s="117" t="n">
        <f aca="false">SUMIFS(الريسبي!$C$2:$C$1800,الريسبي!$A$2:$A$1800,$A89,الريسبي!$B$2:$B$1800,BJ$1)</f>
        <v>0</v>
      </c>
      <c r="BK89" s="117" t="n">
        <f aca="false">SUMIFS(الريسبي!$C$2:$C$1800,الريسبي!$A$2:$A$1800,$A89,الريسبي!$B$2:$B$1800,BK$1)</f>
        <v>0</v>
      </c>
      <c r="BL89" s="117" t="n">
        <f aca="false">SUMIFS(الريسبي!$C$2:$C$1800,الريسبي!$A$2:$A$1800,$A89,الريسبي!$B$2:$B$1800,BL$1)</f>
        <v>0</v>
      </c>
      <c r="BM89" s="117" t="n">
        <f aca="false">SUMIFS(الريسبي!$C$2:$C$1800,الريسبي!$A$2:$A$1800,$A89,الريسبي!$B$2:$B$1800,BM$1)</f>
        <v>0</v>
      </c>
      <c r="BN89" s="117" t="n">
        <f aca="false">SUMIFS(الريسبي!$C$2:$C$1800,الريسبي!$A$2:$A$1800,$A89,الريسبي!$B$2:$B$1800,BN$1)</f>
        <v>0.02</v>
      </c>
      <c r="BO89" s="117" t="n">
        <f aca="false">SUMIFS(الريسبي!$C$2:$C$1800,الريسبي!$A$2:$A$1800,$A89,الريسبي!$B$2:$B$1800,BO$1)</f>
        <v>0</v>
      </c>
      <c r="BP89" s="117" t="n">
        <f aca="false">SUMIFS(الريسبي!$C$2:$C$1800,الريسبي!$A$2:$A$1800,$A89,الريسبي!$B$2:$B$1800,BP$1)</f>
        <v>2</v>
      </c>
      <c r="BQ89" s="117" t="n">
        <f aca="false">SUMIFS(الريسبي!$C$2:$C$1800,الريسبي!$A$2:$A$1800,$A89,الريسبي!$B$2:$B$1800,BQ$1)+0.17*SUMIFS(الريسبي!$C$2:$C$1800,الريسبي!$A$2:$A$1800,$A89,الريسبي!$B$2:$B$1800,"كاسترد مصنع (خليط بودر + لبن)")+0.17*SUMIFS(الريسبي!$C$2:$C$1800,الريسبي!$A$2:$A$1800,$A89,الريسبي!$B$2:$B$1800,"كاسترد مصنع صيامي (بدون لبن)")</f>
        <v>0</v>
      </c>
      <c r="BR89" s="117" t="n">
        <f aca="false">SUMIFS(الريسبي!$C$2:$C$1800,الريسبي!$A$2:$A$1800,$A89,الريسبي!$B$2:$B$1800,BR$1)</f>
        <v>1</v>
      </c>
      <c r="BS89" s="117" t="n">
        <f aca="false">SUMIFS(الريسبي!$C$2:$C$1800,الريسبي!$A$2:$A$1800,$A89,الريسبي!$B$2:$B$1800,BS$1)</f>
        <v>0</v>
      </c>
      <c r="BT89" s="117" t="n">
        <f aca="false">SUMIFS(الريسبي!$C$2:$C$1800,الريسبي!$A$2:$A$1800,$A89,الريسبي!$B$2:$B$1800,BT$1)</f>
        <v>0</v>
      </c>
      <c r="BU89" s="117" t="n">
        <f aca="false">SUMIFS(الريسبي!$C$2:$C$1800,الريسبي!$A$2:$A$1800,$A89,الريسبي!$B$2:$B$1800,BU$1)+0.4*SUMIFS(الريسبي!$C$2:$C$1800,الريسبي!$A$2:$A$1800,$A89,الريسبي!$B$2:$B$1800,"كاسترد مصنع (خليط بودر + لبن)")+0.03333333333*SUMIFS(الريسبي!$C$2:$C$1800,الريسبي!$A$2:$A$1800,$A89,الريسبي!$B$2:$B$1800,"عجين كريب (مصنع بالمطعم)")</f>
        <v>0</v>
      </c>
      <c r="BV89" s="117" t="n">
        <f aca="false">SUMIFS(الريسبي!$C$2:$C$1800,الريسبي!$A$2:$A$1800,$A89,الريسبي!$B$2:$B$1800,BV$1)</f>
        <v>0</v>
      </c>
      <c r="BW89" s="117" t="n">
        <f aca="false">SUMIFS(الريسبي!$C$2:$C$1800,الريسبي!$A$2:$A$1800,$A89,الريسبي!$B$2:$B$1800,BW$1)</f>
        <v>0</v>
      </c>
      <c r="BX89" s="117" t="n">
        <f aca="false">SUMIFS(الريسبي!$C$2:$C$1800,الريسبي!$A$2:$A$1800,$A89,الريسبي!$B$2:$B$1800,BX$1)</f>
        <v>0</v>
      </c>
      <c r="BY89" s="117" t="n">
        <f aca="false">SUMIFS(الريسبي!$C$2:$C$1800,الريسبي!$A$2:$A$1800,$A89,الريسبي!$B$2:$B$1800,BY$1)</f>
        <v>0</v>
      </c>
      <c r="BZ89" s="117" t="n">
        <f aca="false">SUMIFS(الريسبي!$C$2:$C$1800,الريسبي!$A$2:$A$1800,$A89,الريسبي!$B$2:$B$1800,BZ$1)</f>
        <v>0</v>
      </c>
      <c r="CA89" s="117" t="n">
        <f aca="false">SUMIFS(الريسبي!$C$2:$C$1800,الريسبي!$A$2:$A$1800,$A89,الريسبي!$B$2:$B$1800,CA$1)</f>
        <v>1</v>
      </c>
      <c r="CB89" s="117" t="n">
        <f aca="false">SUMIFS(الريسبي!$C$2:$C$1800,الريسبي!$A$2:$A$1800,$A89,الريسبي!$B$2:$B$1800,CB$1)</f>
        <v>1</v>
      </c>
      <c r="CC89" s="117" t="n">
        <f aca="false">SUMIFS(الريسبي!$C$2:$C$1800,الريسبي!$A$2:$A$1800,$A89,الريسبي!$B$2:$B$1800,CC$1)</f>
        <v>0</v>
      </c>
      <c r="CD89" s="117" t="n">
        <f aca="false">SUMIFS(الريسبي!$C$2:$C$1800,الريسبي!$A$2:$A$1800,$A89,الريسبي!$B$2:$B$1800,CD$1)</f>
        <v>0</v>
      </c>
      <c r="CE89" s="117" t="n">
        <f aca="false">SUMIFS(الريسبي!$C$2:$C$1800,الريسبي!$A$2:$A$1800,$A89,الريسبي!$B$2:$B$1800,CE$1)</f>
        <v>0</v>
      </c>
      <c r="CF89" s="117" t="n">
        <f aca="false">SUMIFS(الريسبي!$C$2:$C$1800,الريسبي!$A$2:$A$1800,$A89,الريسبي!$B$2:$B$1800,CF$1)</f>
        <v>0</v>
      </c>
      <c r="CG89" s="117" t="n">
        <f aca="false">SUMIFS(الريسبي!$C$2:$C$1800,الريسبي!$A$2:$A$1800,$A89,الريسبي!$B$2:$B$1800,CG$1)</f>
        <v>0</v>
      </c>
      <c r="CH89" s="117" t="n">
        <f aca="false">SUMIFS(الريسبي!$C$2:$C$1800,الريسبي!$A$2:$A$1800,$A89,الريسبي!$B$2:$B$1800,CH$1)</f>
        <v>0</v>
      </c>
      <c r="CI89" s="117" t="n">
        <f aca="false">SUMIFS(الريسبي!$C$2:$C$1800,الريسبي!$A$2:$A$1800,$A89,الريسبي!$B$2:$B$1800,CI$1)</f>
        <v>0</v>
      </c>
      <c r="CJ89" s="117" t="n">
        <f aca="false">SUMIFS(الريسبي!$C$2:$C$1800,الريسبي!$A$2:$A$1800,$A89,الريسبي!$B$2:$B$1800,CJ$1)</f>
        <v>0</v>
      </c>
      <c r="CK89" s="117" t="n">
        <f aca="false">SUMIFS(الريسبي!$C$2:$C$1800,الريسبي!$A$2:$A$1800,$A89,الريسبي!$B$2:$B$1800,CK$1)</f>
        <v>0</v>
      </c>
      <c r="CL89" s="117" t="n">
        <f aca="false">SUMIFS(الريسبي!$C$2:$C$1800,الريسبي!$A$2:$A$1800,$A89,الريسبي!$B$2:$B$1800,CL$1)</f>
        <v>0</v>
      </c>
    </row>
    <row r="90" customFormat="false" ht="15" hidden="false" customHeight="false" outlineLevel="0" collapsed="false">
      <c r="A90" s="116" t="str">
        <f aca="false">المنيو!B90</f>
        <v>بيتزا جمبري صيامي مخصوص</v>
      </c>
      <c r="B90" s="117" t="n">
        <f aca="false">SUMIFS(الريسبي!$C$2:$C$1800,الريسبي!$A$2:$A$1800,$A90,الريسبي!$B$2:$B$1800,B$1)</f>
        <v>0</v>
      </c>
      <c r="C90" s="117" t="n">
        <f aca="false">SUMIFS(الريسبي!$C$2:$C$1800,الريسبي!$A$2:$A$1800,$A90,الريسبي!$B$2:$B$1800,C$1)</f>
        <v>0</v>
      </c>
      <c r="D90" s="117" t="n">
        <f aca="false">SUMIFS(الريسبي!$C$2:$C$1800,الريسبي!$A$2:$A$1800,$A90,الريسبي!$B$2:$B$1800,D$1)</f>
        <v>1</v>
      </c>
      <c r="E90" s="117" t="n">
        <f aca="false">SUMIFS(الريسبي!$C$2:$C$1800,الريسبي!$A$2:$A$1800,$A90,الريسبي!$B$2:$B$1800,E$1)</f>
        <v>0</v>
      </c>
      <c r="F90" s="117" t="n">
        <f aca="false">SUMIFS(الريسبي!$C$2:$C$1800,الريسبي!$A$2:$A$1800,$A90,الريسبي!$B$2:$B$1800,F$1)</f>
        <v>0</v>
      </c>
      <c r="G90" s="117" t="n">
        <f aca="false">SUMIFS(الريسبي!$C$2:$C$1800,الريسبي!$A$2:$A$1800,$A90,الريسبي!$B$2:$B$1800,G$1)</f>
        <v>0</v>
      </c>
      <c r="H90" s="117" t="n">
        <f aca="false">SUMIFS(الريسبي!$C$2:$C$1800,الريسبي!$A$2:$A$1800,$A90,الريسبي!$B$2:$B$1800,H$1)</f>
        <v>0</v>
      </c>
      <c r="I90" s="117" t="n">
        <f aca="false">SUMIFS(الريسبي!$C$2:$C$1800,الريسبي!$A$2:$A$1800,$A90,الريسبي!$B$2:$B$1800,I$1)</f>
        <v>0</v>
      </c>
      <c r="J90" s="117" t="n">
        <f aca="false">SUMIFS(الريسبي!$C$2:$C$1800,الريسبي!$A$2:$A$1800,$A90,الريسبي!$B$2:$B$1800,J$1)</f>
        <v>0</v>
      </c>
      <c r="K90" s="117" t="n">
        <f aca="false">SUMIFS(الريسبي!$C$2:$C$1800,الريسبي!$A$2:$A$1800,$A90,الريسبي!$B$2:$B$1800,K$1)</f>
        <v>1.5</v>
      </c>
      <c r="L90" s="117" t="n">
        <f aca="false">SUMIFS(الريسبي!$C$2:$C$1800,الريسبي!$A$2:$A$1800,$A90,الريسبي!$B$2:$B$1800,L$1)</f>
        <v>0</v>
      </c>
      <c r="M90" s="117" t="n">
        <f aca="false">SUMIFS(الريسبي!$C$2:$C$1800,الريسبي!$A$2:$A$1800,$A90,الريسبي!$B$2:$B$1800,M$1)</f>
        <v>0</v>
      </c>
      <c r="N90" s="117" t="n">
        <f aca="false">SUMIFS(الريسبي!$C$2:$C$1800,الريسبي!$A$2:$A$1800,$A90,الريسبي!$B$2:$B$1800,N$1)</f>
        <v>0</v>
      </c>
      <c r="O90" s="117" t="n">
        <f aca="false">SUMIFS(الريسبي!$C$2:$C$1800,الريسبي!$A$2:$A$1800,$A90,الريسبي!$B$2:$B$1800,O$1)</f>
        <v>0</v>
      </c>
      <c r="P90" s="117" t="n">
        <f aca="false">SUMIFS(الريسبي!$C$2:$C$1800,الريسبي!$A$2:$A$1800,$A90,الريسبي!$B$2:$B$1800,P$1)</f>
        <v>0</v>
      </c>
      <c r="Q90" s="117" t="n">
        <f aca="false">SUMIFS(الريسبي!$C$2:$C$1800,الريسبي!$A$2:$A$1800,$A90,الريسبي!$B$2:$B$1800,Q$1)</f>
        <v>0</v>
      </c>
      <c r="R90" s="117" t="n">
        <f aca="false">SUMIFS(الريسبي!$C$2:$C$1800,الريسبي!$A$2:$A$1800,$A90,الريسبي!$B$2:$B$1800,R$1)</f>
        <v>0</v>
      </c>
      <c r="S90" s="117" t="n">
        <f aca="false">SUMIFS(الريسبي!$C$2:$C$1800,الريسبي!$A$2:$A$1800,$A90,الريسبي!$B$2:$B$1800,S$1)</f>
        <v>0</v>
      </c>
      <c r="T90" s="117" t="n">
        <f aca="false">SUMIFS(الريسبي!$C$2:$C$1800,الريسبي!$A$2:$A$1800,$A90,الريسبي!$B$2:$B$1800,T$1)</f>
        <v>0</v>
      </c>
      <c r="U90" s="117" t="n">
        <f aca="false">SUMIFS(الريسبي!$C$2:$C$1800,الريسبي!$A$2:$A$1800,$A90,الريسبي!$B$2:$B$1800,U$1)</f>
        <v>0</v>
      </c>
      <c r="V90" s="117" t="n">
        <f aca="false">SUMIFS(الريسبي!$C$2:$C$1800,الريسبي!$A$2:$A$1800,$A90,الريسبي!$B$2:$B$1800,V$1)</f>
        <v>0</v>
      </c>
      <c r="W90" s="117" t="n">
        <f aca="false">SUMIFS(الريسبي!$C$2:$C$1800,الريسبي!$A$2:$A$1800,$A90,الريسبي!$B$2:$B$1800,W$1)</f>
        <v>0</v>
      </c>
      <c r="X90" s="117" t="n">
        <f aca="false">SUMIFS(الريسبي!$C$2:$C$1800,الريسبي!$A$2:$A$1800,$A90,الريسبي!$B$2:$B$1800,X$1)</f>
        <v>0</v>
      </c>
      <c r="Y90" s="117" t="n">
        <f aca="false">SUMIFS(الريسبي!$C$2:$C$1800,الريسبي!$A$2:$A$1800,$A90,الريسبي!$B$2:$B$1800,Y$1)</f>
        <v>1</v>
      </c>
      <c r="Z90" s="117" t="n">
        <f aca="false">SUMIFS(الريسبي!$C$2:$C$1800,الريسبي!$A$2:$A$1800,$A90,الريسبي!$B$2:$B$1800,Z$1)</f>
        <v>0</v>
      </c>
      <c r="AA90" s="117" t="n">
        <f aca="false">SUMIFS(الريسبي!$C$2:$C$1800,الريسبي!$A$2:$A$1800,$A90,الريسبي!$B$2:$B$1800,AA$1)</f>
        <v>0</v>
      </c>
      <c r="AB90" s="117" t="n">
        <f aca="false">SUMIFS(الريسبي!$C$2:$C$1800,الريسبي!$A$2:$A$1800,$A90,الريسبي!$B$2:$B$1800,AB$1)</f>
        <v>0</v>
      </c>
      <c r="AC90" s="117" t="n">
        <f aca="false">SUMIFS(الريسبي!$C$2:$C$1800,الريسبي!$A$2:$A$1800,$A90,الريسبي!$B$2:$B$1800,AC$1)</f>
        <v>0</v>
      </c>
      <c r="AD90" s="117" t="n">
        <f aca="false">SUMIFS(الريسبي!$C$2:$C$1800,الريسبي!$A$2:$A$1800,$A90,الريسبي!$B$2:$B$1800,AD$1)</f>
        <v>0</v>
      </c>
      <c r="AE90" s="117" t="n">
        <f aca="false">SUMIFS(الريسبي!$C$2:$C$1800,الريسبي!$A$2:$A$1800,$A90,الريسبي!$B$2:$B$1800,AE$1)</f>
        <v>0</v>
      </c>
      <c r="AF90" s="117" t="n">
        <f aca="false">SUMIFS(الريسبي!$C$2:$C$1800,الريسبي!$A$2:$A$1800,$A90,الريسبي!$B$2:$B$1800,AF$1)</f>
        <v>0</v>
      </c>
      <c r="AG90" s="117" t="n">
        <f aca="false">SUMIFS(الريسبي!$C$2:$C$1800,الريسبي!$A$2:$A$1800,$A90,الريسبي!$B$2:$B$1800,AG$1)</f>
        <v>0</v>
      </c>
      <c r="AH90" s="117" t="n">
        <f aca="false">SUMIFS(الريسبي!$C$2:$C$1800,الريسبي!$A$2:$A$1800,$A90,الريسبي!$B$2:$B$1800,AH$1)</f>
        <v>0</v>
      </c>
      <c r="AI90" s="117" t="n">
        <f aca="false">SUMIFS(الريسبي!$C$2:$C$1800,الريسبي!$A$2:$A$1800,$A90,الريسبي!$B$2:$B$1800,AI$1)</f>
        <v>0</v>
      </c>
      <c r="AJ90" s="117" t="n">
        <f aca="false">SUMIFS(الريسبي!$C$2:$C$1800,الريسبي!$A$2:$A$1800,$A90,الريسبي!$B$2:$B$1800,AJ$1)</f>
        <v>2</v>
      </c>
      <c r="AK90" s="117" t="n">
        <f aca="false">SUMIFS(الريسبي!$C$2:$C$1800,الريسبي!$A$2:$A$1800,$A90,الريسبي!$B$2:$B$1800,AK$1)</f>
        <v>0</v>
      </c>
      <c r="AL90" s="117" t="n">
        <f aca="false">SUMIFS(الريسبي!$C$2:$C$1800,الريسبي!$A$2:$A$1800,$A90,الريسبي!$B$2:$B$1800,AL$1)</f>
        <v>0</v>
      </c>
      <c r="AM90" s="117" t="n">
        <f aca="false">SUMIFS(الريسبي!$C$2:$C$1800,الريسبي!$A$2:$A$1800,$A90,الريسبي!$B$2:$B$1800,AM$1)+0.08333333333*SUMIFS(الريسبي!$C$2:$C$1800,الريسبي!$A$2:$A$1800,$A90,الريسبي!$B$2:$B$1800,"عجين كريب (مصنع بالمطعم)")+0.08333333333*SUMIFS(الريسبي!$C$2:$C$1800,الريسبي!$A$2:$A$1800,$A90,الريسبي!$B$2:$B$1800,"عجين كريب صيامي (بدون لبن)")</f>
        <v>0</v>
      </c>
      <c r="AN90" s="117" t="n">
        <f aca="false">SUMIFS(الريسبي!$C$2:$C$1800,الريسبي!$A$2:$A$1800,$A90,الريسبي!$B$2:$B$1800,AN$1)+0.004166666667*SUMIFS(الريسبي!$C$2:$C$1800,الريسبي!$A$2:$A$1800,$A90,الريسبي!$B$2:$B$1800,"عجين كريب (مصنع بالمطعم)")+0.004166666667*SUMIFS(الريسبي!$C$2:$C$1800,الريسبي!$A$2:$A$1800,$A90,الريسبي!$B$2:$B$1800,"عجين كريب صيامي (بدون لبن)")</f>
        <v>0</v>
      </c>
      <c r="AO90" s="117" t="n">
        <f aca="false">SUMIFS(الريسبي!$C$2:$C$1800,الريسبي!$A$2:$A$1800,$A90,الريسبي!$B$2:$B$1800,AO$1)</f>
        <v>0</v>
      </c>
      <c r="AP90" s="117" t="n">
        <f aca="false">SUMIFS(الريسبي!$C$2:$C$1800,الريسبي!$A$2:$A$1800,$A90,الريسبي!$B$2:$B$1800,AP$1)</f>
        <v>0.03</v>
      </c>
      <c r="AQ90" s="117" t="n">
        <f aca="false">SUMIFS(الريسبي!$C$2:$C$1800,الريسبي!$A$2:$A$1800,$A90,الريسبي!$B$2:$B$1800,AQ$1)+0.004166666667*SUMIFS(الريسبي!$C$2:$C$1800,الريسبي!$A$2:$A$1800,$A90,الريسبي!$B$2:$B$1800,"عجين كريب (مصنع بالمطعم)")+0.004166666667*SUMIFS(الريسبي!$C$2:$C$1800,الريسبي!$A$2:$A$1800,$A90,الريسبي!$B$2:$B$1800,"عجين كريب صيامي (بدون لبن)")</f>
        <v>0</v>
      </c>
      <c r="AR90" s="117" t="n">
        <f aca="false">SUMIFS(الريسبي!$C$2:$C$1800,الريسبي!$A$2:$A$1800,$A90,الريسبي!$B$2:$B$1800,AR$1)</f>
        <v>0</v>
      </c>
      <c r="AS90" s="117" t="n">
        <f aca="false">SUMIFS(الريسبي!$C$2:$C$1800,الريسبي!$A$2:$A$1800,$A90,الريسبي!$B$2:$B$1800,AS$1)</f>
        <v>0</v>
      </c>
      <c r="AT90" s="117" t="n">
        <f aca="false">SUMIFS(الريسبي!$C$2:$C$1800,الريسبي!$A$2:$A$1800,$A90,الريسبي!$B$2:$B$1800,AT$1)</f>
        <v>0</v>
      </c>
      <c r="AU90" s="117" t="n">
        <f aca="false">SUMIFS(الريسبي!$C$2:$C$1800,الريسبي!$A$2:$A$1800,$A90,الريسبي!$B$2:$B$1800,AU$1)</f>
        <v>0</v>
      </c>
      <c r="AV90" s="117" t="n">
        <f aca="false">SUMIFS(الريسبي!$C$2:$C$1800,الريسبي!$A$2:$A$1800,$A90,الريسبي!$B$2:$B$1800,AV$1)</f>
        <v>0</v>
      </c>
      <c r="AW90" s="117" t="n">
        <f aca="false">SUMIFS(الريسبي!$C$2:$C$1800,الريسبي!$A$2:$A$1800,$A90,الريسبي!$B$2:$B$1800,AW$1)</f>
        <v>0</v>
      </c>
      <c r="AX90" s="117" t="n">
        <f aca="false">SUMIFS(الريسبي!$C$2:$C$1800,الريسبي!$A$2:$A$1800,$A90,الريسبي!$B$2:$B$1800,AX$1)</f>
        <v>0.06</v>
      </c>
      <c r="AY90" s="117" t="n">
        <f aca="false">SUMIFS(الريسبي!$C$2:$C$1800,الريسبي!$A$2:$A$1800,$A90,الريسبي!$B$2:$B$1800,AY$1)</f>
        <v>0</v>
      </c>
      <c r="AZ90" s="117" t="n">
        <f aca="false">SUMIFS(الريسبي!$C$2:$C$1800,الريسبي!$A$2:$A$1800,$A90,الريسبي!$B$2:$B$1800,AZ$1)</f>
        <v>0</v>
      </c>
      <c r="BA90" s="117" t="n">
        <f aca="false">SUMIFS(الريسبي!$C$2:$C$1800,الريسبي!$A$2:$A$1800,$A90,الريسبي!$B$2:$B$1800,BA$1)</f>
        <v>0</v>
      </c>
      <c r="BB90" s="117" t="n">
        <f aca="false">SUMIFS(الريسبي!$C$2:$C$1800,الريسبي!$A$2:$A$1800,$A90,الريسبي!$B$2:$B$1800,BB$1)</f>
        <v>0</v>
      </c>
      <c r="BC90" s="117" t="n">
        <f aca="false">SUMIFS(الريسبي!$C$2:$C$1800,الريسبي!$A$2:$A$1800,$A90,الريسبي!$B$2:$B$1800,BC$1)</f>
        <v>0.045</v>
      </c>
      <c r="BD90" s="117" t="n">
        <f aca="false">SUMIFS(الريسبي!$C$2:$C$1800,الريسبي!$A$2:$A$1800,$A90,الريسبي!$B$2:$B$1800,BD$1)</f>
        <v>0.3</v>
      </c>
      <c r="BE90" s="117" t="n">
        <f aca="false">SUMIFS(الريسبي!$C$2:$C$1800,الريسبي!$A$2:$A$1800,$A90,الريسبي!$B$2:$B$1800,BE$1)</f>
        <v>0</v>
      </c>
      <c r="BF90" s="117" t="n">
        <f aca="false">SUMIFS(الريسبي!$C$2:$C$1800,الريسبي!$A$2:$A$1800,$A90,الريسبي!$B$2:$B$1800,BF$1)</f>
        <v>0</v>
      </c>
      <c r="BG90" s="117" t="n">
        <f aca="false">SUMIFS(الريسبي!$C$2:$C$1800,الريسبي!$A$2:$A$1800,$A90,الريسبي!$B$2:$B$1800,BG$1)</f>
        <v>1</v>
      </c>
      <c r="BH90" s="117" t="n">
        <f aca="false">SUMIFS(الريسبي!$C$2:$C$1800,الريسبي!$A$2:$A$1800,$A90,الريسبي!$B$2:$B$1800,BH$1)</f>
        <v>0</v>
      </c>
      <c r="BI90" s="117" t="n">
        <f aca="false">SUMIFS(الريسبي!$C$2:$C$1800,الريسبي!$A$2:$A$1800,$A90,الريسبي!$B$2:$B$1800,BI$1)</f>
        <v>0</v>
      </c>
      <c r="BJ90" s="117" t="n">
        <f aca="false">SUMIFS(الريسبي!$C$2:$C$1800,الريسبي!$A$2:$A$1800,$A90,الريسبي!$B$2:$B$1800,BJ$1)</f>
        <v>0</v>
      </c>
      <c r="BK90" s="117" t="n">
        <f aca="false">SUMIFS(الريسبي!$C$2:$C$1800,الريسبي!$A$2:$A$1800,$A90,الريسبي!$B$2:$B$1800,BK$1)</f>
        <v>0</v>
      </c>
      <c r="BL90" s="117" t="n">
        <f aca="false">SUMIFS(الريسبي!$C$2:$C$1800,الريسبي!$A$2:$A$1800,$A90,الريسبي!$B$2:$B$1800,BL$1)</f>
        <v>0</v>
      </c>
      <c r="BM90" s="117" t="n">
        <f aca="false">SUMIFS(الريسبي!$C$2:$C$1800,الريسبي!$A$2:$A$1800,$A90,الريسبي!$B$2:$B$1800,BM$1)</f>
        <v>0</v>
      </c>
      <c r="BN90" s="117" t="n">
        <f aca="false">SUMIFS(الريسبي!$C$2:$C$1800,الريسبي!$A$2:$A$1800,$A90,الريسبي!$B$2:$B$1800,BN$1)</f>
        <v>0.03</v>
      </c>
      <c r="BO90" s="117" t="n">
        <f aca="false">SUMIFS(الريسبي!$C$2:$C$1800,الريسبي!$A$2:$A$1800,$A90,الريسبي!$B$2:$B$1800,BO$1)</f>
        <v>0</v>
      </c>
      <c r="BP90" s="117" t="n">
        <f aca="false">SUMIFS(الريسبي!$C$2:$C$1800,الريسبي!$A$2:$A$1800,$A90,الريسبي!$B$2:$B$1800,BP$1)</f>
        <v>3</v>
      </c>
      <c r="BQ90" s="117" t="n">
        <f aca="false">SUMIFS(الريسبي!$C$2:$C$1800,الريسبي!$A$2:$A$1800,$A90,الريسبي!$B$2:$B$1800,BQ$1)+0.17*SUMIFS(الريسبي!$C$2:$C$1800,الريسبي!$A$2:$A$1800,$A90,الريسبي!$B$2:$B$1800,"كاسترد مصنع (خليط بودر + لبن)")+0.17*SUMIFS(الريسبي!$C$2:$C$1800,الريسبي!$A$2:$A$1800,$A90,الريسبي!$B$2:$B$1800,"كاسترد مصنع صيامي (بدون لبن)")</f>
        <v>0</v>
      </c>
      <c r="BR90" s="117" t="n">
        <f aca="false">SUMIFS(الريسبي!$C$2:$C$1800,الريسبي!$A$2:$A$1800,$A90,الريسبي!$B$2:$B$1800,BR$1)</f>
        <v>1</v>
      </c>
      <c r="BS90" s="117" t="n">
        <f aca="false">SUMIFS(الريسبي!$C$2:$C$1800,الريسبي!$A$2:$A$1800,$A90,الريسبي!$B$2:$B$1800,BS$1)</f>
        <v>0</v>
      </c>
      <c r="BT90" s="117" t="n">
        <f aca="false">SUMIFS(الريسبي!$C$2:$C$1800,الريسبي!$A$2:$A$1800,$A90,الريسبي!$B$2:$B$1800,BT$1)</f>
        <v>0</v>
      </c>
      <c r="BU90" s="117" t="n">
        <f aca="false">SUMIFS(الريسبي!$C$2:$C$1800,الريسبي!$A$2:$A$1800,$A90,الريسبي!$B$2:$B$1800,BU$1)+0.4*SUMIFS(الريسبي!$C$2:$C$1800,الريسبي!$A$2:$A$1800,$A90,الريسبي!$B$2:$B$1800,"كاسترد مصنع (خليط بودر + لبن)")+0.03333333333*SUMIFS(الريسبي!$C$2:$C$1800,الريسبي!$A$2:$A$1800,$A90,الريسبي!$B$2:$B$1800,"عجين كريب (مصنع بالمطعم)")</f>
        <v>0</v>
      </c>
      <c r="BV90" s="117" t="n">
        <f aca="false">SUMIFS(الريسبي!$C$2:$C$1800,الريسبي!$A$2:$A$1800,$A90,الريسبي!$B$2:$B$1800,BV$1)</f>
        <v>0</v>
      </c>
      <c r="BW90" s="117" t="n">
        <f aca="false">SUMIFS(الريسبي!$C$2:$C$1800,الريسبي!$A$2:$A$1800,$A90,الريسبي!$B$2:$B$1800,BW$1)</f>
        <v>0</v>
      </c>
      <c r="BX90" s="117" t="n">
        <f aca="false">SUMIFS(الريسبي!$C$2:$C$1800,الريسبي!$A$2:$A$1800,$A90,الريسبي!$B$2:$B$1800,BX$1)</f>
        <v>0</v>
      </c>
      <c r="BY90" s="117" t="n">
        <f aca="false">SUMIFS(الريسبي!$C$2:$C$1800,الريسبي!$A$2:$A$1800,$A90,الريسبي!$B$2:$B$1800,BY$1)</f>
        <v>0</v>
      </c>
      <c r="BZ90" s="117" t="n">
        <f aca="false">SUMIFS(الريسبي!$C$2:$C$1800,الريسبي!$A$2:$A$1800,$A90,الريسبي!$B$2:$B$1800,BZ$1)</f>
        <v>0</v>
      </c>
      <c r="CA90" s="117" t="n">
        <f aca="false">SUMIFS(الريسبي!$C$2:$C$1800,الريسبي!$A$2:$A$1800,$A90,الريسبي!$B$2:$B$1800,CA$1)</f>
        <v>1</v>
      </c>
      <c r="CB90" s="117" t="n">
        <f aca="false">SUMIFS(الريسبي!$C$2:$C$1800,الريسبي!$A$2:$A$1800,$A90,الريسبي!$B$2:$B$1800,CB$1)</f>
        <v>1</v>
      </c>
      <c r="CC90" s="117" t="n">
        <f aca="false">SUMIFS(الريسبي!$C$2:$C$1800,الريسبي!$A$2:$A$1800,$A90,الريسبي!$B$2:$B$1800,CC$1)</f>
        <v>0</v>
      </c>
      <c r="CD90" s="117" t="n">
        <f aca="false">SUMIFS(الريسبي!$C$2:$C$1800,الريسبي!$A$2:$A$1800,$A90,الريسبي!$B$2:$B$1800,CD$1)</f>
        <v>0</v>
      </c>
      <c r="CE90" s="117" t="n">
        <f aca="false">SUMIFS(الريسبي!$C$2:$C$1800,الريسبي!$A$2:$A$1800,$A90,الريسبي!$B$2:$B$1800,CE$1)</f>
        <v>0</v>
      </c>
      <c r="CF90" s="117" t="n">
        <f aca="false">SUMIFS(الريسبي!$C$2:$C$1800,الريسبي!$A$2:$A$1800,$A90,الريسبي!$B$2:$B$1800,CF$1)</f>
        <v>0</v>
      </c>
      <c r="CG90" s="117" t="n">
        <f aca="false">SUMIFS(الريسبي!$C$2:$C$1800,الريسبي!$A$2:$A$1800,$A90,الريسبي!$B$2:$B$1800,CG$1)</f>
        <v>0</v>
      </c>
      <c r="CH90" s="117" t="n">
        <f aca="false">SUMIFS(الريسبي!$C$2:$C$1800,الريسبي!$A$2:$A$1800,$A90,الريسبي!$B$2:$B$1800,CH$1)</f>
        <v>0</v>
      </c>
      <c r="CI90" s="117" t="n">
        <f aca="false">SUMIFS(الريسبي!$C$2:$C$1800,الريسبي!$A$2:$A$1800,$A90,الريسبي!$B$2:$B$1800,CI$1)</f>
        <v>0</v>
      </c>
      <c r="CJ90" s="117" t="n">
        <f aca="false">SUMIFS(الريسبي!$C$2:$C$1800,الريسبي!$A$2:$A$1800,$A90,الريسبي!$B$2:$B$1800,CJ$1)</f>
        <v>0</v>
      </c>
      <c r="CK90" s="117" t="n">
        <f aca="false">SUMIFS(الريسبي!$C$2:$C$1800,الريسبي!$A$2:$A$1800,$A90,الريسبي!$B$2:$B$1800,CK$1)</f>
        <v>0</v>
      </c>
      <c r="CL90" s="117" t="n">
        <f aca="false">SUMIFS(الريسبي!$C$2:$C$1800,الريسبي!$A$2:$A$1800,$A90,الريسبي!$B$2:$B$1800,CL$1)</f>
        <v>0</v>
      </c>
    </row>
    <row r="91" customFormat="false" ht="15" hidden="false" customHeight="false" outlineLevel="0" collapsed="false">
      <c r="A91" s="116" t="str">
        <f aca="false">المنيو!B91</f>
        <v>بيتزا تونة صيامي وسط</v>
      </c>
      <c r="B91" s="117" t="n">
        <f aca="false">SUMIFS(الريسبي!$C$2:$C$1800,الريسبي!$A$2:$A$1800,$A91,الريسبي!$B$2:$B$1800,B$1)</f>
        <v>0</v>
      </c>
      <c r="C91" s="117" t="n">
        <f aca="false">SUMIFS(الريسبي!$C$2:$C$1800,الريسبي!$A$2:$A$1800,$A91,الريسبي!$B$2:$B$1800,C$1)</f>
        <v>0</v>
      </c>
      <c r="D91" s="117" t="n">
        <f aca="false">SUMIFS(الريسبي!$C$2:$C$1800,الريسبي!$A$2:$A$1800,$A91,الريسبي!$B$2:$B$1800,D$1)</f>
        <v>1</v>
      </c>
      <c r="E91" s="117" t="n">
        <f aca="false">SUMIFS(الريسبي!$C$2:$C$1800,الريسبي!$A$2:$A$1800,$A91,الريسبي!$B$2:$B$1800,E$1)</f>
        <v>0</v>
      </c>
      <c r="F91" s="117" t="n">
        <f aca="false">SUMIFS(الريسبي!$C$2:$C$1800,الريسبي!$A$2:$A$1800,$A91,الريسبي!$B$2:$B$1800,F$1)</f>
        <v>0</v>
      </c>
      <c r="G91" s="117" t="n">
        <f aca="false">SUMIFS(الريسبي!$C$2:$C$1800,الريسبي!$A$2:$A$1800,$A91,الريسبي!$B$2:$B$1800,G$1)</f>
        <v>0</v>
      </c>
      <c r="H91" s="117" t="n">
        <f aca="false">SUMIFS(الريسبي!$C$2:$C$1800,الريسبي!$A$2:$A$1800,$A91,الريسبي!$B$2:$B$1800,H$1)</f>
        <v>0</v>
      </c>
      <c r="I91" s="117" t="n">
        <f aca="false">SUMIFS(الريسبي!$C$2:$C$1800,الريسبي!$A$2:$A$1800,$A91,الريسبي!$B$2:$B$1800,I$1)</f>
        <v>0</v>
      </c>
      <c r="J91" s="117" t="n">
        <f aca="false">SUMIFS(الريسبي!$C$2:$C$1800,الريسبي!$A$2:$A$1800,$A91,الريسبي!$B$2:$B$1800,J$1)</f>
        <v>0</v>
      </c>
      <c r="K91" s="117" t="n">
        <f aca="false">SUMIFS(الريسبي!$C$2:$C$1800,الريسبي!$A$2:$A$1800,$A91,الريسبي!$B$2:$B$1800,K$1)</f>
        <v>0</v>
      </c>
      <c r="L91" s="117" t="n">
        <f aca="false">SUMIFS(الريسبي!$C$2:$C$1800,الريسبي!$A$2:$A$1800,$A91,الريسبي!$B$2:$B$1800,L$1)</f>
        <v>0</v>
      </c>
      <c r="M91" s="117" t="n">
        <f aca="false">SUMIFS(الريسبي!$C$2:$C$1800,الريسبي!$A$2:$A$1800,$A91,الريسبي!$B$2:$B$1800,M$1)</f>
        <v>0</v>
      </c>
      <c r="N91" s="117" t="n">
        <f aca="false">SUMIFS(الريسبي!$C$2:$C$1800,الريسبي!$A$2:$A$1800,$A91,الريسبي!$B$2:$B$1800,N$1)</f>
        <v>0</v>
      </c>
      <c r="O91" s="117" t="n">
        <f aca="false">SUMIFS(الريسبي!$C$2:$C$1800,الريسبي!$A$2:$A$1800,$A91,الريسبي!$B$2:$B$1800,O$1)</f>
        <v>0</v>
      </c>
      <c r="P91" s="117" t="n">
        <f aca="false">SUMIFS(الريسبي!$C$2:$C$1800,الريسبي!$A$2:$A$1800,$A91,الريسبي!$B$2:$B$1800,P$1)</f>
        <v>0</v>
      </c>
      <c r="Q91" s="117" t="n">
        <f aca="false">SUMIFS(الريسبي!$C$2:$C$1800,الريسبي!$A$2:$A$1800,$A91,الريسبي!$B$2:$B$1800,Q$1)</f>
        <v>0</v>
      </c>
      <c r="R91" s="117" t="n">
        <f aca="false">SUMIFS(الريسبي!$C$2:$C$1800,الريسبي!$A$2:$A$1800,$A91,الريسبي!$B$2:$B$1800,R$1)</f>
        <v>0</v>
      </c>
      <c r="S91" s="117" t="n">
        <f aca="false">SUMIFS(الريسبي!$C$2:$C$1800,الريسبي!$A$2:$A$1800,$A91,الريسبي!$B$2:$B$1800,S$1)</f>
        <v>0</v>
      </c>
      <c r="T91" s="117" t="n">
        <f aca="false">SUMIFS(الريسبي!$C$2:$C$1800,الريسبي!$A$2:$A$1800,$A91,الريسبي!$B$2:$B$1800,T$1)</f>
        <v>0</v>
      </c>
      <c r="U91" s="117" t="n">
        <f aca="false">SUMIFS(الريسبي!$C$2:$C$1800,الريسبي!$A$2:$A$1800,$A91,الريسبي!$B$2:$B$1800,U$1)</f>
        <v>0</v>
      </c>
      <c r="V91" s="117" t="n">
        <f aca="false">SUMIFS(الريسبي!$C$2:$C$1800,الريسبي!$A$2:$A$1800,$A91,الريسبي!$B$2:$B$1800,V$1)</f>
        <v>0</v>
      </c>
      <c r="W91" s="117" t="n">
        <f aca="false">SUMIFS(الريسبي!$C$2:$C$1800,الريسبي!$A$2:$A$1800,$A91,الريسبي!$B$2:$B$1800,W$1)</f>
        <v>0</v>
      </c>
      <c r="X91" s="117" t="n">
        <f aca="false">SUMIFS(الريسبي!$C$2:$C$1800,الريسبي!$A$2:$A$1800,$A91,الريسبي!$B$2:$B$1800,X$1)</f>
        <v>1</v>
      </c>
      <c r="Y91" s="117" t="n">
        <f aca="false">SUMIFS(الريسبي!$C$2:$C$1800,الريسبي!$A$2:$A$1800,$A91,الريسبي!$B$2:$B$1800,Y$1)</f>
        <v>0</v>
      </c>
      <c r="Z91" s="117" t="n">
        <f aca="false">SUMIFS(الريسبي!$C$2:$C$1800,الريسبي!$A$2:$A$1800,$A91,الريسبي!$B$2:$B$1800,Z$1)</f>
        <v>0</v>
      </c>
      <c r="AA91" s="117" t="n">
        <f aca="false">SUMIFS(الريسبي!$C$2:$C$1800,الريسبي!$A$2:$A$1800,$A91,الريسبي!$B$2:$B$1800,AA$1)</f>
        <v>0</v>
      </c>
      <c r="AB91" s="117" t="n">
        <f aca="false">SUMIFS(الريسبي!$C$2:$C$1800,الريسبي!$A$2:$A$1800,$A91,الريسبي!$B$2:$B$1800,AB$1)</f>
        <v>0</v>
      </c>
      <c r="AC91" s="117" t="n">
        <f aca="false">SUMIFS(الريسبي!$C$2:$C$1800,الريسبي!$A$2:$A$1800,$A91,الريسبي!$B$2:$B$1800,AC$1)</f>
        <v>0</v>
      </c>
      <c r="AD91" s="117" t="n">
        <f aca="false">SUMIFS(الريسبي!$C$2:$C$1800,الريسبي!$A$2:$A$1800,$A91,الريسبي!$B$2:$B$1800,AD$1)</f>
        <v>0</v>
      </c>
      <c r="AE91" s="117" t="n">
        <f aca="false">SUMIFS(الريسبي!$C$2:$C$1800,الريسبي!$A$2:$A$1800,$A91,الريسبي!$B$2:$B$1800,AE$1)</f>
        <v>0</v>
      </c>
      <c r="AF91" s="117" t="n">
        <f aca="false">SUMIFS(الريسبي!$C$2:$C$1800,الريسبي!$A$2:$A$1800,$A91,الريسبي!$B$2:$B$1800,AF$1)</f>
        <v>0</v>
      </c>
      <c r="AG91" s="117" t="n">
        <f aca="false">SUMIFS(الريسبي!$C$2:$C$1800,الريسبي!$A$2:$A$1800,$A91,الريسبي!$B$2:$B$1800,AG$1)</f>
        <v>0</v>
      </c>
      <c r="AH91" s="117" t="n">
        <f aca="false">SUMIFS(الريسبي!$C$2:$C$1800,الريسبي!$A$2:$A$1800,$A91,الريسبي!$B$2:$B$1800,AH$1)</f>
        <v>0</v>
      </c>
      <c r="AI91" s="117" t="n">
        <f aca="false">SUMIFS(الريسبي!$C$2:$C$1800,الريسبي!$A$2:$A$1800,$A91,الريسبي!$B$2:$B$1800,AI$1)</f>
        <v>0</v>
      </c>
      <c r="AJ91" s="117" t="n">
        <f aca="false">SUMIFS(الريسبي!$C$2:$C$1800,الريسبي!$A$2:$A$1800,$A91,الريسبي!$B$2:$B$1800,AJ$1)</f>
        <v>2</v>
      </c>
      <c r="AK91" s="117" t="n">
        <f aca="false">SUMIFS(الريسبي!$C$2:$C$1800,الريسبي!$A$2:$A$1800,$A91,الريسبي!$B$2:$B$1800,AK$1)</f>
        <v>0</v>
      </c>
      <c r="AL91" s="117" t="n">
        <f aca="false">SUMIFS(الريسبي!$C$2:$C$1800,الريسبي!$A$2:$A$1800,$A91,الريسبي!$B$2:$B$1800,AL$1)</f>
        <v>0</v>
      </c>
      <c r="AM91" s="117" t="n">
        <f aca="false">SUMIFS(الريسبي!$C$2:$C$1800,الريسبي!$A$2:$A$1800,$A91,الريسبي!$B$2:$B$1800,AM$1)+0.08333333333*SUMIFS(الريسبي!$C$2:$C$1800,الريسبي!$A$2:$A$1800,$A91,الريسبي!$B$2:$B$1800,"عجين كريب (مصنع بالمطعم)")+0.08333333333*SUMIFS(الريسبي!$C$2:$C$1800,الريسبي!$A$2:$A$1800,$A91,الريسبي!$B$2:$B$1800,"عجين كريب صيامي (بدون لبن)")</f>
        <v>0</v>
      </c>
      <c r="AN91" s="117" t="n">
        <f aca="false">SUMIFS(الريسبي!$C$2:$C$1800,الريسبي!$A$2:$A$1800,$A91,الريسبي!$B$2:$B$1800,AN$1)+0.004166666667*SUMIFS(الريسبي!$C$2:$C$1800,الريسبي!$A$2:$A$1800,$A91,الريسبي!$B$2:$B$1800,"عجين كريب (مصنع بالمطعم)")+0.004166666667*SUMIFS(الريسبي!$C$2:$C$1800,الريسبي!$A$2:$A$1800,$A91,الريسبي!$B$2:$B$1800,"عجين كريب صيامي (بدون لبن)")</f>
        <v>0</v>
      </c>
      <c r="AO91" s="117" t="n">
        <f aca="false">SUMIFS(الريسبي!$C$2:$C$1800,الريسبي!$A$2:$A$1800,$A91,الريسبي!$B$2:$B$1800,AO$1)</f>
        <v>0</v>
      </c>
      <c r="AP91" s="117" t="n">
        <f aca="false">SUMIFS(الريسبي!$C$2:$C$1800,الريسبي!$A$2:$A$1800,$A91,الريسبي!$B$2:$B$1800,AP$1)</f>
        <v>0.02</v>
      </c>
      <c r="AQ91" s="117" t="n">
        <f aca="false">SUMIFS(الريسبي!$C$2:$C$1800,الريسبي!$A$2:$A$1800,$A91,الريسبي!$B$2:$B$1800,AQ$1)+0.004166666667*SUMIFS(الريسبي!$C$2:$C$1800,الريسبي!$A$2:$A$1800,$A91,الريسبي!$B$2:$B$1800,"عجين كريب (مصنع بالمطعم)")+0.004166666667*SUMIFS(الريسبي!$C$2:$C$1800,الريسبي!$A$2:$A$1800,$A91,الريسبي!$B$2:$B$1800,"عجين كريب صيامي (بدون لبن)")</f>
        <v>0</v>
      </c>
      <c r="AR91" s="117" t="n">
        <f aca="false">SUMIFS(الريسبي!$C$2:$C$1800,الريسبي!$A$2:$A$1800,$A91,الريسبي!$B$2:$B$1800,AR$1)</f>
        <v>0</v>
      </c>
      <c r="AS91" s="117" t="n">
        <f aca="false">SUMIFS(الريسبي!$C$2:$C$1800,الريسبي!$A$2:$A$1800,$A91,الريسبي!$B$2:$B$1800,AS$1)</f>
        <v>0</v>
      </c>
      <c r="AT91" s="117" t="n">
        <f aca="false">SUMIFS(الريسبي!$C$2:$C$1800,الريسبي!$A$2:$A$1800,$A91,الريسبي!$B$2:$B$1800,AT$1)</f>
        <v>0</v>
      </c>
      <c r="AU91" s="117" t="n">
        <f aca="false">SUMIFS(الريسبي!$C$2:$C$1800,الريسبي!$A$2:$A$1800,$A91,الريسبي!$B$2:$B$1800,AU$1)</f>
        <v>0</v>
      </c>
      <c r="AV91" s="117" t="n">
        <f aca="false">SUMIFS(الريسبي!$C$2:$C$1800,الريسبي!$A$2:$A$1800,$A91,الريسبي!$B$2:$B$1800,AV$1)</f>
        <v>0</v>
      </c>
      <c r="AW91" s="117" t="n">
        <f aca="false">SUMIFS(الريسبي!$C$2:$C$1800,الريسبي!$A$2:$A$1800,$A91,الريسبي!$B$2:$B$1800,AW$1)</f>
        <v>0</v>
      </c>
      <c r="AX91" s="117" t="n">
        <f aca="false">SUMIFS(الريسبي!$C$2:$C$1800,الريسبي!$A$2:$A$1800,$A91,الريسبي!$B$2:$B$1800,AX$1)</f>
        <v>0.04</v>
      </c>
      <c r="AY91" s="117" t="n">
        <f aca="false">SUMIFS(الريسبي!$C$2:$C$1800,الريسبي!$A$2:$A$1800,$A91,الريسبي!$B$2:$B$1800,AY$1)</f>
        <v>0</v>
      </c>
      <c r="AZ91" s="117" t="n">
        <f aca="false">SUMIFS(الريسبي!$C$2:$C$1800,الريسبي!$A$2:$A$1800,$A91,الريسبي!$B$2:$B$1800,AZ$1)</f>
        <v>0</v>
      </c>
      <c r="BA91" s="117" t="n">
        <f aca="false">SUMIFS(الريسبي!$C$2:$C$1800,الريسبي!$A$2:$A$1800,$A91,الريسبي!$B$2:$B$1800,BA$1)</f>
        <v>0</v>
      </c>
      <c r="BB91" s="117" t="n">
        <f aca="false">SUMIFS(الريسبي!$C$2:$C$1800,الريسبي!$A$2:$A$1800,$A91,الريسبي!$B$2:$B$1800,BB$1)</f>
        <v>0</v>
      </c>
      <c r="BC91" s="117" t="n">
        <f aca="false">SUMIFS(الريسبي!$C$2:$C$1800,الريسبي!$A$2:$A$1800,$A91,الريسبي!$B$2:$B$1800,BC$1)</f>
        <v>0.03</v>
      </c>
      <c r="BD91" s="117" t="n">
        <f aca="false">SUMIFS(الريسبي!$C$2:$C$1800,الريسبي!$A$2:$A$1800,$A91,الريسبي!$B$2:$B$1800,BD$1)</f>
        <v>0.22</v>
      </c>
      <c r="BE91" s="117" t="n">
        <f aca="false">SUMIFS(الريسبي!$C$2:$C$1800,الريسبي!$A$2:$A$1800,$A91,الريسبي!$B$2:$B$1800,BE$1)</f>
        <v>0</v>
      </c>
      <c r="BF91" s="117" t="n">
        <f aca="false">SUMIFS(الريسبي!$C$2:$C$1800,الريسبي!$A$2:$A$1800,$A91,الريسبي!$B$2:$B$1800,BF$1)</f>
        <v>0</v>
      </c>
      <c r="BG91" s="117" t="n">
        <f aca="false">SUMIFS(الريسبي!$C$2:$C$1800,الريسبي!$A$2:$A$1800,$A91,الريسبي!$B$2:$B$1800,BG$1)</f>
        <v>0</v>
      </c>
      <c r="BH91" s="117" t="n">
        <f aca="false">SUMIFS(الريسبي!$C$2:$C$1800,الريسبي!$A$2:$A$1800,$A91,الريسبي!$B$2:$B$1800,BH$1)</f>
        <v>1</v>
      </c>
      <c r="BI91" s="117" t="n">
        <f aca="false">SUMIFS(الريسبي!$C$2:$C$1800,الريسبي!$A$2:$A$1800,$A91,الريسبي!$B$2:$B$1800,BI$1)</f>
        <v>0</v>
      </c>
      <c r="BJ91" s="117" t="n">
        <f aca="false">SUMIFS(الريسبي!$C$2:$C$1800,الريسبي!$A$2:$A$1800,$A91,الريسبي!$B$2:$B$1800,BJ$1)</f>
        <v>0</v>
      </c>
      <c r="BK91" s="117" t="n">
        <f aca="false">SUMIFS(الريسبي!$C$2:$C$1800,الريسبي!$A$2:$A$1800,$A91,الريسبي!$B$2:$B$1800,BK$1)</f>
        <v>0</v>
      </c>
      <c r="BL91" s="117" t="n">
        <f aca="false">SUMIFS(الريسبي!$C$2:$C$1800,الريسبي!$A$2:$A$1800,$A91,الريسبي!$B$2:$B$1800,BL$1)</f>
        <v>1</v>
      </c>
      <c r="BM91" s="117" t="n">
        <f aca="false">SUMIFS(الريسبي!$C$2:$C$1800,الريسبي!$A$2:$A$1800,$A91,الريسبي!$B$2:$B$1800,BM$1)</f>
        <v>0</v>
      </c>
      <c r="BN91" s="117" t="n">
        <f aca="false">SUMIFS(الريسبي!$C$2:$C$1800,الريسبي!$A$2:$A$1800,$A91,الريسبي!$B$2:$B$1800,BN$1)</f>
        <v>0.02</v>
      </c>
      <c r="BO91" s="117" t="n">
        <f aca="false">SUMIFS(الريسبي!$C$2:$C$1800,الريسبي!$A$2:$A$1800,$A91,الريسبي!$B$2:$B$1800,BO$1)</f>
        <v>0</v>
      </c>
      <c r="BP91" s="117" t="n">
        <f aca="false">SUMIFS(الريسبي!$C$2:$C$1800,الريسبي!$A$2:$A$1800,$A91,الريسبي!$B$2:$B$1800,BP$1)</f>
        <v>2</v>
      </c>
      <c r="BQ91" s="117" t="n">
        <f aca="false">SUMIFS(الريسبي!$C$2:$C$1800,الريسبي!$A$2:$A$1800,$A91,الريسبي!$B$2:$B$1800,BQ$1)+0.17*SUMIFS(الريسبي!$C$2:$C$1800,الريسبي!$A$2:$A$1800,$A91,الريسبي!$B$2:$B$1800,"كاسترد مصنع (خليط بودر + لبن)")+0.17*SUMIFS(الريسبي!$C$2:$C$1800,الريسبي!$A$2:$A$1800,$A91,الريسبي!$B$2:$B$1800,"كاسترد مصنع صيامي (بدون لبن)")</f>
        <v>0</v>
      </c>
      <c r="BR91" s="117" t="n">
        <f aca="false">SUMIFS(الريسبي!$C$2:$C$1800,الريسبي!$A$2:$A$1800,$A91,الريسبي!$B$2:$B$1800,BR$1)</f>
        <v>1</v>
      </c>
      <c r="BS91" s="117" t="n">
        <f aca="false">SUMIFS(الريسبي!$C$2:$C$1800,الريسبي!$A$2:$A$1800,$A91,الريسبي!$B$2:$B$1800,BS$1)</f>
        <v>0</v>
      </c>
      <c r="BT91" s="117" t="n">
        <f aca="false">SUMIFS(الريسبي!$C$2:$C$1800,الريسبي!$A$2:$A$1800,$A91,الريسبي!$B$2:$B$1800,BT$1)</f>
        <v>0</v>
      </c>
      <c r="BU91" s="117" t="n">
        <f aca="false">SUMIFS(الريسبي!$C$2:$C$1800,الريسبي!$A$2:$A$1800,$A91,الريسبي!$B$2:$B$1800,BU$1)+0.4*SUMIFS(الريسبي!$C$2:$C$1800,الريسبي!$A$2:$A$1800,$A91,الريسبي!$B$2:$B$1800,"كاسترد مصنع (خليط بودر + لبن)")+0.03333333333*SUMIFS(الريسبي!$C$2:$C$1800,الريسبي!$A$2:$A$1800,$A91,الريسبي!$B$2:$B$1800,"عجين كريب (مصنع بالمطعم)")</f>
        <v>0</v>
      </c>
      <c r="BV91" s="117" t="n">
        <f aca="false">SUMIFS(الريسبي!$C$2:$C$1800,الريسبي!$A$2:$A$1800,$A91,الريسبي!$B$2:$B$1800,BV$1)</f>
        <v>0</v>
      </c>
      <c r="BW91" s="117" t="n">
        <f aca="false">SUMIFS(الريسبي!$C$2:$C$1800,الريسبي!$A$2:$A$1800,$A91,الريسبي!$B$2:$B$1800,BW$1)</f>
        <v>0</v>
      </c>
      <c r="BX91" s="117" t="n">
        <f aca="false">SUMIFS(الريسبي!$C$2:$C$1800,الريسبي!$A$2:$A$1800,$A91,الريسبي!$B$2:$B$1800,BX$1)</f>
        <v>0</v>
      </c>
      <c r="BY91" s="117" t="n">
        <f aca="false">SUMIFS(الريسبي!$C$2:$C$1800,الريسبي!$A$2:$A$1800,$A91,الريسبي!$B$2:$B$1800,BY$1)</f>
        <v>0</v>
      </c>
      <c r="BZ91" s="117" t="n">
        <f aca="false">SUMIFS(الريسبي!$C$2:$C$1800,الريسبي!$A$2:$A$1800,$A91,الريسبي!$B$2:$B$1800,BZ$1)</f>
        <v>0</v>
      </c>
      <c r="CA91" s="117" t="n">
        <f aca="false">SUMIFS(الريسبي!$C$2:$C$1800,الريسبي!$A$2:$A$1800,$A91,الريسبي!$B$2:$B$1800,CA$1)</f>
        <v>1</v>
      </c>
      <c r="CB91" s="117" t="n">
        <f aca="false">SUMIFS(الريسبي!$C$2:$C$1800,الريسبي!$A$2:$A$1800,$A91,الريسبي!$B$2:$B$1800,CB$1)</f>
        <v>1</v>
      </c>
      <c r="CC91" s="117" t="n">
        <f aca="false">SUMIFS(الريسبي!$C$2:$C$1800,الريسبي!$A$2:$A$1800,$A91,الريسبي!$B$2:$B$1800,CC$1)</f>
        <v>0</v>
      </c>
      <c r="CD91" s="117" t="n">
        <f aca="false">SUMIFS(الريسبي!$C$2:$C$1800,الريسبي!$A$2:$A$1800,$A91,الريسبي!$B$2:$B$1800,CD$1)</f>
        <v>0</v>
      </c>
      <c r="CE91" s="117" t="n">
        <f aca="false">SUMIFS(الريسبي!$C$2:$C$1800,الريسبي!$A$2:$A$1800,$A91,الريسبي!$B$2:$B$1800,CE$1)</f>
        <v>0</v>
      </c>
      <c r="CF91" s="117" t="n">
        <f aca="false">SUMIFS(الريسبي!$C$2:$C$1800,الريسبي!$A$2:$A$1800,$A91,الريسبي!$B$2:$B$1800,CF$1)</f>
        <v>0</v>
      </c>
      <c r="CG91" s="117" t="n">
        <f aca="false">SUMIFS(الريسبي!$C$2:$C$1800,الريسبي!$A$2:$A$1800,$A91,الريسبي!$B$2:$B$1800,CG$1)</f>
        <v>0</v>
      </c>
      <c r="CH91" s="117" t="n">
        <f aca="false">SUMIFS(الريسبي!$C$2:$C$1800,الريسبي!$A$2:$A$1800,$A91,الريسبي!$B$2:$B$1800,CH$1)</f>
        <v>0</v>
      </c>
      <c r="CI91" s="117" t="n">
        <f aca="false">SUMIFS(الريسبي!$C$2:$C$1800,الريسبي!$A$2:$A$1800,$A91,الريسبي!$B$2:$B$1800,CI$1)</f>
        <v>0</v>
      </c>
      <c r="CJ91" s="117" t="n">
        <f aca="false">SUMIFS(الريسبي!$C$2:$C$1800,الريسبي!$A$2:$A$1800,$A91,الريسبي!$B$2:$B$1800,CJ$1)</f>
        <v>0</v>
      </c>
      <c r="CK91" s="117" t="n">
        <f aca="false">SUMIFS(الريسبي!$C$2:$C$1800,الريسبي!$A$2:$A$1800,$A91,الريسبي!$B$2:$B$1800,CK$1)</f>
        <v>0</v>
      </c>
      <c r="CL91" s="117" t="n">
        <f aca="false">SUMIFS(الريسبي!$C$2:$C$1800,الريسبي!$A$2:$A$1800,$A91,الريسبي!$B$2:$B$1800,CL$1)</f>
        <v>0</v>
      </c>
    </row>
    <row r="92" customFormat="false" ht="15" hidden="false" customHeight="false" outlineLevel="0" collapsed="false">
      <c r="A92" s="116" t="str">
        <f aca="false">المنيو!B92</f>
        <v>بيتزا تونة صيامي مخصوص</v>
      </c>
      <c r="B92" s="117" t="n">
        <f aca="false">SUMIFS(الريسبي!$C$2:$C$1800,الريسبي!$A$2:$A$1800,$A92,الريسبي!$B$2:$B$1800,B$1)</f>
        <v>0</v>
      </c>
      <c r="C92" s="117" t="n">
        <f aca="false">SUMIFS(الريسبي!$C$2:$C$1800,الريسبي!$A$2:$A$1800,$A92,الريسبي!$B$2:$B$1800,C$1)</f>
        <v>0</v>
      </c>
      <c r="D92" s="117" t="n">
        <f aca="false">SUMIFS(الريسبي!$C$2:$C$1800,الريسبي!$A$2:$A$1800,$A92,الريسبي!$B$2:$B$1800,D$1)</f>
        <v>1</v>
      </c>
      <c r="E92" s="117" t="n">
        <f aca="false">SUMIFS(الريسبي!$C$2:$C$1800,الريسبي!$A$2:$A$1800,$A92,الريسبي!$B$2:$B$1800,E$1)</f>
        <v>0</v>
      </c>
      <c r="F92" s="117" t="n">
        <f aca="false">SUMIFS(الريسبي!$C$2:$C$1800,الريسبي!$A$2:$A$1800,$A92,الريسبي!$B$2:$B$1800,F$1)</f>
        <v>0</v>
      </c>
      <c r="G92" s="117" t="n">
        <f aca="false">SUMIFS(الريسبي!$C$2:$C$1800,الريسبي!$A$2:$A$1800,$A92,الريسبي!$B$2:$B$1800,G$1)</f>
        <v>0</v>
      </c>
      <c r="H92" s="117" t="n">
        <f aca="false">SUMIFS(الريسبي!$C$2:$C$1800,الريسبي!$A$2:$A$1800,$A92,الريسبي!$B$2:$B$1800,H$1)</f>
        <v>0</v>
      </c>
      <c r="I92" s="117" t="n">
        <f aca="false">SUMIFS(الريسبي!$C$2:$C$1800,الريسبي!$A$2:$A$1800,$A92,الريسبي!$B$2:$B$1800,I$1)</f>
        <v>0</v>
      </c>
      <c r="J92" s="117" t="n">
        <f aca="false">SUMIFS(الريسبي!$C$2:$C$1800,الريسبي!$A$2:$A$1800,$A92,الريسبي!$B$2:$B$1800,J$1)</f>
        <v>0</v>
      </c>
      <c r="K92" s="117" t="n">
        <f aca="false">SUMIFS(الريسبي!$C$2:$C$1800,الريسبي!$A$2:$A$1800,$A92,الريسبي!$B$2:$B$1800,K$1)</f>
        <v>0</v>
      </c>
      <c r="L92" s="117" t="n">
        <f aca="false">SUMIFS(الريسبي!$C$2:$C$1800,الريسبي!$A$2:$A$1800,$A92,الريسبي!$B$2:$B$1800,L$1)</f>
        <v>0</v>
      </c>
      <c r="M92" s="117" t="n">
        <f aca="false">SUMIFS(الريسبي!$C$2:$C$1800,الريسبي!$A$2:$A$1800,$A92,الريسبي!$B$2:$B$1800,M$1)</f>
        <v>0</v>
      </c>
      <c r="N92" s="117" t="n">
        <f aca="false">SUMIFS(الريسبي!$C$2:$C$1800,الريسبي!$A$2:$A$1800,$A92,الريسبي!$B$2:$B$1800,N$1)</f>
        <v>0</v>
      </c>
      <c r="O92" s="117" t="n">
        <f aca="false">SUMIFS(الريسبي!$C$2:$C$1800,الريسبي!$A$2:$A$1800,$A92,الريسبي!$B$2:$B$1800,O$1)</f>
        <v>0</v>
      </c>
      <c r="P92" s="117" t="n">
        <f aca="false">SUMIFS(الريسبي!$C$2:$C$1800,الريسبي!$A$2:$A$1800,$A92,الريسبي!$B$2:$B$1800,P$1)</f>
        <v>0</v>
      </c>
      <c r="Q92" s="117" t="n">
        <f aca="false">SUMIFS(الريسبي!$C$2:$C$1800,الريسبي!$A$2:$A$1800,$A92,الريسبي!$B$2:$B$1800,Q$1)</f>
        <v>0</v>
      </c>
      <c r="R92" s="117" t="n">
        <f aca="false">SUMIFS(الريسبي!$C$2:$C$1800,الريسبي!$A$2:$A$1800,$A92,الريسبي!$B$2:$B$1800,R$1)</f>
        <v>0</v>
      </c>
      <c r="S92" s="117" t="n">
        <f aca="false">SUMIFS(الريسبي!$C$2:$C$1800,الريسبي!$A$2:$A$1800,$A92,الريسبي!$B$2:$B$1800,S$1)</f>
        <v>0</v>
      </c>
      <c r="T92" s="117" t="n">
        <f aca="false">SUMIFS(الريسبي!$C$2:$C$1800,الريسبي!$A$2:$A$1800,$A92,الريسبي!$B$2:$B$1800,T$1)</f>
        <v>0</v>
      </c>
      <c r="U92" s="117" t="n">
        <f aca="false">SUMIFS(الريسبي!$C$2:$C$1800,الريسبي!$A$2:$A$1800,$A92,الريسبي!$B$2:$B$1800,U$1)</f>
        <v>0</v>
      </c>
      <c r="V92" s="117" t="n">
        <f aca="false">SUMIFS(الريسبي!$C$2:$C$1800,الريسبي!$A$2:$A$1800,$A92,الريسبي!$B$2:$B$1800,V$1)</f>
        <v>0</v>
      </c>
      <c r="W92" s="117" t="n">
        <f aca="false">SUMIFS(الريسبي!$C$2:$C$1800,الريسبي!$A$2:$A$1800,$A92,الريسبي!$B$2:$B$1800,W$1)</f>
        <v>0</v>
      </c>
      <c r="X92" s="117" t="n">
        <f aca="false">SUMIFS(الريسبي!$C$2:$C$1800,الريسبي!$A$2:$A$1800,$A92,الريسبي!$B$2:$B$1800,X$1)</f>
        <v>0</v>
      </c>
      <c r="Y92" s="117" t="n">
        <f aca="false">SUMIFS(الريسبي!$C$2:$C$1800,الريسبي!$A$2:$A$1800,$A92,الريسبي!$B$2:$B$1800,Y$1)</f>
        <v>1</v>
      </c>
      <c r="Z92" s="117" t="n">
        <f aca="false">SUMIFS(الريسبي!$C$2:$C$1800,الريسبي!$A$2:$A$1800,$A92,الريسبي!$B$2:$B$1800,Z$1)</f>
        <v>0</v>
      </c>
      <c r="AA92" s="117" t="n">
        <f aca="false">SUMIFS(الريسبي!$C$2:$C$1800,الريسبي!$A$2:$A$1800,$A92,الريسبي!$B$2:$B$1800,AA$1)</f>
        <v>0</v>
      </c>
      <c r="AB92" s="117" t="n">
        <f aca="false">SUMIFS(الريسبي!$C$2:$C$1800,الريسبي!$A$2:$A$1800,$A92,الريسبي!$B$2:$B$1800,AB$1)</f>
        <v>0</v>
      </c>
      <c r="AC92" s="117" t="n">
        <f aca="false">SUMIFS(الريسبي!$C$2:$C$1800,الريسبي!$A$2:$A$1800,$A92,الريسبي!$B$2:$B$1800,AC$1)</f>
        <v>0</v>
      </c>
      <c r="AD92" s="117" t="n">
        <f aca="false">SUMIFS(الريسبي!$C$2:$C$1800,الريسبي!$A$2:$A$1800,$A92,الريسبي!$B$2:$B$1800,AD$1)</f>
        <v>0</v>
      </c>
      <c r="AE92" s="117" t="n">
        <f aca="false">SUMIFS(الريسبي!$C$2:$C$1800,الريسبي!$A$2:$A$1800,$A92,الريسبي!$B$2:$B$1800,AE$1)</f>
        <v>0</v>
      </c>
      <c r="AF92" s="117" t="n">
        <f aca="false">SUMIFS(الريسبي!$C$2:$C$1800,الريسبي!$A$2:$A$1800,$A92,الريسبي!$B$2:$B$1800,AF$1)</f>
        <v>0</v>
      </c>
      <c r="AG92" s="117" t="n">
        <f aca="false">SUMIFS(الريسبي!$C$2:$C$1800,الريسبي!$A$2:$A$1800,$A92,الريسبي!$B$2:$B$1800,AG$1)</f>
        <v>0</v>
      </c>
      <c r="AH92" s="117" t="n">
        <f aca="false">SUMIFS(الريسبي!$C$2:$C$1800,الريسبي!$A$2:$A$1800,$A92,الريسبي!$B$2:$B$1800,AH$1)</f>
        <v>0</v>
      </c>
      <c r="AI92" s="117" t="n">
        <f aca="false">SUMIFS(الريسبي!$C$2:$C$1800,الريسبي!$A$2:$A$1800,$A92,الريسبي!$B$2:$B$1800,AI$1)</f>
        <v>0</v>
      </c>
      <c r="AJ92" s="117" t="n">
        <f aca="false">SUMIFS(الريسبي!$C$2:$C$1800,الريسبي!$A$2:$A$1800,$A92,الريسبي!$B$2:$B$1800,AJ$1)</f>
        <v>2</v>
      </c>
      <c r="AK92" s="117" t="n">
        <f aca="false">SUMIFS(الريسبي!$C$2:$C$1800,الريسبي!$A$2:$A$1800,$A92,الريسبي!$B$2:$B$1800,AK$1)</f>
        <v>0</v>
      </c>
      <c r="AL92" s="117" t="n">
        <f aca="false">SUMIFS(الريسبي!$C$2:$C$1800,الريسبي!$A$2:$A$1800,$A92,الريسبي!$B$2:$B$1800,AL$1)</f>
        <v>0</v>
      </c>
      <c r="AM92" s="117" t="n">
        <f aca="false">SUMIFS(الريسبي!$C$2:$C$1800,الريسبي!$A$2:$A$1800,$A92,الريسبي!$B$2:$B$1800,AM$1)+0.08333333333*SUMIFS(الريسبي!$C$2:$C$1800,الريسبي!$A$2:$A$1800,$A92,الريسبي!$B$2:$B$1800,"عجين كريب (مصنع بالمطعم)")+0.08333333333*SUMIFS(الريسبي!$C$2:$C$1800,الريسبي!$A$2:$A$1800,$A92,الريسبي!$B$2:$B$1800,"عجين كريب صيامي (بدون لبن)")</f>
        <v>0</v>
      </c>
      <c r="AN92" s="117" t="n">
        <f aca="false">SUMIFS(الريسبي!$C$2:$C$1800,الريسبي!$A$2:$A$1800,$A92,الريسبي!$B$2:$B$1800,AN$1)+0.004166666667*SUMIFS(الريسبي!$C$2:$C$1800,الريسبي!$A$2:$A$1800,$A92,الريسبي!$B$2:$B$1800,"عجين كريب (مصنع بالمطعم)")+0.004166666667*SUMIFS(الريسبي!$C$2:$C$1800,الريسبي!$A$2:$A$1800,$A92,الريسبي!$B$2:$B$1800,"عجين كريب صيامي (بدون لبن)")</f>
        <v>0</v>
      </c>
      <c r="AO92" s="117" t="n">
        <f aca="false">SUMIFS(الريسبي!$C$2:$C$1800,الريسبي!$A$2:$A$1800,$A92,الريسبي!$B$2:$B$1800,AO$1)</f>
        <v>0</v>
      </c>
      <c r="AP92" s="117" t="n">
        <f aca="false">SUMIFS(الريسبي!$C$2:$C$1800,الريسبي!$A$2:$A$1800,$A92,الريسبي!$B$2:$B$1800,AP$1)</f>
        <v>0.03</v>
      </c>
      <c r="AQ92" s="117" t="n">
        <f aca="false">SUMIFS(الريسبي!$C$2:$C$1800,الريسبي!$A$2:$A$1800,$A92,الريسبي!$B$2:$B$1800,AQ$1)+0.004166666667*SUMIFS(الريسبي!$C$2:$C$1800,الريسبي!$A$2:$A$1800,$A92,الريسبي!$B$2:$B$1800,"عجين كريب (مصنع بالمطعم)")+0.004166666667*SUMIFS(الريسبي!$C$2:$C$1800,الريسبي!$A$2:$A$1800,$A92,الريسبي!$B$2:$B$1800,"عجين كريب صيامي (بدون لبن)")</f>
        <v>0</v>
      </c>
      <c r="AR92" s="117" t="n">
        <f aca="false">SUMIFS(الريسبي!$C$2:$C$1800,الريسبي!$A$2:$A$1800,$A92,الريسبي!$B$2:$B$1800,AR$1)</f>
        <v>0</v>
      </c>
      <c r="AS92" s="117" t="n">
        <f aca="false">SUMIFS(الريسبي!$C$2:$C$1800,الريسبي!$A$2:$A$1800,$A92,الريسبي!$B$2:$B$1800,AS$1)</f>
        <v>0</v>
      </c>
      <c r="AT92" s="117" t="n">
        <f aca="false">SUMIFS(الريسبي!$C$2:$C$1800,الريسبي!$A$2:$A$1800,$A92,الريسبي!$B$2:$B$1800,AT$1)</f>
        <v>0</v>
      </c>
      <c r="AU92" s="117" t="n">
        <f aca="false">SUMIFS(الريسبي!$C$2:$C$1800,الريسبي!$A$2:$A$1800,$A92,الريسبي!$B$2:$B$1800,AU$1)</f>
        <v>0</v>
      </c>
      <c r="AV92" s="117" t="n">
        <f aca="false">SUMIFS(الريسبي!$C$2:$C$1800,الريسبي!$A$2:$A$1800,$A92,الريسبي!$B$2:$B$1800,AV$1)</f>
        <v>0</v>
      </c>
      <c r="AW92" s="117" t="n">
        <f aca="false">SUMIFS(الريسبي!$C$2:$C$1800,الريسبي!$A$2:$A$1800,$A92,الريسبي!$B$2:$B$1800,AW$1)</f>
        <v>0</v>
      </c>
      <c r="AX92" s="117" t="n">
        <f aca="false">SUMIFS(الريسبي!$C$2:$C$1800,الريسبي!$A$2:$A$1800,$A92,الريسبي!$B$2:$B$1800,AX$1)</f>
        <v>0.06</v>
      </c>
      <c r="AY92" s="117" t="n">
        <f aca="false">SUMIFS(الريسبي!$C$2:$C$1800,الريسبي!$A$2:$A$1800,$A92,الريسبي!$B$2:$B$1800,AY$1)</f>
        <v>0</v>
      </c>
      <c r="AZ92" s="117" t="n">
        <f aca="false">SUMIFS(الريسبي!$C$2:$C$1800,الريسبي!$A$2:$A$1800,$A92,الريسبي!$B$2:$B$1800,AZ$1)</f>
        <v>0</v>
      </c>
      <c r="BA92" s="117" t="n">
        <f aca="false">SUMIFS(الريسبي!$C$2:$C$1800,الريسبي!$A$2:$A$1800,$A92,الريسبي!$B$2:$B$1800,BA$1)</f>
        <v>0</v>
      </c>
      <c r="BB92" s="117" t="n">
        <f aca="false">SUMIFS(الريسبي!$C$2:$C$1800,الريسبي!$A$2:$A$1800,$A92,الريسبي!$B$2:$B$1800,BB$1)</f>
        <v>0</v>
      </c>
      <c r="BC92" s="117" t="n">
        <f aca="false">SUMIFS(الريسبي!$C$2:$C$1800,الريسبي!$A$2:$A$1800,$A92,الريسبي!$B$2:$B$1800,BC$1)</f>
        <v>0.045</v>
      </c>
      <c r="BD92" s="117" t="n">
        <f aca="false">SUMIFS(الريسبي!$C$2:$C$1800,الريسبي!$A$2:$A$1800,$A92,الريسبي!$B$2:$B$1800,BD$1)</f>
        <v>0.3</v>
      </c>
      <c r="BE92" s="117" t="n">
        <f aca="false">SUMIFS(الريسبي!$C$2:$C$1800,الريسبي!$A$2:$A$1800,$A92,الريسبي!$B$2:$B$1800,BE$1)</f>
        <v>0</v>
      </c>
      <c r="BF92" s="117" t="n">
        <f aca="false">SUMIFS(الريسبي!$C$2:$C$1800,الريسبي!$A$2:$A$1800,$A92,الريسبي!$B$2:$B$1800,BF$1)</f>
        <v>0</v>
      </c>
      <c r="BG92" s="117" t="n">
        <f aca="false">SUMIFS(الريسبي!$C$2:$C$1800,الريسبي!$A$2:$A$1800,$A92,الريسبي!$B$2:$B$1800,BG$1)</f>
        <v>1</v>
      </c>
      <c r="BH92" s="117" t="n">
        <f aca="false">SUMIFS(الريسبي!$C$2:$C$1800,الريسبي!$A$2:$A$1800,$A92,الريسبي!$B$2:$B$1800,BH$1)</f>
        <v>0</v>
      </c>
      <c r="BI92" s="117" t="n">
        <f aca="false">SUMIFS(الريسبي!$C$2:$C$1800,الريسبي!$A$2:$A$1800,$A92,الريسبي!$B$2:$B$1800,BI$1)</f>
        <v>0</v>
      </c>
      <c r="BJ92" s="117" t="n">
        <f aca="false">SUMIFS(الريسبي!$C$2:$C$1800,الريسبي!$A$2:$A$1800,$A92,الريسبي!$B$2:$B$1800,BJ$1)</f>
        <v>0</v>
      </c>
      <c r="BK92" s="117" t="n">
        <f aca="false">SUMIFS(الريسبي!$C$2:$C$1800,الريسبي!$A$2:$A$1800,$A92,الريسبي!$B$2:$B$1800,BK$1)</f>
        <v>0</v>
      </c>
      <c r="BL92" s="117" t="n">
        <f aca="false">SUMIFS(الريسبي!$C$2:$C$1800,الريسبي!$A$2:$A$1800,$A92,الريسبي!$B$2:$B$1800,BL$1)</f>
        <v>1.5</v>
      </c>
      <c r="BM92" s="117" t="n">
        <f aca="false">SUMIFS(الريسبي!$C$2:$C$1800,الريسبي!$A$2:$A$1800,$A92,الريسبي!$B$2:$B$1800,BM$1)</f>
        <v>0</v>
      </c>
      <c r="BN92" s="117" t="n">
        <f aca="false">SUMIFS(الريسبي!$C$2:$C$1800,الريسبي!$A$2:$A$1800,$A92,الريسبي!$B$2:$B$1800,BN$1)</f>
        <v>0.03</v>
      </c>
      <c r="BO92" s="117" t="n">
        <f aca="false">SUMIFS(الريسبي!$C$2:$C$1800,الريسبي!$A$2:$A$1800,$A92,الريسبي!$B$2:$B$1800,BO$1)</f>
        <v>0</v>
      </c>
      <c r="BP92" s="117" t="n">
        <f aca="false">SUMIFS(الريسبي!$C$2:$C$1800,الريسبي!$A$2:$A$1800,$A92,الريسبي!$B$2:$B$1800,BP$1)</f>
        <v>3</v>
      </c>
      <c r="BQ92" s="117" t="n">
        <f aca="false">SUMIFS(الريسبي!$C$2:$C$1800,الريسبي!$A$2:$A$1800,$A92,الريسبي!$B$2:$B$1800,BQ$1)+0.17*SUMIFS(الريسبي!$C$2:$C$1800,الريسبي!$A$2:$A$1800,$A92,الريسبي!$B$2:$B$1800,"كاسترد مصنع (خليط بودر + لبن)")+0.17*SUMIFS(الريسبي!$C$2:$C$1800,الريسبي!$A$2:$A$1800,$A92,الريسبي!$B$2:$B$1800,"كاسترد مصنع صيامي (بدون لبن)")</f>
        <v>0</v>
      </c>
      <c r="BR92" s="117" t="n">
        <f aca="false">SUMIFS(الريسبي!$C$2:$C$1800,الريسبي!$A$2:$A$1800,$A92,الريسبي!$B$2:$B$1800,BR$1)</f>
        <v>1</v>
      </c>
      <c r="BS92" s="117" t="n">
        <f aca="false">SUMIFS(الريسبي!$C$2:$C$1800,الريسبي!$A$2:$A$1800,$A92,الريسبي!$B$2:$B$1800,BS$1)</f>
        <v>0</v>
      </c>
      <c r="BT92" s="117" t="n">
        <f aca="false">SUMIFS(الريسبي!$C$2:$C$1800,الريسبي!$A$2:$A$1800,$A92,الريسبي!$B$2:$B$1800,BT$1)</f>
        <v>0</v>
      </c>
      <c r="BU92" s="117" t="n">
        <f aca="false">SUMIFS(الريسبي!$C$2:$C$1800,الريسبي!$A$2:$A$1800,$A92,الريسبي!$B$2:$B$1800,BU$1)+0.4*SUMIFS(الريسبي!$C$2:$C$1800,الريسبي!$A$2:$A$1800,$A92,الريسبي!$B$2:$B$1800,"كاسترد مصنع (خليط بودر + لبن)")+0.03333333333*SUMIFS(الريسبي!$C$2:$C$1800,الريسبي!$A$2:$A$1800,$A92,الريسبي!$B$2:$B$1800,"عجين كريب (مصنع بالمطعم)")</f>
        <v>0</v>
      </c>
      <c r="BV92" s="117" t="n">
        <f aca="false">SUMIFS(الريسبي!$C$2:$C$1800,الريسبي!$A$2:$A$1800,$A92,الريسبي!$B$2:$B$1800,BV$1)</f>
        <v>0</v>
      </c>
      <c r="BW92" s="117" t="n">
        <f aca="false">SUMIFS(الريسبي!$C$2:$C$1800,الريسبي!$A$2:$A$1800,$A92,الريسبي!$B$2:$B$1800,BW$1)</f>
        <v>0</v>
      </c>
      <c r="BX92" s="117" t="n">
        <f aca="false">SUMIFS(الريسبي!$C$2:$C$1800,الريسبي!$A$2:$A$1800,$A92,الريسبي!$B$2:$B$1800,BX$1)</f>
        <v>0</v>
      </c>
      <c r="BY92" s="117" t="n">
        <f aca="false">SUMIFS(الريسبي!$C$2:$C$1800,الريسبي!$A$2:$A$1800,$A92,الريسبي!$B$2:$B$1800,BY$1)</f>
        <v>0</v>
      </c>
      <c r="BZ92" s="117" t="n">
        <f aca="false">SUMIFS(الريسبي!$C$2:$C$1800,الريسبي!$A$2:$A$1800,$A92,الريسبي!$B$2:$B$1800,BZ$1)</f>
        <v>0</v>
      </c>
      <c r="CA92" s="117" t="n">
        <f aca="false">SUMIFS(الريسبي!$C$2:$C$1800,الريسبي!$A$2:$A$1800,$A92,الريسبي!$B$2:$B$1800,CA$1)</f>
        <v>1</v>
      </c>
      <c r="CB92" s="117" t="n">
        <f aca="false">SUMIFS(الريسبي!$C$2:$C$1800,الريسبي!$A$2:$A$1800,$A92,الريسبي!$B$2:$B$1800,CB$1)</f>
        <v>1</v>
      </c>
      <c r="CC92" s="117" t="n">
        <f aca="false">SUMIFS(الريسبي!$C$2:$C$1800,الريسبي!$A$2:$A$1800,$A92,الريسبي!$B$2:$B$1800,CC$1)</f>
        <v>0</v>
      </c>
      <c r="CD92" s="117" t="n">
        <f aca="false">SUMIFS(الريسبي!$C$2:$C$1800,الريسبي!$A$2:$A$1800,$A92,الريسبي!$B$2:$B$1800,CD$1)</f>
        <v>0</v>
      </c>
      <c r="CE92" s="117" t="n">
        <f aca="false">SUMIFS(الريسبي!$C$2:$C$1800,الريسبي!$A$2:$A$1800,$A92,الريسبي!$B$2:$B$1800,CE$1)</f>
        <v>0</v>
      </c>
      <c r="CF92" s="117" t="n">
        <f aca="false">SUMIFS(الريسبي!$C$2:$C$1800,الريسبي!$A$2:$A$1800,$A92,الريسبي!$B$2:$B$1800,CF$1)</f>
        <v>0</v>
      </c>
      <c r="CG92" s="117" t="n">
        <f aca="false">SUMIFS(الريسبي!$C$2:$C$1800,الريسبي!$A$2:$A$1800,$A92,الريسبي!$B$2:$B$1800,CG$1)</f>
        <v>0</v>
      </c>
      <c r="CH92" s="117" t="n">
        <f aca="false">SUMIFS(الريسبي!$C$2:$C$1800,الريسبي!$A$2:$A$1800,$A92,الريسبي!$B$2:$B$1800,CH$1)</f>
        <v>0</v>
      </c>
      <c r="CI92" s="117" t="n">
        <f aca="false">SUMIFS(الريسبي!$C$2:$C$1800,الريسبي!$A$2:$A$1800,$A92,الريسبي!$B$2:$B$1800,CI$1)</f>
        <v>0</v>
      </c>
      <c r="CJ92" s="117" t="n">
        <f aca="false">SUMIFS(الريسبي!$C$2:$C$1800,الريسبي!$A$2:$A$1800,$A92,الريسبي!$B$2:$B$1800,CJ$1)</f>
        <v>0</v>
      </c>
      <c r="CK92" s="117" t="n">
        <f aca="false">SUMIFS(الريسبي!$C$2:$C$1800,الريسبي!$A$2:$A$1800,$A92,الريسبي!$B$2:$B$1800,CK$1)</f>
        <v>0</v>
      </c>
      <c r="CL92" s="117" t="n">
        <f aca="false">SUMIFS(الريسبي!$C$2:$C$1800,الريسبي!$A$2:$A$1800,$A92,الريسبي!$B$2:$B$1800,CL$1)</f>
        <v>0</v>
      </c>
    </row>
    <row r="93" customFormat="false" ht="15" hidden="false" customHeight="false" outlineLevel="0" collapsed="false">
      <c r="A93" s="116" t="str">
        <f aca="false">المنيو!B93</f>
        <v>فطيرة خضروات صيامي وسط</v>
      </c>
      <c r="B93" s="117" t="n">
        <f aca="false">SUMIFS(الريسبي!$C$2:$C$1800,الريسبي!$A$2:$A$1800,$A93,الريسبي!$B$2:$B$1800,B$1)</f>
        <v>0</v>
      </c>
      <c r="C93" s="117" t="n">
        <f aca="false">SUMIFS(الريسبي!$C$2:$C$1800,الريسبي!$A$2:$A$1800,$A93,الريسبي!$B$2:$B$1800,C$1)</f>
        <v>0</v>
      </c>
      <c r="D93" s="117" t="n">
        <f aca="false">SUMIFS(الريسبي!$C$2:$C$1800,الريسبي!$A$2:$A$1800,$A93,الريسبي!$B$2:$B$1800,D$1)</f>
        <v>1</v>
      </c>
      <c r="E93" s="117" t="n">
        <f aca="false">SUMIFS(الريسبي!$C$2:$C$1800,الريسبي!$A$2:$A$1800,$A93,الريسبي!$B$2:$B$1800,E$1)</f>
        <v>0</v>
      </c>
      <c r="F93" s="117" t="n">
        <f aca="false">SUMIFS(الريسبي!$C$2:$C$1800,الريسبي!$A$2:$A$1800,$A93,الريسبي!$B$2:$B$1800,F$1)</f>
        <v>0</v>
      </c>
      <c r="G93" s="117" t="n">
        <f aca="false">SUMIFS(الريسبي!$C$2:$C$1800,الريسبي!$A$2:$A$1800,$A93,الريسبي!$B$2:$B$1800,G$1)</f>
        <v>0</v>
      </c>
      <c r="H93" s="117" t="n">
        <f aca="false">SUMIFS(الريسبي!$C$2:$C$1800,الريسبي!$A$2:$A$1800,$A93,الريسبي!$B$2:$B$1800,H$1)</f>
        <v>0</v>
      </c>
      <c r="I93" s="117" t="n">
        <f aca="false">SUMIFS(الريسبي!$C$2:$C$1800,الريسبي!$A$2:$A$1800,$A93,الريسبي!$B$2:$B$1800,I$1)</f>
        <v>0</v>
      </c>
      <c r="J93" s="117" t="n">
        <f aca="false">SUMIFS(الريسبي!$C$2:$C$1800,الريسبي!$A$2:$A$1800,$A93,الريسبي!$B$2:$B$1800,J$1)</f>
        <v>0</v>
      </c>
      <c r="K93" s="117" t="n">
        <f aca="false">SUMIFS(الريسبي!$C$2:$C$1800,الريسبي!$A$2:$A$1800,$A93,الريسبي!$B$2:$B$1800,K$1)</f>
        <v>0</v>
      </c>
      <c r="L93" s="117" t="n">
        <f aca="false">SUMIFS(الريسبي!$C$2:$C$1800,الريسبي!$A$2:$A$1800,$A93,الريسبي!$B$2:$B$1800,L$1)</f>
        <v>0</v>
      </c>
      <c r="M93" s="117" t="n">
        <f aca="false">SUMIFS(الريسبي!$C$2:$C$1800,الريسبي!$A$2:$A$1800,$A93,الريسبي!$B$2:$B$1800,M$1)</f>
        <v>0</v>
      </c>
      <c r="N93" s="117" t="n">
        <f aca="false">SUMIFS(الريسبي!$C$2:$C$1800,الريسبي!$A$2:$A$1800,$A93,الريسبي!$B$2:$B$1800,N$1)</f>
        <v>0</v>
      </c>
      <c r="O93" s="117" t="n">
        <f aca="false">SUMIFS(الريسبي!$C$2:$C$1800,الريسبي!$A$2:$A$1800,$A93,الريسبي!$B$2:$B$1800,O$1)</f>
        <v>0</v>
      </c>
      <c r="P93" s="117" t="n">
        <f aca="false">SUMIFS(الريسبي!$C$2:$C$1800,الريسبي!$A$2:$A$1800,$A93,الريسبي!$B$2:$B$1800,P$1)</f>
        <v>0</v>
      </c>
      <c r="Q93" s="117" t="n">
        <f aca="false">SUMIFS(الريسبي!$C$2:$C$1800,الريسبي!$A$2:$A$1800,$A93,الريسبي!$B$2:$B$1800,Q$1)</f>
        <v>0</v>
      </c>
      <c r="R93" s="117" t="n">
        <f aca="false">SUMIFS(الريسبي!$C$2:$C$1800,الريسبي!$A$2:$A$1800,$A93,الريسبي!$B$2:$B$1800,R$1)</f>
        <v>0</v>
      </c>
      <c r="S93" s="117" t="n">
        <f aca="false">SUMIFS(الريسبي!$C$2:$C$1800,الريسبي!$A$2:$A$1800,$A93,الريسبي!$B$2:$B$1800,S$1)</f>
        <v>0</v>
      </c>
      <c r="T93" s="117" t="n">
        <f aca="false">SUMIFS(الريسبي!$C$2:$C$1800,الريسبي!$A$2:$A$1800,$A93,الريسبي!$B$2:$B$1800,T$1)</f>
        <v>0</v>
      </c>
      <c r="U93" s="117" t="n">
        <f aca="false">SUMIFS(الريسبي!$C$2:$C$1800,الريسبي!$A$2:$A$1800,$A93,الريسبي!$B$2:$B$1800,U$1)</f>
        <v>0</v>
      </c>
      <c r="V93" s="117" t="n">
        <f aca="false">SUMIFS(الريسبي!$C$2:$C$1800,الريسبي!$A$2:$A$1800,$A93,الريسبي!$B$2:$B$1800,V$1)</f>
        <v>0</v>
      </c>
      <c r="W93" s="117" t="n">
        <f aca="false">SUMIFS(الريسبي!$C$2:$C$1800,الريسبي!$A$2:$A$1800,$A93,الريسبي!$B$2:$B$1800,W$1)</f>
        <v>0</v>
      </c>
      <c r="X93" s="117" t="n">
        <f aca="false">SUMIFS(الريسبي!$C$2:$C$1800,الريسبي!$A$2:$A$1800,$A93,الريسبي!$B$2:$B$1800,X$1)</f>
        <v>1</v>
      </c>
      <c r="Y93" s="117" t="n">
        <f aca="false">SUMIFS(الريسبي!$C$2:$C$1800,الريسبي!$A$2:$A$1800,$A93,الريسبي!$B$2:$B$1800,Y$1)</f>
        <v>0</v>
      </c>
      <c r="Z93" s="117" t="n">
        <f aca="false">SUMIFS(الريسبي!$C$2:$C$1800,الريسبي!$A$2:$A$1800,$A93,الريسبي!$B$2:$B$1800,Z$1)</f>
        <v>0</v>
      </c>
      <c r="AA93" s="117" t="n">
        <f aca="false">SUMIFS(الريسبي!$C$2:$C$1800,الريسبي!$A$2:$A$1800,$A93,الريسبي!$B$2:$B$1800,AA$1)</f>
        <v>0</v>
      </c>
      <c r="AB93" s="117" t="n">
        <f aca="false">SUMIFS(الريسبي!$C$2:$C$1800,الريسبي!$A$2:$A$1800,$A93,الريسبي!$B$2:$B$1800,AB$1)</f>
        <v>0</v>
      </c>
      <c r="AC93" s="117" t="n">
        <f aca="false">SUMIFS(الريسبي!$C$2:$C$1800,الريسبي!$A$2:$A$1800,$A93,الريسبي!$B$2:$B$1800,AC$1)</f>
        <v>0</v>
      </c>
      <c r="AD93" s="117" t="n">
        <f aca="false">SUMIFS(الريسبي!$C$2:$C$1800,الريسبي!$A$2:$A$1800,$A93,الريسبي!$B$2:$B$1800,AD$1)</f>
        <v>0</v>
      </c>
      <c r="AE93" s="117" t="n">
        <f aca="false">SUMIFS(الريسبي!$C$2:$C$1800,الريسبي!$A$2:$A$1800,$A93,الريسبي!$B$2:$B$1800,AE$1)</f>
        <v>0</v>
      </c>
      <c r="AF93" s="117" t="n">
        <f aca="false">SUMIFS(الريسبي!$C$2:$C$1800,الريسبي!$A$2:$A$1800,$A93,الريسبي!$B$2:$B$1800,AF$1)</f>
        <v>0</v>
      </c>
      <c r="AG93" s="117" t="n">
        <f aca="false">SUMIFS(الريسبي!$C$2:$C$1800,الريسبي!$A$2:$A$1800,$A93,الريسبي!$B$2:$B$1800,AG$1)</f>
        <v>0</v>
      </c>
      <c r="AH93" s="117" t="n">
        <f aca="false">SUMIFS(الريسبي!$C$2:$C$1800,الريسبي!$A$2:$A$1800,$A93,الريسبي!$B$2:$B$1800,AH$1)</f>
        <v>0</v>
      </c>
      <c r="AI93" s="117" t="n">
        <f aca="false">SUMIFS(الريسبي!$C$2:$C$1800,الريسبي!$A$2:$A$1800,$A93,الريسبي!$B$2:$B$1800,AI$1)</f>
        <v>0</v>
      </c>
      <c r="AJ93" s="117" t="n">
        <f aca="false">SUMIFS(الريسبي!$C$2:$C$1800,الريسبي!$A$2:$A$1800,$A93,الريسبي!$B$2:$B$1800,AJ$1)</f>
        <v>2</v>
      </c>
      <c r="AK93" s="117" t="n">
        <f aca="false">SUMIFS(الريسبي!$C$2:$C$1800,الريسبي!$A$2:$A$1800,$A93,الريسبي!$B$2:$B$1800,AK$1)</f>
        <v>0</v>
      </c>
      <c r="AL93" s="117" t="n">
        <f aca="false">SUMIFS(الريسبي!$C$2:$C$1800,الريسبي!$A$2:$A$1800,$A93,الريسبي!$B$2:$B$1800,AL$1)</f>
        <v>0</v>
      </c>
      <c r="AM93" s="117" t="n">
        <f aca="false">SUMIFS(الريسبي!$C$2:$C$1800,الريسبي!$A$2:$A$1800,$A93,الريسبي!$B$2:$B$1800,AM$1)+0.08333333333*SUMIFS(الريسبي!$C$2:$C$1800,الريسبي!$A$2:$A$1800,$A93,الريسبي!$B$2:$B$1800,"عجين كريب (مصنع بالمطعم)")+0.08333333333*SUMIFS(الريسبي!$C$2:$C$1800,الريسبي!$A$2:$A$1800,$A93,الريسبي!$B$2:$B$1800,"عجين كريب صيامي (بدون لبن)")</f>
        <v>0</v>
      </c>
      <c r="AN93" s="117" t="n">
        <f aca="false">SUMIFS(الريسبي!$C$2:$C$1800,الريسبي!$A$2:$A$1800,$A93,الريسبي!$B$2:$B$1800,AN$1)+0.004166666667*SUMIFS(الريسبي!$C$2:$C$1800,الريسبي!$A$2:$A$1800,$A93,الريسبي!$B$2:$B$1800,"عجين كريب (مصنع بالمطعم)")+0.004166666667*SUMIFS(الريسبي!$C$2:$C$1800,الريسبي!$A$2:$A$1800,$A93,الريسبي!$B$2:$B$1800,"عجين كريب صيامي (بدون لبن)")</f>
        <v>0</v>
      </c>
      <c r="AO93" s="117" t="n">
        <f aca="false">SUMIFS(الريسبي!$C$2:$C$1800,الريسبي!$A$2:$A$1800,$A93,الريسبي!$B$2:$B$1800,AO$1)</f>
        <v>0</v>
      </c>
      <c r="AP93" s="117" t="n">
        <f aca="false">SUMIFS(الريسبي!$C$2:$C$1800,الريسبي!$A$2:$A$1800,$A93,الريسبي!$B$2:$B$1800,AP$1)</f>
        <v>0.02</v>
      </c>
      <c r="AQ93" s="117" t="n">
        <f aca="false">SUMIFS(الريسبي!$C$2:$C$1800,الريسبي!$A$2:$A$1800,$A93,الريسبي!$B$2:$B$1800,AQ$1)+0.004166666667*SUMIFS(الريسبي!$C$2:$C$1800,الريسبي!$A$2:$A$1800,$A93,الريسبي!$B$2:$B$1800,"عجين كريب (مصنع بالمطعم)")+0.004166666667*SUMIFS(الريسبي!$C$2:$C$1800,الريسبي!$A$2:$A$1800,$A93,الريسبي!$B$2:$B$1800,"عجين كريب صيامي (بدون لبن)")</f>
        <v>0</v>
      </c>
      <c r="AR93" s="117" t="n">
        <f aca="false">SUMIFS(الريسبي!$C$2:$C$1800,الريسبي!$A$2:$A$1800,$A93,الريسبي!$B$2:$B$1800,AR$1)</f>
        <v>0</v>
      </c>
      <c r="AS93" s="117" t="n">
        <f aca="false">SUMIFS(الريسبي!$C$2:$C$1800,الريسبي!$A$2:$A$1800,$A93,الريسبي!$B$2:$B$1800,AS$1)</f>
        <v>0</v>
      </c>
      <c r="AT93" s="117" t="n">
        <f aca="false">SUMIFS(الريسبي!$C$2:$C$1800,الريسبي!$A$2:$A$1800,$A93,الريسبي!$B$2:$B$1800,AT$1)</f>
        <v>0</v>
      </c>
      <c r="AU93" s="117" t="n">
        <f aca="false">SUMIFS(الريسبي!$C$2:$C$1800,الريسبي!$A$2:$A$1800,$A93,الريسبي!$B$2:$B$1800,AU$1)</f>
        <v>0</v>
      </c>
      <c r="AV93" s="117" t="n">
        <f aca="false">SUMIFS(الريسبي!$C$2:$C$1800,الريسبي!$A$2:$A$1800,$A93,الريسبي!$B$2:$B$1800,AV$1)</f>
        <v>0</v>
      </c>
      <c r="AW93" s="117" t="n">
        <f aca="false">SUMIFS(الريسبي!$C$2:$C$1800,الريسبي!$A$2:$A$1800,$A93,الريسبي!$B$2:$B$1800,AW$1)</f>
        <v>0</v>
      </c>
      <c r="AX93" s="117" t="n">
        <f aca="false">SUMIFS(الريسبي!$C$2:$C$1800,الريسبي!$A$2:$A$1800,$A93,الريسبي!$B$2:$B$1800,AX$1)</f>
        <v>0</v>
      </c>
      <c r="AY93" s="117" t="n">
        <f aca="false">SUMIFS(الريسبي!$C$2:$C$1800,الريسبي!$A$2:$A$1800,$A93,الريسبي!$B$2:$B$1800,AY$1)</f>
        <v>0</v>
      </c>
      <c r="AZ93" s="117" t="n">
        <f aca="false">SUMIFS(الريسبي!$C$2:$C$1800,الريسبي!$A$2:$A$1800,$A93,الريسبي!$B$2:$B$1800,AZ$1)</f>
        <v>0</v>
      </c>
      <c r="BA93" s="117" t="n">
        <f aca="false">SUMIFS(الريسبي!$C$2:$C$1800,الريسبي!$A$2:$A$1800,$A93,الريسبي!$B$2:$B$1800,BA$1)</f>
        <v>0</v>
      </c>
      <c r="BB93" s="117" t="n">
        <f aca="false">SUMIFS(الريسبي!$C$2:$C$1800,الريسبي!$A$2:$A$1800,$A93,الريسبي!$B$2:$B$1800,BB$1)</f>
        <v>0</v>
      </c>
      <c r="BC93" s="117" t="n">
        <f aca="false">SUMIFS(الريسبي!$C$2:$C$1800,الريسبي!$A$2:$A$1800,$A93,الريسبي!$B$2:$B$1800,BC$1)</f>
        <v>0.03</v>
      </c>
      <c r="BD93" s="117" t="n">
        <f aca="false">SUMIFS(الريسبي!$C$2:$C$1800,الريسبي!$A$2:$A$1800,$A93,الريسبي!$B$2:$B$1800,BD$1)</f>
        <v>0</v>
      </c>
      <c r="BE93" s="117" t="n">
        <f aca="false">SUMIFS(الريسبي!$C$2:$C$1800,الريسبي!$A$2:$A$1800,$A93,الريسبي!$B$2:$B$1800,BE$1)</f>
        <v>1</v>
      </c>
      <c r="BF93" s="117" t="n">
        <f aca="false">SUMIFS(الريسبي!$C$2:$C$1800,الريسبي!$A$2:$A$1800,$A93,الريسبي!$B$2:$B$1800,BF$1)</f>
        <v>0</v>
      </c>
      <c r="BG93" s="117" t="n">
        <f aca="false">SUMIFS(الريسبي!$C$2:$C$1800,الريسبي!$A$2:$A$1800,$A93,الريسبي!$B$2:$B$1800,BG$1)</f>
        <v>0</v>
      </c>
      <c r="BH93" s="117" t="n">
        <f aca="false">SUMIFS(الريسبي!$C$2:$C$1800,الريسبي!$A$2:$A$1800,$A93,الريسبي!$B$2:$B$1800,BH$1)</f>
        <v>1</v>
      </c>
      <c r="BI93" s="117" t="n">
        <f aca="false">SUMIFS(الريسبي!$C$2:$C$1800,الريسبي!$A$2:$A$1800,$A93,الريسبي!$B$2:$B$1800,BI$1)</f>
        <v>0</v>
      </c>
      <c r="BJ93" s="117" t="n">
        <f aca="false">SUMIFS(الريسبي!$C$2:$C$1800,الريسبي!$A$2:$A$1800,$A93,الريسبي!$B$2:$B$1800,BJ$1)</f>
        <v>0</v>
      </c>
      <c r="BK93" s="117" t="n">
        <f aca="false">SUMIFS(الريسبي!$C$2:$C$1800,الريسبي!$A$2:$A$1800,$A93,الريسبي!$B$2:$B$1800,BK$1)</f>
        <v>0</v>
      </c>
      <c r="BL93" s="117" t="n">
        <f aca="false">SUMIFS(الريسبي!$C$2:$C$1800,الريسبي!$A$2:$A$1800,$A93,الريسبي!$B$2:$B$1800,BL$1)</f>
        <v>0</v>
      </c>
      <c r="BM93" s="117" t="n">
        <f aca="false">SUMIFS(الريسبي!$C$2:$C$1800,الريسبي!$A$2:$A$1800,$A93,الريسبي!$B$2:$B$1800,BM$1)</f>
        <v>0</v>
      </c>
      <c r="BN93" s="117" t="n">
        <f aca="false">SUMIFS(الريسبي!$C$2:$C$1800,الريسبي!$A$2:$A$1800,$A93,الريسبي!$B$2:$B$1800,BN$1)</f>
        <v>0.02</v>
      </c>
      <c r="BO93" s="117" t="n">
        <f aca="false">SUMIFS(الريسبي!$C$2:$C$1800,الريسبي!$A$2:$A$1800,$A93,الريسبي!$B$2:$B$1800,BO$1)</f>
        <v>0</v>
      </c>
      <c r="BP93" s="117" t="n">
        <f aca="false">SUMIFS(الريسبي!$C$2:$C$1800,الريسبي!$A$2:$A$1800,$A93,الريسبي!$B$2:$B$1800,BP$1)</f>
        <v>2</v>
      </c>
      <c r="BQ93" s="117" t="n">
        <f aca="false">SUMIFS(الريسبي!$C$2:$C$1800,الريسبي!$A$2:$A$1800,$A93,الريسبي!$B$2:$B$1800,BQ$1)+0.17*SUMIFS(الريسبي!$C$2:$C$1800,الريسبي!$A$2:$A$1800,$A93,الريسبي!$B$2:$B$1800,"كاسترد مصنع (خليط بودر + لبن)")+0.17*SUMIFS(الريسبي!$C$2:$C$1800,الريسبي!$A$2:$A$1800,$A93,الريسبي!$B$2:$B$1800,"كاسترد مصنع صيامي (بدون لبن)")</f>
        <v>0</v>
      </c>
      <c r="BR93" s="117" t="n">
        <f aca="false">SUMIFS(الريسبي!$C$2:$C$1800,الريسبي!$A$2:$A$1800,$A93,الريسبي!$B$2:$B$1800,BR$1)</f>
        <v>1</v>
      </c>
      <c r="BS93" s="117" t="n">
        <f aca="false">SUMIFS(الريسبي!$C$2:$C$1800,الريسبي!$A$2:$A$1800,$A93,الريسبي!$B$2:$B$1800,BS$1)</f>
        <v>0</v>
      </c>
      <c r="BT93" s="117" t="n">
        <f aca="false">SUMIFS(الريسبي!$C$2:$C$1800,الريسبي!$A$2:$A$1800,$A93,الريسبي!$B$2:$B$1800,BT$1)</f>
        <v>0</v>
      </c>
      <c r="BU93" s="117" t="n">
        <f aca="false">SUMIFS(الريسبي!$C$2:$C$1800,الريسبي!$A$2:$A$1800,$A93,الريسبي!$B$2:$B$1800,BU$1)+0.4*SUMIFS(الريسبي!$C$2:$C$1800,الريسبي!$A$2:$A$1800,$A93,الريسبي!$B$2:$B$1800,"كاسترد مصنع (خليط بودر + لبن)")+0.03333333333*SUMIFS(الريسبي!$C$2:$C$1800,الريسبي!$A$2:$A$1800,$A93,الريسبي!$B$2:$B$1800,"عجين كريب (مصنع بالمطعم)")</f>
        <v>0</v>
      </c>
      <c r="BV93" s="117" t="n">
        <f aca="false">SUMIFS(الريسبي!$C$2:$C$1800,الريسبي!$A$2:$A$1800,$A93,الريسبي!$B$2:$B$1800,BV$1)</f>
        <v>0</v>
      </c>
      <c r="BW93" s="117" t="n">
        <f aca="false">SUMIFS(الريسبي!$C$2:$C$1800,الريسبي!$A$2:$A$1800,$A93,الريسبي!$B$2:$B$1800,BW$1)</f>
        <v>0</v>
      </c>
      <c r="BX93" s="117" t="n">
        <f aca="false">SUMIFS(الريسبي!$C$2:$C$1800,الريسبي!$A$2:$A$1800,$A93,الريسبي!$B$2:$B$1800,BX$1)</f>
        <v>0</v>
      </c>
      <c r="BY93" s="117" t="n">
        <f aca="false">SUMIFS(الريسبي!$C$2:$C$1800,الريسبي!$A$2:$A$1800,$A93,الريسبي!$B$2:$B$1800,BY$1)</f>
        <v>0</v>
      </c>
      <c r="BZ93" s="117" t="n">
        <f aca="false">SUMIFS(الريسبي!$C$2:$C$1800,الريسبي!$A$2:$A$1800,$A93,الريسبي!$B$2:$B$1800,BZ$1)</f>
        <v>0</v>
      </c>
      <c r="CA93" s="117" t="n">
        <f aca="false">SUMIFS(الريسبي!$C$2:$C$1800,الريسبي!$A$2:$A$1800,$A93,الريسبي!$B$2:$B$1800,CA$1)</f>
        <v>1</v>
      </c>
      <c r="CB93" s="117" t="n">
        <f aca="false">SUMIFS(الريسبي!$C$2:$C$1800,الريسبي!$A$2:$A$1800,$A93,الريسبي!$B$2:$B$1800,CB$1)</f>
        <v>1</v>
      </c>
      <c r="CC93" s="117" t="n">
        <f aca="false">SUMIFS(الريسبي!$C$2:$C$1800,الريسبي!$A$2:$A$1800,$A93,الريسبي!$B$2:$B$1800,CC$1)</f>
        <v>0</v>
      </c>
      <c r="CD93" s="117" t="n">
        <f aca="false">SUMIFS(الريسبي!$C$2:$C$1800,الريسبي!$A$2:$A$1800,$A93,الريسبي!$B$2:$B$1800,CD$1)</f>
        <v>0</v>
      </c>
      <c r="CE93" s="117" t="n">
        <f aca="false">SUMIFS(الريسبي!$C$2:$C$1800,الريسبي!$A$2:$A$1800,$A93,الريسبي!$B$2:$B$1800,CE$1)</f>
        <v>0</v>
      </c>
      <c r="CF93" s="117" t="n">
        <f aca="false">SUMIFS(الريسبي!$C$2:$C$1800,الريسبي!$A$2:$A$1800,$A93,الريسبي!$B$2:$B$1800,CF$1)</f>
        <v>0</v>
      </c>
      <c r="CG93" s="117" t="n">
        <f aca="false">SUMIFS(الريسبي!$C$2:$C$1800,الريسبي!$A$2:$A$1800,$A93,الريسبي!$B$2:$B$1800,CG$1)</f>
        <v>0</v>
      </c>
      <c r="CH93" s="117" t="n">
        <f aca="false">SUMIFS(الريسبي!$C$2:$C$1800,الريسبي!$A$2:$A$1800,$A93,الريسبي!$B$2:$B$1800,CH$1)</f>
        <v>0</v>
      </c>
      <c r="CI93" s="117" t="n">
        <f aca="false">SUMIFS(الريسبي!$C$2:$C$1800,الريسبي!$A$2:$A$1800,$A93,الريسبي!$B$2:$B$1800,CI$1)</f>
        <v>0</v>
      </c>
      <c r="CJ93" s="117" t="n">
        <f aca="false">SUMIFS(الريسبي!$C$2:$C$1800,الريسبي!$A$2:$A$1800,$A93,الريسبي!$B$2:$B$1800,CJ$1)</f>
        <v>0</v>
      </c>
      <c r="CK93" s="117" t="n">
        <f aca="false">SUMIFS(الريسبي!$C$2:$C$1800,الريسبي!$A$2:$A$1800,$A93,الريسبي!$B$2:$B$1800,CK$1)</f>
        <v>0</v>
      </c>
      <c r="CL93" s="117" t="n">
        <f aca="false">SUMIFS(الريسبي!$C$2:$C$1800,الريسبي!$A$2:$A$1800,$A93,الريسبي!$B$2:$B$1800,CL$1)</f>
        <v>0</v>
      </c>
    </row>
    <row r="94" customFormat="false" ht="15" hidden="false" customHeight="false" outlineLevel="0" collapsed="false">
      <c r="A94" s="116" t="str">
        <f aca="false">المنيو!B94</f>
        <v>فطيرة خضروات صيامي مخصوص</v>
      </c>
      <c r="B94" s="117" t="n">
        <f aca="false">SUMIFS(الريسبي!$C$2:$C$1800,الريسبي!$A$2:$A$1800,$A94,الريسبي!$B$2:$B$1800,B$1)</f>
        <v>0</v>
      </c>
      <c r="C94" s="117" t="n">
        <f aca="false">SUMIFS(الريسبي!$C$2:$C$1800,الريسبي!$A$2:$A$1800,$A94,الريسبي!$B$2:$B$1800,C$1)</f>
        <v>0</v>
      </c>
      <c r="D94" s="117" t="n">
        <f aca="false">SUMIFS(الريسبي!$C$2:$C$1800,الريسبي!$A$2:$A$1800,$A94,الريسبي!$B$2:$B$1800,D$1)</f>
        <v>1</v>
      </c>
      <c r="E94" s="117" t="n">
        <f aca="false">SUMIFS(الريسبي!$C$2:$C$1800,الريسبي!$A$2:$A$1800,$A94,الريسبي!$B$2:$B$1800,E$1)</f>
        <v>0</v>
      </c>
      <c r="F94" s="117" t="n">
        <f aca="false">SUMIFS(الريسبي!$C$2:$C$1800,الريسبي!$A$2:$A$1800,$A94,الريسبي!$B$2:$B$1800,F$1)</f>
        <v>0</v>
      </c>
      <c r="G94" s="117" t="n">
        <f aca="false">SUMIFS(الريسبي!$C$2:$C$1800,الريسبي!$A$2:$A$1800,$A94,الريسبي!$B$2:$B$1800,G$1)</f>
        <v>0</v>
      </c>
      <c r="H94" s="117" t="n">
        <f aca="false">SUMIFS(الريسبي!$C$2:$C$1800,الريسبي!$A$2:$A$1800,$A94,الريسبي!$B$2:$B$1800,H$1)</f>
        <v>0</v>
      </c>
      <c r="I94" s="117" t="n">
        <f aca="false">SUMIFS(الريسبي!$C$2:$C$1800,الريسبي!$A$2:$A$1800,$A94,الريسبي!$B$2:$B$1800,I$1)</f>
        <v>0</v>
      </c>
      <c r="J94" s="117" t="n">
        <f aca="false">SUMIFS(الريسبي!$C$2:$C$1800,الريسبي!$A$2:$A$1800,$A94,الريسبي!$B$2:$B$1800,J$1)</f>
        <v>0</v>
      </c>
      <c r="K94" s="117" t="n">
        <f aca="false">SUMIFS(الريسبي!$C$2:$C$1800,الريسبي!$A$2:$A$1800,$A94,الريسبي!$B$2:$B$1800,K$1)</f>
        <v>0</v>
      </c>
      <c r="L94" s="117" t="n">
        <f aca="false">SUMIFS(الريسبي!$C$2:$C$1800,الريسبي!$A$2:$A$1800,$A94,الريسبي!$B$2:$B$1800,L$1)</f>
        <v>0</v>
      </c>
      <c r="M94" s="117" t="n">
        <f aca="false">SUMIFS(الريسبي!$C$2:$C$1800,الريسبي!$A$2:$A$1800,$A94,الريسبي!$B$2:$B$1800,M$1)</f>
        <v>0</v>
      </c>
      <c r="N94" s="117" t="n">
        <f aca="false">SUMIFS(الريسبي!$C$2:$C$1800,الريسبي!$A$2:$A$1800,$A94,الريسبي!$B$2:$B$1800,N$1)</f>
        <v>0</v>
      </c>
      <c r="O94" s="117" t="n">
        <f aca="false">SUMIFS(الريسبي!$C$2:$C$1800,الريسبي!$A$2:$A$1800,$A94,الريسبي!$B$2:$B$1800,O$1)</f>
        <v>0</v>
      </c>
      <c r="P94" s="117" t="n">
        <f aca="false">SUMIFS(الريسبي!$C$2:$C$1800,الريسبي!$A$2:$A$1800,$A94,الريسبي!$B$2:$B$1800,P$1)</f>
        <v>0</v>
      </c>
      <c r="Q94" s="117" t="n">
        <f aca="false">SUMIFS(الريسبي!$C$2:$C$1800,الريسبي!$A$2:$A$1800,$A94,الريسبي!$B$2:$B$1800,Q$1)</f>
        <v>0</v>
      </c>
      <c r="R94" s="117" t="n">
        <f aca="false">SUMIFS(الريسبي!$C$2:$C$1800,الريسبي!$A$2:$A$1800,$A94,الريسبي!$B$2:$B$1800,R$1)</f>
        <v>0</v>
      </c>
      <c r="S94" s="117" t="n">
        <f aca="false">SUMIFS(الريسبي!$C$2:$C$1800,الريسبي!$A$2:$A$1800,$A94,الريسبي!$B$2:$B$1800,S$1)</f>
        <v>0</v>
      </c>
      <c r="T94" s="117" t="n">
        <f aca="false">SUMIFS(الريسبي!$C$2:$C$1800,الريسبي!$A$2:$A$1800,$A94,الريسبي!$B$2:$B$1800,T$1)</f>
        <v>0</v>
      </c>
      <c r="U94" s="117" t="n">
        <f aca="false">SUMIFS(الريسبي!$C$2:$C$1800,الريسبي!$A$2:$A$1800,$A94,الريسبي!$B$2:$B$1800,U$1)</f>
        <v>0</v>
      </c>
      <c r="V94" s="117" t="n">
        <f aca="false">SUMIFS(الريسبي!$C$2:$C$1800,الريسبي!$A$2:$A$1800,$A94,الريسبي!$B$2:$B$1800,V$1)</f>
        <v>0</v>
      </c>
      <c r="W94" s="117" t="n">
        <f aca="false">SUMIFS(الريسبي!$C$2:$C$1800,الريسبي!$A$2:$A$1800,$A94,الريسبي!$B$2:$B$1800,W$1)</f>
        <v>0</v>
      </c>
      <c r="X94" s="117" t="n">
        <f aca="false">SUMIFS(الريسبي!$C$2:$C$1800,الريسبي!$A$2:$A$1800,$A94,الريسبي!$B$2:$B$1800,X$1)</f>
        <v>0</v>
      </c>
      <c r="Y94" s="117" t="n">
        <f aca="false">SUMIFS(الريسبي!$C$2:$C$1800,الريسبي!$A$2:$A$1800,$A94,الريسبي!$B$2:$B$1800,Y$1)</f>
        <v>1</v>
      </c>
      <c r="Z94" s="117" t="n">
        <f aca="false">SUMIFS(الريسبي!$C$2:$C$1800,الريسبي!$A$2:$A$1800,$A94,الريسبي!$B$2:$B$1800,Z$1)</f>
        <v>0</v>
      </c>
      <c r="AA94" s="117" t="n">
        <f aca="false">SUMIFS(الريسبي!$C$2:$C$1800,الريسبي!$A$2:$A$1800,$A94,الريسبي!$B$2:$B$1800,AA$1)</f>
        <v>0</v>
      </c>
      <c r="AB94" s="117" t="n">
        <f aca="false">SUMIFS(الريسبي!$C$2:$C$1800,الريسبي!$A$2:$A$1800,$A94,الريسبي!$B$2:$B$1800,AB$1)</f>
        <v>0</v>
      </c>
      <c r="AC94" s="117" t="n">
        <f aca="false">SUMIFS(الريسبي!$C$2:$C$1800,الريسبي!$A$2:$A$1800,$A94,الريسبي!$B$2:$B$1800,AC$1)</f>
        <v>0</v>
      </c>
      <c r="AD94" s="117" t="n">
        <f aca="false">SUMIFS(الريسبي!$C$2:$C$1800,الريسبي!$A$2:$A$1800,$A94,الريسبي!$B$2:$B$1800,AD$1)</f>
        <v>0</v>
      </c>
      <c r="AE94" s="117" t="n">
        <f aca="false">SUMIFS(الريسبي!$C$2:$C$1800,الريسبي!$A$2:$A$1800,$A94,الريسبي!$B$2:$B$1800,AE$1)</f>
        <v>0</v>
      </c>
      <c r="AF94" s="117" t="n">
        <f aca="false">SUMIFS(الريسبي!$C$2:$C$1800,الريسبي!$A$2:$A$1800,$A94,الريسبي!$B$2:$B$1800,AF$1)</f>
        <v>0</v>
      </c>
      <c r="AG94" s="117" t="n">
        <f aca="false">SUMIFS(الريسبي!$C$2:$C$1800,الريسبي!$A$2:$A$1800,$A94,الريسبي!$B$2:$B$1800,AG$1)</f>
        <v>0</v>
      </c>
      <c r="AH94" s="117" t="n">
        <f aca="false">SUMIFS(الريسبي!$C$2:$C$1800,الريسبي!$A$2:$A$1800,$A94,الريسبي!$B$2:$B$1800,AH$1)</f>
        <v>0</v>
      </c>
      <c r="AI94" s="117" t="n">
        <f aca="false">SUMIFS(الريسبي!$C$2:$C$1800,الريسبي!$A$2:$A$1800,$A94,الريسبي!$B$2:$B$1800,AI$1)</f>
        <v>0</v>
      </c>
      <c r="AJ94" s="117" t="n">
        <f aca="false">SUMIFS(الريسبي!$C$2:$C$1800,الريسبي!$A$2:$A$1800,$A94,الريسبي!$B$2:$B$1800,AJ$1)</f>
        <v>2</v>
      </c>
      <c r="AK94" s="117" t="n">
        <f aca="false">SUMIFS(الريسبي!$C$2:$C$1800,الريسبي!$A$2:$A$1800,$A94,الريسبي!$B$2:$B$1800,AK$1)</f>
        <v>0</v>
      </c>
      <c r="AL94" s="117" t="n">
        <f aca="false">SUMIFS(الريسبي!$C$2:$C$1800,الريسبي!$A$2:$A$1800,$A94,الريسبي!$B$2:$B$1800,AL$1)</f>
        <v>0</v>
      </c>
      <c r="AM94" s="117" t="n">
        <f aca="false">SUMIFS(الريسبي!$C$2:$C$1800,الريسبي!$A$2:$A$1800,$A94,الريسبي!$B$2:$B$1800,AM$1)+0.08333333333*SUMIFS(الريسبي!$C$2:$C$1800,الريسبي!$A$2:$A$1800,$A94,الريسبي!$B$2:$B$1800,"عجين كريب (مصنع بالمطعم)")+0.08333333333*SUMIFS(الريسبي!$C$2:$C$1800,الريسبي!$A$2:$A$1800,$A94,الريسبي!$B$2:$B$1800,"عجين كريب صيامي (بدون لبن)")</f>
        <v>0</v>
      </c>
      <c r="AN94" s="117" t="n">
        <f aca="false">SUMIFS(الريسبي!$C$2:$C$1800,الريسبي!$A$2:$A$1800,$A94,الريسبي!$B$2:$B$1800,AN$1)+0.004166666667*SUMIFS(الريسبي!$C$2:$C$1800,الريسبي!$A$2:$A$1800,$A94,الريسبي!$B$2:$B$1800,"عجين كريب (مصنع بالمطعم)")+0.004166666667*SUMIFS(الريسبي!$C$2:$C$1800,الريسبي!$A$2:$A$1800,$A94,الريسبي!$B$2:$B$1800,"عجين كريب صيامي (بدون لبن)")</f>
        <v>0</v>
      </c>
      <c r="AO94" s="117" t="n">
        <f aca="false">SUMIFS(الريسبي!$C$2:$C$1800,الريسبي!$A$2:$A$1800,$A94,الريسبي!$B$2:$B$1800,AO$1)</f>
        <v>0</v>
      </c>
      <c r="AP94" s="117" t="n">
        <f aca="false">SUMIFS(الريسبي!$C$2:$C$1800,الريسبي!$A$2:$A$1800,$A94,الريسبي!$B$2:$B$1800,AP$1)</f>
        <v>0.03</v>
      </c>
      <c r="AQ94" s="117" t="n">
        <f aca="false">SUMIFS(الريسبي!$C$2:$C$1800,الريسبي!$A$2:$A$1800,$A94,الريسبي!$B$2:$B$1800,AQ$1)+0.004166666667*SUMIFS(الريسبي!$C$2:$C$1800,الريسبي!$A$2:$A$1800,$A94,الريسبي!$B$2:$B$1800,"عجين كريب (مصنع بالمطعم)")+0.004166666667*SUMIFS(الريسبي!$C$2:$C$1800,الريسبي!$A$2:$A$1800,$A94,الريسبي!$B$2:$B$1800,"عجين كريب صيامي (بدون لبن)")</f>
        <v>0</v>
      </c>
      <c r="AR94" s="117" t="n">
        <f aca="false">SUMIFS(الريسبي!$C$2:$C$1800,الريسبي!$A$2:$A$1800,$A94,الريسبي!$B$2:$B$1800,AR$1)</f>
        <v>0</v>
      </c>
      <c r="AS94" s="117" t="n">
        <f aca="false">SUMIFS(الريسبي!$C$2:$C$1800,الريسبي!$A$2:$A$1800,$A94,الريسبي!$B$2:$B$1800,AS$1)</f>
        <v>0</v>
      </c>
      <c r="AT94" s="117" t="n">
        <f aca="false">SUMIFS(الريسبي!$C$2:$C$1800,الريسبي!$A$2:$A$1800,$A94,الريسبي!$B$2:$B$1800,AT$1)</f>
        <v>0</v>
      </c>
      <c r="AU94" s="117" t="n">
        <f aca="false">SUMIFS(الريسبي!$C$2:$C$1800,الريسبي!$A$2:$A$1800,$A94,الريسبي!$B$2:$B$1800,AU$1)</f>
        <v>0</v>
      </c>
      <c r="AV94" s="117" t="n">
        <f aca="false">SUMIFS(الريسبي!$C$2:$C$1800,الريسبي!$A$2:$A$1800,$A94,الريسبي!$B$2:$B$1800,AV$1)</f>
        <v>0</v>
      </c>
      <c r="AW94" s="117" t="n">
        <f aca="false">SUMIFS(الريسبي!$C$2:$C$1800,الريسبي!$A$2:$A$1800,$A94,الريسبي!$B$2:$B$1800,AW$1)</f>
        <v>0</v>
      </c>
      <c r="AX94" s="117" t="n">
        <f aca="false">SUMIFS(الريسبي!$C$2:$C$1800,الريسبي!$A$2:$A$1800,$A94,الريسبي!$B$2:$B$1800,AX$1)</f>
        <v>0</v>
      </c>
      <c r="AY94" s="117" t="n">
        <f aca="false">SUMIFS(الريسبي!$C$2:$C$1800,الريسبي!$A$2:$A$1800,$A94,الريسبي!$B$2:$B$1800,AY$1)</f>
        <v>0</v>
      </c>
      <c r="AZ94" s="117" t="n">
        <f aca="false">SUMIFS(الريسبي!$C$2:$C$1800,الريسبي!$A$2:$A$1800,$A94,الريسبي!$B$2:$B$1800,AZ$1)</f>
        <v>0</v>
      </c>
      <c r="BA94" s="117" t="n">
        <f aca="false">SUMIFS(الريسبي!$C$2:$C$1800,الريسبي!$A$2:$A$1800,$A94,الريسبي!$B$2:$B$1800,BA$1)</f>
        <v>0</v>
      </c>
      <c r="BB94" s="117" t="n">
        <f aca="false">SUMIFS(الريسبي!$C$2:$C$1800,الريسبي!$A$2:$A$1800,$A94,الريسبي!$B$2:$B$1800,BB$1)</f>
        <v>0</v>
      </c>
      <c r="BC94" s="117" t="n">
        <f aca="false">SUMIFS(الريسبي!$C$2:$C$1800,الريسبي!$A$2:$A$1800,$A94,الريسبي!$B$2:$B$1800,BC$1)</f>
        <v>0.045</v>
      </c>
      <c r="BD94" s="117" t="n">
        <f aca="false">SUMIFS(الريسبي!$C$2:$C$1800,الريسبي!$A$2:$A$1800,$A94,الريسبي!$B$2:$B$1800,BD$1)</f>
        <v>0</v>
      </c>
      <c r="BE94" s="117" t="n">
        <f aca="false">SUMIFS(الريسبي!$C$2:$C$1800,الريسبي!$A$2:$A$1800,$A94,الريسبي!$B$2:$B$1800,BE$1)</f>
        <v>1.5</v>
      </c>
      <c r="BF94" s="117" t="n">
        <f aca="false">SUMIFS(الريسبي!$C$2:$C$1800,الريسبي!$A$2:$A$1800,$A94,الريسبي!$B$2:$B$1800,BF$1)</f>
        <v>0</v>
      </c>
      <c r="BG94" s="117" t="n">
        <f aca="false">SUMIFS(الريسبي!$C$2:$C$1800,الريسبي!$A$2:$A$1800,$A94,الريسبي!$B$2:$B$1800,BG$1)</f>
        <v>1</v>
      </c>
      <c r="BH94" s="117" t="n">
        <f aca="false">SUMIFS(الريسبي!$C$2:$C$1800,الريسبي!$A$2:$A$1800,$A94,الريسبي!$B$2:$B$1800,BH$1)</f>
        <v>0</v>
      </c>
      <c r="BI94" s="117" t="n">
        <f aca="false">SUMIFS(الريسبي!$C$2:$C$1800,الريسبي!$A$2:$A$1800,$A94,الريسبي!$B$2:$B$1800,BI$1)</f>
        <v>0</v>
      </c>
      <c r="BJ94" s="117" t="n">
        <f aca="false">SUMIFS(الريسبي!$C$2:$C$1800,الريسبي!$A$2:$A$1800,$A94,الريسبي!$B$2:$B$1800,BJ$1)</f>
        <v>0</v>
      </c>
      <c r="BK94" s="117" t="n">
        <f aca="false">SUMIFS(الريسبي!$C$2:$C$1800,الريسبي!$A$2:$A$1800,$A94,الريسبي!$B$2:$B$1800,BK$1)</f>
        <v>0</v>
      </c>
      <c r="BL94" s="117" t="n">
        <f aca="false">SUMIFS(الريسبي!$C$2:$C$1800,الريسبي!$A$2:$A$1800,$A94,الريسبي!$B$2:$B$1800,BL$1)</f>
        <v>0</v>
      </c>
      <c r="BM94" s="117" t="n">
        <f aca="false">SUMIFS(الريسبي!$C$2:$C$1800,الريسبي!$A$2:$A$1800,$A94,الريسبي!$B$2:$B$1800,BM$1)</f>
        <v>0</v>
      </c>
      <c r="BN94" s="117" t="n">
        <f aca="false">SUMIFS(الريسبي!$C$2:$C$1800,الريسبي!$A$2:$A$1800,$A94,الريسبي!$B$2:$B$1800,BN$1)</f>
        <v>0.03</v>
      </c>
      <c r="BO94" s="117" t="n">
        <f aca="false">SUMIFS(الريسبي!$C$2:$C$1800,الريسبي!$A$2:$A$1800,$A94,الريسبي!$B$2:$B$1800,BO$1)</f>
        <v>0</v>
      </c>
      <c r="BP94" s="117" t="n">
        <f aca="false">SUMIFS(الريسبي!$C$2:$C$1800,الريسبي!$A$2:$A$1800,$A94,الريسبي!$B$2:$B$1800,BP$1)</f>
        <v>3</v>
      </c>
      <c r="BQ94" s="117" t="n">
        <f aca="false">SUMIFS(الريسبي!$C$2:$C$1800,الريسبي!$A$2:$A$1800,$A94,الريسبي!$B$2:$B$1800,BQ$1)+0.17*SUMIFS(الريسبي!$C$2:$C$1800,الريسبي!$A$2:$A$1800,$A94,الريسبي!$B$2:$B$1800,"كاسترد مصنع (خليط بودر + لبن)")+0.17*SUMIFS(الريسبي!$C$2:$C$1800,الريسبي!$A$2:$A$1800,$A94,الريسبي!$B$2:$B$1800,"كاسترد مصنع صيامي (بدون لبن)")</f>
        <v>0</v>
      </c>
      <c r="BR94" s="117" t="n">
        <f aca="false">SUMIFS(الريسبي!$C$2:$C$1800,الريسبي!$A$2:$A$1800,$A94,الريسبي!$B$2:$B$1800,BR$1)</f>
        <v>1</v>
      </c>
      <c r="BS94" s="117" t="n">
        <f aca="false">SUMIFS(الريسبي!$C$2:$C$1800,الريسبي!$A$2:$A$1800,$A94,الريسبي!$B$2:$B$1800,BS$1)</f>
        <v>0</v>
      </c>
      <c r="BT94" s="117" t="n">
        <f aca="false">SUMIFS(الريسبي!$C$2:$C$1800,الريسبي!$A$2:$A$1800,$A94,الريسبي!$B$2:$B$1800,BT$1)</f>
        <v>0</v>
      </c>
      <c r="BU94" s="117" t="n">
        <f aca="false">SUMIFS(الريسبي!$C$2:$C$1800,الريسبي!$A$2:$A$1800,$A94,الريسبي!$B$2:$B$1800,BU$1)+0.4*SUMIFS(الريسبي!$C$2:$C$1800,الريسبي!$A$2:$A$1800,$A94,الريسبي!$B$2:$B$1800,"كاسترد مصنع (خليط بودر + لبن)")+0.03333333333*SUMIFS(الريسبي!$C$2:$C$1800,الريسبي!$A$2:$A$1800,$A94,الريسبي!$B$2:$B$1800,"عجين كريب (مصنع بالمطعم)")</f>
        <v>0</v>
      </c>
      <c r="BV94" s="117" t="n">
        <f aca="false">SUMIFS(الريسبي!$C$2:$C$1800,الريسبي!$A$2:$A$1800,$A94,الريسبي!$B$2:$B$1800,BV$1)</f>
        <v>0</v>
      </c>
      <c r="BW94" s="117" t="n">
        <f aca="false">SUMIFS(الريسبي!$C$2:$C$1800,الريسبي!$A$2:$A$1800,$A94,الريسبي!$B$2:$B$1800,BW$1)</f>
        <v>0</v>
      </c>
      <c r="BX94" s="117" t="n">
        <f aca="false">SUMIFS(الريسبي!$C$2:$C$1800,الريسبي!$A$2:$A$1800,$A94,الريسبي!$B$2:$B$1800,BX$1)</f>
        <v>0</v>
      </c>
      <c r="BY94" s="117" t="n">
        <f aca="false">SUMIFS(الريسبي!$C$2:$C$1800,الريسبي!$A$2:$A$1800,$A94,الريسبي!$B$2:$B$1800,BY$1)</f>
        <v>0</v>
      </c>
      <c r="BZ94" s="117" t="n">
        <f aca="false">SUMIFS(الريسبي!$C$2:$C$1800,الريسبي!$A$2:$A$1800,$A94,الريسبي!$B$2:$B$1800,BZ$1)</f>
        <v>0</v>
      </c>
      <c r="CA94" s="117" t="n">
        <f aca="false">SUMIFS(الريسبي!$C$2:$C$1800,الريسبي!$A$2:$A$1800,$A94,الريسبي!$B$2:$B$1800,CA$1)</f>
        <v>1</v>
      </c>
      <c r="CB94" s="117" t="n">
        <f aca="false">SUMIFS(الريسبي!$C$2:$C$1800,الريسبي!$A$2:$A$1800,$A94,الريسبي!$B$2:$B$1800,CB$1)</f>
        <v>1</v>
      </c>
      <c r="CC94" s="117" t="n">
        <f aca="false">SUMIFS(الريسبي!$C$2:$C$1800,الريسبي!$A$2:$A$1800,$A94,الريسبي!$B$2:$B$1800,CC$1)</f>
        <v>0</v>
      </c>
      <c r="CD94" s="117" t="n">
        <f aca="false">SUMIFS(الريسبي!$C$2:$C$1800,الريسبي!$A$2:$A$1800,$A94,الريسبي!$B$2:$B$1800,CD$1)</f>
        <v>0</v>
      </c>
      <c r="CE94" s="117" t="n">
        <f aca="false">SUMIFS(الريسبي!$C$2:$C$1800,الريسبي!$A$2:$A$1800,$A94,الريسبي!$B$2:$B$1800,CE$1)</f>
        <v>0</v>
      </c>
      <c r="CF94" s="117" t="n">
        <f aca="false">SUMIFS(الريسبي!$C$2:$C$1800,الريسبي!$A$2:$A$1800,$A94,الريسبي!$B$2:$B$1800,CF$1)</f>
        <v>0</v>
      </c>
      <c r="CG94" s="117" t="n">
        <f aca="false">SUMIFS(الريسبي!$C$2:$C$1800,الريسبي!$A$2:$A$1800,$A94,الريسبي!$B$2:$B$1800,CG$1)</f>
        <v>0</v>
      </c>
      <c r="CH94" s="117" t="n">
        <f aca="false">SUMIFS(الريسبي!$C$2:$C$1800,الريسبي!$A$2:$A$1800,$A94,الريسبي!$B$2:$B$1800,CH$1)</f>
        <v>0</v>
      </c>
      <c r="CI94" s="117" t="n">
        <f aca="false">SUMIFS(الريسبي!$C$2:$C$1800,الريسبي!$A$2:$A$1800,$A94,الريسبي!$B$2:$B$1800,CI$1)</f>
        <v>0</v>
      </c>
      <c r="CJ94" s="117" t="n">
        <f aca="false">SUMIFS(الريسبي!$C$2:$C$1800,الريسبي!$A$2:$A$1800,$A94,الريسبي!$B$2:$B$1800,CJ$1)</f>
        <v>0</v>
      </c>
      <c r="CK94" s="117" t="n">
        <f aca="false">SUMIFS(الريسبي!$C$2:$C$1800,الريسبي!$A$2:$A$1800,$A94,الريسبي!$B$2:$B$1800,CK$1)</f>
        <v>0</v>
      </c>
      <c r="CL94" s="117" t="n">
        <f aca="false">SUMIFS(الريسبي!$C$2:$C$1800,الريسبي!$A$2:$A$1800,$A94,الريسبي!$B$2:$B$1800,CL$1)</f>
        <v>0</v>
      </c>
    </row>
    <row r="95" customFormat="false" ht="15" hidden="false" customHeight="false" outlineLevel="0" collapsed="false">
      <c r="A95" s="116" t="str">
        <f aca="false">المنيو!B95</f>
        <v>فطيرة مشروم صيامي وسط</v>
      </c>
      <c r="B95" s="117" t="n">
        <f aca="false">SUMIFS(الريسبي!$C$2:$C$1800,الريسبي!$A$2:$A$1800,$A95,الريسبي!$B$2:$B$1800,B$1)</f>
        <v>0</v>
      </c>
      <c r="C95" s="117" t="n">
        <f aca="false">SUMIFS(الريسبي!$C$2:$C$1800,الريسبي!$A$2:$A$1800,$A95,الريسبي!$B$2:$B$1800,C$1)</f>
        <v>0</v>
      </c>
      <c r="D95" s="117" t="n">
        <f aca="false">SUMIFS(الريسبي!$C$2:$C$1800,الريسبي!$A$2:$A$1800,$A95,الريسبي!$B$2:$B$1800,D$1)</f>
        <v>1</v>
      </c>
      <c r="E95" s="117" t="n">
        <f aca="false">SUMIFS(الريسبي!$C$2:$C$1800,الريسبي!$A$2:$A$1800,$A95,الريسبي!$B$2:$B$1800,E$1)</f>
        <v>0</v>
      </c>
      <c r="F95" s="117" t="n">
        <f aca="false">SUMIFS(الريسبي!$C$2:$C$1800,الريسبي!$A$2:$A$1800,$A95,الريسبي!$B$2:$B$1800,F$1)</f>
        <v>0</v>
      </c>
      <c r="G95" s="117" t="n">
        <f aca="false">SUMIFS(الريسبي!$C$2:$C$1800,الريسبي!$A$2:$A$1800,$A95,الريسبي!$B$2:$B$1800,G$1)</f>
        <v>0</v>
      </c>
      <c r="H95" s="117" t="n">
        <f aca="false">SUMIFS(الريسبي!$C$2:$C$1800,الريسبي!$A$2:$A$1800,$A95,الريسبي!$B$2:$B$1800,H$1)</f>
        <v>0</v>
      </c>
      <c r="I95" s="117" t="n">
        <f aca="false">SUMIFS(الريسبي!$C$2:$C$1800,الريسبي!$A$2:$A$1800,$A95,الريسبي!$B$2:$B$1800,I$1)</f>
        <v>0</v>
      </c>
      <c r="J95" s="117" t="n">
        <f aca="false">SUMIFS(الريسبي!$C$2:$C$1800,الريسبي!$A$2:$A$1800,$A95,الريسبي!$B$2:$B$1800,J$1)</f>
        <v>0</v>
      </c>
      <c r="K95" s="117" t="n">
        <f aca="false">SUMIFS(الريسبي!$C$2:$C$1800,الريسبي!$A$2:$A$1800,$A95,الريسبي!$B$2:$B$1800,K$1)</f>
        <v>0</v>
      </c>
      <c r="L95" s="117" t="n">
        <f aca="false">SUMIFS(الريسبي!$C$2:$C$1800,الريسبي!$A$2:$A$1800,$A95,الريسبي!$B$2:$B$1800,L$1)</f>
        <v>0</v>
      </c>
      <c r="M95" s="117" t="n">
        <f aca="false">SUMIFS(الريسبي!$C$2:$C$1800,الريسبي!$A$2:$A$1800,$A95,الريسبي!$B$2:$B$1800,M$1)</f>
        <v>0</v>
      </c>
      <c r="N95" s="117" t="n">
        <f aca="false">SUMIFS(الريسبي!$C$2:$C$1800,الريسبي!$A$2:$A$1800,$A95,الريسبي!$B$2:$B$1800,N$1)</f>
        <v>0</v>
      </c>
      <c r="O95" s="117" t="n">
        <f aca="false">SUMIFS(الريسبي!$C$2:$C$1800,الريسبي!$A$2:$A$1800,$A95,الريسبي!$B$2:$B$1800,O$1)</f>
        <v>0</v>
      </c>
      <c r="P95" s="117" t="n">
        <f aca="false">SUMIFS(الريسبي!$C$2:$C$1800,الريسبي!$A$2:$A$1800,$A95,الريسبي!$B$2:$B$1800,P$1)</f>
        <v>0</v>
      </c>
      <c r="Q95" s="117" t="n">
        <f aca="false">SUMIFS(الريسبي!$C$2:$C$1800,الريسبي!$A$2:$A$1800,$A95,الريسبي!$B$2:$B$1800,Q$1)</f>
        <v>0</v>
      </c>
      <c r="R95" s="117" t="n">
        <f aca="false">SUMIFS(الريسبي!$C$2:$C$1800,الريسبي!$A$2:$A$1800,$A95,الريسبي!$B$2:$B$1800,R$1)</f>
        <v>0</v>
      </c>
      <c r="S95" s="117" t="n">
        <f aca="false">SUMIFS(الريسبي!$C$2:$C$1800,الريسبي!$A$2:$A$1800,$A95,الريسبي!$B$2:$B$1800,S$1)</f>
        <v>0</v>
      </c>
      <c r="T95" s="117" t="n">
        <f aca="false">SUMIFS(الريسبي!$C$2:$C$1800,الريسبي!$A$2:$A$1800,$A95,الريسبي!$B$2:$B$1800,T$1)</f>
        <v>0</v>
      </c>
      <c r="U95" s="117" t="n">
        <f aca="false">SUMIFS(الريسبي!$C$2:$C$1800,الريسبي!$A$2:$A$1800,$A95,الريسبي!$B$2:$B$1800,U$1)</f>
        <v>0</v>
      </c>
      <c r="V95" s="117" t="n">
        <f aca="false">SUMIFS(الريسبي!$C$2:$C$1800,الريسبي!$A$2:$A$1800,$A95,الريسبي!$B$2:$B$1800,V$1)</f>
        <v>0</v>
      </c>
      <c r="W95" s="117" t="n">
        <f aca="false">SUMIFS(الريسبي!$C$2:$C$1800,الريسبي!$A$2:$A$1800,$A95,الريسبي!$B$2:$B$1800,W$1)</f>
        <v>0</v>
      </c>
      <c r="X95" s="117" t="n">
        <f aca="false">SUMIFS(الريسبي!$C$2:$C$1800,الريسبي!$A$2:$A$1800,$A95,الريسبي!$B$2:$B$1800,X$1)</f>
        <v>1</v>
      </c>
      <c r="Y95" s="117" t="n">
        <f aca="false">SUMIFS(الريسبي!$C$2:$C$1800,الريسبي!$A$2:$A$1800,$A95,الريسبي!$B$2:$B$1800,Y$1)</f>
        <v>0</v>
      </c>
      <c r="Z95" s="117" t="n">
        <f aca="false">SUMIFS(الريسبي!$C$2:$C$1800,الريسبي!$A$2:$A$1800,$A95,الريسبي!$B$2:$B$1800,Z$1)</f>
        <v>0</v>
      </c>
      <c r="AA95" s="117" t="n">
        <f aca="false">SUMIFS(الريسبي!$C$2:$C$1800,الريسبي!$A$2:$A$1800,$A95,الريسبي!$B$2:$B$1800,AA$1)</f>
        <v>0</v>
      </c>
      <c r="AB95" s="117" t="n">
        <f aca="false">SUMIFS(الريسبي!$C$2:$C$1800,الريسبي!$A$2:$A$1800,$A95,الريسبي!$B$2:$B$1800,AB$1)</f>
        <v>0</v>
      </c>
      <c r="AC95" s="117" t="n">
        <f aca="false">SUMIFS(الريسبي!$C$2:$C$1800,الريسبي!$A$2:$A$1800,$A95,الريسبي!$B$2:$B$1800,AC$1)</f>
        <v>0</v>
      </c>
      <c r="AD95" s="117" t="n">
        <f aca="false">SUMIFS(الريسبي!$C$2:$C$1800,الريسبي!$A$2:$A$1800,$A95,الريسبي!$B$2:$B$1800,AD$1)</f>
        <v>0</v>
      </c>
      <c r="AE95" s="117" t="n">
        <f aca="false">SUMIFS(الريسبي!$C$2:$C$1800,الريسبي!$A$2:$A$1800,$A95,الريسبي!$B$2:$B$1800,AE$1)</f>
        <v>0</v>
      </c>
      <c r="AF95" s="117" t="n">
        <f aca="false">SUMIFS(الريسبي!$C$2:$C$1800,الريسبي!$A$2:$A$1800,$A95,الريسبي!$B$2:$B$1800,AF$1)</f>
        <v>0</v>
      </c>
      <c r="AG95" s="117" t="n">
        <f aca="false">SUMIFS(الريسبي!$C$2:$C$1800,الريسبي!$A$2:$A$1800,$A95,الريسبي!$B$2:$B$1800,AG$1)</f>
        <v>0</v>
      </c>
      <c r="AH95" s="117" t="n">
        <f aca="false">SUMIFS(الريسبي!$C$2:$C$1800,الريسبي!$A$2:$A$1800,$A95,الريسبي!$B$2:$B$1800,AH$1)</f>
        <v>0</v>
      </c>
      <c r="AI95" s="117" t="n">
        <f aca="false">SUMIFS(الريسبي!$C$2:$C$1800,الريسبي!$A$2:$A$1800,$A95,الريسبي!$B$2:$B$1800,AI$1)</f>
        <v>0</v>
      </c>
      <c r="AJ95" s="117" t="n">
        <f aca="false">SUMIFS(الريسبي!$C$2:$C$1800,الريسبي!$A$2:$A$1800,$A95,الريسبي!$B$2:$B$1800,AJ$1)</f>
        <v>2</v>
      </c>
      <c r="AK95" s="117" t="n">
        <f aca="false">SUMIFS(الريسبي!$C$2:$C$1800,الريسبي!$A$2:$A$1800,$A95,الريسبي!$B$2:$B$1800,AK$1)</f>
        <v>0</v>
      </c>
      <c r="AL95" s="117" t="n">
        <f aca="false">SUMIFS(الريسبي!$C$2:$C$1800,الريسبي!$A$2:$A$1800,$A95,الريسبي!$B$2:$B$1800,AL$1)</f>
        <v>0</v>
      </c>
      <c r="AM95" s="117" t="n">
        <f aca="false">SUMIFS(الريسبي!$C$2:$C$1800,الريسبي!$A$2:$A$1800,$A95,الريسبي!$B$2:$B$1800,AM$1)+0.08333333333*SUMIFS(الريسبي!$C$2:$C$1800,الريسبي!$A$2:$A$1800,$A95,الريسبي!$B$2:$B$1800,"عجين كريب (مصنع بالمطعم)")+0.08333333333*SUMIFS(الريسبي!$C$2:$C$1800,الريسبي!$A$2:$A$1800,$A95,الريسبي!$B$2:$B$1800,"عجين كريب صيامي (بدون لبن)")</f>
        <v>0</v>
      </c>
      <c r="AN95" s="117" t="n">
        <f aca="false">SUMIFS(الريسبي!$C$2:$C$1800,الريسبي!$A$2:$A$1800,$A95,الريسبي!$B$2:$B$1800,AN$1)+0.004166666667*SUMIFS(الريسبي!$C$2:$C$1800,الريسبي!$A$2:$A$1800,$A95,الريسبي!$B$2:$B$1800,"عجين كريب (مصنع بالمطعم)")+0.004166666667*SUMIFS(الريسبي!$C$2:$C$1800,الريسبي!$A$2:$A$1800,$A95,الريسبي!$B$2:$B$1800,"عجين كريب صيامي (بدون لبن)")</f>
        <v>0</v>
      </c>
      <c r="AO95" s="117" t="n">
        <f aca="false">SUMIFS(الريسبي!$C$2:$C$1800,الريسبي!$A$2:$A$1800,$A95,الريسبي!$B$2:$B$1800,AO$1)</f>
        <v>0</v>
      </c>
      <c r="AP95" s="117" t="n">
        <f aca="false">SUMIFS(الريسبي!$C$2:$C$1800,الريسبي!$A$2:$A$1800,$A95,الريسبي!$B$2:$B$1800,AP$1)</f>
        <v>0.02</v>
      </c>
      <c r="AQ95" s="117" t="n">
        <f aca="false">SUMIFS(الريسبي!$C$2:$C$1800,الريسبي!$A$2:$A$1800,$A95,الريسبي!$B$2:$B$1800,AQ$1)+0.004166666667*SUMIFS(الريسبي!$C$2:$C$1800,الريسبي!$A$2:$A$1800,$A95,الريسبي!$B$2:$B$1800,"عجين كريب (مصنع بالمطعم)")+0.004166666667*SUMIFS(الريسبي!$C$2:$C$1800,الريسبي!$A$2:$A$1800,$A95,الريسبي!$B$2:$B$1800,"عجين كريب صيامي (بدون لبن)")</f>
        <v>0</v>
      </c>
      <c r="AR95" s="117" t="n">
        <f aca="false">SUMIFS(الريسبي!$C$2:$C$1800,الريسبي!$A$2:$A$1800,$A95,الريسبي!$B$2:$B$1800,AR$1)</f>
        <v>0</v>
      </c>
      <c r="AS95" s="117" t="n">
        <f aca="false">SUMIFS(الريسبي!$C$2:$C$1800,الريسبي!$A$2:$A$1800,$A95,الريسبي!$B$2:$B$1800,AS$1)</f>
        <v>0</v>
      </c>
      <c r="AT95" s="117" t="n">
        <f aca="false">SUMIFS(الريسبي!$C$2:$C$1800,الريسبي!$A$2:$A$1800,$A95,الريسبي!$B$2:$B$1800,AT$1)</f>
        <v>0</v>
      </c>
      <c r="AU95" s="117" t="n">
        <f aca="false">SUMIFS(الريسبي!$C$2:$C$1800,الريسبي!$A$2:$A$1800,$A95,الريسبي!$B$2:$B$1800,AU$1)</f>
        <v>0</v>
      </c>
      <c r="AV95" s="117" t="n">
        <f aca="false">SUMIFS(الريسبي!$C$2:$C$1800,الريسبي!$A$2:$A$1800,$A95,الريسبي!$B$2:$B$1800,AV$1)</f>
        <v>0</v>
      </c>
      <c r="AW95" s="117" t="n">
        <f aca="false">SUMIFS(الريسبي!$C$2:$C$1800,الريسبي!$A$2:$A$1800,$A95,الريسبي!$B$2:$B$1800,AW$1)</f>
        <v>0</v>
      </c>
      <c r="AX95" s="117" t="n">
        <f aca="false">SUMIFS(الريسبي!$C$2:$C$1800,الريسبي!$A$2:$A$1800,$A95,الريسبي!$B$2:$B$1800,AX$1)</f>
        <v>0</v>
      </c>
      <c r="AY95" s="117" t="n">
        <f aca="false">SUMIFS(الريسبي!$C$2:$C$1800,الريسبي!$A$2:$A$1800,$A95,الريسبي!$B$2:$B$1800,AY$1)</f>
        <v>0</v>
      </c>
      <c r="AZ95" s="117" t="n">
        <f aca="false">SUMIFS(الريسبي!$C$2:$C$1800,الريسبي!$A$2:$A$1800,$A95,الريسبي!$B$2:$B$1800,AZ$1)</f>
        <v>0</v>
      </c>
      <c r="BA95" s="117" t="n">
        <f aca="false">SUMIFS(الريسبي!$C$2:$C$1800,الريسبي!$A$2:$A$1800,$A95,الريسبي!$B$2:$B$1800,BA$1)</f>
        <v>0</v>
      </c>
      <c r="BB95" s="117" t="n">
        <f aca="false">SUMIFS(الريسبي!$C$2:$C$1800,الريسبي!$A$2:$A$1800,$A95,الريسبي!$B$2:$B$1800,BB$1)</f>
        <v>0</v>
      </c>
      <c r="BC95" s="117" t="n">
        <f aca="false">SUMIFS(الريسبي!$C$2:$C$1800,الريسبي!$A$2:$A$1800,$A95,الريسبي!$B$2:$B$1800,BC$1)</f>
        <v>0.03</v>
      </c>
      <c r="BD95" s="117" t="n">
        <f aca="false">SUMIFS(الريسبي!$C$2:$C$1800,الريسبي!$A$2:$A$1800,$A95,الريسبي!$B$2:$B$1800,BD$1)</f>
        <v>0</v>
      </c>
      <c r="BE95" s="117" t="n">
        <f aca="false">SUMIFS(الريسبي!$C$2:$C$1800,الريسبي!$A$2:$A$1800,$A95,الريسبي!$B$2:$B$1800,BE$1)</f>
        <v>1</v>
      </c>
      <c r="BF95" s="117" t="n">
        <f aca="false">SUMIFS(الريسبي!$C$2:$C$1800,الريسبي!$A$2:$A$1800,$A95,الريسبي!$B$2:$B$1800,BF$1)</f>
        <v>0</v>
      </c>
      <c r="BG95" s="117" t="n">
        <f aca="false">SUMIFS(الريسبي!$C$2:$C$1800,الريسبي!$A$2:$A$1800,$A95,الريسبي!$B$2:$B$1800,BG$1)</f>
        <v>0</v>
      </c>
      <c r="BH95" s="117" t="n">
        <f aca="false">SUMIFS(الريسبي!$C$2:$C$1800,الريسبي!$A$2:$A$1800,$A95,الريسبي!$B$2:$B$1800,BH$1)</f>
        <v>1</v>
      </c>
      <c r="BI95" s="117" t="n">
        <f aca="false">SUMIFS(الريسبي!$C$2:$C$1800,الريسبي!$A$2:$A$1800,$A95,الريسبي!$B$2:$B$1800,BI$1)</f>
        <v>0</v>
      </c>
      <c r="BJ95" s="117" t="n">
        <f aca="false">SUMIFS(الريسبي!$C$2:$C$1800,الريسبي!$A$2:$A$1800,$A95,الريسبي!$B$2:$B$1800,BJ$1)</f>
        <v>0</v>
      </c>
      <c r="BK95" s="117" t="n">
        <f aca="false">SUMIFS(الريسبي!$C$2:$C$1800,الريسبي!$A$2:$A$1800,$A95,الريسبي!$B$2:$B$1800,BK$1)</f>
        <v>0</v>
      </c>
      <c r="BL95" s="117" t="n">
        <f aca="false">SUMIFS(الريسبي!$C$2:$C$1800,الريسبي!$A$2:$A$1800,$A95,الريسبي!$B$2:$B$1800,BL$1)</f>
        <v>0</v>
      </c>
      <c r="BM95" s="117" t="n">
        <f aca="false">SUMIFS(الريسبي!$C$2:$C$1800,الريسبي!$A$2:$A$1800,$A95,الريسبي!$B$2:$B$1800,BM$1)</f>
        <v>0</v>
      </c>
      <c r="BN95" s="117" t="n">
        <f aca="false">SUMIFS(الريسبي!$C$2:$C$1800,الريسبي!$A$2:$A$1800,$A95,الريسبي!$B$2:$B$1800,BN$1)</f>
        <v>0.02</v>
      </c>
      <c r="BO95" s="117" t="n">
        <f aca="false">SUMIFS(الريسبي!$C$2:$C$1800,الريسبي!$A$2:$A$1800,$A95,الريسبي!$B$2:$B$1800,BO$1)</f>
        <v>0</v>
      </c>
      <c r="BP95" s="117" t="n">
        <f aca="false">SUMIFS(الريسبي!$C$2:$C$1800,الريسبي!$A$2:$A$1800,$A95,الريسبي!$B$2:$B$1800,BP$1)</f>
        <v>2</v>
      </c>
      <c r="BQ95" s="117" t="n">
        <f aca="false">SUMIFS(الريسبي!$C$2:$C$1800,الريسبي!$A$2:$A$1800,$A95,الريسبي!$B$2:$B$1800,BQ$1)+0.17*SUMIFS(الريسبي!$C$2:$C$1800,الريسبي!$A$2:$A$1800,$A95,الريسبي!$B$2:$B$1800,"كاسترد مصنع (خليط بودر + لبن)")+0.17*SUMIFS(الريسبي!$C$2:$C$1800,الريسبي!$A$2:$A$1800,$A95,الريسبي!$B$2:$B$1800,"كاسترد مصنع صيامي (بدون لبن)")</f>
        <v>0</v>
      </c>
      <c r="BR95" s="117" t="n">
        <f aca="false">SUMIFS(الريسبي!$C$2:$C$1800,الريسبي!$A$2:$A$1800,$A95,الريسبي!$B$2:$B$1800,BR$1)</f>
        <v>1</v>
      </c>
      <c r="BS95" s="117" t="n">
        <f aca="false">SUMIFS(الريسبي!$C$2:$C$1800,الريسبي!$A$2:$A$1800,$A95,الريسبي!$B$2:$B$1800,BS$1)</f>
        <v>0</v>
      </c>
      <c r="BT95" s="117" t="n">
        <f aca="false">SUMIFS(الريسبي!$C$2:$C$1800,الريسبي!$A$2:$A$1800,$A95,الريسبي!$B$2:$B$1800,BT$1)</f>
        <v>0</v>
      </c>
      <c r="BU95" s="117" t="n">
        <f aca="false">SUMIFS(الريسبي!$C$2:$C$1800,الريسبي!$A$2:$A$1800,$A95,الريسبي!$B$2:$B$1800,BU$1)+0.4*SUMIFS(الريسبي!$C$2:$C$1800,الريسبي!$A$2:$A$1800,$A95,الريسبي!$B$2:$B$1800,"كاسترد مصنع (خليط بودر + لبن)")+0.03333333333*SUMIFS(الريسبي!$C$2:$C$1800,الريسبي!$A$2:$A$1800,$A95,الريسبي!$B$2:$B$1800,"عجين كريب (مصنع بالمطعم)")</f>
        <v>0</v>
      </c>
      <c r="BV95" s="117" t="n">
        <f aca="false">SUMIFS(الريسبي!$C$2:$C$1800,الريسبي!$A$2:$A$1800,$A95,الريسبي!$B$2:$B$1800,BV$1)</f>
        <v>0</v>
      </c>
      <c r="BW95" s="117" t="n">
        <f aca="false">SUMIFS(الريسبي!$C$2:$C$1800,الريسبي!$A$2:$A$1800,$A95,الريسبي!$B$2:$B$1800,BW$1)</f>
        <v>0</v>
      </c>
      <c r="BX95" s="117" t="n">
        <f aca="false">SUMIFS(الريسبي!$C$2:$C$1800,الريسبي!$A$2:$A$1800,$A95,الريسبي!$B$2:$B$1800,BX$1)</f>
        <v>0.1</v>
      </c>
      <c r="BY95" s="117" t="n">
        <f aca="false">SUMIFS(الريسبي!$C$2:$C$1800,الريسبي!$A$2:$A$1800,$A95,الريسبي!$B$2:$B$1800,BY$1)</f>
        <v>0</v>
      </c>
      <c r="BZ95" s="117" t="n">
        <f aca="false">SUMIFS(الريسبي!$C$2:$C$1800,الريسبي!$A$2:$A$1800,$A95,الريسبي!$B$2:$B$1800,BZ$1)</f>
        <v>0</v>
      </c>
      <c r="CA95" s="117" t="n">
        <f aca="false">SUMIFS(الريسبي!$C$2:$C$1800,الريسبي!$A$2:$A$1800,$A95,الريسبي!$B$2:$B$1800,CA$1)</f>
        <v>1</v>
      </c>
      <c r="CB95" s="117" t="n">
        <f aca="false">SUMIFS(الريسبي!$C$2:$C$1800,الريسبي!$A$2:$A$1800,$A95,الريسبي!$B$2:$B$1800,CB$1)</f>
        <v>1</v>
      </c>
      <c r="CC95" s="117" t="n">
        <f aca="false">SUMIFS(الريسبي!$C$2:$C$1800,الريسبي!$A$2:$A$1800,$A95,الريسبي!$B$2:$B$1800,CC$1)</f>
        <v>0</v>
      </c>
      <c r="CD95" s="117" t="n">
        <f aca="false">SUMIFS(الريسبي!$C$2:$C$1800,الريسبي!$A$2:$A$1800,$A95,الريسبي!$B$2:$B$1800,CD$1)</f>
        <v>0</v>
      </c>
      <c r="CE95" s="117" t="n">
        <f aca="false">SUMIFS(الريسبي!$C$2:$C$1800,الريسبي!$A$2:$A$1800,$A95,الريسبي!$B$2:$B$1800,CE$1)</f>
        <v>0</v>
      </c>
      <c r="CF95" s="117" t="n">
        <f aca="false">SUMIFS(الريسبي!$C$2:$C$1800,الريسبي!$A$2:$A$1800,$A95,الريسبي!$B$2:$B$1800,CF$1)</f>
        <v>0</v>
      </c>
      <c r="CG95" s="117" t="n">
        <f aca="false">SUMIFS(الريسبي!$C$2:$C$1800,الريسبي!$A$2:$A$1800,$A95,الريسبي!$B$2:$B$1800,CG$1)</f>
        <v>0</v>
      </c>
      <c r="CH95" s="117" t="n">
        <f aca="false">SUMIFS(الريسبي!$C$2:$C$1800,الريسبي!$A$2:$A$1800,$A95,الريسبي!$B$2:$B$1800,CH$1)</f>
        <v>0</v>
      </c>
      <c r="CI95" s="117" t="n">
        <f aca="false">SUMIFS(الريسبي!$C$2:$C$1800,الريسبي!$A$2:$A$1800,$A95,الريسبي!$B$2:$B$1800,CI$1)</f>
        <v>0</v>
      </c>
      <c r="CJ95" s="117" t="n">
        <f aca="false">SUMIFS(الريسبي!$C$2:$C$1800,الريسبي!$A$2:$A$1800,$A95,الريسبي!$B$2:$B$1800,CJ$1)</f>
        <v>0</v>
      </c>
      <c r="CK95" s="117" t="n">
        <f aca="false">SUMIFS(الريسبي!$C$2:$C$1800,الريسبي!$A$2:$A$1800,$A95,الريسبي!$B$2:$B$1800,CK$1)</f>
        <v>0</v>
      </c>
      <c r="CL95" s="117" t="n">
        <f aca="false">SUMIFS(الريسبي!$C$2:$C$1800,الريسبي!$A$2:$A$1800,$A95,الريسبي!$B$2:$B$1800,CL$1)</f>
        <v>0</v>
      </c>
    </row>
    <row r="96" customFormat="false" ht="15" hidden="false" customHeight="false" outlineLevel="0" collapsed="false">
      <c r="A96" s="116" t="str">
        <f aca="false">المنيو!B96</f>
        <v>فطيرة مشروم صيامي مخصوص</v>
      </c>
      <c r="B96" s="117" t="n">
        <f aca="false">SUMIFS(الريسبي!$C$2:$C$1800,الريسبي!$A$2:$A$1800,$A96,الريسبي!$B$2:$B$1800,B$1)</f>
        <v>0</v>
      </c>
      <c r="C96" s="117" t="n">
        <f aca="false">SUMIFS(الريسبي!$C$2:$C$1800,الريسبي!$A$2:$A$1800,$A96,الريسبي!$B$2:$B$1800,C$1)</f>
        <v>0</v>
      </c>
      <c r="D96" s="117" t="n">
        <f aca="false">SUMIFS(الريسبي!$C$2:$C$1800,الريسبي!$A$2:$A$1800,$A96,الريسبي!$B$2:$B$1800,D$1)</f>
        <v>1</v>
      </c>
      <c r="E96" s="117" t="n">
        <f aca="false">SUMIFS(الريسبي!$C$2:$C$1800,الريسبي!$A$2:$A$1800,$A96,الريسبي!$B$2:$B$1800,E$1)</f>
        <v>0</v>
      </c>
      <c r="F96" s="117" t="n">
        <f aca="false">SUMIFS(الريسبي!$C$2:$C$1800,الريسبي!$A$2:$A$1800,$A96,الريسبي!$B$2:$B$1800,F$1)</f>
        <v>0</v>
      </c>
      <c r="G96" s="117" t="n">
        <f aca="false">SUMIFS(الريسبي!$C$2:$C$1800,الريسبي!$A$2:$A$1800,$A96,الريسبي!$B$2:$B$1800,G$1)</f>
        <v>0</v>
      </c>
      <c r="H96" s="117" t="n">
        <f aca="false">SUMIFS(الريسبي!$C$2:$C$1800,الريسبي!$A$2:$A$1800,$A96,الريسبي!$B$2:$B$1800,H$1)</f>
        <v>0</v>
      </c>
      <c r="I96" s="117" t="n">
        <f aca="false">SUMIFS(الريسبي!$C$2:$C$1800,الريسبي!$A$2:$A$1800,$A96,الريسبي!$B$2:$B$1800,I$1)</f>
        <v>0</v>
      </c>
      <c r="J96" s="117" t="n">
        <f aca="false">SUMIFS(الريسبي!$C$2:$C$1800,الريسبي!$A$2:$A$1800,$A96,الريسبي!$B$2:$B$1800,J$1)</f>
        <v>0</v>
      </c>
      <c r="K96" s="117" t="n">
        <f aca="false">SUMIFS(الريسبي!$C$2:$C$1800,الريسبي!$A$2:$A$1800,$A96,الريسبي!$B$2:$B$1800,K$1)</f>
        <v>0</v>
      </c>
      <c r="L96" s="117" t="n">
        <f aca="false">SUMIFS(الريسبي!$C$2:$C$1800,الريسبي!$A$2:$A$1800,$A96,الريسبي!$B$2:$B$1800,L$1)</f>
        <v>0</v>
      </c>
      <c r="M96" s="117" t="n">
        <f aca="false">SUMIFS(الريسبي!$C$2:$C$1800,الريسبي!$A$2:$A$1800,$A96,الريسبي!$B$2:$B$1800,M$1)</f>
        <v>0</v>
      </c>
      <c r="N96" s="117" t="n">
        <f aca="false">SUMIFS(الريسبي!$C$2:$C$1800,الريسبي!$A$2:$A$1800,$A96,الريسبي!$B$2:$B$1800,N$1)</f>
        <v>0</v>
      </c>
      <c r="O96" s="117" t="n">
        <f aca="false">SUMIFS(الريسبي!$C$2:$C$1800,الريسبي!$A$2:$A$1800,$A96,الريسبي!$B$2:$B$1800,O$1)</f>
        <v>0</v>
      </c>
      <c r="P96" s="117" t="n">
        <f aca="false">SUMIFS(الريسبي!$C$2:$C$1800,الريسبي!$A$2:$A$1800,$A96,الريسبي!$B$2:$B$1800,P$1)</f>
        <v>0</v>
      </c>
      <c r="Q96" s="117" t="n">
        <f aca="false">SUMIFS(الريسبي!$C$2:$C$1800,الريسبي!$A$2:$A$1800,$A96,الريسبي!$B$2:$B$1800,Q$1)</f>
        <v>0</v>
      </c>
      <c r="R96" s="117" t="n">
        <f aca="false">SUMIFS(الريسبي!$C$2:$C$1800,الريسبي!$A$2:$A$1800,$A96,الريسبي!$B$2:$B$1800,R$1)</f>
        <v>0</v>
      </c>
      <c r="S96" s="117" t="n">
        <f aca="false">SUMIFS(الريسبي!$C$2:$C$1800,الريسبي!$A$2:$A$1800,$A96,الريسبي!$B$2:$B$1800,S$1)</f>
        <v>0</v>
      </c>
      <c r="T96" s="117" t="n">
        <f aca="false">SUMIFS(الريسبي!$C$2:$C$1800,الريسبي!$A$2:$A$1800,$A96,الريسبي!$B$2:$B$1800,T$1)</f>
        <v>0</v>
      </c>
      <c r="U96" s="117" t="n">
        <f aca="false">SUMIFS(الريسبي!$C$2:$C$1800,الريسبي!$A$2:$A$1800,$A96,الريسبي!$B$2:$B$1800,U$1)</f>
        <v>0</v>
      </c>
      <c r="V96" s="117" t="n">
        <f aca="false">SUMIFS(الريسبي!$C$2:$C$1800,الريسبي!$A$2:$A$1800,$A96,الريسبي!$B$2:$B$1800,V$1)</f>
        <v>0</v>
      </c>
      <c r="W96" s="117" t="n">
        <f aca="false">SUMIFS(الريسبي!$C$2:$C$1800,الريسبي!$A$2:$A$1800,$A96,الريسبي!$B$2:$B$1800,W$1)</f>
        <v>0</v>
      </c>
      <c r="X96" s="117" t="n">
        <f aca="false">SUMIFS(الريسبي!$C$2:$C$1800,الريسبي!$A$2:$A$1800,$A96,الريسبي!$B$2:$B$1800,X$1)</f>
        <v>0</v>
      </c>
      <c r="Y96" s="117" t="n">
        <f aca="false">SUMIFS(الريسبي!$C$2:$C$1800,الريسبي!$A$2:$A$1800,$A96,الريسبي!$B$2:$B$1800,Y$1)</f>
        <v>1</v>
      </c>
      <c r="Z96" s="117" t="n">
        <f aca="false">SUMIFS(الريسبي!$C$2:$C$1800,الريسبي!$A$2:$A$1800,$A96,الريسبي!$B$2:$B$1800,Z$1)</f>
        <v>0</v>
      </c>
      <c r="AA96" s="117" t="n">
        <f aca="false">SUMIFS(الريسبي!$C$2:$C$1800,الريسبي!$A$2:$A$1800,$A96,الريسبي!$B$2:$B$1800,AA$1)</f>
        <v>0</v>
      </c>
      <c r="AB96" s="117" t="n">
        <f aca="false">SUMIFS(الريسبي!$C$2:$C$1800,الريسبي!$A$2:$A$1800,$A96,الريسبي!$B$2:$B$1800,AB$1)</f>
        <v>0</v>
      </c>
      <c r="AC96" s="117" t="n">
        <f aca="false">SUMIFS(الريسبي!$C$2:$C$1800,الريسبي!$A$2:$A$1800,$A96,الريسبي!$B$2:$B$1800,AC$1)</f>
        <v>0</v>
      </c>
      <c r="AD96" s="117" t="n">
        <f aca="false">SUMIFS(الريسبي!$C$2:$C$1800,الريسبي!$A$2:$A$1800,$A96,الريسبي!$B$2:$B$1800,AD$1)</f>
        <v>0</v>
      </c>
      <c r="AE96" s="117" t="n">
        <f aca="false">SUMIFS(الريسبي!$C$2:$C$1800,الريسبي!$A$2:$A$1800,$A96,الريسبي!$B$2:$B$1800,AE$1)</f>
        <v>0</v>
      </c>
      <c r="AF96" s="117" t="n">
        <f aca="false">SUMIFS(الريسبي!$C$2:$C$1800,الريسبي!$A$2:$A$1800,$A96,الريسبي!$B$2:$B$1800,AF$1)</f>
        <v>0</v>
      </c>
      <c r="AG96" s="117" t="n">
        <f aca="false">SUMIFS(الريسبي!$C$2:$C$1800,الريسبي!$A$2:$A$1800,$A96,الريسبي!$B$2:$B$1800,AG$1)</f>
        <v>0</v>
      </c>
      <c r="AH96" s="117" t="n">
        <f aca="false">SUMIFS(الريسبي!$C$2:$C$1800,الريسبي!$A$2:$A$1800,$A96,الريسبي!$B$2:$B$1800,AH$1)</f>
        <v>0</v>
      </c>
      <c r="AI96" s="117" t="n">
        <f aca="false">SUMIFS(الريسبي!$C$2:$C$1800,الريسبي!$A$2:$A$1800,$A96,الريسبي!$B$2:$B$1800,AI$1)</f>
        <v>0</v>
      </c>
      <c r="AJ96" s="117" t="n">
        <f aca="false">SUMIFS(الريسبي!$C$2:$C$1800,الريسبي!$A$2:$A$1800,$A96,الريسبي!$B$2:$B$1800,AJ$1)</f>
        <v>2</v>
      </c>
      <c r="AK96" s="117" t="n">
        <f aca="false">SUMIFS(الريسبي!$C$2:$C$1800,الريسبي!$A$2:$A$1800,$A96,الريسبي!$B$2:$B$1800,AK$1)</f>
        <v>0</v>
      </c>
      <c r="AL96" s="117" t="n">
        <f aca="false">SUMIFS(الريسبي!$C$2:$C$1800,الريسبي!$A$2:$A$1800,$A96,الريسبي!$B$2:$B$1800,AL$1)</f>
        <v>0</v>
      </c>
      <c r="AM96" s="117" t="n">
        <f aca="false">SUMIFS(الريسبي!$C$2:$C$1800,الريسبي!$A$2:$A$1800,$A96,الريسبي!$B$2:$B$1800,AM$1)+0.08333333333*SUMIFS(الريسبي!$C$2:$C$1800,الريسبي!$A$2:$A$1800,$A96,الريسبي!$B$2:$B$1800,"عجين كريب (مصنع بالمطعم)")+0.08333333333*SUMIFS(الريسبي!$C$2:$C$1800,الريسبي!$A$2:$A$1800,$A96,الريسبي!$B$2:$B$1800,"عجين كريب صيامي (بدون لبن)")</f>
        <v>0</v>
      </c>
      <c r="AN96" s="117" t="n">
        <f aca="false">SUMIFS(الريسبي!$C$2:$C$1800,الريسبي!$A$2:$A$1800,$A96,الريسبي!$B$2:$B$1800,AN$1)+0.004166666667*SUMIFS(الريسبي!$C$2:$C$1800,الريسبي!$A$2:$A$1800,$A96,الريسبي!$B$2:$B$1800,"عجين كريب (مصنع بالمطعم)")+0.004166666667*SUMIFS(الريسبي!$C$2:$C$1800,الريسبي!$A$2:$A$1800,$A96,الريسبي!$B$2:$B$1800,"عجين كريب صيامي (بدون لبن)")</f>
        <v>0</v>
      </c>
      <c r="AO96" s="117" t="n">
        <f aca="false">SUMIFS(الريسبي!$C$2:$C$1800,الريسبي!$A$2:$A$1800,$A96,الريسبي!$B$2:$B$1800,AO$1)</f>
        <v>0</v>
      </c>
      <c r="AP96" s="117" t="n">
        <f aca="false">SUMIFS(الريسبي!$C$2:$C$1800,الريسبي!$A$2:$A$1800,$A96,الريسبي!$B$2:$B$1800,AP$1)</f>
        <v>0.03</v>
      </c>
      <c r="AQ96" s="117" t="n">
        <f aca="false">SUMIFS(الريسبي!$C$2:$C$1800,الريسبي!$A$2:$A$1800,$A96,الريسبي!$B$2:$B$1800,AQ$1)+0.004166666667*SUMIFS(الريسبي!$C$2:$C$1800,الريسبي!$A$2:$A$1800,$A96,الريسبي!$B$2:$B$1800,"عجين كريب (مصنع بالمطعم)")+0.004166666667*SUMIFS(الريسبي!$C$2:$C$1800,الريسبي!$A$2:$A$1800,$A96,الريسبي!$B$2:$B$1800,"عجين كريب صيامي (بدون لبن)")</f>
        <v>0</v>
      </c>
      <c r="AR96" s="117" t="n">
        <f aca="false">SUMIFS(الريسبي!$C$2:$C$1800,الريسبي!$A$2:$A$1800,$A96,الريسبي!$B$2:$B$1800,AR$1)</f>
        <v>0</v>
      </c>
      <c r="AS96" s="117" t="n">
        <f aca="false">SUMIFS(الريسبي!$C$2:$C$1800,الريسبي!$A$2:$A$1800,$A96,الريسبي!$B$2:$B$1800,AS$1)</f>
        <v>0</v>
      </c>
      <c r="AT96" s="117" t="n">
        <f aca="false">SUMIFS(الريسبي!$C$2:$C$1800,الريسبي!$A$2:$A$1800,$A96,الريسبي!$B$2:$B$1800,AT$1)</f>
        <v>0</v>
      </c>
      <c r="AU96" s="117" t="n">
        <f aca="false">SUMIFS(الريسبي!$C$2:$C$1800,الريسبي!$A$2:$A$1800,$A96,الريسبي!$B$2:$B$1800,AU$1)</f>
        <v>0</v>
      </c>
      <c r="AV96" s="117" t="n">
        <f aca="false">SUMIFS(الريسبي!$C$2:$C$1800,الريسبي!$A$2:$A$1800,$A96,الريسبي!$B$2:$B$1800,AV$1)</f>
        <v>0</v>
      </c>
      <c r="AW96" s="117" t="n">
        <f aca="false">SUMIFS(الريسبي!$C$2:$C$1800,الريسبي!$A$2:$A$1800,$A96,الريسبي!$B$2:$B$1800,AW$1)</f>
        <v>0</v>
      </c>
      <c r="AX96" s="117" t="n">
        <f aca="false">SUMIFS(الريسبي!$C$2:$C$1800,الريسبي!$A$2:$A$1800,$A96,الريسبي!$B$2:$B$1800,AX$1)</f>
        <v>0</v>
      </c>
      <c r="AY96" s="117" t="n">
        <f aca="false">SUMIFS(الريسبي!$C$2:$C$1800,الريسبي!$A$2:$A$1800,$A96,الريسبي!$B$2:$B$1800,AY$1)</f>
        <v>0</v>
      </c>
      <c r="AZ96" s="117" t="n">
        <f aca="false">SUMIFS(الريسبي!$C$2:$C$1800,الريسبي!$A$2:$A$1800,$A96,الريسبي!$B$2:$B$1800,AZ$1)</f>
        <v>0</v>
      </c>
      <c r="BA96" s="117" t="n">
        <f aca="false">SUMIFS(الريسبي!$C$2:$C$1800,الريسبي!$A$2:$A$1800,$A96,الريسبي!$B$2:$B$1800,BA$1)</f>
        <v>0</v>
      </c>
      <c r="BB96" s="117" t="n">
        <f aca="false">SUMIFS(الريسبي!$C$2:$C$1800,الريسبي!$A$2:$A$1800,$A96,الريسبي!$B$2:$B$1800,BB$1)</f>
        <v>0</v>
      </c>
      <c r="BC96" s="117" t="n">
        <f aca="false">SUMIFS(الريسبي!$C$2:$C$1800,الريسبي!$A$2:$A$1800,$A96,الريسبي!$B$2:$B$1800,BC$1)</f>
        <v>0.045</v>
      </c>
      <c r="BD96" s="117" t="n">
        <f aca="false">SUMIFS(الريسبي!$C$2:$C$1800,الريسبي!$A$2:$A$1800,$A96,الريسبي!$B$2:$B$1800,BD$1)</f>
        <v>0</v>
      </c>
      <c r="BE96" s="117" t="n">
        <f aca="false">SUMIFS(الريسبي!$C$2:$C$1800,الريسبي!$A$2:$A$1800,$A96,الريسبي!$B$2:$B$1800,BE$1)</f>
        <v>1.5</v>
      </c>
      <c r="BF96" s="117" t="n">
        <f aca="false">SUMIFS(الريسبي!$C$2:$C$1800,الريسبي!$A$2:$A$1800,$A96,الريسبي!$B$2:$B$1800,BF$1)</f>
        <v>0</v>
      </c>
      <c r="BG96" s="117" t="n">
        <f aca="false">SUMIFS(الريسبي!$C$2:$C$1800,الريسبي!$A$2:$A$1800,$A96,الريسبي!$B$2:$B$1800,BG$1)</f>
        <v>1</v>
      </c>
      <c r="BH96" s="117" t="n">
        <f aca="false">SUMIFS(الريسبي!$C$2:$C$1800,الريسبي!$A$2:$A$1800,$A96,الريسبي!$B$2:$B$1800,BH$1)</f>
        <v>0</v>
      </c>
      <c r="BI96" s="117" t="n">
        <f aca="false">SUMIFS(الريسبي!$C$2:$C$1800,الريسبي!$A$2:$A$1800,$A96,الريسبي!$B$2:$B$1800,BI$1)</f>
        <v>0</v>
      </c>
      <c r="BJ96" s="117" t="n">
        <f aca="false">SUMIFS(الريسبي!$C$2:$C$1800,الريسبي!$A$2:$A$1800,$A96,الريسبي!$B$2:$B$1800,BJ$1)</f>
        <v>0</v>
      </c>
      <c r="BK96" s="117" t="n">
        <f aca="false">SUMIFS(الريسبي!$C$2:$C$1800,الريسبي!$A$2:$A$1800,$A96,الريسبي!$B$2:$B$1800,BK$1)</f>
        <v>0</v>
      </c>
      <c r="BL96" s="117" t="n">
        <f aca="false">SUMIFS(الريسبي!$C$2:$C$1800,الريسبي!$A$2:$A$1800,$A96,الريسبي!$B$2:$B$1800,BL$1)</f>
        <v>0</v>
      </c>
      <c r="BM96" s="117" t="n">
        <f aca="false">SUMIFS(الريسبي!$C$2:$C$1800,الريسبي!$A$2:$A$1800,$A96,الريسبي!$B$2:$B$1800,BM$1)</f>
        <v>0</v>
      </c>
      <c r="BN96" s="117" t="n">
        <f aca="false">SUMIFS(الريسبي!$C$2:$C$1800,الريسبي!$A$2:$A$1800,$A96,الريسبي!$B$2:$B$1800,BN$1)</f>
        <v>0.03</v>
      </c>
      <c r="BO96" s="117" t="n">
        <f aca="false">SUMIFS(الريسبي!$C$2:$C$1800,الريسبي!$A$2:$A$1800,$A96,الريسبي!$B$2:$B$1800,BO$1)</f>
        <v>0</v>
      </c>
      <c r="BP96" s="117" t="n">
        <f aca="false">SUMIFS(الريسبي!$C$2:$C$1800,الريسبي!$A$2:$A$1800,$A96,الريسبي!$B$2:$B$1800,BP$1)</f>
        <v>3</v>
      </c>
      <c r="BQ96" s="117" t="n">
        <f aca="false">SUMIFS(الريسبي!$C$2:$C$1800,الريسبي!$A$2:$A$1800,$A96,الريسبي!$B$2:$B$1800,BQ$1)+0.17*SUMIFS(الريسبي!$C$2:$C$1800,الريسبي!$A$2:$A$1800,$A96,الريسبي!$B$2:$B$1800,"كاسترد مصنع (خليط بودر + لبن)")+0.17*SUMIFS(الريسبي!$C$2:$C$1800,الريسبي!$A$2:$A$1800,$A96,الريسبي!$B$2:$B$1800,"كاسترد مصنع صيامي (بدون لبن)")</f>
        <v>0</v>
      </c>
      <c r="BR96" s="117" t="n">
        <f aca="false">SUMIFS(الريسبي!$C$2:$C$1800,الريسبي!$A$2:$A$1800,$A96,الريسبي!$B$2:$B$1800,BR$1)</f>
        <v>1</v>
      </c>
      <c r="BS96" s="117" t="n">
        <f aca="false">SUMIFS(الريسبي!$C$2:$C$1800,الريسبي!$A$2:$A$1800,$A96,الريسبي!$B$2:$B$1800,BS$1)</f>
        <v>0</v>
      </c>
      <c r="BT96" s="117" t="n">
        <f aca="false">SUMIFS(الريسبي!$C$2:$C$1800,الريسبي!$A$2:$A$1800,$A96,الريسبي!$B$2:$B$1800,BT$1)</f>
        <v>0</v>
      </c>
      <c r="BU96" s="117" t="n">
        <f aca="false">SUMIFS(الريسبي!$C$2:$C$1800,الريسبي!$A$2:$A$1800,$A96,الريسبي!$B$2:$B$1800,BU$1)+0.4*SUMIFS(الريسبي!$C$2:$C$1800,الريسبي!$A$2:$A$1800,$A96,الريسبي!$B$2:$B$1800,"كاسترد مصنع (خليط بودر + لبن)")+0.03333333333*SUMIFS(الريسبي!$C$2:$C$1800,الريسبي!$A$2:$A$1800,$A96,الريسبي!$B$2:$B$1800,"عجين كريب (مصنع بالمطعم)")</f>
        <v>0</v>
      </c>
      <c r="BV96" s="117" t="n">
        <f aca="false">SUMIFS(الريسبي!$C$2:$C$1800,الريسبي!$A$2:$A$1800,$A96,الريسبي!$B$2:$B$1800,BV$1)</f>
        <v>0</v>
      </c>
      <c r="BW96" s="117" t="n">
        <f aca="false">SUMIFS(الريسبي!$C$2:$C$1800,الريسبي!$A$2:$A$1800,$A96,الريسبي!$B$2:$B$1800,BW$1)</f>
        <v>0</v>
      </c>
      <c r="BX96" s="117" t="n">
        <f aca="false">SUMIFS(الريسبي!$C$2:$C$1800,الريسبي!$A$2:$A$1800,$A96,الريسبي!$B$2:$B$1800,BX$1)</f>
        <v>0.15</v>
      </c>
      <c r="BY96" s="117" t="n">
        <f aca="false">SUMIFS(الريسبي!$C$2:$C$1800,الريسبي!$A$2:$A$1800,$A96,الريسبي!$B$2:$B$1800,BY$1)</f>
        <v>0</v>
      </c>
      <c r="BZ96" s="117" t="n">
        <f aca="false">SUMIFS(الريسبي!$C$2:$C$1800,الريسبي!$A$2:$A$1800,$A96,الريسبي!$B$2:$B$1800,BZ$1)</f>
        <v>0</v>
      </c>
      <c r="CA96" s="117" t="n">
        <f aca="false">SUMIFS(الريسبي!$C$2:$C$1800,الريسبي!$A$2:$A$1800,$A96,الريسبي!$B$2:$B$1800,CA$1)</f>
        <v>1</v>
      </c>
      <c r="CB96" s="117" t="n">
        <f aca="false">SUMIFS(الريسبي!$C$2:$C$1800,الريسبي!$A$2:$A$1800,$A96,الريسبي!$B$2:$B$1800,CB$1)</f>
        <v>1</v>
      </c>
      <c r="CC96" s="117" t="n">
        <f aca="false">SUMIFS(الريسبي!$C$2:$C$1800,الريسبي!$A$2:$A$1800,$A96,الريسبي!$B$2:$B$1800,CC$1)</f>
        <v>0</v>
      </c>
      <c r="CD96" s="117" t="n">
        <f aca="false">SUMIFS(الريسبي!$C$2:$C$1800,الريسبي!$A$2:$A$1800,$A96,الريسبي!$B$2:$B$1800,CD$1)</f>
        <v>0</v>
      </c>
      <c r="CE96" s="117" t="n">
        <f aca="false">SUMIFS(الريسبي!$C$2:$C$1800,الريسبي!$A$2:$A$1800,$A96,الريسبي!$B$2:$B$1800,CE$1)</f>
        <v>0</v>
      </c>
      <c r="CF96" s="117" t="n">
        <f aca="false">SUMIFS(الريسبي!$C$2:$C$1800,الريسبي!$A$2:$A$1800,$A96,الريسبي!$B$2:$B$1800,CF$1)</f>
        <v>0</v>
      </c>
      <c r="CG96" s="117" t="n">
        <f aca="false">SUMIFS(الريسبي!$C$2:$C$1800,الريسبي!$A$2:$A$1800,$A96,الريسبي!$B$2:$B$1800,CG$1)</f>
        <v>0</v>
      </c>
      <c r="CH96" s="117" t="n">
        <f aca="false">SUMIFS(الريسبي!$C$2:$C$1800,الريسبي!$A$2:$A$1800,$A96,الريسبي!$B$2:$B$1800,CH$1)</f>
        <v>0</v>
      </c>
      <c r="CI96" s="117" t="n">
        <f aca="false">SUMIFS(الريسبي!$C$2:$C$1800,الريسبي!$A$2:$A$1800,$A96,الريسبي!$B$2:$B$1800,CI$1)</f>
        <v>0</v>
      </c>
      <c r="CJ96" s="117" t="n">
        <f aca="false">SUMIFS(الريسبي!$C$2:$C$1800,الريسبي!$A$2:$A$1800,$A96,الريسبي!$B$2:$B$1800,CJ$1)</f>
        <v>0</v>
      </c>
      <c r="CK96" s="117" t="n">
        <f aca="false">SUMIFS(الريسبي!$C$2:$C$1800,الريسبي!$A$2:$A$1800,$A96,الريسبي!$B$2:$B$1800,CK$1)</f>
        <v>0</v>
      </c>
      <c r="CL96" s="117" t="n">
        <f aca="false">SUMIFS(الريسبي!$C$2:$C$1800,الريسبي!$A$2:$A$1800,$A96,الريسبي!$B$2:$B$1800,CL$1)</f>
        <v>0</v>
      </c>
    </row>
    <row r="97" customFormat="false" ht="15" hidden="false" customHeight="false" outlineLevel="0" collapsed="false">
      <c r="A97" s="116" t="str">
        <f aca="false">المنيو!B97</f>
        <v>فطيرة سوسيس صيامي وسط</v>
      </c>
      <c r="B97" s="117" t="n">
        <f aca="false">SUMIFS(الريسبي!$C$2:$C$1800,الريسبي!$A$2:$A$1800,$A97,الريسبي!$B$2:$B$1800,B$1)</f>
        <v>0</v>
      </c>
      <c r="C97" s="117" t="n">
        <f aca="false">SUMIFS(الريسبي!$C$2:$C$1800,الريسبي!$A$2:$A$1800,$A97,الريسبي!$B$2:$B$1800,C$1)</f>
        <v>0</v>
      </c>
      <c r="D97" s="117" t="n">
        <f aca="false">SUMIFS(الريسبي!$C$2:$C$1800,الريسبي!$A$2:$A$1800,$A97,الريسبي!$B$2:$B$1800,D$1)</f>
        <v>1</v>
      </c>
      <c r="E97" s="117" t="n">
        <f aca="false">SUMIFS(الريسبي!$C$2:$C$1800,الريسبي!$A$2:$A$1800,$A97,الريسبي!$B$2:$B$1800,E$1)</f>
        <v>0</v>
      </c>
      <c r="F97" s="117" t="n">
        <f aca="false">SUMIFS(الريسبي!$C$2:$C$1800,الريسبي!$A$2:$A$1800,$A97,الريسبي!$B$2:$B$1800,F$1)</f>
        <v>0</v>
      </c>
      <c r="G97" s="117" t="n">
        <f aca="false">SUMIFS(الريسبي!$C$2:$C$1800,الريسبي!$A$2:$A$1800,$A97,الريسبي!$B$2:$B$1800,G$1)</f>
        <v>0</v>
      </c>
      <c r="H97" s="117" t="n">
        <f aca="false">SUMIFS(الريسبي!$C$2:$C$1800,الريسبي!$A$2:$A$1800,$A97,الريسبي!$B$2:$B$1800,H$1)</f>
        <v>0</v>
      </c>
      <c r="I97" s="117" t="n">
        <f aca="false">SUMIFS(الريسبي!$C$2:$C$1800,الريسبي!$A$2:$A$1800,$A97,الريسبي!$B$2:$B$1800,I$1)</f>
        <v>0</v>
      </c>
      <c r="J97" s="117" t="n">
        <f aca="false">SUMIFS(الريسبي!$C$2:$C$1800,الريسبي!$A$2:$A$1800,$A97,الريسبي!$B$2:$B$1800,J$1)</f>
        <v>0</v>
      </c>
      <c r="K97" s="117" t="n">
        <f aca="false">SUMIFS(الريسبي!$C$2:$C$1800,الريسبي!$A$2:$A$1800,$A97,الريسبي!$B$2:$B$1800,K$1)</f>
        <v>0</v>
      </c>
      <c r="L97" s="117" t="n">
        <f aca="false">SUMIFS(الريسبي!$C$2:$C$1800,الريسبي!$A$2:$A$1800,$A97,الريسبي!$B$2:$B$1800,L$1)</f>
        <v>0</v>
      </c>
      <c r="M97" s="117" t="n">
        <f aca="false">SUMIFS(الريسبي!$C$2:$C$1800,الريسبي!$A$2:$A$1800,$A97,الريسبي!$B$2:$B$1800,M$1)</f>
        <v>0</v>
      </c>
      <c r="N97" s="117" t="n">
        <f aca="false">SUMIFS(الريسبي!$C$2:$C$1800,الريسبي!$A$2:$A$1800,$A97,الريسبي!$B$2:$B$1800,N$1)</f>
        <v>0</v>
      </c>
      <c r="O97" s="117" t="n">
        <f aca="false">SUMIFS(الريسبي!$C$2:$C$1800,الريسبي!$A$2:$A$1800,$A97,الريسبي!$B$2:$B$1800,O$1)</f>
        <v>0</v>
      </c>
      <c r="P97" s="117" t="n">
        <f aca="false">SUMIFS(الريسبي!$C$2:$C$1800,الريسبي!$A$2:$A$1800,$A97,الريسبي!$B$2:$B$1800,P$1)</f>
        <v>0</v>
      </c>
      <c r="Q97" s="117" t="n">
        <f aca="false">SUMIFS(الريسبي!$C$2:$C$1800,الريسبي!$A$2:$A$1800,$A97,الريسبي!$B$2:$B$1800,Q$1)</f>
        <v>0</v>
      </c>
      <c r="R97" s="117" t="n">
        <f aca="false">SUMIFS(الريسبي!$C$2:$C$1800,الريسبي!$A$2:$A$1800,$A97,الريسبي!$B$2:$B$1800,R$1)</f>
        <v>0</v>
      </c>
      <c r="S97" s="117" t="n">
        <f aca="false">SUMIFS(الريسبي!$C$2:$C$1800,الريسبي!$A$2:$A$1800,$A97,الريسبي!$B$2:$B$1800,S$1)</f>
        <v>0</v>
      </c>
      <c r="T97" s="117" t="n">
        <f aca="false">SUMIFS(الريسبي!$C$2:$C$1800,الريسبي!$A$2:$A$1800,$A97,الريسبي!$B$2:$B$1800,T$1)</f>
        <v>0</v>
      </c>
      <c r="U97" s="117" t="n">
        <f aca="false">SUMIFS(الريسبي!$C$2:$C$1800,الريسبي!$A$2:$A$1800,$A97,الريسبي!$B$2:$B$1800,U$1)</f>
        <v>0</v>
      </c>
      <c r="V97" s="117" t="n">
        <f aca="false">SUMIFS(الريسبي!$C$2:$C$1800,الريسبي!$A$2:$A$1800,$A97,الريسبي!$B$2:$B$1800,V$1)</f>
        <v>0</v>
      </c>
      <c r="W97" s="117" t="n">
        <f aca="false">SUMIFS(الريسبي!$C$2:$C$1800,الريسبي!$A$2:$A$1800,$A97,الريسبي!$B$2:$B$1800,W$1)</f>
        <v>0</v>
      </c>
      <c r="X97" s="117" t="n">
        <f aca="false">SUMIFS(الريسبي!$C$2:$C$1800,الريسبي!$A$2:$A$1800,$A97,الريسبي!$B$2:$B$1800,X$1)</f>
        <v>1</v>
      </c>
      <c r="Y97" s="117" t="n">
        <f aca="false">SUMIFS(الريسبي!$C$2:$C$1800,الريسبي!$A$2:$A$1800,$A97,الريسبي!$B$2:$B$1800,Y$1)</f>
        <v>0</v>
      </c>
      <c r="Z97" s="117" t="n">
        <f aca="false">SUMIFS(الريسبي!$C$2:$C$1800,الريسبي!$A$2:$A$1800,$A97,الريسبي!$B$2:$B$1800,Z$1)</f>
        <v>0</v>
      </c>
      <c r="AA97" s="117" t="n">
        <f aca="false">SUMIFS(الريسبي!$C$2:$C$1800,الريسبي!$A$2:$A$1800,$A97,الريسبي!$B$2:$B$1800,AA$1)</f>
        <v>0</v>
      </c>
      <c r="AB97" s="117" t="n">
        <f aca="false">SUMIFS(الريسبي!$C$2:$C$1800,الريسبي!$A$2:$A$1800,$A97,الريسبي!$B$2:$B$1800,AB$1)</f>
        <v>0</v>
      </c>
      <c r="AC97" s="117" t="n">
        <f aca="false">SUMIFS(الريسبي!$C$2:$C$1800,الريسبي!$A$2:$A$1800,$A97,الريسبي!$B$2:$B$1800,AC$1)</f>
        <v>0</v>
      </c>
      <c r="AD97" s="117" t="n">
        <f aca="false">SUMIFS(الريسبي!$C$2:$C$1800,الريسبي!$A$2:$A$1800,$A97,الريسبي!$B$2:$B$1800,AD$1)</f>
        <v>0</v>
      </c>
      <c r="AE97" s="117" t="n">
        <f aca="false">SUMIFS(الريسبي!$C$2:$C$1800,الريسبي!$A$2:$A$1800,$A97,الريسبي!$B$2:$B$1800,AE$1)</f>
        <v>0</v>
      </c>
      <c r="AF97" s="117" t="n">
        <f aca="false">SUMIFS(الريسبي!$C$2:$C$1800,الريسبي!$A$2:$A$1800,$A97,الريسبي!$B$2:$B$1800,AF$1)</f>
        <v>0</v>
      </c>
      <c r="AG97" s="117" t="n">
        <f aca="false">SUMIFS(الريسبي!$C$2:$C$1800,الريسبي!$A$2:$A$1800,$A97,الريسبي!$B$2:$B$1800,AG$1)</f>
        <v>0</v>
      </c>
      <c r="AH97" s="117" t="n">
        <f aca="false">SUMIFS(الريسبي!$C$2:$C$1800,الريسبي!$A$2:$A$1800,$A97,الريسبي!$B$2:$B$1800,AH$1)</f>
        <v>0</v>
      </c>
      <c r="AI97" s="117" t="n">
        <f aca="false">SUMIFS(الريسبي!$C$2:$C$1800,الريسبي!$A$2:$A$1800,$A97,الريسبي!$B$2:$B$1800,AI$1)</f>
        <v>0</v>
      </c>
      <c r="AJ97" s="117" t="n">
        <f aca="false">SUMIFS(الريسبي!$C$2:$C$1800,الريسبي!$A$2:$A$1800,$A97,الريسبي!$B$2:$B$1800,AJ$1)</f>
        <v>2</v>
      </c>
      <c r="AK97" s="117" t="n">
        <f aca="false">SUMIFS(الريسبي!$C$2:$C$1800,الريسبي!$A$2:$A$1800,$A97,الريسبي!$B$2:$B$1800,AK$1)</f>
        <v>0</v>
      </c>
      <c r="AL97" s="117" t="n">
        <f aca="false">SUMIFS(الريسبي!$C$2:$C$1800,الريسبي!$A$2:$A$1800,$A97,الريسبي!$B$2:$B$1800,AL$1)</f>
        <v>0</v>
      </c>
      <c r="AM97" s="117" t="n">
        <f aca="false">SUMIFS(الريسبي!$C$2:$C$1800,الريسبي!$A$2:$A$1800,$A97,الريسبي!$B$2:$B$1800,AM$1)+0.08333333333*SUMIFS(الريسبي!$C$2:$C$1800,الريسبي!$A$2:$A$1800,$A97,الريسبي!$B$2:$B$1800,"عجين كريب (مصنع بالمطعم)")+0.08333333333*SUMIFS(الريسبي!$C$2:$C$1800,الريسبي!$A$2:$A$1800,$A97,الريسبي!$B$2:$B$1800,"عجين كريب صيامي (بدون لبن)")</f>
        <v>0</v>
      </c>
      <c r="AN97" s="117" t="n">
        <f aca="false">SUMIFS(الريسبي!$C$2:$C$1800,الريسبي!$A$2:$A$1800,$A97,الريسبي!$B$2:$B$1800,AN$1)+0.004166666667*SUMIFS(الريسبي!$C$2:$C$1800,الريسبي!$A$2:$A$1800,$A97,الريسبي!$B$2:$B$1800,"عجين كريب (مصنع بالمطعم)")+0.004166666667*SUMIFS(الريسبي!$C$2:$C$1800,الريسبي!$A$2:$A$1800,$A97,الريسبي!$B$2:$B$1800,"عجين كريب صيامي (بدون لبن)")</f>
        <v>0</v>
      </c>
      <c r="AO97" s="117" t="n">
        <f aca="false">SUMIFS(الريسبي!$C$2:$C$1800,الريسبي!$A$2:$A$1800,$A97,الريسبي!$B$2:$B$1800,AO$1)</f>
        <v>0</v>
      </c>
      <c r="AP97" s="117" t="n">
        <f aca="false">SUMIFS(الريسبي!$C$2:$C$1800,الريسبي!$A$2:$A$1800,$A97,الريسبي!$B$2:$B$1800,AP$1)</f>
        <v>0.02</v>
      </c>
      <c r="AQ97" s="117" t="n">
        <f aca="false">SUMIFS(الريسبي!$C$2:$C$1800,الريسبي!$A$2:$A$1800,$A97,الريسبي!$B$2:$B$1800,AQ$1)+0.004166666667*SUMIFS(الريسبي!$C$2:$C$1800,الريسبي!$A$2:$A$1800,$A97,الريسبي!$B$2:$B$1800,"عجين كريب (مصنع بالمطعم)")+0.004166666667*SUMIFS(الريسبي!$C$2:$C$1800,الريسبي!$A$2:$A$1800,$A97,الريسبي!$B$2:$B$1800,"عجين كريب صيامي (بدون لبن)")</f>
        <v>0</v>
      </c>
      <c r="AR97" s="117" t="n">
        <f aca="false">SUMIFS(الريسبي!$C$2:$C$1800,الريسبي!$A$2:$A$1800,$A97,الريسبي!$B$2:$B$1800,AR$1)</f>
        <v>0</v>
      </c>
      <c r="AS97" s="117" t="n">
        <f aca="false">SUMIFS(الريسبي!$C$2:$C$1800,الريسبي!$A$2:$A$1800,$A97,الريسبي!$B$2:$B$1800,AS$1)</f>
        <v>0</v>
      </c>
      <c r="AT97" s="117" t="n">
        <f aca="false">SUMIFS(الريسبي!$C$2:$C$1800,الريسبي!$A$2:$A$1800,$A97,الريسبي!$B$2:$B$1800,AT$1)</f>
        <v>0</v>
      </c>
      <c r="AU97" s="117" t="n">
        <f aca="false">SUMIFS(الريسبي!$C$2:$C$1800,الريسبي!$A$2:$A$1800,$A97,الريسبي!$B$2:$B$1800,AU$1)</f>
        <v>0</v>
      </c>
      <c r="AV97" s="117" t="n">
        <f aca="false">SUMIFS(الريسبي!$C$2:$C$1800,الريسبي!$A$2:$A$1800,$A97,الريسبي!$B$2:$B$1800,AV$1)</f>
        <v>0</v>
      </c>
      <c r="AW97" s="117" t="n">
        <f aca="false">SUMIFS(الريسبي!$C$2:$C$1800,الريسبي!$A$2:$A$1800,$A97,الريسبي!$B$2:$B$1800,AW$1)</f>
        <v>0</v>
      </c>
      <c r="AX97" s="117" t="n">
        <f aca="false">SUMIFS(الريسبي!$C$2:$C$1800,الريسبي!$A$2:$A$1800,$A97,الريسبي!$B$2:$B$1800,AX$1)</f>
        <v>0</v>
      </c>
      <c r="AY97" s="117" t="n">
        <f aca="false">SUMIFS(الريسبي!$C$2:$C$1800,الريسبي!$A$2:$A$1800,$A97,الريسبي!$B$2:$B$1800,AY$1)</f>
        <v>0</v>
      </c>
      <c r="AZ97" s="117" t="n">
        <f aca="false">SUMIFS(الريسبي!$C$2:$C$1800,الريسبي!$A$2:$A$1800,$A97,الريسبي!$B$2:$B$1800,AZ$1)</f>
        <v>0</v>
      </c>
      <c r="BA97" s="117" t="n">
        <f aca="false">SUMIFS(الريسبي!$C$2:$C$1800,الريسبي!$A$2:$A$1800,$A97,الريسبي!$B$2:$B$1800,BA$1)</f>
        <v>0</v>
      </c>
      <c r="BB97" s="117" t="n">
        <f aca="false">SUMIFS(الريسبي!$C$2:$C$1800,الريسبي!$A$2:$A$1800,$A97,الريسبي!$B$2:$B$1800,BB$1)</f>
        <v>0</v>
      </c>
      <c r="BC97" s="117" t="n">
        <f aca="false">SUMIFS(الريسبي!$C$2:$C$1800,الريسبي!$A$2:$A$1800,$A97,الريسبي!$B$2:$B$1800,BC$1)</f>
        <v>0.03</v>
      </c>
      <c r="BD97" s="117" t="n">
        <f aca="false">SUMIFS(الريسبي!$C$2:$C$1800,الريسبي!$A$2:$A$1800,$A97,الريسبي!$B$2:$B$1800,BD$1)</f>
        <v>0</v>
      </c>
      <c r="BE97" s="117" t="n">
        <f aca="false">SUMIFS(الريسبي!$C$2:$C$1800,الريسبي!$A$2:$A$1800,$A97,الريسبي!$B$2:$B$1800,BE$1)</f>
        <v>1</v>
      </c>
      <c r="BF97" s="117" t="n">
        <f aca="false">SUMIFS(الريسبي!$C$2:$C$1800,الريسبي!$A$2:$A$1800,$A97,الريسبي!$B$2:$B$1800,BF$1)</f>
        <v>0</v>
      </c>
      <c r="BG97" s="117" t="n">
        <f aca="false">SUMIFS(الريسبي!$C$2:$C$1800,الريسبي!$A$2:$A$1800,$A97,الريسبي!$B$2:$B$1800,BG$1)</f>
        <v>0</v>
      </c>
      <c r="BH97" s="117" t="n">
        <f aca="false">SUMIFS(الريسبي!$C$2:$C$1800,الريسبي!$A$2:$A$1800,$A97,الريسبي!$B$2:$B$1800,BH$1)</f>
        <v>1</v>
      </c>
      <c r="BI97" s="117" t="n">
        <f aca="false">SUMIFS(الريسبي!$C$2:$C$1800,الريسبي!$A$2:$A$1800,$A97,الريسبي!$B$2:$B$1800,BI$1)</f>
        <v>0</v>
      </c>
      <c r="BJ97" s="117" t="n">
        <f aca="false">SUMIFS(الريسبي!$C$2:$C$1800,الريسبي!$A$2:$A$1800,$A97,الريسبي!$B$2:$B$1800,BJ$1)</f>
        <v>0</v>
      </c>
      <c r="BK97" s="117" t="n">
        <f aca="false">SUMIFS(الريسبي!$C$2:$C$1800,الريسبي!$A$2:$A$1800,$A97,الريسبي!$B$2:$B$1800,BK$1)</f>
        <v>0</v>
      </c>
      <c r="BL97" s="117" t="n">
        <f aca="false">SUMIFS(الريسبي!$C$2:$C$1800,الريسبي!$A$2:$A$1800,$A97,الريسبي!$B$2:$B$1800,BL$1)</f>
        <v>0</v>
      </c>
      <c r="BM97" s="117" t="n">
        <f aca="false">SUMIFS(الريسبي!$C$2:$C$1800,الريسبي!$A$2:$A$1800,$A97,الريسبي!$B$2:$B$1800,BM$1)</f>
        <v>0</v>
      </c>
      <c r="BN97" s="117" t="n">
        <f aca="false">SUMIFS(الريسبي!$C$2:$C$1800,الريسبي!$A$2:$A$1800,$A97,الريسبي!$B$2:$B$1800,BN$1)</f>
        <v>0.02</v>
      </c>
      <c r="BO97" s="117" t="n">
        <f aca="false">SUMIFS(الريسبي!$C$2:$C$1800,الريسبي!$A$2:$A$1800,$A97,الريسبي!$B$2:$B$1800,BO$1)</f>
        <v>0</v>
      </c>
      <c r="BP97" s="117" t="n">
        <f aca="false">SUMIFS(الريسبي!$C$2:$C$1800,الريسبي!$A$2:$A$1800,$A97,الريسبي!$B$2:$B$1800,BP$1)</f>
        <v>2</v>
      </c>
      <c r="BQ97" s="117" t="n">
        <f aca="false">SUMIFS(الريسبي!$C$2:$C$1800,الريسبي!$A$2:$A$1800,$A97,الريسبي!$B$2:$B$1800,BQ$1)+0.17*SUMIFS(الريسبي!$C$2:$C$1800,الريسبي!$A$2:$A$1800,$A97,الريسبي!$B$2:$B$1800,"كاسترد مصنع (خليط بودر + لبن)")+0.17*SUMIFS(الريسبي!$C$2:$C$1800,الريسبي!$A$2:$A$1800,$A97,الريسبي!$B$2:$B$1800,"كاسترد مصنع صيامي (بدون لبن)")</f>
        <v>0</v>
      </c>
      <c r="BR97" s="117" t="n">
        <f aca="false">SUMIFS(الريسبي!$C$2:$C$1800,الريسبي!$A$2:$A$1800,$A97,الريسبي!$B$2:$B$1800,BR$1)</f>
        <v>1</v>
      </c>
      <c r="BS97" s="117" t="n">
        <f aca="false">SUMIFS(الريسبي!$C$2:$C$1800,الريسبي!$A$2:$A$1800,$A97,الريسبي!$B$2:$B$1800,BS$1)</f>
        <v>0</v>
      </c>
      <c r="BT97" s="117" t="n">
        <f aca="false">SUMIFS(الريسبي!$C$2:$C$1800,الريسبي!$A$2:$A$1800,$A97,الريسبي!$B$2:$B$1800,BT$1)</f>
        <v>0</v>
      </c>
      <c r="BU97" s="117" t="n">
        <f aca="false">SUMIFS(الريسبي!$C$2:$C$1800,الريسبي!$A$2:$A$1800,$A97,الريسبي!$B$2:$B$1800,BU$1)+0.4*SUMIFS(الريسبي!$C$2:$C$1800,الريسبي!$A$2:$A$1800,$A97,الريسبي!$B$2:$B$1800,"كاسترد مصنع (خليط بودر + لبن)")+0.03333333333*SUMIFS(الريسبي!$C$2:$C$1800,الريسبي!$A$2:$A$1800,$A97,الريسبي!$B$2:$B$1800,"عجين كريب (مصنع بالمطعم)")</f>
        <v>0</v>
      </c>
      <c r="BV97" s="117" t="n">
        <f aca="false">SUMIFS(الريسبي!$C$2:$C$1800,الريسبي!$A$2:$A$1800,$A97,الريسبي!$B$2:$B$1800,BV$1)</f>
        <v>0</v>
      </c>
      <c r="BW97" s="117" t="n">
        <f aca="false">SUMIFS(الريسبي!$C$2:$C$1800,الريسبي!$A$2:$A$1800,$A97,الريسبي!$B$2:$B$1800,BW$1)</f>
        <v>0</v>
      </c>
      <c r="BX97" s="117" t="n">
        <f aca="false">SUMIFS(الريسبي!$C$2:$C$1800,الريسبي!$A$2:$A$1800,$A97,الريسبي!$B$2:$B$1800,BX$1)</f>
        <v>0</v>
      </c>
      <c r="BY97" s="117" t="n">
        <f aca="false">SUMIFS(الريسبي!$C$2:$C$1800,الريسبي!$A$2:$A$1800,$A97,الريسبي!$B$2:$B$1800,BY$1)</f>
        <v>0</v>
      </c>
      <c r="BZ97" s="117" t="n">
        <f aca="false">SUMIFS(الريسبي!$C$2:$C$1800,الريسبي!$A$2:$A$1800,$A97,الريسبي!$B$2:$B$1800,BZ$1)</f>
        <v>0</v>
      </c>
      <c r="CA97" s="117" t="n">
        <f aca="false">SUMIFS(الريسبي!$C$2:$C$1800,الريسبي!$A$2:$A$1800,$A97,الريسبي!$B$2:$B$1800,CA$1)</f>
        <v>1</v>
      </c>
      <c r="CB97" s="117" t="n">
        <f aca="false">SUMIFS(الريسبي!$C$2:$C$1800,الريسبي!$A$2:$A$1800,$A97,الريسبي!$B$2:$B$1800,CB$1)</f>
        <v>1</v>
      </c>
      <c r="CC97" s="117" t="n">
        <f aca="false">SUMIFS(الريسبي!$C$2:$C$1800,الريسبي!$A$2:$A$1800,$A97,الريسبي!$B$2:$B$1800,CC$1)</f>
        <v>0</v>
      </c>
      <c r="CD97" s="117" t="n">
        <f aca="false">SUMIFS(الريسبي!$C$2:$C$1800,الريسبي!$A$2:$A$1800,$A97,الريسبي!$B$2:$B$1800,CD$1)</f>
        <v>0.12</v>
      </c>
      <c r="CE97" s="117" t="n">
        <f aca="false">SUMIFS(الريسبي!$C$2:$C$1800,الريسبي!$A$2:$A$1800,$A97,الريسبي!$B$2:$B$1800,CE$1)</f>
        <v>0</v>
      </c>
      <c r="CF97" s="117" t="n">
        <f aca="false">SUMIFS(الريسبي!$C$2:$C$1800,الريسبي!$A$2:$A$1800,$A97,الريسبي!$B$2:$B$1800,CF$1)</f>
        <v>0</v>
      </c>
      <c r="CG97" s="117" t="n">
        <f aca="false">SUMIFS(الريسبي!$C$2:$C$1800,الريسبي!$A$2:$A$1800,$A97,الريسبي!$B$2:$B$1800,CG$1)</f>
        <v>0</v>
      </c>
      <c r="CH97" s="117" t="n">
        <f aca="false">SUMIFS(الريسبي!$C$2:$C$1800,الريسبي!$A$2:$A$1800,$A97,الريسبي!$B$2:$B$1800,CH$1)</f>
        <v>0</v>
      </c>
      <c r="CI97" s="117" t="n">
        <f aca="false">SUMIFS(الريسبي!$C$2:$C$1800,الريسبي!$A$2:$A$1800,$A97,الريسبي!$B$2:$B$1800,CI$1)</f>
        <v>0</v>
      </c>
      <c r="CJ97" s="117" t="n">
        <f aca="false">SUMIFS(الريسبي!$C$2:$C$1800,الريسبي!$A$2:$A$1800,$A97,الريسبي!$B$2:$B$1800,CJ$1)</f>
        <v>0</v>
      </c>
      <c r="CK97" s="117" t="n">
        <f aca="false">SUMIFS(الريسبي!$C$2:$C$1800,الريسبي!$A$2:$A$1800,$A97,الريسبي!$B$2:$B$1800,CK$1)</f>
        <v>0</v>
      </c>
      <c r="CL97" s="117" t="n">
        <f aca="false">SUMIFS(الريسبي!$C$2:$C$1800,الريسبي!$A$2:$A$1800,$A97,الريسبي!$B$2:$B$1800,CL$1)</f>
        <v>0</v>
      </c>
    </row>
    <row r="98" customFormat="false" ht="15" hidden="false" customHeight="false" outlineLevel="0" collapsed="false">
      <c r="A98" s="116" t="str">
        <f aca="false">المنيو!B98</f>
        <v>فطيرة سوسيس صيامي مخصوص</v>
      </c>
      <c r="B98" s="117" t="n">
        <f aca="false">SUMIFS(الريسبي!$C$2:$C$1800,الريسبي!$A$2:$A$1800,$A98,الريسبي!$B$2:$B$1800,B$1)</f>
        <v>0</v>
      </c>
      <c r="C98" s="117" t="n">
        <f aca="false">SUMIFS(الريسبي!$C$2:$C$1800,الريسبي!$A$2:$A$1800,$A98,الريسبي!$B$2:$B$1800,C$1)</f>
        <v>0</v>
      </c>
      <c r="D98" s="117" t="n">
        <f aca="false">SUMIFS(الريسبي!$C$2:$C$1800,الريسبي!$A$2:$A$1800,$A98,الريسبي!$B$2:$B$1800,D$1)</f>
        <v>1</v>
      </c>
      <c r="E98" s="117" t="n">
        <f aca="false">SUMIFS(الريسبي!$C$2:$C$1800,الريسبي!$A$2:$A$1800,$A98,الريسبي!$B$2:$B$1800,E$1)</f>
        <v>0</v>
      </c>
      <c r="F98" s="117" t="n">
        <f aca="false">SUMIFS(الريسبي!$C$2:$C$1800,الريسبي!$A$2:$A$1800,$A98,الريسبي!$B$2:$B$1800,F$1)</f>
        <v>0</v>
      </c>
      <c r="G98" s="117" t="n">
        <f aca="false">SUMIFS(الريسبي!$C$2:$C$1800,الريسبي!$A$2:$A$1800,$A98,الريسبي!$B$2:$B$1800,G$1)</f>
        <v>0</v>
      </c>
      <c r="H98" s="117" t="n">
        <f aca="false">SUMIFS(الريسبي!$C$2:$C$1800,الريسبي!$A$2:$A$1800,$A98,الريسبي!$B$2:$B$1800,H$1)</f>
        <v>0</v>
      </c>
      <c r="I98" s="117" t="n">
        <f aca="false">SUMIFS(الريسبي!$C$2:$C$1800,الريسبي!$A$2:$A$1800,$A98,الريسبي!$B$2:$B$1800,I$1)</f>
        <v>0</v>
      </c>
      <c r="J98" s="117" t="n">
        <f aca="false">SUMIFS(الريسبي!$C$2:$C$1800,الريسبي!$A$2:$A$1800,$A98,الريسبي!$B$2:$B$1800,J$1)</f>
        <v>0</v>
      </c>
      <c r="K98" s="117" t="n">
        <f aca="false">SUMIFS(الريسبي!$C$2:$C$1800,الريسبي!$A$2:$A$1800,$A98,الريسبي!$B$2:$B$1800,K$1)</f>
        <v>0</v>
      </c>
      <c r="L98" s="117" t="n">
        <f aca="false">SUMIFS(الريسبي!$C$2:$C$1800,الريسبي!$A$2:$A$1800,$A98,الريسبي!$B$2:$B$1800,L$1)</f>
        <v>0</v>
      </c>
      <c r="M98" s="117" t="n">
        <f aca="false">SUMIFS(الريسبي!$C$2:$C$1800,الريسبي!$A$2:$A$1800,$A98,الريسبي!$B$2:$B$1800,M$1)</f>
        <v>0</v>
      </c>
      <c r="N98" s="117" t="n">
        <f aca="false">SUMIFS(الريسبي!$C$2:$C$1800,الريسبي!$A$2:$A$1800,$A98,الريسبي!$B$2:$B$1800,N$1)</f>
        <v>0</v>
      </c>
      <c r="O98" s="117" t="n">
        <f aca="false">SUMIFS(الريسبي!$C$2:$C$1800,الريسبي!$A$2:$A$1800,$A98,الريسبي!$B$2:$B$1800,O$1)</f>
        <v>0</v>
      </c>
      <c r="P98" s="117" t="n">
        <f aca="false">SUMIFS(الريسبي!$C$2:$C$1800,الريسبي!$A$2:$A$1800,$A98,الريسبي!$B$2:$B$1800,P$1)</f>
        <v>0</v>
      </c>
      <c r="Q98" s="117" t="n">
        <f aca="false">SUMIFS(الريسبي!$C$2:$C$1800,الريسبي!$A$2:$A$1800,$A98,الريسبي!$B$2:$B$1800,Q$1)</f>
        <v>0</v>
      </c>
      <c r="R98" s="117" t="n">
        <f aca="false">SUMIFS(الريسبي!$C$2:$C$1800,الريسبي!$A$2:$A$1800,$A98,الريسبي!$B$2:$B$1800,R$1)</f>
        <v>0</v>
      </c>
      <c r="S98" s="117" t="n">
        <f aca="false">SUMIFS(الريسبي!$C$2:$C$1800,الريسبي!$A$2:$A$1800,$A98,الريسبي!$B$2:$B$1800,S$1)</f>
        <v>0</v>
      </c>
      <c r="T98" s="117" t="n">
        <f aca="false">SUMIFS(الريسبي!$C$2:$C$1800,الريسبي!$A$2:$A$1800,$A98,الريسبي!$B$2:$B$1800,T$1)</f>
        <v>0</v>
      </c>
      <c r="U98" s="117" t="n">
        <f aca="false">SUMIFS(الريسبي!$C$2:$C$1800,الريسبي!$A$2:$A$1800,$A98,الريسبي!$B$2:$B$1800,U$1)</f>
        <v>0</v>
      </c>
      <c r="V98" s="117" t="n">
        <f aca="false">SUMIFS(الريسبي!$C$2:$C$1800,الريسبي!$A$2:$A$1800,$A98,الريسبي!$B$2:$B$1800,V$1)</f>
        <v>0</v>
      </c>
      <c r="W98" s="117" t="n">
        <f aca="false">SUMIFS(الريسبي!$C$2:$C$1800,الريسبي!$A$2:$A$1800,$A98,الريسبي!$B$2:$B$1800,W$1)</f>
        <v>0</v>
      </c>
      <c r="X98" s="117" t="n">
        <f aca="false">SUMIFS(الريسبي!$C$2:$C$1800,الريسبي!$A$2:$A$1800,$A98,الريسبي!$B$2:$B$1800,X$1)</f>
        <v>0</v>
      </c>
      <c r="Y98" s="117" t="n">
        <f aca="false">SUMIFS(الريسبي!$C$2:$C$1800,الريسبي!$A$2:$A$1800,$A98,الريسبي!$B$2:$B$1800,Y$1)</f>
        <v>1</v>
      </c>
      <c r="Z98" s="117" t="n">
        <f aca="false">SUMIFS(الريسبي!$C$2:$C$1800,الريسبي!$A$2:$A$1800,$A98,الريسبي!$B$2:$B$1800,Z$1)</f>
        <v>0</v>
      </c>
      <c r="AA98" s="117" t="n">
        <f aca="false">SUMIFS(الريسبي!$C$2:$C$1800,الريسبي!$A$2:$A$1800,$A98,الريسبي!$B$2:$B$1800,AA$1)</f>
        <v>0</v>
      </c>
      <c r="AB98" s="117" t="n">
        <f aca="false">SUMIFS(الريسبي!$C$2:$C$1800,الريسبي!$A$2:$A$1800,$A98,الريسبي!$B$2:$B$1800,AB$1)</f>
        <v>0</v>
      </c>
      <c r="AC98" s="117" t="n">
        <f aca="false">SUMIFS(الريسبي!$C$2:$C$1800,الريسبي!$A$2:$A$1800,$A98,الريسبي!$B$2:$B$1800,AC$1)</f>
        <v>0</v>
      </c>
      <c r="AD98" s="117" t="n">
        <f aca="false">SUMIFS(الريسبي!$C$2:$C$1800,الريسبي!$A$2:$A$1800,$A98,الريسبي!$B$2:$B$1800,AD$1)</f>
        <v>0</v>
      </c>
      <c r="AE98" s="117" t="n">
        <f aca="false">SUMIFS(الريسبي!$C$2:$C$1800,الريسبي!$A$2:$A$1800,$A98,الريسبي!$B$2:$B$1800,AE$1)</f>
        <v>0</v>
      </c>
      <c r="AF98" s="117" t="n">
        <f aca="false">SUMIFS(الريسبي!$C$2:$C$1800,الريسبي!$A$2:$A$1800,$A98,الريسبي!$B$2:$B$1800,AF$1)</f>
        <v>0</v>
      </c>
      <c r="AG98" s="117" t="n">
        <f aca="false">SUMIFS(الريسبي!$C$2:$C$1800,الريسبي!$A$2:$A$1800,$A98,الريسبي!$B$2:$B$1800,AG$1)</f>
        <v>0</v>
      </c>
      <c r="AH98" s="117" t="n">
        <f aca="false">SUMIFS(الريسبي!$C$2:$C$1800,الريسبي!$A$2:$A$1800,$A98,الريسبي!$B$2:$B$1800,AH$1)</f>
        <v>0</v>
      </c>
      <c r="AI98" s="117" t="n">
        <f aca="false">SUMIFS(الريسبي!$C$2:$C$1800,الريسبي!$A$2:$A$1800,$A98,الريسبي!$B$2:$B$1800,AI$1)</f>
        <v>0</v>
      </c>
      <c r="AJ98" s="117" t="n">
        <f aca="false">SUMIFS(الريسبي!$C$2:$C$1800,الريسبي!$A$2:$A$1800,$A98,الريسبي!$B$2:$B$1800,AJ$1)</f>
        <v>2</v>
      </c>
      <c r="AK98" s="117" t="n">
        <f aca="false">SUMIFS(الريسبي!$C$2:$C$1800,الريسبي!$A$2:$A$1800,$A98,الريسبي!$B$2:$B$1800,AK$1)</f>
        <v>0</v>
      </c>
      <c r="AL98" s="117" t="n">
        <f aca="false">SUMIFS(الريسبي!$C$2:$C$1800,الريسبي!$A$2:$A$1800,$A98,الريسبي!$B$2:$B$1800,AL$1)</f>
        <v>0</v>
      </c>
      <c r="AM98" s="117" t="n">
        <f aca="false">SUMIFS(الريسبي!$C$2:$C$1800,الريسبي!$A$2:$A$1800,$A98,الريسبي!$B$2:$B$1800,AM$1)+0.08333333333*SUMIFS(الريسبي!$C$2:$C$1800,الريسبي!$A$2:$A$1800,$A98,الريسبي!$B$2:$B$1800,"عجين كريب (مصنع بالمطعم)")+0.08333333333*SUMIFS(الريسبي!$C$2:$C$1800,الريسبي!$A$2:$A$1800,$A98,الريسبي!$B$2:$B$1800,"عجين كريب صيامي (بدون لبن)")</f>
        <v>0</v>
      </c>
      <c r="AN98" s="117" t="n">
        <f aca="false">SUMIFS(الريسبي!$C$2:$C$1800,الريسبي!$A$2:$A$1800,$A98,الريسبي!$B$2:$B$1800,AN$1)+0.004166666667*SUMIFS(الريسبي!$C$2:$C$1800,الريسبي!$A$2:$A$1800,$A98,الريسبي!$B$2:$B$1800,"عجين كريب (مصنع بالمطعم)")+0.004166666667*SUMIFS(الريسبي!$C$2:$C$1800,الريسبي!$A$2:$A$1800,$A98,الريسبي!$B$2:$B$1800,"عجين كريب صيامي (بدون لبن)")</f>
        <v>0</v>
      </c>
      <c r="AO98" s="117" t="n">
        <f aca="false">SUMIFS(الريسبي!$C$2:$C$1800,الريسبي!$A$2:$A$1800,$A98,الريسبي!$B$2:$B$1800,AO$1)</f>
        <v>0</v>
      </c>
      <c r="AP98" s="117" t="n">
        <f aca="false">SUMIFS(الريسبي!$C$2:$C$1800,الريسبي!$A$2:$A$1800,$A98,الريسبي!$B$2:$B$1800,AP$1)</f>
        <v>0.03</v>
      </c>
      <c r="AQ98" s="117" t="n">
        <f aca="false">SUMIFS(الريسبي!$C$2:$C$1800,الريسبي!$A$2:$A$1800,$A98,الريسبي!$B$2:$B$1800,AQ$1)+0.004166666667*SUMIFS(الريسبي!$C$2:$C$1800,الريسبي!$A$2:$A$1800,$A98,الريسبي!$B$2:$B$1800,"عجين كريب (مصنع بالمطعم)")+0.004166666667*SUMIFS(الريسبي!$C$2:$C$1800,الريسبي!$A$2:$A$1800,$A98,الريسبي!$B$2:$B$1800,"عجين كريب صيامي (بدون لبن)")</f>
        <v>0</v>
      </c>
      <c r="AR98" s="117" t="n">
        <f aca="false">SUMIFS(الريسبي!$C$2:$C$1800,الريسبي!$A$2:$A$1800,$A98,الريسبي!$B$2:$B$1800,AR$1)</f>
        <v>0</v>
      </c>
      <c r="AS98" s="117" t="n">
        <f aca="false">SUMIFS(الريسبي!$C$2:$C$1800,الريسبي!$A$2:$A$1800,$A98,الريسبي!$B$2:$B$1800,AS$1)</f>
        <v>0</v>
      </c>
      <c r="AT98" s="117" t="n">
        <f aca="false">SUMIFS(الريسبي!$C$2:$C$1800,الريسبي!$A$2:$A$1800,$A98,الريسبي!$B$2:$B$1800,AT$1)</f>
        <v>0</v>
      </c>
      <c r="AU98" s="117" t="n">
        <f aca="false">SUMIFS(الريسبي!$C$2:$C$1800,الريسبي!$A$2:$A$1800,$A98,الريسبي!$B$2:$B$1800,AU$1)</f>
        <v>0</v>
      </c>
      <c r="AV98" s="117" t="n">
        <f aca="false">SUMIFS(الريسبي!$C$2:$C$1800,الريسبي!$A$2:$A$1800,$A98,الريسبي!$B$2:$B$1800,AV$1)</f>
        <v>0</v>
      </c>
      <c r="AW98" s="117" t="n">
        <f aca="false">SUMIFS(الريسبي!$C$2:$C$1800,الريسبي!$A$2:$A$1800,$A98,الريسبي!$B$2:$B$1800,AW$1)</f>
        <v>0</v>
      </c>
      <c r="AX98" s="117" t="n">
        <f aca="false">SUMIFS(الريسبي!$C$2:$C$1800,الريسبي!$A$2:$A$1800,$A98,الريسبي!$B$2:$B$1800,AX$1)</f>
        <v>0</v>
      </c>
      <c r="AY98" s="117" t="n">
        <f aca="false">SUMIFS(الريسبي!$C$2:$C$1800,الريسبي!$A$2:$A$1800,$A98,الريسبي!$B$2:$B$1800,AY$1)</f>
        <v>0</v>
      </c>
      <c r="AZ98" s="117" t="n">
        <f aca="false">SUMIFS(الريسبي!$C$2:$C$1800,الريسبي!$A$2:$A$1800,$A98,الريسبي!$B$2:$B$1800,AZ$1)</f>
        <v>0</v>
      </c>
      <c r="BA98" s="117" t="n">
        <f aca="false">SUMIFS(الريسبي!$C$2:$C$1800,الريسبي!$A$2:$A$1800,$A98,الريسبي!$B$2:$B$1800,BA$1)</f>
        <v>0</v>
      </c>
      <c r="BB98" s="117" t="n">
        <f aca="false">SUMIFS(الريسبي!$C$2:$C$1800,الريسبي!$A$2:$A$1800,$A98,الريسبي!$B$2:$B$1800,BB$1)</f>
        <v>0</v>
      </c>
      <c r="BC98" s="117" t="n">
        <f aca="false">SUMIFS(الريسبي!$C$2:$C$1800,الريسبي!$A$2:$A$1800,$A98,الريسبي!$B$2:$B$1800,BC$1)</f>
        <v>0.045</v>
      </c>
      <c r="BD98" s="117" t="n">
        <f aca="false">SUMIFS(الريسبي!$C$2:$C$1800,الريسبي!$A$2:$A$1800,$A98,الريسبي!$B$2:$B$1800,BD$1)</f>
        <v>0</v>
      </c>
      <c r="BE98" s="117" t="n">
        <f aca="false">SUMIFS(الريسبي!$C$2:$C$1800,الريسبي!$A$2:$A$1800,$A98,الريسبي!$B$2:$B$1800,BE$1)</f>
        <v>1.5</v>
      </c>
      <c r="BF98" s="117" t="n">
        <f aca="false">SUMIFS(الريسبي!$C$2:$C$1800,الريسبي!$A$2:$A$1800,$A98,الريسبي!$B$2:$B$1800,BF$1)</f>
        <v>0</v>
      </c>
      <c r="BG98" s="117" t="n">
        <f aca="false">SUMIFS(الريسبي!$C$2:$C$1800,الريسبي!$A$2:$A$1800,$A98,الريسبي!$B$2:$B$1800,BG$1)</f>
        <v>1</v>
      </c>
      <c r="BH98" s="117" t="n">
        <f aca="false">SUMIFS(الريسبي!$C$2:$C$1800,الريسبي!$A$2:$A$1800,$A98,الريسبي!$B$2:$B$1800,BH$1)</f>
        <v>0</v>
      </c>
      <c r="BI98" s="117" t="n">
        <f aca="false">SUMIFS(الريسبي!$C$2:$C$1800,الريسبي!$A$2:$A$1800,$A98,الريسبي!$B$2:$B$1800,BI$1)</f>
        <v>0</v>
      </c>
      <c r="BJ98" s="117" t="n">
        <f aca="false">SUMIFS(الريسبي!$C$2:$C$1800,الريسبي!$A$2:$A$1800,$A98,الريسبي!$B$2:$B$1800,BJ$1)</f>
        <v>0</v>
      </c>
      <c r="BK98" s="117" t="n">
        <f aca="false">SUMIFS(الريسبي!$C$2:$C$1800,الريسبي!$A$2:$A$1800,$A98,الريسبي!$B$2:$B$1800,BK$1)</f>
        <v>0</v>
      </c>
      <c r="BL98" s="117" t="n">
        <f aca="false">SUMIFS(الريسبي!$C$2:$C$1800,الريسبي!$A$2:$A$1800,$A98,الريسبي!$B$2:$B$1800,BL$1)</f>
        <v>0</v>
      </c>
      <c r="BM98" s="117" t="n">
        <f aca="false">SUMIFS(الريسبي!$C$2:$C$1800,الريسبي!$A$2:$A$1800,$A98,الريسبي!$B$2:$B$1800,BM$1)</f>
        <v>0</v>
      </c>
      <c r="BN98" s="117" t="n">
        <f aca="false">SUMIFS(الريسبي!$C$2:$C$1800,الريسبي!$A$2:$A$1800,$A98,الريسبي!$B$2:$B$1800,BN$1)</f>
        <v>0.03</v>
      </c>
      <c r="BO98" s="117" t="n">
        <f aca="false">SUMIFS(الريسبي!$C$2:$C$1800,الريسبي!$A$2:$A$1800,$A98,الريسبي!$B$2:$B$1800,BO$1)</f>
        <v>0</v>
      </c>
      <c r="BP98" s="117" t="n">
        <f aca="false">SUMIFS(الريسبي!$C$2:$C$1800,الريسبي!$A$2:$A$1800,$A98,الريسبي!$B$2:$B$1800,BP$1)</f>
        <v>3</v>
      </c>
      <c r="BQ98" s="117" t="n">
        <f aca="false">SUMIFS(الريسبي!$C$2:$C$1800,الريسبي!$A$2:$A$1800,$A98,الريسبي!$B$2:$B$1800,BQ$1)+0.17*SUMIFS(الريسبي!$C$2:$C$1800,الريسبي!$A$2:$A$1800,$A98,الريسبي!$B$2:$B$1800,"كاسترد مصنع (خليط بودر + لبن)")+0.17*SUMIFS(الريسبي!$C$2:$C$1800,الريسبي!$A$2:$A$1800,$A98,الريسبي!$B$2:$B$1800,"كاسترد مصنع صيامي (بدون لبن)")</f>
        <v>0</v>
      </c>
      <c r="BR98" s="117" t="n">
        <f aca="false">SUMIFS(الريسبي!$C$2:$C$1800,الريسبي!$A$2:$A$1800,$A98,الريسبي!$B$2:$B$1800,BR$1)</f>
        <v>1</v>
      </c>
      <c r="BS98" s="117" t="n">
        <f aca="false">SUMIFS(الريسبي!$C$2:$C$1800,الريسبي!$A$2:$A$1800,$A98,الريسبي!$B$2:$B$1800,BS$1)</f>
        <v>0</v>
      </c>
      <c r="BT98" s="117" t="n">
        <f aca="false">SUMIFS(الريسبي!$C$2:$C$1800,الريسبي!$A$2:$A$1800,$A98,الريسبي!$B$2:$B$1800,BT$1)</f>
        <v>0</v>
      </c>
      <c r="BU98" s="117" t="n">
        <f aca="false">SUMIFS(الريسبي!$C$2:$C$1800,الريسبي!$A$2:$A$1800,$A98,الريسبي!$B$2:$B$1800,BU$1)+0.4*SUMIFS(الريسبي!$C$2:$C$1800,الريسبي!$A$2:$A$1800,$A98,الريسبي!$B$2:$B$1800,"كاسترد مصنع (خليط بودر + لبن)")+0.03333333333*SUMIFS(الريسبي!$C$2:$C$1800,الريسبي!$A$2:$A$1800,$A98,الريسبي!$B$2:$B$1800,"عجين كريب (مصنع بالمطعم)")</f>
        <v>0</v>
      </c>
      <c r="BV98" s="117" t="n">
        <f aca="false">SUMIFS(الريسبي!$C$2:$C$1800,الريسبي!$A$2:$A$1800,$A98,الريسبي!$B$2:$B$1800,BV$1)</f>
        <v>0</v>
      </c>
      <c r="BW98" s="117" t="n">
        <f aca="false">SUMIFS(الريسبي!$C$2:$C$1800,الريسبي!$A$2:$A$1800,$A98,الريسبي!$B$2:$B$1800,BW$1)</f>
        <v>0</v>
      </c>
      <c r="BX98" s="117" t="n">
        <f aca="false">SUMIFS(الريسبي!$C$2:$C$1800,الريسبي!$A$2:$A$1800,$A98,الريسبي!$B$2:$B$1800,BX$1)</f>
        <v>0</v>
      </c>
      <c r="BY98" s="117" t="n">
        <f aca="false">SUMIFS(الريسبي!$C$2:$C$1800,الريسبي!$A$2:$A$1800,$A98,الريسبي!$B$2:$B$1800,BY$1)</f>
        <v>0</v>
      </c>
      <c r="BZ98" s="117" t="n">
        <f aca="false">SUMIFS(الريسبي!$C$2:$C$1800,الريسبي!$A$2:$A$1800,$A98,الريسبي!$B$2:$B$1800,BZ$1)</f>
        <v>0</v>
      </c>
      <c r="CA98" s="117" t="n">
        <f aca="false">SUMIFS(الريسبي!$C$2:$C$1800,الريسبي!$A$2:$A$1800,$A98,الريسبي!$B$2:$B$1800,CA$1)</f>
        <v>1</v>
      </c>
      <c r="CB98" s="117" t="n">
        <f aca="false">SUMIFS(الريسبي!$C$2:$C$1800,الريسبي!$A$2:$A$1800,$A98,الريسبي!$B$2:$B$1800,CB$1)</f>
        <v>1</v>
      </c>
      <c r="CC98" s="117" t="n">
        <f aca="false">SUMIFS(الريسبي!$C$2:$C$1800,الريسبي!$A$2:$A$1800,$A98,الريسبي!$B$2:$B$1800,CC$1)</f>
        <v>0</v>
      </c>
      <c r="CD98" s="117" t="n">
        <f aca="false">SUMIFS(الريسبي!$C$2:$C$1800,الريسبي!$A$2:$A$1800,$A98,الريسبي!$B$2:$B$1800,CD$1)</f>
        <v>0.18</v>
      </c>
      <c r="CE98" s="117" t="n">
        <f aca="false">SUMIFS(الريسبي!$C$2:$C$1800,الريسبي!$A$2:$A$1800,$A98,الريسبي!$B$2:$B$1800,CE$1)</f>
        <v>0</v>
      </c>
      <c r="CF98" s="117" t="n">
        <f aca="false">SUMIFS(الريسبي!$C$2:$C$1800,الريسبي!$A$2:$A$1800,$A98,الريسبي!$B$2:$B$1800,CF$1)</f>
        <v>0</v>
      </c>
      <c r="CG98" s="117" t="n">
        <f aca="false">SUMIFS(الريسبي!$C$2:$C$1800,الريسبي!$A$2:$A$1800,$A98,الريسبي!$B$2:$B$1800,CG$1)</f>
        <v>0</v>
      </c>
      <c r="CH98" s="117" t="n">
        <f aca="false">SUMIFS(الريسبي!$C$2:$C$1800,الريسبي!$A$2:$A$1800,$A98,الريسبي!$B$2:$B$1800,CH$1)</f>
        <v>0</v>
      </c>
      <c r="CI98" s="117" t="n">
        <f aca="false">SUMIFS(الريسبي!$C$2:$C$1800,الريسبي!$A$2:$A$1800,$A98,الريسبي!$B$2:$B$1800,CI$1)</f>
        <v>0</v>
      </c>
      <c r="CJ98" s="117" t="n">
        <f aca="false">SUMIFS(الريسبي!$C$2:$C$1800,الريسبي!$A$2:$A$1800,$A98,الريسبي!$B$2:$B$1800,CJ$1)</f>
        <v>0</v>
      </c>
      <c r="CK98" s="117" t="n">
        <f aca="false">SUMIFS(الريسبي!$C$2:$C$1800,الريسبي!$A$2:$A$1800,$A98,الريسبي!$B$2:$B$1800,CK$1)</f>
        <v>0</v>
      </c>
      <c r="CL98" s="117" t="n">
        <f aca="false">SUMIFS(الريسبي!$C$2:$C$1800,الريسبي!$A$2:$A$1800,$A98,الريسبي!$B$2:$B$1800,CL$1)</f>
        <v>0</v>
      </c>
    </row>
    <row r="99" customFormat="false" ht="15" hidden="false" customHeight="false" outlineLevel="0" collapsed="false">
      <c r="A99" s="116" t="str">
        <f aca="false">المنيو!B99</f>
        <v>فطيرة شاورما لحم / فراخ صيامي وسط</v>
      </c>
      <c r="B99" s="117" t="n">
        <f aca="false">SUMIFS(الريسبي!$C$2:$C$1800,الريسبي!$A$2:$A$1800,$A99,الريسبي!$B$2:$B$1800,B$1)</f>
        <v>0</v>
      </c>
      <c r="C99" s="117" t="n">
        <f aca="false">SUMIFS(الريسبي!$C$2:$C$1800,الريسبي!$A$2:$A$1800,$A99,الريسبي!$B$2:$B$1800,C$1)</f>
        <v>0</v>
      </c>
      <c r="D99" s="117" t="n">
        <f aca="false">SUMIFS(الريسبي!$C$2:$C$1800,الريسبي!$A$2:$A$1800,$A99,الريسبي!$B$2:$B$1800,D$1)</f>
        <v>1</v>
      </c>
      <c r="E99" s="117" t="n">
        <f aca="false">SUMIFS(الريسبي!$C$2:$C$1800,الريسبي!$A$2:$A$1800,$A99,الريسبي!$B$2:$B$1800,E$1)</f>
        <v>0</v>
      </c>
      <c r="F99" s="117" t="n">
        <f aca="false">SUMIFS(الريسبي!$C$2:$C$1800,الريسبي!$A$2:$A$1800,$A99,الريسبي!$B$2:$B$1800,F$1)</f>
        <v>0</v>
      </c>
      <c r="G99" s="117" t="n">
        <f aca="false">SUMIFS(الريسبي!$C$2:$C$1800,الريسبي!$A$2:$A$1800,$A99,الريسبي!$B$2:$B$1800,G$1)</f>
        <v>0</v>
      </c>
      <c r="H99" s="117" t="n">
        <f aca="false">SUMIFS(الريسبي!$C$2:$C$1800,الريسبي!$A$2:$A$1800,$A99,الريسبي!$B$2:$B$1800,H$1)</f>
        <v>0</v>
      </c>
      <c r="I99" s="117" t="n">
        <f aca="false">SUMIFS(الريسبي!$C$2:$C$1800,الريسبي!$A$2:$A$1800,$A99,الريسبي!$B$2:$B$1800,I$1)</f>
        <v>0</v>
      </c>
      <c r="J99" s="117" t="n">
        <f aca="false">SUMIFS(الريسبي!$C$2:$C$1800,الريسبي!$A$2:$A$1800,$A99,الريسبي!$B$2:$B$1800,J$1)</f>
        <v>0</v>
      </c>
      <c r="K99" s="117" t="n">
        <f aca="false">SUMIFS(الريسبي!$C$2:$C$1800,الريسبي!$A$2:$A$1800,$A99,الريسبي!$B$2:$B$1800,K$1)</f>
        <v>0</v>
      </c>
      <c r="L99" s="117" t="n">
        <f aca="false">SUMIFS(الريسبي!$C$2:$C$1800,الريسبي!$A$2:$A$1800,$A99,الريسبي!$B$2:$B$1800,L$1)</f>
        <v>0</v>
      </c>
      <c r="M99" s="117" t="n">
        <f aca="false">SUMIFS(الريسبي!$C$2:$C$1800,الريسبي!$A$2:$A$1800,$A99,الريسبي!$B$2:$B$1800,M$1)</f>
        <v>0</v>
      </c>
      <c r="N99" s="117" t="n">
        <f aca="false">SUMIFS(الريسبي!$C$2:$C$1800,الريسبي!$A$2:$A$1800,$A99,الريسبي!$B$2:$B$1800,N$1)</f>
        <v>0</v>
      </c>
      <c r="O99" s="117" t="n">
        <f aca="false">SUMIFS(الريسبي!$C$2:$C$1800,الريسبي!$A$2:$A$1800,$A99,الريسبي!$B$2:$B$1800,O$1)</f>
        <v>0</v>
      </c>
      <c r="P99" s="117" t="n">
        <f aca="false">SUMIFS(الريسبي!$C$2:$C$1800,الريسبي!$A$2:$A$1800,$A99,الريسبي!$B$2:$B$1800,P$1)</f>
        <v>0</v>
      </c>
      <c r="Q99" s="117" t="n">
        <f aca="false">SUMIFS(الريسبي!$C$2:$C$1800,الريسبي!$A$2:$A$1800,$A99,الريسبي!$B$2:$B$1800,Q$1)</f>
        <v>0</v>
      </c>
      <c r="R99" s="117" t="n">
        <f aca="false">SUMIFS(الريسبي!$C$2:$C$1800,الريسبي!$A$2:$A$1800,$A99,الريسبي!$B$2:$B$1800,R$1)</f>
        <v>0</v>
      </c>
      <c r="S99" s="117" t="n">
        <f aca="false">SUMIFS(الريسبي!$C$2:$C$1800,الريسبي!$A$2:$A$1800,$A99,الريسبي!$B$2:$B$1800,S$1)</f>
        <v>0</v>
      </c>
      <c r="T99" s="117" t="n">
        <f aca="false">SUMIFS(الريسبي!$C$2:$C$1800,الريسبي!$A$2:$A$1800,$A99,الريسبي!$B$2:$B$1800,T$1)</f>
        <v>0</v>
      </c>
      <c r="U99" s="117" t="n">
        <f aca="false">SUMIFS(الريسبي!$C$2:$C$1800,الريسبي!$A$2:$A$1800,$A99,الريسبي!$B$2:$B$1800,U$1)</f>
        <v>0</v>
      </c>
      <c r="V99" s="117" t="n">
        <f aca="false">SUMIFS(الريسبي!$C$2:$C$1800,الريسبي!$A$2:$A$1800,$A99,الريسبي!$B$2:$B$1800,V$1)</f>
        <v>0</v>
      </c>
      <c r="W99" s="117" t="n">
        <f aca="false">SUMIFS(الريسبي!$C$2:$C$1800,الريسبي!$A$2:$A$1800,$A99,الريسبي!$B$2:$B$1800,W$1)</f>
        <v>0</v>
      </c>
      <c r="X99" s="117" t="n">
        <f aca="false">SUMIFS(الريسبي!$C$2:$C$1800,الريسبي!$A$2:$A$1800,$A99,الريسبي!$B$2:$B$1800,X$1)</f>
        <v>1</v>
      </c>
      <c r="Y99" s="117" t="n">
        <f aca="false">SUMIFS(الريسبي!$C$2:$C$1800,الريسبي!$A$2:$A$1800,$A99,الريسبي!$B$2:$B$1800,Y$1)</f>
        <v>0</v>
      </c>
      <c r="Z99" s="117" t="n">
        <f aca="false">SUMIFS(الريسبي!$C$2:$C$1800,الريسبي!$A$2:$A$1800,$A99,الريسبي!$B$2:$B$1800,Z$1)</f>
        <v>0</v>
      </c>
      <c r="AA99" s="117" t="n">
        <f aca="false">SUMIFS(الريسبي!$C$2:$C$1800,الريسبي!$A$2:$A$1800,$A99,الريسبي!$B$2:$B$1800,AA$1)</f>
        <v>0</v>
      </c>
      <c r="AB99" s="117" t="n">
        <f aca="false">SUMIFS(الريسبي!$C$2:$C$1800,الريسبي!$A$2:$A$1800,$A99,الريسبي!$B$2:$B$1800,AB$1)</f>
        <v>0</v>
      </c>
      <c r="AC99" s="117" t="n">
        <f aca="false">SUMIFS(الريسبي!$C$2:$C$1800,الريسبي!$A$2:$A$1800,$A99,الريسبي!$B$2:$B$1800,AC$1)</f>
        <v>0</v>
      </c>
      <c r="AD99" s="117" t="n">
        <f aca="false">SUMIFS(الريسبي!$C$2:$C$1800,الريسبي!$A$2:$A$1800,$A99,الريسبي!$B$2:$B$1800,AD$1)</f>
        <v>0</v>
      </c>
      <c r="AE99" s="117" t="n">
        <f aca="false">SUMIFS(الريسبي!$C$2:$C$1800,الريسبي!$A$2:$A$1800,$A99,الريسبي!$B$2:$B$1800,AE$1)</f>
        <v>0</v>
      </c>
      <c r="AF99" s="117" t="n">
        <f aca="false">SUMIFS(الريسبي!$C$2:$C$1800,الريسبي!$A$2:$A$1800,$A99,الريسبي!$B$2:$B$1800,AF$1)</f>
        <v>0</v>
      </c>
      <c r="AG99" s="117" t="n">
        <f aca="false">SUMIFS(الريسبي!$C$2:$C$1800,الريسبي!$A$2:$A$1800,$A99,الريسبي!$B$2:$B$1800,AG$1)</f>
        <v>0</v>
      </c>
      <c r="AH99" s="117" t="n">
        <f aca="false">SUMIFS(الريسبي!$C$2:$C$1800,الريسبي!$A$2:$A$1800,$A99,الريسبي!$B$2:$B$1800,AH$1)</f>
        <v>0</v>
      </c>
      <c r="AI99" s="117" t="n">
        <f aca="false">SUMIFS(الريسبي!$C$2:$C$1800,الريسبي!$A$2:$A$1800,$A99,الريسبي!$B$2:$B$1800,AI$1)</f>
        <v>0</v>
      </c>
      <c r="AJ99" s="117" t="n">
        <f aca="false">SUMIFS(الريسبي!$C$2:$C$1800,الريسبي!$A$2:$A$1800,$A99,الريسبي!$B$2:$B$1800,AJ$1)</f>
        <v>2</v>
      </c>
      <c r="AK99" s="117" t="n">
        <f aca="false">SUMIFS(الريسبي!$C$2:$C$1800,الريسبي!$A$2:$A$1800,$A99,الريسبي!$B$2:$B$1800,AK$1)</f>
        <v>0</v>
      </c>
      <c r="AL99" s="117" t="n">
        <f aca="false">SUMIFS(الريسبي!$C$2:$C$1800,الريسبي!$A$2:$A$1800,$A99,الريسبي!$B$2:$B$1800,AL$1)</f>
        <v>0</v>
      </c>
      <c r="AM99" s="117" t="n">
        <f aca="false">SUMIFS(الريسبي!$C$2:$C$1800,الريسبي!$A$2:$A$1800,$A99,الريسبي!$B$2:$B$1800,AM$1)+0.08333333333*SUMIFS(الريسبي!$C$2:$C$1800,الريسبي!$A$2:$A$1800,$A99,الريسبي!$B$2:$B$1800,"عجين كريب (مصنع بالمطعم)")+0.08333333333*SUMIFS(الريسبي!$C$2:$C$1800,الريسبي!$A$2:$A$1800,$A99,الريسبي!$B$2:$B$1800,"عجين كريب صيامي (بدون لبن)")</f>
        <v>0</v>
      </c>
      <c r="AN99" s="117" t="n">
        <f aca="false">SUMIFS(الريسبي!$C$2:$C$1800,الريسبي!$A$2:$A$1800,$A99,الريسبي!$B$2:$B$1800,AN$1)+0.004166666667*SUMIFS(الريسبي!$C$2:$C$1800,الريسبي!$A$2:$A$1800,$A99,الريسبي!$B$2:$B$1800,"عجين كريب (مصنع بالمطعم)")+0.004166666667*SUMIFS(الريسبي!$C$2:$C$1800,الريسبي!$A$2:$A$1800,$A99,الريسبي!$B$2:$B$1800,"عجين كريب صيامي (بدون لبن)")</f>
        <v>0</v>
      </c>
      <c r="AO99" s="117" t="n">
        <f aca="false">SUMIFS(الريسبي!$C$2:$C$1800,الريسبي!$A$2:$A$1800,$A99,الريسبي!$B$2:$B$1800,AO$1)</f>
        <v>0</v>
      </c>
      <c r="AP99" s="117" t="n">
        <f aca="false">SUMIFS(الريسبي!$C$2:$C$1800,الريسبي!$A$2:$A$1800,$A99,الريسبي!$B$2:$B$1800,AP$1)</f>
        <v>0.02</v>
      </c>
      <c r="AQ99" s="117" t="n">
        <f aca="false">SUMIFS(الريسبي!$C$2:$C$1800,الريسبي!$A$2:$A$1800,$A99,الريسبي!$B$2:$B$1800,AQ$1)+0.004166666667*SUMIFS(الريسبي!$C$2:$C$1800,الريسبي!$A$2:$A$1800,$A99,الريسبي!$B$2:$B$1800,"عجين كريب (مصنع بالمطعم)")+0.004166666667*SUMIFS(الريسبي!$C$2:$C$1800,الريسبي!$A$2:$A$1800,$A99,الريسبي!$B$2:$B$1800,"عجين كريب صيامي (بدون لبن)")</f>
        <v>0</v>
      </c>
      <c r="AR99" s="117" t="n">
        <f aca="false">SUMIFS(الريسبي!$C$2:$C$1800,الريسبي!$A$2:$A$1800,$A99,الريسبي!$B$2:$B$1800,AR$1)</f>
        <v>0</v>
      </c>
      <c r="AS99" s="117" t="n">
        <f aca="false">SUMIFS(الريسبي!$C$2:$C$1800,الريسبي!$A$2:$A$1800,$A99,الريسبي!$B$2:$B$1800,AS$1)</f>
        <v>0</v>
      </c>
      <c r="AT99" s="117" t="n">
        <f aca="false">SUMIFS(الريسبي!$C$2:$C$1800,الريسبي!$A$2:$A$1800,$A99,الريسبي!$B$2:$B$1800,AT$1)</f>
        <v>0</v>
      </c>
      <c r="AU99" s="117" t="n">
        <f aca="false">SUMIFS(الريسبي!$C$2:$C$1800,الريسبي!$A$2:$A$1800,$A99,الريسبي!$B$2:$B$1800,AU$1)</f>
        <v>0</v>
      </c>
      <c r="AV99" s="117" t="n">
        <f aca="false">SUMIFS(الريسبي!$C$2:$C$1800,الريسبي!$A$2:$A$1800,$A99,الريسبي!$B$2:$B$1800,AV$1)</f>
        <v>0</v>
      </c>
      <c r="AW99" s="117" t="n">
        <f aca="false">SUMIFS(الريسبي!$C$2:$C$1800,الريسبي!$A$2:$A$1800,$A99,الريسبي!$B$2:$B$1800,AW$1)</f>
        <v>0</v>
      </c>
      <c r="AX99" s="117" t="n">
        <f aca="false">SUMIFS(الريسبي!$C$2:$C$1800,الريسبي!$A$2:$A$1800,$A99,الريسبي!$B$2:$B$1800,AX$1)</f>
        <v>0</v>
      </c>
      <c r="AY99" s="117" t="n">
        <f aca="false">SUMIFS(الريسبي!$C$2:$C$1800,الريسبي!$A$2:$A$1800,$A99,الريسبي!$B$2:$B$1800,AY$1)</f>
        <v>0</v>
      </c>
      <c r="AZ99" s="117" t="n">
        <f aca="false">SUMIFS(الريسبي!$C$2:$C$1800,الريسبي!$A$2:$A$1800,$A99,الريسبي!$B$2:$B$1800,AZ$1)</f>
        <v>0</v>
      </c>
      <c r="BA99" s="117" t="n">
        <f aca="false">SUMIFS(الريسبي!$C$2:$C$1800,الريسبي!$A$2:$A$1800,$A99,الريسبي!$B$2:$B$1800,BA$1)</f>
        <v>0</v>
      </c>
      <c r="BB99" s="117" t="n">
        <f aca="false">SUMIFS(الريسبي!$C$2:$C$1800,الريسبي!$A$2:$A$1800,$A99,الريسبي!$B$2:$B$1800,BB$1)</f>
        <v>0</v>
      </c>
      <c r="BC99" s="117" t="n">
        <f aca="false">SUMIFS(الريسبي!$C$2:$C$1800,الريسبي!$A$2:$A$1800,$A99,الريسبي!$B$2:$B$1800,BC$1)</f>
        <v>0.03</v>
      </c>
      <c r="BD99" s="117" t="n">
        <f aca="false">SUMIFS(الريسبي!$C$2:$C$1800,الريسبي!$A$2:$A$1800,$A99,الريسبي!$B$2:$B$1800,BD$1)</f>
        <v>0</v>
      </c>
      <c r="BE99" s="117" t="n">
        <f aca="false">SUMIFS(الريسبي!$C$2:$C$1800,الريسبي!$A$2:$A$1800,$A99,الريسبي!$B$2:$B$1800,BE$1)</f>
        <v>1</v>
      </c>
      <c r="BF99" s="117" t="n">
        <f aca="false">SUMIFS(الريسبي!$C$2:$C$1800,الريسبي!$A$2:$A$1800,$A99,الريسبي!$B$2:$B$1800,BF$1)</f>
        <v>0</v>
      </c>
      <c r="BG99" s="117" t="n">
        <f aca="false">SUMIFS(الريسبي!$C$2:$C$1800,الريسبي!$A$2:$A$1800,$A99,الريسبي!$B$2:$B$1800,BG$1)</f>
        <v>0</v>
      </c>
      <c r="BH99" s="117" t="n">
        <f aca="false">SUMIFS(الريسبي!$C$2:$C$1800,الريسبي!$A$2:$A$1800,$A99,الريسبي!$B$2:$B$1800,BH$1)</f>
        <v>1</v>
      </c>
      <c r="BI99" s="117" t="n">
        <f aca="false">SUMIFS(الريسبي!$C$2:$C$1800,الريسبي!$A$2:$A$1800,$A99,الريسبي!$B$2:$B$1800,BI$1)</f>
        <v>0</v>
      </c>
      <c r="BJ99" s="117" t="n">
        <f aca="false">SUMIFS(الريسبي!$C$2:$C$1800,الريسبي!$A$2:$A$1800,$A99,الريسبي!$B$2:$B$1800,BJ$1)</f>
        <v>0</v>
      </c>
      <c r="BK99" s="117" t="n">
        <f aca="false">SUMIFS(الريسبي!$C$2:$C$1800,الريسبي!$A$2:$A$1800,$A99,الريسبي!$B$2:$B$1800,BK$1)</f>
        <v>0</v>
      </c>
      <c r="BL99" s="117" t="n">
        <f aca="false">SUMIFS(الريسبي!$C$2:$C$1800,الريسبي!$A$2:$A$1800,$A99,الريسبي!$B$2:$B$1800,BL$1)</f>
        <v>0</v>
      </c>
      <c r="BM99" s="117" t="n">
        <f aca="false">SUMIFS(الريسبي!$C$2:$C$1800,الريسبي!$A$2:$A$1800,$A99,الريسبي!$B$2:$B$1800,BM$1)</f>
        <v>0</v>
      </c>
      <c r="BN99" s="117" t="n">
        <f aca="false">SUMIFS(الريسبي!$C$2:$C$1800,الريسبي!$A$2:$A$1800,$A99,الريسبي!$B$2:$B$1800,BN$1)</f>
        <v>0.02</v>
      </c>
      <c r="BO99" s="117" t="n">
        <f aca="false">SUMIFS(الريسبي!$C$2:$C$1800,الريسبي!$A$2:$A$1800,$A99,الريسبي!$B$2:$B$1800,BO$1)</f>
        <v>0</v>
      </c>
      <c r="BP99" s="117" t="n">
        <f aca="false">SUMIFS(الريسبي!$C$2:$C$1800,الريسبي!$A$2:$A$1800,$A99,الريسبي!$B$2:$B$1800,BP$1)</f>
        <v>2</v>
      </c>
      <c r="BQ99" s="117" t="n">
        <f aca="false">SUMIFS(الريسبي!$C$2:$C$1800,الريسبي!$A$2:$A$1800,$A99,الريسبي!$B$2:$B$1800,BQ$1)+0.17*SUMIFS(الريسبي!$C$2:$C$1800,الريسبي!$A$2:$A$1800,$A99,الريسبي!$B$2:$B$1800,"كاسترد مصنع (خليط بودر + لبن)")+0.17*SUMIFS(الريسبي!$C$2:$C$1800,الريسبي!$A$2:$A$1800,$A99,الريسبي!$B$2:$B$1800,"كاسترد مصنع صيامي (بدون لبن)")</f>
        <v>0</v>
      </c>
      <c r="BR99" s="117" t="n">
        <f aca="false">SUMIFS(الريسبي!$C$2:$C$1800,الريسبي!$A$2:$A$1800,$A99,الريسبي!$B$2:$B$1800,BR$1)</f>
        <v>1</v>
      </c>
      <c r="BS99" s="117" t="n">
        <f aca="false">SUMIFS(الريسبي!$C$2:$C$1800,الريسبي!$A$2:$A$1800,$A99,الريسبي!$B$2:$B$1800,BS$1)</f>
        <v>0</v>
      </c>
      <c r="BT99" s="117" t="n">
        <f aca="false">SUMIFS(الريسبي!$C$2:$C$1800,الريسبي!$A$2:$A$1800,$A99,الريسبي!$B$2:$B$1800,BT$1)</f>
        <v>0</v>
      </c>
      <c r="BU99" s="117" t="n">
        <f aca="false">SUMIFS(الريسبي!$C$2:$C$1800,الريسبي!$A$2:$A$1800,$A99,الريسبي!$B$2:$B$1800,BU$1)+0.4*SUMIFS(الريسبي!$C$2:$C$1800,الريسبي!$A$2:$A$1800,$A99,الريسبي!$B$2:$B$1800,"كاسترد مصنع (خليط بودر + لبن)")+0.03333333333*SUMIFS(الريسبي!$C$2:$C$1800,الريسبي!$A$2:$A$1800,$A99,الريسبي!$B$2:$B$1800,"عجين كريب (مصنع بالمطعم)")</f>
        <v>0</v>
      </c>
      <c r="BV99" s="117" t="n">
        <f aca="false">SUMIFS(الريسبي!$C$2:$C$1800,الريسبي!$A$2:$A$1800,$A99,الريسبي!$B$2:$B$1800,BV$1)</f>
        <v>0</v>
      </c>
      <c r="BW99" s="117" t="n">
        <f aca="false">SUMIFS(الريسبي!$C$2:$C$1800,الريسبي!$A$2:$A$1800,$A99,الريسبي!$B$2:$B$1800,BW$1)</f>
        <v>0</v>
      </c>
      <c r="BX99" s="117" t="n">
        <f aca="false">SUMIFS(الريسبي!$C$2:$C$1800,الريسبي!$A$2:$A$1800,$A99,الريسبي!$B$2:$B$1800,BX$1)</f>
        <v>0</v>
      </c>
      <c r="BY99" s="117" t="n">
        <f aca="false">SUMIFS(الريسبي!$C$2:$C$1800,الريسبي!$A$2:$A$1800,$A99,الريسبي!$B$2:$B$1800,BY$1)</f>
        <v>0</v>
      </c>
      <c r="BZ99" s="117" t="n">
        <f aca="false">SUMIFS(الريسبي!$C$2:$C$1800,الريسبي!$A$2:$A$1800,$A99,الريسبي!$B$2:$B$1800,BZ$1)</f>
        <v>0</v>
      </c>
      <c r="CA99" s="117" t="n">
        <f aca="false">SUMIFS(الريسبي!$C$2:$C$1800,الريسبي!$A$2:$A$1800,$A99,الريسبي!$B$2:$B$1800,CA$1)</f>
        <v>1</v>
      </c>
      <c r="CB99" s="117" t="n">
        <f aca="false">SUMIFS(الريسبي!$C$2:$C$1800,الريسبي!$A$2:$A$1800,$A99,الريسبي!$B$2:$B$1800,CB$1)</f>
        <v>1</v>
      </c>
      <c r="CC99" s="117" t="n">
        <f aca="false">SUMIFS(الريسبي!$C$2:$C$1800,الريسبي!$A$2:$A$1800,$A99,الريسبي!$B$2:$B$1800,CC$1)</f>
        <v>0</v>
      </c>
      <c r="CD99" s="117" t="n">
        <f aca="false">SUMIFS(الريسبي!$C$2:$C$1800,الريسبي!$A$2:$A$1800,$A99,الريسبي!$B$2:$B$1800,CD$1)</f>
        <v>0</v>
      </c>
      <c r="CE99" s="117" t="n">
        <f aca="false">SUMIFS(الريسبي!$C$2:$C$1800,الريسبي!$A$2:$A$1800,$A99,الريسبي!$B$2:$B$1800,CE$1)</f>
        <v>0.14</v>
      </c>
      <c r="CF99" s="117" t="n">
        <f aca="false">SUMIFS(الريسبي!$C$2:$C$1800,الريسبي!$A$2:$A$1800,$A99,الريسبي!$B$2:$B$1800,CF$1)</f>
        <v>0</v>
      </c>
      <c r="CG99" s="117" t="n">
        <f aca="false">SUMIFS(الريسبي!$C$2:$C$1800,الريسبي!$A$2:$A$1800,$A99,الريسبي!$B$2:$B$1800,CG$1)</f>
        <v>0</v>
      </c>
      <c r="CH99" s="117" t="n">
        <f aca="false">SUMIFS(الريسبي!$C$2:$C$1800,الريسبي!$A$2:$A$1800,$A99,الريسبي!$B$2:$B$1800,CH$1)</f>
        <v>0</v>
      </c>
      <c r="CI99" s="117" t="n">
        <f aca="false">SUMIFS(الريسبي!$C$2:$C$1800,الريسبي!$A$2:$A$1800,$A99,الريسبي!$B$2:$B$1800,CI$1)</f>
        <v>0</v>
      </c>
      <c r="CJ99" s="117" t="n">
        <f aca="false">SUMIFS(الريسبي!$C$2:$C$1800,الريسبي!$A$2:$A$1800,$A99,الريسبي!$B$2:$B$1800,CJ$1)</f>
        <v>0</v>
      </c>
      <c r="CK99" s="117" t="n">
        <f aca="false">SUMIFS(الريسبي!$C$2:$C$1800,الريسبي!$A$2:$A$1800,$A99,الريسبي!$B$2:$B$1800,CK$1)</f>
        <v>0</v>
      </c>
      <c r="CL99" s="117" t="n">
        <f aca="false">SUMIFS(الريسبي!$C$2:$C$1800,الريسبي!$A$2:$A$1800,$A99,الريسبي!$B$2:$B$1800,CL$1)</f>
        <v>0</v>
      </c>
    </row>
    <row r="100" customFormat="false" ht="15" hidden="false" customHeight="false" outlineLevel="0" collapsed="false">
      <c r="A100" s="116" t="str">
        <f aca="false">المنيو!B100</f>
        <v>فطيرة شاورما لحم / فراخ صيامي مخصوص</v>
      </c>
      <c r="B100" s="117" t="n">
        <f aca="false">SUMIFS(الريسبي!$C$2:$C$1800,الريسبي!$A$2:$A$1800,$A100,الريسبي!$B$2:$B$1800,B$1)</f>
        <v>0</v>
      </c>
      <c r="C100" s="117" t="n">
        <f aca="false">SUMIFS(الريسبي!$C$2:$C$1800,الريسبي!$A$2:$A$1800,$A100,الريسبي!$B$2:$B$1800,C$1)</f>
        <v>0</v>
      </c>
      <c r="D100" s="117" t="n">
        <f aca="false">SUMIFS(الريسبي!$C$2:$C$1800,الريسبي!$A$2:$A$1800,$A100,الريسبي!$B$2:$B$1800,D$1)</f>
        <v>1</v>
      </c>
      <c r="E100" s="117" t="n">
        <f aca="false">SUMIFS(الريسبي!$C$2:$C$1800,الريسبي!$A$2:$A$1800,$A100,الريسبي!$B$2:$B$1800,E$1)</f>
        <v>0</v>
      </c>
      <c r="F100" s="117" t="n">
        <f aca="false">SUMIFS(الريسبي!$C$2:$C$1800,الريسبي!$A$2:$A$1800,$A100,الريسبي!$B$2:$B$1800,F$1)</f>
        <v>0</v>
      </c>
      <c r="G100" s="117" t="n">
        <f aca="false">SUMIFS(الريسبي!$C$2:$C$1800,الريسبي!$A$2:$A$1800,$A100,الريسبي!$B$2:$B$1800,G$1)</f>
        <v>0</v>
      </c>
      <c r="H100" s="117" t="n">
        <f aca="false">SUMIFS(الريسبي!$C$2:$C$1800,الريسبي!$A$2:$A$1800,$A100,الريسبي!$B$2:$B$1800,H$1)</f>
        <v>0</v>
      </c>
      <c r="I100" s="117" t="n">
        <f aca="false">SUMIFS(الريسبي!$C$2:$C$1800,الريسبي!$A$2:$A$1800,$A100,الريسبي!$B$2:$B$1800,I$1)</f>
        <v>0</v>
      </c>
      <c r="J100" s="117" t="n">
        <f aca="false">SUMIFS(الريسبي!$C$2:$C$1800,الريسبي!$A$2:$A$1800,$A100,الريسبي!$B$2:$B$1800,J$1)</f>
        <v>0</v>
      </c>
      <c r="K100" s="117" t="n">
        <f aca="false">SUMIFS(الريسبي!$C$2:$C$1800,الريسبي!$A$2:$A$1800,$A100,الريسبي!$B$2:$B$1800,K$1)</f>
        <v>0</v>
      </c>
      <c r="L100" s="117" t="n">
        <f aca="false">SUMIFS(الريسبي!$C$2:$C$1800,الريسبي!$A$2:$A$1800,$A100,الريسبي!$B$2:$B$1800,L$1)</f>
        <v>0</v>
      </c>
      <c r="M100" s="117" t="n">
        <f aca="false">SUMIFS(الريسبي!$C$2:$C$1800,الريسبي!$A$2:$A$1800,$A100,الريسبي!$B$2:$B$1800,M$1)</f>
        <v>0</v>
      </c>
      <c r="N100" s="117" t="n">
        <f aca="false">SUMIFS(الريسبي!$C$2:$C$1800,الريسبي!$A$2:$A$1800,$A100,الريسبي!$B$2:$B$1800,N$1)</f>
        <v>0</v>
      </c>
      <c r="O100" s="117" t="n">
        <f aca="false">SUMIFS(الريسبي!$C$2:$C$1800,الريسبي!$A$2:$A$1800,$A100,الريسبي!$B$2:$B$1800,O$1)</f>
        <v>0</v>
      </c>
      <c r="P100" s="117" t="n">
        <f aca="false">SUMIFS(الريسبي!$C$2:$C$1800,الريسبي!$A$2:$A$1800,$A100,الريسبي!$B$2:$B$1800,P$1)</f>
        <v>0</v>
      </c>
      <c r="Q100" s="117" t="n">
        <f aca="false">SUMIFS(الريسبي!$C$2:$C$1800,الريسبي!$A$2:$A$1800,$A100,الريسبي!$B$2:$B$1800,Q$1)</f>
        <v>0</v>
      </c>
      <c r="R100" s="117" t="n">
        <f aca="false">SUMIFS(الريسبي!$C$2:$C$1800,الريسبي!$A$2:$A$1800,$A100,الريسبي!$B$2:$B$1800,R$1)</f>
        <v>0</v>
      </c>
      <c r="S100" s="117" t="n">
        <f aca="false">SUMIFS(الريسبي!$C$2:$C$1800,الريسبي!$A$2:$A$1800,$A100,الريسبي!$B$2:$B$1800,S$1)</f>
        <v>0</v>
      </c>
      <c r="T100" s="117" t="n">
        <f aca="false">SUMIFS(الريسبي!$C$2:$C$1800,الريسبي!$A$2:$A$1800,$A100,الريسبي!$B$2:$B$1800,T$1)</f>
        <v>0</v>
      </c>
      <c r="U100" s="117" t="n">
        <f aca="false">SUMIFS(الريسبي!$C$2:$C$1800,الريسبي!$A$2:$A$1800,$A100,الريسبي!$B$2:$B$1800,U$1)</f>
        <v>0</v>
      </c>
      <c r="V100" s="117" t="n">
        <f aca="false">SUMIFS(الريسبي!$C$2:$C$1800,الريسبي!$A$2:$A$1800,$A100,الريسبي!$B$2:$B$1800,V$1)</f>
        <v>0</v>
      </c>
      <c r="W100" s="117" t="n">
        <f aca="false">SUMIFS(الريسبي!$C$2:$C$1800,الريسبي!$A$2:$A$1800,$A100,الريسبي!$B$2:$B$1800,W$1)</f>
        <v>0</v>
      </c>
      <c r="X100" s="117" t="n">
        <f aca="false">SUMIFS(الريسبي!$C$2:$C$1800,الريسبي!$A$2:$A$1800,$A100,الريسبي!$B$2:$B$1800,X$1)</f>
        <v>0</v>
      </c>
      <c r="Y100" s="117" t="n">
        <f aca="false">SUMIFS(الريسبي!$C$2:$C$1800,الريسبي!$A$2:$A$1800,$A100,الريسبي!$B$2:$B$1800,Y$1)</f>
        <v>1</v>
      </c>
      <c r="Z100" s="117" t="n">
        <f aca="false">SUMIFS(الريسبي!$C$2:$C$1800,الريسبي!$A$2:$A$1800,$A100,الريسبي!$B$2:$B$1800,Z$1)</f>
        <v>0</v>
      </c>
      <c r="AA100" s="117" t="n">
        <f aca="false">SUMIFS(الريسبي!$C$2:$C$1800,الريسبي!$A$2:$A$1800,$A100,الريسبي!$B$2:$B$1800,AA$1)</f>
        <v>0</v>
      </c>
      <c r="AB100" s="117" t="n">
        <f aca="false">SUMIFS(الريسبي!$C$2:$C$1800,الريسبي!$A$2:$A$1800,$A100,الريسبي!$B$2:$B$1800,AB$1)</f>
        <v>0</v>
      </c>
      <c r="AC100" s="117" t="n">
        <f aca="false">SUMIFS(الريسبي!$C$2:$C$1800,الريسبي!$A$2:$A$1800,$A100,الريسبي!$B$2:$B$1800,AC$1)</f>
        <v>0</v>
      </c>
      <c r="AD100" s="117" t="n">
        <f aca="false">SUMIFS(الريسبي!$C$2:$C$1800,الريسبي!$A$2:$A$1800,$A100,الريسبي!$B$2:$B$1800,AD$1)</f>
        <v>0</v>
      </c>
      <c r="AE100" s="117" t="n">
        <f aca="false">SUMIFS(الريسبي!$C$2:$C$1800,الريسبي!$A$2:$A$1800,$A100,الريسبي!$B$2:$B$1800,AE$1)</f>
        <v>0</v>
      </c>
      <c r="AF100" s="117" t="n">
        <f aca="false">SUMIFS(الريسبي!$C$2:$C$1800,الريسبي!$A$2:$A$1800,$A100,الريسبي!$B$2:$B$1800,AF$1)</f>
        <v>0</v>
      </c>
      <c r="AG100" s="117" t="n">
        <f aca="false">SUMIFS(الريسبي!$C$2:$C$1800,الريسبي!$A$2:$A$1800,$A100,الريسبي!$B$2:$B$1800,AG$1)</f>
        <v>0</v>
      </c>
      <c r="AH100" s="117" t="n">
        <f aca="false">SUMIFS(الريسبي!$C$2:$C$1800,الريسبي!$A$2:$A$1800,$A100,الريسبي!$B$2:$B$1800,AH$1)</f>
        <v>0</v>
      </c>
      <c r="AI100" s="117" t="n">
        <f aca="false">SUMIFS(الريسبي!$C$2:$C$1800,الريسبي!$A$2:$A$1800,$A100,الريسبي!$B$2:$B$1800,AI$1)</f>
        <v>0</v>
      </c>
      <c r="AJ100" s="117" t="n">
        <f aca="false">SUMIFS(الريسبي!$C$2:$C$1800,الريسبي!$A$2:$A$1800,$A100,الريسبي!$B$2:$B$1800,AJ$1)</f>
        <v>2</v>
      </c>
      <c r="AK100" s="117" t="n">
        <f aca="false">SUMIFS(الريسبي!$C$2:$C$1800,الريسبي!$A$2:$A$1800,$A100,الريسبي!$B$2:$B$1800,AK$1)</f>
        <v>0</v>
      </c>
      <c r="AL100" s="117" t="n">
        <f aca="false">SUMIFS(الريسبي!$C$2:$C$1800,الريسبي!$A$2:$A$1800,$A100,الريسبي!$B$2:$B$1800,AL$1)</f>
        <v>0</v>
      </c>
      <c r="AM100" s="117" t="n">
        <f aca="false">SUMIFS(الريسبي!$C$2:$C$1800,الريسبي!$A$2:$A$1800,$A100,الريسبي!$B$2:$B$1800,AM$1)+0.08333333333*SUMIFS(الريسبي!$C$2:$C$1800,الريسبي!$A$2:$A$1800,$A100,الريسبي!$B$2:$B$1800,"عجين كريب (مصنع بالمطعم)")+0.08333333333*SUMIFS(الريسبي!$C$2:$C$1800,الريسبي!$A$2:$A$1800,$A100,الريسبي!$B$2:$B$1800,"عجين كريب صيامي (بدون لبن)")</f>
        <v>0</v>
      </c>
      <c r="AN100" s="117" t="n">
        <f aca="false">SUMIFS(الريسبي!$C$2:$C$1800,الريسبي!$A$2:$A$1800,$A100,الريسبي!$B$2:$B$1800,AN$1)+0.004166666667*SUMIFS(الريسبي!$C$2:$C$1800,الريسبي!$A$2:$A$1800,$A100,الريسبي!$B$2:$B$1800,"عجين كريب (مصنع بالمطعم)")+0.004166666667*SUMIFS(الريسبي!$C$2:$C$1800,الريسبي!$A$2:$A$1800,$A100,الريسبي!$B$2:$B$1800,"عجين كريب صيامي (بدون لبن)")</f>
        <v>0</v>
      </c>
      <c r="AO100" s="117" t="n">
        <f aca="false">SUMIFS(الريسبي!$C$2:$C$1800,الريسبي!$A$2:$A$1800,$A100,الريسبي!$B$2:$B$1800,AO$1)</f>
        <v>0</v>
      </c>
      <c r="AP100" s="117" t="n">
        <f aca="false">SUMIFS(الريسبي!$C$2:$C$1800,الريسبي!$A$2:$A$1800,$A100,الريسبي!$B$2:$B$1800,AP$1)</f>
        <v>0.03</v>
      </c>
      <c r="AQ100" s="117" t="n">
        <f aca="false">SUMIFS(الريسبي!$C$2:$C$1800,الريسبي!$A$2:$A$1800,$A100,الريسبي!$B$2:$B$1800,AQ$1)+0.004166666667*SUMIFS(الريسبي!$C$2:$C$1800,الريسبي!$A$2:$A$1800,$A100,الريسبي!$B$2:$B$1800,"عجين كريب (مصنع بالمطعم)")+0.004166666667*SUMIFS(الريسبي!$C$2:$C$1800,الريسبي!$A$2:$A$1800,$A100,الريسبي!$B$2:$B$1800,"عجين كريب صيامي (بدون لبن)")</f>
        <v>0</v>
      </c>
      <c r="AR100" s="117" t="n">
        <f aca="false">SUMIFS(الريسبي!$C$2:$C$1800,الريسبي!$A$2:$A$1800,$A100,الريسبي!$B$2:$B$1800,AR$1)</f>
        <v>0</v>
      </c>
      <c r="AS100" s="117" t="n">
        <f aca="false">SUMIFS(الريسبي!$C$2:$C$1800,الريسبي!$A$2:$A$1800,$A100,الريسبي!$B$2:$B$1800,AS$1)</f>
        <v>0</v>
      </c>
      <c r="AT100" s="117" t="n">
        <f aca="false">SUMIFS(الريسبي!$C$2:$C$1800,الريسبي!$A$2:$A$1800,$A100,الريسبي!$B$2:$B$1800,AT$1)</f>
        <v>0</v>
      </c>
      <c r="AU100" s="117" t="n">
        <f aca="false">SUMIFS(الريسبي!$C$2:$C$1800,الريسبي!$A$2:$A$1800,$A100,الريسبي!$B$2:$B$1800,AU$1)</f>
        <v>0</v>
      </c>
      <c r="AV100" s="117" t="n">
        <f aca="false">SUMIFS(الريسبي!$C$2:$C$1800,الريسبي!$A$2:$A$1800,$A100,الريسبي!$B$2:$B$1800,AV$1)</f>
        <v>0</v>
      </c>
      <c r="AW100" s="117" t="n">
        <f aca="false">SUMIFS(الريسبي!$C$2:$C$1800,الريسبي!$A$2:$A$1800,$A100,الريسبي!$B$2:$B$1800,AW$1)</f>
        <v>0</v>
      </c>
      <c r="AX100" s="117" t="n">
        <f aca="false">SUMIFS(الريسبي!$C$2:$C$1800,الريسبي!$A$2:$A$1800,$A100,الريسبي!$B$2:$B$1800,AX$1)</f>
        <v>0</v>
      </c>
      <c r="AY100" s="117" t="n">
        <f aca="false">SUMIFS(الريسبي!$C$2:$C$1800,الريسبي!$A$2:$A$1800,$A100,الريسبي!$B$2:$B$1800,AY$1)</f>
        <v>0</v>
      </c>
      <c r="AZ100" s="117" t="n">
        <f aca="false">SUMIFS(الريسبي!$C$2:$C$1800,الريسبي!$A$2:$A$1800,$A100,الريسبي!$B$2:$B$1800,AZ$1)</f>
        <v>0</v>
      </c>
      <c r="BA100" s="117" t="n">
        <f aca="false">SUMIFS(الريسبي!$C$2:$C$1800,الريسبي!$A$2:$A$1800,$A100,الريسبي!$B$2:$B$1800,BA$1)</f>
        <v>0</v>
      </c>
      <c r="BB100" s="117" t="n">
        <f aca="false">SUMIFS(الريسبي!$C$2:$C$1800,الريسبي!$A$2:$A$1800,$A100,الريسبي!$B$2:$B$1800,BB$1)</f>
        <v>0</v>
      </c>
      <c r="BC100" s="117" t="n">
        <f aca="false">SUMIFS(الريسبي!$C$2:$C$1800,الريسبي!$A$2:$A$1800,$A100,الريسبي!$B$2:$B$1800,BC$1)</f>
        <v>0.045</v>
      </c>
      <c r="BD100" s="117" t="n">
        <f aca="false">SUMIFS(الريسبي!$C$2:$C$1800,الريسبي!$A$2:$A$1800,$A100,الريسبي!$B$2:$B$1800,BD$1)</f>
        <v>0</v>
      </c>
      <c r="BE100" s="117" t="n">
        <f aca="false">SUMIFS(الريسبي!$C$2:$C$1800,الريسبي!$A$2:$A$1800,$A100,الريسبي!$B$2:$B$1800,BE$1)</f>
        <v>1.5</v>
      </c>
      <c r="BF100" s="117" t="n">
        <f aca="false">SUMIFS(الريسبي!$C$2:$C$1800,الريسبي!$A$2:$A$1800,$A100,الريسبي!$B$2:$B$1800,BF$1)</f>
        <v>0</v>
      </c>
      <c r="BG100" s="117" t="n">
        <f aca="false">SUMIFS(الريسبي!$C$2:$C$1800,الريسبي!$A$2:$A$1800,$A100,الريسبي!$B$2:$B$1800,BG$1)</f>
        <v>1</v>
      </c>
      <c r="BH100" s="117" t="n">
        <f aca="false">SUMIFS(الريسبي!$C$2:$C$1800,الريسبي!$A$2:$A$1800,$A100,الريسبي!$B$2:$B$1800,BH$1)</f>
        <v>0</v>
      </c>
      <c r="BI100" s="117" t="n">
        <f aca="false">SUMIFS(الريسبي!$C$2:$C$1800,الريسبي!$A$2:$A$1800,$A100,الريسبي!$B$2:$B$1800,BI$1)</f>
        <v>0</v>
      </c>
      <c r="BJ100" s="117" t="n">
        <f aca="false">SUMIFS(الريسبي!$C$2:$C$1800,الريسبي!$A$2:$A$1800,$A100,الريسبي!$B$2:$B$1800,BJ$1)</f>
        <v>0</v>
      </c>
      <c r="BK100" s="117" t="n">
        <f aca="false">SUMIFS(الريسبي!$C$2:$C$1800,الريسبي!$A$2:$A$1800,$A100,الريسبي!$B$2:$B$1800,BK$1)</f>
        <v>0</v>
      </c>
      <c r="BL100" s="117" t="n">
        <f aca="false">SUMIFS(الريسبي!$C$2:$C$1800,الريسبي!$A$2:$A$1800,$A100,الريسبي!$B$2:$B$1800,BL$1)</f>
        <v>0</v>
      </c>
      <c r="BM100" s="117" t="n">
        <f aca="false">SUMIFS(الريسبي!$C$2:$C$1800,الريسبي!$A$2:$A$1800,$A100,الريسبي!$B$2:$B$1800,BM$1)</f>
        <v>0</v>
      </c>
      <c r="BN100" s="117" t="n">
        <f aca="false">SUMIFS(الريسبي!$C$2:$C$1800,الريسبي!$A$2:$A$1800,$A100,الريسبي!$B$2:$B$1800,BN$1)</f>
        <v>0.03</v>
      </c>
      <c r="BO100" s="117" t="n">
        <f aca="false">SUMIFS(الريسبي!$C$2:$C$1800,الريسبي!$A$2:$A$1800,$A100,الريسبي!$B$2:$B$1800,BO$1)</f>
        <v>0</v>
      </c>
      <c r="BP100" s="117" t="n">
        <f aca="false">SUMIFS(الريسبي!$C$2:$C$1800,الريسبي!$A$2:$A$1800,$A100,الريسبي!$B$2:$B$1800,BP$1)</f>
        <v>3</v>
      </c>
      <c r="BQ100" s="117" t="n">
        <f aca="false">SUMIFS(الريسبي!$C$2:$C$1800,الريسبي!$A$2:$A$1800,$A100,الريسبي!$B$2:$B$1800,BQ$1)+0.17*SUMIFS(الريسبي!$C$2:$C$1800,الريسبي!$A$2:$A$1800,$A100,الريسبي!$B$2:$B$1800,"كاسترد مصنع (خليط بودر + لبن)")+0.17*SUMIFS(الريسبي!$C$2:$C$1800,الريسبي!$A$2:$A$1800,$A100,الريسبي!$B$2:$B$1800,"كاسترد مصنع صيامي (بدون لبن)")</f>
        <v>0</v>
      </c>
      <c r="BR100" s="117" t="n">
        <f aca="false">SUMIFS(الريسبي!$C$2:$C$1800,الريسبي!$A$2:$A$1800,$A100,الريسبي!$B$2:$B$1800,BR$1)</f>
        <v>1</v>
      </c>
      <c r="BS100" s="117" t="n">
        <f aca="false">SUMIFS(الريسبي!$C$2:$C$1800,الريسبي!$A$2:$A$1800,$A100,الريسبي!$B$2:$B$1800,BS$1)</f>
        <v>0</v>
      </c>
      <c r="BT100" s="117" t="n">
        <f aca="false">SUMIFS(الريسبي!$C$2:$C$1800,الريسبي!$A$2:$A$1800,$A100,الريسبي!$B$2:$B$1800,BT$1)</f>
        <v>0</v>
      </c>
      <c r="BU100" s="117" t="n">
        <f aca="false">SUMIFS(الريسبي!$C$2:$C$1800,الريسبي!$A$2:$A$1800,$A100,الريسبي!$B$2:$B$1800,BU$1)+0.4*SUMIFS(الريسبي!$C$2:$C$1800,الريسبي!$A$2:$A$1800,$A100,الريسبي!$B$2:$B$1800,"كاسترد مصنع (خليط بودر + لبن)")+0.03333333333*SUMIFS(الريسبي!$C$2:$C$1800,الريسبي!$A$2:$A$1800,$A100,الريسبي!$B$2:$B$1800,"عجين كريب (مصنع بالمطعم)")</f>
        <v>0</v>
      </c>
      <c r="BV100" s="117" t="n">
        <f aca="false">SUMIFS(الريسبي!$C$2:$C$1800,الريسبي!$A$2:$A$1800,$A100,الريسبي!$B$2:$B$1800,BV$1)</f>
        <v>0</v>
      </c>
      <c r="BW100" s="117" t="n">
        <f aca="false">SUMIFS(الريسبي!$C$2:$C$1800,الريسبي!$A$2:$A$1800,$A100,الريسبي!$B$2:$B$1800,BW$1)</f>
        <v>0</v>
      </c>
      <c r="BX100" s="117" t="n">
        <f aca="false">SUMIFS(الريسبي!$C$2:$C$1800,الريسبي!$A$2:$A$1800,$A100,الريسبي!$B$2:$B$1800,BX$1)</f>
        <v>0</v>
      </c>
      <c r="BY100" s="117" t="n">
        <f aca="false">SUMIFS(الريسبي!$C$2:$C$1800,الريسبي!$A$2:$A$1800,$A100,الريسبي!$B$2:$B$1800,BY$1)</f>
        <v>0</v>
      </c>
      <c r="BZ100" s="117" t="n">
        <f aca="false">SUMIFS(الريسبي!$C$2:$C$1800,الريسبي!$A$2:$A$1800,$A100,الريسبي!$B$2:$B$1800,BZ$1)</f>
        <v>0</v>
      </c>
      <c r="CA100" s="117" t="n">
        <f aca="false">SUMIFS(الريسبي!$C$2:$C$1800,الريسبي!$A$2:$A$1800,$A100,الريسبي!$B$2:$B$1800,CA$1)</f>
        <v>1</v>
      </c>
      <c r="CB100" s="117" t="n">
        <f aca="false">SUMIFS(الريسبي!$C$2:$C$1800,الريسبي!$A$2:$A$1800,$A100,الريسبي!$B$2:$B$1800,CB$1)</f>
        <v>1</v>
      </c>
      <c r="CC100" s="117" t="n">
        <f aca="false">SUMIFS(الريسبي!$C$2:$C$1800,الريسبي!$A$2:$A$1800,$A100,الريسبي!$B$2:$B$1800,CC$1)</f>
        <v>0</v>
      </c>
      <c r="CD100" s="117" t="n">
        <f aca="false">SUMIFS(الريسبي!$C$2:$C$1800,الريسبي!$A$2:$A$1800,$A100,الريسبي!$B$2:$B$1800,CD$1)</f>
        <v>0</v>
      </c>
      <c r="CE100" s="117" t="n">
        <f aca="false">SUMIFS(الريسبي!$C$2:$C$1800,الريسبي!$A$2:$A$1800,$A100,الريسبي!$B$2:$B$1800,CE$1)</f>
        <v>0.21</v>
      </c>
      <c r="CF100" s="117" t="n">
        <f aca="false">SUMIFS(الريسبي!$C$2:$C$1800,الريسبي!$A$2:$A$1800,$A100,الريسبي!$B$2:$B$1800,CF$1)</f>
        <v>0</v>
      </c>
      <c r="CG100" s="117" t="n">
        <f aca="false">SUMIFS(الريسبي!$C$2:$C$1800,الريسبي!$A$2:$A$1800,$A100,الريسبي!$B$2:$B$1800,CG$1)</f>
        <v>0</v>
      </c>
      <c r="CH100" s="117" t="n">
        <f aca="false">SUMIFS(الريسبي!$C$2:$C$1800,الريسبي!$A$2:$A$1800,$A100,الريسبي!$B$2:$B$1800,CH$1)</f>
        <v>0</v>
      </c>
      <c r="CI100" s="117" t="n">
        <f aca="false">SUMIFS(الريسبي!$C$2:$C$1800,الريسبي!$A$2:$A$1800,$A100,الريسبي!$B$2:$B$1800,CI$1)</f>
        <v>0</v>
      </c>
      <c r="CJ100" s="117" t="n">
        <f aca="false">SUMIFS(الريسبي!$C$2:$C$1800,الريسبي!$A$2:$A$1800,$A100,الريسبي!$B$2:$B$1800,CJ$1)</f>
        <v>0</v>
      </c>
      <c r="CK100" s="117" t="n">
        <f aca="false">SUMIFS(الريسبي!$C$2:$C$1800,الريسبي!$A$2:$A$1800,$A100,الريسبي!$B$2:$B$1800,CK$1)</f>
        <v>0</v>
      </c>
      <c r="CL100" s="117" t="n">
        <f aca="false">SUMIFS(الريسبي!$C$2:$C$1800,الريسبي!$A$2:$A$1800,$A100,الريسبي!$B$2:$B$1800,CL$1)</f>
        <v>0</v>
      </c>
    </row>
    <row r="101" customFormat="false" ht="15" hidden="false" customHeight="false" outlineLevel="0" collapsed="false">
      <c r="A101" s="116" t="str">
        <f aca="false">المنيو!B101</f>
        <v>فطيرة مشكل لحوم صيامي وسط</v>
      </c>
      <c r="B101" s="117" t="n">
        <f aca="false">SUMIFS(الريسبي!$C$2:$C$1800,الريسبي!$A$2:$A$1800,$A101,الريسبي!$B$2:$B$1800,B$1)</f>
        <v>0</v>
      </c>
      <c r="C101" s="117" t="n">
        <f aca="false">SUMIFS(الريسبي!$C$2:$C$1800,الريسبي!$A$2:$A$1800,$A101,الريسبي!$B$2:$B$1800,C$1)</f>
        <v>0</v>
      </c>
      <c r="D101" s="117" t="n">
        <f aca="false">SUMIFS(الريسبي!$C$2:$C$1800,الريسبي!$A$2:$A$1800,$A101,الريسبي!$B$2:$B$1800,D$1)</f>
        <v>1</v>
      </c>
      <c r="E101" s="117" t="n">
        <f aca="false">SUMIFS(الريسبي!$C$2:$C$1800,الريسبي!$A$2:$A$1800,$A101,الريسبي!$B$2:$B$1800,E$1)</f>
        <v>0</v>
      </c>
      <c r="F101" s="117" t="n">
        <f aca="false">SUMIFS(الريسبي!$C$2:$C$1800,الريسبي!$A$2:$A$1800,$A101,الريسبي!$B$2:$B$1800,F$1)</f>
        <v>0</v>
      </c>
      <c r="G101" s="117" t="n">
        <f aca="false">SUMIFS(الريسبي!$C$2:$C$1800,الريسبي!$A$2:$A$1800,$A101,الريسبي!$B$2:$B$1800,G$1)</f>
        <v>0</v>
      </c>
      <c r="H101" s="117" t="n">
        <f aca="false">SUMIFS(الريسبي!$C$2:$C$1800,الريسبي!$A$2:$A$1800,$A101,الريسبي!$B$2:$B$1800,H$1)</f>
        <v>0</v>
      </c>
      <c r="I101" s="117" t="n">
        <f aca="false">SUMIFS(الريسبي!$C$2:$C$1800,الريسبي!$A$2:$A$1800,$A101,الريسبي!$B$2:$B$1800,I$1)</f>
        <v>0</v>
      </c>
      <c r="J101" s="117" t="n">
        <f aca="false">SUMIFS(الريسبي!$C$2:$C$1800,الريسبي!$A$2:$A$1800,$A101,الريسبي!$B$2:$B$1800,J$1)</f>
        <v>0</v>
      </c>
      <c r="K101" s="117" t="n">
        <f aca="false">SUMIFS(الريسبي!$C$2:$C$1800,الريسبي!$A$2:$A$1800,$A101,الريسبي!$B$2:$B$1800,K$1)</f>
        <v>0</v>
      </c>
      <c r="L101" s="117" t="n">
        <f aca="false">SUMIFS(الريسبي!$C$2:$C$1800,الريسبي!$A$2:$A$1800,$A101,الريسبي!$B$2:$B$1800,L$1)</f>
        <v>0</v>
      </c>
      <c r="M101" s="117" t="n">
        <f aca="false">SUMIFS(الريسبي!$C$2:$C$1800,الريسبي!$A$2:$A$1800,$A101,الريسبي!$B$2:$B$1800,M$1)</f>
        <v>0</v>
      </c>
      <c r="N101" s="117" t="n">
        <f aca="false">SUMIFS(الريسبي!$C$2:$C$1800,الريسبي!$A$2:$A$1800,$A101,الريسبي!$B$2:$B$1800,N$1)</f>
        <v>0</v>
      </c>
      <c r="O101" s="117" t="n">
        <f aca="false">SUMIFS(الريسبي!$C$2:$C$1800,الريسبي!$A$2:$A$1800,$A101,الريسبي!$B$2:$B$1800,O$1)</f>
        <v>0</v>
      </c>
      <c r="P101" s="117" t="n">
        <f aca="false">SUMIFS(الريسبي!$C$2:$C$1800,الريسبي!$A$2:$A$1800,$A101,الريسبي!$B$2:$B$1800,P$1)</f>
        <v>0</v>
      </c>
      <c r="Q101" s="117" t="n">
        <f aca="false">SUMIFS(الريسبي!$C$2:$C$1800,الريسبي!$A$2:$A$1800,$A101,الريسبي!$B$2:$B$1800,Q$1)</f>
        <v>0</v>
      </c>
      <c r="R101" s="117" t="n">
        <f aca="false">SUMIFS(الريسبي!$C$2:$C$1800,الريسبي!$A$2:$A$1800,$A101,الريسبي!$B$2:$B$1800,R$1)</f>
        <v>0</v>
      </c>
      <c r="S101" s="117" t="n">
        <f aca="false">SUMIFS(الريسبي!$C$2:$C$1800,الريسبي!$A$2:$A$1800,$A101,الريسبي!$B$2:$B$1800,S$1)</f>
        <v>0</v>
      </c>
      <c r="T101" s="117" t="n">
        <f aca="false">SUMIFS(الريسبي!$C$2:$C$1800,الريسبي!$A$2:$A$1800,$A101,الريسبي!$B$2:$B$1800,T$1)</f>
        <v>0</v>
      </c>
      <c r="U101" s="117" t="n">
        <f aca="false">SUMIFS(الريسبي!$C$2:$C$1800,الريسبي!$A$2:$A$1800,$A101,الريسبي!$B$2:$B$1800,U$1)</f>
        <v>0</v>
      </c>
      <c r="V101" s="117" t="n">
        <f aca="false">SUMIFS(الريسبي!$C$2:$C$1800,الريسبي!$A$2:$A$1800,$A101,الريسبي!$B$2:$B$1800,V$1)</f>
        <v>0</v>
      </c>
      <c r="W101" s="117" t="n">
        <f aca="false">SUMIFS(الريسبي!$C$2:$C$1800,الريسبي!$A$2:$A$1800,$A101,الريسبي!$B$2:$B$1800,W$1)</f>
        <v>0</v>
      </c>
      <c r="X101" s="117" t="n">
        <f aca="false">SUMIFS(الريسبي!$C$2:$C$1800,الريسبي!$A$2:$A$1800,$A101,الريسبي!$B$2:$B$1800,X$1)</f>
        <v>1</v>
      </c>
      <c r="Y101" s="117" t="n">
        <f aca="false">SUMIFS(الريسبي!$C$2:$C$1800,الريسبي!$A$2:$A$1800,$A101,الريسبي!$B$2:$B$1800,Y$1)</f>
        <v>0</v>
      </c>
      <c r="Z101" s="117" t="n">
        <f aca="false">SUMIFS(الريسبي!$C$2:$C$1800,الريسبي!$A$2:$A$1800,$A101,الريسبي!$B$2:$B$1800,Z$1)</f>
        <v>0</v>
      </c>
      <c r="AA101" s="117" t="n">
        <f aca="false">SUMIFS(الريسبي!$C$2:$C$1800,الريسبي!$A$2:$A$1800,$A101,الريسبي!$B$2:$B$1800,AA$1)</f>
        <v>0</v>
      </c>
      <c r="AB101" s="117" t="n">
        <f aca="false">SUMIFS(الريسبي!$C$2:$C$1800,الريسبي!$A$2:$A$1800,$A101,الريسبي!$B$2:$B$1800,AB$1)</f>
        <v>0</v>
      </c>
      <c r="AC101" s="117" t="n">
        <f aca="false">SUMIFS(الريسبي!$C$2:$C$1800,الريسبي!$A$2:$A$1800,$A101,الريسبي!$B$2:$B$1800,AC$1)</f>
        <v>0</v>
      </c>
      <c r="AD101" s="117" t="n">
        <f aca="false">SUMIFS(الريسبي!$C$2:$C$1800,الريسبي!$A$2:$A$1800,$A101,الريسبي!$B$2:$B$1800,AD$1)</f>
        <v>0</v>
      </c>
      <c r="AE101" s="117" t="n">
        <f aca="false">SUMIFS(الريسبي!$C$2:$C$1800,الريسبي!$A$2:$A$1800,$A101,الريسبي!$B$2:$B$1800,AE$1)</f>
        <v>0</v>
      </c>
      <c r="AF101" s="117" t="n">
        <f aca="false">SUMIFS(الريسبي!$C$2:$C$1800,الريسبي!$A$2:$A$1800,$A101,الريسبي!$B$2:$B$1800,AF$1)</f>
        <v>0</v>
      </c>
      <c r="AG101" s="117" t="n">
        <f aca="false">SUMIFS(الريسبي!$C$2:$C$1800,الريسبي!$A$2:$A$1800,$A101,الريسبي!$B$2:$B$1800,AG$1)</f>
        <v>0</v>
      </c>
      <c r="AH101" s="117" t="n">
        <f aca="false">SUMIFS(الريسبي!$C$2:$C$1800,الريسبي!$A$2:$A$1800,$A101,الريسبي!$B$2:$B$1800,AH$1)</f>
        <v>0</v>
      </c>
      <c r="AI101" s="117" t="n">
        <f aca="false">SUMIFS(الريسبي!$C$2:$C$1800,الريسبي!$A$2:$A$1800,$A101,الريسبي!$B$2:$B$1800,AI$1)</f>
        <v>0</v>
      </c>
      <c r="AJ101" s="117" t="n">
        <f aca="false">SUMIFS(الريسبي!$C$2:$C$1800,الريسبي!$A$2:$A$1800,$A101,الريسبي!$B$2:$B$1800,AJ$1)</f>
        <v>2</v>
      </c>
      <c r="AK101" s="117" t="n">
        <f aca="false">SUMIFS(الريسبي!$C$2:$C$1800,الريسبي!$A$2:$A$1800,$A101,الريسبي!$B$2:$B$1800,AK$1)</f>
        <v>0</v>
      </c>
      <c r="AL101" s="117" t="n">
        <f aca="false">SUMIFS(الريسبي!$C$2:$C$1800,الريسبي!$A$2:$A$1800,$A101,الريسبي!$B$2:$B$1800,AL$1)</f>
        <v>0</v>
      </c>
      <c r="AM101" s="117" t="n">
        <f aca="false">SUMIFS(الريسبي!$C$2:$C$1800,الريسبي!$A$2:$A$1800,$A101,الريسبي!$B$2:$B$1800,AM$1)+0.08333333333*SUMIFS(الريسبي!$C$2:$C$1800,الريسبي!$A$2:$A$1800,$A101,الريسبي!$B$2:$B$1800,"عجين كريب (مصنع بالمطعم)")+0.08333333333*SUMIFS(الريسبي!$C$2:$C$1800,الريسبي!$A$2:$A$1800,$A101,الريسبي!$B$2:$B$1800,"عجين كريب صيامي (بدون لبن)")</f>
        <v>0</v>
      </c>
      <c r="AN101" s="117" t="n">
        <f aca="false">SUMIFS(الريسبي!$C$2:$C$1800,الريسبي!$A$2:$A$1800,$A101,الريسبي!$B$2:$B$1800,AN$1)+0.004166666667*SUMIFS(الريسبي!$C$2:$C$1800,الريسبي!$A$2:$A$1800,$A101,الريسبي!$B$2:$B$1800,"عجين كريب (مصنع بالمطعم)")+0.004166666667*SUMIFS(الريسبي!$C$2:$C$1800,الريسبي!$A$2:$A$1800,$A101,الريسبي!$B$2:$B$1800,"عجين كريب صيامي (بدون لبن)")</f>
        <v>0</v>
      </c>
      <c r="AO101" s="117" t="n">
        <f aca="false">SUMIFS(الريسبي!$C$2:$C$1800,الريسبي!$A$2:$A$1800,$A101,الريسبي!$B$2:$B$1800,AO$1)</f>
        <v>0</v>
      </c>
      <c r="AP101" s="117" t="n">
        <f aca="false">SUMIFS(الريسبي!$C$2:$C$1800,الريسبي!$A$2:$A$1800,$A101,الريسبي!$B$2:$B$1800,AP$1)</f>
        <v>0.02</v>
      </c>
      <c r="AQ101" s="117" t="n">
        <f aca="false">SUMIFS(الريسبي!$C$2:$C$1800,الريسبي!$A$2:$A$1800,$A101,الريسبي!$B$2:$B$1800,AQ$1)+0.004166666667*SUMIFS(الريسبي!$C$2:$C$1800,الريسبي!$A$2:$A$1800,$A101,الريسبي!$B$2:$B$1800,"عجين كريب (مصنع بالمطعم)")+0.004166666667*SUMIFS(الريسبي!$C$2:$C$1800,الريسبي!$A$2:$A$1800,$A101,الريسبي!$B$2:$B$1800,"عجين كريب صيامي (بدون لبن)")</f>
        <v>0</v>
      </c>
      <c r="AR101" s="117" t="n">
        <f aca="false">SUMIFS(الريسبي!$C$2:$C$1800,الريسبي!$A$2:$A$1800,$A101,الريسبي!$B$2:$B$1800,AR$1)</f>
        <v>0</v>
      </c>
      <c r="AS101" s="117" t="n">
        <f aca="false">SUMIFS(الريسبي!$C$2:$C$1800,الريسبي!$A$2:$A$1800,$A101,الريسبي!$B$2:$B$1800,AS$1)</f>
        <v>0</v>
      </c>
      <c r="AT101" s="117" t="n">
        <f aca="false">SUMIFS(الريسبي!$C$2:$C$1800,الريسبي!$A$2:$A$1800,$A101,الريسبي!$B$2:$B$1800,AT$1)</f>
        <v>0</v>
      </c>
      <c r="AU101" s="117" t="n">
        <f aca="false">SUMIFS(الريسبي!$C$2:$C$1800,الريسبي!$A$2:$A$1800,$A101,الريسبي!$B$2:$B$1800,AU$1)</f>
        <v>0</v>
      </c>
      <c r="AV101" s="117" t="n">
        <f aca="false">SUMIFS(الريسبي!$C$2:$C$1800,الريسبي!$A$2:$A$1800,$A101,الريسبي!$B$2:$B$1800,AV$1)</f>
        <v>0</v>
      </c>
      <c r="AW101" s="117" t="n">
        <f aca="false">SUMIFS(الريسبي!$C$2:$C$1800,الريسبي!$A$2:$A$1800,$A101,الريسبي!$B$2:$B$1800,AW$1)</f>
        <v>0</v>
      </c>
      <c r="AX101" s="117" t="n">
        <f aca="false">SUMIFS(الريسبي!$C$2:$C$1800,الريسبي!$A$2:$A$1800,$A101,الريسبي!$B$2:$B$1800,AX$1)</f>
        <v>0</v>
      </c>
      <c r="AY101" s="117" t="n">
        <f aca="false">SUMIFS(الريسبي!$C$2:$C$1800,الريسبي!$A$2:$A$1800,$A101,الريسبي!$B$2:$B$1800,AY$1)</f>
        <v>0</v>
      </c>
      <c r="AZ101" s="117" t="n">
        <f aca="false">SUMIFS(الريسبي!$C$2:$C$1800,الريسبي!$A$2:$A$1800,$A101,الريسبي!$B$2:$B$1800,AZ$1)</f>
        <v>0</v>
      </c>
      <c r="BA101" s="117" t="n">
        <f aca="false">SUMIFS(الريسبي!$C$2:$C$1800,الريسبي!$A$2:$A$1800,$A101,الريسبي!$B$2:$B$1800,BA$1)</f>
        <v>0</v>
      </c>
      <c r="BB101" s="117" t="n">
        <f aca="false">SUMIFS(الريسبي!$C$2:$C$1800,الريسبي!$A$2:$A$1800,$A101,الريسبي!$B$2:$B$1800,BB$1)</f>
        <v>0</v>
      </c>
      <c r="BC101" s="117" t="n">
        <f aca="false">SUMIFS(الريسبي!$C$2:$C$1800,الريسبي!$A$2:$A$1800,$A101,الريسبي!$B$2:$B$1800,BC$1)</f>
        <v>0.03</v>
      </c>
      <c r="BD101" s="117" t="n">
        <f aca="false">SUMIFS(الريسبي!$C$2:$C$1800,الريسبي!$A$2:$A$1800,$A101,الريسبي!$B$2:$B$1800,BD$1)</f>
        <v>0</v>
      </c>
      <c r="BE101" s="117" t="n">
        <f aca="false">SUMIFS(الريسبي!$C$2:$C$1800,الريسبي!$A$2:$A$1800,$A101,الريسبي!$B$2:$B$1800,BE$1)</f>
        <v>1</v>
      </c>
      <c r="BF101" s="117" t="n">
        <f aca="false">SUMIFS(الريسبي!$C$2:$C$1800,الريسبي!$A$2:$A$1800,$A101,الريسبي!$B$2:$B$1800,BF$1)</f>
        <v>0</v>
      </c>
      <c r="BG101" s="117" t="n">
        <f aca="false">SUMIFS(الريسبي!$C$2:$C$1800,الريسبي!$A$2:$A$1800,$A101,الريسبي!$B$2:$B$1800,BG$1)</f>
        <v>0</v>
      </c>
      <c r="BH101" s="117" t="n">
        <f aca="false">SUMIFS(الريسبي!$C$2:$C$1800,الريسبي!$A$2:$A$1800,$A101,الريسبي!$B$2:$B$1800,BH$1)</f>
        <v>1</v>
      </c>
      <c r="BI101" s="117" t="n">
        <f aca="false">SUMIFS(الريسبي!$C$2:$C$1800,الريسبي!$A$2:$A$1800,$A101,الريسبي!$B$2:$B$1800,BI$1)</f>
        <v>0</v>
      </c>
      <c r="BJ101" s="117" t="n">
        <f aca="false">SUMIFS(الريسبي!$C$2:$C$1800,الريسبي!$A$2:$A$1800,$A101,الريسبي!$B$2:$B$1800,BJ$1)</f>
        <v>0</v>
      </c>
      <c r="BK101" s="117" t="n">
        <f aca="false">SUMIFS(الريسبي!$C$2:$C$1800,الريسبي!$A$2:$A$1800,$A101,الريسبي!$B$2:$B$1800,BK$1)</f>
        <v>0</v>
      </c>
      <c r="BL101" s="117" t="n">
        <f aca="false">SUMIFS(الريسبي!$C$2:$C$1800,الريسبي!$A$2:$A$1800,$A101,الريسبي!$B$2:$B$1800,BL$1)</f>
        <v>0</v>
      </c>
      <c r="BM101" s="117" t="n">
        <f aca="false">SUMIFS(الريسبي!$C$2:$C$1800,الريسبي!$A$2:$A$1800,$A101,الريسبي!$B$2:$B$1800,BM$1)</f>
        <v>0</v>
      </c>
      <c r="BN101" s="117" t="n">
        <f aca="false">SUMIFS(الريسبي!$C$2:$C$1800,الريسبي!$A$2:$A$1800,$A101,الريسبي!$B$2:$B$1800,BN$1)</f>
        <v>0.02</v>
      </c>
      <c r="BO101" s="117" t="n">
        <f aca="false">SUMIFS(الريسبي!$C$2:$C$1800,الريسبي!$A$2:$A$1800,$A101,الريسبي!$B$2:$B$1800,BO$1)</f>
        <v>0</v>
      </c>
      <c r="BP101" s="117" t="n">
        <f aca="false">SUMIFS(الريسبي!$C$2:$C$1800,الريسبي!$A$2:$A$1800,$A101,الريسبي!$B$2:$B$1800,BP$1)</f>
        <v>2</v>
      </c>
      <c r="BQ101" s="117" t="n">
        <f aca="false">SUMIFS(الريسبي!$C$2:$C$1800,الريسبي!$A$2:$A$1800,$A101,الريسبي!$B$2:$B$1800,BQ$1)+0.17*SUMIFS(الريسبي!$C$2:$C$1800,الريسبي!$A$2:$A$1800,$A101,الريسبي!$B$2:$B$1800,"كاسترد مصنع (خليط بودر + لبن)")+0.17*SUMIFS(الريسبي!$C$2:$C$1800,الريسبي!$A$2:$A$1800,$A101,الريسبي!$B$2:$B$1800,"كاسترد مصنع صيامي (بدون لبن)")</f>
        <v>0</v>
      </c>
      <c r="BR101" s="117" t="n">
        <f aca="false">SUMIFS(الريسبي!$C$2:$C$1800,الريسبي!$A$2:$A$1800,$A101,الريسبي!$B$2:$B$1800,BR$1)</f>
        <v>1</v>
      </c>
      <c r="BS101" s="117" t="n">
        <f aca="false">SUMIFS(الريسبي!$C$2:$C$1800,الريسبي!$A$2:$A$1800,$A101,الريسبي!$B$2:$B$1800,BS$1)</f>
        <v>0</v>
      </c>
      <c r="BT101" s="117" t="n">
        <f aca="false">SUMIFS(الريسبي!$C$2:$C$1800,الريسبي!$A$2:$A$1800,$A101,الريسبي!$B$2:$B$1800,BT$1)</f>
        <v>0</v>
      </c>
      <c r="BU101" s="117" t="n">
        <f aca="false">SUMIFS(الريسبي!$C$2:$C$1800,الريسبي!$A$2:$A$1800,$A101,الريسبي!$B$2:$B$1800,BU$1)+0.4*SUMIFS(الريسبي!$C$2:$C$1800,الريسبي!$A$2:$A$1800,$A101,الريسبي!$B$2:$B$1800,"كاسترد مصنع (خليط بودر + لبن)")+0.03333333333*SUMIFS(الريسبي!$C$2:$C$1800,الريسبي!$A$2:$A$1800,$A101,الريسبي!$B$2:$B$1800,"عجين كريب (مصنع بالمطعم)")</f>
        <v>0</v>
      </c>
      <c r="BV101" s="117" t="n">
        <f aca="false">SUMIFS(الريسبي!$C$2:$C$1800,الريسبي!$A$2:$A$1800,$A101,الريسبي!$B$2:$B$1800,BV$1)</f>
        <v>0</v>
      </c>
      <c r="BW101" s="117" t="n">
        <f aca="false">SUMIFS(الريسبي!$C$2:$C$1800,الريسبي!$A$2:$A$1800,$A101,الريسبي!$B$2:$B$1800,BW$1)</f>
        <v>0</v>
      </c>
      <c r="BX101" s="117" t="n">
        <f aca="false">SUMIFS(الريسبي!$C$2:$C$1800,الريسبي!$A$2:$A$1800,$A101,الريسبي!$B$2:$B$1800,BX$1)</f>
        <v>0</v>
      </c>
      <c r="BY101" s="117" t="n">
        <f aca="false">SUMIFS(الريسبي!$C$2:$C$1800,الريسبي!$A$2:$A$1800,$A101,الريسبي!$B$2:$B$1800,BY$1)</f>
        <v>0</v>
      </c>
      <c r="BZ101" s="117" t="n">
        <f aca="false">SUMIFS(الريسبي!$C$2:$C$1800,الريسبي!$A$2:$A$1800,$A101,الريسبي!$B$2:$B$1800,BZ$1)</f>
        <v>0</v>
      </c>
      <c r="CA101" s="117" t="n">
        <f aca="false">SUMIFS(الريسبي!$C$2:$C$1800,الريسبي!$A$2:$A$1800,$A101,الريسبي!$B$2:$B$1800,CA$1)</f>
        <v>1</v>
      </c>
      <c r="CB101" s="117" t="n">
        <f aca="false">SUMIFS(الريسبي!$C$2:$C$1800,الريسبي!$A$2:$A$1800,$A101,الريسبي!$B$2:$B$1800,CB$1)</f>
        <v>1</v>
      </c>
      <c r="CC101" s="117" t="n">
        <f aca="false">SUMIFS(الريسبي!$C$2:$C$1800,الريسبي!$A$2:$A$1800,$A101,الريسبي!$B$2:$B$1800,CC$1)</f>
        <v>0</v>
      </c>
      <c r="CD101" s="117" t="n">
        <f aca="false">SUMIFS(الريسبي!$C$2:$C$1800,الريسبي!$A$2:$A$1800,$A101,الريسبي!$B$2:$B$1800,CD$1)</f>
        <v>0.06</v>
      </c>
      <c r="CE101" s="117" t="n">
        <f aca="false">SUMIFS(الريسبي!$C$2:$C$1800,الريسبي!$A$2:$A$1800,$A101,الريسبي!$B$2:$B$1800,CE$1)</f>
        <v>0.07</v>
      </c>
      <c r="CF101" s="117" t="n">
        <f aca="false">SUMIFS(الريسبي!$C$2:$C$1800,الريسبي!$A$2:$A$1800,$A101,الريسبي!$B$2:$B$1800,CF$1)</f>
        <v>0</v>
      </c>
      <c r="CG101" s="117" t="n">
        <f aca="false">SUMIFS(الريسبي!$C$2:$C$1800,الريسبي!$A$2:$A$1800,$A101,الريسبي!$B$2:$B$1800,CG$1)</f>
        <v>0</v>
      </c>
      <c r="CH101" s="117" t="n">
        <f aca="false">SUMIFS(الريسبي!$C$2:$C$1800,الريسبي!$A$2:$A$1800,$A101,الريسبي!$B$2:$B$1800,CH$1)</f>
        <v>0</v>
      </c>
      <c r="CI101" s="117" t="n">
        <f aca="false">SUMIFS(الريسبي!$C$2:$C$1800,الريسبي!$A$2:$A$1800,$A101,الريسبي!$B$2:$B$1800,CI$1)</f>
        <v>0</v>
      </c>
      <c r="CJ101" s="117" t="n">
        <f aca="false">SUMIFS(الريسبي!$C$2:$C$1800,الريسبي!$A$2:$A$1800,$A101,الريسبي!$B$2:$B$1800,CJ$1)</f>
        <v>0</v>
      </c>
      <c r="CK101" s="117" t="n">
        <f aca="false">SUMIFS(الريسبي!$C$2:$C$1800,الريسبي!$A$2:$A$1800,$A101,الريسبي!$B$2:$B$1800,CK$1)</f>
        <v>0</v>
      </c>
      <c r="CL101" s="117" t="n">
        <f aca="false">SUMIFS(الريسبي!$C$2:$C$1800,الريسبي!$A$2:$A$1800,$A101,الريسبي!$B$2:$B$1800,CL$1)</f>
        <v>0</v>
      </c>
    </row>
    <row r="102" customFormat="false" ht="15" hidden="false" customHeight="false" outlineLevel="0" collapsed="false">
      <c r="A102" s="116" t="str">
        <f aca="false">المنيو!B102</f>
        <v>فطيرة مشكل لحوم صيامي مخصوص</v>
      </c>
      <c r="B102" s="117" t="n">
        <f aca="false">SUMIFS(الريسبي!$C$2:$C$1800,الريسبي!$A$2:$A$1800,$A102,الريسبي!$B$2:$B$1800,B$1)</f>
        <v>0</v>
      </c>
      <c r="C102" s="117" t="n">
        <f aca="false">SUMIFS(الريسبي!$C$2:$C$1800,الريسبي!$A$2:$A$1800,$A102,الريسبي!$B$2:$B$1800,C$1)</f>
        <v>0</v>
      </c>
      <c r="D102" s="117" t="n">
        <f aca="false">SUMIFS(الريسبي!$C$2:$C$1800,الريسبي!$A$2:$A$1800,$A102,الريسبي!$B$2:$B$1800,D$1)</f>
        <v>1</v>
      </c>
      <c r="E102" s="117" t="n">
        <f aca="false">SUMIFS(الريسبي!$C$2:$C$1800,الريسبي!$A$2:$A$1800,$A102,الريسبي!$B$2:$B$1800,E$1)</f>
        <v>0</v>
      </c>
      <c r="F102" s="117" t="n">
        <f aca="false">SUMIFS(الريسبي!$C$2:$C$1800,الريسبي!$A$2:$A$1800,$A102,الريسبي!$B$2:$B$1800,F$1)</f>
        <v>0</v>
      </c>
      <c r="G102" s="117" t="n">
        <f aca="false">SUMIFS(الريسبي!$C$2:$C$1800,الريسبي!$A$2:$A$1800,$A102,الريسبي!$B$2:$B$1800,G$1)</f>
        <v>0</v>
      </c>
      <c r="H102" s="117" t="n">
        <f aca="false">SUMIFS(الريسبي!$C$2:$C$1800,الريسبي!$A$2:$A$1800,$A102,الريسبي!$B$2:$B$1800,H$1)</f>
        <v>0</v>
      </c>
      <c r="I102" s="117" t="n">
        <f aca="false">SUMIFS(الريسبي!$C$2:$C$1800,الريسبي!$A$2:$A$1800,$A102,الريسبي!$B$2:$B$1800,I$1)</f>
        <v>0</v>
      </c>
      <c r="J102" s="117" t="n">
        <f aca="false">SUMIFS(الريسبي!$C$2:$C$1800,الريسبي!$A$2:$A$1800,$A102,الريسبي!$B$2:$B$1800,J$1)</f>
        <v>0</v>
      </c>
      <c r="K102" s="117" t="n">
        <f aca="false">SUMIFS(الريسبي!$C$2:$C$1800,الريسبي!$A$2:$A$1800,$A102,الريسبي!$B$2:$B$1800,K$1)</f>
        <v>0</v>
      </c>
      <c r="L102" s="117" t="n">
        <f aca="false">SUMIFS(الريسبي!$C$2:$C$1800,الريسبي!$A$2:$A$1800,$A102,الريسبي!$B$2:$B$1800,L$1)</f>
        <v>0</v>
      </c>
      <c r="M102" s="117" t="n">
        <f aca="false">SUMIFS(الريسبي!$C$2:$C$1800,الريسبي!$A$2:$A$1800,$A102,الريسبي!$B$2:$B$1800,M$1)</f>
        <v>0</v>
      </c>
      <c r="N102" s="117" t="n">
        <f aca="false">SUMIFS(الريسبي!$C$2:$C$1800,الريسبي!$A$2:$A$1800,$A102,الريسبي!$B$2:$B$1800,N$1)</f>
        <v>0</v>
      </c>
      <c r="O102" s="117" t="n">
        <f aca="false">SUMIFS(الريسبي!$C$2:$C$1800,الريسبي!$A$2:$A$1800,$A102,الريسبي!$B$2:$B$1800,O$1)</f>
        <v>0</v>
      </c>
      <c r="P102" s="117" t="n">
        <f aca="false">SUMIFS(الريسبي!$C$2:$C$1800,الريسبي!$A$2:$A$1800,$A102,الريسبي!$B$2:$B$1800,P$1)</f>
        <v>0</v>
      </c>
      <c r="Q102" s="117" t="n">
        <f aca="false">SUMIFS(الريسبي!$C$2:$C$1800,الريسبي!$A$2:$A$1800,$A102,الريسبي!$B$2:$B$1800,Q$1)</f>
        <v>0</v>
      </c>
      <c r="R102" s="117" t="n">
        <f aca="false">SUMIFS(الريسبي!$C$2:$C$1800,الريسبي!$A$2:$A$1800,$A102,الريسبي!$B$2:$B$1800,R$1)</f>
        <v>0</v>
      </c>
      <c r="S102" s="117" t="n">
        <f aca="false">SUMIFS(الريسبي!$C$2:$C$1800,الريسبي!$A$2:$A$1800,$A102,الريسبي!$B$2:$B$1800,S$1)</f>
        <v>0</v>
      </c>
      <c r="T102" s="117" t="n">
        <f aca="false">SUMIFS(الريسبي!$C$2:$C$1800,الريسبي!$A$2:$A$1800,$A102,الريسبي!$B$2:$B$1800,T$1)</f>
        <v>0</v>
      </c>
      <c r="U102" s="117" t="n">
        <f aca="false">SUMIFS(الريسبي!$C$2:$C$1800,الريسبي!$A$2:$A$1800,$A102,الريسبي!$B$2:$B$1800,U$1)</f>
        <v>0</v>
      </c>
      <c r="V102" s="117" t="n">
        <f aca="false">SUMIFS(الريسبي!$C$2:$C$1800,الريسبي!$A$2:$A$1800,$A102,الريسبي!$B$2:$B$1800,V$1)</f>
        <v>0</v>
      </c>
      <c r="W102" s="117" t="n">
        <f aca="false">SUMIFS(الريسبي!$C$2:$C$1800,الريسبي!$A$2:$A$1800,$A102,الريسبي!$B$2:$B$1800,W$1)</f>
        <v>0</v>
      </c>
      <c r="X102" s="117" t="n">
        <f aca="false">SUMIFS(الريسبي!$C$2:$C$1800,الريسبي!$A$2:$A$1800,$A102,الريسبي!$B$2:$B$1800,X$1)</f>
        <v>0</v>
      </c>
      <c r="Y102" s="117" t="n">
        <f aca="false">SUMIFS(الريسبي!$C$2:$C$1800,الريسبي!$A$2:$A$1800,$A102,الريسبي!$B$2:$B$1800,Y$1)</f>
        <v>1</v>
      </c>
      <c r="Z102" s="117" t="n">
        <f aca="false">SUMIFS(الريسبي!$C$2:$C$1800,الريسبي!$A$2:$A$1800,$A102,الريسبي!$B$2:$B$1800,Z$1)</f>
        <v>0</v>
      </c>
      <c r="AA102" s="117" t="n">
        <f aca="false">SUMIFS(الريسبي!$C$2:$C$1800,الريسبي!$A$2:$A$1800,$A102,الريسبي!$B$2:$B$1800,AA$1)</f>
        <v>0</v>
      </c>
      <c r="AB102" s="117" t="n">
        <f aca="false">SUMIFS(الريسبي!$C$2:$C$1800,الريسبي!$A$2:$A$1800,$A102,الريسبي!$B$2:$B$1800,AB$1)</f>
        <v>0</v>
      </c>
      <c r="AC102" s="117" t="n">
        <f aca="false">SUMIFS(الريسبي!$C$2:$C$1800,الريسبي!$A$2:$A$1800,$A102,الريسبي!$B$2:$B$1800,AC$1)</f>
        <v>0</v>
      </c>
      <c r="AD102" s="117" t="n">
        <f aca="false">SUMIFS(الريسبي!$C$2:$C$1800,الريسبي!$A$2:$A$1800,$A102,الريسبي!$B$2:$B$1800,AD$1)</f>
        <v>0</v>
      </c>
      <c r="AE102" s="117" t="n">
        <f aca="false">SUMIFS(الريسبي!$C$2:$C$1800,الريسبي!$A$2:$A$1800,$A102,الريسبي!$B$2:$B$1800,AE$1)</f>
        <v>0</v>
      </c>
      <c r="AF102" s="117" t="n">
        <f aca="false">SUMIFS(الريسبي!$C$2:$C$1800,الريسبي!$A$2:$A$1800,$A102,الريسبي!$B$2:$B$1800,AF$1)</f>
        <v>0</v>
      </c>
      <c r="AG102" s="117" t="n">
        <f aca="false">SUMIFS(الريسبي!$C$2:$C$1800,الريسبي!$A$2:$A$1800,$A102,الريسبي!$B$2:$B$1800,AG$1)</f>
        <v>0</v>
      </c>
      <c r="AH102" s="117" t="n">
        <f aca="false">SUMIFS(الريسبي!$C$2:$C$1800,الريسبي!$A$2:$A$1800,$A102,الريسبي!$B$2:$B$1800,AH$1)</f>
        <v>0</v>
      </c>
      <c r="AI102" s="117" t="n">
        <f aca="false">SUMIFS(الريسبي!$C$2:$C$1800,الريسبي!$A$2:$A$1800,$A102,الريسبي!$B$2:$B$1800,AI$1)</f>
        <v>0</v>
      </c>
      <c r="AJ102" s="117" t="n">
        <f aca="false">SUMIFS(الريسبي!$C$2:$C$1800,الريسبي!$A$2:$A$1800,$A102,الريسبي!$B$2:$B$1800,AJ$1)</f>
        <v>2</v>
      </c>
      <c r="AK102" s="117" t="n">
        <f aca="false">SUMIFS(الريسبي!$C$2:$C$1800,الريسبي!$A$2:$A$1800,$A102,الريسبي!$B$2:$B$1800,AK$1)</f>
        <v>0</v>
      </c>
      <c r="AL102" s="117" t="n">
        <f aca="false">SUMIFS(الريسبي!$C$2:$C$1800,الريسبي!$A$2:$A$1800,$A102,الريسبي!$B$2:$B$1800,AL$1)</f>
        <v>0</v>
      </c>
      <c r="AM102" s="117" t="n">
        <f aca="false">SUMIFS(الريسبي!$C$2:$C$1800,الريسبي!$A$2:$A$1800,$A102,الريسبي!$B$2:$B$1800,AM$1)+0.08333333333*SUMIFS(الريسبي!$C$2:$C$1800,الريسبي!$A$2:$A$1800,$A102,الريسبي!$B$2:$B$1800,"عجين كريب (مصنع بالمطعم)")+0.08333333333*SUMIFS(الريسبي!$C$2:$C$1800,الريسبي!$A$2:$A$1800,$A102,الريسبي!$B$2:$B$1800,"عجين كريب صيامي (بدون لبن)")</f>
        <v>0</v>
      </c>
      <c r="AN102" s="117" t="n">
        <f aca="false">SUMIFS(الريسبي!$C$2:$C$1800,الريسبي!$A$2:$A$1800,$A102,الريسبي!$B$2:$B$1800,AN$1)+0.004166666667*SUMIFS(الريسبي!$C$2:$C$1800,الريسبي!$A$2:$A$1800,$A102,الريسبي!$B$2:$B$1800,"عجين كريب (مصنع بالمطعم)")+0.004166666667*SUMIFS(الريسبي!$C$2:$C$1800,الريسبي!$A$2:$A$1800,$A102,الريسبي!$B$2:$B$1800,"عجين كريب صيامي (بدون لبن)")</f>
        <v>0</v>
      </c>
      <c r="AO102" s="117" t="n">
        <f aca="false">SUMIFS(الريسبي!$C$2:$C$1800,الريسبي!$A$2:$A$1800,$A102,الريسبي!$B$2:$B$1800,AO$1)</f>
        <v>0</v>
      </c>
      <c r="AP102" s="117" t="n">
        <f aca="false">SUMIFS(الريسبي!$C$2:$C$1800,الريسبي!$A$2:$A$1800,$A102,الريسبي!$B$2:$B$1800,AP$1)</f>
        <v>0.03</v>
      </c>
      <c r="AQ102" s="117" t="n">
        <f aca="false">SUMIFS(الريسبي!$C$2:$C$1800,الريسبي!$A$2:$A$1800,$A102,الريسبي!$B$2:$B$1800,AQ$1)+0.004166666667*SUMIFS(الريسبي!$C$2:$C$1800,الريسبي!$A$2:$A$1800,$A102,الريسبي!$B$2:$B$1800,"عجين كريب (مصنع بالمطعم)")+0.004166666667*SUMIFS(الريسبي!$C$2:$C$1800,الريسبي!$A$2:$A$1800,$A102,الريسبي!$B$2:$B$1800,"عجين كريب صيامي (بدون لبن)")</f>
        <v>0</v>
      </c>
      <c r="AR102" s="117" t="n">
        <f aca="false">SUMIFS(الريسبي!$C$2:$C$1800,الريسبي!$A$2:$A$1800,$A102,الريسبي!$B$2:$B$1800,AR$1)</f>
        <v>0</v>
      </c>
      <c r="AS102" s="117" t="n">
        <f aca="false">SUMIFS(الريسبي!$C$2:$C$1800,الريسبي!$A$2:$A$1800,$A102,الريسبي!$B$2:$B$1800,AS$1)</f>
        <v>0</v>
      </c>
      <c r="AT102" s="117" t="n">
        <f aca="false">SUMIFS(الريسبي!$C$2:$C$1800,الريسبي!$A$2:$A$1800,$A102,الريسبي!$B$2:$B$1800,AT$1)</f>
        <v>0</v>
      </c>
      <c r="AU102" s="117" t="n">
        <f aca="false">SUMIFS(الريسبي!$C$2:$C$1800,الريسبي!$A$2:$A$1800,$A102,الريسبي!$B$2:$B$1800,AU$1)</f>
        <v>0</v>
      </c>
      <c r="AV102" s="117" t="n">
        <f aca="false">SUMIFS(الريسبي!$C$2:$C$1800,الريسبي!$A$2:$A$1800,$A102,الريسبي!$B$2:$B$1800,AV$1)</f>
        <v>0</v>
      </c>
      <c r="AW102" s="117" t="n">
        <f aca="false">SUMIFS(الريسبي!$C$2:$C$1800,الريسبي!$A$2:$A$1800,$A102,الريسبي!$B$2:$B$1800,AW$1)</f>
        <v>0</v>
      </c>
      <c r="AX102" s="117" t="n">
        <f aca="false">SUMIFS(الريسبي!$C$2:$C$1800,الريسبي!$A$2:$A$1800,$A102,الريسبي!$B$2:$B$1800,AX$1)</f>
        <v>0</v>
      </c>
      <c r="AY102" s="117" t="n">
        <f aca="false">SUMIFS(الريسبي!$C$2:$C$1800,الريسبي!$A$2:$A$1800,$A102,الريسبي!$B$2:$B$1800,AY$1)</f>
        <v>0</v>
      </c>
      <c r="AZ102" s="117" t="n">
        <f aca="false">SUMIFS(الريسبي!$C$2:$C$1800,الريسبي!$A$2:$A$1800,$A102,الريسبي!$B$2:$B$1800,AZ$1)</f>
        <v>0</v>
      </c>
      <c r="BA102" s="117" t="n">
        <f aca="false">SUMIFS(الريسبي!$C$2:$C$1800,الريسبي!$A$2:$A$1800,$A102,الريسبي!$B$2:$B$1800,BA$1)</f>
        <v>0</v>
      </c>
      <c r="BB102" s="117" t="n">
        <f aca="false">SUMIFS(الريسبي!$C$2:$C$1800,الريسبي!$A$2:$A$1800,$A102,الريسبي!$B$2:$B$1800,BB$1)</f>
        <v>0</v>
      </c>
      <c r="BC102" s="117" t="n">
        <f aca="false">SUMIFS(الريسبي!$C$2:$C$1800,الريسبي!$A$2:$A$1800,$A102,الريسبي!$B$2:$B$1800,BC$1)</f>
        <v>0.045</v>
      </c>
      <c r="BD102" s="117" t="n">
        <f aca="false">SUMIFS(الريسبي!$C$2:$C$1800,الريسبي!$A$2:$A$1800,$A102,الريسبي!$B$2:$B$1800,BD$1)</f>
        <v>0</v>
      </c>
      <c r="BE102" s="117" t="n">
        <f aca="false">SUMIFS(الريسبي!$C$2:$C$1800,الريسبي!$A$2:$A$1800,$A102,الريسبي!$B$2:$B$1800,BE$1)</f>
        <v>1.5</v>
      </c>
      <c r="BF102" s="117" t="n">
        <f aca="false">SUMIFS(الريسبي!$C$2:$C$1800,الريسبي!$A$2:$A$1800,$A102,الريسبي!$B$2:$B$1800,BF$1)</f>
        <v>0</v>
      </c>
      <c r="BG102" s="117" t="n">
        <f aca="false">SUMIFS(الريسبي!$C$2:$C$1800,الريسبي!$A$2:$A$1800,$A102,الريسبي!$B$2:$B$1800,BG$1)</f>
        <v>1</v>
      </c>
      <c r="BH102" s="117" t="n">
        <f aca="false">SUMIFS(الريسبي!$C$2:$C$1800,الريسبي!$A$2:$A$1800,$A102,الريسبي!$B$2:$B$1800,BH$1)</f>
        <v>0</v>
      </c>
      <c r="BI102" s="117" t="n">
        <f aca="false">SUMIFS(الريسبي!$C$2:$C$1800,الريسبي!$A$2:$A$1800,$A102,الريسبي!$B$2:$B$1800,BI$1)</f>
        <v>0</v>
      </c>
      <c r="BJ102" s="117" t="n">
        <f aca="false">SUMIFS(الريسبي!$C$2:$C$1800,الريسبي!$A$2:$A$1800,$A102,الريسبي!$B$2:$B$1800,BJ$1)</f>
        <v>0</v>
      </c>
      <c r="BK102" s="117" t="n">
        <f aca="false">SUMIFS(الريسبي!$C$2:$C$1800,الريسبي!$A$2:$A$1800,$A102,الريسبي!$B$2:$B$1800,BK$1)</f>
        <v>0</v>
      </c>
      <c r="BL102" s="117" t="n">
        <f aca="false">SUMIFS(الريسبي!$C$2:$C$1800,الريسبي!$A$2:$A$1800,$A102,الريسبي!$B$2:$B$1800,BL$1)</f>
        <v>0</v>
      </c>
      <c r="BM102" s="117" t="n">
        <f aca="false">SUMIFS(الريسبي!$C$2:$C$1800,الريسبي!$A$2:$A$1800,$A102,الريسبي!$B$2:$B$1800,BM$1)</f>
        <v>0</v>
      </c>
      <c r="BN102" s="117" t="n">
        <f aca="false">SUMIFS(الريسبي!$C$2:$C$1800,الريسبي!$A$2:$A$1800,$A102,الريسبي!$B$2:$B$1800,BN$1)</f>
        <v>0.03</v>
      </c>
      <c r="BO102" s="117" t="n">
        <f aca="false">SUMIFS(الريسبي!$C$2:$C$1800,الريسبي!$A$2:$A$1800,$A102,الريسبي!$B$2:$B$1800,BO$1)</f>
        <v>0</v>
      </c>
      <c r="BP102" s="117" t="n">
        <f aca="false">SUMIFS(الريسبي!$C$2:$C$1800,الريسبي!$A$2:$A$1800,$A102,الريسبي!$B$2:$B$1800,BP$1)</f>
        <v>3</v>
      </c>
      <c r="BQ102" s="117" t="n">
        <f aca="false">SUMIFS(الريسبي!$C$2:$C$1800,الريسبي!$A$2:$A$1800,$A102,الريسبي!$B$2:$B$1800,BQ$1)+0.17*SUMIFS(الريسبي!$C$2:$C$1800,الريسبي!$A$2:$A$1800,$A102,الريسبي!$B$2:$B$1800,"كاسترد مصنع (خليط بودر + لبن)")+0.17*SUMIFS(الريسبي!$C$2:$C$1800,الريسبي!$A$2:$A$1800,$A102,الريسبي!$B$2:$B$1800,"كاسترد مصنع صيامي (بدون لبن)")</f>
        <v>0</v>
      </c>
      <c r="BR102" s="117" t="n">
        <f aca="false">SUMIFS(الريسبي!$C$2:$C$1800,الريسبي!$A$2:$A$1800,$A102,الريسبي!$B$2:$B$1800,BR$1)</f>
        <v>1</v>
      </c>
      <c r="BS102" s="117" t="n">
        <f aca="false">SUMIFS(الريسبي!$C$2:$C$1800,الريسبي!$A$2:$A$1800,$A102,الريسبي!$B$2:$B$1800,BS$1)</f>
        <v>0</v>
      </c>
      <c r="BT102" s="117" t="n">
        <f aca="false">SUMIFS(الريسبي!$C$2:$C$1800,الريسبي!$A$2:$A$1800,$A102,الريسبي!$B$2:$B$1800,BT$1)</f>
        <v>0</v>
      </c>
      <c r="BU102" s="117" t="n">
        <f aca="false">SUMIFS(الريسبي!$C$2:$C$1800,الريسبي!$A$2:$A$1800,$A102,الريسبي!$B$2:$B$1800,BU$1)+0.4*SUMIFS(الريسبي!$C$2:$C$1800,الريسبي!$A$2:$A$1800,$A102,الريسبي!$B$2:$B$1800,"كاسترد مصنع (خليط بودر + لبن)")+0.03333333333*SUMIFS(الريسبي!$C$2:$C$1800,الريسبي!$A$2:$A$1800,$A102,الريسبي!$B$2:$B$1800,"عجين كريب (مصنع بالمطعم)")</f>
        <v>0</v>
      </c>
      <c r="BV102" s="117" t="n">
        <f aca="false">SUMIFS(الريسبي!$C$2:$C$1800,الريسبي!$A$2:$A$1800,$A102,الريسبي!$B$2:$B$1800,BV$1)</f>
        <v>0</v>
      </c>
      <c r="BW102" s="117" t="n">
        <f aca="false">SUMIFS(الريسبي!$C$2:$C$1800,الريسبي!$A$2:$A$1800,$A102,الريسبي!$B$2:$B$1800,BW$1)</f>
        <v>0</v>
      </c>
      <c r="BX102" s="117" t="n">
        <f aca="false">SUMIFS(الريسبي!$C$2:$C$1800,الريسبي!$A$2:$A$1800,$A102,الريسبي!$B$2:$B$1800,BX$1)</f>
        <v>0</v>
      </c>
      <c r="BY102" s="117" t="n">
        <f aca="false">SUMIFS(الريسبي!$C$2:$C$1800,الريسبي!$A$2:$A$1800,$A102,الريسبي!$B$2:$B$1800,BY$1)</f>
        <v>0</v>
      </c>
      <c r="BZ102" s="117" t="n">
        <f aca="false">SUMIFS(الريسبي!$C$2:$C$1800,الريسبي!$A$2:$A$1800,$A102,الريسبي!$B$2:$B$1800,BZ$1)</f>
        <v>0</v>
      </c>
      <c r="CA102" s="117" t="n">
        <f aca="false">SUMIFS(الريسبي!$C$2:$C$1800,الريسبي!$A$2:$A$1800,$A102,الريسبي!$B$2:$B$1800,CA$1)</f>
        <v>1</v>
      </c>
      <c r="CB102" s="117" t="n">
        <f aca="false">SUMIFS(الريسبي!$C$2:$C$1800,الريسبي!$A$2:$A$1800,$A102,الريسبي!$B$2:$B$1800,CB$1)</f>
        <v>1</v>
      </c>
      <c r="CC102" s="117" t="n">
        <f aca="false">SUMIFS(الريسبي!$C$2:$C$1800,الريسبي!$A$2:$A$1800,$A102,الريسبي!$B$2:$B$1800,CC$1)</f>
        <v>0</v>
      </c>
      <c r="CD102" s="117" t="n">
        <f aca="false">SUMIFS(الريسبي!$C$2:$C$1800,الريسبي!$A$2:$A$1800,$A102,الريسبي!$B$2:$B$1800,CD$1)</f>
        <v>0.09</v>
      </c>
      <c r="CE102" s="117" t="n">
        <f aca="false">SUMIFS(الريسبي!$C$2:$C$1800,الريسبي!$A$2:$A$1800,$A102,الريسبي!$B$2:$B$1800,CE$1)</f>
        <v>0.105</v>
      </c>
      <c r="CF102" s="117" t="n">
        <f aca="false">SUMIFS(الريسبي!$C$2:$C$1800,الريسبي!$A$2:$A$1800,$A102,الريسبي!$B$2:$B$1800,CF$1)</f>
        <v>0</v>
      </c>
      <c r="CG102" s="117" t="n">
        <f aca="false">SUMIFS(الريسبي!$C$2:$C$1800,الريسبي!$A$2:$A$1800,$A102,الريسبي!$B$2:$B$1800,CG$1)</f>
        <v>0</v>
      </c>
      <c r="CH102" s="117" t="n">
        <f aca="false">SUMIFS(الريسبي!$C$2:$C$1800,الريسبي!$A$2:$A$1800,$A102,الريسبي!$B$2:$B$1800,CH$1)</f>
        <v>0</v>
      </c>
      <c r="CI102" s="117" t="n">
        <f aca="false">SUMIFS(الريسبي!$C$2:$C$1800,الريسبي!$A$2:$A$1800,$A102,الريسبي!$B$2:$B$1800,CI$1)</f>
        <v>0</v>
      </c>
      <c r="CJ102" s="117" t="n">
        <f aca="false">SUMIFS(الريسبي!$C$2:$C$1800,الريسبي!$A$2:$A$1800,$A102,الريسبي!$B$2:$B$1800,CJ$1)</f>
        <v>0</v>
      </c>
      <c r="CK102" s="117" t="n">
        <f aca="false">SUMIFS(الريسبي!$C$2:$C$1800,الريسبي!$A$2:$A$1800,$A102,الريسبي!$B$2:$B$1800,CK$1)</f>
        <v>0</v>
      </c>
      <c r="CL102" s="117" t="n">
        <f aca="false">SUMIFS(الريسبي!$C$2:$C$1800,الريسبي!$A$2:$A$1800,$A102,الريسبي!$B$2:$B$1800,CL$1)</f>
        <v>0</v>
      </c>
    </row>
    <row r="103" customFormat="false" ht="15" hidden="false" customHeight="false" outlineLevel="0" collapsed="false">
      <c r="A103" s="116" t="str">
        <f aca="false">المنيو!B103</f>
        <v>فطيرة مشكل جبن صيامي وسط</v>
      </c>
      <c r="B103" s="117" t="n">
        <f aca="false">SUMIFS(الريسبي!$C$2:$C$1800,الريسبي!$A$2:$A$1800,$A103,الريسبي!$B$2:$B$1800,B$1)</f>
        <v>0</v>
      </c>
      <c r="C103" s="117" t="n">
        <f aca="false">SUMIFS(الريسبي!$C$2:$C$1800,الريسبي!$A$2:$A$1800,$A103,الريسبي!$B$2:$B$1800,C$1)</f>
        <v>0</v>
      </c>
      <c r="D103" s="117" t="n">
        <f aca="false">SUMIFS(الريسبي!$C$2:$C$1800,الريسبي!$A$2:$A$1800,$A103,الريسبي!$B$2:$B$1800,D$1)</f>
        <v>1</v>
      </c>
      <c r="E103" s="117" t="n">
        <f aca="false">SUMIFS(الريسبي!$C$2:$C$1800,الريسبي!$A$2:$A$1800,$A103,الريسبي!$B$2:$B$1800,E$1)</f>
        <v>0</v>
      </c>
      <c r="F103" s="117" t="n">
        <f aca="false">SUMIFS(الريسبي!$C$2:$C$1800,الريسبي!$A$2:$A$1800,$A103,الريسبي!$B$2:$B$1800,F$1)</f>
        <v>0</v>
      </c>
      <c r="G103" s="117" t="n">
        <f aca="false">SUMIFS(الريسبي!$C$2:$C$1800,الريسبي!$A$2:$A$1800,$A103,الريسبي!$B$2:$B$1800,G$1)</f>
        <v>0</v>
      </c>
      <c r="H103" s="117" t="n">
        <f aca="false">SUMIFS(الريسبي!$C$2:$C$1800,الريسبي!$A$2:$A$1800,$A103,الريسبي!$B$2:$B$1800,H$1)</f>
        <v>0</v>
      </c>
      <c r="I103" s="117" t="n">
        <f aca="false">SUMIFS(الريسبي!$C$2:$C$1800,الريسبي!$A$2:$A$1800,$A103,الريسبي!$B$2:$B$1800,I$1)</f>
        <v>0</v>
      </c>
      <c r="J103" s="117" t="n">
        <f aca="false">SUMIFS(الريسبي!$C$2:$C$1800,الريسبي!$A$2:$A$1800,$A103,الريسبي!$B$2:$B$1800,J$1)</f>
        <v>0</v>
      </c>
      <c r="K103" s="117" t="n">
        <f aca="false">SUMIFS(الريسبي!$C$2:$C$1800,الريسبي!$A$2:$A$1800,$A103,الريسبي!$B$2:$B$1800,K$1)</f>
        <v>0</v>
      </c>
      <c r="L103" s="117" t="n">
        <f aca="false">SUMIFS(الريسبي!$C$2:$C$1800,الريسبي!$A$2:$A$1800,$A103,الريسبي!$B$2:$B$1800,L$1)</f>
        <v>0</v>
      </c>
      <c r="M103" s="117" t="n">
        <f aca="false">SUMIFS(الريسبي!$C$2:$C$1800,الريسبي!$A$2:$A$1800,$A103,الريسبي!$B$2:$B$1800,M$1)</f>
        <v>0</v>
      </c>
      <c r="N103" s="117" t="n">
        <f aca="false">SUMIFS(الريسبي!$C$2:$C$1800,الريسبي!$A$2:$A$1800,$A103,الريسبي!$B$2:$B$1800,N$1)</f>
        <v>0</v>
      </c>
      <c r="O103" s="117" t="n">
        <f aca="false">SUMIFS(الريسبي!$C$2:$C$1800,الريسبي!$A$2:$A$1800,$A103,الريسبي!$B$2:$B$1800,O$1)</f>
        <v>0</v>
      </c>
      <c r="P103" s="117" t="n">
        <f aca="false">SUMIFS(الريسبي!$C$2:$C$1800,الريسبي!$A$2:$A$1800,$A103,الريسبي!$B$2:$B$1800,P$1)</f>
        <v>0</v>
      </c>
      <c r="Q103" s="117" t="n">
        <f aca="false">SUMIFS(الريسبي!$C$2:$C$1800,الريسبي!$A$2:$A$1800,$A103,الريسبي!$B$2:$B$1800,Q$1)</f>
        <v>0</v>
      </c>
      <c r="R103" s="117" t="n">
        <f aca="false">SUMIFS(الريسبي!$C$2:$C$1800,الريسبي!$A$2:$A$1800,$A103,الريسبي!$B$2:$B$1800,R$1)</f>
        <v>0</v>
      </c>
      <c r="S103" s="117" t="n">
        <f aca="false">SUMIFS(الريسبي!$C$2:$C$1800,الريسبي!$A$2:$A$1800,$A103,الريسبي!$B$2:$B$1800,S$1)</f>
        <v>0</v>
      </c>
      <c r="T103" s="117" t="n">
        <f aca="false">SUMIFS(الريسبي!$C$2:$C$1800,الريسبي!$A$2:$A$1800,$A103,الريسبي!$B$2:$B$1800,T$1)</f>
        <v>0</v>
      </c>
      <c r="U103" s="117" t="n">
        <f aca="false">SUMIFS(الريسبي!$C$2:$C$1800,الريسبي!$A$2:$A$1800,$A103,الريسبي!$B$2:$B$1800,U$1)</f>
        <v>0</v>
      </c>
      <c r="V103" s="117" t="n">
        <f aca="false">SUMIFS(الريسبي!$C$2:$C$1800,الريسبي!$A$2:$A$1800,$A103,الريسبي!$B$2:$B$1800,V$1)</f>
        <v>0</v>
      </c>
      <c r="W103" s="117" t="n">
        <f aca="false">SUMIFS(الريسبي!$C$2:$C$1800,الريسبي!$A$2:$A$1800,$A103,الريسبي!$B$2:$B$1800,W$1)</f>
        <v>0</v>
      </c>
      <c r="X103" s="117" t="n">
        <f aca="false">SUMIFS(الريسبي!$C$2:$C$1800,الريسبي!$A$2:$A$1800,$A103,الريسبي!$B$2:$B$1800,X$1)</f>
        <v>1</v>
      </c>
      <c r="Y103" s="117" t="n">
        <f aca="false">SUMIFS(الريسبي!$C$2:$C$1800,الريسبي!$A$2:$A$1800,$A103,الريسبي!$B$2:$B$1800,Y$1)</f>
        <v>0</v>
      </c>
      <c r="Z103" s="117" t="n">
        <f aca="false">SUMIFS(الريسبي!$C$2:$C$1800,الريسبي!$A$2:$A$1800,$A103,الريسبي!$B$2:$B$1800,Z$1)</f>
        <v>0</v>
      </c>
      <c r="AA103" s="117" t="n">
        <f aca="false">SUMIFS(الريسبي!$C$2:$C$1800,الريسبي!$A$2:$A$1800,$A103,الريسبي!$B$2:$B$1800,AA$1)</f>
        <v>0</v>
      </c>
      <c r="AB103" s="117" t="n">
        <f aca="false">SUMIFS(الريسبي!$C$2:$C$1800,الريسبي!$A$2:$A$1800,$A103,الريسبي!$B$2:$B$1800,AB$1)</f>
        <v>0</v>
      </c>
      <c r="AC103" s="117" t="n">
        <f aca="false">SUMIFS(الريسبي!$C$2:$C$1800,الريسبي!$A$2:$A$1800,$A103,الريسبي!$B$2:$B$1800,AC$1)</f>
        <v>0</v>
      </c>
      <c r="AD103" s="117" t="n">
        <f aca="false">SUMIFS(الريسبي!$C$2:$C$1800,الريسبي!$A$2:$A$1800,$A103,الريسبي!$B$2:$B$1800,AD$1)</f>
        <v>0</v>
      </c>
      <c r="AE103" s="117" t="n">
        <f aca="false">SUMIFS(الريسبي!$C$2:$C$1800,الريسبي!$A$2:$A$1800,$A103,الريسبي!$B$2:$B$1800,AE$1)</f>
        <v>0</v>
      </c>
      <c r="AF103" s="117" t="n">
        <f aca="false">SUMIFS(الريسبي!$C$2:$C$1800,الريسبي!$A$2:$A$1800,$A103,الريسبي!$B$2:$B$1800,AF$1)</f>
        <v>0</v>
      </c>
      <c r="AG103" s="117" t="n">
        <f aca="false">SUMIFS(الريسبي!$C$2:$C$1800,الريسبي!$A$2:$A$1800,$A103,الريسبي!$B$2:$B$1800,AG$1)</f>
        <v>0</v>
      </c>
      <c r="AH103" s="117" t="n">
        <f aca="false">SUMIFS(الريسبي!$C$2:$C$1800,الريسبي!$A$2:$A$1800,$A103,الريسبي!$B$2:$B$1800,AH$1)</f>
        <v>0</v>
      </c>
      <c r="AI103" s="117" t="n">
        <f aca="false">SUMIFS(الريسبي!$C$2:$C$1800,الريسبي!$A$2:$A$1800,$A103,الريسبي!$B$2:$B$1800,AI$1)</f>
        <v>0.1</v>
      </c>
      <c r="AJ103" s="117" t="n">
        <f aca="false">SUMIFS(الريسبي!$C$2:$C$1800,الريسبي!$A$2:$A$1800,$A103,الريسبي!$B$2:$B$1800,AJ$1)</f>
        <v>2</v>
      </c>
      <c r="AK103" s="117" t="n">
        <f aca="false">SUMIFS(الريسبي!$C$2:$C$1800,الريسبي!$A$2:$A$1800,$A103,الريسبي!$B$2:$B$1800,AK$1)</f>
        <v>0</v>
      </c>
      <c r="AL103" s="117" t="n">
        <f aca="false">SUMIFS(الريسبي!$C$2:$C$1800,الريسبي!$A$2:$A$1800,$A103,الريسبي!$B$2:$B$1800,AL$1)</f>
        <v>0</v>
      </c>
      <c r="AM103" s="117" t="n">
        <f aca="false">SUMIFS(الريسبي!$C$2:$C$1800,الريسبي!$A$2:$A$1800,$A103,الريسبي!$B$2:$B$1800,AM$1)+0.08333333333*SUMIFS(الريسبي!$C$2:$C$1800,الريسبي!$A$2:$A$1800,$A103,الريسبي!$B$2:$B$1800,"عجين كريب (مصنع بالمطعم)")+0.08333333333*SUMIFS(الريسبي!$C$2:$C$1800,الريسبي!$A$2:$A$1800,$A103,الريسبي!$B$2:$B$1800,"عجين كريب صيامي (بدون لبن)")</f>
        <v>0</v>
      </c>
      <c r="AN103" s="117" t="n">
        <f aca="false">SUMIFS(الريسبي!$C$2:$C$1800,الريسبي!$A$2:$A$1800,$A103,الريسبي!$B$2:$B$1800,AN$1)+0.004166666667*SUMIFS(الريسبي!$C$2:$C$1800,الريسبي!$A$2:$A$1800,$A103,الريسبي!$B$2:$B$1800,"عجين كريب (مصنع بالمطعم)")+0.004166666667*SUMIFS(الريسبي!$C$2:$C$1800,الريسبي!$A$2:$A$1800,$A103,الريسبي!$B$2:$B$1800,"عجين كريب صيامي (بدون لبن)")</f>
        <v>0</v>
      </c>
      <c r="AO103" s="117" t="n">
        <f aca="false">SUMIFS(الريسبي!$C$2:$C$1800,الريسبي!$A$2:$A$1800,$A103,الريسبي!$B$2:$B$1800,AO$1)</f>
        <v>0</v>
      </c>
      <c r="AP103" s="117" t="n">
        <f aca="false">SUMIFS(الريسبي!$C$2:$C$1800,الريسبي!$A$2:$A$1800,$A103,الريسبي!$B$2:$B$1800,AP$1)</f>
        <v>0.02</v>
      </c>
      <c r="AQ103" s="117" t="n">
        <f aca="false">SUMIFS(الريسبي!$C$2:$C$1800,الريسبي!$A$2:$A$1800,$A103,الريسبي!$B$2:$B$1800,AQ$1)+0.004166666667*SUMIFS(الريسبي!$C$2:$C$1800,الريسبي!$A$2:$A$1800,$A103,الريسبي!$B$2:$B$1800,"عجين كريب (مصنع بالمطعم)")+0.004166666667*SUMIFS(الريسبي!$C$2:$C$1800,الريسبي!$A$2:$A$1800,$A103,الريسبي!$B$2:$B$1800,"عجين كريب صيامي (بدون لبن)")</f>
        <v>0</v>
      </c>
      <c r="AR103" s="117" t="n">
        <f aca="false">SUMIFS(الريسبي!$C$2:$C$1800,الريسبي!$A$2:$A$1800,$A103,الريسبي!$B$2:$B$1800,AR$1)</f>
        <v>0</v>
      </c>
      <c r="AS103" s="117" t="n">
        <f aca="false">SUMIFS(الريسبي!$C$2:$C$1800,الريسبي!$A$2:$A$1800,$A103,الريسبي!$B$2:$B$1800,AS$1)</f>
        <v>0</v>
      </c>
      <c r="AT103" s="117" t="n">
        <f aca="false">SUMIFS(الريسبي!$C$2:$C$1800,الريسبي!$A$2:$A$1800,$A103,الريسبي!$B$2:$B$1800,AT$1)</f>
        <v>0</v>
      </c>
      <c r="AU103" s="117" t="n">
        <f aca="false">SUMIFS(الريسبي!$C$2:$C$1800,الريسبي!$A$2:$A$1800,$A103,الريسبي!$B$2:$B$1800,AU$1)</f>
        <v>0</v>
      </c>
      <c r="AV103" s="117" t="n">
        <f aca="false">SUMIFS(الريسبي!$C$2:$C$1800,الريسبي!$A$2:$A$1800,$A103,الريسبي!$B$2:$B$1800,AV$1)</f>
        <v>0</v>
      </c>
      <c r="AW103" s="117" t="n">
        <f aca="false">SUMIFS(الريسبي!$C$2:$C$1800,الريسبي!$A$2:$A$1800,$A103,الريسبي!$B$2:$B$1800,AW$1)</f>
        <v>0</v>
      </c>
      <c r="AX103" s="117" t="n">
        <f aca="false">SUMIFS(الريسبي!$C$2:$C$1800,الريسبي!$A$2:$A$1800,$A103,الريسبي!$B$2:$B$1800,AX$1)</f>
        <v>0</v>
      </c>
      <c r="AY103" s="117" t="n">
        <f aca="false">SUMIFS(الريسبي!$C$2:$C$1800,الريسبي!$A$2:$A$1800,$A103,الريسبي!$B$2:$B$1800,AY$1)</f>
        <v>0</v>
      </c>
      <c r="AZ103" s="117" t="n">
        <f aca="false">SUMIFS(الريسبي!$C$2:$C$1800,الريسبي!$A$2:$A$1800,$A103,الريسبي!$B$2:$B$1800,AZ$1)</f>
        <v>0</v>
      </c>
      <c r="BA103" s="117" t="n">
        <f aca="false">SUMIFS(الريسبي!$C$2:$C$1800,الريسبي!$A$2:$A$1800,$A103,الريسبي!$B$2:$B$1800,BA$1)</f>
        <v>0</v>
      </c>
      <c r="BB103" s="117" t="n">
        <f aca="false">SUMIFS(الريسبي!$C$2:$C$1800,الريسبي!$A$2:$A$1800,$A103,الريسبي!$B$2:$B$1800,BB$1)</f>
        <v>0</v>
      </c>
      <c r="BC103" s="117" t="n">
        <f aca="false">SUMIFS(الريسبي!$C$2:$C$1800,الريسبي!$A$2:$A$1800,$A103,الريسبي!$B$2:$B$1800,BC$1)</f>
        <v>0.03</v>
      </c>
      <c r="BD103" s="117" t="n">
        <f aca="false">SUMIFS(الريسبي!$C$2:$C$1800,الريسبي!$A$2:$A$1800,$A103,الريسبي!$B$2:$B$1800,BD$1)</f>
        <v>0</v>
      </c>
      <c r="BE103" s="117" t="n">
        <f aca="false">SUMIFS(الريسبي!$C$2:$C$1800,الريسبي!$A$2:$A$1800,$A103,الريسبي!$B$2:$B$1800,BE$1)</f>
        <v>1</v>
      </c>
      <c r="BF103" s="117" t="n">
        <f aca="false">SUMIFS(الريسبي!$C$2:$C$1800,الريسبي!$A$2:$A$1800,$A103,الريسبي!$B$2:$B$1800,BF$1)</f>
        <v>0</v>
      </c>
      <c r="BG103" s="117" t="n">
        <f aca="false">SUMIFS(الريسبي!$C$2:$C$1800,الريسبي!$A$2:$A$1800,$A103,الريسبي!$B$2:$B$1800,BG$1)</f>
        <v>0</v>
      </c>
      <c r="BH103" s="117" t="n">
        <f aca="false">SUMIFS(الريسبي!$C$2:$C$1800,الريسبي!$A$2:$A$1800,$A103,الريسبي!$B$2:$B$1800,BH$1)</f>
        <v>1</v>
      </c>
      <c r="BI103" s="117" t="n">
        <f aca="false">SUMIFS(الريسبي!$C$2:$C$1800,الريسبي!$A$2:$A$1800,$A103,الريسبي!$B$2:$B$1800,BI$1)</f>
        <v>0</v>
      </c>
      <c r="BJ103" s="117" t="n">
        <f aca="false">SUMIFS(الريسبي!$C$2:$C$1800,الريسبي!$A$2:$A$1800,$A103,الريسبي!$B$2:$B$1800,BJ$1)</f>
        <v>0</v>
      </c>
      <c r="BK103" s="117" t="n">
        <f aca="false">SUMIFS(الريسبي!$C$2:$C$1800,الريسبي!$A$2:$A$1800,$A103,الريسبي!$B$2:$B$1800,BK$1)</f>
        <v>0</v>
      </c>
      <c r="BL103" s="117" t="n">
        <f aca="false">SUMIFS(الريسبي!$C$2:$C$1800,الريسبي!$A$2:$A$1800,$A103,الريسبي!$B$2:$B$1800,BL$1)</f>
        <v>0</v>
      </c>
      <c r="BM103" s="117" t="n">
        <f aca="false">SUMIFS(الريسبي!$C$2:$C$1800,الريسبي!$A$2:$A$1800,$A103,الريسبي!$B$2:$B$1800,BM$1)</f>
        <v>0</v>
      </c>
      <c r="BN103" s="117" t="n">
        <f aca="false">SUMIFS(الريسبي!$C$2:$C$1800,الريسبي!$A$2:$A$1800,$A103,الريسبي!$B$2:$B$1800,BN$1)</f>
        <v>0.02</v>
      </c>
      <c r="BO103" s="117" t="n">
        <f aca="false">SUMIFS(الريسبي!$C$2:$C$1800,الريسبي!$A$2:$A$1800,$A103,الريسبي!$B$2:$B$1800,BO$1)</f>
        <v>0</v>
      </c>
      <c r="BP103" s="117" t="n">
        <f aca="false">SUMIFS(الريسبي!$C$2:$C$1800,الريسبي!$A$2:$A$1800,$A103,الريسبي!$B$2:$B$1800,BP$1)</f>
        <v>2</v>
      </c>
      <c r="BQ103" s="117" t="n">
        <f aca="false">SUMIFS(الريسبي!$C$2:$C$1800,الريسبي!$A$2:$A$1800,$A103,الريسبي!$B$2:$B$1800,BQ$1)+0.17*SUMIFS(الريسبي!$C$2:$C$1800,الريسبي!$A$2:$A$1800,$A103,الريسبي!$B$2:$B$1800,"كاسترد مصنع (خليط بودر + لبن)")+0.17*SUMIFS(الريسبي!$C$2:$C$1800,الريسبي!$A$2:$A$1800,$A103,الريسبي!$B$2:$B$1800,"كاسترد مصنع صيامي (بدون لبن)")</f>
        <v>0</v>
      </c>
      <c r="BR103" s="117" t="n">
        <f aca="false">SUMIFS(الريسبي!$C$2:$C$1800,الريسبي!$A$2:$A$1800,$A103,الريسبي!$B$2:$B$1800,BR$1)</f>
        <v>1</v>
      </c>
      <c r="BS103" s="117" t="n">
        <f aca="false">SUMIFS(الريسبي!$C$2:$C$1800,الريسبي!$A$2:$A$1800,$A103,الريسبي!$B$2:$B$1800,BS$1)</f>
        <v>0</v>
      </c>
      <c r="BT103" s="117" t="n">
        <f aca="false">SUMIFS(الريسبي!$C$2:$C$1800,الريسبي!$A$2:$A$1800,$A103,الريسبي!$B$2:$B$1800,BT$1)</f>
        <v>0</v>
      </c>
      <c r="BU103" s="117" t="n">
        <f aca="false">SUMIFS(الريسبي!$C$2:$C$1800,الريسبي!$A$2:$A$1800,$A103,الريسبي!$B$2:$B$1800,BU$1)+0.4*SUMIFS(الريسبي!$C$2:$C$1800,الريسبي!$A$2:$A$1800,$A103,الريسبي!$B$2:$B$1800,"كاسترد مصنع (خليط بودر + لبن)")+0.03333333333*SUMIFS(الريسبي!$C$2:$C$1800,الريسبي!$A$2:$A$1800,$A103,الريسبي!$B$2:$B$1800,"عجين كريب (مصنع بالمطعم)")</f>
        <v>0</v>
      </c>
      <c r="BV103" s="117" t="n">
        <f aca="false">SUMIFS(الريسبي!$C$2:$C$1800,الريسبي!$A$2:$A$1800,$A103,الريسبي!$B$2:$B$1800,BV$1)</f>
        <v>0</v>
      </c>
      <c r="BW103" s="117" t="n">
        <f aca="false">SUMIFS(الريسبي!$C$2:$C$1800,الريسبي!$A$2:$A$1800,$A103,الريسبي!$B$2:$B$1800,BW$1)</f>
        <v>0</v>
      </c>
      <c r="BX103" s="117" t="n">
        <f aca="false">SUMIFS(الريسبي!$C$2:$C$1800,الريسبي!$A$2:$A$1800,$A103,الريسبي!$B$2:$B$1800,BX$1)</f>
        <v>0</v>
      </c>
      <c r="BY103" s="117" t="n">
        <f aca="false">SUMIFS(الريسبي!$C$2:$C$1800,الريسبي!$A$2:$A$1800,$A103,الريسبي!$B$2:$B$1800,BY$1)</f>
        <v>0</v>
      </c>
      <c r="BZ103" s="117" t="n">
        <f aca="false">SUMIFS(الريسبي!$C$2:$C$1800,الريسبي!$A$2:$A$1800,$A103,الريسبي!$B$2:$B$1800,BZ$1)</f>
        <v>0</v>
      </c>
      <c r="CA103" s="117" t="n">
        <f aca="false">SUMIFS(الريسبي!$C$2:$C$1800,الريسبي!$A$2:$A$1800,$A103,الريسبي!$B$2:$B$1800,CA$1)</f>
        <v>1</v>
      </c>
      <c r="CB103" s="117" t="n">
        <f aca="false">SUMIFS(الريسبي!$C$2:$C$1800,الريسبي!$A$2:$A$1800,$A103,الريسبي!$B$2:$B$1800,CB$1)</f>
        <v>1</v>
      </c>
      <c r="CC103" s="117" t="n">
        <f aca="false">SUMIFS(الريسبي!$C$2:$C$1800,الريسبي!$A$2:$A$1800,$A103,الريسبي!$B$2:$B$1800,CC$1)</f>
        <v>0</v>
      </c>
      <c r="CD103" s="117" t="n">
        <f aca="false">SUMIFS(الريسبي!$C$2:$C$1800,الريسبي!$A$2:$A$1800,$A103,الريسبي!$B$2:$B$1800,CD$1)</f>
        <v>0</v>
      </c>
      <c r="CE103" s="117" t="n">
        <f aca="false">SUMIFS(الريسبي!$C$2:$C$1800,الريسبي!$A$2:$A$1800,$A103,الريسبي!$B$2:$B$1800,CE$1)</f>
        <v>0</v>
      </c>
      <c r="CF103" s="117" t="n">
        <f aca="false">SUMIFS(الريسبي!$C$2:$C$1800,الريسبي!$A$2:$A$1800,$A103,الريسبي!$B$2:$B$1800,CF$1)</f>
        <v>0</v>
      </c>
      <c r="CG103" s="117" t="n">
        <f aca="false">SUMIFS(الريسبي!$C$2:$C$1800,الريسبي!$A$2:$A$1800,$A103,الريسبي!$B$2:$B$1800,CG$1)</f>
        <v>0</v>
      </c>
      <c r="CH103" s="117" t="n">
        <f aca="false">SUMIFS(الريسبي!$C$2:$C$1800,الريسبي!$A$2:$A$1800,$A103,الريسبي!$B$2:$B$1800,CH$1)</f>
        <v>0</v>
      </c>
      <c r="CI103" s="117" t="n">
        <f aca="false">SUMIFS(الريسبي!$C$2:$C$1800,الريسبي!$A$2:$A$1800,$A103,الريسبي!$B$2:$B$1800,CI$1)</f>
        <v>0</v>
      </c>
      <c r="CJ103" s="117" t="n">
        <f aca="false">SUMIFS(الريسبي!$C$2:$C$1800,الريسبي!$A$2:$A$1800,$A103,الريسبي!$B$2:$B$1800,CJ$1)</f>
        <v>0</v>
      </c>
      <c r="CK103" s="117" t="n">
        <f aca="false">SUMIFS(الريسبي!$C$2:$C$1800,الريسبي!$A$2:$A$1800,$A103,الريسبي!$B$2:$B$1800,CK$1)</f>
        <v>0</v>
      </c>
      <c r="CL103" s="117" t="n">
        <f aca="false">SUMIFS(الريسبي!$C$2:$C$1800,الريسبي!$A$2:$A$1800,$A103,الريسبي!$B$2:$B$1800,CL$1)</f>
        <v>0</v>
      </c>
    </row>
    <row r="104" customFormat="false" ht="15" hidden="false" customHeight="false" outlineLevel="0" collapsed="false">
      <c r="A104" s="116" t="str">
        <f aca="false">المنيو!B104</f>
        <v>فطيرة مشكل جبن صيامي مخصوص</v>
      </c>
      <c r="B104" s="117" t="n">
        <f aca="false">SUMIFS(الريسبي!$C$2:$C$1800,الريسبي!$A$2:$A$1800,$A104,الريسبي!$B$2:$B$1800,B$1)</f>
        <v>0</v>
      </c>
      <c r="C104" s="117" t="n">
        <f aca="false">SUMIFS(الريسبي!$C$2:$C$1800,الريسبي!$A$2:$A$1800,$A104,الريسبي!$B$2:$B$1800,C$1)</f>
        <v>0</v>
      </c>
      <c r="D104" s="117" t="n">
        <f aca="false">SUMIFS(الريسبي!$C$2:$C$1800,الريسبي!$A$2:$A$1800,$A104,الريسبي!$B$2:$B$1800,D$1)</f>
        <v>1</v>
      </c>
      <c r="E104" s="117" t="n">
        <f aca="false">SUMIFS(الريسبي!$C$2:$C$1800,الريسبي!$A$2:$A$1800,$A104,الريسبي!$B$2:$B$1800,E$1)</f>
        <v>0</v>
      </c>
      <c r="F104" s="117" t="n">
        <f aca="false">SUMIFS(الريسبي!$C$2:$C$1800,الريسبي!$A$2:$A$1800,$A104,الريسبي!$B$2:$B$1800,F$1)</f>
        <v>0</v>
      </c>
      <c r="G104" s="117" t="n">
        <f aca="false">SUMIFS(الريسبي!$C$2:$C$1800,الريسبي!$A$2:$A$1800,$A104,الريسبي!$B$2:$B$1800,G$1)</f>
        <v>0</v>
      </c>
      <c r="H104" s="117" t="n">
        <f aca="false">SUMIFS(الريسبي!$C$2:$C$1800,الريسبي!$A$2:$A$1800,$A104,الريسبي!$B$2:$B$1800,H$1)</f>
        <v>0</v>
      </c>
      <c r="I104" s="117" t="n">
        <f aca="false">SUMIFS(الريسبي!$C$2:$C$1800,الريسبي!$A$2:$A$1800,$A104,الريسبي!$B$2:$B$1800,I$1)</f>
        <v>0</v>
      </c>
      <c r="J104" s="117" t="n">
        <f aca="false">SUMIFS(الريسبي!$C$2:$C$1800,الريسبي!$A$2:$A$1800,$A104,الريسبي!$B$2:$B$1800,J$1)</f>
        <v>0</v>
      </c>
      <c r="K104" s="117" t="n">
        <f aca="false">SUMIFS(الريسبي!$C$2:$C$1800,الريسبي!$A$2:$A$1800,$A104,الريسبي!$B$2:$B$1800,K$1)</f>
        <v>0</v>
      </c>
      <c r="L104" s="117" t="n">
        <f aca="false">SUMIFS(الريسبي!$C$2:$C$1800,الريسبي!$A$2:$A$1800,$A104,الريسبي!$B$2:$B$1800,L$1)</f>
        <v>0</v>
      </c>
      <c r="M104" s="117" t="n">
        <f aca="false">SUMIFS(الريسبي!$C$2:$C$1800,الريسبي!$A$2:$A$1800,$A104,الريسبي!$B$2:$B$1800,M$1)</f>
        <v>0</v>
      </c>
      <c r="N104" s="117" t="n">
        <f aca="false">SUMIFS(الريسبي!$C$2:$C$1800,الريسبي!$A$2:$A$1800,$A104,الريسبي!$B$2:$B$1800,N$1)</f>
        <v>0</v>
      </c>
      <c r="O104" s="117" t="n">
        <f aca="false">SUMIFS(الريسبي!$C$2:$C$1800,الريسبي!$A$2:$A$1800,$A104,الريسبي!$B$2:$B$1800,O$1)</f>
        <v>0</v>
      </c>
      <c r="P104" s="117" t="n">
        <f aca="false">SUMIFS(الريسبي!$C$2:$C$1800,الريسبي!$A$2:$A$1800,$A104,الريسبي!$B$2:$B$1800,P$1)</f>
        <v>0</v>
      </c>
      <c r="Q104" s="117" t="n">
        <f aca="false">SUMIFS(الريسبي!$C$2:$C$1800,الريسبي!$A$2:$A$1800,$A104,الريسبي!$B$2:$B$1800,Q$1)</f>
        <v>0</v>
      </c>
      <c r="R104" s="117" t="n">
        <f aca="false">SUMIFS(الريسبي!$C$2:$C$1800,الريسبي!$A$2:$A$1800,$A104,الريسبي!$B$2:$B$1800,R$1)</f>
        <v>0</v>
      </c>
      <c r="S104" s="117" t="n">
        <f aca="false">SUMIFS(الريسبي!$C$2:$C$1800,الريسبي!$A$2:$A$1800,$A104,الريسبي!$B$2:$B$1800,S$1)</f>
        <v>0</v>
      </c>
      <c r="T104" s="117" t="n">
        <f aca="false">SUMIFS(الريسبي!$C$2:$C$1800,الريسبي!$A$2:$A$1800,$A104,الريسبي!$B$2:$B$1800,T$1)</f>
        <v>0</v>
      </c>
      <c r="U104" s="117" t="n">
        <f aca="false">SUMIFS(الريسبي!$C$2:$C$1800,الريسبي!$A$2:$A$1800,$A104,الريسبي!$B$2:$B$1800,U$1)</f>
        <v>0</v>
      </c>
      <c r="V104" s="117" t="n">
        <f aca="false">SUMIFS(الريسبي!$C$2:$C$1800,الريسبي!$A$2:$A$1800,$A104,الريسبي!$B$2:$B$1800,V$1)</f>
        <v>0</v>
      </c>
      <c r="W104" s="117" t="n">
        <f aca="false">SUMIFS(الريسبي!$C$2:$C$1800,الريسبي!$A$2:$A$1800,$A104,الريسبي!$B$2:$B$1800,W$1)</f>
        <v>0</v>
      </c>
      <c r="X104" s="117" t="n">
        <f aca="false">SUMIFS(الريسبي!$C$2:$C$1800,الريسبي!$A$2:$A$1800,$A104,الريسبي!$B$2:$B$1800,X$1)</f>
        <v>0</v>
      </c>
      <c r="Y104" s="117" t="n">
        <f aca="false">SUMIFS(الريسبي!$C$2:$C$1800,الريسبي!$A$2:$A$1800,$A104,الريسبي!$B$2:$B$1800,Y$1)</f>
        <v>1</v>
      </c>
      <c r="Z104" s="117" t="n">
        <f aca="false">SUMIFS(الريسبي!$C$2:$C$1800,الريسبي!$A$2:$A$1800,$A104,الريسبي!$B$2:$B$1800,Z$1)</f>
        <v>0</v>
      </c>
      <c r="AA104" s="117" t="n">
        <f aca="false">SUMIFS(الريسبي!$C$2:$C$1800,الريسبي!$A$2:$A$1800,$A104,الريسبي!$B$2:$B$1800,AA$1)</f>
        <v>0</v>
      </c>
      <c r="AB104" s="117" t="n">
        <f aca="false">SUMIFS(الريسبي!$C$2:$C$1800,الريسبي!$A$2:$A$1800,$A104,الريسبي!$B$2:$B$1800,AB$1)</f>
        <v>0</v>
      </c>
      <c r="AC104" s="117" t="n">
        <f aca="false">SUMIFS(الريسبي!$C$2:$C$1800,الريسبي!$A$2:$A$1800,$A104,الريسبي!$B$2:$B$1800,AC$1)</f>
        <v>0</v>
      </c>
      <c r="AD104" s="117" t="n">
        <f aca="false">SUMIFS(الريسبي!$C$2:$C$1800,الريسبي!$A$2:$A$1800,$A104,الريسبي!$B$2:$B$1800,AD$1)</f>
        <v>0</v>
      </c>
      <c r="AE104" s="117" t="n">
        <f aca="false">SUMIFS(الريسبي!$C$2:$C$1800,الريسبي!$A$2:$A$1800,$A104,الريسبي!$B$2:$B$1800,AE$1)</f>
        <v>0</v>
      </c>
      <c r="AF104" s="117" t="n">
        <f aca="false">SUMIFS(الريسبي!$C$2:$C$1800,الريسبي!$A$2:$A$1800,$A104,الريسبي!$B$2:$B$1800,AF$1)</f>
        <v>0</v>
      </c>
      <c r="AG104" s="117" t="n">
        <f aca="false">SUMIFS(الريسبي!$C$2:$C$1800,الريسبي!$A$2:$A$1800,$A104,الريسبي!$B$2:$B$1800,AG$1)</f>
        <v>0</v>
      </c>
      <c r="AH104" s="117" t="n">
        <f aca="false">SUMIFS(الريسبي!$C$2:$C$1800,الريسبي!$A$2:$A$1800,$A104,الريسبي!$B$2:$B$1800,AH$1)</f>
        <v>0</v>
      </c>
      <c r="AI104" s="117" t="n">
        <f aca="false">SUMIFS(الريسبي!$C$2:$C$1800,الريسبي!$A$2:$A$1800,$A104,الريسبي!$B$2:$B$1800,AI$1)</f>
        <v>0.15</v>
      </c>
      <c r="AJ104" s="117" t="n">
        <f aca="false">SUMIFS(الريسبي!$C$2:$C$1800,الريسبي!$A$2:$A$1800,$A104,الريسبي!$B$2:$B$1800,AJ$1)</f>
        <v>2</v>
      </c>
      <c r="AK104" s="117" t="n">
        <f aca="false">SUMIFS(الريسبي!$C$2:$C$1800,الريسبي!$A$2:$A$1800,$A104,الريسبي!$B$2:$B$1800,AK$1)</f>
        <v>0</v>
      </c>
      <c r="AL104" s="117" t="n">
        <f aca="false">SUMIFS(الريسبي!$C$2:$C$1800,الريسبي!$A$2:$A$1800,$A104,الريسبي!$B$2:$B$1800,AL$1)</f>
        <v>0</v>
      </c>
      <c r="AM104" s="117" t="n">
        <f aca="false">SUMIFS(الريسبي!$C$2:$C$1800,الريسبي!$A$2:$A$1800,$A104,الريسبي!$B$2:$B$1800,AM$1)+0.08333333333*SUMIFS(الريسبي!$C$2:$C$1800,الريسبي!$A$2:$A$1800,$A104,الريسبي!$B$2:$B$1800,"عجين كريب (مصنع بالمطعم)")+0.08333333333*SUMIFS(الريسبي!$C$2:$C$1800,الريسبي!$A$2:$A$1800,$A104,الريسبي!$B$2:$B$1800,"عجين كريب صيامي (بدون لبن)")</f>
        <v>0</v>
      </c>
      <c r="AN104" s="117" t="n">
        <f aca="false">SUMIFS(الريسبي!$C$2:$C$1800,الريسبي!$A$2:$A$1800,$A104,الريسبي!$B$2:$B$1800,AN$1)+0.004166666667*SUMIFS(الريسبي!$C$2:$C$1800,الريسبي!$A$2:$A$1800,$A104,الريسبي!$B$2:$B$1800,"عجين كريب (مصنع بالمطعم)")+0.004166666667*SUMIFS(الريسبي!$C$2:$C$1800,الريسبي!$A$2:$A$1800,$A104,الريسبي!$B$2:$B$1800,"عجين كريب صيامي (بدون لبن)")</f>
        <v>0</v>
      </c>
      <c r="AO104" s="117" t="n">
        <f aca="false">SUMIFS(الريسبي!$C$2:$C$1800,الريسبي!$A$2:$A$1800,$A104,الريسبي!$B$2:$B$1800,AO$1)</f>
        <v>0</v>
      </c>
      <c r="AP104" s="117" t="n">
        <f aca="false">SUMIFS(الريسبي!$C$2:$C$1800,الريسبي!$A$2:$A$1800,$A104,الريسبي!$B$2:$B$1800,AP$1)</f>
        <v>0.03</v>
      </c>
      <c r="AQ104" s="117" t="n">
        <f aca="false">SUMIFS(الريسبي!$C$2:$C$1800,الريسبي!$A$2:$A$1800,$A104,الريسبي!$B$2:$B$1800,AQ$1)+0.004166666667*SUMIFS(الريسبي!$C$2:$C$1800,الريسبي!$A$2:$A$1800,$A104,الريسبي!$B$2:$B$1800,"عجين كريب (مصنع بالمطعم)")+0.004166666667*SUMIFS(الريسبي!$C$2:$C$1800,الريسبي!$A$2:$A$1800,$A104,الريسبي!$B$2:$B$1800,"عجين كريب صيامي (بدون لبن)")</f>
        <v>0</v>
      </c>
      <c r="AR104" s="117" t="n">
        <f aca="false">SUMIFS(الريسبي!$C$2:$C$1800,الريسبي!$A$2:$A$1800,$A104,الريسبي!$B$2:$B$1800,AR$1)</f>
        <v>0</v>
      </c>
      <c r="AS104" s="117" t="n">
        <f aca="false">SUMIFS(الريسبي!$C$2:$C$1800,الريسبي!$A$2:$A$1800,$A104,الريسبي!$B$2:$B$1800,AS$1)</f>
        <v>0</v>
      </c>
      <c r="AT104" s="117" t="n">
        <f aca="false">SUMIFS(الريسبي!$C$2:$C$1800,الريسبي!$A$2:$A$1800,$A104,الريسبي!$B$2:$B$1800,AT$1)</f>
        <v>0</v>
      </c>
      <c r="AU104" s="117" t="n">
        <f aca="false">SUMIFS(الريسبي!$C$2:$C$1800,الريسبي!$A$2:$A$1800,$A104,الريسبي!$B$2:$B$1800,AU$1)</f>
        <v>0</v>
      </c>
      <c r="AV104" s="117" t="n">
        <f aca="false">SUMIFS(الريسبي!$C$2:$C$1800,الريسبي!$A$2:$A$1800,$A104,الريسبي!$B$2:$B$1800,AV$1)</f>
        <v>0</v>
      </c>
      <c r="AW104" s="117" t="n">
        <f aca="false">SUMIFS(الريسبي!$C$2:$C$1800,الريسبي!$A$2:$A$1800,$A104,الريسبي!$B$2:$B$1800,AW$1)</f>
        <v>0</v>
      </c>
      <c r="AX104" s="117" t="n">
        <f aca="false">SUMIFS(الريسبي!$C$2:$C$1800,الريسبي!$A$2:$A$1800,$A104,الريسبي!$B$2:$B$1800,AX$1)</f>
        <v>0</v>
      </c>
      <c r="AY104" s="117" t="n">
        <f aca="false">SUMIFS(الريسبي!$C$2:$C$1800,الريسبي!$A$2:$A$1800,$A104,الريسبي!$B$2:$B$1800,AY$1)</f>
        <v>0</v>
      </c>
      <c r="AZ104" s="117" t="n">
        <f aca="false">SUMIFS(الريسبي!$C$2:$C$1800,الريسبي!$A$2:$A$1800,$A104,الريسبي!$B$2:$B$1800,AZ$1)</f>
        <v>0</v>
      </c>
      <c r="BA104" s="117" t="n">
        <f aca="false">SUMIFS(الريسبي!$C$2:$C$1800,الريسبي!$A$2:$A$1800,$A104,الريسبي!$B$2:$B$1800,BA$1)</f>
        <v>0</v>
      </c>
      <c r="BB104" s="117" t="n">
        <f aca="false">SUMIFS(الريسبي!$C$2:$C$1800,الريسبي!$A$2:$A$1800,$A104,الريسبي!$B$2:$B$1800,BB$1)</f>
        <v>0</v>
      </c>
      <c r="BC104" s="117" t="n">
        <f aca="false">SUMIFS(الريسبي!$C$2:$C$1800,الريسبي!$A$2:$A$1800,$A104,الريسبي!$B$2:$B$1800,BC$1)</f>
        <v>0.045</v>
      </c>
      <c r="BD104" s="117" t="n">
        <f aca="false">SUMIFS(الريسبي!$C$2:$C$1800,الريسبي!$A$2:$A$1800,$A104,الريسبي!$B$2:$B$1800,BD$1)</f>
        <v>0</v>
      </c>
      <c r="BE104" s="117" t="n">
        <f aca="false">SUMIFS(الريسبي!$C$2:$C$1800,الريسبي!$A$2:$A$1800,$A104,الريسبي!$B$2:$B$1800,BE$1)</f>
        <v>1.5</v>
      </c>
      <c r="BF104" s="117" t="n">
        <f aca="false">SUMIFS(الريسبي!$C$2:$C$1800,الريسبي!$A$2:$A$1800,$A104,الريسبي!$B$2:$B$1800,BF$1)</f>
        <v>0</v>
      </c>
      <c r="BG104" s="117" t="n">
        <f aca="false">SUMIFS(الريسبي!$C$2:$C$1800,الريسبي!$A$2:$A$1800,$A104,الريسبي!$B$2:$B$1800,BG$1)</f>
        <v>1</v>
      </c>
      <c r="BH104" s="117" t="n">
        <f aca="false">SUMIFS(الريسبي!$C$2:$C$1800,الريسبي!$A$2:$A$1800,$A104,الريسبي!$B$2:$B$1800,BH$1)</f>
        <v>0</v>
      </c>
      <c r="BI104" s="117" t="n">
        <f aca="false">SUMIFS(الريسبي!$C$2:$C$1800,الريسبي!$A$2:$A$1800,$A104,الريسبي!$B$2:$B$1800,BI$1)</f>
        <v>0</v>
      </c>
      <c r="BJ104" s="117" t="n">
        <f aca="false">SUMIFS(الريسبي!$C$2:$C$1800,الريسبي!$A$2:$A$1800,$A104,الريسبي!$B$2:$B$1800,BJ$1)</f>
        <v>0</v>
      </c>
      <c r="BK104" s="117" t="n">
        <f aca="false">SUMIFS(الريسبي!$C$2:$C$1800,الريسبي!$A$2:$A$1800,$A104,الريسبي!$B$2:$B$1800,BK$1)</f>
        <v>0</v>
      </c>
      <c r="BL104" s="117" t="n">
        <f aca="false">SUMIFS(الريسبي!$C$2:$C$1800,الريسبي!$A$2:$A$1800,$A104,الريسبي!$B$2:$B$1800,BL$1)</f>
        <v>0</v>
      </c>
      <c r="BM104" s="117" t="n">
        <f aca="false">SUMIFS(الريسبي!$C$2:$C$1800,الريسبي!$A$2:$A$1800,$A104,الريسبي!$B$2:$B$1800,BM$1)</f>
        <v>0</v>
      </c>
      <c r="BN104" s="117" t="n">
        <f aca="false">SUMIFS(الريسبي!$C$2:$C$1800,الريسبي!$A$2:$A$1800,$A104,الريسبي!$B$2:$B$1800,BN$1)</f>
        <v>0.03</v>
      </c>
      <c r="BO104" s="117" t="n">
        <f aca="false">SUMIFS(الريسبي!$C$2:$C$1800,الريسبي!$A$2:$A$1800,$A104,الريسبي!$B$2:$B$1800,BO$1)</f>
        <v>0</v>
      </c>
      <c r="BP104" s="117" t="n">
        <f aca="false">SUMIFS(الريسبي!$C$2:$C$1800,الريسبي!$A$2:$A$1800,$A104,الريسبي!$B$2:$B$1800,BP$1)</f>
        <v>3</v>
      </c>
      <c r="BQ104" s="117" t="n">
        <f aca="false">SUMIFS(الريسبي!$C$2:$C$1800,الريسبي!$A$2:$A$1800,$A104,الريسبي!$B$2:$B$1800,BQ$1)+0.17*SUMIFS(الريسبي!$C$2:$C$1800,الريسبي!$A$2:$A$1800,$A104,الريسبي!$B$2:$B$1800,"كاسترد مصنع (خليط بودر + لبن)")+0.17*SUMIFS(الريسبي!$C$2:$C$1800,الريسبي!$A$2:$A$1800,$A104,الريسبي!$B$2:$B$1800,"كاسترد مصنع صيامي (بدون لبن)")</f>
        <v>0</v>
      </c>
      <c r="BR104" s="117" t="n">
        <f aca="false">SUMIFS(الريسبي!$C$2:$C$1800,الريسبي!$A$2:$A$1800,$A104,الريسبي!$B$2:$B$1800,BR$1)</f>
        <v>1</v>
      </c>
      <c r="BS104" s="117" t="n">
        <f aca="false">SUMIFS(الريسبي!$C$2:$C$1800,الريسبي!$A$2:$A$1800,$A104,الريسبي!$B$2:$B$1800,BS$1)</f>
        <v>0</v>
      </c>
      <c r="BT104" s="117" t="n">
        <f aca="false">SUMIFS(الريسبي!$C$2:$C$1800,الريسبي!$A$2:$A$1800,$A104,الريسبي!$B$2:$B$1800,BT$1)</f>
        <v>0</v>
      </c>
      <c r="BU104" s="117" t="n">
        <f aca="false">SUMIFS(الريسبي!$C$2:$C$1800,الريسبي!$A$2:$A$1800,$A104,الريسبي!$B$2:$B$1800,BU$1)+0.4*SUMIFS(الريسبي!$C$2:$C$1800,الريسبي!$A$2:$A$1800,$A104,الريسبي!$B$2:$B$1800,"كاسترد مصنع (خليط بودر + لبن)")+0.03333333333*SUMIFS(الريسبي!$C$2:$C$1800,الريسبي!$A$2:$A$1800,$A104,الريسبي!$B$2:$B$1800,"عجين كريب (مصنع بالمطعم)")</f>
        <v>0</v>
      </c>
      <c r="BV104" s="117" t="n">
        <f aca="false">SUMIFS(الريسبي!$C$2:$C$1800,الريسبي!$A$2:$A$1800,$A104,الريسبي!$B$2:$B$1800,BV$1)</f>
        <v>0</v>
      </c>
      <c r="BW104" s="117" t="n">
        <f aca="false">SUMIFS(الريسبي!$C$2:$C$1800,الريسبي!$A$2:$A$1800,$A104,الريسبي!$B$2:$B$1800,BW$1)</f>
        <v>0</v>
      </c>
      <c r="BX104" s="117" t="n">
        <f aca="false">SUMIFS(الريسبي!$C$2:$C$1800,الريسبي!$A$2:$A$1800,$A104,الريسبي!$B$2:$B$1800,BX$1)</f>
        <v>0</v>
      </c>
      <c r="BY104" s="117" t="n">
        <f aca="false">SUMIFS(الريسبي!$C$2:$C$1800,الريسبي!$A$2:$A$1800,$A104,الريسبي!$B$2:$B$1800,BY$1)</f>
        <v>0</v>
      </c>
      <c r="BZ104" s="117" t="n">
        <f aca="false">SUMIFS(الريسبي!$C$2:$C$1800,الريسبي!$A$2:$A$1800,$A104,الريسبي!$B$2:$B$1800,BZ$1)</f>
        <v>0</v>
      </c>
      <c r="CA104" s="117" t="n">
        <f aca="false">SUMIFS(الريسبي!$C$2:$C$1800,الريسبي!$A$2:$A$1800,$A104,الريسبي!$B$2:$B$1800,CA$1)</f>
        <v>1</v>
      </c>
      <c r="CB104" s="117" t="n">
        <f aca="false">SUMIFS(الريسبي!$C$2:$C$1800,الريسبي!$A$2:$A$1800,$A104,الريسبي!$B$2:$B$1800,CB$1)</f>
        <v>1</v>
      </c>
      <c r="CC104" s="117" t="n">
        <f aca="false">SUMIFS(الريسبي!$C$2:$C$1800,الريسبي!$A$2:$A$1800,$A104,الريسبي!$B$2:$B$1800,CC$1)</f>
        <v>0</v>
      </c>
      <c r="CD104" s="117" t="n">
        <f aca="false">SUMIFS(الريسبي!$C$2:$C$1800,الريسبي!$A$2:$A$1800,$A104,الريسبي!$B$2:$B$1800,CD$1)</f>
        <v>0</v>
      </c>
      <c r="CE104" s="117" t="n">
        <f aca="false">SUMIFS(الريسبي!$C$2:$C$1800,الريسبي!$A$2:$A$1800,$A104,الريسبي!$B$2:$B$1800,CE$1)</f>
        <v>0</v>
      </c>
      <c r="CF104" s="117" t="n">
        <f aca="false">SUMIFS(الريسبي!$C$2:$C$1800,الريسبي!$A$2:$A$1800,$A104,الريسبي!$B$2:$B$1800,CF$1)</f>
        <v>0</v>
      </c>
      <c r="CG104" s="117" t="n">
        <f aca="false">SUMIFS(الريسبي!$C$2:$C$1800,الريسبي!$A$2:$A$1800,$A104,الريسبي!$B$2:$B$1800,CG$1)</f>
        <v>0</v>
      </c>
      <c r="CH104" s="117" t="n">
        <f aca="false">SUMIFS(الريسبي!$C$2:$C$1800,الريسبي!$A$2:$A$1800,$A104,الريسبي!$B$2:$B$1800,CH$1)</f>
        <v>0</v>
      </c>
      <c r="CI104" s="117" t="n">
        <f aca="false">SUMIFS(الريسبي!$C$2:$C$1800,الريسبي!$A$2:$A$1800,$A104,الريسبي!$B$2:$B$1800,CI$1)</f>
        <v>0</v>
      </c>
      <c r="CJ104" s="117" t="n">
        <f aca="false">SUMIFS(الريسبي!$C$2:$C$1800,الريسبي!$A$2:$A$1800,$A104,الريسبي!$B$2:$B$1800,CJ$1)</f>
        <v>0</v>
      </c>
      <c r="CK104" s="117" t="n">
        <f aca="false">SUMIFS(الريسبي!$C$2:$C$1800,الريسبي!$A$2:$A$1800,$A104,الريسبي!$B$2:$B$1800,CK$1)</f>
        <v>0</v>
      </c>
      <c r="CL104" s="117" t="n">
        <f aca="false">SUMIFS(الريسبي!$C$2:$C$1800,الريسبي!$A$2:$A$1800,$A104,الريسبي!$B$2:$B$1800,CL$1)</f>
        <v>0</v>
      </c>
    </row>
    <row r="105" customFormat="false" ht="15" hidden="false" customHeight="false" outlineLevel="0" collapsed="false">
      <c r="A105" s="116" t="str">
        <f aca="false">المنيو!B105</f>
        <v>فطيرة فراخ باربيكيو صيامي وسط</v>
      </c>
      <c r="B105" s="117" t="n">
        <f aca="false">SUMIFS(الريسبي!$C$2:$C$1800,الريسبي!$A$2:$A$1800,$A105,الريسبي!$B$2:$B$1800,B$1)</f>
        <v>0</v>
      </c>
      <c r="C105" s="117" t="n">
        <f aca="false">SUMIFS(الريسبي!$C$2:$C$1800,الريسبي!$A$2:$A$1800,$A105,الريسبي!$B$2:$B$1800,C$1)</f>
        <v>0</v>
      </c>
      <c r="D105" s="117" t="n">
        <f aca="false">SUMIFS(الريسبي!$C$2:$C$1800,الريسبي!$A$2:$A$1800,$A105,الريسبي!$B$2:$B$1800,D$1)</f>
        <v>1</v>
      </c>
      <c r="E105" s="117" t="n">
        <f aca="false">SUMIFS(الريسبي!$C$2:$C$1800,الريسبي!$A$2:$A$1800,$A105,الريسبي!$B$2:$B$1800,E$1)</f>
        <v>0</v>
      </c>
      <c r="F105" s="117" t="n">
        <f aca="false">SUMIFS(الريسبي!$C$2:$C$1800,الريسبي!$A$2:$A$1800,$A105,الريسبي!$B$2:$B$1800,F$1)</f>
        <v>0</v>
      </c>
      <c r="G105" s="117" t="n">
        <f aca="false">SUMIFS(الريسبي!$C$2:$C$1800,الريسبي!$A$2:$A$1800,$A105,الريسبي!$B$2:$B$1800,G$1)</f>
        <v>0</v>
      </c>
      <c r="H105" s="117" t="n">
        <f aca="false">SUMIFS(الريسبي!$C$2:$C$1800,الريسبي!$A$2:$A$1800,$A105,الريسبي!$B$2:$B$1800,H$1)</f>
        <v>0</v>
      </c>
      <c r="I105" s="117" t="n">
        <f aca="false">SUMIFS(الريسبي!$C$2:$C$1800,الريسبي!$A$2:$A$1800,$A105,الريسبي!$B$2:$B$1800,I$1)</f>
        <v>0</v>
      </c>
      <c r="J105" s="117" t="n">
        <f aca="false">SUMIFS(الريسبي!$C$2:$C$1800,الريسبي!$A$2:$A$1800,$A105,الريسبي!$B$2:$B$1800,J$1)</f>
        <v>0</v>
      </c>
      <c r="K105" s="117" t="n">
        <f aca="false">SUMIFS(الريسبي!$C$2:$C$1800,الريسبي!$A$2:$A$1800,$A105,الريسبي!$B$2:$B$1800,K$1)</f>
        <v>0</v>
      </c>
      <c r="L105" s="117" t="n">
        <f aca="false">SUMIFS(الريسبي!$C$2:$C$1800,الريسبي!$A$2:$A$1800,$A105,الريسبي!$B$2:$B$1800,L$1)</f>
        <v>0</v>
      </c>
      <c r="M105" s="117" t="n">
        <f aca="false">SUMIFS(الريسبي!$C$2:$C$1800,الريسبي!$A$2:$A$1800,$A105,الريسبي!$B$2:$B$1800,M$1)</f>
        <v>0</v>
      </c>
      <c r="N105" s="117" t="n">
        <f aca="false">SUMIFS(الريسبي!$C$2:$C$1800,الريسبي!$A$2:$A$1800,$A105,الريسبي!$B$2:$B$1800,N$1)</f>
        <v>0</v>
      </c>
      <c r="O105" s="117" t="n">
        <f aca="false">SUMIFS(الريسبي!$C$2:$C$1800,الريسبي!$A$2:$A$1800,$A105,الريسبي!$B$2:$B$1800,O$1)</f>
        <v>0</v>
      </c>
      <c r="P105" s="117" t="n">
        <f aca="false">SUMIFS(الريسبي!$C$2:$C$1800,الريسبي!$A$2:$A$1800,$A105,الريسبي!$B$2:$B$1800,P$1)</f>
        <v>0</v>
      </c>
      <c r="Q105" s="117" t="n">
        <f aca="false">SUMIFS(الريسبي!$C$2:$C$1800,الريسبي!$A$2:$A$1800,$A105,الريسبي!$B$2:$B$1800,Q$1)</f>
        <v>0</v>
      </c>
      <c r="R105" s="117" t="n">
        <f aca="false">SUMIFS(الريسبي!$C$2:$C$1800,الريسبي!$A$2:$A$1800,$A105,الريسبي!$B$2:$B$1800,R$1)</f>
        <v>0</v>
      </c>
      <c r="S105" s="117" t="n">
        <f aca="false">SUMIFS(الريسبي!$C$2:$C$1800,الريسبي!$A$2:$A$1800,$A105,الريسبي!$B$2:$B$1800,S$1)</f>
        <v>0</v>
      </c>
      <c r="T105" s="117" t="n">
        <f aca="false">SUMIFS(الريسبي!$C$2:$C$1800,الريسبي!$A$2:$A$1800,$A105,الريسبي!$B$2:$B$1800,T$1)</f>
        <v>0</v>
      </c>
      <c r="U105" s="117" t="n">
        <f aca="false">SUMIFS(الريسبي!$C$2:$C$1800,الريسبي!$A$2:$A$1800,$A105,الريسبي!$B$2:$B$1800,U$1)</f>
        <v>0</v>
      </c>
      <c r="V105" s="117" t="n">
        <f aca="false">SUMIFS(الريسبي!$C$2:$C$1800,الريسبي!$A$2:$A$1800,$A105,الريسبي!$B$2:$B$1800,V$1)</f>
        <v>0</v>
      </c>
      <c r="W105" s="117" t="n">
        <f aca="false">SUMIFS(الريسبي!$C$2:$C$1800,الريسبي!$A$2:$A$1800,$A105,الريسبي!$B$2:$B$1800,W$1)</f>
        <v>0</v>
      </c>
      <c r="X105" s="117" t="n">
        <f aca="false">SUMIFS(الريسبي!$C$2:$C$1800,الريسبي!$A$2:$A$1800,$A105,الريسبي!$B$2:$B$1800,X$1)</f>
        <v>1</v>
      </c>
      <c r="Y105" s="117" t="n">
        <f aca="false">SUMIFS(الريسبي!$C$2:$C$1800,الريسبي!$A$2:$A$1800,$A105,الريسبي!$B$2:$B$1800,Y$1)</f>
        <v>0</v>
      </c>
      <c r="Z105" s="117" t="n">
        <f aca="false">SUMIFS(الريسبي!$C$2:$C$1800,الريسبي!$A$2:$A$1800,$A105,الريسبي!$B$2:$B$1800,Z$1)</f>
        <v>0</v>
      </c>
      <c r="AA105" s="117" t="n">
        <f aca="false">SUMIFS(الريسبي!$C$2:$C$1800,الريسبي!$A$2:$A$1800,$A105,الريسبي!$B$2:$B$1800,AA$1)</f>
        <v>0</v>
      </c>
      <c r="AB105" s="117" t="n">
        <f aca="false">SUMIFS(الريسبي!$C$2:$C$1800,الريسبي!$A$2:$A$1800,$A105,الريسبي!$B$2:$B$1800,AB$1)</f>
        <v>0</v>
      </c>
      <c r="AC105" s="117" t="n">
        <f aca="false">SUMIFS(الريسبي!$C$2:$C$1800,الريسبي!$A$2:$A$1800,$A105,الريسبي!$B$2:$B$1800,AC$1)</f>
        <v>0</v>
      </c>
      <c r="AD105" s="117" t="n">
        <f aca="false">SUMIFS(الريسبي!$C$2:$C$1800,الريسبي!$A$2:$A$1800,$A105,الريسبي!$B$2:$B$1800,AD$1)</f>
        <v>0</v>
      </c>
      <c r="AE105" s="117" t="n">
        <f aca="false">SUMIFS(الريسبي!$C$2:$C$1800,الريسبي!$A$2:$A$1800,$A105,الريسبي!$B$2:$B$1800,AE$1)</f>
        <v>0</v>
      </c>
      <c r="AF105" s="117" t="n">
        <f aca="false">SUMIFS(الريسبي!$C$2:$C$1800,الريسبي!$A$2:$A$1800,$A105,الريسبي!$B$2:$B$1800,AF$1)</f>
        <v>0</v>
      </c>
      <c r="AG105" s="117" t="n">
        <f aca="false">SUMIFS(الريسبي!$C$2:$C$1800,الريسبي!$A$2:$A$1800,$A105,الريسبي!$B$2:$B$1800,AG$1)</f>
        <v>0</v>
      </c>
      <c r="AH105" s="117" t="n">
        <f aca="false">SUMIFS(الريسبي!$C$2:$C$1800,الريسبي!$A$2:$A$1800,$A105,الريسبي!$B$2:$B$1800,AH$1)</f>
        <v>0</v>
      </c>
      <c r="AI105" s="117" t="n">
        <f aca="false">SUMIFS(الريسبي!$C$2:$C$1800,الريسبي!$A$2:$A$1800,$A105,الريسبي!$B$2:$B$1800,AI$1)</f>
        <v>0</v>
      </c>
      <c r="AJ105" s="117" t="n">
        <f aca="false">SUMIFS(الريسبي!$C$2:$C$1800,الريسبي!$A$2:$A$1800,$A105,الريسبي!$B$2:$B$1800,AJ$1)</f>
        <v>2</v>
      </c>
      <c r="AK105" s="117" t="n">
        <f aca="false">SUMIFS(الريسبي!$C$2:$C$1800,الريسبي!$A$2:$A$1800,$A105,الريسبي!$B$2:$B$1800,AK$1)</f>
        <v>0</v>
      </c>
      <c r="AL105" s="117" t="n">
        <f aca="false">SUMIFS(الريسبي!$C$2:$C$1800,الريسبي!$A$2:$A$1800,$A105,الريسبي!$B$2:$B$1800,AL$1)</f>
        <v>0</v>
      </c>
      <c r="AM105" s="117" t="n">
        <f aca="false">SUMIFS(الريسبي!$C$2:$C$1800,الريسبي!$A$2:$A$1800,$A105,الريسبي!$B$2:$B$1800,AM$1)+0.08333333333*SUMIFS(الريسبي!$C$2:$C$1800,الريسبي!$A$2:$A$1800,$A105,الريسبي!$B$2:$B$1800,"عجين كريب (مصنع بالمطعم)")+0.08333333333*SUMIFS(الريسبي!$C$2:$C$1800,الريسبي!$A$2:$A$1800,$A105,الريسبي!$B$2:$B$1800,"عجين كريب صيامي (بدون لبن)")</f>
        <v>0</v>
      </c>
      <c r="AN105" s="117" t="n">
        <f aca="false">SUMIFS(الريسبي!$C$2:$C$1800,الريسبي!$A$2:$A$1800,$A105,الريسبي!$B$2:$B$1800,AN$1)+0.004166666667*SUMIFS(الريسبي!$C$2:$C$1800,الريسبي!$A$2:$A$1800,$A105,الريسبي!$B$2:$B$1800,"عجين كريب (مصنع بالمطعم)")+0.004166666667*SUMIFS(الريسبي!$C$2:$C$1800,الريسبي!$A$2:$A$1800,$A105,الريسبي!$B$2:$B$1800,"عجين كريب صيامي (بدون لبن)")</f>
        <v>0</v>
      </c>
      <c r="AO105" s="117" t="n">
        <f aca="false">SUMIFS(الريسبي!$C$2:$C$1800,الريسبي!$A$2:$A$1800,$A105,الريسبي!$B$2:$B$1800,AO$1)</f>
        <v>0</v>
      </c>
      <c r="AP105" s="117" t="n">
        <f aca="false">SUMIFS(الريسبي!$C$2:$C$1800,الريسبي!$A$2:$A$1800,$A105,الريسبي!$B$2:$B$1800,AP$1)</f>
        <v>0.02</v>
      </c>
      <c r="AQ105" s="117" t="n">
        <f aca="false">SUMIFS(الريسبي!$C$2:$C$1800,الريسبي!$A$2:$A$1800,$A105,الريسبي!$B$2:$B$1800,AQ$1)+0.004166666667*SUMIFS(الريسبي!$C$2:$C$1800,الريسبي!$A$2:$A$1800,$A105,الريسبي!$B$2:$B$1800,"عجين كريب (مصنع بالمطعم)")+0.004166666667*SUMIFS(الريسبي!$C$2:$C$1800,الريسبي!$A$2:$A$1800,$A105,الريسبي!$B$2:$B$1800,"عجين كريب صيامي (بدون لبن)")</f>
        <v>0</v>
      </c>
      <c r="AR105" s="117" t="n">
        <f aca="false">SUMIFS(الريسبي!$C$2:$C$1800,الريسبي!$A$2:$A$1800,$A105,الريسبي!$B$2:$B$1800,AR$1)</f>
        <v>0</v>
      </c>
      <c r="AS105" s="117" t="n">
        <f aca="false">SUMIFS(الريسبي!$C$2:$C$1800,الريسبي!$A$2:$A$1800,$A105,الريسبي!$B$2:$B$1800,AS$1)</f>
        <v>0</v>
      </c>
      <c r="AT105" s="117" t="n">
        <f aca="false">SUMIFS(الريسبي!$C$2:$C$1800,الريسبي!$A$2:$A$1800,$A105,الريسبي!$B$2:$B$1800,AT$1)</f>
        <v>0</v>
      </c>
      <c r="AU105" s="117" t="n">
        <f aca="false">SUMIFS(الريسبي!$C$2:$C$1800,الريسبي!$A$2:$A$1800,$A105,الريسبي!$B$2:$B$1800,AU$1)</f>
        <v>0</v>
      </c>
      <c r="AV105" s="117" t="n">
        <f aca="false">SUMIFS(الريسبي!$C$2:$C$1800,الريسبي!$A$2:$A$1800,$A105,الريسبي!$B$2:$B$1800,AV$1)</f>
        <v>0</v>
      </c>
      <c r="AW105" s="117" t="n">
        <f aca="false">SUMIFS(الريسبي!$C$2:$C$1800,الريسبي!$A$2:$A$1800,$A105,الريسبي!$B$2:$B$1800,AW$1)</f>
        <v>0</v>
      </c>
      <c r="AX105" s="117" t="n">
        <f aca="false">SUMIFS(الريسبي!$C$2:$C$1800,الريسبي!$A$2:$A$1800,$A105,الريسبي!$B$2:$B$1800,AX$1)</f>
        <v>0</v>
      </c>
      <c r="AY105" s="117" t="n">
        <f aca="false">SUMIFS(الريسبي!$C$2:$C$1800,الريسبي!$A$2:$A$1800,$A105,الريسبي!$B$2:$B$1800,AY$1)</f>
        <v>0.1</v>
      </c>
      <c r="AZ105" s="117" t="n">
        <f aca="false">SUMIFS(الريسبي!$C$2:$C$1800,الريسبي!$A$2:$A$1800,$A105,الريسبي!$B$2:$B$1800,AZ$1)</f>
        <v>0</v>
      </c>
      <c r="BA105" s="117" t="n">
        <f aca="false">SUMIFS(الريسبي!$C$2:$C$1800,الريسبي!$A$2:$A$1800,$A105,الريسبي!$B$2:$B$1800,BA$1)</f>
        <v>0</v>
      </c>
      <c r="BB105" s="117" t="n">
        <f aca="false">SUMIFS(الريسبي!$C$2:$C$1800,الريسبي!$A$2:$A$1800,$A105,الريسبي!$B$2:$B$1800,BB$1)</f>
        <v>0</v>
      </c>
      <c r="BC105" s="117" t="n">
        <f aca="false">SUMIFS(الريسبي!$C$2:$C$1800,الريسبي!$A$2:$A$1800,$A105,الريسبي!$B$2:$B$1800,BC$1)</f>
        <v>0.03</v>
      </c>
      <c r="BD105" s="117" t="n">
        <f aca="false">SUMIFS(الريسبي!$C$2:$C$1800,الريسبي!$A$2:$A$1800,$A105,الريسبي!$B$2:$B$1800,BD$1)</f>
        <v>0</v>
      </c>
      <c r="BE105" s="117" t="n">
        <f aca="false">SUMIFS(الريسبي!$C$2:$C$1800,الريسبي!$A$2:$A$1800,$A105,الريسبي!$B$2:$B$1800,BE$1)</f>
        <v>1</v>
      </c>
      <c r="BF105" s="117" t="n">
        <f aca="false">SUMIFS(الريسبي!$C$2:$C$1800,الريسبي!$A$2:$A$1800,$A105,الريسبي!$B$2:$B$1800,BF$1)</f>
        <v>0</v>
      </c>
      <c r="BG105" s="117" t="n">
        <f aca="false">SUMIFS(الريسبي!$C$2:$C$1800,الريسبي!$A$2:$A$1800,$A105,الريسبي!$B$2:$B$1800,BG$1)</f>
        <v>0</v>
      </c>
      <c r="BH105" s="117" t="n">
        <f aca="false">SUMIFS(الريسبي!$C$2:$C$1800,الريسبي!$A$2:$A$1800,$A105,الريسبي!$B$2:$B$1800,BH$1)</f>
        <v>1</v>
      </c>
      <c r="BI105" s="117" t="n">
        <f aca="false">SUMIFS(الريسبي!$C$2:$C$1800,الريسبي!$A$2:$A$1800,$A105,الريسبي!$B$2:$B$1800,BI$1)</f>
        <v>0</v>
      </c>
      <c r="BJ105" s="117" t="n">
        <f aca="false">SUMIFS(الريسبي!$C$2:$C$1800,الريسبي!$A$2:$A$1800,$A105,الريسبي!$B$2:$B$1800,BJ$1)</f>
        <v>0</v>
      </c>
      <c r="BK105" s="117" t="n">
        <f aca="false">SUMIFS(الريسبي!$C$2:$C$1800,الريسبي!$A$2:$A$1800,$A105,الريسبي!$B$2:$B$1800,BK$1)</f>
        <v>0</v>
      </c>
      <c r="BL105" s="117" t="n">
        <f aca="false">SUMIFS(الريسبي!$C$2:$C$1800,الريسبي!$A$2:$A$1800,$A105,الريسبي!$B$2:$B$1800,BL$1)</f>
        <v>0</v>
      </c>
      <c r="BM105" s="117" t="n">
        <f aca="false">SUMIFS(الريسبي!$C$2:$C$1800,الريسبي!$A$2:$A$1800,$A105,الريسبي!$B$2:$B$1800,BM$1)</f>
        <v>0.14</v>
      </c>
      <c r="BN105" s="117" t="n">
        <f aca="false">SUMIFS(الريسبي!$C$2:$C$1800,الريسبي!$A$2:$A$1800,$A105,الريسبي!$B$2:$B$1800,BN$1)</f>
        <v>0.02</v>
      </c>
      <c r="BO105" s="117" t="n">
        <f aca="false">SUMIFS(الريسبي!$C$2:$C$1800,الريسبي!$A$2:$A$1800,$A105,الريسبي!$B$2:$B$1800,BO$1)</f>
        <v>0</v>
      </c>
      <c r="BP105" s="117" t="n">
        <f aca="false">SUMIFS(الريسبي!$C$2:$C$1800,الريسبي!$A$2:$A$1800,$A105,الريسبي!$B$2:$B$1800,BP$1)</f>
        <v>2</v>
      </c>
      <c r="BQ105" s="117" t="n">
        <f aca="false">SUMIFS(الريسبي!$C$2:$C$1800,الريسبي!$A$2:$A$1800,$A105,الريسبي!$B$2:$B$1800,BQ$1)+0.17*SUMIFS(الريسبي!$C$2:$C$1800,الريسبي!$A$2:$A$1800,$A105,الريسبي!$B$2:$B$1800,"كاسترد مصنع (خليط بودر + لبن)")+0.17*SUMIFS(الريسبي!$C$2:$C$1800,الريسبي!$A$2:$A$1800,$A105,الريسبي!$B$2:$B$1800,"كاسترد مصنع صيامي (بدون لبن)")</f>
        <v>0</v>
      </c>
      <c r="BR105" s="117" t="n">
        <f aca="false">SUMIFS(الريسبي!$C$2:$C$1800,الريسبي!$A$2:$A$1800,$A105,الريسبي!$B$2:$B$1800,BR$1)</f>
        <v>1</v>
      </c>
      <c r="BS105" s="117" t="n">
        <f aca="false">SUMIFS(الريسبي!$C$2:$C$1800,الريسبي!$A$2:$A$1800,$A105,الريسبي!$B$2:$B$1800,BS$1)</f>
        <v>0</v>
      </c>
      <c r="BT105" s="117" t="n">
        <f aca="false">SUMIFS(الريسبي!$C$2:$C$1800,الريسبي!$A$2:$A$1800,$A105,الريسبي!$B$2:$B$1800,BT$1)</f>
        <v>0</v>
      </c>
      <c r="BU105" s="117" t="n">
        <f aca="false">SUMIFS(الريسبي!$C$2:$C$1800,الريسبي!$A$2:$A$1800,$A105,الريسبي!$B$2:$B$1800,BU$1)+0.4*SUMIFS(الريسبي!$C$2:$C$1800,الريسبي!$A$2:$A$1800,$A105,الريسبي!$B$2:$B$1800,"كاسترد مصنع (خليط بودر + لبن)")+0.03333333333*SUMIFS(الريسبي!$C$2:$C$1800,الريسبي!$A$2:$A$1800,$A105,الريسبي!$B$2:$B$1800,"عجين كريب (مصنع بالمطعم)")</f>
        <v>0</v>
      </c>
      <c r="BV105" s="117" t="n">
        <f aca="false">SUMIFS(الريسبي!$C$2:$C$1800,الريسبي!$A$2:$A$1800,$A105,الريسبي!$B$2:$B$1800,BV$1)</f>
        <v>0</v>
      </c>
      <c r="BW105" s="117" t="n">
        <f aca="false">SUMIFS(الريسبي!$C$2:$C$1800,الريسبي!$A$2:$A$1800,$A105,الريسبي!$B$2:$B$1800,BW$1)</f>
        <v>0</v>
      </c>
      <c r="BX105" s="117" t="n">
        <f aca="false">SUMIFS(الريسبي!$C$2:$C$1800,الريسبي!$A$2:$A$1800,$A105,الريسبي!$B$2:$B$1800,BX$1)</f>
        <v>0</v>
      </c>
      <c r="BY105" s="117" t="n">
        <f aca="false">SUMIFS(الريسبي!$C$2:$C$1800,الريسبي!$A$2:$A$1800,$A105,الريسبي!$B$2:$B$1800,BY$1)</f>
        <v>0</v>
      </c>
      <c r="BZ105" s="117" t="n">
        <f aca="false">SUMIFS(الريسبي!$C$2:$C$1800,الريسبي!$A$2:$A$1800,$A105,الريسبي!$B$2:$B$1800,BZ$1)</f>
        <v>0</v>
      </c>
      <c r="CA105" s="117" t="n">
        <f aca="false">SUMIFS(الريسبي!$C$2:$C$1800,الريسبي!$A$2:$A$1800,$A105,الريسبي!$B$2:$B$1800,CA$1)</f>
        <v>1</v>
      </c>
      <c r="CB105" s="117" t="n">
        <f aca="false">SUMIFS(الريسبي!$C$2:$C$1800,الريسبي!$A$2:$A$1800,$A105,الريسبي!$B$2:$B$1800,CB$1)</f>
        <v>1</v>
      </c>
      <c r="CC105" s="117" t="n">
        <f aca="false">SUMIFS(الريسبي!$C$2:$C$1800,الريسبي!$A$2:$A$1800,$A105,الريسبي!$B$2:$B$1800,CC$1)</f>
        <v>0</v>
      </c>
      <c r="CD105" s="117" t="n">
        <f aca="false">SUMIFS(الريسبي!$C$2:$C$1800,الريسبي!$A$2:$A$1800,$A105,الريسبي!$B$2:$B$1800,CD$1)</f>
        <v>0</v>
      </c>
      <c r="CE105" s="117" t="n">
        <f aca="false">SUMIFS(الريسبي!$C$2:$C$1800,الريسبي!$A$2:$A$1800,$A105,الريسبي!$B$2:$B$1800,CE$1)</f>
        <v>0</v>
      </c>
      <c r="CF105" s="117" t="n">
        <f aca="false">SUMIFS(الريسبي!$C$2:$C$1800,الريسبي!$A$2:$A$1800,$A105,الريسبي!$B$2:$B$1800,CF$1)</f>
        <v>0</v>
      </c>
      <c r="CG105" s="117" t="n">
        <f aca="false">SUMIFS(الريسبي!$C$2:$C$1800,الريسبي!$A$2:$A$1800,$A105,الريسبي!$B$2:$B$1800,CG$1)</f>
        <v>0</v>
      </c>
      <c r="CH105" s="117" t="n">
        <f aca="false">SUMIFS(الريسبي!$C$2:$C$1800,الريسبي!$A$2:$A$1800,$A105,الريسبي!$B$2:$B$1800,CH$1)</f>
        <v>0</v>
      </c>
      <c r="CI105" s="117" t="n">
        <f aca="false">SUMIFS(الريسبي!$C$2:$C$1800,الريسبي!$A$2:$A$1800,$A105,الريسبي!$B$2:$B$1800,CI$1)</f>
        <v>0</v>
      </c>
      <c r="CJ105" s="117" t="n">
        <f aca="false">SUMIFS(الريسبي!$C$2:$C$1800,الريسبي!$A$2:$A$1800,$A105,الريسبي!$B$2:$B$1800,CJ$1)</f>
        <v>0</v>
      </c>
      <c r="CK105" s="117" t="n">
        <f aca="false">SUMIFS(الريسبي!$C$2:$C$1800,الريسبي!$A$2:$A$1800,$A105,الريسبي!$B$2:$B$1800,CK$1)</f>
        <v>0</v>
      </c>
      <c r="CL105" s="117" t="n">
        <f aca="false">SUMIFS(الريسبي!$C$2:$C$1800,الريسبي!$A$2:$A$1800,$A105,الريسبي!$B$2:$B$1800,CL$1)</f>
        <v>0</v>
      </c>
    </row>
    <row r="106" customFormat="false" ht="15" hidden="false" customHeight="false" outlineLevel="0" collapsed="false">
      <c r="A106" s="116" t="str">
        <f aca="false">المنيو!B106</f>
        <v>فطيرة فراخ باربيكيو صيامي مخصوص</v>
      </c>
      <c r="B106" s="117" t="n">
        <f aca="false">SUMIFS(الريسبي!$C$2:$C$1800,الريسبي!$A$2:$A$1800,$A106,الريسبي!$B$2:$B$1800,B$1)</f>
        <v>0</v>
      </c>
      <c r="C106" s="117" t="n">
        <f aca="false">SUMIFS(الريسبي!$C$2:$C$1800,الريسبي!$A$2:$A$1800,$A106,الريسبي!$B$2:$B$1800,C$1)</f>
        <v>0</v>
      </c>
      <c r="D106" s="117" t="n">
        <f aca="false">SUMIFS(الريسبي!$C$2:$C$1800,الريسبي!$A$2:$A$1800,$A106,الريسبي!$B$2:$B$1800,D$1)</f>
        <v>1</v>
      </c>
      <c r="E106" s="117" t="n">
        <f aca="false">SUMIFS(الريسبي!$C$2:$C$1800,الريسبي!$A$2:$A$1800,$A106,الريسبي!$B$2:$B$1800,E$1)</f>
        <v>0</v>
      </c>
      <c r="F106" s="117" t="n">
        <f aca="false">SUMIFS(الريسبي!$C$2:$C$1800,الريسبي!$A$2:$A$1800,$A106,الريسبي!$B$2:$B$1800,F$1)</f>
        <v>0</v>
      </c>
      <c r="G106" s="117" t="n">
        <f aca="false">SUMIFS(الريسبي!$C$2:$C$1800,الريسبي!$A$2:$A$1800,$A106,الريسبي!$B$2:$B$1800,G$1)</f>
        <v>0</v>
      </c>
      <c r="H106" s="117" t="n">
        <f aca="false">SUMIFS(الريسبي!$C$2:$C$1800,الريسبي!$A$2:$A$1800,$A106,الريسبي!$B$2:$B$1800,H$1)</f>
        <v>0</v>
      </c>
      <c r="I106" s="117" t="n">
        <f aca="false">SUMIFS(الريسبي!$C$2:$C$1800,الريسبي!$A$2:$A$1800,$A106,الريسبي!$B$2:$B$1800,I$1)</f>
        <v>0</v>
      </c>
      <c r="J106" s="117" t="n">
        <f aca="false">SUMIFS(الريسبي!$C$2:$C$1800,الريسبي!$A$2:$A$1800,$A106,الريسبي!$B$2:$B$1800,J$1)</f>
        <v>0</v>
      </c>
      <c r="K106" s="117" t="n">
        <f aca="false">SUMIFS(الريسبي!$C$2:$C$1800,الريسبي!$A$2:$A$1800,$A106,الريسبي!$B$2:$B$1800,K$1)</f>
        <v>0</v>
      </c>
      <c r="L106" s="117" t="n">
        <f aca="false">SUMIFS(الريسبي!$C$2:$C$1800,الريسبي!$A$2:$A$1800,$A106,الريسبي!$B$2:$B$1800,L$1)</f>
        <v>0</v>
      </c>
      <c r="M106" s="117" t="n">
        <f aca="false">SUMIFS(الريسبي!$C$2:$C$1800,الريسبي!$A$2:$A$1800,$A106,الريسبي!$B$2:$B$1800,M$1)</f>
        <v>0</v>
      </c>
      <c r="N106" s="117" t="n">
        <f aca="false">SUMIFS(الريسبي!$C$2:$C$1800,الريسبي!$A$2:$A$1800,$A106,الريسبي!$B$2:$B$1800,N$1)</f>
        <v>0</v>
      </c>
      <c r="O106" s="117" t="n">
        <f aca="false">SUMIFS(الريسبي!$C$2:$C$1800,الريسبي!$A$2:$A$1800,$A106,الريسبي!$B$2:$B$1800,O$1)</f>
        <v>0</v>
      </c>
      <c r="P106" s="117" t="n">
        <f aca="false">SUMIFS(الريسبي!$C$2:$C$1800,الريسبي!$A$2:$A$1800,$A106,الريسبي!$B$2:$B$1800,P$1)</f>
        <v>0</v>
      </c>
      <c r="Q106" s="117" t="n">
        <f aca="false">SUMIFS(الريسبي!$C$2:$C$1800,الريسبي!$A$2:$A$1800,$A106,الريسبي!$B$2:$B$1800,Q$1)</f>
        <v>0</v>
      </c>
      <c r="R106" s="117" t="n">
        <f aca="false">SUMIFS(الريسبي!$C$2:$C$1800,الريسبي!$A$2:$A$1800,$A106,الريسبي!$B$2:$B$1800,R$1)</f>
        <v>0</v>
      </c>
      <c r="S106" s="117" t="n">
        <f aca="false">SUMIFS(الريسبي!$C$2:$C$1800,الريسبي!$A$2:$A$1800,$A106,الريسبي!$B$2:$B$1800,S$1)</f>
        <v>0</v>
      </c>
      <c r="T106" s="117" t="n">
        <f aca="false">SUMIFS(الريسبي!$C$2:$C$1800,الريسبي!$A$2:$A$1800,$A106,الريسبي!$B$2:$B$1800,T$1)</f>
        <v>0</v>
      </c>
      <c r="U106" s="117" t="n">
        <f aca="false">SUMIFS(الريسبي!$C$2:$C$1800,الريسبي!$A$2:$A$1800,$A106,الريسبي!$B$2:$B$1800,U$1)</f>
        <v>0</v>
      </c>
      <c r="V106" s="117" t="n">
        <f aca="false">SUMIFS(الريسبي!$C$2:$C$1800,الريسبي!$A$2:$A$1800,$A106,الريسبي!$B$2:$B$1800,V$1)</f>
        <v>0</v>
      </c>
      <c r="W106" s="117" t="n">
        <f aca="false">SUMIFS(الريسبي!$C$2:$C$1800,الريسبي!$A$2:$A$1800,$A106,الريسبي!$B$2:$B$1800,W$1)</f>
        <v>0</v>
      </c>
      <c r="X106" s="117" t="n">
        <f aca="false">SUMIFS(الريسبي!$C$2:$C$1800,الريسبي!$A$2:$A$1800,$A106,الريسبي!$B$2:$B$1800,X$1)</f>
        <v>0</v>
      </c>
      <c r="Y106" s="117" t="n">
        <f aca="false">SUMIFS(الريسبي!$C$2:$C$1800,الريسبي!$A$2:$A$1800,$A106,الريسبي!$B$2:$B$1800,Y$1)</f>
        <v>1</v>
      </c>
      <c r="Z106" s="117" t="n">
        <f aca="false">SUMIFS(الريسبي!$C$2:$C$1800,الريسبي!$A$2:$A$1800,$A106,الريسبي!$B$2:$B$1800,Z$1)</f>
        <v>0</v>
      </c>
      <c r="AA106" s="117" t="n">
        <f aca="false">SUMIFS(الريسبي!$C$2:$C$1800,الريسبي!$A$2:$A$1800,$A106,الريسبي!$B$2:$B$1800,AA$1)</f>
        <v>0</v>
      </c>
      <c r="AB106" s="117" t="n">
        <f aca="false">SUMIFS(الريسبي!$C$2:$C$1800,الريسبي!$A$2:$A$1800,$A106,الريسبي!$B$2:$B$1800,AB$1)</f>
        <v>0</v>
      </c>
      <c r="AC106" s="117" t="n">
        <f aca="false">SUMIFS(الريسبي!$C$2:$C$1800,الريسبي!$A$2:$A$1800,$A106,الريسبي!$B$2:$B$1800,AC$1)</f>
        <v>0</v>
      </c>
      <c r="AD106" s="117" t="n">
        <f aca="false">SUMIFS(الريسبي!$C$2:$C$1800,الريسبي!$A$2:$A$1800,$A106,الريسبي!$B$2:$B$1800,AD$1)</f>
        <v>0</v>
      </c>
      <c r="AE106" s="117" t="n">
        <f aca="false">SUMIFS(الريسبي!$C$2:$C$1800,الريسبي!$A$2:$A$1800,$A106,الريسبي!$B$2:$B$1800,AE$1)</f>
        <v>0</v>
      </c>
      <c r="AF106" s="117" t="n">
        <f aca="false">SUMIFS(الريسبي!$C$2:$C$1800,الريسبي!$A$2:$A$1800,$A106,الريسبي!$B$2:$B$1800,AF$1)</f>
        <v>0</v>
      </c>
      <c r="AG106" s="117" t="n">
        <f aca="false">SUMIFS(الريسبي!$C$2:$C$1800,الريسبي!$A$2:$A$1800,$A106,الريسبي!$B$2:$B$1800,AG$1)</f>
        <v>0</v>
      </c>
      <c r="AH106" s="117" t="n">
        <f aca="false">SUMIFS(الريسبي!$C$2:$C$1800,الريسبي!$A$2:$A$1800,$A106,الريسبي!$B$2:$B$1800,AH$1)</f>
        <v>0</v>
      </c>
      <c r="AI106" s="117" t="n">
        <f aca="false">SUMIFS(الريسبي!$C$2:$C$1800,الريسبي!$A$2:$A$1800,$A106,الريسبي!$B$2:$B$1800,AI$1)</f>
        <v>0</v>
      </c>
      <c r="AJ106" s="117" t="n">
        <f aca="false">SUMIFS(الريسبي!$C$2:$C$1800,الريسبي!$A$2:$A$1800,$A106,الريسبي!$B$2:$B$1800,AJ$1)</f>
        <v>2</v>
      </c>
      <c r="AK106" s="117" t="n">
        <f aca="false">SUMIFS(الريسبي!$C$2:$C$1800,الريسبي!$A$2:$A$1800,$A106,الريسبي!$B$2:$B$1800,AK$1)</f>
        <v>0</v>
      </c>
      <c r="AL106" s="117" t="n">
        <f aca="false">SUMIFS(الريسبي!$C$2:$C$1800,الريسبي!$A$2:$A$1800,$A106,الريسبي!$B$2:$B$1800,AL$1)</f>
        <v>0</v>
      </c>
      <c r="AM106" s="117" t="n">
        <f aca="false">SUMIFS(الريسبي!$C$2:$C$1800,الريسبي!$A$2:$A$1800,$A106,الريسبي!$B$2:$B$1800,AM$1)+0.08333333333*SUMIFS(الريسبي!$C$2:$C$1800,الريسبي!$A$2:$A$1800,$A106,الريسبي!$B$2:$B$1800,"عجين كريب (مصنع بالمطعم)")+0.08333333333*SUMIFS(الريسبي!$C$2:$C$1800,الريسبي!$A$2:$A$1800,$A106,الريسبي!$B$2:$B$1800,"عجين كريب صيامي (بدون لبن)")</f>
        <v>0</v>
      </c>
      <c r="AN106" s="117" t="n">
        <f aca="false">SUMIFS(الريسبي!$C$2:$C$1800,الريسبي!$A$2:$A$1800,$A106,الريسبي!$B$2:$B$1800,AN$1)+0.004166666667*SUMIFS(الريسبي!$C$2:$C$1800,الريسبي!$A$2:$A$1800,$A106,الريسبي!$B$2:$B$1800,"عجين كريب (مصنع بالمطعم)")+0.004166666667*SUMIFS(الريسبي!$C$2:$C$1800,الريسبي!$A$2:$A$1800,$A106,الريسبي!$B$2:$B$1800,"عجين كريب صيامي (بدون لبن)")</f>
        <v>0</v>
      </c>
      <c r="AO106" s="117" t="n">
        <f aca="false">SUMIFS(الريسبي!$C$2:$C$1800,الريسبي!$A$2:$A$1800,$A106,الريسبي!$B$2:$B$1800,AO$1)</f>
        <v>0</v>
      </c>
      <c r="AP106" s="117" t="n">
        <f aca="false">SUMIFS(الريسبي!$C$2:$C$1800,الريسبي!$A$2:$A$1800,$A106,الريسبي!$B$2:$B$1800,AP$1)</f>
        <v>0.03</v>
      </c>
      <c r="AQ106" s="117" t="n">
        <f aca="false">SUMIFS(الريسبي!$C$2:$C$1800,الريسبي!$A$2:$A$1800,$A106,الريسبي!$B$2:$B$1800,AQ$1)+0.004166666667*SUMIFS(الريسبي!$C$2:$C$1800,الريسبي!$A$2:$A$1800,$A106,الريسبي!$B$2:$B$1800,"عجين كريب (مصنع بالمطعم)")+0.004166666667*SUMIFS(الريسبي!$C$2:$C$1800,الريسبي!$A$2:$A$1800,$A106,الريسبي!$B$2:$B$1800,"عجين كريب صيامي (بدون لبن)")</f>
        <v>0</v>
      </c>
      <c r="AR106" s="117" t="n">
        <f aca="false">SUMIFS(الريسبي!$C$2:$C$1800,الريسبي!$A$2:$A$1800,$A106,الريسبي!$B$2:$B$1800,AR$1)</f>
        <v>0</v>
      </c>
      <c r="AS106" s="117" t="n">
        <f aca="false">SUMIFS(الريسبي!$C$2:$C$1800,الريسبي!$A$2:$A$1800,$A106,الريسبي!$B$2:$B$1800,AS$1)</f>
        <v>0</v>
      </c>
      <c r="AT106" s="117" t="n">
        <f aca="false">SUMIFS(الريسبي!$C$2:$C$1800,الريسبي!$A$2:$A$1800,$A106,الريسبي!$B$2:$B$1800,AT$1)</f>
        <v>0</v>
      </c>
      <c r="AU106" s="117" t="n">
        <f aca="false">SUMIFS(الريسبي!$C$2:$C$1800,الريسبي!$A$2:$A$1800,$A106,الريسبي!$B$2:$B$1800,AU$1)</f>
        <v>0</v>
      </c>
      <c r="AV106" s="117" t="n">
        <f aca="false">SUMIFS(الريسبي!$C$2:$C$1800,الريسبي!$A$2:$A$1800,$A106,الريسبي!$B$2:$B$1800,AV$1)</f>
        <v>0</v>
      </c>
      <c r="AW106" s="117" t="n">
        <f aca="false">SUMIFS(الريسبي!$C$2:$C$1800,الريسبي!$A$2:$A$1800,$A106,الريسبي!$B$2:$B$1800,AW$1)</f>
        <v>0</v>
      </c>
      <c r="AX106" s="117" t="n">
        <f aca="false">SUMIFS(الريسبي!$C$2:$C$1800,الريسبي!$A$2:$A$1800,$A106,الريسبي!$B$2:$B$1800,AX$1)</f>
        <v>0</v>
      </c>
      <c r="AY106" s="117" t="n">
        <f aca="false">SUMIFS(الريسبي!$C$2:$C$1800,الريسبي!$A$2:$A$1800,$A106,الريسبي!$B$2:$B$1800,AY$1)</f>
        <v>0.15</v>
      </c>
      <c r="AZ106" s="117" t="n">
        <f aca="false">SUMIFS(الريسبي!$C$2:$C$1800,الريسبي!$A$2:$A$1800,$A106,الريسبي!$B$2:$B$1800,AZ$1)</f>
        <v>0</v>
      </c>
      <c r="BA106" s="117" t="n">
        <f aca="false">SUMIFS(الريسبي!$C$2:$C$1800,الريسبي!$A$2:$A$1800,$A106,الريسبي!$B$2:$B$1800,BA$1)</f>
        <v>0</v>
      </c>
      <c r="BB106" s="117" t="n">
        <f aca="false">SUMIFS(الريسبي!$C$2:$C$1800,الريسبي!$A$2:$A$1800,$A106,الريسبي!$B$2:$B$1800,BB$1)</f>
        <v>0</v>
      </c>
      <c r="BC106" s="117" t="n">
        <f aca="false">SUMIFS(الريسبي!$C$2:$C$1800,الريسبي!$A$2:$A$1800,$A106,الريسبي!$B$2:$B$1800,BC$1)</f>
        <v>0.045</v>
      </c>
      <c r="BD106" s="117" t="n">
        <f aca="false">SUMIFS(الريسبي!$C$2:$C$1800,الريسبي!$A$2:$A$1800,$A106,الريسبي!$B$2:$B$1800,BD$1)</f>
        <v>0</v>
      </c>
      <c r="BE106" s="117" t="n">
        <f aca="false">SUMIFS(الريسبي!$C$2:$C$1800,الريسبي!$A$2:$A$1800,$A106,الريسبي!$B$2:$B$1800,BE$1)</f>
        <v>1.5</v>
      </c>
      <c r="BF106" s="117" t="n">
        <f aca="false">SUMIFS(الريسبي!$C$2:$C$1800,الريسبي!$A$2:$A$1800,$A106,الريسبي!$B$2:$B$1800,BF$1)</f>
        <v>0</v>
      </c>
      <c r="BG106" s="117" t="n">
        <f aca="false">SUMIFS(الريسبي!$C$2:$C$1800,الريسبي!$A$2:$A$1800,$A106,الريسبي!$B$2:$B$1800,BG$1)</f>
        <v>1</v>
      </c>
      <c r="BH106" s="117" t="n">
        <f aca="false">SUMIFS(الريسبي!$C$2:$C$1800,الريسبي!$A$2:$A$1800,$A106,الريسبي!$B$2:$B$1800,BH$1)</f>
        <v>0</v>
      </c>
      <c r="BI106" s="117" t="n">
        <f aca="false">SUMIFS(الريسبي!$C$2:$C$1800,الريسبي!$A$2:$A$1800,$A106,الريسبي!$B$2:$B$1800,BI$1)</f>
        <v>0</v>
      </c>
      <c r="BJ106" s="117" t="n">
        <f aca="false">SUMIFS(الريسبي!$C$2:$C$1800,الريسبي!$A$2:$A$1800,$A106,الريسبي!$B$2:$B$1800,BJ$1)</f>
        <v>0</v>
      </c>
      <c r="BK106" s="117" t="n">
        <f aca="false">SUMIFS(الريسبي!$C$2:$C$1800,الريسبي!$A$2:$A$1800,$A106,الريسبي!$B$2:$B$1800,BK$1)</f>
        <v>0</v>
      </c>
      <c r="BL106" s="117" t="n">
        <f aca="false">SUMIFS(الريسبي!$C$2:$C$1800,الريسبي!$A$2:$A$1800,$A106,الريسبي!$B$2:$B$1800,BL$1)</f>
        <v>0</v>
      </c>
      <c r="BM106" s="117" t="n">
        <f aca="false">SUMIFS(الريسبي!$C$2:$C$1800,الريسبي!$A$2:$A$1800,$A106,الريسبي!$B$2:$B$1800,BM$1)</f>
        <v>0.21</v>
      </c>
      <c r="BN106" s="117" t="n">
        <f aca="false">SUMIFS(الريسبي!$C$2:$C$1800,الريسبي!$A$2:$A$1800,$A106,الريسبي!$B$2:$B$1800,BN$1)</f>
        <v>0.03</v>
      </c>
      <c r="BO106" s="117" t="n">
        <f aca="false">SUMIFS(الريسبي!$C$2:$C$1800,الريسبي!$A$2:$A$1800,$A106,الريسبي!$B$2:$B$1800,BO$1)</f>
        <v>0</v>
      </c>
      <c r="BP106" s="117" t="n">
        <f aca="false">SUMIFS(الريسبي!$C$2:$C$1800,الريسبي!$A$2:$A$1800,$A106,الريسبي!$B$2:$B$1800,BP$1)</f>
        <v>3</v>
      </c>
      <c r="BQ106" s="117" t="n">
        <f aca="false">SUMIFS(الريسبي!$C$2:$C$1800,الريسبي!$A$2:$A$1800,$A106,الريسبي!$B$2:$B$1800,BQ$1)+0.17*SUMIFS(الريسبي!$C$2:$C$1800,الريسبي!$A$2:$A$1800,$A106,الريسبي!$B$2:$B$1800,"كاسترد مصنع (خليط بودر + لبن)")+0.17*SUMIFS(الريسبي!$C$2:$C$1800,الريسبي!$A$2:$A$1800,$A106,الريسبي!$B$2:$B$1800,"كاسترد مصنع صيامي (بدون لبن)")</f>
        <v>0</v>
      </c>
      <c r="BR106" s="117" t="n">
        <f aca="false">SUMIFS(الريسبي!$C$2:$C$1800,الريسبي!$A$2:$A$1800,$A106,الريسبي!$B$2:$B$1800,BR$1)</f>
        <v>1</v>
      </c>
      <c r="BS106" s="117" t="n">
        <f aca="false">SUMIFS(الريسبي!$C$2:$C$1800,الريسبي!$A$2:$A$1800,$A106,الريسبي!$B$2:$B$1800,BS$1)</f>
        <v>0</v>
      </c>
      <c r="BT106" s="117" t="n">
        <f aca="false">SUMIFS(الريسبي!$C$2:$C$1800,الريسبي!$A$2:$A$1800,$A106,الريسبي!$B$2:$B$1800,BT$1)</f>
        <v>0</v>
      </c>
      <c r="BU106" s="117" t="n">
        <f aca="false">SUMIFS(الريسبي!$C$2:$C$1800,الريسبي!$A$2:$A$1800,$A106,الريسبي!$B$2:$B$1800,BU$1)+0.4*SUMIFS(الريسبي!$C$2:$C$1800,الريسبي!$A$2:$A$1800,$A106,الريسبي!$B$2:$B$1800,"كاسترد مصنع (خليط بودر + لبن)")+0.03333333333*SUMIFS(الريسبي!$C$2:$C$1800,الريسبي!$A$2:$A$1800,$A106,الريسبي!$B$2:$B$1800,"عجين كريب (مصنع بالمطعم)")</f>
        <v>0</v>
      </c>
      <c r="BV106" s="117" t="n">
        <f aca="false">SUMIFS(الريسبي!$C$2:$C$1800,الريسبي!$A$2:$A$1800,$A106,الريسبي!$B$2:$B$1800,BV$1)</f>
        <v>0</v>
      </c>
      <c r="BW106" s="117" t="n">
        <f aca="false">SUMIFS(الريسبي!$C$2:$C$1800,الريسبي!$A$2:$A$1800,$A106,الريسبي!$B$2:$B$1800,BW$1)</f>
        <v>0</v>
      </c>
      <c r="BX106" s="117" t="n">
        <f aca="false">SUMIFS(الريسبي!$C$2:$C$1800,الريسبي!$A$2:$A$1800,$A106,الريسبي!$B$2:$B$1800,BX$1)</f>
        <v>0</v>
      </c>
      <c r="BY106" s="117" t="n">
        <f aca="false">SUMIFS(الريسبي!$C$2:$C$1800,الريسبي!$A$2:$A$1800,$A106,الريسبي!$B$2:$B$1800,BY$1)</f>
        <v>0</v>
      </c>
      <c r="BZ106" s="117" t="n">
        <f aca="false">SUMIFS(الريسبي!$C$2:$C$1800,الريسبي!$A$2:$A$1800,$A106,الريسبي!$B$2:$B$1800,BZ$1)</f>
        <v>0</v>
      </c>
      <c r="CA106" s="117" t="n">
        <f aca="false">SUMIFS(الريسبي!$C$2:$C$1800,الريسبي!$A$2:$A$1800,$A106,الريسبي!$B$2:$B$1800,CA$1)</f>
        <v>1</v>
      </c>
      <c r="CB106" s="117" t="n">
        <f aca="false">SUMIFS(الريسبي!$C$2:$C$1800,الريسبي!$A$2:$A$1800,$A106,الريسبي!$B$2:$B$1800,CB$1)</f>
        <v>1</v>
      </c>
      <c r="CC106" s="117" t="n">
        <f aca="false">SUMIFS(الريسبي!$C$2:$C$1800,الريسبي!$A$2:$A$1800,$A106,الريسبي!$B$2:$B$1800,CC$1)</f>
        <v>0</v>
      </c>
      <c r="CD106" s="117" t="n">
        <f aca="false">SUMIFS(الريسبي!$C$2:$C$1800,الريسبي!$A$2:$A$1800,$A106,الريسبي!$B$2:$B$1800,CD$1)</f>
        <v>0</v>
      </c>
      <c r="CE106" s="117" t="n">
        <f aca="false">SUMIFS(الريسبي!$C$2:$C$1800,الريسبي!$A$2:$A$1800,$A106,الريسبي!$B$2:$B$1800,CE$1)</f>
        <v>0</v>
      </c>
      <c r="CF106" s="117" t="n">
        <f aca="false">SUMIFS(الريسبي!$C$2:$C$1800,الريسبي!$A$2:$A$1800,$A106,الريسبي!$B$2:$B$1800,CF$1)</f>
        <v>0</v>
      </c>
      <c r="CG106" s="117" t="n">
        <f aca="false">SUMIFS(الريسبي!$C$2:$C$1800,الريسبي!$A$2:$A$1800,$A106,الريسبي!$B$2:$B$1800,CG$1)</f>
        <v>0</v>
      </c>
      <c r="CH106" s="117" t="n">
        <f aca="false">SUMIFS(الريسبي!$C$2:$C$1800,الريسبي!$A$2:$A$1800,$A106,الريسبي!$B$2:$B$1800,CH$1)</f>
        <v>0</v>
      </c>
      <c r="CI106" s="117" t="n">
        <f aca="false">SUMIFS(الريسبي!$C$2:$C$1800,الريسبي!$A$2:$A$1800,$A106,الريسبي!$B$2:$B$1800,CI$1)</f>
        <v>0</v>
      </c>
      <c r="CJ106" s="117" t="n">
        <f aca="false">SUMIFS(الريسبي!$C$2:$C$1800,الريسبي!$A$2:$A$1800,$A106,الريسبي!$B$2:$B$1800,CJ$1)</f>
        <v>0</v>
      </c>
      <c r="CK106" s="117" t="n">
        <f aca="false">SUMIFS(الريسبي!$C$2:$C$1800,الريسبي!$A$2:$A$1800,$A106,الريسبي!$B$2:$B$1800,CK$1)</f>
        <v>0</v>
      </c>
      <c r="CL106" s="117" t="n">
        <f aca="false">SUMIFS(الريسبي!$C$2:$C$1800,الريسبي!$A$2:$A$1800,$A106,الريسبي!$B$2:$B$1800,CL$1)</f>
        <v>0</v>
      </c>
    </row>
    <row r="107" customFormat="false" ht="15" hidden="false" customHeight="false" outlineLevel="0" collapsed="false">
      <c r="A107" s="116" t="str">
        <f aca="false">المنيو!B107</f>
        <v>فطيرة جمبري صيامي وسط</v>
      </c>
      <c r="B107" s="117" t="n">
        <f aca="false">SUMIFS(الريسبي!$C$2:$C$1800,الريسبي!$A$2:$A$1800,$A107,الريسبي!$B$2:$B$1800,B$1)</f>
        <v>0</v>
      </c>
      <c r="C107" s="117" t="n">
        <f aca="false">SUMIFS(الريسبي!$C$2:$C$1800,الريسبي!$A$2:$A$1800,$A107,الريسبي!$B$2:$B$1800,C$1)</f>
        <v>0</v>
      </c>
      <c r="D107" s="117" t="n">
        <f aca="false">SUMIFS(الريسبي!$C$2:$C$1800,الريسبي!$A$2:$A$1800,$A107,الريسبي!$B$2:$B$1800,D$1)</f>
        <v>1</v>
      </c>
      <c r="E107" s="117" t="n">
        <f aca="false">SUMIFS(الريسبي!$C$2:$C$1800,الريسبي!$A$2:$A$1800,$A107,الريسبي!$B$2:$B$1800,E$1)</f>
        <v>0</v>
      </c>
      <c r="F107" s="117" t="n">
        <f aca="false">SUMIFS(الريسبي!$C$2:$C$1800,الريسبي!$A$2:$A$1800,$A107,الريسبي!$B$2:$B$1800,F$1)</f>
        <v>0</v>
      </c>
      <c r="G107" s="117" t="n">
        <f aca="false">SUMIFS(الريسبي!$C$2:$C$1800,الريسبي!$A$2:$A$1800,$A107,الريسبي!$B$2:$B$1800,G$1)</f>
        <v>0</v>
      </c>
      <c r="H107" s="117" t="n">
        <f aca="false">SUMIFS(الريسبي!$C$2:$C$1800,الريسبي!$A$2:$A$1800,$A107,الريسبي!$B$2:$B$1800,H$1)</f>
        <v>0</v>
      </c>
      <c r="I107" s="117" t="n">
        <f aca="false">SUMIFS(الريسبي!$C$2:$C$1800,الريسبي!$A$2:$A$1800,$A107,الريسبي!$B$2:$B$1800,I$1)</f>
        <v>0</v>
      </c>
      <c r="J107" s="117" t="n">
        <f aca="false">SUMIFS(الريسبي!$C$2:$C$1800,الريسبي!$A$2:$A$1800,$A107,الريسبي!$B$2:$B$1800,J$1)</f>
        <v>0</v>
      </c>
      <c r="K107" s="117" t="n">
        <f aca="false">SUMIFS(الريسبي!$C$2:$C$1800,الريسبي!$A$2:$A$1800,$A107,الريسبي!$B$2:$B$1800,K$1)</f>
        <v>1</v>
      </c>
      <c r="L107" s="117" t="n">
        <f aca="false">SUMIFS(الريسبي!$C$2:$C$1800,الريسبي!$A$2:$A$1800,$A107,الريسبي!$B$2:$B$1800,L$1)</f>
        <v>0</v>
      </c>
      <c r="M107" s="117" t="n">
        <f aca="false">SUMIFS(الريسبي!$C$2:$C$1800,الريسبي!$A$2:$A$1800,$A107,الريسبي!$B$2:$B$1800,M$1)</f>
        <v>0</v>
      </c>
      <c r="N107" s="117" t="n">
        <f aca="false">SUMIFS(الريسبي!$C$2:$C$1800,الريسبي!$A$2:$A$1800,$A107,الريسبي!$B$2:$B$1800,N$1)</f>
        <v>0</v>
      </c>
      <c r="O107" s="117" t="n">
        <f aca="false">SUMIFS(الريسبي!$C$2:$C$1800,الريسبي!$A$2:$A$1800,$A107,الريسبي!$B$2:$B$1800,O$1)</f>
        <v>0</v>
      </c>
      <c r="P107" s="117" t="n">
        <f aca="false">SUMIFS(الريسبي!$C$2:$C$1800,الريسبي!$A$2:$A$1800,$A107,الريسبي!$B$2:$B$1800,P$1)</f>
        <v>0</v>
      </c>
      <c r="Q107" s="117" t="n">
        <f aca="false">SUMIFS(الريسبي!$C$2:$C$1800,الريسبي!$A$2:$A$1800,$A107,الريسبي!$B$2:$B$1800,Q$1)</f>
        <v>0</v>
      </c>
      <c r="R107" s="117" t="n">
        <f aca="false">SUMIFS(الريسبي!$C$2:$C$1800,الريسبي!$A$2:$A$1800,$A107,الريسبي!$B$2:$B$1800,R$1)</f>
        <v>0</v>
      </c>
      <c r="S107" s="117" t="n">
        <f aca="false">SUMIFS(الريسبي!$C$2:$C$1800,الريسبي!$A$2:$A$1800,$A107,الريسبي!$B$2:$B$1800,S$1)</f>
        <v>0</v>
      </c>
      <c r="T107" s="117" t="n">
        <f aca="false">SUMIFS(الريسبي!$C$2:$C$1800,الريسبي!$A$2:$A$1800,$A107,الريسبي!$B$2:$B$1800,T$1)</f>
        <v>0</v>
      </c>
      <c r="U107" s="117" t="n">
        <f aca="false">SUMIFS(الريسبي!$C$2:$C$1800,الريسبي!$A$2:$A$1800,$A107,الريسبي!$B$2:$B$1800,U$1)</f>
        <v>0</v>
      </c>
      <c r="V107" s="117" t="n">
        <f aca="false">SUMIFS(الريسبي!$C$2:$C$1800,الريسبي!$A$2:$A$1800,$A107,الريسبي!$B$2:$B$1800,V$1)</f>
        <v>0</v>
      </c>
      <c r="W107" s="117" t="n">
        <f aca="false">SUMIFS(الريسبي!$C$2:$C$1800,الريسبي!$A$2:$A$1800,$A107,الريسبي!$B$2:$B$1800,W$1)</f>
        <v>0</v>
      </c>
      <c r="X107" s="117" t="n">
        <f aca="false">SUMIFS(الريسبي!$C$2:$C$1800,الريسبي!$A$2:$A$1800,$A107,الريسبي!$B$2:$B$1800,X$1)</f>
        <v>1</v>
      </c>
      <c r="Y107" s="117" t="n">
        <f aca="false">SUMIFS(الريسبي!$C$2:$C$1800,الريسبي!$A$2:$A$1800,$A107,الريسبي!$B$2:$B$1800,Y$1)</f>
        <v>0</v>
      </c>
      <c r="Z107" s="117" t="n">
        <f aca="false">SUMIFS(الريسبي!$C$2:$C$1800,الريسبي!$A$2:$A$1800,$A107,الريسبي!$B$2:$B$1800,Z$1)</f>
        <v>0</v>
      </c>
      <c r="AA107" s="117" t="n">
        <f aca="false">SUMIFS(الريسبي!$C$2:$C$1800,الريسبي!$A$2:$A$1800,$A107,الريسبي!$B$2:$B$1800,AA$1)</f>
        <v>0</v>
      </c>
      <c r="AB107" s="117" t="n">
        <f aca="false">SUMIFS(الريسبي!$C$2:$C$1800,الريسبي!$A$2:$A$1800,$A107,الريسبي!$B$2:$B$1800,AB$1)</f>
        <v>0</v>
      </c>
      <c r="AC107" s="117" t="n">
        <f aca="false">SUMIFS(الريسبي!$C$2:$C$1800,الريسبي!$A$2:$A$1800,$A107,الريسبي!$B$2:$B$1800,AC$1)</f>
        <v>0</v>
      </c>
      <c r="AD107" s="117" t="n">
        <f aca="false">SUMIFS(الريسبي!$C$2:$C$1800,الريسبي!$A$2:$A$1800,$A107,الريسبي!$B$2:$B$1800,AD$1)</f>
        <v>0</v>
      </c>
      <c r="AE107" s="117" t="n">
        <f aca="false">SUMIFS(الريسبي!$C$2:$C$1800,الريسبي!$A$2:$A$1800,$A107,الريسبي!$B$2:$B$1800,AE$1)</f>
        <v>0</v>
      </c>
      <c r="AF107" s="117" t="n">
        <f aca="false">SUMIFS(الريسبي!$C$2:$C$1800,الريسبي!$A$2:$A$1800,$A107,الريسبي!$B$2:$B$1800,AF$1)</f>
        <v>0</v>
      </c>
      <c r="AG107" s="117" t="n">
        <f aca="false">SUMIFS(الريسبي!$C$2:$C$1800,الريسبي!$A$2:$A$1800,$A107,الريسبي!$B$2:$B$1800,AG$1)</f>
        <v>0</v>
      </c>
      <c r="AH107" s="117" t="n">
        <f aca="false">SUMIFS(الريسبي!$C$2:$C$1800,الريسبي!$A$2:$A$1800,$A107,الريسبي!$B$2:$B$1800,AH$1)</f>
        <v>0</v>
      </c>
      <c r="AI107" s="117" t="n">
        <f aca="false">SUMIFS(الريسبي!$C$2:$C$1800,الريسبي!$A$2:$A$1800,$A107,الريسبي!$B$2:$B$1800,AI$1)</f>
        <v>0</v>
      </c>
      <c r="AJ107" s="117" t="n">
        <f aca="false">SUMIFS(الريسبي!$C$2:$C$1800,الريسبي!$A$2:$A$1800,$A107,الريسبي!$B$2:$B$1800,AJ$1)</f>
        <v>2</v>
      </c>
      <c r="AK107" s="117" t="n">
        <f aca="false">SUMIFS(الريسبي!$C$2:$C$1800,الريسبي!$A$2:$A$1800,$A107,الريسبي!$B$2:$B$1800,AK$1)</f>
        <v>0</v>
      </c>
      <c r="AL107" s="117" t="n">
        <f aca="false">SUMIFS(الريسبي!$C$2:$C$1800,الريسبي!$A$2:$A$1800,$A107,الريسبي!$B$2:$B$1800,AL$1)</f>
        <v>0</v>
      </c>
      <c r="AM107" s="117" t="n">
        <f aca="false">SUMIFS(الريسبي!$C$2:$C$1800,الريسبي!$A$2:$A$1800,$A107,الريسبي!$B$2:$B$1800,AM$1)+0.08333333333*SUMIFS(الريسبي!$C$2:$C$1800,الريسبي!$A$2:$A$1800,$A107,الريسبي!$B$2:$B$1800,"عجين كريب (مصنع بالمطعم)")+0.08333333333*SUMIFS(الريسبي!$C$2:$C$1800,الريسبي!$A$2:$A$1800,$A107,الريسبي!$B$2:$B$1800,"عجين كريب صيامي (بدون لبن)")</f>
        <v>0</v>
      </c>
      <c r="AN107" s="117" t="n">
        <f aca="false">SUMIFS(الريسبي!$C$2:$C$1800,الريسبي!$A$2:$A$1800,$A107,الريسبي!$B$2:$B$1800,AN$1)+0.004166666667*SUMIFS(الريسبي!$C$2:$C$1800,الريسبي!$A$2:$A$1800,$A107,الريسبي!$B$2:$B$1800,"عجين كريب (مصنع بالمطعم)")+0.004166666667*SUMIFS(الريسبي!$C$2:$C$1800,الريسبي!$A$2:$A$1800,$A107,الريسبي!$B$2:$B$1800,"عجين كريب صيامي (بدون لبن)")</f>
        <v>0</v>
      </c>
      <c r="AO107" s="117" t="n">
        <f aca="false">SUMIFS(الريسبي!$C$2:$C$1800,الريسبي!$A$2:$A$1800,$A107,الريسبي!$B$2:$B$1800,AO$1)</f>
        <v>0</v>
      </c>
      <c r="AP107" s="117" t="n">
        <f aca="false">SUMIFS(الريسبي!$C$2:$C$1800,الريسبي!$A$2:$A$1800,$A107,الريسبي!$B$2:$B$1800,AP$1)</f>
        <v>0.02</v>
      </c>
      <c r="AQ107" s="117" t="n">
        <f aca="false">SUMIFS(الريسبي!$C$2:$C$1800,الريسبي!$A$2:$A$1800,$A107,الريسبي!$B$2:$B$1800,AQ$1)+0.004166666667*SUMIFS(الريسبي!$C$2:$C$1800,الريسبي!$A$2:$A$1800,$A107,الريسبي!$B$2:$B$1800,"عجين كريب (مصنع بالمطعم)")+0.004166666667*SUMIFS(الريسبي!$C$2:$C$1800,الريسبي!$A$2:$A$1800,$A107,الريسبي!$B$2:$B$1800,"عجين كريب صيامي (بدون لبن)")</f>
        <v>0</v>
      </c>
      <c r="AR107" s="117" t="n">
        <f aca="false">SUMIFS(الريسبي!$C$2:$C$1800,الريسبي!$A$2:$A$1800,$A107,الريسبي!$B$2:$B$1800,AR$1)</f>
        <v>0</v>
      </c>
      <c r="AS107" s="117" t="n">
        <f aca="false">SUMIFS(الريسبي!$C$2:$C$1800,الريسبي!$A$2:$A$1800,$A107,الريسبي!$B$2:$B$1800,AS$1)</f>
        <v>0</v>
      </c>
      <c r="AT107" s="117" t="n">
        <f aca="false">SUMIFS(الريسبي!$C$2:$C$1800,الريسبي!$A$2:$A$1800,$A107,الريسبي!$B$2:$B$1800,AT$1)</f>
        <v>0</v>
      </c>
      <c r="AU107" s="117" t="n">
        <f aca="false">SUMIFS(الريسبي!$C$2:$C$1800,الريسبي!$A$2:$A$1800,$A107,الريسبي!$B$2:$B$1800,AU$1)</f>
        <v>0</v>
      </c>
      <c r="AV107" s="117" t="n">
        <f aca="false">SUMIFS(الريسبي!$C$2:$C$1800,الريسبي!$A$2:$A$1800,$A107,الريسبي!$B$2:$B$1800,AV$1)</f>
        <v>0</v>
      </c>
      <c r="AW107" s="117" t="n">
        <f aca="false">SUMIFS(الريسبي!$C$2:$C$1800,الريسبي!$A$2:$A$1800,$A107,الريسبي!$B$2:$B$1800,AW$1)</f>
        <v>0</v>
      </c>
      <c r="AX107" s="117" t="n">
        <f aca="false">SUMIFS(الريسبي!$C$2:$C$1800,الريسبي!$A$2:$A$1800,$A107,الريسبي!$B$2:$B$1800,AX$1)</f>
        <v>0</v>
      </c>
      <c r="AY107" s="117" t="n">
        <f aca="false">SUMIFS(الريسبي!$C$2:$C$1800,الريسبي!$A$2:$A$1800,$A107,الريسبي!$B$2:$B$1800,AY$1)</f>
        <v>0</v>
      </c>
      <c r="AZ107" s="117" t="n">
        <f aca="false">SUMIFS(الريسبي!$C$2:$C$1800,الريسبي!$A$2:$A$1800,$A107,الريسبي!$B$2:$B$1800,AZ$1)</f>
        <v>0</v>
      </c>
      <c r="BA107" s="117" t="n">
        <f aca="false">SUMIFS(الريسبي!$C$2:$C$1800,الريسبي!$A$2:$A$1800,$A107,الريسبي!$B$2:$B$1800,BA$1)</f>
        <v>0</v>
      </c>
      <c r="BB107" s="117" t="n">
        <f aca="false">SUMIFS(الريسبي!$C$2:$C$1800,الريسبي!$A$2:$A$1800,$A107,الريسبي!$B$2:$B$1800,BB$1)</f>
        <v>0</v>
      </c>
      <c r="BC107" s="117" t="n">
        <f aca="false">SUMIFS(الريسبي!$C$2:$C$1800,الريسبي!$A$2:$A$1800,$A107,الريسبي!$B$2:$B$1800,BC$1)</f>
        <v>0.03</v>
      </c>
      <c r="BD107" s="117" t="n">
        <f aca="false">SUMIFS(الريسبي!$C$2:$C$1800,الريسبي!$A$2:$A$1800,$A107,الريسبي!$B$2:$B$1800,BD$1)</f>
        <v>0</v>
      </c>
      <c r="BE107" s="117" t="n">
        <f aca="false">SUMIFS(الريسبي!$C$2:$C$1800,الريسبي!$A$2:$A$1800,$A107,الريسبي!$B$2:$B$1800,BE$1)</f>
        <v>1</v>
      </c>
      <c r="BF107" s="117" t="n">
        <f aca="false">SUMIFS(الريسبي!$C$2:$C$1800,الريسبي!$A$2:$A$1800,$A107,الريسبي!$B$2:$B$1800,BF$1)</f>
        <v>0</v>
      </c>
      <c r="BG107" s="117" t="n">
        <f aca="false">SUMIFS(الريسبي!$C$2:$C$1800,الريسبي!$A$2:$A$1800,$A107,الريسبي!$B$2:$B$1800,BG$1)</f>
        <v>0</v>
      </c>
      <c r="BH107" s="117" t="n">
        <f aca="false">SUMIFS(الريسبي!$C$2:$C$1800,الريسبي!$A$2:$A$1800,$A107,الريسبي!$B$2:$B$1800,BH$1)</f>
        <v>1</v>
      </c>
      <c r="BI107" s="117" t="n">
        <f aca="false">SUMIFS(الريسبي!$C$2:$C$1800,الريسبي!$A$2:$A$1800,$A107,الريسبي!$B$2:$B$1800,BI$1)</f>
        <v>0</v>
      </c>
      <c r="BJ107" s="117" t="n">
        <f aca="false">SUMIFS(الريسبي!$C$2:$C$1800,الريسبي!$A$2:$A$1800,$A107,الريسبي!$B$2:$B$1800,BJ$1)</f>
        <v>0</v>
      </c>
      <c r="BK107" s="117" t="n">
        <f aca="false">SUMIFS(الريسبي!$C$2:$C$1800,الريسبي!$A$2:$A$1800,$A107,الريسبي!$B$2:$B$1800,BK$1)</f>
        <v>0</v>
      </c>
      <c r="BL107" s="117" t="n">
        <f aca="false">SUMIFS(الريسبي!$C$2:$C$1800,الريسبي!$A$2:$A$1800,$A107,الريسبي!$B$2:$B$1800,BL$1)</f>
        <v>0</v>
      </c>
      <c r="BM107" s="117" t="n">
        <f aca="false">SUMIFS(الريسبي!$C$2:$C$1800,الريسبي!$A$2:$A$1800,$A107,الريسبي!$B$2:$B$1800,BM$1)</f>
        <v>0</v>
      </c>
      <c r="BN107" s="117" t="n">
        <f aca="false">SUMIFS(الريسبي!$C$2:$C$1800,الريسبي!$A$2:$A$1800,$A107,الريسبي!$B$2:$B$1800,BN$1)</f>
        <v>0.02</v>
      </c>
      <c r="BO107" s="117" t="n">
        <f aca="false">SUMIFS(الريسبي!$C$2:$C$1800,الريسبي!$A$2:$A$1800,$A107,الريسبي!$B$2:$B$1800,BO$1)</f>
        <v>0</v>
      </c>
      <c r="BP107" s="117" t="n">
        <f aca="false">SUMIFS(الريسبي!$C$2:$C$1800,الريسبي!$A$2:$A$1800,$A107,الريسبي!$B$2:$B$1800,BP$1)</f>
        <v>2</v>
      </c>
      <c r="BQ107" s="117" t="n">
        <f aca="false">SUMIFS(الريسبي!$C$2:$C$1800,الريسبي!$A$2:$A$1800,$A107,الريسبي!$B$2:$B$1800,BQ$1)+0.17*SUMIFS(الريسبي!$C$2:$C$1800,الريسبي!$A$2:$A$1800,$A107,الريسبي!$B$2:$B$1800,"كاسترد مصنع (خليط بودر + لبن)")+0.17*SUMIFS(الريسبي!$C$2:$C$1800,الريسبي!$A$2:$A$1800,$A107,الريسبي!$B$2:$B$1800,"كاسترد مصنع صيامي (بدون لبن)")</f>
        <v>0</v>
      </c>
      <c r="BR107" s="117" t="n">
        <f aca="false">SUMIFS(الريسبي!$C$2:$C$1800,الريسبي!$A$2:$A$1800,$A107,الريسبي!$B$2:$B$1800,BR$1)</f>
        <v>1</v>
      </c>
      <c r="BS107" s="117" t="n">
        <f aca="false">SUMIFS(الريسبي!$C$2:$C$1800,الريسبي!$A$2:$A$1800,$A107,الريسبي!$B$2:$B$1800,BS$1)</f>
        <v>0</v>
      </c>
      <c r="BT107" s="117" t="n">
        <f aca="false">SUMIFS(الريسبي!$C$2:$C$1800,الريسبي!$A$2:$A$1800,$A107,الريسبي!$B$2:$B$1800,BT$1)</f>
        <v>0</v>
      </c>
      <c r="BU107" s="117" t="n">
        <f aca="false">SUMIFS(الريسبي!$C$2:$C$1800,الريسبي!$A$2:$A$1800,$A107,الريسبي!$B$2:$B$1800,BU$1)+0.4*SUMIFS(الريسبي!$C$2:$C$1800,الريسبي!$A$2:$A$1800,$A107,الريسبي!$B$2:$B$1800,"كاسترد مصنع (خليط بودر + لبن)")+0.03333333333*SUMIFS(الريسبي!$C$2:$C$1800,الريسبي!$A$2:$A$1800,$A107,الريسبي!$B$2:$B$1800,"عجين كريب (مصنع بالمطعم)")</f>
        <v>0</v>
      </c>
      <c r="BV107" s="117" t="n">
        <f aca="false">SUMIFS(الريسبي!$C$2:$C$1800,الريسبي!$A$2:$A$1800,$A107,الريسبي!$B$2:$B$1800,BV$1)</f>
        <v>0</v>
      </c>
      <c r="BW107" s="117" t="n">
        <f aca="false">SUMIFS(الريسبي!$C$2:$C$1800,الريسبي!$A$2:$A$1800,$A107,الريسبي!$B$2:$B$1800,BW$1)</f>
        <v>0</v>
      </c>
      <c r="BX107" s="117" t="n">
        <f aca="false">SUMIFS(الريسبي!$C$2:$C$1800,الريسبي!$A$2:$A$1800,$A107,الريسبي!$B$2:$B$1800,BX$1)</f>
        <v>0</v>
      </c>
      <c r="BY107" s="117" t="n">
        <f aca="false">SUMIFS(الريسبي!$C$2:$C$1800,الريسبي!$A$2:$A$1800,$A107,الريسبي!$B$2:$B$1800,BY$1)</f>
        <v>0</v>
      </c>
      <c r="BZ107" s="117" t="n">
        <f aca="false">SUMIFS(الريسبي!$C$2:$C$1800,الريسبي!$A$2:$A$1800,$A107,الريسبي!$B$2:$B$1800,BZ$1)</f>
        <v>0</v>
      </c>
      <c r="CA107" s="117" t="n">
        <f aca="false">SUMIFS(الريسبي!$C$2:$C$1800,الريسبي!$A$2:$A$1800,$A107,الريسبي!$B$2:$B$1800,CA$1)</f>
        <v>1</v>
      </c>
      <c r="CB107" s="117" t="n">
        <f aca="false">SUMIFS(الريسبي!$C$2:$C$1800,الريسبي!$A$2:$A$1800,$A107,الريسبي!$B$2:$B$1800,CB$1)</f>
        <v>1</v>
      </c>
      <c r="CC107" s="117" t="n">
        <f aca="false">SUMIFS(الريسبي!$C$2:$C$1800,الريسبي!$A$2:$A$1800,$A107,الريسبي!$B$2:$B$1800,CC$1)</f>
        <v>0</v>
      </c>
      <c r="CD107" s="117" t="n">
        <f aca="false">SUMIFS(الريسبي!$C$2:$C$1800,الريسبي!$A$2:$A$1800,$A107,الريسبي!$B$2:$B$1800,CD$1)</f>
        <v>0</v>
      </c>
      <c r="CE107" s="117" t="n">
        <f aca="false">SUMIFS(الريسبي!$C$2:$C$1800,الريسبي!$A$2:$A$1800,$A107,الريسبي!$B$2:$B$1800,CE$1)</f>
        <v>0</v>
      </c>
      <c r="CF107" s="117" t="n">
        <f aca="false">SUMIFS(الريسبي!$C$2:$C$1800,الريسبي!$A$2:$A$1800,$A107,الريسبي!$B$2:$B$1800,CF$1)</f>
        <v>0</v>
      </c>
      <c r="CG107" s="117" t="n">
        <f aca="false">SUMIFS(الريسبي!$C$2:$C$1800,الريسبي!$A$2:$A$1800,$A107,الريسبي!$B$2:$B$1800,CG$1)</f>
        <v>0</v>
      </c>
      <c r="CH107" s="117" t="n">
        <f aca="false">SUMIFS(الريسبي!$C$2:$C$1800,الريسبي!$A$2:$A$1800,$A107,الريسبي!$B$2:$B$1800,CH$1)</f>
        <v>0</v>
      </c>
      <c r="CI107" s="117" t="n">
        <f aca="false">SUMIFS(الريسبي!$C$2:$C$1800,الريسبي!$A$2:$A$1800,$A107,الريسبي!$B$2:$B$1800,CI$1)</f>
        <v>0</v>
      </c>
      <c r="CJ107" s="117" t="n">
        <f aca="false">SUMIFS(الريسبي!$C$2:$C$1800,الريسبي!$A$2:$A$1800,$A107,الريسبي!$B$2:$B$1800,CJ$1)</f>
        <v>0</v>
      </c>
      <c r="CK107" s="117" t="n">
        <f aca="false">SUMIFS(الريسبي!$C$2:$C$1800,الريسبي!$A$2:$A$1800,$A107,الريسبي!$B$2:$B$1800,CK$1)</f>
        <v>0</v>
      </c>
      <c r="CL107" s="117" t="n">
        <f aca="false">SUMIFS(الريسبي!$C$2:$C$1800,الريسبي!$A$2:$A$1800,$A107,الريسبي!$B$2:$B$1800,CL$1)</f>
        <v>0</v>
      </c>
    </row>
    <row r="108" customFormat="false" ht="15" hidden="false" customHeight="false" outlineLevel="0" collapsed="false">
      <c r="A108" s="116" t="str">
        <f aca="false">المنيو!B108</f>
        <v>فطيرة جمبري صيامي مخصوص</v>
      </c>
      <c r="B108" s="117" t="n">
        <f aca="false">SUMIFS(الريسبي!$C$2:$C$1800,الريسبي!$A$2:$A$1800,$A108,الريسبي!$B$2:$B$1800,B$1)</f>
        <v>0</v>
      </c>
      <c r="C108" s="117" t="n">
        <f aca="false">SUMIFS(الريسبي!$C$2:$C$1800,الريسبي!$A$2:$A$1800,$A108,الريسبي!$B$2:$B$1800,C$1)</f>
        <v>0</v>
      </c>
      <c r="D108" s="117" t="n">
        <f aca="false">SUMIFS(الريسبي!$C$2:$C$1800,الريسبي!$A$2:$A$1800,$A108,الريسبي!$B$2:$B$1800,D$1)</f>
        <v>1</v>
      </c>
      <c r="E108" s="117" t="n">
        <f aca="false">SUMIFS(الريسبي!$C$2:$C$1800,الريسبي!$A$2:$A$1800,$A108,الريسبي!$B$2:$B$1800,E$1)</f>
        <v>0</v>
      </c>
      <c r="F108" s="117" t="n">
        <f aca="false">SUMIFS(الريسبي!$C$2:$C$1800,الريسبي!$A$2:$A$1800,$A108,الريسبي!$B$2:$B$1800,F$1)</f>
        <v>0</v>
      </c>
      <c r="G108" s="117" t="n">
        <f aca="false">SUMIFS(الريسبي!$C$2:$C$1800,الريسبي!$A$2:$A$1800,$A108,الريسبي!$B$2:$B$1800,G$1)</f>
        <v>0</v>
      </c>
      <c r="H108" s="117" t="n">
        <f aca="false">SUMIFS(الريسبي!$C$2:$C$1800,الريسبي!$A$2:$A$1800,$A108,الريسبي!$B$2:$B$1800,H$1)</f>
        <v>0</v>
      </c>
      <c r="I108" s="117" t="n">
        <f aca="false">SUMIFS(الريسبي!$C$2:$C$1800,الريسبي!$A$2:$A$1800,$A108,الريسبي!$B$2:$B$1800,I$1)</f>
        <v>0</v>
      </c>
      <c r="J108" s="117" t="n">
        <f aca="false">SUMIFS(الريسبي!$C$2:$C$1800,الريسبي!$A$2:$A$1800,$A108,الريسبي!$B$2:$B$1800,J$1)</f>
        <v>0</v>
      </c>
      <c r="K108" s="117" t="n">
        <f aca="false">SUMIFS(الريسبي!$C$2:$C$1800,الريسبي!$A$2:$A$1800,$A108,الريسبي!$B$2:$B$1800,K$1)</f>
        <v>1.5</v>
      </c>
      <c r="L108" s="117" t="n">
        <f aca="false">SUMIFS(الريسبي!$C$2:$C$1800,الريسبي!$A$2:$A$1800,$A108,الريسبي!$B$2:$B$1800,L$1)</f>
        <v>0</v>
      </c>
      <c r="M108" s="117" t="n">
        <f aca="false">SUMIFS(الريسبي!$C$2:$C$1800,الريسبي!$A$2:$A$1800,$A108,الريسبي!$B$2:$B$1800,M$1)</f>
        <v>0</v>
      </c>
      <c r="N108" s="117" t="n">
        <f aca="false">SUMIFS(الريسبي!$C$2:$C$1800,الريسبي!$A$2:$A$1800,$A108,الريسبي!$B$2:$B$1800,N$1)</f>
        <v>0</v>
      </c>
      <c r="O108" s="117" t="n">
        <f aca="false">SUMIFS(الريسبي!$C$2:$C$1800,الريسبي!$A$2:$A$1800,$A108,الريسبي!$B$2:$B$1800,O$1)</f>
        <v>0</v>
      </c>
      <c r="P108" s="117" t="n">
        <f aca="false">SUMIFS(الريسبي!$C$2:$C$1800,الريسبي!$A$2:$A$1800,$A108,الريسبي!$B$2:$B$1800,P$1)</f>
        <v>0</v>
      </c>
      <c r="Q108" s="117" t="n">
        <f aca="false">SUMIFS(الريسبي!$C$2:$C$1800,الريسبي!$A$2:$A$1800,$A108,الريسبي!$B$2:$B$1800,Q$1)</f>
        <v>0</v>
      </c>
      <c r="R108" s="117" t="n">
        <f aca="false">SUMIFS(الريسبي!$C$2:$C$1800,الريسبي!$A$2:$A$1800,$A108,الريسبي!$B$2:$B$1800,R$1)</f>
        <v>0</v>
      </c>
      <c r="S108" s="117" t="n">
        <f aca="false">SUMIFS(الريسبي!$C$2:$C$1800,الريسبي!$A$2:$A$1800,$A108,الريسبي!$B$2:$B$1800,S$1)</f>
        <v>0</v>
      </c>
      <c r="T108" s="117" t="n">
        <f aca="false">SUMIFS(الريسبي!$C$2:$C$1800,الريسبي!$A$2:$A$1800,$A108,الريسبي!$B$2:$B$1800,T$1)</f>
        <v>0</v>
      </c>
      <c r="U108" s="117" t="n">
        <f aca="false">SUMIFS(الريسبي!$C$2:$C$1800,الريسبي!$A$2:$A$1800,$A108,الريسبي!$B$2:$B$1800,U$1)</f>
        <v>0</v>
      </c>
      <c r="V108" s="117" t="n">
        <f aca="false">SUMIFS(الريسبي!$C$2:$C$1800,الريسبي!$A$2:$A$1800,$A108,الريسبي!$B$2:$B$1800,V$1)</f>
        <v>0</v>
      </c>
      <c r="W108" s="117" t="n">
        <f aca="false">SUMIFS(الريسبي!$C$2:$C$1800,الريسبي!$A$2:$A$1800,$A108,الريسبي!$B$2:$B$1800,W$1)</f>
        <v>0</v>
      </c>
      <c r="X108" s="117" t="n">
        <f aca="false">SUMIFS(الريسبي!$C$2:$C$1800,الريسبي!$A$2:$A$1800,$A108,الريسبي!$B$2:$B$1800,X$1)</f>
        <v>0</v>
      </c>
      <c r="Y108" s="117" t="n">
        <f aca="false">SUMIFS(الريسبي!$C$2:$C$1800,الريسبي!$A$2:$A$1800,$A108,الريسبي!$B$2:$B$1800,Y$1)</f>
        <v>1</v>
      </c>
      <c r="Z108" s="117" t="n">
        <f aca="false">SUMIFS(الريسبي!$C$2:$C$1800,الريسبي!$A$2:$A$1800,$A108,الريسبي!$B$2:$B$1800,Z$1)</f>
        <v>0</v>
      </c>
      <c r="AA108" s="117" t="n">
        <f aca="false">SUMIFS(الريسبي!$C$2:$C$1800,الريسبي!$A$2:$A$1800,$A108,الريسبي!$B$2:$B$1800,AA$1)</f>
        <v>0</v>
      </c>
      <c r="AB108" s="117" t="n">
        <f aca="false">SUMIFS(الريسبي!$C$2:$C$1800,الريسبي!$A$2:$A$1800,$A108,الريسبي!$B$2:$B$1800,AB$1)</f>
        <v>0</v>
      </c>
      <c r="AC108" s="117" t="n">
        <f aca="false">SUMIFS(الريسبي!$C$2:$C$1800,الريسبي!$A$2:$A$1800,$A108,الريسبي!$B$2:$B$1800,AC$1)</f>
        <v>0</v>
      </c>
      <c r="AD108" s="117" t="n">
        <f aca="false">SUMIFS(الريسبي!$C$2:$C$1800,الريسبي!$A$2:$A$1800,$A108,الريسبي!$B$2:$B$1800,AD$1)</f>
        <v>0</v>
      </c>
      <c r="AE108" s="117" t="n">
        <f aca="false">SUMIFS(الريسبي!$C$2:$C$1800,الريسبي!$A$2:$A$1800,$A108,الريسبي!$B$2:$B$1800,AE$1)</f>
        <v>0</v>
      </c>
      <c r="AF108" s="117" t="n">
        <f aca="false">SUMIFS(الريسبي!$C$2:$C$1800,الريسبي!$A$2:$A$1800,$A108,الريسبي!$B$2:$B$1800,AF$1)</f>
        <v>0</v>
      </c>
      <c r="AG108" s="117" t="n">
        <f aca="false">SUMIFS(الريسبي!$C$2:$C$1800,الريسبي!$A$2:$A$1800,$A108,الريسبي!$B$2:$B$1800,AG$1)</f>
        <v>0</v>
      </c>
      <c r="AH108" s="117" t="n">
        <f aca="false">SUMIFS(الريسبي!$C$2:$C$1800,الريسبي!$A$2:$A$1800,$A108,الريسبي!$B$2:$B$1800,AH$1)</f>
        <v>0</v>
      </c>
      <c r="AI108" s="117" t="n">
        <f aca="false">SUMIFS(الريسبي!$C$2:$C$1800,الريسبي!$A$2:$A$1800,$A108,الريسبي!$B$2:$B$1800,AI$1)</f>
        <v>0</v>
      </c>
      <c r="AJ108" s="117" t="n">
        <f aca="false">SUMIFS(الريسبي!$C$2:$C$1800,الريسبي!$A$2:$A$1800,$A108,الريسبي!$B$2:$B$1800,AJ$1)</f>
        <v>2</v>
      </c>
      <c r="AK108" s="117" t="n">
        <f aca="false">SUMIFS(الريسبي!$C$2:$C$1800,الريسبي!$A$2:$A$1800,$A108,الريسبي!$B$2:$B$1800,AK$1)</f>
        <v>0</v>
      </c>
      <c r="AL108" s="117" t="n">
        <f aca="false">SUMIFS(الريسبي!$C$2:$C$1800,الريسبي!$A$2:$A$1800,$A108,الريسبي!$B$2:$B$1800,AL$1)</f>
        <v>0</v>
      </c>
      <c r="AM108" s="117" t="n">
        <f aca="false">SUMIFS(الريسبي!$C$2:$C$1800,الريسبي!$A$2:$A$1800,$A108,الريسبي!$B$2:$B$1800,AM$1)+0.08333333333*SUMIFS(الريسبي!$C$2:$C$1800,الريسبي!$A$2:$A$1800,$A108,الريسبي!$B$2:$B$1800,"عجين كريب (مصنع بالمطعم)")+0.08333333333*SUMIFS(الريسبي!$C$2:$C$1800,الريسبي!$A$2:$A$1800,$A108,الريسبي!$B$2:$B$1800,"عجين كريب صيامي (بدون لبن)")</f>
        <v>0</v>
      </c>
      <c r="AN108" s="117" t="n">
        <f aca="false">SUMIFS(الريسبي!$C$2:$C$1800,الريسبي!$A$2:$A$1800,$A108,الريسبي!$B$2:$B$1800,AN$1)+0.004166666667*SUMIFS(الريسبي!$C$2:$C$1800,الريسبي!$A$2:$A$1800,$A108,الريسبي!$B$2:$B$1800,"عجين كريب (مصنع بالمطعم)")+0.004166666667*SUMIFS(الريسبي!$C$2:$C$1800,الريسبي!$A$2:$A$1800,$A108,الريسبي!$B$2:$B$1800,"عجين كريب صيامي (بدون لبن)")</f>
        <v>0</v>
      </c>
      <c r="AO108" s="117" t="n">
        <f aca="false">SUMIFS(الريسبي!$C$2:$C$1800,الريسبي!$A$2:$A$1800,$A108,الريسبي!$B$2:$B$1800,AO$1)</f>
        <v>0</v>
      </c>
      <c r="AP108" s="117" t="n">
        <f aca="false">SUMIFS(الريسبي!$C$2:$C$1800,الريسبي!$A$2:$A$1800,$A108,الريسبي!$B$2:$B$1800,AP$1)</f>
        <v>0.03</v>
      </c>
      <c r="AQ108" s="117" t="n">
        <f aca="false">SUMIFS(الريسبي!$C$2:$C$1800,الريسبي!$A$2:$A$1800,$A108,الريسبي!$B$2:$B$1800,AQ$1)+0.004166666667*SUMIFS(الريسبي!$C$2:$C$1800,الريسبي!$A$2:$A$1800,$A108,الريسبي!$B$2:$B$1800,"عجين كريب (مصنع بالمطعم)")+0.004166666667*SUMIFS(الريسبي!$C$2:$C$1800,الريسبي!$A$2:$A$1800,$A108,الريسبي!$B$2:$B$1800,"عجين كريب صيامي (بدون لبن)")</f>
        <v>0</v>
      </c>
      <c r="AR108" s="117" t="n">
        <f aca="false">SUMIFS(الريسبي!$C$2:$C$1800,الريسبي!$A$2:$A$1800,$A108,الريسبي!$B$2:$B$1800,AR$1)</f>
        <v>0</v>
      </c>
      <c r="AS108" s="117" t="n">
        <f aca="false">SUMIFS(الريسبي!$C$2:$C$1800,الريسبي!$A$2:$A$1800,$A108,الريسبي!$B$2:$B$1800,AS$1)</f>
        <v>0</v>
      </c>
      <c r="AT108" s="117" t="n">
        <f aca="false">SUMIFS(الريسبي!$C$2:$C$1800,الريسبي!$A$2:$A$1800,$A108,الريسبي!$B$2:$B$1800,AT$1)</f>
        <v>0</v>
      </c>
      <c r="AU108" s="117" t="n">
        <f aca="false">SUMIFS(الريسبي!$C$2:$C$1800,الريسبي!$A$2:$A$1800,$A108,الريسبي!$B$2:$B$1800,AU$1)</f>
        <v>0</v>
      </c>
      <c r="AV108" s="117" t="n">
        <f aca="false">SUMIFS(الريسبي!$C$2:$C$1800,الريسبي!$A$2:$A$1800,$A108,الريسبي!$B$2:$B$1800,AV$1)</f>
        <v>0</v>
      </c>
      <c r="AW108" s="117" t="n">
        <f aca="false">SUMIFS(الريسبي!$C$2:$C$1800,الريسبي!$A$2:$A$1800,$A108,الريسبي!$B$2:$B$1800,AW$1)</f>
        <v>0</v>
      </c>
      <c r="AX108" s="117" t="n">
        <f aca="false">SUMIFS(الريسبي!$C$2:$C$1800,الريسبي!$A$2:$A$1800,$A108,الريسبي!$B$2:$B$1800,AX$1)</f>
        <v>0</v>
      </c>
      <c r="AY108" s="117" t="n">
        <f aca="false">SUMIFS(الريسبي!$C$2:$C$1800,الريسبي!$A$2:$A$1800,$A108,الريسبي!$B$2:$B$1800,AY$1)</f>
        <v>0</v>
      </c>
      <c r="AZ108" s="117" t="n">
        <f aca="false">SUMIFS(الريسبي!$C$2:$C$1800,الريسبي!$A$2:$A$1800,$A108,الريسبي!$B$2:$B$1800,AZ$1)</f>
        <v>0</v>
      </c>
      <c r="BA108" s="117" t="n">
        <f aca="false">SUMIFS(الريسبي!$C$2:$C$1800,الريسبي!$A$2:$A$1800,$A108,الريسبي!$B$2:$B$1800,BA$1)</f>
        <v>0</v>
      </c>
      <c r="BB108" s="117" t="n">
        <f aca="false">SUMIFS(الريسبي!$C$2:$C$1800,الريسبي!$A$2:$A$1800,$A108,الريسبي!$B$2:$B$1800,BB$1)</f>
        <v>0</v>
      </c>
      <c r="BC108" s="117" t="n">
        <f aca="false">SUMIFS(الريسبي!$C$2:$C$1800,الريسبي!$A$2:$A$1800,$A108,الريسبي!$B$2:$B$1800,BC$1)</f>
        <v>0.045</v>
      </c>
      <c r="BD108" s="117" t="n">
        <f aca="false">SUMIFS(الريسبي!$C$2:$C$1800,الريسبي!$A$2:$A$1800,$A108,الريسبي!$B$2:$B$1800,BD$1)</f>
        <v>0</v>
      </c>
      <c r="BE108" s="117" t="n">
        <f aca="false">SUMIFS(الريسبي!$C$2:$C$1800,الريسبي!$A$2:$A$1800,$A108,الريسبي!$B$2:$B$1800,BE$1)</f>
        <v>1.5</v>
      </c>
      <c r="BF108" s="117" t="n">
        <f aca="false">SUMIFS(الريسبي!$C$2:$C$1800,الريسبي!$A$2:$A$1800,$A108,الريسبي!$B$2:$B$1800,BF$1)</f>
        <v>0</v>
      </c>
      <c r="BG108" s="117" t="n">
        <f aca="false">SUMIFS(الريسبي!$C$2:$C$1800,الريسبي!$A$2:$A$1800,$A108,الريسبي!$B$2:$B$1800,BG$1)</f>
        <v>1</v>
      </c>
      <c r="BH108" s="117" t="n">
        <f aca="false">SUMIFS(الريسبي!$C$2:$C$1800,الريسبي!$A$2:$A$1800,$A108,الريسبي!$B$2:$B$1800,BH$1)</f>
        <v>0</v>
      </c>
      <c r="BI108" s="117" t="n">
        <f aca="false">SUMIFS(الريسبي!$C$2:$C$1800,الريسبي!$A$2:$A$1800,$A108,الريسبي!$B$2:$B$1800,BI$1)</f>
        <v>0</v>
      </c>
      <c r="BJ108" s="117" t="n">
        <f aca="false">SUMIFS(الريسبي!$C$2:$C$1800,الريسبي!$A$2:$A$1800,$A108,الريسبي!$B$2:$B$1800,BJ$1)</f>
        <v>0</v>
      </c>
      <c r="BK108" s="117" t="n">
        <f aca="false">SUMIFS(الريسبي!$C$2:$C$1800,الريسبي!$A$2:$A$1800,$A108,الريسبي!$B$2:$B$1800,BK$1)</f>
        <v>0</v>
      </c>
      <c r="BL108" s="117" t="n">
        <f aca="false">SUMIFS(الريسبي!$C$2:$C$1800,الريسبي!$A$2:$A$1800,$A108,الريسبي!$B$2:$B$1800,BL$1)</f>
        <v>0</v>
      </c>
      <c r="BM108" s="117" t="n">
        <f aca="false">SUMIFS(الريسبي!$C$2:$C$1800,الريسبي!$A$2:$A$1800,$A108,الريسبي!$B$2:$B$1800,BM$1)</f>
        <v>0</v>
      </c>
      <c r="BN108" s="117" t="n">
        <f aca="false">SUMIFS(الريسبي!$C$2:$C$1800,الريسبي!$A$2:$A$1800,$A108,الريسبي!$B$2:$B$1800,BN$1)</f>
        <v>0.03</v>
      </c>
      <c r="BO108" s="117" t="n">
        <f aca="false">SUMIFS(الريسبي!$C$2:$C$1800,الريسبي!$A$2:$A$1800,$A108,الريسبي!$B$2:$B$1800,BO$1)</f>
        <v>0</v>
      </c>
      <c r="BP108" s="117" t="n">
        <f aca="false">SUMIFS(الريسبي!$C$2:$C$1800,الريسبي!$A$2:$A$1800,$A108,الريسبي!$B$2:$B$1800,BP$1)</f>
        <v>3</v>
      </c>
      <c r="BQ108" s="117" t="n">
        <f aca="false">SUMIFS(الريسبي!$C$2:$C$1800,الريسبي!$A$2:$A$1800,$A108,الريسبي!$B$2:$B$1800,BQ$1)+0.17*SUMIFS(الريسبي!$C$2:$C$1800,الريسبي!$A$2:$A$1800,$A108,الريسبي!$B$2:$B$1800,"كاسترد مصنع (خليط بودر + لبن)")+0.17*SUMIFS(الريسبي!$C$2:$C$1800,الريسبي!$A$2:$A$1800,$A108,الريسبي!$B$2:$B$1800,"كاسترد مصنع صيامي (بدون لبن)")</f>
        <v>0</v>
      </c>
      <c r="BR108" s="117" t="n">
        <f aca="false">SUMIFS(الريسبي!$C$2:$C$1800,الريسبي!$A$2:$A$1800,$A108,الريسبي!$B$2:$B$1800,BR$1)</f>
        <v>1</v>
      </c>
      <c r="BS108" s="117" t="n">
        <f aca="false">SUMIFS(الريسبي!$C$2:$C$1800,الريسبي!$A$2:$A$1800,$A108,الريسبي!$B$2:$B$1800,BS$1)</f>
        <v>0</v>
      </c>
      <c r="BT108" s="117" t="n">
        <f aca="false">SUMIFS(الريسبي!$C$2:$C$1800,الريسبي!$A$2:$A$1800,$A108,الريسبي!$B$2:$B$1800,BT$1)</f>
        <v>0</v>
      </c>
      <c r="BU108" s="117" t="n">
        <f aca="false">SUMIFS(الريسبي!$C$2:$C$1800,الريسبي!$A$2:$A$1800,$A108,الريسبي!$B$2:$B$1800,BU$1)+0.4*SUMIFS(الريسبي!$C$2:$C$1800,الريسبي!$A$2:$A$1800,$A108,الريسبي!$B$2:$B$1800,"كاسترد مصنع (خليط بودر + لبن)")+0.03333333333*SUMIFS(الريسبي!$C$2:$C$1800,الريسبي!$A$2:$A$1800,$A108,الريسبي!$B$2:$B$1800,"عجين كريب (مصنع بالمطعم)")</f>
        <v>0</v>
      </c>
      <c r="BV108" s="117" t="n">
        <f aca="false">SUMIFS(الريسبي!$C$2:$C$1800,الريسبي!$A$2:$A$1800,$A108,الريسبي!$B$2:$B$1800,BV$1)</f>
        <v>0</v>
      </c>
      <c r="BW108" s="117" t="n">
        <f aca="false">SUMIFS(الريسبي!$C$2:$C$1800,الريسبي!$A$2:$A$1800,$A108,الريسبي!$B$2:$B$1800,BW$1)</f>
        <v>0</v>
      </c>
      <c r="BX108" s="117" t="n">
        <f aca="false">SUMIFS(الريسبي!$C$2:$C$1800,الريسبي!$A$2:$A$1800,$A108,الريسبي!$B$2:$B$1800,BX$1)</f>
        <v>0</v>
      </c>
      <c r="BY108" s="117" t="n">
        <f aca="false">SUMIFS(الريسبي!$C$2:$C$1800,الريسبي!$A$2:$A$1800,$A108,الريسبي!$B$2:$B$1800,BY$1)</f>
        <v>0</v>
      </c>
      <c r="BZ108" s="117" t="n">
        <f aca="false">SUMIFS(الريسبي!$C$2:$C$1800,الريسبي!$A$2:$A$1800,$A108,الريسبي!$B$2:$B$1800,BZ$1)</f>
        <v>0</v>
      </c>
      <c r="CA108" s="117" t="n">
        <f aca="false">SUMIFS(الريسبي!$C$2:$C$1800,الريسبي!$A$2:$A$1800,$A108,الريسبي!$B$2:$B$1800,CA$1)</f>
        <v>1</v>
      </c>
      <c r="CB108" s="117" t="n">
        <f aca="false">SUMIFS(الريسبي!$C$2:$C$1800,الريسبي!$A$2:$A$1800,$A108,الريسبي!$B$2:$B$1800,CB$1)</f>
        <v>1</v>
      </c>
      <c r="CC108" s="117" t="n">
        <f aca="false">SUMIFS(الريسبي!$C$2:$C$1800,الريسبي!$A$2:$A$1800,$A108,الريسبي!$B$2:$B$1800,CC$1)</f>
        <v>0</v>
      </c>
      <c r="CD108" s="117" t="n">
        <f aca="false">SUMIFS(الريسبي!$C$2:$C$1800,الريسبي!$A$2:$A$1800,$A108,الريسبي!$B$2:$B$1800,CD$1)</f>
        <v>0</v>
      </c>
      <c r="CE108" s="117" t="n">
        <f aca="false">SUMIFS(الريسبي!$C$2:$C$1800,الريسبي!$A$2:$A$1800,$A108,الريسبي!$B$2:$B$1800,CE$1)</f>
        <v>0</v>
      </c>
      <c r="CF108" s="117" t="n">
        <f aca="false">SUMIFS(الريسبي!$C$2:$C$1800,الريسبي!$A$2:$A$1800,$A108,الريسبي!$B$2:$B$1800,CF$1)</f>
        <v>0</v>
      </c>
      <c r="CG108" s="117" t="n">
        <f aca="false">SUMIFS(الريسبي!$C$2:$C$1800,الريسبي!$A$2:$A$1800,$A108,الريسبي!$B$2:$B$1800,CG$1)</f>
        <v>0</v>
      </c>
      <c r="CH108" s="117" t="n">
        <f aca="false">SUMIFS(الريسبي!$C$2:$C$1800,الريسبي!$A$2:$A$1800,$A108,الريسبي!$B$2:$B$1800,CH$1)</f>
        <v>0</v>
      </c>
      <c r="CI108" s="117" t="n">
        <f aca="false">SUMIFS(الريسبي!$C$2:$C$1800,الريسبي!$A$2:$A$1800,$A108,الريسبي!$B$2:$B$1800,CI$1)</f>
        <v>0</v>
      </c>
      <c r="CJ108" s="117" t="n">
        <f aca="false">SUMIFS(الريسبي!$C$2:$C$1800,الريسبي!$A$2:$A$1800,$A108,الريسبي!$B$2:$B$1800,CJ$1)</f>
        <v>0</v>
      </c>
      <c r="CK108" s="117" t="n">
        <f aca="false">SUMIFS(الريسبي!$C$2:$C$1800,الريسبي!$A$2:$A$1800,$A108,الريسبي!$B$2:$B$1800,CK$1)</f>
        <v>0</v>
      </c>
      <c r="CL108" s="117" t="n">
        <f aca="false">SUMIFS(الريسبي!$C$2:$C$1800,الريسبي!$A$2:$A$1800,$A108,الريسبي!$B$2:$B$1800,CL$1)</f>
        <v>0</v>
      </c>
    </row>
    <row r="109" customFormat="false" ht="15" hidden="false" customHeight="false" outlineLevel="0" collapsed="false">
      <c r="A109" s="116" t="str">
        <f aca="false">المنيو!B109</f>
        <v>فطيرة تونة صيامي وسط</v>
      </c>
      <c r="B109" s="117" t="n">
        <f aca="false">SUMIFS(الريسبي!$C$2:$C$1800,الريسبي!$A$2:$A$1800,$A109,الريسبي!$B$2:$B$1800,B$1)</f>
        <v>0</v>
      </c>
      <c r="C109" s="117" t="n">
        <f aca="false">SUMIFS(الريسبي!$C$2:$C$1800,الريسبي!$A$2:$A$1800,$A109,الريسبي!$B$2:$B$1800,C$1)</f>
        <v>0</v>
      </c>
      <c r="D109" s="117" t="n">
        <f aca="false">SUMIFS(الريسبي!$C$2:$C$1800,الريسبي!$A$2:$A$1800,$A109,الريسبي!$B$2:$B$1800,D$1)</f>
        <v>1</v>
      </c>
      <c r="E109" s="117" t="n">
        <f aca="false">SUMIFS(الريسبي!$C$2:$C$1800,الريسبي!$A$2:$A$1800,$A109,الريسبي!$B$2:$B$1800,E$1)</f>
        <v>0</v>
      </c>
      <c r="F109" s="117" t="n">
        <f aca="false">SUMIFS(الريسبي!$C$2:$C$1800,الريسبي!$A$2:$A$1800,$A109,الريسبي!$B$2:$B$1800,F$1)</f>
        <v>0</v>
      </c>
      <c r="G109" s="117" t="n">
        <f aca="false">SUMIFS(الريسبي!$C$2:$C$1800,الريسبي!$A$2:$A$1800,$A109,الريسبي!$B$2:$B$1800,G$1)</f>
        <v>0</v>
      </c>
      <c r="H109" s="117" t="n">
        <f aca="false">SUMIFS(الريسبي!$C$2:$C$1800,الريسبي!$A$2:$A$1800,$A109,الريسبي!$B$2:$B$1800,H$1)</f>
        <v>0</v>
      </c>
      <c r="I109" s="117" t="n">
        <f aca="false">SUMIFS(الريسبي!$C$2:$C$1800,الريسبي!$A$2:$A$1800,$A109,الريسبي!$B$2:$B$1800,I$1)</f>
        <v>0</v>
      </c>
      <c r="J109" s="117" t="n">
        <f aca="false">SUMIFS(الريسبي!$C$2:$C$1800,الريسبي!$A$2:$A$1800,$A109,الريسبي!$B$2:$B$1800,J$1)</f>
        <v>0</v>
      </c>
      <c r="K109" s="117" t="n">
        <f aca="false">SUMIFS(الريسبي!$C$2:$C$1800,الريسبي!$A$2:$A$1800,$A109,الريسبي!$B$2:$B$1800,K$1)</f>
        <v>0</v>
      </c>
      <c r="L109" s="117" t="n">
        <f aca="false">SUMIFS(الريسبي!$C$2:$C$1800,الريسبي!$A$2:$A$1800,$A109,الريسبي!$B$2:$B$1800,L$1)</f>
        <v>0</v>
      </c>
      <c r="M109" s="117" t="n">
        <f aca="false">SUMIFS(الريسبي!$C$2:$C$1800,الريسبي!$A$2:$A$1800,$A109,الريسبي!$B$2:$B$1800,M$1)</f>
        <v>0</v>
      </c>
      <c r="N109" s="117" t="n">
        <f aca="false">SUMIFS(الريسبي!$C$2:$C$1800,الريسبي!$A$2:$A$1800,$A109,الريسبي!$B$2:$B$1800,N$1)</f>
        <v>0</v>
      </c>
      <c r="O109" s="117" t="n">
        <f aca="false">SUMIFS(الريسبي!$C$2:$C$1800,الريسبي!$A$2:$A$1800,$A109,الريسبي!$B$2:$B$1800,O$1)</f>
        <v>0</v>
      </c>
      <c r="P109" s="117" t="n">
        <f aca="false">SUMIFS(الريسبي!$C$2:$C$1800,الريسبي!$A$2:$A$1800,$A109,الريسبي!$B$2:$B$1800,P$1)</f>
        <v>0</v>
      </c>
      <c r="Q109" s="117" t="n">
        <f aca="false">SUMIFS(الريسبي!$C$2:$C$1800,الريسبي!$A$2:$A$1800,$A109,الريسبي!$B$2:$B$1800,Q$1)</f>
        <v>0</v>
      </c>
      <c r="R109" s="117" t="n">
        <f aca="false">SUMIFS(الريسبي!$C$2:$C$1800,الريسبي!$A$2:$A$1800,$A109,الريسبي!$B$2:$B$1800,R$1)</f>
        <v>0</v>
      </c>
      <c r="S109" s="117" t="n">
        <f aca="false">SUMIFS(الريسبي!$C$2:$C$1800,الريسبي!$A$2:$A$1800,$A109,الريسبي!$B$2:$B$1800,S$1)</f>
        <v>0</v>
      </c>
      <c r="T109" s="117" t="n">
        <f aca="false">SUMIFS(الريسبي!$C$2:$C$1800,الريسبي!$A$2:$A$1800,$A109,الريسبي!$B$2:$B$1800,T$1)</f>
        <v>0</v>
      </c>
      <c r="U109" s="117" t="n">
        <f aca="false">SUMIFS(الريسبي!$C$2:$C$1800,الريسبي!$A$2:$A$1800,$A109,الريسبي!$B$2:$B$1800,U$1)</f>
        <v>0</v>
      </c>
      <c r="V109" s="117" t="n">
        <f aca="false">SUMIFS(الريسبي!$C$2:$C$1800,الريسبي!$A$2:$A$1800,$A109,الريسبي!$B$2:$B$1800,V$1)</f>
        <v>0</v>
      </c>
      <c r="W109" s="117" t="n">
        <f aca="false">SUMIFS(الريسبي!$C$2:$C$1800,الريسبي!$A$2:$A$1800,$A109,الريسبي!$B$2:$B$1800,W$1)</f>
        <v>0</v>
      </c>
      <c r="X109" s="117" t="n">
        <f aca="false">SUMIFS(الريسبي!$C$2:$C$1800,الريسبي!$A$2:$A$1800,$A109,الريسبي!$B$2:$B$1800,X$1)</f>
        <v>1</v>
      </c>
      <c r="Y109" s="117" t="n">
        <f aca="false">SUMIFS(الريسبي!$C$2:$C$1800,الريسبي!$A$2:$A$1800,$A109,الريسبي!$B$2:$B$1800,Y$1)</f>
        <v>0</v>
      </c>
      <c r="Z109" s="117" t="n">
        <f aca="false">SUMIFS(الريسبي!$C$2:$C$1800,الريسبي!$A$2:$A$1800,$A109,الريسبي!$B$2:$B$1800,Z$1)</f>
        <v>0</v>
      </c>
      <c r="AA109" s="117" t="n">
        <f aca="false">SUMIFS(الريسبي!$C$2:$C$1800,الريسبي!$A$2:$A$1800,$A109,الريسبي!$B$2:$B$1800,AA$1)</f>
        <v>0</v>
      </c>
      <c r="AB109" s="117" t="n">
        <f aca="false">SUMIFS(الريسبي!$C$2:$C$1800,الريسبي!$A$2:$A$1800,$A109,الريسبي!$B$2:$B$1800,AB$1)</f>
        <v>0</v>
      </c>
      <c r="AC109" s="117" t="n">
        <f aca="false">SUMIFS(الريسبي!$C$2:$C$1800,الريسبي!$A$2:$A$1800,$A109,الريسبي!$B$2:$B$1800,AC$1)</f>
        <v>0</v>
      </c>
      <c r="AD109" s="117" t="n">
        <f aca="false">SUMIFS(الريسبي!$C$2:$C$1800,الريسبي!$A$2:$A$1800,$A109,الريسبي!$B$2:$B$1800,AD$1)</f>
        <v>0</v>
      </c>
      <c r="AE109" s="117" t="n">
        <f aca="false">SUMIFS(الريسبي!$C$2:$C$1800,الريسبي!$A$2:$A$1800,$A109,الريسبي!$B$2:$B$1800,AE$1)</f>
        <v>0</v>
      </c>
      <c r="AF109" s="117" t="n">
        <f aca="false">SUMIFS(الريسبي!$C$2:$C$1800,الريسبي!$A$2:$A$1800,$A109,الريسبي!$B$2:$B$1800,AF$1)</f>
        <v>0</v>
      </c>
      <c r="AG109" s="117" t="n">
        <f aca="false">SUMIFS(الريسبي!$C$2:$C$1800,الريسبي!$A$2:$A$1800,$A109,الريسبي!$B$2:$B$1800,AG$1)</f>
        <v>0</v>
      </c>
      <c r="AH109" s="117" t="n">
        <f aca="false">SUMIFS(الريسبي!$C$2:$C$1800,الريسبي!$A$2:$A$1800,$A109,الريسبي!$B$2:$B$1800,AH$1)</f>
        <v>0</v>
      </c>
      <c r="AI109" s="117" t="n">
        <f aca="false">SUMIFS(الريسبي!$C$2:$C$1800,الريسبي!$A$2:$A$1800,$A109,الريسبي!$B$2:$B$1800,AI$1)</f>
        <v>0</v>
      </c>
      <c r="AJ109" s="117" t="n">
        <f aca="false">SUMIFS(الريسبي!$C$2:$C$1800,الريسبي!$A$2:$A$1800,$A109,الريسبي!$B$2:$B$1800,AJ$1)</f>
        <v>2</v>
      </c>
      <c r="AK109" s="117" t="n">
        <f aca="false">SUMIFS(الريسبي!$C$2:$C$1800,الريسبي!$A$2:$A$1800,$A109,الريسبي!$B$2:$B$1800,AK$1)</f>
        <v>0</v>
      </c>
      <c r="AL109" s="117" t="n">
        <f aca="false">SUMIFS(الريسبي!$C$2:$C$1800,الريسبي!$A$2:$A$1800,$A109,الريسبي!$B$2:$B$1800,AL$1)</f>
        <v>0</v>
      </c>
      <c r="AM109" s="117" t="n">
        <f aca="false">SUMIFS(الريسبي!$C$2:$C$1800,الريسبي!$A$2:$A$1800,$A109,الريسبي!$B$2:$B$1800,AM$1)+0.08333333333*SUMIFS(الريسبي!$C$2:$C$1800,الريسبي!$A$2:$A$1800,$A109,الريسبي!$B$2:$B$1800,"عجين كريب (مصنع بالمطعم)")+0.08333333333*SUMIFS(الريسبي!$C$2:$C$1800,الريسبي!$A$2:$A$1800,$A109,الريسبي!$B$2:$B$1800,"عجين كريب صيامي (بدون لبن)")</f>
        <v>0</v>
      </c>
      <c r="AN109" s="117" t="n">
        <f aca="false">SUMIFS(الريسبي!$C$2:$C$1800,الريسبي!$A$2:$A$1800,$A109,الريسبي!$B$2:$B$1800,AN$1)+0.004166666667*SUMIFS(الريسبي!$C$2:$C$1800,الريسبي!$A$2:$A$1800,$A109,الريسبي!$B$2:$B$1800,"عجين كريب (مصنع بالمطعم)")+0.004166666667*SUMIFS(الريسبي!$C$2:$C$1800,الريسبي!$A$2:$A$1800,$A109,الريسبي!$B$2:$B$1800,"عجين كريب صيامي (بدون لبن)")</f>
        <v>0</v>
      </c>
      <c r="AO109" s="117" t="n">
        <f aca="false">SUMIFS(الريسبي!$C$2:$C$1800,الريسبي!$A$2:$A$1800,$A109,الريسبي!$B$2:$B$1800,AO$1)</f>
        <v>0</v>
      </c>
      <c r="AP109" s="117" t="n">
        <f aca="false">SUMIFS(الريسبي!$C$2:$C$1800,الريسبي!$A$2:$A$1800,$A109,الريسبي!$B$2:$B$1800,AP$1)</f>
        <v>0.02</v>
      </c>
      <c r="AQ109" s="117" t="n">
        <f aca="false">SUMIFS(الريسبي!$C$2:$C$1800,الريسبي!$A$2:$A$1800,$A109,الريسبي!$B$2:$B$1800,AQ$1)+0.004166666667*SUMIFS(الريسبي!$C$2:$C$1800,الريسبي!$A$2:$A$1800,$A109,الريسبي!$B$2:$B$1800,"عجين كريب (مصنع بالمطعم)")+0.004166666667*SUMIFS(الريسبي!$C$2:$C$1800,الريسبي!$A$2:$A$1800,$A109,الريسبي!$B$2:$B$1800,"عجين كريب صيامي (بدون لبن)")</f>
        <v>0</v>
      </c>
      <c r="AR109" s="117" t="n">
        <f aca="false">SUMIFS(الريسبي!$C$2:$C$1800,الريسبي!$A$2:$A$1800,$A109,الريسبي!$B$2:$B$1800,AR$1)</f>
        <v>0</v>
      </c>
      <c r="AS109" s="117" t="n">
        <f aca="false">SUMIFS(الريسبي!$C$2:$C$1800,الريسبي!$A$2:$A$1800,$A109,الريسبي!$B$2:$B$1800,AS$1)</f>
        <v>0</v>
      </c>
      <c r="AT109" s="117" t="n">
        <f aca="false">SUMIFS(الريسبي!$C$2:$C$1800,الريسبي!$A$2:$A$1800,$A109,الريسبي!$B$2:$B$1800,AT$1)</f>
        <v>0</v>
      </c>
      <c r="AU109" s="117" t="n">
        <f aca="false">SUMIFS(الريسبي!$C$2:$C$1800,الريسبي!$A$2:$A$1800,$A109,الريسبي!$B$2:$B$1800,AU$1)</f>
        <v>0</v>
      </c>
      <c r="AV109" s="117" t="n">
        <f aca="false">SUMIFS(الريسبي!$C$2:$C$1800,الريسبي!$A$2:$A$1800,$A109,الريسبي!$B$2:$B$1800,AV$1)</f>
        <v>0</v>
      </c>
      <c r="AW109" s="117" t="n">
        <f aca="false">SUMIFS(الريسبي!$C$2:$C$1800,الريسبي!$A$2:$A$1800,$A109,الريسبي!$B$2:$B$1800,AW$1)</f>
        <v>0</v>
      </c>
      <c r="AX109" s="117" t="n">
        <f aca="false">SUMIFS(الريسبي!$C$2:$C$1800,الريسبي!$A$2:$A$1800,$A109,الريسبي!$B$2:$B$1800,AX$1)</f>
        <v>0</v>
      </c>
      <c r="AY109" s="117" t="n">
        <f aca="false">SUMIFS(الريسبي!$C$2:$C$1800,الريسبي!$A$2:$A$1800,$A109,الريسبي!$B$2:$B$1800,AY$1)</f>
        <v>0</v>
      </c>
      <c r="AZ109" s="117" t="n">
        <f aca="false">SUMIFS(الريسبي!$C$2:$C$1800,الريسبي!$A$2:$A$1800,$A109,الريسبي!$B$2:$B$1800,AZ$1)</f>
        <v>0</v>
      </c>
      <c r="BA109" s="117" t="n">
        <f aca="false">SUMIFS(الريسبي!$C$2:$C$1800,الريسبي!$A$2:$A$1800,$A109,الريسبي!$B$2:$B$1800,BA$1)</f>
        <v>0</v>
      </c>
      <c r="BB109" s="117" t="n">
        <f aca="false">SUMIFS(الريسبي!$C$2:$C$1800,الريسبي!$A$2:$A$1800,$A109,الريسبي!$B$2:$B$1800,BB$1)</f>
        <v>0</v>
      </c>
      <c r="BC109" s="117" t="n">
        <f aca="false">SUMIFS(الريسبي!$C$2:$C$1800,الريسبي!$A$2:$A$1800,$A109,الريسبي!$B$2:$B$1800,BC$1)</f>
        <v>0.03</v>
      </c>
      <c r="BD109" s="117" t="n">
        <f aca="false">SUMIFS(الريسبي!$C$2:$C$1800,الريسبي!$A$2:$A$1800,$A109,الريسبي!$B$2:$B$1800,BD$1)</f>
        <v>0</v>
      </c>
      <c r="BE109" s="117" t="n">
        <f aca="false">SUMIFS(الريسبي!$C$2:$C$1800,الريسبي!$A$2:$A$1800,$A109,الريسبي!$B$2:$B$1800,BE$1)</f>
        <v>1</v>
      </c>
      <c r="BF109" s="117" t="n">
        <f aca="false">SUMIFS(الريسبي!$C$2:$C$1800,الريسبي!$A$2:$A$1800,$A109,الريسبي!$B$2:$B$1800,BF$1)</f>
        <v>0</v>
      </c>
      <c r="BG109" s="117" t="n">
        <f aca="false">SUMIFS(الريسبي!$C$2:$C$1800,الريسبي!$A$2:$A$1800,$A109,الريسبي!$B$2:$B$1800,BG$1)</f>
        <v>0</v>
      </c>
      <c r="BH109" s="117" t="n">
        <f aca="false">SUMIFS(الريسبي!$C$2:$C$1800,الريسبي!$A$2:$A$1800,$A109,الريسبي!$B$2:$B$1800,BH$1)</f>
        <v>1</v>
      </c>
      <c r="BI109" s="117" t="n">
        <f aca="false">SUMIFS(الريسبي!$C$2:$C$1800,الريسبي!$A$2:$A$1800,$A109,الريسبي!$B$2:$B$1800,BI$1)</f>
        <v>0</v>
      </c>
      <c r="BJ109" s="117" t="n">
        <f aca="false">SUMIFS(الريسبي!$C$2:$C$1800,الريسبي!$A$2:$A$1800,$A109,الريسبي!$B$2:$B$1800,BJ$1)</f>
        <v>0</v>
      </c>
      <c r="BK109" s="117" t="n">
        <f aca="false">SUMIFS(الريسبي!$C$2:$C$1800,الريسبي!$A$2:$A$1800,$A109,الريسبي!$B$2:$B$1800,BK$1)</f>
        <v>0</v>
      </c>
      <c r="BL109" s="117" t="n">
        <f aca="false">SUMIFS(الريسبي!$C$2:$C$1800,الريسبي!$A$2:$A$1800,$A109,الريسبي!$B$2:$B$1800,BL$1)</f>
        <v>1</v>
      </c>
      <c r="BM109" s="117" t="n">
        <f aca="false">SUMIFS(الريسبي!$C$2:$C$1800,الريسبي!$A$2:$A$1800,$A109,الريسبي!$B$2:$B$1800,BM$1)</f>
        <v>0</v>
      </c>
      <c r="BN109" s="117" t="n">
        <f aca="false">SUMIFS(الريسبي!$C$2:$C$1800,الريسبي!$A$2:$A$1800,$A109,الريسبي!$B$2:$B$1800,BN$1)</f>
        <v>0.02</v>
      </c>
      <c r="BO109" s="117" t="n">
        <f aca="false">SUMIFS(الريسبي!$C$2:$C$1800,الريسبي!$A$2:$A$1800,$A109,الريسبي!$B$2:$B$1800,BO$1)</f>
        <v>0</v>
      </c>
      <c r="BP109" s="117" t="n">
        <f aca="false">SUMIFS(الريسبي!$C$2:$C$1800,الريسبي!$A$2:$A$1800,$A109,الريسبي!$B$2:$B$1800,BP$1)</f>
        <v>2</v>
      </c>
      <c r="BQ109" s="117" t="n">
        <f aca="false">SUMIFS(الريسبي!$C$2:$C$1800,الريسبي!$A$2:$A$1800,$A109,الريسبي!$B$2:$B$1800,BQ$1)+0.17*SUMIFS(الريسبي!$C$2:$C$1800,الريسبي!$A$2:$A$1800,$A109,الريسبي!$B$2:$B$1800,"كاسترد مصنع (خليط بودر + لبن)")+0.17*SUMIFS(الريسبي!$C$2:$C$1800,الريسبي!$A$2:$A$1800,$A109,الريسبي!$B$2:$B$1800,"كاسترد مصنع صيامي (بدون لبن)")</f>
        <v>0</v>
      </c>
      <c r="BR109" s="117" t="n">
        <f aca="false">SUMIFS(الريسبي!$C$2:$C$1800,الريسبي!$A$2:$A$1800,$A109,الريسبي!$B$2:$B$1800,BR$1)</f>
        <v>1</v>
      </c>
      <c r="BS109" s="117" t="n">
        <f aca="false">SUMIFS(الريسبي!$C$2:$C$1800,الريسبي!$A$2:$A$1800,$A109,الريسبي!$B$2:$B$1800,BS$1)</f>
        <v>0</v>
      </c>
      <c r="BT109" s="117" t="n">
        <f aca="false">SUMIFS(الريسبي!$C$2:$C$1800,الريسبي!$A$2:$A$1800,$A109,الريسبي!$B$2:$B$1800,BT$1)</f>
        <v>0</v>
      </c>
      <c r="BU109" s="117" t="n">
        <f aca="false">SUMIFS(الريسبي!$C$2:$C$1800,الريسبي!$A$2:$A$1800,$A109,الريسبي!$B$2:$B$1800,BU$1)+0.4*SUMIFS(الريسبي!$C$2:$C$1800,الريسبي!$A$2:$A$1800,$A109,الريسبي!$B$2:$B$1800,"كاسترد مصنع (خليط بودر + لبن)")+0.03333333333*SUMIFS(الريسبي!$C$2:$C$1800,الريسبي!$A$2:$A$1800,$A109,الريسبي!$B$2:$B$1800,"عجين كريب (مصنع بالمطعم)")</f>
        <v>0</v>
      </c>
      <c r="BV109" s="117" t="n">
        <f aca="false">SUMIFS(الريسبي!$C$2:$C$1800,الريسبي!$A$2:$A$1800,$A109,الريسبي!$B$2:$B$1800,BV$1)</f>
        <v>0</v>
      </c>
      <c r="BW109" s="117" t="n">
        <f aca="false">SUMIFS(الريسبي!$C$2:$C$1800,الريسبي!$A$2:$A$1800,$A109,الريسبي!$B$2:$B$1800,BW$1)</f>
        <v>0</v>
      </c>
      <c r="BX109" s="117" t="n">
        <f aca="false">SUMIFS(الريسبي!$C$2:$C$1800,الريسبي!$A$2:$A$1800,$A109,الريسبي!$B$2:$B$1800,BX$1)</f>
        <v>0</v>
      </c>
      <c r="BY109" s="117" t="n">
        <f aca="false">SUMIFS(الريسبي!$C$2:$C$1800,الريسبي!$A$2:$A$1800,$A109,الريسبي!$B$2:$B$1800,BY$1)</f>
        <v>0</v>
      </c>
      <c r="BZ109" s="117" t="n">
        <f aca="false">SUMIFS(الريسبي!$C$2:$C$1800,الريسبي!$A$2:$A$1800,$A109,الريسبي!$B$2:$B$1800,BZ$1)</f>
        <v>0</v>
      </c>
      <c r="CA109" s="117" t="n">
        <f aca="false">SUMIFS(الريسبي!$C$2:$C$1800,الريسبي!$A$2:$A$1800,$A109,الريسبي!$B$2:$B$1800,CA$1)</f>
        <v>1</v>
      </c>
      <c r="CB109" s="117" t="n">
        <f aca="false">SUMIFS(الريسبي!$C$2:$C$1800,الريسبي!$A$2:$A$1800,$A109,الريسبي!$B$2:$B$1800,CB$1)</f>
        <v>1</v>
      </c>
      <c r="CC109" s="117" t="n">
        <f aca="false">SUMIFS(الريسبي!$C$2:$C$1800,الريسبي!$A$2:$A$1800,$A109,الريسبي!$B$2:$B$1800,CC$1)</f>
        <v>0</v>
      </c>
      <c r="CD109" s="117" t="n">
        <f aca="false">SUMIFS(الريسبي!$C$2:$C$1800,الريسبي!$A$2:$A$1800,$A109,الريسبي!$B$2:$B$1800,CD$1)</f>
        <v>0</v>
      </c>
      <c r="CE109" s="117" t="n">
        <f aca="false">SUMIFS(الريسبي!$C$2:$C$1800,الريسبي!$A$2:$A$1800,$A109,الريسبي!$B$2:$B$1800,CE$1)</f>
        <v>0</v>
      </c>
      <c r="CF109" s="117" t="n">
        <f aca="false">SUMIFS(الريسبي!$C$2:$C$1800,الريسبي!$A$2:$A$1800,$A109,الريسبي!$B$2:$B$1800,CF$1)</f>
        <v>0</v>
      </c>
      <c r="CG109" s="117" t="n">
        <f aca="false">SUMIFS(الريسبي!$C$2:$C$1800,الريسبي!$A$2:$A$1800,$A109,الريسبي!$B$2:$B$1800,CG$1)</f>
        <v>0</v>
      </c>
      <c r="CH109" s="117" t="n">
        <f aca="false">SUMIFS(الريسبي!$C$2:$C$1800,الريسبي!$A$2:$A$1800,$A109,الريسبي!$B$2:$B$1800,CH$1)</f>
        <v>0</v>
      </c>
      <c r="CI109" s="117" t="n">
        <f aca="false">SUMIFS(الريسبي!$C$2:$C$1800,الريسبي!$A$2:$A$1800,$A109,الريسبي!$B$2:$B$1800,CI$1)</f>
        <v>0</v>
      </c>
      <c r="CJ109" s="117" t="n">
        <f aca="false">SUMIFS(الريسبي!$C$2:$C$1800,الريسبي!$A$2:$A$1800,$A109,الريسبي!$B$2:$B$1800,CJ$1)</f>
        <v>0</v>
      </c>
      <c r="CK109" s="117" t="n">
        <f aca="false">SUMIFS(الريسبي!$C$2:$C$1800,الريسبي!$A$2:$A$1800,$A109,الريسبي!$B$2:$B$1800,CK$1)</f>
        <v>0</v>
      </c>
      <c r="CL109" s="117" t="n">
        <f aca="false">SUMIFS(الريسبي!$C$2:$C$1800,الريسبي!$A$2:$A$1800,$A109,الريسبي!$B$2:$B$1800,CL$1)</f>
        <v>0</v>
      </c>
    </row>
    <row r="110" customFormat="false" ht="15" hidden="false" customHeight="false" outlineLevel="0" collapsed="false">
      <c r="A110" s="116" t="str">
        <f aca="false">المنيو!B110</f>
        <v>فطيرة تونة صيامي مخصوص</v>
      </c>
      <c r="B110" s="117" t="n">
        <f aca="false">SUMIFS(الريسبي!$C$2:$C$1800,الريسبي!$A$2:$A$1800,$A110,الريسبي!$B$2:$B$1800,B$1)</f>
        <v>0</v>
      </c>
      <c r="C110" s="117" t="n">
        <f aca="false">SUMIFS(الريسبي!$C$2:$C$1800,الريسبي!$A$2:$A$1800,$A110,الريسبي!$B$2:$B$1800,C$1)</f>
        <v>0</v>
      </c>
      <c r="D110" s="117" t="n">
        <f aca="false">SUMIFS(الريسبي!$C$2:$C$1800,الريسبي!$A$2:$A$1800,$A110,الريسبي!$B$2:$B$1800,D$1)</f>
        <v>1</v>
      </c>
      <c r="E110" s="117" t="n">
        <f aca="false">SUMIFS(الريسبي!$C$2:$C$1800,الريسبي!$A$2:$A$1800,$A110,الريسبي!$B$2:$B$1800,E$1)</f>
        <v>0</v>
      </c>
      <c r="F110" s="117" t="n">
        <f aca="false">SUMIFS(الريسبي!$C$2:$C$1800,الريسبي!$A$2:$A$1800,$A110,الريسبي!$B$2:$B$1800,F$1)</f>
        <v>0</v>
      </c>
      <c r="G110" s="117" t="n">
        <f aca="false">SUMIFS(الريسبي!$C$2:$C$1800,الريسبي!$A$2:$A$1800,$A110,الريسبي!$B$2:$B$1800,G$1)</f>
        <v>0</v>
      </c>
      <c r="H110" s="117" t="n">
        <f aca="false">SUMIFS(الريسبي!$C$2:$C$1800,الريسبي!$A$2:$A$1800,$A110,الريسبي!$B$2:$B$1800,H$1)</f>
        <v>0</v>
      </c>
      <c r="I110" s="117" t="n">
        <f aca="false">SUMIFS(الريسبي!$C$2:$C$1800,الريسبي!$A$2:$A$1800,$A110,الريسبي!$B$2:$B$1800,I$1)</f>
        <v>0</v>
      </c>
      <c r="J110" s="117" t="n">
        <f aca="false">SUMIFS(الريسبي!$C$2:$C$1800,الريسبي!$A$2:$A$1800,$A110,الريسبي!$B$2:$B$1800,J$1)</f>
        <v>0</v>
      </c>
      <c r="K110" s="117" t="n">
        <f aca="false">SUMIFS(الريسبي!$C$2:$C$1800,الريسبي!$A$2:$A$1800,$A110,الريسبي!$B$2:$B$1800,K$1)</f>
        <v>0</v>
      </c>
      <c r="L110" s="117" t="n">
        <f aca="false">SUMIFS(الريسبي!$C$2:$C$1800,الريسبي!$A$2:$A$1800,$A110,الريسبي!$B$2:$B$1800,L$1)</f>
        <v>0</v>
      </c>
      <c r="M110" s="117" t="n">
        <f aca="false">SUMIFS(الريسبي!$C$2:$C$1800,الريسبي!$A$2:$A$1800,$A110,الريسبي!$B$2:$B$1800,M$1)</f>
        <v>0</v>
      </c>
      <c r="N110" s="117" t="n">
        <f aca="false">SUMIFS(الريسبي!$C$2:$C$1800,الريسبي!$A$2:$A$1800,$A110,الريسبي!$B$2:$B$1800,N$1)</f>
        <v>0</v>
      </c>
      <c r="O110" s="117" t="n">
        <f aca="false">SUMIFS(الريسبي!$C$2:$C$1800,الريسبي!$A$2:$A$1800,$A110,الريسبي!$B$2:$B$1800,O$1)</f>
        <v>0</v>
      </c>
      <c r="P110" s="117" t="n">
        <f aca="false">SUMIFS(الريسبي!$C$2:$C$1800,الريسبي!$A$2:$A$1800,$A110,الريسبي!$B$2:$B$1800,P$1)</f>
        <v>0</v>
      </c>
      <c r="Q110" s="117" t="n">
        <f aca="false">SUMIFS(الريسبي!$C$2:$C$1800,الريسبي!$A$2:$A$1800,$A110,الريسبي!$B$2:$B$1800,Q$1)</f>
        <v>0</v>
      </c>
      <c r="R110" s="117" t="n">
        <f aca="false">SUMIFS(الريسبي!$C$2:$C$1800,الريسبي!$A$2:$A$1800,$A110,الريسبي!$B$2:$B$1800,R$1)</f>
        <v>0</v>
      </c>
      <c r="S110" s="117" t="n">
        <f aca="false">SUMIFS(الريسبي!$C$2:$C$1800,الريسبي!$A$2:$A$1800,$A110,الريسبي!$B$2:$B$1800,S$1)</f>
        <v>0</v>
      </c>
      <c r="T110" s="117" t="n">
        <f aca="false">SUMIFS(الريسبي!$C$2:$C$1800,الريسبي!$A$2:$A$1800,$A110,الريسبي!$B$2:$B$1800,T$1)</f>
        <v>0</v>
      </c>
      <c r="U110" s="117" t="n">
        <f aca="false">SUMIFS(الريسبي!$C$2:$C$1800,الريسبي!$A$2:$A$1800,$A110,الريسبي!$B$2:$B$1800,U$1)</f>
        <v>0</v>
      </c>
      <c r="V110" s="117" t="n">
        <f aca="false">SUMIFS(الريسبي!$C$2:$C$1800,الريسبي!$A$2:$A$1800,$A110,الريسبي!$B$2:$B$1800,V$1)</f>
        <v>0</v>
      </c>
      <c r="W110" s="117" t="n">
        <f aca="false">SUMIFS(الريسبي!$C$2:$C$1800,الريسبي!$A$2:$A$1800,$A110,الريسبي!$B$2:$B$1800,W$1)</f>
        <v>0</v>
      </c>
      <c r="X110" s="117" t="n">
        <f aca="false">SUMIFS(الريسبي!$C$2:$C$1800,الريسبي!$A$2:$A$1800,$A110,الريسبي!$B$2:$B$1800,X$1)</f>
        <v>0</v>
      </c>
      <c r="Y110" s="117" t="n">
        <f aca="false">SUMIFS(الريسبي!$C$2:$C$1800,الريسبي!$A$2:$A$1800,$A110,الريسبي!$B$2:$B$1800,Y$1)</f>
        <v>1</v>
      </c>
      <c r="Z110" s="117" t="n">
        <f aca="false">SUMIFS(الريسبي!$C$2:$C$1800,الريسبي!$A$2:$A$1800,$A110,الريسبي!$B$2:$B$1800,Z$1)</f>
        <v>0</v>
      </c>
      <c r="AA110" s="117" t="n">
        <f aca="false">SUMIFS(الريسبي!$C$2:$C$1800,الريسبي!$A$2:$A$1800,$A110,الريسبي!$B$2:$B$1800,AA$1)</f>
        <v>0</v>
      </c>
      <c r="AB110" s="117" t="n">
        <f aca="false">SUMIFS(الريسبي!$C$2:$C$1800,الريسبي!$A$2:$A$1800,$A110,الريسبي!$B$2:$B$1800,AB$1)</f>
        <v>0</v>
      </c>
      <c r="AC110" s="117" t="n">
        <f aca="false">SUMIFS(الريسبي!$C$2:$C$1800,الريسبي!$A$2:$A$1800,$A110,الريسبي!$B$2:$B$1800,AC$1)</f>
        <v>0</v>
      </c>
      <c r="AD110" s="117" t="n">
        <f aca="false">SUMIFS(الريسبي!$C$2:$C$1800,الريسبي!$A$2:$A$1800,$A110,الريسبي!$B$2:$B$1800,AD$1)</f>
        <v>0</v>
      </c>
      <c r="AE110" s="117" t="n">
        <f aca="false">SUMIFS(الريسبي!$C$2:$C$1800,الريسبي!$A$2:$A$1800,$A110,الريسبي!$B$2:$B$1800,AE$1)</f>
        <v>0</v>
      </c>
      <c r="AF110" s="117" t="n">
        <f aca="false">SUMIFS(الريسبي!$C$2:$C$1800,الريسبي!$A$2:$A$1800,$A110,الريسبي!$B$2:$B$1800,AF$1)</f>
        <v>0</v>
      </c>
      <c r="AG110" s="117" t="n">
        <f aca="false">SUMIFS(الريسبي!$C$2:$C$1800,الريسبي!$A$2:$A$1800,$A110,الريسبي!$B$2:$B$1800,AG$1)</f>
        <v>0</v>
      </c>
      <c r="AH110" s="117" t="n">
        <f aca="false">SUMIFS(الريسبي!$C$2:$C$1800,الريسبي!$A$2:$A$1800,$A110,الريسبي!$B$2:$B$1800,AH$1)</f>
        <v>0</v>
      </c>
      <c r="AI110" s="117" t="n">
        <f aca="false">SUMIFS(الريسبي!$C$2:$C$1800,الريسبي!$A$2:$A$1800,$A110,الريسبي!$B$2:$B$1800,AI$1)</f>
        <v>0</v>
      </c>
      <c r="AJ110" s="117" t="n">
        <f aca="false">SUMIFS(الريسبي!$C$2:$C$1800,الريسبي!$A$2:$A$1800,$A110,الريسبي!$B$2:$B$1800,AJ$1)</f>
        <v>2</v>
      </c>
      <c r="AK110" s="117" t="n">
        <f aca="false">SUMIFS(الريسبي!$C$2:$C$1800,الريسبي!$A$2:$A$1800,$A110,الريسبي!$B$2:$B$1800,AK$1)</f>
        <v>0</v>
      </c>
      <c r="AL110" s="117" t="n">
        <f aca="false">SUMIFS(الريسبي!$C$2:$C$1800,الريسبي!$A$2:$A$1800,$A110,الريسبي!$B$2:$B$1800,AL$1)</f>
        <v>0</v>
      </c>
      <c r="AM110" s="117" t="n">
        <f aca="false">SUMIFS(الريسبي!$C$2:$C$1800,الريسبي!$A$2:$A$1800,$A110,الريسبي!$B$2:$B$1800,AM$1)+0.08333333333*SUMIFS(الريسبي!$C$2:$C$1800,الريسبي!$A$2:$A$1800,$A110,الريسبي!$B$2:$B$1800,"عجين كريب (مصنع بالمطعم)")+0.08333333333*SUMIFS(الريسبي!$C$2:$C$1800,الريسبي!$A$2:$A$1800,$A110,الريسبي!$B$2:$B$1800,"عجين كريب صيامي (بدون لبن)")</f>
        <v>0</v>
      </c>
      <c r="AN110" s="117" t="n">
        <f aca="false">SUMIFS(الريسبي!$C$2:$C$1800,الريسبي!$A$2:$A$1800,$A110,الريسبي!$B$2:$B$1800,AN$1)+0.004166666667*SUMIFS(الريسبي!$C$2:$C$1800,الريسبي!$A$2:$A$1800,$A110,الريسبي!$B$2:$B$1800,"عجين كريب (مصنع بالمطعم)")+0.004166666667*SUMIFS(الريسبي!$C$2:$C$1800,الريسبي!$A$2:$A$1800,$A110,الريسبي!$B$2:$B$1800,"عجين كريب صيامي (بدون لبن)")</f>
        <v>0</v>
      </c>
      <c r="AO110" s="117" t="n">
        <f aca="false">SUMIFS(الريسبي!$C$2:$C$1800,الريسبي!$A$2:$A$1800,$A110,الريسبي!$B$2:$B$1800,AO$1)</f>
        <v>0</v>
      </c>
      <c r="AP110" s="117" t="n">
        <f aca="false">SUMIFS(الريسبي!$C$2:$C$1800,الريسبي!$A$2:$A$1800,$A110,الريسبي!$B$2:$B$1800,AP$1)</f>
        <v>0.03</v>
      </c>
      <c r="AQ110" s="117" t="n">
        <f aca="false">SUMIFS(الريسبي!$C$2:$C$1800,الريسبي!$A$2:$A$1800,$A110,الريسبي!$B$2:$B$1800,AQ$1)+0.004166666667*SUMIFS(الريسبي!$C$2:$C$1800,الريسبي!$A$2:$A$1800,$A110,الريسبي!$B$2:$B$1800,"عجين كريب (مصنع بالمطعم)")+0.004166666667*SUMIFS(الريسبي!$C$2:$C$1800,الريسبي!$A$2:$A$1800,$A110,الريسبي!$B$2:$B$1800,"عجين كريب صيامي (بدون لبن)")</f>
        <v>0</v>
      </c>
      <c r="AR110" s="117" t="n">
        <f aca="false">SUMIFS(الريسبي!$C$2:$C$1800,الريسبي!$A$2:$A$1800,$A110,الريسبي!$B$2:$B$1800,AR$1)</f>
        <v>0</v>
      </c>
      <c r="AS110" s="117" t="n">
        <f aca="false">SUMIFS(الريسبي!$C$2:$C$1800,الريسبي!$A$2:$A$1800,$A110,الريسبي!$B$2:$B$1800,AS$1)</f>
        <v>0</v>
      </c>
      <c r="AT110" s="117" t="n">
        <f aca="false">SUMIFS(الريسبي!$C$2:$C$1800,الريسبي!$A$2:$A$1800,$A110,الريسبي!$B$2:$B$1800,AT$1)</f>
        <v>0</v>
      </c>
      <c r="AU110" s="117" t="n">
        <f aca="false">SUMIFS(الريسبي!$C$2:$C$1800,الريسبي!$A$2:$A$1800,$A110,الريسبي!$B$2:$B$1800,AU$1)</f>
        <v>0</v>
      </c>
      <c r="AV110" s="117" t="n">
        <f aca="false">SUMIFS(الريسبي!$C$2:$C$1800,الريسبي!$A$2:$A$1800,$A110,الريسبي!$B$2:$B$1800,AV$1)</f>
        <v>0</v>
      </c>
      <c r="AW110" s="117" t="n">
        <f aca="false">SUMIFS(الريسبي!$C$2:$C$1800,الريسبي!$A$2:$A$1800,$A110,الريسبي!$B$2:$B$1800,AW$1)</f>
        <v>0</v>
      </c>
      <c r="AX110" s="117" t="n">
        <f aca="false">SUMIFS(الريسبي!$C$2:$C$1800,الريسبي!$A$2:$A$1800,$A110,الريسبي!$B$2:$B$1800,AX$1)</f>
        <v>0</v>
      </c>
      <c r="AY110" s="117" t="n">
        <f aca="false">SUMIFS(الريسبي!$C$2:$C$1800,الريسبي!$A$2:$A$1800,$A110,الريسبي!$B$2:$B$1800,AY$1)</f>
        <v>0</v>
      </c>
      <c r="AZ110" s="117" t="n">
        <f aca="false">SUMIFS(الريسبي!$C$2:$C$1800,الريسبي!$A$2:$A$1800,$A110,الريسبي!$B$2:$B$1800,AZ$1)</f>
        <v>0</v>
      </c>
      <c r="BA110" s="117" t="n">
        <f aca="false">SUMIFS(الريسبي!$C$2:$C$1800,الريسبي!$A$2:$A$1800,$A110,الريسبي!$B$2:$B$1800,BA$1)</f>
        <v>0</v>
      </c>
      <c r="BB110" s="117" t="n">
        <f aca="false">SUMIFS(الريسبي!$C$2:$C$1800,الريسبي!$A$2:$A$1800,$A110,الريسبي!$B$2:$B$1800,BB$1)</f>
        <v>0</v>
      </c>
      <c r="BC110" s="117" t="n">
        <f aca="false">SUMIFS(الريسبي!$C$2:$C$1800,الريسبي!$A$2:$A$1800,$A110,الريسبي!$B$2:$B$1800,BC$1)</f>
        <v>0.045</v>
      </c>
      <c r="BD110" s="117" t="n">
        <f aca="false">SUMIFS(الريسبي!$C$2:$C$1800,الريسبي!$A$2:$A$1800,$A110,الريسبي!$B$2:$B$1800,BD$1)</f>
        <v>0</v>
      </c>
      <c r="BE110" s="117" t="n">
        <f aca="false">SUMIFS(الريسبي!$C$2:$C$1800,الريسبي!$A$2:$A$1800,$A110,الريسبي!$B$2:$B$1800,BE$1)</f>
        <v>1.5</v>
      </c>
      <c r="BF110" s="117" t="n">
        <f aca="false">SUMIFS(الريسبي!$C$2:$C$1800,الريسبي!$A$2:$A$1800,$A110,الريسبي!$B$2:$B$1800,BF$1)</f>
        <v>0</v>
      </c>
      <c r="BG110" s="117" t="n">
        <f aca="false">SUMIFS(الريسبي!$C$2:$C$1800,الريسبي!$A$2:$A$1800,$A110,الريسبي!$B$2:$B$1800,BG$1)</f>
        <v>1</v>
      </c>
      <c r="BH110" s="117" t="n">
        <f aca="false">SUMIFS(الريسبي!$C$2:$C$1800,الريسبي!$A$2:$A$1800,$A110,الريسبي!$B$2:$B$1800,BH$1)</f>
        <v>0</v>
      </c>
      <c r="BI110" s="117" t="n">
        <f aca="false">SUMIFS(الريسبي!$C$2:$C$1800,الريسبي!$A$2:$A$1800,$A110,الريسبي!$B$2:$B$1800,BI$1)</f>
        <v>0</v>
      </c>
      <c r="BJ110" s="117" t="n">
        <f aca="false">SUMIFS(الريسبي!$C$2:$C$1800,الريسبي!$A$2:$A$1800,$A110,الريسبي!$B$2:$B$1800,BJ$1)</f>
        <v>0</v>
      </c>
      <c r="BK110" s="117" t="n">
        <f aca="false">SUMIFS(الريسبي!$C$2:$C$1800,الريسبي!$A$2:$A$1800,$A110,الريسبي!$B$2:$B$1800,BK$1)</f>
        <v>0</v>
      </c>
      <c r="BL110" s="117" t="n">
        <f aca="false">SUMIFS(الريسبي!$C$2:$C$1800,الريسبي!$A$2:$A$1800,$A110,الريسبي!$B$2:$B$1800,BL$1)</f>
        <v>1.5</v>
      </c>
      <c r="BM110" s="117" t="n">
        <f aca="false">SUMIFS(الريسبي!$C$2:$C$1800,الريسبي!$A$2:$A$1800,$A110,الريسبي!$B$2:$B$1800,BM$1)</f>
        <v>0</v>
      </c>
      <c r="BN110" s="117" t="n">
        <f aca="false">SUMIFS(الريسبي!$C$2:$C$1800,الريسبي!$A$2:$A$1800,$A110,الريسبي!$B$2:$B$1800,BN$1)</f>
        <v>0.03</v>
      </c>
      <c r="BO110" s="117" t="n">
        <f aca="false">SUMIFS(الريسبي!$C$2:$C$1800,الريسبي!$A$2:$A$1800,$A110,الريسبي!$B$2:$B$1800,BO$1)</f>
        <v>0</v>
      </c>
      <c r="BP110" s="117" t="n">
        <f aca="false">SUMIFS(الريسبي!$C$2:$C$1800,الريسبي!$A$2:$A$1800,$A110,الريسبي!$B$2:$B$1800,BP$1)</f>
        <v>3</v>
      </c>
      <c r="BQ110" s="117" t="n">
        <f aca="false">SUMIFS(الريسبي!$C$2:$C$1800,الريسبي!$A$2:$A$1800,$A110,الريسبي!$B$2:$B$1800,BQ$1)+0.17*SUMIFS(الريسبي!$C$2:$C$1800,الريسبي!$A$2:$A$1800,$A110,الريسبي!$B$2:$B$1800,"كاسترد مصنع (خليط بودر + لبن)")+0.17*SUMIFS(الريسبي!$C$2:$C$1800,الريسبي!$A$2:$A$1800,$A110,الريسبي!$B$2:$B$1800,"كاسترد مصنع صيامي (بدون لبن)")</f>
        <v>0</v>
      </c>
      <c r="BR110" s="117" t="n">
        <f aca="false">SUMIFS(الريسبي!$C$2:$C$1800,الريسبي!$A$2:$A$1800,$A110,الريسبي!$B$2:$B$1800,BR$1)</f>
        <v>1</v>
      </c>
      <c r="BS110" s="117" t="n">
        <f aca="false">SUMIFS(الريسبي!$C$2:$C$1800,الريسبي!$A$2:$A$1800,$A110,الريسبي!$B$2:$B$1800,BS$1)</f>
        <v>0</v>
      </c>
      <c r="BT110" s="117" t="n">
        <f aca="false">SUMIFS(الريسبي!$C$2:$C$1800,الريسبي!$A$2:$A$1800,$A110,الريسبي!$B$2:$B$1800,BT$1)</f>
        <v>0</v>
      </c>
      <c r="BU110" s="117" t="n">
        <f aca="false">SUMIFS(الريسبي!$C$2:$C$1800,الريسبي!$A$2:$A$1800,$A110,الريسبي!$B$2:$B$1800,BU$1)+0.4*SUMIFS(الريسبي!$C$2:$C$1800,الريسبي!$A$2:$A$1800,$A110,الريسبي!$B$2:$B$1800,"كاسترد مصنع (خليط بودر + لبن)")+0.03333333333*SUMIFS(الريسبي!$C$2:$C$1800,الريسبي!$A$2:$A$1800,$A110,الريسبي!$B$2:$B$1800,"عجين كريب (مصنع بالمطعم)")</f>
        <v>0</v>
      </c>
      <c r="BV110" s="117" t="n">
        <f aca="false">SUMIFS(الريسبي!$C$2:$C$1800,الريسبي!$A$2:$A$1800,$A110,الريسبي!$B$2:$B$1800,BV$1)</f>
        <v>0</v>
      </c>
      <c r="BW110" s="117" t="n">
        <f aca="false">SUMIFS(الريسبي!$C$2:$C$1800,الريسبي!$A$2:$A$1800,$A110,الريسبي!$B$2:$B$1800,BW$1)</f>
        <v>0</v>
      </c>
      <c r="BX110" s="117" t="n">
        <f aca="false">SUMIFS(الريسبي!$C$2:$C$1800,الريسبي!$A$2:$A$1800,$A110,الريسبي!$B$2:$B$1800,BX$1)</f>
        <v>0</v>
      </c>
      <c r="BY110" s="117" t="n">
        <f aca="false">SUMIFS(الريسبي!$C$2:$C$1800,الريسبي!$A$2:$A$1800,$A110,الريسبي!$B$2:$B$1800,BY$1)</f>
        <v>0</v>
      </c>
      <c r="BZ110" s="117" t="n">
        <f aca="false">SUMIFS(الريسبي!$C$2:$C$1800,الريسبي!$A$2:$A$1800,$A110,الريسبي!$B$2:$B$1800,BZ$1)</f>
        <v>0</v>
      </c>
      <c r="CA110" s="117" t="n">
        <f aca="false">SUMIFS(الريسبي!$C$2:$C$1800,الريسبي!$A$2:$A$1800,$A110,الريسبي!$B$2:$B$1800,CA$1)</f>
        <v>1</v>
      </c>
      <c r="CB110" s="117" t="n">
        <f aca="false">SUMIFS(الريسبي!$C$2:$C$1800,الريسبي!$A$2:$A$1800,$A110,الريسبي!$B$2:$B$1800,CB$1)</f>
        <v>1</v>
      </c>
      <c r="CC110" s="117" t="n">
        <f aca="false">SUMIFS(الريسبي!$C$2:$C$1800,الريسبي!$A$2:$A$1800,$A110,الريسبي!$B$2:$B$1800,CC$1)</f>
        <v>0</v>
      </c>
      <c r="CD110" s="117" t="n">
        <f aca="false">SUMIFS(الريسبي!$C$2:$C$1800,الريسبي!$A$2:$A$1800,$A110,الريسبي!$B$2:$B$1800,CD$1)</f>
        <v>0</v>
      </c>
      <c r="CE110" s="117" t="n">
        <f aca="false">SUMIFS(الريسبي!$C$2:$C$1800,الريسبي!$A$2:$A$1800,$A110,الريسبي!$B$2:$B$1800,CE$1)</f>
        <v>0</v>
      </c>
      <c r="CF110" s="117" t="n">
        <f aca="false">SUMIFS(الريسبي!$C$2:$C$1800,الريسبي!$A$2:$A$1800,$A110,الريسبي!$B$2:$B$1800,CF$1)</f>
        <v>0</v>
      </c>
      <c r="CG110" s="117" t="n">
        <f aca="false">SUMIFS(الريسبي!$C$2:$C$1800,الريسبي!$A$2:$A$1800,$A110,الريسبي!$B$2:$B$1800,CG$1)</f>
        <v>0</v>
      </c>
      <c r="CH110" s="117" t="n">
        <f aca="false">SUMIFS(الريسبي!$C$2:$C$1800,الريسبي!$A$2:$A$1800,$A110,الريسبي!$B$2:$B$1800,CH$1)</f>
        <v>0</v>
      </c>
      <c r="CI110" s="117" t="n">
        <f aca="false">SUMIFS(الريسبي!$C$2:$C$1800,الريسبي!$A$2:$A$1800,$A110,الريسبي!$B$2:$B$1800,CI$1)</f>
        <v>0</v>
      </c>
      <c r="CJ110" s="117" t="n">
        <f aca="false">SUMIFS(الريسبي!$C$2:$C$1800,الريسبي!$A$2:$A$1800,$A110,الريسبي!$B$2:$B$1800,CJ$1)</f>
        <v>0</v>
      </c>
      <c r="CK110" s="117" t="n">
        <f aca="false">SUMIFS(الريسبي!$C$2:$C$1800,الريسبي!$A$2:$A$1800,$A110,الريسبي!$B$2:$B$1800,CK$1)</f>
        <v>0</v>
      </c>
      <c r="CL110" s="117" t="n">
        <f aca="false">SUMIFS(الريسبي!$C$2:$C$1800,الريسبي!$A$2:$A$1800,$A110,الريسبي!$B$2:$B$1800,CL$1)</f>
        <v>0</v>
      </c>
    </row>
    <row r="111" customFormat="false" ht="15" hidden="false" customHeight="false" outlineLevel="0" collapsed="false">
      <c r="A111" s="116" t="str">
        <f aca="false">المنيو!B111</f>
        <v>فطيرة سكر / كاستر صيامي</v>
      </c>
      <c r="B111" s="117" t="n">
        <f aca="false">SUMIFS(الريسبي!$C$2:$C$1800,الريسبي!$A$2:$A$1800,$A111,الريسبي!$B$2:$B$1800,B$1)</f>
        <v>0</v>
      </c>
      <c r="C111" s="117" t="n">
        <f aca="false">SUMIFS(الريسبي!$C$2:$C$1800,الريسبي!$A$2:$A$1800,$A111,الريسبي!$B$2:$B$1800,C$1)</f>
        <v>1</v>
      </c>
      <c r="D111" s="117" t="n">
        <f aca="false">SUMIFS(الريسبي!$C$2:$C$1800,الريسبي!$A$2:$A$1800,$A111,الريسبي!$B$2:$B$1800,D$1)</f>
        <v>0</v>
      </c>
      <c r="E111" s="117" t="n">
        <f aca="false">SUMIFS(الريسبي!$C$2:$C$1800,الريسبي!$A$2:$A$1800,$A111,الريسبي!$B$2:$B$1800,E$1)</f>
        <v>1</v>
      </c>
      <c r="F111" s="117" t="n">
        <f aca="false">SUMIFS(الريسبي!$C$2:$C$1800,الريسبي!$A$2:$A$1800,$A111,الريسبي!$B$2:$B$1800,F$1)</f>
        <v>0</v>
      </c>
      <c r="G111" s="117" t="n">
        <f aca="false">SUMIFS(الريسبي!$C$2:$C$1800,الريسبي!$A$2:$A$1800,$A111,الريسبي!$B$2:$B$1800,G$1)</f>
        <v>0</v>
      </c>
      <c r="H111" s="117" t="n">
        <f aca="false">SUMIFS(الريسبي!$C$2:$C$1800,الريسبي!$A$2:$A$1800,$A111,الريسبي!$B$2:$B$1800,H$1)</f>
        <v>0</v>
      </c>
      <c r="I111" s="117" t="n">
        <f aca="false">SUMIFS(الريسبي!$C$2:$C$1800,الريسبي!$A$2:$A$1800,$A111,الريسبي!$B$2:$B$1800,I$1)</f>
        <v>0</v>
      </c>
      <c r="J111" s="117" t="n">
        <f aca="false">SUMIFS(الريسبي!$C$2:$C$1800,الريسبي!$A$2:$A$1800,$A111,الريسبي!$B$2:$B$1800,J$1)</f>
        <v>0</v>
      </c>
      <c r="K111" s="117" t="n">
        <f aca="false">SUMIFS(الريسبي!$C$2:$C$1800,الريسبي!$A$2:$A$1800,$A111,الريسبي!$B$2:$B$1800,K$1)</f>
        <v>0</v>
      </c>
      <c r="L111" s="117" t="n">
        <f aca="false">SUMIFS(الريسبي!$C$2:$C$1800,الريسبي!$A$2:$A$1800,$A111,الريسبي!$B$2:$B$1800,L$1)</f>
        <v>0</v>
      </c>
      <c r="M111" s="117" t="n">
        <f aca="false">SUMIFS(الريسبي!$C$2:$C$1800,الريسبي!$A$2:$A$1800,$A111,الريسبي!$B$2:$B$1800,M$1)</f>
        <v>0</v>
      </c>
      <c r="N111" s="117" t="n">
        <f aca="false">SUMIFS(الريسبي!$C$2:$C$1800,الريسبي!$A$2:$A$1800,$A111,الريسبي!$B$2:$B$1800,N$1)</f>
        <v>0</v>
      </c>
      <c r="O111" s="117" t="n">
        <f aca="false">SUMIFS(الريسبي!$C$2:$C$1800,الريسبي!$A$2:$A$1800,$A111,الريسبي!$B$2:$B$1800,O$1)</f>
        <v>0</v>
      </c>
      <c r="P111" s="117" t="n">
        <f aca="false">SUMIFS(الريسبي!$C$2:$C$1800,الريسبي!$A$2:$A$1800,$A111,الريسبي!$B$2:$B$1800,P$1)</f>
        <v>0</v>
      </c>
      <c r="Q111" s="117" t="n">
        <f aca="false">SUMIFS(الريسبي!$C$2:$C$1800,الريسبي!$A$2:$A$1800,$A111,الريسبي!$B$2:$B$1800,Q$1)</f>
        <v>0</v>
      </c>
      <c r="R111" s="117" t="n">
        <f aca="false">SUMIFS(الريسبي!$C$2:$C$1800,الريسبي!$A$2:$A$1800,$A111,الريسبي!$B$2:$B$1800,R$1)</f>
        <v>0</v>
      </c>
      <c r="S111" s="117" t="n">
        <f aca="false">SUMIFS(الريسبي!$C$2:$C$1800,الريسبي!$A$2:$A$1800,$A111,الريسبي!$B$2:$B$1800,S$1)</f>
        <v>0</v>
      </c>
      <c r="T111" s="117" t="n">
        <f aca="false">SUMIFS(الريسبي!$C$2:$C$1800,الريسبي!$A$2:$A$1800,$A111,الريسبي!$B$2:$B$1800,T$1)</f>
        <v>0</v>
      </c>
      <c r="U111" s="117" t="n">
        <f aca="false">SUMIFS(الريسبي!$C$2:$C$1800,الريسبي!$A$2:$A$1800,$A111,الريسبي!$B$2:$B$1800,U$1)</f>
        <v>0</v>
      </c>
      <c r="V111" s="117" t="n">
        <f aca="false">SUMIFS(الريسبي!$C$2:$C$1800,الريسبي!$A$2:$A$1800,$A111,الريسبي!$B$2:$B$1800,V$1)</f>
        <v>0</v>
      </c>
      <c r="W111" s="117" t="n">
        <f aca="false">SUMIFS(الريسبي!$C$2:$C$1800,الريسبي!$A$2:$A$1800,$A111,الريسبي!$B$2:$B$1800,W$1)</f>
        <v>0</v>
      </c>
      <c r="X111" s="117" t="n">
        <f aca="false">SUMIFS(الريسبي!$C$2:$C$1800,الريسبي!$A$2:$A$1800,$A111,الريسبي!$B$2:$B$1800,X$1)</f>
        <v>0</v>
      </c>
      <c r="Y111" s="117" t="n">
        <f aca="false">SUMIFS(الريسبي!$C$2:$C$1800,الريسبي!$A$2:$A$1800,$A111,الريسبي!$B$2:$B$1800,Y$1)</f>
        <v>0</v>
      </c>
      <c r="Z111" s="117" t="n">
        <f aca="false">SUMIFS(الريسبي!$C$2:$C$1800,الريسبي!$A$2:$A$1800,$A111,الريسبي!$B$2:$B$1800,Z$1)</f>
        <v>0</v>
      </c>
      <c r="AA111" s="117" t="n">
        <f aca="false">SUMIFS(الريسبي!$C$2:$C$1800,الريسبي!$A$2:$A$1800,$A111,الريسبي!$B$2:$B$1800,AA$1)</f>
        <v>0</v>
      </c>
      <c r="AB111" s="117" t="n">
        <f aca="false">SUMIFS(الريسبي!$C$2:$C$1800,الريسبي!$A$2:$A$1800,$A111,الريسبي!$B$2:$B$1800,AB$1)</f>
        <v>0</v>
      </c>
      <c r="AC111" s="117" t="n">
        <f aca="false">SUMIFS(الريسبي!$C$2:$C$1800,الريسبي!$A$2:$A$1800,$A111,الريسبي!$B$2:$B$1800,AC$1)</f>
        <v>0</v>
      </c>
      <c r="AD111" s="117" t="n">
        <f aca="false">SUMIFS(الريسبي!$C$2:$C$1800,الريسبي!$A$2:$A$1800,$A111,الريسبي!$B$2:$B$1800,AD$1)</f>
        <v>0</v>
      </c>
      <c r="AE111" s="117" t="n">
        <f aca="false">SUMIFS(الريسبي!$C$2:$C$1800,الريسبي!$A$2:$A$1800,$A111,الريسبي!$B$2:$B$1800,AE$1)</f>
        <v>0</v>
      </c>
      <c r="AF111" s="117" t="n">
        <f aca="false">SUMIFS(الريسبي!$C$2:$C$1800,الريسبي!$A$2:$A$1800,$A111,الريسبي!$B$2:$B$1800,AF$1)</f>
        <v>1</v>
      </c>
      <c r="AG111" s="117" t="n">
        <f aca="false">SUMIFS(الريسبي!$C$2:$C$1800,الريسبي!$A$2:$A$1800,$A111,الريسبي!$B$2:$B$1800,AG$1)</f>
        <v>0</v>
      </c>
      <c r="AH111" s="117" t="n">
        <f aca="false">SUMIFS(الريسبي!$C$2:$C$1800,الريسبي!$A$2:$A$1800,$A111,الريسبي!$B$2:$B$1800,AH$1)</f>
        <v>0</v>
      </c>
      <c r="AI111" s="117" t="n">
        <f aca="false">SUMIFS(الريسبي!$C$2:$C$1800,الريسبي!$A$2:$A$1800,$A111,الريسبي!$B$2:$B$1800,AI$1)</f>
        <v>0</v>
      </c>
      <c r="AJ111" s="117" t="n">
        <f aca="false">SUMIFS(الريسبي!$C$2:$C$1800,الريسبي!$A$2:$A$1800,$A111,الريسبي!$B$2:$B$1800,AJ$1)</f>
        <v>2</v>
      </c>
      <c r="AK111" s="117" t="n">
        <f aca="false">SUMIFS(الريسبي!$C$2:$C$1800,الريسبي!$A$2:$A$1800,$A111,الريسبي!$B$2:$B$1800,AK$1)</f>
        <v>0</v>
      </c>
      <c r="AL111" s="117" t="n">
        <f aca="false">SUMIFS(الريسبي!$C$2:$C$1800,الريسبي!$A$2:$A$1800,$A111,الريسبي!$B$2:$B$1800,AL$1)</f>
        <v>0</v>
      </c>
      <c r="AM111" s="117" t="n">
        <f aca="false">SUMIFS(الريسبي!$C$2:$C$1800,الريسبي!$A$2:$A$1800,$A111,الريسبي!$B$2:$B$1800,AM$1)+0.08333333333*SUMIFS(الريسبي!$C$2:$C$1800,الريسبي!$A$2:$A$1800,$A111,الريسبي!$B$2:$B$1800,"عجين كريب (مصنع بالمطعم)")+0.08333333333*SUMIFS(الريسبي!$C$2:$C$1800,الريسبي!$A$2:$A$1800,$A111,الريسبي!$B$2:$B$1800,"عجين كريب صيامي (بدون لبن)")</f>
        <v>0</v>
      </c>
      <c r="AN111" s="117" t="n">
        <f aca="false">SUMIFS(الريسبي!$C$2:$C$1800,الريسبي!$A$2:$A$1800,$A111,الريسبي!$B$2:$B$1800,AN$1)+0.004166666667*SUMIFS(الريسبي!$C$2:$C$1800,الريسبي!$A$2:$A$1800,$A111,الريسبي!$B$2:$B$1800,"عجين كريب (مصنع بالمطعم)")+0.004166666667*SUMIFS(الريسبي!$C$2:$C$1800,الريسبي!$A$2:$A$1800,$A111,الريسبي!$B$2:$B$1800,"عجين كريب صيامي (بدون لبن)")</f>
        <v>0</v>
      </c>
      <c r="AO111" s="117" t="n">
        <f aca="false">SUMIFS(الريسبي!$C$2:$C$1800,الريسبي!$A$2:$A$1800,$A111,الريسبي!$B$2:$B$1800,AO$1)</f>
        <v>0</v>
      </c>
      <c r="AP111" s="117" t="n">
        <f aca="false">SUMIFS(الريسبي!$C$2:$C$1800,الريسبي!$A$2:$A$1800,$A111,الريسبي!$B$2:$B$1800,AP$1)</f>
        <v>0</v>
      </c>
      <c r="AQ111" s="117" t="n">
        <f aca="false">SUMIFS(الريسبي!$C$2:$C$1800,الريسبي!$A$2:$A$1800,$A111,الريسبي!$B$2:$B$1800,AQ$1)+0.004166666667*SUMIFS(الريسبي!$C$2:$C$1800,الريسبي!$A$2:$A$1800,$A111,الريسبي!$B$2:$B$1800,"عجين كريب (مصنع بالمطعم)")+0.004166666667*SUMIFS(الريسبي!$C$2:$C$1800,الريسبي!$A$2:$A$1800,$A111,الريسبي!$B$2:$B$1800,"عجين كريب صيامي (بدون لبن)")</f>
        <v>0.05</v>
      </c>
      <c r="AR111" s="117" t="n">
        <f aca="false">SUMIFS(الريسبي!$C$2:$C$1800,الريسبي!$A$2:$A$1800,$A111,الريسبي!$B$2:$B$1800,AR$1)</f>
        <v>0</v>
      </c>
      <c r="AS111" s="117" t="n">
        <f aca="false">SUMIFS(الريسبي!$C$2:$C$1800,الريسبي!$A$2:$A$1800,$A111,الريسبي!$B$2:$B$1800,AS$1)</f>
        <v>0</v>
      </c>
      <c r="AT111" s="117" t="n">
        <f aca="false">SUMIFS(الريسبي!$C$2:$C$1800,الريسبي!$A$2:$A$1800,$A111,الريسبي!$B$2:$B$1800,AT$1)</f>
        <v>1</v>
      </c>
      <c r="AU111" s="117" t="n">
        <f aca="false">SUMIFS(الريسبي!$C$2:$C$1800,الريسبي!$A$2:$A$1800,$A111,الريسبي!$B$2:$B$1800,AU$1)</f>
        <v>1</v>
      </c>
      <c r="AV111" s="117" t="n">
        <f aca="false">SUMIFS(الريسبي!$C$2:$C$1800,الريسبي!$A$2:$A$1800,$A111,الريسبي!$B$2:$B$1800,AV$1)</f>
        <v>0</v>
      </c>
      <c r="AW111" s="117" t="n">
        <f aca="false">SUMIFS(الريسبي!$C$2:$C$1800,الريسبي!$A$2:$A$1800,$A111,الريسبي!$B$2:$B$1800,AW$1)</f>
        <v>0</v>
      </c>
      <c r="AX111" s="117" t="n">
        <f aca="false">SUMIFS(الريسبي!$C$2:$C$1800,الريسبي!$A$2:$A$1800,$A111,الريسبي!$B$2:$B$1800,AX$1)</f>
        <v>0</v>
      </c>
      <c r="AY111" s="117" t="n">
        <f aca="false">SUMIFS(الريسبي!$C$2:$C$1800,الريسبي!$A$2:$A$1800,$A111,الريسبي!$B$2:$B$1800,AY$1)</f>
        <v>0</v>
      </c>
      <c r="AZ111" s="117" t="n">
        <f aca="false">SUMIFS(الريسبي!$C$2:$C$1800,الريسبي!$A$2:$A$1800,$A111,الريسبي!$B$2:$B$1800,AZ$1)</f>
        <v>0</v>
      </c>
      <c r="BA111" s="117" t="n">
        <f aca="false">SUMIFS(الريسبي!$C$2:$C$1800,الريسبي!$A$2:$A$1800,$A111,الريسبي!$B$2:$B$1800,BA$1)</f>
        <v>0</v>
      </c>
      <c r="BB111" s="117" t="n">
        <f aca="false">SUMIFS(الريسبي!$C$2:$C$1800,الريسبي!$A$2:$A$1800,$A111,الريسبي!$B$2:$B$1800,BB$1)</f>
        <v>0</v>
      </c>
      <c r="BC111" s="117" t="n">
        <f aca="false">SUMIFS(الريسبي!$C$2:$C$1800,الريسبي!$A$2:$A$1800,$A111,الريسبي!$B$2:$B$1800,BC$1)</f>
        <v>0</v>
      </c>
      <c r="BD111" s="117" t="n">
        <f aca="false">SUMIFS(الريسبي!$C$2:$C$1800,الريسبي!$A$2:$A$1800,$A111,الريسبي!$B$2:$B$1800,BD$1)</f>
        <v>0</v>
      </c>
      <c r="BE111" s="117" t="n">
        <f aca="false">SUMIFS(الريسبي!$C$2:$C$1800,الريسبي!$A$2:$A$1800,$A111,الريسبي!$B$2:$B$1800,BE$1)</f>
        <v>1</v>
      </c>
      <c r="BF111" s="117" t="n">
        <f aca="false">SUMIFS(الريسبي!$C$2:$C$1800,الريسبي!$A$2:$A$1800,$A111,الريسبي!$B$2:$B$1800,BF$1)</f>
        <v>0</v>
      </c>
      <c r="BG111" s="117" t="n">
        <f aca="false">SUMIFS(الريسبي!$C$2:$C$1800,الريسبي!$A$2:$A$1800,$A111,الريسبي!$B$2:$B$1800,BG$1)</f>
        <v>0</v>
      </c>
      <c r="BH111" s="117" t="n">
        <f aca="false">SUMIFS(الريسبي!$C$2:$C$1800,الريسبي!$A$2:$A$1800,$A111,الريسبي!$B$2:$B$1800,BH$1)</f>
        <v>0</v>
      </c>
      <c r="BI111" s="117" t="n">
        <f aca="false">SUMIFS(الريسبي!$C$2:$C$1800,الريسبي!$A$2:$A$1800,$A111,الريسبي!$B$2:$B$1800,BI$1)</f>
        <v>0</v>
      </c>
      <c r="BJ111" s="117" t="n">
        <f aca="false">SUMIFS(الريسبي!$C$2:$C$1800,الريسبي!$A$2:$A$1800,$A111,الريسبي!$B$2:$B$1800,BJ$1)</f>
        <v>0</v>
      </c>
      <c r="BK111" s="117" t="n">
        <f aca="false">SUMIFS(الريسبي!$C$2:$C$1800,الريسبي!$A$2:$A$1800,$A111,الريسبي!$B$2:$B$1800,BK$1)</f>
        <v>0</v>
      </c>
      <c r="BL111" s="117" t="n">
        <f aca="false">SUMIFS(الريسبي!$C$2:$C$1800,الريسبي!$A$2:$A$1800,$A111,الريسبي!$B$2:$B$1800,BL$1)</f>
        <v>0</v>
      </c>
      <c r="BM111" s="117" t="n">
        <f aca="false">SUMIFS(الريسبي!$C$2:$C$1800,الريسبي!$A$2:$A$1800,$A111,الريسبي!$B$2:$B$1800,BM$1)</f>
        <v>0</v>
      </c>
      <c r="BN111" s="117" t="n">
        <f aca="false">SUMIFS(الريسبي!$C$2:$C$1800,الريسبي!$A$2:$A$1800,$A111,الريسبي!$B$2:$B$1800,BN$1)</f>
        <v>0</v>
      </c>
      <c r="BO111" s="117" t="n">
        <f aca="false">SUMIFS(الريسبي!$C$2:$C$1800,الريسبي!$A$2:$A$1800,$A111,الريسبي!$B$2:$B$1800,BO$1)</f>
        <v>0</v>
      </c>
      <c r="BP111" s="117" t="n">
        <f aca="false">SUMIFS(الريسبي!$C$2:$C$1800,الريسبي!$A$2:$A$1800,$A111,الريسبي!$B$2:$B$1800,BP$1)</f>
        <v>0</v>
      </c>
      <c r="BQ111" s="117" t="n">
        <f aca="false">SUMIFS(الريسبي!$C$2:$C$1800,الريسبي!$A$2:$A$1800,$A111,الريسبي!$B$2:$B$1800,BQ$1)+0.17*SUMIFS(الريسبي!$C$2:$C$1800,الريسبي!$A$2:$A$1800,$A111,الريسبي!$B$2:$B$1800,"كاسترد مصنع (خليط بودر + لبن)")+0.17*SUMIFS(الريسبي!$C$2:$C$1800,الريسبي!$A$2:$A$1800,$A111,الريسبي!$B$2:$B$1800,"كاسترد مصنع صيامي (بدون لبن)")</f>
        <v>0.0255</v>
      </c>
      <c r="BR111" s="117" t="n">
        <f aca="false">SUMIFS(الريسبي!$C$2:$C$1800,الريسبي!$A$2:$A$1800,$A111,الريسبي!$B$2:$B$1800,BR$1)</f>
        <v>0</v>
      </c>
      <c r="BS111" s="117" t="n">
        <f aca="false">SUMIFS(الريسبي!$C$2:$C$1800,الريسبي!$A$2:$A$1800,$A111,الريسبي!$B$2:$B$1800,BS$1)</f>
        <v>0</v>
      </c>
      <c r="BT111" s="117" t="n">
        <f aca="false">SUMIFS(الريسبي!$C$2:$C$1800,الريسبي!$A$2:$A$1800,$A111,الريسبي!$B$2:$B$1800,BT$1)</f>
        <v>0</v>
      </c>
      <c r="BU111" s="117" t="n">
        <f aca="false">SUMIFS(الريسبي!$C$2:$C$1800,الريسبي!$A$2:$A$1800,$A111,الريسبي!$B$2:$B$1800,BU$1)+0.4*SUMIFS(الريسبي!$C$2:$C$1800,الريسبي!$A$2:$A$1800,$A111,الريسبي!$B$2:$B$1800,"كاسترد مصنع (خليط بودر + لبن)")+0.03333333333*SUMIFS(الريسبي!$C$2:$C$1800,الريسبي!$A$2:$A$1800,$A111,الريسبي!$B$2:$B$1800,"عجين كريب (مصنع بالمطعم)")</f>
        <v>0</v>
      </c>
      <c r="BV111" s="117" t="n">
        <f aca="false">SUMIFS(الريسبي!$C$2:$C$1800,الريسبي!$A$2:$A$1800,$A111,الريسبي!$B$2:$B$1800,BV$1)</f>
        <v>0</v>
      </c>
      <c r="BW111" s="117" t="n">
        <f aca="false">SUMIFS(الريسبي!$C$2:$C$1800,الريسبي!$A$2:$A$1800,$A111,الريسبي!$B$2:$B$1800,BW$1)</f>
        <v>0</v>
      </c>
      <c r="BX111" s="117" t="n">
        <f aca="false">SUMIFS(الريسبي!$C$2:$C$1800,الريسبي!$A$2:$A$1800,$A111,الريسبي!$B$2:$B$1800,BX$1)</f>
        <v>0</v>
      </c>
      <c r="BY111" s="117" t="n">
        <f aca="false">SUMIFS(الريسبي!$C$2:$C$1800,الريسبي!$A$2:$A$1800,$A111,الريسبي!$B$2:$B$1800,BY$1)</f>
        <v>0</v>
      </c>
      <c r="BZ111" s="117" t="n">
        <f aca="false">SUMIFS(الريسبي!$C$2:$C$1800,الريسبي!$A$2:$A$1800,$A111,الريسبي!$B$2:$B$1800,BZ$1)</f>
        <v>0</v>
      </c>
      <c r="CA111" s="117" t="n">
        <f aca="false">SUMIFS(الريسبي!$C$2:$C$1800,الريسبي!$A$2:$A$1800,$A111,الريسبي!$B$2:$B$1800,CA$1)</f>
        <v>0</v>
      </c>
      <c r="CB111" s="117" t="n">
        <f aca="false">SUMIFS(الريسبي!$C$2:$C$1800,الريسبي!$A$2:$A$1800,$A111,الريسبي!$B$2:$B$1800,CB$1)</f>
        <v>0</v>
      </c>
      <c r="CC111" s="117" t="n">
        <f aca="false">SUMIFS(الريسبي!$C$2:$C$1800,الريسبي!$A$2:$A$1800,$A111,الريسبي!$B$2:$B$1800,CC$1)</f>
        <v>0</v>
      </c>
      <c r="CD111" s="117" t="n">
        <f aca="false">SUMIFS(الريسبي!$C$2:$C$1800,الريسبي!$A$2:$A$1800,$A111,الريسبي!$B$2:$B$1800,CD$1)</f>
        <v>0</v>
      </c>
      <c r="CE111" s="117" t="n">
        <f aca="false">SUMIFS(الريسبي!$C$2:$C$1800,الريسبي!$A$2:$A$1800,$A111,الريسبي!$B$2:$B$1800,CE$1)</f>
        <v>0</v>
      </c>
      <c r="CF111" s="117" t="n">
        <f aca="false">SUMIFS(الريسبي!$C$2:$C$1800,الريسبي!$A$2:$A$1800,$A111,الريسبي!$B$2:$B$1800,CF$1)</f>
        <v>0</v>
      </c>
      <c r="CG111" s="117" t="n">
        <f aca="false">SUMIFS(الريسبي!$C$2:$C$1800,الريسبي!$A$2:$A$1800,$A111,الريسبي!$B$2:$B$1800,CG$1)</f>
        <v>0</v>
      </c>
      <c r="CH111" s="117" t="n">
        <f aca="false">SUMIFS(الريسبي!$C$2:$C$1800,الريسبي!$A$2:$A$1800,$A111,الريسبي!$B$2:$B$1800,CH$1)</f>
        <v>0</v>
      </c>
      <c r="CI111" s="117" t="n">
        <f aca="false">SUMIFS(الريسبي!$C$2:$C$1800,الريسبي!$A$2:$A$1800,$A111,الريسبي!$B$2:$B$1800,CI$1)</f>
        <v>0</v>
      </c>
      <c r="CJ111" s="117" t="n">
        <f aca="false">SUMIFS(الريسبي!$C$2:$C$1800,الريسبي!$A$2:$A$1800,$A111,الريسبي!$B$2:$B$1800,CJ$1)</f>
        <v>0</v>
      </c>
      <c r="CK111" s="117" t="n">
        <f aca="false">SUMIFS(الريسبي!$C$2:$C$1800,الريسبي!$A$2:$A$1800,$A111,الريسبي!$B$2:$B$1800,CK$1)</f>
        <v>0</v>
      </c>
      <c r="CL111" s="117" t="n">
        <f aca="false">SUMIFS(الريسبي!$C$2:$C$1800,الريسبي!$A$2:$A$1800,$A111,الريسبي!$B$2:$B$1800,CL$1)</f>
        <v>0</v>
      </c>
    </row>
    <row r="112" customFormat="false" ht="15" hidden="false" customHeight="false" outlineLevel="0" collapsed="false">
      <c r="A112" s="116" t="str">
        <f aca="false">المنيو!B112</f>
        <v>فطيرة ملوكي زبيب وجوزهند صيامي</v>
      </c>
      <c r="B112" s="117" t="n">
        <f aca="false">SUMIFS(الريسبي!$C$2:$C$1800,الريسبي!$A$2:$A$1800,$A112,الريسبي!$B$2:$B$1800,B$1)</f>
        <v>0</v>
      </c>
      <c r="C112" s="117" t="n">
        <f aca="false">SUMIFS(الريسبي!$C$2:$C$1800,الريسبي!$A$2:$A$1800,$A112,الريسبي!$B$2:$B$1800,C$1)</f>
        <v>0</v>
      </c>
      <c r="D112" s="117" t="n">
        <f aca="false">SUMIFS(الريسبي!$C$2:$C$1800,الريسبي!$A$2:$A$1800,$A112,الريسبي!$B$2:$B$1800,D$1)</f>
        <v>0</v>
      </c>
      <c r="E112" s="117" t="n">
        <f aca="false">SUMIFS(الريسبي!$C$2:$C$1800,الريسبي!$A$2:$A$1800,$A112,الريسبي!$B$2:$B$1800,E$1)</f>
        <v>1</v>
      </c>
      <c r="F112" s="117" t="n">
        <f aca="false">SUMIFS(الريسبي!$C$2:$C$1800,الريسبي!$A$2:$A$1800,$A112,الريسبي!$B$2:$B$1800,F$1)</f>
        <v>0</v>
      </c>
      <c r="G112" s="117" t="n">
        <f aca="false">SUMIFS(الريسبي!$C$2:$C$1800,الريسبي!$A$2:$A$1800,$A112,الريسبي!$B$2:$B$1800,G$1)</f>
        <v>0</v>
      </c>
      <c r="H112" s="117" t="n">
        <f aca="false">SUMIFS(الريسبي!$C$2:$C$1800,الريسبي!$A$2:$A$1800,$A112,الريسبي!$B$2:$B$1800,H$1)</f>
        <v>0</v>
      </c>
      <c r="I112" s="117" t="n">
        <f aca="false">SUMIFS(الريسبي!$C$2:$C$1800,الريسبي!$A$2:$A$1800,$A112,الريسبي!$B$2:$B$1800,I$1)</f>
        <v>0</v>
      </c>
      <c r="J112" s="117" t="n">
        <f aca="false">SUMIFS(الريسبي!$C$2:$C$1800,الريسبي!$A$2:$A$1800,$A112,الريسبي!$B$2:$B$1800,J$1)</f>
        <v>0</v>
      </c>
      <c r="K112" s="117" t="n">
        <f aca="false">SUMIFS(الريسبي!$C$2:$C$1800,الريسبي!$A$2:$A$1800,$A112,الريسبي!$B$2:$B$1800,K$1)</f>
        <v>0</v>
      </c>
      <c r="L112" s="117" t="n">
        <f aca="false">SUMIFS(الريسبي!$C$2:$C$1800,الريسبي!$A$2:$A$1800,$A112,الريسبي!$B$2:$B$1800,L$1)</f>
        <v>0</v>
      </c>
      <c r="M112" s="117" t="n">
        <f aca="false">SUMIFS(الريسبي!$C$2:$C$1800,الريسبي!$A$2:$A$1800,$A112,الريسبي!$B$2:$B$1800,M$1)</f>
        <v>0</v>
      </c>
      <c r="N112" s="117" t="n">
        <f aca="false">SUMIFS(الريسبي!$C$2:$C$1800,الريسبي!$A$2:$A$1800,$A112,الريسبي!$B$2:$B$1800,N$1)</f>
        <v>0</v>
      </c>
      <c r="O112" s="117" t="n">
        <f aca="false">SUMIFS(الريسبي!$C$2:$C$1800,الريسبي!$A$2:$A$1800,$A112,الريسبي!$B$2:$B$1800,O$1)</f>
        <v>0</v>
      </c>
      <c r="P112" s="117" t="n">
        <f aca="false">SUMIFS(الريسبي!$C$2:$C$1800,الريسبي!$A$2:$A$1800,$A112,الريسبي!$B$2:$B$1800,P$1)</f>
        <v>0</v>
      </c>
      <c r="Q112" s="117" t="n">
        <f aca="false">SUMIFS(الريسبي!$C$2:$C$1800,الريسبي!$A$2:$A$1800,$A112,الريسبي!$B$2:$B$1800,Q$1)</f>
        <v>0</v>
      </c>
      <c r="R112" s="117" t="n">
        <f aca="false">SUMIFS(الريسبي!$C$2:$C$1800,الريسبي!$A$2:$A$1800,$A112,الريسبي!$B$2:$B$1800,R$1)</f>
        <v>0</v>
      </c>
      <c r="S112" s="117" t="n">
        <f aca="false">SUMIFS(الريسبي!$C$2:$C$1800,الريسبي!$A$2:$A$1800,$A112,الريسبي!$B$2:$B$1800,S$1)</f>
        <v>0</v>
      </c>
      <c r="T112" s="117" t="n">
        <f aca="false">SUMIFS(الريسبي!$C$2:$C$1800,الريسبي!$A$2:$A$1800,$A112,الريسبي!$B$2:$B$1800,T$1)</f>
        <v>0</v>
      </c>
      <c r="U112" s="117" t="n">
        <f aca="false">SUMIFS(الريسبي!$C$2:$C$1800,الريسبي!$A$2:$A$1800,$A112,الريسبي!$B$2:$B$1800,U$1)</f>
        <v>0</v>
      </c>
      <c r="V112" s="117" t="n">
        <f aca="false">SUMIFS(الريسبي!$C$2:$C$1800,الريسبي!$A$2:$A$1800,$A112,الريسبي!$B$2:$B$1800,V$1)</f>
        <v>0</v>
      </c>
      <c r="W112" s="117" t="n">
        <f aca="false">SUMIFS(الريسبي!$C$2:$C$1800,الريسبي!$A$2:$A$1800,$A112,الريسبي!$B$2:$B$1800,W$1)</f>
        <v>0</v>
      </c>
      <c r="X112" s="117" t="n">
        <f aca="false">SUMIFS(الريسبي!$C$2:$C$1800,الريسبي!$A$2:$A$1800,$A112,الريسبي!$B$2:$B$1800,X$1)</f>
        <v>0</v>
      </c>
      <c r="Y112" s="117" t="n">
        <f aca="false">SUMIFS(الريسبي!$C$2:$C$1800,الريسبي!$A$2:$A$1800,$A112,الريسبي!$B$2:$B$1800,Y$1)</f>
        <v>0</v>
      </c>
      <c r="Z112" s="117" t="n">
        <f aca="false">SUMIFS(الريسبي!$C$2:$C$1800,الريسبي!$A$2:$A$1800,$A112,الريسبي!$B$2:$B$1800,Z$1)</f>
        <v>0</v>
      </c>
      <c r="AA112" s="117" t="n">
        <f aca="false">SUMIFS(الريسبي!$C$2:$C$1800,الريسبي!$A$2:$A$1800,$A112,الريسبي!$B$2:$B$1800,AA$1)</f>
        <v>0</v>
      </c>
      <c r="AB112" s="117" t="n">
        <f aca="false">SUMIFS(الريسبي!$C$2:$C$1800,الريسبي!$A$2:$A$1800,$A112,الريسبي!$B$2:$B$1800,AB$1)</f>
        <v>0</v>
      </c>
      <c r="AC112" s="117" t="n">
        <f aca="false">SUMIFS(الريسبي!$C$2:$C$1800,الريسبي!$A$2:$A$1800,$A112,الريسبي!$B$2:$B$1800,AC$1)</f>
        <v>0</v>
      </c>
      <c r="AD112" s="117" t="n">
        <f aca="false">SUMIFS(الريسبي!$C$2:$C$1800,الريسبي!$A$2:$A$1800,$A112,الريسبي!$B$2:$B$1800,AD$1)</f>
        <v>0</v>
      </c>
      <c r="AE112" s="117" t="n">
        <f aca="false">SUMIFS(الريسبي!$C$2:$C$1800,الريسبي!$A$2:$A$1800,$A112,الريسبي!$B$2:$B$1800,AE$1)</f>
        <v>0</v>
      </c>
      <c r="AF112" s="117" t="n">
        <f aca="false">SUMIFS(الريسبي!$C$2:$C$1800,الريسبي!$A$2:$A$1800,$A112,الريسبي!$B$2:$B$1800,AF$1)</f>
        <v>1</v>
      </c>
      <c r="AG112" s="117" t="n">
        <f aca="false">SUMIFS(الريسبي!$C$2:$C$1800,الريسبي!$A$2:$A$1800,$A112,الريسبي!$B$2:$B$1800,AG$1)</f>
        <v>0</v>
      </c>
      <c r="AH112" s="117" t="n">
        <f aca="false">SUMIFS(الريسبي!$C$2:$C$1800,الريسبي!$A$2:$A$1800,$A112,الريسبي!$B$2:$B$1800,AH$1)</f>
        <v>0</v>
      </c>
      <c r="AI112" s="117" t="n">
        <f aca="false">SUMIFS(الريسبي!$C$2:$C$1800,الريسبي!$A$2:$A$1800,$A112,الريسبي!$B$2:$B$1800,AI$1)</f>
        <v>0</v>
      </c>
      <c r="AJ112" s="117" t="n">
        <f aca="false">SUMIFS(الريسبي!$C$2:$C$1800,الريسبي!$A$2:$A$1800,$A112,الريسبي!$B$2:$B$1800,AJ$1)</f>
        <v>0</v>
      </c>
      <c r="AK112" s="117" t="n">
        <f aca="false">SUMIFS(الريسبي!$C$2:$C$1800,الريسبي!$A$2:$A$1800,$A112,الريسبي!$B$2:$B$1800,AK$1)</f>
        <v>0.03</v>
      </c>
      <c r="AL112" s="117" t="n">
        <f aca="false">SUMIFS(الريسبي!$C$2:$C$1800,الريسبي!$A$2:$A$1800,$A112,الريسبي!$B$2:$B$1800,AL$1)</f>
        <v>0</v>
      </c>
      <c r="AM112" s="117" t="n">
        <f aca="false">SUMIFS(الريسبي!$C$2:$C$1800,الريسبي!$A$2:$A$1800,$A112,الريسبي!$B$2:$B$1800,AM$1)+0.08333333333*SUMIFS(الريسبي!$C$2:$C$1800,الريسبي!$A$2:$A$1800,$A112,الريسبي!$B$2:$B$1800,"عجين كريب (مصنع بالمطعم)")+0.08333333333*SUMIFS(الريسبي!$C$2:$C$1800,الريسبي!$A$2:$A$1800,$A112,الريسبي!$B$2:$B$1800,"عجين كريب صيامي (بدون لبن)")</f>
        <v>0</v>
      </c>
      <c r="AN112" s="117" t="n">
        <f aca="false">SUMIFS(الريسبي!$C$2:$C$1800,الريسبي!$A$2:$A$1800,$A112,الريسبي!$B$2:$B$1800,AN$1)+0.004166666667*SUMIFS(الريسبي!$C$2:$C$1800,الريسبي!$A$2:$A$1800,$A112,الريسبي!$B$2:$B$1800,"عجين كريب (مصنع بالمطعم)")+0.004166666667*SUMIFS(الريسبي!$C$2:$C$1800,الريسبي!$A$2:$A$1800,$A112,الريسبي!$B$2:$B$1800,"عجين كريب صيامي (بدون لبن)")</f>
        <v>0</v>
      </c>
      <c r="AO112" s="117" t="n">
        <f aca="false">SUMIFS(الريسبي!$C$2:$C$1800,الريسبي!$A$2:$A$1800,$A112,الريسبي!$B$2:$B$1800,AO$1)</f>
        <v>0.06</v>
      </c>
      <c r="AP112" s="117" t="n">
        <f aca="false">SUMIFS(الريسبي!$C$2:$C$1800,الريسبي!$A$2:$A$1800,$A112,الريسبي!$B$2:$B$1800,AP$1)</f>
        <v>0</v>
      </c>
      <c r="AQ112" s="117" t="n">
        <f aca="false">SUMIFS(الريسبي!$C$2:$C$1800,الريسبي!$A$2:$A$1800,$A112,الريسبي!$B$2:$B$1800,AQ$1)+0.004166666667*SUMIFS(الريسبي!$C$2:$C$1800,الريسبي!$A$2:$A$1800,$A112,الريسبي!$B$2:$B$1800,"عجين كريب (مصنع بالمطعم)")+0.004166666667*SUMIFS(الريسبي!$C$2:$C$1800,الريسبي!$A$2:$A$1800,$A112,الريسبي!$B$2:$B$1800,"عجين كريب صيامي (بدون لبن)")</f>
        <v>0.05</v>
      </c>
      <c r="AR112" s="117" t="n">
        <f aca="false">SUMIFS(الريسبي!$C$2:$C$1800,الريسبي!$A$2:$A$1800,$A112,الريسبي!$B$2:$B$1800,AR$1)</f>
        <v>0</v>
      </c>
      <c r="AS112" s="117" t="n">
        <f aca="false">SUMIFS(الريسبي!$C$2:$C$1800,الريسبي!$A$2:$A$1800,$A112,الريسبي!$B$2:$B$1800,AS$1)</f>
        <v>0</v>
      </c>
      <c r="AT112" s="117" t="n">
        <f aca="false">SUMIFS(الريسبي!$C$2:$C$1800,الريسبي!$A$2:$A$1800,$A112,الريسبي!$B$2:$B$1800,AT$1)</f>
        <v>0</v>
      </c>
      <c r="AU112" s="117" t="n">
        <f aca="false">SUMIFS(الريسبي!$C$2:$C$1800,الريسبي!$A$2:$A$1800,$A112,الريسبي!$B$2:$B$1800,AU$1)</f>
        <v>1</v>
      </c>
      <c r="AV112" s="117" t="n">
        <f aca="false">SUMIFS(الريسبي!$C$2:$C$1800,الريسبي!$A$2:$A$1800,$A112,الريسبي!$B$2:$B$1800,AV$1)</f>
        <v>0</v>
      </c>
      <c r="AW112" s="117" t="n">
        <f aca="false">SUMIFS(الريسبي!$C$2:$C$1800,الريسبي!$A$2:$A$1800,$A112,الريسبي!$B$2:$B$1800,AW$1)</f>
        <v>0</v>
      </c>
      <c r="AX112" s="117" t="n">
        <f aca="false">SUMIFS(الريسبي!$C$2:$C$1800,الريسبي!$A$2:$A$1800,$A112,الريسبي!$B$2:$B$1800,AX$1)</f>
        <v>0</v>
      </c>
      <c r="AY112" s="117" t="n">
        <f aca="false">SUMIFS(الريسبي!$C$2:$C$1800,الريسبي!$A$2:$A$1800,$A112,الريسبي!$B$2:$B$1800,AY$1)</f>
        <v>0</v>
      </c>
      <c r="AZ112" s="117" t="n">
        <f aca="false">SUMIFS(الريسبي!$C$2:$C$1800,الريسبي!$A$2:$A$1800,$A112,الريسبي!$B$2:$B$1800,AZ$1)</f>
        <v>0</v>
      </c>
      <c r="BA112" s="117" t="n">
        <f aca="false">SUMIFS(الريسبي!$C$2:$C$1800,الريسبي!$A$2:$A$1800,$A112,الريسبي!$B$2:$B$1800,BA$1)</f>
        <v>0</v>
      </c>
      <c r="BB112" s="117" t="n">
        <f aca="false">SUMIFS(الريسبي!$C$2:$C$1800,الريسبي!$A$2:$A$1800,$A112,الريسبي!$B$2:$B$1800,BB$1)</f>
        <v>0</v>
      </c>
      <c r="BC112" s="117" t="n">
        <f aca="false">SUMIFS(الريسبي!$C$2:$C$1800,الريسبي!$A$2:$A$1800,$A112,الريسبي!$B$2:$B$1800,BC$1)</f>
        <v>0</v>
      </c>
      <c r="BD112" s="117" t="n">
        <f aca="false">SUMIFS(الريسبي!$C$2:$C$1800,الريسبي!$A$2:$A$1800,$A112,الريسبي!$B$2:$B$1800,BD$1)</f>
        <v>0</v>
      </c>
      <c r="BE112" s="117" t="n">
        <f aca="false">SUMIFS(الريسبي!$C$2:$C$1800,الريسبي!$A$2:$A$1800,$A112,الريسبي!$B$2:$B$1800,BE$1)</f>
        <v>1</v>
      </c>
      <c r="BF112" s="117" t="n">
        <f aca="false">SUMIFS(الريسبي!$C$2:$C$1800,الريسبي!$A$2:$A$1800,$A112,الريسبي!$B$2:$B$1800,BF$1)</f>
        <v>0</v>
      </c>
      <c r="BG112" s="117" t="n">
        <f aca="false">SUMIFS(الريسبي!$C$2:$C$1800,الريسبي!$A$2:$A$1800,$A112,الريسبي!$B$2:$B$1800,BG$1)</f>
        <v>0</v>
      </c>
      <c r="BH112" s="117" t="n">
        <f aca="false">SUMIFS(الريسبي!$C$2:$C$1800,الريسبي!$A$2:$A$1800,$A112,الريسبي!$B$2:$B$1800,BH$1)</f>
        <v>0</v>
      </c>
      <c r="BI112" s="117" t="n">
        <f aca="false">SUMIFS(الريسبي!$C$2:$C$1800,الريسبي!$A$2:$A$1800,$A112,الريسبي!$B$2:$B$1800,BI$1)</f>
        <v>0</v>
      </c>
      <c r="BJ112" s="117" t="n">
        <f aca="false">SUMIFS(الريسبي!$C$2:$C$1800,الريسبي!$A$2:$A$1800,$A112,الريسبي!$B$2:$B$1800,BJ$1)</f>
        <v>0</v>
      </c>
      <c r="BK112" s="117" t="n">
        <f aca="false">SUMIFS(الريسبي!$C$2:$C$1800,الريسبي!$A$2:$A$1800,$A112,الريسبي!$B$2:$B$1800,BK$1)</f>
        <v>1</v>
      </c>
      <c r="BL112" s="117" t="n">
        <f aca="false">SUMIFS(الريسبي!$C$2:$C$1800,الريسبي!$A$2:$A$1800,$A112,الريسبي!$B$2:$B$1800,BL$1)</f>
        <v>0</v>
      </c>
      <c r="BM112" s="117" t="n">
        <f aca="false">SUMIFS(الريسبي!$C$2:$C$1800,الريسبي!$A$2:$A$1800,$A112,الريسبي!$B$2:$B$1800,BM$1)</f>
        <v>0</v>
      </c>
      <c r="BN112" s="117" t="n">
        <f aca="false">SUMIFS(الريسبي!$C$2:$C$1800,الريسبي!$A$2:$A$1800,$A112,الريسبي!$B$2:$B$1800,BN$1)</f>
        <v>0</v>
      </c>
      <c r="BO112" s="117" t="n">
        <f aca="false">SUMIFS(الريسبي!$C$2:$C$1800,الريسبي!$A$2:$A$1800,$A112,الريسبي!$B$2:$B$1800,BO$1)</f>
        <v>0</v>
      </c>
      <c r="BP112" s="117" t="n">
        <f aca="false">SUMIFS(الريسبي!$C$2:$C$1800,الريسبي!$A$2:$A$1800,$A112,الريسبي!$B$2:$B$1800,BP$1)</f>
        <v>0</v>
      </c>
      <c r="BQ112" s="117" t="n">
        <f aca="false">SUMIFS(الريسبي!$C$2:$C$1800,الريسبي!$A$2:$A$1800,$A112,الريسبي!$B$2:$B$1800,BQ$1)+0.17*SUMIFS(الريسبي!$C$2:$C$1800,الريسبي!$A$2:$A$1800,$A112,الريسبي!$B$2:$B$1800,"كاسترد مصنع (خليط بودر + لبن)")+0.17*SUMIFS(الريسبي!$C$2:$C$1800,الريسبي!$A$2:$A$1800,$A112,الريسبي!$B$2:$B$1800,"كاسترد مصنع صيامي (بدون لبن)")</f>
        <v>0.0255</v>
      </c>
      <c r="BR112" s="117" t="n">
        <f aca="false">SUMIFS(الريسبي!$C$2:$C$1800,الريسبي!$A$2:$A$1800,$A112,الريسبي!$B$2:$B$1800,BR$1)</f>
        <v>0</v>
      </c>
      <c r="BS112" s="117" t="n">
        <f aca="false">SUMIFS(الريسبي!$C$2:$C$1800,الريسبي!$A$2:$A$1800,$A112,الريسبي!$B$2:$B$1800,BS$1)</f>
        <v>0</v>
      </c>
      <c r="BT112" s="117" t="n">
        <f aca="false">SUMIFS(الريسبي!$C$2:$C$1800,الريسبي!$A$2:$A$1800,$A112,الريسبي!$B$2:$B$1800,BT$1)</f>
        <v>0</v>
      </c>
      <c r="BU112" s="117" t="n">
        <f aca="false">SUMIFS(الريسبي!$C$2:$C$1800,الريسبي!$A$2:$A$1800,$A112,الريسبي!$B$2:$B$1800,BU$1)+0.4*SUMIFS(الريسبي!$C$2:$C$1800,الريسبي!$A$2:$A$1800,$A112,الريسبي!$B$2:$B$1800,"كاسترد مصنع (خليط بودر + لبن)")+0.03333333333*SUMIFS(الريسبي!$C$2:$C$1800,الريسبي!$A$2:$A$1800,$A112,الريسبي!$B$2:$B$1800,"عجين كريب (مصنع بالمطعم)")</f>
        <v>0</v>
      </c>
      <c r="BV112" s="117" t="n">
        <f aca="false">SUMIFS(الريسبي!$C$2:$C$1800,الريسبي!$A$2:$A$1800,$A112,الريسبي!$B$2:$B$1800,BV$1)</f>
        <v>0</v>
      </c>
      <c r="BW112" s="117" t="n">
        <f aca="false">SUMIFS(الريسبي!$C$2:$C$1800,الريسبي!$A$2:$A$1800,$A112,الريسبي!$B$2:$B$1800,BW$1)</f>
        <v>0</v>
      </c>
      <c r="BX112" s="117" t="n">
        <f aca="false">SUMIFS(الريسبي!$C$2:$C$1800,الريسبي!$A$2:$A$1800,$A112,الريسبي!$B$2:$B$1800,BX$1)</f>
        <v>0</v>
      </c>
      <c r="BY112" s="117" t="n">
        <f aca="false">SUMIFS(الريسبي!$C$2:$C$1800,الريسبي!$A$2:$A$1800,$A112,الريسبي!$B$2:$B$1800,BY$1)</f>
        <v>0</v>
      </c>
      <c r="BZ112" s="117" t="n">
        <f aca="false">SUMIFS(الريسبي!$C$2:$C$1800,الريسبي!$A$2:$A$1800,$A112,الريسبي!$B$2:$B$1800,BZ$1)</f>
        <v>0</v>
      </c>
      <c r="CA112" s="117" t="n">
        <f aca="false">SUMIFS(الريسبي!$C$2:$C$1800,الريسبي!$A$2:$A$1800,$A112,الريسبي!$B$2:$B$1800,CA$1)</f>
        <v>0</v>
      </c>
      <c r="CB112" s="117" t="n">
        <f aca="false">SUMIFS(الريسبي!$C$2:$C$1800,الريسبي!$A$2:$A$1800,$A112,الريسبي!$B$2:$B$1800,CB$1)</f>
        <v>0</v>
      </c>
      <c r="CC112" s="117" t="n">
        <f aca="false">SUMIFS(الريسبي!$C$2:$C$1800,الريسبي!$A$2:$A$1800,$A112,الريسبي!$B$2:$B$1800,CC$1)</f>
        <v>0</v>
      </c>
      <c r="CD112" s="117" t="n">
        <f aca="false">SUMIFS(الريسبي!$C$2:$C$1800,الريسبي!$A$2:$A$1800,$A112,الريسبي!$B$2:$B$1800,CD$1)</f>
        <v>0</v>
      </c>
      <c r="CE112" s="117" t="n">
        <f aca="false">SUMIFS(الريسبي!$C$2:$C$1800,الريسبي!$A$2:$A$1800,$A112,الريسبي!$B$2:$B$1800,CE$1)</f>
        <v>0</v>
      </c>
      <c r="CF112" s="117" t="n">
        <f aca="false">SUMIFS(الريسبي!$C$2:$C$1800,الريسبي!$A$2:$A$1800,$A112,الريسبي!$B$2:$B$1800,CF$1)</f>
        <v>0</v>
      </c>
      <c r="CG112" s="117" t="n">
        <f aca="false">SUMIFS(الريسبي!$C$2:$C$1800,الريسبي!$A$2:$A$1800,$A112,الريسبي!$B$2:$B$1800,CG$1)</f>
        <v>0</v>
      </c>
      <c r="CH112" s="117" t="n">
        <f aca="false">SUMIFS(الريسبي!$C$2:$C$1800,الريسبي!$A$2:$A$1800,$A112,الريسبي!$B$2:$B$1800,CH$1)</f>
        <v>0</v>
      </c>
      <c r="CI112" s="117" t="n">
        <f aca="false">SUMIFS(الريسبي!$C$2:$C$1800,الريسبي!$A$2:$A$1800,$A112,الريسبي!$B$2:$B$1800,CI$1)</f>
        <v>0</v>
      </c>
      <c r="CJ112" s="117" t="n">
        <f aca="false">SUMIFS(الريسبي!$C$2:$C$1800,الريسبي!$A$2:$A$1800,$A112,الريسبي!$B$2:$B$1800,CJ$1)</f>
        <v>0</v>
      </c>
      <c r="CK112" s="117" t="n">
        <f aca="false">SUMIFS(الريسبي!$C$2:$C$1800,الريسبي!$A$2:$A$1800,$A112,الريسبي!$B$2:$B$1800,CK$1)</f>
        <v>0</v>
      </c>
      <c r="CL112" s="117" t="n">
        <f aca="false">SUMIFS(الريسبي!$C$2:$C$1800,الريسبي!$A$2:$A$1800,$A112,الريسبي!$B$2:$B$1800,CL$1)</f>
        <v>0</v>
      </c>
    </row>
    <row r="113" customFormat="false" ht="15" hidden="false" customHeight="false" outlineLevel="0" collapsed="false">
      <c r="A113" s="116" t="str">
        <f aca="false">المنيو!B113</f>
        <v>فطيرة شيكولاتة صيامي</v>
      </c>
      <c r="B113" s="117" t="n">
        <f aca="false">SUMIFS(الريسبي!$C$2:$C$1800,الريسبي!$A$2:$A$1800,$A113,الريسبي!$B$2:$B$1800,B$1)</f>
        <v>0</v>
      </c>
      <c r="C113" s="117" t="n">
        <f aca="false">SUMIFS(الريسبي!$C$2:$C$1800,الريسبي!$A$2:$A$1800,$A113,الريسبي!$B$2:$B$1800,C$1)</f>
        <v>0</v>
      </c>
      <c r="D113" s="117" t="n">
        <f aca="false">SUMIFS(الريسبي!$C$2:$C$1800,الريسبي!$A$2:$A$1800,$A113,الريسبي!$B$2:$B$1800,D$1)</f>
        <v>0</v>
      </c>
      <c r="E113" s="117" t="n">
        <f aca="false">SUMIFS(الريسبي!$C$2:$C$1800,الريسبي!$A$2:$A$1800,$A113,الريسبي!$B$2:$B$1800,E$1)</f>
        <v>1</v>
      </c>
      <c r="F113" s="117" t="n">
        <f aca="false">SUMIFS(الريسبي!$C$2:$C$1800,الريسبي!$A$2:$A$1800,$A113,الريسبي!$B$2:$B$1800,F$1)</f>
        <v>0</v>
      </c>
      <c r="G113" s="117" t="n">
        <f aca="false">SUMIFS(الريسبي!$C$2:$C$1800,الريسبي!$A$2:$A$1800,$A113,الريسبي!$B$2:$B$1800,G$1)</f>
        <v>0</v>
      </c>
      <c r="H113" s="117" t="n">
        <f aca="false">SUMIFS(الريسبي!$C$2:$C$1800,الريسبي!$A$2:$A$1800,$A113,الريسبي!$B$2:$B$1800,H$1)</f>
        <v>0</v>
      </c>
      <c r="I113" s="117" t="n">
        <f aca="false">SUMIFS(الريسبي!$C$2:$C$1800,الريسبي!$A$2:$A$1800,$A113,الريسبي!$B$2:$B$1800,I$1)</f>
        <v>0</v>
      </c>
      <c r="J113" s="117" t="n">
        <f aca="false">SUMIFS(الريسبي!$C$2:$C$1800,الريسبي!$A$2:$A$1800,$A113,الريسبي!$B$2:$B$1800,J$1)</f>
        <v>0</v>
      </c>
      <c r="K113" s="117" t="n">
        <f aca="false">SUMIFS(الريسبي!$C$2:$C$1800,الريسبي!$A$2:$A$1800,$A113,الريسبي!$B$2:$B$1800,K$1)</f>
        <v>0</v>
      </c>
      <c r="L113" s="117" t="n">
        <f aca="false">SUMIFS(الريسبي!$C$2:$C$1800,الريسبي!$A$2:$A$1800,$A113,الريسبي!$B$2:$B$1800,L$1)</f>
        <v>0</v>
      </c>
      <c r="M113" s="117" t="n">
        <f aca="false">SUMIFS(الريسبي!$C$2:$C$1800,الريسبي!$A$2:$A$1800,$A113,الريسبي!$B$2:$B$1800,M$1)</f>
        <v>0</v>
      </c>
      <c r="N113" s="117" t="n">
        <f aca="false">SUMIFS(الريسبي!$C$2:$C$1800,الريسبي!$A$2:$A$1800,$A113,الريسبي!$B$2:$B$1800,N$1)</f>
        <v>0</v>
      </c>
      <c r="O113" s="117" t="n">
        <f aca="false">SUMIFS(الريسبي!$C$2:$C$1800,الريسبي!$A$2:$A$1800,$A113,الريسبي!$B$2:$B$1800,O$1)</f>
        <v>0</v>
      </c>
      <c r="P113" s="117" t="n">
        <f aca="false">SUMIFS(الريسبي!$C$2:$C$1800,الريسبي!$A$2:$A$1800,$A113,الريسبي!$B$2:$B$1800,P$1)</f>
        <v>0</v>
      </c>
      <c r="Q113" s="117" t="n">
        <f aca="false">SUMIFS(الريسبي!$C$2:$C$1800,الريسبي!$A$2:$A$1800,$A113,الريسبي!$B$2:$B$1800,Q$1)</f>
        <v>0</v>
      </c>
      <c r="R113" s="117" t="n">
        <f aca="false">SUMIFS(الريسبي!$C$2:$C$1800,الريسبي!$A$2:$A$1800,$A113,الريسبي!$B$2:$B$1800,R$1)</f>
        <v>0</v>
      </c>
      <c r="S113" s="117" t="n">
        <f aca="false">SUMIFS(الريسبي!$C$2:$C$1800,الريسبي!$A$2:$A$1800,$A113,الريسبي!$B$2:$B$1800,S$1)</f>
        <v>0</v>
      </c>
      <c r="T113" s="117" t="n">
        <f aca="false">SUMIFS(الريسبي!$C$2:$C$1800,الريسبي!$A$2:$A$1800,$A113,الريسبي!$B$2:$B$1800,T$1)</f>
        <v>0</v>
      </c>
      <c r="U113" s="117" t="n">
        <f aca="false">SUMIFS(الريسبي!$C$2:$C$1800,الريسبي!$A$2:$A$1800,$A113,الريسبي!$B$2:$B$1800,U$1)</f>
        <v>0</v>
      </c>
      <c r="V113" s="117" t="n">
        <f aca="false">SUMIFS(الريسبي!$C$2:$C$1800,الريسبي!$A$2:$A$1800,$A113,الريسبي!$B$2:$B$1800,V$1)</f>
        <v>0</v>
      </c>
      <c r="W113" s="117" t="n">
        <f aca="false">SUMIFS(الريسبي!$C$2:$C$1800,الريسبي!$A$2:$A$1800,$A113,الريسبي!$B$2:$B$1800,W$1)</f>
        <v>0</v>
      </c>
      <c r="X113" s="117" t="n">
        <f aca="false">SUMIFS(الريسبي!$C$2:$C$1800,الريسبي!$A$2:$A$1800,$A113,الريسبي!$B$2:$B$1800,X$1)</f>
        <v>0</v>
      </c>
      <c r="Y113" s="117" t="n">
        <f aca="false">SUMIFS(الريسبي!$C$2:$C$1800,الريسبي!$A$2:$A$1800,$A113,الريسبي!$B$2:$B$1800,Y$1)</f>
        <v>0</v>
      </c>
      <c r="Z113" s="117" t="n">
        <f aca="false">SUMIFS(الريسبي!$C$2:$C$1800,الريسبي!$A$2:$A$1800,$A113,الريسبي!$B$2:$B$1800,Z$1)</f>
        <v>0</v>
      </c>
      <c r="AA113" s="117" t="n">
        <f aca="false">SUMIFS(الريسبي!$C$2:$C$1800,الريسبي!$A$2:$A$1800,$A113,الريسبي!$B$2:$B$1800,AA$1)</f>
        <v>0</v>
      </c>
      <c r="AB113" s="117" t="n">
        <f aca="false">SUMIFS(الريسبي!$C$2:$C$1800,الريسبي!$A$2:$A$1800,$A113,الريسبي!$B$2:$B$1800,AB$1)</f>
        <v>0</v>
      </c>
      <c r="AC113" s="117" t="n">
        <f aca="false">SUMIFS(الريسبي!$C$2:$C$1800,الريسبي!$A$2:$A$1800,$A113,الريسبي!$B$2:$B$1800,AC$1)</f>
        <v>0</v>
      </c>
      <c r="AD113" s="117" t="n">
        <f aca="false">SUMIFS(الريسبي!$C$2:$C$1800,الريسبي!$A$2:$A$1800,$A113,الريسبي!$B$2:$B$1800,AD$1)</f>
        <v>0</v>
      </c>
      <c r="AE113" s="117" t="n">
        <f aca="false">SUMIFS(الريسبي!$C$2:$C$1800,الريسبي!$A$2:$A$1800,$A113,الريسبي!$B$2:$B$1800,AE$1)</f>
        <v>0</v>
      </c>
      <c r="AF113" s="117" t="n">
        <f aca="false">SUMIFS(الريسبي!$C$2:$C$1800,الريسبي!$A$2:$A$1800,$A113,الريسبي!$B$2:$B$1800,AF$1)</f>
        <v>1</v>
      </c>
      <c r="AG113" s="117" t="n">
        <f aca="false">SUMIFS(الريسبي!$C$2:$C$1800,الريسبي!$A$2:$A$1800,$A113,الريسبي!$B$2:$B$1800,AG$1)</f>
        <v>0</v>
      </c>
      <c r="AH113" s="117" t="n">
        <f aca="false">SUMIFS(الريسبي!$C$2:$C$1800,الريسبي!$A$2:$A$1800,$A113,الريسبي!$B$2:$B$1800,AH$1)</f>
        <v>0</v>
      </c>
      <c r="AI113" s="117" t="n">
        <f aca="false">SUMIFS(الريسبي!$C$2:$C$1800,الريسبي!$A$2:$A$1800,$A113,الريسبي!$B$2:$B$1800,AI$1)</f>
        <v>0</v>
      </c>
      <c r="AJ113" s="117" t="n">
        <f aca="false">SUMIFS(الريسبي!$C$2:$C$1800,الريسبي!$A$2:$A$1800,$A113,الريسبي!$B$2:$B$1800,AJ$1)</f>
        <v>0</v>
      </c>
      <c r="AK113" s="117" t="n">
        <f aca="false">SUMIFS(الريسبي!$C$2:$C$1800,الريسبي!$A$2:$A$1800,$A113,الريسبي!$B$2:$B$1800,AK$1)</f>
        <v>0</v>
      </c>
      <c r="AL113" s="117" t="n">
        <f aca="false">SUMIFS(الريسبي!$C$2:$C$1800,الريسبي!$A$2:$A$1800,$A113,الريسبي!$B$2:$B$1800,AL$1)</f>
        <v>0</v>
      </c>
      <c r="AM113" s="117" t="n">
        <f aca="false">SUMIFS(الريسبي!$C$2:$C$1800,الريسبي!$A$2:$A$1800,$A113,الريسبي!$B$2:$B$1800,AM$1)+0.08333333333*SUMIFS(الريسبي!$C$2:$C$1800,الريسبي!$A$2:$A$1800,$A113,الريسبي!$B$2:$B$1800,"عجين كريب (مصنع بالمطعم)")+0.08333333333*SUMIFS(الريسبي!$C$2:$C$1800,الريسبي!$A$2:$A$1800,$A113,الريسبي!$B$2:$B$1800,"عجين كريب صيامي (بدون لبن)")</f>
        <v>0</v>
      </c>
      <c r="AN113" s="117" t="n">
        <f aca="false">SUMIFS(الريسبي!$C$2:$C$1800,الريسبي!$A$2:$A$1800,$A113,الريسبي!$B$2:$B$1800,AN$1)+0.004166666667*SUMIFS(الريسبي!$C$2:$C$1800,الريسبي!$A$2:$A$1800,$A113,الريسبي!$B$2:$B$1800,"عجين كريب (مصنع بالمطعم)")+0.004166666667*SUMIFS(الريسبي!$C$2:$C$1800,الريسبي!$A$2:$A$1800,$A113,الريسبي!$B$2:$B$1800,"عجين كريب صيامي (بدون لبن)")</f>
        <v>0</v>
      </c>
      <c r="AO113" s="117" t="n">
        <f aca="false">SUMIFS(الريسبي!$C$2:$C$1800,الريسبي!$A$2:$A$1800,$A113,الريسبي!$B$2:$B$1800,AO$1)</f>
        <v>0</v>
      </c>
      <c r="AP113" s="117" t="n">
        <f aca="false">SUMIFS(الريسبي!$C$2:$C$1800,الريسبي!$A$2:$A$1800,$A113,الريسبي!$B$2:$B$1800,AP$1)</f>
        <v>0</v>
      </c>
      <c r="AQ113" s="117" t="n">
        <f aca="false">SUMIFS(الريسبي!$C$2:$C$1800,الريسبي!$A$2:$A$1800,$A113,الريسبي!$B$2:$B$1800,AQ$1)+0.004166666667*SUMIFS(الريسبي!$C$2:$C$1800,الريسبي!$A$2:$A$1800,$A113,الريسبي!$B$2:$B$1800,"عجين كريب (مصنع بالمطعم)")+0.004166666667*SUMIFS(الريسبي!$C$2:$C$1800,الريسبي!$A$2:$A$1800,$A113,الريسبي!$B$2:$B$1800,"عجين كريب صيامي (بدون لبن)")</f>
        <v>0</v>
      </c>
      <c r="AR113" s="117" t="n">
        <f aca="false">SUMIFS(الريسبي!$C$2:$C$1800,الريسبي!$A$2:$A$1800,$A113,الريسبي!$B$2:$B$1800,AR$1)</f>
        <v>0</v>
      </c>
      <c r="AS113" s="117" t="n">
        <f aca="false">SUMIFS(الريسبي!$C$2:$C$1800,الريسبي!$A$2:$A$1800,$A113,الريسبي!$B$2:$B$1800,AS$1)</f>
        <v>0</v>
      </c>
      <c r="AT113" s="117" t="n">
        <f aca="false">SUMIFS(الريسبي!$C$2:$C$1800,الريسبي!$A$2:$A$1800,$A113,الريسبي!$B$2:$B$1800,AT$1)</f>
        <v>0</v>
      </c>
      <c r="AU113" s="117" t="n">
        <f aca="false">SUMIFS(الريسبي!$C$2:$C$1800,الريسبي!$A$2:$A$1800,$A113,الريسبي!$B$2:$B$1800,AU$1)</f>
        <v>1</v>
      </c>
      <c r="AV113" s="117" t="n">
        <f aca="false">SUMIFS(الريسبي!$C$2:$C$1800,الريسبي!$A$2:$A$1800,$A113,الريسبي!$B$2:$B$1800,AV$1)</f>
        <v>0.16</v>
      </c>
      <c r="AW113" s="117" t="n">
        <f aca="false">SUMIFS(الريسبي!$C$2:$C$1800,الريسبي!$A$2:$A$1800,$A113,الريسبي!$B$2:$B$1800,AW$1)</f>
        <v>0.03</v>
      </c>
      <c r="AX113" s="117" t="n">
        <f aca="false">SUMIFS(الريسبي!$C$2:$C$1800,الريسبي!$A$2:$A$1800,$A113,الريسبي!$B$2:$B$1800,AX$1)</f>
        <v>0</v>
      </c>
      <c r="AY113" s="117" t="n">
        <f aca="false">SUMIFS(الريسبي!$C$2:$C$1800,الريسبي!$A$2:$A$1800,$A113,الريسبي!$B$2:$B$1800,AY$1)</f>
        <v>0</v>
      </c>
      <c r="AZ113" s="117" t="n">
        <f aca="false">SUMIFS(الريسبي!$C$2:$C$1800,الريسبي!$A$2:$A$1800,$A113,الريسبي!$B$2:$B$1800,AZ$1)</f>
        <v>0</v>
      </c>
      <c r="BA113" s="117" t="n">
        <f aca="false">SUMIFS(الريسبي!$C$2:$C$1800,الريسبي!$A$2:$A$1800,$A113,الريسبي!$B$2:$B$1800,BA$1)</f>
        <v>0</v>
      </c>
      <c r="BB113" s="117" t="n">
        <f aca="false">SUMIFS(الريسبي!$C$2:$C$1800,الريسبي!$A$2:$A$1800,$A113,الريسبي!$B$2:$B$1800,BB$1)</f>
        <v>0</v>
      </c>
      <c r="BC113" s="117" t="n">
        <f aca="false">SUMIFS(الريسبي!$C$2:$C$1800,الريسبي!$A$2:$A$1800,$A113,الريسبي!$B$2:$B$1800,BC$1)</f>
        <v>0</v>
      </c>
      <c r="BD113" s="117" t="n">
        <f aca="false">SUMIFS(الريسبي!$C$2:$C$1800,الريسبي!$A$2:$A$1800,$A113,الريسبي!$B$2:$B$1800,BD$1)</f>
        <v>0</v>
      </c>
      <c r="BE113" s="117" t="n">
        <f aca="false">SUMIFS(الريسبي!$C$2:$C$1800,الريسبي!$A$2:$A$1800,$A113,الريسبي!$B$2:$B$1800,BE$1)</f>
        <v>1</v>
      </c>
      <c r="BF113" s="117" t="n">
        <f aca="false">SUMIFS(الريسبي!$C$2:$C$1800,الريسبي!$A$2:$A$1800,$A113,الريسبي!$B$2:$B$1800,BF$1)</f>
        <v>0</v>
      </c>
      <c r="BG113" s="117" t="n">
        <f aca="false">SUMIFS(الريسبي!$C$2:$C$1800,الريسبي!$A$2:$A$1800,$A113,الريسبي!$B$2:$B$1800,BG$1)</f>
        <v>0</v>
      </c>
      <c r="BH113" s="117" t="n">
        <f aca="false">SUMIFS(الريسبي!$C$2:$C$1800,الريسبي!$A$2:$A$1800,$A113,الريسبي!$B$2:$B$1800,BH$1)</f>
        <v>0</v>
      </c>
      <c r="BI113" s="117" t="n">
        <f aca="false">SUMIFS(الريسبي!$C$2:$C$1800,الريسبي!$A$2:$A$1800,$A113,الريسبي!$B$2:$B$1800,BI$1)</f>
        <v>0</v>
      </c>
      <c r="BJ113" s="117" t="n">
        <f aca="false">SUMIFS(الريسبي!$C$2:$C$1800,الريسبي!$A$2:$A$1800,$A113,الريسبي!$B$2:$B$1800,BJ$1)</f>
        <v>0</v>
      </c>
      <c r="BK113" s="117" t="n">
        <f aca="false">SUMIFS(الريسبي!$C$2:$C$1800,الريسبي!$A$2:$A$1800,$A113,الريسبي!$B$2:$B$1800,BK$1)</f>
        <v>1</v>
      </c>
      <c r="BL113" s="117" t="n">
        <f aca="false">SUMIFS(الريسبي!$C$2:$C$1800,الريسبي!$A$2:$A$1800,$A113,الريسبي!$B$2:$B$1800,BL$1)</f>
        <v>0</v>
      </c>
      <c r="BM113" s="117" t="n">
        <f aca="false">SUMIFS(الريسبي!$C$2:$C$1800,الريسبي!$A$2:$A$1800,$A113,الريسبي!$B$2:$B$1800,BM$1)</f>
        <v>0</v>
      </c>
      <c r="BN113" s="117" t="n">
        <f aca="false">SUMIFS(الريسبي!$C$2:$C$1800,الريسبي!$A$2:$A$1800,$A113,الريسبي!$B$2:$B$1800,BN$1)</f>
        <v>0</v>
      </c>
      <c r="BO113" s="117" t="n">
        <f aca="false">SUMIFS(الريسبي!$C$2:$C$1800,الريسبي!$A$2:$A$1800,$A113,الريسبي!$B$2:$B$1800,BO$1)</f>
        <v>0</v>
      </c>
      <c r="BP113" s="117" t="n">
        <f aca="false">SUMIFS(الريسبي!$C$2:$C$1800,الريسبي!$A$2:$A$1800,$A113,الريسبي!$B$2:$B$1800,BP$1)</f>
        <v>0</v>
      </c>
      <c r="BQ113" s="117" t="n">
        <f aca="false">SUMIFS(الريسبي!$C$2:$C$1800,الريسبي!$A$2:$A$1800,$A113,الريسبي!$B$2:$B$1800,BQ$1)+0.17*SUMIFS(الريسبي!$C$2:$C$1800,الريسبي!$A$2:$A$1800,$A113,الريسبي!$B$2:$B$1800,"كاسترد مصنع (خليط بودر + لبن)")+0.17*SUMIFS(الريسبي!$C$2:$C$1800,الريسبي!$A$2:$A$1800,$A113,الريسبي!$B$2:$B$1800,"كاسترد مصنع صيامي (بدون لبن)")</f>
        <v>0.0255</v>
      </c>
      <c r="BR113" s="117" t="n">
        <f aca="false">SUMIFS(الريسبي!$C$2:$C$1800,الريسبي!$A$2:$A$1800,$A113,الريسبي!$B$2:$B$1800,BR$1)</f>
        <v>0</v>
      </c>
      <c r="BS113" s="117" t="n">
        <f aca="false">SUMIFS(الريسبي!$C$2:$C$1800,الريسبي!$A$2:$A$1800,$A113,الريسبي!$B$2:$B$1800,BS$1)</f>
        <v>0.01</v>
      </c>
      <c r="BT113" s="117" t="n">
        <f aca="false">SUMIFS(الريسبي!$C$2:$C$1800,الريسبي!$A$2:$A$1800,$A113,الريسبي!$B$2:$B$1800,BT$1)</f>
        <v>0</v>
      </c>
      <c r="BU113" s="117" t="n">
        <f aca="false">SUMIFS(الريسبي!$C$2:$C$1800,الريسبي!$A$2:$A$1800,$A113,الريسبي!$B$2:$B$1800,BU$1)+0.4*SUMIFS(الريسبي!$C$2:$C$1800,الريسبي!$A$2:$A$1800,$A113,الريسبي!$B$2:$B$1800,"كاسترد مصنع (خليط بودر + لبن)")+0.03333333333*SUMIFS(الريسبي!$C$2:$C$1800,الريسبي!$A$2:$A$1800,$A113,الريسبي!$B$2:$B$1800,"عجين كريب (مصنع بالمطعم)")</f>
        <v>0</v>
      </c>
      <c r="BV113" s="117" t="n">
        <f aca="false">SUMIFS(الريسبي!$C$2:$C$1800,الريسبي!$A$2:$A$1800,$A113,الريسبي!$B$2:$B$1800,BV$1)</f>
        <v>0</v>
      </c>
      <c r="BW113" s="117" t="n">
        <f aca="false">SUMIFS(الريسبي!$C$2:$C$1800,الريسبي!$A$2:$A$1800,$A113,الريسبي!$B$2:$B$1800,BW$1)</f>
        <v>0</v>
      </c>
      <c r="BX113" s="117" t="n">
        <f aca="false">SUMIFS(الريسبي!$C$2:$C$1800,الريسبي!$A$2:$A$1800,$A113,الريسبي!$B$2:$B$1800,BX$1)</f>
        <v>0</v>
      </c>
      <c r="BY113" s="117" t="n">
        <f aca="false">SUMIFS(الريسبي!$C$2:$C$1800,الريسبي!$A$2:$A$1800,$A113,الريسبي!$B$2:$B$1800,BY$1)</f>
        <v>0</v>
      </c>
      <c r="BZ113" s="117" t="n">
        <f aca="false">SUMIFS(الريسبي!$C$2:$C$1800,الريسبي!$A$2:$A$1800,$A113,الريسبي!$B$2:$B$1800,BZ$1)</f>
        <v>0</v>
      </c>
      <c r="CA113" s="117" t="n">
        <f aca="false">SUMIFS(الريسبي!$C$2:$C$1800,الريسبي!$A$2:$A$1800,$A113,الريسبي!$B$2:$B$1800,CA$1)</f>
        <v>0</v>
      </c>
      <c r="CB113" s="117" t="n">
        <f aca="false">SUMIFS(الريسبي!$C$2:$C$1800,الريسبي!$A$2:$A$1800,$A113,الريسبي!$B$2:$B$1800,CB$1)</f>
        <v>0</v>
      </c>
      <c r="CC113" s="117" t="n">
        <f aca="false">SUMIFS(الريسبي!$C$2:$C$1800,الريسبي!$A$2:$A$1800,$A113,الريسبي!$B$2:$B$1800,CC$1)</f>
        <v>0</v>
      </c>
      <c r="CD113" s="117" t="n">
        <f aca="false">SUMIFS(الريسبي!$C$2:$C$1800,الريسبي!$A$2:$A$1800,$A113,الريسبي!$B$2:$B$1800,CD$1)</f>
        <v>0</v>
      </c>
      <c r="CE113" s="117" t="n">
        <f aca="false">SUMIFS(الريسبي!$C$2:$C$1800,الريسبي!$A$2:$A$1800,$A113,الريسبي!$B$2:$B$1800,CE$1)</f>
        <v>0</v>
      </c>
      <c r="CF113" s="117" t="n">
        <f aca="false">SUMIFS(الريسبي!$C$2:$C$1800,الريسبي!$A$2:$A$1800,$A113,الريسبي!$B$2:$B$1800,CF$1)</f>
        <v>0</v>
      </c>
      <c r="CG113" s="117" t="n">
        <f aca="false">SUMIFS(الريسبي!$C$2:$C$1800,الريسبي!$A$2:$A$1800,$A113,الريسبي!$B$2:$B$1800,CG$1)</f>
        <v>0</v>
      </c>
      <c r="CH113" s="117" t="n">
        <f aca="false">SUMIFS(الريسبي!$C$2:$C$1800,الريسبي!$A$2:$A$1800,$A113,الريسبي!$B$2:$B$1800,CH$1)</f>
        <v>0</v>
      </c>
      <c r="CI113" s="117" t="n">
        <f aca="false">SUMIFS(الريسبي!$C$2:$C$1800,الريسبي!$A$2:$A$1800,$A113,الريسبي!$B$2:$B$1800,CI$1)</f>
        <v>0</v>
      </c>
      <c r="CJ113" s="117" t="n">
        <f aca="false">SUMIFS(الريسبي!$C$2:$C$1800,الريسبي!$A$2:$A$1800,$A113,الريسبي!$B$2:$B$1800,CJ$1)</f>
        <v>0</v>
      </c>
      <c r="CK113" s="117" t="n">
        <f aca="false">SUMIFS(الريسبي!$C$2:$C$1800,الريسبي!$A$2:$A$1800,$A113,الريسبي!$B$2:$B$1800,CK$1)</f>
        <v>0</v>
      </c>
      <c r="CL113" s="117" t="n">
        <f aca="false">SUMIFS(الريسبي!$C$2:$C$1800,الريسبي!$A$2:$A$1800,$A113,الريسبي!$B$2:$B$1800,CL$1)</f>
        <v>0</v>
      </c>
    </row>
    <row r="114" customFormat="false" ht="15" hidden="false" customHeight="false" outlineLevel="0" collapsed="false">
      <c r="A114" s="116" t="str">
        <f aca="false">المنيو!B114</f>
        <v>فطيرة لوتس صيامي</v>
      </c>
      <c r="B114" s="117" t="n">
        <f aca="false">SUMIFS(الريسبي!$C$2:$C$1800,الريسبي!$A$2:$A$1800,$A114,الريسبي!$B$2:$B$1800,B$1)</f>
        <v>0</v>
      </c>
      <c r="C114" s="117" t="n">
        <f aca="false">SUMIFS(الريسبي!$C$2:$C$1800,الريسبي!$A$2:$A$1800,$A114,الريسبي!$B$2:$B$1800,C$1)</f>
        <v>0</v>
      </c>
      <c r="D114" s="117" t="n">
        <f aca="false">SUMIFS(الريسبي!$C$2:$C$1800,الريسبي!$A$2:$A$1800,$A114,الريسبي!$B$2:$B$1800,D$1)</f>
        <v>0</v>
      </c>
      <c r="E114" s="117" t="n">
        <f aca="false">SUMIFS(الريسبي!$C$2:$C$1800,الريسبي!$A$2:$A$1800,$A114,الريسبي!$B$2:$B$1800,E$1)</f>
        <v>1</v>
      </c>
      <c r="F114" s="117" t="n">
        <f aca="false">SUMIFS(الريسبي!$C$2:$C$1800,الريسبي!$A$2:$A$1800,$A114,الريسبي!$B$2:$B$1800,F$1)</f>
        <v>0</v>
      </c>
      <c r="G114" s="117" t="n">
        <f aca="false">SUMIFS(الريسبي!$C$2:$C$1800,الريسبي!$A$2:$A$1800,$A114,الريسبي!$B$2:$B$1800,G$1)</f>
        <v>0</v>
      </c>
      <c r="H114" s="117" t="n">
        <f aca="false">SUMIFS(الريسبي!$C$2:$C$1800,الريسبي!$A$2:$A$1800,$A114,الريسبي!$B$2:$B$1800,H$1)</f>
        <v>0</v>
      </c>
      <c r="I114" s="117" t="n">
        <f aca="false">SUMIFS(الريسبي!$C$2:$C$1800,الريسبي!$A$2:$A$1800,$A114,الريسبي!$B$2:$B$1800,I$1)</f>
        <v>0</v>
      </c>
      <c r="J114" s="117" t="n">
        <f aca="false">SUMIFS(الريسبي!$C$2:$C$1800,الريسبي!$A$2:$A$1800,$A114,الريسبي!$B$2:$B$1800,J$1)</f>
        <v>0</v>
      </c>
      <c r="K114" s="117" t="n">
        <f aca="false">SUMIFS(الريسبي!$C$2:$C$1800,الريسبي!$A$2:$A$1800,$A114,الريسبي!$B$2:$B$1800,K$1)</f>
        <v>0</v>
      </c>
      <c r="L114" s="117" t="n">
        <f aca="false">SUMIFS(الريسبي!$C$2:$C$1800,الريسبي!$A$2:$A$1800,$A114,الريسبي!$B$2:$B$1800,L$1)</f>
        <v>0</v>
      </c>
      <c r="M114" s="117" t="n">
        <f aca="false">SUMIFS(الريسبي!$C$2:$C$1800,الريسبي!$A$2:$A$1800,$A114,الريسبي!$B$2:$B$1800,M$1)</f>
        <v>0</v>
      </c>
      <c r="N114" s="117" t="n">
        <f aca="false">SUMIFS(الريسبي!$C$2:$C$1800,الريسبي!$A$2:$A$1800,$A114,الريسبي!$B$2:$B$1800,N$1)</f>
        <v>0</v>
      </c>
      <c r="O114" s="117" t="n">
        <f aca="false">SUMIFS(الريسبي!$C$2:$C$1800,الريسبي!$A$2:$A$1800,$A114,الريسبي!$B$2:$B$1800,O$1)</f>
        <v>0</v>
      </c>
      <c r="P114" s="117" t="n">
        <f aca="false">SUMIFS(الريسبي!$C$2:$C$1800,الريسبي!$A$2:$A$1800,$A114,الريسبي!$B$2:$B$1800,P$1)</f>
        <v>0</v>
      </c>
      <c r="Q114" s="117" t="n">
        <f aca="false">SUMIFS(الريسبي!$C$2:$C$1800,الريسبي!$A$2:$A$1800,$A114,الريسبي!$B$2:$B$1800,Q$1)</f>
        <v>0</v>
      </c>
      <c r="R114" s="117" t="n">
        <f aca="false">SUMIFS(الريسبي!$C$2:$C$1800,الريسبي!$A$2:$A$1800,$A114,الريسبي!$B$2:$B$1800,R$1)</f>
        <v>0</v>
      </c>
      <c r="S114" s="117" t="n">
        <f aca="false">SUMIFS(الريسبي!$C$2:$C$1800,الريسبي!$A$2:$A$1800,$A114,الريسبي!$B$2:$B$1800,S$1)</f>
        <v>0</v>
      </c>
      <c r="T114" s="117" t="n">
        <f aca="false">SUMIFS(الريسبي!$C$2:$C$1800,الريسبي!$A$2:$A$1800,$A114,الريسبي!$B$2:$B$1800,T$1)</f>
        <v>0</v>
      </c>
      <c r="U114" s="117" t="n">
        <f aca="false">SUMIFS(الريسبي!$C$2:$C$1800,الريسبي!$A$2:$A$1800,$A114,الريسبي!$B$2:$B$1800,U$1)</f>
        <v>0</v>
      </c>
      <c r="V114" s="117" t="n">
        <f aca="false">SUMIFS(الريسبي!$C$2:$C$1800,الريسبي!$A$2:$A$1800,$A114,الريسبي!$B$2:$B$1800,V$1)</f>
        <v>0</v>
      </c>
      <c r="W114" s="117" t="n">
        <f aca="false">SUMIFS(الريسبي!$C$2:$C$1800,الريسبي!$A$2:$A$1800,$A114,الريسبي!$B$2:$B$1800,W$1)</f>
        <v>0</v>
      </c>
      <c r="X114" s="117" t="n">
        <f aca="false">SUMIFS(الريسبي!$C$2:$C$1800,الريسبي!$A$2:$A$1800,$A114,الريسبي!$B$2:$B$1800,X$1)</f>
        <v>0</v>
      </c>
      <c r="Y114" s="117" t="n">
        <f aca="false">SUMIFS(الريسبي!$C$2:$C$1800,الريسبي!$A$2:$A$1800,$A114,الريسبي!$B$2:$B$1800,Y$1)</f>
        <v>0</v>
      </c>
      <c r="Z114" s="117" t="n">
        <f aca="false">SUMIFS(الريسبي!$C$2:$C$1800,الريسبي!$A$2:$A$1800,$A114,الريسبي!$B$2:$B$1800,Z$1)</f>
        <v>0</v>
      </c>
      <c r="AA114" s="117" t="n">
        <f aca="false">SUMIFS(الريسبي!$C$2:$C$1800,الريسبي!$A$2:$A$1800,$A114,الريسبي!$B$2:$B$1800,AA$1)</f>
        <v>0.02</v>
      </c>
      <c r="AB114" s="117" t="n">
        <f aca="false">SUMIFS(الريسبي!$C$2:$C$1800,الريسبي!$A$2:$A$1800,$A114,الريسبي!$B$2:$B$1800,AB$1)</f>
        <v>0.04</v>
      </c>
      <c r="AC114" s="117" t="n">
        <f aca="false">SUMIFS(الريسبي!$C$2:$C$1800,الريسبي!$A$2:$A$1800,$A114,الريسبي!$B$2:$B$1800,AC$1)</f>
        <v>0</v>
      </c>
      <c r="AD114" s="117" t="n">
        <f aca="false">SUMIFS(الريسبي!$C$2:$C$1800,الريسبي!$A$2:$A$1800,$A114,الريسبي!$B$2:$B$1800,AD$1)</f>
        <v>0</v>
      </c>
      <c r="AE114" s="117" t="n">
        <f aca="false">SUMIFS(الريسبي!$C$2:$C$1800,الريسبي!$A$2:$A$1800,$A114,الريسبي!$B$2:$B$1800,AE$1)</f>
        <v>0</v>
      </c>
      <c r="AF114" s="117" t="n">
        <f aca="false">SUMIFS(الريسبي!$C$2:$C$1800,الريسبي!$A$2:$A$1800,$A114,الريسبي!$B$2:$B$1800,AF$1)</f>
        <v>1</v>
      </c>
      <c r="AG114" s="117" t="n">
        <f aca="false">SUMIFS(الريسبي!$C$2:$C$1800,الريسبي!$A$2:$A$1800,$A114,الريسبي!$B$2:$B$1800,AG$1)</f>
        <v>0</v>
      </c>
      <c r="AH114" s="117" t="n">
        <f aca="false">SUMIFS(الريسبي!$C$2:$C$1800,الريسبي!$A$2:$A$1800,$A114,الريسبي!$B$2:$B$1800,AH$1)</f>
        <v>0</v>
      </c>
      <c r="AI114" s="117" t="n">
        <f aca="false">SUMIFS(الريسبي!$C$2:$C$1800,الريسبي!$A$2:$A$1800,$A114,الريسبي!$B$2:$B$1800,AI$1)</f>
        <v>0</v>
      </c>
      <c r="AJ114" s="117" t="n">
        <f aca="false">SUMIFS(الريسبي!$C$2:$C$1800,الريسبي!$A$2:$A$1800,$A114,الريسبي!$B$2:$B$1800,AJ$1)</f>
        <v>0</v>
      </c>
      <c r="AK114" s="117" t="n">
        <f aca="false">SUMIFS(الريسبي!$C$2:$C$1800,الريسبي!$A$2:$A$1800,$A114,الريسبي!$B$2:$B$1800,AK$1)</f>
        <v>0</v>
      </c>
      <c r="AL114" s="117" t="n">
        <f aca="false">SUMIFS(الريسبي!$C$2:$C$1800,الريسبي!$A$2:$A$1800,$A114,الريسبي!$B$2:$B$1800,AL$1)</f>
        <v>0</v>
      </c>
      <c r="AM114" s="117" t="n">
        <f aca="false">SUMIFS(الريسبي!$C$2:$C$1800,الريسبي!$A$2:$A$1800,$A114,الريسبي!$B$2:$B$1800,AM$1)+0.08333333333*SUMIFS(الريسبي!$C$2:$C$1800,الريسبي!$A$2:$A$1800,$A114,الريسبي!$B$2:$B$1800,"عجين كريب (مصنع بالمطعم)")+0.08333333333*SUMIFS(الريسبي!$C$2:$C$1800,الريسبي!$A$2:$A$1800,$A114,الريسبي!$B$2:$B$1800,"عجين كريب صيامي (بدون لبن)")</f>
        <v>0</v>
      </c>
      <c r="AN114" s="117" t="n">
        <f aca="false">SUMIFS(الريسبي!$C$2:$C$1800,الريسبي!$A$2:$A$1800,$A114,الريسبي!$B$2:$B$1800,AN$1)+0.004166666667*SUMIFS(الريسبي!$C$2:$C$1800,الريسبي!$A$2:$A$1800,$A114,الريسبي!$B$2:$B$1800,"عجين كريب (مصنع بالمطعم)")+0.004166666667*SUMIFS(الريسبي!$C$2:$C$1800,الريسبي!$A$2:$A$1800,$A114,الريسبي!$B$2:$B$1800,"عجين كريب صيامي (بدون لبن)")</f>
        <v>0</v>
      </c>
      <c r="AO114" s="117" t="n">
        <f aca="false">SUMIFS(الريسبي!$C$2:$C$1800,الريسبي!$A$2:$A$1800,$A114,الريسبي!$B$2:$B$1800,AO$1)</f>
        <v>0</v>
      </c>
      <c r="AP114" s="117" t="n">
        <f aca="false">SUMIFS(الريسبي!$C$2:$C$1800,الريسبي!$A$2:$A$1800,$A114,الريسبي!$B$2:$B$1800,AP$1)</f>
        <v>0</v>
      </c>
      <c r="AQ114" s="117" t="n">
        <f aca="false">SUMIFS(الريسبي!$C$2:$C$1800,الريسبي!$A$2:$A$1800,$A114,الريسبي!$B$2:$B$1800,AQ$1)+0.004166666667*SUMIFS(الريسبي!$C$2:$C$1800,الريسبي!$A$2:$A$1800,$A114,الريسبي!$B$2:$B$1800,"عجين كريب (مصنع بالمطعم)")+0.004166666667*SUMIFS(الريسبي!$C$2:$C$1800,الريسبي!$A$2:$A$1800,$A114,الريسبي!$B$2:$B$1800,"عجين كريب صيامي (بدون لبن)")</f>
        <v>0</v>
      </c>
      <c r="AR114" s="117" t="n">
        <f aca="false">SUMIFS(الريسبي!$C$2:$C$1800,الريسبي!$A$2:$A$1800,$A114,الريسبي!$B$2:$B$1800,AR$1)</f>
        <v>0</v>
      </c>
      <c r="AS114" s="117" t="n">
        <f aca="false">SUMIFS(الريسبي!$C$2:$C$1800,الريسبي!$A$2:$A$1800,$A114,الريسبي!$B$2:$B$1800,AS$1)</f>
        <v>0</v>
      </c>
      <c r="AT114" s="117" t="n">
        <f aca="false">SUMIFS(الريسبي!$C$2:$C$1800,الريسبي!$A$2:$A$1800,$A114,الريسبي!$B$2:$B$1800,AT$1)</f>
        <v>0</v>
      </c>
      <c r="AU114" s="117" t="n">
        <f aca="false">SUMIFS(الريسبي!$C$2:$C$1800,الريسبي!$A$2:$A$1800,$A114,الريسبي!$B$2:$B$1800,AU$1)</f>
        <v>1</v>
      </c>
      <c r="AV114" s="117" t="n">
        <f aca="false">SUMIFS(الريسبي!$C$2:$C$1800,الريسبي!$A$2:$A$1800,$A114,الريسبي!$B$2:$B$1800,AV$1)</f>
        <v>0</v>
      </c>
      <c r="AW114" s="117" t="n">
        <f aca="false">SUMIFS(الريسبي!$C$2:$C$1800,الريسبي!$A$2:$A$1800,$A114,الريسبي!$B$2:$B$1800,AW$1)</f>
        <v>0</v>
      </c>
      <c r="AX114" s="117" t="n">
        <f aca="false">SUMIFS(الريسبي!$C$2:$C$1800,الريسبي!$A$2:$A$1800,$A114,الريسبي!$B$2:$B$1800,AX$1)</f>
        <v>0</v>
      </c>
      <c r="AY114" s="117" t="n">
        <f aca="false">SUMIFS(الريسبي!$C$2:$C$1800,الريسبي!$A$2:$A$1800,$A114,الريسبي!$B$2:$B$1800,AY$1)</f>
        <v>0</v>
      </c>
      <c r="AZ114" s="117" t="n">
        <f aca="false">SUMIFS(الريسبي!$C$2:$C$1800,الريسبي!$A$2:$A$1800,$A114,الريسبي!$B$2:$B$1800,AZ$1)</f>
        <v>0</v>
      </c>
      <c r="BA114" s="117" t="n">
        <f aca="false">SUMIFS(الريسبي!$C$2:$C$1800,الريسبي!$A$2:$A$1800,$A114,الريسبي!$B$2:$B$1800,BA$1)</f>
        <v>0</v>
      </c>
      <c r="BB114" s="117" t="n">
        <f aca="false">SUMIFS(الريسبي!$C$2:$C$1800,الريسبي!$A$2:$A$1800,$A114,الريسبي!$B$2:$B$1800,BB$1)</f>
        <v>0</v>
      </c>
      <c r="BC114" s="117" t="n">
        <f aca="false">SUMIFS(الريسبي!$C$2:$C$1800,الريسبي!$A$2:$A$1800,$A114,الريسبي!$B$2:$B$1800,BC$1)</f>
        <v>0</v>
      </c>
      <c r="BD114" s="117" t="n">
        <f aca="false">SUMIFS(الريسبي!$C$2:$C$1800,الريسبي!$A$2:$A$1800,$A114,الريسبي!$B$2:$B$1800,BD$1)</f>
        <v>0</v>
      </c>
      <c r="BE114" s="117" t="n">
        <f aca="false">SUMIFS(الريسبي!$C$2:$C$1800,الريسبي!$A$2:$A$1800,$A114,الريسبي!$B$2:$B$1800,BE$1)</f>
        <v>1</v>
      </c>
      <c r="BF114" s="117" t="n">
        <f aca="false">SUMIFS(الريسبي!$C$2:$C$1800,الريسبي!$A$2:$A$1800,$A114,الريسبي!$B$2:$B$1800,BF$1)</f>
        <v>0</v>
      </c>
      <c r="BG114" s="117" t="n">
        <f aca="false">SUMIFS(الريسبي!$C$2:$C$1800,الريسبي!$A$2:$A$1800,$A114,الريسبي!$B$2:$B$1800,BG$1)</f>
        <v>0</v>
      </c>
      <c r="BH114" s="117" t="n">
        <f aca="false">SUMIFS(الريسبي!$C$2:$C$1800,الريسبي!$A$2:$A$1800,$A114,الريسبي!$B$2:$B$1800,BH$1)</f>
        <v>0</v>
      </c>
      <c r="BI114" s="117" t="n">
        <f aca="false">SUMIFS(الريسبي!$C$2:$C$1800,الريسبي!$A$2:$A$1800,$A114,الريسبي!$B$2:$B$1800,BI$1)</f>
        <v>0</v>
      </c>
      <c r="BJ114" s="117" t="n">
        <f aca="false">SUMIFS(الريسبي!$C$2:$C$1800,الريسبي!$A$2:$A$1800,$A114,الريسبي!$B$2:$B$1800,BJ$1)</f>
        <v>0</v>
      </c>
      <c r="BK114" s="117" t="n">
        <f aca="false">SUMIFS(الريسبي!$C$2:$C$1800,الريسبي!$A$2:$A$1800,$A114,الريسبي!$B$2:$B$1800,BK$1)</f>
        <v>1</v>
      </c>
      <c r="BL114" s="117" t="n">
        <f aca="false">SUMIFS(الريسبي!$C$2:$C$1800,الريسبي!$A$2:$A$1800,$A114,الريسبي!$B$2:$B$1800,BL$1)</f>
        <v>0</v>
      </c>
      <c r="BM114" s="117" t="n">
        <f aca="false">SUMIFS(الريسبي!$C$2:$C$1800,الريسبي!$A$2:$A$1800,$A114,الريسبي!$B$2:$B$1800,BM$1)</f>
        <v>0</v>
      </c>
      <c r="BN114" s="117" t="n">
        <f aca="false">SUMIFS(الريسبي!$C$2:$C$1800,الريسبي!$A$2:$A$1800,$A114,الريسبي!$B$2:$B$1800,BN$1)</f>
        <v>0</v>
      </c>
      <c r="BO114" s="117" t="n">
        <f aca="false">SUMIFS(الريسبي!$C$2:$C$1800,الريسبي!$A$2:$A$1800,$A114,الريسبي!$B$2:$B$1800,BO$1)</f>
        <v>0</v>
      </c>
      <c r="BP114" s="117" t="n">
        <f aca="false">SUMIFS(الريسبي!$C$2:$C$1800,الريسبي!$A$2:$A$1800,$A114,الريسبي!$B$2:$B$1800,BP$1)</f>
        <v>0</v>
      </c>
      <c r="BQ114" s="117" t="n">
        <f aca="false">SUMIFS(الريسبي!$C$2:$C$1800,الريسبي!$A$2:$A$1800,$A114,الريسبي!$B$2:$B$1800,BQ$1)+0.17*SUMIFS(الريسبي!$C$2:$C$1800,الريسبي!$A$2:$A$1800,$A114,الريسبي!$B$2:$B$1800,"كاسترد مصنع (خليط بودر + لبن)")+0.17*SUMIFS(الريسبي!$C$2:$C$1800,الريسبي!$A$2:$A$1800,$A114,الريسبي!$B$2:$B$1800,"كاسترد مصنع صيامي (بدون لبن)")</f>
        <v>0.0255</v>
      </c>
      <c r="BR114" s="117" t="n">
        <f aca="false">SUMIFS(الريسبي!$C$2:$C$1800,الريسبي!$A$2:$A$1800,$A114,الريسبي!$B$2:$B$1800,BR$1)</f>
        <v>0</v>
      </c>
      <c r="BS114" s="117" t="n">
        <f aca="false">SUMIFS(الريسبي!$C$2:$C$1800,الريسبي!$A$2:$A$1800,$A114,الريسبي!$B$2:$B$1800,BS$1)</f>
        <v>0</v>
      </c>
      <c r="BT114" s="117" t="n">
        <f aca="false">SUMIFS(الريسبي!$C$2:$C$1800,الريسبي!$A$2:$A$1800,$A114,الريسبي!$B$2:$B$1800,BT$1)</f>
        <v>0</v>
      </c>
      <c r="BU114" s="117" t="n">
        <f aca="false">SUMIFS(الريسبي!$C$2:$C$1800,الريسبي!$A$2:$A$1800,$A114,الريسبي!$B$2:$B$1800,BU$1)+0.4*SUMIFS(الريسبي!$C$2:$C$1800,الريسبي!$A$2:$A$1800,$A114,الريسبي!$B$2:$B$1800,"كاسترد مصنع (خليط بودر + لبن)")+0.03333333333*SUMIFS(الريسبي!$C$2:$C$1800,الريسبي!$A$2:$A$1800,$A114,الريسبي!$B$2:$B$1800,"عجين كريب (مصنع بالمطعم)")</f>
        <v>0</v>
      </c>
      <c r="BV114" s="117" t="n">
        <f aca="false">SUMIFS(الريسبي!$C$2:$C$1800,الريسبي!$A$2:$A$1800,$A114,الريسبي!$B$2:$B$1800,BV$1)</f>
        <v>0</v>
      </c>
      <c r="BW114" s="117" t="n">
        <f aca="false">SUMIFS(الريسبي!$C$2:$C$1800,الريسبي!$A$2:$A$1800,$A114,الريسبي!$B$2:$B$1800,BW$1)</f>
        <v>0.16</v>
      </c>
      <c r="BX114" s="117" t="n">
        <f aca="false">SUMIFS(الريسبي!$C$2:$C$1800,الريسبي!$A$2:$A$1800,$A114,الريسبي!$B$2:$B$1800,BX$1)</f>
        <v>0</v>
      </c>
      <c r="BY114" s="117" t="n">
        <f aca="false">SUMIFS(الريسبي!$C$2:$C$1800,الريسبي!$A$2:$A$1800,$A114,الريسبي!$B$2:$B$1800,BY$1)</f>
        <v>0</v>
      </c>
      <c r="BZ114" s="117" t="n">
        <f aca="false">SUMIFS(الريسبي!$C$2:$C$1800,الريسبي!$A$2:$A$1800,$A114,الريسبي!$B$2:$B$1800,BZ$1)</f>
        <v>0</v>
      </c>
      <c r="CA114" s="117" t="n">
        <f aca="false">SUMIFS(الريسبي!$C$2:$C$1800,الريسبي!$A$2:$A$1800,$A114,الريسبي!$B$2:$B$1800,CA$1)</f>
        <v>0</v>
      </c>
      <c r="CB114" s="117" t="n">
        <f aca="false">SUMIFS(الريسبي!$C$2:$C$1800,الريسبي!$A$2:$A$1800,$A114,الريسبي!$B$2:$B$1800,CB$1)</f>
        <v>0</v>
      </c>
      <c r="CC114" s="117" t="n">
        <f aca="false">SUMIFS(الريسبي!$C$2:$C$1800,الريسبي!$A$2:$A$1800,$A114,الريسبي!$B$2:$B$1800,CC$1)</f>
        <v>0</v>
      </c>
      <c r="CD114" s="117" t="n">
        <f aca="false">SUMIFS(الريسبي!$C$2:$C$1800,الريسبي!$A$2:$A$1800,$A114,الريسبي!$B$2:$B$1800,CD$1)</f>
        <v>0</v>
      </c>
      <c r="CE114" s="117" t="n">
        <f aca="false">SUMIFS(الريسبي!$C$2:$C$1800,الريسبي!$A$2:$A$1800,$A114,الريسبي!$B$2:$B$1800,CE$1)</f>
        <v>0</v>
      </c>
      <c r="CF114" s="117" t="n">
        <f aca="false">SUMIFS(الريسبي!$C$2:$C$1800,الريسبي!$A$2:$A$1800,$A114,الريسبي!$B$2:$B$1800,CF$1)</f>
        <v>0</v>
      </c>
      <c r="CG114" s="117" t="n">
        <f aca="false">SUMIFS(الريسبي!$C$2:$C$1800,الريسبي!$A$2:$A$1800,$A114,الريسبي!$B$2:$B$1800,CG$1)</f>
        <v>0</v>
      </c>
      <c r="CH114" s="117" t="n">
        <f aca="false">SUMIFS(الريسبي!$C$2:$C$1800,الريسبي!$A$2:$A$1800,$A114,الريسبي!$B$2:$B$1800,CH$1)</f>
        <v>0</v>
      </c>
      <c r="CI114" s="117" t="n">
        <f aca="false">SUMIFS(الريسبي!$C$2:$C$1800,الريسبي!$A$2:$A$1800,$A114,الريسبي!$B$2:$B$1800,CI$1)</f>
        <v>0</v>
      </c>
      <c r="CJ114" s="117" t="n">
        <f aca="false">SUMIFS(الريسبي!$C$2:$C$1800,الريسبي!$A$2:$A$1800,$A114,الريسبي!$B$2:$B$1800,CJ$1)</f>
        <v>0</v>
      </c>
      <c r="CK114" s="117" t="n">
        <f aca="false">SUMIFS(الريسبي!$C$2:$C$1800,الريسبي!$A$2:$A$1800,$A114,الريسبي!$B$2:$B$1800,CK$1)</f>
        <v>0</v>
      </c>
      <c r="CL114" s="117" t="n">
        <f aca="false">SUMIFS(الريسبي!$C$2:$C$1800,الريسبي!$A$2:$A$1800,$A114,الريسبي!$B$2:$B$1800,CL$1)</f>
        <v>0</v>
      </c>
    </row>
    <row r="115" customFormat="false" ht="15" hidden="false" customHeight="false" outlineLevel="0" collapsed="false">
      <c r="A115" s="116" t="str">
        <f aca="false">المنيو!B115</f>
        <v>قنبلة برجر صيامي</v>
      </c>
      <c r="B115" s="117" t="n">
        <f aca="false">SUMIFS(الريسبي!$C$2:$C$1800,الريسبي!$A$2:$A$1800,$A115,الريسبي!$B$2:$B$1800,B$1)</f>
        <v>0</v>
      </c>
      <c r="C115" s="117" t="n">
        <f aca="false">SUMIFS(الريسبي!$C$2:$C$1800,الريسبي!$A$2:$A$1800,$A115,الريسبي!$B$2:$B$1800,C$1)</f>
        <v>0</v>
      </c>
      <c r="D115" s="117" t="n">
        <f aca="false">SUMIFS(الريسبي!$C$2:$C$1800,الريسبي!$A$2:$A$1800,$A115,الريسبي!$B$2:$B$1800,D$1)</f>
        <v>1</v>
      </c>
      <c r="E115" s="117" t="n">
        <f aca="false">SUMIFS(الريسبي!$C$2:$C$1800,الريسبي!$A$2:$A$1800,$A115,الريسبي!$B$2:$B$1800,E$1)</f>
        <v>0</v>
      </c>
      <c r="F115" s="117" t="n">
        <f aca="false">SUMIFS(الريسبي!$C$2:$C$1800,الريسبي!$A$2:$A$1800,$A115,الريسبي!$B$2:$B$1800,F$1)</f>
        <v>0</v>
      </c>
      <c r="G115" s="117" t="n">
        <f aca="false">SUMIFS(الريسبي!$C$2:$C$1800,الريسبي!$A$2:$A$1800,$A115,الريسبي!$B$2:$B$1800,G$1)</f>
        <v>0</v>
      </c>
      <c r="H115" s="117" t="n">
        <f aca="false">SUMIFS(الريسبي!$C$2:$C$1800,الريسبي!$A$2:$A$1800,$A115,الريسبي!$B$2:$B$1800,H$1)</f>
        <v>0</v>
      </c>
      <c r="I115" s="117" t="n">
        <f aca="false">SUMIFS(الريسبي!$C$2:$C$1800,الريسبي!$A$2:$A$1800,$A115,الريسبي!$B$2:$B$1800,I$1)</f>
        <v>0</v>
      </c>
      <c r="J115" s="117" t="n">
        <f aca="false">SUMIFS(الريسبي!$C$2:$C$1800,الريسبي!$A$2:$A$1800,$A115,الريسبي!$B$2:$B$1800,J$1)</f>
        <v>0</v>
      </c>
      <c r="K115" s="117" t="n">
        <f aca="false">SUMIFS(الريسبي!$C$2:$C$1800,الريسبي!$A$2:$A$1800,$A115,الريسبي!$B$2:$B$1800,K$1)</f>
        <v>0</v>
      </c>
      <c r="L115" s="117" t="n">
        <f aca="false">SUMIFS(الريسبي!$C$2:$C$1800,الريسبي!$A$2:$A$1800,$A115,الريسبي!$B$2:$B$1800,L$1)</f>
        <v>0</v>
      </c>
      <c r="M115" s="117" t="n">
        <f aca="false">SUMIFS(الريسبي!$C$2:$C$1800,الريسبي!$A$2:$A$1800,$A115,الريسبي!$B$2:$B$1800,M$1)</f>
        <v>0</v>
      </c>
      <c r="N115" s="117" t="n">
        <f aca="false">SUMIFS(الريسبي!$C$2:$C$1800,الريسبي!$A$2:$A$1800,$A115,الريسبي!$B$2:$B$1800,N$1)</f>
        <v>0</v>
      </c>
      <c r="O115" s="117" t="n">
        <f aca="false">SUMIFS(الريسبي!$C$2:$C$1800,الريسبي!$A$2:$A$1800,$A115,الريسبي!$B$2:$B$1800,O$1)</f>
        <v>0</v>
      </c>
      <c r="P115" s="117" t="n">
        <f aca="false">SUMIFS(الريسبي!$C$2:$C$1800,الريسبي!$A$2:$A$1800,$A115,الريسبي!$B$2:$B$1800,P$1)</f>
        <v>0</v>
      </c>
      <c r="Q115" s="117" t="n">
        <f aca="false">SUMIFS(الريسبي!$C$2:$C$1800,الريسبي!$A$2:$A$1800,$A115,الريسبي!$B$2:$B$1800,Q$1)</f>
        <v>0</v>
      </c>
      <c r="R115" s="117" t="n">
        <f aca="false">SUMIFS(الريسبي!$C$2:$C$1800,الريسبي!$A$2:$A$1800,$A115,الريسبي!$B$2:$B$1800,R$1)</f>
        <v>0</v>
      </c>
      <c r="S115" s="117" t="n">
        <f aca="false">SUMIFS(الريسبي!$C$2:$C$1800,الريسبي!$A$2:$A$1800,$A115,الريسبي!$B$2:$B$1800,S$1)</f>
        <v>0</v>
      </c>
      <c r="T115" s="117" t="n">
        <f aca="false">SUMIFS(الريسبي!$C$2:$C$1800,الريسبي!$A$2:$A$1800,$A115,الريسبي!$B$2:$B$1800,T$1)</f>
        <v>0</v>
      </c>
      <c r="U115" s="117" t="n">
        <f aca="false">SUMIFS(الريسبي!$C$2:$C$1800,الريسبي!$A$2:$A$1800,$A115,الريسبي!$B$2:$B$1800,U$1)</f>
        <v>0</v>
      </c>
      <c r="V115" s="117" t="n">
        <f aca="false">SUMIFS(الريسبي!$C$2:$C$1800,الريسبي!$A$2:$A$1800,$A115,الريسبي!$B$2:$B$1800,V$1)</f>
        <v>0</v>
      </c>
      <c r="W115" s="117" t="n">
        <f aca="false">SUMIFS(الريسبي!$C$2:$C$1800,الريسبي!$A$2:$A$1800,$A115,الريسبي!$B$2:$B$1800,W$1)</f>
        <v>0</v>
      </c>
      <c r="X115" s="117" t="n">
        <f aca="false">SUMIFS(الريسبي!$C$2:$C$1800,الريسبي!$A$2:$A$1800,$A115,الريسبي!$B$2:$B$1800,X$1)</f>
        <v>0.5</v>
      </c>
      <c r="Y115" s="117" t="n">
        <f aca="false">SUMIFS(الريسبي!$C$2:$C$1800,الريسبي!$A$2:$A$1800,$A115,الريسبي!$B$2:$B$1800,Y$1)</f>
        <v>0</v>
      </c>
      <c r="Z115" s="117" t="n">
        <f aca="false">SUMIFS(الريسبي!$C$2:$C$1800,الريسبي!$A$2:$A$1800,$A115,الريسبي!$B$2:$B$1800,Z$1)</f>
        <v>0</v>
      </c>
      <c r="AA115" s="117" t="n">
        <f aca="false">SUMIFS(الريسبي!$C$2:$C$1800,الريسبي!$A$2:$A$1800,$A115,الريسبي!$B$2:$B$1800,AA$1)</f>
        <v>0</v>
      </c>
      <c r="AB115" s="117" t="n">
        <f aca="false">SUMIFS(الريسبي!$C$2:$C$1800,الريسبي!$A$2:$A$1800,$A115,الريسبي!$B$2:$B$1800,AB$1)</f>
        <v>0</v>
      </c>
      <c r="AC115" s="117" t="n">
        <f aca="false">SUMIFS(الريسبي!$C$2:$C$1800,الريسبي!$A$2:$A$1800,$A115,الريسبي!$B$2:$B$1800,AC$1)</f>
        <v>0</v>
      </c>
      <c r="AD115" s="117" t="n">
        <f aca="false">SUMIFS(الريسبي!$C$2:$C$1800,الريسبي!$A$2:$A$1800,$A115,الريسبي!$B$2:$B$1800,AD$1)</f>
        <v>0</v>
      </c>
      <c r="AE115" s="117" t="n">
        <f aca="false">SUMIFS(الريسبي!$C$2:$C$1800,الريسبي!$A$2:$A$1800,$A115,الريسبي!$B$2:$B$1800,AE$1)</f>
        <v>0.02</v>
      </c>
      <c r="AF115" s="117" t="n">
        <f aca="false">SUMIFS(الريسبي!$C$2:$C$1800,الريسبي!$A$2:$A$1800,$A115,الريسبي!$B$2:$B$1800,AF$1)</f>
        <v>0</v>
      </c>
      <c r="AG115" s="117" t="n">
        <f aca="false">SUMIFS(الريسبي!$C$2:$C$1800,الريسبي!$A$2:$A$1800,$A115,الريسبي!$B$2:$B$1800,AG$1)</f>
        <v>0</v>
      </c>
      <c r="AH115" s="117" t="n">
        <f aca="false">SUMIFS(الريسبي!$C$2:$C$1800,الريسبي!$A$2:$A$1800,$A115,الريسبي!$B$2:$B$1800,AH$1)</f>
        <v>0</v>
      </c>
      <c r="AI115" s="117" t="n">
        <f aca="false">SUMIFS(الريسبي!$C$2:$C$1800,الريسبي!$A$2:$A$1800,$A115,الريسبي!$B$2:$B$1800,AI$1)</f>
        <v>0</v>
      </c>
      <c r="AJ115" s="117" t="n">
        <f aca="false">SUMIFS(الريسبي!$C$2:$C$1800,الريسبي!$A$2:$A$1800,$A115,الريسبي!$B$2:$B$1800,AJ$1)</f>
        <v>2</v>
      </c>
      <c r="AK115" s="117" t="n">
        <f aca="false">SUMIFS(الريسبي!$C$2:$C$1800,الريسبي!$A$2:$A$1800,$A115,الريسبي!$B$2:$B$1800,AK$1)</f>
        <v>0</v>
      </c>
      <c r="AL115" s="117" t="n">
        <f aca="false">SUMIFS(الريسبي!$C$2:$C$1800,الريسبي!$A$2:$A$1800,$A115,الريسبي!$B$2:$B$1800,AL$1)</f>
        <v>0.02</v>
      </c>
      <c r="AM115" s="117" t="n">
        <f aca="false">SUMIFS(الريسبي!$C$2:$C$1800,الريسبي!$A$2:$A$1800,$A115,الريسبي!$B$2:$B$1800,AM$1)+0.08333333333*SUMIFS(الريسبي!$C$2:$C$1800,الريسبي!$A$2:$A$1800,$A115,الريسبي!$B$2:$B$1800,"عجين كريب (مصنع بالمطعم)")+0.08333333333*SUMIFS(الريسبي!$C$2:$C$1800,الريسبي!$A$2:$A$1800,$A115,الريسبي!$B$2:$B$1800,"عجين كريب صيامي (بدون لبن)")</f>
        <v>0</v>
      </c>
      <c r="AN115" s="117" t="n">
        <f aca="false">SUMIFS(الريسبي!$C$2:$C$1800,الريسبي!$A$2:$A$1800,$A115,الريسبي!$B$2:$B$1800,AN$1)+0.004166666667*SUMIFS(الريسبي!$C$2:$C$1800,الريسبي!$A$2:$A$1800,$A115,الريسبي!$B$2:$B$1800,"عجين كريب (مصنع بالمطعم)")+0.004166666667*SUMIFS(الريسبي!$C$2:$C$1800,الريسبي!$A$2:$A$1800,$A115,الريسبي!$B$2:$B$1800,"عجين كريب صيامي (بدون لبن)")</f>
        <v>0</v>
      </c>
      <c r="AO115" s="117" t="n">
        <f aca="false">SUMIFS(الريسبي!$C$2:$C$1800,الريسبي!$A$2:$A$1800,$A115,الريسبي!$B$2:$B$1800,AO$1)</f>
        <v>0</v>
      </c>
      <c r="AP115" s="117" t="n">
        <f aca="false">SUMIFS(الريسبي!$C$2:$C$1800,الريسبي!$A$2:$A$1800,$A115,الريسبي!$B$2:$B$1800,AP$1)</f>
        <v>0</v>
      </c>
      <c r="AQ115" s="117" t="n">
        <f aca="false">SUMIFS(الريسبي!$C$2:$C$1800,الريسبي!$A$2:$A$1800,$A115,الريسبي!$B$2:$B$1800,AQ$1)+0.004166666667*SUMIFS(الريسبي!$C$2:$C$1800,الريسبي!$A$2:$A$1800,$A115,الريسبي!$B$2:$B$1800,"عجين كريب (مصنع بالمطعم)")+0.004166666667*SUMIFS(الريسبي!$C$2:$C$1800,الريسبي!$A$2:$A$1800,$A115,الريسبي!$B$2:$B$1800,"عجين كريب صيامي (بدون لبن)")</f>
        <v>0</v>
      </c>
      <c r="AR115" s="117" t="n">
        <f aca="false">SUMIFS(الريسبي!$C$2:$C$1800,الريسبي!$A$2:$A$1800,$A115,الريسبي!$B$2:$B$1800,AR$1)</f>
        <v>0</v>
      </c>
      <c r="AS115" s="117" t="n">
        <f aca="false">SUMIFS(الريسبي!$C$2:$C$1800,الريسبي!$A$2:$A$1800,$A115,الريسبي!$B$2:$B$1800,AS$1)</f>
        <v>0</v>
      </c>
      <c r="AT115" s="117" t="n">
        <f aca="false">SUMIFS(الريسبي!$C$2:$C$1800,الريسبي!$A$2:$A$1800,$A115,الريسبي!$B$2:$B$1800,AT$1)</f>
        <v>0</v>
      </c>
      <c r="AU115" s="117" t="n">
        <f aca="false">SUMIFS(الريسبي!$C$2:$C$1800,الريسبي!$A$2:$A$1800,$A115,الريسبي!$B$2:$B$1800,AU$1)</f>
        <v>0</v>
      </c>
      <c r="AV115" s="117" t="n">
        <f aca="false">SUMIFS(الريسبي!$C$2:$C$1800,الريسبي!$A$2:$A$1800,$A115,الريسبي!$B$2:$B$1800,AV$1)</f>
        <v>0</v>
      </c>
      <c r="AW115" s="117" t="n">
        <f aca="false">SUMIFS(الريسبي!$C$2:$C$1800,الريسبي!$A$2:$A$1800,$A115,الريسبي!$B$2:$B$1800,AW$1)</f>
        <v>0</v>
      </c>
      <c r="AX115" s="117" t="n">
        <f aca="false">SUMIFS(الريسبي!$C$2:$C$1800,الريسبي!$A$2:$A$1800,$A115,الريسبي!$B$2:$B$1800,AX$1)</f>
        <v>0</v>
      </c>
      <c r="AY115" s="117" t="n">
        <f aca="false">SUMIFS(الريسبي!$C$2:$C$1800,الريسبي!$A$2:$A$1800,$A115,الريسبي!$B$2:$B$1800,AY$1)</f>
        <v>0.05</v>
      </c>
      <c r="AZ115" s="117" t="n">
        <f aca="false">SUMIFS(الريسبي!$C$2:$C$1800,الريسبي!$A$2:$A$1800,$A115,الريسبي!$B$2:$B$1800,AZ$1)</f>
        <v>0.05</v>
      </c>
      <c r="BA115" s="117" t="n">
        <f aca="false">SUMIFS(الريسبي!$C$2:$C$1800,الريسبي!$A$2:$A$1800,$A115,الريسبي!$B$2:$B$1800,BA$1)</f>
        <v>0</v>
      </c>
      <c r="BB115" s="117" t="n">
        <f aca="false">SUMIFS(الريسبي!$C$2:$C$1800,الريسبي!$A$2:$A$1800,$A115,الريسبي!$B$2:$B$1800,BB$1)</f>
        <v>0.05</v>
      </c>
      <c r="BC115" s="117" t="n">
        <f aca="false">SUMIFS(الريسبي!$C$2:$C$1800,الريسبي!$A$2:$A$1800,$A115,الريسبي!$B$2:$B$1800,BC$1)</f>
        <v>0.02</v>
      </c>
      <c r="BD115" s="117" t="n">
        <f aca="false">SUMIFS(الريسبي!$C$2:$C$1800,الريسبي!$A$2:$A$1800,$A115,الريسبي!$B$2:$B$1800,BD$1)</f>
        <v>0.22</v>
      </c>
      <c r="BE115" s="117" t="n">
        <f aca="false">SUMIFS(الريسبي!$C$2:$C$1800,الريسبي!$A$2:$A$1800,$A115,الريسبي!$B$2:$B$1800,BE$1)</f>
        <v>0</v>
      </c>
      <c r="BF115" s="117" t="n">
        <f aca="false">SUMIFS(الريسبي!$C$2:$C$1800,الريسبي!$A$2:$A$1800,$A115,الريسبي!$B$2:$B$1800,BF$1)</f>
        <v>0</v>
      </c>
      <c r="BG115" s="117" t="n">
        <f aca="false">SUMIFS(الريسبي!$C$2:$C$1800,الريسبي!$A$2:$A$1800,$A115,الريسبي!$B$2:$B$1800,BG$1)</f>
        <v>0</v>
      </c>
      <c r="BH115" s="117" t="n">
        <f aca="false">SUMIFS(الريسبي!$C$2:$C$1800,الريسبي!$A$2:$A$1800,$A115,الريسبي!$B$2:$B$1800,BH$1)</f>
        <v>0</v>
      </c>
      <c r="BI115" s="117" t="n">
        <f aca="false">SUMIFS(الريسبي!$C$2:$C$1800,الريسبي!$A$2:$A$1800,$A115,الريسبي!$B$2:$B$1800,BI$1)</f>
        <v>0</v>
      </c>
      <c r="BJ115" s="117" t="n">
        <f aca="false">SUMIFS(الريسبي!$C$2:$C$1800,الريسبي!$A$2:$A$1800,$A115,الريسبي!$B$2:$B$1800,BJ$1)</f>
        <v>0</v>
      </c>
      <c r="BK115" s="117" t="n">
        <f aca="false">SUMIFS(الريسبي!$C$2:$C$1800,الريسبي!$A$2:$A$1800,$A115,الريسبي!$B$2:$B$1800,BK$1)</f>
        <v>0</v>
      </c>
      <c r="BL115" s="117" t="n">
        <f aca="false">SUMIFS(الريسبي!$C$2:$C$1800,الريسبي!$A$2:$A$1800,$A115,الريسبي!$B$2:$B$1800,BL$1)</f>
        <v>0</v>
      </c>
      <c r="BM115" s="117" t="n">
        <f aca="false">SUMIFS(الريسبي!$C$2:$C$1800,الريسبي!$A$2:$A$1800,$A115,الريسبي!$B$2:$B$1800,BM$1)</f>
        <v>0</v>
      </c>
      <c r="BN115" s="117" t="n">
        <f aca="false">SUMIFS(الريسبي!$C$2:$C$1800,الريسبي!$A$2:$A$1800,$A115,الريسبي!$B$2:$B$1800,BN$1)</f>
        <v>0.02</v>
      </c>
      <c r="BO115" s="117" t="n">
        <f aca="false">SUMIFS(الريسبي!$C$2:$C$1800,الريسبي!$A$2:$A$1800,$A115,الريسبي!$B$2:$B$1800,BO$1)</f>
        <v>0</v>
      </c>
      <c r="BP115" s="117" t="n">
        <f aca="false">SUMIFS(الريسبي!$C$2:$C$1800,الريسبي!$A$2:$A$1800,$A115,الريسبي!$B$2:$B$1800,BP$1)</f>
        <v>2</v>
      </c>
      <c r="BQ115" s="117" t="n">
        <f aca="false">SUMIFS(الريسبي!$C$2:$C$1800,الريسبي!$A$2:$A$1800,$A115,الريسبي!$B$2:$B$1800,BQ$1)+0.17*SUMIFS(الريسبي!$C$2:$C$1800,الريسبي!$A$2:$A$1800,$A115,الريسبي!$B$2:$B$1800,"كاسترد مصنع (خليط بودر + لبن)")+0.17*SUMIFS(الريسبي!$C$2:$C$1800,الريسبي!$A$2:$A$1800,$A115,الريسبي!$B$2:$B$1800,"كاسترد مصنع صيامي (بدون لبن)")</f>
        <v>0</v>
      </c>
      <c r="BR115" s="117" t="n">
        <f aca="false">SUMIFS(الريسبي!$C$2:$C$1800,الريسبي!$A$2:$A$1800,$A115,الريسبي!$B$2:$B$1800,BR$1)</f>
        <v>1</v>
      </c>
      <c r="BS115" s="117" t="n">
        <f aca="false">SUMIFS(الريسبي!$C$2:$C$1800,الريسبي!$A$2:$A$1800,$A115,الريسبي!$B$2:$B$1800,BS$1)</f>
        <v>0</v>
      </c>
      <c r="BT115" s="117" t="n">
        <f aca="false">SUMIFS(الريسبي!$C$2:$C$1800,الريسبي!$A$2:$A$1800,$A115,الريسبي!$B$2:$B$1800,BT$1)</f>
        <v>0</v>
      </c>
      <c r="BU115" s="117" t="n">
        <f aca="false">SUMIFS(الريسبي!$C$2:$C$1800,الريسبي!$A$2:$A$1800,$A115,الريسبي!$B$2:$B$1800,BU$1)+0.4*SUMIFS(الريسبي!$C$2:$C$1800,الريسبي!$A$2:$A$1800,$A115,الريسبي!$B$2:$B$1800,"كاسترد مصنع (خليط بودر + لبن)")+0.03333333333*SUMIFS(الريسبي!$C$2:$C$1800,الريسبي!$A$2:$A$1800,$A115,الريسبي!$B$2:$B$1800,"عجين كريب (مصنع بالمطعم)")</f>
        <v>0</v>
      </c>
      <c r="BV115" s="117" t="n">
        <f aca="false">SUMIFS(الريسبي!$C$2:$C$1800,الريسبي!$A$2:$A$1800,$A115,الريسبي!$B$2:$B$1800,BV$1)</f>
        <v>0</v>
      </c>
      <c r="BW115" s="117" t="n">
        <f aca="false">SUMIFS(الريسبي!$C$2:$C$1800,الريسبي!$A$2:$A$1800,$A115,الريسبي!$B$2:$B$1800,BW$1)</f>
        <v>0</v>
      </c>
      <c r="BX115" s="117" t="n">
        <f aca="false">SUMIFS(الريسبي!$C$2:$C$1800,الريسبي!$A$2:$A$1800,$A115,الريسبي!$B$2:$B$1800,BX$1)</f>
        <v>0</v>
      </c>
      <c r="BY115" s="117" t="n">
        <f aca="false">SUMIFS(الريسبي!$C$2:$C$1800,الريسبي!$A$2:$A$1800,$A115,الريسبي!$B$2:$B$1800,BY$1)</f>
        <v>0</v>
      </c>
      <c r="BZ115" s="117" t="n">
        <f aca="false">SUMIFS(الريسبي!$C$2:$C$1800,الريسبي!$A$2:$A$1800,$A115,الريسبي!$B$2:$B$1800,BZ$1)</f>
        <v>0</v>
      </c>
      <c r="CA115" s="117" t="n">
        <f aca="false">SUMIFS(الريسبي!$C$2:$C$1800,الريسبي!$A$2:$A$1800,$A115,الريسبي!$B$2:$B$1800,CA$1)</f>
        <v>1</v>
      </c>
      <c r="CB115" s="117" t="n">
        <f aca="false">SUMIFS(الريسبي!$C$2:$C$1800,الريسبي!$A$2:$A$1800,$A115,الريسبي!$B$2:$B$1800,CB$1)</f>
        <v>1</v>
      </c>
      <c r="CC115" s="117" t="n">
        <f aca="false">SUMIFS(الريسبي!$C$2:$C$1800,الريسبي!$A$2:$A$1800,$A115,الريسبي!$B$2:$B$1800,CC$1)</f>
        <v>0</v>
      </c>
      <c r="CD115" s="117" t="n">
        <f aca="false">SUMIFS(الريسبي!$C$2:$C$1800,الريسبي!$A$2:$A$1800,$A115,الريسبي!$B$2:$B$1800,CD$1)</f>
        <v>0</v>
      </c>
      <c r="CE115" s="117" t="n">
        <f aca="false">SUMIFS(الريسبي!$C$2:$C$1800,الريسبي!$A$2:$A$1800,$A115,الريسبي!$B$2:$B$1800,CE$1)</f>
        <v>0</v>
      </c>
      <c r="CF115" s="117" t="n">
        <f aca="false">SUMIFS(الريسبي!$C$2:$C$1800,الريسبي!$A$2:$A$1800,$A115,الريسبي!$B$2:$B$1800,CF$1)</f>
        <v>3</v>
      </c>
      <c r="CG115" s="117" t="n">
        <f aca="false">SUMIFS(الريسبي!$C$2:$C$1800,الريسبي!$A$2:$A$1800,$A115,الريسبي!$B$2:$B$1800,CG$1)</f>
        <v>1</v>
      </c>
      <c r="CH115" s="117" t="n">
        <f aca="false">SUMIFS(الريسبي!$C$2:$C$1800,الريسبي!$A$2:$A$1800,$A115,الريسبي!$B$2:$B$1800,CH$1)</f>
        <v>1</v>
      </c>
      <c r="CI115" s="117" t="n">
        <f aca="false">SUMIFS(الريسبي!$C$2:$C$1800,الريسبي!$A$2:$A$1800,$A115,الريسبي!$B$2:$B$1800,CI$1)</f>
        <v>0</v>
      </c>
      <c r="CJ115" s="117" t="n">
        <f aca="false">SUMIFS(الريسبي!$C$2:$C$1800,الريسبي!$A$2:$A$1800,$A115,الريسبي!$B$2:$B$1800,CJ$1)</f>
        <v>0</v>
      </c>
      <c r="CK115" s="117" t="n">
        <f aca="false">SUMIFS(الريسبي!$C$2:$C$1800,الريسبي!$A$2:$A$1800,$A115,الريسبي!$B$2:$B$1800,CK$1)</f>
        <v>0</v>
      </c>
      <c r="CL115" s="117" t="n">
        <f aca="false">SUMIFS(الريسبي!$C$2:$C$1800,الريسبي!$A$2:$A$1800,$A115,الريسبي!$B$2:$B$1800,CL$1)</f>
        <v>0</v>
      </c>
    </row>
    <row r="116" customFormat="false" ht="15" hidden="false" customHeight="false" outlineLevel="0" collapsed="false">
      <c r="A116" s="116" t="str">
        <f aca="false">المنيو!B116</f>
        <v>قنبلة كريسبي صيامي</v>
      </c>
      <c r="B116" s="117" t="n">
        <f aca="false">SUMIFS(الريسبي!$C$2:$C$1800,الريسبي!$A$2:$A$1800,$A116,الريسبي!$B$2:$B$1800,B$1)</f>
        <v>0</v>
      </c>
      <c r="C116" s="117" t="n">
        <f aca="false">SUMIFS(الريسبي!$C$2:$C$1800,الريسبي!$A$2:$A$1800,$A116,الريسبي!$B$2:$B$1800,C$1)</f>
        <v>0</v>
      </c>
      <c r="D116" s="117" t="n">
        <f aca="false">SUMIFS(الريسبي!$C$2:$C$1800,الريسبي!$A$2:$A$1800,$A116,الريسبي!$B$2:$B$1800,D$1)</f>
        <v>1</v>
      </c>
      <c r="E116" s="117" t="n">
        <f aca="false">SUMIFS(الريسبي!$C$2:$C$1800,الريسبي!$A$2:$A$1800,$A116,الريسبي!$B$2:$B$1800,E$1)</f>
        <v>0</v>
      </c>
      <c r="F116" s="117" t="n">
        <f aca="false">SUMIFS(الريسبي!$C$2:$C$1800,الريسبي!$A$2:$A$1800,$A116,الريسبي!$B$2:$B$1800,F$1)</f>
        <v>0</v>
      </c>
      <c r="G116" s="117" t="n">
        <f aca="false">SUMIFS(الريسبي!$C$2:$C$1800,الريسبي!$A$2:$A$1800,$A116,الريسبي!$B$2:$B$1800,G$1)</f>
        <v>0</v>
      </c>
      <c r="H116" s="117" t="n">
        <f aca="false">SUMIFS(الريسبي!$C$2:$C$1800,الريسبي!$A$2:$A$1800,$A116,الريسبي!$B$2:$B$1800,H$1)</f>
        <v>0</v>
      </c>
      <c r="I116" s="117" t="n">
        <f aca="false">SUMIFS(الريسبي!$C$2:$C$1800,الريسبي!$A$2:$A$1800,$A116,الريسبي!$B$2:$B$1800,I$1)</f>
        <v>0</v>
      </c>
      <c r="J116" s="117" t="n">
        <f aca="false">SUMIFS(الريسبي!$C$2:$C$1800,الريسبي!$A$2:$A$1800,$A116,الريسبي!$B$2:$B$1800,J$1)</f>
        <v>0</v>
      </c>
      <c r="K116" s="117" t="n">
        <f aca="false">SUMIFS(الريسبي!$C$2:$C$1800,الريسبي!$A$2:$A$1800,$A116,الريسبي!$B$2:$B$1800,K$1)</f>
        <v>0</v>
      </c>
      <c r="L116" s="117" t="n">
        <f aca="false">SUMIFS(الريسبي!$C$2:$C$1800,الريسبي!$A$2:$A$1800,$A116,الريسبي!$B$2:$B$1800,L$1)</f>
        <v>0</v>
      </c>
      <c r="M116" s="117" t="n">
        <f aca="false">SUMIFS(الريسبي!$C$2:$C$1800,الريسبي!$A$2:$A$1800,$A116,الريسبي!$B$2:$B$1800,M$1)</f>
        <v>0</v>
      </c>
      <c r="N116" s="117" t="n">
        <f aca="false">SUMIFS(الريسبي!$C$2:$C$1800,الريسبي!$A$2:$A$1800,$A116,الريسبي!$B$2:$B$1800,N$1)</f>
        <v>0</v>
      </c>
      <c r="O116" s="117" t="n">
        <f aca="false">SUMIFS(الريسبي!$C$2:$C$1800,الريسبي!$A$2:$A$1800,$A116,الريسبي!$B$2:$B$1800,O$1)</f>
        <v>0</v>
      </c>
      <c r="P116" s="117" t="n">
        <f aca="false">SUMIFS(الريسبي!$C$2:$C$1800,الريسبي!$A$2:$A$1800,$A116,الريسبي!$B$2:$B$1800,P$1)</f>
        <v>0</v>
      </c>
      <c r="Q116" s="117" t="n">
        <f aca="false">SUMIFS(الريسبي!$C$2:$C$1800,الريسبي!$A$2:$A$1800,$A116,الريسبي!$B$2:$B$1800,Q$1)</f>
        <v>0</v>
      </c>
      <c r="R116" s="117" t="n">
        <f aca="false">SUMIFS(الريسبي!$C$2:$C$1800,الريسبي!$A$2:$A$1800,$A116,الريسبي!$B$2:$B$1800,R$1)</f>
        <v>0</v>
      </c>
      <c r="S116" s="117" t="n">
        <f aca="false">SUMIFS(الريسبي!$C$2:$C$1800,الريسبي!$A$2:$A$1800,$A116,الريسبي!$B$2:$B$1800,S$1)</f>
        <v>0</v>
      </c>
      <c r="T116" s="117" t="n">
        <f aca="false">SUMIFS(الريسبي!$C$2:$C$1800,الريسبي!$A$2:$A$1800,$A116,الريسبي!$B$2:$B$1800,T$1)</f>
        <v>0</v>
      </c>
      <c r="U116" s="117" t="n">
        <f aca="false">SUMIFS(الريسبي!$C$2:$C$1800,الريسبي!$A$2:$A$1800,$A116,الريسبي!$B$2:$B$1800,U$1)</f>
        <v>0</v>
      </c>
      <c r="V116" s="117" t="n">
        <f aca="false">SUMIFS(الريسبي!$C$2:$C$1800,الريسبي!$A$2:$A$1800,$A116,الريسبي!$B$2:$B$1800,V$1)</f>
        <v>0</v>
      </c>
      <c r="W116" s="117" t="n">
        <f aca="false">SUMIFS(الريسبي!$C$2:$C$1800,الريسبي!$A$2:$A$1800,$A116,الريسبي!$B$2:$B$1800,W$1)</f>
        <v>0</v>
      </c>
      <c r="X116" s="117" t="n">
        <f aca="false">SUMIFS(الريسبي!$C$2:$C$1800,الريسبي!$A$2:$A$1800,$A116,الريسبي!$B$2:$B$1800,X$1)</f>
        <v>0.5</v>
      </c>
      <c r="Y116" s="117" t="n">
        <f aca="false">SUMIFS(الريسبي!$C$2:$C$1800,الريسبي!$A$2:$A$1800,$A116,الريسبي!$B$2:$B$1800,Y$1)</f>
        <v>0</v>
      </c>
      <c r="Z116" s="117" t="n">
        <f aca="false">SUMIFS(الريسبي!$C$2:$C$1800,الريسبي!$A$2:$A$1800,$A116,الريسبي!$B$2:$B$1800,Z$1)</f>
        <v>0</v>
      </c>
      <c r="AA116" s="117" t="n">
        <f aca="false">SUMIFS(الريسبي!$C$2:$C$1800,الريسبي!$A$2:$A$1800,$A116,الريسبي!$B$2:$B$1800,AA$1)</f>
        <v>0</v>
      </c>
      <c r="AB116" s="117" t="n">
        <f aca="false">SUMIFS(الريسبي!$C$2:$C$1800,الريسبي!$A$2:$A$1800,$A116,الريسبي!$B$2:$B$1800,AB$1)</f>
        <v>0</v>
      </c>
      <c r="AC116" s="117" t="n">
        <f aca="false">SUMIFS(الريسبي!$C$2:$C$1800,الريسبي!$A$2:$A$1800,$A116,الريسبي!$B$2:$B$1800,AC$1)</f>
        <v>0</v>
      </c>
      <c r="AD116" s="117" t="n">
        <f aca="false">SUMIFS(الريسبي!$C$2:$C$1800,الريسبي!$A$2:$A$1800,$A116,الريسبي!$B$2:$B$1800,AD$1)</f>
        <v>0</v>
      </c>
      <c r="AE116" s="117" t="n">
        <f aca="false">SUMIFS(الريسبي!$C$2:$C$1800,الريسبي!$A$2:$A$1800,$A116,الريسبي!$B$2:$B$1800,AE$1)</f>
        <v>0.02</v>
      </c>
      <c r="AF116" s="117" t="n">
        <f aca="false">SUMIFS(الريسبي!$C$2:$C$1800,الريسبي!$A$2:$A$1800,$A116,الريسبي!$B$2:$B$1800,AF$1)</f>
        <v>0</v>
      </c>
      <c r="AG116" s="117" t="n">
        <f aca="false">SUMIFS(الريسبي!$C$2:$C$1800,الريسبي!$A$2:$A$1800,$A116,الريسبي!$B$2:$B$1800,AG$1)</f>
        <v>0</v>
      </c>
      <c r="AH116" s="117" t="n">
        <f aca="false">SUMIFS(الريسبي!$C$2:$C$1800,الريسبي!$A$2:$A$1800,$A116,الريسبي!$B$2:$B$1800,AH$1)</f>
        <v>0</v>
      </c>
      <c r="AI116" s="117" t="n">
        <f aca="false">SUMIFS(الريسبي!$C$2:$C$1800,الريسبي!$A$2:$A$1800,$A116,الريسبي!$B$2:$B$1800,AI$1)</f>
        <v>0</v>
      </c>
      <c r="AJ116" s="117" t="n">
        <f aca="false">SUMIFS(الريسبي!$C$2:$C$1800,الريسبي!$A$2:$A$1800,$A116,الريسبي!$B$2:$B$1800,AJ$1)</f>
        <v>2</v>
      </c>
      <c r="AK116" s="117" t="n">
        <f aca="false">SUMIFS(الريسبي!$C$2:$C$1800,الريسبي!$A$2:$A$1800,$A116,الريسبي!$B$2:$B$1800,AK$1)</f>
        <v>0</v>
      </c>
      <c r="AL116" s="117" t="n">
        <f aca="false">SUMIFS(الريسبي!$C$2:$C$1800,الريسبي!$A$2:$A$1800,$A116,الريسبي!$B$2:$B$1800,AL$1)</f>
        <v>0.02</v>
      </c>
      <c r="AM116" s="117" t="n">
        <f aca="false">SUMIFS(الريسبي!$C$2:$C$1800,الريسبي!$A$2:$A$1800,$A116,الريسبي!$B$2:$B$1800,AM$1)+0.08333333333*SUMIFS(الريسبي!$C$2:$C$1800,الريسبي!$A$2:$A$1800,$A116,الريسبي!$B$2:$B$1800,"عجين كريب (مصنع بالمطعم)")+0.08333333333*SUMIFS(الريسبي!$C$2:$C$1800,الريسبي!$A$2:$A$1800,$A116,الريسبي!$B$2:$B$1800,"عجين كريب صيامي (بدون لبن)")</f>
        <v>0</v>
      </c>
      <c r="AN116" s="117" t="n">
        <f aca="false">SUMIFS(الريسبي!$C$2:$C$1800,الريسبي!$A$2:$A$1800,$A116,الريسبي!$B$2:$B$1800,AN$1)+0.004166666667*SUMIFS(الريسبي!$C$2:$C$1800,الريسبي!$A$2:$A$1800,$A116,الريسبي!$B$2:$B$1800,"عجين كريب (مصنع بالمطعم)")+0.004166666667*SUMIFS(الريسبي!$C$2:$C$1800,الريسبي!$A$2:$A$1800,$A116,الريسبي!$B$2:$B$1800,"عجين كريب صيامي (بدون لبن)")</f>
        <v>0</v>
      </c>
      <c r="AO116" s="117" t="n">
        <f aca="false">SUMIFS(الريسبي!$C$2:$C$1800,الريسبي!$A$2:$A$1800,$A116,الريسبي!$B$2:$B$1800,AO$1)</f>
        <v>0</v>
      </c>
      <c r="AP116" s="117" t="n">
        <f aca="false">SUMIFS(الريسبي!$C$2:$C$1800,الريسبي!$A$2:$A$1800,$A116,الريسبي!$B$2:$B$1800,AP$1)</f>
        <v>0</v>
      </c>
      <c r="AQ116" s="117" t="n">
        <f aca="false">SUMIFS(الريسبي!$C$2:$C$1800,الريسبي!$A$2:$A$1800,$A116,الريسبي!$B$2:$B$1800,AQ$1)+0.004166666667*SUMIFS(الريسبي!$C$2:$C$1800,الريسبي!$A$2:$A$1800,$A116,الريسبي!$B$2:$B$1800,"عجين كريب (مصنع بالمطعم)")+0.004166666667*SUMIFS(الريسبي!$C$2:$C$1800,الريسبي!$A$2:$A$1800,$A116,الريسبي!$B$2:$B$1800,"عجين كريب صيامي (بدون لبن)")</f>
        <v>0</v>
      </c>
      <c r="AR116" s="117" t="n">
        <f aca="false">SUMIFS(الريسبي!$C$2:$C$1800,الريسبي!$A$2:$A$1800,$A116,الريسبي!$B$2:$B$1800,AR$1)</f>
        <v>0</v>
      </c>
      <c r="AS116" s="117" t="n">
        <f aca="false">SUMIFS(الريسبي!$C$2:$C$1800,الريسبي!$A$2:$A$1800,$A116,الريسبي!$B$2:$B$1800,AS$1)</f>
        <v>0</v>
      </c>
      <c r="AT116" s="117" t="n">
        <f aca="false">SUMIFS(الريسبي!$C$2:$C$1800,الريسبي!$A$2:$A$1800,$A116,الريسبي!$B$2:$B$1800,AT$1)</f>
        <v>0</v>
      </c>
      <c r="AU116" s="117" t="n">
        <f aca="false">SUMIFS(الريسبي!$C$2:$C$1800,الريسبي!$A$2:$A$1800,$A116,الريسبي!$B$2:$B$1800,AU$1)</f>
        <v>0</v>
      </c>
      <c r="AV116" s="117" t="n">
        <f aca="false">SUMIFS(الريسبي!$C$2:$C$1800,الريسبي!$A$2:$A$1800,$A116,الريسبي!$B$2:$B$1800,AV$1)</f>
        <v>0</v>
      </c>
      <c r="AW116" s="117" t="n">
        <f aca="false">SUMIFS(الريسبي!$C$2:$C$1800,الريسبي!$A$2:$A$1800,$A116,الريسبي!$B$2:$B$1800,AW$1)</f>
        <v>0</v>
      </c>
      <c r="AX116" s="117" t="n">
        <f aca="false">SUMIFS(الريسبي!$C$2:$C$1800,الريسبي!$A$2:$A$1800,$A116,الريسبي!$B$2:$B$1800,AX$1)</f>
        <v>0</v>
      </c>
      <c r="AY116" s="117" t="n">
        <f aca="false">SUMIFS(الريسبي!$C$2:$C$1800,الريسبي!$A$2:$A$1800,$A116,الريسبي!$B$2:$B$1800,AY$1)</f>
        <v>0.05</v>
      </c>
      <c r="AZ116" s="117" t="n">
        <f aca="false">SUMIFS(الريسبي!$C$2:$C$1800,الريسبي!$A$2:$A$1800,$A116,الريسبي!$B$2:$B$1800,AZ$1)</f>
        <v>0</v>
      </c>
      <c r="BA116" s="117" t="n">
        <f aca="false">SUMIFS(الريسبي!$C$2:$C$1800,الريسبي!$A$2:$A$1800,$A116,الريسبي!$B$2:$B$1800,BA$1)</f>
        <v>0.05</v>
      </c>
      <c r="BB116" s="117" t="n">
        <f aca="false">SUMIFS(الريسبي!$C$2:$C$1800,الريسبي!$A$2:$A$1800,$A116,الريسبي!$B$2:$B$1800,BB$1)</f>
        <v>0.05</v>
      </c>
      <c r="BC116" s="117" t="n">
        <f aca="false">SUMIFS(الريسبي!$C$2:$C$1800,الريسبي!$A$2:$A$1800,$A116,الريسبي!$B$2:$B$1800,BC$1)</f>
        <v>0.02</v>
      </c>
      <c r="BD116" s="117" t="n">
        <f aca="false">SUMIFS(الريسبي!$C$2:$C$1800,الريسبي!$A$2:$A$1800,$A116,الريسبي!$B$2:$B$1800,BD$1)</f>
        <v>0.22</v>
      </c>
      <c r="BE116" s="117" t="n">
        <f aca="false">SUMIFS(الريسبي!$C$2:$C$1800,الريسبي!$A$2:$A$1800,$A116,الريسبي!$B$2:$B$1800,BE$1)</f>
        <v>0</v>
      </c>
      <c r="BF116" s="117" t="n">
        <f aca="false">SUMIFS(الريسبي!$C$2:$C$1800,الريسبي!$A$2:$A$1800,$A116,الريسبي!$B$2:$B$1800,BF$1)</f>
        <v>0</v>
      </c>
      <c r="BG116" s="117" t="n">
        <f aca="false">SUMIFS(الريسبي!$C$2:$C$1800,الريسبي!$A$2:$A$1800,$A116,الريسبي!$B$2:$B$1800,BG$1)</f>
        <v>0</v>
      </c>
      <c r="BH116" s="117" t="n">
        <f aca="false">SUMIFS(الريسبي!$C$2:$C$1800,الريسبي!$A$2:$A$1800,$A116,الريسبي!$B$2:$B$1800,BH$1)</f>
        <v>0</v>
      </c>
      <c r="BI116" s="117" t="n">
        <f aca="false">SUMIFS(الريسبي!$C$2:$C$1800,الريسبي!$A$2:$A$1800,$A116,الريسبي!$B$2:$B$1800,BI$1)</f>
        <v>0</v>
      </c>
      <c r="BJ116" s="117" t="n">
        <f aca="false">SUMIFS(الريسبي!$C$2:$C$1800,الريسبي!$A$2:$A$1800,$A116,الريسبي!$B$2:$B$1800,BJ$1)</f>
        <v>0</v>
      </c>
      <c r="BK116" s="117" t="n">
        <f aca="false">SUMIFS(الريسبي!$C$2:$C$1800,الريسبي!$A$2:$A$1800,$A116,الريسبي!$B$2:$B$1800,BK$1)</f>
        <v>0</v>
      </c>
      <c r="BL116" s="117" t="n">
        <f aca="false">SUMIFS(الريسبي!$C$2:$C$1800,الريسبي!$A$2:$A$1800,$A116,الريسبي!$B$2:$B$1800,BL$1)</f>
        <v>0</v>
      </c>
      <c r="BM116" s="117" t="n">
        <f aca="false">SUMIFS(الريسبي!$C$2:$C$1800,الريسبي!$A$2:$A$1800,$A116,الريسبي!$B$2:$B$1800,BM$1)</f>
        <v>0.14</v>
      </c>
      <c r="BN116" s="117" t="n">
        <f aca="false">SUMIFS(الريسبي!$C$2:$C$1800,الريسبي!$A$2:$A$1800,$A116,الريسبي!$B$2:$B$1800,BN$1)</f>
        <v>0.02</v>
      </c>
      <c r="BO116" s="117" t="n">
        <f aca="false">SUMIFS(الريسبي!$C$2:$C$1800,الريسبي!$A$2:$A$1800,$A116,الريسبي!$B$2:$B$1800,BO$1)</f>
        <v>0</v>
      </c>
      <c r="BP116" s="117" t="n">
        <f aca="false">SUMIFS(الريسبي!$C$2:$C$1800,الريسبي!$A$2:$A$1800,$A116,الريسبي!$B$2:$B$1800,BP$1)</f>
        <v>2</v>
      </c>
      <c r="BQ116" s="117" t="n">
        <f aca="false">SUMIFS(الريسبي!$C$2:$C$1800,الريسبي!$A$2:$A$1800,$A116,الريسبي!$B$2:$B$1800,BQ$1)+0.17*SUMIFS(الريسبي!$C$2:$C$1800,الريسبي!$A$2:$A$1800,$A116,الريسبي!$B$2:$B$1800,"كاسترد مصنع (خليط بودر + لبن)")+0.17*SUMIFS(الريسبي!$C$2:$C$1800,الريسبي!$A$2:$A$1800,$A116,الريسبي!$B$2:$B$1800,"كاسترد مصنع صيامي (بدون لبن)")</f>
        <v>0</v>
      </c>
      <c r="BR116" s="117" t="n">
        <f aca="false">SUMIFS(الريسبي!$C$2:$C$1800,الريسبي!$A$2:$A$1800,$A116,الريسبي!$B$2:$B$1800,BR$1)</f>
        <v>1</v>
      </c>
      <c r="BS116" s="117" t="n">
        <f aca="false">SUMIFS(الريسبي!$C$2:$C$1800,الريسبي!$A$2:$A$1800,$A116,الريسبي!$B$2:$B$1800,BS$1)</f>
        <v>0</v>
      </c>
      <c r="BT116" s="117" t="n">
        <f aca="false">SUMIFS(الريسبي!$C$2:$C$1800,الريسبي!$A$2:$A$1800,$A116,الريسبي!$B$2:$B$1800,BT$1)</f>
        <v>0</v>
      </c>
      <c r="BU116" s="117" t="n">
        <f aca="false">SUMIFS(الريسبي!$C$2:$C$1800,الريسبي!$A$2:$A$1800,$A116,الريسبي!$B$2:$B$1800,BU$1)+0.4*SUMIFS(الريسبي!$C$2:$C$1800,الريسبي!$A$2:$A$1800,$A116,الريسبي!$B$2:$B$1800,"كاسترد مصنع (خليط بودر + لبن)")+0.03333333333*SUMIFS(الريسبي!$C$2:$C$1800,الريسبي!$A$2:$A$1800,$A116,الريسبي!$B$2:$B$1800,"عجين كريب (مصنع بالمطعم)")</f>
        <v>0</v>
      </c>
      <c r="BV116" s="117" t="n">
        <f aca="false">SUMIFS(الريسبي!$C$2:$C$1800,الريسبي!$A$2:$A$1800,$A116,الريسبي!$B$2:$B$1800,BV$1)</f>
        <v>0</v>
      </c>
      <c r="BW116" s="117" t="n">
        <f aca="false">SUMIFS(الريسبي!$C$2:$C$1800,الريسبي!$A$2:$A$1800,$A116,الريسبي!$B$2:$B$1800,BW$1)</f>
        <v>0</v>
      </c>
      <c r="BX116" s="117" t="n">
        <f aca="false">SUMIFS(الريسبي!$C$2:$C$1800,الريسبي!$A$2:$A$1800,$A116,الريسبي!$B$2:$B$1800,BX$1)</f>
        <v>0</v>
      </c>
      <c r="BY116" s="117" t="n">
        <f aca="false">SUMIFS(الريسبي!$C$2:$C$1800,الريسبي!$A$2:$A$1800,$A116,الريسبي!$B$2:$B$1800,BY$1)</f>
        <v>0</v>
      </c>
      <c r="BZ116" s="117" t="n">
        <f aca="false">SUMIFS(الريسبي!$C$2:$C$1800,الريسبي!$A$2:$A$1800,$A116,الريسبي!$B$2:$B$1800,BZ$1)</f>
        <v>0</v>
      </c>
      <c r="CA116" s="117" t="n">
        <f aca="false">SUMIFS(الريسبي!$C$2:$C$1800,الريسبي!$A$2:$A$1800,$A116,الريسبي!$B$2:$B$1800,CA$1)</f>
        <v>1</v>
      </c>
      <c r="CB116" s="117" t="n">
        <f aca="false">SUMIFS(الريسبي!$C$2:$C$1800,الريسبي!$A$2:$A$1800,$A116,الريسبي!$B$2:$B$1800,CB$1)</f>
        <v>1</v>
      </c>
      <c r="CC116" s="117" t="n">
        <f aca="false">SUMIFS(الريسبي!$C$2:$C$1800,الريسبي!$A$2:$A$1800,$A116,الريسبي!$B$2:$B$1800,CC$1)</f>
        <v>0</v>
      </c>
      <c r="CD116" s="117" t="n">
        <f aca="false">SUMIFS(الريسبي!$C$2:$C$1800,الريسبي!$A$2:$A$1800,$A116,الريسبي!$B$2:$B$1800,CD$1)</f>
        <v>0</v>
      </c>
      <c r="CE116" s="117" t="n">
        <f aca="false">SUMIFS(الريسبي!$C$2:$C$1800,الريسبي!$A$2:$A$1800,$A116,الريسبي!$B$2:$B$1800,CE$1)</f>
        <v>0</v>
      </c>
      <c r="CF116" s="117" t="n">
        <f aca="false">SUMIFS(الريسبي!$C$2:$C$1800,الريسبي!$A$2:$A$1800,$A116,الريسبي!$B$2:$B$1800,CF$1)</f>
        <v>0</v>
      </c>
      <c r="CG116" s="117" t="n">
        <f aca="false">SUMIFS(الريسبي!$C$2:$C$1800,الريسبي!$A$2:$A$1800,$A116,الريسبي!$B$2:$B$1800,CG$1)</f>
        <v>1</v>
      </c>
      <c r="CH116" s="117" t="n">
        <f aca="false">SUMIFS(الريسبي!$C$2:$C$1800,الريسبي!$A$2:$A$1800,$A116,الريسبي!$B$2:$B$1800,CH$1)</f>
        <v>1</v>
      </c>
      <c r="CI116" s="117" t="n">
        <f aca="false">SUMIFS(الريسبي!$C$2:$C$1800,الريسبي!$A$2:$A$1800,$A116,الريسبي!$B$2:$B$1800,CI$1)</f>
        <v>0</v>
      </c>
      <c r="CJ116" s="117" t="n">
        <f aca="false">SUMIFS(الريسبي!$C$2:$C$1800,الريسبي!$A$2:$A$1800,$A116,الريسبي!$B$2:$B$1800,CJ$1)</f>
        <v>0</v>
      </c>
      <c r="CK116" s="117" t="n">
        <f aca="false">SUMIFS(الريسبي!$C$2:$C$1800,الريسبي!$A$2:$A$1800,$A116,الريسبي!$B$2:$B$1800,CK$1)</f>
        <v>0</v>
      </c>
      <c r="CL116" s="117" t="n">
        <f aca="false">SUMIFS(الريسبي!$C$2:$C$1800,الريسبي!$A$2:$A$1800,$A116,الريسبي!$B$2:$B$1800,CL$1)</f>
        <v>0</v>
      </c>
    </row>
    <row r="117" customFormat="false" ht="15" hidden="false" customHeight="false" outlineLevel="0" collapsed="false">
      <c r="A117" s="116" t="str">
        <f aca="false">المنيو!B117</f>
        <v>بهججة بيتزا برجر صيامي</v>
      </c>
      <c r="B117" s="117" t="n">
        <f aca="false">SUMIFS(الريسبي!$C$2:$C$1800,الريسبي!$A$2:$A$1800,$A117,الريسبي!$B$2:$B$1800,B$1)</f>
        <v>0</v>
      </c>
      <c r="C117" s="117" t="n">
        <f aca="false">SUMIFS(الريسبي!$C$2:$C$1800,الريسبي!$A$2:$A$1800,$A117,الريسبي!$B$2:$B$1800,C$1)</f>
        <v>0</v>
      </c>
      <c r="D117" s="117" t="n">
        <f aca="false">SUMIFS(الريسبي!$C$2:$C$1800,الريسبي!$A$2:$A$1800,$A117,الريسبي!$B$2:$B$1800,D$1)</f>
        <v>1</v>
      </c>
      <c r="E117" s="117" t="n">
        <f aca="false">SUMIFS(الريسبي!$C$2:$C$1800,الريسبي!$A$2:$A$1800,$A117,الريسبي!$B$2:$B$1800,E$1)</f>
        <v>0</v>
      </c>
      <c r="F117" s="117" t="n">
        <f aca="false">SUMIFS(الريسبي!$C$2:$C$1800,الريسبي!$A$2:$A$1800,$A117,الريسبي!$B$2:$B$1800,F$1)</f>
        <v>0</v>
      </c>
      <c r="G117" s="117" t="n">
        <f aca="false">SUMIFS(الريسبي!$C$2:$C$1800,الريسبي!$A$2:$A$1800,$A117,الريسبي!$B$2:$B$1800,G$1)</f>
        <v>0</v>
      </c>
      <c r="H117" s="117" t="n">
        <f aca="false">SUMIFS(الريسبي!$C$2:$C$1800,الريسبي!$A$2:$A$1800,$A117,الريسبي!$B$2:$B$1800,H$1)</f>
        <v>0</v>
      </c>
      <c r="I117" s="117" t="n">
        <f aca="false">SUMIFS(الريسبي!$C$2:$C$1800,الريسبي!$A$2:$A$1800,$A117,الريسبي!$B$2:$B$1800,I$1)</f>
        <v>0</v>
      </c>
      <c r="J117" s="117" t="n">
        <f aca="false">SUMIFS(الريسبي!$C$2:$C$1800,الريسبي!$A$2:$A$1800,$A117,الريسبي!$B$2:$B$1800,J$1)</f>
        <v>0</v>
      </c>
      <c r="K117" s="117" t="n">
        <f aca="false">SUMIFS(الريسبي!$C$2:$C$1800,الريسبي!$A$2:$A$1800,$A117,الريسبي!$B$2:$B$1800,K$1)</f>
        <v>0</v>
      </c>
      <c r="L117" s="117" t="n">
        <f aca="false">SUMIFS(الريسبي!$C$2:$C$1800,الريسبي!$A$2:$A$1800,$A117,الريسبي!$B$2:$B$1800,L$1)</f>
        <v>0</v>
      </c>
      <c r="M117" s="117" t="n">
        <f aca="false">SUMIFS(الريسبي!$C$2:$C$1800,الريسبي!$A$2:$A$1800,$A117,الريسبي!$B$2:$B$1800,M$1)</f>
        <v>0</v>
      </c>
      <c r="N117" s="117" t="n">
        <f aca="false">SUMIFS(الريسبي!$C$2:$C$1800,الريسبي!$A$2:$A$1800,$A117,الريسبي!$B$2:$B$1800,N$1)</f>
        <v>0</v>
      </c>
      <c r="O117" s="117" t="n">
        <f aca="false">SUMIFS(الريسبي!$C$2:$C$1800,الريسبي!$A$2:$A$1800,$A117,الريسبي!$B$2:$B$1800,O$1)</f>
        <v>0</v>
      </c>
      <c r="P117" s="117" t="n">
        <f aca="false">SUMIFS(الريسبي!$C$2:$C$1800,الريسبي!$A$2:$A$1800,$A117,الريسبي!$B$2:$B$1800,P$1)</f>
        <v>0</v>
      </c>
      <c r="Q117" s="117" t="n">
        <f aca="false">SUMIFS(الريسبي!$C$2:$C$1800,الريسبي!$A$2:$A$1800,$A117,الريسبي!$B$2:$B$1800,Q$1)</f>
        <v>0</v>
      </c>
      <c r="R117" s="117" t="n">
        <f aca="false">SUMIFS(الريسبي!$C$2:$C$1800,الريسبي!$A$2:$A$1800,$A117,الريسبي!$B$2:$B$1800,R$1)</f>
        <v>0</v>
      </c>
      <c r="S117" s="117" t="n">
        <f aca="false">SUMIFS(الريسبي!$C$2:$C$1800,الريسبي!$A$2:$A$1800,$A117,الريسبي!$B$2:$B$1800,S$1)</f>
        <v>0</v>
      </c>
      <c r="T117" s="117" t="n">
        <f aca="false">SUMIFS(الريسبي!$C$2:$C$1800,الريسبي!$A$2:$A$1800,$A117,الريسبي!$B$2:$B$1800,T$1)</f>
        <v>0</v>
      </c>
      <c r="U117" s="117" t="n">
        <f aca="false">SUMIFS(الريسبي!$C$2:$C$1800,الريسبي!$A$2:$A$1800,$A117,الريسبي!$B$2:$B$1800,U$1)</f>
        <v>0</v>
      </c>
      <c r="V117" s="117" t="n">
        <f aca="false">SUMIFS(الريسبي!$C$2:$C$1800,الريسبي!$A$2:$A$1800,$A117,الريسبي!$B$2:$B$1800,V$1)</f>
        <v>0</v>
      </c>
      <c r="W117" s="117" t="n">
        <f aca="false">SUMIFS(الريسبي!$C$2:$C$1800,الريسبي!$A$2:$A$1800,$A117,الريسبي!$B$2:$B$1800,W$1)</f>
        <v>0</v>
      </c>
      <c r="X117" s="117" t="n">
        <f aca="false">SUMIFS(الريسبي!$C$2:$C$1800,الريسبي!$A$2:$A$1800,$A117,الريسبي!$B$2:$B$1800,X$1)</f>
        <v>1</v>
      </c>
      <c r="Y117" s="117" t="n">
        <f aca="false">SUMIFS(الريسبي!$C$2:$C$1800,الريسبي!$A$2:$A$1800,$A117,الريسبي!$B$2:$B$1800,Y$1)</f>
        <v>0</v>
      </c>
      <c r="Z117" s="117" t="n">
        <f aca="false">SUMIFS(الريسبي!$C$2:$C$1800,الريسبي!$A$2:$A$1800,$A117,الريسبي!$B$2:$B$1800,Z$1)</f>
        <v>0</v>
      </c>
      <c r="AA117" s="117" t="n">
        <f aca="false">SUMIFS(الريسبي!$C$2:$C$1800,الريسبي!$A$2:$A$1800,$A117,الريسبي!$B$2:$B$1800,AA$1)</f>
        <v>0</v>
      </c>
      <c r="AB117" s="117" t="n">
        <f aca="false">SUMIFS(الريسبي!$C$2:$C$1800,الريسبي!$A$2:$A$1800,$A117,الريسبي!$B$2:$B$1800,AB$1)</f>
        <v>0</v>
      </c>
      <c r="AC117" s="117" t="n">
        <f aca="false">SUMIFS(الريسبي!$C$2:$C$1800,الريسبي!$A$2:$A$1800,$A117,الريسبي!$B$2:$B$1800,AC$1)</f>
        <v>0</v>
      </c>
      <c r="AD117" s="117" t="n">
        <f aca="false">SUMIFS(الريسبي!$C$2:$C$1800,الريسبي!$A$2:$A$1800,$A117,الريسبي!$B$2:$B$1800,AD$1)</f>
        <v>0</v>
      </c>
      <c r="AE117" s="117" t="n">
        <f aca="false">SUMIFS(الريسبي!$C$2:$C$1800,الريسبي!$A$2:$A$1800,$A117,الريسبي!$B$2:$B$1800,AE$1)</f>
        <v>0.02</v>
      </c>
      <c r="AF117" s="117" t="n">
        <f aca="false">SUMIFS(الريسبي!$C$2:$C$1800,الريسبي!$A$2:$A$1800,$A117,الريسبي!$B$2:$B$1800,AF$1)</f>
        <v>0</v>
      </c>
      <c r="AG117" s="117" t="n">
        <f aca="false">SUMIFS(الريسبي!$C$2:$C$1800,الريسبي!$A$2:$A$1800,$A117,الريسبي!$B$2:$B$1800,AG$1)</f>
        <v>0</v>
      </c>
      <c r="AH117" s="117" t="n">
        <f aca="false">SUMIFS(الريسبي!$C$2:$C$1800,الريسبي!$A$2:$A$1800,$A117,الريسبي!$B$2:$B$1800,AH$1)</f>
        <v>0</v>
      </c>
      <c r="AI117" s="117" t="n">
        <f aca="false">SUMIFS(الريسبي!$C$2:$C$1800,الريسبي!$A$2:$A$1800,$A117,الريسبي!$B$2:$B$1800,AI$1)</f>
        <v>0</v>
      </c>
      <c r="AJ117" s="117" t="n">
        <f aca="false">SUMIFS(الريسبي!$C$2:$C$1800,الريسبي!$A$2:$A$1800,$A117,الريسبي!$B$2:$B$1800,AJ$1)</f>
        <v>2</v>
      </c>
      <c r="AK117" s="117" t="n">
        <f aca="false">SUMIFS(الريسبي!$C$2:$C$1800,الريسبي!$A$2:$A$1800,$A117,الريسبي!$B$2:$B$1800,AK$1)</f>
        <v>0</v>
      </c>
      <c r="AL117" s="117" t="n">
        <f aca="false">SUMIFS(الريسبي!$C$2:$C$1800,الريسبي!$A$2:$A$1800,$A117,الريسبي!$B$2:$B$1800,AL$1)</f>
        <v>0.02</v>
      </c>
      <c r="AM117" s="117" t="n">
        <f aca="false">SUMIFS(الريسبي!$C$2:$C$1800,الريسبي!$A$2:$A$1800,$A117,الريسبي!$B$2:$B$1800,AM$1)+0.08333333333*SUMIFS(الريسبي!$C$2:$C$1800,الريسبي!$A$2:$A$1800,$A117,الريسبي!$B$2:$B$1800,"عجين كريب (مصنع بالمطعم)")+0.08333333333*SUMIFS(الريسبي!$C$2:$C$1800,الريسبي!$A$2:$A$1800,$A117,الريسبي!$B$2:$B$1800,"عجين كريب صيامي (بدون لبن)")</f>
        <v>0</v>
      </c>
      <c r="AN117" s="117" t="n">
        <f aca="false">SUMIFS(الريسبي!$C$2:$C$1800,الريسبي!$A$2:$A$1800,$A117,الريسبي!$B$2:$B$1800,AN$1)+0.004166666667*SUMIFS(الريسبي!$C$2:$C$1800,الريسبي!$A$2:$A$1800,$A117,الريسبي!$B$2:$B$1800,"عجين كريب (مصنع بالمطعم)")+0.004166666667*SUMIFS(الريسبي!$C$2:$C$1800,الريسبي!$A$2:$A$1800,$A117,الريسبي!$B$2:$B$1800,"عجين كريب صيامي (بدون لبن)")</f>
        <v>0</v>
      </c>
      <c r="AO117" s="117" t="n">
        <f aca="false">SUMIFS(الريسبي!$C$2:$C$1800,الريسبي!$A$2:$A$1800,$A117,الريسبي!$B$2:$B$1800,AO$1)</f>
        <v>0</v>
      </c>
      <c r="AP117" s="117" t="n">
        <f aca="false">SUMIFS(الريسبي!$C$2:$C$1800,الريسبي!$A$2:$A$1800,$A117,الريسبي!$B$2:$B$1800,AP$1)</f>
        <v>0</v>
      </c>
      <c r="AQ117" s="117" t="n">
        <f aca="false">SUMIFS(الريسبي!$C$2:$C$1800,الريسبي!$A$2:$A$1800,$A117,الريسبي!$B$2:$B$1800,AQ$1)+0.004166666667*SUMIFS(الريسبي!$C$2:$C$1800,الريسبي!$A$2:$A$1800,$A117,الريسبي!$B$2:$B$1800,"عجين كريب (مصنع بالمطعم)")+0.004166666667*SUMIFS(الريسبي!$C$2:$C$1800,الريسبي!$A$2:$A$1800,$A117,الريسبي!$B$2:$B$1800,"عجين كريب صيامي (بدون لبن)")</f>
        <v>0</v>
      </c>
      <c r="AR117" s="117" t="n">
        <f aca="false">SUMIFS(الريسبي!$C$2:$C$1800,الريسبي!$A$2:$A$1800,$A117,الريسبي!$B$2:$B$1800,AR$1)</f>
        <v>0</v>
      </c>
      <c r="AS117" s="117" t="n">
        <f aca="false">SUMIFS(الريسبي!$C$2:$C$1800,الريسبي!$A$2:$A$1800,$A117,الريسبي!$B$2:$B$1800,AS$1)</f>
        <v>0</v>
      </c>
      <c r="AT117" s="117" t="n">
        <f aca="false">SUMIFS(الريسبي!$C$2:$C$1800,الريسبي!$A$2:$A$1800,$A117,الريسبي!$B$2:$B$1800,AT$1)</f>
        <v>0</v>
      </c>
      <c r="AU117" s="117" t="n">
        <f aca="false">SUMIFS(الريسبي!$C$2:$C$1800,الريسبي!$A$2:$A$1800,$A117,الريسبي!$B$2:$B$1800,AU$1)</f>
        <v>0</v>
      </c>
      <c r="AV117" s="117" t="n">
        <f aca="false">SUMIFS(الريسبي!$C$2:$C$1800,الريسبي!$A$2:$A$1800,$A117,الريسبي!$B$2:$B$1800,AV$1)</f>
        <v>0</v>
      </c>
      <c r="AW117" s="117" t="n">
        <f aca="false">SUMIFS(الريسبي!$C$2:$C$1800,الريسبي!$A$2:$A$1800,$A117,الريسبي!$B$2:$B$1800,AW$1)</f>
        <v>0</v>
      </c>
      <c r="AX117" s="117" t="n">
        <f aca="false">SUMIFS(الريسبي!$C$2:$C$1800,الريسبي!$A$2:$A$1800,$A117,الريسبي!$B$2:$B$1800,AX$1)</f>
        <v>0</v>
      </c>
      <c r="AY117" s="117" t="n">
        <f aca="false">SUMIFS(الريسبي!$C$2:$C$1800,الريسبي!$A$2:$A$1800,$A117,الريسبي!$B$2:$B$1800,AY$1)</f>
        <v>0.05</v>
      </c>
      <c r="AZ117" s="117" t="n">
        <f aca="false">SUMIFS(الريسبي!$C$2:$C$1800,الريسبي!$A$2:$A$1800,$A117,الريسبي!$B$2:$B$1800,AZ$1)</f>
        <v>0.05</v>
      </c>
      <c r="BA117" s="117" t="n">
        <f aca="false">SUMIFS(الريسبي!$C$2:$C$1800,الريسبي!$A$2:$A$1800,$A117,الريسبي!$B$2:$B$1800,BA$1)</f>
        <v>0</v>
      </c>
      <c r="BB117" s="117" t="n">
        <f aca="false">SUMIFS(الريسبي!$C$2:$C$1800,الريسبي!$A$2:$A$1800,$A117,الريسبي!$B$2:$B$1800,BB$1)</f>
        <v>0.05</v>
      </c>
      <c r="BC117" s="117" t="n">
        <f aca="false">SUMIFS(الريسبي!$C$2:$C$1800,الريسبي!$A$2:$A$1800,$A117,الريسبي!$B$2:$B$1800,BC$1)</f>
        <v>0.02</v>
      </c>
      <c r="BD117" s="117" t="n">
        <f aca="false">SUMIFS(الريسبي!$C$2:$C$1800,الريسبي!$A$2:$A$1800,$A117,الريسبي!$B$2:$B$1800,BD$1)</f>
        <v>0.22</v>
      </c>
      <c r="BE117" s="117" t="n">
        <f aca="false">SUMIFS(الريسبي!$C$2:$C$1800,الريسبي!$A$2:$A$1800,$A117,الريسبي!$B$2:$B$1800,BE$1)</f>
        <v>0</v>
      </c>
      <c r="BF117" s="117" t="n">
        <f aca="false">SUMIFS(الريسبي!$C$2:$C$1800,الريسبي!$A$2:$A$1800,$A117,الريسبي!$B$2:$B$1800,BF$1)</f>
        <v>0</v>
      </c>
      <c r="BG117" s="117" t="n">
        <f aca="false">SUMIFS(الريسبي!$C$2:$C$1800,الريسبي!$A$2:$A$1800,$A117,الريسبي!$B$2:$B$1800,BG$1)</f>
        <v>0</v>
      </c>
      <c r="BH117" s="117" t="n">
        <f aca="false">SUMIFS(الريسبي!$C$2:$C$1800,الريسبي!$A$2:$A$1800,$A117,الريسبي!$B$2:$B$1800,BH$1)</f>
        <v>0</v>
      </c>
      <c r="BI117" s="117" t="n">
        <f aca="false">SUMIFS(الريسبي!$C$2:$C$1800,الريسبي!$A$2:$A$1800,$A117,الريسبي!$B$2:$B$1800,BI$1)</f>
        <v>0</v>
      </c>
      <c r="BJ117" s="117" t="n">
        <f aca="false">SUMIFS(الريسبي!$C$2:$C$1800,الريسبي!$A$2:$A$1800,$A117,الريسبي!$B$2:$B$1800,BJ$1)</f>
        <v>0</v>
      </c>
      <c r="BK117" s="117" t="n">
        <f aca="false">SUMIFS(الريسبي!$C$2:$C$1800,الريسبي!$A$2:$A$1800,$A117,الريسبي!$B$2:$B$1800,BK$1)</f>
        <v>0</v>
      </c>
      <c r="BL117" s="117" t="n">
        <f aca="false">SUMIFS(الريسبي!$C$2:$C$1800,الريسبي!$A$2:$A$1800,$A117,الريسبي!$B$2:$B$1800,BL$1)</f>
        <v>0</v>
      </c>
      <c r="BM117" s="117" t="n">
        <f aca="false">SUMIFS(الريسبي!$C$2:$C$1800,الريسبي!$A$2:$A$1800,$A117,الريسبي!$B$2:$B$1800,BM$1)</f>
        <v>0</v>
      </c>
      <c r="BN117" s="117" t="n">
        <f aca="false">SUMIFS(الريسبي!$C$2:$C$1800,الريسبي!$A$2:$A$1800,$A117,الريسبي!$B$2:$B$1800,BN$1)</f>
        <v>0.02</v>
      </c>
      <c r="BO117" s="117" t="n">
        <f aca="false">SUMIFS(الريسبي!$C$2:$C$1800,الريسبي!$A$2:$A$1800,$A117,الريسبي!$B$2:$B$1800,BO$1)</f>
        <v>0</v>
      </c>
      <c r="BP117" s="117" t="n">
        <f aca="false">SUMIFS(الريسبي!$C$2:$C$1800,الريسبي!$A$2:$A$1800,$A117,الريسبي!$B$2:$B$1800,BP$1)</f>
        <v>2</v>
      </c>
      <c r="BQ117" s="117" t="n">
        <f aca="false">SUMIFS(الريسبي!$C$2:$C$1800,الريسبي!$A$2:$A$1800,$A117,الريسبي!$B$2:$B$1800,BQ$1)+0.17*SUMIFS(الريسبي!$C$2:$C$1800,الريسبي!$A$2:$A$1800,$A117,الريسبي!$B$2:$B$1800,"كاسترد مصنع (خليط بودر + لبن)")+0.17*SUMIFS(الريسبي!$C$2:$C$1800,الريسبي!$A$2:$A$1800,$A117,الريسبي!$B$2:$B$1800,"كاسترد مصنع صيامي (بدون لبن)")</f>
        <v>0</v>
      </c>
      <c r="BR117" s="117" t="n">
        <f aca="false">SUMIFS(الريسبي!$C$2:$C$1800,الريسبي!$A$2:$A$1800,$A117,الريسبي!$B$2:$B$1800,BR$1)</f>
        <v>1</v>
      </c>
      <c r="BS117" s="117" t="n">
        <f aca="false">SUMIFS(الريسبي!$C$2:$C$1800,الريسبي!$A$2:$A$1800,$A117,الريسبي!$B$2:$B$1800,BS$1)</f>
        <v>0</v>
      </c>
      <c r="BT117" s="117" t="n">
        <f aca="false">SUMIFS(الريسبي!$C$2:$C$1800,الريسبي!$A$2:$A$1800,$A117,الريسبي!$B$2:$B$1800,BT$1)</f>
        <v>0</v>
      </c>
      <c r="BU117" s="117" t="n">
        <f aca="false">SUMIFS(الريسبي!$C$2:$C$1800,الريسبي!$A$2:$A$1800,$A117,الريسبي!$B$2:$B$1800,BU$1)+0.4*SUMIFS(الريسبي!$C$2:$C$1800,الريسبي!$A$2:$A$1800,$A117,الريسبي!$B$2:$B$1800,"كاسترد مصنع (خليط بودر + لبن)")+0.03333333333*SUMIFS(الريسبي!$C$2:$C$1800,الريسبي!$A$2:$A$1800,$A117,الريسبي!$B$2:$B$1800,"عجين كريب (مصنع بالمطعم)")</f>
        <v>0</v>
      </c>
      <c r="BV117" s="117" t="n">
        <f aca="false">SUMIFS(الريسبي!$C$2:$C$1800,الريسبي!$A$2:$A$1800,$A117,الريسبي!$B$2:$B$1800,BV$1)</f>
        <v>0</v>
      </c>
      <c r="BW117" s="117" t="n">
        <f aca="false">SUMIFS(الريسبي!$C$2:$C$1800,الريسبي!$A$2:$A$1800,$A117,الريسبي!$B$2:$B$1800,BW$1)</f>
        <v>0</v>
      </c>
      <c r="BX117" s="117" t="n">
        <f aca="false">SUMIFS(الريسبي!$C$2:$C$1800,الريسبي!$A$2:$A$1800,$A117,الريسبي!$B$2:$B$1800,BX$1)</f>
        <v>0</v>
      </c>
      <c r="BY117" s="117" t="n">
        <f aca="false">SUMIFS(الريسبي!$C$2:$C$1800,الريسبي!$A$2:$A$1800,$A117,الريسبي!$B$2:$B$1800,BY$1)</f>
        <v>0</v>
      </c>
      <c r="BZ117" s="117" t="n">
        <f aca="false">SUMIFS(الريسبي!$C$2:$C$1800,الريسبي!$A$2:$A$1800,$A117,الريسبي!$B$2:$B$1800,BZ$1)</f>
        <v>0</v>
      </c>
      <c r="CA117" s="117" t="n">
        <f aca="false">SUMIFS(الريسبي!$C$2:$C$1800,الريسبي!$A$2:$A$1800,$A117,الريسبي!$B$2:$B$1800,CA$1)</f>
        <v>1</v>
      </c>
      <c r="CB117" s="117" t="n">
        <f aca="false">SUMIFS(الريسبي!$C$2:$C$1800,الريسبي!$A$2:$A$1800,$A117,الريسبي!$B$2:$B$1800,CB$1)</f>
        <v>1</v>
      </c>
      <c r="CC117" s="117" t="n">
        <f aca="false">SUMIFS(الريسبي!$C$2:$C$1800,الريسبي!$A$2:$A$1800,$A117,الريسبي!$B$2:$B$1800,CC$1)</f>
        <v>0</v>
      </c>
      <c r="CD117" s="117" t="n">
        <f aca="false">SUMIFS(الريسبي!$C$2:$C$1800,الريسبي!$A$2:$A$1800,$A117,الريسبي!$B$2:$B$1800,CD$1)</f>
        <v>0</v>
      </c>
      <c r="CE117" s="117" t="n">
        <f aca="false">SUMIFS(الريسبي!$C$2:$C$1800,الريسبي!$A$2:$A$1800,$A117,الريسبي!$B$2:$B$1800,CE$1)</f>
        <v>0</v>
      </c>
      <c r="CF117" s="117" t="n">
        <f aca="false">SUMIFS(الريسبي!$C$2:$C$1800,الريسبي!$A$2:$A$1800,$A117,الريسبي!$B$2:$B$1800,CF$1)</f>
        <v>3</v>
      </c>
      <c r="CG117" s="117" t="n">
        <f aca="false">SUMIFS(الريسبي!$C$2:$C$1800,الريسبي!$A$2:$A$1800,$A117,الريسبي!$B$2:$B$1800,CG$1)</f>
        <v>1</v>
      </c>
      <c r="CH117" s="117" t="n">
        <f aca="false">SUMIFS(الريسبي!$C$2:$C$1800,الريسبي!$A$2:$A$1800,$A117,الريسبي!$B$2:$B$1800,CH$1)</f>
        <v>1</v>
      </c>
      <c r="CI117" s="117" t="n">
        <f aca="false">SUMIFS(الريسبي!$C$2:$C$1800,الريسبي!$A$2:$A$1800,$A117,الريسبي!$B$2:$B$1800,CI$1)</f>
        <v>0</v>
      </c>
      <c r="CJ117" s="117" t="n">
        <f aca="false">SUMIFS(الريسبي!$C$2:$C$1800,الريسبي!$A$2:$A$1800,$A117,الريسبي!$B$2:$B$1800,CJ$1)</f>
        <v>0</v>
      </c>
      <c r="CK117" s="117" t="n">
        <f aca="false">SUMIFS(الريسبي!$C$2:$C$1800,الريسبي!$A$2:$A$1800,$A117,الريسبي!$B$2:$B$1800,CK$1)</f>
        <v>0</v>
      </c>
      <c r="CL117" s="117" t="n">
        <f aca="false">SUMIFS(الريسبي!$C$2:$C$1800,الريسبي!$A$2:$A$1800,$A117,الريسبي!$B$2:$B$1800,CL$1)</f>
        <v>0</v>
      </c>
    </row>
    <row r="118" customFormat="false" ht="15" hidden="false" customHeight="false" outlineLevel="0" collapsed="false">
      <c r="A118" s="116" t="str">
        <f aca="false">المنيو!B118</f>
        <v>بهججة كريسبي صيامي</v>
      </c>
      <c r="B118" s="117" t="n">
        <f aca="false">SUMIFS(الريسبي!$C$2:$C$1800,الريسبي!$A$2:$A$1800,$A118,الريسبي!$B$2:$B$1800,B$1)</f>
        <v>0</v>
      </c>
      <c r="C118" s="117" t="n">
        <f aca="false">SUMIFS(الريسبي!$C$2:$C$1800,الريسبي!$A$2:$A$1800,$A118,الريسبي!$B$2:$B$1800,C$1)</f>
        <v>0</v>
      </c>
      <c r="D118" s="117" t="n">
        <f aca="false">SUMIFS(الريسبي!$C$2:$C$1800,الريسبي!$A$2:$A$1800,$A118,الريسبي!$B$2:$B$1800,D$1)</f>
        <v>1</v>
      </c>
      <c r="E118" s="117" t="n">
        <f aca="false">SUMIFS(الريسبي!$C$2:$C$1800,الريسبي!$A$2:$A$1800,$A118,الريسبي!$B$2:$B$1800,E$1)</f>
        <v>0</v>
      </c>
      <c r="F118" s="117" t="n">
        <f aca="false">SUMIFS(الريسبي!$C$2:$C$1800,الريسبي!$A$2:$A$1800,$A118,الريسبي!$B$2:$B$1800,F$1)</f>
        <v>0</v>
      </c>
      <c r="G118" s="117" t="n">
        <f aca="false">SUMIFS(الريسبي!$C$2:$C$1800,الريسبي!$A$2:$A$1800,$A118,الريسبي!$B$2:$B$1800,G$1)</f>
        <v>0</v>
      </c>
      <c r="H118" s="117" t="n">
        <f aca="false">SUMIFS(الريسبي!$C$2:$C$1800,الريسبي!$A$2:$A$1800,$A118,الريسبي!$B$2:$B$1800,H$1)</f>
        <v>0</v>
      </c>
      <c r="I118" s="117" t="n">
        <f aca="false">SUMIFS(الريسبي!$C$2:$C$1800,الريسبي!$A$2:$A$1800,$A118,الريسبي!$B$2:$B$1800,I$1)</f>
        <v>0</v>
      </c>
      <c r="J118" s="117" t="n">
        <f aca="false">SUMIFS(الريسبي!$C$2:$C$1800,الريسبي!$A$2:$A$1800,$A118,الريسبي!$B$2:$B$1800,J$1)</f>
        <v>0</v>
      </c>
      <c r="K118" s="117" t="n">
        <f aca="false">SUMIFS(الريسبي!$C$2:$C$1800,الريسبي!$A$2:$A$1800,$A118,الريسبي!$B$2:$B$1800,K$1)</f>
        <v>0</v>
      </c>
      <c r="L118" s="117" t="n">
        <f aca="false">SUMIFS(الريسبي!$C$2:$C$1800,الريسبي!$A$2:$A$1800,$A118,الريسبي!$B$2:$B$1800,L$1)</f>
        <v>0</v>
      </c>
      <c r="M118" s="117" t="n">
        <f aca="false">SUMIFS(الريسبي!$C$2:$C$1800,الريسبي!$A$2:$A$1800,$A118,الريسبي!$B$2:$B$1800,M$1)</f>
        <v>0</v>
      </c>
      <c r="N118" s="117" t="n">
        <f aca="false">SUMIFS(الريسبي!$C$2:$C$1800,الريسبي!$A$2:$A$1800,$A118,الريسبي!$B$2:$B$1800,N$1)</f>
        <v>0</v>
      </c>
      <c r="O118" s="117" t="n">
        <f aca="false">SUMIFS(الريسبي!$C$2:$C$1800,الريسبي!$A$2:$A$1800,$A118,الريسبي!$B$2:$B$1800,O$1)</f>
        <v>0</v>
      </c>
      <c r="P118" s="117" t="n">
        <f aca="false">SUMIFS(الريسبي!$C$2:$C$1800,الريسبي!$A$2:$A$1800,$A118,الريسبي!$B$2:$B$1800,P$1)</f>
        <v>0</v>
      </c>
      <c r="Q118" s="117" t="n">
        <f aca="false">SUMIFS(الريسبي!$C$2:$C$1800,الريسبي!$A$2:$A$1800,$A118,الريسبي!$B$2:$B$1800,Q$1)</f>
        <v>0</v>
      </c>
      <c r="R118" s="117" t="n">
        <f aca="false">SUMIFS(الريسبي!$C$2:$C$1800,الريسبي!$A$2:$A$1800,$A118,الريسبي!$B$2:$B$1800,R$1)</f>
        <v>0</v>
      </c>
      <c r="S118" s="117" t="n">
        <f aca="false">SUMIFS(الريسبي!$C$2:$C$1800,الريسبي!$A$2:$A$1800,$A118,الريسبي!$B$2:$B$1800,S$1)</f>
        <v>0</v>
      </c>
      <c r="T118" s="117" t="n">
        <f aca="false">SUMIFS(الريسبي!$C$2:$C$1800,الريسبي!$A$2:$A$1800,$A118,الريسبي!$B$2:$B$1800,T$1)</f>
        <v>0</v>
      </c>
      <c r="U118" s="117" t="n">
        <f aca="false">SUMIFS(الريسبي!$C$2:$C$1800,الريسبي!$A$2:$A$1800,$A118,الريسبي!$B$2:$B$1800,U$1)</f>
        <v>0</v>
      </c>
      <c r="V118" s="117" t="n">
        <f aca="false">SUMIFS(الريسبي!$C$2:$C$1800,الريسبي!$A$2:$A$1800,$A118,الريسبي!$B$2:$B$1800,V$1)</f>
        <v>0</v>
      </c>
      <c r="W118" s="117" t="n">
        <f aca="false">SUMIFS(الريسبي!$C$2:$C$1800,الريسبي!$A$2:$A$1800,$A118,الريسبي!$B$2:$B$1800,W$1)</f>
        <v>0</v>
      </c>
      <c r="X118" s="117" t="n">
        <f aca="false">SUMIFS(الريسبي!$C$2:$C$1800,الريسبي!$A$2:$A$1800,$A118,الريسبي!$B$2:$B$1800,X$1)</f>
        <v>1</v>
      </c>
      <c r="Y118" s="117" t="n">
        <f aca="false">SUMIFS(الريسبي!$C$2:$C$1800,الريسبي!$A$2:$A$1800,$A118,الريسبي!$B$2:$B$1800,Y$1)</f>
        <v>0</v>
      </c>
      <c r="Z118" s="117" t="n">
        <f aca="false">SUMIFS(الريسبي!$C$2:$C$1800,الريسبي!$A$2:$A$1800,$A118,الريسبي!$B$2:$B$1800,Z$1)</f>
        <v>0</v>
      </c>
      <c r="AA118" s="117" t="n">
        <f aca="false">SUMIFS(الريسبي!$C$2:$C$1800,الريسبي!$A$2:$A$1800,$A118,الريسبي!$B$2:$B$1800,AA$1)</f>
        <v>0</v>
      </c>
      <c r="AB118" s="117" t="n">
        <f aca="false">SUMIFS(الريسبي!$C$2:$C$1800,الريسبي!$A$2:$A$1800,$A118,الريسبي!$B$2:$B$1800,AB$1)</f>
        <v>0</v>
      </c>
      <c r="AC118" s="117" t="n">
        <f aca="false">SUMIFS(الريسبي!$C$2:$C$1800,الريسبي!$A$2:$A$1800,$A118,الريسبي!$B$2:$B$1800,AC$1)</f>
        <v>0</v>
      </c>
      <c r="AD118" s="117" t="n">
        <f aca="false">SUMIFS(الريسبي!$C$2:$C$1800,الريسبي!$A$2:$A$1800,$A118,الريسبي!$B$2:$B$1800,AD$1)</f>
        <v>0</v>
      </c>
      <c r="AE118" s="117" t="n">
        <f aca="false">SUMIFS(الريسبي!$C$2:$C$1800,الريسبي!$A$2:$A$1800,$A118,الريسبي!$B$2:$B$1800,AE$1)</f>
        <v>0.02</v>
      </c>
      <c r="AF118" s="117" t="n">
        <f aca="false">SUMIFS(الريسبي!$C$2:$C$1800,الريسبي!$A$2:$A$1800,$A118,الريسبي!$B$2:$B$1800,AF$1)</f>
        <v>0</v>
      </c>
      <c r="AG118" s="117" t="n">
        <f aca="false">SUMIFS(الريسبي!$C$2:$C$1800,الريسبي!$A$2:$A$1800,$A118,الريسبي!$B$2:$B$1800,AG$1)</f>
        <v>0</v>
      </c>
      <c r="AH118" s="117" t="n">
        <f aca="false">SUMIFS(الريسبي!$C$2:$C$1800,الريسبي!$A$2:$A$1800,$A118,الريسبي!$B$2:$B$1800,AH$1)</f>
        <v>0</v>
      </c>
      <c r="AI118" s="117" t="n">
        <f aca="false">SUMIFS(الريسبي!$C$2:$C$1800,الريسبي!$A$2:$A$1800,$A118,الريسبي!$B$2:$B$1800,AI$1)</f>
        <v>0</v>
      </c>
      <c r="AJ118" s="117" t="n">
        <f aca="false">SUMIFS(الريسبي!$C$2:$C$1800,الريسبي!$A$2:$A$1800,$A118,الريسبي!$B$2:$B$1800,AJ$1)</f>
        <v>2</v>
      </c>
      <c r="AK118" s="117" t="n">
        <f aca="false">SUMIFS(الريسبي!$C$2:$C$1800,الريسبي!$A$2:$A$1800,$A118,الريسبي!$B$2:$B$1800,AK$1)</f>
        <v>0</v>
      </c>
      <c r="AL118" s="117" t="n">
        <f aca="false">SUMIFS(الريسبي!$C$2:$C$1800,الريسبي!$A$2:$A$1800,$A118,الريسبي!$B$2:$B$1800,AL$1)</f>
        <v>0.02</v>
      </c>
      <c r="AM118" s="117" t="n">
        <f aca="false">SUMIFS(الريسبي!$C$2:$C$1800,الريسبي!$A$2:$A$1800,$A118,الريسبي!$B$2:$B$1800,AM$1)+0.08333333333*SUMIFS(الريسبي!$C$2:$C$1800,الريسبي!$A$2:$A$1800,$A118,الريسبي!$B$2:$B$1800,"عجين كريب (مصنع بالمطعم)")+0.08333333333*SUMIFS(الريسبي!$C$2:$C$1800,الريسبي!$A$2:$A$1800,$A118,الريسبي!$B$2:$B$1800,"عجين كريب صيامي (بدون لبن)")</f>
        <v>0</v>
      </c>
      <c r="AN118" s="117" t="n">
        <f aca="false">SUMIFS(الريسبي!$C$2:$C$1800,الريسبي!$A$2:$A$1800,$A118,الريسبي!$B$2:$B$1800,AN$1)+0.004166666667*SUMIFS(الريسبي!$C$2:$C$1800,الريسبي!$A$2:$A$1800,$A118,الريسبي!$B$2:$B$1800,"عجين كريب (مصنع بالمطعم)")+0.004166666667*SUMIFS(الريسبي!$C$2:$C$1800,الريسبي!$A$2:$A$1800,$A118,الريسبي!$B$2:$B$1800,"عجين كريب صيامي (بدون لبن)")</f>
        <v>0</v>
      </c>
      <c r="AO118" s="117" t="n">
        <f aca="false">SUMIFS(الريسبي!$C$2:$C$1800,الريسبي!$A$2:$A$1800,$A118,الريسبي!$B$2:$B$1800,AO$1)</f>
        <v>0</v>
      </c>
      <c r="AP118" s="117" t="n">
        <f aca="false">SUMIFS(الريسبي!$C$2:$C$1800,الريسبي!$A$2:$A$1800,$A118,الريسبي!$B$2:$B$1800,AP$1)</f>
        <v>0</v>
      </c>
      <c r="AQ118" s="117" t="n">
        <f aca="false">SUMIFS(الريسبي!$C$2:$C$1800,الريسبي!$A$2:$A$1800,$A118,الريسبي!$B$2:$B$1800,AQ$1)+0.004166666667*SUMIFS(الريسبي!$C$2:$C$1800,الريسبي!$A$2:$A$1800,$A118,الريسبي!$B$2:$B$1800,"عجين كريب (مصنع بالمطعم)")+0.004166666667*SUMIFS(الريسبي!$C$2:$C$1800,الريسبي!$A$2:$A$1800,$A118,الريسبي!$B$2:$B$1800,"عجين كريب صيامي (بدون لبن)")</f>
        <v>0</v>
      </c>
      <c r="AR118" s="117" t="n">
        <f aca="false">SUMIFS(الريسبي!$C$2:$C$1800,الريسبي!$A$2:$A$1800,$A118,الريسبي!$B$2:$B$1800,AR$1)</f>
        <v>0</v>
      </c>
      <c r="AS118" s="117" t="n">
        <f aca="false">SUMIFS(الريسبي!$C$2:$C$1800,الريسبي!$A$2:$A$1800,$A118,الريسبي!$B$2:$B$1800,AS$1)</f>
        <v>0</v>
      </c>
      <c r="AT118" s="117" t="n">
        <f aca="false">SUMIFS(الريسبي!$C$2:$C$1800,الريسبي!$A$2:$A$1800,$A118,الريسبي!$B$2:$B$1800,AT$1)</f>
        <v>0</v>
      </c>
      <c r="AU118" s="117" t="n">
        <f aca="false">SUMIFS(الريسبي!$C$2:$C$1800,الريسبي!$A$2:$A$1800,$A118,الريسبي!$B$2:$B$1800,AU$1)</f>
        <v>0</v>
      </c>
      <c r="AV118" s="117" t="n">
        <f aca="false">SUMIFS(الريسبي!$C$2:$C$1800,الريسبي!$A$2:$A$1800,$A118,الريسبي!$B$2:$B$1800,AV$1)</f>
        <v>0</v>
      </c>
      <c r="AW118" s="117" t="n">
        <f aca="false">SUMIFS(الريسبي!$C$2:$C$1800,الريسبي!$A$2:$A$1800,$A118,الريسبي!$B$2:$B$1800,AW$1)</f>
        <v>0</v>
      </c>
      <c r="AX118" s="117" t="n">
        <f aca="false">SUMIFS(الريسبي!$C$2:$C$1800,الريسبي!$A$2:$A$1800,$A118,الريسبي!$B$2:$B$1800,AX$1)</f>
        <v>0</v>
      </c>
      <c r="AY118" s="117" t="n">
        <f aca="false">SUMIFS(الريسبي!$C$2:$C$1800,الريسبي!$A$2:$A$1800,$A118,الريسبي!$B$2:$B$1800,AY$1)</f>
        <v>0.05</v>
      </c>
      <c r="AZ118" s="117" t="n">
        <f aca="false">SUMIFS(الريسبي!$C$2:$C$1800,الريسبي!$A$2:$A$1800,$A118,الريسبي!$B$2:$B$1800,AZ$1)</f>
        <v>0</v>
      </c>
      <c r="BA118" s="117" t="n">
        <f aca="false">SUMIFS(الريسبي!$C$2:$C$1800,الريسبي!$A$2:$A$1800,$A118,الريسبي!$B$2:$B$1800,BA$1)</f>
        <v>0.05</v>
      </c>
      <c r="BB118" s="117" t="n">
        <f aca="false">SUMIFS(الريسبي!$C$2:$C$1800,الريسبي!$A$2:$A$1800,$A118,الريسبي!$B$2:$B$1800,BB$1)</f>
        <v>0.05</v>
      </c>
      <c r="BC118" s="117" t="n">
        <f aca="false">SUMIFS(الريسبي!$C$2:$C$1800,الريسبي!$A$2:$A$1800,$A118,الريسبي!$B$2:$B$1800,BC$1)</f>
        <v>0.02</v>
      </c>
      <c r="BD118" s="117" t="n">
        <f aca="false">SUMIFS(الريسبي!$C$2:$C$1800,الريسبي!$A$2:$A$1800,$A118,الريسبي!$B$2:$B$1800,BD$1)</f>
        <v>0.22</v>
      </c>
      <c r="BE118" s="117" t="n">
        <f aca="false">SUMIFS(الريسبي!$C$2:$C$1800,الريسبي!$A$2:$A$1800,$A118,الريسبي!$B$2:$B$1800,BE$1)</f>
        <v>0</v>
      </c>
      <c r="BF118" s="117" t="n">
        <f aca="false">SUMIFS(الريسبي!$C$2:$C$1800,الريسبي!$A$2:$A$1800,$A118,الريسبي!$B$2:$B$1800,BF$1)</f>
        <v>0</v>
      </c>
      <c r="BG118" s="117" t="n">
        <f aca="false">SUMIFS(الريسبي!$C$2:$C$1800,الريسبي!$A$2:$A$1800,$A118,الريسبي!$B$2:$B$1800,BG$1)</f>
        <v>0</v>
      </c>
      <c r="BH118" s="117" t="n">
        <f aca="false">SUMIFS(الريسبي!$C$2:$C$1800,الريسبي!$A$2:$A$1800,$A118,الريسبي!$B$2:$B$1800,BH$1)</f>
        <v>0</v>
      </c>
      <c r="BI118" s="117" t="n">
        <f aca="false">SUMIFS(الريسبي!$C$2:$C$1800,الريسبي!$A$2:$A$1800,$A118,الريسبي!$B$2:$B$1800,BI$1)</f>
        <v>0</v>
      </c>
      <c r="BJ118" s="117" t="n">
        <f aca="false">SUMIFS(الريسبي!$C$2:$C$1800,الريسبي!$A$2:$A$1800,$A118,الريسبي!$B$2:$B$1800,BJ$1)</f>
        <v>0</v>
      </c>
      <c r="BK118" s="117" t="n">
        <f aca="false">SUMIFS(الريسبي!$C$2:$C$1800,الريسبي!$A$2:$A$1800,$A118,الريسبي!$B$2:$B$1800,BK$1)</f>
        <v>0</v>
      </c>
      <c r="BL118" s="117" t="n">
        <f aca="false">SUMIFS(الريسبي!$C$2:$C$1800,الريسبي!$A$2:$A$1800,$A118,الريسبي!$B$2:$B$1800,BL$1)</f>
        <v>0</v>
      </c>
      <c r="BM118" s="117" t="n">
        <f aca="false">SUMIFS(الريسبي!$C$2:$C$1800,الريسبي!$A$2:$A$1800,$A118,الريسبي!$B$2:$B$1800,BM$1)</f>
        <v>0.14</v>
      </c>
      <c r="BN118" s="117" t="n">
        <f aca="false">SUMIFS(الريسبي!$C$2:$C$1800,الريسبي!$A$2:$A$1800,$A118,الريسبي!$B$2:$B$1800,BN$1)</f>
        <v>0.02</v>
      </c>
      <c r="BO118" s="117" t="n">
        <f aca="false">SUMIFS(الريسبي!$C$2:$C$1800,الريسبي!$A$2:$A$1800,$A118,الريسبي!$B$2:$B$1800,BO$1)</f>
        <v>0</v>
      </c>
      <c r="BP118" s="117" t="n">
        <f aca="false">SUMIFS(الريسبي!$C$2:$C$1800,الريسبي!$A$2:$A$1800,$A118,الريسبي!$B$2:$B$1800,BP$1)</f>
        <v>2</v>
      </c>
      <c r="BQ118" s="117" t="n">
        <f aca="false">SUMIFS(الريسبي!$C$2:$C$1800,الريسبي!$A$2:$A$1800,$A118,الريسبي!$B$2:$B$1800,BQ$1)+0.17*SUMIFS(الريسبي!$C$2:$C$1800,الريسبي!$A$2:$A$1800,$A118,الريسبي!$B$2:$B$1800,"كاسترد مصنع (خليط بودر + لبن)")+0.17*SUMIFS(الريسبي!$C$2:$C$1800,الريسبي!$A$2:$A$1800,$A118,الريسبي!$B$2:$B$1800,"كاسترد مصنع صيامي (بدون لبن)")</f>
        <v>0</v>
      </c>
      <c r="BR118" s="117" t="n">
        <f aca="false">SUMIFS(الريسبي!$C$2:$C$1800,الريسبي!$A$2:$A$1800,$A118,الريسبي!$B$2:$B$1800,BR$1)</f>
        <v>1</v>
      </c>
      <c r="BS118" s="117" t="n">
        <f aca="false">SUMIFS(الريسبي!$C$2:$C$1800,الريسبي!$A$2:$A$1800,$A118,الريسبي!$B$2:$B$1800,BS$1)</f>
        <v>0</v>
      </c>
      <c r="BT118" s="117" t="n">
        <f aca="false">SUMIFS(الريسبي!$C$2:$C$1800,الريسبي!$A$2:$A$1800,$A118,الريسبي!$B$2:$B$1800,BT$1)</f>
        <v>0</v>
      </c>
      <c r="BU118" s="117" t="n">
        <f aca="false">SUMIFS(الريسبي!$C$2:$C$1800,الريسبي!$A$2:$A$1800,$A118,الريسبي!$B$2:$B$1800,BU$1)+0.4*SUMIFS(الريسبي!$C$2:$C$1800,الريسبي!$A$2:$A$1800,$A118,الريسبي!$B$2:$B$1800,"كاسترد مصنع (خليط بودر + لبن)")+0.03333333333*SUMIFS(الريسبي!$C$2:$C$1800,الريسبي!$A$2:$A$1800,$A118,الريسبي!$B$2:$B$1800,"عجين كريب (مصنع بالمطعم)")</f>
        <v>0</v>
      </c>
      <c r="BV118" s="117" t="n">
        <f aca="false">SUMIFS(الريسبي!$C$2:$C$1800,الريسبي!$A$2:$A$1800,$A118,الريسبي!$B$2:$B$1800,BV$1)</f>
        <v>0</v>
      </c>
      <c r="BW118" s="117" t="n">
        <f aca="false">SUMIFS(الريسبي!$C$2:$C$1800,الريسبي!$A$2:$A$1800,$A118,الريسبي!$B$2:$B$1800,BW$1)</f>
        <v>0</v>
      </c>
      <c r="BX118" s="117" t="n">
        <f aca="false">SUMIFS(الريسبي!$C$2:$C$1800,الريسبي!$A$2:$A$1800,$A118,الريسبي!$B$2:$B$1800,BX$1)</f>
        <v>0</v>
      </c>
      <c r="BY118" s="117" t="n">
        <f aca="false">SUMIFS(الريسبي!$C$2:$C$1800,الريسبي!$A$2:$A$1800,$A118,الريسبي!$B$2:$B$1800,BY$1)</f>
        <v>0</v>
      </c>
      <c r="BZ118" s="117" t="n">
        <f aca="false">SUMIFS(الريسبي!$C$2:$C$1800,الريسبي!$A$2:$A$1800,$A118,الريسبي!$B$2:$B$1800,BZ$1)</f>
        <v>0</v>
      </c>
      <c r="CA118" s="117" t="n">
        <f aca="false">SUMIFS(الريسبي!$C$2:$C$1800,الريسبي!$A$2:$A$1800,$A118,الريسبي!$B$2:$B$1800,CA$1)</f>
        <v>1</v>
      </c>
      <c r="CB118" s="117" t="n">
        <f aca="false">SUMIFS(الريسبي!$C$2:$C$1800,الريسبي!$A$2:$A$1800,$A118,الريسبي!$B$2:$B$1800,CB$1)</f>
        <v>1</v>
      </c>
      <c r="CC118" s="117" t="n">
        <f aca="false">SUMIFS(الريسبي!$C$2:$C$1800,الريسبي!$A$2:$A$1800,$A118,الريسبي!$B$2:$B$1800,CC$1)</f>
        <v>0</v>
      </c>
      <c r="CD118" s="117" t="n">
        <f aca="false">SUMIFS(الريسبي!$C$2:$C$1800,الريسبي!$A$2:$A$1800,$A118,الريسبي!$B$2:$B$1800,CD$1)</f>
        <v>0</v>
      </c>
      <c r="CE118" s="117" t="n">
        <f aca="false">SUMIFS(الريسبي!$C$2:$C$1800,الريسبي!$A$2:$A$1800,$A118,الريسبي!$B$2:$B$1800,CE$1)</f>
        <v>0</v>
      </c>
      <c r="CF118" s="117" t="n">
        <f aca="false">SUMIFS(الريسبي!$C$2:$C$1800,الريسبي!$A$2:$A$1800,$A118,الريسبي!$B$2:$B$1800,CF$1)</f>
        <v>0</v>
      </c>
      <c r="CG118" s="117" t="n">
        <f aca="false">SUMIFS(الريسبي!$C$2:$C$1800,الريسبي!$A$2:$A$1800,$A118,الريسبي!$B$2:$B$1800,CG$1)</f>
        <v>1</v>
      </c>
      <c r="CH118" s="117" t="n">
        <f aca="false">SUMIFS(الريسبي!$C$2:$C$1800,الريسبي!$A$2:$A$1800,$A118,الريسبي!$B$2:$B$1800,CH$1)</f>
        <v>1</v>
      </c>
      <c r="CI118" s="117" t="n">
        <f aca="false">SUMIFS(الريسبي!$C$2:$C$1800,الريسبي!$A$2:$A$1800,$A118,الريسبي!$B$2:$B$1800,CI$1)</f>
        <v>0</v>
      </c>
      <c r="CJ118" s="117" t="n">
        <f aca="false">SUMIFS(الريسبي!$C$2:$C$1800,الريسبي!$A$2:$A$1800,$A118,الريسبي!$B$2:$B$1800,CJ$1)</f>
        <v>0</v>
      </c>
      <c r="CK118" s="117" t="n">
        <f aca="false">SUMIFS(الريسبي!$C$2:$C$1800,الريسبي!$A$2:$A$1800,$A118,الريسبي!$B$2:$B$1800,CK$1)</f>
        <v>0</v>
      </c>
      <c r="CL118" s="117" t="n">
        <f aca="false">SUMIFS(الريسبي!$C$2:$C$1800,الريسبي!$A$2:$A$1800,$A118,الريسبي!$B$2:$B$1800,CL$1)</f>
        <v>0</v>
      </c>
    </row>
    <row r="119" customFormat="false" ht="15" hidden="false" customHeight="false" outlineLevel="0" collapsed="false">
      <c r="A119" s="116" t="str">
        <f aca="false">المنيو!B119</f>
        <v>مكرونة صوص ابيض خضروات صيامي</v>
      </c>
      <c r="B119" s="117" t="n">
        <f aca="false">SUMIFS(الريسبي!$C$2:$C$1800,الريسبي!$A$2:$A$1800,$A119,الريسبي!$B$2:$B$1800,B$1)</f>
        <v>1</v>
      </c>
      <c r="C119" s="117" t="n">
        <f aca="false">SUMIFS(الريسبي!$C$2:$C$1800,الريسبي!$A$2:$A$1800,$A119,الريسبي!$B$2:$B$1800,C$1)</f>
        <v>0</v>
      </c>
      <c r="D119" s="117" t="n">
        <f aca="false">SUMIFS(الريسبي!$C$2:$C$1800,الريسبي!$A$2:$A$1800,$A119,الريسبي!$B$2:$B$1800,D$1)</f>
        <v>0</v>
      </c>
      <c r="E119" s="117" t="n">
        <f aca="false">SUMIFS(الريسبي!$C$2:$C$1800,الريسبي!$A$2:$A$1800,$A119,الريسبي!$B$2:$B$1800,E$1)</f>
        <v>1</v>
      </c>
      <c r="F119" s="117" t="n">
        <f aca="false">SUMIFS(الريسبي!$C$2:$C$1800,الريسبي!$A$2:$A$1800,$A119,الريسبي!$B$2:$B$1800,F$1)</f>
        <v>0</v>
      </c>
      <c r="G119" s="117" t="n">
        <f aca="false">SUMIFS(الريسبي!$C$2:$C$1800,الريسبي!$A$2:$A$1800,$A119,الريسبي!$B$2:$B$1800,G$1)</f>
        <v>0</v>
      </c>
      <c r="H119" s="117" t="n">
        <f aca="false">SUMIFS(الريسبي!$C$2:$C$1800,الريسبي!$A$2:$A$1800,$A119,الريسبي!$B$2:$B$1800,H$1)</f>
        <v>0</v>
      </c>
      <c r="I119" s="117" t="n">
        <f aca="false">SUMIFS(الريسبي!$C$2:$C$1800,الريسبي!$A$2:$A$1800,$A119,الريسبي!$B$2:$B$1800,I$1)</f>
        <v>0</v>
      </c>
      <c r="J119" s="117" t="n">
        <f aca="false">SUMIFS(الريسبي!$C$2:$C$1800,الريسبي!$A$2:$A$1800,$A119,الريسبي!$B$2:$B$1800,J$1)</f>
        <v>0</v>
      </c>
      <c r="K119" s="117" t="n">
        <f aca="false">SUMIFS(الريسبي!$C$2:$C$1800,الريسبي!$A$2:$A$1800,$A119,الريسبي!$B$2:$B$1800,K$1)</f>
        <v>0</v>
      </c>
      <c r="L119" s="117" t="n">
        <f aca="false">SUMIFS(الريسبي!$C$2:$C$1800,الريسبي!$A$2:$A$1800,$A119,الريسبي!$B$2:$B$1800,L$1)</f>
        <v>0</v>
      </c>
      <c r="M119" s="117" t="n">
        <f aca="false">SUMIFS(الريسبي!$C$2:$C$1800,الريسبي!$A$2:$A$1800,$A119,الريسبي!$B$2:$B$1800,M$1)</f>
        <v>0</v>
      </c>
      <c r="N119" s="117" t="n">
        <f aca="false">SUMIFS(الريسبي!$C$2:$C$1800,الريسبي!$A$2:$A$1800,$A119,الريسبي!$B$2:$B$1800,N$1)</f>
        <v>0</v>
      </c>
      <c r="O119" s="117" t="n">
        <f aca="false">SUMIFS(الريسبي!$C$2:$C$1800,الريسبي!$A$2:$A$1800,$A119,الريسبي!$B$2:$B$1800,O$1)</f>
        <v>0</v>
      </c>
      <c r="P119" s="117" t="n">
        <f aca="false">SUMIFS(الريسبي!$C$2:$C$1800,الريسبي!$A$2:$A$1800,$A119,الريسبي!$B$2:$B$1800,P$1)</f>
        <v>0</v>
      </c>
      <c r="Q119" s="117" t="n">
        <f aca="false">SUMIFS(الريسبي!$C$2:$C$1800,الريسبي!$A$2:$A$1800,$A119,الريسبي!$B$2:$B$1800,Q$1)</f>
        <v>0</v>
      </c>
      <c r="R119" s="117" t="n">
        <f aca="false">SUMIFS(الريسبي!$C$2:$C$1800,الريسبي!$A$2:$A$1800,$A119,الريسبي!$B$2:$B$1800,R$1)</f>
        <v>0</v>
      </c>
      <c r="S119" s="117" t="n">
        <f aca="false">SUMIFS(الريسبي!$C$2:$C$1800,الريسبي!$A$2:$A$1800,$A119,الريسبي!$B$2:$B$1800,S$1)</f>
        <v>0</v>
      </c>
      <c r="T119" s="117" t="n">
        <f aca="false">SUMIFS(الريسبي!$C$2:$C$1800,الريسبي!$A$2:$A$1800,$A119,الريسبي!$B$2:$B$1800,T$1)</f>
        <v>0</v>
      </c>
      <c r="U119" s="117" t="n">
        <f aca="false">SUMIFS(الريسبي!$C$2:$C$1800,الريسبي!$A$2:$A$1800,$A119,الريسبي!$B$2:$B$1800,U$1)</f>
        <v>0</v>
      </c>
      <c r="V119" s="117" t="n">
        <f aca="false">SUMIFS(الريسبي!$C$2:$C$1800,الريسبي!$A$2:$A$1800,$A119,الريسبي!$B$2:$B$1800,V$1)</f>
        <v>0</v>
      </c>
      <c r="W119" s="117" t="n">
        <f aca="false">SUMIFS(الريسبي!$C$2:$C$1800,الريسبي!$A$2:$A$1800,$A119,الريسبي!$B$2:$B$1800,W$1)</f>
        <v>0</v>
      </c>
      <c r="X119" s="117" t="n">
        <f aca="false">SUMIFS(الريسبي!$C$2:$C$1800,الريسبي!$A$2:$A$1800,$A119,الريسبي!$B$2:$B$1800,X$1)</f>
        <v>1</v>
      </c>
      <c r="Y119" s="117" t="n">
        <f aca="false">SUMIFS(الريسبي!$C$2:$C$1800,الريسبي!$A$2:$A$1800,$A119,الريسبي!$B$2:$B$1800,Y$1)</f>
        <v>0</v>
      </c>
      <c r="Z119" s="117" t="n">
        <f aca="false">SUMIFS(الريسبي!$C$2:$C$1800,الريسبي!$A$2:$A$1800,$A119,الريسبي!$B$2:$B$1800,Z$1)</f>
        <v>0</v>
      </c>
      <c r="AA119" s="117" t="n">
        <f aca="false">SUMIFS(الريسبي!$C$2:$C$1800,الريسبي!$A$2:$A$1800,$A119,الريسبي!$B$2:$B$1800,AA$1)</f>
        <v>0</v>
      </c>
      <c r="AB119" s="117" t="n">
        <f aca="false">SUMIFS(الريسبي!$C$2:$C$1800,الريسبي!$A$2:$A$1800,$A119,الريسبي!$B$2:$B$1800,AB$1)</f>
        <v>0</v>
      </c>
      <c r="AC119" s="117" t="n">
        <f aca="false">SUMIFS(الريسبي!$C$2:$C$1800,الريسبي!$A$2:$A$1800,$A119,الريسبي!$B$2:$B$1800,AC$1)</f>
        <v>0</v>
      </c>
      <c r="AD119" s="117" t="n">
        <f aca="false">SUMIFS(الريسبي!$C$2:$C$1800,الريسبي!$A$2:$A$1800,$A119,الريسبي!$B$2:$B$1800,AD$1)</f>
        <v>0.2</v>
      </c>
      <c r="AE119" s="117" t="n">
        <f aca="false">SUMIFS(الريسبي!$C$2:$C$1800,الريسبي!$A$2:$A$1800,$A119,الريسبي!$B$2:$B$1800,AE$1)</f>
        <v>0</v>
      </c>
      <c r="AF119" s="117" t="n">
        <f aca="false">SUMIFS(الريسبي!$C$2:$C$1800,الريسبي!$A$2:$A$1800,$A119,الريسبي!$B$2:$B$1800,AF$1)</f>
        <v>0</v>
      </c>
      <c r="AG119" s="117" t="n">
        <f aca="false">SUMIFS(الريسبي!$C$2:$C$1800,الريسبي!$A$2:$A$1800,$A119,الريسبي!$B$2:$B$1800,AG$1)</f>
        <v>0</v>
      </c>
      <c r="AH119" s="117" t="n">
        <f aca="false">SUMIFS(الريسبي!$C$2:$C$1800,الريسبي!$A$2:$A$1800,$A119,الريسبي!$B$2:$B$1800,AH$1)</f>
        <v>0</v>
      </c>
      <c r="AI119" s="117" t="n">
        <f aca="false">SUMIFS(الريسبي!$C$2:$C$1800,الريسبي!$A$2:$A$1800,$A119,الريسبي!$B$2:$B$1800,AI$1)</f>
        <v>0</v>
      </c>
      <c r="AJ119" s="117" t="n">
        <f aca="false">SUMIFS(الريسبي!$C$2:$C$1800,الريسبي!$A$2:$A$1800,$A119,الريسبي!$B$2:$B$1800,AJ$1)</f>
        <v>2</v>
      </c>
      <c r="AK119" s="117" t="n">
        <f aca="false">SUMIFS(الريسبي!$C$2:$C$1800,الريسبي!$A$2:$A$1800,$A119,الريسبي!$B$2:$B$1800,AK$1)</f>
        <v>0</v>
      </c>
      <c r="AL119" s="117" t="n">
        <f aca="false">SUMIFS(الريسبي!$C$2:$C$1800,الريسبي!$A$2:$A$1800,$A119,الريسبي!$B$2:$B$1800,AL$1)</f>
        <v>0</v>
      </c>
      <c r="AM119" s="117" t="n">
        <f aca="false">SUMIFS(الريسبي!$C$2:$C$1800,الريسبي!$A$2:$A$1800,$A119,الريسبي!$B$2:$B$1800,AM$1)+0.08333333333*SUMIFS(الريسبي!$C$2:$C$1800,الريسبي!$A$2:$A$1800,$A119,الريسبي!$B$2:$B$1800,"عجين كريب (مصنع بالمطعم)")+0.08333333333*SUMIFS(الريسبي!$C$2:$C$1800,الريسبي!$A$2:$A$1800,$A119,الريسبي!$B$2:$B$1800,"عجين كريب صيامي (بدون لبن)")</f>
        <v>0</v>
      </c>
      <c r="AN119" s="117" t="n">
        <f aca="false">SUMIFS(الريسبي!$C$2:$C$1800,الريسبي!$A$2:$A$1800,$A119,الريسبي!$B$2:$B$1800,AN$1)+0.004166666667*SUMIFS(الريسبي!$C$2:$C$1800,الريسبي!$A$2:$A$1800,$A119,الريسبي!$B$2:$B$1800,"عجين كريب (مصنع بالمطعم)")+0.004166666667*SUMIFS(الريسبي!$C$2:$C$1800,الريسبي!$A$2:$A$1800,$A119,الريسبي!$B$2:$B$1800,"عجين كريب صيامي (بدون لبن)")</f>
        <v>0</v>
      </c>
      <c r="AO119" s="117" t="n">
        <f aca="false">SUMIFS(الريسبي!$C$2:$C$1800,الريسبي!$A$2:$A$1800,$A119,الريسبي!$B$2:$B$1800,AO$1)</f>
        <v>0</v>
      </c>
      <c r="AP119" s="117" t="n">
        <f aca="false">SUMIFS(الريسبي!$C$2:$C$1800,الريسبي!$A$2:$A$1800,$A119,الريسبي!$B$2:$B$1800,AP$1)</f>
        <v>0</v>
      </c>
      <c r="AQ119" s="117" t="n">
        <f aca="false">SUMIFS(الريسبي!$C$2:$C$1800,الريسبي!$A$2:$A$1800,$A119,الريسبي!$B$2:$B$1800,AQ$1)+0.004166666667*SUMIFS(الريسبي!$C$2:$C$1800,الريسبي!$A$2:$A$1800,$A119,الريسبي!$B$2:$B$1800,"عجين كريب (مصنع بالمطعم)")+0.004166666667*SUMIFS(الريسبي!$C$2:$C$1800,الريسبي!$A$2:$A$1800,$A119,الريسبي!$B$2:$B$1800,"عجين كريب صيامي (بدون لبن)")</f>
        <v>0</v>
      </c>
      <c r="AR119" s="117" t="n">
        <f aca="false">SUMIFS(الريسبي!$C$2:$C$1800,الريسبي!$A$2:$A$1800,$A119,الريسبي!$B$2:$B$1800,AR$1)</f>
        <v>0</v>
      </c>
      <c r="AS119" s="117" t="n">
        <f aca="false">SUMIFS(الريسبي!$C$2:$C$1800,الريسبي!$A$2:$A$1800,$A119,الريسبي!$B$2:$B$1800,AS$1)</f>
        <v>0</v>
      </c>
      <c r="AT119" s="117" t="n">
        <f aca="false">SUMIFS(الريسبي!$C$2:$C$1800,الريسبي!$A$2:$A$1800,$A119,الريسبي!$B$2:$B$1800,AT$1)</f>
        <v>0</v>
      </c>
      <c r="AU119" s="117" t="n">
        <f aca="false">SUMIFS(الريسبي!$C$2:$C$1800,الريسبي!$A$2:$A$1800,$A119,الريسبي!$B$2:$B$1800,AU$1)</f>
        <v>1</v>
      </c>
      <c r="AV119" s="117" t="n">
        <f aca="false">SUMIFS(الريسبي!$C$2:$C$1800,الريسبي!$A$2:$A$1800,$A119,الريسبي!$B$2:$B$1800,AV$1)</f>
        <v>0</v>
      </c>
      <c r="AW119" s="117" t="n">
        <f aca="false">SUMIFS(الريسبي!$C$2:$C$1800,الريسبي!$A$2:$A$1800,$A119,الريسبي!$B$2:$B$1800,AW$1)</f>
        <v>0</v>
      </c>
      <c r="AX119" s="117" t="n">
        <f aca="false">SUMIFS(الريسبي!$C$2:$C$1800,الريسبي!$A$2:$A$1800,$A119,الريسبي!$B$2:$B$1800,AX$1)</f>
        <v>0</v>
      </c>
      <c r="AY119" s="117" t="n">
        <f aca="false">SUMIFS(الريسبي!$C$2:$C$1800,الريسبي!$A$2:$A$1800,$A119,الريسبي!$B$2:$B$1800,AY$1)</f>
        <v>0</v>
      </c>
      <c r="AZ119" s="117" t="n">
        <f aca="false">SUMIFS(الريسبي!$C$2:$C$1800,الريسبي!$A$2:$A$1800,$A119,الريسبي!$B$2:$B$1800,AZ$1)</f>
        <v>0</v>
      </c>
      <c r="BA119" s="117" t="n">
        <f aca="false">SUMIFS(الريسبي!$C$2:$C$1800,الريسبي!$A$2:$A$1800,$A119,الريسبي!$B$2:$B$1800,BA$1)</f>
        <v>0</v>
      </c>
      <c r="BB119" s="117" t="n">
        <f aca="false">SUMIFS(الريسبي!$C$2:$C$1800,الريسبي!$A$2:$A$1800,$A119,الريسبي!$B$2:$B$1800,BB$1)</f>
        <v>0</v>
      </c>
      <c r="BC119" s="117" t="n">
        <f aca="false">SUMIFS(الريسبي!$C$2:$C$1800,الريسبي!$A$2:$A$1800,$A119,الريسبي!$B$2:$B$1800,BC$1)</f>
        <v>0</v>
      </c>
      <c r="BD119" s="117" t="n">
        <f aca="false">SUMIFS(الريسبي!$C$2:$C$1800,الريسبي!$A$2:$A$1800,$A119,الريسبي!$B$2:$B$1800,BD$1)</f>
        <v>0</v>
      </c>
      <c r="BE119" s="117" t="n">
        <f aca="false">SUMIFS(الريسبي!$C$2:$C$1800,الريسبي!$A$2:$A$1800,$A119,الريسبي!$B$2:$B$1800,BE$1)</f>
        <v>0</v>
      </c>
      <c r="BF119" s="117" t="n">
        <f aca="false">SUMIFS(الريسبي!$C$2:$C$1800,الريسبي!$A$2:$A$1800,$A119,الريسبي!$B$2:$B$1800,BF$1)</f>
        <v>0</v>
      </c>
      <c r="BG119" s="117" t="n">
        <f aca="false">SUMIFS(الريسبي!$C$2:$C$1800,الريسبي!$A$2:$A$1800,$A119,الريسبي!$B$2:$B$1800,BG$1)</f>
        <v>0</v>
      </c>
      <c r="BH119" s="117" t="n">
        <f aca="false">SUMIFS(الريسبي!$C$2:$C$1800,الريسبي!$A$2:$A$1800,$A119,الريسبي!$B$2:$B$1800,BH$1)</f>
        <v>0</v>
      </c>
      <c r="BI119" s="117" t="n">
        <f aca="false">SUMIFS(الريسبي!$C$2:$C$1800,الريسبي!$A$2:$A$1800,$A119,الريسبي!$B$2:$B$1800,BI$1)</f>
        <v>0</v>
      </c>
      <c r="BJ119" s="117" t="n">
        <f aca="false">SUMIFS(الريسبي!$C$2:$C$1800,الريسبي!$A$2:$A$1800,$A119,الريسبي!$B$2:$B$1800,BJ$1)</f>
        <v>0</v>
      </c>
      <c r="BK119" s="117" t="n">
        <f aca="false">SUMIFS(الريسبي!$C$2:$C$1800,الريسبي!$A$2:$A$1800,$A119,الريسبي!$B$2:$B$1800,BK$1)</f>
        <v>0</v>
      </c>
      <c r="BL119" s="117" t="n">
        <f aca="false">SUMIFS(الريسبي!$C$2:$C$1800,الريسبي!$A$2:$A$1800,$A119,الريسبي!$B$2:$B$1800,BL$1)</f>
        <v>0</v>
      </c>
      <c r="BM119" s="117" t="n">
        <f aca="false">SUMIFS(الريسبي!$C$2:$C$1800,الريسبي!$A$2:$A$1800,$A119,الريسبي!$B$2:$B$1800,BM$1)</f>
        <v>0</v>
      </c>
      <c r="BN119" s="117" t="n">
        <f aca="false">SUMIFS(الريسبي!$C$2:$C$1800,الريسبي!$A$2:$A$1800,$A119,الريسبي!$B$2:$B$1800,BN$1)</f>
        <v>0</v>
      </c>
      <c r="BO119" s="117" t="n">
        <f aca="false">SUMIFS(الريسبي!$C$2:$C$1800,الريسبي!$A$2:$A$1800,$A119,الريسبي!$B$2:$B$1800,BO$1)</f>
        <v>0</v>
      </c>
      <c r="BP119" s="117" t="n">
        <f aca="false">SUMIFS(الريسبي!$C$2:$C$1800,الريسبي!$A$2:$A$1800,$A119,الريسبي!$B$2:$B$1800,BP$1)</f>
        <v>2</v>
      </c>
      <c r="BQ119" s="117" t="n">
        <f aca="false">SUMIFS(الريسبي!$C$2:$C$1800,الريسبي!$A$2:$A$1800,$A119,الريسبي!$B$2:$B$1800,BQ$1)+0.17*SUMIFS(الريسبي!$C$2:$C$1800,الريسبي!$A$2:$A$1800,$A119,الريسبي!$B$2:$B$1800,"كاسترد مصنع (خليط بودر + لبن)")+0.17*SUMIFS(الريسبي!$C$2:$C$1800,الريسبي!$A$2:$A$1800,$A119,الريسبي!$B$2:$B$1800,"كاسترد مصنع صيامي (بدون لبن)")</f>
        <v>0</v>
      </c>
      <c r="BR119" s="117" t="n">
        <f aca="false">SUMIFS(الريسبي!$C$2:$C$1800,الريسبي!$A$2:$A$1800,$A119,الريسبي!$B$2:$B$1800,BR$1)</f>
        <v>0</v>
      </c>
      <c r="BS119" s="117" t="n">
        <f aca="false">SUMIFS(الريسبي!$C$2:$C$1800,الريسبي!$A$2:$A$1800,$A119,الريسبي!$B$2:$B$1800,BS$1)</f>
        <v>0</v>
      </c>
      <c r="BT119" s="117" t="n">
        <f aca="false">SUMIFS(الريسبي!$C$2:$C$1800,الريسبي!$A$2:$A$1800,$A119,الريسبي!$B$2:$B$1800,BT$1)</f>
        <v>0</v>
      </c>
      <c r="BU119" s="117" t="n">
        <f aca="false">SUMIFS(الريسبي!$C$2:$C$1800,الريسبي!$A$2:$A$1800,$A119,الريسبي!$B$2:$B$1800,BU$1)+0.4*SUMIFS(الريسبي!$C$2:$C$1800,الريسبي!$A$2:$A$1800,$A119,الريسبي!$B$2:$B$1800,"كاسترد مصنع (خليط بودر + لبن)")+0.03333333333*SUMIFS(الريسبي!$C$2:$C$1800,الريسبي!$A$2:$A$1800,$A119,الريسبي!$B$2:$B$1800,"عجين كريب (مصنع بالمطعم)")</f>
        <v>0</v>
      </c>
      <c r="BV119" s="117" t="n">
        <f aca="false">SUMIFS(الريسبي!$C$2:$C$1800,الريسبي!$A$2:$A$1800,$A119,الريسبي!$B$2:$B$1800,BV$1)</f>
        <v>0</v>
      </c>
      <c r="BW119" s="117" t="n">
        <f aca="false">SUMIFS(الريسبي!$C$2:$C$1800,الريسبي!$A$2:$A$1800,$A119,الريسبي!$B$2:$B$1800,BW$1)</f>
        <v>0</v>
      </c>
      <c r="BX119" s="117" t="n">
        <f aca="false">SUMIFS(الريسبي!$C$2:$C$1800,الريسبي!$A$2:$A$1800,$A119,الريسبي!$B$2:$B$1800,BX$1)</f>
        <v>0</v>
      </c>
      <c r="BY119" s="117" t="n">
        <f aca="false">SUMIFS(الريسبي!$C$2:$C$1800,الريسبي!$A$2:$A$1800,$A119,الريسبي!$B$2:$B$1800,BY$1)</f>
        <v>0.15</v>
      </c>
      <c r="BZ119" s="117" t="n">
        <f aca="false">SUMIFS(الريسبي!$C$2:$C$1800,الريسبي!$A$2:$A$1800,$A119,الريسبي!$B$2:$B$1800,BZ$1)</f>
        <v>0</v>
      </c>
      <c r="CA119" s="117" t="n">
        <f aca="false">SUMIFS(الريسبي!$C$2:$C$1800,الريسبي!$A$2:$A$1800,$A119,الريسبي!$B$2:$B$1800,CA$1)</f>
        <v>0</v>
      </c>
      <c r="CB119" s="117" t="n">
        <f aca="false">SUMIFS(الريسبي!$C$2:$C$1800,الريسبي!$A$2:$A$1800,$A119,الريسبي!$B$2:$B$1800,CB$1)</f>
        <v>0</v>
      </c>
      <c r="CC119" s="117" t="n">
        <f aca="false">SUMIFS(الريسبي!$C$2:$C$1800,الريسبي!$A$2:$A$1800,$A119,الريسبي!$B$2:$B$1800,CC$1)</f>
        <v>1</v>
      </c>
      <c r="CD119" s="117" t="n">
        <f aca="false">SUMIFS(الريسبي!$C$2:$C$1800,الريسبي!$A$2:$A$1800,$A119,الريسبي!$B$2:$B$1800,CD$1)</f>
        <v>0</v>
      </c>
      <c r="CE119" s="117" t="n">
        <f aca="false">SUMIFS(الريسبي!$C$2:$C$1800,الريسبي!$A$2:$A$1800,$A119,الريسبي!$B$2:$B$1800,CE$1)</f>
        <v>0</v>
      </c>
      <c r="CF119" s="117" t="n">
        <f aca="false">SUMIFS(الريسبي!$C$2:$C$1800,الريسبي!$A$2:$A$1800,$A119,الريسبي!$B$2:$B$1800,CF$1)</f>
        <v>0</v>
      </c>
      <c r="CG119" s="117" t="n">
        <f aca="false">SUMIFS(الريسبي!$C$2:$C$1800,الريسبي!$A$2:$A$1800,$A119,الريسبي!$B$2:$B$1800,CG$1)</f>
        <v>0</v>
      </c>
      <c r="CH119" s="117" t="n">
        <f aca="false">SUMIFS(الريسبي!$C$2:$C$1800,الريسبي!$A$2:$A$1800,$A119,الريسبي!$B$2:$B$1800,CH$1)</f>
        <v>0</v>
      </c>
      <c r="CI119" s="117" t="n">
        <f aca="false">SUMIFS(الريسبي!$C$2:$C$1800,الريسبي!$A$2:$A$1800,$A119,الريسبي!$B$2:$B$1800,CI$1)</f>
        <v>0</v>
      </c>
      <c r="CJ119" s="117" t="n">
        <f aca="false">SUMIFS(الريسبي!$C$2:$C$1800,الريسبي!$A$2:$A$1800,$A119,الريسبي!$B$2:$B$1800,CJ$1)</f>
        <v>0</v>
      </c>
      <c r="CK119" s="117" t="n">
        <f aca="false">SUMIFS(الريسبي!$C$2:$C$1800,الريسبي!$A$2:$A$1800,$A119,الريسبي!$B$2:$B$1800,CK$1)</f>
        <v>0</v>
      </c>
      <c r="CL119" s="117" t="n">
        <f aca="false">SUMIFS(الريسبي!$C$2:$C$1800,الريسبي!$A$2:$A$1800,$A119,الريسبي!$B$2:$B$1800,CL$1)</f>
        <v>0</v>
      </c>
    </row>
    <row r="120" customFormat="false" ht="15" hidden="false" customHeight="false" outlineLevel="0" collapsed="false">
      <c r="A120" s="116" t="str">
        <f aca="false">المنيو!B120</f>
        <v>مكرونة مشروم صيامي</v>
      </c>
      <c r="B120" s="117" t="n">
        <f aca="false">SUMIFS(الريسبي!$C$2:$C$1800,الريسبي!$A$2:$A$1800,$A120,الريسبي!$B$2:$B$1800,B$1)</f>
        <v>1</v>
      </c>
      <c r="C120" s="117" t="n">
        <f aca="false">SUMIFS(الريسبي!$C$2:$C$1800,الريسبي!$A$2:$A$1800,$A120,الريسبي!$B$2:$B$1800,C$1)</f>
        <v>0</v>
      </c>
      <c r="D120" s="117" t="n">
        <f aca="false">SUMIFS(الريسبي!$C$2:$C$1800,الريسبي!$A$2:$A$1800,$A120,الريسبي!$B$2:$B$1800,D$1)</f>
        <v>0</v>
      </c>
      <c r="E120" s="117" t="n">
        <f aca="false">SUMIFS(الريسبي!$C$2:$C$1800,الريسبي!$A$2:$A$1800,$A120,الريسبي!$B$2:$B$1800,E$1)</f>
        <v>1</v>
      </c>
      <c r="F120" s="117" t="n">
        <f aca="false">SUMIFS(الريسبي!$C$2:$C$1800,الريسبي!$A$2:$A$1800,$A120,الريسبي!$B$2:$B$1800,F$1)</f>
        <v>0</v>
      </c>
      <c r="G120" s="117" t="n">
        <f aca="false">SUMIFS(الريسبي!$C$2:$C$1800,الريسبي!$A$2:$A$1800,$A120,الريسبي!$B$2:$B$1800,G$1)</f>
        <v>0</v>
      </c>
      <c r="H120" s="117" t="n">
        <f aca="false">SUMIFS(الريسبي!$C$2:$C$1800,الريسبي!$A$2:$A$1800,$A120,الريسبي!$B$2:$B$1800,H$1)</f>
        <v>0</v>
      </c>
      <c r="I120" s="117" t="n">
        <f aca="false">SUMIFS(الريسبي!$C$2:$C$1800,الريسبي!$A$2:$A$1800,$A120,الريسبي!$B$2:$B$1800,I$1)</f>
        <v>0</v>
      </c>
      <c r="J120" s="117" t="n">
        <f aca="false">SUMIFS(الريسبي!$C$2:$C$1800,الريسبي!$A$2:$A$1800,$A120,الريسبي!$B$2:$B$1800,J$1)</f>
        <v>0</v>
      </c>
      <c r="K120" s="117" t="n">
        <f aca="false">SUMIFS(الريسبي!$C$2:$C$1800,الريسبي!$A$2:$A$1800,$A120,الريسبي!$B$2:$B$1800,K$1)</f>
        <v>0</v>
      </c>
      <c r="L120" s="117" t="n">
        <f aca="false">SUMIFS(الريسبي!$C$2:$C$1800,الريسبي!$A$2:$A$1800,$A120,الريسبي!$B$2:$B$1800,L$1)</f>
        <v>0</v>
      </c>
      <c r="M120" s="117" t="n">
        <f aca="false">SUMIFS(الريسبي!$C$2:$C$1800,الريسبي!$A$2:$A$1800,$A120,الريسبي!$B$2:$B$1800,M$1)</f>
        <v>0</v>
      </c>
      <c r="N120" s="117" t="n">
        <f aca="false">SUMIFS(الريسبي!$C$2:$C$1800,الريسبي!$A$2:$A$1800,$A120,الريسبي!$B$2:$B$1800,N$1)</f>
        <v>0</v>
      </c>
      <c r="O120" s="117" t="n">
        <f aca="false">SUMIFS(الريسبي!$C$2:$C$1800,الريسبي!$A$2:$A$1800,$A120,الريسبي!$B$2:$B$1800,O$1)</f>
        <v>0</v>
      </c>
      <c r="P120" s="117" t="n">
        <f aca="false">SUMIFS(الريسبي!$C$2:$C$1800,الريسبي!$A$2:$A$1800,$A120,الريسبي!$B$2:$B$1800,P$1)</f>
        <v>0</v>
      </c>
      <c r="Q120" s="117" t="n">
        <f aca="false">SUMIFS(الريسبي!$C$2:$C$1800,الريسبي!$A$2:$A$1800,$A120,الريسبي!$B$2:$B$1800,Q$1)</f>
        <v>0</v>
      </c>
      <c r="R120" s="117" t="n">
        <f aca="false">SUMIFS(الريسبي!$C$2:$C$1800,الريسبي!$A$2:$A$1800,$A120,الريسبي!$B$2:$B$1800,R$1)</f>
        <v>0</v>
      </c>
      <c r="S120" s="117" t="n">
        <f aca="false">SUMIFS(الريسبي!$C$2:$C$1800,الريسبي!$A$2:$A$1800,$A120,الريسبي!$B$2:$B$1800,S$1)</f>
        <v>0</v>
      </c>
      <c r="T120" s="117" t="n">
        <f aca="false">SUMIFS(الريسبي!$C$2:$C$1800,الريسبي!$A$2:$A$1800,$A120,الريسبي!$B$2:$B$1800,T$1)</f>
        <v>0</v>
      </c>
      <c r="U120" s="117" t="n">
        <f aca="false">SUMIFS(الريسبي!$C$2:$C$1800,الريسبي!$A$2:$A$1800,$A120,الريسبي!$B$2:$B$1800,U$1)</f>
        <v>0</v>
      </c>
      <c r="V120" s="117" t="n">
        <f aca="false">SUMIFS(الريسبي!$C$2:$C$1800,الريسبي!$A$2:$A$1800,$A120,الريسبي!$B$2:$B$1800,V$1)</f>
        <v>0</v>
      </c>
      <c r="W120" s="117" t="n">
        <f aca="false">SUMIFS(الريسبي!$C$2:$C$1800,الريسبي!$A$2:$A$1800,$A120,الريسبي!$B$2:$B$1800,W$1)</f>
        <v>0</v>
      </c>
      <c r="X120" s="117" t="n">
        <f aca="false">SUMIFS(الريسبي!$C$2:$C$1800,الريسبي!$A$2:$A$1800,$A120,الريسبي!$B$2:$B$1800,X$1)</f>
        <v>1</v>
      </c>
      <c r="Y120" s="117" t="n">
        <f aca="false">SUMIFS(الريسبي!$C$2:$C$1800,الريسبي!$A$2:$A$1800,$A120,الريسبي!$B$2:$B$1800,Y$1)</f>
        <v>0</v>
      </c>
      <c r="Z120" s="117" t="n">
        <f aca="false">SUMIFS(الريسبي!$C$2:$C$1800,الريسبي!$A$2:$A$1800,$A120,الريسبي!$B$2:$B$1800,Z$1)</f>
        <v>0</v>
      </c>
      <c r="AA120" s="117" t="n">
        <f aca="false">SUMIFS(الريسبي!$C$2:$C$1800,الريسبي!$A$2:$A$1800,$A120,الريسبي!$B$2:$B$1800,AA$1)</f>
        <v>0</v>
      </c>
      <c r="AB120" s="117" t="n">
        <f aca="false">SUMIFS(الريسبي!$C$2:$C$1800,الريسبي!$A$2:$A$1800,$A120,الريسبي!$B$2:$B$1800,AB$1)</f>
        <v>0</v>
      </c>
      <c r="AC120" s="117" t="n">
        <f aca="false">SUMIFS(الريسبي!$C$2:$C$1800,الريسبي!$A$2:$A$1800,$A120,الريسبي!$B$2:$B$1800,AC$1)</f>
        <v>0</v>
      </c>
      <c r="AD120" s="117" t="n">
        <f aca="false">SUMIFS(الريسبي!$C$2:$C$1800,الريسبي!$A$2:$A$1800,$A120,الريسبي!$B$2:$B$1800,AD$1)</f>
        <v>0.2</v>
      </c>
      <c r="AE120" s="117" t="n">
        <f aca="false">SUMIFS(الريسبي!$C$2:$C$1800,الريسبي!$A$2:$A$1800,$A120,الريسبي!$B$2:$B$1800,AE$1)</f>
        <v>0</v>
      </c>
      <c r="AF120" s="117" t="n">
        <f aca="false">SUMIFS(الريسبي!$C$2:$C$1800,الريسبي!$A$2:$A$1800,$A120,الريسبي!$B$2:$B$1800,AF$1)</f>
        <v>0</v>
      </c>
      <c r="AG120" s="117" t="n">
        <f aca="false">SUMIFS(الريسبي!$C$2:$C$1800,الريسبي!$A$2:$A$1800,$A120,الريسبي!$B$2:$B$1800,AG$1)</f>
        <v>0</v>
      </c>
      <c r="AH120" s="117" t="n">
        <f aca="false">SUMIFS(الريسبي!$C$2:$C$1800,الريسبي!$A$2:$A$1800,$A120,الريسبي!$B$2:$B$1800,AH$1)</f>
        <v>0</v>
      </c>
      <c r="AI120" s="117" t="n">
        <f aca="false">SUMIFS(الريسبي!$C$2:$C$1800,الريسبي!$A$2:$A$1800,$A120,الريسبي!$B$2:$B$1800,AI$1)</f>
        <v>0</v>
      </c>
      <c r="AJ120" s="117" t="n">
        <f aca="false">SUMIFS(الريسبي!$C$2:$C$1800,الريسبي!$A$2:$A$1800,$A120,الريسبي!$B$2:$B$1800,AJ$1)</f>
        <v>2</v>
      </c>
      <c r="AK120" s="117" t="n">
        <f aca="false">SUMIFS(الريسبي!$C$2:$C$1800,الريسبي!$A$2:$A$1800,$A120,الريسبي!$B$2:$B$1800,AK$1)</f>
        <v>0</v>
      </c>
      <c r="AL120" s="117" t="n">
        <f aca="false">SUMIFS(الريسبي!$C$2:$C$1800,الريسبي!$A$2:$A$1800,$A120,الريسبي!$B$2:$B$1800,AL$1)</f>
        <v>0</v>
      </c>
      <c r="AM120" s="117" t="n">
        <f aca="false">SUMIFS(الريسبي!$C$2:$C$1800,الريسبي!$A$2:$A$1800,$A120,الريسبي!$B$2:$B$1800,AM$1)+0.08333333333*SUMIFS(الريسبي!$C$2:$C$1800,الريسبي!$A$2:$A$1800,$A120,الريسبي!$B$2:$B$1800,"عجين كريب (مصنع بالمطعم)")+0.08333333333*SUMIFS(الريسبي!$C$2:$C$1800,الريسبي!$A$2:$A$1800,$A120,الريسبي!$B$2:$B$1800,"عجين كريب صيامي (بدون لبن)")</f>
        <v>0</v>
      </c>
      <c r="AN120" s="117" t="n">
        <f aca="false">SUMIFS(الريسبي!$C$2:$C$1800,الريسبي!$A$2:$A$1800,$A120,الريسبي!$B$2:$B$1800,AN$1)+0.004166666667*SUMIFS(الريسبي!$C$2:$C$1800,الريسبي!$A$2:$A$1800,$A120,الريسبي!$B$2:$B$1800,"عجين كريب (مصنع بالمطعم)")+0.004166666667*SUMIFS(الريسبي!$C$2:$C$1800,الريسبي!$A$2:$A$1800,$A120,الريسبي!$B$2:$B$1800,"عجين كريب صيامي (بدون لبن)")</f>
        <v>0</v>
      </c>
      <c r="AO120" s="117" t="n">
        <f aca="false">SUMIFS(الريسبي!$C$2:$C$1800,الريسبي!$A$2:$A$1800,$A120,الريسبي!$B$2:$B$1800,AO$1)</f>
        <v>0</v>
      </c>
      <c r="AP120" s="117" t="n">
        <f aca="false">SUMIFS(الريسبي!$C$2:$C$1800,الريسبي!$A$2:$A$1800,$A120,الريسبي!$B$2:$B$1800,AP$1)</f>
        <v>0</v>
      </c>
      <c r="AQ120" s="117" t="n">
        <f aca="false">SUMIFS(الريسبي!$C$2:$C$1800,الريسبي!$A$2:$A$1800,$A120,الريسبي!$B$2:$B$1800,AQ$1)+0.004166666667*SUMIFS(الريسبي!$C$2:$C$1800,الريسبي!$A$2:$A$1800,$A120,الريسبي!$B$2:$B$1800,"عجين كريب (مصنع بالمطعم)")+0.004166666667*SUMIFS(الريسبي!$C$2:$C$1800,الريسبي!$A$2:$A$1800,$A120,الريسبي!$B$2:$B$1800,"عجين كريب صيامي (بدون لبن)")</f>
        <v>0</v>
      </c>
      <c r="AR120" s="117" t="n">
        <f aca="false">SUMIFS(الريسبي!$C$2:$C$1800,الريسبي!$A$2:$A$1800,$A120,الريسبي!$B$2:$B$1800,AR$1)</f>
        <v>0</v>
      </c>
      <c r="AS120" s="117" t="n">
        <f aca="false">SUMIFS(الريسبي!$C$2:$C$1800,الريسبي!$A$2:$A$1800,$A120,الريسبي!$B$2:$B$1800,AS$1)</f>
        <v>0</v>
      </c>
      <c r="AT120" s="117" t="n">
        <f aca="false">SUMIFS(الريسبي!$C$2:$C$1800,الريسبي!$A$2:$A$1800,$A120,الريسبي!$B$2:$B$1800,AT$1)</f>
        <v>0</v>
      </c>
      <c r="AU120" s="117" t="n">
        <f aca="false">SUMIFS(الريسبي!$C$2:$C$1800,الريسبي!$A$2:$A$1800,$A120,الريسبي!$B$2:$B$1800,AU$1)</f>
        <v>1</v>
      </c>
      <c r="AV120" s="117" t="n">
        <f aca="false">SUMIFS(الريسبي!$C$2:$C$1800,الريسبي!$A$2:$A$1800,$A120,الريسبي!$B$2:$B$1800,AV$1)</f>
        <v>0</v>
      </c>
      <c r="AW120" s="117" t="n">
        <f aca="false">SUMIFS(الريسبي!$C$2:$C$1800,الريسبي!$A$2:$A$1800,$A120,الريسبي!$B$2:$B$1800,AW$1)</f>
        <v>0</v>
      </c>
      <c r="AX120" s="117" t="n">
        <f aca="false">SUMIFS(الريسبي!$C$2:$C$1800,الريسبي!$A$2:$A$1800,$A120,الريسبي!$B$2:$B$1800,AX$1)</f>
        <v>0</v>
      </c>
      <c r="AY120" s="117" t="n">
        <f aca="false">SUMIFS(الريسبي!$C$2:$C$1800,الريسبي!$A$2:$A$1800,$A120,الريسبي!$B$2:$B$1800,AY$1)</f>
        <v>0</v>
      </c>
      <c r="AZ120" s="117" t="n">
        <f aca="false">SUMIFS(الريسبي!$C$2:$C$1800,الريسبي!$A$2:$A$1800,$A120,الريسبي!$B$2:$B$1800,AZ$1)</f>
        <v>0</v>
      </c>
      <c r="BA120" s="117" t="n">
        <f aca="false">SUMIFS(الريسبي!$C$2:$C$1800,الريسبي!$A$2:$A$1800,$A120,الريسبي!$B$2:$B$1800,BA$1)</f>
        <v>0</v>
      </c>
      <c r="BB120" s="117" t="n">
        <f aca="false">SUMIFS(الريسبي!$C$2:$C$1800,الريسبي!$A$2:$A$1800,$A120,الريسبي!$B$2:$B$1800,BB$1)</f>
        <v>0</v>
      </c>
      <c r="BC120" s="117" t="n">
        <f aca="false">SUMIFS(الريسبي!$C$2:$C$1800,الريسبي!$A$2:$A$1800,$A120,الريسبي!$B$2:$B$1800,BC$1)</f>
        <v>0</v>
      </c>
      <c r="BD120" s="117" t="n">
        <f aca="false">SUMIFS(الريسبي!$C$2:$C$1800,الريسبي!$A$2:$A$1800,$A120,الريسبي!$B$2:$B$1800,BD$1)</f>
        <v>0</v>
      </c>
      <c r="BE120" s="117" t="n">
        <f aca="false">SUMIFS(الريسبي!$C$2:$C$1800,الريسبي!$A$2:$A$1800,$A120,الريسبي!$B$2:$B$1800,BE$1)</f>
        <v>0</v>
      </c>
      <c r="BF120" s="117" t="n">
        <f aca="false">SUMIFS(الريسبي!$C$2:$C$1800,الريسبي!$A$2:$A$1800,$A120,الريسبي!$B$2:$B$1800,BF$1)</f>
        <v>0</v>
      </c>
      <c r="BG120" s="117" t="n">
        <f aca="false">SUMIFS(الريسبي!$C$2:$C$1800,الريسبي!$A$2:$A$1800,$A120,الريسبي!$B$2:$B$1800,BG$1)</f>
        <v>0</v>
      </c>
      <c r="BH120" s="117" t="n">
        <f aca="false">SUMIFS(الريسبي!$C$2:$C$1800,الريسبي!$A$2:$A$1800,$A120,الريسبي!$B$2:$B$1800,BH$1)</f>
        <v>0</v>
      </c>
      <c r="BI120" s="117" t="n">
        <f aca="false">SUMIFS(الريسبي!$C$2:$C$1800,الريسبي!$A$2:$A$1800,$A120,الريسبي!$B$2:$B$1800,BI$1)</f>
        <v>0</v>
      </c>
      <c r="BJ120" s="117" t="n">
        <f aca="false">SUMIFS(الريسبي!$C$2:$C$1800,الريسبي!$A$2:$A$1800,$A120,الريسبي!$B$2:$B$1800,BJ$1)</f>
        <v>0</v>
      </c>
      <c r="BK120" s="117" t="n">
        <f aca="false">SUMIFS(الريسبي!$C$2:$C$1800,الريسبي!$A$2:$A$1800,$A120,الريسبي!$B$2:$B$1800,BK$1)</f>
        <v>0</v>
      </c>
      <c r="BL120" s="117" t="n">
        <f aca="false">SUMIFS(الريسبي!$C$2:$C$1800,الريسبي!$A$2:$A$1800,$A120,الريسبي!$B$2:$B$1800,BL$1)</f>
        <v>0</v>
      </c>
      <c r="BM120" s="117" t="n">
        <f aca="false">SUMIFS(الريسبي!$C$2:$C$1800,الريسبي!$A$2:$A$1800,$A120,الريسبي!$B$2:$B$1800,BM$1)</f>
        <v>0</v>
      </c>
      <c r="BN120" s="117" t="n">
        <f aca="false">SUMIFS(الريسبي!$C$2:$C$1800,الريسبي!$A$2:$A$1800,$A120,الريسبي!$B$2:$B$1800,BN$1)</f>
        <v>0</v>
      </c>
      <c r="BO120" s="117" t="n">
        <f aca="false">SUMIFS(الريسبي!$C$2:$C$1800,الريسبي!$A$2:$A$1800,$A120,الريسبي!$B$2:$B$1800,BO$1)</f>
        <v>0</v>
      </c>
      <c r="BP120" s="117" t="n">
        <f aca="false">SUMIFS(الريسبي!$C$2:$C$1800,الريسبي!$A$2:$A$1800,$A120,الريسبي!$B$2:$B$1800,BP$1)</f>
        <v>2</v>
      </c>
      <c r="BQ120" s="117" t="n">
        <f aca="false">SUMIFS(الريسبي!$C$2:$C$1800,الريسبي!$A$2:$A$1800,$A120,الريسبي!$B$2:$B$1800,BQ$1)+0.17*SUMIFS(الريسبي!$C$2:$C$1800,الريسبي!$A$2:$A$1800,$A120,الريسبي!$B$2:$B$1800,"كاسترد مصنع (خليط بودر + لبن)")+0.17*SUMIFS(الريسبي!$C$2:$C$1800,الريسبي!$A$2:$A$1800,$A120,الريسبي!$B$2:$B$1800,"كاسترد مصنع صيامي (بدون لبن)")</f>
        <v>0</v>
      </c>
      <c r="BR120" s="117" t="n">
        <f aca="false">SUMIFS(الريسبي!$C$2:$C$1800,الريسبي!$A$2:$A$1800,$A120,الريسبي!$B$2:$B$1800,BR$1)</f>
        <v>0</v>
      </c>
      <c r="BS120" s="117" t="n">
        <f aca="false">SUMIFS(الريسبي!$C$2:$C$1800,الريسبي!$A$2:$A$1800,$A120,الريسبي!$B$2:$B$1800,BS$1)</f>
        <v>0</v>
      </c>
      <c r="BT120" s="117" t="n">
        <f aca="false">SUMIFS(الريسبي!$C$2:$C$1800,الريسبي!$A$2:$A$1800,$A120,الريسبي!$B$2:$B$1800,BT$1)</f>
        <v>0</v>
      </c>
      <c r="BU120" s="117" t="n">
        <f aca="false">SUMIFS(الريسبي!$C$2:$C$1800,الريسبي!$A$2:$A$1800,$A120,الريسبي!$B$2:$B$1800,BU$1)+0.4*SUMIFS(الريسبي!$C$2:$C$1800,الريسبي!$A$2:$A$1800,$A120,الريسبي!$B$2:$B$1800,"كاسترد مصنع (خليط بودر + لبن)")+0.03333333333*SUMIFS(الريسبي!$C$2:$C$1800,الريسبي!$A$2:$A$1800,$A120,الريسبي!$B$2:$B$1800,"عجين كريب (مصنع بالمطعم)")</f>
        <v>0</v>
      </c>
      <c r="BV120" s="117" t="n">
        <f aca="false">SUMIFS(الريسبي!$C$2:$C$1800,الريسبي!$A$2:$A$1800,$A120,الريسبي!$B$2:$B$1800,BV$1)</f>
        <v>0</v>
      </c>
      <c r="BW120" s="117" t="n">
        <f aca="false">SUMIFS(الريسبي!$C$2:$C$1800,الريسبي!$A$2:$A$1800,$A120,الريسبي!$B$2:$B$1800,BW$1)</f>
        <v>0</v>
      </c>
      <c r="BX120" s="117" t="n">
        <f aca="false">SUMIFS(الريسبي!$C$2:$C$1800,الريسبي!$A$2:$A$1800,$A120,الريسبي!$B$2:$B$1800,BX$1)</f>
        <v>0.06</v>
      </c>
      <c r="BY120" s="117" t="n">
        <f aca="false">SUMIFS(الريسبي!$C$2:$C$1800,الريسبي!$A$2:$A$1800,$A120,الريسبي!$B$2:$B$1800,BY$1)</f>
        <v>0.15</v>
      </c>
      <c r="BZ120" s="117" t="n">
        <f aca="false">SUMIFS(الريسبي!$C$2:$C$1800,الريسبي!$A$2:$A$1800,$A120,الريسبي!$B$2:$B$1800,BZ$1)</f>
        <v>0</v>
      </c>
      <c r="CA120" s="117" t="n">
        <f aca="false">SUMIFS(الريسبي!$C$2:$C$1800,الريسبي!$A$2:$A$1800,$A120,الريسبي!$B$2:$B$1800,CA$1)</f>
        <v>0</v>
      </c>
      <c r="CB120" s="117" t="n">
        <f aca="false">SUMIFS(الريسبي!$C$2:$C$1800,الريسبي!$A$2:$A$1800,$A120,الريسبي!$B$2:$B$1800,CB$1)</f>
        <v>0</v>
      </c>
      <c r="CC120" s="117" t="n">
        <f aca="false">SUMIFS(الريسبي!$C$2:$C$1800,الريسبي!$A$2:$A$1800,$A120,الريسبي!$B$2:$B$1800,CC$1)</f>
        <v>1</v>
      </c>
      <c r="CD120" s="117" t="n">
        <f aca="false">SUMIFS(الريسبي!$C$2:$C$1800,الريسبي!$A$2:$A$1800,$A120,الريسبي!$B$2:$B$1800,CD$1)</f>
        <v>0</v>
      </c>
      <c r="CE120" s="117" t="n">
        <f aca="false">SUMIFS(الريسبي!$C$2:$C$1800,الريسبي!$A$2:$A$1800,$A120,الريسبي!$B$2:$B$1800,CE$1)</f>
        <v>0</v>
      </c>
      <c r="CF120" s="117" t="n">
        <f aca="false">SUMIFS(الريسبي!$C$2:$C$1800,الريسبي!$A$2:$A$1800,$A120,الريسبي!$B$2:$B$1800,CF$1)</f>
        <v>0</v>
      </c>
      <c r="CG120" s="117" t="n">
        <f aca="false">SUMIFS(الريسبي!$C$2:$C$1800,الريسبي!$A$2:$A$1800,$A120,الريسبي!$B$2:$B$1800,CG$1)</f>
        <v>0</v>
      </c>
      <c r="CH120" s="117" t="n">
        <f aca="false">SUMIFS(الريسبي!$C$2:$C$1800,الريسبي!$A$2:$A$1800,$A120,الريسبي!$B$2:$B$1800,CH$1)</f>
        <v>0</v>
      </c>
      <c r="CI120" s="117" t="n">
        <f aca="false">SUMIFS(الريسبي!$C$2:$C$1800,الريسبي!$A$2:$A$1800,$A120,الريسبي!$B$2:$B$1800,CI$1)</f>
        <v>0</v>
      </c>
      <c r="CJ120" s="117" t="n">
        <f aca="false">SUMIFS(الريسبي!$C$2:$C$1800,الريسبي!$A$2:$A$1800,$A120,الريسبي!$B$2:$B$1800,CJ$1)</f>
        <v>0</v>
      </c>
      <c r="CK120" s="117" t="n">
        <f aca="false">SUMIFS(الريسبي!$C$2:$C$1800,الريسبي!$A$2:$A$1800,$A120,الريسبي!$B$2:$B$1800,CK$1)</f>
        <v>0</v>
      </c>
      <c r="CL120" s="117" t="n">
        <f aca="false">SUMIFS(الريسبي!$C$2:$C$1800,الريسبي!$A$2:$A$1800,$A120,الريسبي!$B$2:$B$1800,CL$1)</f>
        <v>0</v>
      </c>
    </row>
    <row r="121" customFormat="false" ht="15" hidden="false" customHeight="false" outlineLevel="0" collapsed="false">
      <c r="A121" s="116" t="str">
        <f aca="false">المنيو!B121</f>
        <v>مكرونة سوسيس صيامي</v>
      </c>
      <c r="B121" s="117" t="n">
        <f aca="false">SUMIFS(الريسبي!$C$2:$C$1800,الريسبي!$A$2:$A$1800,$A121,الريسبي!$B$2:$B$1800,B$1)</f>
        <v>1</v>
      </c>
      <c r="C121" s="117" t="n">
        <f aca="false">SUMIFS(الريسبي!$C$2:$C$1800,الريسبي!$A$2:$A$1800,$A121,الريسبي!$B$2:$B$1800,C$1)</f>
        <v>0</v>
      </c>
      <c r="D121" s="117" t="n">
        <f aca="false">SUMIFS(الريسبي!$C$2:$C$1800,الريسبي!$A$2:$A$1800,$A121,الريسبي!$B$2:$B$1800,D$1)</f>
        <v>0</v>
      </c>
      <c r="E121" s="117" t="n">
        <f aca="false">SUMIFS(الريسبي!$C$2:$C$1800,الريسبي!$A$2:$A$1800,$A121,الريسبي!$B$2:$B$1800,E$1)</f>
        <v>1</v>
      </c>
      <c r="F121" s="117" t="n">
        <f aca="false">SUMIFS(الريسبي!$C$2:$C$1800,الريسبي!$A$2:$A$1800,$A121,الريسبي!$B$2:$B$1800,F$1)</f>
        <v>0</v>
      </c>
      <c r="G121" s="117" t="n">
        <f aca="false">SUMIFS(الريسبي!$C$2:$C$1800,الريسبي!$A$2:$A$1800,$A121,الريسبي!$B$2:$B$1800,G$1)</f>
        <v>0</v>
      </c>
      <c r="H121" s="117" t="n">
        <f aca="false">SUMIFS(الريسبي!$C$2:$C$1800,الريسبي!$A$2:$A$1800,$A121,الريسبي!$B$2:$B$1800,H$1)</f>
        <v>0</v>
      </c>
      <c r="I121" s="117" t="n">
        <f aca="false">SUMIFS(الريسبي!$C$2:$C$1800,الريسبي!$A$2:$A$1800,$A121,الريسبي!$B$2:$B$1800,I$1)</f>
        <v>0</v>
      </c>
      <c r="J121" s="117" t="n">
        <f aca="false">SUMIFS(الريسبي!$C$2:$C$1800,الريسبي!$A$2:$A$1800,$A121,الريسبي!$B$2:$B$1800,J$1)</f>
        <v>0</v>
      </c>
      <c r="K121" s="117" t="n">
        <f aca="false">SUMIFS(الريسبي!$C$2:$C$1800,الريسبي!$A$2:$A$1800,$A121,الريسبي!$B$2:$B$1800,K$1)</f>
        <v>0</v>
      </c>
      <c r="L121" s="117" t="n">
        <f aca="false">SUMIFS(الريسبي!$C$2:$C$1800,الريسبي!$A$2:$A$1800,$A121,الريسبي!$B$2:$B$1800,L$1)</f>
        <v>0</v>
      </c>
      <c r="M121" s="117" t="n">
        <f aca="false">SUMIFS(الريسبي!$C$2:$C$1800,الريسبي!$A$2:$A$1800,$A121,الريسبي!$B$2:$B$1800,M$1)</f>
        <v>0</v>
      </c>
      <c r="N121" s="117" t="n">
        <f aca="false">SUMIFS(الريسبي!$C$2:$C$1800,الريسبي!$A$2:$A$1800,$A121,الريسبي!$B$2:$B$1800,N$1)</f>
        <v>0</v>
      </c>
      <c r="O121" s="117" t="n">
        <f aca="false">SUMIFS(الريسبي!$C$2:$C$1800,الريسبي!$A$2:$A$1800,$A121,الريسبي!$B$2:$B$1800,O$1)</f>
        <v>0</v>
      </c>
      <c r="P121" s="117" t="n">
        <f aca="false">SUMIFS(الريسبي!$C$2:$C$1800,الريسبي!$A$2:$A$1800,$A121,الريسبي!$B$2:$B$1800,P$1)</f>
        <v>0</v>
      </c>
      <c r="Q121" s="117" t="n">
        <f aca="false">SUMIFS(الريسبي!$C$2:$C$1800,الريسبي!$A$2:$A$1800,$A121,الريسبي!$B$2:$B$1800,Q$1)</f>
        <v>0</v>
      </c>
      <c r="R121" s="117" t="n">
        <f aca="false">SUMIFS(الريسبي!$C$2:$C$1800,الريسبي!$A$2:$A$1800,$A121,الريسبي!$B$2:$B$1800,R$1)</f>
        <v>0</v>
      </c>
      <c r="S121" s="117" t="n">
        <f aca="false">SUMIFS(الريسبي!$C$2:$C$1800,الريسبي!$A$2:$A$1800,$A121,الريسبي!$B$2:$B$1800,S$1)</f>
        <v>0</v>
      </c>
      <c r="T121" s="117" t="n">
        <f aca="false">SUMIFS(الريسبي!$C$2:$C$1800,الريسبي!$A$2:$A$1800,$A121,الريسبي!$B$2:$B$1800,T$1)</f>
        <v>0</v>
      </c>
      <c r="U121" s="117" t="n">
        <f aca="false">SUMIFS(الريسبي!$C$2:$C$1800,الريسبي!$A$2:$A$1800,$A121,الريسبي!$B$2:$B$1800,U$1)</f>
        <v>0</v>
      </c>
      <c r="V121" s="117" t="n">
        <f aca="false">SUMIFS(الريسبي!$C$2:$C$1800,الريسبي!$A$2:$A$1800,$A121,الريسبي!$B$2:$B$1800,V$1)</f>
        <v>0</v>
      </c>
      <c r="W121" s="117" t="n">
        <f aca="false">SUMIFS(الريسبي!$C$2:$C$1800,الريسبي!$A$2:$A$1800,$A121,الريسبي!$B$2:$B$1800,W$1)</f>
        <v>0</v>
      </c>
      <c r="X121" s="117" t="n">
        <f aca="false">SUMIFS(الريسبي!$C$2:$C$1800,الريسبي!$A$2:$A$1800,$A121,الريسبي!$B$2:$B$1800,X$1)</f>
        <v>1</v>
      </c>
      <c r="Y121" s="117" t="n">
        <f aca="false">SUMIFS(الريسبي!$C$2:$C$1800,الريسبي!$A$2:$A$1800,$A121,الريسبي!$B$2:$B$1800,Y$1)</f>
        <v>0</v>
      </c>
      <c r="Z121" s="117" t="n">
        <f aca="false">SUMIFS(الريسبي!$C$2:$C$1800,الريسبي!$A$2:$A$1800,$A121,الريسبي!$B$2:$B$1800,Z$1)</f>
        <v>0</v>
      </c>
      <c r="AA121" s="117" t="n">
        <f aca="false">SUMIFS(الريسبي!$C$2:$C$1800,الريسبي!$A$2:$A$1800,$A121,الريسبي!$B$2:$B$1800,AA$1)</f>
        <v>0</v>
      </c>
      <c r="AB121" s="117" t="n">
        <f aca="false">SUMIFS(الريسبي!$C$2:$C$1800,الريسبي!$A$2:$A$1800,$A121,الريسبي!$B$2:$B$1800,AB$1)</f>
        <v>0</v>
      </c>
      <c r="AC121" s="117" t="n">
        <f aca="false">SUMIFS(الريسبي!$C$2:$C$1800,الريسبي!$A$2:$A$1800,$A121,الريسبي!$B$2:$B$1800,AC$1)</f>
        <v>0</v>
      </c>
      <c r="AD121" s="117" t="n">
        <f aca="false">SUMIFS(الريسبي!$C$2:$C$1800,الريسبي!$A$2:$A$1800,$A121,الريسبي!$B$2:$B$1800,AD$1)</f>
        <v>0.2</v>
      </c>
      <c r="AE121" s="117" t="n">
        <f aca="false">SUMIFS(الريسبي!$C$2:$C$1800,الريسبي!$A$2:$A$1800,$A121,الريسبي!$B$2:$B$1800,AE$1)</f>
        <v>0</v>
      </c>
      <c r="AF121" s="117" t="n">
        <f aca="false">SUMIFS(الريسبي!$C$2:$C$1800,الريسبي!$A$2:$A$1800,$A121,الريسبي!$B$2:$B$1800,AF$1)</f>
        <v>0</v>
      </c>
      <c r="AG121" s="117" t="n">
        <f aca="false">SUMIFS(الريسبي!$C$2:$C$1800,الريسبي!$A$2:$A$1800,$A121,الريسبي!$B$2:$B$1800,AG$1)</f>
        <v>0</v>
      </c>
      <c r="AH121" s="117" t="n">
        <f aca="false">SUMIFS(الريسبي!$C$2:$C$1800,الريسبي!$A$2:$A$1800,$A121,الريسبي!$B$2:$B$1800,AH$1)</f>
        <v>0</v>
      </c>
      <c r="AI121" s="117" t="n">
        <f aca="false">SUMIFS(الريسبي!$C$2:$C$1800,الريسبي!$A$2:$A$1800,$A121,الريسبي!$B$2:$B$1800,AI$1)</f>
        <v>0</v>
      </c>
      <c r="AJ121" s="117" t="n">
        <f aca="false">SUMIFS(الريسبي!$C$2:$C$1800,الريسبي!$A$2:$A$1800,$A121,الريسبي!$B$2:$B$1800,AJ$1)</f>
        <v>2</v>
      </c>
      <c r="AK121" s="117" t="n">
        <f aca="false">SUMIFS(الريسبي!$C$2:$C$1800,الريسبي!$A$2:$A$1800,$A121,الريسبي!$B$2:$B$1800,AK$1)</f>
        <v>0</v>
      </c>
      <c r="AL121" s="117" t="n">
        <f aca="false">SUMIFS(الريسبي!$C$2:$C$1800,الريسبي!$A$2:$A$1800,$A121,الريسبي!$B$2:$B$1800,AL$1)</f>
        <v>0</v>
      </c>
      <c r="AM121" s="117" t="n">
        <f aca="false">SUMIFS(الريسبي!$C$2:$C$1800,الريسبي!$A$2:$A$1800,$A121,الريسبي!$B$2:$B$1800,AM$1)+0.08333333333*SUMIFS(الريسبي!$C$2:$C$1800,الريسبي!$A$2:$A$1800,$A121,الريسبي!$B$2:$B$1800,"عجين كريب (مصنع بالمطعم)")+0.08333333333*SUMIFS(الريسبي!$C$2:$C$1800,الريسبي!$A$2:$A$1800,$A121,الريسبي!$B$2:$B$1800,"عجين كريب صيامي (بدون لبن)")</f>
        <v>0</v>
      </c>
      <c r="AN121" s="117" t="n">
        <f aca="false">SUMIFS(الريسبي!$C$2:$C$1800,الريسبي!$A$2:$A$1800,$A121,الريسبي!$B$2:$B$1800,AN$1)+0.004166666667*SUMIFS(الريسبي!$C$2:$C$1800,الريسبي!$A$2:$A$1800,$A121,الريسبي!$B$2:$B$1800,"عجين كريب (مصنع بالمطعم)")+0.004166666667*SUMIFS(الريسبي!$C$2:$C$1800,الريسبي!$A$2:$A$1800,$A121,الريسبي!$B$2:$B$1800,"عجين كريب صيامي (بدون لبن)")</f>
        <v>0</v>
      </c>
      <c r="AO121" s="117" t="n">
        <f aca="false">SUMIFS(الريسبي!$C$2:$C$1800,الريسبي!$A$2:$A$1800,$A121,الريسبي!$B$2:$B$1800,AO$1)</f>
        <v>0</v>
      </c>
      <c r="AP121" s="117" t="n">
        <f aca="false">SUMIFS(الريسبي!$C$2:$C$1800,الريسبي!$A$2:$A$1800,$A121,الريسبي!$B$2:$B$1800,AP$1)</f>
        <v>0</v>
      </c>
      <c r="AQ121" s="117" t="n">
        <f aca="false">SUMIFS(الريسبي!$C$2:$C$1800,الريسبي!$A$2:$A$1800,$A121,الريسبي!$B$2:$B$1800,AQ$1)+0.004166666667*SUMIFS(الريسبي!$C$2:$C$1800,الريسبي!$A$2:$A$1800,$A121,الريسبي!$B$2:$B$1800,"عجين كريب (مصنع بالمطعم)")+0.004166666667*SUMIFS(الريسبي!$C$2:$C$1800,الريسبي!$A$2:$A$1800,$A121,الريسبي!$B$2:$B$1800,"عجين كريب صيامي (بدون لبن)")</f>
        <v>0</v>
      </c>
      <c r="AR121" s="117" t="n">
        <f aca="false">SUMIFS(الريسبي!$C$2:$C$1800,الريسبي!$A$2:$A$1800,$A121,الريسبي!$B$2:$B$1800,AR$1)</f>
        <v>0</v>
      </c>
      <c r="AS121" s="117" t="n">
        <f aca="false">SUMIFS(الريسبي!$C$2:$C$1800,الريسبي!$A$2:$A$1800,$A121,الريسبي!$B$2:$B$1800,AS$1)</f>
        <v>0</v>
      </c>
      <c r="AT121" s="117" t="n">
        <f aca="false">SUMIFS(الريسبي!$C$2:$C$1800,الريسبي!$A$2:$A$1800,$A121,الريسبي!$B$2:$B$1800,AT$1)</f>
        <v>0</v>
      </c>
      <c r="AU121" s="117" t="n">
        <f aca="false">SUMIFS(الريسبي!$C$2:$C$1800,الريسبي!$A$2:$A$1800,$A121,الريسبي!$B$2:$B$1800,AU$1)</f>
        <v>1</v>
      </c>
      <c r="AV121" s="117" t="n">
        <f aca="false">SUMIFS(الريسبي!$C$2:$C$1800,الريسبي!$A$2:$A$1800,$A121,الريسبي!$B$2:$B$1800,AV$1)</f>
        <v>0</v>
      </c>
      <c r="AW121" s="117" t="n">
        <f aca="false">SUMIFS(الريسبي!$C$2:$C$1800,الريسبي!$A$2:$A$1800,$A121,الريسبي!$B$2:$B$1800,AW$1)</f>
        <v>0</v>
      </c>
      <c r="AX121" s="117" t="n">
        <f aca="false">SUMIFS(الريسبي!$C$2:$C$1800,الريسبي!$A$2:$A$1800,$A121,الريسبي!$B$2:$B$1800,AX$1)</f>
        <v>0</v>
      </c>
      <c r="AY121" s="117" t="n">
        <f aca="false">SUMIFS(الريسبي!$C$2:$C$1800,الريسبي!$A$2:$A$1800,$A121,الريسبي!$B$2:$B$1800,AY$1)</f>
        <v>0</v>
      </c>
      <c r="AZ121" s="117" t="n">
        <f aca="false">SUMIFS(الريسبي!$C$2:$C$1800,الريسبي!$A$2:$A$1800,$A121,الريسبي!$B$2:$B$1800,AZ$1)</f>
        <v>0</v>
      </c>
      <c r="BA121" s="117" t="n">
        <f aca="false">SUMIFS(الريسبي!$C$2:$C$1800,الريسبي!$A$2:$A$1800,$A121,الريسبي!$B$2:$B$1800,BA$1)</f>
        <v>0</v>
      </c>
      <c r="BB121" s="117" t="n">
        <f aca="false">SUMIFS(الريسبي!$C$2:$C$1800,الريسبي!$A$2:$A$1800,$A121,الريسبي!$B$2:$B$1800,BB$1)</f>
        <v>0</v>
      </c>
      <c r="BC121" s="117" t="n">
        <f aca="false">SUMIFS(الريسبي!$C$2:$C$1800,الريسبي!$A$2:$A$1800,$A121,الريسبي!$B$2:$B$1800,BC$1)</f>
        <v>0</v>
      </c>
      <c r="BD121" s="117" t="n">
        <f aca="false">SUMIFS(الريسبي!$C$2:$C$1800,الريسبي!$A$2:$A$1800,$A121,الريسبي!$B$2:$B$1800,BD$1)</f>
        <v>0</v>
      </c>
      <c r="BE121" s="117" t="n">
        <f aca="false">SUMIFS(الريسبي!$C$2:$C$1800,الريسبي!$A$2:$A$1800,$A121,الريسبي!$B$2:$B$1800,BE$1)</f>
        <v>0</v>
      </c>
      <c r="BF121" s="117" t="n">
        <f aca="false">SUMIFS(الريسبي!$C$2:$C$1800,الريسبي!$A$2:$A$1800,$A121,الريسبي!$B$2:$B$1800,BF$1)</f>
        <v>0</v>
      </c>
      <c r="BG121" s="117" t="n">
        <f aca="false">SUMIFS(الريسبي!$C$2:$C$1800,الريسبي!$A$2:$A$1800,$A121,الريسبي!$B$2:$B$1800,BG$1)</f>
        <v>0</v>
      </c>
      <c r="BH121" s="117" t="n">
        <f aca="false">SUMIFS(الريسبي!$C$2:$C$1800,الريسبي!$A$2:$A$1800,$A121,الريسبي!$B$2:$B$1800,BH$1)</f>
        <v>0</v>
      </c>
      <c r="BI121" s="117" t="n">
        <f aca="false">SUMIFS(الريسبي!$C$2:$C$1800,الريسبي!$A$2:$A$1800,$A121,الريسبي!$B$2:$B$1800,BI$1)</f>
        <v>0</v>
      </c>
      <c r="BJ121" s="117" t="n">
        <f aca="false">SUMIFS(الريسبي!$C$2:$C$1800,الريسبي!$A$2:$A$1800,$A121,الريسبي!$B$2:$B$1800,BJ$1)</f>
        <v>0</v>
      </c>
      <c r="BK121" s="117" t="n">
        <f aca="false">SUMIFS(الريسبي!$C$2:$C$1800,الريسبي!$A$2:$A$1800,$A121,الريسبي!$B$2:$B$1800,BK$1)</f>
        <v>0</v>
      </c>
      <c r="BL121" s="117" t="n">
        <f aca="false">SUMIFS(الريسبي!$C$2:$C$1800,الريسبي!$A$2:$A$1800,$A121,الريسبي!$B$2:$B$1800,BL$1)</f>
        <v>0</v>
      </c>
      <c r="BM121" s="117" t="n">
        <f aca="false">SUMIFS(الريسبي!$C$2:$C$1800,الريسبي!$A$2:$A$1800,$A121,الريسبي!$B$2:$B$1800,BM$1)</f>
        <v>0</v>
      </c>
      <c r="BN121" s="117" t="n">
        <f aca="false">SUMIFS(الريسبي!$C$2:$C$1800,الريسبي!$A$2:$A$1800,$A121,الريسبي!$B$2:$B$1800,BN$1)</f>
        <v>0</v>
      </c>
      <c r="BO121" s="117" t="n">
        <f aca="false">SUMIFS(الريسبي!$C$2:$C$1800,الريسبي!$A$2:$A$1800,$A121,الريسبي!$B$2:$B$1800,BO$1)</f>
        <v>0</v>
      </c>
      <c r="BP121" s="117" t="n">
        <f aca="false">SUMIFS(الريسبي!$C$2:$C$1800,الريسبي!$A$2:$A$1800,$A121,الريسبي!$B$2:$B$1800,BP$1)</f>
        <v>2</v>
      </c>
      <c r="BQ121" s="117" t="n">
        <f aca="false">SUMIFS(الريسبي!$C$2:$C$1800,الريسبي!$A$2:$A$1800,$A121,الريسبي!$B$2:$B$1800,BQ$1)+0.17*SUMIFS(الريسبي!$C$2:$C$1800,الريسبي!$A$2:$A$1800,$A121,الريسبي!$B$2:$B$1800,"كاسترد مصنع (خليط بودر + لبن)")+0.17*SUMIFS(الريسبي!$C$2:$C$1800,الريسبي!$A$2:$A$1800,$A121,الريسبي!$B$2:$B$1800,"كاسترد مصنع صيامي (بدون لبن)")</f>
        <v>0</v>
      </c>
      <c r="BR121" s="117" t="n">
        <f aca="false">SUMIFS(الريسبي!$C$2:$C$1800,الريسبي!$A$2:$A$1800,$A121,الريسبي!$B$2:$B$1800,BR$1)</f>
        <v>0</v>
      </c>
      <c r="BS121" s="117" t="n">
        <f aca="false">SUMIFS(الريسبي!$C$2:$C$1800,الريسبي!$A$2:$A$1800,$A121,الريسبي!$B$2:$B$1800,BS$1)</f>
        <v>0</v>
      </c>
      <c r="BT121" s="117" t="n">
        <f aca="false">SUMIFS(الريسبي!$C$2:$C$1800,الريسبي!$A$2:$A$1800,$A121,الريسبي!$B$2:$B$1800,BT$1)</f>
        <v>0</v>
      </c>
      <c r="BU121" s="117" t="n">
        <f aca="false">SUMIFS(الريسبي!$C$2:$C$1800,الريسبي!$A$2:$A$1800,$A121,الريسبي!$B$2:$B$1800,BU$1)+0.4*SUMIFS(الريسبي!$C$2:$C$1800,الريسبي!$A$2:$A$1800,$A121,الريسبي!$B$2:$B$1800,"كاسترد مصنع (خليط بودر + لبن)")+0.03333333333*SUMIFS(الريسبي!$C$2:$C$1800,الريسبي!$A$2:$A$1800,$A121,الريسبي!$B$2:$B$1800,"عجين كريب (مصنع بالمطعم)")</f>
        <v>0</v>
      </c>
      <c r="BV121" s="117" t="n">
        <f aca="false">SUMIFS(الريسبي!$C$2:$C$1800,الريسبي!$A$2:$A$1800,$A121,الريسبي!$B$2:$B$1800,BV$1)</f>
        <v>0</v>
      </c>
      <c r="BW121" s="117" t="n">
        <f aca="false">SUMIFS(الريسبي!$C$2:$C$1800,الريسبي!$A$2:$A$1800,$A121,الريسبي!$B$2:$B$1800,BW$1)</f>
        <v>0</v>
      </c>
      <c r="BX121" s="117" t="n">
        <f aca="false">SUMIFS(الريسبي!$C$2:$C$1800,الريسبي!$A$2:$A$1800,$A121,الريسبي!$B$2:$B$1800,BX$1)</f>
        <v>0</v>
      </c>
      <c r="BY121" s="117" t="n">
        <f aca="false">SUMIFS(الريسبي!$C$2:$C$1800,الريسبي!$A$2:$A$1800,$A121,الريسبي!$B$2:$B$1800,BY$1)</f>
        <v>0.15</v>
      </c>
      <c r="BZ121" s="117" t="n">
        <f aca="false">SUMIFS(الريسبي!$C$2:$C$1800,الريسبي!$A$2:$A$1800,$A121,الريسبي!$B$2:$B$1800,BZ$1)</f>
        <v>0</v>
      </c>
      <c r="CA121" s="117" t="n">
        <f aca="false">SUMIFS(الريسبي!$C$2:$C$1800,الريسبي!$A$2:$A$1800,$A121,الريسبي!$B$2:$B$1800,CA$1)</f>
        <v>0</v>
      </c>
      <c r="CB121" s="117" t="n">
        <f aca="false">SUMIFS(الريسبي!$C$2:$C$1800,الريسبي!$A$2:$A$1800,$A121,الريسبي!$B$2:$B$1800,CB$1)</f>
        <v>0</v>
      </c>
      <c r="CC121" s="117" t="n">
        <f aca="false">SUMIFS(الريسبي!$C$2:$C$1800,الريسبي!$A$2:$A$1800,$A121,الريسبي!$B$2:$B$1800,CC$1)</f>
        <v>1</v>
      </c>
      <c r="CD121" s="117" t="n">
        <f aca="false">SUMIFS(الريسبي!$C$2:$C$1800,الريسبي!$A$2:$A$1800,$A121,الريسبي!$B$2:$B$1800,CD$1)</f>
        <v>0.14</v>
      </c>
      <c r="CE121" s="117" t="n">
        <f aca="false">SUMIFS(الريسبي!$C$2:$C$1800,الريسبي!$A$2:$A$1800,$A121,الريسبي!$B$2:$B$1800,CE$1)</f>
        <v>0</v>
      </c>
      <c r="CF121" s="117" t="n">
        <f aca="false">SUMIFS(الريسبي!$C$2:$C$1800,الريسبي!$A$2:$A$1800,$A121,الريسبي!$B$2:$B$1800,CF$1)</f>
        <v>0</v>
      </c>
      <c r="CG121" s="117" t="n">
        <f aca="false">SUMIFS(الريسبي!$C$2:$C$1800,الريسبي!$A$2:$A$1800,$A121,الريسبي!$B$2:$B$1800,CG$1)</f>
        <v>0</v>
      </c>
      <c r="CH121" s="117" t="n">
        <f aca="false">SUMIFS(الريسبي!$C$2:$C$1800,الريسبي!$A$2:$A$1800,$A121,الريسبي!$B$2:$B$1800,CH$1)</f>
        <v>0</v>
      </c>
      <c r="CI121" s="117" t="n">
        <f aca="false">SUMIFS(الريسبي!$C$2:$C$1800,الريسبي!$A$2:$A$1800,$A121,الريسبي!$B$2:$B$1800,CI$1)</f>
        <v>0</v>
      </c>
      <c r="CJ121" s="117" t="n">
        <f aca="false">SUMIFS(الريسبي!$C$2:$C$1800,الريسبي!$A$2:$A$1800,$A121,الريسبي!$B$2:$B$1800,CJ$1)</f>
        <v>0</v>
      </c>
      <c r="CK121" s="117" t="n">
        <f aca="false">SUMIFS(الريسبي!$C$2:$C$1800,الريسبي!$A$2:$A$1800,$A121,الريسبي!$B$2:$B$1800,CK$1)</f>
        <v>0</v>
      </c>
      <c r="CL121" s="117" t="n">
        <f aca="false">SUMIFS(الريسبي!$C$2:$C$1800,الريسبي!$A$2:$A$1800,$A121,الريسبي!$B$2:$B$1800,CL$1)</f>
        <v>0</v>
      </c>
    </row>
    <row r="122" customFormat="false" ht="15" hidden="false" customHeight="false" outlineLevel="0" collapsed="false">
      <c r="A122" s="116" t="str">
        <f aca="false">المنيو!B122</f>
        <v>مكرونة فراخ باربيكيو صيامي</v>
      </c>
      <c r="B122" s="117" t="n">
        <f aca="false">SUMIFS(الريسبي!$C$2:$C$1800,الريسبي!$A$2:$A$1800,$A122,الريسبي!$B$2:$B$1800,B$1)</f>
        <v>1</v>
      </c>
      <c r="C122" s="117" t="n">
        <f aca="false">SUMIFS(الريسبي!$C$2:$C$1800,الريسبي!$A$2:$A$1800,$A122,الريسبي!$B$2:$B$1800,C$1)</f>
        <v>0</v>
      </c>
      <c r="D122" s="117" t="n">
        <f aca="false">SUMIFS(الريسبي!$C$2:$C$1800,الريسبي!$A$2:$A$1800,$A122,الريسبي!$B$2:$B$1800,D$1)</f>
        <v>0</v>
      </c>
      <c r="E122" s="117" t="n">
        <f aca="false">SUMIFS(الريسبي!$C$2:$C$1800,الريسبي!$A$2:$A$1800,$A122,الريسبي!$B$2:$B$1800,E$1)</f>
        <v>1</v>
      </c>
      <c r="F122" s="117" t="n">
        <f aca="false">SUMIFS(الريسبي!$C$2:$C$1800,الريسبي!$A$2:$A$1800,$A122,الريسبي!$B$2:$B$1800,F$1)</f>
        <v>0</v>
      </c>
      <c r="G122" s="117" t="n">
        <f aca="false">SUMIFS(الريسبي!$C$2:$C$1800,الريسبي!$A$2:$A$1800,$A122,الريسبي!$B$2:$B$1800,G$1)</f>
        <v>0</v>
      </c>
      <c r="H122" s="117" t="n">
        <f aca="false">SUMIFS(الريسبي!$C$2:$C$1800,الريسبي!$A$2:$A$1800,$A122,الريسبي!$B$2:$B$1800,H$1)</f>
        <v>0</v>
      </c>
      <c r="I122" s="117" t="n">
        <f aca="false">SUMIFS(الريسبي!$C$2:$C$1800,الريسبي!$A$2:$A$1800,$A122,الريسبي!$B$2:$B$1800,I$1)</f>
        <v>0</v>
      </c>
      <c r="J122" s="117" t="n">
        <f aca="false">SUMIFS(الريسبي!$C$2:$C$1800,الريسبي!$A$2:$A$1800,$A122,الريسبي!$B$2:$B$1800,J$1)</f>
        <v>0</v>
      </c>
      <c r="K122" s="117" t="n">
        <f aca="false">SUMIFS(الريسبي!$C$2:$C$1800,الريسبي!$A$2:$A$1800,$A122,الريسبي!$B$2:$B$1800,K$1)</f>
        <v>0</v>
      </c>
      <c r="L122" s="117" t="n">
        <f aca="false">SUMIFS(الريسبي!$C$2:$C$1800,الريسبي!$A$2:$A$1800,$A122,الريسبي!$B$2:$B$1800,L$1)</f>
        <v>0</v>
      </c>
      <c r="M122" s="117" t="n">
        <f aca="false">SUMIFS(الريسبي!$C$2:$C$1800,الريسبي!$A$2:$A$1800,$A122,الريسبي!$B$2:$B$1800,M$1)</f>
        <v>0</v>
      </c>
      <c r="N122" s="117" t="n">
        <f aca="false">SUMIFS(الريسبي!$C$2:$C$1800,الريسبي!$A$2:$A$1800,$A122,الريسبي!$B$2:$B$1800,N$1)</f>
        <v>0</v>
      </c>
      <c r="O122" s="117" t="n">
        <f aca="false">SUMIFS(الريسبي!$C$2:$C$1800,الريسبي!$A$2:$A$1800,$A122,الريسبي!$B$2:$B$1800,O$1)</f>
        <v>0</v>
      </c>
      <c r="P122" s="117" t="n">
        <f aca="false">SUMIFS(الريسبي!$C$2:$C$1800,الريسبي!$A$2:$A$1800,$A122,الريسبي!$B$2:$B$1800,P$1)</f>
        <v>0</v>
      </c>
      <c r="Q122" s="117" t="n">
        <f aca="false">SUMIFS(الريسبي!$C$2:$C$1800,الريسبي!$A$2:$A$1800,$A122,الريسبي!$B$2:$B$1800,Q$1)</f>
        <v>0</v>
      </c>
      <c r="R122" s="117" t="n">
        <f aca="false">SUMIFS(الريسبي!$C$2:$C$1800,الريسبي!$A$2:$A$1800,$A122,الريسبي!$B$2:$B$1800,R$1)</f>
        <v>0</v>
      </c>
      <c r="S122" s="117" t="n">
        <f aca="false">SUMIFS(الريسبي!$C$2:$C$1800,الريسبي!$A$2:$A$1800,$A122,الريسبي!$B$2:$B$1800,S$1)</f>
        <v>0</v>
      </c>
      <c r="T122" s="117" t="n">
        <f aca="false">SUMIFS(الريسبي!$C$2:$C$1800,الريسبي!$A$2:$A$1800,$A122,الريسبي!$B$2:$B$1800,T$1)</f>
        <v>0</v>
      </c>
      <c r="U122" s="117" t="n">
        <f aca="false">SUMIFS(الريسبي!$C$2:$C$1800,الريسبي!$A$2:$A$1800,$A122,الريسبي!$B$2:$B$1800,U$1)</f>
        <v>0</v>
      </c>
      <c r="V122" s="117" t="n">
        <f aca="false">SUMIFS(الريسبي!$C$2:$C$1800,الريسبي!$A$2:$A$1800,$A122,الريسبي!$B$2:$B$1800,V$1)</f>
        <v>0</v>
      </c>
      <c r="W122" s="117" t="n">
        <f aca="false">SUMIFS(الريسبي!$C$2:$C$1800,الريسبي!$A$2:$A$1800,$A122,الريسبي!$B$2:$B$1800,W$1)</f>
        <v>0</v>
      </c>
      <c r="X122" s="117" t="n">
        <f aca="false">SUMIFS(الريسبي!$C$2:$C$1800,الريسبي!$A$2:$A$1800,$A122,الريسبي!$B$2:$B$1800,X$1)</f>
        <v>1</v>
      </c>
      <c r="Y122" s="117" t="n">
        <f aca="false">SUMIFS(الريسبي!$C$2:$C$1800,الريسبي!$A$2:$A$1800,$A122,الريسبي!$B$2:$B$1800,Y$1)</f>
        <v>0</v>
      </c>
      <c r="Z122" s="117" t="n">
        <f aca="false">SUMIFS(الريسبي!$C$2:$C$1800,الريسبي!$A$2:$A$1800,$A122,الريسبي!$B$2:$B$1800,Z$1)</f>
        <v>0</v>
      </c>
      <c r="AA122" s="117" t="n">
        <f aca="false">SUMIFS(الريسبي!$C$2:$C$1800,الريسبي!$A$2:$A$1800,$A122,الريسبي!$B$2:$B$1800,AA$1)</f>
        <v>0</v>
      </c>
      <c r="AB122" s="117" t="n">
        <f aca="false">SUMIFS(الريسبي!$C$2:$C$1800,الريسبي!$A$2:$A$1800,$A122,الريسبي!$B$2:$B$1800,AB$1)</f>
        <v>0</v>
      </c>
      <c r="AC122" s="117" t="n">
        <f aca="false">SUMIFS(الريسبي!$C$2:$C$1800,الريسبي!$A$2:$A$1800,$A122,الريسبي!$B$2:$B$1800,AC$1)</f>
        <v>0</v>
      </c>
      <c r="AD122" s="117" t="n">
        <f aca="false">SUMIFS(الريسبي!$C$2:$C$1800,الريسبي!$A$2:$A$1800,$A122,الريسبي!$B$2:$B$1800,AD$1)</f>
        <v>0.2</v>
      </c>
      <c r="AE122" s="117" t="n">
        <f aca="false">SUMIFS(الريسبي!$C$2:$C$1800,الريسبي!$A$2:$A$1800,$A122,الريسبي!$B$2:$B$1800,AE$1)</f>
        <v>0</v>
      </c>
      <c r="AF122" s="117" t="n">
        <f aca="false">SUMIFS(الريسبي!$C$2:$C$1800,الريسبي!$A$2:$A$1800,$A122,الريسبي!$B$2:$B$1800,AF$1)</f>
        <v>0</v>
      </c>
      <c r="AG122" s="117" t="n">
        <f aca="false">SUMIFS(الريسبي!$C$2:$C$1800,الريسبي!$A$2:$A$1800,$A122,الريسبي!$B$2:$B$1800,AG$1)</f>
        <v>0</v>
      </c>
      <c r="AH122" s="117" t="n">
        <f aca="false">SUMIFS(الريسبي!$C$2:$C$1800,الريسبي!$A$2:$A$1800,$A122,الريسبي!$B$2:$B$1800,AH$1)</f>
        <v>0</v>
      </c>
      <c r="AI122" s="117" t="n">
        <f aca="false">SUMIFS(الريسبي!$C$2:$C$1800,الريسبي!$A$2:$A$1800,$A122,الريسبي!$B$2:$B$1800,AI$1)</f>
        <v>0</v>
      </c>
      <c r="AJ122" s="117" t="n">
        <f aca="false">SUMIFS(الريسبي!$C$2:$C$1800,الريسبي!$A$2:$A$1800,$A122,الريسبي!$B$2:$B$1800,AJ$1)</f>
        <v>2</v>
      </c>
      <c r="AK122" s="117" t="n">
        <f aca="false">SUMIFS(الريسبي!$C$2:$C$1800,الريسبي!$A$2:$A$1800,$A122,الريسبي!$B$2:$B$1800,AK$1)</f>
        <v>0</v>
      </c>
      <c r="AL122" s="117" t="n">
        <f aca="false">SUMIFS(الريسبي!$C$2:$C$1800,الريسبي!$A$2:$A$1800,$A122,الريسبي!$B$2:$B$1800,AL$1)</f>
        <v>0</v>
      </c>
      <c r="AM122" s="117" t="n">
        <f aca="false">SUMIFS(الريسبي!$C$2:$C$1800,الريسبي!$A$2:$A$1800,$A122,الريسبي!$B$2:$B$1800,AM$1)+0.08333333333*SUMIFS(الريسبي!$C$2:$C$1800,الريسبي!$A$2:$A$1800,$A122,الريسبي!$B$2:$B$1800,"عجين كريب (مصنع بالمطعم)")+0.08333333333*SUMIFS(الريسبي!$C$2:$C$1800,الريسبي!$A$2:$A$1800,$A122,الريسبي!$B$2:$B$1800,"عجين كريب صيامي (بدون لبن)")</f>
        <v>0</v>
      </c>
      <c r="AN122" s="117" t="n">
        <f aca="false">SUMIFS(الريسبي!$C$2:$C$1800,الريسبي!$A$2:$A$1800,$A122,الريسبي!$B$2:$B$1800,AN$1)+0.004166666667*SUMIFS(الريسبي!$C$2:$C$1800,الريسبي!$A$2:$A$1800,$A122,الريسبي!$B$2:$B$1800,"عجين كريب (مصنع بالمطعم)")+0.004166666667*SUMIFS(الريسبي!$C$2:$C$1800,الريسبي!$A$2:$A$1800,$A122,الريسبي!$B$2:$B$1800,"عجين كريب صيامي (بدون لبن)")</f>
        <v>0</v>
      </c>
      <c r="AO122" s="117" t="n">
        <f aca="false">SUMIFS(الريسبي!$C$2:$C$1800,الريسبي!$A$2:$A$1800,$A122,الريسبي!$B$2:$B$1800,AO$1)</f>
        <v>0</v>
      </c>
      <c r="AP122" s="117" t="n">
        <f aca="false">SUMIFS(الريسبي!$C$2:$C$1800,الريسبي!$A$2:$A$1800,$A122,الريسبي!$B$2:$B$1800,AP$1)</f>
        <v>0</v>
      </c>
      <c r="AQ122" s="117" t="n">
        <f aca="false">SUMIFS(الريسبي!$C$2:$C$1800,الريسبي!$A$2:$A$1800,$A122,الريسبي!$B$2:$B$1800,AQ$1)+0.004166666667*SUMIFS(الريسبي!$C$2:$C$1800,الريسبي!$A$2:$A$1800,$A122,الريسبي!$B$2:$B$1800,"عجين كريب (مصنع بالمطعم)")+0.004166666667*SUMIFS(الريسبي!$C$2:$C$1800,الريسبي!$A$2:$A$1800,$A122,الريسبي!$B$2:$B$1800,"عجين كريب صيامي (بدون لبن)")</f>
        <v>0</v>
      </c>
      <c r="AR122" s="117" t="n">
        <f aca="false">SUMIFS(الريسبي!$C$2:$C$1800,الريسبي!$A$2:$A$1800,$A122,الريسبي!$B$2:$B$1800,AR$1)</f>
        <v>0</v>
      </c>
      <c r="AS122" s="117" t="n">
        <f aca="false">SUMIFS(الريسبي!$C$2:$C$1800,الريسبي!$A$2:$A$1800,$A122,الريسبي!$B$2:$B$1800,AS$1)</f>
        <v>0</v>
      </c>
      <c r="AT122" s="117" t="n">
        <f aca="false">SUMIFS(الريسبي!$C$2:$C$1800,الريسبي!$A$2:$A$1800,$A122,الريسبي!$B$2:$B$1800,AT$1)</f>
        <v>0</v>
      </c>
      <c r="AU122" s="117" t="n">
        <f aca="false">SUMIFS(الريسبي!$C$2:$C$1800,الريسبي!$A$2:$A$1800,$A122,الريسبي!$B$2:$B$1800,AU$1)</f>
        <v>1</v>
      </c>
      <c r="AV122" s="117" t="n">
        <f aca="false">SUMIFS(الريسبي!$C$2:$C$1800,الريسبي!$A$2:$A$1800,$A122,الريسبي!$B$2:$B$1800,AV$1)</f>
        <v>0</v>
      </c>
      <c r="AW122" s="117" t="n">
        <f aca="false">SUMIFS(الريسبي!$C$2:$C$1800,الريسبي!$A$2:$A$1800,$A122,الريسبي!$B$2:$B$1800,AW$1)</f>
        <v>0</v>
      </c>
      <c r="AX122" s="117" t="n">
        <f aca="false">SUMIFS(الريسبي!$C$2:$C$1800,الريسبي!$A$2:$A$1800,$A122,الريسبي!$B$2:$B$1800,AX$1)</f>
        <v>0</v>
      </c>
      <c r="AY122" s="117" t="n">
        <f aca="false">SUMIFS(الريسبي!$C$2:$C$1800,الريسبي!$A$2:$A$1800,$A122,الريسبي!$B$2:$B$1800,AY$1)</f>
        <v>0.1</v>
      </c>
      <c r="AZ122" s="117" t="n">
        <f aca="false">SUMIFS(الريسبي!$C$2:$C$1800,الريسبي!$A$2:$A$1800,$A122,الريسبي!$B$2:$B$1800,AZ$1)</f>
        <v>0</v>
      </c>
      <c r="BA122" s="117" t="n">
        <f aca="false">SUMIFS(الريسبي!$C$2:$C$1800,الريسبي!$A$2:$A$1800,$A122,الريسبي!$B$2:$B$1800,BA$1)</f>
        <v>0</v>
      </c>
      <c r="BB122" s="117" t="n">
        <f aca="false">SUMIFS(الريسبي!$C$2:$C$1800,الريسبي!$A$2:$A$1800,$A122,الريسبي!$B$2:$B$1800,BB$1)</f>
        <v>0</v>
      </c>
      <c r="BC122" s="117" t="n">
        <f aca="false">SUMIFS(الريسبي!$C$2:$C$1800,الريسبي!$A$2:$A$1800,$A122,الريسبي!$B$2:$B$1800,BC$1)</f>
        <v>0</v>
      </c>
      <c r="BD122" s="117" t="n">
        <f aca="false">SUMIFS(الريسبي!$C$2:$C$1800,الريسبي!$A$2:$A$1800,$A122,الريسبي!$B$2:$B$1800,BD$1)</f>
        <v>0</v>
      </c>
      <c r="BE122" s="117" t="n">
        <f aca="false">SUMIFS(الريسبي!$C$2:$C$1800,الريسبي!$A$2:$A$1800,$A122,الريسبي!$B$2:$B$1800,BE$1)</f>
        <v>0</v>
      </c>
      <c r="BF122" s="117" t="n">
        <f aca="false">SUMIFS(الريسبي!$C$2:$C$1800,الريسبي!$A$2:$A$1800,$A122,الريسبي!$B$2:$B$1800,BF$1)</f>
        <v>0</v>
      </c>
      <c r="BG122" s="117" t="n">
        <f aca="false">SUMIFS(الريسبي!$C$2:$C$1800,الريسبي!$A$2:$A$1800,$A122,الريسبي!$B$2:$B$1800,BG$1)</f>
        <v>0</v>
      </c>
      <c r="BH122" s="117" t="n">
        <f aca="false">SUMIFS(الريسبي!$C$2:$C$1800,الريسبي!$A$2:$A$1800,$A122,الريسبي!$B$2:$B$1800,BH$1)</f>
        <v>0</v>
      </c>
      <c r="BI122" s="117" t="n">
        <f aca="false">SUMIFS(الريسبي!$C$2:$C$1800,الريسبي!$A$2:$A$1800,$A122,الريسبي!$B$2:$B$1800,BI$1)</f>
        <v>0</v>
      </c>
      <c r="BJ122" s="117" t="n">
        <f aca="false">SUMIFS(الريسبي!$C$2:$C$1800,الريسبي!$A$2:$A$1800,$A122,الريسبي!$B$2:$B$1800,BJ$1)</f>
        <v>0</v>
      </c>
      <c r="BK122" s="117" t="n">
        <f aca="false">SUMIFS(الريسبي!$C$2:$C$1800,الريسبي!$A$2:$A$1800,$A122,الريسبي!$B$2:$B$1800,BK$1)</f>
        <v>0</v>
      </c>
      <c r="BL122" s="117" t="n">
        <f aca="false">SUMIFS(الريسبي!$C$2:$C$1800,الريسبي!$A$2:$A$1800,$A122,الريسبي!$B$2:$B$1800,BL$1)</f>
        <v>0</v>
      </c>
      <c r="BM122" s="117" t="n">
        <f aca="false">SUMIFS(الريسبي!$C$2:$C$1800,الريسبي!$A$2:$A$1800,$A122,الريسبي!$B$2:$B$1800,BM$1)</f>
        <v>0.14</v>
      </c>
      <c r="BN122" s="117" t="n">
        <f aca="false">SUMIFS(الريسبي!$C$2:$C$1800,الريسبي!$A$2:$A$1800,$A122,الريسبي!$B$2:$B$1800,BN$1)</f>
        <v>0</v>
      </c>
      <c r="BO122" s="117" t="n">
        <f aca="false">SUMIFS(الريسبي!$C$2:$C$1800,الريسبي!$A$2:$A$1800,$A122,الريسبي!$B$2:$B$1800,BO$1)</f>
        <v>0</v>
      </c>
      <c r="BP122" s="117" t="n">
        <f aca="false">SUMIFS(الريسبي!$C$2:$C$1800,الريسبي!$A$2:$A$1800,$A122,الريسبي!$B$2:$B$1800,BP$1)</f>
        <v>2</v>
      </c>
      <c r="BQ122" s="117" t="n">
        <f aca="false">SUMIFS(الريسبي!$C$2:$C$1800,الريسبي!$A$2:$A$1800,$A122,الريسبي!$B$2:$B$1800,BQ$1)+0.17*SUMIFS(الريسبي!$C$2:$C$1800,الريسبي!$A$2:$A$1800,$A122,الريسبي!$B$2:$B$1800,"كاسترد مصنع (خليط بودر + لبن)")+0.17*SUMIFS(الريسبي!$C$2:$C$1800,الريسبي!$A$2:$A$1800,$A122,الريسبي!$B$2:$B$1800,"كاسترد مصنع صيامي (بدون لبن)")</f>
        <v>0</v>
      </c>
      <c r="BR122" s="117" t="n">
        <f aca="false">SUMIFS(الريسبي!$C$2:$C$1800,الريسبي!$A$2:$A$1800,$A122,الريسبي!$B$2:$B$1800,BR$1)</f>
        <v>0</v>
      </c>
      <c r="BS122" s="117" t="n">
        <f aca="false">SUMIFS(الريسبي!$C$2:$C$1800,الريسبي!$A$2:$A$1800,$A122,الريسبي!$B$2:$B$1800,BS$1)</f>
        <v>0</v>
      </c>
      <c r="BT122" s="117" t="n">
        <f aca="false">SUMIFS(الريسبي!$C$2:$C$1800,الريسبي!$A$2:$A$1800,$A122,الريسبي!$B$2:$B$1800,BT$1)</f>
        <v>0</v>
      </c>
      <c r="BU122" s="117" t="n">
        <f aca="false">SUMIFS(الريسبي!$C$2:$C$1800,الريسبي!$A$2:$A$1800,$A122,الريسبي!$B$2:$B$1800,BU$1)+0.4*SUMIFS(الريسبي!$C$2:$C$1800,الريسبي!$A$2:$A$1800,$A122,الريسبي!$B$2:$B$1800,"كاسترد مصنع (خليط بودر + لبن)")+0.03333333333*SUMIFS(الريسبي!$C$2:$C$1800,الريسبي!$A$2:$A$1800,$A122,الريسبي!$B$2:$B$1800,"عجين كريب (مصنع بالمطعم)")</f>
        <v>0</v>
      </c>
      <c r="BV122" s="117" t="n">
        <f aca="false">SUMIFS(الريسبي!$C$2:$C$1800,الريسبي!$A$2:$A$1800,$A122,الريسبي!$B$2:$B$1800,BV$1)</f>
        <v>0</v>
      </c>
      <c r="BW122" s="117" t="n">
        <f aca="false">SUMIFS(الريسبي!$C$2:$C$1800,الريسبي!$A$2:$A$1800,$A122,الريسبي!$B$2:$B$1800,BW$1)</f>
        <v>0</v>
      </c>
      <c r="BX122" s="117" t="n">
        <f aca="false">SUMIFS(الريسبي!$C$2:$C$1800,الريسبي!$A$2:$A$1800,$A122,الريسبي!$B$2:$B$1800,BX$1)</f>
        <v>0</v>
      </c>
      <c r="BY122" s="117" t="n">
        <f aca="false">SUMIFS(الريسبي!$C$2:$C$1800,الريسبي!$A$2:$A$1800,$A122,الريسبي!$B$2:$B$1800,BY$1)</f>
        <v>0.15</v>
      </c>
      <c r="BZ122" s="117" t="n">
        <f aca="false">SUMIFS(الريسبي!$C$2:$C$1800,الريسبي!$A$2:$A$1800,$A122,الريسبي!$B$2:$B$1800,BZ$1)</f>
        <v>0</v>
      </c>
      <c r="CA122" s="117" t="n">
        <f aca="false">SUMIFS(الريسبي!$C$2:$C$1800,الريسبي!$A$2:$A$1800,$A122,الريسبي!$B$2:$B$1800,CA$1)</f>
        <v>0</v>
      </c>
      <c r="CB122" s="117" t="n">
        <f aca="false">SUMIFS(الريسبي!$C$2:$C$1800,الريسبي!$A$2:$A$1800,$A122,الريسبي!$B$2:$B$1800,CB$1)</f>
        <v>0</v>
      </c>
      <c r="CC122" s="117" t="n">
        <f aca="false">SUMIFS(الريسبي!$C$2:$C$1800,الريسبي!$A$2:$A$1800,$A122,الريسبي!$B$2:$B$1800,CC$1)</f>
        <v>1</v>
      </c>
      <c r="CD122" s="117" t="n">
        <f aca="false">SUMIFS(الريسبي!$C$2:$C$1800,الريسبي!$A$2:$A$1800,$A122,الريسبي!$B$2:$B$1800,CD$1)</f>
        <v>0</v>
      </c>
      <c r="CE122" s="117" t="n">
        <f aca="false">SUMIFS(الريسبي!$C$2:$C$1800,الريسبي!$A$2:$A$1800,$A122,الريسبي!$B$2:$B$1800,CE$1)</f>
        <v>0</v>
      </c>
      <c r="CF122" s="117" t="n">
        <f aca="false">SUMIFS(الريسبي!$C$2:$C$1800,الريسبي!$A$2:$A$1800,$A122,الريسبي!$B$2:$B$1800,CF$1)</f>
        <v>0</v>
      </c>
      <c r="CG122" s="117" t="n">
        <f aca="false">SUMIFS(الريسبي!$C$2:$C$1800,الريسبي!$A$2:$A$1800,$A122,الريسبي!$B$2:$B$1800,CG$1)</f>
        <v>0</v>
      </c>
      <c r="CH122" s="117" t="n">
        <f aca="false">SUMIFS(الريسبي!$C$2:$C$1800,الريسبي!$A$2:$A$1800,$A122,الريسبي!$B$2:$B$1800,CH$1)</f>
        <v>0</v>
      </c>
      <c r="CI122" s="117" t="n">
        <f aca="false">SUMIFS(الريسبي!$C$2:$C$1800,الريسبي!$A$2:$A$1800,$A122,الريسبي!$B$2:$B$1800,CI$1)</f>
        <v>0</v>
      </c>
      <c r="CJ122" s="117" t="n">
        <f aca="false">SUMIFS(الريسبي!$C$2:$C$1800,الريسبي!$A$2:$A$1800,$A122,الريسبي!$B$2:$B$1800,CJ$1)</f>
        <v>0</v>
      </c>
      <c r="CK122" s="117" t="n">
        <f aca="false">SUMIFS(الريسبي!$C$2:$C$1800,الريسبي!$A$2:$A$1800,$A122,الريسبي!$B$2:$B$1800,CK$1)</f>
        <v>0</v>
      </c>
      <c r="CL122" s="117" t="n">
        <f aca="false">SUMIFS(الريسبي!$C$2:$C$1800,الريسبي!$A$2:$A$1800,$A122,الريسبي!$B$2:$B$1800,CL$1)</f>
        <v>0</v>
      </c>
    </row>
    <row r="123" customFormat="false" ht="15" hidden="false" customHeight="false" outlineLevel="0" collapsed="false">
      <c r="A123" s="116" t="str">
        <f aca="false">المنيو!B123</f>
        <v>مكرونة جمبري صيامي</v>
      </c>
      <c r="B123" s="117" t="n">
        <f aca="false">SUMIFS(الريسبي!$C$2:$C$1800,الريسبي!$A$2:$A$1800,$A123,الريسبي!$B$2:$B$1800,B$1)</f>
        <v>1</v>
      </c>
      <c r="C123" s="117" t="n">
        <f aca="false">SUMIFS(الريسبي!$C$2:$C$1800,الريسبي!$A$2:$A$1800,$A123,الريسبي!$B$2:$B$1800,C$1)</f>
        <v>0</v>
      </c>
      <c r="D123" s="117" t="n">
        <f aca="false">SUMIFS(الريسبي!$C$2:$C$1800,الريسبي!$A$2:$A$1800,$A123,الريسبي!$B$2:$B$1800,D$1)</f>
        <v>0</v>
      </c>
      <c r="E123" s="117" t="n">
        <f aca="false">SUMIFS(الريسبي!$C$2:$C$1800,الريسبي!$A$2:$A$1800,$A123,الريسبي!$B$2:$B$1800,E$1)</f>
        <v>1</v>
      </c>
      <c r="F123" s="117" t="n">
        <f aca="false">SUMIFS(الريسبي!$C$2:$C$1800,الريسبي!$A$2:$A$1800,$A123,الريسبي!$B$2:$B$1800,F$1)</f>
        <v>0</v>
      </c>
      <c r="G123" s="117" t="n">
        <f aca="false">SUMIFS(الريسبي!$C$2:$C$1800,الريسبي!$A$2:$A$1800,$A123,الريسبي!$B$2:$B$1800,G$1)</f>
        <v>0</v>
      </c>
      <c r="H123" s="117" t="n">
        <f aca="false">SUMIFS(الريسبي!$C$2:$C$1800,الريسبي!$A$2:$A$1800,$A123,الريسبي!$B$2:$B$1800,H$1)</f>
        <v>0</v>
      </c>
      <c r="I123" s="117" t="n">
        <f aca="false">SUMIFS(الريسبي!$C$2:$C$1800,الريسبي!$A$2:$A$1800,$A123,الريسبي!$B$2:$B$1800,I$1)</f>
        <v>0</v>
      </c>
      <c r="J123" s="117" t="n">
        <f aca="false">SUMIFS(الريسبي!$C$2:$C$1800,الريسبي!$A$2:$A$1800,$A123,الريسبي!$B$2:$B$1800,J$1)</f>
        <v>0</v>
      </c>
      <c r="K123" s="117" t="n">
        <f aca="false">SUMIFS(الريسبي!$C$2:$C$1800,الريسبي!$A$2:$A$1800,$A123,الريسبي!$B$2:$B$1800,K$1)</f>
        <v>1</v>
      </c>
      <c r="L123" s="117" t="n">
        <f aca="false">SUMIFS(الريسبي!$C$2:$C$1800,الريسبي!$A$2:$A$1800,$A123,الريسبي!$B$2:$B$1800,L$1)</f>
        <v>0</v>
      </c>
      <c r="M123" s="117" t="n">
        <f aca="false">SUMIFS(الريسبي!$C$2:$C$1800,الريسبي!$A$2:$A$1800,$A123,الريسبي!$B$2:$B$1800,M$1)</f>
        <v>0</v>
      </c>
      <c r="N123" s="117" t="n">
        <f aca="false">SUMIFS(الريسبي!$C$2:$C$1800,الريسبي!$A$2:$A$1800,$A123,الريسبي!$B$2:$B$1800,N$1)</f>
        <v>0</v>
      </c>
      <c r="O123" s="117" t="n">
        <f aca="false">SUMIFS(الريسبي!$C$2:$C$1800,الريسبي!$A$2:$A$1800,$A123,الريسبي!$B$2:$B$1800,O$1)</f>
        <v>0</v>
      </c>
      <c r="P123" s="117" t="n">
        <f aca="false">SUMIFS(الريسبي!$C$2:$C$1800,الريسبي!$A$2:$A$1800,$A123,الريسبي!$B$2:$B$1800,P$1)</f>
        <v>0</v>
      </c>
      <c r="Q123" s="117" t="n">
        <f aca="false">SUMIFS(الريسبي!$C$2:$C$1800,الريسبي!$A$2:$A$1800,$A123,الريسبي!$B$2:$B$1800,Q$1)</f>
        <v>0</v>
      </c>
      <c r="R123" s="117" t="n">
        <f aca="false">SUMIFS(الريسبي!$C$2:$C$1800,الريسبي!$A$2:$A$1800,$A123,الريسبي!$B$2:$B$1800,R$1)</f>
        <v>0</v>
      </c>
      <c r="S123" s="117" t="n">
        <f aca="false">SUMIFS(الريسبي!$C$2:$C$1800,الريسبي!$A$2:$A$1800,$A123,الريسبي!$B$2:$B$1800,S$1)</f>
        <v>0</v>
      </c>
      <c r="T123" s="117" t="n">
        <f aca="false">SUMIFS(الريسبي!$C$2:$C$1800,الريسبي!$A$2:$A$1800,$A123,الريسبي!$B$2:$B$1800,T$1)</f>
        <v>0</v>
      </c>
      <c r="U123" s="117" t="n">
        <f aca="false">SUMIFS(الريسبي!$C$2:$C$1800,الريسبي!$A$2:$A$1800,$A123,الريسبي!$B$2:$B$1800,U$1)</f>
        <v>0</v>
      </c>
      <c r="V123" s="117" t="n">
        <f aca="false">SUMIFS(الريسبي!$C$2:$C$1800,الريسبي!$A$2:$A$1800,$A123,الريسبي!$B$2:$B$1800,V$1)</f>
        <v>0</v>
      </c>
      <c r="W123" s="117" t="n">
        <f aca="false">SUMIFS(الريسبي!$C$2:$C$1800,الريسبي!$A$2:$A$1800,$A123,الريسبي!$B$2:$B$1800,W$1)</f>
        <v>0</v>
      </c>
      <c r="X123" s="117" t="n">
        <f aca="false">SUMIFS(الريسبي!$C$2:$C$1800,الريسبي!$A$2:$A$1800,$A123,الريسبي!$B$2:$B$1800,X$1)</f>
        <v>1</v>
      </c>
      <c r="Y123" s="117" t="n">
        <f aca="false">SUMIFS(الريسبي!$C$2:$C$1800,الريسبي!$A$2:$A$1800,$A123,الريسبي!$B$2:$B$1800,Y$1)</f>
        <v>0</v>
      </c>
      <c r="Z123" s="117" t="n">
        <f aca="false">SUMIFS(الريسبي!$C$2:$C$1800,الريسبي!$A$2:$A$1800,$A123,الريسبي!$B$2:$B$1800,Z$1)</f>
        <v>0</v>
      </c>
      <c r="AA123" s="117" t="n">
        <f aca="false">SUMIFS(الريسبي!$C$2:$C$1800,الريسبي!$A$2:$A$1800,$A123,الريسبي!$B$2:$B$1800,AA$1)</f>
        <v>0</v>
      </c>
      <c r="AB123" s="117" t="n">
        <f aca="false">SUMIFS(الريسبي!$C$2:$C$1800,الريسبي!$A$2:$A$1800,$A123,الريسبي!$B$2:$B$1800,AB$1)</f>
        <v>0</v>
      </c>
      <c r="AC123" s="117" t="n">
        <f aca="false">SUMIFS(الريسبي!$C$2:$C$1800,الريسبي!$A$2:$A$1800,$A123,الريسبي!$B$2:$B$1800,AC$1)</f>
        <v>0</v>
      </c>
      <c r="AD123" s="117" t="n">
        <f aca="false">SUMIFS(الريسبي!$C$2:$C$1800,الريسبي!$A$2:$A$1800,$A123,الريسبي!$B$2:$B$1800,AD$1)</f>
        <v>0.2</v>
      </c>
      <c r="AE123" s="117" t="n">
        <f aca="false">SUMIFS(الريسبي!$C$2:$C$1800,الريسبي!$A$2:$A$1800,$A123,الريسبي!$B$2:$B$1800,AE$1)</f>
        <v>0</v>
      </c>
      <c r="AF123" s="117" t="n">
        <f aca="false">SUMIFS(الريسبي!$C$2:$C$1800,الريسبي!$A$2:$A$1800,$A123,الريسبي!$B$2:$B$1800,AF$1)</f>
        <v>0</v>
      </c>
      <c r="AG123" s="117" t="n">
        <f aca="false">SUMIFS(الريسبي!$C$2:$C$1800,الريسبي!$A$2:$A$1800,$A123,الريسبي!$B$2:$B$1800,AG$1)</f>
        <v>0</v>
      </c>
      <c r="AH123" s="117" t="n">
        <f aca="false">SUMIFS(الريسبي!$C$2:$C$1800,الريسبي!$A$2:$A$1800,$A123,الريسبي!$B$2:$B$1800,AH$1)</f>
        <v>0</v>
      </c>
      <c r="AI123" s="117" t="n">
        <f aca="false">SUMIFS(الريسبي!$C$2:$C$1800,الريسبي!$A$2:$A$1800,$A123,الريسبي!$B$2:$B$1800,AI$1)</f>
        <v>0</v>
      </c>
      <c r="AJ123" s="117" t="n">
        <f aca="false">SUMIFS(الريسبي!$C$2:$C$1800,الريسبي!$A$2:$A$1800,$A123,الريسبي!$B$2:$B$1800,AJ$1)</f>
        <v>2</v>
      </c>
      <c r="AK123" s="117" t="n">
        <f aca="false">SUMIFS(الريسبي!$C$2:$C$1800,الريسبي!$A$2:$A$1800,$A123,الريسبي!$B$2:$B$1800,AK$1)</f>
        <v>0</v>
      </c>
      <c r="AL123" s="117" t="n">
        <f aca="false">SUMIFS(الريسبي!$C$2:$C$1800,الريسبي!$A$2:$A$1800,$A123,الريسبي!$B$2:$B$1800,AL$1)</f>
        <v>0</v>
      </c>
      <c r="AM123" s="117" t="n">
        <f aca="false">SUMIFS(الريسبي!$C$2:$C$1800,الريسبي!$A$2:$A$1800,$A123,الريسبي!$B$2:$B$1800,AM$1)+0.08333333333*SUMIFS(الريسبي!$C$2:$C$1800,الريسبي!$A$2:$A$1800,$A123,الريسبي!$B$2:$B$1800,"عجين كريب (مصنع بالمطعم)")+0.08333333333*SUMIFS(الريسبي!$C$2:$C$1800,الريسبي!$A$2:$A$1800,$A123,الريسبي!$B$2:$B$1800,"عجين كريب صيامي (بدون لبن)")</f>
        <v>0</v>
      </c>
      <c r="AN123" s="117" t="n">
        <f aca="false">SUMIFS(الريسبي!$C$2:$C$1800,الريسبي!$A$2:$A$1800,$A123,الريسبي!$B$2:$B$1800,AN$1)+0.004166666667*SUMIFS(الريسبي!$C$2:$C$1800,الريسبي!$A$2:$A$1800,$A123,الريسبي!$B$2:$B$1800,"عجين كريب (مصنع بالمطعم)")+0.004166666667*SUMIFS(الريسبي!$C$2:$C$1800,الريسبي!$A$2:$A$1800,$A123,الريسبي!$B$2:$B$1800,"عجين كريب صيامي (بدون لبن)")</f>
        <v>0</v>
      </c>
      <c r="AO123" s="117" t="n">
        <f aca="false">SUMIFS(الريسبي!$C$2:$C$1800,الريسبي!$A$2:$A$1800,$A123,الريسبي!$B$2:$B$1800,AO$1)</f>
        <v>0</v>
      </c>
      <c r="AP123" s="117" t="n">
        <f aca="false">SUMIFS(الريسبي!$C$2:$C$1800,الريسبي!$A$2:$A$1800,$A123,الريسبي!$B$2:$B$1800,AP$1)</f>
        <v>0</v>
      </c>
      <c r="AQ123" s="117" t="n">
        <f aca="false">SUMIFS(الريسبي!$C$2:$C$1800,الريسبي!$A$2:$A$1800,$A123,الريسبي!$B$2:$B$1800,AQ$1)+0.004166666667*SUMIFS(الريسبي!$C$2:$C$1800,الريسبي!$A$2:$A$1800,$A123,الريسبي!$B$2:$B$1800,"عجين كريب (مصنع بالمطعم)")+0.004166666667*SUMIFS(الريسبي!$C$2:$C$1800,الريسبي!$A$2:$A$1800,$A123,الريسبي!$B$2:$B$1800,"عجين كريب صيامي (بدون لبن)")</f>
        <v>0</v>
      </c>
      <c r="AR123" s="117" t="n">
        <f aca="false">SUMIFS(الريسبي!$C$2:$C$1800,الريسبي!$A$2:$A$1800,$A123,الريسبي!$B$2:$B$1800,AR$1)</f>
        <v>0</v>
      </c>
      <c r="AS123" s="117" t="n">
        <f aca="false">SUMIFS(الريسبي!$C$2:$C$1800,الريسبي!$A$2:$A$1800,$A123,الريسبي!$B$2:$B$1800,AS$1)</f>
        <v>0</v>
      </c>
      <c r="AT123" s="117" t="n">
        <f aca="false">SUMIFS(الريسبي!$C$2:$C$1800,الريسبي!$A$2:$A$1800,$A123,الريسبي!$B$2:$B$1800,AT$1)</f>
        <v>0</v>
      </c>
      <c r="AU123" s="117" t="n">
        <f aca="false">SUMIFS(الريسبي!$C$2:$C$1800,الريسبي!$A$2:$A$1800,$A123,الريسبي!$B$2:$B$1800,AU$1)</f>
        <v>1</v>
      </c>
      <c r="AV123" s="117" t="n">
        <f aca="false">SUMIFS(الريسبي!$C$2:$C$1800,الريسبي!$A$2:$A$1800,$A123,الريسبي!$B$2:$B$1800,AV$1)</f>
        <v>0</v>
      </c>
      <c r="AW123" s="117" t="n">
        <f aca="false">SUMIFS(الريسبي!$C$2:$C$1800,الريسبي!$A$2:$A$1800,$A123,الريسبي!$B$2:$B$1800,AW$1)</f>
        <v>0</v>
      </c>
      <c r="AX123" s="117" t="n">
        <f aca="false">SUMIFS(الريسبي!$C$2:$C$1800,الريسبي!$A$2:$A$1800,$A123,الريسبي!$B$2:$B$1800,AX$1)</f>
        <v>0</v>
      </c>
      <c r="AY123" s="117" t="n">
        <f aca="false">SUMIFS(الريسبي!$C$2:$C$1800,الريسبي!$A$2:$A$1800,$A123,الريسبي!$B$2:$B$1800,AY$1)</f>
        <v>0</v>
      </c>
      <c r="AZ123" s="117" t="n">
        <f aca="false">SUMIFS(الريسبي!$C$2:$C$1800,الريسبي!$A$2:$A$1800,$A123,الريسبي!$B$2:$B$1800,AZ$1)</f>
        <v>0</v>
      </c>
      <c r="BA123" s="117" t="n">
        <f aca="false">SUMIFS(الريسبي!$C$2:$C$1800,الريسبي!$A$2:$A$1800,$A123,الريسبي!$B$2:$B$1800,BA$1)</f>
        <v>0</v>
      </c>
      <c r="BB123" s="117" t="n">
        <f aca="false">SUMIFS(الريسبي!$C$2:$C$1800,الريسبي!$A$2:$A$1800,$A123,الريسبي!$B$2:$B$1800,BB$1)</f>
        <v>0</v>
      </c>
      <c r="BC123" s="117" t="n">
        <f aca="false">SUMIFS(الريسبي!$C$2:$C$1800,الريسبي!$A$2:$A$1800,$A123,الريسبي!$B$2:$B$1800,BC$1)</f>
        <v>0</v>
      </c>
      <c r="BD123" s="117" t="n">
        <f aca="false">SUMIFS(الريسبي!$C$2:$C$1800,الريسبي!$A$2:$A$1800,$A123,الريسبي!$B$2:$B$1800,BD$1)</f>
        <v>0</v>
      </c>
      <c r="BE123" s="117" t="n">
        <f aca="false">SUMIFS(الريسبي!$C$2:$C$1800,الريسبي!$A$2:$A$1800,$A123,الريسبي!$B$2:$B$1800,BE$1)</f>
        <v>0</v>
      </c>
      <c r="BF123" s="117" t="n">
        <f aca="false">SUMIFS(الريسبي!$C$2:$C$1800,الريسبي!$A$2:$A$1800,$A123,الريسبي!$B$2:$B$1800,BF$1)</f>
        <v>0</v>
      </c>
      <c r="BG123" s="117" t="n">
        <f aca="false">SUMIFS(الريسبي!$C$2:$C$1800,الريسبي!$A$2:$A$1800,$A123,الريسبي!$B$2:$B$1800,BG$1)</f>
        <v>0</v>
      </c>
      <c r="BH123" s="117" t="n">
        <f aca="false">SUMIFS(الريسبي!$C$2:$C$1800,الريسبي!$A$2:$A$1800,$A123,الريسبي!$B$2:$B$1800,BH$1)</f>
        <v>0</v>
      </c>
      <c r="BI123" s="117" t="n">
        <f aca="false">SUMIFS(الريسبي!$C$2:$C$1800,الريسبي!$A$2:$A$1800,$A123,الريسبي!$B$2:$B$1800,BI$1)</f>
        <v>0</v>
      </c>
      <c r="BJ123" s="117" t="n">
        <f aca="false">SUMIFS(الريسبي!$C$2:$C$1800,الريسبي!$A$2:$A$1800,$A123,الريسبي!$B$2:$B$1800,BJ$1)</f>
        <v>0</v>
      </c>
      <c r="BK123" s="117" t="n">
        <f aca="false">SUMIFS(الريسبي!$C$2:$C$1800,الريسبي!$A$2:$A$1800,$A123,الريسبي!$B$2:$B$1800,BK$1)</f>
        <v>0</v>
      </c>
      <c r="BL123" s="117" t="n">
        <f aca="false">SUMIFS(الريسبي!$C$2:$C$1800,الريسبي!$A$2:$A$1800,$A123,الريسبي!$B$2:$B$1800,BL$1)</f>
        <v>0</v>
      </c>
      <c r="BM123" s="117" t="n">
        <f aca="false">SUMIFS(الريسبي!$C$2:$C$1800,الريسبي!$A$2:$A$1800,$A123,الريسبي!$B$2:$B$1800,BM$1)</f>
        <v>0</v>
      </c>
      <c r="BN123" s="117" t="n">
        <f aca="false">SUMIFS(الريسبي!$C$2:$C$1800,الريسبي!$A$2:$A$1800,$A123,الريسبي!$B$2:$B$1800,BN$1)</f>
        <v>0</v>
      </c>
      <c r="BO123" s="117" t="n">
        <f aca="false">SUMIFS(الريسبي!$C$2:$C$1800,الريسبي!$A$2:$A$1800,$A123,الريسبي!$B$2:$B$1800,BO$1)</f>
        <v>0</v>
      </c>
      <c r="BP123" s="117" t="n">
        <f aca="false">SUMIFS(الريسبي!$C$2:$C$1800,الريسبي!$A$2:$A$1800,$A123,الريسبي!$B$2:$B$1800,BP$1)</f>
        <v>2</v>
      </c>
      <c r="BQ123" s="117" t="n">
        <f aca="false">SUMIFS(الريسبي!$C$2:$C$1800,الريسبي!$A$2:$A$1800,$A123,الريسبي!$B$2:$B$1800,BQ$1)+0.17*SUMIFS(الريسبي!$C$2:$C$1800,الريسبي!$A$2:$A$1800,$A123,الريسبي!$B$2:$B$1800,"كاسترد مصنع (خليط بودر + لبن)")+0.17*SUMIFS(الريسبي!$C$2:$C$1800,الريسبي!$A$2:$A$1800,$A123,الريسبي!$B$2:$B$1800,"كاسترد مصنع صيامي (بدون لبن)")</f>
        <v>0</v>
      </c>
      <c r="BR123" s="117" t="n">
        <f aca="false">SUMIFS(الريسبي!$C$2:$C$1800,الريسبي!$A$2:$A$1800,$A123,الريسبي!$B$2:$B$1800,BR$1)</f>
        <v>0</v>
      </c>
      <c r="BS123" s="117" t="n">
        <f aca="false">SUMIFS(الريسبي!$C$2:$C$1800,الريسبي!$A$2:$A$1800,$A123,الريسبي!$B$2:$B$1800,BS$1)</f>
        <v>0</v>
      </c>
      <c r="BT123" s="117" t="n">
        <f aca="false">SUMIFS(الريسبي!$C$2:$C$1800,الريسبي!$A$2:$A$1800,$A123,الريسبي!$B$2:$B$1800,BT$1)</f>
        <v>0</v>
      </c>
      <c r="BU123" s="117" t="n">
        <f aca="false">SUMIFS(الريسبي!$C$2:$C$1800,الريسبي!$A$2:$A$1800,$A123,الريسبي!$B$2:$B$1800,BU$1)+0.4*SUMIFS(الريسبي!$C$2:$C$1800,الريسبي!$A$2:$A$1800,$A123,الريسبي!$B$2:$B$1800,"كاسترد مصنع (خليط بودر + لبن)")+0.03333333333*SUMIFS(الريسبي!$C$2:$C$1800,الريسبي!$A$2:$A$1800,$A123,الريسبي!$B$2:$B$1800,"عجين كريب (مصنع بالمطعم)")</f>
        <v>0</v>
      </c>
      <c r="BV123" s="117" t="n">
        <f aca="false">SUMIFS(الريسبي!$C$2:$C$1800,الريسبي!$A$2:$A$1800,$A123,الريسبي!$B$2:$B$1800,BV$1)</f>
        <v>0</v>
      </c>
      <c r="BW123" s="117" t="n">
        <f aca="false">SUMIFS(الريسبي!$C$2:$C$1800,الريسبي!$A$2:$A$1800,$A123,الريسبي!$B$2:$B$1800,BW$1)</f>
        <v>0</v>
      </c>
      <c r="BX123" s="117" t="n">
        <f aca="false">SUMIFS(الريسبي!$C$2:$C$1800,الريسبي!$A$2:$A$1800,$A123,الريسبي!$B$2:$B$1800,BX$1)</f>
        <v>0</v>
      </c>
      <c r="BY123" s="117" t="n">
        <f aca="false">SUMIFS(الريسبي!$C$2:$C$1800,الريسبي!$A$2:$A$1800,$A123,الريسبي!$B$2:$B$1800,BY$1)</f>
        <v>0.15</v>
      </c>
      <c r="BZ123" s="117" t="n">
        <f aca="false">SUMIFS(الريسبي!$C$2:$C$1800,الريسبي!$A$2:$A$1800,$A123,الريسبي!$B$2:$B$1800,BZ$1)</f>
        <v>0</v>
      </c>
      <c r="CA123" s="117" t="n">
        <f aca="false">SUMIFS(الريسبي!$C$2:$C$1800,الريسبي!$A$2:$A$1800,$A123,الريسبي!$B$2:$B$1800,CA$1)</f>
        <v>0</v>
      </c>
      <c r="CB123" s="117" t="n">
        <f aca="false">SUMIFS(الريسبي!$C$2:$C$1800,الريسبي!$A$2:$A$1800,$A123,الريسبي!$B$2:$B$1800,CB$1)</f>
        <v>0</v>
      </c>
      <c r="CC123" s="117" t="n">
        <f aca="false">SUMIFS(الريسبي!$C$2:$C$1800,الريسبي!$A$2:$A$1800,$A123,الريسبي!$B$2:$B$1800,CC$1)</f>
        <v>1</v>
      </c>
      <c r="CD123" s="117" t="n">
        <f aca="false">SUMIFS(الريسبي!$C$2:$C$1800,الريسبي!$A$2:$A$1800,$A123,الريسبي!$B$2:$B$1800,CD$1)</f>
        <v>0</v>
      </c>
      <c r="CE123" s="117" t="n">
        <f aca="false">SUMIFS(الريسبي!$C$2:$C$1800,الريسبي!$A$2:$A$1800,$A123,الريسبي!$B$2:$B$1800,CE$1)</f>
        <v>0</v>
      </c>
      <c r="CF123" s="117" t="n">
        <f aca="false">SUMIFS(الريسبي!$C$2:$C$1800,الريسبي!$A$2:$A$1800,$A123,الريسبي!$B$2:$B$1800,CF$1)</f>
        <v>0</v>
      </c>
      <c r="CG123" s="117" t="n">
        <f aca="false">SUMIFS(الريسبي!$C$2:$C$1800,الريسبي!$A$2:$A$1800,$A123,الريسبي!$B$2:$B$1800,CG$1)</f>
        <v>0</v>
      </c>
      <c r="CH123" s="117" t="n">
        <f aca="false">SUMIFS(الريسبي!$C$2:$C$1800,الريسبي!$A$2:$A$1800,$A123,الريسبي!$B$2:$B$1800,CH$1)</f>
        <v>0</v>
      </c>
      <c r="CI123" s="117" t="n">
        <f aca="false">SUMIFS(الريسبي!$C$2:$C$1800,الريسبي!$A$2:$A$1800,$A123,الريسبي!$B$2:$B$1800,CI$1)</f>
        <v>0</v>
      </c>
      <c r="CJ123" s="117" t="n">
        <f aca="false">SUMIFS(الريسبي!$C$2:$C$1800,الريسبي!$A$2:$A$1800,$A123,الريسبي!$B$2:$B$1800,CJ$1)</f>
        <v>0</v>
      </c>
      <c r="CK123" s="117" t="n">
        <f aca="false">SUMIFS(الريسبي!$C$2:$C$1800,الريسبي!$A$2:$A$1800,$A123,الريسبي!$B$2:$B$1800,CK$1)</f>
        <v>0</v>
      </c>
      <c r="CL123" s="117" t="n">
        <f aca="false">SUMIFS(الريسبي!$C$2:$C$1800,الريسبي!$A$2:$A$1800,$A123,الريسبي!$B$2:$B$1800,CL$1)</f>
        <v>0</v>
      </c>
    </row>
    <row r="124" customFormat="false" ht="15" hidden="false" customHeight="false" outlineLevel="0" collapsed="false">
      <c r="A124" s="116" t="str">
        <f aca="false">المنيو!B124</f>
        <v>كريب بطاطس صيامي</v>
      </c>
      <c r="B124" s="117" t="n">
        <f aca="false">SUMIFS(الريسبي!$C$2:$C$1800,الريسبي!$A$2:$A$1800,$A124,الريسبي!$B$2:$B$1800,B$1)</f>
        <v>0</v>
      </c>
      <c r="C124" s="117" t="n">
        <f aca="false">SUMIFS(الريسبي!$C$2:$C$1800,الريسبي!$A$2:$A$1800,$A124,الريسبي!$B$2:$B$1800,C$1)</f>
        <v>0</v>
      </c>
      <c r="D124" s="117" t="n">
        <f aca="false">SUMIFS(الريسبي!$C$2:$C$1800,الريسبي!$A$2:$A$1800,$A124,الريسبي!$B$2:$B$1800,D$1)</f>
        <v>0</v>
      </c>
      <c r="E124" s="117" t="n">
        <f aca="false">SUMIFS(الريسبي!$C$2:$C$1800,الريسبي!$A$2:$A$1800,$A124,الريسبي!$B$2:$B$1800,E$1)</f>
        <v>0</v>
      </c>
      <c r="F124" s="117" t="n">
        <f aca="false">SUMIFS(الريسبي!$C$2:$C$1800,الريسبي!$A$2:$A$1800,$A124,الريسبي!$B$2:$B$1800,F$1)</f>
        <v>0</v>
      </c>
      <c r="G124" s="117" t="n">
        <f aca="false">SUMIFS(الريسبي!$C$2:$C$1800,الريسبي!$A$2:$A$1800,$A124,الريسبي!$B$2:$B$1800,G$1)</f>
        <v>0</v>
      </c>
      <c r="H124" s="117" t="n">
        <f aca="false">SUMIFS(الريسبي!$C$2:$C$1800,الريسبي!$A$2:$A$1800,$A124,الريسبي!$B$2:$B$1800,H$1)</f>
        <v>0</v>
      </c>
      <c r="I124" s="117" t="n">
        <f aca="false">SUMIFS(الريسبي!$C$2:$C$1800,الريسبي!$A$2:$A$1800,$A124,الريسبي!$B$2:$B$1800,I$1)</f>
        <v>1.5</v>
      </c>
      <c r="J124" s="117" t="n">
        <f aca="false">SUMIFS(الريسبي!$C$2:$C$1800,الريسبي!$A$2:$A$1800,$A124,الريسبي!$B$2:$B$1800,J$1)</f>
        <v>0</v>
      </c>
      <c r="K124" s="117" t="n">
        <f aca="false">SUMIFS(الريسبي!$C$2:$C$1800,الريسبي!$A$2:$A$1800,$A124,الريسبي!$B$2:$B$1800,K$1)</f>
        <v>0</v>
      </c>
      <c r="L124" s="117" t="n">
        <f aca="false">SUMIFS(الريسبي!$C$2:$C$1800,الريسبي!$A$2:$A$1800,$A124,الريسبي!$B$2:$B$1800,L$1)</f>
        <v>0</v>
      </c>
      <c r="M124" s="117" t="n">
        <f aca="false">SUMIFS(الريسبي!$C$2:$C$1800,الريسبي!$A$2:$A$1800,$A124,الريسبي!$B$2:$B$1800,M$1)</f>
        <v>0</v>
      </c>
      <c r="N124" s="117" t="n">
        <f aca="false">SUMIFS(الريسبي!$C$2:$C$1800,الريسبي!$A$2:$A$1800,$A124,الريسبي!$B$2:$B$1800,N$1)</f>
        <v>0</v>
      </c>
      <c r="O124" s="117" t="n">
        <f aca="false">SUMIFS(الريسبي!$C$2:$C$1800,الريسبي!$A$2:$A$1800,$A124,الريسبي!$B$2:$B$1800,O$1)</f>
        <v>0</v>
      </c>
      <c r="P124" s="117" t="n">
        <f aca="false">SUMIFS(الريسبي!$C$2:$C$1800,الريسبي!$A$2:$A$1800,$A124,الريسبي!$B$2:$B$1800,P$1)</f>
        <v>0</v>
      </c>
      <c r="Q124" s="117" t="n">
        <f aca="false">SUMIFS(الريسبي!$C$2:$C$1800,الريسبي!$A$2:$A$1800,$A124,الريسبي!$B$2:$B$1800,Q$1)</f>
        <v>0</v>
      </c>
      <c r="R124" s="117" t="n">
        <f aca="false">SUMIFS(الريسبي!$C$2:$C$1800,الريسبي!$A$2:$A$1800,$A124,الريسبي!$B$2:$B$1800,R$1)</f>
        <v>0</v>
      </c>
      <c r="S124" s="117" t="n">
        <f aca="false">SUMIFS(الريسبي!$C$2:$C$1800,الريسبي!$A$2:$A$1800,$A124,الريسبي!$B$2:$B$1800,S$1)</f>
        <v>0</v>
      </c>
      <c r="T124" s="117" t="n">
        <f aca="false">SUMIFS(الريسبي!$C$2:$C$1800,الريسبي!$A$2:$A$1800,$A124,الريسبي!$B$2:$B$1800,T$1)</f>
        <v>0</v>
      </c>
      <c r="U124" s="117" t="n">
        <f aca="false">SUMIFS(الريسبي!$C$2:$C$1800,الريسبي!$A$2:$A$1800,$A124,الريسبي!$B$2:$B$1800,U$1)</f>
        <v>0</v>
      </c>
      <c r="V124" s="117" t="n">
        <f aca="false">SUMIFS(الريسبي!$C$2:$C$1800,الريسبي!$A$2:$A$1800,$A124,الريسبي!$B$2:$B$1800,V$1)</f>
        <v>0</v>
      </c>
      <c r="W124" s="117" t="n">
        <f aca="false">SUMIFS(الريسبي!$C$2:$C$1800,الريسبي!$A$2:$A$1800,$A124,الريسبي!$B$2:$B$1800,W$1)</f>
        <v>0</v>
      </c>
      <c r="X124" s="117" t="n">
        <f aca="false">SUMIFS(الريسبي!$C$2:$C$1800,الريسبي!$A$2:$A$1800,$A124,الريسبي!$B$2:$B$1800,X$1)</f>
        <v>1</v>
      </c>
      <c r="Y124" s="117" t="n">
        <f aca="false">SUMIFS(الريسبي!$C$2:$C$1800,الريسبي!$A$2:$A$1800,$A124,الريسبي!$B$2:$B$1800,Y$1)</f>
        <v>0</v>
      </c>
      <c r="Z124" s="117" t="n">
        <f aca="false">SUMIFS(الريسبي!$C$2:$C$1800,الريسبي!$A$2:$A$1800,$A124,الريسبي!$B$2:$B$1800,Z$1)</f>
        <v>0</v>
      </c>
      <c r="AA124" s="117" t="n">
        <f aca="false">SUMIFS(الريسبي!$C$2:$C$1800,الريسبي!$A$2:$A$1800,$A124,الريسبي!$B$2:$B$1800,AA$1)</f>
        <v>0</v>
      </c>
      <c r="AB124" s="117" t="n">
        <f aca="false">SUMIFS(الريسبي!$C$2:$C$1800,الريسبي!$A$2:$A$1800,$A124,الريسبي!$B$2:$B$1800,AB$1)</f>
        <v>0</v>
      </c>
      <c r="AC124" s="117" t="n">
        <f aca="false">SUMIFS(الريسبي!$C$2:$C$1800,الريسبي!$A$2:$A$1800,$A124,الريسبي!$B$2:$B$1800,AC$1)</f>
        <v>0</v>
      </c>
      <c r="AD124" s="117" t="n">
        <f aca="false">SUMIFS(الريسبي!$C$2:$C$1800,الريسبي!$A$2:$A$1800,$A124,الريسبي!$B$2:$B$1800,AD$1)</f>
        <v>0</v>
      </c>
      <c r="AE124" s="117" t="n">
        <f aca="false">SUMIFS(الريسبي!$C$2:$C$1800,الريسبي!$A$2:$A$1800,$A124,الريسبي!$B$2:$B$1800,AE$1)</f>
        <v>0</v>
      </c>
      <c r="AF124" s="117" t="n">
        <f aca="false">SUMIFS(الريسبي!$C$2:$C$1800,الريسبي!$A$2:$A$1800,$A124,الريسبي!$B$2:$B$1800,AF$1)</f>
        <v>0</v>
      </c>
      <c r="AG124" s="117" t="n">
        <f aca="false">SUMIFS(الريسبي!$C$2:$C$1800,الريسبي!$A$2:$A$1800,$A124,الريسبي!$B$2:$B$1800,AG$1)</f>
        <v>0</v>
      </c>
      <c r="AH124" s="117" t="n">
        <f aca="false">SUMIFS(الريسبي!$C$2:$C$1800,الريسبي!$A$2:$A$1800,$A124,الريسبي!$B$2:$B$1800,AH$1)</f>
        <v>0</v>
      </c>
      <c r="AI124" s="117" t="n">
        <f aca="false">SUMIFS(الريسبي!$C$2:$C$1800,الريسبي!$A$2:$A$1800,$A124,الريسبي!$B$2:$B$1800,AI$1)</f>
        <v>0</v>
      </c>
      <c r="AJ124" s="117" t="n">
        <f aca="false">SUMIFS(الريسبي!$C$2:$C$1800,الريسبي!$A$2:$A$1800,$A124,الريسبي!$B$2:$B$1800,AJ$1)</f>
        <v>0</v>
      </c>
      <c r="AK124" s="117" t="n">
        <f aca="false">SUMIFS(الريسبي!$C$2:$C$1800,الريسبي!$A$2:$A$1800,$A124,الريسبي!$B$2:$B$1800,AK$1)</f>
        <v>0</v>
      </c>
      <c r="AL124" s="117" t="n">
        <f aca="false">SUMIFS(الريسبي!$C$2:$C$1800,الريسبي!$A$2:$A$1800,$A124,الريسبي!$B$2:$B$1800,AL$1)</f>
        <v>0</v>
      </c>
      <c r="AM124" s="117" t="n">
        <f aca="false">SUMIFS(الريسبي!$C$2:$C$1800,الريسبي!$A$2:$A$1800,$A124,الريسبي!$B$2:$B$1800,AM$1)+0.08333333333*SUMIFS(الريسبي!$C$2:$C$1800,الريسبي!$A$2:$A$1800,$A124,الريسبي!$B$2:$B$1800,"عجين كريب (مصنع بالمطعم)")+0.08333333333*SUMIFS(الريسبي!$C$2:$C$1800,الريسبي!$A$2:$A$1800,$A124,الريسبي!$B$2:$B$1800,"عجين كريب صيامي (بدون لبن)")</f>
        <v>0.08333333333</v>
      </c>
      <c r="AN124" s="117" t="n">
        <f aca="false">SUMIFS(الريسبي!$C$2:$C$1800,الريسبي!$A$2:$A$1800,$A124,الريسبي!$B$2:$B$1800,AN$1)+0.004166666667*SUMIFS(الريسبي!$C$2:$C$1800,الريسبي!$A$2:$A$1800,$A124,الريسبي!$B$2:$B$1800,"عجين كريب (مصنع بالمطعم)")+0.004166666667*SUMIFS(الريسبي!$C$2:$C$1800,الريسبي!$A$2:$A$1800,$A124,الريسبي!$B$2:$B$1800,"عجين كريب صيامي (بدون لبن)")</f>
        <v>0.004166666667</v>
      </c>
      <c r="AO124" s="117" t="n">
        <f aca="false">SUMIFS(الريسبي!$C$2:$C$1800,الريسبي!$A$2:$A$1800,$A124,الريسبي!$B$2:$B$1800,AO$1)</f>
        <v>0</v>
      </c>
      <c r="AP124" s="117" t="n">
        <f aca="false">SUMIFS(الريسبي!$C$2:$C$1800,الريسبي!$A$2:$A$1800,$A124,الريسبي!$B$2:$B$1800,AP$1)</f>
        <v>0.02</v>
      </c>
      <c r="AQ124" s="117" t="n">
        <f aca="false">SUMIFS(الريسبي!$C$2:$C$1800,الريسبي!$A$2:$A$1800,$A124,الريسبي!$B$2:$B$1800,AQ$1)+0.004166666667*SUMIFS(الريسبي!$C$2:$C$1800,الريسبي!$A$2:$A$1800,$A124,الريسبي!$B$2:$B$1800,"عجين كريب (مصنع بالمطعم)")+0.004166666667*SUMIFS(الريسبي!$C$2:$C$1800,الريسبي!$A$2:$A$1800,$A124,الريسبي!$B$2:$B$1800,"عجين كريب صيامي (بدون لبن)")</f>
        <v>0.004166666667</v>
      </c>
      <c r="AR124" s="117" t="n">
        <f aca="false">SUMIFS(الريسبي!$C$2:$C$1800,الريسبي!$A$2:$A$1800,$A124,الريسبي!$B$2:$B$1800,AR$1)</f>
        <v>0</v>
      </c>
      <c r="AS124" s="117" t="n">
        <f aca="false">SUMIFS(الريسبي!$C$2:$C$1800,الريسبي!$A$2:$A$1800,$A124,الريسبي!$B$2:$B$1800,AS$1)</f>
        <v>1</v>
      </c>
      <c r="AT124" s="117" t="n">
        <f aca="false">SUMIFS(الريسبي!$C$2:$C$1800,الريسبي!$A$2:$A$1800,$A124,الريسبي!$B$2:$B$1800,AT$1)</f>
        <v>0</v>
      </c>
      <c r="AU124" s="117" t="n">
        <f aca="false">SUMIFS(الريسبي!$C$2:$C$1800,الريسبي!$A$2:$A$1800,$A124,الريسبي!$B$2:$B$1800,AU$1)</f>
        <v>0</v>
      </c>
      <c r="AV124" s="117" t="n">
        <f aca="false">SUMIFS(الريسبي!$C$2:$C$1800,الريسبي!$A$2:$A$1800,$A124,الريسبي!$B$2:$B$1800,AV$1)</f>
        <v>0</v>
      </c>
      <c r="AW124" s="117" t="n">
        <f aca="false">SUMIFS(الريسبي!$C$2:$C$1800,الريسبي!$A$2:$A$1800,$A124,الريسبي!$B$2:$B$1800,AW$1)</f>
        <v>0</v>
      </c>
      <c r="AX124" s="117" t="n">
        <f aca="false">SUMIFS(الريسبي!$C$2:$C$1800,الريسبي!$A$2:$A$1800,$A124,الريسبي!$B$2:$B$1800,AX$1)</f>
        <v>0</v>
      </c>
      <c r="AY124" s="117" t="n">
        <f aca="false">SUMIFS(الريسبي!$C$2:$C$1800,الريسبي!$A$2:$A$1800,$A124,الريسبي!$B$2:$B$1800,AY$1)</f>
        <v>0</v>
      </c>
      <c r="AZ124" s="117" t="n">
        <f aca="false">SUMIFS(الريسبي!$C$2:$C$1800,الريسبي!$A$2:$A$1800,$A124,الريسبي!$B$2:$B$1800,AZ$1)</f>
        <v>0</v>
      </c>
      <c r="BA124" s="117" t="n">
        <f aca="false">SUMIFS(الريسبي!$C$2:$C$1800,الريسبي!$A$2:$A$1800,$A124,الريسبي!$B$2:$B$1800,BA$1)</f>
        <v>0</v>
      </c>
      <c r="BB124" s="117" t="n">
        <f aca="false">SUMIFS(الريسبي!$C$2:$C$1800,الريسبي!$A$2:$A$1800,$A124,الريسبي!$B$2:$B$1800,BB$1)</f>
        <v>0</v>
      </c>
      <c r="BC124" s="117" t="n">
        <f aca="false">SUMIFS(الريسبي!$C$2:$C$1800,الريسبي!$A$2:$A$1800,$A124,الريسبي!$B$2:$B$1800,BC$1)</f>
        <v>0.03</v>
      </c>
      <c r="BD124" s="117" t="n">
        <f aca="false">SUMIFS(الريسبي!$C$2:$C$1800,الريسبي!$A$2:$A$1800,$A124,الريسبي!$B$2:$B$1800,BD$1)</f>
        <v>0</v>
      </c>
      <c r="BE124" s="117" t="n">
        <f aca="false">SUMIFS(الريسبي!$C$2:$C$1800,الريسبي!$A$2:$A$1800,$A124,الريسبي!$B$2:$B$1800,BE$1)</f>
        <v>0</v>
      </c>
      <c r="BF124" s="117" t="n">
        <f aca="false">SUMIFS(الريسبي!$C$2:$C$1800,الريسبي!$A$2:$A$1800,$A124,الريسبي!$B$2:$B$1800,BF$1)</f>
        <v>0</v>
      </c>
      <c r="BG124" s="117" t="n">
        <f aca="false">SUMIFS(الريسبي!$C$2:$C$1800,الريسبي!$A$2:$A$1800,$A124,الريسبي!$B$2:$B$1800,BG$1)</f>
        <v>0</v>
      </c>
      <c r="BH124" s="117" t="n">
        <f aca="false">SUMIFS(الريسبي!$C$2:$C$1800,الريسبي!$A$2:$A$1800,$A124,الريسبي!$B$2:$B$1800,BH$1)</f>
        <v>0</v>
      </c>
      <c r="BI124" s="117" t="n">
        <f aca="false">SUMIFS(الريسبي!$C$2:$C$1800,الريسبي!$A$2:$A$1800,$A124,الريسبي!$B$2:$B$1800,BI$1)</f>
        <v>0</v>
      </c>
      <c r="BJ124" s="117" t="n">
        <f aca="false">SUMIFS(الريسبي!$C$2:$C$1800,الريسبي!$A$2:$A$1800,$A124,الريسبي!$B$2:$B$1800,BJ$1)</f>
        <v>0</v>
      </c>
      <c r="BK124" s="117" t="n">
        <f aca="false">SUMIFS(الريسبي!$C$2:$C$1800,الريسبي!$A$2:$A$1800,$A124,الريسبي!$B$2:$B$1800,BK$1)</f>
        <v>0</v>
      </c>
      <c r="BL124" s="117" t="n">
        <f aca="false">SUMIFS(الريسبي!$C$2:$C$1800,الريسبي!$A$2:$A$1800,$A124,الريسبي!$B$2:$B$1800,BL$1)</f>
        <v>0</v>
      </c>
      <c r="BM124" s="117" t="n">
        <f aca="false">SUMIFS(الريسبي!$C$2:$C$1800,الريسبي!$A$2:$A$1800,$A124,الريسبي!$B$2:$B$1800,BM$1)</f>
        <v>0</v>
      </c>
      <c r="BN124" s="117" t="n">
        <f aca="false">SUMIFS(الريسبي!$C$2:$C$1800,الريسبي!$A$2:$A$1800,$A124,الريسبي!$B$2:$B$1800,BN$1)</f>
        <v>0.02</v>
      </c>
      <c r="BO124" s="117" t="n">
        <f aca="false">SUMIFS(الريسبي!$C$2:$C$1800,الريسبي!$A$2:$A$1800,$A124,الريسبي!$B$2:$B$1800,BO$1)</f>
        <v>0</v>
      </c>
      <c r="BP124" s="117" t="n">
        <f aca="false">SUMIFS(الريسبي!$C$2:$C$1800,الريسبي!$A$2:$A$1800,$A124,الريسبي!$B$2:$B$1800,BP$1)</f>
        <v>0</v>
      </c>
      <c r="BQ124" s="117" t="n">
        <f aca="false">SUMIFS(الريسبي!$C$2:$C$1800,الريسبي!$A$2:$A$1800,$A124,الريسبي!$B$2:$B$1800,BQ$1)+0.17*SUMIFS(الريسبي!$C$2:$C$1800,الريسبي!$A$2:$A$1800,$A124,الريسبي!$B$2:$B$1800,"كاسترد مصنع (خليط بودر + لبن)")+0.17*SUMIFS(الريسبي!$C$2:$C$1800,الريسبي!$A$2:$A$1800,$A124,الريسبي!$B$2:$B$1800,"كاسترد مصنع صيامي (بدون لبن)")</f>
        <v>0</v>
      </c>
      <c r="BR124" s="117" t="n">
        <f aca="false">SUMIFS(الريسبي!$C$2:$C$1800,الريسبي!$A$2:$A$1800,$A124,الريسبي!$B$2:$B$1800,BR$1)</f>
        <v>0</v>
      </c>
      <c r="BS124" s="117" t="n">
        <f aca="false">SUMIFS(الريسبي!$C$2:$C$1800,الريسبي!$A$2:$A$1800,$A124,الريسبي!$B$2:$B$1800,BS$1)</f>
        <v>0</v>
      </c>
      <c r="BT124" s="117" t="n">
        <f aca="false">SUMIFS(الريسبي!$C$2:$C$1800,الريسبي!$A$2:$A$1800,$A124,الريسبي!$B$2:$B$1800,BT$1)</f>
        <v>1</v>
      </c>
      <c r="BU124" s="117" t="n">
        <f aca="false">SUMIFS(الريسبي!$C$2:$C$1800,الريسبي!$A$2:$A$1800,$A124,الريسبي!$B$2:$B$1800,BU$1)+0.4*SUMIFS(الريسبي!$C$2:$C$1800,الريسبي!$A$2:$A$1800,$A124,الريسبي!$B$2:$B$1800,"كاسترد مصنع (خليط بودر + لبن)")+0.03333333333*SUMIFS(الريسبي!$C$2:$C$1800,الريسبي!$A$2:$A$1800,$A124,الريسبي!$B$2:$B$1800,"عجين كريب (مصنع بالمطعم)")</f>
        <v>0</v>
      </c>
      <c r="BV124" s="117" t="n">
        <f aca="false">SUMIFS(الريسبي!$C$2:$C$1800,الريسبي!$A$2:$A$1800,$A124,الريسبي!$B$2:$B$1800,BV$1)</f>
        <v>0</v>
      </c>
      <c r="BW124" s="117" t="n">
        <f aca="false">SUMIFS(الريسبي!$C$2:$C$1800,الريسبي!$A$2:$A$1800,$A124,الريسبي!$B$2:$B$1800,BW$1)</f>
        <v>0</v>
      </c>
      <c r="BX124" s="117" t="n">
        <f aca="false">SUMIFS(الريسبي!$C$2:$C$1800,الريسبي!$A$2:$A$1800,$A124,الريسبي!$B$2:$B$1800,BX$1)</f>
        <v>0</v>
      </c>
      <c r="BY124" s="117" t="n">
        <f aca="false">SUMIFS(الريسبي!$C$2:$C$1800,الريسبي!$A$2:$A$1800,$A124,الريسبي!$B$2:$B$1800,BY$1)</f>
        <v>0</v>
      </c>
      <c r="BZ124" s="117" t="n">
        <f aca="false">SUMIFS(الريسبي!$C$2:$C$1800,الريسبي!$A$2:$A$1800,$A124,الريسبي!$B$2:$B$1800,BZ$1)</f>
        <v>0</v>
      </c>
      <c r="CA124" s="117" t="n">
        <f aca="false">SUMIFS(الريسبي!$C$2:$C$1800,الريسبي!$A$2:$A$1800,$A124,الريسبي!$B$2:$B$1800,CA$1)</f>
        <v>0</v>
      </c>
      <c r="CB124" s="117" t="n">
        <f aca="false">SUMIFS(الريسبي!$C$2:$C$1800,الريسبي!$A$2:$A$1800,$A124,الريسبي!$B$2:$B$1800,CB$1)</f>
        <v>0</v>
      </c>
      <c r="CC124" s="117" t="n">
        <f aca="false">SUMIFS(الريسبي!$C$2:$C$1800,الريسبي!$A$2:$A$1800,$A124,الريسبي!$B$2:$B$1800,CC$1)</f>
        <v>0</v>
      </c>
      <c r="CD124" s="117" t="n">
        <f aca="false">SUMIFS(الريسبي!$C$2:$C$1800,الريسبي!$A$2:$A$1800,$A124,الريسبي!$B$2:$B$1800,CD$1)</f>
        <v>0</v>
      </c>
      <c r="CE124" s="117" t="n">
        <f aca="false">SUMIFS(الريسبي!$C$2:$C$1800,الريسبي!$A$2:$A$1800,$A124,الريسبي!$B$2:$B$1800,CE$1)</f>
        <v>0</v>
      </c>
      <c r="CF124" s="117" t="n">
        <f aca="false">SUMIFS(الريسبي!$C$2:$C$1800,الريسبي!$A$2:$A$1800,$A124,الريسبي!$B$2:$B$1800,CF$1)</f>
        <v>0</v>
      </c>
      <c r="CG124" s="117" t="n">
        <f aca="false">SUMIFS(الريسبي!$C$2:$C$1800,الريسبي!$A$2:$A$1800,$A124,الريسبي!$B$2:$B$1800,CG$1)</f>
        <v>0</v>
      </c>
      <c r="CH124" s="117" t="n">
        <f aca="false">SUMIFS(الريسبي!$C$2:$C$1800,الريسبي!$A$2:$A$1800,$A124,الريسبي!$B$2:$B$1800,CH$1)</f>
        <v>0</v>
      </c>
      <c r="CI124" s="117" t="n">
        <f aca="false">SUMIFS(الريسبي!$C$2:$C$1800,الريسبي!$A$2:$A$1800,$A124,الريسبي!$B$2:$B$1800,CI$1)</f>
        <v>0</v>
      </c>
      <c r="CJ124" s="117" t="n">
        <f aca="false">SUMIFS(الريسبي!$C$2:$C$1800,الريسبي!$A$2:$A$1800,$A124,الريسبي!$B$2:$B$1800,CJ$1)</f>
        <v>0</v>
      </c>
      <c r="CK124" s="117" t="n">
        <f aca="false">SUMIFS(الريسبي!$C$2:$C$1800,الريسبي!$A$2:$A$1800,$A124,الريسبي!$B$2:$B$1800,CK$1)</f>
        <v>0</v>
      </c>
      <c r="CL124" s="117" t="n">
        <f aca="false">SUMIFS(الريسبي!$C$2:$C$1800,الريسبي!$A$2:$A$1800,$A124,الريسبي!$B$2:$B$1800,CL$1)</f>
        <v>0</v>
      </c>
    </row>
    <row r="125" customFormat="false" ht="15" hidden="false" customHeight="false" outlineLevel="0" collapsed="false">
      <c r="A125" s="116" t="str">
        <f aca="false">المنيو!B125</f>
        <v>كريب فراخ باربيكيو صيامي</v>
      </c>
      <c r="B125" s="117" t="n">
        <f aca="false">SUMIFS(الريسبي!$C$2:$C$1800,الريسبي!$A$2:$A$1800,$A125,الريسبي!$B$2:$B$1800,B$1)</f>
        <v>0</v>
      </c>
      <c r="C125" s="117" t="n">
        <f aca="false">SUMIFS(الريسبي!$C$2:$C$1800,الريسبي!$A$2:$A$1800,$A125,الريسبي!$B$2:$B$1800,C$1)</f>
        <v>0</v>
      </c>
      <c r="D125" s="117" t="n">
        <f aca="false">SUMIFS(الريسبي!$C$2:$C$1800,الريسبي!$A$2:$A$1800,$A125,الريسبي!$B$2:$B$1800,D$1)</f>
        <v>0</v>
      </c>
      <c r="E125" s="117" t="n">
        <f aca="false">SUMIFS(الريسبي!$C$2:$C$1800,الريسبي!$A$2:$A$1800,$A125,الريسبي!$B$2:$B$1800,E$1)</f>
        <v>0</v>
      </c>
      <c r="F125" s="117" t="n">
        <f aca="false">SUMIFS(الريسبي!$C$2:$C$1800,الريسبي!$A$2:$A$1800,$A125,الريسبي!$B$2:$B$1800,F$1)</f>
        <v>0</v>
      </c>
      <c r="G125" s="117" t="n">
        <f aca="false">SUMIFS(الريسبي!$C$2:$C$1800,الريسبي!$A$2:$A$1800,$A125,الريسبي!$B$2:$B$1800,G$1)</f>
        <v>0</v>
      </c>
      <c r="H125" s="117" t="n">
        <f aca="false">SUMIFS(الريسبي!$C$2:$C$1800,الريسبي!$A$2:$A$1800,$A125,الريسبي!$B$2:$B$1800,H$1)</f>
        <v>0</v>
      </c>
      <c r="I125" s="117" t="n">
        <f aca="false">SUMIFS(الريسبي!$C$2:$C$1800,الريسبي!$A$2:$A$1800,$A125,الريسبي!$B$2:$B$1800,I$1)</f>
        <v>0</v>
      </c>
      <c r="J125" s="117" t="n">
        <f aca="false">SUMIFS(الريسبي!$C$2:$C$1800,الريسبي!$A$2:$A$1800,$A125,الريسبي!$B$2:$B$1800,J$1)</f>
        <v>0</v>
      </c>
      <c r="K125" s="117" t="n">
        <f aca="false">SUMIFS(الريسبي!$C$2:$C$1800,الريسبي!$A$2:$A$1800,$A125,الريسبي!$B$2:$B$1800,K$1)</f>
        <v>0</v>
      </c>
      <c r="L125" s="117" t="n">
        <f aca="false">SUMIFS(الريسبي!$C$2:$C$1800,الريسبي!$A$2:$A$1800,$A125,الريسبي!$B$2:$B$1800,L$1)</f>
        <v>0</v>
      </c>
      <c r="M125" s="117" t="n">
        <f aca="false">SUMIFS(الريسبي!$C$2:$C$1800,الريسبي!$A$2:$A$1800,$A125,الريسبي!$B$2:$B$1800,M$1)</f>
        <v>0</v>
      </c>
      <c r="N125" s="117" t="n">
        <f aca="false">SUMIFS(الريسبي!$C$2:$C$1800,الريسبي!$A$2:$A$1800,$A125,الريسبي!$B$2:$B$1800,N$1)</f>
        <v>0</v>
      </c>
      <c r="O125" s="117" t="n">
        <f aca="false">SUMIFS(الريسبي!$C$2:$C$1800,الريسبي!$A$2:$A$1800,$A125,الريسبي!$B$2:$B$1800,O$1)</f>
        <v>0</v>
      </c>
      <c r="P125" s="117" t="n">
        <f aca="false">SUMIFS(الريسبي!$C$2:$C$1800,الريسبي!$A$2:$A$1800,$A125,الريسبي!$B$2:$B$1800,P$1)</f>
        <v>0</v>
      </c>
      <c r="Q125" s="117" t="n">
        <f aca="false">SUMIFS(الريسبي!$C$2:$C$1800,الريسبي!$A$2:$A$1800,$A125,الريسبي!$B$2:$B$1800,Q$1)</f>
        <v>0</v>
      </c>
      <c r="R125" s="117" t="n">
        <f aca="false">SUMIFS(الريسبي!$C$2:$C$1800,الريسبي!$A$2:$A$1800,$A125,الريسبي!$B$2:$B$1800,R$1)</f>
        <v>0</v>
      </c>
      <c r="S125" s="117" t="n">
        <f aca="false">SUMIFS(الريسبي!$C$2:$C$1800,الريسبي!$A$2:$A$1800,$A125,الريسبي!$B$2:$B$1800,S$1)</f>
        <v>0</v>
      </c>
      <c r="T125" s="117" t="n">
        <f aca="false">SUMIFS(الريسبي!$C$2:$C$1800,الريسبي!$A$2:$A$1800,$A125,الريسبي!$B$2:$B$1800,T$1)</f>
        <v>0</v>
      </c>
      <c r="U125" s="117" t="n">
        <f aca="false">SUMIFS(الريسبي!$C$2:$C$1800,الريسبي!$A$2:$A$1800,$A125,الريسبي!$B$2:$B$1800,U$1)</f>
        <v>0</v>
      </c>
      <c r="V125" s="117" t="n">
        <f aca="false">SUMIFS(الريسبي!$C$2:$C$1800,الريسبي!$A$2:$A$1800,$A125,الريسبي!$B$2:$B$1800,V$1)</f>
        <v>0</v>
      </c>
      <c r="W125" s="117" t="n">
        <f aca="false">SUMIFS(الريسبي!$C$2:$C$1800,الريسبي!$A$2:$A$1800,$A125,الريسبي!$B$2:$B$1800,W$1)</f>
        <v>0</v>
      </c>
      <c r="X125" s="117" t="n">
        <f aca="false">SUMIFS(الريسبي!$C$2:$C$1800,الريسبي!$A$2:$A$1800,$A125,الريسبي!$B$2:$B$1800,X$1)</f>
        <v>1</v>
      </c>
      <c r="Y125" s="117" t="n">
        <f aca="false">SUMIFS(الريسبي!$C$2:$C$1800,الريسبي!$A$2:$A$1800,$A125,الريسبي!$B$2:$B$1800,Y$1)</f>
        <v>0</v>
      </c>
      <c r="Z125" s="117" t="n">
        <f aca="false">SUMIFS(الريسبي!$C$2:$C$1800,الريسبي!$A$2:$A$1800,$A125,الريسبي!$B$2:$B$1800,Z$1)</f>
        <v>0</v>
      </c>
      <c r="AA125" s="117" t="n">
        <f aca="false">SUMIFS(الريسبي!$C$2:$C$1800,الريسبي!$A$2:$A$1800,$A125,الريسبي!$B$2:$B$1800,AA$1)</f>
        <v>0</v>
      </c>
      <c r="AB125" s="117" t="n">
        <f aca="false">SUMIFS(الريسبي!$C$2:$C$1800,الريسبي!$A$2:$A$1800,$A125,الريسبي!$B$2:$B$1800,AB$1)</f>
        <v>0</v>
      </c>
      <c r="AC125" s="117" t="n">
        <f aca="false">SUMIFS(الريسبي!$C$2:$C$1800,الريسبي!$A$2:$A$1800,$A125,الريسبي!$B$2:$B$1800,AC$1)</f>
        <v>0</v>
      </c>
      <c r="AD125" s="117" t="n">
        <f aca="false">SUMIFS(الريسبي!$C$2:$C$1800,الريسبي!$A$2:$A$1800,$A125,الريسبي!$B$2:$B$1800,AD$1)</f>
        <v>0</v>
      </c>
      <c r="AE125" s="117" t="n">
        <f aca="false">SUMIFS(الريسبي!$C$2:$C$1800,الريسبي!$A$2:$A$1800,$A125,الريسبي!$B$2:$B$1800,AE$1)</f>
        <v>0</v>
      </c>
      <c r="AF125" s="117" t="n">
        <f aca="false">SUMIFS(الريسبي!$C$2:$C$1800,الريسبي!$A$2:$A$1800,$A125,الريسبي!$B$2:$B$1800,AF$1)</f>
        <v>0</v>
      </c>
      <c r="AG125" s="117" t="n">
        <f aca="false">SUMIFS(الريسبي!$C$2:$C$1800,الريسبي!$A$2:$A$1800,$A125,الريسبي!$B$2:$B$1800,AG$1)</f>
        <v>0</v>
      </c>
      <c r="AH125" s="117" t="n">
        <f aca="false">SUMIFS(الريسبي!$C$2:$C$1800,الريسبي!$A$2:$A$1800,$A125,الريسبي!$B$2:$B$1800,AH$1)</f>
        <v>0</v>
      </c>
      <c r="AI125" s="117" t="n">
        <f aca="false">SUMIFS(الريسبي!$C$2:$C$1800,الريسبي!$A$2:$A$1800,$A125,الريسبي!$B$2:$B$1800,AI$1)</f>
        <v>0</v>
      </c>
      <c r="AJ125" s="117" t="n">
        <f aca="false">SUMIFS(الريسبي!$C$2:$C$1800,الريسبي!$A$2:$A$1800,$A125,الريسبي!$B$2:$B$1800,AJ$1)</f>
        <v>0</v>
      </c>
      <c r="AK125" s="117" t="n">
        <f aca="false">SUMIFS(الريسبي!$C$2:$C$1800,الريسبي!$A$2:$A$1800,$A125,الريسبي!$B$2:$B$1800,AK$1)</f>
        <v>0</v>
      </c>
      <c r="AL125" s="117" t="n">
        <f aca="false">SUMIFS(الريسبي!$C$2:$C$1800,الريسبي!$A$2:$A$1800,$A125,الريسبي!$B$2:$B$1800,AL$1)</f>
        <v>0</v>
      </c>
      <c r="AM125" s="117" t="n">
        <f aca="false">SUMIFS(الريسبي!$C$2:$C$1800,الريسبي!$A$2:$A$1800,$A125,الريسبي!$B$2:$B$1800,AM$1)+0.08333333333*SUMIFS(الريسبي!$C$2:$C$1800,الريسبي!$A$2:$A$1800,$A125,الريسبي!$B$2:$B$1800,"عجين كريب (مصنع بالمطعم)")+0.08333333333*SUMIFS(الريسبي!$C$2:$C$1800,الريسبي!$A$2:$A$1800,$A125,الريسبي!$B$2:$B$1800,"عجين كريب صيامي (بدون لبن)")</f>
        <v>0.08333333333</v>
      </c>
      <c r="AN125" s="117" t="n">
        <f aca="false">SUMIFS(الريسبي!$C$2:$C$1800,الريسبي!$A$2:$A$1800,$A125,الريسبي!$B$2:$B$1800,AN$1)+0.004166666667*SUMIFS(الريسبي!$C$2:$C$1800,الريسبي!$A$2:$A$1800,$A125,الريسبي!$B$2:$B$1800,"عجين كريب (مصنع بالمطعم)")+0.004166666667*SUMIFS(الريسبي!$C$2:$C$1800,الريسبي!$A$2:$A$1800,$A125,الريسبي!$B$2:$B$1800,"عجين كريب صيامي (بدون لبن)")</f>
        <v>0.004166666667</v>
      </c>
      <c r="AO125" s="117" t="n">
        <f aca="false">SUMIFS(الريسبي!$C$2:$C$1800,الريسبي!$A$2:$A$1800,$A125,الريسبي!$B$2:$B$1800,AO$1)</f>
        <v>0</v>
      </c>
      <c r="AP125" s="117" t="n">
        <f aca="false">SUMIFS(الريسبي!$C$2:$C$1800,الريسبي!$A$2:$A$1800,$A125,الريسبي!$B$2:$B$1800,AP$1)</f>
        <v>0.02</v>
      </c>
      <c r="AQ125" s="117" t="n">
        <f aca="false">SUMIFS(الريسبي!$C$2:$C$1800,الريسبي!$A$2:$A$1800,$A125,الريسبي!$B$2:$B$1800,AQ$1)+0.004166666667*SUMIFS(الريسبي!$C$2:$C$1800,الريسبي!$A$2:$A$1800,$A125,الريسبي!$B$2:$B$1800,"عجين كريب (مصنع بالمطعم)")+0.004166666667*SUMIFS(الريسبي!$C$2:$C$1800,الريسبي!$A$2:$A$1800,$A125,الريسبي!$B$2:$B$1800,"عجين كريب صيامي (بدون لبن)")</f>
        <v>0.004166666667</v>
      </c>
      <c r="AR125" s="117" t="n">
        <f aca="false">SUMIFS(الريسبي!$C$2:$C$1800,الريسبي!$A$2:$A$1800,$A125,الريسبي!$B$2:$B$1800,AR$1)</f>
        <v>0</v>
      </c>
      <c r="AS125" s="117" t="n">
        <f aca="false">SUMIFS(الريسبي!$C$2:$C$1800,الريسبي!$A$2:$A$1800,$A125,الريسبي!$B$2:$B$1800,AS$1)</f>
        <v>1</v>
      </c>
      <c r="AT125" s="117" t="n">
        <f aca="false">SUMIFS(الريسبي!$C$2:$C$1800,الريسبي!$A$2:$A$1800,$A125,الريسبي!$B$2:$B$1800,AT$1)</f>
        <v>0</v>
      </c>
      <c r="AU125" s="117" t="n">
        <f aca="false">SUMIFS(الريسبي!$C$2:$C$1800,الريسبي!$A$2:$A$1800,$A125,الريسبي!$B$2:$B$1800,AU$1)</f>
        <v>0</v>
      </c>
      <c r="AV125" s="117" t="n">
        <f aca="false">SUMIFS(الريسبي!$C$2:$C$1800,الريسبي!$A$2:$A$1800,$A125,الريسبي!$B$2:$B$1800,AV$1)</f>
        <v>0</v>
      </c>
      <c r="AW125" s="117" t="n">
        <f aca="false">SUMIFS(الريسبي!$C$2:$C$1800,الريسبي!$A$2:$A$1800,$A125,الريسبي!$B$2:$B$1800,AW$1)</f>
        <v>0</v>
      </c>
      <c r="AX125" s="117" t="n">
        <f aca="false">SUMIFS(الريسبي!$C$2:$C$1800,الريسبي!$A$2:$A$1800,$A125,الريسبي!$B$2:$B$1800,AX$1)</f>
        <v>0</v>
      </c>
      <c r="AY125" s="117" t="n">
        <f aca="false">SUMIFS(الريسبي!$C$2:$C$1800,الريسبي!$A$2:$A$1800,$A125,الريسبي!$B$2:$B$1800,AY$1)</f>
        <v>0.1</v>
      </c>
      <c r="AZ125" s="117" t="n">
        <f aca="false">SUMIFS(الريسبي!$C$2:$C$1800,الريسبي!$A$2:$A$1800,$A125,الريسبي!$B$2:$B$1800,AZ$1)</f>
        <v>0</v>
      </c>
      <c r="BA125" s="117" t="n">
        <f aca="false">SUMIFS(الريسبي!$C$2:$C$1800,الريسبي!$A$2:$A$1800,$A125,الريسبي!$B$2:$B$1800,BA$1)</f>
        <v>0</v>
      </c>
      <c r="BB125" s="117" t="n">
        <f aca="false">SUMIFS(الريسبي!$C$2:$C$1800,الريسبي!$A$2:$A$1800,$A125,الريسبي!$B$2:$B$1800,BB$1)</f>
        <v>0</v>
      </c>
      <c r="BC125" s="117" t="n">
        <f aca="false">SUMIFS(الريسبي!$C$2:$C$1800,الريسبي!$A$2:$A$1800,$A125,الريسبي!$B$2:$B$1800,BC$1)</f>
        <v>0.03</v>
      </c>
      <c r="BD125" s="117" t="n">
        <f aca="false">SUMIFS(الريسبي!$C$2:$C$1800,الريسبي!$A$2:$A$1800,$A125,الريسبي!$B$2:$B$1800,BD$1)</f>
        <v>0</v>
      </c>
      <c r="BE125" s="117" t="n">
        <f aca="false">SUMIFS(الريسبي!$C$2:$C$1800,الريسبي!$A$2:$A$1800,$A125,الريسبي!$B$2:$B$1800,BE$1)</f>
        <v>0</v>
      </c>
      <c r="BF125" s="117" t="n">
        <f aca="false">SUMIFS(الريسبي!$C$2:$C$1800,الريسبي!$A$2:$A$1800,$A125,الريسبي!$B$2:$B$1800,BF$1)</f>
        <v>0</v>
      </c>
      <c r="BG125" s="117" t="n">
        <f aca="false">SUMIFS(الريسبي!$C$2:$C$1800,الريسبي!$A$2:$A$1800,$A125,الريسبي!$B$2:$B$1800,BG$1)</f>
        <v>0</v>
      </c>
      <c r="BH125" s="117" t="n">
        <f aca="false">SUMIFS(الريسبي!$C$2:$C$1800,الريسبي!$A$2:$A$1800,$A125,الريسبي!$B$2:$B$1800,BH$1)</f>
        <v>0</v>
      </c>
      <c r="BI125" s="117" t="n">
        <f aca="false">SUMIFS(الريسبي!$C$2:$C$1800,الريسبي!$A$2:$A$1800,$A125,الريسبي!$B$2:$B$1800,BI$1)</f>
        <v>0</v>
      </c>
      <c r="BJ125" s="117" t="n">
        <f aca="false">SUMIFS(الريسبي!$C$2:$C$1800,الريسبي!$A$2:$A$1800,$A125,الريسبي!$B$2:$B$1800,BJ$1)</f>
        <v>0</v>
      </c>
      <c r="BK125" s="117" t="n">
        <f aca="false">SUMIFS(الريسبي!$C$2:$C$1800,الريسبي!$A$2:$A$1800,$A125,الريسبي!$B$2:$B$1800,BK$1)</f>
        <v>0</v>
      </c>
      <c r="BL125" s="117" t="n">
        <f aca="false">SUMIFS(الريسبي!$C$2:$C$1800,الريسبي!$A$2:$A$1800,$A125,الريسبي!$B$2:$B$1800,BL$1)</f>
        <v>0</v>
      </c>
      <c r="BM125" s="117" t="n">
        <f aca="false">SUMIFS(الريسبي!$C$2:$C$1800,الريسبي!$A$2:$A$1800,$A125,الريسبي!$B$2:$B$1800,BM$1)</f>
        <v>0.14</v>
      </c>
      <c r="BN125" s="117" t="n">
        <f aca="false">SUMIFS(الريسبي!$C$2:$C$1800,الريسبي!$A$2:$A$1800,$A125,الريسبي!$B$2:$B$1800,BN$1)</f>
        <v>0.02</v>
      </c>
      <c r="BO125" s="117" t="n">
        <f aca="false">SUMIFS(الريسبي!$C$2:$C$1800,الريسبي!$A$2:$A$1800,$A125,الريسبي!$B$2:$B$1800,BO$1)</f>
        <v>0</v>
      </c>
      <c r="BP125" s="117" t="n">
        <f aca="false">SUMIFS(الريسبي!$C$2:$C$1800,الريسبي!$A$2:$A$1800,$A125,الريسبي!$B$2:$B$1800,BP$1)</f>
        <v>0</v>
      </c>
      <c r="BQ125" s="117" t="n">
        <f aca="false">SUMIFS(الريسبي!$C$2:$C$1800,الريسبي!$A$2:$A$1800,$A125,الريسبي!$B$2:$B$1800,BQ$1)+0.17*SUMIFS(الريسبي!$C$2:$C$1800,الريسبي!$A$2:$A$1800,$A125,الريسبي!$B$2:$B$1800,"كاسترد مصنع (خليط بودر + لبن)")+0.17*SUMIFS(الريسبي!$C$2:$C$1800,الريسبي!$A$2:$A$1800,$A125,الريسبي!$B$2:$B$1800,"كاسترد مصنع صيامي (بدون لبن)")</f>
        <v>0</v>
      </c>
      <c r="BR125" s="117" t="n">
        <f aca="false">SUMIFS(الريسبي!$C$2:$C$1800,الريسبي!$A$2:$A$1800,$A125,الريسبي!$B$2:$B$1800,BR$1)</f>
        <v>0</v>
      </c>
      <c r="BS125" s="117" t="n">
        <f aca="false">SUMIFS(الريسبي!$C$2:$C$1800,الريسبي!$A$2:$A$1800,$A125,الريسبي!$B$2:$B$1800,BS$1)</f>
        <v>0</v>
      </c>
      <c r="BT125" s="117" t="n">
        <f aca="false">SUMIFS(الريسبي!$C$2:$C$1800,الريسبي!$A$2:$A$1800,$A125,الريسبي!$B$2:$B$1800,BT$1)</f>
        <v>1</v>
      </c>
      <c r="BU125" s="117" t="n">
        <f aca="false">SUMIFS(الريسبي!$C$2:$C$1800,الريسبي!$A$2:$A$1800,$A125,الريسبي!$B$2:$B$1800,BU$1)+0.4*SUMIFS(الريسبي!$C$2:$C$1800,الريسبي!$A$2:$A$1800,$A125,الريسبي!$B$2:$B$1800,"كاسترد مصنع (خليط بودر + لبن)")+0.03333333333*SUMIFS(الريسبي!$C$2:$C$1800,الريسبي!$A$2:$A$1800,$A125,الريسبي!$B$2:$B$1800,"عجين كريب (مصنع بالمطعم)")</f>
        <v>0</v>
      </c>
      <c r="BV125" s="117" t="n">
        <f aca="false">SUMIFS(الريسبي!$C$2:$C$1800,الريسبي!$A$2:$A$1800,$A125,الريسبي!$B$2:$B$1800,BV$1)</f>
        <v>0</v>
      </c>
      <c r="BW125" s="117" t="n">
        <f aca="false">SUMIFS(الريسبي!$C$2:$C$1800,الريسبي!$A$2:$A$1800,$A125,الريسبي!$B$2:$B$1800,BW$1)</f>
        <v>0</v>
      </c>
      <c r="BX125" s="117" t="n">
        <f aca="false">SUMIFS(الريسبي!$C$2:$C$1800,الريسبي!$A$2:$A$1800,$A125,الريسبي!$B$2:$B$1800,BX$1)</f>
        <v>0</v>
      </c>
      <c r="BY125" s="117" t="n">
        <f aca="false">SUMIFS(الريسبي!$C$2:$C$1800,الريسبي!$A$2:$A$1800,$A125,الريسبي!$B$2:$B$1800,BY$1)</f>
        <v>0</v>
      </c>
      <c r="BZ125" s="117" t="n">
        <f aca="false">SUMIFS(الريسبي!$C$2:$C$1800,الريسبي!$A$2:$A$1800,$A125,الريسبي!$B$2:$B$1800,BZ$1)</f>
        <v>0</v>
      </c>
      <c r="CA125" s="117" t="n">
        <f aca="false">SUMIFS(الريسبي!$C$2:$C$1800,الريسبي!$A$2:$A$1800,$A125,الريسبي!$B$2:$B$1800,CA$1)</f>
        <v>0</v>
      </c>
      <c r="CB125" s="117" t="n">
        <f aca="false">SUMIFS(الريسبي!$C$2:$C$1800,الريسبي!$A$2:$A$1800,$A125,الريسبي!$B$2:$B$1800,CB$1)</f>
        <v>0</v>
      </c>
      <c r="CC125" s="117" t="n">
        <f aca="false">SUMIFS(الريسبي!$C$2:$C$1800,الريسبي!$A$2:$A$1800,$A125,الريسبي!$B$2:$B$1800,CC$1)</f>
        <v>0</v>
      </c>
      <c r="CD125" s="117" t="n">
        <f aca="false">SUMIFS(الريسبي!$C$2:$C$1800,الريسبي!$A$2:$A$1800,$A125,الريسبي!$B$2:$B$1800,CD$1)</f>
        <v>0</v>
      </c>
      <c r="CE125" s="117" t="n">
        <f aca="false">SUMIFS(الريسبي!$C$2:$C$1800,الريسبي!$A$2:$A$1800,$A125,الريسبي!$B$2:$B$1800,CE$1)</f>
        <v>0</v>
      </c>
      <c r="CF125" s="117" t="n">
        <f aca="false">SUMIFS(الريسبي!$C$2:$C$1800,الريسبي!$A$2:$A$1800,$A125,الريسبي!$B$2:$B$1800,CF$1)</f>
        <v>0</v>
      </c>
      <c r="CG125" s="117" t="n">
        <f aca="false">SUMIFS(الريسبي!$C$2:$C$1800,الريسبي!$A$2:$A$1800,$A125,الريسبي!$B$2:$B$1800,CG$1)</f>
        <v>0</v>
      </c>
      <c r="CH125" s="117" t="n">
        <f aca="false">SUMIFS(الريسبي!$C$2:$C$1800,الريسبي!$A$2:$A$1800,$A125,الريسبي!$B$2:$B$1800,CH$1)</f>
        <v>0</v>
      </c>
      <c r="CI125" s="117" t="n">
        <f aca="false">SUMIFS(الريسبي!$C$2:$C$1800,الريسبي!$A$2:$A$1800,$A125,الريسبي!$B$2:$B$1800,CI$1)</f>
        <v>0</v>
      </c>
      <c r="CJ125" s="117" t="n">
        <f aca="false">SUMIFS(الريسبي!$C$2:$C$1800,الريسبي!$A$2:$A$1800,$A125,الريسبي!$B$2:$B$1800,CJ$1)</f>
        <v>0</v>
      </c>
      <c r="CK125" s="117" t="n">
        <f aca="false">SUMIFS(الريسبي!$C$2:$C$1800,الريسبي!$A$2:$A$1800,$A125,الريسبي!$B$2:$B$1800,CK$1)</f>
        <v>0</v>
      </c>
      <c r="CL125" s="117" t="n">
        <f aca="false">SUMIFS(الريسبي!$C$2:$C$1800,الريسبي!$A$2:$A$1800,$A125,الريسبي!$B$2:$B$1800,CL$1)</f>
        <v>0</v>
      </c>
    </row>
    <row r="126" customFormat="false" ht="15" hidden="false" customHeight="false" outlineLevel="0" collapsed="false">
      <c r="A126" s="116" t="str">
        <f aca="false">المنيو!B126</f>
        <v>كريب سوسيس / شاورما لحم فراخ صيامي</v>
      </c>
      <c r="B126" s="117" t="n">
        <f aca="false">SUMIFS(الريسبي!$C$2:$C$1800,الريسبي!$A$2:$A$1800,$A126,الريسبي!$B$2:$B$1800,B$1)</f>
        <v>0</v>
      </c>
      <c r="C126" s="117" t="n">
        <f aca="false">SUMIFS(الريسبي!$C$2:$C$1800,الريسبي!$A$2:$A$1800,$A126,الريسبي!$B$2:$B$1800,C$1)</f>
        <v>0</v>
      </c>
      <c r="D126" s="117" t="n">
        <f aca="false">SUMIFS(الريسبي!$C$2:$C$1800,الريسبي!$A$2:$A$1800,$A126,الريسبي!$B$2:$B$1800,D$1)</f>
        <v>0</v>
      </c>
      <c r="E126" s="117" t="n">
        <f aca="false">SUMIFS(الريسبي!$C$2:$C$1800,الريسبي!$A$2:$A$1800,$A126,الريسبي!$B$2:$B$1800,E$1)</f>
        <v>0</v>
      </c>
      <c r="F126" s="117" t="n">
        <f aca="false">SUMIFS(الريسبي!$C$2:$C$1800,الريسبي!$A$2:$A$1800,$A126,الريسبي!$B$2:$B$1800,F$1)</f>
        <v>0</v>
      </c>
      <c r="G126" s="117" t="n">
        <f aca="false">SUMIFS(الريسبي!$C$2:$C$1800,الريسبي!$A$2:$A$1800,$A126,الريسبي!$B$2:$B$1800,G$1)</f>
        <v>0</v>
      </c>
      <c r="H126" s="117" t="n">
        <f aca="false">SUMIFS(الريسبي!$C$2:$C$1800,الريسبي!$A$2:$A$1800,$A126,الريسبي!$B$2:$B$1800,H$1)</f>
        <v>0</v>
      </c>
      <c r="I126" s="117" t="n">
        <f aca="false">SUMIFS(الريسبي!$C$2:$C$1800,الريسبي!$A$2:$A$1800,$A126,الريسبي!$B$2:$B$1800,I$1)</f>
        <v>0</v>
      </c>
      <c r="J126" s="117" t="n">
        <f aca="false">SUMIFS(الريسبي!$C$2:$C$1800,الريسبي!$A$2:$A$1800,$A126,الريسبي!$B$2:$B$1800,J$1)</f>
        <v>0</v>
      </c>
      <c r="K126" s="117" t="n">
        <f aca="false">SUMIFS(الريسبي!$C$2:$C$1800,الريسبي!$A$2:$A$1800,$A126,الريسبي!$B$2:$B$1800,K$1)</f>
        <v>0</v>
      </c>
      <c r="L126" s="117" t="n">
        <f aca="false">SUMIFS(الريسبي!$C$2:$C$1800,الريسبي!$A$2:$A$1800,$A126,الريسبي!$B$2:$B$1800,L$1)</f>
        <v>0</v>
      </c>
      <c r="M126" s="117" t="n">
        <f aca="false">SUMIFS(الريسبي!$C$2:$C$1800,الريسبي!$A$2:$A$1800,$A126,الريسبي!$B$2:$B$1800,M$1)</f>
        <v>0</v>
      </c>
      <c r="N126" s="117" t="n">
        <f aca="false">SUMIFS(الريسبي!$C$2:$C$1800,الريسبي!$A$2:$A$1800,$A126,الريسبي!$B$2:$B$1800,N$1)</f>
        <v>0</v>
      </c>
      <c r="O126" s="117" t="n">
        <f aca="false">SUMIFS(الريسبي!$C$2:$C$1800,الريسبي!$A$2:$A$1800,$A126,الريسبي!$B$2:$B$1800,O$1)</f>
        <v>0</v>
      </c>
      <c r="P126" s="117" t="n">
        <f aca="false">SUMIFS(الريسبي!$C$2:$C$1800,الريسبي!$A$2:$A$1800,$A126,الريسبي!$B$2:$B$1800,P$1)</f>
        <v>0</v>
      </c>
      <c r="Q126" s="117" t="n">
        <f aca="false">SUMIFS(الريسبي!$C$2:$C$1800,الريسبي!$A$2:$A$1800,$A126,الريسبي!$B$2:$B$1800,Q$1)</f>
        <v>0</v>
      </c>
      <c r="R126" s="117" t="n">
        <f aca="false">SUMIFS(الريسبي!$C$2:$C$1800,الريسبي!$A$2:$A$1800,$A126,الريسبي!$B$2:$B$1800,R$1)</f>
        <v>0</v>
      </c>
      <c r="S126" s="117" t="n">
        <f aca="false">SUMIFS(الريسبي!$C$2:$C$1800,الريسبي!$A$2:$A$1800,$A126,الريسبي!$B$2:$B$1800,S$1)</f>
        <v>0</v>
      </c>
      <c r="T126" s="117" t="n">
        <f aca="false">SUMIFS(الريسبي!$C$2:$C$1800,الريسبي!$A$2:$A$1800,$A126,الريسبي!$B$2:$B$1800,T$1)</f>
        <v>0</v>
      </c>
      <c r="U126" s="117" t="n">
        <f aca="false">SUMIFS(الريسبي!$C$2:$C$1800,الريسبي!$A$2:$A$1800,$A126,الريسبي!$B$2:$B$1800,U$1)</f>
        <v>0</v>
      </c>
      <c r="V126" s="117" t="n">
        <f aca="false">SUMIFS(الريسبي!$C$2:$C$1800,الريسبي!$A$2:$A$1800,$A126,الريسبي!$B$2:$B$1800,V$1)</f>
        <v>0</v>
      </c>
      <c r="W126" s="117" t="n">
        <f aca="false">SUMIFS(الريسبي!$C$2:$C$1800,الريسبي!$A$2:$A$1800,$A126,الريسبي!$B$2:$B$1800,W$1)</f>
        <v>0</v>
      </c>
      <c r="X126" s="117" t="n">
        <f aca="false">SUMIFS(الريسبي!$C$2:$C$1800,الريسبي!$A$2:$A$1800,$A126,الريسبي!$B$2:$B$1800,X$1)</f>
        <v>1</v>
      </c>
      <c r="Y126" s="117" t="n">
        <f aca="false">SUMIFS(الريسبي!$C$2:$C$1800,الريسبي!$A$2:$A$1800,$A126,الريسبي!$B$2:$B$1800,Y$1)</f>
        <v>0</v>
      </c>
      <c r="Z126" s="117" t="n">
        <f aca="false">SUMIFS(الريسبي!$C$2:$C$1800,الريسبي!$A$2:$A$1800,$A126,الريسبي!$B$2:$B$1800,Z$1)</f>
        <v>0</v>
      </c>
      <c r="AA126" s="117" t="n">
        <f aca="false">SUMIFS(الريسبي!$C$2:$C$1800,الريسبي!$A$2:$A$1800,$A126,الريسبي!$B$2:$B$1800,AA$1)</f>
        <v>0</v>
      </c>
      <c r="AB126" s="117" t="n">
        <f aca="false">SUMIFS(الريسبي!$C$2:$C$1800,الريسبي!$A$2:$A$1800,$A126,الريسبي!$B$2:$B$1800,AB$1)</f>
        <v>0</v>
      </c>
      <c r="AC126" s="117" t="n">
        <f aca="false">SUMIFS(الريسبي!$C$2:$C$1800,الريسبي!$A$2:$A$1800,$A126,الريسبي!$B$2:$B$1800,AC$1)</f>
        <v>0</v>
      </c>
      <c r="AD126" s="117" t="n">
        <f aca="false">SUMIFS(الريسبي!$C$2:$C$1800,الريسبي!$A$2:$A$1800,$A126,الريسبي!$B$2:$B$1800,AD$1)</f>
        <v>0</v>
      </c>
      <c r="AE126" s="117" t="n">
        <f aca="false">SUMIFS(الريسبي!$C$2:$C$1800,الريسبي!$A$2:$A$1800,$A126,الريسبي!$B$2:$B$1800,AE$1)</f>
        <v>0</v>
      </c>
      <c r="AF126" s="117" t="n">
        <f aca="false">SUMIFS(الريسبي!$C$2:$C$1800,الريسبي!$A$2:$A$1800,$A126,الريسبي!$B$2:$B$1800,AF$1)</f>
        <v>0</v>
      </c>
      <c r="AG126" s="117" t="n">
        <f aca="false">SUMIFS(الريسبي!$C$2:$C$1800,الريسبي!$A$2:$A$1800,$A126,الريسبي!$B$2:$B$1800,AG$1)</f>
        <v>0</v>
      </c>
      <c r="AH126" s="117" t="n">
        <f aca="false">SUMIFS(الريسبي!$C$2:$C$1800,الريسبي!$A$2:$A$1800,$A126,الريسبي!$B$2:$B$1800,AH$1)</f>
        <v>0</v>
      </c>
      <c r="AI126" s="117" t="n">
        <f aca="false">SUMIFS(الريسبي!$C$2:$C$1800,الريسبي!$A$2:$A$1800,$A126,الريسبي!$B$2:$B$1800,AI$1)</f>
        <v>0</v>
      </c>
      <c r="AJ126" s="117" t="n">
        <f aca="false">SUMIFS(الريسبي!$C$2:$C$1800,الريسبي!$A$2:$A$1800,$A126,الريسبي!$B$2:$B$1800,AJ$1)</f>
        <v>0</v>
      </c>
      <c r="AK126" s="117" t="n">
        <f aca="false">SUMIFS(الريسبي!$C$2:$C$1800,الريسبي!$A$2:$A$1800,$A126,الريسبي!$B$2:$B$1800,AK$1)</f>
        <v>0</v>
      </c>
      <c r="AL126" s="117" t="n">
        <f aca="false">SUMIFS(الريسبي!$C$2:$C$1800,الريسبي!$A$2:$A$1800,$A126,الريسبي!$B$2:$B$1800,AL$1)</f>
        <v>0</v>
      </c>
      <c r="AM126" s="117" t="n">
        <f aca="false">SUMIFS(الريسبي!$C$2:$C$1800,الريسبي!$A$2:$A$1800,$A126,الريسبي!$B$2:$B$1800,AM$1)+0.08333333333*SUMIFS(الريسبي!$C$2:$C$1800,الريسبي!$A$2:$A$1800,$A126,الريسبي!$B$2:$B$1800,"عجين كريب (مصنع بالمطعم)")+0.08333333333*SUMIFS(الريسبي!$C$2:$C$1800,الريسبي!$A$2:$A$1800,$A126,الريسبي!$B$2:$B$1800,"عجين كريب صيامي (بدون لبن)")</f>
        <v>0.08333333333</v>
      </c>
      <c r="AN126" s="117" t="n">
        <f aca="false">SUMIFS(الريسبي!$C$2:$C$1800,الريسبي!$A$2:$A$1800,$A126,الريسبي!$B$2:$B$1800,AN$1)+0.004166666667*SUMIFS(الريسبي!$C$2:$C$1800,الريسبي!$A$2:$A$1800,$A126,الريسبي!$B$2:$B$1800,"عجين كريب (مصنع بالمطعم)")+0.004166666667*SUMIFS(الريسبي!$C$2:$C$1800,الريسبي!$A$2:$A$1800,$A126,الريسبي!$B$2:$B$1800,"عجين كريب صيامي (بدون لبن)")</f>
        <v>0.004166666667</v>
      </c>
      <c r="AO126" s="117" t="n">
        <f aca="false">SUMIFS(الريسبي!$C$2:$C$1800,الريسبي!$A$2:$A$1800,$A126,الريسبي!$B$2:$B$1800,AO$1)</f>
        <v>0</v>
      </c>
      <c r="AP126" s="117" t="n">
        <f aca="false">SUMIFS(الريسبي!$C$2:$C$1800,الريسبي!$A$2:$A$1800,$A126,الريسبي!$B$2:$B$1800,AP$1)</f>
        <v>0.02</v>
      </c>
      <c r="AQ126" s="117" t="n">
        <f aca="false">SUMIFS(الريسبي!$C$2:$C$1800,الريسبي!$A$2:$A$1800,$A126,الريسبي!$B$2:$B$1800,AQ$1)+0.004166666667*SUMIFS(الريسبي!$C$2:$C$1800,الريسبي!$A$2:$A$1800,$A126,الريسبي!$B$2:$B$1800,"عجين كريب (مصنع بالمطعم)")+0.004166666667*SUMIFS(الريسبي!$C$2:$C$1800,الريسبي!$A$2:$A$1800,$A126,الريسبي!$B$2:$B$1800,"عجين كريب صيامي (بدون لبن)")</f>
        <v>0.004166666667</v>
      </c>
      <c r="AR126" s="117" t="n">
        <f aca="false">SUMIFS(الريسبي!$C$2:$C$1800,الريسبي!$A$2:$A$1800,$A126,الريسبي!$B$2:$B$1800,AR$1)</f>
        <v>0</v>
      </c>
      <c r="AS126" s="117" t="n">
        <f aca="false">SUMIFS(الريسبي!$C$2:$C$1800,الريسبي!$A$2:$A$1800,$A126,الريسبي!$B$2:$B$1800,AS$1)</f>
        <v>1</v>
      </c>
      <c r="AT126" s="117" t="n">
        <f aca="false">SUMIFS(الريسبي!$C$2:$C$1800,الريسبي!$A$2:$A$1800,$A126,الريسبي!$B$2:$B$1800,AT$1)</f>
        <v>0</v>
      </c>
      <c r="AU126" s="117" t="n">
        <f aca="false">SUMIFS(الريسبي!$C$2:$C$1800,الريسبي!$A$2:$A$1800,$A126,الريسبي!$B$2:$B$1800,AU$1)</f>
        <v>0</v>
      </c>
      <c r="AV126" s="117" t="n">
        <f aca="false">SUMIFS(الريسبي!$C$2:$C$1800,الريسبي!$A$2:$A$1800,$A126,الريسبي!$B$2:$B$1800,AV$1)</f>
        <v>0</v>
      </c>
      <c r="AW126" s="117" t="n">
        <f aca="false">SUMIFS(الريسبي!$C$2:$C$1800,الريسبي!$A$2:$A$1800,$A126,الريسبي!$B$2:$B$1800,AW$1)</f>
        <v>0</v>
      </c>
      <c r="AX126" s="117" t="n">
        <f aca="false">SUMIFS(الريسبي!$C$2:$C$1800,الريسبي!$A$2:$A$1800,$A126,الريسبي!$B$2:$B$1800,AX$1)</f>
        <v>0</v>
      </c>
      <c r="AY126" s="117" t="n">
        <f aca="false">SUMIFS(الريسبي!$C$2:$C$1800,الريسبي!$A$2:$A$1800,$A126,الريسبي!$B$2:$B$1800,AY$1)</f>
        <v>0</v>
      </c>
      <c r="AZ126" s="117" t="n">
        <f aca="false">SUMIFS(الريسبي!$C$2:$C$1800,الريسبي!$A$2:$A$1800,$A126,الريسبي!$B$2:$B$1800,AZ$1)</f>
        <v>0</v>
      </c>
      <c r="BA126" s="117" t="n">
        <f aca="false">SUMIFS(الريسبي!$C$2:$C$1800,الريسبي!$A$2:$A$1800,$A126,الريسبي!$B$2:$B$1800,BA$1)</f>
        <v>0</v>
      </c>
      <c r="BB126" s="117" t="n">
        <f aca="false">SUMIFS(الريسبي!$C$2:$C$1800,الريسبي!$A$2:$A$1800,$A126,الريسبي!$B$2:$B$1800,BB$1)</f>
        <v>0</v>
      </c>
      <c r="BC126" s="117" t="n">
        <f aca="false">SUMIFS(الريسبي!$C$2:$C$1800,الريسبي!$A$2:$A$1800,$A126,الريسبي!$B$2:$B$1800,BC$1)</f>
        <v>0.03</v>
      </c>
      <c r="BD126" s="117" t="n">
        <f aca="false">SUMIFS(الريسبي!$C$2:$C$1800,الريسبي!$A$2:$A$1800,$A126,الريسبي!$B$2:$B$1800,BD$1)</f>
        <v>0</v>
      </c>
      <c r="BE126" s="117" t="n">
        <f aca="false">SUMIFS(الريسبي!$C$2:$C$1800,الريسبي!$A$2:$A$1800,$A126,الريسبي!$B$2:$B$1800,BE$1)</f>
        <v>0</v>
      </c>
      <c r="BF126" s="117" t="n">
        <f aca="false">SUMIFS(الريسبي!$C$2:$C$1800,الريسبي!$A$2:$A$1800,$A126,الريسبي!$B$2:$B$1800,BF$1)</f>
        <v>0</v>
      </c>
      <c r="BG126" s="117" t="n">
        <f aca="false">SUMIFS(الريسبي!$C$2:$C$1800,الريسبي!$A$2:$A$1800,$A126,الريسبي!$B$2:$B$1800,BG$1)</f>
        <v>0</v>
      </c>
      <c r="BH126" s="117" t="n">
        <f aca="false">SUMIFS(الريسبي!$C$2:$C$1800,الريسبي!$A$2:$A$1800,$A126,الريسبي!$B$2:$B$1800,BH$1)</f>
        <v>0</v>
      </c>
      <c r="BI126" s="117" t="n">
        <f aca="false">SUMIFS(الريسبي!$C$2:$C$1800,الريسبي!$A$2:$A$1800,$A126,الريسبي!$B$2:$B$1800,BI$1)</f>
        <v>0</v>
      </c>
      <c r="BJ126" s="117" t="n">
        <f aca="false">SUMIFS(الريسبي!$C$2:$C$1800,الريسبي!$A$2:$A$1800,$A126,الريسبي!$B$2:$B$1800,BJ$1)</f>
        <v>0</v>
      </c>
      <c r="BK126" s="117" t="n">
        <f aca="false">SUMIFS(الريسبي!$C$2:$C$1800,الريسبي!$A$2:$A$1800,$A126,الريسبي!$B$2:$B$1800,BK$1)</f>
        <v>0</v>
      </c>
      <c r="BL126" s="117" t="n">
        <f aca="false">SUMIFS(الريسبي!$C$2:$C$1800,الريسبي!$A$2:$A$1800,$A126,الريسبي!$B$2:$B$1800,BL$1)</f>
        <v>0</v>
      </c>
      <c r="BM126" s="117" t="n">
        <f aca="false">SUMIFS(الريسبي!$C$2:$C$1800,الريسبي!$A$2:$A$1800,$A126,الريسبي!$B$2:$B$1800,BM$1)</f>
        <v>0</v>
      </c>
      <c r="BN126" s="117" t="n">
        <f aca="false">SUMIFS(الريسبي!$C$2:$C$1800,الريسبي!$A$2:$A$1800,$A126,الريسبي!$B$2:$B$1800,BN$1)</f>
        <v>0.02</v>
      </c>
      <c r="BO126" s="117" t="n">
        <f aca="false">SUMIFS(الريسبي!$C$2:$C$1800,الريسبي!$A$2:$A$1800,$A126,الريسبي!$B$2:$B$1800,BO$1)</f>
        <v>0</v>
      </c>
      <c r="BP126" s="117" t="n">
        <f aca="false">SUMIFS(الريسبي!$C$2:$C$1800,الريسبي!$A$2:$A$1800,$A126,الريسبي!$B$2:$B$1800,BP$1)</f>
        <v>0</v>
      </c>
      <c r="BQ126" s="117" t="n">
        <f aca="false">SUMIFS(الريسبي!$C$2:$C$1800,الريسبي!$A$2:$A$1800,$A126,الريسبي!$B$2:$B$1800,BQ$1)+0.17*SUMIFS(الريسبي!$C$2:$C$1800,الريسبي!$A$2:$A$1800,$A126,الريسبي!$B$2:$B$1800,"كاسترد مصنع (خليط بودر + لبن)")+0.17*SUMIFS(الريسبي!$C$2:$C$1800,الريسبي!$A$2:$A$1800,$A126,الريسبي!$B$2:$B$1800,"كاسترد مصنع صيامي (بدون لبن)")</f>
        <v>0</v>
      </c>
      <c r="BR126" s="117" t="n">
        <f aca="false">SUMIFS(الريسبي!$C$2:$C$1800,الريسبي!$A$2:$A$1800,$A126,الريسبي!$B$2:$B$1800,BR$1)</f>
        <v>0</v>
      </c>
      <c r="BS126" s="117" t="n">
        <f aca="false">SUMIFS(الريسبي!$C$2:$C$1800,الريسبي!$A$2:$A$1800,$A126,الريسبي!$B$2:$B$1800,BS$1)</f>
        <v>0</v>
      </c>
      <c r="BT126" s="117" t="n">
        <f aca="false">SUMIFS(الريسبي!$C$2:$C$1800,الريسبي!$A$2:$A$1800,$A126,الريسبي!$B$2:$B$1800,BT$1)</f>
        <v>1</v>
      </c>
      <c r="BU126" s="117" t="n">
        <f aca="false">SUMIFS(الريسبي!$C$2:$C$1800,الريسبي!$A$2:$A$1800,$A126,الريسبي!$B$2:$B$1800,BU$1)+0.4*SUMIFS(الريسبي!$C$2:$C$1800,الريسبي!$A$2:$A$1800,$A126,الريسبي!$B$2:$B$1800,"كاسترد مصنع (خليط بودر + لبن)")+0.03333333333*SUMIFS(الريسبي!$C$2:$C$1800,الريسبي!$A$2:$A$1800,$A126,الريسبي!$B$2:$B$1800,"عجين كريب (مصنع بالمطعم)")</f>
        <v>0</v>
      </c>
      <c r="BV126" s="117" t="n">
        <f aca="false">SUMIFS(الريسبي!$C$2:$C$1800,الريسبي!$A$2:$A$1800,$A126,الريسبي!$B$2:$B$1800,BV$1)</f>
        <v>0</v>
      </c>
      <c r="BW126" s="117" t="n">
        <f aca="false">SUMIFS(الريسبي!$C$2:$C$1800,الريسبي!$A$2:$A$1800,$A126,الريسبي!$B$2:$B$1800,BW$1)</f>
        <v>0</v>
      </c>
      <c r="BX126" s="117" t="n">
        <f aca="false">SUMIFS(الريسبي!$C$2:$C$1800,الريسبي!$A$2:$A$1800,$A126,الريسبي!$B$2:$B$1800,BX$1)</f>
        <v>0</v>
      </c>
      <c r="BY126" s="117" t="n">
        <f aca="false">SUMIFS(الريسبي!$C$2:$C$1800,الريسبي!$A$2:$A$1800,$A126,الريسبي!$B$2:$B$1800,BY$1)</f>
        <v>0</v>
      </c>
      <c r="BZ126" s="117" t="n">
        <f aca="false">SUMIFS(الريسبي!$C$2:$C$1800,الريسبي!$A$2:$A$1800,$A126,الريسبي!$B$2:$B$1800,BZ$1)</f>
        <v>0</v>
      </c>
      <c r="CA126" s="117" t="n">
        <f aca="false">SUMIFS(الريسبي!$C$2:$C$1800,الريسبي!$A$2:$A$1800,$A126,الريسبي!$B$2:$B$1800,CA$1)</f>
        <v>0</v>
      </c>
      <c r="CB126" s="117" t="n">
        <f aca="false">SUMIFS(الريسبي!$C$2:$C$1800,الريسبي!$A$2:$A$1800,$A126,الريسبي!$B$2:$B$1800,CB$1)</f>
        <v>0</v>
      </c>
      <c r="CC126" s="117" t="n">
        <f aca="false">SUMIFS(الريسبي!$C$2:$C$1800,الريسبي!$A$2:$A$1800,$A126,الريسبي!$B$2:$B$1800,CC$1)</f>
        <v>0</v>
      </c>
      <c r="CD126" s="117" t="n">
        <f aca="false">SUMIFS(الريسبي!$C$2:$C$1800,الريسبي!$A$2:$A$1800,$A126,الريسبي!$B$2:$B$1800,CD$1)</f>
        <v>0.07</v>
      </c>
      <c r="CE126" s="117" t="n">
        <f aca="false">SUMIFS(الريسبي!$C$2:$C$1800,الريسبي!$A$2:$A$1800,$A126,الريسبي!$B$2:$B$1800,CE$1)</f>
        <v>0.07</v>
      </c>
      <c r="CF126" s="117" t="n">
        <f aca="false">SUMIFS(الريسبي!$C$2:$C$1800,الريسبي!$A$2:$A$1800,$A126,الريسبي!$B$2:$B$1800,CF$1)</f>
        <v>0</v>
      </c>
      <c r="CG126" s="117" t="n">
        <f aca="false">SUMIFS(الريسبي!$C$2:$C$1800,الريسبي!$A$2:$A$1800,$A126,الريسبي!$B$2:$B$1800,CG$1)</f>
        <v>0</v>
      </c>
      <c r="CH126" s="117" t="n">
        <f aca="false">SUMIFS(الريسبي!$C$2:$C$1800,الريسبي!$A$2:$A$1800,$A126,الريسبي!$B$2:$B$1800,CH$1)</f>
        <v>0</v>
      </c>
      <c r="CI126" s="117" t="n">
        <f aca="false">SUMIFS(الريسبي!$C$2:$C$1800,الريسبي!$A$2:$A$1800,$A126,الريسبي!$B$2:$B$1800,CI$1)</f>
        <v>0</v>
      </c>
      <c r="CJ126" s="117" t="n">
        <f aca="false">SUMIFS(الريسبي!$C$2:$C$1800,الريسبي!$A$2:$A$1800,$A126,الريسبي!$B$2:$B$1800,CJ$1)</f>
        <v>0</v>
      </c>
      <c r="CK126" s="117" t="n">
        <f aca="false">SUMIFS(الريسبي!$C$2:$C$1800,الريسبي!$A$2:$A$1800,$A126,الريسبي!$B$2:$B$1800,CK$1)</f>
        <v>0</v>
      </c>
      <c r="CL126" s="117" t="n">
        <f aca="false">SUMIFS(الريسبي!$C$2:$C$1800,الريسبي!$A$2:$A$1800,$A126,الريسبي!$B$2:$B$1800,CL$1)</f>
        <v>0</v>
      </c>
    </row>
    <row r="127" customFormat="false" ht="15" hidden="false" customHeight="false" outlineLevel="0" collapsed="false">
      <c r="A127" s="116" t="str">
        <f aca="false">المنيو!B127</f>
        <v>كريب جمبري صيامي</v>
      </c>
      <c r="B127" s="117" t="n">
        <f aca="false">SUMIFS(الريسبي!$C$2:$C$1800,الريسبي!$A$2:$A$1800,$A127,الريسبي!$B$2:$B$1800,B$1)</f>
        <v>0</v>
      </c>
      <c r="C127" s="117" t="n">
        <f aca="false">SUMIFS(الريسبي!$C$2:$C$1800,الريسبي!$A$2:$A$1800,$A127,الريسبي!$B$2:$B$1800,C$1)</f>
        <v>0</v>
      </c>
      <c r="D127" s="117" t="n">
        <f aca="false">SUMIFS(الريسبي!$C$2:$C$1800,الريسبي!$A$2:$A$1800,$A127,الريسبي!$B$2:$B$1800,D$1)</f>
        <v>0</v>
      </c>
      <c r="E127" s="117" t="n">
        <f aca="false">SUMIFS(الريسبي!$C$2:$C$1800,الريسبي!$A$2:$A$1800,$A127,الريسبي!$B$2:$B$1800,E$1)</f>
        <v>0</v>
      </c>
      <c r="F127" s="117" t="n">
        <f aca="false">SUMIFS(الريسبي!$C$2:$C$1800,الريسبي!$A$2:$A$1800,$A127,الريسبي!$B$2:$B$1800,F$1)</f>
        <v>0</v>
      </c>
      <c r="G127" s="117" t="n">
        <f aca="false">SUMIFS(الريسبي!$C$2:$C$1800,الريسبي!$A$2:$A$1800,$A127,الريسبي!$B$2:$B$1800,G$1)</f>
        <v>0</v>
      </c>
      <c r="H127" s="117" t="n">
        <f aca="false">SUMIFS(الريسبي!$C$2:$C$1800,الريسبي!$A$2:$A$1800,$A127,الريسبي!$B$2:$B$1800,H$1)</f>
        <v>0</v>
      </c>
      <c r="I127" s="117" t="n">
        <f aca="false">SUMIFS(الريسبي!$C$2:$C$1800,الريسبي!$A$2:$A$1800,$A127,الريسبي!$B$2:$B$1800,I$1)</f>
        <v>0</v>
      </c>
      <c r="J127" s="117" t="n">
        <f aca="false">SUMIFS(الريسبي!$C$2:$C$1800,الريسبي!$A$2:$A$1800,$A127,الريسبي!$B$2:$B$1800,J$1)</f>
        <v>0</v>
      </c>
      <c r="K127" s="117" t="n">
        <f aca="false">SUMIFS(الريسبي!$C$2:$C$1800,الريسبي!$A$2:$A$1800,$A127,الريسبي!$B$2:$B$1800,K$1)</f>
        <v>0.5</v>
      </c>
      <c r="L127" s="117" t="n">
        <f aca="false">SUMIFS(الريسبي!$C$2:$C$1800,الريسبي!$A$2:$A$1800,$A127,الريسبي!$B$2:$B$1800,L$1)</f>
        <v>0</v>
      </c>
      <c r="M127" s="117" t="n">
        <f aca="false">SUMIFS(الريسبي!$C$2:$C$1800,الريسبي!$A$2:$A$1800,$A127,الريسبي!$B$2:$B$1800,M$1)</f>
        <v>0</v>
      </c>
      <c r="N127" s="117" t="n">
        <f aca="false">SUMIFS(الريسبي!$C$2:$C$1800,الريسبي!$A$2:$A$1800,$A127,الريسبي!$B$2:$B$1800,N$1)</f>
        <v>0</v>
      </c>
      <c r="O127" s="117" t="n">
        <f aca="false">SUMIFS(الريسبي!$C$2:$C$1800,الريسبي!$A$2:$A$1800,$A127,الريسبي!$B$2:$B$1800,O$1)</f>
        <v>0</v>
      </c>
      <c r="P127" s="117" t="n">
        <f aca="false">SUMIFS(الريسبي!$C$2:$C$1800,الريسبي!$A$2:$A$1800,$A127,الريسبي!$B$2:$B$1800,P$1)</f>
        <v>0</v>
      </c>
      <c r="Q127" s="117" t="n">
        <f aca="false">SUMIFS(الريسبي!$C$2:$C$1800,الريسبي!$A$2:$A$1800,$A127,الريسبي!$B$2:$B$1800,Q$1)</f>
        <v>0</v>
      </c>
      <c r="R127" s="117" t="n">
        <f aca="false">SUMIFS(الريسبي!$C$2:$C$1800,الريسبي!$A$2:$A$1800,$A127,الريسبي!$B$2:$B$1800,R$1)</f>
        <v>0</v>
      </c>
      <c r="S127" s="117" t="n">
        <f aca="false">SUMIFS(الريسبي!$C$2:$C$1800,الريسبي!$A$2:$A$1800,$A127,الريسبي!$B$2:$B$1800,S$1)</f>
        <v>0</v>
      </c>
      <c r="T127" s="117" t="n">
        <f aca="false">SUMIFS(الريسبي!$C$2:$C$1800,الريسبي!$A$2:$A$1800,$A127,الريسبي!$B$2:$B$1800,T$1)</f>
        <v>0</v>
      </c>
      <c r="U127" s="117" t="n">
        <f aca="false">SUMIFS(الريسبي!$C$2:$C$1800,الريسبي!$A$2:$A$1800,$A127,الريسبي!$B$2:$B$1800,U$1)</f>
        <v>0</v>
      </c>
      <c r="V127" s="117" t="n">
        <f aca="false">SUMIFS(الريسبي!$C$2:$C$1800,الريسبي!$A$2:$A$1800,$A127,الريسبي!$B$2:$B$1800,V$1)</f>
        <v>0</v>
      </c>
      <c r="W127" s="117" t="n">
        <f aca="false">SUMIFS(الريسبي!$C$2:$C$1800,الريسبي!$A$2:$A$1800,$A127,الريسبي!$B$2:$B$1800,W$1)</f>
        <v>0</v>
      </c>
      <c r="X127" s="117" t="n">
        <f aca="false">SUMIFS(الريسبي!$C$2:$C$1800,الريسبي!$A$2:$A$1800,$A127,الريسبي!$B$2:$B$1800,X$1)</f>
        <v>1</v>
      </c>
      <c r="Y127" s="117" t="n">
        <f aca="false">SUMIFS(الريسبي!$C$2:$C$1800,الريسبي!$A$2:$A$1800,$A127,الريسبي!$B$2:$B$1800,Y$1)</f>
        <v>0</v>
      </c>
      <c r="Z127" s="117" t="n">
        <f aca="false">SUMIFS(الريسبي!$C$2:$C$1800,الريسبي!$A$2:$A$1800,$A127,الريسبي!$B$2:$B$1800,Z$1)</f>
        <v>0</v>
      </c>
      <c r="AA127" s="117" t="n">
        <f aca="false">SUMIFS(الريسبي!$C$2:$C$1800,الريسبي!$A$2:$A$1800,$A127,الريسبي!$B$2:$B$1800,AA$1)</f>
        <v>0</v>
      </c>
      <c r="AB127" s="117" t="n">
        <f aca="false">SUMIFS(الريسبي!$C$2:$C$1800,الريسبي!$A$2:$A$1800,$A127,الريسبي!$B$2:$B$1800,AB$1)</f>
        <v>0</v>
      </c>
      <c r="AC127" s="117" t="n">
        <f aca="false">SUMIFS(الريسبي!$C$2:$C$1800,الريسبي!$A$2:$A$1800,$A127,الريسبي!$B$2:$B$1800,AC$1)</f>
        <v>0</v>
      </c>
      <c r="AD127" s="117" t="n">
        <f aca="false">SUMIFS(الريسبي!$C$2:$C$1800,الريسبي!$A$2:$A$1800,$A127,الريسبي!$B$2:$B$1800,AD$1)</f>
        <v>0</v>
      </c>
      <c r="AE127" s="117" t="n">
        <f aca="false">SUMIFS(الريسبي!$C$2:$C$1800,الريسبي!$A$2:$A$1800,$A127,الريسبي!$B$2:$B$1800,AE$1)</f>
        <v>0</v>
      </c>
      <c r="AF127" s="117" t="n">
        <f aca="false">SUMIFS(الريسبي!$C$2:$C$1800,الريسبي!$A$2:$A$1800,$A127,الريسبي!$B$2:$B$1800,AF$1)</f>
        <v>0</v>
      </c>
      <c r="AG127" s="117" t="n">
        <f aca="false">SUMIFS(الريسبي!$C$2:$C$1800,الريسبي!$A$2:$A$1800,$A127,الريسبي!$B$2:$B$1800,AG$1)</f>
        <v>0</v>
      </c>
      <c r="AH127" s="117" t="n">
        <f aca="false">SUMIFS(الريسبي!$C$2:$C$1800,الريسبي!$A$2:$A$1800,$A127,الريسبي!$B$2:$B$1800,AH$1)</f>
        <v>0</v>
      </c>
      <c r="AI127" s="117" t="n">
        <f aca="false">SUMIFS(الريسبي!$C$2:$C$1800,الريسبي!$A$2:$A$1800,$A127,الريسبي!$B$2:$B$1800,AI$1)</f>
        <v>0</v>
      </c>
      <c r="AJ127" s="117" t="n">
        <f aca="false">SUMIFS(الريسبي!$C$2:$C$1800,الريسبي!$A$2:$A$1800,$A127,الريسبي!$B$2:$B$1800,AJ$1)</f>
        <v>0</v>
      </c>
      <c r="AK127" s="117" t="n">
        <f aca="false">SUMIFS(الريسبي!$C$2:$C$1800,الريسبي!$A$2:$A$1800,$A127,الريسبي!$B$2:$B$1800,AK$1)</f>
        <v>0</v>
      </c>
      <c r="AL127" s="117" t="n">
        <f aca="false">SUMIFS(الريسبي!$C$2:$C$1800,الريسبي!$A$2:$A$1800,$A127,الريسبي!$B$2:$B$1800,AL$1)</f>
        <v>0</v>
      </c>
      <c r="AM127" s="117" t="n">
        <f aca="false">SUMIFS(الريسبي!$C$2:$C$1800,الريسبي!$A$2:$A$1800,$A127,الريسبي!$B$2:$B$1800,AM$1)+0.08333333333*SUMIFS(الريسبي!$C$2:$C$1800,الريسبي!$A$2:$A$1800,$A127,الريسبي!$B$2:$B$1800,"عجين كريب (مصنع بالمطعم)")+0.08333333333*SUMIFS(الريسبي!$C$2:$C$1800,الريسبي!$A$2:$A$1800,$A127,الريسبي!$B$2:$B$1800,"عجين كريب صيامي (بدون لبن)")</f>
        <v>0.08333333333</v>
      </c>
      <c r="AN127" s="117" t="n">
        <f aca="false">SUMIFS(الريسبي!$C$2:$C$1800,الريسبي!$A$2:$A$1800,$A127,الريسبي!$B$2:$B$1800,AN$1)+0.004166666667*SUMIFS(الريسبي!$C$2:$C$1800,الريسبي!$A$2:$A$1800,$A127,الريسبي!$B$2:$B$1800,"عجين كريب (مصنع بالمطعم)")+0.004166666667*SUMIFS(الريسبي!$C$2:$C$1800,الريسبي!$A$2:$A$1800,$A127,الريسبي!$B$2:$B$1800,"عجين كريب صيامي (بدون لبن)")</f>
        <v>0.004166666667</v>
      </c>
      <c r="AO127" s="117" t="n">
        <f aca="false">SUMIFS(الريسبي!$C$2:$C$1800,الريسبي!$A$2:$A$1800,$A127,الريسبي!$B$2:$B$1800,AO$1)</f>
        <v>0</v>
      </c>
      <c r="AP127" s="117" t="n">
        <f aca="false">SUMIFS(الريسبي!$C$2:$C$1800,الريسبي!$A$2:$A$1800,$A127,الريسبي!$B$2:$B$1800,AP$1)</f>
        <v>0.02</v>
      </c>
      <c r="AQ127" s="117" t="n">
        <f aca="false">SUMIFS(الريسبي!$C$2:$C$1800,الريسبي!$A$2:$A$1800,$A127,الريسبي!$B$2:$B$1800,AQ$1)+0.004166666667*SUMIFS(الريسبي!$C$2:$C$1800,الريسبي!$A$2:$A$1800,$A127,الريسبي!$B$2:$B$1800,"عجين كريب (مصنع بالمطعم)")+0.004166666667*SUMIFS(الريسبي!$C$2:$C$1800,الريسبي!$A$2:$A$1800,$A127,الريسبي!$B$2:$B$1800,"عجين كريب صيامي (بدون لبن)")</f>
        <v>0.004166666667</v>
      </c>
      <c r="AR127" s="117" t="n">
        <f aca="false">SUMIFS(الريسبي!$C$2:$C$1800,الريسبي!$A$2:$A$1800,$A127,الريسبي!$B$2:$B$1800,AR$1)</f>
        <v>0</v>
      </c>
      <c r="AS127" s="117" t="n">
        <f aca="false">SUMIFS(الريسبي!$C$2:$C$1800,الريسبي!$A$2:$A$1800,$A127,الريسبي!$B$2:$B$1800,AS$1)</f>
        <v>1</v>
      </c>
      <c r="AT127" s="117" t="n">
        <f aca="false">SUMIFS(الريسبي!$C$2:$C$1800,الريسبي!$A$2:$A$1800,$A127,الريسبي!$B$2:$B$1800,AT$1)</f>
        <v>0</v>
      </c>
      <c r="AU127" s="117" t="n">
        <f aca="false">SUMIFS(الريسبي!$C$2:$C$1800,الريسبي!$A$2:$A$1800,$A127,الريسبي!$B$2:$B$1800,AU$1)</f>
        <v>0</v>
      </c>
      <c r="AV127" s="117" t="n">
        <f aca="false">SUMIFS(الريسبي!$C$2:$C$1800,الريسبي!$A$2:$A$1800,$A127,الريسبي!$B$2:$B$1800,AV$1)</f>
        <v>0</v>
      </c>
      <c r="AW127" s="117" t="n">
        <f aca="false">SUMIFS(الريسبي!$C$2:$C$1800,الريسبي!$A$2:$A$1800,$A127,الريسبي!$B$2:$B$1800,AW$1)</f>
        <v>0</v>
      </c>
      <c r="AX127" s="117" t="n">
        <f aca="false">SUMIFS(الريسبي!$C$2:$C$1800,الريسبي!$A$2:$A$1800,$A127,الريسبي!$B$2:$B$1800,AX$1)</f>
        <v>0</v>
      </c>
      <c r="AY127" s="117" t="n">
        <f aca="false">SUMIFS(الريسبي!$C$2:$C$1800,الريسبي!$A$2:$A$1800,$A127,الريسبي!$B$2:$B$1800,AY$1)</f>
        <v>0</v>
      </c>
      <c r="AZ127" s="117" t="n">
        <f aca="false">SUMIFS(الريسبي!$C$2:$C$1800,الريسبي!$A$2:$A$1800,$A127,الريسبي!$B$2:$B$1800,AZ$1)</f>
        <v>0</v>
      </c>
      <c r="BA127" s="117" t="n">
        <f aca="false">SUMIFS(الريسبي!$C$2:$C$1800,الريسبي!$A$2:$A$1800,$A127,الريسبي!$B$2:$B$1800,BA$1)</f>
        <v>0</v>
      </c>
      <c r="BB127" s="117" t="n">
        <f aca="false">SUMIFS(الريسبي!$C$2:$C$1800,الريسبي!$A$2:$A$1800,$A127,الريسبي!$B$2:$B$1800,BB$1)</f>
        <v>0</v>
      </c>
      <c r="BC127" s="117" t="n">
        <f aca="false">SUMIFS(الريسبي!$C$2:$C$1800,الريسبي!$A$2:$A$1800,$A127,الريسبي!$B$2:$B$1800,BC$1)</f>
        <v>0.03</v>
      </c>
      <c r="BD127" s="117" t="n">
        <f aca="false">SUMIFS(الريسبي!$C$2:$C$1800,الريسبي!$A$2:$A$1800,$A127,الريسبي!$B$2:$B$1800,BD$1)</f>
        <v>0</v>
      </c>
      <c r="BE127" s="117" t="n">
        <f aca="false">SUMIFS(الريسبي!$C$2:$C$1800,الريسبي!$A$2:$A$1800,$A127,الريسبي!$B$2:$B$1800,BE$1)</f>
        <v>0</v>
      </c>
      <c r="BF127" s="117" t="n">
        <f aca="false">SUMIFS(الريسبي!$C$2:$C$1800,الريسبي!$A$2:$A$1800,$A127,الريسبي!$B$2:$B$1800,BF$1)</f>
        <v>0</v>
      </c>
      <c r="BG127" s="117" t="n">
        <f aca="false">SUMIFS(الريسبي!$C$2:$C$1800,الريسبي!$A$2:$A$1800,$A127,الريسبي!$B$2:$B$1800,BG$1)</f>
        <v>0</v>
      </c>
      <c r="BH127" s="117" t="n">
        <f aca="false">SUMIFS(الريسبي!$C$2:$C$1800,الريسبي!$A$2:$A$1800,$A127,الريسبي!$B$2:$B$1800,BH$1)</f>
        <v>0</v>
      </c>
      <c r="BI127" s="117" t="n">
        <f aca="false">SUMIFS(الريسبي!$C$2:$C$1800,الريسبي!$A$2:$A$1800,$A127,الريسبي!$B$2:$B$1800,BI$1)</f>
        <v>0</v>
      </c>
      <c r="BJ127" s="117" t="n">
        <f aca="false">SUMIFS(الريسبي!$C$2:$C$1800,الريسبي!$A$2:$A$1800,$A127,الريسبي!$B$2:$B$1800,BJ$1)</f>
        <v>0</v>
      </c>
      <c r="BK127" s="117" t="n">
        <f aca="false">SUMIFS(الريسبي!$C$2:$C$1800,الريسبي!$A$2:$A$1800,$A127,الريسبي!$B$2:$B$1800,BK$1)</f>
        <v>0</v>
      </c>
      <c r="BL127" s="117" t="n">
        <f aca="false">SUMIFS(الريسبي!$C$2:$C$1800,الريسبي!$A$2:$A$1800,$A127,الريسبي!$B$2:$B$1800,BL$1)</f>
        <v>0</v>
      </c>
      <c r="BM127" s="117" t="n">
        <f aca="false">SUMIFS(الريسبي!$C$2:$C$1800,الريسبي!$A$2:$A$1800,$A127,الريسبي!$B$2:$B$1800,BM$1)</f>
        <v>0</v>
      </c>
      <c r="BN127" s="117" t="n">
        <f aca="false">SUMIFS(الريسبي!$C$2:$C$1800,الريسبي!$A$2:$A$1800,$A127,الريسبي!$B$2:$B$1800,BN$1)</f>
        <v>0.02</v>
      </c>
      <c r="BO127" s="117" t="n">
        <f aca="false">SUMIFS(الريسبي!$C$2:$C$1800,الريسبي!$A$2:$A$1800,$A127,الريسبي!$B$2:$B$1800,BO$1)</f>
        <v>0</v>
      </c>
      <c r="BP127" s="117" t="n">
        <f aca="false">SUMIFS(الريسبي!$C$2:$C$1800,الريسبي!$A$2:$A$1800,$A127,الريسبي!$B$2:$B$1800,BP$1)</f>
        <v>0</v>
      </c>
      <c r="BQ127" s="117" t="n">
        <f aca="false">SUMIFS(الريسبي!$C$2:$C$1800,الريسبي!$A$2:$A$1800,$A127,الريسبي!$B$2:$B$1800,BQ$1)+0.17*SUMIFS(الريسبي!$C$2:$C$1800,الريسبي!$A$2:$A$1800,$A127,الريسبي!$B$2:$B$1800,"كاسترد مصنع (خليط بودر + لبن)")+0.17*SUMIFS(الريسبي!$C$2:$C$1800,الريسبي!$A$2:$A$1800,$A127,الريسبي!$B$2:$B$1800,"كاسترد مصنع صيامي (بدون لبن)")</f>
        <v>0</v>
      </c>
      <c r="BR127" s="117" t="n">
        <f aca="false">SUMIFS(الريسبي!$C$2:$C$1800,الريسبي!$A$2:$A$1800,$A127,الريسبي!$B$2:$B$1800,BR$1)</f>
        <v>0</v>
      </c>
      <c r="BS127" s="117" t="n">
        <f aca="false">SUMIFS(الريسبي!$C$2:$C$1800,الريسبي!$A$2:$A$1800,$A127,الريسبي!$B$2:$B$1800,BS$1)</f>
        <v>0</v>
      </c>
      <c r="BT127" s="117" t="n">
        <f aca="false">SUMIFS(الريسبي!$C$2:$C$1800,الريسبي!$A$2:$A$1800,$A127,الريسبي!$B$2:$B$1800,BT$1)</f>
        <v>1</v>
      </c>
      <c r="BU127" s="117" t="n">
        <f aca="false">SUMIFS(الريسبي!$C$2:$C$1800,الريسبي!$A$2:$A$1800,$A127,الريسبي!$B$2:$B$1800,BU$1)+0.4*SUMIFS(الريسبي!$C$2:$C$1800,الريسبي!$A$2:$A$1800,$A127,الريسبي!$B$2:$B$1800,"كاسترد مصنع (خليط بودر + لبن)")+0.03333333333*SUMIFS(الريسبي!$C$2:$C$1800,الريسبي!$A$2:$A$1800,$A127,الريسبي!$B$2:$B$1800,"عجين كريب (مصنع بالمطعم)")</f>
        <v>0</v>
      </c>
      <c r="BV127" s="117" t="n">
        <f aca="false">SUMIFS(الريسبي!$C$2:$C$1800,الريسبي!$A$2:$A$1800,$A127,الريسبي!$B$2:$B$1800,BV$1)</f>
        <v>0</v>
      </c>
      <c r="BW127" s="117" t="n">
        <f aca="false">SUMIFS(الريسبي!$C$2:$C$1800,الريسبي!$A$2:$A$1800,$A127,الريسبي!$B$2:$B$1800,BW$1)</f>
        <v>0</v>
      </c>
      <c r="BX127" s="117" t="n">
        <f aca="false">SUMIFS(الريسبي!$C$2:$C$1800,الريسبي!$A$2:$A$1800,$A127,الريسبي!$B$2:$B$1800,BX$1)</f>
        <v>0</v>
      </c>
      <c r="BY127" s="117" t="n">
        <f aca="false">SUMIFS(الريسبي!$C$2:$C$1800,الريسبي!$A$2:$A$1800,$A127,الريسبي!$B$2:$B$1800,BY$1)</f>
        <v>0</v>
      </c>
      <c r="BZ127" s="117" t="n">
        <f aca="false">SUMIFS(الريسبي!$C$2:$C$1800,الريسبي!$A$2:$A$1800,$A127,الريسبي!$B$2:$B$1800,BZ$1)</f>
        <v>0</v>
      </c>
      <c r="CA127" s="117" t="n">
        <f aca="false">SUMIFS(الريسبي!$C$2:$C$1800,الريسبي!$A$2:$A$1800,$A127,الريسبي!$B$2:$B$1800,CA$1)</f>
        <v>0</v>
      </c>
      <c r="CB127" s="117" t="n">
        <f aca="false">SUMIFS(الريسبي!$C$2:$C$1800,الريسبي!$A$2:$A$1800,$A127,الريسبي!$B$2:$B$1800,CB$1)</f>
        <v>0</v>
      </c>
      <c r="CC127" s="117" t="n">
        <f aca="false">SUMIFS(الريسبي!$C$2:$C$1800,الريسبي!$A$2:$A$1800,$A127,الريسبي!$B$2:$B$1800,CC$1)</f>
        <v>0</v>
      </c>
      <c r="CD127" s="117" t="n">
        <f aca="false">SUMIFS(الريسبي!$C$2:$C$1800,الريسبي!$A$2:$A$1800,$A127,الريسبي!$B$2:$B$1800,CD$1)</f>
        <v>0</v>
      </c>
      <c r="CE127" s="117" t="n">
        <f aca="false">SUMIFS(الريسبي!$C$2:$C$1800,الريسبي!$A$2:$A$1800,$A127,الريسبي!$B$2:$B$1800,CE$1)</f>
        <v>0</v>
      </c>
      <c r="CF127" s="117" t="n">
        <f aca="false">SUMIFS(الريسبي!$C$2:$C$1800,الريسبي!$A$2:$A$1800,$A127,الريسبي!$B$2:$B$1800,CF$1)</f>
        <v>0</v>
      </c>
      <c r="CG127" s="117" t="n">
        <f aca="false">SUMIFS(الريسبي!$C$2:$C$1800,الريسبي!$A$2:$A$1800,$A127,الريسبي!$B$2:$B$1800,CG$1)</f>
        <v>0</v>
      </c>
      <c r="CH127" s="117" t="n">
        <f aca="false">SUMIFS(الريسبي!$C$2:$C$1800,الريسبي!$A$2:$A$1800,$A127,الريسبي!$B$2:$B$1800,CH$1)</f>
        <v>0</v>
      </c>
      <c r="CI127" s="117" t="n">
        <f aca="false">SUMIFS(الريسبي!$C$2:$C$1800,الريسبي!$A$2:$A$1800,$A127,الريسبي!$B$2:$B$1800,CI$1)</f>
        <v>0</v>
      </c>
      <c r="CJ127" s="117" t="n">
        <f aca="false">SUMIFS(الريسبي!$C$2:$C$1800,الريسبي!$A$2:$A$1800,$A127,الريسبي!$B$2:$B$1800,CJ$1)</f>
        <v>0</v>
      </c>
      <c r="CK127" s="117" t="n">
        <f aca="false">SUMIFS(الريسبي!$C$2:$C$1800,الريسبي!$A$2:$A$1800,$A127,الريسبي!$B$2:$B$1800,CK$1)</f>
        <v>0</v>
      </c>
      <c r="CL127" s="117" t="n">
        <f aca="false">SUMIFS(الريسبي!$C$2:$C$1800,الريسبي!$A$2:$A$1800,$A127,الريسبي!$B$2:$B$1800,CL$1)</f>
        <v>0</v>
      </c>
    </row>
    <row r="128" customFormat="false" ht="15" hidden="false" customHeight="false" outlineLevel="0" collapsed="false">
      <c r="A128" s="116" t="str">
        <f aca="false">المنيو!B128</f>
        <v>اضافة جبنة كيري (فطير M)</v>
      </c>
      <c r="B128" s="117" t="n">
        <f aca="false">SUMIFS(الريسبي!$C$2:$C$1800,الريسبي!$A$2:$A$1800,$A128,الريسبي!$B$2:$B$1800,B$1)</f>
        <v>0</v>
      </c>
      <c r="C128" s="117" t="n">
        <f aca="false">SUMIFS(الريسبي!$C$2:$C$1800,الريسبي!$A$2:$A$1800,$A128,الريسبي!$B$2:$B$1800,C$1)</f>
        <v>0</v>
      </c>
      <c r="D128" s="117" t="n">
        <f aca="false">SUMIFS(الريسبي!$C$2:$C$1800,الريسبي!$A$2:$A$1800,$A128,الريسبي!$B$2:$B$1800,D$1)</f>
        <v>0</v>
      </c>
      <c r="E128" s="117" t="n">
        <f aca="false">SUMIFS(الريسبي!$C$2:$C$1800,الريسبي!$A$2:$A$1800,$A128,الريسبي!$B$2:$B$1800,E$1)</f>
        <v>0</v>
      </c>
      <c r="F128" s="117" t="n">
        <f aca="false">SUMIFS(الريسبي!$C$2:$C$1800,الريسبي!$A$2:$A$1800,$A128,الريسبي!$B$2:$B$1800,F$1)</f>
        <v>0</v>
      </c>
      <c r="G128" s="117" t="n">
        <f aca="false">SUMIFS(الريسبي!$C$2:$C$1800,الريسبي!$A$2:$A$1800,$A128,الريسبي!$B$2:$B$1800,G$1)</f>
        <v>0</v>
      </c>
      <c r="H128" s="117" t="n">
        <f aca="false">SUMIFS(الريسبي!$C$2:$C$1800,الريسبي!$A$2:$A$1800,$A128,الريسبي!$B$2:$B$1800,H$1)</f>
        <v>0</v>
      </c>
      <c r="I128" s="117" t="n">
        <f aca="false">SUMIFS(الريسبي!$C$2:$C$1800,الريسبي!$A$2:$A$1800,$A128,الريسبي!$B$2:$B$1800,I$1)</f>
        <v>0</v>
      </c>
      <c r="J128" s="117" t="n">
        <f aca="false">SUMIFS(الريسبي!$C$2:$C$1800,الريسبي!$A$2:$A$1800,$A128,الريسبي!$B$2:$B$1800,J$1)</f>
        <v>0</v>
      </c>
      <c r="K128" s="117" t="n">
        <f aca="false">SUMIFS(الريسبي!$C$2:$C$1800,الريسبي!$A$2:$A$1800,$A128,الريسبي!$B$2:$B$1800,K$1)</f>
        <v>0</v>
      </c>
      <c r="L128" s="117" t="n">
        <f aca="false">SUMIFS(الريسبي!$C$2:$C$1800,الريسبي!$A$2:$A$1800,$A128,الريسبي!$B$2:$B$1800,L$1)</f>
        <v>0</v>
      </c>
      <c r="M128" s="117" t="n">
        <f aca="false">SUMIFS(الريسبي!$C$2:$C$1800,الريسبي!$A$2:$A$1800,$A128,الريسبي!$B$2:$B$1800,M$1)</f>
        <v>0</v>
      </c>
      <c r="N128" s="117" t="n">
        <f aca="false">SUMIFS(الريسبي!$C$2:$C$1800,الريسبي!$A$2:$A$1800,$A128,الريسبي!$B$2:$B$1800,N$1)</f>
        <v>0</v>
      </c>
      <c r="O128" s="117" t="n">
        <f aca="false">SUMIFS(الريسبي!$C$2:$C$1800,الريسبي!$A$2:$A$1800,$A128,الريسبي!$B$2:$B$1800,O$1)</f>
        <v>0</v>
      </c>
      <c r="P128" s="117" t="n">
        <f aca="false">SUMIFS(الريسبي!$C$2:$C$1800,الريسبي!$A$2:$A$1800,$A128,الريسبي!$B$2:$B$1800,P$1)</f>
        <v>0</v>
      </c>
      <c r="Q128" s="117" t="n">
        <f aca="false">SUMIFS(الريسبي!$C$2:$C$1800,الريسبي!$A$2:$A$1800,$A128,الريسبي!$B$2:$B$1800,Q$1)</f>
        <v>0</v>
      </c>
      <c r="R128" s="117" t="n">
        <f aca="false">SUMIFS(الريسبي!$C$2:$C$1800,الريسبي!$A$2:$A$1800,$A128,الريسبي!$B$2:$B$1800,R$1)</f>
        <v>0</v>
      </c>
      <c r="S128" s="117" t="n">
        <f aca="false">SUMIFS(الريسبي!$C$2:$C$1800,الريسبي!$A$2:$A$1800,$A128,الريسبي!$B$2:$B$1800,S$1)</f>
        <v>0</v>
      </c>
      <c r="T128" s="117" t="n">
        <f aca="false">SUMIFS(الريسبي!$C$2:$C$1800,الريسبي!$A$2:$A$1800,$A128,الريسبي!$B$2:$B$1800,T$1)</f>
        <v>0</v>
      </c>
      <c r="U128" s="117" t="n">
        <f aca="false">SUMIFS(الريسبي!$C$2:$C$1800,الريسبي!$A$2:$A$1800,$A128,الريسبي!$B$2:$B$1800,U$1)</f>
        <v>0</v>
      </c>
      <c r="V128" s="117" t="n">
        <f aca="false">SUMIFS(الريسبي!$C$2:$C$1800,الريسبي!$A$2:$A$1800,$A128,الريسبي!$B$2:$B$1800,V$1)</f>
        <v>0</v>
      </c>
      <c r="W128" s="117" t="n">
        <f aca="false">SUMIFS(الريسبي!$C$2:$C$1800,الريسبي!$A$2:$A$1800,$A128,الريسبي!$B$2:$B$1800,W$1)</f>
        <v>0</v>
      </c>
      <c r="X128" s="117" t="n">
        <f aca="false">SUMIFS(الريسبي!$C$2:$C$1800,الريسبي!$A$2:$A$1800,$A128,الريسبي!$B$2:$B$1800,X$1)</f>
        <v>0</v>
      </c>
      <c r="Y128" s="117" t="n">
        <f aca="false">SUMIFS(الريسبي!$C$2:$C$1800,الريسبي!$A$2:$A$1800,$A128,الريسبي!$B$2:$B$1800,Y$1)</f>
        <v>0</v>
      </c>
      <c r="Z128" s="117" t="n">
        <f aca="false">SUMIFS(الريسبي!$C$2:$C$1800,الريسبي!$A$2:$A$1800,$A128,الريسبي!$B$2:$B$1800,Z$1)</f>
        <v>0</v>
      </c>
      <c r="AA128" s="117" t="n">
        <f aca="false">SUMIFS(الريسبي!$C$2:$C$1800,الريسبي!$A$2:$A$1800,$A128,الريسبي!$B$2:$B$1800,AA$1)</f>
        <v>0</v>
      </c>
      <c r="AB128" s="117" t="n">
        <f aca="false">SUMIFS(الريسبي!$C$2:$C$1800,الريسبي!$A$2:$A$1800,$A128,الريسبي!$B$2:$B$1800,AB$1)</f>
        <v>0</v>
      </c>
      <c r="AC128" s="117" t="n">
        <f aca="false">SUMIFS(الريسبي!$C$2:$C$1800,الريسبي!$A$2:$A$1800,$A128,الريسبي!$B$2:$B$1800,AC$1)</f>
        <v>0</v>
      </c>
      <c r="AD128" s="117" t="n">
        <f aca="false">SUMIFS(الريسبي!$C$2:$C$1800,الريسبي!$A$2:$A$1800,$A128,الريسبي!$B$2:$B$1800,AD$1)</f>
        <v>0</v>
      </c>
      <c r="AE128" s="117" t="n">
        <f aca="false">SUMIFS(الريسبي!$C$2:$C$1800,الريسبي!$A$2:$A$1800,$A128,الريسبي!$B$2:$B$1800,AE$1)</f>
        <v>0</v>
      </c>
      <c r="AF128" s="117" t="n">
        <f aca="false">SUMIFS(الريسبي!$C$2:$C$1800,الريسبي!$A$2:$A$1800,$A128,الريسبي!$B$2:$B$1800,AF$1)</f>
        <v>0</v>
      </c>
      <c r="AG128" s="117" t="n">
        <f aca="false">SUMIFS(الريسبي!$C$2:$C$1800,الريسبي!$A$2:$A$1800,$A128,الريسبي!$B$2:$B$1800,AG$1)</f>
        <v>0</v>
      </c>
      <c r="AH128" s="117" t="n">
        <f aca="false">SUMIFS(الريسبي!$C$2:$C$1800,الريسبي!$A$2:$A$1800,$A128,الريسبي!$B$2:$B$1800,AH$1)</f>
        <v>0</v>
      </c>
      <c r="AI128" s="117" t="n">
        <f aca="false">SUMIFS(الريسبي!$C$2:$C$1800,الريسبي!$A$2:$A$1800,$A128,الريسبي!$B$2:$B$1800,AI$1)</f>
        <v>0</v>
      </c>
      <c r="AJ128" s="117" t="n">
        <f aca="false">SUMIFS(الريسبي!$C$2:$C$1800,الريسبي!$A$2:$A$1800,$A128,الريسبي!$B$2:$B$1800,AJ$1)</f>
        <v>0</v>
      </c>
      <c r="AK128" s="117" t="n">
        <f aca="false">SUMIFS(الريسبي!$C$2:$C$1800,الريسبي!$A$2:$A$1800,$A128,الريسبي!$B$2:$B$1800,AK$1)</f>
        <v>0</v>
      </c>
      <c r="AL128" s="117" t="n">
        <f aca="false">SUMIFS(الريسبي!$C$2:$C$1800,الريسبي!$A$2:$A$1800,$A128,الريسبي!$B$2:$B$1800,AL$1)</f>
        <v>0</v>
      </c>
      <c r="AM128" s="117" t="n">
        <f aca="false">SUMIFS(الريسبي!$C$2:$C$1800,الريسبي!$A$2:$A$1800,$A128,الريسبي!$B$2:$B$1800,AM$1)+0.08333333333*SUMIFS(الريسبي!$C$2:$C$1800,الريسبي!$A$2:$A$1800,$A128,الريسبي!$B$2:$B$1800,"عجين كريب (مصنع بالمطعم)")+0.08333333333*SUMIFS(الريسبي!$C$2:$C$1800,الريسبي!$A$2:$A$1800,$A128,الريسبي!$B$2:$B$1800,"عجين كريب صيامي (بدون لبن)")</f>
        <v>0</v>
      </c>
      <c r="AN128" s="117" t="n">
        <f aca="false">SUMIFS(الريسبي!$C$2:$C$1800,الريسبي!$A$2:$A$1800,$A128,الريسبي!$B$2:$B$1800,AN$1)+0.004166666667*SUMIFS(الريسبي!$C$2:$C$1800,الريسبي!$A$2:$A$1800,$A128,الريسبي!$B$2:$B$1800,"عجين كريب (مصنع بالمطعم)")+0.004166666667*SUMIFS(الريسبي!$C$2:$C$1800,الريسبي!$A$2:$A$1800,$A128,الريسبي!$B$2:$B$1800,"عجين كريب صيامي (بدون لبن)")</f>
        <v>0</v>
      </c>
      <c r="AO128" s="117" t="n">
        <f aca="false">SUMIFS(الريسبي!$C$2:$C$1800,الريسبي!$A$2:$A$1800,$A128,الريسبي!$B$2:$B$1800,AO$1)</f>
        <v>0</v>
      </c>
      <c r="AP128" s="117" t="n">
        <f aca="false">SUMIFS(الريسبي!$C$2:$C$1800,الريسبي!$A$2:$A$1800,$A128,الريسبي!$B$2:$B$1800,AP$1)</f>
        <v>0</v>
      </c>
      <c r="AQ128" s="117" t="n">
        <f aca="false">SUMIFS(الريسبي!$C$2:$C$1800,الريسبي!$A$2:$A$1800,$A128,الريسبي!$B$2:$B$1800,AQ$1)+0.004166666667*SUMIFS(الريسبي!$C$2:$C$1800,الريسبي!$A$2:$A$1800,$A128,الريسبي!$B$2:$B$1800,"عجين كريب (مصنع بالمطعم)")+0.004166666667*SUMIFS(الريسبي!$C$2:$C$1800,الريسبي!$A$2:$A$1800,$A128,الريسبي!$B$2:$B$1800,"عجين كريب صيامي (بدون لبن)")</f>
        <v>0</v>
      </c>
      <c r="AR128" s="117" t="n">
        <f aca="false">SUMIFS(الريسبي!$C$2:$C$1800,الريسبي!$A$2:$A$1800,$A128,الريسبي!$B$2:$B$1800,AR$1)</f>
        <v>0</v>
      </c>
      <c r="AS128" s="117" t="n">
        <f aca="false">SUMIFS(الريسبي!$C$2:$C$1800,الريسبي!$A$2:$A$1800,$A128,الريسبي!$B$2:$B$1800,AS$1)</f>
        <v>0</v>
      </c>
      <c r="AT128" s="117" t="n">
        <f aca="false">SUMIFS(الريسبي!$C$2:$C$1800,الريسبي!$A$2:$A$1800,$A128,الريسبي!$B$2:$B$1800,AT$1)</f>
        <v>0</v>
      </c>
      <c r="AU128" s="117" t="n">
        <f aca="false">SUMIFS(الريسبي!$C$2:$C$1800,الريسبي!$A$2:$A$1800,$A128,الريسبي!$B$2:$B$1800,AU$1)</f>
        <v>0</v>
      </c>
      <c r="AV128" s="117" t="n">
        <f aca="false">SUMIFS(الريسبي!$C$2:$C$1800,الريسبي!$A$2:$A$1800,$A128,الريسبي!$B$2:$B$1800,AV$1)</f>
        <v>0</v>
      </c>
      <c r="AW128" s="117" t="n">
        <f aca="false">SUMIFS(الريسبي!$C$2:$C$1800,الريسبي!$A$2:$A$1800,$A128,الريسبي!$B$2:$B$1800,AW$1)</f>
        <v>0</v>
      </c>
      <c r="AX128" s="117" t="n">
        <f aca="false">SUMIFS(الريسبي!$C$2:$C$1800,الريسبي!$A$2:$A$1800,$A128,الريسبي!$B$2:$B$1800,AX$1)</f>
        <v>0</v>
      </c>
      <c r="AY128" s="117" t="n">
        <f aca="false">SUMIFS(الريسبي!$C$2:$C$1800,الريسبي!$A$2:$A$1800,$A128,الريسبي!$B$2:$B$1800,AY$1)</f>
        <v>0</v>
      </c>
      <c r="AZ128" s="117" t="n">
        <f aca="false">SUMIFS(الريسبي!$C$2:$C$1800,الريسبي!$A$2:$A$1800,$A128,الريسبي!$B$2:$B$1800,AZ$1)</f>
        <v>0</v>
      </c>
      <c r="BA128" s="117" t="n">
        <f aca="false">SUMIFS(الريسبي!$C$2:$C$1800,الريسبي!$A$2:$A$1800,$A128,الريسبي!$B$2:$B$1800,BA$1)</f>
        <v>0</v>
      </c>
      <c r="BB128" s="117" t="n">
        <f aca="false">SUMIFS(الريسبي!$C$2:$C$1800,الريسبي!$A$2:$A$1800,$A128,الريسبي!$B$2:$B$1800,BB$1)</f>
        <v>0</v>
      </c>
      <c r="BC128" s="117" t="n">
        <f aca="false">SUMIFS(الريسبي!$C$2:$C$1800,الريسبي!$A$2:$A$1800,$A128,الريسبي!$B$2:$B$1800,BC$1)</f>
        <v>0</v>
      </c>
      <c r="BD128" s="117" t="n">
        <f aca="false">SUMIFS(الريسبي!$C$2:$C$1800,الريسبي!$A$2:$A$1800,$A128,الريسبي!$B$2:$B$1800,BD$1)</f>
        <v>0</v>
      </c>
      <c r="BE128" s="117" t="n">
        <f aca="false">SUMIFS(الريسبي!$C$2:$C$1800,الريسبي!$A$2:$A$1800,$A128,الريسبي!$B$2:$B$1800,BE$1)</f>
        <v>0</v>
      </c>
      <c r="BF128" s="117" t="n">
        <f aca="false">SUMIFS(الريسبي!$C$2:$C$1800,الريسبي!$A$2:$A$1800,$A128,الريسبي!$B$2:$B$1800,BF$1)</f>
        <v>0</v>
      </c>
      <c r="BG128" s="117" t="n">
        <f aca="false">SUMIFS(الريسبي!$C$2:$C$1800,الريسبي!$A$2:$A$1800,$A128,الريسبي!$B$2:$B$1800,BG$1)</f>
        <v>0</v>
      </c>
      <c r="BH128" s="117" t="n">
        <f aca="false">SUMIFS(الريسبي!$C$2:$C$1800,الريسبي!$A$2:$A$1800,$A128,الريسبي!$B$2:$B$1800,BH$1)</f>
        <v>0</v>
      </c>
      <c r="BI128" s="117" t="n">
        <f aca="false">SUMIFS(الريسبي!$C$2:$C$1800,الريسبي!$A$2:$A$1800,$A128,الريسبي!$B$2:$B$1800,BI$1)</f>
        <v>0</v>
      </c>
      <c r="BJ128" s="117" t="n">
        <f aca="false">SUMIFS(الريسبي!$C$2:$C$1800,الريسبي!$A$2:$A$1800,$A128,الريسبي!$B$2:$B$1800,BJ$1)</f>
        <v>0</v>
      </c>
      <c r="BK128" s="117" t="n">
        <f aca="false">SUMIFS(الريسبي!$C$2:$C$1800,الريسبي!$A$2:$A$1800,$A128,الريسبي!$B$2:$B$1800,BK$1)</f>
        <v>0</v>
      </c>
      <c r="BL128" s="117" t="n">
        <f aca="false">SUMIFS(الريسبي!$C$2:$C$1800,الريسبي!$A$2:$A$1800,$A128,الريسبي!$B$2:$B$1800,BL$1)</f>
        <v>0</v>
      </c>
      <c r="BM128" s="117" t="n">
        <f aca="false">SUMIFS(الريسبي!$C$2:$C$1800,الريسبي!$A$2:$A$1800,$A128,الريسبي!$B$2:$B$1800,BM$1)</f>
        <v>0</v>
      </c>
      <c r="BN128" s="117" t="n">
        <f aca="false">SUMIFS(الريسبي!$C$2:$C$1800,الريسبي!$A$2:$A$1800,$A128,الريسبي!$B$2:$B$1800,BN$1)</f>
        <v>0</v>
      </c>
      <c r="BO128" s="117" t="n">
        <f aca="false">SUMIFS(الريسبي!$C$2:$C$1800,الريسبي!$A$2:$A$1800,$A128,الريسبي!$B$2:$B$1800,BO$1)</f>
        <v>2</v>
      </c>
      <c r="BP128" s="117" t="n">
        <f aca="false">SUMIFS(الريسبي!$C$2:$C$1800,الريسبي!$A$2:$A$1800,$A128,الريسبي!$B$2:$B$1800,BP$1)</f>
        <v>0</v>
      </c>
      <c r="BQ128" s="117" t="n">
        <f aca="false">SUMIFS(الريسبي!$C$2:$C$1800,الريسبي!$A$2:$A$1800,$A128,الريسبي!$B$2:$B$1800,BQ$1)+0.17*SUMIFS(الريسبي!$C$2:$C$1800,الريسبي!$A$2:$A$1800,$A128,الريسبي!$B$2:$B$1800,"كاسترد مصنع (خليط بودر + لبن)")+0.17*SUMIFS(الريسبي!$C$2:$C$1800,الريسبي!$A$2:$A$1800,$A128,الريسبي!$B$2:$B$1800,"كاسترد مصنع صيامي (بدون لبن)")</f>
        <v>0</v>
      </c>
      <c r="BR128" s="117" t="n">
        <f aca="false">SUMIFS(الريسبي!$C$2:$C$1800,الريسبي!$A$2:$A$1800,$A128,الريسبي!$B$2:$B$1800,BR$1)</f>
        <v>0</v>
      </c>
      <c r="BS128" s="117" t="n">
        <f aca="false">SUMIFS(الريسبي!$C$2:$C$1800,الريسبي!$A$2:$A$1800,$A128,الريسبي!$B$2:$B$1800,BS$1)</f>
        <v>0</v>
      </c>
      <c r="BT128" s="117" t="n">
        <f aca="false">SUMIFS(الريسبي!$C$2:$C$1800,الريسبي!$A$2:$A$1800,$A128,الريسبي!$B$2:$B$1800,BT$1)</f>
        <v>0</v>
      </c>
      <c r="BU128" s="117" t="n">
        <f aca="false">SUMIFS(الريسبي!$C$2:$C$1800,الريسبي!$A$2:$A$1800,$A128,الريسبي!$B$2:$B$1800,BU$1)+0.4*SUMIFS(الريسبي!$C$2:$C$1800,الريسبي!$A$2:$A$1800,$A128,الريسبي!$B$2:$B$1800,"كاسترد مصنع (خليط بودر + لبن)")+0.03333333333*SUMIFS(الريسبي!$C$2:$C$1800,الريسبي!$A$2:$A$1800,$A128,الريسبي!$B$2:$B$1800,"عجين كريب (مصنع بالمطعم)")</f>
        <v>0</v>
      </c>
      <c r="BV128" s="117" t="n">
        <f aca="false">SUMIFS(الريسبي!$C$2:$C$1800,الريسبي!$A$2:$A$1800,$A128,الريسبي!$B$2:$B$1800,BV$1)</f>
        <v>0</v>
      </c>
      <c r="BW128" s="117" t="n">
        <f aca="false">SUMIFS(الريسبي!$C$2:$C$1800,الريسبي!$A$2:$A$1800,$A128,الريسبي!$B$2:$B$1800,BW$1)</f>
        <v>0</v>
      </c>
      <c r="BX128" s="117" t="n">
        <f aca="false">SUMIFS(الريسبي!$C$2:$C$1800,الريسبي!$A$2:$A$1800,$A128,الريسبي!$B$2:$B$1800,BX$1)</f>
        <v>0</v>
      </c>
      <c r="BY128" s="117" t="n">
        <f aca="false">SUMIFS(الريسبي!$C$2:$C$1800,الريسبي!$A$2:$A$1800,$A128,الريسبي!$B$2:$B$1800,BY$1)</f>
        <v>0</v>
      </c>
      <c r="BZ128" s="117" t="n">
        <f aca="false">SUMIFS(الريسبي!$C$2:$C$1800,الريسبي!$A$2:$A$1800,$A128,الريسبي!$B$2:$B$1800,BZ$1)</f>
        <v>0</v>
      </c>
      <c r="CA128" s="117" t="n">
        <f aca="false">SUMIFS(الريسبي!$C$2:$C$1800,الريسبي!$A$2:$A$1800,$A128,الريسبي!$B$2:$B$1800,CA$1)</f>
        <v>0</v>
      </c>
      <c r="CB128" s="117" t="n">
        <f aca="false">SUMIFS(الريسبي!$C$2:$C$1800,الريسبي!$A$2:$A$1800,$A128,الريسبي!$B$2:$B$1800,CB$1)</f>
        <v>0</v>
      </c>
      <c r="CC128" s="117" t="n">
        <f aca="false">SUMIFS(الريسبي!$C$2:$C$1800,الريسبي!$A$2:$A$1800,$A128,الريسبي!$B$2:$B$1800,CC$1)</f>
        <v>0</v>
      </c>
      <c r="CD128" s="117" t="n">
        <f aca="false">SUMIFS(الريسبي!$C$2:$C$1800,الريسبي!$A$2:$A$1800,$A128,الريسبي!$B$2:$B$1800,CD$1)</f>
        <v>0</v>
      </c>
      <c r="CE128" s="117" t="n">
        <f aca="false">SUMIFS(الريسبي!$C$2:$C$1800,الريسبي!$A$2:$A$1800,$A128,الريسبي!$B$2:$B$1800,CE$1)</f>
        <v>0</v>
      </c>
      <c r="CF128" s="117" t="n">
        <f aca="false">SUMIFS(الريسبي!$C$2:$C$1800,الريسبي!$A$2:$A$1800,$A128,الريسبي!$B$2:$B$1800,CF$1)</f>
        <v>0</v>
      </c>
      <c r="CG128" s="117" t="n">
        <f aca="false">SUMIFS(الريسبي!$C$2:$C$1800,الريسبي!$A$2:$A$1800,$A128,الريسبي!$B$2:$B$1800,CG$1)</f>
        <v>0</v>
      </c>
      <c r="CH128" s="117" t="n">
        <f aca="false">SUMIFS(الريسبي!$C$2:$C$1800,الريسبي!$A$2:$A$1800,$A128,الريسبي!$B$2:$B$1800,CH$1)</f>
        <v>0</v>
      </c>
      <c r="CI128" s="117" t="n">
        <f aca="false">SUMIFS(الريسبي!$C$2:$C$1800,الريسبي!$A$2:$A$1800,$A128,الريسبي!$B$2:$B$1800,CI$1)</f>
        <v>0</v>
      </c>
      <c r="CJ128" s="117" t="n">
        <f aca="false">SUMIFS(الريسبي!$C$2:$C$1800,الريسبي!$A$2:$A$1800,$A128,الريسبي!$B$2:$B$1800,CJ$1)</f>
        <v>0</v>
      </c>
      <c r="CK128" s="117" t="n">
        <f aca="false">SUMIFS(الريسبي!$C$2:$C$1800,الريسبي!$A$2:$A$1800,$A128,الريسبي!$B$2:$B$1800,CK$1)</f>
        <v>0</v>
      </c>
      <c r="CL128" s="117" t="n">
        <f aca="false">SUMIFS(الريسبي!$C$2:$C$1800,الريسبي!$A$2:$A$1800,$A128,الريسبي!$B$2:$B$1800,CL$1)</f>
        <v>0</v>
      </c>
    </row>
    <row r="129" customFormat="false" ht="15" hidden="false" customHeight="false" outlineLevel="0" collapsed="false">
      <c r="A129" s="116" t="str">
        <f aca="false">المنيو!B129</f>
        <v>اضافة جبنة كيري (فطير L)</v>
      </c>
      <c r="B129" s="117" t="n">
        <f aca="false">SUMIFS(الريسبي!$C$2:$C$1800,الريسبي!$A$2:$A$1800,$A129,الريسبي!$B$2:$B$1800,B$1)</f>
        <v>0</v>
      </c>
      <c r="C129" s="117" t="n">
        <f aca="false">SUMIFS(الريسبي!$C$2:$C$1800,الريسبي!$A$2:$A$1800,$A129,الريسبي!$B$2:$B$1800,C$1)</f>
        <v>0</v>
      </c>
      <c r="D129" s="117" t="n">
        <f aca="false">SUMIFS(الريسبي!$C$2:$C$1800,الريسبي!$A$2:$A$1800,$A129,الريسبي!$B$2:$B$1800,D$1)</f>
        <v>0</v>
      </c>
      <c r="E129" s="117" t="n">
        <f aca="false">SUMIFS(الريسبي!$C$2:$C$1800,الريسبي!$A$2:$A$1800,$A129,الريسبي!$B$2:$B$1800,E$1)</f>
        <v>0</v>
      </c>
      <c r="F129" s="117" t="n">
        <f aca="false">SUMIFS(الريسبي!$C$2:$C$1800,الريسبي!$A$2:$A$1800,$A129,الريسبي!$B$2:$B$1800,F$1)</f>
        <v>0</v>
      </c>
      <c r="G129" s="117" t="n">
        <f aca="false">SUMIFS(الريسبي!$C$2:$C$1800,الريسبي!$A$2:$A$1800,$A129,الريسبي!$B$2:$B$1800,G$1)</f>
        <v>0</v>
      </c>
      <c r="H129" s="117" t="n">
        <f aca="false">SUMIFS(الريسبي!$C$2:$C$1800,الريسبي!$A$2:$A$1800,$A129,الريسبي!$B$2:$B$1800,H$1)</f>
        <v>0</v>
      </c>
      <c r="I129" s="117" t="n">
        <f aca="false">SUMIFS(الريسبي!$C$2:$C$1800,الريسبي!$A$2:$A$1800,$A129,الريسبي!$B$2:$B$1800,I$1)</f>
        <v>0</v>
      </c>
      <c r="J129" s="117" t="n">
        <f aca="false">SUMIFS(الريسبي!$C$2:$C$1800,الريسبي!$A$2:$A$1800,$A129,الريسبي!$B$2:$B$1800,J$1)</f>
        <v>0</v>
      </c>
      <c r="K129" s="117" t="n">
        <f aca="false">SUMIFS(الريسبي!$C$2:$C$1800,الريسبي!$A$2:$A$1800,$A129,الريسبي!$B$2:$B$1800,K$1)</f>
        <v>0</v>
      </c>
      <c r="L129" s="117" t="n">
        <f aca="false">SUMIFS(الريسبي!$C$2:$C$1800,الريسبي!$A$2:$A$1800,$A129,الريسبي!$B$2:$B$1800,L$1)</f>
        <v>0</v>
      </c>
      <c r="M129" s="117" t="n">
        <f aca="false">SUMIFS(الريسبي!$C$2:$C$1800,الريسبي!$A$2:$A$1800,$A129,الريسبي!$B$2:$B$1800,M$1)</f>
        <v>0</v>
      </c>
      <c r="N129" s="117" t="n">
        <f aca="false">SUMIFS(الريسبي!$C$2:$C$1800,الريسبي!$A$2:$A$1800,$A129,الريسبي!$B$2:$B$1800,N$1)</f>
        <v>0</v>
      </c>
      <c r="O129" s="117" t="n">
        <f aca="false">SUMIFS(الريسبي!$C$2:$C$1800,الريسبي!$A$2:$A$1800,$A129,الريسبي!$B$2:$B$1800,O$1)</f>
        <v>0</v>
      </c>
      <c r="P129" s="117" t="n">
        <f aca="false">SUMIFS(الريسبي!$C$2:$C$1800,الريسبي!$A$2:$A$1800,$A129,الريسبي!$B$2:$B$1800,P$1)</f>
        <v>0</v>
      </c>
      <c r="Q129" s="117" t="n">
        <f aca="false">SUMIFS(الريسبي!$C$2:$C$1800,الريسبي!$A$2:$A$1800,$A129,الريسبي!$B$2:$B$1800,Q$1)</f>
        <v>0</v>
      </c>
      <c r="R129" s="117" t="n">
        <f aca="false">SUMIFS(الريسبي!$C$2:$C$1800,الريسبي!$A$2:$A$1800,$A129,الريسبي!$B$2:$B$1800,R$1)</f>
        <v>0</v>
      </c>
      <c r="S129" s="117" t="n">
        <f aca="false">SUMIFS(الريسبي!$C$2:$C$1800,الريسبي!$A$2:$A$1800,$A129,الريسبي!$B$2:$B$1800,S$1)</f>
        <v>0</v>
      </c>
      <c r="T129" s="117" t="n">
        <f aca="false">SUMIFS(الريسبي!$C$2:$C$1800,الريسبي!$A$2:$A$1800,$A129,الريسبي!$B$2:$B$1800,T$1)</f>
        <v>0</v>
      </c>
      <c r="U129" s="117" t="n">
        <f aca="false">SUMIFS(الريسبي!$C$2:$C$1800,الريسبي!$A$2:$A$1800,$A129,الريسبي!$B$2:$B$1800,U$1)</f>
        <v>0</v>
      </c>
      <c r="V129" s="117" t="n">
        <f aca="false">SUMIFS(الريسبي!$C$2:$C$1800,الريسبي!$A$2:$A$1800,$A129,الريسبي!$B$2:$B$1800,V$1)</f>
        <v>0</v>
      </c>
      <c r="W129" s="117" t="n">
        <f aca="false">SUMIFS(الريسبي!$C$2:$C$1800,الريسبي!$A$2:$A$1800,$A129,الريسبي!$B$2:$B$1800,W$1)</f>
        <v>0</v>
      </c>
      <c r="X129" s="117" t="n">
        <f aca="false">SUMIFS(الريسبي!$C$2:$C$1800,الريسبي!$A$2:$A$1800,$A129,الريسبي!$B$2:$B$1800,X$1)</f>
        <v>0</v>
      </c>
      <c r="Y129" s="117" t="n">
        <f aca="false">SUMIFS(الريسبي!$C$2:$C$1800,الريسبي!$A$2:$A$1800,$A129,الريسبي!$B$2:$B$1800,Y$1)</f>
        <v>0</v>
      </c>
      <c r="Z129" s="117" t="n">
        <f aca="false">SUMIFS(الريسبي!$C$2:$C$1800,الريسبي!$A$2:$A$1800,$A129,الريسبي!$B$2:$B$1800,Z$1)</f>
        <v>0</v>
      </c>
      <c r="AA129" s="117" t="n">
        <f aca="false">SUMIFS(الريسبي!$C$2:$C$1800,الريسبي!$A$2:$A$1800,$A129,الريسبي!$B$2:$B$1800,AA$1)</f>
        <v>0</v>
      </c>
      <c r="AB129" s="117" t="n">
        <f aca="false">SUMIFS(الريسبي!$C$2:$C$1800,الريسبي!$A$2:$A$1800,$A129,الريسبي!$B$2:$B$1800,AB$1)</f>
        <v>0</v>
      </c>
      <c r="AC129" s="117" t="n">
        <f aca="false">SUMIFS(الريسبي!$C$2:$C$1800,الريسبي!$A$2:$A$1800,$A129,الريسبي!$B$2:$B$1800,AC$1)</f>
        <v>0</v>
      </c>
      <c r="AD129" s="117" t="n">
        <f aca="false">SUMIFS(الريسبي!$C$2:$C$1800,الريسبي!$A$2:$A$1800,$A129,الريسبي!$B$2:$B$1800,AD$1)</f>
        <v>0</v>
      </c>
      <c r="AE129" s="117" t="n">
        <f aca="false">SUMIFS(الريسبي!$C$2:$C$1800,الريسبي!$A$2:$A$1800,$A129,الريسبي!$B$2:$B$1800,AE$1)</f>
        <v>0</v>
      </c>
      <c r="AF129" s="117" t="n">
        <f aca="false">SUMIFS(الريسبي!$C$2:$C$1800,الريسبي!$A$2:$A$1800,$A129,الريسبي!$B$2:$B$1800,AF$1)</f>
        <v>0</v>
      </c>
      <c r="AG129" s="117" t="n">
        <f aca="false">SUMIFS(الريسبي!$C$2:$C$1800,الريسبي!$A$2:$A$1800,$A129,الريسبي!$B$2:$B$1800,AG$1)</f>
        <v>0</v>
      </c>
      <c r="AH129" s="117" t="n">
        <f aca="false">SUMIFS(الريسبي!$C$2:$C$1800,الريسبي!$A$2:$A$1800,$A129,الريسبي!$B$2:$B$1800,AH$1)</f>
        <v>0</v>
      </c>
      <c r="AI129" s="117" t="n">
        <f aca="false">SUMIFS(الريسبي!$C$2:$C$1800,الريسبي!$A$2:$A$1800,$A129,الريسبي!$B$2:$B$1800,AI$1)</f>
        <v>0</v>
      </c>
      <c r="AJ129" s="117" t="n">
        <f aca="false">SUMIFS(الريسبي!$C$2:$C$1800,الريسبي!$A$2:$A$1800,$A129,الريسبي!$B$2:$B$1800,AJ$1)</f>
        <v>0</v>
      </c>
      <c r="AK129" s="117" t="n">
        <f aca="false">SUMIFS(الريسبي!$C$2:$C$1800,الريسبي!$A$2:$A$1800,$A129,الريسبي!$B$2:$B$1800,AK$1)</f>
        <v>0</v>
      </c>
      <c r="AL129" s="117" t="n">
        <f aca="false">SUMIFS(الريسبي!$C$2:$C$1800,الريسبي!$A$2:$A$1800,$A129,الريسبي!$B$2:$B$1800,AL$1)</f>
        <v>0</v>
      </c>
      <c r="AM129" s="117" t="n">
        <f aca="false">SUMIFS(الريسبي!$C$2:$C$1800,الريسبي!$A$2:$A$1800,$A129,الريسبي!$B$2:$B$1800,AM$1)+0.08333333333*SUMIFS(الريسبي!$C$2:$C$1800,الريسبي!$A$2:$A$1800,$A129,الريسبي!$B$2:$B$1800,"عجين كريب (مصنع بالمطعم)")+0.08333333333*SUMIFS(الريسبي!$C$2:$C$1800,الريسبي!$A$2:$A$1800,$A129,الريسبي!$B$2:$B$1800,"عجين كريب صيامي (بدون لبن)")</f>
        <v>0</v>
      </c>
      <c r="AN129" s="117" t="n">
        <f aca="false">SUMIFS(الريسبي!$C$2:$C$1800,الريسبي!$A$2:$A$1800,$A129,الريسبي!$B$2:$B$1800,AN$1)+0.004166666667*SUMIFS(الريسبي!$C$2:$C$1800,الريسبي!$A$2:$A$1800,$A129,الريسبي!$B$2:$B$1800,"عجين كريب (مصنع بالمطعم)")+0.004166666667*SUMIFS(الريسبي!$C$2:$C$1800,الريسبي!$A$2:$A$1800,$A129,الريسبي!$B$2:$B$1800,"عجين كريب صيامي (بدون لبن)")</f>
        <v>0</v>
      </c>
      <c r="AO129" s="117" t="n">
        <f aca="false">SUMIFS(الريسبي!$C$2:$C$1800,الريسبي!$A$2:$A$1800,$A129,الريسبي!$B$2:$B$1800,AO$1)</f>
        <v>0</v>
      </c>
      <c r="AP129" s="117" t="n">
        <f aca="false">SUMIFS(الريسبي!$C$2:$C$1800,الريسبي!$A$2:$A$1800,$A129,الريسبي!$B$2:$B$1800,AP$1)</f>
        <v>0</v>
      </c>
      <c r="AQ129" s="117" t="n">
        <f aca="false">SUMIFS(الريسبي!$C$2:$C$1800,الريسبي!$A$2:$A$1800,$A129,الريسبي!$B$2:$B$1800,AQ$1)+0.004166666667*SUMIFS(الريسبي!$C$2:$C$1800,الريسبي!$A$2:$A$1800,$A129,الريسبي!$B$2:$B$1800,"عجين كريب (مصنع بالمطعم)")+0.004166666667*SUMIFS(الريسبي!$C$2:$C$1800,الريسبي!$A$2:$A$1800,$A129,الريسبي!$B$2:$B$1800,"عجين كريب صيامي (بدون لبن)")</f>
        <v>0</v>
      </c>
      <c r="AR129" s="117" t="n">
        <f aca="false">SUMIFS(الريسبي!$C$2:$C$1800,الريسبي!$A$2:$A$1800,$A129,الريسبي!$B$2:$B$1800,AR$1)</f>
        <v>0</v>
      </c>
      <c r="AS129" s="117" t="n">
        <f aca="false">SUMIFS(الريسبي!$C$2:$C$1800,الريسبي!$A$2:$A$1800,$A129,الريسبي!$B$2:$B$1800,AS$1)</f>
        <v>0</v>
      </c>
      <c r="AT129" s="117" t="n">
        <f aca="false">SUMIFS(الريسبي!$C$2:$C$1800,الريسبي!$A$2:$A$1800,$A129,الريسبي!$B$2:$B$1800,AT$1)</f>
        <v>0</v>
      </c>
      <c r="AU129" s="117" t="n">
        <f aca="false">SUMIFS(الريسبي!$C$2:$C$1800,الريسبي!$A$2:$A$1800,$A129,الريسبي!$B$2:$B$1800,AU$1)</f>
        <v>0</v>
      </c>
      <c r="AV129" s="117" t="n">
        <f aca="false">SUMIFS(الريسبي!$C$2:$C$1800,الريسبي!$A$2:$A$1800,$A129,الريسبي!$B$2:$B$1800,AV$1)</f>
        <v>0</v>
      </c>
      <c r="AW129" s="117" t="n">
        <f aca="false">SUMIFS(الريسبي!$C$2:$C$1800,الريسبي!$A$2:$A$1800,$A129,الريسبي!$B$2:$B$1800,AW$1)</f>
        <v>0</v>
      </c>
      <c r="AX129" s="117" t="n">
        <f aca="false">SUMIFS(الريسبي!$C$2:$C$1800,الريسبي!$A$2:$A$1800,$A129,الريسبي!$B$2:$B$1800,AX$1)</f>
        <v>0</v>
      </c>
      <c r="AY129" s="117" t="n">
        <f aca="false">SUMIFS(الريسبي!$C$2:$C$1800,الريسبي!$A$2:$A$1800,$A129,الريسبي!$B$2:$B$1800,AY$1)</f>
        <v>0</v>
      </c>
      <c r="AZ129" s="117" t="n">
        <f aca="false">SUMIFS(الريسبي!$C$2:$C$1800,الريسبي!$A$2:$A$1800,$A129,الريسبي!$B$2:$B$1800,AZ$1)</f>
        <v>0</v>
      </c>
      <c r="BA129" s="117" t="n">
        <f aca="false">SUMIFS(الريسبي!$C$2:$C$1800,الريسبي!$A$2:$A$1800,$A129,الريسبي!$B$2:$B$1800,BA$1)</f>
        <v>0</v>
      </c>
      <c r="BB129" s="117" t="n">
        <f aca="false">SUMIFS(الريسبي!$C$2:$C$1800,الريسبي!$A$2:$A$1800,$A129,الريسبي!$B$2:$B$1800,BB$1)</f>
        <v>0</v>
      </c>
      <c r="BC129" s="117" t="n">
        <f aca="false">SUMIFS(الريسبي!$C$2:$C$1800,الريسبي!$A$2:$A$1800,$A129,الريسبي!$B$2:$B$1800,BC$1)</f>
        <v>0</v>
      </c>
      <c r="BD129" s="117" t="n">
        <f aca="false">SUMIFS(الريسبي!$C$2:$C$1800,الريسبي!$A$2:$A$1800,$A129,الريسبي!$B$2:$B$1800,BD$1)</f>
        <v>0</v>
      </c>
      <c r="BE129" s="117" t="n">
        <f aca="false">SUMIFS(الريسبي!$C$2:$C$1800,الريسبي!$A$2:$A$1800,$A129,الريسبي!$B$2:$B$1800,BE$1)</f>
        <v>0</v>
      </c>
      <c r="BF129" s="117" t="n">
        <f aca="false">SUMIFS(الريسبي!$C$2:$C$1800,الريسبي!$A$2:$A$1800,$A129,الريسبي!$B$2:$B$1800,BF$1)</f>
        <v>0</v>
      </c>
      <c r="BG129" s="117" t="n">
        <f aca="false">SUMIFS(الريسبي!$C$2:$C$1800,الريسبي!$A$2:$A$1800,$A129,الريسبي!$B$2:$B$1800,BG$1)</f>
        <v>0</v>
      </c>
      <c r="BH129" s="117" t="n">
        <f aca="false">SUMIFS(الريسبي!$C$2:$C$1800,الريسبي!$A$2:$A$1800,$A129,الريسبي!$B$2:$B$1800,BH$1)</f>
        <v>0</v>
      </c>
      <c r="BI129" s="117" t="n">
        <f aca="false">SUMIFS(الريسبي!$C$2:$C$1800,الريسبي!$A$2:$A$1800,$A129,الريسبي!$B$2:$B$1800,BI$1)</f>
        <v>0</v>
      </c>
      <c r="BJ129" s="117" t="n">
        <f aca="false">SUMIFS(الريسبي!$C$2:$C$1800,الريسبي!$A$2:$A$1800,$A129,الريسبي!$B$2:$B$1800,BJ$1)</f>
        <v>0</v>
      </c>
      <c r="BK129" s="117" t="n">
        <f aca="false">SUMIFS(الريسبي!$C$2:$C$1800,الريسبي!$A$2:$A$1800,$A129,الريسبي!$B$2:$B$1800,BK$1)</f>
        <v>0</v>
      </c>
      <c r="BL129" s="117" t="n">
        <f aca="false">SUMIFS(الريسبي!$C$2:$C$1800,الريسبي!$A$2:$A$1800,$A129,الريسبي!$B$2:$B$1800,BL$1)</f>
        <v>0</v>
      </c>
      <c r="BM129" s="117" t="n">
        <f aca="false">SUMIFS(الريسبي!$C$2:$C$1800,الريسبي!$A$2:$A$1800,$A129,الريسبي!$B$2:$B$1800,BM$1)</f>
        <v>0</v>
      </c>
      <c r="BN129" s="117" t="n">
        <f aca="false">SUMIFS(الريسبي!$C$2:$C$1800,الريسبي!$A$2:$A$1800,$A129,الريسبي!$B$2:$B$1800,BN$1)</f>
        <v>0</v>
      </c>
      <c r="BO129" s="117" t="n">
        <f aca="false">SUMIFS(الريسبي!$C$2:$C$1800,الريسبي!$A$2:$A$1800,$A129,الريسبي!$B$2:$B$1800,BO$1)</f>
        <v>3</v>
      </c>
      <c r="BP129" s="117" t="n">
        <f aca="false">SUMIFS(الريسبي!$C$2:$C$1800,الريسبي!$A$2:$A$1800,$A129,الريسبي!$B$2:$B$1800,BP$1)</f>
        <v>0</v>
      </c>
      <c r="BQ129" s="117" t="n">
        <f aca="false">SUMIFS(الريسبي!$C$2:$C$1800,الريسبي!$A$2:$A$1800,$A129,الريسبي!$B$2:$B$1800,BQ$1)+0.17*SUMIFS(الريسبي!$C$2:$C$1800,الريسبي!$A$2:$A$1800,$A129,الريسبي!$B$2:$B$1800,"كاسترد مصنع (خليط بودر + لبن)")+0.17*SUMIFS(الريسبي!$C$2:$C$1800,الريسبي!$A$2:$A$1800,$A129,الريسبي!$B$2:$B$1800,"كاسترد مصنع صيامي (بدون لبن)")</f>
        <v>0</v>
      </c>
      <c r="BR129" s="117" t="n">
        <f aca="false">SUMIFS(الريسبي!$C$2:$C$1800,الريسبي!$A$2:$A$1800,$A129,الريسبي!$B$2:$B$1800,BR$1)</f>
        <v>0</v>
      </c>
      <c r="BS129" s="117" t="n">
        <f aca="false">SUMIFS(الريسبي!$C$2:$C$1800,الريسبي!$A$2:$A$1800,$A129,الريسبي!$B$2:$B$1800,BS$1)</f>
        <v>0</v>
      </c>
      <c r="BT129" s="117" t="n">
        <f aca="false">SUMIFS(الريسبي!$C$2:$C$1800,الريسبي!$A$2:$A$1800,$A129,الريسبي!$B$2:$B$1800,BT$1)</f>
        <v>0</v>
      </c>
      <c r="BU129" s="117" t="n">
        <f aca="false">SUMIFS(الريسبي!$C$2:$C$1800,الريسبي!$A$2:$A$1800,$A129,الريسبي!$B$2:$B$1800,BU$1)+0.4*SUMIFS(الريسبي!$C$2:$C$1800,الريسبي!$A$2:$A$1800,$A129,الريسبي!$B$2:$B$1800,"كاسترد مصنع (خليط بودر + لبن)")+0.03333333333*SUMIFS(الريسبي!$C$2:$C$1800,الريسبي!$A$2:$A$1800,$A129,الريسبي!$B$2:$B$1800,"عجين كريب (مصنع بالمطعم)")</f>
        <v>0</v>
      </c>
      <c r="BV129" s="117" t="n">
        <f aca="false">SUMIFS(الريسبي!$C$2:$C$1800,الريسبي!$A$2:$A$1800,$A129,الريسبي!$B$2:$B$1800,BV$1)</f>
        <v>0</v>
      </c>
      <c r="BW129" s="117" t="n">
        <f aca="false">SUMIFS(الريسبي!$C$2:$C$1800,الريسبي!$A$2:$A$1800,$A129,الريسبي!$B$2:$B$1800,BW$1)</f>
        <v>0</v>
      </c>
      <c r="BX129" s="117" t="n">
        <f aca="false">SUMIFS(الريسبي!$C$2:$C$1800,الريسبي!$A$2:$A$1800,$A129,الريسبي!$B$2:$B$1800,BX$1)</f>
        <v>0</v>
      </c>
      <c r="BY129" s="117" t="n">
        <f aca="false">SUMIFS(الريسبي!$C$2:$C$1800,الريسبي!$A$2:$A$1800,$A129,الريسبي!$B$2:$B$1800,BY$1)</f>
        <v>0</v>
      </c>
      <c r="BZ129" s="117" t="n">
        <f aca="false">SUMIFS(الريسبي!$C$2:$C$1800,الريسبي!$A$2:$A$1800,$A129,الريسبي!$B$2:$B$1800,BZ$1)</f>
        <v>0</v>
      </c>
      <c r="CA129" s="117" t="n">
        <f aca="false">SUMIFS(الريسبي!$C$2:$C$1800,الريسبي!$A$2:$A$1800,$A129,الريسبي!$B$2:$B$1800,CA$1)</f>
        <v>0</v>
      </c>
      <c r="CB129" s="117" t="n">
        <f aca="false">SUMIFS(الريسبي!$C$2:$C$1800,الريسبي!$A$2:$A$1800,$A129,الريسبي!$B$2:$B$1800,CB$1)</f>
        <v>0</v>
      </c>
      <c r="CC129" s="117" t="n">
        <f aca="false">SUMIFS(الريسبي!$C$2:$C$1800,الريسبي!$A$2:$A$1800,$A129,الريسبي!$B$2:$B$1800,CC$1)</f>
        <v>0</v>
      </c>
      <c r="CD129" s="117" t="n">
        <f aca="false">SUMIFS(الريسبي!$C$2:$C$1800,الريسبي!$A$2:$A$1800,$A129,الريسبي!$B$2:$B$1800,CD$1)</f>
        <v>0</v>
      </c>
      <c r="CE129" s="117" t="n">
        <f aca="false">SUMIFS(الريسبي!$C$2:$C$1800,الريسبي!$A$2:$A$1800,$A129,الريسبي!$B$2:$B$1800,CE$1)</f>
        <v>0</v>
      </c>
      <c r="CF129" s="117" t="n">
        <f aca="false">SUMIFS(الريسبي!$C$2:$C$1800,الريسبي!$A$2:$A$1800,$A129,الريسبي!$B$2:$B$1800,CF$1)</f>
        <v>0</v>
      </c>
      <c r="CG129" s="117" t="n">
        <f aca="false">SUMIFS(الريسبي!$C$2:$C$1800,الريسبي!$A$2:$A$1800,$A129,الريسبي!$B$2:$B$1800,CG$1)</f>
        <v>0</v>
      </c>
      <c r="CH129" s="117" t="n">
        <f aca="false">SUMIFS(الريسبي!$C$2:$C$1800,الريسبي!$A$2:$A$1800,$A129,الريسبي!$B$2:$B$1800,CH$1)</f>
        <v>0</v>
      </c>
      <c r="CI129" s="117" t="n">
        <f aca="false">SUMIFS(الريسبي!$C$2:$C$1800,الريسبي!$A$2:$A$1800,$A129,الريسبي!$B$2:$B$1800,CI$1)</f>
        <v>0</v>
      </c>
      <c r="CJ129" s="117" t="n">
        <f aca="false">SUMIFS(الريسبي!$C$2:$C$1800,الريسبي!$A$2:$A$1800,$A129,الريسبي!$B$2:$B$1800,CJ$1)</f>
        <v>0</v>
      </c>
      <c r="CK129" s="117" t="n">
        <f aca="false">SUMIFS(الريسبي!$C$2:$C$1800,الريسبي!$A$2:$A$1800,$A129,الريسبي!$B$2:$B$1800,CK$1)</f>
        <v>0</v>
      </c>
      <c r="CL129" s="117" t="n">
        <f aca="false">SUMIFS(الريسبي!$C$2:$C$1800,الريسبي!$A$2:$A$1800,$A129,الريسبي!$B$2:$B$1800,CL$1)</f>
        <v>0</v>
      </c>
    </row>
    <row r="130" customFormat="false" ht="15" hidden="false" customHeight="false" outlineLevel="0" collapsed="false">
      <c r="A130" s="116" t="str">
        <f aca="false">المنيو!B130</f>
        <v>اضافة جبنة كيري (بيتزا وسط)</v>
      </c>
      <c r="B130" s="117" t="n">
        <f aca="false">SUMIFS(الريسبي!$C$2:$C$1800,الريسبي!$A$2:$A$1800,$A130,الريسبي!$B$2:$B$1800,B$1)</f>
        <v>0</v>
      </c>
      <c r="C130" s="117" t="n">
        <f aca="false">SUMIFS(الريسبي!$C$2:$C$1800,الريسبي!$A$2:$A$1800,$A130,الريسبي!$B$2:$B$1800,C$1)</f>
        <v>0</v>
      </c>
      <c r="D130" s="117" t="n">
        <f aca="false">SUMIFS(الريسبي!$C$2:$C$1800,الريسبي!$A$2:$A$1800,$A130,الريسبي!$B$2:$B$1800,D$1)</f>
        <v>0</v>
      </c>
      <c r="E130" s="117" t="n">
        <f aca="false">SUMIFS(الريسبي!$C$2:$C$1800,الريسبي!$A$2:$A$1800,$A130,الريسبي!$B$2:$B$1800,E$1)</f>
        <v>0</v>
      </c>
      <c r="F130" s="117" t="n">
        <f aca="false">SUMIFS(الريسبي!$C$2:$C$1800,الريسبي!$A$2:$A$1800,$A130,الريسبي!$B$2:$B$1800,F$1)</f>
        <v>0</v>
      </c>
      <c r="G130" s="117" t="n">
        <f aca="false">SUMIFS(الريسبي!$C$2:$C$1800,الريسبي!$A$2:$A$1800,$A130,الريسبي!$B$2:$B$1800,G$1)</f>
        <v>0</v>
      </c>
      <c r="H130" s="117" t="n">
        <f aca="false">SUMIFS(الريسبي!$C$2:$C$1800,الريسبي!$A$2:$A$1800,$A130,الريسبي!$B$2:$B$1800,H$1)</f>
        <v>0</v>
      </c>
      <c r="I130" s="117" t="n">
        <f aca="false">SUMIFS(الريسبي!$C$2:$C$1800,الريسبي!$A$2:$A$1800,$A130,الريسبي!$B$2:$B$1800,I$1)</f>
        <v>0</v>
      </c>
      <c r="J130" s="117" t="n">
        <f aca="false">SUMIFS(الريسبي!$C$2:$C$1800,الريسبي!$A$2:$A$1800,$A130,الريسبي!$B$2:$B$1800,J$1)</f>
        <v>0</v>
      </c>
      <c r="K130" s="117" t="n">
        <f aca="false">SUMIFS(الريسبي!$C$2:$C$1800,الريسبي!$A$2:$A$1800,$A130,الريسبي!$B$2:$B$1800,K$1)</f>
        <v>0</v>
      </c>
      <c r="L130" s="117" t="n">
        <f aca="false">SUMIFS(الريسبي!$C$2:$C$1800,الريسبي!$A$2:$A$1800,$A130,الريسبي!$B$2:$B$1800,L$1)</f>
        <v>0</v>
      </c>
      <c r="M130" s="117" t="n">
        <f aca="false">SUMIFS(الريسبي!$C$2:$C$1800,الريسبي!$A$2:$A$1800,$A130,الريسبي!$B$2:$B$1800,M$1)</f>
        <v>0</v>
      </c>
      <c r="N130" s="117" t="n">
        <f aca="false">SUMIFS(الريسبي!$C$2:$C$1800,الريسبي!$A$2:$A$1800,$A130,الريسبي!$B$2:$B$1800,N$1)</f>
        <v>0</v>
      </c>
      <c r="O130" s="117" t="n">
        <f aca="false">SUMIFS(الريسبي!$C$2:$C$1800,الريسبي!$A$2:$A$1800,$A130,الريسبي!$B$2:$B$1800,O$1)</f>
        <v>0</v>
      </c>
      <c r="P130" s="117" t="n">
        <f aca="false">SUMIFS(الريسبي!$C$2:$C$1800,الريسبي!$A$2:$A$1800,$A130,الريسبي!$B$2:$B$1800,P$1)</f>
        <v>0</v>
      </c>
      <c r="Q130" s="117" t="n">
        <f aca="false">SUMIFS(الريسبي!$C$2:$C$1800,الريسبي!$A$2:$A$1800,$A130,الريسبي!$B$2:$B$1800,Q$1)</f>
        <v>0</v>
      </c>
      <c r="R130" s="117" t="n">
        <f aca="false">SUMIFS(الريسبي!$C$2:$C$1800,الريسبي!$A$2:$A$1800,$A130,الريسبي!$B$2:$B$1800,R$1)</f>
        <v>0</v>
      </c>
      <c r="S130" s="117" t="n">
        <f aca="false">SUMIFS(الريسبي!$C$2:$C$1800,الريسبي!$A$2:$A$1800,$A130,الريسبي!$B$2:$B$1800,S$1)</f>
        <v>0</v>
      </c>
      <c r="T130" s="117" t="n">
        <f aca="false">SUMIFS(الريسبي!$C$2:$C$1800,الريسبي!$A$2:$A$1800,$A130,الريسبي!$B$2:$B$1800,T$1)</f>
        <v>0</v>
      </c>
      <c r="U130" s="117" t="n">
        <f aca="false">SUMIFS(الريسبي!$C$2:$C$1800,الريسبي!$A$2:$A$1800,$A130,الريسبي!$B$2:$B$1800,U$1)</f>
        <v>0</v>
      </c>
      <c r="V130" s="117" t="n">
        <f aca="false">SUMIFS(الريسبي!$C$2:$C$1800,الريسبي!$A$2:$A$1800,$A130,الريسبي!$B$2:$B$1800,V$1)</f>
        <v>0</v>
      </c>
      <c r="W130" s="117" t="n">
        <f aca="false">SUMIFS(الريسبي!$C$2:$C$1800,الريسبي!$A$2:$A$1800,$A130,الريسبي!$B$2:$B$1800,W$1)</f>
        <v>0</v>
      </c>
      <c r="X130" s="117" t="n">
        <f aca="false">SUMIFS(الريسبي!$C$2:$C$1800,الريسبي!$A$2:$A$1800,$A130,الريسبي!$B$2:$B$1800,X$1)</f>
        <v>0</v>
      </c>
      <c r="Y130" s="117" t="n">
        <f aca="false">SUMIFS(الريسبي!$C$2:$C$1800,الريسبي!$A$2:$A$1800,$A130,الريسبي!$B$2:$B$1800,Y$1)</f>
        <v>0</v>
      </c>
      <c r="Z130" s="117" t="n">
        <f aca="false">SUMIFS(الريسبي!$C$2:$C$1800,الريسبي!$A$2:$A$1800,$A130,الريسبي!$B$2:$B$1800,Z$1)</f>
        <v>0</v>
      </c>
      <c r="AA130" s="117" t="n">
        <f aca="false">SUMIFS(الريسبي!$C$2:$C$1800,الريسبي!$A$2:$A$1800,$A130,الريسبي!$B$2:$B$1800,AA$1)</f>
        <v>0</v>
      </c>
      <c r="AB130" s="117" t="n">
        <f aca="false">SUMIFS(الريسبي!$C$2:$C$1800,الريسبي!$A$2:$A$1800,$A130,الريسبي!$B$2:$B$1800,AB$1)</f>
        <v>0</v>
      </c>
      <c r="AC130" s="117" t="n">
        <f aca="false">SUMIFS(الريسبي!$C$2:$C$1800,الريسبي!$A$2:$A$1800,$A130,الريسبي!$B$2:$B$1800,AC$1)</f>
        <v>0</v>
      </c>
      <c r="AD130" s="117" t="n">
        <f aca="false">SUMIFS(الريسبي!$C$2:$C$1800,الريسبي!$A$2:$A$1800,$A130,الريسبي!$B$2:$B$1800,AD$1)</f>
        <v>0</v>
      </c>
      <c r="AE130" s="117" t="n">
        <f aca="false">SUMIFS(الريسبي!$C$2:$C$1800,الريسبي!$A$2:$A$1800,$A130,الريسبي!$B$2:$B$1800,AE$1)</f>
        <v>0</v>
      </c>
      <c r="AF130" s="117" t="n">
        <f aca="false">SUMIFS(الريسبي!$C$2:$C$1800,الريسبي!$A$2:$A$1800,$A130,الريسبي!$B$2:$B$1800,AF$1)</f>
        <v>0</v>
      </c>
      <c r="AG130" s="117" t="n">
        <f aca="false">SUMIFS(الريسبي!$C$2:$C$1800,الريسبي!$A$2:$A$1800,$A130,الريسبي!$B$2:$B$1800,AG$1)</f>
        <v>0</v>
      </c>
      <c r="AH130" s="117" t="n">
        <f aca="false">SUMIFS(الريسبي!$C$2:$C$1800,الريسبي!$A$2:$A$1800,$A130,الريسبي!$B$2:$B$1800,AH$1)</f>
        <v>0</v>
      </c>
      <c r="AI130" s="117" t="n">
        <f aca="false">SUMIFS(الريسبي!$C$2:$C$1800,الريسبي!$A$2:$A$1800,$A130,الريسبي!$B$2:$B$1800,AI$1)</f>
        <v>0</v>
      </c>
      <c r="AJ130" s="117" t="n">
        <f aca="false">SUMIFS(الريسبي!$C$2:$C$1800,الريسبي!$A$2:$A$1800,$A130,الريسبي!$B$2:$B$1800,AJ$1)</f>
        <v>0</v>
      </c>
      <c r="AK130" s="117" t="n">
        <f aca="false">SUMIFS(الريسبي!$C$2:$C$1800,الريسبي!$A$2:$A$1800,$A130,الريسبي!$B$2:$B$1800,AK$1)</f>
        <v>0</v>
      </c>
      <c r="AL130" s="117" t="n">
        <f aca="false">SUMIFS(الريسبي!$C$2:$C$1800,الريسبي!$A$2:$A$1800,$A130,الريسبي!$B$2:$B$1800,AL$1)</f>
        <v>0</v>
      </c>
      <c r="AM130" s="117" t="n">
        <f aca="false">SUMIFS(الريسبي!$C$2:$C$1800,الريسبي!$A$2:$A$1800,$A130,الريسبي!$B$2:$B$1800,AM$1)+0.08333333333*SUMIFS(الريسبي!$C$2:$C$1800,الريسبي!$A$2:$A$1800,$A130,الريسبي!$B$2:$B$1800,"عجين كريب (مصنع بالمطعم)")+0.08333333333*SUMIFS(الريسبي!$C$2:$C$1800,الريسبي!$A$2:$A$1800,$A130,الريسبي!$B$2:$B$1800,"عجين كريب صيامي (بدون لبن)")</f>
        <v>0</v>
      </c>
      <c r="AN130" s="117" t="n">
        <f aca="false">SUMIFS(الريسبي!$C$2:$C$1800,الريسبي!$A$2:$A$1800,$A130,الريسبي!$B$2:$B$1800,AN$1)+0.004166666667*SUMIFS(الريسبي!$C$2:$C$1800,الريسبي!$A$2:$A$1800,$A130,الريسبي!$B$2:$B$1800,"عجين كريب (مصنع بالمطعم)")+0.004166666667*SUMIFS(الريسبي!$C$2:$C$1800,الريسبي!$A$2:$A$1800,$A130,الريسبي!$B$2:$B$1800,"عجين كريب صيامي (بدون لبن)")</f>
        <v>0</v>
      </c>
      <c r="AO130" s="117" t="n">
        <f aca="false">SUMIFS(الريسبي!$C$2:$C$1800,الريسبي!$A$2:$A$1800,$A130,الريسبي!$B$2:$B$1800,AO$1)</f>
        <v>0</v>
      </c>
      <c r="AP130" s="117" t="n">
        <f aca="false">SUMIFS(الريسبي!$C$2:$C$1800,الريسبي!$A$2:$A$1800,$A130,الريسبي!$B$2:$B$1800,AP$1)</f>
        <v>0</v>
      </c>
      <c r="AQ130" s="117" t="n">
        <f aca="false">SUMIFS(الريسبي!$C$2:$C$1800,الريسبي!$A$2:$A$1800,$A130,الريسبي!$B$2:$B$1800,AQ$1)+0.004166666667*SUMIFS(الريسبي!$C$2:$C$1800,الريسبي!$A$2:$A$1800,$A130,الريسبي!$B$2:$B$1800,"عجين كريب (مصنع بالمطعم)")+0.004166666667*SUMIFS(الريسبي!$C$2:$C$1800,الريسبي!$A$2:$A$1800,$A130,الريسبي!$B$2:$B$1800,"عجين كريب صيامي (بدون لبن)")</f>
        <v>0</v>
      </c>
      <c r="AR130" s="117" t="n">
        <f aca="false">SUMIFS(الريسبي!$C$2:$C$1800,الريسبي!$A$2:$A$1800,$A130,الريسبي!$B$2:$B$1800,AR$1)</f>
        <v>0</v>
      </c>
      <c r="AS130" s="117" t="n">
        <f aca="false">SUMIFS(الريسبي!$C$2:$C$1800,الريسبي!$A$2:$A$1800,$A130,الريسبي!$B$2:$B$1800,AS$1)</f>
        <v>0</v>
      </c>
      <c r="AT130" s="117" t="n">
        <f aca="false">SUMIFS(الريسبي!$C$2:$C$1800,الريسبي!$A$2:$A$1800,$A130,الريسبي!$B$2:$B$1800,AT$1)</f>
        <v>0</v>
      </c>
      <c r="AU130" s="117" t="n">
        <f aca="false">SUMIFS(الريسبي!$C$2:$C$1800,الريسبي!$A$2:$A$1800,$A130,الريسبي!$B$2:$B$1800,AU$1)</f>
        <v>0</v>
      </c>
      <c r="AV130" s="117" t="n">
        <f aca="false">SUMIFS(الريسبي!$C$2:$C$1800,الريسبي!$A$2:$A$1800,$A130,الريسبي!$B$2:$B$1800,AV$1)</f>
        <v>0</v>
      </c>
      <c r="AW130" s="117" t="n">
        <f aca="false">SUMIFS(الريسبي!$C$2:$C$1800,الريسبي!$A$2:$A$1800,$A130,الريسبي!$B$2:$B$1800,AW$1)</f>
        <v>0</v>
      </c>
      <c r="AX130" s="117" t="n">
        <f aca="false">SUMIFS(الريسبي!$C$2:$C$1800,الريسبي!$A$2:$A$1800,$A130,الريسبي!$B$2:$B$1800,AX$1)</f>
        <v>0</v>
      </c>
      <c r="AY130" s="117" t="n">
        <f aca="false">SUMIFS(الريسبي!$C$2:$C$1800,الريسبي!$A$2:$A$1800,$A130,الريسبي!$B$2:$B$1800,AY$1)</f>
        <v>0</v>
      </c>
      <c r="AZ130" s="117" t="n">
        <f aca="false">SUMIFS(الريسبي!$C$2:$C$1800,الريسبي!$A$2:$A$1800,$A130,الريسبي!$B$2:$B$1800,AZ$1)</f>
        <v>0</v>
      </c>
      <c r="BA130" s="117" t="n">
        <f aca="false">SUMIFS(الريسبي!$C$2:$C$1800,الريسبي!$A$2:$A$1800,$A130,الريسبي!$B$2:$B$1800,BA$1)</f>
        <v>0</v>
      </c>
      <c r="BB130" s="117" t="n">
        <f aca="false">SUMIFS(الريسبي!$C$2:$C$1800,الريسبي!$A$2:$A$1800,$A130,الريسبي!$B$2:$B$1800,BB$1)</f>
        <v>0</v>
      </c>
      <c r="BC130" s="117" t="n">
        <f aca="false">SUMIFS(الريسبي!$C$2:$C$1800,الريسبي!$A$2:$A$1800,$A130,الريسبي!$B$2:$B$1800,BC$1)</f>
        <v>0</v>
      </c>
      <c r="BD130" s="117" t="n">
        <f aca="false">SUMIFS(الريسبي!$C$2:$C$1800,الريسبي!$A$2:$A$1800,$A130,الريسبي!$B$2:$B$1800,BD$1)</f>
        <v>0</v>
      </c>
      <c r="BE130" s="117" t="n">
        <f aca="false">SUMIFS(الريسبي!$C$2:$C$1800,الريسبي!$A$2:$A$1800,$A130,الريسبي!$B$2:$B$1800,BE$1)</f>
        <v>0</v>
      </c>
      <c r="BF130" s="117" t="n">
        <f aca="false">SUMIFS(الريسبي!$C$2:$C$1800,الريسبي!$A$2:$A$1800,$A130,الريسبي!$B$2:$B$1800,BF$1)</f>
        <v>0</v>
      </c>
      <c r="BG130" s="117" t="n">
        <f aca="false">SUMIFS(الريسبي!$C$2:$C$1800,الريسبي!$A$2:$A$1800,$A130,الريسبي!$B$2:$B$1800,BG$1)</f>
        <v>0</v>
      </c>
      <c r="BH130" s="117" t="n">
        <f aca="false">SUMIFS(الريسبي!$C$2:$C$1800,الريسبي!$A$2:$A$1800,$A130,الريسبي!$B$2:$B$1800,BH$1)</f>
        <v>0</v>
      </c>
      <c r="BI130" s="117" t="n">
        <f aca="false">SUMIFS(الريسبي!$C$2:$C$1800,الريسبي!$A$2:$A$1800,$A130,الريسبي!$B$2:$B$1800,BI$1)</f>
        <v>0</v>
      </c>
      <c r="BJ130" s="117" t="n">
        <f aca="false">SUMIFS(الريسبي!$C$2:$C$1800,الريسبي!$A$2:$A$1800,$A130,الريسبي!$B$2:$B$1800,BJ$1)</f>
        <v>0</v>
      </c>
      <c r="BK130" s="117" t="n">
        <f aca="false">SUMIFS(الريسبي!$C$2:$C$1800,الريسبي!$A$2:$A$1800,$A130,الريسبي!$B$2:$B$1800,BK$1)</f>
        <v>0</v>
      </c>
      <c r="BL130" s="117" t="n">
        <f aca="false">SUMIFS(الريسبي!$C$2:$C$1800,الريسبي!$A$2:$A$1800,$A130,الريسبي!$B$2:$B$1800,BL$1)</f>
        <v>0</v>
      </c>
      <c r="BM130" s="117" t="n">
        <f aca="false">SUMIFS(الريسبي!$C$2:$C$1800,الريسبي!$A$2:$A$1800,$A130,الريسبي!$B$2:$B$1800,BM$1)</f>
        <v>0</v>
      </c>
      <c r="BN130" s="117" t="n">
        <f aca="false">SUMIFS(الريسبي!$C$2:$C$1800,الريسبي!$A$2:$A$1800,$A130,الريسبي!$B$2:$B$1800,BN$1)</f>
        <v>0</v>
      </c>
      <c r="BO130" s="117" t="n">
        <f aca="false">SUMIFS(الريسبي!$C$2:$C$1800,الريسبي!$A$2:$A$1800,$A130,الريسبي!$B$2:$B$1800,BO$1)</f>
        <v>2</v>
      </c>
      <c r="BP130" s="117" t="n">
        <f aca="false">SUMIFS(الريسبي!$C$2:$C$1800,الريسبي!$A$2:$A$1800,$A130,الريسبي!$B$2:$B$1800,BP$1)</f>
        <v>0</v>
      </c>
      <c r="BQ130" s="117" t="n">
        <f aca="false">SUMIFS(الريسبي!$C$2:$C$1800,الريسبي!$A$2:$A$1800,$A130,الريسبي!$B$2:$B$1800,BQ$1)+0.17*SUMIFS(الريسبي!$C$2:$C$1800,الريسبي!$A$2:$A$1800,$A130,الريسبي!$B$2:$B$1800,"كاسترد مصنع (خليط بودر + لبن)")+0.17*SUMIFS(الريسبي!$C$2:$C$1800,الريسبي!$A$2:$A$1800,$A130,الريسبي!$B$2:$B$1800,"كاسترد مصنع صيامي (بدون لبن)")</f>
        <v>0</v>
      </c>
      <c r="BR130" s="117" t="n">
        <f aca="false">SUMIFS(الريسبي!$C$2:$C$1800,الريسبي!$A$2:$A$1800,$A130,الريسبي!$B$2:$B$1800,BR$1)</f>
        <v>0</v>
      </c>
      <c r="BS130" s="117" t="n">
        <f aca="false">SUMIFS(الريسبي!$C$2:$C$1800,الريسبي!$A$2:$A$1800,$A130,الريسبي!$B$2:$B$1800,BS$1)</f>
        <v>0</v>
      </c>
      <c r="BT130" s="117" t="n">
        <f aca="false">SUMIFS(الريسبي!$C$2:$C$1800,الريسبي!$A$2:$A$1800,$A130,الريسبي!$B$2:$B$1800,BT$1)</f>
        <v>0</v>
      </c>
      <c r="BU130" s="117" t="n">
        <f aca="false">SUMIFS(الريسبي!$C$2:$C$1800,الريسبي!$A$2:$A$1800,$A130,الريسبي!$B$2:$B$1800,BU$1)+0.4*SUMIFS(الريسبي!$C$2:$C$1800,الريسبي!$A$2:$A$1800,$A130,الريسبي!$B$2:$B$1800,"كاسترد مصنع (خليط بودر + لبن)")+0.03333333333*SUMIFS(الريسبي!$C$2:$C$1800,الريسبي!$A$2:$A$1800,$A130,الريسبي!$B$2:$B$1800,"عجين كريب (مصنع بالمطعم)")</f>
        <v>0</v>
      </c>
      <c r="BV130" s="117" t="n">
        <f aca="false">SUMIFS(الريسبي!$C$2:$C$1800,الريسبي!$A$2:$A$1800,$A130,الريسبي!$B$2:$B$1800,BV$1)</f>
        <v>0</v>
      </c>
      <c r="BW130" s="117" t="n">
        <f aca="false">SUMIFS(الريسبي!$C$2:$C$1800,الريسبي!$A$2:$A$1800,$A130,الريسبي!$B$2:$B$1800,BW$1)</f>
        <v>0</v>
      </c>
      <c r="BX130" s="117" t="n">
        <f aca="false">SUMIFS(الريسبي!$C$2:$C$1800,الريسبي!$A$2:$A$1800,$A130,الريسبي!$B$2:$B$1800,BX$1)</f>
        <v>0</v>
      </c>
      <c r="BY130" s="117" t="n">
        <f aca="false">SUMIFS(الريسبي!$C$2:$C$1800,الريسبي!$A$2:$A$1800,$A130,الريسبي!$B$2:$B$1800,BY$1)</f>
        <v>0</v>
      </c>
      <c r="BZ130" s="117" t="n">
        <f aca="false">SUMIFS(الريسبي!$C$2:$C$1800,الريسبي!$A$2:$A$1800,$A130,الريسبي!$B$2:$B$1800,BZ$1)</f>
        <v>0</v>
      </c>
      <c r="CA130" s="117" t="n">
        <f aca="false">SUMIFS(الريسبي!$C$2:$C$1800,الريسبي!$A$2:$A$1800,$A130,الريسبي!$B$2:$B$1800,CA$1)</f>
        <v>0</v>
      </c>
      <c r="CB130" s="117" t="n">
        <f aca="false">SUMIFS(الريسبي!$C$2:$C$1800,الريسبي!$A$2:$A$1800,$A130,الريسبي!$B$2:$B$1800,CB$1)</f>
        <v>0</v>
      </c>
      <c r="CC130" s="117" t="n">
        <f aca="false">SUMIFS(الريسبي!$C$2:$C$1800,الريسبي!$A$2:$A$1800,$A130,الريسبي!$B$2:$B$1800,CC$1)</f>
        <v>0</v>
      </c>
      <c r="CD130" s="117" t="n">
        <f aca="false">SUMIFS(الريسبي!$C$2:$C$1800,الريسبي!$A$2:$A$1800,$A130,الريسبي!$B$2:$B$1800,CD$1)</f>
        <v>0</v>
      </c>
      <c r="CE130" s="117" t="n">
        <f aca="false">SUMIFS(الريسبي!$C$2:$C$1800,الريسبي!$A$2:$A$1800,$A130,الريسبي!$B$2:$B$1800,CE$1)</f>
        <v>0</v>
      </c>
      <c r="CF130" s="117" t="n">
        <f aca="false">SUMIFS(الريسبي!$C$2:$C$1800,الريسبي!$A$2:$A$1800,$A130,الريسبي!$B$2:$B$1800,CF$1)</f>
        <v>0</v>
      </c>
      <c r="CG130" s="117" t="n">
        <f aca="false">SUMIFS(الريسبي!$C$2:$C$1800,الريسبي!$A$2:$A$1800,$A130,الريسبي!$B$2:$B$1800,CG$1)</f>
        <v>0</v>
      </c>
      <c r="CH130" s="117" t="n">
        <f aca="false">SUMIFS(الريسبي!$C$2:$C$1800,الريسبي!$A$2:$A$1800,$A130,الريسبي!$B$2:$B$1800,CH$1)</f>
        <v>0</v>
      </c>
      <c r="CI130" s="117" t="n">
        <f aca="false">SUMIFS(الريسبي!$C$2:$C$1800,الريسبي!$A$2:$A$1800,$A130,الريسبي!$B$2:$B$1800,CI$1)</f>
        <v>0</v>
      </c>
      <c r="CJ130" s="117" t="n">
        <f aca="false">SUMIFS(الريسبي!$C$2:$C$1800,الريسبي!$A$2:$A$1800,$A130,الريسبي!$B$2:$B$1800,CJ$1)</f>
        <v>0</v>
      </c>
      <c r="CK130" s="117" t="n">
        <f aca="false">SUMIFS(الريسبي!$C$2:$C$1800,الريسبي!$A$2:$A$1800,$A130,الريسبي!$B$2:$B$1800,CK$1)</f>
        <v>0</v>
      </c>
      <c r="CL130" s="117" t="n">
        <f aca="false">SUMIFS(الريسبي!$C$2:$C$1800,الريسبي!$A$2:$A$1800,$A130,الريسبي!$B$2:$B$1800,CL$1)</f>
        <v>0</v>
      </c>
    </row>
    <row r="131" customFormat="false" ht="15" hidden="false" customHeight="false" outlineLevel="0" collapsed="false">
      <c r="A131" s="116" t="str">
        <f aca="false">المنيو!B131</f>
        <v>اضافة جبنة موتزريلا (فطير M)</v>
      </c>
      <c r="B131" s="117" t="n">
        <f aca="false">SUMIFS(الريسبي!$C$2:$C$1800,الريسبي!$A$2:$A$1800,$A131,الريسبي!$B$2:$B$1800,B$1)</f>
        <v>0</v>
      </c>
      <c r="C131" s="117" t="n">
        <f aca="false">SUMIFS(الريسبي!$C$2:$C$1800,الريسبي!$A$2:$A$1800,$A131,الريسبي!$B$2:$B$1800,C$1)</f>
        <v>0</v>
      </c>
      <c r="D131" s="117" t="n">
        <f aca="false">SUMIFS(الريسبي!$C$2:$C$1800,الريسبي!$A$2:$A$1800,$A131,الريسبي!$B$2:$B$1800,D$1)</f>
        <v>0</v>
      </c>
      <c r="E131" s="117" t="n">
        <f aca="false">SUMIFS(الريسبي!$C$2:$C$1800,الريسبي!$A$2:$A$1800,$A131,الريسبي!$B$2:$B$1800,E$1)</f>
        <v>0</v>
      </c>
      <c r="F131" s="117" t="n">
        <f aca="false">SUMIFS(الريسبي!$C$2:$C$1800,الريسبي!$A$2:$A$1800,$A131,الريسبي!$B$2:$B$1800,F$1)</f>
        <v>0</v>
      </c>
      <c r="G131" s="117" t="n">
        <f aca="false">SUMIFS(الريسبي!$C$2:$C$1800,الريسبي!$A$2:$A$1800,$A131,الريسبي!$B$2:$B$1800,G$1)</f>
        <v>0</v>
      </c>
      <c r="H131" s="117" t="n">
        <f aca="false">SUMIFS(الريسبي!$C$2:$C$1800,الريسبي!$A$2:$A$1800,$A131,الريسبي!$B$2:$B$1800,H$1)</f>
        <v>0</v>
      </c>
      <c r="I131" s="117" t="n">
        <f aca="false">SUMIFS(الريسبي!$C$2:$C$1800,الريسبي!$A$2:$A$1800,$A131,الريسبي!$B$2:$B$1800,I$1)</f>
        <v>0</v>
      </c>
      <c r="J131" s="117" t="n">
        <f aca="false">SUMIFS(الريسبي!$C$2:$C$1800,الريسبي!$A$2:$A$1800,$A131,الريسبي!$B$2:$B$1800,J$1)</f>
        <v>0</v>
      </c>
      <c r="K131" s="117" t="n">
        <f aca="false">SUMIFS(الريسبي!$C$2:$C$1800,الريسبي!$A$2:$A$1800,$A131,الريسبي!$B$2:$B$1800,K$1)</f>
        <v>0</v>
      </c>
      <c r="L131" s="117" t="n">
        <f aca="false">SUMIFS(الريسبي!$C$2:$C$1800,الريسبي!$A$2:$A$1800,$A131,الريسبي!$B$2:$B$1800,L$1)</f>
        <v>0</v>
      </c>
      <c r="M131" s="117" t="n">
        <f aca="false">SUMIFS(الريسبي!$C$2:$C$1800,الريسبي!$A$2:$A$1800,$A131,الريسبي!$B$2:$B$1800,M$1)</f>
        <v>0</v>
      </c>
      <c r="N131" s="117" t="n">
        <f aca="false">SUMIFS(الريسبي!$C$2:$C$1800,الريسبي!$A$2:$A$1800,$A131,الريسبي!$B$2:$B$1800,N$1)</f>
        <v>0</v>
      </c>
      <c r="O131" s="117" t="n">
        <f aca="false">SUMIFS(الريسبي!$C$2:$C$1800,الريسبي!$A$2:$A$1800,$A131,الريسبي!$B$2:$B$1800,O$1)</f>
        <v>0</v>
      </c>
      <c r="P131" s="117" t="n">
        <f aca="false">SUMIFS(الريسبي!$C$2:$C$1800,الريسبي!$A$2:$A$1800,$A131,الريسبي!$B$2:$B$1800,P$1)</f>
        <v>0</v>
      </c>
      <c r="Q131" s="117" t="n">
        <f aca="false">SUMIFS(الريسبي!$C$2:$C$1800,الريسبي!$A$2:$A$1800,$A131,الريسبي!$B$2:$B$1800,Q$1)</f>
        <v>0</v>
      </c>
      <c r="R131" s="117" t="n">
        <f aca="false">SUMIFS(الريسبي!$C$2:$C$1800,الريسبي!$A$2:$A$1800,$A131,الريسبي!$B$2:$B$1800,R$1)</f>
        <v>0</v>
      </c>
      <c r="S131" s="117" t="n">
        <f aca="false">SUMIFS(الريسبي!$C$2:$C$1800,الريسبي!$A$2:$A$1800,$A131,الريسبي!$B$2:$B$1800,S$1)</f>
        <v>0</v>
      </c>
      <c r="T131" s="117" t="n">
        <f aca="false">SUMIFS(الريسبي!$C$2:$C$1800,الريسبي!$A$2:$A$1800,$A131,الريسبي!$B$2:$B$1800,T$1)</f>
        <v>0</v>
      </c>
      <c r="U131" s="117" t="n">
        <f aca="false">SUMIFS(الريسبي!$C$2:$C$1800,الريسبي!$A$2:$A$1800,$A131,الريسبي!$B$2:$B$1800,U$1)</f>
        <v>0</v>
      </c>
      <c r="V131" s="117" t="n">
        <f aca="false">SUMIFS(الريسبي!$C$2:$C$1800,الريسبي!$A$2:$A$1800,$A131,الريسبي!$B$2:$B$1800,V$1)</f>
        <v>0</v>
      </c>
      <c r="W131" s="117" t="n">
        <f aca="false">SUMIFS(الريسبي!$C$2:$C$1800,الريسبي!$A$2:$A$1800,$A131,الريسبي!$B$2:$B$1800,W$1)</f>
        <v>0</v>
      </c>
      <c r="X131" s="117" t="n">
        <f aca="false">SUMIFS(الريسبي!$C$2:$C$1800,الريسبي!$A$2:$A$1800,$A131,الريسبي!$B$2:$B$1800,X$1)</f>
        <v>1</v>
      </c>
      <c r="Y131" s="117" t="n">
        <f aca="false">SUMIFS(الريسبي!$C$2:$C$1800,الريسبي!$A$2:$A$1800,$A131,الريسبي!$B$2:$B$1800,Y$1)</f>
        <v>0</v>
      </c>
      <c r="Z131" s="117" t="n">
        <f aca="false">SUMIFS(الريسبي!$C$2:$C$1800,الريسبي!$A$2:$A$1800,$A131,الريسبي!$B$2:$B$1800,Z$1)</f>
        <v>0</v>
      </c>
      <c r="AA131" s="117" t="n">
        <f aca="false">SUMIFS(الريسبي!$C$2:$C$1800,الريسبي!$A$2:$A$1800,$A131,الريسبي!$B$2:$B$1800,AA$1)</f>
        <v>0</v>
      </c>
      <c r="AB131" s="117" t="n">
        <f aca="false">SUMIFS(الريسبي!$C$2:$C$1800,الريسبي!$A$2:$A$1800,$A131,الريسبي!$B$2:$B$1800,AB$1)</f>
        <v>0</v>
      </c>
      <c r="AC131" s="117" t="n">
        <f aca="false">SUMIFS(الريسبي!$C$2:$C$1800,الريسبي!$A$2:$A$1800,$A131,الريسبي!$B$2:$B$1800,AC$1)</f>
        <v>0</v>
      </c>
      <c r="AD131" s="117" t="n">
        <f aca="false">SUMIFS(الريسبي!$C$2:$C$1800,الريسبي!$A$2:$A$1800,$A131,الريسبي!$B$2:$B$1800,AD$1)</f>
        <v>0</v>
      </c>
      <c r="AE131" s="117" t="n">
        <f aca="false">SUMIFS(الريسبي!$C$2:$C$1800,الريسبي!$A$2:$A$1800,$A131,الريسبي!$B$2:$B$1800,AE$1)</f>
        <v>0</v>
      </c>
      <c r="AF131" s="117" t="n">
        <f aca="false">SUMIFS(الريسبي!$C$2:$C$1800,الريسبي!$A$2:$A$1800,$A131,الريسبي!$B$2:$B$1800,AF$1)</f>
        <v>0</v>
      </c>
      <c r="AG131" s="117" t="n">
        <f aca="false">SUMIFS(الريسبي!$C$2:$C$1800,الريسبي!$A$2:$A$1800,$A131,الريسبي!$B$2:$B$1800,AG$1)</f>
        <v>0</v>
      </c>
      <c r="AH131" s="117" t="n">
        <f aca="false">SUMIFS(الريسبي!$C$2:$C$1800,الريسبي!$A$2:$A$1800,$A131,الريسبي!$B$2:$B$1800,AH$1)</f>
        <v>0</v>
      </c>
      <c r="AI131" s="117" t="n">
        <f aca="false">SUMIFS(الريسبي!$C$2:$C$1800,الريسبي!$A$2:$A$1800,$A131,الريسبي!$B$2:$B$1800,AI$1)</f>
        <v>0</v>
      </c>
      <c r="AJ131" s="117" t="n">
        <f aca="false">SUMIFS(الريسبي!$C$2:$C$1800,الريسبي!$A$2:$A$1800,$A131,الريسبي!$B$2:$B$1800,AJ$1)</f>
        <v>0</v>
      </c>
      <c r="AK131" s="117" t="n">
        <f aca="false">SUMIFS(الريسبي!$C$2:$C$1800,الريسبي!$A$2:$A$1800,$A131,الريسبي!$B$2:$B$1800,AK$1)</f>
        <v>0</v>
      </c>
      <c r="AL131" s="117" t="n">
        <f aca="false">SUMIFS(الريسبي!$C$2:$C$1800,الريسبي!$A$2:$A$1800,$A131,الريسبي!$B$2:$B$1800,AL$1)</f>
        <v>0</v>
      </c>
      <c r="AM131" s="117" t="n">
        <f aca="false">SUMIFS(الريسبي!$C$2:$C$1800,الريسبي!$A$2:$A$1800,$A131,الريسبي!$B$2:$B$1800,AM$1)+0.08333333333*SUMIFS(الريسبي!$C$2:$C$1800,الريسبي!$A$2:$A$1800,$A131,الريسبي!$B$2:$B$1800,"عجين كريب (مصنع بالمطعم)")+0.08333333333*SUMIFS(الريسبي!$C$2:$C$1800,الريسبي!$A$2:$A$1800,$A131,الريسبي!$B$2:$B$1800,"عجين كريب صيامي (بدون لبن)")</f>
        <v>0</v>
      </c>
      <c r="AN131" s="117" t="n">
        <f aca="false">SUMIFS(الريسبي!$C$2:$C$1800,الريسبي!$A$2:$A$1800,$A131,الريسبي!$B$2:$B$1800,AN$1)+0.004166666667*SUMIFS(الريسبي!$C$2:$C$1800,الريسبي!$A$2:$A$1800,$A131,الريسبي!$B$2:$B$1800,"عجين كريب (مصنع بالمطعم)")+0.004166666667*SUMIFS(الريسبي!$C$2:$C$1800,الريسبي!$A$2:$A$1800,$A131,الريسبي!$B$2:$B$1800,"عجين كريب صيامي (بدون لبن)")</f>
        <v>0</v>
      </c>
      <c r="AO131" s="117" t="n">
        <f aca="false">SUMIFS(الريسبي!$C$2:$C$1800,الريسبي!$A$2:$A$1800,$A131,الريسبي!$B$2:$B$1800,AO$1)</f>
        <v>0</v>
      </c>
      <c r="AP131" s="117" t="n">
        <f aca="false">SUMIFS(الريسبي!$C$2:$C$1800,الريسبي!$A$2:$A$1800,$A131,الريسبي!$B$2:$B$1800,AP$1)</f>
        <v>0</v>
      </c>
      <c r="AQ131" s="117" t="n">
        <f aca="false">SUMIFS(الريسبي!$C$2:$C$1800,الريسبي!$A$2:$A$1800,$A131,الريسبي!$B$2:$B$1800,AQ$1)+0.004166666667*SUMIFS(الريسبي!$C$2:$C$1800,الريسبي!$A$2:$A$1800,$A131,الريسبي!$B$2:$B$1800,"عجين كريب (مصنع بالمطعم)")+0.004166666667*SUMIFS(الريسبي!$C$2:$C$1800,الريسبي!$A$2:$A$1800,$A131,الريسبي!$B$2:$B$1800,"عجين كريب صيامي (بدون لبن)")</f>
        <v>0</v>
      </c>
      <c r="AR131" s="117" t="n">
        <f aca="false">SUMIFS(الريسبي!$C$2:$C$1800,الريسبي!$A$2:$A$1800,$A131,الريسبي!$B$2:$B$1800,AR$1)</f>
        <v>0</v>
      </c>
      <c r="AS131" s="117" t="n">
        <f aca="false">SUMIFS(الريسبي!$C$2:$C$1800,الريسبي!$A$2:$A$1800,$A131,الريسبي!$B$2:$B$1800,AS$1)</f>
        <v>0</v>
      </c>
      <c r="AT131" s="117" t="n">
        <f aca="false">SUMIFS(الريسبي!$C$2:$C$1800,الريسبي!$A$2:$A$1800,$A131,الريسبي!$B$2:$B$1800,AT$1)</f>
        <v>0</v>
      </c>
      <c r="AU131" s="117" t="n">
        <f aca="false">SUMIFS(الريسبي!$C$2:$C$1800,الريسبي!$A$2:$A$1800,$A131,الريسبي!$B$2:$B$1800,AU$1)</f>
        <v>0</v>
      </c>
      <c r="AV131" s="117" t="n">
        <f aca="false">SUMIFS(الريسبي!$C$2:$C$1800,الريسبي!$A$2:$A$1800,$A131,الريسبي!$B$2:$B$1800,AV$1)</f>
        <v>0</v>
      </c>
      <c r="AW131" s="117" t="n">
        <f aca="false">SUMIFS(الريسبي!$C$2:$C$1800,الريسبي!$A$2:$A$1800,$A131,الريسبي!$B$2:$B$1800,AW$1)</f>
        <v>0</v>
      </c>
      <c r="AX131" s="117" t="n">
        <f aca="false">SUMIFS(الريسبي!$C$2:$C$1800,الريسبي!$A$2:$A$1800,$A131,الريسبي!$B$2:$B$1800,AX$1)</f>
        <v>0</v>
      </c>
      <c r="AY131" s="117" t="n">
        <f aca="false">SUMIFS(الريسبي!$C$2:$C$1800,الريسبي!$A$2:$A$1800,$A131,الريسبي!$B$2:$B$1800,AY$1)</f>
        <v>0</v>
      </c>
      <c r="AZ131" s="117" t="n">
        <f aca="false">SUMIFS(الريسبي!$C$2:$C$1800,الريسبي!$A$2:$A$1800,$A131,الريسبي!$B$2:$B$1800,AZ$1)</f>
        <v>0</v>
      </c>
      <c r="BA131" s="117" t="n">
        <f aca="false">SUMIFS(الريسبي!$C$2:$C$1800,الريسبي!$A$2:$A$1800,$A131,الريسبي!$B$2:$B$1800,BA$1)</f>
        <v>0</v>
      </c>
      <c r="BB131" s="117" t="n">
        <f aca="false">SUMIFS(الريسبي!$C$2:$C$1800,الريسبي!$A$2:$A$1800,$A131,الريسبي!$B$2:$B$1800,BB$1)</f>
        <v>0</v>
      </c>
      <c r="BC131" s="117" t="n">
        <f aca="false">SUMIFS(الريسبي!$C$2:$C$1800,الريسبي!$A$2:$A$1800,$A131,الريسبي!$B$2:$B$1800,BC$1)</f>
        <v>0</v>
      </c>
      <c r="BD131" s="117" t="n">
        <f aca="false">SUMIFS(الريسبي!$C$2:$C$1800,الريسبي!$A$2:$A$1800,$A131,الريسبي!$B$2:$B$1800,BD$1)</f>
        <v>0</v>
      </c>
      <c r="BE131" s="117" t="n">
        <f aca="false">SUMIFS(الريسبي!$C$2:$C$1800,الريسبي!$A$2:$A$1800,$A131,الريسبي!$B$2:$B$1800,BE$1)</f>
        <v>0</v>
      </c>
      <c r="BF131" s="117" t="n">
        <f aca="false">SUMIFS(الريسبي!$C$2:$C$1800,الريسبي!$A$2:$A$1800,$A131,الريسبي!$B$2:$B$1800,BF$1)</f>
        <v>0</v>
      </c>
      <c r="BG131" s="117" t="n">
        <f aca="false">SUMIFS(الريسبي!$C$2:$C$1800,الريسبي!$A$2:$A$1800,$A131,الريسبي!$B$2:$B$1800,BG$1)</f>
        <v>0</v>
      </c>
      <c r="BH131" s="117" t="n">
        <f aca="false">SUMIFS(الريسبي!$C$2:$C$1800,الريسبي!$A$2:$A$1800,$A131,الريسبي!$B$2:$B$1800,BH$1)</f>
        <v>0</v>
      </c>
      <c r="BI131" s="117" t="n">
        <f aca="false">SUMIFS(الريسبي!$C$2:$C$1800,الريسبي!$A$2:$A$1800,$A131,الريسبي!$B$2:$B$1800,BI$1)</f>
        <v>0</v>
      </c>
      <c r="BJ131" s="117" t="n">
        <f aca="false">SUMIFS(الريسبي!$C$2:$C$1800,الريسبي!$A$2:$A$1800,$A131,الريسبي!$B$2:$B$1800,BJ$1)</f>
        <v>0</v>
      </c>
      <c r="BK131" s="117" t="n">
        <f aca="false">SUMIFS(الريسبي!$C$2:$C$1800,الريسبي!$A$2:$A$1800,$A131,الريسبي!$B$2:$B$1800,BK$1)</f>
        <v>0</v>
      </c>
      <c r="BL131" s="117" t="n">
        <f aca="false">SUMIFS(الريسبي!$C$2:$C$1800,الريسبي!$A$2:$A$1800,$A131,الريسبي!$B$2:$B$1800,BL$1)</f>
        <v>0</v>
      </c>
      <c r="BM131" s="117" t="n">
        <f aca="false">SUMIFS(الريسبي!$C$2:$C$1800,الريسبي!$A$2:$A$1800,$A131,الريسبي!$B$2:$B$1800,BM$1)</f>
        <v>0</v>
      </c>
      <c r="BN131" s="117" t="n">
        <f aca="false">SUMIFS(الريسبي!$C$2:$C$1800,الريسبي!$A$2:$A$1800,$A131,الريسبي!$B$2:$B$1800,BN$1)</f>
        <v>0</v>
      </c>
      <c r="BO131" s="117" t="n">
        <f aca="false">SUMIFS(الريسبي!$C$2:$C$1800,الريسبي!$A$2:$A$1800,$A131,الريسبي!$B$2:$B$1800,BO$1)</f>
        <v>0</v>
      </c>
      <c r="BP131" s="117" t="n">
        <f aca="false">SUMIFS(الريسبي!$C$2:$C$1800,الريسبي!$A$2:$A$1800,$A131,الريسبي!$B$2:$B$1800,BP$1)</f>
        <v>0</v>
      </c>
      <c r="BQ131" s="117" t="n">
        <f aca="false">SUMIFS(الريسبي!$C$2:$C$1800,الريسبي!$A$2:$A$1800,$A131,الريسبي!$B$2:$B$1800,BQ$1)+0.17*SUMIFS(الريسبي!$C$2:$C$1800,الريسبي!$A$2:$A$1800,$A131,الريسبي!$B$2:$B$1800,"كاسترد مصنع (خليط بودر + لبن)")+0.17*SUMIFS(الريسبي!$C$2:$C$1800,الريسبي!$A$2:$A$1800,$A131,الريسبي!$B$2:$B$1800,"كاسترد مصنع صيامي (بدون لبن)")</f>
        <v>0</v>
      </c>
      <c r="BR131" s="117" t="n">
        <f aca="false">SUMIFS(الريسبي!$C$2:$C$1800,الريسبي!$A$2:$A$1800,$A131,الريسبي!$B$2:$B$1800,BR$1)</f>
        <v>0</v>
      </c>
      <c r="BS131" s="117" t="n">
        <f aca="false">SUMIFS(الريسبي!$C$2:$C$1800,الريسبي!$A$2:$A$1800,$A131,الريسبي!$B$2:$B$1800,BS$1)</f>
        <v>0</v>
      </c>
      <c r="BT131" s="117" t="n">
        <f aca="false">SUMIFS(الريسبي!$C$2:$C$1800,الريسبي!$A$2:$A$1800,$A131,الريسبي!$B$2:$B$1800,BT$1)</f>
        <v>0</v>
      </c>
      <c r="BU131" s="117" t="n">
        <f aca="false">SUMIFS(الريسبي!$C$2:$C$1800,الريسبي!$A$2:$A$1800,$A131,الريسبي!$B$2:$B$1800,BU$1)+0.4*SUMIFS(الريسبي!$C$2:$C$1800,الريسبي!$A$2:$A$1800,$A131,الريسبي!$B$2:$B$1800,"كاسترد مصنع (خليط بودر + لبن)")+0.03333333333*SUMIFS(الريسبي!$C$2:$C$1800,الريسبي!$A$2:$A$1800,$A131,الريسبي!$B$2:$B$1800,"عجين كريب (مصنع بالمطعم)")</f>
        <v>0</v>
      </c>
      <c r="BV131" s="117" t="n">
        <f aca="false">SUMIFS(الريسبي!$C$2:$C$1800,الريسبي!$A$2:$A$1800,$A131,الريسبي!$B$2:$B$1800,BV$1)</f>
        <v>0</v>
      </c>
      <c r="BW131" s="117" t="n">
        <f aca="false">SUMIFS(الريسبي!$C$2:$C$1800,الريسبي!$A$2:$A$1800,$A131,الريسبي!$B$2:$B$1800,BW$1)</f>
        <v>0</v>
      </c>
      <c r="BX131" s="117" t="n">
        <f aca="false">SUMIFS(الريسبي!$C$2:$C$1800,الريسبي!$A$2:$A$1800,$A131,الريسبي!$B$2:$B$1800,BX$1)</f>
        <v>0</v>
      </c>
      <c r="BY131" s="117" t="n">
        <f aca="false">SUMIFS(الريسبي!$C$2:$C$1800,الريسبي!$A$2:$A$1800,$A131,الريسبي!$B$2:$B$1800,BY$1)</f>
        <v>0</v>
      </c>
      <c r="BZ131" s="117" t="n">
        <f aca="false">SUMIFS(الريسبي!$C$2:$C$1800,الريسبي!$A$2:$A$1800,$A131,الريسبي!$B$2:$B$1800,BZ$1)</f>
        <v>0</v>
      </c>
      <c r="CA131" s="117" t="n">
        <f aca="false">SUMIFS(الريسبي!$C$2:$C$1800,الريسبي!$A$2:$A$1800,$A131,الريسبي!$B$2:$B$1800,CA$1)</f>
        <v>0</v>
      </c>
      <c r="CB131" s="117" t="n">
        <f aca="false">SUMIFS(الريسبي!$C$2:$C$1800,الريسبي!$A$2:$A$1800,$A131,الريسبي!$B$2:$B$1800,CB$1)</f>
        <v>0</v>
      </c>
      <c r="CC131" s="117" t="n">
        <f aca="false">SUMIFS(الريسبي!$C$2:$C$1800,الريسبي!$A$2:$A$1800,$A131,الريسبي!$B$2:$B$1800,CC$1)</f>
        <v>0</v>
      </c>
      <c r="CD131" s="117" t="n">
        <f aca="false">SUMIFS(الريسبي!$C$2:$C$1800,الريسبي!$A$2:$A$1800,$A131,الريسبي!$B$2:$B$1800,CD$1)</f>
        <v>0</v>
      </c>
      <c r="CE131" s="117" t="n">
        <f aca="false">SUMIFS(الريسبي!$C$2:$C$1800,الريسبي!$A$2:$A$1800,$A131,الريسبي!$B$2:$B$1800,CE$1)</f>
        <v>0</v>
      </c>
      <c r="CF131" s="117" t="n">
        <f aca="false">SUMIFS(الريسبي!$C$2:$C$1800,الريسبي!$A$2:$A$1800,$A131,الريسبي!$B$2:$B$1800,CF$1)</f>
        <v>0</v>
      </c>
      <c r="CG131" s="117" t="n">
        <f aca="false">SUMIFS(الريسبي!$C$2:$C$1800,الريسبي!$A$2:$A$1800,$A131,الريسبي!$B$2:$B$1800,CG$1)</f>
        <v>0</v>
      </c>
      <c r="CH131" s="117" t="n">
        <f aca="false">SUMIFS(الريسبي!$C$2:$C$1800,الريسبي!$A$2:$A$1800,$A131,الريسبي!$B$2:$B$1800,CH$1)</f>
        <v>0</v>
      </c>
      <c r="CI131" s="117" t="n">
        <f aca="false">SUMIFS(الريسبي!$C$2:$C$1800,الريسبي!$A$2:$A$1800,$A131,الريسبي!$B$2:$B$1800,CI$1)</f>
        <v>0</v>
      </c>
      <c r="CJ131" s="117" t="n">
        <f aca="false">SUMIFS(الريسبي!$C$2:$C$1800,الريسبي!$A$2:$A$1800,$A131,الريسبي!$B$2:$B$1800,CJ$1)</f>
        <v>0</v>
      </c>
      <c r="CK131" s="117" t="n">
        <f aca="false">SUMIFS(الريسبي!$C$2:$C$1800,الريسبي!$A$2:$A$1800,$A131,الريسبي!$B$2:$B$1800,CK$1)</f>
        <v>0</v>
      </c>
      <c r="CL131" s="117" t="n">
        <f aca="false">SUMIFS(الريسبي!$C$2:$C$1800,الريسبي!$A$2:$A$1800,$A131,الريسبي!$B$2:$B$1800,CL$1)</f>
        <v>0</v>
      </c>
    </row>
    <row r="132" customFormat="false" ht="15" hidden="false" customHeight="false" outlineLevel="0" collapsed="false">
      <c r="A132" s="116" t="str">
        <f aca="false">المنيو!B132</f>
        <v>اضافة جبنة موتزريلا (فطير L)</v>
      </c>
      <c r="B132" s="117" t="n">
        <f aca="false">SUMIFS(الريسبي!$C$2:$C$1800,الريسبي!$A$2:$A$1800,$A132,الريسبي!$B$2:$B$1800,B$1)</f>
        <v>0</v>
      </c>
      <c r="C132" s="117" t="n">
        <f aca="false">SUMIFS(الريسبي!$C$2:$C$1800,الريسبي!$A$2:$A$1800,$A132,الريسبي!$B$2:$B$1800,C$1)</f>
        <v>0</v>
      </c>
      <c r="D132" s="117" t="n">
        <f aca="false">SUMIFS(الريسبي!$C$2:$C$1800,الريسبي!$A$2:$A$1800,$A132,الريسبي!$B$2:$B$1800,D$1)</f>
        <v>0</v>
      </c>
      <c r="E132" s="117" t="n">
        <f aca="false">SUMIFS(الريسبي!$C$2:$C$1800,الريسبي!$A$2:$A$1800,$A132,الريسبي!$B$2:$B$1800,E$1)</f>
        <v>0</v>
      </c>
      <c r="F132" s="117" t="n">
        <f aca="false">SUMIFS(الريسبي!$C$2:$C$1800,الريسبي!$A$2:$A$1800,$A132,الريسبي!$B$2:$B$1800,F$1)</f>
        <v>0</v>
      </c>
      <c r="G132" s="117" t="n">
        <f aca="false">SUMIFS(الريسبي!$C$2:$C$1800,الريسبي!$A$2:$A$1800,$A132,الريسبي!$B$2:$B$1800,G$1)</f>
        <v>0</v>
      </c>
      <c r="H132" s="117" t="n">
        <f aca="false">SUMIFS(الريسبي!$C$2:$C$1800,الريسبي!$A$2:$A$1800,$A132,الريسبي!$B$2:$B$1800,H$1)</f>
        <v>0</v>
      </c>
      <c r="I132" s="117" t="n">
        <f aca="false">SUMIFS(الريسبي!$C$2:$C$1800,الريسبي!$A$2:$A$1800,$A132,الريسبي!$B$2:$B$1800,I$1)</f>
        <v>0</v>
      </c>
      <c r="J132" s="117" t="n">
        <f aca="false">SUMIFS(الريسبي!$C$2:$C$1800,الريسبي!$A$2:$A$1800,$A132,الريسبي!$B$2:$B$1800,J$1)</f>
        <v>0</v>
      </c>
      <c r="K132" s="117" t="n">
        <f aca="false">SUMIFS(الريسبي!$C$2:$C$1800,الريسبي!$A$2:$A$1800,$A132,الريسبي!$B$2:$B$1800,K$1)</f>
        <v>0</v>
      </c>
      <c r="L132" s="117" t="n">
        <f aca="false">SUMIFS(الريسبي!$C$2:$C$1800,الريسبي!$A$2:$A$1800,$A132,الريسبي!$B$2:$B$1800,L$1)</f>
        <v>0</v>
      </c>
      <c r="M132" s="117" t="n">
        <f aca="false">SUMIFS(الريسبي!$C$2:$C$1800,الريسبي!$A$2:$A$1800,$A132,الريسبي!$B$2:$B$1800,M$1)</f>
        <v>0</v>
      </c>
      <c r="N132" s="117" t="n">
        <f aca="false">SUMIFS(الريسبي!$C$2:$C$1800,الريسبي!$A$2:$A$1800,$A132,الريسبي!$B$2:$B$1800,N$1)</f>
        <v>0</v>
      </c>
      <c r="O132" s="117" t="n">
        <f aca="false">SUMIFS(الريسبي!$C$2:$C$1800,الريسبي!$A$2:$A$1800,$A132,الريسبي!$B$2:$B$1800,O$1)</f>
        <v>0</v>
      </c>
      <c r="P132" s="117" t="n">
        <f aca="false">SUMIFS(الريسبي!$C$2:$C$1800,الريسبي!$A$2:$A$1800,$A132,الريسبي!$B$2:$B$1800,P$1)</f>
        <v>0</v>
      </c>
      <c r="Q132" s="117" t="n">
        <f aca="false">SUMIFS(الريسبي!$C$2:$C$1800,الريسبي!$A$2:$A$1800,$A132,الريسبي!$B$2:$B$1800,Q$1)</f>
        <v>0</v>
      </c>
      <c r="R132" s="117" t="n">
        <f aca="false">SUMIFS(الريسبي!$C$2:$C$1800,الريسبي!$A$2:$A$1800,$A132,الريسبي!$B$2:$B$1800,R$1)</f>
        <v>0</v>
      </c>
      <c r="S132" s="117" t="n">
        <f aca="false">SUMIFS(الريسبي!$C$2:$C$1800,الريسبي!$A$2:$A$1800,$A132,الريسبي!$B$2:$B$1800,S$1)</f>
        <v>0</v>
      </c>
      <c r="T132" s="117" t="n">
        <f aca="false">SUMIFS(الريسبي!$C$2:$C$1800,الريسبي!$A$2:$A$1800,$A132,الريسبي!$B$2:$B$1800,T$1)</f>
        <v>0</v>
      </c>
      <c r="U132" s="117" t="n">
        <f aca="false">SUMIFS(الريسبي!$C$2:$C$1800,الريسبي!$A$2:$A$1800,$A132,الريسبي!$B$2:$B$1800,U$1)</f>
        <v>0</v>
      </c>
      <c r="V132" s="117" t="n">
        <f aca="false">SUMIFS(الريسبي!$C$2:$C$1800,الريسبي!$A$2:$A$1800,$A132,الريسبي!$B$2:$B$1800,V$1)</f>
        <v>0</v>
      </c>
      <c r="W132" s="117" t="n">
        <f aca="false">SUMIFS(الريسبي!$C$2:$C$1800,الريسبي!$A$2:$A$1800,$A132,الريسبي!$B$2:$B$1800,W$1)</f>
        <v>0</v>
      </c>
      <c r="X132" s="117" t="n">
        <f aca="false">SUMIFS(الريسبي!$C$2:$C$1800,الريسبي!$A$2:$A$1800,$A132,الريسبي!$B$2:$B$1800,X$1)</f>
        <v>0</v>
      </c>
      <c r="Y132" s="117" t="n">
        <f aca="false">SUMIFS(الريسبي!$C$2:$C$1800,الريسبي!$A$2:$A$1800,$A132,الريسبي!$B$2:$B$1800,Y$1)</f>
        <v>1</v>
      </c>
      <c r="Z132" s="117" t="n">
        <f aca="false">SUMIFS(الريسبي!$C$2:$C$1800,الريسبي!$A$2:$A$1800,$A132,الريسبي!$B$2:$B$1800,Z$1)</f>
        <v>0</v>
      </c>
      <c r="AA132" s="117" t="n">
        <f aca="false">SUMIFS(الريسبي!$C$2:$C$1800,الريسبي!$A$2:$A$1800,$A132,الريسبي!$B$2:$B$1800,AA$1)</f>
        <v>0</v>
      </c>
      <c r="AB132" s="117" t="n">
        <f aca="false">SUMIFS(الريسبي!$C$2:$C$1800,الريسبي!$A$2:$A$1800,$A132,الريسبي!$B$2:$B$1800,AB$1)</f>
        <v>0</v>
      </c>
      <c r="AC132" s="117" t="n">
        <f aca="false">SUMIFS(الريسبي!$C$2:$C$1800,الريسبي!$A$2:$A$1800,$A132,الريسبي!$B$2:$B$1800,AC$1)</f>
        <v>0</v>
      </c>
      <c r="AD132" s="117" t="n">
        <f aca="false">SUMIFS(الريسبي!$C$2:$C$1800,الريسبي!$A$2:$A$1800,$A132,الريسبي!$B$2:$B$1800,AD$1)</f>
        <v>0</v>
      </c>
      <c r="AE132" s="117" t="n">
        <f aca="false">SUMIFS(الريسبي!$C$2:$C$1800,الريسبي!$A$2:$A$1800,$A132,الريسبي!$B$2:$B$1800,AE$1)</f>
        <v>0</v>
      </c>
      <c r="AF132" s="117" t="n">
        <f aca="false">SUMIFS(الريسبي!$C$2:$C$1800,الريسبي!$A$2:$A$1800,$A132,الريسبي!$B$2:$B$1800,AF$1)</f>
        <v>0</v>
      </c>
      <c r="AG132" s="117" t="n">
        <f aca="false">SUMIFS(الريسبي!$C$2:$C$1800,الريسبي!$A$2:$A$1800,$A132,الريسبي!$B$2:$B$1800,AG$1)</f>
        <v>0</v>
      </c>
      <c r="AH132" s="117" t="n">
        <f aca="false">SUMIFS(الريسبي!$C$2:$C$1800,الريسبي!$A$2:$A$1800,$A132,الريسبي!$B$2:$B$1800,AH$1)</f>
        <v>0</v>
      </c>
      <c r="AI132" s="117" t="n">
        <f aca="false">SUMIFS(الريسبي!$C$2:$C$1800,الريسبي!$A$2:$A$1800,$A132,الريسبي!$B$2:$B$1800,AI$1)</f>
        <v>0</v>
      </c>
      <c r="AJ132" s="117" t="n">
        <f aca="false">SUMIFS(الريسبي!$C$2:$C$1800,الريسبي!$A$2:$A$1800,$A132,الريسبي!$B$2:$B$1800,AJ$1)</f>
        <v>0</v>
      </c>
      <c r="AK132" s="117" t="n">
        <f aca="false">SUMIFS(الريسبي!$C$2:$C$1800,الريسبي!$A$2:$A$1800,$A132,الريسبي!$B$2:$B$1800,AK$1)</f>
        <v>0</v>
      </c>
      <c r="AL132" s="117" t="n">
        <f aca="false">SUMIFS(الريسبي!$C$2:$C$1800,الريسبي!$A$2:$A$1800,$A132,الريسبي!$B$2:$B$1800,AL$1)</f>
        <v>0</v>
      </c>
      <c r="AM132" s="117" t="n">
        <f aca="false">SUMIFS(الريسبي!$C$2:$C$1800,الريسبي!$A$2:$A$1800,$A132,الريسبي!$B$2:$B$1800,AM$1)+0.08333333333*SUMIFS(الريسبي!$C$2:$C$1800,الريسبي!$A$2:$A$1800,$A132,الريسبي!$B$2:$B$1800,"عجين كريب (مصنع بالمطعم)")+0.08333333333*SUMIFS(الريسبي!$C$2:$C$1800,الريسبي!$A$2:$A$1800,$A132,الريسبي!$B$2:$B$1800,"عجين كريب صيامي (بدون لبن)")</f>
        <v>0</v>
      </c>
      <c r="AN132" s="117" t="n">
        <f aca="false">SUMIFS(الريسبي!$C$2:$C$1800,الريسبي!$A$2:$A$1800,$A132,الريسبي!$B$2:$B$1800,AN$1)+0.004166666667*SUMIFS(الريسبي!$C$2:$C$1800,الريسبي!$A$2:$A$1800,$A132,الريسبي!$B$2:$B$1800,"عجين كريب (مصنع بالمطعم)")+0.004166666667*SUMIFS(الريسبي!$C$2:$C$1800,الريسبي!$A$2:$A$1800,$A132,الريسبي!$B$2:$B$1800,"عجين كريب صيامي (بدون لبن)")</f>
        <v>0</v>
      </c>
      <c r="AO132" s="117" t="n">
        <f aca="false">SUMIFS(الريسبي!$C$2:$C$1800,الريسبي!$A$2:$A$1800,$A132,الريسبي!$B$2:$B$1800,AO$1)</f>
        <v>0</v>
      </c>
      <c r="AP132" s="117" t="n">
        <f aca="false">SUMIFS(الريسبي!$C$2:$C$1800,الريسبي!$A$2:$A$1800,$A132,الريسبي!$B$2:$B$1800,AP$1)</f>
        <v>0</v>
      </c>
      <c r="AQ132" s="117" t="n">
        <f aca="false">SUMIFS(الريسبي!$C$2:$C$1800,الريسبي!$A$2:$A$1800,$A132,الريسبي!$B$2:$B$1800,AQ$1)+0.004166666667*SUMIFS(الريسبي!$C$2:$C$1800,الريسبي!$A$2:$A$1800,$A132,الريسبي!$B$2:$B$1800,"عجين كريب (مصنع بالمطعم)")+0.004166666667*SUMIFS(الريسبي!$C$2:$C$1800,الريسبي!$A$2:$A$1800,$A132,الريسبي!$B$2:$B$1800,"عجين كريب صيامي (بدون لبن)")</f>
        <v>0</v>
      </c>
      <c r="AR132" s="117" t="n">
        <f aca="false">SUMIFS(الريسبي!$C$2:$C$1800,الريسبي!$A$2:$A$1800,$A132,الريسبي!$B$2:$B$1800,AR$1)</f>
        <v>0</v>
      </c>
      <c r="AS132" s="117" t="n">
        <f aca="false">SUMIFS(الريسبي!$C$2:$C$1800,الريسبي!$A$2:$A$1800,$A132,الريسبي!$B$2:$B$1800,AS$1)</f>
        <v>0</v>
      </c>
      <c r="AT132" s="117" t="n">
        <f aca="false">SUMIFS(الريسبي!$C$2:$C$1800,الريسبي!$A$2:$A$1800,$A132,الريسبي!$B$2:$B$1800,AT$1)</f>
        <v>0</v>
      </c>
      <c r="AU132" s="117" t="n">
        <f aca="false">SUMIFS(الريسبي!$C$2:$C$1800,الريسبي!$A$2:$A$1800,$A132,الريسبي!$B$2:$B$1800,AU$1)</f>
        <v>0</v>
      </c>
      <c r="AV132" s="117" t="n">
        <f aca="false">SUMIFS(الريسبي!$C$2:$C$1800,الريسبي!$A$2:$A$1800,$A132,الريسبي!$B$2:$B$1800,AV$1)</f>
        <v>0</v>
      </c>
      <c r="AW132" s="117" t="n">
        <f aca="false">SUMIFS(الريسبي!$C$2:$C$1800,الريسبي!$A$2:$A$1800,$A132,الريسبي!$B$2:$B$1800,AW$1)</f>
        <v>0</v>
      </c>
      <c r="AX132" s="117" t="n">
        <f aca="false">SUMIFS(الريسبي!$C$2:$C$1800,الريسبي!$A$2:$A$1800,$A132,الريسبي!$B$2:$B$1800,AX$1)</f>
        <v>0</v>
      </c>
      <c r="AY132" s="117" t="n">
        <f aca="false">SUMIFS(الريسبي!$C$2:$C$1800,الريسبي!$A$2:$A$1800,$A132,الريسبي!$B$2:$B$1800,AY$1)</f>
        <v>0</v>
      </c>
      <c r="AZ132" s="117" t="n">
        <f aca="false">SUMIFS(الريسبي!$C$2:$C$1800,الريسبي!$A$2:$A$1800,$A132,الريسبي!$B$2:$B$1800,AZ$1)</f>
        <v>0</v>
      </c>
      <c r="BA132" s="117" t="n">
        <f aca="false">SUMIFS(الريسبي!$C$2:$C$1800,الريسبي!$A$2:$A$1800,$A132,الريسبي!$B$2:$B$1800,BA$1)</f>
        <v>0</v>
      </c>
      <c r="BB132" s="117" t="n">
        <f aca="false">SUMIFS(الريسبي!$C$2:$C$1800,الريسبي!$A$2:$A$1800,$A132,الريسبي!$B$2:$B$1800,BB$1)</f>
        <v>0</v>
      </c>
      <c r="BC132" s="117" t="n">
        <f aca="false">SUMIFS(الريسبي!$C$2:$C$1800,الريسبي!$A$2:$A$1800,$A132,الريسبي!$B$2:$B$1800,BC$1)</f>
        <v>0</v>
      </c>
      <c r="BD132" s="117" t="n">
        <f aca="false">SUMIFS(الريسبي!$C$2:$C$1800,الريسبي!$A$2:$A$1800,$A132,الريسبي!$B$2:$B$1800,BD$1)</f>
        <v>0</v>
      </c>
      <c r="BE132" s="117" t="n">
        <f aca="false">SUMIFS(الريسبي!$C$2:$C$1800,الريسبي!$A$2:$A$1800,$A132,الريسبي!$B$2:$B$1800,BE$1)</f>
        <v>0</v>
      </c>
      <c r="BF132" s="117" t="n">
        <f aca="false">SUMIFS(الريسبي!$C$2:$C$1800,الريسبي!$A$2:$A$1800,$A132,الريسبي!$B$2:$B$1800,BF$1)</f>
        <v>0</v>
      </c>
      <c r="BG132" s="117" t="n">
        <f aca="false">SUMIFS(الريسبي!$C$2:$C$1800,الريسبي!$A$2:$A$1800,$A132,الريسبي!$B$2:$B$1800,BG$1)</f>
        <v>0</v>
      </c>
      <c r="BH132" s="117" t="n">
        <f aca="false">SUMIFS(الريسبي!$C$2:$C$1800,الريسبي!$A$2:$A$1800,$A132,الريسبي!$B$2:$B$1800,BH$1)</f>
        <v>0</v>
      </c>
      <c r="BI132" s="117" t="n">
        <f aca="false">SUMIFS(الريسبي!$C$2:$C$1800,الريسبي!$A$2:$A$1800,$A132,الريسبي!$B$2:$B$1800,BI$1)</f>
        <v>0</v>
      </c>
      <c r="BJ132" s="117" t="n">
        <f aca="false">SUMIFS(الريسبي!$C$2:$C$1800,الريسبي!$A$2:$A$1800,$A132,الريسبي!$B$2:$B$1800,BJ$1)</f>
        <v>0</v>
      </c>
      <c r="BK132" s="117" t="n">
        <f aca="false">SUMIFS(الريسبي!$C$2:$C$1800,الريسبي!$A$2:$A$1800,$A132,الريسبي!$B$2:$B$1800,BK$1)</f>
        <v>0</v>
      </c>
      <c r="BL132" s="117" t="n">
        <f aca="false">SUMIFS(الريسبي!$C$2:$C$1800,الريسبي!$A$2:$A$1800,$A132,الريسبي!$B$2:$B$1800,BL$1)</f>
        <v>0</v>
      </c>
      <c r="BM132" s="117" t="n">
        <f aca="false">SUMIFS(الريسبي!$C$2:$C$1800,الريسبي!$A$2:$A$1800,$A132,الريسبي!$B$2:$B$1800,BM$1)</f>
        <v>0</v>
      </c>
      <c r="BN132" s="117" t="n">
        <f aca="false">SUMIFS(الريسبي!$C$2:$C$1800,الريسبي!$A$2:$A$1800,$A132,الريسبي!$B$2:$B$1800,BN$1)</f>
        <v>0</v>
      </c>
      <c r="BO132" s="117" t="n">
        <f aca="false">SUMIFS(الريسبي!$C$2:$C$1800,الريسبي!$A$2:$A$1800,$A132,الريسبي!$B$2:$B$1800,BO$1)</f>
        <v>0</v>
      </c>
      <c r="BP132" s="117" t="n">
        <f aca="false">SUMIFS(الريسبي!$C$2:$C$1800,الريسبي!$A$2:$A$1800,$A132,الريسبي!$B$2:$B$1800,BP$1)</f>
        <v>0</v>
      </c>
      <c r="BQ132" s="117" t="n">
        <f aca="false">SUMIFS(الريسبي!$C$2:$C$1800,الريسبي!$A$2:$A$1800,$A132,الريسبي!$B$2:$B$1800,BQ$1)+0.17*SUMIFS(الريسبي!$C$2:$C$1800,الريسبي!$A$2:$A$1800,$A132,الريسبي!$B$2:$B$1800,"كاسترد مصنع (خليط بودر + لبن)")+0.17*SUMIFS(الريسبي!$C$2:$C$1800,الريسبي!$A$2:$A$1800,$A132,الريسبي!$B$2:$B$1800,"كاسترد مصنع صيامي (بدون لبن)")</f>
        <v>0</v>
      </c>
      <c r="BR132" s="117" t="n">
        <f aca="false">SUMIFS(الريسبي!$C$2:$C$1800,الريسبي!$A$2:$A$1800,$A132,الريسبي!$B$2:$B$1800,BR$1)</f>
        <v>0</v>
      </c>
      <c r="BS132" s="117" t="n">
        <f aca="false">SUMIFS(الريسبي!$C$2:$C$1800,الريسبي!$A$2:$A$1800,$A132,الريسبي!$B$2:$B$1800,BS$1)</f>
        <v>0</v>
      </c>
      <c r="BT132" s="117" t="n">
        <f aca="false">SUMIFS(الريسبي!$C$2:$C$1800,الريسبي!$A$2:$A$1800,$A132,الريسبي!$B$2:$B$1800,BT$1)</f>
        <v>0</v>
      </c>
      <c r="BU132" s="117" t="n">
        <f aca="false">SUMIFS(الريسبي!$C$2:$C$1800,الريسبي!$A$2:$A$1800,$A132,الريسبي!$B$2:$B$1800,BU$1)+0.4*SUMIFS(الريسبي!$C$2:$C$1800,الريسبي!$A$2:$A$1800,$A132,الريسبي!$B$2:$B$1800,"كاسترد مصنع (خليط بودر + لبن)")+0.03333333333*SUMIFS(الريسبي!$C$2:$C$1800,الريسبي!$A$2:$A$1800,$A132,الريسبي!$B$2:$B$1800,"عجين كريب (مصنع بالمطعم)")</f>
        <v>0</v>
      </c>
      <c r="BV132" s="117" t="n">
        <f aca="false">SUMIFS(الريسبي!$C$2:$C$1800,الريسبي!$A$2:$A$1800,$A132,الريسبي!$B$2:$B$1800,BV$1)</f>
        <v>0</v>
      </c>
      <c r="BW132" s="117" t="n">
        <f aca="false">SUMIFS(الريسبي!$C$2:$C$1800,الريسبي!$A$2:$A$1800,$A132,الريسبي!$B$2:$B$1800,BW$1)</f>
        <v>0</v>
      </c>
      <c r="BX132" s="117" t="n">
        <f aca="false">SUMIFS(الريسبي!$C$2:$C$1800,الريسبي!$A$2:$A$1800,$A132,الريسبي!$B$2:$B$1800,BX$1)</f>
        <v>0</v>
      </c>
      <c r="BY132" s="117" t="n">
        <f aca="false">SUMIFS(الريسبي!$C$2:$C$1800,الريسبي!$A$2:$A$1800,$A132,الريسبي!$B$2:$B$1800,BY$1)</f>
        <v>0</v>
      </c>
      <c r="BZ132" s="117" t="n">
        <f aca="false">SUMIFS(الريسبي!$C$2:$C$1800,الريسبي!$A$2:$A$1800,$A132,الريسبي!$B$2:$B$1800,BZ$1)</f>
        <v>0</v>
      </c>
      <c r="CA132" s="117" t="n">
        <f aca="false">SUMIFS(الريسبي!$C$2:$C$1800,الريسبي!$A$2:$A$1800,$A132,الريسبي!$B$2:$B$1800,CA$1)</f>
        <v>0</v>
      </c>
      <c r="CB132" s="117" t="n">
        <f aca="false">SUMIFS(الريسبي!$C$2:$C$1800,الريسبي!$A$2:$A$1800,$A132,الريسبي!$B$2:$B$1800,CB$1)</f>
        <v>0</v>
      </c>
      <c r="CC132" s="117" t="n">
        <f aca="false">SUMIFS(الريسبي!$C$2:$C$1800,الريسبي!$A$2:$A$1800,$A132,الريسبي!$B$2:$B$1800,CC$1)</f>
        <v>0</v>
      </c>
      <c r="CD132" s="117" t="n">
        <f aca="false">SUMIFS(الريسبي!$C$2:$C$1800,الريسبي!$A$2:$A$1800,$A132,الريسبي!$B$2:$B$1800,CD$1)</f>
        <v>0</v>
      </c>
      <c r="CE132" s="117" t="n">
        <f aca="false">SUMIFS(الريسبي!$C$2:$C$1800,الريسبي!$A$2:$A$1800,$A132,الريسبي!$B$2:$B$1800,CE$1)</f>
        <v>0</v>
      </c>
      <c r="CF132" s="117" t="n">
        <f aca="false">SUMIFS(الريسبي!$C$2:$C$1800,الريسبي!$A$2:$A$1800,$A132,الريسبي!$B$2:$B$1800,CF$1)</f>
        <v>0</v>
      </c>
      <c r="CG132" s="117" t="n">
        <f aca="false">SUMIFS(الريسبي!$C$2:$C$1800,الريسبي!$A$2:$A$1800,$A132,الريسبي!$B$2:$B$1800,CG$1)</f>
        <v>0</v>
      </c>
      <c r="CH132" s="117" t="n">
        <f aca="false">SUMIFS(الريسبي!$C$2:$C$1800,الريسبي!$A$2:$A$1800,$A132,الريسبي!$B$2:$B$1800,CH$1)</f>
        <v>0</v>
      </c>
      <c r="CI132" s="117" t="n">
        <f aca="false">SUMIFS(الريسبي!$C$2:$C$1800,الريسبي!$A$2:$A$1800,$A132,الريسبي!$B$2:$B$1800,CI$1)</f>
        <v>0</v>
      </c>
      <c r="CJ132" s="117" t="n">
        <f aca="false">SUMIFS(الريسبي!$C$2:$C$1800,الريسبي!$A$2:$A$1800,$A132,الريسبي!$B$2:$B$1800,CJ$1)</f>
        <v>0</v>
      </c>
      <c r="CK132" s="117" t="n">
        <f aca="false">SUMIFS(الريسبي!$C$2:$C$1800,الريسبي!$A$2:$A$1800,$A132,الريسبي!$B$2:$B$1800,CK$1)</f>
        <v>0</v>
      </c>
      <c r="CL132" s="117" t="n">
        <f aca="false">SUMIFS(الريسبي!$C$2:$C$1800,الريسبي!$A$2:$A$1800,$A132,الريسبي!$B$2:$B$1800,CL$1)</f>
        <v>0</v>
      </c>
    </row>
    <row r="133" customFormat="false" ht="15" hidden="false" customHeight="false" outlineLevel="0" collapsed="false">
      <c r="A133" s="116" t="str">
        <f aca="false">المنيو!B133</f>
        <v>اضافة جبنة موتزريلا (بيتزا وسط)</v>
      </c>
      <c r="B133" s="117" t="n">
        <f aca="false">SUMIFS(الريسبي!$C$2:$C$1800,الريسبي!$A$2:$A$1800,$A133,الريسبي!$B$2:$B$1800,B$1)</f>
        <v>0</v>
      </c>
      <c r="C133" s="117" t="n">
        <f aca="false">SUMIFS(الريسبي!$C$2:$C$1800,الريسبي!$A$2:$A$1800,$A133,الريسبي!$B$2:$B$1800,C$1)</f>
        <v>0</v>
      </c>
      <c r="D133" s="117" t="n">
        <f aca="false">SUMIFS(الريسبي!$C$2:$C$1800,الريسبي!$A$2:$A$1800,$A133,الريسبي!$B$2:$B$1800,D$1)</f>
        <v>0</v>
      </c>
      <c r="E133" s="117" t="n">
        <f aca="false">SUMIFS(الريسبي!$C$2:$C$1800,الريسبي!$A$2:$A$1800,$A133,الريسبي!$B$2:$B$1800,E$1)</f>
        <v>0</v>
      </c>
      <c r="F133" s="117" t="n">
        <f aca="false">SUMIFS(الريسبي!$C$2:$C$1800,الريسبي!$A$2:$A$1800,$A133,الريسبي!$B$2:$B$1800,F$1)</f>
        <v>0</v>
      </c>
      <c r="G133" s="117" t="n">
        <f aca="false">SUMIFS(الريسبي!$C$2:$C$1800,الريسبي!$A$2:$A$1800,$A133,الريسبي!$B$2:$B$1800,G$1)</f>
        <v>0</v>
      </c>
      <c r="H133" s="117" t="n">
        <f aca="false">SUMIFS(الريسبي!$C$2:$C$1800,الريسبي!$A$2:$A$1800,$A133,الريسبي!$B$2:$B$1800,H$1)</f>
        <v>0</v>
      </c>
      <c r="I133" s="117" t="n">
        <f aca="false">SUMIFS(الريسبي!$C$2:$C$1800,الريسبي!$A$2:$A$1800,$A133,الريسبي!$B$2:$B$1800,I$1)</f>
        <v>0</v>
      </c>
      <c r="J133" s="117" t="n">
        <f aca="false">SUMIFS(الريسبي!$C$2:$C$1800,الريسبي!$A$2:$A$1800,$A133,الريسبي!$B$2:$B$1800,J$1)</f>
        <v>0</v>
      </c>
      <c r="K133" s="117" t="n">
        <f aca="false">SUMIFS(الريسبي!$C$2:$C$1800,الريسبي!$A$2:$A$1800,$A133,الريسبي!$B$2:$B$1800,K$1)</f>
        <v>0</v>
      </c>
      <c r="L133" s="117" t="n">
        <f aca="false">SUMIFS(الريسبي!$C$2:$C$1800,الريسبي!$A$2:$A$1800,$A133,الريسبي!$B$2:$B$1800,L$1)</f>
        <v>0</v>
      </c>
      <c r="M133" s="117" t="n">
        <f aca="false">SUMIFS(الريسبي!$C$2:$C$1800,الريسبي!$A$2:$A$1800,$A133,الريسبي!$B$2:$B$1800,M$1)</f>
        <v>0</v>
      </c>
      <c r="N133" s="117" t="n">
        <f aca="false">SUMIFS(الريسبي!$C$2:$C$1800,الريسبي!$A$2:$A$1800,$A133,الريسبي!$B$2:$B$1800,N$1)</f>
        <v>0</v>
      </c>
      <c r="O133" s="117" t="n">
        <f aca="false">SUMIFS(الريسبي!$C$2:$C$1800,الريسبي!$A$2:$A$1800,$A133,الريسبي!$B$2:$B$1800,O$1)</f>
        <v>0</v>
      </c>
      <c r="P133" s="117" t="n">
        <f aca="false">SUMIFS(الريسبي!$C$2:$C$1800,الريسبي!$A$2:$A$1800,$A133,الريسبي!$B$2:$B$1800,P$1)</f>
        <v>0</v>
      </c>
      <c r="Q133" s="117" t="n">
        <f aca="false">SUMIFS(الريسبي!$C$2:$C$1800,الريسبي!$A$2:$A$1800,$A133,الريسبي!$B$2:$B$1800,Q$1)</f>
        <v>0</v>
      </c>
      <c r="R133" s="117" t="n">
        <f aca="false">SUMIFS(الريسبي!$C$2:$C$1800,الريسبي!$A$2:$A$1800,$A133,الريسبي!$B$2:$B$1800,R$1)</f>
        <v>0</v>
      </c>
      <c r="S133" s="117" t="n">
        <f aca="false">SUMIFS(الريسبي!$C$2:$C$1800,الريسبي!$A$2:$A$1800,$A133,الريسبي!$B$2:$B$1800,S$1)</f>
        <v>0</v>
      </c>
      <c r="T133" s="117" t="n">
        <f aca="false">SUMIFS(الريسبي!$C$2:$C$1800,الريسبي!$A$2:$A$1800,$A133,الريسبي!$B$2:$B$1800,T$1)</f>
        <v>0</v>
      </c>
      <c r="U133" s="117" t="n">
        <f aca="false">SUMIFS(الريسبي!$C$2:$C$1800,الريسبي!$A$2:$A$1800,$A133,الريسبي!$B$2:$B$1800,U$1)</f>
        <v>0</v>
      </c>
      <c r="V133" s="117" t="n">
        <f aca="false">SUMIFS(الريسبي!$C$2:$C$1800,الريسبي!$A$2:$A$1800,$A133,الريسبي!$B$2:$B$1800,V$1)</f>
        <v>1</v>
      </c>
      <c r="W133" s="117" t="n">
        <f aca="false">SUMIFS(الريسبي!$C$2:$C$1800,الريسبي!$A$2:$A$1800,$A133,الريسبي!$B$2:$B$1800,W$1)</f>
        <v>0</v>
      </c>
      <c r="X133" s="117" t="n">
        <f aca="false">SUMIFS(الريسبي!$C$2:$C$1800,الريسبي!$A$2:$A$1800,$A133,الريسبي!$B$2:$B$1800,X$1)</f>
        <v>0</v>
      </c>
      <c r="Y133" s="117" t="n">
        <f aca="false">SUMIFS(الريسبي!$C$2:$C$1800,الريسبي!$A$2:$A$1800,$A133,الريسبي!$B$2:$B$1800,Y$1)</f>
        <v>0</v>
      </c>
      <c r="Z133" s="117" t="n">
        <f aca="false">SUMIFS(الريسبي!$C$2:$C$1800,الريسبي!$A$2:$A$1800,$A133,الريسبي!$B$2:$B$1800,Z$1)</f>
        <v>0</v>
      </c>
      <c r="AA133" s="117" t="n">
        <f aca="false">SUMIFS(الريسبي!$C$2:$C$1800,الريسبي!$A$2:$A$1800,$A133,الريسبي!$B$2:$B$1800,AA$1)</f>
        <v>0</v>
      </c>
      <c r="AB133" s="117" t="n">
        <f aca="false">SUMIFS(الريسبي!$C$2:$C$1800,الريسبي!$A$2:$A$1800,$A133,الريسبي!$B$2:$B$1800,AB$1)</f>
        <v>0</v>
      </c>
      <c r="AC133" s="117" t="n">
        <f aca="false">SUMIFS(الريسبي!$C$2:$C$1800,الريسبي!$A$2:$A$1800,$A133,الريسبي!$B$2:$B$1800,AC$1)</f>
        <v>0</v>
      </c>
      <c r="AD133" s="117" t="n">
        <f aca="false">SUMIFS(الريسبي!$C$2:$C$1800,الريسبي!$A$2:$A$1800,$A133,الريسبي!$B$2:$B$1800,AD$1)</f>
        <v>0</v>
      </c>
      <c r="AE133" s="117" t="n">
        <f aca="false">SUMIFS(الريسبي!$C$2:$C$1800,الريسبي!$A$2:$A$1800,$A133,الريسبي!$B$2:$B$1800,AE$1)</f>
        <v>0</v>
      </c>
      <c r="AF133" s="117" t="n">
        <f aca="false">SUMIFS(الريسبي!$C$2:$C$1800,الريسبي!$A$2:$A$1800,$A133,الريسبي!$B$2:$B$1800,AF$1)</f>
        <v>0</v>
      </c>
      <c r="AG133" s="117" t="n">
        <f aca="false">SUMIFS(الريسبي!$C$2:$C$1800,الريسبي!$A$2:$A$1800,$A133,الريسبي!$B$2:$B$1800,AG$1)</f>
        <v>0</v>
      </c>
      <c r="AH133" s="117" t="n">
        <f aca="false">SUMIFS(الريسبي!$C$2:$C$1800,الريسبي!$A$2:$A$1800,$A133,الريسبي!$B$2:$B$1800,AH$1)</f>
        <v>0</v>
      </c>
      <c r="AI133" s="117" t="n">
        <f aca="false">SUMIFS(الريسبي!$C$2:$C$1800,الريسبي!$A$2:$A$1800,$A133,الريسبي!$B$2:$B$1800,AI$1)</f>
        <v>0</v>
      </c>
      <c r="AJ133" s="117" t="n">
        <f aca="false">SUMIFS(الريسبي!$C$2:$C$1800,الريسبي!$A$2:$A$1800,$A133,الريسبي!$B$2:$B$1800,AJ$1)</f>
        <v>0</v>
      </c>
      <c r="AK133" s="117" t="n">
        <f aca="false">SUMIFS(الريسبي!$C$2:$C$1800,الريسبي!$A$2:$A$1800,$A133,الريسبي!$B$2:$B$1800,AK$1)</f>
        <v>0</v>
      </c>
      <c r="AL133" s="117" t="n">
        <f aca="false">SUMIFS(الريسبي!$C$2:$C$1800,الريسبي!$A$2:$A$1800,$A133,الريسبي!$B$2:$B$1800,AL$1)</f>
        <v>0</v>
      </c>
      <c r="AM133" s="117" t="n">
        <f aca="false">SUMIFS(الريسبي!$C$2:$C$1800,الريسبي!$A$2:$A$1800,$A133,الريسبي!$B$2:$B$1800,AM$1)+0.08333333333*SUMIFS(الريسبي!$C$2:$C$1800,الريسبي!$A$2:$A$1800,$A133,الريسبي!$B$2:$B$1800,"عجين كريب (مصنع بالمطعم)")+0.08333333333*SUMIFS(الريسبي!$C$2:$C$1800,الريسبي!$A$2:$A$1800,$A133,الريسبي!$B$2:$B$1800,"عجين كريب صيامي (بدون لبن)")</f>
        <v>0</v>
      </c>
      <c r="AN133" s="117" t="n">
        <f aca="false">SUMIFS(الريسبي!$C$2:$C$1800,الريسبي!$A$2:$A$1800,$A133,الريسبي!$B$2:$B$1800,AN$1)+0.004166666667*SUMIFS(الريسبي!$C$2:$C$1800,الريسبي!$A$2:$A$1800,$A133,الريسبي!$B$2:$B$1800,"عجين كريب (مصنع بالمطعم)")+0.004166666667*SUMIFS(الريسبي!$C$2:$C$1800,الريسبي!$A$2:$A$1800,$A133,الريسبي!$B$2:$B$1800,"عجين كريب صيامي (بدون لبن)")</f>
        <v>0</v>
      </c>
      <c r="AO133" s="117" t="n">
        <f aca="false">SUMIFS(الريسبي!$C$2:$C$1800,الريسبي!$A$2:$A$1800,$A133,الريسبي!$B$2:$B$1800,AO$1)</f>
        <v>0</v>
      </c>
      <c r="AP133" s="117" t="n">
        <f aca="false">SUMIFS(الريسبي!$C$2:$C$1800,الريسبي!$A$2:$A$1800,$A133,الريسبي!$B$2:$B$1800,AP$1)</f>
        <v>0</v>
      </c>
      <c r="AQ133" s="117" t="n">
        <f aca="false">SUMIFS(الريسبي!$C$2:$C$1800,الريسبي!$A$2:$A$1800,$A133,الريسبي!$B$2:$B$1800,AQ$1)+0.004166666667*SUMIFS(الريسبي!$C$2:$C$1800,الريسبي!$A$2:$A$1800,$A133,الريسبي!$B$2:$B$1800,"عجين كريب (مصنع بالمطعم)")+0.004166666667*SUMIFS(الريسبي!$C$2:$C$1800,الريسبي!$A$2:$A$1800,$A133,الريسبي!$B$2:$B$1800,"عجين كريب صيامي (بدون لبن)")</f>
        <v>0</v>
      </c>
      <c r="AR133" s="117" t="n">
        <f aca="false">SUMIFS(الريسبي!$C$2:$C$1800,الريسبي!$A$2:$A$1800,$A133,الريسبي!$B$2:$B$1800,AR$1)</f>
        <v>0</v>
      </c>
      <c r="AS133" s="117" t="n">
        <f aca="false">SUMIFS(الريسبي!$C$2:$C$1800,الريسبي!$A$2:$A$1800,$A133,الريسبي!$B$2:$B$1800,AS$1)</f>
        <v>0</v>
      </c>
      <c r="AT133" s="117" t="n">
        <f aca="false">SUMIFS(الريسبي!$C$2:$C$1800,الريسبي!$A$2:$A$1800,$A133,الريسبي!$B$2:$B$1800,AT$1)</f>
        <v>0</v>
      </c>
      <c r="AU133" s="117" t="n">
        <f aca="false">SUMIFS(الريسبي!$C$2:$C$1800,الريسبي!$A$2:$A$1800,$A133,الريسبي!$B$2:$B$1800,AU$1)</f>
        <v>0</v>
      </c>
      <c r="AV133" s="117" t="n">
        <f aca="false">SUMIFS(الريسبي!$C$2:$C$1800,الريسبي!$A$2:$A$1800,$A133,الريسبي!$B$2:$B$1800,AV$1)</f>
        <v>0</v>
      </c>
      <c r="AW133" s="117" t="n">
        <f aca="false">SUMIFS(الريسبي!$C$2:$C$1800,الريسبي!$A$2:$A$1800,$A133,الريسبي!$B$2:$B$1800,AW$1)</f>
        <v>0</v>
      </c>
      <c r="AX133" s="117" t="n">
        <f aca="false">SUMIFS(الريسبي!$C$2:$C$1800,الريسبي!$A$2:$A$1800,$A133,الريسبي!$B$2:$B$1800,AX$1)</f>
        <v>0</v>
      </c>
      <c r="AY133" s="117" t="n">
        <f aca="false">SUMIFS(الريسبي!$C$2:$C$1800,الريسبي!$A$2:$A$1800,$A133,الريسبي!$B$2:$B$1800,AY$1)</f>
        <v>0</v>
      </c>
      <c r="AZ133" s="117" t="n">
        <f aca="false">SUMIFS(الريسبي!$C$2:$C$1800,الريسبي!$A$2:$A$1800,$A133,الريسبي!$B$2:$B$1800,AZ$1)</f>
        <v>0</v>
      </c>
      <c r="BA133" s="117" t="n">
        <f aca="false">SUMIFS(الريسبي!$C$2:$C$1800,الريسبي!$A$2:$A$1800,$A133,الريسبي!$B$2:$B$1800,BA$1)</f>
        <v>0</v>
      </c>
      <c r="BB133" s="117" t="n">
        <f aca="false">SUMIFS(الريسبي!$C$2:$C$1800,الريسبي!$A$2:$A$1800,$A133,الريسبي!$B$2:$B$1800,BB$1)</f>
        <v>0</v>
      </c>
      <c r="BC133" s="117" t="n">
        <f aca="false">SUMIFS(الريسبي!$C$2:$C$1800,الريسبي!$A$2:$A$1800,$A133,الريسبي!$B$2:$B$1800,BC$1)</f>
        <v>0</v>
      </c>
      <c r="BD133" s="117" t="n">
        <f aca="false">SUMIFS(الريسبي!$C$2:$C$1800,الريسبي!$A$2:$A$1800,$A133,الريسبي!$B$2:$B$1800,BD$1)</f>
        <v>0</v>
      </c>
      <c r="BE133" s="117" t="n">
        <f aca="false">SUMIFS(الريسبي!$C$2:$C$1800,الريسبي!$A$2:$A$1800,$A133,الريسبي!$B$2:$B$1800,BE$1)</f>
        <v>0</v>
      </c>
      <c r="BF133" s="117" t="n">
        <f aca="false">SUMIFS(الريسبي!$C$2:$C$1800,الريسبي!$A$2:$A$1800,$A133,الريسبي!$B$2:$B$1800,BF$1)</f>
        <v>0</v>
      </c>
      <c r="BG133" s="117" t="n">
        <f aca="false">SUMIFS(الريسبي!$C$2:$C$1800,الريسبي!$A$2:$A$1800,$A133,الريسبي!$B$2:$B$1800,BG$1)</f>
        <v>0</v>
      </c>
      <c r="BH133" s="117" t="n">
        <f aca="false">SUMIFS(الريسبي!$C$2:$C$1800,الريسبي!$A$2:$A$1800,$A133,الريسبي!$B$2:$B$1800,BH$1)</f>
        <v>0</v>
      </c>
      <c r="BI133" s="117" t="n">
        <f aca="false">SUMIFS(الريسبي!$C$2:$C$1800,الريسبي!$A$2:$A$1800,$A133,الريسبي!$B$2:$B$1800,BI$1)</f>
        <v>0</v>
      </c>
      <c r="BJ133" s="117" t="n">
        <f aca="false">SUMIFS(الريسبي!$C$2:$C$1800,الريسبي!$A$2:$A$1800,$A133,الريسبي!$B$2:$B$1800,BJ$1)</f>
        <v>0</v>
      </c>
      <c r="BK133" s="117" t="n">
        <f aca="false">SUMIFS(الريسبي!$C$2:$C$1800,الريسبي!$A$2:$A$1800,$A133,الريسبي!$B$2:$B$1800,BK$1)</f>
        <v>0</v>
      </c>
      <c r="BL133" s="117" t="n">
        <f aca="false">SUMIFS(الريسبي!$C$2:$C$1800,الريسبي!$A$2:$A$1800,$A133,الريسبي!$B$2:$B$1800,BL$1)</f>
        <v>0</v>
      </c>
      <c r="BM133" s="117" t="n">
        <f aca="false">SUMIFS(الريسبي!$C$2:$C$1800,الريسبي!$A$2:$A$1800,$A133,الريسبي!$B$2:$B$1800,BM$1)</f>
        <v>0</v>
      </c>
      <c r="BN133" s="117" t="n">
        <f aca="false">SUMIFS(الريسبي!$C$2:$C$1800,الريسبي!$A$2:$A$1800,$A133,الريسبي!$B$2:$B$1800,BN$1)</f>
        <v>0</v>
      </c>
      <c r="BO133" s="117" t="n">
        <f aca="false">SUMIFS(الريسبي!$C$2:$C$1800,الريسبي!$A$2:$A$1800,$A133,الريسبي!$B$2:$B$1800,BO$1)</f>
        <v>0</v>
      </c>
      <c r="BP133" s="117" t="n">
        <f aca="false">SUMIFS(الريسبي!$C$2:$C$1800,الريسبي!$A$2:$A$1800,$A133,الريسبي!$B$2:$B$1800,BP$1)</f>
        <v>0</v>
      </c>
      <c r="BQ133" s="117" t="n">
        <f aca="false">SUMIFS(الريسبي!$C$2:$C$1800,الريسبي!$A$2:$A$1800,$A133,الريسبي!$B$2:$B$1800,BQ$1)+0.17*SUMIFS(الريسبي!$C$2:$C$1800,الريسبي!$A$2:$A$1800,$A133,الريسبي!$B$2:$B$1800,"كاسترد مصنع (خليط بودر + لبن)")+0.17*SUMIFS(الريسبي!$C$2:$C$1800,الريسبي!$A$2:$A$1800,$A133,الريسبي!$B$2:$B$1800,"كاسترد مصنع صيامي (بدون لبن)")</f>
        <v>0</v>
      </c>
      <c r="BR133" s="117" t="n">
        <f aca="false">SUMIFS(الريسبي!$C$2:$C$1800,الريسبي!$A$2:$A$1800,$A133,الريسبي!$B$2:$B$1800,BR$1)</f>
        <v>0</v>
      </c>
      <c r="BS133" s="117" t="n">
        <f aca="false">SUMIFS(الريسبي!$C$2:$C$1800,الريسبي!$A$2:$A$1800,$A133,الريسبي!$B$2:$B$1800,BS$1)</f>
        <v>0</v>
      </c>
      <c r="BT133" s="117" t="n">
        <f aca="false">SUMIFS(الريسبي!$C$2:$C$1800,الريسبي!$A$2:$A$1800,$A133,الريسبي!$B$2:$B$1800,BT$1)</f>
        <v>0</v>
      </c>
      <c r="BU133" s="117" t="n">
        <f aca="false">SUMIFS(الريسبي!$C$2:$C$1800,الريسبي!$A$2:$A$1800,$A133,الريسبي!$B$2:$B$1800,BU$1)+0.4*SUMIFS(الريسبي!$C$2:$C$1800,الريسبي!$A$2:$A$1800,$A133,الريسبي!$B$2:$B$1800,"كاسترد مصنع (خليط بودر + لبن)")+0.03333333333*SUMIFS(الريسبي!$C$2:$C$1800,الريسبي!$A$2:$A$1800,$A133,الريسبي!$B$2:$B$1800,"عجين كريب (مصنع بالمطعم)")</f>
        <v>0</v>
      </c>
      <c r="BV133" s="117" t="n">
        <f aca="false">SUMIFS(الريسبي!$C$2:$C$1800,الريسبي!$A$2:$A$1800,$A133,الريسبي!$B$2:$B$1800,BV$1)</f>
        <v>0</v>
      </c>
      <c r="BW133" s="117" t="n">
        <f aca="false">SUMIFS(الريسبي!$C$2:$C$1800,الريسبي!$A$2:$A$1800,$A133,الريسبي!$B$2:$B$1800,BW$1)</f>
        <v>0</v>
      </c>
      <c r="BX133" s="117" t="n">
        <f aca="false">SUMIFS(الريسبي!$C$2:$C$1800,الريسبي!$A$2:$A$1800,$A133,الريسبي!$B$2:$B$1800,BX$1)</f>
        <v>0</v>
      </c>
      <c r="BY133" s="117" t="n">
        <f aca="false">SUMIFS(الريسبي!$C$2:$C$1800,الريسبي!$A$2:$A$1800,$A133,الريسبي!$B$2:$B$1800,BY$1)</f>
        <v>0</v>
      </c>
      <c r="BZ133" s="117" t="n">
        <f aca="false">SUMIFS(الريسبي!$C$2:$C$1800,الريسبي!$A$2:$A$1800,$A133,الريسبي!$B$2:$B$1800,BZ$1)</f>
        <v>0</v>
      </c>
      <c r="CA133" s="117" t="n">
        <f aca="false">SUMIFS(الريسبي!$C$2:$C$1800,الريسبي!$A$2:$A$1800,$A133,الريسبي!$B$2:$B$1800,CA$1)</f>
        <v>0</v>
      </c>
      <c r="CB133" s="117" t="n">
        <f aca="false">SUMIFS(الريسبي!$C$2:$C$1800,الريسبي!$A$2:$A$1800,$A133,الريسبي!$B$2:$B$1800,CB$1)</f>
        <v>0</v>
      </c>
      <c r="CC133" s="117" t="n">
        <f aca="false">SUMIFS(الريسبي!$C$2:$C$1800,الريسبي!$A$2:$A$1800,$A133,الريسبي!$B$2:$B$1800,CC$1)</f>
        <v>0</v>
      </c>
      <c r="CD133" s="117" t="n">
        <f aca="false">SUMIFS(الريسبي!$C$2:$C$1800,الريسبي!$A$2:$A$1800,$A133,الريسبي!$B$2:$B$1800,CD$1)</f>
        <v>0</v>
      </c>
      <c r="CE133" s="117" t="n">
        <f aca="false">SUMIFS(الريسبي!$C$2:$C$1800,الريسبي!$A$2:$A$1800,$A133,الريسبي!$B$2:$B$1800,CE$1)</f>
        <v>0</v>
      </c>
      <c r="CF133" s="117" t="n">
        <f aca="false">SUMIFS(الريسبي!$C$2:$C$1800,الريسبي!$A$2:$A$1800,$A133,الريسبي!$B$2:$B$1800,CF$1)</f>
        <v>0</v>
      </c>
      <c r="CG133" s="117" t="n">
        <f aca="false">SUMIFS(الريسبي!$C$2:$C$1800,الريسبي!$A$2:$A$1800,$A133,الريسبي!$B$2:$B$1800,CG$1)</f>
        <v>0</v>
      </c>
      <c r="CH133" s="117" t="n">
        <f aca="false">SUMIFS(الريسبي!$C$2:$C$1800,الريسبي!$A$2:$A$1800,$A133,الريسبي!$B$2:$B$1800,CH$1)</f>
        <v>0</v>
      </c>
      <c r="CI133" s="117" t="n">
        <f aca="false">SUMIFS(الريسبي!$C$2:$C$1800,الريسبي!$A$2:$A$1800,$A133,الريسبي!$B$2:$B$1800,CI$1)</f>
        <v>0</v>
      </c>
      <c r="CJ133" s="117" t="n">
        <f aca="false">SUMIFS(الريسبي!$C$2:$C$1800,الريسبي!$A$2:$A$1800,$A133,الريسبي!$B$2:$B$1800,CJ$1)</f>
        <v>0</v>
      </c>
      <c r="CK133" s="117" t="n">
        <f aca="false">SUMIFS(الريسبي!$C$2:$C$1800,الريسبي!$A$2:$A$1800,$A133,الريسبي!$B$2:$B$1800,CK$1)</f>
        <v>0</v>
      </c>
      <c r="CL133" s="117" t="n">
        <f aca="false">SUMIFS(الريسبي!$C$2:$C$1800,الريسبي!$A$2:$A$1800,$A133,الريسبي!$B$2:$B$1800,CL$1)</f>
        <v>0</v>
      </c>
    </row>
    <row r="134" customFormat="false" ht="15" hidden="false" customHeight="false" outlineLevel="0" collapsed="false">
      <c r="A134" s="116" t="str">
        <f aca="false">المنيو!B134</f>
        <v>اضافة جبنة موتزريلا (بيتزا كبير)</v>
      </c>
      <c r="B134" s="117" t="n">
        <f aca="false">SUMIFS(الريسبي!$C$2:$C$1800,الريسبي!$A$2:$A$1800,$A134,الريسبي!$B$2:$B$1800,B$1)</f>
        <v>0</v>
      </c>
      <c r="C134" s="117" t="n">
        <f aca="false">SUMIFS(الريسبي!$C$2:$C$1800,الريسبي!$A$2:$A$1800,$A134,الريسبي!$B$2:$B$1800,C$1)</f>
        <v>0</v>
      </c>
      <c r="D134" s="117" t="n">
        <f aca="false">SUMIFS(الريسبي!$C$2:$C$1800,الريسبي!$A$2:$A$1800,$A134,الريسبي!$B$2:$B$1800,D$1)</f>
        <v>0</v>
      </c>
      <c r="E134" s="117" t="n">
        <f aca="false">SUMIFS(الريسبي!$C$2:$C$1800,الريسبي!$A$2:$A$1800,$A134,الريسبي!$B$2:$B$1800,E$1)</f>
        <v>0</v>
      </c>
      <c r="F134" s="117" t="n">
        <f aca="false">SUMIFS(الريسبي!$C$2:$C$1800,الريسبي!$A$2:$A$1800,$A134,الريسبي!$B$2:$B$1800,F$1)</f>
        <v>0</v>
      </c>
      <c r="G134" s="117" t="n">
        <f aca="false">SUMIFS(الريسبي!$C$2:$C$1800,الريسبي!$A$2:$A$1800,$A134,الريسبي!$B$2:$B$1800,G$1)</f>
        <v>0</v>
      </c>
      <c r="H134" s="117" t="n">
        <f aca="false">SUMIFS(الريسبي!$C$2:$C$1800,الريسبي!$A$2:$A$1800,$A134,الريسبي!$B$2:$B$1800,H$1)</f>
        <v>0</v>
      </c>
      <c r="I134" s="117" t="n">
        <f aca="false">SUMIFS(الريسبي!$C$2:$C$1800,الريسبي!$A$2:$A$1800,$A134,الريسبي!$B$2:$B$1800,I$1)</f>
        <v>0</v>
      </c>
      <c r="J134" s="117" t="n">
        <f aca="false">SUMIFS(الريسبي!$C$2:$C$1800,الريسبي!$A$2:$A$1800,$A134,الريسبي!$B$2:$B$1800,J$1)</f>
        <v>0</v>
      </c>
      <c r="K134" s="117" t="n">
        <f aca="false">SUMIFS(الريسبي!$C$2:$C$1800,الريسبي!$A$2:$A$1800,$A134,الريسبي!$B$2:$B$1800,K$1)</f>
        <v>0</v>
      </c>
      <c r="L134" s="117" t="n">
        <f aca="false">SUMIFS(الريسبي!$C$2:$C$1800,الريسبي!$A$2:$A$1800,$A134,الريسبي!$B$2:$B$1800,L$1)</f>
        <v>0</v>
      </c>
      <c r="M134" s="117" t="n">
        <f aca="false">SUMIFS(الريسبي!$C$2:$C$1800,الريسبي!$A$2:$A$1800,$A134,الريسبي!$B$2:$B$1800,M$1)</f>
        <v>0</v>
      </c>
      <c r="N134" s="117" t="n">
        <f aca="false">SUMIFS(الريسبي!$C$2:$C$1800,الريسبي!$A$2:$A$1800,$A134,الريسبي!$B$2:$B$1800,N$1)</f>
        <v>0</v>
      </c>
      <c r="O134" s="117" t="n">
        <f aca="false">SUMIFS(الريسبي!$C$2:$C$1800,الريسبي!$A$2:$A$1800,$A134,الريسبي!$B$2:$B$1800,O$1)</f>
        <v>0</v>
      </c>
      <c r="P134" s="117" t="n">
        <f aca="false">SUMIFS(الريسبي!$C$2:$C$1800,الريسبي!$A$2:$A$1800,$A134,الريسبي!$B$2:$B$1800,P$1)</f>
        <v>0</v>
      </c>
      <c r="Q134" s="117" t="n">
        <f aca="false">SUMIFS(الريسبي!$C$2:$C$1800,الريسبي!$A$2:$A$1800,$A134,الريسبي!$B$2:$B$1800,Q$1)</f>
        <v>0</v>
      </c>
      <c r="R134" s="117" t="n">
        <f aca="false">SUMIFS(الريسبي!$C$2:$C$1800,الريسبي!$A$2:$A$1800,$A134,الريسبي!$B$2:$B$1800,R$1)</f>
        <v>0</v>
      </c>
      <c r="S134" s="117" t="n">
        <f aca="false">SUMIFS(الريسبي!$C$2:$C$1800,الريسبي!$A$2:$A$1800,$A134,الريسبي!$B$2:$B$1800,S$1)</f>
        <v>0</v>
      </c>
      <c r="T134" s="117" t="n">
        <f aca="false">SUMIFS(الريسبي!$C$2:$C$1800,الريسبي!$A$2:$A$1800,$A134,الريسبي!$B$2:$B$1800,T$1)</f>
        <v>0</v>
      </c>
      <c r="U134" s="117" t="n">
        <f aca="false">SUMIFS(الريسبي!$C$2:$C$1800,الريسبي!$A$2:$A$1800,$A134,الريسبي!$B$2:$B$1800,U$1)</f>
        <v>0</v>
      </c>
      <c r="V134" s="117" t="n">
        <f aca="false">SUMIFS(الريسبي!$C$2:$C$1800,الريسبي!$A$2:$A$1800,$A134,الريسبي!$B$2:$B$1800,V$1)</f>
        <v>0</v>
      </c>
      <c r="W134" s="117" t="n">
        <f aca="false">SUMIFS(الريسبي!$C$2:$C$1800,الريسبي!$A$2:$A$1800,$A134,الريسبي!$B$2:$B$1800,W$1)</f>
        <v>1</v>
      </c>
      <c r="X134" s="117" t="n">
        <f aca="false">SUMIFS(الريسبي!$C$2:$C$1800,الريسبي!$A$2:$A$1800,$A134,الريسبي!$B$2:$B$1800,X$1)</f>
        <v>0</v>
      </c>
      <c r="Y134" s="117" t="n">
        <f aca="false">SUMIFS(الريسبي!$C$2:$C$1800,الريسبي!$A$2:$A$1800,$A134,الريسبي!$B$2:$B$1800,Y$1)</f>
        <v>0</v>
      </c>
      <c r="Z134" s="117" t="n">
        <f aca="false">SUMIFS(الريسبي!$C$2:$C$1800,الريسبي!$A$2:$A$1800,$A134,الريسبي!$B$2:$B$1800,Z$1)</f>
        <v>0</v>
      </c>
      <c r="AA134" s="117" t="n">
        <f aca="false">SUMIFS(الريسبي!$C$2:$C$1800,الريسبي!$A$2:$A$1800,$A134,الريسبي!$B$2:$B$1800,AA$1)</f>
        <v>0</v>
      </c>
      <c r="AB134" s="117" t="n">
        <f aca="false">SUMIFS(الريسبي!$C$2:$C$1800,الريسبي!$A$2:$A$1800,$A134,الريسبي!$B$2:$B$1800,AB$1)</f>
        <v>0</v>
      </c>
      <c r="AC134" s="117" t="n">
        <f aca="false">SUMIFS(الريسبي!$C$2:$C$1800,الريسبي!$A$2:$A$1800,$A134,الريسبي!$B$2:$B$1800,AC$1)</f>
        <v>0</v>
      </c>
      <c r="AD134" s="117" t="n">
        <f aca="false">SUMIFS(الريسبي!$C$2:$C$1800,الريسبي!$A$2:$A$1800,$A134,الريسبي!$B$2:$B$1800,AD$1)</f>
        <v>0</v>
      </c>
      <c r="AE134" s="117" t="n">
        <f aca="false">SUMIFS(الريسبي!$C$2:$C$1800,الريسبي!$A$2:$A$1800,$A134,الريسبي!$B$2:$B$1800,AE$1)</f>
        <v>0</v>
      </c>
      <c r="AF134" s="117" t="n">
        <f aca="false">SUMIFS(الريسبي!$C$2:$C$1800,الريسبي!$A$2:$A$1800,$A134,الريسبي!$B$2:$B$1800,AF$1)</f>
        <v>0</v>
      </c>
      <c r="AG134" s="117" t="n">
        <f aca="false">SUMIFS(الريسبي!$C$2:$C$1800,الريسبي!$A$2:$A$1800,$A134,الريسبي!$B$2:$B$1800,AG$1)</f>
        <v>0</v>
      </c>
      <c r="AH134" s="117" t="n">
        <f aca="false">SUMIFS(الريسبي!$C$2:$C$1800,الريسبي!$A$2:$A$1800,$A134,الريسبي!$B$2:$B$1800,AH$1)</f>
        <v>0</v>
      </c>
      <c r="AI134" s="117" t="n">
        <f aca="false">SUMIFS(الريسبي!$C$2:$C$1800,الريسبي!$A$2:$A$1800,$A134,الريسبي!$B$2:$B$1800,AI$1)</f>
        <v>0</v>
      </c>
      <c r="AJ134" s="117" t="n">
        <f aca="false">SUMIFS(الريسبي!$C$2:$C$1800,الريسبي!$A$2:$A$1800,$A134,الريسبي!$B$2:$B$1800,AJ$1)</f>
        <v>0</v>
      </c>
      <c r="AK134" s="117" t="n">
        <f aca="false">SUMIFS(الريسبي!$C$2:$C$1800,الريسبي!$A$2:$A$1800,$A134,الريسبي!$B$2:$B$1800,AK$1)</f>
        <v>0</v>
      </c>
      <c r="AL134" s="117" t="n">
        <f aca="false">SUMIFS(الريسبي!$C$2:$C$1800,الريسبي!$A$2:$A$1800,$A134,الريسبي!$B$2:$B$1800,AL$1)</f>
        <v>0</v>
      </c>
      <c r="AM134" s="117" t="n">
        <f aca="false">SUMIFS(الريسبي!$C$2:$C$1800,الريسبي!$A$2:$A$1800,$A134,الريسبي!$B$2:$B$1800,AM$1)+0.08333333333*SUMIFS(الريسبي!$C$2:$C$1800,الريسبي!$A$2:$A$1800,$A134,الريسبي!$B$2:$B$1800,"عجين كريب (مصنع بالمطعم)")+0.08333333333*SUMIFS(الريسبي!$C$2:$C$1800,الريسبي!$A$2:$A$1800,$A134,الريسبي!$B$2:$B$1800,"عجين كريب صيامي (بدون لبن)")</f>
        <v>0</v>
      </c>
      <c r="AN134" s="117" t="n">
        <f aca="false">SUMIFS(الريسبي!$C$2:$C$1800,الريسبي!$A$2:$A$1800,$A134,الريسبي!$B$2:$B$1800,AN$1)+0.004166666667*SUMIFS(الريسبي!$C$2:$C$1800,الريسبي!$A$2:$A$1800,$A134,الريسبي!$B$2:$B$1800,"عجين كريب (مصنع بالمطعم)")+0.004166666667*SUMIFS(الريسبي!$C$2:$C$1800,الريسبي!$A$2:$A$1800,$A134,الريسبي!$B$2:$B$1800,"عجين كريب صيامي (بدون لبن)")</f>
        <v>0</v>
      </c>
      <c r="AO134" s="117" t="n">
        <f aca="false">SUMIFS(الريسبي!$C$2:$C$1800,الريسبي!$A$2:$A$1800,$A134,الريسبي!$B$2:$B$1800,AO$1)</f>
        <v>0</v>
      </c>
      <c r="AP134" s="117" t="n">
        <f aca="false">SUMIFS(الريسبي!$C$2:$C$1800,الريسبي!$A$2:$A$1800,$A134,الريسبي!$B$2:$B$1800,AP$1)</f>
        <v>0</v>
      </c>
      <c r="AQ134" s="117" t="n">
        <f aca="false">SUMIFS(الريسبي!$C$2:$C$1800,الريسبي!$A$2:$A$1800,$A134,الريسبي!$B$2:$B$1800,AQ$1)+0.004166666667*SUMIFS(الريسبي!$C$2:$C$1800,الريسبي!$A$2:$A$1800,$A134,الريسبي!$B$2:$B$1800,"عجين كريب (مصنع بالمطعم)")+0.004166666667*SUMIFS(الريسبي!$C$2:$C$1800,الريسبي!$A$2:$A$1800,$A134,الريسبي!$B$2:$B$1800,"عجين كريب صيامي (بدون لبن)")</f>
        <v>0</v>
      </c>
      <c r="AR134" s="117" t="n">
        <f aca="false">SUMIFS(الريسبي!$C$2:$C$1800,الريسبي!$A$2:$A$1800,$A134,الريسبي!$B$2:$B$1800,AR$1)</f>
        <v>0</v>
      </c>
      <c r="AS134" s="117" t="n">
        <f aca="false">SUMIFS(الريسبي!$C$2:$C$1800,الريسبي!$A$2:$A$1800,$A134,الريسبي!$B$2:$B$1800,AS$1)</f>
        <v>0</v>
      </c>
      <c r="AT134" s="117" t="n">
        <f aca="false">SUMIFS(الريسبي!$C$2:$C$1800,الريسبي!$A$2:$A$1800,$A134,الريسبي!$B$2:$B$1800,AT$1)</f>
        <v>0</v>
      </c>
      <c r="AU134" s="117" t="n">
        <f aca="false">SUMIFS(الريسبي!$C$2:$C$1800,الريسبي!$A$2:$A$1800,$A134,الريسبي!$B$2:$B$1800,AU$1)</f>
        <v>0</v>
      </c>
      <c r="AV134" s="117" t="n">
        <f aca="false">SUMIFS(الريسبي!$C$2:$C$1800,الريسبي!$A$2:$A$1800,$A134,الريسبي!$B$2:$B$1800,AV$1)</f>
        <v>0</v>
      </c>
      <c r="AW134" s="117" t="n">
        <f aca="false">SUMIFS(الريسبي!$C$2:$C$1800,الريسبي!$A$2:$A$1800,$A134,الريسبي!$B$2:$B$1800,AW$1)</f>
        <v>0</v>
      </c>
      <c r="AX134" s="117" t="n">
        <f aca="false">SUMIFS(الريسبي!$C$2:$C$1800,الريسبي!$A$2:$A$1800,$A134,الريسبي!$B$2:$B$1800,AX$1)</f>
        <v>0</v>
      </c>
      <c r="AY134" s="117" t="n">
        <f aca="false">SUMIFS(الريسبي!$C$2:$C$1800,الريسبي!$A$2:$A$1800,$A134,الريسبي!$B$2:$B$1800,AY$1)</f>
        <v>0</v>
      </c>
      <c r="AZ134" s="117" t="n">
        <f aca="false">SUMIFS(الريسبي!$C$2:$C$1800,الريسبي!$A$2:$A$1800,$A134,الريسبي!$B$2:$B$1800,AZ$1)</f>
        <v>0</v>
      </c>
      <c r="BA134" s="117" t="n">
        <f aca="false">SUMIFS(الريسبي!$C$2:$C$1800,الريسبي!$A$2:$A$1800,$A134,الريسبي!$B$2:$B$1800,BA$1)</f>
        <v>0</v>
      </c>
      <c r="BB134" s="117" t="n">
        <f aca="false">SUMIFS(الريسبي!$C$2:$C$1800,الريسبي!$A$2:$A$1800,$A134,الريسبي!$B$2:$B$1800,BB$1)</f>
        <v>0</v>
      </c>
      <c r="BC134" s="117" t="n">
        <f aca="false">SUMIFS(الريسبي!$C$2:$C$1800,الريسبي!$A$2:$A$1800,$A134,الريسبي!$B$2:$B$1800,BC$1)</f>
        <v>0</v>
      </c>
      <c r="BD134" s="117" t="n">
        <f aca="false">SUMIFS(الريسبي!$C$2:$C$1800,الريسبي!$A$2:$A$1800,$A134,الريسبي!$B$2:$B$1800,BD$1)</f>
        <v>0</v>
      </c>
      <c r="BE134" s="117" t="n">
        <f aca="false">SUMIFS(الريسبي!$C$2:$C$1800,الريسبي!$A$2:$A$1800,$A134,الريسبي!$B$2:$B$1800,BE$1)</f>
        <v>0</v>
      </c>
      <c r="BF134" s="117" t="n">
        <f aca="false">SUMIFS(الريسبي!$C$2:$C$1800,الريسبي!$A$2:$A$1800,$A134,الريسبي!$B$2:$B$1800,BF$1)</f>
        <v>0</v>
      </c>
      <c r="BG134" s="117" t="n">
        <f aca="false">SUMIFS(الريسبي!$C$2:$C$1800,الريسبي!$A$2:$A$1800,$A134,الريسبي!$B$2:$B$1800,BG$1)</f>
        <v>0</v>
      </c>
      <c r="BH134" s="117" t="n">
        <f aca="false">SUMIFS(الريسبي!$C$2:$C$1800,الريسبي!$A$2:$A$1800,$A134,الريسبي!$B$2:$B$1800,BH$1)</f>
        <v>0</v>
      </c>
      <c r="BI134" s="117" t="n">
        <f aca="false">SUMIFS(الريسبي!$C$2:$C$1800,الريسبي!$A$2:$A$1800,$A134,الريسبي!$B$2:$B$1800,BI$1)</f>
        <v>0</v>
      </c>
      <c r="BJ134" s="117" t="n">
        <f aca="false">SUMIFS(الريسبي!$C$2:$C$1800,الريسبي!$A$2:$A$1800,$A134,الريسبي!$B$2:$B$1800,BJ$1)</f>
        <v>0</v>
      </c>
      <c r="BK134" s="117" t="n">
        <f aca="false">SUMIFS(الريسبي!$C$2:$C$1800,الريسبي!$A$2:$A$1800,$A134,الريسبي!$B$2:$B$1800,BK$1)</f>
        <v>0</v>
      </c>
      <c r="BL134" s="117" t="n">
        <f aca="false">SUMIFS(الريسبي!$C$2:$C$1800,الريسبي!$A$2:$A$1800,$A134,الريسبي!$B$2:$B$1800,BL$1)</f>
        <v>0</v>
      </c>
      <c r="BM134" s="117" t="n">
        <f aca="false">SUMIFS(الريسبي!$C$2:$C$1800,الريسبي!$A$2:$A$1800,$A134,الريسبي!$B$2:$B$1800,BM$1)</f>
        <v>0</v>
      </c>
      <c r="BN134" s="117" t="n">
        <f aca="false">SUMIFS(الريسبي!$C$2:$C$1800,الريسبي!$A$2:$A$1800,$A134,الريسبي!$B$2:$B$1800,BN$1)</f>
        <v>0</v>
      </c>
      <c r="BO134" s="117" t="n">
        <f aca="false">SUMIFS(الريسبي!$C$2:$C$1800,الريسبي!$A$2:$A$1800,$A134,الريسبي!$B$2:$B$1800,BO$1)</f>
        <v>0</v>
      </c>
      <c r="BP134" s="117" t="n">
        <f aca="false">SUMIFS(الريسبي!$C$2:$C$1800,الريسبي!$A$2:$A$1800,$A134,الريسبي!$B$2:$B$1800,BP$1)</f>
        <v>0</v>
      </c>
      <c r="BQ134" s="117" t="n">
        <f aca="false">SUMIFS(الريسبي!$C$2:$C$1800,الريسبي!$A$2:$A$1800,$A134,الريسبي!$B$2:$B$1800,BQ$1)+0.17*SUMIFS(الريسبي!$C$2:$C$1800,الريسبي!$A$2:$A$1800,$A134,الريسبي!$B$2:$B$1800,"كاسترد مصنع (خليط بودر + لبن)")+0.17*SUMIFS(الريسبي!$C$2:$C$1800,الريسبي!$A$2:$A$1800,$A134,الريسبي!$B$2:$B$1800,"كاسترد مصنع صيامي (بدون لبن)")</f>
        <v>0</v>
      </c>
      <c r="BR134" s="117" t="n">
        <f aca="false">SUMIFS(الريسبي!$C$2:$C$1800,الريسبي!$A$2:$A$1800,$A134,الريسبي!$B$2:$B$1800,BR$1)</f>
        <v>0</v>
      </c>
      <c r="BS134" s="117" t="n">
        <f aca="false">SUMIFS(الريسبي!$C$2:$C$1800,الريسبي!$A$2:$A$1800,$A134,الريسبي!$B$2:$B$1800,BS$1)</f>
        <v>0</v>
      </c>
      <c r="BT134" s="117" t="n">
        <f aca="false">SUMIFS(الريسبي!$C$2:$C$1800,الريسبي!$A$2:$A$1800,$A134,الريسبي!$B$2:$B$1800,BT$1)</f>
        <v>0</v>
      </c>
      <c r="BU134" s="117" t="n">
        <f aca="false">SUMIFS(الريسبي!$C$2:$C$1800,الريسبي!$A$2:$A$1800,$A134,الريسبي!$B$2:$B$1800,BU$1)+0.4*SUMIFS(الريسبي!$C$2:$C$1800,الريسبي!$A$2:$A$1800,$A134,الريسبي!$B$2:$B$1800,"كاسترد مصنع (خليط بودر + لبن)")+0.03333333333*SUMIFS(الريسبي!$C$2:$C$1800,الريسبي!$A$2:$A$1800,$A134,الريسبي!$B$2:$B$1800,"عجين كريب (مصنع بالمطعم)")</f>
        <v>0</v>
      </c>
      <c r="BV134" s="117" t="n">
        <f aca="false">SUMIFS(الريسبي!$C$2:$C$1800,الريسبي!$A$2:$A$1800,$A134,الريسبي!$B$2:$B$1800,BV$1)</f>
        <v>0</v>
      </c>
      <c r="BW134" s="117" t="n">
        <f aca="false">SUMIFS(الريسبي!$C$2:$C$1800,الريسبي!$A$2:$A$1800,$A134,الريسبي!$B$2:$B$1800,BW$1)</f>
        <v>0</v>
      </c>
      <c r="BX134" s="117" t="n">
        <f aca="false">SUMIFS(الريسبي!$C$2:$C$1800,الريسبي!$A$2:$A$1800,$A134,الريسبي!$B$2:$B$1800,BX$1)</f>
        <v>0</v>
      </c>
      <c r="BY134" s="117" t="n">
        <f aca="false">SUMIFS(الريسبي!$C$2:$C$1800,الريسبي!$A$2:$A$1800,$A134,الريسبي!$B$2:$B$1800,BY$1)</f>
        <v>0</v>
      </c>
      <c r="BZ134" s="117" t="n">
        <f aca="false">SUMIFS(الريسبي!$C$2:$C$1800,الريسبي!$A$2:$A$1800,$A134,الريسبي!$B$2:$B$1800,BZ$1)</f>
        <v>0</v>
      </c>
      <c r="CA134" s="117" t="n">
        <f aca="false">SUMIFS(الريسبي!$C$2:$C$1800,الريسبي!$A$2:$A$1800,$A134,الريسبي!$B$2:$B$1800,CA$1)</f>
        <v>0</v>
      </c>
      <c r="CB134" s="117" t="n">
        <f aca="false">SUMIFS(الريسبي!$C$2:$C$1800,الريسبي!$A$2:$A$1800,$A134,الريسبي!$B$2:$B$1800,CB$1)</f>
        <v>0</v>
      </c>
      <c r="CC134" s="117" t="n">
        <f aca="false">SUMIFS(الريسبي!$C$2:$C$1800,الريسبي!$A$2:$A$1800,$A134,الريسبي!$B$2:$B$1800,CC$1)</f>
        <v>0</v>
      </c>
      <c r="CD134" s="117" t="n">
        <f aca="false">SUMIFS(الريسبي!$C$2:$C$1800,الريسبي!$A$2:$A$1800,$A134,الريسبي!$B$2:$B$1800,CD$1)</f>
        <v>0</v>
      </c>
      <c r="CE134" s="117" t="n">
        <f aca="false">SUMIFS(الريسبي!$C$2:$C$1800,الريسبي!$A$2:$A$1800,$A134,الريسبي!$B$2:$B$1800,CE$1)</f>
        <v>0</v>
      </c>
      <c r="CF134" s="117" t="n">
        <f aca="false">SUMIFS(الريسبي!$C$2:$C$1800,الريسبي!$A$2:$A$1800,$A134,الريسبي!$B$2:$B$1800,CF$1)</f>
        <v>0</v>
      </c>
      <c r="CG134" s="117" t="n">
        <f aca="false">SUMIFS(الريسبي!$C$2:$C$1800,الريسبي!$A$2:$A$1800,$A134,الريسبي!$B$2:$B$1800,CG$1)</f>
        <v>0</v>
      </c>
      <c r="CH134" s="117" t="n">
        <f aca="false">SUMIFS(الريسبي!$C$2:$C$1800,الريسبي!$A$2:$A$1800,$A134,الريسبي!$B$2:$B$1800,CH$1)</f>
        <v>0</v>
      </c>
      <c r="CI134" s="117" t="n">
        <f aca="false">SUMIFS(الريسبي!$C$2:$C$1800,الريسبي!$A$2:$A$1800,$A134,الريسبي!$B$2:$B$1800,CI$1)</f>
        <v>0</v>
      </c>
      <c r="CJ134" s="117" t="n">
        <f aca="false">SUMIFS(الريسبي!$C$2:$C$1800,الريسبي!$A$2:$A$1800,$A134,الريسبي!$B$2:$B$1800,CJ$1)</f>
        <v>0</v>
      </c>
      <c r="CK134" s="117" t="n">
        <f aca="false">SUMIFS(الريسبي!$C$2:$C$1800,الريسبي!$A$2:$A$1800,$A134,الريسبي!$B$2:$B$1800,CK$1)</f>
        <v>0</v>
      </c>
      <c r="CL134" s="117" t="n">
        <f aca="false">SUMIFS(الريسبي!$C$2:$C$1800,الريسبي!$A$2:$A$1800,$A134,الريسبي!$B$2:$B$1800,CL$1)</f>
        <v>0</v>
      </c>
    </row>
    <row r="135" customFormat="false" ht="15" hidden="false" customHeight="false" outlineLevel="0" collapsed="false">
      <c r="A135" s="116" t="str">
        <f aca="false">المنيو!B135</f>
        <v>اضافة جبنة رومي (بيتزا وسط)</v>
      </c>
      <c r="B135" s="117" t="n">
        <f aca="false">SUMIFS(الريسبي!$C$2:$C$1800,الريسبي!$A$2:$A$1800,$A135,الريسبي!$B$2:$B$1800,B$1)</f>
        <v>0</v>
      </c>
      <c r="C135" s="117" t="n">
        <f aca="false">SUMIFS(الريسبي!$C$2:$C$1800,الريسبي!$A$2:$A$1800,$A135,الريسبي!$B$2:$B$1800,C$1)</f>
        <v>0</v>
      </c>
      <c r="D135" s="117" t="n">
        <f aca="false">SUMIFS(الريسبي!$C$2:$C$1800,الريسبي!$A$2:$A$1800,$A135,الريسبي!$B$2:$B$1800,D$1)</f>
        <v>0</v>
      </c>
      <c r="E135" s="117" t="n">
        <f aca="false">SUMIFS(الريسبي!$C$2:$C$1800,الريسبي!$A$2:$A$1800,$A135,الريسبي!$B$2:$B$1800,E$1)</f>
        <v>0</v>
      </c>
      <c r="F135" s="117" t="n">
        <f aca="false">SUMIFS(الريسبي!$C$2:$C$1800,الريسبي!$A$2:$A$1800,$A135,الريسبي!$B$2:$B$1800,F$1)</f>
        <v>0</v>
      </c>
      <c r="G135" s="117" t="n">
        <f aca="false">SUMIFS(الريسبي!$C$2:$C$1800,الريسبي!$A$2:$A$1800,$A135,الريسبي!$B$2:$B$1800,G$1)</f>
        <v>0</v>
      </c>
      <c r="H135" s="117" t="n">
        <f aca="false">SUMIFS(الريسبي!$C$2:$C$1800,الريسبي!$A$2:$A$1800,$A135,الريسبي!$B$2:$B$1800,H$1)</f>
        <v>0</v>
      </c>
      <c r="I135" s="117" t="n">
        <f aca="false">SUMIFS(الريسبي!$C$2:$C$1800,الريسبي!$A$2:$A$1800,$A135,الريسبي!$B$2:$B$1800,I$1)</f>
        <v>0</v>
      </c>
      <c r="J135" s="117" t="n">
        <f aca="false">SUMIFS(الريسبي!$C$2:$C$1800,الريسبي!$A$2:$A$1800,$A135,الريسبي!$B$2:$B$1800,J$1)</f>
        <v>1</v>
      </c>
      <c r="K135" s="117" t="n">
        <f aca="false">SUMIFS(الريسبي!$C$2:$C$1800,الريسبي!$A$2:$A$1800,$A135,الريسبي!$B$2:$B$1800,K$1)</f>
        <v>0</v>
      </c>
      <c r="L135" s="117" t="n">
        <f aca="false">SUMIFS(الريسبي!$C$2:$C$1800,الريسبي!$A$2:$A$1800,$A135,الريسبي!$B$2:$B$1800,L$1)</f>
        <v>0</v>
      </c>
      <c r="M135" s="117" t="n">
        <f aca="false">SUMIFS(الريسبي!$C$2:$C$1800,الريسبي!$A$2:$A$1800,$A135,الريسبي!$B$2:$B$1800,M$1)</f>
        <v>0</v>
      </c>
      <c r="N135" s="117" t="n">
        <f aca="false">SUMIFS(الريسبي!$C$2:$C$1800,الريسبي!$A$2:$A$1800,$A135,الريسبي!$B$2:$B$1800,N$1)</f>
        <v>0</v>
      </c>
      <c r="O135" s="117" t="n">
        <f aca="false">SUMIFS(الريسبي!$C$2:$C$1800,الريسبي!$A$2:$A$1800,$A135,الريسبي!$B$2:$B$1800,O$1)</f>
        <v>0</v>
      </c>
      <c r="P135" s="117" t="n">
        <f aca="false">SUMIFS(الريسبي!$C$2:$C$1800,الريسبي!$A$2:$A$1800,$A135,الريسبي!$B$2:$B$1800,P$1)</f>
        <v>0</v>
      </c>
      <c r="Q135" s="117" t="n">
        <f aca="false">SUMIFS(الريسبي!$C$2:$C$1800,الريسبي!$A$2:$A$1800,$A135,الريسبي!$B$2:$B$1800,Q$1)</f>
        <v>0</v>
      </c>
      <c r="R135" s="117" t="n">
        <f aca="false">SUMIFS(الريسبي!$C$2:$C$1800,الريسبي!$A$2:$A$1800,$A135,الريسبي!$B$2:$B$1800,R$1)</f>
        <v>0</v>
      </c>
      <c r="S135" s="117" t="n">
        <f aca="false">SUMIFS(الريسبي!$C$2:$C$1800,الريسبي!$A$2:$A$1800,$A135,الريسبي!$B$2:$B$1800,S$1)</f>
        <v>0</v>
      </c>
      <c r="T135" s="117" t="n">
        <f aca="false">SUMIFS(الريسبي!$C$2:$C$1800,الريسبي!$A$2:$A$1800,$A135,الريسبي!$B$2:$B$1800,T$1)</f>
        <v>0</v>
      </c>
      <c r="U135" s="117" t="n">
        <f aca="false">SUMIFS(الريسبي!$C$2:$C$1800,الريسبي!$A$2:$A$1800,$A135,الريسبي!$B$2:$B$1800,U$1)</f>
        <v>0</v>
      </c>
      <c r="V135" s="117" t="n">
        <f aca="false">SUMIFS(الريسبي!$C$2:$C$1800,الريسبي!$A$2:$A$1800,$A135,الريسبي!$B$2:$B$1800,V$1)</f>
        <v>0</v>
      </c>
      <c r="W135" s="117" t="n">
        <f aca="false">SUMIFS(الريسبي!$C$2:$C$1800,الريسبي!$A$2:$A$1800,$A135,الريسبي!$B$2:$B$1800,W$1)</f>
        <v>0</v>
      </c>
      <c r="X135" s="117" t="n">
        <f aca="false">SUMIFS(الريسبي!$C$2:$C$1800,الريسبي!$A$2:$A$1800,$A135,الريسبي!$B$2:$B$1800,X$1)</f>
        <v>0</v>
      </c>
      <c r="Y135" s="117" t="n">
        <f aca="false">SUMIFS(الريسبي!$C$2:$C$1800,الريسبي!$A$2:$A$1800,$A135,الريسبي!$B$2:$B$1800,Y$1)</f>
        <v>0</v>
      </c>
      <c r="Z135" s="117" t="n">
        <f aca="false">SUMIFS(الريسبي!$C$2:$C$1800,الريسبي!$A$2:$A$1800,$A135,الريسبي!$B$2:$B$1800,Z$1)</f>
        <v>0</v>
      </c>
      <c r="AA135" s="117" t="n">
        <f aca="false">SUMIFS(الريسبي!$C$2:$C$1800,الريسبي!$A$2:$A$1800,$A135,الريسبي!$B$2:$B$1800,AA$1)</f>
        <v>0</v>
      </c>
      <c r="AB135" s="117" t="n">
        <f aca="false">SUMIFS(الريسبي!$C$2:$C$1800,الريسبي!$A$2:$A$1800,$A135,الريسبي!$B$2:$B$1800,AB$1)</f>
        <v>0</v>
      </c>
      <c r="AC135" s="117" t="n">
        <f aca="false">SUMIFS(الريسبي!$C$2:$C$1800,الريسبي!$A$2:$A$1800,$A135,الريسبي!$B$2:$B$1800,AC$1)</f>
        <v>0</v>
      </c>
      <c r="AD135" s="117" t="n">
        <f aca="false">SUMIFS(الريسبي!$C$2:$C$1800,الريسبي!$A$2:$A$1800,$A135,الريسبي!$B$2:$B$1800,AD$1)</f>
        <v>0</v>
      </c>
      <c r="AE135" s="117" t="n">
        <f aca="false">SUMIFS(الريسبي!$C$2:$C$1800,الريسبي!$A$2:$A$1800,$A135,الريسبي!$B$2:$B$1800,AE$1)</f>
        <v>0</v>
      </c>
      <c r="AF135" s="117" t="n">
        <f aca="false">SUMIFS(الريسبي!$C$2:$C$1800,الريسبي!$A$2:$A$1800,$A135,الريسبي!$B$2:$B$1800,AF$1)</f>
        <v>0</v>
      </c>
      <c r="AG135" s="117" t="n">
        <f aca="false">SUMIFS(الريسبي!$C$2:$C$1800,الريسبي!$A$2:$A$1800,$A135,الريسبي!$B$2:$B$1800,AG$1)</f>
        <v>0</v>
      </c>
      <c r="AH135" s="117" t="n">
        <f aca="false">SUMIFS(الريسبي!$C$2:$C$1800,الريسبي!$A$2:$A$1800,$A135,الريسبي!$B$2:$B$1800,AH$1)</f>
        <v>0</v>
      </c>
      <c r="AI135" s="117" t="n">
        <f aca="false">SUMIFS(الريسبي!$C$2:$C$1800,الريسبي!$A$2:$A$1800,$A135,الريسبي!$B$2:$B$1800,AI$1)</f>
        <v>0</v>
      </c>
      <c r="AJ135" s="117" t="n">
        <f aca="false">SUMIFS(الريسبي!$C$2:$C$1800,الريسبي!$A$2:$A$1800,$A135,الريسبي!$B$2:$B$1800,AJ$1)</f>
        <v>0</v>
      </c>
      <c r="AK135" s="117" t="n">
        <f aca="false">SUMIFS(الريسبي!$C$2:$C$1800,الريسبي!$A$2:$A$1800,$A135,الريسبي!$B$2:$B$1800,AK$1)</f>
        <v>0</v>
      </c>
      <c r="AL135" s="117" t="n">
        <f aca="false">SUMIFS(الريسبي!$C$2:$C$1800,الريسبي!$A$2:$A$1800,$A135,الريسبي!$B$2:$B$1800,AL$1)</f>
        <v>0</v>
      </c>
      <c r="AM135" s="117" t="n">
        <f aca="false">SUMIFS(الريسبي!$C$2:$C$1800,الريسبي!$A$2:$A$1800,$A135,الريسبي!$B$2:$B$1800,AM$1)+0.08333333333*SUMIFS(الريسبي!$C$2:$C$1800,الريسبي!$A$2:$A$1800,$A135,الريسبي!$B$2:$B$1800,"عجين كريب (مصنع بالمطعم)")+0.08333333333*SUMIFS(الريسبي!$C$2:$C$1800,الريسبي!$A$2:$A$1800,$A135,الريسبي!$B$2:$B$1800,"عجين كريب صيامي (بدون لبن)")</f>
        <v>0</v>
      </c>
      <c r="AN135" s="117" t="n">
        <f aca="false">SUMIFS(الريسبي!$C$2:$C$1800,الريسبي!$A$2:$A$1800,$A135,الريسبي!$B$2:$B$1800,AN$1)+0.004166666667*SUMIFS(الريسبي!$C$2:$C$1800,الريسبي!$A$2:$A$1800,$A135,الريسبي!$B$2:$B$1800,"عجين كريب (مصنع بالمطعم)")+0.004166666667*SUMIFS(الريسبي!$C$2:$C$1800,الريسبي!$A$2:$A$1800,$A135,الريسبي!$B$2:$B$1800,"عجين كريب صيامي (بدون لبن)")</f>
        <v>0</v>
      </c>
      <c r="AO135" s="117" t="n">
        <f aca="false">SUMIFS(الريسبي!$C$2:$C$1800,الريسبي!$A$2:$A$1800,$A135,الريسبي!$B$2:$B$1800,AO$1)</f>
        <v>0</v>
      </c>
      <c r="AP135" s="117" t="n">
        <f aca="false">SUMIFS(الريسبي!$C$2:$C$1800,الريسبي!$A$2:$A$1800,$A135,الريسبي!$B$2:$B$1800,AP$1)</f>
        <v>0</v>
      </c>
      <c r="AQ135" s="117" t="n">
        <f aca="false">SUMIFS(الريسبي!$C$2:$C$1800,الريسبي!$A$2:$A$1800,$A135,الريسبي!$B$2:$B$1800,AQ$1)+0.004166666667*SUMIFS(الريسبي!$C$2:$C$1800,الريسبي!$A$2:$A$1800,$A135,الريسبي!$B$2:$B$1800,"عجين كريب (مصنع بالمطعم)")+0.004166666667*SUMIFS(الريسبي!$C$2:$C$1800,الريسبي!$A$2:$A$1800,$A135,الريسبي!$B$2:$B$1800,"عجين كريب صيامي (بدون لبن)")</f>
        <v>0</v>
      </c>
      <c r="AR135" s="117" t="n">
        <f aca="false">SUMIFS(الريسبي!$C$2:$C$1800,الريسبي!$A$2:$A$1800,$A135,الريسبي!$B$2:$B$1800,AR$1)</f>
        <v>0</v>
      </c>
      <c r="AS135" s="117" t="n">
        <f aca="false">SUMIFS(الريسبي!$C$2:$C$1800,الريسبي!$A$2:$A$1800,$A135,الريسبي!$B$2:$B$1800,AS$1)</f>
        <v>0</v>
      </c>
      <c r="AT135" s="117" t="n">
        <f aca="false">SUMIFS(الريسبي!$C$2:$C$1800,الريسبي!$A$2:$A$1800,$A135,الريسبي!$B$2:$B$1800,AT$1)</f>
        <v>0</v>
      </c>
      <c r="AU135" s="117" t="n">
        <f aca="false">SUMIFS(الريسبي!$C$2:$C$1800,الريسبي!$A$2:$A$1800,$A135,الريسبي!$B$2:$B$1800,AU$1)</f>
        <v>0</v>
      </c>
      <c r="AV135" s="117" t="n">
        <f aca="false">SUMIFS(الريسبي!$C$2:$C$1800,الريسبي!$A$2:$A$1800,$A135,الريسبي!$B$2:$B$1800,AV$1)</f>
        <v>0</v>
      </c>
      <c r="AW135" s="117" t="n">
        <f aca="false">SUMIFS(الريسبي!$C$2:$C$1800,الريسبي!$A$2:$A$1800,$A135,الريسبي!$B$2:$B$1800,AW$1)</f>
        <v>0</v>
      </c>
      <c r="AX135" s="117" t="n">
        <f aca="false">SUMIFS(الريسبي!$C$2:$C$1800,الريسبي!$A$2:$A$1800,$A135,الريسبي!$B$2:$B$1800,AX$1)</f>
        <v>0</v>
      </c>
      <c r="AY135" s="117" t="n">
        <f aca="false">SUMIFS(الريسبي!$C$2:$C$1800,الريسبي!$A$2:$A$1800,$A135,الريسبي!$B$2:$B$1800,AY$1)</f>
        <v>0</v>
      </c>
      <c r="AZ135" s="117" t="n">
        <f aca="false">SUMIFS(الريسبي!$C$2:$C$1800,الريسبي!$A$2:$A$1800,$A135,الريسبي!$B$2:$B$1800,AZ$1)</f>
        <v>0</v>
      </c>
      <c r="BA135" s="117" t="n">
        <f aca="false">SUMIFS(الريسبي!$C$2:$C$1800,الريسبي!$A$2:$A$1800,$A135,الريسبي!$B$2:$B$1800,BA$1)</f>
        <v>0</v>
      </c>
      <c r="BB135" s="117" t="n">
        <f aca="false">SUMIFS(الريسبي!$C$2:$C$1800,الريسبي!$A$2:$A$1800,$A135,الريسبي!$B$2:$B$1800,BB$1)</f>
        <v>0</v>
      </c>
      <c r="BC135" s="117" t="n">
        <f aca="false">SUMIFS(الريسبي!$C$2:$C$1800,الريسبي!$A$2:$A$1800,$A135,الريسبي!$B$2:$B$1800,BC$1)</f>
        <v>0</v>
      </c>
      <c r="BD135" s="117" t="n">
        <f aca="false">SUMIFS(الريسبي!$C$2:$C$1800,الريسبي!$A$2:$A$1800,$A135,الريسبي!$B$2:$B$1800,BD$1)</f>
        <v>0</v>
      </c>
      <c r="BE135" s="117" t="n">
        <f aca="false">SUMIFS(الريسبي!$C$2:$C$1800,الريسبي!$A$2:$A$1800,$A135,الريسبي!$B$2:$B$1800,BE$1)</f>
        <v>0</v>
      </c>
      <c r="BF135" s="117" t="n">
        <f aca="false">SUMIFS(الريسبي!$C$2:$C$1800,الريسبي!$A$2:$A$1800,$A135,الريسبي!$B$2:$B$1800,BF$1)</f>
        <v>0</v>
      </c>
      <c r="BG135" s="117" t="n">
        <f aca="false">SUMIFS(الريسبي!$C$2:$C$1800,الريسبي!$A$2:$A$1800,$A135,الريسبي!$B$2:$B$1800,BG$1)</f>
        <v>0</v>
      </c>
      <c r="BH135" s="117" t="n">
        <f aca="false">SUMIFS(الريسبي!$C$2:$C$1800,الريسبي!$A$2:$A$1800,$A135,الريسبي!$B$2:$B$1800,BH$1)</f>
        <v>0</v>
      </c>
      <c r="BI135" s="117" t="n">
        <f aca="false">SUMIFS(الريسبي!$C$2:$C$1800,الريسبي!$A$2:$A$1800,$A135,الريسبي!$B$2:$B$1800,BI$1)</f>
        <v>0</v>
      </c>
      <c r="BJ135" s="117" t="n">
        <f aca="false">SUMIFS(الريسبي!$C$2:$C$1800,الريسبي!$A$2:$A$1800,$A135,الريسبي!$B$2:$B$1800,BJ$1)</f>
        <v>0</v>
      </c>
      <c r="BK135" s="117" t="n">
        <f aca="false">SUMIFS(الريسبي!$C$2:$C$1800,الريسبي!$A$2:$A$1800,$A135,الريسبي!$B$2:$B$1800,BK$1)</f>
        <v>0</v>
      </c>
      <c r="BL135" s="117" t="n">
        <f aca="false">SUMIFS(الريسبي!$C$2:$C$1800,الريسبي!$A$2:$A$1800,$A135,الريسبي!$B$2:$B$1800,BL$1)</f>
        <v>0</v>
      </c>
      <c r="BM135" s="117" t="n">
        <f aca="false">SUMIFS(الريسبي!$C$2:$C$1800,الريسبي!$A$2:$A$1800,$A135,الريسبي!$B$2:$B$1800,BM$1)</f>
        <v>0</v>
      </c>
      <c r="BN135" s="117" t="n">
        <f aca="false">SUMIFS(الريسبي!$C$2:$C$1800,الريسبي!$A$2:$A$1800,$A135,الريسبي!$B$2:$B$1800,BN$1)</f>
        <v>0</v>
      </c>
      <c r="BO135" s="117" t="n">
        <f aca="false">SUMIFS(الريسبي!$C$2:$C$1800,الريسبي!$A$2:$A$1800,$A135,الريسبي!$B$2:$B$1800,BO$1)</f>
        <v>0</v>
      </c>
      <c r="BP135" s="117" t="n">
        <f aca="false">SUMIFS(الريسبي!$C$2:$C$1800,الريسبي!$A$2:$A$1800,$A135,الريسبي!$B$2:$B$1800,BP$1)</f>
        <v>0</v>
      </c>
      <c r="BQ135" s="117" t="n">
        <f aca="false">SUMIFS(الريسبي!$C$2:$C$1800,الريسبي!$A$2:$A$1800,$A135,الريسبي!$B$2:$B$1800,BQ$1)+0.17*SUMIFS(الريسبي!$C$2:$C$1800,الريسبي!$A$2:$A$1800,$A135,الريسبي!$B$2:$B$1800,"كاسترد مصنع (خليط بودر + لبن)")+0.17*SUMIFS(الريسبي!$C$2:$C$1800,الريسبي!$A$2:$A$1800,$A135,الريسبي!$B$2:$B$1800,"كاسترد مصنع صيامي (بدون لبن)")</f>
        <v>0</v>
      </c>
      <c r="BR135" s="117" t="n">
        <f aca="false">SUMIFS(الريسبي!$C$2:$C$1800,الريسبي!$A$2:$A$1800,$A135,الريسبي!$B$2:$B$1800,BR$1)</f>
        <v>0</v>
      </c>
      <c r="BS135" s="117" t="n">
        <f aca="false">SUMIFS(الريسبي!$C$2:$C$1800,الريسبي!$A$2:$A$1800,$A135,الريسبي!$B$2:$B$1800,BS$1)</f>
        <v>0</v>
      </c>
      <c r="BT135" s="117" t="n">
        <f aca="false">SUMIFS(الريسبي!$C$2:$C$1800,الريسبي!$A$2:$A$1800,$A135,الريسبي!$B$2:$B$1800,BT$1)</f>
        <v>0</v>
      </c>
      <c r="BU135" s="117" t="n">
        <f aca="false">SUMIFS(الريسبي!$C$2:$C$1800,الريسبي!$A$2:$A$1800,$A135,الريسبي!$B$2:$B$1800,BU$1)+0.4*SUMIFS(الريسبي!$C$2:$C$1800,الريسبي!$A$2:$A$1800,$A135,الريسبي!$B$2:$B$1800,"كاسترد مصنع (خليط بودر + لبن)")+0.03333333333*SUMIFS(الريسبي!$C$2:$C$1800,الريسبي!$A$2:$A$1800,$A135,الريسبي!$B$2:$B$1800,"عجين كريب (مصنع بالمطعم)")</f>
        <v>0</v>
      </c>
      <c r="BV135" s="117" t="n">
        <f aca="false">SUMIFS(الريسبي!$C$2:$C$1800,الريسبي!$A$2:$A$1800,$A135,الريسبي!$B$2:$B$1800,BV$1)</f>
        <v>0</v>
      </c>
      <c r="BW135" s="117" t="n">
        <f aca="false">SUMIFS(الريسبي!$C$2:$C$1800,الريسبي!$A$2:$A$1800,$A135,الريسبي!$B$2:$B$1800,BW$1)</f>
        <v>0</v>
      </c>
      <c r="BX135" s="117" t="n">
        <f aca="false">SUMIFS(الريسبي!$C$2:$C$1800,الريسبي!$A$2:$A$1800,$A135,الريسبي!$B$2:$B$1800,BX$1)</f>
        <v>0</v>
      </c>
      <c r="BY135" s="117" t="n">
        <f aca="false">SUMIFS(الريسبي!$C$2:$C$1800,الريسبي!$A$2:$A$1800,$A135,الريسبي!$B$2:$B$1800,BY$1)</f>
        <v>0</v>
      </c>
      <c r="BZ135" s="117" t="n">
        <f aca="false">SUMIFS(الريسبي!$C$2:$C$1800,الريسبي!$A$2:$A$1800,$A135,الريسبي!$B$2:$B$1800,BZ$1)</f>
        <v>0</v>
      </c>
      <c r="CA135" s="117" t="n">
        <f aca="false">SUMIFS(الريسبي!$C$2:$C$1800,الريسبي!$A$2:$A$1800,$A135,الريسبي!$B$2:$B$1800,CA$1)</f>
        <v>0</v>
      </c>
      <c r="CB135" s="117" t="n">
        <f aca="false">SUMIFS(الريسبي!$C$2:$C$1800,الريسبي!$A$2:$A$1800,$A135,الريسبي!$B$2:$B$1800,CB$1)</f>
        <v>0</v>
      </c>
      <c r="CC135" s="117" t="n">
        <f aca="false">SUMIFS(الريسبي!$C$2:$C$1800,الريسبي!$A$2:$A$1800,$A135,الريسبي!$B$2:$B$1800,CC$1)</f>
        <v>0</v>
      </c>
      <c r="CD135" s="117" t="n">
        <f aca="false">SUMIFS(الريسبي!$C$2:$C$1800,الريسبي!$A$2:$A$1800,$A135,الريسبي!$B$2:$B$1800,CD$1)</f>
        <v>0</v>
      </c>
      <c r="CE135" s="117" t="n">
        <f aca="false">SUMIFS(الريسبي!$C$2:$C$1800,الريسبي!$A$2:$A$1800,$A135,الريسبي!$B$2:$B$1800,CE$1)</f>
        <v>0</v>
      </c>
      <c r="CF135" s="117" t="n">
        <f aca="false">SUMIFS(الريسبي!$C$2:$C$1800,الريسبي!$A$2:$A$1800,$A135,الريسبي!$B$2:$B$1800,CF$1)</f>
        <v>0</v>
      </c>
      <c r="CG135" s="117" t="n">
        <f aca="false">SUMIFS(الريسبي!$C$2:$C$1800,الريسبي!$A$2:$A$1800,$A135,الريسبي!$B$2:$B$1800,CG$1)</f>
        <v>0</v>
      </c>
      <c r="CH135" s="117" t="n">
        <f aca="false">SUMIFS(الريسبي!$C$2:$C$1800,الريسبي!$A$2:$A$1800,$A135,الريسبي!$B$2:$B$1800,CH$1)</f>
        <v>0</v>
      </c>
      <c r="CI135" s="117" t="n">
        <f aca="false">SUMIFS(الريسبي!$C$2:$C$1800,الريسبي!$A$2:$A$1800,$A135,الريسبي!$B$2:$B$1800,CI$1)</f>
        <v>0</v>
      </c>
      <c r="CJ135" s="117" t="n">
        <f aca="false">SUMIFS(الريسبي!$C$2:$C$1800,الريسبي!$A$2:$A$1800,$A135,الريسبي!$B$2:$B$1800,CJ$1)</f>
        <v>0</v>
      </c>
      <c r="CK135" s="117" t="n">
        <f aca="false">SUMIFS(الريسبي!$C$2:$C$1800,الريسبي!$A$2:$A$1800,$A135,الريسبي!$B$2:$B$1800,CK$1)</f>
        <v>0</v>
      </c>
      <c r="CL135" s="117" t="n">
        <f aca="false">SUMIFS(الريسبي!$C$2:$C$1800,الريسبي!$A$2:$A$1800,$A135,الريسبي!$B$2:$B$1800,CL$1)</f>
        <v>0</v>
      </c>
    </row>
    <row r="136" customFormat="false" ht="15" hidden="false" customHeight="false" outlineLevel="0" collapsed="false">
      <c r="A136" s="116" t="str">
        <f aca="false">المنيو!B136</f>
        <v>اضافة جبنة رومي (فطير وسط)</v>
      </c>
      <c r="B136" s="117" t="n">
        <f aca="false">SUMIFS(الريسبي!$C$2:$C$1800,الريسبي!$A$2:$A$1800,$A136,الريسبي!$B$2:$B$1800,B$1)</f>
        <v>0</v>
      </c>
      <c r="C136" s="117" t="n">
        <f aca="false">SUMIFS(الريسبي!$C$2:$C$1800,الريسبي!$A$2:$A$1800,$A136,الريسبي!$B$2:$B$1800,C$1)</f>
        <v>0</v>
      </c>
      <c r="D136" s="117" t="n">
        <f aca="false">SUMIFS(الريسبي!$C$2:$C$1800,الريسبي!$A$2:$A$1800,$A136,الريسبي!$B$2:$B$1800,D$1)</f>
        <v>0</v>
      </c>
      <c r="E136" s="117" t="n">
        <f aca="false">SUMIFS(الريسبي!$C$2:$C$1800,الريسبي!$A$2:$A$1800,$A136,الريسبي!$B$2:$B$1800,E$1)</f>
        <v>0</v>
      </c>
      <c r="F136" s="117" t="n">
        <f aca="false">SUMIFS(الريسبي!$C$2:$C$1800,الريسبي!$A$2:$A$1800,$A136,الريسبي!$B$2:$B$1800,F$1)</f>
        <v>0</v>
      </c>
      <c r="G136" s="117" t="n">
        <f aca="false">SUMIFS(الريسبي!$C$2:$C$1800,الريسبي!$A$2:$A$1800,$A136,الريسبي!$B$2:$B$1800,G$1)</f>
        <v>0</v>
      </c>
      <c r="H136" s="117" t="n">
        <f aca="false">SUMIFS(الريسبي!$C$2:$C$1800,الريسبي!$A$2:$A$1800,$A136,الريسبي!$B$2:$B$1800,H$1)</f>
        <v>0</v>
      </c>
      <c r="I136" s="117" t="n">
        <f aca="false">SUMIFS(الريسبي!$C$2:$C$1800,الريسبي!$A$2:$A$1800,$A136,الريسبي!$B$2:$B$1800,I$1)</f>
        <v>0</v>
      </c>
      <c r="J136" s="117" t="n">
        <f aca="false">SUMIFS(الريسبي!$C$2:$C$1800,الريسبي!$A$2:$A$1800,$A136,الريسبي!$B$2:$B$1800,J$1)</f>
        <v>1</v>
      </c>
      <c r="K136" s="117" t="n">
        <f aca="false">SUMIFS(الريسبي!$C$2:$C$1800,الريسبي!$A$2:$A$1800,$A136,الريسبي!$B$2:$B$1800,K$1)</f>
        <v>0</v>
      </c>
      <c r="L136" s="117" t="n">
        <f aca="false">SUMIFS(الريسبي!$C$2:$C$1800,الريسبي!$A$2:$A$1800,$A136,الريسبي!$B$2:$B$1800,L$1)</f>
        <v>0</v>
      </c>
      <c r="M136" s="117" t="n">
        <f aca="false">SUMIFS(الريسبي!$C$2:$C$1800,الريسبي!$A$2:$A$1800,$A136,الريسبي!$B$2:$B$1800,M$1)</f>
        <v>0</v>
      </c>
      <c r="N136" s="117" t="n">
        <f aca="false">SUMIFS(الريسبي!$C$2:$C$1800,الريسبي!$A$2:$A$1800,$A136,الريسبي!$B$2:$B$1800,N$1)</f>
        <v>0</v>
      </c>
      <c r="O136" s="117" t="n">
        <f aca="false">SUMIFS(الريسبي!$C$2:$C$1800,الريسبي!$A$2:$A$1800,$A136,الريسبي!$B$2:$B$1800,O$1)</f>
        <v>0</v>
      </c>
      <c r="P136" s="117" t="n">
        <f aca="false">SUMIFS(الريسبي!$C$2:$C$1800,الريسبي!$A$2:$A$1800,$A136,الريسبي!$B$2:$B$1800,P$1)</f>
        <v>0</v>
      </c>
      <c r="Q136" s="117" t="n">
        <f aca="false">SUMIFS(الريسبي!$C$2:$C$1800,الريسبي!$A$2:$A$1800,$A136,الريسبي!$B$2:$B$1800,Q$1)</f>
        <v>0</v>
      </c>
      <c r="R136" s="117" t="n">
        <f aca="false">SUMIFS(الريسبي!$C$2:$C$1800,الريسبي!$A$2:$A$1800,$A136,الريسبي!$B$2:$B$1800,R$1)</f>
        <v>0</v>
      </c>
      <c r="S136" s="117" t="n">
        <f aca="false">SUMIFS(الريسبي!$C$2:$C$1800,الريسبي!$A$2:$A$1800,$A136,الريسبي!$B$2:$B$1800,S$1)</f>
        <v>0</v>
      </c>
      <c r="T136" s="117" t="n">
        <f aca="false">SUMIFS(الريسبي!$C$2:$C$1800,الريسبي!$A$2:$A$1800,$A136,الريسبي!$B$2:$B$1800,T$1)</f>
        <v>0</v>
      </c>
      <c r="U136" s="117" t="n">
        <f aca="false">SUMIFS(الريسبي!$C$2:$C$1800,الريسبي!$A$2:$A$1800,$A136,الريسبي!$B$2:$B$1800,U$1)</f>
        <v>0</v>
      </c>
      <c r="V136" s="117" t="n">
        <f aca="false">SUMIFS(الريسبي!$C$2:$C$1800,الريسبي!$A$2:$A$1800,$A136,الريسبي!$B$2:$B$1800,V$1)</f>
        <v>0</v>
      </c>
      <c r="W136" s="117" t="n">
        <f aca="false">SUMIFS(الريسبي!$C$2:$C$1800,الريسبي!$A$2:$A$1800,$A136,الريسبي!$B$2:$B$1800,W$1)</f>
        <v>0</v>
      </c>
      <c r="X136" s="117" t="n">
        <f aca="false">SUMIFS(الريسبي!$C$2:$C$1800,الريسبي!$A$2:$A$1800,$A136,الريسبي!$B$2:$B$1800,X$1)</f>
        <v>0</v>
      </c>
      <c r="Y136" s="117" t="n">
        <f aca="false">SUMIFS(الريسبي!$C$2:$C$1800,الريسبي!$A$2:$A$1800,$A136,الريسبي!$B$2:$B$1800,Y$1)</f>
        <v>0</v>
      </c>
      <c r="Z136" s="117" t="n">
        <f aca="false">SUMIFS(الريسبي!$C$2:$C$1800,الريسبي!$A$2:$A$1800,$A136,الريسبي!$B$2:$B$1800,Z$1)</f>
        <v>0</v>
      </c>
      <c r="AA136" s="117" t="n">
        <f aca="false">SUMIFS(الريسبي!$C$2:$C$1800,الريسبي!$A$2:$A$1800,$A136,الريسبي!$B$2:$B$1800,AA$1)</f>
        <v>0</v>
      </c>
      <c r="AB136" s="117" t="n">
        <f aca="false">SUMIFS(الريسبي!$C$2:$C$1800,الريسبي!$A$2:$A$1800,$A136,الريسبي!$B$2:$B$1800,AB$1)</f>
        <v>0</v>
      </c>
      <c r="AC136" s="117" t="n">
        <f aca="false">SUMIFS(الريسبي!$C$2:$C$1800,الريسبي!$A$2:$A$1800,$A136,الريسبي!$B$2:$B$1800,AC$1)</f>
        <v>0</v>
      </c>
      <c r="AD136" s="117" t="n">
        <f aca="false">SUMIFS(الريسبي!$C$2:$C$1800,الريسبي!$A$2:$A$1800,$A136,الريسبي!$B$2:$B$1800,AD$1)</f>
        <v>0</v>
      </c>
      <c r="AE136" s="117" t="n">
        <f aca="false">SUMIFS(الريسبي!$C$2:$C$1800,الريسبي!$A$2:$A$1800,$A136,الريسبي!$B$2:$B$1800,AE$1)</f>
        <v>0</v>
      </c>
      <c r="AF136" s="117" t="n">
        <f aca="false">SUMIFS(الريسبي!$C$2:$C$1800,الريسبي!$A$2:$A$1800,$A136,الريسبي!$B$2:$B$1800,AF$1)</f>
        <v>0</v>
      </c>
      <c r="AG136" s="117" t="n">
        <f aca="false">SUMIFS(الريسبي!$C$2:$C$1800,الريسبي!$A$2:$A$1800,$A136,الريسبي!$B$2:$B$1800,AG$1)</f>
        <v>0</v>
      </c>
      <c r="AH136" s="117" t="n">
        <f aca="false">SUMIFS(الريسبي!$C$2:$C$1800,الريسبي!$A$2:$A$1800,$A136,الريسبي!$B$2:$B$1800,AH$1)</f>
        <v>0</v>
      </c>
      <c r="AI136" s="117" t="n">
        <f aca="false">SUMIFS(الريسبي!$C$2:$C$1800,الريسبي!$A$2:$A$1800,$A136,الريسبي!$B$2:$B$1800,AI$1)</f>
        <v>0</v>
      </c>
      <c r="AJ136" s="117" t="n">
        <f aca="false">SUMIFS(الريسبي!$C$2:$C$1800,الريسبي!$A$2:$A$1800,$A136,الريسبي!$B$2:$B$1800,AJ$1)</f>
        <v>0</v>
      </c>
      <c r="AK136" s="117" t="n">
        <f aca="false">SUMIFS(الريسبي!$C$2:$C$1800,الريسبي!$A$2:$A$1800,$A136,الريسبي!$B$2:$B$1800,AK$1)</f>
        <v>0</v>
      </c>
      <c r="AL136" s="117" t="n">
        <f aca="false">SUMIFS(الريسبي!$C$2:$C$1800,الريسبي!$A$2:$A$1800,$A136,الريسبي!$B$2:$B$1800,AL$1)</f>
        <v>0</v>
      </c>
      <c r="AM136" s="117" t="n">
        <f aca="false">SUMIFS(الريسبي!$C$2:$C$1800,الريسبي!$A$2:$A$1800,$A136,الريسبي!$B$2:$B$1800,AM$1)+0.08333333333*SUMIFS(الريسبي!$C$2:$C$1800,الريسبي!$A$2:$A$1800,$A136,الريسبي!$B$2:$B$1800,"عجين كريب (مصنع بالمطعم)")+0.08333333333*SUMIFS(الريسبي!$C$2:$C$1800,الريسبي!$A$2:$A$1800,$A136,الريسبي!$B$2:$B$1800,"عجين كريب صيامي (بدون لبن)")</f>
        <v>0</v>
      </c>
      <c r="AN136" s="117" t="n">
        <f aca="false">SUMIFS(الريسبي!$C$2:$C$1800,الريسبي!$A$2:$A$1800,$A136,الريسبي!$B$2:$B$1800,AN$1)+0.004166666667*SUMIFS(الريسبي!$C$2:$C$1800,الريسبي!$A$2:$A$1800,$A136,الريسبي!$B$2:$B$1800,"عجين كريب (مصنع بالمطعم)")+0.004166666667*SUMIFS(الريسبي!$C$2:$C$1800,الريسبي!$A$2:$A$1800,$A136,الريسبي!$B$2:$B$1800,"عجين كريب صيامي (بدون لبن)")</f>
        <v>0</v>
      </c>
      <c r="AO136" s="117" t="n">
        <f aca="false">SUMIFS(الريسبي!$C$2:$C$1800,الريسبي!$A$2:$A$1800,$A136,الريسبي!$B$2:$B$1800,AO$1)</f>
        <v>0</v>
      </c>
      <c r="AP136" s="117" t="n">
        <f aca="false">SUMIFS(الريسبي!$C$2:$C$1800,الريسبي!$A$2:$A$1800,$A136,الريسبي!$B$2:$B$1800,AP$1)</f>
        <v>0</v>
      </c>
      <c r="AQ136" s="117" t="n">
        <f aca="false">SUMIFS(الريسبي!$C$2:$C$1800,الريسبي!$A$2:$A$1800,$A136,الريسبي!$B$2:$B$1800,AQ$1)+0.004166666667*SUMIFS(الريسبي!$C$2:$C$1800,الريسبي!$A$2:$A$1800,$A136,الريسبي!$B$2:$B$1800,"عجين كريب (مصنع بالمطعم)")+0.004166666667*SUMIFS(الريسبي!$C$2:$C$1800,الريسبي!$A$2:$A$1800,$A136,الريسبي!$B$2:$B$1800,"عجين كريب صيامي (بدون لبن)")</f>
        <v>0</v>
      </c>
      <c r="AR136" s="117" t="n">
        <f aca="false">SUMIFS(الريسبي!$C$2:$C$1800,الريسبي!$A$2:$A$1800,$A136,الريسبي!$B$2:$B$1800,AR$1)</f>
        <v>0</v>
      </c>
      <c r="AS136" s="117" t="n">
        <f aca="false">SUMIFS(الريسبي!$C$2:$C$1800,الريسبي!$A$2:$A$1800,$A136,الريسبي!$B$2:$B$1800,AS$1)</f>
        <v>0</v>
      </c>
      <c r="AT136" s="117" t="n">
        <f aca="false">SUMIFS(الريسبي!$C$2:$C$1800,الريسبي!$A$2:$A$1800,$A136,الريسبي!$B$2:$B$1800,AT$1)</f>
        <v>0</v>
      </c>
      <c r="AU136" s="117" t="n">
        <f aca="false">SUMIFS(الريسبي!$C$2:$C$1800,الريسبي!$A$2:$A$1800,$A136,الريسبي!$B$2:$B$1800,AU$1)</f>
        <v>0</v>
      </c>
      <c r="AV136" s="117" t="n">
        <f aca="false">SUMIFS(الريسبي!$C$2:$C$1800,الريسبي!$A$2:$A$1800,$A136,الريسبي!$B$2:$B$1800,AV$1)</f>
        <v>0</v>
      </c>
      <c r="AW136" s="117" t="n">
        <f aca="false">SUMIFS(الريسبي!$C$2:$C$1800,الريسبي!$A$2:$A$1800,$A136,الريسبي!$B$2:$B$1800,AW$1)</f>
        <v>0</v>
      </c>
      <c r="AX136" s="117" t="n">
        <f aca="false">SUMIFS(الريسبي!$C$2:$C$1800,الريسبي!$A$2:$A$1800,$A136,الريسبي!$B$2:$B$1800,AX$1)</f>
        <v>0</v>
      </c>
      <c r="AY136" s="117" t="n">
        <f aca="false">SUMIFS(الريسبي!$C$2:$C$1800,الريسبي!$A$2:$A$1800,$A136,الريسبي!$B$2:$B$1800,AY$1)</f>
        <v>0</v>
      </c>
      <c r="AZ136" s="117" t="n">
        <f aca="false">SUMIFS(الريسبي!$C$2:$C$1800,الريسبي!$A$2:$A$1800,$A136,الريسبي!$B$2:$B$1800,AZ$1)</f>
        <v>0</v>
      </c>
      <c r="BA136" s="117" t="n">
        <f aca="false">SUMIFS(الريسبي!$C$2:$C$1800,الريسبي!$A$2:$A$1800,$A136,الريسبي!$B$2:$B$1800,BA$1)</f>
        <v>0</v>
      </c>
      <c r="BB136" s="117" t="n">
        <f aca="false">SUMIFS(الريسبي!$C$2:$C$1800,الريسبي!$A$2:$A$1800,$A136,الريسبي!$B$2:$B$1800,BB$1)</f>
        <v>0</v>
      </c>
      <c r="BC136" s="117" t="n">
        <f aca="false">SUMIFS(الريسبي!$C$2:$C$1800,الريسبي!$A$2:$A$1800,$A136,الريسبي!$B$2:$B$1800,BC$1)</f>
        <v>0</v>
      </c>
      <c r="BD136" s="117" t="n">
        <f aca="false">SUMIFS(الريسبي!$C$2:$C$1800,الريسبي!$A$2:$A$1800,$A136,الريسبي!$B$2:$B$1800,BD$1)</f>
        <v>0</v>
      </c>
      <c r="BE136" s="117" t="n">
        <f aca="false">SUMIFS(الريسبي!$C$2:$C$1800,الريسبي!$A$2:$A$1800,$A136,الريسبي!$B$2:$B$1800,BE$1)</f>
        <v>0</v>
      </c>
      <c r="BF136" s="117" t="n">
        <f aca="false">SUMIFS(الريسبي!$C$2:$C$1800,الريسبي!$A$2:$A$1800,$A136,الريسبي!$B$2:$B$1800,BF$1)</f>
        <v>0</v>
      </c>
      <c r="BG136" s="117" t="n">
        <f aca="false">SUMIFS(الريسبي!$C$2:$C$1800,الريسبي!$A$2:$A$1800,$A136,الريسبي!$B$2:$B$1800,BG$1)</f>
        <v>0</v>
      </c>
      <c r="BH136" s="117" t="n">
        <f aca="false">SUMIFS(الريسبي!$C$2:$C$1800,الريسبي!$A$2:$A$1800,$A136,الريسبي!$B$2:$B$1800,BH$1)</f>
        <v>0</v>
      </c>
      <c r="BI136" s="117" t="n">
        <f aca="false">SUMIFS(الريسبي!$C$2:$C$1800,الريسبي!$A$2:$A$1800,$A136,الريسبي!$B$2:$B$1800,BI$1)</f>
        <v>0</v>
      </c>
      <c r="BJ136" s="117" t="n">
        <f aca="false">SUMIFS(الريسبي!$C$2:$C$1800,الريسبي!$A$2:$A$1800,$A136,الريسبي!$B$2:$B$1800,BJ$1)</f>
        <v>0</v>
      </c>
      <c r="BK136" s="117" t="n">
        <f aca="false">SUMIFS(الريسبي!$C$2:$C$1800,الريسبي!$A$2:$A$1800,$A136,الريسبي!$B$2:$B$1800,BK$1)</f>
        <v>0</v>
      </c>
      <c r="BL136" s="117" t="n">
        <f aca="false">SUMIFS(الريسبي!$C$2:$C$1800,الريسبي!$A$2:$A$1800,$A136,الريسبي!$B$2:$B$1800,BL$1)</f>
        <v>0</v>
      </c>
      <c r="BM136" s="117" t="n">
        <f aca="false">SUMIFS(الريسبي!$C$2:$C$1800,الريسبي!$A$2:$A$1800,$A136,الريسبي!$B$2:$B$1800,BM$1)</f>
        <v>0</v>
      </c>
      <c r="BN136" s="117" t="n">
        <f aca="false">SUMIFS(الريسبي!$C$2:$C$1800,الريسبي!$A$2:$A$1800,$A136,الريسبي!$B$2:$B$1800,BN$1)</f>
        <v>0</v>
      </c>
      <c r="BO136" s="117" t="n">
        <f aca="false">SUMIFS(الريسبي!$C$2:$C$1800,الريسبي!$A$2:$A$1800,$A136,الريسبي!$B$2:$B$1800,BO$1)</f>
        <v>0</v>
      </c>
      <c r="BP136" s="117" t="n">
        <f aca="false">SUMIFS(الريسبي!$C$2:$C$1800,الريسبي!$A$2:$A$1800,$A136,الريسبي!$B$2:$B$1800,BP$1)</f>
        <v>0</v>
      </c>
      <c r="BQ136" s="117" t="n">
        <f aca="false">SUMIFS(الريسبي!$C$2:$C$1800,الريسبي!$A$2:$A$1800,$A136,الريسبي!$B$2:$B$1800,BQ$1)+0.17*SUMIFS(الريسبي!$C$2:$C$1800,الريسبي!$A$2:$A$1800,$A136,الريسبي!$B$2:$B$1800,"كاسترد مصنع (خليط بودر + لبن)")+0.17*SUMIFS(الريسبي!$C$2:$C$1800,الريسبي!$A$2:$A$1800,$A136,الريسبي!$B$2:$B$1800,"كاسترد مصنع صيامي (بدون لبن)")</f>
        <v>0</v>
      </c>
      <c r="BR136" s="117" t="n">
        <f aca="false">SUMIFS(الريسبي!$C$2:$C$1800,الريسبي!$A$2:$A$1800,$A136,الريسبي!$B$2:$B$1800,BR$1)</f>
        <v>0</v>
      </c>
      <c r="BS136" s="117" t="n">
        <f aca="false">SUMIFS(الريسبي!$C$2:$C$1800,الريسبي!$A$2:$A$1800,$A136,الريسبي!$B$2:$B$1800,BS$1)</f>
        <v>0</v>
      </c>
      <c r="BT136" s="117" t="n">
        <f aca="false">SUMIFS(الريسبي!$C$2:$C$1800,الريسبي!$A$2:$A$1800,$A136,الريسبي!$B$2:$B$1800,BT$1)</f>
        <v>0</v>
      </c>
      <c r="BU136" s="117" t="n">
        <f aca="false">SUMIFS(الريسبي!$C$2:$C$1800,الريسبي!$A$2:$A$1800,$A136,الريسبي!$B$2:$B$1800,BU$1)+0.4*SUMIFS(الريسبي!$C$2:$C$1800,الريسبي!$A$2:$A$1800,$A136,الريسبي!$B$2:$B$1800,"كاسترد مصنع (خليط بودر + لبن)")+0.03333333333*SUMIFS(الريسبي!$C$2:$C$1800,الريسبي!$A$2:$A$1800,$A136,الريسبي!$B$2:$B$1800,"عجين كريب (مصنع بالمطعم)")</f>
        <v>0</v>
      </c>
      <c r="BV136" s="117" t="n">
        <f aca="false">SUMIFS(الريسبي!$C$2:$C$1800,الريسبي!$A$2:$A$1800,$A136,الريسبي!$B$2:$B$1800,BV$1)</f>
        <v>0</v>
      </c>
      <c r="BW136" s="117" t="n">
        <f aca="false">SUMIFS(الريسبي!$C$2:$C$1800,الريسبي!$A$2:$A$1800,$A136,الريسبي!$B$2:$B$1800,BW$1)</f>
        <v>0</v>
      </c>
      <c r="BX136" s="117" t="n">
        <f aca="false">SUMIFS(الريسبي!$C$2:$C$1800,الريسبي!$A$2:$A$1800,$A136,الريسبي!$B$2:$B$1800,BX$1)</f>
        <v>0</v>
      </c>
      <c r="BY136" s="117" t="n">
        <f aca="false">SUMIFS(الريسبي!$C$2:$C$1800,الريسبي!$A$2:$A$1800,$A136,الريسبي!$B$2:$B$1800,BY$1)</f>
        <v>0</v>
      </c>
      <c r="BZ136" s="117" t="n">
        <f aca="false">SUMIFS(الريسبي!$C$2:$C$1800,الريسبي!$A$2:$A$1800,$A136,الريسبي!$B$2:$B$1800,BZ$1)</f>
        <v>0</v>
      </c>
      <c r="CA136" s="117" t="n">
        <f aca="false">SUMIFS(الريسبي!$C$2:$C$1800,الريسبي!$A$2:$A$1800,$A136,الريسبي!$B$2:$B$1800,CA$1)</f>
        <v>0</v>
      </c>
      <c r="CB136" s="117" t="n">
        <f aca="false">SUMIFS(الريسبي!$C$2:$C$1800,الريسبي!$A$2:$A$1800,$A136,الريسبي!$B$2:$B$1800,CB$1)</f>
        <v>0</v>
      </c>
      <c r="CC136" s="117" t="n">
        <f aca="false">SUMIFS(الريسبي!$C$2:$C$1800,الريسبي!$A$2:$A$1800,$A136,الريسبي!$B$2:$B$1800,CC$1)</f>
        <v>0</v>
      </c>
      <c r="CD136" s="117" t="n">
        <f aca="false">SUMIFS(الريسبي!$C$2:$C$1800,الريسبي!$A$2:$A$1800,$A136,الريسبي!$B$2:$B$1800,CD$1)</f>
        <v>0</v>
      </c>
      <c r="CE136" s="117" t="n">
        <f aca="false">SUMIFS(الريسبي!$C$2:$C$1800,الريسبي!$A$2:$A$1800,$A136,الريسبي!$B$2:$B$1800,CE$1)</f>
        <v>0</v>
      </c>
      <c r="CF136" s="117" t="n">
        <f aca="false">SUMIFS(الريسبي!$C$2:$C$1800,الريسبي!$A$2:$A$1800,$A136,الريسبي!$B$2:$B$1800,CF$1)</f>
        <v>0</v>
      </c>
      <c r="CG136" s="117" t="n">
        <f aca="false">SUMIFS(الريسبي!$C$2:$C$1800,الريسبي!$A$2:$A$1800,$A136,الريسبي!$B$2:$B$1800,CG$1)</f>
        <v>0</v>
      </c>
      <c r="CH136" s="117" t="n">
        <f aca="false">SUMIFS(الريسبي!$C$2:$C$1800,الريسبي!$A$2:$A$1800,$A136,الريسبي!$B$2:$B$1800,CH$1)</f>
        <v>0</v>
      </c>
      <c r="CI136" s="117" t="n">
        <f aca="false">SUMIFS(الريسبي!$C$2:$C$1800,الريسبي!$A$2:$A$1800,$A136,الريسبي!$B$2:$B$1800,CI$1)</f>
        <v>0</v>
      </c>
      <c r="CJ136" s="117" t="n">
        <f aca="false">SUMIFS(الريسبي!$C$2:$C$1800,الريسبي!$A$2:$A$1800,$A136,الريسبي!$B$2:$B$1800,CJ$1)</f>
        <v>0</v>
      </c>
      <c r="CK136" s="117" t="n">
        <f aca="false">SUMIFS(الريسبي!$C$2:$C$1800,الريسبي!$A$2:$A$1800,$A136,الريسبي!$B$2:$B$1800,CK$1)</f>
        <v>0</v>
      </c>
      <c r="CL136" s="117" t="n">
        <f aca="false">SUMIFS(الريسبي!$C$2:$C$1800,الريسبي!$A$2:$A$1800,$A136,الريسبي!$B$2:$B$1800,CL$1)</f>
        <v>0</v>
      </c>
    </row>
    <row r="137" customFormat="false" ht="15" hidden="false" customHeight="false" outlineLevel="0" collapsed="false">
      <c r="A137" s="116" t="str">
        <f aca="false">المنيو!B137</f>
        <v>اضافة جبنة رومي (فطير كبير)</v>
      </c>
      <c r="B137" s="117" t="n">
        <f aca="false">SUMIFS(الريسبي!$C$2:$C$1800,الريسبي!$A$2:$A$1800,$A137,الريسبي!$B$2:$B$1800,B$1)</f>
        <v>0</v>
      </c>
      <c r="C137" s="117" t="n">
        <f aca="false">SUMIFS(الريسبي!$C$2:$C$1800,الريسبي!$A$2:$A$1800,$A137,الريسبي!$B$2:$B$1800,C$1)</f>
        <v>0</v>
      </c>
      <c r="D137" s="117" t="n">
        <f aca="false">SUMIFS(الريسبي!$C$2:$C$1800,الريسبي!$A$2:$A$1800,$A137,الريسبي!$B$2:$B$1800,D$1)</f>
        <v>0</v>
      </c>
      <c r="E137" s="117" t="n">
        <f aca="false">SUMIFS(الريسبي!$C$2:$C$1800,الريسبي!$A$2:$A$1800,$A137,الريسبي!$B$2:$B$1800,E$1)</f>
        <v>0</v>
      </c>
      <c r="F137" s="117" t="n">
        <f aca="false">SUMIFS(الريسبي!$C$2:$C$1800,الريسبي!$A$2:$A$1800,$A137,الريسبي!$B$2:$B$1800,F$1)</f>
        <v>0</v>
      </c>
      <c r="G137" s="117" t="n">
        <f aca="false">SUMIFS(الريسبي!$C$2:$C$1800,الريسبي!$A$2:$A$1800,$A137,الريسبي!$B$2:$B$1800,G$1)</f>
        <v>0</v>
      </c>
      <c r="H137" s="117" t="n">
        <f aca="false">SUMIFS(الريسبي!$C$2:$C$1800,الريسبي!$A$2:$A$1800,$A137,الريسبي!$B$2:$B$1800,H$1)</f>
        <v>0</v>
      </c>
      <c r="I137" s="117" t="n">
        <f aca="false">SUMIFS(الريسبي!$C$2:$C$1800,الريسبي!$A$2:$A$1800,$A137,الريسبي!$B$2:$B$1800,I$1)</f>
        <v>0</v>
      </c>
      <c r="J137" s="117" t="n">
        <f aca="false">SUMIFS(الريسبي!$C$2:$C$1800,الريسبي!$A$2:$A$1800,$A137,الريسبي!$B$2:$B$1800,J$1)</f>
        <v>1.5</v>
      </c>
      <c r="K137" s="117" t="n">
        <f aca="false">SUMIFS(الريسبي!$C$2:$C$1800,الريسبي!$A$2:$A$1800,$A137,الريسبي!$B$2:$B$1800,K$1)</f>
        <v>0</v>
      </c>
      <c r="L137" s="117" t="n">
        <f aca="false">SUMIFS(الريسبي!$C$2:$C$1800,الريسبي!$A$2:$A$1800,$A137,الريسبي!$B$2:$B$1800,L$1)</f>
        <v>0</v>
      </c>
      <c r="M137" s="117" t="n">
        <f aca="false">SUMIFS(الريسبي!$C$2:$C$1800,الريسبي!$A$2:$A$1800,$A137,الريسبي!$B$2:$B$1800,M$1)</f>
        <v>0</v>
      </c>
      <c r="N137" s="117" t="n">
        <f aca="false">SUMIFS(الريسبي!$C$2:$C$1800,الريسبي!$A$2:$A$1800,$A137,الريسبي!$B$2:$B$1800,N$1)</f>
        <v>0</v>
      </c>
      <c r="O137" s="117" t="n">
        <f aca="false">SUMIFS(الريسبي!$C$2:$C$1800,الريسبي!$A$2:$A$1800,$A137,الريسبي!$B$2:$B$1800,O$1)</f>
        <v>0</v>
      </c>
      <c r="P137" s="117" t="n">
        <f aca="false">SUMIFS(الريسبي!$C$2:$C$1800,الريسبي!$A$2:$A$1800,$A137,الريسبي!$B$2:$B$1800,P$1)</f>
        <v>0</v>
      </c>
      <c r="Q137" s="117" t="n">
        <f aca="false">SUMIFS(الريسبي!$C$2:$C$1800,الريسبي!$A$2:$A$1800,$A137,الريسبي!$B$2:$B$1800,Q$1)</f>
        <v>0</v>
      </c>
      <c r="R137" s="117" t="n">
        <f aca="false">SUMIFS(الريسبي!$C$2:$C$1800,الريسبي!$A$2:$A$1800,$A137,الريسبي!$B$2:$B$1800,R$1)</f>
        <v>0</v>
      </c>
      <c r="S137" s="117" t="n">
        <f aca="false">SUMIFS(الريسبي!$C$2:$C$1800,الريسبي!$A$2:$A$1800,$A137,الريسبي!$B$2:$B$1800,S$1)</f>
        <v>0</v>
      </c>
      <c r="T137" s="117" t="n">
        <f aca="false">SUMIFS(الريسبي!$C$2:$C$1800,الريسبي!$A$2:$A$1800,$A137,الريسبي!$B$2:$B$1800,T$1)</f>
        <v>0</v>
      </c>
      <c r="U137" s="117" t="n">
        <f aca="false">SUMIFS(الريسبي!$C$2:$C$1800,الريسبي!$A$2:$A$1800,$A137,الريسبي!$B$2:$B$1800,U$1)</f>
        <v>0</v>
      </c>
      <c r="V137" s="117" t="n">
        <f aca="false">SUMIFS(الريسبي!$C$2:$C$1800,الريسبي!$A$2:$A$1800,$A137,الريسبي!$B$2:$B$1800,V$1)</f>
        <v>0</v>
      </c>
      <c r="W137" s="117" t="n">
        <f aca="false">SUMIFS(الريسبي!$C$2:$C$1800,الريسبي!$A$2:$A$1800,$A137,الريسبي!$B$2:$B$1800,W$1)</f>
        <v>0</v>
      </c>
      <c r="X137" s="117" t="n">
        <f aca="false">SUMIFS(الريسبي!$C$2:$C$1800,الريسبي!$A$2:$A$1800,$A137,الريسبي!$B$2:$B$1800,X$1)</f>
        <v>0</v>
      </c>
      <c r="Y137" s="117" t="n">
        <f aca="false">SUMIFS(الريسبي!$C$2:$C$1800,الريسبي!$A$2:$A$1800,$A137,الريسبي!$B$2:$B$1800,Y$1)</f>
        <v>0</v>
      </c>
      <c r="Z137" s="117" t="n">
        <f aca="false">SUMIFS(الريسبي!$C$2:$C$1800,الريسبي!$A$2:$A$1800,$A137,الريسبي!$B$2:$B$1800,Z$1)</f>
        <v>0</v>
      </c>
      <c r="AA137" s="117" t="n">
        <f aca="false">SUMIFS(الريسبي!$C$2:$C$1800,الريسبي!$A$2:$A$1800,$A137,الريسبي!$B$2:$B$1800,AA$1)</f>
        <v>0</v>
      </c>
      <c r="AB137" s="117" t="n">
        <f aca="false">SUMIFS(الريسبي!$C$2:$C$1800,الريسبي!$A$2:$A$1800,$A137,الريسبي!$B$2:$B$1800,AB$1)</f>
        <v>0</v>
      </c>
      <c r="AC137" s="117" t="n">
        <f aca="false">SUMIFS(الريسبي!$C$2:$C$1800,الريسبي!$A$2:$A$1800,$A137,الريسبي!$B$2:$B$1800,AC$1)</f>
        <v>0</v>
      </c>
      <c r="AD137" s="117" t="n">
        <f aca="false">SUMIFS(الريسبي!$C$2:$C$1800,الريسبي!$A$2:$A$1800,$A137,الريسبي!$B$2:$B$1800,AD$1)</f>
        <v>0</v>
      </c>
      <c r="AE137" s="117" t="n">
        <f aca="false">SUMIFS(الريسبي!$C$2:$C$1800,الريسبي!$A$2:$A$1800,$A137,الريسبي!$B$2:$B$1800,AE$1)</f>
        <v>0</v>
      </c>
      <c r="AF137" s="117" t="n">
        <f aca="false">SUMIFS(الريسبي!$C$2:$C$1800,الريسبي!$A$2:$A$1800,$A137,الريسبي!$B$2:$B$1800,AF$1)</f>
        <v>0</v>
      </c>
      <c r="AG137" s="117" t="n">
        <f aca="false">SUMIFS(الريسبي!$C$2:$C$1800,الريسبي!$A$2:$A$1800,$A137,الريسبي!$B$2:$B$1800,AG$1)</f>
        <v>0</v>
      </c>
      <c r="AH137" s="117" t="n">
        <f aca="false">SUMIFS(الريسبي!$C$2:$C$1800,الريسبي!$A$2:$A$1800,$A137,الريسبي!$B$2:$B$1800,AH$1)</f>
        <v>0</v>
      </c>
      <c r="AI137" s="117" t="n">
        <f aca="false">SUMIFS(الريسبي!$C$2:$C$1800,الريسبي!$A$2:$A$1800,$A137,الريسبي!$B$2:$B$1800,AI$1)</f>
        <v>0</v>
      </c>
      <c r="AJ137" s="117" t="n">
        <f aca="false">SUMIFS(الريسبي!$C$2:$C$1800,الريسبي!$A$2:$A$1800,$A137,الريسبي!$B$2:$B$1800,AJ$1)</f>
        <v>0</v>
      </c>
      <c r="AK137" s="117" t="n">
        <f aca="false">SUMIFS(الريسبي!$C$2:$C$1800,الريسبي!$A$2:$A$1800,$A137,الريسبي!$B$2:$B$1800,AK$1)</f>
        <v>0</v>
      </c>
      <c r="AL137" s="117" t="n">
        <f aca="false">SUMIFS(الريسبي!$C$2:$C$1800,الريسبي!$A$2:$A$1800,$A137,الريسبي!$B$2:$B$1800,AL$1)</f>
        <v>0</v>
      </c>
      <c r="AM137" s="117" t="n">
        <f aca="false">SUMIFS(الريسبي!$C$2:$C$1800,الريسبي!$A$2:$A$1800,$A137,الريسبي!$B$2:$B$1800,AM$1)+0.08333333333*SUMIFS(الريسبي!$C$2:$C$1800,الريسبي!$A$2:$A$1800,$A137,الريسبي!$B$2:$B$1800,"عجين كريب (مصنع بالمطعم)")+0.08333333333*SUMIFS(الريسبي!$C$2:$C$1800,الريسبي!$A$2:$A$1800,$A137,الريسبي!$B$2:$B$1800,"عجين كريب صيامي (بدون لبن)")</f>
        <v>0</v>
      </c>
      <c r="AN137" s="117" t="n">
        <f aca="false">SUMIFS(الريسبي!$C$2:$C$1800,الريسبي!$A$2:$A$1800,$A137,الريسبي!$B$2:$B$1800,AN$1)+0.004166666667*SUMIFS(الريسبي!$C$2:$C$1800,الريسبي!$A$2:$A$1800,$A137,الريسبي!$B$2:$B$1800,"عجين كريب (مصنع بالمطعم)")+0.004166666667*SUMIFS(الريسبي!$C$2:$C$1800,الريسبي!$A$2:$A$1800,$A137,الريسبي!$B$2:$B$1800,"عجين كريب صيامي (بدون لبن)")</f>
        <v>0</v>
      </c>
      <c r="AO137" s="117" t="n">
        <f aca="false">SUMIFS(الريسبي!$C$2:$C$1800,الريسبي!$A$2:$A$1800,$A137,الريسبي!$B$2:$B$1800,AO$1)</f>
        <v>0</v>
      </c>
      <c r="AP137" s="117" t="n">
        <f aca="false">SUMIFS(الريسبي!$C$2:$C$1800,الريسبي!$A$2:$A$1800,$A137,الريسبي!$B$2:$B$1800,AP$1)</f>
        <v>0</v>
      </c>
      <c r="AQ137" s="117" t="n">
        <f aca="false">SUMIFS(الريسبي!$C$2:$C$1800,الريسبي!$A$2:$A$1800,$A137,الريسبي!$B$2:$B$1800,AQ$1)+0.004166666667*SUMIFS(الريسبي!$C$2:$C$1800,الريسبي!$A$2:$A$1800,$A137,الريسبي!$B$2:$B$1800,"عجين كريب (مصنع بالمطعم)")+0.004166666667*SUMIFS(الريسبي!$C$2:$C$1800,الريسبي!$A$2:$A$1800,$A137,الريسبي!$B$2:$B$1800,"عجين كريب صيامي (بدون لبن)")</f>
        <v>0</v>
      </c>
      <c r="AR137" s="117" t="n">
        <f aca="false">SUMIFS(الريسبي!$C$2:$C$1800,الريسبي!$A$2:$A$1800,$A137,الريسبي!$B$2:$B$1800,AR$1)</f>
        <v>0</v>
      </c>
      <c r="AS137" s="117" t="n">
        <f aca="false">SUMIFS(الريسبي!$C$2:$C$1800,الريسبي!$A$2:$A$1800,$A137,الريسبي!$B$2:$B$1800,AS$1)</f>
        <v>0</v>
      </c>
      <c r="AT137" s="117" t="n">
        <f aca="false">SUMIFS(الريسبي!$C$2:$C$1800,الريسبي!$A$2:$A$1800,$A137,الريسبي!$B$2:$B$1800,AT$1)</f>
        <v>0</v>
      </c>
      <c r="AU137" s="117" t="n">
        <f aca="false">SUMIFS(الريسبي!$C$2:$C$1800,الريسبي!$A$2:$A$1800,$A137,الريسبي!$B$2:$B$1800,AU$1)</f>
        <v>0</v>
      </c>
      <c r="AV137" s="117" t="n">
        <f aca="false">SUMIFS(الريسبي!$C$2:$C$1800,الريسبي!$A$2:$A$1800,$A137,الريسبي!$B$2:$B$1800,AV$1)</f>
        <v>0</v>
      </c>
      <c r="AW137" s="117" t="n">
        <f aca="false">SUMIFS(الريسبي!$C$2:$C$1800,الريسبي!$A$2:$A$1800,$A137,الريسبي!$B$2:$B$1800,AW$1)</f>
        <v>0</v>
      </c>
      <c r="AX137" s="117" t="n">
        <f aca="false">SUMIFS(الريسبي!$C$2:$C$1800,الريسبي!$A$2:$A$1800,$A137,الريسبي!$B$2:$B$1800,AX$1)</f>
        <v>0</v>
      </c>
      <c r="AY137" s="117" t="n">
        <f aca="false">SUMIFS(الريسبي!$C$2:$C$1800,الريسبي!$A$2:$A$1800,$A137,الريسبي!$B$2:$B$1800,AY$1)</f>
        <v>0</v>
      </c>
      <c r="AZ137" s="117" t="n">
        <f aca="false">SUMIFS(الريسبي!$C$2:$C$1800,الريسبي!$A$2:$A$1800,$A137,الريسبي!$B$2:$B$1800,AZ$1)</f>
        <v>0</v>
      </c>
      <c r="BA137" s="117" t="n">
        <f aca="false">SUMIFS(الريسبي!$C$2:$C$1800,الريسبي!$A$2:$A$1800,$A137,الريسبي!$B$2:$B$1800,BA$1)</f>
        <v>0</v>
      </c>
      <c r="BB137" s="117" t="n">
        <f aca="false">SUMIFS(الريسبي!$C$2:$C$1800,الريسبي!$A$2:$A$1800,$A137,الريسبي!$B$2:$B$1800,BB$1)</f>
        <v>0</v>
      </c>
      <c r="BC137" s="117" t="n">
        <f aca="false">SUMIFS(الريسبي!$C$2:$C$1800,الريسبي!$A$2:$A$1800,$A137,الريسبي!$B$2:$B$1800,BC$1)</f>
        <v>0</v>
      </c>
      <c r="BD137" s="117" t="n">
        <f aca="false">SUMIFS(الريسبي!$C$2:$C$1800,الريسبي!$A$2:$A$1800,$A137,الريسبي!$B$2:$B$1800,BD$1)</f>
        <v>0</v>
      </c>
      <c r="BE137" s="117" t="n">
        <f aca="false">SUMIFS(الريسبي!$C$2:$C$1800,الريسبي!$A$2:$A$1800,$A137,الريسبي!$B$2:$B$1800,BE$1)</f>
        <v>0</v>
      </c>
      <c r="BF137" s="117" t="n">
        <f aca="false">SUMIFS(الريسبي!$C$2:$C$1800,الريسبي!$A$2:$A$1800,$A137,الريسبي!$B$2:$B$1800,BF$1)</f>
        <v>0</v>
      </c>
      <c r="BG137" s="117" t="n">
        <f aca="false">SUMIFS(الريسبي!$C$2:$C$1800,الريسبي!$A$2:$A$1800,$A137,الريسبي!$B$2:$B$1800,BG$1)</f>
        <v>0</v>
      </c>
      <c r="BH137" s="117" t="n">
        <f aca="false">SUMIFS(الريسبي!$C$2:$C$1800,الريسبي!$A$2:$A$1800,$A137,الريسبي!$B$2:$B$1800,BH$1)</f>
        <v>0</v>
      </c>
      <c r="BI137" s="117" t="n">
        <f aca="false">SUMIFS(الريسبي!$C$2:$C$1800,الريسبي!$A$2:$A$1800,$A137,الريسبي!$B$2:$B$1800,BI$1)</f>
        <v>0</v>
      </c>
      <c r="BJ137" s="117" t="n">
        <f aca="false">SUMIFS(الريسبي!$C$2:$C$1800,الريسبي!$A$2:$A$1800,$A137,الريسبي!$B$2:$B$1800,BJ$1)</f>
        <v>0</v>
      </c>
      <c r="BK137" s="117" t="n">
        <f aca="false">SUMIFS(الريسبي!$C$2:$C$1800,الريسبي!$A$2:$A$1800,$A137,الريسبي!$B$2:$B$1800,BK$1)</f>
        <v>0</v>
      </c>
      <c r="BL137" s="117" t="n">
        <f aca="false">SUMIFS(الريسبي!$C$2:$C$1800,الريسبي!$A$2:$A$1800,$A137,الريسبي!$B$2:$B$1800,BL$1)</f>
        <v>0</v>
      </c>
      <c r="BM137" s="117" t="n">
        <f aca="false">SUMIFS(الريسبي!$C$2:$C$1800,الريسبي!$A$2:$A$1800,$A137,الريسبي!$B$2:$B$1800,BM$1)</f>
        <v>0</v>
      </c>
      <c r="BN137" s="117" t="n">
        <f aca="false">SUMIFS(الريسبي!$C$2:$C$1800,الريسبي!$A$2:$A$1800,$A137,الريسبي!$B$2:$B$1800,BN$1)</f>
        <v>0</v>
      </c>
      <c r="BO137" s="117" t="n">
        <f aca="false">SUMIFS(الريسبي!$C$2:$C$1800,الريسبي!$A$2:$A$1800,$A137,الريسبي!$B$2:$B$1800,BO$1)</f>
        <v>0</v>
      </c>
      <c r="BP137" s="117" t="n">
        <f aca="false">SUMIFS(الريسبي!$C$2:$C$1800,الريسبي!$A$2:$A$1800,$A137,الريسبي!$B$2:$B$1800,BP$1)</f>
        <v>0</v>
      </c>
      <c r="BQ137" s="117" t="n">
        <f aca="false">SUMIFS(الريسبي!$C$2:$C$1800,الريسبي!$A$2:$A$1800,$A137,الريسبي!$B$2:$B$1800,BQ$1)+0.17*SUMIFS(الريسبي!$C$2:$C$1800,الريسبي!$A$2:$A$1800,$A137,الريسبي!$B$2:$B$1800,"كاسترد مصنع (خليط بودر + لبن)")+0.17*SUMIFS(الريسبي!$C$2:$C$1800,الريسبي!$A$2:$A$1800,$A137,الريسبي!$B$2:$B$1800,"كاسترد مصنع صيامي (بدون لبن)")</f>
        <v>0</v>
      </c>
      <c r="BR137" s="117" t="n">
        <f aca="false">SUMIFS(الريسبي!$C$2:$C$1800,الريسبي!$A$2:$A$1800,$A137,الريسبي!$B$2:$B$1800,BR$1)</f>
        <v>0</v>
      </c>
      <c r="BS137" s="117" t="n">
        <f aca="false">SUMIFS(الريسبي!$C$2:$C$1800,الريسبي!$A$2:$A$1800,$A137,الريسبي!$B$2:$B$1800,BS$1)</f>
        <v>0</v>
      </c>
      <c r="BT137" s="117" t="n">
        <f aca="false">SUMIFS(الريسبي!$C$2:$C$1800,الريسبي!$A$2:$A$1800,$A137,الريسبي!$B$2:$B$1800,BT$1)</f>
        <v>0</v>
      </c>
      <c r="BU137" s="117" t="n">
        <f aca="false">SUMIFS(الريسبي!$C$2:$C$1800,الريسبي!$A$2:$A$1800,$A137,الريسبي!$B$2:$B$1800,BU$1)+0.4*SUMIFS(الريسبي!$C$2:$C$1800,الريسبي!$A$2:$A$1800,$A137,الريسبي!$B$2:$B$1800,"كاسترد مصنع (خليط بودر + لبن)")+0.03333333333*SUMIFS(الريسبي!$C$2:$C$1800,الريسبي!$A$2:$A$1800,$A137,الريسبي!$B$2:$B$1800,"عجين كريب (مصنع بالمطعم)")</f>
        <v>0</v>
      </c>
      <c r="BV137" s="117" t="n">
        <f aca="false">SUMIFS(الريسبي!$C$2:$C$1800,الريسبي!$A$2:$A$1800,$A137,الريسبي!$B$2:$B$1800,BV$1)</f>
        <v>0</v>
      </c>
      <c r="BW137" s="117" t="n">
        <f aca="false">SUMIFS(الريسبي!$C$2:$C$1800,الريسبي!$A$2:$A$1800,$A137,الريسبي!$B$2:$B$1800,BW$1)</f>
        <v>0</v>
      </c>
      <c r="BX137" s="117" t="n">
        <f aca="false">SUMIFS(الريسبي!$C$2:$C$1800,الريسبي!$A$2:$A$1800,$A137,الريسبي!$B$2:$B$1800,BX$1)</f>
        <v>0</v>
      </c>
      <c r="BY137" s="117" t="n">
        <f aca="false">SUMIFS(الريسبي!$C$2:$C$1800,الريسبي!$A$2:$A$1800,$A137,الريسبي!$B$2:$B$1800,BY$1)</f>
        <v>0</v>
      </c>
      <c r="BZ137" s="117" t="n">
        <f aca="false">SUMIFS(الريسبي!$C$2:$C$1800,الريسبي!$A$2:$A$1800,$A137,الريسبي!$B$2:$B$1800,BZ$1)</f>
        <v>0</v>
      </c>
      <c r="CA137" s="117" t="n">
        <f aca="false">SUMIFS(الريسبي!$C$2:$C$1800,الريسبي!$A$2:$A$1800,$A137,الريسبي!$B$2:$B$1800,CA$1)</f>
        <v>0</v>
      </c>
      <c r="CB137" s="117" t="n">
        <f aca="false">SUMIFS(الريسبي!$C$2:$C$1800,الريسبي!$A$2:$A$1800,$A137,الريسبي!$B$2:$B$1800,CB$1)</f>
        <v>0</v>
      </c>
      <c r="CC137" s="117" t="n">
        <f aca="false">SUMIFS(الريسبي!$C$2:$C$1800,الريسبي!$A$2:$A$1800,$A137,الريسبي!$B$2:$B$1800,CC$1)</f>
        <v>0</v>
      </c>
      <c r="CD137" s="117" t="n">
        <f aca="false">SUMIFS(الريسبي!$C$2:$C$1800,الريسبي!$A$2:$A$1800,$A137,الريسبي!$B$2:$B$1800,CD$1)</f>
        <v>0</v>
      </c>
      <c r="CE137" s="117" t="n">
        <f aca="false">SUMIFS(الريسبي!$C$2:$C$1800,الريسبي!$A$2:$A$1800,$A137,الريسبي!$B$2:$B$1800,CE$1)</f>
        <v>0</v>
      </c>
      <c r="CF137" s="117" t="n">
        <f aca="false">SUMIFS(الريسبي!$C$2:$C$1800,الريسبي!$A$2:$A$1800,$A137,الريسبي!$B$2:$B$1800,CF$1)</f>
        <v>0</v>
      </c>
      <c r="CG137" s="117" t="n">
        <f aca="false">SUMIFS(الريسبي!$C$2:$C$1800,الريسبي!$A$2:$A$1800,$A137,الريسبي!$B$2:$B$1800,CG$1)</f>
        <v>0</v>
      </c>
      <c r="CH137" s="117" t="n">
        <f aca="false">SUMIFS(الريسبي!$C$2:$C$1800,الريسبي!$A$2:$A$1800,$A137,الريسبي!$B$2:$B$1800,CH$1)</f>
        <v>0</v>
      </c>
      <c r="CI137" s="117" t="n">
        <f aca="false">SUMIFS(الريسبي!$C$2:$C$1800,الريسبي!$A$2:$A$1800,$A137,الريسبي!$B$2:$B$1800,CI$1)</f>
        <v>0</v>
      </c>
      <c r="CJ137" s="117" t="n">
        <f aca="false">SUMIFS(الريسبي!$C$2:$C$1800,الريسبي!$A$2:$A$1800,$A137,الريسبي!$B$2:$B$1800,CJ$1)</f>
        <v>0</v>
      </c>
      <c r="CK137" s="117" t="n">
        <f aca="false">SUMIFS(الريسبي!$C$2:$C$1800,الريسبي!$A$2:$A$1800,$A137,الريسبي!$B$2:$B$1800,CK$1)</f>
        <v>0</v>
      </c>
      <c r="CL137" s="117" t="n">
        <f aca="false">SUMIFS(الريسبي!$C$2:$C$1800,الريسبي!$A$2:$A$1800,$A137,الريسبي!$B$2:$B$1800,CL$1)</f>
        <v>0</v>
      </c>
    </row>
    <row r="138" customFormat="false" ht="15" hidden="false" customHeight="false" outlineLevel="0" collapsed="false">
      <c r="A138" s="116" t="str">
        <f aca="false">المنيو!B138</f>
        <v>اضافة مكسرات (وسط)</v>
      </c>
      <c r="B138" s="117" t="n">
        <f aca="false">SUMIFS(الريسبي!$C$2:$C$1800,الريسبي!$A$2:$A$1800,$A138,الريسبي!$B$2:$B$1800,B$1)</f>
        <v>0</v>
      </c>
      <c r="C138" s="117" t="n">
        <f aca="false">SUMIFS(الريسبي!$C$2:$C$1800,الريسبي!$A$2:$A$1800,$A138,الريسبي!$B$2:$B$1800,C$1)</f>
        <v>0</v>
      </c>
      <c r="D138" s="117" t="n">
        <f aca="false">SUMIFS(الريسبي!$C$2:$C$1800,الريسبي!$A$2:$A$1800,$A138,الريسبي!$B$2:$B$1800,D$1)</f>
        <v>0</v>
      </c>
      <c r="E138" s="117" t="n">
        <f aca="false">SUMIFS(الريسبي!$C$2:$C$1800,الريسبي!$A$2:$A$1800,$A138,الريسبي!$B$2:$B$1800,E$1)</f>
        <v>0</v>
      </c>
      <c r="F138" s="117" t="n">
        <f aca="false">SUMIFS(الريسبي!$C$2:$C$1800,الريسبي!$A$2:$A$1800,$A138,الريسبي!$B$2:$B$1800,F$1)</f>
        <v>0</v>
      </c>
      <c r="G138" s="117" t="n">
        <f aca="false">SUMIFS(الريسبي!$C$2:$C$1800,الريسبي!$A$2:$A$1800,$A138,الريسبي!$B$2:$B$1800,G$1)</f>
        <v>0</v>
      </c>
      <c r="H138" s="117" t="n">
        <f aca="false">SUMIFS(الريسبي!$C$2:$C$1800,الريسبي!$A$2:$A$1800,$A138,الريسبي!$B$2:$B$1800,H$1)</f>
        <v>0</v>
      </c>
      <c r="I138" s="117" t="n">
        <f aca="false">SUMIFS(الريسبي!$C$2:$C$1800,الريسبي!$A$2:$A$1800,$A138,الريسبي!$B$2:$B$1800,I$1)</f>
        <v>0</v>
      </c>
      <c r="J138" s="117" t="n">
        <f aca="false">SUMIFS(الريسبي!$C$2:$C$1800,الريسبي!$A$2:$A$1800,$A138,الريسبي!$B$2:$B$1800,J$1)</f>
        <v>0</v>
      </c>
      <c r="K138" s="117" t="n">
        <f aca="false">SUMIFS(الريسبي!$C$2:$C$1800,الريسبي!$A$2:$A$1800,$A138,الريسبي!$B$2:$B$1800,K$1)</f>
        <v>0</v>
      </c>
      <c r="L138" s="117" t="n">
        <f aca="false">SUMIFS(الريسبي!$C$2:$C$1800,الريسبي!$A$2:$A$1800,$A138,الريسبي!$B$2:$B$1800,L$1)</f>
        <v>0</v>
      </c>
      <c r="M138" s="117" t="n">
        <f aca="false">SUMIFS(الريسبي!$C$2:$C$1800,الريسبي!$A$2:$A$1800,$A138,الريسبي!$B$2:$B$1800,M$1)</f>
        <v>0</v>
      </c>
      <c r="N138" s="117" t="n">
        <f aca="false">SUMIFS(الريسبي!$C$2:$C$1800,الريسبي!$A$2:$A$1800,$A138,الريسبي!$B$2:$B$1800,N$1)</f>
        <v>0</v>
      </c>
      <c r="O138" s="117" t="n">
        <f aca="false">SUMIFS(الريسبي!$C$2:$C$1800,الريسبي!$A$2:$A$1800,$A138,الريسبي!$B$2:$B$1800,O$1)</f>
        <v>0</v>
      </c>
      <c r="P138" s="117" t="n">
        <f aca="false">SUMIFS(الريسبي!$C$2:$C$1800,الريسبي!$A$2:$A$1800,$A138,الريسبي!$B$2:$B$1800,P$1)</f>
        <v>0</v>
      </c>
      <c r="Q138" s="117" t="n">
        <f aca="false">SUMIFS(الريسبي!$C$2:$C$1800,الريسبي!$A$2:$A$1800,$A138,الريسبي!$B$2:$B$1800,Q$1)</f>
        <v>0</v>
      </c>
      <c r="R138" s="117" t="n">
        <f aca="false">SUMIFS(الريسبي!$C$2:$C$1800,الريسبي!$A$2:$A$1800,$A138,الريسبي!$B$2:$B$1800,R$1)</f>
        <v>0</v>
      </c>
      <c r="S138" s="117" t="n">
        <f aca="false">SUMIFS(الريسبي!$C$2:$C$1800,الريسبي!$A$2:$A$1800,$A138,الريسبي!$B$2:$B$1800,S$1)</f>
        <v>0</v>
      </c>
      <c r="T138" s="117" t="n">
        <f aca="false">SUMIFS(الريسبي!$C$2:$C$1800,الريسبي!$A$2:$A$1800,$A138,الريسبي!$B$2:$B$1800,T$1)</f>
        <v>0</v>
      </c>
      <c r="U138" s="117" t="n">
        <f aca="false">SUMIFS(الريسبي!$C$2:$C$1800,الريسبي!$A$2:$A$1800,$A138,الريسبي!$B$2:$B$1800,U$1)</f>
        <v>1</v>
      </c>
      <c r="V138" s="117" t="n">
        <f aca="false">SUMIFS(الريسبي!$C$2:$C$1800,الريسبي!$A$2:$A$1800,$A138,الريسبي!$B$2:$B$1800,V$1)</f>
        <v>0</v>
      </c>
      <c r="W138" s="117" t="n">
        <f aca="false">SUMIFS(الريسبي!$C$2:$C$1800,الريسبي!$A$2:$A$1800,$A138,الريسبي!$B$2:$B$1800,W$1)</f>
        <v>0</v>
      </c>
      <c r="X138" s="117" t="n">
        <f aca="false">SUMIFS(الريسبي!$C$2:$C$1800,الريسبي!$A$2:$A$1800,$A138,الريسبي!$B$2:$B$1800,X$1)</f>
        <v>0</v>
      </c>
      <c r="Y138" s="117" t="n">
        <f aca="false">SUMIFS(الريسبي!$C$2:$C$1800,الريسبي!$A$2:$A$1800,$A138,الريسبي!$B$2:$B$1800,Y$1)</f>
        <v>0</v>
      </c>
      <c r="Z138" s="117" t="n">
        <f aca="false">SUMIFS(الريسبي!$C$2:$C$1800,الريسبي!$A$2:$A$1800,$A138,الريسبي!$B$2:$B$1800,Z$1)</f>
        <v>0</v>
      </c>
      <c r="AA138" s="117" t="n">
        <f aca="false">SUMIFS(الريسبي!$C$2:$C$1800,الريسبي!$A$2:$A$1800,$A138,الريسبي!$B$2:$B$1800,AA$1)</f>
        <v>0</v>
      </c>
      <c r="AB138" s="117" t="n">
        <f aca="false">SUMIFS(الريسبي!$C$2:$C$1800,الريسبي!$A$2:$A$1800,$A138,الريسبي!$B$2:$B$1800,AB$1)</f>
        <v>0</v>
      </c>
      <c r="AC138" s="117" t="n">
        <f aca="false">SUMIFS(الريسبي!$C$2:$C$1800,الريسبي!$A$2:$A$1800,$A138,الريسبي!$B$2:$B$1800,AC$1)</f>
        <v>0</v>
      </c>
      <c r="AD138" s="117" t="n">
        <f aca="false">SUMIFS(الريسبي!$C$2:$C$1800,الريسبي!$A$2:$A$1800,$A138,الريسبي!$B$2:$B$1800,AD$1)</f>
        <v>0</v>
      </c>
      <c r="AE138" s="117" t="n">
        <f aca="false">SUMIFS(الريسبي!$C$2:$C$1800,الريسبي!$A$2:$A$1800,$A138,الريسبي!$B$2:$B$1800,AE$1)</f>
        <v>0</v>
      </c>
      <c r="AF138" s="117" t="n">
        <f aca="false">SUMIFS(الريسبي!$C$2:$C$1800,الريسبي!$A$2:$A$1800,$A138,الريسبي!$B$2:$B$1800,AF$1)</f>
        <v>0</v>
      </c>
      <c r="AG138" s="117" t="n">
        <f aca="false">SUMIFS(الريسبي!$C$2:$C$1800,الريسبي!$A$2:$A$1800,$A138,الريسبي!$B$2:$B$1800,AG$1)</f>
        <v>0</v>
      </c>
      <c r="AH138" s="117" t="n">
        <f aca="false">SUMIFS(الريسبي!$C$2:$C$1800,الريسبي!$A$2:$A$1800,$A138,الريسبي!$B$2:$B$1800,AH$1)</f>
        <v>0</v>
      </c>
      <c r="AI138" s="117" t="n">
        <f aca="false">SUMIFS(الريسبي!$C$2:$C$1800,الريسبي!$A$2:$A$1800,$A138,الريسبي!$B$2:$B$1800,AI$1)</f>
        <v>0</v>
      </c>
      <c r="AJ138" s="117" t="n">
        <f aca="false">SUMIFS(الريسبي!$C$2:$C$1800,الريسبي!$A$2:$A$1800,$A138,الريسبي!$B$2:$B$1800,AJ$1)</f>
        <v>0</v>
      </c>
      <c r="AK138" s="117" t="n">
        <f aca="false">SUMIFS(الريسبي!$C$2:$C$1800,الريسبي!$A$2:$A$1800,$A138,الريسبي!$B$2:$B$1800,AK$1)</f>
        <v>0</v>
      </c>
      <c r="AL138" s="117" t="n">
        <f aca="false">SUMIFS(الريسبي!$C$2:$C$1800,الريسبي!$A$2:$A$1800,$A138,الريسبي!$B$2:$B$1800,AL$1)</f>
        <v>0</v>
      </c>
      <c r="AM138" s="117" t="n">
        <f aca="false">SUMIFS(الريسبي!$C$2:$C$1800,الريسبي!$A$2:$A$1800,$A138,الريسبي!$B$2:$B$1800,AM$1)+0.08333333333*SUMIFS(الريسبي!$C$2:$C$1800,الريسبي!$A$2:$A$1800,$A138,الريسبي!$B$2:$B$1800,"عجين كريب (مصنع بالمطعم)")+0.08333333333*SUMIFS(الريسبي!$C$2:$C$1800,الريسبي!$A$2:$A$1800,$A138,الريسبي!$B$2:$B$1800,"عجين كريب صيامي (بدون لبن)")</f>
        <v>0</v>
      </c>
      <c r="AN138" s="117" t="n">
        <f aca="false">SUMIFS(الريسبي!$C$2:$C$1800,الريسبي!$A$2:$A$1800,$A138,الريسبي!$B$2:$B$1800,AN$1)+0.004166666667*SUMIFS(الريسبي!$C$2:$C$1800,الريسبي!$A$2:$A$1800,$A138,الريسبي!$B$2:$B$1800,"عجين كريب (مصنع بالمطعم)")+0.004166666667*SUMIFS(الريسبي!$C$2:$C$1800,الريسبي!$A$2:$A$1800,$A138,الريسبي!$B$2:$B$1800,"عجين كريب صيامي (بدون لبن)")</f>
        <v>0</v>
      </c>
      <c r="AO138" s="117" t="n">
        <f aca="false">SUMIFS(الريسبي!$C$2:$C$1800,الريسبي!$A$2:$A$1800,$A138,الريسبي!$B$2:$B$1800,AO$1)</f>
        <v>0</v>
      </c>
      <c r="AP138" s="117" t="n">
        <f aca="false">SUMIFS(الريسبي!$C$2:$C$1800,الريسبي!$A$2:$A$1800,$A138,الريسبي!$B$2:$B$1800,AP$1)</f>
        <v>0</v>
      </c>
      <c r="AQ138" s="117" t="n">
        <f aca="false">SUMIFS(الريسبي!$C$2:$C$1800,الريسبي!$A$2:$A$1800,$A138,الريسبي!$B$2:$B$1800,AQ$1)+0.004166666667*SUMIFS(الريسبي!$C$2:$C$1800,الريسبي!$A$2:$A$1800,$A138,الريسبي!$B$2:$B$1800,"عجين كريب (مصنع بالمطعم)")+0.004166666667*SUMIFS(الريسبي!$C$2:$C$1800,الريسبي!$A$2:$A$1800,$A138,الريسبي!$B$2:$B$1800,"عجين كريب صيامي (بدون لبن)")</f>
        <v>0</v>
      </c>
      <c r="AR138" s="117" t="n">
        <f aca="false">SUMIFS(الريسبي!$C$2:$C$1800,الريسبي!$A$2:$A$1800,$A138,الريسبي!$B$2:$B$1800,AR$1)</f>
        <v>0</v>
      </c>
      <c r="AS138" s="117" t="n">
        <f aca="false">SUMIFS(الريسبي!$C$2:$C$1800,الريسبي!$A$2:$A$1800,$A138,الريسبي!$B$2:$B$1800,AS$1)</f>
        <v>0</v>
      </c>
      <c r="AT138" s="117" t="n">
        <f aca="false">SUMIFS(الريسبي!$C$2:$C$1800,الريسبي!$A$2:$A$1800,$A138,الريسبي!$B$2:$B$1800,AT$1)</f>
        <v>0</v>
      </c>
      <c r="AU138" s="117" t="n">
        <f aca="false">SUMIFS(الريسبي!$C$2:$C$1800,الريسبي!$A$2:$A$1800,$A138,الريسبي!$B$2:$B$1800,AU$1)</f>
        <v>0</v>
      </c>
      <c r="AV138" s="117" t="n">
        <f aca="false">SUMIFS(الريسبي!$C$2:$C$1800,الريسبي!$A$2:$A$1800,$A138,الريسبي!$B$2:$B$1800,AV$1)</f>
        <v>0</v>
      </c>
      <c r="AW138" s="117" t="n">
        <f aca="false">SUMIFS(الريسبي!$C$2:$C$1800,الريسبي!$A$2:$A$1800,$A138,الريسبي!$B$2:$B$1800,AW$1)</f>
        <v>0</v>
      </c>
      <c r="AX138" s="117" t="n">
        <f aca="false">SUMIFS(الريسبي!$C$2:$C$1800,الريسبي!$A$2:$A$1800,$A138,الريسبي!$B$2:$B$1800,AX$1)</f>
        <v>0</v>
      </c>
      <c r="AY138" s="117" t="n">
        <f aca="false">SUMIFS(الريسبي!$C$2:$C$1800,الريسبي!$A$2:$A$1800,$A138,الريسبي!$B$2:$B$1800,AY$1)</f>
        <v>0</v>
      </c>
      <c r="AZ138" s="117" t="n">
        <f aca="false">SUMIFS(الريسبي!$C$2:$C$1800,الريسبي!$A$2:$A$1800,$A138,الريسبي!$B$2:$B$1800,AZ$1)</f>
        <v>0</v>
      </c>
      <c r="BA138" s="117" t="n">
        <f aca="false">SUMIFS(الريسبي!$C$2:$C$1800,الريسبي!$A$2:$A$1800,$A138,الريسبي!$B$2:$B$1800,BA$1)</f>
        <v>0</v>
      </c>
      <c r="BB138" s="117" t="n">
        <f aca="false">SUMIFS(الريسبي!$C$2:$C$1800,الريسبي!$A$2:$A$1800,$A138,الريسبي!$B$2:$B$1800,BB$1)</f>
        <v>0</v>
      </c>
      <c r="BC138" s="117" t="n">
        <f aca="false">SUMIFS(الريسبي!$C$2:$C$1800,الريسبي!$A$2:$A$1800,$A138,الريسبي!$B$2:$B$1800,BC$1)</f>
        <v>0</v>
      </c>
      <c r="BD138" s="117" t="n">
        <f aca="false">SUMIFS(الريسبي!$C$2:$C$1800,الريسبي!$A$2:$A$1800,$A138,الريسبي!$B$2:$B$1800,BD$1)</f>
        <v>0</v>
      </c>
      <c r="BE138" s="117" t="n">
        <f aca="false">SUMIFS(الريسبي!$C$2:$C$1800,الريسبي!$A$2:$A$1800,$A138,الريسبي!$B$2:$B$1800,BE$1)</f>
        <v>0</v>
      </c>
      <c r="BF138" s="117" t="n">
        <f aca="false">SUMIFS(الريسبي!$C$2:$C$1800,الريسبي!$A$2:$A$1800,$A138,الريسبي!$B$2:$B$1800,BF$1)</f>
        <v>0</v>
      </c>
      <c r="BG138" s="117" t="n">
        <f aca="false">SUMIFS(الريسبي!$C$2:$C$1800,الريسبي!$A$2:$A$1800,$A138,الريسبي!$B$2:$B$1800,BG$1)</f>
        <v>0</v>
      </c>
      <c r="BH138" s="117" t="n">
        <f aca="false">SUMIFS(الريسبي!$C$2:$C$1800,الريسبي!$A$2:$A$1800,$A138,الريسبي!$B$2:$B$1800,BH$1)</f>
        <v>0</v>
      </c>
      <c r="BI138" s="117" t="n">
        <f aca="false">SUMIFS(الريسبي!$C$2:$C$1800,الريسبي!$A$2:$A$1800,$A138,الريسبي!$B$2:$B$1800,BI$1)</f>
        <v>0</v>
      </c>
      <c r="BJ138" s="117" t="n">
        <f aca="false">SUMIFS(الريسبي!$C$2:$C$1800,الريسبي!$A$2:$A$1800,$A138,الريسبي!$B$2:$B$1800,BJ$1)</f>
        <v>0</v>
      </c>
      <c r="BK138" s="117" t="n">
        <f aca="false">SUMIFS(الريسبي!$C$2:$C$1800,الريسبي!$A$2:$A$1800,$A138,الريسبي!$B$2:$B$1800,BK$1)</f>
        <v>0</v>
      </c>
      <c r="BL138" s="117" t="n">
        <f aca="false">SUMIFS(الريسبي!$C$2:$C$1800,الريسبي!$A$2:$A$1800,$A138,الريسبي!$B$2:$B$1800,BL$1)</f>
        <v>0</v>
      </c>
      <c r="BM138" s="117" t="n">
        <f aca="false">SUMIFS(الريسبي!$C$2:$C$1800,الريسبي!$A$2:$A$1800,$A138,الريسبي!$B$2:$B$1800,BM$1)</f>
        <v>0</v>
      </c>
      <c r="BN138" s="117" t="n">
        <f aca="false">SUMIFS(الريسبي!$C$2:$C$1800,الريسبي!$A$2:$A$1800,$A138,الريسبي!$B$2:$B$1800,BN$1)</f>
        <v>0</v>
      </c>
      <c r="BO138" s="117" t="n">
        <f aca="false">SUMIFS(الريسبي!$C$2:$C$1800,الريسبي!$A$2:$A$1800,$A138,الريسبي!$B$2:$B$1800,BO$1)</f>
        <v>0</v>
      </c>
      <c r="BP138" s="117" t="n">
        <f aca="false">SUMIFS(الريسبي!$C$2:$C$1800,الريسبي!$A$2:$A$1800,$A138,الريسبي!$B$2:$B$1800,BP$1)</f>
        <v>0</v>
      </c>
      <c r="BQ138" s="117" t="n">
        <f aca="false">SUMIFS(الريسبي!$C$2:$C$1800,الريسبي!$A$2:$A$1800,$A138,الريسبي!$B$2:$B$1800,BQ$1)+0.17*SUMIFS(الريسبي!$C$2:$C$1800,الريسبي!$A$2:$A$1800,$A138,الريسبي!$B$2:$B$1800,"كاسترد مصنع (خليط بودر + لبن)")+0.17*SUMIFS(الريسبي!$C$2:$C$1800,الريسبي!$A$2:$A$1800,$A138,الريسبي!$B$2:$B$1800,"كاسترد مصنع صيامي (بدون لبن)")</f>
        <v>0</v>
      </c>
      <c r="BR138" s="117" t="n">
        <f aca="false">SUMIFS(الريسبي!$C$2:$C$1800,الريسبي!$A$2:$A$1800,$A138,الريسبي!$B$2:$B$1800,BR$1)</f>
        <v>0</v>
      </c>
      <c r="BS138" s="117" t="n">
        <f aca="false">SUMIFS(الريسبي!$C$2:$C$1800,الريسبي!$A$2:$A$1800,$A138,الريسبي!$B$2:$B$1800,BS$1)</f>
        <v>0</v>
      </c>
      <c r="BT138" s="117" t="n">
        <f aca="false">SUMIFS(الريسبي!$C$2:$C$1800,الريسبي!$A$2:$A$1800,$A138,الريسبي!$B$2:$B$1800,BT$1)</f>
        <v>0</v>
      </c>
      <c r="BU138" s="117" t="n">
        <f aca="false">SUMIFS(الريسبي!$C$2:$C$1800,الريسبي!$A$2:$A$1800,$A138,الريسبي!$B$2:$B$1800,BU$1)+0.4*SUMIFS(الريسبي!$C$2:$C$1800,الريسبي!$A$2:$A$1800,$A138,الريسبي!$B$2:$B$1800,"كاسترد مصنع (خليط بودر + لبن)")+0.03333333333*SUMIFS(الريسبي!$C$2:$C$1800,الريسبي!$A$2:$A$1800,$A138,الريسبي!$B$2:$B$1800,"عجين كريب (مصنع بالمطعم)")</f>
        <v>0</v>
      </c>
      <c r="BV138" s="117" t="n">
        <f aca="false">SUMIFS(الريسبي!$C$2:$C$1800,الريسبي!$A$2:$A$1800,$A138,الريسبي!$B$2:$B$1800,BV$1)</f>
        <v>0</v>
      </c>
      <c r="BW138" s="117" t="n">
        <f aca="false">SUMIFS(الريسبي!$C$2:$C$1800,الريسبي!$A$2:$A$1800,$A138,الريسبي!$B$2:$B$1800,BW$1)</f>
        <v>0</v>
      </c>
      <c r="BX138" s="117" t="n">
        <f aca="false">SUMIFS(الريسبي!$C$2:$C$1800,الريسبي!$A$2:$A$1800,$A138,الريسبي!$B$2:$B$1800,BX$1)</f>
        <v>0</v>
      </c>
      <c r="BY138" s="117" t="n">
        <f aca="false">SUMIFS(الريسبي!$C$2:$C$1800,الريسبي!$A$2:$A$1800,$A138,الريسبي!$B$2:$B$1800,BY$1)</f>
        <v>0</v>
      </c>
      <c r="BZ138" s="117" t="n">
        <f aca="false">SUMIFS(الريسبي!$C$2:$C$1800,الريسبي!$A$2:$A$1800,$A138,الريسبي!$B$2:$B$1800,BZ$1)</f>
        <v>0</v>
      </c>
      <c r="CA138" s="117" t="n">
        <f aca="false">SUMIFS(الريسبي!$C$2:$C$1800,الريسبي!$A$2:$A$1800,$A138,الريسبي!$B$2:$B$1800,CA$1)</f>
        <v>0</v>
      </c>
      <c r="CB138" s="117" t="n">
        <f aca="false">SUMIFS(الريسبي!$C$2:$C$1800,الريسبي!$A$2:$A$1800,$A138,الريسبي!$B$2:$B$1800,CB$1)</f>
        <v>0</v>
      </c>
      <c r="CC138" s="117" t="n">
        <f aca="false">SUMIFS(الريسبي!$C$2:$C$1800,الريسبي!$A$2:$A$1800,$A138,الريسبي!$B$2:$B$1800,CC$1)</f>
        <v>0</v>
      </c>
      <c r="CD138" s="117" t="n">
        <f aca="false">SUMIFS(الريسبي!$C$2:$C$1800,الريسبي!$A$2:$A$1800,$A138,الريسبي!$B$2:$B$1800,CD$1)</f>
        <v>0</v>
      </c>
      <c r="CE138" s="117" t="n">
        <f aca="false">SUMIFS(الريسبي!$C$2:$C$1800,الريسبي!$A$2:$A$1800,$A138,الريسبي!$B$2:$B$1800,CE$1)</f>
        <v>0</v>
      </c>
      <c r="CF138" s="117" t="n">
        <f aca="false">SUMIFS(الريسبي!$C$2:$C$1800,الريسبي!$A$2:$A$1800,$A138,الريسبي!$B$2:$B$1800,CF$1)</f>
        <v>0</v>
      </c>
      <c r="CG138" s="117" t="n">
        <f aca="false">SUMIFS(الريسبي!$C$2:$C$1800,الريسبي!$A$2:$A$1800,$A138,الريسبي!$B$2:$B$1800,CG$1)</f>
        <v>0</v>
      </c>
      <c r="CH138" s="117" t="n">
        <f aca="false">SUMIFS(الريسبي!$C$2:$C$1800,الريسبي!$A$2:$A$1800,$A138,الريسبي!$B$2:$B$1800,CH$1)</f>
        <v>0</v>
      </c>
      <c r="CI138" s="117" t="n">
        <f aca="false">SUMIFS(الريسبي!$C$2:$C$1800,الريسبي!$A$2:$A$1800,$A138,الريسبي!$B$2:$B$1800,CI$1)</f>
        <v>0</v>
      </c>
      <c r="CJ138" s="117" t="n">
        <f aca="false">SUMIFS(الريسبي!$C$2:$C$1800,الريسبي!$A$2:$A$1800,$A138,الريسبي!$B$2:$B$1800,CJ$1)</f>
        <v>0</v>
      </c>
      <c r="CK138" s="117" t="n">
        <f aca="false">SUMIFS(الريسبي!$C$2:$C$1800,الريسبي!$A$2:$A$1800,$A138,الريسبي!$B$2:$B$1800,CK$1)</f>
        <v>0</v>
      </c>
      <c r="CL138" s="117" t="n">
        <f aca="false">SUMIFS(الريسبي!$C$2:$C$1800,الريسبي!$A$2:$A$1800,$A138,الريسبي!$B$2:$B$1800,CL$1)</f>
        <v>0</v>
      </c>
    </row>
    <row r="139" customFormat="false" ht="15" hidden="false" customHeight="false" outlineLevel="0" collapsed="false">
      <c r="A139" s="116" t="str">
        <f aca="false">المنيو!B139</f>
        <v>اضافة مكسرات (كبير)</v>
      </c>
      <c r="B139" s="117" t="n">
        <f aca="false">SUMIFS(الريسبي!$C$2:$C$1800,الريسبي!$A$2:$A$1800,$A139,الريسبي!$B$2:$B$1800,B$1)</f>
        <v>0</v>
      </c>
      <c r="C139" s="117" t="n">
        <f aca="false">SUMIFS(الريسبي!$C$2:$C$1800,الريسبي!$A$2:$A$1800,$A139,الريسبي!$B$2:$B$1800,C$1)</f>
        <v>0</v>
      </c>
      <c r="D139" s="117" t="n">
        <f aca="false">SUMIFS(الريسبي!$C$2:$C$1800,الريسبي!$A$2:$A$1800,$A139,الريسبي!$B$2:$B$1800,D$1)</f>
        <v>0</v>
      </c>
      <c r="E139" s="117" t="n">
        <f aca="false">SUMIFS(الريسبي!$C$2:$C$1800,الريسبي!$A$2:$A$1800,$A139,الريسبي!$B$2:$B$1800,E$1)</f>
        <v>0</v>
      </c>
      <c r="F139" s="117" t="n">
        <f aca="false">SUMIFS(الريسبي!$C$2:$C$1800,الريسبي!$A$2:$A$1800,$A139,الريسبي!$B$2:$B$1800,F$1)</f>
        <v>0</v>
      </c>
      <c r="G139" s="117" t="n">
        <f aca="false">SUMIFS(الريسبي!$C$2:$C$1800,الريسبي!$A$2:$A$1800,$A139,الريسبي!$B$2:$B$1800,G$1)</f>
        <v>0</v>
      </c>
      <c r="H139" s="117" t="n">
        <f aca="false">SUMIFS(الريسبي!$C$2:$C$1800,الريسبي!$A$2:$A$1800,$A139,الريسبي!$B$2:$B$1800,H$1)</f>
        <v>0</v>
      </c>
      <c r="I139" s="117" t="n">
        <f aca="false">SUMIFS(الريسبي!$C$2:$C$1800,الريسبي!$A$2:$A$1800,$A139,الريسبي!$B$2:$B$1800,I$1)</f>
        <v>0</v>
      </c>
      <c r="J139" s="117" t="n">
        <f aca="false">SUMIFS(الريسبي!$C$2:$C$1800,الريسبي!$A$2:$A$1800,$A139,الريسبي!$B$2:$B$1800,J$1)</f>
        <v>0</v>
      </c>
      <c r="K139" s="117" t="n">
        <f aca="false">SUMIFS(الريسبي!$C$2:$C$1800,الريسبي!$A$2:$A$1800,$A139,الريسبي!$B$2:$B$1800,K$1)</f>
        <v>0</v>
      </c>
      <c r="L139" s="117" t="n">
        <f aca="false">SUMIFS(الريسبي!$C$2:$C$1800,الريسبي!$A$2:$A$1800,$A139,الريسبي!$B$2:$B$1800,L$1)</f>
        <v>0</v>
      </c>
      <c r="M139" s="117" t="n">
        <f aca="false">SUMIFS(الريسبي!$C$2:$C$1800,الريسبي!$A$2:$A$1800,$A139,الريسبي!$B$2:$B$1800,M$1)</f>
        <v>0</v>
      </c>
      <c r="N139" s="117" t="n">
        <f aca="false">SUMIFS(الريسبي!$C$2:$C$1800,الريسبي!$A$2:$A$1800,$A139,الريسبي!$B$2:$B$1800,N$1)</f>
        <v>0</v>
      </c>
      <c r="O139" s="117" t="n">
        <f aca="false">SUMIFS(الريسبي!$C$2:$C$1800,الريسبي!$A$2:$A$1800,$A139,الريسبي!$B$2:$B$1800,O$1)</f>
        <v>0</v>
      </c>
      <c r="P139" s="117" t="n">
        <f aca="false">SUMIFS(الريسبي!$C$2:$C$1800,الريسبي!$A$2:$A$1800,$A139,الريسبي!$B$2:$B$1800,P$1)</f>
        <v>0</v>
      </c>
      <c r="Q139" s="117" t="n">
        <f aca="false">SUMIFS(الريسبي!$C$2:$C$1800,الريسبي!$A$2:$A$1800,$A139,الريسبي!$B$2:$B$1800,Q$1)</f>
        <v>0</v>
      </c>
      <c r="R139" s="117" t="n">
        <f aca="false">SUMIFS(الريسبي!$C$2:$C$1800,الريسبي!$A$2:$A$1800,$A139,الريسبي!$B$2:$B$1800,R$1)</f>
        <v>0</v>
      </c>
      <c r="S139" s="117" t="n">
        <f aca="false">SUMIFS(الريسبي!$C$2:$C$1800,الريسبي!$A$2:$A$1800,$A139,الريسبي!$B$2:$B$1800,S$1)</f>
        <v>0</v>
      </c>
      <c r="T139" s="117" t="n">
        <f aca="false">SUMIFS(الريسبي!$C$2:$C$1800,الريسبي!$A$2:$A$1800,$A139,الريسبي!$B$2:$B$1800,T$1)</f>
        <v>0</v>
      </c>
      <c r="U139" s="117" t="n">
        <f aca="false">SUMIFS(الريسبي!$C$2:$C$1800,الريسبي!$A$2:$A$1800,$A139,الريسبي!$B$2:$B$1800,U$1)</f>
        <v>2</v>
      </c>
      <c r="V139" s="117" t="n">
        <f aca="false">SUMIFS(الريسبي!$C$2:$C$1800,الريسبي!$A$2:$A$1800,$A139,الريسبي!$B$2:$B$1800,V$1)</f>
        <v>0</v>
      </c>
      <c r="W139" s="117" t="n">
        <f aca="false">SUMIFS(الريسبي!$C$2:$C$1800,الريسبي!$A$2:$A$1800,$A139,الريسبي!$B$2:$B$1800,W$1)</f>
        <v>0</v>
      </c>
      <c r="X139" s="117" t="n">
        <f aca="false">SUMIFS(الريسبي!$C$2:$C$1800,الريسبي!$A$2:$A$1800,$A139,الريسبي!$B$2:$B$1800,X$1)</f>
        <v>0</v>
      </c>
      <c r="Y139" s="117" t="n">
        <f aca="false">SUMIFS(الريسبي!$C$2:$C$1800,الريسبي!$A$2:$A$1800,$A139,الريسبي!$B$2:$B$1800,Y$1)</f>
        <v>0</v>
      </c>
      <c r="Z139" s="117" t="n">
        <f aca="false">SUMIFS(الريسبي!$C$2:$C$1800,الريسبي!$A$2:$A$1800,$A139,الريسبي!$B$2:$B$1800,Z$1)</f>
        <v>0</v>
      </c>
      <c r="AA139" s="117" t="n">
        <f aca="false">SUMIFS(الريسبي!$C$2:$C$1800,الريسبي!$A$2:$A$1800,$A139,الريسبي!$B$2:$B$1800,AA$1)</f>
        <v>0</v>
      </c>
      <c r="AB139" s="117" t="n">
        <f aca="false">SUMIFS(الريسبي!$C$2:$C$1800,الريسبي!$A$2:$A$1800,$A139,الريسبي!$B$2:$B$1800,AB$1)</f>
        <v>0</v>
      </c>
      <c r="AC139" s="117" t="n">
        <f aca="false">SUMIFS(الريسبي!$C$2:$C$1800,الريسبي!$A$2:$A$1800,$A139,الريسبي!$B$2:$B$1800,AC$1)</f>
        <v>0</v>
      </c>
      <c r="AD139" s="117" t="n">
        <f aca="false">SUMIFS(الريسبي!$C$2:$C$1800,الريسبي!$A$2:$A$1800,$A139,الريسبي!$B$2:$B$1800,AD$1)</f>
        <v>0</v>
      </c>
      <c r="AE139" s="117" t="n">
        <f aca="false">SUMIFS(الريسبي!$C$2:$C$1800,الريسبي!$A$2:$A$1800,$A139,الريسبي!$B$2:$B$1800,AE$1)</f>
        <v>0</v>
      </c>
      <c r="AF139" s="117" t="n">
        <f aca="false">SUMIFS(الريسبي!$C$2:$C$1800,الريسبي!$A$2:$A$1800,$A139,الريسبي!$B$2:$B$1800,AF$1)</f>
        <v>0</v>
      </c>
      <c r="AG139" s="117" t="n">
        <f aca="false">SUMIFS(الريسبي!$C$2:$C$1800,الريسبي!$A$2:$A$1800,$A139,الريسبي!$B$2:$B$1800,AG$1)</f>
        <v>0</v>
      </c>
      <c r="AH139" s="117" t="n">
        <f aca="false">SUMIFS(الريسبي!$C$2:$C$1800,الريسبي!$A$2:$A$1800,$A139,الريسبي!$B$2:$B$1800,AH$1)</f>
        <v>0</v>
      </c>
      <c r="AI139" s="117" t="n">
        <f aca="false">SUMIFS(الريسبي!$C$2:$C$1800,الريسبي!$A$2:$A$1800,$A139,الريسبي!$B$2:$B$1800,AI$1)</f>
        <v>0</v>
      </c>
      <c r="AJ139" s="117" t="n">
        <f aca="false">SUMIFS(الريسبي!$C$2:$C$1800,الريسبي!$A$2:$A$1800,$A139,الريسبي!$B$2:$B$1800,AJ$1)</f>
        <v>0</v>
      </c>
      <c r="AK139" s="117" t="n">
        <f aca="false">SUMIFS(الريسبي!$C$2:$C$1800,الريسبي!$A$2:$A$1800,$A139,الريسبي!$B$2:$B$1800,AK$1)</f>
        <v>0</v>
      </c>
      <c r="AL139" s="117" t="n">
        <f aca="false">SUMIFS(الريسبي!$C$2:$C$1800,الريسبي!$A$2:$A$1800,$A139,الريسبي!$B$2:$B$1800,AL$1)</f>
        <v>0</v>
      </c>
      <c r="AM139" s="117" t="n">
        <f aca="false">SUMIFS(الريسبي!$C$2:$C$1800,الريسبي!$A$2:$A$1800,$A139,الريسبي!$B$2:$B$1800,AM$1)+0.08333333333*SUMIFS(الريسبي!$C$2:$C$1800,الريسبي!$A$2:$A$1800,$A139,الريسبي!$B$2:$B$1800,"عجين كريب (مصنع بالمطعم)")+0.08333333333*SUMIFS(الريسبي!$C$2:$C$1800,الريسبي!$A$2:$A$1800,$A139,الريسبي!$B$2:$B$1800,"عجين كريب صيامي (بدون لبن)")</f>
        <v>0</v>
      </c>
      <c r="AN139" s="117" t="n">
        <f aca="false">SUMIFS(الريسبي!$C$2:$C$1800,الريسبي!$A$2:$A$1800,$A139,الريسبي!$B$2:$B$1800,AN$1)+0.004166666667*SUMIFS(الريسبي!$C$2:$C$1800,الريسبي!$A$2:$A$1800,$A139,الريسبي!$B$2:$B$1800,"عجين كريب (مصنع بالمطعم)")+0.004166666667*SUMIFS(الريسبي!$C$2:$C$1800,الريسبي!$A$2:$A$1800,$A139,الريسبي!$B$2:$B$1800,"عجين كريب صيامي (بدون لبن)")</f>
        <v>0</v>
      </c>
      <c r="AO139" s="117" t="n">
        <f aca="false">SUMIFS(الريسبي!$C$2:$C$1800,الريسبي!$A$2:$A$1800,$A139,الريسبي!$B$2:$B$1800,AO$1)</f>
        <v>0</v>
      </c>
      <c r="AP139" s="117" t="n">
        <f aca="false">SUMIFS(الريسبي!$C$2:$C$1800,الريسبي!$A$2:$A$1800,$A139,الريسبي!$B$2:$B$1800,AP$1)</f>
        <v>0</v>
      </c>
      <c r="AQ139" s="117" t="n">
        <f aca="false">SUMIFS(الريسبي!$C$2:$C$1800,الريسبي!$A$2:$A$1800,$A139,الريسبي!$B$2:$B$1800,AQ$1)+0.004166666667*SUMIFS(الريسبي!$C$2:$C$1800,الريسبي!$A$2:$A$1800,$A139,الريسبي!$B$2:$B$1800,"عجين كريب (مصنع بالمطعم)")+0.004166666667*SUMIFS(الريسبي!$C$2:$C$1800,الريسبي!$A$2:$A$1800,$A139,الريسبي!$B$2:$B$1800,"عجين كريب صيامي (بدون لبن)")</f>
        <v>0</v>
      </c>
      <c r="AR139" s="117" t="n">
        <f aca="false">SUMIFS(الريسبي!$C$2:$C$1800,الريسبي!$A$2:$A$1800,$A139,الريسبي!$B$2:$B$1800,AR$1)</f>
        <v>0</v>
      </c>
      <c r="AS139" s="117" t="n">
        <f aca="false">SUMIFS(الريسبي!$C$2:$C$1800,الريسبي!$A$2:$A$1800,$A139,الريسبي!$B$2:$B$1800,AS$1)</f>
        <v>0</v>
      </c>
      <c r="AT139" s="117" t="n">
        <f aca="false">SUMIFS(الريسبي!$C$2:$C$1800,الريسبي!$A$2:$A$1800,$A139,الريسبي!$B$2:$B$1800,AT$1)</f>
        <v>0</v>
      </c>
      <c r="AU139" s="117" t="n">
        <f aca="false">SUMIFS(الريسبي!$C$2:$C$1800,الريسبي!$A$2:$A$1800,$A139,الريسبي!$B$2:$B$1800,AU$1)</f>
        <v>0</v>
      </c>
      <c r="AV139" s="117" t="n">
        <f aca="false">SUMIFS(الريسبي!$C$2:$C$1800,الريسبي!$A$2:$A$1800,$A139,الريسبي!$B$2:$B$1800,AV$1)</f>
        <v>0</v>
      </c>
      <c r="AW139" s="117" t="n">
        <f aca="false">SUMIFS(الريسبي!$C$2:$C$1800,الريسبي!$A$2:$A$1800,$A139,الريسبي!$B$2:$B$1800,AW$1)</f>
        <v>0</v>
      </c>
      <c r="AX139" s="117" t="n">
        <f aca="false">SUMIFS(الريسبي!$C$2:$C$1800,الريسبي!$A$2:$A$1800,$A139,الريسبي!$B$2:$B$1800,AX$1)</f>
        <v>0</v>
      </c>
      <c r="AY139" s="117" t="n">
        <f aca="false">SUMIFS(الريسبي!$C$2:$C$1800,الريسبي!$A$2:$A$1800,$A139,الريسبي!$B$2:$B$1800,AY$1)</f>
        <v>0</v>
      </c>
      <c r="AZ139" s="117" t="n">
        <f aca="false">SUMIFS(الريسبي!$C$2:$C$1800,الريسبي!$A$2:$A$1800,$A139,الريسبي!$B$2:$B$1800,AZ$1)</f>
        <v>0</v>
      </c>
      <c r="BA139" s="117" t="n">
        <f aca="false">SUMIFS(الريسبي!$C$2:$C$1800,الريسبي!$A$2:$A$1800,$A139,الريسبي!$B$2:$B$1800,BA$1)</f>
        <v>0</v>
      </c>
      <c r="BB139" s="117" t="n">
        <f aca="false">SUMIFS(الريسبي!$C$2:$C$1800,الريسبي!$A$2:$A$1800,$A139,الريسبي!$B$2:$B$1800,BB$1)</f>
        <v>0</v>
      </c>
      <c r="BC139" s="117" t="n">
        <f aca="false">SUMIFS(الريسبي!$C$2:$C$1800,الريسبي!$A$2:$A$1800,$A139,الريسبي!$B$2:$B$1800,BC$1)</f>
        <v>0</v>
      </c>
      <c r="BD139" s="117" t="n">
        <f aca="false">SUMIFS(الريسبي!$C$2:$C$1800,الريسبي!$A$2:$A$1800,$A139,الريسبي!$B$2:$B$1800,BD$1)</f>
        <v>0</v>
      </c>
      <c r="BE139" s="117" t="n">
        <f aca="false">SUMIFS(الريسبي!$C$2:$C$1800,الريسبي!$A$2:$A$1800,$A139,الريسبي!$B$2:$B$1800,BE$1)</f>
        <v>0</v>
      </c>
      <c r="BF139" s="117" t="n">
        <f aca="false">SUMIFS(الريسبي!$C$2:$C$1800,الريسبي!$A$2:$A$1800,$A139,الريسبي!$B$2:$B$1800,BF$1)</f>
        <v>0</v>
      </c>
      <c r="BG139" s="117" t="n">
        <f aca="false">SUMIFS(الريسبي!$C$2:$C$1800,الريسبي!$A$2:$A$1800,$A139,الريسبي!$B$2:$B$1800,BG$1)</f>
        <v>0</v>
      </c>
      <c r="BH139" s="117" t="n">
        <f aca="false">SUMIFS(الريسبي!$C$2:$C$1800,الريسبي!$A$2:$A$1800,$A139,الريسبي!$B$2:$B$1800,BH$1)</f>
        <v>0</v>
      </c>
      <c r="BI139" s="117" t="n">
        <f aca="false">SUMIFS(الريسبي!$C$2:$C$1800,الريسبي!$A$2:$A$1800,$A139,الريسبي!$B$2:$B$1800,BI$1)</f>
        <v>0</v>
      </c>
      <c r="BJ139" s="117" t="n">
        <f aca="false">SUMIFS(الريسبي!$C$2:$C$1800,الريسبي!$A$2:$A$1800,$A139,الريسبي!$B$2:$B$1800,BJ$1)</f>
        <v>0</v>
      </c>
      <c r="BK139" s="117" t="n">
        <f aca="false">SUMIFS(الريسبي!$C$2:$C$1800,الريسبي!$A$2:$A$1800,$A139,الريسبي!$B$2:$B$1800,BK$1)</f>
        <v>0</v>
      </c>
      <c r="BL139" s="117" t="n">
        <f aca="false">SUMIFS(الريسبي!$C$2:$C$1800,الريسبي!$A$2:$A$1800,$A139,الريسبي!$B$2:$B$1800,BL$1)</f>
        <v>0</v>
      </c>
      <c r="BM139" s="117" t="n">
        <f aca="false">SUMIFS(الريسبي!$C$2:$C$1800,الريسبي!$A$2:$A$1800,$A139,الريسبي!$B$2:$B$1800,BM$1)</f>
        <v>0</v>
      </c>
      <c r="BN139" s="117" t="n">
        <f aca="false">SUMIFS(الريسبي!$C$2:$C$1800,الريسبي!$A$2:$A$1800,$A139,الريسبي!$B$2:$B$1800,BN$1)</f>
        <v>0</v>
      </c>
      <c r="BO139" s="117" t="n">
        <f aca="false">SUMIFS(الريسبي!$C$2:$C$1800,الريسبي!$A$2:$A$1800,$A139,الريسبي!$B$2:$B$1800,BO$1)</f>
        <v>0</v>
      </c>
      <c r="BP139" s="117" t="n">
        <f aca="false">SUMIFS(الريسبي!$C$2:$C$1800,الريسبي!$A$2:$A$1800,$A139,الريسبي!$B$2:$B$1800,BP$1)</f>
        <v>0</v>
      </c>
      <c r="BQ139" s="117" t="n">
        <f aca="false">SUMIFS(الريسبي!$C$2:$C$1800,الريسبي!$A$2:$A$1800,$A139,الريسبي!$B$2:$B$1800,BQ$1)+0.17*SUMIFS(الريسبي!$C$2:$C$1800,الريسبي!$A$2:$A$1800,$A139,الريسبي!$B$2:$B$1800,"كاسترد مصنع (خليط بودر + لبن)")+0.17*SUMIFS(الريسبي!$C$2:$C$1800,الريسبي!$A$2:$A$1800,$A139,الريسبي!$B$2:$B$1800,"كاسترد مصنع صيامي (بدون لبن)")</f>
        <v>0</v>
      </c>
      <c r="BR139" s="117" t="n">
        <f aca="false">SUMIFS(الريسبي!$C$2:$C$1800,الريسبي!$A$2:$A$1800,$A139,الريسبي!$B$2:$B$1800,BR$1)</f>
        <v>0</v>
      </c>
      <c r="BS139" s="117" t="n">
        <f aca="false">SUMIFS(الريسبي!$C$2:$C$1800,الريسبي!$A$2:$A$1800,$A139,الريسبي!$B$2:$B$1800,BS$1)</f>
        <v>0</v>
      </c>
      <c r="BT139" s="117" t="n">
        <f aca="false">SUMIFS(الريسبي!$C$2:$C$1800,الريسبي!$A$2:$A$1800,$A139,الريسبي!$B$2:$B$1800,BT$1)</f>
        <v>0</v>
      </c>
      <c r="BU139" s="117" t="n">
        <f aca="false">SUMIFS(الريسبي!$C$2:$C$1800,الريسبي!$A$2:$A$1800,$A139,الريسبي!$B$2:$B$1800,BU$1)+0.4*SUMIFS(الريسبي!$C$2:$C$1800,الريسبي!$A$2:$A$1800,$A139,الريسبي!$B$2:$B$1800,"كاسترد مصنع (خليط بودر + لبن)")+0.03333333333*SUMIFS(الريسبي!$C$2:$C$1800,الريسبي!$A$2:$A$1800,$A139,الريسبي!$B$2:$B$1800,"عجين كريب (مصنع بالمطعم)")</f>
        <v>0</v>
      </c>
      <c r="BV139" s="117" t="n">
        <f aca="false">SUMIFS(الريسبي!$C$2:$C$1800,الريسبي!$A$2:$A$1800,$A139,الريسبي!$B$2:$B$1800,BV$1)</f>
        <v>0</v>
      </c>
      <c r="BW139" s="117" t="n">
        <f aca="false">SUMIFS(الريسبي!$C$2:$C$1800,الريسبي!$A$2:$A$1800,$A139,الريسبي!$B$2:$B$1800,BW$1)</f>
        <v>0</v>
      </c>
      <c r="BX139" s="117" t="n">
        <f aca="false">SUMIFS(الريسبي!$C$2:$C$1800,الريسبي!$A$2:$A$1800,$A139,الريسبي!$B$2:$B$1800,BX$1)</f>
        <v>0</v>
      </c>
      <c r="BY139" s="117" t="n">
        <f aca="false">SUMIFS(الريسبي!$C$2:$C$1800,الريسبي!$A$2:$A$1800,$A139,الريسبي!$B$2:$B$1800,BY$1)</f>
        <v>0</v>
      </c>
      <c r="BZ139" s="117" t="n">
        <f aca="false">SUMIFS(الريسبي!$C$2:$C$1800,الريسبي!$A$2:$A$1800,$A139,الريسبي!$B$2:$B$1800,BZ$1)</f>
        <v>0</v>
      </c>
      <c r="CA139" s="117" t="n">
        <f aca="false">SUMIFS(الريسبي!$C$2:$C$1800,الريسبي!$A$2:$A$1800,$A139,الريسبي!$B$2:$B$1800,CA$1)</f>
        <v>0</v>
      </c>
      <c r="CB139" s="117" t="n">
        <f aca="false">SUMIFS(الريسبي!$C$2:$C$1800,الريسبي!$A$2:$A$1800,$A139,الريسبي!$B$2:$B$1800,CB$1)</f>
        <v>0</v>
      </c>
      <c r="CC139" s="117" t="n">
        <f aca="false">SUMIFS(الريسبي!$C$2:$C$1800,الريسبي!$A$2:$A$1800,$A139,الريسبي!$B$2:$B$1800,CC$1)</f>
        <v>0</v>
      </c>
      <c r="CD139" s="117" t="n">
        <f aca="false">SUMIFS(الريسبي!$C$2:$C$1800,الريسبي!$A$2:$A$1800,$A139,الريسبي!$B$2:$B$1800,CD$1)</f>
        <v>0</v>
      </c>
      <c r="CE139" s="117" t="n">
        <f aca="false">SUMIFS(الريسبي!$C$2:$C$1800,الريسبي!$A$2:$A$1800,$A139,الريسبي!$B$2:$B$1800,CE$1)</f>
        <v>0</v>
      </c>
      <c r="CF139" s="117" t="n">
        <f aca="false">SUMIFS(الريسبي!$C$2:$C$1800,الريسبي!$A$2:$A$1800,$A139,الريسبي!$B$2:$B$1800,CF$1)</f>
        <v>0</v>
      </c>
      <c r="CG139" s="117" t="n">
        <f aca="false">SUMIFS(الريسبي!$C$2:$C$1800,الريسبي!$A$2:$A$1800,$A139,الريسبي!$B$2:$B$1800,CG$1)</f>
        <v>0</v>
      </c>
      <c r="CH139" s="117" t="n">
        <f aca="false">SUMIFS(الريسبي!$C$2:$C$1800,الريسبي!$A$2:$A$1800,$A139,الريسبي!$B$2:$B$1800,CH$1)</f>
        <v>0</v>
      </c>
      <c r="CI139" s="117" t="n">
        <f aca="false">SUMIFS(الريسبي!$C$2:$C$1800,الريسبي!$A$2:$A$1800,$A139,الريسبي!$B$2:$B$1800,CI$1)</f>
        <v>0</v>
      </c>
      <c r="CJ139" s="117" t="n">
        <f aca="false">SUMIFS(الريسبي!$C$2:$C$1800,الريسبي!$A$2:$A$1800,$A139,الريسبي!$B$2:$B$1800,CJ$1)</f>
        <v>0</v>
      </c>
      <c r="CK139" s="117" t="n">
        <f aca="false">SUMIFS(الريسبي!$C$2:$C$1800,الريسبي!$A$2:$A$1800,$A139,الريسبي!$B$2:$B$1800,CK$1)</f>
        <v>0</v>
      </c>
      <c r="CL139" s="117" t="n">
        <f aca="false">SUMIFS(الريسبي!$C$2:$C$1800,الريسبي!$A$2:$A$1800,$A139,الريسبي!$B$2:$B$1800,CL$1)</f>
        <v>0</v>
      </c>
    </row>
    <row r="140" customFormat="false" ht="15" hidden="false" customHeight="false" outlineLevel="0" collapsed="false">
      <c r="A140" s="116" t="str">
        <f aca="false">المنيو!B140</f>
        <v>اضافة شيكولاتة (عام)</v>
      </c>
      <c r="B140" s="117" t="n">
        <f aca="false">SUMIFS(الريسبي!$C$2:$C$1800,الريسبي!$A$2:$A$1800,$A140,الريسبي!$B$2:$B$1800,B$1)</f>
        <v>0</v>
      </c>
      <c r="C140" s="117" t="n">
        <f aca="false">SUMIFS(الريسبي!$C$2:$C$1800,الريسبي!$A$2:$A$1800,$A140,الريسبي!$B$2:$B$1800,C$1)</f>
        <v>0</v>
      </c>
      <c r="D140" s="117" t="n">
        <f aca="false">SUMIFS(الريسبي!$C$2:$C$1800,الريسبي!$A$2:$A$1800,$A140,الريسبي!$B$2:$B$1800,D$1)</f>
        <v>0</v>
      </c>
      <c r="E140" s="117" t="n">
        <f aca="false">SUMIFS(الريسبي!$C$2:$C$1800,الريسبي!$A$2:$A$1800,$A140,الريسبي!$B$2:$B$1800,E$1)</f>
        <v>0</v>
      </c>
      <c r="F140" s="117" t="n">
        <f aca="false">SUMIFS(الريسبي!$C$2:$C$1800,الريسبي!$A$2:$A$1800,$A140,الريسبي!$B$2:$B$1800,F$1)</f>
        <v>0</v>
      </c>
      <c r="G140" s="117" t="n">
        <f aca="false">SUMIFS(الريسبي!$C$2:$C$1800,الريسبي!$A$2:$A$1800,$A140,الريسبي!$B$2:$B$1800,G$1)</f>
        <v>0</v>
      </c>
      <c r="H140" s="117" t="n">
        <f aca="false">SUMIFS(الريسبي!$C$2:$C$1800,الريسبي!$A$2:$A$1800,$A140,الريسبي!$B$2:$B$1800,H$1)</f>
        <v>0</v>
      </c>
      <c r="I140" s="117" t="n">
        <f aca="false">SUMIFS(الريسبي!$C$2:$C$1800,الريسبي!$A$2:$A$1800,$A140,الريسبي!$B$2:$B$1800,I$1)</f>
        <v>0</v>
      </c>
      <c r="J140" s="117" t="n">
        <f aca="false">SUMIFS(الريسبي!$C$2:$C$1800,الريسبي!$A$2:$A$1800,$A140,الريسبي!$B$2:$B$1800,J$1)</f>
        <v>0</v>
      </c>
      <c r="K140" s="117" t="n">
        <f aca="false">SUMIFS(الريسبي!$C$2:$C$1800,الريسبي!$A$2:$A$1800,$A140,الريسبي!$B$2:$B$1800,K$1)</f>
        <v>0</v>
      </c>
      <c r="L140" s="117" t="n">
        <f aca="false">SUMIFS(الريسبي!$C$2:$C$1800,الريسبي!$A$2:$A$1800,$A140,الريسبي!$B$2:$B$1800,L$1)</f>
        <v>0</v>
      </c>
      <c r="M140" s="117" t="n">
        <f aca="false">SUMIFS(الريسبي!$C$2:$C$1800,الريسبي!$A$2:$A$1800,$A140,الريسبي!$B$2:$B$1800,M$1)</f>
        <v>0</v>
      </c>
      <c r="N140" s="117" t="n">
        <f aca="false">SUMIFS(الريسبي!$C$2:$C$1800,الريسبي!$A$2:$A$1800,$A140,الريسبي!$B$2:$B$1800,N$1)</f>
        <v>0</v>
      </c>
      <c r="O140" s="117" t="n">
        <f aca="false">SUMIFS(الريسبي!$C$2:$C$1800,الريسبي!$A$2:$A$1800,$A140,الريسبي!$B$2:$B$1800,O$1)</f>
        <v>0</v>
      </c>
      <c r="P140" s="117" t="n">
        <f aca="false">SUMIFS(الريسبي!$C$2:$C$1800,الريسبي!$A$2:$A$1800,$A140,الريسبي!$B$2:$B$1800,P$1)</f>
        <v>0</v>
      </c>
      <c r="Q140" s="117" t="n">
        <f aca="false">SUMIFS(الريسبي!$C$2:$C$1800,الريسبي!$A$2:$A$1800,$A140,الريسبي!$B$2:$B$1800,Q$1)</f>
        <v>0</v>
      </c>
      <c r="R140" s="117" t="n">
        <f aca="false">SUMIFS(الريسبي!$C$2:$C$1800,الريسبي!$A$2:$A$1800,$A140,الريسبي!$B$2:$B$1800,R$1)</f>
        <v>0</v>
      </c>
      <c r="S140" s="117" t="n">
        <f aca="false">SUMIFS(الريسبي!$C$2:$C$1800,الريسبي!$A$2:$A$1800,$A140,الريسبي!$B$2:$B$1800,S$1)</f>
        <v>0</v>
      </c>
      <c r="T140" s="117" t="n">
        <f aca="false">SUMIFS(الريسبي!$C$2:$C$1800,الريسبي!$A$2:$A$1800,$A140,الريسبي!$B$2:$B$1800,T$1)</f>
        <v>0</v>
      </c>
      <c r="U140" s="117" t="n">
        <f aca="false">SUMIFS(الريسبي!$C$2:$C$1800,الريسبي!$A$2:$A$1800,$A140,الريسبي!$B$2:$B$1800,U$1)</f>
        <v>0</v>
      </c>
      <c r="V140" s="117" t="n">
        <f aca="false">SUMIFS(الريسبي!$C$2:$C$1800,الريسبي!$A$2:$A$1800,$A140,الريسبي!$B$2:$B$1800,V$1)</f>
        <v>0</v>
      </c>
      <c r="W140" s="117" t="n">
        <f aca="false">SUMIFS(الريسبي!$C$2:$C$1800,الريسبي!$A$2:$A$1800,$A140,الريسبي!$B$2:$B$1800,W$1)</f>
        <v>0</v>
      </c>
      <c r="X140" s="117" t="n">
        <f aca="false">SUMIFS(الريسبي!$C$2:$C$1800,الريسبي!$A$2:$A$1800,$A140,الريسبي!$B$2:$B$1800,X$1)</f>
        <v>0</v>
      </c>
      <c r="Y140" s="117" t="n">
        <f aca="false">SUMIFS(الريسبي!$C$2:$C$1800,الريسبي!$A$2:$A$1800,$A140,الريسبي!$B$2:$B$1800,Y$1)</f>
        <v>0</v>
      </c>
      <c r="Z140" s="117" t="n">
        <f aca="false">SUMIFS(الريسبي!$C$2:$C$1800,الريسبي!$A$2:$A$1800,$A140,الريسبي!$B$2:$B$1800,Z$1)</f>
        <v>0</v>
      </c>
      <c r="AA140" s="117" t="n">
        <f aca="false">SUMIFS(الريسبي!$C$2:$C$1800,الريسبي!$A$2:$A$1800,$A140,الريسبي!$B$2:$B$1800,AA$1)</f>
        <v>0</v>
      </c>
      <c r="AB140" s="117" t="n">
        <f aca="false">SUMIFS(الريسبي!$C$2:$C$1800,الريسبي!$A$2:$A$1800,$A140,الريسبي!$B$2:$B$1800,AB$1)</f>
        <v>0</v>
      </c>
      <c r="AC140" s="117" t="n">
        <f aca="false">SUMIFS(الريسبي!$C$2:$C$1800,الريسبي!$A$2:$A$1800,$A140,الريسبي!$B$2:$B$1800,AC$1)</f>
        <v>0</v>
      </c>
      <c r="AD140" s="117" t="n">
        <f aca="false">SUMIFS(الريسبي!$C$2:$C$1800,الريسبي!$A$2:$A$1800,$A140,الريسبي!$B$2:$B$1800,AD$1)</f>
        <v>0</v>
      </c>
      <c r="AE140" s="117" t="n">
        <f aca="false">SUMIFS(الريسبي!$C$2:$C$1800,الريسبي!$A$2:$A$1800,$A140,الريسبي!$B$2:$B$1800,AE$1)</f>
        <v>0</v>
      </c>
      <c r="AF140" s="117" t="n">
        <f aca="false">SUMIFS(الريسبي!$C$2:$C$1800,الريسبي!$A$2:$A$1800,$A140,الريسبي!$B$2:$B$1800,AF$1)</f>
        <v>0</v>
      </c>
      <c r="AG140" s="117" t="n">
        <f aca="false">SUMIFS(الريسبي!$C$2:$C$1800,الريسبي!$A$2:$A$1800,$A140,الريسبي!$B$2:$B$1800,AG$1)</f>
        <v>0</v>
      </c>
      <c r="AH140" s="117" t="n">
        <f aca="false">SUMIFS(الريسبي!$C$2:$C$1800,الريسبي!$A$2:$A$1800,$A140,الريسبي!$B$2:$B$1800,AH$1)</f>
        <v>0</v>
      </c>
      <c r="AI140" s="117" t="n">
        <f aca="false">SUMIFS(الريسبي!$C$2:$C$1800,الريسبي!$A$2:$A$1800,$A140,الريسبي!$B$2:$B$1800,AI$1)</f>
        <v>0</v>
      </c>
      <c r="AJ140" s="117" t="n">
        <f aca="false">SUMIFS(الريسبي!$C$2:$C$1800,الريسبي!$A$2:$A$1800,$A140,الريسبي!$B$2:$B$1800,AJ$1)</f>
        <v>0</v>
      </c>
      <c r="AK140" s="117" t="n">
        <f aca="false">SUMIFS(الريسبي!$C$2:$C$1800,الريسبي!$A$2:$A$1800,$A140,الريسبي!$B$2:$B$1800,AK$1)</f>
        <v>0</v>
      </c>
      <c r="AL140" s="117" t="n">
        <f aca="false">SUMIFS(الريسبي!$C$2:$C$1800,الريسبي!$A$2:$A$1800,$A140,الريسبي!$B$2:$B$1800,AL$1)</f>
        <v>0</v>
      </c>
      <c r="AM140" s="117" t="n">
        <f aca="false">SUMIFS(الريسبي!$C$2:$C$1800,الريسبي!$A$2:$A$1800,$A140,الريسبي!$B$2:$B$1800,AM$1)+0.08333333333*SUMIFS(الريسبي!$C$2:$C$1800,الريسبي!$A$2:$A$1800,$A140,الريسبي!$B$2:$B$1800,"عجين كريب (مصنع بالمطعم)")+0.08333333333*SUMIFS(الريسبي!$C$2:$C$1800,الريسبي!$A$2:$A$1800,$A140,الريسبي!$B$2:$B$1800,"عجين كريب صيامي (بدون لبن)")</f>
        <v>0</v>
      </c>
      <c r="AN140" s="117" t="n">
        <f aca="false">SUMIFS(الريسبي!$C$2:$C$1800,الريسبي!$A$2:$A$1800,$A140,الريسبي!$B$2:$B$1800,AN$1)+0.004166666667*SUMIFS(الريسبي!$C$2:$C$1800,الريسبي!$A$2:$A$1800,$A140,الريسبي!$B$2:$B$1800,"عجين كريب (مصنع بالمطعم)")+0.004166666667*SUMIFS(الريسبي!$C$2:$C$1800,الريسبي!$A$2:$A$1800,$A140,الريسبي!$B$2:$B$1800,"عجين كريب صيامي (بدون لبن)")</f>
        <v>0</v>
      </c>
      <c r="AO140" s="117" t="n">
        <f aca="false">SUMIFS(الريسبي!$C$2:$C$1800,الريسبي!$A$2:$A$1800,$A140,الريسبي!$B$2:$B$1800,AO$1)</f>
        <v>0</v>
      </c>
      <c r="AP140" s="117" t="n">
        <f aca="false">SUMIFS(الريسبي!$C$2:$C$1800,الريسبي!$A$2:$A$1800,$A140,الريسبي!$B$2:$B$1800,AP$1)</f>
        <v>0</v>
      </c>
      <c r="AQ140" s="117" t="n">
        <f aca="false">SUMIFS(الريسبي!$C$2:$C$1800,الريسبي!$A$2:$A$1800,$A140,الريسبي!$B$2:$B$1800,AQ$1)+0.004166666667*SUMIFS(الريسبي!$C$2:$C$1800,الريسبي!$A$2:$A$1800,$A140,الريسبي!$B$2:$B$1800,"عجين كريب (مصنع بالمطعم)")+0.004166666667*SUMIFS(الريسبي!$C$2:$C$1800,الريسبي!$A$2:$A$1800,$A140,الريسبي!$B$2:$B$1800,"عجين كريب صيامي (بدون لبن)")</f>
        <v>0</v>
      </c>
      <c r="AR140" s="117" t="n">
        <f aca="false">SUMIFS(الريسبي!$C$2:$C$1800,الريسبي!$A$2:$A$1800,$A140,الريسبي!$B$2:$B$1800,AR$1)</f>
        <v>0</v>
      </c>
      <c r="AS140" s="117" t="n">
        <f aca="false">SUMIFS(الريسبي!$C$2:$C$1800,الريسبي!$A$2:$A$1800,$A140,الريسبي!$B$2:$B$1800,AS$1)</f>
        <v>0</v>
      </c>
      <c r="AT140" s="117" t="n">
        <f aca="false">SUMIFS(الريسبي!$C$2:$C$1800,الريسبي!$A$2:$A$1800,$A140,الريسبي!$B$2:$B$1800,AT$1)</f>
        <v>0</v>
      </c>
      <c r="AU140" s="117" t="n">
        <f aca="false">SUMIFS(الريسبي!$C$2:$C$1800,الريسبي!$A$2:$A$1800,$A140,الريسبي!$B$2:$B$1800,AU$1)</f>
        <v>0</v>
      </c>
      <c r="AV140" s="117" t="n">
        <f aca="false">SUMIFS(الريسبي!$C$2:$C$1800,الريسبي!$A$2:$A$1800,$A140,الريسبي!$B$2:$B$1800,AV$1)</f>
        <v>0.1</v>
      </c>
      <c r="AW140" s="117" t="n">
        <f aca="false">SUMIFS(الريسبي!$C$2:$C$1800,الريسبي!$A$2:$A$1800,$A140,الريسبي!$B$2:$B$1800,AW$1)</f>
        <v>0</v>
      </c>
      <c r="AX140" s="117" t="n">
        <f aca="false">SUMIFS(الريسبي!$C$2:$C$1800,الريسبي!$A$2:$A$1800,$A140,الريسبي!$B$2:$B$1800,AX$1)</f>
        <v>0</v>
      </c>
      <c r="AY140" s="117" t="n">
        <f aca="false">SUMIFS(الريسبي!$C$2:$C$1800,الريسبي!$A$2:$A$1800,$A140,الريسبي!$B$2:$B$1800,AY$1)</f>
        <v>0</v>
      </c>
      <c r="AZ140" s="117" t="n">
        <f aca="false">SUMIFS(الريسبي!$C$2:$C$1800,الريسبي!$A$2:$A$1800,$A140,الريسبي!$B$2:$B$1800,AZ$1)</f>
        <v>0</v>
      </c>
      <c r="BA140" s="117" t="n">
        <f aca="false">SUMIFS(الريسبي!$C$2:$C$1800,الريسبي!$A$2:$A$1800,$A140,الريسبي!$B$2:$B$1800,BA$1)</f>
        <v>0</v>
      </c>
      <c r="BB140" s="117" t="n">
        <f aca="false">SUMIFS(الريسبي!$C$2:$C$1800,الريسبي!$A$2:$A$1800,$A140,الريسبي!$B$2:$B$1800,BB$1)</f>
        <v>0</v>
      </c>
      <c r="BC140" s="117" t="n">
        <f aca="false">SUMIFS(الريسبي!$C$2:$C$1800,الريسبي!$A$2:$A$1800,$A140,الريسبي!$B$2:$B$1800,BC$1)</f>
        <v>0</v>
      </c>
      <c r="BD140" s="117" t="n">
        <f aca="false">SUMIFS(الريسبي!$C$2:$C$1800,الريسبي!$A$2:$A$1800,$A140,الريسبي!$B$2:$B$1800,BD$1)</f>
        <v>0</v>
      </c>
      <c r="BE140" s="117" t="n">
        <f aca="false">SUMIFS(الريسبي!$C$2:$C$1800,الريسبي!$A$2:$A$1800,$A140,الريسبي!$B$2:$B$1800,BE$1)</f>
        <v>0</v>
      </c>
      <c r="BF140" s="117" t="n">
        <f aca="false">SUMIFS(الريسبي!$C$2:$C$1800,الريسبي!$A$2:$A$1800,$A140,الريسبي!$B$2:$B$1800,BF$1)</f>
        <v>0</v>
      </c>
      <c r="BG140" s="117" t="n">
        <f aca="false">SUMIFS(الريسبي!$C$2:$C$1800,الريسبي!$A$2:$A$1800,$A140,الريسبي!$B$2:$B$1800,BG$1)</f>
        <v>0</v>
      </c>
      <c r="BH140" s="117" t="n">
        <f aca="false">SUMIFS(الريسبي!$C$2:$C$1800,الريسبي!$A$2:$A$1800,$A140,الريسبي!$B$2:$B$1800,BH$1)</f>
        <v>0</v>
      </c>
      <c r="BI140" s="117" t="n">
        <f aca="false">SUMIFS(الريسبي!$C$2:$C$1800,الريسبي!$A$2:$A$1800,$A140,الريسبي!$B$2:$B$1800,BI$1)</f>
        <v>0</v>
      </c>
      <c r="BJ140" s="117" t="n">
        <f aca="false">SUMIFS(الريسبي!$C$2:$C$1800,الريسبي!$A$2:$A$1800,$A140,الريسبي!$B$2:$B$1800,BJ$1)</f>
        <v>0</v>
      </c>
      <c r="BK140" s="117" t="n">
        <f aca="false">SUMIFS(الريسبي!$C$2:$C$1800,الريسبي!$A$2:$A$1800,$A140,الريسبي!$B$2:$B$1800,BK$1)</f>
        <v>0</v>
      </c>
      <c r="BL140" s="117" t="n">
        <f aca="false">SUMIFS(الريسبي!$C$2:$C$1800,الريسبي!$A$2:$A$1800,$A140,الريسبي!$B$2:$B$1800,BL$1)</f>
        <v>0</v>
      </c>
      <c r="BM140" s="117" t="n">
        <f aca="false">SUMIFS(الريسبي!$C$2:$C$1800,الريسبي!$A$2:$A$1800,$A140,الريسبي!$B$2:$B$1800,BM$1)</f>
        <v>0</v>
      </c>
      <c r="BN140" s="117" t="n">
        <f aca="false">SUMIFS(الريسبي!$C$2:$C$1800,الريسبي!$A$2:$A$1800,$A140,الريسبي!$B$2:$B$1800,BN$1)</f>
        <v>0</v>
      </c>
      <c r="BO140" s="117" t="n">
        <f aca="false">SUMIFS(الريسبي!$C$2:$C$1800,الريسبي!$A$2:$A$1800,$A140,الريسبي!$B$2:$B$1800,BO$1)</f>
        <v>0</v>
      </c>
      <c r="BP140" s="117" t="n">
        <f aca="false">SUMIFS(الريسبي!$C$2:$C$1800,الريسبي!$A$2:$A$1800,$A140,الريسبي!$B$2:$B$1800,BP$1)</f>
        <v>0</v>
      </c>
      <c r="BQ140" s="117" t="n">
        <f aca="false">SUMIFS(الريسبي!$C$2:$C$1800,الريسبي!$A$2:$A$1800,$A140,الريسبي!$B$2:$B$1800,BQ$1)+0.17*SUMIFS(الريسبي!$C$2:$C$1800,الريسبي!$A$2:$A$1800,$A140,الريسبي!$B$2:$B$1800,"كاسترد مصنع (خليط بودر + لبن)")+0.17*SUMIFS(الريسبي!$C$2:$C$1800,الريسبي!$A$2:$A$1800,$A140,الريسبي!$B$2:$B$1800,"كاسترد مصنع صيامي (بدون لبن)")</f>
        <v>0</v>
      </c>
      <c r="BR140" s="117" t="n">
        <f aca="false">SUMIFS(الريسبي!$C$2:$C$1800,الريسبي!$A$2:$A$1800,$A140,الريسبي!$B$2:$B$1800,BR$1)</f>
        <v>0</v>
      </c>
      <c r="BS140" s="117" t="n">
        <f aca="false">SUMIFS(الريسبي!$C$2:$C$1800,الريسبي!$A$2:$A$1800,$A140,الريسبي!$B$2:$B$1800,BS$1)</f>
        <v>0</v>
      </c>
      <c r="BT140" s="117" t="n">
        <f aca="false">SUMIFS(الريسبي!$C$2:$C$1800,الريسبي!$A$2:$A$1800,$A140,الريسبي!$B$2:$B$1800,BT$1)</f>
        <v>0</v>
      </c>
      <c r="BU140" s="117" t="n">
        <f aca="false">SUMIFS(الريسبي!$C$2:$C$1800,الريسبي!$A$2:$A$1800,$A140,الريسبي!$B$2:$B$1800,BU$1)+0.4*SUMIFS(الريسبي!$C$2:$C$1800,الريسبي!$A$2:$A$1800,$A140,الريسبي!$B$2:$B$1800,"كاسترد مصنع (خليط بودر + لبن)")+0.03333333333*SUMIFS(الريسبي!$C$2:$C$1800,الريسبي!$A$2:$A$1800,$A140,الريسبي!$B$2:$B$1800,"عجين كريب (مصنع بالمطعم)")</f>
        <v>0</v>
      </c>
      <c r="BV140" s="117" t="n">
        <f aca="false">SUMIFS(الريسبي!$C$2:$C$1800,الريسبي!$A$2:$A$1800,$A140,الريسبي!$B$2:$B$1800,BV$1)</f>
        <v>0</v>
      </c>
      <c r="BW140" s="117" t="n">
        <f aca="false">SUMIFS(الريسبي!$C$2:$C$1800,الريسبي!$A$2:$A$1800,$A140,الريسبي!$B$2:$B$1800,BW$1)</f>
        <v>0</v>
      </c>
      <c r="BX140" s="117" t="n">
        <f aca="false">SUMIFS(الريسبي!$C$2:$C$1800,الريسبي!$A$2:$A$1800,$A140,الريسبي!$B$2:$B$1800,BX$1)</f>
        <v>0</v>
      </c>
      <c r="BY140" s="117" t="n">
        <f aca="false">SUMIFS(الريسبي!$C$2:$C$1800,الريسبي!$A$2:$A$1800,$A140,الريسبي!$B$2:$B$1800,BY$1)</f>
        <v>0</v>
      </c>
      <c r="BZ140" s="117" t="n">
        <f aca="false">SUMIFS(الريسبي!$C$2:$C$1800,الريسبي!$A$2:$A$1800,$A140,الريسبي!$B$2:$B$1800,BZ$1)</f>
        <v>0</v>
      </c>
      <c r="CA140" s="117" t="n">
        <f aca="false">SUMIFS(الريسبي!$C$2:$C$1800,الريسبي!$A$2:$A$1800,$A140,الريسبي!$B$2:$B$1800,CA$1)</f>
        <v>0</v>
      </c>
      <c r="CB140" s="117" t="n">
        <f aca="false">SUMIFS(الريسبي!$C$2:$C$1800,الريسبي!$A$2:$A$1800,$A140,الريسبي!$B$2:$B$1800,CB$1)</f>
        <v>0</v>
      </c>
      <c r="CC140" s="117" t="n">
        <f aca="false">SUMIFS(الريسبي!$C$2:$C$1800,الريسبي!$A$2:$A$1800,$A140,الريسبي!$B$2:$B$1800,CC$1)</f>
        <v>0</v>
      </c>
      <c r="CD140" s="117" t="n">
        <f aca="false">SUMIFS(الريسبي!$C$2:$C$1800,الريسبي!$A$2:$A$1800,$A140,الريسبي!$B$2:$B$1800,CD$1)</f>
        <v>0</v>
      </c>
      <c r="CE140" s="117" t="n">
        <f aca="false">SUMIFS(الريسبي!$C$2:$C$1800,الريسبي!$A$2:$A$1800,$A140,الريسبي!$B$2:$B$1800,CE$1)</f>
        <v>0</v>
      </c>
      <c r="CF140" s="117" t="n">
        <f aca="false">SUMIFS(الريسبي!$C$2:$C$1800,الريسبي!$A$2:$A$1800,$A140,الريسبي!$B$2:$B$1800,CF$1)</f>
        <v>0</v>
      </c>
      <c r="CG140" s="117" t="n">
        <f aca="false">SUMIFS(الريسبي!$C$2:$C$1800,الريسبي!$A$2:$A$1800,$A140,الريسبي!$B$2:$B$1800,CG$1)</f>
        <v>0</v>
      </c>
      <c r="CH140" s="117" t="n">
        <f aca="false">SUMIFS(الريسبي!$C$2:$C$1800,الريسبي!$A$2:$A$1800,$A140,الريسبي!$B$2:$B$1800,CH$1)</f>
        <v>0</v>
      </c>
      <c r="CI140" s="117" t="n">
        <f aca="false">SUMIFS(الريسبي!$C$2:$C$1800,الريسبي!$A$2:$A$1800,$A140,الريسبي!$B$2:$B$1800,CI$1)</f>
        <v>0</v>
      </c>
      <c r="CJ140" s="117" t="n">
        <f aca="false">SUMIFS(الريسبي!$C$2:$C$1800,الريسبي!$A$2:$A$1800,$A140,الريسبي!$B$2:$B$1800,CJ$1)</f>
        <v>0</v>
      </c>
      <c r="CK140" s="117" t="n">
        <f aca="false">SUMIFS(الريسبي!$C$2:$C$1800,الريسبي!$A$2:$A$1800,$A140,الريسبي!$B$2:$B$1800,CK$1)</f>
        <v>0</v>
      </c>
      <c r="CL140" s="117" t="n">
        <f aca="false">SUMIFS(الريسبي!$C$2:$C$1800,الريسبي!$A$2:$A$1800,$A140,الريسبي!$B$2:$B$1800,CL$1)</f>
        <v>0</v>
      </c>
    </row>
    <row r="141" customFormat="false" ht="15" hidden="false" customHeight="false" outlineLevel="0" collapsed="false">
      <c r="A141" s="116" t="str">
        <f aca="false">المنيو!B141</f>
        <v>اضافة قشطة (عام)</v>
      </c>
      <c r="B141" s="117" t="n">
        <f aca="false">SUMIFS(الريسبي!$C$2:$C$1800,الريسبي!$A$2:$A$1800,$A141,الريسبي!$B$2:$B$1800,B$1)</f>
        <v>0</v>
      </c>
      <c r="C141" s="117" t="n">
        <f aca="false">SUMIFS(الريسبي!$C$2:$C$1800,الريسبي!$A$2:$A$1800,$A141,الريسبي!$B$2:$B$1800,C$1)</f>
        <v>0</v>
      </c>
      <c r="D141" s="117" t="n">
        <f aca="false">SUMIFS(الريسبي!$C$2:$C$1800,الريسبي!$A$2:$A$1800,$A141,الريسبي!$B$2:$B$1800,D$1)</f>
        <v>0</v>
      </c>
      <c r="E141" s="117" t="n">
        <f aca="false">SUMIFS(الريسبي!$C$2:$C$1800,الريسبي!$A$2:$A$1800,$A141,الريسبي!$B$2:$B$1800,E$1)</f>
        <v>0</v>
      </c>
      <c r="F141" s="117" t="n">
        <f aca="false">SUMIFS(الريسبي!$C$2:$C$1800,الريسبي!$A$2:$A$1800,$A141,الريسبي!$B$2:$B$1800,F$1)</f>
        <v>0</v>
      </c>
      <c r="G141" s="117" t="n">
        <f aca="false">SUMIFS(الريسبي!$C$2:$C$1800,الريسبي!$A$2:$A$1800,$A141,الريسبي!$B$2:$B$1800,G$1)</f>
        <v>0</v>
      </c>
      <c r="H141" s="117" t="n">
        <f aca="false">SUMIFS(الريسبي!$C$2:$C$1800,الريسبي!$A$2:$A$1800,$A141,الريسبي!$B$2:$B$1800,H$1)</f>
        <v>0</v>
      </c>
      <c r="I141" s="117" t="n">
        <f aca="false">SUMIFS(الريسبي!$C$2:$C$1800,الريسبي!$A$2:$A$1800,$A141,الريسبي!$B$2:$B$1800,I$1)</f>
        <v>0</v>
      </c>
      <c r="J141" s="117" t="n">
        <f aca="false">SUMIFS(الريسبي!$C$2:$C$1800,الريسبي!$A$2:$A$1800,$A141,الريسبي!$B$2:$B$1800,J$1)</f>
        <v>0</v>
      </c>
      <c r="K141" s="117" t="n">
        <f aca="false">SUMIFS(الريسبي!$C$2:$C$1800,الريسبي!$A$2:$A$1800,$A141,الريسبي!$B$2:$B$1800,K$1)</f>
        <v>0</v>
      </c>
      <c r="L141" s="117" t="n">
        <f aca="false">SUMIFS(الريسبي!$C$2:$C$1800,الريسبي!$A$2:$A$1800,$A141,الريسبي!$B$2:$B$1800,L$1)</f>
        <v>0</v>
      </c>
      <c r="M141" s="117" t="n">
        <f aca="false">SUMIFS(الريسبي!$C$2:$C$1800,الريسبي!$A$2:$A$1800,$A141,الريسبي!$B$2:$B$1800,M$1)</f>
        <v>0</v>
      </c>
      <c r="N141" s="117" t="n">
        <f aca="false">SUMIFS(الريسبي!$C$2:$C$1800,الريسبي!$A$2:$A$1800,$A141,الريسبي!$B$2:$B$1800,N$1)</f>
        <v>0</v>
      </c>
      <c r="O141" s="117" t="n">
        <f aca="false">SUMIFS(الريسبي!$C$2:$C$1800,الريسبي!$A$2:$A$1800,$A141,الريسبي!$B$2:$B$1800,O$1)</f>
        <v>0</v>
      </c>
      <c r="P141" s="117" t="n">
        <f aca="false">SUMIFS(الريسبي!$C$2:$C$1800,الريسبي!$A$2:$A$1800,$A141,الريسبي!$B$2:$B$1800,P$1)</f>
        <v>0</v>
      </c>
      <c r="Q141" s="117" t="n">
        <f aca="false">SUMIFS(الريسبي!$C$2:$C$1800,الريسبي!$A$2:$A$1800,$A141,الريسبي!$B$2:$B$1800,Q$1)</f>
        <v>0</v>
      </c>
      <c r="R141" s="117" t="n">
        <f aca="false">SUMIFS(الريسبي!$C$2:$C$1800,الريسبي!$A$2:$A$1800,$A141,الريسبي!$B$2:$B$1800,R$1)</f>
        <v>0</v>
      </c>
      <c r="S141" s="117" t="n">
        <f aca="false">SUMIFS(الريسبي!$C$2:$C$1800,الريسبي!$A$2:$A$1800,$A141,الريسبي!$B$2:$B$1800,S$1)</f>
        <v>1</v>
      </c>
      <c r="T141" s="117" t="n">
        <f aca="false">SUMIFS(الريسبي!$C$2:$C$1800,الريسبي!$A$2:$A$1800,$A141,الريسبي!$B$2:$B$1800,T$1)</f>
        <v>0</v>
      </c>
      <c r="U141" s="117" t="n">
        <f aca="false">SUMIFS(الريسبي!$C$2:$C$1800,الريسبي!$A$2:$A$1800,$A141,الريسبي!$B$2:$B$1800,U$1)</f>
        <v>0</v>
      </c>
      <c r="V141" s="117" t="n">
        <f aca="false">SUMIFS(الريسبي!$C$2:$C$1800,الريسبي!$A$2:$A$1800,$A141,الريسبي!$B$2:$B$1800,V$1)</f>
        <v>0</v>
      </c>
      <c r="W141" s="117" t="n">
        <f aca="false">SUMIFS(الريسبي!$C$2:$C$1800,الريسبي!$A$2:$A$1800,$A141,الريسبي!$B$2:$B$1800,W$1)</f>
        <v>0</v>
      </c>
      <c r="X141" s="117" t="n">
        <f aca="false">SUMIFS(الريسبي!$C$2:$C$1800,الريسبي!$A$2:$A$1800,$A141,الريسبي!$B$2:$B$1800,X$1)</f>
        <v>0</v>
      </c>
      <c r="Y141" s="117" t="n">
        <f aca="false">SUMIFS(الريسبي!$C$2:$C$1800,الريسبي!$A$2:$A$1800,$A141,الريسبي!$B$2:$B$1800,Y$1)</f>
        <v>0</v>
      </c>
      <c r="Z141" s="117" t="n">
        <f aca="false">SUMIFS(الريسبي!$C$2:$C$1800,الريسبي!$A$2:$A$1800,$A141,الريسبي!$B$2:$B$1800,Z$1)</f>
        <v>0</v>
      </c>
      <c r="AA141" s="117" t="n">
        <f aca="false">SUMIFS(الريسبي!$C$2:$C$1800,الريسبي!$A$2:$A$1800,$A141,الريسبي!$B$2:$B$1800,AA$1)</f>
        <v>0</v>
      </c>
      <c r="AB141" s="117" t="n">
        <f aca="false">SUMIFS(الريسبي!$C$2:$C$1800,الريسبي!$A$2:$A$1800,$A141,الريسبي!$B$2:$B$1800,AB$1)</f>
        <v>0</v>
      </c>
      <c r="AC141" s="117" t="n">
        <f aca="false">SUMIFS(الريسبي!$C$2:$C$1800,الريسبي!$A$2:$A$1800,$A141,الريسبي!$B$2:$B$1800,AC$1)</f>
        <v>0</v>
      </c>
      <c r="AD141" s="117" t="n">
        <f aca="false">SUMIFS(الريسبي!$C$2:$C$1800,الريسبي!$A$2:$A$1800,$A141,الريسبي!$B$2:$B$1800,AD$1)</f>
        <v>0</v>
      </c>
      <c r="AE141" s="117" t="n">
        <f aca="false">SUMIFS(الريسبي!$C$2:$C$1800,الريسبي!$A$2:$A$1800,$A141,الريسبي!$B$2:$B$1800,AE$1)</f>
        <v>0</v>
      </c>
      <c r="AF141" s="117" t="n">
        <f aca="false">SUMIFS(الريسبي!$C$2:$C$1800,الريسبي!$A$2:$A$1800,$A141,الريسبي!$B$2:$B$1800,AF$1)</f>
        <v>0</v>
      </c>
      <c r="AG141" s="117" t="n">
        <f aca="false">SUMIFS(الريسبي!$C$2:$C$1800,الريسبي!$A$2:$A$1800,$A141,الريسبي!$B$2:$B$1800,AG$1)</f>
        <v>0</v>
      </c>
      <c r="AH141" s="117" t="n">
        <f aca="false">SUMIFS(الريسبي!$C$2:$C$1800,الريسبي!$A$2:$A$1800,$A141,الريسبي!$B$2:$B$1800,AH$1)</f>
        <v>0</v>
      </c>
      <c r="AI141" s="117" t="n">
        <f aca="false">SUMIFS(الريسبي!$C$2:$C$1800,الريسبي!$A$2:$A$1800,$A141,الريسبي!$B$2:$B$1800,AI$1)</f>
        <v>0</v>
      </c>
      <c r="AJ141" s="117" t="n">
        <f aca="false">SUMIFS(الريسبي!$C$2:$C$1800,الريسبي!$A$2:$A$1800,$A141,الريسبي!$B$2:$B$1800,AJ$1)</f>
        <v>0</v>
      </c>
      <c r="AK141" s="117" t="n">
        <f aca="false">SUMIFS(الريسبي!$C$2:$C$1800,الريسبي!$A$2:$A$1800,$A141,الريسبي!$B$2:$B$1800,AK$1)</f>
        <v>0</v>
      </c>
      <c r="AL141" s="117" t="n">
        <f aca="false">SUMIFS(الريسبي!$C$2:$C$1800,الريسبي!$A$2:$A$1800,$A141,الريسبي!$B$2:$B$1800,AL$1)</f>
        <v>0</v>
      </c>
      <c r="AM141" s="117" t="n">
        <f aca="false">SUMIFS(الريسبي!$C$2:$C$1800,الريسبي!$A$2:$A$1800,$A141,الريسبي!$B$2:$B$1800,AM$1)+0.08333333333*SUMIFS(الريسبي!$C$2:$C$1800,الريسبي!$A$2:$A$1800,$A141,الريسبي!$B$2:$B$1800,"عجين كريب (مصنع بالمطعم)")+0.08333333333*SUMIFS(الريسبي!$C$2:$C$1800,الريسبي!$A$2:$A$1800,$A141,الريسبي!$B$2:$B$1800,"عجين كريب صيامي (بدون لبن)")</f>
        <v>0</v>
      </c>
      <c r="AN141" s="117" t="n">
        <f aca="false">SUMIFS(الريسبي!$C$2:$C$1800,الريسبي!$A$2:$A$1800,$A141,الريسبي!$B$2:$B$1800,AN$1)+0.004166666667*SUMIFS(الريسبي!$C$2:$C$1800,الريسبي!$A$2:$A$1800,$A141,الريسبي!$B$2:$B$1800,"عجين كريب (مصنع بالمطعم)")+0.004166666667*SUMIFS(الريسبي!$C$2:$C$1800,الريسبي!$A$2:$A$1800,$A141,الريسبي!$B$2:$B$1800,"عجين كريب صيامي (بدون لبن)")</f>
        <v>0</v>
      </c>
      <c r="AO141" s="117" t="n">
        <f aca="false">SUMIFS(الريسبي!$C$2:$C$1800,الريسبي!$A$2:$A$1800,$A141,الريسبي!$B$2:$B$1800,AO$1)</f>
        <v>0</v>
      </c>
      <c r="AP141" s="117" t="n">
        <f aca="false">SUMIFS(الريسبي!$C$2:$C$1800,الريسبي!$A$2:$A$1800,$A141,الريسبي!$B$2:$B$1800,AP$1)</f>
        <v>0</v>
      </c>
      <c r="AQ141" s="117" t="n">
        <f aca="false">SUMIFS(الريسبي!$C$2:$C$1800,الريسبي!$A$2:$A$1800,$A141,الريسبي!$B$2:$B$1800,AQ$1)+0.004166666667*SUMIFS(الريسبي!$C$2:$C$1800,الريسبي!$A$2:$A$1800,$A141,الريسبي!$B$2:$B$1800,"عجين كريب (مصنع بالمطعم)")+0.004166666667*SUMIFS(الريسبي!$C$2:$C$1800,الريسبي!$A$2:$A$1800,$A141,الريسبي!$B$2:$B$1800,"عجين كريب صيامي (بدون لبن)")</f>
        <v>0</v>
      </c>
      <c r="AR141" s="117" t="n">
        <f aca="false">SUMIFS(الريسبي!$C$2:$C$1800,الريسبي!$A$2:$A$1800,$A141,الريسبي!$B$2:$B$1800,AR$1)</f>
        <v>0</v>
      </c>
      <c r="AS141" s="117" t="n">
        <f aca="false">SUMIFS(الريسبي!$C$2:$C$1800,الريسبي!$A$2:$A$1800,$A141,الريسبي!$B$2:$B$1800,AS$1)</f>
        <v>0</v>
      </c>
      <c r="AT141" s="117" t="n">
        <f aca="false">SUMIFS(الريسبي!$C$2:$C$1800,الريسبي!$A$2:$A$1800,$A141,الريسبي!$B$2:$B$1800,AT$1)</f>
        <v>0</v>
      </c>
      <c r="AU141" s="117" t="n">
        <f aca="false">SUMIFS(الريسبي!$C$2:$C$1800,الريسبي!$A$2:$A$1800,$A141,الريسبي!$B$2:$B$1800,AU$1)</f>
        <v>0</v>
      </c>
      <c r="AV141" s="117" t="n">
        <f aca="false">SUMIFS(الريسبي!$C$2:$C$1800,الريسبي!$A$2:$A$1800,$A141,الريسبي!$B$2:$B$1800,AV$1)</f>
        <v>0</v>
      </c>
      <c r="AW141" s="117" t="n">
        <f aca="false">SUMIFS(الريسبي!$C$2:$C$1800,الريسبي!$A$2:$A$1800,$A141,الريسبي!$B$2:$B$1800,AW$1)</f>
        <v>0</v>
      </c>
      <c r="AX141" s="117" t="n">
        <f aca="false">SUMIFS(الريسبي!$C$2:$C$1800,الريسبي!$A$2:$A$1800,$A141,الريسبي!$B$2:$B$1800,AX$1)</f>
        <v>0</v>
      </c>
      <c r="AY141" s="117" t="n">
        <f aca="false">SUMIFS(الريسبي!$C$2:$C$1800,الريسبي!$A$2:$A$1800,$A141,الريسبي!$B$2:$B$1800,AY$1)</f>
        <v>0</v>
      </c>
      <c r="AZ141" s="117" t="n">
        <f aca="false">SUMIFS(الريسبي!$C$2:$C$1800,الريسبي!$A$2:$A$1800,$A141,الريسبي!$B$2:$B$1800,AZ$1)</f>
        <v>0</v>
      </c>
      <c r="BA141" s="117" t="n">
        <f aca="false">SUMIFS(الريسبي!$C$2:$C$1800,الريسبي!$A$2:$A$1800,$A141,الريسبي!$B$2:$B$1800,BA$1)</f>
        <v>0</v>
      </c>
      <c r="BB141" s="117" t="n">
        <f aca="false">SUMIFS(الريسبي!$C$2:$C$1800,الريسبي!$A$2:$A$1800,$A141,الريسبي!$B$2:$B$1800,BB$1)</f>
        <v>0</v>
      </c>
      <c r="BC141" s="117" t="n">
        <f aca="false">SUMIFS(الريسبي!$C$2:$C$1800,الريسبي!$A$2:$A$1800,$A141,الريسبي!$B$2:$B$1800,BC$1)</f>
        <v>0</v>
      </c>
      <c r="BD141" s="117" t="n">
        <f aca="false">SUMIFS(الريسبي!$C$2:$C$1800,الريسبي!$A$2:$A$1800,$A141,الريسبي!$B$2:$B$1800,BD$1)</f>
        <v>0</v>
      </c>
      <c r="BE141" s="117" t="n">
        <f aca="false">SUMIFS(الريسبي!$C$2:$C$1800,الريسبي!$A$2:$A$1800,$A141,الريسبي!$B$2:$B$1800,BE$1)</f>
        <v>0</v>
      </c>
      <c r="BF141" s="117" t="n">
        <f aca="false">SUMIFS(الريسبي!$C$2:$C$1800,الريسبي!$A$2:$A$1800,$A141,الريسبي!$B$2:$B$1800,BF$1)</f>
        <v>0</v>
      </c>
      <c r="BG141" s="117" t="n">
        <f aca="false">SUMIFS(الريسبي!$C$2:$C$1800,الريسبي!$A$2:$A$1800,$A141,الريسبي!$B$2:$B$1800,BG$1)</f>
        <v>0</v>
      </c>
      <c r="BH141" s="117" t="n">
        <f aca="false">SUMIFS(الريسبي!$C$2:$C$1800,الريسبي!$A$2:$A$1800,$A141,الريسبي!$B$2:$B$1800,BH$1)</f>
        <v>0</v>
      </c>
      <c r="BI141" s="117" t="n">
        <f aca="false">SUMIFS(الريسبي!$C$2:$C$1800,الريسبي!$A$2:$A$1800,$A141,الريسبي!$B$2:$B$1800,BI$1)</f>
        <v>0</v>
      </c>
      <c r="BJ141" s="117" t="n">
        <f aca="false">SUMIFS(الريسبي!$C$2:$C$1800,الريسبي!$A$2:$A$1800,$A141,الريسبي!$B$2:$B$1800,BJ$1)</f>
        <v>0</v>
      </c>
      <c r="BK141" s="117" t="n">
        <f aca="false">SUMIFS(الريسبي!$C$2:$C$1800,الريسبي!$A$2:$A$1800,$A141,الريسبي!$B$2:$B$1800,BK$1)</f>
        <v>0</v>
      </c>
      <c r="BL141" s="117" t="n">
        <f aca="false">SUMIFS(الريسبي!$C$2:$C$1800,الريسبي!$A$2:$A$1800,$A141,الريسبي!$B$2:$B$1800,BL$1)</f>
        <v>0</v>
      </c>
      <c r="BM141" s="117" t="n">
        <f aca="false">SUMIFS(الريسبي!$C$2:$C$1800,الريسبي!$A$2:$A$1800,$A141,الريسبي!$B$2:$B$1800,BM$1)</f>
        <v>0</v>
      </c>
      <c r="BN141" s="117" t="n">
        <f aca="false">SUMIFS(الريسبي!$C$2:$C$1800,الريسبي!$A$2:$A$1800,$A141,الريسبي!$B$2:$B$1800,BN$1)</f>
        <v>0</v>
      </c>
      <c r="BO141" s="117" t="n">
        <f aca="false">SUMIFS(الريسبي!$C$2:$C$1800,الريسبي!$A$2:$A$1800,$A141,الريسبي!$B$2:$B$1800,BO$1)</f>
        <v>0</v>
      </c>
      <c r="BP141" s="117" t="n">
        <f aca="false">SUMIFS(الريسبي!$C$2:$C$1800,الريسبي!$A$2:$A$1800,$A141,الريسبي!$B$2:$B$1800,BP$1)</f>
        <v>0</v>
      </c>
      <c r="BQ141" s="117" t="n">
        <f aca="false">SUMIFS(الريسبي!$C$2:$C$1800,الريسبي!$A$2:$A$1800,$A141,الريسبي!$B$2:$B$1800,BQ$1)+0.17*SUMIFS(الريسبي!$C$2:$C$1800,الريسبي!$A$2:$A$1800,$A141,الريسبي!$B$2:$B$1800,"كاسترد مصنع (خليط بودر + لبن)")+0.17*SUMIFS(الريسبي!$C$2:$C$1800,الريسبي!$A$2:$A$1800,$A141,الريسبي!$B$2:$B$1800,"كاسترد مصنع صيامي (بدون لبن)")</f>
        <v>0</v>
      </c>
      <c r="BR141" s="117" t="n">
        <f aca="false">SUMIFS(الريسبي!$C$2:$C$1800,الريسبي!$A$2:$A$1800,$A141,الريسبي!$B$2:$B$1800,BR$1)</f>
        <v>0</v>
      </c>
      <c r="BS141" s="117" t="n">
        <f aca="false">SUMIFS(الريسبي!$C$2:$C$1800,الريسبي!$A$2:$A$1800,$A141,الريسبي!$B$2:$B$1800,BS$1)</f>
        <v>0</v>
      </c>
      <c r="BT141" s="117" t="n">
        <f aca="false">SUMIFS(الريسبي!$C$2:$C$1800,الريسبي!$A$2:$A$1800,$A141,الريسبي!$B$2:$B$1800,BT$1)</f>
        <v>0</v>
      </c>
      <c r="BU141" s="117" t="n">
        <f aca="false">SUMIFS(الريسبي!$C$2:$C$1800,الريسبي!$A$2:$A$1800,$A141,الريسبي!$B$2:$B$1800,BU$1)+0.4*SUMIFS(الريسبي!$C$2:$C$1800,الريسبي!$A$2:$A$1800,$A141,الريسبي!$B$2:$B$1800,"كاسترد مصنع (خليط بودر + لبن)")+0.03333333333*SUMIFS(الريسبي!$C$2:$C$1800,الريسبي!$A$2:$A$1800,$A141,الريسبي!$B$2:$B$1800,"عجين كريب (مصنع بالمطعم)")</f>
        <v>0</v>
      </c>
      <c r="BV141" s="117" t="n">
        <f aca="false">SUMIFS(الريسبي!$C$2:$C$1800,الريسبي!$A$2:$A$1800,$A141,الريسبي!$B$2:$B$1800,BV$1)</f>
        <v>0</v>
      </c>
      <c r="BW141" s="117" t="n">
        <f aca="false">SUMIFS(الريسبي!$C$2:$C$1800,الريسبي!$A$2:$A$1800,$A141,الريسبي!$B$2:$B$1800,BW$1)</f>
        <v>0</v>
      </c>
      <c r="BX141" s="117" t="n">
        <f aca="false">SUMIFS(الريسبي!$C$2:$C$1800,الريسبي!$A$2:$A$1800,$A141,الريسبي!$B$2:$B$1800,BX$1)</f>
        <v>0</v>
      </c>
      <c r="BY141" s="117" t="n">
        <f aca="false">SUMIFS(الريسبي!$C$2:$C$1800,الريسبي!$A$2:$A$1800,$A141,الريسبي!$B$2:$B$1800,BY$1)</f>
        <v>0</v>
      </c>
      <c r="BZ141" s="117" t="n">
        <f aca="false">SUMIFS(الريسبي!$C$2:$C$1800,الريسبي!$A$2:$A$1800,$A141,الريسبي!$B$2:$B$1800,BZ$1)</f>
        <v>0</v>
      </c>
      <c r="CA141" s="117" t="n">
        <f aca="false">SUMIFS(الريسبي!$C$2:$C$1800,الريسبي!$A$2:$A$1800,$A141,الريسبي!$B$2:$B$1800,CA$1)</f>
        <v>0</v>
      </c>
      <c r="CB141" s="117" t="n">
        <f aca="false">SUMIFS(الريسبي!$C$2:$C$1800,الريسبي!$A$2:$A$1800,$A141,الريسبي!$B$2:$B$1800,CB$1)</f>
        <v>0</v>
      </c>
      <c r="CC141" s="117" t="n">
        <f aca="false">SUMIFS(الريسبي!$C$2:$C$1800,الريسبي!$A$2:$A$1800,$A141,الريسبي!$B$2:$B$1800,CC$1)</f>
        <v>0</v>
      </c>
      <c r="CD141" s="117" t="n">
        <f aca="false">SUMIFS(الريسبي!$C$2:$C$1800,الريسبي!$A$2:$A$1800,$A141,الريسبي!$B$2:$B$1800,CD$1)</f>
        <v>0</v>
      </c>
      <c r="CE141" s="117" t="n">
        <f aca="false">SUMIFS(الريسبي!$C$2:$C$1800,الريسبي!$A$2:$A$1800,$A141,الريسبي!$B$2:$B$1800,CE$1)</f>
        <v>0</v>
      </c>
      <c r="CF141" s="117" t="n">
        <f aca="false">SUMIFS(الريسبي!$C$2:$C$1800,الريسبي!$A$2:$A$1800,$A141,الريسبي!$B$2:$B$1800,CF$1)</f>
        <v>0</v>
      </c>
      <c r="CG141" s="117" t="n">
        <f aca="false">SUMIFS(الريسبي!$C$2:$C$1800,الريسبي!$A$2:$A$1800,$A141,الريسبي!$B$2:$B$1800,CG$1)</f>
        <v>0</v>
      </c>
      <c r="CH141" s="117" t="n">
        <f aca="false">SUMIFS(الريسبي!$C$2:$C$1800,الريسبي!$A$2:$A$1800,$A141,الريسبي!$B$2:$B$1800,CH$1)</f>
        <v>0</v>
      </c>
      <c r="CI141" s="117" t="n">
        <f aca="false">SUMIFS(الريسبي!$C$2:$C$1800,الريسبي!$A$2:$A$1800,$A141,الريسبي!$B$2:$B$1800,CI$1)</f>
        <v>0</v>
      </c>
      <c r="CJ141" s="117" t="n">
        <f aca="false">SUMIFS(الريسبي!$C$2:$C$1800,الريسبي!$A$2:$A$1800,$A141,الريسبي!$B$2:$B$1800,CJ$1)</f>
        <v>0</v>
      </c>
      <c r="CK141" s="117" t="n">
        <f aca="false">SUMIFS(الريسبي!$C$2:$C$1800,الريسبي!$A$2:$A$1800,$A141,الريسبي!$B$2:$B$1800,CK$1)</f>
        <v>0</v>
      </c>
      <c r="CL141" s="117" t="n">
        <f aca="false">SUMIFS(الريسبي!$C$2:$C$1800,الريسبي!$A$2:$A$1800,$A141,الريسبي!$B$2:$B$1800,CL$1)</f>
        <v>0</v>
      </c>
    </row>
    <row r="142" customFormat="false" ht="15" hidden="false" customHeight="false" outlineLevel="0" collapsed="false">
      <c r="A142" s="116" t="str">
        <f aca="false">المنيو!B142</f>
        <v>اضافة مفروم (بيتزا وسط)</v>
      </c>
      <c r="B142" s="117" t="n">
        <f aca="false">SUMIFS(الريسبي!$C$2:$C$1800,الريسبي!$A$2:$A$1800,$A142,الريسبي!$B$2:$B$1800,B$1)</f>
        <v>0</v>
      </c>
      <c r="C142" s="117" t="n">
        <f aca="false">SUMIFS(الريسبي!$C$2:$C$1800,الريسبي!$A$2:$A$1800,$A142,الريسبي!$B$2:$B$1800,C$1)</f>
        <v>0</v>
      </c>
      <c r="D142" s="117" t="n">
        <f aca="false">SUMIFS(الريسبي!$C$2:$C$1800,الريسبي!$A$2:$A$1800,$A142,الريسبي!$B$2:$B$1800,D$1)</f>
        <v>0</v>
      </c>
      <c r="E142" s="117" t="n">
        <f aca="false">SUMIFS(الريسبي!$C$2:$C$1800,الريسبي!$A$2:$A$1800,$A142,الريسبي!$B$2:$B$1800,E$1)</f>
        <v>0</v>
      </c>
      <c r="F142" s="117" t="n">
        <f aca="false">SUMIFS(الريسبي!$C$2:$C$1800,الريسبي!$A$2:$A$1800,$A142,الريسبي!$B$2:$B$1800,F$1)</f>
        <v>0</v>
      </c>
      <c r="G142" s="117" t="n">
        <f aca="false">SUMIFS(الريسبي!$C$2:$C$1800,الريسبي!$A$2:$A$1800,$A142,الريسبي!$B$2:$B$1800,G$1)</f>
        <v>0</v>
      </c>
      <c r="H142" s="117" t="n">
        <f aca="false">SUMIFS(الريسبي!$C$2:$C$1800,الريسبي!$A$2:$A$1800,$A142,الريسبي!$B$2:$B$1800,H$1)</f>
        <v>0</v>
      </c>
      <c r="I142" s="117" t="n">
        <f aca="false">SUMIFS(الريسبي!$C$2:$C$1800,الريسبي!$A$2:$A$1800,$A142,الريسبي!$B$2:$B$1800,I$1)</f>
        <v>0</v>
      </c>
      <c r="J142" s="117" t="n">
        <f aca="false">SUMIFS(الريسبي!$C$2:$C$1800,الريسبي!$A$2:$A$1800,$A142,الريسبي!$B$2:$B$1800,J$1)</f>
        <v>0</v>
      </c>
      <c r="K142" s="117" t="n">
        <f aca="false">SUMIFS(الريسبي!$C$2:$C$1800,الريسبي!$A$2:$A$1800,$A142,الريسبي!$B$2:$B$1800,K$1)</f>
        <v>0</v>
      </c>
      <c r="L142" s="117" t="n">
        <f aca="false">SUMIFS(الريسبي!$C$2:$C$1800,الريسبي!$A$2:$A$1800,$A142,الريسبي!$B$2:$B$1800,L$1)</f>
        <v>0</v>
      </c>
      <c r="M142" s="117" t="n">
        <f aca="false">SUMIFS(الريسبي!$C$2:$C$1800,الريسبي!$A$2:$A$1800,$A142,الريسبي!$B$2:$B$1800,M$1)</f>
        <v>0</v>
      </c>
      <c r="N142" s="117" t="n">
        <f aca="false">SUMIFS(الريسبي!$C$2:$C$1800,الريسبي!$A$2:$A$1800,$A142,الريسبي!$B$2:$B$1800,N$1)</f>
        <v>0</v>
      </c>
      <c r="O142" s="117" t="n">
        <f aca="false">SUMIFS(الريسبي!$C$2:$C$1800,الريسبي!$A$2:$A$1800,$A142,الريسبي!$B$2:$B$1800,O$1)</f>
        <v>0</v>
      </c>
      <c r="P142" s="117" t="n">
        <f aca="false">SUMIFS(الريسبي!$C$2:$C$1800,الريسبي!$A$2:$A$1800,$A142,الريسبي!$B$2:$B$1800,P$1)</f>
        <v>0</v>
      </c>
      <c r="Q142" s="117" t="n">
        <f aca="false">SUMIFS(الريسبي!$C$2:$C$1800,الريسبي!$A$2:$A$1800,$A142,الريسبي!$B$2:$B$1800,Q$1)</f>
        <v>0</v>
      </c>
      <c r="R142" s="117" t="n">
        <f aca="false">SUMIFS(الريسبي!$C$2:$C$1800,الريسبي!$A$2:$A$1800,$A142,الريسبي!$B$2:$B$1800,R$1)</f>
        <v>0</v>
      </c>
      <c r="S142" s="117" t="n">
        <f aca="false">SUMIFS(الريسبي!$C$2:$C$1800,الريسبي!$A$2:$A$1800,$A142,الريسبي!$B$2:$B$1800,S$1)</f>
        <v>0</v>
      </c>
      <c r="T142" s="117" t="n">
        <f aca="false">SUMIFS(الريسبي!$C$2:$C$1800,الريسبي!$A$2:$A$1800,$A142,الريسبي!$B$2:$B$1800,T$1)</f>
        <v>1</v>
      </c>
      <c r="U142" s="117" t="n">
        <f aca="false">SUMIFS(الريسبي!$C$2:$C$1800,الريسبي!$A$2:$A$1800,$A142,الريسبي!$B$2:$B$1800,U$1)</f>
        <v>0</v>
      </c>
      <c r="V142" s="117" t="n">
        <f aca="false">SUMIFS(الريسبي!$C$2:$C$1800,الريسبي!$A$2:$A$1800,$A142,الريسبي!$B$2:$B$1800,V$1)</f>
        <v>0</v>
      </c>
      <c r="W142" s="117" t="n">
        <f aca="false">SUMIFS(الريسبي!$C$2:$C$1800,الريسبي!$A$2:$A$1800,$A142,الريسبي!$B$2:$B$1800,W$1)</f>
        <v>0</v>
      </c>
      <c r="X142" s="117" t="n">
        <f aca="false">SUMIFS(الريسبي!$C$2:$C$1800,الريسبي!$A$2:$A$1800,$A142,الريسبي!$B$2:$B$1800,X$1)</f>
        <v>0</v>
      </c>
      <c r="Y142" s="117" t="n">
        <f aca="false">SUMIFS(الريسبي!$C$2:$C$1800,الريسبي!$A$2:$A$1800,$A142,الريسبي!$B$2:$B$1800,Y$1)</f>
        <v>0</v>
      </c>
      <c r="Z142" s="117" t="n">
        <f aca="false">SUMIFS(الريسبي!$C$2:$C$1800,الريسبي!$A$2:$A$1800,$A142,الريسبي!$B$2:$B$1800,Z$1)</f>
        <v>0</v>
      </c>
      <c r="AA142" s="117" t="n">
        <f aca="false">SUMIFS(الريسبي!$C$2:$C$1800,الريسبي!$A$2:$A$1800,$A142,الريسبي!$B$2:$B$1800,AA$1)</f>
        <v>0</v>
      </c>
      <c r="AB142" s="117" t="n">
        <f aca="false">SUMIFS(الريسبي!$C$2:$C$1800,الريسبي!$A$2:$A$1800,$A142,الريسبي!$B$2:$B$1800,AB$1)</f>
        <v>0</v>
      </c>
      <c r="AC142" s="117" t="n">
        <f aca="false">SUMIFS(الريسبي!$C$2:$C$1800,الريسبي!$A$2:$A$1800,$A142,الريسبي!$B$2:$B$1800,AC$1)</f>
        <v>0</v>
      </c>
      <c r="AD142" s="117" t="n">
        <f aca="false">SUMIFS(الريسبي!$C$2:$C$1800,الريسبي!$A$2:$A$1800,$A142,الريسبي!$B$2:$B$1800,AD$1)</f>
        <v>0</v>
      </c>
      <c r="AE142" s="117" t="n">
        <f aca="false">SUMIFS(الريسبي!$C$2:$C$1800,الريسبي!$A$2:$A$1800,$A142,الريسبي!$B$2:$B$1800,AE$1)</f>
        <v>0</v>
      </c>
      <c r="AF142" s="117" t="n">
        <f aca="false">SUMIFS(الريسبي!$C$2:$C$1800,الريسبي!$A$2:$A$1800,$A142,الريسبي!$B$2:$B$1800,AF$1)</f>
        <v>0</v>
      </c>
      <c r="AG142" s="117" t="n">
        <f aca="false">SUMIFS(الريسبي!$C$2:$C$1800,الريسبي!$A$2:$A$1800,$A142,الريسبي!$B$2:$B$1800,AG$1)</f>
        <v>0</v>
      </c>
      <c r="AH142" s="117" t="n">
        <f aca="false">SUMIFS(الريسبي!$C$2:$C$1800,الريسبي!$A$2:$A$1800,$A142,الريسبي!$B$2:$B$1800,AH$1)</f>
        <v>0</v>
      </c>
      <c r="AI142" s="117" t="n">
        <f aca="false">SUMIFS(الريسبي!$C$2:$C$1800,الريسبي!$A$2:$A$1800,$A142,الريسبي!$B$2:$B$1800,AI$1)</f>
        <v>0</v>
      </c>
      <c r="AJ142" s="117" t="n">
        <f aca="false">SUMIFS(الريسبي!$C$2:$C$1800,الريسبي!$A$2:$A$1800,$A142,الريسبي!$B$2:$B$1800,AJ$1)</f>
        <v>0</v>
      </c>
      <c r="AK142" s="117" t="n">
        <f aca="false">SUMIFS(الريسبي!$C$2:$C$1800,الريسبي!$A$2:$A$1800,$A142,الريسبي!$B$2:$B$1800,AK$1)</f>
        <v>0</v>
      </c>
      <c r="AL142" s="117" t="n">
        <f aca="false">SUMIFS(الريسبي!$C$2:$C$1800,الريسبي!$A$2:$A$1800,$A142,الريسبي!$B$2:$B$1800,AL$1)</f>
        <v>0</v>
      </c>
      <c r="AM142" s="117" t="n">
        <f aca="false">SUMIFS(الريسبي!$C$2:$C$1800,الريسبي!$A$2:$A$1800,$A142,الريسبي!$B$2:$B$1800,AM$1)+0.08333333333*SUMIFS(الريسبي!$C$2:$C$1800,الريسبي!$A$2:$A$1800,$A142,الريسبي!$B$2:$B$1800,"عجين كريب (مصنع بالمطعم)")+0.08333333333*SUMIFS(الريسبي!$C$2:$C$1800,الريسبي!$A$2:$A$1800,$A142,الريسبي!$B$2:$B$1800,"عجين كريب صيامي (بدون لبن)")</f>
        <v>0</v>
      </c>
      <c r="AN142" s="117" t="n">
        <f aca="false">SUMIFS(الريسبي!$C$2:$C$1800,الريسبي!$A$2:$A$1800,$A142,الريسبي!$B$2:$B$1800,AN$1)+0.004166666667*SUMIFS(الريسبي!$C$2:$C$1800,الريسبي!$A$2:$A$1800,$A142,الريسبي!$B$2:$B$1800,"عجين كريب (مصنع بالمطعم)")+0.004166666667*SUMIFS(الريسبي!$C$2:$C$1800,الريسبي!$A$2:$A$1800,$A142,الريسبي!$B$2:$B$1800,"عجين كريب صيامي (بدون لبن)")</f>
        <v>0</v>
      </c>
      <c r="AO142" s="117" t="n">
        <f aca="false">SUMIFS(الريسبي!$C$2:$C$1800,الريسبي!$A$2:$A$1800,$A142,الريسبي!$B$2:$B$1800,AO$1)</f>
        <v>0</v>
      </c>
      <c r="AP142" s="117" t="n">
        <f aca="false">SUMIFS(الريسبي!$C$2:$C$1800,الريسبي!$A$2:$A$1800,$A142,الريسبي!$B$2:$B$1800,AP$1)</f>
        <v>0</v>
      </c>
      <c r="AQ142" s="117" t="n">
        <f aca="false">SUMIFS(الريسبي!$C$2:$C$1800,الريسبي!$A$2:$A$1800,$A142,الريسبي!$B$2:$B$1800,AQ$1)+0.004166666667*SUMIFS(الريسبي!$C$2:$C$1800,الريسبي!$A$2:$A$1800,$A142,الريسبي!$B$2:$B$1800,"عجين كريب (مصنع بالمطعم)")+0.004166666667*SUMIFS(الريسبي!$C$2:$C$1800,الريسبي!$A$2:$A$1800,$A142,الريسبي!$B$2:$B$1800,"عجين كريب صيامي (بدون لبن)")</f>
        <v>0</v>
      </c>
      <c r="AR142" s="117" t="n">
        <f aca="false">SUMIFS(الريسبي!$C$2:$C$1800,الريسبي!$A$2:$A$1800,$A142,الريسبي!$B$2:$B$1800,AR$1)</f>
        <v>0</v>
      </c>
      <c r="AS142" s="117" t="n">
        <f aca="false">SUMIFS(الريسبي!$C$2:$C$1800,الريسبي!$A$2:$A$1800,$A142,الريسبي!$B$2:$B$1800,AS$1)</f>
        <v>0</v>
      </c>
      <c r="AT142" s="117" t="n">
        <f aca="false">SUMIFS(الريسبي!$C$2:$C$1800,الريسبي!$A$2:$A$1800,$A142,الريسبي!$B$2:$B$1800,AT$1)</f>
        <v>0</v>
      </c>
      <c r="AU142" s="117" t="n">
        <f aca="false">SUMIFS(الريسبي!$C$2:$C$1800,الريسبي!$A$2:$A$1800,$A142,الريسبي!$B$2:$B$1800,AU$1)</f>
        <v>0</v>
      </c>
      <c r="AV142" s="117" t="n">
        <f aca="false">SUMIFS(الريسبي!$C$2:$C$1800,الريسبي!$A$2:$A$1800,$A142,الريسبي!$B$2:$B$1800,AV$1)</f>
        <v>0</v>
      </c>
      <c r="AW142" s="117" t="n">
        <f aca="false">SUMIFS(الريسبي!$C$2:$C$1800,الريسبي!$A$2:$A$1800,$A142,الريسبي!$B$2:$B$1800,AW$1)</f>
        <v>0</v>
      </c>
      <c r="AX142" s="117" t="n">
        <f aca="false">SUMIFS(الريسبي!$C$2:$C$1800,الريسبي!$A$2:$A$1800,$A142,الريسبي!$B$2:$B$1800,AX$1)</f>
        <v>0</v>
      </c>
      <c r="AY142" s="117" t="n">
        <f aca="false">SUMIFS(الريسبي!$C$2:$C$1800,الريسبي!$A$2:$A$1800,$A142,الريسبي!$B$2:$B$1800,AY$1)</f>
        <v>0</v>
      </c>
      <c r="AZ142" s="117" t="n">
        <f aca="false">SUMIFS(الريسبي!$C$2:$C$1800,الريسبي!$A$2:$A$1800,$A142,الريسبي!$B$2:$B$1800,AZ$1)</f>
        <v>0</v>
      </c>
      <c r="BA142" s="117" t="n">
        <f aca="false">SUMIFS(الريسبي!$C$2:$C$1800,الريسبي!$A$2:$A$1800,$A142,الريسبي!$B$2:$B$1800,BA$1)</f>
        <v>0</v>
      </c>
      <c r="BB142" s="117" t="n">
        <f aca="false">SUMIFS(الريسبي!$C$2:$C$1800,الريسبي!$A$2:$A$1800,$A142,الريسبي!$B$2:$B$1800,BB$1)</f>
        <v>0</v>
      </c>
      <c r="BC142" s="117" t="n">
        <f aca="false">SUMIFS(الريسبي!$C$2:$C$1800,الريسبي!$A$2:$A$1800,$A142,الريسبي!$B$2:$B$1800,BC$1)</f>
        <v>0</v>
      </c>
      <c r="BD142" s="117" t="n">
        <f aca="false">SUMIFS(الريسبي!$C$2:$C$1800,الريسبي!$A$2:$A$1800,$A142,الريسبي!$B$2:$B$1800,BD$1)</f>
        <v>0</v>
      </c>
      <c r="BE142" s="117" t="n">
        <f aca="false">SUMIFS(الريسبي!$C$2:$C$1800,الريسبي!$A$2:$A$1800,$A142,الريسبي!$B$2:$B$1800,BE$1)</f>
        <v>0</v>
      </c>
      <c r="BF142" s="117" t="n">
        <f aca="false">SUMIFS(الريسبي!$C$2:$C$1800,الريسبي!$A$2:$A$1800,$A142,الريسبي!$B$2:$B$1800,BF$1)</f>
        <v>0</v>
      </c>
      <c r="BG142" s="117" t="n">
        <f aca="false">SUMIFS(الريسبي!$C$2:$C$1800,الريسبي!$A$2:$A$1800,$A142,الريسبي!$B$2:$B$1800,BG$1)</f>
        <v>0</v>
      </c>
      <c r="BH142" s="117" t="n">
        <f aca="false">SUMIFS(الريسبي!$C$2:$C$1800,الريسبي!$A$2:$A$1800,$A142,الريسبي!$B$2:$B$1800,BH$1)</f>
        <v>0</v>
      </c>
      <c r="BI142" s="117" t="n">
        <f aca="false">SUMIFS(الريسبي!$C$2:$C$1800,الريسبي!$A$2:$A$1800,$A142,الريسبي!$B$2:$B$1800,BI$1)</f>
        <v>0</v>
      </c>
      <c r="BJ142" s="117" t="n">
        <f aca="false">SUMIFS(الريسبي!$C$2:$C$1800,الريسبي!$A$2:$A$1800,$A142,الريسبي!$B$2:$B$1800,BJ$1)</f>
        <v>0</v>
      </c>
      <c r="BK142" s="117" t="n">
        <f aca="false">SUMIFS(الريسبي!$C$2:$C$1800,الريسبي!$A$2:$A$1800,$A142,الريسبي!$B$2:$B$1800,BK$1)</f>
        <v>0</v>
      </c>
      <c r="BL142" s="117" t="n">
        <f aca="false">SUMIFS(الريسبي!$C$2:$C$1800,الريسبي!$A$2:$A$1800,$A142,الريسبي!$B$2:$B$1800,BL$1)</f>
        <v>0</v>
      </c>
      <c r="BM142" s="117" t="n">
        <f aca="false">SUMIFS(الريسبي!$C$2:$C$1800,الريسبي!$A$2:$A$1800,$A142,الريسبي!$B$2:$B$1800,BM$1)</f>
        <v>0</v>
      </c>
      <c r="BN142" s="117" t="n">
        <f aca="false">SUMIFS(الريسبي!$C$2:$C$1800,الريسبي!$A$2:$A$1800,$A142,الريسبي!$B$2:$B$1800,BN$1)</f>
        <v>0</v>
      </c>
      <c r="BO142" s="117" t="n">
        <f aca="false">SUMIFS(الريسبي!$C$2:$C$1800,الريسبي!$A$2:$A$1800,$A142,الريسبي!$B$2:$B$1800,BO$1)</f>
        <v>0</v>
      </c>
      <c r="BP142" s="117" t="n">
        <f aca="false">SUMIFS(الريسبي!$C$2:$C$1800,الريسبي!$A$2:$A$1800,$A142,الريسبي!$B$2:$B$1800,BP$1)</f>
        <v>0</v>
      </c>
      <c r="BQ142" s="117" t="n">
        <f aca="false">SUMIFS(الريسبي!$C$2:$C$1800,الريسبي!$A$2:$A$1800,$A142,الريسبي!$B$2:$B$1800,BQ$1)+0.17*SUMIFS(الريسبي!$C$2:$C$1800,الريسبي!$A$2:$A$1800,$A142,الريسبي!$B$2:$B$1800,"كاسترد مصنع (خليط بودر + لبن)")+0.17*SUMIFS(الريسبي!$C$2:$C$1800,الريسبي!$A$2:$A$1800,$A142,الريسبي!$B$2:$B$1800,"كاسترد مصنع صيامي (بدون لبن)")</f>
        <v>0</v>
      </c>
      <c r="BR142" s="117" t="n">
        <f aca="false">SUMIFS(الريسبي!$C$2:$C$1800,الريسبي!$A$2:$A$1800,$A142,الريسبي!$B$2:$B$1800,BR$1)</f>
        <v>0</v>
      </c>
      <c r="BS142" s="117" t="n">
        <f aca="false">SUMIFS(الريسبي!$C$2:$C$1800,الريسبي!$A$2:$A$1800,$A142,الريسبي!$B$2:$B$1800,BS$1)</f>
        <v>0</v>
      </c>
      <c r="BT142" s="117" t="n">
        <f aca="false">SUMIFS(الريسبي!$C$2:$C$1800,الريسبي!$A$2:$A$1800,$A142,الريسبي!$B$2:$B$1800,BT$1)</f>
        <v>0</v>
      </c>
      <c r="BU142" s="117" t="n">
        <f aca="false">SUMIFS(الريسبي!$C$2:$C$1800,الريسبي!$A$2:$A$1800,$A142,الريسبي!$B$2:$B$1800,BU$1)+0.4*SUMIFS(الريسبي!$C$2:$C$1800,الريسبي!$A$2:$A$1800,$A142,الريسبي!$B$2:$B$1800,"كاسترد مصنع (خليط بودر + لبن)")+0.03333333333*SUMIFS(الريسبي!$C$2:$C$1800,الريسبي!$A$2:$A$1800,$A142,الريسبي!$B$2:$B$1800,"عجين كريب (مصنع بالمطعم)")</f>
        <v>0</v>
      </c>
      <c r="BV142" s="117" t="n">
        <f aca="false">SUMIFS(الريسبي!$C$2:$C$1800,الريسبي!$A$2:$A$1800,$A142,الريسبي!$B$2:$B$1800,BV$1)</f>
        <v>0</v>
      </c>
      <c r="BW142" s="117" t="n">
        <f aca="false">SUMIFS(الريسبي!$C$2:$C$1800,الريسبي!$A$2:$A$1800,$A142,الريسبي!$B$2:$B$1800,BW$1)</f>
        <v>0</v>
      </c>
      <c r="BX142" s="117" t="n">
        <f aca="false">SUMIFS(الريسبي!$C$2:$C$1800,الريسبي!$A$2:$A$1800,$A142,الريسبي!$B$2:$B$1800,BX$1)</f>
        <v>0</v>
      </c>
      <c r="BY142" s="117" t="n">
        <f aca="false">SUMIFS(الريسبي!$C$2:$C$1800,الريسبي!$A$2:$A$1800,$A142,الريسبي!$B$2:$B$1800,BY$1)</f>
        <v>0</v>
      </c>
      <c r="BZ142" s="117" t="n">
        <f aca="false">SUMIFS(الريسبي!$C$2:$C$1800,الريسبي!$A$2:$A$1800,$A142,الريسبي!$B$2:$B$1800,BZ$1)</f>
        <v>0</v>
      </c>
      <c r="CA142" s="117" t="n">
        <f aca="false">SUMIFS(الريسبي!$C$2:$C$1800,الريسبي!$A$2:$A$1800,$A142,الريسبي!$B$2:$B$1800,CA$1)</f>
        <v>0</v>
      </c>
      <c r="CB142" s="117" t="n">
        <f aca="false">SUMIFS(الريسبي!$C$2:$C$1800,الريسبي!$A$2:$A$1800,$A142,الريسبي!$B$2:$B$1800,CB$1)</f>
        <v>0</v>
      </c>
      <c r="CC142" s="117" t="n">
        <f aca="false">SUMIFS(الريسبي!$C$2:$C$1800,الريسبي!$A$2:$A$1800,$A142,الريسبي!$B$2:$B$1800,CC$1)</f>
        <v>0</v>
      </c>
      <c r="CD142" s="117" t="n">
        <f aca="false">SUMIFS(الريسبي!$C$2:$C$1800,الريسبي!$A$2:$A$1800,$A142,الريسبي!$B$2:$B$1800,CD$1)</f>
        <v>0</v>
      </c>
      <c r="CE142" s="117" t="n">
        <f aca="false">SUMIFS(الريسبي!$C$2:$C$1800,الريسبي!$A$2:$A$1800,$A142,الريسبي!$B$2:$B$1800,CE$1)</f>
        <v>0</v>
      </c>
      <c r="CF142" s="117" t="n">
        <f aca="false">SUMIFS(الريسبي!$C$2:$C$1800,الريسبي!$A$2:$A$1800,$A142,الريسبي!$B$2:$B$1800,CF$1)</f>
        <v>0</v>
      </c>
      <c r="CG142" s="117" t="n">
        <f aca="false">SUMIFS(الريسبي!$C$2:$C$1800,الريسبي!$A$2:$A$1800,$A142,الريسبي!$B$2:$B$1800,CG$1)</f>
        <v>0</v>
      </c>
      <c r="CH142" s="117" t="n">
        <f aca="false">SUMIFS(الريسبي!$C$2:$C$1800,الريسبي!$A$2:$A$1800,$A142,الريسبي!$B$2:$B$1800,CH$1)</f>
        <v>0</v>
      </c>
      <c r="CI142" s="117" t="n">
        <f aca="false">SUMIFS(الريسبي!$C$2:$C$1800,الريسبي!$A$2:$A$1800,$A142,الريسبي!$B$2:$B$1800,CI$1)</f>
        <v>0</v>
      </c>
      <c r="CJ142" s="117" t="n">
        <f aca="false">SUMIFS(الريسبي!$C$2:$C$1800,الريسبي!$A$2:$A$1800,$A142,الريسبي!$B$2:$B$1800,CJ$1)</f>
        <v>0</v>
      </c>
      <c r="CK142" s="117" t="n">
        <f aca="false">SUMIFS(الريسبي!$C$2:$C$1800,الريسبي!$A$2:$A$1800,$A142,الريسبي!$B$2:$B$1800,CK$1)</f>
        <v>0</v>
      </c>
      <c r="CL142" s="117" t="n">
        <f aca="false">SUMIFS(الريسبي!$C$2:$C$1800,الريسبي!$A$2:$A$1800,$A142,الريسبي!$B$2:$B$1800,CL$1)</f>
        <v>0</v>
      </c>
    </row>
    <row r="143" customFormat="false" ht="15" hidden="false" customHeight="false" outlineLevel="0" collapsed="false">
      <c r="A143" s="116" t="str">
        <f aca="false">المنيو!B143</f>
        <v>اضافة مفروم (فطير وسط)</v>
      </c>
      <c r="B143" s="117" t="n">
        <f aca="false">SUMIFS(الريسبي!$C$2:$C$1800,الريسبي!$A$2:$A$1800,$A143,الريسبي!$B$2:$B$1800,B$1)</f>
        <v>0</v>
      </c>
      <c r="C143" s="117" t="n">
        <f aca="false">SUMIFS(الريسبي!$C$2:$C$1800,الريسبي!$A$2:$A$1800,$A143,الريسبي!$B$2:$B$1800,C$1)</f>
        <v>0</v>
      </c>
      <c r="D143" s="117" t="n">
        <f aca="false">SUMIFS(الريسبي!$C$2:$C$1800,الريسبي!$A$2:$A$1800,$A143,الريسبي!$B$2:$B$1800,D$1)</f>
        <v>0</v>
      </c>
      <c r="E143" s="117" t="n">
        <f aca="false">SUMIFS(الريسبي!$C$2:$C$1800,الريسبي!$A$2:$A$1800,$A143,الريسبي!$B$2:$B$1800,E$1)</f>
        <v>0</v>
      </c>
      <c r="F143" s="117" t="n">
        <f aca="false">SUMIFS(الريسبي!$C$2:$C$1800,الريسبي!$A$2:$A$1800,$A143,الريسبي!$B$2:$B$1800,F$1)</f>
        <v>0</v>
      </c>
      <c r="G143" s="117" t="n">
        <f aca="false">SUMIFS(الريسبي!$C$2:$C$1800,الريسبي!$A$2:$A$1800,$A143,الريسبي!$B$2:$B$1800,G$1)</f>
        <v>0</v>
      </c>
      <c r="H143" s="117" t="n">
        <f aca="false">SUMIFS(الريسبي!$C$2:$C$1800,الريسبي!$A$2:$A$1800,$A143,الريسبي!$B$2:$B$1800,H$1)</f>
        <v>0</v>
      </c>
      <c r="I143" s="117" t="n">
        <f aca="false">SUMIFS(الريسبي!$C$2:$C$1800,الريسبي!$A$2:$A$1800,$A143,الريسبي!$B$2:$B$1800,I$1)</f>
        <v>0</v>
      </c>
      <c r="J143" s="117" t="n">
        <f aca="false">SUMIFS(الريسبي!$C$2:$C$1800,الريسبي!$A$2:$A$1800,$A143,الريسبي!$B$2:$B$1800,J$1)</f>
        <v>0</v>
      </c>
      <c r="K143" s="117" t="n">
        <f aca="false">SUMIFS(الريسبي!$C$2:$C$1800,الريسبي!$A$2:$A$1800,$A143,الريسبي!$B$2:$B$1800,K$1)</f>
        <v>0</v>
      </c>
      <c r="L143" s="117" t="n">
        <f aca="false">SUMIFS(الريسبي!$C$2:$C$1800,الريسبي!$A$2:$A$1800,$A143,الريسبي!$B$2:$B$1800,L$1)</f>
        <v>0</v>
      </c>
      <c r="M143" s="117" t="n">
        <f aca="false">SUMIFS(الريسبي!$C$2:$C$1800,الريسبي!$A$2:$A$1800,$A143,الريسبي!$B$2:$B$1800,M$1)</f>
        <v>0</v>
      </c>
      <c r="N143" s="117" t="n">
        <f aca="false">SUMIFS(الريسبي!$C$2:$C$1800,الريسبي!$A$2:$A$1800,$A143,الريسبي!$B$2:$B$1800,N$1)</f>
        <v>0</v>
      </c>
      <c r="O143" s="117" t="n">
        <f aca="false">SUMIFS(الريسبي!$C$2:$C$1800,الريسبي!$A$2:$A$1800,$A143,الريسبي!$B$2:$B$1800,O$1)</f>
        <v>0</v>
      </c>
      <c r="P143" s="117" t="n">
        <f aca="false">SUMIFS(الريسبي!$C$2:$C$1800,الريسبي!$A$2:$A$1800,$A143,الريسبي!$B$2:$B$1800,P$1)</f>
        <v>0</v>
      </c>
      <c r="Q143" s="117" t="n">
        <f aca="false">SUMIFS(الريسبي!$C$2:$C$1800,الريسبي!$A$2:$A$1800,$A143,الريسبي!$B$2:$B$1800,Q$1)</f>
        <v>0</v>
      </c>
      <c r="R143" s="117" t="n">
        <f aca="false">SUMIFS(الريسبي!$C$2:$C$1800,الريسبي!$A$2:$A$1800,$A143,الريسبي!$B$2:$B$1800,R$1)</f>
        <v>0</v>
      </c>
      <c r="S143" s="117" t="n">
        <f aca="false">SUMIFS(الريسبي!$C$2:$C$1800,الريسبي!$A$2:$A$1800,$A143,الريسبي!$B$2:$B$1800,S$1)</f>
        <v>0</v>
      </c>
      <c r="T143" s="117" t="n">
        <f aca="false">SUMIFS(الريسبي!$C$2:$C$1800,الريسبي!$A$2:$A$1800,$A143,الريسبي!$B$2:$B$1800,T$1)</f>
        <v>1</v>
      </c>
      <c r="U143" s="117" t="n">
        <f aca="false">SUMIFS(الريسبي!$C$2:$C$1800,الريسبي!$A$2:$A$1800,$A143,الريسبي!$B$2:$B$1800,U$1)</f>
        <v>0</v>
      </c>
      <c r="V143" s="117" t="n">
        <f aca="false">SUMIFS(الريسبي!$C$2:$C$1800,الريسبي!$A$2:$A$1800,$A143,الريسبي!$B$2:$B$1800,V$1)</f>
        <v>0</v>
      </c>
      <c r="W143" s="117" t="n">
        <f aca="false">SUMIFS(الريسبي!$C$2:$C$1800,الريسبي!$A$2:$A$1800,$A143,الريسبي!$B$2:$B$1800,W$1)</f>
        <v>0</v>
      </c>
      <c r="X143" s="117" t="n">
        <f aca="false">SUMIFS(الريسبي!$C$2:$C$1800,الريسبي!$A$2:$A$1800,$A143,الريسبي!$B$2:$B$1800,X$1)</f>
        <v>0</v>
      </c>
      <c r="Y143" s="117" t="n">
        <f aca="false">SUMIFS(الريسبي!$C$2:$C$1800,الريسبي!$A$2:$A$1800,$A143,الريسبي!$B$2:$B$1800,Y$1)</f>
        <v>0</v>
      </c>
      <c r="Z143" s="117" t="n">
        <f aca="false">SUMIFS(الريسبي!$C$2:$C$1800,الريسبي!$A$2:$A$1800,$A143,الريسبي!$B$2:$B$1800,Z$1)</f>
        <v>0</v>
      </c>
      <c r="AA143" s="117" t="n">
        <f aca="false">SUMIFS(الريسبي!$C$2:$C$1800,الريسبي!$A$2:$A$1800,$A143,الريسبي!$B$2:$B$1800,AA$1)</f>
        <v>0</v>
      </c>
      <c r="AB143" s="117" t="n">
        <f aca="false">SUMIFS(الريسبي!$C$2:$C$1800,الريسبي!$A$2:$A$1800,$A143,الريسبي!$B$2:$B$1800,AB$1)</f>
        <v>0</v>
      </c>
      <c r="AC143" s="117" t="n">
        <f aca="false">SUMIFS(الريسبي!$C$2:$C$1800,الريسبي!$A$2:$A$1800,$A143,الريسبي!$B$2:$B$1800,AC$1)</f>
        <v>0</v>
      </c>
      <c r="AD143" s="117" t="n">
        <f aca="false">SUMIFS(الريسبي!$C$2:$C$1800,الريسبي!$A$2:$A$1800,$A143,الريسبي!$B$2:$B$1800,AD$1)</f>
        <v>0</v>
      </c>
      <c r="AE143" s="117" t="n">
        <f aca="false">SUMIFS(الريسبي!$C$2:$C$1800,الريسبي!$A$2:$A$1800,$A143,الريسبي!$B$2:$B$1800,AE$1)</f>
        <v>0</v>
      </c>
      <c r="AF143" s="117" t="n">
        <f aca="false">SUMIFS(الريسبي!$C$2:$C$1800,الريسبي!$A$2:$A$1800,$A143,الريسبي!$B$2:$B$1800,AF$1)</f>
        <v>0</v>
      </c>
      <c r="AG143" s="117" t="n">
        <f aca="false">SUMIFS(الريسبي!$C$2:$C$1800,الريسبي!$A$2:$A$1800,$A143,الريسبي!$B$2:$B$1800,AG$1)</f>
        <v>0</v>
      </c>
      <c r="AH143" s="117" t="n">
        <f aca="false">SUMIFS(الريسبي!$C$2:$C$1800,الريسبي!$A$2:$A$1800,$A143,الريسبي!$B$2:$B$1800,AH$1)</f>
        <v>0</v>
      </c>
      <c r="AI143" s="117" t="n">
        <f aca="false">SUMIFS(الريسبي!$C$2:$C$1800,الريسبي!$A$2:$A$1800,$A143,الريسبي!$B$2:$B$1800,AI$1)</f>
        <v>0</v>
      </c>
      <c r="AJ143" s="117" t="n">
        <f aca="false">SUMIFS(الريسبي!$C$2:$C$1800,الريسبي!$A$2:$A$1800,$A143,الريسبي!$B$2:$B$1800,AJ$1)</f>
        <v>0</v>
      </c>
      <c r="AK143" s="117" t="n">
        <f aca="false">SUMIFS(الريسبي!$C$2:$C$1800,الريسبي!$A$2:$A$1800,$A143,الريسبي!$B$2:$B$1800,AK$1)</f>
        <v>0</v>
      </c>
      <c r="AL143" s="117" t="n">
        <f aca="false">SUMIFS(الريسبي!$C$2:$C$1800,الريسبي!$A$2:$A$1800,$A143,الريسبي!$B$2:$B$1800,AL$1)</f>
        <v>0</v>
      </c>
      <c r="AM143" s="117" t="n">
        <f aca="false">SUMIFS(الريسبي!$C$2:$C$1800,الريسبي!$A$2:$A$1800,$A143,الريسبي!$B$2:$B$1800,AM$1)+0.08333333333*SUMIFS(الريسبي!$C$2:$C$1800,الريسبي!$A$2:$A$1800,$A143,الريسبي!$B$2:$B$1800,"عجين كريب (مصنع بالمطعم)")+0.08333333333*SUMIFS(الريسبي!$C$2:$C$1800,الريسبي!$A$2:$A$1800,$A143,الريسبي!$B$2:$B$1800,"عجين كريب صيامي (بدون لبن)")</f>
        <v>0</v>
      </c>
      <c r="AN143" s="117" t="n">
        <f aca="false">SUMIFS(الريسبي!$C$2:$C$1800,الريسبي!$A$2:$A$1800,$A143,الريسبي!$B$2:$B$1800,AN$1)+0.004166666667*SUMIFS(الريسبي!$C$2:$C$1800,الريسبي!$A$2:$A$1800,$A143,الريسبي!$B$2:$B$1800,"عجين كريب (مصنع بالمطعم)")+0.004166666667*SUMIFS(الريسبي!$C$2:$C$1800,الريسبي!$A$2:$A$1800,$A143,الريسبي!$B$2:$B$1800,"عجين كريب صيامي (بدون لبن)")</f>
        <v>0</v>
      </c>
      <c r="AO143" s="117" t="n">
        <f aca="false">SUMIFS(الريسبي!$C$2:$C$1800,الريسبي!$A$2:$A$1800,$A143,الريسبي!$B$2:$B$1800,AO$1)</f>
        <v>0</v>
      </c>
      <c r="AP143" s="117" t="n">
        <f aca="false">SUMIFS(الريسبي!$C$2:$C$1800,الريسبي!$A$2:$A$1800,$A143,الريسبي!$B$2:$B$1800,AP$1)</f>
        <v>0</v>
      </c>
      <c r="AQ143" s="117" t="n">
        <f aca="false">SUMIFS(الريسبي!$C$2:$C$1800,الريسبي!$A$2:$A$1800,$A143,الريسبي!$B$2:$B$1800,AQ$1)+0.004166666667*SUMIFS(الريسبي!$C$2:$C$1800,الريسبي!$A$2:$A$1800,$A143,الريسبي!$B$2:$B$1800,"عجين كريب (مصنع بالمطعم)")+0.004166666667*SUMIFS(الريسبي!$C$2:$C$1800,الريسبي!$A$2:$A$1800,$A143,الريسبي!$B$2:$B$1800,"عجين كريب صيامي (بدون لبن)")</f>
        <v>0</v>
      </c>
      <c r="AR143" s="117" t="n">
        <f aca="false">SUMIFS(الريسبي!$C$2:$C$1800,الريسبي!$A$2:$A$1800,$A143,الريسبي!$B$2:$B$1800,AR$1)</f>
        <v>0</v>
      </c>
      <c r="AS143" s="117" t="n">
        <f aca="false">SUMIFS(الريسبي!$C$2:$C$1800,الريسبي!$A$2:$A$1800,$A143,الريسبي!$B$2:$B$1800,AS$1)</f>
        <v>0</v>
      </c>
      <c r="AT143" s="117" t="n">
        <f aca="false">SUMIFS(الريسبي!$C$2:$C$1800,الريسبي!$A$2:$A$1800,$A143,الريسبي!$B$2:$B$1800,AT$1)</f>
        <v>0</v>
      </c>
      <c r="AU143" s="117" t="n">
        <f aca="false">SUMIFS(الريسبي!$C$2:$C$1800,الريسبي!$A$2:$A$1800,$A143,الريسبي!$B$2:$B$1800,AU$1)</f>
        <v>0</v>
      </c>
      <c r="AV143" s="117" t="n">
        <f aca="false">SUMIFS(الريسبي!$C$2:$C$1800,الريسبي!$A$2:$A$1800,$A143,الريسبي!$B$2:$B$1800,AV$1)</f>
        <v>0</v>
      </c>
      <c r="AW143" s="117" t="n">
        <f aca="false">SUMIFS(الريسبي!$C$2:$C$1800,الريسبي!$A$2:$A$1800,$A143,الريسبي!$B$2:$B$1800,AW$1)</f>
        <v>0</v>
      </c>
      <c r="AX143" s="117" t="n">
        <f aca="false">SUMIFS(الريسبي!$C$2:$C$1800,الريسبي!$A$2:$A$1800,$A143,الريسبي!$B$2:$B$1800,AX$1)</f>
        <v>0</v>
      </c>
      <c r="AY143" s="117" t="n">
        <f aca="false">SUMIFS(الريسبي!$C$2:$C$1800,الريسبي!$A$2:$A$1800,$A143,الريسبي!$B$2:$B$1800,AY$1)</f>
        <v>0</v>
      </c>
      <c r="AZ143" s="117" t="n">
        <f aca="false">SUMIFS(الريسبي!$C$2:$C$1800,الريسبي!$A$2:$A$1800,$A143,الريسبي!$B$2:$B$1800,AZ$1)</f>
        <v>0</v>
      </c>
      <c r="BA143" s="117" t="n">
        <f aca="false">SUMIFS(الريسبي!$C$2:$C$1800,الريسبي!$A$2:$A$1800,$A143,الريسبي!$B$2:$B$1800,BA$1)</f>
        <v>0</v>
      </c>
      <c r="BB143" s="117" t="n">
        <f aca="false">SUMIFS(الريسبي!$C$2:$C$1800,الريسبي!$A$2:$A$1800,$A143,الريسبي!$B$2:$B$1800,BB$1)</f>
        <v>0</v>
      </c>
      <c r="BC143" s="117" t="n">
        <f aca="false">SUMIFS(الريسبي!$C$2:$C$1800,الريسبي!$A$2:$A$1800,$A143,الريسبي!$B$2:$B$1800,BC$1)</f>
        <v>0</v>
      </c>
      <c r="BD143" s="117" t="n">
        <f aca="false">SUMIFS(الريسبي!$C$2:$C$1800,الريسبي!$A$2:$A$1800,$A143,الريسبي!$B$2:$B$1800,BD$1)</f>
        <v>0</v>
      </c>
      <c r="BE143" s="117" t="n">
        <f aca="false">SUMIFS(الريسبي!$C$2:$C$1800,الريسبي!$A$2:$A$1800,$A143,الريسبي!$B$2:$B$1800,BE$1)</f>
        <v>0</v>
      </c>
      <c r="BF143" s="117" t="n">
        <f aca="false">SUMIFS(الريسبي!$C$2:$C$1800,الريسبي!$A$2:$A$1800,$A143,الريسبي!$B$2:$B$1800,BF$1)</f>
        <v>0</v>
      </c>
      <c r="BG143" s="117" t="n">
        <f aca="false">SUMIFS(الريسبي!$C$2:$C$1800,الريسبي!$A$2:$A$1800,$A143,الريسبي!$B$2:$B$1800,BG$1)</f>
        <v>0</v>
      </c>
      <c r="BH143" s="117" t="n">
        <f aca="false">SUMIFS(الريسبي!$C$2:$C$1800,الريسبي!$A$2:$A$1800,$A143,الريسبي!$B$2:$B$1800,BH$1)</f>
        <v>0</v>
      </c>
      <c r="BI143" s="117" t="n">
        <f aca="false">SUMIFS(الريسبي!$C$2:$C$1800,الريسبي!$A$2:$A$1800,$A143,الريسبي!$B$2:$B$1800,BI$1)</f>
        <v>0</v>
      </c>
      <c r="BJ143" s="117" t="n">
        <f aca="false">SUMIFS(الريسبي!$C$2:$C$1800,الريسبي!$A$2:$A$1800,$A143,الريسبي!$B$2:$B$1800,BJ$1)</f>
        <v>0</v>
      </c>
      <c r="BK143" s="117" t="n">
        <f aca="false">SUMIFS(الريسبي!$C$2:$C$1800,الريسبي!$A$2:$A$1800,$A143,الريسبي!$B$2:$B$1800,BK$1)</f>
        <v>0</v>
      </c>
      <c r="BL143" s="117" t="n">
        <f aca="false">SUMIFS(الريسبي!$C$2:$C$1800,الريسبي!$A$2:$A$1800,$A143,الريسبي!$B$2:$B$1800,BL$1)</f>
        <v>0</v>
      </c>
      <c r="BM143" s="117" t="n">
        <f aca="false">SUMIFS(الريسبي!$C$2:$C$1800,الريسبي!$A$2:$A$1800,$A143,الريسبي!$B$2:$B$1800,BM$1)</f>
        <v>0</v>
      </c>
      <c r="BN143" s="117" t="n">
        <f aca="false">SUMIFS(الريسبي!$C$2:$C$1800,الريسبي!$A$2:$A$1800,$A143,الريسبي!$B$2:$B$1800,BN$1)</f>
        <v>0</v>
      </c>
      <c r="BO143" s="117" t="n">
        <f aca="false">SUMIFS(الريسبي!$C$2:$C$1800,الريسبي!$A$2:$A$1800,$A143,الريسبي!$B$2:$B$1800,BO$1)</f>
        <v>0</v>
      </c>
      <c r="BP143" s="117" t="n">
        <f aca="false">SUMIFS(الريسبي!$C$2:$C$1800,الريسبي!$A$2:$A$1800,$A143,الريسبي!$B$2:$B$1800,BP$1)</f>
        <v>0</v>
      </c>
      <c r="BQ143" s="117" t="n">
        <f aca="false">SUMIFS(الريسبي!$C$2:$C$1800,الريسبي!$A$2:$A$1800,$A143,الريسبي!$B$2:$B$1800,BQ$1)+0.17*SUMIFS(الريسبي!$C$2:$C$1800,الريسبي!$A$2:$A$1800,$A143,الريسبي!$B$2:$B$1800,"كاسترد مصنع (خليط بودر + لبن)")+0.17*SUMIFS(الريسبي!$C$2:$C$1800,الريسبي!$A$2:$A$1800,$A143,الريسبي!$B$2:$B$1800,"كاسترد مصنع صيامي (بدون لبن)")</f>
        <v>0</v>
      </c>
      <c r="BR143" s="117" t="n">
        <f aca="false">SUMIFS(الريسبي!$C$2:$C$1800,الريسبي!$A$2:$A$1800,$A143,الريسبي!$B$2:$B$1800,BR$1)</f>
        <v>0</v>
      </c>
      <c r="BS143" s="117" t="n">
        <f aca="false">SUMIFS(الريسبي!$C$2:$C$1800,الريسبي!$A$2:$A$1800,$A143,الريسبي!$B$2:$B$1800,BS$1)</f>
        <v>0</v>
      </c>
      <c r="BT143" s="117" t="n">
        <f aca="false">SUMIFS(الريسبي!$C$2:$C$1800,الريسبي!$A$2:$A$1800,$A143,الريسبي!$B$2:$B$1800,BT$1)</f>
        <v>0</v>
      </c>
      <c r="BU143" s="117" t="n">
        <f aca="false">SUMIFS(الريسبي!$C$2:$C$1800,الريسبي!$A$2:$A$1800,$A143,الريسبي!$B$2:$B$1800,BU$1)+0.4*SUMIFS(الريسبي!$C$2:$C$1800,الريسبي!$A$2:$A$1800,$A143,الريسبي!$B$2:$B$1800,"كاسترد مصنع (خليط بودر + لبن)")+0.03333333333*SUMIFS(الريسبي!$C$2:$C$1800,الريسبي!$A$2:$A$1800,$A143,الريسبي!$B$2:$B$1800,"عجين كريب (مصنع بالمطعم)")</f>
        <v>0</v>
      </c>
      <c r="BV143" s="117" t="n">
        <f aca="false">SUMIFS(الريسبي!$C$2:$C$1800,الريسبي!$A$2:$A$1800,$A143,الريسبي!$B$2:$B$1800,BV$1)</f>
        <v>0</v>
      </c>
      <c r="BW143" s="117" t="n">
        <f aca="false">SUMIFS(الريسبي!$C$2:$C$1800,الريسبي!$A$2:$A$1800,$A143,الريسبي!$B$2:$B$1800,BW$1)</f>
        <v>0</v>
      </c>
      <c r="BX143" s="117" t="n">
        <f aca="false">SUMIFS(الريسبي!$C$2:$C$1800,الريسبي!$A$2:$A$1800,$A143,الريسبي!$B$2:$B$1800,BX$1)</f>
        <v>0</v>
      </c>
      <c r="BY143" s="117" t="n">
        <f aca="false">SUMIFS(الريسبي!$C$2:$C$1800,الريسبي!$A$2:$A$1800,$A143,الريسبي!$B$2:$B$1800,BY$1)</f>
        <v>0</v>
      </c>
      <c r="BZ143" s="117" t="n">
        <f aca="false">SUMIFS(الريسبي!$C$2:$C$1800,الريسبي!$A$2:$A$1800,$A143,الريسبي!$B$2:$B$1800,BZ$1)</f>
        <v>0</v>
      </c>
      <c r="CA143" s="117" t="n">
        <f aca="false">SUMIFS(الريسبي!$C$2:$C$1800,الريسبي!$A$2:$A$1800,$A143,الريسبي!$B$2:$B$1800,CA$1)</f>
        <v>0</v>
      </c>
      <c r="CB143" s="117" t="n">
        <f aca="false">SUMIFS(الريسبي!$C$2:$C$1800,الريسبي!$A$2:$A$1800,$A143,الريسبي!$B$2:$B$1800,CB$1)</f>
        <v>0</v>
      </c>
      <c r="CC143" s="117" t="n">
        <f aca="false">SUMIFS(الريسبي!$C$2:$C$1800,الريسبي!$A$2:$A$1800,$A143,الريسبي!$B$2:$B$1800,CC$1)</f>
        <v>0</v>
      </c>
      <c r="CD143" s="117" t="n">
        <f aca="false">SUMIFS(الريسبي!$C$2:$C$1800,الريسبي!$A$2:$A$1800,$A143,الريسبي!$B$2:$B$1800,CD$1)</f>
        <v>0</v>
      </c>
      <c r="CE143" s="117" t="n">
        <f aca="false">SUMIFS(الريسبي!$C$2:$C$1800,الريسبي!$A$2:$A$1800,$A143,الريسبي!$B$2:$B$1800,CE$1)</f>
        <v>0</v>
      </c>
      <c r="CF143" s="117" t="n">
        <f aca="false">SUMIFS(الريسبي!$C$2:$C$1800,الريسبي!$A$2:$A$1800,$A143,الريسبي!$B$2:$B$1800,CF$1)</f>
        <v>0</v>
      </c>
      <c r="CG143" s="117" t="n">
        <f aca="false">SUMIFS(الريسبي!$C$2:$C$1800,الريسبي!$A$2:$A$1800,$A143,الريسبي!$B$2:$B$1800,CG$1)</f>
        <v>0</v>
      </c>
      <c r="CH143" s="117" t="n">
        <f aca="false">SUMIFS(الريسبي!$C$2:$C$1800,الريسبي!$A$2:$A$1800,$A143,الريسبي!$B$2:$B$1800,CH$1)</f>
        <v>0</v>
      </c>
      <c r="CI143" s="117" t="n">
        <f aca="false">SUMIFS(الريسبي!$C$2:$C$1800,الريسبي!$A$2:$A$1800,$A143,الريسبي!$B$2:$B$1800,CI$1)</f>
        <v>0</v>
      </c>
      <c r="CJ143" s="117" t="n">
        <f aca="false">SUMIFS(الريسبي!$C$2:$C$1800,الريسبي!$A$2:$A$1800,$A143,الريسبي!$B$2:$B$1800,CJ$1)</f>
        <v>0</v>
      </c>
      <c r="CK143" s="117" t="n">
        <f aca="false">SUMIFS(الريسبي!$C$2:$C$1800,الريسبي!$A$2:$A$1800,$A143,الريسبي!$B$2:$B$1800,CK$1)</f>
        <v>0</v>
      </c>
      <c r="CL143" s="117" t="n">
        <f aca="false">SUMIFS(الريسبي!$C$2:$C$1800,الريسبي!$A$2:$A$1800,$A143,الريسبي!$B$2:$B$1800,CL$1)</f>
        <v>0</v>
      </c>
    </row>
    <row r="144" customFormat="false" ht="15" hidden="false" customHeight="false" outlineLevel="0" collapsed="false">
      <c r="A144" s="116" t="str">
        <f aca="false">المنيو!B144</f>
        <v>اضافة سدق (بيتزا وسط)</v>
      </c>
      <c r="B144" s="117" t="n">
        <f aca="false">SUMIFS(الريسبي!$C$2:$C$1800,الريسبي!$A$2:$A$1800,$A144,الريسبي!$B$2:$B$1800,B$1)</f>
        <v>0</v>
      </c>
      <c r="C144" s="117" t="n">
        <f aca="false">SUMIFS(الريسبي!$C$2:$C$1800,الريسبي!$A$2:$A$1800,$A144,الريسبي!$B$2:$B$1800,C$1)</f>
        <v>0</v>
      </c>
      <c r="D144" s="117" t="n">
        <f aca="false">SUMIFS(الريسبي!$C$2:$C$1800,الريسبي!$A$2:$A$1800,$A144,الريسبي!$B$2:$B$1800,D$1)</f>
        <v>0</v>
      </c>
      <c r="E144" s="117" t="n">
        <f aca="false">SUMIFS(الريسبي!$C$2:$C$1800,الريسبي!$A$2:$A$1800,$A144,الريسبي!$B$2:$B$1800,E$1)</f>
        <v>0</v>
      </c>
      <c r="F144" s="117" t="n">
        <f aca="false">SUMIFS(الريسبي!$C$2:$C$1800,الريسبي!$A$2:$A$1800,$A144,الريسبي!$B$2:$B$1800,F$1)</f>
        <v>0</v>
      </c>
      <c r="G144" s="117" t="n">
        <f aca="false">SUMIFS(الريسبي!$C$2:$C$1800,الريسبي!$A$2:$A$1800,$A144,الريسبي!$B$2:$B$1800,G$1)</f>
        <v>0</v>
      </c>
      <c r="H144" s="117" t="n">
        <f aca="false">SUMIFS(الريسبي!$C$2:$C$1800,الريسبي!$A$2:$A$1800,$A144,الريسبي!$B$2:$B$1800,H$1)</f>
        <v>0</v>
      </c>
      <c r="I144" s="117" t="n">
        <f aca="false">SUMIFS(الريسبي!$C$2:$C$1800,الريسبي!$A$2:$A$1800,$A144,الريسبي!$B$2:$B$1800,I$1)</f>
        <v>0</v>
      </c>
      <c r="J144" s="117" t="n">
        <f aca="false">SUMIFS(الريسبي!$C$2:$C$1800,الريسبي!$A$2:$A$1800,$A144,الريسبي!$B$2:$B$1800,J$1)</f>
        <v>0</v>
      </c>
      <c r="K144" s="117" t="n">
        <f aca="false">SUMIFS(الريسبي!$C$2:$C$1800,الريسبي!$A$2:$A$1800,$A144,الريسبي!$B$2:$B$1800,K$1)</f>
        <v>0</v>
      </c>
      <c r="L144" s="117" t="n">
        <f aca="false">SUMIFS(الريسبي!$C$2:$C$1800,الريسبي!$A$2:$A$1800,$A144,الريسبي!$B$2:$B$1800,L$1)</f>
        <v>1</v>
      </c>
      <c r="M144" s="117" t="n">
        <f aca="false">SUMIFS(الريسبي!$C$2:$C$1800,الريسبي!$A$2:$A$1800,$A144,الريسبي!$B$2:$B$1800,M$1)</f>
        <v>0</v>
      </c>
      <c r="N144" s="117" t="n">
        <f aca="false">SUMIFS(الريسبي!$C$2:$C$1800,الريسبي!$A$2:$A$1800,$A144,الريسبي!$B$2:$B$1800,N$1)</f>
        <v>0</v>
      </c>
      <c r="O144" s="117" t="n">
        <f aca="false">SUMIFS(الريسبي!$C$2:$C$1800,الريسبي!$A$2:$A$1800,$A144,الريسبي!$B$2:$B$1800,O$1)</f>
        <v>0</v>
      </c>
      <c r="P144" s="117" t="n">
        <f aca="false">SUMIFS(الريسبي!$C$2:$C$1800,الريسبي!$A$2:$A$1800,$A144,الريسبي!$B$2:$B$1800,P$1)</f>
        <v>0</v>
      </c>
      <c r="Q144" s="117" t="n">
        <f aca="false">SUMIFS(الريسبي!$C$2:$C$1800,الريسبي!$A$2:$A$1800,$A144,الريسبي!$B$2:$B$1800,Q$1)</f>
        <v>0</v>
      </c>
      <c r="R144" s="117" t="n">
        <f aca="false">SUMIFS(الريسبي!$C$2:$C$1800,الريسبي!$A$2:$A$1800,$A144,الريسبي!$B$2:$B$1800,R$1)</f>
        <v>0</v>
      </c>
      <c r="S144" s="117" t="n">
        <f aca="false">SUMIFS(الريسبي!$C$2:$C$1800,الريسبي!$A$2:$A$1800,$A144,الريسبي!$B$2:$B$1800,S$1)</f>
        <v>0</v>
      </c>
      <c r="T144" s="117" t="n">
        <f aca="false">SUMIFS(الريسبي!$C$2:$C$1800,الريسبي!$A$2:$A$1800,$A144,الريسبي!$B$2:$B$1800,T$1)</f>
        <v>0</v>
      </c>
      <c r="U144" s="117" t="n">
        <f aca="false">SUMIFS(الريسبي!$C$2:$C$1800,الريسبي!$A$2:$A$1800,$A144,الريسبي!$B$2:$B$1800,U$1)</f>
        <v>0</v>
      </c>
      <c r="V144" s="117" t="n">
        <f aca="false">SUMIFS(الريسبي!$C$2:$C$1800,الريسبي!$A$2:$A$1800,$A144,الريسبي!$B$2:$B$1800,V$1)</f>
        <v>0</v>
      </c>
      <c r="W144" s="117" t="n">
        <f aca="false">SUMIFS(الريسبي!$C$2:$C$1800,الريسبي!$A$2:$A$1800,$A144,الريسبي!$B$2:$B$1800,W$1)</f>
        <v>0</v>
      </c>
      <c r="X144" s="117" t="n">
        <f aca="false">SUMIFS(الريسبي!$C$2:$C$1800,الريسبي!$A$2:$A$1800,$A144,الريسبي!$B$2:$B$1800,X$1)</f>
        <v>0</v>
      </c>
      <c r="Y144" s="117" t="n">
        <f aca="false">SUMIFS(الريسبي!$C$2:$C$1800,الريسبي!$A$2:$A$1800,$A144,الريسبي!$B$2:$B$1800,Y$1)</f>
        <v>0</v>
      </c>
      <c r="Z144" s="117" t="n">
        <f aca="false">SUMIFS(الريسبي!$C$2:$C$1800,الريسبي!$A$2:$A$1800,$A144,الريسبي!$B$2:$B$1800,Z$1)</f>
        <v>0</v>
      </c>
      <c r="AA144" s="117" t="n">
        <f aca="false">SUMIFS(الريسبي!$C$2:$C$1800,الريسبي!$A$2:$A$1800,$A144,الريسبي!$B$2:$B$1800,AA$1)</f>
        <v>0</v>
      </c>
      <c r="AB144" s="117" t="n">
        <f aca="false">SUMIFS(الريسبي!$C$2:$C$1800,الريسبي!$A$2:$A$1800,$A144,الريسبي!$B$2:$B$1800,AB$1)</f>
        <v>0</v>
      </c>
      <c r="AC144" s="117" t="n">
        <f aca="false">SUMIFS(الريسبي!$C$2:$C$1800,الريسبي!$A$2:$A$1800,$A144,الريسبي!$B$2:$B$1800,AC$1)</f>
        <v>0</v>
      </c>
      <c r="AD144" s="117" t="n">
        <f aca="false">SUMIFS(الريسبي!$C$2:$C$1800,الريسبي!$A$2:$A$1800,$A144,الريسبي!$B$2:$B$1800,AD$1)</f>
        <v>0</v>
      </c>
      <c r="AE144" s="117" t="n">
        <f aca="false">SUMIFS(الريسبي!$C$2:$C$1800,الريسبي!$A$2:$A$1800,$A144,الريسبي!$B$2:$B$1800,AE$1)</f>
        <v>0</v>
      </c>
      <c r="AF144" s="117" t="n">
        <f aca="false">SUMIFS(الريسبي!$C$2:$C$1800,الريسبي!$A$2:$A$1800,$A144,الريسبي!$B$2:$B$1800,AF$1)</f>
        <v>0</v>
      </c>
      <c r="AG144" s="117" t="n">
        <f aca="false">SUMIFS(الريسبي!$C$2:$C$1800,الريسبي!$A$2:$A$1800,$A144,الريسبي!$B$2:$B$1800,AG$1)</f>
        <v>0</v>
      </c>
      <c r="AH144" s="117" t="n">
        <f aca="false">SUMIFS(الريسبي!$C$2:$C$1800,الريسبي!$A$2:$A$1800,$A144,الريسبي!$B$2:$B$1800,AH$1)</f>
        <v>0</v>
      </c>
      <c r="AI144" s="117" t="n">
        <f aca="false">SUMIFS(الريسبي!$C$2:$C$1800,الريسبي!$A$2:$A$1800,$A144,الريسبي!$B$2:$B$1800,AI$1)</f>
        <v>0</v>
      </c>
      <c r="AJ144" s="117" t="n">
        <f aca="false">SUMIFS(الريسبي!$C$2:$C$1800,الريسبي!$A$2:$A$1800,$A144,الريسبي!$B$2:$B$1800,AJ$1)</f>
        <v>0</v>
      </c>
      <c r="AK144" s="117" t="n">
        <f aca="false">SUMIFS(الريسبي!$C$2:$C$1800,الريسبي!$A$2:$A$1800,$A144,الريسبي!$B$2:$B$1800,AK$1)</f>
        <v>0</v>
      </c>
      <c r="AL144" s="117" t="n">
        <f aca="false">SUMIFS(الريسبي!$C$2:$C$1800,الريسبي!$A$2:$A$1800,$A144,الريسبي!$B$2:$B$1800,AL$1)</f>
        <v>0</v>
      </c>
      <c r="AM144" s="117" t="n">
        <f aca="false">SUMIFS(الريسبي!$C$2:$C$1800,الريسبي!$A$2:$A$1800,$A144,الريسبي!$B$2:$B$1800,AM$1)+0.08333333333*SUMIFS(الريسبي!$C$2:$C$1800,الريسبي!$A$2:$A$1800,$A144,الريسبي!$B$2:$B$1800,"عجين كريب (مصنع بالمطعم)")+0.08333333333*SUMIFS(الريسبي!$C$2:$C$1800,الريسبي!$A$2:$A$1800,$A144,الريسبي!$B$2:$B$1800,"عجين كريب صيامي (بدون لبن)")</f>
        <v>0</v>
      </c>
      <c r="AN144" s="117" t="n">
        <f aca="false">SUMIFS(الريسبي!$C$2:$C$1800,الريسبي!$A$2:$A$1800,$A144,الريسبي!$B$2:$B$1800,AN$1)+0.004166666667*SUMIFS(الريسبي!$C$2:$C$1800,الريسبي!$A$2:$A$1800,$A144,الريسبي!$B$2:$B$1800,"عجين كريب (مصنع بالمطعم)")+0.004166666667*SUMIFS(الريسبي!$C$2:$C$1800,الريسبي!$A$2:$A$1800,$A144,الريسبي!$B$2:$B$1800,"عجين كريب صيامي (بدون لبن)")</f>
        <v>0</v>
      </c>
      <c r="AO144" s="117" t="n">
        <f aca="false">SUMIFS(الريسبي!$C$2:$C$1800,الريسبي!$A$2:$A$1800,$A144,الريسبي!$B$2:$B$1800,AO$1)</f>
        <v>0</v>
      </c>
      <c r="AP144" s="117" t="n">
        <f aca="false">SUMIFS(الريسبي!$C$2:$C$1800,الريسبي!$A$2:$A$1800,$A144,الريسبي!$B$2:$B$1800,AP$1)</f>
        <v>0</v>
      </c>
      <c r="AQ144" s="117" t="n">
        <f aca="false">SUMIFS(الريسبي!$C$2:$C$1800,الريسبي!$A$2:$A$1800,$A144,الريسبي!$B$2:$B$1800,AQ$1)+0.004166666667*SUMIFS(الريسبي!$C$2:$C$1800,الريسبي!$A$2:$A$1800,$A144,الريسبي!$B$2:$B$1800,"عجين كريب (مصنع بالمطعم)")+0.004166666667*SUMIFS(الريسبي!$C$2:$C$1800,الريسبي!$A$2:$A$1800,$A144,الريسبي!$B$2:$B$1800,"عجين كريب صيامي (بدون لبن)")</f>
        <v>0</v>
      </c>
      <c r="AR144" s="117" t="n">
        <f aca="false">SUMIFS(الريسبي!$C$2:$C$1800,الريسبي!$A$2:$A$1800,$A144,الريسبي!$B$2:$B$1800,AR$1)</f>
        <v>0</v>
      </c>
      <c r="AS144" s="117" t="n">
        <f aca="false">SUMIFS(الريسبي!$C$2:$C$1800,الريسبي!$A$2:$A$1800,$A144,الريسبي!$B$2:$B$1800,AS$1)</f>
        <v>0</v>
      </c>
      <c r="AT144" s="117" t="n">
        <f aca="false">SUMIFS(الريسبي!$C$2:$C$1800,الريسبي!$A$2:$A$1800,$A144,الريسبي!$B$2:$B$1800,AT$1)</f>
        <v>0</v>
      </c>
      <c r="AU144" s="117" t="n">
        <f aca="false">SUMIFS(الريسبي!$C$2:$C$1800,الريسبي!$A$2:$A$1800,$A144,الريسبي!$B$2:$B$1800,AU$1)</f>
        <v>0</v>
      </c>
      <c r="AV144" s="117" t="n">
        <f aca="false">SUMIFS(الريسبي!$C$2:$C$1800,الريسبي!$A$2:$A$1800,$A144,الريسبي!$B$2:$B$1800,AV$1)</f>
        <v>0</v>
      </c>
      <c r="AW144" s="117" t="n">
        <f aca="false">SUMIFS(الريسبي!$C$2:$C$1800,الريسبي!$A$2:$A$1800,$A144,الريسبي!$B$2:$B$1800,AW$1)</f>
        <v>0</v>
      </c>
      <c r="AX144" s="117" t="n">
        <f aca="false">SUMIFS(الريسبي!$C$2:$C$1800,الريسبي!$A$2:$A$1800,$A144,الريسبي!$B$2:$B$1800,AX$1)</f>
        <v>0</v>
      </c>
      <c r="AY144" s="117" t="n">
        <f aca="false">SUMIFS(الريسبي!$C$2:$C$1800,الريسبي!$A$2:$A$1800,$A144,الريسبي!$B$2:$B$1800,AY$1)</f>
        <v>0</v>
      </c>
      <c r="AZ144" s="117" t="n">
        <f aca="false">SUMIFS(الريسبي!$C$2:$C$1800,الريسبي!$A$2:$A$1800,$A144,الريسبي!$B$2:$B$1800,AZ$1)</f>
        <v>0</v>
      </c>
      <c r="BA144" s="117" t="n">
        <f aca="false">SUMIFS(الريسبي!$C$2:$C$1800,الريسبي!$A$2:$A$1800,$A144,الريسبي!$B$2:$B$1800,BA$1)</f>
        <v>0</v>
      </c>
      <c r="BB144" s="117" t="n">
        <f aca="false">SUMIFS(الريسبي!$C$2:$C$1800,الريسبي!$A$2:$A$1800,$A144,الريسبي!$B$2:$B$1800,BB$1)</f>
        <v>0</v>
      </c>
      <c r="BC144" s="117" t="n">
        <f aca="false">SUMIFS(الريسبي!$C$2:$C$1800,الريسبي!$A$2:$A$1800,$A144,الريسبي!$B$2:$B$1800,BC$1)</f>
        <v>0</v>
      </c>
      <c r="BD144" s="117" t="n">
        <f aca="false">SUMIFS(الريسبي!$C$2:$C$1800,الريسبي!$A$2:$A$1800,$A144,الريسبي!$B$2:$B$1800,BD$1)</f>
        <v>0</v>
      </c>
      <c r="BE144" s="117" t="n">
        <f aca="false">SUMIFS(الريسبي!$C$2:$C$1800,الريسبي!$A$2:$A$1800,$A144,الريسبي!$B$2:$B$1800,BE$1)</f>
        <v>0</v>
      </c>
      <c r="BF144" s="117" t="n">
        <f aca="false">SUMIFS(الريسبي!$C$2:$C$1800,الريسبي!$A$2:$A$1800,$A144,الريسبي!$B$2:$B$1800,BF$1)</f>
        <v>0</v>
      </c>
      <c r="BG144" s="117" t="n">
        <f aca="false">SUMIFS(الريسبي!$C$2:$C$1800,الريسبي!$A$2:$A$1800,$A144,الريسبي!$B$2:$B$1800,BG$1)</f>
        <v>0</v>
      </c>
      <c r="BH144" s="117" t="n">
        <f aca="false">SUMIFS(الريسبي!$C$2:$C$1800,الريسبي!$A$2:$A$1800,$A144,الريسبي!$B$2:$B$1800,BH$1)</f>
        <v>0</v>
      </c>
      <c r="BI144" s="117" t="n">
        <f aca="false">SUMIFS(الريسبي!$C$2:$C$1800,الريسبي!$A$2:$A$1800,$A144,الريسبي!$B$2:$B$1800,BI$1)</f>
        <v>0</v>
      </c>
      <c r="BJ144" s="117" t="n">
        <f aca="false">SUMIFS(الريسبي!$C$2:$C$1800,الريسبي!$A$2:$A$1800,$A144,الريسبي!$B$2:$B$1800,BJ$1)</f>
        <v>0</v>
      </c>
      <c r="BK144" s="117" t="n">
        <f aca="false">SUMIFS(الريسبي!$C$2:$C$1800,الريسبي!$A$2:$A$1800,$A144,الريسبي!$B$2:$B$1800,BK$1)</f>
        <v>0</v>
      </c>
      <c r="BL144" s="117" t="n">
        <f aca="false">SUMIFS(الريسبي!$C$2:$C$1800,الريسبي!$A$2:$A$1800,$A144,الريسبي!$B$2:$B$1800,BL$1)</f>
        <v>0</v>
      </c>
      <c r="BM144" s="117" t="n">
        <f aca="false">SUMIFS(الريسبي!$C$2:$C$1800,الريسبي!$A$2:$A$1800,$A144,الريسبي!$B$2:$B$1800,BM$1)</f>
        <v>0</v>
      </c>
      <c r="BN144" s="117" t="n">
        <f aca="false">SUMIFS(الريسبي!$C$2:$C$1800,الريسبي!$A$2:$A$1800,$A144,الريسبي!$B$2:$B$1800,BN$1)</f>
        <v>0</v>
      </c>
      <c r="BO144" s="117" t="n">
        <f aca="false">SUMIFS(الريسبي!$C$2:$C$1800,الريسبي!$A$2:$A$1800,$A144,الريسبي!$B$2:$B$1800,BO$1)</f>
        <v>0</v>
      </c>
      <c r="BP144" s="117" t="n">
        <f aca="false">SUMIFS(الريسبي!$C$2:$C$1800,الريسبي!$A$2:$A$1800,$A144,الريسبي!$B$2:$B$1800,BP$1)</f>
        <v>0</v>
      </c>
      <c r="BQ144" s="117" t="n">
        <f aca="false">SUMIFS(الريسبي!$C$2:$C$1800,الريسبي!$A$2:$A$1800,$A144,الريسبي!$B$2:$B$1800,BQ$1)+0.17*SUMIFS(الريسبي!$C$2:$C$1800,الريسبي!$A$2:$A$1800,$A144,الريسبي!$B$2:$B$1800,"كاسترد مصنع (خليط بودر + لبن)")+0.17*SUMIFS(الريسبي!$C$2:$C$1800,الريسبي!$A$2:$A$1800,$A144,الريسبي!$B$2:$B$1800,"كاسترد مصنع صيامي (بدون لبن)")</f>
        <v>0</v>
      </c>
      <c r="BR144" s="117" t="n">
        <f aca="false">SUMIFS(الريسبي!$C$2:$C$1800,الريسبي!$A$2:$A$1800,$A144,الريسبي!$B$2:$B$1800,BR$1)</f>
        <v>0</v>
      </c>
      <c r="BS144" s="117" t="n">
        <f aca="false">SUMIFS(الريسبي!$C$2:$C$1800,الريسبي!$A$2:$A$1800,$A144,الريسبي!$B$2:$B$1800,BS$1)</f>
        <v>0</v>
      </c>
      <c r="BT144" s="117" t="n">
        <f aca="false">SUMIFS(الريسبي!$C$2:$C$1800,الريسبي!$A$2:$A$1800,$A144,الريسبي!$B$2:$B$1800,BT$1)</f>
        <v>0</v>
      </c>
      <c r="BU144" s="117" t="n">
        <f aca="false">SUMIFS(الريسبي!$C$2:$C$1800,الريسبي!$A$2:$A$1800,$A144,الريسبي!$B$2:$B$1800,BU$1)+0.4*SUMIFS(الريسبي!$C$2:$C$1800,الريسبي!$A$2:$A$1800,$A144,الريسبي!$B$2:$B$1800,"كاسترد مصنع (خليط بودر + لبن)")+0.03333333333*SUMIFS(الريسبي!$C$2:$C$1800,الريسبي!$A$2:$A$1800,$A144,الريسبي!$B$2:$B$1800,"عجين كريب (مصنع بالمطعم)")</f>
        <v>0</v>
      </c>
      <c r="BV144" s="117" t="n">
        <f aca="false">SUMIFS(الريسبي!$C$2:$C$1800,الريسبي!$A$2:$A$1800,$A144,الريسبي!$B$2:$B$1800,BV$1)</f>
        <v>0</v>
      </c>
      <c r="BW144" s="117" t="n">
        <f aca="false">SUMIFS(الريسبي!$C$2:$C$1800,الريسبي!$A$2:$A$1800,$A144,الريسبي!$B$2:$B$1800,BW$1)</f>
        <v>0</v>
      </c>
      <c r="BX144" s="117" t="n">
        <f aca="false">SUMIFS(الريسبي!$C$2:$C$1800,الريسبي!$A$2:$A$1800,$A144,الريسبي!$B$2:$B$1800,BX$1)</f>
        <v>0</v>
      </c>
      <c r="BY144" s="117" t="n">
        <f aca="false">SUMIFS(الريسبي!$C$2:$C$1800,الريسبي!$A$2:$A$1800,$A144,الريسبي!$B$2:$B$1800,BY$1)</f>
        <v>0</v>
      </c>
      <c r="BZ144" s="117" t="n">
        <f aca="false">SUMIFS(الريسبي!$C$2:$C$1800,الريسبي!$A$2:$A$1800,$A144,الريسبي!$B$2:$B$1800,BZ$1)</f>
        <v>0</v>
      </c>
      <c r="CA144" s="117" t="n">
        <f aca="false">SUMIFS(الريسبي!$C$2:$C$1800,الريسبي!$A$2:$A$1800,$A144,الريسبي!$B$2:$B$1800,CA$1)</f>
        <v>0</v>
      </c>
      <c r="CB144" s="117" t="n">
        <f aca="false">SUMIFS(الريسبي!$C$2:$C$1800,الريسبي!$A$2:$A$1800,$A144,الريسبي!$B$2:$B$1800,CB$1)</f>
        <v>0</v>
      </c>
      <c r="CC144" s="117" t="n">
        <f aca="false">SUMIFS(الريسبي!$C$2:$C$1800,الريسبي!$A$2:$A$1800,$A144,الريسبي!$B$2:$B$1800,CC$1)</f>
        <v>0</v>
      </c>
      <c r="CD144" s="117" t="n">
        <f aca="false">SUMIFS(الريسبي!$C$2:$C$1800,الريسبي!$A$2:$A$1800,$A144,الريسبي!$B$2:$B$1800,CD$1)</f>
        <v>0</v>
      </c>
      <c r="CE144" s="117" t="n">
        <f aca="false">SUMIFS(الريسبي!$C$2:$C$1800,الريسبي!$A$2:$A$1800,$A144,الريسبي!$B$2:$B$1800,CE$1)</f>
        <v>0</v>
      </c>
      <c r="CF144" s="117" t="n">
        <f aca="false">SUMIFS(الريسبي!$C$2:$C$1800,الريسبي!$A$2:$A$1800,$A144,الريسبي!$B$2:$B$1800,CF$1)</f>
        <v>0</v>
      </c>
      <c r="CG144" s="117" t="n">
        <f aca="false">SUMIFS(الريسبي!$C$2:$C$1800,الريسبي!$A$2:$A$1800,$A144,الريسبي!$B$2:$B$1800,CG$1)</f>
        <v>0</v>
      </c>
      <c r="CH144" s="117" t="n">
        <f aca="false">SUMIFS(الريسبي!$C$2:$C$1800,الريسبي!$A$2:$A$1800,$A144,الريسبي!$B$2:$B$1800,CH$1)</f>
        <v>0</v>
      </c>
      <c r="CI144" s="117" t="n">
        <f aca="false">SUMIFS(الريسبي!$C$2:$C$1800,الريسبي!$A$2:$A$1800,$A144,الريسبي!$B$2:$B$1800,CI$1)</f>
        <v>0</v>
      </c>
      <c r="CJ144" s="117" t="n">
        <f aca="false">SUMIFS(الريسبي!$C$2:$C$1800,الريسبي!$A$2:$A$1800,$A144,الريسبي!$B$2:$B$1800,CJ$1)</f>
        <v>0</v>
      </c>
      <c r="CK144" s="117" t="n">
        <f aca="false">SUMIFS(الريسبي!$C$2:$C$1800,الريسبي!$A$2:$A$1800,$A144,الريسبي!$B$2:$B$1800,CK$1)</f>
        <v>0</v>
      </c>
      <c r="CL144" s="117" t="n">
        <f aca="false">SUMIFS(الريسبي!$C$2:$C$1800,الريسبي!$A$2:$A$1800,$A144,الريسبي!$B$2:$B$1800,CL$1)</f>
        <v>0</v>
      </c>
    </row>
    <row r="145" customFormat="false" ht="15" hidden="false" customHeight="false" outlineLevel="0" collapsed="false">
      <c r="A145" s="116" t="str">
        <f aca="false">المنيو!B145</f>
        <v>اضافة سدق (فطير وسط)</v>
      </c>
      <c r="B145" s="117" t="n">
        <f aca="false">SUMIFS(الريسبي!$C$2:$C$1800,الريسبي!$A$2:$A$1800,$A145,الريسبي!$B$2:$B$1800,B$1)</f>
        <v>0</v>
      </c>
      <c r="C145" s="117" t="n">
        <f aca="false">SUMIFS(الريسبي!$C$2:$C$1800,الريسبي!$A$2:$A$1800,$A145,الريسبي!$B$2:$B$1800,C$1)</f>
        <v>0</v>
      </c>
      <c r="D145" s="117" t="n">
        <f aca="false">SUMIFS(الريسبي!$C$2:$C$1800,الريسبي!$A$2:$A$1800,$A145,الريسبي!$B$2:$B$1800,D$1)</f>
        <v>0</v>
      </c>
      <c r="E145" s="117" t="n">
        <f aca="false">SUMIFS(الريسبي!$C$2:$C$1800,الريسبي!$A$2:$A$1800,$A145,الريسبي!$B$2:$B$1800,E$1)</f>
        <v>0</v>
      </c>
      <c r="F145" s="117" t="n">
        <f aca="false">SUMIFS(الريسبي!$C$2:$C$1800,الريسبي!$A$2:$A$1800,$A145,الريسبي!$B$2:$B$1800,F$1)</f>
        <v>0</v>
      </c>
      <c r="G145" s="117" t="n">
        <f aca="false">SUMIFS(الريسبي!$C$2:$C$1800,الريسبي!$A$2:$A$1800,$A145,الريسبي!$B$2:$B$1800,G$1)</f>
        <v>0</v>
      </c>
      <c r="H145" s="117" t="n">
        <f aca="false">SUMIFS(الريسبي!$C$2:$C$1800,الريسبي!$A$2:$A$1800,$A145,الريسبي!$B$2:$B$1800,H$1)</f>
        <v>0</v>
      </c>
      <c r="I145" s="117" t="n">
        <f aca="false">SUMIFS(الريسبي!$C$2:$C$1800,الريسبي!$A$2:$A$1800,$A145,الريسبي!$B$2:$B$1800,I$1)</f>
        <v>0</v>
      </c>
      <c r="J145" s="117" t="n">
        <f aca="false">SUMIFS(الريسبي!$C$2:$C$1800,الريسبي!$A$2:$A$1800,$A145,الريسبي!$B$2:$B$1800,J$1)</f>
        <v>0</v>
      </c>
      <c r="K145" s="117" t="n">
        <f aca="false">SUMIFS(الريسبي!$C$2:$C$1800,الريسبي!$A$2:$A$1800,$A145,الريسبي!$B$2:$B$1800,K$1)</f>
        <v>0</v>
      </c>
      <c r="L145" s="117" t="n">
        <f aca="false">SUMIFS(الريسبي!$C$2:$C$1800,الريسبي!$A$2:$A$1800,$A145,الريسبي!$B$2:$B$1800,L$1)</f>
        <v>1</v>
      </c>
      <c r="M145" s="117" t="n">
        <f aca="false">SUMIFS(الريسبي!$C$2:$C$1800,الريسبي!$A$2:$A$1800,$A145,الريسبي!$B$2:$B$1800,M$1)</f>
        <v>0</v>
      </c>
      <c r="N145" s="117" t="n">
        <f aca="false">SUMIFS(الريسبي!$C$2:$C$1800,الريسبي!$A$2:$A$1800,$A145,الريسبي!$B$2:$B$1800,N$1)</f>
        <v>0</v>
      </c>
      <c r="O145" s="117" t="n">
        <f aca="false">SUMIFS(الريسبي!$C$2:$C$1800,الريسبي!$A$2:$A$1800,$A145,الريسبي!$B$2:$B$1800,O$1)</f>
        <v>0</v>
      </c>
      <c r="P145" s="117" t="n">
        <f aca="false">SUMIFS(الريسبي!$C$2:$C$1800,الريسبي!$A$2:$A$1800,$A145,الريسبي!$B$2:$B$1800,P$1)</f>
        <v>0</v>
      </c>
      <c r="Q145" s="117" t="n">
        <f aca="false">SUMIFS(الريسبي!$C$2:$C$1800,الريسبي!$A$2:$A$1800,$A145,الريسبي!$B$2:$B$1800,Q$1)</f>
        <v>0</v>
      </c>
      <c r="R145" s="117" t="n">
        <f aca="false">SUMIFS(الريسبي!$C$2:$C$1800,الريسبي!$A$2:$A$1800,$A145,الريسبي!$B$2:$B$1800,R$1)</f>
        <v>0</v>
      </c>
      <c r="S145" s="117" t="n">
        <f aca="false">SUMIFS(الريسبي!$C$2:$C$1800,الريسبي!$A$2:$A$1800,$A145,الريسبي!$B$2:$B$1800,S$1)</f>
        <v>0</v>
      </c>
      <c r="T145" s="117" t="n">
        <f aca="false">SUMIFS(الريسبي!$C$2:$C$1800,الريسبي!$A$2:$A$1800,$A145,الريسبي!$B$2:$B$1800,T$1)</f>
        <v>0</v>
      </c>
      <c r="U145" s="117" t="n">
        <f aca="false">SUMIFS(الريسبي!$C$2:$C$1800,الريسبي!$A$2:$A$1800,$A145,الريسبي!$B$2:$B$1800,U$1)</f>
        <v>0</v>
      </c>
      <c r="V145" s="117" t="n">
        <f aca="false">SUMIFS(الريسبي!$C$2:$C$1800,الريسبي!$A$2:$A$1800,$A145,الريسبي!$B$2:$B$1800,V$1)</f>
        <v>0</v>
      </c>
      <c r="W145" s="117" t="n">
        <f aca="false">SUMIFS(الريسبي!$C$2:$C$1800,الريسبي!$A$2:$A$1800,$A145,الريسبي!$B$2:$B$1800,W$1)</f>
        <v>0</v>
      </c>
      <c r="X145" s="117" t="n">
        <f aca="false">SUMIFS(الريسبي!$C$2:$C$1800,الريسبي!$A$2:$A$1800,$A145,الريسبي!$B$2:$B$1800,X$1)</f>
        <v>0</v>
      </c>
      <c r="Y145" s="117" t="n">
        <f aca="false">SUMIFS(الريسبي!$C$2:$C$1800,الريسبي!$A$2:$A$1800,$A145,الريسبي!$B$2:$B$1800,Y$1)</f>
        <v>0</v>
      </c>
      <c r="Z145" s="117" t="n">
        <f aca="false">SUMIFS(الريسبي!$C$2:$C$1800,الريسبي!$A$2:$A$1800,$A145,الريسبي!$B$2:$B$1800,Z$1)</f>
        <v>0</v>
      </c>
      <c r="AA145" s="117" t="n">
        <f aca="false">SUMIFS(الريسبي!$C$2:$C$1800,الريسبي!$A$2:$A$1800,$A145,الريسبي!$B$2:$B$1800,AA$1)</f>
        <v>0</v>
      </c>
      <c r="AB145" s="117" t="n">
        <f aca="false">SUMIFS(الريسبي!$C$2:$C$1800,الريسبي!$A$2:$A$1800,$A145,الريسبي!$B$2:$B$1800,AB$1)</f>
        <v>0</v>
      </c>
      <c r="AC145" s="117" t="n">
        <f aca="false">SUMIFS(الريسبي!$C$2:$C$1800,الريسبي!$A$2:$A$1800,$A145,الريسبي!$B$2:$B$1800,AC$1)</f>
        <v>0</v>
      </c>
      <c r="AD145" s="117" t="n">
        <f aca="false">SUMIFS(الريسبي!$C$2:$C$1800,الريسبي!$A$2:$A$1800,$A145,الريسبي!$B$2:$B$1800,AD$1)</f>
        <v>0</v>
      </c>
      <c r="AE145" s="117" t="n">
        <f aca="false">SUMIFS(الريسبي!$C$2:$C$1800,الريسبي!$A$2:$A$1800,$A145,الريسبي!$B$2:$B$1800,AE$1)</f>
        <v>0</v>
      </c>
      <c r="AF145" s="117" t="n">
        <f aca="false">SUMIFS(الريسبي!$C$2:$C$1800,الريسبي!$A$2:$A$1800,$A145,الريسبي!$B$2:$B$1800,AF$1)</f>
        <v>0</v>
      </c>
      <c r="AG145" s="117" t="n">
        <f aca="false">SUMIFS(الريسبي!$C$2:$C$1800,الريسبي!$A$2:$A$1800,$A145,الريسبي!$B$2:$B$1800,AG$1)</f>
        <v>0</v>
      </c>
      <c r="AH145" s="117" t="n">
        <f aca="false">SUMIFS(الريسبي!$C$2:$C$1800,الريسبي!$A$2:$A$1800,$A145,الريسبي!$B$2:$B$1800,AH$1)</f>
        <v>0</v>
      </c>
      <c r="AI145" s="117" t="n">
        <f aca="false">SUMIFS(الريسبي!$C$2:$C$1800,الريسبي!$A$2:$A$1800,$A145,الريسبي!$B$2:$B$1800,AI$1)</f>
        <v>0</v>
      </c>
      <c r="AJ145" s="117" t="n">
        <f aca="false">SUMIFS(الريسبي!$C$2:$C$1800,الريسبي!$A$2:$A$1800,$A145,الريسبي!$B$2:$B$1800,AJ$1)</f>
        <v>0</v>
      </c>
      <c r="AK145" s="117" t="n">
        <f aca="false">SUMIFS(الريسبي!$C$2:$C$1800,الريسبي!$A$2:$A$1800,$A145,الريسبي!$B$2:$B$1800,AK$1)</f>
        <v>0</v>
      </c>
      <c r="AL145" s="117" t="n">
        <f aca="false">SUMIFS(الريسبي!$C$2:$C$1800,الريسبي!$A$2:$A$1800,$A145,الريسبي!$B$2:$B$1800,AL$1)</f>
        <v>0</v>
      </c>
      <c r="AM145" s="117" t="n">
        <f aca="false">SUMIFS(الريسبي!$C$2:$C$1800,الريسبي!$A$2:$A$1800,$A145,الريسبي!$B$2:$B$1800,AM$1)+0.08333333333*SUMIFS(الريسبي!$C$2:$C$1800,الريسبي!$A$2:$A$1800,$A145,الريسبي!$B$2:$B$1800,"عجين كريب (مصنع بالمطعم)")+0.08333333333*SUMIFS(الريسبي!$C$2:$C$1800,الريسبي!$A$2:$A$1800,$A145,الريسبي!$B$2:$B$1800,"عجين كريب صيامي (بدون لبن)")</f>
        <v>0</v>
      </c>
      <c r="AN145" s="117" t="n">
        <f aca="false">SUMIFS(الريسبي!$C$2:$C$1800,الريسبي!$A$2:$A$1800,$A145,الريسبي!$B$2:$B$1800,AN$1)+0.004166666667*SUMIFS(الريسبي!$C$2:$C$1800,الريسبي!$A$2:$A$1800,$A145,الريسبي!$B$2:$B$1800,"عجين كريب (مصنع بالمطعم)")+0.004166666667*SUMIFS(الريسبي!$C$2:$C$1800,الريسبي!$A$2:$A$1800,$A145,الريسبي!$B$2:$B$1800,"عجين كريب صيامي (بدون لبن)")</f>
        <v>0</v>
      </c>
      <c r="AO145" s="117" t="n">
        <f aca="false">SUMIFS(الريسبي!$C$2:$C$1800,الريسبي!$A$2:$A$1800,$A145,الريسبي!$B$2:$B$1800,AO$1)</f>
        <v>0</v>
      </c>
      <c r="AP145" s="117" t="n">
        <f aca="false">SUMIFS(الريسبي!$C$2:$C$1800,الريسبي!$A$2:$A$1800,$A145,الريسبي!$B$2:$B$1800,AP$1)</f>
        <v>0</v>
      </c>
      <c r="AQ145" s="117" t="n">
        <f aca="false">SUMIFS(الريسبي!$C$2:$C$1800,الريسبي!$A$2:$A$1800,$A145,الريسبي!$B$2:$B$1800,AQ$1)+0.004166666667*SUMIFS(الريسبي!$C$2:$C$1800,الريسبي!$A$2:$A$1800,$A145,الريسبي!$B$2:$B$1800,"عجين كريب (مصنع بالمطعم)")+0.004166666667*SUMIFS(الريسبي!$C$2:$C$1800,الريسبي!$A$2:$A$1800,$A145,الريسبي!$B$2:$B$1800,"عجين كريب صيامي (بدون لبن)")</f>
        <v>0</v>
      </c>
      <c r="AR145" s="117" t="n">
        <f aca="false">SUMIFS(الريسبي!$C$2:$C$1800,الريسبي!$A$2:$A$1800,$A145,الريسبي!$B$2:$B$1800,AR$1)</f>
        <v>0</v>
      </c>
      <c r="AS145" s="117" t="n">
        <f aca="false">SUMIFS(الريسبي!$C$2:$C$1800,الريسبي!$A$2:$A$1800,$A145,الريسبي!$B$2:$B$1800,AS$1)</f>
        <v>0</v>
      </c>
      <c r="AT145" s="117" t="n">
        <f aca="false">SUMIFS(الريسبي!$C$2:$C$1800,الريسبي!$A$2:$A$1800,$A145,الريسبي!$B$2:$B$1800,AT$1)</f>
        <v>0</v>
      </c>
      <c r="AU145" s="117" t="n">
        <f aca="false">SUMIFS(الريسبي!$C$2:$C$1800,الريسبي!$A$2:$A$1800,$A145,الريسبي!$B$2:$B$1800,AU$1)</f>
        <v>0</v>
      </c>
      <c r="AV145" s="117" t="n">
        <f aca="false">SUMIFS(الريسبي!$C$2:$C$1800,الريسبي!$A$2:$A$1800,$A145,الريسبي!$B$2:$B$1800,AV$1)</f>
        <v>0</v>
      </c>
      <c r="AW145" s="117" t="n">
        <f aca="false">SUMIFS(الريسبي!$C$2:$C$1800,الريسبي!$A$2:$A$1800,$A145,الريسبي!$B$2:$B$1800,AW$1)</f>
        <v>0</v>
      </c>
      <c r="AX145" s="117" t="n">
        <f aca="false">SUMIFS(الريسبي!$C$2:$C$1800,الريسبي!$A$2:$A$1800,$A145,الريسبي!$B$2:$B$1800,AX$1)</f>
        <v>0</v>
      </c>
      <c r="AY145" s="117" t="n">
        <f aca="false">SUMIFS(الريسبي!$C$2:$C$1800,الريسبي!$A$2:$A$1800,$A145,الريسبي!$B$2:$B$1800,AY$1)</f>
        <v>0</v>
      </c>
      <c r="AZ145" s="117" t="n">
        <f aca="false">SUMIFS(الريسبي!$C$2:$C$1800,الريسبي!$A$2:$A$1800,$A145,الريسبي!$B$2:$B$1800,AZ$1)</f>
        <v>0</v>
      </c>
      <c r="BA145" s="117" t="n">
        <f aca="false">SUMIFS(الريسبي!$C$2:$C$1800,الريسبي!$A$2:$A$1800,$A145,الريسبي!$B$2:$B$1800,BA$1)</f>
        <v>0</v>
      </c>
      <c r="BB145" s="117" t="n">
        <f aca="false">SUMIFS(الريسبي!$C$2:$C$1800,الريسبي!$A$2:$A$1800,$A145,الريسبي!$B$2:$B$1800,BB$1)</f>
        <v>0</v>
      </c>
      <c r="BC145" s="117" t="n">
        <f aca="false">SUMIFS(الريسبي!$C$2:$C$1800,الريسبي!$A$2:$A$1800,$A145,الريسبي!$B$2:$B$1800,BC$1)</f>
        <v>0</v>
      </c>
      <c r="BD145" s="117" t="n">
        <f aca="false">SUMIFS(الريسبي!$C$2:$C$1800,الريسبي!$A$2:$A$1800,$A145,الريسبي!$B$2:$B$1800,BD$1)</f>
        <v>0</v>
      </c>
      <c r="BE145" s="117" t="n">
        <f aca="false">SUMIFS(الريسبي!$C$2:$C$1800,الريسبي!$A$2:$A$1800,$A145,الريسبي!$B$2:$B$1800,BE$1)</f>
        <v>0</v>
      </c>
      <c r="BF145" s="117" t="n">
        <f aca="false">SUMIFS(الريسبي!$C$2:$C$1800,الريسبي!$A$2:$A$1800,$A145,الريسبي!$B$2:$B$1800,BF$1)</f>
        <v>0</v>
      </c>
      <c r="BG145" s="117" t="n">
        <f aca="false">SUMIFS(الريسبي!$C$2:$C$1800,الريسبي!$A$2:$A$1800,$A145,الريسبي!$B$2:$B$1800,BG$1)</f>
        <v>0</v>
      </c>
      <c r="BH145" s="117" t="n">
        <f aca="false">SUMIFS(الريسبي!$C$2:$C$1800,الريسبي!$A$2:$A$1800,$A145,الريسبي!$B$2:$B$1800,BH$1)</f>
        <v>0</v>
      </c>
      <c r="BI145" s="117" t="n">
        <f aca="false">SUMIFS(الريسبي!$C$2:$C$1800,الريسبي!$A$2:$A$1800,$A145,الريسبي!$B$2:$B$1800,BI$1)</f>
        <v>0</v>
      </c>
      <c r="BJ145" s="117" t="n">
        <f aca="false">SUMIFS(الريسبي!$C$2:$C$1800,الريسبي!$A$2:$A$1800,$A145,الريسبي!$B$2:$B$1800,BJ$1)</f>
        <v>0</v>
      </c>
      <c r="BK145" s="117" t="n">
        <f aca="false">SUMIFS(الريسبي!$C$2:$C$1800,الريسبي!$A$2:$A$1800,$A145,الريسبي!$B$2:$B$1800,BK$1)</f>
        <v>0</v>
      </c>
      <c r="BL145" s="117" t="n">
        <f aca="false">SUMIFS(الريسبي!$C$2:$C$1800,الريسبي!$A$2:$A$1800,$A145,الريسبي!$B$2:$B$1800,BL$1)</f>
        <v>0</v>
      </c>
      <c r="BM145" s="117" t="n">
        <f aca="false">SUMIFS(الريسبي!$C$2:$C$1800,الريسبي!$A$2:$A$1800,$A145,الريسبي!$B$2:$B$1800,BM$1)</f>
        <v>0</v>
      </c>
      <c r="BN145" s="117" t="n">
        <f aca="false">SUMIFS(الريسبي!$C$2:$C$1800,الريسبي!$A$2:$A$1800,$A145,الريسبي!$B$2:$B$1800,BN$1)</f>
        <v>0</v>
      </c>
      <c r="BO145" s="117" t="n">
        <f aca="false">SUMIFS(الريسبي!$C$2:$C$1800,الريسبي!$A$2:$A$1800,$A145,الريسبي!$B$2:$B$1800,BO$1)</f>
        <v>0</v>
      </c>
      <c r="BP145" s="117" t="n">
        <f aca="false">SUMIFS(الريسبي!$C$2:$C$1800,الريسبي!$A$2:$A$1800,$A145,الريسبي!$B$2:$B$1800,BP$1)</f>
        <v>0</v>
      </c>
      <c r="BQ145" s="117" t="n">
        <f aca="false">SUMIFS(الريسبي!$C$2:$C$1800,الريسبي!$A$2:$A$1800,$A145,الريسبي!$B$2:$B$1800,BQ$1)+0.17*SUMIFS(الريسبي!$C$2:$C$1800,الريسبي!$A$2:$A$1800,$A145,الريسبي!$B$2:$B$1800,"كاسترد مصنع (خليط بودر + لبن)")+0.17*SUMIFS(الريسبي!$C$2:$C$1800,الريسبي!$A$2:$A$1800,$A145,الريسبي!$B$2:$B$1800,"كاسترد مصنع صيامي (بدون لبن)")</f>
        <v>0</v>
      </c>
      <c r="BR145" s="117" t="n">
        <f aca="false">SUMIFS(الريسبي!$C$2:$C$1800,الريسبي!$A$2:$A$1800,$A145,الريسبي!$B$2:$B$1800,BR$1)</f>
        <v>0</v>
      </c>
      <c r="BS145" s="117" t="n">
        <f aca="false">SUMIFS(الريسبي!$C$2:$C$1800,الريسبي!$A$2:$A$1800,$A145,الريسبي!$B$2:$B$1800,BS$1)</f>
        <v>0</v>
      </c>
      <c r="BT145" s="117" t="n">
        <f aca="false">SUMIFS(الريسبي!$C$2:$C$1800,الريسبي!$A$2:$A$1800,$A145,الريسبي!$B$2:$B$1800,BT$1)</f>
        <v>0</v>
      </c>
      <c r="BU145" s="117" t="n">
        <f aca="false">SUMIFS(الريسبي!$C$2:$C$1800,الريسبي!$A$2:$A$1800,$A145,الريسبي!$B$2:$B$1800,BU$1)+0.4*SUMIFS(الريسبي!$C$2:$C$1800,الريسبي!$A$2:$A$1800,$A145,الريسبي!$B$2:$B$1800,"كاسترد مصنع (خليط بودر + لبن)")+0.03333333333*SUMIFS(الريسبي!$C$2:$C$1800,الريسبي!$A$2:$A$1800,$A145,الريسبي!$B$2:$B$1800,"عجين كريب (مصنع بالمطعم)")</f>
        <v>0</v>
      </c>
      <c r="BV145" s="117" t="n">
        <f aca="false">SUMIFS(الريسبي!$C$2:$C$1800,الريسبي!$A$2:$A$1800,$A145,الريسبي!$B$2:$B$1800,BV$1)</f>
        <v>0</v>
      </c>
      <c r="BW145" s="117" t="n">
        <f aca="false">SUMIFS(الريسبي!$C$2:$C$1800,الريسبي!$A$2:$A$1800,$A145,الريسبي!$B$2:$B$1800,BW$1)</f>
        <v>0</v>
      </c>
      <c r="BX145" s="117" t="n">
        <f aca="false">SUMIFS(الريسبي!$C$2:$C$1800,الريسبي!$A$2:$A$1800,$A145,الريسبي!$B$2:$B$1800,BX$1)</f>
        <v>0</v>
      </c>
      <c r="BY145" s="117" t="n">
        <f aca="false">SUMIFS(الريسبي!$C$2:$C$1800,الريسبي!$A$2:$A$1800,$A145,الريسبي!$B$2:$B$1800,BY$1)</f>
        <v>0</v>
      </c>
      <c r="BZ145" s="117" t="n">
        <f aca="false">SUMIFS(الريسبي!$C$2:$C$1800,الريسبي!$A$2:$A$1800,$A145,الريسبي!$B$2:$B$1800,BZ$1)</f>
        <v>0</v>
      </c>
      <c r="CA145" s="117" t="n">
        <f aca="false">SUMIFS(الريسبي!$C$2:$C$1800,الريسبي!$A$2:$A$1800,$A145,الريسبي!$B$2:$B$1800,CA$1)</f>
        <v>0</v>
      </c>
      <c r="CB145" s="117" t="n">
        <f aca="false">SUMIFS(الريسبي!$C$2:$C$1800,الريسبي!$A$2:$A$1800,$A145,الريسبي!$B$2:$B$1800,CB$1)</f>
        <v>0</v>
      </c>
      <c r="CC145" s="117" t="n">
        <f aca="false">SUMIFS(الريسبي!$C$2:$C$1800,الريسبي!$A$2:$A$1800,$A145,الريسبي!$B$2:$B$1800,CC$1)</f>
        <v>0</v>
      </c>
      <c r="CD145" s="117" t="n">
        <f aca="false">SUMIFS(الريسبي!$C$2:$C$1800,الريسبي!$A$2:$A$1800,$A145,الريسبي!$B$2:$B$1800,CD$1)</f>
        <v>0</v>
      </c>
      <c r="CE145" s="117" t="n">
        <f aca="false">SUMIFS(الريسبي!$C$2:$C$1800,الريسبي!$A$2:$A$1800,$A145,الريسبي!$B$2:$B$1800,CE$1)</f>
        <v>0</v>
      </c>
      <c r="CF145" s="117" t="n">
        <f aca="false">SUMIFS(الريسبي!$C$2:$C$1800,الريسبي!$A$2:$A$1800,$A145,الريسبي!$B$2:$B$1800,CF$1)</f>
        <v>0</v>
      </c>
      <c r="CG145" s="117" t="n">
        <f aca="false">SUMIFS(الريسبي!$C$2:$C$1800,الريسبي!$A$2:$A$1800,$A145,الريسبي!$B$2:$B$1800,CG$1)</f>
        <v>0</v>
      </c>
      <c r="CH145" s="117" t="n">
        <f aca="false">SUMIFS(الريسبي!$C$2:$C$1800,الريسبي!$A$2:$A$1800,$A145,الريسبي!$B$2:$B$1800,CH$1)</f>
        <v>0</v>
      </c>
      <c r="CI145" s="117" t="n">
        <f aca="false">SUMIFS(الريسبي!$C$2:$C$1800,الريسبي!$A$2:$A$1800,$A145,الريسبي!$B$2:$B$1800,CI$1)</f>
        <v>0</v>
      </c>
      <c r="CJ145" s="117" t="n">
        <f aca="false">SUMIFS(الريسبي!$C$2:$C$1800,الريسبي!$A$2:$A$1800,$A145,الريسبي!$B$2:$B$1800,CJ$1)</f>
        <v>0</v>
      </c>
      <c r="CK145" s="117" t="n">
        <f aca="false">SUMIFS(الريسبي!$C$2:$C$1800,الريسبي!$A$2:$A$1800,$A145,الريسبي!$B$2:$B$1800,CK$1)</f>
        <v>0</v>
      </c>
      <c r="CL145" s="117" t="n">
        <f aca="false">SUMIFS(الريسبي!$C$2:$C$1800,الريسبي!$A$2:$A$1800,$A145,الريسبي!$B$2:$B$1800,CL$1)</f>
        <v>0</v>
      </c>
    </row>
    <row r="146" customFormat="false" ht="15" hidden="false" customHeight="false" outlineLevel="0" collapsed="false">
      <c r="A146" s="116" t="str">
        <f aca="false">المنيو!B146</f>
        <v>اضافة سدق (فطير كبير)</v>
      </c>
      <c r="B146" s="117" t="n">
        <f aca="false">SUMIFS(الريسبي!$C$2:$C$1800,الريسبي!$A$2:$A$1800,$A146,الريسبي!$B$2:$B$1800,B$1)</f>
        <v>0</v>
      </c>
      <c r="C146" s="117" t="n">
        <f aca="false">SUMIFS(الريسبي!$C$2:$C$1800,الريسبي!$A$2:$A$1800,$A146,الريسبي!$B$2:$B$1800,C$1)</f>
        <v>0</v>
      </c>
      <c r="D146" s="117" t="n">
        <f aca="false">SUMIFS(الريسبي!$C$2:$C$1800,الريسبي!$A$2:$A$1800,$A146,الريسبي!$B$2:$B$1800,D$1)</f>
        <v>0</v>
      </c>
      <c r="E146" s="117" t="n">
        <f aca="false">SUMIFS(الريسبي!$C$2:$C$1800,الريسبي!$A$2:$A$1800,$A146,الريسبي!$B$2:$B$1800,E$1)</f>
        <v>0</v>
      </c>
      <c r="F146" s="117" t="n">
        <f aca="false">SUMIFS(الريسبي!$C$2:$C$1800,الريسبي!$A$2:$A$1800,$A146,الريسبي!$B$2:$B$1800,F$1)</f>
        <v>0</v>
      </c>
      <c r="G146" s="117" t="n">
        <f aca="false">SUMIFS(الريسبي!$C$2:$C$1800,الريسبي!$A$2:$A$1800,$A146,الريسبي!$B$2:$B$1800,G$1)</f>
        <v>0</v>
      </c>
      <c r="H146" s="117" t="n">
        <f aca="false">SUMIFS(الريسبي!$C$2:$C$1800,الريسبي!$A$2:$A$1800,$A146,الريسبي!$B$2:$B$1800,H$1)</f>
        <v>0</v>
      </c>
      <c r="I146" s="117" t="n">
        <f aca="false">SUMIFS(الريسبي!$C$2:$C$1800,الريسبي!$A$2:$A$1800,$A146,الريسبي!$B$2:$B$1800,I$1)</f>
        <v>0</v>
      </c>
      <c r="J146" s="117" t="n">
        <f aca="false">SUMIFS(الريسبي!$C$2:$C$1800,الريسبي!$A$2:$A$1800,$A146,الريسبي!$B$2:$B$1800,J$1)</f>
        <v>0</v>
      </c>
      <c r="K146" s="117" t="n">
        <f aca="false">SUMIFS(الريسبي!$C$2:$C$1800,الريسبي!$A$2:$A$1800,$A146,الريسبي!$B$2:$B$1800,K$1)</f>
        <v>0</v>
      </c>
      <c r="L146" s="117" t="n">
        <f aca="false">SUMIFS(الريسبي!$C$2:$C$1800,الريسبي!$A$2:$A$1800,$A146,الريسبي!$B$2:$B$1800,L$1)</f>
        <v>0</v>
      </c>
      <c r="M146" s="117" t="n">
        <f aca="false">SUMIFS(الريسبي!$C$2:$C$1800,الريسبي!$A$2:$A$1800,$A146,الريسبي!$B$2:$B$1800,M$1)</f>
        <v>1</v>
      </c>
      <c r="N146" s="117" t="n">
        <f aca="false">SUMIFS(الريسبي!$C$2:$C$1800,الريسبي!$A$2:$A$1800,$A146,الريسبي!$B$2:$B$1800,N$1)</f>
        <v>0</v>
      </c>
      <c r="O146" s="117" t="n">
        <f aca="false">SUMIFS(الريسبي!$C$2:$C$1800,الريسبي!$A$2:$A$1800,$A146,الريسبي!$B$2:$B$1800,O$1)</f>
        <v>0</v>
      </c>
      <c r="P146" s="117" t="n">
        <f aca="false">SUMIFS(الريسبي!$C$2:$C$1800,الريسبي!$A$2:$A$1800,$A146,الريسبي!$B$2:$B$1800,P$1)</f>
        <v>0</v>
      </c>
      <c r="Q146" s="117" t="n">
        <f aca="false">SUMIFS(الريسبي!$C$2:$C$1800,الريسبي!$A$2:$A$1800,$A146,الريسبي!$B$2:$B$1800,Q$1)</f>
        <v>0</v>
      </c>
      <c r="R146" s="117" t="n">
        <f aca="false">SUMIFS(الريسبي!$C$2:$C$1800,الريسبي!$A$2:$A$1800,$A146,الريسبي!$B$2:$B$1800,R$1)</f>
        <v>0</v>
      </c>
      <c r="S146" s="117" t="n">
        <f aca="false">SUMIFS(الريسبي!$C$2:$C$1800,الريسبي!$A$2:$A$1800,$A146,الريسبي!$B$2:$B$1800,S$1)</f>
        <v>0</v>
      </c>
      <c r="T146" s="117" t="n">
        <f aca="false">SUMIFS(الريسبي!$C$2:$C$1800,الريسبي!$A$2:$A$1800,$A146,الريسبي!$B$2:$B$1800,T$1)</f>
        <v>0</v>
      </c>
      <c r="U146" s="117" t="n">
        <f aca="false">SUMIFS(الريسبي!$C$2:$C$1800,الريسبي!$A$2:$A$1800,$A146,الريسبي!$B$2:$B$1800,U$1)</f>
        <v>0</v>
      </c>
      <c r="V146" s="117" t="n">
        <f aca="false">SUMIFS(الريسبي!$C$2:$C$1800,الريسبي!$A$2:$A$1800,$A146,الريسبي!$B$2:$B$1800,V$1)</f>
        <v>0</v>
      </c>
      <c r="W146" s="117" t="n">
        <f aca="false">SUMIFS(الريسبي!$C$2:$C$1800,الريسبي!$A$2:$A$1800,$A146,الريسبي!$B$2:$B$1800,W$1)</f>
        <v>0</v>
      </c>
      <c r="X146" s="117" t="n">
        <f aca="false">SUMIFS(الريسبي!$C$2:$C$1800,الريسبي!$A$2:$A$1800,$A146,الريسبي!$B$2:$B$1800,X$1)</f>
        <v>0</v>
      </c>
      <c r="Y146" s="117" t="n">
        <f aca="false">SUMIFS(الريسبي!$C$2:$C$1800,الريسبي!$A$2:$A$1800,$A146,الريسبي!$B$2:$B$1800,Y$1)</f>
        <v>0</v>
      </c>
      <c r="Z146" s="117" t="n">
        <f aca="false">SUMIFS(الريسبي!$C$2:$C$1800,الريسبي!$A$2:$A$1800,$A146,الريسبي!$B$2:$B$1800,Z$1)</f>
        <v>0</v>
      </c>
      <c r="AA146" s="117" t="n">
        <f aca="false">SUMIFS(الريسبي!$C$2:$C$1800,الريسبي!$A$2:$A$1800,$A146,الريسبي!$B$2:$B$1800,AA$1)</f>
        <v>0</v>
      </c>
      <c r="AB146" s="117" t="n">
        <f aca="false">SUMIFS(الريسبي!$C$2:$C$1800,الريسبي!$A$2:$A$1800,$A146,الريسبي!$B$2:$B$1800,AB$1)</f>
        <v>0</v>
      </c>
      <c r="AC146" s="117" t="n">
        <f aca="false">SUMIFS(الريسبي!$C$2:$C$1800,الريسبي!$A$2:$A$1800,$A146,الريسبي!$B$2:$B$1800,AC$1)</f>
        <v>0</v>
      </c>
      <c r="AD146" s="117" t="n">
        <f aca="false">SUMIFS(الريسبي!$C$2:$C$1800,الريسبي!$A$2:$A$1800,$A146,الريسبي!$B$2:$B$1800,AD$1)</f>
        <v>0</v>
      </c>
      <c r="AE146" s="117" t="n">
        <f aca="false">SUMIFS(الريسبي!$C$2:$C$1800,الريسبي!$A$2:$A$1800,$A146,الريسبي!$B$2:$B$1800,AE$1)</f>
        <v>0</v>
      </c>
      <c r="AF146" s="117" t="n">
        <f aca="false">SUMIFS(الريسبي!$C$2:$C$1800,الريسبي!$A$2:$A$1800,$A146,الريسبي!$B$2:$B$1800,AF$1)</f>
        <v>0</v>
      </c>
      <c r="AG146" s="117" t="n">
        <f aca="false">SUMIFS(الريسبي!$C$2:$C$1800,الريسبي!$A$2:$A$1800,$A146,الريسبي!$B$2:$B$1800,AG$1)</f>
        <v>0</v>
      </c>
      <c r="AH146" s="117" t="n">
        <f aca="false">SUMIFS(الريسبي!$C$2:$C$1800,الريسبي!$A$2:$A$1800,$A146,الريسبي!$B$2:$B$1800,AH$1)</f>
        <v>0</v>
      </c>
      <c r="AI146" s="117" t="n">
        <f aca="false">SUMIFS(الريسبي!$C$2:$C$1800,الريسبي!$A$2:$A$1800,$A146,الريسبي!$B$2:$B$1800,AI$1)</f>
        <v>0</v>
      </c>
      <c r="AJ146" s="117" t="n">
        <f aca="false">SUMIFS(الريسبي!$C$2:$C$1800,الريسبي!$A$2:$A$1800,$A146,الريسبي!$B$2:$B$1800,AJ$1)</f>
        <v>0</v>
      </c>
      <c r="AK146" s="117" t="n">
        <f aca="false">SUMIFS(الريسبي!$C$2:$C$1800,الريسبي!$A$2:$A$1800,$A146,الريسبي!$B$2:$B$1800,AK$1)</f>
        <v>0</v>
      </c>
      <c r="AL146" s="117" t="n">
        <f aca="false">SUMIFS(الريسبي!$C$2:$C$1800,الريسبي!$A$2:$A$1800,$A146,الريسبي!$B$2:$B$1800,AL$1)</f>
        <v>0</v>
      </c>
      <c r="AM146" s="117" t="n">
        <f aca="false">SUMIFS(الريسبي!$C$2:$C$1800,الريسبي!$A$2:$A$1800,$A146,الريسبي!$B$2:$B$1800,AM$1)+0.08333333333*SUMIFS(الريسبي!$C$2:$C$1800,الريسبي!$A$2:$A$1800,$A146,الريسبي!$B$2:$B$1800,"عجين كريب (مصنع بالمطعم)")+0.08333333333*SUMIFS(الريسبي!$C$2:$C$1800,الريسبي!$A$2:$A$1800,$A146,الريسبي!$B$2:$B$1800,"عجين كريب صيامي (بدون لبن)")</f>
        <v>0</v>
      </c>
      <c r="AN146" s="117" t="n">
        <f aca="false">SUMIFS(الريسبي!$C$2:$C$1800,الريسبي!$A$2:$A$1800,$A146,الريسبي!$B$2:$B$1800,AN$1)+0.004166666667*SUMIFS(الريسبي!$C$2:$C$1800,الريسبي!$A$2:$A$1800,$A146,الريسبي!$B$2:$B$1800,"عجين كريب (مصنع بالمطعم)")+0.004166666667*SUMIFS(الريسبي!$C$2:$C$1800,الريسبي!$A$2:$A$1800,$A146,الريسبي!$B$2:$B$1800,"عجين كريب صيامي (بدون لبن)")</f>
        <v>0</v>
      </c>
      <c r="AO146" s="117" t="n">
        <f aca="false">SUMIFS(الريسبي!$C$2:$C$1800,الريسبي!$A$2:$A$1800,$A146,الريسبي!$B$2:$B$1800,AO$1)</f>
        <v>0</v>
      </c>
      <c r="AP146" s="117" t="n">
        <f aca="false">SUMIFS(الريسبي!$C$2:$C$1800,الريسبي!$A$2:$A$1800,$A146,الريسبي!$B$2:$B$1800,AP$1)</f>
        <v>0</v>
      </c>
      <c r="AQ146" s="117" t="n">
        <f aca="false">SUMIFS(الريسبي!$C$2:$C$1800,الريسبي!$A$2:$A$1800,$A146,الريسبي!$B$2:$B$1800,AQ$1)+0.004166666667*SUMIFS(الريسبي!$C$2:$C$1800,الريسبي!$A$2:$A$1800,$A146,الريسبي!$B$2:$B$1800,"عجين كريب (مصنع بالمطعم)")+0.004166666667*SUMIFS(الريسبي!$C$2:$C$1800,الريسبي!$A$2:$A$1800,$A146,الريسبي!$B$2:$B$1800,"عجين كريب صيامي (بدون لبن)")</f>
        <v>0</v>
      </c>
      <c r="AR146" s="117" t="n">
        <f aca="false">SUMIFS(الريسبي!$C$2:$C$1800,الريسبي!$A$2:$A$1800,$A146,الريسبي!$B$2:$B$1800,AR$1)</f>
        <v>0</v>
      </c>
      <c r="AS146" s="117" t="n">
        <f aca="false">SUMIFS(الريسبي!$C$2:$C$1800,الريسبي!$A$2:$A$1800,$A146,الريسبي!$B$2:$B$1800,AS$1)</f>
        <v>0</v>
      </c>
      <c r="AT146" s="117" t="n">
        <f aca="false">SUMIFS(الريسبي!$C$2:$C$1800,الريسبي!$A$2:$A$1800,$A146,الريسبي!$B$2:$B$1800,AT$1)</f>
        <v>0</v>
      </c>
      <c r="AU146" s="117" t="n">
        <f aca="false">SUMIFS(الريسبي!$C$2:$C$1800,الريسبي!$A$2:$A$1800,$A146,الريسبي!$B$2:$B$1800,AU$1)</f>
        <v>0</v>
      </c>
      <c r="AV146" s="117" t="n">
        <f aca="false">SUMIFS(الريسبي!$C$2:$C$1800,الريسبي!$A$2:$A$1800,$A146,الريسبي!$B$2:$B$1800,AV$1)</f>
        <v>0</v>
      </c>
      <c r="AW146" s="117" t="n">
        <f aca="false">SUMIFS(الريسبي!$C$2:$C$1800,الريسبي!$A$2:$A$1800,$A146,الريسبي!$B$2:$B$1800,AW$1)</f>
        <v>0</v>
      </c>
      <c r="AX146" s="117" t="n">
        <f aca="false">SUMIFS(الريسبي!$C$2:$C$1800,الريسبي!$A$2:$A$1800,$A146,الريسبي!$B$2:$B$1800,AX$1)</f>
        <v>0</v>
      </c>
      <c r="AY146" s="117" t="n">
        <f aca="false">SUMIFS(الريسبي!$C$2:$C$1800,الريسبي!$A$2:$A$1800,$A146,الريسبي!$B$2:$B$1800,AY$1)</f>
        <v>0</v>
      </c>
      <c r="AZ146" s="117" t="n">
        <f aca="false">SUMIFS(الريسبي!$C$2:$C$1800,الريسبي!$A$2:$A$1800,$A146,الريسبي!$B$2:$B$1800,AZ$1)</f>
        <v>0</v>
      </c>
      <c r="BA146" s="117" t="n">
        <f aca="false">SUMIFS(الريسبي!$C$2:$C$1800,الريسبي!$A$2:$A$1800,$A146,الريسبي!$B$2:$B$1800,BA$1)</f>
        <v>0</v>
      </c>
      <c r="BB146" s="117" t="n">
        <f aca="false">SUMIFS(الريسبي!$C$2:$C$1800,الريسبي!$A$2:$A$1800,$A146,الريسبي!$B$2:$B$1800,BB$1)</f>
        <v>0</v>
      </c>
      <c r="BC146" s="117" t="n">
        <f aca="false">SUMIFS(الريسبي!$C$2:$C$1800,الريسبي!$A$2:$A$1800,$A146,الريسبي!$B$2:$B$1800,BC$1)</f>
        <v>0</v>
      </c>
      <c r="BD146" s="117" t="n">
        <f aca="false">SUMIFS(الريسبي!$C$2:$C$1800,الريسبي!$A$2:$A$1800,$A146,الريسبي!$B$2:$B$1800,BD$1)</f>
        <v>0</v>
      </c>
      <c r="BE146" s="117" t="n">
        <f aca="false">SUMIFS(الريسبي!$C$2:$C$1800,الريسبي!$A$2:$A$1800,$A146,الريسبي!$B$2:$B$1800,BE$1)</f>
        <v>0</v>
      </c>
      <c r="BF146" s="117" t="n">
        <f aca="false">SUMIFS(الريسبي!$C$2:$C$1800,الريسبي!$A$2:$A$1800,$A146,الريسبي!$B$2:$B$1800,BF$1)</f>
        <v>0</v>
      </c>
      <c r="BG146" s="117" t="n">
        <f aca="false">SUMIFS(الريسبي!$C$2:$C$1800,الريسبي!$A$2:$A$1800,$A146,الريسبي!$B$2:$B$1800,BG$1)</f>
        <v>0</v>
      </c>
      <c r="BH146" s="117" t="n">
        <f aca="false">SUMIFS(الريسبي!$C$2:$C$1800,الريسبي!$A$2:$A$1800,$A146,الريسبي!$B$2:$B$1800,BH$1)</f>
        <v>0</v>
      </c>
      <c r="BI146" s="117" t="n">
        <f aca="false">SUMIFS(الريسبي!$C$2:$C$1800,الريسبي!$A$2:$A$1800,$A146,الريسبي!$B$2:$B$1800,BI$1)</f>
        <v>0</v>
      </c>
      <c r="BJ146" s="117" t="n">
        <f aca="false">SUMIFS(الريسبي!$C$2:$C$1800,الريسبي!$A$2:$A$1800,$A146,الريسبي!$B$2:$B$1800,BJ$1)</f>
        <v>0</v>
      </c>
      <c r="BK146" s="117" t="n">
        <f aca="false">SUMIFS(الريسبي!$C$2:$C$1800,الريسبي!$A$2:$A$1800,$A146,الريسبي!$B$2:$B$1800,BK$1)</f>
        <v>0</v>
      </c>
      <c r="BL146" s="117" t="n">
        <f aca="false">SUMIFS(الريسبي!$C$2:$C$1800,الريسبي!$A$2:$A$1800,$A146,الريسبي!$B$2:$B$1800,BL$1)</f>
        <v>0</v>
      </c>
      <c r="BM146" s="117" t="n">
        <f aca="false">SUMIFS(الريسبي!$C$2:$C$1800,الريسبي!$A$2:$A$1800,$A146,الريسبي!$B$2:$B$1800,BM$1)</f>
        <v>0</v>
      </c>
      <c r="BN146" s="117" t="n">
        <f aca="false">SUMIFS(الريسبي!$C$2:$C$1800,الريسبي!$A$2:$A$1800,$A146,الريسبي!$B$2:$B$1800,BN$1)</f>
        <v>0</v>
      </c>
      <c r="BO146" s="117" t="n">
        <f aca="false">SUMIFS(الريسبي!$C$2:$C$1800,الريسبي!$A$2:$A$1800,$A146,الريسبي!$B$2:$B$1800,BO$1)</f>
        <v>0</v>
      </c>
      <c r="BP146" s="117" t="n">
        <f aca="false">SUMIFS(الريسبي!$C$2:$C$1800,الريسبي!$A$2:$A$1800,$A146,الريسبي!$B$2:$B$1800,BP$1)</f>
        <v>0</v>
      </c>
      <c r="BQ146" s="117" t="n">
        <f aca="false">SUMIFS(الريسبي!$C$2:$C$1800,الريسبي!$A$2:$A$1800,$A146,الريسبي!$B$2:$B$1800,BQ$1)+0.17*SUMIFS(الريسبي!$C$2:$C$1800,الريسبي!$A$2:$A$1800,$A146,الريسبي!$B$2:$B$1800,"كاسترد مصنع (خليط بودر + لبن)")+0.17*SUMIFS(الريسبي!$C$2:$C$1800,الريسبي!$A$2:$A$1800,$A146,الريسبي!$B$2:$B$1800,"كاسترد مصنع صيامي (بدون لبن)")</f>
        <v>0</v>
      </c>
      <c r="BR146" s="117" t="n">
        <f aca="false">SUMIFS(الريسبي!$C$2:$C$1800,الريسبي!$A$2:$A$1800,$A146,الريسبي!$B$2:$B$1800,BR$1)</f>
        <v>0</v>
      </c>
      <c r="BS146" s="117" t="n">
        <f aca="false">SUMIFS(الريسبي!$C$2:$C$1800,الريسبي!$A$2:$A$1800,$A146,الريسبي!$B$2:$B$1800,BS$1)</f>
        <v>0</v>
      </c>
      <c r="BT146" s="117" t="n">
        <f aca="false">SUMIFS(الريسبي!$C$2:$C$1800,الريسبي!$A$2:$A$1800,$A146,الريسبي!$B$2:$B$1800,BT$1)</f>
        <v>0</v>
      </c>
      <c r="BU146" s="117" t="n">
        <f aca="false">SUMIFS(الريسبي!$C$2:$C$1800,الريسبي!$A$2:$A$1800,$A146,الريسبي!$B$2:$B$1800,BU$1)+0.4*SUMIFS(الريسبي!$C$2:$C$1800,الريسبي!$A$2:$A$1800,$A146,الريسبي!$B$2:$B$1800,"كاسترد مصنع (خليط بودر + لبن)")+0.03333333333*SUMIFS(الريسبي!$C$2:$C$1800,الريسبي!$A$2:$A$1800,$A146,الريسبي!$B$2:$B$1800,"عجين كريب (مصنع بالمطعم)")</f>
        <v>0</v>
      </c>
      <c r="BV146" s="117" t="n">
        <f aca="false">SUMIFS(الريسبي!$C$2:$C$1800,الريسبي!$A$2:$A$1800,$A146,الريسبي!$B$2:$B$1800,BV$1)</f>
        <v>0</v>
      </c>
      <c r="BW146" s="117" t="n">
        <f aca="false">SUMIFS(الريسبي!$C$2:$C$1800,الريسبي!$A$2:$A$1800,$A146,الريسبي!$B$2:$B$1800,BW$1)</f>
        <v>0</v>
      </c>
      <c r="BX146" s="117" t="n">
        <f aca="false">SUMIFS(الريسبي!$C$2:$C$1800,الريسبي!$A$2:$A$1800,$A146,الريسبي!$B$2:$B$1800,BX$1)</f>
        <v>0</v>
      </c>
      <c r="BY146" s="117" t="n">
        <f aca="false">SUMIFS(الريسبي!$C$2:$C$1800,الريسبي!$A$2:$A$1800,$A146,الريسبي!$B$2:$B$1800,BY$1)</f>
        <v>0</v>
      </c>
      <c r="BZ146" s="117" t="n">
        <f aca="false">SUMIFS(الريسبي!$C$2:$C$1800,الريسبي!$A$2:$A$1800,$A146,الريسبي!$B$2:$B$1800,BZ$1)</f>
        <v>0</v>
      </c>
      <c r="CA146" s="117" t="n">
        <f aca="false">SUMIFS(الريسبي!$C$2:$C$1800,الريسبي!$A$2:$A$1800,$A146,الريسبي!$B$2:$B$1800,CA$1)</f>
        <v>0</v>
      </c>
      <c r="CB146" s="117" t="n">
        <f aca="false">SUMIFS(الريسبي!$C$2:$C$1800,الريسبي!$A$2:$A$1800,$A146,الريسبي!$B$2:$B$1800,CB$1)</f>
        <v>0</v>
      </c>
      <c r="CC146" s="117" t="n">
        <f aca="false">SUMIFS(الريسبي!$C$2:$C$1800,الريسبي!$A$2:$A$1800,$A146,الريسبي!$B$2:$B$1800,CC$1)</f>
        <v>0</v>
      </c>
      <c r="CD146" s="117" t="n">
        <f aca="false">SUMIFS(الريسبي!$C$2:$C$1800,الريسبي!$A$2:$A$1800,$A146,الريسبي!$B$2:$B$1800,CD$1)</f>
        <v>0</v>
      </c>
      <c r="CE146" s="117" t="n">
        <f aca="false">SUMIFS(الريسبي!$C$2:$C$1800,الريسبي!$A$2:$A$1800,$A146,الريسبي!$B$2:$B$1800,CE$1)</f>
        <v>0</v>
      </c>
      <c r="CF146" s="117" t="n">
        <f aca="false">SUMIFS(الريسبي!$C$2:$C$1800,الريسبي!$A$2:$A$1800,$A146,الريسبي!$B$2:$B$1800,CF$1)</f>
        <v>0</v>
      </c>
      <c r="CG146" s="117" t="n">
        <f aca="false">SUMIFS(الريسبي!$C$2:$C$1800,الريسبي!$A$2:$A$1800,$A146,الريسبي!$B$2:$B$1800,CG$1)</f>
        <v>0</v>
      </c>
      <c r="CH146" s="117" t="n">
        <f aca="false">SUMIFS(الريسبي!$C$2:$C$1800,الريسبي!$A$2:$A$1800,$A146,الريسبي!$B$2:$B$1800,CH$1)</f>
        <v>0</v>
      </c>
      <c r="CI146" s="117" t="n">
        <f aca="false">SUMIFS(الريسبي!$C$2:$C$1800,الريسبي!$A$2:$A$1800,$A146,الريسبي!$B$2:$B$1800,CI$1)</f>
        <v>0</v>
      </c>
      <c r="CJ146" s="117" t="n">
        <f aca="false">SUMIFS(الريسبي!$C$2:$C$1800,الريسبي!$A$2:$A$1800,$A146,الريسبي!$B$2:$B$1800,CJ$1)</f>
        <v>0</v>
      </c>
      <c r="CK146" s="117" t="n">
        <f aca="false">SUMIFS(الريسبي!$C$2:$C$1800,الريسبي!$A$2:$A$1800,$A146,الريسبي!$B$2:$B$1800,CK$1)</f>
        <v>0</v>
      </c>
      <c r="CL146" s="117" t="n">
        <f aca="false">SUMIFS(الريسبي!$C$2:$C$1800,الريسبي!$A$2:$A$1800,$A146,الريسبي!$B$2:$B$1800,CL$1)</f>
        <v>0</v>
      </c>
    </row>
    <row r="147" customFormat="false" ht="15" hidden="false" customHeight="false" outlineLevel="0" collapsed="false">
      <c r="A147" s="116" t="str">
        <f aca="false">المنيو!B147</f>
        <v>اضافة بسطرمة (بيتزا وسط)</v>
      </c>
      <c r="B147" s="117" t="n">
        <f aca="false">SUMIFS(الريسبي!$C$2:$C$1800,الريسبي!$A$2:$A$1800,$A147,الريسبي!$B$2:$B$1800,B$1)</f>
        <v>0</v>
      </c>
      <c r="C147" s="117" t="n">
        <f aca="false">SUMIFS(الريسبي!$C$2:$C$1800,الريسبي!$A$2:$A$1800,$A147,الريسبي!$B$2:$B$1800,C$1)</f>
        <v>0</v>
      </c>
      <c r="D147" s="117" t="n">
        <f aca="false">SUMIFS(الريسبي!$C$2:$C$1800,الريسبي!$A$2:$A$1800,$A147,الريسبي!$B$2:$B$1800,D$1)</f>
        <v>0</v>
      </c>
      <c r="E147" s="117" t="n">
        <f aca="false">SUMIFS(الريسبي!$C$2:$C$1800,الريسبي!$A$2:$A$1800,$A147,الريسبي!$B$2:$B$1800,E$1)</f>
        <v>0</v>
      </c>
      <c r="F147" s="117" t="n">
        <f aca="false">SUMIFS(الريسبي!$C$2:$C$1800,الريسبي!$A$2:$A$1800,$A147,الريسبي!$B$2:$B$1800,F$1)</f>
        <v>0</v>
      </c>
      <c r="G147" s="117" t="n">
        <f aca="false">SUMIFS(الريسبي!$C$2:$C$1800,الريسبي!$A$2:$A$1800,$A147,الريسبي!$B$2:$B$1800,G$1)</f>
        <v>1</v>
      </c>
      <c r="H147" s="117" t="n">
        <f aca="false">SUMIFS(الريسبي!$C$2:$C$1800,الريسبي!$A$2:$A$1800,$A147,الريسبي!$B$2:$B$1800,H$1)</f>
        <v>0</v>
      </c>
      <c r="I147" s="117" t="n">
        <f aca="false">SUMIFS(الريسبي!$C$2:$C$1800,الريسبي!$A$2:$A$1800,$A147,الريسبي!$B$2:$B$1800,I$1)</f>
        <v>0</v>
      </c>
      <c r="J147" s="117" t="n">
        <f aca="false">SUMIFS(الريسبي!$C$2:$C$1800,الريسبي!$A$2:$A$1800,$A147,الريسبي!$B$2:$B$1800,J$1)</f>
        <v>0</v>
      </c>
      <c r="K147" s="117" t="n">
        <f aca="false">SUMIFS(الريسبي!$C$2:$C$1800,الريسبي!$A$2:$A$1800,$A147,الريسبي!$B$2:$B$1800,K$1)</f>
        <v>0</v>
      </c>
      <c r="L147" s="117" t="n">
        <f aca="false">SUMIFS(الريسبي!$C$2:$C$1800,الريسبي!$A$2:$A$1800,$A147,الريسبي!$B$2:$B$1800,L$1)</f>
        <v>0</v>
      </c>
      <c r="M147" s="117" t="n">
        <f aca="false">SUMIFS(الريسبي!$C$2:$C$1800,الريسبي!$A$2:$A$1800,$A147,الريسبي!$B$2:$B$1800,M$1)</f>
        <v>0</v>
      </c>
      <c r="N147" s="117" t="n">
        <f aca="false">SUMIFS(الريسبي!$C$2:$C$1800,الريسبي!$A$2:$A$1800,$A147,الريسبي!$B$2:$B$1800,N$1)</f>
        <v>0</v>
      </c>
      <c r="O147" s="117" t="n">
        <f aca="false">SUMIFS(الريسبي!$C$2:$C$1800,الريسبي!$A$2:$A$1800,$A147,الريسبي!$B$2:$B$1800,O$1)</f>
        <v>0</v>
      </c>
      <c r="P147" s="117" t="n">
        <f aca="false">SUMIFS(الريسبي!$C$2:$C$1800,الريسبي!$A$2:$A$1800,$A147,الريسبي!$B$2:$B$1800,P$1)</f>
        <v>0</v>
      </c>
      <c r="Q147" s="117" t="n">
        <f aca="false">SUMIFS(الريسبي!$C$2:$C$1800,الريسبي!$A$2:$A$1800,$A147,الريسبي!$B$2:$B$1800,Q$1)</f>
        <v>0</v>
      </c>
      <c r="R147" s="117" t="n">
        <f aca="false">SUMIFS(الريسبي!$C$2:$C$1800,الريسبي!$A$2:$A$1800,$A147,الريسبي!$B$2:$B$1800,R$1)</f>
        <v>0</v>
      </c>
      <c r="S147" s="117" t="n">
        <f aca="false">SUMIFS(الريسبي!$C$2:$C$1800,الريسبي!$A$2:$A$1800,$A147,الريسبي!$B$2:$B$1800,S$1)</f>
        <v>0</v>
      </c>
      <c r="T147" s="117" t="n">
        <f aca="false">SUMIFS(الريسبي!$C$2:$C$1800,الريسبي!$A$2:$A$1800,$A147,الريسبي!$B$2:$B$1800,T$1)</f>
        <v>0</v>
      </c>
      <c r="U147" s="117" t="n">
        <f aca="false">SUMIFS(الريسبي!$C$2:$C$1800,الريسبي!$A$2:$A$1800,$A147,الريسبي!$B$2:$B$1800,U$1)</f>
        <v>0</v>
      </c>
      <c r="V147" s="117" t="n">
        <f aca="false">SUMIFS(الريسبي!$C$2:$C$1800,الريسبي!$A$2:$A$1800,$A147,الريسبي!$B$2:$B$1800,V$1)</f>
        <v>0</v>
      </c>
      <c r="W147" s="117" t="n">
        <f aca="false">SUMIFS(الريسبي!$C$2:$C$1800,الريسبي!$A$2:$A$1800,$A147,الريسبي!$B$2:$B$1800,W$1)</f>
        <v>0</v>
      </c>
      <c r="X147" s="117" t="n">
        <f aca="false">SUMIFS(الريسبي!$C$2:$C$1800,الريسبي!$A$2:$A$1800,$A147,الريسبي!$B$2:$B$1800,X$1)</f>
        <v>0</v>
      </c>
      <c r="Y147" s="117" t="n">
        <f aca="false">SUMIFS(الريسبي!$C$2:$C$1800,الريسبي!$A$2:$A$1800,$A147,الريسبي!$B$2:$B$1800,Y$1)</f>
        <v>0</v>
      </c>
      <c r="Z147" s="117" t="n">
        <f aca="false">SUMIFS(الريسبي!$C$2:$C$1800,الريسبي!$A$2:$A$1800,$A147,الريسبي!$B$2:$B$1800,Z$1)</f>
        <v>0</v>
      </c>
      <c r="AA147" s="117" t="n">
        <f aca="false">SUMIFS(الريسبي!$C$2:$C$1800,الريسبي!$A$2:$A$1800,$A147,الريسبي!$B$2:$B$1800,AA$1)</f>
        <v>0</v>
      </c>
      <c r="AB147" s="117" t="n">
        <f aca="false">SUMIFS(الريسبي!$C$2:$C$1800,الريسبي!$A$2:$A$1800,$A147,الريسبي!$B$2:$B$1800,AB$1)</f>
        <v>0</v>
      </c>
      <c r="AC147" s="117" t="n">
        <f aca="false">SUMIFS(الريسبي!$C$2:$C$1800,الريسبي!$A$2:$A$1800,$A147,الريسبي!$B$2:$B$1800,AC$1)</f>
        <v>0</v>
      </c>
      <c r="AD147" s="117" t="n">
        <f aca="false">SUMIFS(الريسبي!$C$2:$C$1800,الريسبي!$A$2:$A$1800,$A147,الريسبي!$B$2:$B$1800,AD$1)</f>
        <v>0</v>
      </c>
      <c r="AE147" s="117" t="n">
        <f aca="false">SUMIFS(الريسبي!$C$2:$C$1800,الريسبي!$A$2:$A$1800,$A147,الريسبي!$B$2:$B$1800,AE$1)</f>
        <v>0</v>
      </c>
      <c r="AF147" s="117" t="n">
        <f aca="false">SUMIFS(الريسبي!$C$2:$C$1800,الريسبي!$A$2:$A$1800,$A147,الريسبي!$B$2:$B$1800,AF$1)</f>
        <v>0</v>
      </c>
      <c r="AG147" s="117" t="n">
        <f aca="false">SUMIFS(الريسبي!$C$2:$C$1800,الريسبي!$A$2:$A$1800,$A147,الريسبي!$B$2:$B$1800,AG$1)</f>
        <v>0</v>
      </c>
      <c r="AH147" s="117" t="n">
        <f aca="false">SUMIFS(الريسبي!$C$2:$C$1800,الريسبي!$A$2:$A$1800,$A147,الريسبي!$B$2:$B$1800,AH$1)</f>
        <v>0</v>
      </c>
      <c r="AI147" s="117" t="n">
        <f aca="false">SUMIFS(الريسبي!$C$2:$C$1800,الريسبي!$A$2:$A$1800,$A147,الريسبي!$B$2:$B$1800,AI$1)</f>
        <v>0</v>
      </c>
      <c r="AJ147" s="117" t="n">
        <f aca="false">SUMIFS(الريسبي!$C$2:$C$1800,الريسبي!$A$2:$A$1800,$A147,الريسبي!$B$2:$B$1800,AJ$1)</f>
        <v>0</v>
      </c>
      <c r="AK147" s="117" t="n">
        <f aca="false">SUMIFS(الريسبي!$C$2:$C$1800,الريسبي!$A$2:$A$1800,$A147,الريسبي!$B$2:$B$1800,AK$1)</f>
        <v>0</v>
      </c>
      <c r="AL147" s="117" t="n">
        <f aca="false">SUMIFS(الريسبي!$C$2:$C$1800,الريسبي!$A$2:$A$1800,$A147,الريسبي!$B$2:$B$1800,AL$1)</f>
        <v>0</v>
      </c>
      <c r="AM147" s="117" t="n">
        <f aca="false">SUMIFS(الريسبي!$C$2:$C$1800,الريسبي!$A$2:$A$1800,$A147,الريسبي!$B$2:$B$1800,AM$1)+0.08333333333*SUMIFS(الريسبي!$C$2:$C$1800,الريسبي!$A$2:$A$1800,$A147,الريسبي!$B$2:$B$1800,"عجين كريب (مصنع بالمطعم)")+0.08333333333*SUMIFS(الريسبي!$C$2:$C$1800,الريسبي!$A$2:$A$1800,$A147,الريسبي!$B$2:$B$1800,"عجين كريب صيامي (بدون لبن)")</f>
        <v>0</v>
      </c>
      <c r="AN147" s="117" t="n">
        <f aca="false">SUMIFS(الريسبي!$C$2:$C$1800,الريسبي!$A$2:$A$1800,$A147,الريسبي!$B$2:$B$1800,AN$1)+0.004166666667*SUMIFS(الريسبي!$C$2:$C$1800,الريسبي!$A$2:$A$1800,$A147,الريسبي!$B$2:$B$1800,"عجين كريب (مصنع بالمطعم)")+0.004166666667*SUMIFS(الريسبي!$C$2:$C$1800,الريسبي!$A$2:$A$1800,$A147,الريسبي!$B$2:$B$1800,"عجين كريب صيامي (بدون لبن)")</f>
        <v>0</v>
      </c>
      <c r="AO147" s="117" t="n">
        <f aca="false">SUMIFS(الريسبي!$C$2:$C$1800,الريسبي!$A$2:$A$1800,$A147,الريسبي!$B$2:$B$1800,AO$1)</f>
        <v>0</v>
      </c>
      <c r="AP147" s="117" t="n">
        <f aca="false">SUMIFS(الريسبي!$C$2:$C$1800,الريسبي!$A$2:$A$1800,$A147,الريسبي!$B$2:$B$1800,AP$1)</f>
        <v>0</v>
      </c>
      <c r="AQ147" s="117" t="n">
        <f aca="false">SUMIFS(الريسبي!$C$2:$C$1800,الريسبي!$A$2:$A$1800,$A147,الريسبي!$B$2:$B$1800,AQ$1)+0.004166666667*SUMIFS(الريسبي!$C$2:$C$1800,الريسبي!$A$2:$A$1800,$A147,الريسبي!$B$2:$B$1800,"عجين كريب (مصنع بالمطعم)")+0.004166666667*SUMIFS(الريسبي!$C$2:$C$1800,الريسبي!$A$2:$A$1800,$A147,الريسبي!$B$2:$B$1800,"عجين كريب صيامي (بدون لبن)")</f>
        <v>0</v>
      </c>
      <c r="AR147" s="117" t="n">
        <f aca="false">SUMIFS(الريسبي!$C$2:$C$1800,الريسبي!$A$2:$A$1800,$A147,الريسبي!$B$2:$B$1800,AR$1)</f>
        <v>0</v>
      </c>
      <c r="AS147" s="117" t="n">
        <f aca="false">SUMIFS(الريسبي!$C$2:$C$1800,الريسبي!$A$2:$A$1800,$A147,الريسبي!$B$2:$B$1800,AS$1)</f>
        <v>0</v>
      </c>
      <c r="AT147" s="117" t="n">
        <f aca="false">SUMIFS(الريسبي!$C$2:$C$1800,الريسبي!$A$2:$A$1800,$A147,الريسبي!$B$2:$B$1800,AT$1)</f>
        <v>0</v>
      </c>
      <c r="AU147" s="117" t="n">
        <f aca="false">SUMIFS(الريسبي!$C$2:$C$1800,الريسبي!$A$2:$A$1800,$A147,الريسبي!$B$2:$B$1800,AU$1)</f>
        <v>0</v>
      </c>
      <c r="AV147" s="117" t="n">
        <f aca="false">SUMIFS(الريسبي!$C$2:$C$1800,الريسبي!$A$2:$A$1800,$A147,الريسبي!$B$2:$B$1800,AV$1)</f>
        <v>0</v>
      </c>
      <c r="AW147" s="117" t="n">
        <f aca="false">SUMIFS(الريسبي!$C$2:$C$1800,الريسبي!$A$2:$A$1800,$A147,الريسبي!$B$2:$B$1800,AW$1)</f>
        <v>0</v>
      </c>
      <c r="AX147" s="117" t="n">
        <f aca="false">SUMIFS(الريسبي!$C$2:$C$1800,الريسبي!$A$2:$A$1800,$A147,الريسبي!$B$2:$B$1800,AX$1)</f>
        <v>0</v>
      </c>
      <c r="AY147" s="117" t="n">
        <f aca="false">SUMIFS(الريسبي!$C$2:$C$1800,الريسبي!$A$2:$A$1800,$A147,الريسبي!$B$2:$B$1800,AY$1)</f>
        <v>0</v>
      </c>
      <c r="AZ147" s="117" t="n">
        <f aca="false">SUMIFS(الريسبي!$C$2:$C$1800,الريسبي!$A$2:$A$1800,$A147,الريسبي!$B$2:$B$1800,AZ$1)</f>
        <v>0</v>
      </c>
      <c r="BA147" s="117" t="n">
        <f aca="false">SUMIFS(الريسبي!$C$2:$C$1800,الريسبي!$A$2:$A$1800,$A147,الريسبي!$B$2:$B$1800,BA$1)</f>
        <v>0</v>
      </c>
      <c r="BB147" s="117" t="n">
        <f aca="false">SUMIFS(الريسبي!$C$2:$C$1800,الريسبي!$A$2:$A$1800,$A147,الريسبي!$B$2:$B$1800,BB$1)</f>
        <v>0</v>
      </c>
      <c r="BC147" s="117" t="n">
        <f aca="false">SUMIFS(الريسبي!$C$2:$C$1800,الريسبي!$A$2:$A$1800,$A147,الريسبي!$B$2:$B$1800,BC$1)</f>
        <v>0</v>
      </c>
      <c r="BD147" s="117" t="n">
        <f aca="false">SUMIFS(الريسبي!$C$2:$C$1800,الريسبي!$A$2:$A$1800,$A147,الريسبي!$B$2:$B$1800,BD$1)</f>
        <v>0</v>
      </c>
      <c r="BE147" s="117" t="n">
        <f aca="false">SUMIFS(الريسبي!$C$2:$C$1800,الريسبي!$A$2:$A$1800,$A147,الريسبي!$B$2:$B$1800,BE$1)</f>
        <v>0</v>
      </c>
      <c r="BF147" s="117" t="n">
        <f aca="false">SUMIFS(الريسبي!$C$2:$C$1800,الريسبي!$A$2:$A$1800,$A147,الريسبي!$B$2:$B$1800,BF$1)</f>
        <v>0</v>
      </c>
      <c r="BG147" s="117" t="n">
        <f aca="false">SUMIFS(الريسبي!$C$2:$C$1800,الريسبي!$A$2:$A$1800,$A147,الريسبي!$B$2:$B$1800,BG$1)</f>
        <v>0</v>
      </c>
      <c r="BH147" s="117" t="n">
        <f aca="false">SUMIFS(الريسبي!$C$2:$C$1800,الريسبي!$A$2:$A$1800,$A147,الريسبي!$B$2:$B$1800,BH$1)</f>
        <v>0</v>
      </c>
      <c r="BI147" s="117" t="n">
        <f aca="false">SUMIFS(الريسبي!$C$2:$C$1800,الريسبي!$A$2:$A$1800,$A147,الريسبي!$B$2:$B$1800,BI$1)</f>
        <v>0</v>
      </c>
      <c r="BJ147" s="117" t="n">
        <f aca="false">SUMIFS(الريسبي!$C$2:$C$1800,الريسبي!$A$2:$A$1800,$A147,الريسبي!$B$2:$B$1800,BJ$1)</f>
        <v>0</v>
      </c>
      <c r="BK147" s="117" t="n">
        <f aca="false">SUMIFS(الريسبي!$C$2:$C$1800,الريسبي!$A$2:$A$1800,$A147,الريسبي!$B$2:$B$1800,BK$1)</f>
        <v>0</v>
      </c>
      <c r="BL147" s="117" t="n">
        <f aca="false">SUMIFS(الريسبي!$C$2:$C$1800,الريسبي!$A$2:$A$1800,$A147,الريسبي!$B$2:$B$1800,BL$1)</f>
        <v>0</v>
      </c>
      <c r="BM147" s="117" t="n">
        <f aca="false">SUMIFS(الريسبي!$C$2:$C$1800,الريسبي!$A$2:$A$1800,$A147,الريسبي!$B$2:$B$1800,BM$1)</f>
        <v>0</v>
      </c>
      <c r="BN147" s="117" t="n">
        <f aca="false">SUMIFS(الريسبي!$C$2:$C$1800,الريسبي!$A$2:$A$1800,$A147,الريسبي!$B$2:$B$1800,BN$1)</f>
        <v>0</v>
      </c>
      <c r="BO147" s="117" t="n">
        <f aca="false">SUMIFS(الريسبي!$C$2:$C$1800,الريسبي!$A$2:$A$1800,$A147,الريسبي!$B$2:$B$1800,BO$1)</f>
        <v>0</v>
      </c>
      <c r="BP147" s="117" t="n">
        <f aca="false">SUMIFS(الريسبي!$C$2:$C$1800,الريسبي!$A$2:$A$1800,$A147,الريسبي!$B$2:$B$1800,BP$1)</f>
        <v>0</v>
      </c>
      <c r="BQ147" s="117" t="n">
        <f aca="false">SUMIFS(الريسبي!$C$2:$C$1800,الريسبي!$A$2:$A$1800,$A147,الريسبي!$B$2:$B$1800,BQ$1)+0.17*SUMIFS(الريسبي!$C$2:$C$1800,الريسبي!$A$2:$A$1800,$A147,الريسبي!$B$2:$B$1800,"كاسترد مصنع (خليط بودر + لبن)")+0.17*SUMIFS(الريسبي!$C$2:$C$1800,الريسبي!$A$2:$A$1800,$A147,الريسبي!$B$2:$B$1800,"كاسترد مصنع صيامي (بدون لبن)")</f>
        <v>0</v>
      </c>
      <c r="BR147" s="117" t="n">
        <f aca="false">SUMIFS(الريسبي!$C$2:$C$1800,الريسبي!$A$2:$A$1800,$A147,الريسبي!$B$2:$B$1800,BR$1)</f>
        <v>0</v>
      </c>
      <c r="BS147" s="117" t="n">
        <f aca="false">SUMIFS(الريسبي!$C$2:$C$1800,الريسبي!$A$2:$A$1800,$A147,الريسبي!$B$2:$B$1800,BS$1)</f>
        <v>0</v>
      </c>
      <c r="BT147" s="117" t="n">
        <f aca="false">SUMIFS(الريسبي!$C$2:$C$1800,الريسبي!$A$2:$A$1800,$A147,الريسبي!$B$2:$B$1800,BT$1)</f>
        <v>0</v>
      </c>
      <c r="BU147" s="117" t="n">
        <f aca="false">SUMIFS(الريسبي!$C$2:$C$1800,الريسبي!$A$2:$A$1800,$A147,الريسبي!$B$2:$B$1800,BU$1)+0.4*SUMIFS(الريسبي!$C$2:$C$1800,الريسبي!$A$2:$A$1800,$A147,الريسبي!$B$2:$B$1800,"كاسترد مصنع (خليط بودر + لبن)")+0.03333333333*SUMIFS(الريسبي!$C$2:$C$1800,الريسبي!$A$2:$A$1800,$A147,الريسبي!$B$2:$B$1800,"عجين كريب (مصنع بالمطعم)")</f>
        <v>0</v>
      </c>
      <c r="BV147" s="117" t="n">
        <f aca="false">SUMIFS(الريسبي!$C$2:$C$1800,الريسبي!$A$2:$A$1800,$A147,الريسبي!$B$2:$B$1800,BV$1)</f>
        <v>0</v>
      </c>
      <c r="BW147" s="117" t="n">
        <f aca="false">SUMIFS(الريسبي!$C$2:$C$1800,الريسبي!$A$2:$A$1800,$A147,الريسبي!$B$2:$B$1800,BW$1)</f>
        <v>0</v>
      </c>
      <c r="BX147" s="117" t="n">
        <f aca="false">SUMIFS(الريسبي!$C$2:$C$1800,الريسبي!$A$2:$A$1800,$A147,الريسبي!$B$2:$B$1800,BX$1)</f>
        <v>0</v>
      </c>
      <c r="BY147" s="117" t="n">
        <f aca="false">SUMIFS(الريسبي!$C$2:$C$1800,الريسبي!$A$2:$A$1800,$A147,الريسبي!$B$2:$B$1800,BY$1)</f>
        <v>0</v>
      </c>
      <c r="BZ147" s="117" t="n">
        <f aca="false">SUMIFS(الريسبي!$C$2:$C$1800,الريسبي!$A$2:$A$1800,$A147,الريسبي!$B$2:$B$1800,BZ$1)</f>
        <v>0</v>
      </c>
      <c r="CA147" s="117" t="n">
        <f aca="false">SUMIFS(الريسبي!$C$2:$C$1800,الريسبي!$A$2:$A$1800,$A147,الريسبي!$B$2:$B$1800,CA$1)</f>
        <v>0</v>
      </c>
      <c r="CB147" s="117" t="n">
        <f aca="false">SUMIFS(الريسبي!$C$2:$C$1800,الريسبي!$A$2:$A$1800,$A147,الريسبي!$B$2:$B$1800,CB$1)</f>
        <v>0</v>
      </c>
      <c r="CC147" s="117" t="n">
        <f aca="false">SUMIFS(الريسبي!$C$2:$C$1800,الريسبي!$A$2:$A$1800,$A147,الريسبي!$B$2:$B$1800,CC$1)</f>
        <v>0</v>
      </c>
      <c r="CD147" s="117" t="n">
        <f aca="false">SUMIFS(الريسبي!$C$2:$C$1800,الريسبي!$A$2:$A$1800,$A147,الريسبي!$B$2:$B$1800,CD$1)</f>
        <v>0</v>
      </c>
      <c r="CE147" s="117" t="n">
        <f aca="false">SUMIFS(الريسبي!$C$2:$C$1800,الريسبي!$A$2:$A$1800,$A147,الريسبي!$B$2:$B$1800,CE$1)</f>
        <v>0</v>
      </c>
      <c r="CF147" s="117" t="n">
        <f aca="false">SUMIFS(الريسبي!$C$2:$C$1800,الريسبي!$A$2:$A$1800,$A147,الريسبي!$B$2:$B$1800,CF$1)</f>
        <v>0</v>
      </c>
      <c r="CG147" s="117" t="n">
        <f aca="false">SUMIFS(الريسبي!$C$2:$C$1800,الريسبي!$A$2:$A$1800,$A147,الريسبي!$B$2:$B$1800,CG$1)</f>
        <v>0</v>
      </c>
      <c r="CH147" s="117" t="n">
        <f aca="false">SUMIFS(الريسبي!$C$2:$C$1800,الريسبي!$A$2:$A$1800,$A147,الريسبي!$B$2:$B$1800,CH$1)</f>
        <v>0</v>
      </c>
      <c r="CI147" s="117" t="n">
        <f aca="false">SUMIFS(الريسبي!$C$2:$C$1800,الريسبي!$A$2:$A$1800,$A147,الريسبي!$B$2:$B$1800,CI$1)</f>
        <v>0</v>
      </c>
      <c r="CJ147" s="117" t="n">
        <f aca="false">SUMIFS(الريسبي!$C$2:$C$1800,الريسبي!$A$2:$A$1800,$A147,الريسبي!$B$2:$B$1800,CJ$1)</f>
        <v>0</v>
      </c>
      <c r="CK147" s="117" t="n">
        <f aca="false">SUMIFS(الريسبي!$C$2:$C$1800,الريسبي!$A$2:$A$1800,$A147,الريسبي!$B$2:$B$1800,CK$1)</f>
        <v>0</v>
      </c>
      <c r="CL147" s="117" t="n">
        <f aca="false">SUMIFS(الريسبي!$C$2:$C$1800,الريسبي!$A$2:$A$1800,$A147,الريسبي!$B$2:$B$1800,CL$1)</f>
        <v>0</v>
      </c>
    </row>
    <row r="148" customFormat="false" ht="15" hidden="false" customHeight="false" outlineLevel="0" collapsed="false">
      <c r="A148" s="116" t="str">
        <f aca="false">المنيو!B148</f>
        <v>اضافة بسطرمة (فطير وسط)</v>
      </c>
      <c r="B148" s="117" t="n">
        <f aca="false">SUMIFS(الريسبي!$C$2:$C$1800,الريسبي!$A$2:$A$1800,$A148,الريسبي!$B$2:$B$1800,B$1)</f>
        <v>0</v>
      </c>
      <c r="C148" s="117" t="n">
        <f aca="false">SUMIFS(الريسبي!$C$2:$C$1800,الريسبي!$A$2:$A$1800,$A148,الريسبي!$B$2:$B$1800,C$1)</f>
        <v>0</v>
      </c>
      <c r="D148" s="117" t="n">
        <f aca="false">SUMIFS(الريسبي!$C$2:$C$1800,الريسبي!$A$2:$A$1800,$A148,الريسبي!$B$2:$B$1800,D$1)</f>
        <v>0</v>
      </c>
      <c r="E148" s="117" t="n">
        <f aca="false">SUMIFS(الريسبي!$C$2:$C$1800,الريسبي!$A$2:$A$1800,$A148,الريسبي!$B$2:$B$1800,E$1)</f>
        <v>0</v>
      </c>
      <c r="F148" s="117" t="n">
        <f aca="false">SUMIFS(الريسبي!$C$2:$C$1800,الريسبي!$A$2:$A$1800,$A148,الريسبي!$B$2:$B$1800,F$1)</f>
        <v>0</v>
      </c>
      <c r="G148" s="117" t="n">
        <f aca="false">SUMIFS(الريسبي!$C$2:$C$1800,الريسبي!$A$2:$A$1800,$A148,الريسبي!$B$2:$B$1800,G$1)</f>
        <v>1</v>
      </c>
      <c r="H148" s="117" t="n">
        <f aca="false">SUMIFS(الريسبي!$C$2:$C$1800,الريسبي!$A$2:$A$1800,$A148,الريسبي!$B$2:$B$1800,H$1)</f>
        <v>0</v>
      </c>
      <c r="I148" s="117" t="n">
        <f aca="false">SUMIFS(الريسبي!$C$2:$C$1800,الريسبي!$A$2:$A$1800,$A148,الريسبي!$B$2:$B$1800,I$1)</f>
        <v>0</v>
      </c>
      <c r="J148" s="117" t="n">
        <f aca="false">SUMIFS(الريسبي!$C$2:$C$1800,الريسبي!$A$2:$A$1800,$A148,الريسبي!$B$2:$B$1800,J$1)</f>
        <v>0</v>
      </c>
      <c r="K148" s="117" t="n">
        <f aca="false">SUMIFS(الريسبي!$C$2:$C$1800,الريسبي!$A$2:$A$1800,$A148,الريسبي!$B$2:$B$1800,K$1)</f>
        <v>0</v>
      </c>
      <c r="L148" s="117" t="n">
        <f aca="false">SUMIFS(الريسبي!$C$2:$C$1800,الريسبي!$A$2:$A$1800,$A148,الريسبي!$B$2:$B$1800,L$1)</f>
        <v>0</v>
      </c>
      <c r="M148" s="117" t="n">
        <f aca="false">SUMIFS(الريسبي!$C$2:$C$1800,الريسبي!$A$2:$A$1800,$A148,الريسبي!$B$2:$B$1800,M$1)</f>
        <v>0</v>
      </c>
      <c r="N148" s="117" t="n">
        <f aca="false">SUMIFS(الريسبي!$C$2:$C$1800,الريسبي!$A$2:$A$1800,$A148,الريسبي!$B$2:$B$1800,N$1)</f>
        <v>0</v>
      </c>
      <c r="O148" s="117" t="n">
        <f aca="false">SUMIFS(الريسبي!$C$2:$C$1800,الريسبي!$A$2:$A$1800,$A148,الريسبي!$B$2:$B$1800,O$1)</f>
        <v>0</v>
      </c>
      <c r="P148" s="117" t="n">
        <f aca="false">SUMIFS(الريسبي!$C$2:$C$1800,الريسبي!$A$2:$A$1800,$A148,الريسبي!$B$2:$B$1800,P$1)</f>
        <v>0</v>
      </c>
      <c r="Q148" s="117" t="n">
        <f aca="false">SUMIFS(الريسبي!$C$2:$C$1800,الريسبي!$A$2:$A$1800,$A148,الريسبي!$B$2:$B$1800,Q$1)</f>
        <v>0</v>
      </c>
      <c r="R148" s="117" t="n">
        <f aca="false">SUMIFS(الريسبي!$C$2:$C$1800,الريسبي!$A$2:$A$1800,$A148,الريسبي!$B$2:$B$1800,R$1)</f>
        <v>0</v>
      </c>
      <c r="S148" s="117" t="n">
        <f aca="false">SUMIFS(الريسبي!$C$2:$C$1800,الريسبي!$A$2:$A$1800,$A148,الريسبي!$B$2:$B$1800,S$1)</f>
        <v>0</v>
      </c>
      <c r="T148" s="117" t="n">
        <f aca="false">SUMIFS(الريسبي!$C$2:$C$1800,الريسبي!$A$2:$A$1800,$A148,الريسبي!$B$2:$B$1800,T$1)</f>
        <v>0</v>
      </c>
      <c r="U148" s="117" t="n">
        <f aca="false">SUMIFS(الريسبي!$C$2:$C$1800,الريسبي!$A$2:$A$1800,$A148,الريسبي!$B$2:$B$1800,U$1)</f>
        <v>0</v>
      </c>
      <c r="V148" s="117" t="n">
        <f aca="false">SUMIFS(الريسبي!$C$2:$C$1800,الريسبي!$A$2:$A$1800,$A148,الريسبي!$B$2:$B$1800,V$1)</f>
        <v>0</v>
      </c>
      <c r="W148" s="117" t="n">
        <f aca="false">SUMIFS(الريسبي!$C$2:$C$1800,الريسبي!$A$2:$A$1800,$A148,الريسبي!$B$2:$B$1800,W$1)</f>
        <v>0</v>
      </c>
      <c r="X148" s="117" t="n">
        <f aca="false">SUMIFS(الريسبي!$C$2:$C$1800,الريسبي!$A$2:$A$1800,$A148,الريسبي!$B$2:$B$1800,X$1)</f>
        <v>0</v>
      </c>
      <c r="Y148" s="117" t="n">
        <f aca="false">SUMIFS(الريسبي!$C$2:$C$1800,الريسبي!$A$2:$A$1800,$A148,الريسبي!$B$2:$B$1800,Y$1)</f>
        <v>0</v>
      </c>
      <c r="Z148" s="117" t="n">
        <f aca="false">SUMIFS(الريسبي!$C$2:$C$1800,الريسبي!$A$2:$A$1800,$A148,الريسبي!$B$2:$B$1800,Z$1)</f>
        <v>0</v>
      </c>
      <c r="AA148" s="117" t="n">
        <f aca="false">SUMIFS(الريسبي!$C$2:$C$1800,الريسبي!$A$2:$A$1800,$A148,الريسبي!$B$2:$B$1800,AA$1)</f>
        <v>0</v>
      </c>
      <c r="AB148" s="117" t="n">
        <f aca="false">SUMIFS(الريسبي!$C$2:$C$1800,الريسبي!$A$2:$A$1800,$A148,الريسبي!$B$2:$B$1800,AB$1)</f>
        <v>0</v>
      </c>
      <c r="AC148" s="117" t="n">
        <f aca="false">SUMIFS(الريسبي!$C$2:$C$1800,الريسبي!$A$2:$A$1800,$A148,الريسبي!$B$2:$B$1800,AC$1)</f>
        <v>0</v>
      </c>
      <c r="AD148" s="117" t="n">
        <f aca="false">SUMIFS(الريسبي!$C$2:$C$1800,الريسبي!$A$2:$A$1800,$A148,الريسبي!$B$2:$B$1800,AD$1)</f>
        <v>0</v>
      </c>
      <c r="AE148" s="117" t="n">
        <f aca="false">SUMIFS(الريسبي!$C$2:$C$1800,الريسبي!$A$2:$A$1800,$A148,الريسبي!$B$2:$B$1800,AE$1)</f>
        <v>0</v>
      </c>
      <c r="AF148" s="117" t="n">
        <f aca="false">SUMIFS(الريسبي!$C$2:$C$1800,الريسبي!$A$2:$A$1800,$A148,الريسبي!$B$2:$B$1800,AF$1)</f>
        <v>0</v>
      </c>
      <c r="AG148" s="117" t="n">
        <f aca="false">SUMIFS(الريسبي!$C$2:$C$1800,الريسبي!$A$2:$A$1800,$A148,الريسبي!$B$2:$B$1800,AG$1)</f>
        <v>0</v>
      </c>
      <c r="AH148" s="117" t="n">
        <f aca="false">SUMIFS(الريسبي!$C$2:$C$1800,الريسبي!$A$2:$A$1800,$A148,الريسبي!$B$2:$B$1800,AH$1)</f>
        <v>0</v>
      </c>
      <c r="AI148" s="117" t="n">
        <f aca="false">SUMIFS(الريسبي!$C$2:$C$1800,الريسبي!$A$2:$A$1800,$A148,الريسبي!$B$2:$B$1800,AI$1)</f>
        <v>0</v>
      </c>
      <c r="AJ148" s="117" t="n">
        <f aca="false">SUMIFS(الريسبي!$C$2:$C$1800,الريسبي!$A$2:$A$1800,$A148,الريسبي!$B$2:$B$1800,AJ$1)</f>
        <v>0</v>
      </c>
      <c r="AK148" s="117" t="n">
        <f aca="false">SUMIFS(الريسبي!$C$2:$C$1800,الريسبي!$A$2:$A$1800,$A148,الريسبي!$B$2:$B$1800,AK$1)</f>
        <v>0</v>
      </c>
      <c r="AL148" s="117" t="n">
        <f aca="false">SUMIFS(الريسبي!$C$2:$C$1800,الريسبي!$A$2:$A$1800,$A148,الريسبي!$B$2:$B$1800,AL$1)</f>
        <v>0</v>
      </c>
      <c r="AM148" s="117" t="n">
        <f aca="false">SUMIFS(الريسبي!$C$2:$C$1800,الريسبي!$A$2:$A$1800,$A148,الريسبي!$B$2:$B$1800,AM$1)+0.08333333333*SUMIFS(الريسبي!$C$2:$C$1800,الريسبي!$A$2:$A$1800,$A148,الريسبي!$B$2:$B$1800,"عجين كريب (مصنع بالمطعم)")+0.08333333333*SUMIFS(الريسبي!$C$2:$C$1800,الريسبي!$A$2:$A$1800,$A148,الريسبي!$B$2:$B$1800,"عجين كريب صيامي (بدون لبن)")</f>
        <v>0</v>
      </c>
      <c r="AN148" s="117" t="n">
        <f aca="false">SUMIFS(الريسبي!$C$2:$C$1800,الريسبي!$A$2:$A$1800,$A148,الريسبي!$B$2:$B$1800,AN$1)+0.004166666667*SUMIFS(الريسبي!$C$2:$C$1800,الريسبي!$A$2:$A$1800,$A148,الريسبي!$B$2:$B$1800,"عجين كريب (مصنع بالمطعم)")+0.004166666667*SUMIFS(الريسبي!$C$2:$C$1800,الريسبي!$A$2:$A$1800,$A148,الريسبي!$B$2:$B$1800,"عجين كريب صيامي (بدون لبن)")</f>
        <v>0</v>
      </c>
      <c r="AO148" s="117" t="n">
        <f aca="false">SUMIFS(الريسبي!$C$2:$C$1800,الريسبي!$A$2:$A$1800,$A148,الريسبي!$B$2:$B$1800,AO$1)</f>
        <v>0</v>
      </c>
      <c r="AP148" s="117" t="n">
        <f aca="false">SUMIFS(الريسبي!$C$2:$C$1800,الريسبي!$A$2:$A$1800,$A148,الريسبي!$B$2:$B$1800,AP$1)</f>
        <v>0</v>
      </c>
      <c r="AQ148" s="117" t="n">
        <f aca="false">SUMIFS(الريسبي!$C$2:$C$1800,الريسبي!$A$2:$A$1800,$A148,الريسبي!$B$2:$B$1800,AQ$1)+0.004166666667*SUMIFS(الريسبي!$C$2:$C$1800,الريسبي!$A$2:$A$1800,$A148,الريسبي!$B$2:$B$1800,"عجين كريب (مصنع بالمطعم)")+0.004166666667*SUMIFS(الريسبي!$C$2:$C$1800,الريسبي!$A$2:$A$1800,$A148,الريسبي!$B$2:$B$1800,"عجين كريب صيامي (بدون لبن)")</f>
        <v>0</v>
      </c>
      <c r="AR148" s="117" t="n">
        <f aca="false">SUMIFS(الريسبي!$C$2:$C$1800,الريسبي!$A$2:$A$1800,$A148,الريسبي!$B$2:$B$1800,AR$1)</f>
        <v>0</v>
      </c>
      <c r="AS148" s="117" t="n">
        <f aca="false">SUMIFS(الريسبي!$C$2:$C$1800,الريسبي!$A$2:$A$1800,$A148,الريسبي!$B$2:$B$1800,AS$1)</f>
        <v>0</v>
      </c>
      <c r="AT148" s="117" t="n">
        <f aca="false">SUMIFS(الريسبي!$C$2:$C$1800,الريسبي!$A$2:$A$1800,$A148,الريسبي!$B$2:$B$1800,AT$1)</f>
        <v>0</v>
      </c>
      <c r="AU148" s="117" t="n">
        <f aca="false">SUMIFS(الريسبي!$C$2:$C$1800,الريسبي!$A$2:$A$1800,$A148,الريسبي!$B$2:$B$1800,AU$1)</f>
        <v>0</v>
      </c>
      <c r="AV148" s="117" t="n">
        <f aca="false">SUMIFS(الريسبي!$C$2:$C$1800,الريسبي!$A$2:$A$1800,$A148,الريسبي!$B$2:$B$1800,AV$1)</f>
        <v>0</v>
      </c>
      <c r="AW148" s="117" t="n">
        <f aca="false">SUMIFS(الريسبي!$C$2:$C$1800,الريسبي!$A$2:$A$1800,$A148,الريسبي!$B$2:$B$1800,AW$1)</f>
        <v>0</v>
      </c>
      <c r="AX148" s="117" t="n">
        <f aca="false">SUMIFS(الريسبي!$C$2:$C$1800,الريسبي!$A$2:$A$1800,$A148,الريسبي!$B$2:$B$1800,AX$1)</f>
        <v>0</v>
      </c>
      <c r="AY148" s="117" t="n">
        <f aca="false">SUMIFS(الريسبي!$C$2:$C$1800,الريسبي!$A$2:$A$1800,$A148,الريسبي!$B$2:$B$1800,AY$1)</f>
        <v>0</v>
      </c>
      <c r="AZ148" s="117" t="n">
        <f aca="false">SUMIFS(الريسبي!$C$2:$C$1800,الريسبي!$A$2:$A$1800,$A148,الريسبي!$B$2:$B$1800,AZ$1)</f>
        <v>0</v>
      </c>
      <c r="BA148" s="117" t="n">
        <f aca="false">SUMIFS(الريسبي!$C$2:$C$1800,الريسبي!$A$2:$A$1800,$A148,الريسبي!$B$2:$B$1800,BA$1)</f>
        <v>0</v>
      </c>
      <c r="BB148" s="117" t="n">
        <f aca="false">SUMIFS(الريسبي!$C$2:$C$1800,الريسبي!$A$2:$A$1800,$A148,الريسبي!$B$2:$B$1800,BB$1)</f>
        <v>0</v>
      </c>
      <c r="BC148" s="117" t="n">
        <f aca="false">SUMIFS(الريسبي!$C$2:$C$1800,الريسبي!$A$2:$A$1800,$A148,الريسبي!$B$2:$B$1800,BC$1)</f>
        <v>0</v>
      </c>
      <c r="BD148" s="117" t="n">
        <f aca="false">SUMIFS(الريسبي!$C$2:$C$1800,الريسبي!$A$2:$A$1800,$A148,الريسبي!$B$2:$B$1800,BD$1)</f>
        <v>0</v>
      </c>
      <c r="BE148" s="117" t="n">
        <f aca="false">SUMIFS(الريسبي!$C$2:$C$1800,الريسبي!$A$2:$A$1800,$A148,الريسبي!$B$2:$B$1800,BE$1)</f>
        <v>0</v>
      </c>
      <c r="BF148" s="117" t="n">
        <f aca="false">SUMIFS(الريسبي!$C$2:$C$1800,الريسبي!$A$2:$A$1800,$A148,الريسبي!$B$2:$B$1800,BF$1)</f>
        <v>0</v>
      </c>
      <c r="BG148" s="117" t="n">
        <f aca="false">SUMIFS(الريسبي!$C$2:$C$1800,الريسبي!$A$2:$A$1800,$A148,الريسبي!$B$2:$B$1800,BG$1)</f>
        <v>0</v>
      </c>
      <c r="BH148" s="117" t="n">
        <f aca="false">SUMIFS(الريسبي!$C$2:$C$1800,الريسبي!$A$2:$A$1800,$A148,الريسبي!$B$2:$B$1800,BH$1)</f>
        <v>0</v>
      </c>
      <c r="BI148" s="117" t="n">
        <f aca="false">SUMIFS(الريسبي!$C$2:$C$1800,الريسبي!$A$2:$A$1800,$A148,الريسبي!$B$2:$B$1800,BI$1)</f>
        <v>0</v>
      </c>
      <c r="BJ148" s="117" t="n">
        <f aca="false">SUMIFS(الريسبي!$C$2:$C$1800,الريسبي!$A$2:$A$1800,$A148,الريسبي!$B$2:$B$1800,BJ$1)</f>
        <v>0</v>
      </c>
      <c r="BK148" s="117" t="n">
        <f aca="false">SUMIFS(الريسبي!$C$2:$C$1800,الريسبي!$A$2:$A$1800,$A148,الريسبي!$B$2:$B$1800,BK$1)</f>
        <v>0</v>
      </c>
      <c r="BL148" s="117" t="n">
        <f aca="false">SUMIFS(الريسبي!$C$2:$C$1800,الريسبي!$A$2:$A$1800,$A148,الريسبي!$B$2:$B$1800,BL$1)</f>
        <v>0</v>
      </c>
      <c r="BM148" s="117" t="n">
        <f aca="false">SUMIFS(الريسبي!$C$2:$C$1800,الريسبي!$A$2:$A$1800,$A148,الريسبي!$B$2:$B$1800,BM$1)</f>
        <v>0</v>
      </c>
      <c r="BN148" s="117" t="n">
        <f aca="false">SUMIFS(الريسبي!$C$2:$C$1800,الريسبي!$A$2:$A$1800,$A148,الريسبي!$B$2:$B$1800,BN$1)</f>
        <v>0</v>
      </c>
      <c r="BO148" s="117" t="n">
        <f aca="false">SUMIFS(الريسبي!$C$2:$C$1800,الريسبي!$A$2:$A$1800,$A148,الريسبي!$B$2:$B$1800,BO$1)</f>
        <v>0</v>
      </c>
      <c r="BP148" s="117" t="n">
        <f aca="false">SUMIFS(الريسبي!$C$2:$C$1800,الريسبي!$A$2:$A$1800,$A148,الريسبي!$B$2:$B$1800,BP$1)</f>
        <v>0</v>
      </c>
      <c r="BQ148" s="117" t="n">
        <f aca="false">SUMIFS(الريسبي!$C$2:$C$1800,الريسبي!$A$2:$A$1800,$A148,الريسبي!$B$2:$B$1800,BQ$1)+0.17*SUMIFS(الريسبي!$C$2:$C$1800,الريسبي!$A$2:$A$1800,$A148,الريسبي!$B$2:$B$1800,"كاسترد مصنع (خليط بودر + لبن)")+0.17*SUMIFS(الريسبي!$C$2:$C$1800,الريسبي!$A$2:$A$1800,$A148,الريسبي!$B$2:$B$1800,"كاسترد مصنع صيامي (بدون لبن)")</f>
        <v>0</v>
      </c>
      <c r="BR148" s="117" t="n">
        <f aca="false">SUMIFS(الريسبي!$C$2:$C$1800,الريسبي!$A$2:$A$1800,$A148,الريسبي!$B$2:$B$1800,BR$1)</f>
        <v>0</v>
      </c>
      <c r="BS148" s="117" t="n">
        <f aca="false">SUMIFS(الريسبي!$C$2:$C$1800,الريسبي!$A$2:$A$1800,$A148,الريسبي!$B$2:$B$1800,BS$1)</f>
        <v>0</v>
      </c>
      <c r="BT148" s="117" t="n">
        <f aca="false">SUMIFS(الريسبي!$C$2:$C$1800,الريسبي!$A$2:$A$1800,$A148,الريسبي!$B$2:$B$1800,BT$1)</f>
        <v>0</v>
      </c>
      <c r="BU148" s="117" t="n">
        <f aca="false">SUMIFS(الريسبي!$C$2:$C$1800,الريسبي!$A$2:$A$1800,$A148,الريسبي!$B$2:$B$1800,BU$1)+0.4*SUMIFS(الريسبي!$C$2:$C$1800,الريسبي!$A$2:$A$1800,$A148,الريسبي!$B$2:$B$1800,"كاسترد مصنع (خليط بودر + لبن)")+0.03333333333*SUMIFS(الريسبي!$C$2:$C$1800,الريسبي!$A$2:$A$1800,$A148,الريسبي!$B$2:$B$1800,"عجين كريب (مصنع بالمطعم)")</f>
        <v>0</v>
      </c>
      <c r="BV148" s="117" t="n">
        <f aca="false">SUMIFS(الريسبي!$C$2:$C$1800,الريسبي!$A$2:$A$1800,$A148,الريسبي!$B$2:$B$1800,BV$1)</f>
        <v>0</v>
      </c>
      <c r="BW148" s="117" t="n">
        <f aca="false">SUMIFS(الريسبي!$C$2:$C$1800,الريسبي!$A$2:$A$1800,$A148,الريسبي!$B$2:$B$1800,BW$1)</f>
        <v>0</v>
      </c>
      <c r="BX148" s="117" t="n">
        <f aca="false">SUMIFS(الريسبي!$C$2:$C$1800,الريسبي!$A$2:$A$1800,$A148,الريسبي!$B$2:$B$1800,BX$1)</f>
        <v>0</v>
      </c>
      <c r="BY148" s="117" t="n">
        <f aca="false">SUMIFS(الريسبي!$C$2:$C$1800,الريسبي!$A$2:$A$1800,$A148,الريسبي!$B$2:$B$1800,BY$1)</f>
        <v>0</v>
      </c>
      <c r="BZ148" s="117" t="n">
        <f aca="false">SUMIFS(الريسبي!$C$2:$C$1800,الريسبي!$A$2:$A$1800,$A148,الريسبي!$B$2:$B$1800,BZ$1)</f>
        <v>0</v>
      </c>
      <c r="CA148" s="117" t="n">
        <f aca="false">SUMIFS(الريسبي!$C$2:$C$1800,الريسبي!$A$2:$A$1800,$A148,الريسبي!$B$2:$B$1800,CA$1)</f>
        <v>0</v>
      </c>
      <c r="CB148" s="117" t="n">
        <f aca="false">SUMIFS(الريسبي!$C$2:$C$1800,الريسبي!$A$2:$A$1800,$A148,الريسبي!$B$2:$B$1800,CB$1)</f>
        <v>0</v>
      </c>
      <c r="CC148" s="117" t="n">
        <f aca="false">SUMIFS(الريسبي!$C$2:$C$1800,الريسبي!$A$2:$A$1800,$A148,الريسبي!$B$2:$B$1800,CC$1)</f>
        <v>0</v>
      </c>
      <c r="CD148" s="117" t="n">
        <f aca="false">SUMIFS(الريسبي!$C$2:$C$1800,الريسبي!$A$2:$A$1800,$A148,الريسبي!$B$2:$B$1800,CD$1)</f>
        <v>0</v>
      </c>
      <c r="CE148" s="117" t="n">
        <f aca="false">SUMIFS(الريسبي!$C$2:$C$1800,الريسبي!$A$2:$A$1800,$A148,الريسبي!$B$2:$B$1800,CE$1)</f>
        <v>0</v>
      </c>
      <c r="CF148" s="117" t="n">
        <f aca="false">SUMIFS(الريسبي!$C$2:$C$1800,الريسبي!$A$2:$A$1800,$A148,الريسبي!$B$2:$B$1800,CF$1)</f>
        <v>0</v>
      </c>
      <c r="CG148" s="117" t="n">
        <f aca="false">SUMIFS(الريسبي!$C$2:$C$1800,الريسبي!$A$2:$A$1800,$A148,الريسبي!$B$2:$B$1800,CG$1)</f>
        <v>0</v>
      </c>
      <c r="CH148" s="117" t="n">
        <f aca="false">SUMIFS(الريسبي!$C$2:$C$1800,الريسبي!$A$2:$A$1800,$A148,الريسبي!$B$2:$B$1800,CH$1)</f>
        <v>0</v>
      </c>
      <c r="CI148" s="117" t="n">
        <f aca="false">SUMIFS(الريسبي!$C$2:$C$1800,الريسبي!$A$2:$A$1800,$A148,الريسبي!$B$2:$B$1800,CI$1)</f>
        <v>0</v>
      </c>
      <c r="CJ148" s="117" t="n">
        <f aca="false">SUMIFS(الريسبي!$C$2:$C$1800,الريسبي!$A$2:$A$1800,$A148,الريسبي!$B$2:$B$1800,CJ$1)</f>
        <v>0</v>
      </c>
      <c r="CK148" s="117" t="n">
        <f aca="false">SUMIFS(الريسبي!$C$2:$C$1800,الريسبي!$A$2:$A$1800,$A148,الريسبي!$B$2:$B$1800,CK$1)</f>
        <v>0</v>
      </c>
      <c r="CL148" s="117" t="n">
        <f aca="false">SUMIFS(الريسبي!$C$2:$C$1800,الريسبي!$A$2:$A$1800,$A148,الريسبي!$B$2:$B$1800,CL$1)</f>
        <v>0</v>
      </c>
    </row>
    <row r="149" customFormat="false" ht="15" hidden="false" customHeight="false" outlineLevel="0" collapsed="false">
      <c r="A149" s="116" t="str">
        <f aca="false">المنيو!B149</f>
        <v>اضافة بسطرمة (فطير كبير)</v>
      </c>
      <c r="B149" s="117" t="n">
        <f aca="false">SUMIFS(الريسبي!$C$2:$C$1800,الريسبي!$A$2:$A$1800,$A149,الريسبي!$B$2:$B$1800,B$1)</f>
        <v>0</v>
      </c>
      <c r="C149" s="117" t="n">
        <f aca="false">SUMIFS(الريسبي!$C$2:$C$1800,الريسبي!$A$2:$A$1800,$A149,الريسبي!$B$2:$B$1800,C$1)</f>
        <v>0</v>
      </c>
      <c r="D149" s="117" t="n">
        <f aca="false">SUMIFS(الريسبي!$C$2:$C$1800,الريسبي!$A$2:$A$1800,$A149,الريسبي!$B$2:$B$1800,D$1)</f>
        <v>0</v>
      </c>
      <c r="E149" s="117" t="n">
        <f aca="false">SUMIFS(الريسبي!$C$2:$C$1800,الريسبي!$A$2:$A$1800,$A149,الريسبي!$B$2:$B$1800,E$1)</f>
        <v>0</v>
      </c>
      <c r="F149" s="117" t="n">
        <f aca="false">SUMIFS(الريسبي!$C$2:$C$1800,الريسبي!$A$2:$A$1800,$A149,الريسبي!$B$2:$B$1800,F$1)</f>
        <v>0</v>
      </c>
      <c r="G149" s="117" t="n">
        <f aca="false">SUMIFS(الريسبي!$C$2:$C$1800,الريسبي!$A$2:$A$1800,$A149,الريسبي!$B$2:$B$1800,G$1)</f>
        <v>0</v>
      </c>
      <c r="H149" s="117" t="n">
        <f aca="false">SUMIFS(الريسبي!$C$2:$C$1800,الريسبي!$A$2:$A$1800,$A149,الريسبي!$B$2:$B$1800,H$1)</f>
        <v>1</v>
      </c>
      <c r="I149" s="117" t="n">
        <f aca="false">SUMIFS(الريسبي!$C$2:$C$1800,الريسبي!$A$2:$A$1800,$A149,الريسبي!$B$2:$B$1800,I$1)</f>
        <v>0</v>
      </c>
      <c r="J149" s="117" t="n">
        <f aca="false">SUMIFS(الريسبي!$C$2:$C$1800,الريسبي!$A$2:$A$1800,$A149,الريسبي!$B$2:$B$1800,J$1)</f>
        <v>0</v>
      </c>
      <c r="K149" s="117" t="n">
        <f aca="false">SUMIFS(الريسبي!$C$2:$C$1800,الريسبي!$A$2:$A$1800,$A149,الريسبي!$B$2:$B$1800,K$1)</f>
        <v>0</v>
      </c>
      <c r="L149" s="117" t="n">
        <f aca="false">SUMIFS(الريسبي!$C$2:$C$1800,الريسبي!$A$2:$A$1800,$A149,الريسبي!$B$2:$B$1800,L$1)</f>
        <v>0</v>
      </c>
      <c r="M149" s="117" t="n">
        <f aca="false">SUMIFS(الريسبي!$C$2:$C$1800,الريسبي!$A$2:$A$1800,$A149,الريسبي!$B$2:$B$1800,M$1)</f>
        <v>0</v>
      </c>
      <c r="N149" s="117" t="n">
        <f aca="false">SUMIFS(الريسبي!$C$2:$C$1800,الريسبي!$A$2:$A$1800,$A149,الريسبي!$B$2:$B$1800,N$1)</f>
        <v>0</v>
      </c>
      <c r="O149" s="117" t="n">
        <f aca="false">SUMIFS(الريسبي!$C$2:$C$1800,الريسبي!$A$2:$A$1800,$A149,الريسبي!$B$2:$B$1800,O$1)</f>
        <v>0</v>
      </c>
      <c r="P149" s="117" t="n">
        <f aca="false">SUMIFS(الريسبي!$C$2:$C$1800,الريسبي!$A$2:$A$1800,$A149,الريسبي!$B$2:$B$1800,P$1)</f>
        <v>0</v>
      </c>
      <c r="Q149" s="117" t="n">
        <f aca="false">SUMIFS(الريسبي!$C$2:$C$1800,الريسبي!$A$2:$A$1800,$A149,الريسبي!$B$2:$B$1800,Q$1)</f>
        <v>0</v>
      </c>
      <c r="R149" s="117" t="n">
        <f aca="false">SUMIFS(الريسبي!$C$2:$C$1800,الريسبي!$A$2:$A$1800,$A149,الريسبي!$B$2:$B$1800,R$1)</f>
        <v>0</v>
      </c>
      <c r="S149" s="117" t="n">
        <f aca="false">SUMIFS(الريسبي!$C$2:$C$1800,الريسبي!$A$2:$A$1800,$A149,الريسبي!$B$2:$B$1800,S$1)</f>
        <v>0</v>
      </c>
      <c r="T149" s="117" t="n">
        <f aca="false">SUMIFS(الريسبي!$C$2:$C$1800,الريسبي!$A$2:$A$1800,$A149,الريسبي!$B$2:$B$1800,T$1)</f>
        <v>0</v>
      </c>
      <c r="U149" s="117" t="n">
        <f aca="false">SUMIFS(الريسبي!$C$2:$C$1800,الريسبي!$A$2:$A$1800,$A149,الريسبي!$B$2:$B$1800,U$1)</f>
        <v>0</v>
      </c>
      <c r="V149" s="117" t="n">
        <f aca="false">SUMIFS(الريسبي!$C$2:$C$1800,الريسبي!$A$2:$A$1800,$A149,الريسبي!$B$2:$B$1800,V$1)</f>
        <v>0</v>
      </c>
      <c r="W149" s="117" t="n">
        <f aca="false">SUMIFS(الريسبي!$C$2:$C$1800,الريسبي!$A$2:$A$1800,$A149,الريسبي!$B$2:$B$1800,W$1)</f>
        <v>0</v>
      </c>
      <c r="X149" s="117" t="n">
        <f aca="false">SUMIFS(الريسبي!$C$2:$C$1800,الريسبي!$A$2:$A$1800,$A149,الريسبي!$B$2:$B$1800,X$1)</f>
        <v>0</v>
      </c>
      <c r="Y149" s="117" t="n">
        <f aca="false">SUMIFS(الريسبي!$C$2:$C$1800,الريسبي!$A$2:$A$1800,$A149,الريسبي!$B$2:$B$1800,Y$1)</f>
        <v>0</v>
      </c>
      <c r="Z149" s="117" t="n">
        <f aca="false">SUMIFS(الريسبي!$C$2:$C$1800,الريسبي!$A$2:$A$1800,$A149,الريسبي!$B$2:$B$1800,Z$1)</f>
        <v>0</v>
      </c>
      <c r="AA149" s="117" t="n">
        <f aca="false">SUMIFS(الريسبي!$C$2:$C$1800,الريسبي!$A$2:$A$1800,$A149,الريسبي!$B$2:$B$1800,AA$1)</f>
        <v>0</v>
      </c>
      <c r="AB149" s="117" t="n">
        <f aca="false">SUMIFS(الريسبي!$C$2:$C$1800,الريسبي!$A$2:$A$1800,$A149,الريسبي!$B$2:$B$1800,AB$1)</f>
        <v>0</v>
      </c>
      <c r="AC149" s="117" t="n">
        <f aca="false">SUMIFS(الريسبي!$C$2:$C$1800,الريسبي!$A$2:$A$1800,$A149,الريسبي!$B$2:$B$1800,AC$1)</f>
        <v>0</v>
      </c>
      <c r="AD149" s="117" t="n">
        <f aca="false">SUMIFS(الريسبي!$C$2:$C$1800,الريسبي!$A$2:$A$1800,$A149,الريسبي!$B$2:$B$1800,AD$1)</f>
        <v>0</v>
      </c>
      <c r="AE149" s="117" t="n">
        <f aca="false">SUMIFS(الريسبي!$C$2:$C$1800,الريسبي!$A$2:$A$1800,$A149,الريسبي!$B$2:$B$1800,AE$1)</f>
        <v>0</v>
      </c>
      <c r="AF149" s="117" t="n">
        <f aca="false">SUMIFS(الريسبي!$C$2:$C$1800,الريسبي!$A$2:$A$1800,$A149,الريسبي!$B$2:$B$1800,AF$1)</f>
        <v>0</v>
      </c>
      <c r="AG149" s="117" t="n">
        <f aca="false">SUMIFS(الريسبي!$C$2:$C$1800,الريسبي!$A$2:$A$1800,$A149,الريسبي!$B$2:$B$1800,AG$1)</f>
        <v>0</v>
      </c>
      <c r="AH149" s="117" t="n">
        <f aca="false">SUMIFS(الريسبي!$C$2:$C$1800,الريسبي!$A$2:$A$1800,$A149,الريسبي!$B$2:$B$1800,AH$1)</f>
        <v>0</v>
      </c>
      <c r="AI149" s="117" t="n">
        <f aca="false">SUMIFS(الريسبي!$C$2:$C$1800,الريسبي!$A$2:$A$1800,$A149,الريسبي!$B$2:$B$1800,AI$1)</f>
        <v>0</v>
      </c>
      <c r="AJ149" s="117" t="n">
        <f aca="false">SUMIFS(الريسبي!$C$2:$C$1800,الريسبي!$A$2:$A$1800,$A149,الريسبي!$B$2:$B$1800,AJ$1)</f>
        <v>0</v>
      </c>
      <c r="AK149" s="117" t="n">
        <f aca="false">SUMIFS(الريسبي!$C$2:$C$1800,الريسبي!$A$2:$A$1800,$A149,الريسبي!$B$2:$B$1800,AK$1)</f>
        <v>0</v>
      </c>
      <c r="AL149" s="117" t="n">
        <f aca="false">SUMIFS(الريسبي!$C$2:$C$1800,الريسبي!$A$2:$A$1800,$A149,الريسبي!$B$2:$B$1800,AL$1)</f>
        <v>0</v>
      </c>
      <c r="AM149" s="117" t="n">
        <f aca="false">SUMIFS(الريسبي!$C$2:$C$1800,الريسبي!$A$2:$A$1800,$A149,الريسبي!$B$2:$B$1800,AM$1)+0.08333333333*SUMIFS(الريسبي!$C$2:$C$1800,الريسبي!$A$2:$A$1800,$A149,الريسبي!$B$2:$B$1800,"عجين كريب (مصنع بالمطعم)")+0.08333333333*SUMIFS(الريسبي!$C$2:$C$1800,الريسبي!$A$2:$A$1800,$A149,الريسبي!$B$2:$B$1800,"عجين كريب صيامي (بدون لبن)")</f>
        <v>0</v>
      </c>
      <c r="AN149" s="117" t="n">
        <f aca="false">SUMIFS(الريسبي!$C$2:$C$1800,الريسبي!$A$2:$A$1800,$A149,الريسبي!$B$2:$B$1800,AN$1)+0.004166666667*SUMIFS(الريسبي!$C$2:$C$1800,الريسبي!$A$2:$A$1800,$A149,الريسبي!$B$2:$B$1800,"عجين كريب (مصنع بالمطعم)")+0.004166666667*SUMIFS(الريسبي!$C$2:$C$1800,الريسبي!$A$2:$A$1800,$A149,الريسبي!$B$2:$B$1800,"عجين كريب صيامي (بدون لبن)")</f>
        <v>0</v>
      </c>
      <c r="AO149" s="117" t="n">
        <f aca="false">SUMIFS(الريسبي!$C$2:$C$1800,الريسبي!$A$2:$A$1800,$A149,الريسبي!$B$2:$B$1800,AO$1)</f>
        <v>0</v>
      </c>
      <c r="AP149" s="117" t="n">
        <f aca="false">SUMIFS(الريسبي!$C$2:$C$1800,الريسبي!$A$2:$A$1800,$A149,الريسبي!$B$2:$B$1800,AP$1)</f>
        <v>0</v>
      </c>
      <c r="AQ149" s="117" t="n">
        <f aca="false">SUMIFS(الريسبي!$C$2:$C$1800,الريسبي!$A$2:$A$1800,$A149,الريسبي!$B$2:$B$1800,AQ$1)+0.004166666667*SUMIFS(الريسبي!$C$2:$C$1800,الريسبي!$A$2:$A$1800,$A149,الريسبي!$B$2:$B$1800,"عجين كريب (مصنع بالمطعم)")+0.004166666667*SUMIFS(الريسبي!$C$2:$C$1800,الريسبي!$A$2:$A$1800,$A149,الريسبي!$B$2:$B$1800,"عجين كريب صيامي (بدون لبن)")</f>
        <v>0</v>
      </c>
      <c r="AR149" s="117" t="n">
        <f aca="false">SUMIFS(الريسبي!$C$2:$C$1800,الريسبي!$A$2:$A$1800,$A149,الريسبي!$B$2:$B$1800,AR$1)</f>
        <v>0</v>
      </c>
      <c r="AS149" s="117" t="n">
        <f aca="false">SUMIFS(الريسبي!$C$2:$C$1800,الريسبي!$A$2:$A$1800,$A149,الريسبي!$B$2:$B$1800,AS$1)</f>
        <v>0</v>
      </c>
      <c r="AT149" s="117" t="n">
        <f aca="false">SUMIFS(الريسبي!$C$2:$C$1800,الريسبي!$A$2:$A$1800,$A149,الريسبي!$B$2:$B$1800,AT$1)</f>
        <v>0</v>
      </c>
      <c r="AU149" s="117" t="n">
        <f aca="false">SUMIFS(الريسبي!$C$2:$C$1800,الريسبي!$A$2:$A$1800,$A149,الريسبي!$B$2:$B$1800,AU$1)</f>
        <v>0</v>
      </c>
      <c r="AV149" s="117" t="n">
        <f aca="false">SUMIFS(الريسبي!$C$2:$C$1800,الريسبي!$A$2:$A$1800,$A149,الريسبي!$B$2:$B$1800,AV$1)</f>
        <v>0</v>
      </c>
      <c r="AW149" s="117" t="n">
        <f aca="false">SUMIFS(الريسبي!$C$2:$C$1800,الريسبي!$A$2:$A$1800,$A149,الريسبي!$B$2:$B$1800,AW$1)</f>
        <v>0</v>
      </c>
      <c r="AX149" s="117" t="n">
        <f aca="false">SUMIFS(الريسبي!$C$2:$C$1800,الريسبي!$A$2:$A$1800,$A149,الريسبي!$B$2:$B$1800,AX$1)</f>
        <v>0</v>
      </c>
      <c r="AY149" s="117" t="n">
        <f aca="false">SUMIFS(الريسبي!$C$2:$C$1800,الريسبي!$A$2:$A$1800,$A149,الريسبي!$B$2:$B$1800,AY$1)</f>
        <v>0</v>
      </c>
      <c r="AZ149" s="117" t="n">
        <f aca="false">SUMIFS(الريسبي!$C$2:$C$1800,الريسبي!$A$2:$A$1800,$A149,الريسبي!$B$2:$B$1800,AZ$1)</f>
        <v>0</v>
      </c>
      <c r="BA149" s="117" t="n">
        <f aca="false">SUMIFS(الريسبي!$C$2:$C$1800,الريسبي!$A$2:$A$1800,$A149,الريسبي!$B$2:$B$1800,BA$1)</f>
        <v>0</v>
      </c>
      <c r="BB149" s="117" t="n">
        <f aca="false">SUMIFS(الريسبي!$C$2:$C$1800,الريسبي!$A$2:$A$1800,$A149,الريسبي!$B$2:$B$1800,BB$1)</f>
        <v>0</v>
      </c>
      <c r="BC149" s="117" t="n">
        <f aca="false">SUMIFS(الريسبي!$C$2:$C$1800,الريسبي!$A$2:$A$1800,$A149,الريسبي!$B$2:$B$1800,BC$1)</f>
        <v>0</v>
      </c>
      <c r="BD149" s="117" t="n">
        <f aca="false">SUMIFS(الريسبي!$C$2:$C$1800,الريسبي!$A$2:$A$1800,$A149,الريسبي!$B$2:$B$1800,BD$1)</f>
        <v>0</v>
      </c>
      <c r="BE149" s="117" t="n">
        <f aca="false">SUMIFS(الريسبي!$C$2:$C$1800,الريسبي!$A$2:$A$1800,$A149,الريسبي!$B$2:$B$1800,BE$1)</f>
        <v>0</v>
      </c>
      <c r="BF149" s="117" t="n">
        <f aca="false">SUMIFS(الريسبي!$C$2:$C$1800,الريسبي!$A$2:$A$1800,$A149,الريسبي!$B$2:$B$1800,BF$1)</f>
        <v>0</v>
      </c>
      <c r="BG149" s="117" t="n">
        <f aca="false">SUMIFS(الريسبي!$C$2:$C$1800,الريسبي!$A$2:$A$1800,$A149,الريسبي!$B$2:$B$1800,BG$1)</f>
        <v>0</v>
      </c>
      <c r="BH149" s="117" t="n">
        <f aca="false">SUMIFS(الريسبي!$C$2:$C$1800,الريسبي!$A$2:$A$1800,$A149,الريسبي!$B$2:$B$1800,BH$1)</f>
        <v>0</v>
      </c>
      <c r="BI149" s="117" t="n">
        <f aca="false">SUMIFS(الريسبي!$C$2:$C$1800,الريسبي!$A$2:$A$1800,$A149,الريسبي!$B$2:$B$1800,BI$1)</f>
        <v>0</v>
      </c>
      <c r="BJ149" s="117" t="n">
        <f aca="false">SUMIFS(الريسبي!$C$2:$C$1800,الريسبي!$A$2:$A$1800,$A149,الريسبي!$B$2:$B$1800,BJ$1)</f>
        <v>0</v>
      </c>
      <c r="BK149" s="117" t="n">
        <f aca="false">SUMIFS(الريسبي!$C$2:$C$1800,الريسبي!$A$2:$A$1800,$A149,الريسبي!$B$2:$B$1800,BK$1)</f>
        <v>0</v>
      </c>
      <c r="BL149" s="117" t="n">
        <f aca="false">SUMIFS(الريسبي!$C$2:$C$1800,الريسبي!$A$2:$A$1800,$A149,الريسبي!$B$2:$B$1800,BL$1)</f>
        <v>0</v>
      </c>
      <c r="BM149" s="117" t="n">
        <f aca="false">SUMIFS(الريسبي!$C$2:$C$1800,الريسبي!$A$2:$A$1800,$A149,الريسبي!$B$2:$B$1800,BM$1)</f>
        <v>0</v>
      </c>
      <c r="BN149" s="117" t="n">
        <f aca="false">SUMIFS(الريسبي!$C$2:$C$1800,الريسبي!$A$2:$A$1800,$A149,الريسبي!$B$2:$B$1800,BN$1)</f>
        <v>0</v>
      </c>
      <c r="BO149" s="117" t="n">
        <f aca="false">SUMIFS(الريسبي!$C$2:$C$1800,الريسبي!$A$2:$A$1800,$A149,الريسبي!$B$2:$B$1800,BO$1)</f>
        <v>0</v>
      </c>
      <c r="BP149" s="117" t="n">
        <f aca="false">SUMIFS(الريسبي!$C$2:$C$1800,الريسبي!$A$2:$A$1800,$A149,الريسبي!$B$2:$B$1800,BP$1)</f>
        <v>0</v>
      </c>
      <c r="BQ149" s="117" t="n">
        <f aca="false">SUMIFS(الريسبي!$C$2:$C$1800,الريسبي!$A$2:$A$1800,$A149,الريسبي!$B$2:$B$1800,BQ$1)+0.17*SUMIFS(الريسبي!$C$2:$C$1800,الريسبي!$A$2:$A$1800,$A149,الريسبي!$B$2:$B$1800,"كاسترد مصنع (خليط بودر + لبن)")+0.17*SUMIFS(الريسبي!$C$2:$C$1800,الريسبي!$A$2:$A$1800,$A149,الريسبي!$B$2:$B$1800,"كاسترد مصنع صيامي (بدون لبن)")</f>
        <v>0</v>
      </c>
      <c r="BR149" s="117" t="n">
        <f aca="false">SUMIFS(الريسبي!$C$2:$C$1800,الريسبي!$A$2:$A$1800,$A149,الريسبي!$B$2:$B$1800,BR$1)</f>
        <v>0</v>
      </c>
      <c r="BS149" s="117" t="n">
        <f aca="false">SUMIFS(الريسبي!$C$2:$C$1800,الريسبي!$A$2:$A$1800,$A149,الريسبي!$B$2:$B$1800,BS$1)</f>
        <v>0</v>
      </c>
      <c r="BT149" s="117" t="n">
        <f aca="false">SUMIFS(الريسبي!$C$2:$C$1800,الريسبي!$A$2:$A$1800,$A149,الريسبي!$B$2:$B$1800,BT$1)</f>
        <v>0</v>
      </c>
      <c r="BU149" s="117" t="n">
        <f aca="false">SUMIFS(الريسبي!$C$2:$C$1800,الريسبي!$A$2:$A$1800,$A149,الريسبي!$B$2:$B$1800,BU$1)+0.4*SUMIFS(الريسبي!$C$2:$C$1800,الريسبي!$A$2:$A$1800,$A149,الريسبي!$B$2:$B$1800,"كاسترد مصنع (خليط بودر + لبن)")+0.03333333333*SUMIFS(الريسبي!$C$2:$C$1800,الريسبي!$A$2:$A$1800,$A149,الريسبي!$B$2:$B$1800,"عجين كريب (مصنع بالمطعم)")</f>
        <v>0</v>
      </c>
      <c r="BV149" s="117" t="n">
        <f aca="false">SUMIFS(الريسبي!$C$2:$C$1800,الريسبي!$A$2:$A$1800,$A149,الريسبي!$B$2:$B$1800,BV$1)</f>
        <v>0</v>
      </c>
      <c r="BW149" s="117" t="n">
        <f aca="false">SUMIFS(الريسبي!$C$2:$C$1800,الريسبي!$A$2:$A$1800,$A149,الريسبي!$B$2:$B$1800,BW$1)</f>
        <v>0</v>
      </c>
      <c r="BX149" s="117" t="n">
        <f aca="false">SUMIFS(الريسبي!$C$2:$C$1800,الريسبي!$A$2:$A$1800,$A149,الريسبي!$B$2:$B$1800,BX$1)</f>
        <v>0</v>
      </c>
      <c r="BY149" s="117" t="n">
        <f aca="false">SUMIFS(الريسبي!$C$2:$C$1800,الريسبي!$A$2:$A$1800,$A149,الريسبي!$B$2:$B$1800,BY$1)</f>
        <v>0</v>
      </c>
      <c r="BZ149" s="117" t="n">
        <f aca="false">SUMIFS(الريسبي!$C$2:$C$1800,الريسبي!$A$2:$A$1800,$A149,الريسبي!$B$2:$B$1800,BZ$1)</f>
        <v>0</v>
      </c>
      <c r="CA149" s="117" t="n">
        <f aca="false">SUMIFS(الريسبي!$C$2:$C$1800,الريسبي!$A$2:$A$1800,$A149,الريسبي!$B$2:$B$1800,CA$1)</f>
        <v>0</v>
      </c>
      <c r="CB149" s="117" t="n">
        <f aca="false">SUMIFS(الريسبي!$C$2:$C$1800,الريسبي!$A$2:$A$1800,$A149,الريسبي!$B$2:$B$1800,CB$1)</f>
        <v>0</v>
      </c>
      <c r="CC149" s="117" t="n">
        <f aca="false">SUMIFS(الريسبي!$C$2:$C$1800,الريسبي!$A$2:$A$1800,$A149,الريسبي!$B$2:$B$1800,CC$1)</f>
        <v>0</v>
      </c>
      <c r="CD149" s="117" t="n">
        <f aca="false">SUMIFS(الريسبي!$C$2:$C$1800,الريسبي!$A$2:$A$1800,$A149,الريسبي!$B$2:$B$1800,CD$1)</f>
        <v>0</v>
      </c>
      <c r="CE149" s="117" t="n">
        <f aca="false">SUMIFS(الريسبي!$C$2:$C$1800,الريسبي!$A$2:$A$1800,$A149,الريسبي!$B$2:$B$1800,CE$1)</f>
        <v>0</v>
      </c>
      <c r="CF149" s="117" t="n">
        <f aca="false">SUMIFS(الريسبي!$C$2:$C$1800,الريسبي!$A$2:$A$1800,$A149,الريسبي!$B$2:$B$1800,CF$1)</f>
        <v>0</v>
      </c>
      <c r="CG149" s="117" t="n">
        <f aca="false">SUMIFS(الريسبي!$C$2:$C$1800,الريسبي!$A$2:$A$1800,$A149,الريسبي!$B$2:$B$1800,CG$1)</f>
        <v>0</v>
      </c>
      <c r="CH149" s="117" t="n">
        <f aca="false">SUMIFS(الريسبي!$C$2:$C$1800,الريسبي!$A$2:$A$1800,$A149,الريسبي!$B$2:$B$1800,CH$1)</f>
        <v>0</v>
      </c>
      <c r="CI149" s="117" t="n">
        <f aca="false">SUMIFS(الريسبي!$C$2:$C$1800,الريسبي!$A$2:$A$1800,$A149,الريسبي!$B$2:$B$1800,CI$1)</f>
        <v>0</v>
      </c>
      <c r="CJ149" s="117" t="n">
        <f aca="false">SUMIFS(الريسبي!$C$2:$C$1800,الريسبي!$A$2:$A$1800,$A149,الريسبي!$B$2:$B$1800,CJ$1)</f>
        <v>0</v>
      </c>
      <c r="CK149" s="117" t="n">
        <f aca="false">SUMIFS(الريسبي!$C$2:$C$1800,الريسبي!$A$2:$A$1800,$A149,الريسبي!$B$2:$B$1800,CK$1)</f>
        <v>0</v>
      </c>
      <c r="CL149" s="117" t="n">
        <f aca="false">SUMIFS(الريسبي!$C$2:$C$1800,الريسبي!$A$2:$A$1800,$A149,الريسبي!$B$2:$B$1800,CL$1)</f>
        <v>0</v>
      </c>
    </row>
    <row r="150" customFormat="false" ht="15" hidden="false" customHeight="false" outlineLevel="0" collapsed="false">
      <c r="A150" s="116" t="str">
        <f aca="false">المنيو!B150</f>
        <v>اضافة سلامي (بيتزا وسط)</v>
      </c>
      <c r="B150" s="117" t="n">
        <f aca="false">SUMIFS(الريسبي!$C$2:$C$1800,الريسبي!$A$2:$A$1800,$A150,الريسبي!$B$2:$B$1800,B$1)</f>
        <v>0</v>
      </c>
      <c r="C150" s="117" t="n">
        <f aca="false">SUMIFS(الريسبي!$C$2:$C$1800,الريسبي!$A$2:$A$1800,$A150,الريسبي!$B$2:$B$1800,C$1)</f>
        <v>0</v>
      </c>
      <c r="D150" s="117" t="n">
        <f aca="false">SUMIFS(الريسبي!$C$2:$C$1800,الريسبي!$A$2:$A$1800,$A150,الريسبي!$B$2:$B$1800,D$1)</f>
        <v>0</v>
      </c>
      <c r="E150" s="117" t="n">
        <f aca="false">SUMIFS(الريسبي!$C$2:$C$1800,الريسبي!$A$2:$A$1800,$A150,الريسبي!$B$2:$B$1800,E$1)</f>
        <v>0</v>
      </c>
      <c r="F150" s="117" t="n">
        <f aca="false">SUMIFS(الريسبي!$C$2:$C$1800,الريسبي!$A$2:$A$1800,$A150,الريسبي!$B$2:$B$1800,F$1)</f>
        <v>0</v>
      </c>
      <c r="G150" s="117" t="n">
        <f aca="false">SUMIFS(الريسبي!$C$2:$C$1800,الريسبي!$A$2:$A$1800,$A150,الريسبي!$B$2:$B$1800,G$1)</f>
        <v>0</v>
      </c>
      <c r="H150" s="117" t="n">
        <f aca="false">SUMIFS(الريسبي!$C$2:$C$1800,الريسبي!$A$2:$A$1800,$A150,الريسبي!$B$2:$B$1800,H$1)</f>
        <v>0</v>
      </c>
      <c r="I150" s="117" t="n">
        <f aca="false">SUMIFS(الريسبي!$C$2:$C$1800,الريسبي!$A$2:$A$1800,$A150,الريسبي!$B$2:$B$1800,I$1)</f>
        <v>0</v>
      </c>
      <c r="J150" s="117" t="n">
        <f aca="false">SUMIFS(الريسبي!$C$2:$C$1800,الريسبي!$A$2:$A$1800,$A150,الريسبي!$B$2:$B$1800,J$1)</f>
        <v>0</v>
      </c>
      <c r="K150" s="117" t="n">
        <f aca="false">SUMIFS(الريسبي!$C$2:$C$1800,الريسبي!$A$2:$A$1800,$A150,الريسبي!$B$2:$B$1800,K$1)</f>
        <v>0</v>
      </c>
      <c r="L150" s="117" t="n">
        <f aca="false">SUMIFS(الريسبي!$C$2:$C$1800,الريسبي!$A$2:$A$1800,$A150,الريسبي!$B$2:$B$1800,L$1)</f>
        <v>0</v>
      </c>
      <c r="M150" s="117" t="n">
        <f aca="false">SUMIFS(الريسبي!$C$2:$C$1800,الريسبي!$A$2:$A$1800,$A150,الريسبي!$B$2:$B$1800,M$1)</f>
        <v>0</v>
      </c>
      <c r="N150" s="117" t="n">
        <f aca="false">SUMIFS(الريسبي!$C$2:$C$1800,الريسبي!$A$2:$A$1800,$A150,الريسبي!$B$2:$B$1800,N$1)</f>
        <v>1</v>
      </c>
      <c r="O150" s="117" t="n">
        <f aca="false">SUMIFS(الريسبي!$C$2:$C$1800,الريسبي!$A$2:$A$1800,$A150,الريسبي!$B$2:$B$1800,O$1)</f>
        <v>0</v>
      </c>
      <c r="P150" s="117" t="n">
        <f aca="false">SUMIFS(الريسبي!$C$2:$C$1800,الريسبي!$A$2:$A$1800,$A150,الريسبي!$B$2:$B$1800,P$1)</f>
        <v>0</v>
      </c>
      <c r="Q150" s="117" t="n">
        <f aca="false">SUMIFS(الريسبي!$C$2:$C$1800,الريسبي!$A$2:$A$1800,$A150,الريسبي!$B$2:$B$1800,Q$1)</f>
        <v>0</v>
      </c>
      <c r="R150" s="117" t="n">
        <f aca="false">SUMIFS(الريسبي!$C$2:$C$1800,الريسبي!$A$2:$A$1800,$A150,الريسبي!$B$2:$B$1800,R$1)</f>
        <v>0</v>
      </c>
      <c r="S150" s="117" t="n">
        <f aca="false">SUMIFS(الريسبي!$C$2:$C$1800,الريسبي!$A$2:$A$1800,$A150,الريسبي!$B$2:$B$1800,S$1)</f>
        <v>0</v>
      </c>
      <c r="T150" s="117" t="n">
        <f aca="false">SUMIFS(الريسبي!$C$2:$C$1800,الريسبي!$A$2:$A$1800,$A150,الريسبي!$B$2:$B$1800,T$1)</f>
        <v>0</v>
      </c>
      <c r="U150" s="117" t="n">
        <f aca="false">SUMIFS(الريسبي!$C$2:$C$1800,الريسبي!$A$2:$A$1800,$A150,الريسبي!$B$2:$B$1800,U$1)</f>
        <v>0</v>
      </c>
      <c r="V150" s="117" t="n">
        <f aca="false">SUMIFS(الريسبي!$C$2:$C$1800,الريسبي!$A$2:$A$1800,$A150,الريسبي!$B$2:$B$1800,V$1)</f>
        <v>0</v>
      </c>
      <c r="W150" s="117" t="n">
        <f aca="false">SUMIFS(الريسبي!$C$2:$C$1800,الريسبي!$A$2:$A$1800,$A150,الريسبي!$B$2:$B$1800,W$1)</f>
        <v>0</v>
      </c>
      <c r="X150" s="117" t="n">
        <f aca="false">SUMIFS(الريسبي!$C$2:$C$1800,الريسبي!$A$2:$A$1800,$A150,الريسبي!$B$2:$B$1800,X$1)</f>
        <v>0</v>
      </c>
      <c r="Y150" s="117" t="n">
        <f aca="false">SUMIFS(الريسبي!$C$2:$C$1800,الريسبي!$A$2:$A$1800,$A150,الريسبي!$B$2:$B$1800,Y$1)</f>
        <v>0</v>
      </c>
      <c r="Z150" s="117" t="n">
        <f aca="false">SUMIFS(الريسبي!$C$2:$C$1800,الريسبي!$A$2:$A$1800,$A150,الريسبي!$B$2:$B$1800,Z$1)</f>
        <v>0</v>
      </c>
      <c r="AA150" s="117" t="n">
        <f aca="false">SUMIFS(الريسبي!$C$2:$C$1800,الريسبي!$A$2:$A$1800,$A150,الريسبي!$B$2:$B$1800,AA$1)</f>
        <v>0</v>
      </c>
      <c r="AB150" s="117" t="n">
        <f aca="false">SUMIFS(الريسبي!$C$2:$C$1800,الريسبي!$A$2:$A$1800,$A150,الريسبي!$B$2:$B$1800,AB$1)</f>
        <v>0</v>
      </c>
      <c r="AC150" s="117" t="n">
        <f aca="false">SUMIFS(الريسبي!$C$2:$C$1800,الريسبي!$A$2:$A$1800,$A150,الريسبي!$B$2:$B$1800,AC$1)</f>
        <v>0</v>
      </c>
      <c r="AD150" s="117" t="n">
        <f aca="false">SUMIFS(الريسبي!$C$2:$C$1800,الريسبي!$A$2:$A$1800,$A150,الريسبي!$B$2:$B$1800,AD$1)</f>
        <v>0</v>
      </c>
      <c r="AE150" s="117" t="n">
        <f aca="false">SUMIFS(الريسبي!$C$2:$C$1800,الريسبي!$A$2:$A$1800,$A150,الريسبي!$B$2:$B$1800,AE$1)</f>
        <v>0</v>
      </c>
      <c r="AF150" s="117" t="n">
        <f aca="false">SUMIFS(الريسبي!$C$2:$C$1800,الريسبي!$A$2:$A$1800,$A150,الريسبي!$B$2:$B$1800,AF$1)</f>
        <v>0</v>
      </c>
      <c r="AG150" s="117" t="n">
        <f aca="false">SUMIFS(الريسبي!$C$2:$C$1800,الريسبي!$A$2:$A$1800,$A150,الريسبي!$B$2:$B$1800,AG$1)</f>
        <v>0</v>
      </c>
      <c r="AH150" s="117" t="n">
        <f aca="false">SUMIFS(الريسبي!$C$2:$C$1800,الريسبي!$A$2:$A$1800,$A150,الريسبي!$B$2:$B$1800,AH$1)</f>
        <v>0</v>
      </c>
      <c r="AI150" s="117" t="n">
        <f aca="false">SUMIFS(الريسبي!$C$2:$C$1800,الريسبي!$A$2:$A$1800,$A150,الريسبي!$B$2:$B$1800,AI$1)</f>
        <v>0</v>
      </c>
      <c r="AJ150" s="117" t="n">
        <f aca="false">SUMIFS(الريسبي!$C$2:$C$1800,الريسبي!$A$2:$A$1800,$A150,الريسبي!$B$2:$B$1800,AJ$1)</f>
        <v>0</v>
      </c>
      <c r="AK150" s="117" t="n">
        <f aca="false">SUMIFS(الريسبي!$C$2:$C$1800,الريسبي!$A$2:$A$1800,$A150,الريسبي!$B$2:$B$1800,AK$1)</f>
        <v>0</v>
      </c>
      <c r="AL150" s="117" t="n">
        <f aca="false">SUMIFS(الريسبي!$C$2:$C$1800,الريسبي!$A$2:$A$1800,$A150,الريسبي!$B$2:$B$1800,AL$1)</f>
        <v>0</v>
      </c>
      <c r="AM150" s="117" t="n">
        <f aca="false">SUMIFS(الريسبي!$C$2:$C$1800,الريسبي!$A$2:$A$1800,$A150,الريسبي!$B$2:$B$1800,AM$1)+0.08333333333*SUMIFS(الريسبي!$C$2:$C$1800,الريسبي!$A$2:$A$1800,$A150,الريسبي!$B$2:$B$1800,"عجين كريب (مصنع بالمطعم)")+0.08333333333*SUMIFS(الريسبي!$C$2:$C$1800,الريسبي!$A$2:$A$1800,$A150,الريسبي!$B$2:$B$1800,"عجين كريب صيامي (بدون لبن)")</f>
        <v>0</v>
      </c>
      <c r="AN150" s="117" t="n">
        <f aca="false">SUMIFS(الريسبي!$C$2:$C$1800,الريسبي!$A$2:$A$1800,$A150,الريسبي!$B$2:$B$1800,AN$1)+0.004166666667*SUMIFS(الريسبي!$C$2:$C$1800,الريسبي!$A$2:$A$1800,$A150,الريسبي!$B$2:$B$1800,"عجين كريب (مصنع بالمطعم)")+0.004166666667*SUMIFS(الريسبي!$C$2:$C$1800,الريسبي!$A$2:$A$1800,$A150,الريسبي!$B$2:$B$1800,"عجين كريب صيامي (بدون لبن)")</f>
        <v>0</v>
      </c>
      <c r="AO150" s="117" t="n">
        <f aca="false">SUMIFS(الريسبي!$C$2:$C$1800,الريسبي!$A$2:$A$1800,$A150,الريسبي!$B$2:$B$1800,AO$1)</f>
        <v>0</v>
      </c>
      <c r="AP150" s="117" t="n">
        <f aca="false">SUMIFS(الريسبي!$C$2:$C$1800,الريسبي!$A$2:$A$1800,$A150,الريسبي!$B$2:$B$1800,AP$1)</f>
        <v>0</v>
      </c>
      <c r="AQ150" s="117" t="n">
        <f aca="false">SUMIFS(الريسبي!$C$2:$C$1800,الريسبي!$A$2:$A$1800,$A150,الريسبي!$B$2:$B$1800,AQ$1)+0.004166666667*SUMIFS(الريسبي!$C$2:$C$1800,الريسبي!$A$2:$A$1800,$A150,الريسبي!$B$2:$B$1800,"عجين كريب (مصنع بالمطعم)")+0.004166666667*SUMIFS(الريسبي!$C$2:$C$1800,الريسبي!$A$2:$A$1800,$A150,الريسبي!$B$2:$B$1800,"عجين كريب صيامي (بدون لبن)")</f>
        <v>0</v>
      </c>
      <c r="AR150" s="117" t="n">
        <f aca="false">SUMIFS(الريسبي!$C$2:$C$1800,الريسبي!$A$2:$A$1800,$A150,الريسبي!$B$2:$B$1800,AR$1)</f>
        <v>0</v>
      </c>
      <c r="AS150" s="117" t="n">
        <f aca="false">SUMIFS(الريسبي!$C$2:$C$1800,الريسبي!$A$2:$A$1800,$A150,الريسبي!$B$2:$B$1800,AS$1)</f>
        <v>0</v>
      </c>
      <c r="AT150" s="117" t="n">
        <f aca="false">SUMIFS(الريسبي!$C$2:$C$1800,الريسبي!$A$2:$A$1800,$A150,الريسبي!$B$2:$B$1800,AT$1)</f>
        <v>0</v>
      </c>
      <c r="AU150" s="117" t="n">
        <f aca="false">SUMIFS(الريسبي!$C$2:$C$1800,الريسبي!$A$2:$A$1800,$A150,الريسبي!$B$2:$B$1800,AU$1)</f>
        <v>0</v>
      </c>
      <c r="AV150" s="117" t="n">
        <f aca="false">SUMIFS(الريسبي!$C$2:$C$1800,الريسبي!$A$2:$A$1800,$A150,الريسبي!$B$2:$B$1800,AV$1)</f>
        <v>0</v>
      </c>
      <c r="AW150" s="117" t="n">
        <f aca="false">SUMIFS(الريسبي!$C$2:$C$1800,الريسبي!$A$2:$A$1800,$A150,الريسبي!$B$2:$B$1800,AW$1)</f>
        <v>0</v>
      </c>
      <c r="AX150" s="117" t="n">
        <f aca="false">SUMIFS(الريسبي!$C$2:$C$1800,الريسبي!$A$2:$A$1800,$A150,الريسبي!$B$2:$B$1800,AX$1)</f>
        <v>0</v>
      </c>
      <c r="AY150" s="117" t="n">
        <f aca="false">SUMIFS(الريسبي!$C$2:$C$1800,الريسبي!$A$2:$A$1800,$A150,الريسبي!$B$2:$B$1800,AY$1)</f>
        <v>0</v>
      </c>
      <c r="AZ150" s="117" t="n">
        <f aca="false">SUMIFS(الريسبي!$C$2:$C$1800,الريسبي!$A$2:$A$1800,$A150,الريسبي!$B$2:$B$1800,AZ$1)</f>
        <v>0</v>
      </c>
      <c r="BA150" s="117" t="n">
        <f aca="false">SUMIFS(الريسبي!$C$2:$C$1800,الريسبي!$A$2:$A$1800,$A150,الريسبي!$B$2:$B$1800,BA$1)</f>
        <v>0</v>
      </c>
      <c r="BB150" s="117" t="n">
        <f aca="false">SUMIFS(الريسبي!$C$2:$C$1800,الريسبي!$A$2:$A$1800,$A150,الريسبي!$B$2:$B$1800,BB$1)</f>
        <v>0</v>
      </c>
      <c r="BC150" s="117" t="n">
        <f aca="false">SUMIFS(الريسبي!$C$2:$C$1800,الريسبي!$A$2:$A$1800,$A150,الريسبي!$B$2:$B$1800,BC$1)</f>
        <v>0</v>
      </c>
      <c r="BD150" s="117" t="n">
        <f aca="false">SUMIFS(الريسبي!$C$2:$C$1800,الريسبي!$A$2:$A$1800,$A150,الريسبي!$B$2:$B$1800,BD$1)</f>
        <v>0</v>
      </c>
      <c r="BE150" s="117" t="n">
        <f aca="false">SUMIFS(الريسبي!$C$2:$C$1800,الريسبي!$A$2:$A$1800,$A150,الريسبي!$B$2:$B$1800,BE$1)</f>
        <v>0</v>
      </c>
      <c r="BF150" s="117" t="n">
        <f aca="false">SUMIFS(الريسبي!$C$2:$C$1800,الريسبي!$A$2:$A$1800,$A150,الريسبي!$B$2:$B$1800,BF$1)</f>
        <v>0</v>
      </c>
      <c r="BG150" s="117" t="n">
        <f aca="false">SUMIFS(الريسبي!$C$2:$C$1800,الريسبي!$A$2:$A$1800,$A150,الريسبي!$B$2:$B$1800,BG$1)</f>
        <v>0</v>
      </c>
      <c r="BH150" s="117" t="n">
        <f aca="false">SUMIFS(الريسبي!$C$2:$C$1800,الريسبي!$A$2:$A$1800,$A150,الريسبي!$B$2:$B$1800,BH$1)</f>
        <v>0</v>
      </c>
      <c r="BI150" s="117" t="n">
        <f aca="false">SUMIFS(الريسبي!$C$2:$C$1800,الريسبي!$A$2:$A$1800,$A150,الريسبي!$B$2:$B$1800,BI$1)</f>
        <v>0</v>
      </c>
      <c r="BJ150" s="117" t="n">
        <f aca="false">SUMIFS(الريسبي!$C$2:$C$1800,الريسبي!$A$2:$A$1800,$A150,الريسبي!$B$2:$B$1800,BJ$1)</f>
        <v>0</v>
      </c>
      <c r="BK150" s="117" t="n">
        <f aca="false">SUMIFS(الريسبي!$C$2:$C$1800,الريسبي!$A$2:$A$1800,$A150,الريسبي!$B$2:$B$1800,BK$1)</f>
        <v>0</v>
      </c>
      <c r="BL150" s="117" t="n">
        <f aca="false">SUMIFS(الريسبي!$C$2:$C$1800,الريسبي!$A$2:$A$1800,$A150,الريسبي!$B$2:$B$1800,BL$1)</f>
        <v>0</v>
      </c>
      <c r="BM150" s="117" t="n">
        <f aca="false">SUMIFS(الريسبي!$C$2:$C$1800,الريسبي!$A$2:$A$1800,$A150,الريسبي!$B$2:$B$1800,BM$1)</f>
        <v>0</v>
      </c>
      <c r="BN150" s="117" t="n">
        <f aca="false">SUMIFS(الريسبي!$C$2:$C$1800,الريسبي!$A$2:$A$1800,$A150,الريسبي!$B$2:$B$1800,BN$1)</f>
        <v>0</v>
      </c>
      <c r="BO150" s="117" t="n">
        <f aca="false">SUMIFS(الريسبي!$C$2:$C$1800,الريسبي!$A$2:$A$1800,$A150,الريسبي!$B$2:$B$1800,BO$1)</f>
        <v>0</v>
      </c>
      <c r="BP150" s="117" t="n">
        <f aca="false">SUMIFS(الريسبي!$C$2:$C$1800,الريسبي!$A$2:$A$1800,$A150,الريسبي!$B$2:$B$1800,BP$1)</f>
        <v>0</v>
      </c>
      <c r="BQ150" s="117" t="n">
        <f aca="false">SUMIFS(الريسبي!$C$2:$C$1800,الريسبي!$A$2:$A$1800,$A150,الريسبي!$B$2:$B$1800,BQ$1)+0.17*SUMIFS(الريسبي!$C$2:$C$1800,الريسبي!$A$2:$A$1800,$A150,الريسبي!$B$2:$B$1800,"كاسترد مصنع (خليط بودر + لبن)")+0.17*SUMIFS(الريسبي!$C$2:$C$1800,الريسبي!$A$2:$A$1800,$A150,الريسبي!$B$2:$B$1800,"كاسترد مصنع صيامي (بدون لبن)")</f>
        <v>0</v>
      </c>
      <c r="BR150" s="117" t="n">
        <f aca="false">SUMIFS(الريسبي!$C$2:$C$1800,الريسبي!$A$2:$A$1800,$A150,الريسبي!$B$2:$B$1800,BR$1)</f>
        <v>0</v>
      </c>
      <c r="BS150" s="117" t="n">
        <f aca="false">SUMIFS(الريسبي!$C$2:$C$1800,الريسبي!$A$2:$A$1800,$A150,الريسبي!$B$2:$B$1800,BS$1)</f>
        <v>0</v>
      </c>
      <c r="BT150" s="117" t="n">
        <f aca="false">SUMIFS(الريسبي!$C$2:$C$1800,الريسبي!$A$2:$A$1800,$A150,الريسبي!$B$2:$B$1800,BT$1)</f>
        <v>0</v>
      </c>
      <c r="BU150" s="117" t="n">
        <f aca="false">SUMIFS(الريسبي!$C$2:$C$1800,الريسبي!$A$2:$A$1800,$A150,الريسبي!$B$2:$B$1800,BU$1)+0.4*SUMIFS(الريسبي!$C$2:$C$1800,الريسبي!$A$2:$A$1800,$A150,الريسبي!$B$2:$B$1800,"كاسترد مصنع (خليط بودر + لبن)")+0.03333333333*SUMIFS(الريسبي!$C$2:$C$1800,الريسبي!$A$2:$A$1800,$A150,الريسبي!$B$2:$B$1800,"عجين كريب (مصنع بالمطعم)")</f>
        <v>0</v>
      </c>
      <c r="BV150" s="117" t="n">
        <f aca="false">SUMIFS(الريسبي!$C$2:$C$1800,الريسبي!$A$2:$A$1800,$A150,الريسبي!$B$2:$B$1800,BV$1)</f>
        <v>0</v>
      </c>
      <c r="BW150" s="117" t="n">
        <f aca="false">SUMIFS(الريسبي!$C$2:$C$1800,الريسبي!$A$2:$A$1800,$A150,الريسبي!$B$2:$B$1800,BW$1)</f>
        <v>0</v>
      </c>
      <c r="BX150" s="117" t="n">
        <f aca="false">SUMIFS(الريسبي!$C$2:$C$1800,الريسبي!$A$2:$A$1800,$A150,الريسبي!$B$2:$B$1800,BX$1)</f>
        <v>0</v>
      </c>
      <c r="BY150" s="117" t="n">
        <f aca="false">SUMIFS(الريسبي!$C$2:$C$1800,الريسبي!$A$2:$A$1800,$A150,الريسبي!$B$2:$B$1800,BY$1)</f>
        <v>0</v>
      </c>
      <c r="BZ150" s="117" t="n">
        <f aca="false">SUMIFS(الريسبي!$C$2:$C$1800,الريسبي!$A$2:$A$1800,$A150,الريسبي!$B$2:$B$1800,BZ$1)</f>
        <v>0</v>
      </c>
      <c r="CA150" s="117" t="n">
        <f aca="false">SUMIFS(الريسبي!$C$2:$C$1800,الريسبي!$A$2:$A$1800,$A150,الريسبي!$B$2:$B$1800,CA$1)</f>
        <v>0</v>
      </c>
      <c r="CB150" s="117" t="n">
        <f aca="false">SUMIFS(الريسبي!$C$2:$C$1800,الريسبي!$A$2:$A$1800,$A150,الريسبي!$B$2:$B$1800,CB$1)</f>
        <v>0</v>
      </c>
      <c r="CC150" s="117" t="n">
        <f aca="false">SUMIFS(الريسبي!$C$2:$C$1800,الريسبي!$A$2:$A$1800,$A150,الريسبي!$B$2:$B$1800,CC$1)</f>
        <v>0</v>
      </c>
      <c r="CD150" s="117" t="n">
        <f aca="false">SUMIFS(الريسبي!$C$2:$C$1800,الريسبي!$A$2:$A$1800,$A150,الريسبي!$B$2:$B$1800,CD$1)</f>
        <v>0</v>
      </c>
      <c r="CE150" s="117" t="n">
        <f aca="false">SUMIFS(الريسبي!$C$2:$C$1800,الريسبي!$A$2:$A$1800,$A150,الريسبي!$B$2:$B$1800,CE$1)</f>
        <v>0</v>
      </c>
      <c r="CF150" s="117" t="n">
        <f aca="false">SUMIFS(الريسبي!$C$2:$C$1800,الريسبي!$A$2:$A$1800,$A150,الريسبي!$B$2:$B$1800,CF$1)</f>
        <v>0</v>
      </c>
      <c r="CG150" s="117" t="n">
        <f aca="false">SUMIFS(الريسبي!$C$2:$C$1800,الريسبي!$A$2:$A$1800,$A150,الريسبي!$B$2:$B$1800,CG$1)</f>
        <v>0</v>
      </c>
      <c r="CH150" s="117" t="n">
        <f aca="false">SUMIFS(الريسبي!$C$2:$C$1800,الريسبي!$A$2:$A$1800,$A150,الريسبي!$B$2:$B$1800,CH$1)</f>
        <v>0</v>
      </c>
      <c r="CI150" s="117" t="n">
        <f aca="false">SUMIFS(الريسبي!$C$2:$C$1800,الريسبي!$A$2:$A$1800,$A150,الريسبي!$B$2:$B$1800,CI$1)</f>
        <v>0</v>
      </c>
      <c r="CJ150" s="117" t="n">
        <f aca="false">SUMIFS(الريسبي!$C$2:$C$1800,الريسبي!$A$2:$A$1800,$A150,الريسبي!$B$2:$B$1800,CJ$1)</f>
        <v>0</v>
      </c>
      <c r="CK150" s="117" t="n">
        <f aca="false">SUMIFS(الريسبي!$C$2:$C$1800,الريسبي!$A$2:$A$1800,$A150,الريسبي!$B$2:$B$1800,CK$1)</f>
        <v>0</v>
      </c>
      <c r="CL150" s="117" t="n">
        <f aca="false">SUMIFS(الريسبي!$C$2:$C$1800,الريسبي!$A$2:$A$1800,$A150,الريسبي!$B$2:$B$1800,CL$1)</f>
        <v>0</v>
      </c>
    </row>
    <row r="151" customFormat="false" ht="15" hidden="false" customHeight="false" outlineLevel="0" collapsed="false">
      <c r="A151" s="116" t="str">
        <f aca="false">المنيو!B151</f>
        <v>اضافة تونة (بيتزا وسط)</v>
      </c>
      <c r="B151" s="117" t="n">
        <f aca="false">SUMIFS(الريسبي!$C$2:$C$1800,الريسبي!$A$2:$A$1800,$A151,الريسبي!$B$2:$B$1800,B$1)</f>
        <v>0</v>
      </c>
      <c r="C151" s="117" t="n">
        <f aca="false">SUMIFS(الريسبي!$C$2:$C$1800,الريسبي!$A$2:$A$1800,$A151,الريسبي!$B$2:$B$1800,C$1)</f>
        <v>0</v>
      </c>
      <c r="D151" s="117" t="n">
        <f aca="false">SUMIFS(الريسبي!$C$2:$C$1800,الريسبي!$A$2:$A$1800,$A151,الريسبي!$B$2:$B$1800,D$1)</f>
        <v>0</v>
      </c>
      <c r="E151" s="117" t="n">
        <f aca="false">SUMIFS(الريسبي!$C$2:$C$1800,الريسبي!$A$2:$A$1800,$A151,الريسبي!$B$2:$B$1800,E$1)</f>
        <v>0</v>
      </c>
      <c r="F151" s="117" t="n">
        <f aca="false">SUMIFS(الريسبي!$C$2:$C$1800,الريسبي!$A$2:$A$1800,$A151,الريسبي!$B$2:$B$1800,F$1)</f>
        <v>0</v>
      </c>
      <c r="G151" s="117" t="n">
        <f aca="false">SUMIFS(الريسبي!$C$2:$C$1800,الريسبي!$A$2:$A$1800,$A151,الريسبي!$B$2:$B$1800,G$1)</f>
        <v>0</v>
      </c>
      <c r="H151" s="117" t="n">
        <f aca="false">SUMIFS(الريسبي!$C$2:$C$1800,الريسبي!$A$2:$A$1800,$A151,الريسبي!$B$2:$B$1800,H$1)</f>
        <v>0</v>
      </c>
      <c r="I151" s="117" t="n">
        <f aca="false">SUMIFS(الريسبي!$C$2:$C$1800,الريسبي!$A$2:$A$1800,$A151,الريسبي!$B$2:$B$1800,I$1)</f>
        <v>0</v>
      </c>
      <c r="J151" s="117" t="n">
        <f aca="false">SUMIFS(الريسبي!$C$2:$C$1800,الريسبي!$A$2:$A$1800,$A151,الريسبي!$B$2:$B$1800,J$1)</f>
        <v>0</v>
      </c>
      <c r="K151" s="117" t="n">
        <f aca="false">SUMIFS(الريسبي!$C$2:$C$1800,الريسبي!$A$2:$A$1800,$A151,الريسبي!$B$2:$B$1800,K$1)</f>
        <v>0</v>
      </c>
      <c r="L151" s="117" t="n">
        <f aca="false">SUMIFS(الريسبي!$C$2:$C$1800,الريسبي!$A$2:$A$1800,$A151,الريسبي!$B$2:$B$1800,L$1)</f>
        <v>0</v>
      </c>
      <c r="M151" s="117" t="n">
        <f aca="false">SUMIFS(الريسبي!$C$2:$C$1800,الريسبي!$A$2:$A$1800,$A151,الريسبي!$B$2:$B$1800,M$1)</f>
        <v>0</v>
      </c>
      <c r="N151" s="117" t="n">
        <f aca="false">SUMIFS(الريسبي!$C$2:$C$1800,الريسبي!$A$2:$A$1800,$A151,الريسبي!$B$2:$B$1800,N$1)</f>
        <v>0</v>
      </c>
      <c r="O151" s="117" t="n">
        <f aca="false">SUMIFS(الريسبي!$C$2:$C$1800,الريسبي!$A$2:$A$1800,$A151,الريسبي!$B$2:$B$1800,O$1)</f>
        <v>0</v>
      </c>
      <c r="P151" s="117" t="n">
        <f aca="false">SUMIFS(الريسبي!$C$2:$C$1800,الريسبي!$A$2:$A$1800,$A151,الريسبي!$B$2:$B$1800,P$1)</f>
        <v>0</v>
      </c>
      <c r="Q151" s="117" t="n">
        <f aca="false">SUMIFS(الريسبي!$C$2:$C$1800,الريسبي!$A$2:$A$1800,$A151,الريسبي!$B$2:$B$1800,Q$1)</f>
        <v>0</v>
      </c>
      <c r="R151" s="117" t="n">
        <f aca="false">SUMIFS(الريسبي!$C$2:$C$1800,الريسبي!$A$2:$A$1800,$A151,الريسبي!$B$2:$B$1800,R$1)</f>
        <v>0</v>
      </c>
      <c r="S151" s="117" t="n">
        <f aca="false">SUMIFS(الريسبي!$C$2:$C$1800,الريسبي!$A$2:$A$1800,$A151,الريسبي!$B$2:$B$1800,S$1)</f>
        <v>0</v>
      </c>
      <c r="T151" s="117" t="n">
        <f aca="false">SUMIFS(الريسبي!$C$2:$C$1800,الريسبي!$A$2:$A$1800,$A151,الريسبي!$B$2:$B$1800,T$1)</f>
        <v>0</v>
      </c>
      <c r="U151" s="117" t="n">
        <f aca="false">SUMIFS(الريسبي!$C$2:$C$1800,الريسبي!$A$2:$A$1800,$A151,الريسبي!$B$2:$B$1800,U$1)</f>
        <v>0</v>
      </c>
      <c r="V151" s="117" t="n">
        <f aca="false">SUMIFS(الريسبي!$C$2:$C$1800,الريسبي!$A$2:$A$1800,$A151,الريسبي!$B$2:$B$1800,V$1)</f>
        <v>0</v>
      </c>
      <c r="W151" s="117" t="n">
        <f aca="false">SUMIFS(الريسبي!$C$2:$C$1800,الريسبي!$A$2:$A$1800,$A151,الريسبي!$B$2:$B$1800,W$1)</f>
        <v>0</v>
      </c>
      <c r="X151" s="117" t="n">
        <f aca="false">SUMIFS(الريسبي!$C$2:$C$1800,الريسبي!$A$2:$A$1800,$A151,الريسبي!$B$2:$B$1800,X$1)</f>
        <v>0</v>
      </c>
      <c r="Y151" s="117" t="n">
        <f aca="false">SUMIFS(الريسبي!$C$2:$C$1800,الريسبي!$A$2:$A$1800,$A151,الريسبي!$B$2:$B$1800,Y$1)</f>
        <v>0</v>
      </c>
      <c r="Z151" s="117" t="n">
        <f aca="false">SUMIFS(الريسبي!$C$2:$C$1800,الريسبي!$A$2:$A$1800,$A151,الريسبي!$B$2:$B$1800,Z$1)</f>
        <v>0</v>
      </c>
      <c r="AA151" s="117" t="n">
        <f aca="false">SUMIFS(الريسبي!$C$2:$C$1800,الريسبي!$A$2:$A$1800,$A151,الريسبي!$B$2:$B$1800,AA$1)</f>
        <v>0</v>
      </c>
      <c r="AB151" s="117" t="n">
        <f aca="false">SUMIFS(الريسبي!$C$2:$C$1800,الريسبي!$A$2:$A$1800,$A151,الريسبي!$B$2:$B$1800,AB$1)</f>
        <v>0</v>
      </c>
      <c r="AC151" s="117" t="n">
        <f aca="false">SUMIFS(الريسبي!$C$2:$C$1800,الريسبي!$A$2:$A$1800,$A151,الريسبي!$B$2:$B$1800,AC$1)</f>
        <v>0</v>
      </c>
      <c r="AD151" s="117" t="n">
        <f aca="false">SUMIFS(الريسبي!$C$2:$C$1800,الريسبي!$A$2:$A$1800,$A151,الريسبي!$B$2:$B$1800,AD$1)</f>
        <v>0</v>
      </c>
      <c r="AE151" s="117" t="n">
        <f aca="false">SUMIFS(الريسبي!$C$2:$C$1800,الريسبي!$A$2:$A$1800,$A151,الريسبي!$B$2:$B$1800,AE$1)</f>
        <v>0</v>
      </c>
      <c r="AF151" s="117" t="n">
        <f aca="false">SUMIFS(الريسبي!$C$2:$C$1800,الريسبي!$A$2:$A$1800,$A151,الريسبي!$B$2:$B$1800,AF$1)</f>
        <v>0</v>
      </c>
      <c r="AG151" s="117" t="n">
        <f aca="false">SUMIFS(الريسبي!$C$2:$C$1800,الريسبي!$A$2:$A$1800,$A151,الريسبي!$B$2:$B$1800,AG$1)</f>
        <v>0</v>
      </c>
      <c r="AH151" s="117" t="n">
        <f aca="false">SUMIFS(الريسبي!$C$2:$C$1800,الريسبي!$A$2:$A$1800,$A151,الريسبي!$B$2:$B$1800,AH$1)</f>
        <v>0</v>
      </c>
      <c r="AI151" s="117" t="n">
        <f aca="false">SUMIFS(الريسبي!$C$2:$C$1800,الريسبي!$A$2:$A$1800,$A151,الريسبي!$B$2:$B$1800,AI$1)</f>
        <v>0</v>
      </c>
      <c r="AJ151" s="117" t="n">
        <f aca="false">SUMIFS(الريسبي!$C$2:$C$1800,الريسبي!$A$2:$A$1800,$A151,الريسبي!$B$2:$B$1800,AJ$1)</f>
        <v>0</v>
      </c>
      <c r="AK151" s="117" t="n">
        <f aca="false">SUMIFS(الريسبي!$C$2:$C$1800,الريسبي!$A$2:$A$1800,$A151,الريسبي!$B$2:$B$1800,AK$1)</f>
        <v>0</v>
      </c>
      <c r="AL151" s="117" t="n">
        <f aca="false">SUMIFS(الريسبي!$C$2:$C$1800,الريسبي!$A$2:$A$1800,$A151,الريسبي!$B$2:$B$1800,AL$1)</f>
        <v>0</v>
      </c>
      <c r="AM151" s="117" t="n">
        <f aca="false">SUMIFS(الريسبي!$C$2:$C$1800,الريسبي!$A$2:$A$1800,$A151,الريسبي!$B$2:$B$1800,AM$1)+0.08333333333*SUMIFS(الريسبي!$C$2:$C$1800,الريسبي!$A$2:$A$1800,$A151,الريسبي!$B$2:$B$1800,"عجين كريب (مصنع بالمطعم)")+0.08333333333*SUMIFS(الريسبي!$C$2:$C$1800,الريسبي!$A$2:$A$1800,$A151,الريسبي!$B$2:$B$1800,"عجين كريب صيامي (بدون لبن)")</f>
        <v>0</v>
      </c>
      <c r="AN151" s="117" t="n">
        <f aca="false">SUMIFS(الريسبي!$C$2:$C$1800,الريسبي!$A$2:$A$1800,$A151,الريسبي!$B$2:$B$1800,AN$1)+0.004166666667*SUMIFS(الريسبي!$C$2:$C$1800,الريسبي!$A$2:$A$1800,$A151,الريسبي!$B$2:$B$1800,"عجين كريب (مصنع بالمطعم)")+0.004166666667*SUMIFS(الريسبي!$C$2:$C$1800,الريسبي!$A$2:$A$1800,$A151,الريسبي!$B$2:$B$1800,"عجين كريب صيامي (بدون لبن)")</f>
        <v>0</v>
      </c>
      <c r="AO151" s="117" t="n">
        <f aca="false">SUMIFS(الريسبي!$C$2:$C$1800,الريسبي!$A$2:$A$1800,$A151,الريسبي!$B$2:$B$1800,AO$1)</f>
        <v>0</v>
      </c>
      <c r="AP151" s="117" t="n">
        <f aca="false">SUMIFS(الريسبي!$C$2:$C$1800,الريسبي!$A$2:$A$1800,$A151,الريسبي!$B$2:$B$1800,AP$1)</f>
        <v>0</v>
      </c>
      <c r="AQ151" s="117" t="n">
        <f aca="false">SUMIFS(الريسبي!$C$2:$C$1800,الريسبي!$A$2:$A$1800,$A151,الريسبي!$B$2:$B$1800,AQ$1)+0.004166666667*SUMIFS(الريسبي!$C$2:$C$1800,الريسبي!$A$2:$A$1800,$A151,الريسبي!$B$2:$B$1800,"عجين كريب (مصنع بالمطعم)")+0.004166666667*SUMIFS(الريسبي!$C$2:$C$1800,الريسبي!$A$2:$A$1800,$A151,الريسبي!$B$2:$B$1800,"عجين كريب صيامي (بدون لبن)")</f>
        <v>0</v>
      </c>
      <c r="AR151" s="117" t="n">
        <f aca="false">SUMIFS(الريسبي!$C$2:$C$1800,الريسبي!$A$2:$A$1800,$A151,الريسبي!$B$2:$B$1800,AR$1)</f>
        <v>0</v>
      </c>
      <c r="AS151" s="117" t="n">
        <f aca="false">SUMIFS(الريسبي!$C$2:$C$1800,الريسبي!$A$2:$A$1800,$A151,الريسبي!$B$2:$B$1800,AS$1)</f>
        <v>0</v>
      </c>
      <c r="AT151" s="117" t="n">
        <f aca="false">SUMIFS(الريسبي!$C$2:$C$1800,الريسبي!$A$2:$A$1800,$A151,الريسبي!$B$2:$B$1800,AT$1)</f>
        <v>0</v>
      </c>
      <c r="AU151" s="117" t="n">
        <f aca="false">SUMIFS(الريسبي!$C$2:$C$1800,الريسبي!$A$2:$A$1800,$A151,الريسبي!$B$2:$B$1800,AU$1)</f>
        <v>0</v>
      </c>
      <c r="AV151" s="117" t="n">
        <f aca="false">SUMIFS(الريسبي!$C$2:$C$1800,الريسبي!$A$2:$A$1800,$A151,الريسبي!$B$2:$B$1800,AV$1)</f>
        <v>0</v>
      </c>
      <c r="AW151" s="117" t="n">
        <f aca="false">SUMIFS(الريسبي!$C$2:$C$1800,الريسبي!$A$2:$A$1800,$A151,الريسبي!$B$2:$B$1800,AW$1)</f>
        <v>0</v>
      </c>
      <c r="AX151" s="117" t="n">
        <f aca="false">SUMIFS(الريسبي!$C$2:$C$1800,الريسبي!$A$2:$A$1800,$A151,الريسبي!$B$2:$B$1800,AX$1)</f>
        <v>0</v>
      </c>
      <c r="AY151" s="117" t="n">
        <f aca="false">SUMIFS(الريسبي!$C$2:$C$1800,الريسبي!$A$2:$A$1800,$A151,الريسبي!$B$2:$B$1800,AY$1)</f>
        <v>0</v>
      </c>
      <c r="AZ151" s="117" t="n">
        <f aca="false">SUMIFS(الريسبي!$C$2:$C$1800,الريسبي!$A$2:$A$1800,$A151,الريسبي!$B$2:$B$1800,AZ$1)</f>
        <v>0</v>
      </c>
      <c r="BA151" s="117" t="n">
        <f aca="false">SUMIFS(الريسبي!$C$2:$C$1800,الريسبي!$A$2:$A$1800,$A151,الريسبي!$B$2:$B$1800,BA$1)</f>
        <v>0</v>
      </c>
      <c r="BB151" s="117" t="n">
        <f aca="false">SUMIFS(الريسبي!$C$2:$C$1800,الريسبي!$A$2:$A$1800,$A151,الريسبي!$B$2:$B$1800,BB$1)</f>
        <v>0</v>
      </c>
      <c r="BC151" s="117" t="n">
        <f aca="false">SUMIFS(الريسبي!$C$2:$C$1800,الريسبي!$A$2:$A$1800,$A151,الريسبي!$B$2:$B$1800,BC$1)</f>
        <v>0</v>
      </c>
      <c r="BD151" s="117" t="n">
        <f aca="false">SUMIFS(الريسبي!$C$2:$C$1800,الريسبي!$A$2:$A$1800,$A151,الريسبي!$B$2:$B$1800,BD$1)</f>
        <v>0</v>
      </c>
      <c r="BE151" s="117" t="n">
        <f aca="false">SUMIFS(الريسبي!$C$2:$C$1800,الريسبي!$A$2:$A$1800,$A151,الريسبي!$B$2:$B$1800,BE$1)</f>
        <v>0</v>
      </c>
      <c r="BF151" s="117" t="n">
        <f aca="false">SUMIFS(الريسبي!$C$2:$C$1800,الريسبي!$A$2:$A$1800,$A151,الريسبي!$B$2:$B$1800,BF$1)</f>
        <v>0</v>
      </c>
      <c r="BG151" s="117" t="n">
        <f aca="false">SUMIFS(الريسبي!$C$2:$C$1800,الريسبي!$A$2:$A$1800,$A151,الريسبي!$B$2:$B$1800,BG$1)</f>
        <v>0</v>
      </c>
      <c r="BH151" s="117" t="n">
        <f aca="false">SUMIFS(الريسبي!$C$2:$C$1800,الريسبي!$A$2:$A$1800,$A151,الريسبي!$B$2:$B$1800,BH$1)</f>
        <v>0</v>
      </c>
      <c r="BI151" s="117" t="n">
        <f aca="false">SUMIFS(الريسبي!$C$2:$C$1800,الريسبي!$A$2:$A$1800,$A151,الريسبي!$B$2:$B$1800,BI$1)</f>
        <v>0</v>
      </c>
      <c r="BJ151" s="117" t="n">
        <f aca="false">SUMIFS(الريسبي!$C$2:$C$1800,الريسبي!$A$2:$A$1800,$A151,الريسبي!$B$2:$B$1800,BJ$1)</f>
        <v>0</v>
      </c>
      <c r="BK151" s="117" t="n">
        <f aca="false">SUMIFS(الريسبي!$C$2:$C$1800,الريسبي!$A$2:$A$1800,$A151,الريسبي!$B$2:$B$1800,BK$1)</f>
        <v>0</v>
      </c>
      <c r="BL151" s="117" t="n">
        <f aca="false">SUMIFS(الريسبي!$C$2:$C$1800,الريسبي!$A$2:$A$1800,$A151,الريسبي!$B$2:$B$1800,BL$1)</f>
        <v>1</v>
      </c>
      <c r="BM151" s="117" t="n">
        <f aca="false">SUMIFS(الريسبي!$C$2:$C$1800,الريسبي!$A$2:$A$1800,$A151,الريسبي!$B$2:$B$1800,BM$1)</f>
        <v>0</v>
      </c>
      <c r="BN151" s="117" t="n">
        <f aca="false">SUMIFS(الريسبي!$C$2:$C$1800,الريسبي!$A$2:$A$1800,$A151,الريسبي!$B$2:$B$1800,BN$1)</f>
        <v>0</v>
      </c>
      <c r="BO151" s="117" t="n">
        <f aca="false">SUMIFS(الريسبي!$C$2:$C$1800,الريسبي!$A$2:$A$1800,$A151,الريسبي!$B$2:$B$1800,BO$1)</f>
        <v>0</v>
      </c>
      <c r="BP151" s="117" t="n">
        <f aca="false">SUMIFS(الريسبي!$C$2:$C$1800,الريسبي!$A$2:$A$1800,$A151,الريسبي!$B$2:$B$1800,BP$1)</f>
        <v>0</v>
      </c>
      <c r="BQ151" s="117" t="n">
        <f aca="false">SUMIFS(الريسبي!$C$2:$C$1800,الريسبي!$A$2:$A$1800,$A151,الريسبي!$B$2:$B$1800,BQ$1)+0.17*SUMIFS(الريسبي!$C$2:$C$1800,الريسبي!$A$2:$A$1800,$A151,الريسبي!$B$2:$B$1800,"كاسترد مصنع (خليط بودر + لبن)")+0.17*SUMIFS(الريسبي!$C$2:$C$1800,الريسبي!$A$2:$A$1800,$A151,الريسبي!$B$2:$B$1800,"كاسترد مصنع صيامي (بدون لبن)")</f>
        <v>0</v>
      </c>
      <c r="BR151" s="117" t="n">
        <f aca="false">SUMIFS(الريسبي!$C$2:$C$1800,الريسبي!$A$2:$A$1800,$A151,الريسبي!$B$2:$B$1800,BR$1)</f>
        <v>0</v>
      </c>
      <c r="BS151" s="117" t="n">
        <f aca="false">SUMIFS(الريسبي!$C$2:$C$1800,الريسبي!$A$2:$A$1800,$A151,الريسبي!$B$2:$B$1800,BS$1)</f>
        <v>0</v>
      </c>
      <c r="BT151" s="117" t="n">
        <f aca="false">SUMIFS(الريسبي!$C$2:$C$1800,الريسبي!$A$2:$A$1800,$A151,الريسبي!$B$2:$B$1800,BT$1)</f>
        <v>0</v>
      </c>
      <c r="BU151" s="117" t="n">
        <f aca="false">SUMIFS(الريسبي!$C$2:$C$1800,الريسبي!$A$2:$A$1800,$A151,الريسبي!$B$2:$B$1800,BU$1)+0.4*SUMIFS(الريسبي!$C$2:$C$1800,الريسبي!$A$2:$A$1800,$A151,الريسبي!$B$2:$B$1800,"كاسترد مصنع (خليط بودر + لبن)")+0.03333333333*SUMIFS(الريسبي!$C$2:$C$1800,الريسبي!$A$2:$A$1800,$A151,الريسبي!$B$2:$B$1800,"عجين كريب (مصنع بالمطعم)")</f>
        <v>0</v>
      </c>
      <c r="BV151" s="117" t="n">
        <f aca="false">SUMIFS(الريسبي!$C$2:$C$1800,الريسبي!$A$2:$A$1800,$A151,الريسبي!$B$2:$B$1800,BV$1)</f>
        <v>0</v>
      </c>
      <c r="BW151" s="117" t="n">
        <f aca="false">SUMIFS(الريسبي!$C$2:$C$1800,الريسبي!$A$2:$A$1800,$A151,الريسبي!$B$2:$B$1800,BW$1)</f>
        <v>0</v>
      </c>
      <c r="BX151" s="117" t="n">
        <f aca="false">SUMIFS(الريسبي!$C$2:$C$1800,الريسبي!$A$2:$A$1800,$A151,الريسبي!$B$2:$B$1800,BX$1)</f>
        <v>0</v>
      </c>
      <c r="BY151" s="117" t="n">
        <f aca="false">SUMIFS(الريسبي!$C$2:$C$1800,الريسبي!$A$2:$A$1800,$A151,الريسبي!$B$2:$B$1800,BY$1)</f>
        <v>0</v>
      </c>
      <c r="BZ151" s="117" t="n">
        <f aca="false">SUMIFS(الريسبي!$C$2:$C$1800,الريسبي!$A$2:$A$1800,$A151,الريسبي!$B$2:$B$1800,BZ$1)</f>
        <v>0</v>
      </c>
      <c r="CA151" s="117" t="n">
        <f aca="false">SUMIFS(الريسبي!$C$2:$C$1800,الريسبي!$A$2:$A$1800,$A151,الريسبي!$B$2:$B$1800,CA$1)</f>
        <v>0</v>
      </c>
      <c r="CB151" s="117" t="n">
        <f aca="false">SUMIFS(الريسبي!$C$2:$C$1800,الريسبي!$A$2:$A$1800,$A151,الريسبي!$B$2:$B$1800,CB$1)</f>
        <v>0</v>
      </c>
      <c r="CC151" s="117" t="n">
        <f aca="false">SUMIFS(الريسبي!$C$2:$C$1800,الريسبي!$A$2:$A$1800,$A151,الريسبي!$B$2:$B$1800,CC$1)</f>
        <v>0</v>
      </c>
      <c r="CD151" s="117" t="n">
        <f aca="false">SUMIFS(الريسبي!$C$2:$C$1800,الريسبي!$A$2:$A$1800,$A151,الريسبي!$B$2:$B$1800,CD$1)</f>
        <v>0</v>
      </c>
      <c r="CE151" s="117" t="n">
        <f aca="false">SUMIFS(الريسبي!$C$2:$C$1800,الريسبي!$A$2:$A$1800,$A151,الريسبي!$B$2:$B$1800,CE$1)</f>
        <v>0</v>
      </c>
      <c r="CF151" s="117" t="n">
        <f aca="false">SUMIFS(الريسبي!$C$2:$C$1800,الريسبي!$A$2:$A$1800,$A151,الريسبي!$B$2:$B$1800,CF$1)</f>
        <v>0</v>
      </c>
      <c r="CG151" s="117" t="n">
        <f aca="false">SUMIFS(الريسبي!$C$2:$C$1800,الريسبي!$A$2:$A$1800,$A151,الريسبي!$B$2:$B$1800,CG$1)</f>
        <v>0</v>
      </c>
      <c r="CH151" s="117" t="n">
        <f aca="false">SUMIFS(الريسبي!$C$2:$C$1800,الريسبي!$A$2:$A$1800,$A151,الريسبي!$B$2:$B$1800,CH$1)</f>
        <v>0</v>
      </c>
      <c r="CI151" s="117" t="n">
        <f aca="false">SUMIFS(الريسبي!$C$2:$C$1800,الريسبي!$A$2:$A$1800,$A151,الريسبي!$B$2:$B$1800,CI$1)</f>
        <v>0</v>
      </c>
      <c r="CJ151" s="117" t="n">
        <f aca="false">SUMIFS(الريسبي!$C$2:$C$1800,الريسبي!$A$2:$A$1800,$A151,الريسبي!$B$2:$B$1800,CJ$1)</f>
        <v>0</v>
      </c>
      <c r="CK151" s="117" t="n">
        <f aca="false">SUMIFS(الريسبي!$C$2:$C$1800,الريسبي!$A$2:$A$1800,$A151,الريسبي!$B$2:$B$1800,CK$1)</f>
        <v>0</v>
      </c>
      <c r="CL151" s="117" t="n">
        <f aca="false">SUMIFS(الريسبي!$C$2:$C$1800,الريسبي!$A$2:$A$1800,$A151,الريسبي!$B$2:$B$1800,CL$1)</f>
        <v>0</v>
      </c>
    </row>
    <row r="152" customFormat="false" ht="15" hidden="false" customHeight="false" outlineLevel="0" collapsed="false">
      <c r="A152" s="116" t="str">
        <f aca="false">المنيو!B152</f>
        <v>اضافة جمبري (بيتزا وسط)</v>
      </c>
      <c r="B152" s="117" t="n">
        <f aca="false">SUMIFS(الريسبي!$C$2:$C$1800,الريسبي!$A$2:$A$1800,$A152,الريسبي!$B$2:$B$1800,B$1)</f>
        <v>0</v>
      </c>
      <c r="C152" s="117" t="n">
        <f aca="false">SUMIFS(الريسبي!$C$2:$C$1800,الريسبي!$A$2:$A$1800,$A152,الريسبي!$B$2:$B$1800,C$1)</f>
        <v>0</v>
      </c>
      <c r="D152" s="117" t="n">
        <f aca="false">SUMIFS(الريسبي!$C$2:$C$1800,الريسبي!$A$2:$A$1800,$A152,الريسبي!$B$2:$B$1800,D$1)</f>
        <v>0</v>
      </c>
      <c r="E152" s="117" t="n">
        <f aca="false">SUMIFS(الريسبي!$C$2:$C$1800,الريسبي!$A$2:$A$1800,$A152,الريسبي!$B$2:$B$1800,E$1)</f>
        <v>0</v>
      </c>
      <c r="F152" s="117" t="n">
        <f aca="false">SUMIFS(الريسبي!$C$2:$C$1800,الريسبي!$A$2:$A$1800,$A152,الريسبي!$B$2:$B$1800,F$1)</f>
        <v>0</v>
      </c>
      <c r="G152" s="117" t="n">
        <f aca="false">SUMIFS(الريسبي!$C$2:$C$1800,الريسبي!$A$2:$A$1800,$A152,الريسبي!$B$2:$B$1800,G$1)</f>
        <v>0</v>
      </c>
      <c r="H152" s="117" t="n">
        <f aca="false">SUMIFS(الريسبي!$C$2:$C$1800,الريسبي!$A$2:$A$1800,$A152,الريسبي!$B$2:$B$1800,H$1)</f>
        <v>0</v>
      </c>
      <c r="I152" s="117" t="n">
        <f aca="false">SUMIFS(الريسبي!$C$2:$C$1800,الريسبي!$A$2:$A$1800,$A152,الريسبي!$B$2:$B$1800,I$1)</f>
        <v>0</v>
      </c>
      <c r="J152" s="117" t="n">
        <f aca="false">SUMIFS(الريسبي!$C$2:$C$1800,الريسبي!$A$2:$A$1800,$A152,الريسبي!$B$2:$B$1800,J$1)</f>
        <v>0</v>
      </c>
      <c r="K152" s="117" t="n">
        <f aca="false">SUMIFS(الريسبي!$C$2:$C$1800,الريسبي!$A$2:$A$1800,$A152,الريسبي!$B$2:$B$1800,K$1)</f>
        <v>1</v>
      </c>
      <c r="L152" s="117" t="n">
        <f aca="false">SUMIFS(الريسبي!$C$2:$C$1800,الريسبي!$A$2:$A$1800,$A152,الريسبي!$B$2:$B$1800,L$1)</f>
        <v>0</v>
      </c>
      <c r="M152" s="117" t="n">
        <f aca="false">SUMIFS(الريسبي!$C$2:$C$1800,الريسبي!$A$2:$A$1800,$A152,الريسبي!$B$2:$B$1800,M$1)</f>
        <v>0</v>
      </c>
      <c r="N152" s="117" t="n">
        <f aca="false">SUMIFS(الريسبي!$C$2:$C$1800,الريسبي!$A$2:$A$1800,$A152,الريسبي!$B$2:$B$1800,N$1)</f>
        <v>0</v>
      </c>
      <c r="O152" s="117" t="n">
        <f aca="false">SUMIFS(الريسبي!$C$2:$C$1800,الريسبي!$A$2:$A$1800,$A152,الريسبي!$B$2:$B$1800,O$1)</f>
        <v>0</v>
      </c>
      <c r="P152" s="117" t="n">
        <f aca="false">SUMIFS(الريسبي!$C$2:$C$1800,الريسبي!$A$2:$A$1800,$A152,الريسبي!$B$2:$B$1800,P$1)</f>
        <v>0</v>
      </c>
      <c r="Q152" s="117" t="n">
        <f aca="false">SUMIFS(الريسبي!$C$2:$C$1800,الريسبي!$A$2:$A$1800,$A152,الريسبي!$B$2:$B$1800,Q$1)</f>
        <v>0</v>
      </c>
      <c r="R152" s="117" t="n">
        <f aca="false">SUMIFS(الريسبي!$C$2:$C$1800,الريسبي!$A$2:$A$1800,$A152,الريسبي!$B$2:$B$1800,R$1)</f>
        <v>0</v>
      </c>
      <c r="S152" s="117" t="n">
        <f aca="false">SUMIFS(الريسبي!$C$2:$C$1800,الريسبي!$A$2:$A$1800,$A152,الريسبي!$B$2:$B$1800,S$1)</f>
        <v>0</v>
      </c>
      <c r="T152" s="117" t="n">
        <f aca="false">SUMIFS(الريسبي!$C$2:$C$1800,الريسبي!$A$2:$A$1800,$A152,الريسبي!$B$2:$B$1800,T$1)</f>
        <v>0</v>
      </c>
      <c r="U152" s="117" t="n">
        <f aca="false">SUMIFS(الريسبي!$C$2:$C$1800,الريسبي!$A$2:$A$1800,$A152,الريسبي!$B$2:$B$1800,U$1)</f>
        <v>0</v>
      </c>
      <c r="V152" s="117" t="n">
        <f aca="false">SUMIFS(الريسبي!$C$2:$C$1800,الريسبي!$A$2:$A$1800,$A152,الريسبي!$B$2:$B$1800,V$1)</f>
        <v>0</v>
      </c>
      <c r="W152" s="117" t="n">
        <f aca="false">SUMIFS(الريسبي!$C$2:$C$1800,الريسبي!$A$2:$A$1800,$A152,الريسبي!$B$2:$B$1800,W$1)</f>
        <v>0</v>
      </c>
      <c r="X152" s="117" t="n">
        <f aca="false">SUMIFS(الريسبي!$C$2:$C$1800,الريسبي!$A$2:$A$1800,$A152,الريسبي!$B$2:$B$1800,X$1)</f>
        <v>0</v>
      </c>
      <c r="Y152" s="117" t="n">
        <f aca="false">SUMIFS(الريسبي!$C$2:$C$1800,الريسبي!$A$2:$A$1800,$A152,الريسبي!$B$2:$B$1800,Y$1)</f>
        <v>0</v>
      </c>
      <c r="Z152" s="117" t="n">
        <f aca="false">SUMIFS(الريسبي!$C$2:$C$1800,الريسبي!$A$2:$A$1800,$A152,الريسبي!$B$2:$B$1800,Z$1)</f>
        <v>0</v>
      </c>
      <c r="AA152" s="117" t="n">
        <f aca="false">SUMIFS(الريسبي!$C$2:$C$1800,الريسبي!$A$2:$A$1800,$A152,الريسبي!$B$2:$B$1800,AA$1)</f>
        <v>0</v>
      </c>
      <c r="AB152" s="117" t="n">
        <f aca="false">SUMIFS(الريسبي!$C$2:$C$1800,الريسبي!$A$2:$A$1800,$A152,الريسبي!$B$2:$B$1800,AB$1)</f>
        <v>0</v>
      </c>
      <c r="AC152" s="117" t="n">
        <f aca="false">SUMIFS(الريسبي!$C$2:$C$1800,الريسبي!$A$2:$A$1800,$A152,الريسبي!$B$2:$B$1800,AC$1)</f>
        <v>0</v>
      </c>
      <c r="AD152" s="117" t="n">
        <f aca="false">SUMIFS(الريسبي!$C$2:$C$1800,الريسبي!$A$2:$A$1800,$A152,الريسبي!$B$2:$B$1800,AD$1)</f>
        <v>0</v>
      </c>
      <c r="AE152" s="117" t="n">
        <f aca="false">SUMIFS(الريسبي!$C$2:$C$1800,الريسبي!$A$2:$A$1800,$A152,الريسبي!$B$2:$B$1800,AE$1)</f>
        <v>0</v>
      </c>
      <c r="AF152" s="117" t="n">
        <f aca="false">SUMIFS(الريسبي!$C$2:$C$1800,الريسبي!$A$2:$A$1800,$A152,الريسبي!$B$2:$B$1800,AF$1)</f>
        <v>0</v>
      </c>
      <c r="AG152" s="117" t="n">
        <f aca="false">SUMIFS(الريسبي!$C$2:$C$1800,الريسبي!$A$2:$A$1800,$A152,الريسبي!$B$2:$B$1800,AG$1)</f>
        <v>0</v>
      </c>
      <c r="AH152" s="117" t="n">
        <f aca="false">SUMIFS(الريسبي!$C$2:$C$1800,الريسبي!$A$2:$A$1800,$A152,الريسبي!$B$2:$B$1800,AH$1)</f>
        <v>0</v>
      </c>
      <c r="AI152" s="117" t="n">
        <f aca="false">SUMIFS(الريسبي!$C$2:$C$1800,الريسبي!$A$2:$A$1800,$A152,الريسبي!$B$2:$B$1800,AI$1)</f>
        <v>0</v>
      </c>
      <c r="AJ152" s="117" t="n">
        <f aca="false">SUMIFS(الريسبي!$C$2:$C$1800,الريسبي!$A$2:$A$1800,$A152,الريسبي!$B$2:$B$1800,AJ$1)</f>
        <v>0</v>
      </c>
      <c r="AK152" s="117" t="n">
        <f aca="false">SUMIFS(الريسبي!$C$2:$C$1800,الريسبي!$A$2:$A$1800,$A152,الريسبي!$B$2:$B$1800,AK$1)</f>
        <v>0</v>
      </c>
      <c r="AL152" s="117" t="n">
        <f aca="false">SUMIFS(الريسبي!$C$2:$C$1800,الريسبي!$A$2:$A$1800,$A152,الريسبي!$B$2:$B$1800,AL$1)</f>
        <v>0</v>
      </c>
      <c r="AM152" s="117" t="n">
        <f aca="false">SUMIFS(الريسبي!$C$2:$C$1800,الريسبي!$A$2:$A$1800,$A152,الريسبي!$B$2:$B$1800,AM$1)+0.08333333333*SUMIFS(الريسبي!$C$2:$C$1800,الريسبي!$A$2:$A$1800,$A152,الريسبي!$B$2:$B$1800,"عجين كريب (مصنع بالمطعم)")+0.08333333333*SUMIFS(الريسبي!$C$2:$C$1800,الريسبي!$A$2:$A$1800,$A152,الريسبي!$B$2:$B$1800,"عجين كريب صيامي (بدون لبن)")</f>
        <v>0</v>
      </c>
      <c r="AN152" s="117" t="n">
        <f aca="false">SUMIFS(الريسبي!$C$2:$C$1800,الريسبي!$A$2:$A$1800,$A152,الريسبي!$B$2:$B$1800,AN$1)+0.004166666667*SUMIFS(الريسبي!$C$2:$C$1800,الريسبي!$A$2:$A$1800,$A152,الريسبي!$B$2:$B$1800,"عجين كريب (مصنع بالمطعم)")+0.004166666667*SUMIFS(الريسبي!$C$2:$C$1800,الريسبي!$A$2:$A$1800,$A152,الريسبي!$B$2:$B$1800,"عجين كريب صيامي (بدون لبن)")</f>
        <v>0</v>
      </c>
      <c r="AO152" s="117" t="n">
        <f aca="false">SUMIFS(الريسبي!$C$2:$C$1800,الريسبي!$A$2:$A$1800,$A152,الريسبي!$B$2:$B$1800,AO$1)</f>
        <v>0</v>
      </c>
      <c r="AP152" s="117" t="n">
        <f aca="false">SUMIFS(الريسبي!$C$2:$C$1800,الريسبي!$A$2:$A$1800,$A152,الريسبي!$B$2:$B$1800,AP$1)</f>
        <v>0</v>
      </c>
      <c r="AQ152" s="117" t="n">
        <f aca="false">SUMIFS(الريسبي!$C$2:$C$1800,الريسبي!$A$2:$A$1800,$A152,الريسبي!$B$2:$B$1800,AQ$1)+0.004166666667*SUMIFS(الريسبي!$C$2:$C$1800,الريسبي!$A$2:$A$1800,$A152,الريسبي!$B$2:$B$1800,"عجين كريب (مصنع بالمطعم)")+0.004166666667*SUMIFS(الريسبي!$C$2:$C$1800,الريسبي!$A$2:$A$1800,$A152,الريسبي!$B$2:$B$1800,"عجين كريب صيامي (بدون لبن)")</f>
        <v>0</v>
      </c>
      <c r="AR152" s="117" t="n">
        <f aca="false">SUMIFS(الريسبي!$C$2:$C$1800,الريسبي!$A$2:$A$1800,$A152,الريسبي!$B$2:$B$1800,AR$1)</f>
        <v>0</v>
      </c>
      <c r="AS152" s="117" t="n">
        <f aca="false">SUMIFS(الريسبي!$C$2:$C$1800,الريسبي!$A$2:$A$1800,$A152,الريسبي!$B$2:$B$1800,AS$1)</f>
        <v>0</v>
      </c>
      <c r="AT152" s="117" t="n">
        <f aca="false">SUMIFS(الريسبي!$C$2:$C$1800,الريسبي!$A$2:$A$1800,$A152,الريسبي!$B$2:$B$1800,AT$1)</f>
        <v>0</v>
      </c>
      <c r="AU152" s="117" t="n">
        <f aca="false">SUMIFS(الريسبي!$C$2:$C$1800,الريسبي!$A$2:$A$1800,$A152,الريسبي!$B$2:$B$1800,AU$1)</f>
        <v>0</v>
      </c>
      <c r="AV152" s="117" t="n">
        <f aca="false">SUMIFS(الريسبي!$C$2:$C$1800,الريسبي!$A$2:$A$1800,$A152,الريسبي!$B$2:$B$1800,AV$1)</f>
        <v>0</v>
      </c>
      <c r="AW152" s="117" t="n">
        <f aca="false">SUMIFS(الريسبي!$C$2:$C$1800,الريسبي!$A$2:$A$1800,$A152,الريسبي!$B$2:$B$1800,AW$1)</f>
        <v>0</v>
      </c>
      <c r="AX152" s="117" t="n">
        <f aca="false">SUMIFS(الريسبي!$C$2:$C$1800,الريسبي!$A$2:$A$1800,$A152,الريسبي!$B$2:$B$1800,AX$1)</f>
        <v>0</v>
      </c>
      <c r="AY152" s="117" t="n">
        <f aca="false">SUMIFS(الريسبي!$C$2:$C$1800,الريسبي!$A$2:$A$1800,$A152,الريسبي!$B$2:$B$1800,AY$1)</f>
        <v>0</v>
      </c>
      <c r="AZ152" s="117" t="n">
        <f aca="false">SUMIFS(الريسبي!$C$2:$C$1800,الريسبي!$A$2:$A$1800,$A152,الريسبي!$B$2:$B$1800,AZ$1)</f>
        <v>0</v>
      </c>
      <c r="BA152" s="117" t="n">
        <f aca="false">SUMIFS(الريسبي!$C$2:$C$1800,الريسبي!$A$2:$A$1800,$A152,الريسبي!$B$2:$B$1800,BA$1)</f>
        <v>0</v>
      </c>
      <c r="BB152" s="117" t="n">
        <f aca="false">SUMIFS(الريسبي!$C$2:$C$1800,الريسبي!$A$2:$A$1800,$A152,الريسبي!$B$2:$B$1800,BB$1)</f>
        <v>0</v>
      </c>
      <c r="BC152" s="117" t="n">
        <f aca="false">SUMIFS(الريسبي!$C$2:$C$1800,الريسبي!$A$2:$A$1800,$A152,الريسبي!$B$2:$B$1800,BC$1)</f>
        <v>0</v>
      </c>
      <c r="BD152" s="117" t="n">
        <f aca="false">SUMIFS(الريسبي!$C$2:$C$1800,الريسبي!$A$2:$A$1800,$A152,الريسبي!$B$2:$B$1800,BD$1)</f>
        <v>0</v>
      </c>
      <c r="BE152" s="117" t="n">
        <f aca="false">SUMIFS(الريسبي!$C$2:$C$1800,الريسبي!$A$2:$A$1800,$A152,الريسبي!$B$2:$B$1800,BE$1)</f>
        <v>0</v>
      </c>
      <c r="BF152" s="117" t="n">
        <f aca="false">SUMIFS(الريسبي!$C$2:$C$1800,الريسبي!$A$2:$A$1800,$A152,الريسبي!$B$2:$B$1800,BF$1)</f>
        <v>0</v>
      </c>
      <c r="BG152" s="117" t="n">
        <f aca="false">SUMIFS(الريسبي!$C$2:$C$1800,الريسبي!$A$2:$A$1800,$A152,الريسبي!$B$2:$B$1800,BG$1)</f>
        <v>0</v>
      </c>
      <c r="BH152" s="117" t="n">
        <f aca="false">SUMIFS(الريسبي!$C$2:$C$1800,الريسبي!$A$2:$A$1800,$A152,الريسبي!$B$2:$B$1800,BH$1)</f>
        <v>0</v>
      </c>
      <c r="BI152" s="117" t="n">
        <f aca="false">SUMIFS(الريسبي!$C$2:$C$1800,الريسبي!$A$2:$A$1800,$A152,الريسبي!$B$2:$B$1800,BI$1)</f>
        <v>0</v>
      </c>
      <c r="BJ152" s="117" t="n">
        <f aca="false">SUMIFS(الريسبي!$C$2:$C$1800,الريسبي!$A$2:$A$1800,$A152,الريسبي!$B$2:$B$1800,BJ$1)</f>
        <v>0</v>
      </c>
      <c r="BK152" s="117" t="n">
        <f aca="false">SUMIFS(الريسبي!$C$2:$C$1800,الريسبي!$A$2:$A$1800,$A152,الريسبي!$B$2:$B$1800,BK$1)</f>
        <v>0</v>
      </c>
      <c r="BL152" s="117" t="n">
        <f aca="false">SUMIFS(الريسبي!$C$2:$C$1800,الريسبي!$A$2:$A$1800,$A152,الريسبي!$B$2:$B$1800,BL$1)</f>
        <v>0</v>
      </c>
      <c r="BM152" s="117" t="n">
        <f aca="false">SUMIFS(الريسبي!$C$2:$C$1800,الريسبي!$A$2:$A$1800,$A152,الريسبي!$B$2:$B$1800,BM$1)</f>
        <v>0</v>
      </c>
      <c r="BN152" s="117" t="n">
        <f aca="false">SUMIFS(الريسبي!$C$2:$C$1800,الريسبي!$A$2:$A$1800,$A152,الريسبي!$B$2:$B$1800,BN$1)</f>
        <v>0</v>
      </c>
      <c r="BO152" s="117" t="n">
        <f aca="false">SUMIFS(الريسبي!$C$2:$C$1800,الريسبي!$A$2:$A$1800,$A152,الريسبي!$B$2:$B$1800,BO$1)</f>
        <v>0</v>
      </c>
      <c r="BP152" s="117" t="n">
        <f aca="false">SUMIFS(الريسبي!$C$2:$C$1800,الريسبي!$A$2:$A$1800,$A152,الريسبي!$B$2:$B$1800,BP$1)</f>
        <v>0</v>
      </c>
      <c r="BQ152" s="117" t="n">
        <f aca="false">SUMIFS(الريسبي!$C$2:$C$1800,الريسبي!$A$2:$A$1800,$A152,الريسبي!$B$2:$B$1800,BQ$1)+0.17*SUMIFS(الريسبي!$C$2:$C$1800,الريسبي!$A$2:$A$1800,$A152,الريسبي!$B$2:$B$1800,"كاسترد مصنع (خليط بودر + لبن)")+0.17*SUMIFS(الريسبي!$C$2:$C$1800,الريسبي!$A$2:$A$1800,$A152,الريسبي!$B$2:$B$1800,"كاسترد مصنع صيامي (بدون لبن)")</f>
        <v>0</v>
      </c>
      <c r="BR152" s="117" t="n">
        <f aca="false">SUMIFS(الريسبي!$C$2:$C$1800,الريسبي!$A$2:$A$1800,$A152,الريسبي!$B$2:$B$1800,BR$1)</f>
        <v>0</v>
      </c>
      <c r="BS152" s="117" t="n">
        <f aca="false">SUMIFS(الريسبي!$C$2:$C$1800,الريسبي!$A$2:$A$1800,$A152,الريسبي!$B$2:$B$1800,BS$1)</f>
        <v>0</v>
      </c>
      <c r="BT152" s="117" t="n">
        <f aca="false">SUMIFS(الريسبي!$C$2:$C$1800,الريسبي!$A$2:$A$1800,$A152,الريسبي!$B$2:$B$1800,BT$1)</f>
        <v>0</v>
      </c>
      <c r="BU152" s="117" t="n">
        <f aca="false">SUMIFS(الريسبي!$C$2:$C$1800,الريسبي!$A$2:$A$1800,$A152,الريسبي!$B$2:$B$1800,BU$1)+0.4*SUMIFS(الريسبي!$C$2:$C$1800,الريسبي!$A$2:$A$1800,$A152,الريسبي!$B$2:$B$1800,"كاسترد مصنع (خليط بودر + لبن)")+0.03333333333*SUMIFS(الريسبي!$C$2:$C$1800,الريسبي!$A$2:$A$1800,$A152,الريسبي!$B$2:$B$1800,"عجين كريب (مصنع بالمطعم)")</f>
        <v>0</v>
      </c>
      <c r="BV152" s="117" t="n">
        <f aca="false">SUMIFS(الريسبي!$C$2:$C$1800,الريسبي!$A$2:$A$1800,$A152,الريسبي!$B$2:$B$1800,BV$1)</f>
        <v>0</v>
      </c>
      <c r="BW152" s="117" t="n">
        <f aca="false">SUMIFS(الريسبي!$C$2:$C$1800,الريسبي!$A$2:$A$1800,$A152,الريسبي!$B$2:$B$1800,BW$1)</f>
        <v>0</v>
      </c>
      <c r="BX152" s="117" t="n">
        <f aca="false">SUMIFS(الريسبي!$C$2:$C$1800,الريسبي!$A$2:$A$1800,$A152,الريسبي!$B$2:$B$1800,BX$1)</f>
        <v>0</v>
      </c>
      <c r="BY152" s="117" t="n">
        <f aca="false">SUMIFS(الريسبي!$C$2:$C$1800,الريسبي!$A$2:$A$1800,$A152,الريسبي!$B$2:$B$1800,BY$1)</f>
        <v>0</v>
      </c>
      <c r="BZ152" s="117" t="n">
        <f aca="false">SUMIFS(الريسبي!$C$2:$C$1800,الريسبي!$A$2:$A$1800,$A152,الريسبي!$B$2:$B$1800,BZ$1)</f>
        <v>0</v>
      </c>
      <c r="CA152" s="117" t="n">
        <f aca="false">SUMIFS(الريسبي!$C$2:$C$1800,الريسبي!$A$2:$A$1800,$A152,الريسبي!$B$2:$B$1800,CA$1)</f>
        <v>0</v>
      </c>
      <c r="CB152" s="117" t="n">
        <f aca="false">SUMIFS(الريسبي!$C$2:$C$1800,الريسبي!$A$2:$A$1800,$A152,الريسبي!$B$2:$B$1800,CB$1)</f>
        <v>0</v>
      </c>
      <c r="CC152" s="117" t="n">
        <f aca="false">SUMIFS(الريسبي!$C$2:$C$1800,الريسبي!$A$2:$A$1800,$A152,الريسبي!$B$2:$B$1800,CC$1)</f>
        <v>0</v>
      </c>
      <c r="CD152" s="117" t="n">
        <f aca="false">SUMIFS(الريسبي!$C$2:$C$1800,الريسبي!$A$2:$A$1800,$A152,الريسبي!$B$2:$B$1800,CD$1)</f>
        <v>0</v>
      </c>
      <c r="CE152" s="117" t="n">
        <f aca="false">SUMIFS(الريسبي!$C$2:$C$1800,الريسبي!$A$2:$A$1800,$A152,الريسبي!$B$2:$B$1800,CE$1)</f>
        <v>0</v>
      </c>
      <c r="CF152" s="117" t="n">
        <f aca="false">SUMIFS(الريسبي!$C$2:$C$1800,الريسبي!$A$2:$A$1800,$A152,الريسبي!$B$2:$B$1800,CF$1)</f>
        <v>0</v>
      </c>
      <c r="CG152" s="117" t="n">
        <f aca="false">SUMIFS(الريسبي!$C$2:$C$1800,الريسبي!$A$2:$A$1800,$A152,الريسبي!$B$2:$B$1800,CG$1)</f>
        <v>0</v>
      </c>
      <c r="CH152" s="117" t="n">
        <f aca="false">SUMIFS(الريسبي!$C$2:$C$1800,الريسبي!$A$2:$A$1800,$A152,الريسبي!$B$2:$B$1800,CH$1)</f>
        <v>0</v>
      </c>
      <c r="CI152" s="117" t="n">
        <f aca="false">SUMIFS(الريسبي!$C$2:$C$1800,الريسبي!$A$2:$A$1800,$A152,الريسبي!$B$2:$B$1800,CI$1)</f>
        <v>0</v>
      </c>
      <c r="CJ152" s="117" t="n">
        <f aca="false">SUMIFS(الريسبي!$C$2:$C$1800,الريسبي!$A$2:$A$1800,$A152,الريسبي!$B$2:$B$1800,CJ$1)</f>
        <v>0</v>
      </c>
      <c r="CK152" s="117" t="n">
        <f aca="false">SUMIFS(الريسبي!$C$2:$C$1800,الريسبي!$A$2:$A$1800,$A152,الريسبي!$B$2:$B$1800,CK$1)</f>
        <v>0</v>
      </c>
      <c r="CL152" s="117" t="n">
        <f aca="false">SUMIFS(الريسبي!$C$2:$C$1800,الريسبي!$A$2:$A$1800,$A152,الريسبي!$B$2:$B$1800,CL$1)</f>
        <v>0</v>
      </c>
    </row>
    <row r="153" customFormat="false" ht="15" hidden="false" customHeight="false" outlineLevel="0" collapsed="false">
      <c r="A153" s="116" t="str">
        <f aca="false">المنيو!B153</f>
        <v>اضافة فراخ جريل (بيتزا وسط)</v>
      </c>
      <c r="B153" s="117" t="n">
        <f aca="false">SUMIFS(الريسبي!$C$2:$C$1800,الريسبي!$A$2:$A$1800,$A153,الريسبي!$B$2:$B$1800,B$1)</f>
        <v>0</v>
      </c>
      <c r="C153" s="117" t="n">
        <f aca="false">SUMIFS(الريسبي!$C$2:$C$1800,الريسبي!$A$2:$A$1800,$A153,الريسبي!$B$2:$B$1800,C$1)</f>
        <v>0</v>
      </c>
      <c r="D153" s="117" t="n">
        <f aca="false">SUMIFS(الريسبي!$C$2:$C$1800,الريسبي!$A$2:$A$1800,$A153,الريسبي!$B$2:$B$1800,D$1)</f>
        <v>0</v>
      </c>
      <c r="E153" s="117" t="n">
        <f aca="false">SUMIFS(الريسبي!$C$2:$C$1800,الريسبي!$A$2:$A$1800,$A153,الريسبي!$B$2:$B$1800,E$1)</f>
        <v>0</v>
      </c>
      <c r="F153" s="117" t="n">
        <f aca="false">SUMIFS(الريسبي!$C$2:$C$1800,الريسبي!$A$2:$A$1800,$A153,الريسبي!$B$2:$B$1800,F$1)</f>
        <v>0</v>
      </c>
      <c r="G153" s="117" t="n">
        <f aca="false">SUMIFS(الريسبي!$C$2:$C$1800,الريسبي!$A$2:$A$1800,$A153,الريسبي!$B$2:$B$1800,G$1)</f>
        <v>0</v>
      </c>
      <c r="H153" s="117" t="n">
        <f aca="false">SUMIFS(الريسبي!$C$2:$C$1800,الريسبي!$A$2:$A$1800,$A153,الريسبي!$B$2:$B$1800,H$1)</f>
        <v>0</v>
      </c>
      <c r="I153" s="117" t="n">
        <f aca="false">SUMIFS(الريسبي!$C$2:$C$1800,الريسبي!$A$2:$A$1800,$A153,الريسبي!$B$2:$B$1800,I$1)</f>
        <v>0</v>
      </c>
      <c r="J153" s="117" t="n">
        <f aca="false">SUMIFS(الريسبي!$C$2:$C$1800,الريسبي!$A$2:$A$1800,$A153,الريسبي!$B$2:$B$1800,J$1)</f>
        <v>0</v>
      </c>
      <c r="K153" s="117" t="n">
        <f aca="false">SUMIFS(الريسبي!$C$2:$C$1800,الريسبي!$A$2:$A$1800,$A153,الريسبي!$B$2:$B$1800,K$1)</f>
        <v>0</v>
      </c>
      <c r="L153" s="117" t="n">
        <f aca="false">SUMIFS(الريسبي!$C$2:$C$1800,الريسبي!$A$2:$A$1800,$A153,الريسبي!$B$2:$B$1800,L$1)</f>
        <v>0</v>
      </c>
      <c r="M153" s="117" t="n">
        <f aca="false">SUMIFS(الريسبي!$C$2:$C$1800,الريسبي!$A$2:$A$1800,$A153,الريسبي!$B$2:$B$1800,M$1)</f>
        <v>0</v>
      </c>
      <c r="N153" s="117" t="n">
        <f aca="false">SUMIFS(الريسبي!$C$2:$C$1800,الريسبي!$A$2:$A$1800,$A153,الريسبي!$B$2:$B$1800,N$1)</f>
        <v>0</v>
      </c>
      <c r="O153" s="117" t="n">
        <f aca="false">SUMIFS(الريسبي!$C$2:$C$1800,الريسبي!$A$2:$A$1800,$A153,الريسبي!$B$2:$B$1800,O$1)</f>
        <v>1</v>
      </c>
      <c r="P153" s="117" t="n">
        <f aca="false">SUMIFS(الريسبي!$C$2:$C$1800,الريسبي!$A$2:$A$1800,$A153,الريسبي!$B$2:$B$1800,P$1)</f>
        <v>0</v>
      </c>
      <c r="Q153" s="117" t="n">
        <f aca="false">SUMIFS(الريسبي!$C$2:$C$1800,الريسبي!$A$2:$A$1800,$A153,الريسبي!$B$2:$B$1800,Q$1)</f>
        <v>0</v>
      </c>
      <c r="R153" s="117" t="n">
        <f aca="false">SUMIFS(الريسبي!$C$2:$C$1800,الريسبي!$A$2:$A$1800,$A153,الريسبي!$B$2:$B$1800,R$1)</f>
        <v>0</v>
      </c>
      <c r="S153" s="117" t="n">
        <f aca="false">SUMIFS(الريسبي!$C$2:$C$1800,الريسبي!$A$2:$A$1800,$A153,الريسبي!$B$2:$B$1800,S$1)</f>
        <v>0</v>
      </c>
      <c r="T153" s="117" t="n">
        <f aca="false">SUMIFS(الريسبي!$C$2:$C$1800,الريسبي!$A$2:$A$1800,$A153,الريسبي!$B$2:$B$1800,T$1)</f>
        <v>0</v>
      </c>
      <c r="U153" s="117" t="n">
        <f aca="false">SUMIFS(الريسبي!$C$2:$C$1800,الريسبي!$A$2:$A$1800,$A153,الريسبي!$B$2:$B$1800,U$1)</f>
        <v>0</v>
      </c>
      <c r="V153" s="117" t="n">
        <f aca="false">SUMIFS(الريسبي!$C$2:$C$1800,الريسبي!$A$2:$A$1800,$A153,الريسبي!$B$2:$B$1800,V$1)</f>
        <v>0</v>
      </c>
      <c r="W153" s="117" t="n">
        <f aca="false">SUMIFS(الريسبي!$C$2:$C$1800,الريسبي!$A$2:$A$1800,$A153,الريسبي!$B$2:$B$1800,W$1)</f>
        <v>0</v>
      </c>
      <c r="X153" s="117" t="n">
        <f aca="false">SUMIFS(الريسبي!$C$2:$C$1800,الريسبي!$A$2:$A$1800,$A153,الريسبي!$B$2:$B$1800,X$1)</f>
        <v>0</v>
      </c>
      <c r="Y153" s="117" t="n">
        <f aca="false">SUMIFS(الريسبي!$C$2:$C$1800,الريسبي!$A$2:$A$1800,$A153,الريسبي!$B$2:$B$1800,Y$1)</f>
        <v>0</v>
      </c>
      <c r="Z153" s="117" t="n">
        <f aca="false">SUMIFS(الريسبي!$C$2:$C$1800,الريسبي!$A$2:$A$1800,$A153,الريسبي!$B$2:$B$1800,Z$1)</f>
        <v>0</v>
      </c>
      <c r="AA153" s="117" t="n">
        <f aca="false">SUMIFS(الريسبي!$C$2:$C$1800,الريسبي!$A$2:$A$1800,$A153,الريسبي!$B$2:$B$1800,AA$1)</f>
        <v>0</v>
      </c>
      <c r="AB153" s="117" t="n">
        <f aca="false">SUMIFS(الريسبي!$C$2:$C$1800,الريسبي!$A$2:$A$1800,$A153,الريسبي!$B$2:$B$1800,AB$1)</f>
        <v>0</v>
      </c>
      <c r="AC153" s="117" t="n">
        <f aca="false">SUMIFS(الريسبي!$C$2:$C$1800,الريسبي!$A$2:$A$1800,$A153,الريسبي!$B$2:$B$1800,AC$1)</f>
        <v>0</v>
      </c>
      <c r="AD153" s="117" t="n">
        <f aca="false">SUMIFS(الريسبي!$C$2:$C$1800,الريسبي!$A$2:$A$1800,$A153,الريسبي!$B$2:$B$1800,AD$1)</f>
        <v>0</v>
      </c>
      <c r="AE153" s="117" t="n">
        <f aca="false">SUMIFS(الريسبي!$C$2:$C$1800,الريسبي!$A$2:$A$1800,$A153,الريسبي!$B$2:$B$1800,AE$1)</f>
        <v>0</v>
      </c>
      <c r="AF153" s="117" t="n">
        <f aca="false">SUMIFS(الريسبي!$C$2:$C$1800,الريسبي!$A$2:$A$1800,$A153,الريسبي!$B$2:$B$1800,AF$1)</f>
        <v>0</v>
      </c>
      <c r="AG153" s="117" t="n">
        <f aca="false">SUMIFS(الريسبي!$C$2:$C$1800,الريسبي!$A$2:$A$1800,$A153,الريسبي!$B$2:$B$1800,AG$1)</f>
        <v>0</v>
      </c>
      <c r="AH153" s="117" t="n">
        <f aca="false">SUMIFS(الريسبي!$C$2:$C$1800,الريسبي!$A$2:$A$1800,$A153,الريسبي!$B$2:$B$1800,AH$1)</f>
        <v>0</v>
      </c>
      <c r="AI153" s="117" t="n">
        <f aca="false">SUMIFS(الريسبي!$C$2:$C$1800,الريسبي!$A$2:$A$1800,$A153,الريسبي!$B$2:$B$1800,AI$1)</f>
        <v>0</v>
      </c>
      <c r="AJ153" s="117" t="n">
        <f aca="false">SUMIFS(الريسبي!$C$2:$C$1800,الريسبي!$A$2:$A$1800,$A153,الريسبي!$B$2:$B$1800,AJ$1)</f>
        <v>0</v>
      </c>
      <c r="AK153" s="117" t="n">
        <f aca="false">SUMIFS(الريسبي!$C$2:$C$1800,الريسبي!$A$2:$A$1800,$A153,الريسبي!$B$2:$B$1800,AK$1)</f>
        <v>0</v>
      </c>
      <c r="AL153" s="117" t="n">
        <f aca="false">SUMIFS(الريسبي!$C$2:$C$1800,الريسبي!$A$2:$A$1800,$A153,الريسبي!$B$2:$B$1800,AL$1)</f>
        <v>0</v>
      </c>
      <c r="AM153" s="117" t="n">
        <f aca="false">SUMIFS(الريسبي!$C$2:$C$1800,الريسبي!$A$2:$A$1800,$A153,الريسبي!$B$2:$B$1800,AM$1)+0.08333333333*SUMIFS(الريسبي!$C$2:$C$1800,الريسبي!$A$2:$A$1800,$A153,الريسبي!$B$2:$B$1800,"عجين كريب (مصنع بالمطعم)")+0.08333333333*SUMIFS(الريسبي!$C$2:$C$1800,الريسبي!$A$2:$A$1800,$A153,الريسبي!$B$2:$B$1800,"عجين كريب صيامي (بدون لبن)")</f>
        <v>0</v>
      </c>
      <c r="AN153" s="117" t="n">
        <f aca="false">SUMIFS(الريسبي!$C$2:$C$1800,الريسبي!$A$2:$A$1800,$A153,الريسبي!$B$2:$B$1800,AN$1)+0.004166666667*SUMIFS(الريسبي!$C$2:$C$1800,الريسبي!$A$2:$A$1800,$A153,الريسبي!$B$2:$B$1800,"عجين كريب (مصنع بالمطعم)")+0.004166666667*SUMIFS(الريسبي!$C$2:$C$1800,الريسبي!$A$2:$A$1800,$A153,الريسبي!$B$2:$B$1800,"عجين كريب صيامي (بدون لبن)")</f>
        <v>0</v>
      </c>
      <c r="AO153" s="117" t="n">
        <f aca="false">SUMIFS(الريسبي!$C$2:$C$1800,الريسبي!$A$2:$A$1800,$A153,الريسبي!$B$2:$B$1800,AO$1)</f>
        <v>0</v>
      </c>
      <c r="AP153" s="117" t="n">
        <f aca="false">SUMIFS(الريسبي!$C$2:$C$1800,الريسبي!$A$2:$A$1800,$A153,الريسبي!$B$2:$B$1800,AP$1)</f>
        <v>0</v>
      </c>
      <c r="AQ153" s="117" t="n">
        <f aca="false">SUMIFS(الريسبي!$C$2:$C$1800,الريسبي!$A$2:$A$1800,$A153,الريسبي!$B$2:$B$1800,AQ$1)+0.004166666667*SUMIFS(الريسبي!$C$2:$C$1800,الريسبي!$A$2:$A$1800,$A153,الريسبي!$B$2:$B$1800,"عجين كريب (مصنع بالمطعم)")+0.004166666667*SUMIFS(الريسبي!$C$2:$C$1800,الريسبي!$A$2:$A$1800,$A153,الريسبي!$B$2:$B$1800,"عجين كريب صيامي (بدون لبن)")</f>
        <v>0</v>
      </c>
      <c r="AR153" s="117" t="n">
        <f aca="false">SUMIFS(الريسبي!$C$2:$C$1800,الريسبي!$A$2:$A$1800,$A153,الريسبي!$B$2:$B$1800,AR$1)</f>
        <v>0</v>
      </c>
      <c r="AS153" s="117" t="n">
        <f aca="false">SUMIFS(الريسبي!$C$2:$C$1800,الريسبي!$A$2:$A$1800,$A153,الريسبي!$B$2:$B$1800,AS$1)</f>
        <v>0</v>
      </c>
      <c r="AT153" s="117" t="n">
        <f aca="false">SUMIFS(الريسبي!$C$2:$C$1800,الريسبي!$A$2:$A$1800,$A153,الريسبي!$B$2:$B$1800,AT$1)</f>
        <v>0</v>
      </c>
      <c r="AU153" s="117" t="n">
        <f aca="false">SUMIFS(الريسبي!$C$2:$C$1800,الريسبي!$A$2:$A$1800,$A153,الريسبي!$B$2:$B$1800,AU$1)</f>
        <v>0</v>
      </c>
      <c r="AV153" s="117" t="n">
        <f aca="false">SUMIFS(الريسبي!$C$2:$C$1800,الريسبي!$A$2:$A$1800,$A153,الريسبي!$B$2:$B$1800,AV$1)</f>
        <v>0</v>
      </c>
      <c r="AW153" s="117" t="n">
        <f aca="false">SUMIFS(الريسبي!$C$2:$C$1800,الريسبي!$A$2:$A$1800,$A153,الريسبي!$B$2:$B$1800,AW$1)</f>
        <v>0</v>
      </c>
      <c r="AX153" s="117" t="n">
        <f aca="false">SUMIFS(الريسبي!$C$2:$C$1800,الريسبي!$A$2:$A$1800,$A153,الريسبي!$B$2:$B$1800,AX$1)</f>
        <v>0</v>
      </c>
      <c r="AY153" s="117" t="n">
        <f aca="false">SUMIFS(الريسبي!$C$2:$C$1800,الريسبي!$A$2:$A$1800,$A153,الريسبي!$B$2:$B$1800,AY$1)</f>
        <v>0</v>
      </c>
      <c r="AZ153" s="117" t="n">
        <f aca="false">SUMIFS(الريسبي!$C$2:$C$1800,الريسبي!$A$2:$A$1800,$A153,الريسبي!$B$2:$B$1800,AZ$1)</f>
        <v>0</v>
      </c>
      <c r="BA153" s="117" t="n">
        <f aca="false">SUMIFS(الريسبي!$C$2:$C$1800,الريسبي!$A$2:$A$1800,$A153,الريسبي!$B$2:$B$1800,BA$1)</f>
        <v>0</v>
      </c>
      <c r="BB153" s="117" t="n">
        <f aca="false">SUMIFS(الريسبي!$C$2:$C$1800,الريسبي!$A$2:$A$1800,$A153,الريسبي!$B$2:$B$1800,BB$1)</f>
        <v>0</v>
      </c>
      <c r="BC153" s="117" t="n">
        <f aca="false">SUMIFS(الريسبي!$C$2:$C$1800,الريسبي!$A$2:$A$1800,$A153,الريسبي!$B$2:$B$1800,BC$1)</f>
        <v>0</v>
      </c>
      <c r="BD153" s="117" t="n">
        <f aca="false">SUMIFS(الريسبي!$C$2:$C$1800,الريسبي!$A$2:$A$1800,$A153,الريسبي!$B$2:$B$1800,BD$1)</f>
        <v>0</v>
      </c>
      <c r="BE153" s="117" t="n">
        <f aca="false">SUMIFS(الريسبي!$C$2:$C$1800,الريسبي!$A$2:$A$1800,$A153,الريسبي!$B$2:$B$1800,BE$1)</f>
        <v>0</v>
      </c>
      <c r="BF153" s="117" t="n">
        <f aca="false">SUMIFS(الريسبي!$C$2:$C$1800,الريسبي!$A$2:$A$1800,$A153,الريسبي!$B$2:$B$1800,BF$1)</f>
        <v>0</v>
      </c>
      <c r="BG153" s="117" t="n">
        <f aca="false">SUMIFS(الريسبي!$C$2:$C$1800,الريسبي!$A$2:$A$1800,$A153,الريسبي!$B$2:$B$1800,BG$1)</f>
        <v>0</v>
      </c>
      <c r="BH153" s="117" t="n">
        <f aca="false">SUMIFS(الريسبي!$C$2:$C$1800,الريسبي!$A$2:$A$1800,$A153,الريسبي!$B$2:$B$1800,BH$1)</f>
        <v>0</v>
      </c>
      <c r="BI153" s="117" t="n">
        <f aca="false">SUMIFS(الريسبي!$C$2:$C$1800,الريسبي!$A$2:$A$1800,$A153,الريسبي!$B$2:$B$1800,BI$1)</f>
        <v>0</v>
      </c>
      <c r="BJ153" s="117" t="n">
        <f aca="false">SUMIFS(الريسبي!$C$2:$C$1800,الريسبي!$A$2:$A$1800,$A153,الريسبي!$B$2:$B$1800,BJ$1)</f>
        <v>0</v>
      </c>
      <c r="BK153" s="117" t="n">
        <f aca="false">SUMIFS(الريسبي!$C$2:$C$1800,الريسبي!$A$2:$A$1800,$A153,الريسبي!$B$2:$B$1800,BK$1)</f>
        <v>0</v>
      </c>
      <c r="BL153" s="117" t="n">
        <f aca="false">SUMIFS(الريسبي!$C$2:$C$1800,الريسبي!$A$2:$A$1800,$A153,الريسبي!$B$2:$B$1800,BL$1)</f>
        <v>0</v>
      </c>
      <c r="BM153" s="117" t="n">
        <f aca="false">SUMIFS(الريسبي!$C$2:$C$1800,الريسبي!$A$2:$A$1800,$A153,الريسبي!$B$2:$B$1800,BM$1)</f>
        <v>0</v>
      </c>
      <c r="BN153" s="117" t="n">
        <f aca="false">SUMIFS(الريسبي!$C$2:$C$1800,الريسبي!$A$2:$A$1800,$A153,الريسبي!$B$2:$B$1800,BN$1)</f>
        <v>0</v>
      </c>
      <c r="BO153" s="117" t="n">
        <f aca="false">SUMIFS(الريسبي!$C$2:$C$1800,الريسبي!$A$2:$A$1800,$A153,الريسبي!$B$2:$B$1800,BO$1)</f>
        <v>0</v>
      </c>
      <c r="BP153" s="117" t="n">
        <f aca="false">SUMIFS(الريسبي!$C$2:$C$1800,الريسبي!$A$2:$A$1800,$A153,الريسبي!$B$2:$B$1800,BP$1)</f>
        <v>0</v>
      </c>
      <c r="BQ153" s="117" t="n">
        <f aca="false">SUMIFS(الريسبي!$C$2:$C$1800,الريسبي!$A$2:$A$1800,$A153,الريسبي!$B$2:$B$1800,BQ$1)+0.17*SUMIFS(الريسبي!$C$2:$C$1800,الريسبي!$A$2:$A$1800,$A153,الريسبي!$B$2:$B$1800,"كاسترد مصنع (خليط بودر + لبن)")+0.17*SUMIFS(الريسبي!$C$2:$C$1800,الريسبي!$A$2:$A$1800,$A153,الريسبي!$B$2:$B$1800,"كاسترد مصنع صيامي (بدون لبن)")</f>
        <v>0</v>
      </c>
      <c r="BR153" s="117" t="n">
        <f aca="false">SUMIFS(الريسبي!$C$2:$C$1800,الريسبي!$A$2:$A$1800,$A153,الريسبي!$B$2:$B$1800,BR$1)</f>
        <v>0</v>
      </c>
      <c r="BS153" s="117" t="n">
        <f aca="false">SUMIFS(الريسبي!$C$2:$C$1800,الريسبي!$A$2:$A$1800,$A153,الريسبي!$B$2:$B$1800,BS$1)</f>
        <v>0</v>
      </c>
      <c r="BT153" s="117" t="n">
        <f aca="false">SUMIFS(الريسبي!$C$2:$C$1800,الريسبي!$A$2:$A$1800,$A153,الريسبي!$B$2:$B$1800,BT$1)</f>
        <v>0</v>
      </c>
      <c r="BU153" s="117" t="n">
        <f aca="false">SUMIFS(الريسبي!$C$2:$C$1800,الريسبي!$A$2:$A$1800,$A153,الريسبي!$B$2:$B$1800,BU$1)+0.4*SUMIFS(الريسبي!$C$2:$C$1800,الريسبي!$A$2:$A$1800,$A153,الريسبي!$B$2:$B$1800,"كاسترد مصنع (خليط بودر + لبن)")+0.03333333333*SUMIFS(الريسبي!$C$2:$C$1800,الريسبي!$A$2:$A$1800,$A153,الريسبي!$B$2:$B$1800,"عجين كريب (مصنع بالمطعم)")</f>
        <v>0</v>
      </c>
      <c r="BV153" s="117" t="n">
        <f aca="false">SUMIFS(الريسبي!$C$2:$C$1800,الريسبي!$A$2:$A$1800,$A153,الريسبي!$B$2:$B$1800,BV$1)</f>
        <v>0</v>
      </c>
      <c r="BW153" s="117" t="n">
        <f aca="false">SUMIFS(الريسبي!$C$2:$C$1800,الريسبي!$A$2:$A$1800,$A153,الريسبي!$B$2:$B$1800,BW$1)</f>
        <v>0</v>
      </c>
      <c r="BX153" s="117" t="n">
        <f aca="false">SUMIFS(الريسبي!$C$2:$C$1800,الريسبي!$A$2:$A$1800,$A153,الريسبي!$B$2:$B$1800,BX$1)</f>
        <v>0</v>
      </c>
      <c r="BY153" s="117" t="n">
        <f aca="false">SUMIFS(الريسبي!$C$2:$C$1800,الريسبي!$A$2:$A$1800,$A153,الريسبي!$B$2:$B$1800,BY$1)</f>
        <v>0</v>
      </c>
      <c r="BZ153" s="117" t="n">
        <f aca="false">SUMIFS(الريسبي!$C$2:$C$1800,الريسبي!$A$2:$A$1800,$A153,الريسبي!$B$2:$B$1800,BZ$1)</f>
        <v>0</v>
      </c>
      <c r="CA153" s="117" t="n">
        <f aca="false">SUMIFS(الريسبي!$C$2:$C$1800,الريسبي!$A$2:$A$1800,$A153,الريسبي!$B$2:$B$1800,CA$1)</f>
        <v>0</v>
      </c>
      <c r="CB153" s="117" t="n">
        <f aca="false">SUMIFS(الريسبي!$C$2:$C$1800,الريسبي!$A$2:$A$1800,$A153,الريسبي!$B$2:$B$1800,CB$1)</f>
        <v>0</v>
      </c>
      <c r="CC153" s="117" t="n">
        <f aca="false">SUMIFS(الريسبي!$C$2:$C$1800,الريسبي!$A$2:$A$1800,$A153,الريسبي!$B$2:$B$1800,CC$1)</f>
        <v>0</v>
      </c>
      <c r="CD153" s="117" t="n">
        <f aca="false">SUMIFS(الريسبي!$C$2:$C$1800,الريسبي!$A$2:$A$1800,$A153,الريسبي!$B$2:$B$1800,CD$1)</f>
        <v>0</v>
      </c>
      <c r="CE153" s="117" t="n">
        <f aca="false">SUMIFS(الريسبي!$C$2:$C$1800,الريسبي!$A$2:$A$1800,$A153,الريسبي!$B$2:$B$1800,CE$1)</f>
        <v>0</v>
      </c>
      <c r="CF153" s="117" t="n">
        <f aca="false">SUMIFS(الريسبي!$C$2:$C$1800,الريسبي!$A$2:$A$1800,$A153,الريسبي!$B$2:$B$1800,CF$1)</f>
        <v>0</v>
      </c>
      <c r="CG153" s="117" t="n">
        <f aca="false">SUMIFS(الريسبي!$C$2:$C$1800,الريسبي!$A$2:$A$1800,$A153,الريسبي!$B$2:$B$1800,CG$1)</f>
        <v>0</v>
      </c>
      <c r="CH153" s="117" t="n">
        <f aca="false">SUMIFS(الريسبي!$C$2:$C$1800,الريسبي!$A$2:$A$1800,$A153,الريسبي!$B$2:$B$1800,CH$1)</f>
        <v>0</v>
      </c>
      <c r="CI153" s="117" t="n">
        <f aca="false">SUMIFS(الريسبي!$C$2:$C$1800,الريسبي!$A$2:$A$1800,$A153,الريسبي!$B$2:$B$1800,CI$1)</f>
        <v>0</v>
      </c>
      <c r="CJ153" s="117" t="n">
        <f aca="false">SUMIFS(الريسبي!$C$2:$C$1800,الريسبي!$A$2:$A$1800,$A153,الريسبي!$B$2:$B$1800,CJ$1)</f>
        <v>0</v>
      </c>
      <c r="CK153" s="117" t="n">
        <f aca="false">SUMIFS(الريسبي!$C$2:$C$1800,الريسبي!$A$2:$A$1800,$A153,الريسبي!$B$2:$B$1800,CK$1)</f>
        <v>0</v>
      </c>
      <c r="CL153" s="117" t="n">
        <f aca="false">SUMIFS(الريسبي!$C$2:$C$1800,الريسبي!$A$2:$A$1800,$A153,الريسبي!$B$2:$B$1800,CL$1)</f>
        <v>0</v>
      </c>
    </row>
    <row r="154" customFormat="false" ht="15" hidden="false" customHeight="false" outlineLevel="0" collapsed="false">
      <c r="A154" s="116" t="str">
        <f aca="false">المنيو!B154</f>
        <v>اضافة فراخ جريل (بيتزا كبير)</v>
      </c>
      <c r="B154" s="117" t="n">
        <f aca="false">SUMIFS(الريسبي!$C$2:$C$1800,الريسبي!$A$2:$A$1800,$A154,الريسبي!$B$2:$B$1800,B$1)</f>
        <v>0</v>
      </c>
      <c r="C154" s="117" t="n">
        <f aca="false">SUMIFS(الريسبي!$C$2:$C$1800,الريسبي!$A$2:$A$1800,$A154,الريسبي!$B$2:$B$1800,C$1)</f>
        <v>0</v>
      </c>
      <c r="D154" s="117" t="n">
        <f aca="false">SUMIFS(الريسبي!$C$2:$C$1800,الريسبي!$A$2:$A$1800,$A154,الريسبي!$B$2:$B$1800,D$1)</f>
        <v>0</v>
      </c>
      <c r="E154" s="117" t="n">
        <f aca="false">SUMIFS(الريسبي!$C$2:$C$1800,الريسبي!$A$2:$A$1800,$A154,الريسبي!$B$2:$B$1800,E$1)</f>
        <v>0</v>
      </c>
      <c r="F154" s="117" t="n">
        <f aca="false">SUMIFS(الريسبي!$C$2:$C$1800,الريسبي!$A$2:$A$1800,$A154,الريسبي!$B$2:$B$1800,F$1)</f>
        <v>0</v>
      </c>
      <c r="G154" s="117" t="n">
        <f aca="false">SUMIFS(الريسبي!$C$2:$C$1800,الريسبي!$A$2:$A$1800,$A154,الريسبي!$B$2:$B$1800,G$1)</f>
        <v>0</v>
      </c>
      <c r="H154" s="117" t="n">
        <f aca="false">SUMIFS(الريسبي!$C$2:$C$1800,الريسبي!$A$2:$A$1800,$A154,الريسبي!$B$2:$B$1800,H$1)</f>
        <v>0</v>
      </c>
      <c r="I154" s="117" t="n">
        <f aca="false">SUMIFS(الريسبي!$C$2:$C$1800,الريسبي!$A$2:$A$1800,$A154,الريسبي!$B$2:$B$1800,I$1)</f>
        <v>0</v>
      </c>
      <c r="J154" s="117" t="n">
        <f aca="false">SUMIFS(الريسبي!$C$2:$C$1800,الريسبي!$A$2:$A$1800,$A154,الريسبي!$B$2:$B$1800,J$1)</f>
        <v>0</v>
      </c>
      <c r="K154" s="117" t="n">
        <f aca="false">SUMIFS(الريسبي!$C$2:$C$1800,الريسبي!$A$2:$A$1800,$A154,الريسبي!$B$2:$B$1800,K$1)</f>
        <v>0</v>
      </c>
      <c r="L154" s="117" t="n">
        <f aca="false">SUMIFS(الريسبي!$C$2:$C$1800,الريسبي!$A$2:$A$1800,$A154,الريسبي!$B$2:$B$1800,L$1)</f>
        <v>0</v>
      </c>
      <c r="M154" s="117" t="n">
        <f aca="false">SUMIFS(الريسبي!$C$2:$C$1800,الريسبي!$A$2:$A$1800,$A154,الريسبي!$B$2:$B$1800,M$1)</f>
        <v>0</v>
      </c>
      <c r="N154" s="117" t="n">
        <f aca="false">SUMIFS(الريسبي!$C$2:$C$1800,الريسبي!$A$2:$A$1800,$A154,الريسبي!$B$2:$B$1800,N$1)</f>
        <v>0</v>
      </c>
      <c r="O154" s="117" t="n">
        <f aca="false">SUMIFS(الريسبي!$C$2:$C$1800,الريسبي!$A$2:$A$1800,$A154,الريسبي!$B$2:$B$1800,O$1)</f>
        <v>0</v>
      </c>
      <c r="P154" s="117" t="n">
        <f aca="false">SUMIFS(الريسبي!$C$2:$C$1800,الريسبي!$A$2:$A$1800,$A154,الريسبي!$B$2:$B$1800,P$1)</f>
        <v>1</v>
      </c>
      <c r="Q154" s="117" t="n">
        <f aca="false">SUMIFS(الريسبي!$C$2:$C$1800,الريسبي!$A$2:$A$1800,$A154,الريسبي!$B$2:$B$1800,Q$1)</f>
        <v>0</v>
      </c>
      <c r="R154" s="117" t="n">
        <f aca="false">SUMIFS(الريسبي!$C$2:$C$1800,الريسبي!$A$2:$A$1800,$A154,الريسبي!$B$2:$B$1800,R$1)</f>
        <v>0</v>
      </c>
      <c r="S154" s="117" t="n">
        <f aca="false">SUMIFS(الريسبي!$C$2:$C$1800,الريسبي!$A$2:$A$1800,$A154,الريسبي!$B$2:$B$1800,S$1)</f>
        <v>0</v>
      </c>
      <c r="T154" s="117" t="n">
        <f aca="false">SUMIFS(الريسبي!$C$2:$C$1800,الريسبي!$A$2:$A$1800,$A154,الريسبي!$B$2:$B$1800,T$1)</f>
        <v>0</v>
      </c>
      <c r="U154" s="117" t="n">
        <f aca="false">SUMIFS(الريسبي!$C$2:$C$1800,الريسبي!$A$2:$A$1800,$A154,الريسبي!$B$2:$B$1800,U$1)</f>
        <v>0</v>
      </c>
      <c r="V154" s="117" t="n">
        <f aca="false">SUMIFS(الريسبي!$C$2:$C$1800,الريسبي!$A$2:$A$1800,$A154,الريسبي!$B$2:$B$1800,V$1)</f>
        <v>0</v>
      </c>
      <c r="W154" s="117" t="n">
        <f aca="false">SUMIFS(الريسبي!$C$2:$C$1800,الريسبي!$A$2:$A$1800,$A154,الريسبي!$B$2:$B$1800,W$1)</f>
        <v>0</v>
      </c>
      <c r="X154" s="117" t="n">
        <f aca="false">SUMIFS(الريسبي!$C$2:$C$1800,الريسبي!$A$2:$A$1800,$A154,الريسبي!$B$2:$B$1800,X$1)</f>
        <v>0</v>
      </c>
      <c r="Y154" s="117" t="n">
        <f aca="false">SUMIFS(الريسبي!$C$2:$C$1800,الريسبي!$A$2:$A$1800,$A154,الريسبي!$B$2:$B$1800,Y$1)</f>
        <v>0</v>
      </c>
      <c r="Z154" s="117" t="n">
        <f aca="false">SUMIFS(الريسبي!$C$2:$C$1800,الريسبي!$A$2:$A$1800,$A154,الريسبي!$B$2:$B$1800,Z$1)</f>
        <v>0</v>
      </c>
      <c r="AA154" s="117" t="n">
        <f aca="false">SUMIFS(الريسبي!$C$2:$C$1800,الريسبي!$A$2:$A$1800,$A154,الريسبي!$B$2:$B$1800,AA$1)</f>
        <v>0</v>
      </c>
      <c r="AB154" s="117" t="n">
        <f aca="false">SUMIFS(الريسبي!$C$2:$C$1800,الريسبي!$A$2:$A$1800,$A154,الريسبي!$B$2:$B$1800,AB$1)</f>
        <v>0</v>
      </c>
      <c r="AC154" s="117" t="n">
        <f aca="false">SUMIFS(الريسبي!$C$2:$C$1800,الريسبي!$A$2:$A$1800,$A154,الريسبي!$B$2:$B$1800,AC$1)</f>
        <v>0</v>
      </c>
      <c r="AD154" s="117" t="n">
        <f aca="false">SUMIFS(الريسبي!$C$2:$C$1800,الريسبي!$A$2:$A$1800,$A154,الريسبي!$B$2:$B$1800,AD$1)</f>
        <v>0</v>
      </c>
      <c r="AE154" s="117" t="n">
        <f aca="false">SUMIFS(الريسبي!$C$2:$C$1800,الريسبي!$A$2:$A$1800,$A154,الريسبي!$B$2:$B$1800,AE$1)</f>
        <v>0</v>
      </c>
      <c r="AF154" s="117" t="n">
        <f aca="false">SUMIFS(الريسبي!$C$2:$C$1800,الريسبي!$A$2:$A$1800,$A154,الريسبي!$B$2:$B$1800,AF$1)</f>
        <v>0</v>
      </c>
      <c r="AG154" s="117" t="n">
        <f aca="false">SUMIFS(الريسبي!$C$2:$C$1800,الريسبي!$A$2:$A$1800,$A154,الريسبي!$B$2:$B$1800,AG$1)</f>
        <v>0</v>
      </c>
      <c r="AH154" s="117" t="n">
        <f aca="false">SUMIFS(الريسبي!$C$2:$C$1800,الريسبي!$A$2:$A$1800,$A154,الريسبي!$B$2:$B$1800,AH$1)</f>
        <v>0</v>
      </c>
      <c r="AI154" s="117" t="n">
        <f aca="false">SUMIFS(الريسبي!$C$2:$C$1800,الريسبي!$A$2:$A$1800,$A154,الريسبي!$B$2:$B$1800,AI$1)</f>
        <v>0</v>
      </c>
      <c r="AJ154" s="117" t="n">
        <f aca="false">SUMIFS(الريسبي!$C$2:$C$1800,الريسبي!$A$2:$A$1800,$A154,الريسبي!$B$2:$B$1800,AJ$1)</f>
        <v>0</v>
      </c>
      <c r="AK154" s="117" t="n">
        <f aca="false">SUMIFS(الريسبي!$C$2:$C$1800,الريسبي!$A$2:$A$1800,$A154,الريسبي!$B$2:$B$1800,AK$1)</f>
        <v>0</v>
      </c>
      <c r="AL154" s="117" t="n">
        <f aca="false">SUMIFS(الريسبي!$C$2:$C$1800,الريسبي!$A$2:$A$1800,$A154,الريسبي!$B$2:$B$1800,AL$1)</f>
        <v>0</v>
      </c>
      <c r="AM154" s="117" t="n">
        <f aca="false">SUMIFS(الريسبي!$C$2:$C$1800,الريسبي!$A$2:$A$1800,$A154,الريسبي!$B$2:$B$1800,AM$1)+0.08333333333*SUMIFS(الريسبي!$C$2:$C$1800,الريسبي!$A$2:$A$1800,$A154,الريسبي!$B$2:$B$1800,"عجين كريب (مصنع بالمطعم)")+0.08333333333*SUMIFS(الريسبي!$C$2:$C$1800,الريسبي!$A$2:$A$1800,$A154,الريسبي!$B$2:$B$1800,"عجين كريب صيامي (بدون لبن)")</f>
        <v>0</v>
      </c>
      <c r="AN154" s="117" t="n">
        <f aca="false">SUMIFS(الريسبي!$C$2:$C$1800,الريسبي!$A$2:$A$1800,$A154,الريسبي!$B$2:$B$1800,AN$1)+0.004166666667*SUMIFS(الريسبي!$C$2:$C$1800,الريسبي!$A$2:$A$1800,$A154,الريسبي!$B$2:$B$1800,"عجين كريب (مصنع بالمطعم)")+0.004166666667*SUMIFS(الريسبي!$C$2:$C$1800,الريسبي!$A$2:$A$1800,$A154,الريسبي!$B$2:$B$1800,"عجين كريب صيامي (بدون لبن)")</f>
        <v>0</v>
      </c>
      <c r="AO154" s="117" t="n">
        <f aca="false">SUMIFS(الريسبي!$C$2:$C$1800,الريسبي!$A$2:$A$1800,$A154,الريسبي!$B$2:$B$1800,AO$1)</f>
        <v>0</v>
      </c>
      <c r="AP154" s="117" t="n">
        <f aca="false">SUMIFS(الريسبي!$C$2:$C$1800,الريسبي!$A$2:$A$1800,$A154,الريسبي!$B$2:$B$1800,AP$1)</f>
        <v>0</v>
      </c>
      <c r="AQ154" s="117" t="n">
        <f aca="false">SUMIFS(الريسبي!$C$2:$C$1800,الريسبي!$A$2:$A$1800,$A154,الريسبي!$B$2:$B$1800,AQ$1)+0.004166666667*SUMIFS(الريسبي!$C$2:$C$1800,الريسبي!$A$2:$A$1800,$A154,الريسبي!$B$2:$B$1800,"عجين كريب (مصنع بالمطعم)")+0.004166666667*SUMIFS(الريسبي!$C$2:$C$1800,الريسبي!$A$2:$A$1800,$A154,الريسبي!$B$2:$B$1800,"عجين كريب صيامي (بدون لبن)")</f>
        <v>0</v>
      </c>
      <c r="AR154" s="117" t="n">
        <f aca="false">SUMIFS(الريسبي!$C$2:$C$1800,الريسبي!$A$2:$A$1800,$A154,الريسبي!$B$2:$B$1800,AR$1)</f>
        <v>0</v>
      </c>
      <c r="AS154" s="117" t="n">
        <f aca="false">SUMIFS(الريسبي!$C$2:$C$1800,الريسبي!$A$2:$A$1800,$A154,الريسبي!$B$2:$B$1800,AS$1)</f>
        <v>0</v>
      </c>
      <c r="AT154" s="117" t="n">
        <f aca="false">SUMIFS(الريسبي!$C$2:$C$1800,الريسبي!$A$2:$A$1800,$A154,الريسبي!$B$2:$B$1800,AT$1)</f>
        <v>0</v>
      </c>
      <c r="AU154" s="117" t="n">
        <f aca="false">SUMIFS(الريسبي!$C$2:$C$1800,الريسبي!$A$2:$A$1800,$A154,الريسبي!$B$2:$B$1800,AU$1)</f>
        <v>0</v>
      </c>
      <c r="AV154" s="117" t="n">
        <f aca="false">SUMIFS(الريسبي!$C$2:$C$1800,الريسبي!$A$2:$A$1800,$A154,الريسبي!$B$2:$B$1800,AV$1)</f>
        <v>0</v>
      </c>
      <c r="AW154" s="117" t="n">
        <f aca="false">SUMIFS(الريسبي!$C$2:$C$1800,الريسبي!$A$2:$A$1800,$A154,الريسبي!$B$2:$B$1800,AW$1)</f>
        <v>0</v>
      </c>
      <c r="AX154" s="117" t="n">
        <f aca="false">SUMIFS(الريسبي!$C$2:$C$1800,الريسبي!$A$2:$A$1800,$A154,الريسبي!$B$2:$B$1800,AX$1)</f>
        <v>0</v>
      </c>
      <c r="AY154" s="117" t="n">
        <f aca="false">SUMIFS(الريسبي!$C$2:$C$1800,الريسبي!$A$2:$A$1800,$A154,الريسبي!$B$2:$B$1800,AY$1)</f>
        <v>0</v>
      </c>
      <c r="AZ154" s="117" t="n">
        <f aca="false">SUMIFS(الريسبي!$C$2:$C$1800,الريسبي!$A$2:$A$1800,$A154,الريسبي!$B$2:$B$1800,AZ$1)</f>
        <v>0</v>
      </c>
      <c r="BA154" s="117" t="n">
        <f aca="false">SUMIFS(الريسبي!$C$2:$C$1800,الريسبي!$A$2:$A$1800,$A154,الريسبي!$B$2:$B$1800,BA$1)</f>
        <v>0</v>
      </c>
      <c r="BB154" s="117" t="n">
        <f aca="false">SUMIFS(الريسبي!$C$2:$C$1800,الريسبي!$A$2:$A$1800,$A154,الريسبي!$B$2:$B$1800,BB$1)</f>
        <v>0</v>
      </c>
      <c r="BC154" s="117" t="n">
        <f aca="false">SUMIFS(الريسبي!$C$2:$C$1800,الريسبي!$A$2:$A$1800,$A154,الريسبي!$B$2:$B$1800,BC$1)</f>
        <v>0</v>
      </c>
      <c r="BD154" s="117" t="n">
        <f aca="false">SUMIFS(الريسبي!$C$2:$C$1800,الريسبي!$A$2:$A$1800,$A154,الريسبي!$B$2:$B$1800,BD$1)</f>
        <v>0</v>
      </c>
      <c r="BE154" s="117" t="n">
        <f aca="false">SUMIFS(الريسبي!$C$2:$C$1800,الريسبي!$A$2:$A$1800,$A154,الريسبي!$B$2:$B$1800,BE$1)</f>
        <v>0</v>
      </c>
      <c r="BF154" s="117" t="n">
        <f aca="false">SUMIFS(الريسبي!$C$2:$C$1800,الريسبي!$A$2:$A$1800,$A154,الريسبي!$B$2:$B$1800,BF$1)</f>
        <v>0</v>
      </c>
      <c r="BG154" s="117" t="n">
        <f aca="false">SUMIFS(الريسبي!$C$2:$C$1800,الريسبي!$A$2:$A$1800,$A154,الريسبي!$B$2:$B$1800,BG$1)</f>
        <v>0</v>
      </c>
      <c r="BH154" s="117" t="n">
        <f aca="false">SUMIFS(الريسبي!$C$2:$C$1800,الريسبي!$A$2:$A$1800,$A154,الريسبي!$B$2:$B$1800,BH$1)</f>
        <v>0</v>
      </c>
      <c r="BI154" s="117" t="n">
        <f aca="false">SUMIFS(الريسبي!$C$2:$C$1800,الريسبي!$A$2:$A$1800,$A154,الريسبي!$B$2:$B$1800,BI$1)</f>
        <v>0</v>
      </c>
      <c r="BJ154" s="117" t="n">
        <f aca="false">SUMIFS(الريسبي!$C$2:$C$1800,الريسبي!$A$2:$A$1800,$A154,الريسبي!$B$2:$B$1800,BJ$1)</f>
        <v>0</v>
      </c>
      <c r="BK154" s="117" t="n">
        <f aca="false">SUMIFS(الريسبي!$C$2:$C$1800,الريسبي!$A$2:$A$1800,$A154,الريسبي!$B$2:$B$1800,BK$1)</f>
        <v>0</v>
      </c>
      <c r="BL154" s="117" t="n">
        <f aca="false">SUMIFS(الريسبي!$C$2:$C$1800,الريسبي!$A$2:$A$1800,$A154,الريسبي!$B$2:$B$1800,BL$1)</f>
        <v>0</v>
      </c>
      <c r="BM154" s="117" t="n">
        <f aca="false">SUMIFS(الريسبي!$C$2:$C$1800,الريسبي!$A$2:$A$1800,$A154,الريسبي!$B$2:$B$1800,BM$1)</f>
        <v>0</v>
      </c>
      <c r="BN154" s="117" t="n">
        <f aca="false">SUMIFS(الريسبي!$C$2:$C$1800,الريسبي!$A$2:$A$1800,$A154,الريسبي!$B$2:$B$1800,BN$1)</f>
        <v>0</v>
      </c>
      <c r="BO154" s="117" t="n">
        <f aca="false">SUMIFS(الريسبي!$C$2:$C$1800,الريسبي!$A$2:$A$1800,$A154,الريسبي!$B$2:$B$1800,BO$1)</f>
        <v>0</v>
      </c>
      <c r="BP154" s="117" t="n">
        <f aca="false">SUMIFS(الريسبي!$C$2:$C$1800,الريسبي!$A$2:$A$1800,$A154,الريسبي!$B$2:$B$1800,BP$1)</f>
        <v>0</v>
      </c>
      <c r="BQ154" s="117" t="n">
        <f aca="false">SUMIFS(الريسبي!$C$2:$C$1800,الريسبي!$A$2:$A$1800,$A154,الريسبي!$B$2:$B$1800,BQ$1)+0.17*SUMIFS(الريسبي!$C$2:$C$1800,الريسبي!$A$2:$A$1800,$A154,الريسبي!$B$2:$B$1800,"كاسترد مصنع (خليط بودر + لبن)")+0.17*SUMIFS(الريسبي!$C$2:$C$1800,الريسبي!$A$2:$A$1800,$A154,الريسبي!$B$2:$B$1800,"كاسترد مصنع صيامي (بدون لبن)")</f>
        <v>0</v>
      </c>
      <c r="BR154" s="117" t="n">
        <f aca="false">SUMIFS(الريسبي!$C$2:$C$1800,الريسبي!$A$2:$A$1800,$A154,الريسبي!$B$2:$B$1800,BR$1)</f>
        <v>0</v>
      </c>
      <c r="BS154" s="117" t="n">
        <f aca="false">SUMIFS(الريسبي!$C$2:$C$1800,الريسبي!$A$2:$A$1800,$A154,الريسبي!$B$2:$B$1800,BS$1)</f>
        <v>0</v>
      </c>
      <c r="BT154" s="117" t="n">
        <f aca="false">SUMIFS(الريسبي!$C$2:$C$1800,الريسبي!$A$2:$A$1800,$A154,الريسبي!$B$2:$B$1800,BT$1)</f>
        <v>0</v>
      </c>
      <c r="BU154" s="117" t="n">
        <f aca="false">SUMIFS(الريسبي!$C$2:$C$1800,الريسبي!$A$2:$A$1800,$A154,الريسبي!$B$2:$B$1800,BU$1)+0.4*SUMIFS(الريسبي!$C$2:$C$1800,الريسبي!$A$2:$A$1800,$A154,الريسبي!$B$2:$B$1800,"كاسترد مصنع (خليط بودر + لبن)")+0.03333333333*SUMIFS(الريسبي!$C$2:$C$1800,الريسبي!$A$2:$A$1800,$A154,الريسبي!$B$2:$B$1800,"عجين كريب (مصنع بالمطعم)")</f>
        <v>0</v>
      </c>
      <c r="BV154" s="117" t="n">
        <f aca="false">SUMIFS(الريسبي!$C$2:$C$1800,الريسبي!$A$2:$A$1800,$A154,الريسبي!$B$2:$B$1800,BV$1)</f>
        <v>0</v>
      </c>
      <c r="BW154" s="117" t="n">
        <f aca="false">SUMIFS(الريسبي!$C$2:$C$1800,الريسبي!$A$2:$A$1800,$A154,الريسبي!$B$2:$B$1800,BW$1)</f>
        <v>0</v>
      </c>
      <c r="BX154" s="117" t="n">
        <f aca="false">SUMIFS(الريسبي!$C$2:$C$1800,الريسبي!$A$2:$A$1800,$A154,الريسبي!$B$2:$B$1800,BX$1)</f>
        <v>0</v>
      </c>
      <c r="BY154" s="117" t="n">
        <f aca="false">SUMIFS(الريسبي!$C$2:$C$1800,الريسبي!$A$2:$A$1800,$A154,الريسبي!$B$2:$B$1800,BY$1)</f>
        <v>0</v>
      </c>
      <c r="BZ154" s="117" t="n">
        <f aca="false">SUMIFS(الريسبي!$C$2:$C$1800,الريسبي!$A$2:$A$1800,$A154,الريسبي!$B$2:$B$1800,BZ$1)</f>
        <v>0</v>
      </c>
      <c r="CA154" s="117" t="n">
        <f aca="false">SUMIFS(الريسبي!$C$2:$C$1800,الريسبي!$A$2:$A$1800,$A154,الريسبي!$B$2:$B$1800,CA$1)</f>
        <v>0</v>
      </c>
      <c r="CB154" s="117" t="n">
        <f aca="false">SUMIFS(الريسبي!$C$2:$C$1800,الريسبي!$A$2:$A$1800,$A154,الريسبي!$B$2:$B$1800,CB$1)</f>
        <v>0</v>
      </c>
      <c r="CC154" s="117" t="n">
        <f aca="false">SUMIFS(الريسبي!$C$2:$C$1800,الريسبي!$A$2:$A$1800,$A154,الريسبي!$B$2:$B$1800,CC$1)</f>
        <v>0</v>
      </c>
      <c r="CD154" s="117" t="n">
        <f aca="false">SUMIFS(الريسبي!$C$2:$C$1800,الريسبي!$A$2:$A$1800,$A154,الريسبي!$B$2:$B$1800,CD$1)</f>
        <v>0</v>
      </c>
      <c r="CE154" s="117" t="n">
        <f aca="false">SUMIFS(الريسبي!$C$2:$C$1800,الريسبي!$A$2:$A$1800,$A154,الريسبي!$B$2:$B$1800,CE$1)</f>
        <v>0</v>
      </c>
      <c r="CF154" s="117" t="n">
        <f aca="false">SUMIFS(الريسبي!$C$2:$C$1800,الريسبي!$A$2:$A$1800,$A154,الريسبي!$B$2:$B$1800,CF$1)</f>
        <v>0</v>
      </c>
      <c r="CG154" s="117" t="n">
        <f aca="false">SUMIFS(الريسبي!$C$2:$C$1800,الريسبي!$A$2:$A$1800,$A154,الريسبي!$B$2:$B$1800,CG$1)</f>
        <v>0</v>
      </c>
      <c r="CH154" s="117" t="n">
        <f aca="false">SUMIFS(الريسبي!$C$2:$C$1800,الريسبي!$A$2:$A$1800,$A154,الريسبي!$B$2:$B$1800,CH$1)</f>
        <v>0</v>
      </c>
      <c r="CI154" s="117" t="n">
        <f aca="false">SUMIFS(الريسبي!$C$2:$C$1800,الريسبي!$A$2:$A$1800,$A154,الريسبي!$B$2:$B$1800,CI$1)</f>
        <v>0</v>
      </c>
      <c r="CJ154" s="117" t="n">
        <f aca="false">SUMIFS(الريسبي!$C$2:$C$1800,الريسبي!$A$2:$A$1800,$A154,الريسبي!$B$2:$B$1800,CJ$1)</f>
        <v>0</v>
      </c>
      <c r="CK154" s="117" t="n">
        <f aca="false">SUMIFS(الريسبي!$C$2:$C$1800,الريسبي!$A$2:$A$1800,$A154,الريسبي!$B$2:$B$1800,CK$1)</f>
        <v>0</v>
      </c>
      <c r="CL154" s="117" t="n">
        <f aca="false">SUMIFS(الريسبي!$C$2:$C$1800,الريسبي!$A$2:$A$1800,$A154,الريسبي!$B$2:$B$1800,CL$1)</f>
        <v>0</v>
      </c>
    </row>
    <row r="155" customFormat="false" ht="15" hidden="false" customHeight="false" outlineLevel="0" collapsed="false">
      <c r="A155" s="116" t="str">
        <f aca="false">المنيو!B155</f>
        <v>اضافة فراخ جريل (فطير كبير)</v>
      </c>
      <c r="B155" s="117" t="n">
        <f aca="false">SUMIFS(الريسبي!$C$2:$C$1800,الريسبي!$A$2:$A$1800,$A155,الريسبي!$B$2:$B$1800,B$1)</f>
        <v>0</v>
      </c>
      <c r="C155" s="117" t="n">
        <f aca="false">SUMIFS(الريسبي!$C$2:$C$1800,الريسبي!$A$2:$A$1800,$A155,الريسبي!$B$2:$B$1800,C$1)</f>
        <v>0</v>
      </c>
      <c r="D155" s="117" t="n">
        <f aca="false">SUMIFS(الريسبي!$C$2:$C$1800,الريسبي!$A$2:$A$1800,$A155,الريسبي!$B$2:$B$1800,D$1)</f>
        <v>0</v>
      </c>
      <c r="E155" s="117" t="n">
        <f aca="false">SUMIFS(الريسبي!$C$2:$C$1800,الريسبي!$A$2:$A$1800,$A155,الريسبي!$B$2:$B$1800,E$1)</f>
        <v>0</v>
      </c>
      <c r="F155" s="117" t="n">
        <f aca="false">SUMIFS(الريسبي!$C$2:$C$1800,الريسبي!$A$2:$A$1800,$A155,الريسبي!$B$2:$B$1800,F$1)</f>
        <v>0</v>
      </c>
      <c r="G155" s="117" t="n">
        <f aca="false">SUMIFS(الريسبي!$C$2:$C$1800,الريسبي!$A$2:$A$1800,$A155,الريسبي!$B$2:$B$1800,G$1)</f>
        <v>0</v>
      </c>
      <c r="H155" s="117" t="n">
        <f aca="false">SUMIFS(الريسبي!$C$2:$C$1800,الريسبي!$A$2:$A$1800,$A155,الريسبي!$B$2:$B$1800,H$1)</f>
        <v>0</v>
      </c>
      <c r="I155" s="117" t="n">
        <f aca="false">SUMIFS(الريسبي!$C$2:$C$1800,الريسبي!$A$2:$A$1800,$A155,الريسبي!$B$2:$B$1800,I$1)</f>
        <v>0</v>
      </c>
      <c r="J155" s="117" t="n">
        <f aca="false">SUMIFS(الريسبي!$C$2:$C$1800,الريسبي!$A$2:$A$1800,$A155,الريسبي!$B$2:$B$1800,J$1)</f>
        <v>0</v>
      </c>
      <c r="K155" s="117" t="n">
        <f aca="false">SUMIFS(الريسبي!$C$2:$C$1800,الريسبي!$A$2:$A$1800,$A155,الريسبي!$B$2:$B$1800,K$1)</f>
        <v>0</v>
      </c>
      <c r="L155" s="117" t="n">
        <f aca="false">SUMIFS(الريسبي!$C$2:$C$1800,الريسبي!$A$2:$A$1800,$A155,الريسبي!$B$2:$B$1800,L$1)</f>
        <v>0</v>
      </c>
      <c r="M155" s="117" t="n">
        <f aca="false">SUMIFS(الريسبي!$C$2:$C$1800,الريسبي!$A$2:$A$1800,$A155,الريسبي!$B$2:$B$1800,M$1)</f>
        <v>0</v>
      </c>
      <c r="N155" s="117" t="n">
        <f aca="false">SUMIFS(الريسبي!$C$2:$C$1800,الريسبي!$A$2:$A$1800,$A155,الريسبي!$B$2:$B$1800,N$1)</f>
        <v>0</v>
      </c>
      <c r="O155" s="117" t="n">
        <f aca="false">SUMIFS(الريسبي!$C$2:$C$1800,الريسبي!$A$2:$A$1800,$A155,الريسبي!$B$2:$B$1800,O$1)</f>
        <v>0</v>
      </c>
      <c r="P155" s="117" t="n">
        <f aca="false">SUMIFS(الريسبي!$C$2:$C$1800,الريسبي!$A$2:$A$1800,$A155,الريسبي!$B$2:$B$1800,P$1)</f>
        <v>1</v>
      </c>
      <c r="Q155" s="117" t="n">
        <f aca="false">SUMIFS(الريسبي!$C$2:$C$1800,الريسبي!$A$2:$A$1800,$A155,الريسبي!$B$2:$B$1800,Q$1)</f>
        <v>0</v>
      </c>
      <c r="R155" s="117" t="n">
        <f aca="false">SUMIFS(الريسبي!$C$2:$C$1800,الريسبي!$A$2:$A$1800,$A155,الريسبي!$B$2:$B$1800,R$1)</f>
        <v>0</v>
      </c>
      <c r="S155" s="117" t="n">
        <f aca="false">SUMIFS(الريسبي!$C$2:$C$1800,الريسبي!$A$2:$A$1800,$A155,الريسبي!$B$2:$B$1800,S$1)</f>
        <v>0</v>
      </c>
      <c r="T155" s="117" t="n">
        <f aca="false">SUMIFS(الريسبي!$C$2:$C$1800,الريسبي!$A$2:$A$1800,$A155,الريسبي!$B$2:$B$1800,T$1)</f>
        <v>0</v>
      </c>
      <c r="U155" s="117" t="n">
        <f aca="false">SUMIFS(الريسبي!$C$2:$C$1800,الريسبي!$A$2:$A$1800,$A155,الريسبي!$B$2:$B$1800,U$1)</f>
        <v>0</v>
      </c>
      <c r="V155" s="117" t="n">
        <f aca="false">SUMIFS(الريسبي!$C$2:$C$1800,الريسبي!$A$2:$A$1800,$A155,الريسبي!$B$2:$B$1800,V$1)</f>
        <v>0</v>
      </c>
      <c r="W155" s="117" t="n">
        <f aca="false">SUMIFS(الريسبي!$C$2:$C$1800,الريسبي!$A$2:$A$1800,$A155,الريسبي!$B$2:$B$1800,W$1)</f>
        <v>0</v>
      </c>
      <c r="X155" s="117" t="n">
        <f aca="false">SUMIFS(الريسبي!$C$2:$C$1800,الريسبي!$A$2:$A$1800,$A155,الريسبي!$B$2:$B$1800,X$1)</f>
        <v>0</v>
      </c>
      <c r="Y155" s="117" t="n">
        <f aca="false">SUMIFS(الريسبي!$C$2:$C$1800,الريسبي!$A$2:$A$1800,$A155,الريسبي!$B$2:$B$1800,Y$1)</f>
        <v>0</v>
      </c>
      <c r="Z155" s="117" t="n">
        <f aca="false">SUMIFS(الريسبي!$C$2:$C$1800,الريسبي!$A$2:$A$1800,$A155,الريسبي!$B$2:$B$1800,Z$1)</f>
        <v>0</v>
      </c>
      <c r="AA155" s="117" t="n">
        <f aca="false">SUMIFS(الريسبي!$C$2:$C$1800,الريسبي!$A$2:$A$1800,$A155,الريسبي!$B$2:$B$1800,AA$1)</f>
        <v>0</v>
      </c>
      <c r="AB155" s="117" t="n">
        <f aca="false">SUMIFS(الريسبي!$C$2:$C$1800,الريسبي!$A$2:$A$1800,$A155,الريسبي!$B$2:$B$1800,AB$1)</f>
        <v>0</v>
      </c>
      <c r="AC155" s="117" t="n">
        <f aca="false">SUMIFS(الريسبي!$C$2:$C$1800,الريسبي!$A$2:$A$1800,$A155,الريسبي!$B$2:$B$1800,AC$1)</f>
        <v>0</v>
      </c>
      <c r="AD155" s="117" t="n">
        <f aca="false">SUMIFS(الريسبي!$C$2:$C$1800,الريسبي!$A$2:$A$1800,$A155,الريسبي!$B$2:$B$1800,AD$1)</f>
        <v>0</v>
      </c>
      <c r="AE155" s="117" t="n">
        <f aca="false">SUMIFS(الريسبي!$C$2:$C$1800,الريسبي!$A$2:$A$1800,$A155,الريسبي!$B$2:$B$1800,AE$1)</f>
        <v>0</v>
      </c>
      <c r="AF155" s="117" t="n">
        <f aca="false">SUMIFS(الريسبي!$C$2:$C$1800,الريسبي!$A$2:$A$1800,$A155,الريسبي!$B$2:$B$1800,AF$1)</f>
        <v>0</v>
      </c>
      <c r="AG155" s="117" t="n">
        <f aca="false">SUMIFS(الريسبي!$C$2:$C$1800,الريسبي!$A$2:$A$1800,$A155,الريسبي!$B$2:$B$1800,AG$1)</f>
        <v>0</v>
      </c>
      <c r="AH155" s="117" t="n">
        <f aca="false">SUMIFS(الريسبي!$C$2:$C$1800,الريسبي!$A$2:$A$1800,$A155,الريسبي!$B$2:$B$1800,AH$1)</f>
        <v>0</v>
      </c>
      <c r="AI155" s="117" t="n">
        <f aca="false">SUMIFS(الريسبي!$C$2:$C$1800,الريسبي!$A$2:$A$1800,$A155,الريسبي!$B$2:$B$1800,AI$1)</f>
        <v>0</v>
      </c>
      <c r="AJ155" s="117" t="n">
        <f aca="false">SUMIFS(الريسبي!$C$2:$C$1800,الريسبي!$A$2:$A$1800,$A155,الريسبي!$B$2:$B$1800,AJ$1)</f>
        <v>0</v>
      </c>
      <c r="AK155" s="117" t="n">
        <f aca="false">SUMIFS(الريسبي!$C$2:$C$1800,الريسبي!$A$2:$A$1800,$A155,الريسبي!$B$2:$B$1800,AK$1)</f>
        <v>0</v>
      </c>
      <c r="AL155" s="117" t="n">
        <f aca="false">SUMIFS(الريسبي!$C$2:$C$1800,الريسبي!$A$2:$A$1800,$A155,الريسبي!$B$2:$B$1800,AL$1)</f>
        <v>0</v>
      </c>
      <c r="AM155" s="117" t="n">
        <f aca="false">SUMIFS(الريسبي!$C$2:$C$1800,الريسبي!$A$2:$A$1800,$A155,الريسبي!$B$2:$B$1800,AM$1)+0.08333333333*SUMIFS(الريسبي!$C$2:$C$1800,الريسبي!$A$2:$A$1800,$A155,الريسبي!$B$2:$B$1800,"عجين كريب (مصنع بالمطعم)")+0.08333333333*SUMIFS(الريسبي!$C$2:$C$1800,الريسبي!$A$2:$A$1800,$A155,الريسبي!$B$2:$B$1800,"عجين كريب صيامي (بدون لبن)")</f>
        <v>0</v>
      </c>
      <c r="AN155" s="117" t="n">
        <f aca="false">SUMIFS(الريسبي!$C$2:$C$1800,الريسبي!$A$2:$A$1800,$A155,الريسبي!$B$2:$B$1800,AN$1)+0.004166666667*SUMIFS(الريسبي!$C$2:$C$1800,الريسبي!$A$2:$A$1800,$A155,الريسبي!$B$2:$B$1800,"عجين كريب (مصنع بالمطعم)")+0.004166666667*SUMIFS(الريسبي!$C$2:$C$1800,الريسبي!$A$2:$A$1800,$A155,الريسبي!$B$2:$B$1800,"عجين كريب صيامي (بدون لبن)")</f>
        <v>0</v>
      </c>
      <c r="AO155" s="117" t="n">
        <f aca="false">SUMIFS(الريسبي!$C$2:$C$1800,الريسبي!$A$2:$A$1800,$A155,الريسبي!$B$2:$B$1800,AO$1)</f>
        <v>0</v>
      </c>
      <c r="AP155" s="117" t="n">
        <f aca="false">SUMIFS(الريسبي!$C$2:$C$1800,الريسبي!$A$2:$A$1800,$A155,الريسبي!$B$2:$B$1800,AP$1)</f>
        <v>0</v>
      </c>
      <c r="AQ155" s="117" t="n">
        <f aca="false">SUMIFS(الريسبي!$C$2:$C$1800,الريسبي!$A$2:$A$1800,$A155,الريسبي!$B$2:$B$1800,AQ$1)+0.004166666667*SUMIFS(الريسبي!$C$2:$C$1800,الريسبي!$A$2:$A$1800,$A155,الريسبي!$B$2:$B$1800,"عجين كريب (مصنع بالمطعم)")+0.004166666667*SUMIFS(الريسبي!$C$2:$C$1800,الريسبي!$A$2:$A$1800,$A155,الريسبي!$B$2:$B$1800,"عجين كريب صيامي (بدون لبن)")</f>
        <v>0</v>
      </c>
      <c r="AR155" s="117" t="n">
        <f aca="false">SUMIFS(الريسبي!$C$2:$C$1800,الريسبي!$A$2:$A$1800,$A155,الريسبي!$B$2:$B$1800,AR$1)</f>
        <v>0</v>
      </c>
      <c r="AS155" s="117" t="n">
        <f aca="false">SUMIFS(الريسبي!$C$2:$C$1800,الريسبي!$A$2:$A$1800,$A155,الريسبي!$B$2:$B$1800,AS$1)</f>
        <v>0</v>
      </c>
      <c r="AT155" s="117" t="n">
        <f aca="false">SUMIFS(الريسبي!$C$2:$C$1800,الريسبي!$A$2:$A$1800,$A155,الريسبي!$B$2:$B$1800,AT$1)</f>
        <v>0</v>
      </c>
      <c r="AU155" s="117" t="n">
        <f aca="false">SUMIFS(الريسبي!$C$2:$C$1800,الريسبي!$A$2:$A$1800,$A155,الريسبي!$B$2:$B$1800,AU$1)</f>
        <v>0</v>
      </c>
      <c r="AV155" s="117" t="n">
        <f aca="false">SUMIFS(الريسبي!$C$2:$C$1800,الريسبي!$A$2:$A$1800,$A155,الريسبي!$B$2:$B$1800,AV$1)</f>
        <v>0</v>
      </c>
      <c r="AW155" s="117" t="n">
        <f aca="false">SUMIFS(الريسبي!$C$2:$C$1800,الريسبي!$A$2:$A$1800,$A155,الريسبي!$B$2:$B$1800,AW$1)</f>
        <v>0</v>
      </c>
      <c r="AX155" s="117" t="n">
        <f aca="false">SUMIFS(الريسبي!$C$2:$C$1800,الريسبي!$A$2:$A$1800,$A155,الريسبي!$B$2:$B$1800,AX$1)</f>
        <v>0</v>
      </c>
      <c r="AY155" s="117" t="n">
        <f aca="false">SUMIFS(الريسبي!$C$2:$C$1800,الريسبي!$A$2:$A$1800,$A155,الريسبي!$B$2:$B$1800,AY$1)</f>
        <v>0</v>
      </c>
      <c r="AZ155" s="117" t="n">
        <f aca="false">SUMIFS(الريسبي!$C$2:$C$1800,الريسبي!$A$2:$A$1800,$A155,الريسبي!$B$2:$B$1800,AZ$1)</f>
        <v>0</v>
      </c>
      <c r="BA155" s="117" t="n">
        <f aca="false">SUMIFS(الريسبي!$C$2:$C$1800,الريسبي!$A$2:$A$1800,$A155,الريسبي!$B$2:$B$1800,BA$1)</f>
        <v>0</v>
      </c>
      <c r="BB155" s="117" t="n">
        <f aca="false">SUMIFS(الريسبي!$C$2:$C$1800,الريسبي!$A$2:$A$1800,$A155,الريسبي!$B$2:$B$1800,BB$1)</f>
        <v>0</v>
      </c>
      <c r="BC155" s="117" t="n">
        <f aca="false">SUMIFS(الريسبي!$C$2:$C$1800,الريسبي!$A$2:$A$1800,$A155,الريسبي!$B$2:$B$1800,BC$1)</f>
        <v>0</v>
      </c>
      <c r="BD155" s="117" t="n">
        <f aca="false">SUMIFS(الريسبي!$C$2:$C$1800,الريسبي!$A$2:$A$1800,$A155,الريسبي!$B$2:$B$1800,BD$1)</f>
        <v>0</v>
      </c>
      <c r="BE155" s="117" t="n">
        <f aca="false">SUMIFS(الريسبي!$C$2:$C$1800,الريسبي!$A$2:$A$1800,$A155,الريسبي!$B$2:$B$1800,BE$1)</f>
        <v>0</v>
      </c>
      <c r="BF155" s="117" t="n">
        <f aca="false">SUMIFS(الريسبي!$C$2:$C$1800,الريسبي!$A$2:$A$1800,$A155,الريسبي!$B$2:$B$1800,BF$1)</f>
        <v>0</v>
      </c>
      <c r="BG155" s="117" t="n">
        <f aca="false">SUMIFS(الريسبي!$C$2:$C$1800,الريسبي!$A$2:$A$1800,$A155,الريسبي!$B$2:$B$1800,BG$1)</f>
        <v>0</v>
      </c>
      <c r="BH155" s="117" t="n">
        <f aca="false">SUMIFS(الريسبي!$C$2:$C$1800,الريسبي!$A$2:$A$1800,$A155,الريسبي!$B$2:$B$1800,BH$1)</f>
        <v>0</v>
      </c>
      <c r="BI155" s="117" t="n">
        <f aca="false">SUMIFS(الريسبي!$C$2:$C$1800,الريسبي!$A$2:$A$1800,$A155,الريسبي!$B$2:$B$1800,BI$1)</f>
        <v>0</v>
      </c>
      <c r="BJ155" s="117" t="n">
        <f aca="false">SUMIFS(الريسبي!$C$2:$C$1800,الريسبي!$A$2:$A$1800,$A155,الريسبي!$B$2:$B$1800,BJ$1)</f>
        <v>0</v>
      </c>
      <c r="BK155" s="117" t="n">
        <f aca="false">SUMIFS(الريسبي!$C$2:$C$1800,الريسبي!$A$2:$A$1800,$A155,الريسبي!$B$2:$B$1800,BK$1)</f>
        <v>0</v>
      </c>
      <c r="BL155" s="117" t="n">
        <f aca="false">SUMIFS(الريسبي!$C$2:$C$1800,الريسبي!$A$2:$A$1800,$A155,الريسبي!$B$2:$B$1800,BL$1)</f>
        <v>0</v>
      </c>
      <c r="BM155" s="117" t="n">
        <f aca="false">SUMIFS(الريسبي!$C$2:$C$1800,الريسبي!$A$2:$A$1800,$A155,الريسبي!$B$2:$B$1800,BM$1)</f>
        <v>0</v>
      </c>
      <c r="BN155" s="117" t="n">
        <f aca="false">SUMIFS(الريسبي!$C$2:$C$1800,الريسبي!$A$2:$A$1800,$A155,الريسبي!$B$2:$B$1800,BN$1)</f>
        <v>0</v>
      </c>
      <c r="BO155" s="117" t="n">
        <f aca="false">SUMIFS(الريسبي!$C$2:$C$1800,الريسبي!$A$2:$A$1800,$A155,الريسبي!$B$2:$B$1800,BO$1)</f>
        <v>0</v>
      </c>
      <c r="BP155" s="117" t="n">
        <f aca="false">SUMIFS(الريسبي!$C$2:$C$1800,الريسبي!$A$2:$A$1800,$A155,الريسبي!$B$2:$B$1800,BP$1)</f>
        <v>0</v>
      </c>
      <c r="BQ155" s="117" t="n">
        <f aca="false">SUMIFS(الريسبي!$C$2:$C$1800,الريسبي!$A$2:$A$1800,$A155,الريسبي!$B$2:$B$1800,BQ$1)+0.17*SUMIFS(الريسبي!$C$2:$C$1800,الريسبي!$A$2:$A$1800,$A155,الريسبي!$B$2:$B$1800,"كاسترد مصنع (خليط بودر + لبن)")+0.17*SUMIFS(الريسبي!$C$2:$C$1800,الريسبي!$A$2:$A$1800,$A155,الريسبي!$B$2:$B$1800,"كاسترد مصنع صيامي (بدون لبن)")</f>
        <v>0</v>
      </c>
      <c r="BR155" s="117" t="n">
        <f aca="false">SUMIFS(الريسبي!$C$2:$C$1800,الريسبي!$A$2:$A$1800,$A155,الريسبي!$B$2:$B$1800,BR$1)</f>
        <v>0</v>
      </c>
      <c r="BS155" s="117" t="n">
        <f aca="false">SUMIFS(الريسبي!$C$2:$C$1800,الريسبي!$A$2:$A$1800,$A155,الريسبي!$B$2:$B$1800,BS$1)</f>
        <v>0</v>
      </c>
      <c r="BT155" s="117" t="n">
        <f aca="false">SUMIFS(الريسبي!$C$2:$C$1800,الريسبي!$A$2:$A$1800,$A155,الريسبي!$B$2:$B$1800,BT$1)</f>
        <v>0</v>
      </c>
      <c r="BU155" s="117" t="n">
        <f aca="false">SUMIFS(الريسبي!$C$2:$C$1800,الريسبي!$A$2:$A$1800,$A155,الريسبي!$B$2:$B$1800,BU$1)+0.4*SUMIFS(الريسبي!$C$2:$C$1800,الريسبي!$A$2:$A$1800,$A155,الريسبي!$B$2:$B$1800,"كاسترد مصنع (خليط بودر + لبن)")+0.03333333333*SUMIFS(الريسبي!$C$2:$C$1800,الريسبي!$A$2:$A$1800,$A155,الريسبي!$B$2:$B$1800,"عجين كريب (مصنع بالمطعم)")</f>
        <v>0</v>
      </c>
      <c r="BV155" s="117" t="n">
        <f aca="false">SUMIFS(الريسبي!$C$2:$C$1800,الريسبي!$A$2:$A$1800,$A155,الريسبي!$B$2:$B$1800,BV$1)</f>
        <v>0</v>
      </c>
      <c r="BW155" s="117" t="n">
        <f aca="false">SUMIFS(الريسبي!$C$2:$C$1800,الريسبي!$A$2:$A$1800,$A155,الريسبي!$B$2:$B$1800,BW$1)</f>
        <v>0</v>
      </c>
      <c r="BX155" s="117" t="n">
        <f aca="false">SUMIFS(الريسبي!$C$2:$C$1800,الريسبي!$A$2:$A$1800,$A155,الريسبي!$B$2:$B$1800,BX$1)</f>
        <v>0</v>
      </c>
      <c r="BY155" s="117" t="n">
        <f aca="false">SUMIFS(الريسبي!$C$2:$C$1800,الريسبي!$A$2:$A$1800,$A155,الريسبي!$B$2:$B$1800,BY$1)</f>
        <v>0</v>
      </c>
      <c r="BZ155" s="117" t="n">
        <f aca="false">SUMIFS(الريسبي!$C$2:$C$1800,الريسبي!$A$2:$A$1800,$A155,الريسبي!$B$2:$B$1800,BZ$1)</f>
        <v>0</v>
      </c>
      <c r="CA155" s="117" t="n">
        <f aca="false">SUMIFS(الريسبي!$C$2:$C$1800,الريسبي!$A$2:$A$1800,$A155,الريسبي!$B$2:$B$1800,CA$1)</f>
        <v>0</v>
      </c>
      <c r="CB155" s="117" t="n">
        <f aca="false">SUMIFS(الريسبي!$C$2:$C$1800,الريسبي!$A$2:$A$1800,$A155,الريسبي!$B$2:$B$1800,CB$1)</f>
        <v>0</v>
      </c>
      <c r="CC155" s="117" t="n">
        <f aca="false">SUMIFS(الريسبي!$C$2:$C$1800,الريسبي!$A$2:$A$1800,$A155,الريسبي!$B$2:$B$1800,CC$1)</f>
        <v>0</v>
      </c>
      <c r="CD155" s="117" t="n">
        <f aca="false">SUMIFS(الريسبي!$C$2:$C$1800,الريسبي!$A$2:$A$1800,$A155,الريسبي!$B$2:$B$1800,CD$1)</f>
        <v>0</v>
      </c>
      <c r="CE155" s="117" t="n">
        <f aca="false">SUMIFS(الريسبي!$C$2:$C$1800,الريسبي!$A$2:$A$1800,$A155,الريسبي!$B$2:$B$1800,CE$1)</f>
        <v>0</v>
      </c>
      <c r="CF155" s="117" t="n">
        <f aca="false">SUMIFS(الريسبي!$C$2:$C$1800,الريسبي!$A$2:$A$1800,$A155,الريسبي!$B$2:$B$1800,CF$1)</f>
        <v>0</v>
      </c>
      <c r="CG155" s="117" t="n">
        <f aca="false">SUMIFS(الريسبي!$C$2:$C$1800,الريسبي!$A$2:$A$1800,$A155,الريسبي!$B$2:$B$1800,CG$1)</f>
        <v>0</v>
      </c>
      <c r="CH155" s="117" t="n">
        <f aca="false">SUMIFS(الريسبي!$C$2:$C$1800,الريسبي!$A$2:$A$1800,$A155,الريسبي!$B$2:$B$1800,CH$1)</f>
        <v>0</v>
      </c>
      <c r="CI155" s="117" t="n">
        <f aca="false">SUMIFS(الريسبي!$C$2:$C$1800,الريسبي!$A$2:$A$1800,$A155,الريسبي!$B$2:$B$1800,CI$1)</f>
        <v>0</v>
      </c>
      <c r="CJ155" s="117" t="n">
        <f aca="false">SUMIFS(الريسبي!$C$2:$C$1800,الريسبي!$A$2:$A$1800,$A155,الريسبي!$B$2:$B$1800,CJ$1)</f>
        <v>0</v>
      </c>
      <c r="CK155" s="117" t="n">
        <f aca="false">SUMIFS(الريسبي!$C$2:$C$1800,الريسبي!$A$2:$A$1800,$A155,الريسبي!$B$2:$B$1800,CK$1)</f>
        <v>0</v>
      </c>
      <c r="CL155" s="117" t="n">
        <f aca="false">SUMIFS(الريسبي!$C$2:$C$1800,الريسبي!$A$2:$A$1800,$A155,الريسبي!$B$2:$B$1800,CL$1)</f>
        <v>0</v>
      </c>
    </row>
    <row r="156" customFormat="false" ht="15" hidden="false" customHeight="false" outlineLevel="0" collapsed="false">
      <c r="A156" s="116" t="str">
        <f aca="false">المنيو!B156</f>
        <v>اضافة فراخ كريسبي (بيتزا وسط)</v>
      </c>
      <c r="B156" s="117" t="n">
        <f aca="false">SUMIFS(الريسبي!$C$2:$C$1800,الريسبي!$A$2:$A$1800,$A156,الريسبي!$B$2:$B$1800,B$1)</f>
        <v>0</v>
      </c>
      <c r="C156" s="117" t="n">
        <f aca="false">SUMIFS(الريسبي!$C$2:$C$1800,الريسبي!$A$2:$A$1800,$A156,الريسبي!$B$2:$B$1800,C$1)</f>
        <v>0</v>
      </c>
      <c r="D156" s="117" t="n">
        <f aca="false">SUMIFS(الريسبي!$C$2:$C$1800,الريسبي!$A$2:$A$1800,$A156,الريسبي!$B$2:$B$1800,D$1)</f>
        <v>0</v>
      </c>
      <c r="E156" s="117" t="n">
        <f aca="false">SUMIFS(الريسبي!$C$2:$C$1800,الريسبي!$A$2:$A$1800,$A156,الريسبي!$B$2:$B$1800,E$1)</f>
        <v>0</v>
      </c>
      <c r="F156" s="117" t="n">
        <f aca="false">SUMIFS(الريسبي!$C$2:$C$1800,الريسبي!$A$2:$A$1800,$A156,الريسبي!$B$2:$B$1800,F$1)</f>
        <v>0</v>
      </c>
      <c r="G156" s="117" t="n">
        <f aca="false">SUMIFS(الريسبي!$C$2:$C$1800,الريسبي!$A$2:$A$1800,$A156,الريسبي!$B$2:$B$1800,G$1)</f>
        <v>0</v>
      </c>
      <c r="H156" s="117" t="n">
        <f aca="false">SUMIFS(الريسبي!$C$2:$C$1800,الريسبي!$A$2:$A$1800,$A156,الريسبي!$B$2:$B$1800,H$1)</f>
        <v>0</v>
      </c>
      <c r="I156" s="117" t="n">
        <f aca="false">SUMIFS(الريسبي!$C$2:$C$1800,الريسبي!$A$2:$A$1800,$A156,الريسبي!$B$2:$B$1800,I$1)</f>
        <v>0</v>
      </c>
      <c r="J156" s="117" t="n">
        <f aca="false">SUMIFS(الريسبي!$C$2:$C$1800,الريسبي!$A$2:$A$1800,$A156,الريسبي!$B$2:$B$1800,J$1)</f>
        <v>0</v>
      </c>
      <c r="K156" s="117" t="n">
        <f aca="false">SUMIFS(الريسبي!$C$2:$C$1800,الريسبي!$A$2:$A$1800,$A156,الريسبي!$B$2:$B$1800,K$1)</f>
        <v>0</v>
      </c>
      <c r="L156" s="117" t="n">
        <f aca="false">SUMIFS(الريسبي!$C$2:$C$1800,الريسبي!$A$2:$A$1800,$A156,الريسبي!$B$2:$B$1800,L$1)</f>
        <v>0</v>
      </c>
      <c r="M156" s="117" t="n">
        <f aca="false">SUMIFS(الريسبي!$C$2:$C$1800,الريسبي!$A$2:$A$1800,$A156,الريسبي!$B$2:$B$1800,M$1)</f>
        <v>0</v>
      </c>
      <c r="N156" s="117" t="n">
        <f aca="false">SUMIFS(الريسبي!$C$2:$C$1800,الريسبي!$A$2:$A$1800,$A156,الريسبي!$B$2:$B$1800,N$1)</f>
        <v>0</v>
      </c>
      <c r="O156" s="117" t="n">
        <f aca="false">SUMIFS(الريسبي!$C$2:$C$1800,الريسبي!$A$2:$A$1800,$A156,الريسبي!$B$2:$B$1800,O$1)</f>
        <v>0</v>
      </c>
      <c r="P156" s="117" t="n">
        <f aca="false">SUMIFS(الريسبي!$C$2:$C$1800,الريسبي!$A$2:$A$1800,$A156,الريسبي!$B$2:$B$1800,P$1)</f>
        <v>0</v>
      </c>
      <c r="Q156" s="117" t="n">
        <f aca="false">SUMIFS(الريسبي!$C$2:$C$1800,الريسبي!$A$2:$A$1800,$A156,الريسبي!$B$2:$B$1800,Q$1)</f>
        <v>1</v>
      </c>
      <c r="R156" s="117" t="n">
        <f aca="false">SUMIFS(الريسبي!$C$2:$C$1800,الريسبي!$A$2:$A$1800,$A156,الريسبي!$B$2:$B$1800,R$1)</f>
        <v>0</v>
      </c>
      <c r="S156" s="117" t="n">
        <f aca="false">SUMIFS(الريسبي!$C$2:$C$1800,الريسبي!$A$2:$A$1800,$A156,الريسبي!$B$2:$B$1800,S$1)</f>
        <v>0</v>
      </c>
      <c r="T156" s="117" t="n">
        <f aca="false">SUMIFS(الريسبي!$C$2:$C$1800,الريسبي!$A$2:$A$1800,$A156,الريسبي!$B$2:$B$1800,T$1)</f>
        <v>0</v>
      </c>
      <c r="U156" s="117" t="n">
        <f aca="false">SUMIFS(الريسبي!$C$2:$C$1800,الريسبي!$A$2:$A$1800,$A156,الريسبي!$B$2:$B$1800,U$1)</f>
        <v>0</v>
      </c>
      <c r="V156" s="117" t="n">
        <f aca="false">SUMIFS(الريسبي!$C$2:$C$1800,الريسبي!$A$2:$A$1800,$A156,الريسبي!$B$2:$B$1800,V$1)</f>
        <v>0</v>
      </c>
      <c r="W156" s="117" t="n">
        <f aca="false">SUMIFS(الريسبي!$C$2:$C$1800,الريسبي!$A$2:$A$1800,$A156,الريسبي!$B$2:$B$1800,W$1)</f>
        <v>0</v>
      </c>
      <c r="X156" s="117" t="n">
        <f aca="false">SUMIFS(الريسبي!$C$2:$C$1800,الريسبي!$A$2:$A$1800,$A156,الريسبي!$B$2:$B$1800,X$1)</f>
        <v>0</v>
      </c>
      <c r="Y156" s="117" t="n">
        <f aca="false">SUMIFS(الريسبي!$C$2:$C$1800,الريسبي!$A$2:$A$1800,$A156,الريسبي!$B$2:$B$1800,Y$1)</f>
        <v>0</v>
      </c>
      <c r="Z156" s="117" t="n">
        <f aca="false">SUMIFS(الريسبي!$C$2:$C$1800,الريسبي!$A$2:$A$1800,$A156,الريسبي!$B$2:$B$1800,Z$1)</f>
        <v>0</v>
      </c>
      <c r="AA156" s="117" t="n">
        <f aca="false">SUMIFS(الريسبي!$C$2:$C$1800,الريسبي!$A$2:$A$1800,$A156,الريسبي!$B$2:$B$1800,AA$1)</f>
        <v>0</v>
      </c>
      <c r="AB156" s="117" t="n">
        <f aca="false">SUMIFS(الريسبي!$C$2:$C$1800,الريسبي!$A$2:$A$1800,$A156,الريسبي!$B$2:$B$1800,AB$1)</f>
        <v>0</v>
      </c>
      <c r="AC156" s="117" t="n">
        <f aca="false">SUMIFS(الريسبي!$C$2:$C$1800,الريسبي!$A$2:$A$1800,$A156,الريسبي!$B$2:$B$1800,AC$1)</f>
        <v>0</v>
      </c>
      <c r="AD156" s="117" t="n">
        <f aca="false">SUMIFS(الريسبي!$C$2:$C$1800,الريسبي!$A$2:$A$1800,$A156,الريسبي!$B$2:$B$1800,AD$1)</f>
        <v>0</v>
      </c>
      <c r="AE156" s="117" t="n">
        <f aca="false">SUMIFS(الريسبي!$C$2:$C$1800,الريسبي!$A$2:$A$1800,$A156,الريسبي!$B$2:$B$1800,AE$1)</f>
        <v>0</v>
      </c>
      <c r="AF156" s="117" t="n">
        <f aca="false">SUMIFS(الريسبي!$C$2:$C$1800,الريسبي!$A$2:$A$1800,$A156,الريسبي!$B$2:$B$1800,AF$1)</f>
        <v>0</v>
      </c>
      <c r="AG156" s="117" t="n">
        <f aca="false">SUMIFS(الريسبي!$C$2:$C$1800,الريسبي!$A$2:$A$1800,$A156,الريسبي!$B$2:$B$1800,AG$1)</f>
        <v>0</v>
      </c>
      <c r="AH156" s="117" t="n">
        <f aca="false">SUMIFS(الريسبي!$C$2:$C$1800,الريسبي!$A$2:$A$1800,$A156,الريسبي!$B$2:$B$1800,AH$1)</f>
        <v>0</v>
      </c>
      <c r="AI156" s="117" t="n">
        <f aca="false">SUMIFS(الريسبي!$C$2:$C$1800,الريسبي!$A$2:$A$1800,$A156,الريسبي!$B$2:$B$1800,AI$1)</f>
        <v>0</v>
      </c>
      <c r="AJ156" s="117" t="n">
        <f aca="false">SUMIFS(الريسبي!$C$2:$C$1800,الريسبي!$A$2:$A$1800,$A156,الريسبي!$B$2:$B$1800,AJ$1)</f>
        <v>0</v>
      </c>
      <c r="AK156" s="117" t="n">
        <f aca="false">SUMIFS(الريسبي!$C$2:$C$1800,الريسبي!$A$2:$A$1800,$A156,الريسبي!$B$2:$B$1800,AK$1)</f>
        <v>0</v>
      </c>
      <c r="AL156" s="117" t="n">
        <f aca="false">SUMIFS(الريسبي!$C$2:$C$1800,الريسبي!$A$2:$A$1800,$A156,الريسبي!$B$2:$B$1800,AL$1)</f>
        <v>0</v>
      </c>
      <c r="AM156" s="117" t="n">
        <f aca="false">SUMIFS(الريسبي!$C$2:$C$1800,الريسبي!$A$2:$A$1800,$A156,الريسبي!$B$2:$B$1800,AM$1)+0.08333333333*SUMIFS(الريسبي!$C$2:$C$1800,الريسبي!$A$2:$A$1800,$A156,الريسبي!$B$2:$B$1800,"عجين كريب (مصنع بالمطعم)")+0.08333333333*SUMIFS(الريسبي!$C$2:$C$1800,الريسبي!$A$2:$A$1800,$A156,الريسبي!$B$2:$B$1800,"عجين كريب صيامي (بدون لبن)")</f>
        <v>0</v>
      </c>
      <c r="AN156" s="117" t="n">
        <f aca="false">SUMIFS(الريسبي!$C$2:$C$1800,الريسبي!$A$2:$A$1800,$A156,الريسبي!$B$2:$B$1800,AN$1)+0.004166666667*SUMIFS(الريسبي!$C$2:$C$1800,الريسبي!$A$2:$A$1800,$A156,الريسبي!$B$2:$B$1800,"عجين كريب (مصنع بالمطعم)")+0.004166666667*SUMIFS(الريسبي!$C$2:$C$1800,الريسبي!$A$2:$A$1800,$A156,الريسبي!$B$2:$B$1800,"عجين كريب صيامي (بدون لبن)")</f>
        <v>0</v>
      </c>
      <c r="AO156" s="117" t="n">
        <f aca="false">SUMIFS(الريسبي!$C$2:$C$1800,الريسبي!$A$2:$A$1800,$A156,الريسبي!$B$2:$B$1800,AO$1)</f>
        <v>0</v>
      </c>
      <c r="AP156" s="117" t="n">
        <f aca="false">SUMIFS(الريسبي!$C$2:$C$1800,الريسبي!$A$2:$A$1800,$A156,الريسبي!$B$2:$B$1800,AP$1)</f>
        <v>0</v>
      </c>
      <c r="AQ156" s="117" t="n">
        <f aca="false">SUMIFS(الريسبي!$C$2:$C$1800,الريسبي!$A$2:$A$1800,$A156,الريسبي!$B$2:$B$1800,AQ$1)+0.004166666667*SUMIFS(الريسبي!$C$2:$C$1800,الريسبي!$A$2:$A$1800,$A156,الريسبي!$B$2:$B$1800,"عجين كريب (مصنع بالمطعم)")+0.004166666667*SUMIFS(الريسبي!$C$2:$C$1800,الريسبي!$A$2:$A$1800,$A156,الريسبي!$B$2:$B$1800,"عجين كريب صيامي (بدون لبن)")</f>
        <v>0</v>
      </c>
      <c r="AR156" s="117" t="n">
        <f aca="false">SUMIFS(الريسبي!$C$2:$C$1800,الريسبي!$A$2:$A$1800,$A156,الريسبي!$B$2:$B$1800,AR$1)</f>
        <v>0</v>
      </c>
      <c r="AS156" s="117" t="n">
        <f aca="false">SUMIFS(الريسبي!$C$2:$C$1800,الريسبي!$A$2:$A$1800,$A156,الريسبي!$B$2:$B$1800,AS$1)</f>
        <v>0</v>
      </c>
      <c r="AT156" s="117" t="n">
        <f aca="false">SUMIFS(الريسبي!$C$2:$C$1800,الريسبي!$A$2:$A$1800,$A156,الريسبي!$B$2:$B$1800,AT$1)</f>
        <v>0</v>
      </c>
      <c r="AU156" s="117" t="n">
        <f aca="false">SUMIFS(الريسبي!$C$2:$C$1800,الريسبي!$A$2:$A$1800,$A156,الريسبي!$B$2:$B$1800,AU$1)</f>
        <v>0</v>
      </c>
      <c r="AV156" s="117" t="n">
        <f aca="false">SUMIFS(الريسبي!$C$2:$C$1800,الريسبي!$A$2:$A$1800,$A156,الريسبي!$B$2:$B$1800,AV$1)</f>
        <v>0</v>
      </c>
      <c r="AW156" s="117" t="n">
        <f aca="false">SUMIFS(الريسبي!$C$2:$C$1800,الريسبي!$A$2:$A$1800,$A156,الريسبي!$B$2:$B$1800,AW$1)</f>
        <v>0</v>
      </c>
      <c r="AX156" s="117" t="n">
        <f aca="false">SUMIFS(الريسبي!$C$2:$C$1800,الريسبي!$A$2:$A$1800,$A156,الريسبي!$B$2:$B$1800,AX$1)</f>
        <v>0</v>
      </c>
      <c r="AY156" s="117" t="n">
        <f aca="false">SUMIFS(الريسبي!$C$2:$C$1800,الريسبي!$A$2:$A$1800,$A156,الريسبي!$B$2:$B$1800,AY$1)</f>
        <v>0</v>
      </c>
      <c r="AZ156" s="117" t="n">
        <f aca="false">SUMIFS(الريسبي!$C$2:$C$1800,الريسبي!$A$2:$A$1800,$A156,الريسبي!$B$2:$B$1800,AZ$1)</f>
        <v>0</v>
      </c>
      <c r="BA156" s="117" t="n">
        <f aca="false">SUMIFS(الريسبي!$C$2:$C$1800,الريسبي!$A$2:$A$1800,$A156,الريسبي!$B$2:$B$1800,BA$1)</f>
        <v>0</v>
      </c>
      <c r="BB156" s="117" t="n">
        <f aca="false">SUMIFS(الريسبي!$C$2:$C$1800,الريسبي!$A$2:$A$1800,$A156,الريسبي!$B$2:$B$1800,BB$1)</f>
        <v>0</v>
      </c>
      <c r="BC156" s="117" t="n">
        <f aca="false">SUMIFS(الريسبي!$C$2:$C$1800,الريسبي!$A$2:$A$1800,$A156,الريسبي!$B$2:$B$1800,BC$1)</f>
        <v>0</v>
      </c>
      <c r="BD156" s="117" t="n">
        <f aca="false">SUMIFS(الريسبي!$C$2:$C$1800,الريسبي!$A$2:$A$1800,$A156,الريسبي!$B$2:$B$1800,BD$1)</f>
        <v>0</v>
      </c>
      <c r="BE156" s="117" t="n">
        <f aca="false">SUMIFS(الريسبي!$C$2:$C$1800,الريسبي!$A$2:$A$1800,$A156,الريسبي!$B$2:$B$1800,BE$1)</f>
        <v>0</v>
      </c>
      <c r="BF156" s="117" t="n">
        <f aca="false">SUMIFS(الريسبي!$C$2:$C$1800,الريسبي!$A$2:$A$1800,$A156,الريسبي!$B$2:$B$1800,BF$1)</f>
        <v>0</v>
      </c>
      <c r="BG156" s="117" t="n">
        <f aca="false">SUMIFS(الريسبي!$C$2:$C$1800,الريسبي!$A$2:$A$1800,$A156,الريسبي!$B$2:$B$1800,BG$1)</f>
        <v>0</v>
      </c>
      <c r="BH156" s="117" t="n">
        <f aca="false">SUMIFS(الريسبي!$C$2:$C$1800,الريسبي!$A$2:$A$1800,$A156,الريسبي!$B$2:$B$1800,BH$1)</f>
        <v>0</v>
      </c>
      <c r="BI156" s="117" t="n">
        <f aca="false">SUMIFS(الريسبي!$C$2:$C$1800,الريسبي!$A$2:$A$1800,$A156,الريسبي!$B$2:$B$1800,BI$1)</f>
        <v>0</v>
      </c>
      <c r="BJ156" s="117" t="n">
        <f aca="false">SUMIFS(الريسبي!$C$2:$C$1800,الريسبي!$A$2:$A$1800,$A156,الريسبي!$B$2:$B$1800,BJ$1)</f>
        <v>0</v>
      </c>
      <c r="BK156" s="117" t="n">
        <f aca="false">SUMIFS(الريسبي!$C$2:$C$1800,الريسبي!$A$2:$A$1800,$A156,الريسبي!$B$2:$B$1800,BK$1)</f>
        <v>0</v>
      </c>
      <c r="BL156" s="117" t="n">
        <f aca="false">SUMIFS(الريسبي!$C$2:$C$1800,الريسبي!$A$2:$A$1800,$A156,الريسبي!$B$2:$B$1800,BL$1)</f>
        <v>0</v>
      </c>
      <c r="BM156" s="117" t="n">
        <f aca="false">SUMIFS(الريسبي!$C$2:$C$1800,الريسبي!$A$2:$A$1800,$A156,الريسبي!$B$2:$B$1800,BM$1)</f>
        <v>0</v>
      </c>
      <c r="BN156" s="117" t="n">
        <f aca="false">SUMIFS(الريسبي!$C$2:$C$1800,الريسبي!$A$2:$A$1800,$A156,الريسبي!$B$2:$B$1800,BN$1)</f>
        <v>0</v>
      </c>
      <c r="BO156" s="117" t="n">
        <f aca="false">SUMIFS(الريسبي!$C$2:$C$1800,الريسبي!$A$2:$A$1800,$A156,الريسبي!$B$2:$B$1800,BO$1)</f>
        <v>0</v>
      </c>
      <c r="BP156" s="117" t="n">
        <f aca="false">SUMIFS(الريسبي!$C$2:$C$1800,الريسبي!$A$2:$A$1800,$A156,الريسبي!$B$2:$B$1800,BP$1)</f>
        <v>0</v>
      </c>
      <c r="BQ156" s="117" t="n">
        <f aca="false">SUMIFS(الريسبي!$C$2:$C$1800,الريسبي!$A$2:$A$1800,$A156,الريسبي!$B$2:$B$1800,BQ$1)+0.17*SUMIFS(الريسبي!$C$2:$C$1800,الريسبي!$A$2:$A$1800,$A156,الريسبي!$B$2:$B$1800,"كاسترد مصنع (خليط بودر + لبن)")+0.17*SUMIFS(الريسبي!$C$2:$C$1800,الريسبي!$A$2:$A$1800,$A156,الريسبي!$B$2:$B$1800,"كاسترد مصنع صيامي (بدون لبن)")</f>
        <v>0</v>
      </c>
      <c r="BR156" s="117" t="n">
        <f aca="false">SUMIFS(الريسبي!$C$2:$C$1800,الريسبي!$A$2:$A$1800,$A156,الريسبي!$B$2:$B$1800,BR$1)</f>
        <v>0</v>
      </c>
      <c r="BS156" s="117" t="n">
        <f aca="false">SUMIFS(الريسبي!$C$2:$C$1800,الريسبي!$A$2:$A$1800,$A156,الريسبي!$B$2:$B$1800,BS$1)</f>
        <v>0</v>
      </c>
      <c r="BT156" s="117" t="n">
        <f aca="false">SUMIFS(الريسبي!$C$2:$C$1800,الريسبي!$A$2:$A$1800,$A156,الريسبي!$B$2:$B$1800,BT$1)</f>
        <v>0</v>
      </c>
      <c r="BU156" s="117" t="n">
        <f aca="false">SUMIFS(الريسبي!$C$2:$C$1800,الريسبي!$A$2:$A$1800,$A156,الريسبي!$B$2:$B$1800,BU$1)+0.4*SUMIFS(الريسبي!$C$2:$C$1800,الريسبي!$A$2:$A$1800,$A156,الريسبي!$B$2:$B$1800,"كاسترد مصنع (خليط بودر + لبن)")+0.03333333333*SUMIFS(الريسبي!$C$2:$C$1800,الريسبي!$A$2:$A$1800,$A156,الريسبي!$B$2:$B$1800,"عجين كريب (مصنع بالمطعم)")</f>
        <v>0</v>
      </c>
      <c r="BV156" s="117" t="n">
        <f aca="false">SUMIFS(الريسبي!$C$2:$C$1800,الريسبي!$A$2:$A$1800,$A156,الريسبي!$B$2:$B$1800,BV$1)</f>
        <v>0</v>
      </c>
      <c r="BW156" s="117" t="n">
        <f aca="false">SUMIFS(الريسبي!$C$2:$C$1800,الريسبي!$A$2:$A$1800,$A156,الريسبي!$B$2:$B$1800,BW$1)</f>
        <v>0</v>
      </c>
      <c r="BX156" s="117" t="n">
        <f aca="false">SUMIFS(الريسبي!$C$2:$C$1800,الريسبي!$A$2:$A$1800,$A156,الريسبي!$B$2:$B$1800,BX$1)</f>
        <v>0</v>
      </c>
      <c r="BY156" s="117" t="n">
        <f aca="false">SUMIFS(الريسبي!$C$2:$C$1800,الريسبي!$A$2:$A$1800,$A156,الريسبي!$B$2:$B$1800,BY$1)</f>
        <v>0</v>
      </c>
      <c r="BZ156" s="117" t="n">
        <f aca="false">SUMIFS(الريسبي!$C$2:$C$1800,الريسبي!$A$2:$A$1800,$A156,الريسبي!$B$2:$B$1800,BZ$1)</f>
        <v>0</v>
      </c>
      <c r="CA156" s="117" t="n">
        <f aca="false">SUMIFS(الريسبي!$C$2:$C$1800,الريسبي!$A$2:$A$1800,$A156,الريسبي!$B$2:$B$1800,CA$1)</f>
        <v>0</v>
      </c>
      <c r="CB156" s="117" t="n">
        <f aca="false">SUMIFS(الريسبي!$C$2:$C$1800,الريسبي!$A$2:$A$1800,$A156,الريسبي!$B$2:$B$1800,CB$1)</f>
        <v>0</v>
      </c>
      <c r="CC156" s="117" t="n">
        <f aca="false">SUMIFS(الريسبي!$C$2:$C$1800,الريسبي!$A$2:$A$1800,$A156,الريسبي!$B$2:$B$1800,CC$1)</f>
        <v>0</v>
      </c>
      <c r="CD156" s="117" t="n">
        <f aca="false">SUMIFS(الريسبي!$C$2:$C$1800,الريسبي!$A$2:$A$1800,$A156,الريسبي!$B$2:$B$1800,CD$1)</f>
        <v>0</v>
      </c>
      <c r="CE156" s="117" t="n">
        <f aca="false">SUMIFS(الريسبي!$C$2:$C$1800,الريسبي!$A$2:$A$1800,$A156,الريسبي!$B$2:$B$1800,CE$1)</f>
        <v>0</v>
      </c>
      <c r="CF156" s="117" t="n">
        <f aca="false">SUMIFS(الريسبي!$C$2:$C$1800,الريسبي!$A$2:$A$1800,$A156,الريسبي!$B$2:$B$1800,CF$1)</f>
        <v>0</v>
      </c>
      <c r="CG156" s="117" t="n">
        <f aca="false">SUMIFS(الريسبي!$C$2:$C$1800,الريسبي!$A$2:$A$1800,$A156,الريسبي!$B$2:$B$1800,CG$1)</f>
        <v>0</v>
      </c>
      <c r="CH156" s="117" t="n">
        <f aca="false">SUMIFS(الريسبي!$C$2:$C$1800,الريسبي!$A$2:$A$1800,$A156,الريسبي!$B$2:$B$1800,CH$1)</f>
        <v>0</v>
      </c>
      <c r="CI156" s="117" t="n">
        <f aca="false">SUMIFS(الريسبي!$C$2:$C$1800,الريسبي!$A$2:$A$1800,$A156,الريسبي!$B$2:$B$1800,CI$1)</f>
        <v>0</v>
      </c>
      <c r="CJ156" s="117" t="n">
        <f aca="false">SUMIFS(الريسبي!$C$2:$C$1800,الريسبي!$A$2:$A$1800,$A156,الريسبي!$B$2:$B$1800,CJ$1)</f>
        <v>0</v>
      </c>
      <c r="CK156" s="117" t="n">
        <f aca="false">SUMIFS(الريسبي!$C$2:$C$1800,الريسبي!$A$2:$A$1800,$A156,الريسبي!$B$2:$B$1800,CK$1)</f>
        <v>0</v>
      </c>
      <c r="CL156" s="117" t="n">
        <f aca="false">SUMIFS(الريسبي!$C$2:$C$1800,الريسبي!$A$2:$A$1800,$A156,الريسبي!$B$2:$B$1800,CL$1)</f>
        <v>0</v>
      </c>
    </row>
    <row r="157" customFormat="false" ht="15" hidden="false" customHeight="false" outlineLevel="0" collapsed="false">
      <c r="A157" s="116" t="str">
        <f aca="false">المنيو!B157</f>
        <v>اضافة فراخ كريسبي (فطير وسط)</v>
      </c>
      <c r="B157" s="117" t="n">
        <f aca="false">SUMIFS(الريسبي!$C$2:$C$1800,الريسبي!$A$2:$A$1800,$A157,الريسبي!$B$2:$B$1800,B$1)</f>
        <v>0</v>
      </c>
      <c r="C157" s="117" t="n">
        <f aca="false">SUMIFS(الريسبي!$C$2:$C$1800,الريسبي!$A$2:$A$1800,$A157,الريسبي!$B$2:$B$1800,C$1)</f>
        <v>0</v>
      </c>
      <c r="D157" s="117" t="n">
        <f aca="false">SUMIFS(الريسبي!$C$2:$C$1800,الريسبي!$A$2:$A$1800,$A157,الريسبي!$B$2:$B$1800,D$1)</f>
        <v>0</v>
      </c>
      <c r="E157" s="117" t="n">
        <f aca="false">SUMIFS(الريسبي!$C$2:$C$1800,الريسبي!$A$2:$A$1800,$A157,الريسبي!$B$2:$B$1800,E$1)</f>
        <v>0</v>
      </c>
      <c r="F157" s="117" t="n">
        <f aca="false">SUMIFS(الريسبي!$C$2:$C$1800,الريسبي!$A$2:$A$1800,$A157,الريسبي!$B$2:$B$1800,F$1)</f>
        <v>0</v>
      </c>
      <c r="G157" s="117" t="n">
        <f aca="false">SUMIFS(الريسبي!$C$2:$C$1800,الريسبي!$A$2:$A$1800,$A157,الريسبي!$B$2:$B$1800,G$1)</f>
        <v>0</v>
      </c>
      <c r="H157" s="117" t="n">
        <f aca="false">SUMIFS(الريسبي!$C$2:$C$1800,الريسبي!$A$2:$A$1800,$A157,الريسبي!$B$2:$B$1800,H$1)</f>
        <v>0</v>
      </c>
      <c r="I157" s="117" t="n">
        <f aca="false">SUMIFS(الريسبي!$C$2:$C$1800,الريسبي!$A$2:$A$1800,$A157,الريسبي!$B$2:$B$1800,I$1)</f>
        <v>0</v>
      </c>
      <c r="J157" s="117" t="n">
        <f aca="false">SUMIFS(الريسبي!$C$2:$C$1800,الريسبي!$A$2:$A$1800,$A157,الريسبي!$B$2:$B$1800,J$1)</f>
        <v>0</v>
      </c>
      <c r="K157" s="117" t="n">
        <f aca="false">SUMIFS(الريسبي!$C$2:$C$1800,الريسبي!$A$2:$A$1800,$A157,الريسبي!$B$2:$B$1800,K$1)</f>
        <v>0</v>
      </c>
      <c r="L157" s="117" t="n">
        <f aca="false">SUMIFS(الريسبي!$C$2:$C$1800,الريسبي!$A$2:$A$1800,$A157,الريسبي!$B$2:$B$1800,L$1)</f>
        <v>0</v>
      </c>
      <c r="M157" s="117" t="n">
        <f aca="false">SUMIFS(الريسبي!$C$2:$C$1800,الريسبي!$A$2:$A$1800,$A157,الريسبي!$B$2:$B$1800,M$1)</f>
        <v>0</v>
      </c>
      <c r="N157" s="117" t="n">
        <f aca="false">SUMIFS(الريسبي!$C$2:$C$1800,الريسبي!$A$2:$A$1800,$A157,الريسبي!$B$2:$B$1800,N$1)</f>
        <v>0</v>
      </c>
      <c r="O157" s="117" t="n">
        <f aca="false">SUMIFS(الريسبي!$C$2:$C$1800,الريسبي!$A$2:$A$1800,$A157,الريسبي!$B$2:$B$1800,O$1)</f>
        <v>0</v>
      </c>
      <c r="P157" s="117" t="n">
        <f aca="false">SUMIFS(الريسبي!$C$2:$C$1800,الريسبي!$A$2:$A$1800,$A157,الريسبي!$B$2:$B$1800,P$1)</f>
        <v>0</v>
      </c>
      <c r="Q157" s="117" t="n">
        <f aca="false">SUMIFS(الريسبي!$C$2:$C$1800,الريسبي!$A$2:$A$1800,$A157,الريسبي!$B$2:$B$1800,Q$1)</f>
        <v>1</v>
      </c>
      <c r="R157" s="117" t="n">
        <f aca="false">SUMIFS(الريسبي!$C$2:$C$1800,الريسبي!$A$2:$A$1800,$A157,الريسبي!$B$2:$B$1800,R$1)</f>
        <v>0</v>
      </c>
      <c r="S157" s="117" t="n">
        <f aca="false">SUMIFS(الريسبي!$C$2:$C$1800,الريسبي!$A$2:$A$1800,$A157,الريسبي!$B$2:$B$1800,S$1)</f>
        <v>0</v>
      </c>
      <c r="T157" s="117" t="n">
        <f aca="false">SUMIFS(الريسبي!$C$2:$C$1800,الريسبي!$A$2:$A$1800,$A157,الريسبي!$B$2:$B$1800,T$1)</f>
        <v>0</v>
      </c>
      <c r="U157" s="117" t="n">
        <f aca="false">SUMIFS(الريسبي!$C$2:$C$1800,الريسبي!$A$2:$A$1800,$A157,الريسبي!$B$2:$B$1800,U$1)</f>
        <v>0</v>
      </c>
      <c r="V157" s="117" t="n">
        <f aca="false">SUMIFS(الريسبي!$C$2:$C$1800,الريسبي!$A$2:$A$1800,$A157,الريسبي!$B$2:$B$1800,V$1)</f>
        <v>0</v>
      </c>
      <c r="W157" s="117" t="n">
        <f aca="false">SUMIFS(الريسبي!$C$2:$C$1800,الريسبي!$A$2:$A$1800,$A157,الريسبي!$B$2:$B$1800,W$1)</f>
        <v>0</v>
      </c>
      <c r="X157" s="117" t="n">
        <f aca="false">SUMIFS(الريسبي!$C$2:$C$1800,الريسبي!$A$2:$A$1800,$A157,الريسبي!$B$2:$B$1800,X$1)</f>
        <v>0</v>
      </c>
      <c r="Y157" s="117" t="n">
        <f aca="false">SUMIFS(الريسبي!$C$2:$C$1800,الريسبي!$A$2:$A$1800,$A157,الريسبي!$B$2:$B$1800,Y$1)</f>
        <v>0</v>
      </c>
      <c r="Z157" s="117" t="n">
        <f aca="false">SUMIFS(الريسبي!$C$2:$C$1800,الريسبي!$A$2:$A$1800,$A157,الريسبي!$B$2:$B$1800,Z$1)</f>
        <v>0</v>
      </c>
      <c r="AA157" s="117" t="n">
        <f aca="false">SUMIFS(الريسبي!$C$2:$C$1800,الريسبي!$A$2:$A$1800,$A157,الريسبي!$B$2:$B$1800,AA$1)</f>
        <v>0</v>
      </c>
      <c r="AB157" s="117" t="n">
        <f aca="false">SUMIFS(الريسبي!$C$2:$C$1800,الريسبي!$A$2:$A$1800,$A157,الريسبي!$B$2:$B$1800,AB$1)</f>
        <v>0</v>
      </c>
      <c r="AC157" s="117" t="n">
        <f aca="false">SUMIFS(الريسبي!$C$2:$C$1800,الريسبي!$A$2:$A$1800,$A157,الريسبي!$B$2:$B$1800,AC$1)</f>
        <v>0</v>
      </c>
      <c r="AD157" s="117" t="n">
        <f aca="false">SUMIFS(الريسبي!$C$2:$C$1800,الريسبي!$A$2:$A$1800,$A157,الريسبي!$B$2:$B$1800,AD$1)</f>
        <v>0</v>
      </c>
      <c r="AE157" s="117" t="n">
        <f aca="false">SUMIFS(الريسبي!$C$2:$C$1800,الريسبي!$A$2:$A$1800,$A157,الريسبي!$B$2:$B$1800,AE$1)</f>
        <v>0</v>
      </c>
      <c r="AF157" s="117" t="n">
        <f aca="false">SUMIFS(الريسبي!$C$2:$C$1800,الريسبي!$A$2:$A$1800,$A157,الريسبي!$B$2:$B$1800,AF$1)</f>
        <v>0</v>
      </c>
      <c r="AG157" s="117" t="n">
        <f aca="false">SUMIFS(الريسبي!$C$2:$C$1800,الريسبي!$A$2:$A$1800,$A157,الريسبي!$B$2:$B$1800,AG$1)</f>
        <v>0</v>
      </c>
      <c r="AH157" s="117" t="n">
        <f aca="false">SUMIFS(الريسبي!$C$2:$C$1800,الريسبي!$A$2:$A$1800,$A157,الريسبي!$B$2:$B$1800,AH$1)</f>
        <v>0</v>
      </c>
      <c r="AI157" s="117" t="n">
        <f aca="false">SUMIFS(الريسبي!$C$2:$C$1800,الريسبي!$A$2:$A$1800,$A157,الريسبي!$B$2:$B$1800,AI$1)</f>
        <v>0</v>
      </c>
      <c r="AJ157" s="117" t="n">
        <f aca="false">SUMIFS(الريسبي!$C$2:$C$1800,الريسبي!$A$2:$A$1800,$A157,الريسبي!$B$2:$B$1800,AJ$1)</f>
        <v>0</v>
      </c>
      <c r="AK157" s="117" t="n">
        <f aca="false">SUMIFS(الريسبي!$C$2:$C$1800,الريسبي!$A$2:$A$1800,$A157,الريسبي!$B$2:$B$1800,AK$1)</f>
        <v>0</v>
      </c>
      <c r="AL157" s="117" t="n">
        <f aca="false">SUMIFS(الريسبي!$C$2:$C$1800,الريسبي!$A$2:$A$1800,$A157,الريسبي!$B$2:$B$1800,AL$1)</f>
        <v>0</v>
      </c>
      <c r="AM157" s="117" t="n">
        <f aca="false">SUMIFS(الريسبي!$C$2:$C$1800,الريسبي!$A$2:$A$1800,$A157,الريسبي!$B$2:$B$1800,AM$1)+0.08333333333*SUMIFS(الريسبي!$C$2:$C$1800,الريسبي!$A$2:$A$1800,$A157,الريسبي!$B$2:$B$1800,"عجين كريب (مصنع بالمطعم)")+0.08333333333*SUMIFS(الريسبي!$C$2:$C$1800,الريسبي!$A$2:$A$1800,$A157,الريسبي!$B$2:$B$1800,"عجين كريب صيامي (بدون لبن)")</f>
        <v>0</v>
      </c>
      <c r="AN157" s="117" t="n">
        <f aca="false">SUMIFS(الريسبي!$C$2:$C$1800,الريسبي!$A$2:$A$1800,$A157,الريسبي!$B$2:$B$1800,AN$1)+0.004166666667*SUMIFS(الريسبي!$C$2:$C$1800,الريسبي!$A$2:$A$1800,$A157,الريسبي!$B$2:$B$1800,"عجين كريب (مصنع بالمطعم)")+0.004166666667*SUMIFS(الريسبي!$C$2:$C$1800,الريسبي!$A$2:$A$1800,$A157,الريسبي!$B$2:$B$1800,"عجين كريب صيامي (بدون لبن)")</f>
        <v>0</v>
      </c>
      <c r="AO157" s="117" t="n">
        <f aca="false">SUMIFS(الريسبي!$C$2:$C$1800,الريسبي!$A$2:$A$1800,$A157,الريسبي!$B$2:$B$1800,AO$1)</f>
        <v>0</v>
      </c>
      <c r="AP157" s="117" t="n">
        <f aca="false">SUMIFS(الريسبي!$C$2:$C$1800,الريسبي!$A$2:$A$1800,$A157,الريسبي!$B$2:$B$1800,AP$1)</f>
        <v>0</v>
      </c>
      <c r="AQ157" s="117" t="n">
        <f aca="false">SUMIFS(الريسبي!$C$2:$C$1800,الريسبي!$A$2:$A$1800,$A157,الريسبي!$B$2:$B$1800,AQ$1)+0.004166666667*SUMIFS(الريسبي!$C$2:$C$1800,الريسبي!$A$2:$A$1800,$A157,الريسبي!$B$2:$B$1800,"عجين كريب (مصنع بالمطعم)")+0.004166666667*SUMIFS(الريسبي!$C$2:$C$1800,الريسبي!$A$2:$A$1800,$A157,الريسبي!$B$2:$B$1800,"عجين كريب صيامي (بدون لبن)")</f>
        <v>0</v>
      </c>
      <c r="AR157" s="117" t="n">
        <f aca="false">SUMIFS(الريسبي!$C$2:$C$1800,الريسبي!$A$2:$A$1800,$A157,الريسبي!$B$2:$B$1800,AR$1)</f>
        <v>0</v>
      </c>
      <c r="AS157" s="117" t="n">
        <f aca="false">SUMIFS(الريسبي!$C$2:$C$1800,الريسبي!$A$2:$A$1800,$A157,الريسبي!$B$2:$B$1800,AS$1)</f>
        <v>0</v>
      </c>
      <c r="AT157" s="117" t="n">
        <f aca="false">SUMIFS(الريسبي!$C$2:$C$1800,الريسبي!$A$2:$A$1800,$A157,الريسبي!$B$2:$B$1800,AT$1)</f>
        <v>0</v>
      </c>
      <c r="AU157" s="117" t="n">
        <f aca="false">SUMIFS(الريسبي!$C$2:$C$1800,الريسبي!$A$2:$A$1800,$A157,الريسبي!$B$2:$B$1800,AU$1)</f>
        <v>0</v>
      </c>
      <c r="AV157" s="117" t="n">
        <f aca="false">SUMIFS(الريسبي!$C$2:$C$1800,الريسبي!$A$2:$A$1800,$A157,الريسبي!$B$2:$B$1800,AV$1)</f>
        <v>0</v>
      </c>
      <c r="AW157" s="117" t="n">
        <f aca="false">SUMIFS(الريسبي!$C$2:$C$1800,الريسبي!$A$2:$A$1800,$A157,الريسبي!$B$2:$B$1800,AW$1)</f>
        <v>0</v>
      </c>
      <c r="AX157" s="117" t="n">
        <f aca="false">SUMIFS(الريسبي!$C$2:$C$1800,الريسبي!$A$2:$A$1800,$A157,الريسبي!$B$2:$B$1800,AX$1)</f>
        <v>0</v>
      </c>
      <c r="AY157" s="117" t="n">
        <f aca="false">SUMIFS(الريسبي!$C$2:$C$1800,الريسبي!$A$2:$A$1800,$A157,الريسبي!$B$2:$B$1800,AY$1)</f>
        <v>0</v>
      </c>
      <c r="AZ157" s="117" t="n">
        <f aca="false">SUMIFS(الريسبي!$C$2:$C$1800,الريسبي!$A$2:$A$1800,$A157,الريسبي!$B$2:$B$1800,AZ$1)</f>
        <v>0</v>
      </c>
      <c r="BA157" s="117" t="n">
        <f aca="false">SUMIFS(الريسبي!$C$2:$C$1800,الريسبي!$A$2:$A$1800,$A157,الريسبي!$B$2:$B$1800,BA$1)</f>
        <v>0</v>
      </c>
      <c r="BB157" s="117" t="n">
        <f aca="false">SUMIFS(الريسبي!$C$2:$C$1800,الريسبي!$A$2:$A$1800,$A157,الريسبي!$B$2:$B$1800,BB$1)</f>
        <v>0</v>
      </c>
      <c r="BC157" s="117" t="n">
        <f aca="false">SUMIFS(الريسبي!$C$2:$C$1800,الريسبي!$A$2:$A$1800,$A157,الريسبي!$B$2:$B$1800,BC$1)</f>
        <v>0</v>
      </c>
      <c r="BD157" s="117" t="n">
        <f aca="false">SUMIFS(الريسبي!$C$2:$C$1800,الريسبي!$A$2:$A$1800,$A157,الريسبي!$B$2:$B$1800,BD$1)</f>
        <v>0</v>
      </c>
      <c r="BE157" s="117" t="n">
        <f aca="false">SUMIFS(الريسبي!$C$2:$C$1800,الريسبي!$A$2:$A$1800,$A157,الريسبي!$B$2:$B$1800,BE$1)</f>
        <v>0</v>
      </c>
      <c r="BF157" s="117" t="n">
        <f aca="false">SUMIFS(الريسبي!$C$2:$C$1800,الريسبي!$A$2:$A$1800,$A157,الريسبي!$B$2:$B$1800,BF$1)</f>
        <v>0</v>
      </c>
      <c r="BG157" s="117" t="n">
        <f aca="false">SUMIFS(الريسبي!$C$2:$C$1800,الريسبي!$A$2:$A$1800,$A157,الريسبي!$B$2:$B$1800,BG$1)</f>
        <v>0</v>
      </c>
      <c r="BH157" s="117" t="n">
        <f aca="false">SUMIFS(الريسبي!$C$2:$C$1800,الريسبي!$A$2:$A$1800,$A157,الريسبي!$B$2:$B$1800,BH$1)</f>
        <v>0</v>
      </c>
      <c r="BI157" s="117" t="n">
        <f aca="false">SUMIFS(الريسبي!$C$2:$C$1800,الريسبي!$A$2:$A$1800,$A157,الريسبي!$B$2:$B$1800,BI$1)</f>
        <v>0</v>
      </c>
      <c r="BJ157" s="117" t="n">
        <f aca="false">SUMIFS(الريسبي!$C$2:$C$1800,الريسبي!$A$2:$A$1800,$A157,الريسبي!$B$2:$B$1800,BJ$1)</f>
        <v>0</v>
      </c>
      <c r="BK157" s="117" t="n">
        <f aca="false">SUMIFS(الريسبي!$C$2:$C$1800,الريسبي!$A$2:$A$1800,$A157,الريسبي!$B$2:$B$1800,BK$1)</f>
        <v>0</v>
      </c>
      <c r="BL157" s="117" t="n">
        <f aca="false">SUMIFS(الريسبي!$C$2:$C$1800,الريسبي!$A$2:$A$1800,$A157,الريسبي!$B$2:$B$1800,BL$1)</f>
        <v>0</v>
      </c>
      <c r="BM157" s="117" t="n">
        <f aca="false">SUMIFS(الريسبي!$C$2:$C$1800,الريسبي!$A$2:$A$1800,$A157,الريسبي!$B$2:$B$1800,BM$1)</f>
        <v>0</v>
      </c>
      <c r="BN157" s="117" t="n">
        <f aca="false">SUMIFS(الريسبي!$C$2:$C$1800,الريسبي!$A$2:$A$1800,$A157,الريسبي!$B$2:$B$1800,BN$1)</f>
        <v>0</v>
      </c>
      <c r="BO157" s="117" t="n">
        <f aca="false">SUMIFS(الريسبي!$C$2:$C$1800,الريسبي!$A$2:$A$1800,$A157,الريسبي!$B$2:$B$1800,BO$1)</f>
        <v>0</v>
      </c>
      <c r="BP157" s="117" t="n">
        <f aca="false">SUMIFS(الريسبي!$C$2:$C$1800,الريسبي!$A$2:$A$1800,$A157,الريسبي!$B$2:$B$1800,BP$1)</f>
        <v>0</v>
      </c>
      <c r="BQ157" s="117" t="n">
        <f aca="false">SUMIFS(الريسبي!$C$2:$C$1800,الريسبي!$A$2:$A$1800,$A157,الريسبي!$B$2:$B$1800,BQ$1)+0.17*SUMIFS(الريسبي!$C$2:$C$1800,الريسبي!$A$2:$A$1800,$A157,الريسبي!$B$2:$B$1800,"كاسترد مصنع (خليط بودر + لبن)")+0.17*SUMIFS(الريسبي!$C$2:$C$1800,الريسبي!$A$2:$A$1800,$A157,الريسبي!$B$2:$B$1800,"كاسترد مصنع صيامي (بدون لبن)")</f>
        <v>0</v>
      </c>
      <c r="BR157" s="117" t="n">
        <f aca="false">SUMIFS(الريسبي!$C$2:$C$1800,الريسبي!$A$2:$A$1800,$A157,الريسبي!$B$2:$B$1800,BR$1)</f>
        <v>0</v>
      </c>
      <c r="BS157" s="117" t="n">
        <f aca="false">SUMIFS(الريسبي!$C$2:$C$1800,الريسبي!$A$2:$A$1800,$A157,الريسبي!$B$2:$B$1800,BS$1)</f>
        <v>0</v>
      </c>
      <c r="BT157" s="117" t="n">
        <f aca="false">SUMIFS(الريسبي!$C$2:$C$1800,الريسبي!$A$2:$A$1800,$A157,الريسبي!$B$2:$B$1800,BT$1)</f>
        <v>0</v>
      </c>
      <c r="BU157" s="117" t="n">
        <f aca="false">SUMIFS(الريسبي!$C$2:$C$1800,الريسبي!$A$2:$A$1800,$A157,الريسبي!$B$2:$B$1800,BU$1)+0.4*SUMIFS(الريسبي!$C$2:$C$1800,الريسبي!$A$2:$A$1800,$A157,الريسبي!$B$2:$B$1800,"كاسترد مصنع (خليط بودر + لبن)")+0.03333333333*SUMIFS(الريسبي!$C$2:$C$1800,الريسبي!$A$2:$A$1800,$A157,الريسبي!$B$2:$B$1800,"عجين كريب (مصنع بالمطعم)")</f>
        <v>0</v>
      </c>
      <c r="BV157" s="117" t="n">
        <f aca="false">SUMIFS(الريسبي!$C$2:$C$1800,الريسبي!$A$2:$A$1800,$A157,الريسبي!$B$2:$B$1800,BV$1)</f>
        <v>0</v>
      </c>
      <c r="BW157" s="117" t="n">
        <f aca="false">SUMIFS(الريسبي!$C$2:$C$1800,الريسبي!$A$2:$A$1800,$A157,الريسبي!$B$2:$B$1800,BW$1)</f>
        <v>0</v>
      </c>
      <c r="BX157" s="117" t="n">
        <f aca="false">SUMIFS(الريسبي!$C$2:$C$1800,الريسبي!$A$2:$A$1800,$A157,الريسبي!$B$2:$B$1800,BX$1)</f>
        <v>0</v>
      </c>
      <c r="BY157" s="117" t="n">
        <f aca="false">SUMIFS(الريسبي!$C$2:$C$1800,الريسبي!$A$2:$A$1800,$A157,الريسبي!$B$2:$B$1800,BY$1)</f>
        <v>0</v>
      </c>
      <c r="BZ157" s="117" t="n">
        <f aca="false">SUMIFS(الريسبي!$C$2:$C$1800,الريسبي!$A$2:$A$1800,$A157,الريسبي!$B$2:$B$1800,BZ$1)</f>
        <v>0</v>
      </c>
      <c r="CA157" s="117" t="n">
        <f aca="false">SUMIFS(الريسبي!$C$2:$C$1800,الريسبي!$A$2:$A$1800,$A157,الريسبي!$B$2:$B$1800,CA$1)</f>
        <v>0</v>
      </c>
      <c r="CB157" s="117" t="n">
        <f aca="false">SUMIFS(الريسبي!$C$2:$C$1800,الريسبي!$A$2:$A$1800,$A157,الريسبي!$B$2:$B$1800,CB$1)</f>
        <v>0</v>
      </c>
      <c r="CC157" s="117" t="n">
        <f aca="false">SUMIFS(الريسبي!$C$2:$C$1800,الريسبي!$A$2:$A$1800,$A157,الريسبي!$B$2:$B$1800,CC$1)</f>
        <v>0</v>
      </c>
      <c r="CD157" s="117" t="n">
        <f aca="false">SUMIFS(الريسبي!$C$2:$C$1800,الريسبي!$A$2:$A$1800,$A157,الريسبي!$B$2:$B$1800,CD$1)</f>
        <v>0</v>
      </c>
      <c r="CE157" s="117" t="n">
        <f aca="false">SUMIFS(الريسبي!$C$2:$C$1800,الريسبي!$A$2:$A$1800,$A157,الريسبي!$B$2:$B$1800,CE$1)</f>
        <v>0</v>
      </c>
      <c r="CF157" s="117" t="n">
        <f aca="false">SUMIFS(الريسبي!$C$2:$C$1800,الريسبي!$A$2:$A$1800,$A157,الريسبي!$B$2:$B$1800,CF$1)</f>
        <v>0</v>
      </c>
      <c r="CG157" s="117" t="n">
        <f aca="false">SUMIFS(الريسبي!$C$2:$C$1800,الريسبي!$A$2:$A$1800,$A157,الريسبي!$B$2:$B$1800,CG$1)</f>
        <v>0</v>
      </c>
      <c r="CH157" s="117" t="n">
        <f aca="false">SUMIFS(الريسبي!$C$2:$C$1800,الريسبي!$A$2:$A$1800,$A157,الريسبي!$B$2:$B$1800,CH$1)</f>
        <v>0</v>
      </c>
      <c r="CI157" s="117" t="n">
        <f aca="false">SUMIFS(الريسبي!$C$2:$C$1800,الريسبي!$A$2:$A$1800,$A157,الريسبي!$B$2:$B$1800,CI$1)</f>
        <v>0</v>
      </c>
      <c r="CJ157" s="117" t="n">
        <f aca="false">SUMIFS(الريسبي!$C$2:$C$1800,الريسبي!$A$2:$A$1800,$A157,الريسبي!$B$2:$B$1800,CJ$1)</f>
        <v>0</v>
      </c>
      <c r="CK157" s="117" t="n">
        <f aca="false">SUMIFS(الريسبي!$C$2:$C$1800,الريسبي!$A$2:$A$1800,$A157,الريسبي!$B$2:$B$1800,CK$1)</f>
        <v>0</v>
      </c>
      <c r="CL157" s="117" t="n">
        <f aca="false">SUMIFS(الريسبي!$C$2:$C$1800,الريسبي!$A$2:$A$1800,$A157,الريسبي!$B$2:$B$1800,CL$1)</f>
        <v>0</v>
      </c>
    </row>
    <row r="158" customFormat="false" ht="15" hidden="false" customHeight="false" outlineLevel="0" collapsed="false">
      <c r="A158" s="116" t="str">
        <f aca="false">المنيو!B158</f>
        <v>اضافة فراخ كريسبي (فطير كبير)</v>
      </c>
      <c r="B158" s="117" t="n">
        <f aca="false">SUMIFS(الريسبي!$C$2:$C$1800,الريسبي!$A$2:$A$1800,$A158,الريسبي!$B$2:$B$1800,B$1)</f>
        <v>0</v>
      </c>
      <c r="C158" s="117" t="n">
        <f aca="false">SUMIFS(الريسبي!$C$2:$C$1800,الريسبي!$A$2:$A$1800,$A158,الريسبي!$B$2:$B$1800,C$1)</f>
        <v>0</v>
      </c>
      <c r="D158" s="117" t="n">
        <f aca="false">SUMIFS(الريسبي!$C$2:$C$1800,الريسبي!$A$2:$A$1800,$A158,الريسبي!$B$2:$B$1800,D$1)</f>
        <v>0</v>
      </c>
      <c r="E158" s="117" t="n">
        <f aca="false">SUMIFS(الريسبي!$C$2:$C$1800,الريسبي!$A$2:$A$1800,$A158,الريسبي!$B$2:$B$1800,E$1)</f>
        <v>0</v>
      </c>
      <c r="F158" s="117" t="n">
        <f aca="false">SUMIFS(الريسبي!$C$2:$C$1800,الريسبي!$A$2:$A$1800,$A158,الريسبي!$B$2:$B$1800,F$1)</f>
        <v>0</v>
      </c>
      <c r="G158" s="117" t="n">
        <f aca="false">SUMIFS(الريسبي!$C$2:$C$1800,الريسبي!$A$2:$A$1800,$A158,الريسبي!$B$2:$B$1800,G$1)</f>
        <v>0</v>
      </c>
      <c r="H158" s="117" t="n">
        <f aca="false">SUMIFS(الريسبي!$C$2:$C$1800,الريسبي!$A$2:$A$1800,$A158,الريسبي!$B$2:$B$1800,H$1)</f>
        <v>0</v>
      </c>
      <c r="I158" s="117" t="n">
        <f aca="false">SUMIFS(الريسبي!$C$2:$C$1800,الريسبي!$A$2:$A$1800,$A158,الريسبي!$B$2:$B$1800,I$1)</f>
        <v>0</v>
      </c>
      <c r="J158" s="117" t="n">
        <f aca="false">SUMIFS(الريسبي!$C$2:$C$1800,الريسبي!$A$2:$A$1800,$A158,الريسبي!$B$2:$B$1800,J$1)</f>
        <v>0</v>
      </c>
      <c r="K158" s="117" t="n">
        <f aca="false">SUMIFS(الريسبي!$C$2:$C$1800,الريسبي!$A$2:$A$1800,$A158,الريسبي!$B$2:$B$1800,K$1)</f>
        <v>0</v>
      </c>
      <c r="L158" s="117" t="n">
        <f aca="false">SUMIFS(الريسبي!$C$2:$C$1800,الريسبي!$A$2:$A$1800,$A158,الريسبي!$B$2:$B$1800,L$1)</f>
        <v>0</v>
      </c>
      <c r="M158" s="117" t="n">
        <f aca="false">SUMIFS(الريسبي!$C$2:$C$1800,الريسبي!$A$2:$A$1800,$A158,الريسبي!$B$2:$B$1800,M$1)</f>
        <v>0</v>
      </c>
      <c r="N158" s="117" t="n">
        <f aca="false">SUMIFS(الريسبي!$C$2:$C$1800,الريسبي!$A$2:$A$1800,$A158,الريسبي!$B$2:$B$1800,N$1)</f>
        <v>0</v>
      </c>
      <c r="O158" s="117" t="n">
        <f aca="false">SUMIFS(الريسبي!$C$2:$C$1800,الريسبي!$A$2:$A$1800,$A158,الريسبي!$B$2:$B$1800,O$1)</f>
        <v>0</v>
      </c>
      <c r="P158" s="117" t="n">
        <f aca="false">SUMIFS(الريسبي!$C$2:$C$1800,الريسبي!$A$2:$A$1800,$A158,الريسبي!$B$2:$B$1800,P$1)</f>
        <v>0</v>
      </c>
      <c r="Q158" s="117" t="n">
        <f aca="false">SUMIFS(الريسبي!$C$2:$C$1800,الريسبي!$A$2:$A$1800,$A158,الريسبي!$B$2:$B$1800,Q$1)</f>
        <v>0</v>
      </c>
      <c r="R158" s="117" t="n">
        <f aca="false">SUMIFS(الريسبي!$C$2:$C$1800,الريسبي!$A$2:$A$1800,$A158,الريسبي!$B$2:$B$1800,R$1)</f>
        <v>1</v>
      </c>
      <c r="S158" s="117" t="n">
        <f aca="false">SUMIFS(الريسبي!$C$2:$C$1800,الريسبي!$A$2:$A$1800,$A158,الريسبي!$B$2:$B$1800,S$1)</f>
        <v>0</v>
      </c>
      <c r="T158" s="117" t="n">
        <f aca="false">SUMIFS(الريسبي!$C$2:$C$1800,الريسبي!$A$2:$A$1800,$A158,الريسبي!$B$2:$B$1800,T$1)</f>
        <v>0</v>
      </c>
      <c r="U158" s="117" t="n">
        <f aca="false">SUMIFS(الريسبي!$C$2:$C$1800,الريسبي!$A$2:$A$1800,$A158,الريسبي!$B$2:$B$1800,U$1)</f>
        <v>0</v>
      </c>
      <c r="V158" s="117" t="n">
        <f aca="false">SUMIFS(الريسبي!$C$2:$C$1800,الريسبي!$A$2:$A$1800,$A158,الريسبي!$B$2:$B$1800,V$1)</f>
        <v>0</v>
      </c>
      <c r="W158" s="117" t="n">
        <f aca="false">SUMIFS(الريسبي!$C$2:$C$1800,الريسبي!$A$2:$A$1800,$A158,الريسبي!$B$2:$B$1800,W$1)</f>
        <v>0</v>
      </c>
      <c r="X158" s="117" t="n">
        <f aca="false">SUMIFS(الريسبي!$C$2:$C$1800,الريسبي!$A$2:$A$1800,$A158,الريسبي!$B$2:$B$1800,X$1)</f>
        <v>0</v>
      </c>
      <c r="Y158" s="117" t="n">
        <f aca="false">SUMIFS(الريسبي!$C$2:$C$1800,الريسبي!$A$2:$A$1800,$A158,الريسبي!$B$2:$B$1800,Y$1)</f>
        <v>0</v>
      </c>
      <c r="Z158" s="117" t="n">
        <f aca="false">SUMIFS(الريسبي!$C$2:$C$1800,الريسبي!$A$2:$A$1800,$A158,الريسبي!$B$2:$B$1800,Z$1)</f>
        <v>0</v>
      </c>
      <c r="AA158" s="117" t="n">
        <f aca="false">SUMIFS(الريسبي!$C$2:$C$1800,الريسبي!$A$2:$A$1800,$A158,الريسبي!$B$2:$B$1800,AA$1)</f>
        <v>0</v>
      </c>
      <c r="AB158" s="117" t="n">
        <f aca="false">SUMIFS(الريسبي!$C$2:$C$1800,الريسبي!$A$2:$A$1800,$A158,الريسبي!$B$2:$B$1800,AB$1)</f>
        <v>0</v>
      </c>
      <c r="AC158" s="117" t="n">
        <f aca="false">SUMIFS(الريسبي!$C$2:$C$1800,الريسبي!$A$2:$A$1800,$A158,الريسبي!$B$2:$B$1800,AC$1)</f>
        <v>0</v>
      </c>
      <c r="AD158" s="117" t="n">
        <f aca="false">SUMIFS(الريسبي!$C$2:$C$1800,الريسبي!$A$2:$A$1800,$A158,الريسبي!$B$2:$B$1800,AD$1)</f>
        <v>0</v>
      </c>
      <c r="AE158" s="117" t="n">
        <f aca="false">SUMIFS(الريسبي!$C$2:$C$1800,الريسبي!$A$2:$A$1800,$A158,الريسبي!$B$2:$B$1800,AE$1)</f>
        <v>0</v>
      </c>
      <c r="AF158" s="117" t="n">
        <f aca="false">SUMIFS(الريسبي!$C$2:$C$1800,الريسبي!$A$2:$A$1800,$A158,الريسبي!$B$2:$B$1800,AF$1)</f>
        <v>0</v>
      </c>
      <c r="AG158" s="117" t="n">
        <f aca="false">SUMIFS(الريسبي!$C$2:$C$1800,الريسبي!$A$2:$A$1800,$A158,الريسبي!$B$2:$B$1800,AG$1)</f>
        <v>0</v>
      </c>
      <c r="AH158" s="117" t="n">
        <f aca="false">SUMIFS(الريسبي!$C$2:$C$1800,الريسبي!$A$2:$A$1800,$A158,الريسبي!$B$2:$B$1800,AH$1)</f>
        <v>0</v>
      </c>
      <c r="AI158" s="117" t="n">
        <f aca="false">SUMIFS(الريسبي!$C$2:$C$1800,الريسبي!$A$2:$A$1800,$A158,الريسبي!$B$2:$B$1800,AI$1)</f>
        <v>0</v>
      </c>
      <c r="AJ158" s="117" t="n">
        <f aca="false">SUMIFS(الريسبي!$C$2:$C$1800,الريسبي!$A$2:$A$1800,$A158,الريسبي!$B$2:$B$1800,AJ$1)</f>
        <v>0</v>
      </c>
      <c r="AK158" s="117" t="n">
        <f aca="false">SUMIFS(الريسبي!$C$2:$C$1800,الريسبي!$A$2:$A$1800,$A158,الريسبي!$B$2:$B$1800,AK$1)</f>
        <v>0</v>
      </c>
      <c r="AL158" s="117" t="n">
        <f aca="false">SUMIFS(الريسبي!$C$2:$C$1800,الريسبي!$A$2:$A$1800,$A158,الريسبي!$B$2:$B$1800,AL$1)</f>
        <v>0</v>
      </c>
      <c r="AM158" s="117" t="n">
        <f aca="false">SUMIFS(الريسبي!$C$2:$C$1800,الريسبي!$A$2:$A$1800,$A158,الريسبي!$B$2:$B$1800,AM$1)+0.08333333333*SUMIFS(الريسبي!$C$2:$C$1800,الريسبي!$A$2:$A$1800,$A158,الريسبي!$B$2:$B$1800,"عجين كريب (مصنع بالمطعم)")+0.08333333333*SUMIFS(الريسبي!$C$2:$C$1800,الريسبي!$A$2:$A$1800,$A158,الريسبي!$B$2:$B$1800,"عجين كريب صيامي (بدون لبن)")</f>
        <v>0</v>
      </c>
      <c r="AN158" s="117" t="n">
        <f aca="false">SUMIFS(الريسبي!$C$2:$C$1800,الريسبي!$A$2:$A$1800,$A158,الريسبي!$B$2:$B$1800,AN$1)+0.004166666667*SUMIFS(الريسبي!$C$2:$C$1800,الريسبي!$A$2:$A$1800,$A158,الريسبي!$B$2:$B$1800,"عجين كريب (مصنع بالمطعم)")+0.004166666667*SUMIFS(الريسبي!$C$2:$C$1800,الريسبي!$A$2:$A$1800,$A158,الريسبي!$B$2:$B$1800,"عجين كريب صيامي (بدون لبن)")</f>
        <v>0</v>
      </c>
      <c r="AO158" s="117" t="n">
        <f aca="false">SUMIFS(الريسبي!$C$2:$C$1800,الريسبي!$A$2:$A$1800,$A158,الريسبي!$B$2:$B$1800,AO$1)</f>
        <v>0</v>
      </c>
      <c r="AP158" s="117" t="n">
        <f aca="false">SUMIFS(الريسبي!$C$2:$C$1800,الريسبي!$A$2:$A$1800,$A158,الريسبي!$B$2:$B$1800,AP$1)</f>
        <v>0</v>
      </c>
      <c r="AQ158" s="117" t="n">
        <f aca="false">SUMIFS(الريسبي!$C$2:$C$1800,الريسبي!$A$2:$A$1800,$A158,الريسبي!$B$2:$B$1800,AQ$1)+0.004166666667*SUMIFS(الريسبي!$C$2:$C$1800,الريسبي!$A$2:$A$1800,$A158,الريسبي!$B$2:$B$1800,"عجين كريب (مصنع بالمطعم)")+0.004166666667*SUMIFS(الريسبي!$C$2:$C$1800,الريسبي!$A$2:$A$1800,$A158,الريسبي!$B$2:$B$1800,"عجين كريب صيامي (بدون لبن)")</f>
        <v>0</v>
      </c>
      <c r="AR158" s="117" t="n">
        <f aca="false">SUMIFS(الريسبي!$C$2:$C$1800,الريسبي!$A$2:$A$1800,$A158,الريسبي!$B$2:$B$1800,AR$1)</f>
        <v>0</v>
      </c>
      <c r="AS158" s="117" t="n">
        <f aca="false">SUMIFS(الريسبي!$C$2:$C$1800,الريسبي!$A$2:$A$1800,$A158,الريسبي!$B$2:$B$1800,AS$1)</f>
        <v>0</v>
      </c>
      <c r="AT158" s="117" t="n">
        <f aca="false">SUMIFS(الريسبي!$C$2:$C$1800,الريسبي!$A$2:$A$1800,$A158,الريسبي!$B$2:$B$1800,AT$1)</f>
        <v>0</v>
      </c>
      <c r="AU158" s="117" t="n">
        <f aca="false">SUMIFS(الريسبي!$C$2:$C$1800,الريسبي!$A$2:$A$1800,$A158,الريسبي!$B$2:$B$1800,AU$1)</f>
        <v>0</v>
      </c>
      <c r="AV158" s="117" t="n">
        <f aca="false">SUMIFS(الريسبي!$C$2:$C$1800,الريسبي!$A$2:$A$1800,$A158,الريسبي!$B$2:$B$1800,AV$1)</f>
        <v>0</v>
      </c>
      <c r="AW158" s="117" t="n">
        <f aca="false">SUMIFS(الريسبي!$C$2:$C$1800,الريسبي!$A$2:$A$1800,$A158,الريسبي!$B$2:$B$1800,AW$1)</f>
        <v>0</v>
      </c>
      <c r="AX158" s="117" t="n">
        <f aca="false">SUMIFS(الريسبي!$C$2:$C$1800,الريسبي!$A$2:$A$1800,$A158,الريسبي!$B$2:$B$1800,AX$1)</f>
        <v>0</v>
      </c>
      <c r="AY158" s="117" t="n">
        <f aca="false">SUMIFS(الريسبي!$C$2:$C$1800,الريسبي!$A$2:$A$1800,$A158,الريسبي!$B$2:$B$1800,AY$1)</f>
        <v>0</v>
      </c>
      <c r="AZ158" s="117" t="n">
        <f aca="false">SUMIFS(الريسبي!$C$2:$C$1800,الريسبي!$A$2:$A$1800,$A158,الريسبي!$B$2:$B$1800,AZ$1)</f>
        <v>0</v>
      </c>
      <c r="BA158" s="117" t="n">
        <f aca="false">SUMIFS(الريسبي!$C$2:$C$1800,الريسبي!$A$2:$A$1800,$A158,الريسبي!$B$2:$B$1800,BA$1)</f>
        <v>0</v>
      </c>
      <c r="BB158" s="117" t="n">
        <f aca="false">SUMIFS(الريسبي!$C$2:$C$1800,الريسبي!$A$2:$A$1800,$A158,الريسبي!$B$2:$B$1800,BB$1)</f>
        <v>0</v>
      </c>
      <c r="BC158" s="117" t="n">
        <f aca="false">SUMIFS(الريسبي!$C$2:$C$1800,الريسبي!$A$2:$A$1800,$A158,الريسبي!$B$2:$B$1800,BC$1)</f>
        <v>0</v>
      </c>
      <c r="BD158" s="117" t="n">
        <f aca="false">SUMIFS(الريسبي!$C$2:$C$1800,الريسبي!$A$2:$A$1800,$A158,الريسبي!$B$2:$B$1800,BD$1)</f>
        <v>0</v>
      </c>
      <c r="BE158" s="117" t="n">
        <f aca="false">SUMIFS(الريسبي!$C$2:$C$1800,الريسبي!$A$2:$A$1800,$A158,الريسبي!$B$2:$B$1800,BE$1)</f>
        <v>0</v>
      </c>
      <c r="BF158" s="117" t="n">
        <f aca="false">SUMIFS(الريسبي!$C$2:$C$1800,الريسبي!$A$2:$A$1800,$A158,الريسبي!$B$2:$B$1800,BF$1)</f>
        <v>0</v>
      </c>
      <c r="BG158" s="117" t="n">
        <f aca="false">SUMIFS(الريسبي!$C$2:$C$1800,الريسبي!$A$2:$A$1800,$A158,الريسبي!$B$2:$B$1800,BG$1)</f>
        <v>0</v>
      </c>
      <c r="BH158" s="117" t="n">
        <f aca="false">SUMIFS(الريسبي!$C$2:$C$1800,الريسبي!$A$2:$A$1800,$A158,الريسبي!$B$2:$B$1800,BH$1)</f>
        <v>0</v>
      </c>
      <c r="BI158" s="117" t="n">
        <f aca="false">SUMIFS(الريسبي!$C$2:$C$1800,الريسبي!$A$2:$A$1800,$A158,الريسبي!$B$2:$B$1800,BI$1)</f>
        <v>0</v>
      </c>
      <c r="BJ158" s="117" t="n">
        <f aca="false">SUMIFS(الريسبي!$C$2:$C$1800,الريسبي!$A$2:$A$1800,$A158,الريسبي!$B$2:$B$1800,BJ$1)</f>
        <v>0</v>
      </c>
      <c r="BK158" s="117" t="n">
        <f aca="false">SUMIFS(الريسبي!$C$2:$C$1800,الريسبي!$A$2:$A$1800,$A158,الريسبي!$B$2:$B$1800,BK$1)</f>
        <v>0</v>
      </c>
      <c r="BL158" s="117" t="n">
        <f aca="false">SUMIFS(الريسبي!$C$2:$C$1800,الريسبي!$A$2:$A$1800,$A158,الريسبي!$B$2:$B$1800,BL$1)</f>
        <v>0</v>
      </c>
      <c r="BM158" s="117" t="n">
        <f aca="false">SUMIFS(الريسبي!$C$2:$C$1800,الريسبي!$A$2:$A$1800,$A158,الريسبي!$B$2:$B$1800,BM$1)</f>
        <v>0</v>
      </c>
      <c r="BN158" s="117" t="n">
        <f aca="false">SUMIFS(الريسبي!$C$2:$C$1800,الريسبي!$A$2:$A$1800,$A158,الريسبي!$B$2:$B$1800,BN$1)</f>
        <v>0</v>
      </c>
      <c r="BO158" s="117" t="n">
        <f aca="false">SUMIFS(الريسبي!$C$2:$C$1800,الريسبي!$A$2:$A$1800,$A158,الريسبي!$B$2:$B$1800,BO$1)</f>
        <v>0</v>
      </c>
      <c r="BP158" s="117" t="n">
        <f aca="false">SUMIFS(الريسبي!$C$2:$C$1800,الريسبي!$A$2:$A$1800,$A158,الريسبي!$B$2:$B$1800,BP$1)</f>
        <v>0</v>
      </c>
      <c r="BQ158" s="117" t="n">
        <f aca="false">SUMIFS(الريسبي!$C$2:$C$1800,الريسبي!$A$2:$A$1800,$A158,الريسبي!$B$2:$B$1800,BQ$1)+0.17*SUMIFS(الريسبي!$C$2:$C$1800,الريسبي!$A$2:$A$1800,$A158,الريسبي!$B$2:$B$1800,"كاسترد مصنع (خليط بودر + لبن)")+0.17*SUMIFS(الريسبي!$C$2:$C$1800,الريسبي!$A$2:$A$1800,$A158,الريسبي!$B$2:$B$1800,"كاسترد مصنع صيامي (بدون لبن)")</f>
        <v>0</v>
      </c>
      <c r="BR158" s="117" t="n">
        <f aca="false">SUMIFS(الريسبي!$C$2:$C$1800,الريسبي!$A$2:$A$1800,$A158,الريسبي!$B$2:$B$1800,BR$1)</f>
        <v>0</v>
      </c>
      <c r="BS158" s="117" t="n">
        <f aca="false">SUMIFS(الريسبي!$C$2:$C$1800,الريسبي!$A$2:$A$1800,$A158,الريسبي!$B$2:$B$1800,BS$1)</f>
        <v>0</v>
      </c>
      <c r="BT158" s="117" t="n">
        <f aca="false">SUMIFS(الريسبي!$C$2:$C$1800,الريسبي!$A$2:$A$1800,$A158,الريسبي!$B$2:$B$1800,BT$1)</f>
        <v>0</v>
      </c>
      <c r="BU158" s="117" t="n">
        <f aca="false">SUMIFS(الريسبي!$C$2:$C$1800,الريسبي!$A$2:$A$1800,$A158,الريسبي!$B$2:$B$1800,BU$1)+0.4*SUMIFS(الريسبي!$C$2:$C$1800,الريسبي!$A$2:$A$1800,$A158,الريسبي!$B$2:$B$1800,"كاسترد مصنع (خليط بودر + لبن)")+0.03333333333*SUMIFS(الريسبي!$C$2:$C$1800,الريسبي!$A$2:$A$1800,$A158,الريسبي!$B$2:$B$1800,"عجين كريب (مصنع بالمطعم)")</f>
        <v>0</v>
      </c>
      <c r="BV158" s="117" t="n">
        <f aca="false">SUMIFS(الريسبي!$C$2:$C$1800,الريسبي!$A$2:$A$1800,$A158,الريسبي!$B$2:$B$1800,BV$1)</f>
        <v>0</v>
      </c>
      <c r="BW158" s="117" t="n">
        <f aca="false">SUMIFS(الريسبي!$C$2:$C$1800,الريسبي!$A$2:$A$1800,$A158,الريسبي!$B$2:$B$1800,BW$1)</f>
        <v>0</v>
      </c>
      <c r="BX158" s="117" t="n">
        <f aca="false">SUMIFS(الريسبي!$C$2:$C$1800,الريسبي!$A$2:$A$1800,$A158,الريسبي!$B$2:$B$1800,BX$1)</f>
        <v>0</v>
      </c>
      <c r="BY158" s="117" t="n">
        <f aca="false">SUMIFS(الريسبي!$C$2:$C$1800,الريسبي!$A$2:$A$1800,$A158,الريسبي!$B$2:$B$1800,BY$1)</f>
        <v>0</v>
      </c>
      <c r="BZ158" s="117" t="n">
        <f aca="false">SUMIFS(الريسبي!$C$2:$C$1800,الريسبي!$A$2:$A$1800,$A158,الريسبي!$B$2:$B$1800,BZ$1)</f>
        <v>0</v>
      </c>
      <c r="CA158" s="117" t="n">
        <f aca="false">SUMIFS(الريسبي!$C$2:$C$1800,الريسبي!$A$2:$A$1800,$A158,الريسبي!$B$2:$B$1800,CA$1)</f>
        <v>0</v>
      </c>
      <c r="CB158" s="117" t="n">
        <f aca="false">SUMIFS(الريسبي!$C$2:$C$1800,الريسبي!$A$2:$A$1800,$A158,الريسبي!$B$2:$B$1800,CB$1)</f>
        <v>0</v>
      </c>
      <c r="CC158" s="117" t="n">
        <f aca="false">SUMIFS(الريسبي!$C$2:$C$1800,الريسبي!$A$2:$A$1800,$A158,الريسبي!$B$2:$B$1800,CC$1)</f>
        <v>0</v>
      </c>
      <c r="CD158" s="117" t="n">
        <f aca="false">SUMIFS(الريسبي!$C$2:$C$1800,الريسبي!$A$2:$A$1800,$A158,الريسبي!$B$2:$B$1800,CD$1)</f>
        <v>0</v>
      </c>
      <c r="CE158" s="117" t="n">
        <f aca="false">SUMIFS(الريسبي!$C$2:$C$1800,الريسبي!$A$2:$A$1800,$A158,الريسبي!$B$2:$B$1800,CE$1)</f>
        <v>0</v>
      </c>
      <c r="CF158" s="117" t="n">
        <f aca="false">SUMIFS(الريسبي!$C$2:$C$1800,الريسبي!$A$2:$A$1800,$A158,الريسبي!$B$2:$B$1800,CF$1)</f>
        <v>0</v>
      </c>
      <c r="CG158" s="117" t="n">
        <f aca="false">SUMIFS(الريسبي!$C$2:$C$1800,الريسبي!$A$2:$A$1800,$A158,الريسبي!$B$2:$B$1800,CG$1)</f>
        <v>0</v>
      </c>
      <c r="CH158" s="117" t="n">
        <f aca="false">SUMIFS(الريسبي!$C$2:$C$1800,الريسبي!$A$2:$A$1800,$A158,الريسبي!$B$2:$B$1800,CH$1)</f>
        <v>0</v>
      </c>
      <c r="CI158" s="117" t="n">
        <f aca="false">SUMIFS(الريسبي!$C$2:$C$1800,الريسبي!$A$2:$A$1800,$A158,الريسبي!$B$2:$B$1800,CI$1)</f>
        <v>0</v>
      </c>
      <c r="CJ158" s="117" t="n">
        <f aca="false">SUMIFS(الريسبي!$C$2:$C$1800,الريسبي!$A$2:$A$1800,$A158,الريسبي!$B$2:$B$1800,CJ$1)</f>
        <v>0</v>
      </c>
      <c r="CK158" s="117" t="n">
        <f aca="false">SUMIFS(الريسبي!$C$2:$C$1800,الريسبي!$A$2:$A$1800,$A158,الريسبي!$B$2:$B$1800,CK$1)</f>
        <v>0</v>
      </c>
      <c r="CL158" s="117" t="n">
        <f aca="false">SUMIFS(الريسبي!$C$2:$C$1800,الريسبي!$A$2:$A$1800,$A158,الريسبي!$B$2:$B$1800,CL$1)</f>
        <v>0</v>
      </c>
    </row>
    <row r="159" customFormat="false" ht="15" hidden="false" customHeight="false" outlineLevel="0" collapsed="false">
      <c r="A159" s="116" t="str">
        <f aca="false">المنيو!B159</f>
        <v>اضافة مشروم (بيتزا وسط)</v>
      </c>
      <c r="B159" s="117" t="n">
        <f aca="false">SUMIFS(الريسبي!$C$2:$C$1800,الريسبي!$A$2:$A$1800,$A159,الريسبي!$B$2:$B$1800,B$1)</f>
        <v>0</v>
      </c>
      <c r="C159" s="117" t="n">
        <f aca="false">SUMIFS(الريسبي!$C$2:$C$1800,الريسبي!$A$2:$A$1800,$A159,الريسبي!$B$2:$B$1800,C$1)</f>
        <v>0</v>
      </c>
      <c r="D159" s="117" t="n">
        <f aca="false">SUMIFS(الريسبي!$C$2:$C$1800,الريسبي!$A$2:$A$1800,$A159,الريسبي!$B$2:$B$1800,D$1)</f>
        <v>0</v>
      </c>
      <c r="E159" s="117" t="n">
        <f aca="false">SUMIFS(الريسبي!$C$2:$C$1800,الريسبي!$A$2:$A$1800,$A159,الريسبي!$B$2:$B$1800,E$1)</f>
        <v>0</v>
      </c>
      <c r="F159" s="117" t="n">
        <f aca="false">SUMIFS(الريسبي!$C$2:$C$1800,الريسبي!$A$2:$A$1800,$A159,الريسبي!$B$2:$B$1800,F$1)</f>
        <v>0</v>
      </c>
      <c r="G159" s="117" t="n">
        <f aca="false">SUMIFS(الريسبي!$C$2:$C$1800,الريسبي!$A$2:$A$1800,$A159,الريسبي!$B$2:$B$1800,G$1)</f>
        <v>0</v>
      </c>
      <c r="H159" s="117" t="n">
        <f aca="false">SUMIFS(الريسبي!$C$2:$C$1800,الريسبي!$A$2:$A$1800,$A159,الريسبي!$B$2:$B$1800,H$1)</f>
        <v>0</v>
      </c>
      <c r="I159" s="117" t="n">
        <f aca="false">SUMIFS(الريسبي!$C$2:$C$1800,الريسبي!$A$2:$A$1800,$A159,الريسبي!$B$2:$B$1800,I$1)</f>
        <v>0</v>
      </c>
      <c r="J159" s="117" t="n">
        <f aca="false">SUMIFS(الريسبي!$C$2:$C$1800,الريسبي!$A$2:$A$1800,$A159,الريسبي!$B$2:$B$1800,J$1)</f>
        <v>0</v>
      </c>
      <c r="K159" s="117" t="n">
        <f aca="false">SUMIFS(الريسبي!$C$2:$C$1800,الريسبي!$A$2:$A$1800,$A159,الريسبي!$B$2:$B$1800,K$1)</f>
        <v>0</v>
      </c>
      <c r="L159" s="117" t="n">
        <f aca="false">SUMIFS(الريسبي!$C$2:$C$1800,الريسبي!$A$2:$A$1800,$A159,الريسبي!$B$2:$B$1800,L$1)</f>
        <v>0</v>
      </c>
      <c r="M159" s="117" t="n">
        <f aca="false">SUMIFS(الريسبي!$C$2:$C$1800,الريسبي!$A$2:$A$1800,$A159,الريسبي!$B$2:$B$1800,M$1)</f>
        <v>0</v>
      </c>
      <c r="N159" s="117" t="n">
        <f aca="false">SUMIFS(الريسبي!$C$2:$C$1800,الريسبي!$A$2:$A$1800,$A159,الريسبي!$B$2:$B$1800,N$1)</f>
        <v>0</v>
      </c>
      <c r="O159" s="117" t="n">
        <f aca="false">SUMIFS(الريسبي!$C$2:$C$1800,الريسبي!$A$2:$A$1800,$A159,الريسبي!$B$2:$B$1800,O$1)</f>
        <v>0</v>
      </c>
      <c r="P159" s="117" t="n">
        <f aca="false">SUMIFS(الريسبي!$C$2:$C$1800,الريسبي!$A$2:$A$1800,$A159,الريسبي!$B$2:$B$1800,P$1)</f>
        <v>0</v>
      </c>
      <c r="Q159" s="117" t="n">
        <f aca="false">SUMIFS(الريسبي!$C$2:$C$1800,الريسبي!$A$2:$A$1800,$A159,الريسبي!$B$2:$B$1800,Q$1)</f>
        <v>0</v>
      </c>
      <c r="R159" s="117" t="n">
        <f aca="false">SUMIFS(الريسبي!$C$2:$C$1800,الريسبي!$A$2:$A$1800,$A159,الريسبي!$B$2:$B$1800,R$1)</f>
        <v>0</v>
      </c>
      <c r="S159" s="117" t="n">
        <f aca="false">SUMIFS(الريسبي!$C$2:$C$1800,الريسبي!$A$2:$A$1800,$A159,الريسبي!$B$2:$B$1800,S$1)</f>
        <v>0</v>
      </c>
      <c r="T159" s="117" t="n">
        <f aca="false">SUMIFS(الريسبي!$C$2:$C$1800,الريسبي!$A$2:$A$1800,$A159,الريسبي!$B$2:$B$1800,T$1)</f>
        <v>0</v>
      </c>
      <c r="U159" s="117" t="n">
        <f aca="false">SUMIFS(الريسبي!$C$2:$C$1800,الريسبي!$A$2:$A$1800,$A159,الريسبي!$B$2:$B$1800,U$1)</f>
        <v>0</v>
      </c>
      <c r="V159" s="117" t="n">
        <f aca="false">SUMIFS(الريسبي!$C$2:$C$1800,الريسبي!$A$2:$A$1800,$A159,الريسبي!$B$2:$B$1800,V$1)</f>
        <v>0</v>
      </c>
      <c r="W159" s="117" t="n">
        <f aca="false">SUMIFS(الريسبي!$C$2:$C$1800,الريسبي!$A$2:$A$1800,$A159,الريسبي!$B$2:$B$1800,W$1)</f>
        <v>0</v>
      </c>
      <c r="X159" s="117" t="n">
        <f aca="false">SUMIFS(الريسبي!$C$2:$C$1800,الريسبي!$A$2:$A$1800,$A159,الريسبي!$B$2:$B$1800,X$1)</f>
        <v>0</v>
      </c>
      <c r="Y159" s="117" t="n">
        <f aca="false">SUMIFS(الريسبي!$C$2:$C$1800,الريسبي!$A$2:$A$1800,$A159,الريسبي!$B$2:$B$1800,Y$1)</f>
        <v>0</v>
      </c>
      <c r="Z159" s="117" t="n">
        <f aca="false">SUMIFS(الريسبي!$C$2:$C$1800,الريسبي!$A$2:$A$1800,$A159,الريسبي!$B$2:$B$1800,Z$1)</f>
        <v>0</v>
      </c>
      <c r="AA159" s="117" t="n">
        <f aca="false">SUMIFS(الريسبي!$C$2:$C$1800,الريسبي!$A$2:$A$1800,$A159,الريسبي!$B$2:$B$1800,AA$1)</f>
        <v>0</v>
      </c>
      <c r="AB159" s="117" t="n">
        <f aca="false">SUMIFS(الريسبي!$C$2:$C$1800,الريسبي!$A$2:$A$1800,$A159,الريسبي!$B$2:$B$1800,AB$1)</f>
        <v>0</v>
      </c>
      <c r="AC159" s="117" t="n">
        <f aca="false">SUMIFS(الريسبي!$C$2:$C$1800,الريسبي!$A$2:$A$1800,$A159,الريسبي!$B$2:$B$1800,AC$1)</f>
        <v>0</v>
      </c>
      <c r="AD159" s="117" t="n">
        <f aca="false">SUMIFS(الريسبي!$C$2:$C$1800,الريسبي!$A$2:$A$1800,$A159,الريسبي!$B$2:$B$1800,AD$1)</f>
        <v>0</v>
      </c>
      <c r="AE159" s="117" t="n">
        <f aca="false">SUMIFS(الريسبي!$C$2:$C$1800,الريسبي!$A$2:$A$1800,$A159,الريسبي!$B$2:$B$1800,AE$1)</f>
        <v>0</v>
      </c>
      <c r="AF159" s="117" t="n">
        <f aca="false">SUMIFS(الريسبي!$C$2:$C$1800,الريسبي!$A$2:$A$1800,$A159,الريسبي!$B$2:$B$1800,AF$1)</f>
        <v>0</v>
      </c>
      <c r="AG159" s="117" t="n">
        <f aca="false">SUMIFS(الريسبي!$C$2:$C$1800,الريسبي!$A$2:$A$1800,$A159,الريسبي!$B$2:$B$1800,AG$1)</f>
        <v>0</v>
      </c>
      <c r="AH159" s="117" t="n">
        <f aca="false">SUMIFS(الريسبي!$C$2:$C$1800,الريسبي!$A$2:$A$1800,$A159,الريسبي!$B$2:$B$1800,AH$1)</f>
        <v>0</v>
      </c>
      <c r="AI159" s="117" t="n">
        <f aca="false">SUMIFS(الريسبي!$C$2:$C$1800,الريسبي!$A$2:$A$1800,$A159,الريسبي!$B$2:$B$1800,AI$1)</f>
        <v>0</v>
      </c>
      <c r="AJ159" s="117" t="n">
        <f aca="false">SUMIFS(الريسبي!$C$2:$C$1800,الريسبي!$A$2:$A$1800,$A159,الريسبي!$B$2:$B$1800,AJ$1)</f>
        <v>0</v>
      </c>
      <c r="AK159" s="117" t="n">
        <f aca="false">SUMIFS(الريسبي!$C$2:$C$1800,الريسبي!$A$2:$A$1800,$A159,الريسبي!$B$2:$B$1800,AK$1)</f>
        <v>0</v>
      </c>
      <c r="AL159" s="117" t="n">
        <f aca="false">SUMIFS(الريسبي!$C$2:$C$1800,الريسبي!$A$2:$A$1800,$A159,الريسبي!$B$2:$B$1800,AL$1)</f>
        <v>0</v>
      </c>
      <c r="AM159" s="117" t="n">
        <f aca="false">SUMIFS(الريسبي!$C$2:$C$1800,الريسبي!$A$2:$A$1800,$A159,الريسبي!$B$2:$B$1800,AM$1)+0.08333333333*SUMIFS(الريسبي!$C$2:$C$1800,الريسبي!$A$2:$A$1800,$A159,الريسبي!$B$2:$B$1800,"عجين كريب (مصنع بالمطعم)")+0.08333333333*SUMIFS(الريسبي!$C$2:$C$1800,الريسبي!$A$2:$A$1800,$A159,الريسبي!$B$2:$B$1800,"عجين كريب صيامي (بدون لبن)")</f>
        <v>0</v>
      </c>
      <c r="AN159" s="117" t="n">
        <f aca="false">SUMIFS(الريسبي!$C$2:$C$1800,الريسبي!$A$2:$A$1800,$A159,الريسبي!$B$2:$B$1800,AN$1)+0.004166666667*SUMIFS(الريسبي!$C$2:$C$1800,الريسبي!$A$2:$A$1800,$A159,الريسبي!$B$2:$B$1800,"عجين كريب (مصنع بالمطعم)")+0.004166666667*SUMIFS(الريسبي!$C$2:$C$1800,الريسبي!$A$2:$A$1800,$A159,الريسبي!$B$2:$B$1800,"عجين كريب صيامي (بدون لبن)")</f>
        <v>0</v>
      </c>
      <c r="AO159" s="117" t="n">
        <f aca="false">SUMIFS(الريسبي!$C$2:$C$1800,الريسبي!$A$2:$A$1800,$A159,الريسبي!$B$2:$B$1800,AO$1)</f>
        <v>0</v>
      </c>
      <c r="AP159" s="117" t="n">
        <f aca="false">SUMIFS(الريسبي!$C$2:$C$1800,الريسبي!$A$2:$A$1800,$A159,الريسبي!$B$2:$B$1800,AP$1)</f>
        <v>0</v>
      </c>
      <c r="AQ159" s="117" t="n">
        <f aca="false">SUMIFS(الريسبي!$C$2:$C$1800,الريسبي!$A$2:$A$1800,$A159,الريسبي!$B$2:$B$1800,AQ$1)+0.004166666667*SUMIFS(الريسبي!$C$2:$C$1800,الريسبي!$A$2:$A$1800,$A159,الريسبي!$B$2:$B$1800,"عجين كريب (مصنع بالمطعم)")+0.004166666667*SUMIFS(الريسبي!$C$2:$C$1800,الريسبي!$A$2:$A$1800,$A159,الريسبي!$B$2:$B$1800,"عجين كريب صيامي (بدون لبن)")</f>
        <v>0</v>
      </c>
      <c r="AR159" s="117" t="n">
        <f aca="false">SUMIFS(الريسبي!$C$2:$C$1800,الريسبي!$A$2:$A$1800,$A159,الريسبي!$B$2:$B$1800,AR$1)</f>
        <v>0</v>
      </c>
      <c r="AS159" s="117" t="n">
        <f aca="false">SUMIFS(الريسبي!$C$2:$C$1800,الريسبي!$A$2:$A$1800,$A159,الريسبي!$B$2:$B$1800,AS$1)</f>
        <v>0</v>
      </c>
      <c r="AT159" s="117" t="n">
        <f aca="false">SUMIFS(الريسبي!$C$2:$C$1800,الريسبي!$A$2:$A$1800,$A159,الريسبي!$B$2:$B$1800,AT$1)</f>
        <v>0</v>
      </c>
      <c r="AU159" s="117" t="n">
        <f aca="false">SUMIFS(الريسبي!$C$2:$C$1800,الريسبي!$A$2:$A$1800,$A159,الريسبي!$B$2:$B$1800,AU$1)</f>
        <v>0</v>
      </c>
      <c r="AV159" s="117" t="n">
        <f aca="false">SUMIFS(الريسبي!$C$2:$C$1800,الريسبي!$A$2:$A$1800,$A159,الريسبي!$B$2:$B$1800,AV$1)</f>
        <v>0</v>
      </c>
      <c r="AW159" s="117" t="n">
        <f aca="false">SUMIFS(الريسبي!$C$2:$C$1800,الريسبي!$A$2:$A$1800,$A159,الريسبي!$B$2:$B$1800,AW$1)</f>
        <v>0</v>
      </c>
      <c r="AX159" s="117" t="n">
        <f aca="false">SUMIFS(الريسبي!$C$2:$C$1800,الريسبي!$A$2:$A$1800,$A159,الريسبي!$B$2:$B$1800,AX$1)</f>
        <v>0</v>
      </c>
      <c r="AY159" s="117" t="n">
        <f aca="false">SUMIFS(الريسبي!$C$2:$C$1800,الريسبي!$A$2:$A$1800,$A159,الريسبي!$B$2:$B$1800,AY$1)</f>
        <v>0</v>
      </c>
      <c r="AZ159" s="117" t="n">
        <f aca="false">SUMIFS(الريسبي!$C$2:$C$1800,الريسبي!$A$2:$A$1800,$A159,الريسبي!$B$2:$B$1800,AZ$1)</f>
        <v>0</v>
      </c>
      <c r="BA159" s="117" t="n">
        <f aca="false">SUMIFS(الريسبي!$C$2:$C$1800,الريسبي!$A$2:$A$1800,$A159,الريسبي!$B$2:$B$1800,BA$1)</f>
        <v>0</v>
      </c>
      <c r="BB159" s="117" t="n">
        <f aca="false">SUMIFS(الريسبي!$C$2:$C$1800,الريسبي!$A$2:$A$1800,$A159,الريسبي!$B$2:$B$1800,BB$1)</f>
        <v>0</v>
      </c>
      <c r="BC159" s="117" t="n">
        <f aca="false">SUMIFS(الريسبي!$C$2:$C$1800,الريسبي!$A$2:$A$1800,$A159,الريسبي!$B$2:$B$1800,BC$1)</f>
        <v>0</v>
      </c>
      <c r="BD159" s="117" t="n">
        <f aca="false">SUMIFS(الريسبي!$C$2:$C$1800,الريسبي!$A$2:$A$1800,$A159,الريسبي!$B$2:$B$1800,BD$1)</f>
        <v>0</v>
      </c>
      <c r="BE159" s="117" t="n">
        <f aca="false">SUMIFS(الريسبي!$C$2:$C$1800,الريسبي!$A$2:$A$1800,$A159,الريسبي!$B$2:$B$1800,BE$1)</f>
        <v>0</v>
      </c>
      <c r="BF159" s="117" t="n">
        <f aca="false">SUMIFS(الريسبي!$C$2:$C$1800,الريسبي!$A$2:$A$1800,$A159,الريسبي!$B$2:$B$1800,BF$1)</f>
        <v>0</v>
      </c>
      <c r="BG159" s="117" t="n">
        <f aca="false">SUMIFS(الريسبي!$C$2:$C$1800,الريسبي!$A$2:$A$1800,$A159,الريسبي!$B$2:$B$1800,BG$1)</f>
        <v>0</v>
      </c>
      <c r="BH159" s="117" t="n">
        <f aca="false">SUMIFS(الريسبي!$C$2:$C$1800,الريسبي!$A$2:$A$1800,$A159,الريسبي!$B$2:$B$1800,BH$1)</f>
        <v>0</v>
      </c>
      <c r="BI159" s="117" t="n">
        <f aca="false">SUMIFS(الريسبي!$C$2:$C$1800,الريسبي!$A$2:$A$1800,$A159,الريسبي!$B$2:$B$1800,BI$1)</f>
        <v>0</v>
      </c>
      <c r="BJ159" s="117" t="n">
        <f aca="false">SUMIFS(الريسبي!$C$2:$C$1800,الريسبي!$A$2:$A$1800,$A159,الريسبي!$B$2:$B$1800,BJ$1)</f>
        <v>0</v>
      </c>
      <c r="BK159" s="117" t="n">
        <f aca="false">SUMIFS(الريسبي!$C$2:$C$1800,الريسبي!$A$2:$A$1800,$A159,الريسبي!$B$2:$B$1800,BK$1)</f>
        <v>0</v>
      </c>
      <c r="BL159" s="117" t="n">
        <f aca="false">SUMIFS(الريسبي!$C$2:$C$1800,الريسبي!$A$2:$A$1800,$A159,الريسبي!$B$2:$B$1800,BL$1)</f>
        <v>0</v>
      </c>
      <c r="BM159" s="117" t="n">
        <f aca="false">SUMIFS(الريسبي!$C$2:$C$1800,الريسبي!$A$2:$A$1800,$A159,الريسبي!$B$2:$B$1800,BM$1)</f>
        <v>0</v>
      </c>
      <c r="BN159" s="117" t="n">
        <f aca="false">SUMIFS(الريسبي!$C$2:$C$1800,الريسبي!$A$2:$A$1800,$A159,الريسبي!$B$2:$B$1800,BN$1)</f>
        <v>0</v>
      </c>
      <c r="BO159" s="117" t="n">
        <f aca="false">SUMIFS(الريسبي!$C$2:$C$1800,الريسبي!$A$2:$A$1800,$A159,الريسبي!$B$2:$B$1800,BO$1)</f>
        <v>0</v>
      </c>
      <c r="BP159" s="117" t="n">
        <f aca="false">SUMIFS(الريسبي!$C$2:$C$1800,الريسبي!$A$2:$A$1800,$A159,الريسبي!$B$2:$B$1800,BP$1)</f>
        <v>0</v>
      </c>
      <c r="BQ159" s="117" t="n">
        <f aca="false">SUMIFS(الريسبي!$C$2:$C$1800,الريسبي!$A$2:$A$1800,$A159,الريسبي!$B$2:$B$1800,BQ$1)+0.17*SUMIFS(الريسبي!$C$2:$C$1800,الريسبي!$A$2:$A$1800,$A159,الريسبي!$B$2:$B$1800,"كاسترد مصنع (خليط بودر + لبن)")+0.17*SUMIFS(الريسبي!$C$2:$C$1800,الريسبي!$A$2:$A$1800,$A159,الريسبي!$B$2:$B$1800,"كاسترد مصنع صيامي (بدون لبن)")</f>
        <v>0</v>
      </c>
      <c r="BR159" s="117" t="n">
        <f aca="false">SUMIFS(الريسبي!$C$2:$C$1800,الريسبي!$A$2:$A$1800,$A159,الريسبي!$B$2:$B$1800,BR$1)</f>
        <v>0</v>
      </c>
      <c r="BS159" s="117" t="n">
        <f aca="false">SUMIFS(الريسبي!$C$2:$C$1800,الريسبي!$A$2:$A$1800,$A159,الريسبي!$B$2:$B$1800,BS$1)</f>
        <v>0</v>
      </c>
      <c r="BT159" s="117" t="n">
        <f aca="false">SUMIFS(الريسبي!$C$2:$C$1800,الريسبي!$A$2:$A$1800,$A159,الريسبي!$B$2:$B$1800,BT$1)</f>
        <v>0</v>
      </c>
      <c r="BU159" s="117" t="n">
        <f aca="false">SUMIFS(الريسبي!$C$2:$C$1800,الريسبي!$A$2:$A$1800,$A159,الريسبي!$B$2:$B$1800,BU$1)+0.4*SUMIFS(الريسبي!$C$2:$C$1800,الريسبي!$A$2:$A$1800,$A159,الريسبي!$B$2:$B$1800,"كاسترد مصنع (خليط بودر + لبن)")+0.03333333333*SUMIFS(الريسبي!$C$2:$C$1800,الريسبي!$A$2:$A$1800,$A159,الريسبي!$B$2:$B$1800,"عجين كريب (مصنع بالمطعم)")</f>
        <v>0</v>
      </c>
      <c r="BV159" s="117" t="n">
        <f aca="false">SUMIFS(الريسبي!$C$2:$C$1800,الريسبي!$A$2:$A$1800,$A159,الريسبي!$B$2:$B$1800,BV$1)</f>
        <v>0</v>
      </c>
      <c r="BW159" s="117" t="n">
        <f aca="false">SUMIFS(الريسبي!$C$2:$C$1800,الريسبي!$A$2:$A$1800,$A159,الريسبي!$B$2:$B$1800,BW$1)</f>
        <v>0</v>
      </c>
      <c r="BX159" s="117" t="n">
        <f aca="false">SUMIFS(الريسبي!$C$2:$C$1800,الريسبي!$A$2:$A$1800,$A159,الريسبي!$B$2:$B$1800,BX$1)</f>
        <v>0.06</v>
      </c>
      <c r="BY159" s="117" t="n">
        <f aca="false">SUMIFS(الريسبي!$C$2:$C$1800,الريسبي!$A$2:$A$1800,$A159,الريسبي!$B$2:$B$1800,BY$1)</f>
        <v>0</v>
      </c>
      <c r="BZ159" s="117" t="n">
        <f aca="false">SUMIFS(الريسبي!$C$2:$C$1800,الريسبي!$A$2:$A$1800,$A159,الريسبي!$B$2:$B$1800,BZ$1)</f>
        <v>0</v>
      </c>
      <c r="CA159" s="117" t="n">
        <f aca="false">SUMIFS(الريسبي!$C$2:$C$1800,الريسبي!$A$2:$A$1800,$A159,الريسبي!$B$2:$B$1800,CA$1)</f>
        <v>0</v>
      </c>
      <c r="CB159" s="117" t="n">
        <f aca="false">SUMIFS(الريسبي!$C$2:$C$1800,الريسبي!$A$2:$A$1800,$A159,الريسبي!$B$2:$B$1800,CB$1)</f>
        <v>0</v>
      </c>
      <c r="CC159" s="117" t="n">
        <f aca="false">SUMIFS(الريسبي!$C$2:$C$1800,الريسبي!$A$2:$A$1800,$A159,الريسبي!$B$2:$B$1800,CC$1)</f>
        <v>0</v>
      </c>
      <c r="CD159" s="117" t="n">
        <f aca="false">SUMIFS(الريسبي!$C$2:$C$1800,الريسبي!$A$2:$A$1800,$A159,الريسبي!$B$2:$B$1800,CD$1)</f>
        <v>0</v>
      </c>
      <c r="CE159" s="117" t="n">
        <f aca="false">SUMIFS(الريسبي!$C$2:$C$1800,الريسبي!$A$2:$A$1800,$A159,الريسبي!$B$2:$B$1800,CE$1)</f>
        <v>0</v>
      </c>
      <c r="CF159" s="117" t="n">
        <f aca="false">SUMIFS(الريسبي!$C$2:$C$1800,الريسبي!$A$2:$A$1800,$A159,الريسبي!$B$2:$B$1800,CF$1)</f>
        <v>0</v>
      </c>
      <c r="CG159" s="117" t="n">
        <f aca="false">SUMIFS(الريسبي!$C$2:$C$1800,الريسبي!$A$2:$A$1800,$A159,الريسبي!$B$2:$B$1800,CG$1)</f>
        <v>0</v>
      </c>
      <c r="CH159" s="117" t="n">
        <f aca="false">SUMIFS(الريسبي!$C$2:$C$1800,الريسبي!$A$2:$A$1800,$A159,الريسبي!$B$2:$B$1800,CH$1)</f>
        <v>0</v>
      </c>
      <c r="CI159" s="117" t="n">
        <f aca="false">SUMIFS(الريسبي!$C$2:$C$1800,الريسبي!$A$2:$A$1800,$A159,الريسبي!$B$2:$B$1800,CI$1)</f>
        <v>0</v>
      </c>
      <c r="CJ159" s="117" t="n">
        <f aca="false">SUMIFS(الريسبي!$C$2:$C$1800,الريسبي!$A$2:$A$1800,$A159,الريسبي!$B$2:$B$1800,CJ$1)</f>
        <v>0</v>
      </c>
      <c r="CK159" s="117" t="n">
        <f aca="false">SUMIFS(الريسبي!$C$2:$C$1800,الريسبي!$A$2:$A$1800,$A159,الريسبي!$B$2:$B$1800,CK$1)</f>
        <v>0</v>
      </c>
      <c r="CL159" s="117" t="n">
        <f aca="false">SUMIFS(الريسبي!$C$2:$C$1800,الريسبي!$A$2:$A$1800,$A159,الريسبي!$B$2:$B$1800,CL$1)</f>
        <v>0</v>
      </c>
    </row>
    <row r="160" customFormat="false" ht="15" hidden="false" customHeight="false" outlineLevel="0" collapsed="false">
      <c r="A160" s="116" t="str">
        <f aca="false">المنيو!B160</f>
        <v>اضافة مشروم (بيتزا كبير)</v>
      </c>
      <c r="B160" s="117" t="n">
        <f aca="false">SUMIFS(الريسبي!$C$2:$C$1800,الريسبي!$A$2:$A$1800,$A160,الريسبي!$B$2:$B$1800,B$1)</f>
        <v>0</v>
      </c>
      <c r="C160" s="117" t="n">
        <f aca="false">SUMIFS(الريسبي!$C$2:$C$1800,الريسبي!$A$2:$A$1800,$A160,الريسبي!$B$2:$B$1800,C$1)</f>
        <v>0</v>
      </c>
      <c r="D160" s="117" t="n">
        <f aca="false">SUMIFS(الريسبي!$C$2:$C$1800,الريسبي!$A$2:$A$1800,$A160,الريسبي!$B$2:$B$1800,D$1)</f>
        <v>0</v>
      </c>
      <c r="E160" s="117" t="n">
        <f aca="false">SUMIFS(الريسبي!$C$2:$C$1800,الريسبي!$A$2:$A$1800,$A160,الريسبي!$B$2:$B$1800,E$1)</f>
        <v>0</v>
      </c>
      <c r="F160" s="117" t="n">
        <f aca="false">SUMIFS(الريسبي!$C$2:$C$1800,الريسبي!$A$2:$A$1800,$A160,الريسبي!$B$2:$B$1800,F$1)</f>
        <v>0</v>
      </c>
      <c r="G160" s="117" t="n">
        <f aca="false">SUMIFS(الريسبي!$C$2:$C$1800,الريسبي!$A$2:$A$1800,$A160,الريسبي!$B$2:$B$1800,G$1)</f>
        <v>0</v>
      </c>
      <c r="H160" s="117" t="n">
        <f aca="false">SUMIFS(الريسبي!$C$2:$C$1800,الريسبي!$A$2:$A$1800,$A160,الريسبي!$B$2:$B$1800,H$1)</f>
        <v>0</v>
      </c>
      <c r="I160" s="117" t="n">
        <f aca="false">SUMIFS(الريسبي!$C$2:$C$1800,الريسبي!$A$2:$A$1800,$A160,الريسبي!$B$2:$B$1800,I$1)</f>
        <v>0</v>
      </c>
      <c r="J160" s="117" t="n">
        <f aca="false">SUMIFS(الريسبي!$C$2:$C$1800,الريسبي!$A$2:$A$1800,$A160,الريسبي!$B$2:$B$1800,J$1)</f>
        <v>0</v>
      </c>
      <c r="K160" s="117" t="n">
        <f aca="false">SUMIFS(الريسبي!$C$2:$C$1800,الريسبي!$A$2:$A$1800,$A160,الريسبي!$B$2:$B$1800,K$1)</f>
        <v>0</v>
      </c>
      <c r="L160" s="117" t="n">
        <f aca="false">SUMIFS(الريسبي!$C$2:$C$1800,الريسبي!$A$2:$A$1800,$A160,الريسبي!$B$2:$B$1800,L$1)</f>
        <v>0</v>
      </c>
      <c r="M160" s="117" t="n">
        <f aca="false">SUMIFS(الريسبي!$C$2:$C$1800,الريسبي!$A$2:$A$1800,$A160,الريسبي!$B$2:$B$1800,M$1)</f>
        <v>0</v>
      </c>
      <c r="N160" s="117" t="n">
        <f aca="false">SUMIFS(الريسبي!$C$2:$C$1800,الريسبي!$A$2:$A$1800,$A160,الريسبي!$B$2:$B$1800,N$1)</f>
        <v>0</v>
      </c>
      <c r="O160" s="117" t="n">
        <f aca="false">SUMIFS(الريسبي!$C$2:$C$1800,الريسبي!$A$2:$A$1800,$A160,الريسبي!$B$2:$B$1800,O$1)</f>
        <v>0</v>
      </c>
      <c r="P160" s="117" t="n">
        <f aca="false">SUMIFS(الريسبي!$C$2:$C$1800,الريسبي!$A$2:$A$1800,$A160,الريسبي!$B$2:$B$1800,P$1)</f>
        <v>0</v>
      </c>
      <c r="Q160" s="117" t="n">
        <f aca="false">SUMIFS(الريسبي!$C$2:$C$1800,الريسبي!$A$2:$A$1800,$A160,الريسبي!$B$2:$B$1800,Q$1)</f>
        <v>0</v>
      </c>
      <c r="R160" s="117" t="n">
        <f aca="false">SUMIFS(الريسبي!$C$2:$C$1800,الريسبي!$A$2:$A$1800,$A160,الريسبي!$B$2:$B$1800,R$1)</f>
        <v>0</v>
      </c>
      <c r="S160" s="117" t="n">
        <f aca="false">SUMIFS(الريسبي!$C$2:$C$1800,الريسبي!$A$2:$A$1800,$A160,الريسبي!$B$2:$B$1800,S$1)</f>
        <v>0</v>
      </c>
      <c r="T160" s="117" t="n">
        <f aca="false">SUMIFS(الريسبي!$C$2:$C$1800,الريسبي!$A$2:$A$1800,$A160,الريسبي!$B$2:$B$1800,T$1)</f>
        <v>0</v>
      </c>
      <c r="U160" s="117" t="n">
        <f aca="false">SUMIFS(الريسبي!$C$2:$C$1800,الريسبي!$A$2:$A$1800,$A160,الريسبي!$B$2:$B$1800,U$1)</f>
        <v>0</v>
      </c>
      <c r="V160" s="117" t="n">
        <f aca="false">SUMIFS(الريسبي!$C$2:$C$1800,الريسبي!$A$2:$A$1800,$A160,الريسبي!$B$2:$B$1800,V$1)</f>
        <v>0</v>
      </c>
      <c r="W160" s="117" t="n">
        <f aca="false">SUMIFS(الريسبي!$C$2:$C$1800,الريسبي!$A$2:$A$1800,$A160,الريسبي!$B$2:$B$1800,W$1)</f>
        <v>0</v>
      </c>
      <c r="X160" s="117" t="n">
        <f aca="false">SUMIFS(الريسبي!$C$2:$C$1800,الريسبي!$A$2:$A$1800,$A160,الريسبي!$B$2:$B$1800,X$1)</f>
        <v>0</v>
      </c>
      <c r="Y160" s="117" t="n">
        <f aca="false">SUMIFS(الريسبي!$C$2:$C$1800,الريسبي!$A$2:$A$1800,$A160,الريسبي!$B$2:$B$1800,Y$1)</f>
        <v>0</v>
      </c>
      <c r="Z160" s="117" t="n">
        <f aca="false">SUMIFS(الريسبي!$C$2:$C$1800,الريسبي!$A$2:$A$1800,$A160,الريسبي!$B$2:$B$1800,Z$1)</f>
        <v>0</v>
      </c>
      <c r="AA160" s="117" t="n">
        <f aca="false">SUMIFS(الريسبي!$C$2:$C$1800,الريسبي!$A$2:$A$1800,$A160,الريسبي!$B$2:$B$1800,AA$1)</f>
        <v>0</v>
      </c>
      <c r="AB160" s="117" t="n">
        <f aca="false">SUMIFS(الريسبي!$C$2:$C$1800,الريسبي!$A$2:$A$1800,$A160,الريسبي!$B$2:$B$1800,AB$1)</f>
        <v>0</v>
      </c>
      <c r="AC160" s="117" t="n">
        <f aca="false">SUMIFS(الريسبي!$C$2:$C$1800,الريسبي!$A$2:$A$1800,$A160,الريسبي!$B$2:$B$1800,AC$1)</f>
        <v>0</v>
      </c>
      <c r="AD160" s="117" t="n">
        <f aca="false">SUMIFS(الريسبي!$C$2:$C$1800,الريسبي!$A$2:$A$1800,$A160,الريسبي!$B$2:$B$1800,AD$1)</f>
        <v>0</v>
      </c>
      <c r="AE160" s="117" t="n">
        <f aca="false">SUMIFS(الريسبي!$C$2:$C$1800,الريسبي!$A$2:$A$1800,$A160,الريسبي!$B$2:$B$1800,AE$1)</f>
        <v>0</v>
      </c>
      <c r="AF160" s="117" t="n">
        <f aca="false">SUMIFS(الريسبي!$C$2:$C$1800,الريسبي!$A$2:$A$1800,$A160,الريسبي!$B$2:$B$1800,AF$1)</f>
        <v>0</v>
      </c>
      <c r="AG160" s="117" t="n">
        <f aca="false">SUMIFS(الريسبي!$C$2:$C$1800,الريسبي!$A$2:$A$1800,$A160,الريسبي!$B$2:$B$1800,AG$1)</f>
        <v>0</v>
      </c>
      <c r="AH160" s="117" t="n">
        <f aca="false">SUMIFS(الريسبي!$C$2:$C$1800,الريسبي!$A$2:$A$1800,$A160,الريسبي!$B$2:$B$1800,AH$1)</f>
        <v>0</v>
      </c>
      <c r="AI160" s="117" t="n">
        <f aca="false">SUMIFS(الريسبي!$C$2:$C$1800,الريسبي!$A$2:$A$1800,$A160,الريسبي!$B$2:$B$1800,AI$1)</f>
        <v>0</v>
      </c>
      <c r="AJ160" s="117" t="n">
        <f aca="false">SUMIFS(الريسبي!$C$2:$C$1800,الريسبي!$A$2:$A$1800,$A160,الريسبي!$B$2:$B$1800,AJ$1)</f>
        <v>0</v>
      </c>
      <c r="AK160" s="117" t="n">
        <f aca="false">SUMIFS(الريسبي!$C$2:$C$1800,الريسبي!$A$2:$A$1800,$A160,الريسبي!$B$2:$B$1800,AK$1)</f>
        <v>0</v>
      </c>
      <c r="AL160" s="117" t="n">
        <f aca="false">SUMIFS(الريسبي!$C$2:$C$1800,الريسبي!$A$2:$A$1800,$A160,الريسبي!$B$2:$B$1800,AL$1)</f>
        <v>0</v>
      </c>
      <c r="AM160" s="117" t="n">
        <f aca="false">SUMIFS(الريسبي!$C$2:$C$1800,الريسبي!$A$2:$A$1800,$A160,الريسبي!$B$2:$B$1800,AM$1)+0.08333333333*SUMIFS(الريسبي!$C$2:$C$1800,الريسبي!$A$2:$A$1800,$A160,الريسبي!$B$2:$B$1800,"عجين كريب (مصنع بالمطعم)")+0.08333333333*SUMIFS(الريسبي!$C$2:$C$1800,الريسبي!$A$2:$A$1800,$A160,الريسبي!$B$2:$B$1800,"عجين كريب صيامي (بدون لبن)")</f>
        <v>0</v>
      </c>
      <c r="AN160" s="117" t="n">
        <f aca="false">SUMIFS(الريسبي!$C$2:$C$1800,الريسبي!$A$2:$A$1800,$A160,الريسبي!$B$2:$B$1800,AN$1)+0.004166666667*SUMIFS(الريسبي!$C$2:$C$1800,الريسبي!$A$2:$A$1800,$A160,الريسبي!$B$2:$B$1800,"عجين كريب (مصنع بالمطعم)")+0.004166666667*SUMIFS(الريسبي!$C$2:$C$1800,الريسبي!$A$2:$A$1800,$A160,الريسبي!$B$2:$B$1800,"عجين كريب صيامي (بدون لبن)")</f>
        <v>0</v>
      </c>
      <c r="AO160" s="117" t="n">
        <f aca="false">SUMIFS(الريسبي!$C$2:$C$1800,الريسبي!$A$2:$A$1800,$A160,الريسبي!$B$2:$B$1800,AO$1)</f>
        <v>0</v>
      </c>
      <c r="AP160" s="117" t="n">
        <f aca="false">SUMIFS(الريسبي!$C$2:$C$1800,الريسبي!$A$2:$A$1800,$A160,الريسبي!$B$2:$B$1800,AP$1)</f>
        <v>0</v>
      </c>
      <c r="AQ160" s="117" t="n">
        <f aca="false">SUMIFS(الريسبي!$C$2:$C$1800,الريسبي!$A$2:$A$1800,$A160,الريسبي!$B$2:$B$1800,AQ$1)+0.004166666667*SUMIFS(الريسبي!$C$2:$C$1800,الريسبي!$A$2:$A$1800,$A160,الريسبي!$B$2:$B$1800,"عجين كريب (مصنع بالمطعم)")+0.004166666667*SUMIFS(الريسبي!$C$2:$C$1800,الريسبي!$A$2:$A$1800,$A160,الريسبي!$B$2:$B$1800,"عجين كريب صيامي (بدون لبن)")</f>
        <v>0</v>
      </c>
      <c r="AR160" s="117" t="n">
        <f aca="false">SUMIFS(الريسبي!$C$2:$C$1800,الريسبي!$A$2:$A$1800,$A160,الريسبي!$B$2:$B$1800,AR$1)</f>
        <v>0</v>
      </c>
      <c r="AS160" s="117" t="n">
        <f aca="false">SUMIFS(الريسبي!$C$2:$C$1800,الريسبي!$A$2:$A$1800,$A160,الريسبي!$B$2:$B$1800,AS$1)</f>
        <v>0</v>
      </c>
      <c r="AT160" s="117" t="n">
        <f aca="false">SUMIFS(الريسبي!$C$2:$C$1800,الريسبي!$A$2:$A$1800,$A160,الريسبي!$B$2:$B$1800,AT$1)</f>
        <v>0</v>
      </c>
      <c r="AU160" s="117" t="n">
        <f aca="false">SUMIFS(الريسبي!$C$2:$C$1800,الريسبي!$A$2:$A$1800,$A160,الريسبي!$B$2:$B$1800,AU$1)</f>
        <v>0</v>
      </c>
      <c r="AV160" s="117" t="n">
        <f aca="false">SUMIFS(الريسبي!$C$2:$C$1800,الريسبي!$A$2:$A$1800,$A160,الريسبي!$B$2:$B$1800,AV$1)</f>
        <v>0</v>
      </c>
      <c r="AW160" s="117" t="n">
        <f aca="false">SUMIFS(الريسبي!$C$2:$C$1800,الريسبي!$A$2:$A$1800,$A160,الريسبي!$B$2:$B$1800,AW$1)</f>
        <v>0</v>
      </c>
      <c r="AX160" s="117" t="n">
        <f aca="false">SUMIFS(الريسبي!$C$2:$C$1800,الريسبي!$A$2:$A$1800,$A160,الريسبي!$B$2:$B$1800,AX$1)</f>
        <v>0</v>
      </c>
      <c r="AY160" s="117" t="n">
        <f aca="false">SUMIFS(الريسبي!$C$2:$C$1800,الريسبي!$A$2:$A$1800,$A160,الريسبي!$B$2:$B$1800,AY$1)</f>
        <v>0</v>
      </c>
      <c r="AZ160" s="117" t="n">
        <f aca="false">SUMIFS(الريسبي!$C$2:$C$1800,الريسبي!$A$2:$A$1800,$A160,الريسبي!$B$2:$B$1800,AZ$1)</f>
        <v>0</v>
      </c>
      <c r="BA160" s="117" t="n">
        <f aca="false">SUMIFS(الريسبي!$C$2:$C$1800,الريسبي!$A$2:$A$1800,$A160,الريسبي!$B$2:$B$1800,BA$1)</f>
        <v>0</v>
      </c>
      <c r="BB160" s="117" t="n">
        <f aca="false">SUMIFS(الريسبي!$C$2:$C$1800,الريسبي!$A$2:$A$1800,$A160,الريسبي!$B$2:$B$1800,BB$1)</f>
        <v>0</v>
      </c>
      <c r="BC160" s="117" t="n">
        <f aca="false">SUMIFS(الريسبي!$C$2:$C$1800,الريسبي!$A$2:$A$1800,$A160,الريسبي!$B$2:$B$1800,BC$1)</f>
        <v>0</v>
      </c>
      <c r="BD160" s="117" t="n">
        <f aca="false">SUMIFS(الريسبي!$C$2:$C$1800,الريسبي!$A$2:$A$1800,$A160,الريسبي!$B$2:$B$1800,BD$1)</f>
        <v>0</v>
      </c>
      <c r="BE160" s="117" t="n">
        <f aca="false">SUMIFS(الريسبي!$C$2:$C$1800,الريسبي!$A$2:$A$1800,$A160,الريسبي!$B$2:$B$1800,BE$1)</f>
        <v>0</v>
      </c>
      <c r="BF160" s="117" t="n">
        <f aca="false">SUMIFS(الريسبي!$C$2:$C$1800,الريسبي!$A$2:$A$1800,$A160,الريسبي!$B$2:$B$1800,BF$1)</f>
        <v>0</v>
      </c>
      <c r="BG160" s="117" t="n">
        <f aca="false">SUMIFS(الريسبي!$C$2:$C$1800,الريسبي!$A$2:$A$1800,$A160,الريسبي!$B$2:$B$1800,BG$1)</f>
        <v>0</v>
      </c>
      <c r="BH160" s="117" t="n">
        <f aca="false">SUMIFS(الريسبي!$C$2:$C$1800,الريسبي!$A$2:$A$1800,$A160,الريسبي!$B$2:$B$1800,BH$1)</f>
        <v>0</v>
      </c>
      <c r="BI160" s="117" t="n">
        <f aca="false">SUMIFS(الريسبي!$C$2:$C$1800,الريسبي!$A$2:$A$1800,$A160,الريسبي!$B$2:$B$1800,BI$1)</f>
        <v>0</v>
      </c>
      <c r="BJ160" s="117" t="n">
        <f aca="false">SUMIFS(الريسبي!$C$2:$C$1800,الريسبي!$A$2:$A$1800,$A160,الريسبي!$B$2:$B$1800,BJ$1)</f>
        <v>0</v>
      </c>
      <c r="BK160" s="117" t="n">
        <f aca="false">SUMIFS(الريسبي!$C$2:$C$1800,الريسبي!$A$2:$A$1800,$A160,الريسبي!$B$2:$B$1800,BK$1)</f>
        <v>0</v>
      </c>
      <c r="BL160" s="117" t="n">
        <f aca="false">SUMIFS(الريسبي!$C$2:$C$1800,الريسبي!$A$2:$A$1800,$A160,الريسبي!$B$2:$B$1800,BL$1)</f>
        <v>0</v>
      </c>
      <c r="BM160" s="117" t="n">
        <f aca="false">SUMIFS(الريسبي!$C$2:$C$1800,الريسبي!$A$2:$A$1800,$A160,الريسبي!$B$2:$B$1800,BM$1)</f>
        <v>0</v>
      </c>
      <c r="BN160" s="117" t="n">
        <f aca="false">SUMIFS(الريسبي!$C$2:$C$1800,الريسبي!$A$2:$A$1800,$A160,الريسبي!$B$2:$B$1800,BN$1)</f>
        <v>0</v>
      </c>
      <c r="BO160" s="117" t="n">
        <f aca="false">SUMIFS(الريسبي!$C$2:$C$1800,الريسبي!$A$2:$A$1800,$A160,الريسبي!$B$2:$B$1800,BO$1)</f>
        <v>0</v>
      </c>
      <c r="BP160" s="117" t="n">
        <f aca="false">SUMIFS(الريسبي!$C$2:$C$1800,الريسبي!$A$2:$A$1800,$A160,الريسبي!$B$2:$B$1800,BP$1)</f>
        <v>0</v>
      </c>
      <c r="BQ160" s="117" t="n">
        <f aca="false">SUMIFS(الريسبي!$C$2:$C$1800,الريسبي!$A$2:$A$1800,$A160,الريسبي!$B$2:$B$1800,BQ$1)+0.17*SUMIFS(الريسبي!$C$2:$C$1800,الريسبي!$A$2:$A$1800,$A160,الريسبي!$B$2:$B$1800,"كاسترد مصنع (خليط بودر + لبن)")+0.17*SUMIFS(الريسبي!$C$2:$C$1800,الريسبي!$A$2:$A$1800,$A160,الريسبي!$B$2:$B$1800,"كاسترد مصنع صيامي (بدون لبن)")</f>
        <v>0</v>
      </c>
      <c r="BR160" s="117" t="n">
        <f aca="false">SUMIFS(الريسبي!$C$2:$C$1800,الريسبي!$A$2:$A$1800,$A160,الريسبي!$B$2:$B$1800,BR$1)</f>
        <v>0</v>
      </c>
      <c r="BS160" s="117" t="n">
        <f aca="false">SUMIFS(الريسبي!$C$2:$C$1800,الريسبي!$A$2:$A$1800,$A160,الريسبي!$B$2:$B$1800,BS$1)</f>
        <v>0</v>
      </c>
      <c r="BT160" s="117" t="n">
        <f aca="false">SUMIFS(الريسبي!$C$2:$C$1800,الريسبي!$A$2:$A$1800,$A160,الريسبي!$B$2:$B$1800,BT$1)</f>
        <v>0</v>
      </c>
      <c r="BU160" s="117" t="n">
        <f aca="false">SUMIFS(الريسبي!$C$2:$C$1800,الريسبي!$A$2:$A$1800,$A160,الريسبي!$B$2:$B$1800,BU$1)+0.4*SUMIFS(الريسبي!$C$2:$C$1800,الريسبي!$A$2:$A$1800,$A160,الريسبي!$B$2:$B$1800,"كاسترد مصنع (خليط بودر + لبن)")+0.03333333333*SUMIFS(الريسبي!$C$2:$C$1800,الريسبي!$A$2:$A$1800,$A160,الريسبي!$B$2:$B$1800,"عجين كريب (مصنع بالمطعم)")</f>
        <v>0</v>
      </c>
      <c r="BV160" s="117" t="n">
        <f aca="false">SUMIFS(الريسبي!$C$2:$C$1800,الريسبي!$A$2:$A$1800,$A160,الريسبي!$B$2:$B$1800,BV$1)</f>
        <v>0</v>
      </c>
      <c r="BW160" s="117" t="n">
        <f aca="false">SUMIFS(الريسبي!$C$2:$C$1800,الريسبي!$A$2:$A$1800,$A160,الريسبي!$B$2:$B$1800,BW$1)</f>
        <v>0</v>
      </c>
      <c r="BX160" s="117" t="n">
        <f aca="false">SUMIFS(الريسبي!$C$2:$C$1800,الريسبي!$A$2:$A$1800,$A160,الريسبي!$B$2:$B$1800,BX$1)</f>
        <v>0.09</v>
      </c>
      <c r="BY160" s="117" t="n">
        <f aca="false">SUMIFS(الريسبي!$C$2:$C$1800,الريسبي!$A$2:$A$1800,$A160,الريسبي!$B$2:$B$1800,BY$1)</f>
        <v>0</v>
      </c>
      <c r="BZ160" s="117" t="n">
        <f aca="false">SUMIFS(الريسبي!$C$2:$C$1800,الريسبي!$A$2:$A$1800,$A160,الريسبي!$B$2:$B$1800,BZ$1)</f>
        <v>0</v>
      </c>
      <c r="CA160" s="117" t="n">
        <f aca="false">SUMIFS(الريسبي!$C$2:$C$1800,الريسبي!$A$2:$A$1800,$A160,الريسبي!$B$2:$B$1800,CA$1)</f>
        <v>0</v>
      </c>
      <c r="CB160" s="117" t="n">
        <f aca="false">SUMIFS(الريسبي!$C$2:$C$1800,الريسبي!$A$2:$A$1800,$A160,الريسبي!$B$2:$B$1800,CB$1)</f>
        <v>0</v>
      </c>
      <c r="CC160" s="117" t="n">
        <f aca="false">SUMIFS(الريسبي!$C$2:$C$1800,الريسبي!$A$2:$A$1800,$A160,الريسبي!$B$2:$B$1800,CC$1)</f>
        <v>0</v>
      </c>
      <c r="CD160" s="117" t="n">
        <f aca="false">SUMIFS(الريسبي!$C$2:$C$1800,الريسبي!$A$2:$A$1800,$A160,الريسبي!$B$2:$B$1800,CD$1)</f>
        <v>0</v>
      </c>
      <c r="CE160" s="117" t="n">
        <f aca="false">SUMIFS(الريسبي!$C$2:$C$1800,الريسبي!$A$2:$A$1800,$A160,الريسبي!$B$2:$B$1800,CE$1)</f>
        <v>0</v>
      </c>
      <c r="CF160" s="117" t="n">
        <f aca="false">SUMIFS(الريسبي!$C$2:$C$1800,الريسبي!$A$2:$A$1800,$A160,الريسبي!$B$2:$B$1800,CF$1)</f>
        <v>0</v>
      </c>
      <c r="CG160" s="117" t="n">
        <f aca="false">SUMIFS(الريسبي!$C$2:$C$1800,الريسبي!$A$2:$A$1800,$A160,الريسبي!$B$2:$B$1800,CG$1)</f>
        <v>0</v>
      </c>
      <c r="CH160" s="117" t="n">
        <f aca="false">SUMIFS(الريسبي!$C$2:$C$1800,الريسبي!$A$2:$A$1800,$A160,الريسبي!$B$2:$B$1800,CH$1)</f>
        <v>0</v>
      </c>
      <c r="CI160" s="117" t="n">
        <f aca="false">SUMIFS(الريسبي!$C$2:$C$1800,الريسبي!$A$2:$A$1800,$A160,الريسبي!$B$2:$B$1800,CI$1)</f>
        <v>0</v>
      </c>
      <c r="CJ160" s="117" t="n">
        <f aca="false">SUMIFS(الريسبي!$C$2:$C$1800,الريسبي!$A$2:$A$1800,$A160,الريسبي!$B$2:$B$1800,CJ$1)</f>
        <v>0</v>
      </c>
      <c r="CK160" s="117" t="n">
        <f aca="false">SUMIFS(الريسبي!$C$2:$C$1800,الريسبي!$A$2:$A$1800,$A160,الريسبي!$B$2:$B$1800,CK$1)</f>
        <v>0</v>
      </c>
      <c r="CL160" s="117" t="n">
        <f aca="false">SUMIFS(الريسبي!$C$2:$C$1800,الريسبي!$A$2:$A$1800,$A160,الريسبي!$B$2:$B$1800,CL$1)</f>
        <v>0</v>
      </c>
    </row>
    <row r="161" customFormat="false" ht="15" hidden="false" customHeight="false" outlineLevel="0" collapsed="false">
      <c r="A161" s="116" t="str">
        <f aca="false">المنيو!B161</f>
        <v>اضافة مشروم (فطير وسط)</v>
      </c>
      <c r="B161" s="117" t="n">
        <f aca="false">SUMIFS(الريسبي!$C$2:$C$1800,الريسبي!$A$2:$A$1800,$A161,الريسبي!$B$2:$B$1800,B$1)</f>
        <v>0</v>
      </c>
      <c r="C161" s="117" t="n">
        <f aca="false">SUMIFS(الريسبي!$C$2:$C$1800,الريسبي!$A$2:$A$1800,$A161,الريسبي!$B$2:$B$1800,C$1)</f>
        <v>0</v>
      </c>
      <c r="D161" s="117" t="n">
        <f aca="false">SUMIFS(الريسبي!$C$2:$C$1800,الريسبي!$A$2:$A$1800,$A161,الريسبي!$B$2:$B$1800,D$1)</f>
        <v>0</v>
      </c>
      <c r="E161" s="117" t="n">
        <f aca="false">SUMIFS(الريسبي!$C$2:$C$1800,الريسبي!$A$2:$A$1800,$A161,الريسبي!$B$2:$B$1800,E$1)</f>
        <v>0</v>
      </c>
      <c r="F161" s="117" t="n">
        <f aca="false">SUMIFS(الريسبي!$C$2:$C$1800,الريسبي!$A$2:$A$1800,$A161,الريسبي!$B$2:$B$1800,F$1)</f>
        <v>0</v>
      </c>
      <c r="G161" s="117" t="n">
        <f aca="false">SUMIFS(الريسبي!$C$2:$C$1800,الريسبي!$A$2:$A$1800,$A161,الريسبي!$B$2:$B$1800,G$1)</f>
        <v>0</v>
      </c>
      <c r="H161" s="117" t="n">
        <f aca="false">SUMIFS(الريسبي!$C$2:$C$1800,الريسبي!$A$2:$A$1800,$A161,الريسبي!$B$2:$B$1800,H$1)</f>
        <v>0</v>
      </c>
      <c r="I161" s="117" t="n">
        <f aca="false">SUMIFS(الريسبي!$C$2:$C$1800,الريسبي!$A$2:$A$1800,$A161,الريسبي!$B$2:$B$1800,I$1)</f>
        <v>0</v>
      </c>
      <c r="J161" s="117" t="n">
        <f aca="false">SUMIFS(الريسبي!$C$2:$C$1800,الريسبي!$A$2:$A$1800,$A161,الريسبي!$B$2:$B$1800,J$1)</f>
        <v>0</v>
      </c>
      <c r="K161" s="117" t="n">
        <f aca="false">SUMIFS(الريسبي!$C$2:$C$1800,الريسبي!$A$2:$A$1800,$A161,الريسبي!$B$2:$B$1800,K$1)</f>
        <v>0</v>
      </c>
      <c r="L161" s="117" t="n">
        <f aca="false">SUMIFS(الريسبي!$C$2:$C$1800,الريسبي!$A$2:$A$1800,$A161,الريسبي!$B$2:$B$1800,L$1)</f>
        <v>0</v>
      </c>
      <c r="M161" s="117" t="n">
        <f aca="false">SUMIFS(الريسبي!$C$2:$C$1800,الريسبي!$A$2:$A$1800,$A161,الريسبي!$B$2:$B$1800,M$1)</f>
        <v>0</v>
      </c>
      <c r="N161" s="117" t="n">
        <f aca="false">SUMIFS(الريسبي!$C$2:$C$1800,الريسبي!$A$2:$A$1800,$A161,الريسبي!$B$2:$B$1800,N$1)</f>
        <v>0</v>
      </c>
      <c r="O161" s="117" t="n">
        <f aca="false">SUMIFS(الريسبي!$C$2:$C$1800,الريسبي!$A$2:$A$1800,$A161,الريسبي!$B$2:$B$1800,O$1)</f>
        <v>0</v>
      </c>
      <c r="P161" s="117" t="n">
        <f aca="false">SUMIFS(الريسبي!$C$2:$C$1800,الريسبي!$A$2:$A$1800,$A161,الريسبي!$B$2:$B$1800,P$1)</f>
        <v>0</v>
      </c>
      <c r="Q161" s="117" t="n">
        <f aca="false">SUMIFS(الريسبي!$C$2:$C$1800,الريسبي!$A$2:$A$1800,$A161,الريسبي!$B$2:$B$1800,Q$1)</f>
        <v>0</v>
      </c>
      <c r="R161" s="117" t="n">
        <f aca="false">SUMIFS(الريسبي!$C$2:$C$1800,الريسبي!$A$2:$A$1800,$A161,الريسبي!$B$2:$B$1800,R$1)</f>
        <v>0</v>
      </c>
      <c r="S161" s="117" t="n">
        <f aca="false">SUMIFS(الريسبي!$C$2:$C$1800,الريسبي!$A$2:$A$1800,$A161,الريسبي!$B$2:$B$1800,S$1)</f>
        <v>0</v>
      </c>
      <c r="T161" s="117" t="n">
        <f aca="false">SUMIFS(الريسبي!$C$2:$C$1800,الريسبي!$A$2:$A$1800,$A161,الريسبي!$B$2:$B$1800,T$1)</f>
        <v>0</v>
      </c>
      <c r="U161" s="117" t="n">
        <f aca="false">SUMIFS(الريسبي!$C$2:$C$1800,الريسبي!$A$2:$A$1800,$A161,الريسبي!$B$2:$B$1800,U$1)</f>
        <v>0</v>
      </c>
      <c r="V161" s="117" t="n">
        <f aca="false">SUMIFS(الريسبي!$C$2:$C$1800,الريسبي!$A$2:$A$1800,$A161,الريسبي!$B$2:$B$1800,V$1)</f>
        <v>0</v>
      </c>
      <c r="W161" s="117" t="n">
        <f aca="false">SUMIFS(الريسبي!$C$2:$C$1800,الريسبي!$A$2:$A$1800,$A161,الريسبي!$B$2:$B$1800,W$1)</f>
        <v>0</v>
      </c>
      <c r="X161" s="117" t="n">
        <f aca="false">SUMIFS(الريسبي!$C$2:$C$1800,الريسبي!$A$2:$A$1800,$A161,الريسبي!$B$2:$B$1800,X$1)</f>
        <v>0</v>
      </c>
      <c r="Y161" s="117" t="n">
        <f aca="false">SUMIFS(الريسبي!$C$2:$C$1800,الريسبي!$A$2:$A$1800,$A161,الريسبي!$B$2:$B$1800,Y$1)</f>
        <v>0</v>
      </c>
      <c r="Z161" s="117" t="n">
        <f aca="false">SUMIFS(الريسبي!$C$2:$C$1800,الريسبي!$A$2:$A$1800,$A161,الريسبي!$B$2:$B$1800,Z$1)</f>
        <v>0</v>
      </c>
      <c r="AA161" s="117" t="n">
        <f aca="false">SUMIFS(الريسبي!$C$2:$C$1800,الريسبي!$A$2:$A$1800,$A161,الريسبي!$B$2:$B$1800,AA$1)</f>
        <v>0</v>
      </c>
      <c r="AB161" s="117" t="n">
        <f aca="false">SUMIFS(الريسبي!$C$2:$C$1800,الريسبي!$A$2:$A$1800,$A161,الريسبي!$B$2:$B$1800,AB$1)</f>
        <v>0</v>
      </c>
      <c r="AC161" s="117" t="n">
        <f aca="false">SUMIFS(الريسبي!$C$2:$C$1800,الريسبي!$A$2:$A$1800,$A161,الريسبي!$B$2:$B$1800,AC$1)</f>
        <v>0</v>
      </c>
      <c r="AD161" s="117" t="n">
        <f aca="false">SUMIFS(الريسبي!$C$2:$C$1800,الريسبي!$A$2:$A$1800,$A161,الريسبي!$B$2:$B$1800,AD$1)</f>
        <v>0</v>
      </c>
      <c r="AE161" s="117" t="n">
        <f aca="false">SUMIFS(الريسبي!$C$2:$C$1800,الريسبي!$A$2:$A$1800,$A161,الريسبي!$B$2:$B$1800,AE$1)</f>
        <v>0</v>
      </c>
      <c r="AF161" s="117" t="n">
        <f aca="false">SUMIFS(الريسبي!$C$2:$C$1800,الريسبي!$A$2:$A$1800,$A161,الريسبي!$B$2:$B$1800,AF$1)</f>
        <v>0</v>
      </c>
      <c r="AG161" s="117" t="n">
        <f aca="false">SUMIFS(الريسبي!$C$2:$C$1800,الريسبي!$A$2:$A$1800,$A161,الريسبي!$B$2:$B$1800,AG$1)</f>
        <v>0</v>
      </c>
      <c r="AH161" s="117" t="n">
        <f aca="false">SUMIFS(الريسبي!$C$2:$C$1800,الريسبي!$A$2:$A$1800,$A161,الريسبي!$B$2:$B$1800,AH$1)</f>
        <v>0</v>
      </c>
      <c r="AI161" s="117" t="n">
        <f aca="false">SUMIFS(الريسبي!$C$2:$C$1800,الريسبي!$A$2:$A$1800,$A161,الريسبي!$B$2:$B$1800,AI$1)</f>
        <v>0</v>
      </c>
      <c r="AJ161" s="117" t="n">
        <f aca="false">SUMIFS(الريسبي!$C$2:$C$1800,الريسبي!$A$2:$A$1800,$A161,الريسبي!$B$2:$B$1800,AJ$1)</f>
        <v>0</v>
      </c>
      <c r="AK161" s="117" t="n">
        <f aca="false">SUMIFS(الريسبي!$C$2:$C$1800,الريسبي!$A$2:$A$1800,$A161,الريسبي!$B$2:$B$1800,AK$1)</f>
        <v>0</v>
      </c>
      <c r="AL161" s="117" t="n">
        <f aca="false">SUMIFS(الريسبي!$C$2:$C$1800,الريسبي!$A$2:$A$1800,$A161,الريسبي!$B$2:$B$1800,AL$1)</f>
        <v>0</v>
      </c>
      <c r="AM161" s="117" t="n">
        <f aca="false">SUMIFS(الريسبي!$C$2:$C$1800,الريسبي!$A$2:$A$1800,$A161,الريسبي!$B$2:$B$1800,AM$1)+0.08333333333*SUMIFS(الريسبي!$C$2:$C$1800,الريسبي!$A$2:$A$1800,$A161,الريسبي!$B$2:$B$1800,"عجين كريب (مصنع بالمطعم)")+0.08333333333*SUMIFS(الريسبي!$C$2:$C$1800,الريسبي!$A$2:$A$1800,$A161,الريسبي!$B$2:$B$1800,"عجين كريب صيامي (بدون لبن)")</f>
        <v>0</v>
      </c>
      <c r="AN161" s="117" t="n">
        <f aca="false">SUMIFS(الريسبي!$C$2:$C$1800,الريسبي!$A$2:$A$1800,$A161,الريسبي!$B$2:$B$1800,AN$1)+0.004166666667*SUMIFS(الريسبي!$C$2:$C$1800,الريسبي!$A$2:$A$1800,$A161,الريسبي!$B$2:$B$1800,"عجين كريب (مصنع بالمطعم)")+0.004166666667*SUMIFS(الريسبي!$C$2:$C$1800,الريسبي!$A$2:$A$1800,$A161,الريسبي!$B$2:$B$1800,"عجين كريب صيامي (بدون لبن)")</f>
        <v>0</v>
      </c>
      <c r="AO161" s="117" t="n">
        <f aca="false">SUMIFS(الريسبي!$C$2:$C$1800,الريسبي!$A$2:$A$1800,$A161,الريسبي!$B$2:$B$1800,AO$1)</f>
        <v>0</v>
      </c>
      <c r="AP161" s="117" t="n">
        <f aca="false">SUMIFS(الريسبي!$C$2:$C$1800,الريسبي!$A$2:$A$1800,$A161,الريسبي!$B$2:$B$1800,AP$1)</f>
        <v>0</v>
      </c>
      <c r="AQ161" s="117" t="n">
        <f aca="false">SUMIFS(الريسبي!$C$2:$C$1800,الريسبي!$A$2:$A$1800,$A161,الريسبي!$B$2:$B$1800,AQ$1)+0.004166666667*SUMIFS(الريسبي!$C$2:$C$1800,الريسبي!$A$2:$A$1800,$A161,الريسبي!$B$2:$B$1800,"عجين كريب (مصنع بالمطعم)")+0.004166666667*SUMIFS(الريسبي!$C$2:$C$1800,الريسبي!$A$2:$A$1800,$A161,الريسبي!$B$2:$B$1800,"عجين كريب صيامي (بدون لبن)")</f>
        <v>0</v>
      </c>
      <c r="AR161" s="117" t="n">
        <f aca="false">SUMIFS(الريسبي!$C$2:$C$1800,الريسبي!$A$2:$A$1800,$A161,الريسبي!$B$2:$B$1800,AR$1)</f>
        <v>0</v>
      </c>
      <c r="AS161" s="117" t="n">
        <f aca="false">SUMIFS(الريسبي!$C$2:$C$1800,الريسبي!$A$2:$A$1800,$A161,الريسبي!$B$2:$B$1800,AS$1)</f>
        <v>0</v>
      </c>
      <c r="AT161" s="117" t="n">
        <f aca="false">SUMIFS(الريسبي!$C$2:$C$1800,الريسبي!$A$2:$A$1800,$A161,الريسبي!$B$2:$B$1800,AT$1)</f>
        <v>0</v>
      </c>
      <c r="AU161" s="117" t="n">
        <f aca="false">SUMIFS(الريسبي!$C$2:$C$1800,الريسبي!$A$2:$A$1800,$A161,الريسبي!$B$2:$B$1800,AU$1)</f>
        <v>0</v>
      </c>
      <c r="AV161" s="117" t="n">
        <f aca="false">SUMIFS(الريسبي!$C$2:$C$1800,الريسبي!$A$2:$A$1800,$A161,الريسبي!$B$2:$B$1800,AV$1)</f>
        <v>0</v>
      </c>
      <c r="AW161" s="117" t="n">
        <f aca="false">SUMIFS(الريسبي!$C$2:$C$1800,الريسبي!$A$2:$A$1800,$A161,الريسبي!$B$2:$B$1800,AW$1)</f>
        <v>0</v>
      </c>
      <c r="AX161" s="117" t="n">
        <f aca="false">SUMIFS(الريسبي!$C$2:$C$1800,الريسبي!$A$2:$A$1800,$A161,الريسبي!$B$2:$B$1800,AX$1)</f>
        <v>0</v>
      </c>
      <c r="AY161" s="117" t="n">
        <f aca="false">SUMIFS(الريسبي!$C$2:$C$1800,الريسبي!$A$2:$A$1800,$A161,الريسبي!$B$2:$B$1800,AY$1)</f>
        <v>0</v>
      </c>
      <c r="AZ161" s="117" t="n">
        <f aca="false">SUMIFS(الريسبي!$C$2:$C$1800,الريسبي!$A$2:$A$1800,$A161,الريسبي!$B$2:$B$1800,AZ$1)</f>
        <v>0</v>
      </c>
      <c r="BA161" s="117" t="n">
        <f aca="false">SUMIFS(الريسبي!$C$2:$C$1800,الريسبي!$A$2:$A$1800,$A161,الريسبي!$B$2:$B$1800,BA$1)</f>
        <v>0</v>
      </c>
      <c r="BB161" s="117" t="n">
        <f aca="false">SUMIFS(الريسبي!$C$2:$C$1800,الريسبي!$A$2:$A$1800,$A161,الريسبي!$B$2:$B$1800,BB$1)</f>
        <v>0</v>
      </c>
      <c r="BC161" s="117" t="n">
        <f aca="false">SUMIFS(الريسبي!$C$2:$C$1800,الريسبي!$A$2:$A$1800,$A161,الريسبي!$B$2:$B$1800,BC$1)</f>
        <v>0</v>
      </c>
      <c r="BD161" s="117" t="n">
        <f aca="false">SUMIFS(الريسبي!$C$2:$C$1800,الريسبي!$A$2:$A$1800,$A161,الريسبي!$B$2:$B$1800,BD$1)</f>
        <v>0</v>
      </c>
      <c r="BE161" s="117" t="n">
        <f aca="false">SUMIFS(الريسبي!$C$2:$C$1800,الريسبي!$A$2:$A$1800,$A161,الريسبي!$B$2:$B$1800,BE$1)</f>
        <v>0</v>
      </c>
      <c r="BF161" s="117" t="n">
        <f aca="false">SUMIFS(الريسبي!$C$2:$C$1800,الريسبي!$A$2:$A$1800,$A161,الريسبي!$B$2:$B$1800,BF$1)</f>
        <v>0</v>
      </c>
      <c r="BG161" s="117" t="n">
        <f aca="false">SUMIFS(الريسبي!$C$2:$C$1800,الريسبي!$A$2:$A$1800,$A161,الريسبي!$B$2:$B$1800,BG$1)</f>
        <v>0</v>
      </c>
      <c r="BH161" s="117" t="n">
        <f aca="false">SUMIFS(الريسبي!$C$2:$C$1800,الريسبي!$A$2:$A$1800,$A161,الريسبي!$B$2:$B$1800,BH$1)</f>
        <v>0</v>
      </c>
      <c r="BI161" s="117" t="n">
        <f aca="false">SUMIFS(الريسبي!$C$2:$C$1800,الريسبي!$A$2:$A$1800,$A161,الريسبي!$B$2:$B$1800,BI$1)</f>
        <v>0</v>
      </c>
      <c r="BJ161" s="117" t="n">
        <f aca="false">SUMIFS(الريسبي!$C$2:$C$1800,الريسبي!$A$2:$A$1800,$A161,الريسبي!$B$2:$B$1800,BJ$1)</f>
        <v>0</v>
      </c>
      <c r="BK161" s="117" t="n">
        <f aca="false">SUMIFS(الريسبي!$C$2:$C$1800,الريسبي!$A$2:$A$1800,$A161,الريسبي!$B$2:$B$1800,BK$1)</f>
        <v>0</v>
      </c>
      <c r="BL161" s="117" t="n">
        <f aca="false">SUMIFS(الريسبي!$C$2:$C$1800,الريسبي!$A$2:$A$1800,$A161,الريسبي!$B$2:$B$1800,BL$1)</f>
        <v>0</v>
      </c>
      <c r="BM161" s="117" t="n">
        <f aca="false">SUMIFS(الريسبي!$C$2:$C$1800,الريسبي!$A$2:$A$1800,$A161,الريسبي!$B$2:$B$1800,BM$1)</f>
        <v>0</v>
      </c>
      <c r="BN161" s="117" t="n">
        <f aca="false">SUMIFS(الريسبي!$C$2:$C$1800,الريسبي!$A$2:$A$1800,$A161,الريسبي!$B$2:$B$1800,BN$1)</f>
        <v>0</v>
      </c>
      <c r="BO161" s="117" t="n">
        <f aca="false">SUMIFS(الريسبي!$C$2:$C$1800,الريسبي!$A$2:$A$1800,$A161,الريسبي!$B$2:$B$1800,BO$1)</f>
        <v>0</v>
      </c>
      <c r="BP161" s="117" t="n">
        <f aca="false">SUMIFS(الريسبي!$C$2:$C$1800,الريسبي!$A$2:$A$1800,$A161,الريسبي!$B$2:$B$1800,BP$1)</f>
        <v>0</v>
      </c>
      <c r="BQ161" s="117" t="n">
        <f aca="false">SUMIFS(الريسبي!$C$2:$C$1800,الريسبي!$A$2:$A$1800,$A161,الريسبي!$B$2:$B$1800,BQ$1)+0.17*SUMIFS(الريسبي!$C$2:$C$1800,الريسبي!$A$2:$A$1800,$A161,الريسبي!$B$2:$B$1800,"كاسترد مصنع (خليط بودر + لبن)")+0.17*SUMIFS(الريسبي!$C$2:$C$1800,الريسبي!$A$2:$A$1800,$A161,الريسبي!$B$2:$B$1800,"كاسترد مصنع صيامي (بدون لبن)")</f>
        <v>0</v>
      </c>
      <c r="BR161" s="117" t="n">
        <f aca="false">SUMIFS(الريسبي!$C$2:$C$1800,الريسبي!$A$2:$A$1800,$A161,الريسبي!$B$2:$B$1800,BR$1)</f>
        <v>0</v>
      </c>
      <c r="BS161" s="117" t="n">
        <f aca="false">SUMIFS(الريسبي!$C$2:$C$1800,الريسبي!$A$2:$A$1800,$A161,الريسبي!$B$2:$B$1800,BS$1)</f>
        <v>0</v>
      </c>
      <c r="BT161" s="117" t="n">
        <f aca="false">SUMIFS(الريسبي!$C$2:$C$1800,الريسبي!$A$2:$A$1800,$A161,الريسبي!$B$2:$B$1800,BT$1)</f>
        <v>0</v>
      </c>
      <c r="BU161" s="117" t="n">
        <f aca="false">SUMIFS(الريسبي!$C$2:$C$1800,الريسبي!$A$2:$A$1800,$A161,الريسبي!$B$2:$B$1800,BU$1)+0.4*SUMIFS(الريسبي!$C$2:$C$1800,الريسبي!$A$2:$A$1800,$A161,الريسبي!$B$2:$B$1800,"كاسترد مصنع (خليط بودر + لبن)")+0.03333333333*SUMIFS(الريسبي!$C$2:$C$1800,الريسبي!$A$2:$A$1800,$A161,الريسبي!$B$2:$B$1800,"عجين كريب (مصنع بالمطعم)")</f>
        <v>0</v>
      </c>
      <c r="BV161" s="117" t="n">
        <f aca="false">SUMIFS(الريسبي!$C$2:$C$1800,الريسبي!$A$2:$A$1800,$A161,الريسبي!$B$2:$B$1800,BV$1)</f>
        <v>0</v>
      </c>
      <c r="BW161" s="117" t="n">
        <f aca="false">SUMIFS(الريسبي!$C$2:$C$1800,الريسبي!$A$2:$A$1800,$A161,الريسبي!$B$2:$B$1800,BW$1)</f>
        <v>0</v>
      </c>
      <c r="BX161" s="117" t="n">
        <f aca="false">SUMIFS(الريسبي!$C$2:$C$1800,الريسبي!$A$2:$A$1800,$A161,الريسبي!$B$2:$B$1800,BX$1)</f>
        <v>0.06</v>
      </c>
      <c r="BY161" s="117" t="n">
        <f aca="false">SUMIFS(الريسبي!$C$2:$C$1800,الريسبي!$A$2:$A$1800,$A161,الريسبي!$B$2:$B$1800,BY$1)</f>
        <v>0</v>
      </c>
      <c r="BZ161" s="117" t="n">
        <f aca="false">SUMIFS(الريسبي!$C$2:$C$1800,الريسبي!$A$2:$A$1800,$A161,الريسبي!$B$2:$B$1800,BZ$1)</f>
        <v>0</v>
      </c>
      <c r="CA161" s="117" t="n">
        <f aca="false">SUMIFS(الريسبي!$C$2:$C$1800,الريسبي!$A$2:$A$1800,$A161,الريسبي!$B$2:$B$1800,CA$1)</f>
        <v>0</v>
      </c>
      <c r="CB161" s="117" t="n">
        <f aca="false">SUMIFS(الريسبي!$C$2:$C$1800,الريسبي!$A$2:$A$1800,$A161,الريسبي!$B$2:$B$1800,CB$1)</f>
        <v>0</v>
      </c>
      <c r="CC161" s="117" t="n">
        <f aca="false">SUMIFS(الريسبي!$C$2:$C$1800,الريسبي!$A$2:$A$1800,$A161,الريسبي!$B$2:$B$1800,CC$1)</f>
        <v>0</v>
      </c>
      <c r="CD161" s="117" t="n">
        <f aca="false">SUMIFS(الريسبي!$C$2:$C$1800,الريسبي!$A$2:$A$1800,$A161,الريسبي!$B$2:$B$1800,CD$1)</f>
        <v>0</v>
      </c>
      <c r="CE161" s="117" t="n">
        <f aca="false">SUMIFS(الريسبي!$C$2:$C$1800,الريسبي!$A$2:$A$1800,$A161,الريسبي!$B$2:$B$1800,CE$1)</f>
        <v>0</v>
      </c>
      <c r="CF161" s="117" t="n">
        <f aca="false">SUMIFS(الريسبي!$C$2:$C$1800,الريسبي!$A$2:$A$1800,$A161,الريسبي!$B$2:$B$1800,CF$1)</f>
        <v>0</v>
      </c>
      <c r="CG161" s="117" t="n">
        <f aca="false">SUMIFS(الريسبي!$C$2:$C$1800,الريسبي!$A$2:$A$1800,$A161,الريسبي!$B$2:$B$1800,CG$1)</f>
        <v>0</v>
      </c>
      <c r="CH161" s="117" t="n">
        <f aca="false">SUMIFS(الريسبي!$C$2:$C$1800,الريسبي!$A$2:$A$1800,$A161,الريسبي!$B$2:$B$1800,CH$1)</f>
        <v>0</v>
      </c>
      <c r="CI161" s="117" t="n">
        <f aca="false">SUMIFS(الريسبي!$C$2:$C$1800,الريسبي!$A$2:$A$1800,$A161,الريسبي!$B$2:$B$1800,CI$1)</f>
        <v>0</v>
      </c>
      <c r="CJ161" s="117" t="n">
        <f aca="false">SUMIFS(الريسبي!$C$2:$C$1800,الريسبي!$A$2:$A$1800,$A161,الريسبي!$B$2:$B$1800,CJ$1)</f>
        <v>0</v>
      </c>
      <c r="CK161" s="117" t="n">
        <f aca="false">SUMIFS(الريسبي!$C$2:$C$1800,الريسبي!$A$2:$A$1800,$A161,الريسبي!$B$2:$B$1800,CK$1)</f>
        <v>0</v>
      </c>
      <c r="CL161" s="117" t="n">
        <f aca="false">SUMIFS(الريسبي!$C$2:$C$1800,الريسبي!$A$2:$A$1800,$A161,الريسبي!$B$2:$B$1800,CL$1)</f>
        <v>0</v>
      </c>
    </row>
    <row r="162" customFormat="false" ht="15" hidden="false" customHeight="false" outlineLevel="0" collapsed="false">
      <c r="A162" s="116" t="str">
        <f aca="false">المنيو!B162</f>
        <v>اضافة مشروم (فطير كبير)</v>
      </c>
      <c r="B162" s="117" t="n">
        <f aca="false">SUMIFS(الريسبي!$C$2:$C$1800,الريسبي!$A$2:$A$1800,$A162,الريسبي!$B$2:$B$1800,B$1)</f>
        <v>0</v>
      </c>
      <c r="C162" s="117" t="n">
        <f aca="false">SUMIFS(الريسبي!$C$2:$C$1800,الريسبي!$A$2:$A$1800,$A162,الريسبي!$B$2:$B$1800,C$1)</f>
        <v>0</v>
      </c>
      <c r="D162" s="117" t="n">
        <f aca="false">SUMIFS(الريسبي!$C$2:$C$1800,الريسبي!$A$2:$A$1800,$A162,الريسبي!$B$2:$B$1800,D$1)</f>
        <v>0</v>
      </c>
      <c r="E162" s="117" t="n">
        <f aca="false">SUMIFS(الريسبي!$C$2:$C$1800,الريسبي!$A$2:$A$1800,$A162,الريسبي!$B$2:$B$1800,E$1)</f>
        <v>0</v>
      </c>
      <c r="F162" s="117" t="n">
        <f aca="false">SUMIFS(الريسبي!$C$2:$C$1800,الريسبي!$A$2:$A$1800,$A162,الريسبي!$B$2:$B$1800,F$1)</f>
        <v>0</v>
      </c>
      <c r="G162" s="117" t="n">
        <f aca="false">SUMIFS(الريسبي!$C$2:$C$1800,الريسبي!$A$2:$A$1800,$A162,الريسبي!$B$2:$B$1800,G$1)</f>
        <v>0</v>
      </c>
      <c r="H162" s="117" t="n">
        <f aca="false">SUMIFS(الريسبي!$C$2:$C$1800,الريسبي!$A$2:$A$1800,$A162,الريسبي!$B$2:$B$1800,H$1)</f>
        <v>0</v>
      </c>
      <c r="I162" s="117" t="n">
        <f aca="false">SUMIFS(الريسبي!$C$2:$C$1800,الريسبي!$A$2:$A$1800,$A162,الريسبي!$B$2:$B$1800,I$1)</f>
        <v>0</v>
      </c>
      <c r="J162" s="117" t="n">
        <f aca="false">SUMIFS(الريسبي!$C$2:$C$1800,الريسبي!$A$2:$A$1800,$A162,الريسبي!$B$2:$B$1800,J$1)</f>
        <v>0</v>
      </c>
      <c r="K162" s="117" t="n">
        <f aca="false">SUMIFS(الريسبي!$C$2:$C$1800,الريسبي!$A$2:$A$1800,$A162,الريسبي!$B$2:$B$1800,K$1)</f>
        <v>0</v>
      </c>
      <c r="L162" s="117" t="n">
        <f aca="false">SUMIFS(الريسبي!$C$2:$C$1800,الريسبي!$A$2:$A$1800,$A162,الريسبي!$B$2:$B$1800,L$1)</f>
        <v>0</v>
      </c>
      <c r="M162" s="117" t="n">
        <f aca="false">SUMIFS(الريسبي!$C$2:$C$1800,الريسبي!$A$2:$A$1800,$A162,الريسبي!$B$2:$B$1800,M$1)</f>
        <v>0</v>
      </c>
      <c r="N162" s="117" t="n">
        <f aca="false">SUMIFS(الريسبي!$C$2:$C$1800,الريسبي!$A$2:$A$1800,$A162,الريسبي!$B$2:$B$1800,N$1)</f>
        <v>0</v>
      </c>
      <c r="O162" s="117" t="n">
        <f aca="false">SUMIFS(الريسبي!$C$2:$C$1800,الريسبي!$A$2:$A$1800,$A162,الريسبي!$B$2:$B$1800,O$1)</f>
        <v>0</v>
      </c>
      <c r="P162" s="117" t="n">
        <f aca="false">SUMIFS(الريسبي!$C$2:$C$1800,الريسبي!$A$2:$A$1800,$A162,الريسبي!$B$2:$B$1800,P$1)</f>
        <v>0</v>
      </c>
      <c r="Q162" s="117" t="n">
        <f aca="false">SUMIFS(الريسبي!$C$2:$C$1800,الريسبي!$A$2:$A$1800,$A162,الريسبي!$B$2:$B$1800,Q$1)</f>
        <v>0</v>
      </c>
      <c r="R162" s="117" t="n">
        <f aca="false">SUMIFS(الريسبي!$C$2:$C$1800,الريسبي!$A$2:$A$1800,$A162,الريسبي!$B$2:$B$1800,R$1)</f>
        <v>0</v>
      </c>
      <c r="S162" s="117" t="n">
        <f aca="false">SUMIFS(الريسبي!$C$2:$C$1800,الريسبي!$A$2:$A$1800,$A162,الريسبي!$B$2:$B$1800,S$1)</f>
        <v>0</v>
      </c>
      <c r="T162" s="117" t="n">
        <f aca="false">SUMIFS(الريسبي!$C$2:$C$1800,الريسبي!$A$2:$A$1800,$A162,الريسبي!$B$2:$B$1800,T$1)</f>
        <v>0</v>
      </c>
      <c r="U162" s="117" t="n">
        <f aca="false">SUMIFS(الريسبي!$C$2:$C$1800,الريسبي!$A$2:$A$1800,$A162,الريسبي!$B$2:$B$1800,U$1)</f>
        <v>0</v>
      </c>
      <c r="V162" s="117" t="n">
        <f aca="false">SUMIFS(الريسبي!$C$2:$C$1800,الريسبي!$A$2:$A$1800,$A162,الريسبي!$B$2:$B$1800,V$1)</f>
        <v>0</v>
      </c>
      <c r="W162" s="117" t="n">
        <f aca="false">SUMIFS(الريسبي!$C$2:$C$1800,الريسبي!$A$2:$A$1800,$A162,الريسبي!$B$2:$B$1800,W$1)</f>
        <v>0</v>
      </c>
      <c r="X162" s="117" t="n">
        <f aca="false">SUMIFS(الريسبي!$C$2:$C$1800,الريسبي!$A$2:$A$1800,$A162,الريسبي!$B$2:$B$1800,X$1)</f>
        <v>0</v>
      </c>
      <c r="Y162" s="117" t="n">
        <f aca="false">SUMIFS(الريسبي!$C$2:$C$1800,الريسبي!$A$2:$A$1800,$A162,الريسبي!$B$2:$B$1800,Y$1)</f>
        <v>0</v>
      </c>
      <c r="Z162" s="117" t="n">
        <f aca="false">SUMIFS(الريسبي!$C$2:$C$1800,الريسبي!$A$2:$A$1800,$A162,الريسبي!$B$2:$B$1800,Z$1)</f>
        <v>0</v>
      </c>
      <c r="AA162" s="117" t="n">
        <f aca="false">SUMIFS(الريسبي!$C$2:$C$1800,الريسبي!$A$2:$A$1800,$A162,الريسبي!$B$2:$B$1800,AA$1)</f>
        <v>0</v>
      </c>
      <c r="AB162" s="117" t="n">
        <f aca="false">SUMIFS(الريسبي!$C$2:$C$1800,الريسبي!$A$2:$A$1800,$A162,الريسبي!$B$2:$B$1800,AB$1)</f>
        <v>0</v>
      </c>
      <c r="AC162" s="117" t="n">
        <f aca="false">SUMIFS(الريسبي!$C$2:$C$1800,الريسبي!$A$2:$A$1800,$A162,الريسبي!$B$2:$B$1800,AC$1)</f>
        <v>0</v>
      </c>
      <c r="AD162" s="117" t="n">
        <f aca="false">SUMIFS(الريسبي!$C$2:$C$1800,الريسبي!$A$2:$A$1800,$A162,الريسبي!$B$2:$B$1800,AD$1)</f>
        <v>0</v>
      </c>
      <c r="AE162" s="117" t="n">
        <f aca="false">SUMIFS(الريسبي!$C$2:$C$1800,الريسبي!$A$2:$A$1800,$A162,الريسبي!$B$2:$B$1800,AE$1)</f>
        <v>0</v>
      </c>
      <c r="AF162" s="117" t="n">
        <f aca="false">SUMIFS(الريسبي!$C$2:$C$1800,الريسبي!$A$2:$A$1800,$A162,الريسبي!$B$2:$B$1800,AF$1)</f>
        <v>0</v>
      </c>
      <c r="AG162" s="117" t="n">
        <f aca="false">SUMIFS(الريسبي!$C$2:$C$1800,الريسبي!$A$2:$A$1800,$A162,الريسبي!$B$2:$B$1800,AG$1)</f>
        <v>0</v>
      </c>
      <c r="AH162" s="117" t="n">
        <f aca="false">SUMIFS(الريسبي!$C$2:$C$1800,الريسبي!$A$2:$A$1800,$A162,الريسبي!$B$2:$B$1800,AH$1)</f>
        <v>0</v>
      </c>
      <c r="AI162" s="117" t="n">
        <f aca="false">SUMIFS(الريسبي!$C$2:$C$1800,الريسبي!$A$2:$A$1800,$A162,الريسبي!$B$2:$B$1800,AI$1)</f>
        <v>0</v>
      </c>
      <c r="AJ162" s="117" t="n">
        <f aca="false">SUMIFS(الريسبي!$C$2:$C$1800,الريسبي!$A$2:$A$1800,$A162,الريسبي!$B$2:$B$1800,AJ$1)</f>
        <v>0</v>
      </c>
      <c r="AK162" s="117" t="n">
        <f aca="false">SUMIFS(الريسبي!$C$2:$C$1800,الريسبي!$A$2:$A$1800,$A162,الريسبي!$B$2:$B$1800,AK$1)</f>
        <v>0</v>
      </c>
      <c r="AL162" s="117" t="n">
        <f aca="false">SUMIFS(الريسبي!$C$2:$C$1800,الريسبي!$A$2:$A$1800,$A162,الريسبي!$B$2:$B$1800,AL$1)</f>
        <v>0</v>
      </c>
      <c r="AM162" s="117" t="n">
        <f aca="false">SUMIFS(الريسبي!$C$2:$C$1800,الريسبي!$A$2:$A$1800,$A162,الريسبي!$B$2:$B$1800,AM$1)+0.08333333333*SUMIFS(الريسبي!$C$2:$C$1800,الريسبي!$A$2:$A$1800,$A162,الريسبي!$B$2:$B$1800,"عجين كريب (مصنع بالمطعم)")+0.08333333333*SUMIFS(الريسبي!$C$2:$C$1800,الريسبي!$A$2:$A$1800,$A162,الريسبي!$B$2:$B$1800,"عجين كريب صيامي (بدون لبن)")</f>
        <v>0</v>
      </c>
      <c r="AN162" s="117" t="n">
        <f aca="false">SUMIFS(الريسبي!$C$2:$C$1800,الريسبي!$A$2:$A$1800,$A162,الريسبي!$B$2:$B$1800,AN$1)+0.004166666667*SUMIFS(الريسبي!$C$2:$C$1800,الريسبي!$A$2:$A$1800,$A162,الريسبي!$B$2:$B$1800,"عجين كريب (مصنع بالمطعم)")+0.004166666667*SUMIFS(الريسبي!$C$2:$C$1800,الريسبي!$A$2:$A$1800,$A162,الريسبي!$B$2:$B$1800,"عجين كريب صيامي (بدون لبن)")</f>
        <v>0</v>
      </c>
      <c r="AO162" s="117" t="n">
        <f aca="false">SUMIFS(الريسبي!$C$2:$C$1800,الريسبي!$A$2:$A$1800,$A162,الريسبي!$B$2:$B$1800,AO$1)</f>
        <v>0</v>
      </c>
      <c r="AP162" s="117" t="n">
        <f aca="false">SUMIFS(الريسبي!$C$2:$C$1800,الريسبي!$A$2:$A$1800,$A162,الريسبي!$B$2:$B$1800,AP$1)</f>
        <v>0</v>
      </c>
      <c r="AQ162" s="117" t="n">
        <f aca="false">SUMIFS(الريسبي!$C$2:$C$1800,الريسبي!$A$2:$A$1800,$A162,الريسبي!$B$2:$B$1800,AQ$1)+0.004166666667*SUMIFS(الريسبي!$C$2:$C$1800,الريسبي!$A$2:$A$1800,$A162,الريسبي!$B$2:$B$1800,"عجين كريب (مصنع بالمطعم)")+0.004166666667*SUMIFS(الريسبي!$C$2:$C$1800,الريسبي!$A$2:$A$1800,$A162,الريسبي!$B$2:$B$1800,"عجين كريب صيامي (بدون لبن)")</f>
        <v>0</v>
      </c>
      <c r="AR162" s="117" t="n">
        <f aca="false">SUMIFS(الريسبي!$C$2:$C$1800,الريسبي!$A$2:$A$1800,$A162,الريسبي!$B$2:$B$1800,AR$1)</f>
        <v>0</v>
      </c>
      <c r="AS162" s="117" t="n">
        <f aca="false">SUMIFS(الريسبي!$C$2:$C$1800,الريسبي!$A$2:$A$1800,$A162,الريسبي!$B$2:$B$1800,AS$1)</f>
        <v>0</v>
      </c>
      <c r="AT162" s="117" t="n">
        <f aca="false">SUMIFS(الريسبي!$C$2:$C$1800,الريسبي!$A$2:$A$1800,$A162,الريسبي!$B$2:$B$1800,AT$1)</f>
        <v>0</v>
      </c>
      <c r="AU162" s="117" t="n">
        <f aca="false">SUMIFS(الريسبي!$C$2:$C$1800,الريسبي!$A$2:$A$1800,$A162,الريسبي!$B$2:$B$1800,AU$1)</f>
        <v>0</v>
      </c>
      <c r="AV162" s="117" t="n">
        <f aca="false">SUMIFS(الريسبي!$C$2:$C$1800,الريسبي!$A$2:$A$1800,$A162,الريسبي!$B$2:$B$1800,AV$1)</f>
        <v>0</v>
      </c>
      <c r="AW162" s="117" t="n">
        <f aca="false">SUMIFS(الريسبي!$C$2:$C$1800,الريسبي!$A$2:$A$1800,$A162,الريسبي!$B$2:$B$1800,AW$1)</f>
        <v>0</v>
      </c>
      <c r="AX162" s="117" t="n">
        <f aca="false">SUMIFS(الريسبي!$C$2:$C$1800,الريسبي!$A$2:$A$1800,$A162,الريسبي!$B$2:$B$1800,AX$1)</f>
        <v>0</v>
      </c>
      <c r="AY162" s="117" t="n">
        <f aca="false">SUMIFS(الريسبي!$C$2:$C$1800,الريسبي!$A$2:$A$1800,$A162,الريسبي!$B$2:$B$1800,AY$1)</f>
        <v>0</v>
      </c>
      <c r="AZ162" s="117" t="n">
        <f aca="false">SUMIFS(الريسبي!$C$2:$C$1800,الريسبي!$A$2:$A$1800,$A162,الريسبي!$B$2:$B$1800,AZ$1)</f>
        <v>0</v>
      </c>
      <c r="BA162" s="117" t="n">
        <f aca="false">SUMIFS(الريسبي!$C$2:$C$1800,الريسبي!$A$2:$A$1800,$A162,الريسبي!$B$2:$B$1800,BA$1)</f>
        <v>0</v>
      </c>
      <c r="BB162" s="117" t="n">
        <f aca="false">SUMIFS(الريسبي!$C$2:$C$1800,الريسبي!$A$2:$A$1800,$A162,الريسبي!$B$2:$B$1800,BB$1)</f>
        <v>0</v>
      </c>
      <c r="BC162" s="117" t="n">
        <f aca="false">SUMIFS(الريسبي!$C$2:$C$1800,الريسبي!$A$2:$A$1800,$A162,الريسبي!$B$2:$B$1800,BC$1)</f>
        <v>0</v>
      </c>
      <c r="BD162" s="117" t="n">
        <f aca="false">SUMIFS(الريسبي!$C$2:$C$1800,الريسبي!$A$2:$A$1800,$A162,الريسبي!$B$2:$B$1800,BD$1)</f>
        <v>0</v>
      </c>
      <c r="BE162" s="117" t="n">
        <f aca="false">SUMIFS(الريسبي!$C$2:$C$1800,الريسبي!$A$2:$A$1800,$A162,الريسبي!$B$2:$B$1800,BE$1)</f>
        <v>0</v>
      </c>
      <c r="BF162" s="117" t="n">
        <f aca="false">SUMIFS(الريسبي!$C$2:$C$1800,الريسبي!$A$2:$A$1800,$A162,الريسبي!$B$2:$B$1800,BF$1)</f>
        <v>0</v>
      </c>
      <c r="BG162" s="117" t="n">
        <f aca="false">SUMIFS(الريسبي!$C$2:$C$1800,الريسبي!$A$2:$A$1800,$A162,الريسبي!$B$2:$B$1800,BG$1)</f>
        <v>0</v>
      </c>
      <c r="BH162" s="117" t="n">
        <f aca="false">SUMIFS(الريسبي!$C$2:$C$1800,الريسبي!$A$2:$A$1800,$A162,الريسبي!$B$2:$B$1800,BH$1)</f>
        <v>0</v>
      </c>
      <c r="BI162" s="117" t="n">
        <f aca="false">SUMIFS(الريسبي!$C$2:$C$1800,الريسبي!$A$2:$A$1800,$A162,الريسبي!$B$2:$B$1800,BI$1)</f>
        <v>0</v>
      </c>
      <c r="BJ162" s="117" t="n">
        <f aca="false">SUMIFS(الريسبي!$C$2:$C$1800,الريسبي!$A$2:$A$1800,$A162,الريسبي!$B$2:$B$1800,BJ$1)</f>
        <v>0</v>
      </c>
      <c r="BK162" s="117" t="n">
        <f aca="false">SUMIFS(الريسبي!$C$2:$C$1800,الريسبي!$A$2:$A$1800,$A162,الريسبي!$B$2:$B$1800,BK$1)</f>
        <v>0</v>
      </c>
      <c r="BL162" s="117" t="n">
        <f aca="false">SUMIFS(الريسبي!$C$2:$C$1800,الريسبي!$A$2:$A$1800,$A162,الريسبي!$B$2:$B$1800,BL$1)</f>
        <v>0</v>
      </c>
      <c r="BM162" s="117" t="n">
        <f aca="false">SUMIFS(الريسبي!$C$2:$C$1800,الريسبي!$A$2:$A$1800,$A162,الريسبي!$B$2:$B$1800,BM$1)</f>
        <v>0</v>
      </c>
      <c r="BN162" s="117" t="n">
        <f aca="false">SUMIFS(الريسبي!$C$2:$C$1800,الريسبي!$A$2:$A$1800,$A162,الريسبي!$B$2:$B$1800,BN$1)</f>
        <v>0</v>
      </c>
      <c r="BO162" s="117" t="n">
        <f aca="false">SUMIFS(الريسبي!$C$2:$C$1800,الريسبي!$A$2:$A$1800,$A162,الريسبي!$B$2:$B$1800,BO$1)</f>
        <v>0</v>
      </c>
      <c r="BP162" s="117" t="n">
        <f aca="false">SUMIFS(الريسبي!$C$2:$C$1800,الريسبي!$A$2:$A$1800,$A162,الريسبي!$B$2:$B$1800,BP$1)</f>
        <v>0</v>
      </c>
      <c r="BQ162" s="117" t="n">
        <f aca="false">SUMIFS(الريسبي!$C$2:$C$1800,الريسبي!$A$2:$A$1800,$A162,الريسبي!$B$2:$B$1800,BQ$1)+0.17*SUMIFS(الريسبي!$C$2:$C$1800,الريسبي!$A$2:$A$1800,$A162,الريسبي!$B$2:$B$1800,"كاسترد مصنع (خليط بودر + لبن)")+0.17*SUMIFS(الريسبي!$C$2:$C$1800,الريسبي!$A$2:$A$1800,$A162,الريسبي!$B$2:$B$1800,"كاسترد مصنع صيامي (بدون لبن)")</f>
        <v>0</v>
      </c>
      <c r="BR162" s="117" t="n">
        <f aca="false">SUMIFS(الريسبي!$C$2:$C$1800,الريسبي!$A$2:$A$1800,$A162,الريسبي!$B$2:$B$1800,BR$1)</f>
        <v>0</v>
      </c>
      <c r="BS162" s="117" t="n">
        <f aca="false">SUMIFS(الريسبي!$C$2:$C$1800,الريسبي!$A$2:$A$1800,$A162,الريسبي!$B$2:$B$1800,BS$1)</f>
        <v>0</v>
      </c>
      <c r="BT162" s="117" t="n">
        <f aca="false">SUMIFS(الريسبي!$C$2:$C$1800,الريسبي!$A$2:$A$1800,$A162,الريسبي!$B$2:$B$1800,BT$1)</f>
        <v>0</v>
      </c>
      <c r="BU162" s="117" t="n">
        <f aca="false">SUMIFS(الريسبي!$C$2:$C$1800,الريسبي!$A$2:$A$1800,$A162,الريسبي!$B$2:$B$1800,BU$1)+0.4*SUMIFS(الريسبي!$C$2:$C$1800,الريسبي!$A$2:$A$1800,$A162,الريسبي!$B$2:$B$1800,"كاسترد مصنع (خليط بودر + لبن)")+0.03333333333*SUMIFS(الريسبي!$C$2:$C$1800,الريسبي!$A$2:$A$1800,$A162,الريسبي!$B$2:$B$1800,"عجين كريب (مصنع بالمطعم)")</f>
        <v>0</v>
      </c>
      <c r="BV162" s="117" t="n">
        <f aca="false">SUMIFS(الريسبي!$C$2:$C$1800,الريسبي!$A$2:$A$1800,$A162,الريسبي!$B$2:$B$1800,BV$1)</f>
        <v>0</v>
      </c>
      <c r="BW162" s="117" t="n">
        <f aca="false">SUMIFS(الريسبي!$C$2:$C$1800,الريسبي!$A$2:$A$1800,$A162,الريسبي!$B$2:$B$1800,BW$1)</f>
        <v>0</v>
      </c>
      <c r="BX162" s="117" t="n">
        <f aca="false">SUMIFS(الريسبي!$C$2:$C$1800,الريسبي!$A$2:$A$1800,$A162,الريسبي!$B$2:$B$1800,BX$1)</f>
        <v>0.09</v>
      </c>
      <c r="BY162" s="117" t="n">
        <f aca="false">SUMIFS(الريسبي!$C$2:$C$1800,الريسبي!$A$2:$A$1800,$A162,الريسبي!$B$2:$B$1800,BY$1)</f>
        <v>0</v>
      </c>
      <c r="BZ162" s="117" t="n">
        <f aca="false">SUMIFS(الريسبي!$C$2:$C$1800,الريسبي!$A$2:$A$1800,$A162,الريسبي!$B$2:$B$1800,BZ$1)</f>
        <v>0</v>
      </c>
      <c r="CA162" s="117" t="n">
        <f aca="false">SUMIFS(الريسبي!$C$2:$C$1800,الريسبي!$A$2:$A$1800,$A162,الريسبي!$B$2:$B$1800,CA$1)</f>
        <v>0</v>
      </c>
      <c r="CB162" s="117" t="n">
        <f aca="false">SUMIFS(الريسبي!$C$2:$C$1800,الريسبي!$A$2:$A$1800,$A162,الريسبي!$B$2:$B$1800,CB$1)</f>
        <v>0</v>
      </c>
      <c r="CC162" s="117" t="n">
        <f aca="false">SUMIFS(الريسبي!$C$2:$C$1800,الريسبي!$A$2:$A$1800,$A162,الريسبي!$B$2:$B$1800,CC$1)</f>
        <v>0</v>
      </c>
      <c r="CD162" s="117" t="n">
        <f aca="false">SUMIFS(الريسبي!$C$2:$C$1800,الريسبي!$A$2:$A$1800,$A162,الريسبي!$B$2:$B$1800,CD$1)</f>
        <v>0</v>
      </c>
      <c r="CE162" s="117" t="n">
        <f aca="false">SUMIFS(الريسبي!$C$2:$C$1800,الريسبي!$A$2:$A$1800,$A162,الريسبي!$B$2:$B$1800,CE$1)</f>
        <v>0</v>
      </c>
      <c r="CF162" s="117" t="n">
        <f aca="false">SUMIFS(الريسبي!$C$2:$C$1800,الريسبي!$A$2:$A$1800,$A162,الريسبي!$B$2:$B$1800,CF$1)</f>
        <v>0</v>
      </c>
      <c r="CG162" s="117" t="n">
        <f aca="false">SUMIFS(الريسبي!$C$2:$C$1800,الريسبي!$A$2:$A$1800,$A162,الريسبي!$B$2:$B$1800,CG$1)</f>
        <v>0</v>
      </c>
      <c r="CH162" s="117" t="n">
        <f aca="false">SUMIFS(الريسبي!$C$2:$C$1800,الريسبي!$A$2:$A$1800,$A162,الريسبي!$B$2:$B$1800,CH$1)</f>
        <v>0</v>
      </c>
      <c r="CI162" s="117" t="n">
        <f aca="false">SUMIFS(الريسبي!$C$2:$C$1800,الريسبي!$A$2:$A$1800,$A162,الريسبي!$B$2:$B$1800,CI$1)</f>
        <v>0</v>
      </c>
      <c r="CJ162" s="117" t="n">
        <f aca="false">SUMIFS(الريسبي!$C$2:$C$1800,الريسبي!$A$2:$A$1800,$A162,الريسبي!$B$2:$B$1800,CJ$1)</f>
        <v>0</v>
      </c>
      <c r="CK162" s="117" t="n">
        <f aca="false">SUMIFS(الريسبي!$C$2:$C$1800,الريسبي!$A$2:$A$1800,$A162,الريسبي!$B$2:$B$1800,CK$1)</f>
        <v>0</v>
      </c>
      <c r="CL162" s="117" t="n">
        <f aca="false">SUMIFS(الريسبي!$C$2:$C$1800,الريسبي!$A$2:$A$1800,$A162,الريسبي!$B$2:$B$1800,CL$1)</f>
        <v>0</v>
      </c>
    </row>
    <row r="163" customFormat="false" ht="15" hidden="false" customHeight="false" outlineLevel="0" collapsed="false">
      <c r="A163" s="116" t="str">
        <f aca="false">المنيو!B163</f>
        <v>إضافة وش بيتزا (مخصوص) (وسط)</v>
      </c>
      <c r="B163" s="117" t="n">
        <f aca="false">SUMIFS(الريسبي!$C$2:$C$1800,الريسبي!$A$2:$A$1800,$A163,الريسبي!$B$2:$B$1800,B$1)</f>
        <v>0</v>
      </c>
      <c r="C163" s="117" t="n">
        <f aca="false">SUMIFS(الريسبي!$C$2:$C$1800,الريسبي!$A$2:$A$1800,$A163,الريسبي!$B$2:$B$1800,C$1)</f>
        <v>0</v>
      </c>
      <c r="D163" s="117" t="n">
        <f aca="false">SUMIFS(الريسبي!$C$2:$C$1800,الريسبي!$A$2:$A$1800,$A163,الريسبي!$B$2:$B$1800,D$1)</f>
        <v>0</v>
      </c>
      <c r="E163" s="117" t="n">
        <f aca="false">SUMIFS(الريسبي!$C$2:$C$1800,الريسبي!$A$2:$A$1800,$A163,الريسبي!$B$2:$B$1800,E$1)</f>
        <v>0</v>
      </c>
      <c r="F163" s="117" t="n">
        <f aca="false">SUMIFS(الريسبي!$C$2:$C$1800,الريسبي!$A$2:$A$1800,$A163,الريسبي!$B$2:$B$1800,F$1)</f>
        <v>0</v>
      </c>
      <c r="G163" s="117" t="n">
        <f aca="false">SUMIFS(الريسبي!$C$2:$C$1800,الريسبي!$A$2:$A$1800,$A163,الريسبي!$B$2:$B$1800,G$1)</f>
        <v>0</v>
      </c>
      <c r="H163" s="117" t="n">
        <f aca="false">SUMIFS(الريسبي!$C$2:$C$1800,الريسبي!$A$2:$A$1800,$A163,الريسبي!$B$2:$B$1800,H$1)</f>
        <v>0</v>
      </c>
      <c r="I163" s="117" t="n">
        <f aca="false">SUMIFS(الريسبي!$C$2:$C$1800,الريسبي!$A$2:$A$1800,$A163,الريسبي!$B$2:$B$1800,I$1)</f>
        <v>0</v>
      </c>
      <c r="J163" s="117" t="n">
        <f aca="false">SUMIFS(الريسبي!$C$2:$C$1800,الريسبي!$A$2:$A$1800,$A163,الريسبي!$B$2:$B$1800,J$1)</f>
        <v>0</v>
      </c>
      <c r="K163" s="117" t="n">
        <f aca="false">SUMIFS(الريسبي!$C$2:$C$1800,الريسبي!$A$2:$A$1800,$A163,الريسبي!$B$2:$B$1800,K$1)</f>
        <v>0</v>
      </c>
      <c r="L163" s="117" t="n">
        <f aca="false">SUMIFS(الريسبي!$C$2:$C$1800,الريسبي!$A$2:$A$1800,$A163,الريسبي!$B$2:$B$1800,L$1)</f>
        <v>0</v>
      </c>
      <c r="M163" s="117" t="n">
        <f aca="false">SUMIFS(الريسبي!$C$2:$C$1800,الريسبي!$A$2:$A$1800,$A163,الريسبي!$B$2:$B$1800,M$1)</f>
        <v>0</v>
      </c>
      <c r="N163" s="117" t="n">
        <f aca="false">SUMIFS(الريسبي!$C$2:$C$1800,الريسبي!$A$2:$A$1800,$A163,الريسبي!$B$2:$B$1800,N$1)</f>
        <v>0</v>
      </c>
      <c r="O163" s="117" t="n">
        <f aca="false">SUMIFS(الريسبي!$C$2:$C$1800,الريسبي!$A$2:$A$1800,$A163,الريسبي!$B$2:$B$1800,O$1)</f>
        <v>0</v>
      </c>
      <c r="P163" s="117" t="n">
        <f aca="false">SUMIFS(الريسبي!$C$2:$C$1800,الريسبي!$A$2:$A$1800,$A163,الريسبي!$B$2:$B$1800,P$1)</f>
        <v>0</v>
      </c>
      <c r="Q163" s="117" t="n">
        <f aca="false">SUMIFS(الريسبي!$C$2:$C$1800,الريسبي!$A$2:$A$1800,$A163,الريسبي!$B$2:$B$1800,Q$1)</f>
        <v>0</v>
      </c>
      <c r="R163" s="117" t="n">
        <f aca="false">SUMIFS(الريسبي!$C$2:$C$1800,الريسبي!$A$2:$A$1800,$A163,الريسبي!$B$2:$B$1800,R$1)</f>
        <v>0</v>
      </c>
      <c r="S163" s="117" t="n">
        <f aca="false">SUMIFS(الريسبي!$C$2:$C$1800,الريسبي!$A$2:$A$1800,$A163,الريسبي!$B$2:$B$1800,S$1)</f>
        <v>0</v>
      </c>
      <c r="T163" s="117" t="n">
        <f aca="false">SUMIFS(الريسبي!$C$2:$C$1800,الريسبي!$A$2:$A$1800,$A163,الريسبي!$B$2:$B$1800,T$1)</f>
        <v>0</v>
      </c>
      <c r="U163" s="117" t="n">
        <f aca="false">SUMIFS(الريسبي!$C$2:$C$1800,الريسبي!$A$2:$A$1800,$A163,الريسبي!$B$2:$B$1800,U$1)</f>
        <v>0</v>
      </c>
      <c r="V163" s="117" t="n">
        <f aca="false">SUMIFS(الريسبي!$C$2:$C$1800,الريسبي!$A$2:$A$1800,$A163,الريسبي!$B$2:$B$1800,V$1)</f>
        <v>1</v>
      </c>
      <c r="W163" s="117" t="n">
        <f aca="false">SUMIFS(الريسبي!$C$2:$C$1800,الريسبي!$A$2:$A$1800,$A163,الريسبي!$B$2:$B$1800,W$1)</f>
        <v>0</v>
      </c>
      <c r="X163" s="117" t="n">
        <f aca="false">SUMIFS(الريسبي!$C$2:$C$1800,الريسبي!$A$2:$A$1800,$A163,الريسبي!$B$2:$B$1800,X$1)</f>
        <v>0</v>
      </c>
      <c r="Y163" s="117" t="n">
        <f aca="false">SUMIFS(الريسبي!$C$2:$C$1800,الريسبي!$A$2:$A$1800,$A163,الريسبي!$B$2:$B$1800,Y$1)</f>
        <v>0</v>
      </c>
      <c r="Z163" s="117" t="n">
        <f aca="false">SUMIFS(الريسبي!$C$2:$C$1800,الريسبي!$A$2:$A$1800,$A163,الريسبي!$B$2:$B$1800,Z$1)</f>
        <v>0</v>
      </c>
      <c r="AA163" s="117" t="n">
        <f aca="false">SUMIFS(الريسبي!$C$2:$C$1800,الريسبي!$A$2:$A$1800,$A163,الريسبي!$B$2:$B$1800,AA$1)</f>
        <v>0</v>
      </c>
      <c r="AB163" s="117" t="n">
        <f aca="false">SUMIFS(الريسبي!$C$2:$C$1800,الريسبي!$A$2:$A$1800,$A163,الريسبي!$B$2:$B$1800,AB$1)</f>
        <v>0</v>
      </c>
      <c r="AC163" s="117" t="n">
        <f aca="false">SUMIFS(الريسبي!$C$2:$C$1800,الريسبي!$A$2:$A$1800,$A163,الريسبي!$B$2:$B$1800,AC$1)</f>
        <v>0</v>
      </c>
      <c r="AD163" s="117" t="n">
        <f aca="false">SUMIFS(الريسبي!$C$2:$C$1800,الريسبي!$A$2:$A$1800,$A163,الريسبي!$B$2:$B$1800,AD$1)</f>
        <v>0</v>
      </c>
      <c r="AE163" s="117" t="n">
        <f aca="false">SUMIFS(الريسبي!$C$2:$C$1800,الريسبي!$A$2:$A$1800,$A163,الريسبي!$B$2:$B$1800,AE$1)</f>
        <v>0</v>
      </c>
      <c r="AF163" s="117" t="n">
        <f aca="false">SUMIFS(الريسبي!$C$2:$C$1800,الريسبي!$A$2:$A$1800,$A163,الريسبي!$B$2:$B$1800,AF$1)</f>
        <v>0</v>
      </c>
      <c r="AG163" s="117" t="n">
        <f aca="false">SUMIFS(الريسبي!$C$2:$C$1800,الريسبي!$A$2:$A$1800,$A163,الريسبي!$B$2:$B$1800,AG$1)</f>
        <v>0</v>
      </c>
      <c r="AH163" s="117" t="n">
        <f aca="false">SUMIFS(الريسبي!$C$2:$C$1800,الريسبي!$A$2:$A$1800,$A163,الريسبي!$B$2:$B$1800,AH$1)</f>
        <v>0</v>
      </c>
      <c r="AI163" s="117" t="n">
        <f aca="false">SUMIFS(الريسبي!$C$2:$C$1800,الريسبي!$A$2:$A$1800,$A163,الريسبي!$B$2:$B$1800,AI$1)</f>
        <v>0</v>
      </c>
      <c r="AJ163" s="117" t="n">
        <f aca="false">SUMIFS(الريسبي!$C$2:$C$1800,الريسبي!$A$2:$A$1800,$A163,الريسبي!$B$2:$B$1800,AJ$1)</f>
        <v>0</v>
      </c>
      <c r="AK163" s="117" t="n">
        <f aca="false">SUMIFS(الريسبي!$C$2:$C$1800,الريسبي!$A$2:$A$1800,$A163,الريسبي!$B$2:$B$1800,AK$1)</f>
        <v>0</v>
      </c>
      <c r="AL163" s="117" t="n">
        <f aca="false">SUMIFS(الريسبي!$C$2:$C$1800,الريسبي!$A$2:$A$1800,$A163,الريسبي!$B$2:$B$1800,AL$1)</f>
        <v>0</v>
      </c>
      <c r="AM163" s="117" t="n">
        <f aca="false">SUMIFS(الريسبي!$C$2:$C$1800,الريسبي!$A$2:$A$1800,$A163,الريسبي!$B$2:$B$1800,AM$1)+0.08333333333*SUMIFS(الريسبي!$C$2:$C$1800,الريسبي!$A$2:$A$1800,$A163,الريسبي!$B$2:$B$1800,"عجين كريب (مصنع بالمطعم)")+0.08333333333*SUMIFS(الريسبي!$C$2:$C$1800,الريسبي!$A$2:$A$1800,$A163,الريسبي!$B$2:$B$1800,"عجين كريب صيامي (بدون لبن)")</f>
        <v>0</v>
      </c>
      <c r="AN163" s="117" t="n">
        <f aca="false">SUMIFS(الريسبي!$C$2:$C$1800,الريسبي!$A$2:$A$1800,$A163,الريسبي!$B$2:$B$1800,AN$1)+0.004166666667*SUMIFS(الريسبي!$C$2:$C$1800,الريسبي!$A$2:$A$1800,$A163,الريسبي!$B$2:$B$1800,"عجين كريب (مصنع بالمطعم)")+0.004166666667*SUMIFS(الريسبي!$C$2:$C$1800,الريسبي!$A$2:$A$1800,$A163,الريسبي!$B$2:$B$1800,"عجين كريب صيامي (بدون لبن)")</f>
        <v>0</v>
      </c>
      <c r="AO163" s="117" t="n">
        <f aca="false">SUMIFS(الريسبي!$C$2:$C$1800,الريسبي!$A$2:$A$1800,$A163,الريسبي!$B$2:$B$1800,AO$1)</f>
        <v>0</v>
      </c>
      <c r="AP163" s="117" t="n">
        <f aca="false">SUMIFS(الريسبي!$C$2:$C$1800,الريسبي!$A$2:$A$1800,$A163,الريسبي!$B$2:$B$1800,AP$1)</f>
        <v>0</v>
      </c>
      <c r="AQ163" s="117" t="n">
        <f aca="false">SUMIFS(الريسبي!$C$2:$C$1800,الريسبي!$A$2:$A$1800,$A163,الريسبي!$B$2:$B$1800,AQ$1)+0.004166666667*SUMIFS(الريسبي!$C$2:$C$1800,الريسبي!$A$2:$A$1800,$A163,الريسبي!$B$2:$B$1800,"عجين كريب (مصنع بالمطعم)")+0.004166666667*SUMIFS(الريسبي!$C$2:$C$1800,الريسبي!$A$2:$A$1800,$A163,الريسبي!$B$2:$B$1800,"عجين كريب صيامي (بدون لبن)")</f>
        <v>0</v>
      </c>
      <c r="AR163" s="117" t="n">
        <f aca="false">SUMIFS(الريسبي!$C$2:$C$1800,الريسبي!$A$2:$A$1800,$A163,الريسبي!$B$2:$B$1800,AR$1)</f>
        <v>0</v>
      </c>
      <c r="AS163" s="117" t="n">
        <f aca="false">SUMIFS(الريسبي!$C$2:$C$1800,الريسبي!$A$2:$A$1800,$A163,الريسبي!$B$2:$B$1800,AS$1)</f>
        <v>0</v>
      </c>
      <c r="AT163" s="117" t="n">
        <f aca="false">SUMIFS(الريسبي!$C$2:$C$1800,الريسبي!$A$2:$A$1800,$A163,الريسبي!$B$2:$B$1800,AT$1)</f>
        <v>0</v>
      </c>
      <c r="AU163" s="117" t="n">
        <f aca="false">SUMIFS(الريسبي!$C$2:$C$1800,الريسبي!$A$2:$A$1800,$A163,الريسبي!$B$2:$B$1800,AU$1)</f>
        <v>0</v>
      </c>
      <c r="AV163" s="117" t="n">
        <f aca="false">SUMIFS(الريسبي!$C$2:$C$1800,الريسبي!$A$2:$A$1800,$A163,الريسبي!$B$2:$B$1800,AV$1)</f>
        <v>0</v>
      </c>
      <c r="AW163" s="117" t="n">
        <f aca="false">SUMIFS(الريسبي!$C$2:$C$1800,الريسبي!$A$2:$A$1800,$A163,الريسبي!$B$2:$B$1800,AW$1)</f>
        <v>0</v>
      </c>
      <c r="AX163" s="117" t="n">
        <f aca="false">SUMIFS(الريسبي!$C$2:$C$1800,الريسبي!$A$2:$A$1800,$A163,الريسبي!$B$2:$B$1800,AX$1)</f>
        <v>0</v>
      </c>
      <c r="AY163" s="117" t="n">
        <f aca="false">SUMIFS(الريسبي!$C$2:$C$1800,الريسبي!$A$2:$A$1800,$A163,الريسبي!$B$2:$B$1800,AY$1)</f>
        <v>0</v>
      </c>
      <c r="AZ163" s="117" t="n">
        <f aca="false">SUMIFS(الريسبي!$C$2:$C$1800,الريسبي!$A$2:$A$1800,$A163,الريسبي!$B$2:$B$1800,AZ$1)</f>
        <v>0</v>
      </c>
      <c r="BA163" s="117" t="n">
        <f aca="false">SUMIFS(الريسبي!$C$2:$C$1800,الريسبي!$A$2:$A$1800,$A163,الريسبي!$B$2:$B$1800,BA$1)</f>
        <v>0</v>
      </c>
      <c r="BB163" s="117" t="n">
        <f aca="false">SUMIFS(الريسبي!$C$2:$C$1800,الريسبي!$A$2:$A$1800,$A163,الريسبي!$B$2:$B$1800,BB$1)</f>
        <v>0</v>
      </c>
      <c r="BC163" s="117" t="n">
        <f aca="false">SUMIFS(الريسبي!$C$2:$C$1800,الريسبي!$A$2:$A$1800,$A163,الريسبي!$B$2:$B$1800,BC$1)</f>
        <v>0</v>
      </c>
      <c r="BD163" s="117" t="n">
        <f aca="false">SUMIFS(الريسبي!$C$2:$C$1800,الريسبي!$A$2:$A$1800,$A163,الريسبي!$B$2:$B$1800,BD$1)</f>
        <v>0</v>
      </c>
      <c r="BE163" s="117" t="n">
        <f aca="false">SUMIFS(الريسبي!$C$2:$C$1800,الريسبي!$A$2:$A$1800,$A163,الريسبي!$B$2:$B$1800,BE$1)</f>
        <v>0</v>
      </c>
      <c r="BF163" s="117" t="n">
        <f aca="false">SUMIFS(الريسبي!$C$2:$C$1800,الريسبي!$A$2:$A$1800,$A163,الريسبي!$B$2:$B$1800,BF$1)</f>
        <v>0</v>
      </c>
      <c r="BG163" s="117" t="n">
        <f aca="false">SUMIFS(الريسبي!$C$2:$C$1800,الريسبي!$A$2:$A$1800,$A163,الريسبي!$B$2:$B$1800,BG$1)</f>
        <v>0</v>
      </c>
      <c r="BH163" s="117" t="n">
        <f aca="false">SUMIFS(الريسبي!$C$2:$C$1800,الريسبي!$A$2:$A$1800,$A163,الريسبي!$B$2:$B$1800,BH$1)</f>
        <v>0</v>
      </c>
      <c r="BI163" s="117" t="n">
        <f aca="false">SUMIFS(الريسبي!$C$2:$C$1800,الريسبي!$A$2:$A$1800,$A163,الريسبي!$B$2:$B$1800,BI$1)</f>
        <v>0</v>
      </c>
      <c r="BJ163" s="117" t="n">
        <f aca="false">SUMIFS(الريسبي!$C$2:$C$1800,الريسبي!$A$2:$A$1800,$A163,الريسبي!$B$2:$B$1800,BJ$1)</f>
        <v>0</v>
      </c>
      <c r="BK163" s="117" t="n">
        <f aca="false">SUMIFS(الريسبي!$C$2:$C$1800,الريسبي!$A$2:$A$1800,$A163,الريسبي!$B$2:$B$1800,BK$1)</f>
        <v>0</v>
      </c>
      <c r="BL163" s="117" t="n">
        <f aca="false">SUMIFS(الريسبي!$C$2:$C$1800,الريسبي!$A$2:$A$1800,$A163,الريسبي!$B$2:$B$1800,BL$1)</f>
        <v>0</v>
      </c>
      <c r="BM163" s="117" t="n">
        <f aca="false">SUMIFS(الريسبي!$C$2:$C$1800,الريسبي!$A$2:$A$1800,$A163,الريسبي!$B$2:$B$1800,BM$1)</f>
        <v>0</v>
      </c>
      <c r="BN163" s="117" t="n">
        <f aca="false">SUMIFS(الريسبي!$C$2:$C$1800,الريسبي!$A$2:$A$1800,$A163,الريسبي!$B$2:$B$1800,BN$1)</f>
        <v>0</v>
      </c>
      <c r="BO163" s="117" t="n">
        <f aca="false">SUMIFS(الريسبي!$C$2:$C$1800,الريسبي!$A$2:$A$1800,$A163,الريسبي!$B$2:$B$1800,BO$1)</f>
        <v>0</v>
      </c>
      <c r="BP163" s="117" t="n">
        <f aca="false">SUMIFS(الريسبي!$C$2:$C$1800,الريسبي!$A$2:$A$1800,$A163,الريسبي!$B$2:$B$1800,BP$1)</f>
        <v>0</v>
      </c>
      <c r="BQ163" s="117" t="n">
        <f aca="false">SUMIFS(الريسبي!$C$2:$C$1800,الريسبي!$A$2:$A$1800,$A163,الريسبي!$B$2:$B$1800,BQ$1)+0.17*SUMIFS(الريسبي!$C$2:$C$1800,الريسبي!$A$2:$A$1800,$A163,الريسبي!$B$2:$B$1800,"كاسترد مصنع (خليط بودر + لبن)")+0.17*SUMIFS(الريسبي!$C$2:$C$1800,الريسبي!$A$2:$A$1800,$A163,الريسبي!$B$2:$B$1800,"كاسترد مصنع صيامي (بدون لبن)")</f>
        <v>0</v>
      </c>
      <c r="BR163" s="117" t="n">
        <f aca="false">SUMIFS(الريسبي!$C$2:$C$1800,الريسبي!$A$2:$A$1800,$A163,الريسبي!$B$2:$B$1800,BR$1)</f>
        <v>0</v>
      </c>
      <c r="BS163" s="117" t="n">
        <f aca="false">SUMIFS(الريسبي!$C$2:$C$1800,الريسبي!$A$2:$A$1800,$A163,الريسبي!$B$2:$B$1800,BS$1)</f>
        <v>0</v>
      </c>
      <c r="BT163" s="117" t="n">
        <f aca="false">SUMIFS(الريسبي!$C$2:$C$1800,الريسبي!$A$2:$A$1800,$A163,الريسبي!$B$2:$B$1800,BT$1)</f>
        <v>0</v>
      </c>
      <c r="BU163" s="117" t="n">
        <f aca="false">SUMIFS(الريسبي!$C$2:$C$1800,الريسبي!$A$2:$A$1800,$A163,الريسبي!$B$2:$B$1800,BU$1)+0.4*SUMIFS(الريسبي!$C$2:$C$1800,الريسبي!$A$2:$A$1800,$A163,الريسبي!$B$2:$B$1800,"كاسترد مصنع (خليط بودر + لبن)")+0.03333333333*SUMIFS(الريسبي!$C$2:$C$1800,الريسبي!$A$2:$A$1800,$A163,الريسبي!$B$2:$B$1800,"عجين كريب (مصنع بالمطعم)")</f>
        <v>0</v>
      </c>
      <c r="BV163" s="117" t="n">
        <f aca="false">SUMIFS(الريسبي!$C$2:$C$1800,الريسبي!$A$2:$A$1800,$A163,الريسبي!$B$2:$B$1800,BV$1)</f>
        <v>0</v>
      </c>
      <c r="BW163" s="117" t="n">
        <f aca="false">SUMIFS(الريسبي!$C$2:$C$1800,الريسبي!$A$2:$A$1800,$A163,الريسبي!$B$2:$B$1800,BW$1)</f>
        <v>0</v>
      </c>
      <c r="BX163" s="117" t="n">
        <f aca="false">SUMIFS(الريسبي!$C$2:$C$1800,الريسبي!$A$2:$A$1800,$A163,الريسبي!$B$2:$B$1800,BX$1)</f>
        <v>0</v>
      </c>
      <c r="BY163" s="117" t="n">
        <f aca="false">SUMIFS(الريسبي!$C$2:$C$1800,الريسبي!$A$2:$A$1800,$A163,الريسبي!$B$2:$B$1800,BY$1)</f>
        <v>0</v>
      </c>
      <c r="BZ163" s="117" t="n">
        <f aca="false">SUMIFS(الريسبي!$C$2:$C$1800,الريسبي!$A$2:$A$1800,$A163,الريسبي!$B$2:$B$1800,BZ$1)</f>
        <v>0</v>
      </c>
      <c r="CA163" s="117" t="n">
        <f aca="false">SUMIFS(الريسبي!$C$2:$C$1800,الريسبي!$A$2:$A$1800,$A163,الريسبي!$B$2:$B$1800,CA$1)</f>
        <v>0</v>
      </c>
      <c r="CB163" s="117" t="n">
        <f aca="false">SUMIFS(الريسبي!$C$2:$C$1800,الريسبي!$A$2:$A$1800,$A163,الريسبي!$B$2:$B$1800,CB$1)</f>
        <v>0</v>
      </c>
      <c r="CC163" s="117" t="n">
        <f aca="false">SUMIFS(الريسبي!$C$2:$C$1800,الريسبي!$A$2:$A$1800,$A163,الريسبي!$B$2:$B$1800,CC$1)</f>
        <v>0</v>
      </c>
      <c r="CD163" s="117" t="n">
        <f aca="false">SUMIFS(الريسبي!$C$2:$C$1800,الريسبي!$A$2:$A$1800,$A163,الريسبي!$B$2:$B$1800,CD$1)</f>
        <v>0</v>
      </c>
      <c r="CE163" s="117" t="n">
        <f aca="false">SUMIFS(الريسبي!$C$2:$C$1800,الريسبي!$A$2:$A$1800,$A163,الريسبي!$B$2:$B$1800,CE$1)</f>
        <v>0</v>
      </c>
      <c r="CF163" s="117" t="n">
        <f aca="false">SUMIFS(الريسبي!$C$2:$C$1800,الريسبي!$A$2:$A$1800,$A163,الريسبي!$B$2:$B$1800,CF$1)</f>
        <v>0</v>
      </c>
      <c r="CG163" s="117" t="n">
        <f aca="false">SUMIFS(الريسبي!$C$2:$C$1800,الريسبي!$A$2:$A$1800,$A163,الريسبي!$B$2:$B$1800,CG$1)</f>
        <v>0</v>
      </c>
      <c r="CH163" s="117" t="n">
        <f aca="false">SUMIFS(الريسبي!$C$2:$C$1800,الريسبي!$A$2:$A$1800,$A163,الريسبي!$B$2:$B$1800,CH$1)</f>
        <v>0</v>
      </c>
      <c r="CI163" s="117" t="n">
        <f aca="false">SUMIFS(الريسبي!$C$2:$C$1800,الريسبي!$A$2:$A$1800,$A163,الريسبي!$B$2:$B$1800,CI$1)</f>
        <v>0</v>
      </c>
      <c r="CJ163" s="117" t="n">
        <f aca="false">SUMIFS(الريسبي!$C$2:$C$1800,الريسبي!$A$2:$A$1800,$A163,الريسبي!$B$2:$B$1800,CJ$1)</f>
        <v>0</v>
      </c>
      <c r="CK163" s="117" t="n">
        <f aca="false">SUMIFS(الريسبي!$C$2:$C$1800,الريسبي!$A$2:$A$1800,$A163,الريسبي!$B$2:$B$1800,CK$1)</f>
        <v>0</v>
      </c>
      <c r="CL163" s="117" t="n">
        <f aca="false">SUMIFS(الريسبي!$C$2:$C$1800,الريسبي!$A$2:$A$1800,$A163,الريسبي!$B$2:$B$1800,CL$1)</f>
        <v>0</v>
      </c>
    </row>
    <row r="164" customFormat="false" ht="15" hidden="false" customHeight="false" outlineLevel="0" collapsed="false">
      <c r="A164" s="116" t="str">
        <f aca="false">المنيو!B164</f>
        <v>إضافة وش بيتزا (مخصوص) (كبير)</v>
      </c>
      <c r="B164" s="117" t="n">
        <f aca="false">SUMIFS(الريسبي!$C$2:$C$1800,الريسبي!$A$2:$A$1800,$A164,الريسبي!$B$2:$B$1800,B$1)</f>
        <v>0</v>
      </c>
      <c r="C164" s="117" t="n">
        <f aca="false">SUMIFS(الريسبي!$C$2:$C$1800,الريسبي!$A$2:$A$1800,$A164,الريسبي!$B$2:$B$1800,C$1)</f>
        <v>0</v>
      </c>
      <c r="D164" s="117" t="n">
        <f aca="false">SUMIFS(الريسبي!$C$2:$C$1800,الريسبي!$A$2:$A$1800,$A164,الريسبي!$B$2:$B$1800,D$1)</f>
        <v>0</v>
      </c>
      <c r="E164" s="117" t="n">
        <f aca="false">SUMIFS(الريسبي!$C$2:$C$1800,الريسبي!$A$2:$A$1800,$A164,الريسبي!$B$2:$B$1800,E$1)</f>
        <v>0</v>
      </c>
      <c r="F164" s="117" t="n">
        <f aca="false">SUMIFS(الريسبي!$C$2:$C$1800,الريسبي!$A$2:$A$1800,$A164,الريسبي!$B$2:$B$1800,F$1)</f>
        <v>0</v>
      </c>
      <c r="G164" s="117" t="n">
        <f aca="false">SUMIFS(الريسبي!$C$2:$C$1800,الريسبي!$A$2:$A$1800,$A164,الريسبي!$B$2:$B$1800,G$1)</f>
        <v>0</v>
      </c>
      <c r="H164" s="117" t="n">
        <f aca="false">SUMIFS(الريسبي!$C$2:$C$1800,الريسبي!$A$2:$A$1800,$A164,الريسبي!$B$2:$B$1800,H$1)</f>
        <v>0</v>
      </c>
      <c r="I164" s="117" t="n">
        <f aca="false">SUMIFS(الريسبي!$C$2:$C$1800,الريسبي!$A$2:$A$1800,$A164,الريسبي!$B$2:$B$1800,I$1)</f>
        <v>0</v>
      </c>
      <c r="J164" s="117" t="n">
        <f aca="false">SUMIFS(الريسبي!$C$2:$C$1800,الريسبي!$A$2:$A$1800,$A164,الريسبي!$B$2:$B$1800,J$1)</f>
        <v>0</v>
      </c>
      <c r="K164" s="117" t="n">
        <f aca="false">SUMIFS(الريسبي!$C$2:$C$1800,الريسبي!$A$2:$A$1800,$A164,الريسبي!$B$2:$B$1800,K$1)</f>
        <v>0</v>
      </c>
      <c r="L164" s="117" t="n">
        <f aca="false">SUMIFS(الريسبي!$C$2:$C$1800,الريسبي!$A$2:$A$1800,$A164,الريسبي!$B$2:$B$1800,L$1)</f>
        <v>0</v>
      </c>
      <c r="M164" s="117" t="n">
        <f aca="false">SUMIFS(الريسبي!$C$2:$C$1800,الريسبي!$A$2:$A$1800,$A164,الريسبي!$B$2:$B$1800,M$1)</f>
        <v>0</v>
      </c>
      <c r="N164" s="117" t="n">
        <f aca="false">SUMIFS(الريسبي!$C$2:$C$1800,الريسبي!$A$2:$A$1800,$A164,الريسبي!$B$2:$B$1800,N$1)</f>
        <v>0</v>
      </c>
      <c r="O164" s="117" t="n">
        <f aca="false">SUMIFS(الريسبي!$C$2:$C$1800,الريسبي!$A$2:$A$1800,$A164,الريسبي!$B$2:$B$1800,O$1)</f>
        <v>0</v>
      </c>
      <c r="P164" s="117" t="n">
        <f aca="false">SUMIFS(الريسبي!$C$2:$C$1800,الريسبي!$A$2:$A$1800,$A164,الريسبي!$B$2:$B$1800,P$1)</f>
        <v>0</v>
      </c>
      <c r="Q164" s="117" t="n">
        <f aca="false">SUMIFS(الريسبي!$C$2:$C$1800,الريسبي!$A$2:$A$1800,$A164,الريسبي!$B$2:$B$1800,Q$1)</f>
        <v>0</v>
      </c>
      <c r="R164" s="117" t="n">
        <f aca="false">SUMIFS(الريسبي!$C$2:$C$1800,الريسبي!$A$2:$A$1800,$A164,الريسبي!$B$2:$B$1800,R$1)</f>
        <v>0</v>
      </c>
      <c r="S164" s="117" t="n">
        <f aca="false">SUMIFS(الريسبي!$C$2:$C$1800,الريسبي!$A$2:$A$1800,$A164,الريسبي!$B$2:$B$1800,S$1)</f>
        <v>0</v>
      </c>
      <c r="T164" s="117" t="n">
        <f aca="false">SUMIFS(الريسبي!$C$2:$C$1800,الريسبي!$A$2:$A$1800,$A164,الريسبي!$B$2:$B$1800,T$1)</f>
        <v>0</v>
      </c>
      <c r="U164" s="117" t="n">
        <f aca="false">SUMIFS(الريسبي!$C$2:$C$1800,الريسبي!$A$2:$A$1800,$A164,الريسبي!$B$2:$B$1800,U$1)</f>
        <v>0</v>
      </c>
      <c r="V164" s="117" t="n">
        <f aca="false">SUMIFS(الريسبي!$C$2:$C$1800,الريسبي!$A$2:$A$1800,$A164,الريسبي!$B$2:$B$1800,V$1)</f>
        <v>0</v>
      </c>
      <c r="W164" s="117" t="n">
        <f aca="false">SUMIFS(الريسبي!$C$2:$C$1800,الريسبي!$A$2:$A$1800,$A164,الريسبي!$B$2:$B$1800,W$1)</f>
        <v>1</v>
      </c>
      <c r="X164" s="117" t="n">
        <f aca="false">SUMIFS(الريسبي!$C$2:$C$1800,الريسبي!$A$2:$A$1800,$A164,الريسبي!$B$2:$B$1800,X$1)</f>
        <v>0</v>
      </c>
      <c r="Y164" s="117" t="n">
        <f aca="false">SUMIFS(الريسبي!$C$2:$C$1800,الريسبي!$A$2:$A$1800,$A164,الريسبي!$B$2:$B$1800,Y$1)</f>
        <v>0</v>
      </c>
      <c r="Z164" s="117" t="n">
        <f aca="false">SUMIFS(الريسبي!$C$2:$C$1800,الريسبي!$A$2:$A$1800,$A164,الريسبي!$B$2:$B$1800,Z$1)</f>
        <v>0</v>
      </c>
      <c r="AA164" s="117" t="n">
        <f aca="false">SUMIFS(الريسبي!$C$2:$C$1800,الريسبي!$A$2:$A$1800,$A164,الريسبي!$B$2:$B$1800,AA$1)</f>
        <v>0</v>
      </c>
      <c r="AB164" s="117" t="n">
        <f aca="false">SUMIFS(الريسبي!$C$2:$C$1800,الريسبي!$A$2:$A$1800,$A164,الريسبي!$B$2:$B$1800,AB$1)</f>
        <v>0</v>
      </c>
      <c r="AC164" s="117" t="n">
        <f aca="false">SUMIFS(الريسبي!$C$2:$C$1800,الريسبي!$A$2:$A$1800,$A164,الريسبي!$B$2:$B$1800,AC$1)</f>
        <v>0</v>
      </c>
      <c r="AD164" s="117" t="n">
        <f aca="false">SUMIFS(الريسبي!$C$2:$C$1800,الريسبي!$A$2:$A$1800,$A164,الريسبي!$B$2:$B$1800,AD$1)</f>
        <v>0</v>
      </c>
      <c r="AE164" s="117" t="n">
        <f aca="false">SUMIFS(الريسبي!$C$2:$C$1800,الريسبي!$A$2:$A$1800,$A164,الريسبي!$B$2:$B$1800,AE$1)</f>
        <v>0</v>
      </c>
      <c r="AF164" s="117" t="n">
        <f aca="false">SUMIFS(الريسبي!$C$2:$C$1800,الريسبي!$A$2:$A$1800,$A164,الريسبي!$B$2:$B$1800,AF$1)</f>
        <v>0</v>
      </c>
      <c r="AG164" s="117" t="n">
        <f aca="false">SUMIFS(الريسبي!$C$2:$C$1800,الريسبي!$A$2:$A$1800,$A164,الريسبي!$B$2:$B$1800,AG$1)</f>
        <v>0</v>
      </c>
      <c r="AH164" s="117" t="n">
        <f aca="false">SUMIFS(الريسبي!$C$2:$C$1800,الريسبي!$A$2:$A$1800,$A164,الريسبي!$B$2:$B$1800,AH$1)</f>
        <v>0</v>
      </c>
      <c r="AI164" s="117" t="n">
        <f aca="false">SUMIFS(الريسبي!$C$2:$C$1800,الريسبي!$A$2:$A$1800,$A164,الريسبي!$B$2:$B$1800,AI$1)</f>
        <v>0</v>
      </c>
      <c r="AJ164" s="117" t="n">
        <f aca="false">SUMIFS(الريسبي!$C$2:$C$1800,الريسبي!$A$2:$A$1800,$A164,الريسبي!$B$2:$B$1800,AJ$1)</f>
        <v>0</v>
      </c>
      <c r="AK164" s="117" t="n">
        <f aca="false">SUMIFS(الريسبي!$C$2:$C$1800,الريسبي!$A$2:$A$1800,$A164,الريسبي!$B$2:$B$1800,AK$1)</f>
        <v>0</v>
      </c>
      <c r="AL164" s="117" t="n">
        <f aca="false">SUMIFS(الريسبي!$C$2:$C$1800,الريسبي!$A$2:$A$1800,$A164,الريسبي!$B$2:$B$1800,AL$1)</f>
        <v>0</v>
      </c>
      <c r="AM164" s="117" t="n">
        <f aca="false">SUMIFS(الريسبي!$C$2:$C$1800,الريسبي!$A$2:$A$1800,$A164,الريسبي!$B$2:$B$1800,AM$1)+0.08333333333*SUMIFS(الريسبي!$C$2:$C$1800,الريسبي!$A$2:$A$1800,$A164,الريسبي!$B$2:$B$1800,"عجين كريب (مصنع بالمطعم)")+0.08333333333*SUMIFS(الريسبي!$C$2:$C$1800,الريسبي!$A$2:$A$1800,$A164,الريسبي!$B$2:$B$1800,"عجين كريب صيامي (بدون لبن)")</f>
        <v>0</v>
      </c>
      <c r="AN164" s="117" t="n">
        <f aca="false">SUMIFS(الريسبي!$C$2:$C$1800,الريسبي!$A$2:$A$1800,$A164,الريسبي!$B$2:$B$1800,AN$1)+0.004166666667*SUMIFS(الريسبي!$C$2:$C$1800,الريسبي!$A$2:$A$1800,$A164,الريسبي!$B$2:$B$1800,"عجين كريب (مصنع بالمطعم)")+0.004166666667*SUMIFS(الريسبي!$C$2:$C$1800,الريسبي!$A$2:$A$1800,$A164,الريسبي!$B$2:$B$1800,"عجين كريب صيامي (بدون لبن)")</f>
        <v>0</v>
      </c>
      <c r="AO164" s="117" t="n">
        <f aca="false">SUMIFS(الريسبي!$C$2:$C$1800,الريسبي!$A$2:$A$1800,$A164,الريسبي!$B$2:$B$1800,AO$1)</f>
        <v>0</v>
      </c>
      <c r="AP164" s="117" t="n">
        <f aca="false">SUMIFS(الريسبي!$C$2:$C$1800,الريسبي!$A$2:$A$1800,$A164,الريسبي!$B$2:$B$1800,AP$1)</f>
        <v>0</v>
      </c>
      <c r="AQ164" s="117" t="n">
        <f aca="false">SUMIFS(الريسبي!$C$2:$C$1800,الريسبي!$A$2:$A$1800,$A164,الريسبي!$B$2:$B$1800,AQ$1)+0.004166666667*SUMIFS(الريسبي!$C$2:$C$1800,الريسبي!$A$2:$A$1800,$A164,الريسبي!$B$2:$B$1800,"عجين كريب (مصنع بالمطعم)")+0.004166666667*SUMIFS(الريسبي!$C$2:$C$1800,الريسبي!$A$2:$A$1800,$A164,الريسبي!$B$2:$B$1800,"عجين كريب صيامي (بدون لبن)")</f>
        <v>0</v>
      </c>
      <c r="AR164" s="117" t="n">
        <f aca="false">SUMIFS(الريسبي!$C$2:$C$1800,الريسبي!$A$2:$A$1800,$A164,الريسبي!$B$2:$B$1800,AR$1)</f>
        <v>0</v>
      </c>
      <c r="AS164" s="117" t="n">
        <f aca="false">SUMIFS(الريسبي!$C$2:$C$1800,الريسبي!$A$2:$A$1800,$A164,الريسبي!$B$2:$B$1800,AS$1)</f>
        <v>0</v>
      </c>
      <c r="AT164" s="117" t="n">
        <f aca="false">SUMIFS(الريسبي!$C$2:$C$1800,الريسبي!$A$2:$A$1800,$A164,الريسبي!$B$2:$B$1800,AT$1)</f>
        <v>0</v>
      </c>
      <c r="AU164" s="117" t="n">
        <f aca="false">SUMIFS(الريسبي!$C$2:$C$1800,الريسبي!$A$2:$A$1800,$A164,الريسبي!$B$2:$B$1800,AU$1)</f>
        <v>0</v>
      </c>
      <c r="AV164" s="117" t="n">
        <f aca="false">SUMIFS(الريسبي!$C$2:$C$1800,الريسبي!$A$2:$A$1800,$A164,الريسبي!$B$2:$B$1800,AV$1)</f>
        <v>0</v>
      </c>
      <c r="AW164" s="117" t="n">
        <f aca="false">SUMIFS(الريسبي!$C$2:$C$1800,الريسبي!$A$2:$A$1800,$A164,الريسبي!$B$2:$B$1800,AW$1)</f>
        <v>0</v>
      </c>
      <c r="AX164" s="117" t="n">
        <f aca="false">SUMIFS(الريسبي!$C$2:$C$1800,الريسبي!$A$2:$A$1800,$A164,الريسبي!$B$2:$B$1800,AX$1)</f>
        <v>0</v>
      </c>
      <c r="AY164" s="117" t="n">
        <f aca="false">SUMIFS(الريسبي!$C$2:$C$1800,الريسبي!$A$2:$A$1800,$A164,الريسبي!$B$2:$B$1800,AY$1)</f>
        <v>0</v>
      </c>
      <c r="AZ164" s="117" t="n">
        <f aca="false">SUMIFS(الريسبي!$C$2:$C$1800,الريسبي!$A$2:$A$1800,$A164,الريسبي!$B$2:$B$1800,AZ$1)</f>
        <v>0</v>
      </c>
      <c r="BA164" s="117" t="n">
        <f aca="false">SUMIFS(الريسبي!$C$2:$C$1800,الريسبي!$A$2:$A$1800,$A164,الريسبي!$B$2:$B$1800,BA$1)</f>
        <v>0</v>
      </c>
      <c r="BB164" s="117" t="n">
        <f aca="false">SUMIFS(الريسبي!$C$2:$C$1800,الريسبي!$A$2:$A$1800,$A164,الريسبي!$B$2:$B$1800,BB$1)</f>
        <v>0</v>
      </c>
      <c r="BC164" s="117" t="n">
        <f aca="false">SUMIFS(الريسبي!$C$2:$C$1800,الريسبي!$A$2:$A$1800,$A164,الريسبي!$B$2:$B$1800,BC$1)</f>
        <v>0</v>
      </c>
      <c r="BD164" s="117" t="n">
        <f aca="false">SUMIFS(الريسبي!$C$2:$C$1800,الريسبي!$A$2:$A$1800,$A164,الريسبي!$B$2:$B$1800,BD$1)</f>
        <v>0</v>
      </c>
      <c r="BE164" s="117" t="n">
        <f aca="false">SUMIFS(الريسبي!$C$2:$C$1800,الريسبي!$A$2:$A$1800,$A164,الريسبي!$B$2:$B$1800,BE$1)</f>
        <v>0</v>
      </c>
      <c r="BF164" s="117" t="n">
        <f aca="false">SUMIFS(الريسبي!$C$2:$C$1800,الريسبي!$A$2:$A$1800,$A164,الريسبي!$B$2:$B$1800,BF$1)</f>
        <v>0</v>
      </c>
      <c r="BG164" s="117" t="n">
        <f aca="false">SUMIFS(الريسبي!$C$2:$C$1800,الريسبي!$A$2:$A$1800,$A164,الريسبي!$B$2:$B$1800,BG$1)</f>
        <v>0</v>
      </c>
      <c r="BH164" s="117" t="n">
        <f aca="false">SUMIFS(الريسبي!$C$2:$C$1800,الريسبي!$A$2:$A$1800,$A164,الريسبي!$B$2:$B$1800,BH$1)</f>
        <v>0</v>
      </c>
      <c r="BI164" s="117" t="n">
        <f aca="false">SUMIFS(الريسبي!$C$2:$C$1800,الريسبي!$A$2:$A$1800,$A164,الريسبي!$B$2:$B$1800,BI$1)</f>
        <v>0</v>
      </c>
      <c r="BJ164" s="117" t="n">
        <f aca="false">SUMIFS(الريسبي!$C$2:$C$1800,الريسبي!$A$2:$A$1800,$A164,الريسبي!$B$2:$B$1800,BJ$1)</f>
        <v>0</v>
      </c>
      <c r="BK164" s="117" t="n">
        <f aca="false">SUMIFS(الريسبي!$C$2:$C$1800,الريسبي!$A$2:$A$1800,$A164,الريسبي!$B$2:$B$1800,BK$1)</f>
        <v>0</v>
      </c>
      <c r="BL164" s="117" t="n">
        <f aca="false">SUMIFS(الريسبي!$C$2:$C$1800,الريسبي!$A$2:$A$1800,$A164,الريسبي!$B$2:$B$1800,BL$1)</f>
        <v>0</v>
      </c>
      <c r="BM164" s="117" t="n">
        <f aca="false">SUMIFS(الريسبي!$C$2:$C$1800,الريسبي!$A$2:$A$1800,$A164,الريسبي!$B$2:$B$1800,BM$1)</f>
        <v>0</v>
      </c>
      <c r="BN164" s="117" t="n">
        <f aca="false">SUMIFS(الريسبي!$C$2:$C$1800,الريسبي!$A$2:$A$1800,$A164,الريسبي!$B$2:$B$1800,BN$1)</f>
        <v>0</v>
      </c>
      <c r="BO164" s="117" t="n">
        <f aca="false">SUMIFS(الريسبي!$C$2:$C$1800,الريسبي!$A$2:$A$1800,$A164,الريسبي!$B$2:$B$1800,BO$1)</f>
        <v>0</v>
      </c>
      <c r="BP164" s="117" t="n">
        <f aca="false">SUMIFS(الريسبي!$C$2:$C$1800,الريسبي!$A$2:$A$1800,$A164,الريسبي!$B$2:$B$1800,BP$1)</f>
        <v>0</v>
      </c>
      <c r="BQ164" s="117" t="n">
        <f aca="false">SUMIFS(الريسبي!$C$2:$C$1800,الريسبي!$A$2:$A$1800,$A164,الريسبي!$B$2:$B$1800,BQ$1)+0.17*SUMIFS(الريسبي!$C$2:$C$1800,الريسبي!$A$2:$A$1800,$A164,الريسبي!$B$2:$B$1800,"كاسترد مصنع (خليط بودر + لبن)")+0.17*SUMIFS(الريسبي!$C$2:$C$1800,الريسبي!$A$2:$A$1800,$A164,الريسبي!$B$2:$B$1800,"كاسترد مصنع صيامي (بدون لبن)")</f>
        <v>0</v>
      </c>
      <c r="BR164" s="117" t="n">
        <f aca="false">SUMIFS(الريسبي!$C$2:$C$1800,الريسبي!$A$2:$A$1800,$A164,الريسبي!$B$2:$B$1800,BR$1)</f>
        <v>0</v>
      </c>
      <c r="BS164" s="117" t="n">
        <f aca="false">SUMIFS(الريسبي!$C$2:$C$1800,الريسبي!$A$2:$A$1800,$A164,الريسبي!$B$2:$B$1800,BS$1)</f>
        <v>0</v>
      </c>
      <c r="BT164" s="117" t="n">
        <f aca="false">SUMIFS(الريسبي!$C$2:$C$1800,الريسبي!$A$2:$A$1800,$A164,الريسبي!$B$2:$B$1800,BT$1)</f>
        <v>0</v>
      </c>
      <c r="BU164" s="117" t="n">
        <f aca="false">SUMIFS(الريسبي!$C$2:$C$1800,الريسبي!$A$2:$A$1800,$A164,الريسبي!$B$2:$B$1800,BU$1)+0.4*SUMIFS(الريسبي!$C$2:$C$1800,الريسبي!$A$2:$A$1800,$A164,الريسبي!$B$2:$B$1800,"كاسترد مصنع (خليط بودر + لبن)")+0.03333333333*SUMIFS(الريسبي!$C$2:$C$1800,الريسبي!$A$2:$A$1800,$A164,الريسبي!$B$2:$B$1800,"عجين كريب (مصنع بالمطعم)")</f>
        <v>0</v>
      </c>
      <c r="BV164" s="117" t="n">
        <f aca="false">SUMIFS(الريسبي!$C$2:$C$1800,الريسبي!$A$2:$A$1800,$A164,الريسبي!$B$2:$B$1800,BV$1)</f>
        <v>0</v>
      </c>
      <c r="BW164" s="117" t="n">
        <f aca="false">SUMIFS(الريسبي!$C$2:$C$1800,الريسبي!$A$2:$A$1800,$A164,الريسبي!$B$2:$B$1800,BW$1)</f>
        <v>0</v>
      </c>
      <c r="BX164" s="117" t="n">
        <f aca="false">SUMIFS(الريسبي!$C$2:$C$1800,الريسبي!$A$2:$A$1800,$A164,الريسبي!$B$2:$B$1800,BX$1)</f>
        <v>0</v>
      </c>
      <c r="BY164" s="117" t="n">
        <f aca="false">SUMIFS(الريسبي!$C$2:$C$1800,الريسبي!$A$2:$A$1800,$A164,الريسبي!$B$2:$B$1800,BY$1)</f>
        <v>0</v>
      </c>
      <c r="BZ164" s="117" t="n">
        <f aca="false">SUMIFS(الريسبي!$C$2:$C$1800,الريسبي!$A$2:$A$1800,$A164,الريسبي!$B$2:$B$1800,BZ$1)</f>
        <v>0</v>
      </c>
      <c r="CA164" s="117" t="n">
        <f aca="false">SUMIFS(الريسبي!$C$2:$C$1800,الريسبي!$A$2:$A$1800,$A164,الريسبي!$B$2:$B$1800,CA$1)</f>
        <v>0</v>
      </c>
      <c r="CB164" s="117" t="n">
        <f aca="false">SUMIFS(الريسبي!$C$2:$C$1800,الريسبي!$A$2:$A$1800,$A164,الريسبي!$B$2:$B$1800,CB$1)</f>
        <v>0</v>
      </c>
      <c r="CC164" s="117" t="n">
        <f aca="false">SUMIFS(الريسبي!$C$2:$C$1800,الريسبي!$A$2:$A$1800,$A164,الريسبي!$B$2:$B$1800,CC$1)</f>
        <v>0</v>
      </c>
      <c r="CD164" s="117" t="n">
        <f aca="false">SUMIFS(الريسبي!$C$2:$C$1800,الريسبي!$A$2:$A$1800,$A164,الريسبي!$B$2:$B$1800,CD$1)</f>
        <v>0</v>
      </c>
      <c r="CE164" s="117" t="n">
        <f aca="false">SUMIFS(الريسبي!$C$2:$C$1800,الريسبي!$A$2:$A$1800,$A164,الريسبي!$B$2:$B$1800,CE$1)</f>
        <v>0</v>
      </c>
      <c r="CF164" s="117" t="n">
        <f aca="false">SUMIFS(الريسبي!$C$2:$C$1800,الريسبي!$A$2:$A$1800,$A164,الريسبي!$B$2:$B$1800,CF$1)</f>
        <v>0</v>
      </c>
      <c r="CG164" s="117" t="n">
        <f aca="false">SUMIFS(الريسبي!$C$2:$C$1800,الريسبي!$A$2:$A$1800,$A164,الريسبي!$B$2:$B$1800,CG$1)</f>
        <v>0</v>
      </c>
      <c r="CH164" s="117" t="n">
        <f aca="false">SUMIFS(الريسبي!$C$2:$C$1800,الريسبي!$A$2:$A$1800,$A164,الريسبي!$B$2:$B$1800,CH$1)</f>
        <v>0</v>
      </c>
      <c r="CI164" s="117" t="n">
        <f aca="false">SUMIFS(الريسبي!$C$2:$C$1800,الريسبي!$A$2:$A$1800,$A164,الريسبي!$B$2:$B$1800,CI$1)</f>
        <v>0</v>
      </c>
      <c r="CJ164" s="117" t="n">
        <f aca="false">SUMIFS(الريسبي!$C$2:$C$1800,الريسبي!$A$2:$A$1800,$A164,الريسبي!$B$2:$B$1800,CJ$1)</f>
        <v>0</v>
      </c>
      <c r="CK164" s="117" t="n">
        <f aca="false">SUMIFS(الريسبي!$C$2:$C$1800,الريسبي!$A$2:$A$1800,$A164,الريسبي!$B$2:$B$1800,CK$1)</f>
        <v>0</v>
      </c>
      <c r="CL164" s="117" t="n">
        <f aca="false">SUMIFS(الريسبي!$C$2:$C$1800,الريسبي!$A$2:$A$1800,$A164,الريسبي!$B$2:$B$1800,CL$1)</f>
        <v>0</v>
      </c>
    </row>
    <row r="165" customFormat="false" ht="15" hidden="false" customHeight="false" outlineLevel="0" collapsed="false">
      <c r="A165" s="116" t="str">
        <f aca="false">المنيو!B165</f>
        <v>اضافة حشو للاطراف (Small)</v>
      </c>
      <c r="B165" s="117" t="n">
        <f aca="false">SUMIFS(الريسبي!$C$2:$C$1800,الريسبي!$A$2:$A$1800,$A165,الريسبي!$B$2:$B$1800,B$1)</f>
        <v>0</v>
      </c>
      <c r="C165" s="117" t="n">
        <f aca="false">SUMIFS(الريسبي!$C$2:$C$1800,الريسبي!$A$2:$A$1800,$A165,الريسبي!$B$2:$B$1800,C$1)</f>
        <v>0</v>
      </c>
      <c r="D165" s="117" t="n">
        <f aca="false">SUMIFS(الريسبي!$C$2:$C$1800,الريسبي!$A$2:$A$1800,$A165,الريسبي!$B$2:$B$1800,D$1)</f>
        <v>0</v>
      </c>
      <c r="E165" s="117" t="n">
        <f aca="false">SUMIFS(الريسبي!$C$2:$C$1800,الريسبي!$A$2:$A$1800,$A165,الريسبي!$B$2:$B$1800,E$1)</f>
        <v>0</v>
      </c>
      <c r="F165" s="117" t="n">
        <f aca="false">SUMIFS(الريسبي!$C$2:$C$1800,الريسبي!$A$2:$A$1800,$A165,الريسبي!$B$2:$B$1800,F$1)</f>
        <v>0</v>
      </c>
      <c r="G165" s="117" t="n">
        <f aca="false">SUMIFS(الريسبي!$C$2:$C$1800,الريسبي!$A$2:$A$1800,$A165,الريسبي!$B$2:$B$1800,G$1)</f>
        <v>0</v>
      </c>
      <c r="H165" s="117" t="n">
        <f aca="false">SUMIFS(الريسبي!$C$2:$C$1800,الريسبي!$A$2:$A$1800,$A165,الريسبي!$B$2:$B$1800,H$1)</f>
        <v>0</v>
      </c>
      <c r="I165" s="117" t="n">
        <f aca="false">SUMIFS(الريسبي!$C$2:$C$1800,الريسبي!$A$2:$A$1800,$A165,الريسبي!$B$2:$B$1800,I$1)</f>
        <v>0</v>
      </c>
      <c r="J165" s="117" t="n">
        <f aca="false">SUMIFS(الريسبي!$C$2:$C$1800,الريسبي!$A$2:$A$1800,$A165,الريسبي!$B$2:$B$1800,J$1)</f>
        <v>0</v>
      </c>
      <c r="K165" s="117" t="n">
        <f aca="false">SUMIFS(الريسبي!$C$2:$C$1800,الريسبي!$A$2:$A$1800,$A165,الريسبي!$B$2:$B$1800,K$1)</f>
        <v>0</v>
      </c>
      <c r="L165" s="117" t="n">
        <f aca="false">SUMIFS(الريسبي!$C$2:$C$1800,الريسبي!$A$2:$A$1800,$A165,الريسبي!$B$2:$B$1800,L$1)</f>
        <v>0</v>
      </c>
      <c r="M165" s="117" t="n">
        <f aca="false">SUMIFS(الريسبي!$C$2:$C$1800,الريسبي!$A$2:$A$1800,$A165,الريسبي!$B$2:$B$1800,M$1)</f>
        <v>0</v>
      </c>
      <c r="N165" s="117" t="n">
        <f aca="false">SUMIFS(الريسبي!$C$2:$C$1800,الريسبي!$A$2:$A$1800,$A165,الريسبي!$B$2:$B$1800,N$1)</f>
        <v>0</v>
      </c>
      <c r="O165" s="117" t="n">
        <f aca="false">SUMIFS(الريسبي!$C$2:$C$1800,الريسبي!$A$2:$A$1800,$A165,الريسبي!$B$2:$B$1800,O$1)</f>
        <v>0</v>
      </c>
      <c r="P165" s="117" t="n">
        <f aca="false">SUMIFS(الريسبي!$C$2:$C$1800,الريسبي!$A$2:$A$1800,$A165,الريسبي!$B$2:$B$1800,P$1)</f>
        <v>0</v>
      </c>
      <c r="Q165" s="117" t="n">
        <f aca="false">SUMIFS(الريسبي!$C$2:$C$1800,الريسبي!$A$2:$A$1800,$A165,الريسبي!$B$2:$B$1800,Q$1)</f>
        <v>0</v>
      </c>
      <c r="R165" s="117" t="n">
        <f aca="false">SUMIFS(الريسبي!$C$2:$C$1800,الريسبي!$A$2:$A$1800,$A165,الريسبي!$B$2:$B$1800,R$1)</f>
        <v>0</v>
      </c>
      <c r="S165" s="117" t="n">
        <f aca="false">SUMIFS(الريسبي!$C$2:$C$1800,الريسبي!$A$2:$A$1800,$A165,الريسبي!$B$2:$B$1800,S$1)</f>
        <v>0</v>
      </c>
      <c r="T165" s="117" t="n">
        <f aca="false">SUMIFS(الريسبي!$C$2:$C$1800,الريسبي!$A$2:$A$1800,$A165,الريسبي!$B$2:$B$1800,T$1)</f>
        <v>0</v>
      </c>
      <c r="U165" s="117" t="n">
        <f aca="false">SUMIFS(الريسبي!$C$2:$C$1800,الريسبي!$A$2:$A$1800,$A165,الريسبي!$B$2:$B$1800,U$1)</f>
        <v>0</v>
      </c>
      <c r="V165" s="117" t="n">
        <f aca="false">SUMIFS(الريسبي!$C$2:$C$1800,الريسبي!$A$2:$A$1800,$A165,الريسبي!$B$2:$B$1800,V$1)</f>
        <v>0.5</v>
      </c>
      <c r="W165" s="117" t="n">
        <f aca="false">SUMIFS(الريسبي!$C$2:$C$1800,الريسبي!$A$2:$A$1800,$A165,الريسبي!$B$2:$B$1800,W$1)</f>
        <v>0</v>
      </c>
      <c r="X165" s="117" t="n">
        <f aca="false">SUMIFS(الريسبي!$C$2:$C$1800,الريسبي!$A$2:$A$1800,$A165,الريسبي!$B$2:$B$1800,X$1)</f>
        <v>0</v>
      </c>
      <c r="Y165" s="117" t="n">
        <f aca="false">SUMIFS(الريسبي!$C$2:$C$1800,الريسبي!$A$2:$A$1800,$A165,الريسبي!$B$2:$B$1800,Y$1)</f>
        <v>0</v>
      </c>
      <c r="Z165" s="117" t="n">
        <f aca="false">SUMIFS(الريسبي!$C$2:$C$1800,الريسبي!$A$2:$A$1800,$A165,الريسبي!$B$2:$B$1800,Z$1)</f>
        <v>0</v>
      </c>
      <c r="AA165" s="117" t="n">
        <f aca="false">SUMIFS(الريسبي!$C$2:$C$1800,الريسبي!$A$2:$A$1800,$A165,الريسبي!$B$2:$B$1800,AA$1)</f>
        <v>0</v>
      </c>
      <c r="AB165" s="117" t="n">
        <f aca="false">SUMIFS(الريسبي!$C$2:$C$1800,الريسبي!$A$2:$A$1800,$A165,الريسبي!$B$2:$B$1800,AB$1)</f>
        <v>0</v>
      </c>
      <c r="AC165" s="117" t="n">
        <f aca="false">SUMIFS(الريسبي!$C$2:$C$1800,الريسبي!$A$2:$A$1800,$A165,الريسبي!$B$2:$B$1800,AC$1)</f>
        <v>0</v>
      </c>
      <c r="AD165" s="117" t="n">
        <f aca="false">SUMIFS(الريسبي!$C$2:$C$1800,الريسبي!$A$2:$A$1800,$A165,الريسبي!$B$2:$B$1800,AD$1)</f>
        <v>0</v>
      </c>
      <c r="AE165" s="117" t="n">
        <f aca="false">SUMIFS(الريسبي!$C$2:$C$1800,الريسبي!$A$2:$A$1800,$A165,الريسبي!$B$2:$B$1800,AE$1)</f>
        <v>0</v>
      </c>
      <c r="AF165" s="117" t="n">
        <f aca="false">SUMIFS(الريسبي!$C$2:$C$1800,الريسبي!$A$2:$A$1800,$A165,الريسبي!$B$2:$B$1800,AF$1)</f>
        <v>0</v>
      </c>
      <c r="AG165" s="117" t="n">
        <f aca="false">SUMIFS(الريسبي!$C$2:$C$1800,الريسبي!$A$2:$A$1800,$A165,الريسبي!$B$2:$B$1800,AG$1)</f>
        <v>0</v>
      </c>
      <c r="AH165" s="117" t="n">
        <f aca="false">SUMIFS(الريسبي!$C$2:$C$1800,الريسبي!$A$2:$A$1800,$A165,الريسبي!$B$2:$B$1800,AH$1)</f>
        <v>0</v>
      </c>
      <c r="AI165" s="117" t="n">
        <f aca="false">SUMIFS(الريسبي!$C$2:$C$1800,الريسبي!$A$2:$A$1800,$A165,الريسبي!$B$2:$B$1800,AI$1)</f>
        <v>0</v>
      </c>
      <c r="AJ165" s="117" t="n">
        <f aca="false">SUMIFS(الريسبي!$C$2:$C$1800,الريسبي!$A$2:$A$1800,$A165,الريسبي!$B$2:$B$1800,AJ$1)</f>
        <v>0</v>
      </c>
      <c r="AK165" s="117" t="n">
        <f aca="false">SUMIFS(الريسبي!$C$2:$C$1800,الريسبي!$A$2:$A$1800,$A165,الريسبي!$B$2:$B$1800,AK$1)</f>
        <v>0</v>
      </c>
      <c r="AL165" s="117" t="n">
        <f aca="false">SUMIFS(الريسبي!$C$2:$C$1800,الريسبي!$A$2:$A$1800,$A165,الريسبي!$B$2:$B$1800,AL$1)</f>
        <v>0</v>
      </c>
      <c r="AM165" s="117" t="n">
        <f aca="false">SUMIFS(الريسبي!$C$2:$C$1800,الريسبي!$A$2:$A$1800,$A165,الريسبي!$B$2:$B$1800,AM$1)+0.08333333333*SUMIFS(الريسبي!$C$2:$C$1800,الريسبي!$A$2:$A$1800,$A165,الريسبي!$B$2:$B$1800,"عجين كريب (مصنع بالمطعم)")+0.08333333333*SUMIFS(الريسبي!$C$2:$C$1800,الريسبي!$A$2:$A$1800,$A165,الريسبي!$B$2:$B$1800,"عجين كريب صيامي (بدون لبن)")</f>
        <v>0</v>
      </c>
      <c r="AN165" s="117" t="n">
        <f aca="false">SUMIFS(الريسبي!$C$2:$C$1800,الريسبي!$A$2:$A$1800,$A165,الريسبي!$B$2:$B$1800,AN$1)+0.004166666667*SUMIFS(الريسبي!$C$2:$C$1800,الريسبي!$A$2:$A$1800,$A165,الريسبي!$B$2:$B$1800,"عجين كريب (مصنع بالمطعم)")+0.004166666667*SUMIFS(الريسبي!$C$2:$C$1800,الريسبي!$A$2:$A$1800,$A165,الريسبي!$B$2:$B$1800,"عجين كريب صيامي (بدون لبن)")</f>
        <v>0</v>
      </c>
      <c r="AO165" s="117" t="n">
        <f aca="false">SUMIFS(الريسبي!$C$2:$C$1800,الريسبي!$A$2:$A$1800,$A165,الريسبي!$B$2:$B$1800,AO$1)</f>
        <v>0</v>
      </c>
      <c r="AP165" s="117" t="n">
        <f aca="false">SUMIFS(الريسبي!$C$2:$C$1800,الريسبي!$A$2:$A$1800,$A165,الريسبي!$B$2:$B$1800,AP$1)</f>
        <v>0</v>
      </c>
      <c r="AQ165" s="117" t="n">
        <f aca="false">SUMIFS(الريسبي!$C$2:$C$1800,الريسبي!$A$2:$A$1800,$A165,الريسبي!$B$2:$B$1800,AQ$1)+0.004166666667*SUMIFS(الريسبي!$C$2:$C$1800,الريسبي!$A$2:$A$1800,$A165,الريسبي!$B$2:$B$1800,"عجين كريب (مصنع بالمطعم)")+0.004166666667*SUMIFS(الريسبي!$C$2:$C$1800,الريسبي!$A$2:$A$1800,$A165,الريسبي!$B$2:$B$1800,"عجين كريب صيامي (بدون لبن)")</f>
        <v>0</v>
      </c>
      <c r="AR165" s="117" t="n">
        <f aca="false">SUMIFS(الريسبي!$C$2:$C$1800,الريسبي!$A$2:$A$1800,$A165,الريسبي!$B$2:$B$1800,AR$1)</f>
        <v>0</v>
      </c>
      <c r="AS165" s="117" t="n">
        <f aca="false">SUMIFS(الريسبي!$C$2:$C$1800,الريسبي!$A$2:$A$1800,$A165,الريسبي!$B$2:$B$1800,AS$1)</f>
        <v>0</v>
      </c>
      <c r="AT165" s="117" t="n">
        <f aca="false">SUMIFS(الريسبي!$C$2:$C$1800,الريسبي!$A$2:$A$1800,$A165,الريسبي!$B$2:$B$1800,AT$1)</f>
        <v>0</v>
      </c>
      <c r="AU165" s="117" t="n">
        <f aca="false">SUMIFS(الريسبي!$C$2:$C$1800,الريسبي!$A$2:$A$1800,$A165,الريسبي!$B$2:$B$1800,AU$1)</f>
        <v>0</v>
      </c>
      <c r="AV165" s="117" t="n">
        <f aca="false">SUMIFS(الريسبي!$C$2:$C$1800,الريسبي!$A$2:$A$1800,$A165,الريسبي!$B$2:$B$1800,AV$1)</f>
        <v>0</v>
      </c>
      <c r="AW165" s="117" t="n">
        <f aca="false">SUMIFS(الريسبي!$C$2:$C$1800,الريسبي!$A$2:$A$1800,$A165,الريسبي!$B$2:$B$1800,AW$1)</f>
        <v>0</v>
      </c>
      <c r="AX165" s="117" t="n">
        <f aca="false">SUMIFS(الريسبي!$C$2:$C$1800,الريسبي!$A$2:$A$1800,$A165,الريسبي!$B$2:$B$1800,AX$1)</f>
        <v>0</v>
      </c>
      <c r="AY165" s="117" t="n">
        <f aca="false">SUMIFS(الريسبي!$C$2:$C$1800,الريسبي!$A$2:$A$1800,$A165,الريسبي!$B$2:$B$1800,AY$1)</f>
        <v>0</v>
      </c>
      <c r="AZ165" s="117" t="n">
        <f aca="false">SUMIFS(الريسبي!$C$2:$C$1800,الريسبي!$A$2:$A$1800,$A165,الريسبي!$B$2:$B$1800,AZ$1)</f>
        <v>0</v>
      </c>
      <c r="BA165" s="117" t="n">
        <f aca="false">SUMIFS(الريسبي!$C$2:$C$1800,الريسبي!$A$2:$A$1800,$A165,الريسبي!$B$2:$B$1800,BA$1)</f>
        <v>0</v>
      </c>
      <c r="BB165" s="117" t="n">
        <f aca="false">SUMIFS(الريسبي!$C$2:$C$1800,الريسبي!$A$2:$A$1800,$A165,الريسبي!$B$2:$B$1800,BB$1)</f>
        <v>0</v>
      </c>
      <c r="BC165" s="117" t="n">
        <f aca="false">SUMIFS(الريسبي!$C$2:$C$1800,الريسبي!$A$2:$A$1800,$A165,الريسبي!$B$2:$B$1800,BC$1)</f>
        <v>0</v>
      </c>
      <c r="BD165" s="117" t="n">
        <f aca="false">SUMIFS(الريسبي!$C$2:$C$1800,الريسبي!$A$2:$A$1800,$A165,الريسبي!$B$2:$B$1800,BD$1)</f>
        <v>0</v>
      </c>
      <c r="BE165" s="117" t="n">
        <f aca="false">SUMIFS(الريسبي!$C$2:$C$1800,الريسبي!$A$2:$A$1800,$A165,الريسبي!$B$2:$B$1800,BE$1)</f>
        <v>0</v>
      </c>
      <c r="BF165" s="117" t="n">
        <f aca="false">SUMIFS(الريسبي!$C$2:$C$1800,الريسبي!$A$2:$A$1800,$A165,الريسبي!$B$2:$B$1800,BF$1)</f>
        <v>0</v>
      </c>
      <c r="BG165" s="117" t="n">
        <f aca="false">SUMIFS(الريسبي!$C$2:$C$1800,الريسبي!$A$2:$A$1800,$A165,الريسبي!$B$2:$B$1800,BG$1)</f>
        <v>0</v>
      </c>
      <c r="BH165" s="117" t="n">
        <f aca="false">SUMIFS(الريسبي!$C$2:$C$1800,الريسبي!$A$2:$A$1800,$A165,الريسبي!$B$2:$B$1800,BH$1)</f>
        <v>0</v>
      </c>
      <c r="BI165" s="117" t="n">
        <f aca="false">SUMIFS(الريسبي!$C$2:$C$1800,الريسبي!$A$2:$A$1800,$A165,الريسبي!$B$2:$B$1800,BI$1)</f>
        <v>0</v>
      </c>
      <c r="BJ165" s="117" t="n">
        <f aca="false">SUMIFS(الريسبي!$C$2:$C$1800,الريسبي!$A$2:$A$1800,$A165,الريسبي!$B$2:$B$1800,BJ$1)</f>
        <v>0</v>
      </c>
      <c r="BK165" s="117" t="n">
        <f aca="false">SUMIFS(الريسبي!$C$2:$C$1800,الريسبي!$A$2:$A$1800,$A165,الريسبي!$B$2:$B$1800,BK$1)</f>
        <v>0</v>
      </c>
      <c r="BL165" s="117" t="n">
        <f aca="false">SUMIFS(الريسبي!$C$2:$C$1800,الريسبي!$A$2:$A$1800,$A165,الريسبي!$B$2:$B$1800,BL$1)</f>
        <v>0</v>
      </c>
      <c r="BM165" s="117" t="n">
        <f aca="false">SUMIFS(الريسبي!$C$2:$C$1800,الريسبي!$A$2:$A$1800,$A165,الريسبي!$B$2:$B$1800,BM$1)</f>
        <v>0</v>
      </c>
      <c r="BN165" s="117" t="n">
        <f aca="false">SUMIFS(الريسبي!$C$2:$C$1800,الريسبي!$A$2:$A$1800,$A165,الريسبي!$B$2:$B$1800,BN$1)</f>
        <v>0</v>
      </c>
      <c r="BO165" s="117" t="n">
        <f aca="false">SUMIFS(الريسبي!$C$2:$C$1800,الريسبي!$A$2:$A$1800,$A165,الريسبي!$B$2:$B$1800,BO$1)</f>
        <v>0</v>
      </c>
      <c r="BP165" s="117" t="n">
        <f aca="false">SUMIFS(الريسبي!$C$2:$C$1800,الريسبي!$A$2:$A$1800,$A165,الريسبي!$B$2:$B$1800,BP$1)</f>
        <v>0</v>
      </c>
      <c r="BQ165" s="117" t="n">
        <f aca="false">SUMIFS(الريسبي!$C$2:$C$1800,الريسبي!$A$2:$A$1800,$A165,الريسبي!$B$2:$B$1800,BQ$1)+0.17*SUMIFS(الريسبي!$C$2:$C$1800,الريسبي!$A$2:$A$1800,$A165,الريسبي!$B$2:$B$1800,"كاسترد مصنع (خليط بودر + لبن)")+0.17*SUMIFS(الريسبي!$C$2:$C$1800,الريسبي!$A$2:$A$1800,$A165,الريسبي!$B$2:$B$1800,"كاسترد مصنع صيامي (بدون لبن)")</f>
        <v>0</v>
      </c>
      <c r="BR165" s="117" t="n">
        <f aca="false">SUMIFS(الريسبي!$C$2:$C$1800,الريسبي!$A$2:$A$1800,$A165,الريسبي!$B$2:$B$1800,BR$1)</f>
        <v>0</v>
      </c>
      <c r="BS165" s="117" t="n">
        <f aca="false">SUMIFS(الريسبي!$C$2:$C$1800,الريسبي!$A$2:$A$1800,$A165,الريسبي!$B$2:$B$1800,BS$1)</f>
        <v>0</v>
      </c>
      <c r="BT165" s="117" t="n">
        <f aca="false">SUMIFS(الريسبي!$C$2:$C$1800,الريسبي!$A$2:$A$1800,$A165,الريسبي!$B$2:$B$1800,BT$1)</f>
        <v>0</v>
      </c>
      <c r="BU165" s="117" t="n">
        <f aca="false">SUMIFS(الريسبي!$C$2:$C$1800,الريسبي!$A$2:$A$1800,$A165,الريسبي!$B$2:$B$1800,BU$1)+0.4*SUMIFS(الريسبي!$C$2:$C$1800,الريسبي!$A$2:$A$1800,$A165,الريسبي!$B$2:$B$1800,"كاسترد مصنع (خليط بودر + لبن)")+0.03333333333*SUMIFS(الريسبي!$C$2:$C$1800,الريسبي!$A$2:$A$1800,$A165,الريسبي!$B$2:$B$1800,"عجين كريب (مصنع بالمطعم)")</f>
        <v>0</v>
      </c>
      <c r="BV165" s="117" t="n">
        <f aca="false">SUMIFS(الريسبي!$C$2:$C$1800,الريسبي!$A$2:$A$1800,$A165,الريسبي!$B$2:$B$1800,BV$1)</f>
        <v>0</v>
      </c>
      <c r="BW165" s="117" t="n">
        <f aca="false">SUMIFS(الريسبي!$C$2:$C$1800,الريسبي!$A$2:$A$1800,$A165,الريسبي!$B$2:$B$1800,BW$1)</f>
        <v>0</v>
      </c>
      <c r="BX165" s="117" t="n">
        <f aca="false">SUMIFS(الريسبي!$C$2:$C$1800,الريسبي!$A$2:$A$1800,$A165,الريسبي!$B$2:$B$1800,BX$1)</f>
        <v>0</v>
      </c>
      <c r="BY165" s="117" t="n">
        <f aca="false">SUMIFS(الريسبي!$C$2:$C$1800,الريسبي!$A$2:$A$1800,$A165,الريسبي!$B$2:$B$1800,BY$1)</f>
        <v>0</v>
      </c>
      <c r="BZ165" s="117" t="n">
        <f aca="false">SUMIFS(الريسبي!$C$2:$C$1800,الريسبي!$A$2:$A$1800,$A165,الريسبي!$B$2:$B$1800,BZ$1)</f>
        <v>0</v>
      </c>
      <c r="CA165" s="117" t="n">
        <f aca="false">SUMIFS(الريسبي!$C$2:$C$1800,الريسبي!$A$2:$A$1800,$A165,الريسبي!$B$2:$B$1800,CA$1)</f>
        <v>0</v>
      </c>
      <c r="CB165" s="117" t="n">
        <f aca="false">SUMIFS(الريسبي!$C$2:$C$1800,الريسبي!$A$2:$A$1800,$A165,الريسبي!$B$2:$B$1800,CB$1)</f>
        <v>0</v>
      </c>
      <c r="CC165" s="117" t="n">
        <f aca="false">SUMIFS(الريسبي!$C$2:$C$1800,الريسبي!$A$2:$A$1800,$A165,الريسبي!$B$2:$B$1800,CC$1)</f>
        <v>0</v>
      </c>
      <c r="CD165" s="117" t="n">
        <f aca="false">SUMIFS(الريسبي!$C$2:$C$1800,الريسبي!$A$2:$A$1800,$A165,الريسبي!$B$2:$B$1800,CD$1)</f>
        <v>0</v>
      </c>
      <c r="CE165" s="117" t="n">
        <f aca="false">SUMIFS(الريسبي!$C$2:$C$1800,الريسبي!$A$2:$A$1800,$A165,الريسبي!$B$2:$B$1800,CE$1)</f>
        <v>0</v>
      </c>
      <c r="CF165" s="117" t="n">
        <f aca="false">SUMIFS(الريسبي!$C$2:$C$1800,الريسبي!$A$2:$A$1800,$A165,الريسبي!$B$2:$B$1800,CF$1)</f>
        <v>0</v>
      </c>
      <c r="CG165" s="117" t="n">
        <f aca="false">SUMIFS(الريسبي!$C$2:$C$1800,الريسبي!$A$2:$A$1800,$A165,الريسبي!$B$2:$B$1800,CG$1)</f>
        <v>0</v>
      </c>
      <c r="CH165" s="117" t="n">
        <f aca="false">SUMIFS(الريسبي!$C$2:$C$1800,الريسبي!$A$2:$A$1800,$A165,الريسبي!$B$2:$B$1800,CH$1)</f>
        <v>0</v>
      </c>
      <c r="CI165" s="117" t="n">
        <f aca="false">SUMIFS(الريسبي!$C$2:$C$1800,الريسبي!$A$2:$A$1800,$A165,الريسبي!$B$2:$B$1800,CI$1)</f>
        <v>0</v>
      </c>
      <c r="CJ165" s="117" t="n">
        <f aca="false">SUMIFS(الريسبي!$C$2:$C$1800,الريسبي!$A$2:$A$1800,$A165,الريسبي!$B$2:$B$1800,CJ$1)</f>
        <v>0</v>
      </c>
      <c r="CK165" s="117" t="n">
        <f aca="false">SUMIFS(الريسبي!$C$2:$C$1800,الريسبي!$A$2:$A$1800,$A165,الريسبي!$B$2:$B$1800,CK$1)</f>
        <v>0</v>
      </c>
      <c r="CL165" s="117" t="n">
        <f aca="false">SUMIFS(الريسبي!$C$2:$C$1800,الريسبي!$A$2:$A$1800,$A165,الريسبي!$B$2:$B$1800,CL$1)</f>
        <v>0</v>
      </c>
    </row>
    <row r="166" customFormat="false" ht="15" hidden="false" customHeight="false" outlineLevel="0" collapsed="false">
      <c r="A166" s="116" t="str">
        <f aca="false">المنيو!B166</f>
        <v>اضافة حشو للاطراف (Medium)</v>
      </c>
      <c r="B166" s="117" t="n">
        <f aca="false">SUMIFS(الريسبي!$C$2:$C$1800,الريسبي!$A$2:$A$1800,$A166,الريسبي!$B$2:$B$1800,B$1)</f>
        <v>0</v>
      </c>
      <c r="C166" s="117" t="n">
        <f aca="false">SUMIFS(الريسبي!$C$2:$C$1800,الريسبي!$A$2:$A$1800,$A166,الريسبي!$B$2:$B$1800,C$1)</f>
        <v>0</v>
      </c>
      <c r="D166" s="117" t="n">
        <f aca="false">SUMIFS(الريسبي!$C$2:$C$1800,الريسبي!$A$2:$A$1800,$A166,الريسبي!$B$2:$B$1800,D$1)</f>
        <v>0</v>
      </c>
      <c r="E166" s="117" t="n">
        <f aca="false">SUMIFS(الريسبي!$C$2:$C$1800,الريسبي!$A$2:$A$1800,$A166,الريسبي!$B$2:$B$1800,E$1)</f>
        <v>0</v>
      </c>
      <c r="F166" s="117" t="n">
        <f aca="false">SUMIFS(الريسبي!$C$2:$C$1800,الريسبي!$A$2:$A$1800,$A166,الريسبي!$B$2:$B$1800,F$1)</f>
        <v>0</v>
      </c>
      <c r="G166" s="117" t="n">
        <f aca="false">SUMIFS(الريسبي!$C$2:$C$1800,الريسبي!$A$2:$A$1800,$A166,الريسبي!$B$2:$B$1800,G$1)</f>
        <v>0</v>
      </c>
      <c r="H166" s="117" t="n">
        <f aca="false">SUMIFS(الريسبي!$C$2:$C$1800,الريسبي!$A$2:$A$1800,$A166,الريسبي!$B$2:$B$1800,H$1)</f>
        <v>0</v>
      </c>
      <c r="I166" s="117" t="n">
        <f aca="false">SUMIFS(الريسبي!$C$2:$C$1800,الريسبي!$A$2:$A$1800,$A166,الريسبي!$B$2:$B$1800,I$1)</f>
        <v>0</v>
      </c>
      <c r="J166" s="117" t="n">
        <f aca="false">SUMIFS(الريسبي!$C$2:$C$1800,الريسبي!$A$2:$A$1800,$A166,الريسبي!$B$2:$B$1800,J$1)</f>
        <v>0</v>
      </c>
      <c r="K166" s="117" t="n">
        <f aca="false">SUMIFS(الريسبي!$C$2:$C$1800,الريسبي!$A$2:$A$1800,$A166,الريسبي!$B$2:$B$1800,K$1)</f>
        <v>0</v>
      </c>
      <c r="L166" s="117" t="n">
        <f aca="false">SUMIFS(الريسبي!$C$2:$C$1800,الريسبي!$A$2:$A$1800,$A166,الريسبي!$B$2:$B$1800,L$1)</f>
        <v>0</v>
      </c>
      <c r="M166" s="117" t="n">
        <f aca="false">SUMIFS(الريسبي!$C$2:$C$1800,الريسبي!$A$2:$A$1800,$A166,الريسبي!$B$2:$B$1800,M$1)</f>
        <v>0</v>
      </c>
      <c r="N166" s="117" t="n">
        <f aca="false">SUMIFS(الريسبي!$C$2:$C$1800,الريسبي!$A$2:$A$1800,$A166,الريسبي!$B$2:$B$1800,N$1)</f>
        <v>0</v>
      </c>
      <c r="O166" s="117" t="n">
        <f aca="false">SUMIFS(الريسبي!$C$2:$C$1800,الريسبي!$A$2:$A$1800,$A166,الريسبي!$B$2:$B$1800,O$1)</f>
        <v>0</v>
      </c>
      <c r="P166" s="117" t="n">
        <f aca="false">SUMIFS(الريسبي!$C$2:$C$1800,الريسبي!$A$2:$A$1800,$A166,الريسبي!$B$2:$B$1800,P$1)</f>
        <v>0</v>
      </c>
      <c r="Q166" s="117" t="n">
        <f aca="false">SUMIFS(الريسبي!$C$2:$C$1800,الريسبي!$A$2:$A$1800,$A166,الريسبي!$B$2:$B$1800,Q$1)</f>
        <v>0</v>
      </c>
      <c r="R166" s="117" t="n">
        <f aca="false">SUMIFS(الريسبي!$C$2:$C$1800,الريسبي!$A$2:$A$1800,$A166,الريسبي!$B$2:$B$1800,R$1)</f>
        <v>0</v>
      </c>
      <c r="S166" s="117" t="n">
        <f aca="false">SUMIFS(الريسبي!$C$2:$C$1800,الريسبي!$A$2:$A$1800,$A166,الريسبي!$B$2:$B$1800,S$1)</f>
        <v>0</v>
      </c>
      <c r="T166" s="117" t="n">
        <f aca="false">SUMIFS(الريسبي!$C$2:$C$1800,الريسبي!$A$2:$A$1800,$A166,الريسبي!$B$2:$B$1800,T$1)</f>
        <v>0</v>
      </c>
      <c r="U166" s="117" t="n">
        <f aca="false">SUMIFS(الريسبي!$C$2:$C$1800,الريسبي!$A$2:$A$1800,$A166,الريسبي!$B$2:$B$1800,U$1)</f>
        <v>0</v>
      </c>
      <c r="V166" s="117" t="n">
        <f aca="false">SUMIFS(الريسبي!$C$2:$C$1800,الريسبي!$A$2:$A$1800,$A166,الريسبي!$B$2:$B$1800,V$1)</f>
        <v>0</v>
      </c>
      <c r="W166" s="117" t="n">
        <f aca="false">SUMIFS(الريسبي!$C$2:$C$1800,الريسبي!$A$2:$A$1800,$A166,الريسبي!$B$2:$B$1800,W$1)</f>
        <v>0.75</v>
      </c>
      <c r="X166" s="117" t="n">
        <f aca="false">SUMIFS(الريسبي!$C$2:$C$1800,الريسبي!$A$2:$A$1800,$A166,الريسبي!$B$2:$B$1800,X$1)</f>
        <v>0</v>
      </c>
      <c r="Y166" s="117" t="n">
        <f aca="false">SUMIFS(الريسبي!$C$2:$C$1800,الريسبي!$A$2:$A$1800,$A166,الريسبي!$B$2:$B$1800,Y$1)</f>
        <v>0</v>
      </c>
      <c r="Z166" s="117" t="n">
        <f aca="false">SUMIFS(الريسبي!$C$2:$C$1800,الريسبي!$A$2:$A$1800,$A166,الريسبي!$B$2:$B$1800,Z$1)</f>
        <v>0</v>
      </c>
      <c r="AA166" s="117" t="n">
        <f aca="false">SUMIFS(الريسبي!$C$2:$C$1800,الريسبي!$A$2:$A$1800,$A166,الريسبي!$B$2:$B$1800,AA$1)</f>
        <v>0</v>
      </c>
      <c r="AB166" s="117" t="n">
        <f aca="false">SUMIFS(الريسبي!$C$2:$C$1800,الريسبي!$A$2:$A$1800,$A166,الريسبي!$B$2:$B$1800,AB$1)</f>
        <v>0</v>
      </c>
      <c r="AC166" s="117" t="n">
        <f aca="false">SUMIFS(الريسبي!$C$2:$C$1800,الريسبي!$A$2:$A$1800,$A166,الريسبي!$B$2:$B$1800,AC$1)</f>
        <v>0</v>
      </c>
      <c r="AD166" s="117" t="n">
        <f aca="false">SUMIFS(الريسبي!$C$2:$C$1800,الريسبي!$A$2:$A$1800,$A166,الريسبي!$B$2:$B$1800,AD$1)</f>
        <v>0</v>
      </c>
      <c r="AE166" s="117" t="n">
        <f aca="false">SUMIFS(الريسبي!$C$2:$C$1800,الريسبي!$A$2:$A$1800,$A166,الريسبي!$B$2:$B$1800,AE$1)</f>
        <v>0</v>
      </c>
      <c r="AF166" s="117" t="n">
        <f aca="false">SUMIFS(الريسبي!$C$2:$C$1800,الريسبي!$A$2:$A$1800,$A166,الريسبي!$B$2:$B$1800,AF$1)</f>
        <v>0</v>
      </c>
      <c r="AG166" s="117" t="n">
        <f aca="false">SUMIFS(الريسبي!$C$2:$C$1800,الريسبي!$A$2:$A$1800,$A166,الريسبي!$B$2:$B$1800,AG$1)</f>
        <v>0</v>
      </c>
      <c r="AH166" s="117" t="n">
        <f aca="false">SUMIFS(الريسبي!$C$2:$C$1800,الريسبي!$A$2:$A$1800,$A166,الريسبي!$B$2:$B$1800,AH$1)</f>
        <v>0</v>
      </c>
      <c r="AI166" s="117" t="n">
        <f aca="false">SUMIFS(الريسبي!$C$2:$C$1800,الريسبي!$A$2:$A$1800,$A166,الريسبي!$B$2:$B$1800,AI$1)</f>
        <v>0</v>
      </c>
      <c r="AJ166" s="117" t="n">
        <f aca="false">SUMIFS(الريسبي!$C$2:$C$1800,الريسبي!$A$2:$A$1800,$A166,الريسبي!$B$2:$B$1800,AJ$1)</f>
        <v>0</v>
      </c>
      <c r="AK166" s="117" t="n">
        <f aca="false">SUMIFS(الريسبي!$C$2:$C$1800,الريسبي!$A$2:$A$1800,$A166,الريسبي!$B$2:$B$1800,AK$1)</f>
        <v>0</v>
      </c>
      <c r="AL166" s="117" t="n">
        <f aca="false">SUMIFS(الريسبي!$C$2:$C$1800,الريسبي!$A$2:$A$1800,$A166,الريسبي!$B$2:$B$1800,AL$1)</f>
        <v>0</v>
      </c>
      <c r="AM166" s="117" t="n">
        <f aca="false">SUMIFS(الريسبي!$C$2:$C$1800,الريسبي!$A$2:$A$1800,$A166,الريسبي!$B$2:$B$1800,AM$1)+0.08333333333*SUMIFS(الريسبي!$C$2:$C$1800,الريسبي!$A$2:$A$1800,$A166,الريسبي!$B$2:$B$1800,"عجين كريب (مصنع بالمطعم)")+0.08333333333*SUMIFS(الريسبي!$C$2:$C$1800,الريسبي!$A$2:$A$1800,$A166,الريسبي!$B$2:$B$1800,"عجين كريب صيامي (بدون لبن)")</f>
        <v>0</v>
      </c>
      <c r="AN166" s="117" t="n">
        <f aca="false">SUMIFS(الريسبي!$C$2:$C$1800,الريسبي!$A$2:$A$1800,$A166,الريسبي!$B$2:$B$1800,AN$1)+0.004166666667*SUMIFS(الريسبي!$C$2:$C$1800,الريسبي!$A$2:$A$1800,$A166,الريسبي!$B$2:$B$1800,"عجين كريب (مصنع بالمطعم)")+0.004166666667*SUMIFS(الريسبي!$C$2:$C$1800,الريسبي!$A$2:$A$1800,$A166,الريسبي!$B$2:$B$1800,"عجين كريب صيامي (بدون لبن)")</f>
        <v>0</v>
      </c>
      <c r="AO166" s="117" t="n">
        <f aca="false">SUMIFS(الريسبي!$C$2:$C$1800,الريسبي!$A$2:$A$1800,$A166,الريسبي!$B$2:$B$1800,AO$1)</f>
        <v>0</v>
      </c>
      <c r="AP166" s="117" t="n">
        <f aca="false">SUMIFS(الريسبي!$C$2:$C$1800,الريسبي!$A$2:$A$1800,$A166,الريسبي!$B$2:$B$1800,AP$1)</f>
        <v>0</v>
      </c>
      <c r="AQ166" s="117" t="n">
        <f aca="false">SUMIFS(الريسبي!$C$2:$C$1800,الريسبي!$A$2:$A$1800,$A166,الريسبي!$B$2:$B$1800,AQ$1)+0.004166666667*SUMIFS(الريسبي!$C$2:$C$1800,الريسبي!$A$2:$A$1800,$A166,الريسبي!$B$2:$B$1800,"عجين كريب (مصنع بالمطعم)")+0.004166666667*SUMIFS(الريسبي!$C$2:$C$1800,الريسبي!$A$2:$A$1800,$A166,الريسبي!$B$2:$B$1800,"عجين كريب صيامي (بدون لبن)")</f>
        <v>0</v>
      </c>
      <c r="AR166" s="117" t="n">
        <f aca="false">SUMIFS(الريسبي!$C$2:$C$1800,الريسبي!$A$2:$A$1800,$A166,الريسبي!$B$2:$B$1800,AR$1)</f>
        <v>0</v>
      </c>
      <c r="AS166" s="117" t="n">
        <f aca="false">SUMIFS(الريسبي!$C$2:$C$1800,الريسبي!$A$2:$A$1800,$A166,الريسبي!$B$2:$B$1800,AS$1)</f>
        <v>0</v>
      </c>
      <c r="AT166" s="117" t="n">
        <f aca="false">SUMIFS(الريسبي!$C$2:$C$1800,الريسبي!$A$2:$A$1800,$A166,الريسبي!$B$2:$B$1800,AT$1)</f>
        <v>0</v>
      </c>
      <c r="AU166" s="117" t="n">
        <f aca="false">SUMIFS(الريسبي!$C$2:$C$1800,الريسبي!$A$2:$A$1800,$A166,الريسبي!$B$2:$B$1800,AU$1)</f>
        <v>0</v>
      </c>
      <c r="AV166" s="117" t="n">
        <f aca="false">SUMIFS(الريسبي!$C$2:$C$1800,الريسبي!$A$2:$A$1800,$A166,الريسبي!$B$2:$B$1800,AV$1)</f>
        <v>0</v>
      </c>
      <c r="AW166" s="117" t="n">
        <f aca="false">SUMIFS(الريسبي!$C$2:$C$1800,الريسبي!$A$2:$A$1800,$A166,الريسبي!$B$2:$B$1800,AW$1)</f>
        <v>0</v>
      </c>
      <c r="AX166" s="117" t="n">
        <f aca="false">SUMIFS(الريسبي!$C$2:$C$1800,الريسبي!$A$2:$A$1800,$A166,الريسبي!$B$2:$B$1800,AX$1)</f>
        <v>0</v>
      </c>
      <c r="AY166" s="117" t="n">
        <f aca="false">SUMIFS(الريسبي!$C$2:$C$1800,الريسبي!$A$2:$A$1800,$A166,الريسبي!$B$2:$B$1800,AY$1)</f>
        <v>0</v>
      </c>
      <c r="AZ166" s="117" t="n">
        <f aca="false">SUMIFS(الريسبي!$C$2:$C$1800,الريسبي!$A$2:$A$1800,$A166,الريسبي!$B$2:$B$1800,AZ$1)</f>
        <v>0</v>
      </c>
      <c r="BA166" s="117" t="n">
        <f aca="false">SUMIFS(الريسبي!$C$2:$C$1800,الريسبي!$A$2:$A$1800,$A166,الريسبي!$B$2:$B$1800,BA$1)</f>
        <v>0</v>
      </c>
      <c r="BB166" s="117" t="n">
        <f aca="false">SUMIFS(الريسبي!$C$2:$C$1800,الريسبي!$A$2:$A$1800,$A166,الريسبي!$B$2:$B$1800,BB$1)</f>
        <v>0</v>
      </c>
      <c r="BC166" s="117" t="n">
        <f aca="false">SUMIFS(الريسبي!$C$2:$C$1800,الريسبي!$A$2:$A$1800,$A166,الريسبي!$B$2:$B$1800,BC$1)</f>
        <v>0</v>
      </c>
      <c r="BD166" s="117" t="n">
        <f aca="false">SUMIFS(الريسبي!$C$2:$C$1800,الريسبي!$A$2:$A$1800,$A166,الريسبي!$B$2:$B$1800,BD$1)</f>
        <v>0</v>
      </c>
      <c r="BE166" s="117" t="n">
        <f aca="false">SUMIFS(الريسبي!$C$2:$C$1800,الريسبي!$A$2:$A$1800,$A166,الريسبي!$B$2:$B$1800,BE$1)</f>
        <v>0</v>
      </c>
      <c r="BF166" s="117" t="n">
        <f aca="false">SUMIFS(الريسبي!$C$2:$C$1800,الريسبي!$A$2:$A$1800,$A166,الريسبي!$B$2:$B$1800,BF$1)</f>
        <v>0</v>
      </c>
      <c r="BG166" s="117" t="n">
        <f aca="false">SUMIFS(الريسبي!$C$2:$C$1800,الريسبي!$A$2:$A$1800,$A166,الريسبي!$B$2:$B$1800,BG$1)</f>
        <v>0</v>
      </c>
      <c r="BH166" s="117" t="n">
        <f aca="false">SUMIFS(الريسبي!$C$2:$C$1800,الريسبي!$A$2:$A$1800,$A166,الريسبي!$B$2:$B$1800,BH$1)</f>
        <v>0</v>
      </c>
      <c r="BI166" s="117" t="n">
        <f aca="false">SUMIFS(الريسبي!$C$2:$C$1800,الريسبي!$A$2:$A$1800,$A166,الريسبي!$B$2:$B$1800,BI$1)</f>
        <v>0</v>
      </c>
      <c r="BJ166" s="117" t="n">
        <f aca="false">SUMIFS(الريسبي!$C$2:$C$1800,الريسبي!$A$2:$A$1800,$A166,الريسبي!$B$2:$B$1800,BJ$1)</f>
        <v>0</v>
      </c>
      <c r="BK166" s="117" t="n">
        <f aca="false">SUMIFS(الريسبي!$C$2:$C$1800,الريسبي!$A$2:$A$1800,$A166,الريسبي!$B$2:$B$1800,BK$1)</f>
        <v>0</v>
      </c>
      <c r="BL166" s="117" t="n">
        <f aca="false">SUMIFS(الريسبي!$C$2:$C$1800,الريسبي!$A$2:$A$1800,$A166,الريسبي!$B$2:$B$1800,BL$1)</f>
        <v>0</v>
      </c>
      <c r="BM166" s="117" t="n">
        <f aca="false">SUMIFS(الريسبي!$C$2:$C$1800,الريسبي!$A$2:$A$1800,$A166,الريسبي!$B$2:$B$1800,BM$1)</f>
        <v>0</v>
      </c>
      <c r="BN166" s="117" t="n">
        <f aca="false">SUMIFS(الريسبي!$C$2:$C$1800,الريسبي!$A$2:$A$1800,$A166,الريسبي!$B$2:$B$1800,BN$1)</f>
        <v>0</v>
      </c>
      <c r="BO166" s="117" t="n">
        <f aca="false">SUMIFS(الريسبي!$C$2:$C$1800,الريسبي!$A$2:$A$1800,$A166,الريسبي!$B$2:$B$1800,BO$1)</f>
        <v>0</v>
      </c>
      <c r="BP166" s="117" t="n">
        <f aca="false">SUMIFS(الريسبي!$C$2:$C$1800,الريسبي!$A$2:$A$1800,$A166,الريسبي!$B$2:$B$1800,BP$1)</f>
        <v>0</v>
      </c>
      <c r="BQ166" s="117" t="n">
        <f aca="false">SUMIFS(الريسبي!$C$2:$C$1800,الريسبي!$A$2:$A$1800,$A166,الريسبي!$B$2:$B$1800,BQ$1)+0.17*SUMIFS(الريسبي!$C$2:$C$1800,الريسبي!$A$2:$A$1800,$A166,الريسبي!$B$2:$B$1800,"كاسترد مصنع (خليط بودر + لبن)")+0.17*SUMIFS(الريسبي!$C$2:$C$1800,الريسبي!$A$2:$A$1800,$A166,الريسبي!$B$2:$B$1800,"كاسترد مصنع صيامي (بدون لبن)")</f>
        <v>0</v>
      </c>
      <c r="BR166" s="117" t="n">
        <f aca="false">SUMIFS(الريسبي!$C$2:$C$1800,الريسبي!$A$2:$A$1800,$A166,الريسبي!$B$2:$B$1800,BR$1)</f>
        <v>0</v>
      </c>
      <c r="BS166" s="117" t="n">
        <f aca="false">SUMIFS(الريسبي!$C$2:$C$1800,الريسبي!$A$2:$A$1800,$A166,الريسبي!$B$2:$B$1800,BS$1)</f>
        <v>0</v>
      </c>
      <c r="BT166" s="117" t="n">
        <f aca="false">SUMIFS(الريسبي!$C$2:$C$1800,الريسبي!$A$2:$A$1800,$A166,الريسبي!$B$2:$B$1800,BT$1)</f>
        <v>0</v>
      </c>
      <c r="BU166" s="117" t="n">
        <f aca="false">SUMIFS(الريسبي!$C$2:$C$1800,الريسبي!$A$2:$A$1800,$A166,الريسبي!$B$2:$B$1800,BU$1)+0.4*SUMIFS(الريسبي!$C$2:$C$1800,الريسبي!$A$2:$A$1800,$A166,الريسبي!$B$2:$B$1800,"كاسترد مصنع (خليط بودر + لبن)")+0.03333333333*SUMIFS(الريسبي!$C$2:$C$1800,الريسبي!$A$2:$A$1800,$A166,الريسبي!$B$2:$B$1800,"عجين كريب (مصنع بالمطعم)")</f>
        <v>0</v>
      </c>
      <c r="BV166" s="117" t="n">
        <f aca="false">SUMIFS(الريسبي!$C$2:$C$1800,الريسبي!$A$2:$A$1800,$A166,الريسبي!$B$2:$B$1800,BV$1)</f>
        <v>0</v>
      </c>
      <c r="BW166" s="117" t="n">
        <f aca="false">SUMIFS(الريسبي!$C$2:$C$1800,الريسبي!$A$2:$A$1800,$A166,الريسبي!$B$2:$B$1800,BW$1)</f>
        <v>0</v>
      </c>
      <c r="BX166" s="117" t="n">
        <f aca="false">SUMIFS(الريسبي!$C$2:$C$1800,الريسبي!$A$2:$A$1800,$A166,الريسبي!$B$2:$B$1800,BX$1)</f>
        <v>0</v>
      </c>
      <c r="BY166" s="117" t="n">
        <f aca="false">SUMIFS(الريسبي!$C$2:$C$1800,الريسبي!$A$2:$A$1800,$A166,الريسبي!$B$2:$B$1800,BY$1)</f>
        <v>0</v>
      </c>
      <c r="BZ166" s="117" t="n">
        <f aca="false">SUMIFS(الريسبي!$C$2:$C$1800,الريسبي!$A$2:$A$1800,$A166,الريسبي!$B$2:$B$1800,BZ$1)</f>
        <v>0</v>
      </c>
      <c r="CA166" s="117" t="n">
        <f aca="false">SUMIFS(الريسبي!$C$2:$C$1800,الريسبي!$A$2:$A$1800,$A166,الريسبي!$B$2:$B$1800,CA$1)</f>
        <v>0</v>
      </c>
      <c r="CB166" s="117" t="n">
        <f aca="false">SUMIFS(الريسبي!$C$2:$C$1800,الريسبي!$A$2:$A$1800,$A166,الريسبي!$B$2:$B$1800,CB$1)</f>
        <v>0</v>
      </c>
      <c r="CC166" s="117" t="n">
        <f aca="false">SUMIFS(الريسبي!$C$2:$C$1800,الريسبي!$A$2:$A$1800,$A166,الريسبي!$B$2:$B$1800,CC$1)</f>
        <v>0</v>
      </c>
      <c r="CD166" s="117" t="n">
        <f aca="false">SUMIFS(الريسبي!$C$2:$C$1800,الريسبي!$A$2:$A$1800,$A166,الريسبي!$B$2:$B$1800,CD$1)</f>
        <v>0</v>
      </c>
      <c r="CE166" s="117" t="n">
        <f aca="false">SUMIFS(الريسبي!$C$2:$C$1800,الريسبي!$A$2:$A$1800,$A166,الريسبي!$B$2:$B$1800,CE$1)</f>
        <v>0</v>
      </c>
      <c r="CF166" s="117" t="n">
        <f aca="false">SUMIFS(الريسبي!$C$2:$C$1800,الريسبي!$A$2:$A$1800,$A166,الريسبي!$B$2:$B$1800,CF$1)</f>
        <v>0</v>
      </c>
      <c r="CG166" s="117" t="n">
        <f aca="false">SUMIFS(الريسبي!$C$2:$C$1800,الريسبي!$A$2:$A$1800,$A166,الريسبي!$B$2:$B$1800,CG$1)</f>
        <v>0</v>
      </c>
      <c r="CH166" s="117" t="n">
        <f aca="false">SUMIFS(الريسبي!$C$2:$C$1800,الريسبي!$A$2:$A$1800,$A166,الريسبي!$B$2:$B$1800,CH$1)</f>
        <v>0</v>
      </c>
      <c r="CI166" s="117" t="n">
        <f aca="false">SUMIFS(الريسبي!$C$2:$C$1800,الريسبي!$A$2:$A$1800,$A166,الريسبي!$B$2:$B$1800,CI$1)</f>
        <v>0</v>
      </c>
      <c r="CJ166" s="117" t="n">
        <f aca="false">SUMIFS(الريسبي!$C$2:$C$1800,الريسبي!$A$2:$A$1800,$A166,الريسبي!$B$2:$B$1800,CJ$1)</f>
        <v>0</v>
      </c>
      <c r="CK166" s="117" t="n">
        <f aca="false">SUMIFS(الريسبي!$C$2:$C$1800,الريسبي!$A$2:$A$1800,$A166,الريسبي!$B$2:$B$1800,CK$1)</f>
        <v>0</v>
      </c>
      <c r="CL166" s="117" t="n">
        <f aca="false">SUMIFS(الريسبي!$C$2:$C$1800,الريسبي!$A$2:$A$1800,$A166,الريسبي!$B$2:$B$1800,CL$1)</f>
        <v>0</v>
      </c>
    </row>
    <row r="167" customFormat="false" ht="15" hidden="false" customHeight="false" outlineLevel="0" collapsed="false">
      <c r="A167" s="116" t="str">
        <f aca="false">المنيو!B167</f>
        <v>صوص رانش إضافي (M)</v>
      </c>
      <c r="B167" s="117" t="n">
        <f aca="false">SUMIFS(الريسبي!$C$2:$C$1800,الريسبي!$A$2:$A$1800,$A167,الريسبي!$B$2:$B$1800,B$1)</f>
        <v>0</v>
      </c>
      <c r="C167" s="117" t="n">
        <f aca="false">SUMIFS(الريسبي!$C$2:$C$1800,الريسبي!$A$2:$A$1800,$A167,الريسبي!$B$2:$B$1800,C$1)</f>
        <v>0</v>
      </c>
      <c r="D167" s="117" t="n">
        <f aca="false">SUMIFS(الريسبي!$C$2:$C$1800,الريسبي!$A$2:$A$1800,$A167,الريسبي!$B$2:$B$1800,D$1)</f>
        <v>0</v>
      </c>
      <c r="E167" s="117" t="n">
        <f aca="false">SUMIFS(الريسبي!$C$2:$C$1800,الريسبي!$A$2:$A$1800,$A167,الريسبي!$B$2:$B$1800,E$1)</f>
        <v>0</v>
      </c>
      <c r="F167" s="117" t="n">
        <f aca="false">SUMIFS(الريسبي!$C$2:$C$1800,الريسبي!$A$2:$A$1800,$A167,الريسبي!$B$2:$B$1800,F$1)</f>
        <v>0</v>
      </c>
      <c r="G167" s="117" t="n">
        <f aca="false">SUMIFS(الريسبي!$C$2:$C$1800,الريسبي!$A$2:$A$1800,$A167,الريسبي!$B$2:$B$1800,G$1)</f>
        <v>0</v>
      </c>
      <c r="H167" s="117" t="n">
        <f aca="false">SUMIFS(الريسبي!$C$2:$C$1800,الريسبي!$A$2:$A$1800,$A167,الريسبي!$B$2:$B$1800,H$1)</f>
        <v>0</v>
      </c>
      <c r="I167" s="117" t="n">
        <f aca="false">SUMIFS(الريسبي!$C$2:$C$1800,الريسبي!$A$2:$A$1800,$A167,الريسبي!$B$2:$B$1800,I$1)</f>
        <v>0</v>
      </c>
      <c r="J167" s="117" t="n">
        <f aca="false">SUMIFS(الريسبي!$C$2:$C$1800,الريسبي!$A$2:$A$1800,$A167,الريسبي!$B$2:$B$1800,J$1)</f>
        <v>0</v>
      </c>
      <c r="K167" s="117" t="n">
        <f aca="false">SUMIFS(الريسبي!$C$2:$C$1800,الريسبي!$A$2:$A$1800,$A167,الريسبي!$B$2:$B$1800,K$1)</f>
        <v>0</v>
      </c>
      <c r="L167" s="117" t="n">
        <f aca="false">SUMIFS(الريسبي!$C$2:$C$1800,الريسبي!$A$2:$A$1800,$A167,الريسبي!$B$2:$B$1800,L$1)</f>
        <v>0</v>
      </c>
      <c r="M167" s="117" t="n">
        <f aca="false">SUMIFS(الريسبي!$C$2:$C$1800,الريسبي!$A$2:$A$1800,$A167,الريسبي!$B$2:$B$1800,M$1)</f>
        <v>0</v>
      </c>
      <c r="N167" s="117" t="n">
        <f aca="false">SUMIFS(الريسبي!$C$2:$C$1800,الريسبي!$A$2:$A$1800,$A167,الريسبي!$B$2:$B$1800,N$1)</f>
        <v>0</v>
      </c>
      <c r="O167" s="117" t="n">
        <f aca="false">SUMIFS(الريسبي!$C$2:$C$1800,الريسبي!$A$2:$A$1800,$A167,الريسبي!$B$2:$B$1800,O$1)</f>
        <v>0</v>
      </c>
      <c r="P167" s="117" t="n">
        <f aca="false">SUMIFS(الريسبي!$C$2:$C$1800,الريسبي!$A$2:$A$1800,$A167,الريسبي!$B$2:$B$1800,P$1)</f>
        <v>0</v>
      </c>
      <c r="Q167" s="117" t="n">
        <f aca="false">SUMIFS(الريسبي!$C$2:$C$1800,الريسبي!$A$2:$A$1800,$A167,الريسبي!$B$2:$B$1800,Q$1)</f>
        <v>0</v>
      </c>
      <c r="R167" s="117" t="n">
        <f aca="false">SUMIFS(الريسبي!$C$2:$C$1800,الريسبي!$A$2:$A$1800,$A167,الريسبي!$B$2:$B$1800,R$1)</f>
        <v>0</v>
      </c>
      <c r="S167" s="117" t="n">
        <f aca="false">SUMIFS(الريسبي!$C$2:$C$1800,الريسبي!$A$2:$A$1800,$A167,الريسبي!$B$2:$B$1800,S$1)</f>
        <v>0</v>
      </c>
      <c r="T167" s="117" t="n">
        <f aca="false">SUMIFS(الريسبي!$C$2:$C$1800,الريسبي!$A$2:$A$1800,$A167,الريسبي!$B$2:$B$1800,T$1)</f>
        <v>0</v>
      </c>
      <c r="U167" s="117" t="n">
        <f aca="false">SUMIFS(الريسبي!$C$2:$C$1800,الريسبي!$A$2:$A$1800,$A167,الريسبي!$B$2:$B$1800,U$1)</f>
        <v>0</v>
      </c>
      <c r="V167" s="117" t="n">
        <f aca="false">SUMIFS(الريسبي!$C$2:$C$1800,الريسبي!$A$2:$A$1800,$A167,الريسبي!$B$2:$B$1800,V$1)</f>
        <v>0</v>
      </c>
      <c r="W167" s="117" t="n">
        <f aca="false">SUMIFS(الريسبي!$C$2:$C$1800,الريسبي!$A$2:$A$1800,$A167,الريسبي!$B$2:$B$1800,W$1)</f>
        <v>0</v>
      </c>
      <c r="X167" s="117" t="n">
        <f aca="false">SUMIFS(الريسبي!$C$2:$C$1800,الريسبي!$A$2:$A$1800,$A167,الريسبي!$B$2:$B$1800,X$1)</f>
        <v>0</v>
      </c>
      <c r="Y167" s="117" t="n">
        <f aca="false">SUMIFS(الريسبي!$C$2:$C$1800,الريسبي!$A$2:$A$1800,$A167,الريسبي!$B$2:$B$1800,Y$1)</f>
        <v>0</v>
      </c>
      <c r="Z167" s="117" t="n">
        <f aca="false">SUMIFS(الريسبي!$C$2:$C$1800,الريسبي!$A$2:$A$1800,$A167,الريسبي!$B$2:$B$1800,Z$1)</f>
        <v>0</v>
      </c>
      <c r="AA167" s="117" t="n">
        <f aca="false">SUMIFS(الريسبي!$C$2:$C$1800,الريسبي!$A$2:$A$1800,$A167,الريسبي!$B$2:$B$1800,AA$1)</f>
        <v>0</v>
      </c>
      <c r="AB167" s="117" t="n">
        <f aca="false">SUMIFS(الريسبي!$C$2:$C$1800,الريسبي!$A$2:$A$1800,$A167,الريسبي!$B$2:$B$1800,AB$1)</f>
        <v>0</v>
      </c>
      <c r="AC167" s="117" t="n">
        <f aca="false">SUMIFS(الريسبي!$C$2:$C$1800,الريسبي!$A$2:$A$1800,$A167,الريسبي!$B$2:$B$1800,AC$1)</f>
        <v>0</v>
      </c>
      <c r="AD167" s="117" t="n">
        <f aca="false">SUMIFS(الريسبي!$C$2:$C$1800,الريسبي!$A$2:$A$1800,$A167,الريسبي!$B$2:$B$1800,AD$1)</f>
        <v>0</v>
      </c>
      <c r="AE167" s="117" t="n">
        <f aca="false">SUMIFS(الريسبي!$C$2:$C$1800,الريسبي!$A$2:$A$1800,$A167,الريسبي!$B$2:$B$1800,AE$1)</f>
        <v>0</v>
      </c>
      <c r="AF167" s="117" t="n">
        <f aca="false">SUMIFS(الريسبي!$C$2:$C$1800,الريسبي!$A$2:$A$1800,$A167,الريسبي!$B$2:$B$1800,AF$1)</f>
        <v>0</v>
      </c>
      <c r="AG167" s="117" t="n">
        <f aca="false">SUMIFS(الريسبي!$C$2:$C$1800,الريسبي!$A$2:$A$1800,$A167,الريسبي!$B$2:$B$1800,AG$1)</f>
        <v>0</v>
      </c>
      <c r="AH167" s="117" t="n">
        <f aca="false">SUMIFS(الريسبي!$C$2:$C$1800,الريسبي!$A$2:$A$1800,$A167,الريسبي!$B$2:$B$1800,AH$1)</f>
        <v>0</v>
      </c>
      <c r="AI167" s="117" t="n">
        <f aca="false">SUMIFS(الريسبي!$C$2:$C$1800,الريسبي!$A$2:$A$1800,$A167,الريسبي!$B$2:$B$1800,AI$1)</f>
        <v>0</v>
      </c>
      <c r="AJ167" s="117" t="n">
        <f aca="false">SUMIFS(الريسبي!$C$2:$C$1800,الريسبي!$A$2:$A$1800,$A167,الريسبي!$B$2:$B$1800,AJ$1)</f>
        <v>0</v>
      </c>
      <c r="AK167" s="117" t="n">
        <f aca="false">SUMIFS(الريسبي!$C$2:$C$1800,الريسبي!$A$2:$A$1800,$A167,الريسبي!$B$2:$B$1800,AK$1)</f>
        <v>0</v>
      </c>
      <c r="AL167" s="117" t="n">
        <f aca="false">SUMIFS(الريسبي!$C$2:$C$1800,الريسبي!$A$2:$A$1800,$A167,الريسبي!$B$2:$B$1800,AL$1)</f>
        <v>0</v>
      </c>
      <c r="AM167" s="117" t="n">
        <f aca="false">SUMIFS(الريسبي!$C$2:$C$1800,الريسبي!$A$2:$A$1800,$A167,الريسبي!$B$2:$B$1800,AM$1)+0.08333333333*SUMIFS(الريسبي!$C$2:$C$1800,الريسبي!$A$2:$A$1800,$A167,الريسبي!$B$2:$B$1800,"عجين كريب (مصنع بالمطعم)")+0.08333333333*SUMIFS(الريسبي!$C$2:$C$1800,الريسبي!$A$2:$A$1800,$A167,الريسبي!$B$2:$B$1800,"عجين كريب صيامي (بدون لبن)")</f>
        <v>0</v>
      </c>
      <c r="AN167" s="117" t="n">
        <f aca="false">SUMIFS(الريسبي!$C$2:$C$1800,الريسبي!$A$2:$A$1800,$A167,الريسبي!$B$2:$B$1800,AN$1)+0.004166666667*SUMIFS(الريسبي!$C$2:$C$1800,الريسبي!$A$2:$A$1800,$A167,الريسبي!$B$2:$B$1800,"عجين كريب (مصنع بالمطعم)")+0.004166666667*SUMIFS(الريسبي!$C$2:$C$1800,الريسبي!$A$2:$A$1800,$A167,الريسبي!$B$2:$B$1800,"عجين كريب صيامي (بدون لبن)")</f>
        <v>0</v>
      </c>
      <c r="AO167" s="117" t="n">
        <f aca="false">SUMIFS(الريسبي!$C$2:$C$1800,الريسبي!$A$2:$A$1800,$A167,الريسبي!$B$2:$B$1800,AO$1)</f>
        <v>0</v>
      </c>
      <c r="AP167" s="117" t="n">
        <f aca="false">SUMIFS(الريسبي!$C$2:$C$1800,الريسبي!$A$2:$A$1800,$A167,الريسبي!$B$2:$B$1800,AP$1)</f>
        <v>0</v>
      </c>
      <c r="AQ167" s="117" t="n">
        <f aca="false">SUMIFS(الريسبي!$C$2:$C$1800,الريسبي!$A$2:$A$1800,$A167,الريسبي!$B$2:$B$1800,AQ$1)+0.004166666667*SUMIFS(الريسبي!$C$2:$C$1800,الريسبي!$A$2:$A$1800,$A167,الريسبي!$B$2:$B$1800,"عجين كريب (مصنع بالمطعم)")+0.004166666667*SUMIFS(الريسبي!$C$2:$C$1800,الريسبي!$A$2:$A$1800,$A167,الريسبي!$B$2:$B$1800,"عجين كريب صيامي (بدون لبن)")</f>
        <v>0</v>
      </c>
      <c r="AR167" s="117" t="n">
        <f aca="false">SUMIFS(الريسبي!$C$2:$C$1800,الريسبي!$A$2:$A$1800,$A167,الريسبي!$B$2:$B$1800,AR$1)</f>
        <v>0</v>
      </c>
      <c r="AS167" s="117" t="n">
        <f aca="false">SUMIFS(الريسبي!$C$2:$C$1800,الريسبي!$A$2:$A$1800,$A167,الريسبي!$B$2:$B$1800,AS$1)</f>
        <v>0</v>
      </c>
      <c r="AT167" s="117" t="n">
        <f aca="false">SUMIFS(الريسبي!$C$2:$C$1800,الريسبي!$A$2:$A$1800,$A167,الريسبي!$B$2:$B$1800,AT$1)</f>
        <v>0</v>
      </c>
      <c r="AU167" s="117" t="n">
        <f aca="false">SUMIFS(الريسبي!$C$2:$C$1800,الريسبي!$A$2:$A$1800,$A167,الريسبي!$B$2:$B$1800,AU$1)</f>
        <v>0</v>
      </c>
      <c r="AV167" s="117" t="n">
        <f aca="false">SUMIFS(الريسبي!$C$2:$C$1800,الريسبي!$A$2:$A$1800,$A167,الريسبي!$B$2:$B$1800,AV$1)</f>
        <v>0</v>
      </c>
      <c r="AW167" s="117" t="n">
        <f aca="false">SUMIFS(الريسبي!$C$2:$C$1800,الريسبي!$A$2:$A$1800,$A167,الريسبي!$B$2:$B$1800,AW$1)</f>
        <v>0</v>
      </c>
      <c r="AX167" s="117" t="n">
        <f aca="false">SUMIFS(الريسبي!$C$2:$C$1800,الريسبي!$A$2:$A$1800,$A167,الريسبي!$B$2:$B$1800,AX$1)</f>
        <v>0</v>
      </c>
      <c r="AY167" s="117" t="n">
        <f aca="false">SUMIFS(الريسبي!$C$2:$C$1800,الريسبي!$A$2:$A$1800,$A167,الريسبي!$B$2:$B$1800,AY$1)</f>
        <v>0</v>
      </c>
      <c r="AZ167" s="117" t="n">
        <f aca="false">SUMIFS(الريسبي!$C$2:$C$1800,الريسبي!$A$2:$A$1800,$A167,الريسبي!$B$2:$B$1800,AZ$1)</f>
        <v>0</v>
      </c>
      <c r="BA167" s="117" t="n">
        <f aca="false">SUMIFS(الريسبي!$C$2:$C$1800,الريسبي!$A$2:$A$1800,$A167,الريسبي!$B$2:$B$1800,BA$1)</f>
        <v>0.1</v>
      </c>
      <c r="BB167" s="117" t="n">
        <f aca="false">SUMIFS(الريسبي!$C$2:$C$1800,الريسبي!$A$2:$A$1800,$A167,الريسبي!$B$2:$B$1800,BB$1)</f>
        <v>0</v>
      </c>
      <c r="BC167" s="117" t="n">
        <f aca="false">SUMIFS(الريسبي!$C$2:$C$1800,الريسبي!$A$2:$A$1800,$A167,الريسبي!$B$2:$B$1800,BC$1)</f>
        <v>0</v>
      </c>
      <c r="BD167" s="117" t="n">
        <f aca="false">SUMIFS(الريسبي!$C$2:$C$1800,الريسبي!$A$2:$A$1800,$A167,الريسبي!$B$2:$B$1800,BD$1)</f>
        <v>0</v>
      </c>
      <c r="BE167" s="117" t="n">
        <f aca="false">SUMIFS(الريسبي!$C$2:$C$1800,الريسبي!$A$2:$A$1800,$A167,الريسبي!$B$2:$B$1800,BE$1)</f>
        <v>0</v>
      </c>
      <c r="BF167" s="117" t="n">
        <f aca="false">SUMIFS(الريسبي!$C$2:$C$1800,الريسبي!$A$2:$A$1800,$A167,الريسبي!$B$2:$B$1800,BF$1)</f>
        <v>0</v>
      </c>
      <c r="BG167" s="117" t="n">
        <f aca="false">SUMIFS(الريسبي!$C$2:$C$1800,الريسبي!$A$2:$A$1800,$A167,الريسبي!$B$2:$B$1800,BG$1)</f>
        <v>0</v>
      </c>
      <c r="BH167" s="117" t="n">
        <f aca="false">SUMIFS(الريسبي!$C$2:$C$1800,الريسبي!$A$2:$A$1800,$A167,الريسبي!$B$2:$B$1800,BH$1)</f>
        <v>0</v>
      </c>
      <c r="BI167" s="117" t="n">
        <f aca="false">SUMIFS(الريسبي!$C$2:$C$1800,الريسبي!$A$2:$A$1800,$A167,الريسبي!$B$2:$B$1800,BI$1)</f>
        <v>0</v>
      </c>
      <c r="BJ167" s="117" t="n">
        <f aca="false">SUMIFS(الريسبي!$C$2:$C$1800,الريسبي!$A$2:$A$1800,$A167,الريسبي!$B$2:$B$1800,BJ$1)</f>
        <v>0</v>
      </c>
      <c r="BK167" s="117" t="n">
        <f aca="false">SUMIFS(الريسبي!$C$2:$C$1800,الريسبي!$A$2:$A$1800,$A167,الريسبي!$B$2:$B$1800,BK$1)</f>
        <v>0</v>
      </c>
      <c r="BL167" s="117" t="n">
        <f aca="false">SUMIFS(الريسبي!$C$2:$C$1800,الريسبي!$A$2:$A$1800,$A167,الريسبي!$B$2:$B$1800,BL$1)</f>
        <v>0</v>
      </c>
      <c r="BM167" s="117" t="n">
        <f aca="false">SUMIFS(الريسبي!$C$2:$C$1800,الريسبي!$A$2:$A$1800,$A167,الريسبي!$B$2:$B$1800,BM$1)</f>
        <v>0</v>
      </c>
      <c r="BN167" s="117" t="n">
        <f aca="false">SUMIFS(الريسبي!$C$2:$C$1800,الريسبي!$A$2:$A$1800,$A167,الريسبي!$B$2:$B$1800,BN$1)</f>
        <v>0</v>
      </c>
      <c r="BO167" s="117" t="n">
        <f aca="false">SUMIFS(الريسبي!$C$2:$C$1800,الريسبي!$A$2:$A$1800,$A167,الريسبي!$B$2:$B$1800,BO$1)</f>
        <v>0</v>
      </c>
      <c r="BP167" s="117" t="n">
        <f aca="false">SUMIFS(الريسبي!$C$2:$C$1800,الريسبي!$A$2:$A$1800,$A167,الريسبي!$B$2:$B$1800,BP$1)</f>
        <v>0</v>
      </c>
      <c r="BQ167" s="117" t="n">
        <f aca="false">SUMIFS(الريسبي!$C$2:$C$1800,الريسبي!$A$2:$A$1800,$A167,الريسبي!$B$2:$B$1800,BQ$1)+0.17*SUMIFS(الريسبي!$C$2:$C$1800,الريسبي!$A$2:$A$1800,$A167,الريسبي!$B$2:$B$1800,"كاسترد مصنع (خليط بودر + لبن)")+0.17*SUMIFS(الريسبي!$C$2:$C$1800,الريسبي!$A$2:$A$1800,$A167,الريسبي!$B$2:$B$1800,"كاسترد مصنع صيامي (بدون لبن)")</f>
        <v>0</v>
      </c>
      <c r="BR167" s="117" t="n">
        <f aca="false">SUMIFS(الريسبي!$C$2:$C$1800,الريسبي!$A$2:$A$1800,$A167,الريسبي!$B$2:$B$1800,BR$1)</f>
        <v>0</v>
      </c>
      <c r="BS167" s="117" t="n">
        <f aca="false">SUMIFS(الريسبي!$C$2:$C$1800,الريسبي!$A$2:$A$1800,$A167,الريسبي!$B$2:$B$1800,BS$1)</f>
        <v>0</v>
      </c>
      <c r="BT167" s="117" t="n">
        <f aca="false">SUMIFS(الريسبي!$C$2:$C$1800,الريسبي!$A$2:$A$1800,$A167,الريسبي!$B$2:$B$1800,BT$1)</f>
        <v>0</v>
      </c>
      <c r="BU167" s="117" t="n">
        <f aca="false">SUMIFS(الريسبي!$C$2:$C$1800,الريسبي!$A$2:$A$1800,$A167,الريسبي!$B$2:$B$1800,BU$1)+0.4*SUMIFS(الريسبي!$C$2:$C$1800,الريسبي!$A$2:$A$1800,$A167,الريسبي!$B$2:$B$1800,"كاسترد مصنع (خليط بودر + لبن)")+0.03333333333*SUMIFS(الريسبي!$C$2:$C$1800,الريسبي!$A$2:$A$1800,$A167,الريسبي!$B$2:$B$1800,"عجين كريب (مصنع بالمطعم)")</f>
        <v>0</v>
      </c>
      <c r="BV167" s="117" t="n">
        <f aca="false">SUMIFS(الريسبي!$C$2:$C$1800,الريسبي!$A$2:$A$1800,$A167,الريسبي!$B$2:$B$1800,BV$1)</f>
        <v>0</v>
      </c>
      <c r="BW167" s="117" t="n">
        <f aca="false">SUMIFS(الريسبي!$C$2:$C$1800,الريسبي!$A$2:$A$1800,$A167,الريسبي!$B$2:$B$1800,BW$1)</f>
        <v>0</v>
      </c>
      <c r="BX167" s="117" t="n">
        <f aca="false">SUMIFS(الريسبي!$C$2:$C$1800,الريسبي!$A$2:$A$1800,$A167,الريسبي!$B$2:$B$1800,BX$1)</f>
        <v>0</v>
      </c>
      <c r="BY167" s="117" t="n">
        <f aca="false">SUMIFS(الريسبي!$C$2:$C$1800,الريسبي!$A$2:$A$1800,$A167,الريسبي!$B$2:$B$1800,BY$1)</f>
        <v>0</v>
      </c>
      <c r="BZ167" s="117" t="n">
        <f aca="false">SUMIFS(الريسبي!$C$2:$C$1800,الريسبي!$A$2:$A$1800,$A167,الريسبي!$B$2:$B$1800,BZ$1)</f>
        <v>0</v>
      </c>
      <c r="CA167" s="117" t="n">
        <f aca="false">SUMIFS(الريسبي!$C$2:$C$1800,الريسبي!$A$2:$A$1800,$A167,الريسبي!$B$2:$B$1800,CA$1)</f>
        <v>0</v>
      </c>
      <c r="CB167" s="117" t="n">
        <f aca="false">SUMIFS(الريسبي!$C$2:$C$1800,الريسبي!$A$2:$A$1800,$A167,الريسبي!$B$2:$B$1800,CB$1)</f>
        <v>0</v>
      </c>
      <c r="CC167" s="117" t="n">
        <f aca="false">SUMIFS(الريسبي!$C$2:$C$1800,الريسبي!$A$2:$A$1800,$A167,الريسبي!$B$2:$B$1800,CC$1)</f>
        <v>0</v>
      </c>
      <c r="CD167" s="117" t="n">
        <f aca="false">SUMIFS(الريسبي!$C$2:$C$1800,الريسبي!$A$2:$A$1800,$A167,الريسبي!$B$2:$B$1800,CD$1)</f>
        <v>0</v>
      </c>
      <c r="CE167" s="117" t="n">
        <f aca="false">SUMIFS(الريسبي!$C$2:$C$1800,الريسبي!$A$2:$A$1800,$A167,الريسبي!$B$2:$B$1800,CE$1)</f>
        <v>0</v>
      </c>
      <c r="CF167" s="117" t="n">
        <f aca="false">SUMIFS(الريسبي!$C$2:$C$1800,الريسبي!$A$2:$A$1800,$A167,الريسبي!$B$2:$B$1800,CF$1)</f>
        <v>0</v>
      </c>
      <c r="CG167" s="117" t="n">
        <f aca="false">SUMIFS(الريسبي!$C$2:$C$1800,الريسبي!$A$2:$A$1800,$A167,الريسبي!$B$2:$B$1800,CG$1)</f>
        <v>0</v>
      </c>
      <c r="CH167" s="117" t="n">
        <f aca="false">SUMIFS(الريسبي!$C$2:$C$1800,الريسبي!$A$2:$A$1800,$A167,الريسبي!$B$2:$B$1800,CH$1)</f>
        <v>0</v>
      </c>
      <c r="CI167" s="117" t="n">
        <f aca="false">SUMIFS(الريسبي!$C$2:$C$1800,الريسبي!$A$2:$A$1800,$A167,الريسبي!$B$2:$B$1800,CI$1)</f>
        <v>0</v>
      </c>
      <c r="CJ167" s="117" t="n">
        <f aca="false">SUMIFS(الريسبي!$C$2:$C$1800,الريسبي!$A$2:$A$1800,$A167,الريسبي!$B$2:$B$1800,CJ$1)</f>
        <v>0</v>
      </c>
      <c r="CK167" s="117" t="n">
        <f aca="false">SUMIFS(الريسبي!$C$2:$C$1800,الريسبي!$A$2:$A$1800,$A167,الريسبي!$B$2:$B$1800,CK$1)</f>
        <v>0</v>
      </c>
      <c r="CL167" s="117" t="n">
        <f aca="false">SUMIFS(الريسبي!$C$2:$C$1800,الريسبي!$A$2:$A$1800,$A167,الريسبي!$B$2:$B$1800,CL$1)</f>
        <v>0</v>
      </c>
    </row>
    <row r="168" customFormat="false" ht="15" hidden="false" customHeight="false" outlineLevel="0" collapsed="false">
      <c r="A168" s="116" t="str">
        <f aca="false">المنيو!B168</f>
        <v>صوص رانش إضافي (L)</v>
      </c>
      <c r="B168" s="117" t="n">
        <f aca="false">SUMIFS(الريسبي!$C$2:$C$1800,الريسبي!$A$2:$A$1800,$A168,الريسبي!$B$2:$B$1800,B$1)</f>
        <v>0</v>
      </c>
      <c r="C168" s="117" t="n">
        <f aca="false">SUMIFS(الريسبي!$C$2:$C$1800,الريسبي!$A$2:$A$1800,$A168,الريسبي!$B$2:$B$1800,C$1)</f>
        <v>0</v>
      </c>
      <c r="D168" s="117" t="n">
        <f aca="false">SUMIFS(الريسبي!$C$2:$C$1800,الريسبي!$A$2:$A$1800,$A168,الريسبي!$B$2:$B$1800,D$1)</f>
        <v>0</v>
      </c>
      <c r="E168" s="117" t="n">
        <f aca="false">SUMIFS(الريسبي!$C$2:$C$1800,الريسبي!$A$2:$A$1800,$A168,الريسبي!$B$2:$B$1800,E$1)</f>
        <v>0</v>
      </c>
      <c r="F168" s="117" t="n">
        <f aca="false">SUMIFS(الريسبي!$C$2:$C$1800,الريسبي!$A$2:$A$1800,$A168,الريسبي!$B$2:$B$1800,F$1)</f>
        <v>0</v>
      </c>
      <c r="G168" s="117" t="n">
        <f aca="false">SUMIFS(الريسبي!$C$2:$C$1800,الريسبي!$A$2:$A$1800,$A168,الريسبي!$B$2:$B$1800,G$1)</f>
        <v>0</v>
      </c>
      <c r="H168" s="117" t="n">
        <f aca="false">SUMIFS(الريسبي!$C$2:$C$1800,الريسبي!$A$2:$A$1800,$A168,الريسبي!$B$2:$B$1800,H$1)</f>
        <v>0</v>
      </c>
      <c r="I168" s="117" t="n">
        <f aca="false">SUMIFS(الريسبي!$C$2:$C$1800,الريسبي!$A$2:$A$1800,$A168,الريسبي!$B$2:$B$1800,I$1)</f>
        <v>0</v>
      </c>
      <c r="J168" s="117" t="n">
        <f aca="false">SUMIFS(الريسبي!$C$2:$C$1800,الريسبي!$A$2:$A$1800,$A168,الريسبي!$B$2:$B$1800,J$1)</f>
        <v>0</v>
      </c>
      <c r="K168" s="117" t="n">
        <f aca="false">SUMIFS(الريسبي!$C$2:$C$1800,الريسبي!$A$2:$A$1800,$A168,الريسبي!$B$2:$B$1800,K$1)</f>
        <v>0</v>
      </c>
      <c r="L168" s="117" t="n">
        <f aca="false">SUMIFS(الريسبي!$C$2:$C$1800,الريسبي!$A$2:$A$1800,$A168,الريسبي!$B$2:$B$1800,L$1)</f>
        <v>0</v>
      </c>
      <c r="M168" s="117" t="n">
        <f aca="false">SUMIFS(الريسبي!$C$2:$C$1800,الريسبي!$A$2:$A$1800,$A168,الريسبي!$B$2:$B$1800,M$1)</f>
        <v>0</v>
      </c>
      <c r="N168" s="117" t="n">
        <f aca="false">SUMIFS(الريسبي!$C$2:$C$1800,الريسبي!$A$2:$A$1800,$A168,الريسبي!$B$2:$B$1800,N$1)</f>
        <v>0</v>
      </c>
      <c r="O168" s="117" t="n">
        <f aca="false">SUMIFS(الريسبي!$C$2:$C$1800,الريسبي!$A$2:$A$1800,$A168,الريسبي!$B$2:$B$1800,O$1)</f>
        <v>0</v>
      </c>
      <c r="P168" s="117" t="n">
        <f aca="false">SUMIFS(الريسبي!$C$2:$C$1800,الريسبي!$A$2:$A$1800,$A168,الريسبي!$B$2:$B$1800,P$1)</f>
        <v>0</v>
      </c>
      <c r="Q168" s="117" t="n">
        <f aca="false">SUMIFS(الريسبي!$C$2:$C$1800,الريسبي!$A$2:$A$1800,$A168,الريسبي!$B$2:$B$1800,Q$1)</f>
        <v>0</v>
      </c>
      <c r="R168" s="117" t="n">
        <f aca="false">SUMIFS(الريسبي!$C$2:$C$1800,الريسبي!$A$2:$A$1800,$A168,الريسبي!$B$2:$B$1800,R$1)</f>
        <v>0</v>
      </c>
      <c r="S168" s="117" t="n">
        <f aca="false">SUMIFS(الريسبي!$C$2:$C$1800,الريسبي!$A$2:$A$1800,$A168,الريسبي!$B$2:$B$1800,S$1)</f>
        <v>0</v>
      </c>
      <c r="T168" s="117" t="n">
        <f aca="false">SUMIFS(الريسبي!$C$2:$C$1800,الريسبي!$A$2:$A$1800,$A168,الريسبي!$B$2:$B$1800,T$1)</f>
        <v>0</v>
      </c>
      <c r="U168" s="117" t="n">
        <f aca="false">SUMIFS(الريسبي!$C$2:$C$1800,الريسبي!$A$2:$A$1800,$A168,الريسبي!$B$2:$B$1800,U$1)</f>
        <v>0</v>
      </c>
      <c r="V168" s="117" t="n">
        <f aca="false">SUMIFS(الريسبي!$C$2:$C$1800,الريسبي!$A$2:$A$1800,$A168,الريسبي!$B$2:$B$1800,V$1)</f>
        <v>0</v>
      </c>
      <c r="W168" s="117" t="n">
        <f aca="false">SUMIFS(الريسبي!$C$2:$C$1800,الريسبي!$A$2:$A$1800,$A168,الريسبي!$B$2:$B$1800,W$1)</f>
        <v>0</v>
      </c>
      <c r="X168" s="117" t="n">
        <f aca="false">SUMIFS(الريسبي!$C$2:$C$1800,الريسبي!$A$2:$A$1800,$A168,الريسبي!$B$2:$B$1800,X$1)</f>
        <v>0</v>
      </c>
      <c r="Y168" s="117" t="n">
        <f aca="false">SUMIFS(الريسبي!$C$2:$C$1800,الريسبي!$A$2:$A$1800,$A168,الريسبي!$B$2:$B$1800,Y$1)</f>
        <v>0</v>
      </c>
      <c r="Z168" s="117" t="n">
        <f aca="false">SUMIFS(الريسبي!$C$2:$C$1800,الريسبي!$A$2:$A$1800,$A168,الريسبي!$B$2:$B$1800,Z$1)</f>
        <v>0</v>
      </c>
      <c r="AA168" s="117" t="n">
        <f aca="false">SUMIFS(الريسبي!$C$2:$C$1800,الريسبي!$A$2:$A$1800,$A168,الريسبي!$B$2:$B$1800,AA$1)</f>
        <v>0</v>
      </c>
      <c r="AB168" s="117" t="n">
        <f aca="false">SUMIFS(الريسبي!$C$2:$C$1800,الريسبي!$A$2:$A$1800,$A168,الريسبي!$B$2:$B$1800,AB$1)</f>
        <v>0</v>
      </c>
      <c r="AC168" s="117" t="n">
        <f aca="false">SUMIFS(الريسبي!$C$2:$C$1800,الريسبي!$A$2:$A$1800,$A168,الريسبي!$B$2:$B$1800,AC$1)</f>
        <v>0</v>
      </c>
      <c r="AD168" s="117" t="n">
        <f aca="false">SUMIFS(الريسبي!$C$2:$C$1800,الريسبي!$A$2:$A$1800,$A168,الريسبي!$B$2:$B$1800,AD$1)</f>
        <v>0</v>
      </c>
      <c r="AE168" s="117" t="n">
        <f aca="false">SUMIFS(الريسبي!$C$2:$C$1800,الريسبي!$A$2:$A$1800,$A168,الريسبي!$B$2:$B$1800,AE$1)</f>
        <v>0</v>
      </c>
      <c r="AF168" s="117" t="n">
        <f aca="false">SUMIFS(الريسبي!$C$2:$C$1800,الريسبي!$A$2:$A$1800,$A168,الريسبي!$B$2:$B$1800,AF$1)</f>
        <v>0</v>
      </c>
      <c r="AG168" s="117" t="n">
        <f aca="false">SUMIFS(الريسبي!$C$2:$C$1800,الريسبي!$A$2:$A$1800,$A168,الريسبي!$B$2:$B$1800,AG$1)</f>
        <v>0</v>
      </c>
      <c r="AH168" s="117" t="n">
        <f aca="false">SUMIFS(الريسبي!$C$2:$C$1800,الريسبي!$A$2:$A$1800,$A168,الريسبي!$B$2:$B$1800,AH$1)</f>
        <v>0</v>
      </c>
      <c r="AI168" s="117" t="n">
        <f aca="false">SUMIFS(الريسبي!$C$2:$C$1800,الريسبي!$A$2:$A$1800,$A168,الريسبي!$B$2:$B$1800,AI$1)</f>
        <v>0</v>
      </c>
      <c r="AJ168" s="117" t="n">
        <f aca="false">SUMIFS(الريسبي!$C$2:$C$1800,الريسبي!$A$2:$A$1800,$A168,الريسبي!$B$2:$B$1800,AJ$1)</f>
        <v>0</v>
      </c>
      <c r="AK168" s="117" t="n">
        <f aca="false">SUMIFS(الريسبي!$C$2:$C$1800,الريسبي!$A$2:$A$1800,$A168,الريسبي!$B$2:$B$1800,AK$1)</f>
        <v>0</v>
      </c>
      <c r="AL168" s="117" t="n">
        <f aca="false">SUMIFS(الريسبي!$C$2:$C$1800,الريسبي!$A$2:$A$1800,$A168,الريسبي!$B$2:$B$1800,AL$1)</f>
        <v>0</v>
      </c>
      <c r="AM168" s="117" t="n">
        <f aca="false">SUMIFS(الريسبي!$C$2:$C$1800,الريسبي!$A$2:$A$1800,$A168,الريسبي!$B$2:$B$1800,AM$1)+0.08333333333*SUMIFS(الريسبي!$C$2:$C$1800,الريسبي!$A$2:$A$1800,$A168,الريسبي!$B$2:$B$1800,"عجين كريب (مصنع بالمطعم)")+0.08333333333*SUMIFS(الريسبي!$C$2:$C$1800,الريسبي!$A$2:$A$1800,$A168,الريسبي!$B$2:$B$1800,"عجين كريب صيامي (بدون لبن)")</f>
        <v>0</v>
      </c>
      <c r="AN168" s="117" t="n">
        <f aca="false">SUMIFS(الريسبي!$C$2:$C$1800,الريسبي!$A$2:$A$1800,$A168,الريسبي!$B$2:$B$1800,AN$1)+0.004166666667*SUMIFS(الريسبي!$C$2:$C$1800,الريسبي!$A$2:$A$1800,$A168,الريسبي!$B$2:$B$1800,"عجين كريب (مصنع بالمطعم)")+0.004166666667*SUMIFS(الريسبي!$C$2:$C$1800,الريسبي!$A$2:$A$1800,$A168,الريسبي!$B$2:$B$1800,"عجين كريب صيامي (بدون لبن)")</f>
        <v>0</v>
      </c>
      <c r="AO168" s="117" t="n">
        <f aca="false">SUMIFS(الريسبي!$C$2:$C$1800,الريسبي!$A$2:$A$1800,$A168,الريسبي!$B$2:$B$1800,AO$1)</f>
        <v>0</v>
      </c>
      <c r="AP168" s="117" t="n">
        <f aca="false">SUMIFS(الريسبي!$C$2:$C$1800,الريسبي!$A$2:$A$1800,$A168,الريسبي!$B$2:$B$1800,AP$1)</f>
        <v>0</v>
      </c>
      <c r="AQ168" s="117" t="n">
        <f aca="false">SUMIFS(الريسبي!$C$2:$C$1800,الريسبي!$A$2:$A$1800,$A168,الريسبي!$B$2:$B$1800,AQ$1)+0.004166666667*SUMIFS(الريسبي!$C$2:$C$1800,الريسبي!$A$2:$A$1800,$A168,الريسبي!$B$2:$B$1800,"عجين كريب (مصنع بالمطعم)")+0.004166666667*SUMIFS(الريسبي!$C$2:$C$1800,الريسبي!$A$2:$A$1800,$A168,الريسبي!$B$2:$B$1800,"عجين كريب صيامي (بدون لبن)")</f>
        <v>0</v>
      </c>
      <c r="AR168" s="117" t="n">
        <f aca="false">SUMIFS(الريسبي!$C$2:$C$1800,الريسبي!$A$2:$A$1800,$A168,الريسبي!$B$2:$B$1800,AR$1)</f>
        <v>0</v>
      </c>
      <c r="AS168" s="117" t="n">
        <f aca="false">SUMIFS(الريسبي!$C$2:$C$1800,الريسبي!$A$2:$A$1800,$A168,الريسبي!$B$2:$B$1800,AS$1)</f>
        <v>0</v>
      </c>
      <c r="AT168" s="117" t="n">
        <f aca="false">SUMIFS(الريسبي!$C$2:$C$1800,الريسبي!$A$2:$A$1800,$A168,الريسبي!$B$2:$B$1800,AT$1)</f>
        <v>0</v>
      </c>
      <c r="AU168" s="117" t="n">
        <f aca="false">SUMIFS(الريسبي!$C$2:$C$1800,الريسبي!$A$2:$A$1800,$A168,الريسبي!$B$2:$B$1800,AU$1)</f>
        <v>0</v>
      </c>
      <c r="AV168" s="117" t="n">
        <f aca="false">SUMIFS(الريسبي!$C$2:$C$1800,الريسبي!$A$2:$A$1800,$A168,الريسبي!$B$2:$B$1800,AV$1)</f>
        <v>0</v>
      </c>
      <c r="AW168" s="117" t="n">
        <f aca="false">SUMIFS(الريسبي!$C$2:$C$1800,الريسبي!$A$2:$A$1800,$A168,الريسبي!$B$2:$B$1800,AW$1)</f>
        <v>0</v>
      </c>
      <c r="AX168" s="117" t="n">
        <f aca="false">SUMIFS(الريسبي!$C$2:$C$1800,الريسبي!$A$2:$A$1800,$A168,الريسبي!$B$2:$B$1800,AX$1)</f>
        <v>0</v>
      </c>
      <c r="AY168" s="117" t="n">
        <f aca="false">SUMIFS(الريسبي!$C$2:$C$1800,الريسبي!$A$2:$A$1800,$A168,الريسبي!$B$2:$B$1800,AY$1)</f>
        <v>0</v>
      </c>
      <c r="AZ168" s="117" t="n">
        <f aca="false">SUMIFS(الريسبي!$C$2:$C$1800,الريسبي!$A$2:$A$1800,$A168,الريسبي!$B$2:$B$1800,AZ$1)</f>
        <v>0</v>
      </c>
      <c r="BA168" s="117" t="n">
        <f aca="false">SUMIFS(الريسبي!$C$2:$C$1800,الريسبي!$A$2:$A$1800,$A168,الريسبي!$B$2:$B$1800,BA$1)</f>
        <v>0.15</v>
      </c>
      <c r="BB168" s="117" t="n">
        <f aca="false">SUMIFS(الريسبي!$C$2:$C$1800,الريسبي!$A$2:$A$1800,$A168,الريسبي!$B$2:$B$1800,BB$1)</f>
        <v>0</v>
      </c>
      <c r="BC168" s="117" t="n">
        <f aca="false">SUMIFS(الريسبي!$C$2:$C$1800,الريسبي!$A$2:$A$1800,$A168,الريسبي!$B$2:$B$1800,BC$1)</f>
        <v>0</v>
      </c>
      <c r="BD168" s="117" t="n">
        <f aca="false">SUMIFS(الريسبي!$C$2:$C$1800,الريسبي!$A$2:$A$1800,$A168,الريسبي!$B$2:$B$1800,BD$1)</f>
        <v>0</v>
      </c>
      <c r="BE168" s="117" t="n">
        <f aca="false">SUMIFS(الريسبي!$C$2:$C$1800,الريسبي!$A$2:$A$1800,$A168,الريسبي!$B$2:$B$1800,BE$1)</f>
        <v>0</v>
      </c>
      <c r="BF168" s="117" t="n">
        <f aca="false">SUMIFS(الريسبي!$C$2:$C$1800,الريسبي!$A$2:$A$1800,$A168,الريسبي!$B$2:$B$1800,BF$1)</f>
        <v>0</v>
      </c>
      <c r="BG168" s="117" t="n">
        <f aca="false">SUMIFS(الريسبي!$C$2:$C$1800,الريسبي!$A$2:$A$1800,$A168,الريسبي!$B$2:$B$1800,BG$1)</f>
        <v>0</v>
      </c>
      <c r="BH168" s="117" t="n">
        <f aca="false">SUMIFS(الريسبي!$C$2:$C$1800,الريسبي!$A$2:$A$1800,$A168,الريسبي!$B$2:$B$1800,BH$1)</f>
        <v>0</v>
      </c>
      <c r="BI168" s="117" t="n">
        <f aca="false">SUMIFS(الريسبي!$C$2:$C$1800,الريسبي!$A$2:$A$1800,$A168,الريسبي!$B$2:$B$1800,BI$1)</f>
        <v>0</v>
      </c>
      <c r="BJ168" s="117" t="n">
        <f aca="false">SUMIFS(الريسبي!$C$2:$C$1800,الريسبي!$A$2:$A$1800,$A168,الريسبي!$B$2:$B$1800,BJ$1)</f>
        <v>0</v>
      </c>
      <c r="BK168" s="117" t="n">
        <f aca="false">SUMIFS(الريسبي!$C$2:$C$1800,الريسبي!$A$2:$A$1800,$A168,الريسبي!$B$2:$B$1800,BK$1)</f>
        <v>0</v>
      </c>
      <c r="BL168" s="117" t="n">
        <f aca="false">SUMIFS(الريسبي!$C$2:$C$1800,الريسبي!$A$2:$A$1800,$A168,الريسبي!$B$2:$B$1800,BL$1)</f>
        <v>0</v>
      </c>
      <c r="BM168" s="117" t="n">
        <f aca="false">SUMIFS(الريسبي!$C$2:$C$1800,الريسبي!$A$2:$A$1800,$A168,الريسبي!$B$2:$B$1800,BM$1)</f>
        <v>0</v>
      </c>
      <c r="BN168" s="117" t="n">
        <f aca="false">SUMIFS(الريسبي!$C$2:$C$1800,الريسبي!$A$2:$A$1800,$A168,الريسبي!$B$2:$B$1800,BN$1)</f>
        <v>0</v>
      </c>
      <c r="BO168" s="117" t="n">
        <f aca="false">SUMIFS(الريسبي!$C$2:$C$1800,الريسبي!$A$2:$A$1800,$A168,الريسبي!$B$2:$B$1800,BO$1)</f>
        <v>0</v>
      </c>
      <c r="BP168" s="117" t="n">
        <f aca="false">SUMIFS(الريسبي!$C$2:$C$1800,الريسبي!$A$2:$A$1800,$A168,الريسبي!$B$2:$B$1800,BP$1)</f>
        <v>0</v>
      </c>
      <c r="BQ168" s="117" t="n">
        <f aca="false">SUMIFS(الريسبي!$C$2:$C$1800,الريسبي!$A$2:$A$1800,$A168,الريسبي!$B$2:$B$1800,BQ$1)+0.17*SUMIFS(الريسبي!$C$2:$C$1800,الريسبي!$A$2:$A$1800,$A168,الريسبي!$B$2:$B$1800,"كاسترد مصنع (خليط بودر + لبن)")+0.17*SUMIFS(الريسبي!$C$2:$C$1800,الريسبي!$A$2:$A$1800,$A168,الريسبي!$B$2:$B$1800,"كاسترد مصنع صيامي (بدون لبن)")</f>
        <v>0</v>
      </c>
      <c r="BR168" s="117" t="n">
        <f aca="false">SUMIFS(الريسبي!$C$2:$C$1800,الريسبي!$A$2:$A$1800,$A168,الريسبي!$B$2:$B$1800,BR$1)</f>
        <v>0</v>
      </c>
      <c r="BS168" s="117" t="n">
        <f aca="false">SUMIFS(الريسبي!$C$2:$C$1800,الريسبي!$A$2:$A$1800,$A168,الريسبي!$B$2:$B$1800,BS$1)</f>
        <v>0</v>
      </c>
      <c r="BT168" s="117" t="n">
        <f aca="false">SUMIFS(الريسبي!$C$2:$C$1800,الريسبي!$A$2:$A$1800,$A168,الريسبي!$B$2:$B$1800,BT$1)</f>
        <v>0</v>
      </c>
      <c r="BU168" s="117" t="n">
        <f aca="false">SUMIFS(الريسبي!$C$2:$C$1800,الريسبي!$A$2:$A$1800,$A168,الريسبي!$B$2:$B$1800,BU$1)+0.4*SUMIFS(الريسبي!$C$2:$C$1800,الريسبي!$A$2:$A$1800,$A168,الريسبي!$B$2:$B$1800,"كاسترد مصنع (خليط بودر + لبن)")+0.03333333333*SUMIFS(الريسبي!$C$2:$C$1800,الريسبي!$A$2:$A$1800,$A168,الريسبي!$B$2:$B$1800,"عجين كريب (مصنع بالمطعم)")</f>
        <v>0</v>
      </c>
      <c r="BV168" s="117" t="n">
        <f aca="false">SUMIFS(الريسبي!$C$2:$C$1800,الريسبي!$A$2:$A$1800,$A168,الريسبي!$B$2:$B$1800,BV$1)</f>
        <v>0</v>
      </c>
      <c r="BW168" s="117" t="n">
        <f aca="false">SUMIFS(الريسبي!$C$2:$C$1800,الريسبي!$A$2:$A$1800,$A168,الريسبي!$B$2:$B$1800,BW$1)</f>
        <v>0</v>
      </c>
      <c r="BX168" s="117" t="n">
        <f aca="false">SUMIFS(الريسبي!$C$2:$C$1800,الريسبي!$A$2:$A$1800,$A168,الريسبي!$B$2:$B$1800,BX$1)</f>
        <v>0</v>
      </c>
      <c r="BY168" s="117" t="n">
        <f aca="false">SUMIFS(الريسبي!$C$2:$C$1800,الريسبي!$A$2:$A$1800,$A168,الريسبي!$B$2:$B$1800,BY$1)</f>
        <v>0</v>
      </c>
      <c r="BZ168" s="117" t="n">
        <f aca="false">SUMIFS(الريسبي!$C$2:$C$1800,الريسبي!$A$2:$A$1800,$A168,الريسبي!$B$2:$B$1800,BZ$1)</f>
        <v>0</v>
      </c>
      <c r="CA168" s="117" t="n">
        <f aca="false">SUMIFS(الريسبي!$C$2:$C$1800,الريسبي!$A$2:$A$1800,$A168,الريسبي!$B$2:$B$1800,CA$1)</f>
        <v>0</v>
      </c>
      <c r="CB168" s="117" t="n">
        <f aca="false">SUMIFS(الريسبي!$C$2:$C$1800,الريسبي!$A$2:$A$1800,$A168,الريسبي!$B$2:$B$1800,CB$1)</f>
        <v>0</v>
      </c>
      <c r="CC168" s="117" t="n">
        <f aca="false">SUMIFS(الريسبي!$C$2:$C$1800,الريسبي!$A$2:$A$1800,$A168,الريسبي!$B$2:$B$1800,CC$1)</f>
        <v>0</v>
      </c>
      <c r="CD168" s="117" t="n">
        <f aca="false">SUMIFS(الريسبي!$C$2:$C$1800,الريسبي!$A$2:$A$1800,$A168,الريسبي!$B$2:$B$1800,CD$1)</f>
        <v>0</v>
      </c>
      <c r="CE168" s="117" t="n">
        <f aca="false">SUMIFS(الريسبي!$C$2:$C$1800,الريسبي!$A$2:$A$1800,$A168,الريسبي!$B$2:$B$1800,CE$1)</f>
        <v>0</v>
      </c>
      <c r="CF168" s="117" t="n">
        <f aca="false">SUMIFS(الريسبي!$C$2:$C$1800,الريسبي!$A$2:$A$1800,$A168,الريسبي!$B$2:$B$1800,CF$1)</f>
        <v>0</v>
      </c>
      <c r="CG168" s="117" t="n">
        <f aca="false">SUMIFS(الريسبي!$C$2:$C$1800,الريسبي!$A$2:$A$1800,$A168,الريسبي!$B$2:$B$1800,CG$1)</f>
        <v>0</v>
      </c>
      <c r="CH168" s="117" t="n">
        <f aca="false">SUMIFS(الريسبي!$C$2:$C$1800,الريسبي!$A$2:$A$1800,$A168,الريسبي!$B$2:$B$1800,CH$1)</f>
        <v>0</v>
      </c>
      <c r="CI168" s="117" t="n">
        <f aca="false">SUMIFS(الريسبي!$C$2:$C$1800,الريسبي!$A$2:$A$1800,$A168,الريسبي!$B$2:$B$1800,CI$1)</f>
        <v>0</v>
      </c>
      <c r="CJ168" s="117" t="n">
        <f aca="false">SUMIFS(الريسبي!$C$2:$C$1800,الريسبي!$A$2:$A$1800,$A168,الريسبي!$B$2:$B$1800,CJ$1)</f>
        <v>0</v>
      </c>
      <c r="CK168" s="117" t="n">
        <f aca="false">SUMIFS(الريسبي!$C$2:$C$1800,الريسبي!$A$2:$A$1800,$A168,الريسبي!$B$2:$B$1800,CK$1)</f>
        <v>0</v>
      </c>
      <c r="CL168" s="117" t="n">
        <f aca="false">SUMIFS(الريسبي!$C$2:$C$1800,الريسبي!$A$2:$A$1800,$A168,الريسبي!$B$2:$B$1800,CL$1)</f>
        <v>0</v>
      </c>
    </row>
    <row r="169" customFormat="false" ht="15" hidden="false" customHeight="false" outlineLevel="0" collapsed="false">
      <c r="A169" s="116" t="str">
        <f aca="false">المنيو!B169</f>
        <v>صوص شيدر إضافي (M)</v>
      </c>
      <c r="B169" s="117" t="n">
        <f aca="false">SUMIFS(الريسبي!$C$2:$C$1800,الريسبي!$A$2:$A$1800,$A169,الريسبي!$B$2:$B$1800,B$1)</f>
        <v>0</v>
      </c>
      <c r="C169" s="117" t="n">
        <f aca="false">SUMIFS(الريسبي!$C$2:$C$1800,الريسبي!$A$2:$A$1800,$A169,الريسبي!$B$2:$B$1800,C$1)</f>
        <v>0</v>
      </c>
      <c r="D169" s="117" t="n">
        <f aca="false">SUMIFS(الريسبي!$C$2:$C$1800,الريسبي!$A$2:$A$1800,$A169,الريسبي!$B$2:$B$1800,D$1)</f>
        <v>0</v>
      </c>
      <c r="E169" s="117" t="n">
        <f aca="false">SUMIFS(الريسبي!$C$2:$C$1800,الريسبي!$A$2:$A$1800,$A169,الريسبي!$B$2:$B$1800,E$1)</f>
        <v>0</v>
      </c>
      <c r="F169" s="117" t="n">
        <f aca="false">SUMIFS(الريسبي!$C$2:$C$1800,الريسبي!$A$2:$A$1800,$A169,الريسبي!$B$2:$B$1800,F$1)</f>
        <v>0</v>
      </c>
      <c r="G169" s="117" t="n">
        <f aca="false">SUMIFS(الريسبي!$C$2:$C$1800,الريسبي!$A$2:$A$1800,$A169,الريسبي!$B$2:$B$1800,G$1)</f>
        <v>0</v>
      </c>
      <c r="H169" s="117" t="n">
        <f aca="false">SUMIFS(الريسبي!$C$2:$C$1800,الريسبي!$A$2:$A$1800,$A169,الريسبي!$B$2:$B$1800,H$1)</f>
        <v>0</v>
      </c>
      <c r="I169" s="117" t="n">
        <f aca="false">SUMIFS(الريسبي!$C$2:$C$1800,الريسبي!$A$2:$A$1800,$A169,الريسبي!$B$2:$B$1800,I$1)</f>
        <v>0</v>
      </c>
      <c r="J169" s="117" t="n">
        <f aca="false">SUMIFS(الريسبي!$C$2:$C$1800,الريسبي!$A$2:$A$1800,$A169,الريسبي!$B$2:$B$1800,J$1)</f>
        <v>0</v>
      </c>
      <c r="K169" s="117" t="n">
        <f aca="false">SUMIFS(الريسبي!$C$2:$C$1800,الريسبي!$A$2:$A$1800,$A169,الريسبي!$B$2:$B$1800,K$1)</f>
        <v>0</v>
      </c>
      <c r="L169" s="117" t="n">
        <f aca="false">SUMIFS(الريسبي!$C$2:$C$1800,الريسبي!$A$2:$A$1800,$A169,الريسبي!$B$2:$B$1800,L$1)</f>
        <v>0</v>
      </c>
      <c r="M169" s="117" t="n">
        <f aca="false">SUMIFS(الريسبي!$C$2:$C$1800,الريسبي!$A$2:$A$1800,$A169,الريسبي!$B$2:$B$1800,M$1)</f>
        <v>0</v>
      </c>
      <c r="N169" s="117" t="n">
        <f aca="false">SUMIFS(الريسبي!$C$2:$C$1800,الريسبي!$A$2:$A$1800,$A169,الريسبي!$B$2:$B$1800,N$1)</f>
        <v>0</v>
      </c>
      <c r="O169" s="117" t="n">
        <f aca="false">SUMIFS(الريسبي!$C$2:$C$1800,الريسبي!$A$2:$A$1800,$A169,الريسبي!$B$2:$B$1800,O$1)</f>
        <v>0</v>
      </c>
      <c r="P169" s="117" t="n">
        <f aca="false">SUMIFS(الريسبي!$C$2:$C$1800,الريسبي!$A$2:$A$1800,$A169,الريسبي!$B$2:$B$1800,P$1)</f>
        <v>0</v>
      </c>
      <c r="Q169" s="117" t="n">
        <f aca="false">SUMIFS(الريسبي!$C$2:$C$1800,الريسبي!$A$2:$A$1800,$A169,الريسبي!$B$2:$B$1800,Q$1)</f>
        <v>0</v>
      </c>
      <c r="R169" s="117" t="n">
        <f aca="false">SUMIFS(الريسبي!$C$2:$C$1800,الريسبي!$A$2:$A$1800,$A169,الريسبي!$B$2:$B$1800,R$1)</f>
        <v>0</v>
      </c>
      <c r="S169" s="117" t="n">
        <f aca="false">SUMIFS(الريسبي!$C$2:$C$1800,الريسبي!$A$2:$A$1800,$A169,الريسبي!$B$2:$B$1800,S$1)</f>
        <v>0</v>
      </c>
      <c r="T169" s="117" t="n">
        <f aca="false">SUMIFS(الريسبي!$C$2:$C$1800,الريسبي!$A$2:$A$1800,$A169,الريسبي!$B$2:$B$1800,T$1)</f>
        <v>0</v>
      </c>
      <c r="U169" s="117" t="n">
        <f aca="false">SUMIFS(الريسبي!$C$2:$C$1800,الريسبي!$A$2:$A$1800,$A169,الريسبي!$B$2:$B$1800,U$1)</f>
        <v>0</v>
      </c>
      <c r="V169" s="117" t="n">
        <f aca="false">SUMIFS(الريسبي!$C$2:$C$1800,الريسبي!$A$2:$A$1800,$A169,الريسبي!$B$2:$B$1800,V$1)</f>
        <v>0</v>
      </c>
      <c r="W169" s="117" t="n">
        <f aca="false">SUMIFS(الريسبي!$C$2:$C$1800,الريسبي!$A$2:$A$1800,$A169,الريسبي!$B$2:$B$1800,W$1)</f>
        <v>0</v>
      </c>
      <c r="X169" s="117" t="n">
        <f aca="false">SUMIFS(الريسبي!$C$2:$C$1800,الريسبي!$A$2:$A$1800,$A169,الريسبي!$B$2:$B$1800,X$1)</f>
        <v>0</v>
      </c>
      <c r="Y169" s="117" t="n">
        <f aca="false">SUMIFS(الريسبي!$C$2:$C$1800,الريسبي!$A$2:$A$1800,$A169,الريسبي!$B$2:$B$1800,Y$1)</f>
        <v>0</v>
      </c>
      <c r="Z169" s="117" t="n">
        <f aca="false">SUMIFS(الريسبي!$C$2:$C$1800,الريسبي!$A$2:$A$1800,$A169,الريسبي!$B$2:$B$1800,Z$1)</f>
        <v>0</v>
      </c>
      <c r="AA169" s="117" t="n">
        <f aca="false">SUMIFS(الريسبي!$C$2:$C$1800,الريسبي!$A$2:$A$1800,$A169,الريسبي!$B$2:$B$1800,AA$1)</f>
        <v>0</v>
      </c>
      <c r="AB169" s="117" t="n">
        <f aca="false">SUMIFS(الريسبي!$C$2:$C$1800,الريسبي!$A$2:$A$1800,$A169,الريسبي!$B$2:$B$1800,AB$1)</f>
        <v>0</v>
      </c>
      <c r="AC169" s="117" t="n">
        <f aca="false">SUMIFS(الريسبي!$C$2:$C$1800,الريسبي!$A$2:$A$1800,$A169,الريسبي!$B$2:$B$1800,AC$1)</f>
        <v>0</v>
      </c>
      <c r="AD169" s="117" t="n">
        <f aca="false">SUMIFS(الريسبي!$C$2:$C$1800,الريسبي!$A$2:$A$1800,$A169,الريسبي!$B$2:$B$1800,AD$1)</f>
        <v>0</v>
      </c>
      <c r="AE169" s="117" t="n">
        <f aca="false">SUMIFS(الريسبي!$C$2:$C$1800,الريسبي!$A$2:$A$1800,$A169,الريسبي!$B$2:$B$1800,AE$1)</f>
        <v>0</v>
      </c>
      <c r="AF169" s="117" t="n">
        <f aca="false">SUMIFS(الريسبي!$C$2:$C$1800,الريسبي!$A$2:$A$1800,$A169,الريسبي!$B$2:$B$1800,AF$1)</f>
        <v>0</v>
      </c>
      <c r="AG169" s="117" t="n">
        <f aca="false">SUMIFS(الريسبي!$C$2:$C$1800,الريسبي!$A$2:$A$1800,$A169,الريسبي!$B$2:$B$1800,AG$1)</f>
        <v>0</v>
      </c>
      <c r="AH169" s="117" t="n">
        <f aca="false">SUMIFS(الريسبي!$C$2:$C$1800,الريسبي!$A$2:$A$1800,$A169,الريسبي!$B$2:$B$1800,AH$1)</f>
        <v>0</v>
      </c>
      <c r="AI169" s="117" t="n">
        <f aca="false">SUMIFS(الريسبي!$C$2:$C$1800,الريسبي!$A$2:$A$1800,$A169,الريسبي!$B$2:$B$1800,AI$1)</f>
        <v>0</v>
      </c>
      <c r="AJ169" s="117" t="n">
        <f aca="false">SUMIFS(الريسبي!$C$2:$C$1800,الريسبي!$A$2:$A$1800,$A169,الريسبي!$B$2:$B$1800,AJ$1)</f>
        <v>0</v>
      </c>
      <c r="AK169" s="117" t="n">
        <f aca="false">SUMIFS(الريسبي!$C$2:$C$1800,الريسبي!$A$2:$A$1800,$A169,الريسبي!$B$2:$B$1800,AK$1)</f>
        <v>0</v>
      </c>
      <c r="AL169" s="117" t="n">
        <f aca="false">SUMIFS(الريسبي!$C$2:$C$1800,الريسبي!$A$2:$A$1800,$A169,الريسبي!$B$2:$B$1800,AL$1)</f>
        <v>0</v>
      </c>
      <c r="AM169" s="117" t="n">
        <f aca="false">SUMIFS(الريسبي!$C$2:$C$1800,الريسبي!$A$2:$A$1800,$A169,الريسبي!$B$2:$B$1800,AM$1)+0.08333333333*SUMIFS(الريسبي!$C$2:$C$1800,الريسبي!$A$2:$A$1800,$A169,الريسبي!$B$2:$B$1800,"عجين كريب (مصنع بالمطعم)")+0.08333333333*SUMIFS(الريسبي!$C$2:$C$1800,الريسبي!$A$2:$A$1800,$A169,الريسبي!$B$2:$B$1800,"عجين كريب صيامي (بدون لبن)")</f>
        <v>0</v>
      </c>
      <c r="AN169" s="117" t="n">
        <f aca="false">SUMIFS(الريسبي!$C$2:$C$1800,الريسبي!$A$2:$A$1800,$A169,الريسبي!$B$2:$B$1800,AN$1)+0.004166666667*SUMIFS(الريسبي!$C$2:$C$1800,الريسبي!$A$2:$A$1800,$A169,الريسبي!$B$2:$B$1800,"عجين كريب (مصنع بالمطعم)")+0.004166666667*SUMIFS(الريسبي!$C$2:$C$1800,الريسبي!$A$2:$A$1800,$A169,الريسبي!$B$2:$B$1800,"عجين كريب صيامي (بدون لبن)")</f>
        <v>0</v>
      </c>
      <c r="AO169" s="117" t="n">
        <f aca="false">SUMIFS(الريسبي!$C$2:$C$1800,الريسبي!$A$2:$A$1800,$A169,الريسبي!$B$2:$B$1800,AO$1)</f>
        <v>0</v>
      </c>
      <c r="AP169" s="117" t="n">
        <f aca="false">SUMIFS(الريسبي!$C$2:$C$1800,الريسبي!$A$2:$A$1800,$A169,الريسبي!$B$2:$B$1800,AP$1)</f>
        <v>0</v>
      </c>
      <c r="AQ169" s="117" t="n">
        <f aca="false">SUMIFS(الريسبي!$C$2:$C$1800,الريسبي!$A$2:$A$1800,$A169,الريسبي!$B$2:$B$1800,AQ$1)+0.004166666667*SUMIFS(الريسبي!$C$2:$C$1800,الريسبي!$A$2:$A$1800,$A169,الريسبي!$B$2:$B$1800,"عجين كريب (مصنع بالمطعم)")+0.004166666667*SUMIFS(الريسبي!$C$2:$C$1800,الريسبي!$A$2:$A$1800,$A169,الريسبي!$B$2:$B$1800,"عجين كريب صيامي (بدون لبن)")</f>
        <v>0</v>
      </c>
      <c r="AR169" s="117" t="n">
        <f aca="false">SUMIFS(الريسبي!$C$2:$C$1800,الريسبي!$A$2:$A$1800,$A169,الريسبي!$B$2:$B$1800,AR$1)</f>
        <v>0</v>
      </c>
      <c r="AS169" s="117" t="n">
        <f aca="false">SUMIFS(الريسبي!$C$2:$C$1800,الريسبي!$A$2:$A$1800,$A169,الريسبي!$B$2:$B$1800,AS$1)</f>
        <v>0</v>
      </c>
      <c r="AT169" s="117" t="n">
        <f aca="false">SUMIFS(الريسبي!$C$2:$C$1800,الريسبي!$A$2:$A$1800,$A169,الريسبي!$B$2:$B$1800,AT$1)</f>
        <v>0</v>
      </c>
      <c r="AU169" s="117" t="n">
        <f aca="false">SUMIFS(الريسبي!$C$2:$C$1800,الريسبي!$A$2:$A$1800,$A169,الريسبي!$B$2:$B$1800,AU$1)</f>
        <v>0</v>
      </c>
      <c r="AV169" s="117" t="n">
        <f aca="false">SUMIFS(الريسبي!$C$2:$C$1800,الريسبي!$A$2:$A$1800,$A169,الريسبي!$B$2:$B$1800,AV$1)</f>
        <v>0</v>
      </c>
      <c r="AW169" s="117" t="n">
        <f aca="false">SUMIFS(الريسبي!$C$2:$C$1800,الريسبي!$A$2:$A$1800,$A169,الريسبي!$B$2:$B$1800,AW$1)</f>
        <v>0</v>
      </c>
      <c r="AX169" s="117" t="n">
        <f aca="false">SUMIFS(الريسبي!$C$2:$C$1800,الريسبي!$A$2:$A$1800,$A169,الريسبي!$B$2:$B$1800,AX$1)</f>
        <v>0</v>
      </c>
      <c r="AY169" s="117" t="n">
        <f aca="false">SUMIFS(الريسبي!$C$2:$C$1800,الريسبي!$A$2:$A$1800,$A169,الريسبي!$B$2:$B$1800,AY$1)</f>
        <v>0</v>
      </c>
      <c r="AZ169" s="117" t="n">
        <f aca="false">SUMIFS(الريسبي!$C$2:$C$1800,الريسبي!$A$2:$A$1800,$A169,الريسبي!$B$2:$B$1800,AZ$1)</f>
        <v>0</v>
      </c>
      <c r="BA169" s="117" t="n">
        <f aca="false">SUMIFS(الريسبي!$C$2:$C$1800,الريسبي!$A$2:$A$1800,$A169,الريسبي!$B$2:$B$1800,BA$1)</f>
        <v>0</v>
      </c>
      <c r="BB169" s="117" t="n">
        <f aca="false">SUMIFS(الريسبي!$C$2:$C$1800,الريسبي!$A$2:$A$1800,$A169,الريسبي!$B$2:$B$1800,BB$1)</f>
        <v>0.1</v>
      </c>
      <c r="BC169" s="117" t="n">
        <f aca="false">SUMIFS(الريسبي!$C$2:$C$1800,الريسبي!$A$2:$A$1800,$A169,الريسبي!$B$2:$B$1800,BC$1)</f>
        <v>0</v>
      </c>
      <c r="BD169" s="117" t="n">
        <f aca="false">SUMIFS(الريسبي!$C$2:$C$1800,الريسبي!$A$2:$A$1800,$A169,الريسبي!$B$2:$B$1800,BD$1)</f>
        <v>0</v>
      </c>
      <c r="BE169" s="117" t="n">
        <f aca="false">SUMIFS(الريسبي!$C$2:$C$1800,الريسبي!$A$2:$A$1800,$A169,الريسبي!$B$2:$B$1800,BE$1)</f>
        <v>0</v>
      </c>
      <c r="BF169" s="117" t="n">
        <f aca="false">SUMIFS(الريسبي!$C$2:$C$1800,الريسبي!$A$2:$A$1800,$A169,الريسبي!$B$2:$B$1800,BF$1)</f>
        <v>0</v>
      </c>
      <c r="BG169" s="117" t="n">
        <f aca="false">SUMIFS(الريسبي!$C$2:$C$1800,الريسبي!$A$2:$A$1800,$A169,الريسبي!$B$2:$B$1800,BG$1)</f>
        <v>0</v>
      </c>
      <c r="BH169" s="117" t="n">
        <f aca="false">SUMIFS(الريسبي!$C$2:$C$1800,الريسبي!$A$2:$A$1800,$A169,الريسبي!$B$2:$B$1800,BH$1)</f>
        <v>0</v>
      </c>
      <c r="BI169" s="117" t="n">
        <f aca="false">SUMIFS(الريسبي!$C$2:$C$1800,الريسبي!$A$2:$A$1800,$A169,الريسبي!$B$2:$B$1800,BI$1)</f>
        <v>0</v>
      </c>
      <c r="BJ169" s="117" t="n">
        <f aca="false">SUMIFS(الريسبي!$C$2:$C$1800,الريسبي!$A$2:$A$1800,$A169,الريسبي!$B$2:$B$1800,BJ$1)</f>
        <v>0</v>
      </c>
      <c r="BK169" s="117" t="n">
        <f aca="false">SUMIFS(الريسبي!$C$2:$C$1800,الريسبي!$A$2:$A$1800,$A169,الريسبي!$B$2:$B$1800,BK$1)</f>
        <v>0</v>
      </c>
      <c r="BL169" s="117" t="n">
        <f aca="false">SUMIFS(الريسبي!$C$2:$C$1800,الريسبي!$A$2:$A$1800,$A169,الريسبي!$B$2:$B$1800,BL$1)</f>
        <v>0</v>
      </c>
      <c r="BM169" s="117" t="n">
        <f aca="false">SUMIFS(الريسبي!$C$2:$C$1800,الريسبي!$A$2:$A$1800,$A169,الريسبي!$B$2:$B$1800,BM$1)</f>
        <v>0</v>
      </c>
      <c r="BN169" s="117" t="n">
        <f aca="false">SUMIFS(الريسبي!$C$2:$C$1800,الريسبي!$A$2:$A$1800,$A169,الريسبي!$B$2:$B$1800,BN$1)</f>
        <v>0</v>
      </c>
      <c r="BO169" s="117" t="n">
        <f aca="false">SUMIFS(الريسبي!$C$2:$C$1800,الريسبي!$A$2:$A$1800,$A169,الريسبي!$B$2:$B$1800,BO$1)</f>
        <v>0</v>
      </c>
      <c r="BP169" s="117" t="n">
        <f aca="false">SUMIFS(الريسبي!$C$2:$C$1800,الريسبي!$A$2:$A$1800,$A169,الريسبي!$B$2:$B$1800,BP$1)</f>
        <v>0</v>
      </c>
      <c r="BQ169" s="117" t="n">
        <f aca="false">SUMIFS(الريسبي!$C$2:$C$1800,الريسبي!$A$2:$A$1800,$A169,الريسبي!$B$2:$B$1800,BQ$1)+0.17*SUMIFS(الريسبي!$C$2:$C$1800,الريسبي!$A$2:$A$1800,$A169,الريسبي!$B$2:$B$1800,"كاسترد مصنع (خليط بودر + لبن)")+0.17*SUMIFS(الريسبي!$C$2:$C$1800,الريسبي!$A$2:$A$1800,$A169,الريسبي!$B$2:$B$1800,"كاسترد مصنع صيامي (بدون لبن)")</f>
        <v>0</v>
      </c>
      <c r="BR169" s="117" t="n">
        <f aca="false">SUMIFS(الريسبي!$C$2:$C$1800,الريسبي!$A$2:$A$1800,$A169,الريسبي!$B$2:$B$1800,BR$1)</f>
        <v>0</v>
      </c>
      <c r="BS169" s="117" t="n">
        <f aca="false">SUMIFS(الريسبي!$C$2:$C$1800,الريسبي!$A$2:$A$1800,$A169,الريسبي!$B$2:$B$1800,BS$1)</f>
        <v>0</v>
      </c>
      <c r="BT169" s="117" t="n">
        <f aca="false">SUMIFS(الريسبي!$C$2:$C$1800,الريسبي!$A$2:$A$1800,$A169,الريسبي!$B$2:$B$1800,BT$1)</f>
        <v>0</v>
      </c>
      <c r="BU169" s="117" t="n">
        <f aca="false">SUMIFS(الريسبي!$C$2:$C$1800,الريسبي!$A$2:$A$1800,$A169,الريسبي!$B$2:$B$1800,BU$1)+0.4*SUMIFS(الريسبي!$C$2:$C$1800,الريسبي!$A$2:$A$1800,$A169,الريسبي!$B$2:$B$1800,"كاسترد مصنع (خليط بودر + لبن)")+0.03333333333*SUMIFS(الريسبي!$C$2:$C$1800,الريسبي!$A$2:$A$1800,$A169,الريسبي!$B$2:$B$1800,"عجين كريب (مصنع بالمطعم)")</f>
        <v>0</v>
      </c>
      <c r="BV169" s="117" t="n">
        <f aca="false">SUMIFS(الريسبي!$C$2:$C$1800,الريسبي!$A$2:$A$1800,$A169,الريسبي!$B$2:$B$1800,BV$1)</f>
        <v>0</v>
      </c>
      <c r="BW169" s="117" t="n">
        <f aca="false">SUMIFS(الريسبي!$C$2:$C$1800,الريسبي!$A$2:$A$1800,$A169,الريسبي!$B$2:$B$1800,BW$1)</f>
        <v>0</v>
      </c>
      <c r="BX169" s="117" t="n">
        <f aca="false">SUMIFS(الريسبي!$C$2:$C$1800,الريسبي!$A$2:$A$1800,$A169,الريسبي!$B$2:$B$1800,BX$1)</f>
        <v>0</v>
      </c>
      <c r="BY169" s="117" t="n">
        <f aca="false">SUMIFS(الريسبي!$C$2:$C$1800,الريسبي!$A$2:$A$1800,$A169,الريسبي!$B$2:$B$1800,BY$1)</f>
        <v>0</v>
      </c>
      <c r="BZ169" s="117" t="n">
        <f aca="false">SUMIFS(الريسبي!$C$2:$C$1800,الريسبي!$A$2:$A$1800,$A169,الريسبي!$B$2:$B$1800,BZ$1)</f>
        <v>0</v>
      </c>
      <c r="CA169" s="117" t="n">
        <f aca="false">SUMIFS(الريسبي!$C$2:$C$1800,الريسبي!$A$2:$A$1800,$A169,الريسبي!$B$2:$B$1800,CA$1)</f>
        <v>0</v>
      </c>
      <c r="CB169" s="117" t="n">
        <f aca="false">SUMIFS(الريسبي!$C$2:$C$1800,الريسبي!$A$2:$A$1800,$A169,الريسبي!$B$2:$B$1800,CB$1)</f>
        <v>0</v>
      </c>
      <c r="CC169" s="117" t="n">
        <f aca="false">SUMIFS(الريسبي!$C$2:$C$1800,الريسبي!$A$2:$A$1800,$A169,الريسبي!$B$2:$B$1800,CC$1)</f>
        <v>0</v>
      </c>
      <c r="CD169" s="117" t="n">
        <f aca="false">SUMIFS(الريسبي!$C$2:$C$1800,الريسبي!$A$2:$A$1800,$A169,الريسبي!$B$2:$B$1800,CD$1)</f>
        <v>0</v>
      </c>
      <c r="CE169" s="117" t="n">
        <f aca="false">SUMIFS(الريسبي!$C$2:$C$1800,الريسبي!$A$2:$A$1800,$A169,الريسبي!$B$2:$B$1800,CE$1)</f>
        <v>0</v>
      </c>
      <c r="CF169" s="117" t="n">
        <f aca="false">SUMIFS(الريسبي!$C$2:$C$1800,الريسبي!$A$2:$A$1800,$A169,الريسبي!$B$2:$B$1800,CF$1)</f>
        <v>0</v>
      </c>
      <c r="CG169" s="117" t="n">
        <f aca="false">SUMIFS(الريسبي!$C$2:$C$1800,الريسبي!$A$2:$A$1800,$A169,الريسبي!$B$2:$B$1800,CG$1)</f>
        <v>0</v>
      </c>
      <c r="CH169" s="117" t="n">
        <f aca="false">SUMIFS(الريسبي!$C$2:$C$1800,الريسبي!$A$2:$A$1800,$A169,الريسبي!$B$2:$B$1800,CH$1)</f>
        <v>0</v>
      </c>
      <c r="CI169" s="117" t="n">
        <f aca="false">SUMIFS(الريسبي!$C$2:$C$1800,الريسبي!$A$2:$A$1800,$A169,الريسبي!$B$2:$B$1800,CI$1)</f>
        <v>0</v>
      </c>
      <c r="CJ169" s="117" t="n">
        <f aca="false">SUMIFS(الريسبي!$C$2:$C$1800,الريسبي!$A$2:$A$1800,$A169,الريسبي!$B$2:$B$1800,CJ$1)</f>
        <v>0</v>
      </c>
      <c r="CK169" s="117" t="n">
        <f aca="false">SUMIFS(الريسبي!$C$2:$C$1800,الريسبي!$A$2:$A$1800,$A169,الريسبي!$B$2:$B$1800,CK$1)</f>
        <v>0</v>
      </c>
      <c r="CL169" s="117" t="n">
        <f aca="false">SUMIFS(الريسبي!$C$2:$C$1800,الريسبي!$A$2:$A$1800,$A169,الريسبي!$B$2:$B$1800,CL$1)</f>
        <v>0</v>
      </c>
    </row>
    <row r="170" customFormat="false" ht="15" hidden="false" customHeight="false" outlineLevel="0" collapsed="false">
      <c r="A170" s="116" t="str">
        <f aca="false">المنيو!B170</f>
        <v>صوص شيدر إضافي (L)</v>
      </c>
      <c r="B170" s="117" t="n">
        <f aca="false">SUMIFS(الريسبي!$C$2:$C$1800,الريسبي!$A$2:$A$1800,$A170,الريسبي!$B$2:$B$1800,B$1)</f>
        <v>0</v>
      </c>
      <c r="C170" s="117" t="n">
        <f aca="false">SUMIFS(الريسبي!$C$2:$C$1800,الريسبي!$A$2:$A$1800,$A170,الريسبي!$B$2:$B$1800,C$1)</f>
        <v>0</v>
      </c>
      <c r="D170" s="117" t="n">
        <f aca="false">SUMIFS(الريسبي!$C$2:$C$1800,الريسبي!$A$2:$A$1800,$A170,الريسبي!$B$2:$B$1800,D$1)</f>
        <v>0</v>
      </c>
      <c r="E170" s="117" t="n">
        <f aca="false">SUMIFS(الريسبي!$C$2:$C$1800,الريسبي!$A$2:$A$1800,$A170,الريسبي!$B$2:$B$1800,E$1)</f>
        <v>0</v>
      </c>
      <c r="F170" s="117" t="n">
        <f aca="false">SUMIFS(الريسبي!$C$2:$C$1800,الريسبي!$A$2:$A$1800,$A170,الريسبي!$B$2:$B$1800,F$1)</f>
        <v>0</v>
      </c>
      <c r="G170" s="117" t="n">
        <f aca="false">SUMIFS(الريسبي!$C$2:$C$1800,الريسبي!$A$2:$A$1800,$A170,الريسبي!$B$2:$B$1800,G$1)</f>
        <v>0</v>
      </c>
      <c r="H170" s="117" t="n">
        <f aca="false">SUMIFS(الريسبي!$C$2:$C$1800,الريسبي!$A$2:$A$1800,$A170,الريسبي!$B$2:$B$1800,H$1)</f>
        <v>0</v>
      </c>
      <c r="I170" s="117" t="n">
        <f aca="false">SUMIFS(الريسبي!$C$2:$C$1800,الريسبي!$A$2:$A$1800,$A170,الريسبي!$B$2:$B$1800,I$1)</f>
        <v>0</v>
      </c>
      <c r="J170" s="117" t="n">
        <f aca="false">SUMIFS(الريسبي!$C$2:$C$1800,الريسبي!$A$2:$A$1800,$A170,الريسبي!$B$2:$B$1800,J$1)</f>
        <v>0</v>
      </c>
      <c r="K170" s="117" t="n">
        <f aca="false">SUMIFS(الريسبي!$C$2:$C$1800,الريسبي!$A$2:$A$1800,$A170,الريسبي!$B$2:$B$1800,K$1)</f>
        <v>0</v>
      </c>
      <c r="L170" s="117" t="n">
        <f aca="false">SUMIFS(الريسبي!$C$2:$C$1800,الريسبي!$A$2:$A$1800,$A170,الريسبي!$B$2:$B$1800,L$1)</f>
        <v>0</v>
      </c>
      <c r="M170" s="117" t="n">
        <f aca="false">SUMIFS(الريسبي!$C$2:$C$1800,الريسبي!$A$2:$A$1800,$A170,الريسبي!$B$2:$B$1800,M$1)</f>
        <v>0</v>
      </c>
      <c r="N170" s="117" t="n">
        <f aca="false">SUMIFS(الريسبي!$C$2:$C$1800,الريسبي!$A$2:$A$1800,$A170,الريسبي!$B$2:$B$1800,N$1)</f>
        <v>0</v>
      </c>
      <c r="O170" s="117" t="n">
        <f aca="false">SUMIFS(الريسبي!$C$2:$C$1800,الريسبي!$A$2:$A$1800,$A170,الريسبي!$B$2:$B$1800,O$1)</f>
        <v>0</v>
      </c>
      <c r="P170" s="117" t="n">
        <f aca="false">SUMIFS(الريسبي!$C$2:$C$1800,الريسبي!$A$2:$A$1800,$A170,الريسبي!$B$2:$B$1800,P$1)</f>
        <v>0</v>
      </c>
      <c r="Q170" s="117" t="n">
        <f aca="false">SUMIFS(الريسبي!$C$2:$C$1800,الريسبي!$A$2:$A$1800,$A170,الريسبي!$B$2:$B$1800,Q$1)</f>
        <v>0</v>
      </c>
      <c r="R170" s="117" t="n">
        <f aca="false">SUMIFS(الريسبي!$C$2:$C$1800,الريسبي!$A$2:$A$1800,$A170,الريسبي!$B$2:$B$1800,R$1)</f>
        <v>0</v>
      </c>
      <c r="S170" s="117" t="n">
        <f aca="false">SUMIFS(الريسبي!$C$2:$C$1800,الريسبي!$A$2:$A$1800,$A170,الريسبي!$B$2:$B$1800,S$1)</f>
        <v>0</v>
      </c>
      <c r="T170" s="117" t="n">
        <f aca="false">SUMIFS(الريسبي!$C$2:$C$1800,الريسبي!$A$2:$A$1800,$A170,الريسبي!$B$2:$B$1800,T$1)</f>
        <v>0</v>
      </c>
      <c r="U170" s="117" t="n">
        <f aca="false">SUMIFS(الريسبي!$C$2:$C$1800,الريسبي!$A$2:$A$1800,$A170,الريسبي!$B$2:$B$1800,U$1)</f>
        <v>0</v>
      </c>
      <c r="V170" s="117" t="n">
        <f aca="false">SUMIFS(الريسبي!$C$2:$C$1800,الريسبي!$A$2:$A$1800,$A170,الريسبي!$B$2:$B$1800,V$1)</f>
        <v>0</v>
      </c>
      <c r="W170" s="117" t="n">
        <f aca="false">SUMIFS(الريسبي!$C$2:$C$1800,الريسبي!$A$2:$A$1800,$A170,الريسبي!$B$2:$B$1800,W$1)</f>
        <v>0</v>
      </c>
      <c r="X170" s="117" t="n">
        <f aca="false">SUMIFS(الريسبي!$C$2:$C$1800,الريسبي!$A$2:$A$1800,$A170,الريسبي!$B$2:$B$1800,X$1)</f>
        <v>0</v>
      </c>
      <c r="Y170" s="117" t="n">
        <f aca="false">SUMIFS(الريسبي!$C$2:$C$1800,الريسبي!$A$2:$A$1800,$A170,الريسبي!$B$2:$B$1800,Y$1)</f>
        <v>0</v>
      </c>
      <c r="Z170" s="117" t="n">
        <f aca="false">SUMIFS(الريسبي!$C$2:$C$1800,الريسبي!$A$2:$A$1800,$A170,الريسبي!$B$2:$B$1800,Z$1)</f>
        <v>0</v>
      </c>
      <c r="AA170" s="117" t="n">
        <f aca="false">SUMIFS(الريسبي!$C$2:$C$1800,الريسبي!$A$2:$A$1800,$A170,الريسبي!$B$2:$B$1800,AA$1)</f>
        <v>0</v>
      </c>
      <c r="AB170" s="117" t="n">
        <f aca="false">SUMIFS(الريسبي!$C$2:$C$1800,الريسبي!$A$2:$A$1800,$A170,الريسبي!$B$2:$B$1800,AB$1)</f>
        <v>0</v>
      </c>
      <c r="AC170" s="117" t="n">
        <f aca="false">SUMIFS(الريسبي!$C$2:$C$1800,الريسبي!$A$2:$A$1800,$A170,الريسبي!$B$2:$B$1800,AC$1)</f>
        <v>0</v>
      </c>
      <c r="AD170" s="117" t="n">
        <f aca="false">SUMIFS(الريسبي!$C$2:$C$1800,الريسبي!$A$2:$A$1800,$A170,الريسبي!$B$2:$B$1800,AD$1)</f>
        <v>0</v>
      </c>
      <c r="AE170" s="117" t="n">
        <f aca="false">SUMIFS(الريسبي!$C$2:$C$1800,الريسبي!$A$2:$A$1800,$A170,الريسبي!$B$2:$B$1800,AE$1)</f>
        <v>0</v>
      </c>
      <c r="AF170" s="117" t="n">
        <f aca="false">SUMIFS(الريسبي!$C$2:$C$1800,الريسبي!$A$2:$A$1800,$A170,الريسبي!$B$2:$B$1800,AF$1)</f>
        <v>0</v>
      </c>
      <c r="AG170" s="117" t="n">
        <f aca="false">SUMIFS(الريسبي!$C$2:$C$1800,الريسبي!$A$2:$A$1800,$A170,الريسبي!$B$2:$B$1800,AG$1)</f>
        <v>0</v>
      </c>
      <c r="AH170" s="117" t="n">
        <f aca="false">SUMIFS(الريسبي!$C$2:$C$1800,الريسبي!$A$2:$A$1800,$A170,الريسبي!$B$2:$B$1800,AH$1)</f>
        <v>0</v>
      </c>
      <c r="AI170" s="117" t="n">
        <f aca="false">SUMIFS(الريسبي!$C$2:$C$1800,الريسبي!$A$2:$A$1800,$A170,الريسبي!$B$2:$B$1800,AI$1)</f>
        <v>0</v>
      </c>
      <c r="AJ170" s="117" t="n">
        <f aca="false">SUMIFS(الريسبي!$C$2:$C$1800,الريسبي!$A$2:$A$1800,$A170,الريسبي!$B$2:$B$1800,AJ$1)</f>
        <v>0</v>
      </c>
      <c r="AK170" s="117" t="n">
        <f aca="false">SUMIFS(الريسبي!$C$2:$C$1800,الريسبي!$A$2:$A$1800,$A170,الريسبي!$B$2:$B$1800,AK$1)</f>
        <v>0</v>
      </c>
      <c r="AL170" s="117" t="n">
        <f aca="false">SUMIFS(الريسبي!$C$2:$C$1800,الريسبي!$A$2:$A$1800,$A170,الريسبي!$B$2:$B$1800,AL$1)</f>
        <v>0</v>
      </c>
      <c r="AM170" s="117" t="n">
        <f aca="false">SUMIFS(الريسبي!$C$2:$C$1800,الريسبي!$A$2:$A$1800,$A170,الريسبي!$B$2:$B$1800,AM$1)+0.08333333333*SUMIFS(الريسبي!$C$2:$C$1800,الريسبي!$A$2:$A$1800,$A170,الريسبي!$B$2:$B$1800,"عجين كريب (مصنع بالمطعم)")+0.08333333333*SUMIFS(الريسبي!$C$2:$C$1800,الريسبي!$A$2:$A$1800,$A170,الريسبي!$B$2:$B$1800,"عجين كريب صيامي (بدون لبن)")</f>
        <v>0</v>
      </c>
      <c r="AN170" s="117" t="n">
        <f aca="false">SUMIFS(الريسبي!$C$2:$C$1800,الريسبي!$A$2:$A$1800,$A170,الريسبي!$B$2:$B$1800,AN$1)+0.004166666667*SUMIFS(الريسبي!$C$2:$C$1800,الريسبي!$A$2:$A$1800,$A170,الريسبي!$B$2:$B$1800,"عجين كريب (مصنع بالمطعم)")+0.004166666667*SUMIFS(الريسبي!$C$2:$C$1800,الريسبي!$A$2:$A$1800,$A170,الريسبي!$B$2:$B$1800,"عجين كريب صيامي (بدون لبن)")</f>
        <v>0</v>
      </c>
      <c r="AO170" s="117" t="n">
        <f aca="false">SUMIFS(الريسبي!$C$2:$C$1800,الريسبي!$A$2:$A$1800,$A170,الريسبي!$B$2:$B$1800,AO$1)</f>
        <v>0</v>
      </c>
      <c r="AP170" s="117" t="n">
        <f aca="false">SUMIFS(الريسبي!$C$2:$C$1800,الريسبي!$A$2:$A$1800,$A170,الريسبي!$B$2:$B$1800,AP$1)</f>
        <v>0</v>
      </c>
      <c r="AQ170" s="117" t="n">
        <f aca="false">SUMIFS(الريسبي!$C$2:$C$1800,الريسبي!$A$2:$A$1800,$A170,الريسبي!$B$2:$B$1800,AQ$1)+0.004166666667*SUMIFS(الريسبي!$C$2:$C$1800,الريسبي!$A$2:$A$1800,$A170,الريسبي!$B$2:$B$1800,"عجين كريب (مصنع بالمطعم)")+0.004166666667*SUMIFS(الريسبي!$C$2:$C$1800,الريسبي!$A$2:$A$1800,$A170,الريسبي!$B$2:$B$1800,"عجين كريب صيامي (بدون لبن)")</f>
        <v>0</v>
      </c>
      <c r="AR170" s="117" t="n">
        <f aca="false">SUMIFS(الريسبي!$C$2:$C$1800,الريسبي!$A$2:$A$1800,$A170,الريسبي!$B$2:$B$1800,AR$1)</f>
        <v>0</v>
      </c>
      <c r="AS170" s="117" t="n">
        <f aca="false">SUMIFS(الريسبي!$C$2:$C$1800,الريسبي!$A$2:$A$1800,$A170,الريسبي!$B$2:$B$1800,AS$1)</f>
        <v>0</v>
      </c>
      <c r="AT170" s="117" t="n">
        <f aca="false">SUMIFS(الريسبي!$C$2:$C$1800,الريسبي!$A$2:$A$1800,$A170,الريسبي!$B$2:$B$1800,AT$1)</f>
        <v>0</v>
      </c>
      <c r="AU170" s="117" t="n">
        <f aca="false">SUMIFS(الريسبي!$C$2:$C$1800,الريسبي!$A$2:$A$1800,$A170,الريسبي!$B$2:$B$1800,AU$1)</f>
        <v>0</v>
      </c>
      <c r="AV170" s="117" t="n">
        <f aca="false">SUMIFS(الريسبي!$C$2:$C$1800,الريسبي!$A$2:$A$1800,$A170,الريسبي!$B$2:$B$1800,AV$1)</f>
        <v>0</v>
      </c>
      <c r="AW170" s="117" t="n">
        <f aca="false">SUMIFS(الريسبي!$C$2:$C$1800,الريسبي!$A$2:$A$1800,$A170,الريسبي!$B$2:$B$1800,AW$1)</f>
        <v>0</v>
      </c>
      <c r="AX170" s="117" t="n">
        <f aca="false">SUMIFS(الريسبي!$C$2:$C$1800,الريسبي!$A$2:$A$1800,$A170,الريسبي!$B$2:$B$1800,AX$1)</f>
        <v>0</v>
      </c>
      <c r="AY170" s="117" t="n">
        <f aca="false">SUMIFS(الريسبي!$C$2:$C$1800,الريسبي!$A$2:$A$1800,$A170,الريسبي!$B$2:$B$1800,AY$1)</f>
        <v>0</v>
      </c>
      <c r="AZ170" s="117" t="n">
        <f aca="false">SUMIFS(الريسبي!$C$2:$C$1800,الريسبي!$A$2:$A$1800,$A170,الريسبي!$B$2:$B$1800,AZ$1)</f>
        <v>0</v>
      </c>
      <c r="BA170" s="117" t="n">
        <f aca="false">SUMIFS(الريسبي!$C$2:$C$1800,الريسبي!$A$2:$A$1800,$A170,الريسبي!$B$2:$B$1800,BA$1)</f>
        <v>0</v>
      </c>
      <c r="BB170" s="117" t="n">
        <f aca="false">SUMIFS(الريسبي!$C$2:$C$1800,الريسبي!$A$2:$A$1800,$A170,الريسبي!$B$2:$B$1800,BB$1)</f>
        <v>0.15</v>
      </c>
      <c r="BC170" s="117" t="n">
        <f aca="false">SUMIFS(الريسبي!$C$2:$C$1800,الريسبي!$A$2:$A$1800,$A170,الريسبي!$B$2:$B$1800,BC$1)</f>
        <v>0</v>
      </c>
      <c r="BD170" s="117" t="n">
        <f aca="false">SUMIFS(الريسبي!$C$2:$C$1800,الريسبي!$A$2:$A$1800,$A170,الريسبي!$B$2:$B$1800,BD$1)</f>
        <v>0</v>
      </c>
      <c r="BE170" s="117" t="n">
        <f aca="false">SUMIFS(الريسبي!$C$2:$C$1800,الريسبي!$A$2:$A$1800,$A170,الريسبي!$B$2:$B$1800,BE$1)</f>
        <v>0</v>
      </c>
      <c r="BF170" s="117" t="n">
        <f aca="false">SUMIFS(الريسبي!$C$2:$C$1800,الريسبي!$A$2:$A$1800,$A170,الريسبي!$B$2:$B$1800,BF$1)</f>
        <v>0</v>
      </c>
      <c r="BG170" s="117" t="n">
        <f aca="false">SUMIFS(الريسبي!$C$2:$C$1800,الريسبي!$A$2:$A$1800,$A170,الريسبي!$B$2:$B$1800,BG$1)</f>
        <v>0</v>
      </c>
      <c r="BH170" s="117" t="n">
        <f aca="false">SUMIFS(الريسبي!$C$2:$C$1800,الريسبي!$A$2:$A$1800,$A170,الريسبي!$B$2:$B$1800,BH$1)</f>
        <v>0</v>
      </c>
      <c r="BI170" s="117" t="n">
        <f aca="false">SUMIFS(الريسبي!$C$2:$C$1800,الريسبي!$A$2:$A$1800,$A170,الريسبي!$B$2:$B$1800,BI$1)</f>
        <v>0</v>
      </c>
      <c r="BJ170" s="117" t="n">
        <f aca="false">SUMIFS(الريسبي!$C$2:$C$1800,الريسبي!$A$2:$A$1800,$A170,الريسبي!$B$2:$B$1800,BJ$1)</f>
        <v>0</v>
      </c>
      <c r="BK170" s="117" t="n">
        <f aca="false">SUMIFS(الريسبي!$C$2:$C$1800,الريسبي!$A$2:$A$1800,$A170,الريسبي!$B$2:$B$1800,BK$1)</f>
        <v>0</v>
      </c>
      <c r="BL170" s="117" t="n">
        <f aca="false">SUMIFS(الريسبي!$C$2:$C$1800,الريسبي!$A$2:$A$1800,$A170,الريسبي!$B$2:$B$1800,BL$1)</f>
        <v>0</v>
      </c>
      <c r="BM170" s="117" t="n">
        <f aca="false">SUMIFS(الريسبي!$C$2:$C$1800,الريسبي!$A$2:$A$1800,$A170,الريسبي!$B$2:$B$1800,BM$1)</f>
        <v>0</v>
      </c>
      <c r="BN170" s="117" t="n">
        <f aca="false">SUMIFS(الريسبي!$C$2:$C$1800,الريسبي!$A$2:$A$1800,$A170,الريسبي!$B$2:$B$1800,BN$1)</f>
        <v>0</v>
      </c>
      <c r="BO170" s="117" t="n">
        <f aca="false">SUMIFS(الريسبي!$C$2:$C$1800,الريسبي!$A$2:$A$1800,$A170,الريسبي!$B$2:$B$1800,BO$1)</f>
        <v>0</v>
      </c>
      <c r="BP170" s="117" t="n">
        <f aca="false">SUMIFS(الريسبي!$C$2:$C$1800,الريسبي!$A$2:$A$1800,$A170,الريسبي!$B$2:$B$1800,BP$1)</f>
        <v>0</v>
      </c>
      <c r="BQ170" s="117" t="n">
        <f aca="false">SUMIFS(الريسبي!$C$2:$C$1800,الريسبي!$A$2:$A$1800,$A170,الريسبي!$B$2:$B$1800,BQ$1)+0.17*SUMIFS(الريسبي!$C$2:$C$1800,الريسبي!$A$2:$A$1800,$A170,الريسبي!$B$2:$B$1800,"كاسترد مصنع (خليط بودر + لبن)")+0.17*SUMIFS(الريسبي!$C$2:$C$1800,الريسبي!$A$2:$A$1800,$A170,الريسبي!$B$2:$B$1800,"كاسترد مصنع صيامي (بدون لبن)")</f>
        <v>0</v>
      </c>
      <c r="BR170" s="117" t="n">
        <f aca="false">SUMIFS(الريسبي!$C$2:$C$1800,الريسبي!$A$2:$A$1800,$A170,الريسبي!$B$2:$B$1800,BR$1)</f>
        <v>0</v>
      </c>
      <c r="BS170" s="117" t="n">
        <f aca="false">SUMIFS(الريسبي!$C$2:$C$1800,الريسبي!$A$2:$A$1800,$A170,الريسبي!$B$2:$B$1800,BS$1)</f>
        <v>0</v>
      </c>
      <c r="BT170" s="117" t="n">
        <f aca="false">SUMIFS(الريسبي!$C$2:$C$1800,الريسبي!$A$2:$A$1800,$A170,الريسبي!$B$2:$B$1800,BT$1)</f>
        <v>0</v>
      </c>
      <c r="BU170" s="117" t="n">
        <f aca="false">SUMIFS(الريسبي!$C$2:$C$1800,الريسبي!$A$2:$A$1800,$A170,الريسبي!$B$2:$B$1800,BU$1)+0.4*SUMIFS(الريسبي!$C$2:$C$1800,الريسبي!$A$2:$A$1800,$A170,الريسبي!$B$2:$B$1800,"كاسترد مصنع (خليط بودر + لبن)")+0.03333333333*SUMIFS(الريسبي!$C$2:$C$1800,الريسبي!$A$2:$A$1800,$A170,الريسبي!$B$2:$B$1800,"عجين كريب (مصنع بالمطعم)")</f>
        <v>0</v>
      </c>
      <c r="BV170" s="117" t="n">
        <f aca="false">SUMIFS(الريسبي!$C$2:$C$1800,الريسبي!$A$2:$A$1800,$A170,الريسبي!$B$2:$B$1800,BV$1)</f>
        <v>0</v>
      </c>
      <c r="BW170" s="117" t="n">
        <f aca="false">SUMIFS(الريسبي!$C$2:$C$1800,الريسبي!$A$2:$A$1800,$A170,الريسبي!$B$2:$B$1800,BW$1)</f>
        <v>0</v>
      </c>
      <c r="BX170" s="117" t="n">
        <f aca="false">SUMIFS(الريسبي!$C$2:$C$1800,الريسبي!$A$2:$A$1800,$A170,الريسبي!$B$2:$B$1800,BX$1)</f>
        <v>0</v>
      </c>
      <c r="BY170" s="117" t="n">
        <f aca="false">SUMIFS(الريسبي!$C$2:$C$1800,الريسبي!$A$2:$A$1800,$A170,الريسبي!$B$2:$B$1800,BY$1)</f>
        <v>0</v>
      </c>
      <c r="BZ170" s="117" t="n">
        <f aca="false">SUMIFS(الريسبي!$C$2:$C$1800,الريسبي!$A$2:$A$1800,$A170,الريسبي!$B$2:$B$1800,BZ$1)</f>
        <v>0</v>
      </c>
      <c r="CA170" s="117" t="n">
        <f aca="false">SUMIFS(الريسبي!$C$2:$C$1800,الريسبي!$A$2:$A$1800,$A170,الريسبي!$B$2:$B$1800,CA$1)</f>
        <v>0</v>
      </c>
      <c r="CB170" s="117" t="n">
        <f aca="false">SUMIFS(الريسبي!$C$2:$C$1800,الريسبي!$A$2:$A$1800,$A170,الريسبي!$B$2:$B$1800,CB$1)</f>
        <v>0</v>
      </c>
      <c r="CC170" s="117" t="n">
        <f aca="false">SUMIFS(الريسبي!$C$2:$C$1800,الريسبي!$A$2:$A$1800,$A170,الريسبي!$B$2:$B$1800,CC$1)</f>
        <v>0</v>
      </c>
      <c r="CD170" s="117" t="n">
        <f aca="false">SUMIFS(الريسبي!$C$2:$C$1800,الريسبي!$A$2:$A$1800,$A170,الريسبي!$B$2:$B$1800,CD$1)</f>
        <v>0</v>
      </c>
      <c r="CE170" s="117" t="n">
        <f aca="false">SUMIFS(الريسبي!$C$2:$C$1800,الريسبي!$A$2:$A$1800,$A170,الريسبي!$B$2:$B$1800,CE$1)</f>
        <v>0</v>
      </c>
      <c r="CF170" s="117" t="n">
        <f aca="false">SUMIFS(الريسبي!$C$2:$C$1800,الريسبي!$A$2:$A$1800,$A170,الريسبي!$B$2:$B$1800,CF$1)</f>
        <v>0</v>
      </c>
      <c r="CG170" s="117" t="n">
        <f aca="false">SUMIFS(الريسبي!$C$2:$C$1800,الريسبي!$A$2:$A$1800,$A170,الريسبي!$B$2:$B$1800,CG$1)</f>
        <v>0</v>
      </c>
      <c r="CH170" s="117" t="n">
        <f aca="false">SUMIFS(الريسبي!$C$2:$C$1800,الريسبي!$A$2:$A$1800,$A170,الريسبي!$B$2:$B$1800,CH$1)</f>
        <v>0</v>
      </c>
      <c r="CI170" s="117" t="n">
        <f aca="false">SUMIFS(الريسبي!$C$2:$C$1800,الريسبي!$A$2:$A$1800,$A170,الريسبي!$B$2:$B$1800,CI$1)</f>
        <v>0</v>
      </c>
      <c r="CJ170" s="117" t="n">
        <f aca="false">SUMIFS(الريسبي!$C$2:$C$1800,الريسبي!$A$2:$A$1800,$A170,الريسبي!$B$2:$B$1800,CJ$1)</f>
        <v>0</v>
      </c>
      <c r="CK170" s="117" t="n">
        <f aca="false">SUMIFS(الريسبي!$C$2:$C$1800,الريسبي!$A$2:$A$1800,$A170,الريسبي!$B$2:$B$1800,CK$1)</f>
        <v>0</v>
      </c>
      <c r="CL170" s="117" t="n">
        <f aca="false">SUMIFS(الريسبي!$C$2:$C$1800,الريسبي!$A$2:$A$1800,$A170,الريسبي!$B$2:$B$1800,CL$1)</f>
        <v>0</v>
      </c>
    </row>
    <row r="171" customFormat="false" ht="15" hidden="false" customHeight="false" outlineLevel="0" collapsed="false">
      <c r="A171" s="116" t="str">
        <f aca="false">المنيو!B171</f>
        <v>صوص باربيكيو إضافي (M)</v>
      </c>
      <c r="B171" s="117" t="n">
        <f aca="false">SUMIFS(الريسبي!$C$2:$C$1800,الريسبي!$A$2:$A$1800,$A171,الريسبي!$B$2:$B$1800,B$1)</f>
        <v>0</v>
      </c>
      <c r="C171" s="117" t="n">
        <f aca="false">SUMIFS(الريسبي!$C$2:$C$1800,الريسبي!$A$2:$A$1800,$A171,الريسبي!$B$2:$B$1800,C$1)</f>
        <v>0</v>
      </c>
      <c r="D171" s="117" t="n">
        <f aca="false">SUMIFS(الريسبي!$C$2:$C$1800,الريسبي!$A$2:$A$1800,$A171,الريسبي!$B$2:$B$1800,D$1)</f>
        <v>0</v>
      </c>
      <c r="E171" s="117" t="n">
        <f aca="false">SUMIFS(الريسبي!$C$2:$C$1800,الريسبي!$A$2:$A$1800,$A171,الريسبي!$B$2:$B$1800,E$1)</f>
        <v>0</v>
      </c>
      <c r="F171" s="117" t="n">
        <f aca="false">SUMIFS(الريسبي!$C$2:$C$1800,الريسبي!$A$2:$A$1800,$A171,الريسبي!$B$2:$B$1800,F$1)</f>
        <v>0</v>
      </c>
      <c r="G171" s="117" t="n">
        <f aca="false">SUMIFS(الريسبي!$C$2:$C$1800,الريسبي!$A$2:$A$1800,$A171,الريسبي!$B$2:$B$1800,G$1)</f>
        <v>0</v>
      </c>
      <c r="H171" s="117" t="n">
        <f aca="false">SUMIFS(الريسبي!$C$2:$C$1800,الريسبي!$A$2:$A$1800,$A171,الريسبي!$B$2:$B$1800,H$1)</f>
        <v>0</v>
      </c>
      <c r="I171" s="117" t="n">
        <f aca="false">SUMIFS(الريسبي!$C$2:$C$1800,الريسبي!$A$2:$A$1800,$A171,الريسبي!$B$2:$B$1800,I$1)</f>
        <v>0</v>
      </c>
      <c r="J171" s="117" t="n">
        <f aca="false">SUMIFS(الريسبي!$C$2:$C$1800,الريسبي!$A$2:$A$1800,$A171,الريسبي!$B$2:$B$1800,J$1)</f>
        <v>0</v>
      </c>
      <c r="K171" s="117" t="n">
        <f aca="false">SUMIFS(الريسبي!$C$2:$C$1800,الريسبي!$A$2:$A$1800,$A171,الريسبي!$B$2:$B$1800,K$1)</f>
        <v>0</v>
      </c>
      <c r="L171" s="117" t="n">
        <f aca="false">SUMIFS(الريسبي!$C$2:$C$1800,الريسبي!$A$2:$A$1800,$A171,الريسبي!$B$2:$B$1800,L$1)</f>
        <v>0</v>
      </c>
      <c r="M171" s="117" t="n">
        <f aca="false">SUMIFS(الريسبي!$C$2:$C$1800,الريسبي!$A$2:$A$1800,$A171,الريسبي!$B$2:$B$1800,M$1)</f>
        <v>0</v>
      </c>
      <c r="N171" s="117" t="n">
        <f aca="false">SUMIFS(الريسبي!$C$2:$C$1800,الريسبي!$A$2:$A$1800,$A171,الريسبي!$B$2:$B$1800,N$1)</f>
        <v>0</v>
      </c>
      <c r="O171" s="117" t="n">
        <f aca="false">SUMIFS(الريسبي!$C$2:$C$1800,الريسبي!$A$2:$A$1800,$A171,الريسبي!$B$2:$B$1800,O$1)</f>
        <v>0</v>
      </c>
      <c r="P171" s="117" t="n">
        <f aca="false">SUMIFS(الريسبي!$C$2:$C$1800,الريسبي!$A$2:$A$1800,$A171,الريسبي!$B$2:$B$1800,P$1)</f>
        <v>0</v>
      </c>
      <c r="Q171" s="117" t="n">
        <f aca="false">SUMIFS(الريسبي!$C$2:$C$1800,الريسبي!$A$2:$A$1800,$A171,الريسبي!$B$2:$B$1800,Q$1)</f>
        <v>0</v>
      </c>
      <c r="R171" s="117" t="n">
        <f aca="false">SUMIFS(الريسبي!$C$2:$C$1800,الريسبي!$A$2:$A$1800,$A171,الريسبي!$B$2:$B$1800,R$1)</f>
        <v>0</v>
      </c>
      <c r="S171" s="117" t="n">
        <f aca="false">SUMIFS(الريسبي!$C$2:$C$1800,الريسبي!$A$2:$A$1800,$A171,الريسبي!$B$2:$B$1800,S$1)</f>
        <v>0</v>
      </c>
      <c r="T171" s="117" t="n">
        <f aca="false">SUMIFS(الريسبي!$C$2:$C$1800,الريسبي!$A$2:$A$1800,$A171,الريسبي!$B$2:$B$1800,T$1)</f>
        <v>0</v>
      </c>
      <c r="U171" s="117" t="n">
        <f aca="false">SUMIFS(الريسبي!$C$2:$C$1800,الريسبي!$A$2:$A$1800,$A171,الريسبي!$B$2:$B$1800,U$1)</f>
        <v>0</v>
      </c>
      <c r="V171" s="117" t="n">
        <f aca="false">SUMIFS(الريسبي!$C$2:$C$1800,الريسبي!$A$2:$A$1800,$A171,الريسبي!$B$2:$B$1800,V$1)</f>
        <v>0</v>
      </c>
      <c r="W171" s="117" t="n">
        <f aca="false">SUMIFS(الريسبي!$C$2:$C$1800,الريسبي!$A$2:$A$1800,$A171,الريسبي!$B$2:$B$1800,W$1)</f>
        <v>0</v>
      </c>
      <c r="X171" s="117" t="n">
        <f aca="false">SUMIFS(الريسبي!$C$2:$C$1800,الريسبي!$A$2:$A$1800,$A171,الريسبي!$B$2:$B$1800,X$1)</f>
        <v>0</v>
      </c>
      <c r="Y171" s="117" t="n">
        <f aca="false">SUMIFS(الريسبي!$C$2:$C$1800,الريسبي!$A$2:$A$1800,$A171,الريسبي!$B$2:$B$1800,Y$1)</f>
        <v>0</v>
      </c>
      <c r="Z171" s="117" t="n">
        <f aca="false">SUMIFS(الريسبي!$C$2:$C$1800,الريسبي!$A$2:$A$1800,$A171,الريسبي!$B$2:$B$1800,Z$1)</f>
        <v>0</v>
      </c>
      <c r="AA171" s="117" t="n">
        <f aca="false">SUMIFS(الريسبي!$C$2:$C$1800,الريسبي!$A$2:$A$1800,$A171,الريسبي!$B$2:$B$1800,AA$1)</f>
        <v>0</v>
      </c>
      <c r="AB171" s="117" t="n">
        <f aca="false">SUMIFS(الريسبي!$C$2:$C$1800,الريسبي!$A$2:$A$1800,$A171,الريسبي!$B$2:$B$1800,AB$1)</f>
        <v>0</v>
      </c>
      <c r="AC171" s="117" t="n">
        <f aca="false">SUMIFS(الريسبي!$C$2:$C$1800,الريسبي!$A$2:$A$1800,$A171,الريسبي!$B$2:$B$1800,AC$1)</f>
        <v>0</v>
      </c>
      <c r="AD171" s="117" t="n">
        <f aca="false">SUMIFS(الريسبي!$C$2:$C$1800,الريسبي!$A$2:$A$1800,$A171,الريسبي!$B$2:$B$1800,AD$1)</f>
        <v>0</v>
      </c>
      <c r="AE171" s="117" t="n">
        <f aca="false">SUMIFS(الريسبي!$C$2:$C$1800,الريسبي!$A$2:$A$1800,$A171,الريسبي!$B$2:$B$1800,AE$1)</f>
        <v>0</v>
      </c>
      <c r="AF171" s="117" t="n">
        <f aca="false">SUMIFS(الريسبي!$C$2:$C$1800,الريسبي!$A$2:$A$1800,$A171,الريسبي!$B$2:$B$1800,AF$1)</f>
        <v>0</v>
      </c>
      <c r="AG171" s="117" t="n">
        <f aca="false">SUMIFS(الريسبي!$C$2:$C$1800,الريسبي!$A$2:$A$1800,$A171,الريسبي!$B$2:$B$1800,AG$1)</f>
        <v>0</v>
      </c>
      <c r="AH171" s="117" t="n">
        <f aca="false">SUMIFS(الريسبي!$C$2:$C$1800,الريسبي!$A$2:$A$1800,$A171,الريسبي!$B$2:$B$1800,AH$1)</f>
        <v>0</v>
      </c>
      <c r="AI171" s="117" t="n">
        <f aca="false">SUMIFS(الريسبي!$C$2:$C$1800,الريسبي!$A$2:$A$1800,$A171,الريسبي!$B$2:$B$1800,AI$1)</f>
        <v>0</v>
      </c>
      <c r="AJ171" s="117" t="n">
        <f aca="false">SUMIFS(الريسبي!$C$2:$C$1800,الريسبي!$A$2:$A$1800,$A171,الريسبي!$B$2:$B$1800,AJ$1)</f>
        <v>0</v>
      </c>
      <c r="AK171" s="117" t="n">
        <f aca="false">SUMIFS(الريسبي!$C$2:$C$1800,الريسبي!$A$2:$A$1800,$A171,الريسبي!$B$2:$B$1800,AK$1)</f>
        <v>0</v>
      </c>
      <c r="AL171" s="117" t="n">
        <f aca="false">SUMIFS(الريسبي!$C$2:$C$1800,الريسبي!$A$2:$A$1800,$A171,الريسبي!$B$2:$B$1800,AL$1)</f>
        <v>0</v>
      </c>
      <c r="AM171" s="117" t="n">
        <f aca="false">SUMIFS(الريسبي!$C$2:$C$1800,الريسبي!$A$2:$A$1800,$A171,الريسبي!$B$2:$B$1800,AM$1)+0.08333333333*SUMIFS(الريسبي!$C$2:$C$1800,الريسبي!$A$2:$A$1800,$A171,الريسبي!$B$2:$B$1800,"عجين كريب (مصنع بالمطعم)")+0.08333333333*SUMIFS(الريسبي!$C$2:$C$1800,الريسبي!$A$2:$A$1800,$A171,الريسبي!$B$2:$B$1800,"عجين كريب صيامي (بدون لبن)")</f>
        <v>0</v>
      </c>
      <c r="AN171" s="117" t="n">
        <f aca="false">SUMIFS(الريسبي!$C$2:$C$1800,الريسبي!$A$2:$A$1800,$A171,الريسبي!$B$2:$B$1800,AN$1)+0.004166666667*SUMIFS(الريسبي!$C$2:$C$1800,الريسبي!$A$2:$A$1800,$A171,الريسبي!$B$2:$B$1800,"عجين كريب (مصنع بالمطعم)")+0.004166666667*SUMIFS(الريسبي!$C$2:$C$1800,الريسبي!$A$2:$A$1800,$A171,الريسبي!$B$2:$B$1800,"عجين كريب صيامي (بدون لبن)")</f>
        <v>0</v>
      </c>
      <c r="AO171" s="117" t="n">
        <f aca="false">SUMIFS(الريسبي!$C$2:$C$1800,الريسبي!$A$2:$A$1800,$A171,الريسبي!$B$2:$B$1800,AO$1)</f>
        <v>0</v>
      </c>
      <c r="AP171" s="117" t="n">
        <f aca="false">SUMIFS(الريسبي!$C$2:$C$1800,الريسبي!$A$2:$A$1800,$A171,الريسبي!$B$2:$B$1800,AP$1)</f>
        <v>0</v>
      </c>
      <c r="AQ171" s="117" t="n">
        <f aca="false">SUMIFS(الريسبي!$C$2:$C$1800,الريسبي!$A$2:$A$1800,$A171,الريسبي!$B$2:$B$1800,AQ$1)+0.004166666667*SUMIFS(الريسبي!$C$2:$C$1800,الريسبي!$A$2:$A$1800,$A171,الريسبي!$B$2:$B$1800,"عجين كريب (مصنع بالمطعم)")+0.004166666667*SUMIFS(الريسبي!$C$2:$C$1800,الريسبي!$A$2:$A$1800,$A171,الريسبي!$B$2:$B$1800,"عجين كريب صيامي (بدون لبن)")</f>
        <v>0</v>
      </c>
      <c r="AR171" s="117" t="n">
        <f aca="false">SUMIFS(الريسبي!$C$2:$C$1800,الريسبي!$A$2:$A$1800,$A171,الريسبي!$B$2:$B$1800,AR$1)</f>
        <v>0</v>
      </c>
      <c r="AS171" s="117" t="n">
        <f aca="false">SUMIFS(الريسبي!$C$2:$C$1800,الريسبي!$A$2:$A$1800,$A171,الريسبي!$B$2:$B$1800,AS$1)</f>
        <v>0</v>
      </c>
      <c r="AT171" s="117" t="n">
        <f aca="false">SUMIFS(الريسبي!$C$2:$C$1800,الريسبي!$A$2:$A$1800,$A171,الريسبي!$B$2:$B$1800,AT$1)</f>
        <v>0</v>
      </c>
      <c r="AU171" s="117" t="n">
        <f aca="false">SUMIFS(الريسبي!$C$2:$C$1800,الريسبي!$A$2:$A$1800,$A171,الريسبي!$B$2:$B$1800,AU$1)</f>
        <v>0</v>
      </c>
      <c r="AV171" s="117" t="n">
        <f aca="false">SUMIFS(الريسبي!$C$2:$C$1800,الريسبي!$A$2:$A$1800,$A171,الريسبي!$B$2:$B$1800,AV$1)</f>
        <v>0</v>
      </c>
      <c r="AW171" s="117" t="n">
        <f aca="false">SUMIFS(الريسبي!$C$2:$C$1800,الريسبي!$A$2:$A$1800,$A171,الريسبي!$B$2:$B$1800,AW$1)</f>
        <v>0</v>
      </c>
      <c r="AX171" s="117" t="n">
        <f aca="false">SUMIFS(الريسبي!$C$2:$C$1800,الريسبي!$A$2:$A$1800,$A171,الريسبي!$B$2:$B$1800,AX$1)</f>
        <v>0</v>
      </c>
      <c r="AY171" s="117" t="n">
        <f aca="false">SUMIFS(الريسبي!$C$2:$C$1800,الريسبي!$A$2:$A$1800,$A171,الريسبي!$B$2:$B$1800,AY$1)</f>
        <v>0.1</v>
      </c>
      <c r="AZ171" s="117" t="n">
        <f aca="false">SUMIFS(الريسبي!$C$2:$C$1800,الريسبي!$A$2:$A$1800,$A171,الريسبي!$B$2:$B$1800,AZ$1)</f>
        <v>0</v>
      </c>
      <c r="BA171" s="117" t="n">
        <f aca="false">SUMIFS(الريسبي!$C$2:$C$1800,الريسبي!$A$2:$A$1800,$A171,الريسبي!$B$2:$B$1800,BA$1)</f>
        <v>0</v>
      </c>
      <c r="BB171" s="117" t="n">
        <f aca="false">SUMIFS(الريسبي!$C$2:$C$1800,الريسبي!$A$2:$A$1800,$A171,الريسبي!$B$2:$B$1800,BB$1)</f>
        <v>0</v>
      </c>
      <c r="BC171" s="117" t="n">
        <f aca="false">SUMIFS(الريسبي!$C$2:$C$1800,الريسبي!$A$2:$A$1800,$A171,الريسبي!$B$2:$B$1800,BC$1)</f>
        <v>0</v>
      </c>
      <c r="BD171" s="117" t="n">
        <f aca="false">SUMIFS(الريسبي!$C$2:$C$1800,الريسبي!$A$2:$A$1800,$A171,الريسبي!$B$2:$B$1800,BD$1)</f>
        <v>0</v>
      </c>
      <c r="BE171" s="117" t="n">
        <f aca="false">SUMIFS(الريسبي!$C$2:$C$1800,الريسبي!$A$2:$A$1800,$A171,الريسبي!$B$2:$B$1800,BE$1)</f>
        <v>0</v>
      </c>
      <c r="BF171" s="117" t="n">
        <f aca="false">SUMIFS(الريسبي!$C$2:$C$1800,الريسبي!$A$2:$A$1800,$A171,الريسبي!$B$2:$B$1800,BF$1)</f>
        <v>0</v>
      </c>
      <c r="BG171" s="117" t="n">
        <f aca="false">SUMIFS(الريسبي!$C$2:$C$1800,الريسبي!$A$2:$A$1800,$A171,الريسبي!$B$2:$B$1800,BG$1)</f>
        <v>0</v>
      </c>
      <c r="BH171" s="117" t="n">
        <f aca="false">SUMIFS(الريسبي!$C$2:$C$1800,الريسبي!$A$2:$A$1800,$A171,الريسبي!$B$2:$B$1800,BH$1)</f>
        <v>0</v>
      </c>
      <c r="BI171" s="117" t="n">
        <f aca="false">SUMIFS(الريسبي!$C$2:$C$1800,الريسبي!$A$2:$A$1800,$A171,الريسبي!$B$2:$B$1800,BI$1)</f>
        <v>0</v>
      </c>
      <c r="BJ171" s="117" t="n">
        <f aca="false">SUMIFS(الريسبي!$C$2:$C$1800,الريسبي!$A$2:$A$1800,$A171,الريسبي!$B$2:$B$1800,BJ$1)</f>
        <v>0</v>
      </c>
      <c r="BK171" s="117" t="n">
        <f aca="false">SUMIFS(الريسبي!$C$2:$C$1800,الريسبي!$A$2:$A$1800,$A171,الريسبي!$B$2:$B$1800,BK$1)</f>
        <v>0</v>
      </c>
      <c r="BL171" s="117" t="n">
        <f aca="false">SUMIFS(الريسبي!$C$2:$C$1800,الريسبي!$A$2:$A$1800,$A171,الريسبي!$B$2:$B$1800,BL$1)</f>
        <v>0</v>
      </c>
      <c r="BM171" s="117" t="n">
        <f aca="false">SUMIFS(الريسبي!$C$2:$C$1800,الريسبي!$A$2:$A$1800,$A171,الريسبي!$B$2:$B$1800,BM$1)</f>
        <v>0</v>
      </c>
      <c r="BN171" s="117" t="n">
        <f aca="false">SUMIFS(الريسبي!$C$2:$C$1800,الريسبي!$A$2:$A$1800,$A171,الريسبي!$B$2:$B$1800,BN$1)</f>
        <v>0</v>
      </c>
      <c r="BO171" s="117" t="n">
        <f aca="false">SUMIFS(الريسبي!$C$2:$C$1800,الريسبي!$A$2:$A$1800,$A171,الريسبي!$B$2:$B$1800,BO$1)</f>
        <v>0</v>
      </c>
      <c r="BP171" s="117" t="n">
        <f aca="false">SUMIFS(الريسبي!$C$2:$C$1800,الريسبي!$A$2:$A$1800,$A171,الريسبي!$B$2:$B$1800,BP$1)</f>
        <v>0</v>
      </c>
      <c r="BQ171" s="117" t="n">
        <f aca="false">SUMIFS(الريسبي!$C$2:$C$1800,الريسبي!$A$2:$A$1800,$A171,الريسبي!$B$2:$B$1800,BQ$1)+0.17*SUMIFS(الريسبي!$C$2:$C$1800,الريسبي!$A$2:$A$1800,$A171,الريسبي!$B$2:$B$1800,"كاسترد مصنع (خليط بودر + لبن)")+0.17*SUMIFS(الريسبي!$C$2:$C$1800,الريسبي!$A$2:$A$1800,$A171,الريسبي!$B$2:$B$1800,"كاسترد مصنع صيامي (بدون لبن)")</f>
        <v>0</v>
      </c>
      <c r="BR171" s="117" t="n">
        <f aca="false">SUMIFS(الريسبي!$C$2:$C$1800,الريسبي!$A$2:$A$1800,$A171,الريسبي!$B$2:$B$1800,BR$1)</f>
        <v>0</v>
      </c>
      <c r="BS171" s="117" t="n">
        <f aca="false">SUMIFS(الريسبي!$C$2:$C$1800,الريسبي!$A$2:$A$1800,$A171,الريسبي!$B$2:$B$1800,BS$1)</f>
        <v>0</v>
      </c>
      <c r="BT171" s="117" t="n">
        <f aca="false">SUMIFS(الريسبي!$C$2:$C$1800,الريسبي!$A$2:$A$1800,$A171,الريسبي!$B$2:$B$1800,BT$1)</f>
        <v>0</v>
      </c>
      <c r="BU171" s="117" t="n">
        <f aca="false">SUMIFS(الريسبي!$C$2:$C$1800,الريسبي!$A$2:$A$1800,$A171,الريسبي!$B$2:$B$1800,BU$1)+0.4*SUMIFS(الريسبي!$C$2:$C$1800,الريسبي!$A$2:$A$1800,$A171,الريسبي!$B$2:$B$1800,"كاسترد مصنع (خليط بودر + لبن)")+0.03333333333*SUMIFS(الريسبي!$C$2:$C$1800,الريسبي!$A$2:$A$1800,$A171,الريسبي!$B$2:$B$1800,"عجين كريب (مصنع بالمطعم)")</f>
        <v>0</v>
      </c>
      <c r="BV171" s="117" t="n">
        <f aca="false">SUMIFS(الريسبي!$C$2:$C$1800,الريسبي!$A$2:$A$1800,$A171,الريسبي!$B$2:$B$1800,BV$1)</f>
        <v>0</v>
      </c>
      <c r="BW171" s="117" t="n">
        <f aca="false">SUMIFS(الريسبي!$C$2:$C$1800,الريسبي!$A$2:$A$1800,$A171,الريسبي!$B$2:$B$1800,BW$1)</f>
        <v>0</v>
      </c>
      <c r="BX171" s="117" t="n">
        <f aca="false">SUMIFS(الريسبي!$C$2:$C$1800,الريسبي!$A$2:$A$1800,$A171,الريسبي!$B$2:$B$1800,BX$1)</f>
        <v>0</v>
      </c>
      <c r="BY171" s="117" t="n">
        <f aca="false">SUMIFS(الريسبي!$C$2:$C$1800,الريسبي!$A$2:$A$1800,$A171,الريسبي!$B$2:$B$1800,BY$1)</f>
        <v>0</v>
      </c>
      <c r="BZ171" s="117" t="n">
        <f aca="false">SUMIFS(الريسبي!$C$2:$C$1800,الريسبي!$A$2:$A$1800,$A171,الريسبي!$B$2:$B$1800,BZ$1)</f>
        <v>0</v>
      </c>
      <c r="CA171" s="117" t="n">
        <f aca="false">SUMIFS(الريسبي!$C$2:$C$1800,الريسبي!$A$2:$A$1800,$A171,الريسبي!$B$2:$B$1800,CA$1)</f>
        <v>0</v>
      </c>
      <c r="CB171" s="117" t="n">
        <f aca="false">SUMIFS(الريسبي!$C$2:$C$1800,الريسبي!$A$2:$A$1800,$A171,الريسبي!$B$2:$B$1800,CB$1)</f>
        <v>0</v>
      </c>
      <c r="CC171" s="117" t="n">
        <f aca="false">SUMIFS(الريسبي!$C$2:$C$1800,الريسبي!$A$2:$A$1800,$A171,الريسبي!$B$2:$B$1800,CC$1)</f>
        <v>0</v>
      </c>
      <c r="CD171" s="117" t="n">
        <f aca="false">SUMIFS(الريسبي!$C$2:$C$1800,الريسبي!$A$2:$A$1800,$A171,الريسبي!$B$2:$B$1800,CD$1)</f>
        <v>0</v>
      </c>
      <c r="CE171" s="117" t="n">
        <f aca="false">SUMIFS(الريسبي!$C$2:$C$1800,الريسبي!$A$2:$A$1800,$A171,الريسبي!$B$2:$B$1800,CE$1)</f>
        <v>0</v>
      </c>
      <c r="CF171" s="117" t="n">
        <f aca="false">SUMIFS(الريسبي!$C$2:$C$1800,الريسبي!$A$2:$A$1800,$A171,الريسبي!$B$2:$B$1800,CF$1)</f>
        <v>0</v>
      </c>
      <c r="CG171" s="117" t="n">
        <f aca="false">SUMIFS(الريسبي!$C$2:$C$1800,الريسبي!$A$2:$A$1800,$A171,الريسبي!$B$2:$B$1800,CG$1)</f>
        <v>0</v>
      </c>
      <c r="CH171" s="117" t="n">
        <f aca="false">SUMIFS(الريسبي!$C$2:$C$1800,الريسبي!$A$2:$A$1800,$A171,الريسبي!$B$2:$B$1800,CH$1)</f>
        <v>0</v>
      </c>
      <c r="CI171" s="117" t="n">
        <f aca="false">SUMIFS(الريسبي!$C$2:$C$1800,الريسبي!$A$2:$A$1800,$A171,الريسبي!$B$2:$B$1800,CI$1)</f>
        <v>0</v>
      </c>
      <c r="CJ171" s="117" t="n">
        <f aca="false">SUMIFS(الريسبي!$C$2:$C$1800,الريسبي!$A$2:$A$1800,$A171,الريسبي!$B$2:$B$1800,CJ$1)</f>
        <v>0</v>
      </c>
      <c r="CK171" s="117" t="n">
        <f aca="false">SUMIFS(الريسبي!$C$2:$C$1800,الريسبي!$A$2:$A$1800,$A171,الريسبي!$B$2:$B$1800,CK$1)</f>
        <v>0</v>
      </c>
      <c r="CL171" s="117" t="n">
        <f aca="false">SUMIFS(الريسبي!$C$2:$C$1800,الريسبي!$A$2:$A$1800,$A171,الريسبي!$B$2:$B$1800,CL$1)</f>
        <v>0</v>
      </c>
    </row>
    <row r="172" customFormat="false" ht="15" hidden="false" customHeight="false" outlineLevel="0" collapsed="false">
      <c r="A172" s="116" t="str">
        <f aca="false">المنيو!B172</f>
        <v>صوص باربيكيو إضافي (L)</v>
      </c>
      <c r="B172" s="117" t="n">
        <f aca="false">SUMIFS(الريسبي!$C$2:$C$1800,الريسبي!$A$2:$A$1800,$A172,الريسبي!$B$2:$B$1800,B$1)</f>
        <v>0</v>
      </c>
      <c r="C172" s="117" t="n">
        <f aca="false">SUMIFS(الريسبي!$C$2:$C$1800,الريسبي!$A$2:$A$1800,$A172,الريسبي!$B$2:$B$1800,C$1)</f>
        <v>0</v>
      </c>
      <c r="D172" s="117" t="n">
        <f aca="false">SUMIFS(الريسبي!$C$2:$C$1800,الريسبي!$A$2:$A$1800,$A172,الريسبي!$B$2:$B$1800,D$1)</f>
        <v>0</v>
      </c>
      <c r="E172" s="117" t="n">
        <f aca="false">SUMIFS(الريسبي!$C$2:$C$1800,الريسبي!$A$2:$A$1800,$A172,الريسبي!$B$2:$B$1800,E$1)</f>
        <v>0</v>
      </c>
      <c r="F172" s="117" t="n">
        <f aca="false">SUMIFS(الريسبي!$C$2:$C$1800,الريسبي!$A$2:$A$1800,$A172,الريسبي!$B$2:$B$1800,F$1)</f>
        <v>0</v>
      </c>
      <c r="G172" s="117" t="n">
        <f aca="false">SUMIFS(الريسبي!$C$2:$C$1800,الريسبي!$A$2:$A$1800,$A172,الريسبي!$B$2:$B$1800,G$1)</f>
        <v>0</v>
      </c>
      <c r="H172" s="117" t="n">
        <f aca="false">SUMIFS(الريسبي!$C$2:$C$1800,الريسبي!$A$2:$A$1800,$A172,الريسبي!$B$2:$B$1800,H$1)</f>
        <v>0</v>
      </c>
      <c r="I172" s="117" t="n">
        <f aca="false">SUMIFS(الريسبي!$C$2:$C$1800,الريسبي!$A$2:$A$1800,$A172,الريسبي!$B$2:$B$1800,I$1)</f>
        <v>0</v>
      </c>
      <c r="J172" s="117" t="n">
        <f aca="false">SUMIFS(الريسبي!$C$2:$C$1800,الريسبي!$A$2:$A$1800,$A172,الريسبي!$B$2:$B$1800,J$1)</f>
        <v>0</v>
      </c>
      <c r="K172" s="117" t="n">
        <f aca="false">SUMIFS(الريسبي!$C$2:$C$1800,الريسبي!$A$2:$A$1800,$A172,الريسبي!$B$2:$B$1800,K$1)</f>
        <v>0</v>
      </c>
      <c r="L172" s="117" t="n">
        <f aca="false">SUMIFS(الريسبي!$C$2:$C$1800,الريسبي!$A$2:$A$1800,$A172,الريسبي!$B$2:$B$1800,L$1)</f>
        <v>0</v>
      </c>
      <c r="M172" s="117" t="n">
        <f aca="false">SUMIFS(الريسبي!$C$2:$C$1800,الريسبي!$A$2:$A$1800,$A172,الريسبي!$B$2:$B$1800,M$1)</f>
        <v>0</v>
      </c>
      <c r="N172" s="117" t="n">
        <f aca="false">SUMIFS(الريسبي!$C$2:$C$1800,الريسبي!$A$2:$A$1800,$A172,الريسبي!$B$2:$B$1800,N$1)</f>
        <v>0</v>
      </c>
      <c r="O172" s="117" t="n">
        <f aca="false">SUMIFS(الريسبي!$C$2:$C$1800,الريسبي!$A$2:$A$1800,$A172,الريسبي!$B$2:$B$1800,O$1)</f>
        <v>0</v>
      </c>
      <c r="P172" s="117" t="n">
        <f aca="false">SUMIFS(الريسبي!$C$2:$C$1800,الريسبي!$A$2:$A$1800,$A172,الريسبي!$B$2:$B$1800,P$1)</f>
        <v>0</v>
      </c>
      <c r="Q172" s="117" t="n">
        <f aca="false">SUMIFS(الريسبي!$C$2:$C$1800,الريسبي!$A$2:$A$1800,$A172,الريسبي!$B$2:$B$1800,Q$1)</f>
        <v>0</v>
      </c>
      <c r="R172" s="117" t="n">
        <f aca="false">SUMIFS(الريسبي!$C$2:$C$1800,الريسبي!$A$2:$A$1800,$A172,الريسبي!$B$2:$B$1800,R$1)</f>
        <v>0</v>
      </c>
      <c r="S172" s="117" t="n">
        <f aca="false">SUMIFS(الريسبي!$C$2:$C$1800,الريسبي!$A$2:$A$1800,$A172,الريسبي!$B$2:$B$1800,S$1)</f>
        <v>0</v>
      </c>
      <c r="T172" s="117" t="n">
        <f aca="false">SUMIFS(الريسبي!$C$2:$C$1800,الريسبي!$A$2:$A$1800,$A172,الريسبي!$B$2:$B$1800,T$1)</f>
        <v>0</v>
      </c>
      <c r="U172" s="117" t="n">
        <f aca="false">SUMIFS(الريسبي!$C$2:$C$1800,الريسبي!$A$2:$A$1800,$A172,الريسبي!$B$2:$B$1800,U$1)</f>
        <v>0</v>
      </c>
      <c r="V172" s="117" t="n">
        <f aca="false">SUMIFS(الريسبي!$C$2:$C$1800,الريسبي!$A$2:$A$1800,$A172,الريسبي!$B$2:$B$1800,V$1)</f>
        <v>0</v>
      </c>
      <c r="W172" s="117" t="n">
        <f aca="false">SUMIFS(الريسبي!$C$2:$C$1800,الريسبي!$A$2:$A$1800,$A172,الريسبي!$B$2:$B$1800,W$1)</f>
        <v>0</v>
      </c>
      <c r="X172" s="117" t="n">
        <f aca="false">SUMIFS(الريسبي!$C$2:$C$1800,الريسبي!$A$2:$A$1800,$A172,الريسبي!$B$2:$B$1800,X$1)</f>
        <v>0</v>
      </c>
      <c r="Y172" s="117" t="n">
        <f aca="false">SUMIFS(الريسبي!$C$2:$C$1800,الريسبي!$A$2:$A$1800,$A172,الريسبي!$B$2:$B$1800,Y$1)</f>
        <v>0</v>
      </c>
      <c r="Z172" s="117" t="n">
        <f aca="false">SUMIFS(الريسبي!$C$2:$C$1800,الريسبي!$A$2:$A$1800,$A172,الريسبي!$B$2:$B$1800,Z$1)</f>
        <v>0</v>
      </c>
      <c r="AA172" s="117" t="n">
        <f aca="false">SUMIFS(الريسبي!$C$2:$C$1800,الريسبي!$A$2:$A$1800,$A172,الريسبي!$B$2:$B$1800,AA$1)</f>
        <v>0</v>
      </c>
      <c r="AB172" s="117" t="n">
        <f aca="false">SUMIFS(الريسبي!$C$2:$C$1800,الريسبي!$A$2:$A$1800,$A172,الريسبي!$B$2:$B$1800,AB$1)</f>
        <v>0</v>
      </c>
      <c r="AC172" s="117" t="n">
        <f aca="false">SUMIFS(الريسبي!$C$2:$C$1800,الريسبي!$A$2:$A$1800,$A172,الريسبي!$B$2:$B$1800,AC$1)</f>
        <v>0</v>
      </c>
      <c r="AD172" s="117" t="n">
        <f aca="false">SUMIFS(الريسبي!$C$2:$C$1800,الريسبي!$A$2:$A$1800,$A172,الريسبي!$B$2:$B$1800,AD$1)</f>
        <v>0</v>
      </c>
      <c r="AE172" s="117" t="n">
        <f aca="false">SUMIFS(الريسبي!$C$2:$C$1800,الريسبي!$A$2:$A$1800,$A172,الريسبي!$B$2:$B$1800,AE$1)</f>
        <v>0</v>
      </c>
      <c r="AF172" s="117" t="n">
        <f aca="false">SUMIFS(الريسبي!$C$2:$C$1800,الريسبي!$A$2:$A$1800,$A172,الريسبي!$B$2:$B$1800,AF$1)</f>
        <v>0</v>
      </c>
      <c r="AG172" s="117" t="n">
        <f aca="false">SUMIFS(الريسبي!$C$2:$C$1800,الريسبي!$A$2:$A$1800,$A172,الريسبي!$B$2:$B$1800,AG$1)</f>
        <v>0</v>
      </c>
      <c r="AH172" s="117" t="n">
        <f aca="false">SUMIFS(الريسبي!$C$2:$C$1800,الريسبي!$A$2:$A$1800,$A172,الريسبي!$B$2:$B$1800,AH$1)</f>
        <v>0</v>
      </c>
      <c r="AI172" s="117" t="n">
        <f aca="false">SUMIFS(الريسبي!$C$2:$C$1800,الريسبي!$A$2:$A$1800,$A172,الريسبي!$B$2:$B$1800,AI$1)</f>
        <v>0</v>
      </c>
      <c r="AJ172" s="117" t="n">
        <f aca="false">SUMIFS(الريسبي!$C$2:$C$1800,الريسبي!$A$2:$A$1800,$A172,الريسبي!$B$2:$B$1800,AJ$1)</f>
        <v>0</v>
      </c>
      <c r="AK172" s="117" t="n">
        <f aca="false">SUMIFS(الريسبي!$C$2:$C$1800,الريسبي!$A$2:$A$1800,$A172,الريسبي!$B$2:$B$1800,AK$1)</f>
        <v>0</v>
      </c>
      <c r="AL172" s="117" t="n">
        <f aca="false">SUMIFS(الريسبي!$C$2:$C$1800,الريسبي!$A$2:$A$1800,$A172,الريسبي!$B$2:$B$1800,AL$1)</f>
        <v>0</v>
      </c>
      <c r="AM172" s="117" t="n">
        <f aca="false">SUMIFS(الريسبي!$C$2:$C$1800,الريسبي!$A$2:$A$1800,$A172,الريسبي!$B$2:$B$1800,AM$1)+0.08333333333*SUMIFS(الريسبي!$C$2:$C$1800,الريسبي!$A$2:$A$1800,$A172,الريسبي!$B$2:$B$1800,"عجين كريب (مصنع بالمطعم)")+0.08333333333*SUMIFS(الريسبي!$C$2:$C$1800,الريسبي!$A$2:$A$1800,$A172,الريسبي!$B$2:$B$1800,"عجين كريب صيامي (بدون لبن)")</f>
        <v>0</v>
      </c>
      <c r="AN172" s="117" t="n">
        <f aca="false">SUMIFS(الريسبي!$C$2:$C$1800,الريسبي!$A$2:$A$1800,$A172,الريسبي!$B$2:$B$1800,AN$1)+0.004166666667*SUMIFS(الريسبي!$C$2:$C$1800,الريسبي!$A$2:$A$1800,$A172,الريسبي!$B$2:$B$1800,"عجين كريب (مصنع بالمطعم)")+0.004166666667*SUMIFS(الريسبي!$C$2:$C$1800,الريسبي!$A$2:$A$1800,$A172,الريسبي!$B$2:$B$1800,"عجين كريب صيامي (بدون لبن)")</f>
        <v>0</v>
      </c>
      <c r="AO172" s="117" t="n">
        <f aca="false">SUMIFS(الريسبي!$C$2:$C$1800,الريسبي!$A$2:$A$1800,$A172,الريسبي!$B$2:$B$1800,AO$1)</f>
        <v>0</v>
      </c>
      <c r="AP172" s="117" t="n">
        <f aca="false">SUMIFS(الريسبي!$C$2:$C$1800,الريسبي!$A$2:$A$1800,$A172,الريسبي!$B$2:$B$1800,AP$1)</f>
        <v>0</v>
      </c>
      <c r="AQ172" s="117" t="n">
        <f aca="false">SUMIFS(الريسبي!$C$2:$C$1800,الريسبي!$A$2:$A$1800,$A172,الريسبي!$B$2:$B$1800,AQ$1)+0.004166666667*SUMIFS(الريسبي!$C$2:$C$1800,الريسبي!$A$2:$A$1800,$A172,الريسبي!$B$2:$B$1800,"عجين كريب (مصنع بالمطعم)")+0.004166666667*SUMIFS(الريسبي!$C$2:$C$1800,الريسبي!$A$2:$A$1800,$A172,الريسبي!$B$2:$B$1800,"عجين كريب صيامي (بدون لبن)")</f>
        <v>0</v>
      </c>
      <c r="AR172" s="117" t="n">
        <f aca="false">SUMIFS(الريسبي!$C$2:$C$1800,الريسبي!$A$2:$A$1800,$A172,الريسبي!$B$2:$B$1800,AR$1)</f>
        <v>0</v>
      </c>
      <c r="AS172" s="117" t="n">
        <f aca="false">SUMIFS(الريسبي!$C$2:$C$1800,الريسبي!$A$2:$A$1800,$A172,الريسبي!$B$2:$B$1800,AS$1)</f>
        <v>0</v>
      </c>
      <c r="AT172" s="117" t="n">
        <f aca="false">SUMIFS(الريسبي!$C$2:$C$1800,الريسبي!$A$2:$A$1800,$A172,الريسبي!$B$2:$B$1800,AT$1)</f>
        <v>0</v>
      </c>
      <c r="AU172" s="117" t="n">
        <f aca="false">SUMIFS(الريسبي!$C$2:$C$1800,الريسبي!$A$2:$A$1800,$A172,الريسبي!$B$2:$B$1800,AU$1)</f>
        <v>0</v>
      </c>
      <c r="AV172" s="117" t="n">
        <f aca="false">SUMIFS(الريسبي!$C$2:$C$1800,الريسبي!$A$2:$A$1800,$A172,الريسبي!$B$2:$B$1800,AV$1)</f>
        <v>0</v>
      </c>
      <c r="AW172" s="117" t="n">
        <f aca="false">SUMIFS(الريسبي!$C$2:$C$1800,الريسبي!$A$2:$A$1800,$A172,الريسبي!$B$2:$B$1800,AW$1)</f>
        <v>0</v>
      </c>
      <c r="AX172" s="117" t="n">
        <f aca="false">SUMIFS(الريسبي!$C$2:$C$1800,الريسبي!$A$2:$A$1800,$A172,الريسبي!$B$2:$B$1800,AX$1)</f>
        <v>0</v>
      </c>
      <c r="AY172" s="117" t="n">
        <f aca="false">SUMIFS(الريسبي!$C$2:$C$1800,الريسبي!$A$2:$A$1800,$A172,الريسبي!$B$2:$B$1800,AY$1)</f>
        <v>0.15</v>
      </c>
      <c r="AZ172" s="117" t="n">
        <f aca="false">SUMIFS(الريسبي!$C$2:$C$1800,الريسبي!$A$2:$A$1800,$A172,الريسبي!$B$2:$B$1800,AZ$1)</f>
        <v>0</v>
      </c>
      <c r="BA172" s="117" t="n">
        <f aca="false">SUMIFS(الريسبي!$C$2:$C$1800,الريسبي!$A$2:$A$1800,$A172,الريسبي!$B$2:$B$1800,BA$1)</f>
        <v>0</v>
      </c>
      <c r="BB172" s="117" t="n">
        <f aca="false">SUMIFS(الريسبي!$C$2:$C$1800,الريسبي!$A$2:$A$1800,$A172,الريسبي!$B$2:$B$1800,BB$1)</f>
        <v>0</v>
      </c>
      <c r="BC172" s="117" t="n">
        <f aca="false">SUMIFS(الريسبي!$C$2:$C$1800,الريسبي!$A$2:$A$1800,$A172,الريسبي!$B$2:$B$1800,BC$1)</f>
        <v>0</v>
      </c>
      <c r="BD172" s="117" t="n">
        <f aca="false">SUMIFS(الريسبي!$C$2:$C$1800,الريسبي!$A$2:$A$1800,$A172,الريسبي!$B$2:$B$1800,BD$1)</f>
        <v>0</v>
      </c>
      <c r="BE172" s="117" t="n">
        <f aca="false">SUMIFS(الريسبي!$C$2:$C$1800,الريسبي!$A$2:$A$1800,$A172,الريسبي!$B$2:$B$1800,BE$1)</f>
        <v>0</v>
      </c>
      <c r="BF172" s="117" t="n">
        <f aca="false">SUMIFS(الريسبي!$C$2:$C$1800,الريسبي!$A$2:$A$1800,$A172,الريسبي!$B$2:$B$1800,BF$1)</f>
        <v>0</v>
      </c>
      <c r="BG172" s="117" t="n">
        <f aca="false">SUMIFS(الريسبي!$C$2:$C$1800,الريسبي!$A$2:$A$1800,$A172,الريسبي!$B$2:$B$1800,BG$1)</f>
        <v>0</v>
      </c>
      <c r="BH172" s="117" t="n">
        <f aca="false">SUMIFS(الريسبي!$C$2:$C$1800,الريسبي!$A$2:$A$1800,$A172,الريسبي!$B$2:$B$1800,BH$1)</f>
        <v>0</v>
      </c>
      <c r="BI172" s="117" t="n">
        <f aca="false">SUMIFS(الريسبي!$C$2:$C$1800,الريسبي!$A$2:$A$1800,$A172,الريسبي!$B$2:$B$1800,BI$1)</f>
        <v>0</v>
      </c>
      <c r="BJ172" s="117" t="n">
        <f aca="false">SUMIFS(الريسبي!$C$2:$C$1800,الريسبي!$A$2:$A$1800,$A172,الريسبي!$B$2:$B$1800,BJ$1)</f>
        <v>0</v>
      </c>
      <c r="BK172" s="117" t="n">
        <f aca="false">SUMIFS(الريسبي!$C$2:$C$1800,الريسبي!$A$2:$A$1800,$A172,الريسبي!$B$2:$B$1800,BK$1)</f>
        <v>0</v>
      </c>
      <c r="BL172" s="117" t="n">
        <f aca="false">SUMIFS(الريسبي!$C$2:$C$1800,الريسبي!$A$2:$A$1800,$A172,الريسبي!$B$2:$B$1800,BL$1)</f>
        <v>0</v>
      </c>
      <c r="BM172" s="117" t="n">
        <f aca="false">SUMIFS(الريسبي!$C$2:$C$1800,الريسبي!$A$2:$A$1800,$A172,الريسبي!$B$2:$B$1800,BM$1)</f>
        <v>0</v>
      </c>
      <c r="BN172" s="117" t="n">
        <f aca="false">SUMIFS(الريسبي!$C$2:$C$1800,الريسبي!$A$2:$A$1800,$A172,الريسبي!$B$2:$B$1800,BN$1)</f>
        <v>0</v>
      </c>
      <c r="BO172" s="117" t="n">
        <f aca="false">SUMIFS(الريسبي!$C$2:$C$1800,الريسبي!$A$2:$A$1800,$A172,الريسبي!$B$2:$B$1800,BO$1)</f>
        <v>0</v>
      </c>
      <c r="BP172" s="117" t="n">
        <f aca="false">SUMIFS(الريسبي!$C$2:$C$1800,الريسبي!$A$2:$A$1800,$A172,الريسبي!$B$2:$B$1800,BP$1)</f>
        <v>0</v>
      </c>
      <c r="BQ172" s="117" t="n">
        <f aca="false">SUMIFS(الريسبي!$C$2:$C$1800,الريسبي!$A$2:$A$1800,$A172,الريسبي!$B$2:$B$1800,BQ$1)+0.17*SUMIFS(الريسبي!$C$2:$C$1800,الريسبي!$A$2:$A$1800,$A172,الريسبي!$B$2:$B$1800,"كاسترد مصنع (خليط بودر + لبن)")+0.17*SUMIFS(الريسبي!$C$2:$C$1800,الريسبي!$A$2:$A$1800,$A172,الريسبي!$B$2:$B$1800,"كاسترد مصنع صيامي (بدون لبن)")</f>
        <v>0</v>
      </c>
      <c r="BR172" s="117" t="n">
        <f aca="false">SUMIFS(الريسبي!$C$2:$C$1800,الريسبي!$A$2:$A$1800,$A172,الريسبي!$B$2:$B$1800,BR$1)</f>
        <v>0</v>
      </c>
      <c r="BS172" s="117" t="n">
        <f aca="false">SUMIFS(الريسبي!$C$2:$C$1800,الريسبي!$A$2:$A$1800,$A172,الريسبي!$B$2:$B$1800,BS$1)</f>
        <v>0</v>
      </c>
      <c r="BT172" s="117" t="n">
        <f aca="false">SUMIFS(الريسبي!$C$2:$C$1800,الريسبي!$A$2:$A$1800,$A172,الريسبي!$B$2:$B$1800,BT$1)</f>
        <v>0</v>
      </c>
      <c r="BU172" s="117" t="n">
        <f aca="false">SUMIFS(الريسبي!$C$2:$C$1800,الريسبي!$A$2:$A$1800,$A172,الريسبي!$B$2:$B$1800,BU$1)+0.4*SUMIFS(الريسبي!$C$2:$C$1800,الريسبي!$A$2:$A$1800,$A172,الريسبي!$B$2:$B$1800,"كاسترد مصنع (خليط بودر + لبن)")+0.03333333333*SUMIFS(الريسبي!$C$2:$C$1800,الريسبي!$A$2:$A$1800,$A172,الريسبي!$B$2:$B$1800,"عجين كريب (مصنع بالمطعم)")</f>
        <v>0</v>
      </c>
      <c r="BV172" s="117" t="n">
        <f aca="false">SUMIFS(الريسبي!$C$2:$C$1800,الريسبي!$A$2:$A$1800,$A172,الريسبي!$B$2:$B$1800,BV$1)</f>
        <v>0</v>
      </c>
      <c r="BW172" s="117" t="n">
        <f aca="false">SUMIFS(الريسبي!$C$2:$C$1800,الريسبي!$A$2:$A$1800,$A172,الريسبي!$B$2:$B$1800,BW$1)</f>
        <v>0</v>
      </c>
      <c r="BX172" s="117" t="n">
        <f aca="false">SUMIFS(الريسبي!$C$2:$C$1800,الريسبي!$A$2:$A$1800,$A172,الريسبي!$B$2:$B$1800,BX$1)</f>
        <v>0</v>
      </c>
      <c r="BY172" s="117" t="n">
        <f aca="false">SUMIFS(الريسبي!$C$2:$C$1800,الريسبي!$A$2:$A$1800,$A172,الريسبي!$B$2:$B$1800,BY$1)</f>
        <v>0</v>
      </c>
      <c r="BZ172" s="117" t="n">
        <f aca="false">SUMIFS(الريسبي!$C$2:$C$1800,الريسبي!$A$2:$A$1800,$A172,الريسبي!$B$2:$B$1800,BZ$1)</f>
        <v>0</v>
      </c>
      <c r="CA172" s="117" t="n">
        <f aca="false">SUMIFS(الريسبي!$C$2:$C$1800,الريسبي!$A$2:$A$1800,$A172,الريسبي!$B$2:$B$1800,CA$1)</f>
        <v>0</v>
      </c>
      <c r="CB172" s="117" t="n">
        <f aca="false">SUMIFS(الريسبي!$C$2:$C$1800,الريسبي!$A$2:$A$1800,$A172,الريسبي!$B$2:$B$1800,CB$1)</f>
        <v>0</v>
      </c>
      <c r="CC172" s="117" t="n">
        <f aca="false">SUMIFS(الريسبي!$C$2:$C$1800,الريسبي!$A$2:$A$1800,$A172,الريسبي!$B$2:$B$1800,CC$1)</f>
        <v>0</v>
      </c>
      <c r="CD172" s="117" t="n">
        <f aca="false">SUMIFS(الريسبي!$C$2:$C$1800,الريسبي!$A$2:$A$1800,$A172,الريسبي!$B$2:$B$1800,CD$1)</f>
        <v>0</v>
      </c>
      <c r="CE172" s="117" t="n">
        <f aca="false">SUMIFS(الريسبي!$C$2:$C$1800,الريسبي!$A$2:$A$1800,$A172,الريسبي!$B$2:$B$1800,CE$1)</f>
        <v>0</v>
      </c>
      <c r="CF172" s="117" t="n">
        <f aca="false">SUMIFS(الريسبي!$C$2:$C$1800,الريسبي!$A$2:$A$1800,$A172,الريسبي!$B$2:$B$1800,CF$1)</f>
        <v>0</v>
      </c>
      <c r="CG172" s="117" t="n">
        <f aca="false">SUMIFS(الريسبي!$C$2:$C$1800,الريسبي!$A$2:$A$1800,$A172,الريسبي!$B$2:$B$1800,CG$1)</f>
        <v>0</v>
      </c>
      <c r="CH172" s="117" t="n">
        <f aca="false">SUMIFS(الريسبي!$C$2:$C$1800,الريسبي!$A$2:$A$1800,$A172,الريسبي!$B$2:$B$1800,CH$1)</f>
        <v>0</v>
      </c>
      <c r="CI172" s="117" t="n">
        <f aca="false">SUMIFS(الريسبي!$C$2:$C$1800,الريسبي!$A$2:$A$1800,$A172,الريسبي!$B$2:$B$1800,CI$1)</f>
        <v>0</v>
      </c>
      <c r="CJ172" s="117" t="n">
        <f aca="false">SUMIFS(الريسبي!$C$2:$C$1800,الريسبي!$A$2:$A$1800,$A172,الريسبي!$B$2:$B$1800,CJ$1)</f>
        <v>0</v>
      </c>
      <c r="CK172" s="117" t="n">
        <f aca="false">SUMIFS(الريسبي!$C$2:$C$1800,الريسبي!$A$2:$A$1800,$A172,الريسبي!$B$2:$B$1800,CK$1)</f>
        <v>0</v>
      </c>
      <c r="CL172" s="117" t="n">
        <f aca="false">SUMIFS(الريسبي!$C$2:$C$1800,الريسبي!$A$2:$A$1800,$A172,الريسبي!$B$2:$B$1800,CL$1)</f>
        <v>0</v>
      </c>
    </row>
    <row r="173" customFormat="false" ht="15" hidden="false" customHeight="false" outlineLevel="0" collapsed="false">
      <c r="A173" s="116" t="str">
        <f aca="false">المنيو!B173</f>
        <v>فطيرة نوتيلا</v>
      </c>
      <c r="B173" s="117" t="n">
        <f aca="false">SUMIFS(الريسبي!$C$2:$C$1800,الريسبي!$A$2:$A$1800,$A173,الريسبي!$B$2:$B$1800,B$1)</f>
        <v>0</v>
      </c>
      <c r="C173" s="117" t="n">
        <f aca="false">SUMIFS(الريسبي!$C$2:$C$1800,الريسبي!$A$2:$A$1800,$A173,الريسبي!$B$2:$B$1800,C$1)</f>
        <v>0</v>
      </c>
      <c r="D173" s="117" t="n">
        <f aca="false">SUMIFS(الريسبي!$C$2:$C$1800,الريسبي!$A$2:$A$1800,$A173,الريسبي!$B$2:$B$1800,D$1)</f>
        <v>0</v>
      </c>
      <c r="E173" s="117" t="n">
        <f aca="false">SUMIFS(الريسبي!$C$2:$C$1800,الريسبي!$A$2:$A$1800,$A173,الريسبي!$B$2:$B$1800,E$1)</f>
        <v>1</v>
      </c>
      <c r="F173" s="117" t="n">
        <f aca="false">SUMIFS(الريسبي!$C$2:$C$1800,الريسبي!$A$2:$A$1800,$A173,الريسبي!$B$2:$B$1800,F$1)</f>
        <v>0</v>
      </c>
      <c r="G173" s="117" t="n">
        <f aca="false">SUMIFS(الريسبي!$C$2:$C$1800,الريسبي!$A$2:$A$1800,$A173,الريسبي!$B$2:$B$1800,G$1)</f>
        <v>0</v>
      </c>
      <c r="H173" s="117" t="n">
        <f aca="false">SUMIFS(الريسبي!$C$2:$C$1800,الريسبي!$A$2:$A$1800,$A173,الريسبي!$B$2:$B$1800,H$1)</f>
        <v>0</v>
      </c>
      <c r="I173" s="117" t="n">
        <f aca="false">SUMIFS(الريسبي!$C$2:$C$1800,الريسبي!$A$2:$A$1800,$A173,الريسبي!$B$2:$B$1800,I$1)</f>
        <v>0</v>
      </c>
      <c r="J173" s="117" t="n">
        <f aca="false">SUMIFS(الريسبي!$C$2:$C$1800,الريسبي!$A$2:$A$1800,$A173,الريسبي!$B$2:$B$1800,J$1)</f>
        <v>0</v>
      </c>
      <c r="K173" s="117" t="n">
        <f aca="false">SUMIFS(الريسبي!$C$2:$C$1800,الريسبي!$A$2:$A$1800,$A173,الريسبي!$B$2:$B$1800,K$1)</f>
        <v>0</v>
      </c>
      <c r="L173" s="117" t="n">
        <f aca="false">SUMIFS(الريسبي!$C$2:$C$1800,الريسبي!$A$2:$A$1800,$A173,الريسبي!$B$2:$B$1800,L$1)</f>
        <v>0</v>
      </c>
      <c r="M173" s="117" t="n">
        <f aca="false">SUMIFS(الريسبي!$C$2:$C$1800,الريسبي!$A$2:$A$1800,$A173,الريسبي!$B$2:$B$1800,M$1)</f>
        <v>0</v>
      </c>
      <c r="N173" s="117" t="n">
        <f aca="false">SUMIFS(الريسبي!$C$2:$C$1800,الريسبي!$A$2:$A$1800,$A173,الريسبي!$B$2:$B$1800,N$1)</f>
        <v>0</v>
      </c>
      <c r="O173" s="117" t="n">
        <f aca="false">SUMIFS(الريسبي!$C$2:$C$1800,الريسبي!$A$2:$A$1800,$A173,الريسبي!$B$2:$B$1800,O$1)</f>
        <v>0</v>
      </c>
      <c r="P173" s="117" t="n">
        <f aca="false">SUMIFS(الريسبي!$C$2:$C$1800,الريسبي!$A$2:$A$1800,$A173,الريسبي!$B$2:$B$1800,P$1)</f>
        <v>0</v>
      </c>
      <c r="Q173" s="117" t="n">
        <f aca="false">SUMIFS(الريسبي!$C$2:$C$1800,الريسبي!$A$2:$A$1800,$A173,الريسبي!$B$2:$B$1800,Q$1)</f>
        <v>0</v>
      </c>
      <c r="R173" s="117" t="n">
        <f aca="false">SUMIFS(الريسبي!$C$2:$C$1800,الريسبي!$A$2:$A$1800,$A173,الريسبي!$B$2:$B$1800,R$1)</f>
        <v>0</v>
      </c>
      <c r="S173" s="117" t="n">
        <f aca="false">SUMIFS(الريسبي!$C$2:$C$1800,الريسبي!$A$2:$A$1800,$A173,الريسبي!$B$2:$B$1800,S$1)</f>
        <v>0</v>
      </c>
      <c r="T173" s="117" t="n">
        <f aca="false">SUMIFS(الريسبي!$C$2:$C$1800,الريسبي!$A$2:$A$1800,$A173,الريسبي!$B$2:$B$1800,T$1)</f>
        <v>0</v>
      </c>
      <c r="U173" s="117" t="n">
        <f aca="false">SUMIFS(الريسبي!$C$2:$C$1800,الريسبي!$A$2:$A$1800,$A173,الريسبي!$B$2:$B$1800,U$1)</f>
        <v>0</v>
      </c>
      <c r="V173" s="117" t="n">
        <f aca="false">SUMIFS(الريسبي!$C$2:$C$1800,الريسبي!$A$2:$A$1800,$A173,الريسبي!$B$2:$B$1800,V$1)</f>
        <v>0</v>
      </c>
      <c r="W173" s="117" t="n">
        <f aca="false">SUMIFS(الريسبي!$C$2:$C$1800,الريسبي!$A$2:$A$1800,$A173,الريسبي!$B$2:$B$1800,W$1)</f>
        <v>0</v>
      </c>
      <c r="X173" s="117" t="n">
        <f aca="false">SUMIFS(الريسبي!$C$2:$C$1800,الريسبي!$A$2:$A$1800,$A173,الريسبي!$B$2:$B$1800,X$1)</f>
        <v>0</v>
      </c>
      <c r="Y173" s="117" t="n">
        <f aca="false">SUMIFS(الريسبي!$C$2:$C$1800,الريسبي!$A$2:$A$1800,$A173,الريسبي!$B$2:$B$1800,Y$1)</f>
        <v>0</v>
      </c>
      <c r="Z173" s="117" t="n">
        <f aca="false">SUMIFS(الريسبي!$C$2:$C$1800,الريسبي!$A$2:$A$1800,$A173,الريسبي!$B$2:$B$1800,Z$1)</f>
        <v>0</v>
      </c>
      <c r="AA173" s="117" t="n">
        <f aca="false">SUMIFS(الريسبي!$C$2:$C$1800,الريسبي!$A$2:$A$1800,$A173,الريسبي!$B$2:$B$1800,AA$1)</f>
        <v>0</v>
      </c>
      <c r="AB173" s="117" t="n">
        <f aca="false">SUMIFS(الريسبي!$C$2:$C$1800,الريسبي!$A$2:$A$1800,$A173,الريسبي!$B$2:$B$1800,AB$1)</f>
        <v>0</v>
      </c>
      <c r="AC173" s="117" t="n">
        <f aca="false">SUMIFS(الريسبي!$C$2:$C$1800,الريسبي!$A$2:$A$1800,$A173,الريسبي!$B$2:$B$1800,AC$1)</f>
        <v>0</v>
      </c>
      <c r="AD173" s="117" t="n">
        <f aca="false">SUMIFS(الريسبي!$C$2:$C$1800,الريسبي!$A$2:$A$1800,$A173,الريسبي!$B$2:$B$1800,AD$1)</f>
        <v>0</v>
      </c>
      <c r="AE173" s="117" t="n">
        <f aca="false">SUMIFS(الريسبي!$C$2:$C$1800,الريسبي!$A$2:$A$1800,$A173,الريسبي!$B$2:$B$1800,AE$1)</f>
        <v>0</v>
      </c>
      <c r="AF173" s="117" t="n">
        <f aca="false">SUMIFS(الريسبي!$C$2:$C$1800,الريسبي!$A$2:$A$1800,$A173,الريسبي!$B$2:$B$1800,AF$1)</f>
        <v>1</v>
      </c>
      <c r="AG173" s="117" t="n">
        <f aca="false">SUMIFS(الريسبي!$C$2:$C$1800,الريسبي!$A$2:$A$1800,$A173,الريسبي!$B$2:$B$1800,AG$1)</f>
        <v>0</v>
      </c>
      <c r="AH173" s="117" t="n">
        <f aca="false">SUMIFS(الريسبي!$C$2:$C$1800,الريسبي!$A$2:$A$1800,$A173,الريسبي!$B$2:$B$1800,AH$1)</f>
        <v>0</v>
      </c>
      <c r="AI173" s="117" t="n">
        <f aca="false">SUMIFS(الريسبي!$C$2:$C$1800,الريسبي!$A$2:$A$1800,$A173,الريسبي!$B$2:$B$1800,AI$1)</f>
        <v>0</v>
      </c>
      <c r="AJ173" s="117" t="n">
        <f aca="false">SUMIFS(الريسبي!$C$2:$C$1800,الريسبي!$A$2:$A$1800,$A173,الريسبي!$B$2:$B$1800,AJ$1)</f>
        <v>0</v>
      </c>
      <c r="AK173" s="117" t="n">
        <f aca="false">SUMIFS(الريسبي!$C$2:$C$1800,الريسبي!$A$2:$A$1800,$A173,الريسبي!$B$2:$B$1800,AK$1)</f>
        <v>0</v>
      </c>
      <c r="AL173" s="117" t="n">
        <f aca="false">SUMIFS(الريسبي!$C$2:$C$1800,الريسبي!$A$2:$A$1800,$A173,الريسبي!$B$2:$B$1800,AL$1)</f>
        <v>0</v>
      </c>
      <c r="AM173" s="117" t="n">
        <f aca="false">SUMIFS(الريسبي!$C$2:$C$1800,الريسبي!$A$2:$A$1800,$A173,الريسبي!$B$2:$B$1800,AM$1)+0.08333333333*SUMIFS(الريسبي!$C$2:$C$1800,الريسبي!$A$2:$A$1800,$A173,الريسبي!$B$2:$B$1800,"عجين كريب (مصنع بالمطعم)")+0.08333333333*SUMIFS(الريسبي!$C$2:$C$1800,الريسبي!$A$2:$A$1800,$A173,الريسبي!$B$2:$B$1800,"عجين كريب صيامي (بدون لبن)")</f>
        <v>0</v>
      </c>
      <c r="AN173" s="117" t="n">
        <f aca="false">SUMIFS(الريسبي!$C$2:$C$1800,الريسبي!$A$2:$A$1800,$A173,الريسبي!$B$2:$B$1800,AN$1)+0.004166666667*SUMIFS(الريسبي!$C$2:$C$1800,الريسبي!$A$2:$A$1800,$A173,الريسبي!$B$2:$B$1800,"عجين كريب (مصنع بالمطعم)")+0.004166666667*SUMIFS(الريسبي!$C$2:$C$1800,الريسبي!$A$2:$A$1800,$A173,الريسبي!$B$2:$B$1800,"عجين كريب صيامي (بدون لبن)")</f>
        <v>0</v>
      </c>
      <c r="AO173" s="117" t="n">
        <f aca="false">SUMIFS(الريسبي!$C$2:$C$1800,الريسبي!$A$2:$A$1800,$A173,الريسبي!$B$2:$B$1800,AO$1)</f>
        <v>0</v>
      </c>
      <c r="AP173" s="117" t="n">
        <f aca="false">SUMIFS(الريسبي!$C$2:$C$1800,الريسبي!$A$2:$A$1800,$A173,الريسبي!$B$2:$B$1800,AP$1)</f>
        <v>0</v>
      </c>
      <c r="AQ173" s="117" t="n">
        <f aca="false">SUMIFS(الريسبي!$C$2:$C$1800,الريسبي!$A$2:$A$1800,$A173,الريسبي!$B$2:$B$1800,AQ$1)+0.004166666667*SUMIFS(الريسبي!$C$2:$C$1800,الريسبي!$A$2:$A$1800,$A173,الريسبي!$B$2:$B$1800,"عجين كريب (مصنع بالمطعم)")+0.004166666667*SUMIFS(الريسبي!$C$2:$C$1800,الريسبي!$A$2:$A$1800,$A173,الريسبي!$B$2:$B$1800,"عجين كريب صيامي (بدون لبن)")</f>
        <v>0</v>
      </c>
      <c r="AR173" s="117" t="n">
        <f aca="false">SUMIFS(الريسبي!$C$2:$C$1800,الريسبي!$A$2:$A$1800,$A173,الريسبي!$B$2:$B$1800,AR$1)</f>
        <v>0</v>
      </c>
      <c r="AS173" s="117" t="n">
        <f aca="false">SUMIFS(الريسبي!$C$2:$C$1800,الريسبي!$A$2:$A$1800,$A173,الريسبي!$B$2:$B$1800,AS$1)</f>
        <v>0</v>
      </c>
      <c r="AT173" s="117" t="n">
        <f aca="false">SUMIFS(الريسبي!$C$2:$C$1800,الريسبي!$A$2:$A$1800,$A173,الريسبي!$B$2:$B$1800,AT$1)</f>
        <v>0</v>
      </c>
      <c r="AU173" s="117" t="n">
        <f aca="false">SUMIFS(الريسبي!$C$2:$C$1800,الريسبي!$A$2:$A$1800,$A173,الريسبي!$B$2:$B$1800,AU$1)</f>
        <v>1</v>
      </c>
      <c r="AV173" s="117" t="n">
        <f aca="false">SUMIFS(الريسبي!$C$2:$C$1800,الريسبي!$A$2:$A$1800,$A173,الريسبي!$B$2:$B$1800,AV$1)</f>
        <v>0</v>
      </c>
      <c r="AW173" s="117" t="n">
        <f aca="false">SUMIFS(الريسبي!$C$2:$C$1800,الريسبي!$A$2:$A$1800,$A173,الريسبي!$B$2:$B$1800,AW$1)</f>
        <v>0.03</v>
      </c>
      <c r="AX173" s="117" t="n">
        <f aca="false">SUMIFS(الريسبي!$C$2:$C$1800,الريسبي!$A$2:$A$1800,$A173,الريسبي!$B$2:$B$1800,AX$1)</f>
        <v>0</v>
      </c>
      <c r="AY173" s="117" t="n">
        <f aca="false">SUMIFS(الريسبي!$C$2:$C$1800,الريسبي!$A$2:$A$1800,$A173,الريسبي!$B$2:$B$1800,AY$1)</f>
        <v>0</v>
      </c>
      <c r="AZ173" s="117" t="n">
        <f aca="false">SUMIFS(الريسبي!$C$2:$C$1800,الريسبي!$A$2:$A$1800,$A173,الريسبي!$B$2:$B$1800,AZ$1)</f>
        <v>0</v>
      </c>
      <c r="BA173" s="117" t="n">
        <f aca="false">SUMIFS(الريسبي!$C$2:$C$1800,الريسبي!$A$2:$A$1800,$A173,الريسبي!$B$2:$B$1800,BA$1)</f>
        <v>0</v>
      </c>
      <c r="BB173" s="117" t="n">
        <f aca="false">SUMIFS(الريسبي!$C$2:$C$1800,الريسبي!$A$2:$A$1800,$A173,الريسبي!$B$2:$B$1800,BB$1)</f>
        <v>0</v>
      </c>
      <c r="BC173" s="117" t="n">
        <f aca="false">SUMIFS(الريسبي!$C$2:$C$1800,الريسبي!$A$2:$A$1800,$A173,الريسبي!$B$2:$B$1800,BC$1)</f>
        <v>0</v>
      </c>
      <c r="BD173" s="117" t="n">
        <f aca="false">SUMIFS(الريسبي!$C$2:$C$1800,الريسبي!$A$2:$A$1800,$A173,الريسبي!$B$2:$B$1800,BD$1)</f>
        <v>0</v>
      </c>
      <c r="BE173" s="117" t="n">
        <f aca="false">SUMIFS(الريسبي!$C$2:$C$1800,الريسبي!$A$2:$A$1800,$A173,الريسبي!$B$2:$B$1800,BE$1)</f>
        <v>1</v>
      </c>
      <c r="BF173" s="117" t="n">
        <f aca="false">SUMIFS(الريسبي!$C$2:$C$1800,الريسبي!$A$2:$A$1800,$A173,الريسبي!$B$2:$B$1800,BF$1)</f>
        <v>0</v>
      </c>
      <c r="BG173" s="117" t="n">
        <f aca="false">SUMIFS(الريسبي!$C$2:$C$1800,الريسبي!$A$2:$A$1800,$A173,الريسبي!$B$2:$B$1800,BG$1)</f>
        <v>0</v>
      </c>
      <c r="BH173" s="117" t="n">
        <f aca="false">SUMIFS(الريسبي!$C$2:$C$1800,الريسبي!$A$2:$A$1800,$A173,الريسبي!$B$2:$B$1800,BH$1)</f>
        <v>0</v>
      </c>
      <c r="BI173" s="117" t="n">
        <f aca="false">SUMIFS(الريسبي!$C$2:$C$1800,الريسبي!$A$2:$A$1800,$A173,الريسبي!$B$2:$B$1800,BI$1)</f>
        <v>0</v>
      </c>
      <c r="BJ173" s="117" t="n">
        <f aca="false">SUMIFS(الريسبي!$C$2:$C$1800,الريسبي!$A$2:$A$1800,$A173,الريسبي!$B$2:$B$1800,BJ$1)</f>
        <v>0</v>
      </c>
      <c r="BK173" s="117" t="n">
        <f aca="false">SUMIFS(الريسبي!$C$2:$C$1800,الريسبي!$A$2:$A$1800,$A173,الريسبي!$B$2:$B$1800,BK$1)</f>
        <v>1</v>
      </c>
      <c r="BL173" s="117" t="n">
        <f aca="false">SUMIFS(الريسبي!$C$2:$C$1800,الريسبي!$A$2:$A$1800,$A173,الريسبي!$B$2:$B$1800,BL$1)</f>
        <v>0</v>
      </c>
      <c r="BM173" s="117" t="n">
        <f aca="false">SUMIFS(الريسبي!$C$2:$C$1800,الريسبي!$A$2:$A$1800,$A173,الريسبي!$B$2:$B$1800,BM$1)</f>
        <v>0</v>
      </c>
      <c r="BN173" s="117" t="n">
        <f aca="false">SUMIFS(الريسبي!$C$2:$C$1800,الريسبي!$A$2:$A$1800,$A173,الريسبي!$B$2:$B$1800,BN$1)</f>
        <v>0</v>
      </c>
      <c r="BO173" s="117" t="n">
        <f aca="false">SUMIFS(الريسبي!$C$2:$C$1800,الريسبي!$A$2:$A$1800,$A173,الريسبي!$B$2:$B$1800,BO$1)</f>
        <v>0</v>
      </c>
      <c r="BP173" s="117" t="n">
        <f aca="false">SUMIFS(الريسبي!$C$2:$C$1800,الريسبي!$A$2:$A$1800,$A173,الريسبي!$B$2:$B$1800,BP$1)</f>
        <v>0</v>
      </c>
      <c r="BQ173" s="117" t="n">
        <f aca="false">SUMIFS(الريسبي!$C$2:$C$1800,الريسبي!$A$2:$A$1800,$A173,الريسبي!$B$2:$B$1800,BQ$1)+0.17*SUMIFS(الريسبي!$C$2:$C$1800,الريسبي!$A$2:$A$1800,$A173,الريسبي!$B$2:$B$1800,"كاسترد مصنع (خليط بودر + لبن)")+0.17*SUMIFS(الريسبي!$C$2:$C$1800,الريسبي!$A$2:$A$1800,$A173,الريسبي!$B$2:$B$1800,"كاسترد مصنع صيامي (بدون لبن)")</f>
        <v>0.0255</v>
      </c>
      <c r="BR173" s="117" t="n">
        <f aca="false">SUMIFS(الريسبي!$C$2:$C$1800,الريسبي!$A$2:$A$1800,$A173,الريسبي!$B$2:$B$1800,BR$1)</f>
        <v>0</v>
      </c>
      <c r="BS173" s="117" t="n">
        <f aca="false">SUMIFS(الريسبي!$C$2:$C$1800,الريسبي!$A$2:$A$1800,$A173,الريسبي!$B$2:$B$1800,BS$1)</f>
        <v>0</v>
      </c>
      <c r="BT173" s="117" t="n">
        <f aca="false">SUMIFS(الريسبي!$C$2:$C$1800,الريسبي!$A$2:$A$1800,$A173,الريسبي!$B$2:$B$1800,BT$1)</f>
        <v>0</v>
      </c>
      <c r="BU173" s="117" t="n">
        <f aca="false">SUMIFS(الريسبي!$C$2:$C$1800,الريسبي!$A$2:$A$1800,$A173,الريسبي!$B$2:$B$1800,BU$1)+0.4*SUMIFS(الريسبي!$C$2:$C$1800,الريسبي!$A$2:$A$1800,$A173,الريسبي!$B$2:$B$1800,"كاسترد مصنع (خليط بودر + لبن)")+0.03333333333*SUMIFS(الريسبي!$C$2:$C$1800,الريسبي!$A$2:$A$1800,$A173,الريسبي!$B$2:$B$1800,"عجين كريب (مصنع بالمطعم)")</f>
        <v>0.06</v>
      </c>
      <c r="BV173" s="117" t="n">
        <f aca="false">SUMIFS(الريسبي!$C$2:$C$1800,الريسبي!$A$2:$A$1800,$A173,الريسبي!$B$2:$B$1800,BV$1)</f>
        <v>0</v>
      </c>
      <c r="BW173" s="117" t="n">
        <f aca="false">SUMIFS(الريسبي!$C$2:$C$1800,الريسبي!$A$2:$A$1800,$A173,الريسبي!$B$2:$B$1800,BW$1)</f>
        <v>0</v>
      </c>
      <c r="BX173" s="117" t="n">
        <f aca="false">SUMIFS(الريسبي!$C$2:$C$1800,الريسبي!$A$2:$A$1800,$A173,الريسبي!$B$2:$B$1800,BX$1)</f>
        <v>0</v>
      </c>
      <c r="BY173" s="117" t="n">
        <f aca="false">SUMIFS(الريسبي!$C$2:$C$1800,الريسبي!$A$2:$A$1800,$A173,الريسبي!$B$2:$B$1800,BY$1)</f>
        <v>0</v>
      </c>
      <c r="BZ173" s="117" t="n">
        <f aca="false">SUMIFS(الريسبي!$C$2:$C$1800,الريسبي!$A$2:$A$1800,$A173,الريسبي!$B$2:$B$1800,BZ$1)</f>
        <v>0.16</v>
      </c>
      <c r="CA173" s="117" t="n">
        <f aca="false">SUMIFS(الريسبي!$C$2:$C$1800,الريسبي!$A$2:$A$1800,$A173,الريسبي!$B$2:$B$1800,CA$1)</f>
        <v>0</v>
      </c>
      <c r="CB173" s="117" t="n">
        <f aca="false">SUMIFS(الريسبي!$C$2:$C$1800,الريسبي!$A$2:$A$1800,$A173,الريسبي!$B$2:$B$1800,CB$1)</f>
        <v>0</v>
      </c>
      <c r="CC173" s="117" t="n">
        <f aca="false">SUMIFS(الريسبي!$C$2:$C$1800,الريسبي!$A$2:$A$1800,$A173,الريسبي!$B$2:$B$1800,CC$1)</f>
        <v>0</v>
      </c>
      <c r="CD173" s="117" t="n">
        <f aca="false">SUMIFS(الريسبي!$C$2:$C$1800,الريسبي!$A$2:$A$1800,$A173,الريسبي!$B$2:$B$1800,CD$1)</f>
        <v>0</v>
      </c>
      <c r="CE173" s="117" t="n">
        <f aca="false">SUMIFS(الريسبي!$C$2:$C$1800,الريسبي!$A$2:$A$1800,$A173,الريسبي!$B$2:$B$1800,CE$1)</f>
        <v>0</v>
      </c>
      <c r="CF173" s="117" t="n">
        <f aca="false">SUMIFS(الريسبي!$C$2:$C$1800,الريسبي!$A$2:$A$1800,$A173,الريسبي!$B$2:$B$1800,CF$1)</f>
        <v>0</v>
      </c>
      <c r="CG173" s="117" t="n">
        <f aca="false">SUMIFS(الريسبي!$C$2:$C$1800,الريسبي!$A$2:$A$1800,$A173,الريسبي!$B$2:$B$1800,CG$1)</f>
        <v>0</v>
      </c>
      <c r="CH173" s="117" t="n">
        <f aca="false">SUMIFS(الريسبي!$C$2:$C$1800,الريسبي!$A$2:$A$1800,$A173,الريسبي!$B$2:$B$1800,CH$1)</f>
        <v>0</v>
      </c>
      <c r="CI173" s="117" t="n">
        <f aca="false">SUMIFS(الريسبي!$C$2:$C$1800,الريسبي!$A$2:$A$1800,$A173,الريسبي!$B$2:$B$1800,CI$1)</f>
        <v>0</v>
      </c>
      <c r="CJ173" s="117" t="n">
        <f aca="false">SUMIFS(الريسبي!$C$2:$C$1800,الريسبي!$A$2:$A$1800,$A173,الريسبي!$B$2:$B$1800,CJ$1)</f>
        <v>0</v>
      </c>
      <c r="CK173" s="117" t="n">
        <f aca="false">SUMIFS(الريسبي!$C$2:$C$1800,الريسبي!$A$2:$A$1800,$A173,الريسبي!$B$2:$B$1800,CK$1)</f>
        <v>0</v>
      </c>
      <c r="CL173" s="117" t="n">
        <f aca="false">SUMIFS(الريسبي!$C$2:$C$1800,الريسبي!$A$2:$A$1800,$A173,الريسبي!$B$2:$B$1800,CL$1)</f>
        <v>0</v>
      </c>
    </row>
    <row r="174" customFormat="false" ht="15" hidden="false" customHeight="false" outlineLevel="0" collapsed="false">
      <c r="A174" s="116" t="str">
        <f aca="false">المنيو!B174</f>
        <v>مكرونة صوص ابيض مفروم</v>
      </c>
      <c r="B174" s="117" t="n">
        <f aca="false">SUMIFS(الريسبي!$C$2:$C$1800,الريسبي!$A$2:$A$1800,$A174,الريسبي!$B$2:$B$1800,B$1)</f>
        <v>1</v>
      </c>
      <c r="C174" s="117" t="n">
        <f aca="false">SUMIFS(الريسبي!$C$2:$C$1800,الريسبي!$A$2:$A$1800,$A174,الريسبي!$B$2:$B$1800,C$1)</f>
        <v>0</v>
      </c>
      <c r="D174" s="117" t="n">
        <f aca="false">SUMIFS(الريسبي!$C$2:$C$1800,الريسبي!$A$2:$A$1800,$A174,الريسبي!$B$2:$B$1800,D$1)</f>
        <v>0</v>
      </c>
      <c r="E174" s="117" t="n">
        <f aca="false">SUMIFS(الريسبي!$C$2:$C$1800,الريسبي!$A$2:$A$1800,$A174,الريسبي!$B$2:$B$1800,E$1)</f>
        <v>1</v>
      </c>
      <c r="F174" s="117" t="n">
        <f aca="false">SUMIFS(الريسبي!$C$2:$C$1800,الريسبي!$A$2:$A$1800,$A174,الريسبي!$B$2:$B$1800,F$1)</f>
        <v>0</v>
      </c>
      <c r="G174" s="117" t="n">
        <f aca="false">SUMIFS(الريسبي!$C$2:$C$1800,الريسبي!$A$2:$A$1800,$A174,الريسبي!$B$2:$B$1800,G$1)</f>
        <v>0</v>
      </c>
      <c r="H174" s="117" t="n">
        <f aca="false">SUMIFS(الريسبي!$C$2:$C$1800,الريسبي!$A$2:$A$1800,$A174,الريسبي!$B$2:$B$1800,H$1)</f>
        <v>0</v>
      </c>
      <c r="I174" s="117" t="n">
        <f aca="false">SUMIFS(الريسبي!$C$2:$C$1800,الريسبي!$A$2:$A$1800,$A174,الريسبي!$B$2:$B$1800,I$1)</f>
        <v>0</v>
      </c>
      <c r="J174" s="117" t="n">
        <f aca="false">SUMIFS(الريسبي!$C$2:$C$1800,الريسبي!$A$2:$A$1800,$A174,الريسبي!$B$2:$B$1800,J$1)</f>
        <v>0</v>
      </c>
      <c r="K174" s="117" t="n">
        <f aca="false">SUMIFS(الريسبي!$C$2:$C$1800,الريسبي!$A$2:$A$1800,$A174,الريسبي!$B$2:$B$1800,K$1)</f>
        <v>0</v>
      </c>
      <c r="L174" s="117" t="n">
        <f aca="false">SUMIFS(الريسبي!$C$2:$C$1800,الريسبي!$A$2:$A$1800,$A174,الريسبي!$B$2:$B$1800,L$1)</f>
        <v>0</v>
      </c>
      <c r="M174" s="117" t="n">
        <f aca="false">SUMIFS(الريسبي!$C$2:$C$1800,الريسبي!$A$2:$A$1800,$A174,الريسبي!$B$2:$B$1800,M$1)</f>
        <v>0</v>
      </c>
      <c r="N174" s="117" t="n">
        <f aca="false">SUMIFS(الريسبي!$C$2:$C$1800,الريسبي!$A$2:$A$1800,$A174,الريسبي!$B$2:$B$1800,N$1)</f>
        <v>0</v>
      </c>
      <c r="O174" s="117" t="n">
        <f aca="false">SUMIFS(الريسبي!$C$2:$C$1800,الريسبي!$A$2:$A$1800,$A174,الريسبي!$B$2:$B$1800,O$1)</f>
        <v>0</v>
      </c>
      <c r="P174" s="117" t="n">
        <f aca="false">SUMIFS(الريسبي!$C$2:$C$1800,الريسبي!$A$2:$A$1800,$A174,الريسبي!$B$2:$B$1800,P$1)</f>
        <v>0</v>
      </c>
      <c r="Q174" s="117" t="n">
        <f aca="false">SUMIFS(الريسبي!$C$2:$C$1800,الريسبي!$A$2:$A$1800,$A174,الريسبي!$B$2:$B$1800,Q$1)</f>
        <v>0</v>
      </c>
      <c r="R174" s="117" t="n">
        <f aca="false">SUMIFS(الريسبي!$C$2:$C$1800,الريسبي!$A$2:$A$1800,$A174,الريسبي!$B$2:$B$1800,R$1)</f>
        <v>0</v>
      </c>
      <c r="S174" s="117" t="n">
        <f aca="false">SUMIFS(الريسبي!$C$2:$C$1800,الريسبي!$A$2:$A$1800,$A174,الريسبي!$B$2:$B$1800,S$1)</f>
        <v>0</v>
      </c>
      <c r="T174" s="117" t="n">
        <f aca="false">SUMIFS(الريسبي!$C$2:$C$1800,الريسبي!$A$2:$A$1800,$A174,الريسبي!$B$2:$B$1800,T$1)</f>
        <v>1</v>
      </c>
      <c r="U174" s="117" t="n">
        <f aca="false">SUMIFS(الريسبي!$C$2:$C$1800,الريسبي!$A$2:$A$1800,$A174,الريسبي!$B$2:$B$1800,U$1)</f>
        <v>0</v>
      </c>
      <c r="V174" s="117" t="n">
        <f aca="false">SUMIFS(الريسبي!$C$2:$C$1800,الريسبي!$A$2:$A$1800,$A174,الريسبي!$B$2:$B$1800,V$1)</f>
        <v>1</v>
      </c>
      <c r="W174" s="117" t="n">
        <f aca="false">SUMIFS(الريسبي!$C$2:$C$1800,الريسبي!$A$2:$A$1800,$A174,الريسبي!$B$2:$B$1800,W$1)</f>
        <v>0</v>
      </c>
      <c r="X174" s="117" t="n">
        <f aca="false">SUMIFS(الريسبي!$C$2:$C$1800,الريسبي!$A$2:$A$1800,$A174,الريسبي!$B$2:$B$1800,X$1)</f>
        <v>0</v>
      </c>
      <c r="Y174" s="117" t="n">
        <f aca="false">SUMIFS(الريسبي!$C$2:$C$1800,الريسبي!$A$2:$A$1800,$A174,الريسبي!$B$2:$B$1800,Y$1)</f>
        <v>0</v>
      </c>
      <c r="Z174" s="117" t="n">
        <f aca="false">SUMIFS(الريسبي!$C$2:$C$1800,الريسبي!$A$2:$A$1800,$A174,الريسبي!$B$2:$B$1800,Z$1)</f>
        <v>0</v>
      </c>
      <c r="AA174" s="117" t="n">
        <f aca="false">SUMIFS(الريسبي!$C$2:$C$1800,الريسبي!$A$2:$A$1800,$A174,الريسبي!$B$2:$B$1800,AA$1)</f>
        <v>0</v>
      </c>
      <c r="AB174" s="117" t="n">
        <f aca="false">SUMIFS(الريسبي!$C$2:$C$1800,الريسبي!$A$2:$A$1800,$A174,الريسبي!$B$2:$B$1800,AB$1)</f>
        <v>0</v>
      </c>
      <c r="AC174" s="117" t="n">
        <f aca="false">SUMIFS(الريسبي!$C$2:$C$1800,الريسبي!$A$2:$A$1800,$A174,الريسبي!$B$2:$B$1800,AC$1)</f>
        <v>0.2</v>
      </c>
      <c r="AD174" s="117" t="n">
        <f aca="false">SUMIFS(الريسبي!$C$2:$C$1800,الريسبي!$A$2:$A$1800,$A174,الريسبي!$B$2:$B$1800,AD$1)</f>
        <v>0</v>
      </c>
      <c r="AE174" s="117" t="n">
        <f aca="false">SUMIFS(الريسبي!$C$2:$C$1800,الريسبي!$A$2:$A$1800,$A174,الريسبي!$B$2:$B$1800,AE$1)</f>
        <v>0</v>
      </c>
      <c r="AF174" s="117" t="n">
        <f aca="false">SUMIFS(الريسبي!$C$2:$C$1800,الريسبي!$A$2:$A$1800,$A174,الريسبي!$B$2:$B$1800,AF$1)</f>
        <v>0</v>
      </c>
      <c r="AG174" s="117" t="n">
        <f aca="false">SUMIFS(الريسبي!$C$2:$C$1800,الريسبي!$A$2:$A$1800,$A174,الريسبي!$B$2:$B$1800,AG$1)</f>
        <v>0</v>
      </c>
      <c r="AH174" s="117" t="n">
        <f aca="false">SUMIFS(الريسبي!$C$2:$C$1800,الريسبي!$A$2:$A$1800,$A174,الريسبي!$B$2:$B$1800,AH$1)</f>
        <v>0</v>
      </c>
      <c r="AI174" s="117" t="n">
        <f aca="false">SUMIFS(الريسبي!$C$2:$C$1800,الريسبي!$A$2:$A$1800,$A174,الريسبي!$B$2:$B$1800,AI$1)</f>
        <v>0</v>
      </c>
      <c r="AJ174" s="117" t="n">
        <f aca="false">SUMIFS(الريسبي!$C$2:$C$1800,الريسبي!$A$2:$A$1800,$A174,الريسبي!$B$2:$B$1800,AJ$1)</f>
        <v>2</v>
      </c>
      <c r="AK174" s="117" t="n">
        <f aca="false">SUMIFS(الريسبي!$C$2:$C$1800,الريسبي!$A$2:$A$1800,$A174,الريسبي!$B$2:$B$1800,AK$1)</f>
        <v>0</v>
      </c>
      <c r="AL174" s="117" t="n">
        <f aca="false">SUMIFS(الريسبي!$C$2:$C$1800,الريسبي!$A$2:$A$1800,$A174,الريسبي!$B$2:$B$1800,AL$1)</f>
        <v>0</v>
      </c>
      <c r="AM174" s="117" t="n">
        <f aca="false">SUMIFS(الريسبي!$C$2:$C$1800,الريسبي!$A$2:$A$1800,$A174,الريسبي!$B$2:$B$1800,AM$1)+0.08333333333*SUMIFS(الريسبي!$C$2:$C$1800,الريسبي!$A$2:$A$1800,$A174,الريسبي!$B$2:$B$1800,"عجين كريب (مصنع بالمطعم)")+0.08333333333*SUMIFS(الريسبي!$C$2:$C$1800,الريسبي!$A$2:$A$1800,$A174,الريسبي!$B$2:$B$1800,"عجين كريب صيامي (بدون لبن)")</f>
        <v>0</v>
      </c>
      <c r="AN174" s="117" t="n">
        <f aca="false">SUMIFS(الريسبي!$C$2:$C$1800,الريسبي!$A$2:$A$1800,$A174,الريسبي!$B$2:$B$1800,AN$1)+0.004166666667*SUMIFS(الريسبي!$C$2:$C$1800,الريسبي!$A$2:$A$1800,$A174,الريسبي!$B$2:$B$1800,"عجين كريب (مصنع بالمطعم)")+0.004166666667*SUMIFS(الريسبي!$C$2:$C$1800,الريسبي!$A$2:$A$1800,$A174,الريسبي!$B$2:$B$1800,"عجين كريب صيامي (بدون لبن)")</f>
        <v>0.01</v>
      </c>
      <c r="AO174" s="117" t="n">
        <f aca="false">SUMIFS(الريسبي!$C$2:$C$1800,الريسبي!$A$2:$A$1800,$A174,الريسبي!$B$2:$B$1800,AO$1)</f>
        <v>0</v>
      </c>
      <c r="AP174" s="117" t="n">
        <f aca="false">SUMIFS(الريسبي!$C$2:$C$1800,الريسبي!$A$2:$A$1800,$A174,الريسبي!$B$2:$B$1800,AP$1)</f>
        <v>0</v>
      </c>
      <c r="AQ174" s="117" t="n">
        <f aca="false">SUMIFS(الريسبي!$C$2:$C$1800,الريسبي!$A$2:$A$1800,$A174,الريسبي!$B$2:$B$1800,AQ$1)+0.004166666667*SUMIFS(الريسبي!$C$2:$C$1800,الريسبي!$A$2:$A$1800,$A174,الريسبي!$B$2:$B$1800,"عجين كريب (مصنع بالمطعم)")+0.004166666667*SUMIFS(الريسبي!$C$2:$C$1800,الريسبي!$A$2:$A$1800,$A174,الريسبي!$B$2:$B$1800,"عجين كريب صيامي (بدون لبن)")</f>
        <v>0</v>
      </c>
      <c r="AR174" s="117" t="n">
        <f aca="false">SUMIFS(الريسبي!$C$2:$C$1800,الريسبي!$A$2:$A$1800,$A174,الريسبي!$B$2:$B$1800,AR$1)</f>
        <v>0</v>
      </c>
      <c r="AS174" s="117" t="n">
        <f aca="false">SUMIFS(الريسبي!$C$2:$C$1800,الريسبي!$A$2:$A$1800,$A174,الريسبي!$B$2:$B$1800,AS$1)</f>
        <v>0</v>
      </c>
      <c r="AT174" s="117" t="n">
        <f aca="false">SUMIFS(الريسبي!$C$2:$C$1800,الريسبي!$A$2:$A$1800,$A174,الريسبي!$B$2:$B$1800,AT$1)</f>
        <v>0</v>
      </c>
      <c r="AU174" s="117" t="n">
        <f aca="false">SUMIFS(الريسبي!$C$2:$C$1800,الريسبي!$A$2:$A$1800,$A174,الريسبي!$B$2:$B$1800,AU$1)</f>
        <v>1</v>
      </c>
      <c r="AV174" s="117" t="n">
        <f aca="false">SUMIFS(الريسبي!$C$2:$C$1800,الريسبي!$A$2:$A$1800,$A174,الريسبي!$B$2:$B$1800,AV$1)</f>
        <v>0</v>
      </c>
      <c r="AW174" s="117" t="n">
        <f aca="false">SUMIFS(الريسبي!$C$2:$C$1800,الريسبي!$A$2:$A$1800,$A174,الريسبي!$B$2:$B$1800,AW$1)</f>
        <v>0</v>
      </c>
      <c r="AX174" s="117" t="n">
        <f aca="false">SUMIFS(الريسبي!$C$2:$C$1800,الريسبي!$A$2:$A$1800,$A174,الريسبي!$B$2:$B$1800,AX$1)</f>
        <v>0</v>
      </c>
      <c r="AY174" s="117" t="n">
        <f aca="false">SUMIFS(الريسبي!$C$2:$C$1800,الريسبي!$A$2:$A$1800,$A174,الريسبي!$B$2:$B$1800,AY$1)</f>
        <v>0</v>
      </c>
      <c r="AZ174" s="117" t="n">
        <f aca="false">SUMIFS(الريسبي!$C$2:$C$1800,الريسبي!$A$2:$A$1800,$A174,الريسبي!$B$2:$B$1800,AZ$1)</f>
        <v>0</v>
      </c>
      <c r="BA174" s="117" t="n">
        <f aca="false">SUMIFS(الريسبي!$C$2:$C$1800,الريسبي!$A$2:$A$1800,$A174,الريسبي!$B$2:$B$1800,BA$1)</f>
        <v>0</v>
      </c>
      <c r="BB174" s="117" t="n">
        <f aca="false">SUMIFS(الريسبي!$C$2:$C$1800,الريسبي!$A$2:$A$1800,$A174,الريسبي!$B$2:$B$1800,BB$1)</f>
        <v>0</v>
      </c>
      <c r="BC174" s="117" t="n">
        <f aca="false">SUMIFS(الريسبي!$C$2:$C$1800,الريسبي!$A$2:$A$1800,$A174,الريسبي!$B$2:$B$1800,BC$1)</f>
        <v>0</v>
      </c>
      <c r="BD174" s="117" t="n">
        <f aca="false">SUMIFS(الريسبي!$C$2:$C$1800,الريسبي!$A$2:$A$1800,$A174,الريسبي!$B$2:$B$1800,BD$1)</f>
        <v>0</v>
      </c>
      <c r="BE174" s="117" t="n">
        <f aca="false">SUMIFS(الريسبي!$C$2:$C$1800,الريسبي!$A$2:$A$1800,$A174,الريسبي!$B$2:$B$1800,BE$1)</f>
        <v>0</v>
      </c>
      <c r="BF174" s="117" t="n">
        <f aca="false">SUMIFS(الريسبي!$C$2:$C$1800,الريسبي!$A$2:$A$1800,$A174,الريسبي!$B$2:$B$1800,BF$1)</f>
        <v>0</v>
      </c>
      <c r="BG174" s="117" t="n">
        <f aca="false">SUMIFS(الريسبي!$C$2:$C$1800,الريسبي!$A$2:$A$1800,$A174,الريسبي!$B$2:$B$1800,BG$1)</f>
        <v>0</v>
      </c>
      <c r="BH174" s="117" t="n">
        <f aca="false">SUMIFS(الريسبي!$C$2:$C$1800,الريسبي!$A$2:$A$1800,$A174,الريسبي!$B$2:$B$1800,BH$1)</f>
        <v>0</v>
      </c>
      <c r="BI174" s="117" t="n">
        <f aca="false">SUMIFS(الريسبي!$C$2:$C$1800,الريسبي!$A$2:$A$1800,$A174,الريسبي!$B$2:$B$1800,BI$1)</f>
        <v>0</v>
      </c>
      <c r="BJ174" s="117" t="n">
        <f aca="false">SUMIFS(الريسبي!$C$2:$C$1800,الريسبي!$A$2:$A$1800,$A174,الريسبي!$B$2:$B$1800,BJ$1)</f>
        <v>0</v>
      </c>
      <c r="BK174" s="117" t="n">
        <f aca="false">SUMIFS(الريسبي!$C$2:$C$1800,الريسبي!$A$2:$A$1800,$A174,الريسبي!$B$2:$B$1800,BK$1)</f>
        <v>0</v>
      </c>
      <c r="BL174" s="117" t="n">
        <f aca="false">SUMIFS(الريسبي!$C$2:$C$1800,الريسبي!$A$2:$A$1800,$A174,الريسبي!$B$2:$B$1800,BL$1)</f>
        <v>0</v>
      </c>
      <c r="BM174" s="117" t="n">
        <f aca="false">SUMIFS(الريسبي!$C$2:$C$1800,الريسبي!$A$2:$A$1800,$A174,الريسبي!$B$2:$B$1800,BM$1)</f>
        <v>0</v>
      </c>
      <c r="BN174" s="117" t="n">
        <f aca="false">SUMIFS(الريسبي!$C$2:$C$1800,الريسبي!$A$2:$A$1800,$A174,الريسبي!$B$2:$B$1800,BN$1)</f>
        <v>0</v>
      </c>
      <c r="BO174" s="117" t="n">
        <f aca="false">SUMIFS(الريسبي!$C$2:$C$1800,الريسبي!$A$2:$A$1800,$A174,الريسبي!$B$2:$B$1800,BO$1)</f>
        <v>0</v>
      </c>
      <c r="BP174" s="117" t="n">
        <f aca="false">SUMIFS(الريسبي!$C$2:$C$1800,الريسبي!$A$2:$A$1800,$A174,الريسبي!$B$2:$B$1800,BP$1)</f>
        <v>2</v>
      </c>
      <c r="BQ174" s="117" t="n">
        <f aca="false">SUMIFS(الريسبي!$C$2:$C$1800,الريسبي!$A$2:$A$1800,$A174,الريسبي!$B$2:$B$1800,BQ$1)+0.17*SUMIFS(الريسبي!$C$2:$C$1800,الريسبي!$A$2:$A$1800,$A174,الريسبي!$B$2:$B$1800,"كاسترد مصنع (خليط بودر + لبن)")+0.17*SUMIFS(الريسبي!$C$2:$C$1800,الريسبي!$A$2:$A$1800,$A174,الريسبي!$B$2:$B$1800,"كاسترد مصنع صيامي (بدون لبن)")</f>
        <v>0</v>
      </c>
      <c r="BR174" s="117" t="n">
        <f aca="false">SUMIFS(الريسبي!$C$2:$C$1800,الريسبي!$A$2:$A$1800,$A174,الريسبي!$B$2:$B$1800,BR$1)</f>
        <v>0</v>
      </c>
      <c r="BS174" s="117" t="n">
        <f aca="false">SUMIFS(الريسبي!$C$2:$C$1800,الريسبي!$A$2:$A$1800,$A174,الريسبي!$B$2:$B$1800,BS$1)</f>
        <v>0</v>
      </c>
      <c r="BT174" s="117" t="n">
        <f aca="false">SUMIFS(الريسبي!$C$2:$C$1800,الريسبي!$A$2:$A$1800,$A174,الريسبي!$B$2:$B$1800,BT$1)</f>
        <v>0</v>
      </c>
      <c r="BU174" s="117" t="n">
        <f aca="false">SUMIFS(الريسبي!$C$2:$C$1800,الريسبي!$A$2:$A$1800,$A174,الريسبي!$B$2:$B$1800,BU$1)+0.4*SUMIFS(الريسبي!$C$2:$C$1800,الريسبي!$A$2:$A$1800,$A174,الريسبي!$B$2:$B$1800,"كاسترد مصنع (خليط بودر + لبن)")+0.03333333333*SUMIFS(الريسبي!$C$2:$C$1800,الريسبي!$A$2:$A$1800,$A174,الريسبي!$B$2:$B$1800,"عجين كريب (مصنع بالمطعم)")</f>
        <v>0.05</v>
      </c>
      <c r="BV174" s="117" t="n">
        <f aca="false">SUMIFS(الريسبي!$C$2:$C$1800,الريسبي!$A$2:$A$1800,$A174,الريسبي!$B$2:$B$1800,BV$1)</f>
        <v>0</v>
      </c>
      <c r="BW174" s="117" t="n">
        <f aca="false">SUMIFS(الريسبي!$C$2:$C$1800,الريسبي!$A$2:$A$1800,$A174,الريسبي!$B$2:$B$1800,BW$1)</f>
        <v>0</v>
      </c>
      <c r="BX174" s="117" t="n">
        <f aca="false">SUMIFS(الريسبي!$C$2:$C$1800,الريسبي!$A$2:$A$1800,$A174,الريسبي!$B$2:$B$1800,BX$1)</f>
        <v>0</v>
      </c>
      <c r="BY174" s="117" t="n">
        <f aca="false">SUMIFS(الريسبي!$C$2:$C$1800,الريسبي!$A$2:$A$1800,$A174,الريسبي!$B$2:$B$1800,BY$1)</f>
        <v>0.15</v>
      </c>
      <c r="BZ174" s="117" t="n">
        <f aca="false">SUMIFS(الريسبي!$C$2:$C$1800,الريسبي!$A$2:$A$1800,$A174,الريسبي!$B$2:$B$1800,BZ$1)</f>
        <v>0</v>
      </c>
      <c r="CA174" s="117" t="n">
        <f aca="false">SUMIFS(الريسبي!$C$2:$C$1800,الريسبي!$A$2:$A$1800,$A174,الريسبي!$B$2:$B$1800,CA$1)</f>
        <v>0</v>
      </c>
      <c r="CB174" s="117" t="n">
        <f aca="false">SUMIFS(الريسبي!$C$2:$C$1800,الريسبي!$A$2:$A$1800,$A174,الريسبي!$B$2:$B$1800,CB$1)</f>
        <v>0</v>
      </c>
      <c r="CC174" s="117" t="n">
        <f aca="false">SUMIFS(الريسبي!$C$2:$C$1800,الريسبي!$A$2:$A$1800,$A174,الريسبي!$B$2:$B$1800,CC$1)</f>
        <v>1</v>
      </c>
      <c r="CD174" s="117" t="n">
        <f aca="false">SUMIFS(الريسبي!$C$2:$C$1800,الريسبي!$A$2:$A$1800,$A174,الريسبي!$B$2:$B$1800,CD$1)</f>
        <v>0</v>
      </c>
      <c r="CE174" s="117" t="n">
        <f aca="false">SUMIFS(الريسبي!$C$2:$C$1800,الريسبي!$A$2:$A$1800,$A174,الريسبي!$B$2:$B$1800,CE$1)</f>
        <v>0</v>
      </c>
      <c r="CF174" s="117" t="n">
        <f aca="false">SUMIFS(الريسبي!$C$2:$C$1800,الريسبي!$A$2:$A$1800,$A174,الريسبي!$B$2:$B$1800,CF$1)</f>
        <v>0</v>
      </c>
      <c r="CG174" s="117" t="n">
        <f aca="false">SUMIFS(الريسبي!$C$2:$C$1800,الريسبي!$A$2:$A$1800,$A174,الريسبي!$B$2:$B$1800,CG$1)</f>
        <v>0</v>
      </c>
      <c r="CH174" s="117" t="n">
        <f aca="false">SUMIFS(الريسبي!$C$2:$C$1800,الريسبي!$A$2:$A$1800,$A174,الريسبي!$B$2:$B$1800,CH$1)</f>
        <v>0</v>
      </c>
      <c r="CI174" s="117" t="n">
        <f aca="false">SUMIFS(الريسبي!$C$2:$C$1800,الريسبي!$A$2:$A$1800,$A174,الريسبي!$B$2:$B$1800,CI$1)</f>
        <v>0</v>
      </c>
      <c r="CJ174" s="117" t="n">
        <f aca="false">SUMIFS(الريسبي!$C$2:$C$1800,الريسبي!$A$2:$A$1800,$A174,الريسبي!$B$2:$B$1800,CJ$1)</f>
        <v>0</v>
      </c>
      <c r="CK174" s="117" t="n">
        <f aca="false">SUMIFS(الريسبي!$C$2:$C$1800,الريسبي!$A$2:$A$1800,$A174,الريسبي!$B$2:$B$1800,CK$1)</f>
        <v>0</v>
      </c>
      <c r="CL174" s="117" t="n">
        <f aca="false">SUMIFS(الريسبي!$C$2:$C$1800,الريسبي!$A$2:$A$1800,$A174,الريسبي!$B$2:$B$1800,CL$1)</f>
        <v>0</v>
      </c>
    </row>
    <row r="175" customFormat="false" ht="15" hidden="false" customHeight="false" outlineLevel="0" collapsed="false">
      <c r="A175" s="116" t="str">
        <f aca="false">المنيو!B175</f>
        <v>كريب جمبري</v>
      </c>
      <c r="B175" s="117" t="n">
        <f aca="false">SUMIFS(الريسبي!$C$2:$C$1800,الريسبي!$A$2:$A$1800,$A175,الريسبي!$B$2:$B$1800,B$1)</f>
        <v>0</v>
      </c>
      <c r="C175" s="117" t="n">
        <f aca="false">SUMIFS(الريسبي!$C$2:$C$1800,الريسبي!$A$2:$A$1800,$A175,الريسبي!$B$2:$B$1800,C$1)</f>
        <v>0</v>
      </c>
      <c r="D175" s="117" t="n">
        <f aca="false">SUMIFS(الريسبي!$C$2:$C$1800,الريسبي!$A$2:$A$1800,$A175,الريسبي!$B$2:$B$1800,D$1)</f>
        <v>0</v>
      </c>
      <c r="E175" s="117" t="n">
        <f aca="false">SUMIFS(الريسبي!$C$2:$C$1800,الريسبي!$A$2:$A$1800,$A175,الريسبي!$B$2:$B$1800,E$1)</f>
        <v>0</v>
      </c>
      <c r="F175" s="117" t="n">
        <f aca="false">SUMIFS(الريسبي!$C$2:$C$1800,الريسبي!$A$2:$A$1800,$A175,الريسبي!$B$2:$B$1800,F$1)</f>
        <v>0</v>
      </c>
      <c r="G175" s="117" t="n">
        <f aca="false">SUMIFS(الريسبي!$C$2:$C$1800,الريسبي!$A$2:$A$1800,$A175,الريسبي!$B$2:$B$1800,G$1)</f>
        <v>0</v>
      </c>
      <c r="H175" s="117" t="n">
        <f aca="false">SUMIFS(الريسبي!$C$2:$C$1800,الريسبي!$A$2:$A$1800,$A175,الريسبي!$B$2:$B$1800,H$1)</f>
        <v>0</v>
      </c>
      <c r="I175" s="117" t="n">
        <f aca="false">SUMIFS(الريسبي!$C$2:$C$1800,الريسبي!$A$2:$A$1800,$A175,الريسبي!$B$2:$B$1800,I$1)</f>
        <v>0</v>
      </c>
      <c r="J175" s="117" t="n">
        <f aca="false">SUMIFS(الريسبي!$C$2:$C$1800,الريسبي!$A$2:$A$1800,$A175,الريسبي!$B$2:$B$1800,J$1)</f>
        <v>0</v>
      </c>
      <c r="K175" s="117" t="n">
        <f aca="false">SUMIFS(الريسبي!$C$2:$C$1800,الريسبي!$A$2:$A$1800,$A175,الريسبي!$B$2:$B$1800,K$1)</f>
        <v>0.5</v>
      </c>
      <c r="L175" s="117" t="n">
        <f aca="false">SUMIFS(الريسبي!$C$2:$C$1800,الريسبي!$A$2:$A$1800,$A175,الريسبي!$B$2:$B$1800,L$1)</f>
        <v>0</v>
      </c>
      <c r="M175" s="117" t="n">
        <f aca="false">SUMIFS(الريسبي!$C$2:$C$1800,الريسبي!$A$2:$A$1800,$A175,الريسبي!$B$2:$B$1800,M$1)</f>
        <v>0</v>
      </c>
      <c r="N175" s="117" t="n">
        <f aca="false">SUMIFS(الريسبي!$C$2:$C$1800,الريسبي!$A$2:$A$1800,$A175,الريسبي!$B$2:$B$1800,N$1)</f>
        <v>0</v>
      </c>
      <c r="O175" s="117" t="n">
        <f aca="false">SUMIFS(الريسبي!$C$2:$C$1800,الريسبي!$A$2:$A$1800,$A175,الريسبي!$B$2:$B$1800,O$1)</f>
        <v>0</v>
      </c>
      <c r="P175" s="117" t="n">
        <f aca="false">SUMIFS(الريسبي!$C$2:$C$1800,الريسبي!$A$2:$A$1800,$A175,الريسبي!$B$2:$B$1800,P$1)</f>
        <v>0</v>
      </c>
      <c r="Q175" s="117" t="n">
        <f aca="false">SUMIFS(الريسبي!$C$2:$C$1800,الريسبي!$A$2:$A$1800,$A175,الريسبي!$B$2:$B$1800,Q$1)</f>
        <v>0</v>
      </c>
      <c r="R175" s="117" t="n">
        <f aca="false">SUMIFS(الريسبي!$C$2:$C$1800,الريسبي!$A$2:$A$1800,$A175,الريسبي!$B$2:$B$1800,R$1)</f>
        <v>0</v>
      </c>
      <c r="S175" s="117" t="n">
        <f aca="false">SUMIFS(الريسبي!$C$2:$C$1800,الريسبي!$A$2:$A$1800,$A175,الريسبي!$B$2:$B$1800,S$1)</f>
        <v>0</v>
      </c>
      <c r="T175" s="117" t="n">
        <f aca="false">SUMIFS(الريسبي!$C$2:$C$1800,الريسبي!$A$2:$A$1800,$A175,الريسبي!$B$2:$B$1800,T$1)</f>
        <v>0</v>
      </c>
      <c r="U175" s="117" t="n">
        <f aca="false">SUMIFS(الريسبي!$C$2:$C$1800,الريسبي!$A$2:$A$1800,$A175,الريسبي!$B$2:$B$1800,U$1)</f>
        <v>0</v>
      </c>
      <c r="V175" s="117" t="n">
        <f aca="false">SUMIFS(الريسبي!$C$2:$C$1800,الريسبي!$A$2:$A$1800,$A175,الريسبي!$B$2:$B$1800,V$1)</f>
        <v>0</v>
      </c>
      <c r="W175" s="117" t="n">
        <f aca="false">SUMIFS(الريسبي!$C$2:$C$1800,الريسبي!$A$2:$A$1800,$A175,الريسبي!$B$2:$B$1800,W$1)</f>
        <v>0</v>
      </c>
      <c r="X175" s="117" t="n">
        <f aca="false">SUMIFS(الريسبي!$C$2:$C$1800,الريسبي!$A$2:$A$1800,$A175,الريسبي!$B$2:$B$1800,X$1)</f>
        <v>1</v>
      </c>
      <c r="Y175" s="117" t="n">
        <f aca="false">SUMIFS(الريسبي!$C$2:$C$1800,الريسبي!$A$2:$A$1800,$A175,الريسبي!$B$2:$B$1800,Y$1)</f>
        <v>0</v>
      </c>
      <c r="Z175" s="117" t="n">
        <f aca="false">SUMIFS(الريسبي!$C$2:$C$1800,الريسبي!$A$2:$A$1800,$A175,الريسبي!$B$2:$B$1800,Z$1)</f>
        <v>0</v>
      </c>
      <c r="AA175" s="117" t="n">
        <f aca="false">SUMIFS(الريسبي!$C$2:$C$1800,الريسبي!$A$2:$A$1800,$A175,الريسبي!$B$2:$B$1800,AA$1)</f>
        <v>0</v>
      </c>
      <c r="AB175" s="117" t="n">
        <f aca="false">SUMIFS(الريسبي!$C$2:$C$1800,الريسبي!$A$2:$A$1800,$A175,الريسبي!$B$2:$B$1800,AB$1)</f>
        <v>0</v>
      </c>
      <c r="AC175" s="117" t="n">
        <f aca="false">SUMIFS(الريسبي!$C$2:$C$1800,الريسبي!$A$2:$A$1800,$A175,الريسبي!$B$2:$B$1800,AC$1)</f>
        <v>0</v>
      </c>
      <c r="AD175" s="117" t="n">
        <f aca="false">SUMIFS(الريسبي!$C$2:$C$1800,الريسبي!$A$2:$A$1800,$A175,الريسبي!$B$2:$B$1800,AD$1)</f>
        <v>0</v>
      </c>
      <c r="AE175" s="117" t="n">
        <f aca="false">SUMIFS(الريسبي!$C$2:$C$1800,الريسبي!$A$2:$A$1800,$A175,الريسبي!$B$2:$B$1800,AE$1)</f>
        <v>0</v>
      </c>
      <c r="AF175" s="117" t="n">
        <f aca="false">SUMIFS(الريسبي!$C$2:$C$1800,الريسبي!$A$2:$A$1800,$A175,الريسبي!$B$2:$B$1800,AF$1)</f>
        <v>0</v>
      </c>
      <c r="AG175" s="117" t="n">
        <f aca="false">SUMIFS(الريسبي!$C$2:$C$1800,الريسبي!$A$2:$A$1800,$A175,الريسبي!$B$2:$B$1800,AG$1)</f>
        <v>0</v>
      </c>
      <c r="AH175" s="117" t="n">
        <f aca="false">SUMIFS(الريسبي!$C$2:$C$1800,الريسبي!$A$2:$A$1800,$A175,الريسبي!$B$2:$B$1800,AH$1)</f>
        <v>0</v>
      </c>
      <c r="AI175" s="117" t="n">
        <f aca="false">SUMIFS(الريسبي!$C$2:$C$1800,الريسبي!$A$2:$A$1800,$A175,الريسبي!$B$2:$B$1800,AI$1)</f>
        <v>0</v>
      </c>
      <c r="AJ175" s="117" t="n">
        <f aca="false">SUMIFS(الريسبي!$C$2:$C$1800,الريسبي!$A$2:$A$1800,$A175,الريسبي!$B$2:$B$1800,AJ$1)</f>
        <v>0</v>
      </c>
      <c r="AK175" s="117" t="n">
        <f aca="false">SUMIFS(الريسبي!$C$2:$C$1800,الريسبي!$A$2:$A$1800,$A175,الريسبي!$B$2:$B$1800,AK$1)</f>
        <v>0</v>
      </c>
      <c r="AL175" s="117" t="n">
        <f aca="false">SUMIFS(الريسبي!$C$2:$C$1800,الريسبي!$A$2:$A$1800,$A175,الريسبي!$B$2:$B$1800,AL$1)</f>
        <v>0</v>
      </c>
      <c r="AM175" s="117" t="n">
        <f aca="false">SUMIFS(الريسبي!$C$2:$C$1800,الريسبي!$A$2:$A$1800,$A175,الريسبي!$B$2:$B$1800,AM$1)+0.08333333333*SUMIFS(الريسبي!$C$2:$C$1800,الريسبي!$A$2:$A$1800,$A175,الريسبي!$B$2:$B$1800,"عجين كريب (مصنع بالمطعم)")+0.08333333333*SUMIFS(الريسبي!$C$2:$C$1800,الريسبي!$A$2:$A$1800,$A175,الريسبي!$B$2:$B$1800,"عجين كريب صيامي (بدون لبن)")</f>
        <v>0.08333333333</v>
      </c>
      <c r="AN175" s="117" t="n">
        <f aca="false">SUMIFS(الريسبي!$C$2:$C$1800,الريسبي!$A$2:$A$1800,$A175,الريسبي!$B$2:$B$1800,AN$1)+0.004166666667*SUMIFS(الريسبي!$C$2:$C$1800,الريسبي!$A$2:$A$1800,$A175,الريسبي!$B$2:$B$1800,"عجين كريب (مصنع بالمطعم)")+0.004166666667*SUMIFS(الريسبي!$C$2:$C$1800,الريسبي!$A$2:$A$1800,$A175,الريسبي!$B$2:$B$1800,"عجين كريب صيامي (بدون لبن)")</f>
        <v>0.004166666667</v>
      </c>
      <c r="AO175" s="117" t="n">
        <f aca="false">SUMIFS(الريسبي!$C$2:$C$1800,الريسبي!$A$2:$A$1800,$A175,الريسبي!$B$2:$B$1800,AO$1)</f>
        <v>0</v>
      </c>
      <c r="AP175" s="117" t="n">
        <f aca="false">SUMIFS(الريسبي!$C$2:$C$1800,الريسبي!$A$2:$A$1800,$A175,الريسبي!$B$2:$B$1800,AP$1)</f>
        <v>0.02</v>
      </c>
      <c r="AQ175" s="117" t="n">
        <f aca="false">SUMIFS(الريسبي!$C$2:$C$1800,الريسبي!$A$2:$A$1800,$A175,الريسبي!$B$2:$B$1800,AQ$1)+0.004166666667*SUMIFS(الريسبي!$C$2:$C$1800,الريسبي!$A$2:$A$1800,$A175,الريسبي!$B$2:$B$1800,"عجين كريب (مصنع بالمطعم)")+0.004166666667*SUMIFS(الريسبي!$C$2:$C$1800,الريسبي!$A$2:$A$1800,$A175,الريسبي!$B$2:$B$1800,"عجين كريب صيامي (بدون لبن)")</f>
        <v>0.004166666667</v>
      </c>
      <c r="AR175" s="117" t="n">
        <f aca="false">SUMIFS(الريسبي!$C$2:$C$1800,الريسبي!$A$2:$A$1800,$A175,الريسبي!$B$2:$B$1800,AR$1)</f>
        <v>0</v>
      </c>
      <c r="AS175" s="117" t="n">
        <f aca="false">SUMIFS(الريسبي!$C$2:$C$1800,الريسبي!$A$2:$A$1800,$A175,الريسبي!$B$2:$B$1800,AS$1)</f>
        <v>1</v>
      </c>
      <c r="AT175" s="117" t="n">
        <f aca="false">SUMIFS(الريسبي!$C$2:$C$1800,الريسبي!$A$2:$A$1800,$A175,الريسبي!$B$2:$B$1800,AT$1)</f>
        <v>0</v>
      </c>
      <c r="AU175" s="117" t="n">
        <f aca="false">SUMIFS(الريسبي!$C$2:$C$1800,الريسبي!$A$2:$A$1800,$A175,الريسبي!$B$2:$B$1800,AU$1)</f>
        <v>0</v>
      </c>
      <c r="AV175" s="117" t="n">
        <f aca="false">SUMIFS(الريسبي!$C$2:$C$1800,الريسبي!$A$2:$A$1800,$A175,الريسبي!$B$2:$B$1800,AV$1)</f>
        <v>0</v>
      </c>
      <c r="AW175" s="117" t="n">
        <f aca="false">SUMIFS(الريسبي!$C$2:$C$1800,الريسبي!$A$2:$A$1800,$A175,الريسبي!$B$2:$B$1800,AW$1)</f>
        <v>0</v>
      </c>
      <c r="AX175" s="117" t="n">
        <f aca="false">SUMIFS(الريسبي!$C$2:$C$1800,الريسبي!$A$2:$A$1800,$A175,الريسبي!$B$2:$B$1800,AX$1)</f>
        <v>0</v>
      </c>
      <c r="AY175" s="117" t="n">
        <f aca="false">SUMIFS(الريسبي!$C$2:$C$1800,الريسبي!$A$2:$A$1800,$A175,الريسبي!$B$2:$B$1800,AY$1)</f>
        <v>0</v>
      </c>
      <c r="AZ175" s="117" t="n">
        <f aca="false">SUMIFS(الريسبي!$C$2:$C$1800,الريسبي!$A$2:$A$1800,$A175,الريسبي!$B$2:$B$1800,AZ$1)</f>
        <v>0</v>
      </c>
      <c r="BA175" s="117" t="n">
        <f aca="false">SUMIFS(الريسبي!$C$2:$C$1800,الريسبي!$A$2:$A$1800,$A175,الريسبي!$B$2:$B$1800,BA$1)</f>
        <v>0</v>
      </c>
      <c r="BB175" s="117" t="n">
        <f aca="false">SUMIFS(الريسبي!$C$2:$C$1800,الريسبي!$A$2:$A$1800,$A175,الريسبي!$B$2:$B$1800,BB$1)</f>
        <v>0</v>
      </c>
      <c r="BC175" s="117" t="n">
        <f aca="false">SUMIFS(الريسبي!$C$2:$C$1800,الريسبي!$A$2:$A$1800,$A175,الريسبي!$B$2:$B$1800,BC$1)</f>
        <v>0.03</v>
      </c>
      <c r="BD175" s="117" t="n">
        <f aca="false">SUMIFS(الريسبي!$C$2:$C$1800,الريسبي!$A$2:$A$1800,$A175,الريسبي!$B$2:$B$1800,BD$1)</f>
        <v>0</v>
      </c>
      <c r="BE175" s="117" t="n">
        <f aca="false">SUMIFS(الريسبي!$C$2:$C$1800,الريسبي!$A$2:$A$1800,$A175,الريسبي!$B$2:$B$1800,BE$1)</f>
        <v>0</v>
      </c>
      <c r="BF175" s="117" t="n">
        <f aca="false">SUMIFS(الريسبي!$C$2:$C$1800,الريسبي!$A$2:$A$1800,$A175,الريسبي!$B$2:$B$1800,BF$1)</f>
        <v>0</v>
      </c>
      <c r="BG175" s="117" t="n">
        <f aca="false">SUMIFS(الريسبي!$C$2:$C$1800,الريسبي!$A$2:$A$1800,$A175,الريسبي!$B$2:$B$1800,BG$1)</f>
        <v>0</v>
      </c>
      <c r="BH175" s="117" t="n">
        <f aca="false">SUMIFS(الريسبي!$C$2:$C$1800,الريسبي!$A$2:$A$1800,$A175,الريسبي!$B$2:$B$1800,BH$1)</f>
        <v>0</v>
      </c>
      <c r="BI175" s="117" t="n">
        <f aca="false">SUMIFS(الريسبي!$C$2:$C$1800,الريسبي!$A$2:$A$1800,$A175,الريسبي!$B$2:$B$1800,BI$1)</f>
        <v>0</v>
      </c>
      <c r="BJ175" s="117" t="n">
        <f aca="false">SUMIFS(الريسبي!$C$2:$C$1800,الريسبي!$A$2:$A$1800,$A175,الريسبي!$B$2:$B$1800,BJ$1)</f>
        <v>0</v>
      </c>
      <c r="BK175" s="117" t="n">
        <f aca="false">SUMIFS(الريسبي!$C$2:$C$1800,الريسبي!$A$2:$A$1800,$A175,الريسبي!$B$2:$B$1800,BK$1)</f>
        <v>0</v>
      </c>
      <c r="BL175" s="117" t="n">
        <f aca="false">SUMIFS(الريسبي!$C$2:$C$1800,الريسبي!$A$2:$A$1800,$A175,الريسبي!$B$2:$B$1800,BL$1)</f>
        <v>0</v>
      </c>
      <c r="BM175" s="117" t="n">
        <f aca="false">SUMIFS(الريسبي!$C$2:$C$1800,الريسبي!$A$2:$A$1800,$A175,الريسبي!$B$2:$B$1800,BM$1)</f>
        <v>0</v>
      </c>
      <c r="BN175" s="117" t="n">
        <f aca="false">SUMIFS(الريسبي!$C$2:$C$1800,الريسبي!$A$2:$A$1800,$A175,الريسبي!$B$2:$B$1800,BN$1)</f>
        <v>0.02</v>
      </c>
      <c r="BO175" s="117" t="n">
        <f aca="false">SUMIFS(الريسبي!$C$2:$C$1800,الريسبي!$A$2:$A$1800,$A175,الريسبي!$B$2:$B$1800,BO$1)</f>
        <v>0</v>
      </c>
      <c r="BP175" s="117" t="n">
        <f aca="false">SUMIFS(الريسبي!$C$2:$C$1800,الريسبي!$A$2:$A$1800,$A175,الريسبي!$B$2:$B$1800,BP$1)</f>
        <v>0</v>
      </c>
      <c r="BQ175" s="117" t="n">
        <f aca="false">SUMIFS(الريسبي!$C$2:$C$1800,الريسبي!$A$2:$A$1800,$A175,الريسبي!$B$2:$B$1800,BQ$1)+0.17*SUMIFS(الريسبي!$C$2:$C$1800,الريسبي!$A$2:$A$1800,$A175,الريسبي!$B$2:$B$1800,"كاسترد مصنع (خليط بودر + لبن)")+0.17*SUMIFS(الريسبي!$C$2:$C$1800,الريسبي!$A$2:$A$1800,$A175,الريسبي!$B$2:$B$1800,"كاسترد مصنع صيامي (بدون لبن)")</f>
        <v>0</v>
      </c>
      <c r="BR175" s="117" t="n">
        <f aca="false">SUMIFS(الريسبي!$C$2:$C$1800,الريسبي!$A$2:$A$1800,$A175,الريسبي!$B$2:$B$1800,BR$1)</f>
        <v>0</v>
      </c>
      <c r="BS175" s="117" t="n">
        <f aca="false">SUMIFS(الريسبي!$C$2:$C$1800,الريسبي!$A$2:$A$1800,$A175,الريسبي!$B$2:$B$1800,BS$1)</f>
        <v>0</v>
      </c>
      <c r="BT175" s="117" t="n">
        <f aca="false">SUMIFS(الريسبي!$C$2:$C$1800,الريسبي!$A$2:$A$1800,$A175,الريسبي!$B$2:$B$1800,BT$1)</f>
        <v>1</v>
      </c>
      <c r="BU175" s="117" t="n">
        <f aca="false">SUMIFS(الريسبي!$C$2:$C$1800,الريسبي!$A$2:$A$1800,$A175,الريسبي!$B$2:$B$1800,BU$1)+0.4*SUMIFS(الريسبي!$C$2:$C$1800,الريسبي!$A$2:$A$1800,$A175,الريسبي!$B$2:$B$1800,"كاسترد مصنع (خليط بودر + لبن)")+0.03333333333*SUMIFS(الريسبي!$C$2:$C$1800,الريسبي!$A$2:$A$1800,$A175,الريسبي!$B$2:$B$1800,"عجين كريب (مصنع بالمطعم)")</f>
        <v>0.03333333333</v>
      </c>
      <c r="BV175" s="117" t="n">
        <f aca="false">SUMIFS(الريسبي!$C$2:$C$1800,الريسبي!$A$2:$A$1800,$A175,الريسبي!$B$2:$B$1800,BV$1)</f>
        <v>0</v>
      </c>
      <c r="BW175" s="117" t="n">
        <f aca="false">SUMIFS(الريسبي!$C$2:$C$1800,الريسبي!$A$2:$A$1800,$A175,الريسبي!$B$2:$B$1800,BW$1)</f>
        <v>0</v>
      </c>
      <c r="BX175" s="117" t="n">
        <f aca="false">SUMIFS(الريسبي!$C$2:$C$1800,الريسبي!$A$2:$A$1800,$A175,الريسبي!$B$2:$B$1800,BX$1)</f>
        <v>0</v>
      </c>
      <c r="BY175" s="117" t="n">
        <f aca="false">SUMIFS(الريسبي!$C$2:$C$1800,الريسبي!$A$2:$A$1800,$A175,الريسبي!$B$2:$B$1800,BY$1)</f>
        <v>0</v>
      </c>
      <c r="BZ175" s="117" t="n">
        <f aca="false">SUMIFS(الريسبي!$C$2:$C$1800,الريسبي!$A$2:$A$1800,$A175,الريسبي!$B$2:$B$1800,BZ$1)</f>
        <v>0</v>
      </c>
      <c r="CA175" s="117" t="n">
        <f aca="false">SUMIFS(الريسبي!$C$2:$C$1800,الريسبي!$A$2:$A$1800,$A175,الريسبي!$B$2:$B$1800,CA$1)</f>
        <v>0</v>
      </c>
      <c r="CB175" s="117" t="n">
        <f aca="false">SUMIFS(الريسبي!$C$2:$C$1800,الريسبي!$A$2:$A$1800,$A175,الريسبي!$B$2:$B$1800,CB$1)</f>
        <v>0</v>
      </c>
      <c r="CC175" s="117" t="n">
        <f aca="false">SUMIFS(الريسبي!$C$2:$C$1800,الريسبي!$A$2:$A$1800,$A175,الريسبي!$B$2:$B$1800,CC$1)</f>
        <v>0</v>
      </c>
      <c r="CD175" s="117" t="n">
        <f aca="false">SUMIFS(الريسبي!$C$2:$C$1800,الريسبي!$A$2:$A$1800,$A175,الريسبي!$B$2:$B$1800,CD$1)</f>
        <v>0</v>
      </c>
      <c r="CE175" s="117" t="n">
        <f aca="false">SUMIFS(الريسبي!$C$2:$C$1800,الريسبي!$A$2:$A$1800,$A175,الريسبي!$B$2:$B$1800,CE$1)</f>
        <v>0</v>
      </c>
      <c r="CF175" s="117" t="n">
        <f aca="false">SUMIFS(الريسبي!$C$2:$C$1800,الريسبي!$A$2:$A$1800,$A175,الريسبي!$B$2:$B$1800,CF$1)</f>
        <v>0</v>
      </c>
      <c r="CG175" s="117" t="n">
        <f aca="false">SUMIFS(الريسبي!$C$2:$C$1800,الريسبي!$A$2:$A$1800,$A175,الريسبي!$B$2:$B$1800,CG$1)</f>
        <v>0</v>
      </c>
      <c r="CH175" s="117" t="n">
        <f aca="false">SUMIFS(الريسبي!$C$2:$C$1800,الريسبي!$A$2:$A$1800,$A175,الريسبي!$B$2:$B$1800,CH$1)</f>
        <v>0</v>
      </c>
      <c r="CI175" s="117" t="n">
        <f aca="false">SUMIFS(الريسبي!$C$2:$C$1800,الريسبي!$A$2:$A$1800,$A175,الريسبي!$B$2:$B$1800,CI$1)</f>
        <v>0</v>
      </c>
      <c r="CJ175" s="117" t="n">
        <f aca="false">SUMIFS(الريسبي!$C$2:$C$1800,الريسبي!$A$2:$A$1800,$A175,الريسبي!$B$2:$B$1800,CJ$1)</f>
        <v>0</v>
      </c>
      <c r="CK175" s="117" t="n">
        <f aca="false">SUMIFS(الريسبي!$C$2:$C$1800,الريسبي!$A$2:$A$1800,$A175,الريسبي!$B$2:$B$1800,CK$1)</f>
        <v>0</v>
      </c>
      <c r="CL175" s="117" t="n">
        <f aca="false">SUMIFS(الريسبي!$C$2:$C$1800,الريسبي!$A$2:$A$1800,$A175,الريسبي!$B$2:$B$1800,CL$1)</f>
        <v>0</v>
      </c>
    </row>
    <row r="176" customFormat="false" ht="15" hidden="false" customHeight="false" outlineLevel="0" collapsed="false">
      <c r="A176" s="116" t="str">
        <f aca="false">المنيو!B176</f>
        <v>كريب فراخ جريل</v>
      </c>
      <c r="B176" s="117" t="n">
        <f aca="false">SUMIFS(الريسبي!$C$2:$C$1800,الريسبي!$A$2:$A$1800,$A176,الريسبي!$B$2:$B$1800,B$1)</f>
        <v>0</v>
      </c>
      <c r="C176" s="117" t="n">
        <f aca="false">SUMIFS(الريسبي!$C$2:$C$1800,الريسبي!$A$2:$A$1800,$A176,الريسبي!$B$2:$B$1800,C$1)</f>
        <v>0</v>
      </c>
      <c r="D176" s="117" t="n">
        <f aca="false">SUMIFS(الريسبي!$C$2:$C$1800,الريسبي!$A$2:$A$1800,$A176,الريسبي!$B$2:$B$1800,D$1)</f>
        <v>0</v>
      </c>
      <c r="E176" s="117" t="n">
        <f aca="false">SUMIFS(الريسبي!$C$2:$C$1800,الريسبي!$A$2:$A$1800,$A176,الريسبي!$B$2:$B$1800,E$1)</f>
        <v>0</v>
      </c>
      <c r="F176" s="117" t="n">
        <f aca="false">SUMIFS(الريسبي!$C$2:$C$1800,الريسبي!$A$2:$A$1800,$A176,الريسبي!$B$2:$B$1800,F$1)</f>
        <v>0</v>
      </c>
      <c r="G176" s="117" t="n">
        <f aca="false">SUMIFS(الريسبي!$C$2:$C$1800,الريسبي!$A$2:$A$1800,$A176,الريسبي!$B$2:$B$1800,G$1)</f>
        <v>0</v>
      </c>
      <c r="H176" s="117" t="n">
        <f aca="false">SUMIFS(الريسبي!$C$2:$C$1800,الريسبي!$A$2:$A$1800,$A176,الريسبي!$B$2:$B$1800,H$1)</f>
        <v>0</v>
      </c>
      <c r="I176" s="117" t="n">
        <f aca="false">SUMIFS(الريسبي!$C$2:$C$1800,الريسبي!$A$2:$A$1800,$A176,الريسبي!$B$2:$B$1800,I$1)</f>
        <v>0</v>
      </c>
      <c r="J176" s="117" t="n">
        <f aca="false">SUMIFS(الريسبي!$C$2:$C$1800,الريسبي!$A$2:$A$1800,$A176,الريسبي!$B$2:$B$1800,J$1)</f>
        <v>0</v>
      </c>
      <c r="K176" s="117" t="n">
        <f aca="false">SUMIFS(الريسبي!$C$2:$C$1800,الريسبي!$A$2:$A$1800,$A176,الريسبي!$B$2:$B$1800,K$1)</f>
        <v>0</v>
      </c>
      <c r="L176" s="117" t="n">
        <f aca="false">SUMIFS(الريسبي!$C$2:$C$1800,الريسبي!$A$2:$A$1800,$A176,الريسبي!$B$2:$B$1800,L$1)</f>
        <v>0</v>
      </c>
      <c r="M176" s="117" t="n">
        <f aca="false">SUMIFS(الريسبي!$C$2:$C$1800,الريسبي!$A$2:$A$1800,$A176,الريسبي!$B$2:$B$1800,M$1)</f>
        <v>0</v>
      </c>
      <c r="N176" s="117" t="n">
        <f aca="false">SUMIFS(الريسبي!$C$2:$C$1800,الريسبي!$A$2:$A$1800,$A176,الريسبي!$B$2:$B$1800,N$1)</f>
        <v>0</v>
      </c>
      <c r="O176" s="117" t="n">
        <f aca="false">SUMIFS(الريسبي!$C$2:$C$1800,الريسبي!$A$2:$A$1800,$A176,الريسبي!$B$2:$B$1800,O$1)</f>
        <v>1</v>
      </c>
      <c r="P176" s="117" t="n">
        <f aca="false">SUMIFS(الريسبي!$C$2:$C$1800,الريسبي!$A$2:$A$1800,$A176,الريسبي!$B$2:$B$1800,P$1)</f>
        <v>0</v>
      </c>
      <c r="Q176" s="117" t="n">
        <f aca="false">SUMIFS(الريسبي!$C$2:$C$1800,الريسبي!$A$2:$A$1800,$A176,الريسبي!$B$2:$B$1800,Q$1)</f>
        <v>0</v>
      </c>
      <c r="R176" s="117" t="n">
        <f aca="false">SUMIFS(الريسبي!$C$2:$C$1800,الريسبي!$A$2:$A$1800,$A176,الريسبي!$B$2:$B$1800,R$1)</f>
        <v>0</v>
      </c>
      <c r="S176" s="117" t="n">
        <f aca="false">SUMIFS(الريسبي!$C$2:$C$1800,الريسبي!$A$2:$A$1800,$A176,الريسبي!$B$2:$B$1800,S$1)</f>
        <v>0</v>
      </c>
      <c r="T176" s="117" t="n">
        <f aca="false">SUMIFS(الريسبي!$C$2:$C$1800,الريسبي!$A$2:$A$1800,$A176,الريسبي!$B$2:$B$1800,T$1)</f>
        <v>0</v>
      </c>
      <c r="U176" s="117" t="n">
        <f aca="false">SUMIFS(الريسبي!$C$2:$C$1800,الريسبي!$A$2:$A$1800,$A176,الريسبي!$B$2:$B$1800,U$1)</f>
        <v>0</v>
      </c>
      <c r="V176" s="117" t="n">
        <f aca="false">SUMIFS(الريسبي!$C$2:$C$1800,الريسبي!$A$2:$A$1800,$A176,الريسبي!$B$2:$B$1800,V$1)</f>
        <v>0</v>
      </c>
      <c r="W176" s="117" t="n">
        <f aca="false">SUMIFS(الريسبي!$C$2:$C$1800,الريسبي!$A$2:$A$1800,$A176,الريسبي!$B$2:$B$1800,W$1)</f>
        <v>0</v>
      </c>
      <c r="X176" s="117" t="n">
        <f aca="false">SUMIFS(الريسبي!$C$2:$C$1800,الريسبي!$A$2:$A$1800,$A176,الريسبي!$B$2:$B$1800,X$1)</f>
        <v>1</v>
      </c>
      <c r="Y176" s="117" t="n">
        <f aca="false">SUMIFS(الريسبي!$C$2:$C$1800,الريسبي!$A$2:$A$1800,$A176,الريسبي!$B$2:$B$1800,Y$1)</f>
        <v>0</v>
      </c>
      <c r="Z176" s="117" t="n">
        <f aca="false">SUMIFS(الريسبي!$C$2:$C$1800,الريسبي!$A$2:$A$1800,$A176,الريسبي!$B$2:$B$1800,Z$1)</f>
        <v>0</v>
      </c>
      <c r="AA176" s="117" t="n">
        <f aca="false">SUMIFS(الريسبي!$C$2:$C$1800,الريسبي!$A$2:$A$1800,$A176,الريسبي!$B$2:$B$1800,AA$1)</f>
        <v>0</v>
      </c>
      <c r="AB176" s="117" t="n">
        <f aca="false">SUMIFS(الريسبي!$C$2:$C$1800,الريسبي!$A$2:$A$1800,$A176,الريسبي!$B$2:$B$1800,AB$1)</f>
        <v>0</v>
      </c>
      <c r="AC176" s="117" t="n">
        <f aca="false">SUMIFS(الريسبي!$C$2:$C$1800,الريسبي!$A$2:$A$1800,$A176,الريسبي!$B$2:$B$1800,AC$1)</f>
        <v>0</v>
      </c>
      <c r="AD176" s="117" t="n">
        <f aca="false">SUMIFS(الريسبي!$C$2:$C$1800,الريسبي!$A$2:$A$1800,$A176,الريسبي!$B$2:$B$1800,AD$1)</f>
        <v>0</v>
      </c>
      <c r="AE176" s="117" t="n">
        <f aca="false">SUMIFS(الريسبي!$C$2:$C$1800,الريسبي!$A$2:$A$1800,$A176,الريسبي!$B$2:$B$1800,AE$1)</f>
        <v>0</v>
      </c>
      <c r="AF176" s="117" t="n">
        <f aca="false">SUMIFS(الريسبي!$C$2:$C$1800,الريسبي!$A$2:$A$1800,$A176,الريسبي!$B$2:$B$1800,AF$1)</f>
        <v>0</v>
      </c>
      <c r="AG176" s="117" t="n">
        <f aca="false">SUMIFS(الريسبي!$C$2:$C$1800,الريسبي!$A$2:$A$1800,$A176,الريسبي!$B$2:$B$1800,AG$1)</f>
        <v>0</v>
      </c>
      <c r="AH176" s="117" t="n">
        <f aca="false">SUMIFS(الريسبي!$C$2:$C$1800,الريسبي!$A$2:$A$1800,$A176,الريسبي!$B$2:$B$1800,AH$1)</f>
        <v>0</v>
      </c>
      <c r="AI176" s="117" t="n">
        <f aca="false">SUMIFS(الريسبي!$C$2:$C$1800,الريسبي!$A$2:$A$1800,$A176,الريسبي!$B$2:$B$1800,AI$1)</f>
        <v>0</v>
      </c>
      <c r="AJ176" s="117" t="n">
        <f aca="false">SUMIFS(الريسبي!$C$2:$C$1800,الريسبي!$A$2:$A$1800,$A176,الريسبي!$B$2:$B$1800,AJ$1)</f>
        <v>0</v>
      </c>
      <c r="AK176" s="117" t="n">
        <f aca="false">SUMIFS(الريسبي!$C$2:$C$1800,الريسبي!$A$2:$A$1800,$A176,الريسبي!$B$2:$B$1800,AK$1)</f>
        <v>0</v>
      </c>
      <c r="AL176" s="117" t="n">
        <f aca="false">SUMIFS(الريسبي!$C$2:$C$1800,الريسبي!$A$2:$A$1800,$A176,الريسبي!$B$2:$B$1800,AL$1)</f>
        <v>0</v>
      </c>
      <c r="AM176" s="117" t="n">
        <f aca="false">SUMIFS(الريسبي!$C$2:$C$1800,الريسبي!$A$2:$A$1800,$A176,الريسبي!$B$2:$B$1800,AM$1)+0.08333333333*SUMIFS(الريسبي!$C$2:$C$1800,الريسبي!$A$2:$A$1800,$A176,الريسبي!$B$2:$B$1800,"عجين كريب (مصنع بالمطعم)")+0.08333333333*SUMIFS(الريسبي!$C$2:$C$1800,الريسبي!$A$2:$A$1800,$A176,الريسبي!$B$2:$B$1800,"عجين كريب صيامي (بدون لبن)")</f>
        <v>0.08333333333</v>
      </c>
      <c r="AN176" s="117" t="n">
        <f aca="false">SUMIFS(الريسبي!$C$2:$C$1800,الريسبي!$A$2:$A$1800,$A176,الريسبي!$B$2:$B$1800,AN$1)+0.004166666667*SUMIFS(الريسبي!$C$2:$C$1800,الريسبي!$A$2:$A$1800,$A176,الريسبي!$B$2:$B$1800,"عجين كريب (مصنع بالمطعم)")+0.004166666667*SUMIFS(الريسبي!$C$2:$C$1800,الريسبي!$A$2:$A$1800,$A176,الريسبي!$B$2:$B$1800,"عجين كريب صيامي (بدون لبن)")</f>
        <v>0.004166666667</v>
      </c>
      <c r="AO176" s="117" t="n">
        <f aca="false">SUMIFS(الريسبي!$C$2:$C$1800,الريسبي!$A$2:$A$1800,$A176,الريسبي!$B$2:$B$1800,AO$1)</f>
        <v>0</v>
      </c>
      <c r="AP176" s="117" t="n">
        <f aca="false">SUMIFS(الريسبي!$C$2:$C$1800,الريسبي!$A$2:$A$1800,$A176,الريسبي!$B$2:$B$1800,AP$1)</f>
        <v>0.02</v>
      </c>
      <c r="AQ176" s="117" t="n">
        <f aca="false">SUMIFS(الريسبي!$C$2:$C$1800,الريسبي!$A$2:$A$1800,$A176,الريسبي!$B$2:$B$1800,AQ$1)+0.004166666667*SUMIFS(الريسبي!$C$2:$C$1800,الريسبي!$A$2:$A$1800,$A176,الريسبي!$B$2:$B$1800,"عجين كريب (مصنع بالمطعم)")+0.004166666667*SUMIFS(الريسبي!$C$2:$C$1800,الريسبي!$A$2:$A$1800,$A176,الريسبي!$B$2:$B$1800,"عجين كريب صيامي (بدون لبن)")</f>
        <v>0.004166666667</v>
      </c>
      <c r="AR176" s="117" t="n">
        <f aca="false">SUMIFS(الريسبي!$C$2:$C$1800,الريسبي!$A$2:$A$1800,$A176,الريسبي!$B$2:$B$1800,AR$1)</f>
        <v>0</v>
      </c>
      <c r="AS176" s="117" t="n">
        <f aca="false">SUMIFS(الريسبي!$C$2:$C$1800,الريسبي!$A$2:$A$1800,$A176,الريسبي!$B$2:$B$1800,AS$1)</f>
        <v>1</v>
      </c>
      <c r="AT176" s="117" t="n">
        <f aca="false">SUMIFS(الريسبي!$C$2:$C$1800,الريسبي!$A$2:$A$1800,$A176,الريسبي!$B$2:$B$1800,AT$1)</f>
        <v>0</v>
      </c>
      <c r="AU176" s="117" t="n">
        <f aca="false">SUMIFS(الريسبي!$C$2:$C$1800,الريسبي!$A$2:$A$1800,$A176,الريسبي!$B$2:$B$1800,AU$1)</f>
        <v>0</v>
      </c>
      <c r="AV176" s="117" t="n">
        <f aca="false">SUMIFS(الريسبي!$C$2:$C$1800,الريسبي!$A$2:$A$1800,$A176,الريسبي!$B$2:$B$1800,AV$1)</f>
        <v>0</v>
      </c>
      <c r="AW176" s="117" t="n">
        <f aca="false">SUMIFS(الريسبي!$C$2:$C$1800,الريسبي!$A$2:$A$1800,$A176,الريسبي!$B$2:$B$1800,AW$1)</f>
        <v>0</v>
      </c>
      <c r="AX176" s="117" t="n">
        <f aca="false">SUMIFS(الريسبي!$C$2:$C$1800,الريسبي!$A$2:$A$1800,$A176,الريسبي!$B$2:$B$1800,AX$1)</f>
        <v>0</v>
      </c>
      <c r="AY176" s="117" t="n">
        <f aca="false">SUMIFS(الريسبي!$C$2:$C$1800,الريسبي!$A$2:$A$1800,$A176,الريسبي!$B$2:$B$1800,AY$1)</f>
        <v>0</v>
      </c>
      <c r="AZ176" s="117" t="n">
        <f aca="false">SUMIFS(الريسبي!$C$2:$C$1800,الريسبي!$A$2:$A$1800,$A176,الريسبي!$B$2:$B$1800,AZ$1)</f>
        <v>0</v>
      </c>
      <c r="BA176" s="117" t="n">
        <f aca="false">SUMIFS(الريسبي!$C$2:$C$1800,الريسبي!$A$2:$A$1800,$A176,الريسبي!$B$2:$B$1800,BA$1)</f>
        <v>0</v>
      </c>
      <c r="BB176" s="117" t="n">
        <f aca="false">SUMIFS(الريسبي!$C$2:$C$1800,الريسبي!$A$2:$A$1800,$A176,الريسبي!$B$2:$B$1800,BB$1)</f>
        <v>0</v>
      </c>
      <c r="BC176" s="117" t="n">
        <f aca="false">SUMIFS(الريسبي!$C$2:$C$1800,الريسبي!$A$2:$A$1800,$A176,الريسبي!$B$2:$B$1800,BC$1)</f>
        <v>0.03</v>
      </c>
      <c r="BD176" s="117" t="n">
        <f aca="false">SUMIFS(الريسبي!$C$2:$C$1800,الريسبي!$A$2:$A$1800,$A176,الريسبي!$B$2:$B$1800,BD$1)</f>
        <v>0</v>
      </c>
      <c r="BE176" s="117" t="n">
        <f aca="false">SUMIFS(الريسبي!$C$2:$C$1800,الريسبي!$A$2:$A$1800,$A176,الريسبي!$B$2:$B$1800,BE$1)</f>
        <v>0</v>
      </c>
      <c r="BF176" s="117" t="n">
        <f aca="false">SUMIFS(الريسبي!$C$2:$C$1800,الريسبي!$A$2:$A$1800,$A176,الريسبي!$B$2:$B$1800,BF$1)</f>
        <v>0</v>
      </c>
      <c r="BG176" s="117" t="n">
        <f aca="false">SUMIFS(الريسبي!$C$2:$C$1800,الريسبي!$A$2:$A$1800,$A176,الريسبي!$B$2:$B$1800,BG$1)</f>
        <v>0</v>
      </c>
      <c r="BH176" s="117" t="n">
        <f aca="false">SUMIFS(الريسبي!$C$2:$C$1800,الريسبي!$A$2:$A$1800,$A176,الريسبي!$B$2:$B$1800,BH$1)</f>
        <v>0</v>
      </c>
      <c r="BI176" s="117" t="n">
        <f aca="false">SUMIFS(الريسبي!$C$2:$C$1800,الريسبي!$A$2:$A$1800,$A176,الريسبي!$B$2:$B$1800,BI$1)</f>
        <v>0</v>
      </c>
      <c r="BJ176" s="117" t="n">
        <f aca="false">SUMIFS(الريسبي!$C$2:$C$1800,الريسبي!$A$2:$A$1800,$A176,الريسبي!$B$2:$B$1800,BJ$1)</f>
        <v>0</v>
      </c>
      <c r="BK176" s="117" t="n">
        <f aca="false">SUMIFS(الريسبي!$C$2:$C$1800,الريسبي!$A$2:$A$1800,$A176,الريسبي!$B$2:$B$1800,BK$1)</f>
        <v>0</v>
      </c>
      <c r="BL176" s="117" t="n">
        <f aca="false">SUMIFS(الريسبي!$C$2:$C$1800,الريسبي!$A$2:$A$1800,$A176,الريسبي!$B$2:$B$1800,BL$1)</f>
        <v>0</v>
      </c>
      <c r="BM176" s="117" t="n">
        <f aca="false">SUMIFS(الريسبي!$C$2:$C$1800,الريسبي!$A$2:$A$1800,$A176,الريسبي!$B$2:$B$1800,BM$1)</f>
        <v>0</v>
      </c>
      <c r="BN176" s="117" t="n">
        <f aca="false">SUMIFS(الريسبي!$C$2:$C$1800,الريسبي!$A$2:$A$1800,$A176,الريسبي!$B$2:$B$1800,BN$1)</f>
        <v>0.02</v>
      </c>
      <c r="BO176" s="117" t="n">
        <f aca="false">SUMIFS(الريسبي!$C$2:$C$1800,الريسبي!$A$2:$A$1800,$A176,الريسبي!$B$2:$B$1800,BO$1)</f>
        <v>0</v>
      </c>
      <c r="BP176" s="117" t="n">
        <f aca="false">SUMIFS(الريسبي!$C$2:$C$1800,الريسبي!$A$2:$A$1800,$A176,الريسبي!$B$2:$B$1800,BP$1)</f>
        <v>0</v>
      </c>
      <c r="BQ176" s="117" t="n">
        <f aca="false">SUMIFS(الريسبي!$C$2:$C$1800,الريسبي!$A$2:$A$1800,$A176,الريسبي!$B$2:$B$1800,BQ$1)+0.17*SUMIFS(الريسبي!$C$2:$C$1800,الريسبي!$A$2:$A$1800,$A176,الريسبي!$B$2:$B$1800,"كاسترد مصنع (خليط بودر + لبن)")+0.17*SUMIFS(الريسبي!$C$2:$C$1800,الريسبي!$A$2:$A$1800,$A176,الريسبي!$B$2:$B$1800,"كاسترد مصنع صيامي (بدون لبن)")</f>
        <v>0</v>
      </c>
      <c r="BR176" s="117" t="n">
        <f aca="false">SUMIFS(الريسبي!$C$2:$C$1800,الريسبي!$A$2:$A$1800,$A176,الريسبي!$B$2:$B$1800,BR$1)</f>
        <v>0</v>
      </c>
      <c r="BS176" s="117" t="n">
        <f aca="false">SUMIFS(الريسبي!$C$2:$C$1800,الريسبي!$A$2:$A$1800,$A176,الريسبي!$B$2:$B$1800,BS$1)</f>
        <v>0</v>
      </c>
      <c r="BT176" s="117" t="n">
        <f aca="false">SUMIFS(الريسبي!$C$2:$C$1800,الريسبي!$A$2:$A$1800,$A176,الريسبي!$B$2:$B$1800,BT$1)</f>
        <v>1</v>
      </c>
      <c r="BU176" s="117" t="n">
        <f aca="false">SUMIFS(الريسبي!$C$2:$C$1800,الريسبي!$A$2:$A$1800,$A176,الريسبي!$B$2:$B$1800,BU$1)+0.4*SUMIFS(الريسبي!$C$2:$C$1800,الريسبي!$A$2:$A$1800,$A176,الريسبي!$B$2:$B$1800,"كاسترد مصنع (خليط بودر + لبن)")+0.03333333333*SUMIFS(الريسبي!$C$2:$C$1800,الريسبي!$A$2:$A$1800,$A176,الريسبي!$B$2:$B$1800,"عجين كريب (مصنع بالمطعم)")</f>
        <v>0.03333333333</v>
      </c>
      <c r="BV176" s="117" t="n">
        <f aca="false">SUMIFS(الريسبي!$C$2:$C$1800,الريسبي!$A$2:$A$1800,$A176,الريسبي!$B$2:$B$1800,BV$1)</f>
        <v>0</v>
      </c>
      <c r="BW176" s="117" t="n">
        <f aca="false">SUMIFS(الريسبي!$C$2:$C$1800,الريسبي!$A$2:$A$1800,$A176,الريسبي!$B$2:$B$1800,BW$1)</f>
        <v>0</v>
      </c>
      <c r="BX176" s="117" t="n">
        <f aca="false">SUMIFS(الريسبي!$C$2:$C$1800,الريسبي!$A$2:$A$1800,$A176,الريسبي!$B$2:$B$1800,BX$1)</f>
        <v>0</v>
      </c>
      <c r="BY176" s="117" t="n">
        <f aca="false">SUMIFS(الريسبي!$C$2:$C$1800,الريسبي!$A$2:$A$1800,$A176,الريسبي!$B$2:$B$1800,BY$1)</f>
        <v>0</v>
      </c>
      <c r="BZ176" s="117" t="n">
        <f aca="false">SUMIFS(الريسبي!$C$2:$C$1800,الريسبي!$A$2:$A$1800,$A176,الريسبي!$B$2:$B$1800,BZ$1)</f>
        <v>0</v>
      </c>
      <c r="CA176" s="117" t="n">
        <f aca="false">SUMIFS(الريسبي!$C$2:$C$1800,الريسبي!$A$2:$A$1800,$A176,الريسبي!$B$2:$B$1800,CA$1)</f>
        <v>0</v>
      </c>
      <c r="CB176" s="117" t="n">
        <f aca="false">SUMIFS(الريسبي!$C$2:$C$1800,الريسبي!$A$2:$A$1800,$A176,الريسبي!$B$2:$B$1800,CB$1)</f>
        <v>0</v>
      </c>
      <c r="CC176" s="117" t="n">
        <f aca="false">SUMIFS(الريسبي!$C$2:$C$1800,الريسبي!$A$2:$A$1800,$A176,الريسبي!$B$2:$B$1800,CC$1)</f>
        <v>0</v>
      </c>
      <c r="CD176" s="117" t="n">
        <f aca="false">SUMIFS(الريسبي!$C$2:$C$1800,الريسبي!$A$2:$A$1800,$A176,الريسبي!$B$2:$B$1800,CD$1)</f>
        <v>0</v>
      </c>
      <c r="CE176" s="117" t="n">
        <f aca="false">SUMIFS(الريسبي!$C$2:$C$1800,الريسبي!$A$2:$A$1800,$A176,الريسبي!$B$2:$B$1800,CE$1)</f>
        <v>0</v>
      </c>
      <c r="CF176" s="117" t="n">
        <f aca="false">SUMIFS(الريسبي!$C$2:$C$1800,الريسبي!$A$2:$A$1800,$A176,الريسبي!$B$2:$B$1800,CF$1)</f>
        <v>0</v>
      </c>
      <c r="CG176" s="117" t="n">
        <f aca="false">SUMIFS(الريسبي!$C$2:$C$1800,الريسبي!$A$2:$A$1800,$A176,الريسبي!$B$2:$B$1800,CG$1)</f>
        <v>0</v>
      </c>
      <c r="CH176" s="117" t="n">
        <f aca="false">SUMIFS(الريسبي!$C$2:$C$1800,الريسبي!$A$2:$A$1800,$A176,الريسبي!$B$2:$B$1800,CH$1)</f>
        <v>0</v>
      </c>
      <c r="CI176" s="117" t="n">
        <f aca="false">SUMIFS(الريسبي!$C$2:$C$1800,الريسبي!$A$2:$A$1800,$A176,الريسبي!$B$2:$B$1800,CI$1)</f>
        <v>0</v>
      </c>
      <c r="CJ176" s="117" t="n">
        <f aca="false">SUMIFS(الريسبي!$C$2:$C$1800,الريسبي!$A$2:$A$1800,$A176,الريسبي!$B$2:$B$1800,CJ$1)</f>
        <v>0</v>
      </c>
      <c r="CK176" s="117" t="n">
        <f aca="false">SUMIFS(الريسبي!$C$2:$C$1800,الريسبي!$A$2:$A$1800,$A176,الريسبي!$B$2:$B$1800,CK$1)</f>
        <v>0</v>
      </c>
      <c r="CL176" s="117" t="n">
        <f aca="false">SUMIFS(الريسبي!$C$2:$C$1800,الريسبي!$A$2:$A$1800,$A176,الريسبي!$B$2:$B$1800,CL$1)</f>
        <v>0</v>
      </c>
    </row>
    <row r="177" customFormat="false" ht="15" hidden="false" customHeight="false" outlineLevel="0" collapsed="false">
      <c r="A177" s="116" t="str">
        <f aca="false">المنيو!B177</f>
        <v>اضافة بسطرمة (بيتزا كبير)</v>
      </c>
      <c r="B177" s="117" t="n">
        <f aca="false">SUMIFS(الريسبي!$C$2:$C$1800,الريسبي!$A$2:$A$1800,$A177,الريسبي!$B$2:$B$1800,B$1)</f>
        <v>0</v>
      </c>
      <c r="C177" s="117" t="n">
        <f aca="false">SUMIFS(الريسبي!$C$2:$C$1800,الريسبي!$A$2:$A$1800,$A177,الريسبي!$B$2:$B$1800,C$1)</f>
        <v>0</v>
      </c>
      <c r="D177" s="117" t="n">
        <f aca="false">SUMIFS(الريسبي!$C$2:$C$1800,الريسبي!$A$2:$A$1800,$A177,الريسبي!$B$2:$B$1800,D$1)</f>
        <v>0</v>
      </c>
      <c r="E177" s="117" t="n">
        <f aca="false">SUMIFS(الريسبي!$C$2:$C$1800,الريسبي!$A$2:$A$1800,$A177,الريسبي!$B$2:$B$1800,E$1)</f>
        <v>0</v>
      </c>
      <c r="F177" s="117" t="n">
        <f aca="false">SUMIFS(الريسبي!$C$2:$C$1800,الريسبي!$A$2:$A$1800,$A177,الريسبي!$B$2:$B$1800,F$1)</f>
        <v>0</v>
      </c>
      <c r="G177" s="117" t="n">
        <f aca="false">SUMIFS(الريسبي!$C$2:$C$1800,الريسبي!$A$2:$A$1800,$A177,الريسبي!$B$2:$B$1800,G$1)</f>
        <v>0</v>
      </c>
      <c r="H177" s="117" t="n">
        <f aca="false">SUMIFS(الريسبي!$C$2:$C$1800,الريسبي!$A$2:$A$1800,$A177,الريسبي!$B$2:$B$1800,H$1)</f>
        <v>1</v>
      </c>
      <c r="I177" s="117" t="n">
        <f aca="false">SUMIFS(الريسبي!$C$2:$C$1800,الريسبي!$A$2:$A$1800,$A177,الريسبي!$B$2:$B$1800,I$1)</f>
        <v>0</v>
      </c>
      <c r="J177" s="117" t="n">
        <f aca="false">SUMIFS(الريسبي!$C$2:$C$1800,الريسبي!$A$2:$A$1800,$A177,الريسبي!$B$2:$B$1800,J$1)</f>
        <v>0</v>
      </c>
      <c r="K177" s="117" t="n">
        <f aca="false">SUMIFS(الريسبي!$C$2:$C$1800,الريسبي!$A$2:$A$1800,$A177,الريسبي!$B$2:$B$1800,K$1)</f>
        <v>0</v>
      </c>
      <c r="L177" s="117" t="n">
        <f aca="false">SUMIFS(الريسبي!$C$2:$C$1800,الريسبي!$A$2:$A$1800,$A177,الريسبي!$B$2:$B$1800,L$1)</f>
        <v>0</v>
      </c>
      <c r="M177" s="117" t="n">
        <f aca="false">SUMIFS(الريسبي!$C$2:$C$1800,الريسبي!$A$2:$A$1800,$A177,الريسبي!$B$2:$B$1800,M$1)</f>
        <v>0</v>
      </c>
      <c r="N177" s="117" t="n">
        <f aca="false">SUMIFS(الريسبي!$C$2:$C$1800,الريسبي!$A$2:$A$1800,$A177,الريسبي!$B$2:$B$1800,N$1)</f>
        <v>0</v>
      </c>
      <c r="O177" s="117" t="n">
        <f aca="false">SUMIFS(الريسبي!$C$2:$C$1800,الريسبي!$A$2:$A$1800,$A177,الريسبي!$B$2:$B$1800,O$1)</f>
        <v>0</v>
      </c>
      <c r="P177" s="117" t="n">
        <f aca="false">SUMIFS(الريسبي!$C$2:$C$1800,الريسبي!$A$2:$A$1800,$A177,الريسبي!$B$2:$B$1800,P$1)</f>
        <v>0</v>
      </c>
      <c r="Q177" s="117" t="n">
        <f aca="false">SUMIFS(الريسبي!$C$2:$C$1800,الريسبي!$A$2:$A$1800,$A177,الريسبي!$B$2:$B$1800,Q$1)</f>
        <v>0</v>
      </c>
      <c r="R177" s="117" t="n">
        <f aca="false">SUMIFS(الريسبي!$C$2:$C$1800,الريسبي!$A$2:$A$1800,$A177,الريسبي!$B$2:$B$1800,R$1)</f>
        <v>0</v>
      </c>
      <c r="S177" s="117" t="n">
        <f aca="false">SUMIFS(الريسبي!$C$2:$C$1800,الريسبي!$A$2:$A$1800,$A177,الريسبي!$B$2:$B$1800,S$1)</f>
        <v>0</v>
      </c>
      <c r="T177" s="117" t="n">
        <f aca="false">SUMIFS(الريسبي!$C$2:$C$1800,الريسبي!$A$2:$A$1800,$A177,الريسبي!$B$2:$B$1800,T$1)</f>
        <v>0</v>
      </c>
      <c r="U177" s="117" t="n">
        <f aca="false">SUMIFS(الريسبي!$C$2:$C$1800,الريسبي!$A$2:$A$1800,$A177,الريسبي!$B$2:$B$1800,U$1)</f>
        <v>0</v>
      </c>
      <c r="V177" s="117" t="n">
        <f aca="false">SUMIFS(الريسبي!$C$2:$C$1800,الريسبي!$A$2:$A$1800,$A177,الريسبي!$B$2:$B$1800,V$1)</f>
        <v>0</v>
      </c>
      <c r="W177" s="117" t="n">
        <f aca="false">SUMIFS(الريسبي!$C$2:$C$1800,الريسبي!$A$2:$A$1800,$A177,الريسبي!$B$2:$B$1800,W$1)</f>
        <v>0</v>
      </c>
      <c r="X177" s="117" t="n">
        <f aca="false">SUMIFS(الريسبي!$C$2:$C$1800,الريسبي!$A$2:$A$1800,$A177,الريسبي!$B$2:$B$1800,X$1)</f>
        <v>0</v>
      </c>
      <c r="Y177" s="117" t="n">
        <f aca="false">SUMIFS(الريسبي!$C$2:$C$1800,الريسبي!$A$2:$A$1800,$A177,الريسبي!$B$2:$B$1800,Y$1)</f>
        <v>0</v>
      </c>
      <c r="Z177" s="117" t="n">
        <f aca="false">SUMIFS(الريسبي!$C$2:$C$1800,الريسبي!$A$2:$A$1800,$A177,الريسبي!$B$2:$B$1800,Z$1)</f>
        <v>0</v>
      </c>
      <c r="AA177" s="117" t="n">
        <f aca="false">SUMIFS(الريسبي!$C$2:$C$1800,الريسبي!$A$2:$A$1800,$A177,الريسبي!$B$2:$B$1800,AA$1)</f>
        <v>0</v>
      </c>
      <c r="AB177" s="117" t="n">
        <f aca="false">SUMIFS(الريسبي!$C$2:$C$1800,الريسبي!$A$2:$A$1800,$A177,الريسبي!$B$2:$B$1800,AB$1)</f>
        <v>0</v>
      </c>
      <c r="AC177" s="117" t="n">
        <f aca="false">SUMIFS(الريسبي!$C$2:$C$1800,الريسبي!$A$2:$A$1800,$A177,الريسبي!$B$2:$B$1800,AC$1)</f>
        <v>0</v>
      </c>
      <c r="AD177" s="117" t="n">
        <f aca="false">SUMIFS(الريسبي!$C$2:$C$1800,الريسبي!$A$2:$A$1800,$A177,الريسبي!$B$2:$B$1800,AD$1)</f>
        <v>0</v>
      </c>
      <c r="AE177" s="117" t="n">
        <f aca="false">SUMIFS(الريسبي!$C$2:$C$1800,الريسبي!$A$2:$A$1800,$A177,الريسبي!$B$2:$B$1800,AE$1)</f>
        <v>0</v>
      </c>
      <c r="AF177" s="117" t="n">
        <f aca="false">SUMIFS(الريسبي!$C$2:$C$1800,الريسبي!$A$2:$A$1800,$A177,الريسبي!$B$2:$B$1800,AF$1)</f>
        <v>0</v>
      </c>
      <c r="AG177" s="117" t="n">
        <f aca="false">SUMIFS(الريسبي!$C$2:$C$1800,الريسبي!$A$2:$A$1800,$A177,الريسبي!$B$2:$B$1800,AG$1)</f>
        <v>0</v>
      </c>
      <c r="AH177" s="117" t="n">
        <f aca="false">SUMIFS(الريسبي!$C$2:$C$1800,الريسبي!$A$2:$A$1800,$A177,الريسبي!$B$2:$B$1800,AH$1)</f>
        <v>0</v>
      </c>
      <c r="AI177" s="117" t="n">
        <f aca="false">SUMIFS(الريسبي!$C$2:$C$1800,الريسبي!$A$2:$A$1800,$A177,الريسبي!$B$2:$B$1800,AI$1)</f>
        <v>0</v>
      </c>
      <c r="AJ177" s="117" t="n">
        <f aca="false">SUMIFS(الريسبي!$C$2:$C$1800,الريسبي!$A$2:$A$1800,$A177,الريسبي!$B$2:$B$1800,AJ$1)</f>
        <v>0</v>
      </c>
      <c r="AK177" s="117" t="n">
        <f aca="false">SUMIFS(الريسبي!$C$2:$C$1800,الريسبي!$A$2:$A$1800,$A177,الريسبي!$B$2:$B$1800,AK$1)</f>
        <v>0</v>
      </c>
      <c r="AL177" s="117" t="n">
        <f aca="false">SUMIFS(الريسبي!$C$2:$C$1800,الريسبي!$A$2:$A$1800,$A177,الريسبي!$B$2:$B$1800,AL$1)</f>
        <v>0</v>
      </c>
      <c r="AM177" s="117" t="n">
        <f aca="false">SUMIFS(الريسبي!$C$2:$C$1800,الريسبي!$A$2:$A$1800,$A177,الريسبي!$B$2:$B$1800,AM$1)+0.08333333333*SUMIFS(الريسبي!$C$2:$C$1800,الريسبي!$A$2:$A$1800,$A177,الريسبي!$B$2:$B$1800,"عجين كريب (مصنع بالمطعم)")+0.08333333333*SUMIFS(الريسبي!$C$2:$C$1800,الريسبي!$A$2:$A$1800,$A177,الريسبي!$B$2:$B$1800,"عجين كريب صيامي (بدون لبن)")</f>
        <v>0</v>
      </c>
      <c r="AN177" s="117" t="n">
        <f aca="false">SUMIFS(الريسبي!$C$2:$C$1800,الريسبي!$A$2:$A$1800,$A177,الريسبي!$B$2:$B$1800,AN$1)+0.004166666667*SUMIFS(الريسبي!$C$2:$C$1800,الريسبي!$A$2:$A$1800,$A177,الريسبي!$B$2:$B$1800,"عجين كريب (مصنع بالمطعم)")+0.004166666667*SUMIFS(الريسبي!$C$2:$C$1800,الريسبي!$A$2:$A$1800,$A177,الريسبي!$B$2:$B$1800,"عجين كريب صيامي (بدون لبن)")</f>
        <v>0</v>
      </c>
      <c r="AO177" s="117" t="n">
        <f aca="false">SUMIFS(الريسبي!$C$2:$C$1800,الريسبي!$A$2:$A$1800,$A177,الريسبي!$B$2:$B$1800,AO$1)</f>
        <v>0</v>
      </c>
      <c r="AP177" s="117" t="n">
        <f aca="false">SUMIFS(الريسبي!$C$2:$C$1800,الريسبي!$A$2:$A$1800,$A177,الريسبي!$B$2:$B$1800,AP$1)</f>
        <v>0</v>
      </c>
      <c r="AQ177" s="117" t="n">
        <f aca="false">SUMIFS(الريسبي!$C$2:$C$1800,الريسبي!$A$2:$A$1800,$A177,الريسبي!$B$2:$B$1800,AQ$1)+0.004166666667*SUMIFS(الريسبي!$C$2:$C$1800,الريسبي!$A$2:$A$1800,$A177,الريسبي!$B$2:$B$1800,"عجين كريب (مصنع بالمطعم)")+0.004166666667*SUMIFS(الريسبي!$C$2:$C$1800,الريسبي!$A$2:$A$1800,$A177,الريسبي!$B$2:$B$1800,"عجين كريب صيامي (بدون لبن)")</f>
        <v>0</v>
      </c>
      <c r="AR177" s="117" t="n">
        <f aca="false">SUMIFS(الريسبي!$C$2:$C$1800,الريسبي!$A$2:$A$1800,$A177,الريسبي!$B$2:$B$1800,AR$1)</f>
        <v>0</v>
      </c>
      <c r="AS177" s="117" t="n">
        <f aca="false">SUMIFS(الريسبي!$C$2:$C$1800,الريسبي!$A$2:$A$1800,$A177,الريسبي!$B$2:$B$1800,AS$1)</f>
        <v>0</v>
      </c>
      <c r="AT177" s="117" t="n">
        <f aca="false">SUMIFS(الريسبي!$C$2:$C$1800,الريسبي!$A$2:$A$1800,$A177,الريسبي!$B$2:$B$1800,AT$1)</f>
        <v>0</v>
      </c>
      <c r="AU177" s="117" t="n">
        <f aca="false">SUMIFS(الريسبي!$C$2:$C$1800,الريسبي!$A$2:$A$1800,$A177,الريسبي!$B$2:$B$1800,AU$1)</f>
        <v>0</v>
      </c>
      <c r="AV177" s="117" t="n">
        <f aca="false">SUMIFS(الريسبي!$C$2:$C$1800,الريسبي!$A$2:$A$1800,$A177,الريسبي!$B$2:$B$1800,AV$1)</f>
        <v>0</v>
      </c>
      <c r="AW177" s="117" t="n">
        <f aca="false">SUMIFS(الريسبي!$C$2:$C$1800,الريسبي!$A$2:$A$1800,$A177,الريسبي!$B$2:$B$1800,AW$1)</f>
        <v>0</v>
      </c>
      <c r="AX177" s="117" t="n">
        <f aca="false">SUMIFS(الريسبي!$C$2:$C$1800,الريسبي!$A$2:$A$1800,$A177,الريسبي!$B$2:$B$1800,AX$1)</f>
        <v>0</v>
      </c>
      <c r="AY177" s="117" t="n">
        <f aca="false">SUMIFS(الريسبي!$C$2:$C$1800,الريسبي!$A$2:$A$1800,$A177,الريسبي!$B$2:$B$1800,AY$1)</f>
        <v>0</v>
      </c>
      <c r="AZ177" s="117" t="n">
        <f aca="false">SUMIFS(الريسبي!$C$2:$C$1800,الريسبي!$A$2:$A$1800,$A177,الريسبي!$B$2:$B$1800,AZ$1)</f>
        <v>0</v>
      </c>
      <c r="BA177" s="117" t="n">
        <f aca="false">SUMIFS(الريسبي!$C$2:$C$1800,الريسبي!$A$2:$A$1800,$A177,الريسبي!$B$2:$B$1800,BA$1)</f>
        <v>0</v>
      </c>
      <c r="BB177" s="117" t="n">
        <f aca="false">SUMIFS(الريسبي!$C$2:$C$1800,الريسبي!$A$2:$A$1800,$A177,الريسبي!$B$2:$B$1800,BB$1)</f>
        <v>0</v>
      </c>
      <c r="BC177" s="117" t="n">
        <f aca="false">SUMIFS(الريسبي!$C$2:$C$1800,الريسبي!$A$2:$A$1800,$A177,الريسبي!$B$2:$B$1800,BC$1)</f>
        <v>0</v>
      </c>
      <c r="BD177" s="117" t="n">
        <f aca="false">SUMIFS(الريسبي!$C$2:$C$1800,الريسبي!$A$2:$A$1800,$A177,الريسبي!$B$2:$B$1800,BD$1)</f>
        <v>0</v>
      </c>
      <c r="BE177" s="117" t="n">
        <f aca="false">SUMIFS(الريسبي!$C$2:$C$1800,الريسبي!$A$2:$A$1800,$A177,الريسبي!$B$2:$B$1800,BE$1)</f>
        <v>0</v>
      </c>
      <c r="BF177" s="117" t="n">
        <f aca="false">SUMIFS(الريسبي!$C$2:$C$1800,الريسبي!$A$2:$A$1800,$A177,الريسبي!$B$2:$B$1800,BF$1)</f>
        <v>0</v>
      </c>
      <c r="BG177" s="117" t="n">
        <f aca="false">SUMIFS(الريسبي!$C$2:$C$1800,الريسبي!$A$2:$A$1800,$A177,الريسبي!$B$2:$B$1800,BG$1)</f>
        <v>0</v>
      </c>
      <c r="BH177" s="117" t="n">
        <f aca="false">SUMIFS(الريسبي!$C$2:$C$1800,الريسبي!$A$2:$A$1800,$A177,الريسبي!$B$2:$B$1800,BH$1)</f>
        <v>0</v>
      </c>
      <c r="BI177" s="117" t="n">
        <f aca="false">SUMIFS(الريسبي!$C$2:$C$1800,الريسبي!$A$2:$A$1800,$A177,الريسبي!$B$2:$B$1800,BI$1)</f>
        <v>0</v>
      </c>
      <c r="BJ177" s="117" t="n">
        <f aca="false">SUMIFS(الريسبي!$C$2:$C$1800,الريسبي!$A$2:$A$1800,$A177,الريسبي!$B$2:$B$1800,BJ$1)</f>
        <v>0</v>
      </c>
      <c r="BK177" s="117" t="n">
        <f aca="false">SUMIFS(الريسبي!$C$2:$C$1800,الريسبي!$A$2:$A$1800,$A177,الريسبي!$B$2:$B$1800,BK$1)</f>
        <v>0</v>
      </c>
      <c r="BL177" s="117" t="n">
        <f aca="false">SUMIFS(الريسبي!$C$2:$C$1800,الريسبي!$A$2:$A$1800,$A177,الريسبي!$B$2:$B$1800,BL$1)</f>
        <v>0</v>
      </c>
      <c r="BM177" s="117" t="n">
        <f aca="false">SUMIFS(الريسبي!$C$2:$C$1800,الريسبي!$A$2:$A$1800,$A177,الريسبي!$B$2:$B$1800,BM$1)</f>
        <v>0</v>
      </c>
      <c r="BN177" s="117" t="n">
        <f aca="false">SUMIFS(الريسبي!$C$2:$C$1800,الريسبي!$A$2:$A$1800,$A177,الريسبي!$B$2:$B$1800,BN$1)</f>
        <v>0</v>
      </c>
      <c r="BO177" s="117" t="n">
        <f aca="false">SUMIFS(الريسبي!$C$2:$C$1800,الريسبي!$A$2:$A$1800,$A177,الريسبي!$B$2:$B$1800,BO$1)</f>
        <v>0</v>
      </c>
      <c r="BP177" s="117" t="n">
        <f aca="false">SUMIFS(الريسبي!$C$2:$C$1800,الريسبي!$A$2:$A$1800,$A177,الريسبي!$B$2:$B$1800,BP$1)</f>
        <v>0</v>
      </c>
      <c r="BQ177" s="117" t="n">
        <f aca="false">SUMIFS(الريسبي!$C$2:$C$1800,الريسبي!$A$2:$A$1800,$A177,الريسبي!$B$2:$B$1800,BQ$1)+0.17*SUMIFS(الريسبي!$C$2:$C$1800,الريسبي!$A$2:$A$1800,$A177,الريسبي!$B$2:$B$1800,"كاسترد مصنع (خليط بودر + لبن)")+0.17*SUMIFS(الريسبي!$C$2:$C$1800,الريسبي!$A$2:$A$1800,$A177,الريسبي!$B$2:$B$1800,"كاسترد مصنع صيامي (بدون لبن)")</f>
        <v>0</v>
      </c>
      <c r="BR177" s="117" t="n">
        <f aca="false">SUMIFS(الريسبي!$C$2:$C$1800,الريسبي!$A$2:$A$1800,$A177,الريسبي!$B$2:$B$1800,BR$1)</f>
        <v>0</v>
      </c>
      <c r="BS177" s="117" t="n">
        <f aca="false">SUMIFS(الريسبي!$C$2:$C$1800,الريسبي!$A$2:$A$1800,$A177,الريسبي!$B$2:$B$1800,BS$1)</f>
        <v>0</v>
      </c>
      <c r="BT177" s="117" t="n">
        <f aca="false">SUMIFS(الريسبي!$C$2:$C$1800,الريسبي!$A$2:$A$1800,$A177,الريسبي!$B$2:$B$1800,BT$1)</f>
        <v>0</v>
      </c>
      <c r="BU177" s="117" t="n">
        <f aca="false">SUMIFS(الريسبي!$C$2:$C$1800,الريسبي!$A$2:$A$1800,$A177,الريسبي!$B$2:$B$1800,BU$1)+0.4*SUMIFS(الريسبي!$C$2:$C$1800,الريسبي!$A$2:$A$1800,$A177,الريسبي!$B$2:$B$1800,"كاسترد مصنع (خليط بودر + لبن)")+0.03333333333*SUMIFS(الريسبي!$C$2:$C$1800,الريسبي!$A$2:$A$1800,$A177,الريسبي!$B$2:$B$1800,"عجين كريب (مصنع بالمطعم)")</f>
        <v>0</v>
      </c>
      <c r="BV177" s="117" t="n">
        <f aca="false">SUMIFS(الريسبي!$C$2:$C$1800,الريسبي!$A$2:$A$1800,$A177,الريسبي!$B$2:$B$1800,BV$1)</f>
        <v>0</v>
      </c>
      <c r="BW177" s="117" t="n">
        <f aca="false">SUMIFS(الريسبي!$C$2:$C$1800,الريسبي!$A$2:$A$1800,$A177,الريسبي!$B$2:$B$1800,BW$1)</f>
        <v>0</v>
      </c>
      <c r="BX177" s="117" t="n">
        <f aca="false">SUMIFS(الريسبي!$C$2:$C$1800,الريسبي!$A$2:$A$1800,$A177,الريسبي!$B$2:$B$1800,BX$1)</f>
        <v>0</v>
      </c>
      <c r="BY177" s="117" t="n">
        <f aca="false">SUMIFS(الريسبي!$C$2:$C$1800,الريسبي!$A$2:$A$1800,$A177,الريسبي!$B$2:$B$1800,BY$1)</f>
        <v>0</v>
      </c>
      <c r="BZ177" s="117" t="n">
        <f aca="false">SUMIFS(الريسبي!$C$2:$C$1800,الريسبي!$A$2:$A$1800,$A177,الريسبي!$B$2:$B$1800,BZ$1)</f>
        <v>0</v>
      </c>
      <c r="CA177" s="117" t="n">
        <f aca="false">SUMIFS(الريسبي!$C$2:$C$1800,الريسبي!$A$2:$A$1800,$A177,الريسبي!$B$2:$B$1800,CA$1)</f>
        <v>0</v>
      </c>
      <c r="CB177" s="117" t="n">
        <f aca="false">SUMIFS(الريسبي!$C$2:$C$1800,الريسبي!$A$2:$A$1800,$A177,الريسبي!$B$2:$B$1800,CB$1)</f>
        <v>0</v>
      </c>
      <c r="CC177" s="117" t="n">
        <f aca="false">SUMIFS(الريسبي!$C$2:$C$1800,الريسبي!$A$2:$A$1800,$A177,الريسبي!$B$2:$B$1800,CC$1)</f>
        <v>0</v>
      </c>
      <c r="CD177" s="117" t="n">
        <f aca="false">SUMIFS(الريسبي!$C$2:$C$1800,الريسبي!$A$2:$A$1800,$A177,الريسبي!$B$2:$B$1800,CD$1)</f>
        <v>0</v>
      </c>
      <c r="CE177" s="117" t="n">
        <f aca="false">SUMIFS(الريسبي!$C$2:$C$1800,الريسبي!$A$2:$A$1800,$A177,الريسبي!$B$2:$B$1800,CE$1)</f>
        <v>0</v>
      </c>
      <c r="CF177" s="117" t="n">
        <f aca="false">SUMIFS(الريسبي!$C$2:$C$1800,الريسبي!$A$2:$A$1800,$A177,الريسبي!$B$2:$B$1800,CF$1)</f>
        <v>0</v>
      </c>
      <c r="CG177" s="117" t="n">
        <f aca="false">SUMIFS(الريسبي!$C$2:$C$1800,الريسبي!$A$2:$A$1800,$A177,الريسبي!$B$2:$B$1800,CG$1)</f>
        <v>0</v>
      </c>
      <c r="CH177" s="117" t="n">
        <f aca="false">SUMIFS(الريسبي!$C$2:$C$1800,الريسبي!$A$2:$A$1800,$A177,الريسبي!$B$2:$B$1800,CH$1)</f>
        <v>0</v>
      </c>
      <c r="CI177" s="117" t="n">
        <f aca="false">SUMIFS(الريسبي!$C$2:$C$1800,الريسبي!$A$2:$A$1800,$A177,الريسبي!$B$2:$B$1800,CI$1)</f>
        <v>0</v>
      </c>
      <c r="CJ177" s="117" t="n">
        <f aca="false">SUMIFS(الريسبي!$C$2:$C$1800,الريسبي!$A$2:$A$1800,$A177,الريسبي!$B$2:$B$1800,CJ$1)</f>
        <v>0</v>
      </c>
      <c r="CK177" s="117" t="n">
        <f aca="false">SUMIFS(الريسبي!$C$2:$C$1800,الريسبي!$A$2:$A$1800,$A177,الريسبي!$B$2:$B$1800,CK$1)</f>
        <v>0</v>
      </c>
      <c r="CL177" s="117" t="n">
        <f aca="false">SUMIFS(الريسبي!$C$2:$C$1800,الريسبي!$A$2:$A$1800,$A177,الريسبي!$B$2:$B$1800,CL$1)</f>
        <v>0</v>
      </c>
    </row>
    <row r="178" customFormat="false" ht="15" hidden="false" customHeight="false" outlineLevel="0" collapsed="false">
      <c r="A178" s="116" t="str">
        <f aca="false">المنيو!B178</f>
        <v>اضافة جبنة كيري (بيتزا كبير)</v>
      </c>
      <c r="B178" s="117" t="n">
        <f aca="false">SUMIFS(الريسبي!$C$2:$C$1800,الريسبي!$A$2:$A$1800,$A178,الريسبي!$B$2:$B$1800,B$1)</f>
        <v>0</v>
      </c>
      <c r="C178" s="117" t="n">
        <f aca="false">SUMIFS(الريسبي!$C$2:$C$1800,الريسبي!$A$2:$A$1800,$A178,الريسبي!$B$2:$B$1800,C$1)</f>
        <v>0</v>
      </c>
      <c r="D178" s="117" t="n">
        <f aca="false">SUMIFS(الريسبي!$C$2:$C$1800,الريسبي!$A$2:$A$1800,$A178,الريسبي!$B$2:$B$1800,D$1)</f>
        <v>0</v>
      </c>
      <c r="E178" s="117" t="n">
        <f aca="false">SUMIFS(الريسبي!$C$2:$C$1800,الريسبي!$A$2:$A$1800,$A178,الريسبي!$B$2:$B$1800,E$1)</f>
        <v>0</v>
      </c>
      <c r="F178" s="117" t="n">
        <f aca="false">SUMIFS(الريسبي!$C$2:$C$1800,الريسبي!$A$2:$A$1800,$A178,الريسبي!$B$2:$B$1800,F$1)</f>
        <v>0</v>
      </c>
      <c r="G178" s="117" t="n">
        <f aca="false">SUMIFS(الريسبي!$C$2:$C$1800,الريسبي!$A$2:$A$1800,$A178,الريسبي!$B$2:$B$1800,G$1)</f>
        <v>0</v>
      </c>
      <c r="H178" s="117" t="n">
        <f aca="false">SUMIFS(الريسبي!$C$2:$C$1800,الريسبي!$A$2:$A$1800,$A178,الريسبي!$B$2:$B$1800,H$1)</f>
        <v>0</v>
      </c>
      <c r="I178" s="117" t="n">
        <f aca="false">SUMIFS(الريسبي!$C$2:$C$1800,الريسبي!$A$2:$A$1800,$A178,الريسبي!$B$2:$B$1800,I$1)</f>
        <v>0</v>
      </c>
      <c r="J178" s="117" t="n">
        <f aca="false">SUMIFS(الريسبي!$C$2:$C$1800,الريسبي!$A$2:$A$1800,$A178,الريسبي!$B$2:$B$1800,J$1)</f>
        <v>0</v>
      </c>
      <c r="K178" s="117" t="n">
        <f aca="false">SUMIFS(الريسبي!$C$2:$C$1800,الريسبي!$A$2:$A$1800,$A178,الريسبي!$B$2:$B$1800,K$1)</f>
        <v>0</v>
      </c>
      <c r="L178" s="117" t="n">
        <f aca="false">SUMIFS(الريسبي!$C$2:$C$1800,الريسبي!$A$2:$A$1800,$A178,الريسبي!$B$2:$B$1800,L$1)</f>
        <v>0</v>
      </c>
      <c r="M178" s="117" t="n">
        <f aca="false">SUMIFS(الريسبي!$C$2:$C$1800,الريسبي!$A$2:$A$1800,$A178,الريسبي!$B$2:$B$1800,M$1)</f>
        <v>0</v>
      </c>
      <c r="N178" s="117" t="n">
        <f aca="false">SUMIFS(الريسبي!$C$2:$C$1800,الريسبي!$A$2:$A$1800,$A178,الريسبي!$B$2:$B$1800,N$1)</f>
        <v>0</v>
      </c>
      <c r="O178" s="117" t="n">
        <f aca="false">SUMIFS(الريسبي!$C$2:$C$1800,الريسبي!$A$2:$A$1800,$A178,الريسبي!$B$2:$B$1800,O$1)</f>
        <v>0</v>
      </c>
      <c r="P178" s="117" t="n">
        <f aca="false">SUMIFS(الريسبي!$C$2:$C$1800,الريسبي!$A$2:$A$1800,$A178,الريسبي!$B$2:$B$1800,P$1)</f>
        <v>0</v>
      </c>
      <c r="Q178" s="117" t="n">
        <f aca="false">SUMIFS(الريسبي!$C$2:$C$1800,الريسبي!$A$2:$A$1800,$A178,الريسبي!$B$2:$B$1800,Q$1)</f>
        <v>0</v>
      </c>
      <c r="R178" s="117" t="n">
        <f aca="false">SUMIFS(الريسبي!$C$2:$C$1800,الريسبي!$A$2:$A$1800,$A178,الريسبي!$B$2:$B$1800,R$1)</f>
        <v>0</v>
      </c>
      <c r="S178" s="117" t="n">
        <f aca="false">SUMIFS(الريسبي!$C$2:$C$1800,الريسبي!$A$2:$A$1800,$A178,الريسبي!$B$2:$B$1800,S$1)</f>
        <v>0</v>
      </c>
      <c r="T178" s="117" t="n">
        <f aca="false">SUMIFS(الريسبي!$C$2:$C$1800,الريسبي!$A$2:$A$1800,$A178,الريسبي!$B$2:$B$1800,T$1)</f>
        <v>0</v>
      </c>
      <c r="U178" s="117" t="n">
        <f aca="false">SUMIFS(الريسبي!$C$2:$C$1800,الريسبي!$A$2:$A$1800,$A178,الريسبي!$B$2:$B$1800,U$1)</f>
        <v>0</v>
      </c>
      <c r="V178" s="117" t="n">
        <f aca="false">SUMIFS(الريسبي!$C$2:$C$1800,الريسبي!$A$2:$A$1800,$A178,الريسبي!$B$2:$B$1800,V$1)</f>
        <v>0</v>
      </c>
      <c r="W178" s="117" t="n">
        <f aca="false">SUMIFS(الريسبي!$C$2:$C$1800,الريسبي!$A$2:$A$1800,$A178,الريسبي!$B$2:$B$1800,W$1)</f>
        <v>0</v>
      </c>
      <c r="X178" s="117" t="n">
        <f aca="false">SUMIFS(الريسبي!$C$2:$C$1800,الريسبي!$A$2:$A$1800,$A178,الريسبي!$B$2:$B$1800,X$1)</f>
        <v>0</v>
      </c>
      <c r="Y178" s="117" t="n">
        <f aca="false">SUMIFS(الريسبي!$C$2:$C$1800,الريسبي!$A$2:$A$1800,$A178,الريسبي!$B$2:$B$1800,Y$1)</f>
        <v>0</v>
      </c>
      <c r="Z178" s="117" t="n">
        <f aca="false">SUMIFS(الريسبي!$C$2:$C$1800,الريسبي!$A$2:$A$1800,$A178,الريسبي!$B$2:$B$1800,Z$1)</f>
        <v>0</v>
      </c>
      <c r="AA178" s="117" t="n">
        <f aca="false">SUMIFS(الريسبي!$C$2:$C$1800,الريسبي!$A$2:$A$1800,$A178,الريسبي!$B$2:$B$1800,AA$1)</f>
        <v>0</v>
      </c>
      <c r="AB178" s="117" t="n">
        <f aca="false">SUMIFS(الريسبي!$C$2:$C$1800,الريسبي!$A$2:$A$1800,$A178,الريسبي!$B$2:$B$1800,AB$1)</f>
        <v>0</v>
      </c>
      <c r="AC178" s="117" t="n">
        <f aca="false">SUMIFS(الريسبي!$C$2:$C$1800,الريسبي!$A$2:$A$1800,$A178,الريسبي!$B$2:$B$1800,AC$1)</f>
        <v>0</v>
      </c>
      <c r="AD178" s="117" t="n">
        <f aca="false">SUMIFS(الريسبي!$C$2:$C$1800,الريسبي!$A$2:$A$1800,$A178,الريسبي!$B$2:$B$1800,AD$1)</f>
        <v>0</v>
      </c>
      <c r="AE178" s="117" t="n">
        <f aca="false">SUMIFS(الريسبي!$C$2:$C$1800,الريسبي!$A$2:$A$1800,$A178,الريسبي!$B$2:$B$1800,AE$1)</f>
        <v>0</v>
      </c>
      <c r="AF178" s="117" t="n">
        <f aca="false">SUMIFS(الريسبي!$C$2:$C$1800,الريسبي!$A$2:$A$1800,$A178,الريسبي!$B$2:$B$1800,AF$1)</f>
        <v>0</v>
      </c>
      <c r="AG178" s="117" t="n">
        <f aca="false">SUMIFS(الريسبي!$C$2:$C$1800,الريسبي!$A$2:$A$1800,$A178,الريسبي!$B$2:$B$1800,AG$1)</f>
        <v>0</v>
      </c>
      <c r="AH178" s="117" t="n">
        <f aca="false">SUMIFS(الريسبي!$C$2:$C$1800,الريسبي!$A$2:$A$1800,$A178,الريسبي!$B$2:$B$1800,AH$1)</f>
        <v>0</v>
      </c>
      <c r="AI178" s="117" t="n">
        <f aca="false">SUMIFS(الريسبي!$C$2:$C$1800,الريسبي!$A$2:$A$1800,$A178,الريسبي!$B$2:$B$1800,AI$1)</f>
        <v>0</v>
      </c>
      <c r="AJ178" s="117" t="n">
        <f aca="false">SUMIFS(الريسبي!$C$2:$C$1800,الريسبي!$A$2:$A$1800,$A178,الريسبي!$B$2:$B$1800,AJ$1)</f>
        <v>0</v>
      </c>
      <c r="AK178" s="117" t="n">
        <f aca="false">SUMIFS(الريسبي!$C$2:$C$1800,الريسبي!$A$2:$A$1800,$A178,الريسبي!$B$2:$B$1800,AK$1)</f>
        <v>0</v>
      </c>
      <c r="AL178" s="117" t="n">
        <f aca="false">SUMIFS(الريسبي!$C$2:$C$1800,الريسبي!$A$2:$A$1800,$A178,الريسبي!$B$2:$B$1800,AL$1)</f>
        <v>0</v>
      </c>
      <c r="AM178" s="117" t="n">
        <f aca="false">SUMIFS(الريسبي!$C$2:$C$1800,الريسبي!$A$2:$A$1800,$A178,الريسبي!$B$2:$B$1800,AM$1)+0.08333333333*SUMIFS(الريسبي!$C$2:$C$1800,الريسبي!$A$2:$A$1800,$A178,الريسبي!$B$2:$B$1800,"عجين كريب (مصنع بالمطعم)")+0.08333333333*SUMIFS(الريسبي!$C$2:$C$1800,الريسبي!$A$2:$A$1800,$A178,الريسبي!$B$2:$B$1800,"عجين كريب صيامي (بدون لبن)")</f>
        <v>0</v>
      </c>
      <c r="AN178" s="117" t="n">
        <f aca="false">SUMIFS(الريسبي!$C$2:$C$1800,الريسبي!$A$2:$A$1800,$A178,الريسبي!$B$2:$B$1800,AN$1)+0.004166666667*SUMIFS(الريسبي!$C$2:$C$1800,الريسبي!$A$2:$A$1800,$A178,الريسبي!$B$2:$B$1800,"عجين كريب (مصنع بالمطعم)")+0.004166666667*SUMIFS(الريسبي!$C$2:$C$1800,الريسبي!$A$2:$A$1800,$A178,الريسبي!$B$2:$B$1800,"عجين كريب صيامي (بدون لبن)")</f>
        <v>0</v>
      </c>
      <c r="AO178" s="117" t="n">
        <f aca="false">SUMIFS(الريسبي!$C$2:$C$1800,الريسبي!$A$2:$A$1800,$A178,الريسبي!$B$2:$B$1800,AO$1)</f>
        <v>0</v>
      </c>
      <c r="AP178" s="117" t="n">
        <f aca="false">SUMIFS(الريسبي!$C$2:$C$1800,الريسبي!$A$2:$A$1800,$A178,الريسبي!$B$2:$B$1800,AP$1)</f>
        <v>0</v>
      </c>
      <c r="AQ178" s="117" t="n">
        <f aca="false">SUMIFS(الريسبي!$C$2:$C$1800,الريسبي!$A$2:$A$1800,$A178,الريسبي!$B$2:$B$1800,AQ$1)+0.004166666667*SUMIFS(الريسبي!$C$2:$C$1800,الريسبي!$A$2:$A$1800,$A178,الريسبي!$B$2:$B$1800,"عجين كريب (مصنع بالمطعم)")+0.004166666667*SUMIFS(الريسبي!$C$2:$C$1800,الريسبي!$A$2:$A$1800,$A178,الريسبي!$B$2:$B$1800,"عجين كريب صيامي (بدون لبن)")</f>
        <v>0</v>
      </c>
      <c r="AR178" s="117" t="n">
        <f aca="false">SUMIFS(الريسبي!$C$2:$C$1800,الريسبي!$A$2:$A$1800,$A178,الريسبي!$B$2:$B$1800,AR$1)</f>
        <v>0</v>
      </c>
      <c r="AS178" s="117" t="n">
        <f aca="false">SUMIFS(الريسبي!$C$2:$C$1800,الريسبي!$A$2:$A$1800,$A178,الريسبي!$B$2:$B$1800,AS$1)</f>
        <v>0</v>
      </c>
      <c r="AT178" s="117" t="n">
        <f aca="false">SUMIFS(الريسبي!$C$2:$C$1800,الريسبي!$A$2:$A$1800,$A178,الريسبي!$B$2:$B$1800,AT$1)</f>
        <v>0</v>
      </c>
      <c r="AU178" s="117" t="n">
        <f aca="false">SUMIFS(الريسبي!$C$2:$C$1800,الريسبي!$A$2:$A$1800,$A178,الريسبي!$B$2:$B$1800,AU$1)</f>
        <v>0</v>
      </c>
      <c r="AV178" s="117" t="n">
        <f aca="false">SUMIFS(الريسبي!$C$2:$C$1800,الريسبي!$A$2:$A$1800,$A178,الريسبي!$B$2:$B$1800,AV$1)</f>
        <v>0</v>
      </c>
      <c r="AW178" s="117" t="n">
        <f aca="false">SUMIFS(الريسبي!$C$2:$C$1800,الريسبي!$A$2:$A$1800,$A178,الريسبي!$B$2:$B$1800,AW$1)</f>
        <v>0</v>
      </c>
      <c r="AX178" s="117" t="n">
        <f aca="false">SUMIFS(الريسبي!$C$2:$C$1800,الريسبي!$A$2:$A$1800,$A178,الريسبي!$B$2:$B$1800,AX$1)</f>
        <v>0</v>
      </c>
      <c r="AY178" s="117" t="n">
        <f aca="false">SUMIFS(الريسبي!$C$2:$C$1800,الريسبي!$A$2:$A$1800,$A178,الريسبي!$B$2:$B$1800,AY$1)</f>
        <v>0</v>
      </c>
      <c r="AZ178" s="117" t="n">
        <f aca="false">SUMIFS(الريسبي!$C$2:$C$1800,الريسبي!$A$2:$A$1800,$A178,الريسبي!$B$2:$B$1800,AZ$1)</f>
        <v>0</v>
      </c>
      <c r="BA178" s="117" t="n">
        <f aca="false">SUMIFS(الريسبي!$C$2:$C$1800,الريسبي!$A$2:$A$1800,$A178,الريسبي!$B$2:$B$1800,BA$1)</f>
        <v>0</v>
      </c>
      <c r="BB178" s="117" t="n">
        <f aca="false">SUMIFS(الريسبي!$C$2:$C$1800,الريسبي!$A$2:$A$1800,$A178,الريسبي!$B$2:$B$1800,BB$1)</f>
        <v>0</v>
      </c>
      <c r="BC178" s="117" t="n">
        <f aca="false">SUMIFS(الريسبي!$C$2:$C$1800,الريسبي!$A$2:$A$1800,$A178,الريسبي!$B$2:$B$1800,BC$1)</f>
        <v>0</v>
      </c>
      <c r="BD178" s="117" t="n">
        <f aca="false">SUMIFS(الريسبي!$C$2:$C$1800,الريسبي!$A$2:$A$1800,$A178,الريسبي!$B$2:$B$1800,BD$1)</f>
        <v>0</v>
      </c>
      <c r="BE178" s="117" t="n">
        <f aca="false">SUMIFS(الريسبي!$C$2:$C$1800,الريسبي!$A$2:$A$1800,$A178,الريسبي!$B$2:$B$1800,BE$1)</f>
        <v>0</v>
      </c>
      <c r="BF178" s="117" t="n">
        <f aca="false">SUMIFS(الريسبي!$C$2:$C$1800,الريسبي!$A$2:$A$1800,$A178,الريسبي!$B$2:$B$1800,BF$1)</f>
        <v>0</v>
      </c>
      <c r="BG178" s="117" t="n">
        <f aca="false">SUMIFS(الريسبي!$C$2:$C$1800,الريسبي!$A$2:$A$1800,$A178,الريسبي!$B$2:$B$1800,BG$1)</f>
        <v>0</v>
      </c>
      <c r="BH178" s="117" t="n">
        <f aca="false">SUMIFS(الريسبي!$C$2:$C$1800,الريسبي!$A$2:$A$1800,$A178,الريسبي!$B$2:$B$1800,BH$1)</f>
        <v>0</v>
      </c>
      <c r="BI178" s="117" t="n">
        <f aca="false">SUMIFS(الريسبي!$C$2:$C$1800,الريسبي!$A$2:$A$1800,$A178,الريسبي!$B$2:$B$1800,BI$1)</f>
        <v>0</v>
      </c>
      <c r="BJ178" s="117" t="n">
        <f aca="false">SUMIFS(الريسبي!$C$2:$C$1800,الريسبي!$A$2:$A$1800,$A178,الريسبي!$B$2:$B$1800,BJ$1)</f>
        <v>0</v>
      </c>
      <c r="BK178" s="117" t="n">
        <f aca="false">SUMIFS(الريسبي!$C$2:$C$1800,الريسبي!$A$2:$A$1800,$A178,الريسبي!$B$2:$B$1800,BK$1)</f>
        <v>0</v>
      </c>
      <c r="BL178" s="117" t="n">
        <f aca="false">SUMIFS(الريسبي!$C$2:$C$1800,الريسبي!$A$2:$A$1800,$A178,الريسبي!$B$2:$B$1800,BL$1)</f>
        <v>0</v>
      </c>
      <c r="BM178" s="117" t="n">
        <f aca="false">SUMIFS(الريسبي!$C$2:$C$1800,الريسبي!$A$2:$A$1800,$A178,الريسبي!$B$2:$B$1800,BM$1)</f>
        <v>0</v>
      </c>
      <c r="BN178" s="117" t="n">
        <f aca="false">SUMIFS(الريسبي!$C$2:$C$1800,الريسبي!$A$2:$A$1800,$A178,الريسبي!$B$2:$B$1800,BN$1)</f>
        <v>0</v>
      </c>
      <c r="BO178" s="117" t="n">
        <f aca="false">SUMIFS(الريسبي!$C$2:$C$1800,الريسبي!$A$2:$A$1800,$A178,الريسبي!$B$2:$B$1800,BO$1)</f>
        <v>3</v>
      </c>
      <c r="BP178" s="117" t="n">
        <f aca="false">SUMIFS(الريسبي!$C$2:$C$1800,الريسبي!$A$2:$A$1800,$A178,الريسبي!$B$2:$B$1800,BP$1)</f>
        <v>0</v>
      </c>
      <c r="BQ178" s="117" t="n">
        <f aca="false">SUMIFS(الريسبي!$C$2:$C$1800,الريسبي!$A$2:$A$1800,$A178,الريسبي!$B$2:$B$1800,BQ$1)+0.17*SUMIFS(الريسبي!$C$2:$C$1800,الريسبي!$A$2:$A$1800,$A178,الريسبي!$B$2:$B$1800,"كاسترد مصنع (خليط بودر + لبن)")+0.17*SUMIFS(الريسبي!$C$2:$C$1800,الريسبي!$A$2:$A$1800,$A178,الريسبي!$B$2:$B$1800,"كاسترد مصنع صيامي (بدون لبن)")</f>
        <v>0</v>
      </c>
      <c r="BR178" s="117" t="n">
        <f aca="false">SUMIFS(الريسبي!$C$2:$C$1800,الريسبي!$A$2:$A$1800,$A178,الريسبي!$B$2:$B$1800,BR$1)</f>
        <v>0</v>
      </c>
      <c r="BS178" s="117" t="n">
        <f aca="false">SUMIFS(الريسبي!$C$2:$C$1800,الريسبي!$A$2:$A$1800,$A178,الريسبي!$B$2:$B$1800,BS$1)</f>
        <v>0</v>
      </c>
      <c r="BT178" s="117" t="n">
        <f aca="false">SUMIFS(الريسبي!$C$2:$C$1800,الريسبي!$A$2:$A$1800,$A178,الريسبي!$B$2:$B$1800,BT$1)</f>
        <v>0</v>
      </c>
      <c r="BU178" s="117" t="n">
        <f aca="false">SUMIFS(الريسبي!$C$2:$C$1800,الريسبي!$A$2:$A$1800,$A178,الريسبي!$B$2:$B$1800,BU$1)+0.4*SUMIFS(الريسبي!$C$2:$C$1800,الريسبي!$A$2:$A$1800,$A178,الريسبي!$B$2:$B$1800,"كاسترد مصنع (خليط بودر + لبن)")+0.03333333333*SUMIFS(الريسبي!$C$2:$C$1800,الريسبي!$A$2:$A$1800,$A178,الريسبي!$B$2:$B$1800,"عجين كريب (مصنع بالمطعم)")</f>
        <v>0</v>
      </c>
      <c r="BV178" s="117" t="n">
        <f aca="false">SUMIFS(الريسبي!$C$2:$C$1800,الريسبي!$A$2:$A$1800,$A178,الريسبي!$B$2:$B$1800,BV$1)</f>
        <v>0</v>
      </c>
      <c r="BW178" s="117" t="n">
        <f aca="false">SUMIFS(الريسبي!$C$2:$C$1800,الريسبي!$A$2:$A$1800,$A178,الريسبي!$B$2:$B$1800,BW$1)</f>
        <v>0</v>
      </c>
      <c r="BX178" s="117" t="n">
        <f aca="false">SUMIFS(الريسبي!$C$2:$C$1800,الريسبي!$A$2:$A$1800,$A178,الريسبي!$B$2:$B$1800,BX$1)</f>
        <v>0</v>
      </c>
      <c r="BY178" s="117" t="n">
        <f aca="false">SUMIFS(الريسبي!$C$2:$C$1800,الريسبي!$A$2:$A$1800,$A178,الريسبي!$B$2:$B$1800,BY$1)</f>
        <v>0</v>
      </c>
      <c r="BZ178" s="117" t="n">
        <f aca="false">SUMIFS(الريسبي!$C$2:$C$1800,الريسبي!$A$2:$A$1800,$A178,الريسبي!$B$2:$B$1800,BZ$1)</f>
        <v>0</v>
      </c>
      <c r="CA178" s="117" t="n">
        <f aca="false">SUMIFS(الريسبي!$C$2:$C$1800,الريسبي!$A$2:$A$1800,$A178,الريسبي!$B$2:$B$1800,CA$1)</f>
        <v>0</v>
      </c>
      <c r="CB178" s="117" t="n">
        <f aca="false">SUMIFS(الريسبي!$C$2:$C$1800,الريسبي!$A$2:$A$1800,$A178,الريسبي!$B$2:$B$1800,CB$1)</f>
        <v>0</v>
      </c>
      <c r="CC178" s="117" t="n">
        <f aca="false">SUMIFS(الريسبي!$C$2:$C$1800,الريسبي!$A$2:$A$1800,$A178,الريسبي!$B$2:$B$1800,CC$1)</f>
        <v>0</v>
      </c>
      <c r="CD178" s="117" t="n">
        <f aca="false">SUMIFS(الريسبي!$C$2:$C$1800,الريسبي!$A$2:$A$1800,$A178,الريسبي!$B$2:$B$1800,CD$1)</f>
        <v>0</v>
      </c>
      <c r="CE178" s="117" t="n">
        <f aca="false">SUMIFS(الريسبي!$C$2:$C$1800,الريسبي!$A$2:$A$1800,$A178,الريسبي!$B$2:$B$1800,CE$1)</f>
        <v>0</v>
      </c>
      <c r="CF178" s="117" t="n">
        <f aca="false">SUMIFS(الريسبي!$C$2:$C$1800,الريسبي!$A$2:$A$1800,$A178,الريسبي!$B$2:$B$1800,CF$1)</f>
        <v>0</v>
      </c>
      <c r="CG178" s="117" t="n">
        <f aca="false">SUMIFS(الريسبي!$C$2:$C$1800,الريسبي!$A$2:$A$1800,$A178,الريسبي!$B$2:$B$1800,CG$1)</f>
        <v>0</v>
      </c>
      <c r="CH178" s="117" t="n">
        <f aca="false">SUMIFS(الريسبي!$C$2:$C$1800,الريسبي!$A$2:$A$1800,$A178,الريسبي!$B$2:$B$1800,CH$1)</f>
        <v>0</v>
      </c>
      <c r="CI178" s="117" t="n">
        <f aca="false">SUMIFS(الريسبي!$C$2:$C$1800,الريسبي!$A$2:$A$1800,$A178,الريسبي!$B$2:$B$1800,CI$1)</f>
        <v>0</v>
      </c>
      <c r="CJ178" s="117" t="n">
        <f aca="false">SUMIFS(الريسبي!$C$2:$C$1800,الريسبي!$A$2:$A$1800,$A178,الريسبي!$B$2:$B$1800,CJ$1)</f>
        <v>0</v>
      </c>
      <c r="CK178" s="117" t="n">
        <f aca="false">SUMIFS(الريسبي!$C$2:$C$1800,الريسبي!$A$2:$A$1800,$A178,الريسبي!$B$2:$B$1800,CK$1)</f>
        <v>0</v>
      </c>
      <c r="CL178" s="117" t="n">
        <f aca="false">SUMIFS(الريسبي!$C$2:$C$1800,الريسبي!$A$2:$A$1800,$A178,الريسبي!$B$2:$B$1800,CL$1)</f>
        <v>0</v>
      </c>
    </row>
    <row r="179" customFormat="false" ht="15" hidden="false" customHeight="false" outlineLevel="0" collapsed="false">
      <c r="A179" s="116" t="str">
        <f aca="false">المنيو!B179</f>
        <v>اضافة سدق (بيتزا كبير)</v>
      </c>
      <c r="B179" s="117" t="n">
        <f aca="false">SUMIFS(الريسبي!$C$2:$C$1800,الريسبي!$A$2:$A$1800,$A179,الريسبي!$B$2:$B$1800,B$1)</f>
        <v>0</v>
      </c>
      <c r="C179" s="117" t="n">
        <f aca="false">SUMIFS(الريسبي!$C$2:$C$1800,الريسبي!$A$2:$A$1800,$A179,الريسبي!$B$2:$B$1800,C$1)</f>
        <v>0</v>
      </c>
      <c r="D179" s="117" t="n">
        <f aca="false">SUMIFS(الريسبي!$C$2:$C$1800,الريسبي!$A$2:$A$1800,$A179,الريسبي!$B$2:$B$1800,D$1)</f>
        <v>0</v>
      </c>
      <c r="E179" s="117" t="n">
        <f aca="false">SUMIFS(الريسبي!$C$2:$C$1800,الريسبي!$A$2:$A$1800,$A179,الريسبي!$B$2:$B$1800,E$1)</f>
        <v>0</v>
      </c>
      <c r="F179" s="117" t="n">
        <f aca="false">SUMIFS(الريسبي!$C$2:$C$1800,الريسبي!$A$2:$A$1800,$A179,الريسبي!$B$2:$B$1800,F$1)</f>
        <v>0</v>
      </c>
      <c r="G179" s="117" t="n">
        <f aca="false">SUMIFS(الريسبي!$C$2:$C$1800,الريسبي!$A$2:$A$1800,$A179,الريسبي!$B$2:$B$1800,G$1)</f>
        <v>0</v>
      </c>
      <c r="H179" s="117" t="n">
        <f aca="false">SUMIFS(الريسبي!$C$2:$C$1800,الريسبي!$A$2:$A$1800,$A179,الريسبي!$B$2:$B$1800,H$1)</f>
        <v>0</v>
      </c>
      <c r="I179" s="117" t="n">
        <f aca="false">SUMIFS(الريسبي!$C$2:$C$1800,الريسبي!$A$2:$A$1800,$A179,الريسبي!$B$2:$B$1800,I$1)</f>
        <v>0</v>
      </c>
      <c r="J179" s="117" t="n">
        <f aca="false">SUMIFS(الريسبي!$C$2:$C$1800,الريسبي!$A$2:$A$1800,$A179,الريسبي!$B$2:$B$1800,J$1)</f>
        <v>0</v>
      </c>
      <c r="K179" s="117" t="n">
        <f aca="false">SUMIFS(الريسبي!$C$2:$C$1800,الريسبي!$A$2:$A$1800,$A179,الريسبي!$B$2:$B$1800,K$1)</f>
        <v>0</v>
      </c>
      <c r="L179" s="117" t="n">
        <f aca="false">SUMIFS(الريسبي!$C$2:$C$1800,الريسبي!$A$2:$A$1800,$A179,الريسبي!$B$2:$B$1800,L$1)</f>
        <v>0</v>
      </c>
      <c r="M179" s="117" t="n">
        <f aca="false">SUMIFS(الريسبي!$C$2:$C$1800,الريسبي!$A$2:$A$1800,$A179,الريسبي!$B$2:$B$1800,M$1)</f>
        <v>1</v>
      </c>
      <c r="N179" s="117" t="n">
        <f aca="false">SUMIFS(الريسبي!$C$2:$C$1800,الريسبي!$A$2:$A$1800,$A179,الريسبي!$B$2:$B$1800,N$1)</f>
        <v>0</v>
      </c>
      <c r="O179" s="117" t="n">
        <f aca="false">SUMIFS(الريسبي!$C$2:$C$1800,الريسبي!$A$2:$A$1800,$A179,الريسبي!$B$2:$B$1800,O$1)</f>
        <v>0</v>
      </c>
      <c r="P179" s="117" t="n">
        <f aca="false">SUMIFS(الريسبي!$C$2:$C$1800,الريسبي!$A$2:$A$1800,$A179,الريسبي!$B$2:$B$1800,P$1)</f>
        <v>0</v>
      </c>
      <c r="Q179" s="117" t="n">
        <f aca="false">SUMIFS(الريسبي!$C$2:$C$1800,الريسبي!$A$2:$A$1800,$A179,الريسبي!$B$2:$B$1800,Q$1)</f>
        <v>0</v>
      </c>
      <c r="R179" s="117" t="n">
        <f aca="false">SUMIFS(الريسبي!$C$2:$C$1800,الريسبي!$A$2:$A$1800,$A179,الريسبي!$B$2:$B$1800,R$1)</f>
        <v>0</v>
      </c>
      <c r="S179" s="117" t="n">
        <f aca="false">SUMIFS(الريسبي!$C$2:$C$1800,الريسبي!$A$2:$A$1800,$A179,الريسبي!$B$2:$B$1800,S$1)</f>
        <v>0</v>
      </c>
      <c r="T179" s="117" t="n">
        <f aca="false">SUMIFS(الريسبي!$C$2:$C$1800,الريسبي!$A$2:$A$1800,$A179,الريسبي!$B$2:$B$1800,T$1)</f>
        <v>0</v>
      </c>
      <c r="U179" s="117" t="n">
        <f aca="false">SUMIFS(الريسبي!$C$2:$C$1800,الريسبي!$A$2:$A$1800,$A179,الريسبي!$B$2:$B$1800,U$1)</f>
        <v>0</v>
      </c>
      <c r="V179" s="117" t="n">
        <f aca="false">SUMIFS(الريسبي!$C$2:$C$1800,الريسبي!$A$2:$A$1800,$A179,الريسبي!$B$2:$B$1800,V$1)</f>
        <v>0</v>
      </c>
      <c r="W179" s="117" t="n">
        <f aca="false">SUMIFS(الريسبي!$C$2:$C$1800,الريسبي!$A$2:$A$1800,$A179,الريسبي!$B$2:$B$1800,W$1)</f>
        <v>0</v>
      </c>
      <c r="X179" s="117" t="n">
        <f aca="false">SUMIFS(الريسبي!$C$2:$C$1800,الريسبي!$A$2:$A$1800,$A179,الريسبي!$B$2:$B$1800,X$1)</f>
        <v>0</v>
      </c>
      <c r="Y179" s="117" t="n">
        <f aca="false">SUMIFS(الريسبي!$C$2:$C$1800,الريسبي!$A$2:$A$1800,$A179,الريسبي!$B$2:$B$1800,Y$1)</f>
        <v>0</v>
      </c>
      <c r="Z179" s="117" t="n">
        <f aca="false">SUMIFS(الريسبي!$C$2:$C$1800,الريسبي!$A$2:$A$1800,$A179,الريسبي!$B$2:$B$1800,Z$1)</f>
        <v>0</v>
      </c>
      <c r="AA179" s="117" t="n">
        <f aca="false">SUMIFS(الريسبي!$C$2:$C$1800,الريسبي!$A$2:$A$1800,$A179,الريسبي!$B$2:$B$1800,AA$1)</f>
        <v>0</v>
      </c>
      <c r="AB179" s="117" t="n">
        <f aca="false">SUMIFS(الريسبي!$C$2:$C$1800,الريسبي!$A$2:$A$1800,$A179,الريسبي!$B$2:$B$1800,AB$1)</f>
        <v>0</v>
      </c>
      <c r="AC179" s="117" t="n">
        <f aca="false">SUMIFS(الريسبي!$C$2:$C$1800,الريسبي!$A$2:$A$1800,$A179,الريسبي!$B$2:$B$1800,AC$1)</f>
        <v>0</v>
      </c>
      <c r="AD179" s="117" t="n">
        <f aca="false">SUMIFS(الريسبي!$C$2:$C$1800,الريسبي!$A$2:$A$1800,$A179,الريسبي!$B$2:$B$1800,AD$1)</f>
        <v>0</v>
      </c>
      <c r="AE179" s="117" t="n">
        <f aca="false">SUMIFS(الريسبي!$C$2:$C$1800,الريسبي!$A$2:$A$1800,$A179,الريسبي!$B$2:$B$1800,AE$1)</f>
        <v>0</v>
      </c>
      <c r="AF179" s="117" t="n">
        <f aca="false">SUMIFS(الريسبي!$C$2:$C$1800,الريسبي!$A$2:$A$1800,$A179,الريسبي!$B$2:$B$1800,AF$1)</f>
        <v>0</v>
      </c>
      <c r="AG179" s="117" t="n">
        <f aca="false">SUMIFS(الريسبي!$C$2:$C$1800,الريسبي!$A$2:$A$1800,$A179,الريسبي!$B$2:$B$1800,AG$1)</f>
        <v>0</v>
      </c>
      <c r="AH179" s="117" t="n">
        <f aca="false">SUMIFS(الريسبي!$C$2:$C$1800,الريسبي!$A$2:$A$1800,$A179,الريسبي!$B$2:$B$1800,AH$1)</f>
        <v>0</v>
      </c>
      <c r="AI179" s="117" t="n">
        <f aca="false">SUMIFS(الريسبي!$C$2:$C$1800,الريسبي!$A$2:$A$1800,$A179,الريسبي!$B$2:$B$1800,AI$1)</f>
        <v>0</v>
      </c>
      <c r="AJ179" s="117" t="n">
        <f aca="false">SUMIFS(الريسبي!$C$2:$C$1800,الريسبي!$A$2:$A$1800,$A179,الريسبي!$B$2:$B$1800,AJ$1)</f>
        <v>0</v>
      </c>
      <c r="AK179" s="117" t="n">
        <f aca="false">SUMIFS(الريسبي!$C$2:$C$1800,الريسبي!$A$2:$A$1800,$A179,الريسبي!$B$2:$B$1800,AK$1)</f>
        <v>0</v>
      </c>
      <c r="AL179" s="117" t="n">
        <f aca="false">SUMIFS(الريسبي!$C$2:$C$1800,الريسبي!$A$2:$A$1800,$A179,الريسبي!$B$2:$B$1800,AL$1)</f>
        <v>0</v>
      </c>
      <c r="AM179" s="117" t="n">
        <f aca="false">SUMIFS(الريسبي!$C$2:$C$1800,الريسبي!$A$2:$A$1800,$A179,الريسبي!$B$2:$B$1800,AM$1)+0.08333333333*SUMIFS(الريسبي!$C$2:$C$1800,الريسبي!$A$2:$A$1800,$A179,الريسبي!$B$2:$B$1800,"عجين كريب (مصنع بالمطعم)")+0.08333333333*SUMIFS(الريسبي!$C$2:$C$1800,الريسبي!$A$2:$A$1800,$A179,الريسبي!$B$2:$B$1800,"عجين كريب صيامي (بدون لبن)")</f>
        <v>0</v>
      </c>
      <c r="AN179" s="117" t="n">
        <f aca="false">SUMIFS(الريسبي!$C$2:$C$1800,الريسبي!$A$2:$A$1800,$A179,الريسبي!$B$2:$B$1800,AN$1)+0.004166666667*SUMIFS(الريسبي!$C$2:$C$1800,الريسبي!$A$2:$A$1800,$A179,الريسبي!$B$2:$B$1800,"عجين كريب (مصنع بالمطعم)")+0.004166666667*SUMIFS(الريسبي!$C$2:$C$1800,الريسبي!$A$2:$A$1800,$A179,الريسبي!$B$2:$B$1800,"عجين كريب صيامي (بدون لبن)")</f>
        <v>0</v>
      </c>
      <c r="AO179" s="117" t="n">
        <f aca="false">SUMIFS(الريسبي!$C$2:$C$1800,الريسبي!$A$2:$A$1800,$A179,الريسبي!$B$2:$B$1800,AO$1)</f>
        <v>0</v>
      </c>
      <c r="AP179" s="117" t="n">
        <f aca="false">SUMIFS(الريسبي!$C$2:$C$1800,الريسبي!$A$2:$A$1800,$A179,الريسبي!$B$2:$B$1800,AP$1)</f>
        <v>0</v>
      </c>
      <c r="AQ179" s="117" t="n">
        <f aca="false">SUMIFS(الريسبي!$C$2:$C$1800,الريسبي!$A$2:$A$1800,$A179,الريسبي!$B$2:$B$1800,AQ$1)+0.004166666667*SUMIFS(الريسبي!$C$2:$C$1800,الريسبي!$A$2:$A$1800,$A179,الريسبي!$B$2:$B$1800,"عجين كريب (مصنع بالمطعم)")+0.004166666667*SUMIFS(الريسبي!$C$2:$C$1800,الريسبي!$A$2:$A$1800,$A179,الريسبي!$B$2:$B$1800,"عجين كريب صيامي (بدون لبن)")</f>
        <v>0</v>
      </c>
      <c r="AR179" s="117" t="n">
        <f aca="false">SUMIFS(الريسبي!$C$2:$C$1800,الريسبي!$A$2:$A$1800,$A179,الريسبي!$B$2:$B$1800,AR$1)</f>
        <v>0</v>
      </c>
      <c r="AS179" s="117" t="n">
        <f aca="false">SUMIFS(الريسبي!$C$2:$C$1800,الريسبي!$A$2:$A$1800,$A179,الريسبي!$B$2:$B$1800,AS$1)</f>
        <v>0</v>
      </c>
      <c r="AT179" s="117" t="n">
        <f aca="false">SUMIFS(الريسبي!$C$2:$C$1800,الريسبي!$A$2:$A$1800,$A179,الريسبي!$B$2:$B$1800,AT$1)</f>
        <v>0</v>
      </c>
      <c r="AU179" s="117" t="n">
        <f aca="false">SUMIFS(الريسبي!$C$2:$C$1800,الريسبي!$A$2:$A$1800,$A179,الريسبي!$B$2:$B$1800,AU$1)</f>
        <v>0</v>
      </c>
      <c r="AV179" s="117" t="n">
        <f aca="false">SUMIFS(الريسبي!$C$2:$C$1800,الريسبي!$A$2:$A$1800,$A179,الريسبي!$B$2:$B$1800,AV$1)</f>
        <v>0</v>
      </c>
      <c r="AW179" s="117" t="n">
        <f aca="false">SUMIFS(الريسبي!$C$2:$C$1800,الريسبي!$A$2:$A$1800,$A179,الريسبي!$B$2:$B$1800,AW$1)</f>
        <v>0</v>
      </c>
      <c r="AX179" s="117" t="n">
        <f aca="false">SUMIFS(الريسبي!$C$2:$C$1800,الريسبي!$A$2:$A$1800,$A179,الريسبي!$B$2:$B$1800,AX$1)</f>
        <v>0</v>
      </c>
      <c r="AY179" s="117" t="n">
        <f aca="false">SUMIFS(الريسبي!$C$2:$C$1800,الريسبي!$A$2:$A$1800,$A179,الريسبي!$B$2:$B$1800,AY$1)</f>
        <v>0</v>
      </c>
      <c r="AZ179" s="117" t="n">
        <f aca="false">SUMIFS(الريسبي!$C$2:$C$1800,الريسبي!$A$2:$A$1800,$A179,الريسبي!$B$2:$B$1800,AZ$1)</f>
        <v>0</v>
      </c>
      <c r="BA179" s="117" t="n">
        <f aca="false">SUMIFS(الريسبي!$C$2:$C$1800,الريسبي!$A$2:$A$1800,$A179,الريسبي!$B$2:$B$1800,BA$1)</f>
        <v>0</v>
      </c>
      <c r="BB179" s="117" t="n">
        <f aca="false">SUMIFS(الريسبي!$C$2:$C$1800,الريسبي!$A$2:$A$1800,$A179,الريسبي!$B$2:$B$1800,BB$1)</f>
        <v>0</v>
      </c>
      <c r="BC179" s="117" t="n">
        <f aca="false">SUMIFS(الريسبي!$C$2:$C$1800,الريسبي!$A$2:$A$1800,$A179,الريسبي!$B$2:$B$1800,BC$1)</f>
        <v>0</v>
      </c>
      <c r="BD179" s="117" t="n">
        <f aca="false">SUMIFS(الريسبي!$C$2:$C$1800,الريسبي!$A$2:$A$1800,$A179,الريسبي!$B$2:$B$1800,BD$1)</f>
        <v>0</v>
      </c>
      <c r="BE179" s="117" t="n">
        <f aca="false">SUMIFS(الريسبي!$C$2:$C$1800,الريسبي!$A$2:$A$1800,$A179,الريسبي!$B$2:$B$1800,BE$1)</f>
        <v>0</v>
      </c>
      <c r="BF179" s="117" t="n">
        <f aca="false">SUMIFS(الريسبي!$C$2:$C$1800,الريسبي!$A$2:$A$1800,$A179,الريسبي!$B$2:$B$1800,BF$1)</f>
        <v>0</v>
      </c>
      <c r="BG179" s="117" t="n">
        <f aca="false">SUMIFS(الريسبي!$C$2:$C$1800,الريسبي!$A$2:$A$1800,$A179,الريسبي!$B$2:$B$1800,BG$1)</f>
        <v>0</v>
      </c>
      <c r="BH179" s="117" t="n">
        <f aca="false">SUMIFS(الريسبي!$C$2:$C$1800,الريسبي!$A$2:$A$1800,$A179,الريسبي!$B$2:$B$1800,BH$1)</f>
        <v>0</v>
      </c>
      <c r="BI179" s="117" t="n">
        <f aca="false">SUMIFS(الريسبي!$C$2:$C$1800,الريسبي!$A$2:$A$1800,$A179,الريسبي!$B$2:$B$1800,BI$1)</f>
        <v>0</v>
      </c>
      <c r="BJ179" s="117" t="n">
        <f aca="false">SUMIFS(الريسبي!$C$2:$C$1800,الريسبي!$A$2:$A$1800,$A179,الريسبي!$B$2:$B$1800,BJ$1)</f>
        <v>0</v>
      </c>
      <c r="BK179" s="117" t="n">
        <f aca="false">SUMIFS(الريسبي!$C$2:$C$1800,الريسبي!$A$2:$A$1800,$A179,الريسبي!$B$2:$B$1800,BK$1)</f>
        <v>0</v>
      </c>
      <c r="BL179" s="117" t="n">
        <f aca="false">SUMIFS(الريسبي!$C$2:$C$1800,الريسبي!$A$2:$A$1800,$A179,الريسبي!$B$2:$B$1800,BL$1)</f>
        <v>0</v>
      </c>
      <c r="BM179" s="117" t="n">
        <f aca="false">SUMIFS(الريسبي!$C$2:$C$1800,الريسبي!$A$2:$A$1800,$A179,الريسبي!$B$2:$B$1800,BM$1)</f>
        <v>0</v>
      </c>
      <c r="BN179" s="117" t="n">
        <f aca="false">SUMIFS(الريسبي!$C$2:$C$1800,الريسبي!$A$2:$A$1800,$A179,الريسبي!$B$2:$B$1800,BN$1)</f>
        <v>0</v>
      </c>
      <c r="BO179" s="117" t="n">
        <f aca="false">SUMIFS(الريسبي!$C$2:$C$1800,الريسبي!$A$2:$A$1800,$A179,الريسبي!$B$2:$B$1800,BO$1)</f>
        <v>0</v>
      </c>
      <c r="BP179" s="117" t="n">
        <f aca="false">SUMIFS(الريسبي!$C$2:$C$1800,الريسبي!$A$2:$A$1800,$A179,الريسبي!$B$2:$B$1800,BP$1)</f>
        <v>0</v>
      </c>
      <c r="BQ179" s="117" t="n">
        <f aca="false">SUMIFS(الريسبي!$C$2:$C$1800,الريسبي!$A$2:$A$1800,$A179,الريسبي!$B$2:$B$1800,BQ$1)+0.17*SUMIFS(الريسبي!$C$2:$C$1800,الريسبي!$A$2:$A$1800,$A179,الريسبي!$B$2:$B$1800,"كاسترد مصنع (خليط بودر + لبن)")+0.17*SUMIFS(الريسبي!$C$2:$C$1800,الريسبي!$A$2:$A$1800,$A179,الريسبي!$B$2:$B$1800,"كاسترد مصنع صيامي (بدون لبن)")</f>
        <v>0</v>
      </c>
      <c r="BR179" s="117" t="n">
        <f aca="false">SUMIFS(الريسبي!$C$2:$C$1800,الريسبي!$A$2:$A$1800,$A179,الريسبي!$B$2:$B$1800,BR$1)</f>
        <v>0</v>
      </c>
      <c r="BS179" s="117" t="n">
        <f aca="false">SUMIFS(الريسبي!$C$2:$C$1800,الريسبي!$A$2:$A$1800,$A179,الريسبي!$B$2:$B$1800,BS$1)</f>
        <v>0</v>
      </c>
      <c r="BT179" s="117" t="n">
        <f aca="false">SUMIFS(الريسبي!$C$2:$C$1800,الريسبي!$A$2:$A$1800,$A179,الريسبي!$B$2:$B$1800,BT$1)</f>
        <v>0</v>
      </c>
      <c r="BU179" s="117" t="n">
        <f aca="false">SUMIFS(الريسبي!$C$2:$C$1800,الريسبي!$A$2:$A$1800,$A179,الريسبي!$B$2:$B$1800,BU$1)+0.4*SUMIFS(الريسبي!$C$2:$C$1800,الريسبي!$A$2:$A$1800,$A179,الريسبي!$B$2:$B$1800,"كاسترد مصنع (خليط بودر + لبن)")+0.03333333333*SUMIFS(الريسبي!$C$2:$C$1800,الريسبي!$A$2:$A$1800,$A179,الريسبي!$B$2:$B$1800,"عجين كريب (مصنع بالمطعم)")</f>
        <v>0</v>
      </c>
      <c r="BV179" s="117" t="n">
        <f aca="false">SUMIFS(الريسبي!$C$2:$C$1800,الريسبي!$A$2:$A$1800,$A179,الريسبي!$B$2:$B$1800,BV$1)</f>
        <v>0</v>
      </c>
      <c r="BW179" s="117" t="n">
        <f aca="false">SUMIFS(الريسبي!$C$2:$C$1800,الريسبي!$A$2:$A$1800,$A179,الريسبي!$B$2:$B$1800,BW$1)</f>
        <v>0</v>
      </c>
      <c r="BX179" s="117" t="n">
        <f aca="false">SUMIFS(الريسبي!$C$2:$C$1800,الريسبي!$A$2:$A$1800,$A179,الريسبي!$B$2:$B$1800,BX$1)</f>
        <v>0</v>
      </c>
      <c r="BY179" s="117" t="n">
        <f aca="false">SUMIFS(الريسبي!$C$2:$C$1800,الريسبي!$A$2:$A$1800,$A179,الريسبي!$B$2:$B$1800,BY$1)</f>
        <v>0</v>
      </c>
      <c r="BZ179" s="117" t="n">
        <f aca="false">SUMIFS(الريسبي!$C$2:$C$1800,الريسبي!$A$2:$A$1800,$A179,الريسبي!$B$2:$B$1800,BZ$1)</f>
        <v>0</v>
      </c>
      <c r="CA179" s="117" t="n">
        <f aca="false">SUMIFS(الريسبي!$C$2:$C$1800,الريسبي!$A$2:$A$1800,$A179,الريسبي!$B$2:$B$1800,CA$1)</f>
        <v>0</v>
      </c>
      <c r="CB179" s="117" t="n">
        <f aca="false">SUMIFS(الريسبي!$C$2:$C$1800,الريسبي!$A$2:$A$1800,$A179,الريسبي!$B$2:$B$1800,CB$1)</f>
        <v>0</v>
      </c>
      <c r="CC179" s="117" t="n">
        <f aca="false">SUMIFS(الريسبي!$C$2:$C$1800,الريسبي!$A$2:$A$1800,$A179,الريسبي!$B$2:$B$1800,CC$1)</f>
        <v>0</v>
      </c>
      <c r="CD179" s="117" t="n">
        <f aca="false">SUMIFS(الريسبي!$C$2:$C$1800,الريسبي!$A$2:$A$1800,$A179,الريسبي!$B$2:$B$1800,CD$1)</f>
        <v>0</v>
      </c>
      <c r="CE179" s="117" t="n">
        <f aca="false">SUMIFS(الريسبي!$C$2:$C$1800,الريسبي!$A$2:$A$1800,$A179,الريسبي!$B$2:$B$1800,CE$1)</f>
        <v>0</v>
      </c>
      <c r="CF179" s="117" t="n">
        <f aca="false">SUMIFS(الريسبي!$C$2:$C$1800,الريسبي!$A$2:$A$1800,$A179,الريسبي!$B$2:$B$1800,CF$1)</f>
        <v>0</v>
      </c>
      <c r="CG179" s="117" t="n">
        <f aca="false">SUMIFS(الريسبي!$C$2:$C$1800,الريسبي!$A$2:$A$1800,$A179,الريسبي!$B$2:$B$1800,CG$1)</f>
        <v>0</v>
      </c>
      <c r="CH179" s="117" t="n">
        <f aca="false">SUMIFS(الريسبي!$C$2:$C$1800,الريسبي!$A$2:$A$1800,$A179,الريسبي!$B$2:$B$1800,CH$1)</f>
        <v>0</v>
      </c>
      <c r="CI179" s="117" t="n">
        <f aca="false">SUMIFS(الريسبي!$C$2:$C$1800,الريسبي!$A$2:$A$1800,$A179,الريسبي!$B$2:$B$1800,CI$1)</f>
        <v>0</v>
      </c>
      <c r="CJ179" s="117" t="n">
        <f aca="false">SUMIFS(الريسبي!$C$2:$C$1800,الريسبي!$A$2:$A$1800,$A179,الريسبي!$B$2:$B$1800,CJ$1)</f>
        <v>0</v>
      </c>
      <c r="CK179" s="117" t="n">
        <f aca="false">SUMIFS(الريسبي!$C$2:$C$1800,الريسبي!$A$2:$A$1800,$A179,الريسبي!$B$2:$B$1800,CK$1)</f>
        <v>0</v>
      </c>
      <c r="CL179" s="117" t="n">
        <f aca="false">SUMIFS(الريسبي!$C$2:$C$1800,الريسبي!$A$2:$A$1800,$A179,الريسبي!$B$2:$B$1800,CL$1)</f>
        <v>0</v>
      </c>
    </row>
    <row r="180" customFormat="false" ht="15" hidden="false" customHeight="false" outlineLevel="0" collapsed="false">
      <c r="A180" s="116" t="str">
        <f aca="false">المنيو!B180</f>
        <v>اضافة فراخ كريسبي (بيتزا كبير)</v>
      </c>
      <c r="B180" s="117" t="n">
        <f aca="false">SUMIFS(الريسبي!$C$2:$C$1800,الريسبي!$A$2:$A$1800,$A180,الريسبي!$B$2:$B$1800,B$1)</f>
        <v>0</v>
      </c>
      <c r="C180" s="117" t="n">
        <f aca="false">SUMIFS(الريسبي!$C$2:$C$1800,الريسبي!$A$2:$A$1800,$A180,الريسبي!$B$2:$B$1800,C$1)</f>
        <v>0</v>
      </c>
      <c r="D180" s="117" t="n">
        <f aca="false">SUMIFS(الريسبي!$C$2:$C$1800,الريسبي!$A$2:$A$1800,$A180,الريسبي!$B$2:$B$1800,D$1)</f>
        <v>0</v>
      </c>
      <c r="E180" s="117" t="n">
        <f aca="false">SUMIFS(الريسبي!$C$2:$C$1800,الريسبي!$A$2:$A$1800,$A180,الريسبي!$B$2:$B$1800,E$1)</f>
        <v>0</v>
      </c>
      <c r="F180" s="117" t="n">
        <f aca="false">SUMIFS(الريسبي!$C$2:$C$1800,الريسبي!$A$2:$A$1800,$A180,الريسبي!$B$2:$B$1800,F$1)</f>
        <v>0</v>
      </c>
      <c r="G180" s="117" t="n">
        <f aca="false">SUMIFS(الريسبي!$C$2:$C$1800,الريسبي!$A$2:$A$1800,$A180,الريسبي!$B$2:$B$1800,G$1)</f>
        <v>0</v>
      </c>
      <c r="H180" s="117" t="n">
        <f aca="false">SUMIFS(الريسبي!$C$2:$C$1800,الريسبي!$A$2:$A$1800,$A180,الريسبي!$B$2:$B$1800,H$1)</f>
        <v>0</v>
      </c>
      <c r="I180" s="117" t="n">
        <f aca="false">SUMIFS(الريسبي!$C$2:$C$1800,الريسبي!$A$2:$A$1800,$A180,الريسبي!$B$2:$B$1800,I$1)</f>
        <v>0</v>
      </c>
      <c r="J180" s="117" t="n">
        <f aca="false">SUMIFS(الريسبي!$C$2:$C$1800,الريسبي!$A$2:$A$1800,$A180,الريسبي!$B$2:$B$1800,J$1)</f>
        <v>0</v>
      </c>
      <c r="K180" s="117" t="n">
        <f aca="false">SUMIFS(الريسبي!$C$2:$C$1800,الريسبي!$A$2:$A$1800,$A180,الريسبي!$B$2:$B$1800,K$1)</f>
        <v>0</v>
      </c>
      <c r="L180" s="117" t="n">
        <f aca="false">SUMIFS(الريسبي!$C$2:$C$1800,الريسبي!$A$2:$A$1800,$A180,الريسبي!$B$2:$B$1800,L$1)</f>
        <v>0</v>
      </c>
      <c r="M180" s="117" t="n">
        <f aca="false">SUMIFS(الريسبي!$C$2:$C$1800,الريسبي!$A$2:$A$1800,$A180,الريسبي!$B$2:$B$1800,M$1)</f>
        <v>0</v>
      </c>
      <c r="N180" s="117" t="n">
        <f aca="false">SUMIFS(الريسبي!$C$2:$C$1800,الريسبي!$A$2:$A$1800,$A180,الريسبي!$B$2:$B$1800,N$1)</f>
        <v>0</v>
      </c>
      <c r="O180" s="117" t="n">
        <f aca="false">SUMIFS(الريسبي!$C$2:$C$1800,الريسبي!$A$2:$A$1800,$A180,الريسبي!$B$2:$B$1800,O$1)</f>
        <v>0</v>
      </c>
      <c r="P180" s="117" t="n">
        <f aca="false">SUMIFS(الريسبي!$C$2:$C$1800,الريسبي!$A$2:$A$1800,$A180,الريسبي!$B$2:$B$1800,P$1)</f>
        <v>0</v>
      </c>
      <c r="Q180" s="117" t="n">
        <f aca="false">SUMIFS(الريسبي!$C$2:$C$1800,الريسبي!$A$2:$A$1800,$A180,الريسبي!$B$2:$B$1800,Q$1)</f>
        <v>0</v>
      </c>
      <c r="R180" s="117" t="n">
        <f aca="false">SUMIFS(الريسبي!$C$2:$C$1800,الريسبي!$A$2:$A$1800,$A180,الريسبي!$B$2:$B$1800,R$1)</f>
        <v>1</v>
      </c>
      <c r="S180" s="117" t="n">
        <f aca="false">SUMIFS(الريسبي!$C$2:$C$1800,الريسبي!$A$2:$A$1800,$A180,الريسبي!$B$2:$B$1800,S$1)</f>
        <v>0</v>
      </c>
      <c r="T180" s="117" t="n">
        <f aca="false">SUMIFS(الريسبي!$C$2:$C$1800,الريسبي!$A$2:$A$1800,$A180,الريسبي!$B$2:$B$1800,T$1)</f>
        <v>0</v>
      </c>
      <c r="U180" s="117" t="n">
        <f aca="false">SUMIFS(الريسبي!$C$2:$C$1800,الريسبي!$A$2:$A$1800,$A180,الريسبي!$B$2:$B$1800,U$1)</f>
        <v>0</v>
      </c>
      <c r="V180" s="117" t="n">
        <f aca="false">SUMIFS(الريسبي!$C$2:$C$1800,الريسبي!$A$2:$A$1800,$A180,الريسبي!$B$2:$B$1800,V$1)</f>
        <v>0</v>
      </c>
      <c r="W180" s="117" t="n">
        <f aca="false">SUMIFS(الريسبي!$C$2:$C$1800,الريسبي!$A$2:$A$1800,$A180,الريسبي!$B$2:$B$1800,W$1)</f>
        <v>0</v>
      </c>
      <c r="X180" s="117" t="n">
        <f aca="false">SUMIFS(الريسبي!$C$2:$C$1800,الريسبي!$A$2:$A$1800,$A180,الريسبي!$B$2:$B$1800,X$1)</f>
        <v>0</v>
      </c>
      <c r="Y180" s="117" t="n">
        <f aca="false">SUMIFS(الريسبي!$C$2:$C$1800,الريسبي!$A$2:$A$1800,$A180,الريسبي!$B$2:$B$1800,Y$1)</f>
        <v>0</v>
      </c>
      <c r="Z180" s="117" t="n">
        <f aca="false">SUMIFS(الريسبي!$C$2:$C$1800,الريسبي!$A$2:$A$1800,$A180,الريسبي!$B$2:$B$1800,Z$1)</f>
        <v>0</v>
      </c>
      <c r="AA180" s="117" t="n">
        <f aca="false">SUMIFS(الريسبي!$C$2:$C$1800,الريسبي!$A$2:$A$1800,$A180,الريسبي!$B$2:$B$1800,AA$1)</f>
        <v>0</v>
      </c>
      <c r="AB180" s="117" t="n">
        <f aca="false">SUMIFS(الريسبي!$C$2:$C$1800,الريسبي!$A$2:$A$1800,$A180,الريسبي!$B$2:$B$1800,AB$1)</f>
        <v>0</v>
      </c>
      <c r="AC180" s="117" t="n">
        <f aca="false">SUMIFS(الريسبي!$C$2:$C$1800,الريسبي!$A$2:$A$1800,$A180,الريسبي!$B$2:$B$1800,AC$1)</f>
        <v>0</v>
      </c>
      <c r="AD180" s="117" t="n">
        <f aca="false">SUMIFS(الريسبي!$C$2:$C$1800,الريسبي!$A$2:$A$1800,$A180,الريسبي!$B$2:$B$1800,AD$1)</f>
        <v>0</v>
      </c>
      <c r="AE180" s="117" t="n">
        <f aca="false">SUMIFS(الريسبي!$C$2:$C$1800,الريسبي!$A$2:$A$1800,$A180,الريسبي!$B$2:$B$1800,AE$1)</f>
        <v>0</v>
      </c>
      <c r="AF180" s="117" t="n">
        <f aca="false">SUMIFS(الريسبي!$C$2:$C$1800,الريسبي!$A$2:$A$1800,$A180,الريسبي!$B$2:$B$1800,AF$1)</f>
        <v>0</v>
      </c>
      <c r="AG180" s="117" t="n">
        <f aca="false">SUMIFS(الريسبي!$C$2:$C$1800,الريسبي!$A$2:$A$1800,$A180,الريسبي!$B$2:$B$1800,AG$1)</f>
        <v>0</v>
      </c>
      <c r="AH180" s="117" t="n">
        <f aca="false">SUMIFS(الريسبي!$C$2:$C$1800,الريسبي!$A$2:$A$1800,$A180,الريسبي!$B$2:$B$1800,AH$1)</f>
        <v>0</v>
      </c>
      <c r="AI180" s="117" t="n">
        <f aca="false">SUMIFS(الريسبي!$C$2:$C$1800,الريسبي!$A$2:$A$1800,$A180,الريسبي!$B$2:$B$1800,AI$1)</f>
        <v>0</v>
      </c>
      <c r="AJ180" s="117" t="n">
        <f aca="false">SUMIFS(الريسبي!$C$2:$C$1800,الريسبي!$A$2:$A$1800,$A180,الريسبي!$B$2:$B$1800,AJ$1)</f>
        <v>0</v>
      </c>
      <c r="AK180" s="117" t="n">
        <f aca="false">SUMIFS(الريسبي!$C$2:$C$1800,الريسبي!$A$2:$A$1800,$A180,الريسبي!$B$2:$B$1800,AK$1)</f>
        <v>0</v>
      </c>
      <c r="AL180" s="117" t="n">
        <f aca="false">SUMIFS(الريسبي!$C$2:$C$1800,الريسبي!$A$2:$A$1800,$A180,الريسبي!$B$2:$B$1800,AL$1)</f>
        <v>0</v>
      </c>
      <c r="AM180" s="117" t="n">
        <f aca="false">SUMIFS(الريسبي!$C$2:$C$1800,الريسبي!$A$2:$A$1800,$A180,الريسبي!$B$2:$B$1800,AM$1)+0.08333333333*SUMIFS(الريسبي!$C$2:$C$1800,الريسبي!$A$2:$A$1800,$A180,الريسبي!$B$2:$B$1800,"عجين كريب (مصنع بالمطعم)")+0.08333333333*SUMIFS(الريسبي!$C$2:$C$1800,الريسبي!$A$2:$A$1800,$A180,الريسبي!$B$2:$B$1800,"عجين كريب صيامي (بدون لبن)")</f>
        <v>0</v>
      </c>
      <c r="AN180" s="117" t="n">
        <f aca="false">SUMIFS(الريسبي!$C$2:$C$1800,الريسبي!$A$2:$A$1800,$A180,الريسبي!$B$2:$B$1800,AN$1)+0.004166666667*SUMIFS(الريسبي!$C$2:$C$1800,الريسبي!$A$2:$A$1800,$A180,الريسبي!$B$2:$B$1800,"عجين كريب (مصنع بالمطعم)")+0.004166666667*SUMIFS(الريسبي!$C$2:$C$1800,الريسبي!$A$2:$A$1800,$A180,الريسبي!$B$2:$B$1800,"عجين كريب صيامي (بدون لبن)")</f>
        <v>0</v>
      </c>
      <c r="AO180" s="117" t="n">
        <f aca="false">SUMIFS(الريسبي!$C$2:$C$1800,الريسبي!$A$2:$A$1800,$A180,الريسبي!$B$2:$B$1800,AO$1)</f>
        <v>0</v>
      </c>
      <c r="AP180" s="117" t="n">
        <f aca="false">SUMIFS(الريسبي!$C$2:$C$1800,الريسبي!$A$2:$A$1800,$A180,الريسبي!$B$2:$B$1800,AP$1)</f>
        <v>0</v>
      </c>
      <c r="AQ180" s="117" t="n">
        <f aca="false">SUMIFS(الريسبي!$C$2:$C$1800,الريسبي!$A$2:$A$1800,$A180,الريسبي!$B$2:$B$1800,AQ$1)+0.004166666667*SUMIFS(الريسبي!$C$2:$C$1800,الريسبي!$A$2:$A$1800,$A180,الريسبي!$B$2:$B$1800,"عجين كريب (مصنع بالمطعم)")+0.004166666667*SUMIFS(الريسبي!$C$2:$C$1800,الريسبي!$A$2:$A$1800,$A180,الريسبي!$B$2:$B$1800,"عجين كريب صيامي (بدون لبن)")</f>
        <v>0</v>
      </c>
      <c r="AR180" s="117" t="n">
        <f aca="false">SUMIFS(الريسبي!$C$2:$C$1800,الريسبي!$A$2:$A$1800,$A180,الريسبي!$B$2:$B$1800,AR$1)</f>
        <v>0</v>
      </c>
      <c r="AS180" s="117" t="n">
        <f aca="false">SUMIFS(الريسبي!$C$2:$C$1800,الريسبي!$A$2:$A$1800,$A180,الريسبي!$B$2:$B$1800,AS$1)</f>
        <v>0</v>
      </c>
      <c r="AT180" s="117" t="n">
        <f aca="false">SUMIFS(الريسبي!$C$2:$C$1800,الريسبي!$A$2:$A$1800,$A180,الريسبي!$B$2:$B$1800,AT$1)</f>
        <v>0</v>
      </c>
      <c r="AU180" s="117" t="n">
        <f aca="false">SUMIFS(الريسبي!$C$2:$C$1800,الريسبي!$A$2:$A$1800,$A180,الريسبي!$B$2:$B$1800,AU$1)</f>
        <v>0</v>
      </c>
      <c r="AV180" s="117" t="n">
        <f aca="false">SUMIFS(الريسبي!$C$2:$C$1800,الريسبي!$A$2:$A$1800,$A180,الريسبي!$B$2:$B$1800,AV$1)</f>
        <v>0</v>
      </c>
      <c r="AW180" s="117" t="n">
        <f aca="false">SUMIFS(الريسبي!$C$2:$C$1800,الريسبي!$A$2:$A$1800,$A180,الريسبي!$B$2:$B$1800,AW$1)</f>
        <v>0</v>
      </c>
      <c r="AX180" s="117" t="n">
        <f aca="false">SUMIFS(الريسبي!$C$2:$C$1800,الريسبي!$A$2:$A$1800,$A180,الريسبي!$B$2:$B$1800,AX$1)</f>
        <v>0</v>
      </c>
      <c r="AY180" s="117" t="n">
        <f aca="false">SUMIFS(الريسبي!$C$2:$C$1800,الريسبي!$A$2:$A$1800,$A180,الريسبي!$B$2:$B$1800,AY$1)</f>
        <v>0</v>
      </c>
      <c r="AZ180" s="117" t="n">
        <f aca="false">SUMIFS(الريسبي!$C$2:$C$1800,الريسبي!$A$2:$A$1800,$A180,الريسبي!$B$2:$B$1800,AZ$1)</f>
        <v>0</v>
      </c>
      <c r="BA180" s="117" t="n">
        <f aca="false">SUMIFS(الريسبي!$C$2:$C$1800,الريسبي!$A$2:$A$1800,$A180,الريسبي!$B$2:$B$1800,BA$1)</f>
        <v>0</v>
      </c>
      <c r="BB180" s="117" t="n">
        <f aca="false">SUMIFS(الريسبي!$C$2:$C$1800,الريسبي!$A$2:$A$1800,$A180,الريسبي!$B$2:$B$1800,BB$1)</f>
        <v>0</v>
      </c>
      <c r="BC180" s="117" t="n">
        <f aca="false">SUMIFS(الريسبي!$C$2:$C$1800,الريسبي!$A$2:$A$1800,$A180,الريسبي!$B$2:$B$1800,BC$1)</f>
        <v>0</v>
      </c>
      <c r="BD180" s="117" t="n">
        <f aca="false">SUMIFS(الريسبي!$C$2:$C$1800,الريسبي!$A$2:$A$1800,$A180,الريسبي!$B$2:$B$1800,BD$1)</f>
        <v>0</v>
      </c>
      <c r="BE180" s="117" t="n">
        <f aca="false">SUMIFS(الريسبي!$C$2:$C$1800,الريسبي!$A$2:$A$1800,$A180,الريسبي!$B$2:$B$1800,BE$1)</f>
        <v>0</v>
      </c>
      <c r="BF180" s="117" t="n">
        <f aca="false">SUMIFS(الريسبي!$C$2:$C$1800,الريسبي!$A$2:$A$1800,$A180,الريسبي!$B$2:$B$1800,BF$1)</f>
        <v>0</v>
      </c>
      <c r="BG180" s="117" t="n">
        <f aca="false">SUMIFS(الريسبي!$C$2:$C$1800,الريسبي!$A$2:$A$1800,$A180,الريسبي!$B$2:$B$1800,BG$1)</f>
        <v>0</v>
      </c>
      <c r="BH180" s="117" t="n">
        <f aca="false">SUMIFS(الريسبي!$C$2:$C$1800,الريسبي!$A$2:$A$1800,$A180,الريسبي!$B$2:$B$1800,BH$1)</f>
        <v>0</v>
      </c>
      <c r="BI180" s="117" t="n">
        <f aca="false">SUMIFS(الريسبي!$C$2:$C$1800,الريسبي!$A$2:$A$1800,$A180,الريسبي!$B$2:$B$1800,BI$1)</f>
        <v>0</v>
      </c>
      <c r="BJ180" s="117" t="n">
        <f aca="false">SUMIFS(الريسبي!$C$2:$C$1800,الريسبي!$A$2:$A$1800,$A180,الريسبي!$B$2:$B$1800,BJ$1)</f>
        <v>0</v>
      </c>
      <c r="BK180" s="117" t="n">
        <f aca="false">SUMIFS(الريسبي!$C$2:$C$1800,الريسبي!$A$2:$A$1800,$A180,الريسبي!$B$2:$B$1800,BK$1)</f>
        <v>0</v>
      </c>
      <c r="BL180" s="117" t="n">
        <f aca="false">SUMIFS(الريسبي!$C$2:$C$1800,الريسبي!$A$2:$A$1800,$A180,الريسبي!$B$2:$B$1800,BL$1)</f>
        <v>0</v>
      </c>
      <c r="BM180" s="117" t="n">
        <f aca="false">SUMIFS(الريسبي!$C$2:$C$1800,الريسبي!$A$2:$A$1800,$A180,الريسبي!$B$2:$B$1800,BM$1)</f>
        <v>0</v>
      </c>
      <c r="BN180" s="117" t="n">
        <f aca="false">SUMIFS(الريسبي!$C$2:$C$1800,الريسبي!$A$2:$A$1800,$A180,الريسبي!$B$2:$B$1800,BN$1)</f>
        <v>0</v>
      </c>
      <c r="BO180" s="117" t="n">
        <f aca="false">SUMIFS(الريسبي!$C$2:$C$1800,الريسبي!$A$2:$A$1800,$A180,الريسبي!$B$2:$B$1800,BO$1)</f>
        <v>0</v>
      </c>
      <c r="BP180" s="117" t="n">
        <f aca="false">SUMIFS(الريسبي!$C$2:$C$1800,الريسبي!$A$2:$A$1800,$A180,الريسبي!$B$2:$B$1800,BP$1)</f>
        <v>0</v>
      </c>
      <c r="BQ180" s="117" t="n">
        <f aca="false">SUMIFS(الريسبي!$C$2:$C$1800,الريسبي!$A$2:$A$1800,$A180,الريسبي!$B$2:$B$1800,BQ$1)+0.17*SUMIFS(الريسبي!$C$2:$C$1800,الريسبي!$A$2:$A$1800,$A180,الريسبي!$B$2:$B$1800,"كاسترد مصنع (خليط بودر + لبن)")+0.17*SUMIFS(الريسبي!$C$2:$C$1800,الريسبي!$A$2:$A$1800,$A180,الريسبي!$B$2:$B$1800,"كاسترد مصنع صيامي (بدون لبن)")</f>
        <v>0</v>
      </c>
      <c r="BR180" s="117" t="n">
        <f aca="false">SUMIFS(الريسبي!$C$2:$C$1800,الريسبي!$A$2:$A$1800,$A180,الريسبي!$B$2:$B$1800,BR$1)</f>
        <v>0</v>
      </c>
      <c r="BS180" s="117" t="n">
        <f aca="false">SUMIFS(الريسبي!$C$2:$C$1800,الريسبي!$A$2:$A$1800,$A180,الريسبي!$B$2:$B$1800,BS$1)</f>
        <v>0</v>
      </c>
      <c r="BT180" s="117" t="n">
        <f aca="false">SUMIFS(الريسبي!$C$2:$C$1800,الريسبي!$A$2:$A$1800,$A180,الريسبي!$B$2:$B$1800,BT$1)</f>
        <v>0</v>
      </c>
      <c r="BU180" s="117" t="n">
        <f aca="false">SUMIFS(الريسبي!$C$2:$C$1800,الريسبي!$A$2:$A$1800,$A180,الريسبي!$B$2:$B$1800,BU$1)+0.4*SUMIFS(الريسبي!$C$2:$C$1800,الريسبي!$A$2:$A$1800,$A180,الريسبي!$B$2:$B$1800,"كاسترد مصنع (خليط بودر + لبن)")+0.03333333333*SUMIFS(الريسبي!$C$2:$C$1800,الريسبي!$A$2:$A$1800,$A180,الريسبي!$B$2:$B$1800,"عجين كريب (مصنع بالمطعم)")</f>
        <v>0</v>
      </c>
      <c r="BV180" s="117" t="n">
        <f aca="false">SUMIFS(الريسبي!$C$2:$C$1800,الريسبي!$A$2:$A$1800,$A180,الريسبي!$B$2:$B$1800,BV$1)</f>
        <v>0</v>
      </c>
      <c r="BW180" s="117" t="n">
        <f aca="false">SUMIFS(الريسبي!$C$2:$C$1800,الريسبي!$A$2:$A$1800,$A180,الريسبي!$B$2:$B$1800,BW$1)</f>
        <v>0</v>
      </c>
      <c r="BX180" s="117" t="n">
        <f aca="false">SUMIFS(الريسبي!$C$2:$C$1800,الريسبي!$A$2:$A$1800,$A180,الريسبي!$B$2:$B$1800,BX$1)</f>
        <v>0</v>
      </c>
      <c r="BY180" s="117" t="n">
        <f aca="false">SUMIFS(الريسبي!$C$2:$C$1800,الريسبي!$A$2:$A$1800,$A180,الريسبي!$B$2:$B$1800,BY$1)</f>
        <v>0</v>
      </c>
      <c r="BZ180" s="117" t="n">
        <f aca="false">SUMIFS(الريسبي!$C$2:$C$1800,الريسبي!$A$2:$A$1800,$A180,الريسبي!$B$2:$B$1800,BZ$1)</f>
        <v>0</v>
      </c>
      <c r="CA180" s="117" t="n">
        <f aca="false">SUMIFS(الريسبي!$C$2:$C$1800,الريسبي!$A$2:$A$1800,$A180,الريسبي!$B$2:$B$1800,CA$1)</f>
        <v>0</v>
      </c>
      <c r="CB180" s="117" t="n">
        <f aca="false">SUMIFS(الريسبي!$C$2:$C$1800,الريسبي!$A$2:$A$1800,$A180,الريسبي!$B$2:$B$1800,CB$1)</f>
        <v>0</v>
      </c>
      <c r="CC180" s="117" t="n">
        <f aca="false">SUMIFS(الريسبي!$C$2:$C$1800,الريسبي!$A$2:$A$1800,$A180,الريسبي!$B$2:$B$1800,CC$1)</f>
        <v>0</v>
      </c>
      <c r="CD180" s="117" t="n">
        <f aca="false">SUMIFS(الريسبي!$C$2:$C$1800,الريسبي!$A$2:$A$1800,$A180,الريسبي!$B$2:$B$1800,CD$1)</f>
        <v>0</v>
      </c>
      <c r="CE180" s="117" t="n">
        <f aca="false">SUMIFS(الريسبي!$C$2:$C$1800,الريسبي!$A$2:$A$1800,$A180,الريسبي!$B$2:$B$1800,CE$1)</f>
        <v>0</v>
      </c>
      <c r="CF180" s="117" t="n">
        <f aca="false">SUMIFS(الريسبي!$C$2:$C$1800,الريسبي!$A$2:$A$1800,$A180,الريسبي!$B$2:$B$1800,CF$1)</f>
        <v>0</v>
      </c>
      <c r="CG180" s="117" t="n">
        <f aca="false">SUMIFS(الريسبي!$C$2:$C$1800,الريسبي!$A$2:$A$1800,$A180,الريسبي!$B$2:$B$1800,CG$1)</f>
        <v>0</v>
      </c>
      <c r="CH180" s="117" t="n">
        <f aca="false">SUMIFS(الريسبي!$C$2:$C$1800,الريسبي!$A$2:$A$1800,$A180,الريسبي!$B$2:$B$1800,CH$1)</f>
        <v>0</v>
      </c>
      <c r="CI180" s="117" t="n">
        <f aca="false">SUMIFS(الريسبي!$C$2:$C$1800,الريسبي!$A$2:$A$1800,$A180,الريسبي!$B$2:$B$1800,CI$1)</f>
        <v>0</v>
      </c>
      <c r="CJ180" s="117" t="n">
        <f aca="false">SUMIFS(الريسبي!$C$2:$C$1800,الريسبي!$A$2:$A$1800,$A180,الريسبي!$B$2:$B$1800,CJ$1)</f>
        <v>0</v>
      </c>
      <c r="CK180" s="117" t="n">
        <f aca="false">SUMIFS(الريسبي!$C$2:$C$1800,الريسبي!$A$2:$A$1800,$A180,الريسبي!$B$2:$B$1800,CK$1)</f>
        <v>0</v>
      </c>
      <c r="CL180" s="117" t="n">
        <f aca="false">SUMIFS(الريسبي!$C$2:$C$1800,الريسبي!$A$2:$A$1800,$A180,الريسبي!$B$2:$B$1800,CL$1)</f>
        <v>0</v>
      </c>
    </row>
    <row r="181" customFormat="false" ht="15" hidden="false" customHeight="false" outlineLevel="0" collapsed="false">
      <c r="A181" s="116" t="str">
        <f aca="false">المنيو!B181</f>
        <v>اضافة فراخ جريل (فطير وسط)</v>
      </c>
      <c r="B181" s="117" t="n">
        <f aca="false">SUMIFS(الريسبي!$C$2:$C$1800,الريسبي!$A$2:$A$1800,$A181,الريسبي!$B$2:$B$1800,B$1)</f>
        <v>0</v>
      </c>
      <c r="C181" s="117" t="n">
        <f aca="false">SUMIFS(الريسبي!$C$2:$C$1800,الريسبي!$A$2:$A$1800,$A181,الريسبي!$B$2:$B$1800,C$1)</f>
        <v>0</v>
      </c>
      <c r="D181" s="117" t="n">
        <f aca="false">SUMIFS(الريسبي!$C$2:$C$1800,الريسبي!$A$2:$A$1800,$A181,الريسبي!$B$2:$B$1800,D$1)</f>
        <v>0</v>
      </c>
      <c r="E181" s="117" t="n">
        <f aca="false">SUMIFS(الريسبي!$C$2:$C$1800,الريسبي!$A$2:$A$1800,$A181,الريسبي!$B$2:$B$1800,E$1)</f>
        <v>0</v>
      </c>
      <c r="F181" s="117" t="n">
        <f aca="false">SUMIFS(الريسبي!$C$2:$C$1800,الريسبي!$A$2:$A$1800,$A181,الريسبي!$B$2:$B$1800,F$1)</f>
        <v>0</v>
      </c>
      <c r="G181" s="117" t="n">
        <f aca="false">SUMIFS(الريسبي!$C$2:$C$1800,الريسبي!$A$2:$A$1800,$A181,الريسبي!$B$2:$B$1800,G$1)</f>
        <v>0</v>
      </c>
      <c r="H181" s="117" t="n">
        <f aca="false">SUMIFS(الريسبي!$C$2:$C$1800,الريسبي!$A$2:$A$1800,$A181,الريسبي!$B$2:$B$1800,H$1)</f>
        <v>0</v>
      </c>
      <c r="I181" s="117" t="n">
        <f aca="false">SUMIFS(الريسبي!$C$2:$C$1800,الريسبي!$A$2:$A$1800,$A181,الريسبي!$B$2:$B$1800,I$1)</f>
        <v>0</v>
      </c>
      <c r="J181" s="117" t="n">
        <f aca="false">SUMIFS(الريسبي!$C$2:$C$1800,الريسبي!$A$2:$A$1800,$A181,الريسبي!$B$2:$B$1800,J$1)</f>
        <v>0</v>
      </c>
      <c r="K181" s="117" t="n">
        <f aca="false">SUMIFS(الريسبي!$C$2:$C$1800,الريسبي!$A$2:$A$1800,$A181,الريسبي!$B$2:$B$1800,K$1)</f>
        <v>0</v>
      </c>
      <c r="L181" s="117" t="n">
        <f aca="false">SUMIFS(الريسبي!$C$2:$C$1800,الريسبي!$A$2:$A$1800,$A181,الريسبي!$B$2:$B$1800,L$1)</f>
        <v>0</v>
      </c>
      <c r="M181" s="117" t="n">
        <f aca="false">SUMIFS(الريسبي!$C$2:$C$1800,الريسبي!$A$2:$A$1800,$A181,الريسبي!$B$2:$B$1800,M$1)</f>
        <v>0</v>
      </c>
      <c r="N181" s="117" t="n">
        <f aca="false">SUMIFS(الريسبي!$C$2:$C$1800,الريسبي!$A$2:$A$1800,$A181,الريسبي!$B$2:$B$1800,N$1)</f>
        <v>0</v>
      </c>
      <c r="O181" s="117" t="n">
        <f aca="false">SUMIFS(الريسبي!$C$2:$C$1800,الريسبي!$A$2:$A$1800,$A181,الريسبي!$B$2:$B$1800,O$1)</f>
        <v>1</v>
      </c>
      <c r="P181" s="117" t="n">
        <f aca="false">SUMIFS(الريسبي!$C$2:$C$1800,الريسبي!$A$2:$A$1800,$A181,الريسبي!$B$2:$B$1800,P$1)</f>
        <v>0</v>
      </c>
      <c r="Q181" s="117" t="n">
        <f aca="false">SUMIFS(الريسبي!$C$2:$C$1800,الريسبي!$A$2:$A$1800,$A181,الريسبي!$B$2:$B$1800,Q$1)</f>
        <v>0</v>
      </c>
      <c r="R181" s="117" t="n">
        <f aca="false">SUMIFS(الريسبي!$C$2:$C$1800,الريسبي!$A$2:$A$1800,$A181,الريسبي!$B$2:$B$1800,R$1)</f>
        <v>0</v>
      </c>
      <c r="S181" s="117" t="n">
        <f aca="false">SUMIFS(الريسبي!$C$2:$C$1800,الريسبي!$A$2:$A$1800,$A181,الريسبي!$B$2:$B$1800,S$1)</f>
        <v>0</v>
      </c>
      <c r="T181" s="117" t="n">
        <f aca="false">SUMIFS(الريسبي!$C$2:$C$1800,الريسبي!$A$2:$A$1800,$A181,الريسبي!$B$2:$B$1800,T$1)</f>
        <v>0</v>
      </c>
      <c r="U181" s="117" t="n">
        <f aca="false">SUMIFS(الريسبي!$C$2:$C$1800,الريسبي!$A$2:$A$1800,$A181,الريسبي!$B$2:$B$1800,U$1)</f>
        <v>0</v>
      </c>
      <c r="V181" s="117" t="n">
        <f aca="false">SUMIFS(الريسبي!$C$2:$C$1800,الريسبي!$A$2:$A$1800,$A181,الريسبي!$B$2:$B$1800,V$1)</f>
        <v>0</v>
      </c>
      <c r="W181" s="117" t="n">
        <f aca="false">SUMIFS(الريسبي!$C$2:$C$1800,الريسبي!$A$2:$A$1800,$A181,الريسبي!$B$2:$B$1800,W$1)</f>
        <v>0</v>
      </c>
      <c r="X181" s="117" t="n">
        <f aca="false">SUMIFS(الريسبي!$C$2:$C$1800,الريسبي!$A$2:$A$1800,$A181,الريسبي!$B$2:$B$1800,X$1)</f>
        <v>0</v>
      </c>
      <c r="Y181" s="117" t="n">
        <f aca="false">SUMIFS(الريسبي!$C$2:$C$1800,الريسبي!$A$2:$A$1800,$A181,الريسبي!$B$2:$B$1800,Y$1)</f>
        <v>0</v>
      </c>
      <c r="Z181" s="117" t="n">
        <f aca="false">SUMIFS(الريسبي!$C$2:$C$1800,الريسبي!$A$2:$A$1800,$A181,الريسبي!$B$2:$B$1800,Z$1)</f>
        <v>0</v>
      </c>
      <c r="AA181" s="117" t="n">
        <f aca="false">SUMIFS(الريسبي!$C$2:$C$1800,الريسبي!$A$2:$A$1800,$A181,الريسبي!$B$2:$B$1800,AA$1)</f>
        <v>0</v>
      </c>
      <c r="AB181" s="117" t="n">
        <f aca="false">SUMIFS(الريسبي!$C$2:$C$1800,الريسبي!$A$2:$A$1800,$A181,الريسبي!$B$2:$B$1800,AB$1)</f>
        <v>0</v>
      </c>
      <c r="AC181" s="117" t="n">
        <f aca="false">SUMIFS(الريسبي!$C$2:$C$1800,الريسبي!$A$2:$A$1800,$A181,الريسبي!$B$2:$B$1800,AC$1)</f>
        <v>0</v>
      </c>
      <c r="AD181" s="117" t="n">
        <f aca="false">SUMIFS(الريسبي!$C$2:$C$1800,الريسبي!$A$2:$A$1800,$A181,الريسبي!$B$2:$B$1800,AD$1)</f>
        <v>0</v>
      </c>
      <c r="AE181" s="117" t="n">
        <f aca="false">SUMIFS(الريسبي!$C$2:$C$1800,الريسبي!$A$2:$A$1800,$A181,الريسبي!$B$2:$B$1800,AE$1)</f>
        <v>0</v>
      </c>
      <c r="AF181" s="117" t="n">
        <f aca="false">SUMIFS(الريسبي!$C$2:$C$1800,الريسبي!$A$2:$A$1800,$A181,الريسبي!$B$2:$B$1800,AF$1)</f>
        <v>0</v>
      </c>
      <c r="AG181" s="117" t="n">
        <f aca="false">SUMIFS(الريسبي!$C$2:$C$1800,الريسبي!$A$2:$A$1800,$A181,الريسبي!$B$2:$B$1800,AG$1)</f>
        <v>0</v>
      </c>
      <c r="AH181" s="117" t="n">
        <f aca="false">SUMIFS(الريسبي!$C$2:$C$1800,الريسبي!$A$2:$A$1800,$A181,الريسبي!$B$2:$B$1800,AH$1)</f>
        <v>0</v>
      </c>
      <c r="AI181" s="117" t="n">
        <f aca="false">SUMIFS(الريسبي!$C$2:$C$1800,الريسبي!$A$2:$A$1800,$A181,الريسبي!$B$2:$B$1800,AI$1)</f>
        <v>0</v>
      </c>
      <c r="AJ181" s="117" t="n">
        <f aca="false">SUMIFS(الريسبي!$C$2:$C$1800,الريسبي!$A$2:$A$1800,$A181,الريسبي!$B$2:$B$1800,AJ$1)</f>
        <v>0</v>
      </c>
      <c r="AK181" s="117" t="n">
        <f aca="false">SUMIFS(الريسبي!$C$2:$C$1800,الريسبي!$A$2:$A$1800,$A181,الريسبي!$B$2:$B$1800,AK$1)</f>
        <v>0</v>
      </c>
      <c r="AL181" s="117" t="n">
        <f aca="false">SUMIFS(الريسبي!$C$2:$C$1800,الريسبي!$A$2:$A$1800,$A181,الريسبي!$B$2:$B$1800,AL$1)</f>
        <v>0</v>
      </c>
      <c r="AM181" s="117" t="n">
        <f aca="false">SUMIFS(الريسبي!$C$2:$C$1800,الريسبي!$A$2:$A$1800,$A181,الريسبي!$B$2:$B$1800,AM$1)+0.08333333333*SUMIFS(الريسبي!$C$2:$C$1800,الريسبي!$A$2:$A$1800,$A181,الريسبي!$B$2:$B$1800,"عجين كريب (مصنع بالمطعم)")+0.08333333333*SUMIFS(الريسبي!$C$2:$C$1800,الريسبي!$A$2:$A$1800,$A181,الريسبي!$B$2:$B$1800,"عجين كريب صيامي (بدون لبن)")</f>
        <v>0</v>
      </c>
      <c r="AN181" s="117" t="n">
        <f aca="false">SUMIFS(الريسبي!$C$2:$C$1800,الريسبي!$A$2:$A$1800,$A181,الريسبي!$B$2:$B$1800,AN$1)+0.004166666667*SUMIFS(الريسبي!$C$2:$C$1800,الريسبي!$A$2:$A$1800,$A181,الريسبي!$B$2:$B$1800,"عجين كريب (مصنع بالمطعم)")+0.004166666667*SUMIFS(الريسبي!$C$2:$C$1800,الريسبي!$A$2:$A$1800,$A181,الريسبي!$B$2:$B$1800,"عجين كريب صيامي (بدون لبن)")</f>
        <v>0</v>
      </c>
      <c r="AO181" s="117" t="n">
        <f aca="false">SUMIFS(الريسبي!$C$2:$C$1800,الريسبي!$A$2:$A$1800,$A181,الريسبي!$B$2:$B$1800,AO$1)</f>
        <v>0</v>
      </c>
      <c r="AP181" s="117" t="n">
        <f aca="false">SUMIFS(الريسبي!$C$2:$C$1800,الريسبي!$A$2:$A$1800,$A181,الريسبي!$B$2:$B$1800,AP$1)</f>
        <v>0</v>
      </c>
      <c r="AQ181" s="117" t="n">
        <f aca="false">SUMIFS(الريسبي!$C$2:$C$1800,الريسبي!$A$2:$A$1800,$A181,الريسبي!$B$2:$B$1800,AQ$1)+0.004166666667*SUMIFS(الريسبي!$C$2:$C$1800,الريسبي!$A$2:$A$1800,$A181,الريسبي!$B$2:$B$1800,"عجين كريب (مصنع بالمطعم)")+0.004166666667*SUMIFS(الريسبي!$C$2:$C$1800,الريسبي!$A$2:$A$1800,$A181,الريسبي!$B$2:$B$1800,"عجين كريب صيامي (بدون لبن)")</f>
        <v>0</v>
      </c>
      <c r="AR181" s="117" t="n">
        <f aca="false">SUMIFS(الريسبي!$C$2:$C$1800,الريسبي!$A$2:$A$1800,$A181,الريسبي!$B$2:$B$1800,AR$1)</f>
        <v>0</v>
      </c>
      <c r="AS181" s="117" t="n">
        <f aca="false">SUMIFS(الريسبي!$C$2:$C$1800,الريسبي!$A$2:$A$1800,$A181,الريسبي!$B$2:$B$1800,AS$1)</f>
        <v>0</v>
      </c>
      <c r="AT181" s="117" t="n">
        <f aca="false">SUMIFS(الريسبي!$C$2:$C$1800,الريسبي!$A$2:$A$1800,$A181,الريسبي!$B$2:$B$1800,AT$1)</f>
        <v>0</v>
      </c>
      <c r="AU181" s="117" t="n">
        <f aca="false">SUMIFS(الريسبي!$C$2:$C$1800,الريسبي!$A$2:$A$1800,$A181,الريسبي!$B$2:$B$1800,AU$1)</f>
        <v>0</v>
      </c>
      <c r="AV181" s="117" t="n">
        <f aca="false">SUMIFS(الريسبي!$C$2:$C$1800,الريسبي!$A$2:$A$1800,$A181,الريسبي!$B$2:$B$1800,AV$1)</f>
        <v>0</v>
      </c>
      <c r="AW181" s="117" t="n">
        <f aca="false">SUMIFS(الريسبي!$C$2:$C$1800,الريسبي!$A$2:$A$1800,$A181,الريسبي!$B$2:$B$1800,AW$1)</f>
        <v>0</v>
      </c>
      <c r="AX181" s="117" t="n">
        <f aca="false">SUMIFS(الريسبي!$C$2:$C$1800,الريسبي!$A$2:$A$1800,$A181,الريسبي!$B$2:$B$1800,AX$1)</f>
        <v>0</v>
      </c>
      <c r="AY181" s="117" t="n">
        <f aca="false">SUMIFS(الريسبي!$C$2:$C$1800,الريسبي!$A$2:$A$1800,$A181,الريسبي!$B$2:$B$1800,AY$1)</f>
        <v>0</v>
      </c>
      <c r="AZ181" s="117" t="n">
        <f aca="false">SUMIFS(الريسبي!$C$2:$C$1800,الريسبي!$A$2:$A$1800,$A181,الريسبي!$B$2:$B$1800,AZ$1)</f>
        <v>0</v>
      </c>
      <c r="BA181" s="117" t="n">
        <f aca="false">SUMIFS(الريسبي!$C$2:$C$1800,الريسبي!$A$2:$A$1800,$A181,الريسبي!$B$2:$B$1800,BA$1)</f>
        <v>0</v>
      </c>
      <c r="BB181" s="117" t="n">
        <f aca="false">SUMIFS(الريسبي!$C$2:$C$1800,الريسبي!$A$2:$A$1800,$A181,الريسبي!$B$2:$B$1800,BB$1)</f>
        <v>0</v>
      </c>
      <c r="BC181" s="117" t="n">
        <f aca="false">SUMIFS(الريسبي!$C$2:$C$1800,الريسبي!$A$2:$A$1800,$A181,الريسبي!$B$2:$B$1800,BC$1)</f>
        <v>0</v>
      </c>
      <c r="BD181" s="117" t="n">
        <f aca="false">SUMIFS(الريسبي!$C$2:$C$1800,الريسبي!$A$2:$A$1800,$A181,الريسبي!$B$2:$B$1800,BD$1)</f>
        <v>0</v>
      </c>
      <c r="BE181" s="117" t="n">
        <f aca="false">SUMIFS(الريسبي!$C$2:$C$1800,الريسبي!$A$2:$A$1800,$A181,الريسبي!$B$2:$B$1800,BE$1)</f>
        <v>0</v>
      </c>
      <c r="BF181" s="117" t="n">
        <f aca="false">SUMIFS(الريسبي!$C$2:$C$1800,الريسبي!$A$2:$A$1800,$A181,الريسبي!$B$2:$B$1800,BF$1)</f>
        <v>0</v>
      </c>
      <c r="BG181" s="117" t="n">
        <f aca="false">SUMIFS(الريسبي!$C$2:$C$1800,الريسبي!$A$2:$A$1800,$A181,الريسبي!$B$2:$B$1800,BG$1)</f>
        <v>0</v>
      </c>
      <c r="BH181" s="117" t="n">
        <f aca="false">SUMIFS(الريسبي!$C$2:$C$1800,الريسبي!$A$2:$A$1800,$A181,الريسبي!$B$2:$B$1800,BH$1)</f>
        <v>0</v>
      </c>
      <c r="BI181" s="117" t="n">
        <f aca="false">SUMIFS(الريسبي!$C$2:$C$1800,الريسبي!$A$2:$A$1800,$A181,الريسبي!$B$2:$B$1800,BI$1)</f>
        <v>0</v>
      </c>
      <c r="BJ181" s="117" t="n">
        <f aca="false">SUMIFS(الريسبي!$C$2:$C$1800,الريسبي!$A$2:$A$1800,$A181,الريسبي!$B$2:$B$1800,BJ$1)</f>
        <v>0</v>
      </c>
      <c r="BK181" s="117" t="n">
        <f aca="false">SUMIFS(الريسبي!$C$2:$C$1800,الريسبي!$A$2:$A$1800,$A181,الريسبي!$B$2:$B$1800,BK$1)</f>
        <v>0</v>
      </c>
      <c r="BL181" s="117" t="n">
        <f aca="false">SUMIFS(الريسبي!$C$2:$C$1800,الريسبي!$A$2:$A$1800,$A181,الريسبي!$B$2:$B$1800,BL$1)</f>
        <v>0</v>
      </c>
      <c r="BM181" s="117" t="n">
        <f aca="false">SUMIFS(الريسبي!$C$2:$C$1800,الريسبي!$A$2:$A$1800,$A181,الريسبي!$B$2:$B$1800,BM$1)</f>
        <v>0</v>
      </c>
      <c r="BN181" s="117" t="n">
        <f aca="false">SUMIFS(الريسبي!$C$2:$C$1800,الريسبي!$A$2:$A$1800,$A181,الريسبي!$B$2:$B$1800,BN$1)</f>
        <v>0</v>
      </c>
      <c r="BO181" s="117" t="n">
        <f aca="false">SUMIFS(الريسبي!$C$2:$C$1800,الريسبي!$A$2:$A$1800,$A181,الريسبي!$B$2:$B$1800,BO$1)</f>
        <v>0</v>
      </c>
      <c r="BP181" s="117" t="n">
        <f aca="false">SUMIFS(الريسبي!$C$2:$C$1800,الريسبي!$A$2:$A$1800,$A181,الريسبي!$B$2:$B$1800,BP$1)</f>
        <v>0</v>
      </c>
      <c r="BQ181" s="117" t="n">
        <f aca="false">SUMIFS(الريسبي!$C$2:$C$1800,الريسبي!$A$2:$A$1800,$A181,الريسبي!$B$2:$B$1800,BQ$1)+0.17*SUMIFS(الريسبي!$C$2:$C$1800,الريسبي!$A$2:$A$1800,$A181,الريسبي!$B$2:$B$1800,"كاسترد مصنع (خليط بودر + لبن)")+0.17*SUMIFS(الريسبي!$C$2:$C$1800,الريسبي!$A$2:$A$1800,$A181,الريسبي!$B$2:$B$1800,"كاسترد مصنع صيامي (بدون لبن)")</f>
        <v>0</v>
      </c>
      <c r="BR181" s="117" t="n">
        <f aca="false">SUMIFS(الريسبي!$C$2:$C$1800,الريسبي!$A$2:$A$1800,$A181,الريسبي!$B$2:$B$1800,BR$1)</f>
        <v>0</v>
      </c>
      <c r="BS181" s="117" t="n">
        <f aca="false">SUMIFS(الريسبي!$C$2:$C$1800,الريسبي!$A$2:$A$1800,$A181,الريسبي!$B$2:$B$1800,BS$1)</f>
        <v>0</v>
      </c>
      <c r="BT181" s="117" t="n">
        <f aca="false">SUMIFS(الريسبي!$C$2:$C$1800,الريسبي!$A$2:$A$1800,$A181,الريسبي!$B$2:$B$1800,BT$1)</f>
        <v>0</v>
      </c>
      <c r="BU181" s="117" t="n">
        <f aca="false">SUMIFS(الريسبي!$C$2:$C$1800,الريسبي!$A$2:$A$1800,$A181,الريسبي!$B$2:$B$1800,BU$1)+0.4*SUMIFS(الريسبي!$C$2:$C$1800,الريسبي!$A$2:$A$1800,$A181,الريسبي!$B$2:$B$1800,"كاسترد مصنع (خليط بودر + لبن)")+0.03333333333*SUMIFS(الريسبي!$C$2:$C$1800,الريسبي!$A$2:$A$1800,$A181,الريسبي!$B$2:$B$1800,"عجين كريب (مصنع بالمطعم)")</f>
        <v>0</v>
      </c>
      <c r="BV181" s="117" t="n">
        <f aca="false">SUMIFS(الريسبي!$C$2:$C$1800,الريسبي!$A$2:$A$1800,$A181,الريسبي!$B$2:$B$1800,BV$1)</f>
        <v>0</v>
      </c>
      <c r="BW181" s="117" t="n">
        <f aca="false">SUMIFS(الريسبي!$C$2:$C$1800,الريسبي!$A$2:$A$1800,$A181,الريسبي!$B$2:$B$1800,BW$1)</f>
        <v>0</v>
      </c>
      <c r="BX181" s="117" t="n">
        <f aca="false">SUMIFS(الريسبي!$C$2:$C$1800,الريسبي!$A$2:$A$1800,$A181,الريسبي!$B$2:$B$1800,BX$1)</f>
        <v>0</v>
      </c>
      <c r="BY181" s="117" t="n">
        <f aca="false">SUMIFS(الريسبي!$C$2:$C$1800,الريسبي!$A$2:$A$1800,$A181,الريسبي!$B$2:$B$1800,BY$1)</f>
        <v>0</v>
      </c>
      <c r="BZ181" s="117" t="n">
        <f aca="false">SUMIFS(الريسبي!$C$2:$C$1800,الريسبي!$A$2:$A$1800,$A181,الريسبي!$B$2:$B$1800,BZ$1)</f>
        <v>0</v>
      </c>
      <c r="CA181" s="117" t="n">
        <f aca="false">SUMIFS(الريسبي!$C$2:$C$1800,الريسبي!$A$2:$A$1800,$A181,الريسبي!$B$2:$B$1800,CA$1)</f>
        <v>0</v>
      </c>
      <c r="CB181" s="117" t="n">
        <f aca="false">SUMIFS(الريسبي!$C$2:$C$1800,الريسبي!$A$2:$A$1800,$A181,الريسبي!$B$2:$B$1800,CB$1)</f>
        <v>0</v>
      </c>
      <c r="CC181" s="117" t="n">
        <f aca="false">SUMIFS(الريسبي!$C$2:$C$1800,الريسبي!$A$2:$A$1800,$A181,الريسبي!$B$2:$B$1800,CC$1)</f>
        <v>0</v>
      </c>
      <c r="CD181" s="117" t="n">
        <f aca="false">SUMIFS(الريسبي!$C$2:$C$1800,الريسبي!$A$2:$A$1800,$A181,الريسبي!$B$2:$B$1800,CD$1)</f>
        <v>0</v>
      </c>
      <c r="CE181" s="117" t="n">
        <f aca="false">SUMIFS(الريسبي!$C$2:$C$1800,الريسبي!$A$2:$A$1800,$A181,الريسبي!$B$2:$B$1800,CE$1)</f>
        <v>0</v>
      </c>
      <c r="CF181" s="117" t="n">
        <f aca="false">SUMIFS(الريسبي!$C$2:$C$1800,الريسبي!$A$2:$A$1800,$A181,الريسبي!$B$2:$B$1800,CF$1)</f>
        <v>0</v>
      </c>
      <c r="CG181" s="117" t="n">
        <f aca="false">SUMIFS(الريسبي!$C$2:$C$1800,الريسبي!$A$2:$A$1800,$A181,الريسبي!$B$2:$B$1800,CG$1)</f>
        <v>0</v>
      </c>
      <c r="CH181" s="117" t="n">
        <f aca="false">SUMIFS(الريسبي!$C$2:$C$1800,الريسبي!$A$2:$A$1800,$A181,الريسبي!$B$2:$B$1800,CH$1)</f>
        <v>0</v>
      </c>
      <c r="CI181" s="117" t="n">
        <f aca="false">SUMIFS(الريسبي!$C$2:$C$1800,الريسبي!$A$2:$A$1800,$A181,الريسبي!$B$2:$B$1800,CI$1)</f>
        <v>0</v>
      </c>
      <c r="CJ181" s="117" t="n">
        <f aca="false">SUMIFS(الريسبي!$C$2:$C$1800,الريسبي!$A$2:$A$1800,$A181,الريسبي!$B$2:$B$1800,CJ$1)</f>
        <v>0</v>
      </c>
      <c r="CK181" s="117" t="n">
        <f aca="false">SUMIFS(الريسبي!$C$2:$C$1800,الريسبي!$A$2:$A$1800,$A181,الريسبي!$B$2:$B$1800,CK$1)</f>
        <v>0</v>
      </c>
      <c r="CL181" s="117" t="n">
        <f aca="false">SUMIFS(الريسبي!$C$2:$C$1800,الريسبي!$A$2:$A$1800,$A181,الريسبي!$B$2:$B$1800,CL$1)</f>
        <v>0</v>
      </c>
    </row>
    <row r="182" customFormat="false" ht="15" hidden="false" customHeight="false" outlineLevel="0" collapsed="false">
      <c r="A182" s="116" t="str">
        <f aca="false">المنيو!B182</f>
        <v>اضافة سلامي (فطير وسط)</v>
      </c>
      <c r="B182" s="117" t="n">
        <f aca="false">SUMIFS(الريسبي!$C$2:$C$1800,الريسبي!$A$2:$A$1800,$A182,الريسبي!$B$2:$B$1800,B$1)</f>
        <v>0</v>
      </c>
      <c r="C182" s="117" t="n">
        <f aca="false">SUMIFS(الريسبي!$C$2:$C$1800,الريسبي!$A$2:$A$1800,$A182,الريسبي!$B$2:$B$1800,C$1)</f>
        <v>0</v>
      </c>
      <c r="D182" s="117" t="n">
        <f aca="false">SUMIFS(الريسبي!$C$2:$C$1800,الريسبي!$A$2:$A$1800,$A182,الريسبي!$B$2:$B$1800,D$1)</f>
        <v>0</v>
      </c>
      <c r="E182" s="117" t="n">
        <f aca="false">SUMIFS(الريسبي!$C$2:$C$1800,الريسبي!$A$2:$A$1800,$A182,الريسبي!$B$2:$B$1800,E$1)</f>
        <v>0</v>
      </c>
      <c r="F182" s="117" t="n">
        <f aca="false">SUMIFS(الريسبي!$C$2:$C$1800,الريسبي!$A$2:$A$1800,$A182,الريسبي!$B$2:$B$1800,F$1)</f>
        <v>0</v>
      </c>
      <c r="G182" s="117" t="n">
        <f aca="false">SUMIFS(الريسبي!$C$2:$C$1800,الريسبي!$A$2:$A$1800,$A182,الريسبي!$B$2:$B$1800,G$1)</f>
        <v>0</v>
      </c>
      <c r="H182" s="117" t="n">
        <f aca="false">SUMIFS(الريسبي!$C$2:$C$1800,الريسبي!$A$2:$A$1800,$A182,الريسبي!$B$2:$B$1800,H$1)</f>
        <v>0</v>
      </c>
      <c r="I182" s="117" t="n">
        <f aca="false">SUMIFS(الريسبي!$C$2:$C$1800,الريسبي!$A$2:$A$1800,$A182,الريسبي!$B$2:$B$1800,I$1)</f>
        <v>0</v>
      </c>
      <c r="J182" s="117" t="n">
        <f aca="false">SUMIFS(الريسبي!$C$2:$C$1800,الريسبي!$A$2:$A$1800,$A182,الريسبي!$B$2:$B$1800,J$1)</f>
        <v>0</v>
      </c>
      <c r="K182" s="117" t="n">
        <f aca="false">SUMIFS(الريسبي!$C$2:$C$1800,الريسبي!$A$2:$A$1800,$A182,الريسبي!$B$2:$B$1800,K$1)</f>
        <v>0</v>
      </c>
      <c r="L182" s="117" t="n">
        <f aca="false">SUMIFS(الريسبي!$C$2:$C$1800,الريسبي!$A$2:$A$1800,$A182,الريسبي!$B$2:$B$1800,L$1)</f>
        <v>0</v>
      </c>
      <c r="M182" s="117" t="n">
        <f aca="false">SUMIFS(الريسبي!$C$2:$C$1800,الريسبي!$A$2:$A$1800,$A182,الريسبي!$B$2:$B$1800,M$1)</f>
        <v>0</v>
      </c>
      <c r="N182" s="117" t="n">
        <f aca="false">SUMIFS(الريسبي!$C$2:$C$1800,الريسبي!$A$2:$A$1800,$A182,الريسبي!$B$2:$B$1800,N$1)</f>
        <v>1</v>
      </c>
      <c r="O182" s="117" t="n">
        <f aca="false">SUMIFS(الريسبي!$C$2:$C$1800,الريسبي!$A$2:$A$1800,$A182,الريسبي!$B$2:$B$1800,O$1)</f>
        <v>0</v>
      </c>
      <c r="P182" s="117" t="n">
        <f aca="false">SUMIFS(الريسبي!$C$2:$C$1800,الريسبي!$A$2:$A$1800,$A182,الريسبي!$B$2:$B$1800,P$1)</f>
        <v>0</v>
      </c>
      <c r="Q182" s="117" t="n">
        <f aca="false">SUMIFS(الريسبي!$C$2:$C$1800,الريسبي!$A$2:$A$1800,$A182,الريسبي!$B$2:$B$1800,Q$1)</f>
        <v>0</v>
      </c>
      <c r="R182" s="117" t="n">
        <f aca="false">SUMIFS(الريسبي!$C$2:$C$1800,الريسبي!$A$2:$A$1800,$A182,الريسبي!$B$2:$B$1800,R$1)</f>
        <v>0</v>
      </c>
      <c r="S182" s="117" t="n">
        <f aca="false">SUMIFS(الريسبي!$C$2:$C$1800,الريسبي!$A$2:$A$1800,$A182,الريسبي!$B$2:$B$1800,S$1)</f>
        <v>0</v>
      </c>
      <c r="T182" s="117" t="n">
        <f aca="false">SUMIFS(الريسبي!$C$2:$C$1800,الريسبي!$A$2:$A$1800,$A182,الريسبي!$B$2:$B$1800,T$1)</f>
        <v>0</v>
      </c>
      <c r="U182" s="117" t="n">
        <f aca="false">SUMIFS(الريسبي!$C$2:$C$1800,الريسبي!$A$2:$A$1800,$A182,الريسبي!$B$2:$B$1800,U$1)</f>
        <v>0</v>
      </c>
      <c r="V182" s="117" t="n">
        <f aca="false">SUMIFS(الريسبي!$C$2:$C$1800,الريسبي!$A$2:$A$1800,$A182,الريسبي!$B$2:$B$1800,V$1)</f>
        <v>0</v>
      </c>
      <c r="W182" s="117" t="n">
        <f aca="false">SUMIFS(الريسبي!$C$2:$C$1800,الريسبي!$A$2:$A$1800,$A182,الريسبي!$B$2:$B$1800,W$1)</f>
        <v>0</v>
      </c>
      <c r="X182" s="117" t="n">
        <f aca="false">SUMIFS(الريسبي!$C$2:$C$1800,الريسبي!$A$2:$A$1800,$A182,الريسبي!$B$2:$B$1800,X$1)</f>
        <v>0</v>
      </c>
      <c r="Y182" s="117" t="n">
        <f aca="false">SUMIFS(الريسبي!$C$2:$C$1800,الريسبي!$A$2:$A$1800,$A182,الريسبي!$B$2:$B$1800,Y$1)</f>
        <v>0</v>
      </c>
      <c r="Z182" s="117" t="n">
        <f aca="false">SUMIFS(الريسبي!$C$2:$C$1800,الريسبي!$A$2:$A$1800,$A182,الريسبي!$B$2:$B$1800,Z$1)</f>
        <v>0</v>
      </c>
      <c r="AA182" s="117" t="n">
        <f aca="false">SUMIFS(الريسبي!$C$2:$C$1800,الريسبي!$A$2:$A$1800,$A182,الريسبي!$B$2:$B$1800,AA$1)</f>
        <v>0</v>
      </c>
      <c r="AB182" s="117" t="n">
        <f aca="false">SUMIFS(الريسبي!$C$2:$C$1800,الريسبي!$A$2:$A$1800,$A182,الريسبي!$B$2:$B$1800,AB$1)</f>
        <v>0</v>
      </c>
      <c r="AC182" s="117" t="n">
        <f aca="false">SUMIFS(الريسبي!$C$2:$C$1800,الريسبي!$A$2:$A$1800,$A182,الريسبي!$B$2:$B$1800,AC$1)</f>
        <v>0</v>
      </c>
      <c r="AD182" s="117" t="n">
        <f aca="false">SUMIFS(الريسبي!$C$2:$C$1800,الريسبي!$A$2:$A$1800,$A182,الريسبي!$B$2:$B$1800,AD$1)</f>
        <v>0</v>
      </c>
      <c r="AE182" s="117" t="n">
        <f aca="false">SUMIFS(الريسبي!$C$2:$C$1800,الريسبي!$A$2:$A$1800,$A182,الريسبي!$B$2:$B$1800,AE$1)</f>
        <v>0</v>
      </c>
      <c r="AF182" s="117" t="n">
        <f aca="false">SUMIFS(الريسبي!$C$2:$C$1800,الريسبي!$A$2:$A$1800,$A182,الريسبي!$B$2:$B$1800,AF$1)</f>
        <v>0</v>
      </c>
      <c r="AG182" s="117" t="n">
        <f aca="false">SUMIFS(الريسبي!$C$2:$C$1800,الريسبي!$A$2:$A$1800,$A182,الريسبي!$B$2:$B$1800,AG$1)</f>
        <v>0</v>
      </c>
      <c r="AH182" s="117" t="n">
        <f aca="false">SUMIFS(الريسبي!$C$2:$C$1800,الريسبي!$A$2:$A$1800,$A182,الريسبي!$B$2:$B$1800,AH$1)</f>
        <v>0</v>
      </c>
      <c r="AI182" s="117" t="n">
        <f aca="false">SUMIFS(الريسبي!$C$2:$C$1800,الريسبي!$A$2:$A$1800,$A182,الريسبي!$B$2:$B$1800,AI$1)</f>
        <v>0</v>
      </c>
      <c r="AJ182" s="117" t="n">
        <f aca="false">SUMIFS(الريسبي!$C$2:$C$1800,الريسبي!$A$2:$A$1800,$A182,الريسبي!$B$2:$B$1800,AJ$1)</f>
        <v>0</v>
      </c>
      <c r="AK182" s="117" t="n">
        <f aca="false">SUMIFS(الريسبي!$C$2:$C$1800,الريسبي!$A$2:$A$1800,$A182,الريسبي!$B$2:$B$1800,AK$1)</f>
        <v>0</v>
      </c>
      <c r="AL182" s="117" t="n">
        <f aca="false">SUMIFS(الريسبي!$C$2:$C$1800,الريسبي!$A$2:$A$1800,$A182,الريسبي!$B$2:$B$1800,AL$1)</f>
        <v>0</v>
      </c>
      <c r="AM182" s="117" t="n">
        <f aca="false">SUMIFS(الريسبي!$C$2:$C$1800,الريسبي!$A$2:$A$1800,$A182,الريسبي!$B$2:$B$1800,AM$1)+0.08333333333*SUMIFS(الريسبي!$C$2:$C$1800,الريسبي!$A$2:$A$1800,$A182,الريسبي!$B$2:$B$1800,"عجين كريب (مصنع بالمطعم)")+0.08333333333*SUMIFS(الريسبي!$C$2:$C$1800,الريسبي!$A$2:$A$1800,$A182,الريسبي!$B$2:$B$1800,"عجين كريب صيامي (بدون لبن)")</f>
        <v>0</v>
      </c>
      <c r="AN182" s="117" t="n">
        <f aca="false">SUMIFS(الريسبي!$C$2:$C$1800,الريسبي!$A$2:$A$1800,$A182,الريسبي!$B$2:$B$1800,AN$1)+0.004166666667*SUMIFS(الريسبي!$C$2:$C$1800,الريسبي!$A$2:$A$1800,$A182,الريسبي!$B$2:$B$1800,"عجين كريب (مصنع بالمطعم)")+0.004166666667*SUMIFS(الريسبي!$C$2:$C$1800,الريسبي!$A$2:$A$1800,$A182,الريسبي!$B$2:$B$1800,"عجين كريب صيامي (بدون لبن)")</f>
        <v>0</v>
      </c>
      <c r="AO182" s="117" t="n">
        <f aca="false">SUMIFS(الريسبي!$C$2:$C$1800,الريسبي!$A$2:$A$1800,$A182,الريسبي!$B$2:$B$1800,AO$1)</f>
        <v>0</v>
      </c>
      <c r="AP182" s="117" t="n">
        <f aca="false">SUMIFS(الريسبي!$C$2:$C$1800,الريسبي!$A$2:$A$1800,$A182,الريسبي!$B$2:$B$1800,AP$1)</f>
        <v>0</v>
      </c>
      <c r="AQ182" s="117" t="n">
        <f aca="false">SUMIFS(الريسبي!$C$2:$C$1800,الريسبي!$A$2:$A$1800,$A182,الريسبي!$B$2:$B$1800,AQ$1)+0.004166666667*SUMIFS(الريسبي!$C$2:$C$1800,الريسبي!$A$2:$A$1800,$A182,الريسبي!$B$2:$B$1800,"عجين كريب (مصنع بالمطعم)")+0.004166666667*SUMIFS(الريسبي!$C$2:$C$1800,الريسبي!$A$2:$A$1800,$A182,الريسبي!$B$2:$B$1800,"عجين كريب صيامي (بدون لبن)")</f>
        <v>0</v>
      </c>
      <c r="AR182" s="117" t="n">
        <f aca="false">SUMIFS(الريسبي!$C$2:$C$1800,الريسبي!$A$2:$A$1800,$A182,الريسبي!$B$2:$B$1800,AR$1)</f>
        <v>0</v>
      </c>
      <c r="AS182" s="117" t="n">
        <f aca="false">SUMIFS(الريسبي!$C$2:$C$1800,الريسبي!$A$2:$A$1800,$A182,الريسبي!$B$2:$B$1800,AS$1)</f>
        <v>0</v>
      </c>
      <c r="AT182" s="117" t="n">
        <f aca="false">SUMIFS(الريسبي!$C$2:$C$1800,الريسبي!$A$2:$A$1800,$A182,الريسبي!$B$2:$B$1800,AT$1)</f>
        <v>0</v>
      </c>
      <c r="AU182" s="117" t="n">
        <f aca="false">SUMIFS(الريسبي!$C$2:$C$1800,الريسبي!$A$2:$A$1800,$A182,الريسبي!$B$2:$B$1800,AU$1)</f>
        <v>0</v>
      </c>
      <c r="AV182" s="117" t="n">
        <f aca="false">SUMIFS(الريسبي!$C$2:$C$1800,الريسبي!$A$2:$A$1800,$A182,الريسبي!$B$2:$B$1800,AV$1)</f>
        <v>0</v>
      </c>
      <c r="AW182" s="117" t="n">
        <f aca="false">SUMIFS(الريسبي!$C$2:$C$1800,الريسبي!$A$2:$A$1800,$A182,الريسبي!$B$2:$B$1800,AW$1)</f>
        <v>0</v>
      </c>
      <c r="AX182" s="117" t="n">
        <f aca="false">SUMIFS(الريسبي!$C$2:$C$1800,الريسبي!$A$2:$A$1800,$A182,الريسبي!$B$2:$B$1800,AX$1)</f>
        <v>0</v>
      </c>
      <c r="AY182" s="117" t="n">
        <f aca="false">SUMIFS(الريسبي!$C$2:$C$1800,الريسبي!$A$2:$A$1800,$A182,الريسبي!$B$2:$B$1800,AY$1)</f>
        <v>0</v>
      </c>
      <c r="AZ182" s="117" t="n">
        <f aca="false">SUMIFS(الريسبي!$C$2:$C$1800,الريسبي!$A$2:$A$1800,$A182,الريسبي!$B$2:$B$1800,AZ$1)</f>
        <v>0</v>
      </c>
      <c r="BA182" s="117" t="n">
        <f aca="false">SUMIFS(الريسبي!$C$2:$C$1800,الريسبي!$A$2:$A$1800,$A182,الريسبي!$B$2:$B$1800,BA$1)</f>
        <v>0</v>
      </c>
      <c r="BB182" s="117" t="n">
        <f aca="false">SUMIFS(الريسبي!$C$2:$C$1800,الريسبي!$A$2:$A$1800,$A182,الريسبي!$B$2:$B$1800,BB$1)</f>
        <v>0</v>
      </c>
      <c r="BC182" s="117" t="n">
        <f aca="false">SUMIFS(الريسبي!$C$2:$C$1800,الريسبي!$A$2:$A$1800,$A182,الريسبي!$B$2:$B$1800,BC$1)</f>
        <v>0</v>
      </c>
      <c r="BD182" s="117" t="n">
        <f aca="false">SUMIFS(الريسبي!$C$2:$C$1800,الريسبي!$A$2:$A$1800,$A182,الريسبي!$B$2:$B$1800,BD$1)</f>
        <v>0</v>
      </c>
      <c r="BE182" s="117" t="n">
        <f aca="false">SUMIFS(الريسبي!$C$2:$C$1800,الريسبي!$A$2:$A$1800,$A182,الريسبي!$B$2:$B$1800,BE$1)</f>
        <v>0</v>
      </c>
      <c r="BF182" s="117" t="n">
        <f aca="false">SUMIFS(الريسبي!$C$2:$C$1800,الريسبي!$A$2:$A$1800,$A182,الريسبي!$B$2:$B$1800,BF$1)</f>
        <v>0</v>
      </c>
      <c r="BG182" s="117" t="n">
        <f aca="false">SUMIFS(الريسبي!$C$2:$C$1800,الريسبي!$A$2:$A$1800,$A182,الريسبي!$B$2:$B$1800,BG$1)</f>
        <v>0</v>
      </c>
      <c r="BH182" s="117" t="n">
        <f aca="false">SUMIFS(الريسبي!$C$2:$C$1800,الريسبي!$A$2:$A$1800,$A182,الريسبي!$B$2:$B$1800,BH$1)</f>
        <v>0</v>
      </c>
      <c r="BI182" s="117" t="n">
        <f aca="false">SUMIFS(الريسبي!$C$2:$C$1800,الريسبي!$A$2:$A$1800,$A182,الريسبي!$B$2:$B$1800,BI$1)</f>
        <v>0</v>
      </c>
      <c r="BJ182" s="117" t="n">
        <f aca="false">SUMIFS(الريسبي!$C$2:$C$1800,الريسبي!$A$2:$A$1800,$A182,الريسبي!$B$2:$B$1800,BJ$1)</f>
        <v>0</v>
      </c>
      <c r="BK182" s="117" t="n">
        <f aca="false">SUMIFS(الريسبي!$C$2:$C$1800,الريسبي!$A$2:$A$1800,$A182,الريسبي!$B$2:$B$1800,BK$1)</f>
        <v>0</v>
      </c>
      <c r="BL182" s="117" t="n">
        <f aca="false">SUMIFS(الريسبي!$C$2:$C$1800,الريسبي!$A$2:$A$1800,$A182,الريسبي!$B$2:$B$1800,BL$1)</f>
        <v>0</v>
      </c>
      <c r="BM182" s="117" t="n">
        <f aca="false">SUMIFS(الريسبي!$C$2:$C$1800,الريسبي!$A$2:$A$1800,$A182,الريسبي!$B$2:$B$1800,BM$1)</f>
        <v>0</v>
      </c>
      <c r="BN182" s="117" t="n">
        <f aca="false">SUMIFS(الريسبي!$C$2:$C$1800,الريسبي!$A$2:$A$1800,$A182,الريسبي!$B$2:$B$1800,BN$1)</f>
        <v>0</v>
      </c>
      <c r="BO182" s="117" t="n">
        <f aca="false">SUMIFS(الريسبي!$C$2:$C$1800,الريسبي!$A$2:$A$1800,$A182,الريسبي!$B$2:$B$1800,BO$1)</f>
        <v>0</v>
      </c>
      <c r="BP182" s="117" t="n">
        <f aca="false">SUMIFS(الريسبي!$C$2:$C$1800,الريسبي!$A$2:$A$1800,$A182,الريسبي!$B$2:$B$1800,BP$1)</f>
        <v>0</v>
      </c>
      <c r="BQ182" s="117" t="n">
        <f aca="false">SUMIFS(الريسبي!$C$2:$C$1800,الريسبي!$A$2:$A$1800,$A182,الريسبي!$B$2:$B$1800,BQ$1)+0.17*SUMIFS(الريسبي!$C$2:$C$1800,الريسبي!$A$2:$A$1800,$A182,الريسبي!$B$2:$B$1800,"كاسترد مصنع (خليط بودر + لبن)")+0.17*SUMIFS(الريسبي!$C$2:$C$1800,الريسبي!$A$2:$A$1800,$A182,الريسبي!$B$2:$B$1800,"كاسترد مصنع صيامي (بدون لبن)")</f>
        <v>0</v>
      </c>
      <c r="BR182" s="117" t="n">
        <f aca="false">SUMIFS(الريسبي!$C$2:$C$1800,الريسبي!$A$2:$A$1800,$A182,الريسبي!$B$2:$B$1800,BR$1)</f>
        <v>0</v>
      </c>
      <c r="BS182" s="117" t="n">
        <f aca="false">SUMIFS(الريسبي!$C$2:$C$1800,الريسبي!$A$2:$A$1800,$A182,الريسبي!$B$2:$B$1800,BS$1)</f>
        <v>0</v>
      </c>
      <c r="BT182" s="117" t="n">
        <f aca="false">SUMIFS(الريسبي!$C$2:$C$1800,الريسبي!$A$2:$A$1800,$A182,الريسبي!$B$2:$B$1800,BT$1)</f>
        <v>0</v>
      </c>
      <c r="BU182" s="117" t="n">
        <f aca="false">SUMIFS(الريسبي!$C$2:$C$1800,الريسبي!$A$2:$A$1800,$A182,الريسبي!$B$2:$B$1800,BU$1)+0.4*SUMIFS(الريسبي!$C$2:$C$1800,الريسبي!$A$2:$A$1800,$A182,الريسبي!$B$2:$B$1800,"كاسترد مصنع (خليط بودر + لبن)")+0.03333333333*SUMIFS(الريسبي!$C$2:$C$1800,الريسبي!$A$2:$A$1800,$A182,الريسبي!$B$2:$B$1800,"عجين كريب (مصنع بالمطعم)")</f>
        <v>0</v>
      </c>
      <c r="BV182" s="117" t="n">
        <f aca="false">SUMIFS(الريسبي!$C$2:$C$1800,الريسبي!$A$2:$A$1800,$A182,الريسبي!$B$2:$B$1800,BV$1)</f>
        <v>0</v>
      </c>
      <c r="BW182" s="117" t="n">
        <f aca="false">SUMIFS(الريسبي!$C$2:$C$1800,الريسبي!$A$2:$A$1800,$A182,الريسبي!$B$2:$B$1800,BW$1)</f>
        <v>0</v>
      </c>
      <c r="BX182" s="117" t="n">
        <f aca="false">SUMIFS(الريسبي!$C$2:$C$1800,الريسبي!$A$2:$A$1800,$A182,الريسبي!$B$2:$B$1800,BX$1)</f>
        <v>0</v>
      </c>
      <c r="BY182" s="117" t="n">
        <f aca="false">SUMIFS(الريسبي!$C$2:$C$1800,الريسبي!$A$2:$A$1800,$A182,الريسبي!$B$2:$B$1800,BY$1)</f>
        <v>0</v>
      </c>
      <c r="BZ182" s="117" t="n">
        <f aca="false">SUMIFS(الريسبي!$C$2:$C$1800,الريسبي!$A$2:$A$1800,$A182,الريسبي!$B$2:$B$1800,BZ$1)</f>
        <v>0</v>
      </c>
      <c r="CA182" s="117" t="n">
        <f aca="false">SUMIFS(الريسبي!$C$2:$C$1800,الريسبي!$A$2:$A$1800,$A182,الريسبي!$B$2:$B$1800,CA$1)</f>
        <v>0</v>
      </c>
      <c r="CB182" s="117" t="n">
        <f aca="false">SUMIFS(الريسبي!$C$2:$C$1800,الريسبي!$A$2:$A$1800,$A182,الريسبي!$B$2:$B$1800,CB$1)</f>
        <v>0</v>
      </c>
      <c r="CC182" s="117" t="n">
        <f aca="false">SUMIFS(الريسبي!$C$2:$C$1800,الريسبي!$A$2:$A$1800,$A182,الريسبي!$B$2:$B$1800,CC$1)</f>
        <v>0</v>
      </c>
      <c r="CD182" s="117" t="n">
        <f aca="false">SUMIFS(الريسبي!$C$2:$C$1800,الريسبي!$A$2:$A$1800,$A182,الريسبي!$B$2:$B$1800,CD$1)</f>
        <v>0</v>
      </c>
      <c r="CE182" s="117" t="n">
        <f aca="false">SUMIFS(الريسبي!$C$2:$C$1800,الريسبي!$A$2:$A$1800,$A182,الريسبي!$B$2:$B$1800,CE$1)</f>
        <v>0</v>
      </c>
      <c r="CF182" s="117" t="n">
        <f aca="false">SUMIFS(الريسبي!$C$2:$C$1800,الريسبي!$A$2:$A$1800,$A182,الريسبي!$B$2:$B$1800,CF$1)</f>
        <v>0</v>
      </c>
      <c r="CG182" s="117" t="n">
        <f aca="false">SUMIFS(الريسبي!$C$2:$C$1800,الريسبي!$A$2:$A$1800,$A182,الريسبي!$B$2:$B$1800,CG$1)</f>
        <v>0</v>
      </c>
      <c r="CH182" s="117" t="n">
        <f aca="false">SUMIFS(الريسبي!$C$2:$C$1800,الريسبي!$A$2:$A$1800,$A182,الريسبي!$B$2:$B$1800,CH$1)</f>
        <v>0</v>
      </c>
      <c r="CI182" s="117" t="n">
        <f aca="false">SUMIFS(الريسبي!$C$2:$C$1800,الريسبي!$A$2:$A$1800,$A182,الريسبي!$B$2:$B$1800,CI$1)</f>
        <v>0</v>
      </c>
      <c r="CJ182" s="117" t="n">
        <f aca="false">SUMIFS(الريسبي!$C$2:$C$1800,الريسبي!$A$2:$A$1800,$A182,الريسبي!$B$2:$B$1800,CJ$1)</f>
        <v>0</v>
      </c>
      <c r="CK182" s="117" t="n">
        <f aca="false">SUMIFS(الريسبي!$C$2:$C$1800,الريسبي!$A$2:$A$1800,$A182,الريسبي!$B$2:$B$1800,CK$1)</f>
        <v>0</v>
      </c>
      <c r="CL182" s="117" t="n">
        <f aca="false">SUMIFS(الريسبي!$C$2:$C$1800,الريسبي!$A$2:$A$1800,$A182,الريسبي!$B$2:$B$1800,CL$1)</f>
        <v>0</v>
      </c>
    </row>
    <row r="183" customFormat="false" ht="15" hidden="false" customHeight="false" outlineLevel="0" collapsed="false">
      <c r="A183" s="116" t="str">
        <f aca="false">المنيو!B183</f>
        <v>وجبة أطفال بيتزا مارجريتا</v>
      </c>
      <c r="B183" s="117" t="n">
        <f aca="false">SUMIFS(الريسبي!$C$2:$C$1800,الريسبي!$A$2:$A$1800,$A183,الريسبي!$B$2:$B$1800,B$1)</f>
        <v>0</v>
      </c>
      <c r="C183" s="117" t="n">
        <f aca="false">SUMIFS(الريسبي!$C$2:$C$1800,الريسبي!$A$2:$A$1800,$A183,الريسبي!$B$2:$B$1800,C$1)</f>
        <v>0</v>
      </c>
      <c r="D183" s="117" t="n">
        <f aca="false">SUMIFS(الريسبي!$C$2:$C$1800,الريسبي!$A$2:$A$1800,$A183,الريسبي!$B$2:$B$1800,D$1)</f>
        <v>0.5</v>
      </c>
      <c r="E183" s="117" t="n">
        <f aca="false">SUMIFS(الريسبي!$C$2:$C$1800,الريسبي!$A$2:$A$1800,$A183,الريسبي!$B$2:$B$1800,E$1)</f>
        <v>0</v>
      </c>
      <c r="F183" s="117" t="n">
        <f aca="false">SUMIFS(الريسبي!$C$2:$C$1800,الريسبي!$A$2:$A$1800,$A183,الريسبي!$B$2:$B$1800,F$1)</f>
        <v>0</v>
      </c>
      <c r="G183" s="117" t="n">
        <f aca="false">SUMIFS(الريسبي!$C$2:$C$1800,الريسبي!$A$2:$A$1800,$A183,الريسبي!$B$2:$B$1800,G$1)</f>
        <v>0</v>
      </c>
      <c r="H183" s="117" t="n">
        <f aca="false">SUMIFS(الريسبي!$C$2:$C$1800,الريسبي!$A$2:$A$1800,$A183,الريسبي!$B$2:$B$1800,H$1)</f>
        <v>0</v>
      </c>
      <c r="I183" s="117" t="n">
        <f aca="false">SUMIFS(الريسبي!$C$2:$C$1800,الريسبي!$A$2:$A$1800,$A183,الريسبي!$B$2:$B$1800,I$1)</f>
        <v>1</v>
      </c>
      <c r="J183" s="117" t="n">
        <f aca="false">SUMIFS(الريسبي!$C$2:$C$1800,الريسبي!$A$2:$A$1800,$A183,الريسبي!$B$2:$B$1800,J$1)</f>
        <v>0</v>
      </c>
      <c r="K183" s="117" t="n">
        <f aca="false">SUMIFS(الريسبي!$C$2:$C$1800,الريسبي!$A$2:$A$1800,$A183,الريسبي!$B$2:$B$1800,K$1)</f>
        <v>0</v>
      </c>
      <c r="L183" s="117" t="n">
        <f aca="false">SUMIFS(الريسبي!$C$2:$C$1800,الريسبي!$A$2:$A$1800,$A183,الريسبي!$B$2:$B$1800,L$1)</f>
        <v>0</v>
      </c>
      <c r="M183" s="117" t="n">
        <f aca="false">SUMIFS(الريسبي!$C$2:$C$1800,الريسبي!$A$2:$A$1800,$A183,الريسبي!$B$2:$B$1800,M$1)</f>
        <v>0</v>
      </c>
      <c r="N183" s="117" t="n">
        <f aca="false">SUMIFS(الريسبي!$C$2:$C$1800,الريسبي!$A$2:$A$1800,$A183,الريسبي!$B$2:$B$1800,N$1)</f>
        <v>0</v>
      </c>
      <c r="O183" s="117" t="n">
        <f aca="false">SUMIFS(الريسبي!$C$2:$C$1800,الريسبي!$A$2:$A$1800,$A183,الريسبي!$B$2:$B$1800,O$1)</f>
        <v>0</v>
      </c>
      <c r="P183" s="117" t="n">
        <f aca="false">SUMIFS(الريسبي!$C$2:$C$1800,الريسبي!$A$2:$A$1800,$A183,الريسبي!$B$2:$B$1800,P$1)</f>
        <v>0</v>
      </c>
      <c r="Q183" s="117" t="n">
        <f aca="false">SUMIFS(الريسبي!$C$2:$C$1800,الريسبي!$A$2:$A$1800,$A183,الريسبي!$B$2:$B$1800,Q$1)</f>
        <v>0</v>
      </c>
      <c r="R183" s="117" t="n">
        <f aca="false">SUMIFS(الريسبي!$C$2:$C$1800,الريسبي!$A$2:$A$1800,$A183,الريسبي!$B$2:$B$1800,R$1)</f>
        <v>0</v>
      </c>
      <c r="S183" s="117" t="n">
        <f aca="false">SUMIFS(الريسبي!$C$2:$C$1800,الريسبي!$A$2:$A$1800,$A183,الريسبي!$B$2:$B$1800,S$1)</f>
        <v>0</v>
      </c>
      <c r="T183" s="117" t="n">
        <f aca="false">SUMIFS(الريسبي!$C$2:$C$1800,الريسبي!$A$2:$A$1800,$A183,الريسبي!$B$2:$B$1800,T$1)</f>
        <v>0</v>
      </c>
      <c r="U183" s="117" t="n">
        <f aca="false">SUMIFS(الريسبي!$C$2:$C$1800,الريسبي!$A$2:$A$1800,$A183,الريسبي!$B$2:$B$1800,U$1)</f>
        <v>0</v>
      </c>
      <c r="V183" s="117" t="n">
        <f aca="false">SUMIFS(الريسبي!$C$2:$C$1800,الريسبي!$A$2:$A$1800,$A183,الريسبي!$B$2:$B$1800,V$1)</f>
        <v>0.5</v>
      </c>
      <c r="W183" s="117" t="n">
        <f aca="false">SUMIFS(الريسبي!$C$2:$C$1800,الريسبي!$A$2:$A$1800,$A183,الريسبي!$B$2:$B$1800,W$1)</f>
        <v>0</v>
      </c>
      <c r="X183" s="117" t="n">
        <f aca="false">SUMIFS(الريسبي!$C$2:$C$1800,الريسبي!$A$2:$A$1800,$A183,الريسبي!$B$2:$B$1800,X$1)</f>
        <v>0</v>
      </c>
      <c r="Y183" s="117" t="n">
        <f aca="false">SUMIFS(الريسبي!$C$2:$C$1800,الريسبي!$A$2:$A$1800,$A183,الريسبي!$B$2:$B$1800,Y$1)</f>
        <v>0</v>
      </c>
      <c r="Z183" s="117" t="n">
        <f aca="false">SUMIFS(الريسبي!$C$2:$C$1800,الريسبي!$A$2:$A$1800,$A183,الريسبي!$B$2:$B$1800,Z$1)</f>
        <v>0</v>
      </c>
      <c r="AA183" s="117" t="n">
        <f aca="false">SUMIFS(الريسبي!$C$2:$C$1800,الريسبي!$A$2:$A$1800,$A183,الريسبي!$B$2:$B$1800,AA$1)</f>
        <v>0</v>
      </c>
      <c r="AB183" s="117" t="n">
        <f aca="false">SUMIFS(الريسبي!$C$2:$C$1800,الريسبي!$A$2:$A$1800,$A183,الريسبي!$B$2:$B$1800,AB$1)</f>
        <v>0</v>
      </c>
      <c r="AC183" s="117" t="n">
        <f aca="false">SUMIFS(الريسبي!$C$2:$C$1800,الريسبي!$A$2:$A$1800,$A183,الريسبي!$B$2:$B$1800,AC$1)</f>
        <v>0</v>
      </c>
      <c r="AD183" s="117" t="n">
        <f aca="false">SUMIFS(الريسبي!$C$2:$C$1800,الريسبي!$A$2:$A$1800,$A183,الريسبي!$B$2:$B$1800,AD$1)</f>
        <v>0</v>
      </c>
      <c r="AE183" s="117" t="n">
        <f aca="false">SUMIFS(الريسبي!$C$2:$C$1800,الريسبي!$A$2:$A$1800,$A183,الريسبي!$B$2:$B$1800,AE$1)</f>
        <v>0</v>
      </c>
      <c r="AF183" s="117" t="n">
        <f aca="false">SUMIFS(الريسبي!$C$2:$C$1800,الريسبي!$A$2:$A$1800,$A183,الريسبي!$B$2:$B$1800,AF$1)</f>
        <v>0</v>
      </c>
      <c r="AG183" s="117" t="n">
        <f aca="false">SUMIFS(الريسبي!$C$2:$C$1800,الريسبي!$A$2:$A$1800,$A183,الريسبي!$B$2:$B$1800,AG$1)</f>
        <v>0</v>
      </c>
      <c r="AH183" s="117" t="n">
        <f aca="false">SUMIFS(الريسبي!$C$2:$C$1800,الريسبي!$A$2:$A$1800,$A183,الريسبي!$B$2:$B$1800,AH$1)</f>
        <v>0</v>
      </c>
      <c r="AI183" s="117" t="n">
        <f aca="false">SUMIFS(الريسبي!$C$2:$C$1800,الريسبي!$A$2:$A$1800,$A183,الريسبي!$B$2:$B$1800,AI$1)</f>
        <v>0</v>
      </c>
      <c r="AJ183" s="117" t="n">
        <f aca="false">SUMIFS(الريسبي!$C$2:$C$1800,الريسبي!$A$2:$A$1800,$A183,الريسبي!$B$2:$B$1800,AJ$1)</f>
        <v>1</v>
      </c>
      <c r="AK183" s="117" t="n">
        <f aca="false">SUMIFS(الريسبي!$C$2:$C$1800,الريسبي!$A$2:$A$1800,$A183,الريسبي!$B$2:$B$1800,AK$1)</f>
        <v>0</v>
      </c>
      <c r="AL183" s="117" t="n">
        <f aca="false">SUMIFS(الريسبي!$C$2:$C$1800,الريسبي!$A$2:$A$1800,$A183,الريسبي!$B$2:$B$1800,AL$1)</f>
        <v>0</v>
      </c>
      <c r="AM183" s="117" t="n">
        <f aca="false">SUMIFS(الريسبي!$C$2:$C$1800,الريسبي!$A$2:$A$1800,$A183,الريسبي!$B$2:$B$1800,AM$1)+0.08333333333*SUMIFS(الريسبي!$C$2:$C$1800,الريسبي!$A$2:$A$1800,$A183,الريسبي!$B$2:$B$1800,"عجين كريب (مصنع بالمطعم)")+0.08333333333*SUMIFS(الريسبي!$C$2:$C$1800,الريسبي!$A$2:$A$1800,$A183,الريسبي!$B$2:$B$1800,"عجين كريب صيامي (بدون لبن)")</f>
        <v>0</v>
      </c>
      <c r="AN183" s="117" t="n">
        <f aca="false">SUMIFS(الريسبي!$C$2:$C$1800,الريسبي!$A$2:$A$1800,$A183,الريسبي!$B$2:$B$1800,AN$1)+0.004166666667*SUMIFS(الريسبي!$C$2:$C$1800,الريسبي!$A$2:$A$1800,$A183,الريسبي!$B$2:$B$1800,"عجين كريب (مصنع بالمطعم)")+0.004166666667*SUMIFS(الريسبي!$C$2:$C$1800,الريسبي!$A$2:$A$1800,$A183,الريسبي!$B$2:$B$1800,"عجين كريب صيامي (بدون لبن)")</f>
        <v>0</v>
      </c>
      <c r="AO183" s="117" t="n">
        <f aca="false">SUMIFS(الريسبي!$C$2:$C$1800,الريسبي!$A$2:$A$1800,$A183,الريسبي!$B$2:$B$1800,AO$1)</f>
        <v>0</v>
      </c>
      <c r="AP183" s="117" t="n">
        <f aca="false">SUMIFS(الريسبي!$C$2:$C$1800,الريسبي!$A$2:$A$1800,$A183,الريسبي!$B$2:$B$1800,AP$1)</f>
        <v>0.01</v>
      </c>
      <c r="AQ183" s="117" t="n">
        <f aca="false">SUMIFS(الريسبي!$C$2:$C$1800,الريسبي!$A$2:$A$1800,$A183,الريسبي!$B$2:$B$1800,AQ$1)+0.004166666667*SUMIFS(الريسبي!$C$2:$C$1800,الريسبي!$A$2:$A$1800,$A183,الريسبي!$B$2:$B$1800,"عجين كريب (مصنع بالمطعم)")+0.004166666667*SUMIFS(الريسبي!$C$2:$C$1800,الريسبي!$A$2:$A$1800,$A183,الريسبي!$B$2:$B$1800,"عجين كريب صيامي (بدون لبن)")</f>
        <v>0</v>
      </c>
      <c r="AR183" s="117" t="n">
        <f aca="false">SUMIFS(الريسبي!$C$2:$C$1800,الريسبي!$A$2:$A$1800,$A183,الريسبي!$B$2:$B$1800,AR$1)</f>
        <v>0</v>
      </c>
      <c r="AS183" s="117" t="n">
        <f aca="false">SUMIFS(الريسبي!$C$2:$C$1800,الريسبي!$A$2:$A$1800,$A183,الريسبي!$B$2:$B$1800,AS$1)</f>
        <v>0</v>
      </c>
      <c r="AT183" s="117" t="n">
        <f aca="false">SUMIFS(الريسبي!$C$2:$C$1800,الريسبي!$A$2:$A$1800,$A183,الريسبي!$B$2:$B$1800,AT$1)</f>
        <v>0</v>
      </c>
      <c r="AU183" s="117" t="n">
        <f aca="false">SUMIFS(الريسبي!$C$2:$C$1800,الريسبي!$A$2:$A$1800,$A183,الريسبي!$B$2:$B$1800,AU$1)</f>
        <v>0</v>
      </c>
      <c r="AV183" s="117" t="n">
        <f aca="false">SUMIFS(الريسبي!$C$2:$C$1800,الريسبي!$A$2:$A$1800,$A183,الريسبي!$B$2:$B$1800,AV$1)</f>
        <v>0</v>
      </c>
      <c r="AW183" s="117" t="n">
        <f aca="false">SUMIFS(الريسبي!$C$2:$C$1800,الريسبي!$A$2:$A$1800,$A183,الريسبي!$B$2:$B$1800,AW$1)</f>
        <v>0</v>
      </c>
      <c r="AX183" s="117" t="n">
        <f aca="false">SUMIFS(الريسبي!$C$2:$C$1800,الريسبي!$A$2:$A$1800,$A183,الريسبي!$B$2:$B$1800,AX$1)</f>
        <v>0.02</v>
      </c>
      <c r="AY183" s="117" t="n">
        <f aca="false">SUMIFS(الريسبي!$C$2:$C$1800,الريسبي!$A$2:$A$1800,$A183,الريسبي!$B$2:$B$1800,AY$1)</f>
        <v>0</v>
      </c>
      <c r="AZ183" s="117" t="n">
        <f aca="false">SUMIFS(الريسبي!$C$2:$C$1800,الريسبي!$A$2:$A$1800,$A183,الريسبي!$B$2:$B$1800,AZ$1)</f>
        <v>0</v>
      </c>
      <c r="BA183" s="117" t="n">
        <f aca="false">SUMIFS(الريسبي!$C$2:$C$1800,الريسبي!$A$2:$A$1800,$A183,الريسبي!$B$2:$B$1800,BA$1)</f>
        <v>0</v>
      </c>
      <c r="BB183" s="117" t="n">
        <f aca="false">SUMIFS(الريسبي!$C$2:$C$1800,الريسبي!$A$2:$A$1800,$A183,الريسبي!$B$2:$B$1800,BB$1)</f>
        <v>0</v>
      </c>
      <c r="BC183" s="117" t="n">
        <f aca="false">SUMIFS(الريسبي!$C$2:$C$1800,الريسبي!$A$2:$A$1800,$A183,الريسبي!$B$2:$B$1800,BC$1)</f>
        <v>0.015</v>
      </c>
      <c r="BD183" s="117" t="n">
        <f aca="false">SUMIFS(الريسبي!$C$2:$C$1800,الريسبي!$A$2:$A$1800,$A183,الريسبي!$B$2:$B$1800,BD$1)</f>
        <v>0.11</v>
      </c>
      <c r="BE183" s="117" t="n">
        <f aca="false">SUMIFS(الريسبي!$C$2:$C$1800,الريسبي!$A$2:$A$1800,$A183,الريسبي!$B$2:$B$1800,BE$1)</f>
        <v>0</v>
      </c>
      <c r="BF183" s="117" t="n">
        <f aca="false">SUMIFS(الريسبي!$C$2:$C$1800,الريسبي!$A$2:$A$1800,$A183,الريسبي!$B$2:$B$1800,BF$1)</f>
        <v>0</v>
      </c>
      <c r="BG183" s="117" t="n">
        <f aca="false">SUMIFS(الريسبي!$C$2:$C$1800,الريسبي!$A$2:$A$1800,$A183,الريسبي!$B$2:$B$1800,BG$1)</f>
        <v>0</v>
      </c>
      <c r="BH183" s="117" t="n">
        <f aca="false">SUMIFS(الريسبي!$C$2:$C$1800,الريسبي!$A$2:$A$1800,$A183,الريسبي!$B$2:$B$1800,BH$1)</f>
        <v>0.5</v>
      </c>
      <c r="BI183" s="117" t="n">
        <f aca="false">SUMIFS(الريسبي!$C$2:$C$1800,الريسبي!$A$2:$A$1800,$A183,الريسبي!$B$2:$B$1800,BI$1)</f>
        <v>0</v>
      </c>
      <c r="BJ183" s="117" t="n">
        <f aca="false">SUMIFS(الريسبي!$C$2:$C$1800,الريسبي!$A$2:$A$1800,$A183,الريسبي!$B$2:$B$1800,BJ$1)</f>
        <v>0</v>
      </c>
      <c r="BK183" s="117" t="n">
        <f aca="false">SUMIFS(الريسبي!$C$2:$C$1800,الريسبي!$A$2:$A$1800,$A183,الريسبي!$B$2:$B$1800,BK$1)</f>
        <v>0</v>
      </c>
      <c r="BL183" s="117" t="n">
        <f aca="false">SUMIFS(الريسبي!$C$2:$C$1800,الريسبي!$A$2:$A$1800,$A183,الريسبي!$B$2:$B$1800,BL$1)</f>
        <v>0</v>
      </c>
      <c r="BM183" s="117" t="n">
        <f aca="false">SUMIFS(الريسبي!$C$2:$C$1800,الريسبي!$A$2:$A$1800,$A183,الريسبي!$B$2:$B$1800,BM$1)</f>
        <v>0</v>
      </c>
      <c r="BN183" s="117" t="n">
        <f aca="false">SUMIFS(الريسبي!$C$2:$C$1800,الريسبي!$A$2:$A$1800,$A183,الريسبي!$B$2:$B$1800,BN$1)</f>
        <v>0.01</v>
      </c>
      <c r="BO183" s="117" t="n">
        <f aca="false">SUMIFS(الريسبي!$C$2:$C$1800,الريسبي!$A$2:$A$1800,$A183,الريسبي!$B$2:$B$1800,BO$1)</f>
        <v>0</v>
      </c>
      <c r="BP183" s="117" t="n">
        <f aca="false">SUMIFS(الريسبي!$C$2:$C$1800,الريسبي!$A$2:$A$1800,$A183,الريسبي!$B$2:$B$1800,BP$1)</f>
        <v>1</v>
      </c>
      <c r="BQ183" s="117" t="n">
        <f aca="false">SUMIFS(الريسبي!$C$2:$C$1800,الريسبي!$A$2:$A$1800,$A183,الريسبي!$B$2:$B$1800,BQ$1)+0.17*SUMIFS(الريسبي!$C$2:$C$1800,الريسبي!$A$2:$A$1800,$A183,الريسبي!$B$2:$B$1800,"كاسترد مصنع (خليط بودر + لبن)")+0.17*SUMIFS(الريسبي!$C$2:$C$1800,الريسبي!$A$2:$A$1800,$A183,الريسبي!$B$2:$B$1800,"كاسترد مصنع صيامي (بدون لبن)")</f>
        <v>0</v>
      </c>
      <c r="BR183" s="117" t="n">
        <f aca="false">SUMIFS(الريسبي!$C$2:$C$1800,الريسبي!$A$2:$A$1800,$A183,الريسبي!$B$2:$B$1800,BR$1)</f>
        <v>0.5</v>
      </c>
      <c r="BS183" s="117" t="n">
        <f aca="false">SUMIFS(الريسبي!$C$2:$C$1800,الريسبي!$A$2:$A$1800,$A183,الريسبي!$B$2:$B$1800,BS$1)</f>
        <v>0</v>
      </c>
      <c r="BT183" s="117" t="n">
        <f aca="false">SUMIFS(الريسبي!$C$2:$C$1800,الريسبي!$A$2:$A$1800,$A183,الريسبي!$B$2:$B$1800,BT$1)</f>
        <v>0</v>
      </c>
      <c r="BU183" s="117" t="n">
        <f aca="false">SUMIFS(الريسبي!$C$2:$C$1800,الريسبي!$A$2:$A$1800,$A183,الريسبي!$B$2:$B$1800,BU$1)+0.4*SUMIFS(الريسبي!$C$2:$C$1800,الريسبي!$A$2:$A$1800,$A183,الريسبي!$B$2:$B$1800,"كاسترد مصنع (خليط بودر + لبن)")+0.03333333333*SUMIFS(الريسبي!$C$2:$C$1800,الريسبي!$A$2:$A$1800,$A183,الريسبي!$B$2:$B$1800,"عجين كريب (مصنع بالمطعم)")</f>
        <v>0</v>
      </c>
      <c r="BV183" s="117" t="n">
        <f aca="false">SUMIFS(الريسبي!$C$2:$C$1800,الريسبي!$A$2:$A$1800,$A183,الريسبي!$B$2:$B$1800,BV$1)</f>
        <v>1</v>
      </c>
      <c r="BW183" s="117" t="n">
        <f aca="false">SUMIFS(الريسبي!$C$2:$C$1800,الريسبي!$A$2:$A$1800,$A183,الريسبي!$B$2:$B$1800,BW$1)</f>
        <v>0</v>
      </c>
      <c r="BX183" s="117" t="n">
        <f aca="false">SUMIFS(الريسبي!$C$2:$C$1800,الريسبي!$A$2:$A$1800,$A183,الريسبي!$B$2:$B$1800,BX$1)</f>
        <v>0</v>
      </c>
      <c r="BY183" s="117" t="n">
        <f aca="false">SUMIFS(الريسبي!$C$2:$C$1800,الريسبي!$A$2:$A$1800,$A183,الريسبي!$B$2:$B$1800,BY$1)</f>
        <v>0</v>
      </c>
      <c r="BZ183" s="117" t="n">
        <f aca="false">SUMIFS(الريسبي!$C$2:$C$1800,الريسبي!$A$2:$A$1800,$A183,الريسبي!$B$2:$B$1800,BZ$1)</f>
        <v>0</v>
      </c>
      <c r="CA183" s="117" t="n">
        <f aca="false">SUMIFS(الريسبي!$C$2:$C$1800,الريسبي!$A$2:$A$1800,$A183,الريسبي!$B$2:$B$1800,CA$1)</f>
        <v>0.5</v>
      </c>
      <c r="CB183" s="117" t="n">
        <f aca="false">SUMIFS(الريسبي!$C$2:$C$1800,الريسبي!$A$2:$A$1800,$A183,الريسبي!$B$2:$B$1800,CB$1)</f>
        <v>0.5</v>
      </c>
      <c r="CC183" s="117" t="n">
        <f aca="false">SUMIFS(الريسبي!$C$2:$C$1800,الريسبي!$A$2:$A$1800,$A183,الريسبي!$B$2:$B$1800,CC$1)</f>
        <v>0</v>
      </c>
      <c r="CD183" s="117" t="n">
        <f aca="false">SUMIFS(الريسبي!$C$2:$C$1800,الريسبي!$A$2:$A$1800,$A183,الريسبي!$B$2:$B$1800,CD$1)</f>
        <v>0</v>
      </c>
      <c r="CE183" s="117" t="n">
        <f aca="false">SUMIFS(الريسبي!$C$2:$C$1800,الريسبي!$A$2:$A$1800,$A183,الريسبي!$B$2:$B$1800,CE$1)</f>
        <v>0</v>
      </c>
      <c r="CF183" s="117" t="n">
        <f aca="false">SUMIFS(الريسبي!$C$2:$C$1800,الريسبي!$A$2:$A$1800,$A183,الريسبي!$B$2:$B$1800,CF$1)</f>
        <v>0</v>
      </c>
      <c r="CG183" s="117" t="n">
        <f aca="false">SUMIFS(الريسبي!$C$2:$C$1800,الريسبي!$A$2:$A$1800,$A183,الريسبي!$B$2:$B$1800,CG$1)</f>
        <v>0</v>
      </c>
      <c r="CH183" s="117" t="n">
        <f aca="false">SUMIFS(الريسبي!$C$2:$C$1800,الريسبي!$A$2:$A$1800,$A183,الريسبي!$B$2:$B$1800,CH$1)</f>
        <v>0</v>
      </c>
      <c r="CI183" s="117" t="n">
        <f aca="false">SUMIFS(الريسبي!$C$2:$C$1800,الريسبي!$A$2:$A$1800,$A183,الريسبي!$B$2:$B$1800,CI$1)</f>
        <v>0</v>
      </c>
      <c r="CJ183" s="117" t="n">
        <f aca="false">SUMIFS(الريسبي!$C$2:$C$1800,الريسبي!$A$2:$A$1800,$A183,الريسبي!$B$2:$B$1800,CJ$1)</f>
        <v>1</v>
      </c>
      <c r="CK183" s="117" t="n">
        <f aca="false">SUMIFS(الريسبي!$C$2:$C$1800,الريسبي!$A$2:$A$1800,$A183,الريسبي!$B$2:$B$1800,CK$1)</f>
        <v>0</v>
      </c>
      <c r="CL183" s="117" t="n">
        <f aca="false">SUMIFS(الريسبي!$C$2:$C$1800,الريسبي!$A$2:$A$1800,$A183,الريسبي!$B$2:$B$1800,CL$1)</f>
        <v>0</v>
      </c>
    </row>
    <row r="184" customFormat="false" ht="15" hidden="false" customHeight="false" outlineLevel="0" collapsed="false">
      <c r="A184" s="116" t="str">
        <f aca="false">المنيو!B184</f>
        <v>وجبة أطفال بيتزا سلامي</v>
      </c>
      <c r="B184" s="117" t="n">
        <f aca="false">SUMIFS(الريسبي!$C$2:$C$1800,الريسبي!$A$2:$A$1800,$A184,الريسبي!$B$2:$B$1800,B$1)</f>
        <v>0</v>
      </c>
      <c r="C184" s="117" t="n">
        <f aca="false">SUMIFS(الريسبي!$C$2:$C$1800,الريسبي!$A$2:$A$1800,$A184,الريسبي!$B$2:$B$1800,C$1)</f>
        <v>0</v>
      </c>
      <c r="D184" s="117" t="n">
        <f aca="false">SUMIFS(الريسبي!$C$2:$C$1800,الريسبي!$A$2:$A$1800,$A184,الريسبي!$B$2:$B$1800,D$1)</f>
        <v>0.5</v>
      </c>
      <c r="E184" s="117" t="n">
        <f aca="false">SUMIFS(الريسبي!$C$2:$C$1800,الريسبي!$A$2:$A$1800,$A184,الريسبي!$B$2:$B$1800,E$1)</f>
        <v>0</v>
      </c>
      <c r="F184" s="117" t="n">
        <f aca="false">SUMIFS(الريسبي!$C$2:$C$1800,الريسبي!$A$2:$A$1800,$A184,الريسبي!$B$2:$B$1800,F$1)</f>
        <v>0</v>
      </c>
      <c r="G184" s="117" t="n">
        <f aca="false">SUMIFS(الريسبي!$C$2:$C$1800,الريسبي!$A$2:$A$1800,$A184,الريسبي!$B$2:$B$1800,G$1)</f>
        <v>0</v>
      </c>
      <c r="H184" s="117" t="n">
        <f aca="false">SUMIFS(الريسبي!$C$2:$C$1800,الريسبي!$A$2:$A$1800,$A184,الريسبي!$B$2:$B$1800,H$1)</f>
        <v>0</v>
      </c>
      <c r="I184" s="117" t="n">
        <f aca="false">SUMIFS(الريسبي!$C$2:$C$1800,الريسبي!$A$2:$A$1800,$A184,الريسبي!$B$2:$B$1800,I$1)</f>
        <v>1</v>
      </c>
      <c r="J184" s="117" t="n">
        <f aca="false">SUMIFS(الريسبي!$C$2:$C$1800,الريسبي!$A$2:$A$1800,$A184,الريسبي!$B$2:$B$1800,J$1)</f>
        <v>0</v>
      </c>
      <c r="K184" s="117" t="n">
        <f aca="false">SUMIFS(الريسبي!$C$2:$C$1800,الريسبي!$A$2:$A$1800,$A184,الريسبي!$B$2:$B$1800,K$1)</f>
        <v>0</v>
      </c>
      <c r="L184" s="117" t="n">
        <f aca="false">SUMIFS(الريسبي!$C$2:$C$1800,الريسبي!$A$2:$A$1800,$A184,الريسبي!$B$2:$B$1800,L$1)</f>
        <v>0</v>
      </c>
      <c r="M184" s="117" t="n">
        <f aca="false">SUMIFS(الريسبي!$C$2:$C$1800,الريسبي!$A$2:$A$1800,$A184,الريسبي!$B$2:$B$1800,M$1)</f>
        <v>0</v>
      </c>
      <c r="N184" s="117" t="n">
        <f aca="false">SUMIFS(الريسبي!$C$2:$C$1800,الريسبي!$A$2:$A$1800,$A184,الريسبي!$B$2:$B$1800,N$1)</f>
        <v>0.5</v>
      </c>
      <c r="O184" s="117" t="n">
        <f aca="false">SUMIFS(الريسبي!$C$2:$C$1800,الريسبي!$A$2:$A$1800,$A184,الريسبي!$B$2:$B$1800,O$1)</f>
        <v>0</v>
      </c>
      <c r="P184" s="117" t="n">
        <f aca="false">SUMIFS(الريسبي!$C$2:$C$1800,الريسبي!$A$2:$A$1800,$A184,الريسبي!$B$2:$B$1800,P$1)</f>
        <v>0</v>
      </c>
      <c r="Q184" s="117" t="n">
        <f aca="false">SUMIFS(الريسبي!$C$2:$C$1800,الريسبي!$A$2:$A$1800,$A184,الريسبي!$B$2:$B$1800,Q$1)</f>
        <v>0</v>
      </c>
      <c r="R184" s="117" t="n">
        <f aca="false">SUMIFS(الريسبي!$C$2:$C$1800,الريسبي!$A$2:$A$1800,$A184,الريسبي!$B$2:$B$1800,R$1)</f>
        <v>0</v>
      </c>
      <c r="S184" s="117" t="n">
        <f aca="false">SUMIFS(الريسبي!$C$2:$C$1800,الريسبي!$A$2:$A$1800,$A184,الريسبي!$B$2:$B$1800,S$1)</f>
        <v>0</v>
      </c>
      <c r="T184" s="117" t="n">
        <f aca="false">SUMIFS(الريسبي!$C$2:$C$1800,الريسبي!$A$2:$A$1800,$A184,الريسبي!$B$2:$B$1800,T$1)</f>
        <v>0</v>
      </c>
      <c r="U184" s="117" t="n">
        <f aca="false">SUMIFS(الريسبي!$C$2:$C$1800,الريسبي!$A$2:$A$1800,$A184,الريسبي!$B$2:$B$1800,U$1)</f>
        <v>0</v>
      </c>
      <c r="V184" s="117" t="n">
        <f aca="false">SUMIFS(الريسبي!$C$2:$C$1800,الريسبي!$A$2:$A$1800,$A184,الريسبي!$B$2:$B$1800,V$1)</f>
        <v>0.5</v>
      </c>
      <c r="W184" s="117" t="n">
        <f aca="false">SUMIFS(الريسبي!$C$2:$C$1800,الريسبي!$A$2:$A$1800,$A184,الريسبي!$B$2:$B$1800,W$1)</f>
        <v>0</v>
      </c>
      <c r="X184" s="117" t="n">
        <f aca="false">SUMIFS(الريسبي!$C$2:$C$1800,الريسبي!$A$2:$A$1800,$A184,الريسبي!$B$2:$B$1800,X$1)</f>
        <v>0</v>
      </c>
      <c r="Y184" s="117" t="n">
        <f aca="false">SUMIFS(الريسبي!$C$2:$C$1800,الريسبي!$A$2:$A$1800,$A184,الريسبي!$B$2:$B$1800,Y$1)</f>
        <v>0</v>
      </c>
      <c r="Z184" s="117" t="n">
        <f aca="false">SUMIFS(الريسبي!$C$2:$C$1800,الريسبي!$A$2:$A$1800,$A184,الريسبي!$B$2:$B$1800,Z$1)</f>
        <v>0</v>
      </c>
      <c r="AA184" s="117" t="n">
        <f aca="false">SUMIFS(الريسبي!$C$2:$C$1800,الريسبي!$A$2:$A$1800,$A184,الريسبي!$B$2:$B$1800,AA$1)</f>
        <v>0</v>
      </c>
      <c r="AB184" s="117" t="n">
        <f aca="false">SUMIFS(الريسبي!$C$2:$C$1800,الريسبي!$A$2:$A$1800,$A184,الريسبي!$B$2:$B$1800,AB$1)</f>
        <v>0</v>
      </c>
      <c r="AC184" s="117" t="n">
        <f aca="false">SUMIFS(الريسبي!$C$2:$C$1800,الريسبي!$A$2:$A$1800,$A184,الريسبي!$B$2:$B$1800,AC$1)</f>
        <v>0</v>
      </c>
      <c r="AD184" s="117" t="n">
        <f aca="false">SUMIFS(الريسبي!$C$2:$C$1800,الريسبي!$A$2:$A$1800,$A184,الريسبي!$B$2:$B$1800,AD$1)</f>
        <v>0</v>
      </c>
      <c r="AE184" s="117" t="n">
        <f aca="false">SUMIFS(الريسبي!$C$2:$C$1800,الريسبي!$A$2:$A$1800,$A184,الريسبي!$B$2:$B$1800,AE$1)</f>
        <v>0</v>
      </c>
      <c r="AF184" s="117" t="n">
        <f aca="false">SUMIFS(الريسبي!$C$2:$C$1800,الريسبي!$A$2:$A$1800,$A184,الريسبي!$B$2:$B$1800,AF$1)</f>
        <v>0</v>
      </c>
      <c r="AG184" s="117" t="n">
        <f aca="false">SUMIFS(الريسبي!$C$2:$C$1800,الريسبي!$A$2:$A$1800,$A184,الريسبي!$B$2:$B$1800,AG$1)</f>
        <v>0</v>
      </c>
      <c r="AH184" s="117" t="n">
        <f aca="false">SUMIFS(الريسبي!$C$2:$C$1800,الريسبي!$A$2:$A$1800,$A184,الريسبي!$B$2:$B$1800,AH$1)</f>
        <v>0</v>
      </c>
      <c r="AI184" s="117" t="n">
        <f aca="false">SUMIFS(الريسبي!$C$2:$C$1800,الريسبي!$A$2:$A$1800,$A184,الريسبي!$B$2:$B$1800,AI$1)</f>
        <v>0</v>
      </c>
      <c r="AJ184" s="117" t="n">
        <f aca="false">SUMIFS(الريسبي!$C$2:$C$1800,الريسبي!$A$2:$A$1800,$A184,الريسبي!$B$2:$B$1800,AJ$1)</f>
        <v>1</v>
      </c>
      <c r="AK184" s="117" t="n">
        <f aca="false">SUMIFS(الريسبي!$C$2:$C$1800,الريسبي!$A$2:$A$1800,$A184,الريسبي!$B$2:$B$1800,AK$1)</f>
        <v>0</v>
      </c>
      <c r="AL184" s="117" t="n">
        <f aca="false">SUMIFS(الريسبي!$C$2:$C$1800,الريسبي!$A$2:$A$1800,$A184,الريسبي!$B$2:$B$1800,AL$1)</f>
        <v>0</v>
      </c>
      <c r="AM184" s="117" t="n">
        <f aca="false">SUMIFS(الريسبي!$C$2:$C$1800,الريسبي!$A$2:$A$1800,$A184,الريسبي!$B$2:$B$1800,AM$1)+0.08333333333*SUMIFS(الريسبي!$C$2:$C$1800,الريسبي!$A$2:$A$1800,$A184,الريسبي!$B$2:$B$1800,"عجين كريب (مصنع بالمطعم)")+0.08333333333*SUMIFS(الريسبي!$C$2:$C$1800,الريسبي!$A$2:$A$1800,$A184,الريسبي!$B$2:$B$1800,"عجين كريب صيامي (بدون لبن)")</f>
        <v>0</v>
      </c>
      <c r="AN184" s="117" t="n">
        <f aca="false">SUMIFS(الريسبي!$C$2:$C$1800,الريسبي!$A$2:$A$1800,$A184,الريسبي!$B$2:$B$1800,AN$1)+0.004166666667*SUMIFS(الريسبي!$C$2:$C$1800,الريسبي!$A$2:$A$1800,$A184,الريسبي!$B$2:$B$1800,"عجين كريب (مصنع بالمطعم)")+0.004166666667*SUMIFS(الريسبي!$C$2:$C$1800,الريسبي!$A$2:$A$1800,$A184,الريسبي!$B$2:$B$1800,"عجين كريب صيامي (بدون لبن)")</f>
        <v>0</v>
      </c>
      <c r="AO184" s="117" t="n">
        <f aca="false">SUMIFS(الريسبي!$C$2:$C$1800,الريسبي!$A$2:$A$1800,$A184,الريسبي!$B$2:$B$1800,AO$1)</f>
        <v>0</v>
      </c>
      <c r="AP184" s="117" t="n">
        <f aca="false">SUMIFS(الريسبي!$C$2:$C$1800,الريسبي!$A$2:$A$1800,$A184,الريسبي!$B$2:$B$1800,AP$1)</f>
        <v>0.01</v>
      </c>
      <c r="AQ184" s="117" t="n">
        <f aca="false">SUMIFS(الريسبي!$C$2:$C$1800,الريسبي!$A$2:$A$1800,$A184,الريسبي!$B$2:$B$1800,AQ$1)+0.004166666667*SUMIFS(الريسبي!$C$2:$C$1800,الريسبي!$A$2:$A$1800,$A184,الريسبي!$B$2:$B$1800,"عجين كريب (مصنع بالمطعم)")+0.004166666667*SUMIFS(الريسبي!$C$2:$C$1800,الريسبي!$A$2:$A$1800,$A184,الريسبي!$B$2:$B$1800,"عجين كريب صيامي (بدون لبن)")</f>
        <v>0</v>
      </c>
      <c r="AR184" s="117" t="n">
        <f aca="false">SUMIFS(الريسبي!$C$2:$C$1800,الريسبي!$A$2:$A$1800,$A184,الريسبي!$B$2:$B$1800,AR$1)</f>
        <v>0</v>
      </c>
      <c r="AS184" s="117" t="n">
        <f aca="false">SUMIFS(الريسبي!$C$2:$C$1800,الريسبي!$A$2:$A$1800,$A184,الريسبي!$B$2:$B$1800,AS$1)</f>
        <v>0</v>
      </c>
      <c r="AT184" s="117" t="n">
        <f aca="false">SUMIFS(الريسبي!$C$2:$C$1800,الريسبي!$A$2:$A$1800,$A184,الريسبي!$B$2:$B$1800,AT$1)</f>
        <v>0</v>
      </c>
      <c r="AU184" s="117" t="n">
        <f aca="false">SUMIFS(الريسبي!$C$2:$C$1800,الريسبي!$A$2:$A$1800,$A184,الريسبي!$B$2:$B$1800,AU$1)</f>
        <v>0</v>
      </c>
      <c r="AV184" s="117" t="n">
        <f aca="false">SUMIFS(الريسبي!$C$2:$C$1800,الريسبي!$A$2:$A$1800,$A184,الريسبي!$B$2:$B$1800,AV$1)</f>
        <v>0</v>
      </c>
      <c r="AW184" s="117" t="n">
        <f aca="false">SUMIFS(الريسبي!$C$2:$C$1800,الريسبي!$A$2:$A$1800,$A184,الريسبي!$B$2:$B$1800,AW$1)</f>
        <v>0</v>
      </c>
      <c r="AX184" s="117" t="n">
        <f aca="false">SUMIFS(الريسبي!$C$2:$C$1800,الريسبي!$A$2:$A$1800,$A184,الريسبي!$B$2:$B$1800,AX$1)</f>
        <v>0.02</v>
      </c>
      <c r="AY184" s="117" t="n">
        <f aca="false">SUMIFS(الريسبي!$C$2:$C$1800,الريسبي!$A$2:$A$1800,$A184,الريسبي!$B$2:$B$1800,AY$1)</f>
        <v>0</v>
      </c>
      <c r="AZ184" s="117" t="n">
        <f aca="false">SUMIFS(الريسبي!$C$2:$C$1800,الريسبي!$A$2:$A$1800,$A184,الريسبي!$B$2:$B$1800,AZ$1)</f>
        <v>0</v>
      </c>
      <c r="BA184" s="117" t="n">
        <f aca="false">SUMIFS(الريسبي!$C$2:$C$1800,الريسبي!$A$2:$A$1800,$A184,الريسبي!$B$2:$B$1800,BA$1)</f>
        <v>0</v>
      </c>
      <c r="BB184" s="117" t="n">
        <f aca="false">SUMIFS(الريسبي!$C$2:$C$1800,الريسبي!$A$2:$A$1800,$A184,الريسبي!$B$2:$B$1800,BB$1)</f>
        <v>0</v>
      </c>
      <c r="BC184" s="117" t="n">
        <f aca="false">SUMIFS(الريسبي!$C$2:$C$1800,الريسبي!$A$2:$A$1800,$A184,الريسبي!$B$2:$B$1800,BC$1)</f>
        <v>0.015</v>
      </c>
      <c r="BD184" s="117" t="n">
        <f aca="false">SUMIFS(الريسبي!$C$2:$C$1800,الريسبي!$A$2:$A$1800,$A184,الريسبي!$B$2:$B$1800,BD$1)</f>
        <v>0.11</v>
      </c>
      <c r="BE184" s="117" t="n">
        <f aca="false">SUMIFS(الريسبي!$C$2:$C$1800,الريسبي!$A$2:$A$1800,$A184,الريسبي!$B$2:$B$1800,BE$1)</f>
        <v>0</v>
      </c>
      <c r="BF184" s="117" t="n">
        <f aca="false">SUMIFS(الريسبي!$C$2:$C$1800,الريسبي!$A$2:$A$1800,$A184,الريسبي!$B$2:$B$1800,BF$1)</f>
        <v>0</v>
      </c>
      <c r="BG184" s="117" t="n">
        <f aca="false">SUMIFS(الريسبي!$C$2:$C$1800,الريسبي!$A$2:$A$1800,$A184,الريسبي!$B$2:$B$1800,BG$1)</f>
        <v>0</v>
      </c>
      <c r="BH184" s="117" t="n">
        <f aca="false">SUMIFS(الريسبي!$C$2:$C$1800,الريسبي!$A$2:$A$1800,$A184,الريسبي!$B$2:$B$1800,BH$1)</f>
        <v>0.5</v>
      </c>
      <c r="BI184" s="117" t="n">
        <f aca="false">SUMIFS(الريسبي!$C$2:$C$1800,الريسبي!$A$2:$A$1800,$A184,الريسبي!$B$2:$B$1800,BI$1)</f>
        <v>0</v>
      </c>
      <c r="BJ184" s="117" t="n">
        <f aca="false">SUMIFS(الريسبي!$C$2:$C$1800,الريسبي!$A$2:$A$1800,$A184,الريسبي!$B$2:$B$1800,BJ$1)</f>
        <v>0</v>
      </c>
      <c r="BK184" s="117" t="n">
        <f aca="false">SUMIFS(الريسبي!$C$2:$C$1800,الريسبي!$A$2:$A$1800,$A184,الريسبي!$B$2:$B$1800,BK$1)</f>
        <v>0</v>
      </c>
      <c r="BL184" s="117" t="n">
        <f aca="false">SUMIFS(الريسبي!$C$2:$C$1800,الريسبي!$A$2:$A$1800,$A184,الريسبي!$B$2:$B$1800,BL$1)</f>
        <v>0</v>
      </c>
      <c r="BM184" s="117" t="n">
        <f aca="false">SUMIFS(الريسبي!$C$2:$C$1800,الريسبي!$A$2:$A$1800,$A184,الريسبي!$B$2:$B$1800,BM$1)</f>
        <v>0</v>
      </c>
      <c r="BN184" s="117" t="n">
        <f aca="false">SUMIFS(الريسبي!$C$2:$C$1800,الريسبي!$A$2:$A$1800,$A184,الريسبي!$B$2:$B$1800,BN$1)</f>
        <v>0.01</v>
      </c>
      <c r="BO184" s="117" t="n">
        <f aca="false">SUMIFS(الريسبي!$C$2:$C$1800,الريسبي!$A$2:$A$1800,$A184,الريسبي!$B$2:$B$1800,BO$1)</f>
        <v>0</v>
      </c>
      <c r="BP184" s="117" t="n">
        <f aca="false">SUMIFS(الريسبي!$C$2:$C$1800,الريسبي!$A$2:$A$1800,$A184,الريسبي!$B$2:$B$1800,BP$1)</f>
        <v>1</v>
      </c>
      <c r="BQ184" s="117" t="n">
        <f aca="false">SUMIFS(الريسبي!$C$2:$C$1800,الريسبي!$A$2:$A$1800,$A184,الريسبي!$B$2:$B$1800,BQ$1)+0.17*SUMIFS(الريسبي!$C$2:$C$1800,الريسبي!$A$2:$A$1800,$A184,الريسبي!$B$2:$B$1800,"كاسترد مصنع (خليط بودر + لبن)")+0.17*SUMIFS(الريسبي!$C$2:$C$1800,الريسبي!$A$2:$A$1800,$A184,الريسبي!$B$2:$B$1800,"كاسترد مصنع صيامي (بدون لبن)")</f>
        <v>0</v>
      </c>
      <c r="BR184" s="117" t="n">
        <f aca="false">SUMIFS(الريسبي!$C$2:$C$1800,الريسبي!$A$2:$A$1800,$A184,الريسبي!$B$2:$B$1800,BR$1)</f>
        <v>0.5</v>
      </c>
      <c r="BS184" s="117" t="n">
        <f aca="false">SUMIFS(الريسبي!$C$2:$C$1800,الريسبي!$A$2:$A$1800,$A184,الريسبي!$B$2:$B$1800,BS$1)</f>
        <v>0</v>
      </c>
      <c r="BT184" s="117" t="n">
        <f aca="false">SUMIFS(الريسبي!$C$2:$C$1800,الريسبي!$A$2:$A$1800,$A184,الريسبي!$B$2:$B$1800,BT$1)</f>
        <v>0</v>
      </c>
      <c r="BU184" s="117" t="n">
        <f aca="false">SUMIFS(الريسبي!$C$2:$C$1800,الريسبي!$A$2:$A$1800,$A184,الريسبي!$B$2:$B$1800,BU$1)+0.4*SUMIFS(الريسبي!$C$2:$C$1800,الريسبي!$A$2:$A$1800,$A184,الريسبي!$B$2:$B$1800,"كاسترد مصنع (خليط بودر + لبن)")+0.03333333333*SUMIFS(الريسبي!$C$2:$C$1800,الريسبي!$A$2:$A$1800,$A184,الريسبي!$B$2:$B$1800,"عجين كريب (مصنع بالمطعم)")</f>
        <v>0</v>
      </c>
      <c r="BV184" s="117" t="n">
        <f aca="false">SUMIFS(الريسبي!$C$2:$C$1800,الريسبي!$A$2:$A$1800,$A184,الريسبي!$B$2:$B$1800,BV$1)</f>
        <v>1</v>
      </c>
      <c r="BW184" s="117" t="n">
        <f aca="false">SUMIFS(الريسبي!$C$2:$C$1800,الريسبي!$A$2:$A$1800,$A184,الريسبي!$B$2:$B$1800,BW$1)</f>
        <v>0</v>
      </c>
      <c r="BX184" s="117" t="n">
        <f aca="false">SUMIFS(الريسبي!$C$2:$C$1800,الريسبي!$A$2:$A$1800,$A184,الريسبي!$B$2:$B$1800,BX$1)</f>
        <v>0</v>
      </c>
      <c r="BY184" s="117" t="n">
        <f aca="false">SUMIFS(الريسبي!$C$2:$C$1800,الريسبي!$A$2:$A$1800,$A184,الريسبي!$B$2:$B$1800,BY$1)</f>
        <v>0</v>
      </c>
      <c r="BZ184" s="117" t="n">
        <f aca="false">SUMIFS(الريسبي!$C$2:$C$1800,الريسبي!$A$2:$A$1800,$A184,الريسبي!$B$2:$B$1800,BZ$1)</f>
        <v>0</v>
      </c>
      <c r="CA184" s="117" t="n">
        <f aca="false">SUMIFS(الريسبي!$C$2:$C$1800,الريسبي!$A$2:$A$1800,$A184,الريسبي!$B$2:$B$1800,CA$1)</f>
        <v>0.5</v>
      </c>
      <c r="CB184" s="117" t="n">
        <f aca="false">SUMIFS(الريسبي!$C$2:$C$1800,الريسبي!$A$2:$A$1800,$A184,الريسبي!$B$2:$B$1800,CB$1)</f>
        <v>0.5</v>
      </c>
      <c r="CC184" s="117" t="n">
        <f aca="false">SUMIFS(الريسبي!$C$2:$C$1800,الريسبي!$A$2:$A$1800,$A184,الريسبي!$B$2:$B$1800,CC$1)</f>
        <v>0</v>
      </c>
      <c r="CD184" s="117" t="n">
        <f aca="false">SUMIFS(الريسبي!$C$2:$C$1800,الريسبي!$A$2:$A$1800,$A184,الريسبي!$B$2:$B$1800,CD$1)</f>
        <v>0</v>
      </c>
      <c r="CE184" s="117" t="n">
        <f aca="false">SUMIFS(الريسبي!$C$2:$C$1800,الريسبي!$A$2:$A$1800,$A184,الريسبي!$B$2:$B$1800,CE$1)</f>
        <v>0</v>
      </c>
      <c r="CF184" s="117" t="n">
        <f aca="false">SUMIFS(الريسبي!$C$2:$C$1800,الريسبي!$A$2:$A$1800,$A184,الريسبي!$B$2:$B$1800,CF$1)</f>
        <v>0</v>
      </c>
      <c r="CG184" s="117" t="n">
        <f aca="false">SUMIFS(الريسبي!$C$2:$C$1800,الريسبي!$A$2:$A$1800,$A184,الريسبي!$B$2:$B$1800,CG$1)</f>
        <v>0</v>
      </c>
      <c r="CH184" s="117" t="n">
        <f aca="false">SUMIFS(الريسبي!$C$2:$C$1800,الريسبي!$A$2:$A$1800,$A184,الريسبي!$B$2:$B$1800,CH$1)</f>
        <v>0</v>
      </c>
      <c r="CI184" s="117" t="n">
        <f aca="false">SUMIFS(الريسبي!$C$2:$C$1800,الريسبي!$A$2:$A$1800,$A184,الريسبي!$B$2:$B$1800,CI$1)</f>
        <v>0</v>
      </c>
      <c r="CJ184" s="117" t="n">
        <f aca="false">SUMIFS(الريسبي!$C$2:$C$1800,الريسبي!$A$2:$A$1800,$A184,الريسبي!$B$2:$B$1800,CJ$1)</f>
        <v>1</v>
      </c>
      <c r="CK184" s="117" t="n">
        <f aca="false">SUMIFS(الريسبي!$C$2:$C$1800,الريسبي!$A$2:$A$1800,$A184,الريسبي!$B$2:$B$1800,CK$1)</f>
        <v>0</v>
      </c>
      <c r="CL184" s="117" t="n">
        <f aca="false">SUMIFS(الريسبي!$C$2:$C$1800,الريسبي!$A$2:$A$1800,$A184,الريسبي!$B$2:$B$1800,CL$1)</f>
        <v>0</v>
      </c>
    </row>
    <row r="185" customFormat="false" ht="15" hidden="false" customHeight="false" outlineLevel="0" collapsed="false">
      <c r="A185" s="116" t="str">
        <f aca="false">المنيو!B185</f>
        <v>وجبة أطفال استربس + بطاطس</v>
      </c>
      <c r="B185" s="117" t="n">
        <f aca="false">SUMIFS(الريسبي!$C$2:$C$1800,الريسبي!$A$2:$A$1800,$A185,الريسبي!$B$2:$B$1800,B$1)</f>
        <v>0</v>
      </c>
      <c r="C185" s="117" t="n">
        <f aca="false">SUMIFS(الريسبي!$C$2:$C$1800,الريسبي!$A$2:$A$1800,$A185,الريسبي!$B$2:$B$1800,C$1)</f>
        <v>0</v>
      </c>
      <c r="D185" s="117" t="n">
        <f aca="false">SUMIFS(الريسبي!$C$2:$C$1800,الريسبي!$A$2:$A$1800,$A185,الريسبي!$B$2:$B$1800,D$1)</f>
        <v>0</v>
      </c>
      <c r="E185" s="117" t="n">
        <f aca="false">SUMIFS(الريسبي!$C$2:$C$1800,الريسبي!$A$2:$A$1800,$A185,الريسبي!$B$2:$B$1800,E$1)</f>
        <v>0</v>
      </c>
      <c r="F185" s="117" t="n">
        <f aca="false">SUMIFS(الريسبي!$C$2:$C$1800,الريسبي!$A$2:$A$1800,$A185,الريسبي!$B$2:$B$1800,F$1)</f>
        <v>0</v>
      </c>
      <c r="G185" s="117" t="n">
        <f aca="false">SUMIFS(الريسبي!$C$2:$C$1800,الريسبي!$A$2:$A$1800,$A185,الريسبي!$B$2:$B$1800,G$1)</f>
        <v>0</v>
      </c>
      <c r="H185" s="117" t="n">
        <f aca="false">SUMIFS(الريسبي!$C$2:$C$1800,الريسبي!$A$2:$A$1800,$A185,الريسبي!$B$2:$B$1800,H$1)</f>
        <v>0</v>
      </c>
      <c r="I185" s="117" t="n">
        <f aca="false">SUMIFS(الريسبي!$C$2:$C$1800,الريسبي!$A$2:$A$1800,$A185,الريسبي!$B$2:$B$1800,I$1)</f>
        <v>1</v>
      </c>
      <c r="J185" s="117" t="n">
        <f aca="false">SUMIFS(الريسبي!$C$2:$C$1800,الريسبي!$A$2:$A$1800,$A185,الريسبي!$B$2:$B$1800,J$1)</f>
        <v>0</v>
      </c>
      <c r="K185" s="117" t="n">
        <f aca="false">SUMIFS(الريسبي!$C$2:$C$1800,الريسبي!$A$2:$A$1800,$A185,الريسبي!$B$2:$B$1800,K$1)</f>
        <v>0</v>
      </c>
      <c r="L185" s="117" t="n">
        <f aca="false">SUMIFS(الريسبي!$C$2:$C$1800,الريسبي!$A$2:$A$1800,$A185,الريسبي!$B$2:$B$1800,L$1)</f>
        <v>0</v>
      </c>
      <c r="M185" s="117" t="n">
        <f aca="false">SUMIFS(الريسبي!$C$2:$C$1800,الريسبي!$A$2:$A$1800,$A185,الريسبي!$B$2:$B$1800,M$1)</f>
        <v>0</v>
      </c>
      <c r="N185" s="117" t="n">
        <f aca="false">SUMIFS(الريسبي!$C$2:$C$1800,الريسبي!$A$2:$A$1800,$A185,الريسبي!$B$2:$B$1800,N$1)</f>
        <v>0</v>
      </c>
      <c r="O185" s="117" t="n">
        <f aca="false">SUMIFS(الريسبي!$C$2:$C$1800,الريسبي!$A$2:$A$1800,$A185,الريسبي!$B$2:$B$1800,O$1)</f>
        <v>0</v>
      </c>
      <c r="P185" s="117" t="n">
        <f aca="false">SUMIFS(الريسبي!$C$2:$C$1800,الريسبي!$A$2:$A$1800,$A185,الريسبي!$B$2:$B$1800,P$1)</f>
        <v>0</v>
      </c>
      <c r="Q185" s="117" t="n">
        <f aca="false">SUMIFS(الريسبي!$C$2:$C$1800,الريسبي!$A$2:$A$1800,$A185,الريسبي!$B$2:$B$1800,Q$1)</f>
        <v>1</v>
      </c>
      <c r="R185" s="117" t="n">
        <f aca="false">SUMIFS(الريسبي!$C$2:$C$1800,الريسبي!$A$2:$A$1800,$A185,الريسبي!$B$2:$B$1800,R$1)</f>
        <v>0</v>
      </c>
      <c r="S185" s="117" t="n">
        <f aca="false">SUMIFS(الريسبي!$C$2:$C$1800,الريسبي!$A$2:$A$1800,$A185,الريسبي!$B$2:$B$1800,S$1)</f>
        <v>0</v>
      </c>
      <c r="T185" s="117" t="n">
        <f aca="false">SUMIFS(الريسبي!$C$2:$C$1800,الريسبي!$A$2:$A$1800,$A185,الريسبي!$B$2:$B$1800,T$1)</f>
        <v>0</v>
      </c>
      <c r="U185" s="117" t="n">
        <f aca="false">SUMIFS(الريسبي!$C$2:$C$1800,الريسبي!$A$2:$A$1800,$A185,الريسبي!$B$2:$B$1800,U$1)</f>
        <v>0</v>
      </c>
      <c r="V185" s="117" t="n">
        <f aca="false">SUMIFS(الريسبي!$C$2:$C$1800,الريسبي!$A$2:$A$1800,$A185,الريسبي!$B$2:$B$1800,V$1)</f>
        <v>0</v>
      </c>
      <c r="W185" s="117" t="n">
        <f aca="false">SUMIFS(الريسبي!$C$2:$C$1800,الريسبي!$A$2:$A$1800,$A185,الريسبي!$B$2:$B$1800,W$1)</f>
        <v>0</v>
      </c>
      <c r="X185" s="117" t="n">
        <f aca="false">SUMIFS(الريسبي!$C$2:$C$1800,الريسبي!$A$2:$A$1800,$A185,الريسبي!$B$2:$B$1800,X$1)</f>
        <v>0</v>
      </c>
      <c r="Y185" s="117" t="n">
        <f aca="false">SUMIFS(الريسبي!$C$2:$C$1800,الريسبي!$A$2:$A$1800,$A185,الريسبي!$B$2:$B$1800,Y$1)</f>
        <v>0</v>
      </c>
      <c r="Z185" s="117" t="n">
        <f aca="false">SUMIFS(الريسبي!$C$2:$C$1800,الريسبي!$A$2:$A$1800,$A185,الريسبي!$B$2:$B$1800,Z$1)</f>
        <v>0</v>
      </c>
      <c r="AA185" s="117" t="n">
        <f aca="false">SUMIFS(الريسبي!$C$2:$C$1800,الريسبي!$A$2:$A$1800,$A185,الريسبي!$B$2:$B$1800,AA$1)</f>
        <v>0</v>
      </c>
      <c r="AB185" s="117" t="n">
        <f aca="false">SUMIFS(الريسبي!$C$2:$C$1800,الريسبي!$A$2:$A$1800,$A185,الريسبي!$B$2:$B$1800,AB$1)</f>
        <v>0</v>
      </c>
      <c r="AC185" s="117" t="n">
        <f aca="false">SUMIFS(الريسبي!$C$2:$C$1800,الريسبي!$A$2:$A$1800,$A185,الريسبي!$B$2:$B$1800,AC$1)</f>
        <v>0</v>
      </c>
      <c r="AD185" s="117" t="n">
        <f aca="false">SUMIFS(الريسبي!$C$2:$C$1800,الريسبي!$A$2:$A$1800,$A185,الريسبي!$B$2:$B$1800,AD$1)</f>
        <v>0</v>
      </c>
      <c r="AE185" s="117" t="n">
        <f aca="false">SUMIFS(الريسبي!$C$2:$C$1800,الريسبي!$A$2:$A$1800,$A185,الريسبي!$B$2:$B$1800,AE$1)</f>
        <v>0</v>
      </c>
      <c r="AF185" s="117" t="n">
        <f aca="false">SUMIFS(الريسبي!$C$2:$C$1800,الريسبي!$A$2:$A$1800,$A185,الريسبي!$B$2:$B$1800,AF$1)</f>
        <v>0</v>
      </c>
      <c r="AG185" s="117" t="n">
        <f aca="false">SUMIFS(الريسبي!$C$2:$C$1800,الريسبي!$A$2:$A$1800,$A185,الريسبي!$B$2:$B$1800,AG$1)</f>
        <v>0</v>
      </c>
      <c r="AH185" s="117" t="n">
        <f aca="false">SUMIFS(الريسبي!$C$2:$C$1800,الريسبي!$A$2:$A$1800,$A185,الريسبي!$B$2:$B$1800,AH$1)</f>
        <v>0</v>
      </c>
      <c r="AI185" s="117" t="n">
        <f aca="false">SUMIFS(الريسبي!$C$2:$C$1800,الريسبي!$A$2:$A$1800,$A185,الريسبي!$B$2:$B$1800,AI$1)</f>
        <v>0</v>
      </c>
      <c r="AJ185" s="117" t="n">
        <f aca="false">SUMIFS(الريسبي!$C$2:$C$1800,الريسبي!$A$2:$A$1800,$A185,الريسبي!$B$2:$B$1800,AJ$1)</f>
        <v>0</v>
      </c>
      <c r="AK185" s="117" t="n">
        <f aca="false">SUMIFS(الريسبي!$C$2:$C$1800,الريسبي!$A$2:$A$1800,$A185,الريسبي!$B$2:$B$1800,AK$1)</f>
        <v>0</v>
      </c>
      <c r="AL185" s="117" t="n">
        <f aca="false">SUMIFS(الريسبي!$C$2:$C$1800,الريسبي!$A$2:$A$1800,$A185,الريسبي!$B$2:$B$1800,AL$1)</f>
        <v>0</v>
      </c>
      <c r="AM185" s="117" t="n">
        <f aca="false">SUMIFS(الريسبي!$C$2:$C$1800,الريسبي!$A$2:$A$1800,$A185,الريسبي!$B$2:$B$1800,AM$1)+0.08333333333*SUMIFS(الريسبي!$C$2:$C$1800,الريسبي!$A$2:$A$1800,$A185,الريسبي!$B$2:$B$1800,"عجين كريب (مصنع بالمطعم)")+0.08333333333*SUMIFS(الريسبي!$C$2:$C$1800,الريسبي!$A$2:$A$1800,$A185,الريسبي!$B$2:$B$1800,"عجين كريب صيامي (بدون لبن)")</f>
        <v>0</v>
      </c>
      <c r="AN185" s="117" t="n">
        <f aca="false">SUMIFS(الريسبي!$C$2:$C$1800,الريسبي!$A$2:$A$1800,$A185,الريسبي!$B$2:$B$1800,AN$1)+0.004166666667*SUMIFS(الريسبي!$C$2:$C$1800,الريسبي!$A$2:$A$1800,$A185,الريسبي!$B$2:$B$1800,"عجين كريب (مصنع بالمطعم)")+0.004166666667*SUMIFS(الريسبي!$C$2:$C$1800,الريسبي!$A$2:$A$1800,$A185,الريسبي!$B$2:$B$1800,"عجين كريب صيامي (بدون لبن)")</f>
        <v>0</v>
      </c>
      <c r="AO185" s="117" t="n">
        <f aca="false">SUMIFS(الريسبي!$C$2:$C$1800,الريسبي!$A$2:$A$1800,$A185,الريسبي!$B$2:$B$1800,AO$1)</f>
        <v>0</v>
      </c>
      <c r="AP185" s="117" t="n">
        <f aca="false">SUMIFS(الريسبي!$C$2:$C$1800,الريسبي!$A$2:$A$1800,$A185,الريسبي!$B$2:$B$1800,AP$1)</f>
        <v>0</v>
      </c>
      <c r="AQ185" s="117" t="n">
        <f aca="false">SUMIFS(الريسبي!$C$2:$C$1800,الريسبي!$A$2:$A$1800,$A185,الريسبي!$B$2:$B$1800,AQ$1)+0.004166666667*SUMIFS(الريسبي!$C$2:$C$1800,الريسبي!$A$2:$A$1800,$A185,الريسبي!$B$2:$B$1800,"عجين كريب (مصنع بالمطعم)")+0.004166666667*SUMIFS(الريسبي!$C$2:$C$1800,الريسبي!$A$2:$A$1800,$A185,الريسبي!$B$2:$B$1800,"عجين كريب صيامي (بدون لبن)")</f>
        <v>0</v>
      </c>
      <c r="AR185" s="117" t="n">
        <f aca="false">SUMIFS(الريسبي!$C$2:$C$1800,الريسبي!$A$2:$A$1800,$A185,الريسبي!$B$2:$B$1800,AR$1)</f>
        <v>0</v>
      </c>
      <c r="AS185" s="117" t="n">
        <f aca="false">SUMIFS(الريسبي!$C$2:$C$1800,الريسبي!$A$2:$A$1800,$A185,الريسبي!$B$2:$B$1800,AS$1)</f>
        <v>0</v>
      </c>
      <c r="AT185" s="117" t="n">
        <f aca="false">SUMIFS(الريسبي!$C$2:$C$1800,الريسبي!$A$2:$A$1800,$A185,الريسبي!$B$2:$B$1800,AT$1)</f>
        <v>0</v>
      </c>
      <c r="AU185" s="117" t="n">
        <f aca="false">SUMIFS(الريسبي!$C$2:$C$1800,الريسبي!$A$2:$A$1800,$A185,الريسبي!$B$2:$B$1800,AU$1)</f>
        <v>0</v>
      </c>
      <c r="AV185" s="117" t="n">
        <f aca="false">SUMIFS(الريسبي!$C$2:$C$1800,الريسبي!$A$2:$A$1800,$A185,الريسبي!$B$2:$B$1800,AV$1)</f>
        <v>0</v>
      </c>
      <c r="AW185" s="117" t="n">
        <f aca="false">SUMIFS(الريسبي!$C$2:$C$1800,الريسبي!$A$2:$A$1800,$A185,الريسبي!$B$2:$B$1800,AW$1)</f>
        <v>0</v>
      </c>
      <c r="AX185" s="117" t="n">
        <f aca="false">SUMIFS(الريسبي!$C$2:$C$1800,الريسبي!$A$2:$A$1800,$A185,الريسبي!$B$2:$B$1800,AX$1)</f>
        <v>0</v>
      </c>
      <c r="AY185" s="117" t="n">
        <f aca="false">SUMIFS(الريسبي!$C$2:$C$1800,الريسبي!$A$2:$A$1800,$A185,الريسبي!$B$2:$B$1800,AY$1)</f>
        <v>0</v>
      </c>
      <c r="AZ185" s="117" t="n">
        <f aca="false">SUMIFS(الريسبي!$C$2:$C$1800,الريسبي!$A$2:$A$1800,$A185,الريسبي!$B$2:$B$1800,AZ$1)</f>
        <v>0</v>
      </c>
      <c r="BA185" s="117" t="n">
        <f aca="false">SUMIFS(الريسبي!$C$2:$C$1800,الريسبي!$A$2:$A$1800,$A185,الريسبي!$B$2:$B$1800,BA$1)</f>
        <v>0</v>
      </c>
      <c r="BB185" s="117" t="n">
        <f aca="false">SUMIFS(الريسبي!$C$2:$C$1800,الريسبي!$A$2:$A$1800,$A185,الريسبي!$B$2:$B$1800,BB$1)</f>
        <v>0</v>
      </c>
      <c r="BC185" s="117" t="n">
        <f aca="false">SUMIFS(الريسبي!$C$2:$C$1800,الريسبي!$A$2:$A$1800,$A185,الريسبي!$B$2:$B$1800,BC$1)</f>
        <v>0</v>
      </c>
      <c r="BD185" s="117" t="n">
        <f aca="false">SUMIFS(الريسبي!$C$2:$C$1800,الريسبي!$A$2:$A$1800,$A185,الريسبي!$B$2:$B$1800,BD$1)</f>
        <v>0</v>
      </c>
      <c r="BE185" s="117" t="n">
        <f aca="false">SUMIFS(الريسبي!$C$2:$C$1800,الريسبي!$A$2:$A$1800,$A185,الريسبي!$B$2:$B$1800,BE$1)</f>
        <v>0</v>
      </c>
      <c r="BF185" s="117" t="n">
        <f aca="false">SUMIFS(الريسبي!$C$2:$C$1800,الريسبي!$A$2:$A$1800,$A185,الريسبي!$B$2:$B$1800,BF$1)</f>
        <v>0</v>
      </c>
      <c r="BG185" s="117" t="n">
        <f aca="false">SUMIFS(الريسبي!$C$2:$C$1800,الريسبي!$A$2:$A$1800,$A185,الريسبي!$B$2:$B$1800,BG$1)</f>
        <v>0</v>
      </c>
      <c r="BH185" s="117" t="n">
        <f aca="false">SUMIFS(الريسبي!$C$2:$C$1800,الريسبي!$A$2:$A$1800,$A185,الريسبي!$B$2:$B$1800,BH$1)</f>
        <v>0</v>
      </c>
      <c r="BI185" s="117" t="n">
        <f aca="false">SUMIFS(الريسبي!$C$2:$C$1800,الريسبي!$A$2:$A$1800,$A185,الريسبي!$B$2:$B$1800,BI$1)</f>
        <v>0</v>
      </c>
      <c r="BJ185" s="117" t="n">
        <f aca="false">SUMIFS(الريسبي!$C$2:$C$1800,الريسبي!$A$2:$A$1800,$A185,الريسبي!$B$2:$B$1800,BJ$1)</f>
        <v>0</v>
      </c>
      <c r="BK185" s="117" t="n">
        <f aca="false">SUMIFS(الريسبي!$C$2:$C$1800,الريسبي!$A$2:$A$1800,$A185,الريسبي!$B$2:$B$1800,BK$1)</f>
        <v>0</v>
      </c>
      <c r="BL185" s="117" t="n">
        <f aca="false">SUMIFS(الريسبي!$C$2:$C$1800,الريسبي!$A$2:$A$1800,$A185,الريسبي!$B$2:$B$1800,BL$1)</f>
        <v>0</v>
      </c>
      <c r="BM185" s="117" t="n">
        <f aca="false">SUMIFS(الريسبي!$C$2:$C$1800,الريسبي!$A$2:$A$1800,$A185,الريسبي!$B$2:$B$1800,BM$1)</f>
        <v>0</v>
      </c>
      <c r="BN185" s="117" t="n">
        <f aca="false">SUMIFS(الريسبي!$C$2:$C$1800,الريسبي!$A$2:$A$1800,$A185,الريسبي!$B$2:$B$1800,BN$1)</f>
        <v>0</v>
      </c>
      <c r="BO185" s="117" t="n">
        <f aca="false">SUMIFS(الريسبي!$C$2:$C$1800,الريسبي!$A$2:$A$1800,$A185,الريسبي!$B$2:$B$1800,BO$1)</f>
        <v>0</v>
      </c>
      <c r="BP185" s="117" t="n">
        <f aca="false">SUMIFS(الريسبي!$C$2:$C$1800,الريسبي!$A$2:$A$1800,$A185,الريسبي!$B$2:$B$1800,BP$1)</f>
        <v>0</v>
      </c>
      <c r="BQ185" s="117" t="n">
        <f aca="false">SUMIFS(الريسبي!$C$2:$C$1800,الريسبي!$A$2:$A$1800,$A185,الريسبي!$B$2:$B$1800,BQ$1)+0.17*SUMIFS(الريسبي!$C$2:$C$1800,الريسبي!$A$2:$A$1800,$A185,الريسبي!$B$2:$B$1800,"كاسترد مصنع (خليط بودر + لبن)")+0.17*SUMIFS(الريسبي!$C$2:$C$1800,الريسبي!$A$2:$A$1800,$A185,الريسبي!$B$2:$B$1800,"كاسترد مصنع صيامي (بدون لبن)")</f>
        <v>0</v>
      </c>
      <c r="BR185" s="117" t="n">
        <f aca="false">SUMIFS(الريسبي!$C$2:$C$1800,الريسبي!$A$2:$A$1800,$A185,الريسبي!$B$2:$B$1800,BR$1)</f>
        <v>0</v>
      </c>
      <c r="BS185" s="117" t="n">
        <f aca="false">SUMIFS(الريسبي!$C$2:$C$1800,الريسبي!$A$2:$A$1800,$A185,الريسبي!$B$2:$B$1800,BS$1)</f>
        <v>0</v>
      </c>
      <c r="BT185" s="117" t="n">
        <f aca="false">SUMIFS(الريسبي!$C$2:$C$1800,الريسبي!$A$2:$A$1800,$A185,الريسبي!$B$2:$B$1800,BT$1)</f>
        <v>0</v>
      </c>
      <c r="BU185" s="117" t="n">
        <f aca="false">SUMIFS(الريسبي!$C$2:$C$1800,الريسبي!$A$2:$A$1800,$A185,الريسبي!$B$2:$B$1800,BU$1)+0.4*SUMIFS(الريسبي!$C$2:$C$1800,الريسبي!$A$2:$A$1800,$A185,الريسبي!$B$2:$B$1800,"كاسترد مصنع (خليط بودر + لبن)")+0.03333333333*SUMIFS(الريسبي!$C$2:$C$1800,الريسبي!$A$2:$A$1800,$A185,الريسبي!$B$2:$B$1800,"عجين كريب (مصنع بالمطعم)")</f>
        <v>0</v>
      </c>
      <c r="BV185" s="117" t="n">
        <f aca="false">SUMIFS(الريسبي!$C$2:$C$1800,الريسبي!$A$2:$A$1800,$A185,الريسبي!$B$2:$B$1800,BV$1)</f>
        <v>1</v>
      </c>
      <c r="BW185" s="117" t="n">
        <f aca="false">SUMIFS(الريسبي!$C$2:$C$1800,الريسبي!$A$2:$A$1800,$A185,الريسبي!$B$2:$B$1800,BW$1)</f>
        <v>0</v>
      </c>
      <c r="BX185" s="117" t="n">
        <f aca="false">SUMIFS(الريسبي!$C$2:$C$1800,الريسبي!$A$2:$A$1800,$A185,الريسبي!$B$2:$B$1800,BX$1)</f>
        <v>0</v>
      </c>
      <c r="BY185" s="117" t="n">
        <f aca="false">SUMIFS(الريسبي!$C$2:$C$1800,الريسبي!$A$2:$A$1800,$A185,الريسبي!$B$2:$B$1800,BY$1)</f>
        <v>0</v>
      </c>
      <c r="BZ185" s="117" t="n">
        <f aca="false">SUMIFS(الريسبي!$C$2:$C$1800,الريسبي!$A$2:$A$1800,$A185,الريسبي!$B$2:$B$1800,BZ$1)</f>
        <v>0</v>
      </c>
      <c r="CA185" s="117" t="n">
        <f aca="false">SUMIFS(الريسبي!$C$2:$C$1800,الريسبي!$A$2:$A$1800,$A185,الريسبي!$B$2:$B$1800,CA$1)</f>
        <v>0</v>
      </c>
      <c r="CB185" s="117" t="n">
        <f aca="false">SUMIFS(الريسبي!$C$2:$C$1800,الريسبي!$A$2:$A$1800,$A185,الريسبي!$B$2:$B$1800,CB$1)</f>
        <v>0</v>
      </c>
      <c r="CC185" s="117" t="n">
        <f aca="false">SUMIFS(الريسبي!$C$2:$C$1800,الريسبي!$A$2:$A$1800,$A185,الريسبي!$B$2:$B$1800,CC$1)</f>
        <v>0</v>
      </c>
      <c r="CD185" s="117" t="n">
        <f aca="false">SUMIFS(الريسبي!$C$2:$C$1800,الريسبي!$A$2:$A$1800,$A185,الريسبي!$B$2:$B$1800,CD$1)</f>
        <v>0</v>
      </c>
      <c r="CE185" s="117" t="n">
        <f aca="false">SUMIFS(الريسبي!$C$2:$C$1800,الريسبي!$A$2:$A$1800,$A185,الريسبي!$B$2:$B$1800,CE$1)</f>
        <v>0</v>
      </c>
      <c r="CF185" s="117" t="n">
        <f aca="false">SUMIFS(الريسبي!$C$2:$C$1800,الريسبي!$A$2:$A$1800,$A185,الريسبي!$B$2:$B$1800,CF$1)</f>
        <v>0</v>
      </c>
      <c r="CG185" s="117" t="n">
        <f aca="false">SUMIFS(الريسبي!$C$2:$C$1800,الريسبي!$A$2:$A$1800,$A185,الريسبي!$B$2:$B$1800,CG$1)</f>
        <v>0</v>
      </c>
      <c r="CH185" s="117" t="n">
        <f aca="false">SUMIFS(الريسبي!$C$2:$C$1800,الريسبي!$A$2:$A$1800,$A185,الريسبي!$B$2:$B$1800,CH$1)</f>
        <v>0</v>
      </c>
      <c r="CI185" s="117" t="n">
        <f aca="false">SUMIFS(الريسبي!$C$2:$C$1800,الريسبي!$A$2:$A$1800,$A185,الريسبي!$B$2:$B$1800,CI$1)</f>
        <v>0</v>
      </c>
      <c r="CJ185" s="117" t="n">
        <f aca="false">SUMIFS(الريسبي!$C$2:$C$1800,الريسبي!$A$2:$A$1800,$A185,الريسبي!$B$2:$B$1800,CJ$1)</f>
        <v>1</v>
      </c>
      <c r="CK185" s="117" t="n">
        <f aca="false">SUMIFS(الريسبي!$C$2:$C$1800,الريسبي!$A$2:$A$1800,$A185,الريسبي!$B$2:$B$1800,CK$1)</f>
        <v>0</v>
      </c>
      <c r="CL185" s="117" t="n">
        <f aca="false">SUMIFS(الريسبي!$C$2:$C$1800,الريسبي!$A$2:$A$1800,$A185,الريسبي!$B$2:$B$1800,CL$1)</f>
        <v>0</v>
      </c>
    </row>
    <row r="186" customFormat="false" ht="15" hidden="false" customHeight="false" outlineLevel="0" collapsed="false">
      <c r="A186" s="116" t="str">
        <f aca="false">المنيو!B186</f>
        <v>وجبة أطفال استربس + مكرونة</v>
      </c>
      <c r="B186" s="117" t="n">
        <f aca="false">SUMIFS(الريسبي!$C$2:$C$1800,الريسبي!$A$2:$A$1800,$A186,الريسبي!$B$2:$B$1800,B$1)</f>
        <v>0</v>
      </c>
      <c r="C186" s="117" t="n">
        <f aca="false">SUMIFS(الريسبي!$C$2:$C$1800,الريسبي!$A$2:$A$1800,$A186,الريسبي!$B$2:$B$1800,C$1)</f>
        <v>0</v>
      </c>
      <c r="D186" s="117" t="n">
        <f aca="false">SUMIFS(الريسبي!$C$2:$C$1800,الريسبي!$A$2:$A$1800,$A186,الريسبي!$B$2:$B$1800,D$1)</f>
        <v>0</v>
      </c>
      <c r="E186" s="117" t="n">
        <f aca="false">SUMIFS(الريسبي!$C$2:$C$1800,الريسبي!$A$2:$A$1800,$A186,الريسبي!$B$2:$B$1800,E$1)</f>
        <v>0</v>
      </c>
      <c r="F186" s="117" t="n">
        <f aca="false">SUMIFS(الريسبي!$C$2:$C$1800,الريسبي!$A$2:$A$1800,$A186,الريسبي!$B$2:$B$1800,F$1)</f>
        <v>0</v>
      </c>
      <c r="G186" s="117" t="n">
        <f aca="false">SUMIFS(الريسبي!$C$2:$C$1800,الريسبي!$A$2:$A$1800,$A186,الريسبي!$B$2:$B$1800,G$1)</f>
        <v>0</v>
      </c>
      <c r="H186" s="117" t="n">
        <f aca="false">SUMIFS(الريسبي!$C$2:$C$1800,الريسبي!$A$2:$A$1800,$A186,الريسبي!$B$2:$B$1800,H$1)</f>
        <v>0</v>
      </c>
      <c r="I186" s="117" t="n">
        <f aca="false">SUMIFS(الريسبي!$C$2:$C$1800,الريسبي!$A$2:$A$1800,$A186,الريسبي!$B$2:$B$1800,I$1)</f>
        <v>0</v>
      </c>
      <c r="J186" s="117" t="n">
        <f aca="false">SUMIFS(الريسبي!$C$2:$C$1800,الريسبي!$A$2:$A$1800,$A186,الريسبي!$B$2:$B$1800,J$1)</f>
        <v>0</v>
      </c>
      <c r="K186" s="117" t="n">
        <f aca="false">SUMIFS(الريسبي!$C$2:$C$1800,الريسبي!$A$2:$A$1800,$A186,الريسبي!$B$2:$B$1800,K$1)</f>
        <v>0</v>
      </c>
      <c r="L186" s="117" t="n">
        <f aca="false">SUMIFS(الريسبي!$C$2:$C$1800,الريسبي!$A$2:$A$1800,$A186,الريسبي!$B$2:$B$1800,L$1)</f>
        <v>0</v>
      </c>
      <c r="M186" s="117" t="n">
        <f aca="false">SUMIFS(الريسبي!$C$2:$C$1800,الريسبي!$A$2:$A$1800,$A186,الريسبي!$B$2:$B$1800,M$1)</f>
        <v>0</v>
      </c>
      <c r="N186" s="117" t="n">
        <f aca="false">SUMIFS(الريسبي!$C$2:$C$1800,الريسبي!$A$2:$A$1800,$A186,الريسبي!$B$2:$B$1800,N$1)</f>
        <v>0</v>
      </c>
      <c r="O186" s="117" t="n">
        <f aca="false">SUMIFS(الريسبي!$C$2:$C$1800,الريسبي!$A$2:$A$1800,$A186,الريسبي!$B$2:$B$1800,O$1)</f>
        <v>0</v>
      </c>
      <c r="P186" s="117" t="n">
        <f aca="false">SUMIFS(الريسبي!$C$2:$C$1800,الريسبي!$A$2:$A$1800,$A186,الريسبي!$B$2:$B$1800,P$1)</f>
        <v>0</v>
      </c>
      <c r="Q186" s="117" t="n">
        <f aca="false">SUMIFS(الريسبي!$C$2:$C$1800,الريسبي!$A$2:$A$1800,$A186,الريسبي!$B$2:$B$1800,Q$1)</f>
        <v>1</v>
      </c>
      <c r="R186" s="117" t="n">
        <f aca="false">SUMIFS(الريسبي!$C$2:$C$1800,الريسبي!$A$2:$A$1800,$A186,الريسبي!$B$2:$B$1800,R$1)</f>
        <v>0</v>
      </c>
      <c r="S186" s="117" t="n">
        <f aca="false">SUMIFS(الريسبي!$C$2:$C$1800,الريسبي!$A$2:$A$1800,$A186,الريسبي!$B$2:$B$1800,S$1)</f>
        <v>0</v>
      </c>
      <c r="T186" s="117" t="n">
        <f aca="false">SUMIFS(الريسبي!$C$2:$C$1800,الريسبي!$A$2:$A$1800,$A186,الريسبي!$B$2:$B$1800,T$1)</f>
        <v>0</v>
      </c>
      <c r="U186" s="117" t="n">
        <f aca="false">SUMIFS(الريسبي!$C$2:$C$1800,الريسبي!$A$2:$A$1800,$A186,الريسبي!$B$2:$B$1800,U$1)</f>
        <v>0</v>
      </c>
      <c r="V186" s="117" t="n">
        <f aca="false">SUMIFS(الريسبي!$C$2:$C$1800,الريسبي!$A$2:$A$1800,$A186,الريسبي!$B$2:$B$1800,V$1)</f>
        <v>0</v>
      </c>
      <c r="W186" s="117" t="n">
        <f aca="false">SUMIFS(الريسبي!$C$2:$C$1800,الريسبي!$A$2:$A$1800,$A186,الريسبي!$B$2:$B$1800,W$1)</f>
        <v>0</v>
      </c>
      <c r="X186" s="117" t="n">
        <f aca="false">SUMIFS(الريسبي!$C$2:$C$1800,الريسبي!$A$2:$A$1800,$A186,الريسبي!$B$2:$B$1800,X$1)</f>
        <v>0</v>
      </c>
      <c r="Y186" s="117" t="n">
        <f aca="false">SUMIFS(الريسبي!$C$2:$C$1800,الريسبي!$A$2:$A$1800,$A186,الريسبي!$B$2:$B$1800,Y$1)</f>
        <v>0</v>
      </c>
      <c r="Z186" s="117" t="n">
        <f aca="false">SUMIFS(الريسبي!$C$2:$C$1800,الريسبي!$A$2:$A$1800,$A186,الريسبي!$B$2:$B$1800,Z$1)</f>
        <v>0</v>
      </c>
      <c r="AA186" s="117" t="n">
        <f aca="false">SUMIFS(الريسبي!$C$2:$C$1800,الريسبي!$A$2:$A$1800,$A186,الريسبي!$B$2:$B$1800,AA$1)</f>
        <v>0</v>
      </c>
      <c r="AB186" s="117" t="n">
        <f aca="false">SUMIFS(الريسبي!$C$2:$C$1800,الريسبي!$A$2:$A$1800,$A186,الريسبي!$B$2:$B$1800,AB$1)</f>
        <v>0</v>
      </c>
      <c r="AC186" s="117" t="n">
        <f aca="false">SUMIFS(الريسبي!$C$2:$C$1800,الريسبي!$A$2:$A$1800,$A186,الريسبي!$B$2:$B$1800,AC$1)</f>
        <v>0.1</v>
      </c>
      <c r="AD186" s="117" t="n">
        <f aca="false">SUMIFS(الريسبي!$C$2:$C$1800,الريسبي!$A$2:$A$1800,$A186,الريسبي!$B$2:$B$1800,AD$1)</f>
        <v>0</v>
      </c>
      <c r="AE186" s="117" t="n">
        <f aca="false">SUMIFS(الريسبي!$C$2:$C$1800,الريسبي!$A$2:$A$1800,$A186,الريسبي!$B$2:$B$1800,AE$1)</f>
        <v>0</v>
      </c>
      <c r="AF186" s="117" t="n">
        <f aca="false">SUMIFS(الريسبي!$C$2:$C$1800,الريسبي!$A$2:$A$1800,$A186,الريسبي!$B$2:$B$1800,AF$1)</f>
        <v>0</v>
      </c>
      <c r="AG186" s="117" t="n">
        <f aca="false">SUMIFS(الريسبي!$C$2:$C$1800,الريسبي!$A$2:$A$1800,$A186,الريسبي!$B$2:$B$1800,AG$1)</f>
        <v>0</v>
      </c>
      <c r="AH186" s="117" t="n">
        <f aca="false">SUMIFS(الريسبي!$C$2:$C$1800,الريسبي!$A$2:$A$1800,$A186,الريسبي!$B$2:$B$1800,AH$1)</f>
        <v>0</v>
      </c>
      <c r="AI186" s="117" t="n">
        <f aca="false">SUMIFS(الريسبي!$C$2:$C$1800,الريسبي!$A$2:$A$1800,$A186,الريسبي!$B$2:$B$1800,AI$1)</f>
        <v>0</v>
      </c>
      <c r="AJ186" s="117" t="n">
        <f aca="false">SUMIFS(الريسبي!$C$2:$C$1800,الريسبي!$A$2:$A$1800,$A186,الريسبي!$B$2:$B$1800,AJ$1)</f>
        <v>0</v>
      </c>
      <c r="AK186" s="117" t="n">
        <f aca="false">SUMIFS(الريسبي!$C$2:$C$1800,الريسبي!$A$2:$A$1800,$A186,الريسبي!$B$2:$B$1800,AK$1)</f>
        <v>0</v>
      </c>
      <c r="AL186" s="117" t="n">
        <f aca="false">SUMIFS(الريسبي!$C$2:$C$1800,الريسبي!$A$2:$A$1800,$A186,الريسبي!$B$2:$B$1800,AL$1)</f>
        <v>0</v>
      </c>
      <c r="AM186" s="117" t="n">
        <f aca="false">SUMIFS(الريسبي!$C$2:$C$1800,الريسبي!$A$2:$A$1800,$A186,الريسبي!$B$2:$B$1800,AM$1)+0.08333333333*SUMIFS(الريسبي!$C$2:$C$1800,الريسبي!$A$2:$A$1800,$A186,الريسبي!$B$2:$B$1800,"عجين كريب (مصنع بالمطعم)")+0.08333333333*SUMIFS(الريسبي!$C$2:$C$1800,الريسبي!$A$2:$A$1800,$A186,الريسبي!$B$2:$B$1800,"عجين كريب صيامي (بدون لبن)")</f>
        <v>0</v>
      </c>
      <c r="AN186" s="117" t="n">
        <f aca="false">SUMIFS(الريسبي!$C$2:$C$1800,الريسبي!$A$2:$A$1800,$A186,الريسبي!$B$2:$B$1800,AN$1)+0.004166666667*SUMIFS(الريسبي!$C$2:$C$1800,الريسبي!$A$2:$A$1800,$A186,الريسبي!$B$2:$B$1800,"عجين كريب (مصنع بالمطعم)")+0.004166666667*SUMIFS(الريسبي!$C$2:$C$1800,الريسبي!$A$2:$A$1800,$A186,الريسبي!$B$2:$B$1800,"عجين كريب صيامي (بدون لبن)")</f>
        <v>0.005</v>
      </c>
      <c r="AO186" s="117" t="n">
        <f aca="false">SUMIFS(الريسبي!$C$2:$C$1800,الريسبي!$A$2:$A$1800,$A186,الريسبي!$B$2:$B$1800,AO$1)</f>
        <v>0</v>
      </c>
      <c r="AP186" s="117" t="n">
        <f aca="false">SUMIFS(الريسبي!$C$2:$C$1800,الريسبي!$A$2:$A$1800,$A186,الريسبي!$B$2:$B$1800,AP$1)</f>
        <v>0</v>
      </c>
      <c r="AQ186" s="117" t="n">
        <f aca="false">SUMIFS(الريسبي!$C$2:$C$1800,الريسبي!$A$2:$A$1800,$A186,الريسبي!$B$2:$B$1800,AQ$1)+0.004166666667*SUMIFS(الريسبي!$C$2:$C$1800,الريسبي!$A$2:$A$1800,$A186,الريسبي!$B$2:$B$1800,"عجين كريب (مصنع بالمطعم)")+0.004166666667*SUMIFS(الريسبي!$C$2:$C$1800,الريسبي!$A$2:$A$1800,$A186,الريسبي!$B$2:$B$1800,"عجين كريب صيامي (بدون لبن)")</f>
        <v>0</v>
      </c>
      <c r="AR186" s="117" t="n">
        <f aca="false">SUMIFS(الريسبي!$C$2:$C$1800,الريسبي!$A$2:$A$1800,$A186,الريسبي!$B$2:$B$1800,AR$1)</f>
        <v>0</v>
      </c>
      <c r="AS186" s="117" t="n">
        <f aca="false">SUMIFS(الريسبي!$C$2:$C$1800,الريسبي!$A$2:$A$1800,$A186,الريسبي!$B$2:$B$1800,AS$1)</f>
        <v>0</v>
      </c>
      <c r="AT186" s="117" t="n">
        <f aca="false">SUMIFS(الريسبي!$C$2:$C$1800,الريسبي!$A$2:$A$1800,$A186,الريسبي!$B$2:$B$1800,AT$1)</f>
        <v>0</v>
      </c>
      <c r="AU186" s="117" t="n">
        <f aca="false">SUMIFS(الريسبي!$C$2:$C$1800,الريسبي!$A$2:$A$1800,$A186,الريسبي!$B$2:$B$1800,AU$1)</f>
        <v>0</v>
      </c>
      <c r="AV186" s="117" t="n">
        <f aca="false">SUMIFS(الريسبي!$C$2:$C$1800,الريسبي!$A$2:$A$1800,$A186,الريسبي!$B$2:$B$1800,AV$1)</f>
        <v>0</v>
      </c>
      <c r="AW186" s="117" t="n">
        <f aca="false">SUMIFS(الريسبي!$C$2:$C$1800,الريسبي!$A$2:$A$1800,$A186,الريسبي!$B$2:$B$1800,AW$1)</f>
        <v>0</v>
      </c>
      <c r="AX186" s="117" t="n">
        <f aca="false">SUMIFS(الريسبي!$C$2:$C$1800,الريسبي!$A$2:$A$1800,$A186,الريسبي!$B$2:$B$1800,AX$1)</f>
        <v>0</v>
      </c>
      <c r="AY186" s="117" t="n">
        <f aca="false">SUMIFS(الريسبي!$C$2:$C$1800,الريسبي!$A$2:$A$1800,$A186,الريسبي!$B$2:$B$1800,AY$1)</f>
        <v>0</v>
      </c>
      <c r="AZ186" s="117" t="n">
        <f aca="false">SUMIFS(الريسبي!$C$2:$C$1800,الريسبي!$A$2:$A$1800,$A186,الريسبي!$B$2:$B$1800,AZ$1)</f>
        <v>0</v>
      </c>
      <c r="BA186" s="117" t="n">
        <f aca="false">SUMIFS(الريسبي!$C$2:$C$1800,الريسبي!$A$2:$A$1800,$A186,الريسبي!$B$2:$B$1800,BA$1)</f>
        <v>0</v>
      </c>
      <c r="BB186" s="117" t="n">
        <f aca="false">SUMIFS(الريسبي!$C$2:$C$1800,الريسبي!$A$2:$A$1800,$A186,الريسبي!$B$2:$B$1800,BB$1)</f>
        <v>0</v>
      </c>
      <c r="BC186" s="117" t="n">
        <f aca="false">SUMIFS(الريسبي!$C$2:$C$1800,الريسبي!$A$2:$A$1800,$A186,الريسبي!$B$2:$B$1800,BC$1)</f>
        <v>0</v>
      </c>
      <c r="BD186" s="117" t="n">
        <f aca="false">SUMIFS(الريسبي!$C$2:$C$1800,الريسبي!$A$2:$A$1800,$A186,الريسبي!$B$2:$B$1800,BD$1)</f>
        <v>0</v>
      </c>
      <c r="BE186" s="117" t="n">
        <f aca="false">SUMIFS(الريسبي!$C$2:$C$1800,الريسبي!$A$2:$A$1800,$A186,الريسبي!$B$2:$B$1800,BE$1)</f>
        <v>0</v>
      </c>
      <c r="BF186" s="117" t="n">
        <f aca="false">SUMIFS(الريسبي!$C$2:$C$1800,الريسبي!$A$2:$A$1800,$A186,الريسبي!$B$2:$B$1800,BF$1)</f>
        <v>0</v>
      </c>
      <c r="BG186" s="117" t="n">
        <f aca="false">SUMIFS(الريسبي!$C$2:$C$1800,الريسبي!$A$2:$A$1800,$A186,الريسبي!$B$2:$B$1800,BG$1)</f>
        <v>0</v>
      </c>
      <c r="BH186" s="117" t="n">
        <f aca="false">SUMIFS(الريسبي!$C$2:$C$1800,الريسبي!$A$2:$A$1800,$A186,الريسبي!$B$2:$B$1800,BH$1)</f>
        <v>0</v>
      </c>
      <c r="BI186" s="117" t="n">
        <f aca="false">SUMIFS(الريسبي!$C$2:$C$1800,الريسبي!$A$2:$A$1800,$A186,الريسبي!$B$2:$B$1800,BI$1)</f>
        <v>0</v>
      </c>
      <c r="BJ186" s="117" t="n">
        <f aca="false">SUMIFS(الريسبي!$C$2:$C$1800,الريسبي!$A$2:$A$1800,$A186,الريسبي!$B$2:$B$1800,BJ$1)</f>
        <v>0</v>
      </c>
      <c r="BK186" s="117" t="n">
        <f aca="false">SUMIFS(الريسبي!$C$2:$C$1800,الريسبي!$A$2:$A$1800,$A186,الريسبي!$B$2:$B$1800,BK$1)</f>
        <v>0</v>
      </c>
      <c r="BL186" s="117" t="n">
        <f aca="false">SUMIFS(الريسبي!$C$2:$C$1800,الريسبي!$A$2:$A$1800,$A186,الريسبي!$B$2:$B$1800,BL$1)</f>
        <v>0</v>
      </c>
      <c r="BM186" s="117" t="n">
        <f aca="false">SUMIFS(الريسبي!$C$2:$C$1800,الريسبي!$A$2:$A$1800,$A186,الريسبي!$B$2:$B$1800,BM$1)</f>
        <v>0</v>
      </c>
      <c r="BN186" s="117" t="n">
        <f aca="false">SUMIFS(الريسبي!$C$2:$C$1800,الريسبي!$A$2:$A$1800,$A186,الريسبي!$B$2:$B$1800,BN$1)</f>
        <v>0</v>
      </c>
      <c r="BO186" s="117" t="n">
        <f aca="false">SUMIFS(الريسبي!$C$2:$C$1800,الريسبي!$A$2:$A$1800,$A186,الريسبي!$B$2:$B$1800,BO$1)</f>
        <v>0</v>
      </c>
      <c r="BP186" s="117" t="n">
        <f aca="false">SUMIFS(الريسبي!$C$2:$C$1800,الريسبي!$A$2:$A$1800,$A186,الريسبي!$B$2:$B$1800,BP$1)</f>
        <v>0</v>
      </c>
      <c r="BQ186" s="117" t="n">
        <f aca="false">SUMIFS(الريسبي!$C$2:$C$1800,الريسبي!$A$2:$A$1800,$A186,الريسبي!$B$2:$B$1800,BQ$1)+0.17*SUMIFS(الريسبي!$C$2:$C$1800,الريسبي!$A$2:$A$1800,$A186,الريسبي!$B$2:$B$1800,"كاسترد مصنع (خليط بودر + لبن)")+0.17*SUMIFS(الريسبي!$C$2:$C$1800,الريسبي!$A$2:$A$1800,$A186,الريسبي!$B$2:$B$1800,"كاسترد مصنع صيامي (بدون لبن)")</f>
        <v>0</v>
      </c>
      <c r="BR186" s="117" t="n">
        <f aca="false">SUMIFS(الريسبي!$C$2:$C$1800,الريسبي!$A$2:$A$1800,$A186,الريسبي!$B$2:$B$1800,BR$1)</f>
        <v>0</v>
      </c>
      <c r="BS186" s="117" t="n">
        <f aca="false">SUMIFS(الريسبي!$C$2:$C$1800,الريسبي!$A$2:$A$1800,$A186,الريسبي!$B$2:$B$1800,BS$1)</f>
        <v>0</v>
      </c>
      <c r="BT186" s="117" t="n">
        <f aca="false">SUMIFS(الريسبي!$C$2:$C$1800,الريسبي!$A$2:$A$1800,$A186,الريسبي!$B$2:$B$1800,BT$1)</f>
        <v>0</v>
      </c>
      <c r="BU186" s="117" t="n">
        <f aca="false">SUMIFS(الريسبي!$C$2:$C$1800,الريسبي!$A$2:$A$1800,$A186,الريسبي!$B$2:$B$1800,BU$1)+0.4*SUMIFS(الريسبي!$C$2:$C$1800,الريسبي!$A$2:$A$1800,$A186,الريسبي!$B$2:$B$1800,"كاسترد مصنع (خليط بودر + لبن)")+0.03333333333*SUMIFS(الريسبي!$C$2:$C$1800,الريسبي!$A$2:$A$1800,$A186,الريسبي!$B$2:$B$1800,"عجين كريب (مصنع بالمطعم)")</f>
        <v>0.025</v>
      </c>
      <c r="BV186" s="117" t="n">
        <f aca="false">SUMIFS(الريسبي!$C$2:$C$1800,الريسبي!$A$2:$A$1800,$A186,الريسبي!$B$2:$B$1800,BV$1)</f>
        <v>1</v>
      </c>
      <c r="BW186" s="117" t="n">
        <f aca="false">SUMIFS(الريسبي!$C$2:$C$1800,الريسبي!$A$2:$A$1800,$A186,الريسبي!$B$2:$B$1800,BW$1)</f>
        <v>0</v>
      </c>
      <c r="BX186" s="117" t="n">
        <f aca="false">SUMIFS(الريسبي!$C$2:$C$1800,الريسبي!$A$2:$A$1800,$A186,الريسبي!$B$2:$B$1800,BX$1)</f>
        <v>0</v>
      </c>
      <c r="BY186" s="117" t="n">
        <f aca="false">SUMIFS(الريسبي!$C$2:$C$1800,الريسبي!$A$2:$A$1800,$A186,الريسبي!$B$2:$B$1800,BY$1)</f>
        <v>0.075</v>
      </c>
      <c r="BZ186" s="117" t="n">
        <f aca="false">SUMIFS(الريسبي!$C$2:$C$1800,الريسبي!$A$2:$A$1800,$A186,الريسبي!$B$2:$B$1800,BZ$1)</f>
        <v>0</v>
      </c>
      <c r="CA186" s="117" t="n">
        <f aca="false">SUMIFS(الريسبي!$C$2:$C$1800,الريسبي!$A$2:$A$1800,$A186,الريسبي!$B$2:$B$1800,CA$1)</f>
        <v>0</v>
      </c>
      <c r="CB186" s="117" t="n">
        <f aca="false">SUMIFS(الريسبي!$C$2:$C$1800,الريسبي!$A$2:$A$1800,$A186,الريسبي!$B$2:$B$1800,CB$1)</f>
        <v>0</v>
      </c>
      <c r="CC186" s="117" t="n">
        <f aca="false">SUMIFS(الريسبي!$C$2:$C$1800,الريسبي!$A$2:$A$1800,$A186,الريسبي!$B$2:$B$1800,CC$1)</f>
        <v>0</v>
      </c>
      <c r="CD186" s="117" t="n">
        <f aca="false">SUMIFS(الريسبي!$C$2:$C$1800,الريسبي!$A$2:$A$1800,$A186,الريسبي!$B$2:$B$1800,CD$1)</f>
        <v>0</v>
      </c>
      <c r="CE186" s="117" t="n">
        <f aca="false">SUMIFS(الريسبي!$C$2:$C$1800,الريسبي!$A$2:$A$1800,$A186,الريسبي!$B$2:$B$1800,CE$1)</f>
        <v>0</v>
      </c>
      <c r="CF186" s="117" t="n">
        <f aca="false">SUMIFS(الريسبي!$C$2:$C$1800,الريسبي!$A$2:$A$1800,$A186,الريسبي!$B$2:$B$1800,CF$1)</f>
        <v>0</v>
      </c>
      <c r="CG186" s="117" t="n">
        <f aca="false">SUMIFS(الريسبي!$C$2:$C$1800,الريسبي!$A$2:$A$1800,$A186,الريسبي!$B$2:$B$1800,CG$1)</f>
        <v>0</v>
      </c>
      <c r="CH186" s="117" t="n">
        <f aca="false">SUMIFS(الريسبي!$C$2:$C$1800,الريسبي!$A$2:$A$1800,$A186,الريسبي!$B$2:$B$1800,CH$1)</f>
        <v>0</v>
      </c>
      <c r="CI186" s="117" t="n">
        <f aca="false">SUMIFS(الريسبي!$C$2:$C$1800,الريسبي!$A$2:$A$1800,$A186,الريسبي!$B$2:$B$1800,CI$1)</f>
        <v>0</v>
      </c>
      <c r="CJ186" s="117" t="n">
        <f aca="false">SUMIFS(الريسبي!$C$2:$C$1800,الريسبي!$A$2:$A$1800,$A186,الريسبي!$B$2:$B$1800,CJ$1)</f>
        <v>1</v>
      </c>
      <c r="CK186" s="117" t="n">
        <f aca="false">SUMIFS(الريسبي!$C$2:$C$1800,الريسبي!$A$2:$A$1800,$A186,الريسبي!$B$2:$B$1800,CK$1)</f>
        <v>0</v>
      </c>
      <c r="CL186" s="117" t="n">
        <f aca="false">SUMIFS(الريسبي!$C$2:$C$1800,الريسبي!$A$2:$A$1800,$A186,الريسبي!$B$2:$B$1800,CL$1)</f>
        <v>0</v>
      </c>
    </row>
    <row r="187" customFormat="false" ht="15" hidden="false" customHeight="false" outlineLevel="0" collapsed="false">
      <c r="A187" s="116" t="str">
        <f aca="false">المنيو!B187</f>
        <v>اضافة برجر</v>
      </c>
      <c r="B187" s="117" t="n">
        <f aca="false">SUMIFS(الريسبي!$C$2:$C$1800,الريسبي!$A$2:$A$1800,$A187,الريسبي!$B$2:$B$1800,B$1)</f>
        <v>0</v>
      </c>
      <c r="C187" s="117" t="n">
        <f aca="false">SUMIFS(الريسبي!$C$2:$C$1800,الريسبي!$A$2:$A$1800,$A187,الريسبي!$B$2:$B$1800,C$1)</f>
        <v>0</v>
      </c>
      <c r="D187" s="117" t="n">
        <f aca="false">SUMIFS(الريسبي!$C$2:$C$1800,الريسبي!$A$2:$A$1800,$A187,الريسبي!$B$2:$B$1800,D$1)</f>
        <v>0</v>
      </c>
      <c r="E187" s="117" t="n">
        <f aca="false">SUMIFS(الريسبي!$C$2:$C$1800,الريسبي!$A$2:$A$1800,$A187,الريسبي!$B$2:$B$1800,E$1)</f>
        <v>0</v>
      </c>
      <c r="F187" s="117" t="n">
        <f aca="false">SUMIFS(الريسبي!$C$2:$C$1800,الريسبي!$A$2:$A$1800,$A187,الريسبي!$B$2:$B$1800,F$1)</f>
        <v>1</v>
      </c>
      <c r="G187" s="117" t="n">
        <f aca="false">SUMIFS(الريسبي!$C$2:$C$1800,الريسبي!$A$2:$A$1800,$A187,الريسبي!$B$2:$B$1800,G$1)</f>
        <v>0</v>
      </c>
      <c r="H187" s="117" t="n">
        <f aca="false">SUMIFS(الريسبي!$C$2:$C$1800,الريسبي!$A$2:$A$1800,$A187,الريسبي!$B$2:$B$1800,H$1)</f>
        <v>0</v>
      </c>
      <c r="I187" s="117" t="n">
        <f aca="false">SUMIFS(الريسبي!$C$2:$C$1800,الريسبي!$A$2:$A$1800,$A187,الريسبي!$B$2:$B$1800,I$1)</f>
        <v>0</v>
      </c>
      <c r="J187" s="117" t="n">
        <f aca="false">SUMIFS(الريسبي!$C$2:$C$1800,الريسبي!$A$2:$A$1800,$A187,الريسبي!$B$2:$B$1800,J$1)</f>
        <v>0</v>
      </c>
      <c r="K187" s="117" t="n">
        <f aca="false">SUMIFS(الريسبي!$C$2:$C$1800,الريسبي!$A$2:$A$1800,$A187,الريسبي!$B$2:$B$1800,K$1)</f>
        <v>0</v>
      </c>
      <c r="L187" s="117" t="n">
        <f aca="false">SUMIFS(الريسبي!$C$2:$C$1800,الريسبي!$A$2:$A$1800,$A187,الريسبي!$B$2:$B$1800,L$1)</f>
        <v>0</v>
      </c>
      <c r="M187" s="117" t="n">
        <f aca="false">SUMIFS(الريسبي!$C$2:$C$1800,الريسبي!$A$2:$A$1800,$A187,الريسبي!$B$2:$B$1800,M$1)</f>
        <v>0</v>
      </c>
      <c r="N187" s="117" t="n">
        <f aca="false">SUMIFS(الريسبي!$C$2:$C$1800,الريسبي!$A$2:$A$1800,$A187,الريسبي!$B$2:$B$1800,N$1)</f>
        <v>0</v>
      </c>
      <c r="O187" s="117" t="n">
        <f aca="false">SUMIFS(الريسبي!$C$2:$C$1800,الريسبي!$A$2:$A$1800,$A187,الريسبي!$B$2:$B$1800,O$1)</f>
        <v>0</v>
      </c>
      <c r="P187" s="117" t="n">
        <f aca="false">SUMIFS(الريسبي!$C$2:$C$1800,الريسبي!$A$2:$A$1800,$A187,الريسبي!$B$2:$B$1800,P$1)</f>
        <v>0</v>
      </c>
      <c r="Q187" s="117" t="n">
        <f aca="false">SUMIFS(الريسبي!$C$2:$C$1800,الريسبي!$A$2:$A$1800,$A187,الريسبي!$B$2:$B$1800,Q$1)</f>
        <v>0</v>
      </c>
      <c r="R187" s="117" t="n">
        <f aca="false">SUMIFS(الريسبي!$C$2:$C$1800,الريسبي!$A$2:$A$1800,$A187,الريسبي!$B$2:$B$1800,R$1)</f>
        <v>0</v>
      </c>
      <c r="S187" s="117" t="n">
        <f aca="false">SUMIFS(الريسبي!$C$2:$C$1800,الريسبي!$A$2:$A$1800,$A187,الريسبي!$B$2:$B$1800,S$1)</f>
        <v>0</v>
      </c>
      <c r="T187" s="117" t="n">
        <f aca="false">SUMIFS(الريسبي!$C$2:$C$1800,الريسبي!$A$2:$A$1800,$A187,الريسبي!$B$2:$B$1800,T$1)</f>
        <v>0</v>
      </c>
      <c r="U187" s="117" t="n">
        <f aca="false">SUMIFS(الريسبي!$C$2:$C$1800,الريسبي!$A$2:$A$1800,$A187,الريسبي!$B$2:$B$1800,U$1)</f>
        <v>0</v>
      </c>
      <c r="V187" s="117" t="n">
        <f aca="false">SUMIFS(الريسبي!$C$2:$C$1800,الريسبي!$A$2:$A$1800,$A187,الريسبي!$B$2:$B$1800,V$1)</f>
        <v>0</v>
      </c>
      <c r="W187" s="117" t="n">
        <f aca="false">SUMIFS(الريسبي!$C$2:$C$1800,الريسبي!$A$2:$A$1800,$A187,الريسبي!$B$2:$B$1800,W$1)</f>
        <v>0</v>
      </c>
      <c r="X187" s="117" t="n">
        <f aca="false">SUMIFS(الريسبي!$C$2:$C$1800,الريسبي!$A$2:$A$1800,$A187,الريسبي!$B$2:$B$1800,X$1)</f>
        <v>0</v>
      </c>
      <c r="Y187" s="117" t="n">
        <f aca="false">SUMIFS(الريسبي!$C$2:$C$1800,الريسبي!$A$2:$A$1800,$A187,الريسبي!$B$2:$B$1800,Y$1)</f>
        <v>0</v>
      </c>
      <c r="Z187" s="117" t="n">
        <f aca="false">SUMIFS(الريسبي!$C$2:$C$1800,الريسبي!$A$2:$A$1800,$A187,الريسبي!$B$2:$B$1800,Z$1)</f>
        <v>0</v>
      </c>
      <c r="AA187" s="117" t="n">
        <f aca="false">SUMIFS(الريسبي!$C$2:$C$1800,الريسبي!$A$2:$A$1800,$A187,الريسبي!$B$2:$B$1800,AA$1)</f>
        <v>0</v>
      </c>
      <c r="AB187" s="117" t="n">
        <f aca="false">SUMIFS(الريسبي!$C$2:$C$1800,الريسبي!$A$2:$A$1800,$A187,الريسبي!$B$2:$B$1800,AB$1)</f>
        <v>0</v>
      </c>
      <c r="AC187" s="117" t="n">
        <f aca="false">SUMIFS(الريسبي!$C$2:$C$1800,الريسبي!$A$2:$A$1800,$A187,الريسبي!$B$2:$B$1800,AC$1)</f>
        <v>0</v>
      </c>
      <c r="AD187" s="117" t="n">
        <f aca="false">SUMIFS(الريسبي!$C$2:$C$1800,الريسبي!$A$2:$A$1800,$A187,الريسبي!$B$2:$B$1800,AD$1)</f>
        <v>0</v>
      </c>
      <c r="AE187" s="117" t="n">
        <f aca="false">SUMIFS(الريسبي!$C$2:$C$1800,الريسبي!$A$2:$A$1800,$A187,الريسبي!$B$2:$B$1800,AE$1)</f>
        <v>0</v>
      </c>
      <c r="AF187" s="117" t="n">
        <f aca="false">SUMIFS(الريسبي!$C$2:$C$1800,الريسبي!$A$2:$A$1800,$A187,الريسبي!$B$2:$B$1800,AF$1)</f>
        <v>0</v>
      </c>
      <c r="AG187" s="117" t="n">
        <f aca="false">SUMIFS(الريسبي!$C$2:$C$1800,الريسبي!$A$2:$A$1800,$A187,الريسبي!$B$2:$B$1800,AG$1)</f>
        <v>0</v>
      </c>
      <c r="AH187" s="117" t="n">
        <f aca="false">SUMIFS(الريسبي!$C$2:$C$1800,الريسبي!$A$2:$A$1800,$A187,الريسبي!$B$2:$B$1800,AH$1)</f>
        <v>0</v>
      </c>
      <c r="AI187" s="117" t="n">
        <f aca="false">SUMIFS(الريسبي!$C$2:$C$1800,الريسبي!$A$2:$A$1800,$A187,الريسبي!$B$2:$B$1800,AI$1)</f>
        <v>0</v>
      </c>
      <c r="AJ187" s="117" t="n">
        <f aca="false">SUMIFS(الريسبي!$C$2:$C$1800,الريسبي!$A$2:$A$1800,$A187,الريسبي!$B$2:$B$1800,AJ$1)</f>
        <v>0</v>
      </c>
      <c r="AK187" s="117" t="n">
        <f aca="false">SUMIFS(الريسبي!$C$2:$C$1800,الريسبي!$A$2:$A$1800,$A187,الريسبي!$B$2:$B$1800,AK$1)</f>
        <v>0</v>
      </c>
      <c r="AL187" s="117" t="n">
        <f aca="false">SUMIFS(الريسبي!$C$2:$C$1800,الريسبي!$A$2:$A$1800,$A187,الريسبي!$B$2:$B$1800,AL$1)</f>
        <v>0</v>
      </c>
      <c r="AM187" s="117" t="n">
        <f aca="false">SUMIFS(الريسبي!$C$2:$C$1800,الريسبي!$A$2:$A$1800,$A187,الريسبي!$B$2:$B$1800,AM$1)+0.08333333333*SUMIFS(الريسبي!$C$2:$C$1800,الريسبي!$A$2:$A$1800,$A187,الريسبي!$B$2:$B$1800,"عجين كريب (مصنع بالمطعم)")+0.08333333333*SUMIFS(الريسبي!$C$2:$C$1800,الريسبي!$A$2:$A$1800,$A187,الريسبي!$B$2:$B$1800,"عجين كريب صيامي (بدون لبن)")</f>
        <v>0</v>
      </c>
      <c r="AN187" s="117" t="n">
        <f aca="false">SUMIFS(الريسبي!$C$2:$C$1800,الريسبي!$A$2:$A$1800,$A187,الريسبي!$B$2:$B$1800,AN$1)+0.004166666667*SUMIFS(الريسبي!$C$2:$C$1800,الريسبي!$A$2:$A$1800,$A187,الريسبي!$B$2:$B$1800,"عجين كريب (مصنع بالمطعم)")+0.004166666667*SUMIFS(الريسبي!$C$2:$C$1800,الريسبي!$A$2:$A$1800,$A187,الريسبي!$B$2:$B$1800,"عجين كريب صيامي (بدون لبن)")</f>
        <v>0</v>
      </c>
      <c r="AO187" s="117" t="n">
        <f aca="false">SUMIFS(الريسبي!$C$2:$C$1800,الريسبي!$A$2:$A$1800,$A187,الريسبي!$B$2:$B$1800,AO$1)</f>
        <v>0</v>
      </c>
      <c r="AP187" s="117" t="n">
        <f aca="false">SUMIFS(الريسبي!$C$2:$C$1800,الريسبي!$A$2:$A$1800,$A187,الريسبي!$B$2:$B$1800,AP$1)</f>
        <v>0</v>
      </c>
      <c r="AQ187" s="117" t="n">
        <f aca="false">SUMIFS(الريسبي!$C$2:$C$1800,الريسبي!$A$2:$A$1800,$A187,الريسبي!$B$2:$B$1800,AQ$1)+0.004166666667*SUMIFS(الريسبي!$C$2:$C$1800,الريسبي!$A$2:$A$1800,$A187,الريسبي!$B$2:$B$1800,"عجين كريب (مصنع بالمطعم)")+0.004166666667*SUMIFS(الريسبي!$C$2:$C$1800,الريسبي!$A$2:$A$1800,$A187,الريسبي!$B$2:$B$1800,"عجين كريب صيامي (بدون لبن)")</f>
        <v>0</v>
      </c>
      <c r="AR187" s="117" t="n">
        <f aca="false">SUMIFS(الريسبي!$C$2:$C$1800,الريسبي!$A$2:$A$1800,$A187,الريسبي!$B$2:$B$1800,AR$1)</f>
        <v>0</v>
      </c>
      <c r="AS187" s="117" t="n">
        <f aca="false">SUMIFS(الريسبي!$C$2:$C$1800,الريسبي!$A$2:$A$1800,$A187,الريسبي!$B$2:$B$1800,AS$1)</f>
        <v>0</v>
      </c>
      <c r="AT187" s="117" t="n">
        <f aca="false">SUMIFS(الريسبي!$C$2:$C$1800,الريسبي!$A$2:$A$1800,$A187,الريسبي!$B$2:$B$1800,AT$1)</f>
        <v>0</v>
      </c>
      <c r="AU187" s="117" t="n">
        <f aca="false">SUMIFS(الريسبي!$C$2:$C$1800,الريسبي!$A$2:$A$1800,$A187,الريسبي!$B$2:$B$1800,AU$1)</f>
        <v>0</v>
      </c>
      <c r="AV187" s="117" t="n">
        <f aca="false">SUMIFS(الريسبي!$C$2:$C$1800,الريسبي!$A$2:$A$1800,$A187,الريسبي!$B$2:$B$1800,AV$1)</f>
        <v>0</v>
      </c>
      <c r="AW187" s="117" t="n">
        <f aca="false">SUMIFS(الريسبي!$C$2:$C$1800,الريسبي!$A$2:$A$1800,$A187,الريسبي!$B$2:$B$1800,AW$1)</f>
        <v>0</v>
      </c>
      <c r="AX187" s="117" t="n">
        <f aca="false">SUMIFS(الريسبي!$C$2:$C$1800,الريسبي!$A$2:$A$1800,$A187,الريسبي!$B$2:$B$1800,AX$1)</f>
        <v>0</v>
      </c>
      <c r="AY187" s="117" t="n">
        <f aca="false">SUMIFS(الريسبي!$C$2:$C$1800,الريسبي!$A$2:$A$1800,$A187,الريسبي!$B$2:$B$1800,AY$1)</f>
        <v>0</v>
      </c>
      <c r="AZ187" s="117" t="n">
        <f aca="false">SUMIFS(الريسبي!$C$2:$C$1800,الريسبي!$A$2:$A$1800,$A187,الريسبي!$B$2:$B$1800,AZ$1)</f>
        <v>0</v>
      </c>
      <c r="BA187" s="117" t="n">
        <f aca="false">SUMIFS(الريسبي!$C$2:$C$1800,الريسبي!$A$2:$A$1800,$A187,الريسبي!$B$2:$B$1800,BA$1)</f>
        <v>0</v>
      </c>
      <c r="BB187" s="117" t="n">
        <f aca="false">SUMIFS(الريسبي!$C$2:$C$1800,الريسبي!$A$2:$A$1800,$A187,الريسبي!$B$2:$B$1800,BB$1)</f>
        <v>0</v>
      </c>
      <c r="BC187" s="117" t="n">
        <f aca="false">SUMIFS(الريسبي!$C$2:$C$1800,الريسبي!$A$2:$A$1800,$A187,الريسبي!$B$2:$B$1800,BC$1)</f>
        <v>0</v>
      </c>
      <c r="BD187" s="117" t="n">
        <f aca="false">SUMIFS(الريسبي!$C$2:$C$1800,الريسبي!$A$2:$A$1800,$A187,الريسبي!$B$2:$B$1800,BD$1)</f>
        <v>0</v>
      </c>
      <c r="BE187" s="117" t="n">
        <f aca="false">SUMIFS(الريسبي!$C$2:$C$1800,الريسبي!$A$2:$A$1800,$A187,الريسبي!$B$2:$B$1800,BE$1)</f>
        <v>0</v>
      </c>
      <c r="BF187" s="117" t="n">
        <f aca="false">SUMIFS(الريسبي!$C$2:$C$1800,الريسبي!$A$2:$A$1800,$A187,الريسبي!$B$2:$B$1800,BF$1)</f>
        <v>0</v>
      </c>
      <c r="BG187" s="117" t="n">
        <f aca="false">SUMIFS(الريسبي!$C$2:$C$1800,الريسبي!$A$2:$A$1800,$A187,الريسبي!$B$2:$B$1800,BG$1)</f>
        <v>0</v>
      </c>
      <c r="BH187" s="117" t="n">
        <f aca="false">SUMIFS(الريسبي!$C$2:$C$1800,الريسبي!$A$2:$A$1800,$A187,الريسبي!$B$2:$B$1800,BH$1)</f>
        <v>0</v>
      </c>
      <c r="BI187" s="117" t="n">
        <f aca="false">SUMIFS(الريسبي!$C$2:$C$1800,الريسبي!$A$2:$A$1800,$A187,الريسبي!$B$2:$B$1800,BI$1)</f>
        <v>0</v>
      </c>
      <c r="BJ187" s="117" t="n">
        <f aca="false">SUMIFS(الريسبي!$C$2:$C$1800,الريسبي!$A$2:$A$1800,$A187,الريسبي!$B$2:$B$1800,BJ$1)</f>
        <v>0</v>
      </c>
      <c r="BK187" s="117" t="n">
        <f aca="false">SUMIFS(الريسبي!$C$2:$C$1800,الريسبي!$A$2:$A$1800,$A187,الريسبي!$B$2:$B$1800,BK$1)</f>
        <v>0</v>
      </c>
      <c r="BL187" s="117" t="n">
        <f aca="false">SUMIFS(الريسبي!$C$2:$C$1800,الريسبي!$A$2:$A$1800,$A187,الريسبي!$B$2:$B$1800,BL$1)</f>
        <v>0</v>
      </c>
      <c r="BM187" s="117" t="n">
        <f aca="false">SUMIFS(الريسبي!$C$2:$C$1800,الريسبي!$A$2:$A$1800,$A187,الريسبي!$B$2:$B$1800,BM$1)</f>
        <v>0</v>
      </c>
      <c r="BN187" s="117" t="n">
        <f aca="false">SUMIFS(الريسبي!$C$2:$C$1800,الريسبي!$A$2:$A$1800,$A187,الريسبي!$B$2:$B$1800,BN$1)</f>
        <v>0</v>
      </c>
      <c r="BO187" s="117" t="n">
        <f aca="false">SUMIFS(الريسبي!$C$2:$C$1800,الريسبي!$A$2:$A$1800,$A187,الريسبي!$B$2:$B$1800,BO$1)</f>
        <v>0</v>
      </c>
      <c r="BP187" s="117" t="n">
        <f aca="false">SUMIFS(الريسبي!$C$2:$C$1800,الريسبي!$A$2:$A$1800,$A187,الريسبي!$B$2:$B$1800,BP$1)</f>
        <v>0</v>
      </c>
      <c r="BQ187" s="117" t="n">
        <f aca="false">SUMIFS(الريسبي!$C$2:$C$1800,الريسبي!$A$2:$A$1800,$A187,الريسبي!$B$2:$B$1800,BQ$1)+0.17*SUMIFS(الريسبي!$C$2:$C$1800,الريسبي!$A$2:$A$1800,$A187,الريسبي!$B$2:$B$1800,"كاسترد مصنع (خليط بودر + لبن)")+0.17*SUMIFS(الريسبي!$C$2:$C$1800,الريسبي!$A$2:$A$1800,$A187,الريسبي!$B$2:$B$1800,"كاسترد مصنع صيامي (بدون لبن)")</f>
        <v>0</v>
      </c>
      <c r="BR187" s="117" t="n">
        <f aca="false">SUMIFS(الريسبي!$C$2:$C$1800,الريسبي!$A$2:$A$1800,$A187,الريسبي!$B$2:$B$1800,BR$1)</f>
        <v>0</v>
      </c>
      <c r="BS187" s="117" t="n">
        <f aca="false">SUMIFS(الريسبي!$C$2:$C$1800,الريسبي!$A$2:$A$1800,$A187,الريسبي!$B$2:$B$1800,BS$1)</f>
        <v>0</v>
      </c>
      <c r="BT187" s="117" t="n">
        <f aca="false">SUMIFS(الريسبي!$C$2:$C$1800,الريسبي!$A$2:$A$1800,$A187,الريسبي!$B$2:$B$1800,BT$1)</f>
        <v>0</v>
      </c>
      <c r="BU187" s="117" t="n">
        <f aca="false">SUMIFS(الريسبي!$C$2:$C$1800,الريسبي!$A$2:$A$1800,$A187,الريسبي!$B$2:$B$1800,BU$1)+0.4*SUMIFS(الريسبي!$C$2:$C$1800,الريسبي!$A$2:$A$1800,$A187,الريسبي!$B$2:$B$1800,"كاسترد مصنع (خليط بودر + لبن)")+0.03333333333*SUMIFS(الريسبي!$C$2:$C$1800,الريسبي!$A$2:$A$1800,$A187,الريسبي!$B$2:$B$1800,"عجين كريب (مصنع بالمطعم)")</f>
        <v>0</v>
      </c>
      <c r="BV187" s="117" t="n">
        <f aca="false">SUMIFS(الريسبي!$C$2:$C$1800,الريسبي!$A$2:$A$1800,$A187,الريسبي!$B$2:$B$1800,BV$1)</f>
        <v>0</v>
      </c>
      <c r="BW187" s="117" t="n">
        <f aca="false">SUMIFS(الريسبي!$C$2:$C$1800,الريسبي!$A$2:$A$1800,$A187,الريسبي!$B$2:$B$1800,BW$1)</f>
        <v>0</v>
      </c>
      <c r="BX187" s="117" t="n">
        <f aca="false">SUMIFS(الريسبي!$C$2:$C$1800,الريسبي!$A$2:$A$1800,$A187,الريسبي!$B$2:$B$1800,BX$1)</f>
        <v>0</v>
      </c>
      <c r="BY187" s="117" t="n">
        <f aca="false">SUMIFS(الريسبي!$C$2:$C$1800,الريسبي!$A$2:$A$1800,$A187,الريسبي!$B$2:$B$1800,BY$1)</f>
        <v>0</v>
      </c>
      <c r="BZ187" s="117" t="n">
        <f aca="false">SUMIFS(الريسبي!$C$2:$C$1800,الريسبي!$A$2:$A$1800,$A187,الريسبي!$B$2:$B$1800,BZ$1)</f>
        <v>0</v>
      </c>
      <c r="CA187" s="117" t="n">
        <f aca="false">SUMIFS(الريسبي!$C$2:$C$1800,الريسبي!$A$2:$A$1800,$A187,الريسبي!$B$2:$B$1800,CA$1)</f>
        <v>0</v>
      </c>
      <c r="CB187" s="117" t="n">
        <f aca="false">SUMIFS(الريسبي!$C$2:$C$1800,الريسبي!$A$2:$A$1800,$A187,الريسبي!$B$2:$B$1800,CB$1)</f>
        <v>0</v>
      </c>
      <c r="CC187" s="117" t="n">
        <f aca="false">SUMIFS(الريسبي!$C$2:$C$1800,الريسبي!$A$2:$A$1800,$A187,الريسبي!$B$2:$B$1800,CC$1)</f>
        <v>0</v>
      </c>
      <c r="CD187" s="117" t="n">
        <f aca="false">SUMIFS(الريسبي!$C$2:$C$1800,الريسبي!$A$2:$A$1800,$A187,الريسبي!$B$2:$B$1800,CD$1)</f>
        <v>0</v>
      </c>
      <c r="CE187" s="117" t="n">
        <f aca="false">SUMIFS(الريسبي!$C$2:$C$1800,الريسبي!$A$2:$A$1800,$A187,الريسبي!$B$2:$B$1800,CE$1)</f>
        <v>0</v>
      </c>
      <c r="CF187" s="117" t="n">
        <f aca="false">SUMIFS(الريسبي!$C$2:$C$1800,الريسبي!$A$2:$A$1800,$A187,الريسبي!$B$2:$B$1800,CF$1)</f>
        <v>0</v>
      </c>
      <c r="CG187" s="117" t="n">
        <f aca="false">SUMIFS(الريسبي!$C$2:$C$1800,الريسبي!$A$2:$A$1800,$A187,الريسبي!$B$2:$B$1800,CG$1)</f>
        <v>0</v>
      </c>
      <c r="CH187" s="117" t="n">
        <f aca="false">SUMIFS(الريسبي!$C$2:$C$1800,الريسبي!$A$2:$A$1800,$A187,الريسبي!$B$2:$B$1800,CH$1)</f>
        <v>0</v>
      </c>
      <c r="CI187" s="117" t="n">
        <f aca="false">SUMIFS(الريسبي!$C$2:$C$1800,الريسبي!$A$2:$A$1800,$A187,الريسبي!$B$2:$B$1800,CI$1)</f>
        <v>0</v>
      </c>
      <c r="CJ187" s="117" t="n">
        <f aca="false">SUMIFS(الريسبي!$C$2:$C$1800,الريسبي!$A$2:$A$1800,$A187,الريسبي!$B$2:$B$1800,CJ$1)</f>
        <v>0</v>
      </c>
      <c r="CK187" s="117" t="n">
        <f aca="false">SUMIFS(الريسبي!$C$2:$C$1800,الريسبي!$A$2:$A$1800,$A187,الريسبي!$B$2:$B$1800,CK$1)</f>
        <v>0</v>
      </c>
      <c r="CL187" s="117" t="n">
        <f aca="false">SUMIFS(الريسبي!$C$2:$C$1800,الريسبي!$A$2:$A$1800,$A187,الريسبي!$B$2:$B$1800,CL$1)</f>
        <v>0</v>
      </c>
    </row>
    <row r="188" customFormat="false" ht="15" hidden="false" customHeight="false" outlineLevel="0" collapsed="false">
      <c r="A188" s="116" t="str">
        <f aca="false">المنيو!B188</f>
        <v>اضافة وش شرقي (بيض وجبنة رومي) كبير</v>
      </c>
      <c r="B188" s="117" t="n">
        <f aca="false">SUMIFS(الريسبي!$C$2:$C$1800,الريسبي!$A$2:$A$1800,$A188,الريسبي!$B$2:$B$1800,B$1)</f>
        <v>0</v>
      </c>
      <c r="C188" s="117" t="n">
        <f aca="false">SUMIFS(الريسبي!$C$2:$C$1800,الريسبي!$A$2:$A$1800,$A188,الريسبي!$B$2:$B$1800,C$1)</f>
        <v>0</v>
      </c>
      <c r="D188" s="117" t="n">
        <f aca="false">SUMIFS(الريسبي!$C$2:$C$1800,الريسبي!$A$2:$A$1800,$A188,الريسبي!$B$2:$B$1800,D$1)</f>
        <v>0</v>
      </c>
      <c r="E188" s="117" t="n">
        <f aca="false">SUMIFS(الريسبي!$C$2:$C$1800,الريسبي!$A$2:$A$1800,$A188,الريسبي!$B$2:$B$1800,E$1)</f>
        <v>0</v>
      </c>
      <c r="F188" s="117" t="n">
        <f aca="false">SUMIFS(الريسبي!$C$2:$C$1800,الريسبي!$A$2:$A$1800,$A188,الريسبي!$B$2:$B$1800,F$1)</f>
        <v>0</v>
      </c>
      <c r="G188" s="117" t="n">
        <f aca="false">SUMIFS(الريسبي!$C$2:$C$1800,الريسبي!$A$2:$A$1800,$A188,الريسبي!$B$2:$B$1800,G$1)</f>
        <v>0</v>
      </c>
      <c r="H188" s="117" t="n">
        <f aca="false">SUMIFS(الريسبي!$C$2:$C$1800,الريسبي!$A$2:$A$1800,$A188,الريسبي!$B$2:$B$1800,H$1)</f>
        <v>0</v>
      </c>
      <c r="I188" s="117" t="n">
        <f aca="false">SUMIFS(الريسبي!$C$2:$C$1800,الريسبي!$A$2:$A$1800,$A188,الريسبي!$B$2:$B$1800,I$1)</f>
        <v>0</v>
      </c>
      <c r="J188" s="117" t="n">
        <f aca="false">SUMIFS(الريسبي!$C$2:$C$1800,الريسبي!$A$2:$A$1800,$A188,الريسبي!$B$2:$B$1800,J$1)</f>
        <v>1.5</v>
      </c>
      <c r="K188" s="117" t="n">
        <f aca="false">SUMIFS(الريسبي!$C$2:$C$1800,الريسبي!$A$2:$A$1800,$A188,الريسبي!$B$2:$B$1800,K$1)</f>
        <v>0</v>
      </c>
      <c r="L188" s="117" t="n">
        <f aca="false">SUMIFS(الريسبي!$C$2:$C$1800,الريسبي!$A$2:$A$1800,$A188,الريسبي!$B$2:$B$1800,L$1)</f>
        <v>0</v>
      </c>
      <c r="M188" s="117" t="n">
        <f aca="false">SUMIFS(الريسبي!$C$2:$C$1800,الريسبي!$A$2:$A$1800,$A188,الريسبي!$B$2:$B$1800,M$1)</f>
        <v>0</v>
      </c>
      <c r="N188" s="117" t="n">
        <f aca="false">SUMIFS(الريسبي!$C$2:$C$1800,الريسبي!$A$2:$A$1800,$A188,الريسبي!$B$2:$B$1800,N$1)</f>
        <v>0</v>
      </c>
      <c r="O188" s="117" t="n">
        <f aca="false">SUMIFS(الريسبي!$C$2:$C$1800,الريسبي!$A$2:$A$1800,$A188,الريسبي!$B$2:$B$1800,O$1)</f>
        <v>0</v>
      </c>
      <c r="P188" s="117" t="n">
        <f aca="false">SUMIFS(الريسبي!$C$2:$C$1800,الريسبي!$A$2:$A$1800,$A188,الريسبي!$B$2:$B$1800,P$1)</f>
        <v>0</v>
      </c>
      <c r="Q188" s="117" t="n">
        <f aca="false">SUMIFS(الريسبي!$C$2:$C$1800,الريسبي!$A$2:$A$1800,$A188,الريسبي!$B$2:$B$1800,Q$1)</f>
        <v>0</v>
      </c>
      <c r="R188" s="117" t="n">
        <f aca="false">SUMIFS(الريسبي!$C$2:$C$1800,الريسبي!$A$2:$A$1800,$A188,الريسبي!$B$2:$B$1800,R$1)</f>
        <v>0</v>
      </c>
      <c r="S188" s="117" t="n">
        <f aca="false">SUMIFS(الريسبي!$C$2:$C$1800,الريسبي!$A$2:$A$1800,$A188,الريسبي!$B$2:$B$1800,S$1)</f>
        <v>0</v>
      </c>
      <c r="T188" s="117" t="n">
        <f aca="false">SUMIFS(الريسبي!$C$2:$C$1800,الريسبي!$A$2:$A$1800,$A188,الريسبي!$B$2:$B$1800,T$1)</f>
        <v>0</v>
      </c>
      <c r="U188" s="117" t="n">
        <f aca="false">SUMIFS(الريسبي!$C$2:$C$1800,الريسبي!$A$2:$A$1800,$A188,الريسبي!$B$2:$B$1800,U$1)</f>
        <v>0</v>
      </c>
      <c r="V188" s="117" t="n">
        <f aca="false">SUMIFS(الريسبي!$C$2:$C$1800,الريسبي!$A$2:$A$1800,$A188,الريسبي!$B$2:$B$1800,V$1)</f>
        <v>0</v>
      </c>
      <c r="W188" s="117" t="n">
        <f aca="false">SUMIFS(الريسبي!$C$2:$C$1800,الريسبي!$A$2:$A$1800,$A188,الريسبي!$B$2:$B$1800,W$1)</f>
        <v>0</v>
      </c>
      <c r="X188" s="117" t="n">
        <f aca="false">SUMIFS(الريسبي!$C$2:$C$1800,الريسبي!$A$2:$A$1800,$A188,الريسبي!$B$2:$B$1800,X$1)</f>
        <v>0</v>
      </c>
      <c r="Y188" s="117" t="n">
        <f aca="false">SUMIFS(الريسبي!$C$2:$C$1800,الريسبي!$A$2:$A$1800,$A188,الريسبي!$B$2:$B$1800,Y$1)</f>
        <v>0</v>
      </c>
      <c r="Z188" s="117" t="n">
        <f aca="false">SUMIFS(الريسبي!$C$2:$C$1800,الريسبي!$A$2:$A$1800,$A188,الريسبي!$B$2:$B$1800,Z$1)</f>
        <v>0</v>
      </c>
      <c r="AA188" s="117" t="n">
        <f aca="false">SUMIFS(الريسبي!$C$2:$C$1800,الريسبي!$A$2:$A$1800,$A188,الريسبي!$B$2:$B$1800,AA$1)</f>
        <v>0</v>
      </c>
      <c r="AB188" s="117" t="n">
        <f aca="false">SUMIFS(الريسبي!$C$2:$C$1800,الريسبي!$A$2:$A$1800,$A188,الريسبي!$B$2:$B$1800,AB$1)</f>
        <v>0</v>
      </c>
      <c r="AC188" s="117" t="n">
        <f aca="false">SUMIFS(الريسبي!$C$2:$C$1800,الريسبي!$A$2:$A$1800,$A188,الريسبي!$B$2:$B$1800,AC$1)</f>
        <v>0</v>
      </c>
      <c r="AD188" s="117" t="n">
        <f aca="false">SUMIFS(الريسبي!$C$2:$C$1800,الريسبي!$A$2:$A$1800,$A188,الريسبي!$B$2:$B$1800,AD$1)</f>
        <v>0</v>
      </c>
      <c r="AE188" s="117" t="n">
        <f aca="false">SUMIFS(الريسبي!$C$2:$C$1800,الريسبي!$A$2:$A$1800,$A188,الريسبي!$B$2:$B$1800,AE$1)</f>
        <v>0</v>
      </c>
      <c r="AF188" s="117" t="n">
        <f aca="false">SUMIFS(الريسبي!$C$2:$C$1800,الريسبي!$A$2:$A$1800,$A188,الريسبي!$B$2:$B$1800,AF$1)</f>
        <v>0</v>
      </c>
      <c r="AG188" s="117" t="n">
        <f aca="false">SUMIFS(الريسبي!$C$2:$C$1800,الريسبي!$A$2:$A$1800,$A188,الريسبي!$B$2:$B$1800,AG$1)</f>
        <v>0</v>
      </c>
      <c r="AH188" s="117" t="n">
        <f aca="false">SUMIFS(الريسبي!$C$2:$C$1800,الريسبي!$A$2:$A$1800,$A188,الريسبي!$B$2:$B$1800,AH$1)</f>
        <v>0</v>
      </c>
      <c r="AI188" s="117" t="n">
        <f aca="false">SUMIFS(الريسبي!$C$2:$C$1800,الريسبي!$A$2:$A$1800,$A188,الريسبي!$B$2:$B$1800,AI$1)</f>
        <v>0</v>
      </c>
      <c r="AJ188" s="117" t="n">
        <f aca="false">SUMIFS(الريسبي!$C$2:$C$1800,الريسبي!$A$2:$A$1800,$A188,الريسبي!$B$2:$B$1800,AJ$1)</f>
        <v>0</v>
      </c>
      <c r="AK188" s="117" t="n">
        <f aca="false">SUMIFS(الريسبي!$C$2:$C$1800,الريسبي!$A$2:$A$1800,$A188,الريسبي!$B$2:$B$1800,AK$1)</f>
        <v>0</v>
      </c>
      <c r="AL188" s="117" t="n">
        <f aca="false">SUMIFS(الريسبي!$C$2:$C$1800,الريسبي!$A$2:$A$1800,$A188,الريسبي!$B$2:$B$1800,AL$1)</f>
        <v>0</v>
      </c>
      <c r="AM188" s="117" t="n">
        <f aca="false">SUMIFS(الريسبي!$C$2:$C$1800,الريسبي!$A$2:$A$1800,$A188,الريسبي!$B$2:$B$1800,AM$1)+0.08333333333*SUMIFS(الريسبي!$C$2:$C$1800,الريسبي!$A$2:$A$1800,$A188,الريسبي!$B$2:$B$1800,"عجين كريب (مصنع بالمطعم)")+0.08333333333*SUMIFS(الريسبي!$C$2:$C$1800,الريسبي!$A$2:$A$1800,$A188,الريسبي!$B$2:$B$1800,"عجين كريب صيامي (بدون لبن)")</f>
        <v>0</v>
      </c>
      <c r="AN188" s="117" t="n">
        <f aca="false">SUMIFS(الريسبي!$C$2:$C$1800,الريسبي!$A$2:$A$1800,$A188,الريسبي!$B$2:$B$1800,AN$1)+0.004166666667*SUMIFS(الريسبي!$C$2:$C$1800,الريسبي!$A$2:$A$1800,$A188,الريسبي!$B$2:$B$1800,"عجين كريب (مصنع بالمطعم)")+0.004166666667*SUMIFS(الريسبي!$C$2:$C$1800,الريسبي!$A$2:$A$1800,$A188,الريسبي!$B$2:$B$1800,"عجين كريب صيامي (بدون لبن)")</f>
        <v>0</v>
      </c>
      <c r="AO188" s="117" t="n">
        <f aca="false">SUMIFS(الريسبي!$C$2:$C$1800,الريسبي!$A$2:$A$1800,$A188,الريسبي!$B$2:$B$1800,AO$1)</f>
        <v>0</v>
      </c>
      <c r="AP188" s="117" t="n">
        <f aca="false">SUMIFS(الريسبي!$C$2:$C$1800,الريسبي!$A$2:$A$1800,$A188,الريسبي!$B$2:$B$1800,AP$1)</f>
        <v>0</v>
      </c>
      <c r="AQ188" s="117" t="n">
        <f aca="false">SUMIFS(الريسبي!$C$2:$C$1800,الريسبي!$A$2:$A$1800,$A188,الريسبي!$B$2:$B$1800,AQ$1)+0.004166666667*SUMIFS(الريسبي!$C$2:$C$1800,الريسبي!$A$2:$A$1800,$A188,الريسبي!$B$2:$B$1800,"عجين كريب (مصنع بالمطعم)")+0.004166666667*SUMIFS(الريسبي!$C$2:$C$1800,الريسبي!$A$2:$A$1800,$A188,الريسبي!$B$2:$B$1800,"عجين كريب صيامي (بدون لبن)")</f>
        <v>0</v>
      </c>
      <c r="AR188" s="117" t="n">
        <f aca="false">SUMIFS(الريسبي!$C$2:$C$1800,الريسبي!$A$2:$A$1800,$A188,الريسبي!$B$2:$B$1800,AR$1)</f>
        <v>0</v>
      </c>
      <c r="AS188" s="117" t="n">
        <f aca="false">SUMIFS(الريسبي!$C$2:$C$1800,الريسبي!$A$2:$A$1800,$A188,الريسبي!$B$2:$B$1800,AS$1)</f>
        <v>0</v>
      </c>
      <c r="AT188" s="117" t="n">
        <f aca="false">SUMIFS(الريسبي!$C$2:$C$1800,الريسبي!$A$2:$A$1800,$A188,الريسبي!$B$2:$B$1800,AT$1)</f>
        <v>0</v>
      </c>
      <c r="AU188" s="117" t="n">
        <f aca="false">SUMIFS(الريسبي!$C$2:$C$1800,الريسبي!$A$2:$A$1800,$A188,الريسبي!$B$2:$B$1800,AU$1)</f>
        <v>0</v>
      </c>
      <c r="AV188" s="117" t="n">
        <f aca="false">SUMIFS(الريسبي!$C$2:$C$1800,الريسبي!$A$2:$A$1800,$A188,الريسبي!$B$2:$B$1800,AV$1)</f>
        <v>0</v>
      </c>
      <c r="AW188" s="117" t="n">
        <f aca="false">SUMIFS(الريسبي!$C$2:$C$1800,الريسبي!$A$2:$A$1800,$A188,الريسبي!$B$2:$B$1800,AW$1)</f>
        <v>0</v>
      </c>
      <c r="AX188" s="117" t="n">
        <f aca="false">SUMIFS(الريسبي!$C$2:$C$1800,الريسبي!$A$2:$A$1800,$A188,الريسبي!$B$2:$B$1800,AX$1)</f>
        <v>0</v>
      </c>
      <c r="AY188" s="117" t="n">
        <f aca="false">SUMIFS(الريسبي!$C$2:$C$1800,الريسبي!$A$2:$A$1800,$A188,الريسبي!$B$2:$B$1800,AY$1)</f>
        <v>0</v>
      </c>
      <c r="AZ188" s="117" t="n">
        <f aca="false">SUMIFS(الريسبي!$C$2:$C$1800,الريسبي!$A$2:$A$1800,$A188,الريسبي!$B$2:$B$1800,AZ$1)</f>
        <v>0</v>
      </c>
      <c r="BA188" s="117" t="n">
        <f aca="false">SUMIFS(الريسبي!$C$2:$C$1800,الريسبي!$A$2:$A$1800,$A188,الريسبي!$B$2:$B$1800,BA$1)</f>
        <v>0</v>
      </c>
      <c r="BB188" s="117" t="n">
        <f aca="false">SUMIFS(الريسبي!$C$2:$C$1800,الريسبي!$A$2:$A$1800,$A188,الريسبي!$B$2:$B$1800,BB$1)</f>
        <v>0</v>
      </c>
      <c r="BC188" s="117" t="n">
        <f aca="false">SUMIFS(الريسبي!$C$2:$C$1800,الريسبي!$A$2:$A$1800,$A188,الريسبي!$B$2:$B$1800,BC$1)</f>
        <v>0</v>
      </c>
      <c r="BD188" s="117" t="n">
        <f aca="false">SUMIFS(الريسبي!$C$2:$C$1800,الريسبي!$A$2:$A$1800,$A188,الريسبي!$B$2:$B$1800,BD$1)</f>
        <v>0</v>
      </c>
      <c r="BE188" s="117" t="n">
        <f aca="false">SUMIFS(الريسبي!$C$2:$C$1800,الريسبي!$A$2:$A$1800,$A188,الريسبي!$B$2:$B$1800,BE$1)</f>
        <v>0</v>
      </c>
      <c r="BF188" s="117" t="n">
        <f aca="false">SUMIFS(الريسبي!$C$2:$C$1800,الريسبي!$A$2:$A$1800,$A188,الريسبي!$B$2:$B$1800,BF$1)</f>
        <v>0</v>
      </c>
      <c r="BG188" s="117" t="n">
        <f aca="false">SUMIFS(الريسبي!$C$2:$C$1800,الريسبي!$A$2:$A$1800,$A188,الريسبي!$B$2:$B$1800,BG$1)</f>
        <v>0</v>
      </c>
      <c r="BH188" s="117" t="n">
        <f aca="false">SUMIFS(الريسبي!$C$2:$C$1800,الريسبي!$A$2:$A$1800,$A188,الريسبي!$B$2:$B$1800,BH$1)</f>
        <v>0</v>
      </c>
      <c r="BI188" s="117" t="n">
        <f aca="false">SUMIFS(الريسبي!$C$2:$C$1800,الريسبي!$A$2:$A$1800,$A188,الريسبي!$B$2:$B$1800,BI$1)</f>
        <v>0</v>
      </c>
      <c r="BJ188" s="117" t="n">
        <f aca="false">SUMIFS(الريسبي!$C$2:$C$1800,الريسبي!$A$2:$A$1800,$A188,الريسبي!$B$2:$B$1800,BJ$1)</f>
        <v>0</v>
      </c>
      <c r="BK188" s="117" t="n">
        <f aca="false">SUMIFS(الريسبي!$C$2:$C$1800,الريسبي!$A$2:$A$1800,$A188,الريسبي!$B$2:$B$1800,BK$1)</f>
        <v>0</v>
      </c>
      <c r="BL188" s="117" t="n">
        <f aca="false">SUMIFS(الريسبي!$C$2:$C$1800,الريسبي!$A$2:$A$1800,$A188,الريسبي!$B$2:$B$1800,BL$1)</f>
        <v>0</v>
      </c>
      <c r="BM188" s="117" t="n">
        <f aca="false">SUMIFS(الريسبي!$C$2:$C$1800,الريسبي!$A$2:$A$1800,$A188,الريسبي!$B$2:$B$1800,BM$1)</f>
        <v>0</v>
      </c>
      <c r="BN188" s="117" t="n">
        <f aca="false">SUMIFS(الريسبي!$C$2:$C$1800,الريسبي!$A$2:$A$1800,$A188,الريسبي!$B$2:$B$1800,BN$1)</f>
        <v>0</v>
      </c>
      <c r="BO188" s="117" t="n">
        <f aca="false">SUMIFS(الريسبي!$C$2:$C$1800,الريسبي!$A$2:$A$1800,$A188,الريسبي!$B$2:$B$1800,BO$1)</f>
        <v>0</v>
      </c>
      <c r="BP188" s="117" t="n">
        <f aca="false">SUMIFS(الريسبي!$C$2:$C$1800,الريسبي!$A$2:$A$1800,$A188,الريسبي!$B$2:$B$1800,BP$1)</f>
        <v>0</v>
      </c>
      <c r="BQ188" s="117" t="n">
        <f aca="false">SUMIFS(الريسبي!$C$2:$C$1800,الريسبي!$A$2:$A$1800,$A188,الريسبي!$B$2:$B$1800,BQ$1)+0.17*SUMIFS(الريسبي!$C$2:$C$1800,الريسبي!$A$2:$A$1800,$A188,الريسبي!$B$2:$B$1800,"كاسترد مصنع (خليط بودر + لبن)")+0.17*SUMIFS(الريسبي!$C$2:$C$1800,الريسبي!$A$2:$A$1800,$A188,الريسبي!$B$2:$B$1800,"كاسترد مصنع صيامي (بدون لبن)")</f>
        <v>0</v>
      </c>
      <c r="BR188" s="117" t="n">
        <f aca="false">SUMIFS(الريسبي!$C$2:$C$1800,الريسبي!$A$2:$A$1800,$A188,الريسبي!$B$2:$B$1800,BR$1)</f>
        <v>0</v>
      </c>
      <c r="BS188" s="117" t="n">
        <f aca="false">SUMIFS(الريسبي!$C$2:$C$1800,الريسبي!$A$2:$A$1800,$A188,الريسبي!$B$2:$B$1800,BS$1)</f>
        <v>0</v>
      </c>
      <c r="BT188" s="117" t="n">
        <f aca="false">SUMIFS(الريسبي!$C$2:$C$1800,الريسبي!$A$2:$A$1800,$A188,الريسبي!$B$2:$B$1800,BT$1)</f>
        <v>0</v>
      </c>
      <c r="BU188" s="117" t="n">
        <f aca="false">SUMIFS(الريسبي!$C$2:$C$1800,الريسبي!$A$2:$A$1800,$A188,الريسبي!$B$2:$B$1800,BU$1)+0.4*SUMIFS(الريسبي!$C$2:$C$1800,الريسبي!$A$2:$A$1800,$A188,الريسبي!$B$2:$B$1800,"كاسترد مصنع (خليط بودر + لبن)")+0.03333333333*SUMIFS(الريسبي!$C$2:$C$1800,الريسبي!$A$2:$A$1800,$A188,الريسبي!$B$2:$B$1800,"عجين كريب (مصنع بالمطعم)")</f>
        <v>0</v>
      </c>
      <c r="BV188" s="117" t="n">
        <f aca="false">SUMIFS(الريسبي!$C$2:$C$1800,الريسبي!$A$2:$A$1800,$A188,الريسبي!$B$2:$B$1800,BV$1)</f>
        <v>0</v>
      </c>
      <c r="BW188" s="117" t="n">
        <f aca="false">SUMIFS(الريسبي!$C$2:$C$1800,الريسبي!$A$2:$A$1800,$A188,الريسبي!$B$2:$B$1800,BW$1)</f>
        <v>0</v>
      </c>
      <c r="BX188" s="117" t="n">
        <f aca="false">SUMIFS(الريسبي!$C$2:$C$1800,الريسبي!$A$2:$A$1800,$A188,الريسبي!$B$2:$B$1800,BX$1)</f>
        <v>0</v>
      </c>
      <c r="BY188" s="117" t="n">
        <f aca="false">SUMIFS(الريسبي!$C$2:$C$1800,الريسبي!$A$2:$A$1800,$A188,الريسبي!$B$2:$B$1800,BY$1)</f>
        <v>0</v>
      </c>
      <c r="BZ188" s="117" t="n">
        <f aca="false">SUMIFS(الريسبي!$C$2:$C$1800,الريسبي!$A$2:$A$1800,$A188,الريسبي!$B$2:$B$1800,BZ$1)</f>
        <v>0</v>
      </c>
      <c r="CA188" s="117" t="n">
        <f aca="false">SUMIFS(الريسبي!$C$2:$C$1800,الريسبي!$A$2:$A$1800,$A188,الريسبي!$B$2:$B$1800,CA$1)</f>
        <v>0</v>
      </c>
      <c r="CB188" s="117" t="n">
        <f aca="false">SUMIFS(الريسبي!$C$2:$C$1800,الريسبي!$A$2:$A$1800,$A188,الريسبي!$B$2:$B$1800,CB$1)</f>
        <v>0</v>
      </c>
      <c r="CC188" s="117" t="n">
        <f aca="false">SUMIFS(الريسبي!$C$2:$C$1800,الريسبي!$A$2:$A$1800,$A188,الريسبي!$B$2:$B$1800,CC$1)</f>
        <v>0</v>
      </c>
      <c r="CD188" s="117" t="n">
        <f aca="false">SUMIFS(الريسبي!$C$2:$C$1800,الريسبي!$A$2:$A$1800,$A188,الريسبي!$B$2:$B$1800,CD$1)</f>
        <v>0</v>
      </c>
      <c r="CE188" s="117" t="n">
        <f aca="false">SUMIFS(الريسبي!$C$2:$C$1800,الريسبي!$A$2:$A$1800,$A188,الريسبي!$B$2:$B$1800,CE$1)</f>
        <v>0</v>
      </c>
      <c r="CF188" s="117" t="n">
        <f aca="false">SUMIFS(الريسبي!$C$2:$C$1800,الريسبي!$A$2:$A$1800,$A188,الريسبي!$B$2:$B$1800,CF$1)</f>
        <v>0</v>
      </c>
      <c r="CG188" s="117" t="n">
        <f aca="false">SUMIFS(الريسبي!$C$2:$C$1800,الريسبي!$A$2:$A$1800,$A188,الريسبي!$B$2:$B$1800,CG$1)</f>
        <v>0</v>
      </c>
      <c r="CH188" s="117" t="n">
        <f aca="false">SUMIFS(الريسبي!$C$2:$C$1800,الريسبي!$A$2:$A$1800,$A188,الريسبي!$B$2:$B$1800,CH$1)</f>
        <v>0</v>
      </c>
      <c r="CI188" s="117" t="n">
        <f aca="false">SUMIFS(الريسبي!$C$2:$C$1800,الريسبي!$A$2:$A$1800,$A188,الريسبي!$B$2:$B$1800,CI$1)</f>
        <v>0</v>
      </c>
      <c r="CJ188" s="117" t="n">
        <f aca="false">SUMIFS(الريسبي!$C$2:$C$1800,الريسبي!$A$2:$A$1800,$A188,الريسبي!$B$2:$B$1800,CJ$1)</f>
        <v>0</v>
      </c>
      <c r="CK188" s="117" t="n">
        <f aca="false">SUMIFS(الريسبي!$C$2:$C$1800,الريسبي!$A$2:$A$1800,$A188,الريسبي!$B$2:$B$1800,CK$1)</f>
        <v>0</v>
      </c>
      <c r="CL188" s="117" t="n">
        <f aca="false">SUMIFS(الريسبي!$C$2:$C$1800,الريسبي!$A$2:$A$1800,$A188,الريسبي!$B$2:$B$1800,CL$1)</f>
        <v>0</v>
      </c>
    </row>
    <row r="189" customFormat="false" ht="15" hidden="false" customHeight="false" outlineLevel="0" collapsed="false">
      <c r="A189" s="116" t="str">
        <f aca="false">المنيو!B189</f>
        <v>بيبسي 2 لتر</v>
      </c>
      <c r="B189" s="117" t="n">
        <f aca="false">SUMIFS(الريسبي!$C$2:$C$1800,الريسبي!$A$2:$A$1800,$A189,الريسبي!$B$2:$B$1800,B$1)</f>
        <v>0</v>
      </c>
      <c r="C189" s="117" t="n">
        <f aca="false">SUMIFS(الريسبي!$C$2:$C$1800,الريسبي!$A$2:$A$1800,$A189,الريسبي!$B$2:$B$1800,C$1)</f>
        <v>0</v>
      </c>
      <c r="D189" s="117" t="n">
        <f aca="false">SUMIFS(الريسبي!$C$2:$C$1800,الريسبي!$A$2:$A$1800,$A189,الريسبي!$B$2:$B$1800,D$1)</f>
        <v>0</v>
      </c>
      <c r="E189" s="117" t="n">
        <f aca="false">SUMIFS(الريسبي!$C$2:$C$1800,الريسبي!$A$2:$A$1800,$A189,الريسبي!$B$2:$B$1800,E$1)</f>
        <v>0</v>
      </c>
      <c r="F189" s="117" t="n">
        <f aca="false">SUMIFS(الريسبي!$C$2:$C$1800,الريسبي!$A$2:$A$1800,$A189,الريسبي!$B$2:$B$1800,F$1)</f>
        <v>0</v>
      </c>
      <c r="G189" s="117" t="n">
        <f aca="false">SUMIFS(الريسبي!$C$2:$C$1800,الريسبي!$A$2:$A$1800,$A189,الريسبي!$B$2:$B$1800,G$1)</f>
        <v>0</v>
      </c>
      <c r="H189" s="117" t="n">
        <f aca="false">SUMIFS(الريسبي!$C$2:$C$1800,الريسبي!$A$2:$A$1800,$A189,الريسبي!$B$2:$B$1800,H$1)</f>
        <v>0</v>
      </c>
      <c r="I189" s="117" t="n">
        <f aca="false">SUMIFS(الريسبي!$C$2:$C$1800,الريسبي!$A$2:$A$1800,$A189,الريسبي!$B$2:$B$1800,I$1)</f>
        <v>0</v>
      </c>
      <c r="J189" s="117" t="n">
        <f aca="false">SUMIFS(الريسبي!$C$2:$C$1800,الريسبي!$A$2:$A$1800,$A189,الريسبي!$B$2:$B$1800,J$1)</f>
        <v>0</v>
      </c>
      <c r="K189" s="117" t="n">
        <f aca="false">SUMIFS(الريسبي!$C$2:$C$1800,الريسبي!$A$2:$A$1800,$A189,الريسبي!$B$2:$B$1800,K$1)</f>
        <v>0</v>
      </c>
      <c r="L189" s="117" t="n">
        <f aca="false">SUMIFS(الريسبي!$C$2:$C$1800,الريسبي!$A$2:$A$1800,$A189,الريسبي!$B$2:$B$1800,L$1)</f>
        <v>0</v>
      </c>
      <c r="M189" s="117" t="n">
        <f aca="false">SUMIFS(الريسبي!$C$2:$C$1800,الريسبي!$A$2:$A$1800,$A189,الريسبي!$B$2:$B$1800,M$1)</f>
        <v>0</v>
      </c>
      <c r="N189" s="117" t="n">
        <f aca="false">SUMIFS(الريسبي!$C$2:$C$1800,الريسبي!$A$2:$A$1800,$A189,الريسبي!$B$2:$B$1800,N$1)</f>
        <v>0</v>
      </c>
      <c r="O189" s="117" t="n">
        <f aca="false">SUMIFS(الريسبي!$C$2:$C$1800,الريسبي!$A$2:$A$1800,$A189,الريسبي!$B$2:$B$1800,O$1)</f>
        <v>0</v>
      </c>
      <c r="P189" s="117" t="n">
        <f aca="false">SUMIFS(الريسبي!$C$2:$C$1800,الريسبي!$A$2:$A$1800,$A189,الريسبي!$B$2:$B$1800,P$1)</f>
        <v>0</v>
      </c>
      <c r="Q189" s="117" t="n">
        <f aca="false">SUMIFS(الريسبي!$C$2:$C$1800,الريسبي!$A$2:$A$1800,$A189,الريسبي!$B$2:$B$1800,Q$1)</f>
        <v>0</v>
      </c>
      <c r="R189" s="117" t="n">
        <f aca="false">SUMIFS(الريسبي!$C$2:$C$1800,الريسبي!$A$2:$A$1800,$A189,الريسبي!$B$2:$B$1800,R$1)</f>
        <v>0</v>
      </c>
      <c r="S189" s="117" t="n">
        <f aca="false">SUMIFS(الريسبي!$C$2:$C$1800,الريسبي!$A$2:$A$1800,$A189,الريسبي!$B$2:$B$1800,S$1)</f>
        <v>0</v>
      </c>
      <c r="T189" s="117" t="n">
        <f aca="false">SUMIFS(الريسبي!$C$2:$C$1800,الريسبي!$A$2:$A$1800,$A189,الريسبي!$B$2:$B$1800,T$1)</f>
        <v>0</v>
      </c>
      <c r="U189" s="117" t="n">
        <f aca="false">SUMIFS(الريسبي!$C$2:$C$1800,الريسبي!$A$2:$A$1800,$A189,الريسبي!$B$2:$B$1800,U$1)</f>
        <v>0</v>
      </c>
      <c r="V189" s="117" t="n">
        <f aca="false">SUMIFS(الريسبي!$C$2:$C$1800,الريسبي!$A$2:$A$1800,$A189,الريسبي!$B$2:$B$1800,V$1)</f>
        <v>0</v>
      </c>
      <c r="W189" s="117" t="n">
        <f aca="false">SUMIFS(الريسبي!$C$2:$C$1800,الريسبي!$A$2:$A$1800,$A189,الريسبي!$B$2:$B$1800,W$1)</f>
        <v>0</v>
      </c>
      <c r="X189" s="117" t="n">
        <f aca="false">SUMIFS(الريسبي!$C$2:$C$1800,الريسبي!$A$2:$A$1800,$A189,الريسبي!$B$2:$B$1800,X$1)</f>
        <v>0</v>
      </c>
      <c r="Y189" s="117" t="n">
        <f aca="false">SUMIFS(الريسبي!$C$2:$C$1800,الريسبي!$A$2:$A$1800,$A189,الريسبي!$B$2:$B$1800,Y$1)</f>
        <v>0</v>
      </c>
      <c r="Z189" s="117" t="n">
        <f aca="false">SUMIFS(الريسبي!$C$2:$C$1800,الريسبي!$A$2:$A$1800,$A189,الريسبي!$B$2:$B$1800,Z$1)</f>
        <v>0</v>
      </c>
      <c r="AA189" s="117" t="n">
        <f aca="false">SUMIFS(الريسبي!$C$2:$C$1800,الريسبي!$A$2:$A$1800,$A189,الريسبي!$B$2:$B$1800,AA$1)</f>
        <v>0</v>
      </c>
      <c r="AB189" s="117" t="n">
        <f aca="false">SUMIFS(الريسبي!$C$2:$C$1800,الريسبي!$A$2:$A$1800,$A189,الريسبي!$B$2:$B$1800,AB$1)</f>
        <v>0</v>
      </c>
      <c r="AC189" s="117" t="n">
        <f aca="false">SUMIFS(الريسبي!$C$2:$C$1800,الريسبي!$A$2:$A$1800,$A189,الريسبي!$B$2:$B$1800,AC$1)</f>
        <v>0</v>
      </c>
      <c r="AD189" s="117" t="n">
        <f aca="false">SUMIFS(الريسبي!$C$2:$C$1800,الريسبي!$A$2:$A$1800,$A189,الريسبي!$B$2:$B$1800,AD$1)</f>
        <v>0</v>
      </c>
      <c r="AE189" s="117" t="n">
        <f aca="false">SUMIFS(الريسبي!$C$2:$C$1800,الريسبي!$A$2:$A$1800,$A189,الريسبي!$B$2:$B$1800,AE$1)</f>
        <v>0</v>
      </c>
      <c r="AF189" s="117" t="n">
        <f aca="false">SUMIFS(الريسبي!$C$2:$C$1800,الريسبي!$A$2:$A$1800,$A189,الريسبي!$B$2:$B$1800,AF$1)</f>
        <v>0</v>
      </c>
      <c r="AG189" s="117" t="n">
        <f aca="false">SUMIFS(الريسبي!$C$2:$C$1800,الريسبي!$A$2:$A$1800,$A189,الريسبي!$B$2:$B$1800,AG$1)</f>
        <v>0</v>
      </c>
      <c r="AH189" s="117" t="n">
        <f aca="false">SUMIFS(الريسبي!$C$2:$C$1800,الريسبي!$A$2:$A$1800,$A189,الريسبي!$B$2:$B$1800,AH$1)</f>
        <v>0</v>
      </c>
      <c r="AI189" s="117" t="n">
        <f aca="false">SUMIFS(الريسبي!$C$2:$C$1800,الريسبي!$A$2:$A$1800,$A189,الريسبي!$B$2:$B$1800,AI$1)</f>
        <v>0</v>
      </c>
      <c r="AJ189" s="117" t="n">
        <f aca="false">SUMIFS(الريسبي!$C$2:$C$1800,الريسبي!$A$2:$A$1800,$A189,الريسبي!$B$2:$B$1800,AJ$1)</f>
        <v>0</v>
      </c>
      <c r="AK189" s="117" t="n">
        <f aca="false">SUMIFS(الريسبي!$C$2:$C$1800,الريسبي!$A$2:$A$1800,$A189,الريسبي!$B$2:$B$1800,AK$1)</f>
        <v>0</v>
      </c>
      <c r="AL189" s="117" t="n">
        <f aca="false">SUMIFS(الريسبي!$C$2:$C$1800,الريسبي!$A$2:$A$1800,$A189,الريسبي!$B$2:$B$1800,AL$1)</f>
        <v>0</v>
      </c>
      <c r="AM189" s="117" t="n">
        <f aca="false">SUMIFS(الريسبي!$C$2:$C$1800,الريسبي!$A$2:$A$1800,$A189,الريسبي!$B$2:$B$1800,AM$1)+0.08333333333*SUMIFS(الريسبي!$C$2:$C$1800,الريسبي!$A$2:$A$1800,$A189,الريسبي!$B$2:$B$1800,"عجين كريب (مصنع بالمطعم)")+0.08333333333*SUMIFS(الريسبي!$C$2:$C$1800,الريسبي!$A$2:$A$1800,$A189,الريسبي!$B$2:$B$1800,"عجين كريب صيامي (بدون لبن)")</f>
        <v>0</v>
      </c>
      <c r="AN189" s="117" t="n">
        <f aca="false">SUMIFS(الريسبي!$C$2:$C$1800,الريسبي!$A$2:$A$1800,$A189,الريسبي!$B$2:$B$1800,AN$1)+0.004166666667*SUMIFS(الريسبي!$C$2:$C$1800,الريسبي!$A$2:$A$1800,$A189,الريسبي!$B$2:$B$1800,"عجين كريب (مصنع بالمطعم)")+0.004166666667*SUMIFS(الريسبي!$C$2:$C$1800,الريسبي!$A$2:$A$1800,$A189,الريسبي!$B$2:$B$1800,"عجين كريب صيامي (بدون لبن)")</f>
        <v>0</v>
      </c>
      <c r="AO189" s="117" t="n">
        <f aca="false">SUMIFS(الريسبي!$C$2:$C$1800,الريسبي!$A$2:$A$1800,$A189,الريسبي!$B$2:$B$1800,AO$1)</f>
        <v>0</v>
      </c>
      <c r="AP189" s="117" t="n">
        <f aca="false">SUMIFS(الريسبي!$C$2:$C$1800,الريسبي!$A$2:$A$1800,$A189,الريسبي!$B$2:$B$1800,AP$1)</f>
        <v>0</v>
      </c>
      <c r="AQ189" s="117" t="n">
        <f aca="false">SUMIFS(الريسبي!$C$2:$C$1800,الريسبي!$A$2:$A$1800,$A189,الريسبي!$B$2:$B$1800,AQ$1)+0.004166666667*SUMIFS(الريسبي!$C$2:$C$1800,الريسبي!$A$2:$A$1800,$A189,الريسبي!$B$2:$B$1800,"عجين كريب (مصنع بالمطعم)")+0.004166666667*SUMIFS(الريسبي!$C$2:$C$1800,الريسبي!$A$2:$A$1800,$A189,الريسبي!$B$2:$B$1800,"عجين كريب صيامي (بدون لبن)")</f>
        <v>0</v>
      </c>
      <c r="AR189" s="117" t="n">
        <f aca="false">SUMIFS(الريسبي!$C$2:$C$1800,الريسبي!$A$2:$A$1800,$A189,الريسبي!$B$2:$B$1800,AR$1)</f>
        <v>0</v>
      </c>
      <c r="AS189" s="117" t="n">
        <f aca="false">SUMIFS(الريسبي!$C$2:$C$1800,الريسبي!$A$2:$A$1800,$A189,الريسبي!$B$2:$B$1800,AS$1)</f>
        <v>0</v>
      </c>
      <c r="AT189" s="117" t="n">
        <f aca="false">SUMIFS(الريسبي!$C$2:$C$1800,الريسبي!$A$2:$A$1800,$A189,الريسبي!$B$2:$B$1800,AT$1)</f>
        <v>0</v>
      </c>
      <c r="AU189" s="117" t="n">
        <f aca="false">SUMIFS(الريسبي!$C$2:$C$1800,الريسبي!$A$2:$A$1800,$A189,الريسبي!$B$2:$B$1800,AU$1)</f>
        <v>0</v>
      </c>
      <c r="AV189" s="117" t="n">
        <f aca="false">SUMIFS(الريسبي!$C$2:$C$1800,الريسبي!$A$2:$A$1800,$A189,الريسبي!$B$2:$B$1800,AV$1)</f>
        <v>0</v>
      </c>
      <c r="AW189" s="117" t="n">
        <f aca="false">SUMIFS(الريسبي!$C$2:$C$1800,الريسبي!$A$2:$A$1800,$A189,الريسبي!$B$2:$B$1800,AW$1)</f>
        <v>0</v>
      </c>
      <c r="AX189" s="117" t="n">
        <f aca="false">SUMIFS(الريسبي!$C$2:$C$1800,الريسبي!$A$2:$A$1800,$A189,الريسبي!$B$2:$B$1800,AX$1)</f>
        <v>0</v>
      </c>
      <c r="AY189" s="117" t="n">
        <f aca="false">SUMIFS(الريسبي!$C$2:$C$1800,الريسبي!$A$2:$A$1800,$A189,الريسبي!$B$2:$B$1800,AY$1)</f>
        <v>0</v>
      </c>
      <c r="AZ189" s="117" t="n">
        <f aca="false">SUMIFS(الريسبي!$C$2:$C$1800,الريسبي!$A$2:$A$1800,$A189,الريسبي!$B$2:$B$1800,AZ$1)</f>
        <v>0</v>
      </c>
      <c r="BA189" s="117" t="n">
        <f aca="false">SUMIFS(الريسبي!$C$2:$C$1800,الريسبي!$A$2:$A$1800,$A189,الريسبي!$B$2:$B$1800,BA$1)</f>
        <v>0</v>
      </c>
      <c r="BB189" s="117" t="n">
        <f aca="false">SUMIFS(الريسبي!$C$2:$C$1800,الريسبي!$A$2:$A$1800,$A189,الريسبي!$B$2:$B$1800,BB$1)</f>
        <v>0</v>
      </c>
      <c r="BC189" s="117" t="n">
        <f aca="false">SUMIFS(الريسبي!$C$2:$C$1800,الريسبي!$A$2:$A$1800,$A189,الريسبي!$B$2:$B$1800,BC$1)</f>
        <v>0</v>
      </c>
      <c r="BD189" s="117" t="n">
        <f aca="false">SUMIFS(الريسبي!$C$2:$C$1800,الريسبي!$A$2:$A$1800,$A189,الريسبي!$B$2:$B$1800,BD$1)</f>
        <v>0</v>
      </c>
      <c r="BE189" s="117" t="n">
        <f aca="false">SUMIFS(الريسبي!$C$2:$C$1800,الريسبي!$A$2:$A$1800,$A189,الريسبي!$B$2:$B$1800,BE$1)</f>
        <v>0</v>
      </c>
      <c r="BF189" s="117" t="n">
        <f aca="false">SUMIFS(الريسبي!$C$2:$C$1800,الريسبي!$A$2:$A$1800,$A189,الريسبي!$B$2:$B$1800,BF$1)</f>
        <v>0</v>
      </c>
      <c r="BG189" s="117" t="n">
        <f aca="false">SUMIFS(الريسبي!$C$2:$C$1800,الريسبي!$A$2:$A$1800,$A189,الريسبي!$B$2:$B$1800,BG$1)</f>
        <v>0</v>
      </c>
      <c r="BH189" s="117" t="n">
        <f aca="false">SUMIFS(الريسبي!$C$2:$C$1800,الريسبي!$A$2:$A$1800,$A189,الريسبي!$B$2:$B$1800,BH$1)</f>
        <v>0</v>
      </c>
      <c r="BI189" s="117" t="n">
        <f aca="false">SUMIFS(الريسبي!$C$2:$C$1800,الريسبي!$A$2:$A$1800,$A189,الريسبي!$B$2:$B$1800,BI$1)</f>
        <v>0</v>
      </c>
      <c r="BJ189" s="117" t="n">
        <f aca="false">SUMIFS(الريسبي!$C$2:$C$1800,الريسبي!$A$2:$A$1800,$A189,الريسبي!$B$2:$B$1800,BJ$1)</f>
        <v>0</v>
      </c>
      <c r="BK189" s="117" t="n">
        <f aca="false">SUMIFS(الريسبي!$C$2:$C$1800,الريسبي!$A$2:$A$1800,$A189,الريسبي!$B$2:$B$1800,BK$1)</f>
        <v>0</v>
      </c>
      <c r="BL189" s="117" t="n">
        <f aca="false">SUMIFS(الريسبي!$C$2:$C$1800,الريسبي!$A$2:$A$1800,$A189,الريسبي!$B$2:$B$1800,BL$1)</f>
        <v>0</v>
      </c>
      <c r="BM189" s="117" t="n">
        <f aca="false">SUMIFS(الريسبي!$C$2:$C$1800,الريسبي!$A$2:$A$1800,$A189,الريسبي!$B$2:$B$1800,BM$1)</f>
        <v>0</v>
      </c>
      <c r="BN189" s="117" t="n">
        <f aca="false">SUMIFS(الريسبي!$C$2:$C$1800,الريسبي!$A$2:$A$1800,$A189,الريسبي!$B$2:$B$1800,BN$1)</f>
        <v>0</v>
      </c>
      <c r="BO189" s="117" t="n">
        <f aca="false">SUMIFS(الريسبي!$C$2:$C$1800,الريسبي!$A$2:$A$1800,$A189,الريسبي!$B$2:$B$1800,BO$1)</f>
        <v>0</v>
      </c>
      <c r="BP189" s="117" t="n">
        <f aca="false">SUMIFS(الريسبي!$C$2:$C$1800,الريسبي!$A$2:$A$1800,$A189,الريسبي!$B$2:$B$1800,BP$1)</f>
        <v>0</v>
      </c>
      <c r="BQ189" s="117" t="n">
        <f aca="false">SUMIFS(الريسبي!$C$2:$C$1800,الريسبي!$A$2:$A$1800,$A189,الريسبي!$B$2:$B$1800,BQ$1)+0.17*SUMIFS(الريسبي!$C$2:$C$1800,الريسبي!$A$2:$A$1800,$A189,الريسبي!$B$2:$B$1800,"كاسترد مصنع (خليط بودر + لبن)")+0.17*SUMIFS(الريسبي!$C$2:$C$1800,الريسبي!$A$2:$A$1800,$A189,الريسبي!$B$2:$B$1800,"كاسترد مصنع صيامي (بدون لبن)")</f>
        <v>0</v>
      </c>
      <c r="BR189" s="117" t="n">
        <f aca="false">SUMIFS(الريسبي!$C$2:$C$1800,الريسبي!$A$2:$A$1800,$A189,الريسبي!$B$2:$B$1800,BR$1)</f>
        <v>0</v>
      </c>
      <c r="BS189" s="117" t="n">
        <f aca="false">SUMIFS(الريسبي!$C$2:$C$1800,الريسبي!$A$2:$A$1800,$A189,الريسبي!$B$2:$B$1800,BS$1)</f>
        <v>0</v>
      </c>
      <c r="BT189" s="117" t="n">
        <f aca="false">SUMIFS(الريسبي!$C$2:$C$1800,الريسبي!$A$2:$A$1800,$A189,الريسبي!$B$2:$B$1800,BT$1)</f>
        <v>0</v>
      </c>
      <c r="BU189" s="117" t="n">
        <f aca="false">SUMIFS(الريسبي!$C$2:$C$1800,الريسبي!$A$2:$A$1800,$A189,الريسبي!$B$2:$B$1800,BU$1)+0.4*SUMIFS(الريسبي!$C$2:$C$1800,الريسبي!$A$2:$A$1800,$A189,الريسبي!$B$2:$B$1800,"كاسترد مصنع (خليط بودر + لبن)")+0.03333333333*SUMIFS(الريسبي!$C$2:$C$1800,الريسبي!$A$2:$A$1800,$A189,الريسبي!$B$2:$B$1800,"عجين كريب (مصنع بالمطعم)")</f>
        <v>0</v>
      </c>
      <c r="BV189" s="117" t="n">
        <f aca="false">SUMIFS(الريسبي!$C$2:$C$1800,الريسبي!$A$2:$A$1800,$A189,الريسبي!$B$2:$B$1800,BV$1)</f>
        <v>0</v>
      </c>
      <c r="BW189" s="117" t="n">
        <f aca="false">SUMIFS(الريسبي!$C$2:$C$1800,الريسبي!$A$2:$A$1800,$A189,الريسبي!$B$2:$B$1800,BW$1)</f>
        <v>0</v>
      </c>
      <c r="BX189" s="117" t="n">
        <f aca="false">SUMIFS(الريسبي!$C$2:$C$1800,الريسبي!$A$2:$A$1800,$A189,الريسبي!$B$2:$B$1800,BX$1)</f>
        <v>0</v>
      </c>
      <c r="BY189" s="117" t="n">
        <f aca="false">SUMIFS(الريسبي!$C$2:$C$1800,الريسبي!$A$2:$A$1800,$A189,الريسبي!$B$2:$B$1800,BY$1)</f>
        <v>0</v>
      </c>
      <c r="BZ189" s="117" t="n">
        <f aca="false">SUMIFS(الريسبي!$C$2:$C$1800,الريسبي!$A$2:$A$1800,$A189,الريسبي!$B$2:$B$1800,BZ$1)</f>
        <v>0</v>
      </c>
      <c r="CA189" s="117" t="n">
        <f aca="false">SUMIFS(الريسبي!$C$2:$C$1800,الريسبي!$A$2:$A$1800,$A189,الريسبي!$B$2:$B$1800,CA$1)</f>
        <v>0</v>
      </c>
      <c r="CB189" s="117" t="n">
        <f aca="false">SUMIFS(الريسبي!$C$2:$C$1800,الريسبي!$A$2:$A$1800,$A189,الريسبي!$B$2:$B$1800,CB$1)</f>
        <v>0</v>
      </c>
      <c r="CC189" s="117" t="n">
        <f aca="false">SUMIFS(الريسبي!$C$2:$C$1800,الريسبي!$A$2:$A$1800,$A189,الريسبي!$B$2:$B$1800,CC$1)</f>
        <v>0</v>
      </c>
      <c r="CD189" s="117" t="n">
        <f aca="false">SUMIFS(الريسبي!$C$2:$C$1800,الريسبي!$A$2:$A$1800,$A189,الريسبي!$B$2:$B$1800,CD$1)</f>
        <v>0</v>
      </c>
      <c r="CE189" s="117" t="n">
        <f aca="false">SUMIFS(الريسبي!$C$2:$C$1800,الريسبي!$A$2:$A$1800,$A189,الريسبي!$B$2:$B$1800,CE$1)</f>
        <v>0</v>
      </c>
      <c r="CF189" s="117" t="n">
        <f aca="false">SUMIFS(الريسبي!$C$2:$C$1800,الريسبي!$A$2:$A$1800,$A189,الريسبي!$B$2:$B$1800,CF$1)</f>
        <v>0</v>
      </c>
      <c r="CG189" s="117" t="n">
        <f aca="false">SUMIFS(الريسبي!$C$2:$C$1800,الريسبي!$A$2:$A$1800,$A189,الريسبي!$B$2:$B$1800,CG$1)</f>
        <v>0</v>
      </c>
      <c r="CH189" s="117" t="n">
        <f aca="false">SUMIFS(الريسبي!$C$2:$C$1800,الريسبي!$A$2:$A$1800,$A189,الريسبي!$B$2:$B$1800,CH$1)</f>
        <v>0</v>
      </c>
      <c r="CI189" s="117" t="n">
        <f aca="false">SUMIFS(الريسبي!$C$2:$C$1800,الريسبي!$A$2:$A$1800,$A189,الريسبي!$B$2:$B$1800,CI$1)</f>
        <v>0</v>
      </c>
      <c r="CJ189" s="117" t="n">
        <f aca="false">SUMIFS(الريسبي!$C$2:$C$1800,الريسبي!$A$2:$A$1800,$A189,الريسبي!$B$2:$B$1800,CJ$1)</f>
        <v>0</v>
      </c>
      <c r="CK189" s="117" t="n">
        <f aca="false">SUMIFS(الريسبي!$C$2:$C$1800,الريسبي!$A$2:$A$1800,$A189,الريسبي!$B$2:$B$1800,CK$1)</f>
        <v>1</v>
      </c>
      <c r="CL189" s="117" t="n">
        <f aca="false">SUMIFS(الريسبي!$C$2:$C$1800,الريسبي!$A$2:$A$1800,$A189,الريسبي!$B$2:$B$1800,CL$1)</f>
        <v>0</v>
      </c>
    </row>
    <row r="190" customFormat="false" ht="15" hidden="false" customHeight="false" outlineLevel="0" collapsed="false">
      <c r="A190" s="116" t="str">
        <f aca="false">المنيو!B190</f>
        <v>مياه معدنية M</v>
      </c>
      <c r="B190" s="117" t="n">
        <f aca="false">SUMIFS(الريسبي!$C$2:$C$1800,الريسبي!$A$2:$A$1800,$A190,الريسبي!$B$2:$B$1800,B$1)</f>
        <v>0</v>
      </c>
      <c r="C190" s="117" t="n">
        <f aca="false">SUMIFS(الريسبي!$C$2:$C$1800,الريسبي!$A$2:$A$1800,$A190,الريسبي!$B$2:$B$1800,C$1)</f>
        <v>0</v>
      </c>
      <c r="D190" s="117" t="n">
        <f aca="false">SUMIFS(الريسبي!$C$2:$C$1800,الريسبي!$A$2:$A$1800,$A190,الريسبي!$B$2:$B$1800,D$1)</f>
        <v>0</v>
      </c>
      <c r="E190" s="117" t="n">
        <f aca="false">SUMIFS(الريسبي!$C$2:$C$1800,الريسبي!$A$2:$A$1800,$A190,الريسبي!$B$2:$B$1800,E$1)</f>
        <v>0</v>
      </c>
      <c r="F190" s="117" t="n">
        <f aca="false">SUMIFS(الريسبي!$C$2:$C$1800,الريسبي!$A$2:$A$1800,$A190,الريسبي!$B$2:$B$1800,F$1)</f>
        <v>0</v>
      </c>
      <c r="G190" s="117" t="n">
        <f aca="false">SUMIFS(الريسبي!$C$2:$C$1800,الريسبي!$A$2:$A$1800,$A190,الريسبي!$B$2:$B$1800,G$1)</f>
        <v>0</v>
      </c>
      <c r="H190" s="117" t="n">
        <f aca="false">SUMIFS(الريسبي!$C$2:$C$1800,الريسبي!$A$2:$A$1800,$A190,الريسبي!$B$2:$B$1800,H$1)</f>
        <v>0</v>
      </c>
      <c r="I190" s="117" t="n">
        <f aca="false">SUMIFS(الريسبي!$C$2:$C$1800,الريسبي!$A$2:$A$1800,$A190,الريسبي!$B$2:$B$1800,I$1)</f>
        <v>0</v>
      </c>
      <c r="J190" s="117" t="n">
        <f aca="false">SUMIFS(الريسبي!$C$2:$C$1800,الريسبي!$A$2:$A$1800,$A190,الريسبي!$B$2:$B$1800,J$1)</f>
        <v>0</v>
      </c>
      <c r="K190" s="117" t="n">
        <f aca="false">SUMIFS(الريسبي!$C$2:$C$1800,الريسبي!$A$2:$A$1800,$A190,الريسبي!$B$2:$B$1800,K$1)</f>
        <v>0</v>
      </c>
      <c r="L190" s="117" t="n">
        <f aca="false">SUMIFS(الريسبي!$C$2:$C$1800,الريسبي!$A$2:$A$1800,$A190,الريسبي!$B$2:$B$1800,L$1)</f>
        <v>0</v>
      </c>
      <c r="M190" s="117" t="n">
        <f aca="false">SUMIFS(الريسبي!$C$2:$C$1800,الريسبي!$A$2:$A$1800,$A190,الريسبي!$B$2:$B$1800,M$1)</f>
        <v>0</v>
      </c>
      <c r="N190" s="117" t="n">
        <f aca="false">SUMIFS(الريسبي!$C$2:$C$1800,الريسبي!$A$2:$A$1800,$A190,الريسبي!$B$2:$B$1800,N$1)</f>
        <v>0</v>
      </c>
      <c r="O190" s="117" t="n">
        <f aca="false">SUMIFS(الريسبي!$C$2:$C$1800,الريسبي!$A$2:$A$1800,$A190,الريسبي!$B$2:$B$1800,O$1)</f>
        <v>0</v>
      </c>
      <c r="P190" s="117" t="n">
        <f aca="false">SUMIFS(الريسبي!$C$2:$C$1800,الريسبي!$A$2:$A$1800,$A190,الريسبي!$B$2:$B$1800,P$1)</f>
        <v>0</v>
      </c>
      <c r="Q190" s="117" t="n">
        <f aca="false">SUMIFS(الريسبي!$C$2:$C$1800,الريسبي!$A$2:$A$1800,$A190,الريسبي!$B$2:$B$1800,Q$1)</f>
        <v>0</v>
      </c>
      <c r="R190" s="117" t="n">
        <f aca="false">SUMIFS(الريسبي!$C$2:$C$1800,الريسبي!$A$2:$A$1800,$A190,الريسبي!$B$2:$B$1800,R$1)</f>
        <v>0</v>
      </c>
      <c r="S190" s="117" t="n">
        <f aca="false">SUMIFS(الريسبي!$C$2:$C$1800,الريسبي!$A$2:$A$1800,$A190,الريسبي!$B$2:$B$1800,S$1)</f>
        <v>0</v>
      </c>
      <c r="T190" s="117" t="n">
        <f aca="false">SUMIFS(الريسبي!$C$2:$C$1800,الريسبي!$A$2:$A$1800,$A190,الريسبي!$B$2:$B$1800,T$1)</f>
        <v>0</v>
      </c>
      <c r="U190" s="117" t="n">
        <f aca="false">SUMIFS(الريسبي!$C$2:$C$1800,الريسبي!$A$2:$A$1800,$A190,الريسبي!$B$2:$B$1800,U$1)</f>
        <v>0</v>
      </c>
      <c r="V190" s="117" t="n">
        <f aca="false">SUMIFS(الريسبي!$C$2:$C$1800,الريسبي!$A$2:$A$1800,$A190,الريسبي!$B$2:$B$1800,V$1)</f>
        <v>0</v>
      </c>
      <c r="W190" s="117" t="n">
        <f aca="false">SUMIFS(الريسبي!$C$2:$C$1800,الريسبي!$A$2:$A$1800,$A190,الريسبي!$B$2:$B$1800,W$1)</f>
        <v>0</v>
      </c>
      <c r="X190" s="117" t="n">
        <f aca="false">SUMIFS(الريسبي!$C$2:$C$1800,الريسبي!$A$2:$A$1800,$A190,الريسبي!$B$2:$B$1800,X$1)</f>
        <v>0</v>
      </c>
      <c r="Y190" s="117" t="n">
        <f aca="false">SUMIFS(الريسبي!$C$2:$C$1800,الريسبي!$A$2:$A$1800,$A190,الريسبي!$B$2:$B$1800,Y$1)</f>
        <v>0</v>
      </c>
      <c r="Z190" s="117" t="n">
        <f aca="false">SUMIFS(الريسبي!$C$2:$C$1800,الريسبي!$A$2:$A$1800,$A190,الريسبي!$B$2:$B$1800,Z$1)</f>
        <v>0</v>
      </c>
      <c r="AA190" s="117" t="n">
        <f aca="false">SUMIFS(الريسبي!$C$2:$C$1800,الريسبي!$A$2:$A$1800,$A190,الريسبي!$B$2:$B$1800,AA$1)</f>
        <v>0</v>
      </c>
      <c r="AB190" s="117" t="n">
        <f aca="false">SUMIFS(الريسبي!$C$2:$C$1800,الريسبي!$A$2:$A$1800,$A190,الريسبي!$B$2:$B$1800,AB$1)</f>
        <v>0</v>
      </c>
      <c r="AC190" s="117" t="n">
        <f aca="false">SUMIFS(الريسبي!$C$2:$C$1800,الريسبي!$A$2:$A$1800,$A190,الريسبي!$B$2:$B$1800,AC$1)</f>
        <v>0</v>
      </c>
      <c r="AD190" s="117" t="n">
        <f aca="false">SUMIFS(الريسبي!$C$2:$C$1800,الريسبي!$A$2:$A$1800,$A190,الريسبي!$B$2:$B$1800,AD$1)</f>
        <v>0</v>
      </c>
      <c r="AE190" s="117" t="n">
        <f aca="false">SUMIFS(الريسبي!$C$2:$C$1800,الريسبي!$A$2:$A$1800,$A190,الريسبي!$B$2:$B$1800,AE$1)</f>
        <v>0</v>
      </c>
      <c r="AF190" s="117" t="n">
        <f aca="false">SUMIFS(الريسبي!$C$2:$C$1800,الريسبي!$A$2:$A$1800,$A190,الريسبي!$B$2:$B$1800,AF$1)</f>
        <v>0</v>
      </c>
      <c r="AG190" s="117" t="n">
        <f aca="false">SUMIFS(الريسبي!$C$2:$C$1800,الريسبي!$A$2:$A$1800,$A190,الريسبي!$B$2:$B$1800,AG$1)</f>
        <v>0</v>
      </c>
      <c r="AH190" s="117" t="n">
        <f aca="false">SUMIFS(الريسبي!$C$2:$C$1800,الريسبي!$A$2:$A$1800,$A190,الريسبي!$B$2:$B$1800,AH$1)</f>
        <v>0</v>
      </c>
      <c r="AI190" s="117" t="n">
        <f aca="false">SUMIFS(الريسبي!$C$2:$C$1800,الريسبي!$A$2:$A$1800,$A190,الريسبي!$B$2:$B$1800,AI$1)</f>
        <v>0</v>
      </c>
      <c r="AJ190" s="117" t="n">
        <f aca="false">SUMIFS(الريسبي!$C$2:$C$1800,الريسبي!$A$2:$A$1800,$A190,الريسبي!$B$2:$B$1800,AJ$1)</f>
        <v>0</v>
      </c>
      <c r="AK190" s="117" t="n">
        <f aca="false">SUMIFS(الريسبي!$C$2:$C$1800,الريسبي!$A$2:$A$1800,$A190,الريسبي!$B$2:$B$1800,AK$1)</f>
        <v>0</v>
      </c>
      <c r="AL190" s="117" t="n">
        <f aca="false">SUMIFS(الريسبي!$C$2:$C$1800,الريسبي!$A$2:$A$1800,$A190,الريسبي!$B$2:$B$1800,AL$1)</f>
        <v>0</v>
      </c>
      <c r="AM190" s="117" t="n">
        <f aca="false">SUMIFS(الريسبي!$C$2:$C$1800,الريسبي!$A$2:$A$1800,$A190,الريسبي!$B$2:$B$1800,AM$1)+0.08333333333*SUMIFS(الريسبي!$C$2:$C$1800,الريسبي!$A$2:$A$1800,$A190,الريسبي!$B$2:$B$1800,"عجين كريب (مصنع بالمطعم)")+0.08333333333*SUMIFS(الريسبي!$C$2:$C$1800,الريسبي!$A$2:$A$1800,$A190,الريسبي!$B$2:$B$1800,"عجين كريب صيامي (بدون لبن)")</f>
        <v>0</v>
      </c>
      <c r="AN190" s="117" t="n">
        <f aca="false">SUMIFS(الريسبي!$C$2:$C$1800,الريسبي!$A$2:$A$1800,$A190,الريسبي!$B$2:$B$1800,AN$1)+0.004166666667*SUMIFS(الريسبي!$C$2:$C$1800,الريسبي!$A$2:$A$1800,$A190,الريسبي!$B$2:$B$1800,"عجين كريب (مصنع بالمطعم)")+0.004166666667*SUMIFS(الريسبي!$C$2:$C$1800,الريسبي!$A$2:$A$1800,$A190,الريسبي!$B$2:$B$1800,"عجين كريب صيامي (بدون لبن)")</f>
        <v>0</v>
      </c>
      <c r="AO190" s="117" t="n">
        <f aca="false">SUMIFS(الريسبي!$C$2:$C$1800,الريسبي!$A$2:$A$1800,$A190,الريسبي!$B$2:$B$1800,AO$1)</f>
        <v>0</v>
      </c>
      <c r="AP190" s="117" t="n">
        <f aca="false">SUMIFS(الريسبي!$C$2:$C$1800,الريسبي!$A$2:$A$1800,$A190,الريسبي!$B$2:$B$1800,AP$1)</f>
        <v>0</v>
      </c>
      <c r="AQ190" s="117" t="n">
        <f aca="false">SUMIFS(الريسبي!$C$2:$C$1800,الريسبي!$A$2:$A$1800,$A190,الريسبي!$B$2:$B$1800,AQ$1)+0.004166666667*SUMIFS(الريسبي!$C$2:$C$1800,الريسبي!$A$2:$A$1800,$A190,الريسبي!$B$2:$B$1800,"عجين كريب (مصنع بالمطعم)")+0.004166666667*SUMIFS(الريسبي!$C$2:$C$1800,الريسبي!$A$2:$A$1800,$A190,الريسبي!$B$2:$B$1800,"عجين كريب صيامي (بدون لبن)")</f>
        <v>0</v>
      </c>
      <c r="AR190" s="117" t="n">
        <f aca="false">SUMIFS(الريسبي!$C$2:$C$1800,الريسبي!$A$2:$A$1800,$A190,الريسبي!$B$2:$B$1800,AR$1)</f>
        <v>0</v>
      </c>
      <c r="AS190" s="117" t="n">
        <f aca="false">SUMIFS(الريسبي!$C$2:$C$1800,الريسبي!$A$2:$A$1800,$A190,الريسبي!$B$2:$B$1800,AS$1)</f>
        <v>0</v>
      </c>
      <c r="AT190" s="117" t="n">
        <f aca="false">SUMIFS(الريسبي!$C$2:$C$1800,الريسبي!$A$2:$A$1800,$A190,الريسبي!$B$2:$B$1800,AT$1)</f>
        <v>0</v>
      </c>
      <c r="AU190" s="117" t="n">
        <f aca="false">SUMIFS(الريسبي!$C$2:$C$1800,الريسبي!$A$2:$A$1800,$A190,الريسبي!$B$2:$B$1800,AU$1)</f>
        <v>0</v>
      </c>
      <c r="AV190" s="117" t="n">
        <f aca="false">SUMIFS(الريسبي!$C$2:$C$1800,الريسبي!$A$2:$A$1800,$A190,الريسبي!$B$2:$B$1800,AV$1)</f>
        <v>0</v>
      </c>
      <c r="AW190" s="117" t="n">
        <f aca="false">SUMIFS(الريسبي!$C$2:$C$1800,الريسبي!$A$2:$A$1800,$A190,الريسبي!$B$2:$B$1800,AW$1)</f>
        <v>0</v>
      </c>
      <c r="AX190" s="117" t="n">
        <f aca="false">SUMIFS(الريسبي!$C$2:$C$1800,الريسبي!$A$2:$A$1800,$A190,الريسبي!$B$2:$B$1800,AX$1)</f>
        <v>0</v>
      </c>
      <c r="AY190" s="117" t="n">
        <f aca="false">SUMIFS(الريسبي!$C$2:$C$1800,الريسبي!$A$2:$A$1800,$A190,الريسبي!$B$2:$B$1800,AY$1)</f>
        <v>0</v>
      </c>
      <c r="AZ190" s="117" t="n">
        <f aca="false">SUMIFS(الريسبي!$C$2:$C$1800,الريسبي!$A$2:$A$1800,$A190,الريسبي!$B$2:$B$1800,AZ$1)</f>
        <v>0</v>
      </c>
      <c r="BA190" s="117" t="n">
        <f aca="false">SUMIFS(الريسبي!$C$2:$C$1800,الريسبي!$A$2:$A$1800,$A190,الريسبي!$B$2:$B$1800,BA$1)</f>
        <v>0</v>
      </c>
      <c r="BB190" s="117" t="n">
        <f aca="false">SUMIFS(الريسبي!$C$2:$C$1800,الريسبي!$A$2:$A$1800,$A190,الريسبي!$B$2:$B$1800,BB$1)</f>
        <v>0</v>
      </c>
      <c r="BC190" s="117" t="n">
        <f aca="false">SUMIFS(الريسبي!$C$2:$C$1800,الريسبي!$A$2:$A$1800,$A190,الريسبي!$B$2:$B$1800,BC$1)</f>
        <v>0</v>
      </c>
      <c r="BD190" s="117" t="n">
        <f aca="false">SUMIFS(الريسبي!$C$2:$C$1800,الريسبي!$A$2:$A$1800,$A190,الريسبي!$B$2:$B$1800,BD$1)</f>
        <v>0</v>
      </c>
      <c r="BE190" s="117" t="n">
        <f aca="false">SUMIFS(الريسبي!$C$2:$C$1800,الريسبي!$A$2:$A$1800,$A190,الريسبي!$B$2:$B$1800,BE$1)</f>
        <v>0</v>
      </c>
      <c r="BF190" s="117" t="n">
        <f aca="false">SUMIFS(الريسبي!$C$2:$C$1800,الريسبي!$A$2:$A$1800,$A190,الريسبي!$B$2:$B$1800,BF$1)</f>
        <v>0</v>
      </c>
      <c r="BG190" s="117" t="n">
        <f aca="false">SUMIFS(الريسبي!$C$2:$C$1800,الريسبي!$A$2:$A$1800,$A190,الريسبي!$B$2:$B$1800,BG$1)</f>
        <v>0</v>
      </c>
      <c r="BH190" s="117" t="n">
        <f aca="false">SUMIFS(الريسبي!$C$2:$C$1800,الريسبي!$A$2:$A$1800,$A190,الريسبي!$B$2:$B$1800,BH$1)</f>
        <v>0</v>
      </c>
      <c r="BI190" s="117" t="n">
        <f aca="false">SUMIFS(الريسبي!$C$2:$C$1800,الريسبي!$A$2:$A$1800,$A190,الريسبي!$B$2:$B$1800,BI$1)</f>
        <v>0</v>
      </c>
      <c r="BJ190" s="117" t="n">
        <f aca="false">SUMIFS(الريسبي!$C$2:$C$1800,الريسبي!$A$2:$A$1800,$A190,الريسبي!$B$2:$B$1800,BJ$1)</f>
        <v>0</v>
      </c>
      <c r="BK190" s="117" t="n">
        <f aca="false">SUMIFS(الريسبي!$C$2:$C$1800,الريسبي!$A$2:$A$1800,$A190,الريسبي!$B$2:$B$1800,BK$1)</f>
        <v>0</v>
      </c>
      <c r="BL190" s="117" t="n">
        <f aca="false">SUMIFS(الريسبي!$C$2:$C$1800,الريسبي!$A$2:$A$1800,$A190,الريسبي!$B$2:$B$1800,BL$1)</f>
        <v>0</v>
      </c>
      <c r="BM190" s="117" t="n">
        <f aca="false">SUMIFS(الريسبي!$C$2:$C$1800,الريسبي!$A$2:$A$1800,$A190,الريسبي!$B$2:$B$1800,BM$1)</f>
        <v>0</v>
      </c>
      <c r="BN190" s="117" t="n">
        <f aca="false">SUMIFS(الريسبي!$C$2:$C$1800,الريسبي!$A$2:$A$1800,$A190,الريسبي!$B$2:$B$1800,BN$1)</f>
        <v>0</v>
      </c>
      <c r="BO190" s="117" t="n">
        <f aca="false">SUMIFS(الريسبي!$C$2:$C$1800,الريسبي!$A$2:$A$1800,$A190,الريسبي!$B$2:$B$1800,BO$1)</f>
        <v>0</v>
      </c>
      <c r="BP190" s="117" t="n">
        <f aca="false">SUMIFS(الريسبي!$C$2:$C$1800,الريسبي!$A$2:$A$1800,$A190,الريسبي!$B$2:$B$1800,BP$1)</f>
        <v>0</v>
      </c>
      <c r="BQ190" s="117" t="n">
        <f aca="false">SUMIFS(الريسبي!$C$2:$C$1800,الريسبي!$A$2:$A$1800,$A190,الريسبي!$B$2:$B$1800,BQ$1)+0.17*SUMIFS(الريسبي!$C$2:$C$1800,الريسبي!$A$2:$A$1800,$A190,الريسبي!$B$2:$B$1800,"كاسترد مصنع (خليط بودر + لبن)")+0.17*SUMIFS(الريسبي!$C$2:$C$1800,الريسبي!$A$2:$A$1800,$A190,الريسبي!$B$2:$B$1800,"كاسترد مصنع صيامي (بدون لبن)")</f>
        <v>0</v>
      </c>
      <c r="BR190" s="117" t="n">
        <f aca="false">SUMIFS(الريسبي!$C$2:$C$1800,الريسبي!$A$2:$A$1800,$A190,الريسبي!$B$2:$B$1800,BR$1)</f>
        <v>0</v>
      </c>
      <c r="BS190" s="117" t="n">
        <f aca="false">SUMIFS(الريسبي!$C$2:$C$1800,الريسبي!$A$2:$A$1800,$A190,الريسبي!$B$2:$B$1800,BS$1)</f>
        <v>0</v>
      </c>
      <c r="BT190" s="117" t="n">
        <f aca="false">SUMIFS(الريسبي!$C$2:$C$1800,الريسبي!$A$2:$A$1800,$A190,الريسبي!$B$2:$B$1800,BT$1)</f>
        <v>0</v>
      </c>
      <c r="BU190" s="117" t="n">
        <f aca="false">SUMIFS(الريسبي!$C$2:$C$1800,الريسبي!$A$2:$A$1800,$A190,الريسبي!$B$2:$B$1800,BU$1)+0.4*SUMIFS(الريسبي!$C$2:$C$1800,الريسبي!$A$2:$A$1800,$A190,الريسبي!$B$2:$B$1800,"كاسترد مصنع (خليط بودر + لبن)")+0.03333333333*SUMIFS(الريسبي!$C$2:$C$1800,الريسبي!$A$2:$A$1800,$A190,الريسبي!$B$2:$B$1800,"عجين كريب (مصنع بالمطعم)")</f>
        <v>0</v>
      </c>
      <c r="BV190" s="117" t="n">
        <f aca="false">SUMIFS(الريسبي!$C$2:$C$1800,الريسبي!$A$2:$A$1800,$A190,الريسبي!$B$2:$B$1800,BV$1)</f>
        <v>0</v>
      </c>
      <c r="BW190" s="117" t="n">
        <f aca="false">SUMIFS(الريسبي!$C$2:$C$1800,الريسبي!$A$2:$A$1800,$A190,الريسبي!$B$2:$B$1800,BW$1)</f>
        <v>0</v>
      </c>
      <c r="BX190" s="117" t="n">
        <f aca="false">SUMIFS(الريسبي!$C$2:$C$1800,الريسبي!$A$2:$A$1800,$A190,الريسبي!$B$2:$B$1800,BX$1)</f>
        <v>0</v>
      </c>
      <c r="BY190" s="117" t="n">
        <f aca="false">SUMIFS(الريسبي!$C$2:$C$1800,الريسبي!$A$2:$A$1800,$A190,الريسبي!$B$2:$B$1800,BY$1)</f>
        <v>0</v>
      </c>
      <c r="BZ190" s="117" t="n">
        <f aca="false">SUMIFS(الريسبي!$C$2:$C$1800,الريسبي!$A$2:$A$1800,$A190,الريسبي!$B$2:$B$1800,BZ$1)</f>
        <v>0</v>
      </c>
      <c r="CA190" s="117" t="n">
        <f aca="false">SUMIFS(الريسبي!$C$2:$C$1800,الريسبي!$A$2:$A$1800,$A190,الريسبي!$B$2:$B$1800,CA$1)</f>
        <v>0</v>
      </c>
      <c r="CB190" s="117" t="n">
        <f aca="false">SUMIFS(الريسبي!$C$2:$C$1800,الريسبي!$A$2:$A$1800,$A190,الريسبي!$B$2:$B$1800,CB$1)</f>
        <v>0</v>
      </c>
      <c r="CC190" s="117" t="n">
        <f aca="false">SUMIFS(الريسبي!$C$2:$C$1800,الريسبي!$A$2:$A$1800,$A190,الريسبي!$B$2:$B$1800,CC$1)</f>
        <v>0</v>
      </c>
      <c r="CD190" s="117" t="n">
        <f aca="false">SUMIFS(الريسبي!$C$2:$C$1800,الريسبي!$A$2:$A$1800,$A190,الريسبي!$B$2:$B$1800,CD$1)</f>
        <v>0</v>
      </c>
      <c r="CE190" s="117" t="n">
        <f aca="false">SUMIFS(الريسبي!$C$2:$C$1800,الريسبي!$A$2:$A$1800,$A190,الريسبي!$B$2:$B$1800,CE$1)</f>
        <v>0</v>
      </c>
      <c r="CF190" s="117" t="n">
        <f aca="false">SUMIFS(الريسبي!$C$2:$C$1800,الريسبي!$A$2:$A$1800,$A190,الريسبي!$B$2:$B$1800,CF$1)</f>
        <v>0</v>
      </c>
      <c r="CG190" s="117" t="n">
        <f aca="false">SUMIFS(الريسبي!$C$2:$C$1800,الريسبي!$A$2:$A$1800,$A190,الريسبي!$B$2:$B$1800,CG$1)</f>
        <v>0</v>
      </c>
      <c r="CH190" s="117" t="n">
        <f aca="false">SUMIFS(الريسبي!$C$2:$C$1800,الريسبي!$A$2:$A$1800,$A190,الريسبي!$B$2:$B$1800,CH$1)</f>
        <v>0</v>
      </c>
      <c r="CI190" s="117" t="n">
        <f aca="false">SUMIFS(الريسبي!$C$2:$C$1800,الريسبي!$A$2:$A$1800,$A190,الريسبي!$B$2:$B$1800,CI$1)</f>
        <v>0</v>
      </c>
      <c r="CJ190" s="117" t="n">
        <f aca="false">SUMIFS(الريسبي!$C$2:$C$1800,الريسبي!$A$2:$A$1800,$A190,الريسبي!$B$2:$B$1800,CJ$1)</f>
        <v>0</v>
      </c>
      <c r="CK190" s="117" t="n">
        <f aca="false">SUMIFS(الريسبي!$C$2:$C$1800,الريسبي!$A$2:$A$1800,$A190,الريسبي!$B$2:$B$1800,CK$1)</f>
        <v>0</v>
      </c>
      <c r="CL190" s="117" t="n">
        <f aca="false">SUMIFS(الريسبي!$C$2:$C$1800,الريسبي!$A$2:$A$1800,$A190,الريسبي!$B$2:$B$1800,CL$1)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L19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s>
  <sheetData>
    <row r="1" customFormat="false" ht="60" hidden="false" customHeight="true" outlineLevel="0" collapsed="false">
      <c r="A1" s="33" t="s">
        <v>848</v>
      </c>
      <c r="B1" s="115" t="s">
        <v>122</v>
      </c>
      <c r="C1" s="115" t="s">
        <v>125</v>
      </c>
      <c r="D1" s="115" t="s">
        <v>133</v>
      </c>
      <c r="E1" s="115" t="s">
        <v>136</v>
      </c>
      <c r="F1" s="115" t="s">
        <v>140</v>
      </c>
      <c r="G1" s="115" t="s">
        <v>142</v>
      </c>
      <c r="H1" s="115" t="s">
        <v>144</v>
      </c>
      <c r="I1" s="115" t="s">
        <v>146</v>
      </c>
      <c r="J1" s="115" t="s">
        <v>148</v>
      </c>
      <c r="K1" s="115" t="s">
        <v>150</v>
      </c>
      <c r="L1" s="115" t="s">
        <v>152</v>
      </c>
      <c r="M1" s="115" t="s">
        <v>154</v>
      </c>
      <c r="N1" s="115" t="s">
        <v>156</v>
      </c>
      <c r="O1" s="115" t="s">
        <v>158</v>
      </c>
      <c r="P1" s="115" t="s">
        <v>160</v>
      </c>
      <c r="Q1" s="115" t="s">
        <v>162</v>
      </c>
      <c r="R1" s="115" t="s">
        <v>164</v>
      </c>
      <c r="S1" s="115" t="s">
        <v>166</v>
      </c>
      <c r="T1" s="115" t="s">
        <v>168</v>
      </c>
      <c r="U1" s="115" t="s">
        <v>170</v>
      </c>
      <c r="V1" s="115" t="s">
        <v>172</v>
      </c>
      <c r="W1" s="115" t="s">
        <v>174</v>
      </c>
      <c r="X1" s="115" t="s">
        <v>176</v>
      </c>
      <c r="Y1" s="115" t="s">
        <v>178</v>
      </c>
      <c r="Z1" s="115" t="s">
        <v>180</v>
      </c>
      <c r="AA1" s="115" t="s">
        <v>183</v>
      </c>
      <c r="AB1" s="115" t="s">
        <v>185</v>
      </c>
      <c r="AC1" s="115" t="s">
        <v>186</v>
      </c>
      <c r="AD1" s="115" t="s">
        <v>188</v>
      </c>
      <c r="AE1" s="115" t="s">
        <v>190</v>
      </c>
      <c r="AF1" s="115" t="s">
        <v>192</v>
      </c>
      <c r="AG1" s="115" t="s">
        <v>202</v>
      </c>
      <c r="AH1" s="115" t="s">
        <v>204</v>
      </c>
      <c r="AI1" s="115" t="s">
        <v>207</v>
      </c>
      <c r="AJ1" s="115" t="s">
        <v>211</v>
      </c>
      <c r="AK1" s="115" t="s">
        <v>214</v>
      </c>
      <c r="AL1" s="115" t="s">
        <v>217</v>
      </c>
      <c r="AM1" s="115" t="s">
        <v>218</v>
      </c>
      <c r="AN1" s="115" t="s">
        <v>220</v>
      </c>
      <c r="AO1" s="115" t="s">
        <v>221</v>
      </c>
      <c r="AP1" s="115" t="s">
        <v>227</v>
      </c>
      <c r="AQ1" s="115" t="s">
        <v>229</v>
      </c>
      <c r="AR1" s="115" t="s">
        <v>232</v>
      </c>
      <c r="AS1" s="115" t="s">
        <v>234</v>
      </c>
      <c r="AT1" s="115" t="s">
        <v>239</v>
      </c>
      <c r="AU1" s="115" t="s">
        <v>243</v>
      </c>
      <c r="AV1" s="115" t="s">
        <v>245</v>
      </c>
      <c r="AW1" s="115" t="s">
        <v>247</v>
      </c>
      <c r="AX1" s="115" t="s">
        <v>250</v>
      </c>
      <c r="AY1" s="115" t="s">
        <v>252</v>
      </c>
      <c r="AZ1" s="115" t="s">
        <v>254</v>
      </c>
      <c r="BA1" s="115" t="s">
        <v>256</v>
      </c>
      <c r="BB1" s="115" t="s">
        <v>258</v>
      </c>
      <c r="BC1" s="115" t="s">
        <v>260</v>
      </c>
      <c r="BD1" s="115" t="s">
        <v>262</v>
      </c>
      <c r="BE1" s="115" t="s">
        <v>264</v>
      </c>
      <c r="BF1" s="115" t="s">
        <v>266</v>
      </c>
      <c r="BG1" s="115" t="s">
        <v>268</v>
      </c>
      <c r="BH1" s="115" t="s">
        <v>270</v>
      </c>
      <c r="BI1" s="115" t="s">
        <v>274</v>
      </c>
      <c r="BJ1" s="115" t="s">
        <v>276</v>
      </c>
      <c r="BK1" s="115" t="s">
        <v>278</v>
      </c>
      <c r="BL1" s="115" t="s">
        <v>280</v>
      </c>
      <c r="BM1" s="115" t="s">
        <v>282</v>
      </c>
      <c r="BN1" s="115" t="s">
        <v>284</v>
      </c>
      <c r="BO1" s="115" t="s">
        <v>288</v>
      </c>
      <c r="BP1" s="115" t="s">
        <v>290</v>
      </c>
      <c r="BQ1" s="115" t="s">
        <v>291</v>
      </c>
      <c r="BR1" s="115" t="s">
        <v>293</v>
      </c>
      <c r="BS1" s="115" t="s">
        <v>295</v>
      </c>
      <c r="BT1" s="115" t="s">
        <v>297</v>
      </c>
      <c r="BU1" s="115" t="s">
        <v>298</v>
      </c>
      <c r="BV1" s="115" t="s">
        <v>300</v>
      </c>
      <c r="BW1" s="115" t="s">
        <v>302</v>
      </c>
      <c r="BX1" s="115" t="s">
        <v>307</v>
      </c>
      <c r="BY1" s="115" t="s">
        <v>309</v>
      </c>
      <c r="BZ1" s="115" t="s">
        <v>317</v>
      </c>
      <c r="CA1" s="115" t="s">
        <v>319</v>
      </c>
      <c r="CB1" s="115" t="s">
        <v>322</v>
      </c>
      <c r="CC1" s="115" t="s">
        <v>328</v>
      </c>
      <c r="CD1" s="115" t="s">
        <v>336</v>
      </c>
      <c r="CE1" s="115" t="s">
        <v>338</v>
      </c>
      <c r="CF1" s="115" t="s">
        <v>340</v>
      </c>
      <c r="CG1" s="115" t="s">
        <v>342</v>
      </c>
      <c r="CH1" s="115" t="s">
        <v>344</v>
      </c>
      <c r="CI1" s="115" t="s">
        <v>346</v>
      </c>
      <c r="CJ1" s="115" t="s">
        <v>350</v>
      </c>
      <c r="CK1" s="115" t="s">
        <v>352</v>
      </c>
      <c r="CL1" s="115" t="s">
        <v>354</v>
      </c>
    </row>
    <row r="2" customFormat="false" ht="15" hidden="false" customHeight="false" outlineLevel="0" collapsed="false">
      <c r="A2" s="116" t="str">
        <f aca="false">المنيو!B2</f>
        <v>بيتزا مارجريتا وسط</v>
      </c>
      <c r="B2" s="117" t="n">
        <f aca="false">SUMIFS(الريسبي!$C$2:$C$1800,الريسبي!$A$2:$A$1800,$A2,الريسبي!$B$2:$B$1800,B$1)</f>
        <v>0</v>
      </c>
      <c r="C2" s="117" t="n">
        <f aca="false">SUMIFS(الريسبي!$C$2:$C$1800,الريسبي!$A$2:$A$1800,$A2,الريسبي!$B$2:$B$1800,C$1)</f>
        <v>0</v>
      </c>
      <c r="D2" s="117" t="n">
        <f aca="false">SUMIFS(الريسبي!$C$2:$C$1800,الريسبي!$A$2:$A$1800,$A2,الريسبي!$B$2:$B$1800,D$1)</f>
        <v>1</v>
      </c>
      <c r="E2" s="117" t="n">
        <f aca="false">SUMIFS(الريسبي!$C$2:$C$1800,الريسبي!$A$2:$A$1800,$A2,الريسبي!$B$2:$B$1800,E$1)</f>
        <v>0</v>
      </c>
      <c r="F2" s="117" t="n">
        <f aca="false">SUMIFS(الريسبي!$C$2:$C$1800,الريسبي!$A$2:$A$1800,$A2,الريسبي!$B$2:$B$1800,F$1)</f>
        <v>0</v>
      </c>
      <c r="G2" s="117" t="n">
        <f aca="false">SUMIFS(الريسبي!$C$2:$C$1800,الريسبي!$A$2:$A$1800,$A2,الريسبي!$B$2:$B$1800,G$1)</f>
        <v>0</v>
      </c>
      <c r="H2" s="117" t="n">
        <f aca="false">SUMIFS(الريسبي!$C$2:$C$1800,الريسبي!$A$2:$A$1800,$A2,الريسبي!$B$2:$B$1800,H$1)</f>
        <v>0</v>
      </c>
      <c r="I2" s="117" t="n">
        <f aca="false">SUMIFS(الريسبي!$C$2:$C$1800,الريسبي!$A$2:$A$1800,$A2,الريسبي!$B$2:$B$1800,I$1)</f>
        <v>0</v>
      </c>
      <c r="J2" s="117" t="n">
        <f aca="false">SUMIFS(الريسبي!$C$2:$C$1800,الريسبي!$A$2:$A$1800,$A2,الريسبي!$B$2:$B$1800,J$1)</f>
        <v>0</v>
      </c>
      <c r="K2" s="117" t="n">
        <f aca="false">SUMIFS(الريسبي!$C$2:$C$1800,الريسبي!$A$2:$A$1800,$A2,الريسبي!$B$2:$B$1800,K$1)</f>
        <v>0</v>
      </c>
      <c r="L2" s="117" t="n">
        <f aca="false">SUMIFS(الريسبي!$C$2:$C$1800,الريسبي!$A$2:$A$1800,$A2,الريسبي!$B$2:$B$1800,L$1)</f>
        <v>0</v>
      </c>
      <c r="M2" s="117" t="n">
        <f aca="false">SUMIFS(الريسبي!$C$2:$C$1800,الريسبي!$A$2:$A$1800,$A2,الريسبي!$B$2:$B$1800,M$1)</f>
        <v>0</v>
      </c>
      <c r="N2" s="117" t="n">
        <f aca="false">SUMIFS(الريسبي!$C$2:$C$1800,الريسبي!$A$2:$A$1800,$A2,الريسبي!$B$2:$B$1800,N$1)</f>
        <v>0</v>
      </c>
      <c r="O2" s="117" t="n">
        <f aca="false">SUMIFS(الريسبي!$C$2:$C$1800,الريسبي!$A$2:$A$1800,$A2,الريسبي!$B$2:$B$1800,O$1)</f>
        <v>0</v>
      </c>
      <c r="P2" s="117" t="n">
        <f aca="false">SUMIFS(الريسبي!$C$2:$C$1800,الريسبي!$A$2:$A$1800,$A2,الريسبي!$B$2:$B$1800,P$1)</f>
        <v>0</v>
      </c>
      <c r="Q2" s="117" t="n">
        <f aca="false">SUMIFS(الريسبي!$C$2:$C$1800,الريسبي!$A$2:$A$1800,$A2,الريسبي!$B$2:$B$1800,Q$1)</f>
        <v>0</v>
      </c>
      <c r="R2" s="117" t="n">
        <f aca="false">SUMIFS(الريسبي!$C$2:$C$1800,الريسبي!$A$2:$A$1800,$A2,الريسبي!$B$2:$B$1800,R$1)</f>
        <v>0</v>
      </c>
      <c r="S2" s="117" t="n">
        <f aca="false">SUMIFS(الريسبي!$C$2:$C$1800,الريسبي!$A$2:$A$1800,$A2,الريسبي!$B$2:$B$1800,S$1)</f>
        <v>0</v>
      </c>
      <c r="T2" s="117" t="n">
        <f aca="false">SUMIFS(الريسبي!$C$2:$C$1800,الريسبي!$A$2:$A$1800,$A2,الريسبي!$B$2:$B$1800,T$1)</f>
        <v>0</v>
      </c>
      <c r="U2" s="117" t="n">
        <f aca="false">SUMIFS(الريسبي!$C$2:$C$1800,الريسبي!$A$2:$A$1800,$A2,الريسبي!$B$2:$B$1800,U$1)</f>
        <v>0</v>
      </c>
      <c r="V2" s="117" t="n">
        <f aca="false">SUMIFS(الريسبي!$C$2:$C$1800,الريسبي!$A$2:$A$1800,$A2,الريسبي!$B$2:$B$1800,V$1)+1.5*(SUMIFS(الريسبي!$C$2:$C$1800,الريسبي!$A$2:$A$1800,$A2,الريسبي!$B$2:$B$1800,"برسيون موتزريلا بيتزا كبير"))</f>
        <v>1</v>
      </c>
      <c r="W2" s="117" t="n">
        <f aca="false">0</f>
        <v>0</v>
      </c>
      <c r="X2" s="117" t="n">
        <f aca="false">SUMIFS(الريسبي!$C$2:$C$1800,الريسبي!$A$2:$A$1800,$A2,الريسبي!$B$2:$B$1800,X$1)+1.5*(SUMIFS(الريسبي!$C$2:$C$1800,الريسبي!$A$2:$A$1800,$A2,الريسبي!$B$2:$B$1800,"برسيون موتزريلا فطير كبير"))</f>
        <v>0</v>
      </c>
      <c r="Y2" s="117" t="n">
        <f aca="false">0</f>
        <v>0</v>
      </c>
      <c r="Z2" s="117" t="n">
        <f aca="false">SUMIFS(الريسبي!$C$2:$C$1800,الريسبي!$A$2:$A$1800,$A2,الريسبي!$B$2:$B$1800,Z$1)</f>
        <v>0</v>
      </c>
      <c r="AA2" s="117" t="n">
        <f aca="false">SUMIFS(الريسبي!$C$2:$C$1800,الريسبي!$A$2:$A$1800,$A2,الريسبي!$B$2:$B$1800,AA$1)</f>
        <v>0</v>
      </c>
      <c r="AB2" s="117" t="n">
        <f aca="false">SUMIFS(الريسبي!$C$2:$C$1800,الريسبي!$A$2:$A$1800,$A2,الريسبي!$B$2:$B$1800,AB$1)</f>
        <v>0</v>
      </c>
      <c r="AC2" s="117" t="n">
        <f aca="false">SUMIFS(الريسبي!$C$2:$C$1800,الريسبي!$A$2:$A$1800,$A2,الريسبي!$B$2:$B$1800,AC$1)</f>
        <v>0</v>
      </c>
      <c r="AD2" s="117" t="n">
        <f aca="false">SUMIFS(الريسبي!$C$2:$C$1800,الريسبي!$A$2:$A$1800,$A2,الريسبي!$B$2:$B$1800,AD$1)</f>
        <v>0</v>
      </c>
      <c r="AE2" s="117" t="n">
        <f aca="false">SUMIFS(الريسبي!$C$2:$C$1800,الريسبي!$A$2:$A$1800,$A2,الريسبي!$B$2:$B$1800,AE$1)</f>
        <v>0</v>
      </c>
      <c r="AF2" s="117" t="n">
        <f aca="false">SUMIFS(الريسبي!$C$2:$C$1800,الريسبي!$A$2:$A$1800,$A2,الريسبي!$B$2:$B$1800,AF$1)</f>
        <v>0</v>
      </c>
      <c r="AG2" s="117" t="n">
        <f aca="false">SUMIFS(الريسبي!$C$2:$C$1800,الريسبي!$A$2:$A$1800,$A2,الريسبي!$B$2:$B$1800,AG$1)</f>
        <v>0</v>
      </c>
      <c r="AH2" s="117" t="n">
        <f aca="false">SUMIFS(الريسبي!$C$2:$C$1800,الريسبي!$A$2:$A$1800,$A2,الريسبي!$B$2:$B$1800,AH$1)</f>
        <v>0</v>
      </c>
      <c r="AI2" s="117" t="n">
        <f aca="false">SUMIFS(الريسبي!$C$2:$C$1800,الريسبي!$A$2:$A$1800,$A2,الريسبي!$B$2:$B$1800,AI$1)</f>
        <v>0</v>
      </c>
      <c r="AJ2" s="117" t="n">
        <f aca="false">SUMIFS(الريسبي!$C$2:$C$1800,الريسبي!$A$2:$A$1800,$A2,الريسبي!$B$2:$B$1800,AJ$1)</f>
        <v>2</v>
      </c>
      <c r="AK2" s="117" t="n">
        <f aca="false">SUMIFS(الريسبي!$C$2:$C$1800,الريسبي!$A$2:$A$1800,$A2,الريسبي!$B$2:$B$1800,AK$1)</f>
        <v>0</v>
      </c>
      <c r="AL2" s="117" t="n">
        <f aca="false">SUMIFS(الريسبي!$C$2:$C$1800,الريسبي!$A$2:$A$1800,$A2,الريسبي!$B$2:$B$1800,AL$1)</f>
        <v>0</v>
      </c>
      <c r="AM2" s="117" t="n">
        <f aca="false">SUMIFS(الريسبي!$C$2:$C$1800,الريسبي!$A$2:$A$1800,$A2,الريسبي!$B$2:$B$1800,AM$1)+0.08333333333*SUMIFS(الريسبي!$C$2:$C$1800,الريسبي!$A$2:$A$1800,$A2,الريسبي!$B$2:$B$1800,"عجين كريب (مصنع بالمطعم)")+0.08333333333*SUMIFS(الريسبي!$C$2:$C$1800,الريسبي!$A$2:$A$1800,$A2,الريسبي!$B$2:$B$1800,"عجين كريب صيامي (بدون لبن)")</f>
        <v>0</v>
      </c>
      <c r="AN2" s="117" t="n">
        <f aca="false">SUMIFS(الريسبي!$C$2:$C$1800,الريسبي!$A$2:$A$1800,$A2,الريسبي!$B$2:$B$1800,AN$1)+0.004166666667*SUMIFS(الريسبي!$C$2:$C$1800,الريسبي!$A$2:$A$1800,$A2,الريسبي!$B$2:$B$1800,"عجين كريب (مصنع بالمطعم)")+0.004166666667*SUMIFS(الريسبي!$C$2:$C$1800,الريسبي!$A$2:$A$1800,$A2,الريسبي!$B$2:$B$1800,"عجين كريب صيامي (بدون لبن)")</f>
        <v>0</v>
      </c>
      <c r="AO2" s="117" t="n">
        <f aca="false">SUMIFS(الريسبي!$C$2:$C$1800,الريسبي!$A$2:$A$1800,$A2,الريسبي!$B$2:$B$1800,AO$1)</f>
        <v>0</v>
      </c>
      <c r="AP2" s="117" t="n">
        <f aca="false">SUMIFS(الريسبي!$C$2:$C$1800,الريسبي!$A$2:$A$1800,$A2,الريسبي!$B$2:$B$1800,AP$1)</f>
        <v>0.02</v>
      </c>
      <c r="AQ2" s="117" t="n">
        <f aca="false">SUMIFS(الريسبي!$C$2:$C$1800,الريسبي!$A$2:$A$1800,$A2,الريسبي!$B$2:$B$1800,AQ$1)+0.004166666667*SUMIFS(الريسبي!$C$2:$C$1800,الريسبي!$A$2:$A$1800,$A2,الريسبي!$B$2:$B$1800,"عجين كريب (مصنع بالمطعم)")+0.004166666667*SUMIFS(الريسبي!$C$2:$C$1800,الريسبي!$A$2:$A$1800,$A2,الريسبي!$B$2:$B$1800,"عجين كريب صيامي (بدون لبن)")</f>
        <v>0</v>
      </c>
      <c r="AR2" s="117" t="n">
        <f aca="false">SUMIFS(الريسبي!$C$2:$C$1800,الريسبي!$A$2:$A$1800,$A2,الريسبي!$B$2:$B$1800,AR$1)</f>
        <v>0</v>
      </c>
      <c r="AS2" s="117" t="n">
        <f aca="false">SUMIFS(الريسبي!$C$2:$C$1800,الريسبي!$A$2:$A$1800,$A2,الريسبي!$B$2:$B$1800,AS$1)</f>
        <v>0</v>
      </c>
      <c r="AT2" s="117" t="n">
        <f aca="false">SUMIFS(الريسبي!$C$2:$C$1800,الريسبي!$A$2:$A$1800,$A2,الريسبي!$B$2:$B$1800,AT$1)</f>
        <v>0</v>
      </c>
      <c r="AU2" s="117" t="n">
        <f aca="false">SUMIFS(الريسبي!$C$2:$C$1800,الريسبي!$A$2:$A$1800,$A2,الريسبي!$B$2:$B$1800,AU$1)</f>
        <v>0</v>
      </c>
      <c r="AV2" s="117" t="n">
        <f aca="false">SUMIFS(الريسبي!$C$2:$C$1800,الريسبي!$A$2:$A$1800,$A2,الريسبي!$B$2:$B$1800,AV$1)</f>
        <v>0</v>
      </c>
      <c r="AW2" s="117" t="n">
        <f aca="false">SUMIFS(الريسبي!$C$2:$C$1800,الريسبي!$A$2:$A$1800,$A2,الريسبي!$B$2:$B$1800,AW$1)</f>
        <v>0</v>
      </c>
      <c r="AX2" s="117" t="n">
        <f aca="false">SUMIFS(الريسبي!$C$2:$C$1800,الريسبي!$A$2:$A$1800,$A2,الريسبي!$B$2:$B$1800,AX$1)</f>
        <v>0.04</v>
      </c>
      <c r="AY2" s="117" t="n">
        <f aca="false">SUMIFS(الريسبي!$C$2:$C$1800,الريسبي!$A$2:$A$1800,$A2,الريسبي!$B$2:$B$1800,AY$1)</f>
        <v>0</v>
      </c>
      <c r="AZ2" s="117" t="n">
        <f aca="false">SUMIFS(الريسبي!$C$2:$C$1800,الريسبي!$A$2:$A$1800,$A2,الريسبي!$B$2:$B$1800,AZ$1)</f>
        <v>0</v>
      </c>
      <c r="BA2" s="117" t="n">
        <f aca="false">SUMIFS(الريسبي!$C$2:$C$1800,الريسبي!$A$2:$A$1800,$A2,الريسبي!$B$2:$B$1800,BA$1)</f>
        <v>0</v>
      </c>
      <c r="BB2" s="117" t="n">
        <f aca="false">SUMIFS(الريسبي!$C$2:$C$1800,الريسبي!$A$2:$A$1800,$A2,الريسبي!$B$2:$B$1800,BB$1)</f>
        <v>0</v>
      </c>
      <c r="BC2" s="117" t="n">
        <f aca="false">SUMIFS(الريسبي!$C$2:$C$1800,الريسبي!$A$2:$A$1800,$A2,الريسبي!$B$2:$B$1800,BC$1)</f>
        <v>0.03</v>
      </c>
      <c r="BD2" s="117" t="n">
        <f aca="false">SUMIFS(الريسبي!$C$2:$C$1800,الريسبي!$A$2:$A$1800,$A2,الريسبي!$B$2:$B$1800,BD$1)</f>
        <v>0.22</v>
      </c>
      <c r="BE2" s="117" t="n">
        <f aca="false">SUMIFS(الريسبي!$C$2:$C$1800,الريسبي!$A$2:$A$1800,$A2,الريسبي!$B$2:$B$1800,BE$1)</f>
        <v>0</v>
      </c>
      <c r="BF2" s="117" t="n">
        <f aca="false">SUMIFS(الريسبي!$C$2:$C$1800,الريسبي!$A$2:$A$1800,$A2,الريسبي!$B$2:$B$1800,BF$1)</f>
        <v>0</v>
      </c>
      <c r="BG2" s="117" t="n">
        <f aca="false">SUMIFS(الريسبي!$C$2:$C$1800,الريسبي!$A$2:$A$1800,$A2,الريسبي!$B$2:$B$1800,BG$1)</f>
        <v>0</v>
      </c>
      <c r="BH2" s="117" t="n">
        <f aca="false">SUMIFS(الريسبي!$C$2:$C$1800,الريسبي!$A$2:$A$1800,$A2,الريسبي!$B$2:$B$1800,BH$1)</f>
        <v>1</v>
      </c>
      <c r="BI2" s="117" t="n">
        <f aca="false">SUMIFS(الريسبي!$C$2:$C$1800,الريسبي!$A$2:$A$1800,$A2,الريسبي!$B$2:$B$1800,BI$1)</f>
        <v>0</v>
      </c>
      <c r="BJ2" s="117" t="n">
        <f aca="false">SUMIFS(الريسبي!$C$2:$C$1800,الريسبي!$A$2:$A$1800,$A2,الريسبي!$B$2:$B$1800,BJ$1)</f>
        <v>0</v>
      </c>
      <c r="BK2" s="117" t="n">
        <f aca="false">SUMIFS(الريسبي!$C$2:$C$1800,الريسبي!$A$2:$A$1800,$A2,الريسبي!$B$2:$B$1800,BK$1)</f>
        <v>0</v>
      </c>
      <c r="BL2" s="117" t="n">
        <f aca="false">SUMIFS(الريسبي!$C$2:$C$1800,الريسبي!$A$2:$A$1800,$A2,الريسبي!$B$2:$B$1800,BL$1)</f>
        <v>0</v>
      </c>
      <c r="BM2" s="117" t="n">
        <f aca="false">SUMIFS(الريسبي!$C$2:$C$1800,الريسبي!$A$2:$A$1800,$A2,الريسبي!$B$2:$B$1800,BM$1)</f>
        <v>0</v>
      </c>
      <c r="BN2" s="117" t="n">
        <f aca="false">SUMIFS(الريسبي!$C$2:$C$1800,الريسبي!$A$2:$A$1800,$A2,الريسبي!$B$2:$B$1800,BN$1)</f>
        <v>0.02</v>
      </c>
      <c r="BO2" s="117" t="n">
        <f aca="false">SUMIFS(الريسبي!$C$2:$C$1800,الريسبي!$A$2:$A$1800,$A2,الريسبي!$B$2:$B$1800,BO$1)</f>
        <v>0</v>
      </c>
      <c r="BP2" s="117" t="n">
        <f aca="false">SUMIFS(الريسبي!$C$2:$C$1800,الريسبي!$A$2:$A$1800,$A2,الريسبي!$B$2:$B$1800,BP$1)</f>
        <v>2</v>
      </c>
      <c r="BQ2" s="117" t="n">
        <f aca="false">SUMIFS(الريسبي!$C$2:$C$1800,الريسبي!$A$2:$A$1800,$A2,الريسبي!$B$2:$B$1800,BQ$1)+0.17*SUMIFS(الريسبي!$C$2:$C$1800,الريسبي!$A$2:$A$1800,$A2,الريسبي!$B$2:$B$1800,"كاسترد مصنع (خليط بودر + لبن)")+0.17*SUMIFS(الريسبي!$C$2:$C$1800,الريسبي!$A$2:$A$1800,$A2,الريسبي!$B$2:$B$1800,"كاسترد مصنع صيامي (بدون لبن)")</f>
        <v>0</v>
      </c>
      <c r="BR2" s="117" t="n">
        <f aca="false">SUMIFS(الريسبي!$C$2:$C$1800,الريسبي!$A$2:$A$1800,$A2,الريسبي!$B$2:$B$1800,BR$1)</f>
        <v>1</v>
      </c>
      <c r="BS2" s="117" t="n">
        <f aca="false">SUMIFS(الريسبي!$C$2:$C$1800,الريسبي!$A$2:$A$1800,$A2,الريسبي!$B$2:$B$1800,BS$1)</f>
        <v>0</v>
      </c>
      <c r="BT2" s="117" t="n">
        <f aca="false">SUMIFS(الريسبي!$C$2:$C$1800,الريسبي!$A$2:$A$1800,$A2,الريسبي!$B$2:$B$1800,BT$1)</f>
        <v>0</v>
      </c>
      <c r="BU2" s="117" t="n">
        <f aca="false">SUMIFS(الريسبي!$C$2:$C$1800,الريسبي!$A$2:$A$1800,$A2,الريسبي!$B$2:$B$1800,BU$1)+0.4*SUMIFS(الريسبي!$C$2:$C$1800,الريسبي!$A$2:$A$1800,$A2,الريسبي!$B$2:$B$1800,"كاسترد مصنع (خليط بودر + لبن)")+0.03333333333*SUMIFS(الريسبي!$C$2:$C$1800,الريسبي!$A$2:$A$1800,$A2,الريسبي!$B$2:$B$1800,"عجين كريب (مصنع بالمطعم)")</f>
        <v>0</v>
      </c>
      <c r="BV2" s="117" t="n">
        <f aca="false">SUMIFS(الريسبي!$C$2:$C$1800,الريسبي!$A$2:$A$1800,$A2,الريسبي!$B$2:$B$1800,BV$1)</f>
        <v>0</v>
      </c>
      <c r="BW2" s="117" t="n">
        <f aca="false">SUMIFS(الريسبي!$C$2:$C$1800,الريسبي!$A$2:$A$1800,$A2,الريسبي!$B$2:$B$1800,BW$1)</f>
        <v>0</v>
      </c>
      <c r="BX2" s="117" t="n">
        <f aca="false">SUMIFS(الريسبي!$C$2:$C$1800,الريسبي!$A$2:$A$1800,$A2,الريسبي!$B$2:$B$1800,BX$1)</f>
        <v>0</v>
      </c>
      <c r="BY2" s="117" t="n">
        <f aca="false">SUMIFS(الريسبي!$C$2:$C$1800,الريسبي!$A$2:$A$1800,$A2,الريسبي!$B$2:$B$1800,BY$1)</f>
        <v>0</v>
      </c>
      <c r="BZ2" s="117" t="n">
        <f aca="false">SUMIFS(الريسبي!$C$2:$C$1800,الريسبي!$A$2:$A$1800,$A2,الريسبي!$B$2:$B$1800,BZ$1)</f>
        <v>0</v>
      </c>
      <c r="CA2" s="117" t="n">
        <f aca="false">SUMIFS(الريسبي!$C$2:$C$1800,الريسبي!$A$2:$A$1800,$A2,الريسبي!$B$2:$B$1800,CA$1)</f>
        <v>1</v>
      </c>
      <c r="CB2" s="117" t="n">
        <f aca="false">SUMIFS(الريسبي!$C$2:$C$1800,الريسبي!$A$2:$A$1800,$A2,الريسبي!$B$2:$B$1800,CB$1)</f>
        <v>1</v>
      </c>
      <c r="CC2" s="117" t="n">
        <f aca="false">SUMIFS(الريسبي!$C$2:$C$1800,الريسبي!$A$2:$A$1800,$A2,الريسبي!$B$2:$B$1800,CC$1)</f>
        <v>0</v>
      </c>
      <c r="CD2" s="117" t="n">
        <f aca="false">SUMIFS(الريسبي!$C$2:$C$1800,الريسبي!$A$2:$A$1800,$A2,الريسبي!$B$2:$B$1800,CD$1)</f>
        <v>0</v>
      </c>
      <c r="CE2" s="117" t="n">
        <f aca="false">SUMIFS(الريسبي!$C$2:$C$1800,الريسبي!$A$2:$A$1800,$A2,الريسبي!$B$2:$B$1800,CE$1)</f>
        <v>0</v>
      </c>
      <c r="CF2" s="117" t="n">
        <f aca="false">SUMIFS(الريسبي!$C$2:$C$1800,الريسبي!$A$2:$A$1800,$A2,الريسبي!$B$2:$B$1800,CF$1)</f>
        <v>0</v>
      </c>
      <c r="CG2" s="117" t="n">
        <f aca="false">SUMIFS(الريسبي!$C$2:$C$1800,الريسبي!$A$2:$A$1800,$A2,الريسبي!$B$2:$B$1800,CG$1)</f>
        <v>0</v>
      </c>
      <c r="CH2" s="117" t="n">
        <f aca="false">SUMIFS(الريسبي!$C$2:$C$1800,الريسبي!$A$2:$A$1800,$A2,الريسبي!$B$2:$B$1800,CH$1)</f>
        <v>0</v>
      </c>
      <c r="CI2" s="117" t="n">
        <f aca="false">SUMIFS(الريسبي!$C$2:$C$1800,الريسبي!$A$2:$A$1800,$A2,الريسبي!$B$2:$B$1800,CI$1)</f>
        <v>0</v>
      </c>
      <c r="CJ2" s="117" t="n">
        <f aca="false">SUMIFS(الريسبي!$C$2:$C$1800,الريسبي!$A$2:$A$1800,$A2,الريسبي!$B$2:$B$1800,CJ$1)</f>
        <v>0</v>
      </c>
      <c r="CK2" s="117" t="n">
        <f aca="false">SUMIFS(الريسبي!$C$2:$C$1800,الريسبي!$A$2:$A$1800,$A2,الريسبي!$B$2:$B$1800,CK$1)</f>
        <v>0</v>
      </c>
      <c r="CL2" s="117" t="n">
        <f aca="false">SUMIFS(الريسبي!$C$2:$C$1800,الريسبي!$A$2:$A$1800,$A2,الريسبي!$B$2:$B$1800,CL$1)</f>
        <v>0</v>
      </c>
    </row>
    <row r="3" customFormat="false" ht="15" hidden="false" customHeight="false" outlineLevel="0" collapsed="false">
      <c r="A3" s="116" t="str">
        <f aca="false">المنيو!B3</f>
        <v>بيتزا مارجريتا حجم اكبر</v>
      </c>
      <c r="B3" s="117" t="n">
        <f aca="false">SUMIFS(الريسبي!$C$2:$C$1800,الريسبي!$A$2:$A$1800,$A3,الريسبي!$B$2:$B$1800,B$1)</f>
        <v>0</v>
      </c>
      <c r="C3" s="117" t="n">
        <f aca="false">SUMIFS(الريسبي!$C$2:$C$1800,الريسبي!$A$2:$A$1800,$A3,الريسبي!$B$2:$B$1800,C$1)</f>
        <v>0</v>
      </c>
      <c r="D3" s="117" t="n">
        <f aca="false">SUMIFS(الريسبي!$C$2:$C$1800,الريسبي!$A$2:$A$1800,$A3,الريسبي!$B$2:$B$1800,D$1)</f>
        <v>1</v>
      </c>
      <c r="E3" s="117" t="n">
        <f aca="false">SUMIFS(الريسبي!$C$2:$C$1800,الريسبي!$A$2:$A$1800,$A3,الريسبي!$B$2:$B$1800,E$1)</f>
        <v>0</v>
      </c>
      <c r="F3" s="117" t="n">
        <f aca="false">SUMIFS(الريسبي!$C$2:$C$1800,الريسبي!$A$2:$A$1800,$A3,الريسبي!$B$2:$B$1800,F$1)</f>
        <v>0</v>
      </c>
      <c r="G3" s="117" t="n">
        <f aca="false">SUMIFS(الريسبي!$C$2:$C$1800,الريسبي!$A$2:$A$1800,$A3,الريسبي!$B$2:$B$1800,G$1)</f>
        <v>0</v>
      </c>
      <c r="H3" s="117" t="n">
        <f aca="false">SUMIFS(الريسبي!$C$2:$C$1800,الريسبي!$A$2:$A$1800,$A3,الريسبي!$B$2:$B$1800,H$1)</f>
        <v>0</v>
      </c>
      <c r="I3" s="117" t="n">
        <f aca="false">SUMIFS(الريسبي!$C$2:$C$1800,الريسبي!$A$2:$A$1800,$A3,الريسبي!$B$2:$B$1800,I$1)</f>
        <v>0</v>
      </c>
      <c r="J3" s="117" t="n">
        <f aca="false">SUMIFS(الريسبي!$C$2:$C$1800,الريسبي!$A$2:$A$1800,$A3,الريسبي!$B$2:$B$1800,J$1)</f>
        <v>0</v>
      </c>
      <c r="K3" s="117" t="n">
        <f aca="false">SUMIFS(الريسبي!$C$2:$C$1800,الريسبي!$A$2:$A$1800,$A3,الريسبي!$B$2:$B$1800,K$1)</f>
        <v>0</v>
      </c>
      <c r="L3" s="117" t="n">
        <f aca="false">SUMIFS(الريسبي!$C$2:$C$1800,الريسبي!$A$2:$A$1800,$A3,الريسبي!$B$2:$B$1800,L$1)</f>
        <v>0</v>
      </c>
      <c r="M3" s="117" t="n">
        <f aca="false">SUMIFS(الريسبي!$C$2:$C$1800,الريسبي!$A$2:$A$1800,$A3,الريسبي!$B$2:$B$1800,M$1)</f>
        <v>0</v>
      </c>
      <c r="N3" s="117" t="n">
        <f aca="false">SUMIFS(الريسبي!$C$2:$C$1800,الريسبي!$A$2:$A$1800,$A3,الريسبي!$B$2:$B$1800,N$1)</f>
        <v>0</v>
      </c>
      <c r="O3" s="117" t="n">
        <f aca="false">SUMIFS(الريسبي!$C$2:$C$1800,الريسبي!$A$2:$A$1800,$A3,الريسبي!$B$2:$B$1800,O$1)</f>
        <v>0</v>
      </c>
      <c r="P3" s="117" t="n">
        <f aca="false">SUMIFS(الريسبي!$C$2:$C$1800,الريسبي!$A$2:$A$1800,$A3,الريسبي!$B$2:$B$1800,P$1)</f>
        <v>0</v>
      </c>
      <c r="Q3" s="117" t="n">
        <f aca="false">SUMIFS(الريسبي!$C$2:$C$1800,الريسبي!$A$2:$A$1800,$A3,الريسبي!$B$2:$B$1800,Q$1)</f>
        <v>0</v>
      </c>
      <c r="R3" s="117" t="n">
        <f aca="false">SUMIFS(الريسبي!$C$2:$C$1800,الريسبي!$A$2:$A$1800,$A3,الريسبي!$B$2:$B$1800,R$1)</f>
        <v>0</v>
      </c>
      <c r="S3" s="117" t="n">
        <f aca="false">SUMIFS(الريسبي!$C$2:$C$1800,الريسبي!$A$2:$A$1800,$A3,الريسبي!$B$2:$B$1800,S$1)</f>
        <v>0</v>
      </c>
      <c r="T3" s="117" t="n">
        <f aca="false">SUMIFS(الريسبي!$C$2:$C$1800,الريسبي!$A$2:$A$1800,$A3,الريسبي!$B$2:$B$1800,T$1)</f>
        <v>0</v>
      </c>
      <c r="U3" s="117" t="n">
        <f aca="false">SUMIFS(الريسبي!$C$2:$C$1800,الريسبي!$A$2:$A$1800,$A3,الريسبي!$B$2:$B$1800,U$1)</f>
        <v>0</v>
      </c>
      <c r="V3" s="117" t="n">
        <f aca="false">SUMIFS(الريسبي!$C$2:$C$1800,الريسبي!$A$2:$A$1800,$A3,الريسبي!$B$2:$B$1800,V$1)+1.5*(SUMIFS(الريسبي!$C$2:$C$1800,الريسبي!$A$2:$A$1800,$A3,الريسبي!$B$2:$B$1800,"برسيون موتزريلا بيتزا كبير"))</f>
        <v>1.5</v>
      </c>
      <c r="W3" s="117" t="n">
        <f aca="false">0</f>
        <v>0</v>
      </c>
      <c r="X3" s="117" t="n">
        <f aca="false">SUMIFS(الريسبي!$C$2:$C$1800,الريسبي!$A$2:$A$1800,$A3,الريسبي!$B$2:$B$1800,X$1)+1.5*(SUMIFS(الريسبي!$C$2:$C$1800,الريسبي!$A$2:$A$1800,$A3,الريسبي!$B$2:$B$1800,"برسيون موتزريلا فطير كبير"))</f>
        <v>0</v>
      </c>
      <c r="Y3" s="117" t="n">
        <f aca="false">0</f>
        <v>0</v>
      </c>
      <c r="Z3" s="117" t="n">
        <f aca="false">SUMIFS(الريسبي!$C$2:$C$1800,الريسبي!$A$2:$A$1800,$A3,الريسبي!$B$2:$B$1800,Z$1)</f>
        <v>0</v>
      </c>
      <c r="AA3" s="117" t="n">
        <f aca="false">SUMIFS(الريسبي!$C$2:$C$1800,الريسبي!$A$2:$A$1800,$A3,الريسبي!$B$2:$B$1800,AA$1)</f>
        <v>0</v>
      </c>
      <c r="AB3" s="117" t="n">
        <f aca="false">SUMIFS(الريسبي!$C$2:$C$1800,الريسبي!$A$2:$A$1800,$A3,الريسبي!$B$2:$B$1800,AB$1)</f>
        <v>0</v>
      </c>
      <c r="AC3" s="117" t="n">
        <f aca="false">SUMIFS(الريسبي!$C$2:$C$1800,الريسبي!$A$2:$A$1800,$A3,الريسبي!$B$2:$B$1800,AC$1)</f>
        <v>0</v>
      </c>
      <c r="AD3" s="117" t="n">
        <f aca="false">SUMIFS(الريسبي!$C$2:$C$1800,الريسبي!$A$2:$A$1800,$A3,الريسبي!$B$2:$B$1800,AD$1)</f>
        <v>0</v>
      </c>
      <c r="AE3" s="117" t="n">
        <f aca="false">SUMIFS(الريسبي!$C$2:$C$1800,الريسبي!$A$2:$A$1800,$A3,الريسبي!$B$2:$B$1800,AE$1)</f>
        <v>0</v>
      </c>
      <c r="AF3" s="117" t="n">
        <f aca="false">SUMIFS(الريسبي!$C$2:$C$1800,الريسبي!$A$2:$A$1800,$A3,الريسبي!$B$2:$B$1800,AF$1)</f>
        <v>0</v>
      </c>
      <c r="AG3" s="117" t="n">
        <f aca="false">SUMIFS(الريسبي!$C$2:$C$1800,الريسبي!$A$2:$A$1800,$A3,الريسبي!$B$2:$B$1800,AG$1)</f>
        <v>0</v>
      </c>
      <c r="AH3" s="117" t="n">
        <f aca="false">SUMIFS(الريسبي!$C$2:$C$1800,الريسبي!$A$2:$A$1800,$A3,الريسبي!$B$2:$B$1800,AH$1)</f>
        <v>0</v>
      </c>
      <c r="AI3" s="117" t="n">
        <f aca="false">SUMIFS(الريسبي!$C$2:$C$1800,الريسبي!$A$2:$A$1800,$A3,الريسبي!$B$2:$B$1800,AI$1)</f>
        <v>0</v>
      </c>
      <c r="AJ3" s="117" t="n">
        <f aca="false">SUMIFS(الريسبي!$C$2:$C$1800,الريسبي!$A$2:$A$1800,$A3,الريسبي!$B$2:$B$1800,AJ$1)</f>
        <v>2</v>
      </c>
      <c r="AK3" s="117" t="n">
        <f aca="false">SUMIFS(الريسبي!$C$2:$C$1800,الريسبي!$A$2:$A$1800,$A3,الريسبي!$B$2:$B$1800,AK$1)</f>
        <v>0</v>
      </c>
      <c r="AL3" s="117" t="n">
        <f aca="false">SUMIFS(الريسبي!$C$2:$C$1800,الريسبي!$A$2:$A$1800,$A3,الريسبي!$B$2:$B$1800,AL$1)</f>
        <v>0</v>
      </c>
      <c r="AM3" s="117" t="n">
        <f aca="false">SUMIFS(الريسبي!$C$2:$C$1800,الريسبي!$A$2:$A$1800,$A3,الريسبي!$B$2:$B$1800,AM$1)+0.08333333333*SUMIFS(الريسبي!$C$2:$C$1800,الريسبي!$A$2:$A$1800,$A3,الريسبي!$B$2:$B$1800,"عجين كريب (مصنع بالمطعم)")+0.08333333333*SUMIFS(الريسبي!$C$2:$C$1800,الريسبي!$A$2:$A$1800,$A3,الريسبي!$B$2:$B$1800,"عجين كريب صيامي (بدون لبن)")</f>
        <v>0</v>
      </c>
      <c r="AN3" s="117" t="n">
        <f aca="false">SUMIFS(الريسبي!$C$2:$C$1800,الريسبي!$A$2:$A$1800,$A3,الريسبي!$B$2:$B$1800,AN$1)+0.004166666667*SUMIFS(الريسبي!$C$2:$C$1800,الريسبي!$A$2:$A$1800,$A3,الريسبي!$B$2:$B$1800,"عجين كريب (مصنع بالمطعم)")+0.004166666667*SUMIFS(الريسبي!$C$2:$C$1800,الريسبي!$A$2:$A$1800,$A3,الريسبي!$B$2:$B$1800,"عجين كريب صيامي (بدون لبن)")</f>
        <v>0</v>
      </c>
      <c r="AO3" s="117" t="n">
        <f aca="false">SUMIFS(الريسبي!$C$2:$C$1800,الريسبي!$A$2:$A$1800,$A3,الريسبي!$B$2:$B$1800,AO$1)</f>
        <v>0</v>
      </c>
      <c r="AP3" s="117" t="n">
        <f aca="false">SUMIFS(الريسبي!$C$2:$C$1800,الريسبي!$A$2:$A$1800,$A3,الريسبي!$B$2:$B$1800,AP$1)</f>
        <v>0.03</v>
      </c>
      <c r="AQ3" s="117" t="n">
        <f aca="false">SUMIFS(الريسبي!$C$2:$C$1800,الريسبي!$A$2:$A$1800,$A3,الريسبي!$B$2:$B$1800,AQ$1)+0.004166666667*SUMIFS(الريسبي!$C$2:$C$1800,الريسبي!$A$2:$A$1800,$A3,الريسبي!$B$2:$B$1800,"عجين كريب (مصنع بالمطعم)")+0.004166666667*SUMIFS(الريسبي!$C$2:$C$1800,الريسبي!$A$2:$A$1800,$A3,الريسبي!$B$2:$B$1800,"عجين كريب صيامي (بدون لبن)")</f>
        <v>0</v>
      </c>
      <c r="AR3" s="117" t="n">
        <f aca="false">SUMIFS(الريسبي!$C$2:$C$1800,الريسبي!$A$2:$A$1800,$A3,الريسبي!$B$2:$B$1800,AR$1)</f>
        <v>0</v>
      </c>
      <c r="AS3" s="117" t="n">
        <f aca="false">SUMIFS(الريسبي!$C$2:$C$1800,الريسبي!$A$2:$A$1800,$A3,الريسبي!$B$2:$B$1800,AS$1)</f>
        <v>0</v>
      </c>
      <c r="AT3" s="117" t="n">
        <f aca="false">SUMIFS(الريسبي!$C$2:$C$1800,الريسبي!$A$2:$A$1800,$A3,الريسبي!$B$2:$B$1800,AT$1)</f>
        <v>0</v>
      </c>
      <c r="AU3" s="117" t="n">
        <f aca="false">SUMIFS(الريسبي!$C$2:$C$1800,الريسبي!$A$2:$A$1800,$A3,الريسبي!$B$2:$B$1800,AU$1)</f>
        <v>0</v>
      </c>
      <c r="AV3" s="117" t="n">
        <f aca="false">SUMIFS(الريسبي!$C$2:$C$1800,الريسبي!$A$2:$A$1800,$A3,الريسبي!$B$2:$B$1800,AV$1)</f>
        <v>0</v>
      </c>
      <c r="AW3" s="117" t="n">
        <f aca="false">SUMIFS(الريسبي!$C$2:$C$1800,الريسبي!$A$2:$A$1800,$A3,الريسبي!$B$2:$B$1800,AW$1)</f>
        <v>0</v>
      </c>
      <c r="AX3" s="117" t="n">
        <f aca="false">SUMIFS(الريسبي!$C$2:$C$1800,الريسبي!$A$2:$A$1800,$A3,الريسبي!$B$2:$B$1800,AX$1)</f>
        <v>0.06</v>
      </c>
      <c r="AY3" s="117" t="n">
        <f aca="false">SUMIFS(الريسبي!$C$2:$C$1800,الريسبي!$A$2:$A$1800,$A3,الريسبي!$B$2:$B$1800,AY$1)</f>
        <v>0</v>
      </c>
      <c r="AZ3" s="117" t="n">
        <f aca="false">SUMIFS(الريسبي!$C$2:$C$1800,الريسبي!$A$2:$A$1800,$A3,الريسبي!$B$2:$B$1800,AZ$1)</f>
        <v>0</v>
      </c>
      <c r="BA3" s="117" t="n">
        <f aca="false">SUMIFS(الريسبي!$C$2:$C$1800,الريسبي!$A$2:$A$1800,$A3,الريسبي!$B$2:$B$1800,BA$1)</f>
        <v>0</v>
      </c>
      <c r="BB3" s="117" t="n">
        <f aca="false">SUMIFS(الريسبي!$C$2:$C$1800,الريسبي!$A$2:$A$1800,$A3,الريسبي!$B$2:$B$1800,BB$1)</f>
        <v>0</v>
      </c>
      <c r="BC3" s="117" t="n">
        <f aca="false">SUMIFS(الريسبي!$C$2:$C$1800,الريسبي!$A$2:$A$1800,$A3,الريسبي!$B$2:$B$1800,BC$1)</f>
        <v>0.045</v>
      </c>
      <c r="BD3" s="117" t="n">
        <f aca="false">SUMIFS(الريسبي!$C$2:$C$1800,الريسبي!$A$2:$A$1800,$A3,الريسبي!$B$2:$B$1800,BD$1)</f>
        <v>0.3</v>
      </c>
      <c r="BE3" s="117" t="n">
        <f aca="false">SUMIFS(الريسبي!$C$2:$C$1800,الريسبي!$A$2:$A$1800,$A3,الريسبي!$B$2:$B$1800,BE$1)</f>
        <v>0</v>
      </c>
      <c r="BF3" s="117" t="n">
        <f aca="false">SUMIFS(الريسبي!$C$2:$C$1800,الريسبي!$A$2:$A$1800,$A3,الريسبي!$B$2:$B$1800,BF$1)</f>
        <v>0</v>
      </c>
      <c r="BG3" s="117" t="n">
        <f aca="false">SUMIFS(الريسبي!$C$2:$C$1800,الريسبي!$A$2:$A$1800,$A3,الريسبي!$B$2:$B$1800,BG$1)</f>
        <v>1</v>
      </c>
      <c r="BH3" s="117" t="n">
        <f aca="false">SUMIFS(الريسبي!$C$2:$C$1800,الريسبي!$A$2:$A$1800,$A3,الريسبي!$B$2:$B$1800,BH$1)</f>
        <v>0</v>
      </c>
      <c r="BI3" s="117" t="n">
        <f aca="false">SUMIFS(الريسبي!$C$2:$C$1800,الريسبي!$A$2:$A$1800,$A3,الريسبي!$B$2:$B$1800,BI$1)</f>
        <v>0</v>
      </c>
      <c r="BJ3" s="117" t="n">
        <f aca="false">SUMIFS(الريسبي!$C$2:$C$1800,الريسبي!$A$2:$A$1800,$A3,الريسبي!$B$2:$B$1800,BJ$1)</f>
        <v>0</v>
      </c>
      <c r="BK3" s="117" t="n">
        <f aca="false">SUMIFS(الريسبي!$C$2:$C$1800,الريسبي!$A$2:$A$1800,$A3,الريسبي!$B$2:$B$1800,BK$1)</f>
        <v>0</v>
      </c>
      <c r="BL3" s="117" t="n">
        <f aca="false">SUMIFS(الريسبي!$C$2:$C$1800,الريسبي!$A$2:$A$1800,$A3,الريسبي!$B$2:$B$1800,BL$1)</f>
        <v>0</v>
      </c>
      <c r="BM3" s="117" t="n">
        <f aca="false">SUMIFS(الريسبي!$C$2:$C$1800,الريسبي!$A$2:$A$1800,$A3,الريسبي!$B$2:$B$1800,BM$1)</f>
        <v>0</v>
      </c>
      <c r="BN3" s="117" t="n">
        <f aca="false">SUMIFS(الريسبي!$C$2:$C$1800,الريسبي!$A$2:$A$1800,$A3,الريسبي!$B$2:$B$1800,BN$1)</f>
        <v>0.03</v>
      </c>
      <c r="BO3" s="117" t="n">
        <f aca="false">SUMIFS(الريسبي!$C$2:$C$1800,الريسبي!$A$2:$A$1800,$A3,الريسبي!$B$2:$B$1800,BO$1)</f>
        <v>0</v>
      </c>
      <c r="BP3" s="117" t="n">
        <f aca="false">SUMIFS(الريسبي!$C$2:$C$1800,الريسبي!$A$2:$A$1800,$A3,الريسبي!$B$2:$B$1800,BP$1)</f>
        <v>3</v>
      </c>
      <c r="BQ3" s="117" t="n">
        <f aca="false">SUMIFS(الريسبي!$C$2:$C$1800,الريسبي!$A$2:$A$1800,$A3,الريسبي!$B$2:$B$1800,BQ$1)+0.17*SUMIFS(الريسبي!$C$2:$C$1800,الريسبي!$A$2:$A$1800,$A3,الريسبي!$B$2:$B$1800,"كاسترد مصنع (خليط بودر + لبن)")+0.17*SUMIFS(الريسبي!$C$2:$C$1800,الريسبي!$A$2:$A$1800,$A3,الريسبي!$B$2:$B$1800,"كاسترد مصنع صيامي (بدون لبن)")</f>
        <v>0</v>
      </c>
      <c r="BR3" s="117" t="n">
        <f aca="false">SUMIFS(الريسبي!$C$2:$C$1800,الريسبي!$A$2:$A$1800,$A3,الريسبي!$B$2:$B$1800,BR$1)</f>
        <v>1</v>
      </c>
      <c r="BS3" s="117" t="n">
        <f aca="false">SUMIFS(الريسبي!$C$2:$C$1800,الريسبي!$A$2:$A$1800,$A3,الريسبي!$B$2:$B$1800,BS$1)</f>
        <v>0</v>
      </c>
      <c r="BT3" s="117" t="n">
        <f aca="false">SUMIFS(الريسبي!$C$2:$C$1800,الريسبي!$A$2:$A$1800,$A3,الريسبي!$B$2:$B$1800,BT$1)</f>
        <v>0</v>
      </c>
      <c r="BU3" s="117" t="n">
        <f aca="false">SUMIFS(الريسبي!$C$2:$C$1800,الريسبي!$A$2:$A$1800,$A3,الريسبي!$B$2:$B$1800,BU$1)+0.4*SUMIFS(الريسبي!$C$2:$C$1800,الريسبي!$A$2:$A$1800,$A3,الريسبي!$B$2:$B$1800,"كاسترد مصنع (خليط بودر + لبن)")+0.03333333333*SUMIFS(الريسبي!$C$2:$C$1800,الريسبي!$A$2:$A$1800,$A3,الريسبي!$B$2:$B$1800,"عجين كريب (مصنع بالمطعم)")</f>
        <v>0</v>
      </c>
      <c r="BV3" s="117" t="n">
        <f aca="false">SUMIFS(الريسبي!$C$2:$C$1800,الريسبي!$A$2:$A$1800,$A3,الريسبي!$B$2:$B$1800,BV$1)</f>
        <v>0</v>
      </c>
      <c r="BW3" s="117" t="n">
        <f aca="false">SUMIFS(الريسبي!$C$2:$C$1800,الريسبي!$A$2:$A$1800,$A3,الريسبي!$B$2:$B$1800,BW$1)</f>
        <v>0</v>
      </c>
      <c r="BX3" s="117" t="n">
        <f aca="false">SUMIFS(الريسبي!$C$2:$C$1800,الريسبي!$A$2:$A$1800,$A3,الريسبي!$B$2:$B$1800,BX$1)</f>
        <v>0</v>
      </c>
      <c r="BY3" s="117" t="n">
        <f aca="false">SUMIFS(الريسبي!$C$2:$C$1800,الريسبي!$A$2:$A$1800,$A3,الريسبي!$B$2:$B$1800,BY$1)</f>
        <v>0</v>
      </c>
      <c r="BZ3" s="117" t="n">
        <f aca="false">SUMIFS(الريسبي!$C$2:$C$1800,الريسبي!$A$2:$A$1800,$A3,الريسبي!$B$2:$B$1800,BZ$1)</f>
        <v>0</v>
      </c>
      <c r="CA3" s="117" t="n">
        <f aca="false">SUMIFS(الريسبي!$C$2:$C$1800,الريسبي!$A$2:$A$1800,$A3,الريسبي!$B$2:$B$1800,CA$1)</f>
        <v>1</v>
      </c>
      <c r="CB3" s="117" t="n">
        <f aca="false">SUMIFS(الريسبي!$C$2:$C$1800,الريسبي!$A$2:$A$1800,$A3,الريسبي!$B$2:$B$1800,CB$1)</f>
        <v>1</v>
      </c>
      <c r="CC3" s="117" t="n">
        <f aca="false">SUMIFS(الريسبي!$C$2:$C$1800,الريسبي!$A$2:$A$1800,$A3,الريسبي!$B$2:$B$1800,CC$1)</f>
        <v>0</v>
      </c>
      <c r="CD3" s="117" t="n">
        <f aca="false">SUMIFS(الريسبي!$C$2:$C$1800,الريسبي!$A$2:$A$1800,$A3,الريسبي!$B$2:$B$1800,CD$1)</f>
        <v>0</v>
      </c>
      <c r="CE3" s="117" t="n">
        <f aca="false">SUMIFS(الريسبي!$C$2:$C$1800,الريسبي!$A$2:$A$1800,$A3,الريسبي!$B$2:$B$1800,CE$1)</f>
        <v>0</v>
      </c>
      <c r="CF3" s="117" t="n">
        <f aca="false">SUMIFS(الريسبي!$C$2:$C$1800,الريسبي!$A$2:$A$1800,$A3,الريسبي!$B$2:$B$1800,CF$1)</f>
        <v>0</v>
      </c>
      <c r="CG3" s="117" t="n">
        <f aca="false">SUMIFS(الريسبي!$C$2:$C$1800,الريسبي!$A$2:$A$1800,$A3,الريسبي!$B$2:$B$1800,CG$1)</f>
        <v>0</v>
      </c>
      <c r="CH3" s="117" t="n">
        <f aca="false">SUMIFS(الريسبي!$C$2:$C$1800,الريسبي!$A$2:$A$1800,$A3,الريسبي!$B$2:$B$1800,CH$1)</f>
        <v>0</v>
      </c>
      <c r="CI3" s="117" t="n">
        <f aca="false">SUMIFS(الريسبي!$C$2:$C$1800,الريسبي!$A$2:$A$1800,$A3,الريسبي!$B$2:$B$1800,CI$1)</f>
        <v>0</v>
      </c>
      <c r="CJ3" s="117" t="n">
        <f aca="false">SUMIFS(الريسبي!$C$2:$C$1800,الريسبي!$A$2:$A$1800,$A3,الريسبي!$B$2:$B$1800,CJ$1)</f>
        <v>0</v>
      </c>
      <c r="CK3" s="117" t="n">
        <f aca="false">SUMIFS(الريسبي!$C$2:$C$1800,الريسبي!$A$2:$A$1800,$A3,الريسبي!$B$2:$B$1800,CK$1)</f>
        <v>0</v>
      </c>
      <c r="CL3" s="117" t="n">
        <f aca="false">SUMIFS(الريسبي!$C$2:$C$1800,الريسبي!$A$2:$A$1800,$A3,الريسبي!$B$2:$B$1800,CL$1)</f>
        <v>0</v>
      </c>
    </row>
    <row r="4" customFormat="false" ht="15" hidden="false" customHeight="false" outlineLevel="0" collapsed="false">
      <c r="A4" s="116" t="str">
        <f aca="false">المنيو!B4</f>
        <v>بيتزا بسطرمة وسط</v>
      </c>
      <c r="B4" s="117" t="n">
        <f aca="false">SUMIFS(الريسبي!$C$2:$C$1800,الريسبي!$A$2:$A$1800,$A4,الريسبي!$B$2:$B$1800,B$1)</f>
        <v>0</v>
      </c>
      <c r="C4" s="117" t="n">
        <f aca="false">SUMIFS(الريسبي!$C$2:$C$1800,الريسبي!$A$2:$A$1800,$A4,الريسبي!$B$2:$B$1800,C$1)</f>
        <v>0</v>
      </c>
      <c r="D4" s="117" t="n">
        <f aca="false">SUMIFS(الريسبي!$C$2:$C$1800,الريسبي!$A$2:$A$1800,$A4,الريسبي!$B$2:$B$1800,D$1)</f>
        <v>1</v>
      </c>
      <c r="E4" s="117" t="n">
        <f aca="false">SUMIFS(الريسبي!$C$2:$C$1800,الريسبي!$A$2:$A$1800,$A4,الريسبي!$B$2:$B$1800,E$1)</f>
        <v>0</v>
      </c>
      <c r="F4" s="117" t="n">
        <f aca="false">SUMIFS(الريسبي!$C$2:$C$1800,الريسبي!$A$2:$A$1800,$A4,الريسبي!$B$2:$B$1800,F$1)</f>
        <v>0</v>
      </c>
      <c r="G4" s="117" t="n">
        <f aca="false">SUMIFS(الريسبي!$C$2:$C$1800,الريسبي!$A$2:$A$1800,$A4,الريسبي!$B$2:$B$1800,G$1)</f>
        <v>1</v>
      </c>
      <c r="H4" s="117" t="n">
        <f aca="false">SUMIFS(الريسبي!$C$2:$C$1800,الريسبي!$A$2:$A$1800,$A4,الريسبي!$B$2:$B$1800,H$1)</f>
        <v>0</v>
      </c>
      <c r="I4" s="117" t="n">
        <f aca="false">SUMIFS(الريسبي!$C$2:$C$1800,الريسبي!$A$2:$A$1800,$A4,الريسبي!$B$2:$B$1800,I$1)</f>
        <v>0</v>
      </c>
      <c r="J4" s="117" t="n">
        <f aca="false">SUMIFS(الريسبي!$C$2:$C$1800,الريسبي!$A$2:$A$1800,$A4,الريسبي!$B$2:$B$1800,J$1)</f>
        <v>0</v>
      </c>
      <c r="K4" s="117" t="n">
        <f aca="false">SUMIFS(الريسبي!$C$2:$C$1800,الريسبي!$A$2:$A$1800,$A4,الريسبي!$B$2:$B$1800,K$1)</f>
        <v>0</v>
      </c>
      <c r="L4" s="117" t="n">
        <f aca="false">SUMIFS(الريسبي!$C$2:$C$1800,الريسبي!$A$2:$A$1800,$A4,الريسبي!$B$2:$B$1800,L$1)</f>
        <v>0</v>
      </c>
      <c r="M4" s="117" t="n">
        <f aca="false">SUMIFS(الريسبي!$C$2:$C$1800,الريسبي!$A$2:$A$1800,$A4,الريسبي!$B$2:$B$1800,M$1)</f>
        <v>0</v>
      </c>
      <c r="N4" s="117" t="n">
        <f aca="false">SUMIFS(الريسبي!$C$2:$C$1800,الريسبي!$A$2:$A$1800,$A4,الريسبي!$B$2:$B$1800,N$1)</f>
        <v>0</v>
      </c>
      <c r="O4" s="117" t="n">
        <f aca="false">SUMIFS(الريسبي!$C$2:$C$1800,الريسبي!$A$2:$A$1800,$A4,الريسبي!$B$2:$B$1800,O$1)</f>
        <v>0</v>
      </c>
      <c r="P4" s="117" t="n">
        <f aca="false">SUMIFS(الريسبي!$C$2:$C$1800,الريسبي!$A$2:$A$1800,$A4,الريسبي!$B$2:$B$1800,P$1)</f>
        <v>0</v>
      </c>
      <c r="Q4" s="117" t="n">
        <f aca="false">SUMIFS(الريسبي!$C$2:$C$1800,الريسبي!$A$2:$A$1800,$A4,الريسبي!$B$2:$B$1800,Q$1)</f>
        <v>0</v>
      </c>
      <c r="R4" s="117" t="n">
        <f aca="false">SUMIFS(الريسبي!$C$2:$C$1800,الريسبي!$A$2:$A$1800,$A4,الريسبي!$B$2:$B$1800,R$1)</f>
        <v>0</v>
      </c>
      <c r="S4" s="117" t="n">
        <f aca="false">SUMIFS(الريسبي!$C$2:$C$1800,الريسبي!$A$2:$A$1800,$A4,الريسبي!$B$2:$B$1800,S$1)</f>
        <v>0</v>
      </c>
      <c r="T4" s="117" t="n">
        <f aca="false">SUMIFS(الريسبي!$C$2:$C$1800,الريسبي!$A$2:$A$1800,$A4,الريسبي!$B$2:$B$1800,T$1)</f>
        <v>0</v>
      </c>
      <c r="U4" s="117" t="n">
        <f aca="false">SUMIFS(الريسبي!$C$2:$C$1800,الريسبي!$A$2:$A$1800,$A4,الريسبي!$B$2:$B$1800,U$1)</f>
        <v>0</v>
      </c>
      <c r="V4" s="117" t="n">
        <f aca="false">SUMIFS(الريسبي!$C$2:$C$1800,الريسبي!$A$2:$A$1800,$A4,الريسبي!$B$2:$B$1800,V$1)+1.5*(SUMIFS(الريسبي!$C$2:$C$1800,الريسبي!$A$2:$A$1800,$A4,الريسبي!$B$2:$B$1800,"برسيون موتزريلا بيتزا كبير"))</f>
        <v>1</v>
      </c>
      <c r="W4" s="117" t="n">
        <f aca="false">0</f>
        <v>0</v>
      </c>
      <c r="X4" s="117" t="n">
        <f aca="false">SUMIFS(الريسبي!$C$2:$C$1800,الريسبي!$A$2:$A$1800,$A4,الريسبي!$B$2:$B$1800,X$1)+1.5*(SUMIFS(الريسبي!$C$2:$C$1800,الريسبي!$A$2:$A$1800,$A4,الريسبي!$B$2:$B$1800,"برسيون موتزريلا فطير كبير"))</f>
        <v>0</v>
      </c>
      <c r="Y4" s="117" t="n">
        <f aca="false">0</f>
        <v>0</v>
      </c>
      <c r="Z4" s="117" t="n">
        <f aca="false">SUMIFS(الريسبي!$C$2:$C$1800,الريسبي!$A$2:$A$1800,$A4,الريسبي!$B$2:$B$1800,Z$1)</f>
        <v>0</v>
      </c>
      <c r="AA4" s="117" t="n">
        <f aca="false">SUMIFS(الريسبي!$C$2:$C$1800,الريسبي!$A$2:$A$1800,$A4,الريسبي!$B$2:$B$1800,AA$1)</f>
        <v>0</v>
      </c>
      <c r="AB4" s="117" t="n">
        <f aca="false">SUMIFS(الريسبي!$C$2:$C$1800,الريسبي!$A$2:$A$1800,$A4,الريسبي!$B$2:$B$1800,AB$1)</f>
        <v>0</v>
      </c>
      <c r="AC4" s="117" t="n">
        <f aca="false">SUMIFS(الريسبي!$C$2:$C$1800,الريسبي!$A$2:$A$1800,$A4,الريسبي!$B$2:$B$1800,AC$1)</f>
        <v>0</v>
      </c>
      <c r="AD4" s="117" t="n">
        <f aca="false">SUMIFS(الريسبي!$C$2:$C$1800,الريسبي!$A$2:$A$1800,$A4,الريسبي!$B$2:$B$1800,AD$1)</f>
        <v>0</v>
      </c>
      <c r="AE4" s="117" t="n">
        <f aca="false">SUMIFS(الريسبي!$C$2:$C$1800,الريسبي!$A$2:$A$1800,$A4,الريسبي!$B$2:$B$1800,AE$1)</f>
        <v>0</v>
      </c>
      <c r="AF4" s="117" t="n">
        <f aca="false">SUMIFS(الريسبي!$C$2:$C$1800,الريسبي!$A$2:$A$1800,$A4,الريسبي!$B$2:$B$1800,AF$1)</f>
        <v>0</v>
      </c>
      <c r="AG4" s="117" t="n">
        <f aca="false">SUMIFS(الريسبي!$C$2:$C$1800,الريسبي!$A$2:$A$1800,$A4,الريسبي!$B$2:$B$1800,AG$1)</f>
        <v>0</v>
      </c>
      <c r="AH4" s="117" t="n">
        <f aca="false">SUMIFS(الريسبي!$C$2:$C$1800,الريسبي!$A$2:$A$1800,$A4,الريسبي!$B$2:$B$1800,AH$1)</f>
        <v>0</v>
      </c>
      <c r="AI4" s="117" t="n">
        <f aca="false">SUMIFS(الريسبي!$C$2:$C$1800,الريسبي!$A$2:$A$1800,$A4,الريسبي!$B$2:$B$1800,AI$1)</f>
        <v>0</v>
      </c>
      <c r="AJ4" s="117" t="n">
        <f aca="false">SUMIFS(الريسبي!$C$2:$C$1800,الريسبي!$A$2:$A$1800,$A4,الريسبي!$B$2:$B$1800,AJ$1)</f>
        <v>2</v>
      </c>
      <c r="AK4" s="117" t="n">
        <f aca="false">SUMIFS(الريسبي!$C$2:$C$1800,الريسبي!$A$2:$A$1800,$A4,الريسبي!$B$2:$B$1800,AK$1)</f>
        <v>0</v>
      </c>
      <c r="AL4" s="117" t="n">
        <f aca="false">SUMIFS(الريسبي!$C$2:$C$1800,الريسبي!$A$2:$A$1800,$A4,الريسبي!$B$2:$B$1800,AL$1)</f>
        <v>0</v>
      </c>
      <c r="AM4" s="117" t="n">
        <f aca="false">SUMIFS(الريسبي!$C$2:$C$1800,الريسبي!$A$2:$A$1800,$A4,الريسبي!$B$2:$B$1800,AM$1)+0.08333333333*SUMIFS(الريسبي!$C$2:$C$1800,الريسبي!$A$2:$A$1800,$A4,الريسبي!$B$2:$B$1800,"عجين كريب (مصنع بالمطعم)")+0.08333333333*SUMIFS(الريسبي!$C$2:$C$1800,الريسبي!$A$2:$A$1800,$A4,الريسبي!$B$2:$B$1800,"عجين كريب صيامي (بدون لبن)")</f>
        <v>0</v>
      </c>
      <c r="AN4" s="117" t="n">
        <f aca="false">SUMIFS(الريسبي!$C$2:$C$1800,الريسبي!$A$2:$A$1800,$A4,الريسبي!$B$2:$B$1800,AN$1)+0.004166666667*SUMIFS(الريسبي!$C$2:$C$1800,الريسبي!$A$2:$A$1800,$A4,الريسبي!$B$2:$B$1800,"عجين كريب (مصنع بالمطعم)")+0.004166666667*SUMIFS(الريسبي!$C$2:$C$1800,الريسبي!$A$2:$A$1800,$A4,الريسبي!$B$2:$B$1800,"عجين كريب صيامي (بدون لبن)")</f>
        <v>0</v>
      </c>
      <c r="AO4" s="117" t="n">
        <f aca="false">SUMIFS(الريسبي!$C$2:$C$1800,الريسبي!$A$2:$A$1800,$A4,الريسبي!$B$2:$B$1800,AO$1)</f>
        <v>0</v>
      </c>
      <c r="AP4" s="117" t="n">
        <f aca="false">SUMIFS(الريسبي!$C$2:$C$1800,الريسبي!$A$2:$A$1800,$A4,الريسبي!$B$2:$B$1800,AP$1)</f>
        <v>0.02</v>
      </c>
      <c r="AQ4" s="117" t="n">
        <f aca="false">SUMIFS(الريسبي!$C$2:$C$1800,الريسبي!$A$2:$A$1800,$A4,الريسبي!$B$2:$B$1800,AQ$1)+0.004166666667*SUMIFS(الريسبي!$C$2:$C$1800,الريسبي!$A$2:$A$1800,$A4,الريسبي!$B$2:$B$1800,"عجين كريب (مصنع بالمطعم)")+0.004166666667*SUMIFS(الريسبي!$C$2:$C$1800,الريسبي!$A$2:$A$1800,$A4,الريسبي!$B$2:$B$1800,"عجين كريب صيامي (بدون لبن)")</f>
        <v>0</v>
      </c>
      <c r="AR4" s="117" t="n">
        <f aca="false">SUMIFS(الريسبي!$C$2:$C$1800,الريسبي!$A$2:$A$1800,$A4,الريسبي!$B$2:$B$1800,AR$1)</f>
        <v>0</v>
      </c>
      <c r="AS4" s="117" t="n">
        <f aca="false">SUMIFS(الريسبي!$C$2:$C$1800,الريسبي!$A$2:$A$1800,$A4,الريسبي!$B$2:$B$1800,AS$1)</f>
        <v>0</v>
      </c>
      <c r="AT4" s="117" t="n">
        <f aca="false">SUMIFS(الريسبي!$C$2:$C$1800,الريسبي!$A$2:$A$1800,$A4,الريسبي!$B$2:$B$1800,AT$1)</f>
        <v>0</v>
      </c>
      <c r="AU4" s="117" t="n">
        <f aca="false">SUMIFS(الريسبي!$C$2:$C$1800,الريسبي!$A$2:$A$1800,$A4,الريسبي!$B$2:$B$1800,AU$1)</f>
        <v>0</v>
      </c>
      <c r="AV4" s="117" t="n">
        <f aca="false">SUMIFS(الريسبي!$C$2:$C$1800,الريسبي!$A$2:$A$1800,$A4,الريسبي!$B$2:$B$1800,AV$1)</f>
        <v>0</v>
      </c>
      <c r="AW4" s="117" t="n">
        <f aca="false">SUMIFS(الريسبي!$C$2:$C$1800,الريسبي!$A$2:$A$1800,$A4,الريسبي!$B$2:$B$1800,AW$1)</f>
        <v>0</v>
      </c>
      <c r="AX4" s="117" t="n">
        <f aca="false">SUMIFS(الريسبي!$C$2:$C$1800,الريسبي!$A$2:$A$1800,$A4,الريسبي!$B$2:$B$1800,AX$1)</f>
        <v>0.04</v>
      </c>
      <c r="AY4" s="117" t="n">
        <f aca="false">SUMIFS(الريسبي!$C$2:$C$1800,الريسبي!$A$2:$A$1800,$A4,الريسبي!$B$2:$B$1800,AY$1)</f>
        <v>0</v>
      </c>
      <c r="AZ4" s="117" t="n">
        <f aca="false">SUMIFS(الريسبي!$C$2:$C$1800,الريسبي!$A$2:$A$1800,$A4,الريسبي!$B$2:$B$1800,AZ$1)</f>
        <v>0</v>
      </c>
      <c r="BA4" s="117" t="n">
        <f aca="false">SUMIFS(الريسبي!$C$2:$C$1800,الريسبي!$A$2:$A$1800,$A4,الريسبي!$B$2:$B$1800,BA$1)</f>
        <v>0</v>
      </c>
      <c r="BB4" s="117" t="n">
        <f aca="false">SUMIFS(الريسبي!$C$2:$C$1800,الريسبي!$A$2:$A$1800,$A4,الريسبي!$B$2:$B$1800,BB$1)</f>
        <v>0</v>
      </c>
      <c r="BC4" s="117" t="n">
        <f aca="false">SUMIFS(الريسبي!$C$2:$C$1800,الريسبي!$A$2:$A$1800,$A4,الريسبي!$B$2:$B$1800,BC$1)</f>
        <v>0.03</v>
      </c>
      <c r="BD4" s="117" t="n">
        <f aca="false">SUMIFS(الريسبي!$C$2:$C$1800,الريسبي!$A$2:$A$1800,$A4,الريسبي!$B$2:$B$1800,BD$1)</f>
        <v>0.22</v>
      </c>
      <c r="BE4" s="117" t="n">
        <f aca="false">SUMIFS(الريسبي!$C$2:$C$1800,الريسبي!$A$2:$A$1800,$A4,الريسبي!$B$2:$B$1800,BE$1)</f>
        <v>0</v>
      </c>
      <c r="BF4" s="117" t="n">
        <f aca="false">SUMIFS(الريسبي!$C$2:$C$1800,الريسبي!$A$2:$A$1800,$A4,الريسبي!$B$2:$B$1800,BF$1)</f>
        <v>0</v>
      </c>
      <c r="BG4" s="117" t="n">
        <f aca="false">SUMIFS(الريسبي!$C$2:$C$1800,الريسبي!$A$2:$A$1800,$A4,الريسبي!$B$2:$B$1800,BG$1)</f>
        <v>0</v>
      </c>
      <c r="BH4" s="117" t="n">
        <f aca="false">SUMIFS(الريسبي!$C$2:$C$1800,الريسبي!$A$2:$A$1800,$A4,الريسبي!$B$2:$B$1800,BH$1)</f>
        <v>1</v>
      </c>
      <c r="BI4" s="117" t="n">
        <f aca="false">SUMIFS(الريسبي!$C$2:$C$1800,الريسبي!$A$2:$A$1800,$A4,الريسبي!$B$2:$B$1800,BI$1)</f>
        <v>0</v>
      </c>
      <c r="BJ4" s="117" t="n">
        <f aca="false">SUMIFS(الريسبي!$C$2:$C$1800,الريسبي!$A$2:$A$1800,$A4,الريسبي!$B$2:$B$1800,BJ$1)</f>
        <v>0</v>
      </c>
      <c r="BK4" s="117" t="n">
        <f aca="false">SUMIFS(الريسبي!$C$2:$C$1800,الريسبي!$A$2:$A$1800,$A4,الريسبي!$B$2:$B$1800,BK$1)</f>
        <v>0</v>
      </c>
      <c r="BL4" s="117" t="n">
        <f aca="false">SUMIFS(الريسبي!$C$2:$C$1800,الريسبي!$A$2:$A$1800,$A4,الريسبي!$B$2:$B$1800,BL$1)</f>
        <v>0</v>
      </c>
      <c r="BM4" s="117" t="n">
        <f aca="false">SUMIFS(الريسبي!$C$2:$C$1800,الريسبي!$A$2:$A$1800,$A4,الريسبي!$B$2:$B$1800,BM$1)</f>
        <v>0</v>
      </c>
      <c r="BN4" s="117" t="n">
        <f aca="false">SUMIFS(الريسبي!$C$2:$C$1800,الريسبي!$A$2:$A$1800,$A4,الريسبي!$B$2:$B$1800,BN$1)</f>
        <v>0.02</v>
      </c>
      <c r="BO4" s="117" t="n">
        <f aca="false">SUMIFS(الريسبي!$C$2:$C$1800,الريسبي!$A$2:$A$1800,$A4,الريسبي!$B$2:$B$1800,BO$1)</f>
        <v>0</v>
      </c>
      <c r="BP4" s="117" t="n">
        <f aca="false">SUMIFS(الريسبي!$C$2:$C$1800,الريسبي!$A$2:$A$1800,$A4,الريسبي!$B$2:$B$1800,BP$1)</f>
        <v>2</v>
      </c>
      <c r="BQ4" s="117" t="n">
        <f aca="false">SUMIFS(الريسبي!$C$2:$C$1800,الريسبي!$A$2:$A$1800,$A4,الريسبي!$B$2:$B$1800,BQ$1)+0.17*SUMIFS(الريسبي!$C$2:$C$1800,الريسبي!$A$2:$A$1800,$A4,الريسبي!$B$2:$B$1800,"كاسترد مصنع (خليط بودر + لبن)")+0.17*SUMIFS(الريسبي!$C$2:$C$1800,الريسبي!$A$2:$A$1800,$A4,الريسبي!$B$2:$B$1800,"كاسترد مصنع صيامي (بدون لبن)")</f>
        <v>0</v>
      </c>
      <c r="BR4" s="117" t="n">
        <f aca="false">SUMIFS(الريسبي!$C$2:$C$1800,الريسبي!$A$2:$A$1800,$A4,الريسبي!$B$2:$B$1800,BR$1)</f>
        <v>1</v>
      </c>
      <c r="BS4" s="117" t="n">
        <f aca="false">SUMIFS(الريسبي!$C$2:$C$1800,الريسبي!$A$2:$A$1800,$A4,الريسبي!$B$2:$B$1800,BS$1)</f>
        <v>0</v>
      </c>
      <c r="BT4" s="117" t="n">
        <f aca="false">SUMIFS(الريسبي!$C$2:$C$1800,الريسبي!$A$2:$A$1800,$A4,الريسبي!$B$2:$B$1800,BT$1)</f>
        <v>0</v>
      </c>
      <c r="BU4" s="117" t="n">
        <f aca="false">SUMIFS(الريسبي!$C$2:$C$1800,الريسبي!$A$2:$A$1800,$A4,الريسبي!$B$2:$B$1800,BU$1)+0.4*SUMIFS(الريسبي!$C$2:$C$1800,الريسبي!$A$2:$A$1800,$A4,الريسبي!$B$2:$B$1800,"كاسترد مصنع (خليط بودر + لبن)")+0.03333333333*SUMIFS(الريسبي!$C$2:$C$1800,الريسبي!$A$2:$A$1800,$A4,الريسبي!$B$2:$B$1800,"عجين كريب (مصنع بالمطعم)")</f>
        <v>0</v>
      </c>
      <c r="BV4" s="117" t="n">
        <f aca="false">SUMIFS(الريسبي!$C$2:$C$1800,الريسبي!$A$2:$A$1800,$A4,الريسبي!$B$2:$B$1800,BV$1)</f>
        <v>0</v>
      </c>
      <c r="BW4" s="117" t="n">
        <f aca="false">SUMIFS(الريسبي!$C$2:$C$1800,الريسبي!$A$2:$A$1800,$A4,الريسبي!$B$2:$B$1800,BW$1)</f>
        <v>0</v>
      </c>
      <c r="BX4" s="117" t="n">
        <f aca="false">SUMIFS(الريسبي!$C$2:$C$1800,الريسبي!$A$2:$A$1800,$A4,الريسبي!$B$2:$B$1800,BX$1)</f>
        <v>0</v>
      </c>
      <c r="BY4" s="117" t="n">
        <f aca="false">SUMIFS(الريسبي!$C$2:$C$1800,الريسبي!$A$2:$A$1800,$A4,الريسبي!$B$2:$B$1800,BY$1)</f>
        <v>0</v>
      </c>
      <c r="BZ4" s="117" t="n">
        <f aca="false">SUMIFS(الريسبي!$C$2:$C$1800,الريسبي!$A$2:$A$1800,$A4,الريسبي!$B$2:$B$1800,BZ$1)</f>
        <v>0</v>
      </c>
      <c r="CA4" s="117" t="n">
        <f aca="false">SUMIFS(الريسبي!$C$2:$C$1800,الريسبي!$A$2:$A$1800,$A4,الريسبي!$B$2:$B$1800,CA$1)</f>
        <v>1</v>
      </c>
      <c r="CB4" s="117" t="n">
        <f aca="false">SUMIFS(الريسبي!$C$2:$C$1800,الريسبي!$A$2:$A$1800,$A4,الريسبي!$B$2:$B$1800,CB$1)</f>
        <v>1</v>
      </c>
      <c r="CC4" s="117" t="n">
        <f aca="false">SUMIFS(الريسبي!$C$2:$C$1800,الريسبي!$A$2:$A$1800,$A4,الريسبي!$B$2:$B$1800,CC$1)</f>
        <v>0</v>
      </c>
      <c r="CD4" s="117" t="n">
        <f aca="false">SUMIFS(الريسبي!$C$2:$C$1800,الريسبي!$A$2:$A$1800,$A4,الريسبي!$B$2:$B$1800,CD$1)</f>
        <v>0</v>
      </c>
      <c r="CE4" s="117" t="n">
        <f aca="false">SUMIFS(الريسبي!$C$2:$C$1800,الريسبي!$A$2:$A$1800,$A4,الريسبي!$B$2:$B$1800,CE$1)</f>
        <v>0</v>
      </c>
      <c r="CF4" s="117" t="n">
        <f aca="false">SUMIFS(الريسبي!$C$2:$C$1800,الريسبي!$A$2:$A$1800,$A4,الريسبي!$B$2:$B$1800,CF$1)</f>
        <v>0</v>
      </c>
      <c r="CG4" s="117" t="n">
        <f aca="false">SUMIFS(الريسبي!$C$2:$C$1800,الريسبي!$A$2:$A$1800,$A4,الريسبي!$B$2:$B$1800,CG$1)</f>
        <v>0</v>
      </c>
      <c r="CH4" s="117" t="n">
        <f aca="false">SUMIFS(الريسبي!$C$2:$C$1800,الريسبي!$A$2:$A$1800,$A4,الريسبي!$B$2:$B$1800,CH$1)</f>
        <v>0</v>
      </c>
      <c r="CI4" s="117" t="n">
        <f aca="false">SUMIFS(الريسبي!$C$2:$C$1800,الريسبي!$A$2:$A$1800,$A4,الريسبي!$B$2:$B$1800,CI$1)</f>
        <v>0</v>
      </c>
      <c r="CJ4" s="117" t="n">
        <f aca="false">SUMIFS(الريسبي!$C$2:$C$1800,الريسبي!$A$2:$A$1800,$A4,الريسبي!$B$2:$B$1800,CJ$1)</f>
        <v>0</v>
      </c>
      <c r="CK4" s="117" t="n">
        <f aca="false">SUMIFS(الريسبي!$C$2:$C$1800,الريسبي!$A$2:$A$1800,$A4,الريسبي!$B$2:$B$1800,CK$1)</f>
        <v>0</v>
      </c>
      <c r="CL4" s="117" t="n">
        <f aca="false">SUMIFS(الريسبي!$C$2:$C$1800,الريسبي!$A$2:$A$1800,$A4,الريسبي!$B$2:$B$1800,CL$1)</f>
        <v>0</v>
      </c>
    </row>
    <row r="5" customFormat="false" ht="15" hidden="false" customHeight="false" outlineLevel="0" collapsed="false">
      <c r="A5" s="116" t="str">
        <f aca="false">المنيو!B5</f>
        <v>بيتزا بسطرمة حجم اكبر</v>
      </c>
      <c r="B5" s="117" t="n">
        <f aca="false">SUMIFS(الريسبي!$C$2:$C$1800,الريسبي!$A$2:$A$1800,$A5,الريسبي!$B$2:$B$1800,B$1)</f>
        <v>0</v>
      </c>
      <c r="C5" s="117" t="n">
        <f aca="false">SUMIFS(الريسبي!$C$2:$C$1800,الريسبي!$A$2:$A$1800,$A5,الريسبي!$B$2:$B$1800,C$1)</f>
        <v>0</v>
      </c>
      <c r="D5" s="117" t="n">
        <f aca="false">SUMIFS(الريسبي!$C$2:$C$1800,الريسبي!$A$2:$A$1800,$A5,الريسبي!$B$2:$B$1800,D$1)</f>
        <v>1</v>
      </c>
      <c r="E5" s="117" t="n">
        <f aca="false">SUMIFS(الريسبي!$C$2:$C$1800,الريسبي!$A$2:$A$1800,$A5,الريسبي!$B$2:$B$1800,E$1)</f>
        <v>0</v>
      </c>
      <c r="F5" s="117" t="n">
        <f aca="false">SUMIFS(الريسبي!$C$2:$C$1800,الريسبي!$A$2:$A$1800,$A5,الريسبي!$B$2:$B$1800,F$1)</f>
        <v>0</v>
      </c>
      <c r="G5" s="117" t="n">
        <f aca="false">SUMIFS(الريسبي!$C$2:$C$1800,الريسبي!$A$2:$A$1800,$A5,الريسبي!$B$2:$B$1800,G$1)</f>
        <v>0</v>
      </c>
      <c r="H5" s="117" t="n">
        <f aca="false">SUMIFS(الريسبي!$C$2:$C$1800,الريسبي!$A$2:$A$1800,$A5,الريسبي!$B$2:$B$1800,H$1)</f>
        <v>1</v>
      </c>
      <c r="I5" s="117" t="n">
        <f aca="false">SUMIFS(الريسبي!$C$2:$C$1800,الريسبي!$A$2:$A$1800,$A5,الريسبي!$B$2:$B$1800,I$1)</f>
        <v>0</v>
      </c>
      <c r="J5" s="117" t="n">
        <f aca="false">SUMIFS(الريسبي!$C$2:$C$1800,الريسبي!$A$2:$A$1800,$A5,الريسبي!$B$2:$B$1800,J$1)</f>
        <v>0</v>
      </c>
      <c r="K5" s="117" t="n">
        <f aca="false">SUMIFS(الريسبي!$C$2:$C$1800,الريسبي!$A$2:$A$1800,$A5,الريسبي!$B$2:$B$1800,K$1)</f>
        <v>0</v>
      </c>
      <c r="L5" s="117" t="n">
        <f aca="false">SUMIFS(الريسبي!$C$2:$C$1800,الريسبي!$A$2:$A$1800,$A5,الريسبي!$B$2:$B$1800,L$1)</f>
        <v>0</v>
      </c>
      <c r="M5" s="117" t="n">
        <f aca="false">SUMIFS(الريسبي!$C$2:$C$1800,الريسبي!$A$2:$A$1800,$A5,الريسبي!$B$2:$B$1800,M$1)</f>
        <v>0</v>
      </c>
      <c r="N5" s="117" t="n">
        <f aca="false">SUMIFS(الريسبي!$C$2:$C$1800,الريسبي!$A$2:$A$1800,$A5,الريسبي!$B$2:$B$1800,N$1)</f>
        <v>0</v>
      </c>
      <c r="O5" s="117" t="n">
        <f aca="false">SUMIFS(الريسبي!$C$2:$C$1800,الريسبي!$A$2:$A$1800,$A5,الريسبي!$B$2:$B$1800,O$1)</f>
        <v>0</v>
      </c>
      <c r="P5" s="117" t="n">
        <f aca="false">SUMIFS(الريسبي!$C$2:$C$1800,الريسبي!$A$2:$A$1800,$A5,الريسبي!$B$2:$B$1800,P$1)</f>
        <v>0</v>
      </c>
      <c r="Q5" s="117" t="n">
        <f aca="false">SUMIFS(الريسبي!$C$2:$C$1800,الريسبي!$A$2:$A$1800,$A5,الريسبي!$B$2:$B$1800,Q$1)</f>
        <v>0</v>
      </c>
      <c r="R5" s="117" t="n">
        <f aca="false">SUMIFS(الريسبي!$C$2:$C$1800,الريسبي!$A$2:$A$1800,$A5,الريسبي!$B$2:$B$1800,R$1)</f>
        <v>0</v>
      </c>
      <c r="S5" s="117" t="n">
        <f aca="false">SUMIFS(الريسبي!$C$2:$C$1800,الريسبي!$A$2:$A$1800,$A5,الريسبي!$B$2:$B$1800,S$1)</f>
        <v>0</v>
      </c>
      <c r="T5" s="117" t="n">
        <f aca="false">SUMIFS(الريسبي!$C$2:$C$1800,الريسبي!$A$2:$A$1800,$A5,الريسبي!$B$2:$B$1800,T$1)</f>
        <v>0</v>
      </c>
      <c r="U5" s="117" t="n">
        <f aca="false">SUMIFS(الريسبي!$C$2:$C$1800,الريسبي!$A$2:$A$1800,$A5,الريسبي!$B$2:$B$1800,U$1)</f>
        <v>0</v>
      </c>
      <c r="V5" s="117" t="n">
        <f aca="false">SUMIFS(الريسبي!$C$2:$C$1800,الريسبي!$A$2:$A$1800,$A5,الريسبي!$B$2:$B$1800,V$1)+1.5*(SUMIFS(الريسبي!$C$2:$C$1800,الريسبي!$A$2:$A$1800,$A5,الريسبي!$B$2:$B$1800,"برسيون موتزريلا بيتزا كبير"))</f>
        <v>1.5</v>
      </c>
      <c r="W5" s="117" t="n">
        <f aca="false">0</f>
        <v>0</v>
      </c>
      <c r="X5" s="117" t="n">
        <f aca="false">SUMIFS(الريسبي!$C$2:$C$1800,الريسبي!$A$2:$A$1800,$A5,الريسبي!$B$2:$B$1800,X$1)+1.5*(SUMIFS(الريسبي!$C$2:$C$1800,الريسبي!$A$2:$A$1800,$A5,الريسبي!$B$2:$B$1800,"برسيون موتزريلا فطير كبير"))</f>
        <v>0</v>
      </c>
      <c r="Y5" s="117" t="n">
        <f aca="false">0</f>
        <v>0</v>
      </c>
      <c r="Z5" s="117" t="n">
        <f aca="false">SUMIFS(الريسبي!$C$2:$C$1800,الريسبي!$A$2:$A$1800,$A5,الريسبي!$B$2:$B$1800,Z$1)</f>
        <v>0</v>
      </c>
      <c r="AA5" s="117" t="n">
        <f aca="false">SUMIFS(الريسبي!$C$2:$C$1800,الريسبي!$A$2:$A$1800,$A5,الريسبي!$B$2:$B$1800,AA$1)</f>
        <v>0</v>
      </c>
      <c r="AB5" s="117" t="n">
        <f aca="false">SUMIFS(الريسبي!$C$2:$C$1800,الريسبي!$A$2:$A$1800,$A5,الريسبي!$B$2:$B$1800,AB$1)</f>
        <v>0</v>
      </c>
      <c r="AC5" s="117" t="n">
        <f aca="false">SUMIFS(الريسبي!$C$2:$C$1800,الريسبي!$A$2:$A$1800,$A5,الريسبي!$B$2:$B$1800,AC$1)</f>
        <v>0</v>
      </c>
      <c r="AD5" s="117" t="n">
        <f aca="false">SUMIFS(الريسبي!$C$2:$C$1800,الريسبي!$A$2:$A$1800,$A5,الريسبي!$B$2:$B$1800,AD$1)</f>
        <v>0</v>
      </c>
      <c r="AE5" s="117" t="n">
        <f aca="false">SUMIFS(الريسبي!$C$2:$C$1800,الريسبي!$A$2:$A$1800,$A5,الريسبي!$B$2:$B$1800,AE$1)</f>
        <v>0</v>
      </c>
      <c r="AF5" s="117" t="n">
        <f aca="false">SUMIFS(الريسبي!$C$2:$C$1800,الريسبي!$A$2:$A$1800,$A5,الريسبي!$B$2:$B$1800,AF$1)</f>
        <v>0</v>
      </c>
      <c r="AG5" s="117" t="n">
        <f aca="false">SUMIFS(الريسبي!$C$2:$C$1800,الريسبي!$A$2:$A$1800,$A5,الريسبي!$B$2:$B$1800,AG$1)</f>
        <v>0</v>
      </c>
      <c r="AH5" s="117" t="n">
        <f aca="false">SUMIFS(الريسبي!$C$2:$C$1800,الريسبي!$A$2:$A$1800,$A5,الريسبي!$B$2:$B$1800,AH$1)</f>
        <v>0</v>
      </c>
      <c r="AI5" s="117" t="n">
        <f aca="false">SUMIFS(الريسبي!$C$2:$C$1800,الريسبي!$A$2:$A$1800,$A5,الريسبي!$B$2:$B$1800,AI$1)</f>
        <v>0</v>
      </c>
      <c r="AJ5" s="117" t="n">
        <f aca="false">SUMIFS(الريسبي!$C$2:$C$1800,الريسبي!$A$2:$A$1800,$A5,الريسبي!$B$2:$B$1800,AJ$1)</f>
        <v>2</v>
      </c>
      <c r="AK5" s="117" t="n">
        <f aca="false">SUMIFS(الريسبي!$C$2:$C$1800,الريسبي!$A$2:$A$1800,$A5,الريسبي!$B$2:$B$1800,AK$1)</f>
        <v>0</v>
      </c>
      <c r="AL5" s="117" t="n">
        <f aca="false">SUMIFS(الريسبي!$C$2:$C$1800,الريسبي!$A$2:$A$1800,$A5,الريسبي!$B$2:$B$1800,AL$1)</f>
        <v>0</v>
      </c>
      <c r="AM5" s="117" t="n">
        <f aca="false">SUMIFS(الريسبي!$C$2:$C$1800,الريسبي!$A$2:$A$1800,$A5,الريسبي!$B$2:$B$1800,AM$1)+0.08333333333*SUMIFS(الريسبي!$C$2:$C$1800,الريسبي!$A$2:$A$1800,$A5,الريسبي!$B$2:$B$1800,"عجين كريب (مصنع بالمطعم)")+0.08333333333*SUMIFS(الريسبي!$C$2:$C$1800,الريسبي!$A$2:$A$1800,$A5,الريسبي!$B$2:$B$1800,"عجين كريب صيامي (بدون لبن)")</f>
        <v>0</v>
      </c>
      <c r="AN5" s="117" t="n">
        <f aca="false">SUMIFS(الريسبي!$C$2:$C$1800,الريسبي!$A$2:$A$1800,$A5,الريسبي!$B$2:$B$1800,AN$1)+0.004166666667*SUMIFS(الريسبي!$C$2:$C$1800,الريسبي!$A$2:$A$1800,$A5,الريسبي!$B$2:$B$1800,"عجين كريب (مصنع بالمطعم)")+0.004166666667*SUMIFS(الريسبي!$C$2:$C$1800,الريسبي!$A$2:$A$1800,$A5,الريسبي!$B$2:$B$1800,"عجين كريب صيامي (بدون لبن)")</f>
        <v>0</v>
      </c>
      <c r="AO5" s="117" t="n">
        <f aca="false">SUMIFS(الريسبي!$C$2:$C$1800,الريسبي!$A$2:$A$1800,$A5,الريسبي!$B$2:$B$1800,AO$1)</f>
        <v>0</v>
      </c>
      <c r="AP5" s="117" t="n">
        <f aca="false">SUMIFS(الريسبي!$C$2:$C$1800,الريسبي!$A$2:$A$1800,$A5,الريسبي!$B$2:$B$1800,AP$1)</f>
        <v>0.03</v>
      </c>
      <c r="AQ5" s="117" t="n">
        <f aca="false">SUMIFS(الريسبي!$C$2:$C$1800,الريسبي!$A$2:$A$1800,$A5,الريسبي!$B$2:$B$1800,AQ$1)+0.004166666667*SUMIFS(الريسبي!$C$2:$C$1800,الريسبي!$A$2:$A$1800,$A5,الريسبي!$B$2:$B$1800,"عجين كريب (مصنع بالمطعم)")+0.004166666667*SUMIFS(الريسبي!$C$2:$C$1800,الريسبي!$A$2:$A$1800,$A5,الريسبي!$B$2:$B$1800,"عجين كريب صيامي (بدون لبن)")</f>
        <v>0</v>
      </c>
      <c r="AR5" s="117" t="n">
        <f aca="false">SUMIFS(الريسبي!$C$2:$C$1800,الريسبي!$A$2:$A$1800,$A5,الريسبي!$B$2:$B$1800,AR$1)</f>
        <v>0</v>
      </c>
      <c r="AS5" s="117" t="n">
        <f aca="false">SUMIFS(الريسبي!$C$2:$C$1800,الريسبي!$A$2:$A$1800,$A5,الريسبي!$B$2:$B$1800,AS$1)</f>
        <v>0</v>
      </c>
      <c r="AT5" s="117" t="n">
        <f aca="false">SUMIFS(الريسبي!$C$2:$C$1800,الريسبي!$A$2:$A$1800,$A5,الريسبي!$B$2:$B$1800,AT$1)</f>
        <v>0</v>
      </c>
      <c r="AU5" s="117" t="n">
        <f aca="false">SUMIFS(الريسبي!$C$2:$C$1800,الريسبي!$A$2:$A$1800,$A5,الريسبي!$B$2:$B$1800,AU$1)</f>
        <v>0</v>
      </c>
      <c r="AV5" s="117" t="n">
        <f aca="false">SUMIFS(الريسبي!$C$2:$C$1800,الريسبي!$A$2:$A$1800,$A5,الريسبي!$B$2:$B$1800,AV$1)</f>
        <v>0</v>
      </c>
      <c r="AW5" s="117" t="n">
        <f aca="false">SUMIFS(الريسبي!$C$2:$C$1800,الريسبي!$A$2:$A$1800,$A5,الريسبي!$B$2:$B$1800,AW$1)</f>
        <v>0</v>
      </c>
      <c r="AX5" s="117" t="n">
        <f aca="false">SUMIFS(الريسبي!$C$2:$C$1800,الريسبي!$A$2:$A$1800,$A5,الريسبي!$B$2:$B$1800,AX$1)</f>
        <v>0.06</v>
      </c>
      <c r="AY5" s="117" t="n">
        <f aca="false">SUMIFS(الريسبي!$C$2:$C$1800,الريسبي!$A$2:$A$1800,$A5,الريسبي!$B$2:$B$1800,AY$1)</f>
        <v>0</v>
      </c>
      <c r="AZ5" s="117" t="n">
        <f aca="false">SUMIFS(الريسبي!$C$2:$C$1800,الريسبي!$A$2:$A$1800,$A5,الريسبي!$B$2:$B$1800,AZ$1)</f>
        <v>0</v>
      </c>
      <c r="BA5" s="117" t="n">
        <f aca="false">SUMIFS(الريسبي!$C$2:$C$1800,الريسبي!$A$2:$A$1800,$A5,الريسبي!$B$2:$B$1800,BA$1)</f>
        <v>0</v>
      </c>
      <c r="BB5" s="117" t="n">
        <f aca="false">SUMIFS(الريسبي!$C$2:$C$1800,الريسبي!$A$2:$A$1800,$A5,الريسبي!$B$2:$B$1800,BB$1)</f>
        <v>0</v>
      </c>
      <c r="BC5" s="117" t="n">
        <f aca="false">SUMIFS(الريسبي!$C$2:$C$1800,الريسبي!$A$2:$A$1800,$A5,الريسبي!$B$2:$B$1800,BC$1)</f>
        <v>0.045</v>
      </c>
      <c r="BD5" s="117" t="n">
        <f aca="false">SUMIFS(الريسبي!$C$2:$C$1800,الريسبي!$A$2:$A$1800,$A5,الريسبي!$B$2:$B$1800,BD$1)</f>
        <v>0.3</v>
      </c>
      <c r="BE5" s="117" t="n">
        <f aca="false">SUMIFS(الريسبي!$C$2:$C$1800,الريسبي!$A$2:$A$1800,$A5,الريسبي!$B$2:$B$1800,BE$1)</f>
        <v>0</v>
      </c>
      <c r="BF5" s="117" t="n">
        <f aca="false">SUMIFS(الريسبي!$C$2:$C$1800,الريسبي!$A$2:$A$1800,$A5,الريسبي!$B$2:$B$1800,BF$1)</f>
        <v>0</v>
      </c>
      <c r="BG5" s="117" t="n">
        <f aca="false">SUMIFS(الريسبي!$C$2:$C$1800,الريسبي!$A$2:$A$1800,$A5,الريسبي!$B$2:$B$1800,BG$1)</f>
        <v>1</v>
      </c>
      <c r="BH5" s="117" t="n">
        <f aca="false">SUMIFS(الريسبي!$C$2:$C$1800,الريسبي!$A$2:$A$1800,$A5,الريسبي!$B$2:$B$1800,BH$1)</f>
        <v>0</v>
      </c>
      <c r="BI5" s="117" t="n">
        <f aca="false">SUMIFS(الريسبي!$C$2:$C$1800,الريسبي!$A$2:$A$1800,$A5,الريسبي!$B$2:$B$1800,BI$1)</f>
        <v>0</v>
      </c>
      <c r="BJ5" s="117" t="n">
        <f aca="false">SUMIFS(الريسبي!$C$2:$C$1800,الريسبي!$A$2:$A$1800,$A5,الريسبي!$B$2:$B$1800,BJ$1)</f>
        <v>0</v>
      </c>
      <c r="BK5" s="117" t="n">
        <f aca="false">SUMIFS(الريسبي!$C$2:$C$1800,الريسبي!$A$2:$A$1800,$A5,الريسبي!$B$2:$B$1800,BK$1)</f>
        <v>0</v>
      </c>
      <c r="BL5" s="117" t="n">
        <f aca="false">SUMIFS(الريسبي!$C$2:$C$1800,الريسبي!$A$2:$A$1800,$A5,الريسبي!$B$2:$B$1800,BL$1)</f>
        <v>0</v>
      </c>
      <c r="BM5" s="117" t="n">
        <f aca="false">SUMIFS(الريسبي!$C$2:$C$1800,الريسبي!$A$2:$A$1800,$A5,الريسبي!$B$2:$B$1800,BM$1)</f>
        <v>0</v>
      </c>
      <c r="BN5" s="117" t="n">
        <f aca="false">SUMIFS(الريسبي!$C$2:$C$1800,الريسبي!$A$2:$A$1800,$A5,الريسبي!$B$2:$B$1800,BN$1)</f>
        <v>0.03</v>
      </c>
      <c r="BO5" s="117" t="n">
        <f aca="false">SUMIFS(الريسبي!$C$2:$C$1800,الريسبي!$A$2:$A$1800,$A5,الريسبي!$B$2:$B$1800,BO$1)</f>
        <v>0</v>
      </c>
      <c r="BP5" s="117" t="n">
        <f aca="false">SUMIFS(الريسبي!$C$2:$C$1800,الريسبي!$A$2:$A$1800,$A5,الريسبي!$B$2:$B$1800,BP$1)</f>
        <v>3</v>
      </c>
      <c r="BQ5" s="117" t="n">
        <f aca="false">SUMIFS(الريسبي!$C$2:$C$1800,الريسبي!$A$2:$A$1800,$A5,الريسبي!$B$2:$B$1800,BQ$1)+0.17*SUMIFS(الريسبي!$C$2:$C$1800,الريسبي!$A$2:$A$1800,$A5,الريسبي!$B$2:$B$1800,"كاسترد مصنع (خليط بودر + لبن)")+0.17*SUMIFS(الريسبي!$C$2:$C$1800,الريسبي!$A$2:$A$1800,$A5,الريسبي!$B$2:$B$1800,"كاسترد مصنع صيامي (بدون لبن)")</f>
        <v>0</v>
      </c>
      <c r="BR5" s="117" t="n">
        <f aca="false">SUMIFS(الريسبي!$C$2:$C$1800,الريسبي!$A$2:$A$1800,$A5,الريسبي!$B$2:$B$1800,BR$1)</f>
        <v>1</v>
      </c>
      <c r="BS5" s="117" t="n">
        <f aca="false">SUMIFS(الريسبي!$C$2:$C$1800,الريسبي!$A$2:$A$1800,$A5,الريسبي!$B$2:$B$1800,BS$1)</f>
        <v>0</v>
      </c>
      <c r="BT5" s="117" t="n">
        <f aca="false">SUMIFS(الريسبي!$C$2:$C$1800,الريسبي!$A$2:$A$1800,$A5,الريسبي!$B$2:$B$1800,BT$1)</f>
        <v>0</v>
      </c>
      <c r="BU5" s="117" t="n">
        <f aca="false">SUMIFS(الريسبي!$C$2:$C$1800,الريسبي!$A$2:$A$1800,$A5,الريسبي!$B$2:$B$1800,BU$1)+0.4*SUMIFS(الريسبي!$C$2:$C$1800,الريسبي!$A$2:$A$1800,$A5,الريسبي!$B$2:$B$1800,"كاسترد مصنع (خليط بودر + لبن)")+0.03333333333*SUMIFS(الريسبي!$C$2:$C$1800,الريسبي!$A$2:$A$1800,$A5,الريسبي!$B$2:$B$1800,"عجين كريب (مصنع بالمطعم)")</f>
        <v>0</v>
      </c>
      <c r="BV5" s="117" t="n">
        <f aca="false">SUMIFS(الريسبي!$C$2:$C$1800,الريسبي!$A$2:$A$1800,$A5,الريسبي!$B$2:$B$1800,BV$1)</f>
        <v>0</v>
      </c>
      <c r="BW5" s="117" t="n">
        <f aca="false">SUMIFS(الريسبي!$C$2:$C$1800,الريسبي!$A$2:$A$1800,$A5,الريسبي!$B$2:$B$1800,BW$1)</f>
        <v>0</v>
      </c>
      <c r="BX5" s="117" t="n">
        <f aca="false">SUMIFS(الريسبي!$C$2:$C$1800,الريسبي!$A$2:$A$1800,$A5,الريسبي!$B$2:$B$1800,BX$1)</f>
        <v>0</v>
      </c>
      <c r="BY5" s="117" t="n">
        <f aca="false">SUMIFS(الريسبي!$C$2:$C$1800,الريسبي!$A$2:$A$1800,$A5,الريسبي!$B$2:$B$1800,BY$1)</f>
        <v>0</v>
      </c>
      <c r="BZ5" s="117" t="n">
        <f aca="false">SUMIFS(الريسبي!$C$2:$C$1800,الريسبي!$A$2:$A$1800,$A5,الريسبي!$B$2:$B$1800,BZ$1)</f>
        <v>0</v>
      </c>
      <c r="CA5" s="117" t="n">
        <f aca="false">SUMIFS(الريسبي!$C$2:$C$1800,الريسبي!$A$2:$A$1800,$A5,الريسبي!$B$2:$B$1800,CA$1)</f>
        <v>1</v>
      </c>
      <c r="CB5" s="117" t="n">
        <f aca="false">SUMIFS(الريسبي!$C$2:$C$1800,الريسبي!$A$2:$A$1800,$A5,الريسبي!$B$2:$B$1800,CB$1)</f>
        <v>1</v>
      </c>
      <c r="CC5" s="117" t="n">
        <f aca="false">SUMIFS(الريسبي!$C$2:$C$1800,الريسبي!$A$2:$A$1800,$A5,الريسبي!$B$2:$B$1800,CC$1)</f>
        <v>0</v>
      </c>
      <c r="CD5" s="117" t="n">
        <f aca="false">SUMIFS(الريسبي!$C$2:$C$1800,الريسبي!$A$2:$A$1800,$A5,الريسبي!$B$2:$B$1800,CD$1)</f>
        <v>0</v>
      </c>
      <c r="CE5" s="117" t="n">
        <f aca="false">SUMIFS(الريسبي!$C$2:$C$1800,الريسبي!$A$2:$A$1800,$A5,الريسبي!$B$2:$B$1800,CE$1)</f>
        <v>0</v>
      </c>
      <c r="CF5" s="117" t="n">
        <f aca="false">SUMIFS(الريسبي!$C$2:$C$1800,الريسبي!$A$2:$A$1800,$A5,الريسبي!$B$2:$B$1800,CF$1)</f>
        <v>0</v>
      </c>
      <c r="CG5" s="117" t="n">
        <f aca="false">SUMIFS(الريسبي!$C$2:$C$1800,الريسبي!$A$2:$A$1800,$A5,الريسبي!$B$2:$B$1800,CG$1)</f>
        <v>0</v>
      </c>
      <c r="CH5" s="117" t="n">
        <f aca="false">SUMIFS(الريسبي!$C$2:$C$1800,الريسبي!$A$2:$A$1800,$A5,الريسبي!$B$2:$B$1800,CH$1)</f>
        <v>0</v>
      </c>
      <c r="CI5" s="117" t="n">
        <f aca="false">SUMIFS(الريسبي!$C$2:$C$1800,الريسبي!$A$2:$A$1800,$A5,الريسبي!$B$2:$B$1800,CI$1)</f>
        <v>0</v>
      </c>
      <c r="CJ5" s="117" t="n">
        <f aca="false">SUMIFS(الريسبي!$C$2:$C$1800,الريسبي!$A$2:$A$1800,$A5,الريسبي!$B$2:$B$1800,CJ$1)</f>
        <v>0</v>
      </c>
      <c r="CK5" s="117" t="n">
        <f aca="false">SUMIFS(الريسبي!$C$2:$C$1800,الريسبي!$A$2:$A$1800,$A5,الريسبي!$B$2:$B$1800,CK$1)</f>
        <v>0</v>
      </c>
      <c r="CL5" s="117" t="n">
        <f aca="false">SUMIFS(الريسبي!$C$2:$C$1800,الريسبي!$A$2:$A$1800,$A5,الريسبي!$B$2:$B$1800,CL$1)</f>
        <v>0</v>
      </c>
    </row>
    <row r="6" customFormat="false" ht="15" hidden="false" customHeight="false" outlineLevel="0" collapsed="false">
      <c r="A6" s="116" t="str">
        <f aca="false">المنيو!B6</f>
        <v>بيتزا سدق وسط</v>
      </c>
      <c r="B6" s="117" t="n">
        <f aca="false">SUMIFS(الريسبي!$C$2:$C$1800,الريسبي!$A$2:$A$1800,$A6,الريسبي!$B$2:$B$1800,B$1)</f>
        <v>0</v>
      </c>
      <c r="C6" s="117" t="n">
        <f aca="false">SUMIFS(الريسبي!$C$2:$C$1800,الريسبي!$A$2:$A$1800,$A6,الريسبي!$B$2:$B$1800,C$1)</f>
        <v>0</v>
      </c>
      <c r="D6" s="117" t="n">
        <f aca="false">SUMIFS(الريسبي!$C$2:$C$1800,الريسبي!$A$2:$A$1800,$A6,الريسبي!$B$2:$B$1800,D$1)</f>
        <v>1</v>
      </c>
      <c r="E6" s="117" t="n">
        <f aca="false">SUMIFS(الريسبي!$C$2:$C$1800,الريسبي!$A$2:$A$1800,$A6,الريسبي!$B$2:$B$1800,E$1)</f>
        <v>0</v>
      </c>
      <c r="F6" s="117" t="n">
        <f aca="false">SUMIFS(الريسبي!$C$2:$C$1800,الريسبي!$A$2:$A$1800,$A6,الريسبي!$B$2:$B$1800,F$1)</f>
        <v>0</v>
      </c>
      <c r="G6" s="117" t="n">
        <f aca="false">SUMIFS(الريسبي!$C$2:$C$1800,الريسبي!$A$2:$A$1800,$A6,الريسبي!$B$2:$B$1800,G$1)</f>
        <v>0</v>
      </c>
      <c r="H6" s="117" t="n">
        <f aca="false">SUMIFS(الريسبي!$C$2:$C$1800,الريسبي!$A$2:$A$1800,$A6,الريسبي!$B$2:$B$1800,H$1)</f>
        <v>0</v>
      </c>
      <c r="I6" s="117" t="n">
        <f aca="false">SUMIFS(الريسبي!$C$2:$C$1800,الريسبي!$A$2:$A$1800,$A6,الريسبي!$B$2:$B$1800,I$1)</f>
        <v>0</v>
      </c>
      <c r="J6" s="117" t="n">
        <f aca="false">SUMIFS(الريسبي!$C$2:$C$1800,الريسبي!$A$2:$A$1800,$A6,الريسبي!$B$2:$B$1800,J$1)</f>
        <v>0</v>
      </c>
      <c r="K6" s="117" t="n">
        <f aca="false">SUMIFS(الريسبي!$C$2:$C$1800,الريسبي!$A$2:$A$1800,$A6,الريسبي!$B$2:$B$1800,K$1)</f>
        <v>0</v>
      </c>
      <c r="L6" s="117" t="n">
        <f aca="false">SUMIFS(الريسبي!$C$2:$C$1800,الريسبي!$A$2:$A$1800,$A6,الريسبي!$B$2:$B$1800,L$1)</f>
        <v>1</v>
      </c>
      <c r="M6" s="117" t="n">
        <f aca="false">SUMIFS(الريسبي!$C$2:$C$1800,الريسبي!$A$2:$A$1800,$A6,الريسبي!$B$2:$B$1800,M$1)</f>
        <v>0</v>
      </c>
      <c r="N6" s="117" t="n">
        <f aca="false">SUMIFS(الريسبي!$C$2:$C$1800,الريسبي!$A$2:$A$1800,$A6,الريسبي!$B$2:$B$1800,N$1)</f>
        <v>0</v>
      </c>
      <c r="O6" s="117" t="n">
        <f aca="false">SUMIFS(الريسبي!$C$2:$C$1800,الريسبي!$A$2:$A$1800,$A6,الريسبي!$B$2:$B$1800,O$1)</f>
        <v>0</v>
      </c>
      <c r="P6" s="117" t="n">
        <f aca="false">SUMIFS(الريسبي!$C$2:$C$1800,الريسبي!$A$2:$A$1800,$A6,الريسبي!$B$2:$B$1800,P$1)</f>
        <v>0</v>
      </c>
      <c r="Q6" s="117" t="n">
        <f aca="false">SUMIFS(الريسبي!$C$2:$C$1800,الريسبي!$A$2:$A$1800,$A6,الريسبي!$B$2:$B$1800,Q$1)</f>
        <v>0</v>
      </c>
      <c r="R6" s="117" t="n">
        <f aca="false">SUMIFS(الريسبي!$C$2:$C$1800,الريسبي!$A$2:$A$1800,$A6,الريسبي!$B$2:$B$1800,R$1)</f>
        <v>0</v>
      </c>
      <c r="S6" s="117" t="n">
        <f aca="false">SUMIFS(الريسبي!$C$2:$C$1800,الريسبي!$A$2:$A$1800,$A6,الريسبي!$B$2:$B$1800,S$1)</f>
        <v>0</v>
      </c>
      <c r="T6" s="117" t="n">
        <f aca="false">SUMIFS(الريسبي!$C$2:$C$1800,الريسبي!$A$2:$A$1800,$A6,الريسبي!$B$2:$B$1800,T$1)</f>
        <v>0</v>
      </c>
      <c r="U6" s="117" t="n">
        <f aca="false">SUMIFS(الريسبي!$C$2:$C$1800,الريسبي!$A$2:$A$1800,$A6,الريسبي!$B$2:$B$1800,U$1)</f>
        <v>0</v>
      </c>
      <c r="V6" s="117" t="n">
        <f aca="false">SUMIFS(الريسبي!$C$2:$C$1800,الريسبي!$A$2:$A$1800,$A6,الريسبي!$B$2:$B$1800,V$1)+1.5*(SUMIFS(الريسبي!$C$2:$C$1800,الريسبي!$A$2:$A$1800,$A6,الريسبي!$B$2:$B$1800,"برسيون موتزريلا بيتزا كبير"))</f>
        <v>1</v>
      </c>
      <c r="W6" s="117" t="n">
        <f aca="false">0</f>
        <v>0</v>
      </c>
      <c r="X6" s="117" t="n">
        <f aca="false">SUMIFS(الريسبي!$C$2:$C$1800,الريسبي!$A$2:$A$1800,$A6,الريسبي!$B$2:$B$1800,X$1)+1.5*(SUMIFS(الريسبي!$C$2:$C$1800,الريسبي!$A$2:$A$1800,$A6,الريسبي!$B$2:$B$1800,"برسيون موتزريلا فطير كبير"))</f>
        <v>0</v>
      </c>
      <c r="Y6" s="117" t="n">
        <f aca="false">0</f>
        <v>0</v>
      </c>
      <c r="Z6" s="117" t="n">
        <f aca="false">SUMIFS(الريسبي!$C$2:$C$1800,الريسبي!$A$2:$A$1800,$A6,الريسبي!$B$2:$B$1800,Z$1)</f>
        <v>0</v>
      </c>
      <c r="AA6" s="117" t="n">
        <f aca="false">SUMIFS(الريسبي!$C$2:$C$1800,الريسبي!$A$2:$A$1800,$A6,الريسبي!$B$2:$B$1800,AA$1)</f>
        <v>0</v>
      </c>
      <c r="AB6" s="117" t="n">
        <f aca="false">SUMIFS(الريسبي!$C$2:$C$1800,الريسبي!$A$2:$A$1800,$A6,الريسبي!$B$2:$B$1800,AB$1)</f>
        <v>0</v>
      </c>
      <c r="AC6" s="117" t="n">
        <f aca="false">SUMIFS(الريسبي!$C$2:$C$1800,الريسبي!$A$2:$A$1800,$A6,الريسبي!$B$2:$B$1800,AC$1)</f>
        <v>0</v>
      </c>
      <c r="AD6" s="117" t="n">
        <f aca="false">SUMIFS(الريسبي!$C$2:$C$1800,الريسبي!$A$2:$A$1800,$A6,الريسبي!$B$2:$B$1800,AD$1)</f>
        <v>0</v>
      </c>
      <c r="AE6" s="117" t="n">
        <f aca="false">SUMIFS(الريسبي!$C$2:$C$1800,الريسبي!$A$2:$A$1800,$A6,الريسبي!$B$2:$B$1800,AE$1)</f>
        <v>0</v>
      </c>
      <c r="AF6" s="117" t="n">
        <f aca="false">SUMIFS(الريسبي!$C$2:$C$1800,الريسبي!$A$2:$A$1800,$A6,الريسبي!$B$2:$B$1800,AF$1)</f>
        <v>0</v>
      </c>
      <c r="AG6" s="117" t="n">
        <f aca="false">SUMIFS(الريسبي!$C$2:$C$1800,الريسبي!$A$2:$A$1800,$A6,الريسبي!$B$2:$B$1800,AG$1)</f>
        <v>0</v>
      </c>
      <c r="AH6" s="117" t="n">
        <f aca="false">SUMIFS(الريسبي!$C$2:$C$1800,الريسبي!$A$2:$A$1800,$A6,الريسبي!$B$2:$B$1800,AH$1)</f>
        <v>0</v>
      </c>
      <c r="AI6" s="117" t="n">
        <f aca="false">SUMIFS(الريسبي!$C$2:$C$1800,الريسبي!$A$2:$A$1800,$A6,الريسبي!$B$2:$B$1800,AI$1)</f>
        <v>0</v>
      </c>
      <c r="AJ6" s="117" t="n">
        <f aca="false">SUMIFS(الريسبي!$C$2:$C$1800,الريسبي!$A$2:$A$1800,$A6,الريسبي!$B$2:$B$1800,AJ$1)</f>
        <v>2</v>
      </c>
      <c r="AK6" s="117" t="n">
        <f aca="false">SUMIFS(الريسبي!$C$2:$C$1800,الريسبي!$A$2:$A$1800,$A6,الريسبي!$B$2:$B$1800,AK$1)</f>
        <v>0</v>
      </c>
      <c r="AL6" s="117" t="n">
        <f aca="false">SUMIFS(الريسبي!$C$2:$C$1800,الريسبي!$A$2:$A$1800,$A6,الريسبي!$B$2:$B$1800,AL$1)</f>
        <v>0</v>
      </c>
      <c r="AM6" s="117" t="n">
        <f aca="false">SUMIFS(الريسبي!$C$2:$C$1800,الريسبي!$A$2:$A$1800,$A6,الريسبي!$B$2:$B$1800,AM$1)+0.08333333333*SUMIFS(الريسبي!$C$2:$C$1800,الريسبي!$A$2:$A$1800,$A6,الريسبي!$B$2:$B$1800,"عجين كريب (مصنع بالمطعم)")+0.08333333333*SUMIFS(الريسبي!$C$2:$C$1800,الريسبي!$A$2:$A$1800,$A6,الريسبي!$B$2:$B$1800,"عجين كريب صيامي (بدون لبن)")</f>
        <v>0</v>
      </c>
      <c r="AN6" s="117" t="n">
        <f aca="false">SUMIFS(الريسبي!$C$2:$C$1800,الريسبي!$A$2:$A$1800,$A6,الريسبي!$B$2:$B$1800,AN$1)+0.004166666667*SUMIFS(الريسبي!$C$2:$C$1800,الريسبي!$A$2:$A$1800,$A6,الريسبي!$B$2:$B$1800,"عجين كريب (مصنع بالمطعم)")+0.004166666667*SUMIFS(الريسبي!$C$2:$C$1800,الريسبي!$A$2:$A$1800,$A6,الريسبي!$B$2:$B$1800,"عجين كريب صيامي (بدون لبن)")</f>
        <v>0</v>
      </c>
      <c r="AO6" s="117" t="n">
        <f aca="false">SUMIFS(الريسبي!$C$2:$C$1800,الريسبي!$A$2:$A$1800,$A6,الريسبي!$B$2:$B$1800,AO$1)</f>
        <v>0</v>
      </c>
      <c r="AP6" s="117" t="n">
        <f aca="false">SUMIFS(الريسبي!$C$2:$C$1800,الريسبي!$A$2:$A$1800,$A6,الريسبي!$B$2:$B$1800,AP$1)</f>
        <v>0.02</v>
      </c>
      <c r="AQ6" s="117" t="n">
        <f aca="false">SUMIFS(الريسبي!$C$2:$C$1800,الريسبي!$A$2:$A$1800,$A6,الريسبي!$B$2:$B$1800,AQ$1)+0.004166666667*SUMIFS(الريسبي!$C$2:$C$1800,الريسبي!$A$2:$A$1800,$A6,الريسبي!$B$2:$B$1800,"عجين كريب (مصنع بالمطعم)")+0.004166666667*SUMIFS(الريسبي!$C$2:$C$1800,الريسبي!$A$2:$A$1800,$A6,الريسبي!$B$2:$B$1800,"عجين كريب صيامي (بدون لبن)")</f>
        <v>0</v>
      </c>
      <c r="AR6" s="117" t="n">
        <f aca="false">SUMIFS(الريسبي!$C$2:$C$1800,الريسبي!$A$2:$A$1800,$A6,الريسبي!$B$2:$B$1800,AR$1)</f>
        <v>0</v>
      </c>
      <c r="AS6" s="117" t="n">
        <f aca="false">SUMIFS(الريسبي!$C$2:$C$1800,الريسبي!$A$2:$A$1800,$A6,الريسبي!$B$2:$B$1800,AS$1)</f>
        <v>0</v>
      </c>
      <c r="AT6" s="117" t="n">
        <f aca="false">SUMIFS(الريسبي!$C$2:$C$1800,الريسبي!$A$2:$A$1800,$A6,الريسبي!$B$2:$B$1800,AT$1)</f>
        <v>0</v>
      </c>
      <c r="AU6" s="117" t="n">
        <f aca="false">SUMIFS(الريسبي!$C$2:$C$1800,الريسبي!$A$2:$A$1800,$A6,الريسبي!$B$2:$B$1800,AU$1)</f>
        <v>0</v>
      </c>
      <c r="AV6" s="117" t="n">
        <f aca="false">SUMIFS(الريسبي!$C$2:$C$1800,الريسبي!$A$2:$A$1800,$A6,الريسبي!$B$2:$B$1800,AV$1)</f>
        <v>0</v>
      </c>
      <c r="AW6" s="117" t="n">
        <f aca="false">SUMIFS(الريسبي!$C$2:$C$1800,الريسبي!$A$2:$A$1800,$A6,الريسبي!$B$2:$B$1800,AW$1)</f>
        <v>0</v>
      </c>
      <c r="AX6" s="117" t="n">
        <f aca="false">SUMIFS(الريسبي!$C$2:$C$1800,الريسبي!$A$2:$A$1800,$A6,الريسبي!$B$2:$B$1800,AX$1)</f>
        <v>0.04</v>
      </c>
      <c r="AY6" s="117" t="n">
        <f aca="false">SUMIFS(الريسبي!$C$2:$C$1800,الريسبي!$A$2:$A$1800,$A6,الريسبي!$B$2:$B$1800,AY$1)</f>
        <v>0</v>
      </c>
      <c r="AZ6" s="117" t="n">
        <f aca="false">SUMIFS(الريسبي!$C$2:$C$1800,الريسبي!$A$2:$A$1800,$A6,الريسبي!$B$2:$B$1800,AZ$1)</f>
        <v>0</v>
      </c>
      <c r="BA6" s="117" t="n">
        <f aca="false">SUMIFS(الريسبي!$C$2:$C$1800,الريسبي!$A$2:$A$1800,$A6,الريسبي!$B$2:$B$1800,BA$1)</f>
        <v>0</v>
      </c>
      <c r="BB6" s="117" t="n">
        <f aca="false">SUMIFS(الريسبي!$C$2:$C$1800,الريسبي!$A$2:$A$1800,$A6,الريسبي!$B$2:$B$1800,BB$1)</f>
        <v>0</v>
      </c>
      <c r="BC6" s="117" t="n">
        <f aca="false">SUMIFS(الريسبي!$C$2:$C$1800,الريسبي!$A$2:$A$1800,$A6,الريسبي!$B$2:$B$1800,BC$1)</f>
        <v>0.03</v>
      </c>
      <c r="BD6" s="117" t="n">
        <f aca="false">SUMIFS(الريسبي!$C$2:$C$1800,الريسبي!$A$2:$A$1800,$A6,الريسبي!$B$2:$B$1800,BD$1)</f>
        <v>0.22</v>
      </c>
      <c r="BE6" s="117" t="n">
        <f aca="false">SUMIFS(الريسبي!$C$2:$C$1800,الريسبي!$A$2:$A$1800,$A6,الريسبي!$B$2:$B$1800,BE$1)</f>
        <v>0</v>
      </c>
      <c r="BF6" s="117" t="n">
        <f aca="false">SUMIFS(الريسبي!$C$2:$C$1800,الريسبي!$A$2:$A$1800,$A6,الريسبي!$B$2:$B$1800,BF$1)</f>
        <v>0</v>
      </c>
      <c r="BG6" s="117" t="n">
        <f aca="false">SUMIFS(الريسبي!$C$2:$C$1800,الريسبي!$A$2:$A$1800,$A6,الريسبي!$B$2:$B$1800,BG$1)</f>
        <v>0</v>
      </c>
      <c r="BH6" s="117" t="n">
        <f aca="false">SUMIFS(الريسبي!$C$2:$C$1800,الريسبي!$A$2:$A$1800,$A6,الريسبي!$B$2:$B$1800,BH$1)</f>
        <v>1</v>
      </c>
      <c r="BI6" s="117" t="n">
        <f aca="false">SUMIFS(الريسبي!$C$2:$C$1800,الريسبي!$A$2:$A$1800,$A6,الريسبي!$B$2:$B$1800,BI$1)</f>
        <v>0</v>
      </c>
      <c r="BJ6" s="117" t="n">
        <f aca="false">SUMIFS(الريسبي!$C$2:$C$1800,الريسبي!$A$2:$A$1800,$A6,الريسبي!$B$2:$B$1800,BJ$1)</f>
        <v>0</v>
      </c>
      <c r="BK6" s="117" t="n">
        <f aca="false">SUMIFS(الريسبي!$C$2:$C$1800,الريسبي!$A$2:$A$1800,$A6,الريسبي!$B$2:$B$1800,BK$1)</f>
        <v>0</v>
      </c>
      <c r="BL6" s="117" t="n">
        <f aca="false">SUMIFS(الريسبي!$C$2:$C$1800,الريسبي!$A$2:$A$1800,$A6,الريسبي!$B$2:$B$1800,BL$1)</f>
        <v>0</v>
      </c>
      <c r="BM6" s="117" t="n">
        <f aca="false">SUMIFS(الريسبي!$C$2:$C$1800,الريسبي!$A$2:$A$1800,$A6,الريسبي!$B$2:$B$1800,BM$1)</f>
        <v>0</v>
      </c>
      <c r="BN6" s="117" t="n">
        <f aca="false">SUMIFS(الريسبي!$C$2:$C$1800,الريسبي!$A$2:$A$1800,$A6,الريسبي!$B$2:$B$1800,BN$1)</f>
        <v>0.02</v>
      </c>
      <c r="BO6" s="117" t="n">
        <f aca="false">SUMIFS(الريسبي!$C$2:$C$1800,الريسبي!$A$2:$A$1800,$A6,الريسبي!$B$2:$B$1800,BO$1)</f>
        <v>0</v>
      </c>
      <c r="BP6" s="117" t="n">
        <f aca="false">SUMIFS(الريسبي!$C$2:$C$1800,الريسبي!$A$2:$A$1800,$A6,الريسبي!$B$2:$B$1800,BP$1)</f>
        <v>2</v>
      </c>
      <c r="BQ6" s="117" t="n">
        <f aca="false">SUMIFS(الريسبي!$C$2:$C$1800,الريسبي!$A$2:$A$1800,$A6,الريسبي!$B$2:$B$1800,BQ$1)+0.17*SUMIFS(الريسبي!$C$2:$C$1800,الريسبي!$A$2:$A$1800,$A6,الريسبي!$B$2:$B$1800,"كاسترد مصنع (خليط بودر + لبن)")+0.17*SUMIFS(الريسبي!$C$2:$C$1800,الريسبي!$A$2:$A$1800,$A6,الريسبي!$B$2:$B$1800,"كاسترد مصنع صيامي (بدون لبن)")</f>
        <v>0</v>
      </c>
      <c r="BR6" s="117" t="n">
        <f aca="false">SUMIFS(الريسبي!$C$2:$C$1800,الريسبي!$A$2:$A$1800,$A6,الريسبي!$B$2:$B$1800,BR$1)</f>
        <v>1</v>
      </c>
      <c r="BS6" s="117" t="n">
        <f aca="false">SUMIFS(الريسبي!$C$2:$C$1800,الريسبي!$A$2:$A$1800,$A6,الريسبي!$B$2:$B$1800,BS$1)</f>
        <v>0</v>
      </c>
      <c r="BT6" s="117" t="n">
        <f aca="false">SUMIFS(الريسبي!$C$2:$C$1800,الريسبي!$A$2:$A$1800,$A6,الريسبي!$B$2:$B$1800,BT$1)</f>
        <v>0</v>
      </c>
      <c r="BU6" s="117" t="n">
        <f aca="false">SUMIFS(الريسبي!$C$2:$C$1800,الريسبي!$A$2:$A$1800,$A6,الريسبي!$B$2:$B$1800,BU$1)+0.4*SUMIFS(الريسبي!$C$2:$C$1800,الريسبي!$A$2:$A$1800,$A6,الريسبي!$B$2:$B$1800,"كاسترد مصنع (خليط بودر + لبن)")+0.03333333333*SUMIFS(الريسبي!$C$2:$C$1800,الريسبي!$A$2:$A$1800,$A6,الريسبي!$B$2:$B$1800,"عجين كريب (مصنع بالمطعم)")</f>
        <v>0</v>
      </c>
      <c r="BV6" s="117" t="n">
        <f aca="false">SUMIFS(الريسبي!$C$2:$C$1800,الريسبي!$A$2:$A$1800,$A6,الريسبي!$B$2:$B$1800,BV$1)</f>
        <v>0</v>
      </c>
      <c r="BW6" s="117" t="n">
        <f aca="false">SUMIFS(الريسبي!$C$2:$C$1800,الريسبي!$A$2:$A$1800,$A6,الريسبي!$B$2:$B$1800,BW$1)</f>
        <v>0</v>
      </c>
      <c r="BX6" s="117" t="n">
        <f aca="false">SUMIFS(الريسبي!$C$2:$C$1800,الريسبي!$A$2:$A$1800,$A6,الريسبي!$B$2:$B$1800,BX$1)</f>
        <v>0</v>
      </c>
      <c r="BY6" s="117" t="n">
        <f aca="false">SUMIFS(الريسبي!$C$2:$C$1800,الريسبي!$A$2:$A$1800,$A6,الريسبي!$B$2:$B$1800,BY$1)</f>
        <v>0</v>
      </c>
      <c r="BZ6" s="117" t="n">
        <f aca="false">SUMIFS(الريسبي!$C$2:$C$1800,الريسبي!$A$2:$A$1800,$A6,الريسبي!$B$2:$B$1800,BZ$1)</f>
        <v>0</v>
      </c>
      <c r="CA6" s="117" t="n">
        <f aca="false">SUMIFS(الريسبي!$C$2:$C$1800,الريسبي!$A$2:$A$1800,$A6,الريسبي!$B$2:$B$1800,CA$1)</f>
        <v>1</v>
      </c>
      <c r="CB6" s="117" t="n">
        <f aca="false">SUMIFS(الريسبي!$C$2:$C$1800,الريسبي!$A$2:$A$1800,$A6,الريسبي!$B$2:$B$1800,CB$1)</f>
        <v>1</v>
      </c>
      <c r="CC6" s="117" t="n">
        <f aca="false">SUMIFS(الريسبي!$C$2:$C$1800,الريسبي!$A$2:$A$1800,$A6,الريسبي!$B$2:$B$1800,CC$1)</f>
        <v>0</v>
      </c>
      <c r="CD6" s="117" t="n">
        <f aca="false">SUMIFS(الريسبي!$C$2:$C$1800,الريسبي!$A$2:$A$1800,$A6,الريسبي!$B$2:$B$1800,CD$1)</f>
        <v>0</v>
      </c>
      <c r="CE6" s="117" t="n">
        <f aca="false">SUMIFS(الريسبي!$C$2:$C$1800,الريسبي!$A$2:$A$1800,$A6,الريسبي!$B$2:$B$1800,CE$1)</f>
        <v>0</v>
      </c>
      <c r="CF6" s="117" t="n">
        <f aca="false">SUMIFS(الريسبي!$C$2:$C$1800,الريسبي!$A$2:$A$1800,$A6,الريسبي!$B$2:$B$1800,CF$1)</f>
        <v>0</v>
      </c>
      <c r="CG6" s="117" t="n">
        <f aca="false">SUMIFS(الريسبي!$C$2:$C$1800,الريسبي!$A$2:$A$1800,$A6,الريسبي!$B$2:$B$1800,CG$1)</f>
        <v>0</v>
      </c>
      <c r="CH6" s="117" t="n">
        <f aca="false">SUMIFS(الريسبي!$C$2:$C$1800,الريسبي!$A$2:$A$1800,$A6,الريسبي!$B$2:$B$1800,CH$1)</f>
        <v>0</v>
      </c>
      <c r="CI6" s="117" t="n">
        <f aca="false">SUMIFS(الريسبي!$C$2:$C$1800,الريسبي!$A$2:$A$1800,$A6,الريسبي!$B$2:$B$1800,CI$1)</f>
        <v>0</v>
      </c>
      <c r="CJ6" s="117" t="n">
        <f aca="false">SUMIFS(الريسبي!$C$2:$C$1800,الريسبي!$A$2:$A$1800,$A6,الريسبي!$B$2:$B$1800,CJ$1)</f>
        <v>0</v>
      </c>
      <c r="CK6" s="117" t="n">
        <f aca="false">SUMIFS(الريسبي!$C$2:$C$1800,الريسبي!$A$2:$A$1800,$A6,الريسبي!$B$2:$B$1800,CK$1)</f>
        <v>0</v>
      </c>
      <c r="CL6" s="117" t="n">
        <f aca="false">SUMIFS(الريسبي!$C$2:$C$1800,الريسبي!$A$2:$A$1800,$A6,الريسبي!$B$2:$B$1800,CL$1)</f>
        <v>0</v>
      </c>
    </row>
    <row r="7" customFormat="false" ht="15" hidden="false" customHeight="false" outlineLevel="0" collapsed="false">
      <c r="A7" s="116" t="str">
        <f aca="false">المنيو!B7</f>
        <v>بيتزا سدق حجم اكبر</v>
      </c>
      <c r="B7" s="117" t="n">
        <f aca="false">SUMIFS(الريسبي!$C$2:$C$1800,الريسبي!$A$2:$A$1800,$A7,الريسبي!$B$2:$B$1800,B$1)</f>
        <v>0</v>
      </c>
      <c r="C7" s="117" t="n">
        <f aca="false">SUMIFS(الريسبي!$C$2:$C$1800,الريسبي!$A$2:$A$1800,$A7,الريسبي!$B$2:$B$1800,C$1)</f>
        <v>0</v>
      </c>
      <c r="D7" s="117" t="n">
        <f aca="false">SUMIFS(الريسبي!$C$2:$C$1800,الريسبي!$A$2:$A$1800,$A7,الريسبي!$B$2:$B$1800,D$1)</f>
        <v>1</v>
      </c>
      <c r="E7" s="117" t="n">
        <f aca="false">SUMIFS(الريسبي!$C$2:$C$1800,الريسبي!$A$2:$A$1800,$A7,الريسبي!$B$2:$B$1800,E$1)</f>
        <v>0</v>
      </c>
      <c r="F7" s="117" t="n">
        <f aca="false">SUMIFS(الريسبي!$C$2:$C$1800,الريسبي!$A$2:$A$1800,$A7,الريسبي!$B$2:$B$1800,F$1)</f>
        <v>0</v>
      </c>
      <c r="G7" s="117" t="n">
        <f aca="false">SUMIFS(الريسبي!$C$2:$C$1800,الريسبي!$A$2:$A$1800,$A7,الريسبي!$B$2:$B$1800,G$1)</f>
        <v>0</v>
      </c>
      <c r="H7" s="117" t="n">
        <f aca="false">SUMIFS(الريسبي!$C$2:$C$1800,الريسبي!$A$2:$A$1800,$A7,الريسبي!$B$2:$B$1800,H$1)</f>
        <v>0</v>
      </c>
      <c r="I7" s="117" t="n">
        <f aca="false">SUMIFS(الريسبي!$C$2:$C$1800,الريسبي!$A$2:$A$1800,$A7,الريسبي!$B$2:$B$1800,I$1)</f>
        <v>0</v>
      </c>
      <c r="J7" s="117" t="n">
        <f aca="false">SUMIFS(الريسبي!$C$2:$C$1800,الريسبي!$A$2:$A$1800,$A7,الريسبي!$B$2:$B$1800,J$1)</f>
        <v>0</v>
      </c>
      <c r="K7" s="117" t="n">
        <f aca="false">SUMIFS(الريسبي!$C$2:$C$1800,الريسبي!$A$2:$A$1800,$A7,الريسبي!$B$2:$B$1800,K$1)</f>
        <v>0</v>
      </c>
      <c r="L7" s="117" t="n">
        <f aca="false">SUMIFS(الريسبي!$C$2:$C$1800,الريسبي!$A$2:$A$1800,$A7,الريسبي!$B$2:$B$1800,L$1)</f>
        <v>0</v>
      </c>
      <c r="M7" s="117" t="n">
        <f aca="false">SUMIFS(الريسبي!$C$2:$C$1800,الريسبي!$A$2:$A$1800,$A7,الريسبي!$B$2:$B$1800,M$1)</f>
        <v>1</v>
      </c>
      <c r="N7" s="117" t="n">
        <f aca="false">SUMIFS(الريسبي!$C$2:$C$1800,الريسبي!$A$2:$A$1800,$A7,الريسبي!$B$2:$B$1800,N$1)</f>
        <v>0</v>
      </c>
      <c r="O7" s="117" t="n">
        <f aca="false">SUMIFS(الريسبي!$C$2:$C$1800,الريسبي!$A$2:$A$1800,$A7,الريسبي!$B$2:$B$1800,O$1)</f>
        <v>0</v>
      </c>
      <c r="P7" s="117" t="n">
        <f aca="false">SUMIFS(الريسبي!$C$2:$C$1800,الريسبي!$A$2:$A$1800,$A7,الريسبي!$B$2:$B$1800,P$1)</f>
        <v>0</v>
      </c>
      <c r="Q7" s="117" t="n">
        <f aca="false">SUMIFS(الريسبي!$C$2:$C$1800,الريسبي!$A$2:$A$1800,$A7,الريسبي!$B$2:$B$1800,Q$1)</f>
        <v>0</v>
      </c>
      <c r="R7" s="117" t="n">
        <f aca="false">SUMIFS(الريسبي!$C$2:$C$1800,الريسبي!$A$2:$A$1800,$A7,الريسبي!$B$2:$B$1800,R$1)</f>
        <v>0</v>
      </c>
      <c r="S7" s="117" t="n">
        <f aca="false">SUMIFS(الريسبي!$C$2:$C$1800,الريسبي!$A$2:$A$1800,$A7,الريسبي!$B$2:$B$1800,S$1)</f>
        <v>0</v>
      </c>
      <c r="T7" s="117" t="n">
        <f aca="false">SUMIFS(الريسبي!$C$2:$C$1800,الريسبي!$A$2:$A$1800,$A7,الريسبي!$B$2:$B$1800,T$1)</f>
        <v>0</v>
      </c>
      <c r="U7" s="117" t="n">
        <f aca="false">SUMIFS(الريسبي!$C$2:$C$1800,الريسبي!$A$2:$A$1800,$A7,الريسبي!$B$2:$B$1800,U$1)</f>
        <v>0</v>
      </c>
      <c r="V7" s="117" t="n">
        <f aca="false">SUMIFS(الريسبي!$C$2:$C$1800,الريسبي!$A$2:$A$1800,$A7,الريسبي!$B$2:$B$1800,V$1)+1.5*(SUMIFS(الريسبي!$C$2:$C$1800,الريسبي!$A$2:$A$1800,$A7,الريسبي!$B$2:$B$1800,"برسيون موتزريلا بيتزا كبير"))</f>
        <v>1.5</v>
      </c>
      <c r="W7" s="117" t="n">
        <f aca="false">0</f>
        <v>0</v>
      </c>
      <c r="X7" s="117" t="n">
        <f aca="false">SUMIFS(الريسبي!$C$2:$C$1800,الريسبي!$A$2:$A$1800,$A7,الريسبي!$B$2:$B$1800,X$1)+1.5*(SUMIFS(الريسبي!$C$2:$C$1800,الريسبي!$A$2:$A$1800,$A7,الريسبي!$B$2:$B$1800,"برسيون موتزريلا فطير كبير"))</f>
        <v>0</v>
      </c>
      <c r="Y7" s="117" t="n">
        <f aca="false">0</f>
        <v>0</v>
      </c>
      <c r="Z7" s="117" t="n">
        <f aca="false">SUMIFS(الريسبي!$C$2:$C$1800,الريسبي!$A$2:$A$1800,$A7,الريسبي!$B$2:$B$1800,Z$1)</f>
        <v>0</v>
      </c>
      <c r="AA7" s="117" t="n">
        <f aca="false">SUMIFS(الريسبي!$C$2:$C$1800,الريسبي!$A$2:$A$1800,$A7,الريسبي!$B$2:$B$1800,AA$1)</f>
        <v>0</v>
      </c>
      <c r="AB7" s="117" t="n">
        <f aca="false">SUMIFS(الريسبي!$C$2:$C$1800,الريسبي!$A$2:$A$1800,$A7,الريسبي!$B$2:$B$1800,AB$1)</f>
        <v>0</v>
      </c>
      <c r="AC7" s="117" t="n">
        <f aca="false">SUMIFS(الريسبي!$C$2:$C$1800,الريسبي!$A$2:$A$1800,$A7,الريسبي!$B$2:$B$1800,AC$1)</f>
        <v>0</v>
      </c>
      <c r="AD7" s="117" t="n">
        <f aca="false">SUMIFS(الريسبي!$C$2:$C$1800,الريسبي!$A$2:$A$1800,$A7,الريسبي!$B$2:$B$1800,AD$1)</f>
        <v>0</v>
      </c>
      <c r="AE7" s="117" t="n">
        <f aca="false">SUMIFS(الريسبي!$C$2:$C$1800,الريسبي!$A$2:$A$1800,$A7,الريسبي!$B$2:$B$1800,AE$1)</f>
        <v>0</v>
      </c>
      <c r="AF7" s="117" t="n">
        <f aca="false">SUMIFS(الريسبي!$C$2:$C$1800,الريسبي!$A$2:$A$1800,$A7,الريسبي!$B$2:$B$1800,AF$1)</f>
        <v>0</v>
      </c>
      <c r="AG7" s="117" t="n">
        <f aca="false">SUMIFS(الريسبي!$C$2:$C$1800,الريسبي!$A$2:$A$1800,$A7,الريسبي!$B$2:$B$1800,AG$1)</f>
        <v>0</v>
      </c>
      <c r="AH7" s="117" t="n">
        <f aca="false">SUMIFS(الريسبي!$C$2:$C$1800,الريسبي!$A$2:$A$1800,$A7,الريسبي!$B$2:$B$1800,AH$1)</f>
        <v>0</v>
      </c>
      <c r="AI7" s="117" t="n">
        <f aca="false">SUMIFS(الريسبي!$C$2:$C$1800,الريسبي!$A$2:$A$1800,$A7,الريسبي!$B$2:$B$1800,AI$1)</f>
        <v>0</v>
      </c>
      <c r="AJ7" s="117" t="n">
        <f aca="false">SUMIFS(الريسبي!$C$2:$C$1800,الريسبي!$A$2:$A$1800,$A7,الريسبي!$B$2:$B$1800,AJ$1)</f>
        <v>2</v>
      </c>
      <c r="AK7" s="117" t="n">
        <f aca="false">SUMIFS(الريسبي!$C$2:$C$1800,الريسبي!$A$2:$A$1800,$A7,الريسبي!$B$2:$B$1800,AK$1)</f>
        <v>0</v>
      </c>
      <c r="AL7" s="117" t="n">
        <f aca="false">SUMIFS(الريسبي!$C$2:$C$1800,الريسبي!$A$2:$A$1800,$A7,الريسبي!$B$2:$B$1800,AL$1)</f>
        <v>0</v>
      </c>
      <c r="AM7" s="117" t="n">
        <f aca="false">SUMIFS(الريسبي!$C$2:$C$1800,الريسبي!$A$2:$A$1800,$A7,الريسبي!$B$2:$B$1800,AM$1)+0.08333333333*SUMIFS(الريسبي!$C$2:$C$1800,الريسبي!$A$2:$A$1800,$A7,الريسبي!$B$2:$B$1800,"عجين كريب (مصنع بالمطعم)")+0.08333333333*SUMIFS(الريسبي!$C$2:$C$1800,الريسبي!$A$2:$A$1800,$A7,الريسبي!$B$2:$B$1800,"عجين كريب صيامي (بدون لبن)")</f>
        <v>0</v>
      </c>
      <c r="AN7" s="117" t="n">
        <f aca="false">SUMIFS(الريسبي!$C$2:$C$1800,الريسبي!$A$2:$A$1800,$A7,الريسبي!$B$2:$B$1800,AN$1)+0.004166666667*SUMIFS(الريسبي!$C$2:$C$1800,الريسبي!$A$2:$A$1800,$A7,الريسبي!$B$2:$B$1800,"عجين كريب (مصنع بالمطعم)")+0.004166666667*SUMIFS(الريسبي!$C$2:$C$1800,الريسبي!$A$2:$A$1800,$A7,الريسبي!$B$2:$B$1800,"عجين كريب صيامي (بدون لبن)")</f>
        <v>0</v>
      </c>
      <c r="AO7" s="117" t="n">
        <f aca="false">SUMIFS(الريسبي!$C$2:$C$1800,الريسبي!$A$2:$A$1800,$A7,الريسبي!$B$2:$B$1800,AO$1)</f>
        <v>0</v>
      </c>
      <c r="AP7" s="117" t="n">
        <f aca="false">SUMIFS(الريسبي!$C$2:$C$1800,الريسبي!$A$2:$A$1800,$A7,الريسبي!$B$2:$B$1800,AP$1)</f>
        <v>0.03</v>
      </c>
      <c r="AQ7" s="117" t="n">
        <f aca="false">SUMIFS(الريسبي!$C$2:$C$1800,الريسبي!$A$2:$A$1800,$A7,الريسبي!$B$2:$B$1800,AQ$1)+0.004166666667*SUMIFS(الريسبي!$C$2:$C$1800,الريسبي!$A$2:$A$1800,$A7,الريسبي!$B$2:$B$1800,"عجين كريب (مصنع بالمطعم)")+0.004166666667*SUMIFS(الريسبي!$C$2:$C$1800,الريسبي!$A$2:$A$1800,$A7,الريسبي!$B$2:$B$1800,"عجين كريب صيامي (بدون لبن)")</f>
        <v>0</v>
      </c>
      <c r="AR7" s="117" t="n">
        <f aca="false">SUMIFS(الريسبي!$C$2:$C$1800,الريسبي!$A$2:$A$1800,$A7,الريسبي!$B$2:$B$1800,AR$1)</f>
        <v>0</v>
      </c>
      <c r="AS7" s="117" t="n">
        <f aca="false">SUMIFS(الريسبي!$C$2:$C$1800,الريسبي!$A$2:$A$1800,$A7,الريسبي!$B$2:$B$1800,AS$1)</f>
        <v>0</v>
      </c>
      <c r="AT7" s="117" t="n">
        <f aca="false">SUMIFS(الريسبي!$C$2:$C$1800,الريسبي!$A$2:$A$1800,$A7,الريسبي!$B$2:$B$1800,AT$1)</f>
        <v>0</v>
      </c>
      <c r="AU7" s="117" t="n">
        <f aca="false">SUMIFS(الريسبي!$C$2:$C$1800,الريسبي!$A$2:$A$1800,$A7,الريسبي!$B$2:$B$1800,AU$1)</f>
        <v>0</v>
      </c>
      <c r="AV7" s="117" t="n">
        <f aca="false">SUMIFS(الريسبي!$C$2:$C$1800,الريسبي!$A$2:$A$1800,$A7,الريسبي!$B$2:$B$1800,AV$1)</f>
        <v>0</v>
      </c>
      <c r="AW7" s="117" t="n">
        <f aca="false">SUMIFS(الريسبي!$C$2:$C$1800,الريسبي!$A$2:$A$1800,$A7,الريسبي!$B$2:$B$1800,AW$1)</f>
        <v>0</v>
      </c>
      <c r="AX7" s="117" t="n">
        <f aca="false">SUMIFS(الريسبي!$C$2:$C$1800,الريسبي!$A$2:$A$1800,$A7,الريسبي!$B$2:$B$1800,AX$1)</f>
        <v>0.06</v>
      </c>
      <c r="AY7" s="117" t="n">
        <f aca="false">SUMIFS(الريسبي!$C$2:$C$1800,الريسبي!$A$2:$A$1800,$A7,الريسبي!$B$2:$B$1800,AY$1)</f>
        <v>0</v>
      </c>
      <c r="AZ7" s="117" t="n">
        <f aca="false">SUMIFS(الريسبي!$C$2:$C$1800,الريسبي!$A$2:$A$1800,$A7,الريسبي!$B$2:$B$1800,AZ$1)</f>
        <v>0</v>
      </c>
      <c r="BA7" s="117" t="n">
        <f aca="false">SUMIFS(الريسبي!$C$2:$C$1800,الريسبي!$A$2:$A$1800,$A7,الريسبي!$B$2:$B$1800,BA$1)</f>
        <v>0</v>
      </c>
      <c r="BB7" s="117" t="n">
        <f aca="false">SUMIFS(الريسبي!$C$2:$C$1800,الريسبي!$A$2:$A$1800,$A7,الريسبي!$B$2:$B$1800,BB$1)</f>
        <v>0</v>
      </c>
      <c r="BC7" s="117" t="n">
        <f aca="false">SUMIFS(الريسبي!$C$2:$C$1800,الريسبي!$A$2:$A$1800,$A7,الريسبي!$B$2:$B$1800,BC$1)</f>
        <v>0.045</v>
      </c>
      <c r="BD7" s="117" t="n">
        <f aca="false">SUMIFS(الريسبي!$C$2:$C$1800,الريسبي!$A$2:$A$1800,$A7,الريسبي!$B$2:$B$1800,BD$1)</f>
        <v>0.3</v>
      </c>
      <c r="BE7" s="117" t="n">
        <f aca="false">SUMIFS(الريسبي!$C$2:$C$1800,الريسبي!$A$2:$A$1800,$A7,الريسبي!$B$2:$B$1800,BE$1)</f>
        <v>0</v>
      </c>
      <c r="BF7" s="117" t="n">
        <f aca="false">SUMIFS(الريسبي!$C$2:$C$1800,الريسبي!$A$2:$A$1800,$A7,الريسبي!$B$2:$B$1800,BF$1)</f>
        <v>0</v>
      </c>
      <c r="BG7" s="117" t="n">
        <f aca="false">SUMIFS(الريسبي!$C$2:$C$1800,الريسبي!$A$2:$A$1800,$A7,الريسبي!$B$2:$B$1800,BG$1)</f>
        <v>1</v>
      </c>
      <c r="BH7" s="117" t="n">
        <f aca="false">SUMIFS(الريسبي!$C$2:$C$1800,الريسبي!$A$2:$A$1800,$A7,الريسبي!$B$2:$B$1800,BH$1)</f>
        <v>0</v>
      </c>
      <c r="BI7" s="117" t="n">
        <f aca="false">SUMIFS(الريسبي!$C$2:$C$1800,الريسبي!$A$2:$A$1800,$A7,الريسبي!$B$2:$B$1800,BI$1)</f>
        <v>0</v>
      </c>
      <c r="BJ7" s="117" t="n">
        <f aca="false">SUMIFS(الريسبي!$C$2:$C$1800,الريسبي!$A$2:$A$1800,$A7,الريسبي!$B$2:$B$1800,BJ$1)</f>
        <v>0</v>
      </c>
      <c r="BK7" s="117" t="n">
        <f aca="false">SUMIFS(الريسبي!$C$2:$C$1800,الريسبي!$A$2:$A$1800,$A7,الريسبي!$B$2:$B$1800,BK$1)</f>
        <v>0</v>
      </c>
      <c r="BL7" s="117" t="n">
        <f aca="false">SUMIFS(الريسبي!$C$2:$C$1800,الريسبي!$A$2:$A$1800,$A7,الريسبي!$B$2:$B$1800,BL$1)</f>
        <v>0</v>
      </c>
      <c r="BM7" s="117" t="n">
        <f aca="false">SUMIFS(الريسبي!$C$2:$C$1800,الريسبي!$A$2:$A$1800,$A7,الريسبي!$B$2:$B$1800,BM$1)</f>
        <v>0</v>
      </c>
      <c r="BN7" s="117" t="n">
        <f aca="false">SUMIFS(الريسبي!$C$2:$C$1800,الريسبي!$A$2:$A$1800,$A7,الريسبي!$B$2:$B$1800,BN$1)</f>
        <v>0.03</v>
      </c>
      <c r="BO7" s="117" t="n">
        <f aca="false">SUMIFS(الريسبي!$C$2:$C$1800,الريسبي!$A$2:$A$1800,$A7,الريسبي!$B$2:$B$1800,BO$1)</f>
        <v>0</v>
      </c>
      <c r="BP7" s="117" t="n">
        <f aca="false">SUMIFS(الريسبي!$C$2:$C$1800,الريسبي!$A$2:$A$1800,$A7,الريسبي!$B$2:$B$1800,BP$1)</f>
        <v>3</v>
      </c>
      <c r="BQ7" s="117" t="n">
        <f aca="false">SUMIFS(الريسبي!$C$2:$C$1800,الريسبي!$A$2:$A$1800,$A7,الريسبي!$B$2:$B$1800,BQ$1)+0.17*SUMIFS(الريسبي!$C$2:$C$1800,الريسبي!$A$2:$A$1800,$A7,الريسبي!$B$2:$B$1800,"كاسترد مصنع (خليط بودر + لبن)")+0.17*SUMIFS(الريسبي!$C$2:$C$1800,الريسبي!$A$2:$A$1800,$A7,الريسبي!$B$2:$B$1800,"كاسترد مصنع صيامي (بدون لبن)")</f>
        <v>0</v>
      </c>
      <c r="BR7" s="117" t="n">
        <f aca="false">SUMIFS(الريسبي!$C$2:$C$1800,الريسبي!$A$2:$A$1800,$A7,الريسبي!$B$2:$B$1800,BR$1)</f>
        <v>1</v>
      </c>
      <c r="BS7" s="117" t="n">
        <f aca="false">SUMIFS(الريسبي!$C$2:$C$1800,الريسبي!$A$2:$A$1800,$A7,الريسبي!$B$2:$B$1800,BS$1)</f>
        <v>0</v>
      </c>
      <c r="BT7" s="117" t="n">
        <f aca="false">SUMIFS(الريسبي!$C$2:$C$1800,الريسبي!$A$2:$A$1800,$A7,الريسبي!$B$2:$B$1800,BT$1)</f>
        <v>0</v>
      </c>
      <c r="BU7" s="117" t="n">
        <f aca="false">SUMIFS(الريسبي!$C$2:$C$1800,الريسبي!$A$2:$A$1800,$A7,الريسبي!$B$2:$B$1800,BU$1)+0.4*SUMIFS(الريسبي!$C$2:$C$1800,الريسبي!$A$2:$A$1800,$A7,الريسبي!$B$2:$B$1800,"كاسترد مصنع (خليط بودر + لبن)")+0.03333333333*SUMIFS(الريسبي!$C$2:$C$1800,الريسبي!$A$2:$A$1800,$A7,الريسبي!$B$2:$B$1800,"عجين كريب (مصنع بالمطعم)")</f>
        <v>0</v>
      </c>
      <c r="BV7" s="117" t="n">
        <f aca="false">SUMIFS(الريسبي!$C$2:$C$1800,الريسبي!$A$2:$A$1800,$A7,الريسبي!$B$2:$B$1800,BV$1)</f>
        <v>0</v>
      </c>
      <c r="BW7" s="117" t="n">
        <f aca="false">SUMIFS(الريسبي!$C$2:$C$1800,الريسبي!$A$2:$A$1800,$A7,الريسبي!$B$2:$B$1800,BW$1)</f>
        <v>0</v>
      </c>
      <c r="BX7" s="117" t="n">
        <f aca="false">SUMIFS(الريسبي!$C$2:$C$1800,الريسبي!$A$2:$A$1800,$A7,الريسبي!$B$2:$B$1800,BX$1)</f>
        <v>0</v>
      </c>
      <c r="BY7" s="117" t="n">
        <f aca="false">SUMIFS(الريسبي!$C$2:$C$1800,الريسبي!$A$2:$A$1800,$A7,الريسبي!$B$2:$B$1800,BY$1)</f>
        <v>0</v>
      </c>
      <c r="BZ7" s="117" t="n">
        <f aca="false">SUMIFS(الريسبي!$C$2:$C$1800,الريسبي!$A$2:$A$1800,$A7,الريسبي!$B$2:$B$1800,BZ$1)</f>
        <v>0</v>
      </c>
      <c r="CA7" s="117" t="n">
        <f aca="false">SUMIFS(الريسبي!$C$2:$C$1800,الريسبي!$A$2:$A$1800,$A7,الريسبي!$B$2:$B$1800,CA$1)</f>
        <v>1</v>
      </c>
      <c r="CB7" s="117" t="n">
        <f aca="false">SUMIFS(الريسبي!$C$2:$C$1800,الريسبي!$A$2:$A$1800,$A7,الريسبي!$B$2:$B$1800,CB$1)</f>
        <v>1</v>
      </c>
      <c r="CC7" s="117" t="n">
        <f aca="false">SUMIFS(الريسبي!$C$2:$C$1800,الريسبي!$A$2:$A$1800,$A7,الريسبي!$B$2:$B$1800,CC$1)</f>
        <v>0</v>
      </c>
      <c r="CD7" s="117" t="n">
        <f aca="false">SUMIFS(الريسبي!$C$2:$C$1800,الريسبي!$A$2:$A$1800,$A7,الريسبي!$B$2:$B$1800,CD$1)</f>
        <v>0</v>
      </c>
      <c r="CE7" s="117" t="n">
        <f aca="false">SUMIFS(الريسبي!$C$2:$C$1800,الريسبي!$A$2:$A$1800,$A7,الريسبي!$B$2:$B$1800,CE$1)</f>
        <v>0</v>
      </c>
      <c r="CF7" s="117" t="n">
        <f aca="false">SUMIFS(الريسبي!$C$2:$C$1800,الريسبي!$A$2:$A$1800,$A7,الريسبي!$B$2:$B$1800,CF$1)</f>
        <v>0</v>
      </c>
      <c r="CG7" s="117" t="n">
        <f aca="false">SUMIFS(الريسبي!$C$2:$C$1800,الريسبي!$A$2:$A$1800,$A7,الريسبي!$B$2:$B$1800,CG$1)</f>
        <v>0</v>
      </c>
      <c r="CH7" s="117" t="n">
        <f aca="false">SUMIFS(الريسبي!$C$2:$C$1800,الريسبي!$A$2:$A$1800,$A7,الريسبي!$B$2:$B$1800,CH$1)</f>
        <v>0</v>
      </c>
      <c r="CI7" s="117" t="n">
        <f aca="false">SUMIFS(الريسبي!$C$2:$C$1800,الريسبي!$A$2:$A$1800,$A7,الريسبي!$B$2:$B$1800,CI$1)</f>
        <v>0</v>
      </c>
      <c r="CJ7" s="117" t="n">
        <f aca="false">SUMIFS(الريسبي!$C$2:$C$1800,الريسبي!$A$2:$A$1800,$A7,الريسبي!$B$2:$B$1800,CJ$1)</f>
        <v>0</v>
      </c>
      <c r="CK7" s="117" t="n">
        <f aca="false">SUMIFS(الريسبي!$C$2:$C$1800,الريسبي!$A$2:$A$1800,$A7,الريسبي!$B$2:$B$1800,CK$1)</f>
        <v>0</v>
      </c>
      <c r="CL7" s="117" t="n">
        <f aca="false">SUMIFS(الريسبي!$C$2:$C$1800,الريسبي!$A$2:$A$1800,$A7,الريسبي!$B$2:$B$1800,CL$1)</f>
        <v>0</v>
      </c>
    </row>
    <row r="8" customFormat="false" ht="15" hidden="false" customHeight="false" outlineLevel="0" collapsed="false">
      <c r="A8" s="116" t="str">
        <f aca="false">المنيو!B8</f>
        <v>بيتزا دبل سلامي / بيبروني وسط</v>
      </c>
      <c r="B8" s="117" t="n">
        <f aca="false">SUMIFS(الريسبي!$C$2:$C$1800,الريسبي!$A$2:$A$1800,$A8,الريسبي!$B$2:$B$1800,B$1)</f>
        <v>0</v>
      </c>
      <c r="C8" s="117" t="n">
        <f aca="false">SUMIFS(الريسبي!$C$2:$C$1800,الريسبي!$A$2:$A$1800,$A8,الريسبي!$B$2:$B$1800,C$1)</f>
        <v>0</v>
      </c>
      <c r="D8" s="117" t="n">
        <f aca="false">SUMIFS(الريسبي!$C$2:$C$1800,الريسبي!$A$2:$A$1800,$A8,الريسبي!$B$2:$B$1800,D$1)</f>
        <v>1</v>
      </c>
      <c r="E8" s="117" t="n">
        <f aca="false">SUMIFS(الريسبي!$C$2:$C$1800,الريسبي!$A$2:$A$1800,$A8,الريسبي!$B$2:$B$1800,E$1)</f>
        <v>0</v>
      </c>
      <c r="F8" s="117" t="n">
        <f aca="false">SUMIFS(الريسبي!$C$2:$C$1800,الريسبي!$A$2:$A$1800,$A8,الريسبي!$B$2:$B$1800,F$1)</f>
        <v>0</v>
      </c>
      <c r="G8" s="117" t="n">
        <f aca="false">SUMIFS(الريسبي!$C$2:$C$1800,الريسبي!$A$2:$A$1800,$A8,الريسبي!$B$2:$B$1800,G$1)</f>
        <v>0</v>
      </c>
      <c r="H8" s="117" t="n">
        <f aca="false">SUMIFS(الريسبي!$C$2:$C$1800,الريسبي!$A$2:$A$1800,$A8,الريسبي!$B$2:$B$1800,H$1)</f>
        <v>0</v>
      </c>
      <c r="I8" s="117" t="n">
        <f aca="false">SUMIFS(الريسبي!$C$2:$C$1800,الريسبي!$A$2:$A$1800,$A8,الريسبي!$B$2:$B$1800,I$1)</f>
        <v>0</v>
      </c>
      <c r="J8" s="117" t="n">
        <f aca="false">SUMIFS(الريسبي!$C$2:$C$1800,الريسبي!$A$2:$A$1800,$A8,الريسبي!$B$2:$B$1800,J$1)</f>
        <v>0</v>
      </c>
      <c r="K8" s="117" t="n">
        <f aca="false">SUMIFS(الريسبي!$C$2:$C$1800,الريسبي!$A$2:$A$1800,$A8,الريسبي!$B$2:$B$1800,K$1)</f>
        <v>0</v>
      </c>
      <c r="L8" s="117" t="n">
        <f aca="false">SUMIFS(الريسبي!$C$2:$C$1800,الريسبي!$A$2:$A$1800,$A8,الريسبي!$B$2:$B$1800,L$1)</f>
        <v>0</v>
      </c>
      <c r="M8" s="117" t="n">
        <f aca="false">SUMIFS(الريسبي!$C$2:$C$1800,الريسبي!$A$2:$A$1800,$A8,الريسبي!$B$2:$B$1800,M$1)</f>
        <v>0</v>
      </c>
      <c r="N8" s="117" t="n">
        <f aca="false">SUMIFS(الريسبي!$C$2:$C$1800,الريسبي!$A$2:$A$1800,$A8,الريسبي!$B$2:$B$1800,N$1)</f>
        <v>1</v>
      </c>
      <c r="O8" s="117" t="n">
        <f aca="false">SUMIFS(الريسبي!$C$2:$C$1800,الريسبي!$A$2:$A$1800,$A8,الريسبي!$B$2:$B$1800,O$1)</f>
        <v>0</v>
      </c>
      <c r="P8" s="117" t="n">
        <f aca="false">SUMIFS(الريسبي!$C$2:$C$1800,الريسبي!$A$2:$A$1800,$A8,الريسبي!$B$2:$B$1800,P$1)</f>
        <v>0</v>
      </c>
      <c r="Q8" s="117" t="n">
        <f aca="false">SUMIFS(الريسبي!$C$2:$C$1800,الريسبي!$A$2:$A$1800,$A8,الريسبي!$B$2:$B$1800,Q$1)</f>
        <v>0</v>
      </c>
      <c r="R8" s="117" t="n">
        <f aca="false">SUMIFS(الريسبي!$C$2:$C$1800,الريسبي!$A$2:$A$1800,$A8,الريسبي!$B$2:$B$1800,R$1)</f>
        <v>0</v>
      </c>
      <c r="S8" s="117" t="n">
        <f aca="false">SUMIFS(الريسبي!$C$2:$C$1800,الريسبي!$A$2:$A$1800,$A8,الريسبي!$B$2:$B$1800,S$1)</f>
        <v>0</v>
      </c>
      <c r="T8" s="117" t="n">
        <f aca="false">SUMIFS(الريسبي!$C$2:$C$1800,الريسبي!$A$2:$A$1800,$A8,الريسبي!$B$2:$B$1800,T$1)</f>
        <v>0</v>
      </c>
      <c r="U8" s="117" t="n">
        <f aca="false">SUMIFS(الريسبي!$C$2:$C$1800,الريسبي!$A$2:$A$1800,$A8,الريسبي!$B$2:$B$1800,U$1)</f>
        <v>0</v>
      </c>
      <c r="V8" s="117" t="n">
        <f aca="false">SUMIFS(الريسبي!$C$2:$C$1800,الريسبي!$A$2:$A$1800,$A8,الريسبي!$B$2:$B$1800,V$1)+1.5*(SUMIFS(الريسبي!$C$2:$C$1800,الريسبي!$A$2:$A$1800,$A8,الريسبي!$B$2:$B$1800,"برسيون موتزريلا بيتزا كبير"))</f>
        <v>1</v>
      </c>
      <c r="W8" s="117" t="n">
        <f aca="false">0</f>
        <v>0</v>
      </c>
      <c r="X8" s="117" t="n">
        <f aca="false">SUMIFS(الريسبي!$C$2:$C$1800,الريسبي!$A$2:$A$1800,$A8,الريسبي!$B$2:$B$1800,X$1)+1.5*(SUMIFS(الريسبي!$C$2:$C$1800,الريسبي!$A$2:$A$1800,$A8,الريسبي!$B$2:$B$1800,"برسيون موتزريلا فطير كبير"))</f>
        <v>0</v>
      </c>
      <c r="Y8" s="117" t="n">
        <f aca="false">0</f>
        <v>0</v>
      </c>
      <c r="Z8" s="117" t="n">
        <f aca="false">SUMIFS(الريسبي!$C$2:$C$1800,الريسبي!$A$2:$A$1800,$A8,الريسبي!$B$2:$B$1800,Z$1)</f>
        <v>0</v>
      </c>
      <c r="AA8" s="117" t="n">
        <f aca="false">SUMIFS(الريسبي!$C$2:$C$1800,الريسبي!$A$2:$A$1800,$A8,الريسبي!$B$2:$B$1800,AA$1)</f>
        <v>0</v>
      </c>
      <c r="AB8" s="117" t="n">
        <f aca="false">SUMIFS(الريسبي!$C$2:$C$1800,الريسبي!$A$2:$A$1800,$A8,الريسبي!$B$2:$B$1800,AB$1)</f>
        <v>0</v>
      </c>
      <c r="AC8" s="117" t="n">
        <f aca="false">SUMIFS(الريسبي!$C$2:$C$1800,الريسبي!$A$2:$A$1800,$A8,الريسبي!$B$2:$B$1800,AC$1)</f>
        <v>0</v>
      </c>
      <c r="AD8" s="117" t="n">
        <f aca="false">SUMIFS(الريسبي!$C$2:$C$1800,الريسبي!$A$2:$A$1800,$A8,الريسبي!$B$2:$B$1800,AD$1)</f>
        <v>0</v>
      </c>
      <c r="AE8" s="117" t="n">
        <f aca="false">SUMIFS(الريسبي!$C$2:$C$1800,الريسبي!$A$2:$A$1800,$A8,الريسبي!$B$2:$B$1800,AE$1)</f>
        <v>0</v>
      </c>
      <c r="AF8" s="117" t="n">
        <f aca="false">SUMIFS(الريسبي!$C$2:$C$1800,الريسبي!$A$2:$A$1800,$A8,الريسبي!$B$2:$B$1800,AF$1)</f>
        <v>0</v>
      </c>
      <c r="AG8" s="117" t="n">
        <f aca="false">SUMIFS(الريسبي!$C$2:$C$1800,الريسبي!$A$2:$A$1800,$A8,الريسبي!$B$2:$B$1800,AG$1)</f>
        <v>0</v>
      </c>
      <c r="AH8" s="117" t="n">
        <f aca="false">SUMIFS(الريسبي!$C$2:$C$1800,الريسبي!$A$2:$A$1800,$A8,الريسبي!$B$2:$B$1800,AH$1)</f>
        <v>0</v>
      </c>
      <c r="AI8" s="117" t="n">
        <f aca="false">SUMIFS(الريسبي!$C$2:$C$1800,الريسبي!$A$2:$A$1800,$A8,الريسبي!$B$2:$B$1800,AI$1)</f>
        <v>0</v>
      </c>
      <c r="AJ8" s="117" t="n">
        <f aca="false">SUMIFS(الريسبي!$C$2:$C$1800,الريسبي!$A$2:$A$1800,$A8,الريسبي!$B$2:$B$1800,AJ$1)</f>
        <v>2</v>
      </c>
      <c r="AK8" s="117" t="n">
        <f aca="false">SUMIFS(الريسبي!$C$2:$C$1800,الريسبي!$A$2:$A$1800,$A8,الريسبي!$B$2:$B$1800,AK$1)</f>
        <v>0</v>
      </c>
      <c r="AL8" s="117" t="n">
        <f aca="false">SUMIFS(الريسبي!$C$2:$C$1800,الريسبي!$A$2:$A$1800,$A8,الريسبي!$B$2:$B$1800,AL$1)</f>
        <v>0</v>
      </c>
      <c r="AM8" s="117" t="n">
        <f aca="false">SUMIFS(الريسبي!$C$2:$C$1800,الريسبي!$A$2:$A$1800,$A8,الريسبي!$B$2:$B$1800,AM$1)+0.08333333333*SUMIFS(الريسبي!$C$2:$C$1800,الريسبي!$A$2:$A$1800,$A8,الريسبي!$B$2:$B$1800,"عجين كريب (مصنع بالمطعم)")+0.08333333333*SUMIFS(الريسبي!$C$2:$C$1800,الريسبي!$A$2:$A$1800,$A8,الريسبي!$B$2:$B$1800,"عجين كريب صيامي (بدون لبن)")</f>
        <v>0</v>
      </c>
      <c r="AN8" s="117" t="n">
        <f aca="false">SUMIFS(الريسبي!$C$2:$C$1800,الريسبي!$A$2:$A$1800,$A8,الريسبي!$B$2:$B$1800,AN$1)+0.004166666667*SUMIFS(الريسبي!$C$2:$C$1800,الريسبي!$A$2:$A$1800,$A8,الريسبي!$B$2:$B$1800,"عجين كريب (مصنع بالمطعم)")+0.004166666667*SUMIFS(الريسبي!$C$2:$C$1800,الريسبي!$A$2:$A$1800,$A8,الريسبي!$B$2:$B$1800,"عجين كريب صيامي (بدون لبن)")</f>
        <v>0</v>
      </c>
      <c r="AO8" s="117" t="n">
        <f aca="false">SUMIFS(الريسبي!$C$2:$C$1800,الريسبي!$A$2:$A$1800,$A8,الريسبي!$B$2:$B$1800,AO$1)</f>
        <v>0</v>
      </c>
      <c r="AP8" s="117" t="n">
        <f aca="false">SUMIFS(الريسبي!$C$2:$C$1800,الريسبي!$A$2:$A$1800,$A8,الريسبي!$B$2:$B$1800,AP$1)</f>
        <v>0.02</v>
      </c>
      <c r="AQ8" s="117" t="n">
        <f aca="false">SUMIFS(الريسبي!$C$2:$C$1800,الريسبي!$A$2:$A$1800,$A8,الريسبي!$B$2:$B$1800,AQ$1)+0.004166666667*SUMIFS(الريسبي!$C$2:$C$1800,الريسبي!$A$2:$A$1800,$A8,الريسبي!$B$2:$B$1800,"عجين كريب (مصنع بالمطعم)")+0.004166666667*SUMIFS(الريسبي!$C$2:$C$1800,الريسبي!$A$2:$A$1800,$A8,الريسبي!$B$2:$B$1800,"عجين كريب صيامي (بدون لبن)")</f>
        <v>0</v>
      </c>
      <c r="AR8" s="117" t="n">
        <f aca="false">SUMIFS(الريسبي!$C$2:$C$1800,الريسبي!$A$2:$A$1800,$A8,الريسبي!$B$2:$B$1800,AR$1)</f>
        <v>0</v>
      </c>
      <c r="AS8" s="117" t="n">
        <f aca="false">SUMIFS(الريسبي!$C$2:$C$1800,الريسبي!$A$2:$A$1800,$A8,الريسبي!$B$2:$B$1800,AS$1)</f>
        <v>0</v>
      </c>
      <c r="AT8" s="117" t="n">
        <f aca="false">SUMIFS(الريسبي!$C$2:$C$1800,الريسبي!$A$2:$A$1800,$A8,الريسبي!$B$2:$B$1800,AT$1)</f>
        <v>0</v>
      </c>
      <c r="AU8" s="117" t="n">
        <f aca="false">SUMIFS(الريسبي!$C$2:$C$1800,الريسبي!$A$2:$A$1800,$A8,الريسبي!$B$2:$B$1800,AU$1)</f>
        <v>0</v>
      </c>
      <c r="AV8" s="117" t="n">
        <f aca="false">SUMIFS(الريسبي!$C$2:$C$1800,الريسبي!$A$2:$A$1800,$A8,الريسبي!$B$2:$B$1800,AV$1)</f>
        <v>0</v>
      </c>
      <c r="AW8" s="117" t="n">
        <f aca="false">SUMIFS(الريسبي!$C$2:$C$1800,الريسبي!$A$2:$A$1800,$A8,الريسبي!$B$2:$B$1800,AW$1)</f>
        <v>0</v>
      </c>
      <c r="AX8" s="117" t="n">
        <f aca="false">SUMIFS(الريسبي!$C$2:$C$1800,الريسبي!$A$2:$A$1800,$A8,الريسبي!$B$2:$B$1800,AX$1)</f>
        <v>0.04</v>
      </c>
      <c r="AY8" s="117" t="n">
        <f aca="false">SUMIFS(الريسبي!$C$2:$C$1800,الريسبي!$A$2:$A$1800,$A8,الريسبي!$B$2:$B$1800,AY$1)</f>
        <v>0</v>
      </c>
      <c r="AZ8" s="117" t="n">
        <f aca="false">SUMIFS(الريسبي!$C$2:$C$1800,الريسبي!$A$2:$A$1800,$A8,الريسبي!$B$2:$B$1800,AZ$1)</f>
        <v>0</v>
      </c>
      <c r="BA8" s="117" t="n">
        <f aca="false">SUMIFS(الريسبي!$C$2:$C$1800,الريسبي!$A$2:$A$1800,$A8,الريسبي!$B$2:$B$1800,BA$1)</f>
        <v>0</v>
      </c>
      <c r="BB8" s="117" t="n">
        <f aca="false">SUMIFS(الريسبي!$C$2:$C$1800,الريسبي!$A$2:$A$1800,$A8,الريسبي!$B$2:$B$1800,BB$1)</f>
        <v>0</v>
      </c>
      <c r="BC8" s="117" t="n">
        <f aca="false">SUMIFS(الريسبي!$C$2:$C$1800,الريسبي!$A$2:$A$1800,$A8,الريسبي!$B$2:$B$1800,BC$1)</f>
        <v>0.03</v>
      </c>
      <c r="BD8" s="117" t="n">
        <f aca="false">SUMIFS(الريسبي!$C$2:$C$1800,الريسبي!$A$2:$A$1800,$A8,الريسبي!$B$2:$B$1800,BD$1)</f>
        <v>0.22</v>
      </c>
      <c r="BE8" s="117" t="n">
        <f aca="false">SUMIFS(الريسبي!$C$2:$C$1800,الريسبي!$A$2:$A$1800,$A8,الريسبي!$B$2:$B$1800,BE$1)</f>
        <v>0</v>
      </c>
      <c r="BF8" s="117" t="n">
        <f aca="false">SUMIFS(الريسبي!$C$2:$C$1800,الريسبي!$A$2:$A$1800,$A8,الريسبي!$B$2:$B$1800,BF$1)</f>
        <v>0</v>
      </c>
      <c r="BG8" s="117" t="n">
        <f aca="false">SUMIFS(الريسبي!$C$2:$C$1800,الريسبي!$A$2:$A$1800,$A8,الريسبي!$B$2:$B$1800,BG$1)</f>
        <v>0</v>
      </c>
      <c r="BH8" s="117" t="n">
        <f aca="false">SUMIFS(الريسبي!$C$2:$C$1800,الريسبي!$A$2:$A$1800,$A8,الريسبي!$B$2:$B$1800,BH$1)</f>
        <v>1</v>
      </c>
      <c r="BI8" s="117" t="n">
        <f aca="false">SUMIFS(الريسبي!$C$2:$C$1800,الريسبي!$A$2:$A$1800,$A8,الريسبي!$B$2:$B$1800,BI$1)</f>
        <v>0</v>
      </c>
      <c r="BJ8" s="117" t="n">
        <f aca="false">SUMIFS(الريسبي!$C$2:$C$1800,الريسبي!$A$2:$A$1800,$A8,الريسبي!$B$2:$B$1800,BJ$1)</f>
        <v>0</v>
      </c>
      <c r="BK8" s="117" t="n">
        <f aca="false">SUMIFS(الريسبي!$C$2:$C$1800,الريسبي!$A$2:$A$1800,$A8,الريسبي!$B$2:$B$1800,BK$1)</f>
        <v>0</v>
      </c>
      <c r="BL8" s="117" t="n">
        <f aca="false">SUMIFS(الريسبي!$C$2:$C$1800,الريسبي!$A$2:$A$1800,$A8,الريسبي!$B$2:$B$1800,BL$1)</f>
        <v>0</v>
      </c>
      <c r="BM8" s="117" t="n">
        <f aca="false">SUMIFS(الريسبي!$C$2:$C$1800,الريسبي!$A$2:$A$1800,$A8,الريسبي!$B$2:$B$1800,BM$1)</f>
        <v>0</v>
      </c>
      <c r="BN8" s="117" t="n">
        <f aca="false">SUMIFS(الريسبي!$C$2:$C$1800,الريسبي!$A$2:$A$1800,$A8,الريسبي!$B$2:$B$1800,BN$1)</f>
        <v>0.02</v>
      </c>
      <c r="BO8" s="117" t="n">
        <f aca="false">SUMIFS(الريسبي!$C$2:$C$1800,الريسبي!$A$2:$A$1800,$A8,الريسبي!$B$2:$B$1800,BO$1)</f>
        <v>0</v>
      </c>
      <c r="BP8" s="117" t="n">
        <f aca="false">SUMIFS(الريسبي!$C$2:$C$1800,الريسبي!$A$2:$A$1800,$A8,الريسبي!$B$2:$B$1800,BP$1)</f>
        <v>2</v>
      </c>
      <c r="BQ8" s="117" t="n">
        <f aca="false">SUMIFS(الريسبي!$C$2:$C$1800,الريسبي!$A$2:$A$1800,$A8,الريسبي!$B$2:$B$1800,BQ$1)+0.17*SUMIFS(الريسبي!$C$2:$C$1800,الريسبي!$A$2:$A$1800,$A8,الريسبي!$B$2:$B$1800,"كاسترد مصنع (خليط بودر + لبن)")+0.17*SUMIFS(الريسبي!$C$2:$C$1800,الريسبي!$A$2:$A$1800,$A8,الريسبي!$B$2:$B$1800,"كاسترد مصنع صيامي (بدون لبن)")</f>
        <v>0</v>
      </c>
      <c r="BR8" s="117" t="n">
        <f aca="false">SUMIFS(الريسبي!$C$2:$C$1800,الريسبي!$A$2:$A$1800,$A8,الريسبي!$B$2:$B$1800,BR$1)</f>
        <v>1</v>
      </c>
      <c r="BS8" s="117" t="n">
        <f aca="false">SUMIFS(الريسبي!$C$2:$C$1800,الريسبي!$A$2:$A$1800,$A8,الريسبي!$B$2:$B$1800,BS$1)</f>
        <v>0</v>
      </c>
      <c r="BT8" s="117" t="n">
        <f aca="false">SUMIFS(الريسبي!$C$2:$C$1800,الريسبي!$A$2:$A$1800,$A8,الريسبي!$B$2:$B$1800,BT$1)</f>
        <v>0</v>
      </c>
      <c r="BU8" s="117" t="n">
        <f aca="false">SUMIFS(الريسبي!$C$2:$C$1800,الريسبي!$A$2:$A$1800,$A8,الريسبي!$B$2:$B$1800,BU$1)+0.4*SUMIFS(الريسبي!$C$2:$C$1800,الريسبي!$A$2:$A$1800,$A8,الريسبي!$B$2:$B$1800,"كاسترد مصنع (خليط بودر + لبن)")+0.03333333333*SUMIFS(الريسبي!$C$2:$C$1800,الريسبي!$A$2:$A$1800,$A8,الريسبي!$B$2:$B$1800,"عجين كريب (مصنع بالمطعم)")</f>
        <v>0</v>
      </c>
      <c r="BV8" s="117" t="n">
        <f aca="false">SUMIFS(الريسبي!$C$2:$C$1800,الريسبي!$A$2:$A$1800,$A8,الريسبي!$B$2:$B$1800,BV$1)</f>
        <v>0</v>
      </c>
      <c r="BW8" s="117" t="n">
        <f aca="false">SUMIFS(الريسبي!$C$2:$C$1800,الريسبي!$A$2:$A$1800,$A8,الريسبي!$B$2:$B$1800,BW$1)</f>
        <v>0</v>
      </c>
      <c r="BX8" s="117" t="n">
        <f aca="false">SUMIFS(الريسبي!$C$2:$C$1800,الريسبي!$A$2:$A$1800,$A8,الريسبي!$B$2:$B$1800,BX$1)</f>
        <v>0</v>
      </c>
      <c r="BY8" s="117" t="n">
        <f aca="false">SUMIFS(الريسبي!$C$2:$C$1800,الريسبي!$A$2:$A$1800,$A8,الريسبي!$B$2:$B$1800,BY$1)</f>
        <v>0</v>
      </c>
      <c r="BZ8" s="117" t="n">
        <f aca="false">SUMIFS(الريسبي!$C$2:$C$1800,الريسبي!$A$2:$A$1800,$A8,الريسبي!$B$2:$B$1800,BZ$1)</f>
        <v>0</v>
      </c>
      <c r="CA8" s="117" t="n">
        <f aca="false">SUMIFS(الريسبي!$C$2:$C$1800,الريسبي!$A$2:$A$1800,$A8,الريسبي!$B$2:$B$1800,CA$1)</f>
        <v>1</v>
      </c>
      <c r="CB8" s="117" t="n">
        <f aca="false">SUMIFS(الريسبي!$C$2:$C$1800,الريسبي!$A$2:$A$1800,$A8,الريسبي!$B$2:$B$1800,CB$1)</f>
        <v>1</v>
      </c>
      <c r="CC8" s="117" t="n">
        <f aca="false">SUMIFS(الريسبي!$C$2:$C$1800,الريسبي!$A$2:$A$1800,$A8,الريسبي!$B$2:$B$1800,CC$1)</f>
        <v>0</v>
      </c>
      <c r="CD8" s="117" t="n">
        <f aca="false">SUMIFS(الريسبي!$C$2:$C$1800,الريسبي!$A$2:$A$1800,$A8,الريسبي!$B$2:$B$1800,CD$1)</f>
        <v>0</v>
      </c>
      <c r="CE8" s="117" t="n">
        <f aca="false">SUMIFS(الريسبي!$C$2:$C$1800,الريسبي!$A$2:$A$1800,$A8,الريسبي!$B$2:$B$1800,CE$1)</f>
        <v>0</v>
      </c>
      <c r="CF8" s="117" t="n">
        <f aca="false">SUMIFS(الريسبي!$C$2:$C$1800,الريسبي!$A$2:$A$1800,$A8,الريسبي!$B$2:$B$1800,CF$1)</f>
        <v>0</v>
      </c>
      <c r="CG8" s="117" t="n">
        <f aca="false">SUMIFS(الريسبي!$C$2:$C$1800,الريسبي!$A$2:$A$1800,$A8,الريسبي!$B$2:$B$1800,CG$1)</f>
        <v>0</v>
      </c>
      <c r="CH8" s="117" t="n">
        <f aca="false">SUMIFS(الريسبي!$C$2:$C$1800,الريسبي!$A$2:$A$1800,$A8,الريسبي!$B$2:$B$1800,CH$1)</f>
        <v>0</v>
      </c>
      <c r="CI8" s="117" t="n">
        <f aca="false">SUMIFS(الريسبي!$C$2:$C$1800,الريسبي!$A$2:$A$1800,$A8,الريسبي!$B$2:$B$1800,CI$1)</f>
        <v>0</v>
      </c>
      <c r="CJ8" s="117" t="n">
        <f aca="false">SUMIFS(الريسبي!$C$2:$C$1800,الريسبي!$A$2:$A$1800,$A8,الريسبي!$B$2:$B$1800,CJ$1)</f>
        <v>0</v>
      </c>
      <c r="CK8" s="117" t="n">
        <f aca="false">SUMIFS(الريسبي!$C$2:$C$1800,الريسبي!$A$2:$A$1800,$A8,الريسبي!$B$2:$B$1800,CK$1)</f>
        <v>0</v>
      </c>
      <c r="CL8" s="117" t="n">
        <f aca="false">SUMIFS(الريسبي!$C$2:$C$1800,الريسبي!$A$2:$A$1800,$A8,الريسبي!$B$2:$B$1800,CL$1)</f>
        <v>0</v>
      </c>
    </row>
    <row r="9" customFormat="false" ht="15" hidden="false" customHeight="false" outlineLevel="0" collapsed="false">
      <c r="A9" s="116" t="str">
        <f aca="false">المنيو!B9</f>
        <v>بيتزا دبل سلامي / بيبروني حجم اكبر</v>
      </c>
      <c r="B9" s="117" t="n">
        <f aca="false">SUMIFS(الريسبي!$C$2:$C$1800,الريسبي!$A$2:$A$1800,$A9,الريسبي!$B$2:$B$1800,B$1)</f>
        <v>0</v>
      </c>
      <c r="C9" s="117" t="n">
        <f aca="false">SUMIFS(الريسبي!$C$2:$C$1800,الريسبي!$A$2:$A$1800,$A9,الريسبي!$B$2:$B$1800,C$1)</f>
        <v>0</v>
      </c>
      <c r="D9" s="117" t="n">
        <f aca="false">SUMIFS(الريسبي!$C$2:$C$1800,الريسبي!$A$2:$A$1800,$A9,الريسبي!$B$2:$B$1800,D$1)</f>
        <v>1</v>
      </c>
      <c r="E9" s="117" t="n">
        <f aca="false">SUMIFS(الريسبي!$C$2:$C$1800,الريسبي!$A$2:$A$1800,$A9,الريسبي!$B$2:$B$1800,E$1)</f>
        <v>0</v>
      </c>
      <c r="F9" s="117" t="n">
        <f aca="false">SUMIFS(الريسبي!$C$2:$C$1800,الريسبي!$A$2:$A$1800,$A9,الريسبي!$B$2:$B$1800,F$1)</f>
        <v>0</v>
      </c>
      <c r="G9" s="117" t="n">
        <f aca="false">SUMIFS(الريسبي!$C$2:$C$1800,الريسبي!$A$2:$A$1800,$A9,الريسبي!$B$2:$B$1800,G$1)</f>
        <v>0</v>
      </c>
      <c r="H9" s="117" t="n">
        <f aca="false">SUMIFS(الريسبي!$C$2:$C$1800,الريسبي!$A$2:$A$1800,$A9,الريسبي!$B$2:$B$1800,H$1)</f>
        <v>0</v>
      </c>
      <c r="I9" s="117" t="n">
        <f aca="false">SUMIFS(الريسبي!$C$2:$C$1800,الريسبي!$A$2:$A$1800,$A9,الريسبي!$B$2:$B$1800,I$1)</f>
        <v>0</v>
      </c>
      <c r="J9" s="117" t="n">
        <f aca="false">SUMIFS(الريسبي!$C$2:$C$1800,الريسبي!$A$2:$A$1800,$A9,الريسبي!$B$2:$B$1800,J$1)</f>
        <v>0</v>
      </c>
      <c r="K9" s="117" t="n">
        <f aca="false">SUMIFS(الريسبي!$C$2:$C$1800,الريسبي!$A$2:$A$1800,$A9,الريسبي!$B$2:$B$1800,K$1)</f>
        <v>0</v>
      </c>
      <c r="L9" s="117" t="n">
        <f aca="false">SUMIFS(الريسبي!$C$2:$C$1800,الريسبي!$A$2:$A$1800,$A9,الريسبي!$B$2:$B$1800,L$1)</f>
        <v>0</v>
      </c>
      <c r="M9" s="117" t="n">
        <f aca="false">SUMIFS(الريسبي!$C$2:$C$1800,الريسبي!$A$2:$A$1800,$A9,الريسبي!$B$2:$B$1800,M$1)</f>
        <v>0</v>
      </c>
      <c r="N9" s="117" t="n">
        <f aca="false">SUMIFS(الريسبي!$C$2:$C$1800,الريسبي!$A$2:$A$1800,$A9,الريسبي!$B$2:$B$1800,N$1)</f>
        <v>1.5</v>
      </c>
      <c r="O9" s="117" t="n">
        <f aca="false">SUMIFS(الريسبي!$C$2:$C$1800,الريسبي!$A$2:$A$1800,$A9,الريسبي!$B$2:$B$1800,O$1)</f>
        <v>0</v>
      </c>
      <c r="P9" s="117" t="n">
        <f aca="false">SUMIFS(الريسبي!$C$2:$C$1800,الريسبي!$A$2:$A$1800,$A9,الريسبي!$B$2:$B$1800,P$1)</f>
        <v>0</v>
      </c>
      <c r="Q9" s="117" t="n">
        <f aca="false">SUMIFS(الريسبي!$C$2:$C$1800,الريسبي!$A$2:$A$1800,$A9,الريسبي!$B$2:$B$1800,Q$1)</f>
        <v>0</v>
      </c>
      <c r="R9" s="117" t="n">
        <f aca="false">SUMIFS(الريسبي!$C$2:$C$1800,الريسبي!$A$2:$A$1800,$A9,الريسبي!$B$2:$B$1800,R$1)</f>
        <v>0</v>
      </c>
      <c r="S9" s="117" t="n">
        <f aca="false">SUMIFS(الريسبي!$C$2:$C$1800,الريسبي!$A$2:$A$1800,$A9,الريسبي!$B$2:$B$1800,S$1)</f>
        <v>0</v>
      </c>
      <c r="T9" s="117" t="n">
        <f aca="false">SUMIFS(الريسبي!$C$2:$C$1800,الريسبي!$A$2:$A$1800,$A9,الريسبي!$B$2:$B$1800,T$1)</f>
        <v>0</v>
      </c>
      <c r="U9" s="117" t="n">
        <f aca="false">SUMIFS(الريسبي!$C$2:$C$1800,الريسبي!$A$2:$A$1800,$A9,الريسبي!$B$2:$B$1800,U$1)</f>
        <v>0</v>
      </c>
      <c r="V9" s="117" t="n">
        <f aca="false">SUMIFS(الريسبي!$C$2:$C$1800,الريسبي!$A$2:$A$1800,$A9,الريسبي!$B$2:$B$1800,V$1)+1.5*(SUMIFS(الريسبي!$C$2:$C$1800,الريسبي!$A$2:$A$1800,$A9,الريسبي!$B$2:$B$1800,"برسيون موتزريلا بيتزا كبير"))</f>
        <v>1.5</v>
      </c>
      <c r="W9" s="117" t="n">
        <f aca="false">0</f>
        <v>0</v>
      </c>
      <c r="X9" s="117" t="n">
        <f aca="false">SUMIFS(الريسبي!$C$2:$C$1800,الريسبي!$A$2:$A$1800,$A9,الريسبي!$B$2:$B$1800,X$1)+1.5*(SUMIFS(الريسبي!$C$2:$C$1800,الريسبي!$A$2:$A$1800,$A9,الريسبي!$B$2:$B$1800,"برسيون موتزريلا فطير كبير"))</f>
        <v>0</v>
      </c>
      <c r="Y9" s="117" t="n">
        <f aca="false">0</f>
        <v>0</v>
      </c>
      <c r="Z9" s="117" t="n">
        <f aca="false">SUMIFS(الريسبي!$C$2:$C$1800,الريسبي!$A$2:$A$1800,$A9,الريسبي!$B$2:$B$1800,Z$1)</f>
        <v>0</v>
      </c>
      <c r="AA9" s="117" t="n">
        <f aca="false">SUMIFS(الريسبي!$C$2:$C$1800,الريسبي!$A$2:$A$1800,$A9,الريسبي!$B$2:$B$1800,AA$1)</f>
        <v>0</v>
      </c>
      <c r="AB9" s="117" t="n">
        <f aca="false">SUMIFS(الريسبي!$C$2:$C$1800,الريسبي!$A$2:$A$1800,$A9,الريسبي!$B$2:$B$1800,AB$1)</f>
        <v>0</v>
      </c>
      <c r="AC9" s="117" t="n">
        <f aca="false">SUMIFS(الريسبي!$C$2:$C$1800,الريسبي!$A$2:$A$1800,$A9,الريسبي!$B$2:$B$1800,AC$1)</f>
        <v>0</v>
      </c>
      <c r="AD9" s="117" t="n">
        <f aca="false">SUMIFS(الريسبي!$C$2:$C$1800,الريسبي!$A$2:$A$1800,$A9,الريسبي!$B$2:$B$1800,AD$1)</f>
        <v>0</v>
      </c>
      <c r="AE9" s="117" t="n">
        <f aca="false">SUMIFS(الريسبي!$C$2:$C$1800,الريسبي!$A$2:$A$1800,$A9,الريسبي!$B$2:$B$1800,AE$1)</f>
        <v>0</v>
      </c>
      <c r="AF9" s="117" t="n">
        <f aca="false">SUMIFS(الريسبي!$C$2:$C$1800,الريسبي!$A$2:$A$1800,$A9,الريسبي!$B$2:$B$1800,AF$1)</f>
        <v>0</v>
      </c>
      <c r="AG9" s="117" t="n">
        <f aca="false">SUMIFS(الريسبي!$C$2:$C$1800,الريسبي!$A$2:$A$1800,$A9,الريسبي!$B$2:$B$1800,AG$1)</f>
        <v>0</v>
      </c>
      <c r="AH9" s="117" t="n">
        <f aca="false">SUMIFS(الريسبي!$C$2:$C$1800,الريسبي!$A$2:$A$1800,$A9,الريسبي!$B$2:$B$1800,AH$1)</f>
        <v>0</v>
      </c>
      <c r="AI9" s="117" t="n">
        <f aca="false">SUMIFS(الريسبي!$C$2:$C$1800,الريسبي!$A$2:$A$1800,$A9,الريسبي!$B$2:$B$1800,AI$1)</f>
        <v>0</v>
      </c>
      <c r="AJ9" s="117" t="n">
        <f aca="false">SUMIFS(الريسبي!$C$2:$C$1800,الريسبي!$A$2:$A$1800,$A9,الريسبي!$B$2:$B$1800,AJ$1)</f>
        <v>2</v>
      </c>
      <c r="AK9" s="117" t="n">
        <f aca="false">SUMIFS(الريسبي!$C$2:$C$1800,الريسبي!$A$2:$A$1800,$A9,الريسبي!$B$2:$B$1800,AK$1)</f>
        <v>0</v>
      </c>
      <c r="AL9" s="117" t="n">
        <f aca="false">SUMIFS(الريسبي!$C$2:$C$1800,الريسبي!$A$2:$A$1800,$A9,الريسبي!$B$2:$B$1800,AL$1)</f>
        <v>0</v>
      </c>
      <c r="AM9" s="117" t="n">
        <f aca="false">SUMIFS(الريسبي!$C$2:$C$1800,الريسبي!$A$2:$A$1800,$A9,الريسبي!$B$2:$B$1800,AM$1)+0.08333333333*SUMIFS(الريسبي!$C$2:$C$1800,الريسبي!$A$2:$A$1800,$A9,الريسبي!$B$2:$B$1800,"عجين كريب (مصنع بالمطعم)")+0.08333333333*SUMIFS(الريسبي!$C$2:$C$1800,الريسبي!$A$2:$A$1800,$A9,الريسبي!$B$2:$B$1800,"عجين كريب صيامي (بدون لبن)")</f>
        <v>0</v>
      </c>
      <c r="AN9" s="117" t="n">
        <f aca="false">SUMIFS(الريسبي!$C$2:$C$1800,الريسبي!$A$2:$A$1800,$A9,الريسبي!$B$2:$B$1800,AN$1)+0.004166666667*SUMIFS(الريسبي!$C$2:$C$1800,الريسبي!$A$2:$A$1800,$A9,الريسبي!$B$2:$B$1800,"عجين كريب (مصنع بالمطعم)")+0.004166666667*SUMIFS(الريسبي!$C$2:$C$1800,الريسبي!$A$2:$A$1800,$A9,الريسبي!$B$2:$B$1800,"عجين كريب صيامي (بدون لبن)")</f>
        <v>0</v>
      </c>
      <c r="AO9" s="117" t="n">
        <f aca="false">SUMIFS(الريسبي!$C$2:$C$1800,الريسبي!$A$2:$A$1800,$A9,الريسبي!$B$2:$B$1800,AO$1)</f>
        <v>0</v>
      </c>
      <c r="AP9" s="117" t="n">
        <f aca="false">SUMIFS(الريسبي!$C$2:$C$1800,الريسبي!$A$2:$A$1800,$A9,الريسبي!$B$2:$B$1800,AP$1)</f>
        <v>0.03</v>
      </c>
      <c r="AQ9" s="117" t="n">
        <f aca="false">SUMIFS(الريسبي!$C$2:$C$1800,الريسبي!$A$2:$A$1800,$A9,الريسبي!$B$2:$B$1800,AQ$1)+0.004166666667*SUMIFS(الريسبي!$C$2:$C$1800,الريسبي!$A$2:$A$1800,$A9,الريسبي!$B$2:$B$1800,"عجين كريب (مصنع بالمطعم)")+0.004166666667*SUMIFS(الريسبي!$C$2:$C$1800,الريسبي!$A$2:$A$1800,$A9,الريسبي!$B$2:$B$1800,"عجين كريب صيامي (بدون لبن)")</f>
        <v>0</v>
      </c>
      <c r="AR9" s="117" t="n">
        <f aca="false">SUMIFS(الريسبي!$C$2:$C$1800,الريسبي!$A$2:$A$1800,$A9,الريسبي!$B$2:$B$1800,AR$1)</f>
        <v>0</v>
      </c>
      <c r="AS9" s="117" t="n">
        <f aca="false">SUMIFS(الريسبي!$C$2:$C$1800,الريسبي!$A$2:$A$1800,$A9,الريسبي!$B$2:$B$1800,AS$1)</f>
        <v>0</v>
      </c>
      <c r="AT9" s="117" t="n">
        <f aca="false">SUMIFS(الريسبي!$C$2:$C$1800,الريسبي!$A$2:$A$1800,$A9,الريسبي!$B$2:$B$1800,AT$1)</f>
        <v>0</v>
      </c>
      <c r="AU9" s="117" t="n">
        <f aca="false">SUMIFS(الريسبي!$C$2:$C$1800,الريسبي!$A$2:$A$1800,$A9,الريسبي!$B$2:$B$1800,AU$1)</f>
        <v>0</v>
      </c>
      <c r="AV9" s="117" t="n">
        <f aca="false">SUMIFS(الريسبي!$C$2:$C$1800,الريسبي!$A$2:$A$1800,$A9,الريسبي!$B$2:$B$1800,AV$1)</f>
        <v>0</v>
      </c>
      <c r="AW9" s="117" t="n">
        <f aca="false">SUMIFS(الريسبي!$C$2:$C$1800,الريسبي!$A$2:$A$1800,$A9,الريسبي!$B$2:$B$1800,AW$1)</f>
        <v>0</v>
      </c>
      <c r="AX9" s="117" t="n">
        <f aca="false">SUMIFS(الريسبي!$C$2:$C$1800,الريسبي!$A$2:$A$1800,$A9,الريسبي!$B$2:$B$1800,AX$1)</f>
        <v>0.06</v>
      </c>
      <c r="AY9" s="117" t="n">
        <f aca="false">SUMIFS(الريسبي!$C$2:$C$1800,الريسبي!$A$2:$A$1800,$A9,الريسبي!$B$2:$B$1800,AY$1)</f>
        <v>0</v>
      </c>
      <c r="AZ9" s="117" t="n">
        <f aca="false">SUMIFS(الريسبي!$C$2:$C$1800,الريسبي!$A$2:$A$1800,$A9,الريسبي!$B$2:$B$1800,AZ$1)</f>
        <v>0</v>
      </c>
      <c r="BA9" s="117" t="n">
        <f aca="false">SUMIFS(الريسبي!$C$2:$C$1800,الريسبي!$A$2:$A$1800,$A9,الريسبي!$B$2:$B$1800,BA$1)</f>
        <v>0</v>
      </c>
      <c r="BB9" s="117" t="n">
        <f aca="false">SUMIFS(الريسبي!$C$2:$C$1800,الريسبي!$A$2:$A$1800,$A9,الريسبي!$B$2:$B$1800,BB$1)</f>
        <v>0</v>
      </c>
      <c r="BC9" s="117" t="n">
        <f aca="false">SUMIFS(الريسبي!$C$2:$C$1800,الريسبي!$A$2:$A$1800,$A9,الريسبي!$B$2:$B$1800,BC$1)</f>
        <v>0.045</v>
      </c>
      <c r="BD9" s="117" t="n">
        <f aca="false">SUMIFS(الريسبي!$C$2:$C$1800,الريسبي!$A$2:$A$1800,$A9,الريسبي!$B$2:$B$1800,BD$1)</f>
        <v>0.3</v>
      </c>
      <c r="BE9" s="117" t="n">
        <f aca="false">SUMIFS(الريسبي!$C$2:$C$1800,الريسبي!$A$2:$A$1800,$A9,الريسبي!$B$2:$B$1800,BE$1)</f>
        <v>0</v>
      </c>
      <c r="BF9" s="117" t="n">
        <f aca="false">SUMIFS(الريسبي!$C$2:$C$1800,الريسبي!$A$2:$A$1800,$A9,الريسبي!$B$2:$B$1800,BF$1)</f>
        <v>0</v>
      </c>
      <c r="BG9" s="117" t="n">
        <f aca="false">SUMIFS(الريسبي!$C$2:$C$1800,الريسبي!$A$2:$A$1800,$A9,الريسبي!$B$2:$B$1800,BG$1)</f>
        <v>1</v>
      </c>
      <c r="BH9" s="117" t="n">
        <f aca="false">SUMIFS(الريسبي!$C$2:$C$1800,الريسبي!$A$2:$A$1800,$A9,الريسبي!$B$2:$B$1800,BH$1)</f>
        <v>0</v>
      </c>
      <c r="BI9" s="117" t="n">
        <f aca="false">SUMIFS(الريسبي!$C$2:$C$1800,الريسبي!$A$2:$A$1800,$A9,الريسبي!$B$2:$B$1800,BI$1)</f>
        <v>0</v>
      </c>
      <c r="BJ9" s="117" t="n">
        <f aca="false">SUMIFS(الريسبي!$C$2:$C$1800,الريسبي!$A$2:$A$1800,$A9,الريسبي!$B$2:$B$1800,BJ$1)</f>
        <v>0</v>
      </c>
      <c r="BK9" s="117" t="n">
        <f aca="false">SUMIFS(الريسبي!$C$2:$C$1800,الريسبي!$A$2:$A$1800,$A9,الريسبي!$B$2:$B$1800,BK$1)</f>
        <v>0</v>
      </c>
      <c r="BL9" s="117" t="n">
        <f aca="false">SUMIFS(الريسبي!$C$2:$C$1800,الريسبي!$A$2:$A$1800,$A9,الريسبي!$B$2:$B$1800,BL$1)</f>
        <v>0</v>
      </c>
      <c r="BM9" s="117" t="n">
        <f aca="false">SUMIFS(الريسبي!$C$2:$C$1800,الريسبي!$A$2:$A$1800,$A9,الريسبي!$B$2:$B$1800,BM$1)</f>
        <v>0</v>
      </c>
      <c r="BN9" s="117" t="n">
        <f aca="false">SUMIFS(الريسبي!$C$2:$C$1800,الريسبي!$A$2:$A$1800,$A9,الريسبي!$B$2:$B$1800,BN$1)</f>
        <v>0.03</v>
      </c>
      <c r="BO9" s="117" t="n">
        <f aca="false">SUMIFS(الريسبي!$C$2:$C$1800,الريسبي!$A$2:$A$1800,$A9,الريسبي!$B$2:$B$1800,BO$1)</f>
        <v>0</v>
      </c>
      <c r="BP9" s="117" t="n">
        <f aca="false">SUMIFS(الريسبي!$C$2:$C$1800,الريسبي!$A$2:$A$1800,$A9,الريسبي!$B$2:$B$1800,BP$1)</f>
        <v>3</v>
      </c>
      <c r="BQ9" s="117" t="n">
        <f aca="false">SUMIFS(الريسبي!$C$2:$C$1800,الريسبي!$A$2:$A$1800,$A9,الريسبي!$B$2:$B$1800,BQ$1)+0.17*SUMIFS(الريسبي!$C$2:$C$1800,الريسبي!$A$2:$A$1800,$A9,الريسبي!$B$2:$B$1800,"كاسترد مصنع (خليط بودر + لبن)")+0.17*SUMIFS(الريسبي!$C$2:$C$1800,الريسبي!$A$2:$A$1800,$A9,الريسبي!$B$2:$B$1800,"كاسترد مصنع صيامي (بدون لبن)")</f>
        <v>0</v>
      </c>
      <c r="BR9" s="117" t="n">
        <f aca="false">SUMIFS(الريسبي!$C$2:$C$1800,الريسبي!$A$2:$A$1800,$A9,الريسبي!$B$2:$B$1800,BR$1)</f>
        <v>1</v>
      </c>
      <c r="BS9" s="117" t="n">
        <f aca="false">SUMIFS(الريسبي!$C$2:$C$1800,الريسبي!$A$2:$A$1800,$A9,الريسبي!$B$2:$B$1800,BS$1)</f>
        <v>0</v>
      </c>
      <c r="BT9" s="117" t="n">
        <f aca="false">SUMIFS(الريسبي!$C$2:$C$1800,الريسبي!$A$2:$A$1800,$A9,الريسبي!$B$2:$B$1800,BT$1)</f>
        <v>0</v>
      </c>
      <c r="BU9" s="117" t="n">
        <f aca="false">SUMIFS(الريسبي!$C$2:$C$1800,الريسبي!$A$2:$A$1800,$A9,الريسبي!$B$2:$B$1800,BU$1)+0.4*SUMIFS(الريسبي!$C$2:$C$1800,الريسبي!$A$2:$A$1800,$A9,الريسبي!$B$2:$B$1800,"كاسترد مصنع (خليط بودر + لبن)")+0.03333333333*SUMIFS(الريسبي!$C$2:$C$1800,الريسبي!$A$2:$A$1800,$A9,الريسبي!$B$2:$B$1800,"عجين كريب (مصنع بالمطعم)")</f>
        <v>0</v>
      </c>
      <c r="BV9" s="117" t="n">
        <f aca="false">SUMIFS(الريسبي!$C$2:$C$1800,الريسبي!$A$2:$A$1800,$A9,الريسبي!$B$2:$B$1800,BV$1)</f>
        <v>0</v>
      </c>
      <c r="BW9" s="117" t="n">
        <f aca="false">SUMIFS(الريسبي!$C$2:$C$1800,الريسبي!$A$2:$A$1800,$A9,الريسبي!$B$2:$B$1800,BW$1)</f>
        <v>0</v>
      </c>
      <c r="BX9" s="117" t="n">
        <f aca="false">SUMIFS(الريسبي!$C$2:$C$1800,الريسبي!$A$2:$A$1800,$A9,الريسبي!$B$2:$B$1800,BX$1)</f>
        <v>0</v>
      </c>
      <c r="BY9" s="117" t="n">
        <f aca="false">SUMIFS(الريسبي!$C$2:$C$1800,الريسبي!$A$2:$A$1800,$A9,الريسبي!$B$2:$B$1800,BY$1)</f>
        <v>0</v>
      </c>
      <c r="BZ9" s="117" t="n">
        <f aca="false">SUMIFS(الريسبي!$C$2:$C$1800,الريسبي!$A$2:$A$1800,$A9,الريسبي!$B$2:$B$1800,BZ$1)</f>
        <v>0</v>
      </c>
      <c r="CA9" s="117" t="n">
        <f aca="false">SUMIFS(الريسبي!$C$2:$C$1800,الريسبي!$A$2:$A$1800,$A9,الريسبي!$B$2:$B$1800,CA$1)</f>
        <v>1</v>
      </c>
      <c r="CB9" s="117" t="n">
        <f aca="false">SUMIFS(الريسبي!$C$2:$C$1800,الريسبي!$A$2:$A$1800,$A9,الريسبي!$B$2:$B$1800,CB$1)</f>
        <v>1</v>
      </c>
      <c r="CC9" s="117" t="n">
        <f aca="false">SUMIFS(الريسبي!$C$2:$C$1800,الريسبي!$A$2:$A$1800,$A9,الريسبي!$B$2:$B$1800,CC$1)</f>
        <v>0</v>
      </c>
      <c r="CD9" s="117" t="n">
        <f aca="false">SUMIFS(الريسبي!$C$2:$C$1800,الريسبي!$A$2:$A$1800,$A9,الريسبي!$B$2:$B$1800,CD$1)</f>
        <v>0</v>
      </c>
      <c r="CE9" s="117" t="n">
        <f aca="false">SUMIFS(الريسبي!$C$2:$C$1800,الريسبي!$A$2:$A$1800,$A9,الريسبي!$B$2:$B$1800,CE$1)</f>
        <v>0</v>
      </c>
      <c r="CF9" s="117" t="n">
        <f aca="false">SUMIFS(الريسبي!$C$2:$C$1800,الريسبي!$A$2:$A$1800,$A9,الريسبي!$B$2:$B$1800,CF$1)</f>
        <v>0</v>
      </c>
      <c r="CG9" s="117" t="n">
        <f aca="false">SUMIFS(الريسبي!$C$2:$C$1800,الريسبي!$A$2:$A$1800,$A9,الريسبي!$B$2:$B$1800,CG$1)</f>
        <v>0</v>
      </c>
      <c r="CH9" s="117" t="n">
        <f aca="false">SUMIFS(الريسبي!$C$2:$C$1800,الريسبي!$A$2:$A$1800,$A9,الريسبي!$B$2:$B$1800,CH$1)</f>
        <v>0</v>
      </c>
      <c r="CI9" s="117" t="n">
        <f aca="false">SUMIFS(الريسبي!$C$2:$C$1800,الريسبي!$A$2:$A$1800,$A9,الريسبي!$B$2:$B$1800,CI$1)</f>
        <v>0</v>
      </c>
      <c r="CJ9" s="117" t="n">
        <f aca="false">SUMIFS(الريسبي!$C$2:$C$1800,الريسبي!$A$2:$A$1800,$A9,الريسبي!$B$2:$B$1800,CJ$1)</f>
        <v>0</v>
      </c>
      <c r="CK9" s="117" t="n">
        <f aca="false">SUMIFS(الريسبي!$C$2:$C$1800,الريسبي!$A$2:$A$1800,$A9,الريسبي!$B$2:$B$1800,CK$1)</f>
        <v>0</v>
      </c>
      <c r="CL9" s="117" t="n">
        <f aca="false">SUMIFS(الريسبي!$C$2:$C$1800,الريسبي!$A$2:$A$1800,$A9,الريسبي!$B$2:$B$1800,CL$1)</f>
        <v>0</v>
      </c>
    </row>
    <row r="10" customFormat="false" ht="15" hidden="false" customHeight="false" outlineLevel="0" collapsed="false">
      <c r="A10" s="116" t="str">
        <f aca="false">المنيو!B10</f>
        <v>بيتزا مشكل جبن وسط</v>
      </c>
      <c r="B10" s="117" t="n">
        <f aca="false">SUMIFS(الريسبي!$C$2:$C$1800,الريسبي!$A$2:$A$1800,$A10,الريسبي!$B$2:$B$1800,B$1)</f>
        <v>0</v>
      </c>
      <c r="C10" s="117" t="n">
        <f aca="false">SUMIFS(الريسبي!$C$2:$C$1800,الريسبي!$A$2:$A$1800,$A10,الريسبي!$B$2:$B$1800,C$1)</f>
        <v>0</v>
      </c>
      <c r="D10" s="117" t="n">
        <f aca="false">SUMIFS(الريسبي!$C$2:$C$1800,الريسبي!$A$2:$A$1800,$A10,الريسبي!$B$2:$B$1800,D$1)</f>
        <v>1</v>
      </c>
      <c r="E10" s="117" t="n">
        <f aca="false">SUMIFS(الريسبي!$C$2:$C$1800,الريسبي!$A$2:$A$1800,$A10,الريسبي!$B$2:$B$1800,E$1)</f>
        <v>0</v>
      </c>
      <c r="F10" s="117" t="n">
        <f aca="false">SUMIFS(الريسبي!$C$2:$C$1800,الريسبي!$A$2:$A$1800,$A10,الريسبي!$B$2:$B$1800,F$1)</f>
        <v>0</v>
      </c>
      <c r="G10" s="117" t="n">
        <f aca="false">SUMIFS(الريسبي!$C$2:$C$1800,الريسبي!$A$2:$A$1800,$A10,الريسبي!$B$2:$B$1800,G$1)</f>
        <v>0</v>
      </c>
      <c r="H10" s="117" t="n">
        <f aca="false">SUMIFS(الريسبي!$C$2:$C$1800,الريسبي!$A$2:$A$1800,$A10,الريسبي!$B$2:$B$1800,H$1)</f>
        <v>0</v>
      </c>
      <c r="I10" s="117" t="n">
        <f aca="false">SUMIFS(الريسبي!$C$2:$C$1800,الريسبي!$A$2:$A$1800,$A10,الريسبي!$B$2:$B$1800,I$1)</f>
        <v>0</v>
      </c>
      <c r="J10" s="117" t="n">
        <f aca="false">SUMIFS(الريسبي!$C$2:$C$1800,الريسبي!$A$2:$A$1800,$A10,الريسبي!$B$2:$B$1800,J$1)</f>
        <v>1</v>
      </c>
      <c r="K10" s="117" t="n">
        <f aca="false">SUMIFS(الريسبي!$C$2:$C$1800,الريسبي!$A$2:$A$1800,$A10,الريسبي!$B$2:$B$1800,K$1)</f>
        <v>0</v>
      </c>
      <c r="L10" s="117" t="n">
        <f aca="false">SUMIFS(الريسبي!$C$2:$C$1800,الريسبي!$A$2:$A$1800,$A10,الريسبي!$B$2:$B$1800,L$1)</f>
        <v>0</v>
      </c>
      <c r="M10" s="117" t="n">
        <f aca="false">SUMIFS(الريسبي!$C$2:$C$1800,الريسبي!$A$2:$A$1800,$A10,الريسبي!$B$2:$B$1800,M$1)</f>
        <v>0</v>
      </c>
      <c r="N10" s="117" t="n">
        <f aca="false">SUMIFS(الريسبي!$C$2:$C$1800,الريسبي!$A$2:$A$1800,$A10,الريسبي!$B$2:$B$1800,N$1)</f>
        <v>0</v>
      </c>
      <c r="O10" s="117" t="n">
        <f aca="false">SUMIFS(الريسبي!$C$2:$C$1800,الريسبي!$A$2:$A$1800,$A10,الريسبي!$B$2:$B$1800,O$1)</f>
        <v>0</v>
      </c>
      <c r="P10" s="117" t="n">
        <f aca="false">SUMIFS(الريسبي!$C$2:$C$1800,الريسبي!$A$2:$A$1800,$A10,الريسبي!$B$2:$B$1800,P$1)</f>
        <v>0</v>
      </c>
      <c r="Q10" s="117" t="n">
        <f aca="false">SUMIFS(الريسبي!$C$2:$C$1800,الريسبي!$A$2:$A$1800,$A10,الريسبي!$B$2:$B$1800,Q$1)</f>
        <v>0</v>
      </c>
      <c r="R10" s="117" t="n">
        <f aca="false">SUMIFS(الريسبي!$C$2:$C$1800,الريسبي!$A$2:$A$1800,$A10,الريسبي!$B$2:$B$1800,R$1)</f>
        <v>0</v>
      </c>
      <c r="S10" s="117" t="n">
        <f aca="false">SUMIFS(الريسبي!$C$2:$C$1800,الريسبي!$A$2:$A$1800,$A10,الريسبي!$B$2:$B$1800,S$1)</f>
        <v>0</v>
      </c>
      <c r="T10" s="117" t="n">
        <f aca="false">SUMIFS(الريسبي!$C$2:$C$1800,الريسبي!$A$2:$A$1800,$A10,الريسبي!$B$2:$B$1800,T$1)</f>
        <v>0</v>
      </c>
      <c r="U10" s="117" t="n">
        <f aca="false">SUMIFS(الريسبي!$C$2:$C$1800,الريسبي!$A$2:$A$1800,$A10,الريسبي!$B$2:$B$1800,U$1)</f>
        <v>0</v>
      </c>
      <c r="V10" s="117" t="n">
        <f aca="false">SUMIFS(الريسبي!$C$2:$C$1800,الريسبي!$A$2:$A$1800,$A10,الريسبي!$B$2:$B$1800,V$1)+1.5*(SUMIFS(الريسبي!$C$2:$C$1800,الريسبي!$A$2:$A$1800,$A10,الريسبي!$B$2:$B$1800,"برسيون موتزريلا بيتزا كبير"))</f>
        <v>1</v>
      </c>
      <c r="W10" s="117" t="n">
        <f aca="false">0</f>
        <v>0</v>
      </c>
      <c r="X10" s="117" t="n">
        <f aca="false">SUMIFS(الريسبي!$C$2:$C$1800,الريسبي!$A$2:$A$1800,$A10,الريسبي!$B$2:$B$1800,X$1)+1.5*(SUMIFS(الريسبي!$C$2:$C$1800,الريسبي!$A$2:$A$1800,$A10,الريسبي!$B$2:$B$1800,"برسيون موتزريلا فطير كبير"))</f>
        <v>0</v>
      </c>
      <c r="Y10" s="117" t="n">
        <f aca="false">0</f>
        <v>0</v>
      </c>
      <c r="Z10" s="117" t="n">
        <f aca="false">SUMIFS(الريسبي!$C$2:$C$1800,الريسبي!$A$2:$A$1800,$A10,الريسبي!$B$2:$B$1800,Z$1)</f>
        <v>0</v>
      </c>
      <c r="AA10" s="117" t="n">
        <f aca="false">SUMIFS(الريسبي!$C$2:$C$1800,الريسبي!$A$2:$A$1800,$A10,الريسبي!$B$2:$B$1800,AA$1)</f>
        <v>0</v>
      </c>
      <c r="AB10" s="117" t="n">
        <f aca="false">SUMIFS(الريسبي!$C$2:$C$1800,الريسبي!$A$2:$A$1800,$A10,الريسبي!$B$2:$B$1800,AB$1)</f>
        <v>0</v>
      </c>
      <c r="AC10" s="117" t="n">
        <f aca="false">SUMIFS(الريسبي!$C$2:$C$1800,الريسبي!$A$2:$A$1800,$A10,الريسبي!$B$2:$B$1800,AC$1)</f>
        <v>0</v>
      </c>
      <c r="AD10" s="117" t="n">
        <f aca="false">SUMIFS(الريسبي!$C$2:$C$1800,الريسبي!$A$2:$A$1800,$A10,الريسبي!$B$2:$B$1800,AD$1)</f>
        <v>0</v>
      </c>
      <c r="AE10" s="117" t="n">
        <f aca="false">SUMIFS(الريسبي!$C$2:$C$1800,الريسبي!$A$2:$A$1800,$A10,الريسبي!$B$2:$B$1800,AE$1)</f>
        <v>0</v>
      </c>
      <c r="AF10" s="117" t="n">
        <f aca="false">SUMIFS(الريسبي!$C$2:$C$1800,الريسبي!$A$2:$A$1800,$A10,الريسبي!$B$2:$B$1800,AF$1)</f>
        <v>0</v>
      </c>
      <c r="AG10" s="117" t="n">
        <f aca="false">SUMIFS(الريسبي!$C$2:$C$1800,الريسبي!$A$2:$A$1800,$A10,الريسبي!$B$2:$B$1800,AG$1)</f>
        <v>0</v>
      </c>
      <c r="AH10" s="117" t="n">
        <f aca="false">SUMIFS(الريسبي!$C$2:$C$1800,الريسبي!$A$2:$A$1800,$A10,الريسبي!$B$2:$B$1800,AH$1)</f>
        <v>0</v>
      </c>
      <c r="AI10" s="117" t="n">
        <f aca="false">SUMIFS(الريسبي!$C$2:$C$1800,الريسبي!$A$2:$A$1800,$A10,الريسبي!$B$2:$B$1800,AI$1)</f>
        <v>0</v>
      </c>
      <c r="AJ10" s="117" t="n">
        <f aca="false">SUMIFS(الريسبي!$C$2:$C$1800,الريسبي!$A$2:$A$1800,$A10,الريسبي!$B$2:$B$1800,AJ$1)</f>
        <v>2</v>
      </c>
      <c r="AK10" s="117" t="n">
        <f aca="false">SUMIFS(الريسبي!$C$2:$C$1800,الريسبي!$A$2:$A$1800,$A10,الريسبي!$B$2:$B$1800,AK$1)</f>
        <v>0</v>
      </c>
      <c r="AL10" s="117" t="n">
        <f aca="false">SUMIFS(الريسبي!$C$2:$C$1800,الريسبي!$A$2:$A$1800,$A10,الريسبي!$B$2:$B$1800,AL$1)</f>
        <v>0</v>
      </c>
      <c r="AM10" s="117" t="n">
        <f aca="false">SUMIFS(الريسبي!$C$2:$C$1800,الريسبي!$A$2:$A$1800,$A10,الريسبي!$B$2:$B$1800,AM$1)+0.08333333333*SUMIFS(الريسبي!$C$2:$C$1800,الريسبي!$A$2:$A$1800,$A10,الريسبي!$B$2:$B$1800,"عجين كريب (مصنع بالمطعم)")+0.08333333333*SUMIFS(الريسبي!$C$2:$C$1800,الريسبي!$A$2:$A$1800,$A10,الريسبي!$B$2:$B$1800,"عجين كريب صيامي (بدون لبن)")</f>
        <v>0</v>
      </c>
      <c r="AN10" s="117" t="n">
        <f aca="false">SUMIFS(الريسبي!$C$2:$C$1800,الريسبي!$A$2:$A$1800,$A10,الريسبي!$B$2:$B$1800,AN$1)+0.004166666667*SUMIFS(الريسبي!$C$2:$C$1800,الريسبي!$A$2:$A$1800,$A10,الريسبي!$B$2:$B$1800,"عجين كريب (مصنع بالمطعم)")+0.004166666667*SUMIFS(الريسبي!$C$2:$C$1800,الريسبي!$A$2:$A$1800,$A10,الريسبي!$B$2:$B$1800,"عجين كريب صيامي (بدون لبن)")</f>
        <v>0</v>
      </c>
      <c r="AO10" s="117" t="n">
        <f aca="false">SUMIFS(الريسبي!$C$2:$C$1800,الريسبي!$A$2:$A$1800,$A10,الريسبي!$B$2:$B$1800,AO$1)</f>
        <v>0</v>
      </c>
      <c r="AP10" s="117" t="n">
        <f aca="false">SUMIFS(الريسبي!$C$2:$C$1800,الريسبي!$A$2:$A$1800,$A10,الريسبي!$B$2:$B$1800,AP$1)</f>
        <v>0.02</v>
      </c>
      <c r="AQ10" s="117" t="n">
        <f aca="false">SUMIFS(الريسبي!$C$2:$C$1800,الريسبي!$A$2:$A$1800,$A10,الريسبي!$B$2:$B$1800,AQ$1)+0.004166666667*SUMIFS(الريسبي!$C$2:$C$1800,الريسبي!$A$2:$A$1800,$A10,الريسبي!$B$2:$B$1800,"عجين كريب (مصنع بالمطعم)")+0.004166666667*SUMIFS(الريسبي!$C$2:$C$1800,الريسبي!$A$2:$A$1800,$A10,الريسبي!$B$2:$B$1800,"عجين كريب صيامي (بدون لبن)")</f>
        <v>0</v>
      </c>
      <c r="AR10" s="117" t="n">
        <f aca="false">SUMIFS(الريسبي!$C$2:$C$1800,الريسبي!$A$2:$A$1800,$A10,الريسبي!$B$2:$B$1800,AR$1)</f>
        <v>0</v>
      </c>
      <c r="AS10" s="117" t="n">
        <f aca="false">SUMIFS(الريسبي!$C$2:$C$1800,الريسبي!$A$2:$A$1800,$A10,الريسبي!$B$2:$B$1800,AS$1)</f>
        <v>0</v>
      </c>
      <c r="AT10" s="117" t="n">
        <f aca="false">SUMIFS(الريسبي!$C$2:$C$1800,الريسبي!$A$2:$A$1800,$A10,الريسبي!$B$2:$B$1800,AT$1)</f>
        <v>0</v>
      </c>
      <c r="AU10" s="117" t="n">
        <f aca="false">SUMIFS(الريسبي!$C$2:$C$1800,الريسبي!$A$2:$A$1800,$A10,الريسبي!$B$2:$B$1800,AU$1)</f>
        <v>0</v>
      </c>
      <c r="AV10" s="117" t="n">
        <f aca="false">SUMIFS(الريسبي!$C$2:$C$1800,الريسبي!$A$2:$A$1800,$A10,الريسبي!$B$2:$B$1800,AV$1)</f>
        <v>0</v>
      </c>
      <c r="AW10" s="117" t="n">
        <f aca="false">SUMIFS(الريسبي!$C$2:$C$1800,الريسبي!$A$2:$A$1800,$A10,الريسبي!$B$2:$B$1800,AW$1)</f>
        <v>0</v>
      </c>
      <c r="AX10" s="117" t="n">
        <f aca="false">SUMIFS(الريسبي!$C$2:$C$1800,الريسبي!$A$2:$A$1800,$A10,الريسبي!$B$2:$B$1800,AX$1)</f>
        <v>0.04</v>
      </c>
      <c r="AY10" s="117" t="n">
        <f aca="false">SUMIFS(الريسبي!$C$2:$C$1800,الريسبي!$A$2:$A$1800,$A10,الريسبي!$B$2:$B$1800,AY$1)</f>
        <v>0</v>
      </c>
      <c r="AZ10" s="117" t="n">
        <f aca="false">SUMIFS(الريسبي!$C$2:$C$1800,الريسبي!$A$2:$A$1800,$A10,الريسبي!$B$2:$B$1800,AZ$1)</f>
        <v>0</v>
      </c>
      <c r="BA10" s="117" t="n">
        <f aca="false">SUMIFS(الريسبي!$C$2:$C$1800,الريسبي!$A$2:$A$1800,$A10,الريسبي!$B$2:$B$1800,BA$1)</f>
        <v>0</v>
      </c>
      <c r="BB10" s="117" t="n">
        <f aca="false">SUMIFS(الريسبي!$C$2:$C$1800,الريسبي!$A$2:$A$1800,$A10,الريسبي!$B$2:$B$1800,BB$1)</f>
        <v>0.1</v>
      </c>
      <c r="BC10" s="117" t="n">
        <f aca="false">SUMIFS(الريسبي!$C$2:$C$1800,الريسبي!$A$2:$A$1800,$A10,الريسبي!$B$2:$B$1800,BC$1)</f>
        <v>0.03</v>
      </c>
      <c r="BD10" s="117" t="n">
        <f aca="false">SUMIFS(الريسبي!$C$2:$C$1800,الريسبي!$A$2:$A$1800,$A10,الريسبي!$B$2:$B$1800,BD$1)</f>
        <v>0.22</v>
      </c>
      <c r="BE10" s="117" t="n">
        <f aca="false">SUMIFS(الريسبي!$C$2:$C$1800,الريسبي!$A$2:$A$1800,$A10,الريسبي!$B$2:$B$1800,BE$1)</f>
        <v>0</v>
      </c>
      <c r="BF10" s="117" t="n">
        <f aca="false">SUMIFS(الريسبي!$C$2:$C$1800,الريسبي!$A$2:$A$1800,$A10,الريسبي!$B$2:$B$1800,BF$1)</f>
        <v>0</v>
      </c>
      <c r="BG10" s="117" t="n">
        <f aca="false">SUMIFS(الريسبي!$C$2:$C$1800,الريسبي!$A$2:$A$1800,$A10,الريسبي!$B$2:$B$1800,BG$1)</f>
        <v>0</v>
      </c>
      <c r="BH10" s="117" t="n">
        <f aca="false">SUMIFS(الريسبي!$C$2:$C$1800,الريسبي!$A$2:$A$1800,$A10,الريسبي!$B$2:$B$1800,BH$1)</f>
        <v>1</v>
      </c>
      <c r="BI10" s="117" t="n">
        <f aca="false">SUMIFS(الريسبي!$C$2:$C$1800,الريسبي!$A$2:$A$1800,$A10,الريسبي!$B$2:$B$1800,BI$1)</f>
        <v>0</v>
      </c>
      <c r="BJ10" s="117" t="n">
        <f aca="false">SUMIFS(الريسبي!$C$2:$C$1800,الريسبي!$A$2:$A$1800,$A10,الريسبي!$B$2:$B$1800,BJ$1)</f>
        <v>0</v>
      </c>
      <c r="BK10" s="117" t="n">
        <f aca="false">SUMIFS(الريسبي!$C$2:$C$1800,الريسبي!$A$2:$A$1800,$A10,الريسبي!$B$2:$B$1800,BK$1)</f>
        <v>0</v>
      </c>
      <c r="BL10" s="117" t="n">
        <f aca="false">SUMIFS(الريسبي!$C$2:$C$1800,الريسبي!$A$2:$A$1800,$A10,الريسبي!$B$2:$B$1800,BL$1)</f>
        <v>0</v>
      </c>
      <c r="BM10" s="117" t="n">
        <f aca="false">SUMIFS(الريسبي!$C$2:$C$1800,الريسبي!$A$2:$A$1800,$A10,الريسبي!$B$2:$B$1800,BM$1)</f>
        <v>0</v>
      </c>
      <c r="BN10" s="117" t="n">
        <f aca="false">SUMIFS(الريسبي!$C$2:$C$1800,الريسبي!$A$2:$A$1800,$A10,الريسبي!$B$2:$B$1800,BN$1)</f>
        <v>0.02</v>
      </c>
      <c r="BO10" s="117" t="n">
        <f aca="false">SUMIFS(الريسبي!$C$2:$C$1800,الريسبي!$A$2:$A$1800,$A10,الريسبي!$B$2:$B$1800,BO$1)</f>
        <v>2</v>
      </c>
      <c r="BP10" s="117" t="n">
        <f aca="false">SUMIFS(الريسبي!$C$2:$C$1800,الريسبي!$A$2:$A$1800,$A10,الريسبي!$B$2:$B$1800,BP$1)</f>
        <v>2</v>
      </c>
      <c r="BQ10" s="117" t="n">
        <f aca="false">SUMIFS(الريسبي!$C$2:$C$1800,الريسبي!$A$2:$A$1800,$A10,الريسبي!$B$2:$B$1800,BQ$1)+0.17*SUMIFS(الريسبي!$C$2:$C$1800,الريسبي!$A$2:$A$1800,$A10,الريسبي!$B$2:$B$1800,"كاسترد مصنع (خليط بودر + لبن)")+0.17*SUMIFS(الريسبي!$C$2:$C$1800,الريسبي!$A$2:$A$1800,$A10,الريسبي!$B$2:$B$1800,"كاسترد مصنع صيامي (بدون لبن)")</f>
        <v>0</v>
      </c>
      <c r="BR10" s="117" t="n">
        <f aca="false">SUMIFS(الريسبي!$C$2:$C$1800,الريسبي!$A$2:$A$1800,$A10,الريسبي!$B$2:$B$1800,BR$1)</f>
        <v>1</v>
      </c>
      <c r="BS10" s="117" t="n">
        <f aca="false">SUMIFS(الريسبي!$C$2:$C$1800,الريسبي!$A$2:$A$1800,$A10,الريسبي!$B$2:$B$1800,BS$1)</f>
        <v>0</v>
      </c>
      <c r="BT10" s="117" t="n">
        <f aca="false">SUMIFS(الريسبي!$C$2:$C$1800,الريسبي!$A$2:$A$1800,$A10,الريسبي!$B$2:$B$1800,BT$1)</f>
        <v>0</v>
      </c>
      <c r="BU10" s="117" t="n">
        <f aca="false">SUMIFS(الريسبي!$C$2:$C$1800,الريسبي!$A$2:$A$1800,$A10,الريسبي!$B$2:$B$1800,BU$1)+0.4*SUMIFS(الريسبي!$C$2:$C$1800,الريسبي!$A$2:$A$1800,$A10,الريسبي!$B$2:$B$1800,"كاسترد مصنع (خليط بودر + لبن)")+0.03333333333*SUMIFS(الريسبي!$C$2:$C$1800,الريسبي!$A$2:$A$1800,$A10,الريسبي!$B$2:$B$1800,"عجين كريب (مصنع بالمطعم)")</f>
        <v>0</v>
      </c>
      <c r="BV10" s="117" t="n">
        <f aca="false">SUMIFS(الريسبي!$C$2:$C$1800,الريسبي!$A$2:$A$1800,$A10,الريسبي!$B$2:$B$1800,BV$1)</f>
        <v>0</v>
      </c>
      <c r="BW10" s="117" t="n">
        <f aca="false">SUMIFS(الريسبي!$C$2:$C$1800,الريسبي!$A$2:$A$1800,$A10,الريسبي!$B$2:$B$1800,BW$1)</f>
        <v>0</v>
      </c>
      <c r="BX10" s="117" t="n">
        <f aca="false">SUMIFS(الريسبي!$C$2:$C$1800,الريسبي!$A$2:$A$1800,$A10,الريسبي!$B$2:$B$1800,BX$1)</f>
        <v>0</v>
      </c>
      <c r="BY10" s="117" t="n">
        <f aca="false">SUMIFS(الريسبي!$C$2:$C$1800,الريسبي!$A$2:$A$1800,$A10,الريسبي!$B$2:$B$1800,BY$1)</f>
        <v>0</v>
      </c>
      <c r="BZ10" s="117" t="n">
        <f aca="false">SUMIFS(الريسبي!$C$2:$C$1800,الريسبي!$A$2:$A$1800,$A10,الريسبي!$B$2:$B$1800,BZ$1)</f>
        <v>0</v>
      </c>
      <c r="CA10" s="117" t="n">
        <f aca="false">SUMIFS(الريسبي!$C$2:$C$1800,الريسبي!$A$2:$A$1800,$A10,الريسبي!$B$2:$B$1800,CA$1)</f>
        <v>1</v>
      </c>
      <c r="CB10" s="117" t="n">
        <f aca="false">SUMIFS(الريسبي!$C$2:$C$1800,الريسبي!$A$2:$A$1800,$A10,الريسبي!$B$2:$B$1800,CB$1)</f>
        <v>1</v>
      </c>
      <c r="CC10" s="117" t="n">
        <f aca="false">SUMIFS(الريسبي!$C$2:$C$1800,الريسبي!$A$2:$A$1800,$A10,الريسبي!$B$2:$B$1800,CC$1)</f>
        <v>0</v>
      </c>
      <c r="CD10" s="117" t="n">
        <f aca="false">SUMIFS(الريسبي!$C$2:$C$1800,الريسبي!$A$2:$A$1800,$A10,الريسبي!$B$2:$B$1800,CD$1)</f>
        <v>0</v>
      </c>
      <c r="CE10" s="117" t="n">
        <f aca="false">SUMIFS(الريسبي!$C$2:$C$1800,الريسبي!$A$2:$A$1800,$A10,الريسبي!$B$2:$B$1800,CE$1)</f>
        <v>0</v>
      </c>
      <c r="CF10" s="117" t="n">
        <f aca="false">SUMIFS(الريسبي!$C$2:$C$1800,الريسبي!$A$2:$A$1800,$A10,الريسبي!$B$2:$B$1800,CF$1)</f>
        <v>0</v>
      </c>
      <c r="CG10" s="117" t="n">
        <f aca="false">SUMIFS(الريسبي!$C$2:$C$1800,الريسبي!$A$2:$A$1800,$A10,الريسبي!$B$2:$B$1800,CG$1)</f>
        <v>0</v>
      </c>
      <c r="CH10" s="117" t="n">
        <f aca="false">SUMIFS(الريسبي!$C$2:$C$1800,الريسبي!$A$2:$A$1800,$A10,الريسبي!$B$2:$B$1800,CH$1)</f>
        <v>0</v>
      </c>
      <c r="CI10" s="117" t="n">
        <f aca="false">SUMIFS(الريسبي!$C$2:$C$1800,الريسبي!$A$2:$A$1800,$A10,الريسبي!$B$2:$B$1800,CI$1)</f>
        <v>0</v>
      </c>
      <c r="CJ10" s="117" t="n">
        <f aca="false">SUMIFS(الريسبي!$C$2:$C$1800,الريسبي!$A$2:$A$1800,$A10,الريسبي!$B$2:$B$1800,CJ$1)</f>
        <v>0</v>
      </c>
      <c r="CK10" s="117" t="n">
        <f aca="false">SUMIFS(الريسبي!$C$2:$C$1800,الريسبي!$A$2:$A$1800,$A10,الريسبي!$B$2:$B$1800,CK$1)</f>
        <v>0</v>
      </c>
      <c r="CL10" s="117" t="n">
        <f aca="false">SUMIFS(الريسبي!$C$2:$C$1800,الريسبي!$A$2:$A$1800,$A10,الريسبي!$B$2:$B$1800,CL$1)</f>
        <v>0</v>
      </c>
    </row>
    <row r="11" customFormat="false" ht="15" hidden="false" customHeight="false" outlineLevel="0" collapsed="false">
      <c r="A11" s="116" t="str">
        <f aca="false">المنيو!B11</f>
        <v>بيتزا مشكل جبن حجم اكبر</v>
      </c>
      <c r="B11" s="117" t="n">
        <f aca="false">SUMIFS(الريسبي!$C$2:$C$1800,الريسبي!$A$2:$A$1800,$A11,الريسبي!$B$2:$B$1800,B$1)</f>
        <v>0</v>
      </c>
      <c r="C11" s="117" t="n">
        <f aca="false">SUMIFS(الريسبي!$C$2:$C$1800,الريسبي!$A$2:$A$1800,$A11,الريسبي!$B$2:$B$1800,C$1)</f>
        <v>0</v>
      </c>
      <c r="D11" s="117" t="n">
        <f aca="false">SUMIFS(الريسبي!$C$2:$C$1800,الريسبي!$A$2:$A$1800,$A11,الريسبي!$B$2:$B$1800,D$1)</f>
        <v>1</v>
      </c>
      <c r="E11" s="117" t="n">
        <f aca="false">SUMIFS(الريسبي!$C$2:$C$1800,الريسبي!$A$2:$A$1800,$A11,الريسبي!$B$2:$B$1800,E$1)</f>
        <v>0</v>
      </c>
      <c r="F11" s="117" t="n">
        <f aca="false">SUMIFS(الريسبي!$C$2:$C$1800,الريسبي!$A$2:$A$1800,$A11,الريسبي!$B$2:$B$1800,F$1)</f>
        <v>0</v>
      </c>
      <c r="G11" s="117" t="n">
        <f aca="false">SUMIFS(الريسبي!$C$2:$C$1800,الريسبي!$A$2:$A$1800,$A11,الريسبي!$B$2:$B$1800,G$1)</f>
        <v>0</v>
      </c>
      <c r="H11" s="117" t="n">
        <f aca="false">SUMIFS(الريسبي!$C$2:$C$1800,الريسبي!$A$2:$A$1800,$A11,الريسبي!$B$2:$B$1800,H$1)</f>
        <v>0</v>
      </c>
      <c r="I11" s="117" t="n">
        <f aca="false">SUMIFS(الريسبي!$C$2:$C$1800,الريسبي!$A$2:$A$1800,$A11,الريسبي!$B$2:$B$1800,I$1)</f>
        <v>0</v>
      </c>
      <c r="J11" s="117" t="n">
        <f aca="false">SUMIFS(الريسبي!$C$2:$C$1800,الريسبي!$A$2:$A$1800,$A11,الريسبي!$B$2:$B$1800,J$1)</f>
        <v>1.5</v>
      </c>
      <c r="K11" s="117" t="n">
        <f aca="false">SUMIFS(الريسبي!$C$2:$C$1800,الريسبي!$A$2:$A$1800,$A11,الريسبي!$B$2:$B$1800,K$1)</f>
        <v>0</v>
      </c>
      <c r="L11" s="117" t="n">
        <f aca="false">SUMIFS(الريسبي!$C$2:$C$1800,الريسبي!$A$2:$A$1800,$A11,الريسبي!$B$2:$B$1800,L$1)</f>
        <v>0</v>
      </c>
      <c r="M11" s="117" t="n">
        <f aca="false">SUMIFS(الريسبي!$C$2:$C$1800,الريسبي!$A$2:$A$1800,$A11,الريسبي!$B$2:$B$1800,M$1)</f>
        <v>0</v>
      </c>
      <c r="N11" s="117" t="n">
        <f aca="false">SUMIFS(الريسبي!$C$2:$C$1800,الريسبي!$A$2:$A$1800,$A11,الريسبي!$B$2:$B$1800,N$1)</f>
        <v>0</v>
      </c>
      <c r="O11" s="117" t="n">
        <f aca="false">SUMIFS(الريسبي!$C$2:$C$1800,الريسبي!$A$2:$A$1800,$A11,الريسبي!$B$2:$B$1800,O$1)</f>
        <v>0</v>
      </c>
      <c r="P11" s="117" t="n">
        <f aca="false">SUMIFS(الريسبي!$C$2:$C$1800,الريسبي!$A$2:$A$1800,$A11,الريسبي!$B$2:$B$1800,P$1)</f>
        <v>0</v>
      </c>
      <c r="Q11" s="117" t="n">
        <f aca="false">SUMIFS(الريسبي!$C$2:$C$1800,الريسبي!$A$2:$A$1800,$A11,الريسبي!$B$2:$B$1800,Q$1)</f>
        <v>0</v>
      </c>
      <c r="R11" s="117" t="n">
        <f aca="false">SUMIFS(الريسبي!$C$2:$C$1800,الريسبي!$A$2:$A$1800,$A11,الريسبي!$B$2:$B$1800,R$1)</f>
        <v>0</v>
      </c>
      <c r="S11" s="117" t="n">
        <f aca="false">SUMIFS(الريسبي!$C$2:$C$1800,الريسبي!$A$2:$A$1800,$A11,الريسبي!$B$2:$B$1800,S$1)</f>
        <v>0</v>
      </c>
      <c r="T11" s="117" t="n">
        <f aca="false">SUMIFS(الريسبي!$C$2:$C$1800,الريسبي!$A$2:$A$1800,$A11,الريسبي!$B$2:$B$1800,T$1)</f>
        <v>0</v>
      </c>
      <c r="U11" s="117" t="n">
        <f aca="false">SUMIFS(الريسبي!$C$2:$C$1800,الريسبي!$A$2:$A$1800,$A11,الريسبي!$B$2:$B$1800,U$1)</f>
        <v>0</v>
      </c>
      <c r="V11" s="117" t="n">
        <f aca="false">SUMIFS(الريسبي!$C$2:$C$1800,الريسبي!$A$2:$A$1800,$A11,الريسبي!$B$2:$B$1800,V$1)+1.5*(SUMIFS(الريسبي!$C$2:$C$1800,الريسبي!$A$2:$A$1800,$A11,الريسبي!$B$2:$B$1800,"برسيون موتزريلا بيتزا كبير"))</f>
        <v>1.5</v>
      </c>
      <c r="W11" s="117" t="n">
        <f aca="false">0</f>
        <v>0</v>
      </c>
      <c r="X11" s="117" t="n">
        <f aca="false">SUMIFS(الريسبي!$C$2:$C$1800,الريسبي!$A$2:$A$1800,$A11,الريسبي!$B$2:$B$1800,X$1)+1.5*(SUMIFS(الريسبي!$C$2:$C$1800,الريسبي!$A$2:$A$1800,$A11,الريسبي!$B$2:$B$1800,"برسيون موتزريلا فطير كبير"))</f>
        <v>0</v>
      </c>
      <c r="Y11" s="117" t="n">
        <f aca="false">0</f>
        <v>0</v>
      </c>
      <c r="Z11" s="117" t="n">
        <f aca="false">SUMIFS(الريسبي!$C$2:$C$1800,الريسبي!$A$2:$A$1800,$A11,الريسبي!$B$2:$B$1800,Z$1)</f>
        <v>0</v>
      </c>
      <c r="AA11" s="117" t="n">
        <f aca="false">SUMIFS(الريسبي!$C$2:$C$1800,الريسبي!$A$2:$A$1800,$A11,الريسبي!$B$2:$B$1800,AA$1)</f>
        <v>0</v>
      </c>
      <c r="AB11" s="117" t="n">
        <f aca="false">SUMIFS(الريسبي!$C$2:$C$1800,الريسبي!$A$2:$A$1800,$A11,الريسبي!$B$2:$B$1800,AB$1)</f>
        <v>0</v>
      </c>
      <c r="AC11" s="117" t="n">
        <f aca="false">SUMIFS(الريسبي!$C$2:$C$1800,الريسبي!$A$2:$A$1800,$A11,الريسبي!$B$2:$B$1800,AC$1)</f>
        <v>0</v>
      </c>
      <c r="AD11" s="117" t="n">
        <f aca="false">SUMIFS(الريسبي!$C$2:$C$1800,الريسبي!$A$2:$A$1800,$A11,الريسبي!$B$2:$B$1800,AD$1)</f>
        <v>0</v>
      </c>
      <c r="AE11" s="117" t="n">
        <f aca="false">SUMIFS(الريسبي!$C$2:$C$1800,الريسبي!$A$2:$A$1800,$A11,الريسبي!$B$2:$B$1800,AE$1)</f>
        <v>0</v>
      </c>
      <c r="AF11" s="117" t="n">
        <f aca="false">SUMIFS(الريسبي!$C$2:$C$1800,الريسبي!$A$2:$A$1800,$A11,الريسبي!$B$2:$B$1800,AF$1)</f>
        <v>0</v>
      </c>
      <c r="AG11" s="117" t="n">
        <f aca="false">SUMIFS(الريسبي!$C$2:$C$1800,الريسبي!$A$2:$A$1800,$A11,الريسبي!$B$2:$B$1800,AG$1)</f>
        <v>0</v>
      </c>
      <c r="AH11" s="117" t="n">
        <f aca="false">SUMIFS(الريسبي!$C$2:$C$1800,الريسبي!$A$2:$A$1800,$A11,الريسبي!$B$2:$B$1800,AH$1)</f>
        <v>0</v>
      </c>
      <c r="AI11" s="117" t="n">
        <f aca="false">SUMIFS(الريسبي!$C$2:$C$1800,الريسبي!$A$2:$A$1800,$A11,الريسبي!$B$2:$B$1800,AI$1)</f>
        <v>0</v>
      </c>
      <c r="AJ11" s="117" t="n">
        <f aca="false">SUMIFS(الريسبي!$C$2:$C$1800,الريسبي!$A$2:$A$1800,$A11,الريسبي!$B$2:$B$1800,AJ$1)</f>
        <v>2</v>
      </c>
      <c r="AK11" s="117" t="n">
        <f aca="false">SUMIFS(الريسبي!$C$2:$C$1800,الريسبي!$A$2:$A$1800,$A11,الريسبي!$B$2:$B$1800,AK$1)</f>
        <v>0</v>
      </c>
      <c r="AL11" s="117" t="n">
        <f aca="false">SUMIFS(الريسبي!$C$2:$C$1800,الريسبي!$A$2:$A$1800,$A11,الريسبي!$B$2:$B$1800,AL$1)</f>
        <v>0</v>
      </c>
      <c r="AM11" s="117" t="n">
        <f aca="false">SUMIFS(الريسبي!$C$2:$C$1800,الريسبي!$A$2:$A$1800,$A11,الريسبي!$B$2:$B$1800,AM$1)+0.08333333333*SUMIFS(الريسبي!$C$2:$C$1800,الريسبي!$A$2:$A$1800,$A11,الريسبي!$B$2:$B$1800,"عجين كريب (مصنع بالمطعم)")+0.08333333333*SUMIFS(الريسبي!$C$2:$C$1800,الريسبي!$A$2:$A$1800,$A11,الريسبي!$B$2:$B$1800,"عجين كريب صيامي (بدون لبن)")</f>
        <v>0</v>
      </c>
      <c r="AN11" s="117" t="n">
        <f aca="false">SUMIFS(الريسبي!$C$2:$C$1800,الريسبي!$A$2:$A$1800,$A11,الريسبي!$B$2:$B$1800,AN$1)+0.004166666667*SUMIFS(الريسبي!$C$2:$C$1800,الريسبي!$A$2:$A$1800,$A11,الريسبي!$B$2:$B$1800,"عجين كريب (مصنع بالمطعم)")+0.004166666667*SUMIFS(الريسبي!$C$2:$C$1800,الريسبي!$A$2:$A$1800,$A11,الريسبي!$B$2:$B$1800,"عجين كريب صيامي (بدون لبن)")</f>
        <v>0</v>
      </c>
      <c r="AO11" s="117" t="n">
        <f aca="false">SUMIFS(الريسبي!$C$2:$C$1800,الريسبي!$A$2:$A$1800,$A11,الريسبي!$B$2:$B$1800,AO$1)</f>
        <v>0</v>
      </c>
      <c r="AP11" s="117" t="n">
        <f aca="false">SUMIFS(الريسبي!$C$2:$C$1800,الريسبي!$A$2:$A$1800,$A11,الريسبي!$B$2:$B$1800,AP$1)</f>
        <v>0.03</v>
      </c>
      <c r="AQ11" s="117" t="n">
        <f aca="false">SUMIFS(الريسبي!$C$2:$C$1800,الريسبي!$A$2:$A$1800,$A11,الريسبي!$B$2:$B$1800,AQ$1)+0.004166666667*SUMIFS(الريسبي!$C$2:$C$1800,الريسبي!$A$2:$A$1800,$A11,الريسبي!$B$2:$B$1800,"عجين كريب (مصنع بالمطعم)")+0.004166666667*SUMIFS(الريسبي!$C$2:$C$1800,الريسبي!$A$2:$A$1800,$A11,الريسبي!$B$2:$B$1800,"عجين كريب صيامي (بدون لبن)")</f>
        <v>0</v>
      </c>
      <c r="AR11" s="117" t="n">
        <f aca="false">SUMIFS(الريسبي!$C$2:$C$1800,الريسبي!$A$2:$A$1800,$A11,الريسبي!$B$2:$B$1800,AR$1)</f>
        <v>0</v>
      </c>
      <c r="AS11" s="117" t="n">
        <f aca="false">SUMIFS(الريسبي!$C$2:$C$1800,الريسبي!$A$2:$A$1800,$A11,الريسبي!$B$2:$B$1800,AS$1)</f>
        <v>0</v>
      </c>
      <c r="AT11" s="117" t="n">
        <f aca="false">SUMIFS(الريسبي!$C$2:$C$1800,الريسبي!$A$2:$A$1800,$A11,الريسبي!$B$2:$B$1800,AT$1)</f>
        <v>0</v>
      </c>
      <c r="AU11" s="117" t="n">
        <f aca="false">SUMIFS(الريسبي!$C$2:$C$1800,الريسبي!$A$2:$A$1800,$A11,الريسبي!$B$2:$B$1800,AU$1)</f>
        <v>0</v>
      </c>
      <c r="AV11" s="117" t="n">
        <f aca="false">SUMIFS(الريسبي!$C$2:$C$1800,الريسبي!$A$2:$A$1800,$A11,الريسبي!$B$2:$B$1800,AV$1)</f>
        <v>0</v>
      </c>
      <c r="AW11" s="117" t="n">
        <f aca="false">SUMIFS(الريسبي!$C$2:$C$1800,الريسبي!$A$2:$A$1800,$A11,الريسبي!$B$2:$B$1800,AW$1)</f>
        <v>0</v>
      </c>
      <c r="AX11" s="117" t="n">
        <f aca="false">SUMIFS(الريسبي!$C$2:$C$1800,الريسبي!$A$2:$A$1800,$A11,الريسبي!$B$2:$B$1800,AX$1)</f>
        <v>0.06</v>
      </c>
      <c r="AY11" s="117" t="n">
        <f aca="false">SUMIFS(الريسبي!$C$2:$C$1800,الريسبي!$A$2:$A$1800,$A11,الريسبي!$B$2:$B$1800,AY$1)</f>
        <v>0</v>
      </c>
      <c r="AZ11" s="117" t="n">
        <f aca="false">SUMIFS(الريسبي!$C$2:$C$1800,الريسبي!$A$2:$A$1800,$A11,الريسبي!$B$2:$B$1800,AZ$1)</f>
        <v>0</v>
      </c>
      <c r="BA11" s="117" t="n">
        <f aca="false">SUMIFS(الريسبي!$C$2:$C$1800,الريسبي!$A$2:$A$1800,$A11,الريسبي!$B$2:$B$1800,BA$1)</f>
        <v>0</v>
      </c>
      <c r="BB11" s="117" t="n">
        <f aca="false">SUMIFS(الريسبي!$C$2:$C$1800,الريسبي!$A$2:$A$1800,$A11,الريسبي!$B$2:$B$1800,BB$1)</f>
        <v>0.15</v>
      </c>
      <c r="BC11" s="117" t="n">
        <f aca="false">SUMIFS(الريسبي!$C$2:$C$1800,الريسبي!$A$2:$A$1800,$A11,الريسبي!$B$2:$B$1800,BC$1)</f>
        <v>0.045</v>
      </c>
      <c r="BD11" s="117" t="n">
        <f aca="false">SUMIFS(الريسبي!$C$2:$C$1800,الريسبي!$A$2:$A$1800,$A11,الريسبي!$B$2:$B$1800,BD$1)</f>
        <v>0.3</v>
      </c>
      <c r="BE11" s="117" t="n">
        <f aca="false">SUMIFS(الريسبي!$C$2:$C$1800,الريسبي!$A$2:$A$1800,$A11,الريسبي!$B$2:$B$1800,BE$1)</f>
        <v>0</v>
      </c>
      <c r="BF11" s="117" t="n">
        <f aca="false">SUMIFS(الريسبي!$C$2:$C$1800,الريسبي!$A$2:$A$1800,$A11,الريسبي!$B$2:$B$1800,BF$1)</f>
        <v>0</v>
      </c>
      <c r="BG11" s="117" t="n">
        <f aca="false">SUMIFS(الريسبي!$C$2:$C$1800,الريسبي!$A$2:$A$1800,$A11,الريسبي!$B$2:$B$1800,BG$1)</f>
        <v>1</v>
      </c>
      <c r="BH11" s="117" t="n">
        <f aca="false">SUMIFS(الريسبي!$C$2:$C$1800,الريسبي!$A$2:$A$1800,$A11,الريسبي!$B$2:$B$1800,BH$1)</f>
        <v>0</v>
      </c>
      <c r="BI11" s="117" t="n">
        <f aca="false">SUMIFS(الريسبي!$C$2:$C$1800,الريسبي!$A$2:$A$1800,$A11,الريسبي!$B$2:$B$1800,BI$1)</f>
        <v>0</v>
      </c>
      <c r="BJ11" s="117" t="n">
        <f aca="false">SUMIFS(الريسبي!$C$2:$C$1800,الريسبي!$A$2:$A$1800,$A11,الريسبي!$B$2:$B$1800,BJ$1)</f>
        <v>0</v>
      </c>
      <c r="BK11" s="117" t="n">
        <f aca="false">SUMIFS(الريسبي!$C$2:$C$1800,الريسبي!$A$2:$A$1800,$A11,الريسبي!$B$2:$B$1800,BK$1)</f>
        <v>0</v>
      </c>
      <c r="BL11" s="117" t="n">
        <f aca="false">SUMIFS(الريسبي!$C$2:$C$1800,الريسبي!$A$2:$A$1800,$A11,الريسبي!$B$2:$B$1800,BL$1)</f>
        <v>0</v>
      </c>
      <c r="BM11" s="117" t="n">
        <f aca="false">SUMIFS(الريسبي!$C$2:$C$1800,الريسبي!$A$2:$A$1800,$A11,الريسبي!$B$2:$B$1800,BM$1)</f>
        <v>0</v>
      </c>
      <c r="BN11" s="117" t="n">
        <f aca="false">SUMIFS(الريسبي!$C$2:$C$1800,الريسبي!$A$2:$A$1800,$A11,الريسبي!$B$2:$B$1800,BN$1)</f>
        <v>0.03</v>
      </c>
      <c r="BO11" s="117" t="n">
        <f aca="false">SUMIFS(الريسبي!$C$2:$C$1800,الريسبي!$A$2:$A$1800,$A11,الريسبي!$B$2:$B$1800,BO$1)</f>
        <v>3</v>
      </c>
      <c r="BP11" s="117" t="n">
        <f aca="false">SUMIFS(الريسبي!$C$2:$C$1800,الريسبي!$A$2:$A$1800,$A11,الريسبي!$B$2:$B$1800,BP$1)</f>
        <v>3</v>
      </c>
      <c r="BQ11" s="117" t="n">
        <f aca="false">SUMIFS(الريسبي!$C$2:$C$1800,الريسبي!$A$2:$A$1800,$A11,الريسبي!$B$2:$B$1800,BQ$1)+0.17*SUMIFS(الريسبي!$C$2:$C$1800,الريسبي!$A$2:$A$1800,$A11,الريسبي!$B$2:$B$1800,"كاسترد مصنع (خليط بودر + لبن)")+0.17*SUMIFS(الريسبي!$C$2:$C$1800,الريسبي!$A$2:$A$1800,$A11,الريسبي!$B$2:$B$1800,"كاسترد مصنع صيامي (بدون لبن)")</f>
        <v>0</v>
      </c>
      <c r="BR11" s="117" t="n">
        <f aca="false">SUMIFS(الريسبي!$C$2:$C$1800,الريسبي!$A$2:$A$1800,$A11,الريسبي!$B$2:$B$1800,BR$1)</f>
        <v>1</v>
      </c>
      <c r="BS11" s="117" t="n">
        <f aca="false">SUMIFS(الريسبي!$C$2:$C$1800,الريسبي!$A$2:$A$1800,$A11,الريسبي!$B$2:$B$1800,BS$1)</f>
        <v>0</v>
      </c>
      <c r="BT11" s="117" t="n">
        <f aca="false">SUMIFS(الريسبي!$C$2:$C$1800,الريسبي!$A$2:$A$1800,$A11,الريسبي!$B$2:$B$1800,BT$1)</f>
        <v>0</v>
      </c>
      <c r="BU11" s="117" t="n">
        <f aca="false">SUMIFS(الريسبي!$C$2:$C$1800,الريسبي!$A$2:$A$1800,$A11,الريسبي!$B$2:$B$1800,BU$1)+0.4*SUMIFS(الريسبي!$C$2:$C$1800,الريسبي!$A$2:$A$1800,$A11,الريسبي!$B$2:$B$1800,"كاسترد مصنع (خليط بودر + لبن)")+0.03333333333*SUMIFS(الريسبي!$C$2:$C$1800,الريسبي!$A$2:$A$1800,$A11,الريسبي!$B$2:$B$1800,"عجين كريب (مصنع بالمطعم)")</f>
        <v>0</v>
      </c>
      <c r="BV11" s="117" t="n">
        <f aca="false">SUMIFS(الريسبي!$C$2:$C$1800,الريسبي!$A$2:$A$1800,$A11,الريسبي!$B$2:$B$1800,BV$1)</f>
        <v>0</v>
      </c>
      <c r="BW11" s="117" t="n">
        <f aca="false">SUMIFS(الريسبي!$C$2:$C$1800,الريسبي!$A$2:$A$1800,$A11,الريسبي!$B$2:$B$1800,BW$1)</f>
        <v>0</v>
      </c>
      <c r="BX11" s="117" t="n">
        <f aca="false">SUMIFS(الريسبي!$C$2:$C$1800,الريسبي!$A$2:$A$1800,$A11,الريسبي!$B$2:$B$1800,BX$1)</f>
        <v>0</v>
      </c>
      <c r="BY11" s="117" t="n">
        <f aca="false">SUMIFS(الريسبي!$C$2:$C$1800,الريسبي!$A$2:$A$1800,$A11,الريسبي!$B$2:$B$1800,BY$1)</f>
        <v>0</v>
      </c>
      <c r="BZ11" s="117" t="n">
        <f aca="false">SUMIFS(الريسبي!$C$2:$C$1800,الريسبي!$A$2:$A$1800,$A11,الريسبي!$B$2:$B$1800,BZ$1)</f>
        <v>0</v>
      </c>
      <c r="CA11" s="117" t="n">
        <f aca="false">SUMIFS(الريسبي!$C$2:$C$1800,الريسبي!$A$2:$A$1800,$A11,الريسبي!$B$2:$B$1800,CA$1)</f>
        <v>1</v>
      </c>
      <c r="CB11" s="117" t="n">
        <f aca="false">SUMIFS(الريسبي!$C$2:$C$1800,الريسبي!$A$2:$A$1800,$A11,الريسبي!$B$2:$B$1800,CB$1)</f>
        <v>1</v>
      </c>
      <c r="CC11" s="117" t="n">
        <f aca="false">SUMIFS(الريسبي!$C$2:$C$1800,الريسبي!$A$2:$A$1800,$A11,الريسبي!$B$2:$B$1800,CC$1)</f>
        <v>0</v>
      </c>
      <c r="CD11" s="117" t="n">
        <f aca="false">SUMIFS(الريسبي!$C$2:$C$1800,الريسبي!$A$2:$A$1800,$A11,الريسبي!$B$2:$B$1800,CD$1)</f>
        <v>0</v>
      </c>
      <c r="CE11" s="117" t="n">
        <f aca="false">SUMIFS(الريسبي!$C$2:$C$1800,الريسبي!$A$2:$A$1800,$A11,الريسبي!$B$2:$B$1800,CE$1)</f>
        <v>0</v>
      </c>
      <c r="CF11" s="117" t="n">
        <f aca="false">SUMIFS(الريسبي!$C$2:$C$1800,الريسبي!$A$2:$A$1800,$A11,الريسبي!$B$2:$B$1800,CF$1)</f>
        <v>0</v>
      </c>
      <c r="CG11" s="117" t="n">
        <f aca="false">SUMIFS(الريسبي!$C$2:$C$1800,الريسبي!$A$2:$A$1800,$A11,الريسبي!$B$2:$B$1800,CG$1)</f>
        <v>0</v>
      </c>
      <c r="CH11" s="117" t="n">
        <f aca="false">SUMIFS(الريسبي!$C$2:$C$1800,الريسبي!$A$2:$A$1800,$A11,الريسبي!$B$2:$B$1800,CH$1)</f>
        <v>0</v>
      </c>
      <c r="CI11" s="117" t="n">
        <f aca="false">SUMIFS(الريسبي!$C$2:$C$1800,الريسبي!$A$2:$A$1800,$A11,الريسبي!$B$2:$B$1800,CI$1)</f>
        <v>0</v>
      </c>
      <c r="CJ11" s="117" t="n">
        <f aca="false">SUMIFS(الريسبي!$C$2:$C$1800,الريسبي!$A$2:$A$1800,$A11,الريسبي!$B$2:$B$1800,CJ$1)</f>
        <v>0</v>
      </c>
      <c r="CK11" s="117" t="n">
        <f aca="false">SUMIFS(الريسبي!$C$2:$C$1800,الريسبي!$A$2:$A$1800,$A11,الريسبي!$B$2:$B$1800,CK$1)</f>
        <v>0</v>
      </c>
      <c r="CL11" s="117" t="n">
        <f aca="false">SUMIFS(الريسبي!$C$2:$C$1800,الريسبي!$A$2:$A$1800,$A11,الريسبي!$B$2:$B$1800,CL$1)</f>
        <v>0</v>
      </c>
    </row>
    <row r="12" customFormat="false" ht="15" hidden="false" customHeight="false" outlineLevel="0" collapsed="false">
      <c r="A12" s="116" t="str">
        <f aca="false">المنيو!B12</f>
        <v>بيتزا فراخ رانش وسط</v>
      </c>
      <c r="B12" s="117" t="n">
        <f aca="false">SUMIFS(الريسبي!$C$2:$C$1800,الريسبي!$A$2:$A$1800,$A12,الريسبي!$B$2:$B$1800,B$1)</f>
        <v>0</v>
      </c>
      <c r="C12" s="117" t="n">
        <f aca="false">SUMIFS(الريسبي!$C$2:$C$1800,الريسبي!$A$2:$A$1800,$A12,الريسبي!$B$2:$B$1800,C$1)</f>
        <v>0</v>
      </c>
      <c r="D12" s="117" t="n">
        <f aca="false">SUMIFS(الريسبي!$C$2:$C$1800,الريسبي!$A$2:$A$1800,$A12,الريسبي!$B$2:$B$1800,D$1)</f>
        <v>1</v>
      </c>
      <c r="E12" s="117" t="n">
        <f aca="false">SUMIFS(الريسبي!$C$2:$C$1800,الريسبي!$A$2:$A$1800,$A12,الريسبي!$B$2:$B$1800,E$1)</f>
        <v>0</v>
      </c>
      <c r="F12" s="117" t="n">
        <f aca="false">SUMIFS(الريسبي!$C$2:$C$1800,الريسبي!$A$2:$A$1800,$A12,الريسبي!$B$2:$B$1800,F$1)</f>
        <v>0</v>
      </c>
      <c r="G12" s="117" t="n">
        <f aca="false">SUMIFS(الريسبي!$C$2:$C$1800,الريسبي!$A$2:$A$1800,$A12,الريسبي!$B$2:$B$1800,G$1)</f>
        <v>0</v>
      </c>
      <c r="H12" s="117" t="n">
        <f aca="false">SUMIFS(الريسبي!$C$2:$C$1800,الريسبي!$A$2:$A$1800,$A12,الريسبي!$B$2:$B$1800,H$1)</f>
        <v>0</v>
      </c>
      <c r="I12" s="117" t="n">
        <f aca="false">SUMIFS(الريسبي!$C$2:$C$1800,الريسبي!$A$2:$A$1800,$A12,الريسبي!$B$2:$B$1800,I$1)</f>
        <v>0</v>
      </c>
      <c r="J12" s="117" t="n">
        <f aca="false">SUMIFS(الريسبي!$C$2:$C$1800,الريسبي!$A$2:$A$1800,$A12,الريسبي!$B$2:$B$1800,J$1)</f>
        <v>0</v>
      </c>
      <c r="K12" s="117" t="n">
        <f aca="false">SUMIFS(الريسبي!$C$2:$C$1800,الريسبي!$A$2:$A$1800,$A12,الريسبي!$B$2:$B$1800,K$1)</f>
        <v>0</v>
      </c>
      <c r="L12" s="117" t="n">
        <f aca="false">SUMIFS(الريسبي!$C$2:$C$1800,الريسبي!$A$2:$A$1800,$A12,الريسبي!$B$2:$B$1800,L$1)</f>
        <v>0</v>
      </c>
      <c r="M12" s="117" t="n">
        <f aca="false">SUMIFS(الريسبي!$C$2:$C$1800,الريسبي!$A$2:$A$1800,$A12,الريسبي!$B$2:$B$1800,M$1)</f>
        <v>0</v>
      </c>
      <c r="N12" s="117" t="n">
        <f aca="false">SUMIFS(الريسبي!$C$2:$C$1800,الريسبي!$A$2:$A$1800,$A12,الريسبي!$B$2:$B$1800,N$1)</f>
        <v>0</v>
      </c>
      <c r="O12" s="117" t="n">
        <f aca="false">SUMIFS(الريسبي!$C$2:$C$1800,الريسبي!$A$2:$A$1800,$A12,الريسبي!$B$2:$B$1800,O$1)</f>
        <v>1</v>
      </c>
      <c r="P12" s="117" t="n">
        <f aca="false">SUMIFS(الريسبي!$C$2:$C$1800,الريسبي!$A$2:$A$1800,$A12,الريسبي!$B$2:$B$1800,P$1)</f>
        <v>0</v>
      </c>
      <c r="Q12" s="117" t="n">
        <f aca="false">SUMIFS(الريسبي!$C$2:$C$1800,الريسبي!$A$2:$A$1800,$A12,الريسبي!$B$2:$B$1800,Q$1)</f>
        <v>0</v>
      </c>
      <c r="R12" s="117" t="n">
        <f aca="false">SUMIFS(الريسبي!$C$2:$C$1800,الريسبي!$A$2:$A$1800,$A12,الريسبي!$B$2:$B$1800,R$1)</f>
        <v>0</v>
      </c>
      <c r="S12" s="117" t="n">
        <f aca="false">SUMIFS(الريسبي!$C$2:$C$1800,الريسبي!$A$2:$A$1800,$A12,الريسبي!$B$2:$B$1800,S$1)</f>
        <v>0</v>
      </c>
      <c r="T12" s="117" t="n">
        <f aca="false">SUMIFS(الريسبي!$C$2:$C$1800,الريسبي!$A$2:$A$1800,$A12,الريسبي!$B$2:$B$1800,T$1)</f>
        <v>0</v>
      </c>
      <c r="U12" s="117" t="n">
        <f aca="false">SUMIFS(الريسبي!$C$2:$C$1800,الريسبي!$A$2:$A$1800,$A12,الريسبي!$B$2:$B$1800,U$1)</f>
        <v>0</v>
      </c>
      <c r="V12" s="117" t="n">
        <f aca="false">SUMIFS(الريسبي!$C$2:$C$1800,الريسبي!$A$2:$A$1800,$A12,الريسبي!$B$2:$B$1800,V$1)+1.5*(SUMIFS(الريسبي!$C$2:$C$1800,الريسبي!$A$2:$A$1800,$A12,الريسبي!$B$2:$B$1800,"برسيون موتزريلا بيتزا كبير"))</f>
        <v>1</v>
      </c>
      <c r="W12" s="117" t="n">
        <f aca="false">0</f>
        <v>0</v>
      </c>
      <c r="X12" s="117" t="n">
        <f aca="false">SUMIFS(الريسبي!$C$2:$C$1800,الريسبي!$A$2:$A$1800,$A12,الريسبي!$B$2:$B$1800,X$1)+1.5*(SUMIFS(الريسبي!$C$2:$C$1800,الريسبي!$A$2:$A$1800,$A12,الريسبي!$B$2:$B$1800,"برسيون موتزريلا فطير كبير"))</f>
        <v>0</v>
      </c>
      <c r="Y12" s="117" t="n">
        <f aca="false">0</f>
        <v>0</v>
      </c>
      <c r="Z12" s="117" t="n">
        <f aca="false">SUMIFS(الريسبي!$C$2:$C$1800,الريسبي!$A$2:$A$1800,$A12,الريسبي!$B$2:$B$1800,Z$1)</f>
        <v>0</v>
      </c>
      <c r="AA12" s="117" t="n">
        <f aca="false">SUMIFS(الريسبي!$C$2:$C$1800,الريسبي!$A$2:$A$1800,$A12,الريسبي!$B$2:$B$1800,AA$1)</f>
        <v>0</v>
      </c>
      <c r="AB12" s="117" t="n">
        <f aca="false">SUMIFS(الريسبي!$C$2:$C$1800,الريسبي!$A$2:$A$1800,$A12,الريسبي!$B$2:$B$1800,AB$1)</f>
        <v>0</v>
      </c>
      <c r="AC12" s="117" t="n">
        <f aca="false">SUMIFS(الريسبي!$C$2:$C$1800,الريسبي!$A$2:$A$1800,$A12,الريسبي!$B$2:$B$1800,AC$1)</f>
        <v>0</v>
      </c>
      <c r="AD12" s="117" t="n">
        <f aca="false">SUMIFS(الريسبي!$C$2:$C$1800,الريسبي!$A$2:$A$1800,$A12,الريسبي!$B$2:$B$1800,AD$1)</f>
        <v>0</v>
      </c>
      <c r="AE12" s="117" t="n">
        <f aca="false">SUMIFS(الريسبي!$C$2:$C$1800,الريسبي!$A$2:$A$1800,$A12,الريسبي!$B$2:$B$1800,AE$1)</f>
        <v>0</v>
      </c>
      <c r="AF12" s="117" t="n">
        <f aca="false">SUMIFS(الريسبي!$C$2:$C$1800,الريسبي!$A$2:$A$1800,$A12,الريسبي!$B$2:$B$1800,AF$1)</f>
        <v>0</v>
      </c>
      <c r="AG12" s="117" t="n">
        <f aca="false">SUMIFS(الريسبي!$C$2:$C$1800,الريسبي!$A$2:$A$1800,$A12,الريسبي!$B$2:$B$1800,AG$1)</f>
        <v>0</v>
      </c>
      <c r="AH12" s="117" t="n">
        <f aca="false">SUMIFS(الريسبي!$C$2:$C$1800,الريسبي!$A$2:$A$1800,$A12,الريسبي!$B$2:$B$1800,AH$1)</f>
        <v>0</v>
      </c>
      <c r="AI12" s="117" t="n">
        <f aca="false">SUMIFS(الريسبي!$C$2:$C$1800,الريسبي!$A$2:$A$1800,$A12,الريسبي!$B$2:$B$1800,AI$1)</f>
        <v>0</v>
      </c>
      <c r="AJ12" s="117" t="n">
        <f aca="false">SUMIFS(الريسبي!$C$2:$C$1800,الريسبي!$A$2:$A$1800,$A12,الريسبي!$B$2:$B$1800,AJ$1)</f>
        <v>2</v>
      </c>
      <c r="AK12" s="117" t="n">
        <f aca="false">SUMIFS(الريسبي!$C$2:$C$1800,الريسبي!$A$2:$A$1800,$A12,الريسبي!$B$2:$B$1800,AK$1)</f>
        <v>0</v>
      </c>
      <c r="AL12" s="117" t="n">
        <f aca="false">SUMIFS(الريسبي!$C$2:$C$1800,الريسبي!$A$2:$A$1800,$A12,الريسبي!$B$2:$B$1800,AL$1)</f>
        <v>0</v>
      </c>
      <c r="AM12" s="117" t="n">
        <f aca="false">SUMIFS(الريسبي!$C$2:$C$1800,الريسبي!$A$2:$A$1800,$A12,الريسبي!$B$2:$B$1800,AM$1)+0.08333333333*SUMIFS(الريسبي!$C$2:$C$1800,الريسبي!$A$2:$A$1800,$A12,الريسبي!$B$2:$B$1800,"عجين كريب (مصنع بالمطعم)")+0.08333333333*SUMIFS(الريسبي!$C$2:$C$1800,الريسبي!$A$2:$A$1800,$A12,الريسبي!$B$2:$B$1800,"عجين كريب صيامي (بدون لبن)")</f>
        <v>0</v>
      </c>
      <c r="AN12" s="117" t="n">
        <f aca="false">SUMIFS(الريسبي!$C$2:$C$1800,الريسبي!$A$2:$A$1800,$A12,الريسبي!$B$2:$B$1800,AN$1)+0.004166666667*SUMIFS(الريسبي!$C$2:$C$1800,الريسبي!$A$2:$A$1800,$A12,الريسبي!$B$2:$B$1800,"عجين كريب (مصنع بالمطعم)")+0.004166666667*SUMIFS(الريسبي!$C$2:$C$1800,الريسبي!$A$2:$A$1800,$A12,الريسبي!$B$2:$B$1800,"عجين كريب صيامي (بدون لبن)")</f>
        <v>0</v>
      </c>
      <c r="AO12" s="117" t="n">
        <f aca="false">SUMIFS(الريسبي!$C$2:$C$1800,الريسبي!$A$2:$A$1800,$A12,الريسبي!$B$2:$B$1800,AO$1)</f>
        <v>0</v>
      </c>
      <c r="AP12" s="117" t="n">
        <f aca="false">SUMIFS(الريسبي!$C$2:$C$1800,الريسبي!$A$2:$A$1800,$A12,الريسبي!$B$2:$B$1800,AP$1)</f>
        <v>0.02</v>
      </c>
      <c r="AQ12" s="117" t="n">
        <f aca="false">SUMIFS(الريسبي!$C$2:$C$1800,الريسبي!$A$2:$A$1800,$A12,الريسبي!$B$2:$B$1800,AQ$1)+0.004166666667*SUMIFS(الريسبي!$C$2:$C$1800,الريسبي!$A$2:$A$1800,$A12,الريسبي!$B$2:$B$1800,"عجين كريب (مصنع بالمطعم)")+0.004166666667*SUMIFS(الريسبي!$C$2:$C$1800,الريسبي!$A$2:$A$1800,$A12,الريسبي!$B$2:$B$1800,"عجين كريب صيامي (بدون لبن)")</f>
        <v>0</v>
      </c>
      <c r="AR12" s="117" t="n">
        <f aca="false">SUMIFS(الريسبي!$C$2:$C$1800,الريسبي!$A$2:$A$1800,$A12,الريسبي!$B$2:$B$1800,AR$1)</f>
        <v>0</v>
      </c>
      <c r="AS12" s="117" t="n">
        <f aca="false">SUMIFS(الريسبي!$C$2:$C$1800,الريسبي!$A$2:$A$1800,$A12,الريسبي!$B$2:$B$1800,AS$1)</f>
        <v>0</v>
      </c>
      <c r="AT12" s="117" t="n">
        <f aca="false">SUMIFS(الريسبي!$C$2:$C$1800,الريسبي!$A$2:$A$1800,$A12,الريسبي!$B$2:$B$1800,AT$1)</f>
        <v>0</v>
      </c>
      <c r="AU12" s="117" t="n">
        <f aca="false">SUMIFS(الريسبي!$C$2:$C$1800,الريسبي!$A$2:$A$1800,$A12,الريسبي!$B$2:$B$1800,AU$1)</f>
        <v>0</v>
      </c>
      <c r="AV12" s="117" t="n">
        <f aca="false">SUMIFS(الريسبي!$C$2:$C$1800,الريسبي!$A$2:$A$1800,$A12,الريسبي!$B$2:$B$1800,AV$1)</f>
        <v>0</v>
      </c>
      <c r="AW12" s="117" t="n">
        <f aca="false">SUMIFS(الريسبي!$C$2:$C$1800,الريسبي!$A$2:$A$1800,$A12,الريسبي!$B$2:$B$1800,AW$1)</f>
        <v>0</v>
      </c>
      <c r="AX12" s="117" t="n">
        <f aca="false">SUMIFS(الريسبي!$C$2:$C$1800,الريسبي!$A$2:$A$1800,$A12,الريسبي!$B$2:$B$1800,AX$1)</f>
        <v>0.04</v>
      </c>
      <c r="AY12" s="117" t="n">
        <f aca="false">SUMIFS(الريسبي!$C$2:$C$1800,الريسبي!$A$2:$A$1800,$A12,الريسبي!$B$2:$B$1800,AY$1)</f>
        <v>0</v>
      </c>
      <c r="AZ12" s="117" t="n">
        <f aca="false">SUMIFS(الريسبي!$C$2:$C$1800,الريسبي!$A$2:$A$1800,$A12,الريسبي!$B$2:$B$1800,AZ$1)</f>
        <v>0</v>
      </c>
      <c r="BA12" s="117" t="n">
        <f aca="false">SUMIFS(الريسبي!$C$2:$C$1800,الريسبي!$A$2:$A$1800,$A12,الريسبي!$B$2:$B$1800,BA$1)</f>
        <v>0.1</v>
      </c>
      <c r="BB12" s="117" t="n">
        <f aca="false">SUMIFS(الريسبي!$C$2:$C$1800,الريسبي!$A$2:$A$1800,$A12,الريسبي!$B$2:$B$1800,BB$1)</f>
        <v>0</v>
      </c>
      <c r="BC12" s="117" t="n">
        <f aca="false">SUMIFS(الريسبي!$C$2:$C$1800,الريسبي!$A$2:$A$1800,$A12,الريسبي!$B$2:$B$1800,BC$1)</f>
        <v>0.03</v>
      </c>
      <c r="BD12" s="117" t="n">
        <f aca="false">SUMIFS(الريسبي!$C$2:$C$1800,الريسبي!$A$2:$A$1800,$A12,الريسبي!$B$2:$B$1800,BD$1)</f>
        <v>0.22</v>
      </c>
      <c r="BE12" s="117" t="n">
        <f aca="false">SUMIFS(الريسبي!$C$2:$C$1800,الريسبي!$A$2:$A$1800,$A12,الريسبي!$B$2:$B$1800,BE$1)</f>
        <v>0</v>
      </c>
      <c r="BF12" s="117" t="n">
        <f aca="false">SUMIFS(الريسبي!$C$2:$C$1800,الريسبي!$A$2:$A$1800,$A12,الريسبي!$B$2:$B$1800,BF$1)</f>
        <v>0</v>
      </c>
      <c r="BG12" s="117" t="n">
        <f aca="false">SUMIFS(الريسبي!$C$2:$C$1800,الريسبي!$A$2:$A$1800,$A12,الريسبي!$B$2:$B$1800,BG$1)</f>
        <v>0</v>
      </c>
      <c r="BH12" s="117" t="n">
        <f aca="false">SUMIFS(الريسبي!$C$2:$C$1800,الريسبي!$A$2:$A$1800,$A12,الريسبي!$B$2:$B$1800,BH$1)</f>
        <v>1</v>
      </c>
      <c r="BI12" s="117" t="n">
        <f aca="false">SUMIFS(الريسبي!$C$2:$C$1800,الريسبي!$A$2:$A$1800,$A12,الريسبي!$B$2:$B$1800,BI$1)</f>
        <v>0</v>
      </c>
      <c r="BJ12" s="117" t="n">
        <f aca="false">SUMIFS(الريسبي!$C$2:$C$1800,الريسبي!$A$2:$A$1800,$A12,الريسبي!$B$2:$B$1800,BJ$1)</f>
        <v>0</v>
      </c>
      <c r="BK12" s="117" t="n">
        <f aca="false">SUMIFS(الريسبي!$C$2:$C$1800,الريسبي!$A$2:$A$1800,$A12,الريسبي!$B$2:$B$1800,BK$1)</f>
        <v>0</v>
      </c>
      <c r="BL12" s="117" t="n">
        <f aca="false">SUMIFS(الريسبي!$C$2:$C$1800,الريسبي!$A$2:$A$1800,$A12,الريسبي!$B$2:$B$1800,BL$1)</f>
        <v>0</v>
      </c>
      <c r="BM12" s="117" t="n">
        <f aca="false">SUMIFS(الريسبي!$C$2:$C$1800,الريسبي!$A$2:$A$1800,$A12,الريسبي!$B$2:$B$1800,BM$1)</f>
        <v>0</v>
      </c>
      <c r="BN12" s="117" t="n">
        <f aca="false">SUMIFS(الريسبي!$C$2:$C$1800,الريسبي!$A$2:$A$1800,$A12,الريسبي!$B$2:$B$1800,BN$1)</f>
        <v>0.02</v>
      </c>
      <c r="BO12" s="117" t="n">
        <f aca="false">SUMIFS(الريسبي!$C$2:$C$1800,الريسبي!$A$2:$A$1800,$A12,الريسبي!$B$2:$B$1800,BO$1)</f>
        <v>0</v>
      </c>
      <c r="BP12" s="117" t="n">
        <f aca="false">SUMIFS(الريسبي!$C$2:$C$1800,الريسبي!$A$2:$A$1800,$A12,الريسبي!$B$2:$B$1800,BP$1)</f>
        <v>2</v>
      </c>
      <c r="BQ12" s="117" t="n">
        <f aca="false">SUMIFS(الريسبي!$C$2:$C$1800,الريسبي!$A$2:$A$1800,$A12,الريسبي!$B$2:$B$1800,BQ$1)+0.17*SUMIFS(الريسبي!$C$2:$C$1800,الريسبي!$A$2:$A$1800,$A12,الريسبي!$B$2:$B$1800,"كاسترد مصنع (خليط بودر + لبن)")+0.17*SUMIFS(الريسبي!$C$2:$C$1800,الريسبي!$A$2:$A$1800,$A12,الريسبي!$B$2:$B$1800,"كاسترد مصنع صيامي (بدون لبن)")</f>
        <v>0</v>
      </c>
      <c r="BR12" s="117" t="n">
        <f aca="false">SUMIFS(الريسبي!$C$2:$C$1800,الريسبي!$A$2:$A$1800,$A12,الريسبي!$B$2:$B$1800,BR$1)</f>
        <v>1</v>
      </c>
      <c r="BS12" s="117" t="n">
        <f aca="false">SUMIFS(الريسبي!$C$2:$C$1800,الريسبي!$A$2:$A$1800,$A12,الريسبي!$B$2:$B$1800,BS$1)</f>
        <v>0</v>
      </c>
      <c r="BT12" s="117" t="n">
        <f aca="false">SUMIFS(الريسبي!$C$2:$C$1800,الريسبي!$A$2:$A$1800,$A12,الريسبي!$B$2:$B$1800,BT$1)</f>
        <v>0</v>
      </c>
      <c r="BU12" s="117" t="n">
        <f aca="false">SUMIFS(الريسبي!$C$2:$C$1800,الريسبي!$A$2:$A$1800,$A12,الريسبي!$B$2:$B$1800,BU$1)+0.4*SUMIFS(الريسبي!$C$2:$C$1800,الريسبي!$A$2:$A$1800,$A12,الريسبي!$B$2:$B$1800,"كاسترد مصنع (خليط بودر + لبن)")+0.03333333333*SUMIFS(الريسبي!$C$2:$C$1800,الريسبي!$A$2:$A$1800,$A12,الريسبي!$B$2:$B$1800,"عجين كريب (مصنع بالمطعم)")</f>
        <v>0</v>
      </c>
      <c r="BV12" s="117" t="n">
        <f aca="false">SUMIFS(الريسبي!$C$2:$C$1800,الريسبي!$A$2:$A$1800,$A12,الريسبي!$B$2:$B$1800,BV$1)</f>
        <v>0</v>
      </c>
      <c r="BW12" s="117" t="n">
        <f aca="false">SUMIFS(الريسبي!$C$2:$C$1800,الريسبي!$A$2:$A$1800,$A12,الريسبي!$B$2:$B$1800,BW$1)</f>
        <v>0</v>
      </c>
      <c r="BX12" s="117" t="n">
        <f aca="false">SUMIFS(الريسبي!$C$2:$C$1800,الريسبي!$A$2:$A$1800,$A12,الريسبي!$B$2:$B$1800,BX$1)</f>
        <v>0</v>
      </c>
      <c r="BY12" s="117" t="n">
        <f aca="false">SUMIFS(الريسبي!$C$2:$C$1800,الريسبي!$A$2:$A$1800,$A12,الريسبي!$B$2:$B$1800,BY$1)</f>
        <v>0</v>
      </c>
      <c r="BZ12" s="117" t="n">
        <f aca="false">SUMIFS(الريسبي!$C$2:$C$1800,الريسبي!$A$2:$A$1800,$A12,الريسبي!$B$2:$B$1800,BZ$1)</f>
        <v>0</v>
      </c>
      <c r="CA12" s="117" t="n">
        <f aca="false">SUMIFS(الريسبي!$C$2:$C$1800,الريسبي!$A$2:$A$1800,$A12,الريسبي!$B$2:$B$1800,CA$1)</f>
        <v>1</v>
      </c>
      <c r="CB12" s="117" t="n">
        <f aca="false">SUMIFS(الريسبي!$C$2:$C$1800,الريسبي!$A$2:$A$1800,$A12,الريسبي!$B$2:$B$1800,CB$1)</f>
        <v>1</v>
      </c>
      <c r="CC12" s="117" t="n">
        <f aca="false">SUMIFS(الريسبي!$C$2:$C$1800,الريسبي!$A$2:$A$1800,$A12,الريسبي!$B$2:$B$1800,CC$1)</f>
        <v>0</v>
      </c>
      <c r="CD12" s="117" t="n">
        <f aca="false">SUMIFS(الريسبي!$C$2:$C$1800,الريسبي!$A$2:$A$1800,$A12,الريسبي!$B$2:$B$1800,CD$1)</f>
        <v>0</v>
      </c>
      <c r="CE12" s="117" t="n">
        <f aca="false">SUMIFS(الريسبي!$C$2:$C$1800,الريسبي!$A$2:$A$1800,$A12,الريسبي!$B$2:$B$1800,CE$1)</f>
        <v>0</v>
      </c>
      <c r="CF12" s="117" t="n">
        <f aca="false">SUMIFS(الريسبي!$C$2:$C$1800,الريسبي!$A$2:$A$1800,$A12,الريسبي!$B$2:$B$1800,CF$1)</f>
        <v>0</v>
      </c>
      <c r="CG12" s="117" t="n">
        <f aca="false">SUMIFS(الريسبي!$C$2:$C$1800,الريسبي!$A$2:$A$1800,$A12,الريسبي!$B$2:$B$1800,CG$1)</f>
        <v>0</v>
      </c>
      <c r="CH12" s="117" t="n">
        <f aca="false">SUMIFS(الريسبي!$C$2:$C$1800,الريسبي!$A$2:$A$1800,$A12,الريسبي!$B$2:$B$1800,CH$1)</f>
        <v>0</v>
      </c>
      <c r="CI12" s="117" t="n">
        <f aca="false">SUMIFS(الريسبي!$C$2:$C$1800,الريسبي!$A$2:$A$1800,$A12,الريسبي!$B$2:$B$1800,CI$1)</f>
        <v>0</v>
      </c>
      <c r="CJ12" s="117" t="n">
        <f aca="false">SUMIFS(الريسبي!$C$2:$C$1800,الريسبي!$A$2:$A$1800,$A12,الريسبي!$B$2:$B$1800,CJ$1)</f>
        <v>0</v>
      </c>
      <c r="CK12" s="117" t="n">
        <f aca="false">SUMIFS(الريسبي!$C$2:$C$1800,الريسبي!$A$2:$A$1800,$A12,الريسبي!$B$2:$B$1800,CK$1)</f>
        <v>0</v>
      </c>
      <c r="CL12" s="117" t="n">
        <f aca="false">SUMIFS(الريسبي!$C$2:$C$1800,الريسبي!$A$2:$A$1800,$A12,الريسبي!$B$2:$B$1800,CL$1)</f>
        <v>0</v>
      </c>
    </row>
    <row r="13" customFormat="false" ht="15" hidden="false" customHeight="false" outlineLevel="0" collapsed="false">
      <c r="A13" s="116" t="str">
        <f aca="false">المنيو!B13</f>
        <v>بيتزا فراخ رانش حجم اكبر</v>
      </c>
      <c r="B13" s="117" t="n">
        <f aca="false">SUMIFS(الريسبي!$C$2:$C$1800,الريسبي!$A$2:$A$1800,$A13,الريسبي!$B$2:$B$1800,B$1)</f>
        <v>0</v>
      </c>
      <c r="C13" s="117" t="n">
        <f aca="false">SUMIFS(الريسبي!$C$2:$C$1800,الريسبي!$A$2:$A$1800,$A13,الريسبي!$B$2:$B$1800,C$1)</f>
        <v>0</v>
      </c>
      <c r="D13" s="117" t="n">
        <f aca="false">SUMIFS(الريسبي!$C$2:$C$1800,الريسبي!$A$2:$A$1800,$A13,الريسبي!$B$2:$B$1800,D$1)</f>
        <v>1</v>
      </c>
      <c r="E13" s="117" t="n">
        <f aca="false">SUMIFS(الريسبي!$C$2:$C$1800,الريسبي!$A$2:$A$1800,$A13,الريسبي!$B$2:$B$1800,E$1)</f>
        <v>0</v>
      </c>
      <c r="F13" s="117" t="n">
        <f aca="false">SUMIFS(الريسبي!$C$2:$C$1800,الريسبي!$A$2:$A$1800,$A13,الريسبي!$B$2:$B$1800,F$1)</f>
        <v>0</v>
      </c>
      <c r="G13" s="117" t="n">
        <f aca="false">SUMIFS(الريسبي!$C$2:$C$1800,الريسبي!$A$2:$A$1800,$A13,الريسبي!$B$2:$B$1800,G$1)</f>
        <v>0</v>
      </c>
      <c r="H13" s="117" t="n">
        <f aca="false">SUMIFS(الريسبي!$C$2:$C$1800,الريسبي!$A$2:$A$1800,$A13,الريسبي!$B$2:$B$1800,H$1)</f>
        <v>0</v>
      </c>
      <c r="I13" s="117" t="n">
        <f aca="false">SUMIFS(الريسبي!$C$2:$C$1800,الريسبي!$A$2:$A$1800,$A13,الريسبي!$B$2:$B$1800,I$1)</f>
        <v>0</v>
      </c>
      <c r="J13" s="117" t="n">
        <f aca="false">SUMIFS(الريسبي!$C$2:$C$1800,الريسبي!$A$2:$A$1800,$A13,الريسبي!$B$2:$B$1800,J$1)</f>
        <v>0</v>
      </c>
      <c r="K13" s="117" t="n">
        <f aca="false">SUMIFS(الريسبي!$C$2:$C$1800,الريسبي!$A$2:$A$1800,$A13,الريسبي!$B$2:$B$1800,K$1)</f>
        <v>0</v>
      </c>
      <c r="L13" s="117" t="n">
        <f aca="false">SUMIFS(الريسبي!$C$2:$C$1800,الريسبي!$A$2:$A$1800,$A13,الريسبي!$B$2:$B$1800,L$1)</f>
        <v>0</v>
      </c>
      <c r="M13" s="117" t="n">
        <f aca="false">SUMIFS(الريسبي!$C$2:$C$1800,الريسبي!$A$2:$A$1800,$A13,الريسبي!$B$2:$B$1800,M$1)</f>
        <v>0</v>
      </c>
      <c r="N13" s="117" t="n">
        <f aca="false">SUMIFS(الريسبي!$C$2:$C$1800,الريسبي!$A$2:$A$1800,$A13,الريسبي!$B$2:$B$1800,N$1)</f>
        <v>0</v>
      </c>
      <c r="O13" s="117" t="n">
        <f aca="false">SUMIFS(الريسبي!$C$2:$C$1800,الريسبي!$A$2:$A$1800,$A13,الريسبي!$B$2:$B$1800,O$1)</f>
        <v>0</v>
      </c>
      <c r="P13" s="117" t="n">
        <f aca="false">SUMIFS(الريسبي!$C$2:$C$1800,الريسبي!$A$2:$A$1800,$A13,الريسبي!$B$2:$B$1800,P$1)</f>
        <v>1</v>
      </c>
      <c r="Q13" s="117" t="n">
        <f aca="false">SUMIFS(الريسبي!$C$2:$C$1800,الريسبي!$A$2:$A$1800,$A13,الريسبي!$B$2:$B$1800,Q$1)</f>
        <v>0</v>
      </c>
      <c r="R13" s="117" t="n">
        <f aca="false">SUMIFS(الريسبي!$C$2:$C$1800,الريسبي!$A$2:$A$1800,$A13,الريسبي!$B$2:$B$1800,R$1)</f>
        <v>0</v>
      </c>
      <c r="S13" s="117" t="n">
        <f aca="false">SUMIFS(الريسبي!$C$2:$C$1800,الريسبي!$A$2:$A$1800,$A13,الريسبي!$B$2:$B$1800,S$1)</f>
        <v>0</v>
      </c>
      <c r="T13" s="117" t="n">
        <f aca="false">SUMIFS(الريسبي!$C$2:$C$1800,الريسبي!$A$2:$A$1800,$A13,الريسبي!$B$2:$B$1800,T$1)</f>
        <v>0</v>
      </c>
      <c r="U13" s="117" t="n">
        <f aca="false">SUMIFS(الريسبي!$C$2:$C$1800,الريسبي!$A$2:$A$1800,$A13,الريسبي!$B$2:$B$1800,U$1)</f>
        <v>0</v>
      </c>
      <c r="V13" s="117" t="n">
        <f aca="false">SUMIFS(الريسبي!$C$2:$C$1800,الريسبي!$A$2:$A$1800,$A13,الريسبي!$B$2:$B$1800,V$1)+1.5*(SUMIFS(الريسبي!$C$2:$C$1800,الريسبي!$A$2:$A$1800,$A13,الريسبي!$B$2:$B$1800,"برسيون موتزريلا بيتزا كبير"))</f>
        <v>1.5</v>
      </c>
      <c r="W13" s="117" t="n">
        <f aca="false">0</f>
        <v>0</v>
      </c>
      <c r="X13" s="117" t="n">
        <f aca="false">SUMIFS(الريسبي!$C$2:$C$1800,الريسبي!$A$2:$A$1800,$A13,الريسبي!$B$2:$B$1800,X$1)+1.5*(SUMIFS(الريسبي!$C$2:$C$1800,الريسبي!$A$2:$A$1800,$A13,الريسبي!$B$2:$B$1800,"برسيون موتزريلا فطير كبير"))</f>
        <v>0</v>
      </c>
      <c r="Y13" s="117" t="n">
        <f aca="false">0</f>
        <v>0</v>
      </c>
      <c r="Z13" s="117" t="n">
        <f aca="false">SUMIFS(الريسبي!$C$2:$C$1800,الريسبي!$A$2:$A$1800,$A13,الريسبي!$B$2:$B$1800,Z$1)</f>
        <v>0</v>
      </c>
      <c r="AA13" s="117" t="n">
        <f aca="false">SUMIFS(الريسبي!$C$2:$C$1800,الريسبي!$A$2:$A$1800,$A13,الريسبي!$B$2:$B$1800,AA$1)</f>
        <v>0</v>
      </c>
      <c r="AB13" s="117" t="n">
        <f aca="false">SUMIFS(الريسبي!$C$2:$C$1800,الريسبي!$A$2:$A$1800,$A13,الريسبي!$B$2:$B$1800,AB$1)</f>
        <v>0</v>
      </c>
      <c r="AC13" s="117" t="n">
        <f aca="false">SUMIFS(الريسبي!$C$2:$C$1800,الريسبي!$A$2:$A$1800,$A13,الريسبي!$B$2:$B$1800,AC$1)</f>
        <v>0</v>
      </c>
      <c r="AD13" s="117" t="n">
        <f aca="false">SUMIFS(الريسبي!$C$2:$C$1800,الريسبي!$A$2:$A$1800,$A13,الريسبي!$B$2:$B$1800,AD$1)</f>
        <v>0</v>
      </c>
      <c r="AE13" s="117" t="n">
        <f aca="false">SUMIFS(الريسبي!$C$2:$C$1800,الريسبي!$A$2:$A$1800,$A13,الريسبي!$B$2:$B$1800,AE$1)</f>
        <v>0</v>
      </c>
      <c r="AF13" s="117" t="n">
        <f aca="false">SUMIFS(الريسبي!$C$2:$C$1800,الريسبي!$A$2:$A$1800,$A13,الريسبي!$B$2:$B$1800,AF$1)</f>
        <v>0</v>
      </c>
      <c r="AG13" s="117" t="n">
        <f aca="false">SUMIFS(الريسبي!$C$2:$C$1800,الريسبي!$A$2:$A$1800,$A13,الريسبي!$B$2:$B$1800,AG$1)</f>
        <v>0</v>
      </c>
      <c r="AH13" s="117" t="n">
        <f aca="false">SUMIFS(الريسبي!$C$2:$C$1800,الريسبي!$A$2:$A$1800,$A13,الريسبي!$B$2:$B$1800,AH$1)</f>
        <v>0</v>
      </c>
      <c r="AI13" s="117" t="n">
        <f aca="false">SUMIFS(الريسبي!$C$2:$C$1800,الريسبي!$A$2:$A$1800,$A13,الريسبي!$B$2:$B$1800,AI$1)</f>
        <v>0</v>
      </c>
      <c r="AJ13" s="117" t="n">
        <f aca="false">SUMIFS(الريسبي!$C$2:$C$1800,الريسبي!$A$2:$A$1800,$A13,الريسبي!$B$2:$B$1800,AJ$1)</f>
        <v>2</v>
      </c>
      <c r="AK13" s="117" t="n">
        <f aca="false">SUMIFS(الريسبي!$C$2:$C$1800,الريسبي!$A$2:$A$1800,$A13,الريسبي!$B$2:$B$1800,AK$1)</f>
        <v>0</v>
      </c>
      <c r="AL13" s="117" t="n">
        <f aca="false">SUMIFS(الريسبي!$C$2:$C$1800,الريسبي!$A$2:$A$1800,$A13,الريسبي!$B$2:$B$1800,AL$1)</f>
        <v>0</v>
      </c>
      <c r="AM13" s="117" t="n">
        <f aca="false">SUMIFS(الريسبي!$C$2:$C$1800,الريسبي!$A$2:$A$1800,$A13,الريسبي!$B$2:$B$1800,AM$1)+0.08333333333*SUMIFS(الريسبي!$C$2:$C$1800,الريسبي!$A$2:$A$1800,$A13,الريسبي!$B$2:$B$1800,"عجين كريب (مصنع بالمطعم)")+0.08333333333*SUMIFS(الريسبي!$C$2:$C$1800,الريسبي!$A$2:$A$1800,$A13,الريسبي!$B$2:$B$1800,"عجين كريب صيامي (بدون لبن)")</f>
        <v>0</v>
      </c>
      <c r="AN13" s="117" t="n">
        <f aca="false">SUMIFS(الريسبي!$C$2:$C$1800,الريسبي!$A$2:$A$1800,$A13,الريسبي!$B$2:$B$1800,AN$1)+0.004166666667*SUMIFS(الريسبي!$C$2:$C$1800,الريسبي!$A$2:$A$1800,$A13,الريسبي!$B$2:$B$1800,"عجين كريب (مصنع بالمطعم)")+0.004166666667*SUMIFS(الريسبي!$C$2:$C$1800,الريسبي!$A$2:$A$1800,$A13,الريسبي!$B$2:$B$1800,"عجين كريب صيامي (بدون لبن)")</f>
        <v>0</v>
      </c>
      <c r="AO13" s="117" t="n">
        <f aca="false">SUMIFS(الريسبي!$C$2:$C$1800,الريسبي!$A$2:$A$1800,$A13,الريسبي!$B$2:$B$1800,AO$1)</f>
        <v>0</v>
      </c>
      <c r="AP13" s="117" t="n">
        <f aca="false">SUMIFS(الريسبي!$C$2:$C$1800,الريسبي!$A$2:$A$1800,$A13,الريسبي!$B$2:$B$1800,AP$1)</f>
        <v>0.03</v>
      </c>
      <c r="AQ13" s="117" t="n">
        <f aca="false">SUMIFS(الريسبي!$C$2:$C$1800,الريسبي!$A$2:$A$1800,$A13,الريسبي!$B$2:$B$1800,AQ$1)+0.004166666667*SUMIFS(الريسبي!$C$2:$C$1800,الريسبي!$A$2:$A$1800,$A13,الريسبي!$B$2:$B$1800,"عجين كريب (مصنع بالمطعم)")+0.004166666667*SUMIFS(الريسبي!$C$2:$C$1800,الريسبي!$A$2:$A$1800,$A13,الريسبي!$B$2:$B$1800,"عجين كريب صيامي (بدون لبن)")</f>
        <v>0</v>
      </c>
      <c r="AR13" s="117" t="n">
        <f aca="false">SUMIFS(الريسبي!$C$2:$C$1800,الريسبي!$A$2:$A$1800,$A13,الريسبي!$B$2:$B$1800,AR$1)</f>
        <v>0</v>
      </c>
      <c r="AS13" s="117" t="n">
        <f aca="false">SUMIFS(الريسبي!$C$2:$C$1800,الريسبي!$A$2:$A$1800,$A13,الريسبي!$B$2:$B$1800,AS$1)</f>
        <v>0</v>
      </c>
      <c r="AT13" s="117" t="n">
        <f aca="false">SUMIFS(الريسبي!$C$2:$C$1800,الريسبي!$A$2:$A$1800,$A13,الريسبي!$B$2:$B$1800,AT$1)</f>
        <v>0</v>
      </c>
      <c r="AU13" s="117" t="n">
        <f aca="false">SUMIFS(الريسبي!$C$2:$C$1800,الريسبي!$A$2:$A$1800,$A13,الريسبي!$B$2:$B$1800,AU$1)</f>
        <v>0</v>
      </c>
      <c r="AV13" s="117" t="n">
        <f aca="false">SUMIFS(الريسبي!$C$2:$C$1800,الريسبي!$A$2:$A$1800,$A13,الريسبي!$B$2:$B$1800,AV$1)</f>
        <v>0</v>
      </c>
      <c r="AW13" s="117" t="n">
        <f aca="false">SUMIFS(الريسبي!$C$2:$C$1800,الريسبي!$A$2:$A$1800,$A13,الريسبي!$B$2:$B$1800,AW$1)</f>
        <v>0</v>
      </c>
      <c r="AX13" s="117" t="n">
        <f aca="false">SUMIFS(الريسبي!$C$2:$C$1800,الريسبي!$A$2:$A$1800,$A13,الريسبي!$B$2:$B$1800,AX$1)</f>
        <v>0.06</v>
      </c>
      <c r="AY13" s="117" t="n">
        <f aca="false">SUMIFS(الريسبي!$C$2:$C$1800,الريسبي!$A$2:$A$1800,$A13,الريسبي!$B$2:$B$1800,AY$1)</f>
        <v>0</v>
      </c>
      <c r="AZ13" s="117" t="n">
        <f aca="false">SUMIFS(الريسبي!$C$2:$C$1800,الريسبي!$A$2:$A$1800,$A13,الريسبي!$B$2:$B$1800,AZ$1)</f>
        <v>0</v>
      </c>
      <c r="BA13" s="117" t="n">
        <f aca="false">SUMIFS(الريسبي!$C$2:$C$1800,الريسبي!$A$2:$A$1800,$A13,الريسبي!$B$2:$B$1800,BA$1)</f>
        <v>0.15</v>
      </c>
      <c r="BB13" s="117" t="n">
        <f aca="false">SUMIFS(الريسبي!$C$2:$C$1800,الريسبي!$A$2:$A$1800,$A13,الريسبي!$B$2:$B$1800,BB$1)</f>
        <v>0</v>
      </c>
      <c r="BC13" s="117" t="n">
        <f aca="false">SUMIFS(الريسبي!$C$2:$C$1800,الريسبي!$A$2:$A$1800,$A13,الريسبي!$B$2:$B$1800,BC$1)</f>
        <v>0.045</v>
      </c>
      <c r="BD13" s="117" t="n">
        <f aca="false">SUMIFS(الريسبي!$C$2:$C$1800,الريسبي!$A$2:$A$1800,$A13,الريسبي!$B$2:$B$1800,BD$1)</f>
        <v>0.3</v>
      </c>
      <c r="BE13" s="117" t="n">
        <f aca="false">SUMIFS(الريسبي!$C$2:$C$1800,الريسبي!$A$2:$A$1800,$A13,الريسبي!$B$2:$B$1800,BE$1)</f>
        <v>0</v>
      </c>
      <c r="BF13" s="117" t="n">
        <f aca="false">SUMIFS(الريسبي!$C$2:$C$1800,الريسبي!$A$2:$A$1800,$A13,الريسبي!$B$2:$B$1800,BF$1)</f>
        <v>0</v>
      </c>
      <c r="BG13" s="117" t="n">
        <f aca="false">SUMIFS(الريسبي!$C$2:$C$1800,الريسبي!$A$2:$A$1800,$A13,الريسبي!$B$2:$B$1800,BG$1)</f>
        <v>1</v>
      </c>
      <c r="BH13" s="117" t="n">
        <f aca="false">SUMIFS(الريسبي!$C$2:$C$1800,الريسبي!$A$2:$A$1800,$A13,الريسبي!$B$2:$B$1800,BH$1)</f>
        <v>0</v>
      </c>
      <c r="BI13" s="117" t="n">
        <f aca="false">SUMIFS(الريسبي!$C$2:$C$1800,الريسبي!$A$2:$A$1800,$A13,الريسبي!$B$2:$B$1800,BI$1)</f>
        <v>0</v>
      </c>
      <c r="BJ13" s="117" t="n">
        <f aca="false">SUMIFS(الريسبي!$C$2:$C$1800,الريسبي!$A$2:$A$1800,$A13,الريسبي!$B$2:$B$1800,BJ$1)</f>
        <v>0</v>
      </c>
      <c r="BK13" s="117" t="n">
        <f aca="false">SUMIFS(الريسبي!$C$2:$C$1800,الريسبي!$A$2:$A$1800,$A13,الريسبي!$B$2:$B$1800,BK$1)</f>
        <v>0</v>
      </c>
      <c r="BL13" s="117" t="n">
        <f aca="false">SUMIFS(الريسبي!$C$2:$C$1800,الريسبي!$A$2:$A$1800,$A13,الريسبي!$B$2:$B$1800,BL$1)</f>
        <v>0</v>
      </c>
      <c r="BM13" s="117" t="n">
        <f aca="false">SUMIFS(الريسبي!$C$2:$C$1800,الريسبي!$A$2:$A$1800,$A13,الريسبي!$B$2:$B$1800,BM$1)</f>
        <v>0</v>
      </c>
      <c r="BN13" s="117" t="n">
        <f aca="false">SUMIFS(الريسبي!$C$2:$C$1800,الريسبي!$A$2:$A$1800,$A13,الريسبي!$B$2:$B$1800,BN$1)</f>
        <v>0.03</v>
      </c>
      <c r="BO13" s="117" t="n">
        <f aca="false">SUMIFS(الريسبي!$C$2:$C$1800,الريسبي!$A$2:$A$1800,$A13,الريسبي!$B$2:$B$1800,BO$1)</f>
        <v>0</v>
      </c>
      <c r="BP13" s="117" t="n">
        <f aca="false">SUMIFS(الريسبي!$C$2:$C$1800,الريسبي!$A$2:$A$1800,$A13,الريسبي!$B$2:$B$1800,BP$1)</f>
        <v>3</v>
      </c>
      <c r="BQ13" s="117" t="n">
        <f aca="false">SUMIFS(الريسبي!$C$2:$C$1800,الريسبي!$A$2:$A$1800,$A13,الريسبي!$B$2:$B$1800,BQ$1)+0.17*SUMIFS(الريسبي!$C$2:$C$1800,الريسبي!$A$2:$A$1800,$A13,الريسبي!$B$2:$B$1800,"كاسترد مصنع (خليط بودر + لبن)")+0.17*SUMIFS(الريسبي!$C$2:$C$1800,الريسبي!$A$2:$A$1800,$A13,الريسبي!$B$2:$B$1800,"كاسترد مصنع صيامي (بدون لبن)")</f>
        <v>0</v>
      </c>
      <c r="BR13" s="117" t="n">
        <f aca="false">SUMIFS(الريسبي!$C$2:$C$1800,الريسبي!$A$2:$A$1800,$A13,الريسبي!$B$2:$B$1800,BR$1)</f>
        <v>1</v>
      </c>
      <c r="BS13" s="117" t="n">
        <f aca="false">SUMIFS(الريسبي!$C$2:$C$1800,الريسبي!$A$2:$A$1800,$A13,الريسبي!$B$2:$B$1800,BS$1)</f>
        <v>0</v>
      </c>
      <c r="BT13" s="117" t="n">
        <f aca="false">SUMIFS(الريسبي!$C$2:$C$1800,الريسبي!$A$2:$A$1800,$A13,الريسبي!$B$2:$B$1800,BT$1)</f>
        <v>0</v>
      </c>
      <c r="BU13" s="117" t="n">
        <f aca="false">SUMIFS(الريسبي!$C$2:$C$1800,الريسبي!$A$2:$A$1800,$A13,الريسبي!$B$2:$B$1800,BU$1)+0.4*SUMIFS(الريسبي!$C$2:$C$1800,الريسبي!$A$2:$A$1800,$A13,الريسبي!$B$2:$B$1800,"كاسترد مصنع (خليط بودر + لبن)")+0.03333333333*SUMIFS(الريسبي!$C$2:$C$1800,الريسبي!$A$2:$A$1800,$A13,الريسبي!$B$2:$B$1800,"عجين كريب (مصنع بالمطعم)")</f>
        <v>0</v>
      </c>
      <c r="BV13" s="117" t="n">
        <f aca="false">SUMIFS(الريسبي!$C$2:$C$1800,الريسبي!$A$2:$A$1800,$A13,الريسبي!$B$2:$B$1800,BV$1)</f>
        <v>0</v>
      </c>
      <c r="BW13" s="117" t="n">
        <f aca="false">SUMIFS(الريسبي!$C$2:$C$1800,الريسبي!$A$2:$A$1800,$A13,الريسبي!$B$2:$B$1800,BW$1)</f>
        <v>0</v>
      </c>
      <c r="BX13" s="117" t="n">
        <f aca="false">SUMIFS(الريسبي!$C$2:$C$1800,الريسبي!$A$2:$A$1800,$A13,الريسبي!$B$2:$B$1800,BX$1)</f>
        <v>0</v>
      </c>
      <c r="BY13" s="117" t="n">
        <f aca="false">SUMIFS(الريسبي!$C$2:$C$1800,الريسبي!$A$2:$A$1800,$A13,الريسبي!$B$2:$B$1800,BY$1)</f>
        <v>0</v>
      </c>
      <c r="BZ13" s="117" t="n">
        <f aca="false">SUMIFS(الريسبي!$C$2:$C$1800,الريسبي!$A$2:$A$1800,$A13,الريسبي!$B$2:$B$1800,BZ$1)</f>
        <v>0</v>
      </c>
      <c r="CA13" s="117" t="n">
        <f aca="false">SUMIFS(الريسبي!$C$2:$C$1800,الريسبي!$A$2:$A$1800,$A13,الريسبي!$B$2:$B$1800,CA$1)</f>
        <v>1</v>
      </c>
      <c r="CB13" s="117" t="n">
        <f aca="false">SUMIFS(الريسبي!$C$2:$C$1800,الريسبي!$A$2:$A$1800,$A13,الريسبي!$B$2:$B$1800,CB$1)</f>
        <v>1</v>
      </c>
      <c r="CC13" s="117" t="n">
        <f aca="false">SUMIFS(الريسبي!$C$2:$C$1800,الريسبي!$A$2:$A$1800,$A13,الريسبي!$B$2:$B$1800,CC$1)</f>
        <v>0</v>
      </c>
      <c r="CD13" s="117" t="n">
        <f aca="false">SUMIFS(الريسبي!$C$2:$C$1800,الريسبي!$A$2:$A$1800,$A13,الريسبي!$B$2:$B$1800,CD$1)</f>
        <v>0</v>
      </c>
      <c r="CE13" s="117" t="n">
        <f aca="false">SUMIFS(الريسبي!$C$2:$C$1800,الريسبي!$A$2:$A$1800,$A13,الريسبي!$B$2:$B$1800,CE$1)</f>
        <v>0</v>
      </c>
      <c r="CF13" s="117" t="n">
        <f aca="false">SUMIFS(الريسبي!$C$2:$C$1800,الريسبي!$A$2:$A$1800,$A13,الريسبي!$B$2:$B$1800,CF$1)</f>
        <v>0</v>
      </c>
      <c r="CG13" s="117" t="n">
        <f aca="false">SUMIFS(الريسبي!$C$2:$C$1800,الريسبي!$A$2:$A$1800,$A13,الريسبي!$B$2:$B$1800,CG$1)</f>
        <v>0</v>
      </c>
      <c r="CH13" s="117" t="n">
        <f aca="false">SUMIFS(الريسبي!$C$2:$C$1800,الريسبي!$A$2:$A$1800,$A13,الريسبي!$B$2:$B$1800,CH$1)</f>
        <v>0</v>
      </c>
      <c r="CI13" s="117" t="n">
        <f aca="false">SUMIFS(الريسبي!$C$2:$C$1800,الريسبي!$A$2:$A$1800,$A13,الريسبي!$B$2:$B$1800,CI$1)</f>
        <v>0</v>
      </c>
      <c r="CJ13" s="117" t="n">
        <f aca="false">SUMIFS(الريسبي!$C$2:$C$1800,الريسبي!$A$2:$A$1800,$A13,الريسبي!$B$2:$B$1800,CJ$1)</f>
        <v>0</v>
      </c>
      <c r="CK13" s="117" t="n">
        <f aca="false">SUMIFS(الريسبي!$C$2:$C$1800,الريسبي!$A$2:$A$1800,$A13,الريسبي!$B$2:$B$1800,CK$1)</f>
        <v>0</v>
      </c>
      <c r="CL13" s="117" t="n">
        <f aca="false">SUMIFS(الريسبي!$C$2:$C$1800,الريسبي!$A$2:$A$1800,$A13,الريسبي!$B$2:$B$1800,CL$1)</f>
        <v>0</v>
      </c>
    </row>
    <row r="14" customFormat="false" ht="15" hidden="false" customHeight="false" outlineLevel="0" collapsed="false">
      <c r="A14" s="116" t="str">
        <f aca="false">المنيو!B14</f>
        <v>بيتزا فراخ باربيكيو وسط</v>
      </c>
      <c r="B14" s="117" t="n">
        <f aca="false">SUMIFS(الريسبي!$C$2:$C$1800,الريسبي!$A$2:$A$1800,$A14,الريسبي!$B$2:$B$1800,B$1)</f>
        <v>0</v>
      </c>
      <c r="C14" s="117" t="n">
        <f aca="false">SUMIFS(الريسبي!$C$2:$C$1800,الريسبي!$A$2:$A$1800,$A14,الريسبي!$B$2:$B$1800,C$1)</f>
        <v>0</v>
      </c>
      <c r="D14" s="117" t="n">
        <f aca="false">SUMIFS(الريسبي!$C$2:$C$1800,الريسبي!$A$2:$A$1800,$A14,الريسبي!$B$2:$B$1800,D$1)</f>
        <v>1</v>
      </c>
      <c r="E14" s="117" t="n">
        <f aca="false">SUMIFS(الريسبي!$C$2:$C$1800,الريسبي!$A$2:$A$1800,$A14,الريسبي!$B$2:$B$1800,E$1)</f>
        <v>0</v>
      </c>
      <c r="F14" s="117" t="n">
        <f aca="false">SUMIFS(الريسبي!$C$2:$C$1800,الريسبي!$A$2:$A$1800,$A14,الريسبي!$B$2:$B$1800,F$1)</f>
        <v>0</v>
      </c>
      <c r="G14" s="117" t="n">
        <f aca="false">SUMIFS(الريسبي!$C$2:$C$1800,الريسبي!$A$2:$A$1800,$A14,الريسبي!$B$2:$B$1800,G$1)</f>
        <v>0</v>
      </c>
      <c r="H14" s="117" t="n">
        <f aca="false">SUMIFS(الريسبي!$C$2:$C$1800,الريسبي!$A$2:$A$1800,$A14,الريسبي!$B$2:$B$1800,H$1)</f>
        <v>0</v>
      </c>
      <c r="I14" s="117" t="n">
        <f aca="false">SUMIFS(الريسبي!$C$2:$C$1800,الريسبي!$A$2:$A$1800,$A14,الريسبي!$B$2:$B$1800,I$1)</f>
        <v>0</v>
      </c>
      <c r="J14" s="117" t="n">
        <f aca="false">SUMIFS(الريسبي!$C$2:$C$1800,الريسبي!$A$2:$A$1800,$A14,الريسبي!$B$2:$B$1800,J$1)</f>
        <v>0</v>
      </c>
      <c r="K14" s="117" t="n">
        <f aca="false">SUMIFS(الريسبي!$C$2:$C$1800,الريسبي!$A$2:$A$1800,$A14,الريسبي!$B$2:$B$1800,K$1)</f>
        <v>0</v>
      </c>
      <c r="L14" s="117" t="n">
        <f aca="false">SUMIFS(الريسبي!$C$2:$C$1800,الريسبي!$A$2:$A$1800,$A14,الريسبي!$B$2:$B$1800,L$1)</f>
        <v>0</v>
      </c>
      <c r="M14" s="117" t="n">
        <f aca="false">SUMIFS(الريسبي!$C$2:$C$1800,الريسبي!$A$2:$A$1800,$A14,الريسبي!$B$2:$B$1800,M$1)</f>
        <v>0</v>
      </c>
      <c r="N14" s="117" t="n">
        <f aca="false">SUMIFS(الريسبي!$C$2:$C$1800,الريسبي!$A$2:$A$1800,$A14,الريسبي!$B$2:$B$1800,N$1)</f>
        <v>0</v>
      </c>
      <c r="O14" s="117" t="n">
        <f aca="false">SUMIFS(الريسبي!$C$2:$C$1800,الريسبي!$A$2:$A$1800,$A14,الريسبي!$B$2:$B$1800,O$1)</f>
        <v>1</v>
      </c>
      <c r="P14" s="117" t="n">
        <f aca="false">SUMIFS(الريسبي!$C$2:$C$1800,الريسبي!$A$2:$A$1800,$A14,الريسبي!$B$2:$B$1800,P$1)</f>
        <v>0</v>
      </c>
      <c r="Q14" s="117" t="n">
        <f aca="false">SUMIFS(الريسبي!$C$2:$C$1800,الريسبي!$A$2:$A$1800,$A14,الريسبي!$B$2:$B$1800,Q$1)</f>
        <v>0</v>
      </c>
      <c r="R14" s="117" t="n">
        <f aca="false">SUMIFS(الريسبي!$C$2:$C$1800,الريسبي!$A$2:$A$1800,$A14,الريسبي!$B$2:$B$1800,R$1)</f>
        <v>0</v>
      </c>
      <c r="S14" s="117" t="n">
        <f aca="false">SUMIFS(الريسبي!$C$2:$C$1800,الريسبي!$A$2:$A$1800,$A14,الريسبي!$B$2:$B$1800,S$1)</f>
        <v>0</v>
      </c>
      <c r="T14" s="117" t="n">
        <f aca="false">SUMIFS(الريسبي!$C$2:$C$1800,الريسبي!$A$2:$A$1800,$A14,الريسبي!$B$2:$B$1800,T$1)</f>
        <v>0</v>
      </c>
      <c r="U14" s="117" t="n">
        <f aca="false">SUMIFS(الريسبي!$C$2:$C$1800,الريسبي!$A$2:$A$1800,$A14,الريسبي!$B$2:$B$1800,U$1)</f>
        <v>0</v>
      </c>
      <c r="V14" s="117" t="n">
        <f aca="false">SUMIFS(الريسبي!$C$2:$C$1800,الريسبي!$A$2:$A$1800,$A14,الريسبي!$B$2:$B$1800,V$1)+1.5*(SUMIFS(الريسبي!$C$2:$C$1800,الريسبي!$A$2:$A$1800,$A14,الريسبي!$B$2:$B$1800,"برسيون موتزريلا بيتزا كبير"))</f>
        <v>1</v>
      </c>
      <c r="W14" s="117" t="n">
        <f aca="false">0</f>
        <v>0</v>
      </c>
      <c r="X14" s="117" t="n">
        <f aca="false">SUMIFS(الريسبي!$C$2:$C$1800,الريسبي!$A$2:$A$1800,$A14,الريسبي!$B$2:$B$1800,X$1)+1.5*(SUMIFS(الريسبي!$C$2:$C$1800,الريسبي!$A$2:$A$1800,$A14,الريسبي!$B$2:$B$1800,"برسيون موتزريلا فطير كبير"))</f>
        <v>0</v>
      </c>
      <c r="Y14" s="117" t="n">
        <f aca="false">0</f>
        <v>0</v>
      </c>
      <c r="Z14" s="117" t="n">
        <f aca="false">SUMIFS(الريسبي!$C$2:$C$1800,الريسبي!$A$2:$A$1800,$A14,الريسبي!$B$2:$B$1800,Z$1)</f>
        <v>0</v>
      </c>
      <c r="AA14" s="117" t="n">
        <f aca="false">SUMIFS(الريسبي!$C$2:$C$1800,الريسبي!$A$2:$A$1800,$A14,الريسبي!$B$2:$B$1800,AA$1)</f>
        <v>0</v>
      </c>
      <c r="AB14" s="117" t="n">
        <f aca="false">SUMIFS(الريسبي!$C$2:$C$1800,الريسبي!$A$2:$A$1800,$A14,الريسبي!$B$2:$B$1800,AB$1)</f>
        <v>0</v>
      </c>
      <c r="AC14" s="117" t="n">
        <f aca="false">SUMIFS(الريسبي!$C$2:$C$1800,الريسبي!$A$2:$A$1800,$A14,الريسبي!$B$2:$B$1800,AC$1)</f>
        <v>0</v>
      </c>
      <c r="AD14" s="117" t="n">
        <f aca="false">SUMIFS(الريسبي!$C$2:$C$1800,الريسبي!$A$2:$A$1800,$A14,الريسبي!$B$2:$B$1800,AD$1)</f>
        <v>0</v>
      </c>
      <c r="AE14" s="117" t="n">
        <f aca="false">SUMIFS(الريسبي!$C$2:$C$1800,الريسبي!$A$2:$A$1800,$A14,الريسبي!$B$2:$B$1800,AE$1)</f>
        <v>0</v>
      </c>
      <c r="AF14" s="117" t="n">
        <f aca="false">SUMIFS(الريسبي!$C$2:$C$1800,الريسبي!$A$2:$A$1800,$A14,الريسبي!$B$2:$B$1800,AF$1)</f>
        <v>0</v>
      </c>
      <c r="AG14" s="117" t="n">
        <f aca="false">SUMIFS(الريسبي!$C$2:$C$1800,الريسبي!$A$2:$A$1800,$A14,الريسبي!$B$2:$B$1800,AG$1)</f>
        <v>0</v>
      </c>
      <c r="AH14" s="117" t="n">
        <f aca="false">SUMIFS(الريسبي!$C$2:$C$1800,الريسبي!$A$2:$A$1800,$A14,الريسبي!$B$2:$B$1800,AH$1)</f>
        <v>0</v>
      </c>
      <c r="AI14" s="117" t="n">
        <f aca="false">SUMIFS(الريسبي!$C$2:$C$1800,الريسبي!$A$2:$A$1800,$A14,الريسبي!$B$2:$B$1800,AI$1)</f>
        <v>0</v>
      </c>
      <c r="AJ14" s="117" t="n">
        <f aca="false">SUMIFS(الريسبي!$C$2:$C$1800,الريسبي!$A$2:$A$1800,$A14,الريسبي!$B$2:$B$1800,AJ$1)</f>
        <v>2</v>
      </c>
      <c r="AK14" s="117" t="n">
        <f aca="false">SUMIFS(الريسبي!$C$2:$C$1800,الريسبي!$A$2:$A$1800,$A14,الريسبي!$B$2:$B$1800,AK$1)</f>
        <v>0</v>
      </c>
      <c r="AL14" s="117" t="n">
        <f aca="false">SUMIFS(الريسبي!$C$2:$C$1800,الريسبي!$A$2:$A$1800,$A14,الريسبي!$B$2:$B$1800,AL$1)</f>
        <v>0</v>
      </c>
      <c r="AM14" s="117" t="n">
        <f aca="false">SUMIFS(الريسبي!$C$2:$C$1800,الريسبي!$A$2:$A$1800,$A14,الريسبي!$B$2:$B$1800,AM$1)+0.08333333333*SUMIFS(الريسبي!$C$2:$C$1800,الريسبي!$A$2:$A$1800,$A14,الريسبي!$B$2:$B$1800,"عجين كريب (مصنع بالمطعم)")+0.08333333333*SUMIFS(الريسبي!$C$2:$C$1800,الريسبي!$A$2:$A$1800,$A14,الريسبي!$B$2:$B$1800,"عجين كريب صيامي (بدون لبن)")</f>
        <v>0</v>
      </c>
      <c r="AN14" s="117" t="n">
        <f aca="false">SUMIFS(الريسبي!$C$2:$C$1800,الريسبي!$A$2:$A$1800,$A14,الريسبي!$B$2:$B$1800,AN$1)+0.004166666667*SUMIFS(الريسبي!$C$2:$C$1800,الريسبي!$A$2:$A$1800,$A14,الريسبي!$B$2:$B$1800,"عجين كريب (مصنع بالمطعم)")+0.004166666667*SUMIFS(الريسبي!$C$2:$C$1800,الريسبي!$A$2:$A$1800,$A14,الريسبي!$B$2:$B$1800,"عجين كريب صيامي (بدون لبن)")</f>
        <v>0</v>
      </c>
      <c r="AO14" s="117" t="n">
        <f aca="false">SUMIFS(الريسبي!$C$2:$C$1800,الريسبي!$A$2:$A$1800,$A14,الريسبي!$B$2:$B$1800,AO$1)</f>
        <v>0</v>
      </c>
      <c r="AP14" s="117" t="n">
        <f aca="false">SUMIFS(الريسبي!$C$2:$C$1800,الريسبي!$A$2:$A$1800,$A14,الريسبي!$B$2:$B$1800,AP$1)</f>
        <v>0.02</v>
      </c>
      <c r="AQ14" s="117" t="n">
        <f aca="false">SUMIFS(الريسبي!$C$2:$C$1800,الريسبي!$A$2:$A$1800,$A14,الريسبي!$B$2:$B$1800,AQ$1)+0.004166666667*SUMIFS(الريسبي!$C$2:$C$1800,الريسبي!$A$2:$A$1800,$A14,الريسبي!$B$2:$B$1800,"عجين كريب (مصنع بالمطعم)")+0.004166666667*SUMIFS(الريسبي!$C$2:$C$1800,الريسبي!$A$2:$A$1800,$A14,الريسبي!$B$2:$B$1800,"عجين كريب صيامي (بدون لبن)")</f>
        <v>0</v>
      </c>
      <c r="AR14" s="117" t="n">
        <f aca="false">SUMIFS(الريسبي!$C$2:$C$1800,الريسبي!$A$2:$A$1800,$A14,الريسبي!$B$2:$B$1800,AR$1)</f>
        <v>0</v>
      </c>
      <c r="AS14" s="117" t="n">
        <f aca="false">SUMIFS(الريسبي!$C$2:$C$1800,الريسبي!$A$2:$A$1800,$A14,الريسبي!$B$2:$B$1800,AS$1)</f>
        <v>0</v>
      </c>
      <c r="AT14" s="117" t="n">
        <f aca="false">SUMIFS(الريسبي!$C$2:$C$1800,الريسبي!$A$2:$A$1800,$A14,الريسبي!$B$2:$B$1800,AT$1)</f>
        <v>0</v>
      </c>
      <c r="AU14" s="117" t="n">
        <f aca="false">SUMIFS(الريسبي!$C$2:$C$1800,الريسبي!$A$2:$A$1800,$A14,الريسبي!$B$2:$B$1800,AU$1)</f>
        <v>0</v>
      </c>
      <c r="AV14" s="117" t="n">
        <f aca="false">SUMIFS(الريسبي!$C$2:$C$1800,الريسبي!$A$2:$A$1800,$A14,الريسبي!$B$2:$B$1800,AV$1)</f>
        <v>0</v>
      </c>
      <c r="AW14" s="117" t="n">
        <f aca="false">SUMIFS(الريسبي!$C$2:$C$1800,الريسبي!$A$2:$A$1800,$A14,الريسبي!$B$2:$B$1800,AW$1)</f>
        <v>0</v>
      </c>
      <c r="AX14" s="117" t="n">
        <f aca="false">SUMIFS(الريسبي!$C$2:$C$1800,الريسبي!$A$2:$A$1800,$A14,الريسبي!$B$2:$B$1800,AX$1)</f>
        <v>0.04</v>
      </c>
      <c r="AY14" s="117" t="n">
        <f aca="false">SUMIFS(الريسبي!$C$2:$C$1800,الريسبي!$A$2:$A$1800,$A14,الريسبي!$B$2:$B$1800,AY$1)</f>
        <v>0.1</v>
      </c>
      <c r="AZ14" s="117" t="n">
        <f aca="false">SUMIFS(الريسبي!$C$2:$C$1800,الريسبي!$A$2:$A$1800,$A14,الريسبي!$B$2:$B$1800,AZ$1)</f>
        <v>0</v>
      </c>
      <c r="BA14" s="117" t="n">
        <f aca="false">SUMIFS(الريسبي!$C$2:$C$1800,الريسبي!$A$2:$A$1800,$A14,الريسبي!$B$2:$B$1800,BA$1)</f>
        <v>0</v>
      </c>
      <c r="BB14" s="117" t="n">
        <f aca="false">SUMIFS(الريسبي!$C$2:$C$1800,الريسبي!$A$2:$A$1800,$A14,الريسبي!$B$2:$B$1800,BB$1)</f>
        <v>0</v>
      </c>
      <c r="BC14" s="117" t="n">
        <f aca="false">SUMIFS(الريسبي!$C$2:$C$1800,الريسبي!$A$2:$A$1800,$A14,الريسبي!$B$2:$B$1800,BC$1)</f>
        <v>0.03</v>
      </c>
      <c r="BD14" s="117" t="n">
        <f aca="false">SUMIFS(الريسبي!$C$2:$C$1800,الريسبي!$A$2:$A$1800,$A14,الريسبي!$B$2:$B$1800,BD$1)</f>
        <v>0.22</v>
      </c>
      <c r="BE14" s="117" t="n">
        <f aca="false">SUMIFS(الريسبي!$C$2:$C$1800,الريسبي!$A$2:$A$1800,$A14,الريسبي!$B$2:$B$1800,BE$1)</f>
        <v>0</v>
      </c>
      <c r="BF14" s="117" t="n">
        <f aca="false">SUMIFS(الريسبي!$C$2:$C$1800,الريسبي!$A$2:$A$1800,$A14,الريسبي!$B$2:$B$1800,BF$1)</f>
        <v>0</v>
      </c>
      <c r="BG14" s="117" t="n">
        <f aca="false">SUMIFS(الريسبي!$C$2:$C$1800,الريسبي!$A$2:$A$1800,$A14,الريسبي!$B$2:$B$1800,BG$1)</f>
        <v>0</v>
      </c>
      <c r="BH14" s="117" t="n">
        <f aca="false">SUMIFS(الريسبي!$C$2:$C$1800,الريسبي!$A$2:$A$1800,$A14,الريسبي!$B$2:$B$1800,BH$1)</f>
        <v>1</v>
      </c>
      <c r="BI14" s="117" t="n">
        <f aca="false">SUMIFS(الريسبي!$C$2:$C$1800,الريسبي!$A$2:$A$1800,$A14,الريسبي!$B$2:$B$1800,BI$1)</f>
        <v>0</v>
      </c>
      <c r="BJ14" s="117" t="n">
        <f aca="false">SUMIFS(الريسبي!$C$2:$C$1800,الريسبي!$A$2:$A$1800,$A14,الريسبي!$B$2:$B$1800,BJ$1)</f>
        <v>0</v>
      </c>
      <c r="BK14" s="117" t="n">
        <f aca="false">SUMIFS(الريسبي!$C$2:$C$1800,الريسبي!$A$2:$A$1800,$A14,الريسبي!$B$2:$B$1800,BK$1)</f>
        <v>0</v>
      </c>
      <c r="BL14" s="117" t="n">
        <f aca="false">SUMIFS(الريسبي!$C$2:$C$1800,الريسبي!$A$2:$A$1800,$A14,الريسبي!$B$2:$B$1800,BL$1)</f>
        <v>0</v>
      </c>
      <c r="BM14" s="117" t="n">
        <f aca="false">SUMIFS(الريسبي!$C$2:$C$1800,الريسبي!$A$2:$A$1800,$A14,الريسبي!$B$2:$B$1800,BM$1)</f>
        <v>0</v>
      </c>
      <c r="BN14" s="117" t="n">
        <f aca="false">SUMIFS(الريسبي!$C$2:$C$1800,الريسبي!$A$2:$A$1800,$A14,الريسبي!$B$2:$B$1800,BN$1)</f>
        <v>0.02</v>
      </c>
      <c r="BO14" s="117" t="n">
        <f aca="false">SUMIFS(الريسبي!$C$2:$C$1800,الريسبي!$A$2:$A$1800,$A14,الريسبي!$B$2:$B$1800,BO$1)</f>
        <v>0</v>
      </c>
      <c r="BP14" s="117" t="n">
        <f aca="false">SUMIFS(الريسبي!$C$2:$C$1800,الريسبي!$A$2:$A$1800,$A14,الريسبي!$B$2:$B$1800,BP$1)</f>
        <v>2</v>
      </c>
      <c r="BQ14" s="117" t="n">
        <f aca="false">SUMIFS(الريسبي!$C$2:$C$1800,الريسبي!$A$2:$A$1800,$A14,الريسبي!$B$2:$B$1800,BQ$1)+0.17*SUMIFS(الريسبي!$C$2:$C$1800,الريسبي!$A$2:$A$1800,$A14,الريسبي!$B$2:$B$1800,"كاسترد مصنع (خليط بودر + لبن)")+0.17*SUMIFS(الريسبي!$C$2:$C$1800,الريسبي!$A$2:$A$1800,$A14,الريسبي!$B$2:$B$1800,"كاسترد مصنع صيامي (بدون لبن)")</f>
        <v>0</v>
      </c>
      <c r="BR14" s="117" t="n">
        <f aca="false">SUMIFS(الريسبي!$C$2:$C$1800,الريسبي!$A$2:$A$1800,$A14,الريسبي!$B$2:$B$1800,BR$1)</f>
        <v>1</v>
      </c>
      <c r="BS14" s="117" t="n">
        <f aca="false">SUMIFS(الريسبي!$C$2:$C$1800,الريسبي!$A$2:$A$1800,$A14,الريسبي!$B$2:$B$1800,BS$1)</f>
        <v>0</v>
      </c>
      <c r="BT14" s="117" t="n">
        <f aca="false">SUMIFS(الريسبي!$C$2:$C$1800,الريسبي!$A$2:$A$1800,$A14,الريسبي!$B$2:$B$1800,BT$1)</f>
        <v>0</v>
      </c>
      <c r="BU14" s="117" t="n">
        <f aca="false">SUMIFS(الريسبي!$C$2:$C$1800,الريسبي!$A$2:$A$1800,$A14,الريسبي!$B$2:$B$1800,BU$1)+0.4*SUMIFS(الريسبي!$C$2:$C$1800,الريسبي!$A$2:$A$1800,$A14,الريسبي!$B$2:$B$1800,"كاسترد مصنع (خليط بودر + لبن)")+0.03333333333*SUMIFS(الريسبي!$C$2:$C$1800,الريسبي!$A$2:$A$1800,$A14,الريسبي!$B$2:$B$1800,"عجين كريب (مصنع بالمطعم)")</f>
        <v>0</v>
      </c>
      <c r="BV14" s="117" t="n">
        <f aca="false">SUMIFS(الريسبي!$C$2:$C$1800,الريسبي!$A$2:$A$1800,$A14,الريسبي!$B$2:$B$1800,BV$1)</f>
        <v>0</v>
      </c>
      <c r="BW14" s="117" t="n">
        <f aca="false">SUMIFS(الريسبي!$C$2:$C$1800,الريسبي!$A$2:$A$1800,$A14,الريسبي!$B$2:$B$1800,BW$1)</f>
        <v>0</v>
      </c>
      <c r="BX14" s="117" t="n">
        <f aca="false">SUMIFS(الريسبي!$C$2:$C$1800,الريسبي!$A$2:$A$1800,$A14,الريسبي!$B$2:$B$1800,BX$1)</f>
        <v>0</v>
      </c>
      <c r="BY14" s="117" t="n">
        <f aca="false">SUMIFS(الريسبي!$C$2:$C$1800,الريسبي!$A$2:$A$1800,$A14,الريسبي!$B$2:$B$1800,BY$1)</f>
        <v>0</v>
      </c>
      <c r="BZ14" s="117" t="n">
        <f aca="false">SUMIFS(الريسبي!$C$2:$C$1800,الريسبي!$A$2:$A$1800,$A14,الريسبي!$B$2:$B$1800,BZ$1)</f>
        <v>0</v>
      </c>
      <c r="CA14" s="117" t="n">
        <f aca="false">SUMIFS(الريسبي!$C$2:$C$1800,الريسبي!$A$2:$A$1800,$A14,الريسبي!$B$2:$B$1800,CA$1)</f>
        <v>1</v>
      </c>
      <c r="CB14" s="117" t="n">
        <f aca="false">SUMIFS(الريسبي!$C$2:$C$1800,الريسبي!$A$2:$A$1800,$A14,الريسبي!$B$2:$B$1800,CB$1)</f>
        <v>1</v>
      </c>
      <c r="CC14" s="117" t="n">
        <f aca="false">SUMIFS(الريسبي!$C$2:$C$1800,الريسبي!$A$2:$A$1800,$A14,الريسبي!$B$2:$B$1800,CC$1)</f>
        <v>0</v>
      </c>
      <c r="CD14" s="117" t="n">
        <f aca="false">SUMIFS(الريسبي!$C$2:$C$1800,الريسبي!$A$2:$A$1800,$A14,الريسبي!$B$2:$B$1800,CD$1)</f>
        <v>0</v>
      </c>
      <c r="CE14" s="117" t="n">
        <f aca="false">SUMIFS(الريسبي!$C$2:$C$1800,الريسبي!$A$2:$A$1800,$A14,الريسبي!$B$2:$B$1800,CE$1)</f>
        <v>0</v>
      </c>
      <c r="CF14" s="117" t="n">
        <f aca="false">SUMIFS(الريسبي!$C$2:$C$1800,الريسبي!$A$2:$A$1800,$A14,الريسبي!$B$2:$B$1800,CF$1)</f>
        <v>0</v>
      </c>
      <c r="CG14" s="117" t="n">
        <f aca="false">SUMIFS(الريسبي!$C$2:$C$1800,الريسبي!$A$2:$A$1800,$A14,الريسبي!$B$2:$B$1800,CG$1)</f>
        <v>0</v>
      </c>
      <c r="CH14" s="117" t="n">
        <f aca="false">SUMIFS(الريسبي!$C$2:$C$1800,الريسبي!$A$2:$A$1800,$A14,الريسبي!$B$2:$B$1800,CH$1)</f>
        <v>0</v>
      </c>
      <c r="CI14" s="117" t="n">
        <f aca="false">SUMIFS(الريسبي!$C$2:$C$1800,الريسبي!$A$2:$A$1800,$A14,الريسبي!$B$2:$B$1800,CI$1)</f>
        <v>0</v>
      </c>
      <c r="CJ14" s="117" t="n">
        <f aca="false">SUMIFS(الريسبي!$C$2:$C$1800,الريسبي!$A$2:$A$1800,$A14,الريسبي!$B$2:$B$1800,CJ$1)</f>
        <v>0</v>
      </c>
      <c r="CK14" s="117" t="n">
        <f aca="false">SUMIFS(الريسبي!$C$2:$C$1800,الريسبي!$A$2:$A$1800,$A14,الريسبي!$B$2:$B$1800,CK$1)</f>
        <v>0</v>
      </c>
      <c r="CL14" s="117" t="n">
        <f aca="false">SUMIFS(الريسبي!$C$2:$C$1800,الريسبي!$A$2:$A$1800,$A14,الريسبي!$B$2:$B$1800,CL$1)</f>
        <v>0</v>
      </c>
    </row>
    <row r="15" customFormat="false" ht="15" hidden="false" customHeight="false" outlineLevel="0" collapsed="false">
      <c r="A15" s="116" t="str">
        <f aca="false">المنيو!B15</f>
        <v>بيتزا فراخ باربيكيو حجم اكبر</v>
      </c>
      <c r="B15" s="117" t="n">
        <f aca="false">SUMIFS(الريسبي!$C$2:$C$1800,الريسبي!$A$2:$A$1800,$A15,الريسبي!$B$2:$B$1800,B$1)</f>
        <v>0</v>
      </c>
      <c r="C15" s="117" t="n">
        <f aca="false">SUMIFS(الريسبي!$C$2:$C$1800,الريسبي!$A$2:$A$1800,$A15,الريسبي!$B$2:$B$1800,C$1)</f>
        <v>0</v>
      </c>
      <c r="D15" s="117" t="n">
        <f aca="false">SUMIFS(الريسبي!$C$2:$C$1800,الريسبي!$A$2:$A$1800,$A15,الريسبي!$B$2:$B$1800,D$1)</f>
        <v>1</v>
      </c>
      <c r="E15" s="117" t="n">
        <f aca="false">SUMIFS(الريسبي!$C$2:$C$1800,الريسبي!$A$2:$A$1800,$A15,الريسبي!$B$2:$B$1800,E$1)</f>
        <v>0</v>
      </c>
      <c r="F15" s="117" t="n">
        <f aca="false">SUMIFS(الريسبي!$C$2:$C$1800,الريسبي!$A$2:$A$1800,$A15,الريسبي!$B$2:$B$1800,F$1)</f>
        <v>0</v>
      </c>
      <c r="G15" s="117" t="n">
        <f aca="false">SUMIFS(الريسبي!$C$2:$C$1800,الريسبي!$A$2:$A$1800,$A15,الريسبي!$B$2:$B$1800,G$1)</f>
        <v>0</v>
      </c>
      <c r="H15" s="117" t="n">
        <f aca="false">SUMIFS(الريسبي!$C$2:$C$1800,الريسبي!$A$2:$A$1800,$A15,الريسبي!$B$2:$B$1800,H$1)</f>
        <v>0</v>
      </c>
      <c r="I15" s="117" t="n">
        <f aca="false">SUMIFS(الريسبي!$C$2:$C$1800,الريسبي!$A$2:$A$1800,$A15,الريسبي!$B$2:$B$1800,I$1)</f>
        <v>0</v>
      </c>
      <c r="J15" s="117" t="n">
        <f aca="false">SUMIFS(الريسبي!$C$2:$C$1800,الريسبي!$A$2:$A$1800,$A15,الريسبي!$B$2:$B$1800,J$1)</f>
        <v>0</v>
      </c>
      <c r="K15" s="117" t="n">
        <f aca="false">SUMIFS(الريسبي!$C$2:$C$1800,الريسبي!$A$2:$A$1800,$A15,الريسبي!$B$2:$B$1800,K$1)</f>
        <v>0</v>
      </c>
      <c r="L15" s="117" t="n">
        <f aca="false">SUMIFS(الريسبي!$C$2:$C$1800,الريسبي!$A$2:$A$1800,$A15,الريسبي!$B$2:$B$1800,L$1)</f>
        <v>0</v>
      </c>
      <c r="M15" s="117" t="n">
        <f aca="false">SUMIFS(الريسبي!$C$2:$C$1800,الريسبي!$A$2:$A$1800,$A15,الريسبي!$B$2:$B$1800,M$1)</f>
        <v>0</v>
      </c>
      <c r="N15" s="117" t="n">
        <f aca="false">SUMIFS(الريسبي!$C$2:$C$1800,الريسبي!$A$2:$A$1800,$A15,الريسبي!$B$2:$B$1800,N$1)</f>
        <v>0</v>
      </c>
      <c r="O15" s="117" t="n">
        <f aca="false">SUMIFS(الريسبي!$C$2:$C$1800,الريسبي!$A$2:$A$1800,$A15,الريسبي!$B$2:$B$1800,O$1)</f>
        <v>0</v>
      </c>
      <c r="P15" s="117" t="n">
        <f aca="false">SUMIFS(الريسبي!$C$2:$C$1800,الريسبي!$A$2:$A$1800,$A15,الريسبي!$B$2:$B$1800,P$1)</f>
        <v>1</v>
      </c>
      <c r="Q15" s="117" t="n">
        <f aca="false">SUMIFS(الريسبي!$C$2:$C$1800,الريسبي!$A$2:$A$1800,$A15,الريسبي!$B$2:$B$1800,Q$1)</f>
        <v>0</v>
      </c>
      <c r="R15" s="117" t="n">
        <f aca="false">SUMIFS(الريسبي!$C$2:$C$1800,الريسبي!$A$2:$A$1800,$A15,الريسبي!$B$2:$B$1800,R$1)</f>
        <v>0</v>
      </c>
      <c r="S15" s="117" t="n">
        <f aca="false">SUMIFS(الريسبي!$C$2:$C$1800,الريسبي!$A$2:$A$1800,$A15,الريسبي!$B$2:$B$1800,S$1)</f>
        <v>0</v>
      </c>
      <c r="T15" s="117" t="n">
        <f aca="false">SUMIFS(الريسبي!$C$2:$C$1800,الريسبي!$A$2:$A$1800,$A15,الريسبي!$B$2:$B$1800,T$1)</f>
        <v>0</v>
      </c>
      <c r="U15" s="117" t="n">
        <f aca="false">SUMIFS(الريسبي!$C$2:$C$1800,الريسبي!$A$2:$A$1800,$A15,الريسبي!$B$2:$B$1800,U$1)</f>
        <v>0</v>
      </c>
      <c r="V15" s="117" t="n">
        <f aca="false">SUMIFS(الريسبي!$C$2:$C$1800,الريسبي!$A$2:$A$1800,$A15,الريسبي!$B$2:$B$1800,V$1)+1.5*(SUMIFS(الريسبي!$C$2:$C$1800,الريسبي!$A$2:$A$1800,$A15,الريسبي!$B$2:$B$1800,"برسيون موتزريلا بيتزا كبير"))</f>
        <v>1.5</v>
      </c>
      <c r="W15" s="117" t="n">
        <f aca="false">0</f>
        <v>0</v>
      </c>
      <c r="X15" s="117" t="n">
        <f aca="false">SUMIFS(الريسبي!$C$2:$C$1800,الريسبي!$A$2:$A$1800,$A15,الريسبي!$B$2:$B$1800,X$1)+1.5*(SUMIFS(الريسبي!$C$2:$C$1800,الريسبي!$A$2:$A$1800,$A15,الريسبي!$B$2:$B$1800,"برسيون موتزريلا فطير كبير"))</f>
        <v>0</v>
      </c>
      <c r="Y15" s="117" t="n">
        <f aca="false">0</f>
        <v>0</v>
      </c>
      <c r="Z15" s="117" t="n">
        <f aca="false">SUMIFS(الريسبي!$C$2:$C$1800,الريسبي!$A$2:$A$1800,$A15,الريسبي!$B$2:$B$1800,Z$1)</f>
        <v>0</v>
      </c>
      <c r="AA15" s="117" t="n">
        <f aca="false">SUMIFS(الريسبي!$C$2:$C$1800,الريسبي!$A$2:$A$1800,$A15,الريسبي!$B$2:$B$1800,AA$1)</f>
        <v>0</v>
      </c>
      <c r="AB15" s="117" t="n">
        <f aca="false">SUMIFS(الريسبي!$C$2:$C$1800,الريسبي!$A$2:$A$1800,$A15,الريسبي!$B$2:$B$1800,AB$1)</f>
        <v>0</v>
      </c>
      <c r="AC15" s="117" t="n">
        <f aca="false">SUMIFS(الريسبي!$C$2:$C$1800,الريسبي!$A$2:$A$1800,$A15,الريسبي!$B$2:$B$1800,AC$1)</f>
        <v>0</v>
      </c>
      <c r="AD15" s="117" t="n">
        <f aca="false">SUMIFS(الريسبي!$C$2:$C$1800,الريسبي!$A$2:$A$1800,$A15,الريسبي!$B$2:$B$1800,AD$1)</f>
        <v>0</v>
      </c>
      <c r="AE15" s="117" t="n">
        <f aca="false">SUMIFS(الريسبي!$C$2:$C$1800,الريسبي!$A$2:$A$1800,$A15,الريسبي!$B$2:$B$1800,AE$1)</f>
        <v>0</v>
      </c>
      <c r="AF15" s="117" t="n">
        <f aca="false">SUMIFS(الريسبي!$C$2:$C$1800,الريسبي!$A$2:$A$1800,$A15,الريسبي!$B$2:$B$1800,AF$1)</f>
        <v>0</v>
      </c>
      <c r="AG15" s="117" t="n">
        <f aca="false">SUMIFS(الريسبي!$C$2:$C$1800,الريسبي!$A$2:$A$1800,$A15,الريسبي!$B$2:$B$1800,AG$1)</f>
        <v>0</v>
      </c>
      <c r="AH15" s="117" t="n">
        <f aca="false">SUMIFS(الريسبي!$C$2:$C$1800,الريسبي!$A$2:$A$1800,$A15,الريسبي!$B$2:$B$1800,AH$1)</f>
        <v>0</v>
      </c>
      <c r="AI15" s="117" t="n">
        <f aca="false">SUMIFS(الريسبي!$C$2:$C$1800,الريسبي!$A$2:$A$1800,$A15,الريسبي!$B$2:$B$1800,AI$1)</f>
        <v>0</v>
      </c>
      <c r="AJ15" s="117" t="n">
        <f aca="false">SUMIFS(الريسبي!$C$2:$C$1800,الريسبي!$A$2:$A$1800,$A15,الريسبي!$B$2:$B$1800,AJ$1)</f>
        <v>2</v>
      </c>
      <c r="AK15" s="117" t="n">
        <f aca="false">SUMIFS(الريسبي!$C$2:$C$1800,الريسبي!$A$2:$A$1800,$A15,الريسبي!$B$2:$B$1800,AK$1)</f>
        <v>0</v>
      </c>
      <c r="AL15" s="117" t="n">
        <f aca="false">SUMIFS(الريسبي!$C$2:$C$1800,الريسبي!$A$2:$A$1800,$A15,الريسبي!$B$2:$B$1800,AL$1)</f>
        <v>0</v>
      </c>
      <c r="AM15" s="117" t="n">
        <f aca="false">SUMIFS(الريسبي!$C$2:$C$1800,الريسبي!$A$2:$A$1800,$A15,الريسبي!$B$2:$B$1800,AM$1)+0.08333333333*SUMIFS(الريسبي!$C$2:$C$1800,الريسبي!$A$2:$A$1800,$A15,الريسبي!$B$2:$B$1800,"عجين كريب (مصنع بالمطعم)")+0.08333333333*SUMIFS(الريسبي!$C$2:$C$1800,الريسبي!$A$2:$A$1800,$A15,الريسبي!$B$2:$B$1800,"عجين كريب صيامي (بدون لبن)")</f>
        <v>0</v>
      </c>
      <c r="AN15" s="117" t="n">
        <f aca="false">SUMIFS(الريسبي!$C$2:$C$1800,الريسبي!$A$2:$A$1800,$A15,الريسبي!$B$2:$B$1800,AN$1)+0.004166666667*SUMIFS(الريسبي!$C$2:$C$1800,الريسبي!$A$2:$A$1800,$A15,الريسبي!$B$2:$B$1800,"عجين كريب (مصنع بالمطعم)")+0.004166666667*SUMIFS(الريسبي!$C$2:$C$1800,الريسبي!$A$2:$A$1800,$A15,الريسبي!$B$2:$B$1800,"عجين كريب صيامي (بدون لبن)")</f>
        <v>0</v>
      </c>
      <c r="AO15" s="117" t="n">
        <f aca="false">SUMIFS(الريسبي!$C$2:$C$1800,الريسبي!$A$2:$A$1800,$A15,الريسبي!$B$2:$B$1800,AO$1)</f>
        <v>0</v>
      </c>
      <c r="AP15" s="117" t="n">
        <f aca="false">SUMIFS(الريسبي!$C$2:$C$1800,الريسبي!$A$2:$A$1800,$A15,الريسبي!$B$2:$B$1800,AP$1)</f>
        <v>0.03</v>
      </c>
      <c r="AQ15" s="117" t="n">
        <f aca="false">SUMIFS(الريسبي!$C$2:$C$1800,الريسبي!$A$2:$A$1800,$A15,الريسبي!$B$2:$B$1800,AQ$1)+0.004166666667*SUMIFS(الريسبي!$C$2:$C$1800,الريسبي!$A$2:$A$1800,$A15,الريسبي!$B$2:$B$1800,"عجين كريب (مصنع بالمطعم)")+0.004166666667*SUMIFS(الريسبي!$C$2:$C$1800,الريسبي!$A$2:$A$1800,$A15,الريسبي!$B$2:$B$1800,"عجين كريب صيامي (بدون لبن)")</f>
        <v>0</v>
      </c>
      <c r="AR15" s="117" t="n">
        <f aca="false">SUMIFS(الريسبي!$C$2:$C$1800,الريسبي!$A$2:$A$1800,$A15,الريسبي!$B$2:$B$1800,AR$1)</f>
        <v>0</v>
      </c>
      <c r="AS15" s="117" t="n">
        <f aca="false">SUMIFS(الريسبي!$C$2:$C$1800,الريسبي!$A$2:$A$1800,$A15,الريسبي!$B$2:$B$1800,AS$1)</f>
        <v>0</v>
      </c>
      <c r="AT15" s="117" t="n">
        <f aca="false">SUMIFS(الريسبي!$C$2:$C$1800,الريسبي!$A$2:$A$1800,$A15,الريسبي!$B$2:$B$1800,AT$1)</f>
        <v>0</v>
      </c>
      <c r="AU15" s="117" t="n">
        <f aca="false">SUMIFS(الريسبي!$C$2:$C$1800,الريسبي!$A$2:$A$1800,$A15,الريسبي!$B$2:$B$1800,AU$1)</f>
        <v>0</v>
      </c>
      <c r="AV15" s="117" t="n">
        <f aca="false">SUMIFS(الريسبي!$C$2:$C$1800,الريسبي!$A$2:$A$1800,$A15,الريسبي!$B$2:$B$1800,AV$1)</f>
        <v>0</v>
      </c>
      <c r="AW15" s="117" t="n">
        <f aca="false">SUMIFS(الريسبي!$C$2:$C$1800,الريسبي!$A$2:$A$1800,$A15,الريسبي!$B$2:$B$1800,AW$1)</f>
        <v>0</v>
      </c>
      <c r="AX15" s="117" t="n">
        <f aca="false">SUMIFS(الريسبي!$C$2:$C$1800,الريسبي!$A$2:$A$1800,$A15,الريسبي!$B$2:$B$1800,AX$1)</f>
        <v>0.06</v>
      </c>
      <c r="AY15" s="117" t="n">
        <f aca="false">SUMIFS(الريسبي!$C$2:$C$1800,الريسبي!$A$2:$A$1800,$A15,الريسبي!$B$2:$B$1800,AY$1)</f>
        <v>0.15</v>
      </c>
      <c r="AZ15" s="117" t="n">
        <f aca="false">SUMIFS(الريسبي!$C$2:$C$1800,الريسبي!$A$2:$A$1800,$A15,الريسبي!$B$2:$B$1800,AZ$1)</f>
        <v>0</v>
      </c>
      <c r="BA15" s="117" t="n">
        <f aca="false">SUMIFS(الريسبي!$C$2:$C$1800,الريسبي!$A$2:$A$1800,$A15,الريسبي!$B$2:$B$1800,BA$1)</f>
        <v>0</v>
      </c>
      <c r="BB15" s="117" t="n">
        <f aca="false">SUMIFS(الريسبي!$C$2:$C$1800,الريسبي!$A$2:$A$1800,$A15,الريسبي!$B$2:$B$1800,BB$1)</f>
        <v>0</v>
      </c>
      <c r="BC15" s="117" t="n">
        <f aca="false">SUMIFS(الريسبي!$C$2:$C$1800,الريسبي!$A$2:$A$1800,$A15,الريسبي!$B$2:$B$1800,BC$1)</f>
        <v>0.045</v>
      </c>
      <c r="BD15" s="117" t="n">
        <f aca="false">SUMIFS(الريسبي!$C$2:$C$1800,الريسبي!$A$2:$A$1800,$A15,الريسبي!$B$2:$B$1800,BD$1)</f>
        <v>0.3</v>
      </c>
      <c r="BE15" s="117" t="n">
        <f aca="false">SUMIFS(الريسبي!$C$2:$C$1800,الريسبي!$A$2:$A$1800,$A15,الريسبي!$B$2:$B$1800,BE$1)</f>
        <v>0</v>
      </c>
      <c r="BF15" s="117" t="n">
        <f aca="false">SUMIFS(الريسبي!$C$2:$C$1800,الريسبي!$A$2:$A$1800,$A15,الريسبي!$B$2:$B$1800,BF$1)</f>
        <v>0</v>
      </c>
      <c r="BG15" s="117" t="n">
        <f aca="false">SUMIFS(الريسبي!$C$2:$C$1800,الريسبي!$A$2:$A$1800,$A15,الريسبي!$B$2:$B$1800,BG$1)</f>
        <v>1</v>
      </c>
      <c r="BH15" s="117" t="n">
        <f aca="false">SUMIFS(الريسبي!$C$2:$C$1800,الريسبي!$A$2:$A$1800,$A15,الريسبي!$B$2:$B$1800,BH$1)</f>
        <v>0</v>
      </c>
      <c r="BI15" s="117" t="n">
        <f aca="false">SUMIFS(الريسبي!$C$2:$C$1800,الريسبي!$A$2:$A$1800,$A15,الريسبي!$B$2:$B$1800,BI$1)</f>
        <v>0</v>
      </c>
      <c r="BJ15" s="117" t="n">
        <f aca="false">SUMIFS(الريسبي!$C$2:$C$1800,الريسبي!$A$2:$A$1800,$A15,الريسبي!$B$2:$B$1800,BJ$1)</f>
        <v>0</v>
      </c>
      <c r="BK15" s="117" t="n">
        <f aca="false">SUMIFS(الريسبي!$C$2:$C$1800,الريسبي!$A$2:$A$1800,$A15,الريسبي!$B$2:$B$1800,BK$1)</f>
        <v>0</v>
      </c>
      <c r="BL15" s="117" t="n">
        <f aca="false">SUMIFS(الريسبي!$C$2:$C$1800,الريسبي!$A$2:$A$1800,$A15,الريسبي!$B$2:$B$1800,BL$1)</f>
        <v>0</v>
      </c>
      <c r="BM15" s="117" t="n">
        <f aca="false">SUMIFS(الريسبي!$C$2:$C$1800,الريسبي!$A$2:$A$1800,$A15,الريسبي!$B$2:$B$1800,BM$1)</f>
        <v>0</v>
      </c>
      <c r="BN15" s="117" t="n">
        <f aca="false">SUMIFS(الريسبي!$C$2:$C$1800,الريسبي!$A$2:$A$1800,$A15,الريسبي!$B$2:$B$1800,BN$1)</f>
        <v>0.03</v>
      </c>
      <c r="BO15" s="117" t="n">
        <f aca="false">SUMIFS(الريسبي!$C$2:$C$1800,الريسبي!$A$2:$A$1800,$A15,الريسبي!$B$2:$B$1800,BO$1)</f>
        <v>0</v>
      </c>
      <c r="BP15" s="117" t="n">
        <f aca="false">SUMIFS(الريسبي!$C$2:$C$1800,الريسبي!$A$2:$A$1800,$A15,الريسبي!$B$2:$B$1800,BP$1)</f>
        <v>3</v>
      </c>
      <c r="BQ15" s="117" t="n">
        <f aca="false">SUMIFS(الريسبي!$C$2:$C$1800,الريسبي!$A$2:$A$1800,$A15,الريسبي!$B$2:$B$1800,BQ$1)+0.17*SUMIFS(الريسبي!$C$2:$C$1800,الريسبي!$A$2:$A$1800,$A15,الريسبي!$B$2:$B$1800,"كاسترد مصنع (خليط بودر + لبن)")+0.17*SUMIFS(الريسبي!$C$2:$C$1800,الريسبي!$A$2:$A$1800,$A15,الريسبي!$B$2:$B$1800,"كاسترد مصنع صيامي (بدون لبن)")</f>
        <v>0</v>
      </c>
      <c r="BR15" s="117" t="n">
        <f aca="false">SUMIFS(الريسبي!$C$2:$C$1800,الريسبي!$A$2:$A$1800,$A15,الريسبي!$B$2:$B$1800,BR$1)</f>
        <v>1</v>
      </c>
      <c r="BS15" s="117" t="n">
        <f aca="false">SUMIFS(الريسبي!$C$2:$C$1800,الريسبي!$A$2:$A$1800,$A15,الريسبي!$B$2:$B$1800,BS$1)</f>
        <v>0</v>
      </c>
      <c r="BT15" s="117" t="n">
        <f aca="false">SUMIFS(الريسبي!$C$2:$C$1800,الريسبي!$A$2:$A$1800,$A15,الريسبي!$B$2:$B$1800,BT$1)</f>
        <v>0</v>
      </c>
      <c r="BU15" s="117" t="n">
        <f aca="false">SUMIFS(الريسبي!$C$2:$C$1800,الريسبي!$A$2:$A$1800,$A15,الريسبي!$B$2:$B$1800,BU$1)+0.4*SUMIFS(الريسبي!$C$2:$C$1800,الريسبي!$A$2:$A$1800,$A15,الريسبي!$B$2:$B$1800,"كاسترد مصنع (خليط بودر + لبن)")+0.03333333333*SUMIFS(الريسبي!$C$2:$C$1800,الريسبي!$A$2:$A$1800,$A15,الريسبي!$B$2:$B$1800,"عجين كريب (مصنع بالمطعم)")</f>
        <v>0</v>
      </c>
      <c r="BV15" s="117" t="n">
        <f aca="false">SUMIFS(الريسبي!$C$2:$C$1800,الريسبي!$A$2:$A$1800,$A15,الريسبي!$B$2:$B$1800,BV$1)</f>
        <v>0</v>
      </c>
      <c r="BW15" s="117" t="n">
        <f aca="false">SUMIFS(الريسبي!$C$2:$C$1800,الريسبي!$A$2:$A$1800,$A15,الريسبي!$B$2:$B$1800,BW$1)</f>
        <v>0</v>
      </c>
      <c r="BX15" s="117" t="n">
        <f aca="false">SUMIFS(الريسبي!$C$2:$C$1800,الريسبي!$A$2:$A$1800,$A15,الريسبي!$B$2:$B$1800,BX$1)</f>
        <v>0</v>
      </c>
      <c r="BY15" s="117" t="n">
        <f aca="false">SUMIFS(الريسبي!$C$2:$C$1800,الريسبي!$A$2:$A$1800,$A15,الريسبي!$B$2:$B$1800,BY$1)</f>
        <v>0</v>
      </c>
      <c r="BZ15" s="117" t="n">
        <f aca="false">SUMIFS(الريسبي!$C$2:$C$1800,الريسبي!$A$2:$A$1800,$A15,الريسبي!$B$2:$B$1800,BZ$1)</f>
        <v>0</v>
      </c>
      <c r="CA15" s="117" t="n">
        <f aca="false">SUMIFS(الريسبي!$C$2:$C$1800,الريسبي!$A$2:$A$1800,$A15,الريسبي!$B$2:$B$1800,CA$1)</f>
        <v>1</v>
      </c>
      <c r="CB15" s="117" t="n">
        <f aca="false">SUMIFS(الريسبي!$C$2:$C$1800,الريسبي!$A$2:$A$1800,$A15,الريسبي!$B$2:$B$1800,CB$1)</f>
        <v>1</v>
      </c>
      <c r="CC15" s="117" t="n">
        <f aca="false">SUMIFS(الريسبي!$C$2:$C$1800,الريسبي!$A$2:$A$1800,$A15,الريسبي!$B$2:$B$1800,CC$1)</f>
        <v>0</v>
      </c>
      <c r="CD15" s="117" t="n">
        <f aca="false">SUMIFS(الريسبي!$C$2:$C$1800,الريسبي!$A$2:$A$1800,$A15,الريسبي!$B$2:$B$1800,CD$1)</f>
        <v>0</v>
      </c>
      <c r="CE15" s="117" t="n">
        <f aca="false">SUMIFS(الريسبي!$C$2:$C$1800,الريسبي!$A$2:$A$1800,$A15,الريسبي!$B$2:$B$1800,CE$1)</f>
        <v>0</v>
      </c>
      <c r="CF15" s="117" t="n">
        <f aca="false">SUMIFS(الريسبي!$C$2:$C$1800,الريسبي!$A$2:$A$1800,$A15,الريسبي!$B$2:$B$1800,CF$1)</f>
        <v>0</v>
      </c>
      <c r="CG15" s="117" t="n">
        <f aca="false">SUMIFS(الريسبي!$C$2:$C$1800,الريسبي!$A$2:$A$1800,$A15,الريسبي!$B$2:$B$1800,CG$1)</f>
        <v>0</v>
      </c>
      <c r="CH15" s="117" t="n">
        <f aca="false">SUMIFS(الريسبي!$C$2:$C$1800,الريسبي!$A$2:$A$1800,$A15,الريسبي!$B$2:$B$1800,CH$1)</f>
        <v>0</v>
      </c>
      <c r="CI15" s="117" t="n">
        <f aca="false">SUMIFS(الريسبي!$C$2:$C$1800,الريسبي!$A$2:$A$1800,$A15,الريسبي!$B$2:$B$1800,CI$1)</f>
        <v>0</v>
      </c>
      <c r="CJ15" s="117" t="n">
        <f aca="false">SUMIFS(الريسبي!$C$2:$C$1800,الريسبي!$A$2:$A$1800,$A15,الريسبي!$B$2:$B$1800,CJ$1)</f>
        <v>0</v>
      </c>
      <c r="CK15" s="117" t="n">
        <f aca="false">SUMIFS(الريسبي!$C$2:$C$1800,الريسبي!$A$2:$A$1800,$A15,الريسبي!$B$2:$B$1800,CK$1)</f>
        <v>0</v>
      </c>
      <c r="CL15" s="117" t="n">
        <f aca="false">SUMIFS(الريسبي!$C$2:$C$1800,الريسبي!$A$2:$A$1800,$A15,الريسبي!$B$2:$B$1800,CL$1)</f>
        <v>0</v>
      </c>
    </row>
    <row r="16" customFormat="false" ht="15" hidden="false" customHeight="false" outlineLevel="0" collapsed="false">
      <c r="A16" s="116" t="str">
        <f aca="false">المنيو!B16</f>
        <v>بيتزا فراخ كريسبي رانش وسط</v>
      </c>
      <c r="B16" s="117" t="n">
        <f aca="false">SUMIFS(الريسبي!$C$2:$C$1800,الريسبي!$A$2:$A$1800,$A16,الريسبي!$B$2:$B$1800,B$1)</f>
        <v>0</v>
      </c>
      <c r="C16" s="117" t="n">
        <f aca="false">SUMIFS(الريسبي!$C$2:$C$1800,الريسبي!$A$2:$A$1800,$A16,الريسبي!$B$2:$B$1800,C$1)</f>
        <v>0</v>
      </c>
      <c r="D16" s="117" t="n">
        <f aca="false">SUMIFS(الريسبي!$C$2:$C$1800,الريسبي!$A$2:$A$1800,$A16,الريسبي!$B$2:$B$1800,D$1)</f>
        <v>1</v>
      </c>
      <c r="E16" s="117" t="n">
        <f aca="false">SUMIFS(الريسبي!$C$2:$C$1800,الريسبي!$A$2:$A$1800,$A16,الريسبي!$B$2:$B$1800,E$1)</f>
        <v>0</v>
      </c>
      <c r="F16" s="117" t="n">
        <f aca="false">SUMIFS(الريسبي!$C$2:$C$1800,الريسبي!$A$2:$A$1800,$A16,الريسبي!$B$2:$B$1800,F$1)</f>
        <v>0</v>
      </c>
      <c r="G16" s="117" t="n">
        <f aca="false">SUMIFS(الريسبي!$C$2:$C$1800,الريسبي!$A$2:$A$1800,$A16,الريسبي!$B$2:$B$1800,G$1)</f>
        <v>0</v>
      </c>
      <c r="H16" s="117" t="n">
        <f aca="false">SUMIFS(الريسبي!$C$2:$C$1800,الريسبي!$A$2:$A$1800,$A16,الريسبي!$B$2:$B$1800,H$1)</f>
        <v>0</v>
      </c>
      <c r="I16" s="117" t="n">
        <f aca="false">SUMIFS(الريسبي!$C$2:$C$1800,الريسبي!$A$2:$A$1800,$A16,الريسبي!$B$2:$B$1800,I$1)</f>
        <v>0</v>
      </c>
      <c r="J16" s="117" t="n">
        <f aca="false">SUMIFS(الريسبي!$C$2:$C$1800,الريسبي!$A$2:$A$1800,$A16,الريسبي!$B$2:$B$1800,J$1)</f>
        <v>0</v>
      </c>
      <c r="K16" s="117" t="n">
        <f aca="false">SUMIFS(الريسبي!$C$2:$C$1800,الريسبي!$A$2:$A$1800,$A16,الريسبي!$B$2:$B$1800,K$1)</f>
        <v>0</v>
      </c>
      <c r="L16" s="117" t="n">
        <f aca="false">SUMIFS(الريسبي!$C$2:$C$1800,الريسبي!$A$2:$A$1800,$A16,الريسبي!$B$2:$B$1800,L$1)</f>
        <v>0</v>
      </c>
      <c r="M16" s="117" t="n">
        <f aca="false">SUMIFS(الريسبي!$C$2:$C$1800,الريسبي!$A$2:$A$1800,$A16,الريسبي!$B$2:$B$1800,M$1)</f>
        <v>0</v>
      </c>
      <c r="N16" s="117" t="n">
        <f aca="false">SUMIFS(الريسبي!$C$2:$C$1800,الريسبي!$A$2:$A$1800,$A16,الريسبي!$B$2:$B$1800,N$1)</f>
        <v>0</v>
      </c>
      <c r="O16" s="117" t="n">
        <f aca="false">SUMIFS(الريسبي!$C$2:$C$1800,الريسبي!$A$2:$A$1800,$A16,الريسبي!$B$2:$B$1800,O$1)</f>
        <v>0</v>
      </c>
      <c r="P16" s="117" t="n">
        <f aca="false">SUMIFS(الريسبي!$C$2:$C$1800,الريسبي!$A$2:$A$1800,$A16,الريسبي!$B$2:$B$1800,P$1)</f>
        <v>0</v>
      </c>
      <c r="Q16" s="117" t="n">
        <f aca="false">SUMIFS(الريسبي!$C$2:$C$1800,الريسبي!$A$2:$A$1800,$A16,الريسبي!$B$2:$B$1800,Q$1)</f>
        <v>1</v>
      </c>
      <c r="R16" s="117" t="n">
        <f aca="false">SUMIFS(الريسبي!$C$2:$C$1800,الريسبي!$A$2:$A$1800,$A16,الريسبي!$B$2:$B$1800,R$1)</f>
        <v>0</v>
      </c>
      <c r="S16" s="117" t="n">
        <f aca="false">SUMIFS(الريسبي!$C$2:$C$1800,الريسبي!$A$2:$A$1800,$A16,الريسبي!$B$2:$B$1800,S$1)</f>
        <v>0</v>
      </c>
      <c r="T16" s="117" t="n">
        <f aca="false">SUMIFS(الريسبي!$C$2:$C$1800,الريسبي!$A$2:$A$1800,$A16,الريسبي!$B$2:$B$1800,T$1)</f>
        <v>0</v>
      </c>
      <c r="U16" s="117" t="n">
        <f aca="false">SUMIFS(الريسبي!$C$2:$C$1800,الريسبي!$A$2:$A$1800,$A16,الريسبي!$B$2:$B$1800,U$1)</f>
        <v>0</v>
      </c>
      <c r="V16" s="117" t="n">
        <f aca="false">SUMIFS(الريسبي!$C$2:$C$1800,الريسبي!$A$2:$A$1800,$A16,الريسبي!$B$2:$B$1800,V$1)+1.5*(SUMIFS(الريسبي!$C$2:$C$1800,الريسبي!$A$2:$A$1800,$A16,الريسبي!$B$2:$B$1800,"برسيون موتزريلا بيتزا كبير"))</f>
        <v>1</v>
      </c>
      <c r="W16" s="117" t="n">
        <f aca="false">0</f>
        <v>0</v>
      </c>
      <c r="X16" s="117" t="n">
        <f aca="false">SUMIFS(الريسبي!$C$2:$C$1800,الريسبي!$A$2:$A$1800,$A16,الريسبي!$B$2:$B$1800,X$1)+1.5*(SUMIFS(الريسبي!$C$2:$C$1800,الريسبي!$A$2:$A$1800,$A16,الريسبي!$B$2:$B$1800,"برسيون موتزريلا فطير كبير"))</f>
        <v>0</v>
      </c>
      <c r="Y16" s="117" t="n">
        <f aca="false">0</f>
        <v>0</v>
      </c>
      <c r="Z16" s="117" t="n">
        <f aca="false">SUMIFS(الريسبي!$C$2:$C$1800,الريسبي!$A$2:$A$1800,$A16,الريسبي!$B$2:$B$1800,Z$1)</f>
        <v>0</v>
      </c>
      <c r="AA16" s="117" t="n">
        <f aca="false">SUMIFS(الريسبي!$C$2:$C$1800,الريسبي!$A$2:$A$1800,$A16,الريسبي!$B$2:$B$1800,AA$1)</f>
        <v>0</v>
      </c>
      <c r="AB16" s="117" t="n">
        <f aca="false">SUMIFS(الريسبي!$C$2:$C$1800,الريسبي!$A$2:$A$1800,$A16,الريسبي!$B$2:$B$1800,AB$1)</f>
        <v>0</v>
      </c>
      <c r="AC16" s="117" t="n">
        <f aca="false">SUMIFS(الريسبي!$C$2:$C$1800,الريسبي!$A$2:$A$1800,$A16,الريسبي!$B$2:$B$1800,AC$1)</f>
        <v>0</v>
      </c>
      <c r="AD16" s="117" t="n">
        <f aca="false">SUMIFS(الريسبي!$C$2:$C$1800,الريسبي!$A$2:$A$1800,$A16,الريسبي!$B$2:$B$1800,AD$1)</f>
        <v>0</v>
      </c>
      <c r="AE16" s="117" t="n">
        <f aca="false">SUMIFS(الريسبي!$C$2:$C$1800,الريسبي!$A$2:$A$1800,$A16,الريسبي!$B$2:$B$1800,AE$1)</f>
        <v>0</v>
      </c>
      <c r="AF16" s="117" t="n">
        <f aca="false">SUMIFS(الريسبي!$C$2:$C$1800,الريسبي!$A$2:$A$1800,$A16,الريسبي!$B$2:$B$1800,AF$1)</f>
        <v>0</v>
      </c>
      <c r="AG16" s="117" t="n">
        <f aca="false">SUMIFS(الريسبي!$C$2:$C$1800,الريسبي!$A$2:$A$1800,$A16,الريسبي!$B$2:$B$1800,AG$1)</f>
        <v>0</v>
      </c>
      <c r="AH16" s="117" t="n">
        <f aca="false">SUMIFS(الريسبي!$C$2:$C$1800,الريسبي!$A$2:$A$1800,$A16,الريسبي!$B$2:$B$1800,AH$1)</f>
        <v>0</v>
      </c>
      <c r="AI16" s="117" t="n">
        <f aca="false">SUMIFS(الريسبي!$C$2:$C$1800,الريسبي!$A$2:$A$1800,$A16,الريسبي!$B$2:$B$1800,AI$1)</f>
        <v>0</v>
      </c>
      <c r="AJ16" s="117" t="n">
        <f aca="false">SUMIFS(الريسبي!$C$2:$C$1800,الريسبي!$A$2:$A$1800,$A16,الريسبي!$B$2:$B$1800,AJ$1)</f>
        <v>2</v>
      </c>
      <c r="AK16" s="117" t="n">
        <f aca="false">SUMIFS(الريسبي!$C$2:$C$1800,الريسبي!$A$2:$A$1800,$A16,الريسبي!$B$2:$B$1800,AK$1)</f>
        <v>0</v>
      </c>
      <c r="AL16" s="117" t="n">
        <f aca="false">SUMIFS(الريسبي!$C$2:$C$1800,الريسبي!$A$2:$A$1800,$A16,الريسبي!$B$2:$B$1800,AL$1)</f>
        <v>0</v>
      </c>
      <c r="AM16" s="117" t="n">
        <f aca="false">SUMIFS(الريسبي!$C$2:$C$1800,الريسبي!$A$2:$A$1800,$A16,الريسبي!$B$2:$B$1800,AM$1)+0.08333333333*SUMIFS(الريسبي!$C$2:$C$1800,الريسبي!$A$2:$A$1800,$A16,الريسبي!$B$2:$B$1800,"عجين كريب (مصنع بالمطعم)")+0.08333333333*SUMIFS(الريسبي!$C$2:$C$1800,الريسبي!$A$2:$A$1800,$A16,الريسبي!$B$2:$B$1800,"عجين كريب صيامي (بدون لبن)")</f>
        <v>0</v>
      </c>
      <c r="AN16" s="117" t="n">
        <f aca="false">SUMIFS(الريسبي!$C$2:$C$1800,الريسبي!$A$2:$A$1800,$A16,الريسبي!$B$2:$B$1800,AN$1)+0.004166666667*SUMIFS(الريسبي!$C$2:$C$1800,الريسبي!$A$2:$A$1800,$A16,الريسبي!$B$2:$B$1800,"عجين كريب (مصنع بالمطعم)")+0.004166666667*SUMIFS(الريسبي!$C$2:$C$1800,الريسبي!$A$2:$A$1800,$A16,الريسبي!$B$2:$B$1800,"عجين كريب صيامي (بدون لبن)")</f>
        <v>0</v>
      </c>
      <c r="AO16" s="117" t="n">
        <f aca="false">SUMIFS(الريسبي!$C$2:$C$1800,الريسبي!$A$2:$A$1800,$A16,الريسبي!$B$2:$B$1800,AO$1)</f>
        <v>0</v>
      </c>
      <c r="AP16" s="117" t="n">
        <f aca="false">SUMIFS(الريسبي!$C$2:$C$1800,الريسبي!$A$2:$A$1800,$A16,الريسبي!$B$2:$B$1800,AP$1)</f>
        <v>0.02</v>
      </c>
      <c r="AQ16" s="117" t="n">
        <f aca="false">SUMIFS(الريسبي!$C$2:$C$1800,الريسبي!$A$2:$A$1800,$A16,الريسبي!$B$2:$B$1800,AQ$1)+0.004166666667*SUMIFS(الريسبي!$C$2:$C$1800,الريسبي!$A$2:$A$1800,$A16,الريسبي!$B$2:$B$1800,"عجين كريب (مصنع بالمطعم)")+0.004166666667*SUMIFS(الريسبي!$C$2:$C$1800,الريسبي!$A$2:$A$1800,$A16,الريسبي!$B$2:$B$1800,"عجين كريب صيامي (بدون لبن)")</f>
        <v>0</v>
      </c>
      <c r="AR16" s="117" t="n">
        <f aca="false">SUMIFS(الريسبي!$C$2:$C$1800,الريسبي!$A$2:$A$1800,$A16,الريسبي!$B$2:$B$1800,AR$1)</f>
        <v>0</v>
      </c>
      <c r="AS16" s="117" t="n">
        <f aca="false">SUMIFS(الريسبي!$C$2:$C$1800,الريسبي!$A$2:$A$1800,$A16,الريسبي!$B$2:$B$1800,AS$1)</f>
        <v>0</v>
      </c>
      <c r="AT16" s="117" t="n">
        <f aca="false">SUMIFS(الريسبي!$C$2:$C$1800,الريسبي!$A$2:$A$1800,$A16,الريسبي!$B$2:$B$1800,AT$1)</f>
        <v>0</v>
      </c>
      <c r="AU16" s="117" t="n">
        <f aca="false">SUMIFS(الريسبي!$C$2:$C$1800,الريسبي!$A$2:$A$1800,$A16,الريسبي!$B$2:$B$1800,AU$1)</f>
        <v>0</v>
      </c>
      <c r="AV16" s="117" t="n">
        <f aca="false">SUMIFS(الريسبي!$C$2:$C$1800,الريسبي!$A$2:$A$1800,$A16,الريسبي!$B$2:$B$1800,AV$1)</f>
        <v>0</v>
      </c>
      <c r="AW16" s="117" t="n">
        <f aca="false">SUMIFS(الريسبي!$C$2:$C$1800,الريسبي!$A$2:$A$1800,$A16,الريسبي!$B$2:$B$1800,AW$1)</f>
        <v>0</v>
      </c>
      <c r="AX16" s="117" t="n">
        <f aca="false">SUMIFS(الريسبي!$C$2:$C$1800,الريسبي!$A$2:$A$1800,$A16,الريسبي!$B$2:$B$1800,AX$1)</f>
        <v>0.04</v>
      </c>
      <c r="AY16" s="117" t="n">
        <f aca="false">SUMIFS(الريسبي!$C$2:$C$1800,الريسبي!$A$2:$A$1800,$A16,الريسبي!$B$2:$B$1800,AY$1)</f>
        <v>0</v>
      </c>
      <c r="AZ16" s="117" t="n">
        <f aca="false">SUMIFS(الريسبي!$C$2:$C$1800,الريسبي!$A$2:$A$1800,$A16,الريسبي!$B$2:$B$1800,AZ$1)</f>
        <v>0</v>
      </c>
      <c r="BA16" s="117" t="n">
        <f aca="false">SUMIFS(الريسبي!$C$2:$C$1800,الريسبي!$A$2:$A$1800,$A16,الريسبي!$B$2:$B$1800,BA$1)</f>
        <v>0.1</v>
      </c>
      <c r="BB16" s="117" t="n">
        <f aca="false">SUMIFS(الريسبي!$C$2:$C$1800,الريسبي!$A$2:$A$1800,$A16,الريسبي!$B$2:$B$1800,BB$1)</f>
        <v>0</v>
      </c>
      <c r="BC16" s="117" t="n">
        <f aca="false">SUMIFS(الريسبي!$C$2:$C$1800,الريسبي!$A$2:$A$1800,$A16,الريسبي!$B$2:$B$1800,BC$1)</f>
        <v>0.03</v>
      </c>
      <c r="BD16" s="117" t="n">
        <f aca="false">SUMIFS(الريسبي!$C$2:$C$1800,الريسبي!$A$2:$A$1800,$A16,الريسبي!$B$2:$B$1800,BD$1)</f>
        <v>0.22</v>
      </c>
      <c r="BE16" s="117" t="n">
        <f aca="false">SUMIFS(الريسبي!$C$2:$C$1800,الريسبي!$A$2:$A$1800,$A16,الريسبي!$B$2:$B$1800,BE$1)</f>
        <v>0</v>
      </c>
      <c r="BF16" s="117" t="n">
        <f aca="false">SUMIFS(الريسبي!$C$2:$C$1800,الريسبي!$A$2:$A$1800,$A16,الريسبي!$B$2:$B$1800,BF$1)</f>
        <v>0</v>
      </c>
      <c r="BG16" s="117" t="n">
        <f aca="false">SUMIFS(الريسبي!$C$2:$C$1800,الريسبي!$A$2:$A$1800,$A16,الريسبي!$B$2:$B$1800,BG$1)</f>
        <v>0</v>
      </c>
      <c r="BH16" s="117" t="n">
        <f aca="false">SUMIFS(الريسبي!$C$2:$C$1800,الريسبي!$A$2:$A$1800,$A16,الريسبي!$B$2:$B$1800,BH$1)</f>
        <v>1</v>
      </c>
      <c r="BI16" s="117" t="n">
        <f aca="false">SUMIFS(الريسبي!$C$2:$C$1800,الريسبي!$A$2:$A$1800,$A16,الريسبي!$B$2:$B$1800,BI$1)</f>
        <v>0</v>
      </c>
      <c r="BJ16" s="117" t="n">
        <f aca="false">SUMIFS(الريسبي!$C$2:$C$1800,الريسبي!$A$2:$A$1800,$A16,الريسبي!$B$2:$B$1800,BJ$1)</f>
        <v>0</v>
      </c>
      <c r="BK16" s="117" t="n">
        <f aca="false">SUMIFS(الريسبي!$C$2:$C$1800,الريسبي!$A$2:$A$1800,$A16,الريسبي!$B$2:$B$1800,BK$1)</f>
        <v>0</v>
      </c>
      <c r="BL16" s="117" t="n">
        <f aca="false">SUMIFS(الريسبي!$C$2:$C$1800,الريسبي!$A$2:$A$1800,$A16,الريسبي!$B$2:$B$1800,BL$1)</f>
        <v>0</v>
      </c>
      <c r="BM16" s="117" t="n">
        <f aca="false">SUMIFS(الريسبي!$C$2:$C$1800,الريسبي!$A$2:$A$1800,$A16,الريسبي!$B$2:$B$1800,BM$1)</f>
        <v>0</v>
      </c>
      <c r="BN16" s="117" t="n">
        <f aca="false">SUMIFS(الريسبي!$C$2:$C$1800,الريسبي!$A$2:$A$1800,$A16,الريسبي!$B$2:$B$1800,BN$1)</f>
        <v>0.02</v>
      </c>
      <c r="BO16" s="117" t="n">
        <f aca="false">SUMIFS(الريسبي!$C$2:$C$1800,الريسبي!$A$2:$A$1800,$A16,الريسبي!$B$2:$B$1800,BO$1)</f>
        <v>0</v>
      </c>
      <c r="BP16" s="117" t="n">
        <f aca="false">SUMIFS(الريسبي!$C$2:$C$1800,الريسبي!$A$2:$A$1800,$A16,الريسبي!$B$2:$B$1800,BP$1)</f>
        <v>2</v>
      </c>
      <c r="BQ16" s="117" t="n">
        <f aca="false">SUMIFS(الريسبي!$C$2:$C$1800,الريسبي!$A$2:$A$1800,$A16,الريسبي!$B$2:$B$1800,BQ$1)+0.17*SUMIFS(الريسبي!$C$2:$C$1800,الريسبي!$A$2:$A$1800,$A16,الريسبي!$B$2:$B$1800,"كاسترد مصنع (خليط بودر + لبن)")+0.17*SUMIFS(الريسبي!$C$2:$C$1800,الريسبي!$A$2:$A$1800,$A16,الريسبي!$B$2:$B$1800,"كاسترد مصنع صيامي (بدون لبن)")</f>
        <v>0</v>
      </c>
      <c r="BR16" s="117" t="n">
        <f aca="false">SUMIFS(الريسبي!$C$2:$C$1800,الريسبي!$A$2:$A$1800,$A16,الريسبي!$B$2:$B$1800,BR$1)</f>
        <v>1</v>
      </c>
      <c r="BS16" s="117" t="n">
        <f aca="false">SUMIFS(الريسبي!$C$2:$C$1800,الريسبي!$A$2:$A$1800,$A16,الريسبي!$B$2:$B$1800,BS$1)</f>
        <v>0</v>
      </c>
      <c r="BT16" s="117" t="n">
        <f aca="false">SUMIFS(الريسبي!$C$2:$C$1800,الريسبي!$A$2:$A$1800,$A16,الريسبي!$B$2:$B$1800,BT$1)</f>
        <v>0</v>
      </c>
      <c r="BU16" s="117" t="n">
        <f aca="false">SUMIFS(الريسبي!$C$2:$C$1800,الريسبي!$A$2:$A$1800,$A16,الريسبي!$B$2:$B$1800,BU$1)+0.4*SUMIFS(الريسبي!$C$2:$C$1800,الريسبي!$A$2:$A$1800,$A16,الريسبي!$B$2:$B$1800,"كاسترد مصنع (خليط بودر + لبن)")+0.03333333333*SUMIFS(الريسبي!$C$2:$C$1800,الريسبي!$A$2:$A$1800,$A16,الريسبي!$B$2:$B$1800,"عجين كريب (مصنع بالمطعم)")</f>
        <v>0</v>
      </c>
      <c r="BV16" s="117" t="n">
        <f aca="false">SUMIFS(الريسبي!$C$2:$C$1800,الريسبي!$A$2:$A$1800,$A16,الريسبي!$B$2:$B$1800,BV$1)</f>
        <v>0</v>
      </c>
      <c r="BW16" s="117" t="n">
        <f aca="false">SUMIFS(الريسبي!$C$2:$C$1800,الريسبي!$A$2:$A$1800,$A16,الريسبي!$B$2:$B$1800,BW$1)</f>
        <v>0</v>
      </c>
      <c r="BX16" s="117" t="n">
        <f aca="false">SUMIFS(الريسبي!$C$2:$C$1800,الريسبي!$A$2:$A$1800,$A16,الريسبي!$B$2:$B$1800,BX$1)</f>
        <v>0</v>
      </c>
      <c r="BY16" s="117" t="n">
        <f aca="false">SUMIFS(الريسبي!$C$2:$C$1800,الريسبي!$A$2:$A$1800,$A16,الريسبي!$B$2:$B$1800,BY$1)</f>
        <v>0</v>
      </c>
      <c r="BZ16" s="117" t="n">
        <f aca="false">SUMIFS(الريسبي!$C$2:$C$1800,الريسبي!$A$2:$A$1800,$A16,الريسبي!$B$2:$B$1800,BZ$1)</f>
        <v>0</v>
      </c>
      <c r="CA16" s="117" t="n">
        <f aca="false">SUMIFS(الريسبي!$C$2:$C$1800,الريسبي!$A$2:$A$1800,$A16,الريسبي!$B$2:$B$1800,CA$1)</f>
        <v>1</v>
      </c>
      <c r="CB16" s="117" t="n">
        <f aca="false">SUMIFS(الريسبي!$C$2:$C$1800,الريسبي!$A$2:$A$1800,$A16,الريسبي!$B$2:$B$1800,CB$1)</f>
        <v>1</v>
      </c>
      <c r="CC16" s="117" t="n">
        <f aca="false">SUMIFS(الريسبي!$C$2:$C$1800,الريسبي!$A$2:$A$1800,$A16,الريسبي!$B$2:$B$1800,CC$1)</f>
        <v>0</v>
      </c>
      <c r="CD16" s="117" t="n">
        <f aca="false">SUMIFS(الريسبي!$C$2:$C$1800,الريسبي!$A$2:$A$1800,$A16,الريسبي!$B$2:$B$1800,CD$1)</f>
        <v>0</v>
      </c>
      <c r="CE16" s="117" t="n">
        <f aca="false">SUMIFS(الريسبي!$C$2:$C$1800,الريسبي!$A$2:$A$1800,$A16,الريسبي!$B$2:$B$1800,CE$1)</f>
        <v>0</v>
      </c>
      <c r="CF16" s="117" t="n">
        <f aca="false">SUMIFS(الريسبي!$C$2:$C$1800,الريسبي!$A$2:$A$1800,$A16,الريسبي!$B$2:$B$1800,CF$1)</f>
        <v>0</v>
      </c>
      <c r="CG16" s="117" t="n">
        <f aca="false">SUMIFS(الريسبي!$C$2:$C$1800,الريسبي!$A$2:$A$1800,$A16,الريسبي!$B$2:$B$1800,CG$1)</f>
        <v>0</v>
      </c>
      <c r="CH16" s="117" t="n">
        <f aca="false">SUMIFS(الريسبي!$C$2:$C$1800,الريسبي!$A$2:$A$1800,$A16,الريسبي!$B$2:$B$1800,CH$1)</f>
        <v>0</v>
      </c>
      <c r="CI16" s="117" t="n">
        <f aca="false">SUMIFS(الريسبي!$C$2:$C$1800,الريسبي!$A$2:$A$1800,$A16,الريسبي!$B$2:$B$1800,CI$1)</f>
        <v>0</v>
      </c>
      <c r="CJ16" s="117" t="n">
        <f aca="false">SUMIFS(الريسبي!$C$2:$C$1800,الريسبي!$A$2:$A$1800,$A16,الريسبي!$B$2:$B$1800,CJ$1)</f>
        <v>0</v>
      </c>
      <c r="CK16" s="117" t="n">
        <f aca="false">SUMIFS(الريسبي!$C$2:$C$1800,الريسبي!$A$2:$A$1800,$A16,الريسبي!$B$2:$B$1800,CK$1)</f>
        <v>0</v>
      </c>
      <c r="CL16" s="117" t="n">
        <f aca="false">SUMIFS(الريسبي!$C$2:$C$1800,الريسبي!$A$2:$A$1800,$A16,الريسبي!$B$2:$B$1800,CL$1)</f>
        <v>0</v>
      </c>
    </row>
    <row r="17" customFormat="false" ht="15" hidden="false" customHeight="false" outlineLevel="0" collapsed="false">
      <c r="A17" s="116" t="str">
        <f aca="false">المنيو!B17</f>
        <v>بيتزا فراخ كريسبي رانش حجم اكبر</v>
      </c>
      <c r="B17" s="117" t="n">
        <f aca="false">SUMIFS(الريسبي!$C$2:$C$1800,الريسبي!$A$2:$A$1800,$A17,الريسبي!$B$2:$B$1800,B$1)</f>
        <v>0</v>
      </c>
      <c r="C17" s="117" t="n">
        <f aca="false">SUMIFS(الريسبي!$C$2:$C$1800,الريسبي!$A$2:$A$1800,$A17,الريسبي!$B$2:$B$1800,C$1)</f>
        <v>0</v>
      </c>
      <c r="D17" s="117" t="n">
        <f aca="false">SUMIFS(الريسبي!$C$2:$C$1800,الريسبي!$A$2:$A$1800,$A17,الريسبي!$B$2:$B$1800,D$1)</f>
        <v>1</v>
      </c>
      <c r="E17" s="117" t="n">
        <f aca="false">SUMIFS(الريسبي!$C$2:$C$1800,الريسبي!$A$2:$A$1800,$A17,الريسبي!$B$2:$B$1800,E$1)</f>
        <v>0</v>
      </c>
      <c r="F17" s="117" t="n">
        <f aca="false">SUMIFS(الريسبي!$C$2:$C$1800,الريسبي!$A$2:$A$1800,$A17,الريسبي!$B$2:$B$1800,F$1)</f>
        <v>0</v>
      </c>
      <c r="G17" s="117" t="n">
        <f aca="false">SUMIFS(الريسبي!$C$2:$C$1800,الريسبي!$A$2:$A$1800,$A17,الريسبي!$B$2:$B$1800,G$1)</f>
        <v>0</v>
      </c>
      <c r="H17" s="117" t="n">
        <f aca="false">SUMIFS(الريسبي!$C$2:$C$1800,الريسبي!$A$2:$A$1800,$A17,الريسبي!$B$2:$B$1800,H$1)</f>
        <v>0</v>
      </c>
      <c r="I17" s="117" t="n">
        <f aca="false">SUMIFS(الريسبي!$C$2:$C$1800,الريسبي!$A$2:$A$1800,$A17,الريسبي!$B$2:$B$1800,I$1)</f>
        <v>0</v>
      </c>
      <c r="J17" s="117" t="n">
        <f aca="false">SUMIFS(الريسبي!$C$2:$C$1800,الريسبي!$A$2:$A$1800,$A17,الريسبي!$B$2:$B$1800,J$1)</f>
        <v>0</v>
      </c>
      <c r="K17" s="117" t="n">
        <f aca="false">SUMIFS(الريسبي!$C$2:$C$1800,الريسبي!$A$2:$A$1800,$A17,الريسبي!$B$2:$B$1800,K$1)</f>
        <v>0</v>
      </c>
      <c r="L17" s="117" t="n">
        <f aca="false">SUMIFS(الريسبي!$C$2:$C$1800,الريسبي!$A$2:$A$1800,$A17,الريسبي!$B$2:$B$1800,L$1)</f>
        <v>0</v>
      </c>
      <c r="M17" s="117" t="n">
        <f aca="false">SUMIFS(الريسبي!$C$2:$C$1800,الريسبي!$A$2:$A$1800,$A17,الريسبي!$B$2:$B$1800,M$1)</f>
        <v>0</v>
      </c>
      <c r="N17" s="117" t="n">
        <f aca="false">SUMIFS(الريسبي!$C$2:$C$1800,الريسبي!$A$2:$A$1800,$A17,الريسبي!$B$2:$B$1800,N$1)</f>
        <v>0</v>
      </c>
      <c r="O17" s="117" t="n">
        <f aca="false">SUMIFS(الريسبي!$C$2:$C$1800,الريسبي!$A$2:$A$1800,$A17,الريسبي!$B$2:$B$1800,O$1)</f>
        <v>0</v>
      </c>
      <c r="P17" s="117" t="n">
        <f aca="false">SUMIFS(الريسبي!$C$2:$C$1800,الريسبي!$A$2:$A$1800,$A17,الريسبي!$B$2:$B$1800,P$1)</f>
        <v>0</v>
      </c>
      <c r="Q17" s="117" t="n">
        <f aca="false">SUMIFS(الريسبي!$C$2:$C$1800,الريسبي!$A$2:$A$1800,$A17,الريسبي!$B$2:$B$1800,Q$1)</f>
        <v>0</v>
      </c>
      <c r="R17" s="117" t="n">
        <f aca="false">SUMIFS(الريسبي!$C$2:$C$1800,الريسبي!$A$2:$A$1800,$A17,الريسبي!$B$2:$B$1800,R$1)</f>
        <v>1</v>
      </c>
      <c r="S17" s="117" t="n">
        <f aca="false">SUMIFS(الريسبي!$C$2:$C$1800,الريسبي!$A$2:$A$1800,$A17,الريسبي!$B$2:$B$1800,S$1)</f>
        <v>0</v>
      </c>
      <c r="T17" s="117" t="n">
        <f aca="false">SUMIFS(الريسبي!$C$2:$C$1800,الريسبي!$A$2:$A$1800,$A17,الريسبي!$B$2:$B$1800,T$1)</f>
        <v>0</v>
      </c>
      <c r="U17" s="117" t="n">
        <f aca="false">SUMIFS(الريسبي!$C$2:$C$1800,الريسبي!$A$2:$A$1800,$A17,الريسبي!$B$2:$B$1800,U$1)</f>
        <v>0</v>
      </c>
      <c r="V17" s="117" t="n">
        <f aca="false">SUMIFS(الريسبي!$C$2:$C$1800,الريسبي!$A$2:$A$1800,$A17,الريسبي!$B$2:$B$1800,V$1)+1.5*(SUMIFS(الريسبي!$C$2:$C$1800,الريسبي!$A$2:$A$1800,$A17,الريسبي!$B$2:$B$1800,"برسيون موتزريلا بيتزا كبير"))</f>
        <v>1.5</v>
      </c>
      <c r="W17" s="117" t="n">
        <f aca="false">0</f>
        <v>0</v>
      </c>
      <c r="X17" s="117" t="n">
        <f aca="false">SUMIFS(الريسبي!$C$2:$C$1800,الريسبي!$A$2:$A$1800,$A17,الريسبي!$B$2:$B$1800,X$1)+1.5*(SUMIFS(الريسبي!$C$2:$C$1800,الريسبي!$A$2:$A$1800,$A17,الريسبي!$B$2:$B$1800,"برسيون موتزريلا فطير كبير"))</f>
        <v>0</v>
      </c>
      <c r="Y17" s="117" t="n">
        <f aca="false">0</f>
        <v>0</v>
      </c>
      <c r="Z17" s="117" t="n">
        <f aca="false">SUMIFS(الريسبي!$C$2:$C$1800,الريسبي!$A$2:$A$1800,$A17,الريسبي!$B$2:$B$1800,Z$1)</f>
        <v>0</v>
      </c>
      <c r="AA17" s="117" t="n">
        <f aca="false">SUMIFS(الريسبي!$C$2:$C$1800,الريسبي!$A$2:$A$1800,$A17,الريسبي!$B$2:$B$1800,AA$1)</f>
        <v>0</v>
      </c>
      <c r="AB17" s="117" t="n">
        <f aca="false">SUMIFS(الريسبي!$C$2:$C$1800,الريسبي!$A$2:$A$1800,$A17,الريسبي!$B$2:$B$1800,AB$1)</f>
        <v>0</v>
      </c>
      <c r="AC17" s="117" t="n">
        <f aca="false">SUMIFS(الريسبي!$C$2:$C$1800,الريسبي!$A$2:$A$1800,$A17,الريسبي!$B$2:$B$1800,AC$1)</f>
        <v>0</v>
      </c>
      <c r="AD17" s="117" t="n">
        <f aca="false">SUMIFS(الريسبي!$C$2:$C$1800,الريسبي!$A$2:$A$1800,$A17,الريسبي!$B$2:$B$1800,AD$1)</f>
        <v>0</v>
      </c>
      <c r="AE17" s="117" t="n">
        <f aca="false">SUMIFS(الريسبي!$C$2:$C$1800,الريسبي!$A$2:$A$1800,$A17,الريسبي!$B$2:$B$1800,AE$1)</f>
        <v>0</v>
      </c>
      <c r="AF17" s="117" t="n">
        <f aca="false">SUMIFS(الريسبي!$C$2:$C$1800,الريسبي!$A$2:$A$1800,$A17,الريسبي!$B$2:$B$1800,AF$1)</f>
        <v>0</v>
      </c>
      <c r="AG17" s="117" t="n">
        <f aca="false">SUMIFS(الريسبي!$C$2:$C$1800,الريسبي!$A$2:$A$1800,$A17,الريسبي!$B$2:$B$1800,AG$1)</f>
        <v>0</v>
      </c>
      <c r="AH17" s="117" t="n">
        <f aca="false">SUMIFS(الريسبي!$C$2:$C$1800,الريسبي!$A$2:$A$1800,$A17,الريسبي!$B$2:$B$1800,AH$1)</f>
        <v>0</v>
      </c>
      <c r="AI17" s="117" t="n">
        <f aca="false">SUMIFS(الريسبي!$C$2:$C$1800,الريسبي!$A$2:$A$1800,$A17,الريسبي!$B$2:$B$1800,AI$1)</f>
        <v>0</v>
      </c>
      <c r="AJ17" s="117" t="n">
        <f aca="false">SUMIFS(الريسبي!$C$2:$C$1800,الريسبي!$A$2:$A$1800,$A17,الريسبي!$B$2:$B$1800,AJ$1)</f>
        <v>2</v>
      </c>
      <c r="AK17" s="117" t="n">
        <f aca="false">SUMIFS(الريسبي!$C$2:$C$1800,الريسبي!$A$2:$A$1800,$A17,الريسبي!$B$2:$B$1800,AK$1)</f>
        <v>0</v>
      </c>
      <c r="AL17" s="117" t="n">
        <f aca="false">SUMIFS(الريسبي!$C$2:$C$1800,الريسبي!$A$2:$A$1800,$A17,الريسبي!$B$2:$B$1800,AL$1)</f>
        <v>0</v>
      </c>
      <c r="AM17" s="117" t="n">
        <f aca="false">SUMIFS(الريسبي!$C$2:$C$1800,الريسبي!$A$2:$A$1800,$A17,الريسبي!$B$2:$B$1800,AM$1)+0.08333333333*SUMIFS(الريسبي!$C$2:$C$1800,الريسبي!$A$2:$A$1800,$A17,الريسبي!$B$2:$B$1800,"عجين كريب (مصنع بالمطعم)")+0.08333333333*SUMIFS(الريسبي!$C$2:$C$1800,الريسبي!$A$2:$A$1800,$A17,الريسبي!$B$2:$B$1800,"عجين كريب صيامي (بدون لبن)")</f>
        <v>0</v>
      </c>
      <c r="AN17" s="117" t="n">
        <f aca="false">SUMIFS(الريسبي!$C$2:$C$1800,الريسبي!$A$2:$A$1800,$A17,الريسبي!$B$2:$B$1800,AN$1)+0.004166666667*SUMIFS(الريسبي!$C$2:$C$1800,الريسبي!$A$2:$A$1800,$A17,الريسبي!$B$2:$B$1800,"عجين كريب (مصنع بالمطعم)")+0.004166666667*SUMIFS(الريسبي!$C$2:$C$1800,الريسبي!$A$2:$A$1800,$A17,الريسبي!$B$2:$B$1800,"عجين كريب صيامي (بدون لبن)")</f>
        <v>0</v>
      </c>
      <c r="AO17" s="117" t="n">
        <f aca="false">SUMIFS(الريسبي!$C$2:$C$1800,الريسبي!$A$2:$A$1800,$A17,الريسبي!$B$2:$B$1800,AO$1)</f>
        <v>0</v>
      </c>
      <c r="AP17" s="117" t="n">
        <f aca="false">SUMIFS(الريسبي!$C$2:$C$1800,الريسبي!$A$2:$A$1800,$A17,الريسبي!$B$2:$B$1800,AP$1)</f>
        <v>0.03</v>
      </c>
      <c r="AQ17" s="117" t="n">
        <f aca="false">SUMIFS(الريسبي!$C$2:$C$1800,الريسبي!$A$2:$A$1800,$A17,الريسبي!$B$2:$B$1800,AQ$1)+0.004166666667*SUMIFS(الريسبي!$C$2:$C$1800,الريسبي!$A$2:$A$1800,$A17,الريسبي!$B$2:$B$1800,"عجين كريب (مصنع بالمطعم)")+0.004166666667*SUMIFS(الريسبي!$C$2:$C$1800,الريسبي!$A$2:$A$1800,$A17,الريسبي!$B$2:$B$1800,"عجين كريب صيامي (بدون لبن)")</f>
        <v>0</v>
      </c>
      <c r="AR17" s="117" t="n">
        <f aca="false">SUMIFS(الريسبي!$C$2:$C$1800,الريسبي!$A$2:$A$1800,$A17,الريسبي!$B$2:$B$1800,AR$1)</f>
        <v>0</v>
      </c>
      <c r="AS17" s="117" t="n">
        <f aca="false">SUMIFS(الريسبي!$C$2:$C$1800,الريسبي!$A$2:$A$1800,$A17,الريسبي!$B$2:$B$1800,AS$1)</f>
        <v>0</v>
      </c>
      <c r="AT17" s="117" t="n">
        <f aca="false">SUMIFS(الريسبي!$C$2:$C$1800,الريسبي!$A$2:$A$1800,$A17,الريسبي!$B$2:$B$1800,AT$1)</f>
        <v>0</v>
      </c>
      <c r="AU17" s="117" t="n">
        <f aca="false">SUMIFS(الريسبي!$C$2:$C$1800,الريسبي!$A$2:$A$1800,$A17,الريسبي!$B$2:$B$1800,AU$1)</f>
        <v>0</v>
      </c>
      <c r="AV17" s="117" t="n">
        <f aca="false">SUMIFS(الريسبي!$C$2:$C$1800,الريسبي!$A$2:$A$1800,$A17,الريسبي!$B$2:$B$1800,AV$1)</f>
        <v>0</v>
      </c>
      <c r="AW17" s="117" t="n">
        <f aca="false">SUMIFS(الريسبي!$C$2:$C$1800,الريسبي!$A$2:$A$1800,$A17,الريسبي!$B$2:$B$1800,AW$1)</f>
        <v>0</v>
      </c>
      <c r="AX17" s="117" t="n">
        <f aca="false">SUMIFS(الريسبي!$C$2:$C$1800,الريسبي!$A$2:$A$1800,$A17,الريسبي!$B$2:$B$1800,AX$1)</f>
        <v>0.06</v>
      </c>
      <c r="AY17" s="117" t="n">
        <f aca="false">SUMIFS(الريسبي!$C$2:$C$1800,الريسبي!$A$2:$A$1800,$A17,الريسبي!$B$2:$B$1800,AY$1)</f>
        <v>0</v>
      </c>
      <c r="AZ17" s="117" t="n">
        <f aca="false">SUMIFS(الريسبي!$C$2:$C$1800,الريسبي!$A$2:$A$1800,$A17,الريسبي!$B$2:$B$1800,AZ$1)</f>
        <v>0</v>
      </c>
      <c r="BA17" s="117" t="n">
        <f aca="false">SUMIFS(الريسبي!$C$2:$C$1800,الريسبي!$A$2:$A$1800,$A17,الريسبي!$B$2:$B$1800,BA$1)</f>
        <v>0.15</v>
      </c>
      <c r="BB17" s="117" t="n">
        <f aca="false">SUMIFS(الريسبي!$C$2:$C$1800,الريسبي!$A$2:$A$1800,$A17,الريسبي!$B$2:$B$1800,BB$1)</f>
        <v>0</v>
      </c>
      <c r="BC17" s="117" t="n">
        <f aca="false">SUMIFS(الريسبي!$C$2:$C$1800,الريسبي!$A$2:$A$1800,$A17,الريسبي!$B$2:$B$1800,BC$1)</f>
        <v>0.045</v>
      </c>
      <c r="BD17" s="117" t="n">
        <f aca="false">SUMIFS(الريسبي!$C$2:$C$1800,الريسبي!$A$2:$A$1800,$A17,الريسبي!$B$2:$B$1800,BD$1)</f>
        <v>0.3</v>
      </c>
      <c r="BE17" s="117" t="n">
        <f aca="false">SUMIFS(الريسبي!$C$2:$C$1800,الريسبي!$A$2:$A$1800,$A17,الريسبي!$B$2:$B$1800,BE$1)</f>
        <v>0</v>
      </c>
      <c r="BF17" s="117" t="n">
        <f aca="false">SUMIFS(الريسبي!$C$2:$C$1800,الريسبي!$A$2:$A$1800,$A17,الريسبي!$B$2:$B$1800,BF$1)</f>
        <v>0</v>
      </c>
      <c r="BG17" s="117" t="n">
        <f aca="false">SUMIFS(الريسبي!$C$2:$C$1800,الريسبي!$A$2:$A$1800,$A17,الريسبي!$B$2:$B$1800,BG$1)</f>
        <v>1</v>
      </c>
      <c r="BH17" s="117" t="n">
        <f aca="false">SUMIFS(الريسبي!$C$2:$C$1800,الريسبي!$A$2:$A$1800,$A17,الريسبي!$B$2:$B$1800,BH$1)</f>
        <v>0</v>
      </c>
      <c r="BI17" s="117" t="n">
        <f aca="false">SUMIFS(الريسبي!$C$2:$C$1800,الريسبي!$A$2:$A$1800,$A17,الريسبي!$B$2:$B$1800,BI$1)</f>
        <v>0</v>
      </c>
      <c r="BJ17" s="117" t="n">
        <f aca="false">SUMIFS(الريسبي!$C$2:$C$1800,الريسبي!$A$2:$A$1800,$A17,الريسبي!$B$2:$B$1800,BJ$1)</f>
        <v>0</v>
      </c>
      <c r="BK17" s="117" t="n">
        <f aca="false">SUMIFS(الريسبي!$C$2:$C$1800,الريسبي!$A$2:$A$1800,$A17,الريسبي!$B$2:$B$1800,BK$1)</f>
        <v>0</v>
      </c>
      <c r="BL17" s="117" t="n">
        <f aca="false">SUMIFS(الريسبي!$C$2:$C$1800,الريسبي!$A$2:$A$1800,$A17,الريسبي!$B$2:$B$1800,BL$1)</f>
        <v>0</v>
      </c>
      <c r="BM17" s="117" t="n">
        <f aca="false">SUMIFS(الريسبي!$C$2:$C$1800,الريسبي!$A$2:$A$1800,$A17,الريسبي!$B$2:$B$1800,BM$1)</f>
        <v>0</v>
      </c>
      <c r="BN17" s="117" t="n">
        <f aca="false">SUMIFS(الريسبي!$C$2:$C$1800,الريسبي!$A$2:$A$1800,$A17,الريسبي!$B$2:$B$1800,BN$1)</f>
        <v>0.03</v>
      </c>
      <c r="BO17" s="117" t="n">
        <f aca="false">SUMIFS(الريسبي!$C$2:$C$1800,الريسبي!$A$2:$A$1800,$A17,الريسبي!$B$2:$B$1800,BO$1)</f>
        <v>0</v>
      </c>
      <c r="BP17" s="117" t="n">
        <f aca="false">SUMIFS(الريسبي!$C$2:$C$1800,الريسبي!$A$2:$A$1800,$A17,الريسبي!$B$2:$B$1800,BP$1)</f>
        <v>3</v>
      </c>
      <c r="BQ17" s="117" t="n">
        <f aca="false">SUMIFS(الريسبي!$C$2:$C$1800,الريسبي!$A$2:$A$1800,$A17,الريسبي!$B$2:$B$1800,BQ$1)+0.17*SUMIFS(الريسبي!$C$2:$C$1800,الريسبي!$A$2:$A$1800,$A17,الريسبي!$B$2:$B$1800,"كاسترد مصنع (خليط بودر + لبن)")+0.17*SUMIFS(الريسبي!$C$2:$C$1800,الريسبي!$A$2:$A$1800,$A17,الريسبي!$B$2:$B$1800,"كاسترد مصنع صيامي (بدون لبن)")</f>
        <v>0</v>
      </c>
      <c r="BR17" s="117" t="n">
        <f aca="false">SUMIFS(الريسبي!$C$2:$C$1800,الريسبي!$A$2:$A$1800,$A17,الريسبي!$B$2:$B$1800,BR$1)</f>
        <v>1</v>
      </c>
      <c r="BS17" s="117" t="n">
        <f aca="false">SUMIFS(الريسبي!$C$2:$C$1800,الريسبي!$A$2:$A$1800,$A17,الريسبي!$B$2:$B$1800,BS$1)</f>
        <v>0</v>
      </c>
      <c r="BT17" s="117" t="n">
        <f aca="false">SUMIFS(الريسبي!$C$2:$C$1800,الريسبي!$A$2:$A$1800,$A17,الريسبي!$B$2:$B$1800,BT$1)</f>
        <v>0</v>
      </c>
      <c r="BU17" s="117" t="n">
        <f aca="false">SUMIFS(الريسبي!$C$2:$C$1800,الريسبي!$A$2:$A$1800,$A17,الريسبي!$B$2:$B$1800,BU$1)+0.4*SUMIFS(الريسبي!$C$2:$C$1800,الريسبي!$A$2:$A$1800,$A17,الريسبي!$B$2:$B$1800,"كاسترد مصنع (خليط بودر + لبن)")+0.03333333333*SUMIFS(الريسبي!$C$2:$C$1800,الريسبي!$A$2:$A$1800,$A17,الريسبي!$B$2:$B$1800,"عجين كريب (مصنع بالمطعم)")</f>
        <v>0</v>
      </c>
      <c r="BV17" s="117" t="n">
        <f aca="false">SUMIFS(الريسبي!$C$2:$C$1800,الريسبي!$A$2:$A$1800,$A17,الريسبي!$B$2:$B$1800,BV$1)</f>
        <v>0</v>
      </c>
      <c r="BW17" s="117" t="n">
        <f aca="false">SUMIFS(الريسبي!$C$2:$C$1800,الريسبي!$A$2:$A$1800,$A17,الريسبي!$B$2:$B$1800,BW$1)</f>
        <v>0</v>
      </c>
      <c r="BX17" s="117" t="n">
        <f aca="false">SUMIFS(الريسبي!$C$2:$C$1800,الريسبي!$A$2:$A$1800,$A17,الريسبي!$B$2:$B$1800,BX$1)</f>
        <v>0</v>
      </c>
      <c r="BY17" s="117" t="n">
        <f aca="false">SUMIFS(الريسبي!$C$2:$C$1800,الريسبي!$A$2:$A$1800,$A17,الريسبي!$B$2:$B$1800,BY$1)</f>
        <v>0</v>
      </c>
      <c r="BZ17" s="117" t="n">
        <f aca="false">SUMIFS(الريسبي!$C$2:$C$1800,الريسبي!$A$2:$A$1800,$A17,الريسبي!$B$2:$B$1800,BZ$1)</f>
        <v>0</v>
      </c>
      <c r="CA17" s="117" t="n">
        <f aca="false">SUMIFS(الريسبي!$C$2:$C$1800,الريسبي!$A$2:$A$1800,$A17,الريسبي!$B$2:$B$1800,CA$1)</f>
        <v>1</v>
      </c>
      <c r="CB17" s="117" t="n">
        <f aca="false">SUMIFS(الريسبي!$C$2:$C$1800,الريسبي!$A$2:$A$1800,$A17,الريسبي!$B$2:$B$1800,CB$1)</f>
        <v>1</v>
      </c>
      <c r="CC17" s="117" t="n">
        <f aca="false">SUMIFS(الريسبي!$C$2:$C$1800,الريسبي!$A$2:$A$1800,$A17,الريسبي!$B$2:$B$1800,CC$1)</f>
        <v>0</v>
      </c>
      <c r="CD17" s="117" t="n">
        <f aca="false">SUMIFS(الريسبي!$C$2:$C$1800,الريسبي!$A$2:$A$1800,$A17,الريسبي!$B$2:$B$1800,CD$1)</f>
        <v>0</v>
      </c>
      <c r="CE17" s="117" t="n">
        <f aca="false">SUMIFS(الريسبي!$C$2:$C$1800,الريسبي!$A$2:$A$1800,$A17,الريسبي!$B$2:$B$1800,CE$1)</f>
        <v>0</v>
      </c>
      <c r="CF17" s="117" t="n">
        <f aca="false">SUMIFS(الريسبي!$C$2:$C$1800,الريسبي!$A$2:$A$1800,$A17,الريسبي!$B$2:$B$1800,CF$1)</f>
        <v>0</v>
      </c>
      <c r="CG17" s="117" t="n">
        <f aca="false">SUMIFS(الريسبي!$C$2:$C$1800,الريسبي!$A$2:$A$1800,$A17,الريسبي!$B$2:$B$1800,CG$1)</f>
        <v>0</v>
      </c>
      <c r="CH17" s="117" t="n">
        <f aca="false">SUMIFS(الريسبي!$C$2:$C$1800,الريسبي!$A$2:$A$1800,$A17,الريسبي!$B$2:$B$1800,CH$1)</f>
        <v>0</v>
      </c>
      <c r="CI17" s="117" t="n">
        <f aca="false">SUMIFS(الريسبي!$C$2:$C$1800,الريسبي!$A$2:$A$1800,$A17,الريسبي!$B$2:$B$1800,CI$1)</f>
        <v>0</v>
      </c>
      <c r="CJ17" s="117" t="n">
        <f aca="false">SUMIFS(الريسبي!$C$2:$C$1800,الريسبي!$A$2:$A$1800,$A17,الريسبي!$B$2:$B$1800,CJ$1)</f>
        <v>0</v>
      </c>
      <c r="CK17" s="117" t="n">
        <f aca="false">SUMIFS(الريسبي!$C$2:$C$1800,الريسبي!$A$2:$A$1800,$A17,الريسبي!$B$2:$B$1800,CK$1)</f>
        <v>0</v>
      </c>
      <c r="CL17" s="117" t="n">
        <f aca="false">SUMIFS(الريسبي!$C$2:$C$1800,الريسبي!$A$2:$A$1800,$A17,الريسبي!$B$2:$B$1800,CL$1)</f>
        <v>0</v>
      </c>
    </row>
    <row r="18" customFormat="false" ht="15" hidden="false" customHeight="false" outlineLevel="0" collapsed="false">
      <c r="A18" s="116" t="str">
        <f aca="false">المنيو!B18</f>
        <v>بيتزا فراخ كريسبي شيدر وسط</v>
      </c>
      <c r="B18" s="117" t="n">
        <f aca="false">SUMIFS(الريسبي!$C$2:$C$1800,الريسبي!$A$2:$A$1800,$A18,الريسبي!$B$2:$B$1800,B$1)</f>
        <v>0</v>
      </c>
      <c r="C18" s="117" t="n">
        <f aca="false">SUMIFS(الريسبي!$C$2:$C$1800,الريسبي!$A$2:$A$1800,$A18,الريسبي!$B$2:$B$1800,C$1)</f>
        <v>0</v>
      </c>
      <c r="D18" s="117" t="n">
        <f aca="false">SUMIFS(الريسبي!$C$2:$C$1800,الريسبي!$A$2:$A$1800,$A18,الريسبي!$B$2:$B$1800,D$1)</f>
        <v>1</v>
      </c>
      <c r="E18" s="117" t="n">
        <f aca="false">SUMIFS(الريسبي!$C$2:$C$1800,الريسبي!$A$2:$A$1800,$A18,الريسبي!$B$2:$B$1800,E$1)</f>
        <v>0</v>
      </c>
      <c r="F18" s="117" t="n">
        <f aca="false">SUMIFS(الريسبي!$C$2:$C$1800,الريسبي!$A$2:$A$1800,$A18,الريسبي!$B$2:$B$1800,F$1)</f>
        <v>0</v>
      </c>
      <c r="G18" s="117" t="n">
        <f aca="false">SUMIFS(الريسبي!$C$2:$C$1800,الريسبي!$A$2:$A$1800,$A18,الريسبي!$B$2:$B$1800,G$1)</f>
        <v>0</v>
      </c>
      <c r="H18" s="117" t="n">
        <f aca="false">SUMIFS(الريسبي!$C$2:$C$1800,الريسبي!$A$2:$A$1800,$A18,الريسبي!$B$2:$B$1800,H$1)</f>
        <v>0</v>
      </c>
      <c r="I18" s="117" t="n">
        <f aca="false">SUMIFS(الريسبي!$C$2:$C$1800,الريسبي!$A$2:$A$1800,$A18,الريسبي!$B$2:$B$1800,I$1)</f>
        <v>0</v>
      </c>
      <c r="J18" s="117" t="n">
        <f aca="false">SUMIFS(الريسبي!$C$2:$C$1800,الريسبي!$A$2:$A$1800,$A18,الريسبي!$B$2:$B$1800,J$1)</f>
        <v>0</v>
      </c>
      <c r="K18" s="117" t="n">
        <f aca="false">SUMIFS(الريسبي!$C$2:$C$1800,الريسبي!$A$2:$A$1800,$A18,الريسبي!$B$2:$B$1800,K$1)</f>
        <v>0</v>
      </c>
      <c r="L18" s="117" t="n">
        <f aca="false">SUMIFS(الريسبي!$C$2:$C$1800,الريسبي!$A$2:$A$1800,$A18,الريسبي!$B$2:$B$1800,L$1)</f>
        <v>0</v>
      </c>
      <c r="M18" s="117" t="n">
        <f aca="false">SUMIFS(الريسبي!$C$2:$C$1800,الريسبي!$A$2:$A$1800,$A18,الريسبي!$B$2:$B$1800,M$1)</f>
        <v>0</v>
      </c>
      <c r="N18" s="117" t="n">
        <f aca="false">SUMIFS(الريسبي!$C$2:$C$1800,الريسبي!$A$2:$A$1800,$A18,الريسبي!$B$2:$B$1800,N$1)</f>
        <v>0</v>
      </c>
      <c r="O18" s="117" t="n">
        <f aca="false">SUMIFS(الريسبي!$C$2:$C$1800,الريسبي!$A$2:$A$1800,$A18,الريسبي!$B$2:$B$1800,O$1)</f>
        <v>0</v>
      </c>
      <c r="P18" s="117" t="n">
        <f aca="false">SUMIFS(الريسبي!$C$2:$C$1800,الريسبي!$A$2:$A$1800,$A18,الريسبي!$B$2:$B$1800,P$1)</f>
        <v>0</v>
      </c>
      <c r="Q18" s="117" t="n">
        <f aca="false">SUMIFS(الريسبي!$C$2:$C$1800,الريسبي!$A$2:$A$1800,$A18,الريسبي!$B$2:$B$1800,Q$1)</f>
        <v>1</v>
      </c>
      <c r="R18" s="117" t="n">
        <f aca="false">SUMIFS(الريسبي!$C$2:$C$1800,الريسبي!$A$2:$A$1800,$A18,الريسبي!$B$2:$B$1800,R$1)</f>
        <v>0</v>
      </c>
      <c r="S18" s="117" t="n">
        <f aca="false">SUMIFS(الريسبي!$C$2:$C$1800,الريسبي!$A$2:$A$1800,$A18,الريسبي!$B$2:$B$1800,S$1)</f>
        <v>0</v>
      </c>
      <c r="T18" s="117" t="n">
        <f aca="false">SUMIFS(الريسبي!$C$2:$C$1800,الريسبي!$A$2:$A$1800,$A18,الريسبي!$B$2:$B$1800,T$1)</f>
        <v>0</v>
      </c>
      <c r="U18" s="117" t="n">
        <f aca="false">SUMIFS(الريسبي!$C$2:$C$1800,الريسبي!$A$2:$A$1800,$A18,الريسبي!$B$2:$B$1800,U$1)</f>
        <v>0</v>
      </c>
      <c r="V18" s="117" t="n">
        <f aca="false">SUMIFS(الريسبي!$C$2:$C$1800,الريسبي!$A$2:$A$1800,$A18,الريسبي!$B$2:$B$1800,V$1)+1.5*(SUMIFS(الريسبي!$C$2:$C$1800,الريسبي!$A$2:$A$1800,$A18,الريسبي!$B$2:$B$1800,"برسيون موتزريلا بيتزا كبير"))</f>
        <v>1</v>
      </c>
      <c r="W18" s="117" t="n">
        <f aca="false">0</f>
        <v>0</v>
      </c>
      <c r="X18" s="117" t="n">
        <f aca="false">SUMIFS(الريسبي!$C$2:$C$1800,الريسبي!$A$2:$A$1800,$A18,الريسبي!$B$2:$B$1800,X$1)+1.5*(SUMIFS(الريسبي!$C$2:$C$1800,الريسبي!$A$2:$A$1800,$A18,الريسبي!$B$2:$B$1800,"برسيون موتزريلا فطير كبير"))</f>
        <v>0</v>
      </c>
      <c r="Y18" s="117" t="n">
        <f aca="false">0</f>
        <v>0</v>
      </c>
      <c r="Z18" s="117" t="n">
        <f aca="false">SUMIFS(الريسبي!$C$2:$C$1800,الريسبي!$A$2:$A$1800,$A18,الريسبي!$B$2:$B$1800,Z$1)</f>
        <v>0</v>
      </c>
      <c r="AA18" s="117" t="n">
        <f aca="false">SUMIFS(الريسبي!$C$2:$C$1800,الريسبي!$A$2:$A$1800,$A18,الريسبي!$B$2:$B$1800,AA$1)</f>
        <v>0</v>
      </c>
      <c r="AB18" s="117" t="n">
        <f aca="false">SUMIFS(الريسبي!$C$2:$C$1800,الريسبي!$A$2:$A$1800,$A18,الريسبي!$B$2:$B$1800,AB$1)</f>
        <v>0</v>
      </c>
      <c r="AC18" s="117" t="n">
        <f aca="false">SUMIFS(الريسبي!$C$2:$C$1800,الريسبي!$A$2:$A$1800,$A18,الريسبي!$B$2:$B$1800,AC$1)</f>
        <v>0</v>
      </c>
      <c r="AD18" s="117" t="n">
        <f aca="false">SUMIFS(الريسبي!$C$2:$C$1800,الريسبي!$A$2:$A$1800,$A18,الريسبي!$B$2:$B$1800,AD$1)</f>
        <v>0</v>
      </c>
      <c r="AE18" s="117" t="n">
        <f aca="false">SUMIFS(الريسبي!$C$2:$C$1800,الريسبي!$A$2:$A$1800,$A18,الريسبي!$B$2:$B$1800,AE$1)</f>
        <v>0</v>
      </c>
      <c r="AF18" s="117" t="n">
        <f aca="false">SUMIFS(الريسبي!$C$2:$C$1800,الريسبي!$A$2:$A$1800,$A18,الريسبي!$B$2:$B$1800,AF$1)</f>
        <v>0</v>
      </c>
      <c r="AG18" s="117" t="n">
        <f aca="false">SUMIFS(الريسبي!$C$2:$C$1800,الريسبي!$A$2:$A$1800,$A18,الريسبي!$B$2:$B$1800,AG$1)</f>
        <v>0</v>
      </c>
      <c r="AH18" s="117" t="n">
        <f aca="false">SUMIFS(الريسبي!$C$2:$C$1800,الريسبي!$A$2:$A$1800,$A18,الريسبي!$B$2:$B$1800,AH$1)</f>
        <v>0</v>
      </c>
      <c r="AI18" s="117" t="n">
        <f aca="false">SUMIFS(الريسبي!$C$2:$C$1800,الريسبي!$A$2:$A$1800,$A18,الريسبي!$B$2:$B$1800,AI$1)</f>
        <v>0</v>
      </c>
      <c r="AJ18" s="117" t="n">
        <f aca="false">SUMIFS(الريسبي!$C$2:$C$1800,الريسبي!$A$2:$A$1800,$A18,الريسبي!$B$2:$B$1800,AJ$1)</f>
        <v>2</v>
      </c>
      <c r="AK18" s="117" t="n">
        <f aca="false">SUMIFS(الريسبي!$C$2:$C$1800,الريسبي!$A$2:$A$1800,$A18,الريسبي!$B$2:$B$1800,AK$1)</f>
        <v>0</v>
      </c>
      <c r="AL18" s="117" t="n">
        <f aca="false">SUMIFS(الريسبي!$C$2:$C$1800,الريسبي!$A$2:$A$1800,$A18,الريسبي!$B$2:$B$1800,AL$1)</f>
        <v>0</v>
      </c>
      <c r="AM18" s="117" t="n">
        <f aca="false">SUMIFS(الريسبي!$C$2:$C$1800,الريسبي!$A$2:$A$1800,$A18,الريسبي!$B$2:$B$1800,AM$1)+0.08333333333*SUMIFS(الريسبي!$C$2:$C$1800,الريسبي!$A$2:$A$1800,$A18,الريسبي!$B$2:$B$1800,"عجين كريب (مصنع بالمطعم)")+0.08333333333*SUMIFS(الريسبي!$C$2:$C$1800,الريسبي!$A$2:$A$1800,$A18,الريسبي!$B$2:$B$1800,"عجين كريب صيامي (بدون لبن)")</f>
        <v>0</v>
      </c>
      <c r="AN18" s="117" t="n">
        <f aca="false">SUMIFS(الريسبي!$C$2:$C$1800,الريسبي!$A$2:$A$1800,$A18,الريسبي!$B$2:$B$1800,AN$1)+0.004166666667*SUMIFS(الريسبي!$C$2:$C$1800,الريسبي!$A$2:$A$1800,$A18,الريسبي!$B$2:$B$1800,"عجين كريب (مصنع بالمطعم)")+0.004166666667*SUMIFS(الريسبي!$C$2:$C$1800,الريسبي!$A$2:$A$1800,$A18,الريسبي!$B$2:$B$1800,"عجين كريب صيامي (بدون لبن)")</f>
        <v>0</v>
      </c>
      <c r="AO18" s="117" t="n">
        <f aca="false">SUMIFS(الريسبي!$C$2:$C$1800,الريسبي!$A$2:$A$1800,$A18,الريسبي!$B$2:$B$1800,AO$1)</f>
        <v>0</v>
      </c>
      <c r="AP18" s="117" t="n">
        <f aca="false">SUMIFS(الريسبي!$C$2:$C$1800,الريسبي!$A$2:$A$1800,$A18,الريسبي!$B$2:$B$1800,AP$1)</f>
        <v>0.02</v>
      </c>
      <c r="AQ18" s="117" t="n">
        <f aca="false">SUMIFS(الريسبي!$C$2:$C$1800,الريسبي!$A$2:$A$1800,$A18,الريسبي!$B$2:$B$1800,AQ$1)+0.004166666667*SUMIFS(الريسبي!$C$2:$C$1800,الريسبي!$A$2:$A$1800,$A18,الريسبي!$B$2:$B$1800,"عجين كريب (مصنع بالمطعم)")+0.004166666667*SUMIFS(الريسبي!$C$2:$C$1800,الريسبي!$A$2:$A$1800,$A18,الريسبي!$B$2:$B$1800,"عجين كريب صيامي (بدون لبن)")</f>
        <v>0</v>
      </c>
      <c r="AR18" s="117" t="n">
        <f aca="false">SUMIFS(الريسبي!$C$2:$C$1800,الريسبي!$A$2:$A$1800,$A18,الريسبي!$B$2:$B$1800,AR$1)</f>
        <v>0</v>
      </c>
      <c r="AS18" s="117" t="n">
        <f aca="false">SUMIFS(الريسبي!$C$2:$C$1800,الريسبي!$A$2:$A$1800,$A18,الريسبي!$B$2:$B$1800,AS$1)</f>
        <v>0</v>
      </c>
      <c r="AT18" s="117" t="n">
        <f aca="false">SUMIFS(الريسبي!$C$2:$C$1800,الريسبي!$A$2:$A$1800,$A18,الريسبي!$B$2:$B$1800,AT$1)</f>
        <v>0</v>
      </c>
      <c r="AU18" s="117" t="n">
        <f aca="false">SUMIFS(الريسبي!$C$2:$C$1800,الريسبي!$A$2:$A$1800,$A18,الريسبي!$B$2:$B$1800,AU$1)</f>
        <v>0</v>
      </c>
      <c r="AV18" s="117" t="n">
        <f aca="false">SUMIFS(الريسبي!$C$2:$C$1800,الريسبي!$A$2:$A$1800,$A18,الريسبي!$B$2:$B$1800,AV$1)</f>
        <v>0</v>
      </c>
      <c r="AW18" s="117" t="n">
        <f aca="false">SUMIFS(الريسبي!$C$2:$C$1800,الريسبي!$A$2:$A$1800,$A18,الريسبي!$B$2:$B$1800,AW$1)</f>
        <v>0</v>
      </c>
      <c r="AX18" s="117" t="n">
        <f aca="false">SUMIFS(الريسبي!$C$2:$C$1800,الريسبي!$A$2:$A$1800,$A18,الريسبي!$B$2:$B$1800,AX$1)</f>
        <v>0.04</v>
      </c>
      <c r="AY18" s="117" t="n">
        <f aca="false">SUMIFS(الريسبي!$C$2:$C$1800,الريسبي!$A$2:$A$1800,$A18,الريسبي!$B$2:$B$1800,AY$1)</f>
        <v>0</v>
      </c>
      <c r="AZ18" s="117" t="n">
        <f aca="false">SUMIFS(الريسبي!$C$2:$C$1800,الريسبي!$A$2:$A$1800,$A18,الريسبي!$B$2:$B$1800,AZ$1)</f>
        <v>0</v>
      </c>
      <c r="BA18" s="117" t="n">
        <f aca="false">SUMIFS(الريسبي!$C$2:$C$1800,الريسبي!$A$2:$A$1800,$A18,الريسبي!$B$2:$B$1800,BA$1)</f>
        <v>0</v>
      </c>
      <c r="BB18" s="117" t="n">
        <f aca="false">SUMIFS(الريسبي!$C$2:$C$1800,الريسبي!$A$2:$A$1800,$A18,الريسبي!$B$2:$B$1800,BB$1)</f>
        <v>0.1</v>
      </c>
      <c r="BC18" s="117" t="n">
        <f aca="false">SUMIFS(الريسبي!$C$2:$C$1800,الريسبي!$A$2:$A$1800,$A18,الريسبي!$B$2:$B$1800,BC$1)</f>
        <v>0.03</v>
      </c>
      <c r="BD18" s="117" t="n">
        <f aca="false">SUMIFS(الريسبي!$C$2:$C$1800,الريسبي!$A$2:$A$1800,$A18,الريسبي!$B$2:$B$1800,BD$1)</f>
        <v>0.22</v>
      </c>
      <c r="BE18" s="117" t="n">
        <f aca="false">SUMIFS(الريسبي!$C$2:$C$1800,الريسبي!$A$2:$A$1800,$A18,الريسبي!$B$2:$B$1800,BE$1)</f>
        <v>0</v>
      </c>
      <c r="BF18" s="117" t="n">
        <f aca="false">SUMIFS(الريسبي!$C$2:$C$1800,الريسبي!$A$2:$A$1800,$A18,الريسبي!$B$2:$B$1800,BF$1)</f>
        <v>0</v>
      </c>
      <c r="BG18" s="117" t="n">
        <f aca="false">SUMIFS(الريسبي!$C$2:$C$1800,الريسبي!$A$2:$A$1800,$A18,الريسبي!$B$2:$B$1800,BG$1)</f>
        <v>0</v>
      </c>
      <c r="BH18" s="117" t="n">
        <f aca="false">SUMIFS(الريسبي!$C$2:$C$1800,الريسبي!$A$2:$A$1800,$A18,الريسبي!$B$2:$B$1800,BH$1)</f>
        <v>1</v>
      </c>
      <c r="BI18" s="117" t="n">
        <f aca="false">SUMIFS(الريسبي!$C$2:$C$1800,الريسبي!$A$2:$A$1800,$A18,الريسبي!$B$2:$B$1800,BI$1)</f>
        <v>0</v>
      </c>
      <c r="BJ18" s="117" t="n">
        <f aca="false">SUMIFS(الريسبي!$C$2:$C$1800,الريسبي!$A$2:$A$1800,$A18,الريسبي!$B$2:$B$1800,BJ$1)</f>
        <v>0</v>
      </c>
      <c r="BK18" s="117" t="n">
        <f aca="false">SUMIFS(الريسبي!$C$2:$C$1800,الريسبي!$A$2:$A$1800,$A18,الريسبي!$B$2:$B$1800,BK$1)</f>
        <v>0</v>
      </c>
      <c r="BL18" s="117" t="n">
        <f aca="false">SUMIFS(الريسبي!$C$2:$C$1800,الريسبي!$A$2:$A$1800,$A18,الريسبي!$B$2:$B$1800,BL$1)</f>
        <v>0</v>
      </c>
      <c r="BM18" s="117" t="n">
        <f aca="false">SUMIFS(الريسبي!$C$2:$C$1800,الريسبي!$A$2:$A$1800,$A18,الريسبي!$B$2:$B$1800,BM$1)</f>
        <v>0</v>
      </c>
      <c r="BN18" s="117" t="n">
        <f aca="false">SUMIFS(الريسبي!$C$2:$C$1800,الريسبي!$A$2:$A$1800,$A18,الريسبي!$B$2:$B$1800,BN$1)</f>
        <v>0.02</v>
      </c>
      <c r="BO18" s="117" t="n">
        <f aca="false">SUMIFS(الريسبي!$C$2:$C$1800,الريسبي!$A$2:$A$1800,$A18,الريسبي!$B$2:$B$1800,BO$1)</f>
        <v>0</v>
      </c>
      <c r="BP18" s="117" t="n">
        <f aca="false">SUMIFS(الريسبي!$C$2:$C$1800,الريسبي!$A$2:$A$1800,$A18,الريسبي!$B$2:$B$1800,BP$1)</f>
        <v>2</v>
      </c>
      <c r="BQ18" s="117" t="n">
        <f aca="false">SUMIFS(الريسبي!$C$2:$C$1800,الريسبي!$A$2:$A$1800,$A18,الريسبي!$B$2:$B$1800,BQ$1)+0.17*SUMIFS(الريسبي!$C$2:$C$1800,الريسبي!$A$2:$A$1800,$A18,الريسبي!$B$2:$B$1800,"كاسترد مصنع (خليط بودر + لبن)")+0.17*SUMIFS(الريسبي!$C$2:$C$1800,الريسبي!$A$2:$A$1800,$A18,الريسبي!$B$2:$B$1800,"كاسترد مصنع صيامي (بدون لبن)")</f>
        <v>0</v>
      </c>
      <c r="BR18" s="117" t="n">
        <f aca="false">SUMIFS(الريسبي!$C$2:$C$1800,الريسبي!$A$2:$A$1800,$A18,الريسبي!$B$2:$B$1800,BR$1)</f>
        <v>1</v>
      </c>
      <c r="BS18" s="117" t="n">
        <f aca="false">SUMIFS(الريسبي!$C$2:$C$1800,الريسبي!$A$2:$A$1800,$A18,الريسبي!$B$2:$B$1800,BS$1)</f>
        <v>0</v>
      </c>
      <c r="BT18" s="117" t="n">
        <f aca="false">SUMIFS(الريسبي!$C$2:$C$1800,الريسبي!$A$2:$A$1800,$A18,الريسبي!$B$2:$B$1800,BT$1)</f>
        <v>0</v>
      </c>
      <c r="BU18" s="117" t="n">
        <f aca="false">SUMIFS(الريسبي!$C$2:$C$1800,الريسبي!$A$2:$A$1800,$A18,الريسبي!$B$2:$B$1800,BU$1)+0.4*SUMIFS(الريسبي!$C$2:$C$1800,الريسبي!$A$2:$A$1800,$A18,الريسبي!$B$2:$B$1800,"كاسترد مصنع (خليط بودر + لبن)")+0.03333333333*SUMIFS(الريسبي!$C$2:$C$1800,الريسبي!$A$2:$A$1800,$A18,الريسبي!$B$2:$B$1800,"عجين كريب (مصنع بالمطعم)")</f>
        <v>0</v>
      </c>
      <c r="BV18" s="117" t="n">
        <f aca="false">SUMIFS(الريسبي!$C$2:$C$1800,الريسبي!$A$2:$A$1800,$A18,الريسبي!$B$2:$B$1800,BV$1)</f>
        <v>0</v>
      </c>
      <c r="BW18" s="117" t="n">
        <f aca="false">SUMIFS(الريسبي!$C$2:$C$1800,الريسبي!$A$2:$A$1800,$A18,الريسبي!$B$2:$B$1800,BW$1)</f>
        <v>0</v>
      </c>
      <c r="BX18" s="117" t="n">
        <f aca="false">SUMIFS(الريسبي!$C$2:$C$1800,الريسبي!$A$2:$A$1800,$A18,الريسبي!$B$2:$B$1800,BX$1)</f>
        <v>0</v>
      </c>
      <c r="BY18" s="117" t="n">
        <f aca="false">SUMIFS(الريسبي!$C$2:$C$1800,الريسبي!$A$2:$A$1800,$A18,الريسبي!$B$2:$B$1800,BY$1)</f>
        <v>0</v>
      </c>
      <c r="BZ18" s="117" t="n">
        <f aca="false">SUMIFS(الريسبي!$C$2:$C$1800,الريسبي!$A$2:$A$1800,$A18,الريسبي!$B$2:$B$1800,BZ$1)</f>
        <v>0</v>
      </c>
      <c r="CA18" s="117" t="n">
        <f aca="false">SUMIFS(الريسبي!$C$2:$C$1800,الريسبي!$A$2:$A$1800,$A18,الريسبي!$B$2:$B$1800,CA$1)</f>
        <v>1</v>
      </c>
      <c r="CB18" s="117" t="n">
        <f aca="false">SUMIFS(الريسبي!$C$2:$C$1800,الريسبي!$A$2:$A$1800,$A18,الريسبي!$B$2:$B$1800,CB$1)</f>
        <v>1</v>
      </c>
      <c r="CC18" s="117" t="n">
        <f aca="false">SUMIFS(الريسبي!$C$2:$C$1800,الريسبي!$A$2:$A$1800,$A18,الريسبي!$B$2:$B$1800,CC$1)</f>
        <v>0</v>
      </c>
      <c r="CD18" s="117" t="n">
        <f aca="false">SUMIFS(الريسبي!$C$2:$C$1800,الريسبي!$A$2:$A$1800,$A18,الريسبي!$B$2:$B$1800,CD$1)</f>
        <v>0</v>
      </c>
      <c r="CE18" s="117" t="n">
        <f aca="false">SUMIFS(الريسبي!$C$2:$C$1800,الريسبي!$A$2:$A$1800,$A18,الريسبي!$B$2:$B$1800,CE$1)</f>
        <v>0</v>
      </c>
      <c r="CF18" s="117" t="n">
        <f aca="false">SUMIFS(الريسبي!$C$2:$C$1800,الريسبي!$A$2:$A$1800,$A18,الريسبي!$B$2:$B$1800,CF$1)</f>
        <v>0</v>
      </c>
      <c r="CG18" s="117" t="n">
        <f aca="false">SUMIFS(الريسبي!$C$2:$C$1800,الريسبي!$A$2:$A$1800,$A18,الريسبي!$B$2:$B$1800,CG$1)</f>
        <v>0</v>
      </c>
      <c r="CH18" s="117" t="n">
        <f aca="false">SUMIFS(الريسبي!$C$2:$C$1800,الريسبي!$A$2:$A$1800,$A18,الريسبي!$B$2:$B$1800,CH$1)</f>
        <v>0</v>
      </c>
      <c r="CI18" s="117" t="n">
        <f aca="false">SUMIFS(الريسبي!$C$2:$C$1800,الريسبي!$A$2:$A$1800,$A18,الريسبي!$B$2:$B$1800,CI$1)</f>
        <v>0</v>
      </c>
      <c r="CJ18" s="117" t="n">
        <f aca="false">SUMIFS(الريسبي!$C$2:$C$1800,الريسبي!$A$2:$A$1800,$A18,الريسبي!$B$2:$B$1800,CJ$1)</f>
        <v>0</v>
      </c>
      <c r="CK18" s="117" t="n">
        <f aca="false">SUMIFS(الريسبي!$C$2:$C$1800,الريسبي!$A$2:$A$1800,$A18,الريسبي!$B$2:$B$1800,CK$1)</f>
        <v>0</v>
      </c>
      <c r="CL18" s="117" t="n">
        <f aca="false">SUMIFS(الريسبي!$C$2:$C$1800,الريسبي!$A$2:$A$1800,$A18,الريسبي!$B$2:$B$1800,CL$1)</f>
        <v>0</v>
      </c>
    </row>
    <row r="19" customFormat="false" ht="15" hidden="false" customHeight="false" outlineLevel="0" collapsed="false">
      <c r="A19" s="116" t="str">
        <f aca="false">المنيو!B19</f>
        <v>بيتزا فراخ كريسبي شيدر حجم اكبر</v>
      </c>
      <c r="B19" s="117" t="n">
        <f aca="false">SUMIFS(الريسبي!$C$2:$C$1800,الريسبي!$A$2:$A$1800,$A19,الريسبي!$B$2:$B$1800,B$1)</f>
        <v>0</v>
      </c>
      <c r="C19" s="117" t="n">
        <f aca="false">SUMIFS(الريسبي!$C$2:$C$1800,الريسبي!$A$2:$A$1800,$A19,الريسبي!$B$2:$B$1800,C$1)</f>
        <v>0</v>
      </c>
      <c r="D19" s="117" t="n">
        <f aca="false">SUMIFS(الريسبي!$C$2:$C$1800,الريسبي!$A$2:$A$1800,$A19,الريسبي!$B$2:$B$1800,D$1)</f>
        <v>1</v>
      </c>
      <c r="E19" s="117" t="n">
        <f aca="false">SUMIFS(الريسبي!$C$2:$C$1800,الريسبي!$A$2:$A$1800,$A19,الريسبي!$B$2:$B$1800,E$1)</f>
        <v>0</v>
      </c>
      <c r="F19" s="117" t="n">
        <f aca="false">SUMIFS(الريسبي!$C$2:$C$1800,الريسبي!$A$2:$A$1800,$A19,الريسبي!$B$2:$B$1800,F$1)</f>
        <v>0</v>
      </c>
      <c r="G19" s="117" t="n">
        <f aca="false">SUMIFS(الريسبي!$C$2:$C$1800,الريسبي!$A$2:$A$1800,$A19,الريسبي!$B$2:$B$1800,G$1)</f>
        <v>0</v>
      </c>
      <c r="H19" s="117" t="n">
        <f aca="false">SUMIFS(الريسبي!$C$2:$C$1800,الريسبي!$A$2:$A$1800,$A19,الريسبي!$B$2:$B$1800,H$1)</f>
        <v>0</v>
      </c>
      <c r="I19" s="117" t="n">
        <f aca="false">SUMIFS(الريسبي!$C$2:$C$1800,الريسبي!$A$2:$A$1800,$A19,الريسبي!$B$2:$B$1800,I$1)</f>
        <v>0</v>
      </c>
      <c r="J19" s="117" t="n">
        <f aca="false">SUMIFS(الريسبي!$C$2:$C$1800,الريسبي!$A$2:$A$1800,$A19,الريسبي!$B$2:$B$1800,J$1)</f>
        <v>0</v>
      </c>
      <c r="K19" s="117" t="n">
        <f aca="false">SUMIFS(الريسبي!$C$2:$C$1800,الريسبي!$A$2:$A$1800,$A19,الريسبي!$B$2:$B$1800,K$1)</f>
        <v>0</v>
      </c>
      <c r="L19" s="117" t="n">
        <f aca="false">SUMIFS(الريسبي!$C$2:$C$1800,الريسبي!$A$2:$A$1800,$A19,الريسبي!$B$2:$B$1800,L$1)</f>
        <v>0</v>
      </c>
      <c r="M19" s="117" t="n">
        <f aca="false">SUMIFS(الريسبي!$C$2:$C$1800,الريسبي!$A$2:$A$1800,$A19,الريسبي!$B$2:$B$1800,M$1)</f>
        <v>0</v>
      </c>
      <c r="N19" s="117" t="n">
        <f aca="false">SUMIFS(الريسبي!$C$2:$C$1800,الريسبي!$A$2:$A$1800,$A19,الريسبي!$B$2:$B$1800,N$1)</f>
        <v>0</v>
      </c>
      <c r="O19" s="117" t="n">
        <f aca="false">SUMIFS(الريسبي!$C$2:$C$1800,الريسبي!$A$2:$A$1800,$A19,الريسبي!$B$2:$B$1800,O$1)</f>
        <v>0</v>
      </c>
      <c r="P19" s="117" t="n">
        <f aca="false">SUMIFS(الريسبي!$C$2:$C$1800,الريسبي!$A$2:$A$1800,$A19,الريسبي!$B$2:$B$1800,P$1)</f>
        <v>0</v>
      </c>
      <c r="Q19" s="117" t="n">
        <f aca="false">SUMIFS(الريسبي!$C$2:$C$1800,الريسبي!$A$2:$A$1800,$A19,الريسبي!$B$2:$B$1800,Q$1)</f>
        <v>0</v>
      </c>
      <c r="R19" s="117" t="n">
        <f aca="false">SUMIFS(الريسبي!$C$2:$C$1800,الريسبي!$A$2:$A$1800,$A19,الريسبي!$B$2:$B$1800,R$1)</f>
        <v>1</v>
      </c>
      <c r="S19" s="117" t="n">
        <f aca="false">SUMIFS(الريسبي!$C$2:$C$1800,الريسبي!$A$2:$A$1800,$A19,الريسبي!$B$2:$B$1800,S$1)</f>
        <v>0</v>
      </c>
      <c r="T19" s="117" t="n">
        <f aca="false">SUMIFS(الريسبي!$C$2:$C$1800,الريسبي!$A$2:$A$1800,$A19,الريسبي!$B$2:$B$1800,T$1)</f>
        <v>0</v>
      </c>
      <c r="U19" s="117" t="n">
        <f aca="false">SUMIFS(الريسبي!$C$2:$C$1800,الريسبي!$A$2:$A$1800,$A19,الريسبي!$B$2:$B$1800,U$1)</f>
        <v>0</v>
      </c>
      <c r="V19" s="117" t="n">
        <f aca="false">SUMIFS(الريسبي!$C$2:$C$1800,الريسبي!$A$2:$A$1800,$A19,الريسبي!$B$2:$B$1800,V$1)+1.5*(SUMIFS(الريسبي!$C$2:$C$1800,الريسبي!$A$2:$A$1800,$A19,الريسبي!$B$2:$B$1800,"برسيون موتزريلا بيتزا كبير"))</f>
        <v>1.5</v>
      </c>
      <c r="W19" s="117" t="n">
        <f aca="false">0</f>
        <v>0</v>
      </c>
      <c r="X19" s="117" t="n">
        <f aca="false">SUMIFS(الريسبي!$C$2:$C$1800,الريسبي!$A$2:$A$1800,$A19,الريسبي!$B$2:$B$1800,X$1)+1.5*(SUMIFS(الريسبي!$C$2:$C$1800,الريسبي!$A$2:$A$1800,$A19,الريسبي!$B$2:$B$1800,"برسيون موتزريلا فطير كبير"))</f>
        <v>0</v>
      </c>
      <c r="Y19" s="117" t="n">
        <f aca="false">0</f>
        <v>0</v>
      </c>
      <c r="Z19" s="117" t="n">
        <f aca="false">SUMIFS(الريسبي!$C$2:$C$1800,الريسبي!$A$2:$A$1800,$A19,الريسبي!$B$2:$B$1800,Z$1)</f>
        <v>0</v>
      </c>
      <c r="AA19" s="117" t="n">
        <f aca="false">SUMIFS(الريسبي!$C$2:$C$1800,الريسبي!$A$2:$A$1800,$A19,الريسبي!$B$2:$B$1800,AA$1)</f>
        <v>0</v>
      </c>
      <c r="AB19" s="117" t="n">
        <f aca="false">SUMIFS(الريسبي!$C$2:$C$1800,الريسبي!$A$2:$A$1800,$A19,الريسبي!$B$2:$B$1800,AB$1)</f>
        <v>0</v>
      </c>
      <c r="AC19" s="117" t="n">
        <f aca="false">SUMIFS(الريسبي!$C$2:$C$1800,الريسبي!$A$2:$A$1800,$A19,الريسبي!$B$2:$B$1800,AC$1)</f>
        <v>0</v>
      </c>
      <c r="AD19" s="117" t="n">
        <f aca="false">SUMIFS(الريسبي!$C$2:$C$1800,الريسبي!$A$2:$A$1800,$A19,الريسبي!$B$2:$B$1800,AD$1)</f>
        <v>0</v>
      </c>
      <c r="AE19" s="117" t="n">
        <f aca="false">SUMIFS(الريسبي!$C$2:$C$1800,الريسبي!$A$2:$A$1800,$A19,الريسبي!$B$2:$B$1800,AE$1)</f>
        <v>0</v>
      </c>
      <c r="AF19" s="117" t="n">
        <f aca="false">SUMIFS(الريسبي!$C$2:$C$1800,الريسبي!$A$2:$A$1800,$A19,الريسبي!$B$2:$B$1800,AF$1)</f>
        <v>0</v>
      </c>
      <c r="AG19" s="117" t="n">
        <f aca="false">SUMIFS(الريسبي!$C$2:$C$1800,الريسبي!$A$2:$A$1800,$A19,الريسبي!$B$2:$B$1800,AG$1)</f>
        <v>0</v>
      </c>
      <c r="AH19" s="117" t="n">
        <f aca="false">SUMIFS(الريسبي!$C$2:$C$1800,الريسبي!$A$2:$A$1800,$A19,الريسبي!$B$2:$B$1800,AH$1)</f>
        <v>0</v>
      </c>
      <c r="AI19" s="117" t="n">
        <f aca="false">SUMIFS(الريسبي!$C$2:$C$1800,الريسبي!$A$2:$A$1800,$A19,الريسبي!$B$2:$B$1800,AI$1)</f>
        <v>0</v>
      </c>
      <c r="AJ19" s="117" t="n">
        <f aca="false">SUMIFS(الريسبي!$C$2:$C$1800,الريسبي!$A$2:$A$1800,$A19,الريسبي!$B$2:$B$1800,AJ$1)</f>
        <v>2</v>
      </c>
      <c r="AK19" s="117" t="n">
        <f aca="false">SUMIFS(الريسبي!$C$2:$C$1800,الريسبي!$A$2:$A$1800,$A19,الريسبي!$B$2:$B$1800,AK$1)</f>
        <v>0</v>
      </c>
      <c r="AL19" s="117" t="n">
        <f aca="false">SUMIFS(الريسبي!$C$2:$C$1800,الريسبي!$A$2:$A$1800,$A19,الريسبي!$B$2:$B$1800,AL$1)</f>
        <v>0</v>
      </c>
      <c r="AM19" s="117" t="n">
        <f aca="false">SUMIFS(الريسبي!$C$2:$C$1800,الريسبي!$A$2:$A$1800,$A19,الريسبي!$B$2:$B$1800,AM$1)+0.08333333333*SUMIFS(الريسبي!$C$2:$C$1800,الريسبي!$A$2:$A$1800,$A19,الريسبي!$B$2:$B$1800,"عجين كريب (مصنع بالمطعم)")+0.08333333333*SUMIFS(الريسبي!$C$2:$C$1800,الريسبي!$A$2:$A$1800,$A19,الريسبي!$B$2:$B$1800,"عجين كريب صيامي (بدون لبن)")</f>
        <v>0</v>
      </c>
      <c r="AN19" s="117" t="n">
        <f aca="false">SUMIFS(الريسبي!$C$2:$C$1800,الريسبي!$A$2:$A$1800,$A19,الريسبي!$B$2:$B$1800,AN$1)+0.004166666667*SUMIFS(الريسبي!$C$2:$C$1800,الريسبي!$A$2:$A$1800,$A19,الريسبي!$B$2:$B$1800,"عجين كريب (مصنع بالمطعم)")+0.004166666667*SUMIFS(الريسبي!$C$2:$C$1800,الريسبي!$A$2:$A$1800,$A19,الريسبي!$B$2:$B$1800,"عجين كريب صيامي (بدون لبن)")</f>
        <v>0</v>
      </c>
      <c r="AO19" s="117" t="n">
        <f aca="false">SUMIFS(الريسبي!$C$2:$C$1800,الريسبي!$A$2:$A$1800,$A19,الريسبي!$B$2:$B$1800,AO$1)</f>
        <v>0</v>
      </c>
      <c r="AP19" s="117" t="n">
        <f aca="false">SUMIFS(الريسبي!$C$2:$C$1800,الريسبي!$A$2:$A$1800,$A19,الريسبي!$B$2:$B$1800,AP$1)</f>
        <v>0.03</v>
      </c>
      <c r="AQ19" s="117" t="n">
        <f aca="false">SUMIFS(الريسبي!$C$2:$C$1800,الريسبي!$A$2:$A$1800,$A19,الريسبي!$B$2:$B$1800,AQ$1)+0.004166666667*SUMIFS(الريسبي!$C$2:$C$1800,الريسبي!$A$2:$A$1800,$A19,الريسبي!$B$2:$B$1800,"عجين كريب (مصنع بالمطعم)")+0.004166666667*SUMIFS(الريسبي!$C$2:$C$1800,الريسبي!$A$2:$A$1800,$A19,الريسبي!$B$2:$B$1800,"عجين كريب صيامي (بدون لبن)")</f>
        <v>0</v>
      </c>
      <c r="AR19" s="117" t="n">
        <f aca="false">SUMIFS(الريسبي!$C$2:$C$1800,الريسبي!$A$2:$A$1800,$A19,الريسبي!$B$2:$B$1800,AR$1)</f>
        <v>0</v>
      </c>
      <c r="AS19" s="117" t="n">
        <f aca="false">SUMIFS(الريسبي!$C$2:$C$1800,الريسبي!$A$2:$A$1800,$A19,الريسبي!$B$2:$B$1800,AS$1)</f>
        <v>0</v>
      </c>
      <c r="AT19" s="117" t="n">
        <f aca="false">SUMIFS(الريسبي!$C$2:$C$1800,الريسبي!$A$2:$A$1800,$A19,الريسبي!$B$2:$B$1800,AT$1)</f>
        <v>0</v>
      </c>
      <c r="AU19" s="117" t="n">
        <f aca="false">SUMIFS(الريسبي!$C$2:$C$1800,الريسبي!$A$2:$A$1800,$A19,الريسبي!$B$2:$B$1800,AU$1)</f>
        <v>0</v>
      </c>
      <c r="AV19" s="117" t="n">
        <f aca="false">SUMIFS(الريسبي!$C$2:$C$1800,الريسبي!$A$2:$A$1800,$A19,الريسبي!$B$2:$B$1800,AV$1)</f>
        <v>0</v>
      </c>
      <c r="AW19" s="117" t="n">
        <f aca="false">SUMIFS(الريسبي!$C$2:$C$1800,الريسبي!$A$2:$A$1800,$A19,الريسبي!$B$2:$B$1800,AW$1)</f>
        <v>0</v>
      </c>
      <c r="AX19" s="117" t="n">
        <f aca="false">SUMIFS(الريسبي!$C$2:$C$1800,الريسبي!$A$2:$A$1800,$A19,الريسبي!$B$2:$B$1800,AX$1)</f>
        <v>0.06</v>
      </c>
      <c r="AY19" s="117" t="n">
        <f aca="false">SUMIFS(الريسبي!$C$2:$C$1800,الريسبي!$A$2:$A$1800,$A19,الريسبي!$B$2:$B$1800,AY$1)</f>
        <v>0</v>
      </c>
      <c r="AZ19" s="117" t="n">
        <f aca="false">SUMIFS(الريسبي!$C$2:$C$1800,الريسبي!$A$2:$A$1800,$A19,الريسبي!$B$2:$B$1800,AZ$1)</f>
        <v>0</v>
      </c>
      <c r="BA19" s="117" t="n">
        <f aca="false">SUMIFS(الريسبي!$C$2:$C$1800,الريسبي!$A$2:$A$1800,$A19,الريسبي!$B$2:$B$1800,BA$1)</f>
        <v>0</v>
      </c>
      <c r="BB19" s="117" t="n">
        <f aca="false">SUMIFS(الريسبي!$C$2:$C$1800,الريسبي!$A$2:$A$1800,$A19,الريسبي!$B$2:$B$1800,BB$1)</f>
        <v>0.15</v>
      </c>
      <c r="BC19" s="117" t="n">
        <f aca="false">SUMIFS(الريسبي!$C$2:$C$1800,الريسبي!$A$2:$A$1800,$A19,الريسبي!$B$2:$B$1800,BC$1)</f>
        <v>0.045</v>
      </c>
      <c r="BD19" s="117" t="n">
        <f aca="false">SUMIFS(الريسبي!$C$2:$C$1800,الريسبي!$A$2:$A$1800,$A19,الريسبي!$B$2:$B$1800,BD$1)</f>
        <v>0.3</v>
      </c>
      <c r="BE19" s="117" t="n">
        <f aca="false">SUMIFS(الريسبي!$C$2:$C$1800,الريسبي!$A$2:$A$1800,$A19,الريسبي!$B$2:$B$1800,BE$1)</f>
        <v>0</v>
      </c>
      <c r="BF19" s="117" t="n">
        <f aca="false">SUMIFS(الريسبي!$C$2:$C$1800,الريسبي!$A$2:$A$1800,$A19,الريسبي!$B$2:$B$1800,BF$1)</f>
        <v>0</v>
      </c>
      <c r="BG19" s="117" t="n">
        <f aca="false">SUMIFS(الريسبي!$C$2:$C$1800,الريسبي!$A$2:$A$1800,$A19,الريسبي!$B$2:$B$1800,BG$1)</f>
        <v>1</v>
      </c>
      <c r="BH19" s="117" t="n">
        <f aca="false">SUMIFS(الريسبي!$C$2:$C$1800,الريسبي!$A$2:$A$1800,$A19,الريسبي!$B$2:$B$1800,BH$1)</f>
        <v>0</v>
      </c>
      <c r="BI19" s="117" t="n">
        <f aca="false">SUMIFS(الريسبي!$C$2:$C$1800,الريسبي!$A$2:$A$1800,$A19,الريسبي!$B$2:$B$1800,BI$1)</f>
        <v>0</v>
      </c>
      <c r="BJ19" s="117" t="n">
        <f aca="false">SUMIFS(الريسبي!$C$2:$C$1800,الريسبي!$A$2:$A$1800,$A19,الريسبي!$B$2:$B$1800,BJ$1)</f>
        <v>0</v>
      </c>
      <c r="BK19" s="117" t="n">
        <f aca="false">SUMIFS(الريسبي!$C$2:$C$1800,الريسبي!$A$2:$A$1800,$A19,الريسبي!$B$2:$B$1800,BK$1)</f>
        <v>0</v>
      </c>
      <c r="BL19" s="117" t="n">
        <f aca="false">SUMIFS(الريسبي!$C$2:$C$1800,الريسبي!$A$2:$A$1800,$A19,الريسبي!$B$2:$B$1800,BL$1)</f>
        <v>0</v>
      </c>
      <c r="BM19" s="117" t="n">
        <f aca="false">SUMIFS(الريسبي!$C$2:$C$1800,الريسبي!$A$2:$A$1800,$A19,الريسبي!$B$2:$B$1800,BM$1)</f>
        <v>0</v>
      </c>
      <c r="BN19" s="117" t="n">
        <f aca="false">SUMIFS(الريسبي!$C$2:$C$1800,الريسبي!$A$2:$A$1800,$A19,الريسبي!$B$2:$B$1800,BN$1)</f>
        <v>0.03</v>
      </c>
      <c r="BO19" s="117" t="n">
        <f aca="false">SUMIFS(الريسبي!$C$2:$C$1800,الريسبي!$A$2:$A$1800,$A19,الريسبي!$B$2:$B$1800,BO$1)</f>
        <v>0</v>
      </c>
      <c r="BP19" s="117" t="n">
        <f aca="false">SUMIFS(الريسبي!$C$2:$C$1800,الريسبي!$A$2:$A$1800,$A19,الريسبي!$B$2:$B$1800,BP$1)</f>
        <v>3</v>
      </c>
      <c r="BQ19" s="117" t="n">
        <f aca="false">SUMIFS(الريسبي!$C$2:$C$1800,الريسبي!$A$2:$A$1800,$A19,الريسبي!$B$2:$B$1800,BQ$1)+0.17*SUMIFS(الريسبي!$C$2:$C$1800,الريسبي!$A$2:$A$1800,$A19,الريسبي!$B$2:$B$1800,"كاسترد مصنع (خليط بودر + لبن)")+0.17*SUMIFS(الريسبي!$C$2:$C$1800,الريسبي!$A$2:$A$1800,$A19,الريسبي!$B$2:$B$1800,"كاسترد مصنع صيامي (بدون لبن)")</f>
        <v>0</v>
      </c>
      <c r="BR19" s="117" t="n">
        <f aca="false">SUMIFS(الريسبي!$C$2:$C$1800,الريسبي!$A$2:$A$1800,$A19,الريسبي!$B$2:$B$1800,BR$1)</f>
        <v>1</v>
      </c>
      <c r="BS19" s="117" t="n">
        <f aca="false">SUMIFS(الريسبي!$C$2:$C$1800,الريسبي!$A$2:$A$1800,$A19,الريسبي!$B$2:$B$1800,BS$1)</f>
        <v>0</v>
      </c>
      <c r="BT19" s="117" t="n">
        <f aca="false">SUMIFS(الريسبي!$C$2:$C$1800,الريسبي!$A$2:$A$1800,$A19,الريسبي!$B$2:$B$1800,BT$1)</f>
        <v>0</v>
      </c>
      <c r="BU19" s="117" t="n">
        <f aca="false">SUMIFS(الريسبي!$C$2:$C$1800,الريسبي!$A$2:$A$1800,$A19,الريسبي!$B$2:$B$1800,BU$1)+0.4*SUMIFS(الريسبي!$C$2:$C$1800,الريسبي!$A$2:$A$1800,$A19,الريسبي!$B$2:$B$1800,"كاسترد مصنع (خليط بودر + لبن)")+0.03333333333*SUMIFS(الريسبي!$C$2:$C$1800,الريسبي!$A$2:$A$1800,$A19,الريسبي!$B$2:$B$1800,"عجين كريب (مصنع بالمطعم)")</f>
        <v>0</v>
      </c>
      <c r="BV19" s="117" t="n">
        <f aca="false">SUMIFS(الريسبي!$C$2:$C$1800,الريسبي!$A$2:$A$1800,$A19,الريسبي!$B$2:$B$1800,BV$1)</f>
        <v>0</v>
      </c>
      <c r="BW19" s="117" t="n">
        <f aca="false">SUMIFS(الريسبي!$C$2:$C$1800,الريسبي!$A$2:$A$1800,$A19,الريسبي!$B$2:$B$1800,BW$1)</f>
        <v>0</v>
      </c>
      <c r="BX19" s="117" t="n">
        <f aca="false">SUMIFS(الريسبي!$C$2:$C$1800,الريسبي!$A$2:$A$1800,$A19,الريسبي!$B$2:$B$1800,BX$1)</f>
        <v>0</v>
      </c>
      <c r="BY19" s="117" t="n">
        <f aca="false">SUMIFS(الريسبي!$C$2:$C$1800,الريسبي!$A$2:$A$1800,$A19,الريسبي!$B$2:$B$1800,BY$1)</f>
        <v>0</v>
      </c>
      <c r="BZ19" s="117" t="n">
        <f aca="false">SUMIFS(الريسبي!$C$2:$C$1800,الريسبي!$A$2:$A$1800,$A19,الريسبي!$B$2:$B$1800,BZ$1)</f>
        <v>0</v>
      </c>
      <c r="CA19" s="117" t="n">
        <f aca="false">SUMIFS(الريسبي!$C$2:$C$1800,الريسبي!$A$2:$A$1800,$A19,الريسبي!$B$2:$B$1800,CA$1)</f>
        <v>1</v>
      </c>
      <c r="CB19" s="117" t="n">
        <f aca="false">SUMIFS(الريسبي!$C$2:$C$1800,الريسبي!$A$2:$A$1800,$A19,الريسبي!$B$2:$B$1800,CB$1)</f>
        <v>1</v>
      </c>
      <c r="CC19" s="117" t="n">
        <f aca="false">SUMIFS(الريسبي!$C$2:$C$1800,الريسبي!$A$2:$A$1800,$A19,الريسبي!$B$2:$B$1800,CC$1)</f>
        <v>0</v>
      </c>
      <c r="CD19" s="117" t="n">
        <f aca="false">SUMIFS(الريسبي!$C$2:$C$1800,الريسبي!$A$2:$A$1800,$A19,الريسبي!$B$2:$B$1800,CD$1)</f>
        <v>0</v>
      </c>
      <c r="CE19" s="117" t="n">
        <f aca="false">SUMIFS(الريسبي!$C$2:$C$1800,الريسبي!$A$2:$A$1800,$A19,الريسبي!$B$2:$B$1800,CE$1)</f>
        <v>0</v>
      </c>
      <c r="CF19" s="117" t="n">
        <f aca="false">SUMIFS(الريسبي!$C$2:$C$1800,الريسبي!$A$2:$A$1800,$A19,الريسبي!$B$2:$B$1800,CF$1)</f>
        <v>0</v>
      </c>
      <c r="CG19" s="117" t="n">
        <f aca="false">SUMIFS(الريسبي!$C$2:$C$1800,الريسبي!$A$2:$A$1800,$A19,الريسبي!$B$2:$B$1800,CG$1)</f>
        <v>0</v>
      </c>
      <c r="CH19" s="117" t="n">
        <f aca="false">SUMIFS(الريسبي!$C$2:$C$1800,الريسبي!$A$2:$A$1800,$A19,الريسبي!$B$2:$B$1800,CH$1)</f>
        <v>0</v>
      </c>
      <c r="CI19" s="117" t="n">
        <f aca="false">SUMIFS(الريسبي!$C$2:$C$1800,الريسبي!$A$2:$A$1800,$A19,الريسبي!$B$2:$B$1800,CI$1)</f>
        <v>0</v>
      </c>
      <c r="CJ19" s="117" t="n">
        <f aca="false">SUMIFS(الريسبي!$C$2:$C$1800,الريسبي!$A$2:$A$1800,$A19,الريسبي!$B$2:$B$1800,CJ$1)</f>
        <v>0</v>
      </c>
      <c r="CK19" s="117" t="n">
        <f aca="false">SUMIFS(الريسبي!$C$2:$C$1800,الريسبي!$A$2:$A$1800,$A19,الريسبي!$B$2:$B$1800,CK$1)</f>
        <v>0</v>
      </c>
      <c r="CL19" s="117" t="n">
        <f aca="false">SUMIFS(الريسبي!$C$2:$C$1800,الريسبي!$A$2:$A$1800,$A19,الريسبي!$B$2:$B$1800,CL$1)</f>
        <v>0</v>
      </c>
    </row>
    <row r="20" customFormat="false" ht="15" hidden="false" customHeight="false" outlineLevel="0" collapsed="false">
      <c r="A20" s="116" t="str">
        <f aca="false">المنيو!B20</f>
        <v>بيتزا مشكل لحوم النكش وسط</v>
      </c>
      <c r="B20" s="117" t="n">
        <f aca="false">SUMIFS(الريسبي!$C$2:$C$1800,الريسبي!$A$2:$A$1800,$A20,الريسبي!$B$2:$B$1800,B$1)</f>
        <v>0</v>
      </c>
      <c r="C20" s="117" t="n">
        <f aca="false">SUMIFS(الريسبي!$C$2:$C$1800,الريسبي!$A$2:$A$1800,$A20,الريسبي!$B$2:$B$1800,C$1)</f>
        <v>0</v>
      </c>
      <c r="D20" s="117" t="n">
        <f aca="false">SUMIFS(الريسبي!$C$2:$C$1800,الريسبي!$A$2:$A$1800,$A20,الريسبي!$B$2:$B$1800,D$1)</f>
        <v>1</v>
      </c>
      <c r="E20" s="117" t="n">
        <f aca="false">SUMIFS(الريسبي!$C$2:$C$1800,الريسبي!$A$2:$A$1800,$A20,الريسبي!$B$2:$B$1800,E$1)</f>
        <v>0</v>
      </c>
      <c r="F20" s="117" t="n">
        <f aca="false">SUMIFS(الريسبي!$C$2:$C$1800,الريسبي!$A$2:$A$1800,$A20,الريسبي!$B$2:$B$1800,F$1)</f>
        <v>0</v>
      </c>
      <c r="G20" s="117" t="n">
        <f aca="false">SUMIFS(الريسبي!$C$2:$C$1800,الريسبي!$A$2:$A$1800,$A20,الريسبي!$B$2:$B$1800,G$1)</f>
        <v>1</v>
      </c>
      <c r="H20" s="117" t="n">
        <f aca="false">SUMIFS(الريسبي!$C$2:$C$1800,الريسبي!$A$2:$A$1800,$A20,الريسبي!$B$2:$B$1800,H$1)</f>
        <v>0</v>
      </c>
      <c r="I20" s="117" t="n">
        <f aca="false">SUMIFS(الريسبي!$C$2:$C$1800,الريسبي!$A$2:$A$1800,$A20,الريسبي!$B$2:$B$1800,I$1)</f>
        <v>0</v>
      </c>
      <c r="J20" s="117" t="n">
        <f aca="false">SUMIFS(الريسبي!$C$2:$C$1800,الريسبي!$A$2:$A$1800,$A20,الريسبي!$B$2:$B$1800,J$1)</f>
        <v>0</v>
      </c>
      <c r="K20" s="117" t="n">
        <f aca="false">SUMIFS(الريسبي!$C$2:$C$1800,الريسبي!$A$2:$A$1800,$A20,الريسبي!$B$2:$B$1800,K$1)</f>
        <v>0</v>
      </c>
      <c r="L20" s="117" t="n">
        <f aca="false">SUMIFS(الريسبي!$C$2:$C$1800,الريسبي!$A$2:$A$1800,$A20,الريسبي!$B$2:$B$1800,L$1)</f>
        <v>1</v>
      </c>
      <c r="M20" s="117" t="n">
        <f aca="false">SUMIFS(الريسبي!$C$2:$C$1800,الريسبي!$A$2:$A$1800,$A20,الريسبي!$B$2:$B$1800,M$1)</f>
        <v>0</v>
      </c>
      <c r="N20" s="117" t="n">
        <f aca="false">SUMIFS(الريسبي!$C$2:$C$1800,الريسبي!$A$2:$A$1800,$A20,الريسبي!$B$2:$B$1800,N$1)</f>
        <v>0</v>
      </c>
      <c r="O20" s="117" t="n">
        <f aca="false">SUMIFS(الريسبي!$C$2:$C$1800,الريسبي!$A$2:$A$1800,$A20,الريسبي!$B$2:$B$1800,O$1)</f>
        <v>0</v>
      </c>
      <c r="P20" s="117" t="n">
        <f aca="false">SUMIFS(الريسبي!$C$2:$C$1800,الريسبي!$A$2:$A$1800,$A20,الريسبي!$B$2:$B$1800,P$1)</f>
        <v>0</v>
      </c>
      <c r="Q20" s="117" t="n">
        <f aca="false">SUMIFS(الريسبي!$C$2:$C$1800,الريسبي!$A$2:$A$1800,$A20,الريسبي!$B$2:$B$1800,Q$1)</f>
        <v>0</v>
      </c>
      <c r="R20" s="117" t="n">
        <f aca="false">SUMIFS(الريسبي!$C$2:$C$1800,الريسبي!$A$2:$A$1800,$A20,الريسبي!$B$2:$B$1800,R$1)</f>
        <v>0</v>
      </c>
      <c r="S20" s="117" t="n">
        <f aca="false">SUMIFS(الريسبي!$C$2:$C$1800,الريسبي!$A$2:$A$1800,$A20,الريسبي!$B$2:$B$1800,S$1)</f>
        <v>0</v>
      </c>
      <c r="T20" s="117" t="n">
        <f aca="false">SUMIFS(الريسبي!$C$2:$C$1800,الريسبي!$A$2:$A$1800,$A20,الريسبي!$B$2:$B$1800,T$1)</f>
        <v>1</v>
      </c>
      <c r="U20" s="117" t="n">
        <f aca="false">SUMIFS(الريسبي!$C$2:$C$1800,الريسبي!$A$2:$A$1800,$A20,الريسبي!$B$2:$B$1800,U$1)</f>
        <v>0</v>
      </c>
      <c r="V20" s="117" t="n">
        <f aca="false">SUMIFS(الريسبي!$C$2:$C$1800,الريسبي!$A$2:$A$1800,$A20,الريسبي!$B$2:$B$1800,V$1)+1.5*(SUMIFS(الريسبي!$C$2:$C$1800,الريسبي!$A$2:$A$1800,$A20,الريسبي!$B$2:$B$1800,"برسيون موتزريلا بيتزا كبير"))</f>
        <v>1</v>
      </c>
      <c r="W20" s="117" t="n">
        <f aca="false">0</f>
        <v>0</v>
      </c>
      <c r="X20" s="117" t="n">
        <f aca="false">SUMIFS(الريسبي!$C$2:$C$1800,الريسبي!$A$2:$A$1800,$A20,الريسبي!$B$2:$B$1800,X$1)+1.5*(SUMIFS(الريسبي!$C$2:$C$1800,الريسبي!$A$2:$A$1800,$A20,الريسبي!$B$2:$B$1800,"برسيون موتزريلا فطير كبير"))</f>
        <v>0</v>
      </c>
      <c r="Y20" s="117" t="n">
        <f aca="false">0</f>
        <v>0</v>
      </c>
      <c r="Z20" s="117" t="n">
        <f aca="false">SUMIFS(الريسبي!$C$2:$C$1800,الريسبي!$A$2:$A$1800,$A20,الريسبي!$B$2:$B$1800,Z$1)</f>
        <v>0</v>
      </c>
      <c r="AA20" s="117" t="n">
        <f aca="false">SUMIFS(الريسبي!$C$2:$C$1800,الريسبي!$A$2:$A$1800,$A20,الريسبي!$B$2:$B$1800,AA$1)</f>
        <v>0</v>
      </c>
      <c r="AB20" s="117" t="n">
        <f aca="false">SUMIFS(الريسبي!$C$2:$C$1800,الريسبي!$A$2:$A$1800,$A20,الريسبي!$B$2:$B$1800,AB$1)</f>
        <v>0</v>
      </c>
      <c r="AC20" s="117" t="n">
        <f aca="false">SUMIFS(الريسبي!$C$2:$C$1800,الريسبي!$A$2:$A$1800,$A20,الريسبي!$B$2:$B$1800,AC$1)</f>
        <v>0</v>
      </c>
      <c r="AD20" s="117" t="n">
        <f aca="false">SUMIFS(الريسبي!$C$2:$C$1800,الريسبي!$A$2:$A$1800,$A20,الريسبي!$B$2:$B$1800,AD$1)</f>
        <v>0</v>
      </c>
      <c r="AE20" s="117" t="n">
        <f aca="false">SUMIFS(الريسبي!$C$2:$C$1800,الريسبي!$A$2:$A$1800,$A20,الريسبي!$B$2:$B$1800,AE$1)</f>
        <v>0</v>
      </c>
      <c r="AF20" s="117" t="n">
        <f aca="false">SUMIFS(الريسبي!$C$2:$C$1800,الريسبي!$A$2:$A$1800,$A20,الريسبي!$B$2:$B$1800,AF$1)</f>
        <v>0</v>
      </c>
      <c r="AG20" s="117" t="n">
        <f aca="false">SUMIFS(الريسبي!$C$2:$C$1800,الريسبي!$A$2:$A$1800,$A20,الريسبي!$B$2:$B$1800,AG$1)</f>
        <v>0</v>
      </c>
      <c r="AH20" s="117" t="n">
        <f aca="false">SUMIFS(الريسبي!$C$2:$C$1800,الريسبي!$A$2:$A$1800,$A20,الريسبي!$B$2:$B$1800,AH$1)</f>
        <v>0</v>
      </c>
      <c r="AI20" s="117" t="n">
        <f aca="false">SUMIFS(الريسبي!$C$2:$C$1800,الريسبي!$A$2:$A$1800,$A20,الريسبي!$B$2:$B$1800,AI$1)</f>
        <v>0</v>
      </c>
      <c r="AJ20" s="117" t="n">
        <f aca="false">SUMIFS(الريسبي!$C$2:$C$1800,الريسبي!$A$2:$A$1800,$A20,الريسبي!$B$2:$B$1800,AJ$1)</f>
        <v>2</v>
      </c>
      <c r="AK20" s="117" t="n">
        <f aca="false">SUMIFS(الريسبي!$C$2:$C$1800,الريسبي!$A$2:$A$1800,$A20,الريسبي!$B$2:$B$1800,AK$1)</f>
        <v>0</v>
      </c>
      <c r="AL20" s="117" t="n">
        <f aca="false">SUMIFS(الريسبي!$C$2:$C$1800,الريسبي!$A$2:$A$1800,$A20,الريسبي!$B$2:$B$1800,AL$1)</f>
        <v>0</v>
      </c>
      <c r="AM20" s="117" t="n">
        <f aca="false">SUMIFS(الريسبي!$C$2:$C$1800,الريسبي!$A$2:$A$1800,$A20,الريسبي!$B$2:$B$1800,AM$1)+0.08333333333*SUMIFS(الريسبي!$C$2:$C$1800,الريسبي!$A$2:$A$1800,$A20,الريسبي!$B$2:$B$1800,"عجين كريب (مصنع بالمطعم)")+0.08333333333*SUMIFS(الريسبي!$C$2:$C$1800,الريسبي!$A$2:$A$1800,$A20,الريسبي!$B$2:$B$1800,"عجين كريب صيامي (بدون لبن)")</f>
        <v>0</v>
      </c>
      <c r="AN20" s="117" t="n">
        <f aca="false">SUMIFS(الريسبي!$C$2:$C$1800,الريسبي!$A$2:$A$1800,$A20,الريسبي!$B$2:$B$1800,AN$1)+0.004166666667*SUMIFS(الريسبي!$C$2:$C$1800,الريسبي!$A$2:$A$1800,$A20,الريسبي!$B$2:$B$1800,"عجين كريب (مصنع بالمطعم)")+0.004166666667*SUMIFS(الريسبي!$C$2:$C$1800,الريسبي!$A$2:$A$1800,$A20,الريسبي!$B$2:$B$1800,"عجين كريب صيامي (بدون لبن)")</f>
        <v>0</v>
      </c>
      <c r="AO20" s="117" t="n">
        <f aca="false">SUMIFS(الريسبي!$C$2:$C$1800,الريسبي!$A$2:$A$1800,$A20,الريسبي!$B$2:$B$1800,AO$1)</f>
        <v>0</v>
      </c>
      <c r="AP20" s="117" t="n">
        <f aca="false">SUMIFS(الريسبي!$C$2:$C$1800,الريسبي!$A$2:$A$1800,$A20,الريسبي!$B$2:$B$1800,AP$1)</f>
        <v>0.02</v>
      </c>
      <c r="AQ20" s="117" t="n">
        <f aca="false">SUMIFS(الريسبي!$C$2:$C$1800,الريسبي!$A$2:$A$1800,$A20,الريسبي!$B$2:$B$1800,AQ$1)+0.004166666667*SUMIFS(الريسبي!$C$2:$C$1800,الريسبي!$A$2:$A$1800,$A20,الريسبي!$B$2:$B$1800,"عجين كريب (مصنع بالمطعم)")+0.004166666667*SUMIFS(الريسبي!$C$2:$C$1800,الريسبي!$A$2:$A$1800,$A20,الريسبي!$B$2:$B$1800,"عجين كريب صيامي (بدون لبن)")</f>
        <v>0</v>
      </c>
      <c r="AR20" s="117" t="n">
        <f aca="false">SUMIFS(الريسبي!$C$2:$C$1800,الريسبي!$A$2:$A$1800,$A20,الريسبي!$B$2:$B$1800,AR$1)</f>
        <v>0</v>
      </c>
      <c r="AS20" s="117" t="n">
        <f aca="false">SUMIFS(الريسبي!$C$2:$C$1800,الريسبي!$A$2:$A$1800,$A20,الريسبي!$B$2:$B$1800,AS$1)</f>
        <v>0</v>
      </c>
      <c r="AT20" s="117" t="n">
        <f aca="false">SUMIFS(الريسبي!$C$2:$C$1800,الريسبي!$A$2:$A$1800,$A20,الريسبي!$B$2:$B$1800,AT$1)</f>
        <v>0</v>
      </c>
      <c r="AU20" s="117" t="n">
        <f aca="false">SUMIFS(الريسبي!$C$2:$C$1800,الريسبي!$A$2:$A$1800,$A20,الريسبي!$B$2:$B$1800,AU$1)</f>
        <v>0</v>
      </c>
      <c r="AV20" s="117" t="n">
        <f aca="false">SUMIFS(الريسبي!$C$2:$C$1800,الريسبي!$A$2:$A$1800,$A20,الريسبي!$B$2:$B$1800,AV$1)</f>
        <v>0</v>
      </c>
      <c r="AW20" s="117" t="n">
        <f aca="false">SUMIFS(الريسبي!$C$2:$C$1800,الريسبي!$A$2:$A$1800,$A20,الريسبي!$B$2:$B$1800,AW$1)</f>
        <v>0</v>
      </c>
      <c r="AX20" s="117" t="n">
        <f aca="false">SUMIFS(الريسبي!$C$2:$C$1800,الريسبي!$A$2:$A$1800,$A20,الريسبي!$B$2:$B$1800,AX$1)</f>
        <v>0.04</v>
      </c>
      <c r="AY20" s="117" t="n">
        <f aca="false">SUMIFS(الريسبي!$C$2:$C$1800,الريسبي!$A$2:$A$1800,$A20,الريسبي!$B$2:$B$1800,AY$1)</f>
        <v>0</v>
      </c>
      <c r="AZ20" s="117" t="n">
        <f aca="false">SUMIFS(الريسبي!$C$2:$C$1800,الريسبي!$A$2:$A$1800,$A20,الريسبي!$B$2:$B$1800,AZ$1)</f>
        <v>0</v>
      </c>
      <c r="BA20" s="117" t="n">
        <f aca="false">SUMIFS(الريسبي!$C$2:$C$1800,الريسبي!$A$2:$A$1800,$A20,الريسبي!$B$2:$B$1800,BA$1)</f>
        <v>0</v>
      </c>
      <c r="BB20" s="117" t="n">
        <f aca="false">SUMIFS(الريسبي!$C$2:$C$1800,الريسبي!$A$2:$A$1800,$A20,الريسبي!$B$2:$B$1800,BB$1)</f>
        <v>0</v>
      </c>
      <c r="BC20" s="117" t="n">
        <f aca="false">SUMIFS(الريسبي!$C$2:$C$1800,الريسبي!$A$2:$A$1800,$A20,الريسبي!$B$2:$B$1800,BC$1)</f>
        <v>0.03</v>
      </c>
      <c r="BD20" s="117" t="n">
        <f aca="false">SUMIFS(الريسبي!$C$2:$C$1800,الريسبي!$A$2:$A$1800,$A20,الريسبي!$B$2:$B$1800,BD$1)</f>
        <v>0.22</v>
      </c>
      <c r="BE20" s="117" t="n">
        <f aca="false">SUMIFS(الريسبي!$C$2:$C$1800,الريسبي!$A$2:$A$1800,$A20,الريسبي!$B$2:$B$1800,BE$1)</f>
        <v>0</v>
      </c>
      <c r="BF20" s="117" t="n">
        <f aca="false">SUMIFS(الريسبي!$C$2:$C$1800,الريسبي!$A$2:$A$1800,$A20,الريسبي!$B$2:$B$1800,BF$1)</f>
        <v>0</v>
      </c>
      <c r="BG20" s="117" t="n">
        <f aca="false">SUMIFS(الريسبي!$C$2:$C$1800,الريسبي!$A$2:$A$1800,$A20,الريسبي!$B$2:$B$1800,BG$1)</f>
        <v>0</v>
      </c>
      <c r="BH20" s="117" t="n">
        <f aca="false">SUMIFS(الريسبي!$C$2:$C$1800,الريسبي!$A$2:$A$1800,$A20,الريسبي!$B$2:$B$1800,BH$1)</f>
        <v>1</v>
      </c>
      <c r="BI20" s="117" t="n">
        <f aca="false">SUMIFS(الريسبي!$C$2:$C$1800,الريسبي!$A$2:$A$1800,$A20,الريسبي!$B$2:$B$1800,BI$1)</f>
        <v>0</v>
      </c>
      <c r="BJ20" s="117" t="n">
        <f aca="false">SUMIFS(الريسبي!$C$2:$C$1800,الريسبي!$A$2:$A$1800,$A20,الريسبي!$B$2:$B$1800,BJ$1)</f>
        <v>0</v>
      </c>
      <c r="BK20" s="117" t="n">
        <f aca="false">SUMIFS(الريسبي!$C$2:$C$1800,الريسبي!$A$2:$A$1800,$A20,الريسبي!$B$2:$B$1800,BK$1)</f>
        <v>0</v>
      </c>
      <c r="BL20" s="117" t="n">
        <f aca="false">SUMIFS(الريسبي!$C$2:$C$1800,الريسبي!$A$2:$A$1800,$A20,الريسبي!$B$2:$B$1800,BL$1)</f>
        <v>0</v>
      </c>
      <c r="BM20" s="117" t="n">
        <f aca="false">SUMIFS(الريسبي!$C$2:$C$1800,الريسبي!$A$2:$A$1800,$A20,الريسبي!$B$2:$B$1800,BM$1)</f>
        <v>0</v>
      </c>
      <c r="BN20" s="117" t="n">
        <f aca="false">SUMIFS(الريسبي!$C$2:$C$1800,الريسبي!$A$2:$A$1800,$A20,الريسبي!$B$2:$B$1800,BN$1)</f>
        <v>0.02</v>
      </c>
      <c r="BO20" s="117" t="n">
        <f aca="false">SUMIFS(الريسبي!$C$2:$C$1800,الريسبي!$A$2:$A$1800,$A20,الريسبي!$B$2:$B$1800,BO$1)</f>
        <v>0</v>
      </c>
      <c r="BP20" s="117" t="n">
        <f aca="false">SUMIFS(الريسبي!$C$2:$C$1800,الريسبي!$A$2:$A$1800,$A20,الريسبي!$B$2:$B$1800,BP$1)</f>
        <v>2</v>
      </c>
      <c r="BQ20" s="117" t="n">
        <f aca="false">SUMIFS(الريسبي!$C$2:$C$1800,الريسبي!$A$2:$A$1800,$A20,الريسبي!$B$2:$B$1800,BQ$1)+0.17*SUMIFS(الريسبي!$C$2:$C$1800,الريسبي!$A$2:$A$1800,$A20,الريسبي!$B$2:$B$1800,"كاسترد مصنع (خليط بودر + لبن)")+0.17*SUMIFS(الريسبي!$C$2:$C$1800,الريسبي!$A$2:$A$1800,$A20,الريسبي!$B$2:$B$1800,"كاسترد مصنع صيامي (بدون لبن)")</f>
        <v>0</v>
      </c>
      <c r="BR20" s="117" t="n">
        <f aca="false">SUMIFS(الريسبي!$C$2:$C$1800,الريسبي!$A$2:$A$1800,$A20,الريسبي!$B$2:$B$1800,BR$1)</f>
        <v>1</v>
      </c>
      <c r="BS20" s="117" t="n">
        <f aca="false">SUMIFS(الريسبي!$C$2:$C$1800,الريسبي!$A$2:$A$1800,$A20,الريسبي!$B$2:$B$1800,BS$1)</f>
        <v>0</v>
      </c>
      <c r="BT20" s="117" t="n">
        <f aca="false">SUMIFS(الريسبي!$C$2:$C$1800,الريسبي!$A$2:$A$1800,$A20,الريسبي!$B$2:$B$1800,BT$1)</f>
        <v>0</v>
      </c>
      <c r="BU20" s="117" t="n">
        <f aca="false">SUMIFS(الريسبي!$C$2:$C$1800,الريسبي!$A$2:$A$1800,$A20,الريسبي!$B$2:$B$1800,BU$1)+0.4*SUMIFS(الريسبي!$C$2:$C$1800,الريسبي!$A$2:$A$1800,$A20,الريسبي!$B$2:$B$1800,"كاسترد مصنع (خليط بودر + لبن)")+0.03333333333*SUMIFS(الريسبي!$C$2:$C$1800,الريسبي!$A$2:$A$1800,$A20,الريسبي!$B$2:$B$1800,"عجين كريب (مصنع بالمطعم)")</f>
        <v>0</v>
      </c>
      <c r="BV20" s="117" t="n">
        <f aca="false">SUMIFS(الريسبي!$C$2:$C$1800,الريسبي!$A$2:$A$1800,$A20,الريسبي!$B$2:$B$1800,BV$1)</f>
        <v>0</v>
      </c>
      <c r="BW20" s="117" t="n">
        <f aca="false">SUMIFS(الريسبي!$C$2:$C$1800,الريسبي!$A$2:$A$1800,$A20,الريسبي!$B$2:$B$1800,BW$1)</f>
        <v>0</v>
      </c>
      <c r="BX20" s="117" t="n">
        <f aca="false">SUMIFS(الريسبي!$C$2:$C$1800,الريسبي!$A$2:$A$1800,$A20,الريسبي!$B$2:$B$1800,BX$1)</f>
        <v>0</v>
      </c>
      <c r="BY20" s="117" t="n">
        <f aca="false">SUMIFS(الريسبي!$C$2:$C$1800,الريسبي!$A$2:$A$1800,$A20,الريسبي!$B$2:$B$1800,BY$1)</f>
        <v>0</v>
      </c>
      <c r="BZ20" s="117" t="n">
        <f aca="false">SUMIFS(الريسبي!$C$2:$C$1800,الريسبي!$A$2:$A$1800,$A20,الريسبي!$B$2:$B$1800,BZ$1)</f>
        <v>0</v>
      </c>
      <c r="CA20" s="117" t="n">
        <f aca="false">SUMIFS(الريسبي!$C$2:$C$1800,الريسبي!$A$2:$A$1800,$A20,الريسبي!$B$2:$B$1800,CA$1)</f>
        <v>1</v>
      </c>
      <c r="CB20" s="117" t="n">
        <f aca="false">SUMIFS(الريسبي!$C$2:$C$1800,الريسبي!$A$2:$A$1800,$A20,الريسبي!$B$2:$B$1800,CB$1)</f>
        <v>1</v>
      </c>
      <c r="CC20" s="117" t="n">
        <f aca="false">SUMIFS(الريسبي!$C$2:$C$1800,الريسبي!$A$2:$A$1800,$A20,الريسبي!$B$2:$B$1800,CC$1)</f>
        <v>0</v>
      </c>
      <c r="CD20" s="117" t="n">
        <f aca="false">SUMIFS(الريسبي!$C$2:$C$1800,الريسبي!$A$2:$A$1800,$A20,الريسبي!$B$2:$B$1800,CD$1)</f>
        <v>0</v>
      </c>
      <c r="CE20" s="117" t="n">
        <f aca="false">SUMIFS(الريسبي!$C$2:$C$1800,الريسبي!$A$2:$A$1800,$A20,الريسبي!$B$2:$B$1800,CE$1)</f>
        <v>0</v>
      </c>
      <c r="CF20" s="117" t="n">
        <f aca="false">SUMIFS(الريسبي!$C$2:$C$1800,الريسبي!$A$2:$A$1800,$A20,الريسبي!$B$2:$B$1800,CF$1)</f>
        <v>0</v>
      </c>
      <c r="CG20" s="117" t="n">
        <f aca="false">SUMIFS(الريسبي!$C$2:$C$1800,الريسبي!$A$2:$A$1800,$A20,الريسبي!$B$2:$B$1800,CG$1)</f>
        <v>0</v>
      </c>
      <c r="CH20" s="117" t="n">
        <f aca="false">SUMIFS(الريسبي!$C$2:$C$1800,الريسبي!$A$2:$A$1800,$A20,الريسبي!$B$2:$B$1800,CH$1)</f>
        <v>0</v>
      </c>
      <c r="CI20" s="117" t="n">
        <f aca="false">SUMIFS(الريسبي!$C$2:$C$1800,الريسبي!$A$2:$A$1800,$A20,الريسبي!$B$2:$B$1800,CI$1)</f>
        <v>0</v>
      </c>
      <c r="CJ20" s="117" t="n">
        <f aca="false">SUMIFS(الريسبي!$C$2:$C$1800,الريسبي!$A$2:$A$1800,$A20,الريسبي!$B$2:$B$1800,CJ$1)</f>
        <v>0</v>
      </c>
      <c r="CK20" s="117" t="n">
        <f aca="false">SUMIFS(الريسبي!$C$2:$C$1800,الريسبي!$A$2:$A$1800,$A20,الريسبي!$B$2:$B$1800,CK$1)</f>
        <v>0</v>
      </c>
      <c r="CL20" s="117" t="n">
        <f aca="false">SUMIFS(الريسبي!$C$2:$C$1800,الريسبي!$A$2:$A$1800,$A20,الريسبي!$B$2:$B$1800,CL$1)</f>
        <v>0</v>
      </c>
    </row>
    <row r="21" customFormat="false" ht="15" hidden="false" customHeight="false" outlineLevel="0" collapsed="false">
      <c r="A21" s="116" t="str">
        <f aca="false">المنيو!B21</f>
        <v>بيتزا مشكل لحوم النكش حجم اكبر</v>
      </c>
      <c r="B21" s="117" t="n">
        <f aca="false">SUMIFS(الريسبي!$C$2:$C$1800,الريسبي!$A$2:$A$1800,$A21,الريسبي!$B$2:$B$1800,B$1)</f>
        <v>0</v>
      </c>
      <c r="C21" s="117" t="n">
        <f aca="false">SUMIFS(الريسبي!$C$2:$C$1800,الريسبي!$A$2:$A$1800,$A21,الريسبي!$B$2:$B$1800,C$1)</f>
        <v>0</v>
      </c>
      <c r="D21" s="117" t="n">
        <f aca="false">SUMIFS(الريسبي!$C$2:$C$1800,الريسبي!$A$2:$A$1800,$A21,الريسبي!$B$2:$B$1800,D$1)</f>
        <v>1</v>
      </c>
      <c r="E21" s="117" t="n">
        <f aca="false">SUMIFS(الريسبي!$C$2:$C$1800,الريسبي!$A$2:$A$1800,$A21,الريسبي!$B$2:$B$1800,E$1)</f>
        <v>0</v>
      </c>
      <c r="F21" s="117" t="n">
        <f aca="false">SUMIFS(الريسبي!$C$2:$C$1800,الريسبي!$A$2:$A$1800,$A21,الريسبي!$B$2:$B$1800,F$1)</f>
        <v>0</v>
      </c>
      <c r="G21" s="117" t="n">
        <f aca="false">SUMIFS(الريسبي!$C$2:$C$1800,الريسبي!$A$2:$A$1800,$A21,الريسبي!$B$2:$B$1800,G$1)</f>
        <v>0</v>
      </c>
      <c r="H21" s="117" t="n">
        <f aca="false">SUMIFS(الريسبي!$C$2:$C$1800,الريسبي!$A$2:$A$1800,$A21,الريسبي!$B$2:$B$1800,H$1)</f>
        <v>1</v>
      </c>
      <c r="I21" s="117" t="n">
        <f aca="false">SUMIFS(الريسبي!$C$2:$C$1800,الريسبي!$A$2:$A$1800,$A21,الريسبي!$B$2:$B$1800,I$1)</f>
        <v>0</v>
      </c>
      <c r="J21" s="117" t="n">
        <f aca="false">SUMIFS(الريسبي!$C$2:$C$1800,الريسبي!$A$2:$A$1800,$A21,الريسبي!$B$2:$B$1800,J$1)</f>
        <v>0</v>
      </c>
      <c r="K21" s="117" t="n">
        <f aca="false">SUMIFS(الريسبي!$C$2:$C$1800,الريسبي!$A$2:$A$1800,$A21,الريسبي!$B$2:$B$1800,K$1)</f>
        <v>0</v>
      </c>
      <c r="L21" s="117" t="n">
        <f aca="false">SUMIFS(الريسبي!$C$2:$C$1800,الريسبي!$A$2:$A$1800,$A21,الريسبي!$B$2:$B$1800,L$1)</f>
        <v>0</v>
      </c>
      <c r="M21" s="117" t="n">
        <f aca="false">SUMIFS(الريسبي!$C$2:$C$1800,الريسبي!$A$2:$A$1800,$A21,الريسبي!$B$2:$B$1800,M$1)</f>
        <v>1</v>
      </c>
      <c r="N21" s="117" t="n">
        <f aca="false">SUMIFS(الريسبي!$C$2:$C$1800,الريسبي!$A$2:$A$1800,$A21,الريسبي!$B$2:$B$1800,N$1)</f>
        <v>0</v>
      </c>
      <c r="O21" s="117" t="n">
        <f aca="false">SUMIFS(الريسبي!$C$2:$C$1800,الريسبي!$A$2:$A$1800,$A21,الريسبي!$B$2:$B$1800,O$1)</f>
        <v>0</v>
      </c>
      <c r="P21" s="117" t="n">
        <f aca="false">SUMIFS(الريسبي!$C$2:$C$1800,الريسبي!$A$2:$A$1800,$A21,الريسبي!$B$2:$B$1800,P$1)</f>
        <v>0</v>
      </c>
      <c r="Q21" s="117" t="n">
        <f aca="false">SUMIFS(الريسبي!$C$2:$C$1800,الريسبي!$A$2:$A$1800,$A21,الريسبي!$B$2:$B$1800,Q$1)</f>
        <v>0</v>
      </c>
      <c r="R21" s="117" t="n">
        <f aca="false">SUMIFS(الريسبي!$C$2:$C$1800,الريسبي!$A$2:$A$1800,$A21,الريسبي!$B$2:$B$1800,R$1)</f>
        <v>0</v>
      </c>
      <c r="S21" s="117" t="n">
        <f aca="false">SUMIFS(الريسبي!$C$2:$C$1800,الريسبي!$A$2:$A$1800,$A21,الريسبي!$B$2:$B$1800,S$1)</f>
        <v>0</v>
      </c>
      <c r="T21" s="117" t="n">
        <f aca="false">SUMIFS(الريسبي!$C$2:$C$1800,الريسبي!$A$2:$A$1800,$A21,الريسبي!$B$2:$B$1800,T$1)</f>
        <v>1</v>
      </c>
      <c r="U21" s="117" t="n">
        <f aca="false">SUMIFS(الريسبي!$C$2:$C$1800,الريسبي!$A$2:$A$1800,$A21,الريسبي!$B$2:$B$1800,U$1)</f>
        <v>0</v>
      </c>
      <c r="V21" s="117" t="n">
        <f aca="false">SUMIFS(الريسبي!$C$2:$C$1800,الريسبي!$A$2:$A$1800,$A21,الريسبي!$B$2:$B$1800,V$1)+1.5*(SUMIFS(الريسبي!$C$2:$C$1800,الريسبي!$A$2:$A$1800,$A21,الريسبي!$B$2:$B$1800,"برسيون موتزريلا بيتزا كبير"))</f>
        <v>1.5</v>
      </c>
      <c r="W21" s="117" t="n">
        <f aca="false">0</f>
        <v>0</v>
      </c>
      <c r="X21" s="117" t="n">
        <f aca="false">SUMIFS(الريسبي!$C$2:$C$1800,الريسبي!$A$2:$A$1800,$A21,الريسبي!$B$2:$B$1800,X$1)+1.5*(SUMIFS(الريسبي!$C$2:$C$1800,الريسبي!$A$2:$A$1800,$A21,الريسبي!$B$2:$B$1800,"برسيون موتزريلا فطير كبير"))</f>
        <v>0</v>
      </c>
      <c r="Y21" s="117" t="n">
        <f aca="false">0</f>
        <v>0</v>
      </c>
      <c r="Z21" s="117" t="n">
        <f aca="false">SUMIFS(الريسبي!$C$2:$C$1800,الريسبي!$A$2:$A$1800,$A21,الريسبي!$B$2:$B$1800,Z$1)</f>
        <v>0</v>
      </c>
      <c r="AA21" s="117" t="n">
        <f aca="false">SUMIFS(الريسبي!$C$2:$C$1800,الريسبي!$A$2:$A$1800,$A21,الريسبي!$B$2:$B$1800,AA$1)</f>
        <v>0</v>
      </c>
      <c r="AB21" s="117" t="n">
        <f aca="false">SUMIFS(الريسبي!$C$2:$C$1800,الريسبي!$A$2:$A$1800,$A21,الريسبي!$B$2:$B$1800,AB$1)</f>
        <v>0</v>
      </c>
      <c r="AC21" s="117" t="n">
        <f aca="false">SUMIFS(الريسبي!$C$2:$C$1800,الريسبي!$A$2:$A$1800,$A21,الريسبي!$B$2:$B$1800,AC$1)</f>
        <v>0</v>
      </c>
      <c r="AD21" s="117" t="n">
        <f aca="false">SUMIFS(الريسبي!$C$2:$C$1800,الريسبي!$A$2:$A$1800,$A21,الريسبي!$B$2:$B$1800,AD$1)</f>
        <v>0</v>
      </c>
      <c r="AE21" s="117" t="n">
        <f aca="false">SUMIFS(الريسبي!$C$2:$C$1800,الريسبي!$A$2:$A$1800,$A21,الريسبي!$B$2:$B$1800,AE$1)</f>
        <v>0</v>
      </c>
      <c r="AF21" s="117" t="n">
        <f aca="false">SUMIFS(الريسبي!$C$2:$C$1800,الريسبي!$A$2:$A$1800,$A21,الريسبي!$B$2:$B$1800,AF$1)</f>
        <v>0</v>
      </c>
      <c r="AG21" s="117" t="n">
        <f aca="false">SUMIFS(الريسبي!$C$2:$C$1800,الريسبي!$A$2:$A$1800,$A21,الريسبي!$B$2:$B$1800,AG$1)</f>
        <v>0</v>
      </c>
      <c r="AH21" s="117" t="n">
        <f aca="false">SUMIFS(الريسبي!$C$2:$C$1800,الريسبي!$A$2:$A$1800,$A21,الريسبي!$B$2:$B$1800,AH$1)</f>
        <v>0</v>
      </c>
      <c r="AI21" s="117" t="n">
        <f aca="false">SUMIFS(الريسبي!$C$2:$C$1800,الريسبي!$A$2:$A$1800,$A21,الريسبي!$B$2:$B$1800,AI$1)</f>
        <v>0</v>
      </c>
      <c r="AJ21" s="117" t="n">
        <f aca="false">SUMIFS(الريسبي!$C$2:$C$1800,الريسبي!$A$2:$A$1800,$A21,الريسبي!$B$2:$B$1800,AJ$1)</f>
        <v>2</v>
      </c>
      <c r="AK21" s="117" t="n">
        <f aca="false">SUMIFS(الريسبي!$C$2:$C$1800,الريسبي!$A$2:$A$1800,$A21,الريسبي!$B$2:$B$1800,AK$1)</f>
        <v>0</v>
      </c>
      <c r="AL21" s="117" t="n">
        <f aca="false">SUMIFS(الريسبي!$C$2:$C$1800,الريسبي!$A$2:$A$1800,$A21,الريسبي!$B$2:$B$1800,AL$1)</f>
        <v>0</v>
      </c>
      <c r="AM21" s="117" t="n">
        <f aca="false">SUMIFS(الريسبي!$C$2:$C$1800,الريسبي!$A$2:$A$1800,$A21,الريسبي!$B$2:$B$1800,AM$1)+0.08333333333*SUMIFS(الريسبي!$C$2:$C$1800,الريسبي!$A$2:$A$1800,$A21,الريسبي!$B$2:$B$1800,"عجين كريب (مصنع بالمطعم)")+0.08333333333*SUMIFS(الريسبي!$C$2:$C$1800,الريسبي!$A$2:$A$1800,$A21,الريسبي!$B$2:$B$1800,"عجين كريب صيامي (بدون لبن)")</f>
        <v>0</v>
      </c>
      <c r="AN21" s="117" t="n">
        <f aca="false">SUMIFS(الريسبي!$C$2:$C$1800,الريسبي!$A$2:$A$1800,$A21,الريسبي!$B$2:$B$1800,AN$1)+0.004166666667*SUMIFS(الريسبي!$C$2:$C$1800,الريسبي!$A$2:$A$1800,$A21,الريسبي!$B$2:$B$1800,"عجين كريب (مصنع بالمطعم)")+0.004166666667*SUMIFS(الريسبي!$C$2:$C$1800,الريسبي!$A$2:$A$1800,$A21,الريسبي!$B$2:$B$1800,"عجين كريب صيامي (بدون لبن)")</f>
        <v>0</v>
      </c>
      <c r="AO21" s="117" t="n">
        <f aca="false">SUMIFS(الريسبي!$C$2:$C$1800,الريسبي!$A$2:$A$1800,$A21,الريسبي!$B$2:$B$1800,AO$1)</f>
        <v>0</v>
      </c>
      <c r="AP21" s="117" t="n">
        <f aca="false">SUMIFS(الريسبي!$C$2:$C$1800,الريسبي!$A$2:$A$1800,$A21,الريسبي!$B$2:$B$1800,AP$1)</f>
        <v>0.03</v>
      </c>
      <c r="AQ21" s="117" t="n">
        <f aca="false">SUMIFS(الريسبي!$C$2:$C$1800,الريسبي!$A$2:$A$1800,$A21,الريسبي!$B$2:$B$1800,AQ$1)+0.004166666667*SUMIFS(الريسبي!$C$2:$C$1800,الريسبي!$A$2:$A$1800,$A21,الريسبي!$B$2:$B$1800,"عجين كريب (مصنع بالمطعم)")+0.004166666667*SUMIFS(الريسبي!$C$2:$C$1800,الريسبي!$A$2:$A$1800,$A21,الريسبي!$B$2:$B$1800,"عجين كريب صيامي (بدون لبن)")</f>
        <v>0</v>
      </c>
      <c r="AR21" s="117" t="n">
        <f aca="false">SUMIFS(الريسبي!$C$2:$C$1800,الريسبي!$A$2:$A$1800,$A21,الريسبي!$B$2:$B$1800,AR$1)</f>
        <v>0</v>
      </c>
      <c r="AS21" s="117" t="n">
        <f aca="false">SUMIFS(الريسبي!$C$2:$C$1800,الريسبي!$A$2:$A$1800,$A21,الريسبي!$B$2:$B$1800,AS$1)</f>
        <v>0</v>
      </c>
      <c r="AT21" s="117" t="n">
        <f aca="false">SUMIFS(الريسبي!$C$2:$C$1800,الريسبي!$A$2:$A$1800,$A21,الريسبي!$B$2:$B$1800,AT$1)</f>
        <v>0</v>
      </c>
      <c r="AU21" s="117" t="n">
        <f aca="false">SUMIFS(الريسبي!$C$2:$C$1800,الريسبي!$A$2:$A$1800,$A21,الريسبي!$B$2:$B$1800,AU$1)</f>
        <v>0</v>
      </c>
      <c r="AV21" s="117" t="n">
        <f aca="false">SUMIFS(الريسبي!$C$2:$C$1800,الريسبي!$A$2:$A$1800,$A21,الريسبي!$B$2:$B$1800,AV$1)</f>
        <v>0</v>
      </c>
      <c r="AW21" s="117" t="n">
        <f aca="false">SUMIFS(الريسبي!$C$2:$C$1800,الريسبي!$A$2:$A$1800,$A21,الريسبي!$B$2:$B$1800,AW$1)</f>
        <v>0</v>
      </c>
      <c r="AX21" s="117" t="n">
        <f aca="false">SUMIFS(الريسبي!$C$2:$C$1800,الريسبي!$A$2:$A$1800,$A21,الريسبي!$B$2:$B$1800,AX$1)</f>
        <v>0.06</v>
      </c>
      <c r="AY21" s="117" t="n">
        <f aca="false">SUMIFS(الريسبي!$C$2:$C$1800,الريسبي!$A$2:$A$1800,$A21,الريسبي!$B$2:$B$1800,AY$1)</f>
        <v>0</v>
      </c>
      <c r="AZ21" s="117" t="n">
        <f aca="false">SUMIFS(الريسبي!$C$2:$C$1800,الريسبي!$A$2:$A$1800,$A21,الريسبي!$B$2:$B$1800,AZ$1)</f>
        <v>0</v>
      </c>
      <c r="BA21" s="117" t="n">
        <f aca="false">SUMIFS(الريسبي!$C$2:$C$1800,الريسبي!$A$2:$A$1800,$A21,الريسبي!$B$2:$B$1800,BA$1)</f>
        <v>0</v>
      </c>
      <c r="BB21" s="117" t="n">
        <f aca="false">SUMIFS(الريسبي!$C$2:$C$1800,الريسبي!$A$2:$A$1800,$A21,الريسبي!$B$2:$B$1800,BB$1)</f>
        <v>0</v>
      </c>
      <c r="BC21" s="117" t="n">
        <f aca="false">SUMIFS(الريسبي!$C$2:$C$1800,الريسبي!$A$2:$A$1800,$A21,الريسبي!$B$2:$B$1800,BC$1)</f>
        <v>0.045</v>
      </c>
      <c r="BD21" s="117" t="n">
        <f aca="false">SUMIFS(الريسبي!$C$2:$C$1800,الريسبي!$A$2:$A$1800,$A21,الريسبي!$B$2:$B$1800,BD$1)</f>
        <v>0.3</v>
      </c>
      <c r="BE21" s="117" t="n">
        <f aca="false">SUMIFS(الريسبي!$C$2:$C$1800,الريسبي!$A$2:$A$1800,$A21,الريسبي!$B$2:$B$1800,BE$1)</f>
        <v>0</v>
      </c>
      <c r="BF21" s="117" t="n">
        <f aca="false">SUMIFS(الريسبي!$C$2:$C$1800,الريسبي!$A$2:$A$1800,$A21,الريسبي!$B$2:$B$1800,BF$1)</f>
        <v>0</v>
      </c>
      <c r="BG21" s="117" t="n">
        <f aca="false">SUMIFS(الريسبي!$C$2:$C$1800,الريسبي!$A$2:$A$1800,$A21,الريسبي!$B$2:$B$1800,BG$1)</f>
        <v>1</v>
      </c>
      <c r="BH21" s="117" t="n">
        <f aca="false">SUMIFS(الريسبي!$C$2:$C$1800,الريسبي!$A$2:$A$1800,$A21,الريسبي!$B$2:$B$1800,BH$1)</f>
        <v>0</v>
      </c>
      <c r="BI21" s="117" t="n">
        <f aca="false">SUMIFS(الريسبي!$C$2:$C$1800,الريسبي!$A$2:$A$1800,$A21,الريسبي!$B$2:$B$1800,BI$1)</f>
        <v>0</v>
      </c>
      <c r="BJ21" s="117" t="n">
        <f aca="false">SUMIFS(الريسبي!$C$2:$C$1800,الريسبي!$A$2:$A$1800,$A21,الريسبي!$B$2:$B$1800,BJ$1)</f>
        <v>0</v>
      </c>
      <c r="BK21" s="117" t="n">
        <f aca="false">SUMIFS(الريسبي!$C$2:$C$1800,الريسبي!$A$2:$A$1800,$A21,الريسبي!$B$2:$B$1800,BK$1)</f>
        <v>0</v>
      </c>
      <c r="BL21" s="117" t="n">
        <f aca="false">SUMIFS(الريسبي!$C$2:$C$1800,الريسبي!$A$2:$A$1800,$A21,الريسبي!$B$2:$B$1800,BL$1)</f>
        <v>0</v>
      </c>
      <c r="BM21" s="117" t="n">
        <f aca="false">SUMIFS(الريسبي!$C$2:$C$1800,الريسبي!$A$2:$A$1800,$A21,الريسبي!$B$2:$B$1800,BM$1)</f>
        <v>0</v>
      </c>
      <c r="BN21" s="117" t="n">
        <f aca="false">SUMIFS(الريسبي!$C$2:$C$1800,الريسبي!$A$2:$A$1800,$A21,الريسبي!$B$2:$B$1800,BN$1)</f>
        <v>0.03</v>
      </c>
      <c r="BO21" s="117" t="n">
        <f aca="false">SUMIFS(الريسبي!$C$2:$C$1800,الريسبي!$A$2:$A$1800,$A21,الريسبي!$B$2:$B$1800,BO$1)</f>
        <v>0</v>
      </c>
      <c r="BP21" s="117" t="n">
        <f aca="false">SUMIFS(الريسبي!$C$2:$C$1800,الريسبي!$A$2:$A$1800,$A21,الريسبي!$B$2:$B$1800,BP$1)</f>
        <v>3</v>
      </c>
      <c r="BQ21" s="117" t="n">
        <f aca="false">SUMIFS(الريسبي!$C$2:$C$1800,الريسبي!$A$2:$A$1800,$A21,الريسبي!$B$2:$B$1800,BQ$1)+0.17*SUMIFS(الريسبي!$C$2:$C$1800,الريسبي!$A$2:$A$1800,$A21,الريسبي!$B$2:$B$1800,"كاسترد مصنع (خليط بودر + لبن)")+0.17*SUMIFS(الريسبي!$C$2:$C$1800,الريسبي!$A$2:$A$1800,$A21,الريسبي!$B$2:$B$1800,"كاسترد مصنع صيامي (بدون لبن)")</f>
        <v>0</v>
      </c>
      <c r="BR21" s="117" t="n">
        <f aca="false">SUMIFS(الريسبي!$C$2:$C$1800,الريسبي!$A$2:$A$1800,$A21,الريسبي!$B$2:$B$1800,BR$1)</f>
        <v>1</v>
      </c>
      <c r="BS21" s="117" t="n">
        <f aca="false">SUMIFS(الريسبي!$C$2:$C$1800,الريسبي!$A$2:$A$1800,$A21,الريسبي!$B$2:$B$1800,BS$1)</f>
        <v>0</v>
      </c>
      <c r="BT21" s="117" t="n">
        <f aca="false">SUMIFS(الريسبي!$C$2:$C$1800,الريسبي!$A$2:$A$1800,$A21,الريسبي!$B$2:$B$1800,BT$1)</f>
        <v>0</v>
      </c>
      <c r="BU21" s="117" t="n">
        <f aca="false">SUMIFS(الريسبي!$C$2:$C$1800,الريسبي!$A$2:$A$1800,$A21,الريسبي!$B$2:$B$1800,BU$1)+0.4*SUMIFS(الريسبي!$C$2:$C$1800,الريسبي!$A$2:$A$1800,$A21,الريسبي!$B$2:$B$1800,"كاسترد مصنع (خليط بودر + لبن)")+0.03333333333*SUMIFS(الريسبي!$C$2:$C$1800,الريسبي!$A$2:$A$1800,$A21,الريسبي!$B$2:$B$1800,"عجين كريب (مصنع بالمطعم)")</f>
        <v>0</v>
      </c>
      <c r="BV21" s="117" t="n">
        <f aca="false">SUMIFS(الريسبي!$C$2:$C$1800,الريسبي!$A$2:$A$1800,$A21,الريسبي!$B$2:$B$1800,BV$1)</f>
        <v>0</v>
      </c>
      <c r="BW21" s="117" t="n">
        <f aca="false">SUMIFS(الريسبي!$C$2:$C$1800,الريسبي!$A$2:$A$1800,$A21,الريسبي!$B$2:$B$1800,BW$1)</f>
        <v>0</v>
      </c>
      <c r="BX21" s="117" t="n">
        <f aca="false">SUMIFS(الريسبي!$C$2:$C$1800,الريسبي!$A$2:$A$1800,$A21,الريسبي!$B$2:$B$1800,BX$1)</f>
        <v>0</v>
      </c>
      <c r="BY21" s="117" t="n">
        <f aca="false">SUMIFS(الريسبي!$C$2:$C$1800,الريسبي!$A$2:$A$1800,$A21,الريسبي!$B$2:$B$1800,BY$1)</f>
        <v>0</v>
      </c>
      <c r="BZ21" s="117" t="n">
        <f aca="false">SUMIFS(الريسبي!$C$2:$C$1800,الريسبي!$A$2:$A$1800,$A21,الريسبي!$B$2:$B$1800,BZ$1)</f>
        <v>0</v>
      </c>
      <c r="CA21" s="117" t="n">
        <f aca="false">SUMIFS(الريسبي!$C$2:$C$1800,الريسبي!$A$2:$A$1800,$A21,الريسبي!$B$2:$B$1800,CA$1)</f>
        <v>1</v>
      </c>
      <c r="CB21" s="117" t="n">
        <f aca="false">SUMIFS(الريسبي!$C$2:$C$1800,الريسبي!$A$2:$A$1800,$A21,الريسبي!$B$2:$B$1800,CB$1)</f>
        <v>1</v>
      </c>
      <c r="CC21" s="117" t="n">
        <f aca="false">SUMIFS(الريسبي!$C$2:$C$1800,الريسبي!$A$2:$A$1800,$A21,الريسبي!$B$2:$B$1800,CC$1)</f>
        <v>0</v>
      </c>
      <c r="CD21" s="117" t="n">
        <f aca="false">SUMIFS(الريسبي!$C$2:$C$1800,الريسبي!$A$2:$A$1800,$A21,الريسبي!$B$2:$B$1800,CD$1)</f>
        <v>0</v>
      </c>
      <c r="CE21" s="117" t="n">
        <f aca="false">SUMIFS(الريسبي!$C$2:$C$1800,الريسبي!$A$2:$A$1800,$A21,الريسبي!$B$2:$B$1800,CE$1)</f>
        <v>0</v>
      </c>
      <c r="CF21" s="117" t="n">
        <f aca="false">SUMIFS(الريسبي!$C$2:$C$1800,الريسبي!$A$2:$A$1800,$A21,الريسبي!$B$2:$B$1800,CF$1)</f>
        <v>0</v>
      </c>
      <c r="CG21" s="117" t="n">
        <f aca="false">SUMIFS(الريسبي!$C$2:$C$1800,الريسبي!$A$2:$A$1800,$A21,الريسبي!$B$2:$B$1800,CG$1)</f>
        <v>0</v>
      </c>
      <c r="CH21" s="117" t="n">
        <f aca="false">SUMIFS(الريسبي!$C$2:$C$1800,الريسبي!$A$2:$A$1800,$A21,الريسبي!$B$2:$B$1800,CH$1)</f>
        <v>0</v>
      </c>
      <c r="CI21" s="117" t="n">
        <f aca="false">SUMIFS(الريسبي!$C$2:$C$1800,الريسبي!$A$2:$A$1800,$A21,الريسبي!$B$2:$B$1800,CI$1)</f>
        <v>0</v>
      </c>
      <c r="CJ21" s="117" t="n">
        <f aca="false">SUMIFS(الريسبي!$C$2:$C$1800,الريسبي!$A$2:$A$1800,$A21,الريسبي!$B$2:$B$1800,CJ$1)</f>
        <v>0</v>
      </c>
      <c r="CK21" s="117" t="n">
        <f aca="false">SUMIFS(الريسبي!$C$2:$C$1800,الريسبي!$A$2:$A$1800,$A21,الريسبي!$B$2:$B$1800,CK$1)</f>
        <v>0</v>
      </c>
      <c r="CL21" s="117" t="n">
        <f aca="false">SUMIFS(الريسبي!$C$2:$C$1800,الريسبي!$A$2:$A$1800,$A21,الريسبي!$B$2:$B$1800,CL$1)</f>
        <v>0</v>
      </c>
    </row>
    <row r="22" customFormat="false" ht="15" hidden="false" customHeight="false" outlineLevel="0" collapsed="false">
      <c r="A22" s="116" t="str">
        <f aca="false">المنيو!B22</f>
        <v>بيتزا جمبري وسط</v>
      </c>
      <c r="B22" s="117" t="n">
        <f aca="false">SUMIFS(الريسبي!$C$2:$C$1800,الريسبي!$A$2:$A$1800,$A22,الريسبي!$B$2:$B$1800,B$1)</f>
        <v>0</v>
      </c>
      <c r="C22" s="117" t="n">
        <f aca="false">SUMIFS(الريسبي!$C$2:$C$1800,الريسبي!$A$2:$A$1800,$A22,الريسبي!$B$2:$B$1800,C$1)</f>
        <v>0</v>
      </c>
      <c r="D22" s="117" t="n">
        <f aca="false">SUMIFS(الريسبي!$C$2:$C$1800,الريسبي!$A$2:$A$1800,$A22,الريسبي!$B$2:$B$1800,D$1)</f>
        <v>1</v>
      </c>
      <c r="E22" s="117" t="n">
        <f aca="false">SUMIFS(الريسبي!$C$2:$C$1800,الريسبي!$A$2:$A$1800,$A22,الريسبي!$B$2:$B$1800,E$1)</f>
        <v>0</v>
      </c>
      <c r="F22" s="117" t="n">
        <f aca="false">SUMIFS(الريسبي!$C$2:$C$1800,الريسبي!$A$2:$A$1800,$A22,الريسبي!$B$2:$B$1800,F$1)</f>
        <v>0</v>
      </c>
      <c r="G22" s="117" t="n">
        <f aca="false">SUMIFS(الريسبي!$C$2:$C$1800,الريسبي!$A$2:$A$1800,$A22,الريسبي!$B$2:$B$1800,G$1)</f>
        <v>0</v>
      </c>
      <c r="H22" s="117" t="n">
        <f aca="false">SUMIFS(الريسبي!$C$2:$C$1800,الريسبي!$A$2:$A$1800,$A22,الريسبي!$B$2:$B$1800,H$1)</f>
        <v>0</v>
      </c>
      <c r="I22" s="117" t="n">
        <f aca="false">SUMIFS(الريسبي!$C$2:$C$1800,الريسبي!$A$2:$A$1800,$A22,الريسبي!$B$2:$B$1800,I$1)</f>
        <v>0</v>
      </c>
      <c r="J22" s="117" t="n">
        <f aca="false">SUMIFS(الريسبي!$C$2:$C$1800,الريسبي!$A$2:$A$1800,$A22,الريسبي!$B$2:$B$1800,J$1)</f>
        <v>0</v>
      </c>
      <c r="K22" s="117" t="n">
        <f aca="false">SUMIFS(الريسبي!$C$2:$C$1800,الريسبي!$A$2:$A$1800,$A22,الريسبي!$B$2:$B$1800,K$1)</f>
        <v>1</v>
      </c>
      <c r="L22" s="117" t="n">
        <f aca="false">SUMIFS(الريسبي!$C$2:$C$1800,الريسبي!$A$2:$A$1800,$A22,الريسبي!$B$2:$B$1800,L$1)</f>
        <v>0</v>
      </c>
      <c r="M22" s="117" t="n">
        <f aca="false">SUMIFS(الريسبي!$C$2:$C$1800,الريسبي!$A$2:$A$1800,$A22,الريسبي!$B$2:$B$1800,M$1)</f>
        <v>0</v>
      </c>
      <c r="N22" s="117" t="n">
        <f aca="false">SUMIFS(الريسبي!$C$2:$C$1800,الريسبي!$A$2:$A$1800,$A22,الريسبي!$B$2:$B$1800,N$1)</f>
        <v>0</v>
      </c>
      <c r="O22" s="117" t="n">
        <f aca="false">SUMIFS(الريسبي!$C$2:$C$1800,الريسبي!$A$2:$A$1800,$A22,الريسبي!$B$2:$B$1800,O$1)</f>
        <v>0</v>
      </c>
      <c r="P22" s="117" t="n">
        <f aca="false">SUMIFS(الريسبي!$C$2:$C$1800,الريسبي!$A$2:$A$1800,$A22,الريسبي!$B$2:$B$1800,P$1)</f>
        <v>0</v>
      </c>
      <c r="Q22" s="117" t="n">
        <f aca="false">SUMIFS(الريسبي!$C$2:$C$1800,الريسبي!$A$2:$A$1800,$A22,الريسبي!$B$2:$B$1800,Q$1)</f>
        <v>0</v>
      </c>
      <c r="R22" s="117" t="n">
        <f aca="false">SUMIFS(الريسبي!$C$2:$C$1800,الريسبي!$A$2:$A$1800,$A22,الريسبي!$B$2:$B$1800,R$1)</f>
        <v>0</v>
      </c>
      <c r="S22" s="117" t="n">
        <f aca="false">SUMIFS(الريسبي!$C$2:$C$1800,الريسبي!$A$2:$A$1800,$A22,الريسبي!$B$2:$B$1800,S$1)</f>
        <v>0</v>
      </c>
      <c r="T22" s="117" t="n">
        <f aca="false">SUMIFS(الريسبي!$C$2:$C$1800,الريسبي!$A$2:$A$1800,$A22,الريسبي!$B$2:$B$1800,T$1)</f>
        <v>0</v>
      </c>
      <c r="U22" s="117" t="n">
        <f aca="false">SUMIFS(الريسبي!$C$2:$C$1800,الريسبي!$A$2:$A$1800,$A22,الريسبي!$B$2:$B$1800,U$1)</f>
        <v>0</v>
      </c>
      <c r="V22" s="117" t="n">
        <f aca="false">SUMIFS(الريسبي!$C$2:$C$1800,الريسبي!$A$2:$A$1800,$A22,الريسبي!$B$2:$B$1800,V$1)+1.5*(SUMIFS(الريسبي!$C$2:$C$1800,الريسبي!$A$2:$A$1800,$A22,الريسبي!$B$2:$B$1800,"برسيون موتزريلا بيتزا كبير"))</f>
        <v>1</v>
      </c>
      <c r="W22" s="117" t="n">
        <f aca="false">0</f>
        <v>0</v>
      </c>
      <c r="X22" s="117" t="n">
        <f aca="false">SUMIFS(الريسبي!$C$2:$C$1800,الريسبي!$A$2:$A$1800,$A22,الريسبي!$B$2:$B$1800,X$1)+1.5*(SUMIFS(الريسبي!$C$2:$C$1800,الريسبي!$A$2:$A$1800,$A22,الريسبي!$B$2:$B$1800,"برسيون موتزريلا فطير كبير"))</f>
        <v>0</v>
      </c>
      <c r="Y22" s="117" t="n">
        <f aca="false">0</f>
        <v>0</v>
      </c>
      <c r="Z22" s="117" t="n">
        <f aca="false">SUMIFS(الريسبي!$C$2:$C$1800,الريسبي!$A$2:$A$1800,$A22,الريسبي!$B$2:$B$1800,Z$1)</f>
        <v>0</v>
      </c>
      <c r="AA22" s="117" t="n">
        <f aca="false">SUMIFS(الريسبي!$C$2:$C$1800,الريسبي!$A$2:$A$1800,$A22,الريسبي!$B$2:$B$1800,AA$1)</f>
        <v>0</v>
      </c>
      <c r="AB22" s="117" t="n">
        <f aca="false">SUMIFS(الريسبي!$C$2:$C$1800,الريسبي!$A$2:$A$1800,$A22,الريسبي!$B$2:$B$1800,AB$1)</f>
        <v>0</v>
      </c>
      <c r="AC22" s="117" t="n">
        <f aca="false">SUMIFS(الريسبي!$C$2:$C$1800,الريسبي!$A$2:$A$1800,$A22,الريسبي!$B$2:$B$1800,AC$1)</f>
        <v>0</v>
      </c>
      <c r="AD22" s="117" t="n">
        <f aca="false">SUMIFS(الريسبي!$C$2:$C$1800,الريسبي!$A$2:$A$1800,$A22,الريسبي!$B$2:$B$1800,AD$1)</f>
        <v>0</v>
      </c>
      <c r="AE22" s="117" t="n">
        <f aca="false">SUMIFS(الريسبي!$C$2:$C$1800,الريسبي!$A$2:$A$1800,$A22,الريسبي!$B$2:$B$1800,AE$1)</f>
        <v>0</v>
      </c>
      <c r="AF22" s="117" t="n">
        <f aca="false">SUMIFS(الريسبي!$C$2:$C$1800,الريسبي!$A$2:$A$1800,$A22,الريسبي!$B$2:$B$1800,AF$1)</f>
        <v>0</v>
      </c>
      <c r="AG22" s="117" t="n">
        <f aca="false">SUMIFS(الريسبي!$C$2:$C$1800,الريسبي!$A$2:$A$1800,$A22,الريسبي!$B$2:$B$1800,AG$1)</f>
        <v>0</v>
      </c>
      <c r="AH22" s="117" t="n">
        <f aca="false">SUMIFS(الريسبي!$C$2:$C$1800,الريسبي!$A$2:$A$1800,$A22,الريسبي!$B$2:$B$1800,AH$1)</f>
        <v>0</v>
      </c>
      <c r="AI22" s="117" t="n">
        <f aca="false">SUMIFS(الريسبي!$C$2:$C$1800,الريسبي!$A$2:$A$1800,$A22,الريسبي!$B$2:$B$1800,AI$1)</f>
        <v>0</v>
      </c>
      <c r="AJ22" s="117" t="n">
        <f aca="false">SUMIFS(الريسبي!$C$2:$C$1800,الريسبي!$A$2:$A$1800,$A22,الريسبي!$B$2:$B$1800,AJ$1)</f>
        <v>2</v>
      </c>
      <c r="AK22" s="117" t="n">
        <f aca="false">SUMIFS(الريسبي!$C$2:$C$1800,الريسبي!$A$2:$A$1800,$A22,الريسبي!$B$2:$B$1800,AK$1)</f>
        <v>0</v>
      </c>
      <c r="AL22" s="117" t="n">
        <f aca="false">SUMIFS(الريسبي!$C$2:$C$1800,الريسبي!$A$2:$A$1800,$A22,الريسبي!$B$2:$B$1800,AL$1)</f>
        <v>0</v>
      </c>
      <c r="AM22" s="117" t="n">
        <f aca="false">SUMIFS(الريسبي!$C$2:$C$1800,الريسبي!$A$2:$A$1800,$A22,الريسبي!$B$2:$B$1800,AM$1)+0.08333333333*SUMIFS(الريسبي!$C$2:$C$1800,الريسبي!$A$2:$A$1800,$A22,الريسبي!$B$2:$B$1800,"عجين كريب (مصنع بالمطعم)")+0.08333333333*SUMIFS(الريسبي!$C$2:$C$1800,الريسبي!$A$2:$A$1800,$A22,الريسبي!$B$2:$B$1800,"عجين كريب صيامي (بدون لبن)")</f>
        <v>0</v>
      </c>
      <c r="AN22" s="117" t="n">
        <f aca="false">SUMIFS(الريسبي!$C$2:$C$1800,الريسبي!$A$2:$A$1800,$A22,الريسبي!$B$2:$B$1800,AN$1)+0.004166666667*SUMIFS(الريسبي!$C$2:$C$1800,الريسبي!$A$2:$A$1800,$A22,الريسبي!$B$2:$B$1800,"عجين كريب (مصنع بالمطعم)")+0.004166666667*SUMIFS(الريسبي!$C$2:$C$1800,الريسبي!$A$2:$A$1800,$A22,الريسبي!$B$2:$B$1800,"عجين كريب صيامي (بدون لبن)")</f>
        <v>0</v>
      </c>
      <c r="AO22" s="117" t="n">
        <f aca="false">SUMIFS(الريسبي!$C$2:$C$1800,الريسبي!$A$2:$A$1800,$A22,الريسبي!$B$2:$B$1800,AO$1)</f>
        <v>0</v>
      </c>
      <c r="AP22" s="117" t="n">
        <f aca="false">SUMIFS(الريسبي!$C$2:$C$1800,الريسبي!$A$2:$A$1800,$A22,الريسبي!$B$2:$B$1800,AP$1)</f>
        <v>0.02</v>
      </c>
      <c r="AQ22" s="117" t="n">
        <f aca="false">SUMIFS(الريسبي!$C$2:$C$1800,الريسبي!$A$2:$A$1800,$A22,الريسبي!$B$2:$B$1800,AQ$1)+0.004166666667*SUMIFS(الريسبي!$C$2:$C$1800,الريسبي!$A$2:$A$1800,$A22,الريسبي!$B$2:$B$1800,"عجين كريب (مصنع بالمطعم)")+0.004166666667*SUMIFS(الريسبي!$C$2:$C$1800,الريسبي!$A$2:$A$1800,$A22,الريسبي!$B$2:$B$1800,"عجين كريب صيامي (بدون لبن)")</f>
        <v>0</v>
      </c>
      <c r="AR22" s="117" t="n">
        <f aca="false">SUMIFS(الريسبي!$C$2:$C$1800,الريسبي!$A$2:$A$1800,$A22,الريسبي!$B$2:$B$1800,AR$1)</f>
        <v>0</v>
      </c>
      <c r="AS22" s="117" t="n">
        <f aca="false">SUMIFS(الريسبي!$C$2:$C$1800,الريسبي!$A$2:$A$1800,$A22,الريسبي!$B$2:$B$1800,AS$1)</f>
        <v>0</v>
      </c>
      <c r="AT22" s="117" t="n">
        <f aca="false">SUMIFS(الريسبي!$C$2:$C$1800,الريسبي!$A$2:$A$1800,$A22,الريسبي!$B$2:$B$1800,AT$1)</f>
        <v>0</v>
      </c>
      <c r="AU22" s="117" t="n">
        <f aca="false">SUMIFS(الريسبي!$C$2:$C$1800,الريسبي!$A$2:$A$1800,$A22,الريسبي!$B$2:$B$1800,AU$1)</f>
        <v>0</v>
      </c>
      <c r="AV22" s="117" t="n">
        <f aca="false">SUMIFS(الريسبي!$C$2:$C$1800,الريسبي!$A$2:$A$1800,$A22,الريسبي!$B$2:$B$1800,AV$1)</f>
        <v>0</v>
      </c>
      <c r="AW22" s="117" t="n">
        <f aca="false">SUMIFS(الريسبي!$C$2:$C$1800,الريسبي!$A$2:$A$1800,$A22,الريسبي!$B$2:$B$1800,AW$1)</f>
        <v>0</v>
      </c>
      <c r="AX22" s="117" t="n">
        <f aca="false">SUMIFS(الريسبي!$C$2:$C$1800,الريسبي!$A$2:$A$1800,$A22,الريسبي!$B$2:$B$1800,AX$1)</f>
        <v>0.04</v>
      </c>
      <c r="AY22" s="117" t="n">
        <f aca="false">SUMIFS(الريسبي!$C$2:$C$1800,الريسبي!$A$2:$A$1800,$A22,الريسبي!$B$2:$B$1800,AY$1)</f>
        <v>0</v>
      </c>
      <c r="AZ22" s="117" t="n">
        <f aca="false">SUMIFS(الريسبي!$C$2:$C$1800,الريسبي!$A$2:$A$1800,$A22,الريسبي!$B$2:$B$1800,AZ$1)</f>
        <v>0</v>
      </c>
      <c r="BA22" s="117" t="n">
        <f aca="false">SUMIFS(الريسبي!$C$2:$C$1800,الريسبي!$A$2:$A$1800,$A22,الريسبي!$B$2:$B$1800,BA$1)</f>
        <v>0</v>
      </c>
      <c r="BB22" s="117" t="n">
        <f aca="false">SUMIFS(الريسبي!$C$2:$C$1800,الريسبي!$A$2:$A$1800,$A22,الريسبي!$B$2:$B$1800,BB$1)</f>
        <v>0</v>
      </c>
      <c r="BC22" s="117" t="n">
        <f aca="false">SUMIFS(الريسبي!$C$2:$C$1800,الريسبي!$A$2:$A$1800,$A22,الريسبي!$B$2:$B$1800,BC$1)</f>
        <v>0.03</v>
      </c>
      <c r="BD22" s="117" t="n">
        <f aca="false">SUMIFS(الريسبي!$C$2:$C$1800,الريسبي!$A$2:$A$1800,$A22,الريسبي!$B$2:$B$1800,BD$1)</f>
        <v>0.22</v>
      </c>
      <c r="BE22" s="117" t="n">
        <f aca="false">SUMIFS(الريسبي!$C$2:$C$1800,الريسبي!$A$2:$A$1800,$A22,الريسبي!$B$2:$B$1800,BE$1)</f>
        <v>0</v>
      </c>
      <c r="BF22" s="117" t="n">
        <f aca="false">SUMIFS(الريسبي!$C$2:$C$1800,الريسبي!$A$2:$A$1800,$A22,الريسبي!$B$2:$B$1800,BF$1)</f>
        <v>0</v>
      </c>
      <c r="BG22" s="117" t="n">
        <f aca="false">SUMIFS(الريسبي!$C$2:$C$1800,الريسبي!$A$2:$A$1800,$A22,الريسبي!$B$2:$B$1800,BG$1)</f>
        <v>0</v>
      </c>
      <c r="BH22" s="117" t="n">
        <f aca="false">SUMIFS(الريسبي!$C$2:$C$1800,الريسبي!$A$2:$A$1800,$A22,الريسبي!$B$2:$B$1800,BH$1)</f>
        <v>1</v>
      </c>
      <c r="BI22" s="117" t="n">
        <f aca="false">SUMIFS(الريسبي!$C$2:$C$1800,الريسبي!$A$2:$A$1800,$A22,الريسبي!$B$2:$B$1800,BI$1)</f>
        <v>0</v>
      </c>
      <c r="BJ22" s="117" t="n">
        <f aca="false">SUMIFS(الريسبي!$C$2:$C$1800,الريسبي!$A$2:$A$1800,$A22,الريسبي!$B$2:$B$1800,BJ$1)</f>
        <v>0</v>
      </c>
      <c r="BK22" s="117" t="n">
        <f aca="false">SUMIFS(الريسبي!$C$2:$C$1800,الريسبي!$A$2:$A$1800,$A22,الريسبي!$B$2:$B$1800,BK$1)</f>
        <v>0</v>
      </c>
      <c r="BL22" s="117" t="n">
        <f aca="false">SUMIFS(الريسبي!$C$2:$C$1800,الريسبي!$A$2:$A$1800,$A22,الريسبي!$B$2:$B$1800,BL$1)</f>
        <v>0</v>
      </c>
      <c r="BM22" s="117" t="n">
        <f aca="false">SUMIFS(الريسبي!$C$2:$C$1800,الريسبي!$A$2:$A$1800,$A22,الريسبي!$B$2:$B$1800,BM$1)</f>
        <v>0</v>
      </c>
      <c r="BN22" s="117" t="n">
        <f aca="false">SUMIFS(الريسبي!$C$2:$C$1800,الريسبي!$A$2:$A$1800,$A22,الريسبي!$B$2:$B$1800,BN$1)</f>
        <v>0.02</v>
      </c>
      <c r="BO22" s="117" t="n">
        <f aca="false">SUMIFS(الريسبي!$C$2:$C$1800,الريسبي!$A$2:$A$1800,$A22,الريسبي!$B$2:$B$1800,BO$1)</f>
        <v>0</v>
      </c>
      <c r="BP22" s="117" t="n">
        <f aca="false">SUMIFS(الريسبي!$C$2:$C$1800,الريسبي!$A$2:$A$1800,$A22,الريسبي!$B$2:$B$1800,BP$1)</f>
        <v>2</v>
      </c>
      <c r="BQ22" s="117" t="n">
        <f aca="false">SUMIFS(الريسبي!$C$2:$C$1800,الريسبي!$A$2:$A$1800,$A22,الريسبي!$B$2:$B$1800,BQ$1)+0.17*SUMIFS(الريسبي!$C$2:$C$1800,الريسبي!$A$2:$A$1800,$A22,الريسبي!$B$2:$B$1800,"كاسترد مصنع (خليط بودر + لبن)")+0.17*SUMIFS(الريسبي!$C$2:$C$1800,الريسبي!$A$2:$A$1800,$A22,الريسبي!$B$2:$B$1800,"كاسترد مصنع صيامي (بدون لبن)")</f>
        <v>0</v>
      </c>
      <c r="BR22" s="117" t="n">
        <f aca="false">SUMIFS(الريسبي!$C$2:$C$1800,الريسبي!$A$2:$A$1800,$A22,الريسبي!$B$2:$B$1800,BR$1)</f>
        <v>1</v>
      </c>
      <c r="BS22" s="117" t="n">
        <f aca="false">SUMIFS(الريسبي!$C$2:$C$1800,الريسبي!$A$2:$A$1800,$A22,الريسبي!$B$2:$B$1800,BS$1)</f>
        <v>0</v>
      </c>
      <c r="BT22" s="117" t="n">
        <f aca="false">SUMIFS(الريسبي!$C$2:$C$1800,الريسبي!$A$2:$A$1800,$A22,الريسبي!$B$2:$B$1800,BT$1)</f>
        <v>0</v>
      </c>
      <c r="BU22" s="117" t="n">
        <f aca="false">SUMIFS(الريسبي!$C$2:$C$1800,الريسبي!$A$2:$A$1800,$A22,الريسبي!$B$2:$B$1800,BU$1)+0.4*SUMIFS(الريسبي!$C$2:$C$1800,الريسبي!$A$2:$A$1800,$A22,الريسبي!$B$2:$B$1800,"كاسترد مصنع (خليط بودر + لبن)")+0.03333333333*SUMIFS(الريسبي!$C$2:$C$1800,الريسبي!$A$2:$A$1800,$A22,الريسبي!$B$2:$B$1800,"عجين كريب (مصنع بالمطعم)")</f>
        <v>0</v>
      </c>
      <c r="BV22" s="117" t="n">
        <f aca="false">SUMIFS(الريسبي!$C$2:$C$1800,الريسبي!$A$2:$A$1800,$A22,الريسبي!$B$2:$B$1800,BV$1)</f>
        <v>0</v>
      </c>
      <c r="BW22" s="117" t="n">
        <f aca="false">SUMIFS(الريسبي!$C$2:$C$1800,الريسبي!$A$2:$A$1800,$A22,الريسبي!$B$2:$B$1800,BW$1)</f>
        <v>0</v>
      </c>
      <c r="BX22" s="117" t="n">
        <f aca="false">SUMIFS(الريسبي!$C$2:$C$1800,الريسبي!$A$2:$A$1800,$A22,الريسبي!$B$2:$B$1800,BX$1)</f>
        <v>0</v>
      </c>
      <c r="BY22" s="117" t="n">
        <f aca="false">SUMIFS(الريسبي!$C$2:$C$1800,الريسبي!$A$2:$A$1800,$A22,الريسبي!$B$2:$B$1800,BY$1)</f>
        <v>0</v>
      </c>
      <c r="BZ22" s="117" t="n">
        <f aca="false">SUMIFS(الريسبي!$C$2:$C$1800,الريسبي!$A$2:$A$1800,$A22,الريسبي!$B$2:$B$1800,BZ$1)</f>
        <v>0</v>
      </c>
      <c r="CA22" s="117" t="n">
        <f aca="false">SUMIFS(الريسبي!$C$2:$C$1800,الريسبي!$A$2:$A$1800,$A22,الريسبي!$B$2:$B$1800,CA$1)</f>
        <v>1</v>
      </c>
      <c r="CB22" s="117" t="n">
        <f aca="false">SUMIFS(الريسبي!$C$2:$C$1800,الريسبي!$A$2:$A$1800,$A22,الريسبي!$B$2:$B$1800,CB$1)</f>
        <v>1</v>
      </c>
      <c r="CC22" s="117" t="n">
        <f aca="false">SUMIFS(الريسبي!$C$2:$C$1800,الريسبي!$A$2:$A$1800,$A22,الريسبي!$B$2:$B$1800,CC$1)</f>
        <v>0</v>
      </c>
      <c r="CD22" s="117" t="n">
        <f aca="false">SUMIFS(الريسبي!$C$2:$C$1800,الريسبي!$A$2:$A$1800,$A22,الريسبي!$B$2:$B$1800,CD$1)</f>
        <v>0</v>
      </c>
      <c r="CE22" s="117" t="n">
        <f aca="false">SUMIFS(الريسبي!$C$2:$C$1800,الريسبي!$A$2:$A$1800,$A22,الريسبي!$B$2:$B$1800,CE$1)</f>
        <v>0</v>
      </c>
      <c r="CF22" s="117" t="n">
        <f aca="false">SUMIFS(الريسبي!$C$2:$C$1800,الريسبي!$A$2:$A$1800,$A22,الريسبي!$B$2:$B$1800,CF$1)</f>
        <v>0</v>
      </c>
      <c r="CG22" s="117" t="n">
        <f aca="false">SUMIFS(الريسبي!$C$2:$C$1800,الريسبي!$A$2:$A$1800,$A22,الريسبي!$B$2:$B$1800,CG$1)</f>
        <v>0</v>
      </c>
      <c r="CH22" s="117" t="n">
        <f aca="false">SUMIFS(الريسبي!$C$2:$C$1800,الريسبي!$A$2:$A$1800,$A22,الريسبي!$B$2:$B$1800,CH$1)</f>
        <v>0</v>
      </c>
      <c r="CI22" s="117" t="n">
        <f aca="false">SUMIFS(الريسبي!$C$2:$C$1800,الريسبي!$A$2:$A$1800,$A22,الريسبي!$B$2:$B$1800,CI$1)</f>
        <v>0</v>
      </c>
      <c r="CJ22" s="117" t="n">
        <f aca="false">SUMIFS(الريسبي!$C$2:$C$1800,الريسبي!$A$2:$A$1800,$A22,الريسبي!$B$2:$B$1800,CJ$1)</f>
        <v>0</v>
      </c>
      <c r="CK22" s="117" t="n">
        <f aca="false">SUMIFS(الريسبي!$C$2:$C$1800,الريسبي!$A$2:$A$1800,$A22,الريسبي!$B$2:$B$1800,CK$1)</f>
        <v>0</v>
      </c>
      <c r="CL22" s="117" t="n">
        <f aca="false">SUMIFS(الريسبي!$C$2:$C$1800,الريسبي!$A$2:$A$1800,$A22,الريسبي!$B$2:$B$1800,CL$1)</f>
        <v>0</v>
      </c>
    </row>
    <row r="23" customFormat="false" ht="15" hidden="false" customHeight="false" outlineLevel="0" collapsed="false">
      <c r="A23" s="116" t="str">
        <f aca="false">المنيو!B23</f>
        <v>بيتزا جمبري حجم اكبر</v>
      </c>
      <c r="B23" s="117" t="n">
        <f aca="false">SUMIFS(الريسبي!$C$2:$C$1800,الريسبي!$A$2:$A$1800,$A23,الريسبي!$B$2:$B$1800,B$1)</f>
        <v>0</v>
      </c>
      <c r="C23" s="117" t="n">
        <f aca="false">SUMIFS(الريسبي!$C$2:$C$1800,الريسبي!$A$2:$A$1800,$A23,الريسبي!$B$2:$B$1800,C$1)</f>
        <v>0</v>
      </c>
      <c r="D23" s="117" t="n">
        <f aca="false">SUMIFS(الريسبي!$C$2:$C$1800,الريسبي!$A$2:$A$1800,$A23,الريسبي!$B$2:$B$1800,D$1)</f>
        <v>1</v>
      </c>
      <c r="E23" s="117" t="n">
        <f aca="false">SUMIFS(الريسبي!$C$2:$C$1800,الريسبي!$A$2:$A$1800,$A23,الريسبي!$B$2:$B$1800,E$1)</f>
        <v>0</v>
      </c>
      <c r="F23" s="117" t="n">
        <f aca="false">SUMIFS(الريسبي!$C$2:$C$1800,الريسبي!$A$2:$A$1800,$A23,الريسبي!$B$2:$B$1800,F$1)</f>
        <v>0</v>
      </c>
      <c r="G23" s="117" t="n">
        <f aca="false">SUMIFS(الريسبي!$C$2:$C$1800,الريسبي!$A$2:$A$1800,$A23,الريسبي!$B$2:$B$1800,G$1)</f>
        <v>0</v>
      </c>
      <c r="H23" s="117" t="n">
        <f aca="false">SUMIFS(الريسبي!$C$2:$C$1800,الريسبي!$A$2:$A$1800,$A23,الريسبي!$B$2:$B$1800,H$1)</f>
        <v>0</v>
      </c>
      <c r="I23" s="117" t="n">
        <f aca="false">SUMIFS(الريسبي!$C$2:$C$1800,الريسبي!$A$2:$A$1800,$A23,الريسبي!$B$2:$B$1800,I$1)</f>
        <v>0</v>
      </c>
      <c r="J23" s="117" t="n">
        <f aca="false">SUMIFS(الريسبي!$C$2:$C$1800,الريسبي!$A$2:$A$1800,$A23,الريسبي!$B$2:$B$1800,J$1)</f>
        <v>0</v>
      </c>
      <c r="K23" s="117" t="n">
        <f aca="false">SUMIFS(الريسبي!$C$2:$C$1800,الريسبي!$A$2:$A$1800,$A23,الريسبي!$B$2:$B$1800,K$1)</f>
        <v>1.5</v>
      </c>
      <c r="L23" s="117" t="n">
        <f aca="false">SUMIFS(الريسبي!$C$2:$C$1800,الريسبي!$A$2:$A$1800,$A23,الريسبي!$B$2:$B$1800,L$1)</f>
        <v>0</v>
      </c>
      <c r="M23" s="117" t="n">
        <f aca="false">SUMIFS(الريسبي!$C$2:$C$1800,الريسبي!$A$2:$A$1800,$A23,الريسبي!$B$2:$B$1800,M$1)</f>
        <v>0</v>
      </c>
      <c r="N23" s="117" t="n">
        <f aca="false">SUMIFS(الريسبي!$C$2:$C$1800,الريسبي!$A$2:$A$1800,$A23,الريسبي!$B$2:$B$1800,N$1)</f>
        <v>0</v>
      </c>
      <c r="O23" s="117" t="n">
        <f aca="false">SUMIFS(الريسبي!$C$2:$C$1800,الريسبي!$A$2:$A$1800,$A23,الريسبي!$B$2:$B$1800,O$1)</f>
        <v>0</v>
      </c>
      <c r="P23" s="117" t="n">
        <f aca="false">SUMIFS(الريسبي!$C$2:$C$1800,الريسبي!$A$2:$A$1800,$A23,الريسبي!$B$2:$B$1800,P$1)</f>
        <v>0</v>
      </c>
      <c r="Q23" s="117" t="n">
        <f aca="false">SUMIFS(الريسبي!$C$2:$C$1800,الريسبي!$A$2:$A$1800,$A23,الريسبي!$B$2:$B$1800,Q$1)</f>
        <v>0</v>
      </c>
      <c r="R23" s="117" t="n">
        <f aca="false">SUMIFS(الريسبي!$C$2:$C$1800,الريسبي!$A$2:$A$1800,$A23,الريسبي!$B$2:$B$1800,R$1)</f>
        <v>0</v>
      </c>
      <c r="S23" s="117" t="n">
        <f aca="false">SUMIFS(الريسبي!$C$2:$C$1800,الريسبي!$A$2:$A$1800,$A23,الريسبي!$B$2:$B$1800,S$1)</f>
        <v>0</v>
      </c>
      <c r="T23" s="117" t="n">
        <f aca="false">SUMIFS(الريسبي!$C$2:$C$1800,الريسبي!$A$2:$A$1800,$A23,الريسبي!$B$2:$B$1800,T$1)</f>
        <v>0</v>
      </c>
      <c r="U23" s="117" t="n">
        <f aca="false">SUMIFS(الريسبي!$C$2:$C$1800,الريسبي!$A$2:$A$1800,$A23,الريسبي!$B$2:$B$1800,U$1)</f>
        <v>0</v>
      </c>
      <c r="V23" s="117" t="n">
        <f aca="false">SUMIFS(الريسبي!$C$2:$C$1800,الريسبي!$A$2:$A$1800,$A23,الريسبي!$B$2:$B$1800,V$1)+1.5*(SUMIFS(الريسبي!$C$2:$C$1800,الريسبي!$A$2:$A$1800,$A23,الريسبي!$B$2:$B$1800,"برسيون موتزريلا بيتزا كبير"))</f>
        <v>1.5</v>
      </c>
      <c r="W23" s="117" t="n">
        <f aca="false">0</f>
        <v>0</v>
      </c>
      <c r="X23" s="117" t="n">
        <f aca="false">SUMIFS(الريسبي!$C$2:$C$1800,الريسبي!$A$2:$A$1800,$A23,الريسبي!$B$2:$B$1800,X$1)+1.5*(SUMIFS(الريسبي!$C$2:$C$1800,الريسبي!$A$2:$A$1800,$A23,الريسبي!$B$2:$B$1800,"برسيون موتزريلا فطير كبير"))</f>
        <v>0</v>
      </c>
      <c r="Y23" s="117" t="n">
        <f aca="false">0</f>
        <v>0</v>
      </c>
      <c r="Z23" s="117" t="n">
        <f aca="false">SUMIFS(الريسبي!$C$2:$C$1800,الريسبي!$A$2:$A$1800,$A23,الريسبي!$B$2:$B$1800,Z$1)</f>
        <v>0</v>
      </c>
      <c r="AA23" s="117" t="n">
        <f aca="false">SUMIFS(الريسبي!$C$2:$C$1800,الريسبي!$A$2:$A$1800,$A23,الريسبي!$B$2:$B$1800,AA$1)</f>
        <v>0</v>
      </c>
      <c r="AB23" s="117" t="n">
        <f aca="false">SUMIFS(الريسبي!$C$2:$C$1800,الريسبي!$A$2:$A$1800,$A23,الريسبي!$B$2:$B$1800,AB$1)</f>
        <v>0</v>
      </c>
      <c r="AC23" s="117" t="n">
        <f aca="false">SUMIFS(الريسبي!$C$2:$C$1800,الريسبي!$A$2:$A$1800,$A23,الريسبي!$B$2:$B$1800,AC$1)</f>
        <v>0</v>
      </c>
      <c r="AD23" s="117" t="n">
        <f aca="false">SUMIFS(الريسبي!$C$2:$C$1800,الريسبي!$A$2:$A$1800,$A23,الريسبي!$B$2:$B$1800,AD$1)</f>
        <v>0</v>
      </c>
      <c r="AE23" s="117" t="n">
        <f aca="false">SUMIFS(الريسبي!$C$2:$C$1800,الريسبي!$A$2:$A$1800,$A23,الريسبي!$B$2:$B$1800,AE$1)</f>
        <v>0</v>
      </c>
      <c r="AF23" s="117" t="n">
        <f aca="false">SUMIFS(الريسبي!$C$2:$C$1800,الريسبي!$A$2:$A$1800,$A23,الريسبي!$B$2:$B$1800,AF$1)</f>
        <v>0</v>
      </c>
      <c r="AG23" s="117" t="n">
        <f aca="false">SUMIFS(الريسبي!$C$2:$C$1800,الريسبي!$A$2:$A$1800,$A23,الريسبي!$B$2:$B$1800,AG$1)</f>
        <v>0</v>
      </c>
      <c r="AH23" s="117" t="n">
        <f aca="false">SUMIFS(الريسبي!$C$2:$C$1800,الريسبي!$A$2:$A$1800,$A23,الريسبي!$B$2:$B$1800,AH$1)</f>
        <v>0</v>
      </c>
      <c r="AI23" s="117" t="n">
        <f aca="false">SUMIFS(الريسبي!$C$2:$C$1800,الريسبي!$A$2:$A$1800,$A23,الريسبي!$B$2:$B$1800,AI$1)</f>
        <v>0</v>
      </c>
      <c r="AJ23" s="117" t="n">
        <f aca="false">SUMIFS(الريسبي!$C$2:$C$1800,الريسبي!$A$2:$A$1800,$A23,الريسبي!$B$2:$B$1800,AJ$1)</f>
        <v>2</v>
      </c>
      <c r="AK23" s="117" t="n">
        <f aca="false">SUMIFS(الريسبي!$C$2:$C$1800,الريسبي!$A$2:$A$1800,$A23,الريسبي!$B$2:$B$1800,AK$1)</f>
        <v>0</v>
      </c>
      <c r="AL23" s="117" t="n">
        <f aca="false">SUMIFS(الريسبي!$C$2:$C$1800,الريسبي!$A$2:$A$1800,$A23,الريسبي!$B$2:$B$1800,AL$1)</f>
        <v>0</v>
      </c>
      <c r="AM23" s="117" t="n">
        <f aca="false">SUMIFS(الريسبي!$C$2:$C$1800,الريسبي!$A$2:$A$1800,$A23,الريسبي!$B$2:$B$1800,AM$1)+0.08333333333*SUMIFS(الريسبي!$C$2:$C$1800,الريسبي!$A$2:$A$1800,$A23,الريسبي!$B$2:$B$1800,"عجين كريب (مصنع بالمطعم)")+0.08333333333*SUMIFS(الريسبي!$C$2:$C$1800,الريسبي!$A$2:$A$1800,$A23,الريسبي!$B$2:$B$1800,"عجين كريب صيامي (بدون لبن)")</f>
        <v>0</v>
      </c>
      <c r="AN23" s="117" t="n">
        <f aca="false">SUMIFS(الريسبي!$C$2:$C$1800,الريسبي!$A$2:$A$1800,$A23,الريسبي!$B$2:$B$1800,AN$1)+0.004166666667*SUMIFS(الريسبي!$C$2:$C$1800,الريسبي!$A$2:$A$1800,$A23,الريسبي!$B$2:$B$1800,"عجين كريب (مصنع بالمطعم)")+0.004166666667*SUMIFS(الريسبي!$C$2:$C$1800,الريسبي!$A$2:$A$1800,$A23,الريسبي!$B$2:$B$1800,"عجين كريب صيامي (بدون لبن)")</f>
        <v>0</v>
      </c>
      <c r="AO23" s="117" t="n">
        <f aca="false">SUMIFS(الريسبي!$C$2:$C$1800,الريسبي!$A$2:$A$1800,$A23,الريسبي!$B$2:$B$1800,AO$1)</f>
        <v>0</v>
      </c>
      <c r="AP23" s="117" t="n">
        <f aca="false">SUMIFS(الريسبي!$C$2:$C$1800,الريسبي!$A$2:$A$1800,$A23,الريسبي!$B$2:$B$1800,AP$1)</f>
        <v>0.03</v>
      </c>
      <c r="AQ23" s="117" t="n">
        <f aca="false">SUMIFS(الريسبي!$C$2:$C$1800,الريسبي!$A$2:$A$1800,$A23,الريسبي!$B$2:$B$1800,AQ$1)+0.004166666667*SUMIFS(الريسبي!$C$2:$C$1800,الريسبي!$A$2:$A$1800,$A23,الريسبي!$B$2:$B$1800,"عجين كريب (مصنع بالمطعم)")+0.004166666667*SUMIFS(الريسبي!$C$2:$C$1800,الريسبي!$A$2:$A$1800,$A23,الريسبي!$B$2:$B$1800,"عجين كريب صيامي (بدون لبن)")</f>
        <v>0</v>
      </c>
      <c r="AR23" s="117" t="n">
        <f aca="false">SUMIFS(الريسبي!$C$2:$C$1800,الريسبي!$A$2:$A$1800,$A23,الريسبي!$B$2:$B$1800,AR$1)</f>
        <v>0</v>
      </c>
      <c r="AS23" s="117" t="n">
        <f aca="false">SUMIFS(الريسبي!$C$2:$C$1800,الريسبي!$A$2:$A$1800,$A23,الريسبي!$B$2:$B$1800,AS$1)</f>
        <v>0</v>
      </c>
      <c r="AT23" s="117" t="n">
        <f aca="false">SUMIFS(الريسبي!$C$2:$C$1800,الريسبي!$A$2:$A$1800,$A23,الريسبي!$B$2:$B$1800,AT$1)</f>
        <v>0</v>
      </c>
      <c r="AU23" s="117" t="n">
        <f aca="false">SUMIFS(الريسبي!$C$2:$C$1800,الريسبي!$A$2:$A$1800,$A23,الريسبي!$B$2:$B$1800,AU$1)</f>
        <v>0</v>
      </c>
      <c r="AV23" s="117" t="n">
        <f aca="false">SUMIFS(الريسبي!$C$2:$C$1800,الريسبي!$A$2:$A$1800,$A23,الريسبي!$B$2:$B$1800,AV$1)</f>
        <v>0</v>
      </c>
      <c r="AW23" s="117" t="n">
        <f aca="false">SUMIFS(الريسبي!$C$2:$C$1800,الريسبي!$A$2:$A$1800,$A23,الريسبي!$B$2:$B$1800,AW$1)</f>
        <v>0</v>
      </c>
      <c r="AX23" s="117" t="n">
        <f aca="false">SUMIFS(الريسبي!$C$2:$C$1800,الريسبي!$A$2:$A$1800,$A23,الريسبي!$B$2:$B$1800,AX$1)</f>
        <v>0.06</v>
      </c>
      <c r="AY23" s="117" t="n">
        <f aca="false">SUMIFS(الريسبي!$C$2:$C$1800,الريسبي!$A$2:$A$1800,$A23,الريسبي!$B$2:$B$1800,AY$1)</f>
        <v>0</v>
      </c>
      <c r="AZ23" s="117" t="n">
        <f aca="false">SUMIFS(الريسبي!$C$2:$C$1800,الريسبي!$A$2:$A$1800,$A23,الريسبي!$B$2:$B$1800,AZ$1)</f>
        <v>0</v>
      </c>
      <c r="BA23" s="117" t="n">
        <f aca="false">SUMIFS(الريسبي!$C$2:$C$1800,الريسبي!$A$2:$A$1800,$A23,الريسبي!$B$2:$B$1800,BA$1)</f>
        <v>0</v>
      </c>
      <c r="BB23" s="117" t="n">
        <f aca="false">SUMIFS(الريسبي!$C$2:$C$1800,الريسبي!$A$2:$A$1800,$A23,الريسبي!$B$2:$B$1800,BB$1)</f>
        <v>0</v>
      </c>
      <c r="BC23" s="117" t="n">
        <f aca="false">SUMIFS(الريسبي!$C$2:$C$1800,الريسبي!$A$2:$A$1800,$A23,الريسبي!$B$2:$B$1800,BC$1)</f>
        <v>0.045</v>
      </c>
      <c r="BD23" s="117" t="n">
        <f aca="false">SUMIFS(الريسبي!$C$2:$C$1800,الريسبي!$A$2:$A$1800,$A23,الريسبي!$B$2:$B$1800,BD$1)</f>
        <v>0.3</v>
      </c>
      <c r="BE23" s="117" t="n">
        <f aca="false">SUMIFS(الريسبي!$C$2:$C$1800,الريسبي!$A$2:$A$1800,$A23,الريسبي!$B$2:$B$1800,BE$1)</f>
        <v>0</v>
      </c>
      <c r="BF23" s="117" t="n">
        <f aca="false">SUMIFS(الريسبي!$C$2:$C$1800,الريسبي!$A$2:$A$1800,$A23,الريسبي!$B$2:$B$1800,BF$1)</f>
        <v>0</v>
      </c>
      <c r="BG23" s="117" t="n">
        <f aca="false">SUMIFS(الريسبي!$C$2:$C$1800,الريسبي!$A$2:$A$1800,$A23,الريسبي!$B$2:$B$1800,BG$1)</f>
        <v>1</v>
      </c>
      <c r="BH23" s="117" t="n">
        <f aca="false">SUMIFS(الريسبي!$C$2:$C$1800,الريسبي!$A$2:$A$1800,$A23,الريسبي!$B$2:$B$1800,BH$1)</f>
        <v>0</v>
      </c>
      <c r="BI23" s="117" t="n">
        <f aca="false">SUMIFS(الريسبي!$C$2:$C$1800,الريسبي!$A$2:$A$1800,$A23,الريسبي!$B$2:$B$1800,BI$1)</f>
        <v>0</v>
      </c>
      <c r="BJ23" s="117" t="n">
        <f aca="false">SUMIFS(الريسبي!$C$2:$C$1800,الريسبي!$A$2:$A$1800,$A23,الريسبي!$B$2:$B$1800,BJ$1)</f>
        <v>0</v>
      </c>
      <c r="BK23" s="117" t="n">
        <f aca="false">SUMIFS(الريسبي!$C$2:$C$1800,الريسبي!$A$2:$A$1800,$A23,الريسبي!$B$2:$B$1800,BK$1)</f>
        <v>0</v>
      </c>
      <c r="BL23" s="117" t="n">
        <f aca="false">SUMIFS(الريسبي!$C$2:$C$1800,الريسبي!$A$2:$A$1800,$A23,الريسبي!$B$2:$B$1800,BL$1)</f>
        <v>0</v>
      </c>
      <c r="BM23" s="117" t="n">
        <f aca="false">SUMIFS(الريسبي!$C$2:$C$1800,الريسبي!$A$2:$A$1800,$A23,الريسبي!$B$2:$B$1800,BM$1)</f>
        <v>0</v>
      </c>
      <c r="BN23" s="117" t="n">
        <f aca="false">SUMIFS(الريسبي!$C$2:$C$1800,الريسبي!$A$2:$A$1800,$A23,الريسبي!$B$2:$B$1800,BN$1)</f>
        <v>0.03</v>
      </c>
      <c r="BO23" s="117" t="n">
        <f aca="false">SUMIFS(الريسبي!$C$2:$C$1800,الريسبي!$A$2:$A$1800,$A23,الريسبي!$B$2:$B$1800,BO$1)</f>
        <v>0</v>
      </c>
      <c r="BP23" s="117" t="n">
        <f aca="false">SUMIFS(الريسبي!$C$2:$C$1800,الريسبي!$A$2:$A$1800,$A23,الريسبي!$B$2:$B$1800,BP$1)</f>
        <v>3</v>
      </c>
      <c r="BQ23" s="117" t="n">
        <f aca="false">SUMIFS(الريسبي!$C$2:$C$1800,الريسبي!$A$2:$A$1800,$A23,الريسبي!$B$2:$B$1800,BQ$1)+0.17*SUMIFS(الريسبي!$C$2:$C$1800,الريسبي!$A$2:$A$1800,$A23,الريسبي!$B$2:$B$1800,"كاسترد مصنع (خليط بودر + لبن)")+0.17*SUMIFS(الريسبي!$C$2:$C$1800,الريسبي!$A$2:$A$1800,$A23,الريسبي!$B$2:$B$1800,"كاسترد مصنع صيامي (بدون لبن)")</f>
        <v>0</v>
      </c>
      <c r="BR23" s="117" t="n">
        <f aca="false">SUMIFS(الريسبي!$C$2:$C$1800,الريسبي!$A$2:$A$1800,$A23,الريسبي!$B$2:$B$1800,BR$1)</f>
        <v>1</v>
      </c>
      <c r="BS23" s="117" t="n">
        <f aca="false">SUMIFS(الريسبي!$C$2:$C$1800,الريسبي!$A$2:$A$1800,$A23,الريسبي!$B$2:$B$1800,BS$1)</f>
        <v>0</v>
      </c>
      <c r="BT23" s="117" t="n">
        <f aca="false">SUMIFS(الريسبي!$C$2:$C$1800,الريسبي!$A$2:$A$1800,$A23,الريسبي!$B$2:$B$1800,BT$1)</f>
        <v>0</v>
      </c>
      <c r="BU23" s="117" t="n">
        <f aca="false">SUMIFS(الريسبي!$C$2:$C$1800,الريسبي!$A$2:$A$1800,$A23,الريسبي!$B$2:$B$1800,BU$1)+0.4*SUMIFS(الريسبي!$C$2:$C$1800,الريسبي!$A$2:$A$1800,$A23,الريسبي!$B$2:$B$1800,"كاسترد مصنع (خليط بودر + لبن)")+0.03333333333*SUMIFS(الريسبي!$C$2:$C$1800,الريسبي!$A$2:$A$1800,$A23,الريسبي!$B$2:$B$1800,"عجين كريب (مصنع بالمطعم)")</f>
        <v>0</v>
      </c>
      <c r="BV23" s="117" t="n">
        <f aca="false">SUMIFS(الريسبي!$C$2:$C$1800,الريسبي!$A$2:$A$1800,$A23,الريسبي!$B$2:$B$1800,BV$1)</f>
        <v>0</v>
      </c>
      <c r="BW23" s="117" t="n">
        <f aca="false">SUMIFS(الريسبي!$C$2:$C$1800,الريسبي!$A$2:$A$1800,$A23,الريسبي!$B$2:$B$1800,BW$1)</f>
        <v>0</v>
      </c>
      <c r="BX23" s="117" t="n">
        <f aca="false">SUMIFS(الريسبي!$C$2:$C$1800,الريسبي!$A$2:$A$1800,$A23,الريسبي!$B$2:$B$1800,BX$1)</f>
        <v>0</v>
      </c>
      <c r="BY23" s="117" t="n">
        <f aca="false">SUMIFS(الريسبي!$C$2:$C$1800,الريسبي!$A$2:$A$1800,$A23,الريسبي!$B$2:$B$1800,BY$1)</f>
        <v>0</v>
      </c>
      <c r="BZ23" s="117" t="n">
        <f aca="false">SUMIFS(الريسبي!$C$2:$C$1800,الريسبي!$A$2:$A$1800,$A23,الريسبي!$B$2:$B$1800,BZ$1)</f>
        <v>0</v>
      </c>
      <c r="CA23" s="117" t="n">
        <f aca="false">SUMIFS(الريسبي!$C$2:$C$1800,الريسبي!$A$2:$A$1800,$A23,الريسبي!$B$2:$B$1800,CA$1)</f>
        <v>1</v>
      </c>
      <c r="CB23" s="117" t="n">
        <f aca="false">SUMIFS(الريسبي!$C$2:$C$1800,الريسبي!$A$2:$A$1800,$A23,الريسبي!$B$2:$B$1800,CB$1)</f>
        <v>1</v>
      </c>
      <c r="CC23" s="117" t="n">
        <f aca="false">SUMIFS(الريسبي!$C$2:$C$1800,الريسبي!$A$2:$A$1800,$A23,الريسبي!$B$2:$B$1800,CC$1)</f>
        <v>0</v>
      </c>
      <c r="CD23" s="117" t="n">
        <f aca="false">SUMIFS(الريسبي!$C$2:$C$1800,الريسبي!$A$2:$A$1800,$A23,الريسبي!$B$2:$B$1800,CD$1)</f>
        <v>0</v>
      </c>
      <c r="CE23" s="117" t="n">
        <f aca="false">SUMIFS(الريسبي!$C$2:$C$1800,الريسبي!$A$2:$A$1800,$A23,الريسبي!$B$2:$B$1800,CE$1)</f>
        <v>0</v>
      </c>
      <c r="CF23" s="117" t="n">
        <f aca="false">SUMIFS(الريسبي!$C$2:$C$1800,الريسبي!$A$2:$A$1800,$A23,الريسبي!$B$2:$B$1800,CF$1)</f>
        <v>0</v>
      </c>
      <c r="CG23" s="117" t="n">
        <f aca="false">SUMIFS(الريسبي!$C$2:$C$1800,الريسبي!$A$2:$A$1800,$A23,الريسبي!$B$2:$B$1800,CG$1)</f>
        <v>0</v>
      </c>
      <c r="CH23" s="117" t="n">
        <f aca="false">SUMIFS(الريسبي!$C$2:$C$1800,الريسبي!$A$2:$A$1800,$A23,الريسبي!$B$2:$B$1800,CH$1)</f>
        <v>0</v>
      </c>
      <c r="CI23" s="117" t="n">
        <f aca="false">SUMIFS(الريسبي!$C$2:$C$1800,الريسبي!$A$2:$A$1800,$A23,الريسبي!$B$2:$B$1800,CI$1)</f>
        <v>0</v>
      </c>
      <c r="CJ23" s="117" t="n">
        <f aca="false">SUMIFS(الريسبي!$C$2:$C$1800,الريسبي!$A$2:$A$1800,$A23,الريسبي!$B$2:$B$1800,CJ$1)</f>
        <v>0</v>
      </c>
      <c r="CK23" s="117" t="n">
        <f aca="false">SUMIFS(الريسبي!$C$2:$C$1800,الريسبي!$A$2:$A$1800,$A23,الريسبي!$B$2:$B$1800,CK$1)</f>
        <v>0</v>
      </c>
      <c r="CL23" s="117" t="n">
        <f aca="false">SUMIFS(الريسبي!$C$2:$C$1800,الريسبي!$A$2:$A$1800,$A23,الريسبي!$B$2:$B$1800,CL$1)</f>
        <v>0</v>
      </c>
    </row>
    <row r="24" customFormat="false" ht="15" hidden="false" customHeight="false" outlineLevel="0" collapsed="false">
      <c r="A24" s="116" t="str">
        <f aca="false">المنيو!B24</f>
        <v>فطيرة سدق وسط</v>
      </c>
      <c r="B24" s="117" t="n">
        <f aca="false">SUMIFS(الريسبي!$C$2:$C$1800,الريسبي!$A$2:$A$1800,$A24,الريسبي!$B$2:$B$1800,B$1)</f>
        <v>0</v>
      </c>
      <c r="C24" s="117" t="n">
        <f aca="false">SUMIFS(الريسبي!$C$2:$C$1800,الريسبي!$A$2:$A$1800,$A24,الريسبي!$B$2:$B$1800,C$1)</f>
        <v>0</v>
      </c>
      <c r="D24" s="117" t="n">
        <f aca="false">SUMIFS(الريسبي!$C$2:$C$1800,الريسبي!$A$2:$A$1800,$A24,الريسبي!$B$2:$B$1800,D$1)</f>
        <v>1</v>
      </c>
      <c r="E24" s="117" t="n">
        <f aca="false">SUMIFS(الريسبي!$C$2:$C$1800,الريسبي!$A$2:$A$1800,$A24,الريسبي!$B$2:$B$1800,E$1)</f>
        <v>0</v>
      </c>
      <c r="F24" s="117" t="n">
        <f aca="false">SUMIFS(الريسبي!$C$2:$C$1800,الريسبي!$A$2:$A$1800,$A24,الريسبي!$B$2:$B$1800,F$1)</f>
        <v>0</v>
      </c>
      <c r="G24" s="117" t="n">
        <f aca="false">SUMIFS(الريسبي!$C$2:$C$1800,الريسبي!$A$2:$A$1800,$A24,الريسبي!$B$2:$B$1800,G$1)</f>
        <v>0</v>
      </c>
      <c r="H24" s="117" t="n">
        <f aca="false">SUMIFS(الريسبي!$C$2:$C$1800,الريسبي!$A$2:$A$1800,$A24,الريسبي!$B$2:$B$1800,H$1)</f>
        <v>0</v>
      </c>
      <c r="I24" s="117" t="n">
        <f aca="false">SUMIFS(الريسبي!$C$2:$C$1800,الريسبي!$A$2:$A$1800,$A24,الريسبي!$B$2:$B$1800,I$1)</f>
        <v>0</v>
      </c>
      <c r="J24" s="117" t="n">
        <f aca="false">SUMIFS(الريسبي!$C$2:$C$1800,الريسبي!$A$2:$A$1800,$A24,الريسبي!$B$2:$B$1800,J$1)</f>
        <v>1</v>
      </c>
      <c r="K24" s="117" t="n">
        <f aca="false">SUMIFS(الريسبي!$C$2:$C$1800,الريسبي!$A$2:$A$1800,$A24,الريسبي!$B$2:$B$1800,K$1)</f>
        <v>0</v>
      </c>
      <c r="L24" s="117" t="n">
        <f aca="false">SUMIFS(الريسبي!$C$2:$C$1800,الريسبي!$A$2:$A$1800,$A24,الريسبي!$B$2:$B$1800,L$1)</f>
        <v>1</v>
      </c>
      <c r="M24" s="117" t="n">
        <f aca="false">SUMIFS(الريسبي!$C$2:$C$1800,الريسبي!$A$2:$A$1800,$A24,الريسبي!$B$2:$B$1800,M$1)</f>
        <v>0</v>
      </c>
      <c r="N24" s="117" t="n">
        <f aca="false">SUMIFS(الريسبي!$C$2:$C$1800,الريسبي!$A$2:$A$1800,$A24,الريسبي!$B$2:$B$1800,N$1)</f>
        <v>0</v>
      </c>
      <c r="O24" s="117" t="n">
        <f aca="false">SUMIFS(الريسبي!$C$2:$C$1800,الريسبي!$A$2:$A$1800,$A24,الريسبي!$B$2:$B$1800,O$1)</f>
        <v>0</v>
      </c>
      <c r="P24" s="117" t="n">
        <f aca="false">SUMIFS(الريسبي!$C$2:$C$1800,الريسبي!$A$2:$A$1800,$A24,الريسبي!$B$2:$B$1800,P$1)</f>
        <v>0</v>
      </c>
      <c r="Q24" s="117" t="n">
        <f aca="false">SUMIFS(الريسبي!$C$2:$C$1800,الريسبي!$A$2:$A$1800,$A24,الريسبي!$B$2:$B$1800,Q$1)</f>
        <v>0</v>
      </c>
      <c r="R24" s="117" t="n">
        <f aca="false">SUMIFS(الريسبي!$C$2:$C$1800,الريسبي!$A$2:$A$1800,$A24,الريسبي!$B$2:$B$1800,R$1)</f>
        <v>0</v>
      </c>
      <c r="S24" s="117" t="n">
        <f aca="false">SUMIFS(الريسبي!$C$2:$C$1800,الريسبي!$A$2:$A$1800,$A24,الريسبي!$B$2:$B$1800,S$1)</f>
        <v>0</v>
      </c>
      <c r="T24" s="117" t="n">
        <f aca="false">SUMIFS(الريسبي!$C$2:$C$1800,الريسبي!$A$2:$A$1800,$A24,الريسبي!$B$2:$B$1800,T$1)</f>
        <v>0</v>
      </c>
      <c r="U24" s="117" t="n">
        <f aca="false">SUMIFS(الريسبي!$C$2:$C$1800,الريسبي!$A$2:$A$1800,$A24,الريسبي!$B$2:$B$1800,U$1)</f>
        <v>0</v>
      </c>
      <c r="V24" s="117" t="n">
        <f aca="false">SUMIFS(الريسبي!$C$2:$C$1800,الريسبي!$A$2:$A$1800,$A24,الريسبي!$B$2:$B$1800,V$1)+1.5*(SUMIFS(الريسبي!$C$2:$C$1800,الريسبي!$A$2:$A$1800,$A24,الريسبي!$B$2:$B$1800,"برسيون موتزريلا بيتزا كبير"))</f>
        <v>0</v>
      </c>
      <c r="W24" s="117" t="n">
        <f aca="false">0</f>
        <v>0</v>
      </c>
      <c r="X24" s="117" t="n">
        <f aca="false">SUMIFS(الريسبي!$C$2:$C$1800,الريسبي!$A$2:$A$1800,$A24,الريسبي!$B$2:$B$1800,X$1)+1.5*(SUMIFS(الريسبي!$C$2:$C$1800,الريسبي!$A$2:$A$1800,$A24,الريسبي!$B$2:$B$1800,"برسيون موتزريلا فطير كبير"))</f>
        <v>1</v>
      </c>
      <c r="Y24" s="117" t="n">
        <f aca="false">0</f>
        <v>0</v>
      </c>
      <c r="Z24" s="117" t="n">
        <f aca="false">SUMIFS(الريسبي!$C$2:$C$1800,الريسبي!$A$2:$A$1800,$A24,الريسبي!$B$2:$B$1800,Z$1)</f>
        <v>0</v>
      </c>
      <c r="AA24" s="117" t="n">
        <f aca="false">SUMIFS(الريسبي!$C$2:$C$1800,الريسبي!$A$2:$A$1800,$A24,الريسبي!$B$2:$B$1800,AA$1)</f>
        <v>0</v>
      </c>
      <c r="AB24" s="117" t="n">
        <f aca="false">SUMIFS(الريسبي!$C$2:$C$1800,الريسبي!$A$2:$A$1800,$A24,الريسبي!$B$2:$B$1800,AB$1)</f>
        <v>0</v>
      </c>
      <c r="AC24" s="117" t="n">
        <f aca="false">SUMIFS(الريسبي!$C$2:$C$1800,الريسبي!$A$2:$A$1800,$A24,الريسبي!$B$2:$B$1800,AC$1)</f>
        <v>0</v>
      </c>
      <c r="AD24" s="117" t="n">
        <f aca="false">SUMIFS(الريسبي!$C$2:$C$1800,الريسبي!$A$2:$A$1800,$A24,الريسبي!$B$2:$B$1800,AD$1)</f>
        <v>0</v>
      </c>
      <c r="AE24" s="117" t="n">
        <f aca="false">SUMIFS(الريسبي!$C$2:$C$1800,الريسبي!$A$2:$A$1800,$A24,الريسبي!$B$2:$B$1800,AE$1)</f>
        <v>0</v>
      </c>
      <c r="AF24" s="117" t="n">
        <f aca="false">SUMIFS(الريسبي!$C$2:$C$1800,الريسبي!$A$2:$A$1800,$A24,الريسبي!$B$2:$B$1800,AF$1)</f>
        <v>0</v>
      </c>
      <c r="AG24" s="117" t="n">
        <f aca="false">SUMIFS(الريسبي!$C$2:$C$1800,الريسبي!$A$2:$A$1800,$A24,الريسبي!$B$2:$B$1800,AG$1)</f>
        <v>0</v>
      </c>
      <c r="AH24" s="117" t="n">
        <f aca="false">SUMIFS(الريسبي!$C$2:$C$1800,الريسبي!$A$2:$A$1800,$A24,الريسبي!$B$2:$B$1800,AH$1)</f>
        <v>0</v>
      </c>
      <c r="AI24" s="117" t="n">
        <f aca="false">SUMIFS(الريسبي!$C$2:$C$1800,الريسبي!$A$2:$A$1800,$A24,الريسبي!$B$2:$B$1800,AI$1)</f>
        <v>0</v>
      </c>
      <c r="AJ24" s="117" t="n">
        <f aca="false">SUMIFS(الريسبي!$C$2:$C$1800,الريسبي!$A$2:$A$1800,$A24,الريسبي!$B$2:$B$1800,AJ$1)</f>
        <v>2</v>
      </c>
      <c r="AK24" s="117" t="n">
        <f aca="false">SUMIFS(الريسبي!$C$2:$C$1800,الريسبي!$A$2:$A$1800,$A24,الريسبي!$B$2:$B$1800,AK$1)</f>
        <v>0</v>
      </c>
      <c r="AL24" s="117" t="n">
        <f aca="false">SUMIFS(الريسبي!$C$2:$C$1800,الريسبي!$A$2:$A$1800,$A24,الريسبي!$B$2:$B$1800,AL$1)</f>
        <v>0</v>
      </c>
      <c r="AM24" s="117" t="n">
        <f aca="false">SUMIFS(الريسبي!$C$2:$C$1800,الريسبي!$A$2:$A$1800,$A24,الريسبي!$B$2:$B$1800,AM$1)+0.08333333333*SUMIFS(الريسبي!$C$2:$C$1800,الريسبي!$A$2:$A$1800,$A24,الريسبي!$B$2:$B$1800,"عجين كريب (مصنع بالمطعم)")+0.08333333333*SUMIFS(الريسبي!$C$2:$C$1800,الريسبي!$A$2:$A$1800,$A24,الريسبي!$B$2:$B$1800,"عجين كريب صيامي (بدون لبن)")</f>
        <v>0</v>
      </c>
      <c r="AN24" s="117" t="n">
        <f aca="false">SUMIFS(الريسبي!$C$2:$C$1800,الريسبي!$A$2:$A$1800,$A24,الريسبي!$B$2:$B$1800,AN$1)+0.004166666667*SUMIFS(الريسبي!$C$2:$C$1800,الريسبي!$A$2:$A$1800,$A24,الريسبي!$B$2:$B$1800,"عجين كريب (مصنع بالمطعم)")+0.004166666667*SUMIFS(الريسبي!$C$2:$C$1800,الريسبي!$A$2:$A$1800,$A24,الريسبي!$B$2:$B$1800,"عجين كريب صيامي (بدون لبن)")</f>
        <v>0</v>
      </c>
      <c r="AO24" s="117" t="n">
        <f aca="false">SUMIFS(الريسبي!$C$2:$C$1800,الريسبي!$A$2:$A$1800,$A24,الريسبي!$B$2:$B$1800,AO$1)</f>
        <v>0</v>
      </c>
      <c r="AP24" s="117" t="n">
        <f aca="false">SUMIFS(الريسبي!$C$2:$C$1800,الريسبي!$A$2:$A$1800,$A24,الريسبي!$B$2:$B$1800,AP$1)</f>
        <v>0.02</v>
      </c>
      <c r="AQ24" s="117" t="n">
        <f aca="false">SUMIFS(الريسبي!$C$2:$C$1800,الريسبي!$A$2:$A$1800,$A24,الريسبي!$B$2:$B$1800,AQ$1)+0.004166666667*SUMIFS(الريسبي!$C$2:$C$1800,الريسبي!$A$2:$A$1800,$A24,الريسبي!$B$2:$B$1800,"عجين كريب (مصنع بالمطعم)")+0.004166666667*SUMIFS(الريسبي!$C$2:$C$1800,الريسبي!$A$2:$A$1800,$A24,الريسبي!$B$2:$B$1800,"عجين كريب صيامي (بدون لبن)")</f>
        <v>0</v>
      </c>
      <c r="AR24" s="117" t="n">
        <f aca="false">SUMIFS(الريسبي!$C$2:$C$1800,الريسبي!$A$2:$A$1800,$A24,الريسبي!$B$2:$B$1800,AR$1)</f>
        <v>0</v>
      </c>
      <c r="AS24" s="117" t="n">
        <f aca="false">SUMIFS(الريسبي!$C$2:$C$1800,الريسبي!$A$2:$A$1800,$A24,الريسبي!$B$2:$B$1800,AS$1)</f>
        <v>0</v>
      </c>
      <c r="AT24" s="117" t="n">
        <f aca="false">SUMIFS(الريسبي!$C$2:$C$1800,الريسبي!$A$2:$A$1800,$A24,الريسبي!$B$2:$B$1800,AT$1)</f>
        <v>0</v>
      </c>
      <c r="AU24" s="117" t="n">
        <f aca="false">SUMIFS(الريسبي!$C$2:$C$1800,الريسبي!$A$2:$A$1800,$A24,الريسبي!$B$2:$B$1800,AU$1)</f>
        <v>0</v>
      </c>
      <c r="AV24" s="117" t="n">
        <f aca="false">SUMIFS(الريسبي!$C$2:$C$1800,الريسبي!$A$2:$A$1800,$A24,الريسبي!$B$2:$B$1800,AV$1)</f>
        <v>0</v>
      </c>
      <c r="AW24" s="117" t="n">
        <f aca="false">SUMIFS(الريسبي!$C$2:$C$1800,الريسبي!$A$2:$A$1800,$A24,الريسبي!$B$2:$B$1800,AW$1)</f>
        <v>0</v>
      </c>
      <c r="AX24" s="117" t="n">
        <f aca="false">SUMIFS(الريسبي!$C$2:$C$1800,الريسبي!$A$2:$A$1800,$A24,الريسبي!$B$2:$B$1800,AX$1)</f>
        <v>0</v>
      </c>
      <c r="AY24" s="117" t="n">
        <f aca="false">SUMIFS(الريسبي!$C$2:$C$1800,الريسبي!$A$2:$A$1800,$A24,الريسبي!$B$2:$B$1800,AY$1)</f>
        <v>0</v>
      </c>
      <c r="AZ24" s="117" t="n">
        <f aca="false">SUMIFS(الريسبي!$C$2:$C$1800,الريسبي!$A$2:$A$1800,$A24,الريسبي!$B$2:$B$1800,AZ$1)</f>
        <v>0</v>
      </c>
      <c r="BA24" s="117" t="n">
        <f aca="false">SUMIFS(الريسبي!$C$2:$C$1800,الريسبي!$A$2:$A$1800,$A24,الريسبي!$B$2:$B$1800,BA$1)</f>
        <v>0</v>
      </c>
      <c r="BB24" s="117" t="n">
        <f aca="false">SUMIFS(الريسبي!$C$2:$C$1800,الريسبي!$A$2:$A$1800,$A24,الريسبي!$B$2:$B$1800,BB$1)</f>
        <v>0</v>
      </c>
      <c r="BC24" s="117" t="n">
        <f aca="false">SUMIFS(الريسبي!$C$2:$C$1800,الريسبي!$A$2:$A$1800,$A24,الريسبي!$B$2:$B$1800,BC$1)</f>
        <v>0.03</v>
      </c>
      <c r="BD24" s="117" t="n">
        <f aca="false">SUMIFS(الريسبي!$C$2:$C$1800,الريسبي!$A$2:$A$1800,$A24,الريسبي!$B$2:$B$1800,BD$1)</f>
        <v>0</v>
      </c>
      <c r="BE24" s="117" t="n">
        <f aca="false">SUMIFS(الريسبي!$C$2:$C$1800,الريسبي!$A$2:$A$1800,$A24,الريسبي!$B$2:$B$1800,BE$1)</f>
        <v>1</v>
      </c>
      <c r="BF24" s="117" t="n">
        <f aca="false">SUMIFS(الريسبي!$C$2:$C$1800,الريسبي!$A$2:$A$1800,$A24,الريسبي!$B$2:$B$1800,BF$1)</f>
        <v>0</v>
      </c>
      <c r="BG24" s="117" t="n">
        <f aca="false">SUMIFS(الريسبي!$C$2:$C$1800,الريسبي!$A$2:$A$1800,$A24,الريسبي!$B$2:$B$1800,BG$1)</f>
        <v>0</v>
      </c>
      <c r="BH24" s="117" t="n">
        <f aca="false">SUMIFS(الريسبي!$C$2:$C$1800,الريسبي!$A$2:$A$1800,$A24,الريسبي!$B$2:$B$1800,BH$1)</f>
        <v>1</v>
      </c>
      <c r="BI24" s="117" t="n">
        <f aca="false">SUMIFS(الريسبي!$C$2:$C$1800,الريسبي!$A$2:$A$1800,$A24,الريسبي!$B$2:$B$1800,BI$1)</f>
        <v>0</v>
      </c>
      <c r="BJ24" s="117" t="n">
        <f aca="false">SUMIFS(الريسبي!$C$2:$C$1800,الريسبي!$A$2:$A$1800,$A24,الريسبي!$B$2:$B$1800,BJ$1)</f>
        <v>0</v>
      </c>
      <c r="BK24" s="117" t="n">
        <f aca="false">SUMIFS(الريسبي!$C$2:$C$1800,الريسبي!$A$2:$A$1800,$A24,الريسبي!$B$2:$B$1800,BK$1)</f>
        <v>0</v>
      </c>
      <c r="BL24" s="117" t="n">
        <f aca="false">SUMIFS(الريسبي!$C$2:$C$1800,الريسبي!$A$2:$A$1800,$A24,الريسبي!$B$2:$B$1800,BL$1)</f>
        <v>0</v>
      </c>
      <c r="BM24" s="117" t="n">
        <f aca="false">SUMIFS(الريسبي!$C$2:$C$1800,الريسبي!$A$2:$A$1800,$A24,الريسبي!$B$2:$B$1800,BM$1)</f>
        <v>0</v>
      </c>
      <c r="BN24" s="117" t="n">
        <f aca="false">SUMIFS(الريسبي!$C$2:$C$1800,الريسبي!$A$2:$A$1800,$A24,الريسبي!$B$2:$B$1800,BN$1)</f>
        <v>0.02</v>
      </c>
      <c r="BO24" s="117" t="n">
        <f aca="false">SUMIFS(الريسبي!$C$2:$C$1800,الريسبي!$A$2:$A$1800,$A24,الريسبي!$B$2:$B$1800,BO$1)</f>
        <v>0</v>
      </c>
      <c r="BP24" s="117" t="n">
        <f aca="false">SUMIFS(الريسبي!$C$2:$C$1800,الريسبي!$A$2:$A$1800,$A24,الريسبي!$B$2:$B$1800,BP$1)</f>
        <v>2</v>
      </c>
      <c r="BQ24" s="117" t="n">
        <f aca="false">SUMIFS(الريسبي!$C$2:$C$1800,الريسبي!$A$2:$A$1800,$A24,الريسبي!$B$2:$B$1800,BQ$1)+0.17*SUMIFS(الريسبي!$C$2:$C$1800,الريسبي!$A$2:$A$1800,$A24,الريسبي!$B$2:$B$1800,"كاسترد مصنع (خليط بودر + لبن)")+0.17*SUMIFS(الريسبي!$C$2:$C$1800,الريسبي!$A$2:$A$1800,$A24,الريسبي!$B$2:$B$1800,"كاسترد مصنع صيامي (بدون لبن)")</f>
        <v>0</v>
      </c>
      <c r="BR24" s="117" t="n">
        <f aca="false">SUMIFS(الريسبي!$C$2:$C$1800,الريسبي!$A$2:$A$1800,$A24,الريسبي!$B$2:$B$1800,BR$1)</f>
        <v>1</v>
      </c>
      <c r="BS24" s="117" t="n">
        <f aca="false">SUMIFS(الريسبي!$C$2:$C$1800,الريسبي!$A$2:$A$1800,$A24,الريسبي!$B$2:$B$1800,BS$1)</f>
        <v>0</v>
      </c>
      <c r="BT24" s="117" t="n">
        <f aca="false">SUMIFS(الريسبي!$C$2:$C$1800,الريسبي!$A$2:$A$1800,$A24,الريسبي!$B$2:$B$1800,BT$1)</f>
        <v>0</v>
      </c>
      <c r="BU24" s="117" t="n">
        <f aca="false">SUMIFS(الريسبي!$C$2:$C$1800,الريسبي!$A$2:$A$1800,$A24,الريسبي!$B$2:$B$1800,BU$1)+0.4*SUMIFS(الريسبي!$C$2:$C$1800,الريسبي!$A$2:$A$1800,$A24,الريسبي!$B$2:$B$1800,"كاسترد مصنع (خليط بودر + لبن)")+0.03333333333*SUMIFS(الريسبي!$C$2:$C$1800,الريسبي!$A$2:$A$1800,$A24,الريسبي!$B$2:$B$1800,"عجين كريب (مصنع بالمطعم)")</f>
        <v>0</v>
      </c>
      <c r="BV24" s="117" t="n">
        <f aca="false">SUMIFS(الريسبي!$C$2:$C$1800,الريسبي!$A$2:$A$1800,$A24,الريسبي!$B$2:$B$1800,BV$1)</f>
        <v>0</v>
      </c>
      <c r="BW24" s="117" t="n">
        <f aca="false">SUMIFS(الريسبي!$C$2:$C$1800,الريسبي!$A$2:$A$1800,$A24,الريسبي!$B$2:$B$1800,BW$1)</f>
        <v>0</v>
      </c>
      <c r="BX24" s="117" t="n">
        <f aca="false">SUMIFS(الريسبي!$C$2:$C$1800,الريسبي!$A$2:$A$1800,$A24,الريسبي!$B$2:$B$1800,BX$1)</f>
        <v>0</v>
      </c>
      <c r="BY24" s="117" t="n">
        <f aca="false">SUMIFS(الريسبي!$C$2:$C$1800,الريسبي!$A$2:$A$1800,$A24,الريسبي!$B$2:$B$1800,BY$1)</f>
        <v>0</v>
      </c>
      <c r="BZ24" s="117" t="n">
        <f aca="false">SUMIFS(الريسبي!$C$2:$C$1800,الريسبي!$A$2:$A$1800,$A24,الريسبي!$B$2:$B$1800,BZ$1)</f>
        <v>0</v>
      </c>
      <c r="CA24" s="117" t="n">
        <f aca="false">SUMIFS(الريسبي!$C$2:$C$1800,الريسبي!$A$2:$A$1800,$A24,الريسبي!$B$2:$B$1800,CA$1)</f>
        <v>1</v>
      </c>
      <c r="CB24" s="117" t="n">
        <f aca="false">SUMIFS(الريسبي!$C$2:$C$1800,الريسبي!$A$2:$A$1800,$A24,الريسبي!$B$2:$B$1800,CB$1)</f>
        <v>1</v>
      </c>
      <c r="CC24" s="117" t="n">
        <f aca="false">SUMIFS(الريسبي!$C$2:$C$1800,الريسبي!$A$2:$A$1800,$A24,الريسبي!$B$2:$B$1800,CC$1)</f>
        <v>0</v>
      </c>
      <c r="CD24" s="117" t="n">
        <f aca="false">SUMIFS(الريسبي!$C$2:$C$1800,الريسبي!$A$2:$A$1800,$A24,الريسبي!$B$2:$B$1800,CD$1)</f>
        <v>0</v>
      </c>
      <c r="CE24" s="117" t="n">
        <f aca="false">SUMIFS(الريسبي!$C$2:$C$1800,الريسبي!$A$2:$A$1800,$A24,الريسبي!$B$2:$B$1800,CE$1)</f>
        <v>0</v>
      </c>
      <c r="CF24" s="117" t="n">
        <f aca="false">SUMIFS(الريسبي!$C$2:$C$1800,الريسبي!$A$2:$A$1800,$A24,الريسبي!$B$2:$B$1800,CF$1)</f>
        <v>0</v>
      </c>
      <c r="CG24" s="117" t="n">
        <f aca="false">SUMIFS(الريسبي!$C$2:$C$1800,الريسبي!$A$2:$A$1800,$A24,الريسبي!$B$2:$B$1800,CG$1)</f>
        <v>0</v>
      </c>
      <c r="CH24" s="117" t="n">
        <f aca="false">SUMIFS(الريسبي!$C$2:$C$1800,الريسبي!$A$2:$A$1800,$A24,الريسبي!$B$2:$B$1800,CH$1)</f>
        <v>0</v>
      </c>
      <c r="CI24" s="117" t="n">
        <f aca="false">SUMIFS(الريسبي!$C$2:$C$1800,الريسبي!$A$2:$A$1800,$A24,الريسبي!$B$2:$B$1800,CI$1)</f>
        <v>0</v>
      </c>
      <c r="CJ24" s="117" t="n">
        <f aca="false">SUMIFS(الريسبي!$C$2:$C$1800,الريسبي!$A$2:$A$1800,$A24,الريسبي!$B$2:$B$1800,CJ$1)</f>
        <v>0</v>
      </c>
      <c r="CK24" s="117" t="n">
        <f aca="false">SUMIFS(الريسبي!$C$2:$C$1800,الريسبي!$A$2:$A$1800,$A24,الريسبي!$B$2:$B$1800,CK$1)</f>
        <v>0</v>
      </c>
      <c r="CL24" s="117" t="n">
        <f aca="false">SUMIFS(الريسبي!$C$2:$C$1800,الريسبي!$A$2:$A$1800,$A24,الريسبي!$B$2:$B$1800,CL$1)</f>
        <v>0</v>
      </c>
    </row>
    <row r="25" customFormat="false" ht="15" hidden="false" customHeight="false" outlineLevel="0" collapsed="false">
      <c r="A25" s="116" t="str">
        <f aca="false">المنيو!B25</f>
        <v>فطيرة سدق حجم اكبر</v>
      </c>
      <c r="B25" s="117" t="n">
        <f aca="false">SUMIFS(الريسبي!$C$2:$C$1800,الريسبي!$A$2:$A$1800,$A25,الريسبي!$B$2:$B$1800,B$1)</f>
        <v>0</v>
      </c>
      <c r="C25" s="117" t="n">
        <f aca="false">SUMIFS(الريسبي!$C$2:$C$1800,الريسبي!$A$2:$A$1800,$A25,الريسبي!$B$2:$B$1800,C$1)</f>
        <v>0</v>
      </c>
      <c r="D25" s="117" t="n">
        <f aca="false">SUMIFS(الريسبي!$C$2:$C$1800,الريسبي!$A$2:$A$1800,$A25,الريسبي!$B$2:$B$1800,D$1)</f>
        <v>1</v>
      </c>
      <c r="E25" s="117" t="n">
        <f aca="false">SUMIFS(الريسبي!$C$2:$C$1800,الريسبي!$A$2:$A$1800,$A25,الريسبي!$B$2:$B$1800,E$1)</f>
        <v>0</v>
      </c>
      <c r="F25" s="117" t="n">
        <f aca="false">SUMIFS(الريسبي!$C$2:$C$1800,الريسبي!$A$2:$A$1800,$A25,الريسبي!$B$2:$B$1800,F$1)</f>
        <v>0</v>
      </c>
      <c r="G25" s="117" t="n">
        <f aca="false">SUMIFS(الريسبي!$C$2:$C$1800,الريسبي!$A$2:$A$1800,$A25,الريسبي!$B$2:$B$1800,G$1)</f>
        <v>0</v>
      </c>
      <c r="H25" s="117" t="n">
        <f aca="false">SUMIFS(الريسبي!$C$2:$C$1800,الريسبي!$A$2:$A$1800,$A25,الريسبي!$B$2:$B$1800,H$1)</f>
        <v>0</v>
      </c>
      <c r="I25" s="117" t="n">
        <f aca="false">SUMIFS(الريسبي!$C$2:$C$1800,الريسبي!$A$2:$A$1800,$A25,الريسبي!$B$2:$B$1800,I$1)</f>
        <v>0</v>
      </c>
      <c r="J25" s="117" t="n">
        <f aca="false">SUMIFS(الريسبي!$C$2:$C$1800,الريسبي!$A$2:$A$1800,$A25,الريسبي!$B$2:$B$1800,J$1)</f>
        <v>1.5</v>
      </c>
      <c r="K25" s="117" t="n">
        <f aca="false">SUMIFS(الريسبي!$C$2:$C$1800,الريسبي!$A$2:$A$1800,$A25,الريسبي!$B$2:$B$1800,K$1)</f>
        <v>0</v>
      </c>
      <c r="L25" s="117" t="n">
        <f aca="false">SUMIFS(الريسبي!$C$2:$C$1800,الريسبي!$A$2:$A$1800,$A25,الريسبي!$B$2:$B$1800,L$1)</f>
        <v>0</v>
      </c>
      <c r="M25" s="117" t="n">
        <f aca="false">SUMIFS(الريسبي!$C$2:$C$1800,الريسبي!$A$2:$A$1800,$A25,الريسبي!$B$2:$B$1800,M$1)</f>
        <v>1</v>
      </c>
      <c r="N25" s="117" t="n">
        <f aca="false">SUMIFS(الريسبي!$C$2:$C$1800,الريسبي!$A$2:$A$1800,$A25,الريسبي!$B$2:$B$1800,N$1)</f>
        <v>0</v>
      </c>
      <c r="O25" s="117" t="n">
        <f aca="false">SUMIFS(الريسبي!$C$2:$C$1800,الريسبي!$A$2:$A$1800,$A25,الريسبي!$B$2:$B$1800,O$1)</f>
        <v>0</v>
      </c>
      <c r="P25" s="117" t="n">
        <f aca="false">SUMIFS(الريسبي!$C$2:$C$1800,الريسبي!$A$2:$A$1800,$A25,الريسبي!$B$2:$B$1800,P$1)</f>
        <v>0</v>
      </c>
      <c r="Q25" s="117" t="n">
        <f aca="false">SUMIFS(الريسبي!$C$2:$C$1800,الريسبي!$A$2:$A$1800,$A25,الريسبي!$B$2:$B$1800,Q$1)</f>
        <v>0</v>
      </c>
      <c r="R25" s="117" t="n">
        <f aca="false">SUMIFS(الريسبي!$C$2:$C$1800,الريسبي!$A$2:$A$1800,$A25,الريسبي!$B$2:$B$1800,R$1)</f>
        <v>0</v>
      </c>
      <c r="S25" s="117" t="n">
        <f aca="false">SUMIFS(الريسبي!$C$2:$C$1800,الريسبي!$A$2:$A$1800,$A25,الريسبي!$B$2:$B$1800,S$1)</f>
        <v>0</v>
      </c>
      <c r="T25" s="117" t="n">
        <f aca="false">SUMIFS(الريسبي!$C$2:$C$1800,الريسبي!$A$2:$A$1800,$A25,الريسبي!$B$2:$B$1800,T$1)</f>
        <v>0</v>
      </c>
      <c r="U25" s="117" t="n">
        <f aca="false">SUMIFS(الريسبي!$C$2:$C$1800,الريسبي!$A$2:$A$1800,$A25,الريسبي!$B$2:$B$1800,U$1)</f>
        <v>0</v>
      </c>
      <c r="V25" s="117" t="n">
        <f aca="false">SUMIFS(الريسبي!$C$2:$C$1800,الريسبي!$A$2:$A$1800,$A25,الريسبي!$B$2:$B$1800,V$1)+1.5*(SUMIFS(الريسبي!$C$2:$C$1800,الريسبي!$A$2:$A$1800,$A25,الريسبي!$B$2:$B$1800,"برسيون موتزريلا بيتزا كبير"))</f>
        <v>0</v>
      </c>
      <c r="W25" s="117" t="n">
        <f aca="false">0</f>
        <v>0</v>
      </c>
      <c r="X25" s="117" t="n">
        <f aca="false">SUMIFS(الريسبي!$C$2:$C$1800,الريسبي!$A$2:$A$1800,$A25,الريسبي!$B$2:$B$1800,X$1)+1.5*(SUMIFS(الريسبي!$C$2:$C$1800,الريسبي!$A$2:$A$1800,$A25,الريسبي!$B$2:$B$1800,"برسيون موتزريلا فطير كبير"))</f>
        <v>1.5</v>
      </c>
      <c r="Y25" s="117" t="n">
        <f aca="false">0</f>
        <v>0</v>
      </c>
      <c r="Z25" s="117" t="n">
        <f aca="false">SUMIFS(الريسبي!$C$2:$C$1800,الريسبي!$A$2:$A$1800,$A25,الريسبي!$B$2:$B$1800,Z$1)</f>
        <v>0</v>
      </c>
      <c r="AA25" s="117" t="n">
        <f aca="false">SUMIFS(الريسبي!$C$2:$C$1800,الريسبي!$A$2:$A$1800,$A25,الريسبي!$B$2:$B$1800,AA$1)</f>
        <v>0</v>
      </c>
      <c r="AB25" s="117" t="n">
        <f aca="false">SUMIFS(الريسبي!$C$2:$C$1800,الريسبي!$A$2:$A$1800,$A25,الريسبي!$B$2:$B$1800,AB$1)</f>
        <v>0</v>
      </c>
      <c r="AC25" s="117" t="n">
        <f aca="false">SUMIFS(الريسبي!$C$2:$C$1800,الريسبي!$A$2:$A$1800,$A25,الريسبي!$B$2:$B$1800,AC$1)</f>
        <v>0</v>
      </c>
      <c r="AD25" s="117" t="n">
        <f aca="false">SUMIFS(الريسبي!$C$2:$C$1800,الريسبي!$A$2:$A$1800,$A25,الريسبي!$B$2:$B$1800,AD$1)</f>
        <v>0</v>
      </c>
      <c r="AE25" s="117" t="n">
        <f aca="false">SUMIFS(الريسبي!$C$2:$C$1800,الريسبي!$A$2:$A$1800,$A25,الريسبي!$B$2:$B$1800,AE$1)</f>
        <v>0</v>
      </c>
      <c r="AF25" s="117" t="n">
        <f aca="false">SUMIFS(الريسبي!$C$2:$C$1800,الريسبي!$A$2:$A$1800,$A25,الريسبي!$B$2:$B$1800,AF$1)</f>
        <v>0</v>
      </c>
      <c r="AG25" s="117" t="n">
        <f aca="false">SUMIFS(الريسبي!$C$2:$C$1800,الريسبي!$A$2:$A$1800,$A25,الريسبي!$B$2:$B$1800,AG$1)</f>
        <v>0</v>
      </c>
      <c r="AH25" s="117" t="n">
        <f aca="false">SUMIFS(الريسبي!$C$2:$C$1800,الريسبي!$A$2:$A$1800,$A25,الريسبي!$B$2:$B$1800,AH$1)</f>
        <v>0</v>
      </c>
      <c r="AI25" s="117" t="n">
        <f aca="false">SUMIFS(الريسبي!$C$2:$C$1800,الريسبي!$A$2:$A$1800,$A25,الريسبي!$B$2:$B$1800,AI$1)</f>
        <v>0</v>
      </c>
      <c r="AJ25" s="117" t="n">
        <f aca="false">SUMIFS(الريسبي!$C$2:$C$1800,الريسبي!$A$2:$A$1800,$A25,الريسبي!$B$2:$B$1800,AJ$1)</f>
        <v>2</v>
      </c>
      <c r="AK25" s="117" t="n">
        <f aca="false">SUMIFS(الريسبي!$C$2:$C$1800,الريسبي!$A$2:$A$1800,$A25,الريسبي!$B$2:$B$1800,AK$1)</f>
        <v>0</v>
      </c>
      <c r="AL25" s="117" t="n">
        <f aca="false">SUMIFS(الريسبي!$C$2:$C$1800,الريسبي!$A$2:$A$1800,$A25,الريسبي!$B$2:$B$1800,AL$1)</f>
        <v>0</v>
      </c>
      <c r="AM25" s="117" t="n">
        <f aca="false">SUMIFS(الريسبي!$C$2:$C$1800,الريسبي!$A$2:$A$1800,$A25,الريسبي!$B$2:$B$1800,AM$1)+0.08333333333*SUMIFS(الريسبي!$C$2:$C$1800,الريسبي!$A$2:$A$1800,$A25,الريسبي!$B$2:$B$1800,"عجين كريب (مصنع بالمطعم)")+0.08333333333*SUMIFS(الريسبي!$C$2:$C$1800,الريسبي!$A$2:$A$1800,$A25,الريسبي!$B$2:$B$1800,"عجين كريب صيامي (بدون لبن)")</f>
        <v>0</v>
      </c>
      <c r="AN25" s="117" t="n">
        <f aca="false">SUMIFS(الريسبي!$C$2:$C$1800,الريسبي!$A$2:$A$1800,$A25,الريسبي!$B$2:$B$1800,AN$1)+0.004166666667*SUMIFS(الريسبي!$C$2:$C$1800,الريسبي!$A$2:$A$1800,$A25,الريسبي!$B$2:$B$1800,"عجين كريب (مصنع بالمطعم)")+0.004166666667*SUMIFS(الريسبي!$C$2:$C$1800,الريسبي!$A$2:$A$1800,$A25,الريسبي!$B$2:$B$1800,"عجين كريب صيامي (بدون لبن)")</f>
        <v>0</v>
      </c>
      <c r="AO25" s="117" t="n">
        <f aca="false">SUMIFS(الريسبي!$C$2:$C$1800,الريسبي!$A$2:$A$1800,$A25,الريسبي!$B$2:$B$1800,AO$1)</f>
        <v>0</v>
      </c>
      <c r="AP25" s="117" t="n">
        <f aca="false">SUMIFS(الريسبي!$C$2:$C$1800,الريسبي!$A$2:$A$1800,$A25,الريسبي!$B$2:$B$1800,AP$1)</f>
        <v>0.03</v>
      </c>
      <c r="AQ25" s="117" t="n">
        <f aca="false">SUMIFS(الريسبي!$C$2:$C$1800,الريسبي!$A$2:$A$1800,$A25,الريسبي!$B$2:$B$1800,AQ$1)+0.004166666667*SUMIFS(الريسبي!$C$2:$C$1800,الريسبي!$A$2:$A$1800,$A25,الريسبي!$B$2:$B$1800,"عجين كريب (مصنع بالمطعم)")+0.004166666667*SUMIFS(الريسبي!$C$2:$C$1800,الريسبي!$A$2:$A$1800,$A25,الريسبي!$B$2:$B$1800,"عجين كريب صيامي (بدون لبن)")</f>
        <v>0</v>
      </c>
      <c r="AR25" s="117" t="n">
        <f aca="false">SUMIFS(الريسبي!$C$2:$C$1800,الريسبي!$A$2:$A$1800,$A25,الريسبي!$B$2:$B$1800,AR$1)</f>
        <v>0</v>
      </c>
      <c r="AS25" s="117" t="n">
        <f aca="false">SUMIFS(الريسبي!$C$2:$C$1800,الريسبي!$A$2:$A$1800,$A25,الريسبي!$B$2:$B$1800,AS$1)</f>
        <v>0</v>
      </c>
      <c r="AT25" s="117" t="n">
        <f aca="false">SUMIFS(الريسبي!$C$2:$C$1800,الريسبي!$A$2:$A$1800,$A25,الريسبي!$B$2:$B$1800,AT$1)</f>
        <v>0</v>
      </c>
      <c r="AU25" s="117" t="n">
        <f aca="false">SUMIFS(الريسبي!$C$2:$C$1800,الريسبي!$A$2:$A$1800,$A25,الريسبي!$B$2:$B$1800,AU$1)</f>
        <v>0</v>
      </c>
      <c r="AV25" s="117" t="n">
        <f aca="false">SUMIFS(الريسبي!$C$2:$C$1800,الريسبي!$A$2:$A$1800,$A25,الريسبي!$B$2:$B$1800,AV$1)</f>
        <v>0</v>
      </c>
      <c r="AW25" s="117" t="n">
        <f aca="false">SUMIFS(الريسبي!$C$2:$C$1800,الريسبي!$A$2:$A$1800,$A25,الريسبي!$B$2:$B$1800,AW$1)</f>
        <v>0</v>
      </c>
      <c r="AX25" s="117" t="n">
        <f aca="false">SUMIFS(الريسبي!$C$2:$C$1800,الريسبي!$A$2:$A$1800,$A25,الريسبي!$B$2:$B$1800,AX$1)</f>
        <v>0</v>
      </c>
      <c r="AY25" s="117" t="n">
        <f aca="false">SUMIFS(الريسبي!$C$2:$C$1800,الريسبي!$A$2:$A$1800,$A25,الريسبي!$B$2:$B$1800,AY$1)</f>
        <v>0</v>
      </c>
      <c r="AZ25" s="117" t="n">
        <f aca="false">SUMIFS(الريسبي!$C$2:$C$1800,الريسبي!$A$2:$A$1800,$A25,الريسبي!$B$2:$B$1800,AZ$1)</f>
        <v>0</v>
      </c>
      <c r="BA25" s="117" t="n">
        <f aca="false">SUMIFS(الريسبي!$C$2:$C$1800,الريسبي!$A$2:$A$1800,$A25,الريسبي!$B$2:$B$1800,BA$1)</f>
        <v>0</v>
      </c>
      <c r="BB25" s="117" t="n">
        <f aca="false">SUMIFS(الريسبي!$C$2:$C$1800,الريسبي!$A$2:$A$1800,$A25,الريسبي!$B$2:$B$1800,BB$1)</f>
        <v>0</v>
      </c>
      <c r="BC25" s="117" t="n">
        <f aca="false">SUMIFS(الريسبي!$C$2:$C$1800,الريسبي!$A$2:$A$1800,$A25,الريسبي!$B$2:$B$1800,BC$1)</f>
        <v>0.045</v>
      </c>
      <c r="BD25" s="117" t="n">
        <f aca="false">SUMIFS(الريسبي!$C$2:$C$1800,الريسبي!$A$2:$A$1800,$A25,الريسبي!$B$2:$B$1800,BD$1)</f>
        <v>0</v>
      </c>
      <c r="BE25" s="117" t="n">
        <f aca="false">SUMIFS(الريسبي!$C$2:$C$1800,الريسبي!$A$2:$A$1800,$A25,الريسبي!$B$2:$B$1800,BE$1)</f>
        <v>1.5</v>
      </c>
      <c r="BF25" s="117" t="n">
        <f aca="false">SUMIFS(الريسبي!$C$2:$C$1800,الريسبي!$A$2:$A$1800,$A25,الريسبي!$B$2:$B$1800,BF$1)</f>
        <v>0</v>
      </c>
      <c r="BG25" s="117" t="n">
        <f aca="false">SUMIFS(الريسبي!$C$2:$C$1800,الريسبي!$A$2:$A$1800,$A25,الريسبي!$B$2:$B$1800,BG$1)</f>
        <v>1</v>
      </c>
      <c r="BH25" s="117" t="n">
        <f aca="false">SUMIFS(الريسبي!$C$2:$C$1800,الريسبي!$A$2:$A$1800,$A25,الريسبي!$B$2:$B$1800,BH$1)</f>
        <v>0</v>
      </c>
      <c r="BI25" s="117" t="n">
        <f aca="false">SUMIFS(الريسبي!$C$2:$C$1800,الريسبي!$A$2:$A$1800,$A25,الريسبي!$B$2:$B$1800,BI$1)</f>
        <v>0</v>
      </c>
      <c r="BJ25" s="117" t="n">
        <f aca="false">SUMIFS(الريسبي!$C$2:$C$1800,الريسبي!$A$2:$A$1800,$A25,الريسبي!$B$2:$B$1800,BJ$1)</f>
        <v>0</v>
      </c>
      <c r="BK25" s="117" t="n">
        <f aca="false">SUMIFS(الريسبي!$C$2:$C$1800,الريسبي!$A$2:$A$1800,$A25,الريسبي!$B$2:$B$1800,BK$1)</f>
        <v>0</v>
      </c>
      <c r="BL25" s="117" t="n">
        <f aca="false">SUMIFS(الريسبي!$C$2:$C$1800,الريسبي!$A$2:$A$1800,$A25,الريسبي!$B$2:$B$1800,BL$1)</f>
        <v>0</v>
      </c>
      <c r="BM25" s="117" t="n">
        <f aca="false">SUMIFS(الريسبي!$C$2:$C$1800,الريسبي!$A$2:$A$1800,$A25,الريسبي!$B$2:$B$1800,BM$1)</f>
        <v>0</v>
      </c>
      <c r="BN25" s="117" t="n">
        <f aca="false">SUMIFS(الريسبي!$C$2:$C$1800,الريسبي!$A$2:$A$1800,$A25,الريسبي!$B$2:$B$1800,BN$1)</f>
        <v>0.03</v>
      </c>
      <c r="BO25" s="117" t="n">
        <f aca="false">SUMIFS(الريسبي!$C$2:$C$1800,الريسبي!$A$2:$A$1800,$A25,الريسبي!$B$2:$B$1800,BO$1)</f>
        <v>0</v>
      </c>
      <c r="BP25" s="117" t="n">
        <f aca="false">SUMIFS(الريسبي!$C$2:$C$1800,الريسبي!$A$2:$A$1800,$A25,الريسبي!$B$2:$B$1800,BP$1)</f>
        <v>3</v>
      </c>
      <c r="BQ25" s="117" t="n">
        <f aca="false">SUMIFS(الريسبي!$C$2:$C$1800,الريسبي!$A$2:$A$1800,$A25,الريسبي!$B$2:$B$1800,BQ$1)+0.17*SUMIFS(الريسبي!$C$2:$C$1800,الريسبي!$A$2:$A$1800,$A25,الريسبي!$B$2:$B$1800,"كاسترد مصنع (خليط بودر + لبن)")+0.17*SUMIFS(الريسبي!$C$2:$C$1800,الريسبي!$A$2:$A$1800,$A25,الريسبي!$B$2:$B$1800,"كاسترد مصنع صيامي (بدون لبن)")</f>
        <v>0</v>
      </c>
      <c r="BR25" s="117" t="n">
        <f aca="false">SUMIFS(الريسبي!$C$2:$C$1800,الريسبي!$A$2:$A$1800,$A25,الريسبي!$B$2:$B$1800,BR$1)</f>
        <v>1</v>
      </c>
      <c r="BS25" s="117" t="n">
        <f aca="false">SUMIFS(الريسبي!$C$2:$C$1800,الريسبي!$A$2:$A$1800,$A25,الريسبي!$B$2:$B$1800,BS$1)</f>
        <v>0</v>
      </c>
      <c r="BT25" s="117" t="n">
        <f aca="false">SUMIFS(الريسبي!$C$2:$C$1800,الريسبي!$A$2:$A$1800,$A25,الريسبي!$B$2:$B$1800,BT$1)</f>
        <v>0</v>
      </c>
      <c r="BU25" s="117" t="n">
        <f aca="false">SUMIFS(الريسبي!$C$2:$C$1800,الريسبي!$A$2:$A$1800,$A25,الريسبي!$B$2:$B$1800,BU$1)+0.4*SUMIFS(الريسبي!$C$2:$C$1800,الريسبي!$A$2:$A$1800,$A25,الريسبي!$B$2:$B$1800,"كاسترد مصنع (خليط بودر + لبن)")+0.03333333333*SUMIFS(الريسبي!$C$2:$C$1800,الريسبي!$A$2:$A$1800,$A25,الريسبي!$B$2:$B$1800,"عجين كريب (مصنع بالمطعم)")</f>
        <v>0</v>
      </c>
      <c r="BV25" s="117" t="n">
        <f aca="false">SUMIFS(الريسبي!$C$2:$C$1800,الريسبي!$A$2:$A$1800,$A25,الريسبي!$B$2:$B$1800,BV$1)</f>
        <v>0</v>
      </c>
      <c r="BW25" s="117" t="n">
        <f aca="false">SUMIFS(الريسبي!$C$2:$C$1800,الريسبي!$A$2:$A$1800,$A25,الريسبي!$B$2:$B$1800,BW$1)</f>
        <v>0</v>
      </c>
      <c r="BX25" s="117" t="n">
        <f aca="false">SUMIFS(الريسبي!$C$2:$C$1800,الريسبي!$A$2:$A$1800,$A25,الريسبي!$B$2:$B$1800,BX$1)</f>
        <v>0</v>
      </c>
      <c r="BY25" s="117" t="n">
        <f aca="false">SUMIFS(الريسبي!$C$2:$C$1800,الريسبي!$A$2:$A$1800,$A25,الريسبي!$B$2:$B$1800,BY$1)</f>
        <v>0</v>
      </c>
      <c r="BZ25" s="117" t="n">
        <f aca="false">SUMIFS(الريسبي!$C$2:$C$1800,الريسبي!$A$2:$A$1800,$A25,الريسبي!$B$2:$B$1800,BZ$1)</f>
        <v>0</v>
      </c>
      <c r="CA25" s="117" t="n">
        <f aca="false">SUMIFS(الريسبي!$C$2:$C$1800,الريسبي!$A$2:$A$1800,$A25,الريسبي!$B$2:$B$1800,CA$1)</f>
        <v>1</v>
      </c>
      <c r="CB25" s="117" t="n">
        <f aca="false">SUMIFS(الريسبي!$C$2:$C$1800,الريسبي!$A$2:$A$1800,$A25,الريسبي!$B$2:$B$1800,CB$1)</f>
        <v>1</v>
      </c>
      <c r="CC25" s="117" t="n">
        <f aca="false">SUMIFS(الريسبي!$C$2:$C$1800,الريسبي!$A$2:$A$1800,$A25,الريسبي!$B$2:$B$1800,CC$1)</f>
        <v>0</v>
      </c>
      <c r="CD25" s="117" t="n">
        <f aca="false">SUMIFS(الريسبي!$C$2:$C$1800,الريسبي!$A$2:$A$1800,$A25,الريسبي!$B$2:$B$1800,CD$1)</f>
        <v>0</v>
      </c>
      <c r="CE25" s="117" t="n">
        <f aca="false">SUMIFS(الريسبي!$C$2:$C$1800,الريسبي!$A$2:$A$1800,$A25,الريسبي!$B$2:$B$1800,CE$1)</f>
        <v>0</v>
      </c>
      <c r="CF25" s="117" t="n">
        <f aca="false">SUMIFS(الريسبي!$C$2:$C$1800,الريسبي!$A$2:$A$1800,$A25,الريسبي!$B$2:$B$1800,CF$1)</f>
        <v>0</v>
      </c>
      <c r="CG25" s="117" t="n">
        <f aca="false">SUMIFS(الريسبي!$C$2:$C$1800,الريسبي!$A$2:$A$1800,$A25,الريسبي!$B$2:$B$1800,CG$1)</f>
        <v>0</v>
      </c>
      <c r="CH25" s="117" t="n">
        <f aca="false">SUMIFS(الريسبي!$C$2:$C$1800,الريسبي!$A$2:$A$1800,$A25,الريسبي!$B$2:$B$1800,CH$1)</f>
        <v>0</v>
      </c>
      <c r="CI25" s="117" t="n">
        <f aca="false">SUMIFS(الريسبي!$C$2:$C$1800,الريسبي!$A$2:$A$1800,$A25,الريسبي!$B$2:$B$1800,CI$1)</f>
        <v>0</v>
      </c>
      <c r="CJ25" s="117" t="n">
        <f aca="false">SUMIFS(الريسبي!$C$2:$C$1800,الريسبي!$A$2:$A$1800,$A25,الريسبي!$B$2:$B$1800,CJ$1)</f>
        <v>0</v>
      </c>
      <c r="CK25" s="117" t="n">
        <f aca="false">SUMIFS(الريسبي!$C$2:$C$1800,الريسبي!$A$2:$A$1800,$A25,الريسبي!$B$2:$B$1800,CK$1)</f>
        <v>0</v>
      </c>
      <c r="CL25" s="117" t="n">
        <f aca="false">SUMIFS(الريسبي!$C$2:$C$1800,الريسبي!$A$2:$A$1800,$A25,الريسبي!$B$2:$B$1800,CL$1)</f>
        <v>0</v>
      </c>
    </row>
    <row r="26" customFormat="false" ht="15" hidden="false" customHeight="false" outlineLevel="0" collapsed="false">
      <c r="A26" s="116" t="str">
        <f aca="false">المنيو!B26</f>
        <v>فطيرة بسطرمة وسط</v>
      </c>
      <c r="B26" s="117" t="n">
        <f aca="false">SUMIFS(الريسبي!$C$2:$C$1800,الريسبي!$A$2:$A$1800,$A26,الريسبي!$B$2:$B$1800,B$1)</f>
        <v>0</v>
      </c>
      <c r="C26" s="117" t="n">
        <f aca="false">SUMIFS(الريسبي!$C$2:$C$1800,الريسبي!$A$2:$A$1800,$A26,الريسبي!$B$2:$B$1800,C$1)</f>
        <v>0</v>
      </c>
      <c r="D26" s="117" t="n">
        <f aca="false">SUMIFS(الريسبي!$C$2:$C$1800,الريسبي!$A$2:$A$1800,$A26,الريسبي!$B$2:$B$1800,D$1)</f>
        <v>1</v>
      </c>
      <c r="E26" s="117" t="n">
        <f aca="false">SUMIFS(الريسبي!$C$2:$C$1800,الريسبي!$A$2:$A$1800,$A26,الريسبي!$B$2:$B$1800,E$1)</f>
        <v>0</v>
      </c>
      <c r="F26" s="117" t="n">
        <f aca="false">SUMIFS(الريسبي!$C$2:$C$1800,الريسبي!$A$2:$A$1800,$A26,الريسبي!$B$2:$B$1800,F$1)</f>
        <v>0</v>
      </c>
      <c r="G26" s="117" t="n">
        <f aca="false">SUMIFS(الريسبي!$C$2:$C$1800,الريسبي!$A$2:$A$1800,$A26,الريسبي!$B$2:$B$1800,G$1)</f>
        <v>1</v>
      </c>
      <c r="H26" s="117" t="n">
        <f aca="false">SUMIFS(الريسبي!$C$2:$C$1800,الريسبي!$A$2:$A$1800,$A26,الريسبي!$B$2:$B$1800,H$1)</f>
        <v>0</v>
      </c>
      <c r="I26" s="117" t="n">
        <f aca="false">SUMIFS(الريسبي!$C$2:$C$1800,الريسبي!$A$2:$A$1800,$A26,الريسبي!$B$2:$B$1800,I$1)</f>
        <v>0</v>
      </c>
      <c r="J26" s="117" t="n">
        <f aca="false">SUMIFS(الريسبي!$C$2:$C$1800,الريسبي!$A$2:$A$1800,$A26,الريسبي!$B$2:$B$1800,J$1)</f>
        <v>0</v>
      </c>
      <c r="K26" s="117" t="n">
        <f aca="false">SUMIFS(الريسبي!$C$2:$C$1800,الريسبي!$A$2:$A$1800,$A26,الريسبي!$B$2:$B$1800,K$1)</f>
        <v>0</v>
      </c>
      <c r="L26" s="117" t="n">
        <f aca="false">SUMIFS(الريسبي!$C$2:$C$1800,الريسبي!$A$2:$A$1800,$A26,الريسبي!$B$2:$B$1800,L$1)</f>
        <v>0</v>
      </c>
      <c r="M26" s="117" t="n">
        <f aca="false">SUMIFS(الريسبي!$C$2:$C$1800,الريسبي!$A$2:$A$1800,$A26,الريسبي!$B$2:$B$1800,M$1)</f>
        <v>0</v>
      </c>
      <c r="N26" s="117" t="n">
        <f aca="false">SUMIFS(الريسبي!$C$2:$C$1800,الريسبي!$A$2:$A$1800,$A26,الريسبي!$B$2:$B$1800,N$1)</f>
        <v>0</v>
      </c>
      <c r="O26" s="117" t="n">
        <f aca="false">SUMIFS(الريسبي!$C$2:$C$1800,الريسبي!$A$2:$A$1800,$A26,الريسبي!$B$2:$B$1800,O$1)</f>
        <v>0</v>
      </c>
      <c r="P26" s="117" t="n">
        <f aca="false">SUMIFS(الريسبي!$C$2:$C$1800,الريسبي!$A$2:$A$1800,$A26,الريسبي!$B$2:$B$1800,P$1)</f>
        <v>0</v>
      </c>
      <c r="Q26" s="117" t="n">
        <f aca="false">SUMIFS(الريسبي!$C$2:$C$1800,الريسبي!$A$2:$A$1800,$A26,الريسبي!$B$2:$B$1800,Q$1)</f>
        <v>0</v>
      </c>
      <c r="R26" s="117" t="n">
        <f aca="false">SUMIFS(الريسبي!$C$2:$C$1800,الريسبي!$A$2:$A$1800,$A26,الريسبي!$B$2:$B$1800,R$1)</f>
        <v>0</v>
      </c>
      <c r="S26" s="117" t="n">
        <f aca="false">SUMIFS(الريسبي!$C$2:$C$1800,الريسبي!$A$2:$A$1800,$A26,الريسبي!$B$2:$B$1800,S$1)</f>
        <v>0</v>
      </c>
      <c r="T26" s="117" t="n">
        <f aca="false">SUMIFS(الريسبي!$C$2:$C$1800,الريسبي!$A$2:$A$1800,$A26,الريسبي!$B$2:$B$1800,T$1)</f>
        <v>0</v>
      </c>
      <c r="U26" s="117" t="n">
        <f aca="false">SUMIFS(الريسبي!$C$2:$C$1800,الريسبي!$A$2:$A$1800,$A26,الريسبي!$B$2:$B$1800,U$1)</f>
        <v>0</v>
      </c>
      <c r="V26" s="117" t="n">
        <f aca="false">SUMIFS(الريسبي!$C$2:$C$1800,الريسبي!$A$2:$A$1800,$A26,الريسبي!$B$2:$B$1800,V$1)+1.5*(SUMIFS(الريسبي!$C$2:$C$1800,الريسبي!$A$2:$A$1800,$A26,الريسبي!$B$2:$B$1800,"برسيون موتزريلا بيتزا كبير"))</f>
        <v>0</v>
      </c>
      <c r="W26" s="117" t="n">
        <f aca="false">0</f>
        <v>0</v>
      </c>
      <c r="X26" s="117" t="n">
        <f aca="false">SUMIFS(الريسبي!$C$2:$C$1800,الريسبي!$A$2:$A$1800,$A26,الريسبي!$B$2:$B$1800,X$1)+1.5*(SUMIFS(الريسبي!$C$2:$C$1800,الريسبي!$A$2:$A$1800,$A26,الريسبي!$B$2:$B$1800,"برسيون موتزريلا فطير كبير"))</f>
        <v>1</v>
      </c>
      <c r="Y26" s="117" t="n">
        <f aca="false">0</f>
        <v>0</v>
      </c>
      <c r="Z26" s="117" t="n">
        <f aca="false">SUMIFS(الريسبي!$C$2:$C$1800,الريسبي!$A$2:$A$1800,$A26,الريسبي!$B$2:$B$1800,Z$1)</f>
        <v>0</v>
      </c>
      <c r="AA26" s="117" t="n">
        <f aca="false">SUMIFS(الريسبي!$C$2:$C$1800,الريسبي!$A$2:$A$1800,$A26,الريسبي!$B$2:$B$1800,AA$1)</f>
        <v>0</v>
      </c>
      <c r="AB26" s="117" t="n">
        <f aca="false">SUMIFS(الريسبي!$C$2:$C$1800,الريسبي!$A$2:$A$1800,$A26,الريسبي!$B$2:$B$1800,AB$1)</f>
        <v>0</v>
      </c>
      <c r="AC26" s="117" t="n">
        <f aca="false">SUMIFS(الريسبي!$C$2:$C$1800,الريسبي!$A$2:$A$1800,$A26,الريسبي!$B$2:$B$1800,AC$1)</f>
        <v>0</v>
      </c>
      <c r="AD26" s="117" t="n">
        <f aca="false">SUMIFS(الريسبي!$C$2:$C$1800,الريسبي!$A$2:$A$1800,$A26,الريسبي!$B$2:$B$1800,AD$1)</f>
        <v>0</v>
      </c>
      <c r="AE26" s="117" t="n">
        <f aca="false">SUMIFS(الريسبي!$C$2:$C$1800,الريسبي!$A$2:$A$1800,$A26,الريسبي!$B$2:$B$1800,AE$1)</f>
        <v>0</v>
      </c>
      <c r="AF26" s="117" t="n">
        <f aca="false">SUMIFS(الريسبي!$C$2:$C$1800,الريسبي!$A$2:$A$1800,$A26,الريسبي!$B$2:$B$1800,AF$1)</f>
        <v>0</v>
      </c>
      <c r="AG26" s="117" t="n">
        <f aca="false">SUMIFS(الريسبي!$C$2:$C$1800,الريسبي!$A$2:$A$1800,$A26,الريسبي!$B$2:$B$1800,AG$1)</f>
        <v>0</v>
      </c>
      <c r="AH26" s="117" t="n">
        <f aca="false">SUMIFS(الريسبي!$C$2:$C$1800,الريسبي!$A$2:$A$1800,$A26,الريسبي!$B$2:$B$1800,AH$1)</f>
        <v>0</v>
      </c>
      <c r="AI26" s="117" t="n">
        <f aca="false">SUMIFS(الريسبي!$C$2:$C$1800,الريسبي!$A$2:$A$1800,$A26,الريسبي!$B$2:$B$1800,AI$1)</f>
        <v>0</v>
      </c>
      <c r="AJ26" s="117" t="n">
        <f aca="false">SUMIFS(الريسبي!$C$2:$C$1800,الريسبي!$A$2:$A$1800,$A26,الريسبي!$B$2:$B$1800,AJ$1)</f>
        <v>2</v>
      </c>
      <c r="AK26" s="117" t="n">
        <f aca="false">SUMIFS(الريسبي!$C$2:$C$1800,الريسبي!$A$2:$A$1800,$A26,الريسبي!$B$2:$B$1800,AK$1)</f>
        <v>0</v>
      </c>
      <c r="AL26" s="117" t="n">
        <f aca="false">SUMIFS(الريسبي!$C$2:$C$1800,الريسبي!$A$2:$A$1800,$A26,الريسبي!$B$2:$B$1800,AL$1)</f>
        <v>0</v>
      </c>
      <c r="AM26" s="117" t="n">
        <f aca="false">SUMIFS(الريسبي!$C$2:$C$1800,الريسبي!$A$2:$A$1800,$A26,الريسبي!$B$2:$B$1800,AM$1)+0.08333333333*SUMIFS(الريسبي!$C$2:$C$1800,الريسبي!$A$2:$A$1800,$A26,الريسبي!$B$2:$B$1800,"عجين كريب (مصنع بالمطعم)")+0.08333333333*SUMIFS(الريسبي!$C$2:$C$1800,الريسبي!$A$2:$A$1800,$A26,الريسبي!$B$2:$B$1800,"عجين كريب صيامي (بدون لبن)")</f>
        <v>0</v>
      </c>
      <c r="AN26" s="117" t="n">
        <f aca="false">SUMIFS(الريسبي!$C$2:$C$1800,الريسبي!$A$2:$A$1800,$A26,الريسبي!$B$2:$B$1800,AN$1)+0.004166666667*SUMIFS(الريسبي!$C$2:$C$1800,الريسبي!$A$2:$A$1800,$A26,الريسبي!$B$2:$B$1800,"عجين كريب (مصنع بالمطعم)")+0.004166666667*SUMIFS(الريسبي!$C$2:$C$1800,الريسبي!$A$2:$A$1800,$A26,الريسبي!$B$2:$B$1800,"عجين كريب صيامي (بدون لبن)")</f>
        <v>0</v>
      </c>
      <c r="AO26" s="117" t="n">
        <f aca="false">SUMIFS(الريسبي!$C$2:$C$1800,الريسبي!$A$2:$A$1800,$A26,الريسبي!$B$2:$B$1800,AO$1)</f>
        <v>0</v>
      </c>
      <c r="AP26" s="117" t="n">
        <f aca="false">SUMIFS(الريسبي!$C$2:$C$1800,الريسبي!$A$2:$A$1800,$A26,الريسبي!$B$2:$B$1800,AP$1)</f>
        <v>0.02</v>
      </c>
      <c r="AQ26" s="117" t="n">
        <f aca="false">SUMIFS(الريسبي!$C$2:$C$1800,الريسبي!$A$2:$A$1800,$A26,الريسبي!$B$2:$B$1800,AQ$1)+0.004166666667*SUMIFS(الريسبي!$C$2:$C$1800,الريسبي!$A$2:$A$1800,$A26,الريسبي!$B$2:$B$1800,"عجين كريب (مصنع بالمطعم)")+0.004166666667*SUMIFS(الريسبي!$C$2:$C$1800,الريسبي!$A$2:$A$1800,$A26,الريسبي!$B$2:$B$1800,"عجين كريب صيامي (بدون لبن)")</f>
        <v>0</v>
      </c>
      <c r="AR26" s="117" t="n">
        <f aca="false">SUMIFS(الريسبي!$C$2:$C$1800,الريسبي!$A$2:$A$1800,$A26,الريسبي!$B$2:$B$1800,AR$1)</f>
        <v>0</v>
      </c>
      <c r="AS26" s="117" t="n">
        <f aca="false">SUMIFS(الريسبي!$C$2:$C$1800,الريسبي!$A$2:$A$1800,$A26,الريسبي!$B$2:$B$1800,AS$1)</f>
        <v>0</v>
      </c>
      <c r="AT26" s="117" t="n">
        <f aca="false">SUMIFS(الريسبي!$C$2:$C$1800,الريسبي!$A$2:$A$1800,$A26,الريسبي!$B$2:$B$1800,AT$1)</f>
        <v>0</v>
      </c>
      <c r="AU26" s="117" t="n">
        <f aca="false">SUMIFS(الريسبي!$C$2:$C$1800,الريسبي!$A$2:$A$1800,$A26,الريسبي!$B$2:$B$1800,AU$1)</f>
        <v>0</v>
      </c>
      <c r="AV26" s="117" t="n">
        <f aca="false">SUMIFS(الريسبي!$C$2:$C$1800,الريسبي!$A$2:$A$1800,$A26,الريسبي!$B$2:$B$1800,AV$1)</f>
        <v>0</v>
      </c>
      <c r="AW26" s="117" t="n">
        <f aca="false">SUMIFS(الريسبي!$C$2:$C$1800,الريسبي!$A$2:$A$1800,$A26,الريسبي!$B$2:$B$1800,AW$1)</f>
        <v>0</v>
      </c>
      <c r="AX26" s="117" t="n">
        <f aca="false">SUMIFS(الريسبي!$C$2:$C$1800,الريسبي!$A$2:$A$1800,$A26,الريسبي!$B$2:$B$1800,AX$1)</f>
        <v>0</v>
      </c>
      <c r="AY26" s="117" t="n">
        <f aca="false">SUMIFS(الريسبي!$C$2:$C$1800,الريسبي!$A$2:$A$1800,$A26,الريسبي!$B$2:$B$1800,AY$1)</f>
        <v>0</v>
      </c>
      <c r="AZ26" s="117" t="n">
        <f aca="false">SUMIFS(الريسبي!$C$2:$C$1800,الريسبي!$A$2:$A$1800,$A26,الريسبي!$B$2:$B$1800,AZ$1)</f>
        <v>0</v>
      </c>
      <c r="BA26" s="117" t="n">
        <f aca="false">SUMIFS(الريسبي!$C$2:$C$1800,الريسبي!$A$2:$A$1800,$A26,الريسبي!$B$2:$B$1800,BA$1)</f>
        <v>0</v>
      </c>
      <c r="BB26" s="117" t="n">
        <f aca="false">SUMIFS(الريسبي!$C$2:$C$1800,الريسبي!$A$2:$A$1800,$A26,الريسبي!$B$2:$B$1800,BB$1)</f>
        <v>0</v>
      </c>
      <c r="BC26" s="117" t="n">
        <f aca="false">SUMIFS(الريسبي!$C$2:$C$1800,الريسبي!$A$2:$A$1800,$A26,الريسبي!$B$2:$B$1800,BC$1)</f>
        <v>0.03</v>
      </c>
      <c r="BD26" s="117" t="n">
        <f aca="false">SUMIFS(الريسبي!$C$2:$C$1800,الريسبي!$A$2:$A$1800,$A26,الريسبي!$B$2:$B$1800,BD$1)</f>
        <v>0</v>
      </c>
      <c r="BE26" s="117" t="n">
        <f aca="false">SUMIFS(الريسبي!$C$2:$C$1800,الريسبي!$A$2:$A$1800,$A26,الريسبي!$B$2:$B$1800,BE$1)</f>
        <v>1</v>
      </c>
      <c r="BF26" s="117" t="n">
        <f aca="false">SUMIFS(الريسبي!$C$2:$C$1800,الريسبي!$A$2:$A$1800,$A26,الريسبي!$B$2:$B$1800,BF$1)</f>
        <v>0</v>
      </c>
      <c r="BG26" s="117" t="n">
        <f aca="false">SUMIFS(الريسبي!$C$2:$C$1800,الريسبي!$A$2:$A$1800,$A26,الريسبي!$B$2:$B$1800,BG$1)</f>
        <v>0</v>
      </c>
      <c r="BH26" s="117" t="n">
        <f aca="false">SUMIFS(الريسبي!$C$2:$C$1800,الريسبي!$A$2:$A$1800,$A26,الريسبي!$B$2:$B$1800,BH$1)</f>
        <v>1</v>
      </c>
      <c r="BI26" s="117" t="n">
        <f aca="false">SUMIFS(الريسبي!$C$2:$C$1800,الريسبي!$A$2:$A$1800,$A26,الريسبي!$B$2:$B$1800,BI$1)</f>
        <v>0</v>
      </c>
      <c r="BJ26" s="117" t="n">
        <f aca="false">SUMIFS(الريسبي!$C$2:$C$1800,الريسبي!$A$2:$A$1800,$A26,الريسبي!$B$2:$B$1800,BJ$1)</f>
        <v>0</v>
      </c>
      <c r="BK26" s="117" t="n">
        <f aca="false">SUMIFS(الريسبي!$C$2:$C$1800,الريسبي!$A$2:$A$1800,$A26,الريسبي!$B$2:$B$1800,BK$1)</f>
        <v>0</v>
      </c>
      <c r="BL26" s="117" t="n">
        <f aca="false">SUMIFS(الريسبي!$C$2:$C$1800,الريسبي!$A$2:$A$1800,$A26,الريسبي!$B$2:$B$1800,BL$1)</f>
        <v>0</v>
      </c>
      <c r="BM26" s="117" t="n">
        <f aca="false">SUMIFS(الريسبي!$C$2:$C$1800,الريسبي!$A$2:$A$1800,$A26,الريسبي!$B$2:$B$1800,BM$1)</f>
        <v>0</v>
      </c>
      <c r="BN26" s="117" t="n">
        <f aca="false">SUMIFS(الريسبي!$C$2:$C$1800,الريسبي!$A$2:$A$1800,$A26,الريسبي!$B$2:$B$1800,BN$1)</f>
        <v>0.02</v>
      </c>
      <c r="BO26" s="117" t="n">
        <f aca="false">SUMIFS(الريسبي!$C$2:$C$1800,الريسبي!$A$2:$A$1800,$A26,الريسبي!$B$2:$B$1800,BO$1)</f>
        <v>0</v>
      </c>
      <c r="BP26" s="117" t="n">
        <f aca="false">SUMIFS(الريسبي!$C$2:$C$1800,الريسبي!$A$2:$A$1800,$A26,الريسبي!$B$2:$B$1800,BP$1)</f>
        <v>2</v>
      </c>
      <c r="BQ26" s="117" t="n">
        <f aca="false">SUMIFS(الريسبي!$C$2:$C$1800,الريسبي!$A$2:$A$1800,$A26,الريسبي!$B$2:$B$1800,BQ$1)+0.17*SUMIFS(الريسبي!$C$2:$C$1800,الريسبي!$A$2:$A$1800,$A26,الريسبي!$B$2:$B$1800,"كاسترد مصنع (خليط بودر + لبن)")+0.17*SUMIFS(الريسبي!$C$2:$C$1800,الريسبي!$A$2:$A$1800,$A26,الريسبي!$B$2:$B$1800,"كاسترد مصنع صيامي (بدون لبن)")</f>
        <v>0</v>
      </c>
      <c r="BR26" s="117" t="n">
        <f aca="false">SUMIFS(الريسبي!$C$2:$C$1800,الريسبي!$A$2:$A$1800,$A26,الريسبي!$B$2:$B$1800,BR$1)</f>
        <v>1</v>
      </c>
      <c r="BS26" s="117" t="n">
        <f aca="false">SUMIFS(الريسبي!$C$2:$C$1800,الريسبي!$A$2:$A$1800,$A26,الريسبي!$B$2:$B$1800,BS$1)</f>
        <v>0</v>
      </c>
      <c r="BT26" s="117" t="n">
        <f aca="false">SUMIFS(الريسبي!$C$2:$C$1800,الريسبي!$A$2:$A$1800,$A26,الريسبي!$B$2:$B$1800,BT$1)</f>
        <v>0</v>
      </c>
      <c r="BU26" s="117" t="n">
        <f aca="false">SUMIFS(الريسبي!$C$2:$C$1800,الريسبي!$A$2:$A$1800,$A26,الريسبي!$B$2:$B$1800,BU$1)+0.4*SUMIFS(الريسبي!$C$2:$C$1800,الريسبي!$A$2:$A$1800,$A26,الريسبي!$B$2:$B$1800,"كاسترد مصنع (خليط بودر + لبن)")+0.03333333333*SUMIFS(الريسبي!$C$2:$C$1800,الريسبي!$A$2:$A$1800,$A26,الريسبي!$B$2:$B$1800,"عجين كريب (مصنع بالمطعم)")</f>
        <v>0</v>
      </c>
      <c r="BV26" s="117" t="n">
        <f aca="false">SUMIFS(الريسبي!$C$2:$C$1800,الريسبي!$A$2:$A$1800,$A26,الريسبي!$B$2:$B$1800,BV$1)</f>
        <v>0</v>
      </c>
      <c r="BW26" s="117" t="n">
        <f aca="false">SUMIFS(الريسبي!$C$2:$C$1800,الريسبي!$A$2:$A$1800,$A26,الريسبي!$B$2:$B$1800,BW$1)</f>
        <v>0</v>
      </c>
      <c r="BX26" s="117" t="n">
        <f aca="false">SUMIFS(الريسبي!$C$2:$C$1800,الريسبي!$A$2:$A$1800,$A26,الريسبي!$B$2:$B$1800,BX$1)</f>
        <v>0</v>
      </c>
      <c r="BY26" s="117" t="n">
        <f aca="false">SUMIFS(الريسبي!$C$2:$C$1800,الريسبي!$A$2:$A$1800,$A26,الريسبي!$B$2:$B$1800,BY$1)</f>
        <v>0</v>
      </c>
      <c r="BZ26" s="117" t="n">
        <f aca="false">SUMIFS(الريسبي!$C$2:$C$1800,الريسبي!$A$2:$A$1800,$A26,الريسبي!$B$2:$B$1800,BZ$1)</f>
        <v>0</v>
      </c>
      <c r="CA26" s="117" t="n">
        <f aca="false">SUMIFS(الريسبي!$C$2:$C$1800,الريسبي!$A$2:$A$1800,$A26,الريسبي!$B$2:$B$1800,CA$1)</f>
        <v>1</v>
      </c>
      <c r="CB26" s="117" t="n">
        <f aca="false">SUMIFS(الريسبي!$C$2:$C$1800,الريسبي!$A$2:$A$1800,$A26,الريسبي!$B$2:$B$1800,CB$1)</f>
        <v>1</v>
      </c>
      <c r="CC26" s="117" t="n">
        <f aca="false">SUMIFS(الريسبي!$C$2:$C$1800,الريسبي!$A$2:$A$1800,$A26,الريسبي!$B$2:$B$1800,CC$1)</f>
        <v>0</v>
      </c>
      <c r="CD26" s="117" t="n">
        <f aca="false">SUMIFS(الريسبي!$C$2:$C$1800,الريسبي!$A$2:$A$1800,$A26,الريسبي!$B$2:$B$1800,CD$1)</f>
        <v>0</v>
      </c>
      <c r="CE26" s="117" t="n">
        <f aca="false">SUMIFS(الريسبي!$C$2:$C$1800,الريسبي!$A$2:$A$1800,$A26,الريسبي!$B$2:$B$1800,CE$1)</f>
        <v>0</v>
      </c>
      <c r="CF26" s="117" t="n">
        <f aca="false">SUMIFS(الريسبي!$C$2:$C$1800,الريسبي!$A$2:$A$1800,$A26,الريسبي!$B$2:$B$1800,CF$1)</f>
        <v>0</v>
      </c>
      <c r="CG26" s="117" t="n">
        <f aca="false">SUMIFS(الريسبي!$C$2:$C$1800,الريسبي!$A$2:$A$1800,$A26,الريسبي!$B$2:$B$1800,CG$1)</f>
        <v>0</v>
      </c>
      <c r="CH26" s="117" t="n">
        <f aca="false">SUMIFS(الريسبي!$C$2:$C$1800,الريسبي!$A$2:$A$1800,$A26,الريسبي!$B$2:$B$1800,CH$1)</f>
        <v>0</v>
      </c>
      <c r="CI26" s="117" t="n">
        <f aca="false">SUMIFS(الريسبي!$C$2:$C$1800,الريسبي!$A$2:$A$1800,$A26,الريسبي!$B$2:$B$1800,CI$1)</f>
        <v>0</v>
      </c>
      <c r="CJ26" s="117" t="n">
        <f aca="false">SUMIFS(الريسبي!$C$2:$C$1800,الريسبي!$A$2:$A$1800,$A26,الريسبي!$B$2:$B$1800,CJ$1)</f>
        <v>0</v>
      </c>
      <c r="CK26" s="117" t="n">
        <f aca="false">SUMIFS(الريسبي!$C$2:$C$1800,الريسبي!$A$2:$A$1800,$A26,الريسبي!$B$2:$B$1800,CK$1)</f>
        <v>0</v>
      </c>
      <c r="CL26" s="117" t="n">
        <f aca="false">SUMIFS(الريسبي!$C$2:$C$1800,الريسبي!$A$2:$A$1800,$A26,الريسبي!$B$2:$B$1800,CL$1)</f>
        <v>0</v>
      </c>
    </row>
    <row r="27" customFormat="false" ht="15" hidden="false" customHeight="false" outlineLevel="0" collapsed="false">
      <c r="A27" s="116" t="str">
        <f aca="false">المنيو!B27</f>
        <v>فطيرة بسطرمة حجم اكبر</v>
      </c>
      <c r="B27" s="117" t="n">
        <f aca="false">SUMIFS(الريسبي!$C$2:$C$1800,الريسبي!$A$2:$A$1800,$A27,الريسبي!$B$2:$B$1800,B$1)</f>
        <v>0</v>
      </c>
      <c r="C27" s="117" t="n">
        <f aca="false">SUMIFS(الريسبي!$C$2:$C$1800,الريسبي!$A$2:$A$1800,$A27,الريسبي!$B$2:$B$1800,C$1)</f>
        <v>0</v>
      </c>
      <c r="D27" s="117" t="n">
        <f aca="false">SUMIFS(الريسبي!$C$2:$C$1800,الريسبي!$A$2:$A$1800,$A27,الريسبي!$B$2:$B$1800,D$1)</f>
        <v>1</v>
      </c>
      <c r="E27" s="117" t="n">
        <f aca="false">SUMIFS(الريسبي!$C$2:$C$1800,الريسبي!$A$2:$A$1800,$A27,الريسبي!$B$2:$B$1800,E$1)</f>
        <v>0</v>
      </c>
      <c r="F27" s="117" t="n">
        <f aca="false">SUMIFS(الريسبي!$C$2:$C$1800,الريسبي!$A$2:$A$1800,$A27,الريسبي!$B$2:$B$1800,F$1)</f>
        <v>0</v>
      </c>
      <c r="G27" s="117" t="n">
        <f aca="false">SUMIFS(الريسبي!$C$2:$C$1800,الريسبي!$A$2:$A$1800,$A27,الريسبي!$B$2:$B$1800,G$1)</f>
        <v>0</v>
      </c>
      <c r="H27" s="117" t="n">
        <f aca="false">SUMIFS(الريسبي!$C$2:$C$1800,الريسبي!$A$2:$A$1800,$A27,الريسبي!$B$2:$B$1800,H$1)</f>
        <v>1</v>
      </c>
      <c r="I27" s="117" t="n">
        <f aca="false">SUMIFS(الريسبي!$C$2:$C$1800,الريسبي!$A$2:$A$1800,$A27,الريسبي!$B$2:$B$1800,I$1)</f>
        <v>0</v>
      </c>
      <c r="J27" s="117" t="n">
        <f aca="false">SUMIFS(الريسبي!$C$2:$C$1800,الريسبي!$A$2:$A$1800,$A27,الريسبي!$B$2:$B$1800,J$1)</f>
        <v>0</v>
      </c>
      <c r="K27" s="117" t="n">
        <f aca="false">SUMIFS(الريسبي!$C$2:$C$1800,الريسبي!$A$2:$A$1800,$A27,الريسبي!$B$2:$B$1800,K$1)</f>
        <v>0</v>
      </c>
      <c r="L27" s="117" t="n">
        <f aca="false">SUMIFS(الريسبي!$C$2:$C$1800,الريسبي!$A$2:$A$1800,$A27,الريسبي!$B$2:$B$1800,L$1)</f>
        <v>0</v>
      </c>
      <c r="M27" s="117" t="n">
        <f aca="false">SUMIFS(الريسبي!$C$2:$C$1800,الريسبي!$A$2:$A$1800,$A27,الريسبي!$B$2:$B$1800,M$1)</f>
        <v>0</v>
      </c>
      <c r="N27" s="117" t="n">
        <f aca="false">SUMIFS(الريسبي!$C$2:$C$1800,الريسبي!$A$2:$A$1800,$A27,الريسبي!$B$2:$B$1800,N$1)</f>
        <v>0</v>
      </c>
      <c r="O27" s="117" t="n">
        <f aca="false">SUMIFS(الريسبي!$C$2:$C$1800,الريسبي!$A$2:$A$1800,$A27,الريسبي!$B$2:$B$1800,O$1)</f>
        <v>0</v>
      </c>
      <c r="P27" s="117" t="n">
        <f aca="false">SUMIFS(الريسبي!$C$2:$C$1800,الريسبي!$A$2:$A$1800,$A27,الريسبي!$B$2:$B$1800,P$1)</f>
        <v>0</v>
      </c>
      <c r="Q27" s="117" t="n">
        <f aca="false">SUMIFS(الريسبي!$C$2:$C$1800,الريسبي!$A$2:$A$1800,$A27,الريسبي!$B$2:$B$1800,Q$1)</f>
        <v>0</v>
      </c>
      <c r="R27" s="117" t="n">
        <f aca="false">SUMIFS(الريسبي!$C$2:$C$1800,الريسبي!$A$2:$A$1800,$A27,الريسبي!$B$2:$B$1800,R$1)</f>
        <v>0</v>
      </c>
      <c r="S27" s="117" t="n">
        <f aca="false">SUMIFS(الريسبي!$C$2:$C$1800,الريسبي!$A$2:$A$1800,$A27,الريسبي!$B$2:$B$1800,S$1)</f>
        <v>0</v>
      </c>
      <c r="T27" s="117" t="n">
        <f aca="false">SUMIFS(الريسبي!$C$2:$C$1800,الريسبي!$A$2:$A$1800,$A27,الريسبي!$B$2:$B$1800,T$1)</f>
        <v>0</v>
      </c>
      <c r="U27" s="117" t="n">
        <f aca="false">SUMIFS(الريسبي!$C$2:$C$1800,الريسبي!$A$2:$A$1800,$A27,الريسبي!$B$2:$B$1800,U$1)</f>
        <v>0</v>
      </c>
      <c r="V27" s="117" t="n">
        <f aca="false">SUMIFS(الريسبي!$C$2:$C$1800,الريسبي!$A$2:$A$1800,$A27,الريسبي!$B$2:$B$1800,V$1)+1.5*(SUMIFS(الريسبي!$C$2:$C$1800,الريسبي!$A$2:$A$1800,$A27,الريسبي!$B$2:$B$1800,"برسيون موتزريلا بيتزا كبير"))</f>
        <v>0</v>
      </c>
      <c r="W27" s="117" t="n">
        <f aca="false">0</f>
        <v>0</v>
      </c>
      <c r="X27" s="117" t="n">
        <f aca="false">SUMIFS(الريسبي!$C$2:$C$1800,الريسبي!$A$2:$A$1800,$A27,الريسبي!$B$2:$B$1800,X$1)+1.5*(SUMIFS(الريسبي!$C$2:$C$1800,الريسبي!$A$2:$A$1800,$A27,الريسبي!$B$2:$B$1800,"برسيون موتزريلا فطير كبير"))</f>
        <v>1.5</v>
      </c>
      <c r="Y27" s="117" t="n">
        <f aca="false">0</f>
        <v>0</v>
      </c>
      <c r="Z27" s="117" t="n">
        <f aca="false">SUMIFS(الريسبي!$C$2:$C$1800,الريسبي!$A$2:$A$1800,$A27,الريسبي!$B$2:$B$1800,Z$1)</f>
        <v>0</v>
      </c>
      <c r="AA27" s="117" t="n">
        <f aca="false">SUMIFS(الريسبي!$C$2:$C$1800,الريسبي!$A$2:$A$1800,$A27,الريسبي!$B$2:$B$1800,AA$1)</f>
        <v>0</v>
      </c>
      <c r="AB27" s="117" t="n">
        <f aca="false">SUMIFS(الريسبي!$C$2:$C$1800,الريسبي!$A$2:$A$1800,$A27,الريسبي!$B$2:$B$1800,AB$1)</f>
        <v>0</v>
      </c>
      <c r="AC27" s="117" t="n">
        <f aca="false">SUMIFS(الريسبي!$C$2:$C$1800,الريسبي!$A$2:$A$1800,$A27,الريسبي!$B$2:$B$1800,AC$1)</f>
        <v>0</v>
      </c>
      <c r="AD27" s="117" t="n">
        <f aca="false">SUMIFS(الريسبي!$C$2:$C$1800,الريسبي!$A$2:$A$1800,$A27,الريسبي!$B$2:$B$1800,AD$1)</f>
        <v>0</v>
      </c>
      <c r="AE27" s="117" t="n">
        <f aca="false">SUMIFS(الريسبي!$C$2:$C$1800,الريسبي!$A$2:$A$1800,$A27,الريسبي!$B$2:$B$1800,AE$1)</f>
        <v>0</v>
      </c>
      <c r="AF27" s="117" t="n">
        <f aca="false">SUMIFS(الريسبي!$C$2:$C$1800,الريسبي!$A$2:$A$1800,$A27,الريسبي!$B$2:$B$1800,AF$1)</f>
        <v>0</v>
      </c>
      <c r="AG27" s="117" t="n">
        <f aca="false">SUMIFS(الريسبي!$C$2:$C$1800,الريسبي!$A$2:$A$1800,$A27,الريسبي!$B$2:$B$1800,AG$1)</f>
        <v>0</v>
      </c>
      <c r="AH27" s="117" t="n">
        <f aca="false">SUMIFS(الريسبي!$C$2:$C$1800,الريسبي!$A$2:$A$1800,$A27,الريسبي!$B$2:$B$1800,AH$1)</f>
        <v>0</v>
      </c>
      <c r="AI27" s="117" t="n">
        <f aca="false">SUMIFS(الريسبي!$C$2:$C$1800,الريسبي!$A$2:$A$1800,$A27,الريسبي!$B$2:$B$1800,AI$1)</f>
        <v>0</v>
      </c>
      <c r="AJ27" s="117" t="n">
        <f aca="false">SUMIFS(الريسبي!$C$2:$C$1800,الريسبي!$A$2:$A$1800,$A27,الريسبي!$B$2:$B$1800,AJ$1)</f>
        <v>2</v>
      </c>
      <c r="AK27" s="117" t="n">
        <f aca="false">SUMIFS(الريسبي!$C$2:$C$1800,الريسبي!$A$2:$A$1800,$A27,الريسبي!$B$2:$B$1800,AK$1)</f>
        <v>0</v>
      </c>
      <c r="AL27" s="117" t="n">
        <f aca="false">SUMIFS(الريسبي!$C$2:$C$1800,الريسبي!$A$2:$A$1800,$A27,الريسبي!$B$2:$B$1800,AL$1)</f>
        <v>0</v>
      </c>
      <c r="AM27" s="117" t="n">
        <f aca="false">SUMIFS(الريسبي!$C$2:$C$1800,الريسبي!$A$2:$A$1800,$A27,الريسبي!$B$2:$B$1800,AM$1)+0.08333333333*SUMIFS(الريسبي!$C$2:$C$1800,الريسبي!$A$2:$A$1800,$A27,الريسبي!$B$2:$B$1800,"عجين كريب (مصنع بالمطعم)")+0.08333333333*SUMIFS(الريسبي!$C$2:$C$1800,الريسبي!$A$2:$A$1800,$A27,الريسبي!$B$2:$B$1800,"عجين كريب صيامي (بدون لبن)")</f>
        <v>0</v>
      </c>
      <c r="AN27" s="117" t="n">
        <f aca="false">SUMIFS(الريسبي!$C$2:$C$1800,الريسبي!$A$2:$A$1800,$A27,الريسبي!$B$2:$B$1800,AN$1)+0.004166666667*SUMIFS(الريسبي!$C$2:$C$1800,الريسبي!$A$2:$A$1800,$A27,الريسبي!$B$2:$B$1800,"عجين كريب (مصنع بالمطعم)")+0.004166666667*SUMIFS(الريسبي!$C$2:$C$1800,الريسبي!$A$2:$A$1800,$A27,الريسبي!$B$2:$B$1800,"عجين كريب صيامي (بدون لبن)")</f>
        <v>0</v>
      </c>
      <c r="AO27" s="117" t="n">
        <f aca="false">SUMIFS(الريسبي!$C$2:$C$1800,الريسبي!$A$2:$A$1800,$A27,الريسبي!$B$2:$B$1800,AO$1)</f>
        <v>0</v>
      </c>
      <c r="AP27" s="117" t="n">
        <f aca="false">SUMIFS(الريسبي!$C$2:$C$1800,الريسبي!$A$2:$A$1800,$A27,الريسبي!$B$2:$B$1800,AP$1)</f>
        <v>0.03</v>
      </c>
      <c r="AQ27" s="117" t="n">
        <f aca="false">SUMIFS(الريسبي!$C$2:$C$1800,الريسبي!$A$2:$A$1800,$A27,الريسبي!$B$2:$B$1800,AQ$1)+0.004166666667*SUMIFS(الريسبي!$C$2:$C$1800,الريسبي!$A$2:$A$1800,$A27,الريسبي!$B$2:$B$1800,"عجين كريب (مصنع بالمطعم)")+0.004166666667*SUMIFS(الريسبي!$C$2:$C$1800,الريسبي!$A$2:$A$1800,$A27,الريسبي!$B$2:$B$1800,"عجين كريب صيامي (بدون لبن)")</f>
        <v>0</v>
      </c>
      <c r="AR27" s="117" t="n">
        <f aca="false">SUMIFS(الريسبي!$C$2:$C$1800,الريسبي!$A$2:$A$1800,$A27,الريسبي!$B$2:$B$1800,AR$1)</f>
        <v>0</v>
      </c>
      <c r="AS27" s="117" t="n">
        <f aca="false">SUMIFS(الريسبي!$C$2:$C$1800,الريسبي!$A$2:$A$1800,$A27,الريسبي!$B$2:$B$1800,AS$1)</f>
        <v>0</v>
      </c>
      <c r="AT27" s="117" t="n">
        <f aca="false">SUMIFS(الريسبي!$C$2:$C$1800,الريسبي!$A$2:$A$1800,$A27,الريسبي!$B$2:$B$1800,AT$1)</f>
        <v>0</v>
      </c>
      <c r="AU27" s="117" t="n">
        <f aca="false">SUMIFS(الريسبي!$C$2:$C$1800,الريسبي!$A$2:$A$1800,$A27,الريسبي!$B$2:$B$1800,AU$1)</f>
        <v>0</v>
      </c>
      <c r="AV27" s="117" t="n">
        <f aca="false">SUMIFS(الريسبي!$C$2:$C$1800,الريسبي!$A$2:$A$1800,$A27,الريسبي!$B$2:$B$1800,AV$1)</f>
        <v>0</v>
      </c>
      <c r="AW27" s="117" t="n">
        <f aca="false">SUMIFS(الريسبي!$C$2:$C$1800,الريسبي!$A$2:$A$1800,$A27,الريسبي!$B$2:$B$1800,AW$1)</f>
        <v>0</v>
      </c>
      <c r="AX27" s="117" t="n">
        <f aca="false">SUMIFS(الريسبي!$C$2:$C$1800,الريسبي!$A$2:$A$1800,$A27,الريسبي!$B$2:$B$1800,AX$1)</f>
        <v>0</v>
      </c>
      <c r="AY27" s="117" t="n">
        <f aca="false">SUMIFS(الريسبي!$C$2:$C$1800,الريسبي!$A$2:$A$1800,$A27,الريسبي!$B$2:$B$1800,AY$1)</f>
        <v>0</v>
      </c>
      <c r="AZ27" s="117" t="n">
        <f aca="false">SUMIFS(الريسبي!$C$2:$C$1800,الريسبي!$A$2:$A$1800,$A27,الريسبي!$B$2:$B$1800,AZ$1)</f>
        <v>0</v>
      </c>
      <c r="BA27" s="117" t="n">
        <f aca="false">SUMIFS(الريسبي!$C$2:$C$1800,الريسبي!$A$2:$A$1800,$A27,الريسبي!$B$2:$B$1800,BA$1)</f>
        <v>0</v>
      </c>
      <c r="BB27" s="117" t="n">
        <f aca="false">SUMIFS(الريسبي!$C$2:$C$1800,الريسبي!$A$2:$A$1800,$A27,الريسبي!$B$2:$B$1800,BB$1)</f>
        <v>0</v>
      </c>
      <c r="BC27" s="117" t="n">
        <f aca="false">SUMIFS(الريسبي!$C$2:$C$1800,الريسبي!$A$2:$A$1800,$A27,الريسبي!$B$2:$B$1800,BC$1)</f>
        <v>0.045</v>
      </c>
      <c r="BD27" s="117" t="n">
        <f aca="false">SUMIFS(الريسبي!$C$2:$C$1800,الريسبي!$A$2:$A$1800,$A27,الريسبي!$B$2:$B$1800,BD$1)</f>
        <v>0</v>
      </c>
      <c r="BE27" s="117" t="n">
        <f aca="false">SUMIFS(الريسبي!$C$2:$C$1800,الريسبي!$A$2:$A$1800,$A27,الريسبي!$B$2:$B$1800,BE$1)</f>
        <v>1.5</v>
      </c>
      <c r="BF27" s="117" t="n">
        <f aca="false">SUMIFS(الريسبي!$C$2:$C$1800,الريسبي!$A$2:$A$1800,$A27,الريسبي!$B$2:$B$1800,BF$1)</f>
        <v>0</v>
      </c>
      <c r="BG27" s="117" t="n">
        <f aca="false">SUMIFS(الريسبي!$C$2:$C$1800,الريسبي!$A$2:$A$1800,$A27,الريسبي!$B$2:$B$1800,BG$1)</f>
        <v>1</v>
      </c>
      <c r="BH27" s="117" t="n">
        <f aca="false">SUMIFS(الريسبي!$C$2:$C$1800,الريسبي!$A$2:$A$1800,$A27,الريسبي!$B$2:$B$1800,BH$1)</f>
        <v>0</v>
      </c>
      <c r="BI27" s="117" t="n">
        <f aca="false">SUMIFS(الريسبي!$C$2:$C$1800,الريسبي!$A$2:$A$1800,$A27,الريسبي!$B$2:$B$1800,BI$1)</f>
        <v>0</v>
      </c>
      <c r="BJ27" s="117" t="n">
        <f aca="false">SUMIFS(الريسبي!$C$2:$C$1800,الريسبي!$A$2:$A$1800,$A27,الريسبي!$B$2:$B$1800,BJ$1)</f>
        <v>0</v>
      </c>
      <c r="BK27" s="117" t="n">
        <f aca="false">SUMIFS(الريسبي!$C$2:$C$1800,الريسبي!$A$2:$A$1800,$A27,الريسبي!$B$2:$B$1800,BK$1)</f>
        <v>0</v>
      </c>
      <c r="BL27" s="117" t="n">
        <f aca="false">SUMIFS(الريسبي!$C$2:$C$1800,الريسبي!$A$2:$A$1800,$A27,الريسبي!$B$2:$B$1800,BL$1)</f>
        <v>0</v>
      </c>
      <c r="BM27" s="117" t="n">
        <f aca="false">SUMIFS(الريسبي!$C$2:$C$1800,الريسبي!$A$2:$A$1800,$A27,الريسبي!$B$2:$B$1800,BM$1)</f>
        <v>0</v>
      </c>
      <c r="BN27" s="117" t="n">
        <f aca="false">SUMIFS(الريسبي!$C$2:$C$1800,الريسبي!$A$2:$A$1800,$A27,الريسبي!$B$2:$B$1800,BN$1)</f>
        <v>0.03</v>
      </c>
      <c r="BO27" s="117" t="n">
        <f aca="false">SUMIFS(الريسبي!$C$2:$C$1800,الريسبي!$A$2:$A$1800,$A27,الريسبي!$B$2:$B$1800,BO$1)</f>
        <v>0</v>
      </c>
      <c r="BP27" s="117" t="n">
        <f aca="false">SUMIFS(الريسبي!$C$2:$C$1800,الريسبي!$A$2:$A$1800,$A27,الريسبي!$B$2:$B$1800,BP$1)</f>
        <v>3</v>
      </c>
      <c r="BQ27" s="117" t="n">
        <f aca="false">SUMIFS(الريسبي!$C$2:$C$1800,الريسبي!$A$2:$A$1800,$A27,الريسبي!$B$2:$B$1800,BQ$1)+0.17*SUMIFS(الريسبي!$C$2:$C$1800,الريسبي!$A$2:$A$1800,$A27,الريسبي!$B$2:$B$1800,"كاسترد مصنع (خليط بودر + لبن)")+0.17*SUMIFS(الريسبي!$C$2:$C$1800,الريسبي!$A$2:$A$1800,$A27,الريسبي!$B$2:$B$1800,"كاسترد مصنع صيامي (بدون لبن)")</f>
        <v>0</v>
      </c>
      <c r="BR27" s="117" t="n">
        <f aca="false">SUMIFS(الريسبي!$C$2:$C$1800,الريسبي!$A$2:$A$1800,$A27,الريسبي!$B$2:$B$1800,BR$1)</f>
        <v>1</v>
      </c>
      <c r="BS27" s="117" t="n">
        <f aca="false">SUMIFS(الريسبي!$C$2:$C$1800,الريسبي!$A$2:$A$1800,$A27,الريسبي!$B$2:$B$1800,BS$1)</f>
        <v>0</v>
      </c>
      <c r="BT27" s="117" t="n">
        <f aca="false">SUMIFS(الريسبي!$C$2:$C$1800,الريسبي!$A$2:$A$1800,$A27,الريسبي!$B$2:$B$1800,BT$1)</f>
        <v>0</v>
      </c>
      <c r="BU27" s="117" t="n">
        <f aca="false">SUMIFS(الريسبي!$C$2:$C$1800,الريسبي!$A$2:$A$1800,$A27,الريسبي!$B$2:$B$1800,BU$1)+0.4*SUMIFS(الريسبي!$C$2:$C$1800,الريسبي!$A$2:$A$1800,$A27,الريسبي!$B$2:$B$1800,"كاسترد مصنع (خليط بودر + لبن)")+0.03333333333*SUMIFS(الريسبي!$C$2:$C$1800,الريسبي!$A$2:$A$1800,$A27,الريسبي!$B$2:$B$1800,"عجين كريب (مصنع بالمطعم)")</f>
        <v>0</v>
      </c>
      <c r="BV27" s="117" t="n">
        <f aca="false">SUMIFS(الريسبي!$C$2:$C$1800,الريسبي!$A$2:$A$1800,$A27,الريسبي!$B$2:$B$1800,BV$1)</f>
        <v>0</v>
      </c>
      <c r="BW27" s="117" t="n">
        <f aca="false">SUMIFS(الريسبي!$C$2:$C$1800,الريسبي!$A$2:$A$1800,$A27,الريسبي!$B$2:$B$1800,BW$1)</f>
        <v>0</v>
      </c>
      <c r="BX27" s="117" t="n">
        <f aca="false">SUMIFS(الريسبي!$C$2:$C$1800,الريسبي!$A$2:$A$1800,$A27,الريسبي!$B$2:$B$1800,BX$1)</f>
        <v>0</v>
      </c>
      <c r="BY27" s="117" t="n">
        <f aca="false">SUMIFS(الريسبي!$C$2:$C$1800,الريسبي!$A$2:$A$1800,$A27,الريسبي!$B$2:$B$1800,BY$1)</f>
        <v>0</v>
      </c>
      <c r="BZ27" s="117" t="n">
        <f aca="false">SUMIFS(الريسبي!$C$2:$C$1800,الريسبي!$A$2:$A$1800,$A27,الريسبي!$B$2:$B$1800,BZ$1)</f>
        <v>0</v>
      </c>
      <c r="CA27" s="117" t="n">
        <f aca="false">SUMIFS(الريسبي!$C$2:$C$1800,الريسبي!$A$2:$A$1800,$A27,الريسبي!$B$2:$B$1800,CA$1)</f>
        <v>1</v>
      </c>
      <c r="CB27" s="117" t="n">
        <f aca="false">SUMIFS(الريسبي!$C$2:$C$1800,الريسبي!$A$2:$A$1800,$A27,الريسبي!$B$2:$B$1800,CB$1)</f>
        <v>1</v>
      </c>
      <c r="CC27" s="117" t="n">
        <f aca="false">SUMIFS(الريسبي!$C$2:$C$1800,الريسبي!$A$2:$A$1800,$A27,الريسبي!$B$2:$B$1800,CC$1)</f>
        <v>0</v>
      </c>
      <c r="CD27" s="117" t="n">
        <f aca="false">SUMIFS(الريسبي!$C$2:$C$1800,الريسبي!$A$2:$A$1800,$A27,الريسبي!$B$2:$B$1800,CD$1)</f>
        <v>0</v>
      </c>
      <c r="CE27" s="117" t="n">
        <f aca="false">SUMIFS(الريسبي!$C$2:$C$1800,الريسبي!$A$2:$A$1800,$A27,الريسبي!$B$2:$B$1800,CE$1)</f>
        <v>0</v>
      </c>
      <c r="CF27" s="117" t="n">
        <f aca="false">SUMIFS(الريسبي!$C$2:$C$1800,الريسبي!$A$2:$A$1800,$A27,الريسبي!$B$2:$B$1800,CF$1)</f>
        <v>0</v>
      </c>
      <c r="CG27" s="117" t="n">
        <f aca="false">SUMIFS(الريسبي!$C$2:$C$1800,الريسبي!$A$2:$A$1800,$A27,الريسبي!$B$2:$B$1800,CG$1)</f>
        <v>0</v>
      </c>
      <c r="CH27" s="117" t="n">
        <f aca="false">SUMIFS(الريسبي!$C$2:$C$1800,الريسبي!$A$2:$A$1800,$A27,الريسبي!$B$2:$B$1800,CH$1)</f>
        <v>0</v>
      </c>
      <c r="CI27" s="117" t="n">
        <f aca="false">SUMIFS(الريسبي!$C$2:$C$1800,الريسبي!$A$2:$A$1800,$A27,الريسبي!$B$2:$B$1800,CI$1)</f>
        <v>0</v>
      </c>
      <c r="CJ27" s="117" t="n">
        <f aca="false">SUMIFS(الريسبي!$C$2:$C$1800,الريسبي!$A$2:$A$1800,$A27,الريسبي!$B$2:$B$1800,CJ$1)</f>
        <v>0</v>
      </c>
      <c r="CK27" s="117" t="n">
        <f aca="false">SUMIFS(الريسبي!$C$2:$C$1800,الريسبي!$A$2:$A$1800,$A27,الريسبي!$B$2:$B$1800,CK$1)</f>
        <v>0</v>
      </c>
      <c r="CL27" s="117" t="n">
        <f aca="false">SUMIFS(الريسبي!$C$2:$C$1800,الريسبي!$A$2:$A$1800,$A27,الريسبي!$B$2:$B$1800,CL$1)</f>
        <v>0</v>
      </c>
    </row>
    <row r="28" customFormat="false" ht="15" hidden="false" customHeight="false" outlineLevel="0" collapsed="false">
      <c r="A28" s="116" t="str">
        <f aca="false">المنيو!B28</f>
        <v>فطيرة ميكس بسطرمة وسدق بالكيري وسط</v>
      </c>
      <c r="B28" s="117" t="n">
        <f aca="false">SUMIFS(الريسبي!$C$2:$C$1800,الريسبي!$A$2:$A$1800,$A28,الريسبي!$B$2:$B$1800,B$1)</f>
        <v>0</v>
      </c>
      <c r="C28" s="117" t="n">
        <f aca="false">SUMIFS(الريسبي!$C$2:$C$1800,الريسبي!$A$2:$A$1800,$A28,الريسبي!$B$2:$B$1800,C$1)</f>
        <v>0</v>
      </c>
      <c r="D28" s="117" t="n">
        <f aca="false">SUMIFS(الريسبي!$C$2:$C$1800,الريسبي!$A$2:$A$1800,$A28,الريسبي!$B$2:$B$1800,D$1)</f>
        <v>1</v>
      </c>
      <c r="E28" s="117" t="n">
        <f aca="false">SUMIFS(الريسبي!$C$2:$C$1800,الريسبي!$A$2:$A$1800,$A28,الريسبي!$B$2:$B$1800,E$1)</f>
        <v>0</v>
      </c>
      <c r="F28" s="117" t="n">
        <f aca="false">SUMIFS(الريسبي!$C$2:$C$1800,الريسبي!$A$2:$A$1800,$A28,الريسبي!$B$2:$B$1800,F$1)</f>
        <v>0</v>
      </c>
      <c r="G28" s="117" t="n">
        <f aca="false">SUMIFS(الريسبي!$C$2:$C$1800,الريسبي!$A$2:$A$1800,$A28,الريسبي!$B$2:$B$1800,G$1)</f>
        <v>1</v>
      </c>
      <c r="H28" s="117" t="n">
        <f aca="false">SUMIFS(الريسبي!$C$2:$C$1800,الريسبي!$A$2:$A$1800,$A28,الريسبي!$B$2:$B$1800,H$1)</f>
        <v>0</v>
      </c>
      <c r="I28" s="117" t="n">
        <f aca="false">SUMIFS(الريسبي!$C$2:$C$1800,الريسبي!$A$2:$A$1800,$A28,الريسبي!$B$2:$B$1800,I$1)</f>
        <v>0</v>
      </c>
      <c r="J28" s="117" t="n">
        <f aca="false">SUMIFS(الريسبي!$C$2:$C$1800,الريسبي!$A$2:$A$1800,$A28,الريسبي!$B$2:$B$1800,J$1)</f>
        <v>0</v>
      </c>
      <c r="K28" s="117" t="n">
        <f aca="false">SUMIFS(الريسبي!$C$2:$C$1800,الريسبي!$A$2:$A$1800,$A28,الريسبي!$B$2:$B$1800,K$1)</f>
        <v>0</v>
      </c>
      <c r="L28" s="117" t="n">
        <f aca="false">SUMIFS(الريسبي!$C$2:$C$1800,الريسبي!$A$2:$A$1800,$A28,الريسبي!$B$2:$B$1800,L$1)</f>
        <v>1</v>
      </c>
      <c r="M28" s="117" t="n">
        <f aca="false">SUMIFS(الريسبي!$C$2:$C$1800,الريسبي!$A$2:$A$1800,$A28,الريسبي!$B$2:$B$1800,M$1)</f>
        <v>0</v>
      </c>
      <c r="N28" s="117" t="n">
        <f aca="false">SUMIFS(الريسبي!$C$2:$C$1800,الريسبي!$A$2:$A$1800,$A28,الريسبي!$B$2:$B$1800,N$1)</f>
        <v>0</v>
      </c>
      <c r="O28" s="117" t="n">
        <f aca="false">SUMIFS(الريسبي!$C$2:$C$1800,الريسبي!$A$2:$A$1800,$A28,الريسبي!$B$2:$B$1800,O$1)</f>
        <v>0</v>
      </c>
      <c r="P28" s="117" t="n">
        <f aca="false">SUMIFS(الريسبي!$C$2:$C$1800,الريسبي!$A$2:$A$1800,$A28,الريسبي!$B$2:$B$1800,P$1)</f>
        <v>0</v>
      </c>
      <c r="Q28" s="117" t="n">
        <f aca="false">SUMIFS(الريسبي!$C$2:$C$1800,الريسبي!$A$2:$A$1800,$A28,الريسبي!$B$2:$B$1800,Q$1)</f>
        <v>0</v>
      </c>
      <c r="R28" s="117" t="n">
        <f aca="false">SUMIFS(الريسبي!$C$2:$C$1800,الريسبي!$A$2:$A$1800,$A28,الريسبي!$B$2:$B$1800,R$1)</f>
        <v>0</v>
      </c>
      <c r="S28" s="117" t="n">
        <f aca="false">SUMIFS(الريسبي!$C$2:$C$1800,الريسبي!$A$2:$A$1800,$A28,الريسبي!$B$2:$B$1800,S$1)</f>
        <v>0</v>
      </c>
      <c r="T28" s="117" t="n">
        <f aca="false">SUMIFS(الريسبي!$C$2:$C$1800,الريسبي!$A$2:$A$1800,$A28,الريسبي!$B$2:$B$1800,T$1)</f>
        <v>0</v>
      </c>
      <c r="U28" s="117" t="n">
        <f aca="false">SUMIFS(الريسبي!$C$2:$C$1800,الريسبي!$A$2:$A$1800,$A28,الريسبي!$B$2:$B$1800,U$1)</f>
        <v>0</v>
      </c>
      <c r="V28" s="117" t="n">
        <f aca="false">SUMIFS(الريسبي!$C$2:$C$1800,الريسبي!$A$2:$A$1800,$A28,الريسبي!$B$2:$B$1800,V$1)+1.5*(SUMIFS(الريسبي!$C$2:$C$1800,الريسبي!$A$2:$A$1800,$A28,الريسبي!$B$2:$B$1800,"برسيون موتزريلا بيتزا كبير"))</f>
        <v>0</v>
      </c>
      <c r="W28" s="117" t="n">
        <f aca="false">0</f>
        <v>0</v>
      </c>
      <c r="X28" s="117" t="n">
        <f aca="false">SUMIFS(الريسبي!$C$2:$C$1800,الريسبي!$A$2:$A$1800,$A28,الريسبي!$B$2:$B$1800,X$1)+1.5*(SUMIFS(الريسبي!$C$2:$C$1800,الريسبي!$A$2:$A$1800,$A28,الريسبي!$B$2:$B$1800,"برسيون موتزريلا فطير كبير"))</f>
        <v>1</v>
      </c>
      <c r="Y28" s="117" t="n">
        <f aca="false">0</f>
        <v>0</v>
      </c>
      <c r="Z28" s="117" t="n">
        <f aca="false">SUMIFS(الريسبي!$C$2:$C$1800,الريسبي!$A$2:$A$1800,$A28,الريسبي!$B$2:$B$1800,Z$1)</f>
        <v>0</v>
      </c>
      <c r="AA28" s="117" t="n">
        <f aca="false">SUMIFS(الريسبي!$C$2:$C$1800,الريسبي!$A$2:$A$1800,$A28,الريسبي!$B$2:$B$1800,AA$1)</f>
        <v>0</v>
      </c>
      <c r="AB28" s="117" t="n">
        <f aca="false">SUMIFS(الريسبي!$C$2:$C$1800,الريسبي!$A$2:$A$1800,$A28,الريسبي!$B$2:$B$1800,AB$1)</f>
        <v>0</v>
      </c>
      <c r="AC28" s="117" t="n">
        <f aca="false">SUMIFS(الريسبي!$C$2:$C$1800,الريسبي!$A$2:$A$1800,$A28,الريسبي!$B$2:$B$1800,AC$1)</f>
        <v>0</v>
      </c>
      <c r="AD28" s="117" t="n">
        <f aca="false">SUMIFS(الريسبي!$C$2:$C$1800,الريسبي!$A$2:$A$1800,$A28,الريسبي!$B$2:$B$1800,AD$1)</f>
        <v>0</v>
      </c>
      <c r="AE28" s="117" t="n">
        <f aca="false">SUMIFS(الريسبي!$C$2:$C$1800,الريسبي!$A$2:$A$1800,$A28,الريسبي!$B$2:$B$1800,AE$1)</f>
        <v>0</v>
      </c>
      <c r="AF28" s="117" t="n">
        <f aca="false">SUMIFS(الريسبي!$C$2:$C$1800,الريسبي!$A$2:$A$1800,$A28,الريسبي!$B$2:$B$1800,AF$1)</f>
        <v>0</v>
      </c>
      <c r="AG28" s="117" t="n">
        <f aca="false">SUMIFS(الريسبي!$C$2:$C$1800,الريسبي!$A$2:$A$1800,$A28,الريسبي!$B$2:$B$1800,AG$1)</f>
        <v>0</v>
      </c>
      <c r="AH28" s="117" t="n">
        <f aca="false">SUMIFS(الريسبي!$C$2:$C$1800,الريسبي!$A$2:$A$1800,$A28,الريسبي!$B$2:$B$1800,AH$1)</f>
        <v>0</v>
      </c>
      <c r="AI28" s="117" t="n">
        <f aca="false">SUMIFS(الريسبي!$C$2:$C$1800,الريسبي!$A$2:$A$1800,$A28,الريسبي!$B$2:$B$1800,AI$1)</f>
        <v>0</v>
      </c>
      <c r="AJ28" s="117" t="n">
        <f aca="false">SUMIFS(الريسبي!$C$2:$C$1800,الريسبي!$A$2:$A$1800,$A28,الريسبي!$B$2:$B$1800,AJ$1)</f>
        <v>2</v>
      </c>
      <c r="AK28" s="117" t="n">
        <f aca="false">SUMIFS(الريسبي!$C$2:$C$1800,الريسبي!$A$2:$A$1800,$A28,الريسبي!$B$2:$B$1800,AK$1)</f>
        <v>0</v>
      </c>
      <c r="AL28" s="117" t="n">
        <f aca="false">SUMIFS(الريسبي!$C$2:$C$1800,الريسبي!$A$2:$A$1800,$A28,الريسبي!$B$2:$B$1800,AL$1)</f>
        <v>0</v>
      </c>
      <c r="AM28" s="117" t="n">
        <f aca="false">SUMIFS(الريسبي!$C$2:$C$1800,الريسبي!$A$2:$A$1800,$A28,الريسبي!$B$2:$B$1800,AM$1)+0.08333333333*SUMIFS(الريسبي!$C$2:$C$1800,الريسبي!$A$2:$A$1800,$A28,الريسبي!$B$2:$B$1800,"عجين كريب (مصنع بالمطعم)")+0.08333333333*SUMIFS(الريسبي!$C$2:$C$1800,الريسبي!$A$2:$A$1800,$A28,الريسبي!$B$2:$B$1800,"عجين كريب صيامي (بدون لبن)")</f>
        <v>0</v>
      </c>
      <c r="AN28" s="117" t="n">
        <f aca="false">SUMIFS(الريسبي!$C$2:$C$1800,الريسبي!$A$2:$A$1800,$A28,الريسبي!$B$2:$B$1800,AN$1)+0.004166666667*SUMIFS(الريسبي!$C$2:$C$1800,الريسبي!$A$2:$A$1800,$A28,الريسبي!$B$2:$B$1800,"عجين كريب (مصنع بالمطعم)")+0.004166666667*SUMIFS(الريسبي!$C$2:$C$1800,الريسبي!$A$2:$A$1800,$A28,الريسبي!$B$2:$B$1800,"عجين كريب صيامي (بدون لبن)")</f>
        <v>0</v>
      </c>
      <c r="AO28" s="117" t="n">
        <f aca="false">SUMIFS(الريسبي!$C$2:$C$1800,الريسبي!$A$2:$A$1800,$A28,الريسبي!$B$2:$B$1800,AO$1)</f>
        <v>0</v>
      </c>
      <c r="AP28" s="117" t="n">
        <f aca="false">SUMIFS(الريسبي!$C$2:$C$1800,الريسبي!$A$2:$A$1800,$A28,الريسبي!$B$2:$B$1800,AP$1)</f>
        <v>0.02</v>
      </c>
      <c r="AQ28" s="117" t="n">
        <f aca="false">SUMIFS(الريسبي!$C$2:$C$1800,الريسبي!$A$2:$A$1800,$A28,الريسبي!$B$2:$B$1800,AQ$1)+0.004166666667*SUMIFS(الريسبي!$C$2:$C$1800,الريسبي!$A$2:$A$1800,$A28,الريسبي!$B$2:$B$1800,"عجين كريب (مصنع بالمطعم)")+0.004166666667*SUMIFS(الريسبي!$C$2:$C$1800,الريسبي!$A$2:$A$1800,$A28,الريسبي!$B$2:$B$1800,"عجين كريب صيامي (بدون لبن)")</f>
        <v>0</v>
      </c>
      <c r="AR28" s="117" t="n">
        <f aca="false">SUMIFS(الريسبي!$C$2:$C$1800,الريسبي!$A$2:$A$1800,$A28,الريسبي!$B$2:$B$1800,AR$1)</f>
        <v>0</v>
      </c>
      <c r="AS28" s="117" t="n">
        <f aca="false">SUMIFS(الريسبي!$C$2:$C$1800,الريسبي!$A$2:$A$1800,$A28,الريسبي!$B$2:$B$1800,AS$1)</f>
        <v>0</v>
      </c>
      <c r="AT28" s="117" t="n">
        <f aca="false">SUMIFS(الريسبي!$C$2:$C$1800,الريسبي!$A$2:$A$1800,$A28,الريسبي!$B$2:$B$1800,AT$1)</f>
        <v>0</v>
      </c>
      <c r="AU28" s="117" t="n">
        <f aca="false">SUMIFS(الريسبي!$C$2:$C$1800,الريسبي!$A$2:$A$1800,$A28,الريسبي!$B$2:$B$1800,AU$1)</f>
        <v>0</v>
      </c>
      <c r="AV28" s="117" t="n">
        <f aca="false">SUMIFS(الريسبي!$C$2:$C$1800,الريسبي!$A$2:$A$1800,$A28,الريسبي!$B$2:$B$1800,AV$1)</f>
        <v>0</v>
      </c>
      <c r="AW28" s="117" t="n">
        <f aca="false">SUMIFS(الريسبي!$C$2:$C$1800,الريسبي!$A$2:$A$1800,$A28,الريسبي!$B$2:$B$1800,AW$1)</f>
        <v>0</v>
      </c>
      <c r="AX28" s="117" t="n">
        <f aca="false">SUMIFS(الريسبي!$C$2:$C$1800,الريسبي!$A$2:$A$1800,$A28,الريسبي!$B$2:$B$1800,AX$1)</f>
        <v>0</v>
      </c>
      <c r="AY28" s="117" t="n">
        <f aca="false">SUMIFS(الريسبي!$C$2:$C$1800,الريسبي!$A$2:$A$1800,$A28,الريسبي!$B$2:$B$1800,AY$1)</f>
        <v>0</v>
      </c>
      <c r="AZ28" s="117" t="n">
        <f aca="false">SUMIFS(الريسبي!$C$2:$C$1800,الريسبي!$A$2:$A$1800,$A28,الريسبي!$B$2:$B$1800,AZ$1)</f>
        <v>0</v>
      </c>
      <c r="BA28" s="117" t="n">
        <f aca="false">SUMIFS(الريسبي!$C$2:$C$1800,الريسبي!$A$2:$A$1800,$A28,الريسبي!$B$2:$B$1800,BA$1)</f>
        <v>0</v>
      </c>
      <c r="BB28" s="117" t="n">
        <f aca="false">SUMIFS(الريسبي!$C$2:$C$1800,الريسبي!$A$2:$A$1800,$A28,الريسبي!$B$2:$B$1800,BB$1)</f>
        <v>0</v>
      </c>
      <c r="BC28" s="117" t="n">
        <f aca="false">SUMIFS(الريسبي!$C$2:$C$1800,الريسبي!$A$2:$A$1800,$A28,الريسبي!$B$2:$B$1800,BC$1)</f>
        <v>0.03</v>
      </c>
      <c r="BD28" s="117" t="n">
        <f aca="false">SUMIFS(الريسبي!$C$2:$C$1800,الريسبي!$A$2:$A$1800,$A28,الريسبي!$B$2:$B$1800,BD$1)</f>
        <v>0</v>
      </c>
      <c r="BE28" s="117" t="n">
        <f aca="false">SUMIFS(الريسبي!$C$2:$C$1800,الريسبي!$A$2:$A$1800,$A28,الريسبي!$B$2:$B$1800,BE$1)</f>
        <v>1</v>
      </c>
      <c r="BF28" s="117" t="n">
        <f aca="false">SUMIFS(الريسبي!$C$2:$C$1800,الريسبي!$A$2:$A$1800,$A28,الريسبي!$B$2:$B$1800,BF$1)</f>
        <v>0</v>
      </c>
      <c r="BG28" s="117" t="n">
        <f aca="false">SUMIFS(الريسبي!$C$2:$C$1800,الريسبي!$A$2:$A$1800,$A28,الريسبي!$B$2:$B$1800,BG$1)</f>
        <v>0</v>
      </c>
      <c r="BH28" s="117" t="n">
        <f aca="false">SUMIFS(الريسبي!$C$2:$C$1800,الريسبي!$A$2:$A$1800,$A28,الريسبي!$B$2:$B$1800,BH$1)</f>
        <v>1</v>
      </c>
      <c r="BI28" s="117" t="n">
        <f aca="false">SUMIFS(الريسبي!$C$2:$C$1800,الريسبي!$A$2:$A$1800,$A28,الريسبي!$B$2:$B$1800,BI$1)</f>
        <v>0</v>
      </c>
      <c r="BJ28" s="117" t="n">
        <f aca="false">SUMIFS(الريسبي!$C$2:$C$1800,الريسبي!$A$2:$A$1800,$A28,الريسبي!$B$2:$B$1800,BJ$1)</f>
        <v>0</v>
      </c>
      <c r="BK28" s="117" t="n">
        <f aca="false">SUMIFS(الريسبي!$C$2:$C$1800,الريسبي!$A$2:$A$1800,$A28,الريسبي!$B$2:$B$1800,BK$1)</f>
        <v>0</v>
      </c>
      <c r="BL28" s="117" t="n">
        <f aca="false">SUMIFS(الريسبي!$C$2:$C$1800,الريسبي!$A$2:$A$1800,$A28,الريسبي!$B$2:$B$1800,BL$1)</f>
        <v>0</v>
      </c>
      <c r="BM28" s="117" t="n">
        <f aca="false">SUMIFS(الريسبي!$C$2:$C$1800,الريسبي!$A$2:$A$1800,$A28,الريسبي!$B$2:$B$1800,BM$1)</f>
        <v>0</v>
      </c>
      <c r="BN28" s="117" t="n">
        <f aca="false">SUMIFS(الريسبي!$C$2:$C$1800,الريسبي!$A$2:$A$1800,$A28,الريسبي!$B$2:$B$1800,BN$1)</f>
        <v>0.02</v>
      </c>
      <c r="BO28" s="117" t="n">
        <f aca="false">SUMIFS(الريسبي!$C$2:$C$1800,الريسبي!$A$2:$A$1800,$A28,الريسبي!$B$2:$B$1800,BO$1)</f>
        <v>2</v>
      </c>
      <c r="BP28" s="117" t="n">
        <f aca="false">SUMIFS(الريسبي!$C$2:$C$1800,الريسبي!$A$2:$A$1800,$A28,الريسبي!$B$2:$B$1800,BP$1)</f>
        <v>2</v>
      </c>
      <c r="BQ28" s="117" t="n">
        <f aca="false">SUMIFS(الريسبي!$C$2:$C$1800,الريسبي!$A$2:$A$1800,$A28,الريسبي!$B$2:$B$1800,BQ$1)+0.17*SUMIFS(الريسبي!$C$2:$C$1800,الريسبي!$A$2:$A$1800,$A28,الريسبي!$B$2:$B$1800,"كاسترد مصنع (خليط بودر + لبن)")+0.17*SUMIFS(الريسبي!$C$2:$C$1800,الريسبي!$A$2:$A$1800,$A28,الريسبي!$B$2:$B$1800,"كاسترد مصنع صيامي (بدون لبن)")</f>
        <v>0</v>
      </c>
      <c r="BR28" s="117" t="n">
        <f aca="false">SUMIFS(الريسبي!$C$2:$C$1800,الريسبي!$A$2:$A$1800,$A28,الريسبي!$B$2:$B$1800,BR$1)</f>
        <v>1</v>
      </c>
      <c r="BS28" s="117" t="n">
        <f aca="false">SUMIFS(الريسبي!$C$2:$C$1800,الريسبي!$A$2:$A$1800,$A28,الريسبي!$B$2:$B$1800,BS$1)</f>
        <v>0</v>
      </c>
      <c r="BT28" s="117" t="n">
        <f aca="false">SUMIFS(الريسبي!$C$2:$C$1800,الريسبي!$A$2:$A$1800,$A28,الريسبي!$B$2:$B$1800,BT$1)</f>
        <v>0</v>
      </c>
      <c r="BU28" s="117" t="n">
        <f aca="false">SUMIFS(الريسبي!$C$2:$C$1800,الريسبي!$A$2:$A$1800,$A28,الريسبي!$B$2:$B$1800,BU$1)+0.4*SUMIFS(الريسبي!$C$2:$C$1800,الريسبي!$A$2:$A$1800,$A28,الريسبي!$B$2:$B$1800,"كاسترد مصنع (خليط بودر + لبن)")+0.03333333333*SUMIFS(الريسبي!$C$2:$C$1800,الريسبي!$A$2:$A$1800,$A28,الريسبي!$B$2:$B$1800,"عجين كريب (مصنع بالمطعم)")</f>
        <v>0</v>
      </c>
      <c r="BV28" s="117" t="n">
        <f aca="false">SUMIFS(الريسبي!$C$2:$C$1800,الريسبي!$A$2:$A$1800,$A28,الريسبي!$B$2:$B$1800,BV$1)</f>
        <v>0</v>
      </c>
      <c r="BW28" s="117" t="n">
        <f aca="false">SUMIFS(الريسبي!$C$2:$C$1800,الريسبي!$A$2:$A$1800,$A28,الريسبي!$B$2:$B$1800,BW$1)</f>
        <v>0</v>
      </c>
      <c r="BX28" s="117" t="n">
        <f aca="false">SUMIFS(الريسبي!$C$2:$C$1800,الريسبي!$A$2:$A$1800,$A28,الريسبي!$B$2:$B$1800,BX$1)</f>
        <v>0</v>
      </c>
      <c r="BY28" s="117" t="n">
        <f aca="false">SUMIFS(الريسبي!$C$2:$C$1800,الريسبي!$A$2:$A$1800,$A28,الريسبي!$B$2:$B$1800,BY$1)</f>
        <v>0</v>
      </c>
      <c r="BZ28" s="117" t="n">
        <f aca="false">SUMIFS(الريسبي!$C$2:$C$1800,الريسبي!$A$2:$A$1800,$A28,الريسبي!$B$2:$B$1800,BZ$1)</f>
        <v>0</v>
      </c>
      <c r="CA28" s="117" t="n">
        <f aca="false">SUMIFS(الريسبي!$C$2:$C$1800,الريسبي!$A$2:$A$1800,$A28,الريسبي!$B$2:$B$1800,CA$1)</f>
        <v>1</v>
      </c>
      <c r="CB28" s="117" t="n">
        <f aca="false">SUMIFS(الريسبي!$C$2:$C$1800,الريسبي!$A$2:$A$1800,$A28,الريسبي!$B$2:$B$1800,CB$1)</f>
        <v>1</v>
      </c>
      <c r="CC28" s="117" t="n">
        <f aca="false">SUMIFS(الريسبي!$C$2:$C$1800,الريسبي!$A$2:$A$1800,$A28,الريسبي!$B$2:$B$1800,CC$1)</f>
        <v>0</v>
      </c>
      <c r="CD28" s="117" t="n">
        <f aca="false">SUMIFS(الريسبي!$C$2:$C$1800,الريسبي!$A$2:$A$1800,$A28,الريسبي!$B$2:$B$1800,CD$1)</f>
        <v>0</v>
      </c>
      <c r="CE28" s="117" t="n">
        <f aca="false">SUMIFS(الريسبي!$C$2:$C$1800,الريسبي!$A$2:$A$1800,$A28,الريسبي!$B$2:$B$1800,CE$1)</f>
        <v>0</v>
      </c>
      <c r="CF28" s="117" t="n">
        <f aca="false">SUMIFS(الريسبي!$C$2:$C$1800,الريسبي!$A$2:$A$1800,$A28,الريسبي!$B$2:$B$1800,CF$1)</f>
        <v>0</v>
      </c>
      <c r="CG28" s="117" t="n">
        <f aca="false">SUMIFS(الريسبي!$C$2:$C$1800,الريسبي!$A$2:$A$1800,$A28,الريسبي!$B$2:$B$1800,CG$1)</f>
        <v>0</v>
      </c>
      <c r="CH28" s="117" t="n">
        <f aca="false">SUMIFS(الريسبي!$C$2:$C$1800,الريسبي!$A$2:$A$1800,$A28,الريسبي!$B$2:$B$1800,CH$1)</f>
        <v>0</v>
      </c>
      <c r="CI28" s="117" t="n">
        <f aca="false">SUMIFS(الريسبي!$C$2:$C$1800,الريسبي!$A$2:$A$1800,$A28,الريسبي!$B$2:$B$1800,CI$1)</f>
        <v>0</v>
      </c>
      <c r="CJ28" s="117" t="n">
        <f aca="false">SUMIFS(الريسبي!$C$2:$C$1800,الريسبي!$A$2:$A$1800,$A28,الريسبي!$B$2:$B$1800,CJ$1)</f>
        <v>0</v>
      </c>
      <c r="CK28" s="117" t="n">
        <f aca="false">SUMIFS(الريسبي!$C$2:$C$1800,الريسبي!$A$2:$A$1800,$A28,الريسبي!$B$2:$B$1800,CK$1)</f>
        <v>0</v>
      </c>
      <c r="CL28" s="117" t="n">
        <f aca="false">SUMIFS(الريسبي!$C$2:$C$1800,الريسبي!$A$2:$A$1800,$A28,الريسبي!$B$2:$B$1800,CL$1)</f>
        <v>0</v>
      </c>
    </row>
    <row r="29" customFormat="false" ht="15" hidden="false" customHeight="false" outlineLevel="0" collapsed="false">
      <c r="A29" s="116" t="str">
        <f aca="false">المنيو!B29</f>
        <v>فطيرة ميكس بسطرمة وسدق بالكيري حجم اكبر</v>
      </c>
      <c r="B29" s="117" t="n">
        <f aca="false">SUMIFS(الريسبي!$C$2:$C$1800,الريسبي!$A$2:$A$1800,$A29,الريسبي!$B$2:$B$1800,B$1)</f>
        <v>0</v>
      </c>
      <c r="C29" s="117" t="n">
        <f aca="false">SUMIFS(الريسبي!$C$2:$C$1800,الريسبي!$A$2:$A$1800,$A29,الريسبي!$B$2:$B$1800,C$1)</f>
        <v>0</v>
      </c>
      <c r="D29" s="117" t="n">
        <f aca="false">SUMIFS(الريسبي!$C$2:$C$1800,الريسبي!$A$2:$A$1800,$A29,الريسبي!$B$2:$B$1800,D$1)</f>
        <v>1</v>
      </c>
      <c r="E29" s="117" t="n">
        <f aca="false">SUMIFS(الريسبي!$C$2:$C$1800,الريسبي!$A$2:$A$1800,$A29,الريسبي!$B$2:$B$1800,E$1)</f>
        <v>0</v>
      </c>
      <c r="F29" s="117" t="n">
        <f aca="false">SUMIFS(الريسبي!$C$2:$C$1800,الريسبي!$A$2:$A$1800,$A29,الريسبي!$B$2:$B$1800,F$1)</f>
        <v>0</v>
      </c>
      <c r="G29" s="117" t="n">
        <f aca="false">SUMIFS(الريسبي!$C$2:$C$1800,الريسبي!$A$2:$A$1800,$A29,الريسبي!$B$2:$B$1800,G$1)</f>
        <v>0</v>
      </c>
      <c r="H29" s="117" t="n">
        <f aca="false">SUMIFS(الريسبي!$C$2:$C$1800,الريسبي!$A$2:$A$1800,$A29,الريسبي!$B$2:$B$1800,H$1)</f>
        <v>1</v>
      </c>
      <c r="I29" s="117" t="n">
        <f aca="false">SUMIFS(الريسبي!$C$2:$C$1800,الريسبي!$A$2:$A$1800,$A29,الريسبي!$B$2:$B$1800,I$1)</f>
        <v>0</v>
      </c>
      <c r="J29" s="117" t="n">
        <f aca="false">SUMIFS(الريسبي!$C$2:$C$1800,الريسبي!$A$2:$A$1800,$A29,الريسبي!$B$2:$B$1800,J$1)</f>
        <v>0</v>
      </c>
      <c r="K29" s="117" t="n">
        <f aca="false">SUMIFS(الريسبي!$C$2:$C$1800,الريسبي!$A$2:$A$1800,$A29,الريسبي!$B$2:$B$1800,K$1)</f>
        <v>0</v>
      </c>
      <c r="L29" s="117" t="n">
        <f aca="false">SUMIFS(الريسبي!$C$2:$C$1800,الريسبي!$A$2:$A$1800,$A29,الريسبي!$B$2:$B$1800,L$1)</f>
        <v>0</v>
      </c>
      <c r="M29" s="117" t="n">
        <f aca="false">SUMIFS(الريسبي!$C$2:$C$1800,الريسبي!$A$2:$A$1800,$A29,الريسبي!$B$2:$B$1800,M$1)</f>
        <v>1</v>
      </c>
      <c r="N29" s="117" t="n">
        <f aca="false">SUMIFS(الريسبي!$C$2:$C$1800,الريسبي!$A$2:$A$1800,$A29,الريسبي!$B$2:$B$1800,N$1)</f>
        <v>0</v>
      </c>
      <c r="O29" s="117" t="n">
        <f aca="false">SUMIFS(الريسبي!$C$2:$C$1800,الريسبي!$A$2:$A$1800,$A29,الريسبي!$B$2:$B$1800,O$1)</f>
        <v>0</v>
      </c>
      <c r="P29" s="117" t="n">
        <f aca="false">SUMIFS(الريسبي!$C$2:$C$1800,الريسبي!$A$2:$A$1800,$A29,الريسبي!$B$2:$B$1800,P$1)</f>
        <v>0</v>
      </c>
      <c r="Q29" s="117" t="n">
        <f aca="false">SUMIFS(الريسبي!$C$2:$C$1800,الريسبي!$A$2:$A$1800,$A29,الريسبي!$B$2:$B$1800,Q$1)</f>
        <v>0</v>
      </c>
      <c r="R29" s="117" t="n">
        <f aca="false">SUMIFS(الريسبي!$C$2:$C$1800,الريسبي!$A$2:$A$1800,$A29,الريسبي!$B$2:$B$1800,R$1)</f>
        <v>0</v>
      </c>
      <c r="S29" s="117" t="n">
        <f aca="false">SUMIFS(الريسبي!$C$2:$C$1800,الريسبي!$A$2:$A$1800,$A29,الريسبي!$B$2:$B$1800,S$1)</f>
        <v>0</v>
      </c>
      <c r="T29" s="117" t="n">
        <f aca="false">SUMIFS(الريسبي!$C$2:$C$1800,الريسبي!$A$2:$A$1800,$A29,الريسبي!$B$2:$B$1800,T$1)</f>
        <v>0</v>
      </c>
      <c r="U29" s="117" t="n">
        <f aca="false">SUMIFS(الريسبي!$C$2:$C$1800,الريسبي!$A$2:$A$1800,$A29,الريسبي!$B$2:$B$1800,U$1)</f>
        <v>0</v>
      </c>
      <c r="V29" s="117" t="n">
        <f aca="false">SUMIFS(الريسبي!$C$2:$C$1800,الريسبي!$A$2:$A$1800,$A29,الريسبي!$B$2:$B$1800,V$1)+1.5*(SUMIFS(الريسبي!$C$2:$C$1800,الريسبي!$A$2:$A$1800,$A29,الريسبي!$B$2:$B$1800,"برسيون موتزريلا بيتزا كبير"))</f>
        <v>0</v>
      </c>
      <c r="W29" s="117" t="n">
        <f aca="false">0</f>
        <v>0</v>
      </c>
      <c r="X29" s="117" t="n">
        <f aca="false">SUMIFS(الريسبي!$C$2:$C$1800,الريسبي!$A$2:$A$1800,$A29,الريسبي!$B$2:$B$1800,X$1)+1.5*(SUMIFS(الريسبي!$C$2:$C$1800,الريسبي!$A$2:$A$1800,$A29,الريسبي!$B$2:$B$1800,"برسيون موتزريلا فطير كبير"))</f>
        <v>1.5</v>
      </c>
      <c r="Y29" s="117" t="n">
        <f aca="false">0</f>
        <v>0</v>
      </c>
      <c r="Z29" s="117" t="n">
        <f aca="false">SUMIFS(الريسبي!$C$2:$C$1800,الريسبي!$A$2:$A$1800,$A29,الريسبي!$B$2:$B$1800,Z$1)</f>
        <v>0</v>
      </c>
      <c r="AA29" s="117" t="n">
        <f aca="false">SUMIFS(الريسبي!$C$2:$C$1800,الريسبي!$A$2:$A$1800,$A29,الريسبي!$B$2:$B$1800,AA$1)</f>
        <v>0</v>
      </c>
      <c r="AB29" s="117" t="n">
        <f aca="false">SUMIFS(الريسبي!$C$2:$C$1800,الريسبي!$A$2:$A$1800,$A29,الريسبي!$B$2:$B$1800,AB$1)</f>
        <v>0</v>
      </c>
      <c r="AC29" s="117" t="n">
        <f aca="false">SUMIFS(الريسبي!$C$2:$C$1800,الريسبي!$A$2:$A$1800,$A29,الريسبي!$B$2:$B$1800,AC$1)</f>
        <v>0</v>
      </c>
      <c r="AD29" s="117" t="n">
        <f aca="false">SUMIFS(الريسبي!$C$2:$C$1800,الريسبي!$A$2:$A$1800,$A29,الريسبي!$B$2:$B$1800,AD$1)</f>
        <v>0</v>
      </c>
      <c r="AE29" s="117" t="n">
        <f aca="false">SUMIFS(الريسبي!$C$2:$C$1800,الريسبي!$A$2:$A$1800,$A29,الريسبي!$B$2:$B$1800,AE$1)</f>
        <v>0</v>
      </c>
      <c r="AF29" s="117" t="n">
        <f aca="false">SUMIFS(الريسبي!$C$2:$C$1800,الريسبي!$A$2:$A$1800,$A29,الريسبي!$B$2:$B$1800,AF$1)</f>
        <v>0</v>
      </c>
      <c r="AG29" s="117" t="n">
        <f aca="false">SUMIFS(الريسبي!$C$2:$C$1800,الريسبي!$A$2:$A$1800,$A29,الريسبي!$B$2:$B$1800,AG$1)</f>
        <v>0</v>
      </c>
      <c r="AH29" s="117" t="n">
        <f aca="false">SUMIFS(الريسبي!$C$2:$C$1800,الريسبي!$A$2:$A$1800,$A29,الريسبي!$B$2:$B$1800,AH$1)</f>
        <v>0</v>
      </c>
      <c r="AI29" s="117" t="n">
        <f aca="false">SUMIFS(الريسبي!$C$2:$C$1800,الريسبي!$A$2:$A$1800,$A29,الريسبي!$B$2:$B$1800,AI$1)</f>
        <v>0</v>
      </c>
      <c r="AJ29" s="117" t="n">
        <f aca="false">SUMIFS(الريسبي!$C$2:$C$1800,الريسبي!$A$2:$A$1800,$A29,الريسبي!$B$2:$B$1800,AJ$1)</f>
        <v>2</v>
      </c>
      <c r="AK29" s="117" t="n">
        <f aca="false">SUMIFS(الريسبي!$C$2:$C$1800,الريسبي!$A$2:$A$1800,$A29,الريسبي!$B$2:$B$1800,AK$1)</f>
        <v>0</v>
      </c>
      <c r="AL29" s="117" t="n">
        <f aca="false">SUMIFS(الريسبي!$C$2:$C$1800,الريسبي!$A$2:$A$1800,$A29,الريسبي!$B$2:$B$1800,AL$1)</f>
        <v>0</v>
      </c>
      <c r="AM29" s="117" t="n">
        <f aca="false">SUMIFS(الريسبي!$C$2:$C$1800,الريسبي!$A$2:$A$1800,$A29,الريسبي!$B$2:$B$1800,AM$1)+0.08333333333*SUMIFS(الريسبي!$C$2:$C$1800,الريسبي!$A$2:$A$1800,$A29,الريسبي!$B$2:$B$1800,"عجين كريب (مصنع بالمطعم)")+0.08333333333*SUMIFS(الريسبي!$C$2:$C$1800,الريسبي!$A$2:$A$1800,$A29,الريسبي!$B$2:$B$1800,"عجين كريب صيامي (بدون لبن)")</f>
        <v>0</v>
      </c>
      <c r="AN29" s="117" t="n">
        <f aca="false">SUMIFS(الريسبي!$C$2:$C$1800,الريسبي!$A$2:$A$1800,$A29,الريسبي!$B$2:$B$1800,AN$1)+0.004166666667*SUMIFS(الريسبي!$C$2:$C$1800,الريسبي!$A$2:$A$1800,$A29,الريسبي!$B$2:$B$1800,"عجين كريب (مصنع بالمطعم)")+0.004166666667*SUMIFS(الريسبي!$C$2:$C$1800,الريسبي!$A$2:$A$1800,$A29,الريسبي!$B$2:$B$1800,"عجين كريب صيامي (بدون لبن)")</f>
        <v>0</v>
      </c>
      <c r="AO29" s="117" t="n">
        <f aca="false">SUMIFS(الريسبي!$C$2:$C$1800,الريسبي!$A$2:$A$1800,$A29,الريسبي!$B$2:$B$1800,AO$1)</f>
        <v>0</v>
      </c>
      <c r="AP29" s="117" t="n">
        <f aca="false">SUMIFS(الريسبي!$C$2:$C$1800,الريسبي!$A$2:$A$1800,$A29,الريسبي!$B$2:$B$1800,AP$1)</f>
        <v>0.03</v>
      </c>
      <c r="AQ29" s="117" t="n">
        <f aca="false">SUMIFS(الريسبي!$C$2:$C$1800,الريسبي!$A$2:$A$1800,$A29,الريسبي!$B$2:$B$1800,AQ$1)+0.004166666667*SUMIFS(الريسبي!$C$2:$C$1800,الريسبي!$A$2:$A$1800,$A29,الريسبي!$B$2:$B$1800,"عجين كريب (مصنع بالمطعم)")+0.004166666667*SUMIFS(الريسبي!$C$2:$C$1800,الريسبي!$A$2:$A$1800,$A29,الريسبي!$B$2:$B$1800,"عجين كريب صيامي (بدون لبن)")</f>
        <v>0</v>
      </c>
      <c r="AR29" s="117" t="n">
        <f aca="false">SUMIFS(الريسبي!$C$2:$C$1800,الريسبي!$A$2:$A$1800,$A29,الريسبي!$B$2:$B$1800,AR$1)</f>
        <v>0</v>
      </c>
      <c r="AS29" s="117" t="n">
        <f aca="false">SUMIFS(الريسبي!$C$2:$C$1800,الريسبي!$A$2:$A$1800,$A29,الريسبي!$B$2:$B$1800,AS$1)</f>
        <v>0</v>
      </c>
      <c r="AT29" s="117" t="n">
        <f aca="false">SUMIFS(الريسبي!$C$2:$C$1800,الريسبي!$A$2:$A$1800,$A29,الريسبي!$B$2:$B$1800,AT$1)</f>
        <v>0</v>
      </c>
      <c r="AU29" s="117" t="n">
        <f aca="false">SUMIFS(الريسبي!$C$2:$C$1800,الريسبي!$A$2:$A$1800,$A29,الريسبي!$B$2:$B$1800,AU$1)</f>
        <v>0</v>
      </c>
      <c r="AV29" s="117" t="n">
        <f aca="false">SUMIFS(الريسبي!$C$2:$C$1800,الريسبي!$A$2:$A$1800,$A29,الريسبي!$B$2:$B$1800,AV$1)</f>
        <v>0</v>
      </c>
      <c r="AW29" s="117" t="n">
        <f aca="false">SUMIFS(الريسبي!$C$2:$C$1800,الريسبي!$A$2:$A$1800,$A29,الريسبي!$B$2:$B$1800,AW$1)</f>
        <v>0</v>
      </c>
      <c r="AX29" s="117" t="n">
        <f aca="false">SUMIFS(الريسبي!$C$2:$C$1800,الريسبي!$A$2:$A$1800,$A29,الريسبي!$B$2:$B$1800,AX$1)</f>
        <v>0</v>
      </c>
      <c r="AY29" s="117" t="n">
        <f aca="false">SUMIFS(الريسبي!$C$2:$C$1800,الريسبي!$A$2:$A$1800,$A29,الريسبي!$B$2:$B$1800,AY$1)</f>
        <v>0</v>
      </c>
      <c r="AZ29" s="117" t="n">
        <f aca="false">SUMIFS(الريسبي!$C$2:$C$1800,الريسبي!$A$2:$A$1800,$A29,الريسبي!$B$2:$B$1800,AZ$1)</f>
        <v>0</v>
      </c>
      <c r="BA29" s="117" t="n">
        <f aca="false">SUMIFS(الريسبي!$C$2:$C$1800,الريسبي!$A$2:$A$1800,$A29,الريسبي!$B$2:$B$1800,BA$1)</f>
        <v>0</v>
      </c>
      <c r="BB29" s="117" t="n">
        <f aca="false">SUMIFS(الريسبي!$C$2:$C$1800,الريسبي!$A$2:$A$1800,$A29,الريسبي!$B$2:$B$1800,BB$1)</f>
        <v>0</v>
      </c>
      <c r="BC29" s="117" t="n">
        <f aca="false">SUMIFS(الريسبي!$C$2:$C$1800,الريسبي!$A$2:$A$1800,$A29,الريسبي!$B$2:$B$1800,BC$1)</f>
        <v>0.045</v>
      </c>
      <c r="BD29" s="117" t="n">
        <f aca="false">SUMIFS(الريسبي!$C$2:$C$1800,الريسبي!$A$2:$A$1800,$A29,الريسبي!$B$2:$B$1800,BD$1)</f>
        <v>0</v>
      </c>
      <c r="BE29" s="117" t="n">
        <f aca="false">SUMIFS(الريسبي!$C$2:$C$1800,الريسبي!$A$2:$A$1800,$A29,الريسبي!$B$2:$B$1800,BE$1)</f>
        <v>1.5</v>
      </c>
      <c r="BF29" s="117" t="n">
        <f aca="false">SUMIFS(الريسبي!$C$2:$C$1800,الريسبي!$A$2:$A$1800,$A29,الريسبي!$B$2:$B$1800,BF$1)</f>
        <v>0</v>
      </c>
      <c r="BG29" s="117" t="n">
        <f aca="false">SUMIFS(الريسبي!$C$2:$C$1800,الريسبي!$A$2:$A$1800,$A29,الريسبي!$B$2:$B$1800,BG$1)</f>
        <v>1</v>
      </c>
      <c r="BH29" s="117" t="n">
        <f aca="false">SUMIFS(الريسبي!$C$2:$C$1800,الريسبي!$A$2:$A$1800,$A29,الريسبي!$B$2:$B$1800,BH$1)</f>
        <v>0</v>
      </c>
      <c r="BI29" s="117" t="n">
        <f aca="false">SUMIFS(الريسبي!$C$2:$C$1800,الريسبي!$A$2:$A$1800,$A29,الريسبي!$B$2:$B$1800,BI$1)</f>
        <v>0</v>
      </c>
      <c r="BJ29" s="117" t="n">
        <f aca="false">SUMIFS(الريسبي!$C$2:$C$1800,الريسبي!$A$2:$A$1800,$A29,الريسبي!$B$2:$B$1800,BJ$1)</f>
        <v>0</v>
      </c>
      <c r="BK29" s="117" t="n">
        <f aca="false">SUMIFS(الريسبي!$C$2:$C$1800,الريسبي!$A$2:$A$1800,$A29,الريسبي!$B$2:$B$1800,BK$1)</f>
        <v>0</v>
      </c>
      <c r="BL29" s="117" t="n">
        <f aca="false">SUMIFS(الريسبي!$C$2:$C$1800,الريسبي!$A$2:$A$1800,$A29,الريسبي!$B$2:$B$1800,BL$1)</f>
        <v>0</v>
      </c>
      <c r="BM29" s="117" t="n">
        <f aca="false">SUMIFS(الريسبي!$C$2:$C$1800,الريسبي!$A$2:$A$1800,$A29,الريسبي!$B$2:$B$1800,BM$1)</f>
        <v>0</v>
      </c>
      <c r="BN29" s="117" t="n">
        <f aca="false">SUMIFS(الريسبي!$C$2:$C$1800,الريسبي!$A$2:$A$1800,$A29,الريسبي!$B$2:$B$1800,BN$1)</f>
        <v>0.03</v>
      </c>
      <c r="BO29" s="117" t="n">
        <f aca="false">SUMIFS(الريسبي!$C$2:$C$1800,الريسبي!$A$2:$A$1800,$A29,الريسبي!$B$2:$B$1800,BO$1)</f>
        <v>3</v>
      </c>
      <c r="BP29" s="117" t="n">
        <f aca="false">SUMIFS(الريسبي!$C$2:$C$1800,الريسبي!$A$2:$A$1800,$A29,الريسبي!$B$2:$B$1800,BP$1)</f>
        <v>3</v>
      </c>
      <c r="BQ29" s="117" t="n">
        <f aca="false">SUMIFS(الريسبي!$C$2:$C$1800,الريسبي!$A$2:$A$1800,$A29,الريسبي!$B$2:$B$1800,BQ$1)+0.17*SUMIFS(الريسبي!$C$2:$C$1800,الريسبي!$A$2:$A$1800,$A29,الريسبي!$B$2:$B$1800,"كاسترد مصنع (خليط بودر + لبن)")+0.17*SUMIFS(الريسبي!$C$2:$C$1800,الريسبي!$A$2:$A$1800,$A29,الريسبي!$B$2:$B$1800,"كاسترد مصنع صيامي (بدون لبن)")</f>
        <v>0</v>
      </c>
      <c r="BR29" s="117" t="n">
        <f aca="false">SUMIFS(الريسبي!$C$2:$C$1800,الريسبي!$A$2:$A$1800,$A29,الريسبي!$B$2:$B$1800,BR$1)</f>
        <v>1</v>
      </c>
      <c r="BS29" s="117" t="n">
        <f aca="false">SUMIFS(الريسبي!$C$2:$C$1800,الريسبي!$A$2:$A$1800,$A29,الريسبي!$B$2:$B$1800,BS$1)</f>
        <v>0</v>
      </c>
      <c r="BT29" s="117" t="n">
        <f aca="false">SUMIFS(الريسبي!$C$2:$C$1800,الريسبي!$A$2:$A$1800,$A29,الريسبي!$B$2:$B$1800,BT$1)</f>
        <v>0</v>
      </c>
      <c r="BU29" s="117" t="n">
        <f aca="false">SUMIFS(الريسبي!$C$2:$C$1800,الريسبي!$A$2:$A$1800,$A29,الريسبي!$B$2:$B$1800,BU$1)+0.4*SUMIFS(الريسبي!$C$2:$C$1800,الريسبي!$A$2:$A$1800,$A29,الريسبي!$B$2:$B$1800,"كاسترد مصنع (خليط بودر + لبن)")+0.03333333333*SUMIFS(الريسبي!$C$2:$C$1800,الريسبي!$A$2:$A$1800,$A29,الريسبي!$B$2:$B$1800,"عجين كريب (مصنع بالمطعم)")</f>
        <v>0</v>
      </c>
      <c r="BV29" s="117" t="n">
        <f aca="false">SUMIFS(الريسبي!$C$2:$C$1800,الريسبي!$A$2:$A$1800,$A29,الريسبي!$B$2:$B$1800,BV$1)</f>
        <v>0</v>
      </c>
      <c r="BW29" s="117" t="n">
        <f aca="false">SUMIFS(الريسبي!$C$2:$C$1800,الريسبي!$A$2:$A$1800,$A29,الريسبي!$B$2:$B$1800,BW$1)</f>
        <v>0</v>
      </c>
      <c r="BX29" s="117" t="n">
        <f aca="false">SUMIFS(الريسبي!$C$2:$C$1800,الريسبي!$A$2:$A$1800,$A29,الريسبي!$B$2:$B$1800,BX$1)</f>
        <v>0</v>
      </c>
      <c r="BY29" s="117" t="n">
        <f aca="false">SUMIFS(الريسبي!$C$2:$C$1800,الريسبي!$A$2:$A$1800,$A29,الريسبي!$B$2:$B$1800,BY$1)</f>
        <v>0</v>
      </c>
      <c r="BZ29" s="117" t="n">
        <f aca="false">SUMIFS(الريسبي!$C$2:$C$1800,الريسبي!$A$2:$A$1800,$A29,الريسبي!$B$2:$B$1800,BZ$1)</f>
        <v>0</v>
      </c>
      <c r="CA29" s="117" t="n">
        <f aca="false">SUMIFS(الريسبي!$C$2:$C$1800,الريسبي!$A$2:$A$1800,$A29,الريسبي!$B$2:$B$1800,CA$1)</f>
        <v>1</v>
      </c>
      <c r="CB29" s="117" t="n">
        <f aca="false">SUMIFS(الريسبي!$C$2:$C$1800,الريسبي!$A$2:$A$1800,$A29,الريسبي!$B$2:$B$1800,CB$1)</f>
        <v>1</v>
      </c>
      <c r="CC29" s="117" t="n">
        <f aca="false">SUMIFS(الريسبي!$C$2:$C$1800,الريسبي!$A$2:$A$1800,$A29,الريسبي!$B$2:$B$1800,CC$1)</f>
        <v>0</v>
      </c>
      <c r="CD29" s="117" t="n">
        <f aca="false">SUMIFS(الريسبي!$C$2:$C$1800,الريسبي!$A$2:$A$1800,$A29,الريسبي!$B$2:$B$1800,CD$1)</f>
        <v>0</v>
      </c>
      <c r="CE29" s="117" t="n">
        <f aca="false">SUMIFS(الريسبي!$C$2:$C$1800,الريسبي!$A$2:$A$1800,$A29,الريسبي!$B$2:$B$1800,CE$1)</f>
        <v>0</v>
      </c>
      <c r="CF29" s="117" t="n">
        <f aca="false">SUMIFS(الريسبي!$C$2:$C$1800,الريسبي!$A$2:$A$1800,$A29,الريسبي!$B$2:$B$1800,CF$1)</f>
        <v>0</v>
      </c>
      <c r="CG29" s="117" t="n">
        <f aca="false">SUMIFS(الريسبي!$C$2:$C$1800,الريسبي!$A$2:$A$1800,$A29,الريسبي!$B$2:$B$1800,CG$1)</f>
        <v>0</v>
      </c>
      <c r="CH29" s="117" t="n">
        <f aca="false">SUMIFS(الريسبي!$C$2:$C$1800,الريسبي!$A$2:$A$1800,$A29,الريسبي!$B$2:$B$1800,CH$1)</f>
        <v>0</v>
      </c>
      <c r="CI29" s="117" t="n">
        <f aca="false">SUMIFS(الريسبي!$C$2:$C$1800,الريسبي!$A$2:$A$1800,$A29,الريسبي!$B$2:$B$1800,CI$1)</f>
        <v>0</v>
      </c>
      <c r="CJ29" s="117" t="n">
        <f aca="false">SUMIFS(الريسبي!$C$2:$C$1800,الريسبي!$A$2:$A$1800,$A29,الريسبي!$B$2:$B$1800,CJ$1)</f>
        <v>0</v>
      </c>
      <c r="CK29" s="117" t="n">
        <f aca="false">SUMIFS(الريسبي!$C$2:$C$1800,الريسبي!$A$2:$A$1800,$A29,الريسبي!$B$2:$B$1800,CK$1)</f>
        <v>0</v>
      </c>
      <c r="CL29" s="117" t="n">
        <f aca="false">SUMIFS(الريسبي!$C$2:$C$1800,الريسبي!$A$2:$A$1800,$A29,الريسبي!$B$2:$B$1800,CL$1)</f>
        <v>0</v>
      </c>
    </row>
    <row r="30" customFormat="false" ht="15" hidden="false" customHeight="false" outlineLevel="0" collapsed="false">
      <c r="A30" s="116" t="str">
        <f aca="false">المنيو!B30</f>
        <v>فطيرة مشكل جبن وسط</v>
      </c>
      <c r="B30" s="117" t="n">
        <f aca="false">SUMIFS(الريسبي!$C$2:$C$1800,الريسبي!$A$2:$A$1800,$A30,الريسبي!$B$2:$B$1800,B$1)</f>
        <v>0</v>
      </c>
      <c r="C30" s="117" t="n">
        <f aca="false">SUMIFS(الريسبي!$C$2:$C$1800,الريسبي!$A$2:$A$1800,$A30,الريسبي!$B$2:$B$1800,C$1)</f>
        <v>0</v>
      </c>
      <c r="D30" s="117" t="n">
        <f aca="false">SUMIFS(الريسبي!$C$2:$C$1800,الريسبي!$A$2:$A$1800,$A30,الريسبي!$B$2:$B$1800,D$1)</f>
        <v>1</v>
      </c>
      <c r="E30" s="117" t="n">
        <f aca="false">SUMIFS(الريسبي!$C$2:$C$1800,الريسبي!$A$2:$A$1800,$A30,الريسبي!$B$2:$B$1800,E$1)</f>
        <v>0</v>
      </c>
      <c r="F30" s="117" t="n">
        <f aca="false">SUMIFS(الريسبي!$C$2:$C$1800,الريسبي!$A$2:$A$1800,$A30,الريسبي!$B$2:$B$1800,F$1)</f>
        <v>0</v>
      </c>
      <c r="G30" s="117" t="n">
        <f aca="false">SUMIFS(الريسبي!$C$2:$C$1800,الريسبي!$A$2:$A$1800,$A30,الريسبي!$B$2:$B$1800,G$1)</f>
        <v>0</v>
      </c>
      <c r="H30" s="117" t="n">
        <f aca="false">SUMIFS(الريسبي!$C$2:$C$1800,الريسبي!$A$2:$A$1800,$A30,الريسبي!$B$2:$B$1800,H$1)</f>
        <v>0</v>
      </c>
      <c r="I30" s="117" t="n">
        <f aca="false">SUMIFS(الريسبي!$C$2:$C$1800,الريسبي!$A$2:$A$1800,$A30,الريسبي!$B$2:$B$1800,I$1)</f>
        <v>0</v>
      </c>
      <c r="J30" s="117" t="n">
        <f aca="false">SUMIFS(الريسبي!$C$2:$C$1800,الريسبي!$A$2:$A$1800,$A30,الريسبي!$B$2:$B$1800,J$1)</f>
        <v>1</v>
      </c>
      <c r="K30" s="117" t="n">
        <f aca="false">SUMIFS(الريسبي!$C$2:$C$1800,الريسبي!$A$2:$A$1800,$A30,الريسبي!$B$2:$B$1800,K$1)</f>
        <v>0</v>
      </c>
      <c r="L30" s="117" t="n">
        <f aca="false">SUMIFS(الريسبي!$C$2:$C$1800,الريسبي!$A$2:$A$1800,$A30,الريسبي!$B$2:$B$1800,L$1)</f>
        <v>0</v>
      </c>
      <c r="M30" s="117" t="n">
        <f aca="false">SUMIFS(الريسبي!$C$2:$C$1800,الريسبي!$A$2:$A$1800,$A30,الريسبي!$B$2:$B$1800,M$1)</f>
        <v>0</v>
      </c>
      <c r="N30" s="117" t="n">
        <f aca="false">SUMIFS(الريسبي!$C$2:$C$1800,الريسبي!$A$2:$A$1800,$A30,الريسبي!$B$2:$B$1800,N$1)</f>
        <v>0</v>
      </c>
      <c r="O30" s="117" t="n">
        <f aca="false">SUMIFS(الريسبي!$C$2:$C$1800,الريسبي!$A$2:$A$1800,$A30,الريسبي!$B$2:$B$1800,O$1)</f>
        <v>0</v>
      </c>
      <c r="P30" s="117" t="n">
        <f aca="false">SUMIFS(الريسبي!$C$2:$C$1800,الريسبي!$A$2:$A$1800,$A30,الريسبي!$B$2:$B$1800,P$1)</f>
        <v>0</v>
      </c>
      <c r="Q30" s="117" t="n">
        <f aca="false">SUMIFS(الريسبي!$C$2:$C$1800,الريسبي!$A$2:$A$1800,$A30,الريسبي!$B$2:$B$1800,Q$1)</f>
        <v>0</v>
      </c>
      <c r="R30" s="117" t="n">
        <f aca="false">SUMIFS(الريسبي!$C$2:$C$1800,الريسبي!$A$2:$A$1800,$A30,الريسبي!$B$2:$B$1800,R$1)</f>
        <v>0</v>
      </c>
      <c r="S30" s="117" t="n">
        <f aca="false">SUMIFS(الريسبي!$C$2:$C$1800,الريسبي!$A$2:$A$1800,$A30,الريسبي!$B$2:$B$1800,S$1)</f>
        <v>0</v>
      </c>
      <c r="T30" s="117" t="n">
        <f aca="false">SUMIFS(الريسبي!$C$2:$C$1800,الريسبي!$A$2:$A$1800,$A30,الريسبي!$B$2:$B$1800,T$1)</f>
        <v>0</v>
      </c>
      <c r="U30" s="117" t="n">
        <f aca="false">SUMIFS(الريسبي!$C$2:$C$1800,الريسبي!$A$2:$A$1800,$A30,الريسبي!$B$2:$B$1800,U$1)</f>
        <v>0</v>
      </c>
      <c r="V30" s="117" t="n">
        <f aca="false">SUMIFS(الريسبي!$C$2:$C$1800,الريسبي!$A$2:$A$1800,$A30,الريسبي!$B$2:$B$1800,V$1)+1.5*(SUMIFS(الريسبي!$C$2:$C$1800,الريسبي!$A$2:$A$1800,$A30,الريسبي!$B$2:$B$1800,"برسيون موتزريلا بيتزا كبير"))</f>
        <v>0</v>
      </c>
      <c r="W30" s="117" t="n">
        <f aca="false">0</f>
        <v>0</v>
      </c>
      <c r="X30" s="117" t="n">
        <f aca="false">SUMIFS(الريسبي!$C$2:$C$1800,الريسبي!$A$2:$A$1800,$A30,الريسبي!$B$2:$B$1800,X$1)+1.5*(SUMIFS(الريسبي!$C$2:$C$1800,الريسبي!$A$2:$A$1800,$A30,الريسبي!$B$2:$B$1800,"برسيون موتزريلا فطير كبير"))</f>
        <v>1.5</v>
      </c>
      <c r="Y30" s="117" t="n">
        <f aca="false">0</f>
        <v>0</v>
      </c>
      <c r="Z30" s="117" t="n">
        <f aca="false">SUMIFS(الريسبي!$C$2:$C$1800,الريسبي!$A$2:$A$1800,$A30,الريسبي!$B$2:$B$1800,Z$1)</f>
        <v>0</v>
      </c>
      <c r="AA30" s="117" t="n">
        <f aca="false">SUMIFS(الريسبي!$C$2:$C$1800,الريسبي!$A$2:$A$1800,$A30,الريسبي!$B$2:$B$1800,AA$1)</f>
        <v>0</v>
      </c>
      <c r="AB30" s="117" t="n">
        <f aca="false">SUMIFS(الريسبي!$C$2:$C$1800,الريسبي!$A$2:$A$1800,$A30,الريسبي!$B$2:$B$1800,AB$1)</f>
        <v>0</v>
      </c>
      <c r="AC30" s="117" t="n">
        <f aca="false">SUMIFS(الريسبي!$C$2:$C$1800,الريسبي!$A$2:$A$1800,$A30,الريسبي!$B$2:$B$1800,AC$1)</f>
        <v>0</v>
      </c>
      <c r="AD30" s="117" t="n">
        <f aca="false">SUMIFS(الريسبي!$C$2:$C$1800,الريسبي!$A$2:$A$1800,$A30,الريسبي!$B$2:$B$1800,AD$1)</f>
        <v>0</v>
      </c>
      <c r="AE30" s="117" t="n">
        <f aca="false">SUMIFS(الريسبي!$C$2:$C$1800,الريسبي!$A$2:$A$1800,$A30,الريسبي!$B$2:$B$1800,AE$1)</f>
        <v>0</v>
      </c>
      <c r="AF30" s="117" t="n">
        <f aca="false">SUMIFS(الريسبي!$C$2:$C$1800,الريسبي!$A$2:$A$1800,$A30,الريسبي!$B$2:$B$1800,AF$1)</f>
        <v>0</v>
      </c>
      <c r="AG30" s="117" t="n">
        <f aca="false">SUMIFS(الريسبي!$C$2:$C$1800,الريسبي!$A$2:$A$1800,$A30,الريسبي!$B$2:$B$1800,AG$1)</f>
        <v>0</v>
      </c>
      <c r="AH30" s="117" t="n">
        <f aca="false">SUMIFS(الريسبي!$C$2:$C$1800,الريسبي!$A$2:$A$1800,$A30,الريسبي!$B$2:$B$1800,AH$1)</f>
        <v>0</v>
      </c>
      <c r="AI30" s="117" t="n">
        <f aca="false">SUMIFS(الريسبي!$C$2:$C$1800,الريسبي!$A$2:$A$1800,$A30,الريسبي!$B$2:$B$1800,AI$1)</f>
        <v>0</v>
      </c>
      <c r="AJ30" s="117" t="n">
        <f aca="false">SUMIFS(الريسبي!$C$2:$C$1800,الريسبي!$A$2:$A$1800,$A30,الريسبي!$B$2:$B$1800,AJ$1)</f>
        <v>2</v>
      </c>
      <c r="AK30" s="117" t="n">
        <f aca="false">SUMIFS(الريسبي!$C$2:$C$1800,الريسبي!$A$2:$A$1800,$A30,الريسبي!$B$2:$B$1800,AK$1)</f>
        <v>0</v>
      </c>
      <c r="AL30" s="117" t="n">
        <f aca="false">SUMIFS(الريسبي!$C$2:$C$1800,الريسبي!$A$2:$A$1800,$A30,الريسبي!$B$2:$B$1800,AL$1)</f>
        <v>0</v>
      </c>
      <c r="AM30" s="117" t="n">
        <f aca="false">SUMIFS(الريسبي!$C$2:$C$1800,الريسبي!$A$2:$A$1800,$A30,الريسبي!$B$2:$B$1800,AM$1)+0.08333333333*SUMIFS(الريسبي!$C$2:$C$1800,الريسبي!$A$2:$A$1800,$A30,الريسبي!$B$2:$B$1800,"عجين كريب (مصنع بالمطعم)")+0.08333333333*SUMIFS(الريسبي!$C$2:$C$1800,الريسبي!$A$2:$A$1800,$A30,الريسبي!$B$2:$B$1800,"عجين كريب صيامي (بدون لبن)")</f>
        <v>0</v>
      </c>
      <c r="AN30" s="117" t="n">
        <f aca="false">SUMIFS(الريسبي!$C$2:$C$1800,الريسبي!$A$2:$A$1800,$A30,الريسبي!$B$2:$B$1800,AN$1)+0.004166666667*SUMIFS(الريسبي!$C$2:$C$1800,الريسبي!$A$2:$A$1800,$A30,الريسبي!$B$2:$B$1800,"عجين كريب (مصنع بالمطعم)")+0.004166666667*SUMIFS(الريسبي!$C$2:$C$1800,الريسبي!$A$2:$A$1800,$A30,الريسبي!$B$2:$B$1800,"عجين كريب صيامي (بدون لبن)")</f>
        <v>0</v>
      </c>
      <c r="AO30" s="117" t="n">
        <f aca="false">SUMIFS(الريسبي!$C$2:$C$1800,الريسبي!$A$2:$A$1800,$A30,الريسبي!$B$2:$B$1800,AO$1)</f>
        <v>0</v>
      </c>
      <c r="AP30" s="117" t="n">
        <f aca="false">SUMIFS(الريسبي!$C$2:$C$1800,الريسبي!$A$2:$A$1800,$A30,الريسبي!$B$2:$B$1800,AP$1)</f>
        <v>0.02</v>
      </c>
      <c r="AQ30" s="117" t="n">
        <f aca="false">SUMIFS(الريسبي!$C$2:$C$1800,الريسبي!$A$2:$A$1800,$A30,الريسبي!$B$2:$B$1800,AQ$1)+0.004166666667*SUMIFS(الريسبي!$C$2:$C$1800,الريسبي!$A$2:$A$1800,$A30,الريسبي!$B$2:$B$1800,"عجين كريب (مصنع بالمطعم)")+0.004166666667*SUMIFS(الريسبي!$C$2:$C$1800,الريسبي!$A$2:$A$1800,$A30,الريسبي!$B$2:$B$1800,"عجين كريب صيامي (بدون لبن)")</f>
        <v>0</v>
      </c>
      <c r="AR30" s="117" t="n">
        <f aca="false">SUMIFS(الريسبي!$C$2:$C$1800,الريسبي!$A$2:$A$1800,$A30,الريسبي!$B$2:$B$1800,AR$1)</f>
        <v>0</v>
      </c>
      <c r="AS30" s="117" t="n">
        <f aca="false">SUMIFS(الريسبي!$C$2:$C$1800,الريسبي!$A$2:$A$1800,$A30,الريسبي!$B$2:$B$1800,AS$1)</f>
        <v>0</v>
      </c>
      <c r="AT30" s="117" t="n">
        <f aca="false">SUMIFS(الريسبي!$C$2:$C$1800,الريسبي!$A$2:$A$1800,$A30,الريسبي!$B$2:$B$1800,AT$1)</f>
        <v>0</v>
      </c>
      <c r="AU30" s="117" t="n">
        <f aca="false">SUMIFS(الريسبي!$C$2:$C$1800,الريسبي!$A$2:$A$1800,$A30,الريسبي!$B$2:$B$1800,AU$1)</f>
        <v>0</v>
      </c>
      <c r="AV30" s="117" t="n">
        <f aca="false">SUMIFS(الريسبي!$C$2:$C$1800,الريسبي!$A$2:$A$1800,$A30,الريسبي!$B$2:$B$1800,AV$1)</f>
        <v>0</v>
      </c>
      <c r="AW30" s="117" t="n">
        <f aca="false">SUMIFS(الريسبي!$C$2:$C$1800,الريسبي!$A$2:$A$1800,$A30,الريسبي!$B$2:$B$1800,AW$1)</f>
        <v>0</v>
      </c>
      <c r="AX30" s="117" t="n">
        <f aca="false">SUMIFS(الريسبي!$C$2:$C$1800,الريسبي!$A$2:$A$1800,$A30,الريسبي!$B$2:$B$1800,AX$1)</f>
        <v>0</v>
      </c>
      <c r="AY30" s="117" t="n">
        <f aca="false">SUMIFS(الريسبي!$C$2:$C$1800,الريسبي!$A$2:$A$1800,$A30,الريسبي!$B$2:$B$1800,AY$1)</f>
        <v>0</v>
      </c>
      <c r="AZ30" s="117" t="n">
        <f aca="false">SUMIFS(الريسبي!$C$2:$C$1800,الريسبي!$A$2:$A$1800,$A30,الريسبي!$B$2:$B$1800,AZ$1)</f>
        <v>0</v>
      </c>
      <c r="BA30" s="117" t="n">
        <f aca="false">SUMIFS(الريسبي!$C$2:$C$1800,الريسبي!$A$2:$A$1800,$A30,الريسبي!$B$2:$B$1800,BA$1)</f>
        <v>0</v>
      </c>
      <c r="BB30" s="117" t="n">
        <f aca="false">SUMIFS(الريسبي!$C$2:$C$1800,الريسبي!$A$2:$A$1800,$A30,الريسبي!$B$2:$B$1800,BB$1)</f>
        <v>0.1</v>
      </c>
      <c r="BC30" s="117" t="n">
        <f aca="false">SUMIFS(الريسبي!$C$2:$C$1800,الريسبي!$A$2:$A$1800,$A30,الريسبي!$B$2:$B$1800,BC$1)</f>
        <v>0.03</v>
      </c>
      <c r="BD30" s="117" t="n">
        <f aca="false">SUMIFS(الريسبي!$C$2:$C$1800,الريسبي!$A$2:$A$1800,$A30,الريسبي!$B$2:$B$1800,BD$1)</f>
        <v>0</v>
      </c>
      <c r="BE30" s="117" t="n">
        <f aca="false">SUMIFS(الريسبي!$C$2:$C$1800,الريسبي!$A$2:$A$1800,$A30,الريسبي!$B$2:$B$1800,BE$1)</f>
        <v>1</v>
      </c>
      <c r="BF30" s="117" t="n">
        <f aca="false">SUMIFS(الريسبي!$C$2:$C$1800,الريسبي!$A$2:$A$1800,$A30,الريسبي!$B$2:$B$1800,BF$1)</f>
        <v>0</v>
      </c>
      <c r="BG30" s="117" t="n">
        <f aca="false">SUMIFS(الريسبي!$C$2:$C$1800,الريسبي!$A$2:$A$1800,$A30,الريسبي!$B$2:$B$1800,BG$1)</f>
        <v>0</v>
      </c>
      <c r="BH30" s="117" t="n">
        <f aca="false">SUMIFS(الريسبي!$C$2:$C$1800,الريسبي!$A$2:$A$1800,$A30,الريسبي!$B$2:$B$1800,BH$1)</f>
        <v>1</v>
      </c>
      <c r="BI30" s="117" t="n">
        <f aca="false">SUMIFS(الريسبي!$C$2:$C$1800,الريسبي!$A$2:$A$1800,$A30,الريسبي!$B$2:$B$1800,BI$1)</f>
        <v>0</v>
      </c>
      <c r="BJ30" s="117" t="n">
        <f aca="false">SUMIFS(الريسبي!$C$2:$C$1800,الريسبي!$A$2:$A$1800,$A30,الريسبي!$B$2:$B$1800,BJ$1)</f>
        <v>0</v>
      </c>
      <c r="BK30" s="117" t="n">
        <f aca="false">SUMIFS(الريسبي!$C$2:$C$1800,الريسبي!$A$2:$A$1800,$A30,الريسبي!$B$2:$B$1800,BK$1)</f>
        <v>0</v>
      </c>
      <c r="BL30" s="117" t="n">
        <f aca="false">SUMIFS(الريسبي!$C$2:$C$1800,الريسبي!$A$2:$A$1800,$A30,الريسبي!$B$2:$B$1800,BL$1)</f>
        <v>0</v>
      </c>
      <c r="BM30" s="117" t="n">
        <f aca="false">SUMIFS(الريسبي!$C$2:$C$1800,الريسبي!$A$2:$A$1800,$A30,الريسبي!$B$2:$B$1800,BM$1)</f>
        <v>0</v>
      </c>
      <c r="BN30" s="117" t="n">
        <f aca="false">SUMIFS(الريسبي!$C$2:$C$1800,الريسبي!$A$2:$A$1800,$A30,الريسبي!$B$2:$B$1800,BN$1)</f>
        <v>0.02</v>
      </c>
      <c r="BO30" s="117" t="n">
        <f aca="false">SUMIFS(الريسبي!$C$2:$C$1800,الريسبي!$A$2:$A$1800,$A30,الريسبي!$B$2:$B$1800,BO$1)</f>
        <v>2</v>
      </c>
      <c r="BP30" s="117" t="n">
        <f aca="false">SUMIFS(الريسبي!$C$2:$C$1800,الريسبي!$A$2:$A$1800,$A30,الريسبي!$B$2:$B$1800,BP$1)</f>
        <v>2</v>
      </c>
      <c r="BQ30" s="117" t="n">
        <f aca="false">SUMIFS(الريسبي!$C$2:$C$1800,الريسبي!$A$2:$A$1800,$A30,الريسبي!$B$2:$B$1800,BQ$1)+0.17*SUMIFS(الريسبي!$C$2:$C$1800,الريسبي!$A$2:$A$1800,$A30,الريسبي!$B$2:$B$1800,"كاسترد مصنع (خليط بودر + لبن)")+0.17*SUMIFS(الريسبي!$C$2:$C$1800,الريسبي!$A$2:$A$1800,$A30,الريسبي!$B$2:$B$1800,"كاسترد مصنع صيامي (بدون لبن)")</f>
        <v>0</v>
      </c>
      <c r="BR30" s="117" t="n">
        <f aca="false">SUMIFS(الريسبي!$C$2:$C$1800,الريسبي!$A$2:$A$1800,$A30,الريسبي!$B$2:$B$1800,BR$1)</f>
        <v>1</v>
      </c>
      <c r="BS30" s="117" t="n">
        <f aca="false">SUMIFS(الريسبي!$C$2:$C$1800,الريسبي!$A$2:$A$1800,$A30,الريسبي!$B$2:$B$1800,BS$1)</f>
        <v>0</v>
      </c>
      <c r="BT30" s="117" t="n">
        <f aca="false">SUMIFS(الريسبي!$C$2:$C$1800,الريسبي!$A$2:$A$1800,$A30,الريسبي!$B$2:$B$1800,BT$1)</f>
        <v>0</v>
      </c>
      <c r="BU30" s="117" t="n">
        <f aca="false">SUMIFS(الريسبي!$C$2:$C$1800,الريسبي!$A$2:$A$1800,$A30,الريسبي!$B$2:$B$1800,BU$1)+0.4*SUMIFS(الريسبي!$C$2:$C$1800,الريسبي!$A$2:$A$1800,$A30,الريسبي!$B$2:$B$1800,"كاسترد مصنع (خليط بودر + لبن)")+0.03333333333*SUMIFS(الريسبي!$C$2:$C$1800,الريسبي!$A$2:$A$1800,$A30,الريسبي!$B$2:$B$1800,"عجين كريب (مصنع بالمطعم)")</f>
        <v>0</v>
      </c>
      <c r="BV30" s="117" t="n">
        <f aca="false">SUMIFS(الريسبي!$C$2:$C$1800,الريسبي!$A$2:$A$1800,$A30,الريسبي!$B$2:$B$1800,BV$1)</f>
        <v>0</v>
      </c>
      <c r="BW30" s="117" t="n">
        <f aca="false">SUMIFS(الريسبي!$C$2:$C$1800,الريسبي!$A$2:$A$1800,$A30,الريسبي!$B$2:$B$1800,BW$1)</f>
        <v>0</v>
      </c>
      <c r="BX30" s="117" t="n">
        <f aca="false">SUMIFS(الريسبي!$C$2:$C$1800,الريسبي!$A$2:$A$1800,$A30,الريسبي!$B$2:$B$1800,BX$1)</f>
        <v>0</v>
      </c>
      <c r="BY30" s="117" t="n">
        <f aca="false">SUMIFS(الريسبي!$C$2:$C$1800,الريسبي!$A$2:$A$1800,$A30,الريسبي!$B$2:$B$1800,BY$1)</f>
        <v>0</v>
      </c>
      <c r="BZ30" s="117" t="n">
        <f aca="false">SUMIFS(الريسبي!$C$2:$C$1800,الريسبي!$A$2:$A$1800,$A30,الريسبي!$B$2:$B$1800,BZ$1)</f>
        <v>0</v>
      </c>
      <c r="CA30" s="117" t="n">
        <f aca="false">SUMIFS(الريسبي!$C$2:$C$1800,الريسبي!$A$2:$A$1800,$A30,الريسبي!$B$2:$B$1800,CA$1)</f>
        <v>1</v>
      </c>
      <c r="CB30" s="117" t="n">
        <f aca="false">SUMIFS(الريسبي!$C$2:$C$1800,الريسبي!$A$2:$A$1800,$A30,الريسبي!$B$2:$B$1800,CB$1)</f>
        <v>1</v>
      </c>
      <c r="CC30" s="117" t="n">
        <f aca="false">SUMIFS(الريسبي!$C$2:$C$1800,الريسبي!$A$2:$A$1800,$A30,الريسبي!$B$2:$B$1800,CC$1)</f>
        <v>0</v>
      </c>
      <c r="CD30" s="117" t="n">
        <f aca="false">SUMIFS(الريسبي!$C$2:$C$1800,الريسبي!$A$2:$A$1800,$A30,الريسبي!$B$2:$B$1800,CD$1)</f>
        <v>0</v>
      </c>
      <c r="CE30" s="117" t="n">
        <f aca="false">SUMIFS(الريسبي!$C$2:$C$1800,الريسبي!$A$2:$A$1800,$A30,الريسبي!$B$2:$B$1800,CE$1)</f>
        <v>0</v>
      </c>
      <c r="CF30" s="117" t="n">
        <f aca="false">SUMIFS(الريسبي!$C$2:$C$1800,الريسبي!$A$2:$A$1800,$A30,الريسبي!$B$2:$B$1800,CF$1)</f>
        <v>0</v>
      </c>
      <c r="CG30" s="117" t="n">
        <f aca="false">SUMIFS(الريسبي!$C$2:$C$1800,الريسبي!$A$2:$A$1800,$A30,الريسبي!$B$2:$B$1800,CG$1)</f>
        <v>0</v>
      </c>
      <c r="CH30" s="117" t="n">
        <f aca="false">SUMIFS(الريسبي!$C$2:$C$1800,الريسبي!$A$2:$A$1800,$A30,الريسبي!$B$2:$B$1800,CH$1)</f>
        <v>0</v>
      </c>
      <c r="CI30" s="117" t="n">
        <f aca="false">SUMIFS(الريسبي!$C$2:$C$1800,الريسبي!$A$2:$A$1800,$A30,الريسبي!$B$2:$B$1800,CI$1)</f>
        <v>0</v>
      </c>
      <c r="CJ30" s="117" t="n">
        <f aca="false">SUMIFS(الريسبي!$C$2:$C$1800,الريسبي!$A$2:$A$1800,$A30,الريسبي!$B$2:$B$1800,CJ$1)</f>
        <v>0</v>
      </c>
      <c r="CK30" s="117" t="n">
        <f aca="false">SUMIFS(الريسبي!$C$2:$C$1800,الريسبي!$A$2:$A$1800,$A30,الريسبي!$B$2:$B$1800,CK$1)</f>
        <v>0</v>
      </c>
      <c r="CL30" s="117" t="n">
        <f aca="false">SUMIFS(الريسبي!$C$2:$C$1800,الريسبي!$A$2:$A$1800,$A30,الريسبي!$B$2:$B$1800,CL$1)</f>
        <v>0</v>
      </c>
    </row>
    <row r="31" customFormat="false" ht="15" hidden="false" customHeight="false" outlineLevel="0" collapsed="false">
      <c r="A31" s="116" t="str">
        <f aca="false">المنيو!B31</f>
        <v>فطيرة مشكل جبن حجم اكبر</v>
      </c>
      <c r="B31" s="117" t="n">
        <f aca="false">SUMIFS(الريسبي!$C$2:$C$1800,الريسبي!$A$2:$A$1800,$A31,الريسبي!$B$2:$B$1800,B$1)</f>
        <v>0</v>
      </c>
      <c r="C31" s="117" t="n">
        <f aca="false">SUMIFS(الريسبي!$C$2:$C$1800,الريسبي!$A$2:$A$1800,$A31,الريسبي!$B$2:$B$1800,C$1)</f>
        <v>0</v>
      </c>
      <c r="D31" s="117" t="n">
        <f aca="false">SUMIFS(الريسبي!$C$2:$C$1800,الريسبي!$A$2:$A$1800,$A31,الريسبي!$B$2:$B$1800,D$1)</f>
        <v>1</v>
      </c>
      <c r="E31" s="117" t="n">
        <f aca="false">SUMIFS(الريسبي!$C$2:$C$1800,الريسبي!$A$2:$A$1800,$A31,الريسبي!$B$2:$B$1800,E$1)</f>
        <v>0</v>
      </c>
      <c r="F31" s="117" t="n">
        <f aca="false">SUMIFS(الريسبي!$C$2:$C$1800,الريسبي!$A$2:$A$1800,$A31,الريسبي!$B$2:$B$1800,F$1)</f>
        <v>0</v>
      </c>
      <c r="G31" s="117" t="n">
        <f aca="false">SUMIFS(الريسبي!$C$2:$C$1800,الريسبي!$A$2:$A$1800,$A31,الريسبي!$B$2:$B$1800,G$1)</f>
        <v>0</v>
      </c>
      <c r="H31" s="117" t="n">
        <f aca="false">SUMIFS(الريسبي!$C$2:$C$1800,الريسبي!$A$2:$A$1800,$A31,الريسبي!$B$2:$B$1800,H$1)</f>
        <v>0</v>
      </c>
      <c r="I31" s="117" t="n">
        <f aca="false">SUMIFS(الريسبي!$C$2:$C$1800,الريسبي!$A$2:$A$1800,$A31,الريسبي!$B$2:$B$1800,I$1)</f>
        <v>0</v>
      </c>
      <c r="J31" s="117" t="n">
        <f aca="false">SUMIFS(الريسبي!$C$2:$C$1800,الريسبي!$A$2:$A$1800,$A31,الريسبي!$B$2:$B$1800,J$1)</f>
        <v>1.5</v>
      </c>
      <c r="K31" s="117" t="n">
        <f aca="false">SUMIFS(الريسبي!$C$2:$C$1800,الريسبي!$A$2:$A$1800,$A31,الريسبي!$B$2:$B$1800,K$1)</f>
        <v>0</v>
      </c>
      <c r="L31" s="117" t="n">
        <f aca="false">SUMIFS(الريسبي!$C$2:$C$1800,الريسبي!$A$2:$A$1800,$A31,الريسبي!$B$2:$B$1800,L$1)</f>
        <v>0</v>
      </c>
      <c r="M31" s="117" t="n">
        <f aca="false">SUMIFS(الريسبي!$C$2:$C$1800,الريسبي!$A$2:$A$1800,$A31,الريسبي!$B$2:$B$1800,M$1)</f>
        <v>0</v>
      </c>
      <c r="N31" s="117" t="n">
        <f aca="false">SUMIFS(الريسبي!$C$2:$C$1800,الريسبي!$A$2:$A$1800,$A31,الريسبي!$B$2:$B$1800,N$1)</f>
        <v>0</v>
      </c>
      <c r="O31" s="117" t="n">
        <f aca="false">SUMIFS(الريسبي!$C$2:$C$1800,الريسبي!$A$2:$A$1800,$A31,الريسبي!$B$2:$B$1800,O$1)</f>
        <v>0</v>
      </c>
      <c r="P31" s="117" t="n">
        <f aca="false">SUMIFS(الريسبي!$C$2:$C$1800,الريسبي!$A$2:$A$1800,$A31,الريسبي!$B$2:$B$1800,P$1)</f>
        <v>0</v>
      </c>
      <c r="Q31" s="117" t="n">
        <f aca="false">SUMIFS(الريسبي!$C$2:$C$1800,الريسبي!$A$2:$A$1800,$A31,الريسبي!$B$2:$B$1800,Q$1)</f>
        <v>0</v>
      </c>
      <c r="R31" s="117" t="n">
        <f aca="false">SUMIFS(الريسبي!$C$2:$C$1800,الريسبي!$A$2:$A$1800,$A31,الريسبي!$B$2:$B$1800,R$1)</f>
        <v>0</v>
      </c>
      <c r="S31" s="117" t="n">
        <f aca="false">SUMIFS(الريسبي!$C$2:$C$1800,الريسبي!$A$2:$A$1800,$A31,الريسبي!$B$2:$B$1800,S$1)</f>
        <v>0</v>
      </c>
      <c r="T31" s="117" t="n">
        <f aca="false">SUMIFS(الريسبي!$C$2:$C$1800,الريسبي!$A$2:$A$1800,$A31,الريسبي!$B$2:$B$1800,T$1)</f>
        <v>0</v>
      </c>
      <c r="U31" s="117" t="n">
        <f aca="false">SUMIFS(الريسبي!$C$2:$C$1800,الريسبي!$A$2:$A$1800,$A31,الريسبي!$B$2:$B$1800,U$1)</f>
        <v>0</v>
      </c>
      <c r="V31" s="117" t="n">
        <f aca="false">SUMIFS(الريسبي!$C$2:$C$1800,الريسبي!$A$2:$A$1800,$A31,الريسبي!$B$2:$B$1800,V$1)+1.5*(SUMIFS(الريسبي!$C$2:$C$1800,الريسبي!$A$2:$A$1800,$A31,الريسبي!$B$2:$B$1800,"برسيون موتزريلا بيتزا كبير"))</f>
        <v>0</v>
      </c>
      <c r="W31" s="117" t="n">
        <f aca="false">0</f>
        <v>0</v>
      </c>
      <c r="X31" s="117" t="n">
        <f aca="false">SUMIFS(الريسبي!$C$2:$C$1800,الريسبي!$A$2:$A$1800,$A31,الريسبي!$B$2:$B$1800,X$1)+1.5*(SUMIFS(الريسبي!$C$2:$C$1800,الريسبي!$A$2:$A$1800,$A31,الريسبي!$B$2:$B$1800,"برسيون موتزريلا فطير كبير"))</f>
        <v>2.25</v>
      </c>
      <c r="Y31" s="117" t="n">
        <f aca="false">0</f>
        <v>0</v>
      </c>
      <c r="Z31" s="117" t="n">
        <f aca="false">SUMIFS(الريسبي!$C$2:$C$1800,الريسبي!$A$2:$A$1800,$A31,الريسبي!$B$2:$B$1800,Z$1)</f>
        <v>0</v>
      </c>
      <c r="AA31" s="117" t="n">
        <f aca="false">SUMIFS(الريسبي!$C$2:$C$1800,الريسبي!$A$2:$A$1800,$A31,الريسبي!$B$2:$B$1800,AA$1)</f>
        <v>0</v>
      </c>
      <c r="AB31" s="117" t="n">
        <f aca="false">SUMIFS(الريسبي!$C$2:$C$1800,الريسبي!$A$2:$A$1800,$A31,الريسبي!$B$2:$B$1800,AB$1)</f>
        <v>0</v>
      </c>
      <c r="AC31" s="117" t="n">
        <f aca="false">SUMIFS(الريسبي!$C$2:$C$1800,الريسبي!$A$2:$A$1800,$A31,الريسبي!$B$2:$B$1800,AC$1)</f>
        <v>0</v>
      </c>
      <c r="AD31" s="117" t="n">
        <f aca="false">SUMIFS(الريسبي!$C$2:$C$1800,الريسبي!$A$2:$A$1800,$A31,الريسبي!$B$2:$B$1800,AD$1)</f>
        <v>0</v>
      </c>
      <c r="AE31" s="117" t="n">
        <f aca="false">SUMIFS(الريسبي!$C$2:$C$1800,الريسبي!$A$2:$A$1800,$A31,الريسبي!$B$2:$B$1800,AE$1)</f>
        <v>0</v>
      </c>
      <c r="AF31" s="117" t="n">
        <f aca="false">SUMIFS(الريسبي!$C$2:$C$1800,الريسبي!$A$2:$A$1800,$A31,الريسبي!$B$2:$B$1800,AF$1)</f>
        <v>0</v>
      </c>
      <c r="AG31" s="117" t="n">
        <f aca="false">SUMIFS(الريسبي!$C$2:$C$1800,الريسبي!$A$2:$A$1800,$A31,الريسبي!$B$2:$B$1800,AG$1)</f>
        <v>0</v>
      </c>
      <c r="AH31" s="117" t="n">
        <f aca="false">SUMIFS(الريسبي!$C$2:$C$1800,الريسبي!$A$2:$A$1800,$A31,الريسبي!$B$2:$B$1800,AH$1)</f>
        <v>0</v>
      </c>
      <c r="AI31" s="117" t="n">
        <f aca="false">SUMIFS(الريسبي!$C$2:$C$1800,الريسبي!$A$2:$A$1800,$A31,الريسبي!$B$2:$B$1800,AI$1)</f>
        <v>0</v>
      </c>
      <c r="AJ31" s="117" t="n">
        <f aca="false">SUMIFS(الريسبي!$C$2:$C$1800,الريسبي!$A$2:$A$1800,$A31,الريسبي!$B$2:$B$1800,AJ$1)</f>
        <v>2</v>
      </c>
      <c r="AK31" s="117" t="n">
        <f aca="false">SUMIFS(الريسبي!$C$2:$C$1800,الريسبي!$A$2:$A$1800,$A31,الريسبي!$B$2:$B$1800,AK$1)</f>
        <v>0</v>
      </c>
      <c r="AL31" s="117" t="n">
        <f aca="false">SUMIFS(الريسبي!$C$2:$C$1800,الريسبي!$A$2:$A$1800,$A31,الريسبي!$B$2:$B$1800,AL$1)</f>
        <v>0</v>
      </c>
      <c r="AM31" s="117" t="n">
        <f aca="false">SUMIFS(الريسبي!$C$2:$C$1800,الريسبي!$A$2:$A$1800,$A31,الريسبي!$B$2:$B$1800,AM$1)+0.08333333333*SUMIFS(الريسبي!$C$2:$C$1800,الريسبي!$A$2:$A$1800,$A31,الريسبي!$B$2:$B$1800,"عجين كريب (مصنع بالمطعم)")+0.08333333333*SUMIFS(الريسبي!$C$2:$C$1800,الريسبي!$A$2:$A$1800,$A31,الريسبي!$B$2:$B$1800,"عجين كريب صيامي (بدون لبن)")</f>
        <v>0</v>
      </c>
      <c r="AN31" s="117" t="n">
        <f aca="false">SUMIFS(الريسبي!$C$2:$C$1800,الريسبي!$A$2:$A$1800,$A31,الريسبي!$B$2:$B$1800,AN$1)+0.004166666667*SUMIFS(الريسبي!$C$2:$C$1800,الريسبي!$A$2:$A$1800,$A31,الريسبي!$B$2:$B$1800,"عجين كريب (مصنع بالمطعم)")+0.004166666667*SUMIFS(الريسبي!$C$2:$C$1800,الريسبي!$A$2:$A$1800,$A31,الريسبي!$B$2:$B$1800,"عجين كريب صيامي (بدون لبن)")</f>
        <v>0</v>
      </c>
      <c r="AO31" s="117" t="n">
        <f aca="false">SUMIFS(الريسبي!$C$2:$C$1800,الريسبي!$A$2:$A$1800,$A31,الريسبي!$B$2:$B$1800,AO$1)</f>
        <v>0</v>
      </c>
      <c r="AP31" s="117" t="n">
        <f aca="false">SUMIFS(الريسبي!$C$2:$C$1800,الريسبي!$A$2:$A$1800,$A31,الريسبي!$B$2:$B$1800,AP$1)</f>
        <v>0.03</v>
      </c>
      <c r="AQ31" s="117" t="n">
        <f aca="false">SUMIFS(الريسبي!$C$2:$C$1800,الريسبي!$A$2:$A$1800,$A31,الريسبي!$B$2:$B$1800,AQ$1)+0.004166666667*SUMIFS(الريسبي!$C$2:$C$1800,الريسبي!$A$2:$A$1800,$A31,الريسبي!$B$2:$B$1800,"عجين كريب (مصنع بالمطعم)")+0.004166666667*SUMIFS(الريسبي!$C$2:$C$1800,الريسبي!$A$2:$A$1800,$A31,الريسبي!$B$2:$B$1800,"عجين كريب صيامي (بدون لبن)")</f>
        <v>0</v>
      </c>
      <c r="AR31" s="117" t="n">
        <f aca="false">SUMIFS(الريسبي!$C$2:$C$1800,الريسبي!$A$2:$A$1800,$A31,الريسبي!$B$2:$B$1800,AR$1)</f>
        <v>0</v>
      </c>
      <c r="AS31" s="117" t="n">
        <f aca="false">SUMIFS(الريسبي!$C$2:$C$1800,الريسبي!$A$2:$A$1800,$A31,الريسبي!$B$2:$B$1800,AS$1)</f>
        <v>0</v>
      </c>
      <c r="AT31" s="117" t="n">
        <f aca="false">SUMIFS(الريسبي!$C$2:$C$1800,الريسبي!$A$2:$A$1800,$A31,الريسبي!$B$2:$B$1800,AT$1)</f>
        <v>0</v>
      </c>
      <c r="AU31" s="117" t="n">
        <f aca="false">SUMIFS(الريسبي!$C$2:$C$1800,الريسبي!$A$2:$A$1800,$A31,الريسبي!$B$2:$B$1800,AU$1)</f>
        <v>0</v>
      </c>
      <c r="AV31" s="117" t="n">
        <f aca="false">SUMIFS(الريسبي!$C$2:$C$1800,الريسبي!$A$2:$A$1800,$A31,الريسبي!$B$2:$B$1800,AV$1)</f>
        <v>0</v>
      </c>
      <c r="AW31" s="117" t="n">
        <f aca="false">SUMIFS(الريسبي!$C$2:$C$1800,الريسبي!$A$2:$A$1800,$A31,الريسبي!$B$2:$B$1800,AW$1)</f>
        <v>0</v>
      </c>
      <c r="AX31" s="117" t="n">
        <f aca="false">SUMIFS(الريسبي!$C$2:$C$1800,الريسبي!$A$2:$A$1800,$A31,الريسبي!$B$2:$B$1800,AX$1)</f>
        <v>0</v>
      </c>
      <c r="AY31" s="117" t="n">
        <f aca="false">SUMIFS(الريسبي!$C$2:$C$1800,الريسبي!$A$2:$A$1800,$A31,الريسبي!$B$2:$B$1800,AY$1)</f>
        <v>0</v>
      </c>
      <c r="AZ31" s="117" t="n">
        <f aca="false">SUMIFS(الريسبي!$C$2:$C$1800,الريسبي!$A$2:$A$1800,$A31,الريسبي!$B$2:$B$1800,AZ$1)</f>
        <v>0</v>
      </c>
      <c r="BA31" s="117" t="n">
        <f aca="false">SUMIFS(الريسبي!$C$2:$C$1800,الريسبي!$A$2:$A$1800,$A31,الريسبي!$B$2:$B$1800,BA$1)</f>
        <v>0</v>
      </c>
      <c r="BB31" s="117" t="n">
        <f aca="false">SUMIFS(الريسبي!$C$2:$C$1800,الريسبي!$A$2:$A$1800,$A31,الريسبي!$B$2:$B$1800,BB$1)</f>
        <v>0.15</v>
      </c>
      <c r="BC31" s="117" t="n">
        <f aca="false">SUMIFS(الريسبي!$C$2:$C$1800,الريسبي!$A$2:$A$1800,$A31,الريسبي!$B$2:$B$1800,BC$1)</f>
        <v>0.045</v>
      </c>
      <c r="BD31" s="117" t="n">
        <f aca="false">SUMIFS(الريسبي!$C$2:$C$1800,الريسبي!$A$2:$A$1800,$A31,الريسبي!$B$2:$B$1800,BD$1)</f>
        <v>0</v>
      </c>
      <c r="BE31" s="117" t="n">
        <f aca="false">SUMIFS(الريسبي!$C$2:$C$1800,الريسبي!$A$2:$A$1800,$A31,الريسبي!$B$2:$B$1800,BE$1)</f>
        <v>1.5</v>
      </c>
      <c r="BF31" s="117" t="n">
        <f aca="false">SUMIFS(الريسبي!$C$2:$C$1800,الريسبي!$A$2:$A$1800,$A31,الريسبي!$B$2:$B$1800,BF$1)</f>
        <v>0</v>
      </c>
      <c r="BG31" s="117" t="n">
        <f aca="false">SUMIFS(الريسبي!$C$2:$C$1800,الريسبي!$A$2:$A$1800,$A31,الريسبي!$B$2:$B$1800,BG$1)</f>
        <v>1</v>
      </c>
      <c r="BH31" s="117" t="n">
        <f aca="false">SUMIFS(الريسبي!$C$2:$C$1800,الريسبي!$A$2:$A$1800,$A31,الريسبي!$B$2:$B$1800,BH$1)</f>
        <v>0</v>
      </c>
      <c r="BI31" s="117" t="n">
        <f aca="false">SUMIFS(الريسبي!$C$2:$C$1800,الريسبي!$A$2:$A$1800,$A31,الريسبي!$B$2:$B$1800,BI$1)</f>
        <v>0</v>
      </c>
      <c r="BJ31" s="117" t="n">
        <f aca="false">SUMIFS(الريسبي!$C$2:$C$1800,الريسبي!$A$2:$A$1800,$A31,الريسبي!$B$2:$B$1800,BJ$1)</f>
        <v>0</v>
      </c>
      <c r="BK31" s="117" t="n">
        <f aca="false">SUMIFS(الريسبي!$C$2:$C$1800,الريسبي!$A$2:$A$1800,$A31,الريسبي!$B$2:$B$1800,BK$1)</f>
        <v>0</v>
      </c>
      <c r="BL31" s="117" t="n">
        <f aca="false">SUMIFS(الريسبي!$C$2:$C$1800,الريسبي!$A$2:$A$1800,$A31,الريسبي!$B$2:$B$1800,BL$1)</f>
        <v>0</v>
      </c>
      <c r="BM31" s="117" t="n">
        <f aca="false">SUMIFS(الريسبي!$C$2:$C$1800,الريسبي!$A$2:$A$1800,$A31,الريسبي!$B$2:$B$1800,BM$1)</f>
        <v>0</v>
      </c>
      <c r="BN31" s="117" t="n">
        <f aca="false">SUMIFS(الريسبي!$C$2:$C$1800,الريسبي!$A$2:$A$1800,$A31,الريسبي!$B$2:$B$1800,BN$1)</f>
        <v>0.03</v>
      </c>
      <c r="BO31" s="117" t="n">
        <f aca="false">SUMIFS(الريسبي!$C$2:$C$1800,الريسبي!$A$2:$A$1800,$A31,الريسبي!$B$2:$B$1800,BO$1)</f>
        <v>3</v>
      </c>
      <c r="BP31" s="117" t="n">
        <f aca="false">SUMIFS(الريسبي!$C$2:$C$1800,الريسبي!$A$2:$A$1800,$A31,الريسبي!$B$2:$B$1800,BP$1)</f>
        <v>3</v>
      </c>
      <c r="BQ31" s="117" t="n">
        <f aca="false">SUMIFS(الريسبي!$C$2:$C$1800,الريسبي!$A$2:$A$1800,$A31,الريسبي!$B$2:$B$1800,BQ$1)+0.17*SUMIFS(الريسبي!$C$2:$C$1800,الريسبي!$A$2:$A$1800,$A31,الريسبي!$B$2:$B$1800,"كاسترد مصنع (خليط بودر + لبن)")+0.17*SUMIFS(الريسبي!$C$2:$C$1800,الريسبي!$A$2:$A$1800,$A31,الريسبي!$B$2:$B$1800,"كاسترد مصنع صيامي (بدون لبن)")</f>
        <v>0</v>
      </c>
      <c r="BR31" s="117" t="n">
        <f aca="false">SUMIFS(الريسبي!$C$2:$C$1800,الريسبي!$A$2:$A$1800,$A31,الريسبي!$B$2:$B$1800,BR$1)</f>
        <v>1</v>
      </c>
      <c r="BS31" s="117" t="n">
        <f aca="false">SUMIFS(الريسبي!$C$2:$C$1800,الريسبي!$A$2:$A$1800,$A31,الريسبي!$B$2:$B$1800,BS$1)</f>
        <v>0</v>
      </c>
      <c r="BT31" s="117" t="n">
        <f aca="false">SUMIFS(الريسبي!$C$2:$C$1800,الريسبي!$A$2:$A$1800,$A31,الريسبي!$B$2:$B$1800,BT$1)</f>
        <v>0</v>
      </c>
      <c r="BU31" s="117" t="n">
        <f aca="false">SUMIFS(الريسبي!$C$2:$C$1800,الريسبي!$A$2:$A$1800,$A31,الريسبي!$B$2:$B$1800,BU$1)+0.4*SUMIFS(الريسبي!$C$2:$C$1800,الريسبي!$A$2:$A$1800,$A31,الريسبي!$B$2:$B$1800,"كاسترد مصنع (خليط بودر + لبن)")+0.03333333333*SUMIFS(الريسبي!$C$2:$C$1800,الريسبي!$A$2:$A$1800,$A31,الريسبي!$B$2:$B$1800,"عجين كريب (مصنع بالمطعم)")</f>
        <v>0</v>
      </c>
      <c r="BV31" s="117" t="n">
        <f aca="false">SUMIFS(الريسبي!$C$2:$C$1800,الريسبي!$A$2:$A$1800,$A31,الريسبي!$B$2:$B$1800,BV$1)</f>
        <v>0</v>
      </c>
      <c r="BW31" s="117" t="n">
        <f aca="false">SUMIFS(الريسبي!$C$2:$C$1800,الريسبي!$A$2:$A$1800,$A31,الريسبي!$B$2:$B$1800,BW$1)</f>
        <v>0</v>
      </c>
      <c r="BX31" s="117" t="n">
        <f aca="false">SUMIFS(الريسبي!$C$2:$C$1800,الريسبي!$A$2:$A$1800,$A31,الريسبي!$B$2:$B$1800,BX$1)</f>
        <v>0</v>
      </c>
      <c r="BY31" s="117" t="n">
        <f aca="false">SUMIFS(الريسبي!$C$2:$C$1800,الريسبي!$A$2:$A$1800,$A31,الريسبي!$B$2:$B$1800,BY$1)</f>
        <v>0</v>
      </c>
      <c r="BZ31" s="117" t="n">
        <f aca="false">SUMIFS(الريسبي!$C$2:$C$1800,الريسبي!$A$2:$A$1800,$A31,الريسبي!$B$2:$B$1800,BZ$1)</f>
        <v>0</v>
      </c>
      <c r="CA31" s="117" t="n">
        <f aca="false">SUMIFS(الريسبي!$C$2:$C$1800,الريسبي!$A$2:$A$1800,$A31,الريسبي!$B$2:$B$1800,CA$1)</f>
        <v>1</v>
      </c>
      <c r="CB31" s="117" t="n">
        <f aca="false">SUMIFS(الريسبي!$C$2:$C$1800,الريسبي!$A$2:$A$1800,$A31,الريسبي!$B$2:$B$1800,CB$1)</f>
        <v>1</v>
      </c>
      <c r="CC31" s="117" t="n">
        <f aca="false">SUMIFS(الريسبي!$C$2:$C$1800,الريسبي!$A$2:$A$1800,$A31,الريسبي!$B$2:$B$1800,CC$1)</f>
        <v>0</v>
      </c>
      <c r="CD31" s="117" t="n">
        <f aca="false">SUMIFS(الريسبي!$C$2:$C$1800,الريسبي!$A$2:$A$1800,$A31,الريسبي!$B$2:$B$1800,CD$1)</f>
        <v>0</v>
      </c>
      <c r="CE31" s="117" t="n">
        <f aca="false">SUMIFS(الريسبي!$C$2:$C$1800,الريسبي!$A$2:$A$1800,$A31,الريسبي!$B$2:$B$1800,CE$1)</f>
        <v>0</v>
      </c>
      <c r="CF31" s="117" t="n">
        <f aca="false">SUMIFS(الريسبي!$C$2:$C$1800,الريسبي!$A$2:$A$1800,$A31,الريسبي!$B$2:$B$1800,CF$1)</f>
        <v>0</v>
      </c>
      <c r="CG31" s="117" t="n">
        <f aca="false">SUMIFS(الريسبي!$C$2:$C$1800,الريسبي!$A$2:$A$1800,$A31,الريسبي!$B$2:$B$1800,CG$1)</f>
        <v>0</v>
      </c>
      <c r="CH31" s="117" t="n">
        <f aca="false">SUMIFS(الريسبي!$C$2:$C$1800,الريسبي!$A$2:$A$1800,$A31,الريسبي!$B$2:$B$1800,CH$1)</f>
        <v>0</v>
      </c>
      <c r="CI31" s="117" t="n">
        <f aca="false">SUMIFS(الريسبي!$C$2:$C$1800,الريسبي!$A$2:$A$1800,$A31,الريسبي!$B$2:$B$1800,CI$1)</f>
        <v>0</v>
      </c>
      <c r="CJ31" s="117" t="n">
        <f aca="false">SUMIFS(الريسبي!$C$2:$C$1800,الريسبي!$A$2:$A$1800,$A31,الريسبي!$B$2:$B$1800,CJ$1)</f>
        <v>0</v>
      </c>
      <c r="CK31" s="117" t="n">
        <f aca="false">SUMIFS(الريسبي!$C$2:$C$1800,الريسبي!$A$2:$A$1800,$A31,الريسبي!$B$2:$B$1800,CK$1)</f>
        <v>0</v>
      </c>
      <c r="CL31" s="117" t="n">
        <f aca="false">SUMIFS(الريسبي!$C$2:$C$1800,الريسبي!$A$2:$A$1800,$A31,الريسبي!$B$2:$B$1800,CL$1)</f>
        <v>0</v>
      </c>
    </row>
    <row r="32" customFormat="false" ht="15" hidden="false" customHeight="false" outlineLevel="0" collapsed="false">
      <c r="A32" s="116" t="str">
        <f aca="false">المنيو!B32</f>
        <v>فطيرة فراخ رانش وسط</v>
      </c>
      <c r="B32" s="117" t="n">
        <f aca="false">SUMIFS(الريسبي!$C$2:$C$1800,الريسبي!$A$2:$A$1800,$A32,الريسبي!$B$2:$B$1800,B$1)</f>
        <v>0</v>
      </c>
      <c r="C32" s="117" t="n">
        <f aca="false">SUMIFS(الريسبي!$C$2:$C$1800,الريسبي!$A$2:$A$1800,$A32,الريسبي!$B$2:$B$1800,C$1)</f>
        <v>0</v>
      </c>
      <c r="D32" s="117" t="n">
        <f aca="false">SUMIFS(الريسبي!$C$2:$C$1800,الريسبي!$A$2:$A$1800,$A32,الريسبي!$B$2:$B$1800,D$1)</f>
        <v>1</v>
      </c>
      <c r="E32" s="117" t="n">
        <f aca="false">SUMIFS(الريسبي!$C$2:$C$1800,الريسبي!$A$2:$A$1800,$A32,الريسبي!$B$2:$B$1800,E$1)</f>
        <v>0</v>
      </c>
      <c r="F32" s="117" t="n">
        <f aca="false">SUMIFS(الريسبي!$C$2:$C$1800,الريسبي!$A$2:$A$1800,$A32,الريسبي!$B$2:$B$1800,F$1)</f>
        <v>0</v>
      </c>
      <c r="G32" s="117" t="n">
        <f aca="false">SUMIFS(الريسبي!$C$2:$C$1800,الريسبي!$A$2:$A$1800,$A32,الريسبي!$B$2:$B$1800,G$1)</f>
        <v>0</v>
      </c>
      <c r="H32" s="117" t="n">
        <f aca="false">SUMIFS(الريسبي!$C$2:$C$1800,الريسبي!$A$2:$A$1800,$A32,الريسبي!$B$2:$B$1800,H$1)</f>
        <v>0</v>
      </c>
      <c r="I32" s="117" t="n">
        <f aca="false">SUMIFS(الريسبي!$C$2:$C$1800,الريسبي!$A$2:$A$1800,$A32,الريسبي!$B$2:$B$1800,I$1)</f>
        <v>0</v>
      </c>
      <c r="J32" s="117" t="n">
        <f aca="false">SUMIFS(الريسبي!$C$2:$C$1800,الريسبي!$A$2:$A$1800,$A32,الريسبي!$B$2:$B$1800,J$1)</f>
        <v>0</v>
      </c>
      <c r="K32" s="117" t="n">
        <f aca="false">SUMIFS(الريسبي!$C$2:$C$1800,الريسبي!$A$2:$A$1800,$A32,الريسبي!$B$2:$B$1800,K$1)</f>
        <v>0</v>
      </c>
      <c r="L32" s="117" t="n">
        <f aca="false">SUMIFS(الريسبي!$C$2:$C$1800,الريسبي!$A$2:$A$1800,$A32,الريسبي!$B$2:$B$1800,L$1)</f>
        <v>0</v>
      </c>
      <c r="M32" s="117" t="n">
        <f aca="false">SUMIFS(الريسبي!$C$2:$C$1800,الريسبي!$A$2:$A$1800,$A32,الريسبي!$B$2:$B$1800,M$1)</f>
        <v>0</v>
      </c>
      <c r="N32" s="117" t="n">
        <f aca="false">SUMIFS(الريسبي!$C$2:$C$1800,الريسبي!$A$2:$A$1800,$A32,الريسبي!$B$2:$B$1800,N$1)</f>
        <v>0</v>
      </c>
      <c r="O32" s="117" t="n">
        <f aca="false">SUMIFS(الريسبي!$C$2:$C$1800,الريسبي!$A$2:$A$1800,$A32,الريسبي!$B$2:$B$1800,O$1)</f>
        <v>1</v>
      </c>
      <c r="P32" s="117" t="n">
        <f aca="false">SUMIFS(الريسبي!$C$2:$C$1800,الريسبي!$A$2:$A$1800,$A32,الريسبي!$B$2:$B$1800,P$1)</f>
        <v>0</v>
      </c>
      <c r="Q32" s="117" t="n">
        <f aca="false">SUMIFS(الريسبي!$C$2:$C$1800,الريسبي!$A$2:$A$1800,$A32,الريسبي!$B$2:$B$1800,Q$1)</f>
        <v>0</v>
      </c>
      <c r="R32" s="117" t="n">
        <f aca="false">SUMIFS(الريسبي!$C$2:$C$1800,الريسبي!$A$2:$A$1800,$A32,الريسبي!$B$2:$B$1800,R$1)</f>
        <v>0</v>
      </c>
      <c r="S32" s="117" t="n">
        <f aca="false">SUMIFS(الريسبي!$C$2:$C$1800,الريسبي!$A$2:$A$1800,$A32,الريسبي!$B$2:$B$1800,S$1)</f>
        <v>0</v>
      </c>
      <c r="T32" s="117" t="n">
        <f aca="false">SUMIFS(الريسبي!$C$2:$C$1800,الريسبي!$A$2:$A$1800,$A32,الريسبي!$B$2:$B$1800,T$1)</f>
        <v>0</v>
      </c>
      <c r="U32" s="117" t="n">
        <f aca="false">SUMIFS(الريسبي!$C$2:$C$1800,الريسبي!$A$2:$A$1800,$A32,الريسبي!$B$2:$B$1800,U$1)</f>
        <v>0</v>
      </c>
      <c r="V32" s="117" t="n">
        <f aca="false">SUMIFS(الريسبي!$C$2:$C$1800,الريسبي!$A$2:$A$1800,$A32,الريسبي!$B$2:$B$1800,V$1)+1.5*(SUMIFS(الريسبي!$C$2:$C$1800,الريسبي!$A$2:$A$1800,$A32,الريسبي!$B$2:$B$1800,"برسيون موتزريلا بيتزا كبير"))</f>
        <v>0</v>
      </c>
      <c r="W32" s="117" t="n">
        <f aca="false">0</f>
        <v>0</v>
      </c>
      <c r="X32" s="117" t="n">
        <f aca="false">SUMIFS(الريسبي!$C$2:$C$1800,الريسبي!$A$2:$A$1800,$A32,الريسبي!$B$2:$B$1800,X$1)+1.5*(SUMIFS(الريسبي!$C$2:$C$1800,الريسبي!$A$2:$A$1800,$A32,الريسبي!$B$2:$B$1800,"برسيون موتزريلا فطير كبير"))</f>
        <v>1</v>
      </c>
      <c r="Y32" s="117" t="n">
        <f aca="false">0</f>
        <v>0</v>
      </c>
      <c r="Z32" s="117" t="n">
        <f aca="false">SUMIFS(الريسبي!$C$2:$C$1800,الريسبي!$A$2:$A$1800,$A32,الريسبي!$B$2:$B$1800,Z$1)</f>
        <v>0</v>
      </c>
      <c r="AA32" s="117" t="n">
        <f aca="false">SUMIFS(الريسبي!$C$2:$C$1800,الريسبي!$A$2:$A$1800,$A32,الريسبي!$B$2:$B$1800,AA$1)</f>
        <v>0</v>
      </c>
      <c r="AB32" s="117" t="n">
        <f aca="false">SUMIFS(الريسبي!$C$2:$C$1800,الريسبي!$A$2:$A$1800,$A32,الريسبي!$B$2:$B$1800,AB$1)</f>
        <v>0</v>
      </c>
      <c r="AC32" s="117" t="n">
        <f aca="false">SUMIFS(الريسبي!$C$2:$C$1800,الريسبي!$A$2:$A$1800,$A32,الريسبي!$B$2:$B$1800,AC$1)</f>
        <v>0</v>
      </c>
      <c r="AD32" s="117" t="n">
        <f aca="false">SUMIFS(الريسبي!$C$2:$C$1800,الريسبي!$A$2:$A$1800,$A32,الريسبي!$B$2:$B$1800,AD$1)</f>
        <v>0</v>
      </c>
      <c r="AE32" s="117" t="n">
        <f aca="false">SUMIFS(الريسبي!$C$2:$C$1800,الريسبي!$A$2:$A$1800,$A32,الريسبي!$B$2:$B$1800,AE$1)</f>
        <v>0</v>
      </c>
      <c r="AF32" s="117" t="n">
        <f aca="false">SUMIFS(الريسبي!$C$2:$C$1800,الريسبي!$A$2:$A$1800,$A32,الريسبي!$B$2:$B$1800,AF$1)</f>
        <v>0</v>
      </c>
      <c r="AG32" s="117" t="n">
        <f aca="false">SUMIFS(الريسبي!$C$2:$C$1800,الريسبي!$A$2:$A$1800,$A32,الريسبي!$B$2:$B$1800,AG$1)</f>
        <v>0</v>
      </c>
      <c r="AH32" s="117" t="n">
        <f aca="false">SUMIFS(الريسبي!$C$2:$C$1800,الريسبي!$A$2:$A$1800,$A32,الريسبي!$B$2:$B$1800,AH$1)</f>
        <v>0</v>
      </c>
      <c r="AI32" s="117" t="n">
        <f aca="false">SUMIFS(الريسبي!$C$2:$C$1800,الريسبي!$A$2:$A$1800,$A32,الريسبي!$B$2:$B$1800,AI$1)</f>
        <v>0</v>
      </c>
      <c r="AJ32" s="117" t="n">
        <f aca="false">SUMIFS(الريسبي!$C$2:$C$1800,الريسبي!$A$2:$A$1800,$A32,الريسبي!$B$2:$B$1800,AJ$1)</f>
        <v>2</v>
      </c>
      <c r="AK32" s="117" t="n">
        <f aca="false">SUMIFS(الريسبي!$C$2:$C$1800,الريسبي!$A$2:$A$1800,$A32,الريسبي!$B$2:$B$1800,AK$1)</f>
        <v>0</v>
      </c>
      <c r="AL32" s="117" t="n">
        <f aca="false">SUMIFS(الريسبي!$C$2:$C$1800,الريسبي!$A$2:$A$1800,$A32,الريسبي!$B$2:$B$1800,AL$1)</f>
        <v>0</v>
      </c>
      <c r="AM32" s="117" t="n">
        <f aca="false">SUMIFS(الريسبي!$C$2:$C$1800,الريسبي!$A$2:$A$1800,$A32,الريسبي!$B$2:$B$1800,AM$1)+0.08333333333*SUMIFS(الريسبي!$C$2:$C$1800,الريسبي!$A$2:$A$1800,$A32,الريسبي!$B$2:$B$1800,"عجين كريب (مصنع بالمطعم)")+0.08333333333*SUMIFS(الريسبي!$C$2:$C$1800,الريسبي!$A$2:$A$1800,$A32,الريسبي!$B$2:$B$1800,"عجين كريب صيامي (بدون لبن)")</f>
        <v>0</v>
      </c>
      <c r="AN32" s="117" t="n">
        <f aca="false">SUMIFS(الريسبي!$C$2:$C$1800,الريسبي!$A$2:$A$1800,$A32,الريسبي!$B$2:$B$1800,AN$1)+0.004166666667*SUMIFS(الريسبي!$C$2:$C$1800,الريسبي!$A$2:$A$1800,$A32,الريسبي!$B$2:$B$1800,"عجين كريب (مصنع بالمطعم)")+0.004166666667*SUMIFS(الريسبي!$C$2:$C$1800,الريسبي!$A$2:$A$1800,$A32,الريسبي!$B$2:$B$1800,"عجين كريب صيامي (بدون لبن)")</f>
        <v>0</v>
      </c>
      <c r="AO32" s="117" t="n">
        <f aca="false">SUMIFS(الريسبي!$C$2:$C$1800,الريسبي!$A$2:$A$1800,$A32,الريسبي!$B$2:$B$1800,AO$1)</f>
        <v>0</v>
      </c>
      <c r="AP32" s="117" t="n">
        <f aca="false">SUMIFS(الريسبي!$C$2:$C$1800,الريسبي!$A$2:$A$1800,$A32,الريسبي!$B$2:$B$1800,AP$1)</f>
        <v>0.02</v>
      </c>
      <c r="AQ32" s="117" t="n">
        <f aca="false">SUMIFS(الريسبي!$C$2:$C$1800,الريسبي!$A$2:$A$1800,$A32,الريسبي!$B$2:$B$1800,AQ$1)+0.004166666667*SUMIFS(الريسبي!$C$2:$C$1800,الريسبي!$A$2:$A$1800,$A32,الريسبي!$B$2:$B$1800,"عجين كريب (مصنع بالمطعم)")+0.004166666667*SUMIFS(الريسبي!$C$2:$C$1800,الريسبي!$A$2:$A$1800,$A32,الريسبي!$B$2:$B$1800,"عجين كريب صيامي (بدون لبن)")</f>
        <v>0</v>
      </c>
      <c r="AR32" s="117" t="n">
        <f aca="false">SUMIFS(الريسبي!$C$2:$C$1800,الريسبي!$A$2:$A$1800,$A32,الريسبي!$B$2:$B$1800,AR$1)</f>
        <v>0</v>
      </c>
      <c r="AS32" s="117" t="n">
        <f aca="false">SUMIFS(الريسبي!$C$2:$C$1800,الريسبي!$A$2:$A$1800,$A32,الريسبي!$B$2:$B$1800,AS$1)</f>
        <v>0</v>
      </c>
      <c r="AT32" s="117" t="n">
        <f aca="false">SUMIFS(الريسبي!$C$2:$C$1800,الريسبي!$A$2:$A$1800,$A32,الريسبي!$B$2:$B$1800,AT$1)</f>
        <v>0</v>
      </c>
      <c r="AU32" s="117" t="n">
        <f aca="false">SUMIFS(الريسبي!$C$2:$C$1800,الريسبي!$A$2:$A$1800,$A32,الريسبي!$B$2:$B$1800,AU$1)</f>
        <v>0</v>
      </c>
      <c r="AV32" s="117" t="n">
        <f aca="false">SUMIFS(الريسبي!$C$2:$C$1800,الريسبي!$A$2:$A$1800,$A32,الريسبي!$B$2:$B$1800,AV$1)</f>
        <v>0</v>
      </c>
      <c r="AW32" s="117" t="n">
        <f aca="false">SUMIFS(الريسبي!$C$2:$C$1800,الريسبي!$A$2:$A$1800,$A32,الريسبي!$B$2:$B$1800,AW$1)</f>
        <v>0</v>
      </c>
      <c r="AX32" s="117" t="n">
        <f aca="false">SUMIFS(الريسبي!$C$2:$C$1800,الريسبي!$A$2:$A$1800,$A32,الريسبي!$B$2:$B$1800,AX$1)</f>
        <v>0</v>
      </c>
      <c r="AY32" s="117" t="n">
        <f aca="false">SUMIFS(الريسبي!$C$2:$C$1800,الريسبي!$A$2:$A$1800,$A32,الريسبي!$B$2:$B$1800,AY$1)</f>
        <v>0</v>
      </c>
      <c r="AZ32" s="117" t="n">
        <f aca="false">SUMIFS(الريسبي!$C$2:$C$1800,الريسبي!$A$2:$A$1800,$A32,الريسبي!$B$2:$B$1800,AZ$1)</f>
        <v>0</v>
      </c>
      <c r="BA32" s="117" t="n">
        <f aca="false">SUMIFS(الريسبي!$C$2:$C$1800,الريسبي!$A$2:$A$1800,$A32,الريسبي!$B$2:$B$1800,BA$1)</f>
        <v>0.1</v>
      </c>
      <c r="BB32" s="117" t="n">
        <f aca="false">SUMIFS(الريسبي!$C$2:$C$1800,الريسبي!$A$2:$A$1800,$A32,الريسبي!$B$2:$B$1800,BB$1)</f>
        <v>0</v>
      </c>
      <c r="BC32" s="117" t="n">
        <f aca="false">SUMIFS(الريسبي!$C$2:$C$1800,الريسبي!$A$2:$A$1800,$A32,الريسبي!$B$2:$B$1800,BC$1)</f>
        <v>0.03</v>
      </c>
      <c r="BD32" s="117" t="n">
        <f aca="false">SUMIFS(الريسبي!$C$2:$C$1800,الريسبي!$A$2:$A$1800,$A32,الريسبي!$B$2:$B$1800,BD$1)</f>
        <v>0</v>
      </c>
      <c r="BE32" s="117" t="n">
        <f aca="false">SUMIFS(الريسبي!$C$2:$C$1800,الريسبي!$A$2:$A$1800,$A32,الريسبي!$B$2:$B$1800,BE$1)</f>
        <v>1</v>
      </c>
      <c r="BF32" s="117" t="n">
        <f aca="false">SUMIFS(الريسبي!$C$2:$C$1800,الريسبي!$A$2:$A$1800,$A32,الريسبي!$B$2:$B$1800,BF$1)</f>
        <v>0</v>
      </c>
      <c r="BG32" s="117" t="n">
        <f aca="false">SUMIFS(الريسبي!$C$2:$C$1800,الريسبي!$A$2:$A$1800,$A32,الريسبي!$B$2:$B$1800,BG$1)</f>
        <v>0</v>
      </c>
      <c r="BH32" s="117" t="n">
        <f aca="false">SUMIFS(الريسبي!$C$2:$C$1800,الريسبي!$A$2:$A$1800,$A32,الريسبي!$B$2:$B$1800,BH$1)</f>
        <v>1</v>
      </c>
      <c r="BI32" s="117" t="n">
        <f aca="false">SUMIFS(الريسبي!$C$2:$C$1800,الريسبي!$A$2:$A$1800,$A32,الريسبي!$B$2:$B$1800,BI$1)</f>
        <v>0</v>
      </c>
      <c r="BJ32" s="117" t="n">
        <f aca="false">SUMIFS(الريسبي!$C$2:$C$1800,الريسبي!$A$2:$A$1800,$A32,الريسبي!$B$2:$B$1800,BJ$1)</f>
        <v>0</v>
      </c>
      <c r="BK32" s="117" t="n">
        <f aca="false">SUMIFS(الريسبي!$C$2:$C$1800,الريسبي!$A$2:$A$1800,$A32,الريسبي!$B$2:$B$1800,BK$1)</f>
        <v>0</v>
      </c>
      <c r="BL32" s="117" t="n">
        <f aca="false">SUMIFS(الريسبي!$C$2:$C$1800,الريسبي!$A$2:$A$1800,$A32,الريسبي!$B$2:$B$1800,BL$1)</f>
        <v>0</v>
      </c>
      <c r="BM32" s="117" t="n">
        <f aca="false">SUMIFS(الريسبي!$C$2:$C$1800,الريسبي!$A$2:$A$1800,$A32,الريسبي!$B$2:$B$1800,BM$1)</f>
        <v>0</v>
      </c>
      <c r="BN32" s="117" t="n">
        <f aca="false">SUMIFS(الريسبي!$C$2:$C$1800,الريسبي!$A$2:$A$1800,$A32,الريسبي!$B$2:$B$1800,BN$1)</f>
        <v>0.02</v>
      </c>
      <c r="BO32" s="117" t="n">
        <f aca="false">SUMIFS(الريسبي!$C$2:$C$1800,الريسبي!$A$2:$A$1800,$A32,الريسبي!$B$2:$B$1800,BO$1)</f>
        <v>0</v>
      </c>
      <c r="BP32" s="117" t="n">
        <f aca="false">SUMIFS(الريسبي!$C$2:$C$1800,الريسبي!$A$2:$A$1800,$A32,الريسبي!$B$2:$B$1800,BP$1)</f>
        <v>2</v>
      </c>
      <c r="BQ32" s="117" t="n">
        <f aca="false">SUMIFS(الريسبي!$C$2:$C$1800,الريسبي!$A$2:$A$1800,$A32,الريسبي!$B$2:$B$1800,BQ$1)+0.17*SUMIFS(الريسبي!$C$2:$C$1800,الريسبي!$A$2:$A$1800,$A32,الريسبي!$B$2:$B$1800,"كاسترد مصنع (خليط بودر + لبن)")+0.17*SUMIFS(الريسبي!$C$2:$C$1800,الريسبي!$A$2:$A$1800,$A32,الريسبي!$B$2:$B$1800,"كاسترد مصنع صيامي (بدون لبن)")</f>
        <v>0</v>
      </c>
      <c r="BR32" s="117" t="n">
        <f aca="false">SUMIFS(الريسبي!$C$2:$C$1800,الريسبي!$A$2:$A$1800,$A32,الريسبي!$B$2:$B$1800,BR$1)</f>
        <v>1</v>
      </c>
      <c r="BS32" s="117" t="n">
        <f aca="false">SUMIFS(الريسبي!$C$2:$C$1800,الريسبي!$A$2:$A$1800,$A32,الريسبي!$B$2:$B$1800,BS$1)</f>
        <v>0</v>
      </c>
      <c r="BT32" s="117" t="n">
        <f aca="false">SUMIFS(الريسبي!$C$2:$C$1800,الريسبي!$A$2:$A$1800,$A32,الريسبي!$B$2:$B$1800,BT$1)</f>
        <v>0</v>
      </c>
      <c r="BU32" s="117" t="n">
        <f aca="false">SUMIFS(الريسبي!$C$2:$C$1800,الريسبي!$A$2:$A$1800,$A32,الريسبي!$B$2:$B$1800,BU$1)+0.4*SUMIFS(الريسبي!$C$2:$C$1800,الريسبي!$A$2:$A$1800,$A32,الريسبي!$B$2:$B$1800,"كاسترد مصنع (خليط بودر + لبن)")+0.03333333333*SUMIFS(الريسبي!$C$2:$C$1800,الريسبي!$A$2:$A$1800,$A32,الريسبي!$B$2:$B$1800,"عجين كريب (مصنع بالمطعم)")</f>
        <v>0</v>
      </c>
      <c r="BV32" s="117" t="n">
        <f aca="false">SUMIFS(الريسبي!$C$2:$C$1800,الريسبي!$A$2:$A$1800,$A32,الريسبي!$B$2:$B$1800,BV$1)</f>
        <v>0</v>
      </c>
      <c r="BW32" s="117" t="n">
        <f aca="false">SUMIFS(الريسبي!$C$2:$C$1800,الريسبي!$A$2:$A$1800,$A32,الريسبي!$B$2:$B$1800,BW$1)</f>
        <v>0</v>
      </c>
      <c r="BX32" s="117" t="n">
        <f aca="false">SUMIFS(الريسبي!$C$2:$C$1800,الريسبي!$A$2:$A$1800,$A32,الريسبي!$B$2:$B$1800,BX$1)</f>
        <v>0</v>
      </c>
      <c r="BY32" s="117" t="n">
        <f aca="false">SUMIFS(الريسبي!$C$2:$C$1800,الريسبي!$A$2:$A$1800,$A32,الريسبي!$B$2:$B$1800,BY$1)</f>
        <v>0</v>
      </c>
      <c r="BZ32" s="117" t="n">
        <f aca="false">SUMIFS(الريسبي!$C$2:$C$1800,الريسبي!$A$2:$A$1800,$A32,الريسبي!$B$2:$B$1800,BZ$1)</f>
        <v>0</v>
      </c>
      <c r="CA32" s="117" t="n">
        <f aca="false">SUMIFS(الريسبي!$C$2:$C$1800,الريسبي!$A$2:$A$1800,$A32,الريسبي!$B$2:$B$1800,CA$1)</f>
        <v>1</v>
      </c>
      <c r="CB32" s="117" t="n">
        <f aca="false">SUMIFS(الريسبي!$C$2:$C$1800,الريسبي!$A$2:$A$1800,$A32,الريسبي!$B$2:$B$1800,CB$1)</f>
        <v>1</v>
      </c>
      <c r="CC32" s="117" t="n">
        <f aca="false">SUMIFS(الريسبي!$C$2:$C$1800,الريسبي!$A$2:$A$1800,$A32,الريسبي!$B$2:$B$1800,CC$1)</f>
        <v>0</v>
      </c>
      <c r="CD32" s="117" t="n">
        <f aca="false">SUMIFS(الريسبي!$C$2:$C$1800,الريسبي!$A$2:$A$1800,$A32,الريسبي!$B$2:$B$1800,CD$1)</f>
        <v>0</v>
      </c>
      <c r="CE32" s="117" t="n">
        <f aca="false">SUMIFS(الريسبي!$C$2:$C$1800,الريسبي!$A$2:$A$1800,$A32,الريسبي!$B$2:$B$1800,CE$1)</f>
        <v>0</v>
      </c>
      <c r="CF32" s="117" t="n">
        <f aca="false">SUMIFS(الريسبي!$C$2:$C$1800,الريسبي!$A$2:$A$1800,$A32,الريسبي!$B$2:$B$1800,CF$1)</f>
        <v>0</v>
      </c>
      <c r="CG32" s="117" t="n">
        <f aca="false">SUMIFS(الريسبي!$C$2:$C$1800,الريسبي!$A$2:$A$1800,$A32,الريسبي!$B$2:$B$1800,CG$1)</f>
        <v>0</v>
      </c>
      <c r="CH32" s="117" t="n">
        <f aca="false">SUMIFS(الريسبي!$C$2:$C$1800,الريسبي!$A$2:$A$1800,$A32,الريسبي!$B$2:$B$1800,CH$1)</f>
        <v>0</v>
      </c>
      <c r="CI32" s="117" t="n">
        <f aca="false">SUMIFS(الريسبي!$C$2:$C$1800,الريسبي!$A$2:$A$1800,$A32,الريسبي!$B$2:$B$1800,CI$1)</f>
        <v>0</v>
      </c>
      <c r="CJ32" s="117" t="n">
        <f aca="false">SUMIFS(الريسبي!$C$2:$C$1800,الريسبي!$A$2:$A$1800,$A32,الريسبي!$B$2:$B$1800,CJ$1)</f>
        <v>0</v>
      </c>
      <c r="CK32" s="117" t="n">
        <f aca="false">SUMIFS(الريسبي!$C$2:$C$1800,الريسبي!$A$2:$A$1800,$A32,الريسبي!$B$2:$B$1800,CK$1)</f>
        <v>0</v>
      </c>
      <c r="CL32" s="117" t="n">
        <f aca="false">SUMIFS(الريسبي!$C$2:$C$1800,الريسبي!$A$2:$A$1800,$A32,الريسبي!$B$2:$B$1800,CL$1)</f>
        <v>0</v>
      </c>
    </row>
    <row r="33" customFormat="false" ht="15" hidden="false" customHeight="false" outlineLevel="0" collapsed="false">
      <c r="A33" s="116" t="str">
        <f aca="false">المنيو!B33</f>
        <v>فطيرة فراخ رانش حجم اكبر</v>
      </c>
      <c r="B33" s="117" t="n">
        <f aca="false">SUMIFS(الريسبي!$C$2:$C$1800,الريسبي!$A$2:$A$1800,$A33,الريسبي!$B$2:$B$1800,B$1)</f>
        <v>0</v>
      </c>
      <c r="C33" s="117" t="n">
        <f aca="false">SUMIFS(الريسبي!$C$2:$C$1800,الريسبي!$A$2:$A$1800,$A33,الريسبي!$B$2:$B$1800,C$1)</f>
        <v>0</v>
      </c>
      <c r="D33" s="117" t="n">
        <f aca="false">SUMIFS(الريسبي!$C$2:$C$1800,الريسبي!$A$2:$A$1800,$A33,الريسبي!$B$2:$B$1800,D$1)</f>
        <v>1</v>
      </c>
      <c r="E33" s="117" t="n">
        <f aca="false">SUMIFS(الريسبي!$C$2:$C$1800,الريسبي!$A$2:$A$1800,$A33,الريسبي!$B$2:$B$1800,E$1)</f>
        <v>0</v>
      </c>
      <c r="F33" s="117" t="n">
        <f aca="false">SUMIFS(الريسبي!$C$2:$C$1800,الريسبي!$A$2:$A$1800,$A33,الريسبي!$B$2:$B$1800,F$1)</f>
        <v>0</v>
      </c>
      <c r="G33" s="117" t="n">
        <f aca="false">SUMIFS(الريسبي!$C$2:$C$1800,الريسبي!$A$2:$A$1800,$A33,الريسبي!$B$2:$B$1800,G$1)</f>
        <v>0</v>
      </c>
      <c r="H33" s="117" t="n">
        <f aca="false">SUMIFS(الريسبي!$C$2:$C$1800,الريسبي!$A$2:$A$1800,$A33,الريسبي!$B$2:$B$1800,H$1)</f>
        <v>0</v>
      </c>
      <c r="I33" s="117" t="n">
        <f aca="false">SUMIFS(الريسبي!$C$2:$C$1800,الريسبي!$A$2:$A$1800,$A33,الريسبي!$B$2:$B$1800,I$1)</f>
        <v>0</v>
      </c>
      <c r="J33" s="117" t="n">
        <f aca="false">SUMIFS(الريسبي!$C$2:$C$1800,الريسبي!$A$2:$A$1800,$A33,الريسبي!$B$2:$B$1800,J$1)</f>
        <v>0</v>
      </c>
      <c r="K33" s="117" t="n">
        <f aca="false">SUMIFS(الريسبي!$C$2:$C$1800,الريسبي!$A$2:$A$1800,$A33,الريسبي!$B$2:$B$1800,K$1)</f>
        <v>0</v>
      </c>
      <c r="L33" s="117" t="n">
        <f aca="false">SUMIFS(الريسبي!$C$2:$C$1800,الريسبي!$A$2:$A$1800,$A33,الريسبي!$B$2:$B$1800,L$1)</f>
        <v>0</v>
      </c>
      <c r="M33" s="117" t="n">
        <f aca="false">SUMIFS(الريسبي!$C$2:$C$1800,الريسبي!$A$2:$A$1800,$A33,الريسبي!$B$2:$B$1800,M$1)</f>
        <v>0</v>
      </c>
      <c r="N33" s="117" t="n">
        <f aca="false">SUMIFS(الريسبي!$C$2:$C$1800,الريسبي!$A$2:$A$1800,$A33,الريسبي!$B$2:$B$1800,N$1)</f>
        <v>0</v>
      </c>
      <c r="O33" s="117" t="n">
        <f aca="false">SUMIFS(الريسبي!$C$2:$C$1800,الريسبي!$A$2:$A$1800,$A33,الريسبي!$B$2:$B$1800,O$1)</f>
        <v>0</v>
      </c>
      <c r="P33" s="117" t="n">
        <f aca="false">SUMIFS(الريسبي!$C$2:$C$1800,الريسبي!$A$2:$A$1800,$A33,الريسبي!$B$2:$B$1800,P$1)</f>
        <v>1</v>
      </c>
      <c r="Q33" s="117" t="n">
        <f aca="false">SUMIFS(الريسبي!$C$2:$C$1800,الريسبي!$A$2:$A$1800,$A33,الريسبي!$B$2:$B$1800,Q$1)</f>
        <v>0</v>
      </c>
      <c r="R33" s="117" t="n">
        <f aca="false">SUMIFS(الريسبي!$C$2:$C$1800,الريسبي!$A$2:$A$1800,$A33,الريسبي!$B$2:$B$1800,R$1)</f>
        <v>0</v>
      </c>
      <c r="S33" s="117" t="n">
        <f aca="false">SUMIFS(الريسبي!$C$2:$C$1800,الريسبي!$A$2:$A$1800,$A33,الريسبي!$B$2:$B$1800,S$1)</f>
        <v>0</v>
      </c>
      <c r="T33" s="117" t="n">
        <f aca="false">SUMIFS(الريسبي!$C$2:$C$1800,الريسبي!$A$2:$A$1800,$A33,الريسبي!$B$2:$B$1800,T$1)</f>
        <v>0</v>
      </c>
      <c r="U33" s="117" t="n">
        <f aca="false">SUMIFS(الريسبي!$C$2:$C$1800,الريسبي!$A$2:$A$1800,$A33,الريسبي!$B$2:$B$1800,U$1)</f>
        <v>0</v>
      </c>
      <c r="V33" s="117" t="n">
        <f aca="false">SUMIFS(الريسبي!$C$2:$C$1800,الريسبي!$A$2:$A$1800,$A33,الريسبي!$B$2:$B$1800,V$1)+1.5*(SUMIFS(الريسبي!$C$2:$C$1800,الريسبي!$A$2:$A$1800,$A33,الريسبي!$B$2:$B$1800,"برسيون موتزريلا بيتزا كبير"))</f>
        <v>0</v>
      </c>
      <c r="W33" s="117" t="n">
        <f aca="false">0</f>
        <v>0</v>
      </c>
      <c r="X33" s="117" t="n">
        <f aca="false">SUMIFS(الريسبي!$C$2:$C$1800,الريسبي!$A$2:$A$1800,$A33,الريسبي!$B$2:$B$1800,X$1)+1.5*(SUMIFS(الريسبي!$C$2:$C$1800,الريسبي!$A$2:$A$1800,$A33,الريسبي!$B$2:$B$1800,"برسيون موتزريلا فطير كبير"))</f>
        <v>1.5</v>
      </c>
      <c r="Y33" s="117" t="n">
        <f aca="false">0</f>
        <v>0</v>
      </c>
      <c r="Z33" s="117" t="n">
        <f aca="false">SUMIFS(الريسبي!$C$2:$C$1800,الريسبي!$A$2:$A$1800,$A33,الريسبي!$B$2:$B$1800,Z$1)</f>
        <v>0</v>
      </c>
      <c r="AA33" s="117" t="n">
        <f aca="false">SUMIFS(الريسبي!$C$2:$C$1800,الريسبي!$A$2:$A$1800,$A33,الريسبي!$B$2:$B$1800,AA$1)</f>
        <v>0</v>
      </c>
      <c r="AB33" s="117" t="n">
        <f aca="false">SUMIFS(الريسبي!$C$2:$C$1800,الريسبي!$A$2:$A$1800,$A33,الريسبي!$B$2:$B$1800,AB$1)</f>
        <v>0</v>
      </c>
      <c r="AC33" s="117" t="n">
        <f aca="false">SUMIFS(الريسبي!$C$2:$C$1800,الريسبي!$A$2:$A$1800,$A33,الريسبي!$B$2:$B$1800,AC$1)</f>
        <v>0</v>
      </c>
      <c r="AD33" s="117" t="n">
        <f aca="false">SUMIFS(الريسبي!$C$2:$C$1800,الريسبي!$A$2:$A$1800,$A33,الريسبي!$B$2:$B$1800,AD$1)</f>
        <v>0</v>
      </c>
      <c r="AE33" s="117" t="n">
        <f aca="false">SUMIFS(الريسبي!$C$2:$C$1800,الريسبي!$A$2:$A$1800,$A33,الريسبي!$B$2:$B$1800,AE$1)</f>
        <v>0</v>
      </c>
      <c r="AF33" s="117" t="n">
        <f aca="false">SUMIFS(الريسبي!$C$2:$C$1800,الريسبي!$A$2:$A$1800,$A33,الريسبي!$B$2:$B$1800,AF$1)</f>
        <v>0</v>
      </c>
      <c r="AG33" s="117" t="n">
        <f aca="false">SUMIFS(الريسبي!$C$2:$C$1800,الريسبي!$A$2:$A$1800,$A33,الريسبي!$B$2:$B$1800,AG$1)</f>
        <v>0</v>
      </c>
      <c r="AH33" s="117" t="n">
        <f aca="false">SUMIFS(الريسبي!$C$2:$C$1800,الريسبي!$A$2:$A$1800,$A33,الريسبي!$B$2:$B$1800,AH$1)</f>
        <v>0</v>
      </c>
      <c r="AI33" s="117" t="n">
        <f aca="false">SUMIFS(الريسبي!$C$2:$C$1800,الريسبي!$A$2:$A$1800,$A33,الريسبي!$B$2:$B$1800,AI$1)</f>
        <v>0</v>
      </c>
      <c r="AJ33" s="117" t="n">
        <f aca="false">SUMIFS(الريسبي!$C$2:$C$1800,الريسبي!$A$2:$A$1800,$A33,الريسبي!$B$2:$B$1800,AJ$1)</f>
        <v>2</v>
      </c>
      <c r="AK33" s="117" t="n">
        <f aca="false">SUMIFS(الريسبي!$C$2:$C$1800,الريسبي!$A$2:$A$1800,$A33,الريسبي!$B$2:$B$1800,AK$1)</f>
        <v>0</v>
      </c>
      <c r="AL33" s="117" t="n">
        <f aca="false">SUMIFS(الريسبي!$C$2:$C$1800,الريسبي!$A$2:$A$1800,$A33,الريسبي!$B$2:$B$1800,AL$1)</f>
        <v>0</v>
      </c>
      <c r="AM33" s="117" t="n">
        <f aca="false">SUMIFS(الريسبي!$C$2:$C$1800,الريسبي!$A$2:$A$1800,$A33,الريسبي!$B$2:$B$1800,AM$1)+0.08333333333*SUMIFS(الريسبي!$C$2:$C$1800,الريسبي!$A$2:$A$1800,$A33,الريسبي!$B$2:$B$1800,"عجين كريب (مصنع بالمطعم)")+0.08333333333*SUMIFS(الريسبي!$C$2:$C$1800,الريسبي!$A$2:$A$1800,$A33,الريسبي!$B$2:$B$1800,"عجين كريب صيامي (بدون لبن)")</f>
        <v>0</v>
      </c>
      <c r="AN33" s="117" t="n">
        <f aca="false">SUMIFS(الريسبي!$C$2:$C$1800,الريسبي!$A$2:$A$1800,$A33,الريسبي!$B$2:$B$1800,AN$1)+0.004166666667*SUMIFS(الريسبي!$C$2:$C$1800,الريسبي!$A$2:$A$1800,$A33,الريسبي!$B$2:$B$1800,"عجين كريب (مصنع بالمطعم)")+0.004166666667*SUMIFS(الريسبي!$C$2:$C$1800,الريسبي!$A$2:$A$1800,$A33,الريسبي!$B$2:$B$1800,"عجين كريب صيامي (بدون لبن)")</f>
        <v>0</v>
      </c>
      <c r="AO33" s="117" t="n">
        <f aca="false">SUMIFS(الريسبي!$C$2:$C$1800,الريسبي!$A$2:$A$1800,$A33,الريسبي!$B$2:$B$1800,AO$1)</f>
        <v>0</v>
      </c>
      <c r="AP33" s="117" t="n">
        <f aca="false">SUMIFS(الريسبي!$C$2:$C$1800,الريسبي!$A$2:$A$1800,$A33,الريسبي!$B$2:$B$1800,AP$1)</f>
        <v>0.03</v>
      </c>
      <c r="AQ33" s="117" t="n">
        <f aca="false">SUMIFS(الريسبي!$C$2:$C$1800,الريسبي!$A$2:$A$1800,$A33,الريسبي!$B$2:$B$1800,AQ$1)+0.004166666667*SUMIFS(الريسبي!$C$2:$C$1800,الريسبي!$A$2:$A$1800,$A33,الريسبي!$B$2:$B$1800,"عجين كريب (مصنع بالمطعم)")+0.004166666667*SUMIFS(الريسبي!$C$2:$C$1800,الريسبي!$A$2:$A$1800,$A33,الريسبي!$B$2:$B$1800,"عجين كريب صيامي (بدون لبن)")</f>
        <v>0</v>
      </c>
      <c r="AR33" s="117" t="n">
        <f aca="false">SUMIFS(الريسبي!$C$2:$C$1800,الريسبي!$A$2:$A$1800,$A33,الريسبي!$B$2:$B$1800,AR$1)</f>
        <v>0</v>
      </c>
      <c r="AS33" s="117" t="n">
        <f aca="false">SUMIFS(الريسبي!$C$2:$C$1800,الريسبي!$A$2:$A$1800,$A33,الريسبي!$B$2:$B$1800,AS$1)</f>
        <v>0</v>
      </c>
      <c r="AT33" s="117" t="n">
        <f aca="false">SUMIFS(الريسبي!$C$2:$C$1800,الريسبي!$A$2:$A$1800,$A33,الريسبي!$B$2:$B$1800,AT$1)</f>
        <v>0</v>
      </c>
      <c r="AU33" s="117" t="n">
        <f aca="false">SUMIFS(الريسبي!$C$2:$C$1800,الريسبي!$A$2:$A$1800,$A33,الريسبي!$B$2:$B$1800,AU$1)</f>
        <v>0</v>
      </c>
      <c r="AV33" s="117" t="n">
        <f aca="false">SUMIFS(الريسبي!$C$2:$C$1800,الريسبي!$A$2:$A$1800,$A33,الريسبي!$B$2:$B$1800,AV$1)</f>
        <v>0</v>
      </c>
      <c r="AW33" s="117" t="n">
        <f aca="false">SUMIFS(الريسبي!$C$2:$C$1800,الريسبي!$A$2:$A$1800,$A33,الريسبي!$B$2:$B$1800,AW$1)</f>
        <v>0</v>
      </c>
      <c r="AX33" s="117" t="n">
        <f aca="false">SUMIFS(الريسبي!$C$2:$C$1800,الريسبي!$A$2:$A$1800,$A33,الريسبي!$B$2:$B$1800,AX$1)</f>
        <v>0</v>
      </c>
      <c r="AY33" s="117" t="n">
        <f aca="false">SUMIFS(الريسبي!$C$2:$C$1800,الريسبي!$A$2:$A$1800,$A33,الريسبي!$B$2:$B$1800,AY$1)</f>
        <v>0</v>
      </c>
      <c r="AZ33" s="117" t="n">
        <f aca="false">SUMIFS(الريسبي!$C$2:$C$1800,الريسبي!$A$2:$A$1800,$A33,الريسبي!$B$2:$B$1800,AZ$1)</f>
        <v>0</v>
      </c>
      <c r="BA33" s="117" t="n">
        <f aca="false">SUMIFS(الريسبي!$C$2:$C$1800,الريسبي!$A$2:$A$1800,$A33,الريسبي!$B$2:$B$1800,BA$1)</f>
        <v>0.15</v>
      </c>
      <c r="BB33" s="117" t="n">
        <f aca="false">SUMIFS(الريسبي!$C$2:$C$1800,الريسبي!$A$2:$A$1800,$A33,الريسبي!$B$2:$B$1800,BB$1)</f>
        <v>0</v>
      </c>
      <c r="BC33" s="117" t="n">
        <f aca="false">SUMIFS(الريسبي!$C$2:$C$1800,الريسبي!$A$2:$A$1800,$A33,الريسبي!$B$2:$B$1800,BC$1)</f>
        <v>0.045</v>
      </c>
      <c r="BD33" s="117" t="n">
        <f aca="false">SUMIFS(الريسبي!$C$2:$C$1800,الريسبي!$A$2:$A$1800,$A33,الريسبي!$B$2:$B$1800,BD$1)</f>
        <v>0</v>
      </c>
      <c r="BE33" s="117" t="n">
        <f aca="false">SUMIFS(الريسبي!$C$2:$C$1800,الريسبي!$A$2:$A$1800,$A33,الريسبي!$B$2:$B$1800,BE$1)</f>
        <v>1.5</v>
      </c>
      <c r="BF33" s="117" t="n">
        <f aca="false">SUMIFS(الريسبي!$C$2:$C$1800,الريسبي!$A$2:$A$1800,$A33,الريسبي!$B$2:$B$1800,BF$1)</f>
        <v>0</v>
      </c>
      <c r="BG33" s="117" t="n">
        <f aca="false">SUMIFS(الريسبي!$C$2:$C$1800,الريسبي!$A$2:$A$1800,$A33,الريسبي!$B$2:$B$1800,BG$1)</f>
        <v>1</v>
      </c>
      <c r="BH33" s="117" t="n">
        <f aca="false">SUMIFS(الريسبي!$C$2:$C$1800,الريسبي!$A$2:$A$1800,$A33,الريسبي!$B$2:$B$1800,BH$1)</f>
        <v>0</v>
      </c>
      <c r="BI33" s="117" t="n">
        <f aca="false">SUMIFS(الريسبي!$C$2:$C$1800,الريسبي!$A$2:$A$1800,$A33,الريسبي!$B$2:$B$1800,BI$1)</f>
        <v>0</v>
      </c>
      <c r="BJ33" s="117" t="n">
        <f aca="false">SUMIFS(الريسبي!$C$2:$C$1800,الريسبي!$A$2:$A$1800,$A33,الريسبي!$B$2:$B$1800,BJ$1)</f>
        <v>0</v>
      </c>
      <c r="BK33" s="117" t="n">
        <f aca="false">SUMIFS(الريسبي!$C$2:$C$1800,الريسبي!$A$2:$A$1800,$A33,الريسبي!$B$2:$B$1800,BK$1)</f>
        <v>0</v>
      </c>
      <c r="BL33" s="117" t="n">
        <f aca="false">SUMIFS(الريسبي!$C$2:$C$1800,الريسبي!$A$2:$A$1800,$A33,الريسبي!$B$2:$B$1800,BL$1)</f>
        <v>0</v>
      </c>
      <c r="BM33" s="117" t="n">
        <f aca="false">SUMIFS(الريسبي!$C$2:$C$1800,الريسبي!$A$2:$A$1800,$A33,الريسبي!$B$2:$B$1800,BM$1)</f>
        <v>0</v>
      </c>
      <c r="BN33" s="117" t="n">
        <f aca="false">SUMIFS(الريسبي!$C$2:$C$1800,الريسبي!$A$2:$A$1800,$A33,الريسبي!$B$2:$B$1800,BN$1)</f>
        <v>0.03</v>
      </c>
      <c r="BO33" s="117" t="n">
        <f aca="false">SUMIFS(الريسبي!$C$2:$C$1800,الريسبي!$A$2:$A$1800,$A33,الريسبي!$B$2:$B$1800,BO$1)</f>
        <v>0</v>
      </c>
      <c r="BP33" s="117" t="n">
        <f aca="false">SUMIFS(الريسبي!$C$2:$C$1800,الريسبي!$A$2:$A$1800,$A33,الريسبي!$B$2:$B$1800,BP$1)</f>
        <v>3</v>
      </c>
      <c r="BQ33" s="117" t="n">
        <f aca="false">SUMIFS(الريسبي!$C$2:$C$1800,الريسبي!$A$2:$A$1800,$A33,الريسبي!$B$2:$B$1800,BQ$1)+0.17*SUMIFS(الريسبي!$C$2:$C$1800,الريسبي!$A$2:$A$1800,$A33,الريسبي!$B$2:$B$1800,"كاسترد مصنع (خليط بودر + لبن)")+0.17*SUMIFS(الريسبي!$C$2:$C$1800,الريسبي!$A$2:$A$1800,$A33,الريسبي!$B$2:$B$1800,"كاسترد مصنع صيامي (بدون لبن)")</f>
        <v>0</v>
      </c>
      <c r="BR33" s="117" t="n">
        <f aca="false">SUMIFS(الريسبي!$C$2:$C$1800,الريسبي!$A$2:$A$1800,$A33,الريسبي!$B$2:$B$1800,BR$1)</f>
        <v>1</v>
      </c>
      <c r="BS33" s="117" t="n">
        <f aca="false">SUMIFS(الريسبي!$C$2:$C$1800,الريسبي!$A$2:$A$1800,$A33,الريسبي!$B$2:$B$1800,BS$1)</f>
        <v>0</v>
      </c>
      <c r="BT33" s="117" t="n">
        <f aca="false">SUMIFS(الريسبي!$C$2:$C$1800,الريسبي!$A$2:$A$1800,$A33,الريسبي!$B$2:$B$1800,BT$1)</f>
        <v>0</v>
      </c>
      <c r="BU33" s="117" t="n">
        <f aca="false">SUMIFS(الريسبي!$C$2:$C$1800,الريسبي!$A$2:$A$1800,$A33,الريسبي!$B$2:$B$1800,BU$1)+0.4*SUMIFS(الريسبي!$C$2:$C$1800,الريسبي!$A$2:$A$1800,$A33,الريسبي!$B$2:$B$1800,"كاسترد مصنع (خليط بودر + لبن)")+0.03333333333*SUMIFS(الريسبي!$C$2:$C$1800,الريسبي!$A$2:$A$1800,$A33,الريسبي!$B$2:$B$1800,"عجين كريب (مصنع بالمطعم)")</f>
        <v>0</v>
      </c>
      <c r="BV33" s="117" t="n">
        <f aca="false">SUMIFS(الريسبي!$C$2:$C$1800,الريسبي!$A$2:$A$1800,$A33,الريسبي!$B$2:$B$1800,BV$1)</f>
        <v>0</v>
      </c>
      <c r="BW33" s="117" t="n">
        <f aca="false">SUMIFS(الريسبي!$C$2:$C$1800,الريسبي!$A$2:$A$1800,$A33,الريسبي!$B$2:$B$1800,BW$1)</f>
        <v>0</v>
      </c>
      <c r="BX33" s="117" t="n">
        <f aca="false">SUMIFS(الريسبي!$C$2:$C$1800,الريسبي!$A$2:$A$1800,$A33,الريسبي!$B$2:$B$1800,BX$1)</f>
        <v>0</v>
      </c>
      <c r="BY33" s="117" t="n">
        <f aca="false">SUMIFS(الريسبي!$C$2:$C$1800,الريسبي!$A$2:$A$1800,$A33,الريسبي!$B$2:$B$1800,BY$1)</f>
        <v>0</v>
      </c>
      <c r="BZ33" s="117" t="n">
        <f aca="false">SUMIFS(الريسبي!$C$2:$C$1800,الريسبي!$A$2:$A$1800,$A33,الريسبي!$B$2:$B$1800,BZ$1)</f>
        <v>0</v>
      </c>
      <c r="CA33" s="117" t="n">
        <f aca="false">SUMIFS(الريسبي!$C$2:$C$1800,الريسبي!$A$2:$A$1800,$A33,الريسبي!$B$2:$B$1800,CA$1)</f>
        <v>1</v>
      </c>
      <c r="CB33" s="117" t="n">
        <f aca="false">SUMIFS(الريسبي!$C$2:$C$1800,الريسبي!$A$2:$A$1800,$A33,الريسبي!$B$2:$B$1800,CB$1)</f>
        <v>1</v>
      </c>
      <c r="CC33" s="117" t="n">
        <f aca="false">SUMIFS(الريسبي!$C$2:$C$1800,الريسبي!$A$2:$A$1800,$A33,الريسبي!$B$2:$B$1800,CC$1)</f>
        <v>0</v>
      </c>
      <c r="CD33" s="117" t="n">
        <f aca="false">SUMIFS(الريسبي!$C$2:$C$1800,الريسبي!$A$2:$A$1800,$A33,الريسبي!$B$2:$B$1800,CD$1)</f>
        <v>0</v>
      </c>
      <c r="CE33" s="117" t="n">
        <f aca="false">SUMIFS(الريسبي!$C$2:$C$1800,الريسبي!$A$2:$A$1800,$A33,الريسبي!$B$2:$B$1800,CE$1)</f>
        <v>0</v>
      </c>
      <c r="CF33" s="117" t="n">
        <f aca="false">SUMIFS(الريسبي!$C$2:$C$1800,الريسبي!$A$2:$A$1800,$A33,الريسبي!$B$2:$B$1800,CF$1)</f>
        <v>0</v>
      </c>
      <c r="CG33" s="117" t="n">
        <f aca="false">SUMIFS(الريسبي!$C$2:$C$1800,الريسبي!$A$2:$A$1800,$A33,الريسبي!$B$2:$B$1800,CG$1)</f>
        <v>0</v>
      </c>
      <c r="CH33" s="117" t="n">
        <f aca="false">SUMIFS(الريسبي!$C$2:$C$1800,الريسبي!$A$2:$A$1800,$A33,الريسبي!$B$2:$B$1800,CH$1)</f>
        <v>0</v>
      </c>
      <c r="CI33" s="117" t="n">
        <f aca="false">SUMIFS(الريسبي!$C$2:$C$1800,الريسبي!$A$2:$A$1800,$A33,الريسبي!$B$2:$B$1800,CI$1)</f>
        <v>0</v>
      </c>
      <c r="CJ33" s="117" t="n">
        <f aca="false">SUMIFS(الريسبي!$C$2:$C$1800,الريسبي!$A$2:$A$1800,$A33,الريسبي!$B$2:$B$1800,CJ$1)</f>
        <v>0</v>
      </c>
      <c r="CK33" s="117" t="n">
        <f aca="false">SUMIFS(الريسبي!$C$2:$C$1800,الريسبي!$A$2:$A$1800,$A33,الريسبي!$B$2:$B$1800,CK$1)</f>
        <v>0</v>
      </c>
      <c r="CL33" s="117" t="n">
        <f aca="false">SUMIFS(الريسبي!$C$2:$C$1800,الريسبي!$A$2:$A$1800,$A33,الريسبي!$B$2:$B$1800,CL$1)</f>
        <v>0</v>
      </c>
    </row>
    <row r="34" customFormat="false" ht="15" hidden="false" customHeight="false" outlineLevel="0" collapsed="false">
      <c r="A34" s="116" t="str">
        <f aca="false">المنيو!B34</f>
        <v>فطيرة فراخ باربيكيو وسط</v>
      </c>
      <c r="B34" s="117" t="n">
        <f aca="false">SUMIFS(الريسبي!$C$2:$C$1800,الريسبي!$A$2:$A$1800,$A34,الريسبي!$B$2:$B$1800,B$1)</f>
        <v>0</v>
      </c>
      <c r="C34" s="117" t="n">
        <f aca="false">SUMIFS(الريسبي!$C$2:$C$1800,الريسبي!$A$2:$A$1800,$A34,الريسبي!$B$2:$B$1800,C$1)</f>
        <v>0</v>
      </c>
      <c r="D34" s="117" t="n">
        <f aca="false">SUMIFS(الريسبي!$C$2:$C$1800,الريسبي!$A$2:$A$1800,$A34,الريسبي!$B$2:$B$1800,D$1)</f>
        <v>1</v>
      </c>
      <c r="E34" s="117" t="n">
        <f aca="false">SUMIFS(الريسبي!$C$2:$C$1800,الريسبي!$A$2:$A$1800,$A34,الريسبي!$B$2:$B$1800,E$1)</f>
        <v>0</v>
      </c>
      <c r="F34" s="117" t="n">
        <f aca="false">SUMIFS(الريسبي!$C$2:$C$1800,الريسبي!$A$2:$A$1800,$A34,الريسبي!$B$2:$B$1800,F$1)</f>
        <v>0</v>
      </c>
      <c r="G34" s="117" t="n">
        <f aca="false">SUMIFS(الريسبي!$C$2:$C$1800,الريسبي!$A$2:$A$1800,$A34,الريسبي!$B$2:$B$1800,G$1)</f>
        <v>0</v>
      </c>
      <c r="H34" s="117" t="n">
        <f aca="false">SUMIFS(الريسبي!$C$2:$C$1800,الريسبي!$A$2:$A$1800,$A34,الريسبي!$B$2:$B$1800,H$1)</f>
        <v>0</v>
      </c>
      <c r="I34" s="117" t="n">
        <f aca="false">SUMIFS(الريسبي!$C$2:$C$1800,الريسبي!$A$2:$A$1800,$A34,الريسبي!$B$2:$B$1800,I$1)</f>
        <v>0</v>
      </c>
      <c r="J34" s="117" t="n">
        <f aca="false">SUMIFS(الريسبي!$C$2:$C$1800,الريسبي!$A$2:$A$1800,$A34,الريسبي!$B$2:$B$1800,J$1)</f>
        <v>0</v>
      </c>
      <c r="K34" s="117" t="n">
        <f aca="false">SUMIFS(الريسبي!$C$2:$C$1800,الريسبي!$A$2:$A$1800,$A34,الريسبي!$B$2:$B$1800,K$1)</f>
        <v>0</v>
      </c>
      <c r="L34" s="117" t="n">
        <f aca="false">SUMIFS(الريسبي!$C$2:$C$1800,الريسبي!$A$2:$A$1800,$A34,الريسبي!$B$2:$B$1800,L$1)</f>
        <v>0</v>
      </c>
      <c r="M34" s="117" t="n">
        <f aca="false">SUMIFS(الريسبي!$C$2:$C$1800,الريسبي!$A$2:$A$1800,$A34,الريسبي!$B$2:$B$1800,M$1)</f>
        <v>0</v>
      </c>
      <c r="N34" s="117" t="n">
        <f aca="false">SUMIFS(الريسبي!$C$2:$C$1800,الريسبي!$A$2:$A$1800,$A34,الريسبي!$B$2:$B$1800,N$1)</f>
        <v>0</v>
      </c>
      <c r="O34" s="117" t="n">
        <f aca="false">SUMIFS(الريسبي!$C$2:$C$1800,الريسبي!$A$2:$A$1800,$A34,الريسبي!$B$2:$B$1800,O$1)</f>
        <v>1</v>
      </c>
      <c r="P34" s="117" t="n">
        <f aca="false">SUMIFS(الريسبي!$C$2:$C$1800,الريسبي!$A$2:$A$1800,$A34,الريسبي!$B$2:$B$1800,P$1)</f>
        <v>0</v>
      </c>
      <c r="Q34" s="117" t="n">
        <f aca="false">SUMIFS(الريسبي!$C$2:$C$1800,الريسبي!$A$2:$A$1800,$A34,الريسبي!$B$2:$B$1800,Q$1)</f>
        <v>0</v>
      </c>
      <c r="R34" s="117" t="n">
        <f aca="false">SUMIFS(الريسبي!$C$2:$C$1800,الريسبي!$A$2:$A$1800,$A34,الريسبي!$B$2:$B$1800,R$1)</f>
        <v>0</v>
      </c>
      <c r="S34" s="117" t="n">
        <f aca="false">SUMIFS(الريسبي!$C$2:$C$1800,الريسبي!$A$2:$A$1800,$A34,الريسبي!$B$2:$B$1800,S$1)</f>
        <v>0</v>
      </c>
      <c r="T34" s="117" t="n">
        <f aca="false">SUMIFS(الريسبي!$C$2:$C$1800,الريسبي!$A$2:$A$1800,$A34,الريسبي!$B$2:$B$1800,T$1)</f>
        <v>0</v>
      </c>
      <c r="U34" s="117" t="n">
        <f aca="false">SUMIFS(الريسبي!$C$2:$C$1800,الريسبي!$A$2:$A$1800,$A34,الريسبي!$B$2:$B$1800,U$1)</f>
        <v>0</v>
      </c>
      <c r="V34" s="117" t="n">
        <f aca="false">SUMIFS(الريسبي!$C$2:$C$1800,الريسبي!$A$2:$A$1800,$A34,الريسبي!$B$2:$B$1800,V$1)+1.5*(SUMIFS(الريسبي!$C$2:$C$1800,الريسبي!$A$2:$A$1800,$A34,الريسبي!$B$2:$B$1800,"برسيون موتزريلا بيتزا كبير"))</f>
        <v>0</v>
      </c>
      <c r="W34" s="117" t="n">
        <f aca="false">0</f>
        <v>0</v>
      </c>
      <c r="X34" s="117" t="n">
        <f aca="false">SUMIFS(الريسبي!$C$2:$C$1800,الريسبي!$A$2:$A$1800,$A34,الريسبي!$B$2:$B$1800,X$1)+1.5*(SUMIFS(الريسبي!$C$2:$C$1800,الريسبي!$A$2:$A$1800,$A34,الريسبي!$B$2:$B$1800,"برسيون موتزريلا فطير كبير"))</f>
        <v>1</v>
      </c>
      <c r="Y34" s="117" t="n">
        <f aca="false">0</f>
        <v>0</v>
      </c>
      <c r="Z34" s="117" t="n">
        <f aca="false">SUMIFS(الريسبي!$C$2:$C$1800,الريسبي!$A$2:$A$1800,$A34,الريسبي!$B$2:$B$1800,Z$1)</f>
        <v>0</v>
      </c>
      <c r="AA34" s="117" t="n">
        <f aca="false">SUMIFS(الريسبي!$C$2:$C$1800,الريسبي!$A$2:$A$1800,$A34,الريسبي!$B$2:$B$1800,AA$1)</f>
        <v>0</v>
      </c>
      <c r="AB34" s="117" t="n">
        <f aca="false">SUMIFS(الريسبي!$C$2:$C$1800,الريسبي!$A$2:$A$1800,$A34,الريسبي!$B$2:$B$1800,AB$1)</f>
        <v>0</v>
      </c>
      <c r="AC34" s="117" t="n">
        <f aca="false">SUMIFS(الريسبي!$C$2:$C$1800,الريسبي!$A$2:$A$1800,$A34,الريسبي!$B$2:$B$1800,AC$1)</f>
        <v>0</v>
      </c>
      <c r="AD34" s="117" t="n">
        <f aca="false">SUMIFS(الريسبي!$C$2:$C$1800,الريسبي!$A$2:$A$1800,$A34,الريسبي!$B$2:$B$1800,AD$1)</f>
        <v>0</v>
      </c>
      <c r="AE34" s="117" t="n">
        <f aca="false">SUMIFS(الريسبي!$C$2:$C$1800,الريسبي!$A$2:$A$1800,$A34,الريسبي!$B$2:$B$1800,AE$1)</f>
        <v>0</v>
      </c>
      <c r="AF34" s="117" t="n">
        <f aca="false">SUMIFS(الريسبي!$C$2:$C$1800,الريسبي!$A$2:$A$1800,$A34,الريسبي!$B$2:$B$1800,AF$1)</f>
        <v>0</v>
      </c>
      <c r="AG34" s="117" t="n">
        <f aca="false">SUMIFS(الريسبي!$C$2:$C$1800,الريسبي!$A$2:$A$1800,$A34,الريسبي!$B$2:$B$1800,AG$1)</f>
        <v>0</v>
      </c>
      <c r="AH34" s="117" t="n">
        <f aca="false">SUMIFS(الريسبي!$C$2:$C$1800,الريسبي!$A$2:$A$1800,$A34,الريسبي!$B$2:$B$1800,AH$1)</f>
        <v>0</v>
      </c>
      <c r="AI34" s="117" t="n">
        <f aca="false">SUMIFS(الريسبي!$C$2:$C$1800,الريسبي!$A$2:$A$1800,$A34,الريسبي!$B$2:$B$1800,AI$1)</f>
        <v>0</v>
      </c>
      <c r="AJ34" s="117" t="n">
        <f aca="false">SUMIFS(الريسبي!$C$2:$C$1800,الريسبي!$A$2:$A$1800,$A34,الريسبي!$B$2:$B$1800,AJ$1)</f>
        <v>2</v>
      </c>
      <c r="AK34" s="117" t="n">
        <f aca="false">SUMIFS(الريسبي!$C$2:$C$1800,الريسبي!$A$2:$A$1800,$A34,الريسبي!$B$2:$B$1800,AK$1)</f>
        <v>0</v>
      </c>
      <c r="AL34" s="117" t="n">
        <f aca="false">SUMIFS(الريسبي!$C$2:$C$1800,الريسبي!$A$2:$A$1800,$A34,الريسبي!$B$2:$B$1800,AL$1)</f>
        <v>0</v>
      </c>
      <c r="AM34" s="117" t="n">
        <f aca="false">SUMIFS(الريسبي!$C$2:$C$1800,الريسبي!$A$2:$A$1800,$A34,الريسبي!$B$2:$B$1800,AM$1)+0.08333333333*SUMIFS(الريسبي!$C$2:$C$1800,الريسبي!$A$2:$A$1800,$A34,الريسبي!$B$2:$B$1800,"عجين كريب (مصنع بالمطعم)")+0.08333333333*SUMIFS(الريسبي!$C$2:$C$1800,الريسبي!$A$2:$A$1800,$A34,الريسبي!$B$2:$B$1800,"عجين كريب صيامي (بدون لبن)")</f>
        <v>0</v>
      </c>
      <c r="AN34" s="117" t="n">
        <f aca="false">SUMIFS(الريسبي!$C$2:$C$1800,الريسبي!$A$2:$A$1800,$A34,الريسبي!$B$2:$B$1800,AN$1)+0.004166666667*SUMIFS(الريسبي!$C$2:$C$1800,الريسبي!$A$2:$A$1800,$A34,الريسبي!$B$2:$B$1800,"عجين كريب (مصنع بالمطعم)")+0.004166666667*SUMIFS(الريسبي!$C$2:$C$1800,الريسبي!$A$2:$A$1800,$A34,الريسبي!$B$2:$B$1800,"عجين كريب صيامي (بدون لبن)")</f>
        <v>0</v>
      </c>
      <c r="AO34" s="117" t="n">
        <f aca="false">SUMIFS(الريسبي!$C$2:$C$1800,الريسبي!$A$2:$A$1800,$A34,الريسبي!$B$2:$B$1800,AO$1)</f>
        <v>0</v>
      </c>
      <c r="AP34" s="117" t="n">
        <f aca="false">SUMIFS(الريسبي!$C$2:$C$1800,الريسبي!$A$2:$A$1800,$A34,الريسبي!$B$2:$B$1800,AP$1)</f>
        <v>0.02</v>
      </c>
      <c r="AQ34" s="117" t="n">
        <f aca="false">SUMIFS(الريسبي!$C$2:$C$1800,الريسبي!$A$2:$A$1800,$A34,الريسبي!$B$2:$B$1800,AQ$1)+0.004166666667*SUMIFS(الريسبي!$C$2:$C$1800,الريسبي!$A$2:$A$1800,$A34,الريسبي!$B$2:$B$1800,"عجين كريب (مصنع بالمطعم)")+0.004166666667*SUMIFS(الريسبي!$C$2:$C$1800,الريسبي!$A$2:$A$1800,$A34,الريسبي!$B$2:$B$1800,"عجين كريب صيامي (بدون لبن)")</f>
        <v>0</v>
      </c>
      <c r="AR34" s="117" t="n">
        <f aca="false">SUMIFS(الريسبي!$C$2:$C$1800,الريسبي!$A$2:$A$1800,$A34,الريسبي!$B$2:$B$1800,AR$1)</f>
        <v>0</v>
      </c>
      <c r="AS34" s="117" t="n">
        <f aca="false">SUMIFS(الريسبي!$C$2:$C$1800,الريسبي!$A$2:$A$1800,$A34,الريسبي!$B$2:$B$1800,AS$1)</f>
        <v>0</v>
      </c>
      <c r="AT34" s="117" t="n">
        <f aca="false">SUMIFS(الريسبي!$C$2:$C$1800,الريسبي!$A$2:$A$1800,$A34,الريسبي!$B$2:$B$1800,AT$1)</f>
        <v>0</v>
      </c>
      <c r="AU34" s="117" t="n">
        <f aca="false">SUMIFS(الريسبي!$C$2:$C$1800,الريسبي!$A$2:$A$1800,$A34,الريسبي!$B$2:$B$1800,AU$1)</f>
        <v>0</v>
      </c>
      <c r="AV34" s="117" t="n">
        <f aca="false">SUMIFS(الريسبي!$C$2:$C$1800,الريسبي!$A$2:$A$1800,$A34,الريسبي!$B$2:$B$1800,AV$1)</f>
        <v>0</v>
      </c>
      <c r="AW34" s="117" t="n">
        <f aca="false">SUMIFS(الريسبي!$C$2:$C$1800,الريسبي!$A$2:$A$1800,$A34,الريسبي!$B$2:$B$1800,AW$1)</f>
        <v>0</v>
      </c>
      <c r="AX34" s="117" t="n">
        <f aca="false">SUMIFS(الريسبي!$C$2:$C$1800,الريسبي!$A$2:$A$1800,$A34,الريسبي!$B$2:$B$1800,AX$1)</f>
        <v>0</v>
      </c>
      <c r="AY34" s="117" t="n">
        <f aca="false">SUMIFS(الريسبي!$C$2:$C$1800,الريسبي!$A$2:$A$1800,$A34,الريسبي!$B$2:$B$1800,AY$1)</f>
        <v>0.1</v>
      </c>
      <c r="AZ34" s="117" t="n">
        <f aca="false">SUMIFS(الريسبي!$C$2:$C$1800,الريسبي!$A$2:$A$1800,$A34,الريسبي!$B$2:$B$1800,AZ$1)</f>
        <v>0</v>
      </c>
      <c r="BA34" s="117" t="n">
        <f aca="false">SUMIFS(الريسبي!$C$2:$C$1800,الريسبي!$A$2:$A$1800,$A34,الريسبي!$B$2:$B$1800,BA$1)</f>
        <v>0</v>
      </c>
      <c r="BB34" s="117" t="n">
        <f aca="false">SUMIFS(الريسبي!$C$2:$C$1800,الريسبي!$A$2:$A$1800,$A34,الريسبي!$B$2:$B$1800,BB$1)</f>
        <v>0</v>
      </c>
      <c r="BC34" s="117" t="n">
        <f aca="false">SUMIFS(الريسبي!$C$2:$C$1800,الريسبي!$A$2:$A$1800,$A34,الريسبي!$B$2:$B$1800,BC$1)</f>
        <v>0.03</v>
      </c>
      <c r="BD34" s="117" t="n">
        <f aca="false">SUMIFS(الريسبي!$C$2:$C$1800,الريسبي!$A$2:$A$1800,$A34,الريسبي!$B$2:$B$1800,BD$1)</f>
        <v>0</v>
      </c>
      <c r="BE34" s="117" t="n">
        <f aca="false">SUMIFS(الريسبي!$C$2:$C$1800,الريسبي!$A$2:$A$1800,$A34,الريسبي!$B$2:$B$1800,BE$1)</f>
        <v>1</v>
      </c>
      <c r="BF34" s="117" t="n">
        <f aca="false">SUMIFS(الريسبي!$C$2:$C$1800,الريسبي!$A$2:$A$1800,$A34,الريسبي!$B$2:$B$1800,BF$1)</f>
        <v>0</v>
      </c>
      <c r="BG34" s="117" t="n">
        <f aca="false">SUMIFS(الريسبي!$C$2:$C$1800,الريسبي!$A$2:$A$1800,$A34,الريسبي!$B$2:$B$1800,BG$1)</f>
        <v>0</v>
      </c>
      <c r="BH34" s="117" t="n">
        <f aca="false">SUMIFS(الريسبي!$C$2:$C$1800,الريسبي!$A$2:$A$1800,$A34,الريسبي!$B$2:$B$1800,BH$1)</f>
        <v>1</v>
      </c>
      <c r="BI34" s="117" t="n">
        <f aca="false">SUMIFS(الريسبي!$C$2:$C$1800,الريسبي!$A$2:$A$1800,$A34,الريسبي!$B$2:$B$1800,BI$1)</f>
        <v>0</v>
      </c>
      <c r="BJ34" s="117" t="n">
        <f aca="false">SUMIFS(الريسبي!$C$2:$C$1800,الريسبي!$A$2:$A$1800,$A34,الريسبي!$B$2:$B$1800,BJ$1)</f>
        <v>0</v>
      </c>
      <c r="BK34" s="117" t="n">
        <f aca="false">SUMIFS(الريسبي!$C$2:$C$1800,الريسبي!$A$2:$A$1800,$A34,الريسبي!$B$2:$B$1800,BK$1)</f>
        <v>0</v>
      </c>
      <c r="BL34" s="117" t="n">
        <f aca="false">SUMIFS(الريسبي!$C$2:$C$1800,الريسبي!$A$2:$A$1800,$A34,الريسبي!$B$2:$B$1800,BL$1)</f>
        <v>0</v>
      </c>
      <c r="BM34" s="117" t="n">
        <f aca="false">SUMIFS(الريسبي!$C$2:$C$1800,الريسبي!$A$2:$A$1800,$A34,الريسبي!$B$2:$B$1800,BM$1)</f>
        <v>0</v>
      </c>
      <c r="BN34" s="117" t="n">
        <f aca="false">SUMIFS(الريسبي!$C$2:$C$1800,الريسبي!$A$2:$A$1800,$A34,الريسبي!$B$2:$B$1800,BN$1)</f>
        <v>0.02</v>
      </c>
      <c r="BO34" s="117" t="n">
        <f aca="false">SUMIFS(الريسبي!$C$2:$C$1800,الريسبي!$A$2:$A$1800,$A34,الريسبي!$B$2:$B$1800,BO$1)</f>
        <v>0</v>
      </c>
      <c r="BP34" s="117" t="n">
        <f aca="false">SUMIFS(الريسبي!$C$2:$C$1800,الريسبي!$A$2:$A$1800,$A34,الريسبي!$B$2:$B$1800,BP$1)</f>
        <v>2</v>
      </c>
      <c r="BQ34" s="117" t="n">
        <f aca="false">SUMIFS(الريسبي!$C$2:$C$1800,الريسبي!$A$2:$A$1800,$A34,الريسبي!$B$2:$B$1800,BQ$1)+0.17*SUMIFS(الريسبي!$C$2:$C$1800,الريسبي!$A$2:$A$1800,$A34,الريسبي!$B$2:$B$1800,"كاسترد مصنع (خليط بودر + لبن)")+0.17*SUMIFS(الريسبي!$C$2:$C$1800,الريسبي!$A$2:$A$1800,$A34,الريسبي!$B$2:$B$1800,"كاسترد مصنع صيامي (بدون لبن)")</f>
        <v>0</v>
      </c>
      <c r="BR34" s="117" t="n">
        <f aca="false">SUMIFS(الريسبي!$C$2:$C$1800,الريسبي!$A$2:$A$1800,$A34,الريسبي!$B$2:$B$1800,BR$1)</f>
        <v>1</v>
      </c>
      <c r="BS34" s="117" t="n">
        <f aca="false">SUMIFS(الريسبي!$C$2:$C$1800,الريسبي!$A$2:$A$1800,$A34,الريسبي!$B$2:$B$1800,BS$1)</f>
        <v>0</v>
      </c>
      <c r="BT34" s="117" t="n">
        <f aca="false">SUMIFS(الريسبي!$C$2:$C$1800,الريسبي!$A$2:$A$1800,$A34,الريسبي!$B$2:$B$1800,BT$1)</f>
        <v>0</v>
      </c>
      <c r="BU34" s="117" t="n">
        <f aca="false">SUMIFS(الريسبي!$C$2:$C$1800,الريسبي!$A$2:$A$1800,$A34,الريسبي!$B$2:$B$1800,BU$1)+0.4*SUMIFS(الريسبي!$C$2:$C$1800,الريسبي!$A$2:$A$1800,$A34,الريسبي!$B$2:$B$1800,"كاسترد مصنع (خليط بودر + لبن)")+0.03333333333*SUMIFS(الريسبي!$C$2:$C$1800,الريسبي!$A$2:$A$1800,$A34,الريسبي!$B$2:$B$1800,"عجين كريب (مصنع بالمطعم)")</f>
        <v>0</v>
      </c>
      <c r="BV34" s="117" t="n">
        <f aca="false">SUMIFS(الريسبي!$C$2:$C$1800,الريسبي!$A$2:$A$1800,$A34,الريسبي!$B$2:$B$1800,BV$1)</f>
        <v>0</v>
      </c>
      <c r="BW34" s="117" t="n">
        <f aca="false">SUMIFS(الريسبي!$C$2:$C$1800,الريسبي!$A$2:$A$1800,$A34,الريسبي!$B$2:$B$1800,BW$1)</f>
        <v>0</v>
      </c>
      <c r="BX34" s="117" t="n">
        <f aca="false">SUMIFS(الريسبي!$C$2:$C$1800,الريسبي!$A$2:$A$1800,$A34,الريسبي!$B$2:$B$1800,BX$1)</f>
        <v>0</v>
      </c>
      <c r="BY34" s="117" t="n">
        <f aca="false">SUMIFS(الريسبي!$C$2:$C$1800,الريسبي!$A$2:$A$1800,$A34,الريسبي!$B$2:$B$1800,BY$1)</f>
        <v>0</v>
      </c>
      <c r="BZ34" s="117" t="n">
        <f aca="false">SUMIFS(الريسبي!$C$2:$C$1800,الريسبي!$A$2:$A$1800,$A34,الريسبي!$B$2:$B$1800,BZ$1)</f>
        <v>0</v>
      </c>
      <c r="CA34" s="117" t="n">
        <f aca="false">SUMIFS(الريسبي!$C$2:$C$1800,الريسبي!$A$2:$A$1800,$A34,الريسبي!$B$2:$B$1800,CA$1)</f>
        <v>1</v>
      </c>
      <c r="CB34" s="117" t="n">
        <f aca="false">SUMIFS(الريسبي!$C$2:$C$1800,الريسبي!$A$2:$A$1800,$A34,الريسبي!$B$2:$B$1800,CB$1)</f>
        <v>1</v>
      </c>
      <c r="CC34" s="117" t="n">
        <f aca="false">SUMIFS(الريسبي!$C$2:$C$1800,الريسبي!$A$2:$A$1800,$A34,الريسبي!$B$2:$B$1800,CC$1)</f>
        <v>0</v>
      </c>
      <c r="CD34" s="117" t="n">
        <f aca="false">SUMIFS(الريسبي!$C$2:$C$1800,الريسبي!$A$2:$A$1800,$A34,الريسبي!$B$2:$B$1800,CD$1)</f>
        <v>0</v>
      </c>
      <c r="CE34" s="117" t="n">
        <f aca="false">SUMIFS(الريسبي!$C$2:$C$1800,الريسبي!$A$2:$A$1800,$A34,الريسبي!$B$2:$B$1800,CE$1)</f>
        <v>0</v>
      </c>
      <c r="CF34" s="117" t="n">
        <f aca="false">SUMIFS(الريسبي!$C$2:$C$1800,الريسبي!$A$2:$A$1800,$A34,الريسبي!$B$2:$B$1800,CF$1)</f>
        <v>0</v>
      </c>
      <c r="CG34" s="117" t="n">
        <f aca="false">SUMIFS(الريسبي!$C$2:$C$1800,الريسبي!$A$2:$A$1800,$A34,الريسبي!$B$2:$B$1800,CG$1)</f>
        <v>0</v>
      </c>
      <c r="CH34" s="117" t="n">
        <f aca="false">SUMIFS(الريسبي!$C$2:$C$1800,الريسبي!$A$2:$A$1800,$A34,الريسبي!$B$2:$B$1800,CH$1)</f>
        <v>0</v>
      </c>
      <c r="CI34" s="117" t="n">
        <f aca="false">SUMIFS(الريسبي!$C$2:$C$1800,الريسبي!$A$2:$A$1800,$A34,الريسبي!$B$2:$B$1800,CI$1)</f>
        <v>0</v>
      </c>
      <c r="CJ34" s="117" t="n">
        <f aca="false">SUMIFS(الريسبي!$C$2:$C$1800,الريسبي!$A$2:$A$1800,$A34,الريسبي!$B$2:$B$1800,CJ$1)</f>
        <v>0</v>
      </c>
      <c r="CK34" s="117" t="n">
        <f aca="false">SUMIFS(الريسبي!$C$2:$C$1800,الريسبي!$A$2:$A$1800,$A34,الريسبي!$B$2:$B$1800,CK$1)</f>
        <v>0</v>
      </c>
      <c r="CL34" s="117" t="n">
        <f aca="false">SUMIFS(الريسبي!$C$2:$C$1800,الريسبي!$A$2:$A$1800,$A34,الريسبي!$B$2:$B$1800,CL$1)</f>
        <v>0</v>
      </c>
    </row>
    <row r="35" customFormat="false" ht="15" hidden="false" customHeight="false" outlineLevel="0" collapsed="false">
      <c r="A35" s="116" t="str">
        <f aca="false">المنيو!B35</f>
        <v>فطيرة فراخ باربيكيو حجم اكبر</v>
      </c>
      <c r="B35" s="117" t="n">
        <f aca="false">SUMIFS(الريسبي!$C$2:$C$1800,الريسبي!$A$2:$A$1800,$A35,الريسبي!$B$2:$B$1800,B$1)</f>
        <v>0</v>
      </c>
      <c r="C35" s="117" t="n">
        <f aca="false">SUMIFS(الريسبي!$C$2:$C$1800,الريسبي!$A$2:$A$1800,$A35,الريسبي!$B$2:$B$1800,C$1)</f>
        <v>0</v>
      </c>
      <c r="D35" s="117" t="n">
        <f aca="false">SUMIFS(الريسبي!$C$2:$C$1800,الريسبي!$A$2:$A$1800,$A35,الريسبي!$B$2:$B$1800,D$1)</f>
        <v>1</v>
      </c>
      <c r="E35" s="117" t="n">
        <f aca="false">SUMIFS(الريسبي!$C$2:$C$1800,الريسبي!$A$2:$A$1800,$A35,الريسبي!$B$2:$B$1800,E$1)</f>
        <v>0</v>
      </c>
      <c r="F35" s="117" t="n">
        <f aca="false">SUMIFS(الريسبي!$C$2:$C$1800,الريسبي!$A$2:$A$1800,$A35,الريسبي!$B$2:$B$1800,F$1)</f>
        <v>0</v>
      </c>
      <c r="G35" s="117" t="n">
        <f aca="false">SUMIFS(الريسبي!$C$2:$C$1800,الريسبي!$A$2:$A$1800,$A35,الريسبي!$B$2:$B$1800,G$1)</f>
        <v>0</v>
      </c>
      <c r="H35" s="117" t="n">
        <f aca="false">SUMIFS(الريسبي!$C$2:$C$1800,الريسبي!$A$2:$A$1800,$A35,الريسبي!$B$2:$B$1800,H$1)</f>
        <v>0</v>
      </c>
      <c r="I35" s="117" t="n">
        <f aca="false">SUMIFS(الريسبي!$C$2:$C$1800,الريسبي!$A$2:$A$1800,$A35,الريسبي!$B$2:$B$1800,I$1)</f>
        <v>0</v>
      </c>
      <c r="J35" s="117" t="n">
        <f aca="false">SUMIFS(الريسبي!$C$2:$C$1800,الريسبي!$A$2:$A$1800,$A35,الريسبي!$B$2:$B$1800,J$1)</f>
        <v>0</v>
      </c>
      <c r="K35" s="117" t="n">
        <f aca="false">SUMIFS(الريسبي!$C$2:$C$1800,الريسبي!$A$2:$A$1800,$A35,الريسبي!$B$2:$B$1800,K$1)</f>
        <v>0</v>
      </c>
      <c r="L35" s="117" t="n">
        <f aca="false">SUMIFS(الريسبي!$C$2:$C$1800,الريسبي!$A$2:$A$1800,$A35,الريسبي!$B$2:$B$1800,L$1)</f>
        <v>0</v>
      </c>
      <c r="M35" s="117" t="n">
        <f aca="false">SUMIFS(الريسبي!$C$2:$C$1800,الريسبي!$A$2:$A$1800,$A35,الريسبي!$B$2:$B$1800,M$1)</f>
        <v>0</v>
      </c>
      <c r="N35" s="117" t="n">
        <f aca="false">SUMIFS(الريسبي!$C$2:$C$1800,الريسبي!$A$2:$A$1800,$A35,الريسبي!$B$2:$B$1800,N$1)</f>
        <v>0</v>
      </c>
      <c r="O35" s="117" t="n">
        <f aca="false">SUMIFS(الريسبي!$C$2:$C$1800,الريسبي!$A$2:$A$1800,$A35,الريسبي!$B$2:$B$1800,O$1)</f>
        <v>0</v>
      </c>
      <c r="P35" s="117" t="n">
        <f aca="false">SUMIFS(الريسبي!$C$2:$C$1800,الريسبي!$A$2:$A$1800,$A35,الريسبي!$B$2:$B$1800,P$1)</f>
        <v>1</v>
      </c>
      <c r="Q35" s="117" t="n">
        <f aca="false">SUMIFS(الريسبي!$C$2:$C$1800,الريسبي!$A$2:$A$1800,$A35,الريسبي!$B$2:$B$1800,Q$1)</f>
        <v>0</v>
      </c>
      <c r="R35" s="117" t="n">
        <f aca="false">SUMIFS(الريسبي!$C$2:$C$1800,الريسبي!$A$2:$A$1800,$A35,الريسبي!$B$2:$B$1800,R$1)</f>
        <v>0</v>
      </c>
      <c r="S35" s="117" t="n">
        <f aca="false">SUMIFS(الريسبي!$C$2:$C$1800,الريسبي!$A$2:$A$1800,$A35,الريسبي!$B$2:$B$1800,S$1)</f>
        <v>0</v>
      </c>
      <c r="T35" s="117" t="n">
        <f aca="false">SUMIFS(الريسبي!$C$2:$C$1800,الريسبي!$A$2:$A$1800,$A35,الريسبي!$B$2:$B$1800,T$1)</f>
        <v>0</v>
      </c>
      <c r="U35" s="117" t="n">
        <f aca="false">SUMIFS(الريسبي!$C$2:$C$1800,الريسبي!$A$2:$A$1800,$A35,الريسبي!$B$2:$B$1800,U$1)</f>
        <v>0</v>
      </c>
      <c r="V35" s="117" t="n">
        <f aca="false">SUMIFS(الريسبي!$C$2:$C$1800,الريسبي!$A$2:$A$1800,$A35,الريسبي!$B$2:$B$1800,V$1)+1.5*(SUMIFS(الريسبي!$C$2:$C$1800,الريسبي!$A$2:$A$1800,$A35,الريسبي!$B$2:$B$1800,"برسيون موتزريلا بيتزا كبير"))</f>
        <v>0</v>
      </c>
      <c r="W35" s="117" t="n">
        <f aca="false">0</f>
        <v>0</v>
      </c>
      <c r="X35" s="117" t="n">
        <f aca="false">SUMIFS(الريسبي!$C$2:$C$1800,الريسبي!$A$2:$A$1800,$A35,الريسبي!$B$2:$B$1800,X$1)+1.5*(SUMIFS(الريسبي!$C$2:$C$1800,الريسبي!$A$2:$A$1800,$A35,الريسبي!$B$2:$B$1800,"برسيون موتزريلا فطير كبير"))</f>
        <v>1.5</v>
      </c>
      <c r="Y35" s="117" t="n">
        <f aca="false">0</f>
        <v>0</v>
      </c>
      <c r="Z35" s="117" t="n">
        <f aca="false">SUMIFS(الريسبي!$C$2:$C$1800,الريسبي!$A$2:$A$1800,$A35,الريسبي!$B$2:$B$1800,Z$1)</f>
        <v>0</v>
      </c>
      <c r="AA35" s="117" t="n">
        <f aca="false">SUMIFS(الريسبي!$C$2:$C$1800,الريسبي!$A$2:$A$1800,$A35,الريسبي!$B$2:$B$1800,AA$1)</f>
        <v>0</v>
      </c>
      <c r="AB35" s="117" t="n">
        <f aca="false">SUMIFS(الريسبي!$C$2:$C$1800,الريسبي!$A$2:$A$1800,$A35,الريسبي!$B$2:$B$1800,AB$1)</f>
        <v>0</v>
      </c>
      <c r="AC35" s="117" t="n">
        <f aca="false">SUMIFS(الريسبي!$C$2:$C$1800,الريسبي!$A$2:$A$1800,$A35,الريسبي!$B$2:$B$1800,AC$1)</f>
        <v>0</v>
      </c>
      <c r="AD35" s="117" t="n">
        <f aca="false">SUMIFS(الريسبي!$C$2:$C$1800,الريسبي!$A$2:$A$1800,$A35,الريسبي!$B$2:$B$1800,AD$1)</f>
        <v>0</v>
      </c>
      <c r="AE35" s="117" t="n">
        <f aca="false">SUMIFS(الريسبي!$C$2:$C$1800,الريسبي!$A$2:$A$1800,$A35,الريسبي!$B$2:$B$1800,AE$1)</f>
        <v>0</v>
      </c>
      <c r="AF35" s="117" t="n">
        <f aca="false">SUMIFS(الريسبي!$C$2:$C$1800,الريسبي!$A$2:$A$1800,$A35,الريسبي!$B$2:$B$1800,AF$1)</f>
        <v>0</v>
      </c>
      <c r="AG35" s="117" t="n">
        <f aca="false">SUMIFS(الريسبي!$C$2:$C$1800,الريسبي!$A$2:$A$1800,$A35,الريسبي!$B$2:$B$1800,AG$1)</f>
        <v>0</v>
      </c>
      <c r="AH35" s="117" t="n">
        <f aca="false">SUMIFS(الريسبي!$C$2:$C$1800,الريسبي!$A$2:$A$1800,$A35,الريسبي!$B$2:$B$1800,AH$1)</f>
        <v>0</v>
      </c>
      <c r="AI35" s="117" t="n">
        <f aca="false">SUMIFS(الريسبي!$C$2:$C$1800,الريسبي!$A$2:$A$1800,$A35,الريسبي!$B$2:$B$1800,AI$1)</f>
        <v>0</v>
      </c>
      <c r="AJ35" s="117" t="n">
        <f aca="false">SUMIFS(الريسبي!$C$2:$C$1800,الريسبي!$A$2:$A$1800,$A35,الريسبي!$B$2:$B$1800,AJ$1)</f>
        <v>2</v>
      </c>
      <c r="AK35" s="117" t="n">
        <f aca="false">SUMIFS(الريسبي!$C$2:$C$1800,الريسبي!$A$2:$A$1800,$A35,الريسبي!$B$2:$B$1800,AK$1)</f>
        <v>0</v>
      </c>
      <c r="AL35" s="117" t="n">
        <f aca="false">SUMIFS(الريسبي!$C$2:$C$1800,الريسبي!$A$2:$A$1800,$A35,الريسبي!$B$2:$B$1800,AL$1)</f>
        <v>0</v>
      </c>
      <c r="AM35" s="117" t="n">
        <f aca="false">SUMIFS(الريسبي!$C$2:$C$1800,الريسبي!$A$2:$A$1800,$A35,الريسبي!$B$2:$B$1800,AM$1)+0.08333333333*SUMIFS(الريسبي!$C$2:$C$1800,الريسبي!$A$2:$A$1800,$A35,الريسبي!$B$2:$B$1800,"عجين كريب (مصنع بالمطعم)")+0.08333333333*SUMIFS(الريسبي!$C$2:$C$1800,الريسبي!$A$2:$A$1800,$A35,الريسبي!$B$2:$B$1800,"عجين كريب صيامي (بدون لبن)")</f>
        <v>0</v>
      </c>
      <c r="AN35" s="117" t="n">
        <f aca="false">SUMIFS(الريسبي!$C$2:$C$1800,الريسبي!$A$2:$A$1800,$A35,الريسبي!$B$2:$B$1800,AN$1)+0.004166666667*SUMIFS(الريسبي!$C$2:$C$1800,الريسبي!$A$2:$A$1800,$A35,الريسبي!$B$2:$B$1800,"عجين كريب (مصنع بالمطعم)")+0.004166666667*SUMIFS(الريسبي!$C$2:$C$1800,الريسبي!$A$2:$A$1800,$A35,الريسبي!$B$2:$B$1800,"عجين كريب صيامي (بدون لبن)")</f>
        <v>0</v>
      </c>
      <c r="AO35" s="117" t="n">
        <f aca="false">SUMIFS(الريسبي!$C$2:$C$1800,الريسبي!$A$2:$A$1800,$A35,الريسبي!$B$2:$B$1800,AO$1)</f>
        <v>0</v>
      </c>
      <c r="AP35" s="117" t="n">
        <f aca="false">SUMIFS(الريسبي!$C$2:$C$1800,الريسبي!$A$2:$A$1800,$A35,الريسبي!$B$2:$B$1800,AP$1)</f>
        <v>0.03</v>
      </c>
      <c r="AQ35" s="117" t="n">
        <f aca="false">SUMIFS(الريسبي!$C$2:$C$1800,الريسبي!$A$2:$A$1800,$A35,الريسبي!$B$2:$B$1800,AQ$1)+0.004166666667*SUMIFS(الريسبي!$C$2:$C$1800,الريسبي!$A$2:$A$1800,$A35,الريسبي!$B$2:$B$1800,"عجين كريب (مصنع بالمطعم)")+0.004166666667*SUMIFS(الريسبي!$C$2:$C$1800,الريسبي!$A$2:$A$1800,$A35,الريسبي!$B$2:$B$1800,"عجين كريب صيامي (بدون لبن)")</f>
        <v>0</v>
      </c>
      <c r="AR35" s="117" t="n">
        <f aca="false">SUMIFS(الريسبي!$C$2:$C$1800,الريسبي!$A$2:$A$1800,$A35,الريسبي!$B$2:$B$1800,AR$1)</f>
        <v>0</v>
      </c>
      <c r="AS35" s="117" t="n">
        <f aca="false">SUMIFS(الريسبي!$C$2:$C$1800,الريسبي!$A$2:$A$1800,$A35,الريسبي!$B$2:$B$1800,AS$1)</f>
        <v>0</v>
      </c>
      <c r="AT35" s="117" t="n">
        <f aca="false">SUMIFS(الريسبي!$C$2:$C$1800,الريسبي!$A$2:$A$1800,$A35,الريسبي!$B$2:$B$1800,AT$1)</f>
        <v>0</v>
      </c>
      <c r="AU35" s="117" t="n">
        <f aca="false">SUMIFS(الريسبي!$C$2:$C$1800,الريسبي!$A$2:$A$1800,$A35,الريسبي!$B$2:$B$1800,AU$1)</f>
        <v>0</v>
      </c>
      <c r="AV35" s="117" t="n">
        <f aca="false">SUMIFS(الريسبي!$C$2:$C$1800,الريسبي!$A$2:$A$1800,$A35,الريسبي!$B$2:$B$1800,AV$1)</f>
        <v>0</v>
      </c>
      <c r="AW35" s="117" t="n">
        <f aca="false">SUMIFS(الريسبي!$C$2:$C$1800,الريسبي!$A$2:$A$1800,$A35,الريسبي!$B$2:$B$1800,AW$1)</f>
        <v>0</v>
      </c>
      <c r="AX35" s="117" t="n">
        <f aca="false">SUMIFS(الريسبي!$C$2:$C$1800,الريسبي!$A$2:$A$1800,$A35,الريسبي!$B$2:$B$1800,AX$1)</f>
        <v>0</v>
      </c>
      <c r="AY35" s="117" t="n">
        <f aca="false">SUMIFS(الريسبي!$C$2:$C$1800,الريسبي!$A$2:$A$1800,$A35,الريسبي!$B$2:$B$1800,AY$1)</f>
        <v>0.15</v>
      </c>
      <c r="AZ35" s="117" t="n">
        <f aca="false">SUMIFS(الريسبي!$C$2:$C$1800,الريسبي!$A$2:$A$1800,$A35,الريسبي!$B$2:$B$1800,AZ$1)</f>
        <v>0</v>
      </c>
      <c r="BA35" s="117" t="n">
        <f aca="false">SUMIFS(الريسبي!$C$2:$C$1800,الريسبي!$A$2:$A$1800,$A35,الريسبي!$B$2:$B$1800,BA$1)</f>
        <v>0</v>
      </c>
      <c r="BB35" s="117" t="n">
        <f aca="false">SUMIFS(الريسبي!$C$2:$C$1800,الريسبي!$A$2:$A$1800,$A35,الريسبي!$B$2:$B$1800,BB$1)</f>
        <v>0</v>
      </c>
      <c r="BC35" s="117" t="n">
        <f aca="false">SUMIFS(الريسبي!$C$2:$C$1800,الريسبي!$A$2:$A$1800,$A35,الريسبي!$B$2:$B$1800,BC$1)</f>
        <v>0.045</v>
      </c>
      <c r="BD35" s="117" t="n">
        <f aca="false">SUMIFS(الريسبي!$C$2:$C$1800,الريسبي!$A$2:$A$1800,$A35,الريسبي!$B$2:$B$1800,BD$1)</f>
        <v>0</v>
      </c>
      <c r="BE35" s="117" t="n">
        <f aca="false">SUMIFS(الريسبي!$C$2:$C$1800,الريسبي!$A$2:$A$1800,$A35,الريسبي!$B$2:$B$1800,BE$1)</f>
        <v>1.5</v>
      </c>
      <c r="BF35" s="117" t="n">
        <f aca="false">SUMIFS(الريسبي!$C$2:$C$1800,الريسبي!$A$2:$A$1800,$A35,الريسبي!$B$2:$B$1800,BF$1)</f>
        <v>0</v>
      </c>
      <c r="BG35" s="117" t="n">
        <f aca="false">SUMIFS(الريسبي!$C$2:$C$1800,الريسبي!$A$2:$A$1800,$A35,الريسبي!$B$2:$B$1800,BG$1)</f>
        <v>1</v>
      </c>
      <c r="BH35" s="117" t="n">
        <f aca="false">SUMIFS(الريسبي!$C$2:$C$1800,الريسبي!$A$2:$A$1800,$A35,الريسبي!$B$2:$B$1800,BH$1)</f>
        <v>0</v>
      </c>
      <c r="BI35" s="117" t="n">
        <f aca="false">SUMIFS(الريسبي!$C$2:$C$1800,الريسبي!$A$2:$A$1800,$A35,الريسبي!$B$2:$B$1800,BI$1)</f>
        <v>0</v>
      </c>
      <c r="BJ35" s="117" t="n">
        <f aca="false">SUMIFS(الريسبي!$C$2:$C$1800,الريسبي!$A$2:$A$1800,$A35,الريسبي!$B$2:$B$1800,BJ$1)</f>
        <v>0</v>
      </c>
      <c r="BK35" s="117" t="n">
        <f aca="false">SUMIFS(الريسبي!$C$2:$C$1800,الريسبي!$A$2:$A$1800,$A35,الريسبي!$B$2:$B$1800,BK$1)</f>
        <v>0</v>
      </c>
      <c r="BL35" s="117" t="n">
        <f aca="false">SUMIFS(الريسبي!$C$2:$C$1800,الريسبي!$A$2:$A$1800,$A35,الريسبي!$B$2:$B$1800,BL$1)</f>
        <v>0</v>
      </c>
      <c r="BM35" s="117" t="n">
        <f aca="false">SUMIFS(الريسبي!$C$2:$C$1800,الريسبي!$A$2:$A$1800,$A35,الريسبي!$B$2:$B$1800,BM$1)</f>
        <v>0</v>
      </c>
      <c r="BN35" s="117" t="n">
        <f aca="false">SUMIFS(الريسبي!$C$2:$C$1800,الريسبي!$A$2:$A$1800,$A35,الريسبي!$B$2:$B$1800,BN$1)</f>
        <v>0.03</v>
      </c>
      <c r="BO35" s="117" t="n">
        <f aca="false">SUMIFS(الريسبي!$C$2:$C$1800,الريسبي!$A$2:$A$1800,$A35,الريسبي!$B$2:$B$1800,BO$1)</f>
        <v>0</v>
      </c>
      <c r="BP35" s="117" t="n">
        <f aca="false">SUMIFS(الريسبي!$C$2:$C$1800,الريسبي!$A$2:$A$1800,$A35,الريسبي!$B$2:$B$1800,BP$1)</f>
        <v>3</v>
      </c>
      <c r="BQ35" s="117" t="n">
        <f aca="false">SUMIFS(الريسبي!$C$2:$C$1800,الريسبي!$A$2:$A$1800,$A35,الريسبي!$B$2:$B$1800,BQ$1)+0.17*SUMIFS(الريسبي!$C$2:$C$1800,الريسبي!$A$2:$A$1800,$A35,الريسبي!$B$2:$B$1800,"كاسترد مصنع (خليط بودر + لبن)")+0.17*SUMIFS(الريسبي!$C$2:$C$1800,الريسبي!$A$2:$A$1800,$A35,الريسبي!$B$2:$B$1800,"كاسترد مصنع صيامي (بدون لبن)")</f>
        <v>0</v>
      </c>
      <c r="BR35" s="117" t="n">
        <f aca="false">SUMIFS(الريسبي!$C$2:$C$1800,الريسبي!$A$2:$A$1800,$A35,الريسبي!$B$2:$B$1800,BR$1)</f>
        <v>1</v>
      </c>
      <c r="BS35" s="117" t="n">
        <f aca="false">SUMIFS(الريسبي!$C$2:$C$1800,الريسبي!$A$2:$A$1800,$A35,الريسبي!$B$2:$B$1800,BS$1)</f>
        <v>0</v>
      </c>
      <c r="BT35" s="117" t="n">
        <f aca="false">SUMIFS(الريسبي!$C$2:$C$1800,الريسبي!$A$2:$A$1800,$A35,الريسبي!$B$2:$B$1800,BT$1)</f>
        <v>0</v>
      </c>
      <c r="BU35" s="117" t="n">
        <f aca="false">SUMIFS(الريسبي!$C$2:$C$1800,الريسبي!$A$2:$A$1800,$A35,الريسبي!$B$2:$B$1800,BU$1)+0.4*SUMIFS(الريسبي!$C$2:$C$1800,الريسبي!$A$2:$A$1800,$A35,الريسبي!$B$2:$B$1800,"كاسترد مصنع (خليط بودر + لبن)")+0.03333333333*SUMIFS(الريسبي!$C$2:$C$1800,الريسبي!$A$2:$A$1800,$A35,الريسبي!$B$2:$B$1800,"عجين كريب (مصنع بالمطعم)")</f>
        <v>0</v>
      </c>
      <c r="BV35" s="117" t="n">
        <f aca="false">SUMIFS(الريسبي!$C$2:$C$1800,الريسبي!$A$2:$A$1800,$A35,الريسبي!$B$2:$B$1800,BV$1)</f>
        <v>0</v>
      </c>
      <c r="BW35" s="117" t="n">
        <f aca="false">SUMIFS(الريسبي!$C$2:$C$1800,الريسبي!$A$2:$A$1800,$A35,الريسبي!$B$2:$B$1800,BW$1)</f>
        <v>0</v>
      </c>
      <c r="BX35" s="117" t="n">
        <f aca="false">SUMIFS(الريسبي!$C$2:$C$1800,الريسبي!$A$2:$A$1800,$A35,الريسبي!$B$2:$B$1800,BX$1)</f>
        <v>0</v>
      </c>
      <c r="BY35" s="117" t="n">
        <f aca="false">SUMIFS(الريسبي!$C$2:$C$1800,الريسبي!$A$2:$A$1800,$A35,الريسبي!$B$2:$B$1800,BY$1)</f>
        <v>0</v>
      </c>
      <c r="BZ35" s="117" t="n">
        <f aca="false">SUMIFS(الريسبي!$C$2:$C$1800,الريسبي!$A$2:$A$1800,$A35,الريسبي!$B$2:$B$1800,BZ$1)</f>
        <v>0</v>
      </c>
      <c r="CA35" s="117" t="n">
        <f aca="false">SUMIFS(الريسبي!$C$2:$C$1800,الريسبي!$A$2:$A$1800,$A35,الريسبي!$B$2:$B$1800,CA$1)</f>
        <v>1</v>
      </c>
      <c r="CB35" s="117" t="n">
        <f aca="false">SUMIFS(الريسبي!$C$2:$C$1800,الريسبي!$A$2:$A$1800,$A35,الريسبي!$B$2:$B$1800,CB$1)</f>
        <v>1</v>
      </c>
      <c r="CC35" s="117" t="n">
        <f aca="false">SUMIFS(الريسبي!$C$2:$C$1800,الريسبي!$A$2:$A$1800,$A35,الريسبي!$B$2:$B$1800,CC$1)</f>
        <v>0</v>
      </c>
      <c r="CD35" s="117" t="n">
        <f aca="false">SUMIFS(الريسبي!$C$2:$C$1800,الريسبي!$A$2:$A$1800,$A35,الريسبي!$B$2:$B$1800,CD$1)</f>
        <v>0</v>
      </c>
      <c r="CE35" s="117" t="n">
        <f aca="false">SUMIFS(الريسبي!$C$2:$C$1800,الريسبي!$A$2:$A$1800,$A35,الريسبي!$B$2:$B$1800,CE$1)</f>
        <v>0</v>
      </c>
      <c r="CF35" s="117" t="n">
        <f aca="false">SUMIFS(الريسبي!$C$2:$C$1800,الريسبي!$A$2:$A$1800,$A35,الريسبي!$B$2:$B$1800,CF$1)</f>
        <v>0</v>
      </c>
      <c r="CG35" s="117" t="n">
        <f aca="false">SUMIFS(الريسبي!$C$2:$C$1800,الريسبي!$A$2:$A$1800,$A35,الريسبي!$B$2:$B$1800,CG$1)</f>
        <v>0</v>
      </c>
      <c r="CH35" s="117" t="n">
        <f aca="false">SUMIFS(الريسبي!$C$2:$C$1800,الريسبي!$A$2:$A$1800,$A35,الريسبي!$B$2:$B$1800,CH$1)</f>
        <v>0</v>
      </c>
      <c r="CI35" s="117" t="n">
        <f aca="false">SUMIFS(الريسبي!$C$2:$C$1800,الريسبي!$A$2:$A$1800,$A35,الريسبي!$B$2:$B$1800,CI$1)</f>
        <v>0</v>
      </c>
      <c r="CJ35" s="117" t="n">
        <f aca="false">SUMIFS(الريسبي!$C$2:$C$1800,الريسبي!$A$2:$A$1800,$A35,الريسبي!$B$2:$B$1800,CJ$1)</f>
        <v>0</v>
      </c>
      <c r="CK35" s="117" t="n">
        <f aca="false">SUMIFS(الريسبي!$C$2:$C$1800,الريسبي!$A$2:$A$1800,$A35,الريسبي!$B$2:$B$1800,CK$1)</f>
        <v>0</v>
      </c>
      <c r="CL35" s="117" t="n">
        <f aca="false">SUMIFS(الريسبي!$C$2:$C$1800,الريسبي!$A$2:$A$1800,$A35,الريسبي!$B$2:$B$1800,CL$1)</f>
        <v>0</v>
      </c>
    </row>
    <row r="36" customFormat="false" ht="15" hidden="false" customHeight="false" outlineLevel="0" collapsed="false">
      <c r="A36" s="116" t="str">
        <f aca="false">المنيو!B36</f>
        <v>فطيرة فراخ كريسبي رانش وسط</v>
      </c>
      <c r="B36" s="117" t="n">
        <f aca="false">SUMIFS(الريسبي!$C$2:$C$1800,الريسبي!$A$2:$A$1800,$A36,الريسبي!$B$2:$B$1800,B$1)</f>
        <v>0</v>
      </c>
      <c r="C36" s="117" t="n">
        <f aca="false">SUMIFS(الريسبي!$C$2:$C$1800,الريسبي!$A$2:$A$1800,$A36,الريسبي!$B$2:$B$1800,C$1)</f>
        <v>0</v>
      </c>
      <c r="D36" s="117" t="n">
        <f aca="false">SUMIFS(الريسبي!$C$2:$C$1800,الريسبي!$A$2:$A$1800,$A36,الريسبي!$B$2:$B$1800,D$1)</f>
        <v>1</v>
      </c>
      <c r="E36" s="117" t="n">
        <f aca="false">SUMIFS(الريسبي!$C$2:$C$1800,الريسبي!$A$2:$A$1800,$A36,الريسبي!$B$2:$B$1800,E$1)</f>
        <v>0</v>
      </c>
      <c r="F36" s="117" t="n">
        <f aca="false">SUMIFS(الريسبي!$C$2:$C$1800,الريسبي!$A$2:$A$1800,$A36,الريسبي!$B$2:$B$1800,F$1)</f>
        <v>0</v>
      </c>
      <c r="G36" s="117" t="n">
        <f aca="false">SUMIFS(الريسبي!$C$2:$C$1800,الريسبي!$A$2:$A$1800,$A36,الريسبي!$B$2:$B$1800,G$1)</f>
        <v>0</v>
      </c>
      <c r="H36" s="117" t="n">
        <f aca="false">SUMIFS(الريسبي!$C$2:$C$1800,الريسبي!$A$2:$A$1800,$A36,الريسبي!$B$2:$B$1800,H$1)</f>
        <v>0</v>
      </c>
      <c r="I36" s="117" t="n">
        <f aca="false">SUMIFS(الريسبي!$C$2:$C$1800,الريسبي!$A$2:$A$1800,$A36,الريسبي!$B$2:$B$1800,I$1)</f>
        <v>0</v>
      </c>
      <c r="J36" s="117" t="n">
        <f aca="false">SUMIFS(الريسبي!$C$2:$C$1800,الريسبي!$A$2:$A$1800,$A36,الريسبي!$B$2:$B$1800,J$1)</f>
        <v>0</v>
      </c>
      <c r="K36" s="117" t="n">
        <f aca="false">SUMIFS(الريسبي!$C$2:$C$1800,الريسبي!$A$2:$A$1800,$A36,الريسبي!$B$2:$B$1800,K$1)</f>
        <v>0</v>
      </c>
      <c r="L36" s="117" t="n">
        <f aca="false">SUMIFS(الريسبي!$C$2:$C$1800,الريسبي!$A$2:$A$1800,$A36,الريسبي!$B$2:$B$1800,L$1)</f>
        <v>0</v>
      </c>
      <c r="M36" s="117" t="n">
        <f aca="false">SUMIFS(الريسبي!$C$2:$C$1800,الريسبي!$A$2:$A$1800,$A36,الريسبي!$B$2:$B$1800,M$1)</f>
        <v>0</v>
      </c>
      <c r="N36" s="117" t="n">
        <f aca="false">SUMIFS(الريسبي!$C$2:$C$1800,الريسبي!$A$2:$A$1800,$A36,الريسبي!$B$2:$B$1800,N$1)</f>
        <v>0</v>
      </c>
      <c r="O36" s="117" t="n">
        <f aca="false">SUMIFS(الريسبي!$C$2:$C$1800,الريسبي!$A$2:$A$1800,$A36,الريسبي!$B$2:$B$1800,O$1)</f>
        <v>0</v>
      </c>
      <c r="P36" s="117" t="n">
        <f aca="false">SUMIFS(الريسبي!$C$2:$C$1800,الريسبي!$A$2:$A$1800,$A36,الريسبي!$B$2:$B$1800,P$1)</f>
        <v>0</v>
      </c>
      <c r="Q36" s="117" t="n">
        <f aca="false">SUMIFS(الريسبي!$C$2:$C$1800,الريسبي!$A$2:$A$1800,$A36,الريسبي!$B$2:$B$1800,Q$1)</f>
        <v>1</v>
      </c>
      <c r="R36" s="117" t="n">
        <f aca="false">SUMIFS(الريسبي!$C$2:$C$1800,الريسبي!$A$2:$A$1800,$A36,الريسبي!$B$2:$B$1800,R$1)</f>
        <v>0</v>
      </c>
      <c r="S36" s="117" t="n">
        <f aca="false">SUMIFS(الريسبي!$C$2:$C$1800,الريسبي!$A$2:$A$1800,$A36,الريسبي!$B$2:$B$1800,S$1)</f>
        <v>0</v>
      </c>
      <c r="T36" s="117" t="n">
        <f aca="false">SUMIFS(الريسبي!$C$2:$C$1800,الريسبي!$A$2:$A$1800,$A36,الريسبي!$B$2:$B$1800,T$1)</f>
        <v>0</v>
      </c>
      <c r="U36" s="117" t="n">
        <f aca="false">SUMIFS(الريسبي!$C$2:$C$1800,الريسبي!$A$2:$A$1800,$A36,الريسبي!$B$2:$B$1800,U$1)</f>
        <v>0</v>
      </c>
      <c r="V36" s="117" t="n">
        <f aca="false">SUMIFS(الريسبي!$C$2:$C$1800,الريسبي!$A$2:$A$1800,$A36,الريسبي!$B$2:$B$1800,V$1)+1.5*(SUMIFS(الريسبي!$C$2:$C$1800,الريسبي!$A$2:$A$1800,$A36,الريسبي!$B$2:$B$1800,"برسيون موتزريلا بيتزا كبير"))</f>
        <v>0</v>
      </c>
      <c r="W36" s="117" t="n">
        <f aca="false">0</f>
        <v>0</v>
      </c>
      <c r="X36" s="117" t="n">
        <f aca="false">SUMIFS(الريسبي!$C$2:$C$1800,الريسبي!$A$2:$A$1800,$A36,الريسبي!$B$2:$B$1800,X$1)+1.5*(SUMIFS(الريسبي!$C$2:$C$1800,الريسبي!$A$2:$A$1800,$A36,الريسبي!$B$2:$B$1800,"برسيون موتزريلا فطير كبير"))</f>
        <v>1</v>
      </c>
      <c r="Y36" s="117" t="n">
        <f aca="false">0</f>
        <v>0</v>
      </c>
      <c r="Z36" s="117" t="n">
        <f aca="false">SUMIFS(الريسبي!$C$2:$C$1800,الريسبي!$A$2:$A$1800,$A36,الريسبي!$B$2:$B$1800,Z$1)</f>
        <v>0</v>
      </c>
      <c r="AA36" s="117" t="n">
        <f aca="false">SUMIFS(الريسبي!$C$2:$C$1800,الريسبي!$A$2:$A$1800,$A36,الريسبي!$B$2:$B$1800,AA$1)</f>
        <v>0</v>
      </c>
      <c r="AB36" s="117" t="n">
        <f aca="false">SUMIFS(الريسبي!$C$2:$C$1800,الريسبي!$A$2:$A$1800,$A36,الريسبي!$B$2:$B$1800,AB$1)</f>
        <v>0</v>
      </c>
      <c r="AC36" s="117" t="n">
        <f aca="false">SUMIFS(الريسبي!$C$2:$C$1800,الريسبي!$A$2:$A$1800,$A36,الريسبي!$B$2:$B$1800,AC$1)</f>
        <v>0</v>
      </c>
      <c r="AD36" s="117" t="n">
        <f aca="false">SUMIFS(الريسبي!$C$2:$C$1800,الريسبي!$A$2:$A$1800,$A36,الريسبي!$B$2:$B$1800,AD$1)</f>
        <v>0</v>
      </c>
      <c r="AE36" s="117" t="n">
        <f aca="false">SUMIFS(الريسبي!$C$2:$C$1800,الريسبي!$A$2:$A$1800,$A36,الريسبي!$B$2:$B$1800,AE$1)</f>
        <v>0</v>
      </c>
      <c r="AF36" s="117" t="n">
        <f aca="false">SUMIFS(الريسبي!$C$2:$C$1800,الريسبي!$A$2:$A$1800,$A36,الريسبي!$B$2:$B$1800,AF$1)</f>
        <v>0</v>
      </c>
      <c r="AG36" s="117" t="n">
        <f aca="false">SUMIFS(الريسبي!$C$2:$C$1800,الريسبي!$A$2:$A$1800,$A36,الريسبي!$B$2:$B$1800,AG$1)</f>
        <v>0</v>
      </c>
      <c r="AH36" s="117" t="n">
        <f aca="false">SUMIFS(الريسبي!$C$2:$C$1800,الريسبي!$A$2:$A$1800,$A36,الريسبي!$B$2:$B$1800,AH$1)</f>
        <v>0</v>
      </c>
      <c r="AI36" s="117" t="n">
        <f aca="false">SUMIFS(الريسبي!$C$2:$C$1800,الريسبي!$A$2:$A$1800,$A36,الريسبي!$B$2:$B$1800,AI$1)</f>
        <v>0</v>
      </c>
      <c r="AJ36" s="117" t="n">
        <f aca="false">SUMIFS(الريسبي!$C$2:$C$1800,الريسبي!$A$2:$A$1800,$A36,الريسبي!$B$2:$B$1800,AJ$1)</f>
        <v>2</v>
      </c>
      <c r="AK36" s="117" t="n">
        <f aca="false">SUMIFS(الريسبي!$C$2:$C$1800,الريسبي!$A$2:$A$1800,$A36,الريسبي!$B$2:$B$1800,AK$1)</f>
        <v>0</v>
      </c>
      <c r="AL36" s="117" t="n">
        <f aca="false">SUMIFS(الريسبي!$C$2:$C$1800,الريسبي!$A$2:$A$1800,$A36,الريسبي!$B$2:$B$1800,AL$1)</f>
        <v>0</v>
      </c>
      <c r="AM36" s="117" t="n">
        <f aca="false">SUMIFS(الريسبي!$C$2:$C$1800,الريسبي!$A$2:$A$1800,$A36,الريسبي!$B$2:$B$1800,AM$1)+0.08333333333*SUMIFS(الريسبي!$C$2:$C$1800,الريسبي!$A$2:$A$1800,$A36,الريسبي!$B$2:$B$1800,"عجين كريب (مصنع بالمطعم)")+0.08333333333*SUMIFS(الريسبي!$C$2:$C$1800,الريسبي!$A$2:$A$1800,$A36,الريسبي!$B$2:$B$1800,"عجين كريب صيامي (بدون لبن)")</f>
        <v>0</v>
      </c>
      <c r="AN36" s="117" t="n">
        <f aca="false">SUMIFS(الريسبي!$C$2:$C$1800,الريسبي!$A$2:$A$1800,$A36,الريسبي!$B$2:$B$1800,AN$1)+0.004166666667*SUMIFS(الريسبي!$C$2:$C$1800,الريسبي!$A$2:$A$1800,$A36,الريسبي!$B$2:$B$1800,"عجين كريب (مصنع بالمطعم)")+0.004166666667*SUMIFS(الريسبي!$C$2:$C$1800,الريسبي!$A$2:$A$1800,$A36,الريسبي!$B$2:$B$1800,"عجين كريب صيامي (بدون لبن)")</f>
        <v>0</v>
      </c>
      <c r="AO36" s="117" t="n">
        <f aca="false">SUMIFS(الريسبي!$C$2:$C$1800,الريسبي!$A$2:$A$1800,$A36,الريسبي!$B$2:$B$1800,AO$1)</f>
        <v>0</v>
      </c>
      <c r="AP36" s="117" t="n">
        <f aca="false">SUMIFS(الريسبي!$C$2:$C$1800,الريسبي!$A$2:$A$1800,$A36,الريسبي!$B$2:$B$1800,AP$1)</f>
        <v>0.02</v>
      </c>
      <c r="AQ36" s="117" t="n">
        <f aca="false">SUMIFS(الريسبي!$C$2:$C$1800,الريسبي!$A$2:$A$1800,$A36,الريسبي!$B$2:$B$1800,AQ$1)+0.004166666667*SUMIFS(الريسبي!$C$2:$C$1800,الريسبي!$A$2:$A$1800,$A36,الريسبي!$B$2:$B$1800,"عجين كريب (مصنع بالمطعم)")+0.004166666667*SUMIFS(الريسبي!$C$2:$C$1800,الريسبي!$A$2:$A$1800,$A36,الريسبي!$B$2:$B$1800,"عجين كريب صيامي (بدون لبن)")</f>
        <v>0</v>
      </c>
      <c r="AR36" s="117" t="n">
        <f aca="false">SUMIFS(الريسبي!$C$2:$C$1800,الريسبي!$A$2:$A$1800,$A36,الريسبي!$B$2:$B$1800,AR$1)</f>
        <v>0</v>
      </c>
      <c r="AS36" s="117" t="n">
        <f aca="false">SUMIFS(الريسبي!$C$2:$C$1800,الريسبي!$A$2:$A$1800,$A36,الريسبي!$B$2:$B$1800,AS$1)</f>
        <v>0</v>
      </c>
      <c r="AT36" s="117" t="n">
        <f aca="false">SUMIFS(الريسبي!$C$2:$C$1800,الريسبي!$A$2:$A$1800,$A36,الريسبي!$B$2:$B$1800,AT$1)</f>
        <v>0</v>
      </c>
      <c r="AU36" s="117" t="n">
        <f aca="false">SUMIFS(الريسبي!$C$2:$C$1800,الريسبي!$A$2:$A$1800,$A36,الريسبي!$B$2:$B$1800,AU$1)</f>
        <v>0</v>
      </c>
      <c r="AV36" s="117" t="n">
        <f aca="false">SUMIFS(الريسبي!$C$2:$C$1800,الريسبي!$A$2:$A$1800,$A36,الريسبي!$B$2:$B$1800,AV$1)</f>
        <v>0</v>
      </c>
      <c r="AW36" s="117" t="n">
        <f aca="false">SUMIFS(الريسبي!$C$2:$C$1800,الريسبي!$A$2:$A$1800,$A36,الريسبي!$B$2:$B$1800,AW$1)</f>
        <v>0</v>
      </c>
      <c r="AX36" s="117" t="n">
        <f aca="false">SUMIFS(الريسبي!$C$2:$C$1800,الريسبي!$A$2:$A$1800,$A36,الريسبي!$B$2:$B$1800,AX$1)</f>
        <v>0</v>
      </c>
      <c r="AY36" s="117" t="n">
        <f aca="false">SUMIFS(الريسبي!$C$2:$C$1800,الريسبي!$A$2:$A$1800,$A36,الريسبي!$B$2:$B$1800,AY$1)</f>
        <v>0</v>
      </c>
      <c r="AZ36" s="117" t="n">
        <f aca="false">SUMIFS(الريسبي!$C$2:$C$1800,الريسبي!$A$2:$A$1800,$A36,الريسبي!$B$2:$B$1800,AZ$1)</f>
        <v>0</v>
      </c>
      <c r="BA36" s="117" t="n">
        <f aca="false">SUMIFS(الريسبي!$C$2:$C$1800,الريسبي!$A$2:$A$1800,$A36,الريسبي!$B$2:$B$1800,BA$1)</f>
        <v>0.1</v>
      </c>
      <c r="BB36" s="117" t="n">
        <f aca="false">SUMIFS(الريسبي!$C$2:$C$1800,الريسبي!$A$2:$A$1800,$A36,الريسبي!$B$2:$B$1800,BB$1)</f>
        <v>0</v>
      </c>
      <c r="BC36" s="117" t="n">
        <f aca="false">SUMIFS(الريسبي!$C$2:$C$1800,الريسبي!$A$2:$A$1800,$A36,الريسبي!$B$2:$B$1800,BC$1)</f>
        <v>0.03</v>
      </c>
      <c r="BD36" s="117" t="n">
        <f aca="false">SUMIFS(الريسبي!$C$2:$C$1800,الريسبي!$A$2:$A$1800,$A36,الريسبي!$B$2:$B$1800,BD$1)</f>
        <v>0</v>
      </c>
      <c r="BE36" s="117" t="n">
        <f aca="false">SUMIFS(الريسبي!$C$2:$C$1800,الريسبي!$A$2:$A$1800,$A36,الريسبي!$B$2:$B$1800,BE$1)</f>
        <v>1</v>
      </c>
      <c r="BF36" s="117" t="n">
        <f aca="false">SUMIFS(الريسبي!$C$2:$C$1800,الريسبي!$A$2:$A$1800,$A36,الريسبي!$B$2:$B$1800,BF$1)</f>
        <v>0</v>
      </c>
      <c r="BG36" s="117" t="n">
        <f aca="false">SUMIFS(الريسبي!$C$2:$C$1800,الريسبي!$A$2:$A$1800,$A36,الريسبي!$B$2:$B$1800,BG$1)</f>
        <v>0</v>
      </c>
      <c r="BH36" s="117" t="n">
        <f aca="false">SUMIFS(الريسبي!$C$2:$C$1800,الريسبي!$A$2:$A$1800,$A36,الريسبي!$B$2:$B$1800,BH$1)</f>
        <v>1</v>
      </c>
      <c r="BI36" s="117" t="n">
        <f aca="false">SUMIFS(الريسبي!$C$2:$C$1800,الريسبي!$A$2:$A$1800,$A36,الريسبي!$B$2:$B$1800,BI$1)</f>
        <v>0</v>
      </c>
      <c r="BJ36" s="117" t="n">
        <f aca="false">SUMIFS(الريسبي!$C$2:$C$1800,الريسبي!$A$2:$A$1800,$A36,الريسبي!$B$2:$B$1800,BJ$1)</f>
        <v>0</v>
      </c>
      <c r="BK36" s="117" t="n">
        <f aca="false">SUMIFS(الريسبي!$C$2:$C$1800,الريسبي!$A$2:$A$1800,$A36,الريسبي!$B$2:$B$1800,BK$1)</f>
        <v>0</v>
      </c>
      <c r="BL36" s="117" t="n">
        <f aca="false">SUMIFS(الريسبي!$C$2:$C$1800,الريسبي!$A$2:$A$1800,$A36,الريسبي!$B$2:$B$1800,BL$1)</f>
        <v>0</v>
      </c>
      <c r="BM36" s="117" t="n">
        <f aca="false">SUMIFS(الريسبي!$C$2:$C$1800,الريسبي!$A$2:$A$1800,$A36,الريسبي!$B$2:$B$1800,BM$1)</f>
        <v>0</v>
      </c>
      <c r="BN36" s="117" t="n">
        <f aca="false">SUMIFS(الريسبي!$C$2:$C$1800,الريسبي!$A$2:$A$1800,$A36,الريسبي!$B$2:$B$1800,BN$1)</f>
        <v>0.02</v>
      </c>
      <c r="BO36" s="117" t="n">
        <f aca="false">SUMIFS(الريسبي!$C$2:$C$1800,الريسبي!$A$2:$A$1800,$A36,الريسبي!$B$2:$B$1800,BO$1)</f>
        <v>0</v>
      </c>
      <c r="BP36" s="117" t="n">
        <f aca="false">SUMIFS(الريسبي!$C$2:$C$1800,الريسبي!$A$2:$A$1800,$A36,الريسبي!$B$2:$B$1800,BP$1)</f>
        <v>2</v>
      </c>
      <c r="BQ36" s="117" t="n">
        <f aca="false">SUMIFS(الريسبي!$C$2:$C$1800,الريسبي!$A$2:$A$1800,$A36,الريسبي!$B$2:$B$1800,BQ$1)+0.17*SUMIFS(الريسبي!$C$2:$C$1800,الريسبي!$A$2:$A$1800,$A36,الريسبي!$B$2:$B$1800,"كاسترد مصنع (خليط بودر + لبن)")+0.17*SUMIFS(الريسبي!$C$2:$C$1800,الريسبي!$A$2:$A$1800,$A36,الريسبي!$B$2:$B$1800,"كاسترد مصنع صيامي (بدون لبن)")</f>
        <v>0</v>
      </c>
      <c r="BR36" s="117" t="n">
        <f aca="false">SUMIFS(الريسبي!$C$2:$C$1800,الريسبي!$A$2:$A$1800,$A36,الريسبي!$B$2:$B$1800,BR$1)</f>
        <v>1</v>
      </c>
      <c r="BS36" s="117" t="n">
        <f aca="false">SUMIFS(الريسبي!$C$2:$C$1800,الريسبي!$A$2:$A$1800,$A36,الريسبي!$B$2:$B$1800,BS$1)</f>
        <v>0</v>
      </c>
      <c r="BT36" s="117" t="n">
        <f aca="false">SUMIFS(الريسبي!$C$2:$C$1800,الريسبي!$A$2:$A$1800,$A36,الريسبي!$B$2:$B$1800,BT$1)</f>
        <v>0</v>
      </c>
      <c r="BU36" s="117" t="n">
        <f aca="false">SUMIFS(الريسبي!$C$2:$C$1800,الريسبي!$A$2:$A$1800,$A36,الريسبي!$B$2:$B$1800,BU$1)+0.4*SUMIFS(الريسبي!$C$2:$C$1800,الريسبي!$A$2:$A$1800,$A36,الريسبي!$B$2:$B$1800,"كاسترد مصنع (خليط بودر + لبن)")+0.03333333333*SUMIFS(الريسبي!$C$2:$C$1800,الريسبي!$A$2:$A$1800,$A36,الريسبي!$B$2:$B$1800,"عجين كريب (مصنع بالمطعم)")</f>
        <v>0</v>
      </c>
      <c r="BV36" s="117" t="n">
        <f aca="false">SUMIFS(الريسبي!$C$2:$C$1800,الريسبي!$A$2:$A$1800,$A36,الريسبي!$B$2:$B$1800,BV$1)</f>
        <v>0</v>
      </c>
      <c r="BW36" s="117" t="n">
        <f aca="false">SUMIFS(الريسبي!$C$2:$C$1800,الريسبي!$A$2:$A$1800,$A36,الريسبي!$B$2:$B$1800,BW$1)</f>
        <v>0</v>
      </c>
      <c r="BX36" s="117" t="n">
        <f aca="false">SUMIFS(الريسبي!$C$2:$C$1800,الريسبي!$A$2:$A$1800,$A36,الريسبي!$B$2:$B$1800,BX$1)</f>
        <v>0</v>
      </c>
      <c r="BY36" s="117" t="n">
        <f aca="false">SUMIFS(الريسبي!$C$2:$C$1800,الريسبي!$A$2:$A$1800,$A36,الريسبي!$B$2:$B$1800,BY$1)</f>
        <v>0</v>
      </c>
      <c r="BZ36" s="117" t="n">
        <f aca="false">SUMIFS(الريسبي!$C$2:$C$1800,الريسبي!$A$2:$A$1800,$A36,الريسبي!$B$2:$B$1800,BZ$1)</f>
        <v>0</v>
      </c>
      <c r="CA36" s="117" t="n">
        <f aca="false">SUMIFS(الريسبي!$C$2:$C$1800,الريسبي!$A$2:$A$1800,$A36,الريسبي!$B$2:$B$1800,CA$1)</f>
        <v>1</v>
      </c>
      <c r="CB36" s="117" t="n">
        <f aca="false">SUMIFS(الريسبي!$C$2:$C$1800,الريسبي!$A$2:$A$1800,$A36,الريسبي!$B$2:$B$1800,CB$1)</f>
        <v>1</v>
      </c>
      <c r="CC36" s="117" t="n">
        <f aca="false">SUMIFS(الريسبي!$C$2:$C$1800,الريسبي!$A$2:$A$1800,$A36,الريسبي!$B$2:$B$1800,CC$1)</f>
        <v>0</v>
      </c>
      <c r="CD36" s="117" t="n">
        <f aca="false">SUMIFS(الريسبي!$C$2:$C$1800,الريسبي!$A$2:$A$1800,$A36,الريسبي!$B$2:$B$1800,CD$1)</f>
        <v>0</v>
      </c>
      <c r="CE36" s="117" t="n">
        <f aca="false">SUMIFS(الريسبي!$C$2:$C$1800,الريسبي!$A$2:$A$1800,$A36,الريسبي!$B$2:$B$1800,CE$1)</f>
        <v>0</v>
      </c>
      <c r="CF36" s="117" t="n">
        <f aca="false">SUMIFS(الريسبي!$C$2:$C$1800,الريسبي!$A$2:$A$1800,$A36,الريسبي!$B$2:$B$1800,CF$1)</f>
        <v>0</v>
      </c>
      <c r="CG36" s="117" t="n">
        <f aca="false">SUMIFS(الريسبي!$C$2:$C$1800,الريسبي!$A$2:$A$1800,$A36,الريسبي!$B$2:$B$1800,CG$1)</f>
        <v>0</v>
      </c>
      <c r="CH36" s="117" t="n">
        <f aca="false">SUMIFS(الريسبي!$C$2:$C$1800,الريسبي!$A$2:$A$1800,$A36,الريسبي!$B$2:$B$1800,CH$1)</f>
        <v>0</v>
      </c>
      <c r="CI36" s="117" t="n">
        <f aca="false">SUMIFS(الريسبي!$C$2:$C$1800,الريسبي!$A$2:$A$1800,$A36,الريسبي!$B$2:$B$1800,CI$1)</f>
        <v>0</v>
      </c>
      <c r="CJ36" s="117" t="n">
        <f aca="false">SUMIFS(الريسبي!$C$2:$C$1800,الريسبي!$A$2:$A$1800,$A36,الريسبي!$B$2:$B$1800,CJ$1)</f>
        <v>0</v>
      </c>
      <c r="CK36" s="117" t="n">
        <f aca="false">SUMIFS(الريسبي!$C$2:$C$1800,الريسبي!$A$2:$A$1800,$A36,الريسبي!$B$2:$B$1800,CK$1)</f>
        <v>0</v>
      </c>
      <c r="CL36" s="117" t="n">
        <f aca="false">SUMIFS(الريسبي!$C$2:$C$1800,الريسبي!$A$2:$A$1800,$A36,الريسبي!$B$2:$B$1800,CL$1)</f>
        <v>0</v>
      </c>
    </row>
    <row r="37" customFormat="false" ht="15" hidden="false" customHeight="false" outlineLevel="0" collapsed="false">
      <c r="A37" s="116" t="str">
        <f aca="false">المنيو!B37</f>
        <v>فطيرة فراخ كريسبي رانش حجم اكبر</v>
      </c>
      <c r="B37" s="117" t="n">
        <f aca="false">SUMIFS(الريسبي!$C$2:$C$1800,الريسبي!$A$2:$A$1800,$A37,الريسبي!$B$2:$B$1800,B$1)</f>
        <v>0</v>
      </c>
      <c r="C37" s="117" t="n">
        <f aca="false">SUMIFS(الريسبي!$C$2:$C$1800,الريسبي!$A$2:$A$1800,$A37,الريسبي!$B$2:$B$1800,C$1)</f>
        <v>0</v>
      </c>
      <c r="D37" s="117" t="n">
        <f aca="false">SUMIFS(الريسبي!$C$2:$C$1800,الريسبي!$A$2:$A$1800,$A37,الريسبي!$B$2:$B$1800,D$1)</f>
        <v>1</v>
      </c>
      <c r="E37" s="117" t="n">
        <f aca="false">SUMIFS(الريسبي!$C$2:$C$1800,الريسبي!$A$2:$A$1800,$A37,الريسبي!$B$2:$B$1800,E$1)</f>
        <v>0</v>
      </c>
      <c r="F37" s="117" t="n">
        <f aca="false">SUMIFS(الريسبي!$C$2:$C$1800,الريسبي!$A$2:$A$1800,$A37,الريسبي!$B$2:$B$1800,F$1)</f>
        <v>0</v>
      </c>
      <c r="G37" s="117" t="n">
        <f aca="false">SUMIFS(الريسبي!$C$2:$C$1800,الريسبي!$A$2:$A$1800,$A37,الريسبي!$B$2:$B$1800,G$1)</f>
        <v>0</v>
      </c>
      <c r="H37" s="117" t="n">
        <f aca="false">SUMIFS(الريسبي!$C$2:$C$1800,الريسبي!$A$2:$A$1800,$A37,الريسبي!$B$2:$B$1800,H$1)</f>
        <v>0</v>
      </c>
      <c r="I37" s="117" t="n">
        <f aca="false">SUMIFS(الريسبي!$C$2:$C$1800,الريسبي!$A$2:$A$1800,$A37,الريسبي!$B$2:$B$1800,I$1)</f>
        <v>0</v>
      </c>
      <c r="J37" s="117" t="n">
        <f aca="false">SUMIFS(الريسبي!$C$2:$C$1800,الريسبي!$A$2:$A$1800,$A37,الريسبي!$B$2:$B$1800,J$1)</f>
        <v>0</v>
      </c>
      <c r="K37" s="117" t="n">
        <f aca="false">SUMIFS(الريسبي!$C$2:$C$1800,الريسبي!$A$2:$A$1800,$A37,الريسبي!$B$2:$B$1800,K$1)</f>
        <v>0</v>
      </c>
      <c r="L37" s="117" t="n">
        <f aca="false">SUMIFS(الريسبي!$C$2:$C$1800,الريسبي!$A$2:$A$1800,$A37,الريسبي!$B$2:$B$1800,L$1)</f>
        <v>0</v>
      </c>
      <c r="M37" s="117" t="n">
        <f aca="false">SUMIFS(الريسبي!$C$2:$C$1800,الريسبي!$A$2:$A$1800,$A37,الريسبي!$B$2:$B$1800,M$1)</f>
        <v>0</v>
      </c>
      <c r="N37" s="117" t="n">
        <f aca="false">SUMIFS(الريسبي!$C$2:$C$1800,الريسبي!$A$2:$A$1800,$A37,الريسبي!$B$2:$B$1800,N$1)</f>
        <v>0</v>
      </c>
      <c r="O37" s="117" t="n">
        <f aca="false">SUMIFS(الريسبي!$C$2:$C$1800,الريسبي!$A$2:$A$1800,$A37,الريسبي!$B$2:$B$1800,O$1)</f>
        <v>0</v>
      </c>
      <c r="P37" s="117" t="n">
        <f aca="false">SUMIFS(الريسبي!$C$2:$C$1800,الريسبي!$A$2:$A$1800,$A37,الريسبي!$B$2:$B$1800,P$1)</f>
        <v>0</v>
      </c>
      <c r="Q37" s="117" t="n">
        <f aca="false">SUMIFS(الريسبي!$C$2:$C$1800,الريسبي!$A$2:$A$1800,$A37,الريسبي!$B$2:$B$1800,Q$1)</f>
        <v>0</v>
      </c>
      <c r="R37" s="117" t="n">
        <f aca="false">SUMIFS(الريسبي!$C$2:$C$1800,الريسبي!$A$2:$A$1800,$A37,الريسبي!$B$2:$B$1800,R$1)</f>
        <v>1</v>
      </c>
      <c r="S37" s="117" t="n">
        <f aca="false">SUMIFS(الريسبي!$C$2:$C$1800,الريسبي!$A$2:$A$1800,$A37,الريسبي!$B$2:$B$1800,S$1)</f>
        <v>0</v>
      </c>
      <c r="T37" s="117" t="n">
        <f aca="false">SUMIFS(الريسبي!$C$2:$C$1800,الريسبي!$A$2:$A$1800,$A37,الريسبي!$B$2:$B$1800,T$1)</f>
        <v>0</v>
      </c>
      <c r="U37" s="117" t="n">
        <f aca="false">SUMIFS(الريسبي!$C$2:$C$1800,الريسبي!$A$2:$A$1800,$A37,الريسبي!$B$2:$B$1800,U$1)</f>
        <v>0</v>
      </c>
      <c r="V37" s="117" t="n">
        <f aca="false">SUMIFS(الريسبي!$C$2:$C$1800,الريسبي!$A$2:$A$1800,$A37,الريسبي!$B$2:$B$1800,V$1)+1.5*(SUMIFS(الريسبي!$C$2:$C$1800,الريسبي!$A$2:$A$1800,$A37,الريسبي!$B$2:$B$1800,"برسيون موتزريلا بيتزا كبير"))</f>
        <v>0</v>
      </c>
      <c r="W37" s="117" t="n">
        <f aca="false">0</f>
        <v>0</v>
      </c>
      <c r="X37" s="117" t="n">
        <f aca="false">SUMIFS(الريسبي!$C$2:$C$1800,الريسبي!$A$2:$A$1800,$A37,الريسبي!$B$2:$B$1800,X$1)+1.5*(SUMIFS(الريسبي!$C$2:$C$1800,الريسبي!$A$2:$A$1800,$A37,الريسبي!$B$2:$B$1800,"برسيون موتزريلا فطير كبير"))</f>
        <v>1.5</v>
      </c>
      <c r="Y37" s="117" t="n">
        <f aca="false">0</f>
        <v>0</v>
      </c>
      <c r="Z37" s="117" t="n">
        <f aca="false">SUMIFS(الريسبي!$C$2:$C$1800,الريسبي!$A$2:$A$1800,$A37,الريسبي!$B$2:$B$1800,Z$1)</f>
        <v>0</v>
      </c>
      <c r="AA37" s="117" t="n">
        <f aca="false">SUMIFS(الريسبي!$C$2:$C$1800,الريسبي!$A$2:$A$1800,$A37,الريسبي!$B$2:$B$1800,AA$1)</f>
        <v>0</v>
      </c>
      <c r="AB37" s="117" t="n">
        <f aca="false">SUMIFS(الريسبي!$C$2:$C$1800,الريسبي!$A$2:$A$1800,$A37,الريسبي!$B$2:$B$1800,AB$1)</f>
        <v>0</v>
      </c>
      <c r="AC37" s="117" t="n">
        <f aca="false">SUMIFS(الريسبي!$C$2:$C$1800,الريسبي!$A$2:$A$1800,$A37,الريسبي!$B$2:$B$1800,AC$1)</f>
        <v>0</v>
      </c>
      <c r="AD37" s="117" t="n">
        <f aca="false">SUMIFS(الريسبي!$C$2:$C$1800,الريسبي!$A$2:$A$1800,$A37,الريسبي!$B$2:$B$1800,AD$1)</f>
        <v>0</v>
      </c>
      <c r="AE37" s="117" t="n">
        <f aca="false">SUMIFS(الريسبي!$C$2:$C$1800,الريسبي!$A$2:$A$1800,$A37,الريسبي!$B$2:$B$1800,AE$1)</f>
        <v>0</v>
      </c>
      <c r="AF37" s="117" t="n">
        <f aca="false">SUMIFS(الريسبي!$C$2:$C$1800,الريسبي!$A$2:$A$1800,$A37,الريسبي!$B$2:$B$1800,AF$1)</f>
        <v>0</v>
      </c>
      <c r="AG37" s="117" t="n">
        <f aca="false">SUMIFS(الريسبي!$C$2:$C$1800,الريسبي!$A$2:$A$1800,$A37,الريسبي!$B$2:$B$1800,AG$1)</f>
        <v>0</v>
      </c>
      <c r="AH37" s="117" t="n">
        <f aca="false">SUMIFS(الريسبي!$C$2:$C$1800,الريسبي!$A$2:$A$1800,$A37,الريسبي!$B$2:$B$1800,AH$1)</f>
        <v>0</v>
      </c>
      <c r="AI37" s="117" t="n">
        <f aca="false">SUMIFS(الريسبي!$C$2:$C$1800,الريسبي!$A$2:$A$1800,$A37,الريسبي!$B$2:$B$1800,AI$1)</f>
        <v>0</v>
      </c>
      <c r="AJ37" s="117" t="n">
        <f aca="false">SUMIFS(الريسبي!$C$2:$C$1800,الريسبي!$A$2:$A$1800,$A37,الريسبي!$B$2:$B$1800,AJ$1)</f>
        <v>2</v>
      </c>
      <c r="AK37" s="117" t="n">
        <f aca="false">SUMIFS(الريسبي!$C$2:$C$1800,الريسبي!$A$2:$A$1800,$A37,الريسبي!$B$2:$B$1800,AK$1)</f>
        <v>0</v>
      </c>
      <c r="AL37" s="117" t="n">
        <f aca="false">SUMIFS(الريسبي!$C$2:$C$1800,الريسبي!$A$2:$A$1800,$A37,الريسبي!$B$2:$B$1800,AL$1)</f>
        <v>0</v>
      </c>
      <c r="AM37" s="117" t="n">
        <f aca="false">SUMIFS(الريسبي!$C$2:$C$1800,الريسبي!$A$2:$A$1800,$A37,الريسبي!$B$2:$B$1800,AM$1)+0.08333333333*SUMIFS(الريسبي!$C$2:$C$1800,الريسبي!$A$2:$A$1800,$A37,الريسبي!$B$2:$B$1800,"عجين كريب (مصنع بالمطعم)")+0.08333333333*SUMIFS(الريسبي!$C$2:$C$1800,الريسبي!$A$2:$A$1800,$A37,الريسبي!$B$2:$B$1800,"عجين كريب صيامي (بدون لبن)")</f>
        <v>0</v>
      </c>
      <c r="AN37" s="117" t="n">
        <f aca="false">SUMIFS(الريسبي!$C$2:$C$1800,الريسبي!$A$2:$A$1800,$A37,الريسبي!$B$2:$B$1800,AN$1)+0.004166666667*SUMIFS(الريسبي!$C$2:$C$1800,الريسبي!$A$2:$A$1800,$A37,الريسبي!$B$2:$B$1800,"عجين كريب (مصنع بالمطعم)")+0.004166666667*SUMIFS(الريسبي!$C$2:$C$1800,الريسبي!$A$2:$A$1800,$A37,الريسبي!$B$2:$B$1800,"عجين كريب صيامي (بدون لبن)")</f>
        <v>0</v>
      </c>
      <c r="AO37" s="117" t="n">
        <f aca="false">SUMIFS(الريسبي!$C$2:$C$1800,الريسبي!$A$2:$A$1800,$A37,الريسبي!$B$2:$B$1800,AO$1)</f>
        <v>0</v>
      </c>
      <c r="AP37" s="117" t="n">
        <f aca="false">SUMIFS(الريسبي!$C$2:$C$1800,الريسبي!$A$2:$A$1800,$A37,الريسبي!$B$2:$B$1800,AP$1)</f>
        <v>0.03</v>
      </c>
      <c r="AQ37" s="117" t="n">
        <f aca="false">SUMIFS(الريسبي!$C$2:$C$1800,الريسبي!$A$2:$A$1800,$A37,الريسبي!$B$2:$B$1800,AQ$1)+0.004166666667*SUMIFS(الريسبي!$C$2:$C$1800,الريسبي!$A$2:$A$1800,$A37,الريسبي!$B$2:$B$1800,"عجين كريب (مصنع بالمطعم)")+0.004166666667*SUMIFS(الريسبي!$C$2:$C$1800,الريسبي!$A$2:$A$1800,$A37,الريسبي!$B$2:$B$1800,"عجين كريب صيامي (بدون لبن)")</f>
        <v>0</v>
      </c>
      <c r="AR37" s="117" t="n">
        <f aca="false">SUMIFS(الريسبي!$C$2:$C$1800,الريسبي!$A$2:$A$1800,$A37,الريسبي!$B$2:$B$1800,AR$1)</f>
        <v>0</v>
      </c>
      <c r="AS37" s="117" t="n">
        <f aca="false">SUMIFS(الريسبي!$C$2:$C$1800,الريسبي!$A$2:$A$1800,$A37,الريسبي!$B$2:$B$1800,AS$1)</f>
        <v>0</v>
      </c>
      <c r="AT37" s="117" t="n">
        <f aca="false">SUMIFS(الريسبي!$C$2:$C$1800,الريسبي!$A$2:$A$1800,$A37,الريسبي!$B$2:$B$1800,AT$1)</f>
        <v>0</v>
      </c>
      <c r="AU37" s="117" t="n">
        <f aca="false">SUMIFS(الريسبي!$C$2:$C$1800,الريسبي!$A$2:$A$1800,$A37,الريسبي!$B$2:$B$1800,AU$1)</f>
        <v>0</v>
      </c>
      <c r="AV37" s="117" t="n">
        <f aca="false">SUMIFS(الريسبي!$C$2:$C$1800,الريسبي!$A$2:$A$1800,$A37,الريسبي!$B$2:$B$1800,AV$1)</f>
        <v>0</v>
      </c>
      <c r="AW37" s="117" t="n">
        <f aca="false">SUMIFS(الريسبي!$C$2:$C$1800,الريسبي!$A$2:$A$1800,$A37,الريسبي!$B$2:$B$1800,AW$1)</f>
        <v>0</v>
      </c>
      <c r="AX37" s="117" t="n">
        <f aca="false">SUMIFS(الريسبي!$C$2:$C$1800,الريسبي!$A$2:$A$1800,$A37,الريسبي!$B$2:$B$1800,AX$1)</f>
        <v>0</v>
      </c>
      <c r="AY37" s="117" t="n">
        <f aca="false">SUMIFS(الريسبي!$C$2:$C$1800,الريسبي!$A$2:$A$1800,$A37,الريسبي!$B$2:$B$1800,AY$1)</f>
        <v>0</v>
      </c>
      <c r="AZ37" s="117" t="n">
        <f aca="false">SUMIFS(الريسبي!$C$2:$C$1800,الريسبي!$A$2:$A$1800,$A37,الريسبي!$B$2:$B$1800,AZ$1)</f>
        <v>0</v>
      </c>
      <c r="BA37" s="117" t="n">
        <f aca="false">SUMIFS(الريسبي!$C$2:$C$1800,الريسبي!$A$2:$A$1800,$A37,الريسبي!$B$2:$B$1800,BA$1)</f>
        <v>0.15</v>
      </c>
      <c r="BB37" s="117" t="n">
        <f aca="false">SUMIFS(الريسبي!$C$2:$C$1800,الريسبي!$A$2:$A$1800,$A37,الريسبي!$B$2:$B$1800,BB$1)</f>
        <v>0</v>
      </c>
      <c r="BC37" s="117" t="n">
        <f aca="false">SUMIFS(الريسبي!$C$2:$C$1800,الريسبي!$A$2:$A$1800,$A37,الريسبي!$B$2:$B$1800,BC$1)</f>
        <v>0.045</v>
      </c>
      <c r="BD37" s="117" t="n">
        <f aca="false">SUMIFS(الريسبي!$C$2:$C$1800,الريسبي!$A$2:$A$1800,$A37,الريسبي!$B$2:$B$1800,BD$1)</f>
        <v>0</v>
      </c>
      <c r="BE37" s="117" t="n">
        <f aca="false">SUMIFS(الريسبي!$C$2:$C$1800,الريسبي!$A$2:$A$1800,$A37,الريسبي!$B$2:$B$1800,BE$1)</f>
        <v>1.5</v>
      </c>
      <c r="BF37" s="117" t="n">
        <f aca="false">SUMIFS(الريسبي!$C$2:$C$1800,الريسبي!$A$2:$A$1800,$A37,الريسبي!$B$2:$B$1800,BF$1)</f>
        <v>0</v>
      </c>
      <c r="BG37" s="117" t="n">
        <f aca="false">SUMIFS(الريسبي!$C$2:$C$1800,الريسبي!$A$2:$A$1800,$A37,الريسبي!$B$2:$B$1800,BG$1)</f>
        <v>1</v>
      </c>
      <c r="BH37" s="117" t="n">
        <f aca="false">SUMIFS(الريسبي!$C$2:$C$1800,الريسبي!$A$2:$A$1800,$A37,الريسبي!$B$2:$B$1800,BH$1)</f>
        <v>0</v>
      </c>
      <c r="BI37" s="117" t="n">
        <f aca="false">SUMIFS(الريسبي!$C$2:$C$1800,الريسبي!$A$2:$A$1800,$A37,الريسبي!$B$2:$B$1800,BI$1)</f>
        <v>0</v>
      </c>
      <c r="BJ37" s="117" t="n">
        <f aca="false">SUMIFS(الريسبي!$C$2:$C$1800,الريسبي!$A$2:$A$1800,$A37,الريسبي!$B$2:$B$1800,BJ$1)</f>
        <v>0</v>
      </c>
      <c r="BK37" s="117" t="n">
        <f aca="false">SUMIFS(الريسبي!$C$2:$C$1800,الريسبي!$A$2:$A$1800,$A37,الريسبي!$B$2:$B$1800,BK$1)</f>
        <v>0</v>
      </c>
      <c r="BL37" s="117" t="n">
        <f aca="false">SUMIFS(الريسبي!$C$2:$C$1800,الريسبي!$A$2:$A$1800,$A37,الريسبي!$B$2:$B$1800,BL$1)</f>
        <v>0</v>
      </c>
      <c r="BM37" s="117" t="n">
        <f aca="false">SUMIFS(الريسبي!$C$2:$C$1800,الريسبي!$A$2:$A$1800,$A37,الريسبي!$B$2:$B$1800,BM$1)</f>
        <v>0</v>
      </c>
      <c r="BN37" s="117" t="n">
        <f aca="false">SUMIFS(الريسبي!$C$2:$C$1800,الريسبي!$A$2:$A$1800,$A37,الريسبي!$B$2:$B$1800,BN$1)</f>
        <v>0.03</v>
      </c>
      <c r="BO37" s="117" t="n">
        <f aca="false">SUMIFS(الريسبي!$C$2:$C$1800,الريسبي!$A$2:$A$1800,$A37,الريسبي!$B$2:$B$1800,BO$1)</f>
        <v>0</v>
      </c>
      <c r="BP37" s="117" t="n">
        <f aca="false">SUMIFS(الريسبي!$C$2:$C$1800,الريسبي!$A$2:$A$1800,$A37,الريسبي!$B$2:$B$1800,BP$1)</f>
        <v>3</v>
      </c>
      <c r="BQ37" s="117" t="n">
        <f aca="false">SUMIFS(الريسبي!$C$2:$C$1800,الريسبي!$A$2:$A$1800,$A37,الريسبي!$B$2:$B$1800,BQ$1)+0.17*SUMIFS(الريسبي!$C$2:$C$1800,الريسبي!$A$2:$A$1800,$A37,الريسبي!$B$2:$B$1800,"كاسترد مصنع (خليط بودر + لبن)")+0.17*SUMIFS(الريسبي!$C$2:$C$1800,الريسبي!$A$2:$A$1800,$A37,الريسبي!$B$2:$B$1800,"كاسترد مصنع صيامي (بدون لبن)")</f>
        <v>0</v>
      </c>
      <c r="BR37" s="117" t="n">
        <f aca="false">SUMIFS(الريسبي!$C$2:$C$1800,الريسبي!$A$2:$A$1800,$A37,الريسبي!$B$2:$B$1800,BR$1)</f>
        <v>1</v>
      </c>
      <c r="BS37" s="117" t="n">
        <f aca="false">SUMIFS(الريسبي!$C$2:$C$1800,الريسبي!$A$2:$A$1800,$A37,الريسبي!$B$2:$B$1800,BS$1)</f>
        <v>0</v>
      </c>
      <c r="BT37" s="117" t="n">
        <f aca="false">SUMIFS(الريسبي!$C$2:$C$1800,الريسبي!$A$2:$A$1800,$A37,الريسبي!$B$2:$B$1800,BT$1)</f>
        <v>0</v>
      </c>
      <c r="BU37" s="117" t="n">
        <f aca="false">SUMIFS(الريسبي!$C$2:$C$1800,الريسبي!$A$2:$A$1800,$A37,الريسبي!$B$2:$B$1800,BU$1)+0.4*SUMIFS(الريسبي!$C$2:$C$1800,الريسبي!$A$2:$A$1800,$A37,الريسبي!$B$2:$B$1800,"كاسترد مصنع (خليط بودر + لبن)")+0.03333333333*SUMIFS(الريسبي!$C$2:$C$1800,الريسبي!$A$2:$A$1800,$A37,الريسبي!$B$2:$B$1800,"عجين كريب (مصنع بالمطعم)")</f>
        <v>0</v>
      </c>
      <c r="BV37" s="117" t="n">
        <f aca="false">SUMIFS(الريسبي!$C$2:$C$1800,الريسبي!$A$2:$A$1800,$A37,الريسبي!$B$2:$B$1800,BV$1)</f>
        <v>0</v>
      </c>
      <c r="BW37" s="117" t="n">
        <f aca="false">SUMIFS(الريسبي!$C$2:$C$1800,الريسبي!$A$2:$A$1800,$A37,الريسبي!$B$2:$B$1800,BW$1)</f>
        <v>0</v>
      </c>
      <c r="BX37" s="117" t="n">
        <f aca="false">SUMIFS(الريسبي!$C$2:$C$1800,الريسبي!$A$2:$A$1800,$A37,الريسبي!$B$2:$B$1800,BX$1)</f>
        <v>0</v>
      </c>
      <c r="BY37" s="117" t="n">
        <f aca="false">SUMIFS(الريسبي!$C$2:$C$1800,الريسبي!$A$2:$A$1800,$A37,الريسبي!$B$2:$B$1800,BY$1)</f>
        <v>0</v>
      </c>
      <c r="BZ37" s="117" t="n">
        <f aca="false">SUMIFS(الريسبي!$C$2:$C$1800,الريسبي!$A$2:$A$1800,$A37,الريسبي!$B$2:$B$1800,BZ$1)</f>
        <v>0</v>
      </c>
      <c r="CA37" s="117" t="n">
        <f aca="false">SUMIFS(الريسبي!$C$2:$C$1800,الريسبي!$A$2:$A$1800,$A37,الريسبي!$B$2:$B$1800,CA$1)</f>
        <v>1</v>
      </c>
      <c r="CB37" s="117" t="n">
        <f aca="false">SUMIFS(الريسبي!$C$2:$C$1800,الريسبي!$A$2:$A$1800,$A37,الريسبي!$B$2:$B$1800,CB$1)</f>
        <v>1</v>
      </c>
      <c r="CC37" s="117" t="n">
        <f aca="false">SUMIFS(الريسبي!$C$2:$C$1800,الريسبي!$A$2:$A$1800,$A37,الريسبي!$B$2:$B$1800,CC$1)</f>
        <v>0</v>
      </c>
      <c r="CD37" s="117" t="n">
        <f aca="false">SUMIFS(الريسبي!$C$2:$C$1800,الريسبي!$A$2:$A$1800,$A37,الريسبي!$B$2:$B$1800,CD$1)</f>
        <v>0</v>
      </c>
      <c r="CE37" s="117" t="n">
        <f aca="false">SUMIFS(الريسبي!$C$2:$C$1800,الريسبي!$A$2:$A$1800,$A37,الريسبي!$B$2:$B$1800,CE$1)</f>
        <v>0</v>
      </c>
      <c r="CF37" s="117" t="n">
        <f aca="false">SUMIFS(الريسبي!$C$2:$C$1800,الريسبي!$A$2:$A$1800,$A37,الريسبي!$B$2:$B$1800,CF$1)</f>
        <v>0</v>
      </c>
      <c r="CG37" s="117" t="n">
        <f aca="false">SUMIFS(الريسبي!$C$2:$C$1800,الريسبي!$A$2:$A$1800,$A37,الريسبي!$B$2:$B$1800,CG$1)</f>
        <v>0</v>
      </c>
      <c r="CH37" s="117" t="n">
        <f aca="false">SUMIFS(الريسبي!$C$2:$C$1800,الريسبي!$A$2:$A$1800,$A37,الريسبي!$B$2:$B$1800,CH$1)</f>
        <v>0</v>
      </c>
      <c r="CI37" s="117" t="n">
        <f aca="false">SUMIFS(الريسبي!$C$2:$C$1800,الريسبي!$A$2:$A$1800,$A37,الريسبي!$B$2:$B$1800,CI$1)</f>
        <v>0</v>
      </c>
      <c r="CJ37" s="117" t="n">
        <f aca="false">SUMIFS(الريسبي!$C$2:$C$1800,الريسبي!$A$2:$A$1800,$A37,الريسبي!$B$2:$B$1800,CJ$1)</f>
        <v>0</v>
      </c>
      <c r="CK37" s="117" t="n">
        <f aca="false">SUMIFS(الريسبي!$C$2:$C$1800,الريسبي!$A$2:$A$1800,$A37,الريسبي!$B$2:$B$1800,CK$1)</f>
        <v>0</v>
      </c>
      <c r="CL37" s="117" t="n">
        <f aca="false">SUMIFS(الريسبي!$C$2:$C$1800,الريسبي!$A$2:$A$1800,$A37,الريسبي!$B$2:$B$1800,CL$1)</f>
        <v>0</v>
      </c>
    </row>
    <row r="38" customFormat="false" ht="15" hidden="false" customHeight="false" outlineLevel="0" collapsed="false">
      <c r="A38" s="116" t="str">
        <f aca="false">المنيو!B38</f>
        <v>فطيرة فراخ كريسبي شيدر وسط</v>
      </c>
      <c r="B38" s="117" t="n">
        <f aca="false">SUMIFS(الريسبي!$C$2:$C$1800,الريسبي!$A$2:$A$1800,$A38,الريسبي!$B$2:$B$1800,B$1)</f>
        <v>0</v>
      </c>
      <c r="C38" s="117" t="n">
        <f aca="false">SUMIFS(الريسبي!$C$2:$C$1800,الريسبي!$A$2:$A$1800,$A38,الريسبي!$B$2:$B$1800,C$1)</f>
        <v>0</v>
      </c>
      <c r="D38" s="117" t="n">
        <f aca="false">SUMIFS(الريسبي!$C$2:$C$1800,الريسبي!$A$2:$A$1800,$A38,الريسبي!$B$2:$B$1800,D$1)</f>
        <v>1</v>
      </c>
      <c r="E38" s="117" t="n">
        <f aca="false">SUMIFS(الريسبي!$C$2:$C$1800,الريسبي!$A$2:$A$1800,$A38,الريسبي!$B$2:$B$1800,E$1)</f>
        <v>0</v>
      </c>
      <c r="F38" s="117" t="n">
        <f aca="false">SUMIFS(الريسبي!$C$2:$C$1800,الريسبي!$A$2:$A$1800,$A38,الريسبي!$B$2:$B$1800,F$1)</f>
        <v>0</v>
      </c>
      <c r="G38" s="117" t="n">
        <f aca="false">SUMIFS(الريسبي!$C$2:$C$1800,الريسبي!$A$2:$A$1800,$A38,الريسبي!$B$2:$B$1800,G$1)</f>
        <v>0</v>
      </c>
      <c r="H38" s="117" t="n">
        <f aca="false">SUMIFS(الريسبي!$C$2:$C$1800,الريسبي!$A$2:$A$1800,$A38,الريسبي!$B$2:$B$1800,H$1)</f>
        <v>0</v>
      </c>
      <c r="I38" s="117" t="n">
        <f aca="false">SUMIFS(الريسبي!$C$2:$C$1800,الريسبي!$A$2:$A$1800,$A38,الريسبي!$B$2:$B$1800,I$1)</f>
        <v>0</v>
      </c>
      <c r="J38" s="117" t="n">
        <f aca="false">SUMIFS(الريسبي!$C$2:$C$1800,الريسبي!$A$2:$A$1800,$A38,الريسبي!$B$2:$B$1800,J$1)</f>
        <v>0</v>
      </c>
      <c r="K38" s="117" t="n">
        <f aca="false">SUMIFS(الريسبي!$C$2:$C$1800,الريسبي!$A$2:$A$1800,$A38,الريسبي!$B$2:$B$1800,K$1)</f>
        <v>0</v>
      </c>
      <c r="L38" s="117" t="n">
        <f aca="false">SUMIFS(الريسبي!$C$2:$C$1800,الريسبي!$A$2:$A$1800,$A38,الريسبي!$B$2:$B$1800,L$1)</f>
        <v>0</v>
      </c>
      <c r="M38" s="117" t="n">
        <f aca="false">SUMIFS(الريسبي!$C$2:$C$1800,الريسبي!$A$2:$A$1800,$A38,الريسبي!$B$2:$B$1800,M$1)</f>
        <v>0</v>
      </c>
      <c r="N38" s="117" t="n">
        <f aca="false">SUMIFS(الريسبي!$C$2:$C$1800,الريسبي!$A$2:$A$1800,$A38,الريسبي!$B$2:$B$1800,N$1)</f>
        <v>0</v>
      </c>
      <c r="O38" s="117" t="n">
        <f aca="false">SUMIFS(الريسبي!$C$2:$C$1800,الريسبي!$A$2:$A$1800,$A38,الريسبي!$B$2:$B$1800,O$1)</f>
        <v>0</v>
      </c>
      <c r="P38" s="117" t="n">
        <f aca="false">SUMIFS(الريسبي!$C$2:$C$1800,الريسبي!$A$2:$A$1800,$A38,الريسبي!$B$2:$B$1800,P$1)</f>
        <v>0</v>
      </c>
      <c r="Q38" s="117" t="n">
        <f aca="false">SUMIFS(الريسبي!$C$2:$C$1800,الريسبي!$A$2:$A$1800,$A38,الريسبي!$B$2:$B$1800,Q$1)</f>
        <v>1</v>
      </c>
      <c r="R38" s="117" t="n">
        <f aca="false">SUMIFS(الريسبي!$C$2:$C$1800,الريسبي!$A$2:$A$1800,$A38,الريسبي!$B$2:$B$1800,R$1)</f>
        <v>0</v>
      </c>
      <c r="S38" s="117" t="n">
        <f aca="false">SUMIFS(الريسبي!$C$2:$C$1800,الريسبي!$A$2:$A$1800,$A38,الريسبي!$B$2:$B$1800,S$1)</f>
        <v>0</v>
      </c>
      <c r="T38" s="117" t="n">
        <f aca="false">SUMIFS(الريسبي!$C$2:$C$1800,الريسبي!$A$2:$A$1800,$A38,الريسبي!$B$2:$B$1800,T$1)</f>
        <v>0</v>
      </c>
      <c r="U38" s="117" t="n">
        <f aca="false">SUMIFS(الريسبي!$C$2:$C$1800,الريسبي!$A$2:$A$1800,$A38,الريسبي!$B$2:$B$1800,U$1)</f>
        <v>0</v>
      </c>
      <c r="V38" s="117" t="n">
        <f aca="false">SUMIFS(الريسبي!$C$2:$C$1800,الريسبي!$A$2:$A$1800,$A38,الريسبي!$B$2:$B$1800,V$1)+1.5*(SUMIFS(الريسبي!$C$2:$C$1800,الريسبي!$A$2:$A$1800,$A38,الريسبي!$B$2:$B$1800,"برسيون موتزريلا بيتزا كبير"))</f>
        <v>0</v>
      </c>
      <c r="W38" s="117" t="n">
        <f aca="false">0</f>
        <v>0</v>
      </c>
      <c r="X38" s="117" t="n">
        <f aca="false">SUMIFS(الريسبي!$C$2:$C$1800,الريسبي!$A$2:$A$1800,$A38,الريسبي!$B$2:$B$1800,X$1)+1.5*(SUMIFS(الريسبي!$C$2:$C$1800,الريسبي!$A$2:$A$1800,$A38,الريسبي!$B$2:$B$1800,"برسيون موتزريلا فطير كبير"))</f>
        <v>1</v>
      </c>
      <c r="Y38" s="117" t="n">
        <f aca="false">0</f>
        <v>0</v>
      </c>
      <c r="Z38" s="117" t="n">
        <f aca="false">SUMIFS(الريسبي!$C$2:$C$1800,الريسبي!$A$2:$A$1800,$A38,الريسبي!$B$2:$B$1800,Z$1)</f>
        <v>0</v>
      </c>
      <c r="AA38" s="117" t="n">
        <f aca="false">SUMIFS(الريسبي!$C$2:$C$1800,الريسبي!$A$2:$A$1800,$A38,الريسبي!$B$2:$B$1800,AA$1)</f>
        <v>0</v>
      </c>
      <c r="AB38" s="117" t="n">
        <f aca="false">SUMIFS(الريسبي!$C$2:$C$1800,الريسبي!$A$2:$A$1800,$A38,الريسبي!$B$2:$B$1800,AB$1)</f>
        <v>0</v>
      </c>
      <c r="AC38" s="117" t="n">
        <f aca="false">SUMIFS(الريسبي!$C$2:$C$1800,الريسبي!$A$2:$A$1800,$A38,الريسبي!$B$2:$B$1800,AC$1)</f>
        <v>0</v>
      </c>
      <c r="AD38" s="117" t="n">
        <f aca="false">SUMIFS(الريسبي!$C$2:$C$1800,الريسبي!$A$2:$A$1800,$A38,الريسبي!$B$2:$B$1800,AD$1)</f>
        <v>0</v>
      </c>
      <c r="AE38" s="117" t="n">
        <f aca="false">SUMIFS(الريسبي!$C$2:$C$1800,الريسبي!$A$2:$A$1800,$A38,الريسبي!$B$2:$B$1800,AE$1)</f>
        <v>0</v>
      </c>
      <c r="AF38" s="117" t="n">
        <f aca="false">SUMIFS(الريسبي!$C$2:$C$1800,الريسبي!$A$2:$A$1800,$A38,الريسبي!$B$2:$B$1800,AF$1)</f>
        <v>0</v>
      </c>
      <c r="AG38" s="117" t="n">
        <f aca="false">SUMIFS(الريسبي!$C$2:$C$1800,الريسبي!$A$2:$A$1800,$A38,الريسبي!$B$2:$B$1800,AG$1)</f>
        <v>0</v>
      </c>
      <c r="AH38" s="117" t="n">
        <f aca="false">SUMIFS(الريسبي!$C$2:$C$1800,الريسبي!$A$2:$A$1800,$A38,الريسبي!$B$2:$B$1800,AH$1)</f>
        <v>0</v>
      </c>
      <c r="AI38" s="117" t="n">
        <f aca="false">SUMIFS(الريسبي!$C$2:$C$1800,الريسبي!$A$2:$A$1800,$A38,الريسبي!$B$2:$B$1800,AI$1)</f>
        <v>0</v>
      </c>
      <c r="AJ38" s="117" t="n">
        <f aca="false">SUMIFS(الريسبي!$C$2:$C$1800,الريسبي!$A$2:$A$1800,$A38,الريسبي!$B$2:$B$1800,AJ$1)</f>
        <v>2</v>
      </c>
      <c r="AK38" s="117" t="n">
        <f aca="false">SUMIFS(الريسبي!$C$2:$C$1800,الريسبي!$A$2:$A$1800,$A38,الريسبي!$B$2:$B$1800,AK$1)</f>
        <v>0</v>
      </c>
      <c r="AL38" s="117" t="n">
        <f aca="false">SUMIFS(الريسبي!$C$2:$C$1800,الريسبي!$A$2:$A$1800,$A38,الريسبي!$B$2:$B$1800,AL$1)</f>
        <v>0</v>
      </c>
      <c r="AM38" s="117" t="n">
        <f aca="false">SUMIFS(الريسبي!$C$2:$C$1800,الريسبي!$A$2:$A$1800,$A38,الريسبي!$B$2:$B$1800,AM$1)+0.08333333333*SUMIFS(الريسبي!$C$2:$C$1800,الريسبي!$A$2:$A$1800,$A38,الريسبي!$B$2:$B$1800,"عجين كريب (مصنع بالمطعم)")+0.08333333333*SUMIFS(الريسبي!$C$2:$C$1800,الريسبي!$A$2:$A$1800,$A38,الريسبي!$B$2:$B$1800,"عجين كريب صيامي (بدون لبن)")</f>
        <v>0</v>
      </c>
      <c r="AN38" s="117" t="n">
        <f aca="false">SUMIFS(الريسبي!$C$2:$C$1800,الريسبي!$A$2:$A$1800,$A38,الريسبي!$B$2:$B$1800,AN$1)+0.004166666667*SUMIFS(الريسبي!$C$2:$C$1800,الريسبي!$A$2:$A$1800,$A38,الريسبي!$B$2:$B$1800,"عجين كريب (مصنع بالمطعم)")+0.004166666667*SUMIFS(الريسبي!$C$2:$C$1800,الريسبي!$A$2:$A$1800,$A38,الريسبي!$B$2:$B$1800,"عجين كريب صيامي (بدون لبن)")</f>
        <v>0</v>
      </c>
      <c r="AO38" s="117" t="n">
        <f aca="false">SUMIFS(الريسبي!$C$2:$C$1800,الريسبي!$A$2:$A$1800,$A38,الريسبي!$B$2:$B$1800,AO$1)</f>
        <v>0</v>
      </c>
      <c r="AP38" s="117" t="n">
        <f aca="false">SUMIFS(الريسبي!$C$2:$C$1800,الريسبي!$A$2:$A$1800,$A38,الريسبي!$B$2:$B$1800,AP$1)</f>
        <v>0.02</v>
      </c>
      <c r="AQ38" s="117" t="n">
        <f aca="false">SUMIFS(الريسبي!$C$2:$C$1800,الريسبي!$A$2:$A$1800,$A38,الريسبي!$B$2:$B$1800,AQ$1)+0.004166666667*SUMIFS(الريسبي!$C$2:$C$1800,الريسبي!$A$2:$A$1800,$A38,الريسبي!$B$2:$B$1800,"عجين كريب (مصنع بالمطعم)")+0.004166666667*SUMIFS(الريسبي!$C$2:$C$1800,الريسبي!$A$2:$A$1800,$A38,الريسبي!$B$2:$B$1800,"عجين كريب صيامي (بدون لبن)")</f>
        <v>0</v>
      </c>
      <c r="AR38" s="117" t="n">
        <f aca="false">SUMIFS(الريسبي!$C$2:$C$1800,الريسبي!$A$2:$A$1800,$A38,الريسبي!$B$2:$B$1800,AR$1)</f>
        <v>0</v>
      </c>
      <c r="AS38" s="117" t="n">
        <f aca="false">SUMIFS(الريسبي!$C$2:$C$1800,الريسبي!$A$2:$A$1800,$A38,الريسبي!$B$2:$B$1800,AS$1)</f>
        <v>0</v>
      </c>
      <c r="AT38" s="117" t="n">
        <f aca="false">SUMIFS(الريسبي!$C$2:$C$1800,الريسبي!$A$2:$A$1800,$A38,الريسبي!$B$2:$B$1800,AT$1)</f>
        <v>0</v>
      </c>
      <c r="AU38" s="117" t="n">
        <f aca="false">SUMIFS(الريسبي!$C$2:$C$1800,الريسبي!$A$2:$A$1800,$A38,الريسبي!$B$2:$B$1800,AU$1)</f>
        <v>0</v>
      </c>
      <c r="AV38" s="117" t="n">
        <f aca="false">SUMIFS(الريسبي!$C$2:$C$1800,الريسبي!$A$2:$A$1800,$A38,الريسبي!$B$2:$B$1800,AV$1)</f>
        <v>0</v>
      </c>
      <c r="AW38" s="117" t="n">
        <f aca="false">SUMIFS(الريسبي!$C$2:$C$1800,الريسبي!$A$2:$A$1800,$A38,الريسبي!$B$2:$B$1800,AW$1)</f>
        <v>0</v>
      </c>
      <c r="AX38" s="117" t="n">
        <f aca="false">SUMIFS(الريسبي!$C$2:$C$1800,الريسبي!$A$2:$A$1800,$A38,الريسبي!$B$2:$B$1800,AX$1)</f>
        <v>0</v>
      </c>
      <c r="AY38" s="117" t="n">
        <f aca="false">SUMIFS(الريسبي!$C$2:$C$1800,الريسبي!$A$2:$A$1800,$A38,الريسبي!$B$2:$B$1800,AY$1)</f>
        <v>0</v>
      </c>
      <c r="AZ38" s="117" t="n">
        <f aca="false">SUMIFS(الريسبي!$C$2:$C$1800,الريسبي!$A$2:$A$1800,$A38,الريسبي!$B$2:$B$1800,AZ$1)</f>
        <v>0</v>
      </c>
      <c r="BA38" s="117" t="n">
        <f aca="false">SUMIFS(الريسبي!$C$2:$C$1800,الريسبي!$A$2:$A$1800,$A38,الريسبي!$B$2:$B$1800,BA$1)</f>
        <v>0</v>
      </c>
      <c r="BB38" s="117" t="n">
        <f aca="false">SUMIFS(الريسبي!$C$2:$C$1800,الريسبي!$A$2:$A$1800,$A38,الريسبي!$B$2:$B$1800,BB$1)</f>
        <v>0.1</v>
      </c>
      <c r="BC38" s="117" t="n">
        <f aca="false">SUMIFS(الريسبي!$C$2:$C$1800,الريسبي!$A$2:$A$1800,$A38,الريسبي!$B$2:$B$1800,BC$1)</f>
        <v>0.03</v>
      </c>
      <c r="BD38" s="117" t="n">
        <f aca="false">SUMIFS(الريسبي!$C$2:$C$1800,الريسبي!$A$2:$A$1800,$A38,الريسبي!$B$2:$B$1800,BD$1)</f>
        <v>0</v>
      </c>
      <c r="BE38" s="117" t="n">
        <f aca="false">SUMIFS(الريسبي!$C$2:$C$1800,الريسبي!$A$2:$A$1800,$A38,الريسبي!$B$2:$B$1800,BE$1)</f>
        <v>1</v>
      </c>
      <c r="BF38" s="117" t="n">
        <f aca="false">SUMIFS(الريسبي!$C$2:$C$1800,الريسبي!$A$2:$A$1800,$A38,الريسبي!$B$2:$B$1800,BF$1)</f>
        <v>0</v>
      </c>
      <c r="BG38" s="117" t="n">
        <f aca="false">SUMIFS(الريسبي!$C$2:$C$1800,الريسبي!$A$2:$A$1800,$A38,الريسبي!$B$2:$B$1800,BG$1)</f>
        <v>0</v>
      </c>
      <c r="BH38" s="117" t="n">
        <f aca="false">SUMIFS(الريسبي!$C$2:$C$1800,الريسبي!$A$2:$A$1800,$A38,الريسبي!$B$2:$B$1800,BH$1)</f>
        <v>1</v>
      </c>
      <c r="BI38" s="117" t="n">
        <f aca="false">SUMIFS(الريسبي!$C$2:$C$1800,الريسبي!$A$2:$A$1800,$A38,الريسبي!$B$2:$B$1800,BI$1)</f>
        <v>0</v>
      </c>
      <c r="BJ38" s="117" t="n">
        <f aca="false">SUMIFS(الريسبي!$C$2:$C$1800,الريسبي!$A$2:$A$1800,$A38,الريسبي!$B$2:$B$1800,BJ$1)</f>
        <v>0</v>
      </c>
      <c r="BK38" s="117" t="n">
        <f aca="false">SUMIFS(الريسبي!$C$2:$C$1800,الريسبي!$A$2:$A$1800,$A38,الريسبي!$B$2:$B$1800,BK$1)</f>
        <v>0</v>
      </c>
      <c r="BL38" s="117" t="n">
        <f aca="false">SUMIFS(الريسبي!$C$2:$C$1800,الريسبي!$A$2:$A$1800,$A38,الريسبي!$B$2:$B$1800,BL$1)</f>
        <v>0</v>
      </c>
      <c r="BM38" s="117" t="n">
        <f aca="false">SUMIFS(الريسبي!$C$2:$C$1800,الريسبي!$A$2:$A$1800,$A38,الريسبي!$B$2:$B$1800,BM$1)</f>
        <v>0</v>
      </c>
      <c r="BN38" s="117" t="n">
        <f aca="false">SUMIFS(الريسبي!$C$2:$C$1800,الريسبي!$A$2:$A$1800,$A38,الريسبي!$B$2:$B$1800,BN$1)</f>
        <v>0.02</v>
      </c>
      <c r="BO38" s="117" t="n">
        <f aca="false">SUMIFS(الريسبي!$C$2:$C$1800,الريسبي!$A$2:$A$1800,$A38,الريسبي!$B$2:$B$1800,BO$1)</f>
        <v>0</v>
      </c>
      <c r="BP38" s="117" t="n">
        <f aca="false">SUMIFS(الريسبي!$C$2:$C$1800,الريسبي!$A$2:$A$1800,$A38,الريسبي!$B$2:$B$1800,BP$1)</f>
        <v>2</v>
      </c>
      <c r="BQ38" s="117" t="n">
        <f aca="false">SUMIFS(الريسبي!$C$2:$C$1800,الريسبي!$A$2:$A$1800,$A38,الريسبي!$B$2:$B$1800,BQ$1)+0.17*SUMIFS(الريسبي!$C$2:$C$1800,الريسبي!$A$2:$A$1800,$A38,الريسبي!$B$2:$B$1800,"كاسترد مصنع (خليط بودر + لبن)")+0.17*SUMIFS(الريسبي!$C$2:$C$1800,الريسبي!$A$2:$A$1800,$A38,الريسبي!$B$2:$B$1800,"كاسترد مصنع صيامي (بدون لبن)")</f>
        <v>0</v>
      </c>
      <c r="BR38" s="117" t="n">
        <f aca="false">SUMIFS(الريسبي!$C$2:$C$1800,الريسبي!$A$2:$A$1800,$A38,الريسبي!$B$2:$B$1800,BR$1)</f>
        <v>1</v>
      </c>
      <c r="BS38" s="117" t="n">
        <f aca="false">SUMIFS(الريسبي!$C$2:$C$1800,الريسبي!$A$2:$A$1800,$A38,الريسبي!$B$2:$B$1800,BS$1)</f>
        <v>0</v>
      </c>
      <c r="BT38" s="117" t="n">
        <f aca="false">SUMIFS(الريسبي!$C$2:$C$1800,الريسبي!$A$2:$A$1800,$A38,الريسبي!$B$2:$B$1800,BT$1)</f>
        <v>0</v>
      </c>
      <c r="BU38" s="117" t="n">
        <f aca="false">SUMIFS(الريسبي!$C$2:$C$1800,الريسبي!$A$2:$A$1800,$A38,الريسبي!$B$2:$B$1800,BU$1)+0.4*SUMIFS(الريسبي!$C$2:$C$1800,الريسبي!$A$2:$A$1800,$A38,الريسبي!$B$2:$B$1800,"كاسترد مصنع (خليط بودر + لبن)")+0.03333333333*SUMIFS(الريسبي!$C$2:$C$1800,الريسبي!$A$2:$A$1800,$A38,الريسبي!$B$2:$B$1800,"عجين كريب (مصنع بالمطعم)")</f>
        <v>0</v>
      </c>
      <c r="BV38" s="117" t="n">
        <f aca="false">SUMIFS(الريسبي!$C$2:$C$1800,الريسبي!$A$2:$A$1800,$A38,الريسبي!$B$2:$B$1800,BV$1)</f>
        <v>0</v>
      </c>
      <c r="BW38" s="117" t="n">
        <f aca="false">SUMIFS(الريسبي!$C$2:$C$1800,الريسبي!$A$2:$A$1800,$A38,الريسبي!$B$2:$B$1800,BW$1)</f>
        <v>0</v>
      </c>
      <c r="BX38" s="117" t="n">
        <f aca="false">SUMIFS(الريسبي!$C$2:$C$1800,الريسبي!$A$2:$A$1800,$A38,الريسبي!$B$2:$B$1800,BX$1)</f>
        <v>0</v>
      </c>
      <c r="BY38" s="117" t="n">
        <f aca="false">SUMIFS(الريسبي!$C$2:$C$1800,الريسبي!$A$2:$A$1800,$A38,الريسبي!$B$2:$B$1800,BY$1)</f>
        <v>0</v>
      </c>
      <c r="BZ38" s="117" t="n">
        <f aca="false">SUMIFS(الريسبي!$C$2:$C$1800,الريسبي!$A$2:$A$1800,$A38,الريسبي!$B$2:$B$1800,BZ$1)</f>
        <v>0</v>
      </c>
      <c r="CA38" s="117" t="n">
        <f aca="false">SUMIFS(الريسبي!$C$2:$C$1800,الريسبي!$A$2:$A$1800,$A38,الريسبي!$B$2:$B$1800,CA$1)</f>
        <v>1</v>
      </c>
      <c r="CB38" s="117" t="n">
        <f aca="false">SUMIFS(الريسبي!$C$2:$C$1800,الريسبي!$A$2:$A$1800,$A38,الريسبي!$B$2:$B$1800,CB$1)</f>
        <v>1</v>
      </c>
      <c r="CC38" s="117" t="n">
        <f aca="false">SUMIFS(الريسبي!$C$2:$C$1800,الريسبي!$A$2:$A$1800,$A38,الريسبي!$B$2:$B$1800,CC$1)</f>
        <v>0</v>
      </c>
      <c r="CD38" s="117" t="n">
        <f aca="false">SUMIFS(الريسبي!$C$2:$C$1800,الريسبي!$A$2:$A$1800,$A38,الريسبي!$B$2:$B$1800,CD$1)</f>
        <v>0</v>
      </c>
      <c r="CE38" s="117" t="n">
        <f aca="false">SUMIFS(الريسبي!$C$2:$C$1800,الريسبي!$A$2:$A$1800,$A38,الريسبي!$B$2:$B$1800,CE$1)</f>
        <v>0</v>
      </c>
      <c r="CF38" s="117" t="n">
        <f aca="false">SUMIFS(الريسبي!$C$2:$C$1800,الريسبي!$A$2:$A$1800,$A38,الريسبي!$B$2:$B$1800,CF$1)</f>
        <v>0</v>
      </c>
      <c r="CG38" s="117" t="n">
        <f aca="false">SUMIFS(الريسبي!$C$2:$C$1800,الريسبي!$A$2:$A$1800,$A38,الريسبي!$B$2:$B$1800,CG$1)</f>
        <v>0</v>
      </c>
      <c r="CH38" s="117" t="n">
        <f aca="false">SUMIFS(الريسبي!$C$2:$C$1800,الريسبي!$A$2:$A$1800,$A38,الريسبي!$B$2:$B$1800,CH$1)</f>
        <v>0</v>
      </c>
      <c r="CI38" s="117" t="n">
        <f aca="false">SUMIFS(الريسبي!$C$2:$C$1800,الريسبي!$A$2:$A$1800,$A38,الريسبي!$B$2:$B$1800,CI$1)</f>
        <v>0</v>
      </c>
      <c r="CJ38" s="117" t="n">
        <f aca="false">SUMIFS(الريسبي!$C$2:$C$1800,الريسبي!$A$2:$A$1800,$A38,الريسبي!$B$2:$B$1800,CJ$1)</f>
        <v>0</v>
      </c>
      <c r="CK38" s="117" t="n">
        <f aca="false">SUMIFS(الريسبي!$C$2:$C$1800,الريسبي!$A$2:$A$1800,$A38,الريسبي!$B$2:$B$1800,CK$1)</f>
        <v>0</v>
      </c>
      <c r="CL38" s="117" t="n">
        <f aca="false">SUMIFS(الريسبي!$C$2:$C$1800,الريسبي!$A$2:$A$1800,$A38,الريسبي!$B$2:$B$1800,CL$1)</f>
        <v>0</v>
      </c>
    </row>
    <row r="39" customFormat="false" ht="15" hidden="false" customHeight="false" outlineLevel="0" collapsed="false">
      <c r="A39" s="116" t="str">
        <f aca="false">المنيو!B39</f>
        <v>فطيرة فراخ كريسبي شيدر حجم اكبر</v>
      </c>
      <c r="B39" s="117" t="n">
        <f aca="false">SUMIFS(الريسبي!$C$2:$C$1800,الريسبي!$A$2:$A$1800,$A39,الريسبي!$B$2:$B$1800,B$1)</f>
        <v>0</v>
      </c>
      <c r="C39" s="117" t="n">
        <f aca="false">SUMIFS(الريسبي!$C$2:$C$1800,الريسبي!$A$2:$A$1800,$A39,الريسبي!$B$2:$B$1800,C$1)</f>
        <v>0</v>
      </c>
      <c r="D39" s="117" t="n">
        <f aca="false">SUMIFS(الريسبي!$C$2:$C$1800,الريسبي!$A$2:$A$1800,$A39,الريسبي!$B$2:$B$1800,D$1)</f>
        <v>1</v>
      </c>
      <c r="E39" s="117" t="n">
        <f aca="false">SUMIFS(الريسبي!$C$2:$C$1800,الريسبي!$A$2:$A$1800,$A39,الريسبي!$B$2:$B$1800,E$1)</f>
        <v>0</v>
      </c>
      <c r="F39" s="117" t="n">
        <f aca="false">SUMIFS(الريسبي!$C$2:$C$1800,الريسبي!$A$2:$A$1800,$A39,الريسبي!$B$2:$B$1800,F$1)</f>
        <v>0</v>
      </c>
      <c r="G39" s="117" t="n">
        <f aca="false">SUMIFS(الريسبي!$C$2:$C$1800,الريسبي!$A$2:$A$1800,$A39,الريسبي!$B$2:$B$1800,G$1)</f>
        <v>0</v>
      </c>
      <c r="H39" s="117" t="n">
        <f aca="false">SUMIFS(الريسبي!$C$2:$C$1800,الريسبي!$A$2:$A$1800,$A39,الريسبي!$B$2:$B$1800,H$1)</f>
        <v>0</v>
      </c>
      <c r="I39" s="117" t="n">
        <f aca="false">SUMIFS(الريسبي!$C$2:$C$1800,الريسبي!$A$2:$A$1800,$A39,الريسبي!$B$2:$B$1800,I$1)</f>
        <v>0</v>
      </c>
      <c r="J39" s="117" t="n">
        <f aca="false">SUMIFS(الريسبي!$C$2:$C$1800,الريسبي!$A$2:$A$1800,$A39,الريسبي!$B$2:$B$1800,J$1)</f>
        <v>0</v>
      </c>
      <c r="K39" s="117" t="n">
        <f aca="false">SUMIFS(الريسبي!$C$2:$C$1800,الريسبي!$A$2:$A$1800,$A39,الريسبي!$B$2:$B$1800,K$1)</f>
        <v>0</v>
      </c>
      <c r="L39" s="117" t="n">
        <f aca="false">SUMIFS(الريسبي!$C$2:$C$1800,الريسبي!$A$2:$A$1800,$A39,الريسبي!$B$2:$B$1800,L$1)</f>
        <v>0</v>
      </c>
      <c r="M39" s="117" t="n">
        <f aca="false">SUMIFS(الريسبي!$C$2:$C$1800,الريسبي!$A$2:$A$1800,$A39,الريسبي!$B$2:$B$1800,M$1)</f>
        <v>0</v>
      </c>
      <c r="N39" s="117" t="n">
        <f aca="false">SUMIFS(الريسبي!$C$2:$C$1800,الريسبي!$A$2:$A$1800,$A39,الريسبي!$B$2:$B$1800,N$1)</f>
        <v>0</v>
      </c>
      <c r="O39" s="117" t="n">
        <f aca="false">SUMIFS(الريسبي!$C$2:$C$1800,الريسبي!$A$2:$A$1800,$A39,الريسبي!$B$2:$B$1800,O$1)</f>
        <v>0</v>
      </c>
      <c r="P39" s="117" t="n">
        <f aca="false">SUMIFS(الريسبي!$C$2:$C$1800,الريسبي!$A$2:$A$1800,$A39,الريسبي!$B$2:$B$1800,P$1)</f>
        <v>0</v>
      </c>
      <c r="Q39" s="117" t="n">
        <f aca="false">SUMIFS(الريسبي!$C$2:$C$1800,الريسبي!$A$2:$A$1800,$A39,الريسبي!$B$2:$B$1800,Q$1)</f>
        <v>0</v>
      </c>
      <c r="R39" s="117" t="n">
        <f aca="false">SUMIFS(الريسبي!$C$2:$C$1800,الريسبي!$A$2:$A$1800,$A39,الريسبي!$B$2:$B$1800,R$1)</f>
        <v>1</v>
      </c>
      <c r="S39" s="117" t="n">
        <f aca="false">SUMIFS(الريسبي!$C$2:$C$1800,الريسبي!$A$2:$A$1800,$A39,الريسبي!$B$2:$B$1800,S$1)</f>
        <v>0</v>
      </c>
      <c r="T39" s="117" t="n">
        <f aca="false">SUMIFS(الريسبي!$C$2:$C$1800,الريسبي!$A$2:$A$1800,$A39,الريسبي!$B$2:$B$1800,T$1)</f>
        <v>0</v>
      </c>
      <c r="U39" s="117" t="n">
        <f aca="false">SUMIFS(الريسبي!$C$2:$C$1800,الريسبي!$A$2:$A$1800,$A39,الريسبي!$B$2:$B$1800,U$1)</f>
        <v>0</v>
      </c>
      <c r="V39" s="117" t="n">
        <f aca="false">SUMIFS(الريسبي!$C$2:$C$1800,الريسبي!$A$2:$A$1800,$A39,الريسبي!$B$2:$B$1800,V$1)+1.5*(SUMIFS(الريسبي!$C$2:$C$1800,الريسبي!$A$2:$A$1800,$A39,الريسبي!$B$2:$B$1800,"برسيون موتزريلا بيتزا كبير"))</f>
        <v>0</v>
      </c>
      <c r="W39" s="117" t="n">
        <f aca="false">0</f>
        <v>0</v>
      </c>
      <c r="X39" s="117" t="n">
        <f aca="false">SUMIFS(الريسبي!$C$2:$C$1800,الريسبي!$A$2:$A$1800,$A39,الريسبي!$B$2:$B$1800,X$1)+1.5*(SUMIFS(الريسبي!$C$2:$C$1800,الريسبي!$A$2:$A$1800,$A39,الريسبي!$B$2:$B$1800,"برسيون موتزريلا فطير كبير"))</f>
        <v>1.5</v>
      </c>
      <c r="Y39" s="117" t="n">
        <f aca="false">0</f>
        <v>0</v>
      </c>
      <c r="Z39" s="117" t="n">
        <f aca="false">SUMIFS(الريسبي!$C$2:$C$1800,الريسبي!$A$2:$A$1800,$A39,الريسبي!$B$2:$B$1800,Z$1)</f>
        <v>0</v>
      </c>
      <c r="AA39" s="117" t="n">
        <f aca="false">SUMIFS(الريسبي!$C$2:$C$1800,الريسبي!$A$2:$A$1800,$A39,الريسبي!$B$2:$B$1800,AA$1)</f>
        <v>0</v>
      </c>
      <c r="AB39" s="117" t="n">
        <f aca="false">SUMIFS(الريسبي!$C$2:$C$1800,الريسبي!$A$2:$A$1800,$A39,الريسبي!$B$2:$B$1800,AB$1)</f>
        <v>0</v>
      </c>
      <c r="AC39" s="117" t="n">
        <f aca="false">SUMIFS(الريسبي!$C$2:$C$1800,الريسبي!$A$2:$A$1800,$A39,الريسبي!$B$2:$B$1800,AC$1)</f>
        <v>0</v>
      </c>
      <c r="AD39" s="117" t="n">
        <f aca="false">SUMIFS(الريسبي!$C$2:$C$1800,الريسبي!$A$2:$A$1800,$A39,الريسبي!$B$2:$B$1800,AD$1)</f>
        <v>0</v>
      </c>
      <c r="AE39" s="117" t="n">
        <f aca="false">SUMIFS(الريسبي!$C$2:$C$1800,الريسبي!$A$2:$A$1800,$A39,الريسبي!$B$2:$B$1800,AE$1)</f>
        <v>0</v>
      </c>
      <c r="AF39" s="117" t="n">
        <f aca="false">SUMIFS(الريسبي!$C$2:$C$1800,الريسبي!$A$2:$A$1800,$A39,الريسبي!$B$2:$B$1800,AF$1)</f>
        <v>0</v>
      </c>
      <c r="AG39" s="117" t="n">
        <f aca="false">SUMIFS(الريسبي!$C$2:$C$1800,الريسبي!$A$2:$A$1800,$A39,الريسبي!$B$2:$B$1800,AG$1)</f>
        <v>0</v>
      </c>
      <c r="AH39" s="117" t="n">
        <f aca="false">SUMIFS(الريسبي!$C$2:$C$1800,الريسبي!$A$2:$A$1800,$A39,الريسبي!$B$2:$B$1800,AH$1)</f>
        <v>0</v>
      </c>
      <c r="AI39" s="117" t="n">
        <f aca="false">SUMIFS(الريسبي!$C$2:$C$1800,الريسبي!$A$2:$A$1800,$A39,الريسبي!$B$2:$B$1800,AI$1)</f>
        <v>0</v>
      </c>
      <c r="AJ39" s="117" t="n">
        <f aca="false">SUMIFS(الريسبي!$C$2:$C$1800,الريسبي!$A$2:$A$1800,$A39,الريسبي!$B$2:$B$1800,AJ$1)</f>
        <v>2</v>
      </c>
      <c r="AK39" s="117" t="n">
        <f aca="false">SUMIFS(الريسبي!$C$2:$C$1800,الريسبي!$A$2:$A$1800,$A39,الريسبي!$B$2:$B$1800,AK$1)</f>
        <v>0</v>
      </c>
      <c r="AL39" s="117" t="n">
        <f aca="false">SUMIFS(الريسبي!$C$2:$C$1800,الريسبي!$A$2:$A$1800,$A39,الريسبي!$B$2:$B$1800,AL$1)</f>
        <v>0</v>
      </c>
      <c r="AM39" s="117" t="n">
        <f aca="false">SUMIFS(الريسبي!$C$2:$C$1800,الريسبي!$A$2:$A$1800,$A39,الريسبي!$B$2:$B$1800,AM$1)+0.08333333333*SUMIFS(الريسبي!$C$2:$C$1800,الريسبي!$A$2:$A$1800,$A39,الريسبي!$B$2:$B$1800,"عجين كريب (مصنع بالمطعم)")+0.08333333333*SUMIFS(الريسبي!$C$2:$C$1800,الريسبي!$A$2:$A$1800,$A39,الريسبي!$B$2:$B$1800,"عجين كريب صيامي (بدون لبن)")</f>
        <v>0</v>
      </c>
      <c r="AN39" s="117" t="n">
        <f aca="false">SUMIFS(الريسبي!$C$2:$C$1800,الريسبي!$A$2:$A$1800,$A39,الريسبي!$B$2:$B$1800,AN$1)+0.004166666667*SUMIFS(الريسبي!$C$2:$C$1800,الريسبي!$A$2:$A$1800,$A39,الريسبي!$B$2:$B$1800,"عجين كريب (مصنع بالمطعم)")+0.004166666667*SUMIFS(الريسبي!$C$2:$C$1800,الريسبي!$A$2:$A$1800,$A39,الريسبي!$B$2:$B$1800,"عجين كريب صيامي (بدون لبن)")</f>
        <v>0</v>
      </c>
      <c r="AO39" s="117" t="n">
        <f aca="false">SUMIFS(الريسبي!$C$2:$C$1800,الريسبي!$A$2:$A$1800,$A39,الريسبي!$B$2:$B$1800,AO$1)</f>
        <v>0</v>
      </c>
      <c r="AP39" s="117" t="n">
        <f aca="false">SUMIFS(الريسبي!$C$2:$C$1800,الريسبي!$A$2:$A$1800,$A39,الريسبي!$B$2:$B$1800,AP$1)</f>
        <v>0.03</v>
      </c>
      <c r="AQ39" s="117" t="n">
        <f aca="false">SUMIFS(الريسبي!$C$2:$C$1800,الريسبي!$A$2:$A$1800,$A39,الريسبي!$B$2:$B$1800,AQ$1)+0.004166666667*SUMIFS(الريسبي!$C$2:$C$1800,الريسبي!$A$2:$A$1800,$A39,الريسبي!$B$2:$B$1800,"عجين كريب (مصنع بالمطعم)")+0.004166666667*SUMIFS(الريسبي!$C$2:$C$1800,الريسبي!$A$2:$A$1800,$A39,الريسبي!$B$2:$B$1800,"عجين كريب صيامي (بدون لبن)")</f>
        <v>0</v>
      </c>
      <c r="AR39" s="117" t="n">
        <f aca="false">SUMIFS(الريسبي!$C$2:$C$1800,الريسبي!$A$2:$A$1800,$A39,الريسبي!$B$2:$B$1800,AR$1)</f>
        <v>0</v>
      </c>
      <c r="AS39" s="117" t="n">
        <f aca="false">SUMIFS(الريسبي!$C$2:$C$1800,الريسبي!$A$2:$A$1800,$A39,الريسبي!$B$2:$B$1800,AS$1)</f>
        <v>0</v>
      </c>
      <c r="AT39" s="117" t="n">
        <f aca="false">SUMIFS(الريسبي!$C$2:$C$1800,الريسبي!$A$2:$A$1800,$A39,الريسبي!$B$2:$B$1800,AT$1)</f>
        <v>0</v>
      </c>
      <c r="AU39" s="117" t="n">
        <f aca="false">SUMIFS(الريسبي!$C$2:$C$1800,الريسبي!$A$2:$A$1800,$A39,الريسبي!$B$2:$B$1800,AU$1)</f>
        <v>0</v>
      </c>
      <c r="AV39" s="117" t="n">
        <f aca="false">SUMIFS(الريسبي!$C$2:$C$1800,الريسبي!$A$2:$A$1800,$A39,الريسبي!$B$2:$B$1800,AV$1)</f>
        <v>0</v>
      </c>
      <c r="AW39" s="117" t="n">
        <f aca="false">SUMIFS(الريسبي!$C$2:$C$1800,الريسبي!$A$2:$A$1800,$A39,الريسبي!$B$2:$B$1800,AW$1)</f>
        <v>0</v>
      </c>
      <c r="AX39" s="117" t="n">
        <f aca="false">SUMIFS(الريسبي!$C$2:$C$1800,الريسبي!$A$2:$A$1800,$A39,الريسبي!$B$2:$B$1800,AX$1)</f>
        <v>0</v>
      </c>
      <c r="AY39" s="117" t="n">
        <f aca="false">SUMIFS(الريسبي!$C$2:$C$1800,الريسبي!$A$2:$A$1800,$A39,الريسبي!$B$2:$B$1800,AY$1)</f>
        <v>0</v>
      </c>
      <c r="AZ39" s="117" t="n">
        <f aca="false">SUMIFS(الريسبي!$C$2:$C$1800,الريسبي!$A$2:$A$1800,$A39,الريسبي!$B$2:$B$1800,AZ$1)</f>
        <v>0</v>
      </c>
      <c r="BA39" s="117" t="n">
        <f aca="false">SUMIFS(الريسبي!$C$2:$C$1800,الريسبي!$A$2:$A$1800,$A39,الريسبي!$B$2:$B$1800,BA$1)</f>
        <v>0</v>
      </c>
      <c r="BB39" s="117" t="n">
        <f aca="false">SUMIFS(الريسبي!$C$2:$C$1800,الريسبي!$A$2:$A$1800,$A39,الريسبي!$B$2:$B$1800,BB$1)</f>
        <v>0.15</v>
      </c>
      <c r="BC39" s="117" t="n">
        <f aca="false">SUMIFS(الريسبي!$C$2:$C$1800,الريسبي!$A$2:$A$1800,$A39,الريسبي!$B$2:$B$1800,BC$1)</f>
        <v>0.045</v>
      </c>
      <c r="BD39" s="117" t="n">
        <f aca="false">SUMIFS(الريسبي!$C$2:$C$1800,الريسبي!$A$2:$A$1800,$A39,الريسبي!$B$2:$B$1800,BD$1)</f>
        <v>0</v>
      </c>
      <c r="BE39" s="117" t="n">
        <f aca="false">SUMIFS(الريسبي!$C$2:$C$1800,الريسبي!$A$2:$A$1800,$A39,الريسبي!$B$2:$B$1800,BE$1)</f>
        <v>1.5</v>
      </c>
      <c r="BF39" s="117" t="n">
        <f aca="false">SUMIFS(الريسبي!$C$2:$C$1800,الريسبي!$A$2:$A$1800,$A39,الريسبي!$B$2:$B$1800,BF$1)</f>
        <v>0</v>
      </c>
      <c r="BG39" s="117" t="n">
        <f aca="false">SUMIFS(الريسبي!$C$2:$C$1800,الريسبي!$A$2:$A$1800,$A39,الريسبي!$B$2:$B$1800,BG$1)</f>
        <v>1</v>
      </c>
      <c r="BH39" s="117" t="n">
        <f aca="false">SUMIFS(الريسبي!$C$2:$C$1800,الريسبي!$A$2:$A$1800,$A39,الريسبي!$B$2:$B$1800,BH$1)</f>
        <v>0</v>
      </c>
      <c r="BI39" s="117" t="n">
        <f aca="false">SUMIFS(الريسبي!$C$2:$C$1800,الريسبي!$A$2:$A$1800,$A39,الريسبي!$B$2:$B$1800,BI$1)</f>
        <v>0</v>
      </c>
      <c r="BJ39" s="117" t="n">
        <f aca="false">SUMIFS(الريسبي!$C$2:$C$1800,الريسبي!$A$2:$A$1800,$A39,الريسبي!$B$2:$B$1800,BJ$1)</f>
        <v>0</v>
      </c>
      <c r="BK39" s="117" t="n">
        <f aca="false">SUMIFS(الريسبي!$C$2:$C$1800,الريسبي!$A$2:$A$1800,$A39,الريسبي!$B$2:$B$1800,BK$1)</f>
        <v>0</v>
      </c>
      <c r="BL39" s="117" t="n">
        <f aca="false">SUMIFS(الريسبي!$C$2:$C$1800,الريسبي!$A$2:$A$1800,$A39,الريسبي!$B$2:$B$1800,BL$1)</f>
        <v>0</v>
      </c>
      <c r="BM39" s="117" t="n">
        <f aca="false">SUMIFS(الريسبي!$C$2:$C$1800,الريسبي!$A$2:$A$1800,$A39,الريسبي!$B$2:$B$1800,BM$1)</f>
        <v>0</v>
      </c>
      <c r="BN39" s="117" t="n">
        <f aca="false">SUMIFS(الريسبي!$C$2:$C$1800,الريسبي!$A$2:$A$1800,$A39,الريسبي!$B$2:$B$1800,BN$1)</f>
        <v>0.03</v>
      </c>
      <c r="BO39" s="117" t="n">
        <f aca="false">SUMIFS(الريسبي!$C$2:$C$1800,الريسبي!$A$2:$A$1800,$A39,الريسبي!$B$2:$B$1800,BO$1)</f>
        <v>0</v>
      </c>
      <c r="BP39" s="117" t="n">
        <f aca="false">SUMIFS(الريسبي!$C$2:$C$1800,الريسبي!$A$2:$A$1800,$A39,الريسبي!$B$2:$B$1800,BP$1)</f>
        <v>3</v>
      </c>
      <c r="BQ39" s="117" t="n">
        <f aca="false">SUMIFS(الريسبي!$C$2:$C$1800,الريسبي!$A$2:$A$1800,$A39,الريسبي!$B$2:$B$1800,BQ$1)+0.17*SUMIFS(الريسبي!$C$2:$C$1800,الريسبي!$A$2:$A$1800,$A39,الريسبي!$B$2:$B$1800,"كاسترد مصنع (خليط بودر + لبن)")+0.17*SUMIFS(الريسبي!$C$2:$C$1800,الريسبي!$A$2:$A$1800,$A39,الريسبي!$B$2:$B$1800,"كاسترد مصنع صيامي (بدون لبن)")</f>
        <v>0</v>
      </c>
      <c r="BR39" s="117" t="n">
        <f aca="false">SUMIFS(الريسبي!$C$2:$C$1800,الريسبي!$A$2:$A$1800,$A39,الريسبي!$B$2:$B$1800,BR$1)</f>
        <v>1</v>
      </c>
      <c r="BS39" s="117" t="n">
        <f aca="false">SUMIFS(الريسبي!$C$2:$C$1800,الريسبي!$A$2:$A$1800,$A39,الريسبي!$B$2:$B$1800,BS$1)</f>
        <v>0</v>
      </c>
      <c r="BT39" s="117" t="n">
        <f aca="false">SUMIFS(الريسبي!$C$2:$C$1800,الريسبي!$A$2:$A$1800,$A39,الريسبي!$B$2:$B$1800,BT$1)</f>
        <v>0</v>
      </c>
      <c r="BU39" s="117" t="n">
        <f aca="false">SUMIFS(الريسبي!$C$2:$C$1800,الريسبي!$A$2:$A$1800,$A39,الريسبي!$B$2:$B$1800,BU$1)+0.4*SUMIFS(الريسبي!$C$2:$C$1800,الريسبي!$A$2:$A$1800,$A39,الريسبي!$B$2:$B$1800,"كاسترد مصنع (خليط بودر + لبن)")+0.03333333333*SUMIFS(الريسبي!$C$2:$C$1800,الريسبي!$A$2:$A$1800,$A39,الريسبي!$B$2:$B$1800,"عجين كريب (مصنع بالمطعم)")</f>
        <v>0</v>
      </c>
      <c r="BV39" s="117" t="n">
        <f aca="false">SUMIFS(الريسبي!$C$2:$C$1800,الريسبي!$A$2:$A$1800,$A39,الريسبي!$B$2:$B$1800,BV$1)</f>
        <v>0</v>
      </c>
      <c r="BW39" s="117" t="n">
        <f aca="false">SUMIFS(الريسبي!$C$2:$C$1800,الريسبي!$A$2:$A$1800,$A39,الريسبي!$B$2:$B$1800,BW$1)</f>
        <v>0</v>
      </c>
      <c r="BX39" s="117" t="n">
        <f aca="false">SUMIFS(الريسبي!$C$2:$C$1800,الريسبي!$A$2:$A$1800,$A39,الريسبي!$B$2:$B$1800,BX$1)</f>
        <v>0</v>
      </c>
      <c r="BY39" s="117" t="n">
        <f aca="false">SUMIFS(الريسبي!$C$2:$C$1800,الريسبي!$A$2:$A$1800,$A39,الريسبي!$B$2:$B$1800,BY$1)</f>
        <v>0</v>
      </c>
      <c r="BZ39" s="117" t="n">
        <f aca="false">SUMIFS(الريسبي!$C$2:$C$1800,الريسبي!$A$2:$A$1800,$A39,الريسبي!$B$2:$B$1800,BZ$1)</f>
        <v>0</v>
      </c>
      <c r="CA39" s="117" t="n">
        <f aca="false">SUMIFS(الريسبي!$C$2:$C$1800,الريسبي!$A$2:$A$1800,$A39,الريسبي!$B$2:$B$1800,CA$1)</f>
        <v>1</v>
      </c>
      <c r="CB39" s="117" t="n">
        <f aca="false">SUMIFS(الريسبي!$C$2:$C$1800,الريسبي!$A$2:$A$1800,$A39,الريسبي!$B$2:$B$1800,CB$1)</f>
        <v>1</v>
      </c>
      <c r="CC39" s="117" t="n">
        <f aca="false">SUMIFS(الريسبي!$C$2:$C$1800,الريسبي!$A$2:$A$1800,$A39,الريسبي!$B$2:$B$1800,CC$1)</f>
        <v>0</v>
      </c>
      <c r="CD39" s="117" t="n">
        <f aca="false">SUMIFS(الريسبي!$C$2:$C$1800,الريسبي!$A$2:$A$1800,$A39,الريسبي!$B$2:$B$1800,CD$1)</f>
        <v>0</v>
      </c>
      <c r="CE39" s="117" t="n">
        <f aca="false">SUMIFS(الريسبي!$C$2:$C$1800,الريسبي!$A$2:$A$1800,$A39,الريسبي!$B$2:$B$1800,CE$1)</f>
        <v>0</v>
      </c>
      <c r="CF39" s="117" t="n">
        <f aca="false">SUMIFS(الريسبي!$C$2:$C$1800,الريسبي!$A$2:$A$1800,$A39,الريسبي!$B$2:$B$1800,CF$1)</f>
        <v>0</v>
      </c>
      <c r="CG39" s="117" t="n">
        <f aca="false">SUMIFS(الريسبي!$C$2:$C$1800,الريسبي!$A$2:$A$1800,$A39,الريسبي!$B$2:$B$1800,CG$1)</f>
        <v>0</v>
      </c>
      <c r="CH39" s="117" t="n">
        <f aca="false">SUMIFS(الريسبي!$C$2:$C$1800,الريسبي!$A$2:$A$1800,$A39,الريسبي!$B$2:$B$1800,CH$1)</f>
        <v>0</v>
      </c>
      <c r="CI39" s="117" t="n">
        <f aca="false">SUMIFS(الريسبي!$C$2:$C$1800,الريسبي!$A$2:$A$1800,$A39,الريسبي!$B$2:$B$1800,CI$1)</f>
        <v>0</v>
      </c>
      <c r="CJ39" s="117" t="n">
        <f aca="false">SUMIFS(الريسبي!$C$2:$C$1800,الريسبي!$A$2:$A$1800,$A39,الريسبي!$B$2:$B$1800,CJ$1)</f>
        <v>0</v>
      </c>
      <c r="CK39" s="117" t="n">
        <f aca="false">SUMIFS(الريسبي!$C$2:$C$1800,الريسبي!$A$2:$A$1800,$A39,الريسبي!$B$2:$B$1800,CK$1)</f>
        <v>0</v>
      </c>
      <c r="CL39" s="117" t="n">
        <f aca="false">SUMIFS(الريسبي!$C$2:$C$1800,الريسبي!$A$2:$A$1800,$A39,الريسبي!$B$2:$B$1800,CL$1)</f>
        <v>0</v>
      </c>
    </row>
    <row r="40" customFormat="false" ht="15" hidden="false" customHeight="false" outlineLevel="0" collapsed="false">
      <c r="A40" s="116" t="str">
        <f aca="false">المنيو!B40</f>
        <v>فطيرة مشكل لحوم النكش وسط</v>
      </c>
      <c r="B40" s="117" t="n">
        <f aca="false">SUMIFS(الريسبي!$C$2:$C$1800,الريسبي!$A$2:$A$1800,$A40,الريسبي!$B$2:$B$1800,B$1)</f>
        <v>0</v>
      </c>
      <c r="C40" s="117" t="n">
        <f aca="false">SUMIFS(الريسبي!$C$2:$C$1800,الريسبي!$A$2:$A$1800,$A40,الريسبي!$B$2:$B$1800,C$1)</f>
        <v>0</v>
      </c>
      <c r="D40" s="117" t="n">
        <f aca="false">SUMIFS(الريسبي!$C$2:$C$1800,الريسبي!$A$2:$A$1800,$A40,الريسبي!$B$2:$B$1800,D$1)</f>
        <v>1</v>
      </c>
      <c r="E40" s="117" t="n">
        <f aca="false">SUMIFS(الريسبي!$C$2:$C$1800,الريسبي!$A$2:$A$1800,$A40,الريسبي!$B$2:$B$1800,E$1)</f>
        <v>0</v>
      </c>
      <c r="F40" s="117" t="n">
        <f aca="false">SUMIFS(الريسبي!$C$2:$C$1800,الريسبي!$A$2:$A$1800,$A40,الريسبي!$B$2:$B$1800,F$1)</f>
        <v>0</v>
      </c>
      <c r="G40" s="117" t="n">
        <f aca="false">SUMIFS(الريسبي!$C$2:$C$1800,الريسبي!$A$2:$A$1800,$A40,الريسبي!$B$2:$B$1800,G$1)</f>
        <v>1</v>
      </c>
      <c r="H40" s="117" t="n">
        <f aca="false">SUMIFS(الريسبي!$C$2:$C$1800,الريسبي!$A$2:$A$1800,$A40,الريسبي!$B$2:$B$1800,H$1)</f>
        <v>0</v>
      </c>
      <c r="I40" s="117" t="n">
        <f aca="false">SUMIFS(الريسبي!$C$2:$C$1800,الريسبي!$A$2:$A$1800,$A40,الريسبي!$B$2:$B$1800,I$1)</f>
        <v>0</v>
      </c>
      <c r="J40" s="117" t="n">
        <f aca="false">SUMIFS(الريسبي!$C$2:$C$1800,الريسبي!$A$2:$A$1800,$A40,الريسبي!$B$2:$B$1800,J$1)</f>
        <v>0</v>
      </c>
      <c r="K40" s="117" t="n">
        <f aca="false">SUMIFS(الريسبي!$C$2:$C$1800,الريسبي!$A$2:$A$1800,$A40,الريسبي!$B$2:$B$1800,K$1)</f>
        <v>0</v>
      </c>
      <c r="L40" s="117" t="n">
        <f aca="false">SUMIFS(الريسبي!$C$2:$C$1800,الريسبي!$A$2:$A$1800,$A40,الريسبي!$B$2:$B$1800,L$1)</f>
        <v>1</v>
      </c>
      <c r="M40" s="117" t="n">
        <f aca="false">SUMIFS(الريسبي!$C$2:$C$1800,الريسبي!$A$2:$A$1800,$A40,الريسبي!$B$2:$B$1800,M$1)</f>
        <v>0</v>
      </c>
      <c r="N40" s="117" t="n">
        <f aca="false">SUMIFS(الريسبي!$C$2:$C$1800,الريسبي!$A$2:$A$1800,$A40,الريسبي!$B$2:$B$1800,N$1)</f>
        <v>0</v>
      </c>
      <c r="O40" s="117" t="n">
        <f aca="false">SUMIFS(الريسبي!$C$2:$C$1800,الريسبي!$A$2:$A$1800,$A40,الريسبي!$B$2:$B$1800,O$1)</f>
        <v>0</v>
      </c>
      <c r="P40" s="117" t="n">
        <f aca="false">SUMIFS(الريسبي!$C$2:$C$1800,الريسبي!$A$2:$A$1800,$A40,الريسبي!$B$2:$B$1800,P$1)</f>
        <v>0</v>
      </c>
      <c r="Q40" s="117" t="n">
        <f aca="false">SUMIFS(الريسبي!$C$2:$C$1800,الريسبي!$A$2:$A$1800,$A40,الريسبي!$B$2:$B$1800,Q$1)</f>
        <v>0</v>
      </c>
      <c r="R40" s="117" t="n">
        <f aca="false">SUMIFS(الريسبي!$C$2:$C$1800,الريسبي!$A$2:$A$1800,$A40,الريسبي!$B$2:$B$1800,R$1)</f>
        <v>0</v>
      </c>
      <c r="S40" s="117" t="n">
        <f aca="false">SUMIFS(الريسبي!$C$2:$C$1800,الريسبي!$A$2:$A$1800,$A40,الريسبي!$B$2:$B$1800,S$1)</f>
        <v>0</v>
      </c>
      <c r="T40" s="117" t="n">
        <f aca="false">SUMIFS(الريسبي!$C$2:$C$1800,الريسبي!$A$2:$A$1800,$A40,الريسبي!$B$2:$B$1800,T$1)</f>
        <v>1</v>
      </c>
      <c r="U40" s="117" t="n">
        <f aca="false">SUMIFS(الريسبي!$C$2:$C$1800,الريسبي!$A$2:$A$1800,$A40,الريسبي!$B$2:$B$1800,U$1)</f>
        <v>0</v>
      </c>
      <c r="V40" s="117" t="n">
        <f aca="false">SUMIFS(الريسبي!$C$2:$C$1800,الريسبي!$A$2:$A$1800,$A40,الريسبي!$B$2:$B$1800,V$1)+1.5*(SUMIFS(الريسبي!$C$2:$C$1800,الريسبي!$A$2:$A$1800,$A40,الريسبي!$B$2:$B$1800,"برسيون موتزريلا بيتزا كبير"))</f>
        <v>0</v>
      </c>
      <c r="W40" s="117" t="n">
        <f aca="false">0</f>
        <v>0</v>
      </c>
      <c r="X40" s="117" t="n">
        <f aca="false">SUMIFS(الريسبي!$C$2:$C$1800,الريسبي!$A$2:$A$1800,$A40,الريسبي!$B$2:$B$1800,X$1)+1.5*(SUMIFS(الريسبي!$C$2:$C$1800,الريسبي!$A$2:$A$1800,$A40,الريسبي!$B$2:$B$1800,"برسيون موتزريلا فطير كبير"))</f>
        <v>1</v>
      </c>
      <c r="Y40" s="117" t="n">
        <f aca="false">0</f>
        <v>0</v>
      </c>
      <c r="Z40" s="117" t="n">
        <f aca="false">SUMIFS(الريسبي!$C$2:$C$1800,الريسبي!$A$2:$A$1800,$A40,الريسبي!$B$2:$B$1800,Z$1)</f>
        <v>0</v>
      </c>
      <c r="AA40" s="117" t="n">
        <f aca="false">SUMIFS(الريسبي!$C$2:$C$1800,الريسبي!$A$2:$A$1800,$A40,الريسبي!$B$2:$B$1800,AA$1)</f>
        <v>0</v>
      </c>
      <c r="AB40" s="117" t="n">
        <f aca="false">SUMIFS(الريسبي!$C$2:$C$1800,الريسبي!$A$2:$A$1800,$A40,الريسبي!$B$2:$B$1800,AB$1)</f>
        <v>0</v>
      </c>
      <c r="AC40" s="117" t="n">
        <f aca="false">SUMIFS(الريسبي!$C$2:$C$1800,الريسبي!$A$2:$A$1800,$A40,الريسبي!$B$2:$B$1800,AC$1)</f>
        <v>0</v>
      </c>
      <c r="AD40" s="117" t="n">
        <f aca="false">SUMIFS(الريسبي!$C$2:$C$1800,الريسبي!$A$2:$A$1800,$A40,الريسبي!$B$2:$B$1800,AD$1)</f>
        <v>0</v>
      </c>
      <c r="AE40" s="117" t="n">
        <f aca="false">SUMIFS(الريسبي!$C$2:$C$1800,الريسبي!$A$2:$A$1800,$A40,الريسبي!$B$2:$B$1800,AE$1)</f>
        <v>0</v>
      </c>
      <c r="AF40" s="117" t="n">
        <f aca="false">SUMIFS(الريسبي!$C$2:$C$1800,الريسبي!$A$2:$A$1800,$A40,الريسبي!$B$2:$B$1800,AF$1)</f>
        <v>0</v>
      </c>
      <c r="AG40" s="117" t="n">
        <f aca="false">SUMIFS(الريسبي!$C$2:$C$1800,الريسبي!$A$2:$A$1800,$A40,الريسبي!$B$2:$B$1800,AG$1)</f>
        <v>0</v>
      </c>
      <c r="AH40" s="117" t="n">
        <f aca="false">SUMIFS(الريسبي!$C$2:$C$1800,الريسبي!$A$2:$A$1800,$A40,الريسبي!$B$2:$B$1800,AH$1)</f>
        <v>0</v>
      </c>
      <c r="AI40" s="117" t="n">
        <f aca="false">SUMIFS(الريسبي!$C$2:$C$1800,الريسبي!$A$2:$A$1800,$A40,الريسبي!$B$2:$B$1800,AI$1)</f>
        <v>0</v>
      </c>
      <c r="AJ40" s="117" t="n">
        <f aca="false">SUMIFS(الريسبي!$C$2:$C$1800,الريسبي!$A$2:$A$1800,$A40,الريسبي!$B$2:$B$1800,AJ$1)</f>
        <v>2</v>
      </c>
      <c r="AK40" s="117" t="n">
        <f aca="false">SUMIFS(الريسبي!$C$2:$C$1800,الريسبي!$A$2:$A$1800,$A40,الريسبي!$B$2:$B$1800,AK$1)</f>
        <v>0</v>
      </c>
      <c r="AL40" s="117" t="n">
        <f aca="false">SUMIFS(الريسبي!$C$2:$C$1800,الريسبي!$A$2:$A$1800,$A40,الريسبي!$B$2:$B$1800,AL$1)</f>
        <v>0</v>
      </c>
      <c r="AM40" s="117" t="n">
        <f aca="false">SUMIFS(الريسبي!$C$2:$C$1800,الريسبي!$A$2:$A$1800,$A40,الريسبي!$B$2:$B$1800,AM$1)+0.08333333333*SUMIFS(الريسبي!$C$2:$C$1800,الريسبي!$A$2:$A$1800,$A40,الريسبي!$B$2:$B$1800,"عجين كريب (مصنع بالمطعم)")+0.08333333333*SUMIFS(الريسبي!$C$2:$C$1800,الريسبي!$A$2:$A$1800,$A40,الريسبي!$B$2:$B$1800,"عجين كريب صيامي (بدون لبن)")</f>
        <v>0</v>
      </c>
      <c r="AN40" s="117" t="n">
        <f aca="false">SUMIFS(الريسبي!$C$2:$C$1800,الريسبي!$A$2:$A$1800,$A40,الريسبي!$B$2:$B$1800,AN$1)+0.004166666667*SUMIFS(الريسبي!$C$2:$C$1800,الريسبي!$A$2:$A$1800,$A40,الريسبي!$B$2:$B$1800,"عجين كريب (مصنع بالمطعم)")+0.004166666667*SUMIFS(الريسبي!$C$2:$C$1800,الريسبي!$A$2:$A$1800,$A40,الريسبي!$B$2:$B$1800,"عجين كريب صيامي (بدون لبن)")</f>
        <v>0</v>
      </c>
      <c r="AO40" s="117" t="n">
        <f aca="false">SUMIFS(الريسبي!$C$2:$C$1800,الريسبي!$A$2:$A$1800,$A40,الريسبي!$B$2:$B$1800,AO$1)</f>
        <v>0</v>
      </c>
      <c r="AP40" s="117" t="n">
        <f aca="false">SUMIFS(الريسبي!$C$2:$C$1800,الريسبي!$A$2:$A$1800,$A40,الريسبي!$B$2:$B$1800,AP$1)</f>
        <v>0.02</v>
      </c>
      <c r="AQ40" s="117" t="n">
        <f aca="false">SUMIFS(الريسبي!$C$2:$C$1800,الريسبي!$A$2:$A$1800,$A40,الريسبي!$B$2:$B$1800,AQ$1)+0.004166666667*SUMIFS(الريسبي!$C$2:$C$1800,الريسبي!$A$2:$A$1800,$A40,الريسبي!$B$2:$B$1800,"عجين كريب (مصنع بالمطعم)")+0.004166666667*SUMIFS(الريسبي!$C$2:$C$1800,الريسبي!$A$2:$A$1800,$A40,الريسبي!$B$2:$B$1800,"عجين كريب صيامي (بدون لبن)")</f>
        <v>0</v>
      </c>
      <c r="AR40" s="117" t="n">
        <f aca="false">SUMIFS(الريسبي!$C$2:$C$1800,الريسبي!$A$2:$A$1800,$A40,الريسبي!$B$2:$B$1800,AR$1)</f>
        <v>0</v>
      </c>
      <c r="AS40" s="117" t="n">
        <f aca="false">SUMIFS(الريسبي!$C$2:$C$1800,الريسبي!$A$2:$A$1800,$A40,الريسبي!$B$2:$B$1800,AS$1)</f>
        <v>0</v>
      </c>
      <c r="AT40" s="117" t="n">
        <f aca="false">SUMIFS(الريسبي!$C$2:$C$1800,الريسبي!$A$2:$A$1800,$A40,الريسبي!$B$2:$B$1800,AT$1)</f>
        <v>0</v>
      </c>
      <c r="AU40" s="117" t="n">
        <f aca="false">SUMIFS(الريسبي!$C$2:$C$1800,الريسبي!$A$2:$A$1800,$A40,الريسبي!$B$2:$B$1800,AU$1)</f>
        <v>0</v>
      </c>
      <c r="AV40" s="117" t="n">
        <f aca="false">SUMIFS(الريسبي!$C$2:$C$1800,الريسبي!$A$2:$A$1800,$A40,الريسبي!$B$2:$B$1800,AV$1)</f>
        <v>0</v>
      </c>
      <c r="AW40" s="117" t="n">
        <f aca="false">SUMIFS(الريسبي!$C$2:$C$1800,الريسبي!$A$2:$A$1800,$A40,الريسبي!$B$2:$B$1800,AW$1)</f>
        <v>0</v>
      </c>
      <c r="AX40" s="117" t="n">
        <f aca="false">SUMIFS(الريسبي!$C$2:$C$1800,الريسبي!$A$2:$A$1800,$A40,الريسبي!$B$2:$B$1800,AX$1)</f>
        <v>0</v>
      </c>
      <c r="AY40" s="117" t="n">
        <f aca="false">SUMIFS(الريسبي!$C$2:$C$1800,الريسبي!$A$2:$A$1800,$A40,الريسبي!$B$2:$B$1800,AY$1)</f>
        <v>0</v>
      </c>
      <c r="AZ40" s="117" t="n">
        <f aca="false">SUMIFS(الريسبي!$C$2:$C$1800,الريسبي!$A$2:$A$1800,$A40,الريسبي!$B$2:$B$1800,AZ$1)</f>
        <v>0</v>
      </c>
      <c r="BA40" s="117" t="n">
        <f aca="false">SUMIFS(الريسبي!$C$2:$C$1800,الريسبي!$A$2:$A$1800,$A40,الريسبي!$B$2:$B$1800,BA$1)</f>
        <v>0</v>
      </c>
      <c r="BB40" s="117" t="n">
        <f aca="false">SUMIFS(الريسبي!$C$2:$C$1800,الريسبي!$A$2:$A$1800,$A40,الريسبي!$B$2:$B$1800,BB$1)</f>
        <v>0</v>
      </c>
      <c r="BC40" s="117" t="n">
        <f aca="false">SUMIFS(الريسبي!$C$2:$C$1800,الريسبي!$A$2:$A$1800,$A40,الريسبي!$B$2:$B$1800,BC$1)</f>
        <v>0.03</v>
      </c>
      <c r="BD40" s="117" t="n">
        <f aca="false">SUMIFS(الريسبي!$C$2:$C$1800,الريسبي!$A$2:$A$1800,$A40,الريسبي!$B$2:$B$1800,BD$1)</f>
        <v>0</v>
      </c>
      <c r="BE40" s="117" t="n">
        <f aca="false">SUMIFS(الريسبي!$C$2:$C$1800,الريسبي!$A$2:$A$1800,$A40,الريسبي!$B$2:$B$1800,BE$1)</f>
        <v>1</v>
      </c>
      <c r="BF40" s="117" t="n">
        <f aca="false">SUMIFS(الريسبي!$C$2:$C$1800,الريسبي!$A$2:$A$1800,$A40,الريسبي!$B$2:$B$1800,BF$1)</f>
        <v>0</v>
      </c>
      <c r="BG40" s="117" t="n">
        <f aca="false">SUMIFS(الريسبي!$C$2:$C$1800,الريسبي!$A$2:$A$1800,$A40,الريسبي!$B$2:$B$1800,BG$1)</f>
        <v>0</v>
      </c>
      <c r="BH40" s="117" t="n">
        <f aca="false">SUMIFS(الريسبي!$C$2:$C$1800,الريسبي!$A$2:$A$1800,$A40,الريسبي!$B$2:$B$1800,BH$1)</f>
        <v>1</v>
      </c>
      <c r="BI40" s="117" t="n">
        <f aca="false">SUMIFS(الريسبي!$C$2:$C$1800,الريسبي!$A$2:$A$1800,$A40,الريسبي!$B$2:$B$1800,BI$1)</f>
        <v>0</v>
      </c>
      <c r="BJ40" s="117" t="n">
        <f aca="false">SUMIFS(الريسبي!$C$2:$C$1800,الريسبي!$A$2:$A$1800,$A40,الريسبي!$B$2:$B$1800,BJ$1)</f>
        <v>0</v>
      </c>
      <c r="BK40" s="117" t="n">
        <f aca="false">SUMIFS(الريسبي!$C$2:$C$1800,الريسبي!$A$2:$A$1800,$A40,الريسبي!$B$2:$B$1800,BK$1)</f>
        <v>0</v>
      </c>
      <c r="BL40" s="117" t="n">
        <f aca="false">SUMIFS(الريسبي!$C$2:$C$1800,الريسبي!$A$2:$A$1800,$A40,الريسبي!$B$2:$B$1800,BL$1)</f>
        <v>0</v>
      </c>
      <c r="BM40" s="117" t="n">
        <f aca="false">SUMIFS(الريسبي!$C$2:$C$1800,الريسبي!$A$2:$A$1800,$A40,الريسبي!$B$2:$B$1800,BM$1)</f>
        <v>0</v>
      </c>
      <c r="BN40" s="117" t="n">
        <f aca="false">SUMIFS(الريسبي!$C$2:$C$1800,الريسبي!$A$2:$A$1800,$A40,الريسبي!$B$2:$B$1800,BN$1)</f>
        <v>0.02</v>
      </c>
      <c r="BO40" s="117" t="n">
        <f aca="false">SUMIFS(الريسبي!$C$2:$C$1800,الريسبي!$A$2:$A$1800,$A40,الريسبي!$B$2:$B$1800,BO$1)</f>
        <v>0</v>
      </c>
      <c r="BP40" s="117" t="n">
        <f aca="false">SUMIFS(الريسبي!$C$2:$C$1800,الريسبي!$A$2:$A$1800,$A40,الريسبي!$B$2:$B$1800,BP$1)</f>
        <v>2</v>
      </c>
      <c r="BQ40" s="117" t="n">
        <f aca="false">SUMIFS(الريسبي!$C$2:$C$1800,الريسبي!$A$2:$A$1800,$A40,الريسبي!$B$2:$B$1800,BQ$1)+0.17*SUMIFS(الريسبي!$C$2:$C$1800,الريسبي!$A$2:$A$1800,$A40,الريسبي!$B$2:$B$1800,"كاسترد مصنع (خليط بودر + لبن)")+0.17*SUMIFS(الريسبي!$C$2:$C$1800,الريسبي!$A$2:$A$1800,$A40,الريسبي!$B$2:$B$1800,"كاسترد مصنع صيامي (بدون لبن)")</f>
        <v>0</v>
      </c>
      <c r="BR40" s="117" t="n">
        <f aca="false">SUMIFS(الريسبي!$C$2:$C$1800,الريسبي!$A$2:$A$1800,$A40,الريسبي!$B$2:$B$1800,BR$1)</f>
        <v>1</v>
      </c>
      <c r="BS40" s="117" t="n">
        <f aca="false">SUMIFS(الريسبي!$C$2:$C$1800,الريسبي!$A$2:$A$1800,$A40,الريسبي!$B$2:$B$1800,BS$1)</f>
        <v>0</v>
      </c>
      <c r="BT40" s="117" t="n">
        <f aca="false">SUMIFS(الريسبي!$C$2:$C$1800,الريسبي!$A$2:$A$1800,$A40,الريسبي!$B$2:$B$1800,BT$1)</f>
        <v>0</v>
      </c>
      <c r="BU40" s="117" t="n">
        <f aca="false">SUMIFS(الريسبي!$C$2:$C$1800,الريسبي!$A$2:$A$1800,$A40,الريسبي!$B$2:$B$1800,BU$1)+0.4*SUMIFS(الريسبي!$C$2:$C$1800,الريسبي!$A$2:$A$1800,$A40,الريسبي!$B$2:$B$1800,"كاسترد مصنع (خليط بودر + لبن)")+0.03333333333*SUMIFS(الريسبي!$C$2:$C$1800,الريسبي!$A$2:$A$1800,$A40,الريسبي!$B$2:$B$1800,"عجين كريب (مصنع بالمطعم)")</f>
        <v>0</v>
      </c>
      <c r="BV40" s="117" t="n">
        <f aca="false">SUMIFS(الريسبي!$C$2:$C$1800,الريسبي!$A$2:$A$1800,$A40,الريسبي!$B$2:$B$1800,BV$1)</f>
        <v>0</v>
      </c>
      <c r="BW40" s="117" t="n">
        <f aca="false">SUMIFS(الريسبي!$C$2:$C$1800,الريسبي!$A$2:$A$1800,$A40,الريسبي!$B$2:$B$1800,BW$1)</f>
        <v>0</v>
      </c>
      <c r="BX40" s="117" t="n">
        <f aca="false">SUMIFS(الريسبي!$C$2:$C$1800,الريسبي!$A$2:$A$1800,$A40,الريسبي!$B$2:$B$1800,BX$1)</f>
        <v>0</v>
      </c>
      <c r="BY40" s="117" t="n">
        <f aca="false">SUMIFS(الريسبي!$C$2:$C$1800,الريسبي!$A$2:$A$1800,$A40,الريسبي!$B$2:$B$1800,BY$1)</f>
        <v>0</v>
      </c>
      <c r="BZ40" s="117" t="n">
        <f aca="false">SUMIFS(الريسبي!$C$2:$C$1800,الريسبي!$A$2:$A$1800,$A40,الريسبي!$B$2:$B$1800,BZ$1)</f>
        <v>0</v>
      </c>
      <c r="CA40" s="117" t="n">
        <f aca="false">SUMIFS(الريسبي!$C$2:$C$1800,الريسبي!$A$2:$A$1800,$A40,الريسبي!$B$2:$B$1800,CA$1)</f>
        <v>1</v>
      </c>
      <c r="CB40" s="117" t="n">
        <f aca="false">SUMIFS(الريسبي!$C$2:$C$1800,الريسبي!$A$2:$A$1800,$A40,الريسبي!$B$2:$B$1800,CB$1)</f>
        <v>1</v>
      </c>
      <c r="CC40" s="117" t="n">
        <f aca="false">SUMIFS(الريسبي!$C$2:$C$1800,الريسبي!$A$2:$A$1800,$A40,الريسبي!$B$2:$B$1800,CC$1)</f>
        <v>0</v>
      </c>
      <c r="CD40" s="117" t="n">
        <f aca="false">SUMIFS(الريسبي!$C$2:$C$1800,الريسبي!$A$2:$A$1800,$A40,الريسبي!$B$2:$B$1800,CD$1)</f>
        <v>0</v>
      </c>
      <c r="CE40" s="117" t="n">
        <f aca="false">SUMIFS(الريسبي!$C$2:$C$1800,الريسبي!$A$2:$A$1800,$A40,الريسبي!$B$2:$B$1800,CE$1)</f>
        <v>0</v>
      </c>
      <c r="CF40" s="117" t="n">
        <f aca="false">SUMIFS(الريسبي!$C$2:$C$1800,الريسبي!$A$2:$A$1800,$A40,الريسبي!$B$2:$B$1800,CF$1)</f>
        <v>0</v>
      </c>
      <c r="CG40" s="117" t="n">
        <f aca="false">SUMIFS(الريسبي!$C$2:$C$1800,الريسبي!$A$2:$A$1800,$A40,الريسبي!$B$2:$B$1800,CG$1)</f>
        <v>0</v>
      </c>
      <c r="CH40" s="117" t="n">
        <f aca="false">SUMIFS(الريسبي!$C$2:$C$1800,الريسبي!$A$2:$A$1800,$A40,الريسبي!$B$2:$B$1800,CH$1)</f>
        <v>0</v>
      </c>
      <c r="CI40" s="117" t="n">
        <f aca="false">SUMIFS(الريسبي!$C$2:$C$1800,الريسبي!$A$2:$A$1800,$A40,الريسبي!$B$2:$B$1800,CI$1)</f>
        <v>0</v>
      </c>
      <c r="CJ40" s="117" t="n">
        <f aca="false">SUMIFS(الريسبي!$C$2:$C$1800,الريسبي!$A$2:$A$1800,$A40,الريسبي!$B$2:$B$1800,CJ$1)</f>
        <v>0</v>
      </c>
      <c r="CK40" s="117" t="n">
        <f aca="false">SUMIFS(الريسبي!$C$2:$C$1800,الريسبي!$A$2:$A$1800,$A40,الريسبي!$B$2:$B$1800,CK$1)</f>
        <v>0</v>
      </c>
      <c r="CL40" s="117" t="n">
        <f aca="false">SUMIFS(الريسبي!$C$2:$C$1800,الريسبي!$A$2:$A$1800,$A40,الريسبي!$B$2:$B$1800,CL$1)</f>
        <v>0</v>
      </c>
    </row>
    <row r="41" customFormat="false" ht="15" hidden="false" customHeight="false" outlineLevel="0" collapsed="false">
      <c r="A41" s="116" t="str">
        <f aca="false">المنيو!B41</f>
        <v>فطيرة مشكل لحوم النكش حجم اكبر</v>
      </c>
      <c r="B41" s="117" t="n">
        <f aca="false">SUMIFS(الريسبي!$C$2:$C$1800,الريسبي!$A$2:$A$1800,$A41,الريسبي!$B$2:$B$1800,B$1)</f>
        <v>0</v>
      </c>
      <c r="C41" s="117" t="n">
        <f aca="false">SUMIFS(الريسبي!$C$2:$C$1800,الريسبي!$A$2:$A$1800,$A41,الريسبي!$B$2:$B$1800,C$1)</f>
        <v>0</v>
      </c>
      <c r="D41" s="117" t="n">
        <f aca="false">SUMIFS(الريسبي!$C$2:$C$1800,الريسبي!$A$2:$A$1800,$A41,الريسبي!$B$2:$B$1800,D$1)</f>
        <v>1</v>
      </c>
      <c r="E41" s="117" t="n">
        <f aca="false">SUMIFS(الريسبي!$C$2:$C$1800,الريسبي!$A$2:$A$1800,$A41,الريسبي!$B$2:$B$1800,E$1)</f>
        <v>0</v>
      </c>
      <c r="F41" s="117" t="n">
        <f aca="false">SUMIFS(الريسبي!$C$2:$C$1800,الريسبي!$A$2:$A$1800,$A41,الريسبي!$B$2:$B$1800,F$1)</f>
        <v>0</v>
      </c>
      <c r="G41" s="117" t="n">
        <f aca="false">SUMIFS(الريسبي!$C$2:$C$1800,الريسبي!$A$2:$A$1800,$A41,الريسبي!$B$2:$B$1800,G$1)</f>
        <v>0</v>
      </c>
      <c r="H41" s="117" t="n">
        <f aca="false">SUMIFS(الريسبي!$C$2:$C$1800,الريسبي!$A$2:$A$1800,$A41,الريسبي!$B$2:$B$1800,H$1)</f>
        <v>1</v>
      </c>
      <c r="I41" s="117" t="n">
        <f aca="false">SUMIFS(الريسبي!$C$2:$C$1800,الريسبي!$A$2:$A$1800,$A41,الريسبي!$B$2:$B$1800,I$1)</f>
        <v>0</v>
      </c>
      <c r="J41" s="117" t="n">
        <f aca="false">SUMIFS(الريسبي!$C$2:$C$1800,الريسبي!$A$2:$A$1800,$A41,الريسبي!$B$2:$B$1800,J$1)</f>
        <v>0</v>
      </c>
      <c r="K41" s="117" t="n">
        <f aca="false">SUMIFS(الريسبي!$C$2:$C$1800,الريسبي!$A$2:$A$1800,$A41,الريسبي!$B$2:$B$1800,K$1)</f>
        <v>0</v>
      </c>
      <c r="L41" s="117" t="n">
        <f aca="false">SUMIFS(الريسبي!$C$2:$C$1800,الريسبي!$A$2:$A$1800,$A41,الريسبي!$B$2:$B$1800,L$1)</f>
        <v>0</v>
      </c>
      <c r="M41" s="117" t="n">
        <f aca="false">SUMIFS(الريسبي!$C$2:$C$1800,الريسبي!$A$2:$A$1800,$A41,الريسبي!$B$2:$B$1800,M$1)</f>
        <v>1</v>
      </c>
      <c r="N41" s="117" t="n">
        <f aca="false">SUMIFS(الريسبي!$C$2:$C$1800,الريسبي!$A$2:$A$1800,$A41,الريسبي!$B$2:$B$1800,N$1)</f>
        <v>0</v>
      </c>
      <c r="O41" s="117" t="n">
        <f aca="false">SUMIFS(الريسبي!$C$2:$C$1800,الريسبي!$A$2:$A$1800,$A41,الريسبي!$B$2:$B$1800,O$1)</f>
        <v>0</v>
      </c>
      <c r="P41" s="117" t="n">
        <f aca="false">SUMIFS(الريسبي!$C$2:$C$1800,الريسبي!$A$2:$A$1800,$A41,الريسبي!$B$2:$B$1800,P$1)</f>
        <v>0</v>
      </c>
      <c r="Q41" s="117" t="n">
        <f aca="false">SUMIFS(الريسبي!$C$2:$C$1800,الريسبي!$A$2:$A$1800,$A41,الريسبي!$B$2:$B$1800,Q$1)</f>
        <v>0</v>
      </c>
      <c r="R41" s="117" t="n">
        <f aca="false">SUMIFS(الريسبي!$C$2:$C$1800,الريسبي!$A$2:$A$1800,$A41,الريسبي!$B$2:$B$1800,R$1)</f>
        <v>0</v>
      </c>
      <c r="S41" s="117" t="n">
        <f aca="false">SUMIFS(الريسبي!$C$2:$C$1800,الريسبي!$A$2:$A$1800,$A41,الريسبي!$B$2:$B$1800,S$1)</f>
        <v>0</v>
      </c>
      <c r="T41" s="117" t="n">
        <f aca="false">SUMIFS(الريسبي!$C$2:$C$1800,الريسبي!$A$2:$A$1800,$A41,الريسبي!$B$2:$B$1800,T$1)</f>
        <v>1</v>
      </c>
      <c r="U41" s="117" t="n">
        <f aca="false">SUMIFS(الريسبي!$C$2:$C$1800,الريسبي!$A$2:$A$1800,$A41,الريسبي!$B$2:$B$1800,U$1)</f>
        <v>0</v>
      </c>
      <c r="V41" s="117" t="n">
        <f aca="false">SUMIFS(الريسبي!$C$2:$C$1800,الريسبي!$A$2:$A$1800,$A41,الريسبي!$B$2:$B$1800,V$1)+1.5*(SUMIFS(الريسبي!$C$2:$C$1800,الريسبي!$A$2:$A$1800,$A41,الريسبي!$B$2:$B$1800,"برسيون موتزريلا بيتزا كبير"))</f>
        <v>0</v>
      </c>
      <c r="W41" s="117" t="n">
        <f aca="false">0</f>
        <v>0</v>
      </c>
      <c r="X41" s="117" t="n">
        <f aca="false">SUMIFS(الريسبي!$C$2:$C$1800,الريسبي!$A$2:$A$1800,$A41,الريسبي!$B$2:$B$1800,X$1)+1.5*(SUMIFS(الريسبي!$C$2:$C$1800,الريسبي!$A$2:$A$1800,$A41,الريسبي!$B$2:$B$1800,"برسيون موتزريلا فطير كبير"))</f>
        <v>1.5</v>
      </c>
      <c r="Y41" s="117" t="n">
        <f aca="false">0</f>
        <v>0</v>
      </c>
      <c r="Z41" s="117" t="n">
        <f aca="false">SUMIFS(الريسبي!$C$2:$C$1800,الريسبي!$A$2:$A$1800,$A41,الريسبي!$B$2:$B$1800,Z$1)</f>
        <v>0</v>
      </c>
      <c r="AA41" s="117" t="n">
        <f aca="false">SUMIFS(الريسبي!$C$2:$C$1800,الريسبي!$A$2:$A$1800,$A41,الريسبي!$B$2:$B$1800,AA$1)</f>
        <v>0</v>
      </c>
      <c r="AB41" s="117" t="n">
        <f aca="false">SUMIFS(الريسبي!$C$2:$C$1800,الريسبي!$A$2:$A$1800,$A41,الريسبي!$B$2:$B$1800,AB$1)</f>
        <v>0</v>
      </c>
      <c r="AC41" s="117" t="n">
        <f aca="false">SUMIFS(الريسبي!$C$2:$C$1800,الريسبي!$A$2:$A$1800,$A41,الريسبي!$B$2:$B$1800,AC$1)</f>
        <v>0</v>
      </c>
      <c r="AD41" s="117" t="n">
        <f aca="false">SUMIFS(الريسبي!$C$2:$C$1800,الريسبي!$A$2:$A$1800,$A41,الريسبي!$B$2:$B$1800,AD$1)</f>
        <v>0</v>
      </c>
      <c r="AE41" s="117" t="n">
        <f aca="false">SUMIFS(الريسبي!$C$2:$C$1800,الريسبي!$A$2:$A$1800,$A41,الريسبي!$B$2:$B$1800,AE$1)</f>
        <v>0</v>
      </c>
      <c r="AF41" s="117" t="n">
        <f aca="false">SUMIFS(الريسبي!$C$2:$C$1800,الريسبي!$A$2:$A$1800,$A41,الريسبي!$B$2:$B$1800,AF$1)</f>
        <v>0</v>
      </c>
      <c r="AG41" s="117" t="n">
        <f aca="false">SUMIFS(الريسبي!$C$2:$C$1800,الريسبي!$A$2:$A$1800,$A41,الريسبي!$B$2:$B$1800,AG$1)</f>
        <v>0</v>
      </c>
      <c r="AH41" s="117" t="n">
        <f aca="false">SUMIFS(الريسبي!$C$2:$C$1800,الريسبي!$A$2:$A$1800,$A41,الريسبي!$B$2:$B$1800,AH$1)</f>
        <v>0</v>
      </c>
      <c r="AI41" s="117" t="n">
        <f aca="false">SUMIFS(الريسبي!$C$2:$C$1800,الريسبي!$A$2:$A$1800,$A41,الريسبي!$B$2:$B$1800,AI$1)</f>
        <v>0</v>
      </c>
      <c r="AJ41" s="117" t="n">
        <f aca="false">SUMIFS(الريسبي!$C$2:$C$1800,الريسبي!$A$2:$A$1800,$A41,الريسبي!$B$2:$B$1800,AJ$1)</f>
        <v>2</v>
      </c>
      <c r="AK41" s="117" t="n">
        <f aca="false">SUMIFS(الريسبي!$C$2:$C$1800,الريسبي!$A$2:$A$1800,$A41,الريسبي!$B$2:$B$1800,AK$1)</f>
        <v>0</v>
      </c>
      <c r="AL41" s="117" t="n">
        <f aca="false">SUMIFS(الريسبي!$C$2:$C$1800,الريسبي!$A$2:$A$1800,$A41,الريسبي!$B$2:$B$1800,AL$1)</f>
        <v>0</v>
      </c>
      <c r="AM41" s="117" t="n">
        <f aca="false">SUMIFS(الريسبي!$C$2:$C$1800,الريسبي!$A$2:$A$1800,$A41,الريسبي!$B$2:$B$1800,AM$1)+0.08333333333*SUMIFS(الريسبي!$C$2:$C$1800,الريسبي!$A$2:$A$1800,$A41,الريسبي!$B$2:$B$1800,"عجين كريب (مصنع بالمطعم)")+0.08333333333*SUMIFS(الريسبي!$C$2:$C$1800,الريسبي!$A$2:$A$1800,$A41,الريسبي!$B$2:$B$1800,"عجين كريب صيامي (بدون لبن)")</f>
        <v>0</v>
      </c>
      <c r="AN41" s="117" t="n">
        <f aca="false">SUMIFS(الريسبي!$C$2:$C$1800,الريسبي!$A$2:$A$1800,$A41,الريسبي!$B$2:$B$1800,AN$1)+0.004166666667*SUMIFS(الريسبي!$C$2:$C$1800,الريسبي!$A$2:$A$1800,$A41,الريسبي!$B$2:$B$1800,"عجين كريب (مصنع بالمطعم)")+0.004166666667*SUMIFS(الريسبي!$C$2:$C$1800,الريسبي!$A$2:$A$1800,$A41,الريسبي!$B$2:$B$1800,"عجين كريب صيامي (بدون لبن)")</f>
        <v>0</v>
      </c>
      <c r="AO41" s="117" t="n">
        <f aca="false">SUMIFS(الريسبي!$C$2:$C$1800,الريسبي!$A$2:$A$1800,$A41,الريسبي!$B$2:$B$1800,AO$1)</f>
        <v>0</v>
      </c>
      <c r="AP41" s="117" t="n">
        <f aca="false">SUMIFS(الريسبي!$C$2:$C$1800,الريسبي!$A$2:$A$1800,$A41,الريسبي!$B$2:$B$1800,AP$1)</f>
        <v>0.03</v>
      </c>
      <c r="AQ41" s="117" t="n">
        <f aca="false">SUMIFS(الريسبي!$C$2:$C$1800,الريسبي!$A$2:$A$1800,$A41,الريسبي!$B$2:$B$1800,AQ$1)+0.004166666667*SUMIFS(الريسبي!$C$2:$C$1800,الريسبي!$A$2:$A$1800,$A41,الريسبي!$B$2:$B$1800,"عجين كريب (مصنع بالمطعم)")+0.004166666667*SUMIFS(الريسبي!$C$2:$C$1800,الريسبي!$A$2:$A$1800,$A41,الريسبي!$B$2:$B$1800,"عجين كريب صيامي (بدون لبن)")</f>
        <v>0</v>
      </c>
      <c r="AR41" s="117" t="n">
        <f aca="false">SUMIFS(الريسبي!$C$2:$C$1800,الريسبي!$A$2:$A$1800,$A41,الريسبي!$B$2:$B$1800,AR$1)</f>
        <v>0</v>
      </c>
      <c r="AS41" s="117" t="n">
        <f aca="false">SUMIFS(الريسبي!$C$2:$C$1800,الريسبي!$A$2:$A$1800,$A41,الريسبي!$B$2:$B$1800,AS$1)</f>
        <v>0</v>
      </c>
      <c r="AT41" s="117" t="n">
        <f aca="false">SUMIFS(الريسبي!$C$2:$C$1800,الريسبي!$A$2:$A$1800,$A41,الريسبي!$B$2:$B$1800,AT$1)</f>
        <v>0</v>
      </c>
      <c r="AU41" s="117" t="n">
        <f aca="false">SUMIFS(الريسبي!$C$2:$C$1800,الريسبي!$A$2:$A$1800,$A41,الريسبي!$B$2:$B$1800,AU$1)</f>
        <v>0</v>
      </c>
      <c r="AV41" s="117" t="n">
        <f aca="false">SUMIFS(الريسبي!$C$2:$C$1800,الريسبي!$A$2:$A$1800,$A41,الريسبي!$B$2:$B$1800,AV$1)</f>
        <v>0</v>
      </c>
      <c r="AW41" s="117" t="n">
        <f aca="false">SUMIFS(الريسبي!$C$2:$C$1800,الريسبي!$A$2:$A$1800,$A41,الريسبي!$B$2:$B$1800,AW$1)</f>
        <v>0</v>
      </c>
      <c r="AX41" s="117" t="n">
        <f aca="false">SUMIFS(الريسبي!$C$2:$C$1800,الريسبي!$A$2:$A$1800,$A41,الريسبي!$B$2:$B$1800,AX$1)</f>
        <v>0</v>
      </c>
      <c r="AY41" s="117" t="n">
        <f aca="false">SUMIFS(الريسبي!$C$2:$C$1800,الريسبي!$A$2:$A$1800,$A41,الريسبي!$B$2:$B$1800,AY$1)</f>
        <v>0</v>
      </c>
      <c r="AZ41" s="117" t="n">
        <f aca="false">SUMIFS(الريسبي!$C$2:$C$1800,الريسبي!$A$2:$A$1800,$A41,الريسبي!$B$2:$B$1800,AZ$1)</f>
        <v>0</v>
      </c>
      <c r="BA41" s="117" t="n">
        <f aca="false">SUMIFS(الريسبي!$C$2:$C$1800,الريسبي!$A$2:$A$1800,$A41,الريسبي!$B$2:$B$1800,BA$1)</f>
        <v>0</v>
      </c>
      <c r="BB41" s="117" t="n">
        <f aca="false">SUMIFS(الريسبي!$C$2:$C$1800,الريسبي!$A$2:$A$1800,$A41,الريسبي!$B$2:$B$1800,BB$1)</f>
        <v>0</v>
      </c>
      <c r="BC41" s="117" t="n">
        <f aca="false">SUMIFS(الريسبي!$C$2:$C$1800,الريسبي!$A$2:$A$1800,$A41,الريسبي!$B$2:$B$1800,BC$1)</f>
        <v>0.045</v>
      </c>
      <c r="BD41" s="117" t="n">
        <f aca="false">SUMIFS(الريسبي!$C$2:$C$1800,الريسبي!$A$2:$A$1800,$A41,الريسبي!$B$2:$B$1800,BD$1)</f>
        <v>0</v>
      </c>
      <c r="BE41" s="117" t="n">
        <f aca="false">SUMIFS(الريسبي!$C$2:$C$1800,الريسبي!$A$2:$A$1800,$A41,الريسبي!$B$2:$B$1800,BE$1)</f>
        <v>1.5</v>
      </c>
      <c r="BF41" s="117" t="n">
        <f aca="false">SUMIFS(الريسبي!$C$2:$C$1800,الريسبي!$A$2:$A$1800,$A41,الريسبي!$B$2:$B$1800,BF$1)</f>
        <v>0</v>
      </c>
      <c r="BG41" s="117" t="n">
        <f aca="false">SUMIFS(الريسبي!$C$2:$C$1800,الريسبي!$A$2:$A$1800,$A41,الريسبي!$B$2:$B$1800,BG$1)</f>
        <v>1</v>
      </c>
      <c r="BH41" s="117" t="n">
        <f aca="false">SUMIFS(الريسبي!$C$2:$C$1800,الريسبي!$A$2:$A$1800,$A41,الريسبي!$B$2:$B$1800,BH$1)</f>
        <v>0</v>
      </c>
      <c r="BI41" s="117" t="n">
        <f aca="false">SUMIFS(الريسبي!$C$2:$C$1800,الريسبي!$A$2:$A$1800,$A41,الريسبي!$B$2:$B$1800,BI$1)</f>
        <v>0</v>
      </c>
      <c r="BJ41" s="117" t="n">
        <f aca="false">SUMIFS(الريسبي!$C$2:$C$1800,الريسبي!$A$2:$A$1800,$A41,الريسبي!$B$2:$B$1800,BJ$1)</f>
        <v>0</v>
      </c>
      <c r="BK41" s="117" t="n">
        <f aca="false">SUMIFS(الريسبي!$C$2:$C$1800,الريسبي!$A$2:$A$1800,$A41,الريسبي!$B$2:$B$1800,BK$1)</f>
        <v>0</v>
      </c>
      <c r="BL41" s="117" t="n">
        <f aca="false">SUMIFS(الريسبي!$C$2:$C$1800,الريسبي!$A$2:$A$1800,$A41,الريسبي!$B$2:$B$1800,BL$1)</f>
        <v>0</v>
      </c>
      <c r="BM41" s="117" t="n">
        <f aca="false">SUMIFS(الريسبي!$C$2:$C$1800,الريسبي!$A$2:$A$1800,$A41,الريسبي!$B$2:$B$1800,BM$1)</f>
        <v>0</v>
      </c>
      <c r="BN41" s="117" t="n">
        <f aca="false">SUMIFS(الريسبي!$C$2:$C$1800,الريسبي!$A$2:$A$1800,$A41,الريسبي!$B$2:$B$1800,BN$1)</f>
        <v>0.03</v>
      </c>
      <c r="BO41" s="117" t="n">
        <f aca="false">SUMIFS(الريسبي!$C$2:$C$1800,الريسبي!$A$2:$A$1800,$A41,الريسبي!$B$2:$B$1800,BO$1)</f>
        <v>0</v>
      </c>
      <c r="BP41" s="117" t="n">
        <f aca="false">SUMIFS(الريسبي!$C$2:$C$1800,الريسبي!$A$2:$A$1800,$A41,الريسبي!$B$2:$B$1800,BP$1)</f>
        <v>3</v>
      </c>
      <c r="BQ41" s="117" t="n">
        <f aca="false">SUMIFS(الريسبي!$C$2:$C$1800,الريسبي!$A$2:$A$1800,$A41,الريسبي!$B$2:$B$1800,BQ$1)+0.17*SUMIFS(الريسبي!$C$2:$C$1800,الريسبي!$A$2:$A$1800,$A41,الريسبي!$B$2:$B$1800,"كاسترد مصنع (خليط بودر + لبن)")+0.17*SUMIFS(الريسبي!$C$2:$C$1800,الريسبي!$A$2:$A$1800,$A41,الريسبي!$B$2:$B$1800,"كاسترد مصنع صيامي (بدون لبن)")</f>
        <v>0</v>
      </c>
      <c r="BR41" s="117" t="n">
        <f aca="false">SUMIFS(الريسبي!$C$2:$C$1800,الريسبي!$A$2:$A$1800,$A41,الريسبي!$B$2:$B$1800,BR$1)</f>
        <v>1</v>
      </c>
      <c r="BS41" s="117" t="n">
        <f aca="false">SUMIFS(الريسبي!$C$2:$C$1800,الريسبي!$A$2:$A$1800,$A41,الريسبي!$B$2:$B$1800,BS$1)</f>
        <v>0</v>
      </c>
      <c r="BT41" s="117" t="n">
        <f aca="false">SUMIFS(الريسبي!$C$2:$C$1800,الريسبي!$A$2:$A$1800,$A41,الريسبي!$B$2:$B$1800,BT$1)</f>
        <v>0</v>
      </c>
      <c r="BU41" s="117" t="n">
        <f aca="false">SUMIFS(الريسبي!$C$2:$C$1800,الريسبي!$A$2:$A$1800,$A41,الريسبي!$B$2:$B$1800,BU$1)+0.4*SUMIFS(الريسبي!$C$2:$C$1800,الريسبي!$A$2:$A$1800,$A41,الريسبي!$B$2:$B$1800,"كاسترد مصنع (خليط بودر + لبن)")+0.03333333333*SUMIFS(الريسبي!$C$2:$C$1800,الريسبي!$A$2:$A$1800,$A41,الريسبي!$B$2:$B$1800,"عجين كريب (مصنع بالمطعم)")</f>
        <v>0</v>
      </c>
      <c r="BV41" s="117" t="n">
        <f aca="false">SUMIFS(الريسبي!$C$2:$C$1800,الريسبي!$A$2:$A$1800,$A41,الريسبي!$B$2:$B$1800,BV$1)</f>
        <v>0</v>
      </c>
      <c r="BW41" s="117" t="n">
        <f aca="false">SUMIFS(الريسبي!$C$2:$C$1800,الريسبي!$A$2:$A$1800,$A41,الريسبي!$B$2:$B$1800,BW$1)</f>
        <v>0</v>
      </c>
      <c r="BX41" s="117" t="n">
        <f aca="false">SUMIFS(الريسبي!$C$2:$C$1800,الريسبي!$A$2:$A$1800,$A41,الريسبي!$B$2:$B$1800,BX$1)</f>
        <v>0</v>
      </c>
      <c r="BY41" s="117" t="n">
        <f aca="false">SUMIFS(الريسبي!$C$2:$C$1800,الريسبي!$A$2:$A$1800,$A41,الريسبي!$B$2:$B$1800,BY$1)</f>
        <v>0</v>
      </c>
      <c r="BZ41" s="117" t="n">
        <f aca="false">SUMIFS(الريسبي!$C$2:$C$1800,الريسبي!$A$2:$A$1800,$A41,الريسبي!$B$2:$B$1800,BZ$1)</f>
        <v>0</v>
      </c>
      <c r="CA41" s="117" t="n">
        <f aca="false">SUMIFS(الريسبي!$C$2:$C$1800,الريسبي!$A$2:$A$1800,$A41,الريسبي!$B$2:$B$1800,CA$1)</f>
        <v>1</v>
      </c>
      <c r="CB41" s="117" t="n">
        <f aca="false">SUMIFS(الريسبي!$C$2:$C$1800,الريسبي!$A$2:$A$1800,$A41,الريسبي!$B$2:$B$1800,CB$1)</f>
        <v>1</v>
      </c>
      <c r="CC41" s="117" t="n">
        <f aca="false">SUMIFS(الريسبي!$C$2:$C$1800,الريسبي!$A$2:$A$1800,$A41,الريسبي!$B$2:$B$1800,CC$1)</f>
        <v>0</v>
      </c>
      <c r="CD41" s="117" t="n">
        <f aca="false">SUMIFS(الريسبي!$C$2:$C$1800,الريسبي!$A$2:$A$1800,$A41,الريسبي!$B$2:$B$1800,CD$1)</f>
        <v>0</v>
      </c>
      <c r="CE41" s="117" t="n">
        <f aca="false">SUMIFS(الريسبي!$C$2:$C$1800,الريسبي!$A$2:$A$1800,$A41,الريسبي!$B$2:$B$1800,CE$1)</f>
        <v>0</v>
      </c>
      <c r="CF41" s="117" t="n">
        <f aca="false">SUMIFS(الريسبي!$C$2:$C$1800,الريسبي!$A$2:$A$1800,$A41,الريسبي!$B$2:$B$1800,CF$1)</f>
        <v>0</v>
      </c>
      <c r="CG41" s="117" t="n">
        <f aca="false">SUMIFS(الريسبي!$C$2:$C$1800,الريسبي!$A$2:$A$1800,$A41,الريسبي!$B$2:$B$1800,CG$1)</f>
        <v>0</v>
      </c>
      <c r="CH41" s="117" t="n">
        <f aca="false">SUMIFS(الريسبي!$C$2:$C$1800,الريسبي!$A$2:$A$1800,$A41,الريسبي!$B$2:$B$1800,CH$1)</f>
        <v>0</v>
      </c>
      <c r="CI41" s="117" t="n">
        <f aca="false">SUMIFS(الريسبي!$C$2:$C$1800,الريسبي!$A$2:$A$1800,$A41,الريسبي!$B$2:$B$1800,CI$1)</f>
        <v>0</v>
      </c>
      <c r="CJ41" s="117" t="n">
        <f aca="false">SUMIFS(الريسبي!$C$2:$C$1800,الريسبي!$A$2:$A$1800,$A41,الريسبي!$B$2:$B$1800,CJ$1)</f>
        <v>0</v>
      </c>
      <c r="CK41" s="117" t="n">
        <f aca="false">SUMIFS(الريسبي!$C$2:$C$1800,الريسبي!$A$2:$A$1800,$A41,الريسبي!$B$2:$B$1800,CK$1)</f>
        <v>0</v>
      </c>
      <c r="CL41" s="117" t="n">
        <f aca="false">SUMIFS(الريسبي!$C$2:$C$1800,الريسبي!$A$2:$A$1800,$A41,الريسبي!$B$2:$B$1800,CL$1)</f>
        <v>0</v>
      </c>
    </row>
    <row r="42" customFormat="false" ht="15" hidden="false" customHeight="false" outlineLevel="0" collapsed="false">
      <c r="A42" s="116" t="str">
        <f aca="false">المنيو!B42</f>
        <v>فطيرة مشلتت بالسمنة البلدي صغير</v>
      </c>
      <c r="B42" s="117" t="n">
        <f aca="false">SUMIFS(الريسبي!$C$2:$C$1800,الريسبي!$A$2:$A$1800,$A42,الريسبي!$B$2:$B$1800,B$1)</f>
        <v>0</v>
      </c>
      <c r="C42" s="117" t="n">
        <f aca="false">SUMIFS(الريسبي!$C$2:$C$1800,الريسبي!$A$2:$A$1800,$A42,الريسبي!$B$2:$B$1800,C$1)</f>
        <v>0</v>
      </c>
      <c r="D42" s="117" t="n">
        <f aca="false">SUMIFS(الريسبي!$C$2:$C$1800,الريسبي!$A$2:$A$1800,$A42,الريسبي!$B$2:$B$1800,D$1)</f>
        <v>0</v>
      </c>
      <c r="E42" s="117" t="n">
        <f aca="false">SUMIFS(الريسبي!$C$2:$C$1800,الريسبي!$A$2:$A$1800,$A42,الريسبي!$B$2:$B$1800,E$1)</f>
        <v>1</v>
      </c>
      <c r="F42" s="117" t="n">
        <f aca="false">SUMIFS(الريسبي!$C$2:$C$1800,الريسبي!$A$2:$A$1800,$A42,الريسبي!$B$2:$B$1800,F$1)</f>
        <v>0</v>
      </c>
      <c r="G42" s="117" t="n">
        <f aca="false">SUMIFS(الريسبي!$C$2:$C$1800,الريسبي!$A$2:$A$1800,$A42,الريسبي!$B$2:$B$1800,G$1)</f>
        <v>0</v>
      </c>
      <c r="H42" s="117" t="n">
        <f aca="false">SUMIFS(الريسبي!$C$2:$C$1800,الريسبي!$A$2:$A$1800,$A42,الريسبي!$B$2:$B$1800,H$1)</f>
        <v>0</v>
      </c>
      <c r="I42" s="117" t="n">
        <f aca="false">SUMIFS(الريسبي!$C$2:$C$1800,الريسبي!$A$2:$A$1800,$A42,الريسبي!$B$2:$B$1800,I$1)</f>
        <v>0</v>
      </c>
      <c r="J42" s="117" t="n">
        <f aca="false">SUMIFS(الريسبي!$C$2:$C$1800,الريسبي!$A$2:$A$1800,$A42,الريسبي!$B$2:$B$1800,J$1)</f>
        <v>0</v>
      </c>
      <c r="K42" s="117" t="n">
        <f aca="false">SUMIFS(الريسبي!$C$2:$C$1800,الريسبي!$A$2:$A$1800,$A42,الريسبي!$B$2:$B$1800,K$1)</f>
        <v>0</v>
      </c>
      <c r="L42" s="117" t="n">
        <f aca="false">SUMIFS(الريسبي!$C$2:$C$1800,الريسبي!$A$2:$A$1800,$A42,الريسبي!$B$2:$B$1800,L$1)</f>
        <v>0</v>
      </c>
      <c r="M42" s="117" t="n">
        <f aca="false">SUMIFS(الريسبي!$C$2:$C$1800,الريسبي!$A$2:$A$1800,$A42,الريسبي!$B$2:$B$1800,M$1)</f>
        <v>0</v>
      </c>
      <c r="N42" s="117" t="n">
        <f aca="false">SUMIFS(الريسبي!$C$2:$C$1800,الريسبي!$A$2:$A$1800,$A42,الريسبي!$B$2:$B$1800,N$1)</f>
        <v>0</v>
      </c>
      <c r="O42" s="117" t="n">
        <f aca="false">SUMIFS(الريسبي!$C$2:$C$1800,الريسبي!$A$2:$A$1800,$A42,الريسبي!$B$2:$B$1800,O$1)</f>
        <v>0</v>
      </c>
      <c r="P42" s="117" t="n">
        <f aca="false">SUMIFS(الريسبي!$C$2:$C$1800,الريسبي!$A$2:$A$1800,$A42,الريسبي!$B$2:$B$1800,P$1)</f>
        <v>0</v>
      </c>
      <c r="Q42" s="117" t="n">
        <f aca="false">SUMIFS(الريسبي!$C$2:$C$1800,الريسبي!$A$2:$A$1800,$A42,الريسبي!$B$2:$B$1800,Q$1)</f>
        <v>0</v>
      </c>
      <c r="R42" s="117" t="n">
        <f aca="false">SUMIFS(الريسبي!$C$2:$C$1800,الريسبي!$A$2:$A$1800,$A42,الريسبي!$B$2:$B$1800,R$1)</f>
        <v>0</v>
      </c>
      <c r="S42" s="117" t="n">
        <f aca="false">SUMIFS(الريسبي!$C$2:$C$1800,الريسبي!$A$2:$A$1800,$A42,الريسبي!$B$2:$B$1800,S$1)</f>
        <v>0</v>
      </c>
      <c r="T42" s="117" t="n">
        <f aca="false">SUMIFS(الريسبي!$C$2:$C$1800,الريسبي!$A$2:$A$1800,$A42,الريسبي!$B$2:$B$1800,T$1)</f>
        <v>0</v>
      </c>
      <c r="U42" s="117" t="n">
        <f aca="false">SUMIFS(الريسبي!$C$2:$C$1800,الريسبي!$A$2:$A$1800,$A42,الريسبي!$B$2:$B$1800,U$1)</f>
        <v>0</v>
      </c>
      <c r="V42" s="117" t="n">
        <f aca="false">SUMIFS(الريسبي!$C$2:$C$1800,الريسبي!$A$2:$A$1800,$A42,الريسبي!$B$2:$B$1800,V$1)+1.5*(SUMIFS(الريسبي!$C$2:$C$1800,الريسبي!$A$2:$A$1800,$A42,الريسبي!$B$2:$B$1800,"برسيون موتزريلا بيتزا كبير"))</f>
        <v>0</v>
      </c>
      <c r="W42" s="117" t="n">
        <f aca="false">0</f>
        <v>0</v>
      </c>
      <c r="X42" s="117" t="n">
        <f aca="false">SUMIFS(الريسبي!$C$2:$C$1800,الريسبي!$A$2:$A$1800,$A42,الريسبي!$B$2:$B$1800,X$1)+1.5*(SUMIFS(الريسبي!$C$2:$C$1800,الريسبي!$A$2:$A$1800,$A42,الريسبي!$B$2:$B$1800,"برسيون موتزريلا فطير كبير"))</f>
        <v>0</v>
      </c>
      <c r="Y42" s="117" t="n">
        <f aca="false">0</f>
        <v>0</v>
      </c>
      <c r="Z42" s="117" t="n">
        <f aca="false">SUMIFS(الريسبي!$C$2:$C$1800,الريسبي!$A$2:$A$1800,$A42,الريسبي!$B$2:$B$1800,Z$1)</f>
        <v>0</v>
      </c>
      <c r="AA42" s="117" t="n">
        <f aca="false">SUMIFS(الريسبي!$C$2:$C$1800,الريسبي!$A$2:$A$1800,$A42,الريسبي!$B$2:$B$1800,AA$1)</f>
        <v>0</v>
      </c>
      <c r="AB42" s="117" t="n">
        <f aca="false">SUMIFS(الريسبي!$C$2:$C$1800,الريسبي!$A$2:$A$1800,$A42,الريسبي!$B$2:$B$1800,AB$1)</f>
        <v>0</v>
      </c>
      <c r="AC42" s="117" t="n">
        <f aca="false">SUMIFS(الريسبي!$C$2:$C$1800,الريسبي!$A$2:$A$1800,$A42,الريسبي!$B$2:$B$1800,AC$1)</f>
        <v>0</v>
      </c>
      <c r="AD42" s="117" t="n">
        <f aca="false">SUMIFS(الريسبي!$C$2:$C$1800,الريسبي!$A$2:$A$1800,$A42,الريسبي!$B$2:$B$1800,AD$1)</f>
        <v>0</v>
      </c>
      <c r="AE42" s="117" t="n">
        <f aca="false">SUMIFS(الريسبي!$C$2:$C$1800,الريسبي!$A$2:$A$1800,$A42,الريسبي!$B$2:$B$1800,AE$1)</f>
        <v>0</v>
      </c>
      <c r="AF42" s="117" t="n">
        <f aca="false">SUMIFS(الريسبي!$C$2:$C$1800,الريسبي!$A$2:$A$1800,$A42,الريسبي!$B$2:$B$1800,AF$1)</f>
        <v>1</v>
      </c>
      <c r="AG42" s="117" t="n">
        <f aca="false">SUMIFS(الريسبي!$C$2:$C$1800,الريسبي!$A$2:$A$1800,$A42,الريسبي!$B$2:$B$1800,AG$1)</f>
        <v>0</v>
      </c>
      <c r="AH42" s="117" t="n">
        <f aca="false">SUMIFS(الريسبي!$C$2:$C$1800,الريسبي!$A$2:$A$1800,$A42,الريسبي!$B$2:$B$1800,AH$1)</f>
        <v>0</v>
      </c>
      <c r="AI42" s="117" t="n">
        <f aca="false">SUMIFS(الريسبي!$C$2:$C$1800,الريسبي!$A$2:$A$1800,$A42,الريسبي!$B$2:$B$1800,AI$1)</f>
        <v>0</v>
      </c>
      <c r="AJ42" s="117" t="n">
        <f aca="false">SUMIFS(الريسبي!$C$2:$C$1800,الريسبي!$A$2:$A$1800,$A42,الريسبي!$B$2:$B$1800,AJ$1)</f>
        <v>0</v>
      </c>
      <c r="AK42" s="117" t="n">
        <f aca="false">SUMIFS(الريسبي!$C$2:$C$1800,الريسبي!$A$2:$A$1800,$A42,الريسبي!$B$2:$B$1800,AK$1)</f>
        <v>0</v>
      </c>
      <c r="AL42" s="117" t="n">
        <f aca="false">SUMIFS(الريسبي!$C$2:$C$1800,الريسبي!$A$2:$A$1800,$A42,الريسبي!$B$2:$B$1800,AL$1)</f>
        <v>0</v>
      </c>
      <c r="AM42" s="117" t="n">
        <f aca="false">SUMIFS(الريسبي!$C$2:$C$1800,الريسبي!$A$2:$A$1800,$A42,الريسبي!$B$2:$B$1800,AM$1)+0.08333333333*SUMIFS(الريسبي!$C$2:$C$1800,الريسبي!$A$2:$A$1800,$A42,الريسبي!$B$2:$B$1800,"عجين كريب (مصنع بالمطعم)")+0.08333333333*SUMIFS(الريسبي!$C$2:$C$1800,الريسبي!$A$2:$A$1800,$A42,الريسبي!$B$2:$B$1800,"عجين كريب صيامي (بدون لبن)")</f>
        <v>0</v>
      </c>
      <c r="AN42" s="117" t="n">
        <f aca="false">SUMIFS(الريسبي!$C$2:$C$1800,الريسبي!$A$2:$A$1800,$A42,الريسبي!$B$2:$B$1800,AN$1)+0.004166666667*SUMIFS(الريسبي!$C$2:$C$1800,الريسبي!$A$2:$A$1800,$A42,الريسبي!$B$2:$B$1800,"عجين كريب (مصنع بالمطعم)")+0.004166666667*SUMIFS(الريسبي!$C$2:$C$1800,الريسبي!$A$2:$A$1800,$A42,الريسبي!$B$2:$B$1800,"عجين كريب صيامي (بدون لبن)")</f>
        <v>0.05</v>
      </c>
      <c r="AO42" s="117" t="n">
        <f aca="false">SUMIFS(الريسبي!$C$2:$C$1800,الريسبي!$A$2:$A$1800,$A42,الريسبي!$B$2:$B$1800,AO$1)</f>
        <v>0</v>
      </c>
      <c r="AP42" s="117" t="n">
        <f aca="false">SUMIFS(الريسبي!$C$2:$C$1800,الريسبي!$A$2:$A$1800,$A42,الريسبي!$B$2:$B$1800,AP$1)</f>
        <v>0</v>
      </c>
      <c r="AQ42" s="117" t="n">
        <f aca="false">SUMIFS(الريسبي!$C$2:$C$1800,الريسبي!$A$2:$A$1800,$A42,الريسبي!$B$2:$B$1800,AQ$1)+0.004166666667*SUMIFS(الريسبي!$C$2:$C$1800,الريسبي!$A$2:$A$1800,$A42,الريسبي!$B$2:$B$1800,"عجين كريب (مصنع بالمطعم)")+0.004166666667*SUMIFS(الريسبي!$C$2:$C$1800,الريسبي!$A$2:$A$1800,$A42,الريسبي!$B$2:$B$1800,"عجين كريب صيامي (بدون لبن)")</f>
        <v>0</v>
      </c>
      <c r="AR42" s="117" t="n">
        <f aca="false">SUMIFS(الريسبي!$C$2:$C$1800,الريسبي!$A$2:$A$1800,$A42,الريسبي!$B$2:$B$1800,AR$1)</f>
        <v>0.03</v>
      </c>
      <c r="AS42" s="117" t="n">
        <f aca="false">SUMIFS(الريسبي!$C$2:$C$1800,الريسبي!$A$2:$A$1800,$A42,الريسبي!$B$2:$B$1800,AS$1)</f>
        <v>0</v>
      </c>
      <c r="AT42" s="117" t="n">
        <f aca="false">SUMIFS(الريسبي!$C$2:$C$1800,الريسبي!$A$2:$A$1800,$A42,الريسبي!$B$2:$B$1800,AT$1)</f>
        <v>0</v>
      </c>
      <c r="AU42" s="117" t="n">
        <f aca="false">SUMIFS(الريسبي!$C$2:$C$1800,الريسبي!$A$2:$A$1800,$A42,الريسبي!$B$2:$B$1800,AU$1)</f>
        <v>1</v>
      </c>
      <c r="AV42" s="117" t="n">
        <f aca="false">SUMIFS(الريسبي!$C$2:$C$1800,الريسبي!$A$2:$A$1800,$A42,الريسبي!$B$2:$B$1800,AV$1)</f>
        <v>0</v>
      </c>
      <c r="AW42" s="117" t="n">
        <f aca="false">SUMIFS(الريسبي!$C$2:$C$1800,الريسبي!$A$2:$A$1800,$A42,الريسبي!$B$2:$B$1800,AW$1)</f>
        <v>0</v>
      </c>
      <c r="AX42" s="117" t="n">
        <f aca="false">SUMIFS(الريسبي!$C$2:$C$1800,الريسبي!$A$2:$A$1800,$A42,الريسبي!$B$2:$B$1800,AX$1)</f>
        <v>0</v>
      </c>
      <c r="AY42" s="117" t="n">
        <f aca="false">SUMIFS(الريسبي!$C$2:$C$1800,الريسبي!$A$2:$A$1800,$A42,الريسبي!$B$2:$B$1800,AY$1)</f>
        <v>0</v>
      </c>
      <c r="AZ42" s="117" t="n">
        <f aca="false">SUMIFS(الريسبي!$C$2:$C$1800,الريسبي!$A$2:$A$1800,$A42,الريسبي!$B$2:$B$1800,AZ$1)</f>
        <v>0</v>
      </c>
      <c r="BA42" s="117" t="n">
        <f aca="false">SUMIFS(الريسبي!$C$2:$C$1800,الريسبي!$A$2:$A$1800,$A42,الريسبي!$B$2:$B$1800,BA$1)</f>
        <v>0</v>
      </c>
      <c r="BB42" s="117" t="n">
        <f aca="false">SUMIFS(الريسبي!$C$2:$C$1800,الريسبي!$A$2:$A$1800,$A42,الريسبي!$B$2:$B$1800,BB$1)</f>
        <v>0</v>
      </c>
      <c r="BC42" s="117" t="n">
        <f aca="false">SUMIFS(الريسبي!$C$2:$C$1800,الريسبي!$A$2:$A$1800,$A42,الريسبي!$B$2:$B$1800,BC$1)</f>
        <v>0</v>
      </c>
      <c r="BD42" s="117" t="n">
        <f aca="false">SUMIFS(الريسبي!$C$2:$C$1800,الريسبي!$A$2:$A$1800,$A42,الريسبي!$B$2:$B$1800,BD$1)</f>
        <v>0</v>
      </c>
      <c r="BE42" s="117" t="n">
        <f aca="false">SUMIFS(الريسبي!$C$2:$C$1800,الريسبي!$A$2:$A$1800,$A42,الريسبي!$B$2:$B$1800,BE$1)</f>
        <v>4</v>
      </c>
      <c r="BF42" s="117" t="n">
        <f aca="false">SUMIFS(الريسبي!$C$2:$C$1800,الريسبي!$A$2:$A$1800,$A42,الريسبي!$B$2:$B$1800,BF$1)</f>
        <v>0</v>
      </c>
      <c r="BG42" s="117" t="n">
        <f aca="false">SUMIFS(الريسبي!$C$2:$C$1800,الريسبي!$A$2:$A$1800,$A42,الريسبي!$B$2:$B$1800,BG$1)</f>
        <v>0</v>
      </c>
      <c r="BH42" s="117" t="n">
        <f aca="false">SUMIFS(الريسبي!$C$2:$C$1800,الريسبي!$A$2:$A$1800,$A42,الريسبي!$B$2:$B$1800,BH$1)</f>
        <v>0</v>
      </c>
      <c r="BI42" s="117" t="n">
        <f aca="false">SUMIFS(الريسبي!$C$2:$C$1800,الريسبي!$A$2:$A$1800,$A42,الريسبي!$B$2:$B$1800,BI$1)</f>
        <v>0</v>
      </c>
      <c r="BJ42" s="117" t="n">
        <f aca="false">SUMIFS(الريسبي!$C$2:$C$1800,الريسبي!$A$2:$A$1800,$A42,الريسبي!$B$2:$B$1800,BJ$1)</f>
        <v>0</v>
      </c>
      <c r="BK42" s="117" t="n">
        <f aca="false">SUMIFS(الريسبي!$C$2:$C$1800,الريسبي!$A$2:$A$1800,$A42,الريسبي!$B$2:$B$1800,BK$1)</f>
        <v>1</v>
      </c>
      <c r="BL42" s="117" t="n">
        <f aca="false">SUMIFS(الريسبي!$C$2:$C$1800,الريسبي!$A$2:$A$1800,$A42,الريسبي!$B$2:$B$1800,BL$1)</f>
        <v>0</v>
      </c>
      <c r="BM42" s="117" t="n">
        <f aca="false">SUMIFS(الريسبي!$C$2:$C$1800,الريسبي!$A$2:$A$1800,$A42,الريسبي!$B$2:$B$1800,BM$1)</f>
        <v>0</v>
      </c>
      <c r="BN42" s="117" t="n">
        <f aca="false">SUMIFS(الريسبي!$C$2:$C$1800,الريسبي!$A$2:$A$1800,$A42,الريسبي!$B$2:$B$1800,BN$1)</f>
        <v>0</v>
      </c>
      <c r="BO42" s="117" t="n">
        <f aca="false">SUMIFS(الريسبي!$C$2:$C$1800,الريسبي!$A$2:$A$1800,$A42,الريسبي!$B$2:$B$1800,BO$1)</f>
        <v>0</v>
      </c>
      <c r="BP42" s="117" t="n">
        <f aca="false">SUMIFS(الريسبي!$C$2:$C$1800,الريسبي!$A$2:$A$1800,$A42,الريسبي!$B$2:$B$1800,BP$1)</f>
        <v>0</v>
      </c>
      <c r="BQ42" s="117" t="n">
        <f aca="false">SUMIFS(الريسبي!$C$2:$C$1800,الريسبي!$A$2:$A$1800,$A42,الريسبي!$B$2:$B$1800,BQ$1)+0.17*SUMIFS(الريسبي!$C$2:$C$1800,الريسبي!$A$2:$A$1800,$A42,الريسبي!$B$2:$B$1800,"كاسترد مصنع (خليط بودر + لبن)")+0.17*SUMIFS(الريسبي!$C$2:$C$1800,الريسبي!$A$2:$A$1800,$A42,الريسبي!$B$2:$B$1800,"كاسترد مصنع صيامي (بدون لبن)")</f>
        <v>0</v>
      </c>
      <c r="BR42" s="117" t="n">
        <f aca="false">SUMIFS(الريسبي!$C$2:$C$1800,الريسبي!$A$2:$A$1800,$A42,الريسبي!$B$2:$B$1800,BR$1)</f>
        <v>0</v>
      </c>
      <c r="BS42" s="117" t="n">
        <f aca="false">SUMIFS(الريسبي!$C$2:$C$1800,الريسبي!$A$2:$A$1800,$A42,الريسبي!$B$2:$B$1800,BS$1)</f>
        <v>0</v>
      </c>
      <c r="BT42" s="117" t="n">
        <f aca="false">SUMIFS(الريسبي!$C$2:$C$1800,الريسبي!$A$2:$A$1800,$A42,الريسبي!$B$2:$B$1800,BT$1)</f>
        <v>0</v>
      </c>
      <c r="BU42" s="117" t="n">
        <f aca="false">SUMIFS(الريسبي!$C$2:$C$1800,الريسبي!$A$2:$A$1800,$A42,الريسبي!$B$2:$B$1800,BU$1)+0.4*SUMIFS(الريسبي!$C$2:$C$1800,الريسبي!$A$2:$A$1800,$A42,الريسبي!$B$2:$B$1800,"كاسترد مصنع (خليط بودر + لبن)")+0.03333333333*SUMIFS(الريسبي!$C$2:$C$1800,الريسبي!$A$2:$A$1800,$A42,الريسبي!$B$2:$B$1800,"عجين كريب (مصنع بالمطعم)")</f>
        <v>0</v>
      </c>
      <c r="BV42" s="117" t="n">
        <f aca="false">SUMIFS(الريسبي!$C$2:$C$1800,الريسبي!$A$2:$A$1800,$A42,الريسبي!$B$2:$B$1800,BV$1)</f>
        <v>0</v>
      </c>
      <c r="BW42" s="117" t="n">
        <f aca="false">SUMIFS(الريسبي!$C$2:$C$1800,الريسبي!$A$2:$A$1800,$A42,الريسبي!$B$2:$B$1800,BW$1)</f>
        <v>0</v>
      </c>
      <c r="BX42" s="117" t="n">
        <f aca="false">SUMIFS(الريسبي!$C$2:$C$1800,الريسبي!$A$2:$A$1800,$A42,الريسبي!$B$2:$B$1800,BX$1)</f>
        <v>0</v>
      </c>
      <c r="BY42" s="117" t="n">
        <f aca="false">SUMIFS(الريسبي!$C$2:$C$1800,الريسبي!$A$2:$A$1800,$A42,الريسبي!$B$2:$B$1800,BY$1)</f>
        <v>0</v>
      </c>
      <c r="BZ42" s="117" t="n">
        <f aca="false">SUMIFS(الريسبي!$C$2:$C$1800,الريسبي!$A$2:$A$1800,$A42,الريسبي!$B$2:$B$1800,BZ$1)</f>
        <v>0</v>
      </c>
      <c r="CA42" s="117" t="n">
        <f aca="false">SUMIFS(الريسبي!$C$2:$C$1800,الريسبي!$A$2:$A$1800,$A42,الريسبي!$B$2:$B$1800,CA$1)</f>
        <v>0</v>
      </c>
      <c r="CB42" s="117" t="n">
        <f aca="false">SUMIFS(الريسبي!$C$2:$C$1800,الريسبي!$A$2:$A$1800,$A42,الريسبي!$B$2:$B$1800,CB$1)</f>
        <v>0</v>
      </c>
      <c r="CC42" s="117" t="n">
        <f aca="false">SUMIFS(الريسبي!$C$2:$C$1800,الريسبي!$A$2:$A$1800,$A42,الريسبي!$B$2:$B$1800,CC$1)</f>
        <v>0</v>
      </c>
      <c r="CD42" s="117" t="n">
        <f aca="false">SUMIFS(الريسبي!$C$2:$C$1800,الريسبي!$A$2:$A$1800,$A42,الريسبي!$B$2:$B$1800,CD$1)</f>
        <v>0</v>
      </c>
      <c r="CE42" s="117" t="n">
        <f aca="false">SUMIFS(الريسبي!$C$2:$C$1800,الريسبي!$A$2:$A$1800,$A42,الريسبي!$B$2:$B$1800,CE$1)</f>
        <v>0</v>
      </c>
      <c r="CF42" s="117" t="n">
        <f aca="false">SUMIFS(الريسبي!$C$2:$C$1800,الريسبي!$A$2:$A$1800,$A42,الريسبي!$B$2:$B$1800,CF$1)</f>
        <v>0</v>
      </c>
      <c r="CG42" s="117" t="n">
        <f aca="false">SUMIFS(الريسبي!$C$2:$C$1800,الريسبي!$A$2:$A$1800,$A42,الريسبي!$B$2:$B$1800,CG$1)</f>
        <v>0</v>
      </c>
      <c r="CH42" s="117" t="n">
        <f aca="false">SUMIFS(الريسبي!$C$2:$C$1800,الريسبي!$A$2:$A$1800,$A42,الريسبي!$B$2:$B$1800,CH$1)</f>
        <v>0</v>
      </c>
      <c r="CI42" s="117" t="n">
        <f aca="false">SUMIFS(الريسبي!$C$2:$C$1800,الريسبي!$A$2:$A$1800,$A42,الريسبي!$B$2:$B$1800,CI$1)</f>
        <v>0</v>
      </c>
      <c r="CJ42" s="117" t="n">
        <f aca="false">SUMIFS(الريسبي!$C$2:$C$1800,الريسبي!$A$2:$A$1800,$A42,الريسبي!$B$2:$B$1800,CJ$1)</f>
        <v>0</v>
      </c>
      <c r="CK42" s="117" t="n">
        <f aca="false">SUMIFS(الريسبي!$C$2:$C$1800,الريسبي!$A$2:$A$1800,$A42,الريسبي!$B$2:$B$1800,CK$1)</f>
        <v>0</v>
      </c>
      <c r="CL42" s="117" t="n">
        <f aca="false">SUMIFS(الريسبي!$C$2:$C$1800,الريسبي!$A$2:$A$1800,$A42,الريسبي!$B$2:$B$1800,CL$1)</f>
        <v>0</v>
      </c>
    </row>
    <row r="43" customFormat="false" ht="15" hidden="false" customHeight="false" outlineLevel="0" collapsed="false">
      <c r="A43" s="116" t="str">
        <f aca="false">المنيو!B43</f>
        <v>فطيرة مشلتت بالسمنة البلدي وسط</v>
      </c>
      <c r="B43" s="117" t="n">
        <f aca="false">SUMIFS(الريسبي!$C$2:$C$1800,الريسبي!$A$2:$A$1800,$A43,الريسبي!$B$2:$B$1800,B$1)</f>
        <v>0</v>
      </c>
      <c r="C43" s="117" t="n">
        <f aca="false">SUMIFS(الريسبي!$C$2:$C$1800,الريسبي!$A$2:$A$1800,$A43,الريسبي!$B$2:$B$1800,C$1)</f>
        <v>0</v>
      </c>
      <c r="D43" s="117" t="n">
        <f aca="false">SUMIFS(الريسبي!$C$2:$C$1800,الريسبي!$A$2:$A$1800,$A43,الريسبي!$B$2:$B$1800,D$1)</f>
        <v>0</v>
      </c>
      <c r="E43" s="117" t="n">
        <f aca="false">SUMIFS(الريسبي!$C$2:$C$1800,الريسبي!$A$2:$A$1800,$A43,الريسبي!$B$2:$B$1800,E$1)</f>
        <v>1</v>
      </c>
      <c r="F43" s="117" t="n">
        <f aca="false">SUMIFS(الريسبي!$C$2:$C$1800,الريسبي!$A$2:$A$1800,$A43,الريسبي!$B$2:$B$1800,F$1)</f>
        <v>0</v>
      </c>
      <c r="G43" s="117" t="n">
        <f aca="false">SUMIFS(الريسبي!$C$2:$C$1800,الريسبي!$A$2:$A$1800,$A43,الريسبي!$B$2:$B$1800,G$1)</f>
        <v>0</v>
      </c>
      <c r="H43" s="117" t="n">
        <f aca="false">SUMIFS(الريسبي!$C$2:$C$1800,الريسبي!$A$2:$A$1800,$A43,الريسبي!$B$2:$B$1800,H$1)</f>
        <v>0</v>
      </c>
      <c r="I43" s="117" t="n">
        <f aca="false">SUMIFS(الريسبي!$C$2:$C$1800,الريسبي!$A$2:$A$1800,$A43,الريسبي!$B$2:$B$1800,I$1)</f>
        <v>0</v>
      </c>
      <c r="J43" s="117" t="n">
        <f aca="false">SUMIFS(الريسبي!$C$2:$C$1800,الريسبي!$A$2:$A$1800,$A43,الريسبي!$B$2:$B$1800,J$1)</f>
        <v>0</v>
      </c>
      <c r="K43" s="117" t="n">
        <f aca="false">SUMIFS(الريسبي!$C$2:$C$1800,الريسبي!$A$2:$A$1800,$A43,الريسبي!$B$2:$B$1800,K$1)</f>
        <v>0</v>
      </c>
      <c r="L43" s="117" t="n">
        <f aca="false">SUMIFS(الريسبي!$C$2:$C$1800,الريسبي!$A$2:$A$1800,$A43,الريسبي!$B$2:$B$1800,L$1)</f>
        <v>0</v>
      </c>
      <c r="M43" s="117" t="n">
        <f aca="false">SUMIFS(الريسبي!$C$2:$C$1800,الريسبي!$A$2:$A$1800,$A43,الريسبي!$B$2:$B$1800,M$1)</f>
        <v>0</v>
      </c>
      <c r="N43" s="117" t="n">
        <f aca="false">SUMIFS(الريسبي!$C$2:$C$1800,الريسبي!$A$2:$A$1800,$A43,الريسبي!$B$2:$B$1800,N$1)</f>
        <v>0</v>
      </c>
      <c r="O43" s="117" t="n">
        <f aca="false">SUMIFS(الريسبي!$C$2:$C$1800,الريسبي!$A$2:$A$1800,$A43,الريسبي!$B$2:$B$1800,O$1)</f>
        <v>0</v>
      </c>
      <c r="P43" s="117" t="n">
        <f aca="false">SUMIFS(الريسبي!$C$2:$C$1800,الريسبي!$A$2:$A$1800,$A43,الريسبي!$B$2:$B$1800,P$1)</f>
        <v>0</v>
      </c>
      <c r="Q43" s="117" t="n">
        <f aca="false">SUMIFS(الريسبي!$C$2:$C$1800,الريسبي!$A$2:$A$1800,$A43,الريسبي!$B$2:$B$1800,Q$1)</f>
        <v>0</v>
      </c>
      <c r="R43" s="117" t="n">
        <f aca="false">SUMIFS(الريسبي!$C$2:$C$1800,الريسبي!$A$2:$A$1800,$A43,الريسبي!$B$2:$B$1800,R$1)</f>
        <v>0</v>
      </c>
      <c r="S43" s="117" t="n">
        <f aca="false">SUMIFS(الريسبي!$C$2:$C$1800,الريسبي!$A$2:$A$1800,$A43,الريسبي!$B$2:$B$1800,S$1)</f>
        <v>0</v>
      </c>
      <c r="T43" s="117" t="n">
        <f aca="false">SUMIFS(الريسبي!$C$2:$C$1800,الريسبي!$A$2:$A$1800,$A43,الريسبي!$B$2:$B$1800,T$1)</f>
        <v>0</v>
      </c>
      <c r="U43" s="117" t="n">
        <f aca="false">SUMIFS(الريسبي!$C$2:$C$1800,الريسبي!$A$2:$A$1800,$A43,الريسبي!$B$2:$B$1800,U$1)</f>
        <v>0</v>
      </c>
      <c r="V43" s="117" t="n">
        <f aca="false">SUMIFS(الريسبي!$C$2:$C$1800,الريسبي!$A$2:$A$1800,$A43,الريسبي!$B$2:$B$1800,V$1)+1.5*(SUMIFS(الريسبي!$C$2:$C$1800,الريسبي!$A$2:$A$1800,$A43,الريسبي!$B$2:$B$1800,"برسيون موتزريلا بيتزا كبير"))</f>
        <v>0</v>
      </c>
      <c r="W43" s="117" t="n">
        <f aca="false">0</f>
        <v>0</v>
      </c>
      <c r="X43" s="117" t="n">
        <f aca="false">SUMIFS(الريسبي!$C$2:$C$1800,الريسبي!$A$2:$A$1800,$A43,الريسبي!$B$2:$B$1800,X$1)+1.5*(SUMIFS(الريسبي!$C$2:$C$1800,الريسبي!$A$2:$A$1800,$A43,الريسبي!$B$2:$B$1800,"برسيون موتزريلا فطير كبير"))</f>
        <v>0</v>
      </c>
      <c r="Y43" s="117" t="n">
        <f aca="false">0</f>
        <v>0</v>
      </c>
      <c r="Z43" s="117" t="n">
        <f aca="false">SUMIFS(الريسبي!$C$2:$C$1800,الريسبي!$A$2:$A$1800,$A43,الريسبي!$B$2:$B$1800,Z$1)</f>
        <v>0</v>
      </c>
      <c r="AA43" s="117" t="n">
        <f aca="false">SUMIFS(الريسبي!$C$2:$C$1800,الريسبي!$A$2:$A$1800,$A43,الريسبي!$B$2:$B$1800,AA$1)</f>
        <v>0</v>
      </c>
      <c r="AB43" s="117" t="n">
        <f aca="false">SUMIFS(الريسبي!$C$2:$C$1800,الريسبي!$A$2:$A$1800,$A43,الريسبي!$B$2:$B$1800,AB$1)</f>
        <v>0</v>
      </c>
      <c r="AC43" s="117" t="n">
        <f aca="false">SUMIFS(الريسبي!$C$2:$C$1800,الريسبي!$A$2:$A$1800,$A43,الريسبي!$B$2:$B$1800,AC$1)</f>
        <v>0</v>
      </c>
      <c r="AD43" s="117" t="n">
        <f aca="false">SUMIFS(الريسبي!$C$2:$C$1800,الريسبي!$A$2:$A$1800,$A43,الريسبي!$B$2:$B$1800,AD$1)</f>
        <v>0</v>
      </c>
      <c r="AE43" s="117" t="n">
        <f aca="false">SUMIFS(الريسبي!$C$2:$C$1800,الريسبي!$A$2:$A$1800,$A43,الريسبي!$B$2:$B$1800,AE$1)</f>
        <v>0</v>
      </c>
      <c r="AF43" s="117" t="n">
        <f aca="false">SUMIFS(الريسبي!$C$2:$C$1800,الريسبي!$A$2:$A$1800,$A43,الريسبي!$B$2:$B$1800,AF$1)</f>
        <v>1</v>
      </c>
      <c r="AG43" s="117" t="n">
        <f aca="false">SUMIFS(الريسبي!$C$2:$C$1800,الريسبي!$A$2:$A$1800,$A43,الريسبي!$B$2:$B$1800,AG$1)</f>
        <v>0</v>
      </c>
      <c r="AH43" s="117" t="n">
        <f aca="false">SUMIFS(الريسبي!$C$2:$C$1800,الريسبي!$A$2:$A$1800,$A43,الريسبي!$B$2:$B$1800,AH$1)</f>
        <v>0</v>
      </c>
      <c r="AI43" s="117" t="n">
        <f aca="false">SUMIFS(الريسبي!$C$2:$C$1800,الريسبي!$A$2:$A$1800,$A43,الريسبي!$B$2:$B$1800,AI$1)</f>
        <v>0</v>
      </c>
      <c r="AJ43" s="117" t="n">
        <f aca="false">SUMIFS(الريسبي!$C$2:$C$1800,الريسبي!$A$2:$A$1800,$A43,الريسبي!$B$2:$B$1800,AJ$1)</f>
        <v>0</v>
      </c>
      <c r="AK43" s="117" t="n">
        <f aca="false">SUMIFS(الريسبي!$C$2:$C$1800,الريسبي!$A$2:$A$1800,$A43,الريسبي!$B$2:$B$1800,AK$1)</f>
        <v>0</v>
      </c>
      <c r="AL43" s="117" t="n">
        <f aca="false">SUMIFS(الريسبي!$C$2:$C$1800,الريسبي!$A$2:$A$1800,$A43,الريسبي!$B$2:$B$1800,AL$1)</f>
        <v>0</v>
      </c>
      <c r="AM43" s="117" t="n">
        <f aca="false">SUMIFS(الريسبي!$C$2:$C$1800,الريسبي!$A$2:$A$1800,$A43,الريسبي!$B$2:$B$1800,AM$1)+0.08333333333*SUMIFS(الريسبي!$C$2:$C$1800,الريسبي!$A$2:$A$1800,$A43,الريسبي!$B$2:$B$1800,"عجين كريب (مصنع بالمطعم)")+0.08333333333*SUMIFS(الريسبي!$C$2:$C$1800,الريسبي!$A$2:$A$1800,$A43,الريسبي!$B$2:$B$1800,"عجين كريب صيامي (بدون لبن)")</f>
        <v>0</v>
      </c>
      <c r="AN43" s="117" t="n">
        <f aca="false">SUMIFS(الريسبي!$C$2:$C$1800,الريسبي!$A$2:$A$1800,$A43,الريسبي!$B$2:$B$1800,AN$1)+0.004166666667*SUMIFS(الريسبي!$C$2:$C$1800,الريسبي!$A$2:$A$1800,$A43,الريسبي!$B$2:$B$1800,"عجين كريب (مصنع بالمطعم)")+0.004166666667*SUMIFS(الريسبي!$C$2:$C$1800,الريسبي!$A$2:$A$1800,$A43,الريسبي!$B$2:$B$1800,"عجين كريب صيامي (بدون لبن)")</f>
        <v>0.1</v>
      </c>
      <c r="AO43" s="117" t="n">
        <f aca="false">SUMIFS(الريسبي!$C$2:$C$1800,الريسبي!$A$2:$A$1800,$A43,الريسبي!$B$2:$B$1800,AO$1)</f>
        <v>0</v>
      </c>
      <c r="AP43" s="117" t="n">
        <f aca="false">SUMIFS(الريسبي!$C$2:$C$1800,الريسبي!$A$2:$A$1800,$A43,الريسبي!$B$2:$B$1800,AP$1)</f>
        <v>0</v>
      </c>
      <c r="AQ43" s="117" t="n">
        <f aca="false">SUMIFS(الريسبي!$C$2:$C$1800,الريسبي!$A$2:$A$1800,$A43,الريسبي!$B$2:$B$1800,AQ$1)+0.004166666667*SUMIFS(الريسبي!$C$2:$C$1800,الريسبي!$A$2:$A$1800,$A43,الريسبي!$B$2:$B$1800,"عجين كريب (مصنع بالمطعم)")+0.004166666667*SUMIFS(الريسبي!$C$2:$C$1800,الريسبي!$A$2:$A$1800,$A43,الريسبي!$B$2:$B$1800,"عجين كريب صيامي (بدون لبن)")</f>
        <v>0</v>
      </c>
      <c r="AR43" s="117" t="n">
        <f aca="false">SUMIFS(الريسبي!$C$2:$C$1800,الريسبي!$A$2:$A$1800,$A43,الريسبي!$B$2:$B$1800,AR$1)</f>
        <v>0.05</v>
      </c>
      <c r="AS43" s="117" t="n">
        <f aca="false">SUMIFS(الريسبي!$C$2:$C$1800,الريسبي!$A$2:$A$1800,$A43,الريسبي!$B$2:$B$1800,AS$1)</f>
        <v>0</v>
      </c>
      <c r="AT43" s="117" t="n">
        <f aca="false">SUMIFS(الريسبي!$C$2:$C$1800,الريسبي!$A$2:$A$1800,$A43,الريسبي!$B$2:$B$1800,AT$1)</f>
        <v>0</v>
      </c>
      <c r="AU43" s="117" t="n">
        <f aca="false">SUMIFS(الريسبي!$C$2:$C$1800,الريسبي!$A$2:$A$1800,$A43,الريسبي!$B$2:$B$1800,AU$1)</f>
        <v>1</v>
      </c>
      <c r="AV43" s="117" t="n">
        <f aca="false">SUMIFS(الريسبي!$C$2:$C$1800,الريسبي!$A$2:$A$1800,$A43,الريسبي!$B$2:$B$1800,AV$1)</f>
        <v>0</v>
      </c>
      <c r="AW43" s="117" t="n">
        <f aca="false">SUMIFS(الريسبي!$C$2:$C$1800,الريسبي!$A$2:$A$1800,$A43,الريسبي!$B$2:$B$1800,AW$1)</f>
        <v>0</v>
      </c>
      <c r="AX43" s="117" t="n">
        <f aca="false">SUMIFS(الريسبي!$C$2:$C$1800,الريسبي!$A$2:$A$1800,$A43,الريسبي!$B$2:$B$1800,AX$1)</f>
        <v>0</v>
      </c>
      <c r="AY43" s="117" t="n">
        <f aca="false">SUMIFS(الريسبي!$C$2:$C$1800,الريسبي!$A$2:$A$1800,$A43,الريسبي!$B$2:$B$1800,AY$1)</f>
        <v>0</v>
      </c>
      <c r="AZ43" s="117" t="n">
        <f aca="false">SUMIFS(الريسبي!$C$2:$C$1800,الريسبي!$A$2:$A$1800,$A43,الريسبي!$B$2:$B$1800,AZ$1)</f>
        <v>0</v>
      </c>
      <c r="BA43" s="117" t="n">
        <f aca="false">SUMIFS(الريسبي!$C$2:$C$1800,الريسبي!$A$2:$A$1800,$A43,الريسبي!$B$2:$B$1800,BA$1)</f>
        <v>0</v>
      </c>
      <c r="BB43" s="117" t="n">
        <f aca="false">SUMIFS(الريسبي!$C$2:$C$1800,الريسبي!$A$2:$A$1800,$A43,الريسبي!$B$2:$B$1800,BB$1)</f>
        <v>0</v>
      </c>
      <c r="BC43" s="117" t="n">
        <f aca="false">SUMIFS(الريسبي!$C$2:$C$1800,الريسبي!$A$2:$A$1800,$A43,الريسبي!$B$2:$B$1800,BC$1)</f>
        <v>0</v>
      </c>
      <c r="BD43" s="117" t="n">
        <f aca="false">SUMIFS(الريسبي!$C$2:$C$1800,الريسبي!$A$2:$A$1800,$A43,الريسبي!$B$2:$B$1800,BD$1)</f>
        <v>0</v>
      </c>
      <c r="BE43" s="117" t="n">
        <f aca="false">SUMIFS(الريسبي!$C$2:$C$1800,الريسبي!$A$2:$A$1800,$A43,الريسبي!$B$2:$B$1800,BE$1)</f>
        <v>6</v>
      </c>
      <c r="BF43" s="117" t="n">
        <f aca="false">SUMIFS(الريسبي!$C$2:$C$1800,الريسبي!$A$2:$A$1800,$A43,الريسبي!$B$2:$B$1800,BF$1)</f>
        <v>0</v>
      </c>
      <c r="BG43" s="117" t="n">
        <f aca="false">SUMIFS(الريسبي!$C$2:$C$1800,الريسبي!$A$2:$A$1800,$A43,الريسبي!$B$2:$B$1800,BG$1)</f>
        <v>0</v>
      </c>
      <c r="BH43" s="117" t="n">
        <f aca="false">SUMIFS(الريسبي!$C$2:$C$1800,الريسبي!$A$2:$A$1800,$A43,الريسبي!$B$2:$B$1800,BH$1)</f>
        <v>0</v>
      </c>
      <c r="BI43" s="117" t="n">
        <f aca="false">SUMIFS(الريسبي!$C$2:$C$1800,الريسبي!$A$2:$A$1800,$A43,الريسبي!$B$2:$B$1800,BI$1)</f>
        <v>0</v>
      </c>
      <c r="BJ43" s="117" t="n">
        <f aca="false">SUMIFS(الريسبي!$C$2:$C$1800,الريسبي!$A$2:$A$1800,$A43,الريسبي!$B$2:$B$1800,BJ$1)</f>
        <v>0</v>
      </c>
      <c r="BK43" s="117" t="n">
        <f aca="false">SUMIFS(الريسبي!$C$2:$C$1800,الريسبي!$A$2:$A$1800,$A43,الريسبي!$B$2:$B$1800,BK$1)</f>
        <v>1</v>
      </c>
      <c r="BL43" s="117" t="n">
        <f aca="false">SUMIFS(الريسبي!$C$2:$C$1800,الريسبي!$A$2:$A$1800,$A43,الريسبي!$B$2:$B$1800,BL$1)</f>
        <v>0</v>
      </c>
      <c r="BM43" s="117" t="n">
        <f aca="false">SUMIFS(الريسبي!$C$2:$C$1800,الريسبي!$A$2:$A$1800,$A43,الريسبي!$B$2:$B$1800,BM$1)</f>
        <v>0</v>
      </c>
      <c r="BN43" s="117" t="n">
        <f aca="false">SUMIFS(الريسبي!$C$2:$C$1800,الريسبي!$A$2:$A$1800,$A43,الريسبي!$B$2:$B$1800,BN$1)</f>
        <v>0</v>
      </c>
      <c r="BO43" s="117" t="n">
        <f aca="false">SUMIFS(الريسبي!$C$2:$C$1800,الريسبي!$A$2:$A$1800,$A43,الريسبي!$B$2:$B$1800,BO$1)</f>
        <v>0</v>
      </c>
      <c r="BP43" s="117" t="n">
        <f aca="false">SUMIFS(الريسبي!$C$2:$C$1800,الريسبي!$A$2:$A$1800,$A43,الريسبي!$B$2:$B$1800,BP$1)</f>
        <v>0</v>
      </c>
      <c r="BQ43" s="117" t="n">
        <f aca="false">SUMIFS(الريسبي!$C$2:$C$1800,الريسبي!$A$2:$A$1800,$A43,الريسبي!$B$2:$B$1800,BQ$1)+0.17*SUMIFS(الريسبي!$C$2:$C$1800,الريسبي!$A$2:$A$1800,$A43,الريسبي!$B$2:$B$1800,"كاسترد مصنع (خليط بودر + لبن)")+0.17*SUMIFS(الريسبي!$C$2:$C$1800,الريسبي!$A$2:$A$1800,$A43,الريسبي!$B$2:$B$1800,"كاسترد مصنع صيامي (بدون لبن)")</f>
        <v>0</v>
      </c>
      <c r="BR43" s="117" t="n">
        <f aca="false">SUMIFS(الريسبي!$C$2:$C$1800,الريسبي!$A$2:$A$1800,$A43,الريسبي!$B$2:$B$1800,BR$1)</f>
        <v>0</v>
      </c>
      <c r="BS43" s="117" t="n">
        <f aca="false">SUMIFS(الريسبي!$C$2:$C$1800,الريسبي!$A$2:$A$1800,$A43,الريسبي!$B$2:$B$1800,BS$1)</f>
        <v>0</v>
      </c>
      <c r="BT43" s="117" t="n">
        <f aca="false">SUMIFS(الريسبي!$C$2:$C$1800,الريسبي!$A$2:$A$1800,$A43,الريسبي!$B$2:$B$1800,BT$1)</f>
        <v>0</v>
      </c>
      <c r="BU43" s="117" t="n">
        <f aca="false">SUMIFS(الريسبي!$C$2:$C$1800,الريسبي!$A$2:$A$1800,$A43,الريسبي!$B$2:$B$1800,BU$1)+0.4*SUMIFS(الريسبي!$C$2:$C$1800,الريسبي!$A$2:$A$1800,$A43,الريسبي!$B$2:$B$1800,"كاسترد مصنع (خليط بودر + لبن)")+0.03333333333*SUMIFS(الريسبي!$C$2:$C$1800,الريسبي!$A$2:$A$1800,$A43,الريسبي!$B$2:$B$1800,"عجين كريب (مصنع بالمطعم)")</f>
        <v>0</v>
      </c>
      <c r="BV43" s="117" t="n">
        <f aca="false">SUMIFS(الريسبي!$C$2:$C$1800,الريسبي!$A$2:$A$1800,$A43,الريسبي!$B$2:$B$1800,BV$1)</f>
        <v>0</v>
      </c>
      <c r="BW43" s="117" t="n">
        <f aca="false">SUMIFS(الريسبي!$C$2:$C$1800,الريسبي!$A$2:$A$1800,$A43,الريسبي!$B$2:$B$1800,BW$1)</f>
        <v>0</v>
      </c>
      <c r="BX43" s="117" t="n">
        <f aca="false">SUMIFS(الريسبي!$C$2:$C$1800,الريسبي!$A$2:$A$1800,$A43,الريسبي!$B$2:$B$1800,BX$1)</f>
        <v>0</v>
      </c>
      <c r="BY43" s="117" t="n">
        <f aca="false">SUMIFS(الريسبي!$C$2:$C$1800,الريسبي!$A$2:$A$1800,$A43,الريسبي!$B$2:$B$1800,BY$1)</f>
        <v>0</v>
      </c>
      <c r="BZ43" s="117" t="n">
        <f aca="false">SUMIFS(الريسبي!$C$2:$C$1800,الريسبي!$A$2:$A$1800,$A43,الريسبي!$B$2:$B$1800,BZ$1)</f>
        <v>0</v>
      </c>
      <c r="CA43" s="117" t="n">
        <f aca="false">SUMIFS(الريسبي!$C$2:$C$1800,الريسبي!$A$2:$A$1800,$A43,الريسبي!$B$2:$B$1800,CA$1)</f>
        <v>0</v>
      </c>
      <c r="CB43" s="117" t="n">
        <f aca="false">SUMIFS(الريسبي!$C$2:$C$1800,الريسبي!$A$2:$A$1800,$A43,الريسبي!$B$2:$B$1800,CB$1)</f>
        <v>0</v>
      </c>
      <c r="CC43" s="117" t="n">
        <f aca="false">SUMIFS(الريسبي!$C$2:$C$1800,الريسبي!$A$2:$A$1800,$A43,الريسبي!$B$2:$B$1800,CC$1)</f>
        <v>0</v>
      </c>
      <c r="CD43" s="117" t="n">
        <f aca="false">SUMIFS(الريسبي!$C$2:$C$1800,الريسبي!$A$2:$A$1800,$A43,الريسبي!$B$2:$B$1800,CD$1)</f>
        <v>0</v>
      </c>
      <c r="CE43" s="117" t="n">
        <f aca="false">SUMIFS(الريسبي!$C$2:$C$1800,الريسبي!$A$2:$A$1800,$A43,الريسبي!$B$2:$B$1800,CE$1)</f>
        <v>0</v>
      </c>
      <c r="CF43" s="117" t="n">
        <f aca="false">SUMIFS(الريسبي!$C$2:$C$1800,الريسبي!$A$2:$A$1800,$A43,الريسبي!$B$2:$B$1800,CF$1)</f>
        <v>0</v>
      </c>
      <c r="CG43" s="117" t="n">
        <f aca="false">SUMIFS(الريسبي!$C$2:$C$1800,الريسبي!$A$2:$A$1800,$A43,الريسبي!$B$2:$B$1800,CG$1)</f>
        <v>0</v>
      </c>
      <c r="CH43" s="117" t="n">
        <f aca="false">SUMIFS(الريسبي!$C$2:$C$1800,الريسبي!$A$2:$A$1800,$A43,الريسبي!$B$2:$B$1800,CH$1)</f>
        <v>0</v>
      </c>
      <c r="CI43" s="117" t="n">
        <f aca="false">SUMIFS(الريسبي!$C$2:$C$1800,الريسبي!$A$2:$A$1800,$A43,الريسبي!$B$2:$B$1800,CI$1)</f>
        <v>0</v>
      </c>
      <c r="CJ43" s="117" t="n">
        <f aca="false">SUMIFS(الريسبي!$C$2:$C$1800,الريسبي!$A$2:$A$1800,$A43,الريسبي!$B$2:$B$1800,CJ$1)</f>
        <v>0</v>
      </c>
      <c r="CK43" s="117" t="n">
        <f aca="false">SUMIFS(الريسبي!$C$2:$C$1800,الريسبي!$A$2:$A$1800,$A43,الريسبي!$B$2:$B$1800,CK$1)</f>
        <v>0</v>
      </c>
      <c r="CL43" s="117" t="n">
        <f aca="false">SUMIFS(الريسبي!$C$2:$C$1800,الريسبي!$A$2:$A$1800,$A43,الريسبي!$B$2:$B$1800,CL$1)</f>
        <v>0</v>
      </c>
    </row>
    <row r="44" customFormat="false" ht="15" hidden="false" customHeight="false" outlineLevel="0" collapsed="false">
      <c r="A44" s="116" t="str">
        <f aca="false">المنيو!B44</f>
        <v>فطيرة مشلتت بالسمنة البلدي كبير</v>
      </c>
      <c r="B44" s="117" t="n">
        <f aca="false">SUMIFS(الريسبي!$C$2:$C$1800,الريسبي!$A$2:$A$1800,$A44,الريسبي!$B$2:$B$1800,B$1)</f>
        <v>0</v>
      </c>
      <c r="C44" s="117" t="n">
        <f aca="false">SUMIFS(الريسبي!$C$2:$C$1800,الريسبي!$A$2:$A$1800,$A44,الريسبي!$B$2:$B$1800,C$1)</f>
        <v>0</v>
      </c>
      <c r="D44" s="117" t="n">
        <f aca="false">SUMIFS(الريسبي!$C$2:$C$1800,الريسبي!$A$2:$A$1800,$A44,الريسبي!$B$2:$B$1800,D$1)</f>
        <v>0</v>
      </c>
      <c r="E44" s="117" t="n">
        <f aca="false">SUMIFS(الريسبي!$C$2:$C$1800,الريسبي!$A$2:$A$1800,$A44,الريسبي!$B$2:$B$1800,E$1)</f>
        <v>1</v>
      </c>
      <c r="F44" s="117" t="n">
        <f aca="false">SUMIFS(الريسبي!$C$2:$C$1800,الريسبي!$A$2:$A$1800,$A44,الريسبي!$B$2:$B$1800,F$1)</f>
        <v>0</v>
      </c>
      <c r="G44" s="117" t="n">
        <f aca="false">SUMIFS(الريسبي!$C$2:$C$1800,الريسبي!$A$2:$A$1800,$A44,الريسبي!$B$2:$B$1800,G$1)</f>
        <v>0</v>
      </c>
      <c r="H44" s="117" t="n">
        <f aca="false">SUMIFS(الريسبي!$C$2:$C$1800,الريسبي!$A$2:$A$1800,$A44,الريسبي!$B$2:$B$1800,H$1)</f>
        <v>0</v>
      </c>
      <c r="I44" s="117" t="n">
        <f aca="false">SUMIFS(الريسبي!$C$2:$C$1800,الريسبي!$A$2:$A$1800,$A44,الريسبي!$B$2:$B$1800,I$1)</f>
        <v>0</v>
      </c>
      <c r="J44" s="117" t="n">
        <f aca="false">SUMIFS(الريسبي!$C$2:$C$1800,الريسبي!$A$2:$A$1800,$A44,الريسبي!$B$2:$B$1800,J$1)</f>
        <v>0</v>
      </c>
      <c r="K44" s="117" t="n">
        <f aca="false">SUMIFS(الريسبي!$C$2:$C$1800,الريسبي!$A$2:$A$1800,$A44,الريسبي!$B$2:$B$1800,K$1)</f>
        <v>0</v>
      </c>
      <c r="L44" s="117" t="n">
        <f aca="false">SUMIFS(الريسبي!$C$2:$C$1800,الريسبي!$A$2:$A$1800,$A44,الريسبي!$B$2:$B$1800,L$1)</f>
        <v>0</v>
      </c>
      <c r="M44" s="117" t="n">
        <f aca="false">SUMIFS(الريسبي!$C$2:$C$1800,الريسبي!$A$2:$A$1800,$A44,الريسبي!$B$2:$B$1800,M$1)</f>
        <v>0</v>
      </c>
      <c r="N44" s="117" t="n">
        <f aca="false">SUMIFS(الريسبي!$C$2:$C$1800,الريسبي!$A$2:$A$1800,$A44,الريسبي!$B$2:$B$1800,N$1)</f>
        <v>0</v>
      </c>
      <c r="O44" s="117" t="n">
        <f aca="false">SUMIFS(الريسبي!$C$2:$C$1800,الريسبي!$A$2:$A$1800,$A44,الريسبي!$B$2:$B$1800,O$1)</f>
        <v>0</v>
      </c>
      <c r="P44" s="117" t="n">
        <f aca="false">SUMIFS(الريسبي!$C$2:$C$1800,الريسبي!$A$2:$A$1800,$A44,الريسبي!$B$2:$B$1800,P$1)</f>
        <v>0</v>
      </c>
      <c r="Q44" s="117" t="n">
        <f aca="false">SUMIFS(الريسبي!$C$2:$C$1800,الريسبي!$A$2:$A$1800,$A44,الريسبي!$B$2:$B$1800,Q$1)</f>
        <v>0</v>
      </c>
      <c r="R44" s="117" t="n">
        <f aca="false">SUMIFS(الريسبي!$C$2:$C$1800,الريسبي!$A$2:$A$1800,$A44,الريسبي!$B$2:$B$1800,R$1)</f>
        <v>0</v>
      </c>
      <c r="S44" s="117" t="n">
        <f aca="false">SUMIFS(الريسبي!$C$2:$C$1800,الريسبي!$A$2:$A$1800,$A44,الريسبي!$B$2:$B$1800,S$1)</f>
        <v>0</v>
      </c>
      <c r="T44" s="117" t="n">
        <f aca="false">SUMIFS(الريسبي!$C$2:$C$1800,الريسبي!$A$2:$A$1800,$A44,الريسبي!$B$2:$B$1800,T$1)</f>
        <v>0</v>
      </c>
      <c r="U44" s="117" t="n">
        <f aca="false">SUMIFS(الريسبي!$C$2:$C$1800,الريسبي!$A$2:$A$1800,$A44,الريسبي!$B$2:$B$1800,U$1)</f>
        <v>0</v>
      </c>
      <c r="V44" s="117" t="n">
        <f aca="false">SUMIFS(الريسبي!$C$2:$C$1800,الريسبي!$A$2:$A$1800,$A44,الريسبي!$B$2:$B$1800,V$1)+1.5*(SUMIFS(الريسبي!$C$2:$C$1800,الريسبي!$A$2:$A$1800,$A44,الريسبي!$B$2:$B$1800,"برسيون موتزريلا بيتزا كبير"))</f>
        <v>0</v>
      </c>
      <c r="W44" s="117" t="n">
        <f aca="false">0</f>
        <v>0</v>
      </c>
      <c r="X44" s="117" t="n">
        <f aca="false">SUMIFS(الريسبي!$C$2:$C$1800,الريسبي!$A$2:$A$1800,$A44,الريسبي!$B$2:$B$1800,X$1)+1.5*(SUMIFS(الريسبي!$C$2:$C$1800,الريسبي!$A$2:$A$1800,$A44,الريسبي!$B$2:$B$1800,"برسيون موتزريلا فطير كبير"))</f>
        <v>0</v>
      </c>
      <c r="Y44" s="117" t="n">
        <f aca="false">0</f>
        <v>0</v>
      </c>
      <c r="Z44" s="117" t="n">
        <f aca="false">SUMIFS(الريسبي!$C$2:$C$1800,الريسبي!$A$2:$A$1800,$A44,الريسبي!$B$2:$B$1800,Z$1)</f>
        <v>0</v>
      </c>
      <c r="AA44" s="117" t="n">
        <f aca="false">SUMIFS(الريسبي!$C$2:$C$1800,الريسبي!$A$2:$A$1800,$A44,الريسبي!$B$2:$B$1800,AA$1)</f>
        <v>0</v>
      </c>
      <c r="AB44" s="117" t="n">
        <f aca="false">SUMIFS(الريسبي!$C$2:$C$1800,الريسبي!$A$2:$A$1800,$A44,الريسبي!$B$2:$B$1800,AB$1)</f>
        <v>0</v>
      </c>
      <c r="AC44" s="117" t="n">
        <f aca="false">SUMIFS(الريسبي!$C$2:$C$1800,الريسبي!$A$2:$A$1800,$A44,الريسبي!$B$2:$B$1800,AC$1)</f>
        <v>0</v>
      </c>
      <c r="AD44" s="117" t="n">
        <f aca="false">SUMIFS(الريسبي!$C$2:$C$1800,الريسبي!$A$2:$A$1800,$A44,الريسبي!$B$2:$B$1800,AD$1)</f>
        <v>0</v>
      </c>
      <c r="AE44" s="117" t="n">
        <f aca="false">SUMIFS(الريسبي!$C$2:$C$1800,الريسبي!$A$2:$A$1800,$A44,الريسبي!$B$2:$B$1800,AE$1)</f>
        <v>0</v>
      </c>
      <c r="AF44" s="117" t="n">
        <f aca="false">SUMIFS(الريسبي!$C$2:$C$1800,الريسبي!$A$2:$A$1800,$A44,الريسبي!$B$2:$B$1800,AF$1)</f>
        <v>1</v>
      </c>
      <c r="AG44" s="117" t="n">
        <f aca="false">SUMIFS(الريسبي!$C$2:$C$1800,الريسبي!$A$2:$A$1800,$A44,الريسبي!$B$2:$B$1800,AG$1)</f>
        <v>0</v>
      </c>
      <c r="AH44" s="117" t="n">
        <f aca="false">SUMIFS(الريسبي!$C$2:$C$1800,الريسبي!$A$2:$A$1800,$A44,الريسبي!$B$2:$B$1800,AH$1)</f>
        <v>0</v>
      </c>
      <c r="AI44" s="117" t="n">
        <f aca="false">SUMIFS(الريسبي!$C$2:$C$1800,الريسبي!$A$2:$A$1800,$A44,الريسبي!$B$2:$B$1800,AI$1)</f>
        <v>0</v>
      </c>
      <c r="AJ44" s="117" t="n">
        <f aca="false">SUMIFS(الريسبي!$C$2:$C$1800,الريسبي!$A$2:$A$1800,$A44,الريسبي!$B$2:$B$1800,AJ$1)</f>
        <v>0</v>
      </c>
      <c r="AK44" s="117" t="n">
        <f aca="false">SUMIFS(الريسبي!$C$2:$C$1800,الريسبي!$A$2:$A$1800,$A44,الريسبي!$B$2:$B$1800,AK$1)</f>
        <v>0</v>
      </c>
      <c r="AL44" s="117" t="n">
        <f aca="false">SUMIFS(الريسبي!$C$2:$C$1800,الريسبي!$A$2:$A$1800,$A44,الريسبي!$B$2:$B$1800,AL$1)</f>
        <v>0</v>
      </c>
      <c r="AM44" s="117" t="n">
        <f aca="false">SUMIFS(الريسبي!$C$2:$C$1800,الريسبي!$A$2:$A$1800,$A44,الريسبي!$B$2:$B$1800,AM$1)+0.08333333333*SUMIFS(الريسبي!$C$2:$C$1800,الريسبي!$A$2:$A$1800,$A44,الريسبي!$B$2:$B$1800,"عجين كريب (مصنع بالمطعم)")+0.08333333333*SUMIFS(الريسبي!$C$2:$C$1800,الريسبي!$A$2:$A$1800,$A44,الريسبي!$B$2:$B$1800,"عجين كريب صيامي (بدون لبن)")</f>
        <v>0</v>
      </c>
      <c r="AN44" s="117" t="n">
        <f aca="false">SUMIFS(الريسبي!$C$2:$C$1800,الريسبي!$A$2:$A$1800,$A44,الريسبي!$B$2:$B$1800,AN$1)+0.004166666667*SUMIFS(الريسبي!$C$2:$C$1800,الريسبي!$A$2:$A$1800,$A44,الريسبي!$B$2:$B$1800,"عجين كريب (مصنع بالمطعم)")+0.004166666667*SUMIFS(الريسبي!$C$2:$C$1800,الريسبي!$A$2:$A$1800,$A44,الريسبي!$B$2:$B$1800,"عجين كريب صيامي (بدون لبن)")</f>
        <v>0.15</v>
      </c>
      <c r="AO44" s="117" t="n">
        <f aca="false">SUMIFS(الريسبي!$C$2:$C$1800,الريسبي!$A$2:$A$1800,$A44,الريسبي!$B$2:$B$1800,AO$1)</f>
        <v>0</v>
      </c>
      <c r="AP44" s="117" t="n">
        <f aca="false">SUMIFS(الريسبي!$C$2:$C$1800,الريسبي!$A$2:$A$1800,$A44,الريسبي!$B$2:$B$1800,AP$1)</f>
        <v>0</v>
      </c>
      <c r="AQ44" s="117" t="n">
        <f aca="false">SUMIFS(الريسبي!$C$2:$C$1800,الريسبي!$A$2:$A$1800,$A44,الريسبي!$B$2:$B$1800,AQ$1)+0.004166666667*SUMIFS(الريسبي!$C$2:$C$1800,الريسبي!$A$2:$A$1800,$A44,الريسبي!$B$2:$B$1800,"عجين كريب (مصنع بالمطعم)")+0.004166666667*SUMIFS(الريسبي!$C$2:$C$1800,الريسبي!$A$2:$A$1800,$A44,الريسبي!$B$2:$B$1800,"عجين كريب صيامي (بدون لبن)")</f>
        <v>0</v>
      </c>
      <c r="AR44" s="117" t="n">
        <f aca="false">SUMIFS(الريسبي!$C$2:$C$1800,الريسبي!$A$2:$A$1800,$A44,الريسبي!$B$2:$B$1800,AR$1)</f>
        <v>0.07</v>
      </c>
      <c r="AS44" s="117" t="n">
        <f aca="false">SUMIFS(الريسبي!$C$2:$C$1800,الريسبي!$A$2:$A$1800,$A44,الريسبي!$B$2:$B$1800,AS$1)</f>
        <v>0</v>
      </c>
      <c r="AT44" s="117" t="n">
        <f aca="false">SUMIFS(الريسبي!$C$2:$C$1800,الريسبي!$A$2:$A$1800,$A44,الريسبي!$B$2:$B$1800,AT$1)</f>
        <v>0</v>
      </c>
      <c r="AU44" s="117" t="n">
        <f aca="false">SUMIFS(الريسبي!$C$2:$C$1800,الريسبي!$A$2:$A$1800,$A44,الريسبي!$B$2:$B$1800,AU$1)</f>
        <v>1</v>
      </c>
      <c r="AV44" s="117" t="n">
        <f aca="false">SUMIFS(الريسبي!$C$2:$C$1800,الريسبي!$A$2:$A$1800,$A44,الريسبي!$B$2:$B$1800,AV$1)</f>
        <v>0</v>
      </c>
      <c r="AW44" s="117" t="n">
        <f aca="false">SUMIFS(الريسبي!$C$2:$C$1800,الريسبي!$A$2:$A$1800,$A44,الريسبي!$B$2:$B$1800,AW$1)</f>
        <v>0</v>
      </c>
      <c r="AX44" s="117" t="n">
        <f aca="false">SUMIFS(الريسبي!$C$2:$C$1800,الريسبي!$A$2:$A$1800,$A44,الريسبي!$B$2:$B$1800,AX$1)</f>
        <v>0</v>
      </c>
      <c r="AY44" s="117" t="n">
        <f aca="false">SUMIFS(الريسبي!$C$2:$C$1800,الريسبي!$A$2:$A$1800,$A44,الريسبي!$B$2:$B$1800,AY$1)</f>
        <v>0</v>
      </c>
      <c r="AZ44" s="117" t="n">
        <f aca="false">SUMIFS(الريسبي!$C$2:$C$1800,الريسبي!$A$2:$A$1800,$A44,الريسبي!$B$2:$B$1800,AZ$1)</f>
        <v>0</v>
      </c>
      <c r="BA44" s="117" t="n">
        <f aca="false">SUMIFS(الريسبي!$C$2:$C$1800,الريسبي!$A$2:$A$1800,$A44,الريسبي!$B$2:$B$1800,BA$1)</f>
        <v>0</v>
      </c>
      <c r="BB44" s="117" t="n">
        <f aca="false">SUMIFS(الريسبي!$C$2:$C$1800,الريسبي!$A$2:$A$1800,$A44,الريسبي!$B$2:$B$1800,BB$1)</f>
        <v>0</v>
      </c>
      <c r="BC44" s="117" t="n">
        <f aca="false">SUMIFS(الريسبي!$C$2:$C$1800,الريسبي!$A$2:$A$1800,$A44,الريسبي!$B$2:$B$1800,BC$1)</f>
        <v>0</v>
      </c>
      <c r="BD44" s="117" t="n">
        <f aca="false">SUMIFS(الريسبي!$C$2:$C$1800,الريسبي!$A$2:$A$1800,$A44,الريسبي!$B$2:$B$1800,BD$1)</f>
        <v>0</v>
      </c>
      <c r="BE44" s="117" t="n">
        <f aca="false">SUMIFS(الريسبي!$C$2:$C$1800,الريسبي!$A$2:$A$1800,$A44,الريسبي!$B$2:$B$1800,BE$1)</f>
        <v>9</v>
      </c>
      <c r="BF44" s="117" t="n">
        <f aca="false">SUMIFS(الريسبي!$C$2:$C$1800,الريسبي!$A$2:$A$1800,$A44,الريسبي!$B$2:$B$1800,BF$1)</f>
        <v>0</v>
      </c>
      <c r="BG44" s="117" t="n">
        <f aca="false">SUMIFS(الريسبي!$C$2:$C$1800,الريسبي!$A$2:$A$1800,$A44,الريسبي!$B$2:$B$1800,BG$1)</f>
        <v>0</v>
      </c>
      <c r="BH44" s="117" t="n">
        <f aca="false">SUMIFS(الريسبي!$C$2:$C$1800,الريسبي!$A$2:$A$1800,$A44,الريسبي!$B$2:$B$1800,BH$1)</f>
        <v>0</v>
      </c>
      <c r="BI44" s="117" t="n">
        <f aca="false">SUMIFS(الريسبي!$C$2:$C$1800,الريسبي!$A$2:$A$1800,$A44,الريسبي!$B$2:$B$1800,BI$1)</f>
        <v>0</v>
      </c>
      <c r="BJ44" s="117" t="n">
        <f aca="false">SUMIFS(الريسبي!$C$2:$C$1800,الريسبي!$A$2:$A$1800,$A44,الريسبي!$B$2:$B$1800,BJ$1)</f>
        <v>0</v>
      </c>
      <c r="BK44" s="117" t="n">
        <f aca="false">SUMIFS(الريسبي!$C$2:$C$1800,الريسبي!$A$2:$A$1800,$A44,الريسبي!$B$2:$B$1800,BK$1)</f>
        <v>1</v>
      </c>
      <c r="BL44" s="117" t="n">
        <f aca="false">SUMIFS(الريسبي!$C$2:$C$1800,الريسبي!$A$2:$A$1800,$A44,الريسبي!$B$2:$B$1800,BL$1)</f>
        <v>0</v>
      </c>
      <c r="BM44" s="117" t="n">
        <f aca="false">SUMIFS(الريسبي!$C$2:$C$1800,الريسبي!$A$2:$A$1800,$A44,الريسبي!$B$2:$B$1800,BM$1)</f>
        <v>0</v>
      </c>
      <c r="BN44" s="117" t="n">
        <f aca="false">SUMIFS(الريسبي!$C$2:$C$1800,الريسبي!$A$2:$A$1800,$A44,الريسبي!$B$2:$B$1800,BN$1)</f>
        <v>0</v>
      </c>
      <c r="BO44" s="117" t="n">
        <f aca="false">SUMIFS(الريسبي!$C$2:$C$1800,الريسبي!$A$2:$A$1800,$A44,الريسبي!$B$2:$B$1800,BO$1)</f>
        <v>0</v>
      </c>
      <c r="BP44" s="117" t="n">
        <f aca="false">SUMIFS(الريسبي!$C$2:$C$1800,الريسبي!$A$2:$A$1800,$A44,الريسبي!$B$2:$B$1800,BP$1)</f>
        <v>0</v>
      </c>
      <c r="BQ44" s="117" t="n">
        <f aca="false">SUMIFS(الريسبي!$C$2:$C$1800,الريسبي!$A$2:$A$1800,$A44,الريسبي!$B$2:$B$1800,BQ$1)+0.17*SUMIFS(الريسبي!$C$2:$C$1800,الريسبي!$A$2:$A$1800,$A44,الريسبي!$B$2:$B$1800,"كاسترد مصنع (خليط بودر + لبن)")+0.17*SUMIFS(الريسبي!$C$2:$C$1800,الريسبي!$A$2:$A$1800,$A44,الريسبي!$B$2:$B$1800,"كاسترد مصنع صيامي (بدون لبن)")</f>
        <v>0</v>
      </c>
      <c r="BR44" s="117" t="n">
        <f aca="false">SUMIFS(الريسبي!$C$2:$C$1800,الريسبي!$A$2:$A$1800,$A44,الريسبي!$B$2:$B$1800,BR$1)</f>
        <v>0</v>
      </c>
      <c r="BS44" s="117" t="n">
        <f aca="false">SUMIFS(الريسبي!$C$2:$C$1800,الريسبي!$A$2:$A$1800,$A44,الريسبي!$B$2:$B$1800,BS$1)</f>
        <v>0</v>
      </c>
      <c r="BT44" s="117" t="n">
        <f aca="false">SUMIFS(الريسبي!$C$2:$C$1800,الريسبي!$A$2:$A$1800,$A44,الريسبي!$B$2:$B$1800,BT$1)</f>
        <v>0</v>
      </c>
      <c r="BU44" s="117" t="n">
        <f aca="false">SUMIFS(الريسبي!$C$2:$C$1800,الريسبي!$A$2:$A$1800,$A44,الريسبي!$B$2:$B$1800,BU$1)+0.4*SUMIFS(الريسبي!$C$2:$C$1800,الريسبي!$A$2:$A$1800,$A44,الريسبي!$B$2:$B$1800,"كاسترد مصنع (خليط بودر + لبن)")+0.03333333333*SUMIFS(الريسبي!$C$2:$C$1800,الريسبي!$A$2:$A$1800,$A44,الريسبي!$B$2:$B$1800,"عجين كريب (مصنع بالمطعم)")</f>
        <v>0</v>
      </c>
      <c r="BV44" s="117" t="n">
        <f aca="false">SUMIFS(الريسبي!$C$2:$C$1800,الريسبي!$A$2:$A$1800,$A44,الريسبي!$B$2:$B$1800,BV$1)</f>
        <v>0</v>
      </c>
      <c r="BW44" s="117" t="n">
        <f aca="false">SUMIFS(الريسبي!$C$2:$C$1800,الريسبي!$A$2:$A$1800,$A44,الريسبي!$B$2:$B$1800,BW$1)</f>
        <v>0</v>
      </c>
      <c r="BX44" s="117" t="n">
        <f aca="false">SUMIFS(الريسبي!$C$2:$C$1800,الريسبي!$A$2:$A$1800,$A44,الريسبي!$B$2:$B$1800,BX$1)</f>
        <v>0</v>
      </c>
      <c r="BY44" s="117" t="n">
        <f aca="false">SUMIFS(الريسبي!$C$2:$C$1800,الريسبي!$A$2:$A$1800,$A44,الريسبي!$B$2:$B$1800,BY$1)</f>
        <v>0</v>
      </c>
      <c r="BZ44" s="117" t="n">
        <f aca="false">SUMIFS(الريسبي!$C$2:$C$1800,الريسبي!$A$2:$A$1800,$A44,الريسبي!$B$2:$B$1800,BZ$1)</f>
        <v>0</v>
      </c>
      <c r="CA44" s="117" t="n">
        <f aca="false">SUMIFS(الريسبي!$C$2:$C$1800,الريسبي!$A$2:$A$1800,$A44,الريسبي!$B$2:$B$1800,CA$1)</f>
        <v>0</v>
      </c>
      <c r="CB44" s="117" t="n">
        <f aca="false">SUMIFS(الريسبي!$C$2:$C$1800,الريسبي!$A$2:$A$1800,$A44,الريسبي!$B$2:$B$1800,CB$1)</f>
        <v>0</v>
      </c>
      <c r="CC44" s="117" t="n">
        <f aca="false">SUMIFS(الريسبي!$C$2:$C$1800,الريسبي!$A$2:$A$1800,$A44,الريسبي!$B$2:$B$1800,CC$1)</f>
        <v>0</v>
      </c>
      <c r="CD44" s="117" t="n">
        <f aca="false">SUMIFS(الريسبي!$C$2:$C$1800,الريسبي!$A$2:$A$1800,$A44,الريسبي!$B$2:$B$1800,CD$1)</f>
        <v>0</v>
      </c>
      <c r="CE44" s="117" t="n">
        <f aca="false">SUMIFS(الريسبي!$C$2:$C$1800,الريسبي!$A$2:$A$1800,$A44,الريسبي!$B$2:$B$1800,CE$1)</f>
        <v>0</v>
      </c>
      <c r="CF44" s="117" t="n">
        <f aca="false">SUMIFS(الريسبي!$C$2:$C$1800,الريسبي!$A$2:$A$1800,$A44,الريسبي!$B$2:$B$1800,CF$1)</f>
        <v>0</v>
      </c>
      <c r="CG44" s="117" t="n">
        <f aca="false">SUMIFS(الريسبي!$C$2:$C$1800,الريسبي!$A$2:$A$1800,$A44,الريسبي!$B$2:$B$1800,CG$1)</f>
        <v>0</v>
      </c>
      <c r="CH44" s="117" t="n">
        <f aca="false">SUMIFS(الريسبي!$C$2:$C$1800,الريسبي!$A$2:$A$1800,$A44,الريسبي!$B$2:$B$1800,CH$1)</f>
        <v>0</v>
      </c>
      <c r="CI44" s="117" t="n">
        <f aca="false">SUMIFS(الريسبي!$C$2:$C$1800,الريسبي!$A$2:$A$1800,$A44,الريسبي!$B$2:$B$1800,CI$1)</f>
        <v>0</v>
      </c>
      <c r="CJ44" s="117" t="n">
        <f aca="false">SUMIFS(الريسبي!$C$2:$C$1800,الريسبي!$A$2:$A$1800,$A44,الريسبي!$B$2:$B$1800,CJ$1)</f>
        <v>0</v>
      </c>
      <c r="CK44" s="117" t="n">
        <f aca="false">SUMIFS(الريسبي!$C$2:$C$1800,الريسبي!$A$2:$A$1800,$A44,الريسبي!$B$2:$B$1800,CK$1)</f>
        <v>0</v>
      </c>
      <c r="CL44" s="117" t="n">
        <f aca="false">SUMIFS(الريسبي!$C$2:$C$1800,الريسبي!$A$2:$A$1800,$A44,الريسبي!$B$2:$B$1800,CL$1)</f>
        <v>0</v>
      </c>
    </row>
    <row r="45" customFormat="false" ht="15" hidden="false" customHeight="false" outlineLevel="0" collapsed="false">
      <c r="A45" s="116" t="str">
        <f aca="false">المنيو!B45</f>
        <v>فطيرة جمبري وسط</v>
      </c>
      <c r="B45" s="117" t="n">
        <f aca="false">SUMIFS(الريسبي!$C$2:$C$1800,الريسبي!$A$2:$A$1800,$A45,الريسبي!$B$2:$B$1800,B$1)</f>
        <v>0</v>
      </c>
      <c r="C45" s="117" t="n">
        <f aca="false">SUMIFS(الريسبي!$C$2:$C$1800,الريسبي!$A$2:$A$1800,$A45,الريسبي!$B$2:$B$1800,C$1)</f>
        <v>0</v>
      </c>
      <c r="D45" s="117" t="n">
        <f aca="false">SUMIFS(الريسبي!$C$2:$C$1800,الريسبي!$A$2:$A$1800,$A45,الريسبي!$B$2:$B$1800,D$1)</f>
        <v>1</v>
      </c>
      <c r="E45" s="117" t="n">
        <f aca="false">SUMIFS(الريسبي!$C$2:$C$1800,الريسبي!$A$2:$A$1800,$A45,الريسبي!$B$2:$B$1800,E$1)</f>
        <v>0</v>
      </c>
      <c r="F45" s="117" t="n">
        <f aca="false">SUMIFS(الريسبي!$C$2:$C$1800,الريسبي!$A$2:$A$1800,$A45,الريسبي!$B$2:$B$1800,F$1)</f>
        <v>0</v>
      </c>
      <c r="G45" s="117" t="n">
        <f aca="false">SUMIFS(الريسبي!$C$2:$C$1800,الريسبي!$A$2:$A$1800,$A45,الريسبي!$B$2:$B$1800,G$1)</f>
        <v>0</v>
      </c>
      <c r="H45" s="117" t="n">
        <f aca="false">SUMIFS(الريسبي!$C$2:$C$1800,الريسبي!$A$2:$A$1800,$A45,الريسبي!$B$2:$B$1800,H$1)</f>
        <v>0</v>
      </c>
      <c r="I45" s="117" t="n">
        <f aca="false">SUMIFS(الريسبي!$C$2:$C$1800,الريسبي!$A$2:$A$1800,$A45,الريسبي!$B$2:$B$1800,I$1)</f>
        <v>0</v>
      </c>
      <c r="J45" s="117" t="n">
        <f aca="false">SUMIFS(الريسبي!$C$2:$C$1800,الريسبي!$A$2:$A$1800,$A45,الريسبي!$B$2:$B$1800,J$1)</f>
        <v>0</v>
      </c>
      <c r="K45" s="117" t="n">
        <f aca="false">SUMIFS(الريسبي!$C$2:$C$1800,الريسبي!$A$2:$A$1800,$A45,الريسبي!$B$2:$B$1800,K$1)</f>
        <v>1</v>
      </c>
      <c r="L45" s="117" t="n">
        <f aca="false">SUMIFS(الريسبي!$C$2:$C$1800,الريسبي!$A$2:$A$1800,$A45,الريسبي!$B$2:$B$1800,L$1)</f>
        <v>0</v>
      </c>
      <c r="M45" s="117" t="n">
        <f aca="false">SUMIFS(الريسبي!$C$2:$C$1800,الريسبي!$A$2:$A$1800,$A45,الريسبي!$B$2:$B$1800,M$1)</f>
        <v>0</v>
      </c>
      <c r="N45" s="117" t="n">
        <f aca="false">SUMIFS(الريسبي!$C$2:$C$1800,الريسبي!$A$2:$A$1800,$A45,الريسبي!$B$2:$B$1800,N$1)</f>
        <v>0</v>
      </c>
      <c r="O45" s="117" t="n">
        <f aca="false">SUMIFS(الريسبي!$C$2:$C$1800,الريسبي!$A$2:$A$1800,$A45,الريسبي!$B$2:$B$1800,O$1)</f>
        <v>0</v>
      </c>
      <c r="P45" s="117" t="n">
        <f aca="false">SUMIFS(الريسبي!$C$2:$C$1800,الريسبي!$A$2:$A$1800,$A45,الريسبي!$B$2:$B$1800,P$1)</f>
        <v>0</v>
      </c>
      <c r="Q45" s="117" t="n">
        <f aca="false">SUMIFS(الريسبي!$C$2:$C$1800,الريسبي!$A$2:$A$1800,$A45,الريسبي!$B$2:$B$1800,Q$1)</f>
        <v>0</v>
      </c>
      <c r="R45" s="117" t="n">
        <f aca="false">SUMIFS(الريسبي!$C$2:$C$1800,الريسبي!$A$2:$A$1800,$A45,الريسبي!$B$2:$B$1800,R$1)</f>
        <v>0</v>
      </c>
      <c r="S45" s="117" t="n">
        <f aca="false">SUMIFS(الريسبي!$C$2:$C$1800,الريسبي!$A$2:$A$1800,$A45,الريسبي!$B$2:$B$1800,S$1)</f>
        <v>0</v>
      </c>
      <c r="T45" s="117" t="n">
        <f aca="false">SUMIFS(الريسبي!$C$2:$C$1800,الريسبي!$A$2:$A$1800,$A45,الريسبي!$B$2:$B$1800,T$1)</f>
        <v>0</v>
      </c>
      <c r="U45" s="117" t="n">
        <f aca="false">SUMIFS(الريسبي!$C$2:$C$1800,الريسبي!$A$2:$A$1800,$A45,الريسبي!$B$2:$B$1800,U$1)</f>
        <v>0</v>
      </c>
      <c r="V45" s="117" t="n">
        <f aca="false">SUMIFS(الريسبي!$C$2:$C$1800,الريسبي!$A$2:$A$1800,$A45,الريسبي!$B$2:$B$1800,V$1)+1.5*(SUMIFS(الريسبي!$C$2:$C$1800,الريسبي!$A$2:$A$1800,$A45,الريسبي!$B$2:$B$1800,"برسيون موتزريلا بيتزا كبير"))</f>
        <v>0</v>
      </c>
      <c r="W45" s="117" t="n">
        <f aca="false">0</f>
        <v>0</v>
      </c>
      <c r="X45" s="117" t="n">
        <f aca="false">SUMIFS(الريسبي!$C$2:$C$1800,الريسبي!$A$2:$A$1800,$A45,الريسبي!$B$2:$B$1800,X$1)+1.5*(SUMIFS(الريسبي!$C$2:$C$1800,الريسبي!$A$2:$A$1800,$A45,الريسبي!$B$2:$B$1800,"برسيون موتزريلا فطير كبير"))</f>
        <v>1</v>
      </c>
      <c r="Y45" s="117" t="n">
        <f aca="false">0</f>
        <v>0</v>
      </c>
      <c r="Z45" s="117" t="n">
        <f aca="false">SUMIFS(الريسبي!$C$2:$C$1800,الريسبي!$A$2:$A$1800,$A45,الريسبي!$B$2:$B$1800,Z$1)</f>
        <v>0</v>
      </c>
      <c r="AA45" s="117" t="n">
        <f aca="false">SUMIFS(الريسبي!$C$2:$C$1800,الريسبي!$A$2:$A$1800,$A45,الريسبي!$B$2:$B$1800,AA$1)</f>
        <v>0</v>
      </c>
      <c r="AB45" s="117" t="n">
        <f aca="false">SUMIFS(الريسبي!$C$2:$C$1800,الريسبي!$A$2:$A$1800,$A45,الريسبي!$B$2:$B$1800,AB$1)</f>
        <v>0</v>
      </c>
      <c r="AC45" s="117" t="n">
        <f aca="false">SUMIFS(الريسبي!$C$2:$C$1800,الريسبي!$A$2:$A$1800,$A45,الريسبي!$B$2:$B$1800,AC$1)</f>
        <v>0</v>
      </c>
      <c r="AD45" s="117" t="n">
        <f aca="false">SUMIFS(الريسبي!$C$2:$C$1800,الريسبي!$A$2:$A$1800,$A45,الريسبي!$B$2:$B$1800,AD$1)</f>
        <v>0</v>
      </c>
      <c r="AE45" s="117" t="n">
        <f aca="false">SUMIFS(الريسبي!$C$2:$C$1800,الريسبي!$A$2:$A$1800,$A45,الريسبي!$B$2:$B$1800,AE$1)</f>
        <v>0</v>
      </c>
      <c r="AF45" s="117" t="n">
        <f aca="false">SUMIFS(الريسبي!$C$2:$C$1800,الريسبي!$A$2:$A$1800,$A45,الريسبي!$B$2:$B$1800,AF$1)</f>
        <v>0</v>
      </c>
      <c r="AG45" s="117" t="n">
        <f aca="false">SUMIFS(الريسبي!$C$2:$C$1800,الريسبي!$A$2:$A$1800,$A45,الريسبي!$B$2:$B$1800,AG$1)</f>
        <v>0</v>
      </c>
      <c r="AH45" s="117" t="n">
        <f aca="false">SUMIFS(الريسبي!$C$2:$C$1800,الريسبي!$A$2:$A$1800,$A45,الريسبي!$B$2:$B$1800,AH$1)</f>
        <v>0</v>
      </c>
      <c r="AI45" s="117" t="n">
        <f aca="false">SUMIFS(الريسبي!$C$2:$C$1800,الريسبي!$A$2:$A$1800,$A45,الريسبي!$B$2:$B$1800,AI$1)</f>
        <v>0</v>
      </c>
      <c r="AJ45" s="117" t="n">
        <f aca="false">SUMIFS(الريسبي!$C$2:$C$1800,الريسبي!$A$2:$A$1800,$A45,الريسبي!$B$2:$B$1800,AJ$1)</f>
        <v>2</v>
      </c>
      <c r="AK45" s="117" t="n">
        <f aca="false">SUMIFS(الريسبي!$C$2:$C$1800,الريسبي!$A$2:$A$1800,$A45,الريسبي!$B$2:$B$1800,AK$1)</f>
        <v>0</v>
      </c>
      <c r="AL45" s="117" t="n">
        <f aca="false">SUMIFS(الريسبي!$C$2:$C$1800,الريسبي!$A$2:$A$1800,$A45,الريسبي!$B$2:$B$1800,AL$1)</f>
        <v>0</v>
      </c>
      <c r="AM45" s="117" t="n">
        <f aca="false">SUMIFS(الريسبي!$C$2:$C$1800,الريسبي!$A$2:$A$1800,$A45,الريسبي!$B$2:$B$1800,AM$1)+0.08333333333*SUMIFS(الريسبي!$C$2:$C$1800,الريسبي!$A$2:$A$1800,$A45,الريسبي!$B$2:$B$1800,"عجين كريب (مصنع بالمطعم)")+0.08333333333*SUMIFS(الريسبي!$C$2:$C$1800,الريسبي!$A$2:$A$1800,$A45,الريسبي!$B$2:$B$1800,"عجين كريب صيامي (بدون لبن)")</f>
        <v>0</v>
      </c>
      <c r="AN45" s="117" t="n">
        <f aca="false">SUMIFS(الريسبي!$C$2:$C$1800,الريسبي!$A$2:$A$1800,$A45,الريسبي!$B$2:$B$1800,AN$1)+0.004166666667*SUMIFS(الريسبي!$C$2:$C$1800,الريسبي!$A$2:$A$1800,$A45,الريسبي!$B$2:$B$1800,"عجين كريب (مصنع بالمطعم)")+0.004166666667*SUMIFS(الريسبي!$C$2:$C$1800,الريسبي!$A$2:$A$1800,$A45,الريسبي!$B$2:$B$1800,"عجين كريب صيامي (بدون لبن)")</f>
        <v>0</v>
      </c>
      <c r="AO45" s="117" t="n">
        <f aca="false">SUMIFS(الريسبي!$C$2:$C$1800,الريسبي!$A$2:$A$1800,$A45,الريسبي!$B$2:$B$1800,AO$1)</f>
        <v>0</v>
      </c>
      <c r="AP45" s="117" t="n">
        <f aca="false">SUMIFS(الريسبي!$C$2:$C$1800,الريسبي!$A$2:$A$1800,$A45,الريسبي!$B$2:$B$1800,AP$1)</f>
        <v>0.02</v>
      </c>
      <c r="AQ45" s="117" t="n">
        <f aca="false">SUMIFS(الريسبي!$C$2:$C$1800,الريسبي!$A$2:$A$1800,$A45,الريسبي!$B$2:$B$1800,AQ$1)+0.004166666667*SUMIFS(الريسبي!$C$2:$C$1800,الريسبي!$A$2:$A$1800,$A45,الريسبي!$B$2:$B$1800,"عجين كريب (مصنع بالمطعم)")+0.004166666667*SUMIFS(الريسبي!$C$2:$C$1800,الريسبي!$A$2:$A$1800,$A45,الريسبي!$B$2:$B$1800,"عجين كريب صيامي (بدون لبن)")</f>
        <v>0</v>
      </c>
      <c r="AR45" s="117" t="n">
        <f aca="false">SUMIFS(الريسبي!$C$2:$C$1800,الريسبي!$A$2:$A$1800,$A45,الريسبي!$B$2:$B$1800,AR$1)</f>
        <v>0</v>
      </c>
      <c r="AS45" s="117" t="n">
        <f aca="false">SUMIFS(الريسبي!$C$2:$C$1800,الريسبي!$A$2:$A$1800,$A45,الريسبي!$B$2:$B$1800,AS$1)</f>
        <v>0</v>
      </c>
      <c r="AT45" s="117" t="n">
        <f aca="false">SUMIFS(الريسبي!$C$2:$C$1800,الريسبي!$A$2:$A$1800,$A45,الريسبي!$B$2:$B$1800,AT$1)</f>
        <v>0</v>
      </c>
      <c r="AU45" s="117" t="n">
        <f aca="false">SUMIFS(الريسبي!$C$2:$C$1800,الريسبي!$A$2:$A$1800,$A45,الريسبي!$B$2:$B$1800,AU$1)</f>
        <v>0</v>
      </c>
      <c r="AV45" s="117" t="n">
        <f aca="false">SUMIFS(الريسبي!$C$2:$C$1800,الريسبي!$A$2:$A$1800,$A45,الريسبي!$B$2:$B$1800,AV$1)</f>
        <v>0</v>
      </c>
      <c r="AW45" s="117" t="n">
        <f aca="false">SUMIFS(الريسبي!$C$2:$C$1800,الريسبي!$A$2:$A$1800,$A45,الريسبي!$B$2:$B$1800,AW$1)</f>
        <v>0</v>
      </c>
      <c r="AX45" s="117" t="n">
        <f aca="false">SUMIFS(الريسبي!$C$2:$C$1800,الريسبي!$A$2:$A$1800,$A45,الريسبي!$B$2:$B$1800,AX$1)</f>
        <v>0</v>
      </c>
      <c r="AY45" s="117" t="n">
        <f aca="false">SUMIFS(الريسبي!$C$2:$C$1800,الريسبي!$A$2:$A$1800,$A45,الريسبي!$B$2:$B$1800,AY$1)</f>
        <v>0</v>
      </c>
      <c r="AZ45" s="117" t="n">
        <f aca="false">SUMIFS(الريسبي!$C$2:$C$1800,الريسبي!$A$2:$A$1800,$A45,الريسبي!$B$2:$B$1800,AZ$1)</f>
        <v>0</v>
      </c>
      <c r="BA45" s="117" t="n">
        <f aca="false">SUMIFS(الريسبي!$C$2:$C$1800,الريسبي!$A$2:$A$1800,$A45,الريسبي!$B$2:$B$1800,BA$1)</f>
        <v>0</v>
      </c>
      <c r="BB45" s="117" t="n">
        <f aca="false">SUMIFS(الريسبي!$C$2:$C$1800,الريسبي!$A$2:$A$1800,$A45,الريسبي!$B$2:$B$1800,BB$1)</f>
        <v>0</v>
      </c>
      <c r="BC45" s="117" t="n">
        <f aca="false">SUMIFS(الريسبي!$C$2:$C$1800,الريسبي!$A$2:$A$1800,$A45,الريسبي!$B$2:$B$1800,BC$1)</f>
        <v>0.03</v>
      </c>
      <c r="BD45" s="117" t="n">
        <f aca="false">SUMIFS(الريسبي!$C$2:$C$1800,الريسبي!$A$2:$A$1800,$A45,الريسبي!$B$2:$B$1800,BD$1)</f>
        <v>0</v>
      </c>
      <c r="BE45" s="117" t="n">
        <f aca="false">SUMIFS(الريسبي!$C$2:$C$1800,الريسبي!$A$2:$A$1800,$A45,الريسبي!$B$2:$B$1800,BE$1)</f>
        <v>1</v>
      </c>
      <c r="BF45" s="117" t="n">
        <f aca="false">SUMIFS(الريسبي!$C$2:$C$1800,الريسبي!$A$2:$A$1800,$A45,الريسبي!$B$2:$B$1800,BF$1)</f>
        <v>0</v>
      </c>
      <c r="BG45" s="117" t="n">
        <f aca="false">SUMIFS(الريسبي!$C$2:$C$1800,الريسبي!$A$2:$A$1800,$A45,الريسبي!$B$2:$B$1800,BG$1)</f>
        <v>0</v>
      </c>
      <c r="BH45" s="117" t="n">
        <f aca="false">SUMIFS(الريسبي!$C$2:$C$1800,الريسبي!$A$2:$A$1800,$A45,الريسبي!$B$2:$B$1800,BH$1)</f>
        <v>1</v>
      </c>
      <c r="BI45" s="117" t="n">
        <f aca="false">SUMIFS(الريسبي!$C$2:$C$1800,الريسبي!$A$2:$A$1800,$A45,الريسبي!$B$2:$B$1800,BI$1)</f>
        <v>0</v>
      </c>
      <c r="BJ45" s="117" t="n">
        <f aca="false">SUMIFS(الريسبي!$C$2:$C$1800,الريسبي!$A$2:$A$1800,$A45,الريسبي!$B$2:$B$1800,BJ$1)</f>
        <v>0</v>
      </c>
      <c r="BK45" s="117" t="n">
        <f aca="false">SUMIFS(الريسبي!$C$2:$C$1800,الريسبي!$A$2:$A$1800,$A45,الريسبي!$B$2:$B$1800,BK$1)</f>
        <v>0</v>
      </c>
      <c r="BL45" s="117" t="n">
        <f aca="false">SUMIFS(الريسبي!$C$2:$C$1800,الريسبي!$A$2:$A$1800,$A45,الريسبي!$B$2:$B$1800,BL$1)</f>
        <v>0</v>
      </c>
      <c r="BM45" s="117" t="n">
        <f aca="false">SUMIFS(الريسبي!$C$2:$C$1800,الريسبي!$A$2:$A$1800,$A45,الريسبي!$B$2:$B$1800,BM$1)</f>
        <v>0</v>
      </c>
      <c r="BN45" s="117" t="n">
        <f aca="false">SUMIFS(الريسبي!$C$2:$C$1800,الريسبي!$A$2:$A$1800,$A45,الريسبي!$B$2:$B$1800,BN$1)</f>
        <v>0.02</v>
      </c>
      <c r="BO45" s="117" t="n">
        <f aca="false">SUMIFS(الريسبي!$C$2:$C$1800,الريسبي!$A$2:$A$1800,$A45,الريسبي!$B$2:$B$1800,BO$1)</f>
        <v>0</v>
      </c>
      <c r="BP45" s="117" t="n">
        <f aca="false">SUMIFS(الريسبي!$C$2:$C$1800,الريسبي!$A$2:$A$1800,$A45,الريسبي!$B$2:$B$1800,BP$1)</f>
        <v>2</v>
      </c>
      <c r="BQ45" s="117" t="n">
        <f aca="false">SUMIFS(الريسبي!$C$2:$C$1800,الريسبي!$A$2:$A$1800,$A45,الريسبي!$B$2:$B$1800,BQ$1)+0.17*SUMIFS(الريسبي!$C$2:$C$1800,الريسبي!$A$2:$A$1800,$A45,الريسبي!$B$2:$B$1800,"كاسترد مصنع (خليط بودر + لبن)")+0.17*SUMIFS(الريسبي!$C$2:$C$1800,الريسبي!$A$2:$A$1800,$A45,الريسبي!$B$2:$B$1800,"كاسترد مصنع صيامي (بدون لبن)")</f>
        <v>0</v>
      </c>
      <c r="BR45" s="117" t="n">
        <f aca="false">SUMIFS(الريسبي!$C$2:$C$1800,الريسبي!$A$2:$A$1800,$A45,الريسبي!$B$2:$B$1800,BR$1)</f>
        <v>1</v>
      </c>
      <c r="BS45" s="117" t="n">
        <f aca="false">SUMIFS(الريسبي!$C$2:$C$1800,الريسبي!$A$2:$A$1800,$A45,الريسبي!$B$2:$B$1800,BS$1)</f>
        <v>0</v>
      </c>
      <c r="BT45" s="117" t="n">
        <f aca="false">SUMIFS(الريسبي!$C$2:$C$1800,الريسبي!$A$2:$A$1800,$A45,الريسبي!$B$2:$B$1800,BT$1)</f>
        <v>0</v>
      </c>
      <c r="BU45" s="117" t="n">
        <f aca="false">SUMIFS(الريسبي!$C$2:$C$1800,الريسبي!$A$2:$A$1800,$A45,الريسبي!$B$2:$B$1800,BU$1)+0.4*SUMIFS(الريسبي!$C$2:$C$1800,الريسبي!$A$2:$A$1800,$A45,الريسبي!$B$2:$B$1800,"كاسترد مصنع (خليط بودر + لبن)")+0.03333333333*SUMIFS(الريسبي!$C$2:$C$1800,الريسبي!$A$2:$A$1800,$A45,الريسبي!$B$2:$B$1800,"عجين كريب (مصنع بالمطعم)")</f>
        <v>0</v>
      </c>
      <c r="BV45" s="117" t="n">
        <f aca="false">SUMIFS(الريسبي!$C$2:$C$1800,الريسبي!$A$2:$A$1800,$A45,الريسبي!$B$2:$B$1800,BV$1)</f>
        <v>0</v>
      </c>
      <c r="BW45" s="117" t="n">
        <f aca="false">SUMIFS(الريسبي!$C$2:$C$1800,الريسبي!$A$2:$A$1800,$A45,الريسبي!$B$2:$B$1800,BW$1)</f>
        <v>0</v>
      </c>
      <c r="BX45" s="117" t="n">
        <f aca="false">SUMIFS(الريسبي!$C$2:$C$1800,الريسبي!$A$2:$A$1800,$A45,الريسبي!$B$2:$B$1800,BX$1)</f>
        <v>0</v>
      </c>
      <c r="BY45" s="117" t="n">
        <f aca="false">SUMIFS(الريسبي!$C$2:$C$1800,الريسبي!$A$2:$A$1800,$A45,الريسبي!$B$2:$B$1800,BY$1)</f>
        <v>0</v>
      </c>
      <c r="BZ45" s="117" t="n">
        <f aca="false">SUMIFS(الريسبي!$C$2:$C$1800,الريسبي!$A$2:$A$1800,$A45,الريسبي!$B$2:$B$1800,BZ$1)</f>
        <v>0</v>
      </c>
      <c r="CA45" s="117" t="n">
        <f aca="false">SUMIFS(الريسبي!$C$2:$C$1800,الريسبي!$A$2:$A$1800,$A45,الريسبي!$B$2:$B$1800,CA$1)</f>
        <v>1</v>
      </c>
      <c r="CB45" s="117" t="n">
        <f aca="false">SUMIFS(الريسبي!$C$2:$C$1800,الريسبي!$A$2:$A$1800,$A45,الريسبي!$B$2:$B$1800,CB$1)</f>
        <v>1</v>
      </c>
      <c r="CC45" s="117" t="n">
        <f aca="false">SUMIFS(الريسبي!$C$2:$C$1800,الريسبي!$A$2:$A$1800,$A45,الريسبي!$B$2:$B$1800,CC$1)</f>
        <v>0</v>
      </c>
      <c r="CD45" s="117" t="n">
        <f aca="false">SUMIFS(الريسبي!$C$2:$C$1800,الريسبي!$A$2:$A$1800,$A45,الريسبي!$B$2:$B$1800,CD$1)</f>
        <v>0</v>
      </c>
      <c r="CE45" s="117" t="n">
        <f aca="false">SUMIFS(الريسبي!$C$2:$C$1800,الريسبي!$A$2:$A$1800,$A45,الريسبي!$B$2:$B$1800,CE$1)</f>
        <v>0</v>
      </c>
      <c r="CF45" s="117" t="n">
        <f aca="false">SUMIFS(الريسبي!$C$2:$C$1800,الريسبي!$A$2:$A$1800,$A45,الريسبي!$B$2:$B$1800,CF$1)</f>
        <v>0</v>
      </c>
      <c r="CG45" s="117" t="n">
        <f aca="false">SUMIFS(الريسبي!$C$2:$C$1800,الريسبي!$A$2:$A$1800,$A45,الريسبي!$B$2:$B$1800,CG$1)</f>
        <v>0</v>
      </c>
      <c r="CH45" s="117" t="n">
        <f aca="false">SUMIFS(الريسبي!$C$2:$C$1800,الريسبي!$A$2:$A$1800,$A45,الريسبي!$B$2:$B$1800,CH$1)</f>
        <v>0</v>
      </c>
      <c r="CI45" s="117" t="n">
        <f aca="false">SUMIFS(الريسبي!$C$2:$C$1800,الريسبي!$A$2:$A$1800,$A45,الريسبي!$B$2:$B$1800,CI$1)</f>
        <v>0</v>
      </c>
      <c r="CJ45" s="117" t="n">
        <f aca="false">SUMIFS(الريسبي!$C$2:$C$1800,الريسبي!$A$2:$A$1800,$A45,الريسبي!$B$2:$B$1800,CJ$1)</f>
        <v>0</v>
      </c>
      <c r="CK45" s="117" t="n">
        <f aca="false">SUMIFS(الريسبي!$C$2:$C$1800,الريسبي!$A$2:$A$1800,$A45,الريسبي!$B$2:$B$1800,CK$1)</f>
        <v>0</v>
      </c>
      <c r="CL45" s="117" t="n">
        <f aca="false">SUMIFS(الريسبي!$C$2:$C$1800,الريسبي!$A$2:$A$1800,$A45,الريسبي!$B$2:$B$1800,CL$1)</f>
        <v>0</v>
      </c>
    </row>
    <row r="46" customFormat="false" ht="15" hidden="false" customHeight="false" outlineLevel="0" collapsed="false">
      <c r="A46" s="116" t="str">
        <f aca="false">المنيو!B46</f>
        <v>فطيرة جمبري حجم اكبر</v>
      </c>
      <c r="B46" s="117" t="n">
        <f aca="false">SUMIFS(الريسبي!$C$2:$C$1800,الريسبي!$A$2:$A$1800,$A46,الريسبي!$B$2:$B$1800,B$1)</f>
        <v>0</v>
      </c>
      <c r="C46" s="117" t="n">
        <f aca="false">SUMIFS(الريسبي!$C$2:$C$1800,الريسبي!$A$2:$A$1800,$A46,الريسبي!$B$2:$B$1800,C$1)</f>
        <v>0</v>
      </c>
      <c r="D46" s="117" t="n">
        <f aca="false">SUMIFS(الريسبي!$C$2:$C$1800,الريسبي!$A$2:$A$1800,$A46,الريسبي!$B$2:$B$1800,D$1)</f>
        <v>1</v>
      </c>
      <c r="E46" s="117" t="n">
        <f aca="false">SUMIFS(الريسبي!$C$2:$C$1800,الريسبي!$A$2:$A$1800,$A46,الريسبي!$B$2:$B$1800,E$1)</f>
        <v>0</v>
      </c>
      <c r="F46" s="117" t="n">
        <f aca="false">SUMIFS(الريسبي!$C$2:$C$1800,الريسبي!$A$2:$A$1800,$A46,الريسبي!$B$2:$B$1800,F$1)</f>
        <v>0</v>
      </c>
      <c r="G46" s="117" t="n">
        <f aca="false">SUMIFS(الريسبي!$C$2:$C$1800,الريسبي!$A$2:$A$1800,$A46,الريسبي!$B$2:$B$1800,G$1)</f>
        <v>0</v>
      </c>
      <c r="H46" s="117" t="n">
        <f aca="false">SUMIFS(الريسبي!$C$2:$C$1800,الريسبي!$A$2:$A$1800,$A46,الريسبي!$B$2:$B$1800,H$1)</f>
        <v>0</v>
      </c>
      <c r="I46" s="117" t="n">
        <f aca="false">SUMIFS(الريسبي!$C$2:$C$1800,الريسبي!$A$2:$A$1800,$A46,الريسبي!$B$2:$B$1800,I$1)</f>
        <v>0</v>
      </c>
      <c r="J46" s="117" t="n">
        <f aca="false">SUMIFS(الريسبي!$C$2:$C$1800,الريسبي!$A$2:$A$1800,$A46,الريسبي!$B$2:$B$1800,J$1)</f>
        <v>0</v>
      </c>
      <c r="K46" s="117" t="n">
        <f aca="false">SUMIFS(الريسبي!$C$2:$C$1800,الريسبي!$A$2:$A$1800,$A46,الريسبي!$B$2:$B$1800,K$1)</f>
        <v>1.5</v>
      </c>
      <c r="L46" s="117" t="n">
        <f aca="false">SUMIFS(الريسبي!$C$2:$C$1800,الريسبي!$A$2:$A$1800,$A46,الريسبي!$B$2:$B$1800,L$1)</f>
        <v>0</v>
      </c>
      <c r="M46" s="117" t="n">
        <f aca="false">SUMIFS(الريسبي!$C$2:$C$1800,الريسبي!$A$2:$A$1800,$A46,الريسبي!$B$2:$B$1800,M$1)</f>
        <v>0</v>
      </c>
      <c r="N46" s="117" t="n">
        <f aca="false">SUMIFS(الريسبي!$C$2:$C$1800,الريسبي!$A$2:$A$1800,$A46,الريسبي!$B$2:$B$1800,N$1)</f>
        <v>0</v>
      </c>
      <c r="O46" s="117" t="n">
        <f aca="false">SUMIFS(الريسبي!$C$2:$C$1800,الريسبي!$A$2:$A$1800,$A46,الريسبي!$B$2:$B$1800,O$1)</f>
        <v>0</v>
      </c>
      <c r="P46" s="117" t="n">
        <f aca="false">SUMIFS(الريسبي!$C$2:$C$1800,الريسبي!$A$2:$A$1800,$A46,الريسبي!$B$2:$B$1800,P$1)</f>
        <v>0</v>
      </c>
      <c r="Q46" s="117" t="n">
        <f aca="false">SUMIFS(الريسبي!$C$2:$C$1800,الريسبي!$A$2:$A$1800,$A46,الريسبي!$B$2:$B$1800,Q$1)</f>
        <v>0</v>
      </c>
      <c r="R46" s="117" t="n">
        <f aca="false">SUMIFS(الريسبي!$C$2:$C$1800,الريسبي!$A$2:$A$1800,$A46,الريسبي!$B$2:$B$1800,R$1)</f>
        <v>0</v>
      </c>
      <c r="S46" s="117" t="n">
        <f aca="false">SUMIFS(الريسبي!$C$2:$C$1800,الريسبي!$A$2:$A$1800,$A46,الريسبي!$B$2:$B$1800,S$1)</f>
        <v>0</v>
      </c>
      <c r="T46" s="117" t="n">
        <f aca="false">SUMIFS(الريسبي!$C$2:$C$1800,الريسبي!$A$2:$A$1800,$A46,الريسبي!$B$2:$B$1800,T$1)</f>
        <v>0</v>
      </c>
      <c r="U46" s="117" t="n">
        <f aca="false">SUMIFS(الريسبي!$C$2:$C$1800,الريسبي!$A$2:$A$1800,$A46,الريسبي!$B$2:$B$1800,U$1)</f>
        <v>0</v>
      </c>
      <c r="V46" s="117" t="n">
        <f aca="false">SUMIFS(الريسبي!$C$2:$C$1800,الريسبي!$A$2:$A$1800,$A46,الريسبي!$B$2:$B$1800,V$1)+1.5*(SUMIFS(الريسبي!$C$2:$C$1800,الريسبي!$A$2:$A$1800,$A46,الريسبي!$B$2:$B$1800,"برسيون موتزريلا بيتزا كبير"))</f>
        <v>0</v>
      </c>
      <c r="W46" s="117" t="n">
        <f aca="false">0</f>
        <v>0</v>
      </c>
      <c r="X46" s="117" t="n">
        <f aca="false">SUMIFS(الريسبي!$C$2:$C$1800,الريسبي!$A$2:$A$1800,$A46,الريسبي!$B$2:$B$1800,X$1)+1.5*(SUMIFS(الريسبي!$C$2:$C$1800,الريسبي!$A$2:$A$1800,$A46,الريسبي!$B$2:$B$1800,"برسيون موتزريلا فطير كبير"))</f>
        <v>1.5</v>
      </c>
      <c r="Y46" s="117" t="n">
        <f aca="false">0</f>
        <v>0</v>
      </c>
      <c r="Z46" s="117" t="n">
        <f aca="false">SUMIFS(الريسبي!$C$2:$C$1800,الريسبي!$A$2:$A$1800,$A46,الريسبي!$B$2:$B$1800,Z$1)</f>
        <v>0</v>
      </c>
      <c r="AA46" s="117" t="n">
        <f aca="false">SUMIFS(الريسبي!$C$2:$C$1800,الريسبي!$A$2:$A$1800,$A46,الريسبي!$B$2:$B$1800,AA$1)</f>
        <v>0</v>
      </c>
      <c r="AB46" s="117" t="n">
        <f aca="false">SUMIFS(الريسبي!$C$2:$C$1800,الريسبي!$A$2:$A$1800,$A46,الريسبي!$B$2:$B$1800,AB$1)</f>
        <v>0</v>
      </c>
      <c r="AC46" s="117" t="n">
        <f aca="false">SUMIFS(الريسبي!$C$2:$C$1800,الريسبي!$A$2:$A$1800,$A46,الريسبي!$B$2:$B$1800,AC$1)</f>
        <v>0</v>
      </c>
      <c r="AD46" s="117" t="n">
        <f aca="false">SUMIFS(الريسبي!$C$2:$C$1800,الريسبي!$A$2:$A$1800,$A46,الريسبي!$B$2:$B$1800,AD$1)</f>
        <v>0</v>
      </c>
      <c r="AE46" s="117" t="n">
        <f aca="false">SUMIFS(الريسبي!$C$2:$C$1800,الريسبي!$A$2:$A$1800,$A46,الريسبي!$B$2:$B$1800,AE$1)</f>
        <v>0</v>
      </c>
      <c r="AF46" s="117" t="n">
        <f aca="false">SUMIFS(الريسبي!$C$2:$C$1800,الريسبي!$A$2:$A$1800,$A46,الريسبي!$B$2:$B$1800,AF$1)</f>
        <v>0</v>
      </c>
      <c r="AG46" s="117" t="n">
        <f aca="false">SUMIFS(الريسبي!$C$2:$C$1800,الريسبي!$A$2:$A$1800,$A46,الريسبي!$B$2:$B$1800,AG$1)</f>
        <v>0</v>
      </c>
      <c r="AH46" s="117" t="n">
        <f aca="false">SUMIFS(الريسبي!$C$2:$C$1800,الريسبي!$A$2:$A$1800,$A46,الريسبي!$B$2:$B$1800,AH$1)</f>
        <v>0</v>
      </c>
      <c r="AI46" s="117" t="n">
        <f aca="false">SUMIFS(الريسبي!$C$2:$C$1800,الريسبي!$A$2:$A$1800,$A46,الريسبي!$B$2:$B$1800,AI$1)</f>
        <v>0</v>
      </c>
      <c r="AJ46" s="117" t="n">
        <f aca="false">SUMIFS(الريسبي!$C$2:$C$1800,الريسبي!$A$2:$A$1800,$A46,الريسبي!$B$2:$B$1800,AJ$1)</f>
        <v>2</v>
      </c>
      <c r="AK46" s="117" t="n">
        <f aca="false">SUMIFS(الريسبي!$C$2:$C$1800,الريسبي!$A$2:$A$1800,$A46,الريسبي!$B$2:$B$1800,AK$1)</f>
        <v>0</v>
      </c>
      <c r="AL46" s="117" t="n">
        <f aca="false">SUMIFS(الريسبي!$C$2:$C$1800,الريسبي!$A$2:$A$1800,$A46,الريسبي!$B$2:$B$1800,AL$1)</f>
        <v>0</v>
      </c>
      <c r="AM46" s="117" t="n">
        <f aca="false">SUMIFS(الريسبي!$C$2:$C$1800,الريسبي!$A$2:$A$1800,$A46,الريسبي!$B$2:$B$1800,AM$1)+0.08333333333*SUMIFS(الريسبي!$C$2:$C$1800,الريسبي!$A$2:$A$1800,$A46,الريسبي!$B$2:$B$1800,"عجين كريب (مصنع بالمطعم)")+0.08333333333*SUMIFS(الريسبي!$C$2:$C$1800,الريسبي!$A$2:$A$1800,$A46,الريسبي!$B$2:$B$1800,"عجين كريب صيامي (بدون لبن)")</f>
        <v>0</v>
      </c>
      <c r="AN46" s="117" t="n">
        <f aca="false">SUMIFS(الريسبي!$C$2:$C$1800,الريسبي!$A$2:$A$1800,$A46,الريسبي!$B$2:$B$1800,AN$1)+0.004166666667*SUMIFS(الريسبي!$C$2:$C$1800,الريسبي!$A$2:$A$1800,$A46,الريسبي!$B$2:$B$1800,"عجين كريب (مصنع بالمطعم)")+0.004166666667*SUMIFS(الريسبي!$C$2:$C$1800,الريسبي!$A$2:$A$1800,$A46,الريسبي!$B$2:$B$1800,"عجين كريب صيامي (بدون لبن)")</f>
        <v>0</v>
      </c>
      <c r="AO46" s="117" t="n">
        <f aca="false">SUMIFS(الريسبي!$C$2:$C$1800,الريسبي!$A$2:$A$1800,$A46,الريسبي!$B$2:$B$1800,AO$1)</f>
        <v>0</v>
      </c>
      <c r="AP46" s="117" t="n">
        <f aca="false">SUMIFS(الريسبي!$C$2:$C$1800,الريسبي!$A$2:$A$1800,$A46,الريسبي!$B$2:$B$1800,AP$1)</f>
        <v>0.03</v>
      </c>
      <c r="AQ46" s="117" t="n">
        <f aca="false">SUMIFS(الريسبي!$C$2:$C$1800,الريسبي!$A$2:$A$1800,$A46,الريسبي!$B$2:$B$1800,AQ$1)+0.004166666667*SUMIFS(الريسبي!$C$2:$C$1800,الريسبي!$A$2:$A$1800,$A46,الريسبي!$B$2:$B$1800,"عجين كريب (مصنع بالمطعم)")+0.004166666667*SUMIFS(الريسبي!$C$2:$C$1800,الريسبي!$A$2:$A$1800,$A46,الريسبي!$B$2:$B$1800,"عجين كريب صيامي (بدون لبن)")</f>
        <v>0</v>
      </c>
      <c r="AR46" s="117" t="n">
        <f aca="false">SUMIFS(الريسبي!$C$2:$C$1800,الريسبي!$A$2:$A$1800,$A46,الريسبي!$B$2:$B$1800,AR$1)</f>
        <v>0</v>
      </c>
      <c r="AS46" s="117" t="n">
        <f aca="false">SUMIFS(الريسبي!$C$2:$C$1800,الريسبي!$A$2:$A$1800,$A46,الريسبي!$B$2:$B$1800,AS$1)</f>
        <v>0</v>
      </c>
      <c r="AT46" s="117" t="n">
        <f aca="false">SUMIFS(الريسبي!$C$2:$C$1800,الريسبي!$A$2:$A$1800,$A46,الريسبي!$B$2:$B$1800,AT$1)</f>
        <v>0</v>
      </c>
      <c r="AU46" s="117" t="n">
        <f aca="false">SUMIFS(الريسبي!$C$2:$C$1800,الريسبي!$A$2:$A$1800,$A46,الريسبي!$B$2:$B$1800,AU$1)</f>
        <v>0</v>
      </c>
      <c r="AV46" s="117" t="n">
        <f aca="false">SUMIFS(الريسبي!$C$2:$C$1800,الريسبي!$A$2:$A$1800,$A46,الريسبي!$B$2:$B$1800,AV$1)</f>
        <v>0</v>
      </c>
      <c r="AW46" s="117" t="n">
        <f aca="false">SUMIFS(الريسبي!$C$2:$C$1800,الريسبي!$A$2:$A$1800,$A46,الريسبي!$B$2:$B$1800,AW$1)</f>
        <v>0</v>
      </c>
      <c r="AX46" s="117" t="n">
        <f aca="false">SUMIFS(الريسبي!$C$2:$C$1800,الريسبي!$A$2:$A$1800,$A46,الريسبي!$B$2:$B$1800,AX$1)</f>
        <v>0</v>
      </c>
      <c r="AY46" s="117" t="n">
        <f aca="false">SUMIFS(الريسبي!$C$2:$C$1800,الريسبي!$A$2:$A$1800,$A46,الريسبي!$B$2:$B$1800,AY$1)</f>
        <v>0</v>
      </c>
      <c r="AZ46" s="117" t="n">
        <f aca="false">SUMIFS(الريسبي!$C$2:$C$1800,الريسبي!$A$2:$A$1800,$A46,الريسبي!$B$2:$B$1800,AZ$1)</f>
        <v>0</v>
      </c>
      <c r="BA46" s="117" t="n">
        <f aca="false">SUMIFS(الريسبي!$C$2:$C$1800,الريسبي!$A$2:$A$1800,$A46,الريسبي!$B$2:$B$1800,BA$1)</f>
        <v>0</v>
      </c>
      <c r="BB46" s="117" t="n">
        <f aca="false">SUMIFS(الريسبي!$C$2:$C$1800,الريسبي!$A$2:$A$1800,$A46,الريسبي!$B$2:$B$1800,BB$1)</f>
        <v>0</v>
      </c>
      <c r="BC46" s="117" t="n">
        <f aca="false">SUMIFS(الريسبي!$C$2:$C$1800,الريسبي!$A$2:$A$1800,$A46,الريسبي!$B$2:$B$1800,BC$1)</f>
        <v>0.045</v>
      </c>
      <c r="BD46" s="117" t="n">
        <f aca="false">SUMIFS(الريسبي!$C$2:$C$1800,الريسبي!$A$2:$A$1800,$A46,الريسبي!$B$2:$B$1800,BD$1)</f>
        <v>0</v>
      </c>
      <c r="BE46" s="117" t="n">
        <f aca="false">SUMIFS(الريسبي!$C$2:$C$1800,الريسبي!$A$2:$A$1800,$A46,الريسبي!$B$2:$B$1800,BE$1)</f>
        <v>1.5</v>
      </c>
      <c r="BF46" s="117" t="n">
        <f aca="false">SUMIFS(الريسبي!$C$2:$C$1800,الريسبي!$A$2:$A$1800,$A46,الريسبي!$B$2:$B$1800,BF$1)</f>
        <v>0</v>
      </c>
      <c r="BG46" s="117" t="n">
        <f aca="false">SUMIFS(الريسبي!$C$2:$C$1800,الريسبي!$A$2:$A$1800,$A46,الريسبي!$B$2:$B$1800,BG$1)</f>
        <v>1</v>
      </c>
      <c r="BH46" s="117" t="n">
        <f aca="false">SUMIFS(الريسبي!$C$2:$C$1800,الريسبي!$A$2:$A$1800,$A46,الريسبي!$B$2:$B$1800,BH$1)</f>
        <v>0</v>
      </c>
      <c r="BI46" s="117" t="n">
        <f aca="false">SUMIFS(الريسبي!$C$2:$C$1800,الريسبي!$A$2:$A$1800,$A46,الريسبي!$B$2:$B$1800,BI$1)</f>
        <v>0</v>
      </c>
      <c r="BJ46" s="117" t="n">
        <f aca="false">SUMIFS(الريسبي!$C$2:$C$1800,الريسبي!$A$2:$A$1800,$A46,الريسبي!$B$2:$B$1800,BJ$1)</f>
        <v>0</v>
      </c>
      <c r="BK46" s="117" t="n">
        <f aca="false">SUMIFS(الريسبي!$C$2:$C$1800,الريسبي!$A$2:$A$1800,$A46,الريسبي!$B$2:$B$1800,BK$1)</f>
        <v>0</v>
      </c>
      <c r="BL46" s="117" t="n">
        <f aca="false">SUMIFS(الريسبي!$C$2:$C$1800,الريسبي!$A$2:$A$1800,$A46,الريسبي!$B$2:$B$1800,BL$1)</f>
        <v>0</v>
      </c>
      <c r="BM46" s="117" t="n">
        <f aca="false">SUMIFS(الريسبي!$C$2:$C$1800,الريسبي!$A$2:$A$1800,$A46,الريسبي!$B$2:$B$1800,BM$1)</f>
        <v>0</v>
      </c>
      <c r="BN46" s="117" t="n">
        <f aca="false">SUMIFS(الريسبي!$C$2:$C$1800,الريسبي!$A$2:$A$1800,$A46,الريسبي!$B$2:$B$1800,BN$1)</f>
        <v>0.03</v>
      </c>
      <c r="BO46" s="117" t="n">
        <f aca="false">SUMIFS(الريسبي!$C$2:$C$1800,الريسبي!$A$2:$A$1800,$A46,الريسبي!$B$2:$B$1800,BO$1)</f>
        <v>0</v>
      </c>
      <c r="BP46" s="117" t="n">
        <f aca="false">SUMIFS(الريسبي!$C$2:$C$1800,الريسبي!$A$2:$A$1800,$A46,الريسبي!$B$2:$B$1800,BP$1)</f>
        <v>3</v>
      </c>
      <c r="BQ46" s="117" t="n">
        <f aca="false">SUMIFS(الريسبي!$C$2:$C$1800,الريسبي!$A$2:$A$1800,$A46,الريسبي!$B$2:$B$1800,BQ$1)+0.17*SUMIFS(الريسبي!$C$2:$C$1800,الريسبي!$A$2:$A$1800,$A46,الريسبي!$B$2:$B$1800,"كاسترد مصنع (خليط بودر + لبن)")+0.17*SUMIFS(الريسبي!$C$2:$C$1800,الريسبي!$A$2:$A$1800,$A46,الريسبي!$B$2:$B$1800,"كاسترد مصنع صيامي (بدون لبن)")</f>
        <v>0</v>
      </c>
      <c r="BR46" s="117" t="n">
        <f aca="false">SUMIFS(الريسبي!$C$2:$C$1800,الريسبي!$A$2:$A$1800,$A46,الريسبي!$B$2:$B$1800,BR$1)</f>
        <v>1</v>
      </c>
      <c r="BS46" s="117" t="n">
        <f aca="false">SUMIFS(الريسبي!$C$2:$C$1800,الريسبي!$A$2:$A$1800,$A46,الريسبي!$B$2:$B$1800,BS$1)</f>
        <v>0</v>
      </c>
      <c r="BT46" s="117" t="n">
        <f aca="false">SUMIFS(الريسبي!$C$2:$C$1800,الريسبي!$A$2:$A$1800,$A46,الريسبي!$B$2:$B$1800,BT$1)</f>
        <v>0</v>
      </c>
      <c r="BU46" s="117" t="n">
        <f aca="false">SUMIFS(الريسبي!$C$2:$C$1800,الريسبي!$A$2:$A$1800,$A46,الريسبي!$B$2:$B$1800,BU$1)+0.4*SUMIFS(الريسبي!$C$2:$C$1800,الريسبي!$A$2:$A$1800,$A46,الريسبي!$B$2:$B$1800,"كاسترد مصنع (خليط بودر + لبن)")+0.03333333333*SUMIFS(الريسبي!$C$2:$C$1800,الريسبي!$A$2:$A$1800,$A46,الريسبي!$B$2:$B$1800,"عجين كريب (مصنع بالمطعم)")</f>
        <v>0</v>
      </c>
      <c r="BV46" s="117" t="n">
        <f aca="false">SUMIFS(الريسبي!$C$2:$C$1800,الريسبي!$A$2:$A$1800,$A46,الريسبي!$B$2:$B$1800,BV$1)</f>
        <v>0</v>
      </c>
      <c r="BW46" s="117" t="n">
        <f aca="false">SUMIFS(الريسبي!$C$2:$C$1800,الريسبي!$A$2:$A$1800,$A46,الريسبي!$B$2:$B$1800,BW$1)</f>
        <v>0</v>
      </c>
      <c r="BX46" s="117" t="n">
        <f aca="false">SUMIFS(الريسبي!$C$2:$C$1800,الريسبي!$A$2:$A$1800,$A46,الريسبي!$B$2:$B$1800,BX$1)</f>
        <v>0</v>
      </c>
      <c r="BY46" s="117" t="n">
        <f aca="false">SUMIFS(الريسبي!$C$2:$C$1800,الريسبي!$A$2:$A$1800,$A46,الريسبي!$B$2:$B$1800,BY$1)</f>
        <v>0</v>
      </c>
      <c r="BZ46" s="117" t="n">
        <f aca="false">SUMIFS(الريسبي!$C$2:$C$1800,الريسبي!$A$2:$A$1800,$A46,الريسبي!$B$2:$B$1800,BZ$1)</f>
        <v>0</v>
      </c>
      <c r="CA46" s="117" t="n">
        <f aca="false">SUMIFS(الريسبي!$C$2:$C$1800,الريسبي!$A$2:$A$1800,$A46,الريسبي!$B$2:$B$1800,CA$1)</f>
        <v>1</v>
      </c>
      <c r="CB46" s="117" t="n">
        <f aca="false">SUMIFS(الريسبي!$C$2:$C$1800,الريسبي!$A$2:$A$1800,$A46,الريسبي!$B$2:$B$1800,CB$1)</f>
        <v>1</v>
      </c>
      <c r="CC46" s="117" t="n">
        <f aca="false">SUMIFS(الريسبي!$C$2:$C$1800,الريسبي!$A$2:$A$1800,$A46,الريسبي!$B$2:$B$1800,CC$1)</f>
        <v>0</v>
      </c>
      <c r="CD46" s="117" t="n">
        <f aca="false">SUMIFS(الريسبي!$C$2:$C$1800,الريسبي!$A$2:$A$1800,$A46,الريسبي!$B$2:$B$1800,CD$1)</f>
        <v>0</v>
      </c>
      <c r="CE46" s="117" t="n">
        <f aca="false">SUMIFS(الريسبي!$C$2:$C$1800,الريسبي!$A$2:$A$1800,$A46,الريسبي!$B$2:$B$1800,CE$1)</f>
        <v>0</v>
      </c>
      <c r="CF46" s="117" t="n">
        <f aca="false">SUMIFS(الريسبي!$C$2:$C$1800,الريسبي!$A$2:$A$1800,$A46,الريسبي!$B$2:$B$1800,CF$1)</f>
        <v>0</v>
      </c>
      <c r="CG46" s="117" t="n">
        <f aca="false">SUMIFS(الريسبي!$C$2:$C$1800,الريسبي!$A$2:$A$1800,$A46,الريسبي!$B$2:$B$1800,CG$1)</f>
        <v>0</v>
      </c>
      <c r="CH46" s="117" t="n">
        <f aca="false">SUMIFS(الريسبي!$C$2:$C$1800,الريسبي!$A$2:$A$1800,$A46,الريسبي!$B$2:$B$1800,CH$1)</f>
        <v>0</v>
      </c>
      <c r="CI46" s="117" t="n">
        <f aca="false">SUMIFS(الريسبي!$C$2:$C$1800,الريسبي!$A$2:$A$1800,$A46,الريسبي!$B$2:$B$1800,CI$1)</f>
        <v>0</v>
      </c>
      <c r="CJ46" s="117" t="n">
        <f aca="false">SUMIFS(الريسبي!$C$2:$C$1800,الريسبي!$A$2:$A$1800,$A46,الريسبي!$B$2:$B$1800,CJ$1)</f>
        <v>0</v>
      </c>
      <c r="CK46" s="117" t="n">
        <f aca="false">SUMIFS(الريسبي!$C$2:$C$1800,الريسبي!$A$2:$A$1800,$A46,الريسبي!$B$2:$B$1800,CK$1)</f>
        <v>0</v>
      </c>
      <c r="CL46" s="117" t="n">
        <f aca="false">SUMIFS(الريسبي!$C$2:$C$1800,الريسبي!$A$2:$A$1800,$A46,الريسبي!$B$2:$B$1800,CL$1)</f>
        <v>0</v>
      </c>
    </row>
    <row r="47" customFormat="false" ht="15" hidden="false" customHeight="false" outlineLevel="0" collapsed="false">
      <c r="A47" s="116" t="str">
        <f aca="false">المنيو!B47</f>
        <v>فطيرة سكر / كاستر</v>
      </c>
      <c r="B47" s="117" t="n">
        <f aca="false">SUMIFS(الريسبي!$C$2:$C$1800,الريسبي!$A$2:$A$1800,$A47,الريسبي!$B$2:$B$1800,B$1)</f>
        <v>0</v>
      </c>
      <c r="C47" s="117" t="n">
        <f aca="false">SUMIFS(الريسبي!$C$2:$C$1800,الريسبي!$A$2:$A$1800,$A47,الريسبي!$B$2:$B$1800,C$1)</f>
        <v>1</v>
      </c>
      <c r="D47" s="117" t="n">
        <f aca="false">SUMIFS(الريسبي!$C$2:$C$1800,الريسبي!$A$2:$A$1800,$A47,الريسبي!$B$2:$B$1800,D$1)</f>
        <v>0</v>
      </c>
      <c r="E47" s="117" t="n">
        <f aca="false">SUMIFS(الريسبي!$C$2:$C$1800,الريسبي!$A$2:$A$1800,$A47,الريسبي!$B$2:$B$1800,E$1)</f>
        <v>1</v>
      </c>
      <c r="F47" s="117" t="n">
        <f aca="false">SUMIFS(الريسبي!$C$2:$C$1800,الريسبي!$A$2:$A$1800,$A47,الريسبي!$B$2:$B$1800,F$1)</f>
        <v>0</v>
      </c>
      <c r="G47" s="117" t="n">
        <f aca="false">SUMIFS(الريسبي!$C$2:$C$1800,الريسبي!$A$2:$A$1800,$A47,الريسبي!$B$2:$B$1800,G$1)</f>
        <v>0</v>
      </c>
      <c r="H47" s="117" t="n">
        <f aca="false">SUMIFS(الريسبي!$C$2:$C$1800,الريسبي!$A$2:$A$1800,$A47,الريسبي!$B$2:$B$1800,H$1)</f>
        <v>0</v>
      </c>
      <c r="I47" s="117" t="n">
        <f aca="false">SUMIFS(الريسبي!$C$2:$C$1800,الريسبي!$A$2:$A$1800,$A47,الريسبي!$B$2:$B$1800,I$1)</f>
        <v>0</v>
      </c>
      <c r="J47" s="117" t="n">
        <f aca="false">SUMIFS(الريسبي!$C$2:$C$1800,الريسبي!$A$2:$A$1800,$A47,الريسبي!$B$2:$B$1800,J$1)</f>
        <v>0</v>
      </c>
      <c r="K47" s="117" t="n">
        <f aca="false">SUMIFS(الريسبي!$C$2:$C$1800,الريسبي!$A$2:$A$1800,$A47,الريسبي!$B$2:$B$1800,K$1)</f>
        <v>0</v>
      </c>
      <c r="L47" s="117" t="n">
        <f aca="false">SUMIFS(الريسبي!$C$2:$C$1800,الريسبي!$A$2:$A$1800,$A47,الريسبي!$B$2:$B$1800,L$1)</f>
        <v>0</v>
      </c>
      <c r="M47" s="117" t="n">
        <f aca="false">SUMIFS(الريسبي!$C$2:$C$1800,الريسبي!$A$2:$A$1800,$A47,الريسبي!$B$2:$B$1800,M$1)</f>
        <v>0</v>
      </c>
      <c r="N47" s="117" t="n">
        <f aca="false">SUMIFS(الريسبي!$C$2:$C$1800,الريسبي!$A$2:$A$1800,$A47,الريسبي!$B$2:$B$1800,N$1)</f>
        <v>0</v>
      </c>
      <c r="O47" s="117" t="n">
        <f aca="false">SUMIFS(الريسبي!$C$2:$C$1800,الريسبي!$A$2:$A$1800,$A47,الريسبي!$B$2:$B$1800,O$1)</f>
        <v>0</v>
      </c>
      <c r="P47" s="117" t="n">
        <f aca="false">SUMIFS(الريسبي!$C$2:$C$1800,الريسبي!$A$2:$A$1800,$A47,الريسبي!$B$2:$B$1800,P$1)</f>
        <v>0</v>
      </c>
      <c r="Q47" s="117" t="n">
        <f aca="false">SUMIFS(الريسبي!$C$2:$C$1800,الريسبي!$A$2:$A$1800,$A47,الريسبي!$B$2:$B$1800,Q$1)</f>
        <v>0</v>
      </c>
      <c r="R47" s="117" t="n">
        <f aca="false">SUMIFS(الريسبي!$C$2:$C$1800,الريسبي!$A$2:$A$1800,$A47,الريسبي!$B$2:$B$1800,R$1)</f>
        <v>0</v>
      </c>
      <c r="S47" s="117" t="n">
        <f aca="false">SUMIFS(الريسبي!$C$2:$C$1800,الريسبي!$A$2:$A$1800,$A47,الريسبي!$B$2:$B$1800,S$1)</f>
        <v>0</v>
      </c>
      <c r="T47" s="117" t="n">
        <f aca="false">SUMIFS(الريسبي!$C$2:$C$1800,الريسبي!$A$2:$A$1800,$A47,الريسبي!$B$2:$B$1800,T$1)</f>
        <v>0</v>
      </c>
      <c r="U47" s="117" t="n">
        <f aca="false">SUMIFS(الريسبي!$C$2:$C$1800,الريسبي!$A$2:$A$1800,$A47,الريسبي!$B$2:$B$1800,U$1)</f>
        <v>0</v>
      </c>
      <c r="V47" s="117" t="n">
        <f aca="false">SUMIFS(الريسبي!$C$2:$C$1800,الريسبي!$A$2:$A$1800,$A47,الريسبي!$B$2:$B$1800,V$1)+1.5*(SUMIFS(الريسبي!$C$2:$C$1800,الريسبي!$A$2:$A$1800,$A47,الريسبي!$B$2:$B$1800,"برسيون موتزريلا بيتزا كبير"))</f>
        <v>0</v>
      </c>
      <c r="W47" s="117" t="n">
        <f aca="false">0</f>
        <v>0</v>
      </c>
      <c r="X47" s="117" t="n">
        <f aca="false">SUMIFS(الريسبي!$C$2:$C$1800,الريسبي!$A$2:$A$1800,$A47,الريسبي!$B$2:$B$1800,X$1)+1.5*(SUMIFS(الريسبي!$C$2:$C$1800,الريسبي!$A$2:$A$1800,$A47,الريسبي!$B$2:$B$1800,"برسيون موتزريلا فطير كبير"))</f>
        <v>0</v>
      </c>
      <c r="Y47" s="117" t="n">
        <f aca="false">0</f>
        <v>0</v>
      </c>
      <c r="Z47" s="117" t="n">
        <f aca="false">SUMIFS(الريسبي!$C$2:$C$1800,الريسبي!$A$2:$A$1800,$A47,الريسبي!$B$2:$B$1800,Z$1)</f>
        <v>0</v>
      </c>
      <c r="AA47" s="117" t="n">
        <f aca="false">SUMIFS(الريسبي!$C$2:$C$1800,الريسبي!$A$2:$A$1800,$A47,الريسبي!$B$2:$B$1800,AA$1)</f>
        <v>0</v>
      </c>
      <c r="AB47" s="117" t="n">
        <f aca="false">SUMIFS(الريسبي!$C$2:$C$1800,الريسبي!$A$2:$A$1800,$A47,الريسبي!$B$2:$B$1800,AB$1)</f>
        <v>0</v>
      </c>
      <c r="AC47" s="117" t="n">
        <f aca="false">SUMIFS(الريسبي!$C$2:$C$1800,الريسبي!$A$2:$A$1800,$A47,الريسبي!$B$2:$B$1800,AC$1)</f>
        <v>0</v>
      </c>
      <c r="AD47" s="117" t="n">
        <f aca="false">SUMIFS(الريسبي!$C$2:$C$1800,الريسبي!$A$2:$A$1800,$A47,الريسبي!$B$2:$B$1800,AD$1)</f>
        <v>0</v>
      </c>
      <c r="AE47" s="117" t="n">
        <f aca="false">SUMIFS(الريسبي!$C$2:$C$1800,الريسبي!$A$2:$A$1800,$A47,الريسبي!$B$2:$B$1800,AE$1)</f>
        <v>0</v>
      </c>
      <c r="AF47" s="117" t="n">
        <f aca="false">SUMIFS(الريسبي!$C$2:$C$1800,الريسبي!$A$2:$A$1800,$A47,الريسبي!$B$2:$B$1800,AF$1)</f>
        <v>1</v>
      </c>
      <c r="AG47" s="117" t="n">
        <f aca="false">SUMIFS(الريسبي!$C$2:$C$1800,الريسبي!$A$2:$A$1800,$A47,الريسبي!$B$2:$B$1800,AG$1)</f>
        <v>0</v>
      </c>
      <c r="AH47" s="117" t="n">
        <f aca="false">SUMIFS(الريسبي!$C$2:$C$1800,الريسبي!$A$2:$A$1800,$A47,الريسبي!$B$2:$B$1800,AH$1)</f>
        <v>0</v>
      </c>
      <c r="AI47" s="117" t="n">
        <f aca="false">SUMIFS(الريسبي!$C$2:$C$1800,الريسبي!$A$2:$A$1800,$A47,الريسبي!$B$2:$B$1800,AI$1)</f>
        <v>0</v>
      </c>
      <c r="AJ47" s="117" t="n">
        <f aca="false">SUMIFS(الريسبي!$C$2:$C$1800,الريسبي!$A$2:$A$1800,$A47,الريسبي!$B$2:$B$1800,AJ$1)</f>
        <v>2</v>
      </c>
      <c r="AK47" s="117" t="n">
        <f aca="false">SUMIFS(الريسبي!$C$2:$C$1800,الريسبي!$A$2:$A$1800,$A47,الريسبي!$B$2:$B$1800,AK$1)</f>
        <v>0</v>
      </c>
      <c r="AL47" s="117" t="n">
        <f aca="false">SUMIFS(الريسبي!$C$2:$C$1800,الريسبي!$A$2:$A$1800,$A47,الريسبي!$B$2:$B$1800,AL$1)</f>
        <v>0</v>
      </c>
      <c r="AM47" s="117" t="n">
        <f aca="false">SUMIFS(الريسبي!$C$2:$C$1800,الريسبي!$A$2:$A$1800,$A47,الريسبي!$B$2:$B$1800,AM$1)+0.08333333333*SUMIFS(الريسبي!$C$2:$C$1800,الريسبي!$A$2:$A$1800,$A47,الريسبي!$B$2:$B$1800,"عجين كريب (مصنع بالمطعم)")+0.08333333333*SUMIFS(الريسبي!$C$2:$C$1800,الريسبي!$A$2:$A$1800,$A47,الريسبي!$B$2:$B$1800,"عجين كريب صيامي (بدون لبن)")</f>
        <v>0</v>
      </c>
      <c r="AN47" s="117" t="n">
        <f aca="false">SUMIFS(الريسبي!$C$2:$C$1800,الريسبي!$A$2:$A$1800,$A47,الريسبي!$B$2:$B$1800,AN$1)+0.004166666667*SUMIFS(الريسبي!$C$2:$C$1800,الريسبي!$A$2:$A$1800,$A47,الريسبي!$B$2:$B$1800,"عجين كريب (مصنع بالمطعم)")+0.004166666667*SUMIFS(الريسبي!$C$2:$C$1800,الريسبي!$A$2:$A$1800,$A47,الريسبي!$B$2:$B$1800,"عجين كريب صيامي (بدون لبن)")</f>
        <v>0</v>
      </c>
      <c r="AO47" s="117" t="n">
        <f aca="false">SUMIFS(الريسبي!$C$2:$C$1800,الريسبي!$A$2:$A$1800,$A47,الريسبي!$B$2:$B$1800,AO$1)</f>
        <v>0</v>
      </c>
      <c r="AP47" s="117" t="n">
        <f aca="false">SUMIFS(الريسبي!$C$2:$C$1800,الريسبي!$A$2:$A$1800,$A47,الريسبي!$B$2:$B$1800,AP$1)</f>
        <v>0</v>
      </c>
      <c r="AQ47" s="117" t="n">
        <f aca="false">SUMIFS(الريسبي!$C$2:$C$1800,الريسبي!$A$2:$A$1800,$A47,الريسبي!$B$2:$B$1800,AQ$1)+0.004166666667*SUMIFS(الريسبي!$C$2:$C$1800,الريسبي!$A$2:$A$1800,$A47,الريسبي!$B$2:$B$1800,"عجين كريب (مصنع بالمطعم)")+0.004166666667*SUMIFS(الريسبي!$C$2:$C$1800,الريسبي!$A$2:$A$1800,$A47,الريسبي!$B$2:$B$1800,"عجين كريب صيامي (بدون لبن)")</f>
        <v>0.05</v>
      </c>
      <c r="AR47" s="117" t="n">
        <f aca="false">SUMIFS(الريسبي!$C$2:$C$1800,الريسبي!$A$2:$A$1800,$A47,الريسبي!$B$2:$B$1800,AR$1)</f>
        <v>0</v>
      </c>
      <c r="AS47" s="117" t="n">
        <f aca="false">SUMIFS(الريسبي!$C$2:$C$1800,الريسبي!$A$2:$A$1800,$A47,الريسبي!$B$2:$B$1800,AS$1)</f>
        <v>0</v>
      </c>
      <c r="AT47" s="117" t="n">
        <f aca="false">SUMIFS(الريسبي!$C$2:$C$1800,الريسبي!$A$2:$A$1800,$A47,الريسبي!$B$2:$B$1800,AT$1)</f>
        <v>1</v>
      </c>
      <c r="AU47" s="117" t="n">
        <f aca="false">SUMIFS(الريسبي!$C$2:$C$1800,الريسبي!$A$2:$A$1800,$A47,الريسبي!$B$2:$B$1800,AU$1)</f>
        <v>1</v>
      </c>
      <c r="AV47" s="117" t="n">
        <f aca="false">SUMIFS(الريسبي!$C$2:$C$1800,الريسبي!$A$2:$A$1800,$A47,الريسبي!$B$2:$B$1800,AV$1)</f>
        <v>0</v>
      </c>
      <c r="AW47" s="117" t="n">
        <f aca="false">SUMIFS(الريسبي!$C$2:$C$1800,الريسبي!$A$2:$A$1800,$A47,الريسبي!$B$2:$B$1800,AW$1)</f>
        <v>0</v>
      </c>
      <c r="AX47" s="117" t="n">
        <f aca="false">SUMIFS(الريسبي!$C$2:$C$1800,الريسبي!$A$2:$A$1800,$A47,الريسبي!$B$2:$B$1800,AX$1)</f>
        <v>0</v>
      </c>
      <c r="AY47" s="117" t="n">
        <f aca="false">SUMIFS(الريسبي!$C$2:$C$1800,الريسبي!$A$2:$A$1800,$A47,الريسبي!$B$2:$B$1800,AY$1)</f>
        <v>0</v>
      </c>
      <c r="AZ47" s="117" t="n">
        <f aca="false">SUMIFS(الريسبي!$C$2:$C$1800,الريسبي!$A$2:$A$1800,$A47,الريسبي!$B$2:$B$1800,AZ$1)</f>
        <v>0</v>
      </c>
      <c r="BA47" s="117" t="n">
        <f aca="false">SUMIFS(الريسبي!$C$2:$C$1800,الريسبي!$A$2:$A$1800,$A47,الريسبي!$B$2:$B$1800,BA$1)</f>
        <v>0</v>
      </c>
      <c r="BB47" s="117" t="n">
        <f aca="false">SUMIFS(الريسبي!$C$2:$C$1800,الريسبي!$A$2:$A$1800,$A47,الريسبي!$B$2:$B$1800,BB$1)</f>
        <v>0</v>
      </c>
      <c r="BC47" s="117" t="n">
        <f aca="false">SUMIFS(الريسبي!$C$2:$C$1800,الريسبي!$A$2:$A$1800,$A47,الريسبي!$B$2:$B$1800,BC$1)</f>
        <v>0</v>
      </c>
      <c r="BD47" s="117" t="n">
        <f aca="false">SUMIFS(الريسبي!$C$2:$C$1800,الريسبي!$A$2:$A$1800,$A47,الريسبي!$B$2:$B$1800,BD$1)</f>
        <v>0</v>
      </c>
      <c r="BE47" s="117" t="n">
        <f aca="false">SUMIFS(الريسبي!$C$2:$C$1800,الريسبي!$A$2:$A$1800,$A47,الريسبي!$B$2:$B$1800,BE$1)</f>
        <v>1</v>
      </c>
      <c r="BF47" s="117" t="n">
        <f aca="false">SUMIFS(الريسبي!$C$2:$C$1800,الريسبي!$A$2:$A$1800,$A47,الريسبي!$B$2:$B$1800,BF$1)</f>
        <v>0</v>
      </c>
      <c r="BG47" s="117" t="n">
        <f aca="false">SUMIFS(الريسبي!$C$2:$C$1800,الريسبي!$A$2:$A$1800,$A47,الريسبي!$B$2:$B$1800,BG$1)</f>
        <v>0</v>
      </c>
      <c r="BH47" s="117" t="n">
        <f aca="false">SUMIFS(الريسبي!$C$2:$C$1800,الريسبي!$A$2:$A$1800,$A47,الريسبي!$B$2:$B$1800,BH$1)</f>
        <v>0</v>
      </c>
      <c r="BI47" s="117" t="n">
        <f aca="false">SUMIFS(الريسبي!$C$2:$C$1800,الريسبي!$A$2:$A$1800,$A47,الريسبي!$B$2:$B$1800,BI$1)</f>
        <v>0</v>
      </c>
      <c r="BJ47" s="117" t="n">
        <f aca="false">SUMIFS(الريسبي!$C$2:$C$1800,الريسبي!$A$2:$A$1800,$A47,الريسبي!$B$2:$B$1800,BJ$1)</f>
        <v>0</v>
      </c>
      <c r="BK47" s="117" t="n">
        <f aca="false">SUMIFS(الريسبي!$C$2:$C$1800,الريسبي!$A$2:$A$1800,$A47,الريسبي!$B$2:$B$1800,BK$1)</f>
        <v>0</v>
      </c>
      <c r="BL47" s="117" t="n">
        <f aca="false">SUMIFS(الريسبي!$C$2:$C$1800,الريسبي!$A$2:$A$1800,$A47,الريسبي!$B$2:$B$1800,BL$1)</f>
        <v>0</v>
      </c>
      <c r="BM47" s="117" t="n">
        <f aca="false">SUMIFS(الريسبي!$C$2:$C$1800,الريسبي!$A$2:$A$1800,$A47,الريسبي!$B$2:$B$1800,BM$1)</f>
        <v>0</v>
      </c>
      <c r="BN47" s="117" t="n">
        <f aca="false">SUMIFS(الريسبي!$C$2:$C$1800,الريسبي!$A$2:$A$1800,$A47,الريسبي!$B$2:$B$1800,BN$1)</f>
        <v>0</v>
      </c>
      <c r="BO47" s="117" t="n">
        <f aca="false">SUMIFS(الريسبي!$C$2:$C$1800,الريسبي!$A$2:$A$1800,$A47,الريسبي!$B$2:$B$1800,BO$1)</f>
        <v>0</v>
      </c>
      <c r="BP47" s="117" t="n">
        <f aca="false">SUMIFS(الريسبي!$C$2:$C$1800,الريسبي!$A$2:$A$1800,$A47,الريسبي!$B$2:$B$1800,BP$1)</f>
        <v>0</v>
      </c>
      <c r="BQ47" s="117" t="n">
        <f aca="false">SUMIFS(الريسبي!$C$2:$C$1800,الريسبي!$A$2:$A$1800,$A47,الريسبي!$B$2:$B$1800,BQ$1)+0.17*SUMIFS(الريسبي!$C$2:$C$1800,الريسبي!$A$2:$A$1800,$A47,الريسبي!$B$2:$B$1800,"كاسترد مصنع (خليط بودر + لبن)")+0.17*SUMIFS(الريسبي!$C$2:$C$1800,الريسبي!$A$2:$A$1800,$A47,الريسبي!$B$2:$B$1800,"كاسترد مصنع صيامي (بدون لبن)")</f>
        <v>0.0255</v>
      </c>
      <c r="BR47" s="117" t="n">
        <f aca="false">SUMIFS(الريسبي!$C$2:$C$1800,الريسبي!$A$2:$A$1800,$A47,الريسبي!$B$2:$B$1800,BR$1)</f>
        <v>0</v>
      </c>
      <c r="BS47" s="117" t="n">
        <f aca="false">SUMIFS(الريسبي!$C$2:$C$1800,الريسبي!$A$2:$A$1800,$A47,الريسبي!$B$2:$B$1800,BS$1)</f>
        <v>0</v>
      </c>
      <c r="BT47" s="117" t="n">
        <f aca="false">SUMIFS(الريسبي!$C$2:$C$1800,الريسبي!$A$2:$A$1800,$A47,الريسبي!$B$2:$B$1800,BT$1)</f>
        <v>0</v>
      </c>
      <c r="BU47" s="117" t="n">
        <f aca="false">SUMIFS(الريسبي!$C$2:$C$1800,الريسبي!$A$2:$A$1800,$A47,الريسبي!$B$2:$B$1800,BU$1)+0.4*SUMIFS(الريسبي!$C$2:$C$1800,الريسبي!$A$2:$A$1800,$A47,الريسبي!$B$2:$B$1800,"كاسترد مصنع (خليط بودر + لبن)")+0.03333333333*SUMIFS(الريسبي!$C$2:$C$1800,الريسبي!$A$2:$A$1800,$A47,الريسبي!$B$2:$B$1800,"عجين كريب (مصنع بالمطعم)")</f>
        <v>0.21</v>
      </c>
      <c r="BV47" s="117" t="n">
        <f aca="false">SUMIFS(الريسبي!$C$2:$C$1800,الريسبي!$A$2:$A$1800,$A47,الريسبي!$B$2:$B$1800,BV$1)</f>
        <v>0</v>
      </c>
      <c r="BW47" s="117" t="n">
        <f aca="false">SUMIFS(الريسبي!$C$2:$C$1800,الريسبي!$A$2:$A$1800,$A47,الريسبي!$B$2:$B$1800,BW$1)</f>
        <v>0</v>
      </c>
      <c r="BX47" s="117" t="n">
        <f aca="false">SUMIFS(الريسبي!$C$2:$C$1800,الريسبي!$A$2:$A$1800,$A47,الريسبي!$B$2:$B$1800,BX$1)</f>
        <v>0</v>
      </c>
      <c r="BY47" s="117" t="n">
        <f aca="false">SUMIFS(الريسبي!$C$2:$C$1800,الريسبي!$A$2:$A$1800,$A47,الريسبي!$B$2:$B$1800,BY$1)</f>
        <v>0</v>
      </c>
      <c r="BZ47" s="117" t="n">
        <f aca="false">SUMIFS(الريسبي!$C$2:$C$1800,الريسبي!$A$2:$A$1800,$A47,الريسبي!$B$2:$B$1800,BZ$1)</f>
        <v>0</v>
      </c>
      <c r="CA47" s="117" t="n">
        <f aca="false">SUMIFS(الريسبي!$C$2:$C$1800,الريسبي!$A$2:$A$1800,$A47,الريسبي!$B$2:$B$1800,CA$1)</f>
        <v>0</v>
      </c>
      <c r="CB47" s="117" t="n">
        <f aca="false">SUMIFS(الريسبي!$C$2:$C$1800,الريسبي!$A$2:$A$1800,$A47,الريسبي!$B$2:$B$1800,CB$1)</f>
        <v>0</v>
      </c>
      <c r="CC47" s="117" t="n">
        <f aca="false">SUMIFS(الريسبي!$C$2:$C$1800,الريسبي!$A$2:$A$1800,$A47,الريسبي!$B$2:$B$1800,CC$1)</f>
        <v>0</v>
      </c>
      <c r="CD47" s="117" t="n">
        <f aca="false">SUMIFS(الريسبي!$C$2:$C$1800,الريسبي!$A$2:$A$1800,$A47,الريسبي!$B$2:$B$1800,CD$1)</f>
        <v>0</v>
      </c>
      <c r="CE47" s="117" t="n">
        <f aca="false">SUMIFS(الريسبي!$C$2:$C$1800,الريسبي!$A$2:$A$1800,$A47,الريسبي!$B$2:$B$1800,CE$1)</f>
        <v>0</v>
      </c>
      <c r="CF47" s="117" t="n">
        <f aca="false">SUMIFS(الريسبي!$C$2:$C$1800,الريسبي!$A$2:$A$1800,$A47,الريسبي!$B$2:$B$1800,CF$1)</f>
        <v>0</v>
      </c>
      <c r="CG47" s="117" t="n">
        <f aca="false">SUMIFS(الريسبي!$C$2:$C$1800,الريسبي!$A$2:$A$1800,$A47,الريسبي!$B$2:$B$1800,CG$1)</f>
        <v>0</v>
      </c>
      <c r="CH47" s="117" t="n">
        <f aca="false">SUMIFS(الريسبي!$C$2:$C$1800,الريسبي!$A$2:$A$1800,$A47,الريسبي!$B$2:$B$1800,CH$1)</f>
        <v>0</v>
      </c>
      <c r="CI47" s="117" t="n">
        <f aca="false">SUMIFS(الريسبي!$C$2:$C$1800,الريسبي!$A$2:$A$1800,$A47,الريسبي!$B$2:$B$1800,CI$1)</f>
        <v>0</v>
      </c>
      <c r="CJ47" s="117" t="n">
        <f aca="false">SUMIFS(الريسبي!$C$2:$C$1800,الريسبي!$A$2:$A$1800,$A47,الريسبي!$B$2:$B$1800,CJ$1)</f>
        <v>0</v>
      </c>
      <c r="CK47" s="117" t="n">
        <f aca="false">SUMIFS(الريسبي!$C$2:$C$1800,الريسبي!$A$2:$A$1800,$A47,الريسبي!$B$2:$B$1800,CK$1)</f>
        <v>0</v>
      </c>
      <c r="CL47" s="117" t="n">
        <f aca="false">SUMIFS(الريسبي!$C$2:$C$1800,الريسبي!$A$2:$A$1800,$A47,الريسبي!$B$2:$B$1800,CL$1)</f>
        <v>0</v>
      </c>
    </row>
    <row r="48" customFormat="false" ht="15" hidden="false" customHeight="false" outlineLevel="0" collapsed="false">
      <c r="A48" s="116" t="str">
        <f aca="false">المنيو!B48</f>
        <v>فطيرة ملوكي زبيب وجوزهند</v>
      </c>
      <c r="B48" s="117" t="n">
        <f aca="false">SUMIFS(الريسبي!$C$2:$C$1800,الريسبي!$A$2:$A$1800,$A48,الريسبي!$B$2:$B$1800,B$1)</f>
        <v>0</v>
      </c>
      <c r="C48" s="117" t="n">
        <f aca="false">SUMIFS(الريسبي!$C$2:$C$1800,الريسبي!$A$2:$A$1800,$A48,الريسبي!$B$2:$B$1800,C$1)</f>
        <v>0</v>
      </c>
      <c r="D48" s="117" t="n">
        <f aca="false">SUMIFS(الريسبي!$C$2:$C$1800,الريسبي!$A$2:$A$1800,$A48,الريسبي!$B$2:$B$1800,D$1)</f>
        <v>0</v>
      </c>
      <c r="E48" s="117" t="n">
        <f aca="false">SUMIFS(الريسبي!$C$2:$C$1800,الريسبي!$A$2:$A$1800,$A48,الريسبي!$B$2:$B$1800,E$1)</f>
        <v>1</v>
      </c>
      <c r="F48" s="117" t="n">
        <f aca="false">SUMIFS(الريسبي!$C$2:$C$1800,الريسبي!$A$2:$A$1800,$A48,الريسبي!$B$2:$B$1800,F$1)</f>
        <v>0</v>
      </c>
      <c r="G48" s="117" t="n">
        <f aca="false">SUMIFS(الريسبي!$C$2:$C$1800,الريسبي!$A$2:$A$1800,$A48,الريسبي!$B$2:$B$1800,G$1)</f>
        <v>0</v>
      </c>
      <c r="H48" s="117" t="n">
        <f aca="false">SUMIFS(الريسبي!$C$2:$C$1800,الريسبي!$A$2:$A$1800,$A48,الريسبي!$B$2:$B$1800,H$1)</f>
        <v>0</v>
      </c>
      <c r="I48" s="117" t="n">
        <f aca="false">SUMIFS(الريسبي!$C$2:$C$1800,الريسبي!$A$2:$A$1800,$A48,الريسبي!$B$2:$B$1800,I$1)</f>
        <v>0</v>
      </c>
      <c r="J48" s="117" t="n">
        <f aca="false">SUMIFS(الريسبي!$C$2:$C$1800,الريسبي!$A$2:$A$1800,$A48,الريسبي!$B$2:$B$1800,J$1)</f>
        <v>0</v>
      </c>
      <c r="K48" s="117" t="n">
        <f aca="false">SUMIFS(الريسبي!$C$2:$C$1800,الريسبي!$A$2:$A$1800,$A48,الريسبي!$B$2:$B$1800,K$1)</f>
        <v>0</v>
      </c>
      <c r="L48" s="117" t="n">
        <f aca="false">SUMIFS(الريسبي!$C$2:$C$1800,الريسبي!$A$2:$A$1800,$A48,الريسبي!$B$2:$B$1800,L$1)</f>
        <v>0</v>
      </c>
      <c r="M48" s="117" t="n">
        <f aca="false">SUMIFS(الريسبي!$C$2:$C$1800,الريسبي!$A$2:$A$1800,$A48,الريسبي!$B$2:$B$1800,M$1)</f>
        <v>0</v>
      </c>
      <c r="N48" s="117" t="n">
        <f aca="false">SUMIFS(الريسبي!$C$2:$C$1800,الريسبي!$A$2:$A$1800,$A48,الريسبي!$B$2:$B$1800,N$1)</f>
        <v>0</v>
      </c>
      <c r="O48" s="117" t="n">
        <f aca="false">SUMIFS(الريسبي!$C$2:$C$1800,الريسبي!$A$2:$A$1800,$A48,الريسبي!$B$2:$B$1800,O$1)</f>
        <v>0</v>
      </c>
      <c r="P48" s="117" t="n">
        <f aca="false">SUMIFS(الريسبي!$C$2:$C$1800,الريسبي!$A$2:$A$1800,$A48,الريسبي!$B$2:$B$1800,P$1)</f>
        <v>0</v>
      </c>
      <c r="Q48" s="117" t="n">
        <f aca="false">SUMIFS(الريسبي!$C$2:$C$1800,الريسبي!$A$2:$A$1800,$A48,الريسبي!$B$2:$B$1800,Q$1)</f>
        <v>0</v>
      </c>
      <c r="R48" s="117" t="n">
        <f aca="false">SUMIFS(الريسبي!$C$2:$C$1800,الريسبي!$A$2:$A$1800,$A48,الريسبي!$B$2:$B$1800,R$1)</f>
        <v>0</v>
      </c>
      <c r="S48" s="117" t="n">
        <f aca="false">SUMIFS(الريسبي!$C$2:$C$1800,الريسبي!$A$2:$A$1800,$A48,الريسبي!$B$2:$B$1800,S$1)</f>
        <v>0</v>
      </c>
      <c r="T48" s="117" t="n">
        <f aca="false">SUMIFS(الريسبي!$C$2:$C$1800,الريسبي!$A$2:$A$1800,$A48,الريسبي!$B$2:$B$1800,T$1)</f>
        <v>0</v>
      </c>
      <c r="U48" s="117" t="n">
        <f aca="false">SUMIFS(الريسبي!$C$2:$C$1800,الريسبي!$A$2:$A$1800,$A48,الريسبي!$B$2:$B$1800,U$1)</f>
        <v>0</v>
      </c>
      <c r="V48" s="117" t="n">
        <f aca="false">SUMIFS(الريسبي!$C$2:$C$1800,الريسبي!$A$2:$A$1800,$A48,الريسبي!$B$2:$B$1800,V$1)+1.5*(SUMIFS(الريسبي!$C$2:$C$1800,الريسبي!$A$2:$A$1800,$A48,الريسبي!$B$2:$B$1800,"برسيون موتزريلا بيتزا كبير"))</f>
        <v>0</v>
      </c>
      <c r="W48" s="117" t="n">
        <f aca="false">0</f>
        <v>0</v>
      </c>
      <c r="X48" s="117" t="n">
        <f aca="false">SUMIFS(الريسبي!$C$2:$C$1800,الريسبي!$A$2:$A$1800,$A48,الريسبي!$B$2:$B$1800,X$1)+1.5*(SUMIFS(الريسبي!$C$2:$C$1800,الريسبي!$A$2:$A$1800,$A48,الريسبي!$B$2:$B$1800,"برسيون موتزريلا فطير كبير"))</f>
        <v>0</v>
      </c>
      <c r="Y48" s="117" t="n">
        <f aca="false">0</f>
        <v>0</v>
      </c>
      <c r="Z48" s="117" t="n">
        <f aca="false">SUMIFS(الريسبي!$C$2:$C$1800,الريسبي!$A$2:$A$1800,$A48,الريسبي!$B$2:$B$1800,Z$1)</f>
        <v>0</v>
      </c>
      <c r="AA48" s="117" t="n">
        <f aca="false">SUMIFS(الريسبي!$C$2:$C$1800,الريسبي!$A$2:$A$1800,$A48,الريسبي!$B$2:$B$1800,AA$1)</f>
        <v>0</v>
      </c>
      <c r="AB48" s="117" t="n">
        <f aca="false">SUMIFS(الريسبي!$C$2:$C$1800,الريسبي!$A$2:$A$1800,$A48,الريسبي!$B$2:$B$1800,AB$1)</f>
        <v>0</v>
      </c>
      <c r="AC48" s="117" t="n">
        <f aca="false">SUMIFS(الريسبي!$C$2:$C$1800,الريسبي!$A$2:$A$1800,$A48,الريسبي!$B$2:$B$1800,AC$1)</f>
        <v>0</v>
      </c>
      <c r="AD48" s="117" t="n">
        <f aca="false">SUMIFS(الريسبي!$C$2:$C$1800,الريسبي!$A$2:$A$1800,$A48,الريسبي!$B$2:$B$1800,AD$1)</f>
        <v>0</v>
      </c>
      <c r="AE48" s="117" t="n">
        <f aca="false">SUMIFS(الريسبي!$C$2:$C$1800,الريسبي!$A$2:$A$1800,$A48,الريسبي!$B$2:$B$1800,AE$1)</f>
        <v>0</v>
      </c>
      <c r="AF48" s="117" t="n">
        <f aca="false">SUMIFS(الريسبي!$C$2:$C$1800,الريسبي!$A$2:$A$1800,$A48,الريسبي!$B$2:$B$1800,AF$1)</f>
        <v>1</v>
      </c>
      <c r="AG48" s="117" t="n">
        <f aca="false">SUMIFS(الريسبي!$C$2:$C$1800,الريسبي!$A$2:$A$1800,$A48,الريسبي!$B$2:$B$1800,AG$1)</f>
        <v>0</v>
      </c>
      <c r="AH48" s="117" t="n">
        <f aca="false">SUMIFS(الريسبي!$C$2:$C$1800,الريسبي!$A$2:$A$1800,$A48,الريسبي!$B$2:$B$1800,AH$1)</f>
        <v>0</v>
      </c>
      <c r="AI48" s="117" t="n">
        <f aca="false">SUMIFS(الريسبي!$C$2:$C$1800,الريسبي!$A$2:$A$1800,$A48,الريسبي!$B$2:$B$1800,AI$1)</f>
        <v>0</v>
      </c>
      <c r="AJ48" s="117" t="n">
        <f aca="false">SUMIFS(الريسبي!$C$2:$C$1800,الريسبي!$A$2:$A$1800,$A48,الريسبي!$B$2:$B$1800,AJ$1)</f>
        <v>0</v>
      </c>
      <c r="AK48" s="117" t="n">
        <f aca="false">SUMIFS(الريسبي!$C$2:$C$1800,الريسبي!$A$2:$A$1800,$A48,الريسبي!$B$2:$B$1800,AK$1)</f>
        <v>0.03</v>
      </c>
      <c r="AL48" s="117" t="n">
        <f aca="false">SUMIFS(الريسبي!$C$2:$C$1800,الريسبي!$A$2:$A$1800,$A48,الريسبي!$B$2:$B$1800,AL$1)</f>
        <v>0</v>
      </c>
      <c r="AM48" s="117" t="n">
        <f aca="false">SUMIFS(الريسبي!$C$2:$C$1800,الريسبي!$A$2:$A$1800,$A48,الريسبي!$B$2:$B$1800,AM$1)+0.08333333333*SUMIFS(الريسبي!$C$2:$C$1800,الريسبي!$A$2:$A$1800,$A48,الريسبي!$B$2:$B$1800,"عجين كريب (مصنع بالمطعم)")+0.08333333333*SUMIFS(الريسبي!$C$2:$C$1800,الريسبي!$A$2:$A$1800,$A48,الريسبي!$B$2:$B$1800,"عجين كريب صيامي (بدون لبن)")</f>
        <v>0</v>
      </c>
      <c r="AN48" s="117" t="n">
        <f aca="false">SUMIFS(الريسبي!$C$2:$C$1800,الريسبي!$A$2:$A$1800,$A48,الريسبي!$B$2:$B$1800,AN$1)+0.004166666667*SUMIFS(الريسبي!$C$2:$C$1800,الريسبي!$A$2:$A$1800,$A48,الريسبي!$B$2:$B$1800,"عجين كريب (مصنع بالمطعم)")+0.004166666667*SUMIFS(الريسبي!$C$2:$C$1800,الريسبي!$A$2:$A$1800,$A48,الريسبي!$B$2:$B$1800,"عجين كريب صيامي (بدون لبن)")</f>
        <v>0</v>
      </c>
      <c r="AO48" s="117" t="n">
        <f aca="false">SUMIFS(الريسبي!$C$2:$C$1800,الريسبي!$A$2:$A$1800,$A48,الريسبي!$B$2:$B$1800,AO$1)</f>
        <v>0.06</v>
      </c>
      <c r="AP48" s="117" t="n">
        <f aca="false">SUMIFS(الريسبي!$C$2:$C$1800,الريسبي!$A$2:$A$1800,$A48,الريسبي!$B$2:$B$1800,AP$1)</f>
        <v>0</v>
      </c>
      <c r="AQ48" s="117" t="n">
        <f aca="false">SUMIFS(الريسبي!$C$2:$C$1800,الريسبي!$A$2:$A$1800,$A48,الريسبي!$B$2:$B$1800,AQ$1)+0.004166666667*SUMIFS(الريسبي!$C$2:$C$1800,الريسبي!$A$2:$A$1800,$A48,الريسبي!$B$2:$B$1800,"عجين كريب (مصنع بالمطعم)")+0.004166666667*SUMIFS(الريسبي!$C$2:$C$1800,الريسبي!$A$2:$A$1800,$A48,الريسبي!$B$2:$B$1800,"عجين كريب صيامي (بدون لبن)")</f>
        <v>0.05</v>
      </c>
      <c r="AR48" s="117" t="n">
        <f aca="false">SUMIFS(الريسبي!$C$2:$C$1800,الريسبي!$A$2:$A$1800,$A48,الريسبي!$B$2:$B$1800,AR$1)</f>
        <v>0</v>
      </c>
      <c r="AS48" s="117" t="n">
        <f aca="false">SUMIFS(الريسبي!$C$2:$C$1800,الريسبي!$A$2:$A$1800,$A48,الريسبي!$B$2:$B$1800,AS$1)</f>
        <v>0</v>
      </c>
      <c r="AT48" s="117" t="n">
        <f aca="false">SUMIFS(الريسبي!$C$2:$C$1800,الريسبي!$A$2:$A$1800,$A48,الريسبي!$B$2:$B$1800,AT$1)</f>
        <v>0</v>
      </c>
      <c r="AU48" s="117" t="n">
        <f aca="false">SUMIFS(الريسبي!$C$2:$C$1800,الريسبي!$A$2:$A$1800,$A48,الريسبي!$B$2:$B$1800,AU$1)</f>
        <v>1</v>
      </c>
      <c r="AV48" s="117" t="n">
        <f aca="false">SUMIFS(الريسبي!$C$2:$C$1800,الريسبي!$A$2:$A$1800,$A48,الريسبي!$B$2:$B$1800,AV$1)</f>
        <v>0</v>
      </c>
      <c r="AW48" s="117" t="n">
        <f aca="false">SUMIFS(الريسبي!$C$2:$C$1800,الريسبي!$A$2:$A$1800,$A48,الريسبي!$B$2:$B$1800,AW$1)</f>
        <v>0</v>
      </c>
      <c r="AX48" s="117" t="n">
        <f aca="false">SUMIFS(الريسبي!$C$2:$C$1800,الريسبي!$A$2:$A$1800,$A48,الريسبي!$B$2:$B$1800,AX$1)</f>
        <v>0</v>
      </c>
      <c r="AY48" s="117" t="n">
        <f aca="false">SUMIFS(الريسبي!$C$2:$C$1800,الريسبي!$A$2:$A$1800,$A48,الريسبي!$B$2:$B$1800,AY$1)</f>
        <v>0</v>
      </c>
      <c r="AZ48" s="117" t="n">
        <f aca="false">SUMIFS(الريسبي!$C$2:$C$1800,الريسبي!$A$2:$A$1800,$A48,الريسبي!$B$2:$B$1800,AZ$1)</f>
        <v>0</v>
      </c>
      <c r="BA48" s="117" t="n">
        <f aca="false">SUMIFS(الريسبي!$C$2:$C$1800,الريسبي!$A$2:$A$1800,$A48,الريسبي!$B$2:$B$1800,BA$1)</f>
        <v>0</v>
      </c>
      <c r="BB48" s="117" t="n">
        <f aca="false">SUMIFS(الريسبي!$C$2:$C$1800,الريسبي!$A$2:$A$1800,$A48,الريسبي!$B$2:$B$1800,BB$1)</f>
        <v>0</v>
      </c>
      <c r="BC48" s="117" t="n">
        <f aca="false">SUMIFS(الريسبي!$C$2:$C$1800,الريسبي!$A$2:$A$1800,$A48,الريسبي!$B$2:$B$1800,BC$1)</f>
        <v>0</v>
      </c>
      <c r="BD48" s="117" t="n">
        <f aca="false">SUMIFS(الريسبي!$C$2:$C$1800,الريسبي!$A$2:$A$1800,$A48,الريسبي!$B$2:$B$1800,BD$1)</f>
        <v>0</v>
      </c>
      <c r="BE48" s="117" t="n">
        <f aca="false">SUMIFS(الريسبي!$C$2:$C$1800,الريسبي!$A$2:$A$1800,$A48,الريسبي!$B$2:$B$1800,BE$1)</f>
        <v>1</v>
      </c>
      <c r="BF48" s="117" t="n">
        <f aca="false">SUMIFS(الريسبي!$C$2:$C$1800,الريسبي!$A$2:$A$1800,$A48,الريسبي!$B$2:$B$1800,BF$1)</f>
        <v>0</v>
      </c>
      <c r="BG48" s="117" t="n">
        <f aca="false">SUMIFS(الريسبي!$C$2:$C$1800,الريسبي!$A$2:$A$1800,$A48,الريسبي!$B$2:$B$1800,BG$1)</f>
        <v>0</v>
      </c>
      <c r="BH48" s="117" t="n">
        <f aca="false">SUMIFS(الريسبي!$C$2:$C$1800,الريسبي!$A$2:$A$1800,$A48,الريسبي!$B$2:$B$1800,BH$1)</f>
        <v>0</v>
      </c>
      <c r="BI48" s="117" t="n">
        <f aca="false">SUMIFS(الريسبي!$C$2:$C$1800,الريسبي!$A$2:$A$1800,$A48,الريسبي!$B$2:$B$1800,BI$1)</f>
        <v>0</v>
      </c>
      <c r="BJ48" s="117" t="n">
        <f aca="false">SUMIFS(الريسبي!$C$2:$C$1800,الريسبي!$A$2:$A$1800,$A48,الريسبي!$B$2:$B$1800,BJ$1)</f>
        <v>0</v>
      </c>
      <c r="BK48" s="117" t="n">
        <f aca="false">SUMIFS(الريسبي!$C$2:$C$1800,الريسبي!$A$2:$A$1800,$A48,الريسبي!$B$2:$B$1800,BK$1)</f>
        <v>1</v>
      </c>
      <c r="BL48" s="117" t="n">
        <f aca="false">SUMIFS(الريسبي!$C$2:$C$1800,الريسبي!$A$2:$A$1800,$A48,الريسبي!$B$2:$B$1800,BL$1)</f>
        <v>0</v>
      </c>
      <c r="BM48" s="117" t="n">
        <f aca="false">SUMIFS(الريسبي!$C$2:$C$1800,الريسبي!$A$2:$A$1800,$A48,الريسبي!$B$2:$B$1800,BM$1)</f>
        <v>0</v>
      </c>
      <c r="BN48" s="117" t="n">
        <f aca="false">SUMIFS(الريسبي!$C$2:$C$1800,الريسبي!$A$2:$A$1800,$A48,الريسبي!$B$2:$B$1800,BN$1)</f>
        <v>0</v>
      </c>
      <c r="BO48" s="117" t="n">
        <f aca="false">SUMIFS(الريسبي!$C$2:$C$1800,الريسبي!$A$2:$A$1800,$A48,الريسبي!$B$2:$B$1800,BO$1)</f>
        <v>0</v>
      </c>
      <c r="BP48" s="117" t="n">
        <f aca="false">SUMIFS(الريسبي!$C$2:$C$1800,الريسبي!$A$2:$A$1800,$A48,الريسبي!$B$2:$B$1800,BP$1)</f>
        <v>0</v>
      </c>
      <c r="BQ48" s="117" t="n">
        <f aca="false">SUMIFS(الريسبي!$C$2:$C$1800,الريسبي!$A$2:$A$1800,$A48,الريسبي!$B$2:$B$1800,BQ$1)+0.17*SUMIFS(الريسبي!$C$2:$C$1800,الريسبي!$A$2:$A$1800,$A48,الريسبي!$B$2:$B$1800,"كاسترد مصنع (خليط بودر + لبن)")+0.17*SUMIFS(الريسبي!$C$2:$C$1800,الريسبي!$A$2:$A$1800,$A48,الريسبي!$B$2:$B$1800,"كاسترد مصنع صيامي (بدون لبن)")</f>
        <v>0.0255</v>
      </c>
      <c r="BR48" s="117" t="n">
        <f aca="false">SUMIFS(الريسبي!$C$2:$C$1800,الريسبي!$A$2:$A$1800,$A48,الريسبي!$B$2:$B$1800,BR$1)</f>
        <v>0</v>
      </c>
      <c r="BS48" s="117" t="n">
        <f aca="false">SUMIFS(الريسبي!$C$2:$C$1800,الريسبي!$A$2:$A$1800,$A48,الريسبي!$B$2:$B$1800,BS$1)</f>
        <v>0</v>
      </c>
      <c r="BT48" s="117" t="n">
        <f aca="false">SUMIFS(الريسبي!$C$2:$C$1800,الريسبي!$A$2:$A$1800,$A48,الريسبي!$B$2:$B$1800,BT$1)</f>
        <v>0</v>
      </c>
      <c r="BU48" s="117" t="n">
        <f aca="false">SUMIFS(الريسبي!$C$2:$C$1800,الريسبي!$A$2:$A$1800,$A48,الريسبي!$B$2:$B$1800,BU$1)+0.4*SUMIFS(الريسبي!$C$2:$C$1800,الريسبي!$A$2:$A$1800,$A48,الريسبي!$B$2:$B$1800,"كاسترد مصنع (خليط بودر + لبن)")+0.03333333333*SUMIFS(الريسبي!$C$2:$C$1800,الريسبي!$A$2:$A$1800,$A48,الريسبي!$B$2:$B$1800,"عجين كريب (مصنع بالمطعم)")</f>
        <v>0.21</v>
      </c>
      <c r="BV48" s="117" t="n">
        <f aca="false">SUMIFS(الريسبي!$C$2:$C$1800,الريسبي!$A$2:$A$1800,$A48,الريسبي!$B$2:$B$1800,BV$1)</f>
        <v>0</v>
      </c>
      <c r="BW48" s="117" t="n">
        <f aca="false">SUMIFS(الريسبي!$C$2:$C$1800,الريسبي!$A$2:$A$1800,$A48,الريسبي!$B$2:$B$1800,BW$1)</f>
        <v>0</v>
      </c>
      <c r="BX48" s="117" t="n">
        <f aca="false">SUMIFS(الريسبي!$C$2:$C$1800,الريسبي!$A$2:$A$1800,$A48,الريسبي!$B$2:$B$1800,BX$1)</f>
        <v>0</v>
      </c>
      <c r="BY48" s="117" t="n">
        <f aca="false">SUMIFS(الريسبي!$C$2:$C$1800,الريسبي!$A$2:$A$1800,$A48,الريسبي!$B$2:$B$1800,BY$1)</f>
        <v>0</v>
      </c>
      <c r="BZ48" s="117" t="n">
        <f aca="false">SUMIFS(الريسبي!$C$2:$C$1800,الريسبي!$A$2:$A$1800,$A48,الريسبي!$B$2:$B$1800,BZ$1)</f>
        <v>0</v>
      </c>
      <c r="CA48" s="117" t="n">
        <f aca="false">SUMIFS(الريسبي!$C$2:$C$1800,الريسبي!$A$2:$A$1800,$A48,الريسبي!$B$2:$B$1800,CA$1)</f>
        <v>0</v>
      </c>
      <c r="CB48" s="117" t="n">
        <f aca="false">SUMIFS(الريسبي!$C$2:$C$1800,الريسبي!$A$2:$A$1800,$A48,الريسبي!$B$2:$B$1800,CB$1)</f>
        <v>0</v>
      </c>
      <c r="CC48" s="117" t="n">
        <f aca="false">SUMIFS(الريسبي!$C$2:$C$1800,الريسبي!$A$2:$A$1800,$A48,الريسبي!$B$2:$B$1800,CC$1)</f>
        <v>0</v>
      </c>
      <c r="CD48" s="117" t="n">
        <f aca="false">SUMIFS(الريسبي!$C$2:$C$1800,الريسبي!$A$2:$A$1800,$A48,الريسبي!$B$2:$B$1800,CD$1)</f>
        <v>0</v>
      </c>
      <c r="CE48" s="117" t="n">
        <f aca="false">SUMIFS(الريسبي!$C$2:$C$1800,الريسبي!$A$2:$A$1800,$A48,الريسبي!$B$2:$B$1800,CE$1)</f>
        <v>0</v>
      </c>
      <c r="CF48" s="117" t="n">
        <f aca="false">SUMIFS(الريسبي!$C$2:$C$1800,الريسبي!$A$2:$A$1800,$A48,الريسبي!$B$2:$B$1800,CF$1)</f>
        <v>0</v>
      </c>
      <c r="CG48" s="117" t="n">
        <f aca="false">SUMIFS(الريسبي!$C$2:$C$1800,الريسبي!$A$2:$A$1800,$A48,الريسبي!$B$2:$B$1800,CG$1)</f>
        <v>0</v>
      </c>
      <c r="CH48" s="117" t="n">
        <f aca="false">SUMIFS(الريسبي!$C$2:$C$1800,الريسبي!$A$2:$A$1800,$A48,الريسبي!$B$2:$B$1800,CH$1)</f>
        <v>0</v>
      </c>
      <c r="CI48" s="117" t="n">
        <f aca="false">SUMIFS(الريسبي!$C$2:$C$1800,الريسبي!$A$2:$A$1800,$A48,الريسبي!$B$2:$B$1800,CI$1)</f>
        <v>0</v>
      </c>
      <c r="CJ48" s="117" t="n">
        <f aca="false">SUMIFS(الريسبي!$C$2:$C$1800,الريسبي!$A$2:$A$1800,$A48,الريسبي!$B$2:$B$1800,CJ$1)</f>
        <v>0</v>
      </c>
      <c r="CK48" s="117" t="n">
        <f aca="false">SUMIFS(الريسبي!$C$2:$C$1800,الريسبي!$A$2:$A$1800,$A48,الريسبي!$B$2:$B$1800,CK$1)</f>
        <v>0</v>
      </c>
      <c r="CL48" s="117" t="n">
        <f aca="false">SUMIFS(الريسبي!$C$2:$C$1800,الريسبي!$A$2:$A$1800,$A48,الريسبي!$B$2:$B$1800,CL$1)</f>
        <v>0</v>
      </c>
    </row>
    <row r="49" customFormat="false" ht="15" hidden="false" customHeight="false" outlineLevel="0" collapsed="false">
      <c r="A49" s="116" t="str">
        <f aca="false">المنيو!B49</f>
        <v>فطيرة قشطة عسل مكسرات</v>
      </c>
      <c r="B49" s="117" t="n">
        <f aca="false">SUMIFS(الريسبي!$C$2:$C$1800,الريسبي!$A$2:$A$1800,$A49,الريسبي!$B$2:$B$1800,B$1)</f>
        <v>0</v>
      </c>
      <c r="C49" s="117" t="n">
        <f aca="false">SUMIFS(الريسبي!$C$2:$C$1800,الريسبي!$A$2:$A$1800,$A49,الريسبي!$B$2:$B$1800,C$1)</f>
        <v>0</v>
      </c>
      <c r="D49" s="117" t="n">
        <f aca="false">SUMIFS(الريسبي!$C$2:$C$1800,الريسبي!$A$2:$A$1800,$A49,الريسبي!$B$2:$B$1800,D$1)</f>
        <v>0</v>
      </c>
      <c r="E49" s="117" t="n">
        <f aca="false">SUMIFS(الريسبي!$C$2:$C$1800,الريسبي!$A$2:$A$1800,$A49,الريسبي!$B$2:$B$1800,E$1)</f>
        <v>1</v>
      </c>
      <c r="F49" s="117" t="n">
        <f aca="false">SUMIFS(الريسبي!$C$2:$C$1800,الريسبي!$A$2:$A$1800,$A49,الريسبي!$B$2:$B$1800,F$1)</f>
        <v>0</v>
      </c>
      <c r="G49" s="117" t="n">
        <f aca="false">SUMIFS(الريسبي!$C$2:$C$1800,الريسبي!$A$2:$A$1800,$A49,الريسبي!$B$2:$B$1800,G$1)</f>
        <v>0</v>
      </c>
      <c r="H49" s="117" t="n">
        <f aca="false">SUMIFS(الريسبي!$C$2:$C$1800,الريسبي!$A$2:$A$1800,$A49,الريسبي!$B$2:$B$1800,H$1)</f>
        <v>0</v>
      </c>
      <c r="I49" s="117" t="n">
        <f aca="false">SUMIFS(الريسبي!$C$2:$C$1800,الريسبي!$A$2:$A$1800,$A49,الريسبي!$B$2:$B$1800,I$1)</f>
        <v>0</v>
      </c>
      <c r="J49" s="117" t="n">
        <f aca="false">SUMIFS(الريسبي!$C$2:$C$1800,الريسبي!$A$2:$A$1800,$A49,الريسبي!$B$2:$B$1800,J$1)</f>
        <v>0</v>
      </c>
      <c r="K49" s="117" t="n">
        <f aca="false">SUMIFS(الريسبي!$C$2:$C$1800,الريسبي!$A$2:$A$1800,$A49,الريسبي!$B$2:$B$1800,K$1)</f>
        <v>0</v>
      </c>
      <c r="L49" s="117" t="n">
        <f aca="false">SUMIFS(الريسبي!$C$2:$C$1800,الريسبي!$A$2:$A$1800,$A49,الريسبي!$B$2:$B$1800,L$1)</f>
        <v>0</v>
      </c>
      <c r="M49" s="117" t="n">
        <f aca="false">SUMIFS(الريسبي!$C$2:$C$1800,الريسبي!$A$2:$A$1800,$A49,الريسبي!$B$2:$B$1800,M$1)</f>
        <v>0</v>
      </c>
      <c r="N49" s="117" t="n">
        <f aca="false">SUMIFS(الريسبي!$C$2:$C$1800,الريسبي!$A$2:$A$1800,$A49,الريسبي!$B$2:$B$1800,N$1)</f>
        <v>0</v>
      </c>
      <c r="O49" s="117" t="n">
        <f aca="false">SUMIFS(الريسبي!$C$2:$C$1800,الريسبي!$A$2:$A$1800,$A49,الريسبي!$B$2:$B$1800,O$1)</f>
        <v>0</v>
      </c>
      <c r="P49" s="117" t="n">
        <f aca="false">SUMIFS(الريسبي!$C$2:$C$1800,الريسبي!$A$2:$A$1800,$A49,الريسبي!$B$2:$B$1800,P$1)</f>
        <v>0</v>
      </c>
      <c r="Q49" s="117" t="n">
        <f aca="false">SUMIFS(الريسبي!$C$2:$C$1800,الريسبي!$A$2:$A$1800,$A49,الريسبي!$B$2:$B$1800,Q$1)</f>
        <v>0</v>
      </c>
      <c r="R49" s="117" t="n">
        <f aca="false">SUMIFS(الريسبي!$C$2:$C$1800,الريسبي!$A$2:$A$1800,$A49,الريسبي!$B$2:$B$1800,R$1)</f>
        <v>0</v>
      </c>
      <c r="S49" s="117" t="n">
        <f aca="false">SUMIFS(الريسبي!$C$2:$C$1800,الريسبي!$A$2:$A$1800,$A49,الريسبي!$B$2:$B$1800,S$1)</f>
        <v>1</v>
      </c>
      <c r="T49" s="117" t="n">
        <f aca="false">SUMIFS(الريسبي!$C$2:$C$1800,الريسبي!$A$2:$A$1800,$A49,الريسبي!$B$2:$B$1800,T$1)</f>
        <v>0</v>
      </c>
      <c r="U49" s="117" t="n">
        <f aca="false">SUMIFS(الريسبي!$C$2:$C$1800,الريسبي!$A$2:$A$1800,$A49,الريسبي!$B$2:$B$1800,U$1)</f>
        <v>1</v>
      </c>
      <c r="V49" s="117" t="n">
        <f aca="false">SUMIFS(الريسبي!$C$2:$C$1800,الريسبي!$A$2:$A$1800,$A49,الريسبي!$B$2:$B$1800,V$1)+1.5*(SUMIFS(الريسبي!$C$2:$C$1800,الريسبي!$A$2:$A$1800,$A49,الريسبي!$B$2:$B$1800,"برسيون موتزريلا بيتزا كبير"))</f>
        <v>0</v>
      </c>
      <c r="W49" s="117" t="n">
        <f aca="false">0</f>
        <v>0</v>
      </c>
      <c r="X49" s="117" t="n">
        <f aca="false">SUMIFS(الريسبي!$C$2:$C$1800,الريسبي!$A$2:$A$1800,$A49,الريسبي!$B$2:$B$1800,X$1)+1.5*(SUMIFS(الريسبي!$C$2:$C$1800,الريسبي!$A$2:$A$1800,$A49,الريسبي!$B$2:$B$1800,"برسيون موتزريلا فطير كبير"))</f>
        <v>0</v>
      </c>
      <c r="Y49" s="117" t="n">
        <f aca="false">0</f>
        <v>0</v>
      </c>
      <c r="Z49" s="117" t="n">
        <f aca="false">SUMIFS(الريسبي!$C$2:$C$1800,الريسبي!$A$2:$A$1800,$A49,الريسبي!$B$2:$B$1800,Z$1)</f>
        <v>0</v>
      </c>
      <c r="AA49" s="117" t="n">
        <f aca="false">SUMIFS(الريسبي!$C$2:$C$1800,الريسبي!$A$2:$A$1800,$A49,الريسبي!$B$2:$B$1800,AA$1)</f>
        <v>0</v>
      </c>
      <c r="AB49" s="117" t="n">
        <f aca="false">SUMIFS(الريسبي!$C$2:$C$1800,الريسبي!$A$2:$A$1800,$A49,الريسبي!$B$2:$B$1800,AB$1)</f>
        <v>0</v>
      </c>
      <c r="AC49" s="117" t="n">
        <f aca="false">SUMIFS(الريسبي!$C$2:$C$1800,الريسبي!$A$2:$A$1800,$A49,الريسبي!$B$2:$B$1800,AC$1)</f>
        <v>0</v>
      </c>
      <c r="AD49" s="117" t="n">
        <f aca="false">SUMIFS(الريسبي!$C$2:$C$1800,الريسبي!$A$2:$A$1800,$A49,الريسبي!$B$2:$B$1800,AD$1)</f>
        <v>0</v>
      </c>
      <c r="AE49" s="117" t="n">
        <f aca="false">SUMIFS(الريسبي!$C$2:$C$1800,الريسبي!$A$2:$A$1800,$A49,الريسبي!$B$2:$B$1800,AE$1)</f>
        <v>0</v>
      </c>
      <c r="AF49" s="117" t="n">
        <f aca="false">SUMIFS(الريسبي!$C$2:$C$1800,الريسبي!$A$2:$A$1800,$A49,الريسبي!$B$2:$B$1800,AF$1)</f>
        <v>1</v>
      </c>
      <c r="AG49" s="117" t="n">
        <f aca="false">SUMIFS(الريسبي!$C$2:$C$1800,الريسبي!$A$2:$A$1800,$A49,الريسبي!$B$2:$B$1800,AG$1)</f>
        <v>0</v>
      </c>
      <c r="AH49" s="117" t="n">
        <f aca="false">SUMIFS(الريسبي!$C$2:$C$1800,الريسبي!$A$2:$A$1800,$A49,الريسبي!$B$2:$B$1800,AH$1)</f>
        <v>0</v>
      </c>
      <c r="AI49" s="117" t="n">
        <f aca="false">SUMIFS(الريسبي!$C$2:$C$1800,الريسبي!$A$2:$A$1800,$A49,الريسبي!$B$2:$B$1800,AI$1)</f>
        <v>0</v>
      </c>
      <c r="AJ49" s="117" t="n">
        <f aca="false">SUMIFS(الريسبي!$C$2:$C$1800,الريسبي!$A$2:$A$1800,$A49,الريسبي!$B$2:$B$1800,AJ$1)</f>
        <v>0</v>
      </c>
      <c r="AK49" s="117" t="n">
        <f aca="false">SUMIFS(الريسبي!$C$2:$C$1800,الريسبي!$A$2:$A$1800,$A49,الريسبي!$B$2:$B$1800,AK$1)</f>
        <v>0</v>
      </c>
      <c r="AL49" s="117" t="n">
        <f aca="false">SUMIFS(الريسبي!$C$2:$C$1800,الريسبي!$A$2:$A$1800,$A49,الريسبي!$B$2:$B$1800,AL$1)</f>
        <v>0</v>
      </c>
      <c r="AM49" s="117" t="n">
        <f aca="false">SUMIFS(الريسبي!$C$2:$C$1800,الريسبي!$A$2:$A$1800,$A49,الريسبي!$B$2:$B$1800,AM$1)+0.08333333333*SUMIFS(الريسبي!$C$2:$C$1800,الريسبي!$A$2:$A$1800,$A49,الريسبي!$B$2:$B$1800,"عجين كريب (مصنع بالمطعم)")+0.08333333333*SUMIFS(الريسبي!$C$2:$C$1800,الريسبي!$A$2:$A$1800,$A49,الريسبي!$B$2:$B$1800,"عجين كريب صيامي (بدون لبن)")</f>
        <v>0</v>
      </c>
      <c r="AN49" s="117" t="n">
        <f aca="false">SUMIFS(الريسبي!$C$2:$C$1800,الريسبي!$A$2:$A$1800,$A49,الريسبي!$B$2:$B$1800,AN$1)+0.004166666667*SUMIFS(الريسبي!$C$2:$C$1800,الريسبي!$A$2:$A$1800,$A49,الريسبي!$B$2:$B$1800,"عجين كريب (مصنع بالمطعم)")+0.004166666667*SUMIFS(الريسبي!$C$2:$C$1800,الريسبي!$A$2:$A$1800,$A49,الريسبي!$B$2:$B$1800,"عجين كريب صيامي (بدون لبن)")</f>
        <v>0</v>
      </c>
      <c r="AO49" s="117" t="n">
        <f aca="false">SUMIFS(الريسبي!$C$2:$C$1800,الريسبي!$A$2:$A$1800,$A49,الريسبي!$B$2:$B$1800,AO$1)</f>
        <v>0</v>
      </c>
      <c r="AP49" s="117" t="n">
        <f aca="false">SUMIFS(الريسبي!$C$2:$C$1800,الريسبي!$A$2:$A$1800,$A49,الريسبي!$B$2:$B$1800,AP$1)</f>
        <v>0</v>
      </c>
      <c r="AQ49" s="117" t="n">
        <f aca="false">SUMIFS(الريسبي!$C$2:$C$1800,الريسبي!$A$2:$A$1800,$A49,الريسبي!$B$2:$B$1800,AQ$1)+0.004166666667*SUMIFS(الريسبي!$C$2:$C$1800,الريسبي!$A$2:$A$1800,$A49,الريسبي!$B$2:$B$1800,"عجين كريب (مصنع بالمطعم)")+0.004166666667*SUMIFS(الريسبي!$C$2:$C$1800,الريسبي!$A$2:$A$1800,$A49,الريسبي!$B$2:$B$1800,"عجين كريب صيامي (بدون لبن)")</f>
        <v>0.05</v>
      </c>
      <c r="AR49" s="117" t="n">
        <f aca="false">SUMIFS(الريسبي!$C$2:$C$1800,الريسبي!$A$2:$A$1800,$A49,الريسبي!$B$2:$B$1800,AR$1)</f>
        <v>0</v>
      </c>
      <c r="AS49" s="117" t="n">
        <f aca="false">SUMIFS(الريسبي!$C$2:$C$1800,الريسبي!$A$2:$A$1800,$A49,الريسبي!$B$2:$B$1800,AS$1)</f>
        <v>0</v>
      </c>
      <c r="AT49" s="117" t="n">
        <f aca="false">SUMIFS(الريسبي!$C$2:$C$1800,الريسبي!$A$2:$A$1800,$A49,الريسبي!$B$2:$B$1800,AT$1)</f>
        <v>0</v>
      </c>
      <c r="AU49" s="117" t="n">
        <f aca="false">SUMIFS(الريسبي!$C$2:$C$1800,الريسبي!$A$2:$A$1800,$A49,الريسبي!$B$2:$B$1800,AU$1)</f>
        <v>1</v>
      </c>
      <c r="AV49" s="117" t="n">
        <f aca="false">SUMIFS(الريسبي!$C$2:$C$1800,الريسبي!$A$2:$A$1800,$A49,الريسبي!$B$2:$B$1800,AV$1)</f>
        <v>0</v>
      </c>
      <c r="AW49" s="117" t="n">
        <f aca="false">SUMIFS(الريسبي!$C$2:$C$1800,الريسبي!$A$2:$A$1800,$A49,الريسبي!$B$2:$B$1800,AW$1)</f>
        <v>0</v>
      </c>
      <c r="AX49" s="117" t="n">
        <f aca="false">SUMIFS(الريسبي!$C$2:$C$1800,الريسبي!$A$2:$A$1800,$A49,الريسبي!$B$2:$B$1800,AX$1)</f>
        <v>0</v>
      </c>
      <c r="AY49" s="117" t="n">
        <f aca="false">SUMIFS(الريسبي!$C$2:$C$1800,الريسبي!$A$2:$A$1800,$A49,الريسبي!$B$2:$B$1800,AY$1)</f>
        <v>0</v>
      </c>
      <c r="AZ49" s="117" t="n">
        <f aca="false">SUMIFS(الريسبي!$C$2:$C$1800,الريسبي!$A$2:$A$1800,$A49,الريسبي!$B$2:$B$1800,AZ$1)</f>
        <v>0</v>
      </c>
      <c r="BA49" s="117" t="n">
        <f aca="false">SUMIFS(الريسبي!$C$2:$C$1800,الريسبي!$A$2:$A$1800,$A49,الريسبي!$B$2:$B$1800,BA$1)</f>
        <v>0</v>
      </c>
      <c r="BB49" s="117" t="n">
        <f aca="false">SUMIFS(الريسبي!$C$2:$C$1800,الريسبي!$A$2:$A$1800,$A49,الريسبي!$B$2:$B$1800,BB$1)</f>
        <v>0</v>
      </c>
      <c r="BC49" s="117" t="n">
        <f aca="false">SUMIFS(الريسبي!$C$2:$C$1800,الريسبي!$A$2:$A$1800,$A49,الريسبي!$B$2:$B$1800,BC$1)</f>
        <v>0</v>
      </c>
      <c r="BD49" s="117" t="n">
        <f aca="false">SUMIFS(الريسبي!$C$2:$C$1800,الريسبي!$A$2:$A$1800,$A49,الريسبي!$B$2:$B$1800,BD$1)</f>
        <v>0</v>
      </c>
      <c r="BE49" s="117" t="n">
        <f aca="false">SUMIFS(الريسبي!$C$2:$C$1800,الريسبي!$A$2:$A$1800,$A49,الريسبي!$B$2:$B$1800,BE$1)</f>
        <v>1</v>
      </c>
      <c r="BF49" s="117" t="n">
        <f aca="false">SUMIFS(الريسبي!$C$2:$C$1800,الريسبي!$A$2:$A$1800,$A49,الريسبي!$B$2:$B$1800,BF$1)</f>
        <v>0.07</v>
      </c>
      <c r="BG49" s="117" t="n">
        <f aca="false">SUMIFS(الريسبي!$C$2:$C$1800,الريسبي!$A$2:$A$1800,$A49,الريسبي!$B$2:$B$1800,BG$1)</f>
        <v>0</v>
      </c>
      <c r="BH49" s="117" t="n">
        <f aca="false">SUMIFS(الريسبي!$C$2:$C$1800,الريسبي!$A$2:$A$1800,$A49,الريسبي!$B$2:$B$1800,BH$1)</f>
        <v>0</v>
      </c>
      <c r="BI49" s="117" t="n">
        <f aca="false">SUMIFS(الريسبي!$C$2:$C$1800,الريسبي!$A$2:$A$1800,$A49,الريسبي!$B$2:$B$1800,BI$1)</f>
        <v>0</v>
      </c>
      <c r="BJ49" s="117" t="n">
        <f aca="false">SUMIFS(الريسبي!$C$2:$C$1800,الريسبي!$A$2:$A$1800,$A49,الريسبي!$B$2:$B$1800,BJ$1)</f>
        <v>0</v>
      </c>
      <c r="BK49" s="117" t="n">
        <f aca="false">SUMIFS(الريسبي!$C$2:$C$1800,الريسبي!$A$2:$A$1800,$A49,الريسبي!$B$2:$B$1800,BK$1)</f>
        <v>1</v>
      </c>
      <c r="BL49" s="117" t="n">
        <f aca="false">SUMIFS(الريسبي!$C$2:$C$1800,الريسبي!$A$2:$A$1800,$A49,الريسبي!$B$2:$B$1800,BL$1)</f>
        <v>0</v>
      </c>
      <c r="BM49" s="117" t="n">
        <f aca="false">SUMIFS(الريسبي!$C$2:$C$1800,الريسبي!$A$2:$A$1800,$A49,الريسبي!$B$2:$B$1800,BM$1)</f>
        <v>0</v>
      </c>
      <c r="BN49" s="117" t="n">
        <f aca="false">SUMIFS(الريسبي!$C$2:$C$1800,الريسبي!$A$2:$A$1800,$A49,الريسبي!$B$2:$B$1800,BN$1)</f>
        <v>0</v>
      </c>
      <c r="BO49" s="117" t="n">
        <f aca="false">SUMIFS(الريسبي!$C$2:$C$1800,الريسبي!$A$2:$A$1800,$A49,الريسبي!$B$2:$B$1800,BO$1)</f>
        <v>0</v>
      </c>
      <c r="BP49" s="117" t="n">
        <f aca="false">SUMIFS(الريسبي!$C$2:$C$1800,الريسبي!$A$2:$A$1800,$A49,الريسبي!$B$2:$B$1800,BP$1)</f>
        <v>0</v>
      </c>
      <c r="BQ49" s="117" t="n">
        <f aca="false">SUMIFS(الريسبي!$C$2:$C$1800,الريسبي!$A$2:$A$1800,$A49,الريسبي!$B$2:$B$1800,BQ$1)+0.17*SUMIFS(الريسبي!$C$2:$C$1800,الريسبي!$A$2:$A$1800,$A49,الريسبي!$B$2:$B$1800,"كاسترد مصنع (خليط بودر + لبن)")+0.17*SUMIFS(الريسبي!$C$2:$C$1800,الريسبي!$A$2:$A$1800,$A49,الريسبي!$B$2:$B$1800,"كاسترد مصنع صيامي (بدون لبن)")</f>
        <v>0.0255</v>
      </c>
      <c r="BR49" s="117" t="n">
        <f aca="false">SUMIFS(الريسبي!$C$2:$C$1800,الريسبي!$A$2:$A$1800,$A49,الريسبي!$B$2:$B$1800,BR$1)</f>
        <v>0</v>
      </c>
      <c r="BS49" s="117" t="n">
        <f aca="false">SUMIFS(الريسبي!$C$2:$C$1800,الريسبي!$A$2:$A$1800,$A49,الريسبي!$B$2:$B$1800,BS$1)</f>
        <v>0</v>
      </c>
      <c r="BT49" s="117" t="n">
        <f aca="false">SUMIFS(الريسبي!$C$2:$C$1800,الريسبي!$A$2:$A$1800,$A49,الريسبي!$B$2:$B$1800,BT$1)</f>
        <v>0</v>
      </c>
      <c r="BU49" s="117" t="n">
        <f aca="false">SUMIFS(الريسبي!$C$2:$C$1800,الريسبي!$A$2:$A$1800,$A49,الريسبي!$B$2:$B$1800,BU$1)+0.4*SUMIFS(الريسبي!$C$2:$C$1800,الريسبي!$A$2:$A$1800,$A49,الريسبي!$B$2:$B$1800,"كاسترد مصنع (خليط بودر + لبن)")+0.03333333333*SUMIFS(الريسبي!$C$2:$C$1800,الريسبي!$A$2:$A$1800,$A49,الريسبي!$B$2:$B$1800,"عجين كريب (مصنع بالمطعم)")</f>
        <v>0.21</v>
      </c>
      <c r="BV49" s="117" t="n">
        <f aca="false">SUMIFS(الريسبي!$C$2:$C$1800,الريسبي!$A$2:$A$1800,$A49,الريسبي!$B$2:$B$1800,BV$1)</f>
        <v>0</v>
      </c>
      <c r="BW49" s="117" t="n">
        <f aca="false">SUMIFS(الريسبي!$C$2:$C$1800,الريسبي!$A$2:$A$1800,$A49,الريسبي!$B$2:$B$1800,BW$1)</f>
        <v>0</v>
      </c>
      <c r="BX49" s="117" t="n">
        <f aca="false">SUMIFS(الريسبي!$C$2:$C$1800,الريسبي!$A$2:$A$1800,$A49,الريسبي!$B$2:$B$1800,BX$1)</f>
        <v>0</v>
      </c>
      <c r="BY49" s="117" t="n">
        <f aca="false">SUMIFS(الريسبي!$C$2:$C$1800,الريسبي!$A$2:$A$1800,$A49,الريسبي!$B$2:$B$1800,BY$1)</f>
        <v>0</v>
      </c>
      <c r="BZ49" s="117" t="n">
        <f aca="false">SUMIFS(الريسبي!$C$2:$C$1800,الريسبي!$A$2:$A$1800,$A49,الريسبي!$B$2:$B$1800,BZ$1)</f>
        <v>0</v>
      </c>
      <c r="CA49" s="117" t="n">
        <f aca="false">SUMIFS(الريسبي!$C$2:$C$1800,الريسبي!$A$2:$A$1800,$A49,الريسبي!$B$2:$B$1800,CA$1)</f>
        <v>0</v>
      </c>
      <c r="CB49" s="117" t="n">
        <f aca="false">SUMIFS(الريسبي!$C$2:$C$1800,الريسبي!$A$2:$A$1800,$A49,الريسبي!$B$2:$B$1800,CB$1)</f>
        <v>0</v>
      </c>
      <c r="CC49" s="117" t="n">
        <f aca="false">SUMIFS(الريسبي!$C$2:$C$1800,الريسبي!$A$2:$A$1800,$A49,الريسبي!$B$2:$B$1800,CC$1)</f>
        <v>0</v>
      </c>
      <c r="CD49" s="117" t="n">
        <f aca="false">SUMIFS(الريسبي!$C$2:$C$1800,الريسبي!$A$2:$A$1800,$A49,الريسبي!$B$2:$B$1800,CD$1)</f>
        <v>0</v>
      </c>
      <c r="CE49" s="117" t="n">
        <f aca="false">SUMIFS(الريسبي!$C$2:$C$1800,الريسبي!$A$2:$A$1800,$A49,الريسبي!$B$2:$B$1800,CE$1)</f>
        <v>0</v>
      </c>
      <c r="CF49" s="117" t="n">
        <f aca="false">SUMIFS(الريسبي!$C$2:$C$1800,الريسبي!$A$2:$A$1800,$A49,الريسبي!$B$2:$B$1800,CF$1)</f>
        <v>0</v>
      </c>
      <c r="CG49" s="117" t="n">
        <f aca="false">SUMIFS(الريسبي!$C$2:$C$1800,الريسبي!$A$2:$A$1800,$A49,الريسبي!$B$2:$B$1800,CG$1)</f>
        <v>0</v>
      </c>
      <c r="CH49" s="117" t="n">
        <f aca="false">SUMIFS(الريسبي!$C$2:$C$1800,الريسبي!$A$2:$A$1800,$A49,الريسبي!$B$2:$B$1800,CH$1)</f>
        <v>0</v>
      </c>
      <c r="CI49" s="117" t="n">
        <f aca="false">SUMIFS(الريسبي!$C$2:$C$1800,الريسبي!$A$2:$A$1800,$A49,الريسبي!$B$2:$B$1800,CI$1)</f>
        <v>0</v>
      </c>
      <c r="CJ49" s="117" t="n">
        <f aca="false">SUMIFS(الريسبي!$C$2:$C$1800,الريسبي!$A$2:$A$1800,$A49,الريسبي!$B$2:$B$1800,CJ$1)</f>
        <v>0</v>
      </c>
      <c r="CK49" s="117" t="n">
        <f aca="false">SUMIFS(الريسبي!$C$2:$C$1800,الريسبي!$A$2:$A$1800,$A49,الريسبي!$B$2:$B$1800,CK$1)</f>
        <v>0</v>
      </c>
      <c r="CL49" s="117" t="n">
        <f aca="false">SUMIFS(الريسبي!$C$2:$C$1800,الريسبي!$A$2:$A$1800,$A49,الريسبي!$B$2:$B$1800,CL$1)</f>
        <v>0</v>
      </c>
    </row>
    <row r="50" customFormat="false" ht="15" hidden="false" customHeight="false" outlineLevel="0" collapsed="false">
      <c r="A50" s="116" t="str">
        <f aca="false">المنيو!B50</f>
        <v>فطيرة شيكولاتة</v>
      </c>
      <c r="B50" s="117" t="n">
        <f aca="false">SUMIFS(الريسبي!$C$2:$C$1800,الريسبي!$A$2:$A$1800,$A50,الريسبي!$B$2:$B$1800,B$1)</f>
        <v>0</v>
      </c>
      <c r="C50" s="117" t="n">
        <f aca="false">SUMIFS(الريسبي!$C$2:$C$1800,الريسبي!$A$2:$A$1800,$A50,الريسبي!$B$2:$B$1800,C$1)</f>
        <v>0</v>
      </c>
      <c r="D50" s="117" t="n">
        <f aca="false">SUMIFS(الريسبي!$C$2:$C$1800,الريسبي!$A$2:$A$1800,$A50,الريسبي!$B$2:$B$1800,D$1)</f>
        <v>0</v>
      </c>
      <c r="E50" s="117" t="n">
        <f aca="false">SUMIFS(الريسبي!$C$2:$C$1800,الريسبي!$A$2:$A$1800,$A50,الريسبي!$B$2:$B$1800,E$1)</f>
        <v>1</v>
      </c>
      <c r="F50" s="117" t="n">
        <f aca="false">SUMIFS(الريسبي!$C$2:$C$1800,الريسبي!$A$2:$A$1800,$A50,الريسبي!$B$2:$B$1800,F$1)</f>
        <v>0</v>
      </c>
      <c r="G50" s="117" t="n">
        <f aca="false">SUMIFS(الريسبي!$C$2:$C$1800,الريسبي!$A$2:$A$1800,$A50,الريسبي!$B$2:$B$1800,G$1)</f>
        <v>0</v>
      </c>
      <c r="H50" s="117" t="n">
        <f aca="false">SUMIFS(الريسبي!$C$2:$C$1800,الريسبي!$A$2:$A$1800,$A50,الريسبي!$B$2:$B$1800,H$1)</f>
        <v>0</v>
      </c>
      <c r="I50" s="117" t="n">
        <f aca="false">SUMIFS(الريسبي!$C$2:$C$1800,الريسبي!$A$2:$A$1800,$A50,الريسبي!$B$2:$B$1800,I$1)</f>
        <v>0</v>
      </c>
      <c r="J50" s="117" t="n">
        <f aca="false">SUMIFS(الريسبي!$C$2:$C$1800,الريسبي!$A$2:$A$1800,$A50,الريسبي!$B$2:$B$1800,J$1)</f>
        <v>0</v>
      </c>
      <c r="K50" s="117" t="n">
        <f aca="false">SUMIFS(الريسبي!$C$2:$C$1800,الريسبي!$A$2:$A$1800,$A50,الريسبي!$B$2:$B$1800,K$1)</f>
        <v>0</v>
      </c>
      <c r="L50" s="117" t="n">
        <f aca="false">SUMIFS(الريسبي!$C$2:$C$1800,الريسبي!$A$2:$A$1800,$A50,الريسبي!$B$2:$B$1800,L$1)</f>
        <v>0</v>
      </c>
      <c r="M50" s="117" t="n">
        <f aca="false">SUMIFS(الريسبي!$C$2:$C$1800,الريسبي!$A$2:$A$1800,$A50,الريسبي!$B$2:$B$1800,M$1)</f>
        <v>0</v>
      </c>
      <c r="N50" s="117" t="n">
        <f aca="false">SUMIFS(الريسبي!$C$2:$C$1800,الريسبي!$A$2:$A$1800,$A50,الريسبي!$B$2:$B$1800,N$1)</f>
        <v>0</v>
      </c>
      <c r="O50" s="117" t="n">
        <f aca="false">SUMIFS(الريسبي!$C$2:$C$1800,الريسبي!$A$2:$A$1800,$A50,الريسبي!$B$2:$B$1800,O$1)</f>
        <v>0</v>
      </c>
      <c r="P50" s="117" t="n">
        <f aca="false">SUMIFS(الريسبي!$C$2:$C$1800,الريسبي!$A$2:$A$1800,$A50,الريسبي!$B$2:$B$1800,P$1)</f>
        <v>0</v>
      </c>
      <c r="Q50" s="117" t="n">
        <f aca="false">SUMIFS(الريسبي!$C$2:$C$1800,الريسبي!$A$2:$A$1800,$A50,الريسبي!$B$2:$B$1800,Q$1)</f>
        <v>0</v>
      </c>
      <c r="R50" s="117" t="n">
        <f aca="false">SUMIFS(الريسبي!$C$2:$C$1800,الريسبي!$A$2:$A$1800,$A50,الريسبي!$B$2:$B$1800,R$1)</f>
        <v>0</v>
      </c>
      <c r="S50" s="117" t="n">
        <f aca="false">SUMIFS(الريسبي!$C$2:$C$1800,الريسبي!$A$2:$A$1800,$A50,الريسبي!$B$2:$B$1800,S$1)</f>
        <v>0</v>
      </c>
      <c r="T50" s="117" t="n">
        <f aca="false">SUMIFS(الريسبي!$C$2:$C$1800,الريسبي!$A$2:$A$1800,$A50,الريسبي!$B$2:$B$1800,T$1)</f>
        <v>0</v>
      </c>
      <c r="U50" s="117" t="n">
        <f aca="false">SUMIFS(الريسبي!$C$2:$C$1800,الريسبي!$A$2:$A$1800,$A50,الريسبي!$B$2:$B$1800,U$1)</f>
        <v>0</v>
      </c>
      <c r="V50" s="117" t="n">
        <f aca="false">SUMIFS(الريسبي!$C$2:$C$1800,الريسبي!$A$2:$A$1800,$A50,الريسبي!$B$2:$B$1800,V$1)+1.5*(SUMIFS(الريسبي!$C$2:$C$1800,الريسبي!$A$2:$A$1800,$A50,الريسبي!$B$2:$B$1800,"برسيون موتزريلا بيتزا كبير"))</f>
        <v>0</v>
      </c>
      <c r="W50" s="117" t="n">
        <f aca="false">0</f>
        <v>0</v>
      </c>
      <c r="X50" s="117" t="n">
        <f aca="false">SUMIFS(الريسبي!$C$2:$C$1800,الريسبي!$A$2:$A$1800,$A50,الريسبي!$B$2:$B$1800,X$1)+1.5*(SUMIFS(الريسبي!$C$2:$C$1800,الريسبي!$A$2:$A$1800,$A50,الريسبي!$B$2:$B$1800,"برسيون موتزريلا فطير كبير"))</f>
        <v>0</v>
      </c>
      <c r="Y50" s="117" t="n">
        <f aca="false">0</f>
        <v>0</v>
      </c>
      <c r="Z50" s="117" t="n">
        <f aca="false">SUMIFS(الريسبي!$C$2:$C$1800,الريسبي!$A$2:$A$1800,$A50,الريسبي!$B$2:$B$1800,Z$1)</f>
        <v>0</v>
      </c>
      <c r="AA50" s="117" t="n">
        <f aca="false">SUMIFS(الريسبي!$C$2:$C$1800,الريسبي!$A$2:$A$1800,$A50,الريسبي!$B$2:$B$1800,AA$1)</f>
        <v>0</v>
      </c>
      <c r="AB50" s="117" t="n">
        <f aca="false">SUMIFS(الريسبي!$C$2:$C$1800,الريسبي!$A$2:$A$1800,$A50,الريسبي!$B$2:$B$1800,AB$1)</f>
        <v>0</v>
      </c>
      <c r="AC50" s="117" t="n">
        <f aca="false">SUMIFS(الريسبي!$C$2:$C$1800,الريسبي!$A$2:$A$1800,$A50,الريسبي!$B$2:$B$1800,AC$1)</f>
        <v>0</v>
      </c>
      <c r="AD50" s="117" t="n">
        <f aca="false">SUMIFS(الريسبي!$C$2:$C$1800,الريسبي!$A$2:$A$1800,$A50,الريسبي!$B$2:$B$1800,AD$1)</f>
        <v>0</v>
      </c>
      <c r="AE50" s="117" t="n">
        <f aca="false">SUMIFS(الريسبي!$C$2:$C$1800,الريسبي!$A$2:$A$1800,$A50,الريسبي!$B$2:$B$1800,AE$1)</f>
        <v>0</v>
      </c>
      <c r="AF50" s="117" t="n">
        <f aca="false">SUMIFS(الريسبي!$C$2:$C$1800,الريسبي!$A$2:$A$1800,$A50,الريسبي!$B$2:$B$1800,AF$1)</f>
        <v>1</v>
      </c>
      <c r="AG50" s="117" t="n">
        <f aca="false">SUMIFS(الريسبي!$C$2:$C$1800,الريسبي!$A$2:$A$1800,$A50,الريسبي!$B$2:$B$1800,AG$1)</f>
        <v>0</v>
      </c>
      <c r="AH50" s="117" t="n">
        <f aca="false">SUMIFS(الريسبي!$C$2:$C$1800,الريسبي!$A$2:$A$1800,$A50,الريسبي!$B$2:$B$1800,AH$1)</f>
        <v>0</v>
      </c>
      <c r="AI50" s="117" t="n">
        <f aca="false">SUMIFS(الريسبي!$C$2:$C$1800,الريسبي!$A$2:$A$1800,$A50,الريسبي!$B$2:$B$1800,AI$1)</f>
        <v>0</v>
      </c>
      <c r="AJ50" s="117" t="n">
        <f aca="false">SUMIFS(الريسبي!$C$2:$C$1800,الريسبي!$A$2:$A$1800,$A50,الريسبي!$B$2:$B$1800,AJ$1)</f>
        <v>0</v>
      </c>
      <c r="AK50" s="117" t="n">
        <f aca="false">SUMIFS(الريسبي!$C$2:$C$1800,الريسبي!$A$2:$A$1800,$A50,الريسبي!$B$2:$B$1800,AK$1)</f>
        <v>0</v>
      </c>
      <c r="AL50" s="117" t="n">
        <f aca="false">SUMIFS(الريسبي!$C$2:$C$1800,الريسبي!$A$2:$A$1800,$A50,الريسبي!$B$2:$B$1800,AL$1)</f>
        <v>0</v>
      </c>
      <c r="AM50" s="117" t="n">
        <f aca="false">SUMIFS(الريسبي!$C$2:$C$1800,الريسبي!$A$2:$A$1800,$A50,الريسبي!$B$2:$B$1800,AM$1)+0.08333333333*SUMIFS(الريسبي!$C$2:$C$1800,الريسبي!$A$2:$A$1800,$A50,الريسبي!$B$2:$B$1800,"عجين كريب (مصنع بالمطعم)")+0.08333333333*SUMIFS(الريسبي!$C$2:$C$1800,الريسبي!$A$2:$A$1800,$A50,الريسبي!$B$2:$B$1800,"عجين كريب صيامي (بدون لبن)")</f>
        <v>0</v>
      </c>
      <c r="AN50" s="117" t="n">
        <f aca="false">SUMIFS(الريسبي!$C$2:$C$1800,الريسبي!$A$2:$A$1800,$A50,الريسبي!$B$2:$B$1800,AN$1)+0.004166666667*SUMIFS(الريسبي!$C$2:$C$1800,الريسبي!$A$2:$A$1800,$A50,الريسبي!$B$2:$B$1800,"عجين كريب (مصنع بالمطعم)")+0.004166666667*SUMIFS(الريسبي!$C$2:$C$1800,الريسبي!$A$2:$A$1800,$A50,الريسبي!$B$2:$B$1800,"عجين كريب صيامي (بدون لبن)")</f>
        <v>0</v>
      </c>
      <c r="AO50" s="117" t="n">
        <f aca="false">SUMIFS(الريسبي!$C$2:$C$1800,الريسبي!$A$2:$A$1800,$A50,الريسبي!$B$2:$B$1800,AO$1)</f>
        <v>0</v>
      </c>
      <c r="AP50" s="117" t="n">
        <f aca="false">SUMIFS(الريسبي!$C$2:$C$1800,الريسبي!$A$2:$A$1800,$A50,الريسبي!$B$2:$B$1800,AP$1)</f>
        <v>0</v>
      </c>
      <c r="AQ50" s="117" t="n">
        <f aca="false">SUMIFS(الريسبي!$C$2:$C$1800,الريسبي!$A$2:$A$1800,$A50,الريسبي!$B$2:$B$1800,AQ$1)+0.004166666667*SUMIFS(الريسبي!$C$2:$C$1800,الريسبي!$A$2:$A$1800,$A50,الريسبي!$B$2:$B$1800,"عجين كريب (مصنع بالمطعم)")+0.004166666667*SUMIFS(الريسبي!$C$2:$C$1800,الريسبي!$A$2:$A$1800,$A50,الريسبي!$B$2:$B$1800,"عجين كريب صيامي (بدون لبن)")</f>
        <v>0</v>
      </c>
      <c r="AR50" s="117" t="n">
        <f aca="false">SUMIFS(الريسبي!$C$2:$C$1800,الريسبي!$A$2:$A$1800,$A50,الريسبي!$B$2:$B$1800,AR$1)</f>
        <v>0</v>
      </c>
      <c r="AS50" s="117" t="n">
        <f aca="false">SUMIFS(الريسبي!$C$2:$C$1800,الريسبي!$A$2:$A$1800,$A50,الريسبي!$B$2:$B$1800,AS$1)</f>
        <v>0</v>
      </c>
      <c r="AT50" s="117" t="n">
        <f aca="false">SUMIFS(الريسبي!$C$2:$C$1800,الريسبي!$A$2:$A$1800,$A50,الريسبي!$B$2:$B$1800,AT$1)</f>
        <v>0</v>
      </c>
      <c r="AU50" s="117" t="n">
        <f aca="false">SUMIFS(الريسبي!$C$2:$C$1800,الريسبي!$A$2:$A$1800,$A50,الريسبي!$B$2:$B$1800,AU$1)</f>
        <v>1</v>
      </c>
      <c r="AV50" s="117" t="n">
        <f aca="false">SUMIFS(الريسبي!$C$2:$C$1800,الريسبي!$A$2:$A$1800,$A50,الريسبي!$B$2:$B$1800,AV$1)</f>
        <v>0.16</v>
      </c>
      <c r="AW50" s="117" t="n">
        <f aca="false">SUMIFS(الريسبي!$C$2:$C$1800,الريسبي!$A$2:$A$1800,$A50,الريسبي!$B$2:$B$1800,AW$1)</f>
        <v>0.03</v>
      </c>
      <c r="AX50" s="117" t="n">
        <f aca="false">SUMIFS(الريسبي!$C$2:$C$1800,الريسبي!$A$2:$A$1800,$A50,الريسبي!$B$2:$B$1800,AX$1)</f>
        <v>0</v>
      </c>
      <c r="AY50" s="117" t="n">
        <f aca="false">SUMIFS(الريسبي!$C$2:$C$1800,الريسبي!$A$2:$A$1800,$A50,الريسبي!$B$2:$B$1800,AY$1)</f>
        <v>0</v>
      </c>
      <c r="AZ50" s="117" t="n">
        <f aca="false">SUMIFS(الريسبي!$C$2:$C$1800,الريسبي!$A$2:$A$1800,$A50,الريسبي!$B$2:$B$1800,AZ$1)</f>
        <v>0</v>
      </c>
      <c r="BA50" s="117" t="n">
        <f aca="false">SUMIFS(الريسبي!$C$2:$C$1800,الريسبي!$A$2:$A$1800,$A50,الريسبي!$B$2:$B$1800,BA$1)</f>
        <v>0</v>
      </c>
      <c r="BB50" s="117" t="n">
        <f aca="false">SUMIFS(الريسبي!$C$2:$C$1800,الريسبي!$A$2:$A$1800,$A50,الريسبي!$B$2:$B$1800,BB$1)</f>
        <v>0</v>
      </c>
      <c r="BC50" s="117" t="n">
        <f aca="false">SUMIFS(الريسبي!$C$2:$C$1800,الريسبي!$A$2:$A$1800,$A50,الريسبي!$B$2:$B$1800,BC$1)</f>
        <v>0</v>
      </c>
      <c r="BD50" s="117" t="n">
        <f aca="false">SUMIFS(الريسبي!$C$2:$C$1800,الريسبي!$A$2:$A$1800,$A50,الريسبي!$B$2:$B$1800,BD$1)</f>
        <v>0</v>
      </c>
      <c r="BE50" s="117" t="n">
        <f aca="false">SUMIFS(الريسبي!$C$2:$C$1800,الريسبي!$A$2:$A$1800,$A50,الريسبي!$B$2:$B$1800,BE$1)</f>
        <v>1</v>
      </c>
      <c r="BF50" s="117" t="n">
        <f aca="false">SUMIFS(الريسبي!$C$2:$C$1800,الريسبي!$A$2:$A$1800,$A50,الريسبي!$B$2:$B$1800,BF$1)</f>
        <v>0</v>
      </c>
      <c r="BG50" s="117" t="n">
        <f aca="false">SUMIFS(الريسبي!$C$2:$C$1800,الريسبي!$A$2:$A$1800,$A50,الريسبي!$B$2:$B$1800,BG$1)</f>
        <v>0</v>
      </c>
      <c r="BH50" s="117" t="n">
        <f aca="false">SUMIFS(الريسبي!$C$2:$C$1800,الريسبي!$A$2:$A$1800,$A50,الريسبي!$B$2:$B$1800,BH$1)</f>
        <v>0</v>
      </c>
      <c r="BI50" s="117" t="n">
        <f aca="false">SUMIFS(الريسبي!$C$2:$C$1800,الريسبي!$A$2:$A$1800,$A50,الريسبي!$B$2:$B$1800,BI$1)</f>
        <v>0</v>
      </c>
      <c r="BJ50" s="117" t="n">
        <f aca="false">SUMIFS(الريسبي!$C$2:$C$1800,الريسبي!$A$2:$A$1800,$A50,الريسبي!$B$2:$B$1800,BJ$1)</f>
        <v>0</v>
      </c>
      <c r="BK50" s="117" t="n">
        <f aca="false">SUMIFS(الريسبي!$C$2:$C$1800,الريسبي!$A$2:$A$1800,$A50,الريسبي!$B$2:$B$1800,BK$1)</f>
        <v>1</v>
      </c>
      <c r="BL50" s="117" t="n">
        <f aca="false">SUMIFS(الريسبي!$C$2:$C$1800,الريسبي!$A$2:$A$1800,$A50,الريسبي!$B$2:$B$1800,BL$1)</f>
        <v>0</v>
      </c>
      <c r="BM50" s="117" t="n">
        <f aca="false">SUMIFS(الريسبي!$C$2:$C$1800,الريسبي!$A$2:$A$1800,$A50,الريسبي!$B$2:$B$1800,BM$1)</f>
        <v>0</v>
      </c>
      <c r="BN50" s="117" t="n">
        <f aca="false">SUMIFS(الريسبي!$C$2:$C$1800,الريسبي!$A$2:$A$1800,$A50,الريسبي!$B$2:$B$1800,BN$1)</f>
        <v>0</v>
      </c>
      <c r="BO50" s="117" t="n">
        <f aca="false">SUMIFS(الريسبي!$C$2:$C$1800,الريسبي!$A$2:$A$1800,$A50,الريسبي!$B$2:$B$1800,BO$1)</f>
        <v>0</v>
      </c>
      <c r="BP50" s="117" t="n">
        <f aca="false">SUMIFS(الريسبي!$C$2:$C$1800,الريسبي!$A$2:$A$1800,$A50,الريسبي!$B$2:$B$1800,BP$1)</f>
        <v>0</v>
      </c>
      <c r="BQ50" s="117" t="n">
        <f aca="false">SUMIFS(الريسبي!$C$2:$C$1800,الريسبي!$A$2:$A$1800,$A50,الريسبي!$B$2:$B$1800,BQ$1)+0.17*SUMIFS(الريسبي!$C$2:$C$1800,الريسبي!$A$2:$A$1800,$A50,الريسبي!$B$2:$B$1800,"كاسترد مصنع (خليط بودر + لبن)")+0.17*SUMIFS(الريسبي!$C$2:$C$1800,الريسبي!$A$2:$A$1800,$A50,الريسبي!$B$2:$B$1800,"كاسترد مصنع صيامي (بدون لبن)")</f>
        <v>0.0255</v>
      </c>
      <c r="BR50" s="117" t="n">
        <f aca="false">SUMIFS(الريسبي!$C$2:$C$1800,الريسبي!$A$2:$A$1800,$A50,الريسبي!$B$2:$B$1800,BR$1)</f>
        <v>0</v>
      </c>
      <c r="BS50" s="117" t="n">
        <f aca="false">SUMIFS(الريسبي!$C$2:$C$1800,الريسبي!$A$2:$A$1800,$A50,الريسبي!$B$2:$B$1800,BS$1)</f>
        <v>0.01</v>
      </c>
      <c r="BT50" s="117" t="n">
        <f aca="false">SUMIFS(الريسبي!$C$2:$C$1800,الريسبي!$A$2:$A$1800,$A50,الريسبي!$B$2:$B$1800,BT$1)</f>
        <v>0</v>
      </c>
      <c r="BU50" s="117" t="n">
        <f aca="false">SUMIFS(الريسبي!$C$2:$C$1800,الريسبي!$A$2:$A$1800,$A50,الريسبي!$B$2:$B$1800,BU$1)+0.4*SUMIFS(الريسبي!$C$2:$C$1800,الريسبي!$A$2:$A$1800,$A50,الريسبي!$B$2:$B$1800,"كاسترد مصنع (خليط بودر + لبن)")+0.03333333333*SUMIFS(الريسبي!$C$2:$C$1800,الريسبي!$A$2:$A$1800,$A50,الريسبي!$B$2:$B$1800,"عجين كريب (مصنع بالمطعم)")</f>
        <v>0.06</v>
      </c>
      <c r="BV50" s="117" t="n">
        <f aca="false">SUMIFS(الريسبي!$C$2:$C$1800,الريسبي!$A$2:$A$1800,$A50,الريسبي!$B$2:$B$1800,BV$1)</f>
        <v>0</v>
      </c>
      <c r="BW50" s="117" t="n">
        <f aca="false">SUMIFS(الريسبي!$C$2:$C$1800,الريسبي!$A$2:$A$1800,$A50,الريسبي!$B$2:$B$1800,BW$1)</f>
        <v>0</v>
      </c>
      <c r="BX50" s="117" t="n">
        <f aca="false">SUMIFS(الريسبي!$C$2:$C$1800,الريسبي!$A$2:$A$1800,$A50,الريسبي!$B$2:$B$1800,BX$1)</f>
        <v>0</v>
      </c>
      <c r="BY50" s="117" t="n">
        <f aca="false">SUMIFS(الريسبي!$C$2:$C$1800,الريسبي!$A$2:$A$1800,$A50,الريسبي!$B$2:$B$1800,BY$1)</f>
        <v>0</v>
      </c>
      <c r="BZ50" s="117" t="n">
        <f aca="false">SUMIFS(الريسبي!$C$2:$C$1800,الريسبي!$A$2:$A$1800,$A50,الريسبي!$B$2:$B$1800,BZ$1)</f>
        <v>0</v>
      </c>
      <c r="CA50" s="117" t="n">
        <f aca="false">SUMIFS(الريسبي!$C$2:$C$1800,الريسبي!$A$2:$A$1800,$A50,الريسبي!$B$2:$B$1800,CA$1)</f>
        <v>0</v>
      </c>
      <c r="CB50" s="117" t="n">
        <f aca="false">SUMIFS(الريسبي!$C$2:$C$1800,الريسبي!$A$2:$A$1800,$A50,الريسبي!$B$2:$B$1800,CB$1)</f>
        <v>0</v>
      </c>
      <c r="CC50" s="117" t="n">
        <f aca="false">SUMIFS(الريسبي!$C$2:$C$1800,الريسبي!$A$2:$A$1800,$A50,الريسبي!$B$2:$B$1800,CC$1)</f>
        <v>0</v>
      </c>
      <c r="CD50" s="117" t="n">
        <f aca="false">SUMIFS(الريسبي!$C$2:$C$1800,الريسبي!$A$2:$A$1800,$A50,الريسبي!$B$2:$B$1800,CD$1)</f>
        <v>0</v>
      </c>
      <c r="CE50" s="117" t="n">
        <f aca="false">SUMIFS(الريسبي!$C$2:$C$1800,الريسبي!$A$2:$A$1800,$A50,الريسبي!$B$2:$B$1800,CE$1)</f>
        <v>0</v>
      </c>
      <c r="CF50" s="117" t="n">
        <f aca="false">SUMIFS(الريسبي!$C$2:$C$1800,الريسبي!$A$2:$A$1800,$A50,الريسبي!$B$2:$B$1800,CF$1)</f>
        <v>0</v>
      </c>
      <c r="CG50" s="117" t="n">
        <f aca="false">SUMIFS(الريسبي!$C$2:$C$1800,الريسبي!$A$2:$A$1800,$A50,الريسبي!$B$2:$B$1800,CG$1)</f>
        <v>0</v>
      </c>
      <c r="CH50" s="117" t="n">
        <f aca="false">SUMIFS(الريسبي!$C$2:$C$1800,الريسبي!$A$2:$A$1800,$A50,الريسبي!$B$2:$B$1800,CH$1)</f>
        <v>0</v>
      </c>
      <c r="CI50" s="117" t="n">
        <f aca="false">SUMIFS(الريسبي!$C$2:$C$1800,الريسبي!$A$2:$A$1800,$A50,الريسبي!$B$2:$B$1800,CI$1)</f>
        <v>0</v>
      </c>
      <c r="CJ50" s="117" t="n">
        <f aca="false">SUMIFS(الريسبي!$C$2:$C$1800,الريسبي!$A$2:$A$1800,$A50,الريسبي!$B$2:$B$1800,CJ$1)</f>
        <v>0</v>
      </c>
      <c r="CK50" s="117" t="n">
        <f aca="false">SUMIFS(الريسبي!$C$2:$C$1800,الريسبي!$A$2:$A$1800,$A50,الريسبي!$B$2:$B$1800,CK$1)</f>
        <v>0</v>
      </c>
      <c r="CL50" s="117" t="n">
        <f aca="false">SUMIFS(الريسبي!$C$2:$C$1800,الريسبي!$A$2:$A$1800,$A50,الريسبي!$B$2:$B$1800,CL$1)</f>
        <v>0</v>
      </c>
    </row>
    <row r="51" customFormat="false" ht="15" hidden="false" customHeight="false" outlineLevel="0" collapsed="false">
      <c r="A51" s="116" t="str">
        <f aca="false">المنيو!B51</f>
        <v>فطيرة نوتيلا قشطة مكسرات</v>
      </c>
      <c r="B51" s="117" t="n">
        <f aca="false">SUMIFS(الريسبي!$C$2:$C$1800,الريسبي!$A$2:$A$1800,$A51,الريسبي!$B$2:$B$1800,B$1)</f>
        <v>0</v>
      </c>
      <c r="C51" s="117" t="n">
        <f aca="false">SUMIFS(الريسبي!$C$2:$C$1800,الريسبي!$A$2:$A$1800,$A51,الريسبي!$B$2:$B$1800,C$1)</f>
        <v>0</v>
      </c>
      <c r="D51" s="117" t="n">
        <f aca="false">SUMIFS(الريسبي!$C$2:$C$1800,الريسبي!$A$2:$A$1800,$A51,الريسبي!$B$2:$B$1800,D$1)</f>
        <v>0</v>
      </c>
      <c r="E51" s="117" t="n">
        <f aca="false">SUMIFS(الريسبي!$C$2:$C$1800,الريسبي!$A$2:$A$1800,$A51,الريسبي!$B$2:$B$1800,E$1)</f>
        <v>1</v>
      </c>
      <c r="F51" s="117" t="n">
        <f aca="false">SUMIFS(الريسبي!$C$2:$C$1800,الريسبي!$A$2:$A$1800,$A51,الريسبي!$B$2:$B$1800,F$1)</f>
        <v>0</v>
      </c>
      <c r="G51" s="117" t="n">
        <f aca="false">SUMIFS(الريسبي!$C$2:$C$1800,الريسبي!$A$2:$A$1800,$A51,الريسبي!$B$2:$B$1800,G$1)</f>
        <v>0</v>
      </c>
      <c r="H51" s="117" t="n">
        <f aca="false">SUMIFS(الريسبي!$C$2:$C$1800,الريسبي!$A$2:$A$1800,$A51,الريسبي!$B$2:$B$1800,H$1)</f>
        <v>0</v>
      </c>
      <c r="I51" s="117" t="n">
        <f aca="false">SUMIFS(الريسبي!$C$2:$C$1800,الريسبي!$A$2:$A$1800,$A51,الريسبي!$B$2:$B$1800,I$1)</f>
        <v>0</v>
      </c>
      <c r="J51" s="117" t="n">
        <f aca="false">SUMIFS(الريسبي!$C$2:$C$1800,الريسبي!$A$2:$A$1800,$A51,الريسبي!$B$2:$B$1800,J$1)</f>
        <v>0</v>
      </c>
      <c r="K51" s="117" t="n">
        <f aca="false">SUMIFS(الريسبي!$C$2:$C$1800,الريسبي!$A$2:$A$1800,$A51,الريسبي!$B$2:$B$1800,K$1)</f>
        <v>0</v>
      </c>
      <c r="L51" s="117" t="n">
        <f aca="false">SUMIFS(الريسبي!$C$2:$C$1800,الريسبي!$A$2:$A$1800,$A51,الريسبي!$B$2:$B$1800,L$1)</f>
        <v>0</v>
      </c>
      <c r="M51" s="117" t="n">
        <f aca="false">SUMIFS(الريسبي!$C$2:$C$1800,الريسبي!$A$2:$A$1800,$A51,الريسبي!$B$2:$B$1800,M$1)</f>
        <v>0</v>
      </c>
      <c r="N51" s="117" t="n">
        <f aca="false">SUMIFS(الريسبي!$C$2:$C$1800,الريسبي!$A$2:$A$1800,$A51,الريسبي!$B$2:$B$1800,N$1)</f>
        <v>0</v>
      </c>
      <c r="O51" s="117" t="n">
        <f aca="false">SUMIFS(الريسبي!$C$2:$C$1800,الريسبي!$A$2:$A$1800,$A51,الريسبي!$B$2:$B$1800,O$1)</f>
        <v>0</v>
      </c>
      <c r="P51" s="117" t="n">
        <f aca="false">SUMIFS(الريسبي!$C$2:$C$1800,الريسبي!$A$2:$A$1800,$A51,الريسبي!$B$2:$B$1800,P$1)</f>
        <v>0</v>
      </c>
      <c r="Q51" s="117" t="n">
        <f aca="false">SUMIFS(الريسبي!$C$2:$C$1800,الريسبي!$A$2:$A$1800,$A51,الريسبي!$B$2:$B$1800,Q$1)</f>
        <v>0</v>
      </c>
      <c r="R51" s="117" t="n">
        <f aca="false">SUMIFS(الريسبي!$C$2:$C$1800,الريسبي!$A$2:$A$1800,$A51,الريسبي!$B$2:$B$1800,R$1)</f>
        <v>0</v>
      </c>
      <c r="S51" s="117" t="n">
        <f aca="false">SUMIFS(الريسبي!$C$2:$C$1800,الريسبي!$A$2:$A$1800,$A51,الريسبي!$B$2:$B$1800,S$1)</f>
        <v>1</v>
      </c>
      <c r="T51" s="117" t="n">
        <f aca="false">SUMIFS(الريسبي!$C$2:$C$1800,الريسبي!$A$2:$A$1800,$A51,الريسبي!$B$2:$B$1800,T$1)</f>
        <v>0</v>
      </c>
      <c r="U51" s="117" t="n">
        <f aca="false">SUMIFS(الريسبي!$C$2:$C$1800,الريسبي!$A$2:$A$1800,$A51,الريسبي!$B$2:$B$1800,U$1)</f>
        <v>1</v>
      </c>
      <c r="V51" s="117" t="n">
        <f aca="false">SUMIFS(الريسبي!$C$2:$C$1800,الريسبي!$A$2:$A$1800,$A51,الريسبي!$B$2:$B$1800,V$1)+1.5*(SUMIFS(الريسبي!$C$2:$C$1800,الريسبي!$A$2:$A$1800,$A51,الريسبي!$B$2:$B$1800,"برسيون موتزريلا بيتزا كبير"))</f>
        <v>0</v>
      </c>
      <c r="W51" s="117" t="n">
        <f aca="false">0</f>
        <v>0</v>
      </c>
      <c r="X51" s="117" t="n">
        <f aca="false">SUMIFS(الريسبي!$C$2:$C$1800,الريسبي!$A$2:$A$1800,$A51,الريسبي!$B$2:$B$1800,X$1)+1.5*(SUMIFS(الريسبي!$C$2:$C$1800,الريسبي!$A$2:$A$1800,$A51,الريسبي!$B$2:$B$1800,"برسيون موتزريلا فطير كبير"))</f>
        <v>0</v>
      </c>
      <c r="Y51" s="117" t="n">
        <f aca="false">0</f>
        <v>0</v>
      </c>
      <c r="Z51" s="117" t="n">
        <f aca="false">SUMIFS(الريسبي!$C$2:$C$1800,الريسبي!$A$2:$A$1800,$A51,الريسبي!$B$2:$B$1800,Z$1)</f>
        <v>0</v>
      </c>
      <c r="AA51" s="117" t="n">
        <f aca="false">SUMIFS(الريسبي!$C$2:$C$1800,الريسبي!$A$2:$A$1800,$A51,الريسبي!$B$2:$B$1800,AA$1)</f>
        <v>0</v>
      </c>
      <c r="AB51" s="117" t="n">
        <f aca="false">SUMIFS(الريسبي!$C$2:$C$1800,الريسبي!$A$2:$A$1800,$A51,الريسبي!$B$2:$B$1800,AB$1)</f>
        <v>0</v>
      </c>
      <c r="AC51" s="117" t="n">
        <f aca="false">SUMIFS(الريسبي!$C$2:$C$1800,الريسبي!$A$2:$A$1800,$A51,الريسبي!$B$2:$B$1800,AC$1)</f>
        <v>0</v>
      </c>
      <c r="AD51" s="117" t="n">
        <f aca="false">SUMIFS(الريسبي!$C$2:$C$1800,الريسبي!$A$2:$A$1800,$A51,الريسبي!$B$2:$B$1800,AD$1)</f>
        <v>0</v>
      </c>
      <c r="AE51" s="117" t="n">
        <f aca="false">SUMIFS(الريسبي!$C$2:$C$1800,الريسبي!$A$2:$A$1800,$A51,الريسبي!$B$2:$B$1800,AE$1)</f>
        <v>0</v>
      </c>
      <c r="AF51" s="117" t="n">
        <f aca="false">SUMIFS(الريسبي!$C$2:$C$1800,الريسبي!$A$2:$A$1800,$A51,الريسبي!$B$2:$B$1800,AF$1)</f>
        <v>1</v>
      </c>
      <c r="AG51" s="117" t="n">
        <f aca="false">SUMIFS(الريسبي!$C$2:$C$1800,الريسبي!$A$2:$A$1800,$A51,الريسبي!$B$2:$B$1800,AG$1)</f>
        <v>0</v>
      </c>
      <c r="AH51" s="117" t="n">
        <f aca="false">SUMIFS(الريسبي!$C$2:$C$1800,الريسبي!$A$2:$A$1800,$A51,الريسبي!$B$2:$B$1800,AH$1)</f>
        <v>0</v>
      </c>
      <c r="AI51" s="117" t="n">
        <f aca="false">SUMIFS(الريسبي!$C$2:$C$1800,الريسبي!$A$2:$A$1800,$A51,الريسبي!$B$2:$B$1800,AI$1)</f>
        <v>0</v>
      </c>
      <c r="AJ51" s="117" t="n">
        <f aca="false">SUMIFS(الريسبي!$C$2:$C$1800,الريسبي!$A$2:$A$1800,$A51,الريسبي!$B$2:$B$1800,AJ$1)</f>
        <v>0</v>
      </c>
      <c r="AK51" s="117" t="n">
        <f aca="false">SUMIFS(الريسبي!$C$2:$C$1800,الريسبي!$A$2:$A$1800,$A51,الريسبي!$B$2:$B$1800,AK$1)</f>
        <v>0</v>
      </c>
      <c r="AL51" s="117" t="n">
        <f aca="false">SUMIFS(الريسبي!$C$2:$C$1800,الريسبي!$A$2:$A$1800,$A51,الريسبي!$B$2:$B$1800,AL$1)</f>
        <v>0</v>
      </c>
      <c r="AM51" s="117" t="n">
        <f aca="false">SUMIFS(الريسبي!$C$2:$C$1800,الريسبي!$A$2:$A$1800,$A51,الريسبي!$B$2:$B$1800,AM$1)+0.08333333333*SUMIFS(الريسبي!$C$2:$C$1800,الريسبي!$A$2:$A$1800,$A51,الريسبي!$B$2:$B$1800,"عجين كريب (مصنع بالمطعم)")+0.08333333333*SUMIFS(الريسبي!$C$2:$C$1800,الريسبي!$A$2:$A$1800,$A51,الريسبي!$B$2:$B$1800,"عجين كريب صيامي (بدون لبن)")</f>
        <v>0</v>
      </c>
      <c r="AN51" s="117" t="n">
        <f aca="false">SUMIFS(الريسبي!$C$2:$C$1800,الريسبي!$A$2:$A$1800,$A51,الريسبي!$B$2:$B$1800,AN$1)+0.004166666667*SUMIFS(الريسبي!$C$2:$C$1800,الريسبي!$A$2:$A$1800,$A51,الريسبي!$B$2:$B$1800,"عجين كريب (مصنع بالمطعم)")+0.004166666667*SUMIFS(الريسبي!$C$2:$C$1800,الريسبي!$A$2:$A$1800,$A51,الريسبي!$B$2:$B$1800,"عجين كريب صيامي (بدون لبن)")</f>
        <v>0</v>
      </c>
      <c r="AO51" s="117" t="n">
        <f aca="false">SUMIFS(الريسبي!$C$2:$C$1800,الريسبي!$A$2:$A$1800,$A51,الريسبي!$B$2:$B$1800,AO$1)</f>
        <v>0</v>
      </c>
      <c r="AP51" s="117" t="n">
        <f aca="false">SUMIFS(الريسبي!$C$2:$C$1800,الريسبي!$A$2:$A$1800,$A51,الريسبي!$B$2:$B$1800,AP$1)</f>
        <v>0</v>
      </c>
      <c r="AQ51" s="117" t="n">
        <f aca="false">SUMIFS(الريسبي!$C$2:$C$1800,الريسبي!$A$2:$A$1800,$A51,الريسبي!$B$2:$B$1800,AQ$1)+0.004166666667*SUMIFS(الريسبي!$C$2:$C$1800,الريسبي!$A$2:$A$1800,$A51,الريسبي!$B$2:$B$1800,"عجين كريب (مصنع بالمطعم)")+0.004166666667*SUMIFS(الريسبي!$C$2:$C$1800,الريسبي!$A$2:$A$1800,$A51,الريسبي!$B$2:$B$1800,"عجين كريب صيامي (بدون لبن)")</f>
        <v>0</v>
      </c>
      <c r="AR51" s="117" t="n">
        <f aca="false">SUMIFS(الريسبي!$C$2:$C$1800,الريسبي!$A$2:$A$1800,$A51,الريسبي!$B$2:$B$1800,AR$1)</f>
        <v>0</v>
      </c>
      <c r="AS51" s="117" t="n">
        <f aca="false">SUMIFS(الريسبي!$C$2:$C$1800,الريسبي!$A$2:$A$1800,$A51,الريسبي!$B$2:$B$1800,AS$1)</f>
        <v>0</v>
      </c>
      <c r="AT51" s="117" t="n">
        <f aca="false">SUMIFS(الريسبي!$C$2:$C$1800,الريسبي!$A$2:$A$1800,$A51,الريسبي!$B$2:$B$1800,AT$1)</f>
        <v>0</v>
      </c>
      <c r="AU51" s="117" t="n">
        <f aca="false">SUMIFS(الريسبي!$C$2:$C$1800,الريسبي!$A$2:$A$1800,$A51,الريسبي!$B$2:$B$1800,AU$1)</f>
        <v>1</v>
      </c>
      <c r="AV51" s="117" t="n">
        <f aca="false">SUMIFS(الريسبي!$C$2:$C$1800,الريسبي!$A$2:$A$1800,$A51,الريسبي!$B$2:$B$1800,AV$1)</f>
        <v>0</v>
      </c>
      <c r="AW51" s="117" t="n">
        <f aca="false">SUMIFS(الريسبي!$C$2:$C$1800,الريسبي!$A$2:$A$1800,$A51,الريسبي!$B$2:$B$1800,AW$1)</f>
        <v>0.03</v>
      </c>
      <c r="AX51" s="117" t="n">
        <f aca="false">SUMIFS(الريسبي!$C$2:$C$1800,الريسبي!$A$2:$A$1800,$A51,الريسبي!$B$2:$B$1800,AX$1)</f>
        <v>0</v>
      </c>
      <c r="AY51" s="117" t="n">
        <f aca="false">SUMIFS(الريسبي!$C$2:$C$1800,الريسبي!$A$2:$A$1800,$A51,الريسبي!$B$2:$B$1800,AY$1)</f>
        <v>0</v>
      </c>
      <c r="AZ51" s="117" t="n">
        <f aca="false">SUMIFS(الريسبي!$C$2:$C$1800,الريسبي!$A$2:$A$1800,$A51,الريسبي!$B$2:$B$1800,AZ$1)</f>
        <v>0</v>
      </c>
      <c r="BA51" s="117" t="n">
        <f aca="false">SUMIFS(الريسبي!$C$2:$C$1800,الريسبي!$A$2:$A$1800,$A51,الريسبي!$B$2:$B$1800,BA$1)</f>
        <v>0</v>
      </c>
      <c r="BB51" s="117" t="n">
        <f aca="false">SUMIFS(الريسبي!$C$2:$C$1800,الريسبي!$A$2:$A$1800,$A51,الريسبي!$B$2:$B$1800,BB$1)</f>
        <v>0</v>
      </c>
      <c r="BC51" s="117" t="n">
        <f aca="false">SUMIFS(الريسبي!$C$2:$C$1800,الريسبي!$A$2:$A$1800,$A51,الريسبي!$B$2:$B$1800,BC$1)</f>
        <v>0</v>
      </c>
      <c r="BD51" s="117" t="n">
        <f aca="false">SUMIFS(الريسبي!$C$2:$C$1800,الريسبي!$A$2:$A$1800,$A51,الريسبي!$B$2:$B$1800,BD$1)</f>
        <v>0</v>
      </c>
      <c r="BE51" s="117" t="n">
        <f aca="false">SUMIFS(الريسبي!$C$2:$C$1800,الريسبي!$A$2:$A$1800,$A51,الريسبي!$B$2:$B$1800,BE$1)</f>
        <v>1</v>
      </c>
      <c r="BF51" s="117" t="n">
        <f aca="false">SUMIFS(الريسبي!$C$2:$C$1800,الريسبي!$A$2:$A$1800,$A51,الريسبي!$B$2:$B$1800,BF$1)</f>
        <v>0</v>
      </c>
      <c r="BG51" s="117" t="n">
        <f aca="false">SUMIFS(الريسبي!$C$2:$C$1800,الريسبي!$A$2:$A$1800,$A51,الريسبي!$B$2:$B$1800,BG$1)</f>
        <v>0</v>
      </c>
      <c r="BH51" s="117" t="n">
        <f aca="false">SUMIFS(الريسبي!$C$2:$C$1800,الريسبي!$A$2:$A$1800,$A51,الريسبي!$B$2:$B$1800,BH$1)</f>
        <v>0</v>
      </c>
      <c r="BI51" s="117" t="n">
        <f aca="false">SUMIFS(الريسبي!$C$2:$C$1800,الريسبي!$A$2:$A$1800,$A51,الريسبي!$B$2:$B$1800,BI$1)</f>
        <v>0</v>
      </c>
      <c r="BJ51" s="117" t="n">
        <f aca="false">SUMIFS(الريسبي!$C$2:$C$1800,الريسبي!$A$2:$A$1800,$A51,الريسبي!$B$2:$B$1800,BJ$1)</f>
        <v>0</v>
      </c>
      <c r="BK51" s="117" t="n">
        <f aca="false">SUMIFS(الريسبي!$C$2:$C$1800,الريسبي!$A$2:$A$1800,$A51,الريسبي!$B$2:$B$1800,BK$1)</f>
        <v>1</v>
      </c>
      <c r="BL51" s="117" t="n">
        <f aca="false">SUMIFS(الريسبي!$C$2:$C$1800,الريسبي!$A$2:$A$1800,$A51,الريسبي!$B$2:$B$1800,BL$1)</f>
        <v>0</v>
      </c>
      <c r="BM51" s="117" t="n">
        <f aca="false">SUMIFS(الريسبي!$C$2:$C$1800,الريسبي!$A$2:$A$1800,$A51,الريسبي!$B$2:$B$1800,BM$1)</f>
        <v>0</v>
      </c>
      <c r="BN51" s="117" t="n">
        <f aca="false">SUMIFS(الريسبي!$C$2:$C$1800,الريسبي!$A$2:$A$1800,$A51,الريسبي!$B$2:$B$1800,BN$1)</f>
        <v>0</v>
      </c>
      <c r="BO51" s="117" t="n">
        <f aca="false">SUMIFS(الريسبي!$C$2:$C$1800,الريسبي!$A$2:$A$1800,$A51,الريسبي!$B$2:$B$1800,BO$1)</f>
        <v>0</v>
      </c>
      <c r="BP51" s="117" t="n">
        <f aca="false">SUMIFS(الريسبي!$C$2:$C$1800,الريسبي!$A$2:$A$1800,$A51,الريسبي!$B$2:$B$1800,BP$1)</f>
        <v>0</v>
      </c>
      <c r="BQ51" s="117" t="n">
        <f aca="false">SUMIFS(الريسبي!$C$2:$C$1800,الريسبي!$A$2:$A$1800,$A51,الريسبي!$B$2:$B$1800,BQ$1)+0.17*SUMIFS(الريسبي!$C$2:$C$1800,الريسبي!$A$2:$A$1800,$A51,الريسبي!$B$2:$B$1800,"كاسترد مصنع (خليط بودر + لبن)")+0.17*SUMIFS(الريسبي!$C$2:$C$1800,الريسبي!$A$2:$A$1800,$A51,الريسبي!$B$2:$B$1800,"كاسترد مصنع صيامي (بدون لبن)")</f>
        <v>0.0255</v>
      </c>
      <c r="BR51" s="117" t="n">
        <f aca="false">SUMIFS(الريسبي!$C$2:$C$1800,الريسبي!$A$2:$A$1800,$A51,الريسبي!$B$2:$B$1800,BR$1)</f>
        <v>0</v>
      </c>
      <c r="BS51" s="117" t="n">
        <f aca="false">SUMIFS(الريسبي!$C$2:$C$1800,الريسبي!$A$2:$A$1800,$A51,الريسبي!$B$2:$B$1800,BS$1)</f>
        <v>0</v>
      </c>
      <c r="BT51" s="117" t="n">
        <f aca="false">SUMIFS(الريسبي!$C$2:$C$1800,الريسبي!$A$2:$A$1800,$A51,الريسبي!$B$2:$B$1800,BT$1)</f>
        <v>0</v>
      </c>
      <c r="BU51" s="117" t="n">
        <f aca="false">SUMIFS(الريسبي!$C$2:$C$1800,الريسبي!$A$2:$A$1800,$A51,الريسبي!$B$2:$B$1800,BU$1)+0.4*SUMIFS(الريسبي!$C$2:$C$1800,الريسبي!$A$2:$A$1800,$A51,الريسبي!$B$2:$B$1800,"كاسترد مصنع (خليط بودر + لبن)")+0.03333333333*SUMIFS(الريسبي!$C$2:$C$1800,الريسبي!$A$2:$A$1800,$A51,الريسبي!$B$2:$B$1800,"عجين كريب (مصنع بالمطعم)")</f>
        <v>0.06</v>
      </c>
      <c r="BV51" s="117" t="n">
        <f aca="false">SUMIFS(الريسبي!$C$2:$C$1800,الريسبي!$A$2:$A$1800,$A51,الريسبي!$B$2:$B$1800,BV$1)</f>
        <v>0</v>
      </c>
      <c r="BW51" s="117" t="n">
        <f aca="false">SUMIFS(الريسبي!$C$2:$C$1800,الريسبي!$A$2:$A$1800,$A51,الريسبي!$B$2:$B$1800,BW$1)</f>
        <v>0</v>
      </c>
      <c r="BX51" s="117" t="n">
        <f aca="false">SUMIFS(الريسبي!$C$2:$C$1800,الريسبي!$A$2:$A$1800,$A51,الريسبي!$B$2:$B$1800,BX$1)</f>
        <v>0</v>
      </c>
      <c r="BY51" s="117" t="n">
        <f aca="false">SUMIFS(الريسبي!$C$2:$C$1800,الريسبي!$A$2:$A$1800,$A51,الريسبي!$B$2:$B$1800,BY$1)</f>
        <v>0</v>
      </c>
      <c r="BZ51" s="117" t="n">
        <f aca="false">SUMIFS(الريسبي!$C$2:$C$1800,الريسبي!$A$2:$A$1800,$A51,الريسبي!$B$2:$B$1800,BZ$1)</f>
        <v>0.16</v>
      </c>
      <c r="CA51" s="117" t="n">
        <f aca="false">SUMIFS(الريسبي!$C$2:$C$1800,الريسبي!$A$2:$A$1800,$A51,الريسبي!$B$2:$B$1800,CA$1)</f>
        <v>0</v>
      </c>
      <c r="CB51" s="117" t="n">
        <f aca="false">SUMIFS(الريسبي!$C$2:$C$1800,الريسبي!$A$2:$A$1800,$A51,الريسبي!$B$2:$B$1800,CB$1)</f>
        <v>0</v>
      </c>
      <c r="CC51" s="117" t="n">
        <f aca="false">SUMIFS(الريسبي!$C$2:$C$1800,الريسبي!$A$2:$A$1800,$A51,الريسبي!$B$2:$B$1800,CC$1)</f>
        <v>0</v>
      </c>
      <c r="CD51" s="117" t="n">
        <f aca="false">SUMIFS(الريسبي!$C$2:$C$1800,الريسبي!$A$2:$A$1800,$A51,الريسبي!$B$2:$B$1800,CD$1)</f>
        <v>0</v>
      </c>
      <c r="CE51" s="117" t="n">
        <f aca="false">SUMIFS(الريسبي!$C$2:$C$1800,الريسبي!$A$2:$A$1800,$A51,الريسبي!$B$2:$B$1800,CE$1)</f>
        <v>0</v>
      </c>
      <c r="CF51" s="117" t="n">
        <f aca="false">SUMIFS(الريسبي!$C$2:$C$1800,الريسبي!$A$2:$A$1800,$A51,الريسبي!$B$2:$B$1800,CF$1)</f>
        <v>0</v>
      </c>
      <c r="CG51" s="117" t="n">
        <f aca="false">SUMIFS(الريسبي!$C$2:$C$1800,الريسبي!$A$2:$A$1800,$A51,الريسبي!$B$2:$B$1800,CG$1)</f>
        <v>0</v>
      </c>
      <c r="CH51" s="117" t="n">
        <f aca="false">SUMIFS(الريسبي!$C$2:$C$1800,الريسبي!$A$2:$A$1800,$A51,الريسبي!$B$2:$B$1800,CH$1)</f>
        <v>0</v>
      </c>
      <c r="CI51" s="117" t="n">
        <f aca="false">SUMIFS(الريسبي!$C$2:$C$1800,الريسبي!$A$2:$A$1800,$A51,الريسبي!$B$2:$B$1800,CI$1)</f>
        <v>0</v>
      </c>
      <c r="CJ51" s="117" t="n">
        <f aca="false">SUMIFS(الريسبي!$C$2:$C$1800,الريسبي!$A$2:$A$1800,$A51,الريسبي!$B$2:$B$1800,CJ$1)</f>
        <v>0</v>
      </c>
      <c r="CK51" s="117" t="n">
        <f aca="false">SUMIFS(الريسبي!$C$2:$C$1800,الريسبي!$A$2:$A$1800,$A51,الريسبي!$B$2:$B$1800,CK$1)</f>
        <v>0</v>
      </c>
      <c r="CL51" s="117" t="n">
        <f aca="false">SUMIFS(الريسبي!$C$2:$C$1800,الريسبي!$A$2:$A$1800,$A51,الريسبي!$B$2:$B$1800,CL$1)</f>
        <v>0</v>
      </c>
    </row>
    <row r="52" customFormat="false" ht="15" hidden="false" customHeight="false" outlineLevel="0" collapsed="false">
      <c r="A52" s="116" t="str">
        <f aca="false">المنيو!B52</f>
        <v>فطيرة فورسيزون ستاموني</v>
      </c>
      <c r="B52" s="117" t="n">
        <f aca="false">SUMIFS(الريسبي!$C$2:$C$1800,الريسبي!$A$2:$A$1800,$A52,الريسبي!$B$2:$B$1800,B$1)</f>
        <v>0</v>
      </c>
      <c r="C52" s="117" t="n">
        <f aca="false">SUMIFS(الريسبي!$C$2:$C$1800,الريسبي!$A$2:$A$1800,$A52,الريسبي!$B$2:$B$1800,C$1)</f>
        <v>0</v>
      </c>
      <c r="D52" s="117" t="n">
        <f aca="false">SUMIFS(الريسبي!$C$2:$C$1800,الريسبي!$A$2:$A$1800,$A52,الريسبي!$B$2:$B$1800,D$1)</f>
        <v>0</v>
      </c>
      <c r="E52" s="117" t="n">
        <f aca="false">SUMIFS(الريسبي!$C$2:$C$1800,الريسبي!$A$2:$A$1800,$A52,الريسبي!$B$2:$B$1800,E$1)</f>
        <v>1</v>
      </c>
      <c r="F52" s="117" t="n">
        <f aca="false">SUMIFS(الريسبي!$C$2:$C$1800,الريسبي!$A$2:$A$1800,$A52,الريسبي!$B$2:$B$1800,F$1)</f>
        <v>0</v>
      </c>
      <c r="G52" s="117" t="n">
        <f aca="false">SUMIFS(الريسبي!$C$2:$C$1800,الريسبي!$A$2:$A$1800,$A52,الريسبي!$B$2:$B$1800,G$1)</f>
        <v>0</v>
      </c>
      <c r="H52" s="117" t="n">
        <f aca="false">SUMIFS(الريسبي!$C$2:$C$1800,الريسبي!$A$2:$A$1800,$A52,الريسبي!$B$2:$B$1800,H$1)</f>
        <v>0</v>
      </c>
      <c r="I52" s="117" t="n">
        <f aca="false">SUMIFS(الريسبي!$C$2:$C$1800,الريسبي!$A$2:$A$1800,$A52,الريسبي!$B$2:$B$1800,I$1)</f>
        <v>0</v>
      </c>
      <c r="J52" s="117" t="n">
        <f aca="false">SUMIFS(الريسبي!$C$2:$C$1800,الريسبي!$A$2:$A$1800,$A52,الريسبي!$B$2:$B$1800,J$1)</f>
        <v>0</v>
      </c>
      <c r="K52" s="117" t="n">
        <f aca="false">SUMIFS(الريسبي!$C$2:$C$1800,الريسبي!$A$2:$A$1800,$A52,الريسبي!$B$2:$B$1800,K$1)</f>
        <v>0</v>
      </c>
      <c r="L52" s="117" t="n">
        <f aca="false">SUMIFS(الريسبي!$C$2:$C$1800,الريسبي!$A$2:$A$1800,$A52,الريسبي!$B$2:$B$1800,L$1)</f>
        <v>0</v>
      </c>
      <c r="M52" s="117" t="n">
        <f aca="false">SUMIFS(الريسبي!$C$2:$C$1800,الريسبي!$A$2:$A$1800,$A52,الريسبي!$B$2:$B$1800,M$1)</f>
        <v>0</v>
      </c>
      <c r="N52" s="117" t="n">
        <f aca="false">SUMIFS(الريسبي!$C$2:$C$1800,الريسبي!$A$2:$A$1800,$A52,الريسبي!$B$2:$B$1800,N$1)</f>
        <v>0</v>
      </c>
      <c r="O52" s="117" t="n">
        <f aca="false">SUMIFS(الريسبي!$C$2:$C$1800,الريسبي!$A$2:$A$1800,$A52,الريسبي!$B$2:$B$1800,O$1)</f>
        <v>0</v>
      </c>
      <c r="P52" s="117" t="n">
        <f aca="false">SUMIFS(الريسبي!$C$2:$C$1800,الريسبي!$A$2:$A$1800,$A52,الريسبي!$B$2:$B$1800,P$1)</f>
        <v>0</v>
      </c>
      <c r="Q52" s="117" t="n">
        <f aca="false">SUMIFS(الريسبي!$C$2:$C$1800,الريسبي!$A$2:$A$1800,$A52,الريسبي!$B$2:$B$1800,Q$1)</f>
        <v>0</v>
      </c>
      <c r="R52" s="117" t="n">
        <f aca="false">SUMIFS(الريسبي!$C$2:$C$1800,الريسبي!$A$2:$A$1800,$A52,الريسبي!$B$2:$B$1800,R$1)</f>
        <v>0</v>
      </c>
      <c r="S52" s="117" t="n">
        <f aca="false">SUMIFS(الريسبي!$C$2:$C$1800,الريسبي!$A$2:$A$1800,$A52,الريسبي!$B$2:$B$1800,S$1)</f>
        <v>0</v>
      </c>
      <c r="T52" s="117" t="n">
        <f aca="false">SUMIFS(الريسبي!$C$2:$C$1800,الريسبي!$A$2:$A$1800,$A52,الريسبي!$B$2:$B$1800,T$1)</f>
        <v>0</v>
      </c>
      <c r="U52" s="117" t="n">
        <f aca="false">SUMIFS(الريسبي!$C$2:$C$1800,الريسبي!$A$2:$A$1800,$A52,الريسبي!$B$2:$B$1800,U$1)</f>
        <v>1</v>
      </c>
      <c r="V52" s="117" t="n">
        <f aca="false">SUMIFS(الريسبي!$C$2:$C$1800,الريسبي!$A$2:$A$1800,$A52,الريسبي!$B$2:$B$1800,V$1)+1.5*(SUMIFS(الريسبي!$C$2:$C$1800,الريسبي!$A$2:$A$1800,$A52,الريسبي!$B$2:$B$1800,"برسيون موتزريلا بيتزا كبير"))</f>
        <v>0</v>
      </c>
      <c r="W52" s="117" t="n">
        <f aca="false">0</f>
        <v>0</v>
      </c>
      <c r="X52" s="117" t="n">
        <f aca="false">SUMIFS(الريسبي!$C$2:$C$1800,الريسبي!$A$2:$A$1800,$A52,الريسبي!$B$2:$B$1800,X$1)+1.5*(SUMIFS(الريسبي!$C$2:$C$1800,الريسبي!$A$2:$A$1800,$A52,الريسبي!$B$2:$B$1800,"برسيون موتزريلا فطير كبير"))</f>
        <v>0</v>
      </c>
      <c r="Y52" s="117" t="n">
        <f aca="false">0</f>
        <v>0</v>
      </c>
      <c r="Z52" s="117" t="n">
        <f aca="false">SUMIFS(الريسبي!$C$2:$C$1800,الريسبي!$A$2:$A$1800,$A52,الريسبي!$B$2:$B$1800,Z$1)</f>
        <v>0.03</v>
      </c>
      <c r="AA52" s="117" t="n">
        <f aca="false">SUMIFS(الريسبي!$C$2:$C$1800,الريسبي!$A$2:$A$1800,$A52,الريسبي!$B$2:$B$1800,AA$1)</f>
        <v>0</v>
      </c>
      <c r="AB52" s="117" t="n">
        <f aca="false">SUMIFS(الريسبي!$C$2:$C$1800,الريسبي!$A$2:$A$1800,$A52,الريسبي!$B$2:$B$1800,AB$1)</f>
        <v>0.03</v>
      </c>
      <c r="AC52" s="117" t="n">
        <f aca="false">SUMIFS(الريسبي!$C$2:$C$1800,الريسبي!$A$2:$A$1800,$A52,الريسبي!$B$2:$B$1800,AC$1)</f>
        <v>0</v>
      </c>
      <c r="AD52" s="117" t="n">
        <f aca="false">SUMIFS(الريسبي!$C$2:$C$1800,الريسبي!$A$2:$A$1800,$A52,الريسبي!$B$2:$B$1800,AD$1)</f>
        <v>0</v>
      </c>
      <c r="AE52" s="117" t="n">
        <f aca="false">SUMIFS(الريسبي!$C$2:$C$1800,الريسبي!$A$2:$A$1800,$A52,الريسبي!$B$2:$B$1800,AE$1)</f>
        <v>0</v>
      </c>
      <c r="AF52" s="117" t="n">
        <f aca="false">SUMIFS(الريسبي!$C$2:$C$1800,الريسبي!$A$2:$A$1800,$A52,الريسبي!$B$2:$B$1800,AF$1)</f>
        <v>1</v>
      </c>
      <c r="AG52" s="117" t="n">
        <f aca="false">SUMIFS(الريسبي!$C$2:$C$1800,الريسبي!$A$2:$A$1800,$A52,الريسبي!$B$2:$B$1800,AG$1)</f>
        <v>0</v>
      </c>
      <c r="AH52" s="117" t="n">
        <f aca="false">SUMIFS(الريسبي!$C$2:$C$1800,الريسبي!$A$2:$A$1800,$A52,الريسبي!$B$2:$B$1800,AH$1)</f>
        <v>0</v>
      </c>
      <c r="AI52" s="117" t="n">
        <f aca="false">SUMIFS(الريسبي!$C$2:$C$1800,الريسبي!$A$2:$A$1800,$A52,الريسبي!$B$2:$B$1800,AI$1)</f>
        <v>0</v>
      </c>
      <c r="AJ52" s="117" t="n">
        <f aca="false">SUMIFS(الريسبي!$C$2:$C$1800,الريسبي!$A$2:$A$1800,$A52,الريسبي!$B$2:$B$1800,AJ$1)</f>
        <v>0</v>
      </c>
      <c r="AK52" s="117" t="n">
        <f aca="false">SUMIFS(الريسبي!$C$2:$C$1800,الريسبي!$A$2:$A$1800,$A52,الريسبي!$B$2:$B$1800,AK$1)</f>
        <v>0</v>
      </c>
      <c r="AL52" s="117" t="n">
        <f aca="false">SUMIFS(الريسبي!$C$2:$C$1800,الريسبي!$A$2:$A$1800,$A52,الريسبي!$B$2:$B$1800,AL$1)</f>
        <v>0</v>
      </c>
      <c r="AM52" s="117" t="n">
        <f aca="false">SUMIFS(الريسبي!$C$2:$C$1800,الريسبي!$A$2:$A$1800,$A52,الريسبي!$B$2:$B$1800,AM$1)+0.08333333333*SUMIFS(الريسبي!$C$2:$C$1800,الريسبي!$A$2:$A$1800,$A52,الريسبي!$B$2:$B$1800,"عجين كريب (مصنع بالمطعم)")+0.08333333333*SUMIFS(الريسبي!$C$2:$C$1800,الريسبي!$A$2:$A$1800,$A52,الريسبي!$B$2:$B$1800,"عجين كريب صيامي (بدون لبن)")</f>
        <v>0</v>
      </c>
      <c r="AN52" s="117" t="n">
        <f aca="false">SUMIFS(الريسبي!$C$2:$C$1800,الريسبي!$A$2:$A$1800,$A52,الريسبي!$B$2:$B$1800,AN$1)+0.004166666667*SUMIFS(الريسبي!$C$2:$C$1800,الريسبي!$A$2:$A$1800,$A52,الريسبي!$B$2:$B$1800,"عجين كريب (مصنع بالمطعم)")+0.004166666667*SUMIFS(الريسبي!$C$2:$C$1800,الريسبي!$A$2:$A$1800,$A52,الريسبي!$B$2:$B$1800,"عجين كريب صيامي (بدون لبن)")</f>
        <v>0</v>
      </c>
      <c r="AO52" s="117" t="n">
        <f aca="false">SUMIFS(الريسبي!$C$2:$C$1800,الريسبي!$A$2:$A$1800,$A52,الريسبي!$B$2:$B$1800,AO$1)</f>
        <v>0</v>
      </c>
      <c r="AP52" s="117" t="n">
        <f aca="false">SUMIFS(الريسبي!$C$2:$C$1800,الريسبي!$A$2:$A$1800,$A52,الريسبي!$B$2:$B$1800,AP$1)</f>
        <v>0</v>
      </c>
      <c r="AQ52" s="117" t="n">
        <f aca="false">SUMIFS(الريسبي!$C$2:$C$1800,الريسبي!$A$2:$A$1800,$A52,الريسبي!$B$2:$B$1800,AQ$1)+0.004166666667*SUMIFS(الريسبي!$C$2:$C$1800,الريسبي!$A$2:$A$1800,$A52,الريسبي!$B$2:$B$1800,"عجين كريب (مصنع بالمطعم)")+0.004166666667*SUMIFS(الريسبي!$C$2:$C$1800,الريسبي!$A$2:$A$1800,$A52,الريسبي!$B$2:$B$1800,"عجين كريب صيامي (بدون لبن)")</f>
        <v>0</v>
      </c>
      <c r="AR52" s="117" t="n">
        <f aca="false">SUMIFS(الريسبي!$C$2:$C$1800,الريسبي!$A$2:$A$1800,$A52,الريسبي!$B$2:$B$1800,AR$1)</f>
        <v>0</v>
      </c>
      <c r="AS52" s="117" t="n">
        <f aca="false">SUMIFS(الريسبي!$C$2:$C$1800,الريسبي!$A$2:$A$1800,$A52,الريسبي!$B$2:$B$1800,AS$1)</f>
        <v>1</v>
      </c>
      <c r="AT52" s="117" t="n">
        <f aca="false">SUMIFS(الريسبي!$C$2:$C$1800,الريسبي!$A$2:$A$1800,$A52,الريسبي!$B$2:$B$1800,AT$1)</f>
        <v>0</v>
      </c>
      <c r="AU52" s="117" t="n">
        <f aca="false">SUMIFS(الريسبي!$C$2:$C$1800,الريسبي!$A$2:$A$1800,$A52,الريسبي!$B$2:$B$1800,AU$1)</f>
        <v>1</v>
      </c>
      <c r="AV52" s="117" t="n">
        <f aca="false">SUMIFS(الريسبي!$C$2:$C$1800,الريسبي!$A$2:$A$1800,$A52,الريسبي!$B$2:$B$1800,AV$1)</f>
        <v>0.1</v>
      </c>
      <c r="AW52" s="117" t="n">
        <f aca="false">SUMIFS(الريسبي!$C$2:$C$1800,الريسبي!$A$2:$A$1800,$A52,الريسبي!$B$2:$B$1800,AW$1)</f>
        <v>0.05</v>
      </c>
      <c r="AX52" s="117" t="n">
        <f aca="false">SUMIFS(الريسبي!$C$2:$C$1800,الريسبي!$A$2:$A$1800,$A52,الريسبي!$B$2:$B$1800,AX$1)</f>
        <v>0</v>
      </c>
      <c r="AY52" s="117" t="n">
        <f aca="false">SUMIFS(الريسبي!$C$2:$C$1800,الريسبي!$A$2:$A$1800,$A52,الريسبي!$B$2:$B$1800,AY$1)</f>
        <v>0</v>
      </c>
      <c r="AZ52" s="117" t="n">
        <f aca="false">SUMIFS(الريسبي!$C$2:$C$1800,الريسبي!$A$2:$A$1800,$A52,الريسبي!$B$2:$B$1800,AZ$1)</f>
        <v>0</v>
      </c>
      <c r="BA52" s="117" t="n">
        <f aca="false">SUMIFS(الريسبي!$C$2:$C$1800,الريسبي!$A$2:$A$1800,$A52,الريسبي!$B$2:$B$1800,BA$1)</f>
        <v>0</v>
      </c>
      <c r="BB52" s="117" t="n">
        <f aca="false">SUMIFS(الريسبي!$C$2:$C$1800,الريسبي!$A$2:$A$1800,$A52,الريسبي!$B$2:$B$1800,BB$1)</f>
        <v>0</v>
      </c>
      <c r="BC52" s="117" t="n">
        <f aca="false">SUMIFS(الريسبي!$C$2:$C$1800,الريسبي!$A$2:$A$1800,$A52,الريسبي!$B$2:$B$1800,BC$1)</f>
        <v>0</v>
      </c>
      <c r="BD52" s="117" t="n">
        <f aca="false">SUMIFS(الريسبي!$C$2:$C$1800,الريسبي!$A$2:$A$1800,$A52,الريسبي!$B$2:$B$1800,BD$1)</f>
        <v>0</v>
      </c>
      <c r="BE52" s="117" t="n">
        <f aca="false">SUMIFS(الريسبي!$C$2:$C$1800,الريسبي!$A$2:$A$1800,$A52,الريسبي!$B$2:$B$1800,BE$1)</f>
        <v>1</v>
      </c>
      <c r="BF52" s="117" t="n">
        <f aca="false">SUMIFS(الريسبي!$C$2:$C$1800,الريسبي!$A$2:$A$1800,$A52,الريسبي!$B$2:$B$1800,BF$1)</f>
        <v>0</v>
      </c>
      <c r="BG52" s="117" t="n">
        <f aca="false">SUMIFS(الريسبي!$C$2:$C$1800,الريسبي!$A$2:$A$1800,$A52,الريسبي!$B$2:$B$1800,BG$1)</f>
        <v>0</v>
      </c>
      <c r="BH52" s="117" t="n">
        <f aca="false">SUMIFS(الريسبي!$C$2:$C$1800,الريسبي!$A$2:$A$1800,$A52,الريسبي!$B$2:$B$1800,BH$1)</f>
        <v>1</v>
      </c>
      <c r="BI52" s="117" t="n">
        <f aca="false">SUMIFS(الريسبي!$C$2:$C$1800,الريسبي!$A$2:$A$1800,$A52,الريسبي!$B$2:$B$1800,BI$1)</f>
        <v>0</v>
      </c>
      <c r="BJ52" s="117" t="n">
        <f aca="false">SUMIFS(الريسبي!$C$2:$C$1800,الريسبي!$A$2:$A$1800,$A52,الريسبي!$B$2:$B$1800,BJ$1)</f>
        <v>0</v>
      </c>
      <c r="BK52" s="117" t="n">
        <f aca="false">SUMIFS(الريسبي!$C$2:$C$1800,الريسبي!$A$2:$A$1800,$A52,الريسبي!$B$2:$B$1800,BK$1)</f>
        <v>0</v>
      </c>
      <c r="BL52" s="117" t="n">
        <f aca="false">SUMIFS(الريسبي!$C$2:$C$1800,الريسبي!$A$2:$A$1800,$A52,الريسبي!$B$2:$B$1800,BL$1)</f>
        <v>0</v>
      </c>
      <c r="BM52" s="117" t="n">
        <f aca="false">SUMIFS(الريسبي!$C$2:$C$1800,الريسبي!$A$2:$A$1800,$A52,الريسبي!$B$2:$B$1800,BM$1)</f>
        <v>0</v>
      </c>
      <c r="BN52" s="117" t="n">
        <f aca="false">SUMIFS(الريسبي!$C$2:$C$1800,الريسبي!$A$2:$A$1800,$A52,الريسبي!$B$2:$B$1800,BN$1)</f>
        <v>0</v>
      </c>
      <c r="BO52" s="117" t="n">
        <f aca="false">SUMIFS(الريسبي!$C$2:$C$1800,الريسبي!$A$2:$A$1800,$A52,الريسبي!$B$2:$B$1800,BO$1)</f>
        <v>0</v>
      </c>
      <c r="BP52" s="117" t="n">
        <f aca="false">SUMIFS(الريسبي!$C$2:$C$1800,الريسبي!$A$2:$A$1800,$A52,الريسبي!$B$2:$B$1800,BP$1)</f>
        <v>0</v>
      </c>
      <c r="BQ52" s="117" t="n">
        <f aca="false">SUMIFS(الريسبي!$C$2:$C$1800,الريسبي!$A$2:$A$1800,$A52,الريسبي!$B$2:$B$1800,BQ$1)+0.17*SUMIFS(الريسبي!$C$2:$C$1800,الريسبي!$A$2:$A$1800,$A52,الريسبي!$B$2:$B$1800,"كاسترد مصنع (خليط بودر + لبن)")+0.17*SUMIFS(الريسبي!$C$2:$C$1800,الريسبي!$A$2:$A$1800,$A52,الريسبي!$B$2:$B$1800,"كاسترد مصنع صيامي (بدون لبن)")</f>
        <v>0.0255</v>
      </c>
      <c r="BR52" s="117" t="n">
        <f aca="false">SUMIFS(الريسبي!$C$2:$C$1800,الريسبي!$A$2:$A$1800,$A52,الريسبي!$B$2:$B$1800,BR$1)</f>
        <v>0</v>
      </c>
      <c r="BS52" s="117" t="n">
        <f aca="false">SUMIFS(الريسبي!$C$2:$C$1800,الريسبي!$A$2:$A$1800,$A52,الريسبي!$B$2:$B$1800,BS$1)</f>
        <v>0</v>
      </c>
      <c r="BT52" s="117" t="n">
        <f aca="false">SUMIFS(الريسبي!$C$2:$C$1800,الريسبي!$A$2:$A$1800,$A52,الريسبي!$B$2:$B$1800,BT$1)</f>
        <v>0</v>
      </c>
      <c r="BU52" s="117" t="n">
        <f aca="false">SUMIFS(الريسبي!$C$2:$C$1800,الريسبي!$A$2:$A$1800,$A52,الريسبي!$B$2:$B$1800,BU$1)+0.4*SUMIFS(الريسبي!$C$2:$C$1800,الريسبي!$A$2:$A$1800,$A52,الريسبي!$B$2:$B$1800,"كاسترد مصنع (خليط بودر + لبن)")+0.03333333333*SUMIFS(الريسبي!$C$2:$C$1800,الريسبي!$A$2:$A$1800,$A52,الريسبي!$B$2:$B$1800,"عجين كريب (مصنع بالمطعم)")</f>
        <v>0.06</v>
      </c>
      <c r="BV52" s="117" t="n">
        <f aca="false">SUMIFS(الريسبي!$C$2:$C$1800,الريسبي!$A$2:$A$1800,$A52,الريسبي!$B$2:$B$1800,BV$1)</f>
        <v>0</v>
      </c>
      <c r="BW52" s="117" t="n">
        <f aca="false">SUMIFS(الريسبي!$C$2:$C$1800,الريسبي!$A$2:$A$1800,$A52,الريسبي!$B$2:$B$1800,BW$1)</f>
        <v>0.05</v>
      </c>
      <c r="BX52" s="117" t="n">
        <f aca="false">SUMIFS(الريسبي!$C$2:$C$1800,الريسبي!$A$2:$A$1800,$A52,الريسبي!$B$2:$B$1800,BX$1)</f>
        <v>0</v>
      </c>
      <c r="BY52" s="117" t="n">
        <f aca="false">SUMIFS(الريسبي!$C$2:$C$1800,الريسبي!$A$2:$A$1800,$A52,الريسبي!$B$2:$B$1800,BY$1)</f>
        <v>0</v>
      </c>
      <c r="BZ52" s="117" t="n">
        <f aca="false">SUMIFS(الريسبي!$C$2:$C$1800,الريسبي!$A$2:$A$1800,$A52,الريسبي!$B$2:$B$1800,BZ$1)</f>
        <v>0</v>
      </c>
      <c r="CA52" s="117" t="n">
        <f aca="false">SUMIFS(الريسبي!$C$2:$C$1800,الريسبي!$A$2:$A$1800,$A52,الريسبي!$B$2:$B$1800,CA$1)</f>
        <v>0</v>
      </c>
      <c r="CB52" s="117" t="n">
        <f aca="false">SUMIFS(الريسبي!$C$2:$C$1800,الريسبي!$A$2:$A$1800,$A52,الريسبي!$B$2:$B$1800,CB$1)</f>
        <v>0</v>
      </c>
      <c r="CC52" s="117" t="n">
        <f aca="false">SUMIFS(الريسبي!$C$2:$C$1800,الريسبي!$A$2:$A$1800,$A52,الريسبي!$B$2:$B$1800,CC$1)</f>
        <v>0</v>
      </c>
      <c r="CD52" s="117" t="n">
        <f aca="false">SUMIFS(الريسبي!$C$2:$C$1800,الريسبي!$A$2:$A$1800,$A52,الريسبي!$B$2:$B$1800,CD$1)</f>
        <v>0</v>
      </c>
      <c r="CE52" s="117" t="n">
        <f aca="false">SUMIFS(الريسبي!$C$2:$C$1800,الريسبي!$A$2:$A$1800,$A52,الريسبي!$B$2:$B$1800,CE$1)</f>
        <v>0</v>
      </c>
      <c r="CF52" s="117" t="n">
        <f aca="false">SUMIFS(الريسبي!$C$2:$C$1800,الريسبي!$A$2:$A$1800,$A52,الريسبي!$B$2:$B$1800,CF$1)</f>
        <v>0</v>
      </c>
      <c r="CG52" s="117" t="n">
        <f aca="false">SUMIFS(الريسبي!$C$2:$C$1800,الريسبي!$A$2:$A$1800,$A52,الريسبي!$B$2:$B$1800,CG$1)</f>
        <v>0</v>
      </c>
      <c r="CH52" s="117" t="n">
        <f aca="false">SUMIFS(الريسبي!$C$2:$C$1800,الريسبي!$A$2:$A$1800,$A52,الريسبي!$B$2:$B$1800,CH$1)</f>
        <v>0</v>
      </c>
      <c r="CI52" s="117" t="n">
        <f aca="false">SUMIFS(الريسبي!$C$2:$C$1800,الريسبي!$A$2:$A$1800,$A52,الريسبي!$B$2:$B$1800,CI$1)</f>
        <v>0</v>
      </c>
      <c r="CJ52" s="117" t="n">
        <f aca="false">SUMIFS(الريسبي!$C$2:$C$1800,الريسبي!$A$2:$A$1800,$A52,الريسبي!$B$2:$B$1800,CJ$1)</f>
        <v>0</v>
      </c>
      <c r="CK52" s="117" t="n">
        <f aca="false">SUMIFS(الريسبي!$C$2:$C$1800,الريسبي!$A$2:$A$1800,$A52,الريسبي!$B$2:$B$1800,CK$1)</f>
        <v>0</v>
      </c>
      <c r="CL52" s="117" t="n">
        <f aca="false">SUMIFS(الريسبي!$C$2:$C$1800,الريسبي!$A$2:$A$1800,$A52,الريسبي!$B$2:$B$1800,CL$1)</f>
        <v>0</v>
      </c>
    </row>
    <row r="53" customFormat="false" ht="15" hidden="false" customHeight="false" outlineLevel="0" collapsed="false">
      <c r="A53" s="116" t="str">
        <f aca="false">المنيو!B53</f>
        <v>قنبلة برجر</v>
      </c>
      <c r="B53" s="117" t="n">
        <f aca="false">SUMIFS(الريسبي!$C$2:$C$1800,الريسبي!$A$2:$A$1800,$A53,الريسبي!$B$2:$B$1800,B$1)</f>
        <v>0</v>
      </c>
      <c r="C53" s="117" t="n">
        <f aca="false">SUMIFS(الريسبي!$C$2:$C$1800,الريسبي!$A$2:$A$1800,$A53,الريسبي!$B$2:$B$1800,C$1)</f>
        <v>0</v>
      </c>
      <c r="D53" s="117" t="n">
        <f aca="false">SUMIFS(الريسبي!$C$2:$C$1800,الريسبي!$A$2:$A$1800,$A53,الريسبي!$B$2:$B$1800,D$1)</f>
        <v>1</v>
      </c>
      <c r="E53" s="117" t="n">
        <f aca="false">SUMIFS(الريسبي!$C$2:$C$1800,الريسبي!$A$2:$A$1800,$A53,الريسبي!$B$2:$B$1800,E$1)</f>
        <v>0</v>
      </c>
      <c r="F53" s="117" t="n">
        <f aca="false">SUMIFS(الريسبي!$C$2:$C$1800,الريسبي!$A$2:$A$1800,$A53,الريسبي!$B$2:$B$1800,F$1)</f>
        <v>2</v>
      </c>
      <c r="G53" s="117" t="n">
        <f aca="false">SUMIFS(الريسبي!$C$2:$C$1800,الريسبي!$A$2:$A$1800,$A53,الريسبي!$B$2:$B$1800,G$1)</f>
        <v>0</v>
      </c>
      <c r="H53" s="117" t="n">
        <f aca="false">SUMIFS(الريسبي!$C$2:$C$1800,الريسبي!$A$2:$A$1800,$A53,الريسبي!$B$2:$B$1800,H$1)</f>
        <v>0</v>
      </c>
      <c r="I53" s="117" t="n">
        <f aca="false">SUMIFS(الريسبي!$C$2:$C$1800,الريسبي!$A$2:$A$1800,$A53,الريسبي!$B$2:$B$1800,I$1)</f>
        <v>0</v>
      </c>
      <c r="J53" s="117" t="n">
        <f aca="false">SUMIFS(الريسبي!$C$2:$C$1800,الريسبي!$A$2:$A$1800,$A53,الريسبي!$B$2:$B$1800,J$1)</f>
        <v>0</v>
      </c>
      <c r="K53" s="117" t="n">
        <f aca="false">SUMIFS(الريسبي!$C$2:$C$1800,الريسبي!$A$2:$A$1800,$A53,الريسبي!$B$2:$B$1800,K$1)</f>
        <v>0</v>
      </c>
      <c r="L53" s="117" t="n">
        <f aca="false">SUMIFS(الريسبي!$C$2:$C$1800,الريسبي!$A$2:$A$1800,$A53,الريسبي!$B$2:$B$1800,L$1)</f>
        <v>0</v>
      </c>
      <c r="M53" s="117" t="n">
        <f aca="false">SUMIFS(الريسبي!$C$2:$C$1800,الريسبي!$A$2:$A$1800,$A53,الريسبي!$B$2:$B$1800,M$1)</f>
        <v>0</v>
      </c>
      <c r="N53" s="117" t="n">
        <f aca="false">SUMIFS(الريسبي!$C$2:$C$1800,الريسبي!$A$2:$A$1800,$A53,الريسبي!$B$2:$B$1800,N$1)</f>
        <v>0</v>
      </c>
      <c r="O53" s="117" t="n">
        <f aca="false">SUMIFS(الريسبي!$C$2:$C$1800,الريسبي!$A$2:$A$1800,$A53,الريسبي!$B$2:$B$1800,O$1)</f>
        <v>0</v>
      </c>
      <c r="P53" s="117" t="n">
        <f aca="false">SUMIFS(الريسبي!$C$2:$C$1800,الريسبي!$A$2:$A$1800,$A53,الريسبي!$B$2:$B$1800,P$1)</f>
        <v>0</v>
      </c>
      <c r="Q53" s="117" t="n">
        <f aca="false">SUMIFS(الريسبي!$C$2:$C$1800,الريسبي!$A$2:$A$1800,$A53,الريسبي!$B$2:$B$1800,Q$1)</f>
        <v>0</v>
      </c>
      <c r="R53" s="117" t="n">
        <f aca="false">SUMIFS(الريسبي!$C$2:$C$1800,الريسبي!$A$2:$A$1800,$A53,الريسبي!$B$2:$B$1800,R$1)</f>
        <v>0</v>
      </c>
      <c r="S53" s="117" t="n">
        <f aca="false">SUMIFS(الريسبي!$C$2:$C$1800,الريسبي!$A$2:$A$1800,$A53,الريسبي!$B$2:$B$1800,S$1)</f>
        <v>0</v>
      </c>
      <c r="T53" s="117" t="n">
        <f aca="false">SUMIFS(الريسبي!$C$2:$C$1800,الريسبي!$A$2:$A$1800,$A53,الريسبي!$B$2:$B$1800,T$1)</f>
        <v>0</v>
      </c>
      <c r="U53" s="117" t="n">
        <f aca="false">SUMIFS(الريسبي!$C$2:$C$1800,الريسبي!$A$2:$A$1800,$A53,الريسبي!$B$2:$B$1800,U$1)</f>
        <v>0</v>
      </c>
      <c r="V53" s="117" t="n">
        <f aca="false">SUMIFS(الريسبي!$C$2:$C$1800,الريسبي!$A$2:$A$1800,$A53,الريسبي!$B$2:$B$1800,V$1)+1.5*(SUMIFS(الريسبي!$C$2:$C$1800,الريسبي!$A$2:$A$1800,$A53,الريسبي!$B$2:$B$1800,"برسيون موتزريلا بيتزا كبير"))</f>
        <v>0.5</v>
      </c>
      <c r="W53" s="117" t="n">
        <f aca="false">0</f>
        <v>0</v>
      </c>
      <c r="X53" s="117" t="n">
        <f aca="false">SUMIFS(الريسبي!$C$2:$C$1800,الريسبي!$A$2:$A$1800,$A53,الريسبي!$B$2:$B$1800,X$1)+1.5*(SUMIFS(الريسبي!$C$2:$C$1800,الريسبي!$A$2:$A$1800,$A53,الريسبي!$B$2:$B$1800,"برسيون موتزريلا فطير كبير"))</f>
        <v>0</v>
      </c>
      <c r="Y53" s="117" t="n">
        <f aca="false">0</f>
        <v>0</v>
      </c>
      <c r="Z53" s="117" t="n">
        <f aca="false">SUMIFS(الريسبي!$C$2:$C$1800,الريسبي!$A$2:$A$1800,$A53,الريسبي!$B$2:$B$1800,Z$1)</f>
        <v>0</v>
      </c>
      <c r="AA53" s="117" t="n">
        <f aca="false">SUMIFS(الريسبي!$C$2:$C$1800,الريسبي!$A$2:$A$1800,$A53,الريسبي!$B$2:$B$1800,AA$1)</f>
        <v>0</v>
      </c>
      <c r="AB53" s="117" t="n">
        <f aca="false">SUMIFS(الريسبي!$C$2:$C$1800,الريسبي!$A$2:$A$1800,$A53,الريسبي!$B$2:$B$1800,AB$1)</f>
        <v>0</v>
      </c>
      <c r="AC53" s="117" t="n">
        <f aca="false">SUMIFS(الريسبي!$C$2:$C$1800,الريسبي!$A$2:$A$1800,$A53,الريسبي!$B$2:$B$1800,AC$1)</f>
        <v>0</v>
      </c>
      <c r="AD53" s="117" t="n">
        <f aca="false">SUMIFS(الريسبي!$C$2:$C$1800,الريسبي!$A$2:$A$1800,$A53,الريسبي!$B$2:$B$1800,AD$1)</f>
        <v>0</v>
      </c>
      <c r="AE53" s="117" t="n">
        <f aca="false">SUMIFS(الريسبي!$C$2:$C$1800,الريسبي!$A$2:$A$1800,$A53,الريسبي!$B$2:$B$1800,AE$1)</f>
        <v>0.02</v>
      </c>
      <c r="AF53" s="117" t="n">
        <f aca="false">SUMIFS(الريسبي!$C$2:$C$1800,الريسبي!$A$2:$A$1800,$A53,الريسبي!$B$2:$B$1800,AF$1)</f>
        <v>0</v>
      </c>
      <c r="AG53" s="117" t="n">
        <f aca="false">SUMIFS(الريسبي!$C$2:$C$1800,الريسبي!$A$2:$A$1800,$A53,الريسبي!$B$2:$B$1800,AG$1)</f>
        <v>0</v>
      </c>
      <c r="AH53" s="117" t="n">
        <f aca="false">SUMIFS(الريسبي!$C$2:$C$1800,الريسبي!$A$2:$A$1800,$A53,الريسبي!$B$2:$B$1800,AH$1)</f>
        <v>0</v>
      </c>
      <c r="AI53" s="117" t="n">
        <f aca="false">SUMIFS(الريسبي!$C$2:$C$1800,الريسبي!$A$2:$A$1800,$A53,الريسبي!$B$2:$B$1800,AI$1)</f>
        <v>0</v>
      </c>
      <c r="AJ53" s="117" t="n">
        <f aca="false">SUMIFS(الريسبي!$C$2:$C$1800,الريسبي!$A$2:$A$1800,$A53,الريسبي!$B$2:$B$1800,AJ$1)</f>
        <v>2</v>
      </c>
      <c r="AK53" s="117" t="n">
        <f aca="false">SUMIFS(الريسبي!$C$2:$C$1800,الريسبي!$A$2:$A$1800,$A53,الريسبي!$B$2:$B$1800,AK$1)</f>
        <v>0</v>
      </c>
      <c r="AL53" s="117" t="n">
        <f aca="false">SUMIFS(الريسبي!$C$2:$C$1800,الريسبي!$A$2:$A$1800,$A53,الريسبي!$B$2:$B$1800,AL$1)</f>
        <v>0.02</v>
      </c>
      <c r="AM53" s="117" t="n">
        <f aca="false">SUMIFS(الريسبي!$C$2:$C$1800,الريسبي!$A$2:$A$1800,$A53,الريسبي!$B$2:$B$1800,AM$1)+0.08333333333*SUMIFS(الريسبي!$C$2:$C$1800,الريسبي!$A$2:$A$1800,$A53,الريسبي!$B$2:$B$1800,"عجين كريب (مصنع بالمطعم)")+0.08333333333*SUMIFS(الريسبي!$C$2:$C$1800,الريسبي!$A$2:$A$1800,$A53,الريسبي!$B$2:$B$1800,"عجين كريب صيامي (بدون لبن)")</f>
        <v>0</v>
      </c>
      <c r="AN53" s="117" t="n">
        <f aca="false">SUMIFS(الريسبي!$C$2:$C$1800,الريسبي!$A$2:$A$1800,$A53,الريسبي!$B$2:$B$1800,AN$1)+0.004166666667*SUMIFS(الريسبي!$C$2:$C$1800,الريسبي!$A$2:$A$1800,$A53,الريسبي!$B$2:$B$1800,"عجين كريب (مصنع بالمطعم)")+0.004166666667*SUMIFS(الريسبي!$C$2:$C$1800,الريسبي!$A$2:$A$1800,$A53,الريسبي!$B$2:$B$1800,"عجين كريب صيامي (بدون لبن)")</f>
        <v>0</v>
      </c>
      <c r="AO53" s="117" t="n">
        <f aca="false">SUMIFS(الريسبي!$C$2:$C$1800,الريسبي!$A$2:$A$1800,$A53,الريسبي!$B$2:$B$1800,AO$1)</f>
        <v>0</v>
      </c>
      <c r="AP53" s="117" t="n">
        <f aca="false">SUMIFS(الريسبي!$C$2:$C$1800,الريسبي!$A$2:$A$1800,$A53,الريسبي!$B$2:$B$1800,AP$1)</f>
        <v>0</v>
      </c>
      <c r="AQ53" s="117" t="n">
        <f aca="false">SUMIFS(الريسبي!$C$2:$C$1800,الريسبي!$A$2:$A$1800,$A53,الريسبي!$B$2:$B$1800,AQ$1)+0.004166666667*SUMIFS(الريسبي!$C$2:$C$1800,الريسبي!$A$2:$A$1800,$A53,الريسبي!$B$2:$B$1800,"عجين كريب (مصنع بالمطعم)")+0.004166666667*SUMIFS(الريسبي!$C$2:$C$1800,الريسبي!$A$2:$A$1800,$A53,الريسبي!$B$2:$B$1800,"عجين كريب صيامي (بدون لبن)")</f>
        <v>0</v>
      </c>
      <c r="AR53" s="117" t="n">
        <f aca="false">SUMIFS(الريسبي!$C$2:$C$1800,الريسبي!$A$2:$A$1800,$A53,الريسبي!$B$2:$B$1800,AR$1)</f>
        <v>0</v>
      </c>
      <c r="AS53" s="117" t="n">
        <f aca="false">SUMIFS(الريسبي!$C$2:$C$1800,الريسبي!$A$2:$A$1800,$A53,الريسبي!$B$2:$B$1800,AS$1)</f>
        <v>0</v>
      </c>
      <c r="AT53" s="117" t="n">
        <f aca="false">SUMIFS(الريسبي!$C$2:$C$1800,الريسبي!$A$2:$A$1800,$A53,الريسبي!$B$2:$B$1800,AT$1)</f>
        <v>0</v>
      </c>
      <c r="AU53" s="117" t="n">
        <f aca="false">SUMIFS(الريسبي!$C$2:$C$1800,الريسبي!$A$2:$A$1800,$A53,الريسبي!$B$2:$B$1800,AU$1)</f>
        <v>0</v>
      </c>
      <c r="AV53" s="117" t="n">
        <f aca="false">SUMIFS(الريسبي!$C$2:$C$1800,الريسبي!$A$2:$A$1800,$A53,الريسبي!$B$2:$B$1800,AV$1)</f>
        <v>0</v>
      </c>
      <c r="AW53" s="117" t="n">
        <f aca="false">SUMIFS(الريسبي!$C$2:$C$1800,الريسبي!$A$2:$A$1800,$A53,الريسبي!$B$2:$B$1800,AW$1)</f>
        <v>0</v>
      </c>
      <c r="AX53" s="117" t="n">
        <f aca="false">SUMIFS(الريسبي!$C$2:$C$1800,الريسبي!$A$2:$A$1800,$A53,الريسبي!$B$2:$B$1800,AX$1)</f>
        <v>0</v>
      </c>
      <c r="AY53" s="117" t="n">
        <f aca="false">SUMIFS(الريسبي!$C$2:$C$1800,الريسبي!$A$2:$A$1800,$A53,الريسبي!$B$2:$B$1800,AY$1)</f>
        <v>0.05</v>
      </c>
      <c r="AZ53" s="117" t="n">
        <f aca="false">SUMIFS(الريسبي!$C$2:$C$1800,الريسبي!$A$2:$A$1800,$A53,الريسبي!$B$2:$B$1800,AZ$1)</f>
        <v>0.05</v>
      </c>
      <c r="BA53" s="117" t="n">
        <f aca="false">SUMIFS(الريسبي!$C$2:$C$1800,الريسبي!$A$2:$A$1800,$A53,الريسبي!$B$2:$B$1800,BA$1)</f>
        <v>0</v>
      </c>
      <c r="BB53" s="117" t="n">
        <f aca="false">SUMIFS(الريسبي!$C$2:$C$1800,الريسبي!$A$2:$A$1800,$A53,الريسبي!$B$2:$B$1800,BB$1)</f>
        <v>0.05</v>
      </c>
      <c r="BC53" s="117" t="n">
        <f aca="false">SUMIFS(الريسبي!$C$2:$C$1800,الريسبي!$A$2:$A$1800,$A53,الريسبي!$B$2:$B$1800,BC$1)</f>
        <v>0.02</v>
      </c>
      <c r="BD53" s="117" t="n">
        <f aca="false">SUMIFS(الريسبي!$C$2:$C$1800,الريسبي!$A$2:$A$1800,$A53,الريسبي!$B$2:$B$1800,BD$1)</f>
        <v>0.22</v>
      </c>
      <c r="BE53" s="117" t="n">
        <f aca="false">SUMIFS(الريسبي!$C$2:$C$1800,الريسبي!$A$2:$A$1800,$A53,الريسبي!$B$2:$B$1800,BE$1)</f>
        <v>0</v>
      </c>
      <c r="BF53" s="117" t="n">
        <f aca="false">SUMIFS(الريسبي!$C$2:$C$1800,الريسبي!$A$2:$A$1800,$A53,الريسبي!$B$2:$B$1800,BF$1)</f>
        <v>0</v>
      </c>
      <c r="BG53" s="117" t="n">
        <f aca="false">SUMIFS(الريسبي!$C$2:$C$1800,الريسبي!$A$2:$A$1800,$A53,الريسبي!$B$2:$B$1800,BG$1)</f>
        <v>0</v>
      </c>
      <c r="BH53" s="117" t="n">
        <f aca="false">SUMIFS(الريسبي!$C$2:$C$1800,الريسبي!$A$2:$A$1800,$A53,الريسبي!$B$2:$B$1800,BH$1)</f>
        <v>0</v>
      </c>
      <c r="BI53" s="117" t="n">
        <f aca="false">SUMIFS(الريسبي!$C$2:$C$1800,الريسبي!$A$2:$A$1800,$A53,الريسبي!$B$2:$B$1800,BI$1)</f>
        <v>0</v>
      </c>
      <c r="BJ53" s="117" t="n">
        <f aca="false">SUMIFS(الريسبي!$C$2:$C$1800,الريسبي!$A$2:$A$1800,$A53,الريسبي!$B$2:$B$1800,BJ$1)</f>
        <v>0</v>
      </c>
      <c r="BK53" s="117" t="n">
        <f aca="false">SUMIFS(الريسبي!$C$2:$C$1800,الريسبي!$A$2:$A$1800,$A53,الريسبي!$B$2:$B$1800,BK$1)</f>
        <v>0</v>
      </c>
      <c r="BL53" s="117" t="n">
        <f aca="false">SUMIFS(الريسبي!$C$2:$C$1800,الريسبي!$A$2:$A$1800,$A53,الريسبي!$B$2:$B$1800,BL$1)</f>
        <v>0</v>
      </c>
      <c r="BM53" s="117" t="n">
        <f aca="false">SUMIFS(الريسبي!$C$2:$C$1800,الريسبي!$A$2:$A$1800,$A53,الريسبي!$B$2:$B$1800,BM$1)</f>
        <v>0</v>
      </c>
      <c r="BN53" s="117" t="n">
        <f aca="false">SUMIFS(الريسبي!$C$2:$C$1800,الريسبي!$A$2:$A$1800,$A53,الريسبي!$B$2:$B$1800,BN$1)</f>
        <v>0.02</v>
      </c>
      <c r="BO53" s="117" t="n">
        <f aca="false">SUMIFS(الريسبي!$C$2:$C$1800,الريسبي!$A$2:$A$1800,$A53,الريسبي!$B$2:$B$1800,BO$1)</f>
        <v>0</v>
      </c>
      <c r="BP53" s="117" t="n">
        <f aca="false">SUMIFS(الريسبي!$C$2:$C$1800,الريسبي!$A$2:$A$1800,$A53,الريسبي!$B$2:$B$1800,BP$1)</f>
        <v>2</v>
      </c>
      <c r="BQ53" s="117" t="n">
        <f aca="false">SUMIFS(الريسبي!$C$2:$C$1800,الريسبي!$A$2:$A$1800,$A53,الريسبي!$B$2:$B$1800,BQ$1)+0.17*SUMIFS(الريسبي!$C$2:$C$1800,الريسبي!$A$2:$A$1800,$A53,الريسبي!$B$2:$B$1800,"كاسترد مصنع (خليط بودر + لبن)")+0.17*SUMIFS(الريسبي!$C$2:$C$1800,الريسبي!$A$2:$A$1800,$A53,الريسبي!$B$2:$B$1800,"كاسترد مصنع صيامي (بدون لبن)")</f>
        <v>0</v>
      </c>
      <c r="BR53" s="117" t="n">
        <f aca="false">SUMIFS(الريسبي!$C$2:$C$1800,الريسبي!$A$2:$A$1800,$A53,الريسبي!$B$2:$B$1800,BR$1)</f>
        <v>1</v>
      </c>
      <c r="BS53" s="117" t="n">
        <f aca="false">SUMIFS(الريسبي!$C$2:$C$1800,الريسبي!$A$2:$A$1800,$A53,الريسبي!$B$2:$B$1800,BS$1)</f>
        <v>0</v>
      </c>
      <c r="BT53" s="117" t="n">
        <f aca="false">SUMIFS(الريسبي!$C$2:$C$1800,الريسبي!$A$2:$A$1800,$A53,الريسبي!$B$2:$B$1800,BT$1)</f>
        <v>0</v>
      </c>
      <c r="BU53" s="117" t="n">
        <f aca="false">SUMIFS(الريسبي!$C$2:$C$1800,الريسبي!$A$2:$A$1800,$A53,الريسبي!$B$2:$B$1800,BU$1)+0.4*SUMIFS(الريسبي!$C$2:$C$1800,الريسبي!$A$2:$A$1800,$A53,الريسبي!$B$2:$B$1800,"كاسترد مصنع (خليط بودر + لبن)")+0.03333333333*SUMIFS(الريسبي!$C$2:$C$1800,الريسبي!$A$2:$A$1800,$A53,الريسبي!$B$2:$B$1800,"عجين كريب (مصنع بالمطعم)")</f>
        <v>0</v>
      </c>
      <c r="BV53" s="117" t="n">
        <f aca="false">SUMIFS(الريسبي!$C$2:$C$1800,الريسبي!$A$2:$A$1800,$A53,الريسبي!$B$2:$B$1800,BV$1)</f>
        <v>0</v>
      </c>
      <c r="BW53" s="117" t="n">
        <f aca="false">SUMIFS(الريسبي!$C$2:$C$1800,الريسبي!$A$2:$A$1800,$A53,الريسبي!$B$2:$B$1800,BW$1)</f>
        <v>0</v>
      </c>
      <c r="BX53" s="117" t="n">
        <f aca="false">SUMIFS(الريسبي!$C$2:$C$1800,الريسبي!$A$2:$A$1800,$A53,الريسبي!$B$2:$B$1800,BX$1)</f>
        <v>0</v>
      </c>
      <c r="BY53" s="117" t="n">
        <f aca="false">SUMIFS(الريسبي!$C$2:$C$1800,الريسبي!$A$2:$A$1800,$A53,الريسبي!$B$2:$B$1800,BY$1)</f>
        <v>0</v>
      </c>
      <c r="BZ53" s="117" t="n">
        <f aca="false">SUMIFS(الريسبي!$C$2:$C$1800,الريسبي!$A$2:$A$1800,$A53,الريسبي!$B$2:$B$1800,BZ$1)</f>
        <v>0</v>
      </c>
      <c r="CA53" s="117" t="n">
        <f aca="false">SUMIFS(الريسبي!$C$2:$C$1800,الريسبي!$A$2:$A$1800,$A53,الريسبي!$B$2:$B$1800,CA$1)</f>
        <v>1</v>
      </c>
      <c r="CB53" s="117" t="n">
        <f aca="false">SUMIFS(الريسبي!$C$2:$C$1800,الريسبي!$A$2:$A$1800,$A53,الريسبي!$B$2:$B$1800,CB$1)</f>
        <v>1</v>
      </c>
      <c r="CC53" s="117" t="n">
        <f aca="false">SUMIFS(الريسبي!$C$2:$C$1800,الريسبي!$A$2:$A$1800,$A53,الريسبي!$B$2:$B$1800,CC$1)</f>
        <v>0</v>
      </c>
      <c r="CD53" s="117" t="n">
        <f aca="false">SUMIFS(الريسبي!$C$2:$C$1800,الريسبي!$A$2:$A$1800,$A53,الريسبي!$B$2:$B$1800,CD$1)</f>
        <v>0</v>
      </c>
      <c r="CE53" s="117" t="n">
        <f aca="false">SUMIFS(الريسبي!$C$2:$C$1800,الريسبي!$A$2:$A$1800,$A53,الريسبي!$B$2:$B$1800,CE$1)</f>
        <v>0</v>
      </c>
      <c r="CF53" s="117" t="n">
        <f aca="false">SUMIFS(الريسبي!$C$2:$C$1800,الريسبي!$A$2:$A$1800,$A53,الريسبي!$B$2:$B$1800,CF$1)</f>
        <v>0</v>
      </c>
      <c r="CG53" s="117" t="n">
        <f aca="false">SUMIFS(الريسبي!$C$2:$C$1800,الريسبي!$A$2:$A$1800,$A53,الريسبي!$B$2:$B$1800,CG$1)</f>
        <v>1</v>
      </c>
      <c r="CH53" s="117" t="n">
        <f aca="false">SUMIFS(الريسبي!$C$2:$C$1800,الريسبي!$A$2:$A$1800,$A53,الريسبي!$B$2:$B$1800,CH$1)</f>
        <v>1</v>
      </c>
      <c r="CI53" s="117" t="n">
        <f aca="false">SUMIFS(الريسبي!$C$2:$C$1800,الريسبي!$A$2:$A$1800,$A53,الريسبي!$B$2:$B$1800,CI$1)</f>
        <v>0</v>
      </c>
      <c r="CJ53" s="117" t="n">
        <f aca="false">SUMIFS(الريسبي!$C$2:$C$1800,الريسبي!$A$2:$A$1800,$A53,الريسبي!$B$2:$B$1800,CJ$1)</f>
        <v>0</v>
      </c>
      <c r="CK53" s="117" t="n">
        <f aca="false">SUMIFS(الريسبي!$C$2:$C$1800,الريسبي!$A$2:$A$1800,$A53,الريسبي!$B$2:$B$1800,CK$1)</f>
        <v>0</v>
      </c>
      <c r="CL53" s="117" t="n">
        <f aca="false">SUMIFS(الريسبي!$C$2:$C$1800,الريسبي!$A$2:$A$1800,$A53,الريسبي!$B$2:$B$1800,CL$1)</f>
        <v>0</v>
      </c>
    </row>
    <row r="54" customFormat="false" ht="15" hidden="false" customHeight="false" outlineLevel="0" collapsed="false">
      <c r="A54" s="116" t="str">
        <f aca="false">المنيو!B54</f>
        <v>قنبلة كريسبي</v>
      </c>
      <c r="B54" s="117" t="n">
        <f aca="false">SUMIFS(الريسبي!$C$2:$C$1800,الريسبي!$A$2:$A$1800,$A54,الريسبي!$B$2:$B$1800,B$1)</f>
        <v>0</v>
      </c>
      <c r="C54" s="117" t="n">
        <f aca="false">SUMIFS(الريسبي!$C$2:$C$1800,الريسبي!$A$2:$A$1800,$A54,الريسبي!$B$2:$B$1800,C$1)</f>
        <v>0</v>
      </c>
      <c r="D54" s="117" t="n">
        <f aca="false">SUMIFS(الريسبي!$C$2:$C$1800,الريسبي!$A$2:$A$1800,$A54,الريسبي!$B$2:$B$1800,D$1)</f>
        <v>1</v>
      </c>
      <c r="E54" s="117" t="n">
        <f aca="false">SUMIFS(الريسبي!$C$2:$C$1800,الريسبي!$A$2:$A$1800,$A54,الريسبي!$B$2:$B$1800,E$1)</f>
        <v>0</v>
      </c>
      <c r="F54" s="117" t="n">
        <f aca="false">SUMIFS(الريسبي!$C$2:$C$1800,الريسبي!$A$2:$A$1800,$A54,الريسبي!$B$2:$B$1800,F$1)</f>
        <v>0</v>
      </c>
      <c r="G54" s="117" t="n">
        <f aca="false">SUMIFS(الريسبي!$C$2:$C$1800,الريسبي!$A$2:$A$1800,$A54,الريسبي!$B$2:$B$1800,G$1)</f>
        <v>0</v>
      </c>
      <c r="H54" s="117" t="n">
        <f aca="false">SUMIFS(الريسبي!$C$2:$C$1800,الريسبي!$A$2:$A$1800,$A54,الريسبي!$B$2:$B$1800,H$1)</f>
        <v>0</v>
      </c>
      <c r="I54" s="117" t="n">
        <f aca="false">SUMIFS(الريسبي!$C$2:$C$1800,الريسبي!$A$2:$A$1800,$A54,الريسبي!$B$2:$B$1800,I$1)</f>
        <v>0</v>
      </c>
      <c r="J54" s="117" t="n">
        <f aca="false">SUMIFS(الريسبي!$C$2:$C$1800,الريسبي!$A$2:$A$1800,$A54,الريسبي!$B$2:$B$1800,J$1)</f>
        <v>0</v>
      </c>
      <c r="K54" s="117" t="n">
        <f aca="false">SUMIFS(الريسبي!$C$2:$C$1800,الريسبي!$A$2:$A$1800,$A54,الريسبي!$B$2:$B$1800,K$1)</f>
        <v>0</v>
      </c>
      <c r="L54" s="117" t="n">
        <f aca="false">SUMIFS(الريسبي!$C$2:$C$1800,الريسبي!$A$2:$A$1800,$A54,الريسبي!$B$2:$B$1800,L$1)</f>
        <v>0</v>
      </c>
      <c r="M54" s="117" t="n">
        <f aca="false">SUMIFS(الريسبي!$C$2:$C$1800,الريسبي!$A$2:$A$1800,$A54,الريسبي!$B$2:$B$1800,M$1)</f>
        <v>0</v>
      </c>
      <c r="N54" s="117" t="n">
        <f aca="false">SUMIFS(الريسبي!$C$2:$C$1800,الريسبي!$A$2:$A$1800,$A54,الريسبي!$B$2:$B$1800,N$1)</f>
        <v>0</v>
      </c>
      <c r="O54" s="117" t="n">
        <f aca="false">SUMIFS(الريسبي!$C$2:$C$1800,الريسبي!$A$2:$A$1800,$A54,الريسبي!$B$2:$B$1800,O$1)</f>
        <v>0</v>
      </c>
      <c r="P54" s="117" t="n">
        <f aca="false">SUMIFS(الريسبي!$C$2:$C$1800,الريسبي!$A$2:$A$1800,$A54,الريسبي!$B$2:$B$1800,P$1)</f>
        <v>0</v>
      </c>
      <c r="Q54" s="117" t="n">
        <f aca="false">SUMIFS(الريسبي!$C$2:$C$1800,الريسبي!$A$2:$A$1800,$A54,الريسبي!$B$2:$B$1800,Q$1)</f>
        <v>1</v>
      </c>
      <c r="R54" s="117" t="n">
        <f aca="false">SUMIFS(الريسبي!$C$2:$C$1800,الريسبي!$A$2:$A$1800,$A54,الريسبي!$B$2:$B$1800,R$1)</f>
        <v>0</v>
      </c>
      <c r="S54" s="117" t="n">
        <f aca="false">SUMIFS(الريسبي!$C$2:$C$1800,الريسبي!$A$2:$A$1800,$A54,الريسبي!$B$2:$B$1800,S$1)</f>
        <v>0</v>
      </c>
      <c r="T54" s="117" t="n">
        <f aca="false">SUMIFS(الريسبي!$C$2:$C$1800,الريسبي!$A$2:$A$1800,$A54,الريسبي!$B$2:$B$1800,T$1)</f>
        <v>0</v>
      </c>
      <c r="U54" s="117" t="n">
        <f aca="false">SUMIFS(الريسبي!$C$2:$C$1800,الريسبي!$A$2:$A$1800,$A54,الريسبي!$B$2:$B$1800,U$1)</f>
        <v>0</v>
      </c>
      <c r="V54" s="117" t="n">
        <f aca="false">SUMIFS(الريسبي!$C$2:$C$1800,الريسبي!$A$2:$A$1800,$A54,الريسبي!$B$2:$B$1800,V$1)+1.5*(SUMIFS(الريسبي!$C$2:$C$1800,الريسبي!$A$2:$A$1800,$A54,الريسبي!$B$2:$B$1800,"برسيون موتزريلا بيتزا كبير"))</f>
        <v>1</v>
      </c>
      <c r="W54" s="117" t="n">
        <f aca="false">0</f>
        <v>0</v>
      </c>
      <c r="X54" s="117" t="n">
        <f aca="false">SUMIFS(الريسبي!$C$2:$C$1800,الريسبي!$A$2:$A$1800,$A54,الريسبي!$B$2:$B$1800,X$1)+1.5*(SUMIFS(الريسبي!$C$2:$C$1800,الريسبي!$A$2:$A$1800,$A54,الريسبي!$B$2:$B$1800,"برسيون موتزريلا فطير كبير"))</f>
        <v>0</v>
      </c>
      <c r="Y54" s="117" t="n">
        <f aca="false">0</f>
        <v>0</v>
      </c>
      <c r="Z54" s="117" t="n">
        <f aca="false">SUMIFS(الريسبي!$C$2:$C$1800,الريسبي!$A$2:$A$1800,$A54,الريسبي!$B$2:$B$1800,Z$1)</f>
        <v>0</v>
      </c>
      <c r="AA54" s="117" t="n">
        <f aca="false">SUMIFS(الريسبي!$C$2:$C$1800,الريسبي!$A$2:$A$1800,$A54,الريسبي!$B$2:$B$1800,AA$1)</f>
        <v>0</v>
      </c>
      <c r="AB54" s="117" t="n">
        <f aca="false">SUMIFS(الريسبي!$C$2:$C$1800,الريسبي!$A$2:$A$1800,$A54,الريسبي!$B$2:$B$1800,AB$1)</f>
        <v>0</v>
      </c>
      <c r="AC54" s="117" t="n">
        <f aca="false">SUMIFS(الريسبي!$C$2:$C$1800,الريسبي!$A$2:$A$1800,$A54,الريسبي!$B$2:$B$1800,AC$1)</f>
        <v>0</v>
      </c>
      <c r="AD54" s="117" t="n">
        <f aca="false">SUMIFS(الريسبي!$C$2:$C$1800,الريسبي!$A$2:$A$1800,$A54,الريسبي!$B$2:$B$1800,AD$1)</f>
        <v>0</v>
      </c>
      <c r="AE54" s="117" t="n">
        <f aca="false">SUMIFS(الريسبي!$C$2:$C$1800,الريسبي!$A$2:$A$1800,$A54,الريسبي!$B$2:$B$1800,AE$1)</f>
        <v>0.02</v>
      </c>
      <c r="AF54" s="117" t="n">
        <f aca="false">SUMIFS(الريسبي!$C$2:$C$1800,الريسبي!$A$2:$A$1800,$A54,الريسبي!$B$2:$B$1800,AF$1)</f>
        <v>0</v>
      </c>
      <c r="AG54" s="117" t="n">
        <f aca="false">SUMIFS(الريسبي!$C$2:$C$1800,الريسبي!$A$2:$A$1800,$A54,الريسبي!$B$2:$B$1800,AG$1)</f>
        <v>0</v>
      </c>
      <c r="AH54" s="117" t="n">
        <f aca="false">SUMIFS(الريسبي!$C$2:$C$1800,الريسبي!$A$2:$A$1800,$A54,الريسبي!$B$2:$B$1800,AH$1)</f>
        <v>0</v>
      </c>
      <c r="AI54" s="117" t="n">
        <f aca="false">SUMIFS(الريسبي!$C$2:$C$1800,الريسبي!$A$2:$A$1800,$A54,الريسبي!$B$2:$B$1800,AI$1)</f>
        <v>0</v>
      </c>
      <c r="AJ54" s="117" t="n">
        <f aca="false">SUMIFS(الريسبي!$C$2:$C$1800,الريسبي!$A$2:$A$1800,$A54,الريسبي!$B$2:$B$1800,AJ$1)</f>
        <v>2</v>
      </c>
      <c r="AK54" s="117" t="n">
        <f aca="false">SUMIFS(الريسبي!$C$2:$C$1800,الريسبي!$A$2:$A$1800,$A54,الريسبي!$B$2:$B$1800,AK$1)</f>
        <v>0</v>
      </c>
      <c r="AL54" s="117" t="n">
        <f aca="false">SUMIFS(الريسبي!$C$2:$C$1800,الريسبي!$A$2:$A$1800,$A54,الريسبي!$B$2:$B$1800,AL$1)</f>
        <v>0.02</v>
      </c>
      <c r="AM54" s="117" t="n">
        <f aca="false">SUMIFS(الريسبي!$C$2:$C$1800,الريسبي!$A$2:$A$1800,$A54,الريسبي!$B$2:$B$1800,AM$1)+0.08333333333*SUMIFS(الريسبي!$C$2:$C$1800,الريسبي!$A$2:$A$1800,$A54,الريسبي!$B$2:$B$1800,"عجين كريب (مصنع بالمطعم)")+0.08333333333*SUMIFS(الريسبي!$C$2:$C$1800,الريسبي!$A$2:$A$1800,$A54,الريسبي!$B$2:$B$1800,"عجين كريب صيامي (بدون لبن)")</f>
        <v>0</v>
      </c>
      <c r="AN54" s="117" t="n">
        <f aca="false">SUMIFS(الريسبي!$C$2:$C$1800,الريسبي!$A$2:$A$1800,$A54,الريسبي!$B$2:$B$1800,AN$1)+0.004166666667*SUMIFS(الريسبي!$C$2:$C$1800,الريسبي!$A$2:$A$1800,$A54,الريسبي!$B$2:$B$1800,"عجين كريب (مصنع بالمطعم)")+0.004166666667*SUMIFS(الريسبي!$C$2:$C$1800,الريسبي!$A$2:$A$1800,$A54,الريسبي!$B$2:$B$1800,"عجين كريب صيامي (بدون لبن)")</f>
        <v>0</v>
      </c>
      <c r="AO54" s="117" t="n">
        <f aca="false">SUMIFS(الريسبي!$C$2:$C$1800,الريسبي!$A$2:$A$1800,$A54,الريسبي!$B$2:$B$1800,AO$1)</f>
        <v>0</v>
      </c>
      <c r="AP54" s="117" t="n">
        <f aca="false">SUMIFS(الريسبي!$C$2:$C$1800,الريسبي!$A$2:$A$1800,$A54,الريسبي!$B$2:$B$1800,AP$1)</f>
        <v>0</v>
      </c>
      <c r="AQ54" s="117" t="n">
        <f aca="false">SUMIFS(الريسبي!$C$2:$C$1800,الريسبي!$A$2:$A$1800,$A54,الريسبي!$B$2:$B$1800,AQ$1)+0.004166666667*SUMIFS(الريسبي!$C$2:$C$1800,الريسبي!$A$2:$A$1800,$A54,الريسبي!$B$2:$B$1800,"عجين كريب (مصنع بالمطعم)")+0.004166666667*SUMIFS(الريسبي!$C$2:$C$1800,الريسبي!$A$2:$A$1800,$A54,الريسبي!$B$2:$B$1800,"عجين كريب صيامي (بدون لبن)")</f>
        <v>0</v>
      </c>
      <c r="AR54" s="117" t="n">
        <f aca="false">SUMIFS(الريسبي!$C$2:$C$1800,الريسبي!$A$2:$A$1800,$A54,الريسبي!$B$2:$B$1800,AR$1)</f>
        <v>0</v>
      </c>
      <c r="AS54" s="117" t="n">
        <f aca="false">SUMIFS(الريسبي!$C$2:$C$1800,الريسبي!$A$2:$A$1800,$A54,الريسبي!$B$2:$B$1800,AS$1)</f>
        <v>0</v>
      </c>
      <c r="AT54" s="117" t="n">
        <f aca="false">SUMIFS(الريسبي!$C$2:$C$1800,الريسبي!$A$2:$A$1800,$A54,الريسبي!$B$2:$B$1800,AT$1)</f>
        <v>0</v>
      </c>
      <c r="AU54" s="117" t="n">
        <f aca="false">SUMIFS(الريسبي!$C$2:$C$1800,الريسبي!$A$2:$A$1800,$A54,الريسبي!$B$2:$B$1800,AU$1)</f>
        <v>0</v>
      </c>
      <c r="AV54" s="117" t="n">
        <f aca="false">SUMIFS(الريسبي!$C$2:$C$1800,الريسبي!$A$2:$A$1800,$A54,الريسبي!$B$2:$B$1800,AV$1)</f>
        <v>0</v>
      </c>
      <c r="AW54" s="117" t="n">
        <f aca="false">SUMIFS(الريسبي!$C$2:$C$1800,الريسبي!$A$2:$A$1800,$A54,الريسبي!$B$2:$B$1800,AW$1)</f>
        <v>0</v>
      </c>
      <c r="AX54" s="117" t="n">
        <f aca="false">SUMIFS(الريسبي!$C$2:$C$1800,الريسبي!$A$2:$A$1800,$A54,الريسبي!$B$2:$B$1800,AX$1)</f>
        <v>0</v>
      </c>
      <c r="AY54" s="117" t="n">
        <f aca="false">SUMIFS(الريسبي!$C$2:$C$1800,الريسبي!$A$2:$A$1800,$A54,الريسبي!$B$2:$B$1800,AY$1)</f>
        <v>0.05</v>
      </c>
      <c r="AZ54" s="117" t="n">
        <f aca="false">SUMIFS(الريسبي!$C$2:$C$1800,الريسبي!$A$2:$A$1800,$A54,الريسبي!$B$2:$B$1800,AZ$1)</f>
        <v>0</v>
      </c>
      <c r="BA54" s="117" t="n">
        <f aca="false">SUMIFS(الريسبي!$C$2:$C$1800,الريسبي!$A$2:$A$1800,$A54,الريسبي!$B$2:$B$1800,BA$1)</f>
        <v>0.05</v>
      </c>
      <c r="BB54" s="117" t="n">
        <f aca="false">SUMIFS(الريسبي!$C$2:$C$1800,الريسبي!$A$2:$A$1800,$A54,الريسبي!$B$2:$B$1800,BB$1)</f>
        <v>0.05</v>
      </c>
      <c r="BC54" s="117" t="n">
        <f aca="false">SUMIFS(الريسبي!$C$2:$C$1800,الريسبي!$A$2:$A$1800,$A54,الريسبي!$B$2:$B$1800,BC$1)</f>
        <v>0.02</v>
      </c>
      <c r="BD54" s="117" t="n">
        <f aca="false">SUMIFS(الريسبي!$C$2:$C$1800,الريسبي!$A$2:$A$1800,$A54,الريسبي!$B$2:$B$1800,BD$1)</f>
        <v>0.22</v>
      </c>
      <c r="BE54" s="117" t="n">
        <f aca="false">SUMIFS(الريسبي!$C$2:$C$1800,الريسبي!$A$2:$A$1800,$A54,الريسبي!$B$2:$B$1800,BE$1)</f>
        <v>0</v>
      </c>
      <c r="BF54" s="117" t="n">
        <f aca="false">SUMIFS(الريسبي!$C$2:$C$1800,الريسبي!$A$2:$A$1800,$A54,الريسبي!$B$2:$B$1800,BF$1)</f>
        <v>0</v>
      </c>
      <c r="BG54" s="117" t="n">
        <f aca="false">SUMIFS(الريسبي!$C$2:$C$1800,الريسبي!$A$2:$A$1800,$A54,الريسبي!$B$2:$B$1800,BG$1)</f>
        <v>0</v>
      </c>
      <c r="BH54" s="117" t="n">
        <f aca="false">SUMIFS(الريسبي!$C$2:$C$1800,الريسبي!$A$2:$A$1800,$A54,الريسبي!$B$2:$B$1800,BH$1)</f>
        <v>0</v>
      </c>
      <c r="BI54" s="117" t="n">
        <f aca="false">SUMIFS(الريسبي!$C$2:$C$1800,الريسبي!$A$2:$A$1800,$A54,الريسبي!$B$2:$B$1800,BI$1)</f>
        <v>0</v>
      </c>
      <c r="BJ54" s="117" t="n">
        <f aca="false">SUMIFS(الريسبي!$C$2:$C$1800,الريسبي!$A$2:$A$1800,$A54,الريسبي!$B$2:$B$1800,BJ$1)</f>
        <v>0</v>
      </c>
      <c r="BK54" s="117" t="n">
        <f aca="false">SUMIFS(الريسبي!$C$2:$C$1800,الريسبي!$A$2:$A$1800,$A54,الريسبي!$B$2:$B$1800,BK$1)</f>
        <v>0</v>
      </c>
      <c r="BL54" s="117" t="n">
        <f aca="false">SUMIFS(الريسبي!$C$2:$C$1800,الريسبي!$A$2:$A$1800,$A54,الريسبي!$B$2:$B$1800,BL$1)</f>
        <v>0</v>
      </c>
      <c r="BM54" s="117" t="n">
        <f aca="false">SUMIFS(الريسبي!$C$2:$C$1800,الريسبي!$A$2:$A$1800,$A54,الريسبي!$B$2:$B$1800,BM$1)</f>
        <v>0</v>
      </c>
      <c r="BN54" s="117" t="n">
        <f aca="false">SUMIFS(الريسبي!$C$2:$C$1800,الريسبي!$A$2:$A$1800,$A54,الريسبي!$B$2:$B$1800,BN$1)</f>
        <v>0.02</v>
      </c>
      <c r="BO54" s="117" t="n">
        <f aca="false">SUMIFS(الريسبي!$C$2:$C$1800,الريسبي!$A$2:$A$1800,$A54,الريسبي!$B$2:$B$1800,BO$1)</f>
        <v>0</v>
      </c>
      <c r="BP54" s="117" t="n">
        <f aca="false">SUMIFS(الريسبي!$C$2:$C$1800,الريسبي!$A$2:$A$1800,$A54,الريسبي!$B$2:$B$1800,BP$1)</f>
        <v>2</v>
      </c>
      <c r="BQ54" s="117" t="n">
        <f aca="false">SUMIFS(الريسبي!$C$2:$C$1800,الريسبي!$A$2:$A$1800,$A54,الريسبي!$B$2:$B$1800,BQ$1)+0.17*SUMIFS(الريسبي!$C$2:$C$1800,الريسبي!$A$2:$A$1800,$A54,الريسبي!$B$2:$B$1800,"كاسترد مصنع (خليط بودر + لبن)")+0.17*SUMIFS(الريسبي!$C$2:$C$1800,الريسبي!$A$2:$A$1800,$A54,الريسبي!$B$2:$B$1800,"كاسترد مصنع صيامي (بدون لبن)")</f>
        <v>0</v>
      </c>
      <c r="BR54" s="117" t="n">
        <f aca="false">SUMIFS(الريسبي!$C$2:$C$1800,الريسبي!$A$2:$A$1800,$A54,الريسبي!$B$2:$B$1800,BR$1)</f>
        <v>1</v>
      </c>
      <c r="BS54" s="117" t="n">
        <f aca="false">SUMIFS(الريسبي!$C$2:$C$1800,الريسبي!$A$2:$A$1800,$A54,الريسبي!$B$2:$B$1800,BS$1)</f>
        <v>0</v>
      </c>
      <c r="BT54" s="117" t="n">
        <f aca="false">SUMIFS(الريسبي!$C$2:$C$1800,الريسبي!$A$2:$A$1800,$A54,الريسبي!$B$2:$B$1800,BT$1)</f>
        <v>0</v>
      </c>
      <c r="BU54" s="117" t="n">
        <f aca="false">SUMIFS(الريسبي!$C$2:$C$1800,الريسبي!$A$2:$A$1800,$A54,الريسبي!$B$2:$B$1800,BU$1)+0.4*SUMIFS(الريسبي!$C$2:$C$1800,الريسبي!$A$2:$A$1800,$A54,الريسبي!$B$2:$B$1800,"كاسترد مصنع (خليط بودر + لبن)")+0.03333333333*SUMIFS(الريسبي!$C$2:$C$1800,الريسبي!$A$2:$A$1800,$A54,الريسبي!$B$2:$B$1800,"عجين كريب (مصنع بالمطعم)")</f>
        <v>0</v>
      </c>
      <c r="BV54" s="117" t="n">
        <f aca="false">SUMIFS(الريسبي!$C$2:$C$1800,الريسبي!$A$2:$A$1800,$A54,الريسبي!$B$2:$B$1800,BV$1)</f>
        <v>0</v>
      </c>
      <c r="BW54" s="117" t="n">
        <f aca="false">SUMIFS(الريسبي!$C$2:$C$1800,الريسبي!$A$2:$A$1800,$A54,الريسبي!$B$2:$B$1800,BW$1)</f>
        <v>0</v>
      </c>
      <c r="BX54" s="117" t="n">
        <f aca="false">SUMIFS(الريسبي!$C$2:$C$1800,الريسبي!$A$2:$A$1800,$A54,الريسبي!$B$2:$B$1800,BX$1)</f>
        <v>0</v>
      </c>
      <c r="BY54" s="117" t="n">
        <f aca="false">SUMIFS(الريسبي!$C$2:$C$1800,الريسبي!$A$2:$A$1800,$A54,الريسبي!$B$2:$B$1800,BY$1)</f>
        <v>0</v>
      </c>
      <c r="BZ54" s="117" t="n">
        <f aca="false">SUMIFS(الريسبي!$C$2:$C$1800,الريسبي!$A$2:$A$1800,$A54,الريسبي!$B$2:$B$1800,BZ$1)</f>
        <v>0</v>
      </c>
      <c r="CA54" s="117" t="n">
        <f aca="false">SUMIFS(الريسبي!$C$2:$C$1800,الريسبي!$A$2:$A$1800,$A54,الريسبي!$B$2:$B$1800,CA$1)</f>
        <v>1</v>
      </c>
      <c r="CB54" s="117" t="n">
        <f aca="false">SUMIFS(الريسبي!$C$2:$C$1800,الريسبي!$A$2:$A$1800,$A54,الريسبي!$B$2:$B$1800,CB$1)</f>
        <v>1</v>
      </c>
      <c r="CC54" s="117" t="n">
        <f aca="false">SUMIFS(الريسبي!$C$2:$C$1800,الريسبي!$A$2:$A$1800,$A54,الريسبي!$B$2:$B$1800,CC$1)</f>
        <v>0</v>
      </c>
      <c r="CD54" s="117" t="n">
        <f aca="false">SUMIFS(الريسبي!$C$2:$C$1800,الريسبي!$A$2:$A$1800,$A54,الريسبي!$B$2:$B$1800,CD$1)</f>
        <v>0</v>
      </c>
      <c r="CE54" s="117" t="n">
        <f aca="false">SUMIFS(الريسبي!$C$2:$C$1800,الريسبي!$A$2:$A$1800,$A54,الريسبي!$B$2:$B$1800,CE$1)</f>
        <v>0</v>
      </c>
      <c r="CF54" s="117" t="n">
        <f aca="false">SUMIFS(الريسبي!$C$2:$C$1800,الريسبي!$A$2:$A$1800,$A54,الريسبي!$B$2:$B$1800,CF$1)</f>
        <v>0</v>
      </c>
      <c r="CG54" s="117" t="n">
        <f aca="false">SUMIFS(الريسبي!$C$2:$C$1800,الريسبي!$A$2:$A$1800,$A54,الريسبي!$B$2:$B$1800,CG$1)</f>
        <v>1</v>
      </c>
      <c r="CH54" s="117" t="n">
        <f aca="false">SUMIFS(الريسبي!$C$2:$C$1800,الريسبي!$A$2:$A$1800,$A54,الريسبي!$B$2:$B$1800,CH$1)</f>
        <v>1</v>
      </c>
      <c r="CI54" s="117" t="n">
        <f aca="false">SUMIFS(الريسبي!$C$2:$C$1800,الريسبي!$A$2:$A$1800,$A54,الريسبي!$B$2:$B$1800,CI$1)</f>
        <v>0</v>
      </c>
      <c r="CJ54" s="117" t="n">
        <f aca="false">SUMIFS(الريسبي!$C$2:$C$1800,الريسبي!$A$2:$A$1800,$A54,الريسبي!$B$2:$B$1800,CJ$1)</f>
        <v>0</v>
      </c>
      <c r="CK54" s="117" t="n">
        <f aca="false">SUMIFS(الريسبي!$C$2:$C$1800,الريسبي!$A$2:$A$1800,$A54,الريسبي!$B$2:$B$1800,CK$1)</f>
        <v>0</v>
      </c>
      <c r="CL54" s="117" t="n">
        <f aca="false">SUMIFS(الريسبي!$C$2:$C$1800,الريسبي!$A$2:$A$1800,$A54,الريسبي!$B$2:$B$1800,CL$1)</f>
        <v>0</v>
      </c>
    </row>
    <row r="55" customFormat="false" ht="15" hidden="false" customHeight="false" outlineLevel="0" collapsed="false">
      <c r="A55" s="116" t="str">
        <f aca="false">المنيو!B55</f>
        <v>بهججة بيتزا برجر</v>
      </c>
      <c r="B55" s="117" t="n">
        <f aca="false">SUMIFS(الريسبي!$C$2:$C$1800,الريسبي!$A$2:$A$1800,$A55,الريسبي!$B$2:$B$1800,B$1)</f>
        <v>0</v>
      </c>
      <c r="C55" s="117" t="n">
        <f aca="false">SUMIFS(الريسبي!$C$2:$C$1800,الريسبي!$A$2:$A$1800,$A55,الريسبي!$B$2:$B$1800,C$1)</f>
        <v>0</v>
      </c>
      <c r="D55" s="117" t="n">
        <f aca="false">SUMIFS(الريسبي!$C$2:$C$1800,الريسبي!$A$2:$A$1800,$A55,الريسبي!$B$2:$B$1800,D$1)</f>
        <v>1</v>
      </c>
      <c r="E55" s="117" t="n">
        <f aca="false">SUMIFS(الريسبي!$C$2:$C$1800,الريسبي!$A$2:$A$1800,$A55,الريسبي!$B$2:$B$1800,E$1)</f>
        <v>0</v>
      </c>
      <c r="F55" s="117" t="n">
        <f aca="false">SUMIFS(الريسبي!$C$2:$C$1800,الريسبي!$A$2:$A$1800,$A55,الريسبي!$B$2:$B$1800,F$1)</f>
        <v>2</v>
      </c>
      <c r="G55" s="117" t="n">
        <f aca="false">SUMIFS(الريسبي!$C$2:$C$1800,الريسبي!$A$2:$A$1800,$A55,الريسبي!$B$2:$B$1800,G$1)</f>
        <v>0</v>
      </c>
      <c r="H55" s="117" t="n">
        <f aca="false">SUMIFS(الريسبي!$C$2:$C$1800,الريسبي!$A$2:$A$1800,$A55,الريسبي!$B$2:$B$1800,H$1)</f>
        <v>0</v>
      </c>
      <c r="I55" s="117" t="n">
        <f aca="false">SUMIFS(الريسبي!$C$2:$C$1800,الريسبي!$A$2:$A$1800,$A55,الريسبي!$B$2:$B$1800,I$1)</f>
        <v>0</v>
      </c>
      <c r="J55" s="117" t="n">
        <f aca="false">SUMIFS(الريسبي!$C$2:$C$1800,الريسبي!$A$2:$A$1800,$A55,الريسبي!$B$2:$B$1800,J$1)</f>
        <v>0</v>
      </c>
      <c r="K55" s="117" t="n">
        <f aca="false">SUMIFS(الريسبي!$C$2:$C$1800,الريسبي!$A$2:$A$1800,$A55,الريسبي!$B$2:$B$1800,K$1)</f>
        <v>0</v>
      </c>
      <c r="L55" s="117" t="n">
        <f aca="false">SUMIFS(الريسبي!$C$2:$C$1800,الريسبي!$A$2:$A$1800,$A55,الريسبي!$B$2:$B$1800,L$1)</f>
        <v>0</v>
      </c>
      <c r="M55" s="117" t="n">
        <f aca="false">SUMIFS(الريسبي!$C$2:$C$1800,الريسبي!$A$2:$A$1800,$A55,الريسبي!$B$2:$B$1800,M$1)</f>
        <v>0</v>
      </c>
      <c r="N55" s="117" t="n">
        <f aca="false">SUMIFS(الريسبي!$C$2:$C$1800,الريسبي!$A$2:$A$1800,$A55,الريسبي!$B$2:$B$1800,N$1)</f>
        <v>0.3</v>
      </c>
      <c r="O55" s="117" t="n">
        <f aca="false">SUMIFS(الريسبي!$C$2:$C$1800,الريسبي!$A$2:$A$1800,$A55,الريسبي!$B$2:$B$1800,O$1)</f>
        <v>0</v>
      </c>
      <c r="P55" s="117" t="n">
        <f aca="false">SUMIFS(الريسبي!$C$2:$C$1800,الريسبي!$A$2:$A$1800,$A55,الريسبي!$B$2:$B$1800,P$1)</f>
        <v>0</v>
      </c>
      <c r="Q55" s="117" t="n">
        <f aca="false">SUMIFS(الريسبي!$C$2:$C$1800,الريسبي!$A$2:$A$1800,$A55,الريسبي!$B$2:$B$1800,Q$1)</f>
        <v>0</v>
      </c>
      <c r="R55" s="117" t="n">
        <f aca="false">SUMIFS(الريسبي!$C$2:$C$1800,الريسبي!$A$2:$A$1800,$A55,الريسبي!$B$2:$B$1800,R$1)</f>
        <v>0</v>
      </c>
      <c r="S55" s="117" t="n">
        <f aca="false">SUMIFS(الريسبي!$C$2:$C$1800,الريسبي!$A$2:$A$1800,$A55,الريسبي!$B$2:$B$1800,S$1)</f>
        <v>0</v>
      </c>
      <c r="T55" s="117" t="n">
        <f aca="false">SUMIFS(الريسبي!$C$2:$C$1800,الريسبي!$A$2:$A$1800,$A55,الريسبي!$B$2:$B$1800,T$1)</f>
        <v>0</v>
      </c>
      <c r="U55" s="117" t="n">
        <f aca="false">SUMIFS(الريسبي!$C$2:$C$1800,الريسبي!$A$2:$A$1800,$A55,الريسبي!$B$2:$B$1800,U$1)</f>
        <v>0</v>
      </c>
      <c r="V55" s="117" t="n">
        <f aca="false">SUMIFS(الريسبي!$C$2:$C$1800,الريسبي!$A$2:$A$1800,$A55,الريسبي!$B$2:$B$1800,V$1)+1.5*(SUMIFS(الريسبي!$C$2:$C$1800,الريسبي!$A$2:$A$1800,$A55,الريسبي!$B$2:$B$1800,"برسيون موتزريلا بيتزا كبير"))</f>
        <v>1</v>
      </c>
      <c r="W55" s="117" t="n">
        <f aca="false">0</f>
        <v>0</v>
      </c>
      <c r="X55" s="117" t="n">
        <f aca="false">SUMIFS(الريسبي!$C$2:$C$1800,الريسبي!$A$2:$A$1800,$A55,الريسبي!$B$2:$B$1800,X$1)+1.5*(SUMIFS(الريسبي!$C$2:$C$1800,الريسبي!$A$2:$A$1800,$A55,الريسبي!$B$2:$B$1800,"برسيون موتزريلا فطير كبير"))</f>
        <v>0</v>
      </c>
      <c r="Y55" s="117" t="n">
        <f aca="false">0</f>
        <v>0</v>
      </c>
      <c r="Z55" s="117" t="n">
        <f aca="false">SUMIFS(الريسبي!$C$2:$C$1800,الريسبي!$A$2:$A$1800,$A55,الريسبي!$B$2:$B$1800,Z$1)</f>
        <v>0</v>
      </c>
      <c r="AA55" s="117" t="n">
        <f aca="false">SUMIFS(الريسبي!$C$2:$C$1800,الريسبي!$A$2:$A$1800,$A55,الريسبي!$B$2:$B$1800,AA$1)</f>
        <v>0</v>
      </c>
      <c r="AB55" s="117" t="n">
        <f aca="false">SUMIFS(الريسبي!$C$2:$C$1800,الريسبي!$A$2:$A$1800,$A55,الريسبي!$B$2:$B$1800,AB$1)</f>
        <v>0</v>
      </c>
      <c r="AC55" s="117" t="n">
        <f aca="false">SUMIFS(الريسبي!$C$2:$C$1800,الريسبي!$A$2:$A$1800,$A55,الريسبي!$B$2:$B$1800,AC$1)</f>
        <v>0</v>
      </c>
      <c r="AD55" s="117" t="n">
        <f aca="false">SUMIFS(الريسبي!$C$2:$C$1800,الريسبي!$A$2:$A$1800,$A55,الريسبي!$B$2:$B$1800,AD$1)</f>
        <v>0</v>
      </c>
      <c r="AE55" s="117" t="n">
        <f aca="false">SUMIFS(الريسبي!$C$2:$C$1800,الريسبي!$A$2:$A$1800,$A55,الريسبي!$B$2:$B$1800,AE$1)</f>
        <v>0.02</v>
      </c>
      <c r="AF55" s="117" t="n">
        <f aca="false">SUMIFS(الريسبي!$C$2:$C$1800,الريسبي!$A$2:$A$1800,$A55,الريسبي!$B$2:$B$1800,AF$1)</f>
        <v>0</v>
      </c>
      <c r="AG55" s="117" t="n">
        <f aca="false">SUMIFS(الريسبي!$C$2:$C$1800,الريسبي!$A$2:$A$1800,$A55,الريسبي!$B$2:$B$1800,AG$1)</f>
        <v>0</v>
      </c>
      <c r="AH55" s="117" t="n">
        <f aca="false">SUMIFS(الريسبي!$C$2:$C$1800,الريسبي!$A$2:$A$1800,$A55,الريسبي!$B$2:$B$1800,AH$1)</f>
        <v>0</v>
      </c>
      <c r="AI55" s="117" t="n">
        <f aca="false">SUMIFS(الريسبي!$C$2:$C$1800,الريسبي!$A$2:$A$1800,$A55,الريسبي!$B$2:$B$1800,AI$1)</f>
        <v>0</v>
      </c>
      <c r="AJ55" s="117" t="n">
        <f aca="false">SUMIFS(الريسبي!$C$2:$C$1800,الريسبي!$A$2:$A$1800,$A55,الريسبي!$B$2:$B$1800,AJ$1)</f>
        <v>2</v>
      </c>
      <c r="AK55" s="117" t="n">
        <f aca="false">SUMIFS(الريسبي!$C$2:$C$1800,الريسبي!$A$2:$A$1800,$A55,الريسبي!$B$2:$B$1800,AK$1)</f>
        <v>0</v>
      </c>
      <c r="AL55" s="117" t="n">
        <f aca="false">SUMIFS(الريسبي!$C$2:$C$1800,الريسبي!$A$2:$A$1800,$A55,الريسبي!$B$2:$B$1800,AL$1)</f>
        <v>0.02</v>
      </c>
      <c r="AM55" s="117" t="n">
        <f aca="false">SUMIFS(الريسبي!$C$2:$C$1800,الريسبي!$A$2:$A$1800,$A55,الريسبي!$B$2:$B$1800,AM$1)+0.08333333333*SUMIFS(الريسبي!$C$2:$C$1800,الريسبي!$A$2:$A$1800,$A55,الريسبي!$B$2:$B$1800,"عجين كريب (مصنع بالمطعم)")+0.08333333333*SUMIFS(الريسبي!$C$2:$C$1800,الريسبي!$A$2:$A$1800,$A55,الريسبي!$B$2:$B$1800,"عجين كريب صيامي (بدون لبن)")</f>
        <v>0</v>
      </c>
      <c r="AN55" s="117" t="n">
        <f aca="false">SUMIFS(الريسبي!$C$2:$C$1800,الريسبي!$A$2:$A$1800,$A55,الريسبي!$B$2:$B$1800,AN$1)+0.004166666667*SUMIFS(الريسبي!$C$2:$C$1800,الريسبي!$A$2:$A$1800,$A55,الريسبي!$B$2:$B$1800,"عجين كريب (مصنع بالمطعم)")+0.004166666667*SUMIFS(الريسبي!$C$2:$C$1800,الريسبي!$A$2:$A$1800,$A55,الريسبي!$B$2:$B$1800,"عجين كريب صيامي (بدون لبن)")</f>
        <v>0</v>
      </c>
      <c r="AO55" s="117" t="n">
        <f aca="false">SUMIFS(الريسبي!$C$2:$C$1800,الريسبي!$A$2:$A$1800,$A55,الريسبي!$B$2:$B$1800,AO$1)</f>
        <v>0</v>
      </c>
      <c r="AP55" s="117" t="n">
        <f aca="false">SUMIFS(الريسبي!$C$2:$C$1800,الريسبي!$A$2:$A$1800,$A55,الريسبي!$B$2:$B$1800,AP$1)</f>
        <v>0</v>
      </c>
      <c r="AQ55" s="117" t="n">
        <f aca="false">SUMIFS(الريسبي!$C$2:$C$1800,الريسبي!$A$2:$A$1800,$A55,الريسبي!$B$2:$B$1800,AQ$1)+0.004166666667*SUMIFS(الريسبي!$C$2:$C$1800,الريسبي!$A$2:$A$1800,$A55,الريسبي!$B$2:$B$1800,"عجين كريب (مصنع بالمطعم)")+0.004166666667*SUMIFS(الريسبي!$C$2:$C$1800,الريسبي!$A$2:$A$1800,$A55,الريسبي!$B$2:$B$1800,"عجين كريب صيامي (بدون لبن)")</f>
        <v>0</v>
      </c>
      <c r="AR55" s="117" t="n">
        <f aca="false">SUMIFS(الريسبي!$C$2:$C$1800,الريسبي!$A$2:$A$1800,$A55,الريسبي!$B$2:$B$1800,AR$1)</f>
        <v>0</v>
      </c>
      <c r="AS55" s="117" t="n">
        <f aca="false">SUMIFS(الريسبي!$C$2:$C$1800,الريسبي!$A$2:$A$1800,$A55,الريسبي!$B$2:$B$1800,AS$1)</f>
        <v>0</v>
      </c>
      <c r="AT55" s="117" t="n">
        <f aca="false">SUMIFS(الريسبي!$C$2:$C$1800,الريسبي!$A$2:$A$1800,$A55,الريسبي!$B$2:$B$1800,AT$1)</f>
        <v>0</v>
      </c>
      <c r="AU55" s="117" t="n">
        <f aca="false">SUMIFS(الريسبي!$C$2:$C$1800,الريسبي!$A$2:$A$1800,$A55,الريسبي!$B$2:$B$1800,AU$1)</f>
        <v>0</v>
      </c>
      <c r="AV55" s="117" t="n">
        <f aca="false">SUMIFS(الريسبي!$C$2:$C$1800,الريسبي!$A$2:$A$1800,$A55,الريسبي!$B$2:$B$1800,AV$1)</f>
        <v>0</v>
      </c>
      <c r="AW55" s="117" t="n">
        <f aca="false">SUMIFS(الريسبي!$C$2:$C$1800,الريسبي!$A$2:$A$1800,$A55,الريسبي!$B$2:$B$1800,AW$1)</f>
        <v>0</v>
      </c>
      <c r="AX55" s="117" t="n">
        <f aca="false">SUMIFS(الريسبي!$C$2:$C$1800,الريسبي!$A$2:$A$1800,$A55,الريسبي!$B$2:$B$1800,AX$1)</f>
        <v>0</v>
      </c>
      <c r="AY55" s="117" t="n">
        <f aca="false">SUMIFS(الريسبي!$C$2:$C$1800,الريسبي!$A$2:$A$1800,$A55,الريسبي!$B$2:$B$1800,AY$1)</f>
        <v>0.05</v>
      </c>
      <c r="AZ55" s="117" t="n">
        <f aca="false">SUMIFS(الريسبي!$C$2:$C$1800,الريسبي!$A$2:$A$1800,$A55,الريسبي!$B$2:$B$1800,AZ$1)</f>
        <v>0.05</v>
      </c>
      <c r="BA55" s="117" t="n">
        <f aca="false">SUMIFS(الريسبي!$C$2:$C$1800,الريسبي!$A$2:$A$1800,$A55,الريسبي!$B$2:$B$1800,BA$1)</f>
        <v>0</v>
      </c>
      <c r="BB55" s="117" t="n">
        <f aca="false">SUMIFS(الريسبي!$C$2:$C$1800,الريسبي!$A$2:$A$1800,$A55,الريسبي!$B$2:$B$1800,BB$1)</f>
        <v>0.05</v>
      </c>
      <c r="BC55" s="117" t="n">
        <f aca="false">SUMIFS(الريسبي!$C$2:$C$1800,الريسبي!$A$2:$A$1800,$A55,الريسبي!$B$2:$B$1800,BC$1)</f>
        <v>0.02</v>
      </c>
      <c r="BD55" s="117" t="n">
        <f aca="false">SUMIFS(الريسبي!$C$2:$C$1800,الريسبي!$A$2:$A$1800,$A55,الريسبي!$B$2:$B$1800,BD$1)</f>
        <v>0.22</v>
      </c>
      <c r="BE55" s="117" t="n">
        <f aca="false">SUMIFS(الريسبي!$C$2:$C$1800,الريسبي!$A$2:$A$1800,$A55,الريسبي!$B$2:$B$1800,BE$1)</f>
        <v>0</v>
      </c>
      <c r="BF55" s="117" t="n">
        <f aca="false">SUMIFS(الريسبي!$C$2:$C$1800,الريسبي!$A$2:$A$1800,$A55,الريسبي!$B$2:$B$1800,BF$1)</f>
        <v>0</v>
      </c>
      <c r="BG55" s="117" t="n">
        <f aca="false">SUMIFS(الريسبي!$C$2:$C$1800,الريسبي!$A$2:$A$1800,$A55,الريسبي!$B$2:$B$1800,BG$1)</f>
        <v>0</v>
      </c>
      <c r="BH55" s="117" t="n">
        <f aca="false">SUMIFS(الريسبي!$C$2:$C$1800,الريسبي!$A$2:$A$1800,$A55,الريسبي!$B$2:$B$1800,BH$1)</f>
        <v>0</v>
      </c>
      <c r="BI55" s="117" t="n">
        <f aca="false">SUMIFS(الريسبي!$C$2:$C$1800,الريسبي!$A$2:$A$1800,$A55,الريسبي!$B$2:$B$1800,BI$1)</f>
        <v>0</v>
      </c>
      <c r="BJ55" s="117" t="n">
        <f aca="false">SUMIFS(الريسبي!$C$2:$C$1800,الريسبي!$A$2:$A$1800,$A55,الريسبي!$B$2:$B$1800,BJ$1)</f>
        <v>0</v>
      </c>
      <c r="BK55" s="117" t="n">
        <f aca="false">SUMIFS(الريسبي!$C$2:$C$1800,الريسبي!$A$2:$A$1800,$A55,الريسبي!$B$2:$B$1800,BK$1)</f>
        <v>0</v>
      </c>
      <c r="BL55" s="117" t="n">
        <f aca="false">SUMIFS(الريسبي!$C$2:$C$1800,الريسبي!$A$2:$A$1800,$A55,الريسبي!$B$2:$B$1800,BL$1)</f>
        <v>0</v>
      </c>
      <c r="BM55" s="117" t="n">
        <f aca="false">SUMIFS(الريسبي!$C$2:$C$1800,الريسبي!$A$2:$A$1800,$A55,الريسبي!$B$2:$B$1800,BM$1)</f>
        <v>0</v>
      </c>
      <c r="BN55" s="117" t="n">
        <f aca="false">SUMIFS(الريسبي!$C$2:$C$1800,الريسبي!$A$2:$A$1800,$A55,الريسبي!$B$2:$B$1800,BN$1)</f>
        <v>0.02</v>
      </c>
      <c r="BO55" s="117" t="n">
        <f aca="false">SUMIFS(الريسبي!$C$2:$C$1800,الريسبي!$A$2:$A$1800,$A55,الريسبي!$B$2:$B$1800,BO$1)</f>
        <v>0</v>
      </c>
      <c r="BP55" s="117" t="n">
        <f aca="false">SUMIFS(الريسبي!$C$2:$C$1800,الريسبي!$A$2:$A$1800,$A55,الريسبي!$B$2:$B$1800,BP$1)</f>
        <v>2</v>
      </c>
      <c r="BQ55" s="117" t="n">
        <f aca="false">SUMIFS(الريسبي!$C$2:$C$1800,الريسبي!$A$2:$A$1800,$A55,الريسبي!$B$2:$B$1800,BQ$1)+0.17*SUMIFS(الريسبي!$C$2:$C$1800,الريسبي!$A$2:$A$1800,$A55,الريسبي!$B$2:$B$1800,"كاسترد مصنع (خليط بودر + لبن)")+0.17*SUMIFS(الريسبي!$C$2:$C$1800,الريسبي!$A$2:$A$1800,$A55,الريسبي!$B$2:$B$1800,"كاسترد مصنع صيامي (بدون لبن)")</f>
        <v>0</v>
      </c>
      <c r="BR55" s="117" t="n">
        <f aca="false">SUMIFS(الريسبي!$C$2:$C$1800,الريسبي!$A$2:$A$1800,$A55,الريسبي!$B$2:$B$1800,BR$1)</f>
        <v>1</v>
      </c>
      <c r="BS55" s="117" t="n">
        <f aca="false">SUMIFS(الريسبي!$C$2:$C$1800,الريسبي!$A$2:$A$1800,$A55,الريسبي!$B$2:$B$1800,BS$1)</f>
        <v>0</v>
      </c>
      <c r="BT55" s="117" t="n">
        <f aca="false">SUMIFS(الريسبي!$C$2:$C$1800,الريسبي!$A$2:$A$1800,$A55,الريسبي!$B$2:$B$1800,BT$1)</f>
        <v>0</v>
      </c>
      <c r="BU55" s="117" t="n">
        <f aca="false">SUMIFS(الريسبي!$C$2:$C$1800,الريسبي!$A$2:$A$1800,$A55,الريسبي!$B$2:$B$1800,BU$1)+0.4*SUMIFS(الريسبي!$C$2:$C$1800,الريسبي!$A$2:$A$1800,$A55,الريسبي!$B$2:$B$1800,"كاسترد مصنع (خليط بودر + لبن)")+0.03333333333*SUMIFS(الريسبي!$C$2:$C$1800,الريسبي!$A$2:$A$1800,$A55,الريسبي!$B$2:$B$1800,"عجين كريب (مصنع بالمطعم)")</f>
        <v>0</v>
      </c>
      <c r="BV55" s="117" t="n">
        <f aca="false">SUMIFS(الريسبي!$C$2:$C$1800,الريسبي!$A$2:$A$1800,$A55,الريسبي!$B$2:$B$1800,BV$1)</f>
        <v>0</v>
      </c>
      <c r="BW55" s="117" t="n">
        <f aca="false">SUMIFS(الريسبي!$C$2:$C$1800,الريسبي!$A$2:$A$1800,$A55,الريسبي!$B$2:$B$1800,BW$1)</f>
        <v>0</v>
      </c>
      <c r="BX55" s="117" t="n">
        <f aca="false">SUMIFS(الريسبي!$C$2:$C$1800,الريسبي!$A$2:$A$1800,$A55,الريسبي!$B$2:$B$1800,BX$1)</f>
        <v>0</v>
      </c>
      <c r="BY55" s="117" t="n">
        <f aca="false">SUMIFS(الريسبي!$C$2:$C$1800,الريسبي!$A$2:$A$1800,$A55,الريسبي!$B$2:$B$1800,BY$1)</f>
        <v>0</v>
      </c>
      <c r="BZ55" s="117" t="n">
        <f aca="false">SUMIFS(الريسبي!$C$2:$C$1800,الريسبي!$A$2:$A$1800,$A55,الريسبي!$B$2:$B$1800,BZ$1)</f>
        <v>0</v>
      </c>
      <c r="CA55" s="117" t="n">
        <f aca="false">SUMIFS(الريسبي!$C$2:$C$1800,الريسبي!$A$2:$A$1800,$A55,الريسبي!$B$2:$B$1800,CA$1)</f>
        <v>1</v>
      </c>
      <c r="CB55" s="117" t="n">
        <f aca="false">SUMIFS(الريسبي!$C$2:$C$1800,الريسبي!$A$2:$A$1800,$A55,الريسبي!$B$2:$B$1800,CB$1)</f>
        <v>1</v>
      </c>
      <c r="CC55" s="117" t="n">
        <f aca="false">SUMIFS(الريسبي!$C$2:$C$1800,الريسبي!$A$2:$A$1800,$A55,الريسبي!$B$2:$B$1800,CC$1)</f>
        <v>0</v>
      </c>
      <c r="CD55" s="117" t="n">
        <f aca="false">SUMIFS(الريسبي!$C$2:$C$1800,الريسبي!$A$2:$A$1800,$A55,الريسبي!$B$2:$B$1800,CD$1)</f>
        <v>0</v>
      </c>
      <c r="CE55" s="117" t="n">
        <f aca="false">SUMIFS(الريسبي!$C$2:$C$1800,الريسبي!$A$2:$A$1800,$A55,الريسبي!$B$2:$B$1800,CE$1)</f>
        <v>0</v>
      </c>
      <c r="CF55" s="117" t="n">
        <f aca="false">SUMIFS(الريسبي!$C$2:$C$1800,الريسبي!$A$2:$A$1800,$A55,الريسبي!$B$2:$B$1800,CF$1)</f>
        <v>0</v>
      </c>
      <c r="CG55" s="117" t="n">
        <f aca="false">SUMIFS(الريسبي!$C$2:$C$1800,الريسبي!$A$2:$A$1800,$A55,الريسبي!$B$2:$B$1800,CG$1)</f>
        <v>1</v>
      </c>
      <c r="CH55" s="117" t="n">
        <f aca="false">SUMIFS(الريسبي!$C$2:$C$1800,الريسبي!$A$2:$A$1800,$A55,الريسبي!$B$2:$B$1800,CH$1)</f>
        <v>1</v>
      </c>
      <c r="CI55" s="117" t="n">
        <f aca="false">SUMIFS(الريسبي!$C$2:$C$1800,الريسبي!$A$2:$A$1800,$A55,الريسبي!$B$2:$B$1800,CI$1)</f>
        <v>0</v>
      </c>
      <c r="CJ55" s="117" t="n">
        <f aca="false">SUMIFS(الريسبي!$C$2:$C$1800,الريسبي!$A$2:$A$1800,$A55,الريسبي!$B$2:$B$1800,CJ$1)</f>
        <v>0</v>
      </c>
      <c r="CK55" s="117" t="n">
        <f aca="false">SUMIFS(الريسبي!$C$2:$C$1800,الريسبي!$A$2:$A$1800,$A55,الريسبي!$B$2:$B$1800,CK$1)</f>
        <v>0</v>
      </c>
      <c r="CL55" s="117" t="n">
        <f aca="false">SUMIFS(الريسبي!$C$2:$C$1800,الريسبي!$A$2:$A$1800,$A55,الريسبي!$B$2:$B$1800,CL$1)</f>
        <v>0</v>
      </c>
    </row>
    <row r="56" customFormat="false" ht="15" hidden="false" customHeight="false" outlineLevel="0" collapsed="false">
      <c r="A56" s="116" t="str">
        <f aca="false">المنيو!B56</f>
        <v>بهججة كريسبي</v>
      </c>
      <c r="B56" s="117" t="n">
        <f aca="false">SUMIFS(الريسبي!$C$2:$C$1800,الريسبي!$A$2:$A$1800,$A56,الريسبي!$B$2:$B$1800,B$1)</f>
        <v>0</v>
      </c>
      <c r="C56" s="117" t="n">
        <f aca="false">SUMIFS(الريسبي!$C$2:$C$1800,الريسبي!$A$2:$A$1800,$A56,الريسبي!$B$2:$B$1800,C$1)</f>
        <v>0</v>
      </c>
      <c r="D56" s="117" t="n">
        <f aca="false">SUMIFS(الريسبي!$C$2:$C$1800,الريسبي!$A$2:$A$1800,$A56,الريسبي!$B$2:$B$1800,D$1)</f>
        <v>1</v>
      </c>
      <c r="E56" s="117" t="n">
        <f aca="false">SUMIFS(الريسبي!$C$2:$C$1800,الريسبي!$A$2:$A$1800,$A56,الريسبي!$B$2:$B$1800,E$1)</f>
        <v>0</v>
      </c>
      <c r="F56" s="117" t="n">
        <f aca="false">SUMIFS(الريسبي!$C$2:$C$1800,الريسبي!$A$2:$A$1800,$A56,الريسبي!$B$2:$B$1800,F$1)</f>
        <v>0</v>
      </c>
      <c r="G56" s="117" t="n">
        <f aca="false">SUMIFS(الريسبي!$C$2:$C$1800,الريسبي!$A$2:$A$1800,$A56,الريسبي!$B$2:$B$1800,G$1)</f>
        <v>0</v>
      </c>
      <c r="H56" s="117" t="n">
        <f aca="false">SUMIFS(الريسبي!$C$2:$C$1800,الريسبي!$A$2:$A$1800,$A56,الريسبي!$B$2:$B$1800,H$1)</f>
        <v>0</v>
      </c>
      <c r="I56" s="117" t="n">
        <f aca="false">SUMIFS(الريسبي!$C$2:$C$1800,الريسبي!$A$2:$A$1800,$A56,الريسبي!$B$2:$B$1800,I$1)</f>
        <v>0</v>
      </c>
      <c r="J56" s="117" t="n">
        <f aca="false">SUMIFS(الريسبي!$C$2:$C$1800,الريسبي!$A$2:$A$1800,$A56,الريسبي!$B$2:$B$1800,J$1)</f>
        <v>0</v>
      </c>
      <c r="K56" s="117" t="n">
        <f aca="false">SUMIFS(الريسبي!$C$2:$C$1800,الريسبي!$A$2:$A$1800,$A56,الريسبي!$B$2:$B$1800,K$1)</f>
        <v>0</v>
      </c>
      <c r="L56" s="117" t="n">
        <f aca="false">SUMIFS(الريسبي!$C$2:$C$1800,الريسبي!$A$2:$A$1800,$A56,الريسبي!$B$2:$B$1800,L$1)</f>
        <v>0</v>
      </c>
      <c r="M56" s="117" t="n">
        <f aca="false">SUMIFS(الريسبي!$C$2:$C$1800,الريسبي!$A$2:$A$1800,$A56,الريسبي!$B$2:$B$1800,M$1)</f>
        <v>0</v>
      </c>
      <c r="N56" s="117" t="n">
        <f aca="false">SUMIFS(الريسبي!$C$2:$C$1800,الريسبي!$A$2:$A$1800,$A56,الريسبي!$B$2:$B$1800,N$1)</f>
        <v>0.3</v>
      </c>
      <c r="O56" s="117" t="n">
        <f aca="false">SUMIFS(الريسبي!$C$2:$C$1800,الريسبي!$A$2:$A$1800,$A56,الريسبي!$B$2:$B$1800,O$1)</f>
        <v>0</v>
      </c>
      <c r="P56" s="117" t="n">
        <f aca="false">SUMIFS(الريسبي!$C$2:$C$1800,الريسبي!$A$2:$A$1800,$A56,الريسبي!$B$2:$B$1800,P$1)</f>
        <v>0</v>
      </c>
      <c r="Q56" s="117" t="n">
        <f aca="false">SUMIFS(الريسبي!$C$2:$C$1800,الريسبي!$A$2:$A$1800,$A56,الريسبي!$B$2:$B$1800,Q$1)</f>
        <v>1</v>
      </c>
      <c r="R56" s="117" t="n">
        <f aca="false">SUMIFS(الريسبي!$C$2:$C$1800,الريسبي!$A$2:$A$1800,$A56,الريسبي!$B$2:$B$1800,R$1)</f>
        <v>0</v>
      </c>
      <c r="S56" s="117" t="n">
        <f aca="false">SUMIFS(الريسبي!$C$2:$C$1800,الريسبي!$A$2:$A$1800,$A56,الريسبي!$B$2:$B$1800,S$1)</f>
        <v>0</v>
      </c>
      <c r="T56" s="117" t="n">
        <f aca="false">SUMIFS(الريسبي!$C$2:$C$1800,الريسبي!$A$2:$A$1800,$A56,الريسبي!$B$2:$B$1800,T$1)</f>
        <v>0</v>
      </c>
      <c r="U56" s="117" t="n">
        <f aca="false">SUMIFS(الريسبي!$C$2:$C$1800,الريسبي!$A$2:$A$1800,$A56,الريسبي!$B$2:$B$1800,U$1)</f>
        <v>0</v>
      </c>
      <c r="V56" s="117" t="n">
        <f aca="false">SUMIFS(الريسبي!$C$2:$C$1800,الريسبي!$A$2:$A$1800,$A56,الريسبي!$B$2:$B$1800,V$1)+1.5*(SUMIFS(الريسبي!$C$2:$C$1800,الريسبي!$A$2:$A$1800,$A56,الريسبي!$B$2:$B$1800,"برسيون موتزريلا بيتزا كبير"))</f>
        <v>1</v>
      </c>
      <c r="W56" s="117" t="n">
        <f aca="false">0</f>
        <v>0</v>
      </c>
      <c r="X56" s="117" t="n">
        <f aca="false">SUMIFS(الريسبي!$C$2:$C$1800,الريسبي!$A$2:$A$1800,$A56,الريسبي!$B$2:$B$1800,X$1)+1.5*(SUMIFS(الريسبي!$C$2:$C$1800,الريسبي!$A$2:$A$1800,$A56,الريسبي!$B$2:$B$1800,"برسيون موتزريلا فطير كبير"))</f>
        <v>0</v>
      </c>
      <c r="Y56" s="117" t="n">
        <f aca="false">0</f>
        <v>0</v>
      </c>
      <c r="Z56" s="117" t="n">
        <f aca="false">SUMIFS(الريسبي!$C$2:$C$1800,الريسبي!$A$2:$A$1800,$A56,الريسبي!$B$2:$B$1800,Z$1)</f>
        <v>0</v>
      </c>
      <c r="AA56" s="117" t="n">
        <f aca="false">SUMIFS(الريسبي!$C$2:$C$1800,الريسبي!$A$2:$A$1800,$A56,الريسبي!$B$2:$B$1800,AA$1)</f>
        <v>0</v>
      </c>
      <c r="AB56" s="117" t="n">
        <f aca="false">SUMIFS(الريسبي!$C$2:$C$1800,الريسبي!$A$2:$A$1800,$A56,الريسبي!$B$2:$B$1800,AB$1)</f>
        <v>0</v>
      </c>
      <c r="AC56" s="117" t="n">
        <f aca="false">SUMIFS(الريسبي!$C$2:$C$1800,الريسبي!$A$2:$A$1800,$A56,الريسبي!$B$2:$B$1800,AC$1)</f>
        <v>0</v>
      </c>
      <c r="AD56" s="117" t="n">
        <f aca="false">SUMIFS(الريسبي!$C$2:$C$1800,الريسبي!$A$2:$A$1800,$A56,الريسبي!$B$2:$B$1800,AD$1)</f>
        <v>0</v>
      </c>
      <c r="AE56" s="117" t="n">
        <f aca="false">SUMIFS(الريسبي!$C$2:$C$1800,الريسبي!$A$2:$A$1800,$A56,الريسبي!$B$2:$B$1800,AE$1)</f>
        <v>0.02</v>
      </c>
      <c r="AF56" s="117" t="n">
        <f aca="false">SUMIFS(الريسبي!$C$2:$C$1800,الريسبي!$A$2:$A$1800,$A56,الريسبي!$B$2:$B$1800,AF$1)</f>
        <v>0</v>
      </c>
      <c r="AG56" s="117" t="n">
        <f aca="false">SUMIFS(الريسبي!$C$2:$C$1800,الريسبي!$A$2:$A$1800,$A56,الريسبي!$B$2:$B$1800,AG$1)</f>
        <v>0</v>
      </c>
      <c r="AH56" s="117" t="n">
        <f aca="false">SUMIFS(الريسبي!$C$2:$C$1800,الريسبي!$A$2:$A$1800,$A56,الريسبي!$B$2:$B$1800,AH$1)</f>
        <v>0</v>
      </c>
      <c r="AI56" s="117" t="n">
        <f aca="false">SUMIFS(الريسبي!$C$2:$C$1800,الريسبي!$A$2:$A$1800,$A56,الريسبي!$B$2:$B$1800,AI$1)</f>
        <v>0</v>
      </c>
      <c r="AJ56" s="117" t="n">
        <f aca="false">SUMIFS(الريسبي!$C$2:$C$1800,الريسبي!$A$2:$A$1800,$A56,الريسبي!$B$2:$B$1800,AJ$1)</f>
        <v>2</v>
      </c>
      <c r="AK56" s="117" t="n">
        <f aca="false">SUMIFS(الريسبي!$C$2:$C$1800,الريسبي!$A$2:$A$1800,$A56,الريسبي!$B$2:$B$1800,AK$1)</f>
        <v>0</v>
      </c>
      <c r="AL56" s="117" t="n">
        <f aca="false">SUMIFS(الريسبي!$C$2:$C$1800,الريسبي!$A$2:$A$1800,$A56,الريسبي!$B$2:$B$1800,AL$1)</f>
        <v>0.02</v>
      </c>
      <c r="AM56" s="117" t="n">
        <f aca="false">SUMIFS(الريسبي!$C$2:$C$1800,الريسبي!$A$2:$A$1800,$A56,الريسبي!$B$2:$B$1800,AM$1)+0.08333333333*SUMIFS(الريسبي!$C$2:$C$1800,الريسبي!$A$2:$A$1800,$A56,الريسبي!$B$2:$B$1800,"عجين كريب (مصنع بالمطعم)")+0.08333333333*SUMIFS(الريسبي!$C$2:$C$1800,الريسبي!$A$2:$A$1800,$A56,الريسبي!$B$2:$B$1800,"عجين كريب صيامي (بدون لبن)")</f>
        <v>0</v>
      </c>
      <c r="AN56" s="117" t="n">
        <f aca="false">SUMIFS(الريسبي!$C$2:$C$1800,الريسبي!$A$2:$A$1800,$A56,الريسبي!$B$2:$B$1800,AN$1)+0.004166666667*SUMIFS(الريسبي!$C$2:$C$1800,الريسبي!$A$2:$A$1800,$A56,الريسبي!$B$2:$B$1800,"عجين كريب (مصنع بالمطعم)")+0.004166666667*SUMIFS(الريسبي!$C$2:$C$1800,الريسبي!$A$2:$A$1800,$A56,الريسبي!$B$2:$B$1800,"عجين كريب صيامي (بدون لبن)")</f>
        <v>0</v>
      </c>
      <c r="AO56" s="117" t="n">
        <f aca="false">SUMIFS(الريسبي!$C$2:$C$1800,الريسبي!$A$2:$A$1800,$A56,الريسبي!$B$2:$B$1800,AO$1)</f>
        <v>0</v>
      </c>
      <c r="AP56" s="117" t="n">
        <f aca="false">SUMIFS(الريسبي!$C$2:$C$1800,الريسبي!$A$2:$A$1800,$A56,الريسبي!$B$2:$B$1800,AP$1)</f>
        <v>0</v>
      </c>
      <c r="AQ56" s="117" t="n">
        <f aca="false">SUMIFS(الريسبي!$C$2:$C$1800,الريسبي!$A$2:$A$1800,$A56,الريسبي!$B$2:$B$1800,AQ$1)+0.004166666667*SUMIFS(الريسبي!$C$2:$C$1800,الريسبي!$A$2:$A$1800,$A56,الريسبي!$B$2:$B$1800,"عجين كريب (مصنع بالمطعم)")+0.004166666667*SUMIFS(الريسبي!$C$2:$C$1800,الريسبي!$A$2:$A$1800,$A56,الريسبي!$B$2:$B$1800,"عجين كريب صيامي (بدون لبن)")</f>
        <v>0</v>
      </c>
      <c r="AR56" s="117" t="n">
        <f aca="false">SUMIFS(الريسبي!$C$2:$C$1800,الريسبي!$A$2:$A$1800,$A56,الريسبي!$B$2:$B$1800,AR$1)</f>
        <v>0</v>
      </c>
      <c r="AS56" s="117" t="n">
        <f aca="false">SUMIFS(الريسبي!$C$2:$C$1800,الريسبي!$A$2:$A$1800,$A56,الريسبي!$B$2:$B$1800,AS$1)</f>
        <v>0</v>
      </c>
      <c r="AT56" s="117" t="n">
        <f aca="false">SUMIFS(الريسبي!$C$2:$C$1800,الريسبي!$A$2:$A$1800,$A56,الريسبي!$B$2:$B$1800,AT$1)</f>
        <v>0</v>
      </c>
      <c r="AU56" s="117" t="n">
        <f aca="false">SUMIFS(الريسبي!$C$2:$C$1800,الريسبي!$A$2:$A$1800,$A56,الريسبي!$B$2:$B$1800,AU$1)</f>
        <v>0</v>
      </c>
      <c r="AV56" s="117" t="n">
        <f aca="false">SUMIFS(الريسبي!$C$2:$C$1800,الريسبي!$A$2:$A$1800,$A56,الريسبي!$B$2:$B$1800,AV$1)</f>
        <v>0</v>
      </c>
      <c r="AW56" s="117" t="n">
        <f aca="false">SUMIFS(الريسبي!$C$2:$C$1800,الريسبي!$A$2:$A$1800,$A56,الريسبي!$B$2:$B$1800,AW$1)</f>
        <v>0</v>
      </c>
      <c r="AX56" s="117" t="n">
        <f aca="false">SUMIFS(الريسبي!$C$2:$C$1800,الريسبي!$A$2:$A$1800,$A56,الريسبي!$B$2:$B$1800,AX$1)</f>
        <v>0</v>
      </c>
      <c r="AY56" s="117" t="n">
        <f aca="false">SUMIFS(الريسبي!$C$2:$C$1800,الريسبي!$A$2:$A$1800,$A56,الريسبي!$B$2:$B$1800,AY$1)</f>
        <v>0.05</v>
      </c>
      <c r="AZ56" s="117" t="n">
        <f aca="false">SUMIFS(الريسبي!$C$2:$C$1800,الريسبي!$A$2:$A$1800,$A56,الريسبي!$B$2:$B$1800,AZ$1)</f>
        <v>0</v>
      </c>
      <c r="BA56" s="117" t="n">
        <f aca="false">SUMIFS(الريسبي!$C$2:$C$1800,الريسبي!$A$2:$A$1800,$A56,الريسبي!$B$2:$B$1800,BA$1)</f>
        <v>0.05</v>
      </c>
      <c r="BB56" s="117" t="n">
        <f aca="false">SUMIFS(الريسبي!$C$2:$C$1800,الريسبي!$A$2:$A$1800,$A56,الريسبي!$B$2:$B$1800,BB$1)</f>
        <v>0.05</v>
      </c>
      <c r="BC56" s="117" t="n">
        <f aca="false">SUMIFS(الريسبي!$C$2:$C$1800,الريسبي!$A$2:$A$1800,$A56,الريسبي!$B$2:$B$1800,BC$1)</f>
        <v>0.02</v>
      </c>
      <c r="BD56" s="117" t="n">
        <f aca="false">SUMIFS(الريسبي!$C$2:$C$1800,الريسبي!$A$2:$A$1800,$A56,الريسبي!$B$2:$B$1800,BD$1)</f>
        <v>0.22</v>
      </c>
      <c r="BE56" s="117" t="n">
        <f aca="false">SUMIFS(الريسبي!$C$2:$C$1800,الريسبي!$A$2:$A$1800,$A56,الريسبي!$B$2:$B$1800,BE$1)</f>
        <v>0</v>
      </c>
      <c r="BF56" s="117" t="n">
        <f aca="false">SUMIFS(الريسبي!$C$2:$C$1800,الريسبي!$A$2:$A$1800,$A56,الريسبي!$B$2:$B$1800,BF$1)</f>
        <v>0</v>
      </c>
      <c r="BG56" s="117" t="n">
        <f aca="false">SUMIFS(الريسبي!$C$2:$C$1800,الريسبي!$A$2:$A$1800,$A56,الريسبي!$B$2:$B$1800,BG$1)</f>
        <v>0</v>
      </c>
      <c r="BH56" s="117" t="n">
        <f aca="false">SUMIFS(الريسبي!$C$2:$C$1800,الريسبي!$A$2:$A$1800,$A56,الريسبي!$B$2:$B$1800,BH$1)</f>
        <v>0</v>
      </c>
      <c r="BI56" s="117" t="n">
        <f aca="false">SUMIFS(الريسبي!$C$2:$C$1800,الريسبي!$A$2:$A$1800,$A56,الريسبي!$B$2:$B$1800,BI$1)</f>
        <v>0</v>
      </c>
      <c r="BJ56" s="117" t="n">
        <f aca="false">SUMIFS(الريسبي!$C$2:$C$1800,الريسبي!$A$2:$A$1800,$A56,الريسبي!$B$2:$B$1800,BJ$1)</f>
        <v>0</v>
      </c>
      <c r="BK56" s="117" t="n">
        <f aca="false">SUMIFS(الريسبي!$C$2:$C$1800,الريسبي!$A$2:$A$1800,$A56,الريسبي!$B$2:$B$1800,BK$1)</f>
        <v>0</v>
      </c>
      <c r="BL56" s="117" t="n">
        <f aca="false">SUMIFS(الريسبي!$C$2:$C$1800,الريسبي!$A$2:$A$1800,$A56,الريسبي!$B$2:$B$1800,BL$1)</f>
        <v>0</v>
      </c>
      <c r="BM56" s="117" t="n">
        <f aca="false">SUMIFS(الريسبي!$C$2:$C$1800,الريسبي!$A$2:$A$1800,$A56,الريسبي!$B$2:$B$1800,BM$1)</f>
        <v>0</v>
      </c>
      <c r="BN56" s="117" t="n">
        <f aca="false">SUMIFS(الريسبي!$C$2:$C$1800,الريسبي!$A$2:$A$1800,$A56,الريسبي!$B$2:$B$1800,BN$1)</f>
        <v>0.02</v>
      </c>
      <c r="BO56" s="117" t="n">
        <f aca="false">SUMIFS(الريسبي!$C$2:$C$1800,الريسبي!$A$2:$A$1800,$A56,الريسبي!$B$2:$B$1800,BO$1)</f>
        <v>0</v>
      </c>
      <c r="BP56" s="117" t="n">
        <f aca="false">SUMIFS(الريسبي!$C$2:$C$1800,الريسبي!$A$2:$A$1800,$A56,الريسبي!$B$2:$B$1800,BP$1)</f>
        <v>2</v>
      </c>
      <c r="BQ56" s="117" t="n">
        <f aca="false">SUMIFS(الريسبي!$C$2:$C$1800,الريسبي!$A$2:$A$1800,$A56,الريسبي!$B$2:$B$1800,BQ$1)+0.17*SUMIFS(الريسبي!$C$2:$C$1800,الريسبي!$A$2:$A$1800,$A56,الريسبي!$B$2:$B$1800,"كاسترد مصنع (خليط بودر + لبن)")+0.17*SUMIFS(الريسبي!$C$2:$C$1800,الريسبي!$A$2:$A$1800,$A56,الريسبي!$B$2:$B$1800,"كاسترد مصنع صيامي (بدون لبن)")</f>
        <v>0</v>
      </c>
      <c r="BR56" s="117" t="n">
        <f aca="false">SUMIFS(الريسبي!$C$2:$C$1800,الريسبي!$A$2:$A$1800,$A56,الريسبي!$B$2:$B$1800,BR$1)</f>
        <v>1</v>
      </c>
      <c r="BS56" s="117" t="n">
        <f aca="false">SUMIFS(الريسبي!$C$2:$C$1800,الريسبي!$A$2:$A$1800,$A56,الريسبي!$B$2:$B$1800,BS$1)</f>
        <v>0</v>
      </c>
      <c r="BT56" s="117" t="n">
        <f aca="false">SUMIFS(الريسبي!$C$2:$C$1800,الريسبي!$A$2:$A$1800,$A56,الريسبي!$B$2:$B$1800,BT$1)</f>
        <v>0</v>
      </c>
      <c r="BU56" s="117" t="n">
        <f aca="false">SUMIFS(الريسبي!$C$2:$C$1800,الريسبي!$A$2:$A$1800,$A56,الريسبي!$B$2:$B$1800,BU$1)+0.4*SUMIFS(الريسبي!$C$2:$C$1800,الريسبي!$A$2:$A$1800,$A56,الريسبي!$B$2:$B$1800,"كاسترد مصنع (خليط بودر + لبن)")+0.03333333333*SUMIFS(الريسبي!$C$2:$C$1800,الريسبي!$A$2:$A$1800,$A56,الريسبي!$B$2:$B$1800,"عجين كريب (مصنع بالمطعم)")</f>
        <v>0</v>
      </c>
      <c r="BV56" s="117" t="n">
        <f aca="false">SUMIFS(الريسبي!$C$2:$C$1800,الريسبي!$A$2:$A$1800,$A56,الريسبي!$B$2:$B$1800,BV$1)</f>
        <v>0</v>
      </c>
      <c r="BW56" s="117" t="n">
        <f aca="false">SUMIFS(الريسبي!$C$2:$C$1800,الريسبي!$A$2:$A$1800,$A56,الريسبي!$B$2:$B$1800,BW$1)</f>
        <v>0</v>
      </c>
      <c r="BX56" s="117" t="n">
        <f aca="false">SUMIFS(الريسبي!$C$2:$C$1800,الريسبي!$A$2:$A$1800,$A56,الريسبي!$B$2:$B$1800,BX$1)</f>
        <v>0</v>
      </c>
      <c r="BY56" s="117" t="n">
        <f aca="false">SUMIFS(الريسبي!$C$2:$C$1800,الريسبي!$A$2:$A$1800,$A56,الريسبي!$B$2:$B$1800,BY$1)</f>
        <v>0</v>
      </c>
      <c r="BZ56" s="117" t="n">
        <f aca="false">SUMIFS(الريسبي!$C$2:$C$1800,الريسبي!$A$2:$A$1800,$A56,الريسبي!$B$2:$B$1800,BZ$1)</f>
        <v>0</v>
      </c>
      <c r="CA56" s="117" t="n">
        <f aca="false">SUMIFS(الريسبي!$C$2:$C$1800,الريسبي!$A$2:$A$1800,$A56,الريسبي!$B$2:$B$1800,CA$1)</f>
        <v>1</v>
      </c>
      <c r="CB56" s="117" t="n">
        <f aca="false">SUMIFS(الريسبي!$C$2:$C$1800,الريسبي!$A$2:$A$1800,$A56,الريسبي!$B$2:$B$1800,CB$1)</f>
        <v>1</v>
      </c>
      <c r="CC56" s="117" t="n">
        <f aca="false">SUMIFS(الريسبي!$C$2:$C$1800,الريسبي!$A$2:$A$1800,$A56,الريسبي!$B$2:$B$1800,CC$1)</f>
        <v>0</v>
      </c>
      <c r="CD56" s="117" t="n">
        <f aca="false">SUMIFS(الريسبي!$C$2:$C$1800,الريسبي!$A$2:$A$1800,$A56,الريسبي!$B$2:$B$1800,CD$1)</f>
        <v>0</v>
      </c>
      <c r="CE56" s="117" t="n">
        <f aca="false">SUMIFS(الريسبي!$C$2:$C$1800,الريسبي!$A$2:$A$1800,$A56,الريسبي!$B$2:$B$1800,CE$1)</f>
        <v>0</v>
      </c>
      <c r="CF56" s="117" t="n">
        <f aca="false">SUMIFS(الريسبي!$C$2:$C$1800,الريسبي!$A$2:$A$1800,$A56,الريسبي!$B$2:$B$1800,CF$1)</f>
        <v>0</v>
      </c>
      <c r="CG56" s="117" t="n">
        <f aca="false">SUMIFS(الريسبي!$C$2:$C$1800,الريسبي!$A$2:$A$1800,$A56,الريسبي!$B$2:$B$1800,CG$1)</f>
        <v>1</v>
      </c>
      <c r="CH56" s="117" t="n">
        <f aca="false">SUMIFS(الريسبي!$C$2:$C$1800,الريسبي!$A$2:$A$1800,$A56,الريسبي!$B$2:$B$1800,CH$1)</f>
        <v>1</v>
      </c>
      <c r="CI56" s="117" t="n">
        <f aca="false">SUMIFS(الريسبي!$C$2:$C$1800,الريسبي!$A$2:$A$1800,$A56,الريسبي!$B$2:$B$1800,CI$1)</f>
        <v>0</v>
      </c>
      <c r="CJ56" s="117" t="n">
        <f aca="false">SUMIFS(الريسبي!$C$2:$C$1800,الريسبي!$A$2:$A$1800,$A56,الريسبي!$B$2:$B$1800,CJ$1)</f>
        <v>0</v>
      </c>
      <c r="CK56" s="117" t="n">
        <f aca="false">SUMIFS(الريسبي!$C$2:$C$1800,الريسبي!$A$2:$A$1800,$A56,الريسبي!$B$2:$B$1800,CK$1)</f>
        <v>0</v>
      </c>
      <c r="CL56" s="117" t="n">
        <f aca="false">SUMIFS(الريسبي!$C$2:$C$1800,الريسبي!$A$2:$A$1800,$A56,الريسبي!$B$2:$B$1800,CL$1)</f>
        <v>0</v>
      </c>
    </row>
    <row r="57" customFormat="false" ht="15" hidden="false" customHeight="false" outlineLevel="0" collapsed="false">
      <c r="A57" s="116" t="str">
        <f aca="false">المنيو!B57</f>
        <v>شيكاغو بيتزا برجر</v>
      </c>
      <c r="B57" s="117" t="n">
        <f aca="false">SUMIFS(الريسبي!$C$2:$C$1800,الريسبي!$A$2:$A$1800,$A57,الريسبي!$B$2:$B$1800,B$1)</f>
        <v>0</v>
      </c>
      <c r="C57" s="117" t="n">
        <f aca="false">SUMIFS(الريسبي!$C$2:$C$1800,الريسبي!$A$2:$A$1800,$A57,الريسبي!$B$2:$B$1800,C$1)</f>
        <v>0</v>
      </c>
      <c r="D57" s="117" t="n">
        <f aca="false">SUMIFS(الريسبي!$C$2:$C$1800,الريسبي!$A$2:$A$1800,$A57,الريسبي!$B$2:$B$1800,D$1)</f>
        <v>1.5</v>
      </c>
      <c r="E57" s="117" t="n">
        <f aca="false">SUMIFS(الريسبي!$C$2:$C$1800,الريسبي!$A$2:$A$1800,$A57,الريسبي!$B$2:$B$1800,E$1)</f>
        <v>0</v>
      </c>
      <c r="F57" s="117" t="n">
        <f aca="false">SUMIFS(الريسبي!$C$2:$C$1800,الريسبي!$A$2:$A$1800,$A57,الريسبي!$B$2:$B$1800,F$1)</f>
        <v>3</v>
      </c>
      <c r="G57" s="117" t="n">
        <f aca="false">SUMIFS(الريسبي!$C$2:$C$1800,الريسبي!$A$2:$A$1800,$A57,الريسبي!$B$2:$B$1800,G$1)</f>
        <v>0</v>
      </c>
      <c r="H57" s="117" t="n">
        <f aca="false">SUMIFS(الريسبي!$C$2:$C$1800,الريسبي!$A$2:$A$1800,$A57,الريسبي!$B$2:$B$1800,H$1)</f>
        <v>0</v>
      </c>
      <c r="I57" s="117" t="n">
        <f aca="false">SUMIFS(الريسبي!$C$2:$C$1800,الريسبي!$A$2:$A$1800,$A57,الريسبي!$B$2:$B$1800,I$1)</f>
        <v>0</v>
      </c>
      <c r="J57" s="117" t="n">
        <f aca="false">SUMIFS(الريسبي!$C$2:$C$1800,الريسبي!$A$2:$A$1800,$A57,الريسبي!$B$2:$B$1800,J$1)</f>
        <v>0</v>
      </c>
      <c r="K57" s="117" t="n">
        <f aca="false">SUMIFS(الريسبي!$C$2:$C$1800,الريسبي!$A$2:$A$1800,$A57,الريسبي!$B$2:$B$1800,K$1)</f>
        <v>0</v>
      </c>
      <c r="L57" s="117" t="n">
        <f aca="false">SUMIFS(الريسبي!$C$2:$C$1800,الريسبي!$A$2:$A$1800,$A57,الريسبي!$B$2:$B$1800,L$1)</f>
        <v>0</v>
      </c>
      <c r="M57" s="117" t="n">
        <f aca="false">SUMIFS(الريسبي!$C$2:$C$1800,الريسبي!$A$2:$A$1800,$A57,الريسبي!$B$2:$B$1800,M$1)</f>
        <v>0</v>
      </c>
      <c r="N57" s="117" t="n">
        <f aca="false">SUMIFS(الريسبي!$C$2:$C$1800,الريسبي!$A$2:$A$1800,$A57,الريسبي!$B$2:$B$1800,N$1)</f>
        <v>0</v>
      </c>
      <c r="O57" s="117" t="n">
        <f aca="false">SUMIFS(الريسبي!$C$2:$C$1800,الريسبي!$A$2:$A$1800,$A57,الريسبي!$B$2:$B$1800,O$1)</f>
        <v>0</v>
      </c>
      <c r="P57" s="117" t="n">
        <f aca="false">SUMIFS(الريسبي!$C$2:$C$1800,الريسبي!$A$2:$A$1800,$A57,الريسبي!$B$2:$B$1800,P$1)</f>
        <v>0</v>
      </c>
      <c r="Q57" s="117" t="n">
        <f aca="false">SUMIFS(الريسبي!$C$2:$C$1800,الريسبي!$A$2:$A$1800,$A57,الريسبي!$B$2:$B$1800,Q$1)</f>
        <v>0</v>
      </c>
      <c r="R57" s="117" t="n">
        <f aca="false">SUMIFS(الريسبي!$C$2:$C$1800,الريسبي!$A$2:$A$1800,$A57,الريسبي!$B$2:$B$1800,R$1)</f>
        <v>0</v>
      </c>
      <c r="S57" s="117" t="n">
        <f aca="false">SUMIFS(الريسبي!$C$2:$C$1800,الريسبي!$A$2:$A$1800,$A57,الريسبي!$B$2:$B$1800,S$1)</f>
        <v>0</v>
      </c>
      <c r="T57" s="117" t="n">
        <f aca="false">SUMIFS(الريسبي!$C$2:$C$1800,الريسبي!$A$2:$A$1800,$A57,الريسبي!$B$2:$B$1800,T$1)</f>
        <v>0</v>
      </c>
      <c r="U57" s="117" t="n">
        <f aca="false">SUMIFS(الريسبي!$C$2:$C$1800,الريسبي!$A$2:$A$1800,$A57,الريسبي!$B$2:$B$1800,U$1)</f>
        <v>0</v>
      </c>
      <c r="V57" s="117" t="n">
        <f aca="false">SUMIFS(الريسبي!$C$2:$C$1800,الريسبي!$A$2:$A$1800,$A57,الريسبي!$B$2:$B$1800,V$1)+1.5*(SUMIFS(الريسبي!$C$2:$C$1800,الريسبي!$A$2:$A$1800,$A57,الريسبي!$B$2:$B$1800,"برسيون موتزريلا بيتزا كبير"))</f>
        <v>4</v>
      </c>
      <c r="W57" s="117" t="n">
        <f aca="false">0</f>
        <v>0</v>
      </c>
      <c r="X57" s="117" t="n">
        <f aca="false">SUMIFS(الريسبي!$C$2:$C$1800,الريسبي!$A$2:$A$1800,$A57,الريسبي!$B$2:$B$1800,X$1)+1.5*(SUMIFS(الريسبي!$C$2:$C$1800,الريسبي!$A$2:$A$1800,$A57,الريسبي!$B$2:$B$1800,"برسيون موتزريلا فطير كبير"))</f>
        <v>0</v>
      </c>
      <c r="Y57" s="117" t="n">
        <f aca="false">0</f>
        <v>0</v>
      </c>
      <c r="Z57" s="117" t="n">
        <f aca="false">SUMIFS(الريسبي!$C$2:$C$1800,الريسبي!$A$2:$A$1800,$A57,الريسبي!$B$2:$B$1800,Z$1)</f>
        <v>0</v>
      </c>
      <c r="AA57" s="117" t="n">
        <f aca="false">SUMIFS(الريسبي!$C$2:$C$1800,الريسبي!$A$2:$A$1800,$A57,الريسبي!$B$2:$B$1800,AA$1)</f>
        <v>0</v>
      </c>
      <c r="AB57" s="117" t="n">
        <f aca="false">SUMIFS(الريسبي!$C$2:$C$1800,الريسبي!$A$2:$A$1800,$A57,الريسبي!$B$2:$B$1800,AB$1)</f>
        <v>0</v>
      </c>
      <c r="AC57" s="117" t="n">
        <f aca="false">SUMIFS(الريسبي!$C$2:$C$1800,الريسبي!$A$2:$A$1800,$A57,الريسبي!$B$2:$B$1800,AC$1)</f>
        <v>0</v>
      </c>
      <c r="AD57" s="117" t="n">
        <f aca="false">SUMIFS(الريسبي!$C$2:$C$1800,الريسبي!$A$2:$A$1800,$A57,الريسبي!$B$2:$B$1800,AD$1)</f>
        <v>0</v>
      </c>
      <c r="AE57" s="117" t="n">
        <f aca="false">SUMIFS(الريسبي!$C$2:$C$1800,الريسبي!$A$2:$A$1800,$A57,الريسبي!$B$2:$B$1800,AE$1)</f>
        <v>0.02</v>
      </c>
      <c r="AF57" s="117" t="n">
        <f aca="false">SUMIFS(الريسبي!$C$2:$C$1800,الريسبي!$A$2:$A$1800,$A57,الريسبي!$B$2:$B$1800,AF$1)</f>
        <v>0</v>
      </c>
      <c r="AG57" s="117" t="n">
        <f aca="false">SUMIFS(الريسبي!$C$2:$C$1800,الريسبي!$A$2:$A$1800,$A57,الريسبي!$B$2:$B$1800,AG$1)</f>
        <v>0</v>
      </c>
      <c r="AH57" s="117" t="n">
        <f aca="false">SUMIFS(الريسبي!$C$2:$C$1800,الريسبي!$A$2:$A$1800,$A57,الريسبي!$B$2:$B$1800,AH$1)</f>
        <v>0</v>
      </c>
      <c r="AI57" s="117" t="n">
        <f aca="false">SUMIFS(الريسبي!$C$2:$C$1800,الريسبي!$A$2:$A$1800,$A57,الريسبي!$B$2:$B$1800,AI$1)</f>
        <v>0</v>
      </c>
      <c r="AJ57" s="117" t="n">
        <f aca="false">SUMIFS(الريسبي!$C$2:$C$1800,الريسبي!$A$2:$A$1800,$A57,الريسبي!$B$2:$B$1800,AJ$1)</f>
        <v>3</v>
      </c>
      <c r="AK57" s="117" t="n">
        <f aca="false">SUMIFS(الريسبي!$C$2:$C$1800,الريسبي!$A$2:$A$1800,$A57,الريسبي!$B$2:$B$1800,AK$1)</f>
        <v>0</v>
      </c>
      <c r="AL57" s="117" t="n">
        <f aca="false">SUMIFS(الريسبي!$C$2:$C$1800,الريسبي!$A$2:$A$1800,$A57,الريسبي!$B$2:$B$1800,AL$1)</f>
        <v>0.02</v>
      </c>
      <c r="AM57" s="117" t="n">
        <f aca="false">SUMIFS(الريسبي!$C$2:$C$1800,الريسبي!$A$2:$A$1800,$A57,الريسبي!$B$2:$B$1800,AM$1)+0.08333333333*SUMIFS(الريسبي!$C$2:$C$1800,الريسبي!$A$2:$A$1800,$A57,الريسبي!$B$2:$B$1800,"عجين كريب (مصنع بالمطعم)")+0.08333333333*SUMIFS(الريسبي!$C$2:$C$1800,الريسبي!$A$2:$A$1800,$A57,الريسبي!$B$2:$B$1800,"عجين كريب صيامي (بدون لبن)")</f>
        <v>0</v>
      </c>
      <c r="AN57" s="117" t="n">
        <f aca="false">SUMIFS(الريسبي!$C$2:$C$1800,الريسبي!$A$2:$A$1800,$A57,الريسبي!$B$2:$B$1800,AN$1)+0.004166666667*SUMIFS(الريسبي!$C$2:$C$1800,الريسبي!$A$2:$A$1800,$A57,الريسبي!$B$2:$B$1800,"عجين كريب (مصنع بالمطعم)")+0.004166666667*SUMIFS(الريسبي!$C$2:$C$1800,الريسبي!$A$2:$A$1800,$A57,الريسبي!$B$2:$B$1800,"عجين كريب صيامي (بدون لبن)")</f>
        <v>0</v>
      </c>
      <c r="AO57" s="117" t="n">
        <f aca="false">SUMIFS(الريسبي!$C$2:$C$1800,الريسبي!$A$2:$A$1800,$A57,الريسبي!$B$2:$B$1800,AO$1)</f>
        <v>0</v>
      </c>
      <c r="AP57" s="117" t="n">
        <f aca="false">SUMIFS(الريسبي!$C$2:$C$1800,الريسبي!$A$2:$A$1800,$A57,الريسبي!$B$2:$B$1800,AP$1)</f>
        <v>0</v>
      </c>
      <c r="AQ57" s="117" t="n">
        <f aca="false">SUMIFS(الريسبي!$C$2:$C$1800,الريسبي!$A$2:$A$1800,$A57,الريسبي!$B$2:$B$1800,AQ$1)+0.004166666667*SUMIFS(الريسبي!$C$2:$C$1800,الريسبي!$A$2:$A$1800,$A57,الريسبي!$B$2:$B$1800,"عجين كريب (مصنع بالمطعم)")+0.004166666667*SUMIFS(الريسبي!$C$2:$C$1800,الريسبي!$A$2:$A$1800,$A57,الريسبي!$B$2:$B$1800,"عجين كريب صيامي (بدون لبن)")</f>
        <v>0</v>
      </c>
      <c r="AR57" s="117" t="n">
        <f aca="false">SUMIFS(الريسبي!$C$2:$C$1800,الريسبي!$A$2:$A$1800,$A57,الريسبي!$B$2:$B$1800,AR$1)</f>
        <v>0</v>
      </c>
      <c r="AS57" s="117" t="n">
        <f aca="false">SUMIFS(الريسبي!$C$2:$C$1800,الريسبي!$A$2:$A$1800,$A57,الريسبي!$B$2:$B$1800,AS$1)</f>
        <v>0</v>
      </c>
      <c r="AT57" s="117" t="n">
        <f aca="false">SUMIFS(الريسبي!$C$2:$C$1800,الريسبي!$A$2:$A$1800,$A57,الريسبي!$B$2:$B$1800,AT$1)</f>
        <v>0</v>
      </c>
      <c r="AU57" s="117" t="n">
        <f aca="false">SUMIFS(الريسبي!$C$2:$C$1800,الريسبي!$A$2:$A$1800,$A57,الريسبي!$B$2:$B$1800,AU$1)</f>
        <v>0</v>
      </c>
      <c r="AV57" s="117" t="n">
        <f aca="false">SUMIFS(الريسبي!$C$2:$C$1800,الريسبي!$A$2:$A$1800,$A57,الريسبي!$B$2:$B$1800,AV$1)</f>
        <v>0</v>
      </c>
      <c r="AW57" s="117" t="n">
        <f aca="false">SUMIFS(الريسبي!$C$2:$C$1800,الريسبي!$A$2:$A$1800,$A57,الريسبي!$B$2:$B$1800,AW$1)</f>
        <v>0</v>
      </c>
      <c r="AX57" s="117" t="n">
        <f aca="false">SUMIFS(الريسبي!$C$2:$C$1800,الريسبي!$A$2:$A$1800,$A57,الريسبي!$B$2:$B$1800,AX$1)</f>
        <v>0</v>
      </c>
      <c r="AY57" s="117" t="n">
        <f aca="false">SUMIFS(الريسبي!$C$2:$C$1800,الريسبي!$A$2:$A$1800,$A57,الريسبي!$B$2:$B$1800,AY$1)</f>
        <v>0.0667</v>
      </c>
      <c r="AZ57" s="117" t="n">
        <f aca="false">SUMIFS(الريسبي!$C$2:$C$1800,الريسبي!$A$2:$A$1800,$A57,الريسبي!$B$2:$B$1800,AZ$1)</f>
        <v>0.0667</v>
      </c>
      <c r="BA57" s="117" t="n">
        <f aca="false">SUMIFS(الريسبي!$C$2:$C$1800,الريسبي!$A$2:$A$1800,$A57,الريسبي!$B$2:$B$1800,BA$1)</f>
        <v>0</v>
      </c>
      <c r="BB57" s="117" t="n">
        <f aca="false">SUMIFS(الريسبي!$C$2:$C$1800,الريسبي!$A$2:$A$1800,$A57,الريسبي!$B$2:$B$1800,BB$1)</f>
        <v>0.0667</v>
      </c>
      <c r="BC57" s="117" t="n">
        <f aca="false">SUMIFS(الريسبي!$C$2:$C$1800,الريسبي!$A$2:$A$1800,$A57,الريسبي!$B$2:$B$1800,BC$1)</f>
        <v>0.02</v>
      </c>
      <c r="BD57" s="117" t="n">
        <f aca="false">SUMIFS(الريسبي!$C$2:$C$1800,الريسبي!$A$2:$A$1800,$A57,الريسبي!$B$2:$B$1800,BD$1)</f>
        <v>0.3</v>
      </c>
      <c r="BE57" s="117" t="n">
        <f aca="false">SUMIFS(الريسبي!$C$2:$C$1800,الريسبي!$A$2:$A$1800,$A57,الريسبي!$B$2:$B$1800,BE$1)</f>
        <v>0</v>
      </c>
      <c r="BF57" s="117" t="n">
        <f aca="false">SUMIFS(الريسبي!$C$2:$C$1800,الريسبي!$A$2:$A$1800,$A57,الريسبي!$B$2:$B$1800,BF$1)</f>
        <v>0</v>
      </c>
      <c r="BG57" s="117" t="n">
        <f aca="false">SUMIFS(الريسبي!$C$2:$C$1800,الريسبي!$A$2:$A$1800,$A57,الريسبي!$B$2:$B$1800,BG$1)</f>
        <v>0</v>
      </c>
      <c r="BH57" s="117" t="n">
        <f aca="false">SUMIFS(الريسبي!$C$2:$C$1800,الريسبي!$A$2:$A$1800,$A57,الريسبي!$B$2:$B$1800,BH$1)</f>
        <v>0</v>
      </c>
      <c r="BI57" s="117" t="n">
        <f aca="false">SUMIFS(الريسبي!$C$2:$C$1800,الريسبي!$A$2:$A$1800,$A57,الريسبي!$B$2:$B$1800,BI$1)</f>
        <v>0</v>
      </c>
      <c r="BJ57" s="117" t="n">
        <f aca="false">SUMIFS(الريسبي!$C$2:$C$1800,الريسبي!$A$2:$A$1800,$A57,الريسبي!$B$2:$B$1800,BJ$1)</f>
        <v>0</v>
      </c>
      <c r="BK57" s="117" t="n">
        <f aca="false">SUMIFS(الريسبي!$C$2:$C$1800,الريسبي!$A$2:$A$1800,$A57,الريسبي!$B$2:$B$1800,BK$1)</f>
        <v>0</v>
      </c>
      <c r="BL57" s="117" t="n">
        <f aca="false">SUMIFS(الريسبي!$C$2:$C$1800,الريسبي!$A$2:$A$1800,$A57,الريسبي!$B$2:$B$1800,BL$1)</f>
        <v>0</v>
      </c>
      <c r="BM57" s="117" t="n">
        <f aca="false">SUMIFS(الريسبي!$C$2:$C$1800,الريسبي!$A$2:$A$1800,$A57,الريسبي!$B$2:$B$1800,BM$1)</f>
        <v>0</v>
      </c>
      <c r="BN57" s="117" t="n">
        <f aca="false">SUMIFS(الريسبي!$C$2:$C$1800,الريسبي!$A$2:$A$1800,$A57,الريسبي!$B$2:$B$1800,BN$1)</f>
        <v>0.02</v>
      </c>
      <c r="BO57" s="117" t="n">
        <f aca="false">SUMIFS(الريسبي!$C$2:$C$1800,الريسبي!$A$2:$A$1800,$A57,الريسبي!$B$2:$B$1800,BO$1)</f>
        <v>0</v>
      </c>
      <c r="BP57" s="117" t="n">
        <f aca="false">SUMIFS(الريسبي!$C$2:$C$1800,الريسبي!$A$2:$A$1800,$A57,الريسبي!$B$2:$B$1800,BP$1)</f>
        <v>3</v>
      </c>
      <c r="BQ57" s="117" t="n">
        <f aca="false">SUMIFS(الريسبي!$C$2:$C$1800,الريسبي!$A$2:$A$1800,$A57,الريسبي!$B$2:$B$1800,BQ$1)+0.17*SUMIFS(الريسبي!$C$2:$C$1800,الريسبي!$A$2:$A$1800,$A57,الريسبي!$B$2:$B$1800,"كاسترد مصنع (خليط بودر + لبن)")+0.17*SUMIFS(الريسبي!$C$2:$C$1800,الريسبي!$A$2:$A$1800,$A57,الريسبي!$B$2:$B$1800,"كاسترد مصنع صيامي (بدون لبن)")</f>
        <v>0</v>
      </c>
      <c r="BR57" s="117" t="n">
        <f aca="false">SUMIFS(الريسبي!$C$2:$C$1800,الريسبي!$A$2:$A$1800,$A57,الريسبي!$B$2:$B$1800,BR$1)</f>
        <v>1.5</v>
      </c>
      <c r="BS57" s="117" t="n">
        <f aca="false">SUMIFS(الريسبي!$C$2:$C$1800,الريسبي!$A$2:$A$1800,$A57,الريسبي!$B$2:$B$1800,BS$1)</f>
        <v>0</v>
      </c>
      <c r="BT57" s="117" t="n">
        <f aca="false">SUMIFS(الريسبي!$C$2:$C$1800,الريسبي!$A$2:$A$1800,$A57,الريسبي!$B$2:$B$1800,BT$1)</f>
        <v>0</v>
      </c>
      <c r="BU57" s="117" t="n">
        <f aca="false">SUMIFS(الريسبي!$C$2:$C$1800,الريسبي!$A$2:$A$1800,$A57,الريسبي!$B$2:$B$1800,BU$1)+0.4*SUMIFS(الريسبي!$C$2:$C$1800,الريسبي!$A$2:$A$1800,$A57,الريسبي!$B$2:$B$1800,"كاسترد مصنع (خليط بودر + لبن)")+0.03333333333*SUMIFS(الريسبي!$C$2:$C$1800,الريسبي!$A$2:$A$1800,$A57,الريسبي!$B$2:$B$1800,"عجين كريب (مصنع بالمطعم)")</f>
        <v>0</v>
      </c>
      <c r="BV57" s="117" t="n">
        <f aca="false">SUMIFS(الريسبي!$C$2:$C$1800,الريسبي!$A$2:$A$1800,$A57,الريسبي!$B$2:$B$1800,BV$1)</f>
        <v>0</v>
      </c>
      <c r="BW57" s="117" t="n">
        <f aca="false">SUMIFS(الريسبي!$C$2:$C$1800,الريسبي!$A$2:$A$1800,$A57,الريسبي!$B$2:$B$1800,BW$1)</f>
        <v>0</v>
      </c>
      <c r="BX57" s="117" t="n">
        <f aca="false">SUMIFS(الريسبي!$C$2:$C$1800,الريسبي!$A$2:$A$1800,$A57,الريسبي!$B$2:$B$1800,BX$1)</f>
        <v>0</v>
      </c>
      <c r="BY57" s="117" t="n">
        <f aca="false">SUMIFS(الريسبي!$C$2:$C$1800,الريسبي!$A$2:$A$1800,$A57,الريسبي!$B$2:$B$1800,BY$1)</f>
        <v>0</v>
      </c>
      <c r="BZ57" s="117" t="n">
        <f aca="false">SUMIFS(الريسبي!$C$2:$C$1800,الريسبي!$A$2:$A$1800,$A57,الريسبي!$B$2:$B$1800,BZ$1)</f>
        <v>0</v>
      </c>
      <c r="CA57" s="117" t="n">
        <f aca="false">SUMIFS(الريسبي!$C$2:$C$1800,الريسبي!$A$2:$A$1800,$A57,الريسبي!$B$2:$B$1800,CA$1)</f>
        <v>1.5</v>
      </c>
      <c r="CB57" s="117" t="n">
        <f aca="false">SUMIFS(الريسبي!$C$2:$C$1800,الريسبي!$A$2:$A$1800,$A57,الريسبي!$B$2:$B$1800,CB$1)</f>
        <v>1.5</v>
      </c>
      <c r="CC57" s="117" t="n">
        <f aca="false">SUMIFS(الريسبي!$C$2:$C$1800,الريسبي!$A$2:$A$1800,$A57,الريسبي!$B$2:$B$1800,CC$1)</f>
        <v>0</v>
      </c>
      <c r="CD57" s="117" t="n">
        <f aca="false">SUMIFS(الريسبي!$C$2:$C$1800,الريسبي!$A$2:$A$1800,$A57,الريسبي!$B$2:$B$1800,CD$1)</f>
        <v>0</v>
      </c>
      <c r="CE57" s="117" t="n">
        <f aca="false">SUMIFS(الريسبي!$C$2:$C$1800,الريسبي!$A$2:$A$1800,$A57,الريسبي!$B$2:$B$1800,CE$1)</f>
        <v>0</v>
      </c>
      <c r="CF57" s="117" t="n">
        <f aca="false">SUMIFS(الريسبي!$C$2:$C$1800,الريسبي!$A$2:$A$1800,$A57,الريسبي!$B$2:$B$1800,CF$1)</f>
        <v>0</v>
      </c>
      <c r="CG57" s="117" t="n">
        <f aca="false">SUMIFS(الريسبي!$C$2:$C$1800,الريسبي!$A$2:$A$1800,$A57,الريسبي!$B$2:$B$1800,CG$1)</f>
        <v>0</v>
      </c>
      <c r="CH57" s="117" t="n">
        <f aca="false">SUMIFS(الريسبي!$C$2:$C$1800,الريسبي!$A$2:$A$1800,$A57,الريسبي!$B$2:$B$1800,CH$1)</f>
        <v>0</v>
      </c>
      <c r="CI57" s="117" t="n">
        <f aca="false">SUMIFS(الريسبي!$C$2:$C$1800,الريسبي!$A$2:$A$1800,$A57,الريسبي!$B$2:$B$1800,CI$1)</f>
        <v>1</v>
      </c>
      <c r="CJ57" s="117" t="n">
        <f aca="false">SUMIFS(الريسبي!$C$2:$C$1800,الريسبي!$A$2:$A$1800,$A57,الريسبي!$B$2:$B$1800,CJ$1)</f>
        <v>0</v>
      </c>
      <c r="CK57" s="117" t="n">
        <f aca="false">SUMIFS(الريسبي!$C$2:$C$1800,الريسبي!$A$2:$A$1800,$A57,الريسبي!$B$2:$B$1800,CK$1)</f>
        <v>0</v>
      </c>
      <c r="CL57" s="117" t="n">
        <f aca="false">SUMIFS(الريسبي!$C$2:$C$1800,الريسبي!$A$2:$A$1800,$A57,الريسبي!$B$2:$B$1800,CL$1)</f>
        <v>0</v>
      </c>
    </row>
    <row r="58" customFormat="false" ht="15" hidden="false" customHeight="false" outlineLevel="0" collapsed="false">
      <c r="A58" s="116" t="str">
        <f aca="false">المنيو!B58</f>
        <v>فطيررجر</v>
      </c>
      <c r="B58" s="117" t="n">
        <f aca="false">SUMIFS(الريسبي!$C$2:$C$1800,الريسبي!$A$2:$A$1800,$A58,الريسبي!$B$2:$B$1800,B$1)</f>
        <v>0</v>
      </c>
      <c r="C58" s="117" t="n">
        <f aca="false">SUMIFS(الريسبي!$C$2:$C$1800,الريسبي!$A$2:$A$1800,$A58,الريسبي!$B$2:$B$1800,C$1)</f>
        <v>0</v>
      </c>
      <c r="D58" s="117" t="n">
        <f aca="false">SUMIFS(الريسبي!$C$2:$C$1800,الريسبي!$A$2:$A$1800,$A58,الريسبي!$B$2:$B$1800,D$1)</f>
        <v>1</v>
      </c>
      <c r="E58" s="117" t="n">
        <f aca="false">SUMIFS(الريسبي!$C$2:$C$1800,الريسبي!$A$2:$A$1800,$A58,الريسبي!$B$2:$B$1800,E$1)</f>
        <v>0</v>
      </c>
      <c r="F58" s="117" t="n">
        <f aca="false">SUMIFS(الريسبي!$C$2:$C$1800,الريسبي!$A$2:$A$1800,$A58,الريسبي!$B$2:$B$1800,F$1)</f>
        <v>2</v>
      </c>
      <c r="G58" s="117" t="n">
        <f aca="false">SUMIFS(الريسبي!$C$2:$C$1800,الريسبي!$A$2:$A$1800,$A58,الريسبي!$B$2:$B$1800,G$1)</f>
        <v>0</v>
      </c>
      <c r="H58" s="117" t="n">
        <f aca="false">SUMIFS(الريسبي!$C$2:$C$1800,الريسبي!$A$2:$A$1800,$A58,الريسبي!$B$2:$B$1800,H$1)</f>
        <v>0</v>
      </c>
      <c r="I58" s="117" t="n">
        <f aca="false">SUMIFS(الريسبي!$C$2:$C$1800,الريسبي!$A$2:$A$1800,$A58,الريسبي!$B$2:$B$1800,I$1)</f>
        <v>0</v>
      </c>
      <c r="J58" s="117" t="n">
        <f aca="false">SUMIFS(الريسبي!$C$2:$C$1800,الريسبي!$A$2:$A$1800,$A58,الريسبي!$B$2:$B$1800,J$1)</f>
        <v>0</v>
      </c>
      <c r="K58" s="117" t="n">
        <f aca="false">SUMIFS(الريسبي!$C$2:$C$1800,الريسبي!$A$2:$A$1800,$A58,الريسبي!$B$2:$B$1800,K$1)</f>
        <v>0</v>
      </c>
      <c r="L58" s="117" t="n">
        <f aca="false">SUMIFS(الريسبي!$C$2:$C$1800,الريسبي!$A$2:$A$1800,$A58,الريسبي!$B$2:$B$1800,L$1)</f>
        <v>0</v>
      </c>
      <c r="M58" s="117" t="n">
        <f aca="false">SUMIFS(الريسبي!$C$2:$C$1800,الريسبي!$A$2:$A$1800,$A58,الريسبي!$B$2:$B$1800,M$1)</f>
        <v>0</v>
      </c>
      <c r="N58" s="117" t="n">
        <f aca="false">SUMIFS(الريسبي!$C$2:$C$1800,الريسبي!$A$2:$A$1800,$A58,الريسبي!$B$2:$B$1800,N$1)</f>
        <v>0</v>
      </c>
      <c r="O58" s="117" t="n">
        <f aca="false">SUMIFS(الريسبي!$C$2:$C$1800,الريسبي!$A$2:$A$1800,$A58,الريسبي!$B$2:$B$1800,O$1)</f>
        <v>0</v>
      </c>
      <c r="P58" s="117" t="n">
        <f aca="false">SUMIFS(الريسبي!$C$2:$C$1800,الريسبي!$A$2:$A$1800,$A58,الريسبي!$B$2:$B$1800,P$1)</f>
        <v>0</v>
      </c>
      <c r="Q58" s="117" t="n">
        <f aca="false">SUMIFS(الريسبي!$C$2:$C$1800,الريسبي!$A$2:$A$1800,$A58,الريسبي!$B$2:$B$1800,Q$1)</f>
        <v>0</v>
      </c>
      <c r="R58" s="117" t="n">
        <f aca="false">SUMIFS(الريسبي!$C$2:$C$1800,الريسبي!$A$2:$A$1800,$A58,الريسبي!$B$2:$B$1800,R$1)</f>
        <v>0</v>
      </c>
      <c r="S58" s="117" t="n">
        <f aca="false">SUMIFS(الريسبي!$C$2:$C$1800,الريسبي!$A$2:$A$1800,$A58,الريسبي!$B$2:$B$1800,S$1)</f>
        <v>0</v>
      </c>
      <c r="T58" s="117" t="n">
        <f aca="false">SUMIFS(الريسبي!$C$2:$C$1800,الريسبي!$A$2:$A$1800,$A58,الريسبي!$B$2:$B$1800,T$1)</f>
        <v>0</v>
      </c>
      <c r="U58" s="117" t="n">
        <f aca="false">SUMIFS(الريسبي!$C$2:$C$1800,الريسبي!$A$2:$A$1800,$A58,الريسبي!$B$2:$B$1800,U$1)</f>
        <v>0</v>
      </c>
      <c r="V58" s="117" t="n">
        <f aca="false">SUMIFS(الريسبي!$C$2:$C$1800,الريسبي!$A$2:$A$1800,$A58,الريسبي!$B$2:$B$1800,V$1)+1.5*(SUMIFS(الريسبي!$C$2:$C$1800,الريسبي!$A$2:$A$1800,$A58,الريسبي!$B$2:$B$1800,"برسيون موتزريلا بيتزا كبير"))</f>
        <v>0</v>
      </c>
      <c r="W58" s="117" t="n">
        <f aca="false">0</f>
        <v>0</v>
      </c>
      <c r="X58" s="117" t="n">
        <f aca="false">SUMIFS(الريسبي!$C$2:$C$1800,الريسبي!$A$2:$A$1800,$A58,الريسبي!$B$2:$B$1800,X$1)+1.5*(SUMIFS(الريسبي!$C$2:$C$1800,الريسبي!$A$2:$A$1800,$A58,الريسبي!$B$2:$B$1800,"برسيون موتزريلا فطير كبير"))</f>
        <v>0</v>
      </c>
      <c r="Y58" s="117" t="n">
        <f aca="false">0</f>
        <v>0</v>
      </c>
      <c r="Z58" s="117" t="n">
        <f aca="false">SUMIFS(الريسبي!$C$2:$C$1800,الريسبي!$A$2:$A$1800,$A58,الريسبي!$B$2:$B$1800,Z$1)</f>
        <v>0</v>
      </c>
      <c r="AA58" s="117" t="n">
        <f aca="false">SUMIFS(الريسبي!$C$2:$C$1800,الريسبي!$A$2:$A$1800,$A58,الريسبي!$B$2:$B$1800,AA$1)</f>
        <v>0</v>
      </c>
      <c r="AB58" s="117" t="n">
        <f aca="false">SUMIFS(الريسبي!$C$2:$C$1800,الريسبي!$A$2:$A$1800,$A58,الريسبي!$B$2:$B$1800,AB$1)</f>
        <v>0</v>
      </c>
      <c r="AC58" s="117" t="n">
        <f aca="false">SUMIFS(الريسبي!$C$2:$C$1800,الريسبي!$A$2:$A$1800,$A58,الريسبي!$B$2:$B$1800,AC$1)</f>
        <v>0</v>
      </c>
      <c r="AD58" s="117" t="n">
        <f aca="false">SUMIFS(الريسبي!$C$2:$C$1800,الريسبي!$A$2:$A$1800,$A58,الريسبي!$B$2:$B$1800,AD$1)</f>
        <v>0</v>
      </c>
      <c r="AE58" s="117" t="n">
        <f aca="false">SUMIFS(الريسبي!$C$2:$C$1800,الريسبي!$A$2:$A$1800,$A58,الريسبي!$B$2:$B$1800,AE$1)</f>
        <v>0.02</v>
      </c>
      <c r="AF58" s="117" t="n">
        <f aca="false">SUMIFS(الريسبي!$C$2:$C$1800,الريسبي!$A$2:$A$1800,$A58,الريسبي!$B$2:$B$1800,AF$1)</f>
        <v>0</v>
      </c>
      <c r="AG58" s="117" t="n">
        <f aca="false">SUMIFS(الريسبي!$C$2:$C$1800,الريسبي!$A$2:$A$1800,$A58,الريسبي!$B$2:$B$1800,AG$1)</f>
        <v>0</v>
      </c>
      <c r="AH58" s="117" t="n">
        <f aca="false">SUMIFS(الريسبي!$C$2:$C$1800,الريسبي!$A$2:$A$1800,$A58,الريسبي!$B$2:$B$1800,AH$1)</f>
        <v>0</v>
      </c>
      <c r="AI58" s="117" t="n">
        <f aca="false">SUMIFS(الريسبي!$C$2:$C$1800,الريسبي!$A$2:$A$1800,$A58,الريسبي!$B$2:$B$1800,AI$1)</f>
        <v>0</v>
      </c>
      <c r="AJ58" s="117" t="n">
        <f aca="false">SUMIFS(الريسبي!$C$2:$C$1800,الريسبي!$A$2:$A$1800,$A58,الريسبي!$B$2:$B$1800,AJ$1)</f>
        <v>2</v>
      </c>
      <c r="AK58" s="117" t="n">
        <f aca="false">SUMIFS(الريسبي!$C$2:$C$1800,الريسبي!$A$2:$A$1800,$A58,الريسبي!$B$2:$B$1800,AK$1)</f>
        <v>0</v>
      </c>
      <c r="AL58" s="117" t="n">
        <f aca="false">SUMIFS(الريسبي!$C$2:$C$1800,الريسبي!$A$2:$A$1800,$A58,الريسبي!$B$2:$B$1800,AL$1)</f>
        <v>0.02</v>
      </c>
      <c r="AM58" s="117" t="n">
        <f aca="false">SUMIFS(الريسبي!$C$2:$C$1800,الريسبي!$A$2:$A$1800,$A58,الريسبي!$B$2:$B$1800,AM$1)+0.08333333333*SUMIFS(الريسبي!$C$2:$C$1800,الريسبي!$A$2:$A$1800,$A58,الريسبي!$B$2:$B$1800,"عجين كريب (مصنع بالمطعم)")+0.08333333333*SUMIFS(الريسبي!$C$2:$C$1800,الريسبي!$A$2:$A$1800,$A58,الريسبي!$B$2:$B$1800,"عجين كريب صيامي (بدون لبن)")</f>
        <v>0</v>
      </c>
      <c r="AN58" s="117" t="n">
        <f aca="false">SUMIFS(الريسبي!$C$2:$C$1800,الريسبي!$A$2:$A$1800,$A58,الريسبي!$B$2:$B$1800,AN$1)+0.004166666667*SUMIFS(الريسبي!$C$2:$C$1800,الريسبي!$A$2:$A$1800,$A58,الريسبي!$B$2:$B$1800,"عجين كريب (مصنع بالمطعم)")+0.004166666667*SUMIFS(الريسبي!$C$2:$C$1800,الريسبي!$A$2:$A$1800,$A58,الريسبي!$B$2:$B$1800,"عجين كريب صيامي (بدون لبن)")</f>
        <v>0</v>
      </c>
      <c r="AO58" s="117" t="n">
        <f aca="false">SUMIFS(الريسبي!$C$2:$C$1800,الريسبي!$A$2:$A$1800,$A58,الريسبي!$B$2:$B$1800,AO$1)</f>
        <v>0</v>
      </c>
      <c r="AP58" s="117" t="n">
        <f aca="false">SUMIFS(الريسبي!$C$2:$C$1800,الريسبي!$A$2:$A$1800,$A58,الريسبي!$B$2:$B$1800,AP$1)</f>
        <v>0</v>
      </c>
      <c r="AQ58" s="117" t="n">
        <f aca="false">SUMIFS(الريسبي!$C$2:$C$1800,الريسبي!$A$2:$A$1800,$A58,الريسبي!$B$2:$B$1800,AQ$1)+0.004166666667*SUMIFS(الريسبي!$C$2:$C$1800,الريسبي!$A$2:$A$1800,$A58,الريسبي!$B$2:$B$1800,"عجين كريب (مصنع بالمطعم)")+0.004166666667*SUMIFS(الريسبي!$C$2:$C$1800,الريسبي!$A$2:$A$1800,$A58,الريسبي!$B$2:$B$1800,"عجين كريب صيامي (بدون لبن)")</f>
        <v>0</v>
      </c>
      <c r="AR58" s="117" t="n">
        <f aca="false">SUMIFS(الريسبي!$C$2:$C$1800,الريسبي!$A$2:$A$1800,$A58,الريسبي!$B$2:$B$1800,AR$1)</f>
        <v>0</v>
      </c>
      <c r="AS58" s="117" t="n">
        <f aca="false">SUMIFS(الريسبي!$C$2:$C$1800,الريسبي!$A$2:$A$1800,$A58,الريسبي!$B$2:$B$1800,AS$1)</f>
        <v>0</v>
      </c>
      <c r="AT58" s="117" t="n">
        <f aca="false">SUMIFS(الريسبي!$C$2:$C$1800,الريسبي!$A$2:$A$1800,$A58,الريسبي!$B$2:$B$1800,AT$1)</f>
        <v>0</v>
      </c>
      <c r="AU58" s="117" t="n">
        <f aca="false">SUMIFS(الريسبي!$C$2:$C$1800,الريسبي!$A$2:$A$1800,$A58,الريسبي!$B$2:$B$1800,AU$1)</f>
        <v>0</v>
      </c>
      <c r="AV58" s="117" t="n">
        <f aca="false">SUMIFS(الريسبي!$C$2:$C$1800,الريسبي!$A$2:$A$1800,$A58,الريسبي!$B$2:$B$1800,AV$1)</f>
        <v>0</v>
      </c>
      <c r="AW58" s="117" t="n">
        <f aca="false">SUMIFS(الريسبي!$C$2:$C$1800,الريسبي!$A$2:$A$1800,$A58,الريسبي!$B$2:$B$1800,AW$1)</f>
        <v>0</v>
      </c>
      <c r="AX58" s="117" t="n">
        <f aca="false">SUMIFS(الريسبي!$C$2:$C$1800,الريسبي!$A$2:$A$1800,$A58,الريسبي!$B$2:$B$1800,AX$1)</f>
        <v>0</v>
      </c>
      <c r="AY58" s="117" t="n">
        <f aca="false">SUMIFS(الريسبي!$C$2:$C$1800,الريسبي!$A$2:$A$1800,$A58,الريسبي!$B$2:$B$1800,AY$1)</f>
        <v>0.05</v>
      </c>
      <c r="AZ58" s="117" t="n">
        <f aca="false">SUMIFS(الريسبي!$C$2:$C$1800,الريسبي!$A$2:$A$1800,$A58,الريسبي!$B$2:$B$1800,AZ$1)</f>
        <v>0.05</v>
      </c>
      <c r="BA58" s="117" t="n">
        <f aca="false">SUMIFS(الريسبي!$C$2:$C$1800,الريسبي!$A$2:$A$1800,$A58,الريسبي!$B$2:$B$1800,BA$1)</f>
        <v>0</v>
      </c>
      <c r="BB58" s="117" t="n">
        <f aca="false">SUMIFS(الريسبي!$C$2:$C$1800,الريسبي!$A$2:$A$1800,$A58,الريسبي!$B$2:$B$1800,BB$1)</f>
        <v>0.05</v>
      </c>
      <c r="BC58" s="117" t="n">
        <f aca="false">SUMIFS(الريسبي!$C$2:$C$1800,الريسبي!$A$2:$A$1800,$A58,الريسبي!$B$2:$B$1800,BC$1)</f>
        <v>0.02</v>
      </c>
      <c r="BD58" s="117" t="n">
        <f aca="false">SUMIFS(الريسبي!$C$2:$C$1800,الريسبي!$A$2:$A$1800,$A58,الريسبي!$B$2:$B$1800,BD$1)</f>
        <v>0</v>
      </c>
      <c r="BE58" s="117" t="n">
        <f aca="false">SUMIFS(الريسبي!$C$2:$C$1800,الريسبي!$A$2:$A$1800,$A58,الريسبي!$B$2:$B$1800,BE$1)</f>
        <v>2</v>
      </c>
      <c r="BF58" s="117" t="n">
        <f aca="false">SUMIFS(الريسبي!$C$2:$C$1800,الريسبي!$A$2:$A$1800,$A58,الريسبي!$B$2:$B$1800,BF$1)</f>
        <v>0</v>
      </c>
      <c r="BG58" s="117" t="n">
        <f aca="false">SUMIFS(الريسبي!$C$2:$C$1800,الريسبي!$A$2:$A$1800,$A58,الريسبي!$B$2:$B$1800,BG$1)</f>
        <v>0</v>
      </c>
      <c r="BH58" s="117" t="n">
        <f aca="false">SUMIFS(الريسبي!$C$2:$C$1800,الريسبي!$A$2:$A$1800,$A58,الريسبي!$B$2:$B$1800,BH$1)</f>
        <v>0</v>
      </c>
      <c r="BI58" s="117" t="n">
        <f aca="false">SUMIFS(الريسبي!$C$2:$C$1800,الريسبي!$A$2:$A$1800,$A58,الريسبي!$B$2:$B$1800,BI$1)</f>
        <v>0</v>
      </c>
      <c r="BJ58" s="117" t="n">
        <f aca="false">SUMIFS(الريسبي!$C$2:$C$1800,الريسبي!$A$2:$A$1800,$A58,الريسبي!$B$2:$B$1800,BJ$1)</f>
        <v>0</v>
      </c>
      <c r="BK58" s="117" t="n">
        <f aca="false">SUMIFS(الريسبي!$C$2:$C$1800,الريسبي!$A$2:$A$1800,$A58,الريسبي!$B$2:$B$1800,BK$1)</f>
        <v>0</v>
      </c>
      <c r="BL58" s="117" t="n">
        <f aca="false">SUMIFS(الريسبي!$C$2:$C$1800,الريسبي!$A$2:$A$1800,$A58,الريسبي!$B$2:$B$1800,BL$1)</f>
        <v>0</v>
      </c>
      <c r="BM58" s="117" t="n">
        <f aca="false">SUMIFS(الريسبي!$C$2:$C$1800,الريسبي!$A$2:$A$1800,$A58,الريسبي!$B$2:$B$1800,BM$1)</f>
        <v>0</v>
      </c>
      <c r="BN58" s="117" t="n">
        <f aca="false">SUMIFS(الريسبي!$C$2:$C$1800,الريسبي!$A$2:$A$1800,$A58,الريسبي!$B$2:$B$1800,BN$1)</f>
        <v>0.02</v>
      </c>
      <c r="BO58" s="117" t="n">
        <f aca="false">SUMIFS(الريسبي!$C$2:$C$1800,الريسبي!$A$2:$A$1800,$A58,الريسبي!$B$2:$B$1800,BO$1)</f>
        <v>0</v>
      </c>
      <c r="BP58" s="117" t="n">
        <f aca="false">SUMIFS(الريسبي!$C$2:$C$1800,الريسبي!$A$2:$A$1800,$A58,الريسبي!$B$2:$B$1800,BP$1)</f>
        <v>2</v>
      </c>
      <c r="BQ58" s="117" t="n">
        <f aca="false">SUMIFS(الريسبي!$C$2:$C$1800,الريسبي!$A$2:$A$1800,$A58,الريسبي!$B$2:$B$1800,BQ$1)+0.17*SUMIFS(الريسبي!$C$2:$C$1800,الريسبي!$A$2:$A$1800,$A58,الريسبي!$B$2:$B$1800,"كاسترد مصنع (خليط بودر + لبن)")+0.17*SUMIFS(الريسبي!$C$2:$C$1800,الريسبي!$A$2:$A$1800,$A58,الريسبي!$B$2:$B$1800,"كاسترد مصنع صيامي (بدون لبن)")</f>
        <v>0</v>
      </c>
      <c r="BR58" s="117" t="n">
        <f aca="false">SUMIFS(الريسبي!$C$2:$C$1800,الريسبي!$A$2:$A$1800,$A58,الريسبي!$B$2:$B$1800,BR$1)</f>
        <v>1</v>
      </c>
      <c r="BS58" s="117" t="n">
        <f aca="false">SUMIFS(الريسبي!$C$2:$C$1800,الريسبي!$A$2:$A$1800,$A58,الريسبي!$B$2:$B$1800,BS$1)</f>
        <v>0</v>
      </c>
      <c r="BT58" s="117" t="n">
        <f aca="false">SUMIFS(الريسبي!$C$2:$C$1800,الريسبي!$A$2:$A$1800,$A58,الريسبي!$B$2:$B$1800,BT$1)</f>
        <v>0</v>
      </c>
      <c r="BU58" s="117" t="n">
        <f aca="false">SUMIFS(الريسبي!$C$2:$C$1800,الريسبي!$A$2:$A$1800,$A58,الريسبي!$B$2:$B$1800,BU$1)+0.4*SUMIFS(الريسبي!$C$2:$C$1800,الريسبي!$A$2:$A$1800,$A58,الريسبي!$B$2:$B$1800,"كاسترد مصنع (خليط بودر + لبن)")+0.03333333333*SUMIFS(الريسبي!$C$2:$C$1800,الريسبي!$A$2:$A$1800,$A58,الريسبي!$B$2:$B$1800,"عجين كريب (مصنع بالمطعم)")</f>
        <v>0</v>
      </c>
      <c r="BV58" s="117" t="n">
        <f aca="false">SUMIFS(الريسبي!$C$2:$C$1800,الريسبي!$A$2:$A$1800,$A58,الريسبي!$B$2:$B$1800,BV$1)</f>
        <v>0</v>
      </c>
      <c r="BW58" s="117" t="n">
        <f aca="false">SUMIFS(الريسبي!$C$2:$C$1800,الريسبي!$A$2:$A$1800,$A58,الريسبي!$B$2:$B$1800,BW$1)</f>
        <v>0</v>
      </c>
      <c r="BX58" s="117" t="n">
        <f aca="false">SUMIFS(الريسبي!$C$2:$C$1800,الريسبي!$A$2:$A$1800,$A58,الريسبي!$B$2:$B$1800,BX$1)</f>
        <v>0</v>
      </c>
      <c r="BY58" s="117" t="n">
        <f aca="false">SUMIFS(الريسبي!$C$2:$C$1800,الريسبي!$A$2:$A$1800,$A58,الريسبي!$B$2:$B$1800,BY$1)</f>
        <v>0</v>
      </c>
      <c r="BZ58" s="117" t="n">
        <f aca="false">SUMIFS(الريسبي!$C$2:$C$1800,الريسبي!$A$2:$A$1800,$A58,الريسبي!$B$2:$B$1800,BZ$1)</f>
        <v>0</v>
      </c>
      <c r="CA58" s="117" t="n">
        <f aca="false">SUMIFS(الريسبي!$C$2:$C$1800,الريسبي!$A$2:$A$1800,$A58,الريسبي!$B$2:$B$1800,CA$1)</f>
        <v>1</v>
      </c>
      <c r="CB58" s="117" t="n">
        <f aca="false">SUMIFS(الريسبي!$C$2:$C$1800,الريسبي!$A$2:$A$1800,$A58,الريسبي!$B$2:$B$1800,CB$1)</f>
        <v>1</v>
      </c>
      <c r="CC58" s="117" t="n">
        <f aca="false">SUMIFS(الريسبي!$C$2:$C$1800,الريسبي!$A$2:$A$1800,$A58,الريسبي!$B$2:$B$1800,CC$1)</f>
        <v>0</v>
      </c>
      <c r="CD58" s="117" t="n">
        <f aca="false">SUMIFS(الريسبي!$C$2:$C$1800,الريسبي!$A$2:$A$1800,$A58,الريسبي!$B$2:$B$1800,CD$1)</f>
        <v>0</v>
      </c>
      <c r="CE58" s="117" t="n">
        <f aca="false">SUMIFS(الريسبي!$C$2:$C$1800,الريسبي!$A$2:$A$1800,$A58,الريسبي!$B$2:$B$1800,CE$1)</f>
        <v>0</v>
      </c>
      <c r="CF58" s="117" t="n">
        <f aca="false">SUMIFS(الريسبي!$C$2:$C$1800,الريسبي!$A$2:$A$1800,$A58,الريسبي!$B$2:$B$1800,CF$1)</f>
        <v>0</v>
      </c>
      <c r="CG58" s="117" t="n">
        <f aca="false">SUMIFS(الريسبي!$C$2:$C$1800,الريسبي!$A$2:$A$1800,$A58,الريسبي!$B$2:$B$1800,CG$1)</f>
        <v>0</v>
      </c>
      <c r="CH58" s="117" t="n">
        <f aca="false">SUMIFS(الريسبي!$C$2:$C$1800,الريسبي!$A$2:$A$1800,$A58,الريسبي!$B$2:$B$1800,CH$1)</f>
        <v>1</v>
      </c>
      <c r="CI58" s="117" t="n">
        <f aca="false">SUMIFS(الريسبي!$C$2:$C$1800,الريسبي!$A$2:$A$1800,$A58,الريسبي!$B$2:$B$1800,CI$1)</f>
        <v>0</v>
      </c>
      <c r="CJ58" s="117" t="n">
        <f aca="false">SUMIFS(الريسبي!$C$2:$C$1800,الريسبي!$A$2:$A$1800,$A58,الريسبي!$B$2:$B$1800,CJ$1)</f>
        <v>0</v>
      </c>
      <c r="CK58" s="117" t="n">
        <f aca="false">SUMIFS(الريسبي!$C$2:$C$1800,الريسبي!$A$2:$A$1800,$A58,الريسبي!$B$2:$B$1800,CK$1)</f>
        <v>0</v>
      </c>
      <c r="CL58" s="117" t="n">
        <f aca="false">SUMIFS(الريسبي!$C$2:$C$1800,الريسبي!$A$2:$A$1800,$A58,الريسبي!$B$2:$B$1800,CL$1)</f>
        <v>0</v>
      </c>
    </row>
    <row r="59" customFormat="false" ht="15" hidden="false" customHeight="false" outlineLevel="0" collapsed="false">
      <c r="A59" s="116" t="str">
        <f aca="false">المنيو!B59</f>
        <v>مكرونة تجرسكو (فراخ ومشروم)</v>
      </c>
      <c r="B59" s="117" t="n">
        <f aca="false">SUMIFS(الريسبي!$C$2:$C$1800,الريسبي!$A$2:$A$1800,$A59,الريسبي!$B$2:$B$1800,B$1)</f>
        <v>1</v>
      </c>
      <c r="C59" s="117" t="n">
        <f aca="false">SUMIFS(الريسبي!$C$2:$C$1800,الريسبي!$A$2:$A$1800,$A59,الريسبي!$B$2:$B$1800,C$1)</f>
        <v>0</v>
      </c>
      <c r="D59" s="117" t="n">
        <f aca="false">SUMIFS(الريسبي!$C$2:$C$1800,الريسبي!$A$2:$A$1800,$A59,الريسبي!$B$2:$B$1800,D$1)</f>
        <v>0</v>
      </c>
      <c r="E59" s="117" t="n">
        <f aca="false">SUMIFS(الريسبي!$C$2:$C$1800,الريسبي!$A$2:$A$1800,$A59,الريسبي!$B$2:$B$1800,E$1)</f>
        <v>1</v>
      </c>
      <c r="F59" s="117" t="n">
        <f aca="false">SUMIFS(الريسبي!$C$2:$C$1800,الريسبي!$A$2:$A$1800,$A59,الريسبي!$B$2:$B$1800,F$1)</f>
        <v>0</v>
      </c>
      <c r="G59" s="117" t="n">
        <f aca="false">SUMIFS(الريسبي!$C$2:$C$1800,الريسبي!$A$2:$A$1800,$A59,الريسبي!$B$2:$B$1800,G$1)</f>
        <v>0</v>
      </c>
      <c r="H59" s="117" t="n">
        <f aca="false">SUMIFS(الريسبي!$C$2:$C$1800,الريسبي!$A$2:$A$1800,$A59,الريسبي!$B$2:$B$1800,H$1)</f>
        <v>0</v>
      </c>
      <c r="I59" s="117" t="n">
        <f aca="false">SUMIFS(الريسبي!$C$2:$C$1800,الريسبي!$A$2:$A$1800,$A59,الريسبي!$B$2:$B$1800,I$1)</f>
        <v>0</v>
      </c>
      <c r="J59" s="117" t="n">
        <f aca="false">SUMIFS(الريسبي!$C$2:$C$1800,الريسبي!$A$2:$A$1800,$A59,الريسبي!$B$2:$B$1800,J$1)</f>
        <v>0</v>
      </c>
      <c r="K59" s="117" t="n">
        <f aca="false">SUMIFS(الريسبي!$C$2:$C$1800,الريسبي!$A$2:$A$1800,$A59,الريسبي!$B$2:$B$1800,K$1)</f>
        <v>0</v>
      </c>
      <c r="L59" s="117" t="n">
        <f aca="false">SUMIFS(الريسبي!$C$2:$C$1800,الريسبي!$A$2:$A$1800,$A59,الريسبي!$B$2:$B$1800,L$1)</f>
        <v>0</v>
      </c>
      <c r="M59" s="117" t="n">
        <f aca="false">SUMIFS(الريسبي!$C$2:$C$1800,الريسبي!$A$2:$A$1800,$A59,الريسبي!$B$2:$B$1800,M$1)</f>
        <v>0</v>
      </c>
      <c r="N59" s="117" t="n">
        <f aca="false">SUMIFS(الريسبي!$C$2:$C$1800,الريسبي!$A$2:$A$1800,$A59,الريسبي!$B$2:$B$1800,N$1)</f>
        <v>0</v>
      </c>
      <c r="O59" s="117" t="n">
        <f aca="false">SUMIFS(الريسبي!$C$2:$C$1800,الريسبي!$A$2:$A$1800,$A59,الريسبي!$B$2:$B$1800,O$1)</f>
        <v>1</v>
      </c>
      <c r="P59" s="117" t="n">
        <f aca="false">SUMIFS(الريسبي!$C$2:$C$1800,الريسبي!$A$2:$A$1800,$A59,الريسبي!$B$2:$B$1800,P$1)</f>
        <v>0</v>
      </c>
      <c r="Q59" s="117" t="n">
        <f aca="false">SUMIFS(الريسبي!$C$2:$C$1800,الريسبي!$A$2:$A$1800,$A59,الريسبي!$B$2:$B$1800,Q$1)</f>
        <v>0</v>
      </c>
      <c r="R59" s="117" t="n">
        <f aca="false">SUMIFS(الريسبي!$C$2:$C$1800,الريسبي!$A$2:$A$1800,$A59,الريسبي!$B$2:$B$1800,R$1)</f>
        <v>0</v>
      </c>
      <c r="S59" s="117" t="n">
        <f aca="false">SUMIFS(الريسبي!$C$2:$C$1800,الريسبي!$A$2:$A$1800,$A59,الريسبي!$B$2:$B$1800,S$1)</f>
        <v>0</v>
      </c>
      <c r="T59" s="117" t="n">
        <f aca="false">SUMIFS(الريسبي!$C$2:$C$1800,الريسبي!$A$2:$A$1800,$A59,الريسبي!$B$2:$B$1800,T$1)</f>
        <v>0</v>
      </c>
      <c r="U59" s="117" t="n">
        <f aca="false">SUMIFS(الريسبي!$C$2:$C$1800,الريسبي!$A$2:$A$1800,$A59,الريسبي!$B$2:$B$1800,U$1)</f>
        <v>0</v>
      </c>
      <c r="V59" s="117" t="n">
        <f aca="false">SUMIFS(الريسبي!$C$2:$C$1800,الريسبي!$A$2:$A$1800,$A59,الريسبي!$B$2:$B$1800,V$1)+1.5*(SUMIFS(الريسبي!$C$2:$C$1800,الريسبي!$A$2:$A$1800,$A59,الريسبي!$B$2:$B$1800,"برسيون موتزريلا بيتزا كبير"))</f>
        <v>1</v>
      </c>
      <c r="W59" s="117" t="n">
        <f aca="false">0</f>
        <v>0</v>
      </c>
      <c r="X59" s="117" t="n">
        <f aca="false">SUMIFS(الريسبي!$C$2:$C$1800,الريسبي!$A$2:$A$1800,$A59,الريسبي!$B$2:$B$1800,X$1)+1.5*(SUMIFS(الريسبي!$C$2:$C$1800,الريسبي!$A$2:$A$1800,$A59,الريسبي!$B$2:$B$1800,"برسيون موتزريلا فطير كبير"))</f>
        <v>0</v>
      </c>
      <c r="Y59" s="117" t="n">
        <f aca="false">0</f>
        <v>0</v>
      </c>
      <c r="Z59" s="117" t="n">
        <f aca="false">SUMIFS(الريسبي!$C$2:$C$1800,الريسبي!$A$2:$A$1800,$A59,الريسبي!$B$2:$B$1800,Z$1)</f>
        <v>0</v>
      </c>
      <c r="AA59" s="117" t="n">
        <f aca="false">SUMIFS(الريسبي!$C$2:$C$1800,الريسبي!$A$2:$A$1800,$A59,الريسبي!$B$2:$B$1800,AA$1)</f>
        <v>0</v>
      </c>
      <c r="AB59" s="117" t="n">
        <f aca="false">SUMIFS(الريسبي!$C$2:$C$1800,الريسبي!$A$2:$A$1800,$A59,الريسبي!$B$2:$B$1800,AB$1)</f>
        <v>0</v>
      </c>
      <c r="AC59" s="117" t="n">
        <f aca="false">SUMIFS(الريسبي!$C$2:$C$1800,الريسبي!$A$2:$A$1800,$A59,الريسبي!$B$2:$B$1800,AC$1)</f>
        <v>0.2</v>
      </c>
      <c r="AD59" s="117" t="n">
        <f aca="false">SUMIFS(الريسبي!$C$2:$C$1800,الريسبي!$A$2:$A$1800,$A59,الريسبي!$B$2:$B$1800,AD$1)</f>
        <v>0</v>
      </c>
      <c r="AE59" s="117" t="n">
        <f aca="false">SUMIFS(الريسبي!$C$2:$C$1800,الريسبي!$A$2:$A$1800,$A59,الريسبي!$B$2:$B$1800,AE$1)</f>
        <v>0</v>
      </c>
      <c r="AF59" s="117" t="n">
        <f aca="false">SUMIFS(الريسبي!$C$2:$C$1800,الريسبي!$A$2:$A$1800,$A59,الريسبي!$B$2:$B$1800,AF$1)</f>
        <v>0</v>
      </c>
      <c r="AG59" s="117" t="n">
        <f aca="false">SUMIFS(الريسبي!$C$2:$C$1800,الريسبي!$A$2:$A$1800,$A59,الريسبي!$B$2:$B$1800,AG$1)</f>
        <v>0</v>
      </c>
      <c r="AH59" s="117" t="n">
        <f aca="false">SUMIFS(الريسبي!$C$2:$C$1800,الريسبي!$A$2:$A$1800,$A59,الريسبي!$B$2:$B$1800,AH$1)</f>
        <v>0</v>
      </c>
      <c r="AI59" s="117" t="n">
        <f aca="false">SUMIFS(الريسبي!$C$2:$C$1800,الريسبي!$A$2:$A$1800,$A59,الريسبي!$B$2:$B$1800,AI$1)</f>
        <v>0</v>
      </c>
      <c r="AJ59" s="117" t="n">
        <f aca="false">SUMIFS(الريسبي!$C$2:$C$1800,الريسبي!$A$2:$A$1800,$A59,الريسبي!$B$2:$B$1800,AJ$1)</f>
        <v>2</v>
      </c>
      <c r="AK59" s="117" t="n">
        <f aca="false">SUMIFS(الريسبي!$C$2:$C$1800,الريسبي!$A$2:$A$1800,$A59,الريسبي!$B$2:$B$1800,AK$1)</f>
        <v>0</v>
      </c>
      <c r="AL59" s="117" t="n">
        <f aca="false">SUMIFS(الريسبي!$C$2:$C$1800,الريسبي!$A$2:$A$1800,$A59,الريسبي!$B$2:$B$1800,AL$1)</f>
        <v>0</v>
      </c>
      <c r="AM59" s="117" t="n">
        <f aca="false">SUMIFS(الريسبي!$C$2:$C$1800,الريسبي!$A$2:$A$1800,$A59,الريسبي!$B$2:$B$1800,AM$1)+0.08333333333*SUMIFS(الريسبي!$C$2:$C$1800,الريسبي!$A$2:$A$1800,$A59,الريسبي!$B$2:$B$1800,"عجين كريب (مصنع بالمطعم)")+0.08333333333*SUMIFS(الريسبي!$C$2:$C$1800,الريسبي!$A$2:$A$1800,$A59,الريسبي!$B$2:$B$1800,"عجين كريب صيامي (بدون لبن)")</f>
        <v>0</v>
      </c>
      <c r="AN59" s="117" t="n">
        <f aca="false">SUMIFS(الريسبي!$C$2:$C$1800,الريسبي!$A$2:$A$1800,$A59,الريسبي!$B$2:$B$1800,AN$1)+0.004166666667*SUMIFS(الريسبي!$C$2:$C$1800,الريسبي!$A$2:$A$1800,$A59,الريسبي!$B$2:$B$1800,"عجين كريب (مصنع بالمطعم)")+0.004166666667*SUMIFS(الريسبي!$C$2:$C$1800,الريسبي!$A$2:$A$1800,$A59,الريسبي!$B$2:$B$1800,"عجين كريب صيامي (بدون لبن)")</f>
        <v>0.01</v>
      </c>
      <c r="AO59" s="117" t="n">
        <f aca="false">SUMIFS(الريسبي!$C$2:$C$1800,الريسبي!$A$2:$A$1800,$A59,الريسبي!$B$2:$B$1800,AO$1)</f>
        <v>0</v>
      </c>
      <c r="AP59" s="117" t="n">
        <f aca="false">SUMIFS(الريسبي!$C$2:$C$1800,الريسبي!$A$2:$A$1800,$A59,الريسبي!$B$2:$B$1800,AP$1)</f>
        <v>0</v>
      </c>
      <c r="AQ59" s="117" t="n">
        <f aca="false">SUMIFS(الريسبي!$C$2:$C$1800,الريسبي!$A$2:$A$1800,$A59,الريسبي!$B$2:$B$1800,AQ$1)+0.004166666667*SUMIFS(الريسبي!$C$2:$C$1800,الريسبي!$A$2:$A$1800,$A59,الريسبي!$B$2:$B$1800,"عجين كريب (مصنع بالمطعم)")+0.004166666667*SUMIFS(الريسبي!$C$2:$C$1800,الريسبي!$A$2:$A$1800,$A59,الريسبي!$B$2:$B$1800,"عجين كريب صيامي (بدون لبن)")</f>
        <v>0</v>
      </c>
      <c r="AR59" s="117" t="n">
        <f aca="false">SUMIFS(الريسبي!$C$2:$C$1800,الريسبي!$A$2:$A$1800,$A59,الريسبي!$B$2:$B$1800,AR$1)</f>
        <v>0</v>
      </c>
      <c r="AS59" s="117" t="n">
        <f aca="false">SUMIFS(الريسبي!$C$2:$C$1800,الريسبي!$A$2:$A$1800,$A59,الريسبي!$B$2:$B$1800,AS$1)</f>
        <v>0</v>
      </c>
      <c r="AT59" s="117" t="n">
        <f aca="false">SUMIFS(الريسبي!$C$2:$C$1800,الريسبي!$A$2:$A$1800,$A59,الريسبي!$B$2:$B$1800,AT$1)</f>
        <v>0</v>
      </c>
      <c r="AU59" s="117" t="n">
        <f aca="false">SUMIFS(الريسبي!$C$2:$C$1800,الريسبي!$A$2:$A$1800,$A59,الريسبي!$B$2:$B$1800,AU$1)</f>
        <v>1</v>
      </c>
      <c r="AV59" s="117" t="n">
        <f aca="false">SUMIFS(الريسبي!$C$2:$C$1800,الريسبي!$A$2:$A$1800,$A59,الريسبي!$B$2:$B$1800,AV$1)</f>
        <v>0</v>
      </c>
      <c r="AW59" s="117" t="n">
        <f aca="false">SUMIFS(الريسبي!$C$2:$C$1800,الريسبي!$A$2:$A$1800,$A59,الريسبي!$B$2:$B$1800,AW$1)</f>
        <v>0</v>
      </c>
      <c r="AX59" s="117" t="n">
        <f aca="false">SUMIFS(الريسبي!$C$2:$C$1800,الريسبي!$A$2:$A$1800,$A59,الريسبي!$B$2:$B$1800,AX$1)</f>
        <v>0</v>
      </c>
      <c r="AY59" s="117" t="n">
        <f aca="false">SUMIFS(الريسبي!$C$2:$C$1800,الريسبي!$A$2:$A$1800,$A59,الريسبي!$B$2:$B$1800,AY$1)</f>
        <v>0</v>
      </c>
      <c r="AZ59" s="117" t="n">
        <f aca="false">SUMIFS(الريسبي!$C$2:$C$1800,الريسبي!$A$2:$A$1800,$A59,الريسبي!$B$2:$B$1800,AZ$1)</f>
        <v>0</v>
      </c>
      <c r="BA59" s="117" t="n">
        <f aca="false">SUMIFS(الريسبي!$C$2:$C$1800,الريسبي!$A$2:$A$1800,$A59,الريسبي!$B$2:$B$1800,BA$1)</f>
        <v>0</v>
      </c>
      <c r="BB59" s="117" t="n">
        <f aca="false">SUMIFS(الريسبي!$C$2:$C$1800,الريسبي!$A$2:$A$1800,$A59,الريسبي!$B$2:$B$1800,BB$1)</f>
        <v>0</v>
      </c>
      <c r="BC59" s="117" t="n">
        <f aca="false">SUMIFS(الريسبي!$C$2:$C$1800,الريسبي!$A$2:$A$1800,$A59,الريسبي!$B$2:$B$1800,BC$1)</f>
        <v>0</v>
      </c>
      <c r="BD59" s="117" t="n">
        <f aca="false">SUMIFS(الريسبي!$C$2:$C$1800,الريسبي!$A$2:$A$1800,$A59,الريسبي!$B$2:$B$1800,BD$1)</f>
        <v>0</v>
      </c>
      <c r="BE59" s="117" t="n">
        <f aca="false">SUMIFS(الريسبي!$C$2:$C$1800,الريسبي!$A$2:$A$1800,$A59,الريسبي!$B$2:$B$1800,BE$1)</f>
        <v>0</v>
      </c>
      <c r="BF59" s="117" t="n">
        <f aca="false">SUMIFS(الريسبي!$C$2:$C$1800,الريسبي!$A$2:$A$1800,$A59,الريسبي!$B$2:$B$1800,BF$1)</f>
        <v>0</v>
      </c>
      <c r="BG59" s="117" t="n">
        <f aca="false">SUMIFS(الريسبي!$C$2:$C$1800,الريسبي!$A$2:$A$1800,$A59,الريسبي!$B$2:$B$1800,BG$1)</f>
        <v>0</v>
      </c>
      <c r="BH59" s="117" t="n">
        <f aca="false">SUMIFS(الريسبي!$C$2:$C$1800,الريسبي!$A$2:$A$1800,$A59,الريسبي!$B$2:$B$1800,BH$1)</f>
        <v>0</v>
      </c>
      <c r="BI59" s="117" t="n">
        <f aca="false">SUMIFS(الريسبي!$C$2:$C$1800,الريسبي!$A$2:$A$1800,$A59,الريسبي!$B$2:$B$1800,BI$1)</f>
        <v>0</v>
      </c>
      <c r="BJ59" s="117" t="n">
        <f aca="false">SUMIFS(الريسبي!$C$2:$C$1800,الريسبي!$A$2:$A$1800,$A59,الريسبي!$B$2:$B$1800,BJ$1)</f>
        <v>0</v>
      </c>
      <c r="BK59" s="117" t="n">
        <f aca="false">SUMIFS(الريسبي!$C$2:$C$1800,الريسبي!$A$2:$A$1800,$A59,الريسبي!$B$2:$B$1800,BK$1)</f>
        <v>0</v>
      </c>
      <c r="BL59" s="117" t="n">
        <f aca="false">SUMIFS(الريسبي!$C$2:$C$1800,الريسبي!$A$2:$A$1800,$A59,الريسبي!$B$2:$B$1800,BL$1)</f>
        <v>0</v>
      </c>
      <c r="BM59" s="117" t="n">
        <f aca="false">SUMIFS(الريسبي!$C$2:$C$1800,الريسبي!$A$2:$A$1800,$A59,الريسبي!$B$2:$B$1800,BM$1)</f>
        <v>0</v>
      </c>
      <c r="BN59" s="117" t="n">
        <f aca="false">SUMIFS(الريسبي!$C$2:$C$1800,الريسبي!$A$2:$A$1800,$A59,الريسبي!$B$2:$B$1800,BN$1)</f>
        <v>0</v>
      </c>
      <c r="BO59" s="117" t="n">
        <f aca="false">SUMIFS(الريسبي!$C$2:$C$1800,الريسبي!$A$2:$A$1800,$A59,الريسبي!$B$2:$B$1800,BO$1)</f>
        <v>0</v>
      </c>
      <c r="BP59" s="117" t="n">
        <f aca="false">SUMIFS(الريسبي!$C$2:$C$1800,الريسبي!$A$2:$A$1800,$A59,الريسبي!$B$2:$B$1800,BP$1)</f>
        <v>2</v>
      </c>
      <c r="BQ59" s="117" t="n">
        <f aca="false">SUMIFS(الريسبي!$C$2:$C$1800,الريسبي!$A$2:$A$1800,$A59,الريسبي!$B$2:$B$1800,BQ$1)+0.17*SUMIFS(الريسبي!$C$2:$C$1800,الريسبي!$A$2:$A$1800,$A59,الريسبي!$B$2:$B$1800,"كاسترد مصنع (خليط بودر + لبن)")+0.17*SUMIFS(الريسبي!$C$2:$C$1800,الريسبي!$A$2:$A$1800,$A59,الريسبي!$B$2:$B$1800,"كاسترد مصنع صيامي (بدون لبن)")</f>
        <v>0</v>
      </c>
      <c r="BR59" s="117" t="n">
        <f aca="false">SUMIFS(الريسبي!$C$2:$C$1800,الريسبي!$A$2:$A$1800,$A59,الريسبي!$B$2:$B$1800,BR$1)</f>
        <v>0</v>
      </c>
      <c r="BS59" s="117" t="n">
        <f aca="false">SUMIFS(الريسبي!$C$2:$C$1800,الريسبي!$A$2:$A$1800,$A59,الريسبي!$B$2:$B$1800,BS$1)</f>
        <v>0</v>
      </c>
      <c r="BT59" s="117" t="n">
        <f aca="false">SUMIFS(الريسبي!$C$2:$C$1800,الريسبي!$A$2:$A$1800,$A59,الريسبي!$B$2:$B$1800,BT$1)</f>
        <v>0</v>
      </c>
      <c r="BU59" s="117" t="n">
        <f aca="false">SUMIFS(الريسبي!$C$2:$C$1800,الريسبي!$A$2:$A$1800,$A59,الريسبي!$B$2:$B$1800,BU$1)+0.4*SUMIFS(الريسبي!$C$2:$C$1800,الريسبي!$A$2:$A$1800,$A59,الريسبي!$B$2:$B$1800,"كاسترد مصنع (خليط بودر + لبن)")+0.03333333333*SUMIFS(الريسبي!$C$2:$C$1800,الريسبي!$A$2:$A$1800,$A59,الريسبي!$B$2:$B$1800,"عجين كريب (مصنع بالمطعم)")</f>
        <v>0.05</v>
      </c>
      <c r="BV59" s="117" t="n">
        <f aca="false">SUMIFS(الريسبي!$C$2:$C$1800,الريسبي!$A$2:$A$1800,$A59,الريسبي!$B$2:$B$1800,BV$1)</f>
        <v>0</v>
      </c>
      <c r="BW59" s="117" t="n">
        <f aca="false">SUMIFS(الريسبي!$C$2:$C$1800,الريسبي!$A$2:$A$1800,$A59,الريسبي!$B$2:$B$1800,BW$1)</f>
        <v>0</v>
      </c>
      <c r="BX59" s="117" t="n">
        <f aca="false">SUMIFS(الريسبي!$C$2:$C$1800,الريسبي!$A$2:$A$1800,$A59,الريسبي!$B$2:$B$1800,BX$1)</f>
        <v>0.06</v>
      </c>
      <c r="BY59" s="117" t="n">
        <f aca="false">SUMIFS(الريسبي!$C$2:$C$1800,الريسبي!$A$2:$A$1800,$A59,الريسبي!$B$2:$B$1800,BY$1)</f>
        <v>0.15</v>
      </c>
      <c r="BZ59" s="117" t="n">
        <f aca="false">SUMIFS(الريسبي!$C$2:$C$1800,الريسبي!$A$2:$A$1800,$A59,الريسبي!$B$2:$B$1800,BZ$1)</f>
        <v>0</v>
      </c>
      <c r="CA59" s="117" t="n">
        <f aca="false">SUMIFS(الريسبي!$C$2:$C$1800,الريسبي!$A$2:$A$1800,$A59,الريسبي!$B$2:$B$1800,CA$1)</f>
        <v>0</v>
      </c>
      <c r="CB59" s="117" t="n">
        <f aca="false">SUMIFS(الريسبي!$C$2:$C$1800,الريسبي!$A$2:$A$1800,$A59,الريسبي!$B$2:$B$1800,CB$1)</f>
        <v>0</v>
      </c>
      <c r="CC59" s="117" t="n">
        <f aca="false">SUMIFS(الريسبي!$C$2:$C$1800,الريسبي!$A$2:$A$1800,$A59,الريسبي!$B$2:$B$1800,CC$1)</f>
        <v>1</v>
      </c>
      <c r="CD59" s="117" t="n">
        <f aca="false">SUMIFS(الريسبي!$C$2:$C$1800,الريسبي!$A$2:$A$1800,$A59,الريسبي!$B$2:$B$1800,CD$1)</f>
        <v>0</v>
      </c>
      <c r="CE59" s="117" t="n">
        <f aca="false">SUMIFS(الريسبي!$C$2:$C$1800,الريسبي!$A$2:$A$1800,$A59,الريسبي!$B$2:$B$1800,CE$1)</f>
        <v>0</v>
      </c>
      <c r="CF59" s="117" t="n">
        <f aca="false">SUMIFS(الريسبي!$C$2:$C$1800,الريسبي!$A$2:$A$1800,$A59,الريسبي!$B$2:$B$1800,CF$1)</f>
        <v>0</v>
      </c>
      <c r="CG59" s="117" t="n">
        <f aca="false">SUMIFS(الريسبي!$C$2:$C$1800,الريسبي!$A$2:$A$1800,$A59,الريسبي!$B$2:$B$1800,CG$1)</f>
        <v>0</v>
      </c>
      <c r="CH59" s="117" t="n">
        <f aca="false">SUMIFS(الريسبي!$C$2:$C$1800,الريسبي!$A$2:$A$1800,$A59,الريسبي!$B$2:$B$1800,CH$1)</f>
        <v>0</v>
      </c>
      <c r="CI59" s="117" t="n">
        <f aca="false">SUMIFS(الريسبي!$C$2:$C$1800,الريسبي!$A$2:$A$1800,$A59,الريسبي!$B$2:$B$1800,CI$1)</f>
        <v>0</v>
      </c>
      <c r="CJ59" s="117" t="n">
        <f aca="false">SUMIFS(الريسبي!$C$2:$C$1800,الريسبي!$A$2:$A$1800,$A59,الريسبي!$B$2:$B$1800,CJ$1)</f>
        <v>0</v>
      </c>
      <c r="CK59" s="117" t="n">
        <f aca="false">SUMIFS(الريسبي!$C$2:$C$1800,الريسبي!$A$2:$A$1800,$A59,الريسبي!$B$2:$B$1800,CK$1)</f>
        <v>0</v>
      </c>
      <c r="CL59" s="117" t="n">
        <f aca="false">SUMIFS(الريسبي!$C$2:$C$1800,الريسبي!$A$2:$A$1800,$A59,الريسبي!$B$2:$B$1800,CL$1)</f>
        <v>0</v>
      </c>
    </row>
    <row r="60" customFormat="false" ht="15" hidden="false" customHeight="false" outlineLevel="0" collapsed="false">
      <c r="A60" s="116" t="str">
        <f aca="false">المنيو!B60</f>
        <v>مكرونة كريسبي شيدر</v>
      </c>
      <c r="B60" s="117" t="n">
        <f aca="false">SUMIFS(الريسبي!$C$2:$C$1800,الريسبي!$A$2:$A$1800,$A60,الريسبي!$B$2:$B$1800,B$1)</f>
        <v>1</v>
      </c>
      <c r="C60" s="117" t="n">
        <f aca="false">SUMIFS(الريسبي!$C$2:$C$1800,الريسبي!$A$2:$A$1800,$A60,الريسبي!$B$2:$B$1800,C$1)</f>
        <v>0</v>
      </c>
      <c r="D60" s="117" t="n">
        <f aca="false">SUMIFS(الريسبي!$C$2:$C$1800,الريسبي!$A$2:$A$1800,$A60,الريسبي!$B$2:$B$1800,D$1)</f>
        <v>0</v>
      </c>
      <c r="E60" s="117" t="n">
        <f aca="false">SUMIFS(الريسبي!$C$2:$C$1800,الريسبي!$A$2:$A$1800,$A60,الريسبي!$B$2:$B$1800,E$1)</f>
        <v>1</v>
      </c>
      <c r="F60" s="117" t="n">
        <f aca="false">SUMIFS(الريسبي!$C$2:$C$1800,الريسبي!$A$2:$A$1800,$A60,الريسبي!$B$2:$B$1800,F$1)</f>
        <v>0</v>
      </c>
      <c r="G60" s="117" t="n">
        <f aca="false">SUMIFS(الريسبي!$C$2:$C$1800,الريسبي!$A$2:$A$1800,$A60,الريسبي!$B$2:$B$1800,G$1)</f>
        <v>0</v>
      </c>
      <c r="H60" s="117" t="n">
        <f aca="false">SUMIFS(الريسبي!$C$2:$C$1800,الريسبي!$A$2:$A$1800,$A60,الريسبي!$B$2:$B$1800,H$1)</f>
        <v>0</v>
      </c>
      <c r="I60" s="117" t="n">
        <f aca="false">SUMIFS(الريسبي!$C$2:$C$1800,الريسبي!$A$2:$A$1800,$A60,الريسبي!$B$2:$B$1800,I$1)</f>
        <v>0</v>
      </c>
      <c r="J60" s="117" t="n">
        <f aca="false">SUMIFS(الريسبي!$C$2:$C$1800,الريسبي!$A$2:$A$1800,$A60,الريسبي!$B$2:$B$1800,J$1)</f>
        <v>0</v>
      </c>
      <c r="K60" s="117" t="n">
        <f aca="false">SUMIFS(الريسبي!$C$2:$C$1800,الريسبي!$A$2:$A$1800,$A60,الريسبي!$B$2:$B$1800,K$1)</f>
        <v>0</v>
      </c>
      <c r="L60" s="117" t="n">
        <f aca="false">SUMIFS(الريسبي!$C$2:$C$1800,الريسبي!$A$2:$A$1800,$A60,الريسبي!$B$2:$B$1800,L$1)</f>
        <v>0</v>
      </c>
      <c r="M60" s="117" t="n">
        <f aca="false">SUMIFS(الريسبي!$C$2:$C$1800,الريسبي!$A$2:$A$1800,$A60,الريسبي!$B$2:$B$1800,M$1)</f>
        <v>0</v>
      </c>
      <c r="N60" s="117" t="n">
        <f aca="false">SUMIFS(الريسبي!$C$2:$C$1800,الريسبي!$A$2:$A$1800,$A60,الريسبي!$B$2:$B$1800,N$1)</f>
        <v>0</v>
      </c>
      <c r="O60" s="117" t="n">
        <f aca="false">SUMIFS(الريسبي!$C$2:$C$1800,الريسبي!$A$2:$A$1800,$A60,الريسبي!$B$2:$B$1800,O$1)</f>
        <v>0</v>
      </c>
      <c r="P60" s="117" t="n">
        <f aca="false">SUMIFS(الريسبي!$C$2:$C$1800,الريسبي!$A$2:$A$1800,$A60,الريسبي!$B$2:$B$1800,P$1)</f>
        <v>0</v>
      </c>
      <c r="Q60" s="117" t="n">
        <f aca="false">SUMIFS(الريسبي!$C$2:$C$1800,الريسبي!$A$2:$A$1800,$A60,الريسبي!$B$2:$B$1800,Q$1)</f>
        <v>1</v>
      </c>
      <c r="R60" s="117" t="n">
        <f aca="false">SUMIFS(الريسبي!$C$2:$C$1800,الريسبي!$A$2:$A$1800,$A60,الريسبي!$B$2:$B$1800,R$1)</f>
        <v>0</v>
      </c>
      <c r="S60" s="117" t="n">
        <f aca="false">SUMIFS(الريسبي!$C$2:$C$1800,الريسبي!$A$2:$A$1800,$A60,الريسبي!$B$2:$B$1800,S$1)</f>
        <v>0</v>
      </c>
      <c r="T60" s="117" t="n">
        <f aca="false">SUMIFS(الريسبي!$C$2:$C$1800,الريسبي!$A$2:$A$1800,$A60,الريسبي!$B$2:$B$1800,T$1)</f>
        <v>0</v>
      </c>
      <c r="U60" s="117" t="n">
        <f aca="false">SUMIFS(الريسبي!$C$2:$C$1800,الريسبي!$A$2:$A$1800,$A60,الريسبي!$B$2:$B$1800,U$1)</f>
        <v>0</v>
      </c>
      <c r="V60" s="117" t="n">
        <f aca="false">SUMIFS(الريسبي!$C$2:$C$1800,الريسبي!$A$2:$A$1800,$A60,الريسبي!$B$2:$B$1800,V$1)+1.5*(SUMIFS(الريسبي!$C$2:$C$1800,الريسبي!$A$2:$A$1800,$A60,الريسبي!$B$2:$B$1800,"برسيون موتزريلا بيتزا كبير"))</f>
        <v>1</v>
      </c>
      <c r="W60" s="117" t="n">
        <f aca="false">0</f>
        <v>0</v>
      </c>
      <c r="X60" s="117" t="n">
        <f aca="false">SUMIFS(الريسبي!$C$2:$C$1800,الريسبي!$A$2:$A$1800,$A60,الريسبي!$B$2:$B$1800,X$1)+1.5*(SUMIFS(الريسبي!$C$2:$C$1800,الريسبي!$A$2:$A$1800,$A60,الريسبي!$B$2:$B$1800,"برسيون موتزريلا فطير كبير"))</f>
        <v>0</v>
      </c>
      <c r="Y60" s="117" t="n">
        <f aca="false">0</f>
        <v>0</v>
      </c>
      <c r="Z60" s="117" t="n">
        <f aca="false">SUMIFS(الريسبي!$C$2:$C$1800,الريسبي!$A$2:$A$1800,$A60,الريسبي!$B$2:$B$1800,Z$1)</f>
        <v>0</v>
      </c>
      <c r="AA60" s="117" t="n">
        <f aca="false">SUMIFS(الريسبي!$C$2:$C$1800,الريسبي!$A$2:$A$1800,$A60,الريسبي!$B$2:$B$1800,AA$1)</f>
        <v>0</v>
      </c>
      <c r="AB60" s="117" t="n">
        <f aca="false">SUMIFS(الريسبي!$C$2:$C$1800,الريسبي!$A$2:$A$1800,$A60,الريسبي!$B$2:$B$1800,AB$1)</f>
        <v>0</v>
      </c>
      <c r="AC60" s="117" t="n">
        <f aca="false">SUMIFS(الريسبي!$C$2:$C$1800,الريسبي!$A$2:$A$1800,$A60,الريسبي!$B$2:$B$1800,AC$1)</f>
        <v>0.2</v>
      </c>
      <c r="AD60" s="117" t="n">
        <f aca="false">SUMIFS(الريسبي!$C$2:$C$1800,الريسبي!$A$2:$A$1800,$A60,الريسبي!$B$2:$B$1800,AD$1)</f>
        <v>0</v>
      </c>
      <c r="AE60" s="117" t="n">
        <f aca="false">SUMIFS(الريسبي!$C$2:$C$1800,الريسبي!$A$2:$A$1800,$A60,الريسبي!$B$2:$B$1800,AE$1)</f>
        <v>0</v>
      </c>
      <c r="AF60" s="117" t="n">
        <f aca="false">SUMIFS(الريسبي!$C$2:$C$1800,الريسبي!$A$2:$A$1800,$A60,الريسبي!$B$2:$B$1800,AF$1)</f>
        <v>0</v>
      </c>
      <c r="AG60" s="117" t="n">
        <f aca="false">SUMIFS(الريسبي!$C$2:$C$1800,الريسبي!$A$2:$A$1800,$A60,الريسبي!$B$2:$B$1800,AG$1)</f>
        <v>0</v>
      </c>
      <c r="AH60" s="117" t="n">
        <f aca="false">SUMIFS(الريسبي!$C$2:$C$1800,الريسبي!$A$2:$A$1800,$A60,الريسبي!$B$2:$B$1800,AH$1)</f>
        <v>0</v>
      </c>
      <c r="AI60" s="117" t="n">
        <f aca="false">SUMIFS(الريسبي!$C$2:$C$1800,الريسبي!$A$2:$A$1800,$A60,الريسبي!$B$2:$B$1800,AI$1)</f>
        <v>0</v>
      </c>
      <c r="AJ60" s="117" t="n">
        <f aca="false">SUMIFS(الريسبي!$C$2:$C$1800,الريسبي!$A$2:$A$1800,$A60,الريسبي!$B$2:$B$1800,AJ$1)</f>
        <v>2</v>
      </c>
      <c r="AK60" s="117" t="n">
        <f aca="false">SUMIFS(الريسبي!$C$2:$C$1800,الريسبي!$A$2:$A$1800,$A60,الريسبي!$B$2:$B$1800,AK$1)</f>
        <v>0</v>
      </c>
      <c r="AL60" s="117" t="n">
        <f aca="false">SUMIFS(الريسبي!$C$2:$C$1800,الريسبي!$A$2:$A$1800,$A60,الريسبي!$B$2:$B$1800,AL$1)</f>
        <v>0</v>
      </c>
      <c r="AM60" s="117" t="n">
        <f aca="false">SUMIFS(الريسبي!$C$2:$C$1800,الريسبي!$A$2:$A$1800,$A60,الريسبي!$B$2:$B$1800,AM$1)+0.08333333333*SUMIFS(الريسبي!$C$2:$C$1800,الريسبي!$A$2:$A$1800,$A60,الريسبي!$B$2:$B$1800,"عجين كريب (مصنع بالمطعم)")+0.08333333333*SUMIFS(الريسبي!$C$2:$C$1800,الريسبي!$A$2:$A$1800,$A60,الريسبي!$B$2:$B$1800,"عجين كريب صيامي (بدون لبن)")</f>
        <v>0</v>
      </c>
      <c r="AN60" s="117" t="n">
        <f aca="false">SUMIFS(الريسبي!$C$2:$C$1800,الريسبي!$A$2:$A$1800,$A60,الريسبي!$B$2:$B$1800,AN$1)+0.004166666667*SUMIFS(الريسبي!$C$2:$C$1800,الريسبي!$A$2:$A$1800,$A60,الريسبي!$B$2:$B$1800,"عجين كريب (مصنع بالمطعم)")+0.004166666667*SUMIFS(الريسبي!$C$2:$C$1800,الريسبي!$A$2:$A$1800,$A60,الريسبي!$B$2:$B$1800,"عجين كريب صيامي (بدون لبن)")</f>
        <v>0.01</v>
      </c>
      <c r="AO60" s="117" t="n">
        <f aca="false">SUMIFS(الريسبي!$C$2:$C$1800,الريسبي!$A$2:$A$1800,$A60,الريسبي!$B$2:$B$1800,AO$1)</f>
        <v>0</v>
      </c>
      <c r="AP60" s="117" t="n">
        <f aca="false">SUMIFS(الريسبي!$C$2:$C$1800,الريسبي!$A$2:$A$1800,$A60,الريسبي!$B$2:$B$1800,AP$1)</f>
        <v>0</v>
      </c>
      <c r="AQ60" s="117" t="n">
        <f aca="false">SUMIFS(الريسبي!$C$2:$C$1800,الريسبي!$A$2:$A$1800,$A60,الريسبي!$B$2:$B$1800,AQ$1)+0.004166666667*SUMIFS(الريسبي!$C$2:$C$1800,الريسبي!$A$2:$A$1800,$A60,الريسبي!$B$2:$B$1800,"عجين كريب (مصنع بالمطعم)")+0.004166666667*SUMIFS(الريسبي!$C$2:$C$1800,الريسبي!$A$2:$A$1800,$A60,الريسبي!$B$2:$B$1800,"عجين كريب صيامي (بدون لبن)")</f>
        <v>0</v>
      </c>
      <c r="AR60" s="117" t="n">
        <f aca="false">SUMIFS(الريسبي!$C$2:$C$1800,الريسبي!$A$2:$A$1800,$A60,الريسبي!$B$2:$B$1800,AR$1)</f>
        <v>0</v>
      </c>
      <c r="AS60" s="117" t="n">
        <f aca="false">SUMIFS(الريسبي!$C$2:$C$1800,الريسبي!$A$2:$A$1800,$A60,الريسبي!$B$2:$B$1800,AS$1)</f>
        <v>0</v>
      </c>
      <c r="AT60" s="117" t="n">
        <f aca="false">SUMIFS(الريسبي!$C$2:$C$1800,الريسبي!$A$2:$A$1800,$A60,الريسبي!$B$2:$B$1800,AT$1)</f>
        <v>0</v>
      </c>
      <c r="AU60" s="117" t="n">
        <f aca="false">SUMIFS(الريسبي!$C$2:$C$1800,الريسبي!$A$2:$A$1800,$A60,الريسبي!$B$2:$B$1800,AU$1)</f>
        <v>1</v>
      </c>
      <c r="AV60" s="117" t="n">
        <f aca="false">SUMIFS(الريسبي!$C$2:$C$1800,الريسبي!$A$2:$A$1800,$A60,الريسبي!$B$2:$B$1800,AV$1)</f>
        <v>0</v>
      </c>
      <c r="AW60" s="117" t="n">
        <f aca="false">SUMIFS(الريسبي!$C$2:$C$1800,الريسبي!$A$2:$A$1800,$A60,الريسبي!$B$2:$B$1800,AW$1)</f>
        <v>0</v>
      </c>
      <c r="AX60" s="117" t="n">
        <f aca="false">SUMIFS(الريسبي!$C$2:$C$1800,الريسبي!$A$2:$A$1800,$A60,الريسبي!$B$2:$B$1800,AX$1)</f>
        <v>0</v>
      </c>
      <c r="AY60" s="117" t="n">
        <f aca="false">SUMIFS(الريسبي!$C$2:$C$1800,الريسبي!$A$2:$A$1800,$A60,الريسبي!$B$2:$B$1800,AY$1)</f>
        <v>0</v>
      </c>
      <c r="AZ60" s="117" t="n">
        <f aca="false">SUMIFS(الريسبي!$C$2:$C$1800,الريسبي!$A$2:$A$1800,$A60,الريسبي!$B$2:$B$1800,AZ$1)</f>
        <v>0</v>
      </c>
      <c r="BA60" s="117" t="n">
        <f aca="false">SUMIFS(الريسبي!$C$2:$C$1800,الريسبي!$A$2:$A$1800,$A60,الريسبي!$B$2:$B$1800,BA$1)</f>
        <v>0</v>
      </c>
      <c r="BB60" s="117" t="n">
        <f aca="false">SUMIFS(الريسبي!$C$2:$C$1800,الريسبي!$A$2:$A$1800,$A60,الريسبي!$B$2:$B$1800,BB$1)</f>
        <v>0.1</v>
      </c>
      <c r="BC60" s="117" t="n">
        <f aca="false">SUMIFS(الريسبي!$C$2:$C$1800,الريسبي!$A$2:$A$1800,$A60,الريسبي!$B$2:$B$1800,BC$1)</f>
        <v>0</v>
      </c>
      <c r="BD60" s="117" t="n">
        <f aca="false">SUMIFS(الريسبي!$C$2:$C$1800,الريسبي!$A$2:$A$1800,$A60,الريسبي!$B$2:$B$1800,BD$1)</f>
        <v>0</v>
      </c>
      <c r="BE60" s="117" t="n">
        <f aca="false">SUMIFS(الريسبي!$C$2:$C$1800,الريسبي!$A$2:$A$1800,$A60,الريسبي!$B$2:$B$1800,BE$1)</f>
        <v>0</v>
      </c>
      <c r="BF60" s="117" t="n">
        <f aca="false">SUMIFS(الريسبي!$C$2:$C$1800,الريسبي!$A$2:$A$1800,$A60,الريسبي!$B$2:$B$1800,BF$1)</f>
        <v>0</v>
      </c>
      <c r="BG60" s="117" t="n">
        <f aca="false">SUMIFS(الريسبي!$C$2:$C$1800,الريسبي!$A$2:$A$1800,$A60,الريسبي!$B$2:$B$1800,BG$1)</f>
        <v>0</v>
      </c>
      <c r="BH60" s="117" t="n">
        <f aca="false">SUMIFS(الريسبي!$C$2:$C$1800,الريسبي!$A$2:$A$1800,$A60,الريسبي!$B$2:$B$1800,BH$1)</f>
        <v>0</v>
      </c>
      <c r="BI60" s="117" t="n">
        <f aca="false">SUMIFS(الريسبي!$C$2:$C$1800,الريسبي!$A$2:$A$1800,$A60,الريسبي!$B$2:$B$1800,BI$1)</f>
        <v>0</v>
      </c>
      <c r="BJ60" s="117" t="n">
        <f aca="false">SUMIFS(الريسبي!$C$2:$C$1800,الريسبي!$A$2:$A$1800,$A60,الريسبي!$B$2:$B$1800,BJ$1)</f>
        <v>0</v>
      </c>
      <c r="BK60" s="117" t="n">
        <f aca="false">SUMIFS(الريسبي!$C$2:$C$1800,الريسبي!$A$2:$A$1800,$A60,الريسبي!$B$2:$B$1800,BK$1)</f>
        <v>0</v>
      </c>
      <c r="BL60" s="117" t="n">
        <f aca="false">SUMIFS(الريسبي!$C$2:$C$1800,الريسبي!$A$2:$A$1800,$A60,الريسبي!$B$2:$B$1800,BL$1)</f>
        <v>0</v>
      </c>
      <c r="BM60" s="117" t="n">
        <f aca="false">SUMIFS(الريسبي!$C$2:$C$1800,الريسبي!$A$2:$A$1800,$A60,الريسبي!$B$2:$B$1800,BM$1)</f>
        <v>0</v>
      </c>
      <c r="BN60" s="117" t="n">
        <f aca="false">SUMIFS(الريسبي!$C$2:$C$1800,الريسبي!$A$2:$A$1800,$A60,الريسبي!$B$2:$B$1800,BN$1)</f>
        <v>0</v>
      </c>
      <c r="BO60" s="117" t="n">
        <f aca="false">SUMIFS(الريسبي!$C$2:$C$1800,الريسبي!$A$2:$A$1800,$A60,الريسبي!$B$2:$B$1800,BO$1)</f>
        <v>0</v>
      </c>
      <c r="BP60" s="117" t="n">
        <f aca="false">SUMIFS(الريسبي!$C$2:$C$1800,الريسبي!$A$2:$A$1800,$A60,الريسبي!$B$2:$B$1800,BP$1)</f>
        <v>2</v>
      </c>
      <c r="BQ60" s="117" t="n">
        <f aca="false">SUMIFS(الريسبي!$C$2:$C$1800,الريسبي!$A$2:$A$1800,$A60,الريسبي!$B$2:$B$1800,BQ$1)+0.17*SUMIFS(الريسبي!$C$2:$C$1800,الريسبي!$A$2:$A$1800,$A60,الريسبي!$B$2:$B$1800,"كاسترد مصنع (خليط بودر + لبن)")+0.17*SUMIFS(الريسبي!$C$2:$C$1800,الريسبي!$A$2:$A$1800,$A60,الريسبي!$B$2:$B$1800,"كاسترد مصنع صيامي (بدون لبن)")</f>
        <v>0</v>
      </c>
      <c r="BR60" s="117" t="n">
        <f aca="false">SUMIFS(الريسبي!$C$2:$C$1800,الريسبي!$A$2:$A$1800,$A60,الريسبي!$B$2:$B$1800,BR$1)</f>
        <v>0</v>
      </c>
      <c r="BS60" s="117" t="n">
        <f aca="false">SUMIFS(الريسبي!$C$2:$C$1800,الريسبي!$A$2:$A$1800,$A60,الريسبي!$B$2:$B$1800,BS$1)</f>
        <v>0</v>
      </c>
      <c r="BT60" s="117" t="n">
        <f aca="false">SUMIFS(الريسبي!$C$2:$C$1800,الريسبي!$A$2:$A$1800,$A60,الريسبي!$B$2:$B$1800,BT$1)</f>
        <v>0</v>
      </c>
      <c r="BU60" s="117" t="n">
        <f aca="false">SUMIFS(الريسبي!$C$2:$C$1800,الريسبي!$A$2:$A$1800,$A60,الريسبي!$B$2:$B$1800,BU$1)+0.4*SUMIFS(الريسبي!$C$2:$C$1800,الريسبي!$A$2:$A$1800,$A60,الريسبي!$B$2:$B$1800,"كاسترد مصنع (خليط بودر + لبن)")+0.03333333333*SUMIFS(الريسبي!$C$2:$C$1800,الريسبي!$A$2:$A$1800,$A60,الريسبي!$B$2:$B$1800,"عجين كريب (مصنع بالمطعم)")</f>
        <v>0.05</v>
      </c>
      <c r="BV60" s="117" t="n">
        <f aca="false">SUMIFS(الريسبي!$C$2:$C$1800,الريسبي!$A$2:$A$1800,$A60,الريسبي!$B$2:$B$1800,BV$1)</f>
        <v>0</v>
      </c>
      <c r="BW60" s="117" t="n">
        <f aca="false">SUMIFS(الريسبي!$C$2:$C$1800,الريسبي!$A$2:$A$1800,$A60,الريسبي!$B$2:$B$1800,BW$1)</f>
        <v>0</v>
      </c>
      <c r="BX60" s="117" t="n">
        <f aca="false">SUMIFS(الريسبي!$C$2:$C$1800,الريسبي!$A$2:$A$1800,$A60,الريسبي!$B$2:$B$1800,BX$1)</f>
        <v>0</v>
      </c>
      <c r="BY60" s="117" t="n">
        <f aca="false">SUMIFS(الريسبي!$C$2:$C$1800,الريسبي!$A$2:$A$1800,$A60,الريسبي!$B$2:$B$1800,BY$1)</f>
        <v>0.15</v>
      </c>
      <c r="BZ60" s="117" t="n">
        <f aca="false">SUMIFS(الريسبي!$C$2:$C$1800,الريسبي!$A$2:$A$1800,$A60,الريسبي!$B$2:$B$1800,BZ$1)</f>
        <v>0</v>
      </c>
      <c r="CA60" s="117" t="n">
        <f aca="false">SUMIFS(الريسبي!$C$2:$C$1800,الريسبي!$A$2:$A$1800,$A60,الريسبي!$B$2:$B$1800,CA$1)</f>
        <v>0</v>
      </c>
      <c r="CB60" s="117" t="n">
        <f aca="false">SUMIFS(الريسبي!$C$2:$C$1800,الريسبي!$A$2:$A$1800,$A60,الريسبي!$B$2:$B$1800,CB$1)</f>
        <v>0</v>
      </c>
      <c r="CC60" s="117" t="n">
        <f aca="false">SUMIFS(الريسبي!$C$2:$C$1800,الريسبي!$A$2:$A$1800,$A60,الريسبي!$B$2:$B$1800,CC$1)</f>
        <v>1</v>
      </c>
      <c r="CD60" s="117" t="n">
        <f aca="false">SUMIFS(الريسبي!$C$2:$C$1800,الريسبي!$A$2:$A$1800,$A60,الريسبي!$B$2:$B$1800,CD$1)</f>
        <v>0</v>
      </c>
      <c r="CE60" s="117" t="n">
        <f aca="false">SUMIFS(الريسبي!$C$2:$C$1800,الريسبي!$A$2:$A$1800,$A60,الريسبي!$B$2:$B$1800,CE$1)</f>
        <v>0</v>
      </c>
      <c r="CF60" s="117" t="n">
        <f aca="false">SUMIFS(الريسبي!$C$2:$C$1800,الريسبي!$A$2:$A$1800,$A60,الريسبي!$B$2:$B$1800,CF$1)</f>
        <v>0</v>
      </c>
      <c r="CG60" s="117" t="n">
        <f aca="false">SUMIFS(الريسبي!$C$2:$C$1800,الريسبي!$A$2:$A$1800,$A60,الريسبي!$B$2:$B$1800,CG$1)</f>
        <v>0</v>
      </c>
      <c r="CH60" s="117" t="n">
        <f aca="false">SUMIFS(الريسبي!$C$2:$C$1800,الريسبي!$A$2:$A$1800,$A60,الريسبي!$B$2:$B$1800,CH$1)</f>
        <v>0</v>
      </c>
      <c r="CI60" s="117" t="n">
        <f aca="false">SUMIFS(الريسبي!$C$2:$C$1800,الريسبي!$A$2:$A$1800,$A60,الريسبي!$B$2:$B$1800,CI$1)</f>
        <v>0</v>
      </c>
      <c r="CJ60" s="117" t="n">
        <f aca="false">SUMIFS(الريسبي!$C$2:$C$1800,الريسبي!$A$2:$A$1800,$A60,الريسبي!$B$2:$B$1800,CJ$1)</f>
        <v>0</v>
      </c>
      <c r="CK60" s="117" t="n">
        <f aca="false">SUMIFS(الريسبي!$C$2:$C$1800,الريسبي!$A$2:$A$1800,$A60,الريسبي!$B$2:$B$1800,CK$1)</f>
        <v>0</v>
      </c>
      <c r="CL60" s="117" t="n">
        <f aca="false">SUMIFS(الريسبي!$C$2:$C$1800,الريسبي!$A$2:$A$1800,$A60,الريسبي!$B$2:$B$1800,CL$1)</f>
        <v>0</v>
      </c>
    </row>
    <row r="61" customFormat="false" ht="15" hidden="false" customHeight="false" outlineLevel="0" collapsed="false">
      <c r="A61" s="116" t="str">
        <f aca="false">المنيو!B61</f>
        <v>مكرونة كريسبي رانش</v>
      </c>
      <c r="B61" s="117" t="n">
        <f aca="false">SUMIFS(الريسبي!$C$2:$C$1800,الريسبي!$A$2:$A$1800,$A61,الريسبي!$B$2:$B$1800,B$1)</f>
        <v>1</v>
      </c>
      <c r="C61" s="117" t="n">
        <f aca="false">SUMIFS(الريسبي!$C$2:$C$1800,الريسبي!$A$2:$A$1800,$A61,الريسبي!$B$2:$B$1800,C$1)</f>
        <v>0</v>
      </c>
      <c r="D61" s="117" t="n">
        <f aca="false">SUMIFS(الريسبي!$C$2:$C$1800,الريسبي!$A$2:$A$1800,$A61,الريسبي!$B$2:$B$1800,D$1)</f>
        <v>0</v>
      </c>
      <c r="E61" s="117" t="n">
        <f aca="false">SUMIFS(الريسبي!$C$2:$C$1800,الريسبي!$A$2:$A$1800,$A61,الريسبي!$B$2:$B$1800,E$1)</f>
        <v>1</v>
      </c>
      <c r="F61" s="117" t="n">
        <f aca="false">SUMIFS(الريسبي!$C$2:$C$1800,الريسبي!$A$2:$A$1800,$A61,الريسبي!$B$2:$B$1800,F$1)</f>
        <v>0</v>
      </c>
      <c r="G61" s="117" t="n">
        <f aca="false">SUMIFS(الريسبي!$C$2:$C$1800,الريسبي!$A$2:$A$1800,$A61,الريسبي!$B$2:$B$1800,G$1)</f>
        <v>0</v>
      </c>
      <c r="H61" s="117" t="n">
        <f aca="false">SUMIFS(الريسبي!$C$2:$C$1800,الريسبي!$A$2:$A$1800,$A61,الريسبي!$B$2:$B$1800,H$1)</f>
        <v>0</v>
      </c>
      <c r="I61" s="117" t="n">
        <f aca="false">SUMIFS(الريسبي!$C$2:$C$1800,الريسبي!$A$2:$A$1800,$A61,الريسبي!$B$2:$B$1800,I$1)</f>
        <v>0</v>
      </c>
      <c r="J61" s="117" t="n">
        <f aca="false">SUMIFS(الريسبي!$C$2:$C$1800,الريسبي!$A$2:$A$1800,$A61,الريسبي!$B$2:$B$1800,J$1)</f>
        <v>0</v>
      </c>
      <c r="K61" s="117" t="n">
        <f aca="false">SUMIFS(الريسبي!$C$2:$C$1800,الريسبي!$A$2:$A$1800,$A61,الريسبي!$B$2:$B$1800,K$1)</f>
        <v>0</v>
      </c>
      <c r="L61" s="117" t="n">
        <f aca="false">SUMIFS(الريسبي!$C$2:$C$1800,الريسبي!$A$2:$A$1800,$A61,الريسبي!$B$2:$B$1800,L$1)</f>
        <v>0</v>
      </c>
      <c r="M61" s="117" t="n">
        <f aca="false">SUMIFS(الريسبي!$C$2:$C$1800,الريسبي!$A$2:$A$1800,$A61,الريسبي!$B$2:$B$1800,M$1)</f>
        <v>0</v>
      </c>
      <c r="N61" s="117" t="n">
        <f aca="false">SUMIFS(الريسبي!$C$2:$C$1800,الريسبي!$A$2:$A$1800,$A61,الريسبي!$B$2:$B$1800,N$1)</f>
        <v>0</v>
      </c>
      <c r="O61" s="117" t="n">
        <f aca="false">SUMIFS(الريسبي!$C$2:$C$1800,الريسبي!$A$2:$A$1800,$A61,الريسبي!$B$2:$B$1800,O$1)</f>
        <v>0</v>
      </c>
      <c r="P61" s="117" t="n">
        <f aca="false">SUMIFS(الريسبي!$C$2:$C$1800,الريسبي!$A$2:$A$1800,$A61,الريسبي!$B$2:$B$1800,P$1)</f>
        <v>0</v>
      </c>
      <c r="Q61" s="117" t="n">
        <f aca="false">SUMIFS(الريسبي!$C$2:$C$1800,الريسبي!$A$2:$A$1800,$A61,الريسبي!$B$2:$B$1800,Q$1)</f>
        <v>1</v>
      </c>
      <c r="R61" s="117" t="n">
        <f aca="false">SUMIFS(الريسبي!$C$2:$C$1800,الريسبي!$A$2:$A$1800,$A61,الريسبي!$B$2:$B$1800,R$1)</f>
        <v>0</v>
      </c>
      <c r="S61" s="117" t="n">
        <f aca="false">SUMIFS(الريسبي!$C$2:$C$1800,الريسبي!$A$2:$A$1800,$A61,الريسبي!$B$2:$B$1800,S$1)</f>
        <v>0</v>
      </c>
      <c r="T61" s="117" t="n">
        <f aca="false">SUMIFS(الريسبي!$C$2:$C$1800,الريسبي!$A$2:$A$1800,$A61,الريسبي!$B$2:$B$1800,T$1)</f>
        <v>0</v>
      </c>
      <c r="U61" s="117" t="n">
        <f aca="false">SUMIFS(الريسبي!$C$2:$C$1800,الريسبي!$A$2:$A$1800,$A61,الريسبي!$B$2:$B$1800,U$1)</f>
        <v>0</v>
      </c>
      <c r="V61" s="117" t="n">
        <f aca="false">SUMIFS(الريسبي!$C$2:$C$1800,الريسبي!$A$2:$A$1800,$A61,الريسبي!$B$2:$B$1800,V$1)+1.5*(SUMIFS(الريسبي!$C$2:$C$1800,الريسبي!$A$2:$A$1800,$A61,الريسبي!$B$2:$B$1800,"برسيون موتزريلا بيتزا كبير"))</f>
        <v>1</v>
      </c>
      <c r="W61" s="117" t="n">
        <f aca="false">0</f>
        <v>0</v>
      </c>
      <c r="X61" s="117" t="n">
        <f aca="false">SUMIFS(الريسبي!$C$2:$C$1800,الريسبي!$A$2:$A$1800,$A61,الريسبي!$B$2:$B$1800,X$1)+1.5*(SUMIFS(الريسبي!$C$2:$C$1800,الريسبي!$A$2:$A$1800,$A61,الريسبي!$B$2:$B$1800,"برسيون موتزريلا فطير كبير"))</f>
        <v>0</v>
      </c>
      <c r="Y61" s="117" t="n">
        <f aca="false">0</f>
        <v>0</v>
      </c>
      <c r="Z61" s="117" t="n">
        <f aca="false">SUMIFS(الريسبي!$C$2:$C$1800,الريسبي!$A$2:$A$1800,$A61,الريسبي!$B$2:$B$1800,Z$1)</f>
        <v>0</v>
      </c>
      <c r="AA61" s="117" t="n">
        <f aca="false">SUMIFS(الريسبي!$C$2:$C$1800,الريسبي!$A$2:$A$1800,$A61,الريسبي!$B$2:$B$1800,AA$1)</f>
        <v>0</v>
      </c>
      <c r="AB61" s="117" t="n">
        <f aca="false">SUMIFS(الريسبي!$C$2:$C$1800,الريسبي!$A$2:$A$1800,$A61,الريسبي!$B$2:$B$1800,AB$1)</f>
        <v>0</v>
      </c>
      <c r="AC61" s="117" t="n">
        <f aca="false">SUMIFS(الريسبي!$C$2:$C$1800,الريسبي!$A$2:$A$1800,$A61,الريسبي!$B$2:$B$1800,AC$1)</f>
        <v>0.2</v>
      </c>
      <c r="AD61" s="117" t="n">
        <f aca="false">SUMIFS(الريسبي!$C$2:$C$1800,الريسبي!$A$2:$A$1800,$A61,الريسبي!$B$2:$B$1800,AD$1)</f>
        <v>0</v>
      </c>
      <c r="AE61" s="117" t="n">
        <f aca="false">SUMIFS(الريسبي!$C$2:$C$1800,الريسبي!$A$2:$A$1800,$A61,الريسبي!$B$2:$B$1800,AE$1)</f>
        <v>0</v>
      </c>
      <c r="AF61" s="117" t="n">
        <f aca="false">SUMIFS(الريسبي!$C$2:$C$1800,الريسبي!$A$2:$A$1800,$A61,الريسبي!$B$2:$B$1800,AF$1)</f>
        <v>0</v>
      </c>
      <c r="AG61" s="117" t="n">
        <f aca="false">SUMIFS(الريسبي!$C$2:$C$1800,الريسبي!$A$2:$A$1800,$A61,الريسبي!$B$2:$B$1800,AG$1)</f>
        <v>0</v>
      </c>
      <c r="AH61" s="117" t="n">
        <f aca="false">SUMIFS(الريسبي!$C$2:$C$1800,الريسبي!$A$2:$A$1800,$A61,الريسبي!$B$2:$B$1800,AH$1)</f>
        <v>0</v>
      </c>
      <c r="AI61" s="117" t="n">
        <f aca="false">SUMIFS(الريسبي!$C$2:$C$1800,الريسبي!$A$2:$A$1800,$A61,الريسبي!$B$2:$B$1800,AI$1)</f>
        <v>0</v>
      </c>
      <c r="AJ61" s="117" t="n">
        <f aca="false">SUMIFS(الريسبي!$C$2:$C$1800,الريسبي!$A$2:$A$1800,$A61,الريسبي!$B$2:$B$1800,AJ$1)</f>
        <v>2</v>
      </c>
      <c r="AK61" s="117" t="n">
        <f aca="false">SUMIFS(الريسبي!$C$2:$C$1800,الريسبي!$A$2:$A$1800,$A61,الريسبي!$B$2:$B$1800,AK$1)</f>
        <v>0</v>
      </c>
      <c r="AL61" s="117" t="n">
        <f aca="false">SUMIFS(الريسبي!$C$2:$C$1800,الريسبي!$A$2:$A$1800,$A61,الريسبي!$B$2:$B$1800,AL$1)</f>
        <v>0</v>
      </c>
      <c r="AM61" s="117" t="n">
        <f aca="false">SUMIFS(الريسبي!$C$2:$C$1800,الريسبي!$A$2:$A$1800,$A61,الريسبي!$B$2:$B$1800,AM$1)+0.08333333333*SUMIFS(الريسبي!$C$2:$C$1800,الريسبي!$A$2:$A$1800,$A61,الريسبي!$B$2:$B$1800,"عجين كريب (مصنع بالمطعم)")+0.08333333333*SUMIFS(الريسبي!$C$2:$C$1800,الريسبي!$A$2:$A$1800,$A61,الريسبي!$B$2:$B$1800,"عجين كريب صيامي (بدون لبن)")</f>
        <v>0</v>
      </c>
      <c r="AN61" s="117" t="n">
        <f aca="false">SUMIFS(الريسبي!$C$2:$C$1800,الريسبي!$A$2:$A$1800,$A61,الريسبي!$B$2:$B$1800,AN$1)+0.004166666667*SUMIFS(الريسبي!$C$2:$C$1800,الريسبي!$A$2:$A$1800,$A61,الريسبي!$B$2:$B$1800,"عجين كريب (مصنع بالمطعم)")+0.004166666667*SUMIFS(الريسبي!$C$2:$C$1800,الريسبي!$A$2:$A$1800,$A61,الريسبي!$B$2:$B$1800,"عجين كريب صيامي (بدون لبن)")</f>
        <v>0.01</v>
      </c>
      <c r="AO61" s="117" t="n">
        <f aca="false">SUMIFS(الريسبي!$C$2:$C$1800,الريسبي!$A$2:$A$1800,$A61,الريسبي!$B$2:$B$1800,AO$1)</f>
        <v>0</v>
      </c>
      <c r="AP61" s="117" t="n">
        <f aca="false">SUMIFS(الريسبي!$C$2:$C$1800,الريسبي!$A$2:$A$1800,$A61,الريسبي!$B$2:$B$1800,AP$1)</f>
        <v>0</v>
      </c>
      <c r="AQ61" s="117" t="n">
        <f aca="false">SUMIFS(الريسبي!$C$2:$C$1800,الريسبي!$A$2:$A$1800,$A61,الريسبي!$B$2:$B$1800,AQ$1)+0.004166666667*SUMIFS(الريسبي!$C$2:$C$1800,الريسبي!$A$2:$A$1800,$A61,الريسبي!$B$2:$B$1800,"عجين كريب (مصنع بالمطعم)")+0.004166666667*SUMIFS(الريسبي!$C$2:$C$1800,الريسبي!$A$2:$A$1800,$A61,الريسبي!$B$2:$B$1800,"عجين كريب صيامي (بدون لبن)")</f>
        <v>0</v>
      </c>
      <c r="AR61" s="117" t="n">
        <f aca="false">SUMIFS(الريسبي!$C$2:$C$1800,الريسبي!$A$2:$A$1800,$A61,الريسبي!$B$2:$B$1800,AR$1)</f>
        <v>0</v>
      </c>
      <c r="AS61" s="117" t="n">
        <f aca="false">SUMIFS(الريسبي!$C$2:$C$1800,الريسبي!$A$2:$A$1800,$A61,الريسبي!$B$2:$B$1800,AS$1)</f>
        <v>0</v>
      </c>
      <c r="AT61" s="117" t="n">
        <f aca="false">SUMIFS(الريسبي!$C$2:$C$1800,الريسبي!$A$2:$A$1800,$A61,الريسبي!$B$2:$B$1800,AT$1)</f>
        <v>0</v>
      </c>
      <c r="AU61" s="117" t="n">
        <f aca="false">SUMIFS(الريسبي!$C$2:$C$1800,الريسبي!$A$2:$A$1800,$A61,الريسبي!$B$2:$B$1800,AU$1)</f>
        <v>1</v>
      </c>
      <c r="AV61" s="117" t="n">
        <f aca="false">SUMIFS(الريسبي!$C$2:$C$1800,الريسبي!$A$2:$A$1800,$A61,الريسبي!$B$2:$B$1800,AV$1)</f>
        <v>0</v>
      </c>
      <c r="AW61" s="117" t="n">
        <f aca="false">SUMIFS(الريسبي!$C$2:$C$1800,الريسبي!$A$2:$A$1800,$A61,الريسبي!$B$2:$B$1800,AW$1)</f>
        <v>0</v>
      </c>
      <c r="AX61" s="117" t="n">
        <f aca="false">SUMIFS(الريسبي!$C$2:$C$1800,الريسبي!$A$2:$A$1800,$A61,الريسبي!$B$2:$B$1800,AX$1)</f>
        <v>0</v>
      </c>
      <c r="AY61" s="117" t="n">
        <f aca="false">SUMIFS(الريسبي!$C$2:$C$1800,الريسبي!$A$2:$A$1800,$A61,الريسبي!$B$2:$B$1800,AY$1)</f>
        <v>0</v>
      </c>
      <c r="AZ61" s="117" t="n">
        <f aca="false">SUMIFS(الريسبي!$C$2:$C$1800,الريسبي!$A$2:$A$1800,$A61,الريسبي!$B$2:$B$1800,AZ$1)</f>
        <v>0</v>
      </c>
      <c r="BA61" s="117" t="n">
        <f aca="false">SUMIFS(الريسبي!$C$2:$C$1800,الريسبي!$A$2:$A$1800,$A61,الريسبي!$B$2:$B$1800,BA$1)</f>
        <v>0.1</v>
      </c>
      <c r="BB61" s="117" t="n">
        <f aca="false">SUMIFS(الريسبي!$C$2:$C$1800,الريسبي!$A$2:$A$1800,$A61,الريسبي!$B$2:$B$1800,BB$1)</f>
        <v>0</v>
      </c>
      <c r="BC61" s="117" t="n">
        <f aca="false">SUMIFS(الريسبي!$C$2:$C$1800,الريسبي!$A$2:$A$1800,$A61,الريسبي!$B$2:$B$1800,BC$1)</f>
        <v>0</v>
      </c>
      <c r="BD61" s="117" t="n">
        <f aca="false">SUMIFS(الريسبي!$C$2:$C$1800,الريسبي!$A$2:$A$1800,$A61,الريسبي!$B$2:$B$1800,BD$1)</f>
        <v>0</v>
      </c>
      <c r="BE61" s="117" t="n">
        <f aca="false">SUMIFS(الريسبي!$C$2:$C$1800,الريسبي!$A$2:$A$1800,$A61,الريسبي!$B$2:$B$1800,BE$1)</f>
        <v>0</v>
      </c>
      <c r="BF61" s="117" t="n">
        <f aca="false">SUMIFS(الريسبي!$C$2:$C$1800,الريسبي!$A$2:$A$1800,$A61,الريسبي!$B$2:$B$1800,BF$1)</f>
        <v>0</v>
      </c>
      <c r="BG61" s="117" t="n">
        <f aca="false">SUMIFS(الريسبي!$C$2:$C$1800,الريسبي!$A$2:$A$1800,$A61,الريسبي!$B$2:$B$1800,BG$1)</f>
        <v>0</v>
      </c>
      <c r="BH61" s="117" t="n">
        <f aca="false">SUMIFS(الريسبي!$C$2:$C$1800,الريسبي!$A$2:$A$1800,$A61,الريسبي!$B$2:$B$1800,BH$1)</f>
        <v>0</v>
      </c>
      <c r="BI61" s="117" t="n">
        <f aca="false">SUMIFS(الريسبي!$C$2:$C$1800,الريسبي!$A$2:$A$1800,$A61,الريسبي!$B$2:$B$1800,BI$1)</f>
        <v>0</v>
      </c>
      <c r="BJ61" s="117" t="n">
        <f aca="false">SUMIFS(الريسبي!$C$2:$C$1800,الريسبي!$A$2:$A$1800,$A61,الريسبي!$B$2:$B$1800,BJ$1)</f>
        <v>0</v>
      </c>
      <c r="BK61" s="117" t="n">
        <f aca="false">SUMIFS(الريسبي!$C$2:$C$1800,الريسبي!$A$2:$A$1800,$A61,الريسبي!$B$2:$B$1800,BK$1)</f>
        <v>0</v>
      </c>
      <c r="BL61" s="117" t="n">
        <f aca="false">SUMIFS(الريسبي!$C$2:$C$1800,الريسبي!$A$2:$A$1800,$A61,الريسبي!$B$2:$B$1800,BL$1)</f>
        <v>0</v>
      </c>
      <c r="BM61" s="117" t="n">
        <f aca="false">SUMIFS(الريسبي!$C$2:$C$1800,الريسبي!$A$2:$A$1800,$A61,الريسبي!$B$2:$B$1800,BM$1)</f>
        <v>0</v>
      </c>
      <c r="BN61" s="117" t="n">
        <f aca="false">SUMIFS(الريسبي!$C$2:$C$1800,الريسبي!$A$2:$A$1800,$A61,الريسبي!$B$2:$B$1800,BN$1)</f>
        <v>0</v>
      </c>
      <c r="BO61" s="117" t="n">
        <f aca="false">SUMIFS(الريسبي!$C$2:$C$1800,الريسبي!$A$2:$A$1800,$A61,الريسبي!$B$2:$B$1800,BO$1)</f>
        <v>0</v>
      </c>
      <c r="BP61" s="117" t="n">
        <f aca="false">SUMIFS(الريسبي!$C$2:$C$1800,الريسبي!$A$2:$A$1800,$A61,الريسبي!$B$2:$B$1800,BP$1)</f>
        <v>2</v>
      </c>
      <c r="BQ61" s="117" t="n">
        <f aca="false">SUMIFS(الريسبي!$C$2:$C$1800,الريسبي!$A$2:$A$1800,$A61,الريسبي!$B$2:$B$1800,BQ$1)+0.17*SUMIFS(الريسبي!$C$2:$C$1800,الريسبي!$A$2:$A$1800,$A61,الريسبي!$B$2:$B$1800,"كاسترد مصنع (خليط بودر + لبن)")+0.17*SUMIFS(الريسبي!$C$2:$C$1800,الريسبي!$A$2:$A$1800,$A61,الريسبي!$B$2:$B$1800,"كاسترد مصنع صيامي (بدون لبن)")</f>
        <v>0</v>
      </c>
      <c r="BR61" s="117" t="n">
        <f aca="false">SUMIFS(الريسبي!$C$2:$C$1800,الريسبي!$A$2:$A$1800,$A61,الريسبي!$B$2:$B$1800,BR$1)</f>
        <v>0</v>
      </c>
      <c r="BS61" s="117" t="n">
        <f aca="false">SUMIFS(الريسبي!$C$2:$C$1800,الريسبي!$A$2:$A$1800,$A61,الريسبي!$B$2:$B$1800,BS$1)</f>
        <v>0</v>
      </c>
      <c r="BT61" s="117" t="n">
        <f aca="false">SUMIFS(الريسبي!$C$2:$C$1800,الريسبي!$A$2:$A$1800,$A61,الريسبي!$B$2:$B$1800,BT$1)</f>
        <v>0</v>
      </c>
      <c r="BU61" s="117" t="n">
        <f aca="false">SUMIFS(الريسبي!$C$2:$C$1800,الريسبي!$A$2:$A$1800,$A61,الريسبي!$B$2:$B$1800,BU$1)+0.4*SUMIFS(الريسبي!$C$2:$C$1800,الريسبي!$A$2:$A$1800,$A61,الريسبي!$B$2:$B$1800,"كاسترد مصنع (خليط بودر + لبن)")+0.03333333333*SUMIFS(الريسبي!$C$2:$C$1800,الريسبي!$A$2:$A$1800,$A61,الريسبي!$B$2:$B$1800,"عجين كريب (مصنع بالمطعم)")</f>
        <v>0.05</v>
      </c>
      <c r="BV61" s="117" t="n">
        <f aca="false">SUMIFS(الريسبي!$C$2:$C$1800,الريسبي!$A$2:$A$1800,$A61,الريسبي!$B$2:$B$1800,BV$1)</f>
        <v>0</v>
      </c>
      <c r="BW61" s="117" t="n">
        <f aca="false">SUMIFS(الريسبي!$C$2:$C$1800,الريسبي!$A$2:$A$1800,$A61,الريسبي!$B$2:$B$1800,BW$1)</f>
        <v>0</v>
      </c>
      <c r="BX61" s="117" t="n">
        <f aca="false">SUMIFS(الريسبي!$C$2:$C$1800,الريسبي!$A$2:$A$1800,$A61,الريسبي!$B$2:$B$1800,BX$1)</f>
        <v>0</v>
      </c>
      <c r="BY61" s="117" t="n">
        <f aca="false">SUMIFS(الريسبي!$C$2:$C$1800,الريسبي!$A$2:$A$1800,$A61,الريسبي!$B$2:$B$1800,BY$1)</f>
        <v>0.15</v>
      </c>
      <c r="BZ61" s="117" t="n">
        <f aca="false">SUMIFS(الريسبي!$C$2:$C$1800,الريسبي!$A$2:$A$1800,$A61,الريسبي!$B$2:$B$1800,BZ$1)</f>
        <v>0</v>
      </c>
      <c r="CA61" s="117" t="n">
        <f aca="false">SUMIFS(الريسبي!$C$2:$C$1800,الريسبي!$A$2:$A$1800,$A61,الريسبي!$B$2:$B$1800,CA$1)</f>
        <v>0</v>
      </c>
      <c r="CB61" s="117" t="n">
        <f aca="false">SUMIFS(الريسبي!$C$2:$C$1800,الريسبي!$A$2:$A$1800,$A61,الريسبي!$B$2:$B$1800,CB$1)</f>
        <v>0</v>
      </c>
      <c r="CC61" s="117" t="n">
        <f aca="false">SUMIFS(الريسبي!$C$2:$C$1800,الريسبي!$A$2:$A$1800,$A61,الريسبي!$B$2:$B$1800,CC$1)</f>
        <v>1</v>
      </c>
      <c r="CD61" s="117" t="n">
        <f aca="false">SUMIFS(الريسبي!$C$2:$C$1800,الريسبي!$A$2:$A$1800,$A61,الريسبي!$B$2:$B$1800,CD$1)</f>
        <v>0</v>
      </c>
      <c r="CE61" s="117" t="n">
        <f aca="false">SUMIFS(الريسبي!$C$2:$C$1800,الريسبي!$A$2:$A$1800,$A61,الريسبي!$B$2:$B$1800,CE$1)</f>
        <v>0</v>
      </c>
      <c r="CF61" s="117" t="n">
        <f aca="false">SUMIFS(الريسبي!$C$2:$C$1800,الريسبي!$A$2:$A$1800,$A61,الريسبي!$B$2:$B$1800,CF$1)</f>
        <v>0</v>
      </c>
      <c r="CG61" s="117" t="n">
        <f aca="false">SUMIFS(الريسبي!$C$2:$C$1800,الريسبي!$A$2:$A$1800,$A61,الريسبي!$B$2:$B$1800,CG$1)</f>
        <v>0</v>
      </c>
      <c r="CH61" s="117" t="n">
        <f aca="false">SUMIFS(الريسبي!$C$2:$C$1800,الريسبي!$A$2:$A$1800,$A61,الريسبي!$B$2:$B$1800,CH$1)</f>
        <v>0</v>
      </c>
      <c r="CI61" s="117" t="n">
        <f aca="false">SUMIFS(الريسبي!$C$2:$C$1800,الريسبي!$A$2:$A$1800,$A61,الريسبي!$B$2:$B$1800,CI$1)</f>
        <v>0</v>
      </c>
      <c r="CJ61" s="117" t="n">
        <f aca="false">SUMIFS(الريسبي!$C$2:$C$1800,الريسبي!$A$2:$A$1800,$A61,الريسبي!$B$2:$B$1800,CJ$1)</f>
        <v>0</v>
      </c>
      <c r="CK61" s="117" t="n">
        <f aca="false">SUMIFS(الريسبي!$C$2:$C$1800,الريسبي!$A$2:$A$1800,$A61,الريسبي!$B$2:$B$1800,CK$1)</f>
        <v>0</v>
      </c>
      <c r="CL61" s="117" t="n">
        <f aca="false">SUMIFS(الريسبي!$C$2:$C$1800,الريسبي!$A$2:$A$1800,$A61,الريسبي!$B$2:$B$1800,CL$1)</f>
        <v>0</v>
      </c>
    </row>
    <row r="62" customFormat="false" ht="15" hidden="false" customHeight="false" outlineLevel="0" collapsed="false">
      <c r="A62" s="116" t="str">
        <f aca="false">المنيو!B62</f>
        <v>مكرونة جمبري</v>
      </c>
      <c r="B62" s="117" t="n">
        <f aca="false">SUMIFS(الريسبي!$C$2:$C$1800,الريسبي!$A$2:$A$1800,$A62,الريسبي!$B$2:$B$1800,B$1)</f>
        <v>1</v>
      </c>
      <c r="C62" s="117" t="n">
        <f aca="false">SUMIFS(الريسبي!$C$2:$C$1800,الريسبي!$A$2:$A$1800,$A62,الريسبي!$B$2:$B$1800,C$1)</f>
        <v>0</v>
      </c>
      <c r="D62" s="117" t="n">
        <f aca="false">SUMIFS(الريسبي!$C$2:$C$1800,الريسبي!$A$2:$A$1800,$A62,الريسبي!$B$2:$B$1800,D$1)</f>
        <v>0</v>
      </c>
      <c r="E62" s="117" t="n">
        <f aca="false">SUMIFS(الريسبي!$C$2:$C$1800,الريسبي!$A$2:$A$1800,$A62,الريسبي!$B$2:$B$1800,E$1)</f>
        <v>1</v>
      </c>
      <c r="F62" s="117" t="n">
        <f aca="false">SUMIFS(الريسبي!$C$2:$C$1800,الريسبي!$A$2:$A$1800,$A62,الريسبي!$B$2:$B$1800,F$1)</f>
        <v>0</v>
      </c>
      <c r="G62" s="117" t="n">
        <f aca="false">SUMIFS(الريسبي!$C$2:$C$1800,الريسبي!$A$2:$A$1800,$A62,الريسبي!$B$2:$B$1800,G$1)</f>
        <v>0</v>
      </c>
      <c r="H62" s="117" t="n">
        <f aca="false">SUMIFS(الريسبي!$C$2:$C$1800,الريسبي!$A$2:$A$1800,$A62,الريسبي!$B$2:$B$1800,H$1)</f>
        <v>0</v>
      </c>
      <c r="I62" s="117" t="n">
        <f aca="false">SUMIFS(الريسبي!$C$2:$C$1800,الريسبي!$A$2:$A$1800,$A62,الريسبي!$B$2:$B$1800,I$1)</f>
        <v>0</v>
      </c>
      <c r="J62" s="117" t="n">
        <f aca="false">SUMIFS(الريسبي!$C$2:$C$1800,الريسبي!$A$2:$A$1800,$A62,الريسبي!$B$2:$B$1800,J$1)</f>
        <v>0</v>
      </c>
      <c r="K62" s="117" t="n">
        <f aca="false">SUMIFS(الريسبي!$C$2:$C$1800,الريسبي!$A$2:$A$1800,$A62,الريسبي!$B$2:$B$1800,K$1)</f>
        <v>1</v>
      </c>
      <c r="L62" s="117" t="n">
        <f aca="false">SUMIFS(الريسبي!$C$2:$C$1800,الريسبي!$A$2:$A$1800,$A62,الريسبي!$B$2:$B$1800,L$1)</f>
        <v>0</v>
      </c>
      <c r="M62" s="117" t="n">
        <f aca="false">SUMIFS(الريسبي!$C$2:$C$1800,الريسبي!$A$2:$A$1800,$A62,الريسبي!$B$2:$B$1800,M$1)</f>
        <v>0</v>
      </c>
      <c r="N62" s="117" t="n">
        <f aca="false">SUMIFS(الريسبي!$C$2:$C$1800,الريسبي!$A$2:$A$1800,$A62,الريسبي!$B$2:$B$1800,N$1)</f>
        <v>0</v>
      </c>
      <c r="O62" s="117" t="n">
        <f aca="false">SUMIFS(الريسبي!$C$2:$C$1800,الريسبي!$A$2:$A$1800,$A62,الريسبي!$B$2:$B$1800,O$1)</f>
        <v>0</v>
      </c>
      <c r="P62" s="117" t="n">
        <f aca="false">SUMIFS(الريسبي!$C$2:$C$1800,الريسبي!$A$2:$A$1800,$A62,الريسبي!$B$2:$B$1800,P$1)</f>
        <v>0</v>
      </c>
      <c r="Q62" s="117" t="n">
        <f aca="false">SUMIFS(الريسبي!$C$2:$C$1800,الريسبي!$A$2:$A$1800,$A62,الريسبي!$B$2:$B$1800,Q$1)</f>
        <v>0</v>
      </c>
      <c r="R62" s="117" t="n">
        <f aca="false">SUMIFS(الريسبي!$C$2:$C$1800,الريسبي!$A$2:$A$1800,$A62,الريسبي!$B$2:$B$1800,R$1)</f>
        <v>0</v>
      </c>
      <c r="S62" s="117" t="n">
        <f aca="false">SUMIFS(الريسبي!$C$2:$C$1800,الريسبي!$A$2:$A$1800,$A62,الريسبي!$B$2:$B$1800,S$1)</f>
        <v>0</v>
      </c>
      <c r="T62" s="117" t="n">
        <f aca="false">SUMIFS(الريسبي!$C$2:$C$1800,الريسبي!$A$2:$A$1800,$A62,الريسبي!$B$2:$B$1800,T$1)</f>
        <v>0</v>
      </c>
      <c r="U62" s="117" t="n">
        <f aca="false">SUMIFS(الريسبي!$C$2:$C$1800,الريسبي!$A$2:$A$1800,$A62,الريسبي!$B$2:$B$1800,U$1)</f>
        <v>0</v>
      </c>
      <c r="V62" s="117" t="n">
        <f aca="false">SUMIFS(الريسبي!$C$2:$C$1800,الريسبي!$A$2:$A$1800,$A62,الريسبي!$B$2:$B$1800,V$1)+1.5*(SUMIFS(الريسبي!$C$2:$C$1800,الريسبي!$A$2:$A$1800,$A62,الريسبي!$B$2:$B$1800,"برسيون موتزريلا بيتزا كبير"))</f>
        <v>1</v>
      </c>
      <c r="W62" s="117" t="n">
        <f aca="false">0</f>
        <v>0</v>
      </c>
      <c r="X62" s="117" t="n">
        <f aca="false">SUMIFS(الريسبي!$C$2:$C$1800,الريسبي!$A$2:$A$1800,$A62,الريسبي!$B$2:$B$1800,X$1)+1.5*(SUMIFS(الريسبي!$C$2:$C$1800,الريسبي!$A$2:$A$1800,$A62,الريسبي!$B$2:$B$1800,"برسيون موتزريلا فطير كبير"))</f>
        <v>0</v>
      </c>
      <c r="Y62" s="117" t="n">
        <f aca="false">0</f>
        <v>0</v>
      </c>
      <c r="Z62" s="117" t="n">
        <f aca="false">SUMIFS(الريسبي!$C$2:$C$1800,الريسبي!$A$2:$A$1800,$A62,الريسبي!$B$2:$B$1800,Z$1)</f>
        <v>0</v>
      </c>
      <c r="AA62" s="117" t="n">
        <f aca="false">SUMIFS(الريسبي!$C$2:$C$1800,الريسبي!$A$2:$A$1800,$A62,الريسبي!$B$2:$B$1800,AA$1)</f>
        <v>0</v>
      </c>
      <c r="AB62" s="117" t="n">
        <f aca="false">SUMIFS(الريسبي!$C$2:$C$1800,الريسبي!$A$2:$A$1800,$A62,الريسبي!$B$2:$B$1800,AB$1)</f>
        <v>0</v>
      </c>
      <c r="AC62" s="117" t="n">
        <f aca="false">SUMIFS(الريسبي!$C$2:$C$1800,الريسبي!$A$2:$A$1800,$A62,الريسبي!$B$2:$B$1800,AC$1)</f>
        <v>0.2</v>
      </c>
      <c r="AD62" s="117" t="n">
        <f aca="false">SUMIFS(الريسبي!$C$2:$C$1800,الريسبي!$A$2:$A$1800,$A62,الريسبي!$B$2:$B$1800,AD$1)</f>
        <v>0</v>
      </c>
      <c r="AE62" s="117" t="n">
        <f aca="false">SUMIFS(الريسبي!$C$2:$C$1800,الريسبي!$A$2:$A$1800,$A62,الريسبي!$B$2:$B$1800,AE$1)</f>
        <v>0</v>
      </c>
      <c r="AF62" s="117" t="n">
        <f aca="false">SUMIFS(الريسبي!$C$2:$C$1800,الريسبي!$A$2:$A$1800,$A62,الريسبي!$B$2:$B$1800,AF$1)</f>
        <v>0</v>
      </c>
      <c r="AG62" s="117" t="n">
        <f aca="false">SUMIFS(الريسبي!$C$2:$C$1800,الريسبي!$A$2:$A$1800,$A62,الريسبي!$B$2:$B$1800,AG$1)</f>
        <v>0</v>
      </c>
      <c r="AH62" s="117" t="n">
        <f aca="false">SUMIFS(الريسبي!$C$2:$C$1800,الريسبي!$A$2:$A$1800,$A62,الريسبي!$B$2:$B$1800,AH$1)</f>
        <v>0</v>
      </c>
      <c r="AI62" s="117" t="n">
        <f aca="false">SUMIFS(الريسبي!$C$2:$C$1800,الريسبي!$A$2:$A$1800,$A62,الريسبي!$B$2:$B$1800,AI$1)</f>
        <v>0</v>
      </c>
      <c r="AJ62" s="117" t="n">
        <f aca="false">SUMIFS(الريسبي!$C$2:$C$1800,الريسبي!$A$2:$A$1800,$A62,الريسبي!$B$2:$B$1800,AJ$1)</f>
        <v>2</v>
      </c>
      <c r="AK62" s="117" t="n">
        <f aca="false">SUMIFS(الريسبي!$C$2:$C$1800,الريسبي!$A$2:$A$1800,$A62,الريسبي!$B$2:$B$1800,AK$1)</f>
        <v>0</v>
      </c>
      <c r="AL62" s="117" t="n">
        <f aca="false">SUMIFS(الريسبي!$C$2:$C$1800,الريسبي!$A$2:$A$1800,$A62,الريسبي!$B$2:$B$1800,AL$1)</f>
        <v>0</v>
      </c>
      <c r="AM62" s="117" t="n">
        <f aca="false">SUMIFS(الريسبي!$C$2:$C$1800,الريسبي!$A$2:$A$1800,$A62,الريسبي!$B$2:$B$1800,AM$1)+0.08333333333*SUMIFS(الريسبي!$C$2:$C$1800,الريسبي!$A$2:$A$1800,$A62,الريسبي!$B$2:$B$1800,"عجين كريب (مصنع بالمطعم)")+0.08333333333*SUMIFS(الريسبي!$C$2:$C$1800,الريسبي!$A$2:$A$1800,$A62,الريسبي!$B$2:$B$1800,"عجين كريب صيامي (بدون لبن)")</f>
        <v>0</v>
      </c>
      <c r="AN62" s="117" t="n">
        <f aca="false">SUMIFS(الريسبي!$C$2:$C$1800,الريسبي!$A$2:$A$1800,$A62,الريسبي!$B$2:$B$1800,AN$1)+0.004166666667*SUMIFS(الريسبي!$C$2:$C$1800,الريسبي!$A$2:$A$1800,$A62,الريسبي!$B$2:$B$1800,"عجين كريب (مصنع بالمطعم)")+0.004166666667*SUMIFS(الريسبي!$C$2:$C$1800,الريسبي!$A$2:$A$1800,$A62,الريسبي!$B$2:$B$1800,"عجين كريب صيامي (بدون لبن)")</f>
        <v>0.01</v>
      </c>
      <c r="AO62" s="117" t="n">
        <f aca="false">SUMIFS(الريسبي!$C$2:$C$1800,الريسبي!$A$2:$A$1800,$A62,الريسبي!$B$2:$B$1800,AO$1)</f>
        <v>0</v>
      </c>
      <c r="AP62" s="117" t="n">
        <f aca="false">SUMIFS(الريسبي!$C$2:$C$1800,الريسبي!$A$2:$A$1800,$A62,الريسبي!$B$2:$B$1800,AP$1)</f>
        <v>0</v>
      </c>
      <c r="AQ62" s="117" t="n">
        <f aca="false">SUMIFS(الريسبي!$C$2:$C$1800,الريسبي!$A$2:$A$1800,$A62,الريسبي!$B$2:$B$1800,AQ$1)+0.004166666667*SUMIFS(الريسبي!$C$2:$C$1800,الريسبي!$A$2:$A$1800,$A62,الريسبي!$B$2:$B$1800,"عجين كريب (مصنع بالمطعم)")+0.004166666667*SUMIFS(الريسبي!$C$2:$C$1800,الريسبي!$A$2:$A$1800,$A62,الريسبي!$B$2:$B$1800,"عجين كريب صيامي (بدون لبن)")</f>
        <v>0</v>
      </c>
      <c r="AR62" s="117" t="n">
        <f aca="false">SUMIFS(الريسبي!$C$2:$C$1800,الريسبي!$A$2:$A$1800,$A62,الريسبي!$B$2:$B$1800,AR$1)</f>
        <v>0</v>
      </c>
      <c r="AS62" s="117" t="n">
        <f aca="false">SUMIFS(الريسبي!$C$2:$C$1800,الريسبي!$A$2:$A$1800,$A62,الريسبي!$B$2:$B$1800,AS$1)</f>
        <v>0</v>
      </c>
      <c r="AT62" s="117" t="n">
        <f aca="false">SUMIFS(الريسبي!$C$2:$C$1800,الريسبي!$A$2:$A$1800,$A62,الريسبي!$B$2:$B$1800,AT$1)</f>
        <v>0</v>
      </c>
      <c r="AU62" s="117" t="n">
        <f aca="false">SUMIFS(الريسبي!$C$2:$C$1800,الريسبي!$A$2:$A$1800,$A62,الريسبي!$B$2:$B$1800,AU$1)</f>
        <v>1</v>
      </c>
      <c r="AV62" s="117" t="n">
        <f aca="false">SUMIFS(الريسبي!$C$2:$C$1800,الريسبي!$A$2:$A$1800,$A62,الريسبي!$B$2:$B$1800,AV$1)</f>
        <v>0</v>
      </c>
      <c r="AW62" s="117" t="n">
        <f aca="false">SUMIFS(الريسبي!$C$2:$C$1800,الريسبي!$A$2:$A$1800,$A62,الريسبي!$B$2:$B$1800,AW$1)</f>
        <v>0</v>
      </c>
      <c r="AX62" s="117" t="n">
        <f aca="false">SUMIFS(الريسبي!$C$2:$C$1800,الريسبي!$A$2:$A$1800,$A62,الريسبي!$B$2:$B$1800,AX$1)</f>
        <v>0</v>
      </c>
      <c r="AY62" s="117" t="n">
        <f aca="false">SUMIFS(الريسبي!$C$2:$C$1800,الريسبي!$A$2:$A$1800,$A62,الريسبي!$B$2:$B$1800,AY$1)</f>
        <v>0</v>
      </c>
      <c r="AZ62" s="117" t="n">
        <f aca="false">SUMIFS(الريسبي!$C$2:$C$1800,الريسبي!$A$2:$A$1800,$A62,الريسبي!$B$2:$B$1800,AZ$1)</f>
        <v>0</v>
      </c>
      <c r="BA62" s="117" t="n">
        <f aca="false">SUMIFS(الريسبي!$C$2:$C$1800,الريسبي!$A$2:$A$1800,$A62,الريسبي!$B$2:$B$1800,BA$1)</f>
        <v>0</v>
      </c>
      <c r="BB62" s="117" t="n">
        <f aca="false">SUMIFS(الريسبي!$C$2:$C$1800,الريسبي!$A$2:$A$1800,$A62,الريسبي!$B$2:$B$1800,BB$1)</f>
        <v>0</v>
      </c>
      <c r="BC62" s="117" t="n">
        <f aca="false">SUMIFS(الريسبي!$C$2:$C$1800,الريسبي!$A$2:$A$1800,$A62,الريسبي!$B$2:$B$1800,BC$1)</f>
        <v>0</v>
      </c>
      <c r="BD62" s="117" t="n">
        <f aca="false">SUMIFS(الريسبي!$C$2:$C$1800,الريسبي!$A$2:$A$1800,$A62,الريسبي!$B$2:$B$1800,BD$1)</f>
        <v>0</v>
      </c>
      <c r="BE62" s="117" t="n">
        <f aca="false">SUMIFS(الريسبي!$C$2:$C$1800,الريسبي!$A$2:$A$1800,$A62,الريسبي!$B$2:$B$1800,BE$1)</f>
        <v>0</v>
      </c>
      <c r="BF62" s="117" t="n">
        <f aca="false">SUMIFS(الريسبي!$C$2:$C$1800,الريسبي!$A$2:$A$1800,$A62,الريسبي!$B$2:$B$1800,BF$1)</f>
        <v>0</v>
      </c>
      <c r="BG62" s="117" t="n">
        <f aca="false">SUMIFS(الريسبي!$C$2:$C$1800,الريسبي!$A$2:$A$1800,$A62,الريسبي!$B$2:$B$1800,BG$1)</f>
        <v>0</v>
      </c>
      <c r="BH62" s="117" t="n">
        <f aca="false">SUMIFS(الريسبي!$C$2:$C$1800,الريسبي!$A$2:$A$1800,$A62,الريسبي!$B$2:$B$1800,BH$1)</f>
        <v>0</v>
      </c>
      <c r="BI62" s="117" t="n">
        <f aca="false">SUMIFS(الريسبي!$C$2:$C$1800,الريسبي!$A$2:$A$1800,$A62,الريسبي!$B$2:$B$1800,BI$1)</f>
        <v>0</v>
      </c>
      <c r="BJ62" s="117" t="n">
        <f aca="false">SUMIFS(الريسبي!$C$2:$C$1800,الريسبي!$A$2:$A$1800,$A62,الريسبي!$B$2:$B$1800,BJ$1)</f>
        <v>0</v>
      </c>
      <c r="BK62" s="117" t="n">
        <f aca="false">SUMIFS(الريسبي!$C$2:$C$1800,الريسبي!$A$2:$A$1800,$A62,الريسبي!$B$2:$B$1800,BK$1)</f>
        <v>0</v>
      </c>
      <c r="BL62" s="117" t="n">
        <f aca="false">SUMIFS(الريسبي!$C$2:$C$1800,الريسبي!$A$2:$A$1800,$A62,الريسبي!$B$2:$B$1800,BL$1)</f>
        <v>0</v>
      </c>
      <c r="BM62" s="117" t="n">
        <f aca="false">SUMIFS(الريسبي!$C$2:$C$1800,الريسبي!$A$2:$A$1800,$A62,الريسبي!$B$2:$B$1800,BM$1)</f>
        <v>0</v>
      </c>
      <c r="BN62" s="117" t="n">
        <f aca="false">SUMIFS(الريسبي!$C$2:$C$1800,الريسبي!$A$2:$A$1800,$A62,الريسبي!$B$2:$B$1800,BN$1)</f>
        <v>0</v>
      </c>
      <c r="BO62" s="117" t="n">
        <f aca="false">SUMIFS(الريسبي!$C$2:$C$1800,الريسبي!$A$2:$A$1800,$A62,الريسبي!$B$2:$B$1800,BO$1)</f>
        <v>0</v>
      </c>
      <c r="BP62" s="117" t="n">
        <f aca="false">SUMIFS(الريسبي!$C$2:$C$1800,الريسبي!$A$2:$A$1800,$A62,الريسبي!$B$2:$B$1800,BP$1)</f>
        <v>2</v>
      </c>
      <c r="BQ62" s="117" t="n">
        <f aca="false">SUMIFS(الريسبي!$C$2:$C$1800,الريسبي!$A$2:$A$1800,$A62,الريسبي!$B$2:$B$1800,BQ$1)+0.17*SUMIFS(الريسبي!$C$2:$C$1800,الريسبي!$A$2:$A$1800,$A62,الريسبي!$B$2:$B$1800,"كاسترد مصنع (خليط بودر + لبن)")+0.17*SUMIFS(الريسبي!$C$2:$C$1800,الريسبي!$A$2:$A$1800,$A62,الريسبي!$B$2:$B$1800,"كاسترد مصنع صيامي (بدون لبن)")</f>
        <v>0</v>
      </c>
      <c r="BR62" s="117" t="n">
        <f aca="false">SUMIFS(الريسبي!$C$2:$C$1800,الريسبي!$A$2:$A$1800,$A62,الريسبي!$B$2:$B$1800,BR$1)</f>
        <v>0</v>
      </c>
      <c r="BS62" s="117" t="n">
        <f aca="false">SUMIFS(الريسبي!$C$2:$C$1800,الريسبي!$A$2:$A$1800,$A62,الريسبي!$B$2:$B$1800,BS$1)</f>
        <v>0</v>
      </c>
      <c r="BT62" s="117" t="n">
        <f aca="false">SUMIFS(الريسبي!$C$2:$C$1800,الريسبي!$A$2:$A$1800,$A62,الريسبي!$B$2:$B$1800,BT$1)</f>
        <v>0</v>
      </c>
      <c r="BU62" s="117" t="n">
        <f aca="false">SUMIFS(الريسبي!$C$2:$C$1800,الريسبي!$A$2:$A$1800,$A62,الريسبي!$B$2:$B$1800,BU$1)+0.4*SUMIFS(الريسبي!$C$2:$C$1800,الريسبي!$A$2:$A$1800,$A62,الريسبي!$B$2:$B$1800,"كاسترد مصنع (خليط بودر + لبن)")+0.03333333333*SUMIFS(الريسبي!$C$2:$C$1800,الريسبي!$A$2:$A$1800,$A62,الريسبي!$B$2:$B$1800,"عجين كريب (مصنع بالمطعم)")</f>
        <v>0.05</v>
      </c>
      <c r="BV62" s="117" t="n">
        <f aca="false">SUMIFS(الريسبي!$C$2:$C$1800,الريسبي!$A$2:$A$1800,$A62,الريسبي!$B$2:$B$1800,BV$1)</f>
        <v>0</v>
      </c>
      <c r="BW62" s="117" t="n">
        <f aca="false">SUMIFS(الريسبي!$C$2:$C$1800,الريسبي!$A$2:$A$1800,$A62,الريسبي!$B$2:$B$1800,BW$1)</f>
        <v>0</v>
      </c>
      <c r="BX62" s="117" t="n">
        <f aca="false">SUMIFS(الريسبي!$C$2:$C$1800,الريسبي!$A$2:$A$1800,$A62,الريسبي!$B$2:$B$1800,BX$1)</f>
        <v>0</v>
      </c>
      <c r="BY62" s="117" t="n">
        <f aca="false">SUMIFS(الريسبي!$C$2:$C$1800,الريسبي!$A$2:$A$1800,$A62,الريسبي!$B$2:$B$1800,BY$1)</f>
        <v>0.15</v>
      </c>
      <c r="BZ62" s="117" t="n">
        <f aca="false">SUMIFS(الريسبي!$C$2:$C$1800,الريسبي!$A$2:$A$1800,$A62,الريسبي!$B$2:$B$1800,BZ$1)</f>
        <v>0</v>
      </c>
      <c r="CA62" s="117" t="n">
        <f aca="false">SUMIFS(الريسبي!$C$2:$C$1800,الريسبي!$A$2:$A$1800,$A62,الريسبي!$B$2:$B$1800,CA$1)</f>
        <v>0</v>
      </c>
      <c r="CB62" s="117" t="n">
        <f aca="false">SUMIFS(الريسبي!$C$2:$C$1800,الريسبي!$A$2:$A$1800,$A62,الريسبي!$B$2:$B$1800,CB$1)</f>
        <v>0</v>
      </c>
      <c r="CC62" s="117" t="n">
        <f aca="false">SUMIFS(الريسبي!$C$2:$C$1800,الريسبي!$A$2:$A$1800,$A62,الريسبي!$B$2:$B$1800,CC$1)</f>
        <v>1</v>
      </c>
      <c r="CD62" s="117" t="n">
        <f aca="false">SUMIFS(الريسبي!$C$2:$C$1800,الريسبي!$A$2:$A$1800,$A62,الريسبي!$B$2:$B$1800,CD$1)</f>
        <v>0</v>
      </c>
      <c r="CE62" s="117" t="n">
        <f aca="false">SUMIFS(الريسبي!$C$2:$C$1800,الريسبي!$A$2:$A$1800,$A62,الريسبي!$B$2:$B$1800,CE$1)</f>
        <v>0</v>
      </c>
      <c r="CF62" s="117" t="n">
        <f aca="false">SUMIFS(الريسبي!$C$2:$C$1800,الريسبي!$A$2:$A$1800,$A62,الريسبي!$B$2:$B$1800,CF$1)</f>
        <v>0</v>
      </c>
      <c r="CG62" s="117" t="n">
        <f aca="false">SUMIFS(الريسبي!$C$2:$C$1800,الريسبي!$A$2:$A$1800,$A62,الريسبي!$B$2:$B$1800,CG$1)</f>
        <v>0</v>
      </c>
      <c r="CH62" s="117" t="n">
        <f aca="false">SUMIFS(الريسبي!$C$2:$C$1800,الريسبي!$A$2:$A$1800,$A62,الريسبي!$B$2:$B$1800,CH$1)</f>
        <v>0</v>
      </c>
      <c r="CI62" s="117" t="n">
        <f aca="false">SUMIFS(الريسبي!$C$2:$C$1800,الريسبي!$A$2:$A$1800,$A62,الريسبي!$B$2:$B$1800,CI$1)</f>
        <v>0</v>
      </c>
      <c r="CJ62" s="117" t="n">
        <f aca="false">SUMIFS(الريسبي!$C$2:$C$1800,الريسبي!$A$2:$A$1800,$A62,الريسبي!$B$2:$B$1800,CJ$1)</f>
        <v>0</v>
      </c>
      <c r="CK62" s="117" t="n">
        <f aca="false">SUMIFS(الريسبي!$C$2:$C$1800,الريسبي!$A$2:$A$1800,$A62,الريسبي!$B$2:$B$1800,CK$1)</f>
        <v>0</v>
      </c>
      <c r="CL62" s="117" t="n">
        <f aca="false">SUMIFS(الريسبي!$C$2:$C$1800,الريسبي!$A$2:$A$1800,$A62,الريسبي!$B$2:$B$1800,CL$1)</f>
        <v>0</v>
      </c>
    </row>
    <row r="63" customFormat="false" ht="15" hidden="false" customHeight="false" outlineLevel="0" collapsed="false">
      <c r="A63" s="116" t="str">
        <f aca="false">المنيو!B63</f>
        <v>مكرونة صوص ابيض سدق</v>
      </c>
      <c r="B63" s="117" t="n">
        <f aca="false">SUMIFS(الريسبي!$C$2:$C$1800,الريسبي!$A$2:$A$1800,$A63,الريسبي!$B$2:$B$1800,B$1)</f>
        <v>1</v>
      </c>
      <c r="C63" s="117" t="n">
        <f aca="false">SUMIFS(الريسبي!$C$2:$C$1800,الريسبي!$A$2:$A$1800,$A63,الريسبي!$B$2:$B$1800,C$1)</f>
        <v>0</v>
      </c>
      <c r="D63" s="117" t="n">
        <f aca="false">SUMIFS(الريسبي!$C$2:$C$1800,الريسبي!$A$2:$A$1800,$A63,الريسبي!$B$2:$B$1800,D$1)</f>
        <v>0</v>
      </c>
      <c r="E63" s="117" t="n">
        <f aca="false">SUMIFS(الريسبي!$C$2:$C$1800,الريسبي!$A$2:$A$1800,$A63,الريسبي!$B$2:$B$1800,E$1)</f>
        <v>1</v>
      </c>
      <c r="F63" s="117" t="n">
        <f aca="false">SUMIFS(الريسبي!$C$2:$C$1800,الريسبي!$A$2:$A$1800,$A63,الريسبي!$B$2:$B$1800,F$1)</f>
        <v>0</v>
      </c>
      <c r="G63" s="117" t="n">
        <f aca="false">SUMIFS(الريسبي!$C$2:$C$1800,الريسبي!$A$2:$A$1800,$A63,الريسبي!$B$2:$B$1800,G$1)</f>
        <v>0</v>
      </c>
      <c r="H63" s="117" t="n">
        <f aca="false">SUMIFS(الريسبي!$C$2:$C$1800,الريسبي!$A$2:$A$1800,$A63,الريسبي!$B$2:$B$1800,H$1)</f>
        <v>0</v>
      </c>
      <c r="I63" s="117" t="n">
        <f aca="false">SUMIFS(الريسبي!$C$2:$C$1800,الريسبي!$A$2:$A$1800,$A63,الريسبي!$B$2:$B$1800,I$1)</f>
        <v>0</v>
      </c>
      <c r="J63" s="117" t="n">
        <f aca="false">SUMIFS(الريسبي!$C$2:$C$1800,الريسبي!$A$2:$A$1800,$A63,الريسبي!$B$2:$B$1800,J$1)</f>
        <v>0</v>
      </c>
      <c r="K63" s="117" t="n">
        <f aca="false">SUMIFS(الريسبي!$C$2:$C$1800,الريسبي!$A$2:$A$1800,$A63,الريسبي!$B$2:$B$1800,K$1)</f>
        <v>0</v>
      </c>
      <c r="L63" s="117" t="n">
        <f aca="false">SUMIFS(الريسبي!$C$2:$C$1800,الريسبي!$A$2:$A$1800,$A63,الريسبي!$B$2:$B$1800,L$1)</f>
        <v>1</v>
      </c>
      <c r="M63" s="117" t="n">
        <f aca="false">SUMIFS(الريسبي!$C$2:$C$1800,الريسبي!$A$2:$A$1800,$A63,الريسبي!$B$2:$B$1800,M$1)</f>
        <v>0</v>
      </c>
      <c r="N63" s="117" t="n">
        <f aca="false">SUMIFS(الريسبي!$C$2:$C$1800,الريسبي!$A$2:$A$1800,$A63,الريسبي!$B$2:$B$1800,N$1)</f>
        <v>0</v>
      </c>
      <c r="O63" s="117" t="n">
        <f aca="false">SUMIFS(الريسبي!$C$2:$C$1800,الريسبي!$A$2:$A$1800,$A63,الريسبي!$B$2:$B$1800,O$1)</f>
        <v>0</v>
      </c>
      <c r="P63" s="117" t="n">
        <f aca="false">SUMIFS(الريسبي!$C$2:$C$1800,الريسبي!$A$2:$A$1800,$A63,الريسبي!$B$2:$B$1800,P$1)</f>
        <v>0</v>
      </c>
      <c r="Q63" s="117" t="n">
        <f aca="false">SUMIFS(الريسبي!$C$2:$C$1800,الريسبي!$A$2:$A$1800,$A63,الريسبي!$B$2:$B$1800,Q$1)</f>
        <v>0</v>
      </c>
      <c r="R63" s="117" t="n">
        <f aca="false">SUMIFS(الريسبي!$C$2:$C$1800,الريسبي!$A$2:$A$1800,$A63,الريسبي!$B$2:$B$1800,R$1)</f>
        <v>0</v>
      </c>
      <c r="S63" s="117" t="n">
        <f aca="false">SUMIFS(الريسبي!$C$2:$C$1800,الريسبي!$A$2:$A$1800,$A63,الريسبي!$B$2:$B$1800,S$1)</f>
        <v>0</v>
      </c>
      <c r="T63" s="117" t="n">
        <f aca="false">SUMIFS(الريسبي!$C$2:$C$1800,الريسبي!$A$2:$A$1800,$A63,الريسبي!$B$2:$B$1800,T$1)</f>
        <v>0</v>
      </c>
      <c r="U63" s="117" t="n">
        <f aca="false">SUMIFS(الريسبي!$C$2:$C$1800,الريسبي!$A$2:$A$1800,$A63,الريسبي!$B$2:$B$1800,U$1)</f>
        <v>0</v>
      </c>
      <c r="V63" s="117" t="n">
        <f aca="false">SUMIFS(الريسبي!$C$2:$C$1800,الريسبي!$A$2:$A$1800,$A63,الريسبي!$B$2:$B$1800,V$1)+1.5*(SUMIFS(الريسبي!$C$2:$C$1800,الريسبي!$A$2:$A$1800,$A63,الريسبي!$B$2:$B$1800,"برسيون موتزريلا بيتزا كبير"))</f>
        <v>1</v>
      </c>
      <c r="W63" s="117" t="n">
        <f aca="false">0</f>
        <v>0</v>
      </c>
      <c r="X63" s="117" t="n">
        <f aca="false">SUMIFS(الريسبي!$C$2:$C$1800,الريسبي!$A$2:$A$1800,$A63,الريسبي!$B$2:$B$1800,X$1)+1.5*(SUMIFS(الريسبي!$C$2:$C$1800,الريسبي!$A$2:$A$1800,$A63,الريسبي!$B$2:$B$1800,"برسيون موتزريلا فطير كبير"))</f>
        <v>0</v>
      </c>
      <c r="Y63" s="117" t="n">
        <f aca="false">0</f>
        <v>0</v>
      </c>
      <c r="Z63" s="117" t="n">
        <f aca="false">SUMIFS(الريسبي!$C$2:$C$1800,الريسبي!$A$2:$A$1800,$A63,الريسبي!$B$2:$B$1800,Z$1)</f>
        <v>0</v>
      </c>
      <c r="AA63" s="117" t="n">
        <f aca="false">SUMIFS(الريسبي!$C$2:$C$1800,الريسبي!$A$2:$A$1800,$A63,الريسبي!$B$2:$B$1800,AA$1)</f>
        <v>0</v>
      </c>
      <c r="AB63" s="117" t="n">
        <f aca="false">SUMIFS(الريسبي!$C$2:$C$1800,الريسبي!$A$2:$A$1800,$A63,الريسبي!$B$2:$B$1800,AB$1)</f>
        <v>0</v>
      </c>
      <c r="AC63" s="117" t="n">
        <f aca="false">SUMIFS(الريسبي!$C$2:$C$1800,الريسبي!$A$2:$A$1800,$A63,الريسبي!$B$2:$B$1800,AC$1)</f>
        <v>0.2</v>
      </c>
      <c r="AD63" s="117" t="n">
        <f aca="false">SUMIFS(الريسبي!$C$2:$C$1800,الريسبي!$A$2:$A$1800,$A63,الريسبي!$B$2:$B$1800,AD$1)</f>
        <v>0</v>
      </c>
      <c r="AE63" s="117" t="n">
        <f aca="false">SUMIFS(الريسبي!$C$2:$C$1800,الريسبي!$A$2:$A$1800,$A63,الريسبي!$B$2:$B$1800,AE$1)</f>
        <v>0</v>
      </c>
      <c r="AF63" s="117" t="n">
        <f aca="false">SUMIFS(الريسبي!$C$2:$C$1800,الريسبي!$A$2:$A$1800,$A63,الريسبي!$B$2:$B$1800,AF$1)</f>
        <v>0</v>
      </c>
      <c r="AG63" s="117" t="n">
        <f aca="false">SUMIFS(الريسبي!$C$2:$C$1800,الريسبي!$A$2:$A$1800,$A63,الريسبي!$B$2:$B$1800,AG$1)</f>
        <v>0</v>
      </c>
      <c r="AH63" s="117" t="n">
        <f aca="false">SUMIFS(الريسبي!$C$2:$C$1800,الريسبي!$A$2:$A$1800,$A63,الريسبي!$B$2:$B$1800,AH$1)</f>
        <v>0</v>
      </c>
      <c r="AI63" s="117" t="n">
        <f aca="false">SUMIFS(الريسبي!$C$2:$C$1800,الريسبي!$A$2:$A$1800,$A63,الريسبي!$B$2:$B$1800,AI$1)</f>
        <v>0</v>
      </c>
      <c r="AJ63" s="117" t="n">
        <f aca="false">SUMIFS(الريسبي!$C$2:$C$1800,الريسبي!$A$2:$A$1800,$A63,الريسبي!$B$2:$B$1800,AJ$1)</f>
        <v>2</v>
      </c>
      <c r="AK63" s="117" t="n">
        <f aca="false">SUMIFS(الريسبي!$C$2:$C$1800,الريسبي!$A$2:$A$1800,$A63,الريسبي!$B$2:$B$1800,AK$1)</f>
        <v>0</v>
      </c>
      <c r="AL63" s="117" t="n">
        <f aca="false">SUMIFS(الريسبي!$C$2:$C$1800,الريسبي!$A$2:$A$1800,$A63,الريسبي!$B$2:$B$1800,AL$1)</f>
        <v>0</v>
      </c>
      <c r="AM63" s="117" t="n">
        <f aca="false">SUMIFS(الريسبي!$C$2:$C$1800,الريسبي!$A$2:$A$1800,$A63,الريسبي!$B$2:$B$1800,AM$1)+0.08333333333*SUMIFS(الريسبي!$C$2:$C$1800,الريسبي!$A$2:$A$1800,$A63,الريسبي!$B$2:$B$1800,"عجين كريب (مصنع بالمطعم)")+0.08333333333*SUMIFS(الريسبي!$C$2:$C$1800,الريسبي!$A$2:$A$1800,$A63,الريسبي!$B$2:$B$1800,"عجين كريب صيامي (بدون لبن)")</f>
        <v>0</v>
      </c>
      <c r="AN63" s="117" t="n">
        <f aca="false">SUMIFS(الريسبي!$C$2:$C$1800,الريسبي!$A$2:$A$1800,$A63,الريسبي!$B$2:$B$1800,AN$1)+0.004166666667*SUMIFS(الريسبي!$C$2:$C$1800,الريسبي!$A$2:$A$1800,$A63,الريسبي!$B$2:$B$1800,"عجين كريب (مصنع بالمطعم)")+0.004166666667*SUMIFS(الريسبي!$C$2:$C$1800,الريسبي!$A$2:$A$1800,$A63,الريسبي!$B$2:$B$1800,"عجين كريب صيامي (بدون لبن)")</f>
        <v>0.01</v>
      </c>
      <c r="AO63" s="117" t="n">
        <f aca="false">SUMIFS(الريسبي!$C$2:$C$1800,الريسبي!$A$2:$A$1800,$A63,الريسبي!$B$2:$B$1800,AO$1)</f>
        <v>0</v>
      </c>
      <c r="AP63" s="117" t="n">
        <f aca="false">SUMIFS(الريسبي!$C$2:$C$1800,الريسبي!$A$2:$A$1800,$A63,الريسبي!$B$2:$B$1800,AP$1)</f>
        <v>0</v>
      </c>
      <c r="AQ63" s="117" t="n">
        <f aca="false">SUMIFS(الريسبي!$C$2:$C$1800,الريسبي!$A$2:$A$1800,$A63,الريسبي!$B$2:$B$1800,AQ$1)+0.004166666667*SUMIFS(الريسبي!$C$2:$C$1800,الريسبي!$A$2:$A$1800,$A63,الريسبي!$B$2:$B$1800,"عجين كريب (مصنع بالمطعم)")+0.004166666667*SUMIFS(الريسبي!$C$2:$C$1800,الريسبي!$A$2:$A$1800,$A63,الريسبي!$B$2:$B$1800,"عجين كريب صيامي (بدون لبن)")</f>
        <v>0</v>
      </c>
      <c r="AR63" s="117" t="n">
        <f aca="false">SUMIFS(الريسبي!$C$2:$C$1800,الريسبي!$A$2:$A$1800,$A63,الريسبي!$B$2:$B$1800,AR$1)</f>
        <v>0</v>
      </c>
      <c r="AS63" s="117" t="n">
        <f aca="false">SUMIFS(الريسبي!$C$2:$C$1800,الريسبي!$A$2:$A$1800,$A63,الريسبي!$B$2:$B$1800,AS$1)</f>
        <v>0</v>
      </c>
      <c r="AT63" s="117" t="n">
        <f aca="false">SUMIFS(الريسبي!$C$2:$C$1800,الريسبي!$A$2:$A$1800,$A63,الريسبي!$B$2:$B$1800,AT$1)</f>
        <v>0</v>
      </c>
      <c r="AU63" s="117" t="n">
        <f aca="false">SUMIFS(الريسبي!$C$2:$C$1800,الريسبي!$A$2:$A$1800,$A63,الريسبي!$B$2:$B$1800,AU$1)</f>
        <v>1</v>
      </c>
      <c r="AV63" s="117" t="n">
        <f aca="false">SUMIFS(الريسبي!$C$2:$C$1800,الريسبي!$A$2:$A$1800,$A63,الريسبي!$B$2:$B$1800,AV$1)</f>
        <v>0</v>
      </c>
      <c r="AW63" s="117" t="n">
        <f aca="false">SUMIFS(الريسبي!$C$2:$C$1800,الريسبي!$A$2:$A$1800,$A63,الريسبي!$B$2:$B$1800,AW$1)</f>
        <v>0</v>
      </c>
      <c r="AX63" s="117" t="n">
        <f aca="false">SUMIFS(الريسبي!$C$2:$C$1800,الريسبي!$A$2:$A$1800,$A63,الريسبي!$B$2:$B$1800,AX$1)</f>
        <v>0</v>
      </c>
      <c r="AY63" s="117" t="n">
        <f aca="false">SUMIFS(الريسبي!$C$2:$C$1800,الريسبي!$A$2:$A$1800,$A63,الريسبي!$B$2:$B$1800,AY$1)</f>
        <v>0</v>
      </c>
      <c r="AZ63" s="117" t="n">
        <f aca="false">SUMIFS(الريسبي!$C$2:$C$1800,الريسبي!$A$2:$A$1800,$A63,الريسبي!$B$2:$B$1800,AZ$1)</f>
        <v>0</v>
      </c>
      <c r="BA63" s="117" t="n">
        <f aca="false">SUMIFS(الريسبي!$C$2:$C$1800,الريسبي!$A$2:$A$1800,$A63,الريسبي!$B$2:$B$1800,BA$1)</f>
        <v>0</v>
      </c>
      <c r="BB63" s="117" t="n">
        <f aca="false">SUMIFS(الريسبي!$C$2:$C$1800,الريسبي!$A$2:$A$1800,$A63,الريسبي!$B$2:$B$1800,BB$1)</f>
        <v>0</v>
      </c>
      <c r="BC63" s="117" t="n">
        <f aca="false">SUMIFS(الريسبي!$C$2:$C$1800,الريسبي!$A$2:$A$1800,$A63,الريسبي!$B$2:$B$1800,BC$1)</f>
        <v>0</v>
      </c>
      <c r="BD63" s="117" t="n">
        <f aca="false">SUMIFS(الريسبي!$C$2:$C$1800,الريسبي!$A$2:$A$1800,$A63,الريسبي!$B$2:$B$1800,BD$1)</f>
        <v>0</v>
      </c>
      <c r="BE63" s="117" t="n">
        <f aca="false">SUMIFS(الريسبي!$C$2:$C$1800,الريسبي!$A$2:$A$1800,$A63,الريسبي!$B$2:$B$1800,BE$1)</f>
        <v>0</v>
      </c>
      <c r="BF63" s="117" t="n">
        <f aca="false">SUMIFS(الريسبي!$C$2:$C$1800,الريسبي!$A$2:$A$1800,$A63,الريسبي!$B$2:$B$1800,BF$1)</f>
        <v>0</v>
      </c>
      <c r="BG63" s="117" t="n">
        <f aca="false">SUMIFS(الريسبي!$C$2:$C$1800,الريسبي!$A$2:$A$1800,$A63,الريسبي!$B$2:$B$1800,BG$1)</f>
        <v>0</v>
      </c>
      <c r="BH63" s="117" t="n">
        <f aca="false">SUMIFS(الريسبي!$C$2:$C$1800,الريسبي!$A$2:$A$1800,$A63,الريسبي!$B$2:$B$1800,BH$1)</f>
        <v>0</v>
      </c>
      <c r="BI63" s="117" t="n">
        <f aca="false">SUMIFS(الريسبي!$C$2:$C$1800,الريسبي!$A$2:$A$1800,$A63,الريسبي!$B$2:$B$1800,BI$1)</f>
        <v>0</v>
      </c>
      <c r="BJ63" s="117" t="n">
        <f aca="false">SUMIFS(الريسبي!$C$2:$C$1800,الريسبي!$A$2:$A$1800,$A63,الريسبي!$B$2:$B$1800,BJ$1)</f>
        <v>0</v>
      </c>
      <c r="BK63" s="117" t="n">
        <f aca="false">SUMIFS(الريسبي!$C$2:$C$1800,الريسبي!$A$2:$A$1800,$A63,الريسبي!$B$2:$B$1800,BK$1)</f>
        <v>0</v>
      </c>
      <c r="BL63" s="117" t="n">
        <f aca="false">SUMIFS(الريسبي!$C$2:$C$1800,الريسبي!$A$2:$A$1800,$A63,الريسبي!$B$2:$B$1800,BL$1)</f>
        <v>0</v>
      </c>
      <c r="BM63" s="117" t="n">
        <f aca="false">SUMIFS(الريسبي!$C$2:$C$1800,الريسبي!$A$2:$A$1800,$A63,الريسبي!$B$2:$B$1800,BM$1)</f>
        <v>0</v>
      </c>
      <c r="BN63" s="117" t="n">
        <f aca="false">SUMIFS(الريسبي!$C$2:$C$1800,الريسبي!$A$2:$A$1800,$A63,الريسبي!$B$2:$B$1800,BN$1)</f>
        <v>0</v>
      </c>
      <c r="BO63" s="117" t="n">
        <f aca="false">SUMIFS(الريسبي!$C$2:$C$1800,الريسبي!$A$2:$A$1800,$A63,الريسبي!$B$2:$B$1800,BO$1)</f>
        <v>0</v>
      </c>
      <c r="BP63" s="117" t="n">
        <f aca="false">SUMIFS(الريسبي!$C$2:$C$1800,الريسبي!$A$2:$A$1800,$A63,الريسبي!$B$2:$B$1800,BP$1)</f>
        <v>2</v>
      </c>
      <c r="BQ63" s="117" t="n">
        <f aca="false">SUMIFS(الريسبي!$C$2:$C$1800,الريسبي!$A$2:$A$1800,$A63,الريسبي!$B$2:$B$1800,BQ$1)+0.17*SUMIFS(الريسبي!$C$2:$C$1800,الريسبي!$A$2:$A$1800,$A63,الريسبي!$B$2:$B$1800,"كاسترد مصنع (خليط بودر + لبن)")+0.17*SUMIFS(الريسبي!$C$2:$C$1800,الريسبي!$A$2:$A$1800,$A63,الريسبي!$B$2:$B$1800,"كاسترد مصنع صيامي (بدون لبن)")</f>
        <v>0</v>
      </c>
      <c r="BR63" s="117" t="n">
        <f aca="false">SUMIFS(الريسبي!$C$2:$C$1800,الريسبي!$A$2:$A$1800,$A63,الريسبي!$B$2:$B$1800,BR$1)</f>
        <v>0</v>
      </c>
      <c r="BS63" s="117" t="n">
        <f aca="false">SUMIFS(الريسبي!$C$2:$C$1800,الريسبي!$A$2:$A$1800,$A63,الريسبي!$B$2:$B$1800,BS$1)</f>
        <v>0</v>
      </c>
      <c r="BT63" s="117" t="n">
        <f aca="false">SUMIFS(الريسبي!$C$2:$C$1800,الريسبي!$A$2:$A$1800,$A63,الريسبي!$B$2:$B$1800,BT$1)</f>
        <v>0</v>
      </c>
      <c r="BU63" s="117" t="n">
        <f aca="false">SUMIFS(الريسبي!$C$2:$C$1800,الريسبي!$A$2:$A$1800,$A63,الريسبي!$B$2:$B$1800,BU$1)+0.4*SUMIFS(الريسبي!$C$2:$C$1800,الريسبي!$A$2:$A$1800,$A63,الريسبي!$B$2:$B$1800,"كاسترد مصنع (خليط بودر + لبن)")+0.03333333333*SUMIFS(الريسبي!$C$2:$C$1800,الريسبي!$A$2:$A$1800,$A63,الريسبي!$B$2:$B$1800,"عجين كريب (مصنع بالمطعم)")</f>
        <v>0.05</v>
      </c>
      <c r="BV63" s="117" t="n">
        <f aca="false">SUMIFS(الريسبي!$C$2:$C$1800,الريسبي!$A$2:$A$1800,$A63,الريسبي!$B$2:$B$1800,BV$1)</f>
        <v>0</v>
      </c>
      <c r="BW63" s="117" t="n">
        <f aca="false">SUMIFS(الريسبي!$C$2:$C$1800,الريسبي!$A$2:$A$1800,$A63,الريسبي!$B$2:$B$1800,BW$1)</f>
        <v>0</v>
      </c>
      <c r="BX63" s="117" t="n">
        <f aca="false">SUMIFS(الريسبي!$C$2:$C$1800,الريسبي!$A$2:$A$1800,$A63,الريسبي!$B$2:$B$1800,BX$1)</f>
        <v>0</v>
      </c>
      <c r="BY63" s="117" t="n">
        <f aca="false">SUMIFS(الريسبي!$C$2:$C$1800,الريسبي!$A$2:$A$1800,$A63,الريسبي!$B$2:$B$1800,BY$1)</f>
        <v>0.15</v>
      </c>
      <c r="BZ63" s="117" t="n">
        <f aca="false">SUMIFS(الريسبي!$C$2:$C$1800,الريسبي!$A$2:$A$1800,$A63,الريسبي!$B$2:$B$1800,BZ$1)</f>
        <v>0</v>
      </c>
      <c r="CA63" s="117" t="n">
        <f aca="false">SUMIFS(الريسبي!$C$2:$C$1800,الريسبي!$A$2:$A$1800,$A63,الريسبي!$B$2:$B$1800,CA$1)</f>
        <v>0</v>
      </c>
      <c r="CB63" s="117" t="n">
        <f aca="false">SUMIFS(الريسبي!$C$2:$C$1800,الريسبي!$A$2:$A$1800,$A63,الريسبي!$B$2:$B$1800,CB$1)</f>
        <v>0</v>
      </c>
      <c r="CC63" s="117" t="n">
        <f aca="false">SUMIFS(الريسبي!$C$2:$C$1800,الريسبي!$A$2:$A$1800,$A63,الريسبي!$B$2:$B$1800,CC$1)</f>
        <v>1</v>
      </c>
      <c r="CD63" s="117" t="n">
        <f aca="false">SUMIFS(الريسبي!$C$2:$C$1800,الريسبي!$A$2:$A$1800,$A63,الريسبي!$B$2:$B$1800,CD$1)</f>
        <v>0</v>
      </c>
      <c r="CE63" s="117" t="n">
        <f aca="false">SUMIFS(الريسبي!$C$2:$C$1800,الريسبي!$A$2:$A$1800,$A63,الريسبي!$B$2:$B$1800,CE$1)</f>
        <v>0</v>
      </c>
      <c r="CF63" s="117" t="n">
        <f aca="false">SUMIFS(الريسبي!$C$2:$C$1800,الريسبي!$A$2:$A$1800,$A63,الريسبي!$B$2:$B$1800,CF$1)</f>
        <v>0</v>
      </c>
      <c r="CG63" s="117" t="n">
        <f aca="false">SUMIFS(الريسبي!$C$2:$C$1800,الريسبي!$A$2:$A$1800,$A63,الريسبي!$B$2:$B$1800,CG$1)</f>
        <v>0</v>
      </c>
      <c r="CH63" s="117" t="n">
        <f aca="false">SUMIFS(الريسبي!$C$2:$C$1800,الريسبي!$A$2:$A$1800,$A63,الريسبي!$B$2:$B$1800,CH$1)</f>
        <v>0</v>
      </c>
      <c r="CI63" s="117" t="n">
        <f aca="false">SUMIFS(الريسبي!$C$2:$C$1800,الريسبي!$A$2:$A$1800,$A63,الريسبي!$B$2:$B$1800,CI$1)</f>
        <v>0</v>
      </c>
      <c r="CJ63" s="117" t="n">
        <f aca="false">SUMIFS(الريسبي!$C$2:$C$1800,الريسبي!$A$2:$A$1800,$A63,الريسبي!$B$2:$B$1800,CJ$1)</f>
        <v>0</v>
      </c>
      <c r="CK63" s="117" t="n">
        <f aca="false">SUMIFS(الريسبي!$C$2:$C$1800,الريسبي!$A$2:$A$1800,$A63,الريسبي!$B$2:$B$1800,CK$1)</f>
        <v>0</v>
      </c>
      <c r="CL63" s="117" t="n">
        <f aca="false">SUMIFS(الريسبي!$C$2:$C$1800,الريسبي!$A$2:$A$1800,$A63,الريسبي!$B$2:$B$1800,CL$1)</f>
        <v>0</v>
      </c>
    </row>
    <row r="64" customFormat="false" ht="15" hidden="false" customHeight="false" outlineLevel="0" collapsed="false">
      <c r="A64" s="116" t="str">
        <f aca="false">المنيو!B64</f>
        <v>مكرونة صوص ابيض بسطرمة</v>
      </c>
      <c r="B64" s="117" t="n">
        <f aca="false">SUMIFS(الريسبي!$C$2:$C$1800,الريسبي!$A$2:$A$1800,$A64,الريسبي!$B$2:$B$1800,B$1)</f>
        <v>1</v>
      </c>
      <c r="C64" s="117" t="n">
        <f aca="false">SUMIFS(الريسبي!$C$2:$C$1800,الريسبي!$A$2:$A$1800,$A64,الريسبي!$B$2:$B$1800,C$1)</f>
        <v>0</v>
      </c>
      <c r="D64" s="117" t="n">
        <f aca="false">SUMIFS(الريسبي!$C$2:$C$1800,الريسبي!$A$2:$A$1800,$A64,الريسبي!$B$2:$B$1800,D$1)</f>
        <v>0</v>
      </c>
      <c r="E64" s="117" t="n">
        <f aca="false">SUMIFS(الريسبي!$C$2:$C$1800,الريسبي!$A$2:$A$1800,$A64,الريسبي!$B$2:$B$1800,E$1)</f>
        <v>1</v>
      </c>
      <c r="F64" s="117" t="n">
        <f aca="false">SUMIFS(الريسبي!$C$2:$C$1800,الريسبي!$A$2:$A$1800,$A64,الريسبي!$B$2:$B$1800,F$1)</f>
        <v>0</v>
      </c>
      <c r="G64" s="117" t="n">
        <f aca="false">SUMIFS(الريسبي!$C$2:$C$1800,الريسبي!$A$2:$A$1800,$A64,الريسبي!$B$2:$B$1800,G$1)</f>
        <v>1</v>
      </c>
      <c r="H64" s="117" t="n">
        <f aca="false">SUMIFS(الريسبي!$C$2:$C$1800,الريسبي!$A$2:$A$1800,$A64,الريسبي!$B$2:$B$1800,H$1)</f>
        <v>0</v>
      </c>
      <c r="I64" s="117" t="n">
        <f aca="false">SUMIFS(الريسبي!$C$2:$C$1800,الريسبي!$A$2:$A$1800,$A64,الريسبي!$B$2:$B$1800,I$1)</f>
        <v>0</v>
      </c>
      <c r="J64" s="117" t="n">
        <f aca="false">SUMIFS(الريسبي!$C$2:$C$1800,الريسبي!$A$2:$A$1800,$A64,الريسبي!$B$2:$B$1800,J$1)</f>
        <v>0</v>
      </c>
      <c r="K64" s="117" t="n">
        <f aca="false">SUMIFS(الريسبي!$C$2:$C$1800,الريسبي!$A$2:$A$1800,$A64,الريسبي!$B$2:$B$1800,K$1)</f>
        <v>0</v>
      </c>
      <c r="L64" s="117" t="n">
        <f aca="false">SUMIFS(الريسبي!$C$2:$C$1800,الريسبي!$A$2:$A$1800,$A64,الريسبي!$B$2:$B$1800,L$1)</f>
        <v>0</v>
      </c>
      <c r="M64" s="117" t="n">
        <f aca="false">SUMIFS(الريسبي!$C$2:$C$1800,الريسبي!$A$2:$A$1800,$A64,الريسبي!$B$2:$B$1800,M$1)</f>
        <v>0</v>
      </c>
      <c r="N64" s="117" t="n">
        <f aca="false">SUMIFS(الريسبي!$C$2:$C$1800,الريسبي!$A$2:$A$1800,$A64,الريسبي!$B$2:$B$1800,N$1)</f>
        <v>0</v>
      </c>
      <c r="O64" s="117" t="n">
        <f aca="false">SUMIFS(الريسبي!$C$2:$C$1800,الريسبي!$A$2:$A$1800,$A64,الريسبي!$B$2:$B$1800,O$1)</f>
        <v>0</v>
      </c>
      <c r="P64" s="117" t="n">
        <f aca="false">SUMIFS(الريسبي!$C$2:$C$1800,الريسبي!$A$2:$A$1800,$A64,الريسبي!$B$2:$B$1800,P$1)</f>
        <v>0</v>
      </c>
      <c r="Q64" s="117" t="n">
        <f aca="false">SUMIFS(الريسبي!$C$2:$C$1800,الريسبي!$A$2:$A$1800,$A64,الريسبي!$B$2:$B$1800,Q$1)</f>
        <v>0</v>
      </c>
      <c r="R64" s="117" t="n">
        <f aca="false">SUMIFS(الريسبي!$C$2:$C$1800,الريسبي!$A$2:$A$1800,$A64,الريسبي!$B$2:$B$1800,R$1)</f>
        <v>0</v>
      </c>
      <c r="S64" s="117" t="n">
        <f aca="false">SUMIFS(الريسبي!$C$2:$C$1800,الريسبي!$A$2:$A$1800,$A64,الريسبي!$B$2:$B$1800,S$1)</f>
        <v>0</v>
      </c>
      <c r="T64" s="117" t="n">
        <f aca="false">SUMIFS(الريسبي!$C$2:$C$1800,الريسبي!$A$2:$A$1800,$A64,الريسبي!$B$2:$B$1800,T$1)</f>
        <v>0</v>
      </c>
      <c r="U64" s="117" t="n">
        <f aca="false">SUMIFS(الريسبي!$C$2:$C$1800,الريسبي!$A$2:$A$1800,$A64,الريسبي!$B$2:$B$1800,U$1)</f>
        <v>0</v>
      </c>
      <c r="V64" s="117" t="n">
        <f aca="false">SUMIFS(الريسبي!$C$2:$C$1800,الريسبي!$A$2:$A$1800,$A64,الريسبي!$B$2:$B$1800,V$1)+1.5*(SUMIFS(الريسبي!$C$2:$C$1800,الريسبي!$A$2:$A$1800,$A64,الريسبي!$B$2:$B$1800,"برسيون موتزريلا بيتزا كبير"))</f>
        <v>1</v>
      </c>
      <c r="W64" s="117" t="n">
        <f aca="false">0</f>
        <v>0</v>
      </c>
      <c r="X64" s="117" t="n">
        <f aca="false">SUMIFS(الريسبي!$C$2:$C$1800,الريسبي!$A$2:$A$1800,$A64,الريسبي!$B$2:$B$1800,X$1)+1.5*(SUMIFS(الريسبي!$C$2:$C$1800,الريسبي!$A$2:$A$1800,$A64,الريسبي!$B$2:$B$1800,"برسيون موتزريلا فطير كبير"))</f>
        <v>0</v>
      </c>
      <c r="Y64" s="117" t="n">
        <f aca="false">0</f>
        <v>0</v>
      </c>
      <c r="Z64" s="117" t="n">
        <f aca="false">SUMIFS(الريسبي!$C$2:$C$1800,الريسبي!$A$2:$A$1800,$A64,الريسبي!$B$2:$B$1800,Z$1)</f>
        <v>0</v>
      </c>
      <c r="AA64" s="117" t="n">
        <f aca="false">SUMIFS(الريسبي!$C$2:$C$1800,الريسبي!$A$2:$A$1800,$A64,الريسبي!$B$2:$B$1800,AA$1)</f>
        <v>0</v>
      </c>
      <c r="AB64" s="117" t="n">
        <f aca="false">SUMIFS(الريسبي!$C$2:$C$1800,الريسبي!$A$2:$A$1800,$A64,الريسبي!$B$2:$B$1800,AB$1)</f>
        <v>0</v>
      </c>
      <c r="AC64" s="117" t="n">
        <f aca="false">SUMIFS(الريسبي!$C$2:$C$1800,الريسبي!$A$2:$A$1800,$A64,الريسبي!$B$2:$B$1800,AC$1)</f>
        <v>0.2</v>
      </c>
      <c r="AD64" s="117" t="n">
        <f aca="false">SUMIFS(الريسبي!$C$2:$C$1800,الريسبي!$A$2:$A$1800,$A64,الريسبي!$B$2:$B$1800,AD$1)</f>
        <v>0</v>
      </c>
      <c r="AE64" s="117" t="n">
        <f aca="false">SUMIFS(الريسبي!$C$2:$C$1800,الريسبي!$A$2:$A$1800,$A64,الريسبي!$B$2:$B$1800,AE$1)</f>
        <v>0</v>
      </c>
      <c r="AF64" s="117" t="n">
        <f aca="false">SUMIFS(الريسبي!$C$2:$C$1800,الريسبي!$A$2:$A$1800,$A64,الريسبي!$B$2:$B$1800,AF$1)</f>
        <v>0</v>
      </c>
      <c r="AG64" s="117" t="n">
        <f aca="false">SUMIFS(الريسبي!$C$2:$C$1800,الريسبي!$A$2:$A$1800,$A64,الريسبي!$B$2:$B$1800,AG$1)</f>
        <v>0</v>
      </c>
      <c r="AH64" s="117" t="n">
        <f aca="false">SUMIFS(الريسبي!$C$2:$C$1800,الريسبي!$A$2:$A$1800,$A64,الريسبي!$B$2:$B$1800,AH$1)</f>
        <v>0</v>
      </c>
      <c r="AI64" s="117" t="n">
        <f aca="false">SUMIFS(الريسبي!$C$2:$C$1800,الريسبي!$A$2:$A$1800,$A64,الريسبي!$B$2:$B$1800,AI$1)</f>
        <v>0</v>
      </c>
      <c r="AJ64" s="117" t="n">
        <f aca="false">SUMIFS(الريسبي!$C$2:$C$1800,الريسبي!$A$2:$A$1800,$A64,الريسبي!$B$2:$B$1800,AJ$1)</f>
        <v>2</v>
      </c>
      <c r="AK64" s="117" t="n">
        <f aca="false">SUMIFS(الريسبي!$C$2:$C$1800,الريسبي!$A$2:$A$1800,$A64,الريسبي!$B$2:$B$1800,AK$1)</f>
        <v>0</v>
      </c>
      <c r="AL64" s="117" t="n">
        <f aca="false">SUMIFS(الريسبي!$C$2:$C$1800,الريسبي!$A$2:$A$1800,$A64,الريسبي!$B$2:$B$1800,AL$1)</f>
        <v>0</v>
      </c>
      <c r="AM64" s="117" t="n">
        <f aca="false">SUMIFS(الريسبي!$C$2:$C$1800,الريسبي!$A$2:$A$1800,$A64,الريسبي!$B$2:$B$1800,AM$1)+0.08333333333*SUMIFS(الريسبي!$C$2:$C$1800,الريسبي!$A$2:$A$1800,$A64,الريسبي!$B$2:$B$1800,"عجين كريب (مصنع بالمطعم)")+0.08333333333*SUMIFS(الريسبي!$C$2:$C$1800,الريسبي!$A$2:$A$1800,$A64,الريسبي!$B$2:$B$1800,"عجين كريب صيامي (بدون لبن)")</f>
        <v>0</v>
      </c>
      <c r="AN64" s="117" t="n">
        <f aca="false">SUMIFS(الريسبي!$C$2:$C$1800,الريسبي!$A$2:$A$1800,$A64,الريسبي!$B$2:$B$1800,AN$1)+0.004166666667*SUMIFS(الريسبي!$C$2:$C$1800,الريسبي!$A$2:$A$1800,$A64,الريسبي!$B$2:$B$1800,"عجين كريب (مصنع بالمطعم)")+0.004166666667*SUMIFS(الريسبي!$C$2:$C$1800,الريسبي!$A$2:$A$1800,$A64,الريسبي!$B$2:$B$1800,"عجين كريب صيامي (بدون لبن)")</f>
        <v>0.01</v>
      </c>
      <c r="AO64" s="117" t="n">
        <f aca="false">SUMIFS(الريسبي!$C$2:$C$1800,الريسبي!$A$2:$A$1800,$A64,الريسبي!$B$2:$B$1800,AO$1)</f>
        <v>0</v>
      </c>
      <c r="AP64" s="117" t="n">
        <f aca="false">SUMIFS(الريسبي!$C$2:$C$1800,الريسبي!$A$2:$A$1800,$A64,الريسبي!$B$2:$B$1800,AP$1)</f>
        <v>0</v>
      </c>
      <c r="AQ64" s="117" t="n">
        <f aca="false">SUMIFS(الريسبي!$C$2:$C$1800,الريسبي!$A$2:$A$1800,$A64,الريسبي!$B$2:$B$1800,AQ$1)+0.004166666667*SUMIFS(الريسبي!$C$2:$C$1800,الريسبي!$A$2:$A$1800,$A64,الريسبي!$B$2:$B$1800,"عجين كريب (مصنع بالمطعم)")+0.004166666667*SUMIFS(الريسبي!$C$2:$C$1800,الريسبي!$A$2:$A$1800,$A64,الريسبي!$B$2:$B$1800,"عجين كريب صيامي (بدون لبن)")</f>
        <v>0</v>
      </c>
      <c r="AR64" s="117" t="n">
        <f aca="false">SUMIFS(الريسبي!$C$2:$C$1800,الريسبي!$A$2:$A$1800,$A64,الريسبي!$B$2:$B$1800,AR$1)</f>
        <v>0</v>
      </c>
      <c r="AS64" s="117" t="n">
        <f aca="false">SUMIFS(الريسبي!$C$2:$C$1800,الريسبي!$A$2:$A$1800,$A64,الريسبي!$B$2:$B$1800,AS$1)</f>
        <v>0</v>
      </c>
      <c r="AT64" s="117" t="n">
        <f aca="false">SUMIFS(الريسبي!$C$2:$C$1800,الريسبي!$A$2:$A$1800,$A64,الريسبي!$B$2:$B$1800,AT$1)</f>
        <v>0</v>
      </c>
      <c r="AU64" s="117" t="n">
        <f aca="false">SUMIFS(الريسبي!$C$2:$C$1800,الريسبي!$A$2:$A$1800,$A64,الريسبي!$B$2:$B$1800,AU$1)</f>
        <v>1</v>
      </c>
      <c r="AV64" s="117" t="n">
        <f aca="false">SUMIFS(الريسبي!$C$2:$C$1800,الريسبي!$A$2:$A$1800,$A64,الريسبي!$B$2:$B$1800,AV$1)</f>
        <v>0</v>
      </c>
      <c r="AW64" s="117" t="n">
        <f aca="false">SUMIFS(الريسبي!$C$2:$C$1800,الريسبي!$A$2:$A$1800,$A64,الريسبي!$B$2:$B$1800,AW$1)</f>
        <v>0</v>
      </c>
      <c r="AX64" s="117" t="n">
        <f aca="false">SUMIFS(الريسبي!$C$2:$C$1800,الريسبي!$A$2:$A$1800,$A64,الريسبي!$B$2:$B$1800,AX$1)</f>
        <v>0</v>
      </c>
      <c r="AY64" s="117" t="n">
        <f aca="false">SUMIFS(الريسبي!$C$2:$C$1800,الريسبي!$A$2:$A$1800,$A64,الريسبي!$B$2:$B$1800,AY$1)</f>
        <v>0</v>
      </c>
      <c r="AZ64" s="117" t="n">
        <f aca="false">SUMIFS(الريسبي!$C$2:$C$1800,الريسبي!$A$2:$A$1800,$A64,الريسبي!$B$2:$B$1800,AZ$1)</f>
        <v>0</v>
      </c>
      <c r="BA64" s="117" t="n">
        <f aca="false">SUMIFS(الريسبي!$C$2:$C$1800,الريسبي!$A$2:$A$1800,$A64,الريسبي!$B$2:$B$1800,BA$1)</f>
        <v>0</v>
      </c>
      <c r="BB64" s="117" t="n">
        <f aca="false">SUMIFS(الريسبي!$C$2:$C$1800,الريسبي!$A$2:$A$1800,$A64,الريسبي!$B$2:$B$1800,BB$1)</f>
        <v>0</v>
      </c>
      <c r="BC64" s="117" t="n">
        <f aca="false">SUMIFS(الريسبي!$C$2:$C$1800,الريسبي!$A$2:$A$1800,$A64,الريسبي!$B$2:$B$1800,BC$1)</f>
        <v>0</v>
      </c>
      <c r="BD64" s="117" t="n">
        <f aca="false">SUMIFS(الريسبي!$C$2:$C$1800,الريسبي!$A$2:$A$1800,$A64,الريسبي!$B$2:$B$1800,BD$1)</f>
        <v>0</v>
      </c>
      <c r="BE64" s="117" t="n">
        <f aca="false">SUMIFS(الريسبي!$C$2:$C$1800,الريسبي!$A$2:$A$1800,$A64,الريسبي!$B$2:$B$1800,BE$1)</f>
        <v>0</v>
      </c>
      <c r="BF64" s="117" t="n">
        <f aca="false">SUMIFS(الريسبي!$C$2:$C$1800,الريسبي!$A$2:$A$1800,$A64,الريسبي!$B$2:$B$1800,BF$1)</f>
        <v>0</v>
      </c>
      <c r="BG64" s="117" t="n">
        <f aca="false">SUMIFS(الريسبي!$C$2:$C$1800,الريسبي!$A$2:$A$1800,$A64,الريسبي!$B$2:$B$1800,BG$1)</f>
        <v>0</v>
      </c>
      <c r="BH64" s="117" t="n">
        <f aca="false">SUMIFS(الريسبي!$C$2:$C$1800,الريسبي!$A$2:$A$1800,$A64,الريسبي!$B$2:$B$1800,BH$1)</f>
        <v>0</v>
      </c>
      <c r="BI64" s="117" t="n">
        <f aca="false">SUMIFS(الريسبي!$C$2:$C$1800,الريسبي!$A$2:$A$1800,$A64,الريسبي!$B$2:$B$1800,BI$1)</f>
        <v>0</v>
      </c>
      <c r="BJ64" s="117" t="n">
        <f aca="false">SUMIFS(الريسبي!$C$2:$C$1800,الريسبي!$A$2:$A$1800,$A64,الريسبي!$B$2:$B$1800,BJ$1)</f>
        <v>0</v>
      </c>
      <c r="BK64" s="117" t="n">
        <f aca="false">SUMIFS(الريسبي!$C$2:$C$1800,الريسبي!$A$2:$A$1800,$A64,الريسبي!$B$2:$B$1800,BK$1)</f>
        <v>0</v>
      </c>
      <c r="BL64" s="117" t="n">
        <f aca="false">SUMIFS(الريسبي!$C$2:$C$1800,الريسبي!$A$2:$A$1800,$A64,الريسبي!$B$2:$B$1800,BL$1)</f>
        <v>0</v>
      </c>
      <c r="BM64" s="117" t="n">
        <f aca="false">SUMIFS(الريسبي!$C$2:$C$1800,الريسبي!$A$2:$A$1800,$A64,الريسبي!$B$2:$B$1800,BM$1)</f>
        <v>0</v>
      </c>
      <c r="BN64" s="117" t="n">
        <f aca="false">SUMIFS(الريسبي!$C$2:$C$1800,الريسبي!$A$2:$A$1800,$A64,الريسبي!$B$2:$B$1800,BN$1)</f>
        <v>0</v>
      </c>
      <c r="BO64" s="117" t="n">
        <f aca="false">SUMIFS(الريسبي!$C$2:$C$1800,الريسبي!$A$2:$A$1800,$A64,الريسبي!$B$2:$B$1800,BO$1)</f>
        <v>0</v>
      </c>
      <c r="BP64" s="117" t="n">
        <f aca="false">SUMIFS(الريسبي!$C$2:$C$1800,الريسبي!$A$2:$A$1800,$A64,الريسبي!$B$2:$B$1800,BP$1)</f>
        <v>2</v>
      </c>
      <c r="BQ64" s="117" t="n">
        <f aca="false">SUMIFS(الريسبي!$C$2:$C$1800,الريسبي!$A$2:$A$1800,$A64,الريسبي!$B$2:$B$1800,BQ$1)+0.17*SUMIFS(الريسبي!$C$2:$C$1800,الريسبي!$A$2:$A$1800,$A64,الريسبي!$B$2:$B$1800,"كاسترد مصنع (خليط بودر + لبن)")+0.17*SUMIFS(الريسبي!$C$2:$C$1800,الريسبي!$A$2:$A$1800,$A64,الريسبي!$B$2:$B$1800,"كاسترد مصنع صيامي (بدون لبن)")</f>
        <v>0</v>
      </c>
      <c r="BR64" s="117" t="n">
        <f aca="false">SUMIFS(الريسبي!$C$2:$C$1800,الريسبي!$A$2:$A$1800,$A64,الريسبي!$B$2:$B$1800,BR$1)</f>
        <v>0</v>
      </c>
      <c r="BS64" s="117" t="n">
        <f aca="false">SUMIFS(الريسبي!$C$2:$C$1800,الريسبي!$A$2:$A$1800,$A64,الريسبي!$B$2:$B$1800,BS$1)</f>
        <v>0</v>
      </c>
      <c r="BT64" s="117" t="n">
        <f aca="false">SUMIFS(الريسبي!$C$2:$C$1800,الريسبي!$A$2:$A$1800,$A64,الريسبي!$B$2:$B$1800,BT$1)</f>
        <v>0</v>
      </c>
      <c r="BU64" s="117" t="n">
        <f aca="false">SUMIFS(الريسبي!$C$2:$C$1800,الريسبي!$A$2:$A$1800,$A64,الريسبي!$B$2:$B$1800,BU$1)+0.4*SUMIFS(الريسبي!$C$2:$C$1800,الريسبي!$A$2:$A$1800,$A64,الريسبي!$B$2:$B$1800,"كاسترد مصنع (خليط بودر + لبن)")+0.03333333333*SUMIFS(الريسبي!$C$2:$C$1800,الريسبي!$A$2:$A$1800,$A64,الريسبي!$B$2:$B$1800,"عجين كريب (مصنع بالمطعم)")</f>
        <v>0.05</v>
      </c>
      <c r="BV64" s="117" t="n">
        <f aca="false">SUMIFS(الريسبي!$C$2:$C$1800,الريسبي!$A$2:$A$1800,$A64,الريسبي!$B$2:$B$1800,BV$1)</f>
        <v>0</v>
      </c>
      <c r="BW64" s="117" t="n">
        <f aca="false">SUMIFS(الريسبي!$C$2:$C$1800,الريسبي!$A$2:$A$1800,$A64,الريسبي!$B$2:$B$1800,BW$1)</f>
        <v>0</v>
      </c>
      <c r="BX64" s="117" t="n">
        <f aca="false">SUMIFS(الريسبي!$C$2:$C$1800,الريسبي!$A$2:$A$1800,$A64,الريسبي!$B$2:$B$1800,BX$1)</f>
        <v>0</v>
      </c>
      <c r="BY64" s="117" t="n">
        <f aca="false">SUMIFS(الريسبي!$C$2:$C$1800,الريسبي!$A$2:$A$1800,$A64,الريسبي!$B$2:$B$1800,BY$1)</f>
        <v>0.15</v>
      </c>
      <c r="BZ64" s="117" t="n">
        <f aca="false">SUMIFS(الريسبي!$C$2:$C$1800,الريسبي!$A$2:$A$1800,$A64,الريسبي!$B$2:$B$1800,BZ$1)</f>
        <v>0</v>
      </c>
      <c r="CA64" s="117" t="n">
        <f aca="false">SUMIFS(الريسبي!$C$2:$C$1800,الريسبي!$A$2:$A$1800,$A64,الريسبي!$B$2:$B$1800,CA$1)</f>
        <v>0</v>
      </c>
      <c r="CB64" s="117" t="n">
        <f aca="false">SUMIFS(الريسبي!$C$2:$C$1800,الريسبي!$A$2:$A$1800,$A64,الريسبي!$B$2:$B$1800,CB$1)</f>
        <v>0</v>
      </c>
      <c r="CC64" s="117" t="n">
        <f aca="false">SUMIFS(الريسبي!$C$2:$C$1800,الريسبي!$A$2:$A$1800,$A64,الريسبي!$B$2:$B$1800,CC$1)</f>
        <v>1</v>
      </c>
      <c r="CD64" s="117" t="n">
        <f aca="false">SUMIFS(الريسبي!$C$2:$C$1800,الريسبي!$A$2:$A$1800,$A64,الريسبي!$B$2:$B$1800,CD$1)</f>
        <v>0</v>
      </c>
      <c r="CE64" s="117" t="n">
        <f aca="false">SUMIFS(الريسبي!$C$2:$C$1800,الريسبي!$A$2:$A$1800,$A64,الريسبي!$B$2:$B$1800,CE$1)</f>
        <v>0</v>
      </c>
      <c r="CF64" s="117" t="n">
        <f aca="false">SUMIFS(الريسبي!$C$2:$C$1800,الريسبي!$A$2:$A$1800,$A64,الريسبي!$B$2:$B$1800,CF$1)</f>
        <v>0</v>
      </c>
      <c r="CG64" s="117" t="n">
        <f aca="false">SUMIFS(الريسبي!$C$2:$C$1800,الريسبي!$A$2:$A$1800,$A64,الريسبي!$B$2:$B$1800,CG$1)</f>
        <v>0</v>
      </c>
      <c r="CH64" s="117" t="n">
        <f aca="false">SUMIFS(الريسبي!$C$2:$C$1800,الريسبي!$A$2:$A$1800,$A64,الريسبي!$B$2:$B$1800,CH$1)</f>
        <v>0</v>
      </c>
      <c r="CI64" s="117" t="n">
        <f aca="false">SUMIFS(الريسبي!$C$2:$C$1800,الريسبي!$A$2:$A$1800,$A64,الريسبي!$B$2:$B$1800,CI$1)</f>
        <v>0</v>
      </c>
      <c r="CJ64" s="117" t="n">
        <f aca="false">SUMIFS(الريسبي!$C$2:$C$1800,الريسبي!$A$2:$A$1800,$A64,الريسبي!$B$2:$B$1800,CJ$1)</f>
        <v>0</v>
      </c>
      <c r="CK64" s="117" t="n">
        <f aca="false">SUMIFS(الريسبي!$C$2:$C$1800,الريسبي!$A$2:$A$1800,$A64,الريسبي!$B$2:$B$1800,CK$1)</f>
        <v>0</v>
      </c>
      <c r="CL64" s="117" t="n">
        <f aca="false">SUMIFS(الريسبي!$C$2:$C$1800,الريسبي!$A$2:$A$1800,$A64,الريسبي!$B$2:$B$1800,CL$1)</f>
        <v>0</v>
      </c>
    </row>
    <row r="65" customFormat="false" ht="15" hidden="false" customHeight="false" outlineLevel="0" collapsed="false">
      <c r="A65" s="116" t="str">
        <f aca="false">المنيو!B65</f>
        <v>كريب فراخ كريسبي شيدر</v>
      </c>
      <c r="B65" s="117" t="n">
        <f aca="false">SUMIFS(الريسبي!$C$2:$C$1800,الريسبي!$A$2:$A$1800,$A65,الريسبي!$B$2:$B$1800,B$1)</f>
        <v>0</v>
      </c>
      <c r="C65" s="117" t="n">
        <f aca="false">SUMIFS(الريسبي!$C$2:$C$1800,الريسبي!$A$2:$A$1800,$A65,الريسبي!$B$2:$B$1800,C$1)</f>
        <v>0</v>
      </c>
      <c r="D65" s="117" t="n">
        <f aca="false">SUMIFS(الريسبي!$C$2:$C$1800,الريسبي!$A$2:$A$1800,$A65,الريسبي!$B$2:$B$1800,D$1)</f>
        <v>0</v>
      </c>
      <c r="E65" s="117" t="n">
        <f aca="false">SUMIFS(الريسبي!$C$2:$C$1800,الريسبي!$A$2:$A$1800,$A65,الريسبي!$B$2:$B$1800,E$1)</f>
        <v>0</v>
      </c>
      <c r="F65" s="117" t="n">
        <f aca="false">SUMIFS(الريسبي!$C$2:$C$1800,الريسبي!$A$2:$A$1800,$A65,الريسبي!$B$2:$B$1800,F$1)</f>
        <v>0</v>
      </c>
      <c r="G65" s="117" t="n">
        <f aca="false">SUMIFS(الريسبي!$C$2:$C$1800,الريسبي!$A$2:$A$1800,$A65,الريسبي!$B$2:$B$1800,G$1)</f>
        <v>0</v>
      </c>
      <c r="H65" s="117" t="n">
        <f aca="false">SUMIFS(الريسبي!$C$2:$C$1800,الريسبي!$A$2:$A$1800,$A65,الريسبي!$B$2:$B$1800,H$1)</f>
        <v>0</v>
      </c>
      <c r="I65" s="117" t="n">
        <f aca="false">SUMIFS(الريسبي!$C$2:$C$1800,الريسبي!$A$2:$A$1800,$A65,الريسبي!$B$2:$B$1800,I$1)</f>
        <v>0</v>
      </c>
      <c r="J65" s="117" t="n">
        <f aca="false">SUMIFS(الريسبي!$C$2:$C$1800,الريسبي!$A$2:$A$1800,$A65,الريسبي!$B$2:$B$1800,J$1)</f>
        <v>0</v>
      </c>
      <c r="K65" s="117" t="n">
        <f aca="false">SUMIFS(الريسبي!$C$2:$C$1800,الريسبي!$A$2:$A$1800,$A65,الريسبي!$B$2:$B$1800,K$1)</f>
        <v>0</v>
      </c>
      <c r="L65" s="117" t="n">
        <f aca="false">SUMIFS(الريسبي!$C$2:$C$1800,الريسبي!$A$2:$A$1800,$A65,الريسبي!$B$2:$B$1800,L$1)</f>
        <v>0</v>
      </c>
      <c r="M65" s="117" t="n">
        <f aca="false">SUMIFS(الريسبي!$C$2:$C$1800,الريسبي!$A$2:$A$1800,$A65,الريسبي!$B$2:$B$1800,M$1)</f>
        <v>0</v>
      </c>
      <c r="N65" s="117" t="n">
        <f aca="false">SUMIFS(الريسبي!$C$2:$C$1800,الريسبي!$A$2:$A$1800,$A65,الريسبي!$B$2:$B$1800,N$1)</f>
        <v>0</v>
      </c>
      <c r="O65" s="117" t="n">
        <f aca="false">SUMIFS(الريسبي!$C$2:$C$1800,الريسبي!$A$2:$A$1800,$A65,الريسبي!$B$2:$B$1800,O$1)</f>
        <v>0</v>
      </c>
      <c r="P65" s="117" t="n">
        <f aca="false">SUMIFS(الريسبي!$C$2:$C$1800,الريسبي!$A$2:$A$1800,$A65,الريسبي!$B$2:$B$1800,P$1)</f>
        <v>0</v>
      </c>
      <c r="Q65" s="117" t="n">
        <f aca="false">SUMIFS(الريسبي!$C$2:$C$1800,الريسبي!$A$2:$A$1800,$A65,الريسبي!$B$2:$B$1800,Q$1)</f>
        <v>1</v>
      </c>
      <c r="R65" s="117" t="n">
        <f aca="false">SUMIFS(الريسبي!$C$2:$C$1800,الريسبي!$A$2:$A$1800,$A65,الريسبي!$B$2:$B$1800,R$1)</f>
        <v>0</v>
      </c>
      <c r="S65" s="117" t="n">
        <f aca="false">SUMIFS(الريسبي!$C$2:$C$1800,الريسبي!$A$2:$A$1800,$A65,الريسبي!$B$2:$B$1800,S$1)</f>
        <v>0</v>
      </c>
      <c r="T65" s="117" t="n">
        <f aca="false">SUMIFS(الريسبي!$C$2:$C$1800,الريسبي!$A$2:$A$1800,$A65,الريسبي!$B$2:$B$1800,T$1)</f>
        <v>0</v>
      </c>
      <c r="U65" s="117" t="n">
        <f aca="false">SUMIFS(الريسبي!$C$2:$C$1800,الريسبي!$A$2:$A$1800,$A65,الريسبي!$B$2:$B$1800,U$1)</f>
        <v>0</v>
      </c>
      <c r="V65" s="117" t="n">
        <f aca="false">SUMIFS(الريسبي!$C$2:$C$1800,الريسبي!$A$2:$A$1800,$A65,الريسبي!$B$2:$B$1800,V$1)+1.5*(SUMIFS(الريسبي!$C$2:$C$1800,الريسبي!$A$2:$A$1800,$A65,الريسبي!$B$2:$B$1800,"برسيون موتزريلا بيتزا كبير"))</f>
        <v>0</v>
      </c>
      <c r="W65" s="117" t="n">
        <f aca="false">0</f>
        <v>0</v>
      </c>
      <c r="X65" s="117" t="n">
        <f aca="false">SUMIFS(الريسبي!$C$2:$C$1800,الريسبي!$A$2:$A$1800,$A65,الريسبي!$B$2:$B$1800,X$1)+1.5*(SUMIFS(الريسبي!$C$2:$C$1800,الريسبي!$A$2:$A$1800,$A65,الريسبي!$B$2:$B$1800,"برسيون موتزريلا فطير كبير"))</f>
        <v>1</v>
      </c>
      <c r="Y65" s="117" t="n">
        <f aca="false">0</f>
        <v>0</v>
      </c>
      <c r="Z65" s="117" t="n">
        <f aca="false">SUMIFS(الريسبي!$C$2:$C$1800,الريسبي!$A$2:$A$1800,$A65,الريسبي!$B$2:$B$1800,Z$1)</f>
        <v>0</v>
      </c>
      <c r="AA65" s="117" t="n">
        <f aca="false">SUMIFS(الريسبي!$C$2:$C$1800,الريسبي!$A$2:$A$1800,$A65,الريسبي!$B$2:$B$1800,AA$1)</f>
        <v>0</v>
      </c>
      <c r="AB65" s="117" t="n">
        <f aca="false">SUMIFS(الريسبي!$C$2:$C$1800,الريسبي!$A$2:$A$1800,$A65,الريسبي!$B$2:$B$1800,AB$1)</f>
        <v>0</v>
      </c>
      <c r="AC65" s="117" t="n">
        <f aca="false">SUMIFS(الريسبي!$C$2:$C$1800,الريسبي!$A$2:$A$1800,$A65,الريسبي!$B$2:$B$1800,AC$1)</f>
        <v>0</v>
      </c>
      <c r="AD65" s="117" t="n">
        <f aca="false">SUMIFS(الريسبي!$C$2:$C$1800,الريسبي!$A$2:$A$1800,$A65,الريسبي!$B$2:$B$1800,AD$1)</f>
        <v>0</v>
      </c>
      <c r="AE65" s="117" t="n">
        <f aca="false">SUMIFS(الريسبي!$C$2:$C$1800,الريسبي!$A$2:$A$1800,$A65,الريسبي!$B$2:$B$1800,AE$1)</f>
        <v>0</v>
      </c>
      <c r="AF65" s="117" t="n">
        <f aca="false">SUMIFS(الريسبي!$C$2:$C$1800,الريسبي!$A$2:$A$1800,$A65,الريسبي!$B$2:$B$1800,AF$1)</f>
        <v>0</v>
      </c>
      <c r="AG65" s="117" t="n">
        <f aca="false">SUMIFS(الريسبي!$C$2:$C$1800,الريسبي!$A$2:$A$1800,$A65,الريسبي!$B$2:$B$1800,AG$1)</f>
        <v>0</v>
      </c>
      <c r="AH65" s="117" t="n">
        <f aca="false">SUMIFS(الريسبي!$C$2:$C$1800,الريسبي!$A$2:$A$1800,$A65,الريسبي!$B$2:$B$1800,AH$1)</f>
        <v>0</v>
      </c>
      <c r="AI65" s="117" t="n">
        <f aca="false">SUMIFS(الريسبي!$C$2:$C$1800,الريسبي!$A$2:$A$1800,$A65,الريسبي!$B$2:$B$1800,AI$1)</f>
        <v>0</v>
      </c>
      <c r="AJ65" s="117" t="n">
        <f aca="false">SUMIFS(الريسبي!$C$2:$C$1800,الريسبي!$A$2:$A$1800,$A65,الريسبي!$B$2:$B$1800,AJ$1)</f>
        <v>0</v>
      </c>
      <c r="AK65" s="117" t="n">
        <f aca="false">SUMIFS(الريسبي!$C$2:$C$1800,الريسبي!$A$2:$A$1800,$A65,الريسبي!$B$2:$B$1800,AK$1)</f>
        <v>0</v>
      </c>
      <c r="AL65" s="117" t="n">
        <f aca="false">SUMIFS(الريسبي!$C$2:$C$1800,الريسبي!$A$2:$A$1800,$A65,الريسبي!$B$2:$B$1800,AL$1)</f>
        <v>0</v>
      </c>
      <c r="AM65" s="117" t="n">
        <f aca="false">SUMIFS(الريسبي!$C$2:$C$1800,الريسبي!$A$2:$A$1800,$A65,الريسبي!$B$2:$B$1800,AM$1)+0.08333333333*SUMIFS(الريسبي!$C$2:$C$1800,الريسبي!$A$2:$A$1800,$A65,الريسبي!$B$2:$B$1800,"عجين كريب (مصنع بالمطعم)")+0.08333333333*SUMIFS(الريسبي!$C$2:$C$1800,الريسبي!$A$2:$A$1800,$A65,الريسبي!$B$2:$B$1800,"عجين كريب صيامي (بدون لبن)")</f>
        <v>0.08333333333</v>
      </c>
      <c r="AN65" s="117" t="n">
        <f aca="false">SUMIFS(الريسبي!$C$2:$C$1800,الريسبي!$A$2:$A$1800,$A65,الريسبي!$B$2:$B$1800,AN$1)+0.004166666667*SUMIFS(الريسبي!$C$2:$C$1800,الريسبي!$A$2:$A$1800,$A65,الريسبي!$B$2:$B$1800,"عجين كريب (مصنع بالمطعم)")+0.004166666667*SUMIFS(الريسبي!$C$2:$C$1800,الريسبي!$A$2:$A$1800,$A65,الريسبي!$B$2:$B$1800,"عجين كريب صيامي (بدون لبن)")</f>
        <v>0.004166666667</v>
      </c>
      <c r="AO65" s="117" t="n">
        <f aca="false">SUMIFS(الريسبي!$C$2:$C$1800,الريسبي!$A$2:$A$1800,$A65,الريسبي!$B$2:$B$1800,AO$1)</f>
        <v>0</v>
      </c>
      <c r="AP65" s="117" t="n">
        <f aca="false">SUMIFS(الريسبي!$C$2:$C$1800,الريسبي!$A$2:$A$1800,$A65,الريسبي!$B$2:$B$1800,AP$1)</f>
        <v>0.02</v>
      </c>
      <c r="AQ65" s="117" t="n">
        <f aca="false">SUMIFS(الريسبي!$C$2:$C$1800,الريسبي!$A$2:$A$1800,$A65,الريسبي!$B$2:$B$1800,AQ$1)+0.004166666667*SUMIFS(الريسبي!$C$2:$C$1800,الريسبي!$A$2:$A$1800,$A65,الريسبي!$B$2:$B$1800,"عجين كريب (مصنع بالمطعم)")+0.004166666667*SUMIFS(الريسبي!$C$2:$C$1800,الريسبي!$A$2:$A$1800,$A65,الريسبي!$B$2:$B$1800,"عجين كريب صيامي (بدون لبن)")</f>
        <v>0.004166666667</v>
      </c>
      <c r="AR65" s="117" t="n">
        <f aca="false">SUMIFS(الريسبي!$C$2:$C$1800,الريسبي!$A$2:$A$1800,$A65,الريسبي!$B$2:$B$1800,AR$1)</f>
        <v>0</v>
      </c>
      <c r="AS65" s="117" t="n">
        <f aca="false">SUMIFS(الريسبي!$C$2:$C$1800,الريسبي!$A$2:$A$1800,$A65,الريسبي!$B$2:$B$1800,AS$1)</f>
        <v>1</v>
      </c>
      <c r="AT65" s="117" t="n">
        <f aca="false">SUMIFS(الريسبي!$C$2:$C$1800,الريسبي!$A$2:$A$1800,$A65,الريسبي!$B$2:$B$1800,AT$1)</f>
        <v>0</v>
      </c>
      <c r="AU65" s="117" t="n">
        <f aca="false">SUMIFS(الريسبي!$C$2:$C$1800,الريسبي!$A$2:$A$1800,$A65,الريسبي!$B$2:$B$1800,AU$1)</f>
        <v>0</v>
      </c>
      <c r="AV65" s="117" t="n">
        <f aca="false">SUMIFS(الريسبي!$C$2:$C$1800,الريسبي!$A$2:$A$1800,$A65,الريسبي!$B$2:$B$1800,AV$1)</f>
        <v>0</v>
      </c>
      <c r="AW65" s="117" t="n">
        <f aca="false">SUMIFS(الريسبي!$C$2:$C$1800,الريسبي!$A$2:$A$1800,$A65,الريسبي!$B$2:$B$1800,AW$1)</f>
        <v>0</v>
      </c>
      <c r="AX65" s="117" t="n">
        <f aca="false">SUMIFS(الريسبي!$C$2:$C$1800,الريسبي!$A$2:$A$1800,$A65,الريسبي!$B$2:$B$1800,AX$1)</f>
        <v>0</v>
      </c>
      <c r="AY65" s="117" t="n">
        <f aca="false">SUMIFS(الريسبي!$C$2:$C$1800,الريسبي!$A$2:$A$1800,$A65,الريسبي!$B$2:$B$1800,AY$1)</f>
        <v>0</v>
      </c>
      <c r="AZ65" s="117" t="n">
        <f aca="false">SUMIFS(الريسبي!$C$2:$C$1800,الريسبي!$A$2:$A$1800,$A65,الريسبي!$B$2:$B$1800,AZ$1)</f>
        <v>0</v>
      </c>
      <c r="BA65" s="117" t="n">
        <f aca="false">SUMIFS(الريسبي!$C$2:$C$1800,الريسبي!$A$2:$A$1800,$A65,الريسبي!$B$2:$B$1800,BA$1)</f>
        <v>0</v>
      </c>
      <c r="BB65" s="117" t="n">
        <f aca="false">SUMIFS(الريسبي!$C$2:$C$1800,الريسبي!$A$2:$A$1800,$A65,الريسبي!$B$2:$B$1800,BB$1)</f>
        <v>0</v>
      </c>
      <c r="BC65" s="117" t="n">
        <f aca="false">SUMIFS(الريسبي!$C$2:$C$1800,الريسبي!$A$2:$A$1800,$A65,الريسبي!$B$2:$B$1800,BC$1)</f>
        <v>0.03</v>
      </c>
      <c r="BD65" s="117" t="n">
        <f aca="false">SUMIFS(الريسبي!$C$2:$C$1800,الريسبي!$A$2:$A$1800,$A65,الريسبي!$B$2:$B$1800,BD$1)</f>
        <v>0</v>
      </c>
      <c r="BE65" s="117" t="n">
        <f aca="false">SUMIFS(الريسبي!$C$2:$C$1800,الريسبي!$A$2:$A$1800,$A65,الريسبي!$B$2:$B$1800,BE$1)</f>
        <v>0</v>
      </c>
      <c r="BF65" s="117" t="n">
        <f aca="false">SUMIFS(الريسبي!$C$2:$C$1800,الريسبي!$A$2:$A$1800,$A65,الريسبي!$B$2:$B$1800,BF$1)</f>
        <v>0</v>
      </c>
      <c r="BG65" s="117" t="n">
        <f aca="false">SUMIFS(الريسبي!$C$2:$C$1800,الريسبي!$A$2:$A$1800,$A65,الريسبي!$B$2:$B$1800,BG$1)</f>
        <v>0</v>
      </c>
      <c r="BH65" s="117" t="n">
        <f aca="false">SUMIFS(الريسبي!$C$2:$C$1800,الريسبي!$A$2:$A$1800,$A65,الريسبي!$B$2:$B$1800,BH$1)</f>
        <v>0</v>
      </c>
      <c r="BI65" s="117" t="n">
        <f aca="false">SUMIFS(الريسبي!$C$2:$C$1800,الريسبي!$A$2:$A$1800,$A65,الريسبي!$B$2:$B$1800,BI$1)</f>
        <v>0</v>
      </c>
      <c r="BJ65" s="117" t="n">
        <f aca="false">SUMIFS(الريسبي!$C$2:$C$1800,الريسبي!$A$2:$A$1800,$A65,الريسبي!$B$2:$B$1800,BJ$1)</f>
        <v>0</v>
      </c>
      <c r="BK65" s="117" t="n">
        <f aca="false">SUMIFS(الريسبي!$C$2:$C$1800,الريسبي!$A$2:$A$1800,$A65,الريسبي!$B$2:$B$1800,BK$1)</f>
        <v>0</v>
      </c>
      <c r="BL65" s="117" t="n">
        <f aca="false">SUMIFS(الريسبي!$C$2:$C$1800,الريسبي!$A$2:$A$1800,$A65,الريسبي!$B$2:$B$1800,BL$1)</f>
        <v>0</v>
      </c>
      <c r="BM65" s="117" t="n">
        <f aca="false">SUMIFS(الريسبي!$C$2:$C$1800,الريسبي!$A$2:$A$1800,$A65,الريسبي!$B$2:$B$1800,BM$1)</f>
        <v>0</v>
      </c>
      <c r="BN65" s="117" t="n">
        <f aca="false">SUMIFS(الريسبي!$C$2:$C$1800,الريسبي!$A$2:$A$1800,$A65,الريسبي!$B$2:$B$1800,BN$1)</f>
        <v>0.02</v>
      </c>
      <c r="BO65" s="117" t="n">
        <f aca="false">SUMIFS(الريسبي!$C$2:$C$1800,الريسبي!$A$2:$A$1800,$A65,الريسبي!$B$2:$B$1800,BO$1)</f>
        <v>0</v>
      </c>
      <c r="BP65" s="117" t="n">
        <f aca="false">SUMIFS(الريسبي!$C$2:$C$1800,الريسبي!$A$2:$A$1800,$A65,الريسبي!$B$2:$B$1800,BP$1)</f>
        <v>0</v>
      </c>
      <c r="BQ65" s="117" t="n">
        <f aca="false">SUMIFS(الريسبي!$C$2:$C$1800,الريسبي!$A$2:$A$1800,$A65,الريسبي!$B$2:$B$1800,BQ$1)+0.17*SUMIFS(الريسبي!$C$2:$C$1800,الريسبي!$A$2:$A$1800,$A65,الريسبي!$B$2:$B$1800,"كاسترد مصنع (خليط بودر + لبن)")+0.17*SUMIFS(الريسبي!$C$2:$C$1800,الريسبي!$A$2:$A$1800,$A65,الريسبي!$B$2:$B$1800,"كاسترد مصنع صيامي (بدون لبن)")</f>
        <v>0</v>
      </c>
      <c r="BR65" s="117" t="n">
        <f aca="false">SUMIFS(الريسبي!$C$2:$C$1800,الريسبي!$A$2:$A$1800,$A65,الريسبي!$B$2:$B$1800,BR$1)</f>
        <v>0</v>
      </c>
      <c r="BS65" s="117" t="n">
        <f aca="false">SUMIFS(الريسبي!$C$2:$C$1800,الريسبي!$A$2:$A$1800,$A65,الريسبي!$B$2:$B$1800,BS$1)</f>
        <v>0</v>
      </c>
      <c r="BT65" s="117" t="n">
        <f aca="false">SUMIFS(الريسبي!$C$2:$C$1800,الريسبي!$A$2:$A$1800,$A65,الريسبي!$B$2:$B$1800,BT$1)</f>
        <v>1</v>
      </c>
      <c r="BU65" s="117" t="n">
        <f aca="false">SUMIFS(الريسبي!$C$2:$C$1800,الريسبي!$A$2:$A$1800,$A65,الريسبي!$B$2:$B$1800,BU$1)+0.4*SUMIFS(الريسبي!$C$2:$C$1800,الريسبي!$A$2:$A$1800,$A65,الريسبي!$B$2:$B$1800,"كاسترد مصنع (خليط بودر + لبن)")+0.03333333333*SUMIFS(الريسبي!$C$2:$C$1800,الريسبي!$A$2:$A$1800,$A65,الريسبي!$B$2:$B$1800,"عجين كريب (مصنع بالمطعم)")</f>
        <v>0.03333333333</v>
      </c>
      <c r="BV65" s="117" t="n">
        <f aca="false">SUMIFS(الريسبي!$C$2:$C$1800,الريسبي!$A$2:$A$1800,$A65,الريسبي!$B$2:$B$1800,BV$1)</f>
        <v>0</v>
      </c>
      <c r="BW65" s="117" t="n">
        <f aca="false">SUMIFS(الريسبي!$C$2:$C$1800,الريسبي!$A$2:$A$1800,$A65,الريسبي!$B$2:$B$1800,BW$1)</f>
        <v>0</v>
      </c>
      <c r="BX65" s="117" t="n">
        <f aca="false">SUMIFS(الريسبي!$C$2:$C$1800,الريسبي!$A$2:$A$1800,$A65,الريسبي!$B$2:$B$1800,BX$1)</f>
        <v>0</v>
      </c>
      <c r="BY65" s="117" t="n">
        <f aca="false">SUMIFS(الريسبي!$C$2:$C$1800,الريسبي!$A$2:$A$1800,$A65,الريسبي!$B$2:$B$1800,BY$1)</f>
        <v>0</v>
      </c>
      <c r="BZ65" s="117" t="n">
        <f aca="false">SUMIFS(الريسبي!$C$2:$C$1800,الريسبي!$A$2:$A$1800,$A65,الريسبي!$B$2:$B$1800,BZ$1)</f>
        <v>0</v>
      </c>
      <c r="CA65" s="117" t="n">
        <f aca="false">SUMIFS(الريسبي!$C$2:$C$1800,الريسبي!$A$2:$A$1800,$A65,الريسبي!$B$2:$B$1800,CA$1)</f>
        <v>0</v>
      </c>
      <c r="CB65" s="117" t="n">
        <f aca="false">SUMIFS(الريسبي!$C$2:$C$1800,الريسبي!$A$2:$A$1800,$A65,الريسبي!$B$2:$B$1800,CB$1)</f>
        <v>0</v>
      </c>
      <c r="CC65" s="117" t="n">
        <f aca="false">SUMIFS(الريسبي!$C$2:$C$1800,الريسبي!$A$2:$A$1800,$A65,الريسبي!$B$2:$B$1800,CC$1)</f>
        <v>0</v>
      </c>
      <c r="CD65" s="117" t="n">
        <f aca="false">SUMIFS(الريسبي!$C$2:$C$1800,الريسبي!$A$2:$A$1800,$A65,الريسبي!$B$2:$B$1800,CD$1)</f>
        <v>0</v>
      </c>
      <c r="CE65" s="117" t="n">
        <f aca="false">SUMIFS(الريسبي!$C$2:$C$1800,الريسبي!$A$2:$A$1800,$A65,الريسبي!$B$2:$B$1800,CE$1)</f>
        <v>0</v>
      </c>
      <c r="CF65" s="117" t="n">
        <f aca="false">SUMIFS(الريسبي!$C$2:$C$1800,الريسبي!$A$2:$A$1800,$A65,الريسبي!$B$2:$B$1800,CF$1)</f>
        <v>0</v>
      </c>
      <c r="CG65" s="117" t="n">
        <f aca="false">SUMIFS(الريسبي!$C$2:$C$1800,الريسبي!$A$2:$A$1800,$A65,الريسبي!$B$2:$B$1800,CG$1)</f>
        <v>0</v>
      </c>
      <c r="CH65" s="117" t="n">
        <f aca="false">SUMIFS(الريسبي!$C$2:$C$1800,الريسبي!$A$2:$A$1800,$A65,الريسبي!$B$2:$B$1800,CH$1)</f>
        <v>0</v>
      </c>
      <c r="CI65" s="117" t="n">
        <f aca="false">SUMIFS(الريسبي!$C$2:$C$1800,الريسبي!$A$2:$A$1800,$A65,الريسبي!$B$2:$B$1800,CI$1)</f>
        <v>0</v>
      </c>
      <c r="CJ65" s="117" t="n">
        <f aca="false">SUMIFS(الريسبي!$C$2:$C$1800,الريسبي!$A$2:$A$1800,$A65,الريسبي!$B$2:$B$1800,CJ$1)</f>
        <v>0</v>
      </c>
      <c r="CK65" s="117" t="n">
        <f aca="false">SUMIFS(الريسبي!$C$2:$C$1800,الريسبي!$A$2:$A$1800,$A65,الريسبي!$B$2:$B$1800,CK$1)</f>
        <v>0</v>
      </c>
      <c r="CL65" s="117" t="n">
        <f aca="false">SUMIFS(الريسبي!$C$2:$C$1800,الريسبي!$A$2:$A$1800,$A65,الريسبي!$B$2:$B$1800,CL$1)</f>
        <v>0</v>
      </c>
    </row>
    <row r="66" customFormat="false" ht="15" hidden="false" customHeight="false" outlineLevel="0" collapsed="false">
      <c r="A66" s="116" t="str">
        <f aca="false">المنيو!B66</f>
        <v>كريب مشكل فراخ</v>
      </c>
      <c r="B66" s="117" t="n">
        <f aca="false">SUMIFS(الريسبي!$C$2:$C$1800,الريسبي!$A$2:$A$1800,$A66,الريسبي!$B$2:$B$1800,B$1)</f>
        <v>0</v>
      </c>
      <c r="C66" s="117" t="n">
        <f aca="false">SUMIFS(الريسبي!$C$2:$C$1800,الريسبي!$A$2:$A$1800,$A66,الريسبي!$B$2:$B$1800,C$1)</f>
        <v>0</v>
      </c>
      <c r="D66" s="117" t="n">
        <f aca="false">SUMIFS(الريسبي!$C$2:$C$1800,الريسبي!$A$2:$A$1800,$A66,الريسبي!$B$2:$B$1800,D$1)</f>
        <v>0</v>
      </c>
      <c r="E66" s="117" t="n">
        <f aca="false">SUMIFS(الريسبي!$C$2:$C$1800,الريسبي!$A$2:$A$1800,$A66,الريسبي!$B$2:$B$1800,E$1)</f>
        <v>0</v>
      </c>
      <c r="F66" s="117" t="n">
        <f aca="false">SUMIFS(الريسبي!$C$2:$C$1800,الريسبي!$A$2:$A$1800,$A66,الريسبي!$B$2:$B$1800,F$1)</f>
        <v>0</v>
      </c>
      <c r="G66" s="117" t="n">
        <f aca="false">SUMIFS(الريسبي!$C$2:$C$1800,الريسبي!$A$2:$A$1800,$A66,الريسبي!$B$2:$B$1800,G$1)</f>
        <v>0</v>
      </c>
      <c r="H66" s="117" t="n">
        <f aca="false">SUMIFS(الريسبي!$C$2:$C$1800,الريسبي!$A$2:$A$1800,$A66,الريسبي!$B$2:$B$1800,H$1)</f>
        <v>0</v>
      </c>
      <c r="I66" s="117" t="n">
        <f aca="false">SUMIFS(الريسبي!$C$2:$C$1800,الريسبي!$A$2:$A$1800,$A66,الريسبي!$B$2:$B$1800,I$1)</f>
        <v>0</v>
      </c>
      <c r="J66" s="117" t="n">
        <f aca="false">SUMIFS(الريسبي!$C$2:$C$1800,الريسبي!$A$2:$A$1800,$A66,الريسبي!$B$2:$B$1800,J$1)</f>
        <v>0</v>
      </c>
      <c r="K66" s="117" t="n">
        <f aca="false">SUMIFS(الريسبي!$C$2:$C$1800,الريسبي!$A$2:$A$1800,$A66,الريسبي!$B$2:$B$1800,K$1)</f>
        <v>0</v>
      </c>
      <c r="L66" s="117" t="n">
        <f aca="false">SUMIFS(الريسبي!$C$2:$C$1800,الريسبي!$A$2:$A$1800,$A66,الريسبي!$B$2:$B$1800,L$1)</f>
        <v>0</v>
      </c>
      <c r="M66" s="117" t="n">
        <f aca="false">SUMIFS(الريسبي!$C$2:$C$1800,الريسبي!$A$2:$A$1800,$A66,الريسبي!$B$2:$B$1800,M$1)</f>
        <v>0</v>
      </c>
      <c r="N66" s="117" t="n">
        <f aca="false">SUMIFS(الريسبي!$C$2:$C$1800,الريسبي!$A$2:$A$1800,$A66,الريسبي!$B$2:$B$1800,N$1)</f>
        <v>0</v>
      </c>
      <c r="O66" s="117" t="n">
        <f aca="false">SUMIFS(الريسبي!$C$2:$C$1800,الريسبي!$A$2:$A$1800,$A66,الريسبي!$B$2:$B$1800,O$1)</f>
        <v>0.5</v>
      </c>
      <c r="P66" s="117" t="n">
        <f aca="false">SUMIFS(الريسبي!$C$2:$C$1800,الريسبي!$A$2:$A$1800,$A66,الريسبي!$B$2:$B$1800,P$1)</f>
        <v>0</v>
      </c>
      <c r="Q66" s="117" t="n">
        <f aca="false">SUMIFS(الريسبي!$C$2:$C$1800,الريسبي!$A$2:$A$1800,$A66,الريسبي!$B$2:$B$1800,Q$1)</f>
        <v>0.5</v>
      </c>
      <c r="R66" s="117" t="n">
        <f aca="false">SUMIFS(الريسبي!$C$2:$C$1800,الريسبي!$A$2:$A$1800,$A66,الريسبي!$B$2:$B$1800,R$1)</f>
        <v>0</v>
      </c>
      <c r="S66" s="117" t="n">
        <f aca="false">SUMIFS(الريسبي!$C$2:$C$1800,الريسبي!$A$2:$A$1800,$A66,الريسبي!$B$2:$B$1800,S$1)</f>
        <v>0</v>
      </c>
      <c r="T66" s="117" t="n">
        <f aca="false">SUMIFS(الريسبي!$C$2:$C$1800,الريسبي!$A$2:$A$1800,$A66,الريسبي!$B$2:$B$1800,T$1)</f>
        <v>0</v>
      </c>
      <c r="U66" s="117" t="n">
        <f aca="false">SUMIFS(الريسبي!$C$2:$C$1800,الريسبي!$A$2:$A$1800,$A66,الريسبي!$B$2:$B$1800,U$1)</f>
        <v>0</v>
      </c>
      <c r="V66" s="117" t="n">
        <f aca="false">SUMIFS(الريسبي!$C$2:$C$1800,الريسبي!$A$2:$A$1800,$A66,الريسبي!$B$2:$B$1800,V$1)+1.5*(SUMIFS(الريسبي!$C$2:$C$1800,الريسبي!$A$2:$A$1800,$A66,الريسبي!$B$2:$B$1800,"برسيون موتزريلا بيتزا كبير"))</f>
        <v>0</v>
      </c>
      <c r="W66" s="117" t="n">
        <f aca="false">0</f>
        <v>0</v>
      </c>
      <c r="X66" s="117" t="n">
        <f aca="false">SUMIFS(الريسبي!$C$2:$C$1800,الريسبي!$A$2:$A$1800,$A66,الريسبي!$B$2:$B$1800,X$1)+1.5*(SUMIFS(الريسبي!$C$2:$C$1800,الريسبي!$A$2:$A$1800,$A66,الريسبي!$B$2:$B$1800,"برسيون موتزريلا فطير كبير"))</f>
        <v>1</v>
      </c>
      <c r="Y66" s="117" t="n">
        <f aca="false">0</f>
        <v>0</v>
      </c>
      <c r="Z66" s="117" t="n">
        <f aca="false">SUMIFS(الريسبي!$C$2:$C$1800,الريسبي!$A$2:$A$1800,$A66,الريسبي!$B$2:$B$1800,Z$1)</f>
        <v>0</v>
      </c>
      <c r="AA66" s="117" t="n">
        <f aca="false">SUMIFS(الريسبي!$C$2:$C$1800,الريسبي!$A$2:$A$1800,$A66,الريسبي!$B$2:$B$1800,AA$1)</f>
        <v>0</v>
      </c>
      <c r="AB66" s="117" t="n">
        <f aca="false">SUMIFS(الريسبي!$C$2:$C$1800,الريسبي!$A$2:$A$1800,$A66,الريسبي!$B$2:$B$1800,AB$1)</f>
        <v>0</v>
      </c>
      <c r="AC66" s="117" t="n">
        <f aca="false">SUMIFS(الريسبي!$C$2:$C$1800,الريسبي!$A$2:$A$1800,$A66,الريسبي!$B$2:$B$1800,AC$1)</f>
        <v>0</v>
      </c>
      <c r="AD66" s="117" t="n">
        <f aca="false">SUMIFS(الريسبي!$C$2:$C$1800,الريسبي!$A$2:$A$1800,$A66,الريسبي!$B$2:$B$1800,AD$1)</f>
        <v>0</v>
      </c>
      <c r="AE66" s="117" t="n">
        <f aca="false">SUMIFS(الريسبي!$C$2:$C$1800,الريسبي!$A$2:$A$1800,$A66,الريسبي!$B$2:$B$1800,AE$1)</f>
        <v>0</v>
      </c>
      <c r="AF66" s="117" t="n">
        <f aca="false">SUMIFS(الريسبي!$C$2:$C$1800,الريسبي!$A$2:$A$1800,$A66,الريسبي!$B$2:$B$1800,AF$1)</f>
        <v>0</v>
      </c>
      <c r="AG66" s="117" t="n">
        <f aca="false">SUMIFS(الريسبي!$C$2:$C$1800,الريسبي!$A$2:$A$1800,$A66,الريسبي!$B$2:$B$1800,AG$1)</f>
        <v>0</v>
      </c>
      <c r="AH66" s="117" t="n">
        <f aca="false">SUMIFS(الريسبي!$C$2:$C$1800,الريسبي!$A$2:$A$1800,$A66,الريسبي!$B$2:$B$1800,AH$1)</f>
        <v>0</v>
      </c>
      <c r="AI66" s="117" t="n">
        <f aca="false">SUMIFS(الريسبي!$C$2:$C$1800,الريسبي!$A$2:$A$1800,$A66,الريسبي!$B$2:$B$1800,AI$1)</f>
        <v>0</v>
      </c>
      <c r="AJ66" s="117" t="n">
        <f aca="false">SUMIFS(الريسبي!$C$2:$C$1800,الريسبي!$A$2:$A$1800,$A66,الريسبي!$B$2:$B$1800,AJ$1)</f>
        <v>0</v>
      </c>
      <c r="AK66" s="117" t="n">
        <f aca="false">SUMIFS(الريسبي!$C$2:$C$1800,الريسبي!$A$2:$A$1800,$A66,الريسبي!$B$2:$B$1800,AK$1)</f>
        <v>0</v>
      </c>
      <c r="AL66" s="117" t="n">
        <f aca="false">SUMIFS(الريسبي!$C$2:$C$1800,الريسبي!$A$2:$A$1800,$A66,الريسبي!$B$2:$B$1800,AL$1)</f>
        <v>0</v>
      </c>
      <c r="AM66" s="117" t="n">
        <f aca="false">SUMIFS(الريسبي!$C$2:$C$1800,الريسبي!$A$2:$A$1800,$A66,الريسبي!$B$2:$B$1800,AM$1)+0.08333333333*SUMIFS(الريسبي!$C$2:$C$1800,الريسبي!$A$2:$A$1800,$A66,الريسبي!$B$2:$B$1800,"عجين كريب (مصنع بالمطعم)")+0.08333333333*SUMIFS(الريسبي!$C$2:$C$1800,الريسبي!$A$2:$A$1800,$A66,الريسبي!$B$2:$B$1800,"عجين كريب صيامي (بدون لبن)")</f>
        <v>0.08333333333</v>
      </c>
      <c r="AN66" s="117" t="n">
        <f aca="false">SUMIFS(الريسبي!$C$2:$C$1800,الريسبي!$A$2:$A$1800,$A66,الريسبي!$B$2:$B$1800,AN$1)+0.004166666667*SUMIFS(الريسبي!$C$2:$C$1800,الريسبي!$A$2:$A$1800,$A66,الريسبي!$B$2:$B$1800,"عجين كريب (مصنع بالمطعم)")+0.004166666667*SUMIFS(الريسبي!$C$2:$C$1800,الريسبي!$A$2:$A$1800,$A66,الريسبي!$B$2:$B$1800,"عجين كريب صيامي (بدون لبن)")</f>
        <v>0.004166666667</v>
      </c>
      <c r="AO66" s="117" t="n">
        <f aca="false">SUMIFS(الريسبي!$C$2:$C$1800,الريسبي!$A$2:$A$1800,$A66,الريسبي!$B$2:$B$1800,AO$1)</f>
        <v>0</v>
      </c>
      <c r="AP66" s="117" t="n">
        <f aca="false">SUMIFS(الريسبي!$C$2:$C$1800,الريسبي!$A$2:$A$1800,$A66,الريسبي!$B$2:$B$1800,AP$1)</f>
        <v>0.02</v>
      </c>
      <c r="AQ66" s="117" t="n">
        <f aca="false">SUMIFS(الريسبي!$C$2:$C$1800,الريسبي!$A$2:$A$1800,$A66,الريسبي!$B$2:$B$1800,AQ$1)+0.004166666667*SUMIFS(الريسبي!$C$2:$C$1800,الريسبي!$A$2:$A$1800,$A66,الريسبي!$B$2:$B$1800,"عجين كريب (مصنع بالمطعم)")+0.004166666667*SUMIFS(الريسبي!$C$2:$C$1800,الريسبي!$A$2:$A$1800,$A66,الريسبي!$B$2:$B$1800,"عجين كريب صيامي (بدون لبن)")</f>
        <v>0.004166666667</v>
      </c>
      <c r="AR66" s="117" t="n">
        <f aca="false">SUMIFS(الريسبي!$C$2:$C$1800,الريسبي!$A$2:$A$1800,$A66,الريسبي!$B$2:$B$1800,AR$1)</f>
        <v>0</v>
      </c>
      <c r="AS66" s="117" t="n">
        <f aca="false">SUMIFS(الريسبي!$C$2:$C$1800,الريسبي!$A$2:$A$1800,$A66,الريسبي!$B$2:$B$1800,AS$1)</f>
        <v>1</v>
      </c>
      <c r="AT66" s="117" t="n">
        <f aca="false">SUMIFS(الريسبي!$C$2:$C$1800,الريسبي!$A$2:$A$1800,$A66,الريسبي!$B$2:$B$1800,AT$1)</f>
        <v>0</v>
      </c>
      <c r="AU66" s="117" t="n">
        <f aca="false">SUMIFS(الريسبي!$C$2:$C$1800,الريسبي!$A$2:$A$1800,$A66,الريسبي!$B$2:$B$1800,AU$1)</f>
        <v>0</v>
      </c>
      <c r="AV66" s="117" t="n">
        <f aca="false">SUMIFS(الريسبي!$C$2:$C$1800,الريسبي!$A$2:$A$1800,$A66,الريسبي!$B$2:$B$1800,AV$1)</f>
        <v>0</v>
      </c>
      <c r="AW66" s="117" t="n">
        <f aca="false">SUMIFS(الريسبي!$C$2:$C$1800,الريسبي!$A$2:$A$1800,$A66,الريسبي!$B$2:$B$1800,AW$1)</f>
        <v>0</v>
      </c>
      <c r="AX66" s="117" t="n">
        <f aca="false">SUMIFS(الريسبي!$C$2:$C$1800,الريسبي!$A$2:$A$1800,$A66,الريسبي!$B$2:$B$1800,AX$1)</f>
        <v>0</v>
      </c>
      <c r="AY66" s="117" t="n">
        <f aca="false">SUMIFS(الريسبي!$C$2:$C$1800,الريسبي!$A$2:$A$1800,$A66,الريسبي!$B$2:$B$1800,AY$1)</f>
        <v>0</v>
      </c>
      <c r="AZ66" s="117" t="n">
        <f aca="false">SUMIFS(الريسبي!$C$2:$C$1800,الريسبي!$A$2:$A$1800,$A66,الريسبي!$B$2:$B$1800,AZ$1)</f>
        <v>0</v>
      </c>
      <c r="BA66" s="117" t="n">
        <f aca="false">SUMIFS(الريسبي!$C$2:$C$1800,الريسبي!$A$2:$A$1800,$A66,الريسبي!$B$2:$B$1800,BA$1)</f>
        <v>0</v>
      </c>
      <c r="BB66" s="117" t="n">
        <f aca="false">SUMIFS(الريسبي!$C$2:$C$1800,الريسبي!$A$2:$A$1800,$A66,الريسبي!$B$2:$B$1800,BB$1)</f>
        <v>0</v>
      </c>
      <c r="BC66" s="117" t="n">
        <f aca="false">SUMIFS(الريسبي!$C$2:$C$1800,الريسبي!$A$2:$A$1800,$A66,الريسبي!$B$2:$B$1800,BC$1)</f>
        <v>0.03</v>
      </c>
      <c r="BD66" s="117" t="n">
        <f aca="false">SUMIFS(الريسبي!$C$2:$C$1800,الريسبي!$A$2:$A$1800,$A66,الريسبي!$B$2:$B$1800,BD$1)</f>
        <v>0</v>
      </c>
      <c r="BE66" s="117" t="n">
        <f aca="false">SUMIFS(الريسبي!$C$2:$C$1800,الريسبي!$A$2:$A$1800,$A66,الريسبي!$B$2:$B$1800,BE$1)</f>
        <v>0</v>
      </c>
      <c r="BF66" s="117" t="n">
        <f aca="false">SUMIFS(الريسبي!$C$2:$C$1800,الريسبي!$A$2:$A$1800,$A66,الريسبي!$B$2:$B$1800,BF$1)</f>
        <v>0</v>
      </c>
      <c r="BG66" s="117" t="n">
        <f aca="false">SUMIFS(الريسبي!$C$2:$C$1800,الريسبي!$A$2:$A$1800,$A66,الريسبي!$B$2:$B$1800,BG$1)</f>
        <v>0</v>
      </c>
      <c r="BH66" s="117" t="n">
        <f aca="false">SUMIFS(الريسبي!$C$2:$C$1800,الريسبي!$A$2:$A$1800,$A66,الريسبي!$B$2:$B$1800,BH$1)</f>
        <v>0</v>
      </c>
      <c r="BI66" s="117" t="n">
        <f aca="false">SUMIFS(الريسبي!$C$2:$C$1800,الريسبي!$A$2:$A$1800,$A66,الريسبي!$B$2:$B$1800,BI$1)</f>
        <v>0</v>
      </c>
      <c r="BJ66" s="117" t="n">
        <f aca="false">SUMIFS(الريسبي!$C$2:$C$1800,الريسبي!$A$2:$A$1800,$A66,الريسبي!$B$2:$B$1800,BJ$1)</f>
        <v>0</v>
      </c>
      <c r="BK66" s="117" t="n">
        <f aca="false">SUMIFS(الريسبي!$C$2:$C$1800,الريسبي!$A$2:$A$1800,$A66,الريسبي!$B$2:$B$1800,BK$1)</f>
        <v>0</v>
      </c>
      <c r="BL66" s="117" t="n">
        <f aca="false">SUMIFS(الريسبي!$C$2:$C$1800,الريسبي!$A$2:$A$1800,$A66,الريسبي!$B$2:$B$1800,BL$1)</f>
        <v>0</v>
      </c>
      <c r="BM66" s="117" t="n">
        <f aca="false">SUMIFS(الريسبي!$C$2:$C$1800,الريسبي!$A$2:$A$1800,$A66,الريسبي!$B$2:$B$1800,BM$1)</f>
        <v>0</v>
      </c>
      <c r="BN66" s="117" t="n">
        <f aca="false">SUMIFS(الريسبي!$C$2:$C$1800,الريسبي!$A$2:$A$1800,$A66,الريسبي!$B$2:$B$1800,BN$1)</f>
        <v>0.02</v>
      </c>
      <c r="BO66" s="117" t="n">
        <f aca="false">SUMIFS(الريسبي!$C$2:$C$1800,الريسبي!$A$2:$A$1800,$A66,الريسبي!$B$2:$B$1800,BO$1)</f>
        <v>0</v>
      </c>
      <c r="BP66" s="117" t="n">
        <f aca="false">SUMIFS(الريسبي!$C$2:$C$1800,الريسبي!$A$2:$A$1800,$A66,الريسبي!$B$2:$B$1800,BP$1)</f>
        <v>0</v>
      </c>
      <c r="BQ66" s="117" t="n">
        <f aca="false">SUMIFS(الريسبي!$C$2:$C$1800,الريسبي!$A$2:$A$1800,$A66,الريسبي!$B$2:$B$1800,BQ$1)+0.17*SUMIFS(الريسبي!$C$2:$C$1800,الريسبي!$A$2:$A$1800,$A66,الريسبي!$B$2:$B$1800,"كاسترد مصنع (خليط بودر + لبن)")+0.17*SUMIFS(الريسبي!$C$2:$C$1800,الريسبي!$A$2:$A$1800,$A66,الريسبي!$B$2:$B$1800,"كاسترد مصنع صيامي (بدون لبن)")</f>
        <v>0</v>
      </c>
      <c r="BR66" s="117" t="n">
        <f aca="false">SUMIFS(الريسبي!$C$2:$C$1800,الريسبي!$A$2:$A$1800,$A66,الريسبي!$B$2:$B$1800,BR$1)</f>
        <v>0</v>
      </c>
      <c r="BS66" s="117" t="n">
        <f aca="false">SUMIFS(الريسبي!$C$2:$C$1800,الريسبي!$A$2:$A$1800,$A66,الريسبي!$B$2:$B$1800,BS$1)</f>
        <v>0</v>
      </c>
      <c r="BT66" s="117" t="n">
        <f aca="false">SUMIFS(الريسبي!$C$2:$C$1800,الريسبي!$A$2:$A$1800,$A66,الريسبي!$B$2:$B$1800,BT$1)</f>
        <v>1</v>
      </c>
      <c r="BU66" s="117" t="n">
        <f aca="false">SUMIFS(الريسبي!$C$2:$C$1800,الريسبي!$A$2:$A$1800,$A66,الريسبي!$B$2:$B$1800,BU$1)+0.4*SUMIFS(الريسبي!$C$2:$C$1800,الريسبي!$A$2:$A$1800,$A66,الريسبي!$B$2:$B$1800,"كاسترد مصنع (خليط بودر + لبن)")+0.03333333333*SUMIFS(الريسبي!$C$2:$C$1800,الريسبي!$A$2:$A$1800,$A66,الريسبي!$B$2:$B$1800,"عجين كريب (مصنع بالمطعم)")</f>
        <v>0.03333333333</v>
      </c>
      <c r="BV66" s="117" t="n">
        <f aca="false">SUMIFS(الريسبي!$C$2:$C$1800,الريسبي!$A$2:$A$1800,$A66,الريسبي!$B$2:$B$1800,BV$1)</f>
        <v>0</v>
      </c>
      <c r="BW66" s="117" t="n">
        <f aca="false">SUMIFS(الريسبي!$C$2:$C$1800,الريسبي!$A$2:$A$1800,$A66,الريسبي!$B$2:$B$1800,BW$1)</f>
        <v>0</v>
      </c>
      <c r="BX66" s="117" t="n">
        <f aca="false">SUMIFS(الريسبي!$C$2:$C$1800,الريسبي!$A$2:$A$1800,$A66,الريسبي!$B$2:$B$1800,BX$1)</f>
        <v>0</v>
      </c>
      <c r="BY66" s="117" t="n">
        <f aca="false">SUMIFS(الريسبي!$C$2:$C$1800,الريسبي!$A$2:$A$1800,$A66,الريسبي!$B$2:$B$1800,BY$1)</f>
        <v>0</v>
      </c>
      <c r="BZ66" s="117" t="n">
        <f aca="false">SUMIFS(الريسبي!$C$2:$C$1800,الريسبي!$A$2:$A$1800,$A66,الريسبي!$B$2:$B$1800,BZ$1)</f>
        <v>0</v>
      </c>
      <c r="CA66" s="117" t="n">
        <f aca="false">SUMIFS(الريسبي!$C$2:$C$1800,الريسبي!$A$2:$A$1800,$A66,الريسبي!$B$2:$B$1800,CA$1)</f>
        <v>0</v>
      </c>
      <c r="CB66" s="117" t="n">
        <f aca="false">SUMIFS(الريسبي!$C$2:$C$1800,الريسبي!$A$2:$A$1800,$A66,الريسبي!$B$2:$B$1800,CB$1)</f>
        <v>0</v>
      </c>
      <c r="CC66" s="117" t="n">
        <f aca="false">SUMIFS(الريسبي!$C$2:$C$1800,الريسبي!$A$2:$A$1800,$A66,الريسبي!$B$2:$B$1800,CC$1)</f>
        <v>0</v>
      </c>
      <c r="CD66" s="117" t="n">
        <f aca="false">SUMIFS(الريسبي!$C$2:$C$1800,الريسبي!$A$2:$A$1800,$A66,الريسبي!$B$2:$B$1800,CD$1)</f>
        <v>0</v>
      </c>
      <c r="CE66" s="117" t="n">
        <f aca="false">SUMIFS(الريسبي!$C$2:$C$1800,الريسبي!$A$2:$A$1800,$A66,الريسبي!$B$2:$B$1800,CE$1)</f>
        <v>0</v>
      </c>
      <c r="CF66" s="117" t="n">
        <f aca="false">SUMIFS(الريسبي!$C$2:$C$1800,الريسبي!$A$2:$A$1800,$A66,الريسبي!$B$2:$B$1800,CF$1)</f>
        <v>0</v>
      </c>
      <c r="CG66" s="117" t="n">
        <f aca="false">SUMIFS(الريسبي!$C$2:$C$1800,الريسبي!$A$2:$A$1800,$A66,الريسبي!$B$2:$B$1800,CG$1)</f>
        <v>0</v>
      </c>
      <c r="CH66" s="117" t="n">
        <f aca="false">SUMIFS(الريسبي!$C$2:$C$1800,الريسبي!$A$2:$A$1800,$A66,الريسبي!$B$2:$B$1800,CH$1)</f>
        <v>0</v>
      </c>
      <c r="CI66" s="117" t="n">
        <f aca="false">SUMIFS(الريسبي!$C$2:$C$1800,الريسبي!$A$2:$A$1800,$A66,الريسبي!$B$2:$B$1800,CI$1)</f>
        <v>0</v>
      </c>
      <c r="CJ66" s="117" t="n">
        <f aca="false">SUMIFS(الريسبي!$C$2:$C$1800,الريسبي!$A$2:$A$1800,$A66,الريسبي!$B$2:$B$1800,CJ$1)</f>
        <v>0</v>
      </c>
      <c r="CK66" s="117" t="n">
        <f aca="false">SUMIFS(الريسبي!$C$2:$C$1800,الريسبي!$A$2:$A$1800,$A66,الريسبي!$B$2:$B$1800,CK$1)</f>
        <v>0</v>
      </c>
      <c r="CL66" s="117" t="n">
        <f aca="false">SUMIFS(الريسبي!$C$2:$C$1800,الريسبي!$A$2:$A$1800,$A66,الريسبي!$B$2:$B$1800,CL$1)</f>
        <v>0</v>
      </c>
    </row>
    <row r="67" customFormat="false" ht="15" hidden="false" customHeight="false" outlineLevel="0" collapsed="false">
      <c r="A67" s="116" t="str">
        <f aca="false">المنيو!B67</f>
        <v>كريب بسطرمة</v>
      </c>
      <c r="B67" s="117" t="n">
        <f aca="false">SUMIFS(الريسبي!$C$2:$C$1800,الريسبي!$A$2:$A$1800,$A67,الريسبي!$B$2:$B$1800,B$1)</f>
        <v>0</v>
      </c>
      <c r="C67" s="117" t="n">
        <f aca="false">SUMIFS(الريسبي!$C$2:$C$1800,الريسبي!$A$2:$A$1800,$A67,الريسبي!$B$2:$B$1800,C$1)</f>
        <v>0</v>
      </c>
      <c r="D67" s="117" t="n">
        <f aca="false">SUMIFS(الريسبي!$C$2:$C$1800,الريسبي!$A$2:$A$1800,$A67,الريسبي!$B$2:$B$1800,D$1)</f>
        <v>0</v>
      </c>
      <c r="E67" s="117" t="n">
        <f aca="false">SUMIFS(الريسبي!$C$2:$C$1800,الريسبي!$A$2:$A$1800,$A67,الريسبي!$B$2:$B$1800,E$1)</f>
        <v>0</v>
      </c>
      <c r="F67" s="117" t="n">
        <f aca="false">SUMIFS(الريسبي!$C$2:$C$1800,الريسبي!$A$2:$A$1800,$A67,الريسبي!$B$2:$B$1800,F$1)</f>
        <v>0</v>
      </c>
      <c r="G67" s="117" t="n">
        <f aca="false">SUMIFS(الريسبي!$C$2:$C$1800,الريسبي!$A$2:$A$1800,$A67,الريسبي!$B$2:$B$1800,G$1)</f>
        <v>0</v>
      </c>
      <c r="H67" s="117" t="n">
        <f aca="false">SUMIFS(الريسبي!$C$2:$C$1800,الريسبي!$A$2:$A$1800,$A67,الريسبي!$B$2:$B$1800,H$1)</f>
        <v>0.5</v>
      </c>
      <c r="I67" s="117" t="n">
        <f aca="false">SUMIFS(الريسبي!$C$2:$C$1800,الريسبي!$A$2:$A$1800,$A67,الريسبي!$B$2:$B$1800,I$1)</f>
        <v>0</v>
      </c>
      <c r="J67" s="117" t="n">
        <f aca="false">SUMIFS(الريسبي!$C$2:$C$1800,الريسبي!$A$2:$A$1800,$A67,الريسبي!$B$2:$B$1800,J$1)</f>
        <v>0</v>
      </c>
      <c r="K67" s="117" t="n">
        <f aca="false">SUMIFS(الريسبي!$C$2:$C$1800,الريسبي!$A$2:$A$1800,$A67,الريسبي!$B$2:$B$1800,K$1)</f>
        <v>0</v>
      </c>
      <c r="L67" s="117" t="n">
        <f aca="false">SUMIFS(الريسبي!$C$2:$C$1800,الريسبي!$A$2:$A$1800,$A67,الريسبي!$B$2:$B$1800,L$1)</f>
        <v>0</v>
      </c>
      <c r="M67" s="117" t="n">
        <f aca="false">SUMIFS(الريسبي!$C$2:$C$1800,الريسبي!$A$2:$A$1800,$A67,الريسبي!$B$2:$B$1800,M$1)</f>
        <v>0</v>
      </c>
      <c r="N67" s="117" t="n">
        <f aca="false">SUMIFS(الريسبي!$C$2:$C$1800,الريسبي!$A$2:$A$1800,$A67,الريسبي!$B$2:$B$1800,N$1)</f>
        <v>0</v>
      </c>
      <c r="O67" s="117" t="n">
        <f aca="false">SUMIFS(الريسبي!$C$2:$C$1800,الريسبي!$A$2:$A$1800,$A67,الريسبي!$B$2:$B$1800,O$1)</f>
        <v>0</v>
      </c>
      <c r="P67" s="117" t="n">
        <f aca="false">SUMIFS(الريسبي!$C$2:$C$1800,الريسبي!$A$2:$A$1800,$A67,الريسبي!$B$2:$B$1800,P$1)</f>
        <v>0</v>
      </c>
      <c r="Q67" s="117" t="n">
        <f aca="false">SUMIFS(الريسبي!$C$2:$C$1800,الريسبي!$A$2:$A$1800,$A67,الريسبي!$B$2:$B$1800,Q$1)</f>
        <v>0</v>
      </c>
      <c r="R67" s="117" t="n">
        <f aca="false">SUMIFS(الريسبي!$C$2:$C$1800,الريسبي!$A$2:$A$1800,$A67,الريسبي!$B$2:$B$1800,R$1)</f>
        <v>0</v>
      </c>
      <c r="S67" s="117" t="n">
        <f aca="false">SUMIFS(الريسبي!$C$2:$C$1800,الريسبي!$A$2:$A$1800,$A67,الريسبي!$B$2:$B$1800,S$1)</f>
        <v>0</v>
      </c>
      <c r="T67" s="117" t="n">
        <f aca="false">SUMIFS(الريسبي!$C$2:$C$1800,الريسبي!$A$2:$A$1800,$A67,الريسبي!$B$2:$B$1800,T$1)</f>
        <v>0</v>
      </c>
      <c r="U67" s="117" t="n">
        <f aca="false">SUMIFS(الريسبي!$C$2:$C$1800,الريسبي!$A$2:$A$1800,$A67,الريسبي!$B$2:$B$1800,U$1)</f>
        <v>0</v>
      </c>
      <c r="V67" s="117" t="n">
        <f aca="false">SUMIFS(الريسبي!$C$2:$C$1800,الريسبي!$A$2:$A$1800,$A67,الريسبي!$B$2:$B$1800,V$1)+1.5*(SUMIFS(الريسبي!$C$2:$C$1800,الريسبي!$A$2:$A$1800,$A67,الريسبي!$B$2:$B$1800,"برسيون موتزريلا بيتزا كبير"))</f>
        <v>0</v>
      </c>
      <c r="W67" s="117" t="n">
        <f aca="false">0</f>
        <v>0</v>
      </c>
      <c r="X67" s="117" t="n">
        <f aca="false">SUMIFS(الريسبي!$C$2:$C$1800,الريسبي!$A$2:$A$1800,$A67,الريسبي!$B$2:$B$1800,X$1)+1.5*(SUMIFS(الريسبي!$C$2:$C$1800,الريسبي!$A$2:$A$1800,$A67,الريسبي!$B$2:$B$1800,"برسيون موتزريلا فطير كبير"))</f>
        <v>1</v>
      </c>
      <c r="Y67" s="117" t="n">
        <f aca="false">0</f>
        <v>0</v>
      </c>
      <c r="Z67" s="117" t="n">
        <f aca="false">SUMIFS(الريسبي!$C$2:$C$1800,الريسبي!$A$2:$A$1800,$A67,الريسبي!$B$2:$B$1800,Z$1)</f>
        <v>0</v>
      </c>
      <c r="AA67" s="117" t="n">
        <f aca="false">SUMIFS(الريسبي!$C$2:$C$1800,الريسبي!$A$2:$A$1800,$A67,الريسبي!$B$2:$B$1800,AA$1)</f>
        <v>0</v>
      </c>
      <c r="AB67" s="117" t="n">
        <f aca="false">SUMIFS(الريسبي!$C$2:$C$1800,الريسبي!$A$2:$A$1800,$A67,الريسبي!$B$2:$B$1800,AB$1)</f>
        <v>0</v>
      </c>
      <c r="AC67" s="117" t="n">
        <f aca="false">SUMIFS(الريسبي!$C$2:$C$1800,الريسبي!$A$2:$A$1800,$A67,الريسبي!$B$2:$B$1800,AC$1)</f>
        <v>0</v>
      </c>
      <c r="AD67" s="117" t="n">
        <f aca="false">SUMIFS(الريسبي!$C$2:$C$1800,الريسبي!$A$2:$A$1800,$A67,الريسبي!$B$2:$B$1800,AD$1)</f>
        <v>0</v>
      </c>
      <c r="AE67" s="117" t="n">
        <f aca="false">SUMIFS(الريسبي!$C$2:$C$1800,الريسبي!$A$2:$A$1800,$A67,الريسبي!$B$2:$B$1800,AE$1)</f>
        <v>0</v>
      </c>
      <c r="AF67" s="117" t="n">
        <f aca="false">SUMIFS(الريسبي!$C$2:$C$1800,الريسبي!$A$2:$A$1800,$A67,الريسبي!$B$2:$B$1800,AF$1)</f>
        <v>0</v>
      </c>
      <c r="AG67" s="117" t="n">
        <f aca="false">SUMIFS(الريسبي!$C$2:$C$1800,الريسبي!$A$2:$A$1800,$A67,الريسبي!$B$2:$B$1800,AG$1)</f>
        <v>0</v>
      </c>
      <c r="AH67" s="117" t="n">
        <f aca="false">SUMIFS(الريسبي!$C$2:$C$1800,الريسبي!$A$2:$A$1800,$A67,الريسبي!$B$2:$B$1800,AH$1)</f>
        <v>0</v>
      </c>
      <c r="AI67" s="117" t="n">
        <f aca="false">SUMIFS(الريسبي!$C$2:$C$1800,الريسبي!$A$2:$A$1800,$A67,الريسبي!$B$2:$B$1800,AI$1)</f>
        <v>0</v>
      </c>
      <c r="AJ67" s="117" t="n">
        <f aca="false">SUMIFS(الريسبي!$C$2:$C$1800,الريسبي!$A$2:$A$1800,$A67,الريسبي!$B$2:$B$1800,AJ$1)</f>
        <v>0</v>
      </c>
      <c r="AK67" s="117" t="n">
        <f aca="false">SUMIFS(الريسبي!$C$2:$C$1800,الريسبي!$A$2:$A$1800,$A67,الريسبي!$B$2:$B$1800,AK$1)</f>
        <v>0</v>
      </c>
      <c r="AL67" s="117" t="n">
        <f aca="false">SUMIFS(الريسبي!$C$2:$C$1800,الريسبي!$A$2:$A$1800,$A67,الريسبي!$B$2:$B$1800,AL$1)</f>
        <v>0</v>
      </c>
      <c r="AM67" s="117" t="n">
        <f aca="false">SUMIFS(الريسبي!$C$2:$C$1800,الريسبي!$A$2:$A$1800,$A67,الريسبي!$B$2:$B$1800,AM$1)+0.08333333333*SUMIFS(الريسبي!$C$2:$C$1800,الريسبي!$A$2:$A$1800,$A67,الريسبي!$B$2:$B$1800,"عجين كريب (مصنع بالمطعم)")+0.08333333333*SUMIFS(الريسبي!$C$2:$C$1800,الريسبي!$A$2:$A$1800,$A67,الريسبي!$B$2:$B$1800,"عجين كريب صيامي (بدون لبن)")</f>
        <v>0.08333333333</v>
      </c>
      <c r="AN67" s="117" t="n">
        <f aca="false">SUMIFS(الريسبي!$C$2:$C$1800,الريسبي!$A$2:$A$1800,$A67,الريسبي!$B$2:$B$1800,AN$1)+0.004166666667*SUMIFS(الريسبي!$C$2:$C$1800,الريسبي!$A$2:$A$1800,$A67,الريسبي!$B$2:$B$1800,"عجين كريب (مصنع بالمطعم)")+0.004166666667*SUMIFS(الريسبي!$C$2:$C$1800,الريسبي!$A$2:$A$1800,$A67,الريسبي!$B$2:$B$1800,"عجين كريب صيامي (بدون لبن)")</f>
        <v>0.004166666667</v>
      </c>
      <c r="AO67" s="117" t="n">
        <f aca="false">SUMIFS(الريسبي!$C$2:$C$1800,الريسبي!$A$2:$A$1800,$A67,الريسبي!$B$2:$B$1800,AO$1)</f>
        <v>0</v>
      </c>
      <c r="AP67" s="117" t="n">
        <f aca="false">SUMIFS(الريسبي!$C$2:$C$1800,الريسبي!$A$2:$A$1800,$A67,الريسبي!$B$2:$B$1800,AP$1)</f>
        <v>0.02</v>
      </c>
      <c r="AQ67" s="117" t="n">
        <f aca="false">SUMIFS(الريسبي!$C$2:$C$1800,الريسبي!$A$2:$A$1800,$A67,الريسبي!$B$2:$B$1800,AQ$1)+0.004166666667*SUMIFS(الريسبي!$C$2:$C$1800,الريسبي!$A$2:$A$1800,$A67,الريسبي!$B$2:$B$1800,"عجين كريب (مصنع بالمطعم)")+0.004166666667*SUMIFS(الريسبي!$C$2:$C$1800,الريسبي!$A$2:$A$1800,$A67,الريسبي!$B$2:$B$1800,"عجين كريب صيامي (بدون لبن)")</f>
        <v>0.004166666667</v>
      </c>
      <c r="AR67" s="117" t="n">
        <f aca="false">SUMIFS(الريسبي!$C$2:$C$1800,الريسبي!$A$2:$A$1800,$A67,الريسبي!$B$2:$B$1800,AR$1)</f>
        <v>0</v>
      </c>
      <c r="AS67" s="117" t="n">
        <f aca="false">SUMIFS(الريسبي!$C$2:$C$1800,الريسبي!$A$2:$A$1800,$A67,الريسبي!$B$2:$B$1800,AS$1)</f>
        <v>1</v>
      </c>
      <c r="AT67" s="117" t="n">
        <f aca="false">SUMIFS(الريسبي!$C$2:$C$1800,الريسبي!$A$2:$A$1800,$A67,الريسبي!$B$2:$B$1800,AT$1)</f>
        <v>0</v>
      </c>
      <c r="AU67" s="117" t="n">
        <f aca="false">SUMIFS(الريسبي!$C$2:$C$1800,الريسبي!$A$2:$A$1800,$A67,الريسبي!$B$2:$B$1800,AU$1)</f>
        <v>0</v>
      </c>
      <c r="AV67" s="117" t="n">
        <f aca="false">SUMIFS(الريسبي!$C$2:$C$1800,الريسبي!$A$2:$A$1800,$A67,الريسبي!$B$2:$B$1800,AV$1)</f>
        <v>0</v>
      </c>
      <c r="AW67" s="117" t="n">
        <f aca="false">SUMIFS(الريسبي!$C$2:$C$1800,الريسبي!$A$2:$A$1800,$A67,الريسبي!$B$2:$B$1800,AW$1)</f>
        <v>0</v>
      </c>
      <c r="AX67" s="117" t="n">
        <f aca="false">SUMIFS(الريسبي!$C$2:$C$1800,الريسبي!$A$2:$A$1800,$A67,الريسبي!$B$2:$B$1800,AX$1)</f>
        <v>0</v>
      </c>
      <c r="AY67" s="117" t="n">
        <f aca="false">SUMIFS(الريسبي!$C$2:$C$1800,الريسبي!$A$2:$A$1800,$A67,الريسبي!$B$2:$B$1800,AY$1)</f>
        <v>0</v>
      </c>
      <c r="AZ67" s="117" t="n">
        <f aca="false">SUMIFS(الريسبي!$C$2:$C$1800,الريسبي!$A$2:$A$1800,$A67,الريسبي!$B$2:$B$1800,AZ$1)</f>
        <v>0</v>
      </c>
      <c r="BA67" s="117" t="n">
        <f aca="false">SUMIFS(الريسبي!$C$2:$C$1800,الريسبي!$A$2:$A$1800,$A67,الريسبي!$B$2:$B$1800,BA$1)</f>
        <v>0</v>
      </c>
      <c r="BB67" s="117" t="n">
        <f aca="false">SUMIFS(الريسبي!$C$2:$C$1800,الريسبي!$A$2:$A$1800,$A67,الريسبي!$B$2:$B$1800,BB$1)</f>
        <v>0</v>
      </c>
      <c r="BC67" s="117" t="n">
        <f aca="false">SUMIFS(الريسبي!$C$2:$C$1800,الريسبي!$A$2:$A$1800,$A67,الريسبي!$B$2:$B$1800,BC$1)</f>
        <v>0.03</v>
      </c>
      <c r="BD67" s="117" t="n">
        <f aca="false">SUMIFS(الريسبي!$C$2:$C$1800,الريسبي!$A$2:$A$1800,$A67,الريسبي!$B$2:$B$1800,BD$1)</f>
        <v>0</v>
      </c>
      <c r="BE67" s="117" t="n">
        <f aca="false">SUMIFS(الريسبي!$C$2:$C$1800,الريسبي!$A$2:$A$1800,$A67,الريسبي!$B$2:$B$1800,BE$1)</f>
        <v>0</v>
      </c>
      <c r="BF67" s="117" t="n">
        <f aca="false">SUMIFS(الريسبي!$C$2:$C$1800,الريسبي!$A$2:$A$1800,$A67,الريسبي!$B$2:$B$1800,BF$1)</f>
        <v>0</v>
      </c>
      <c r="BG67" s="117" t="n">
        <f aca="false">SUMIFS(الريسبي!$C$2:$C$1800,الريسبي!$A$2:$A$1800,$A67,الريسبي!$B$2:$B$1800,BG$1)</f>
        <v>0</v>
      </c>
      <c r="BH67" s="117" t="n">
        <f aca="false">SUMIFS(الريسبي!$C$2:$C$1800,الريسبي!$A$2:$A$1800,$A67,الريسبي!$B$2:$B$1800,BH$1)</f>
        <v>0</v>
      </c>
      <c r="BI67" s="117" t="n">
        <f aca="false">SUMIFS(الريسبي!$C$2:$C$1800,الريسبي!$A$2:$A$1800,$A67,الريسبي!$B$2:$B$1800,BI$1)</f>
        <v>0</v>
      </c>
      <c r="BJ67" s="117" t="n">
        <f aca="false">SUMIFS(الريسبي!$C$2:$C$1800,الريسبي!$A$2:$A$1800,$A67,الريسبي!$B$2:$B$1800,BJ$1)</f>
        <v>0</v>
      </c>
      <c r="BK67" s="117" t="n">
        <f aca="false">SUMIFS(الريسبي!$C$2:$C$1800,الريسبي!$A$2:$A$1800,$A67,الريسبي!$B$2:$B$1800,BK$1)</f>
        <v>0</v>
      </c>
      <c r="BL67" s="117" t="n">
        <f aca="false">SUMIFS(الريسبي!$C$2:$C$1800,الريسبي!$A$2:$A$1800,$A67,الريسبي!$B$2:$B$1800,BL$1)</f>
        <v>0</v>
      </c>
      <c r="BM67" s="117" t="n">
        <f aca="false">SUMIFS(الريسبي!$C$2:$C$1800,الريسبي!$A$2:$A$1800,$A67,الريسبي!$B$2:$B$1800,BM$1)</f>
        <v>0</v>
      </c>
      <c r="BN67" s="117" t="n">
        <f aca="false">SUMIFS(الريسبي!$C$2:$C$1800,الريسبي!$A$2:$A$1800,$A67,الريسبي!$B$2:$B$1800,BN$1)</f>
        <v>0.02</v>
      </c>
      <c r="BO67" s="117" t="n">
        <f aca="false">SUMIFS(الريسبي!$C$2:$C$1800,الريسبي!$A$2:$A$1800,$A67,الريسبي!$B$2:$B$1800,BO$1)</f>
        <v>0</v>
      </c>
      <c r="BP67" s="117" t="n">
        <f aca="false">SUMIFS(الريسبي!$C$2:$C$1800,الريسبي!$A$2:$A$1800,$A67,الريسبي!$B$2:$B$1800,BP$1)</f>
        <v>0</v>
      </c>
      <c r="BQ67" s="117" t="n">
        <f aca="false">SUMIFS(الريسبي!$C$2:$C$1800,الريسبي!$A$2:$A$1800,$A67,الريسبي!$B$2:$B$1800,BQ$1)+0.17*SUMIFS(الريسبي!$C$2:$C$1800,الريسبي!$A$2:$A$1800,$A67,الريسبي!$B$2:$B$1800,"كاسترد مصنع (خليط بودر + لبن)")+0.17*SUMIFS(الريسبي!$C$2:$C$1800,الريسبي!$A$2:$A$1800,$A67,الريسبي!$B$2:$B$1800,"كاسترد مصنع صيامي (بدون لبن)")</f>
        <v>0</v>
      </c>
      <c r="BR67" s="117" t="n">
        <f aca="false">SUMIFS(الريسبي!$C$2:$C$1800,الريسبي!$A$2:$A$1800,$A67,الريسبي!$B$2:$B$1800,BR$1)</f>
        <v>0</v>
      </c>
      <c r="BS67" s="117" t="n">
        <f aca="false">SUMIFS(الريسبي!$C$2:$C$1800,الريسبي!$A$2:$A$1800,$A67,الريسبي!$B$2:$B$1800,BS$1)</f>
        <v>0</v>
      </c>
      <c r="BT67" s="117" t="n">
        <f aca="false">SUMIFS(الريسبي!$C$2:$C$1800,الريسبي!$A$2:$A$1800,$A67,الريسبي!$B$2:$B$1800,BT$1)</f>
        <v>1</v>
      </c>
      <c r="BU67" s="117" t="n">
        <f aca="false">SUMIFS(الريسبي!$C$2:$C$1800,الريسبي!$A$2:$A$1800,$A67,الريسبي!$B$2:$B$1800,BU$1)+0.4*SUMIFS(الريسبي!$C$2:$C$1800,الريسبي!$A$2:$A$1800,$A67,الريسبي!$B$2:$B$1800,"كاسترد مصنع (خليط بودر + لبن)")+0.03333333333*SUMIFS(الريسبي!$C$2:$C$1800,الريسبي!$A$2:$A$1800,$A67,الريسبي!$B$2:$B$1800,"عجين كريب (مصنع بالمطعم)")</f>
        <v>0.03333333333</v>
      </c>
      <c r="BV67" s="117" t="n">
        <f aca="false">SUMIFS(الريسبي!$C$2:$C$1800,الريسبي!$A$2:$A$1800,$A67,الريسبي!$B$2:$B$1800,BV$1)</f>
        <v>0</v>
      </c>
      <c r="BW67" s="117" t="n">
        <f aca="false">SUMIFS(الريسبي!$C$2:$C$1800,الريسبي!$A$2:$A$1800,$A67,الريسبي!$B$2:$B$1800,BW$1)</f>
        <v>0</v>
      </c>
      <c r="BX67" s="117" t="n">
        <f aca="false">SUMIFS(الريسبي!$C$2:$C$1800,الريسبي!$A$2:$A$1800,$A67,الريسبي!$B$2:$B$1800,BX$1)</f>
        <v>0</v>
      </c>
      <c r="BY67" s="117" t="n">
        <f aca="false">SUMIFS(الريسبي!$C$2:$C$1800,الريسبي!$A$2:$A$1800,$A67,الريسبي!$B$2:$B$1800,BY$1)</f>
        <v>0</v>
      </c>
      <c r="BZ67" s="117" t="n">
        <f aca="false">SUMIFS(الريسبي!$C$2:$C$1800,الريسبي!$A$2:$A$1800,$A67,الريسبي!$B$2:$B$1800,BZ$1)</f>
        <v>0</v>
      </c>
      <c r="CA67" s="117" t="n">
        <f aca="false">SUMIFS(الريسبي!$C$2:$C$1800,الريسبي!$A$2:$A$1800,$A67,الريسبي!$B$2:$B$1800,CA$1)</f>
        <v>0</v>
      </c>
      <c r="CB67" s="117" t="n">
        <f aca="false">SUMIFS(الريسبي!$C$2:$C$1800,الريسبي!$A$2:$A$1800,$A67,الريسبي!$B$2:$B$1800,CB$1)</f>
        <v>0</v>
      </c>
      <c r="CC67" s="117" t="n">
        <f aca="false">SUMIFS(الريسبي!$C$2:$C$1800,الريسبي!$A$2:$A$1800,$A67,الريسبي!$B$2:$B$1800,CC$1)</f>
        <v>0</v>
      </c>
      <c r="CD67" s="117" t="n">
        <f aca="false">SUMIFS(الريسبي!$C$2:$C$1800,الريسبي!$A$2:$A$1800,$A67,الريسبي!$B$2:$B$1800,CD$1)</f>
        <v>0</v>
      </c>
      <c r="CE67" s="117" t="n">
        <f aca="false">SUMIFS(الريسبي!$C$2:$C$1800,الريسبي!$A$2:$A$1800,$A67,الريسبي!$B$2:$B$1800,CE$1)</f>
        <v>0</v>
      </c>
      <c r="CF67" s="117" t="n">
        <f aca="false">SUMIFS(الريسبي!$C$2:$C$1800,الريسبي!$A$2:$A$1800,$A67,الريسبي!$B$2:$B$1800,CF$1)</f>
        <v>0</v>
      </c>
      <c r="CG67" s="117" t="n">
        <f aca="false">SUMIFS(الريسبي!$C$2:$C$1800,الريسبي!$A$2:$A$1800,$A67,الريسبي!$B$2:$B$1800,CG$1)</f>
        <v>0</v>
      </c>
      <c r="CH67" s="117" t="n">
        <f aca="false">SUMIFS(الريسبي!$C$2:$C$1800,الريسبي!$A$2:$A$1800,$A67,الريسبي!$B$2:$B$1800,CH$1)</f>
        <v>0</v>
      </c>
      <c r="CI67" s="117" t="n">
        <f aca="false">SUMIFS(الريسبي!$C$2:$C$1800,الريسبي!$A$2:$A$1800,$A67,الريسبي!$B$2:$B$1800,CI$1)</f>
        <v>0</v>
      </c>
      <c r="CJ67" s="117" t="n">
        <f aca="false">SUMIFS(الريسبي!$C$2:$C$1800,الريسبي!$A$2:$A$1800,$A67,الريسبي!$B$2:$B$1800,CJ$1)</f>
        <v>0</v>
      </c>
      <c r="CK67" s="117" t="n">
        <f aca="false">SUMIFS(الريسبي!$C$2:$C$1800,الريسبي!$A$2:$A$1800,$A67,الريسبي!$B$2:$B$1800,CK$1)</f>
        <v>0</v>
      </c>
      <c r="CL67" s="117" t="n">
        <f aca="false">SUMIFS(الريسبي!$C$2:$C$1800,الريسبي!$A$2:$A$1800,$A67,الريسبي!$B$2:$B$1800,CL$1)</f>
        <v>0</v>
      </c>
    </row>
    <row r="68" customFormat="false" ht="15" hidden="false" customHeight="false" outlineLevel="0" collapsed="false">
      <c r="A68" s="116" t="str">
        <f aca="false">المنيو!B68</f>
        <v>كريب سدق</v>
      </c>
      <c r="B68" s="117" t="n">
        <f aca="false">SUMIFS(الريسبي!$C$2:$C$1800,الريسبي!$A$2:$A$1800,$A68,الريسبي!$B$2:$B$1800,B$1)</f>
        <v>0</v>
      </c>
      <c r="C68" s="117" t="n">
        <f aca="false">SUMIFS(الريسبي!$C$2:$C$1800,الريسبي!$A$2:$A$1800,$A68,الريسبي!$B$2:$B$1800,C$1)</f>
        <v>0</v>
      </c>
      <c r="D68" s="117" t="n">
        <f aca="false">SUMIFS(الريسبي!$C$2:$C$1800,الريسبي!$A$2:$A$1800,$A68,الريسبي!$B$2:$B$1800,D$1)</f>
        <v>0</v>
      </c>
      <c r="E68" s="117" t="n">
        <f aca="false">SUMIFS(الريسبي!$C$2:$C$1800,الريسبي!$A$2:$A$1800,$A68,الريسبي!$B$2:$B$1800,E$1)</f>
        <v>0</v>
      </c>
      <c r="F68" s="117" t="n">
        <f aca="false">SUMIFS(الريسبي!$C$2:$C$1800,الريسبي!$A$2:$A$1800,$A68,الريسبي!$B$2:$B$1800,F$1)</f>
        <v>0</v>
      </c>
      <c r="G68" s="117" t="n">
        <f aca="false">SUMIFS(الريسبي!$C$2:$C$1800,الريسبي!$A$2:$A$1800,$A68,الريسبي!$B$2:$B$1800,G$1)</f>
        <v>0</v>
      </c>
      <c r="H68" s="117" t="n">
        <f aca="false">SUMIFS(الريسبي!$C$2:$C$1800,الريسبي!$A$2:$A$1800,$A68,الريسبي!$B$2:$B$1800,H$1)</f>
        <v>0</v>
      </c>
      <c r="I68" s="117" t="n">
        <f aca="false">SUMIFS(الريسبي!$C$2:$C$1800,الريسبي!$A$2:$A$1800,$A68,الريسبي!$B$2:$B$1800,I$1)</f>
        <v>0</v>
      </c>
      <c r="J68" s="117" t="n">
        <f aca="false">SUMIFS(الريسبي!$C$2:$C$1800,الريسبي!$A$2:$A$1800,$A68,الريسبي!$B$2:$B$1800,J$1)</f>
        <v>0</v>
      </c>
      <c r="K68" s="117" t="n">
        <f aca="false">SUMIFS(الريسبي!$C$2:$C$1800,الريسبي!$A$2:$A$1800,$A68,الريسبي!$B$2:$B$1800,K$1)</f>
        <v>0</v>
      </c>
      <c r="L68" s="117" t="n">
        <f aca="false">SUMIFS(الريسبي!$C$2:$C$1800,الريسبي!$A$2:$A$1800,$A68,الريسبي!$B$2:$B$1800,L$1)</f>
        <v>0</v>
      </c>
      <c r="M68" s="117" t="n">
        <f aca="false">SUMIFS(الريسبي!$C$2:$C$1800,الريسبي!$A$2:$A$1800,$A68,الريسبي!$B$2:$B$1800,M$1)</f>
        <v>0.5</v>
      </c>
      <c r="N68" s="117" t="n">
        <f aca="false">SUMIFS(الريسبي!$C$2:$C$1800,الريسبي!$A$2:$A$1800,$A68,الريسبي!$B$2:$B$1800,N$1)</f>
        <v>0</v>
      </c>
      <c r="O68" s="117" t="n">
        <f aca="false">SUMIFS(الريسبي!$C$2:$C$1800,الريسبي!$A$2:$A$1800,$A68,الريسبي!$B$2:$B$1800,O$1)</f>
        <v>0</v>
      </c>
      <c r="P68" s="117" t="n">
        <f aca="false">SUMIFS(الريسبي!$C$2:$C$1800,الريسبي!$A$2:$A$1800,$A68,الريسبي!$B$2:$B$1800,P$1)</f>
        <v>0</v>
      </c>
      <c r="Q68" s="117" t="n">
        <f aca="false">SUMIFS(الريسبي!$C$2:$C$1800,الريسبي!$A$2:$A$1800,$A68,الريسبي!$B$2:$B$1800,Q$1)</f>
        <v>0</v>
      </c>
      <c r="R68" s="117" t="n">
        <f aca="false">SUMIFS(الريسبي!$C$2:$C$1800,الريسبي!$A$2:$A$1800,$A68,الريسبي!$B$2:$B$1800,R$1)</f>
        <v>0</v>
      </c>
      <c r="S68" s="117" t="n">
        <f aca="false">SUMIFS(الريسبي!$C$2:$C$1800,الريسبي!$A$2:$A$1800,$A68,الريسبي!$B$2:$B$1800,S$1)</f>
        <v>0</v>
      </c>
      <c r="T68" s="117" t="n">
        <f aca="false">SUMIFS(الريسبي!$C$2:$C$1800,الريسبي!$A$2:$A$1800,$A68,الريسبي!$B$2:$B$1800,T$1)</f>
        <v>0</v>
      </c>
      <c r="U68" s="117" t="n">
        <f aca="false">SUMIFS(الريسبي!$C$2:$C$1800,الريسبي!$A$2:$A$1800,$A68,الريسبي!$B$2:$B$1800,U$1)</f>
        <v>0</v>
      </c>
      <c r="V68" s="117" t="n">
        <f aca="false">SUMIFS(الريسبي!$C$2:$C$1800,الريسبي!$A$2:$A$1800,$A68,الريسبي!$B$2:$B$1800,V$1)+1.5*(SUMIFS(الريسبي!$C$2:$C$1800,الريسبي!$A$2:$A$1800,$A68,الريسبي!$B$2:$B$1800,"برسيون موتزريلا بيتزا كبير"))</f>
        <v>0</v>
      </c>
      <c r="W68" s="117" t="n">
        <f aca="false">0</f>
        <v>0</v>
      </c>
      <c r="X68" s="117" t="n">
        <f aca="false">SUMIFS(الريسبي!$C$2:$C$1800,الريسبي!$A$2:$A$1800,$A68,الريسبي!$B$2:$B$1800,X$1)+1.5*(SUMIFS(الريسبي!$C$2:$C$1800,الريسبي!$A$2:$A$1800,$A68,الريسبي!$B$2:$B$1800,"برسيون موتزريلا فطير كبير"))</f>
        <v>1</v>
      </c>
      <c r="Y68" s="117" t="n">
        <f aca="false">0</f>
        <v>0</v>
      </c>
      <c r="Z68" s="117" t="n">
        <f aca="false">SUMIFS(الريسبي!$C$2:$C$1800,الريسبي!$A$2:$A$1800,$A68,الريسبي!$B$2:$B$1800,Z$1)</f>
        <v>0</v>
      </c>
      <c r="AA68" s="117" t="n">
        <f aca="false">SUMIFS(الريسبي!$C$2:$C$1800,الريسبي!$A$2:$A$1800,$A68,الريسبي!$B$2:$B$1800,AA$1)</f>
        <v>0</v>
      </c>
      <c r="AB68" s="117" t="n">
        <f aca="false">SUMIFS(الريسبي!$C$2:$C$1800,الريسبي!$A$2:$A$1800,$A68,الريسبي!$B$2:$B$1800,AB$1)</f>
        <v>0</v>
      </c>
      <c r="AC68" s="117" t="n">
        <f aca="false">SUMIFS(الريسبي!$C$2:$C$1800,الريسبي!$A$2:$A$1800,$A68,الريسبي!$B$2:$B$1800,AC$1)</f>
        <v>0</v>
      </c>
      <c r="AD68" s="117" t="n">
        <f aca="false">SUMIFS(الريسبي!$C$2:$C$1800,الريسبي!$A$2:$A$1800,$A68,الريسبي!$B$2:$B$1800,AD$1)</f>
        <v>0</v>
      </c>
      <c r="AE68" s="117" t="n">
        <f aca="false">SUMIFS(الريسبي!$C$2:$C$1800,الريسبي!$A$2:$A$1800,$A68,الريسبي!$B$2:$B$1800,AE$1)</f>
        <v>0</v>
      </c>
      <c r="AF68" s="117" t="n">
        <f aca="false">SUMIFS(الريسبي!$C$2:$C$1800,الريسبي!$A$2:$A$1800,$A68,الريسبي!$B$2:$B$1800,AF$1)</f>
        <v>0</v>
      </c>
      <c r="AG68" s="117" t="n">
        <f aca="false">SUMIFS(الريسبي!$C$2:$C$1800,الريسبي!$A$2:$A$1800,$A68,الريسبي!$B$2:$B$1800,AG$1)</f>
        <v>0</v>
      </c>
      <c r="AH68" s="117" t="n">
        <f aca="false">SUMIFS(الريسبي!$C$2:$C$1800,الريسبي!$A$2:$A$1800,$A68,الريسبي!$B$2:$B$1800,AH$1)</f>
        <v>0</v>
      </c>
      <c r="AI68" s="117" t="n">
        <f aca="false">SUMIFS(الريسبي!$C$2:$C$1800,الريسبي!$A$2:$A$1800,$A68,الريسبي!$B$2:$B$1800,AI$1)</f>
        <v>0</v>
      </c>
      <c r="AJ68" s="117" t="n">
        <f aca="false">SUMIFS(الريسبي!$C$2:$C$1800,الريسبي!$A$2:$A$1800,$A68,الريسبي!$B$2:$B$1800,AJ$1)</f>
        <v>0</v>
      </c>
      <c r="AK68" s="117" t="n">
        <f aca="false">SUMIFS(الريسبي!$C$2:$C$1800,الريسبي!$A$2:$A$1800,$A68,الريسبي!$B$2:$B$1800,AK$1)</f>
        <v>0</v>
      </c>
      <c r="AL68" s="117" t="n">
        <f aca="false">SUMIFS(الريسبي!$C$2:$C$1800,الريسبي!$A$2:$A$1800,$A68,الريسبي!$B$2:$B$1800,AL$1)</f>
        <v>0</v>
      </c>
      <c r="AM68" s="117" t="n">
        <f aca="false">SUMIFS(الريسبي!$C$2:$C$1800,الريسبي!$A$2:$A$1800,$A68,الريسبي!$B$2:$B$1800,AM$1)+0.08333333333*SUMIFS(الريسبي!$C$2:$C$1800,الريسبي!$A$2:$A$1800,$A68,الريسبي!$B$2:$B$1800,"عجين كريب (مصنع بالمطعم)")+0.08333333333*SUMIFS(الريسبي!$C$2:$C$1800,الريسبي!$A$2:$A$1800,$A68,الريسبي!$B$2:$B$1800,"عجين كريب صيامي (بدون لبن)")</f>
        <v>0.08333333333</v>
      </c>
      <c r="AN68" s="117" t="n">
        <f aca="false">SUMIFS(الريسبي!$C$2:$C$1800,الريسبي!$A$2:$A$1800,$A68,الريسبي!$B$2:$B$1800,AN$1)+0.004166666667*SUMIFS(الريسبي!$C$2:$C$1800,الريسبي!$A$2:$A$1800,$A68,الريسبي!$B$2:$B$1800,"عجين كريب (مصنع بالمطعم)")+0.004166666667*SUMIFS(الريسبي!$C$2:$C$1800,الريسبي!$A$2:$A$1800,$A68,الريسبي!$B$2:$B$1800,"عجين كريب صيامي (بدون لبن)")</f>
        <v>0.004166666667</v>
      </c>
      <c r="AO68" s="117" t="n">
        <f aca="false">SUMIFS(الريسبي!$C$2:$C$1800,الريسبي!$A$2:$A$1800,$A68,الريسبي!$B$2:$B$1800,AO$1)</f>
        <v>0</v>
      </c>
      <c r="AP68" s="117" t="n">
        <f aca="false">SUMIFS(الريسبي!$C$2:$C$1800,الريسبي!$A$2:$A$1800,$A68,الريسبي!$B$2:$B$1800,AP$1)</f>
        <v>0.02</v>
      </c>
      <c r="AQ68" s="117" t="n">
        <f aca="false">SUMIFS(الريسبي!$C$2:$C$1800,الريسبي!$A$2:$A$1800,$A68,الريسبي!$B$2:$B$1800,AQ$1)+0.004166666667*SUMIFS(الريسبي!$C$2:$C$1800,الريسبي!$A$2:$A$1800,$A68,الريسبي!$B$2:$B$1800,"عجين كريب (مصنع بالمطعم)")+0.004166666667*SUMIFS(الريسبي!$C$2:$C$1800,الريسبي!$A$2:$A$1800,$A68,الريسبي!$B$2:$B$1800,"عجين كريب صيامي (بدون لبن)")</f>
        <v>0.004166666667</v>
      </c>
      <c r="AR68" s="117" t="n">
        <f aca="false">SUMIFS(الريسبي!$C$2:$C$1800,الريسبي!$A$2:$A$1800,$A68,الريسبي!$B$2:$B$1800,AR$1)</f>
        <v>0</v>
      </c>
      <c r="AS68" s="117" t="n">
        <f aca="false">SUMIFS(الريسبي!$C$2:$C$1800,الريسبي!$A$2:$A$1800,$A68,الريسبي!$B$2:$B$1800,AS$1)</f>
        <v>1</v>
      </c>
      <c r="AT68" s="117" t="n">
        <f aca="false">SUMIFS(الريسبي!$C$2:$C$1800,الريسبي!$A$2:$A$1800,$A68,الريسبي!$B$2:$B$1800,AT$1)</f>
        <v>0</v>
      </c>
      <c r="AU68" s="117" t="n">
        <f aca="false">SUMIFS(الريسبي!$C$2:$C$1800,الريسبي!$A$2:$A$1800,$A68,الريسبي!$B$2:$B$1800,AU$1)</f>
        <v>0</v>
      </c>
      <c r="AV68" s="117" t="n">
        <f aca="false">SUMIFS(الريسبي!$C$2:$C$1800,الريسبي!$A$2:$A$1800,$A68,الريسبي!$B$2:$B$1800,AV$1)</f>
        <v>0</v>
      </c>
      <c r="AW68" s="117" t="n">
        <f aca="false">SUMIFS(الريسبي!$C$2:$C$1800,الريسبي!$A$2:$A$1800,$A68,الريسبي!$B$2:$B$1800,AW$1)</f>
        <v>0</v>
      </c>
      <c r="AX68" s="117" t="n">
        <f aca="false">SUMIFS(الريسبي!$C$2:$C$1800,الريسبي!$A$2:$A$1800,$A68,الريسبي!$B$2:$B$1800,AX$1)</f>
        <v>0</v>
      </c>
      <c r="AY68" s="117" t="n">
        <f aca="false">SUMIFS(الريسبي!$C$2:$C$1800,الريسبي!$A$2:$A$1800,$A68,الريسبي!$B$2:$B$1800,AY$1)</f>
        <v>0</v>
      </c>
      <c r="AZ68" s="117" t="n">
        <f aca="false">SUMIFS(الريسبي!$C$2:$C$1800,الريسبي!$A$2:$A$1800,$A68,الريسبي!$B$2:$B$1800,AZ$1)</f>
        <v>0</v>
      </c>
      <c r="BA68" s="117" t="n">
        <f aca="false">SUMIFS(الريسبي!$C$2:$C$1800,الريسبي!$A$2:$A$1800,$A68,الريسبي!$B$2:$B$1800,BA$1)</f>
        <v>0</v>
      </c>
      <c r="BB68" s="117" t="n">
        <f aca="false">SUMIFS(الريسبي!$C$2:$C$1800,الريسبي!$A$2:$A$1800,$A68,الريسبي!$B$2:$B$1800,BB$1)</f>
        <v>0</v>
      </c>
      <c r="BC68" s="117" t="n">
        <f aca="false">SUMIFS(الريسبي!$C$2:$C$1800,الريسبي!$A$2:$A$1800,$A68,الريسبي!$B$2:$B$1800,BC$1)</f>
        <v>0.03</v>
      </c>
      <c r="BD68" s="117" t="n">
        <f aca="false">SUMIFS(الريسبي!$C$2:$C$1800,الريسبي!$A$2:$A$1800,$A68,الريسبي!$B$2:$B$1800,BD$1)</f>
        <v>0</v>
      </c>
      <c r="BE68" s="117" t="n">
        <f aca="false">SUMIFS(الريسبي!$C$2:$C$1800,الريسبي!$A$2:$A$1800,$A68,الريسبي!$B$2:$B$1800,BE$1)</f>
        <v>0</v>
      </c>
      <c r="BF68" s="117" t="n">
        <f aca="false">SUMIFS(الريسبي!$C$2:$C$1800,الريسبي!$A$2:$A$1800,$A68,الريسبي!$B$2:$B$1800,BF$1)</f>
        <v>0</v>
      </c>
      <c r="BG68" s="117" t="n">
        <f aca="false">SUMIFS(الريسبي!$C$2:$C$1800,الريسبي!$A$2:$A$1800,$A68,الريسبي!$B$2:$B$1800,BG$1)</f>
        <v>0</v>
      </c>
      <c r="BH68" s="117" t="n">
        <f aca="false">SUMIFS(الريسبي!$C$2:$C$1800,الريسبي!$A$2:$A$1800,$A68,الريسبي!$B$2:$B$1800,BH$1)</f>
        <v>0</v>
      </c>
      <c r="BI68" s="117" t="n">
        <f aca="false">SUMIFS(الريسبي!$C$2:$C$1800,الريسبي!$A$2:$A$1800,$A68,الريسبي!$B$2:$B$1800,BI$1)</f>
        <v>0</v>
      </c>
      <c r="BJ68" s="117" t="n">
        <f aca="false">SUMIFS(الريسبي!$C$2:$C$1800,الريسبي!$A$2:$A$1800,$A68,الريسبي!$B$2:$B$1800,BJ$1)</f>
        <v>0</v>
      </c>
      <c r="BK68" s="117" t="n">
        <f aca="false">SUMIFS(الريسبي!$C$2:$C$1800,الريسبي!$A$2:$A$1800,$A68,الريسبي!$B$2:$B$1800,BK$1)</f>
        <v>0</v>
      </c>
      <c r="BL68" s="117" t="n">
        <f aca="false">SUMIFS(الريسبي!$C$2:$C$1800,الريسبي!$A$2:$A$1800,$A68,الريسبي!$B$2:$B$1800,BL$1)</f>
        <v>0</v>
      </c>
      <c r="BM68" s="117" t="n">
        <f aca="false">SUMIFS(الريسبي!$C$2:$C$1800,الريسبي!$A$2:$A$1800,$A68,الريسبي!$B$2:$B$1800,BM$1)</f>
        <v>0</v>
      </c>
      <c r="BN68" s="117" t="n">
        <f aca="false">SUMIFS(الريسبي!$C$2:$C$1800,الريسبي!$A$2:$A$1800,$A68,الريسبي!$B$2:$B$1800,BN$1)</f>
        <v>0.02</v>
      </c>
      <c r="BO68" s="117" t="n">
        <f aca="false">SUMIFS(الريسبي!$C$2:$C$1800,الريسبي!$A$2:$A$1800,$A68,الريسبي!$B$2:$B$1800,BO$1)</f>
        <v>0</v>
      </c>
      <c r="BP68" s="117" t="n">
        <f aca="false">SUMIFS(الريسبي!$C$2:$C$1800,الريسبي!$A$2:$A$1800,$A68,الريسبي!$B$2:$B$1800,BP$1)</f>
        <v>0</v>
      </c>
      <c r="BQ68" s="117" t="n">
        <f aca="false">SUMIFS(الريسبي!$C$2:$C$1800,الريسبي!$A$2:$A$1800,$A68,الريسبي!$B$2:$B$1800,BQ$1)+0.17*SUMIFS(الريسبي!$C$2:$C$1800,الريسبي!$A$2:$A$1800,$A68,الريسبي!$B$2:$B$1800,"كاسترد مصنع (خليط بودر + لبن)")+0.17*SUMIFS(الريسبي!$C$2:$C$1800,الريسبي!$A$2:$A$1800,$A68,الريسبي!$B$2:$B$1800,"كاسترد مصنع صيامي (بدون لبن)")</f>
        <v>0</v>
      </c>
      <c r="BR68" s="117" t="n">
        <f aca="false">SUMIFS(الريسبي!$C$2:$C$1800,الريسبي!$A$2:$A$1800,$A68,الريسبي!$B$2:$B$1800,BR$1)</f>
        <v>0</v>
      </c>
      <c r="BS68" s="117" t="n">
        <f aca="false">SUMIFS(الريسبي!$C$2:$C$1800,الريسبي!$A$2:$A$1800,$A68,الريسبي!$B$2:$B$1800,BS$1)</f>
        <v>0</v>
      </c>
      <c r="BT68" s="117" t="n">
        <f aca="false">SUMIFS(الريسبي!$C$2:$C$1800,الريسبي!$A$2:$A$1800,$A68,الريسبي!$B$2:$B$1800,BT$1)</f>
        <v>1</v>
      </c>
      <c r="BU68" s="117" t="n">
        <f aca="false">SUMIFS(الريسبي!$C$2:$C$1800,الريسبي!$A$2:$A$1800,$A68,الريسبي!$B$2:$B$1800,BU$1)+0.4*SUMIFS(الريسبي!$C$2:$C$1800,الريسبي!$A$2:$A$1800,$A68,الريسبي!$B$2:$B$1800,"كاسترد مصنع (خليط بودر + لبن)")+0.03333333333*SUMIFS(الريسبي!$C$2:$C$1800,الريسبي!$A$2:$A$1800,$A68,الريسبي!$B$2:$B$1800,"عجين كريب (مصنع بالمطعم)")</f>
        <v>0.03333333333</v>
      </c>
      <c r="BV68" s="117" t="n">
        <f aca="false">SUMIFS(الريسبي!$C$2:$C$1800,الريسبي!$A$2:$A$1800,$A68,الريسبي!$B$2:$B$1800,BV$1)</f>
        <v>0</v>
      </c>
      <c r="BW68" s="117" t="n">
        <f aca="false">SUMIFS(الريسبي!$C$2:$C$1800,الريسبي!$A$2:$A$1800,$A68,الريسبي!$B$2:$B$1800,BW$1)</f>
        <v>0</v>
      </c>
      <c r="BX68" s="117" t="n">
        <f aca="false">SUMIFS(الريسبي!$C$2:$C$1800,الريسبي!$A$2:$A$1800,$A68,الريسبي!$B$2:$B$1800,BX$1)</f>
        <v>0</v>
      </c>
      <c r="BY68" s="117" t="n">
        <f aca="false">SUMIFS(الريسبي!$C$2:$C$1800,الريسبي!$A$2:$A$1800,$A68,الريسبي!$B$2:$B$1800,BY$1)</f>
        <v>0</v>
      </c>
      <c r="BZ68" s="117" t="n">
        <f aca="false">SUMIFS(الريسبي!$C$2:$C$1800,الريسبي!$A$2:$A$1800,$A68,الريسبي!$B$2:$B$1800,BZ$1)</f>
        <v>0</v>
      </c>
      <c r="CA68" s="117" t="n">
        <f aca="false">SUMIFS(الريسبي!$C$2:$C$1800,الريسبي!$A$2:$A$1800,$A68,الريسبي!$B$2:$B$1800,CA$1)</f>
        <v>0</v>
      </c>
      <c r="CB68" s="117" t="n">
        <f aca="false">SUMIFS(الريسبي!$C$2:$C$1800,الريسبي!$A$2:$A$1800,$A68,الريسبي!$B$2:$B$1800,CB$1)</f>
        <v>0</v>
      </c>
      <c r="CC68" s="117" t="n">
        <f aca="false">SUMIFS(الريسبي!$C$2:$C$1800,الريسبي!$A$2:$A$1800,$A68,الريسبي!$B$2:$B$1800,CC$1)</f>
        <v>0</v>
      </c>
      <c r="CD68" s="117" t="n">
        <f aca="false">SUMIFS(الريسبي!$C$2:$C$1800,الريسبي!$A$2:$A$1800,$A68,الريسبي!$B$2:$B$1800,CD$1)</f>
        <v>0</v>
      </c>
      <c r="CE68" s="117" t="n">
        <f aca="false">SUMIFS(الريسبي!$C$2:$C$1800,الريسبي!$A$2:$A$1800,$A68,الريسبي!$B$2:$B$1800,CE$1)</f>
        <v>0</v>
      </c>
      <c r="CF68" s="117" t="n">
        <f aca="false">SUMIFS(الريسبي!$C$2:$C$1800,الريسبي!$A$2:$A$1800,$A68,الريسبي!$B$2:$B$1800,CF$1)</f>
        <v>0</v>
      </c>
      <c r="CG68" s="117" t="n">
        <f aca="false">SUMIFS(الريسبي!$C$2:$C$1800,الريسبي!$A$2:$A$1800,$A68,الريسبي!$B$2:$B$1800,CG$1)</f>
        <v>0</v>
      </c>
      <c r="CH68" s="117" t="n">
        <f aca="false">SUMIFS(الريسبي!$C$2:$C$1800,الريسبي!$A$2:$A$1800,$A68,الريسبي!$B$2:$B$1800,CH$1)</f>
        <v>0</v>
      </c>
      <c r="CI68" s="117" t="n">
        <f aca="false">SUMIFS(الريسبي!$C$2:$C$1800,الريسبي!$A$2:$A$1800,$A68,الريسبي!$B$2:$B$1800,CI$1)</f>
        <v>0</v>
      </c>
      <c r="CJ68" s="117" t="n">
        <f aca="false">SUMIFS(الريسبي!$C$2:$C$1800,الريسبي!$A$2:$A$1800,$A68,الريسبي!$B$2:$B$1800,CJ$1)</f>
        <v>0</v>
      </c>
      <c r="CK68" s="117" t="n">
        <f aca="false">SUMIFS(الريسبي!$C$2:$C$1800,الريسبي!$A$2:$A$1800,$A68,الريسبي!$B$2:$B$1800,CK$1)</f>
        <v>0</v>
      </c>
      <c r="CL68" s="117" t="n">
        <f aca="false">SUMIFS(الريسبي!$C$2:$C$1800,الريسبي!$A$2:$A$1800,$A68,الريسبي!$B$2:$B$1800,CL$1)</f>
        <v>0</v>
      </c>
    </row>
    <row r="69" customFormat="false" ht="15" hidden="false" customHeight="false" outlineLevel="0" collapsed="false">
      <c r="A69" s="116" t="str">
        <f aca="false">المنيو!B69</f>
        <v>كريب فراخ باربيكيو</v>
      </c>
      <c r="B69" s="117" t="n">
        <f aca="false">SUMIFS(الريسبي!$C$2:$C$1800,الريسبي!$A$2:$A$1800,$A69,الريسبي!$B$2:$B$1800,B$1)</f>
        <v>0</v>
      </c>
      <c r="C69" s="117" t="n">
        <f aca="false">SUMIFS(الريسبي!$C$2:$C$1800,الريسبي!$A$2:$A$1800,$A69,الريسبي!$B$2:$B$1800,C$1)</f>
        <v>0</v>
      </c>
      <c r="D69" s="117" t="n">
        <f aca="false">SUMIFS(الريسبي!$C$2:$C$1800,الريسبي!$A$2:$A$1800,$A69,الريسبي!$B$2:$B$1800,D$1)</f>
        <v>0</v>
      </c>
      <c r="E69" s="117" t="n">
        <f aca="false">SUMIFS(الريسبي!$C$2:$C$1800,الريسبي!$A$2:$A$1800,$A69,الريسبي!$B$2:$B$1800,E$1)</f>
        <v>0</v>
      </c>
      <c r="F69" s="117" t="n">
        <f aca="false">SUMIFS(الريسبي!$C$2:$C$1800,الريسبي!$A$2:$A$1800,$A69,الريسبي!$B$2:$B$1800,F$1)</f>
        <v>0</v>
      </c>
      <c r="G69" s="117" t="n">
        <f aca="false">SUMIFS(الريسبي!$C$2:$C$1800,الريسبي!$A$2:$A$1800,$A69,الريسبي!$B$2:$B$1800,G$1)</f>
        <v>0</v>
      </c>
      <c r="H69" s="117" t="n">
        <f aca="false">SUMIFS(الريسبي!$C$2:$C$1800,الريسبي!$A$2:$A$1800,$A69,الريسبي!$B$2:$B$1800,H$1)</f>
        <v>0</v>
      </c>
      <c r="I69" s="117" t="n">
        <f aca="false">SUMIFS(الريسبي!$C$2:$C$1800,الريسبي!$A$2:$A$1800,$A69,الريسبي!$B$2:$B$1800,I$1)</f>
        <v>0</v>
      </c>
      <c r="J69" s="117" t="n">
        <f aca="false">SUMIFS(الريسبي!$C$2:$C$1800,الريسبي!$A$2:$A$1800,$A69,الريسبي!$B$2:$B$1800,J$1)</f>
        <v>0</v>
      </c>
      <c r="K69" s="117" t="n">
        <f aca="false">SUMIFS(الريسبي!$C$2:$C$1800,الريسبي!$A$2:$A$1800,$A69,الريسبي!$B$2:$B$1800,K$1)</f>
        <v>0</v>
      </c>
      <c r="L69" s="117" t="n">
        <f aca="false">SUMIFS(الريسبي!$C$2:$C$1800,الريسبي!$A$2:$A$1800,$A69,الريسبي!$B$2:$B$1800,L$1)</f>
        <v>0</v>
      </c>
      <c r="M69" s="117" t="n">
        <f aca="false">SUMIFS(الريسبي!$C$2:$C$1800,الريسبي!$A$2:$A$1800,$A69,الريسبي!$B$2:$B$1800,M$1)</f>
        <v>0</v>
      </c>
      <c r="N69" s="117" t="n">
        <f aca="false">SUMIFS(الريسبي!$C$2:$C$1800,الريسبي!$A$2:$A$1800,$A69,الريسبي!$B$2:$B$1800,N$1)</f>
        <v>0</v>
      </c>
      <c r="O69" s="117" t="n">
        <f aca="false">SUMIFS(الريسبي!$C$2:$C$1800,الريسبي!$A$2:$A$1800,$A69,الريسبي!$B$2:$B$1800,O$1)</f>
        <v>1</v>
      </c>
      <c r="P69" s="117" t="n">
        <f aca="false">SUMIFS(الريسبي!$C$2:$C$1800,الريسبي!$A$2:$A$1800,$A69,الريسبي!$B$2:$B$1800,P$1)</f>
        <v>0</v>
      </c>
      <c r="Q69" s="117" t="n">
        <f aca="false">SUMIFS(الريسبي!$C$2:$C$1800,الريسبي!$A$2:$A$1800,$A69,الريسبي!$B$2:$B$1800,Q$1)</f>
        <v>0</v>
      </c>
      <c r="R69" s="117" t="n">
        <f aca="false">SUMIFS(الريسبي!$C$2:$C$1800,الريسبي!$A$2:$A$1800,$A69,الريسبي!$B$2:$B$1800,R$1)</f>
        <v>0</v>
      </c>
      <c r="S69" s="117" t="n">
        <f aca="false">SUMIFS(الريسبي!$C$2:$C$1800,الريسبي!$A$2:$A$1800,$A69,الريسبي!$B$2:$B$1800,S$1)</f>
        <v>0</v>
      </c>
      <c r="T69" s="117" t="n">
        <f aca="false">SUMIFS(الريسبي!$C$2:$C$1800,الريسبي!$A$2:$A$1800,$A69,الريسبي!$B$2:$B$1800,T$1)</f>
        <v>0</v>
      </c>
      <c r="U69" s="117" t="n">
        <f aca="false">SUMIFS(الريسبي!$C$2:$C$1800,الريسبي!$A$2:$A$1800,$A69,الريسبي!$B$2:$B$1800,U$1)</f>
        <v>0</v>
      </c>
      <c r="V69" s="117" t="n">
        <f aca="false">SUMIFS(الريسبي!$C$2:$C$1800,الريسبي!$A$2:$A$1800,$A69,الريسبي!$B$2:$B$1800,V$1)+1.5*(SUMIFS(الريسبي!$C$2:$C$1800,الريسبي!$A$2:$A$1800,$A69,الريسبي!$B$2:$B$1800,"برسيون موتزريلا بيتزا كبير"))</f>
        <v>0</v>
      </c>
      <c r="W69" s="117" t="n">
        <f aca="false">0</f>
        <v>0</v>
      </c>
      <c r="X69" s="117" t="n">
        <f aca="false">SUMIFS(الريسبي!$C$2:$C$1800,الريسبي!$A$2:$A$1800,$A69,الريسبي!$B$2:$B$1800,X$1)+1.5*(SUMIFS(الريسبي!$C$2:$C$1800,الريسبي!$A$2:$A$1800,$A69,الريسبي!$B$2:$B$1800,"برسيون موتزريلا فطير كبير"))</f>
        <v>1</v>
      </c>
      <c r="Y69" s="117" t="n">
        <f aca="false">0</f>
        <v>0</v>
      </c>
      <c r="Z69" s="117" t="n">
        <f aca="false">SUMIFS(الريسبي!$C$2:$C$1800,الريسبي!$A$2:$A$1800,$A69,الريسبي!$B$2:$B$1800,Z$1)</f>
        <v>0</v>
      </c>
      <c r="AA69" s="117" t="n">
        <f aca="false">SUMIFS(الريسبي!$C$2:$C$1800,الريسبي!$A$2:$A$1800,$A69,الريسبي!$B$2:$B$1800,AA$1)</f>
        <v>0</v>
      </c>
      <c r="AB69" s="117" t="n">
        <f aca="false">SUMIFS(الريسبي!$C$2:$C$1800,الريسبي!$A$2:$A$1800,$A69,الريسبي!$B$2:$B$1800,AB$1)</f>
        <v>0</v>
      </c>
      <c r="AC69" s="117" t="n">
        <f aca="false">SUMIFS(الريسبي!$C$2:$C$1800,الريسبي!$A$2:$A$1800,$A69,الريسبي!$B$2:$B$1800,AC$1)</f>
        <v>0</v>
      </c>
      <c r="AD69" s="117" t="n">
        <f aca="false">SUMIFS(الريسبي!$C$2:$C$1800,الريسبي!$A$2:$A$1800,$A69,الريسبي!$B$2:$B$1800,AD$1)</f>
        <v>0</v>
      </c>
      <c r="AE69" s="117" t="n">
        <f aca="false">SUMIFS(الريسبي!$C$2:$C$1800,الريسبي!$A$2:$A$1800,$A69,الريسبي!$B$2:$B$1800,AE$1)</f>
        <v>0</v>
      </c>
      <c r="AF69" s="117" t="n">
        <f aca="false">SUMIFS(الريسبي!$C$2:$C$1800,الريسبي!$A$2:$A$1800,$A69,الريسبي!$B$2:$B$1800,AF$1)</f>
        <v>0</v>
      </c>
      <c r="AG69" s="117" t="n">
        <f aca="false">SUMIFS(الريسبي!$C$2:$C$1800,الريسبي!$A$2:$A$1800,$A69,الريسبي!$B$2:$B$1800,AG$1)</f>
        <v>0</v>
      </c>
      <c r="AH69" s="117" t="n">
        <f aca="false">SUMIFS(الريسبي!$C$2:$C$1800,الريسبي!$A$2:$A$1800,$A69,الريسبي!$B$2:$B$1800,AH$1)</f>
        <v>0</v>
      </c>
      <c r="AI69" s="117" t="n">
        <f aca="false">SUMIFS(الريسبي!$C$2:$C$1800,الريسبي!$A$2:$A$1800,$A69,الريسبي!$B$2:$B$1800,AI$1)</f>
        <v>0</v>
      </c>
      <c r="AJ69" s="117" t="n">
        <f aca="false">SUMIFS(الريسبي!$C$2:$C$1800,الريسبي!$A$2:$A$1800,$A69,الريسبي!$B$2:$B$1800,AJ$1)</f>
        <v>0</v>
      </c>
      <c r="AK69" s="117" t="n">
        <f aca="false">SUMIFS(الريسبي!$C$2:$C$1800,الريسبي!$A$2:$A$1800,$A69,الريسبي!$B$2:$B$1800,AK$1)</f>
        <v>0</v>
      </c>
      <c r="AL69" s="117" t="n">
        <f aca="false">SUMIFS(الريسبي!$C$2:$C$1800,الريسبي!$A$2:$A$1800,$A69,الريسبي!$B$2:$B$1800,AL$1)</f>
        <v>0</v>
      </c>
      <c r="AM69" s="117" t="n">
        <f aca="false">SUMIFS(الريسبي!$C$2:$C$1800,الريسبي!$A$2:$A$1800,$A69,الريسبي!$B$2:$B$1800,AM$1)+0.08333333333*SUMIFS(الريسبي!$C$2:$C$1800,الريسبي!$A$2:$A$1800,$A69,الريسبي!$B$2:$B$1800,"عجين كريب (مصنع بالمطعم)")+0.08333333333*SUMIFS(الريسبي!$C$2:$C$1800,الريسبي!$A$2:$A$1800,$A69,الريسبي!$B$2:$B$1800,"عجين كريب صيامي (بدون لبن)")</f>
        <v>0.08333333333</v>
      </c>
      <c r="AN69" s="117" t="n">
        <f aca="false">SUMIFS(الريسبي!$C$2:$C$1800,الريسبي!$A$2:$A$1800,$A69,الريسبي!$B$2:$B$1800,AN$1)+0.004166666667*SUMIFS(الريسبي!$C$2:$C$1800,الريسبي!$A$2:$A$1800,$A69,الريسبي!$B$2:$B$1800,"عجين كريب (مصنع بالمطعم)")+0.004166666667*SUMIFS(الريسبي!$C$2:$C$1800,الريسبي!$A$2:$A$1800,$A69,الريسبي!$B$2:$B$1800,"عجين كريب صيامي (بدون لبن)")</f>
        <v>0.004166666667</v>
      </c>
      <c r="AO69" s="117" t="n">
        <f aca="false">SUMIFS(الريسبي!$C$2:$C$1800,الريسبي!$A$2:$A$1800,$A69,الريسبي!$B$2:$B$1800,AO$1)</f>
        <v>0</v>
      </c>
      <c r="AP69" s="117" t="n">
        <f aca="false">SUMIFS(الريسبي!$C$2:$C$1800,الريسبي!$A$2:$A$1800,$A69,الريسبي!$B$2:$B$1800,AP$1)</f>
        <v>0.02</v>
      </c>
      <c r="AQ69" s="117" t="n">
        <f aca="false">SUMIFS(الريسبي!$C$2:$C$1800,الريسبي!$A$2:$A$1800,$A69,الريسبي!$B$2:$B$1800,AQ$1)+0.004166666667*SUMIFS(الريسبي!$C$2:$C$1800,الريسبي!$A$2:$A$1800,$A69,الريسبي!$B$2:$B$1800,"عجين كريب (مصنع بالمطعم)")+0.004166666667*SUMIFS(الريسبي!$C$2:$C$1800,الريسبي!$A$2:$A$1800,$A69,الريسبي!$B$2:$B$1800,"عجين كريب صيامي (بدون لبن)")</f>
        <v>0.004166666667</v>
      </c>
      <c r="AR69" s="117" t="n">
        <f aca="false">SUMIFS(الريسبي!$C$2:$C$1800,الريسبي!$A$2:$A$1800,$A69,الريسبي!$B$2:$B$1800,AR$1)</f>
        <v>0</v>
      </c>
      <c r="AS69" s="117" t="n">
        <f aca="false">SUMIFS(الريسبي!$C$2:$C$1800,الريسبي!$A$2:$A$1800,$A69,الريسبي!$B$2:$B$1800,AS$1)</f>
        <v>1</v>
      </c>
      <c r="AT69" s="117" t="n">
        <f aca="false">SUMIFS(الريسبي!$C$2:$C$1800,الريسبي!$A$2:$A$1800,$A69,الريسبي!$B$2:$B$1800,AT$1)</f>
        <v>0</v>
      </c>
      <c r="AU69" s="117" t="n">
        <f aca="false">SUMIFS(الريسبي!$C$2:$C$1800,الريسبي!$A$2:$A$1800,$A69,الريسبي!$B$2:$B$1800,AU$1)</f>
        <v>0</v>
      </c>
      <c r="AV69" s="117" t="n">
        <f aca="false">SUMIFS(الريسبي!$C$2:$C$1800,الريسبي!$A$2:$A$1800,$A69,الريسبي!$B$2:$B$1800,AV$1)</f>
        <v>0</v>
      </c>
      <c r="AW69" s="117" t="n">
        <f aca="false">SUMIFS(الريسبي!$C$2:$C$1800,الريسبي!$A$2:$A$1800,$A69,الريسبي!$B$2:$B$1800,AW$1)</f>
        <v>0</v>
      </c>
      <c r="AX69" s="117" t="n">
        <f aca="false">SUMIFS(الريسبي!$C$2:$C$1800,الريسبي!$A$2:$A$1800,$A69,الريسبي!$B$2:$B$1800,AX$1)</f>
        <v>0</v>
      </c>
      <c r="AY69" s="117" t="n">
        <f aca="false">SUMIFS(الريسبي!$C$2:$C$1800,الريسبي!$A$2:$A$1800,$A69,الريسبي!$B$2:$B$1800,AY$1)</f>
        <v>0.1</v>
      </c>
      <c r="AZ69" s="117" t="n">
        <f aca="false">SUMIFS(الريسبي!$C$2:$C$1800,الريسبي!$A$2:$A$1800,$A69,الريسبي!$B$2:$B$1800,AZ$1)</f>
        <v>0</v>
      </c>
      <c r="BA69" s="117" t="n">
        <f aca="false">SUMIFS(الريسبي!$C$2:$C$1800,الريسبي!$A$2:$A$1800,$A69,الريسبي!$B$2:$B$1800,BA$1)</f>
        <v>0</v>
      </c>
      <c r="BB69" s="117" t="n">
        <f aca="false">SUMIFS(الريسبي!$C$2:$C$1800,الريسبي!$A$2:$A$1800,$A69,الريسبي!$B$2:$B$1800,BB$1)</f>
        <v>0</v>
      </c>
      <c r="BC69" s="117" t="n">
        <f aca="false">SUMIFS(الريسبي!$C$2:$C$1800,الريسبي!$A$2:$A$1800,$A69,الريسبي!$B$2:$B$1800,BC$1)</f>
        <v>0.03</v>
      </c>
      <c r="BD69" s="117" t="n">
        <f aca="false">SUMIFS(الريسبي!$C$2:$C$1800,الريسبي!$A$2:$A$1800,$A69,الريسبي!$B$2:$B$1800,BD$1)</f>
        <v>0</v>
      </c>
      <c r="BE69" s="117" t="n">
        <f aca="false">SUMIFS(الريسبي!$C$2:$C$1800,الريسبي!$A$2:$A$1800,$A69,الريسبي!$B$2:$B$1800,BE$1)</f>
        <v>0</v>
      </c>
      <c r="BF69" s="117" t="n">
        <f aca="false">SUMIFS(الريسبي!$C$2:$C$1800,الريسبي!$A$2:$A$1800,$A69,الريسبي!$B$2:$B$1800,BF$1)</f>
        <v>0</v>
      </c>
      <c r="BG69" s="117" t="n">
        <f aca="false">SUMIFS(الريسبي!$C$2:$C$1800,الريسبي!$A$2:$A$1800,$A69,الريسبي!$B$2:$B$1800,BG$1)</f>
        <v>0</v>
      </c>
      <c r="BH69" s="117" t="n">
        <f aca="false">SUMIFS(الريسبي!$C$2:$C$1800,الريسبي!$A$2:$A$1800,$A69,الريسبي!$B$2:$B$1800,BH$1)</f>
        <v>0</v>
      </c>
      <c r="BI69" s="117" t="n">
        <f aca="false">SUMIFS(الريسبي!$C$2:$C$1800,الريسبي!$A$2:$A$1800,$A69,الريسبي!$B$2:$B$1800,BI$1)</f>
        <v>0</v>
      </c>
      <c r="BJ69" s="117" t="n">
        <f aca="false">SUMIFS(الريسبي!$C$2:$C$1800,الريسبي!$A$2:$A$1800,$A69,الريسبي!$B$2:$B$1800,BJ$1)</f>
        <v>0</v>
      </c>
      <c r="BK69" s="117" t="n">
        <f aca="false">SUMIFS(الريسبي!$C$2:$C$1800,الريسبي!$A$2:$A$1800,$A69,الريسبي!$B$2:$B$1800,BK$1)</f>
        <v>0</v>
      </c>
      <c r="BL69" s="117" t="n">
        <f aca="false">SUMIFS(الريسبي!$C$2:$C$1800,الريسبي!$A$2:$A$1800,$A69,الريسبي!$B$2:$B$1800,BL$1)</f>
        <v>0</v>
      </c>
      <c r="BM69" s="117" t="n">
        <f aca="false">SUMIFS(الريسبي!$C$2:$C$1800,الريسبي!$A$2:$A$1800,$A69,الريسبي!$B$2:$B$1800,BM$1)</f>
        <v>0</v>
      </c>
      <c r="BN69" s="117" t="n">
        <f aca="false">SUMIFS(الريسبي!$C$2:$C$1800,الريسبي!$A$2:$A$1800,$A69,الريسبي!$B$2:$B$1800,BN$1)</f>
        <v>0.02</v>
      </c>
      <c r="BO69" s="117" t="n">
        <f aca="false">SUMIFS(الريسبي!$C$2:$C$1800,الريسبي!$A$2:$A$1800,$A69,الريسبي!$B$2:$B$1800,BO$1)</f>
        <v>0</v>
      </c>
      <c r="BP69" s="117" t="n">
        <f aca="false">SUMIFS(الريسبي!$C$2:$C$1800,الريسبي!$A$2:$A$1800,$A69,الريسبي!$B$2:$B$1800,BP$1)</f>
        <v>0</v>
      </c>
      <c r="BQ69" s="117" t="n">
        <f aca="false">SUMIFS(الريسبي!$C$2:$C$1800,الريسبي!$A$2:$A$1800,$A69,الريسبي!$B$2:$B$1800,BQ$1)+0.17*SUMIFS(الريسبي!$C$2:$C$1800,الريسبي!$A$2:$A$1800,$A69,الريسبي!$B$2:$B$1800,"كاسترد مصنع (خليط بودر + لبن)")+0.17*SUMIFS(الريسبي!$C$2:$C$1800,الريسبي!$A$2:$A$1800,$A69,الريسبي!$B$2:$B$1800,"كاسترد مصنع صيامي (بدون لبن)")</f>
        <v>0</v>
      </c>
      <c r="BR69" s="117" t="n">
        <f aca="false">SUMIFS(الريسبي!$C$2:$C$1800,الريسبي!$A$2:$A$1800,$A69,الريسبي!$B$2:$B$1800,BR$1)</f>
        <v>0</v>
      </c>
      <c r="BS69" s="117" t="n">
        <f aca="false">SUMIFS(الريسبي!$C$2:$C$1800,الريسبي!$A$2:$A$1800,$A69,الريسبي!$B$2:$B$1800,BS$1)</f>
        <v>0</v>
      </c>
      <c r="BT69" s="117" t="n">
        <f aca="false">SUMIFS(الريسبي!$C$2:$C$1800,الريسبي!$A$2:$A$1800,$A69,الريسبي!$B$2:$B$1800,BT$1)</f>
        <v>1</v>
      </c>
      <c r="BU69" s="117" t="n">
        <f aca="false">SUMIFS(الريسبي!$C$2:$C$1800,الريسبي!$A$2:$A$1800,$A69,الريسبي!$B$2:$B$1800,BU$1)+0.4*SUMIFS(الريسبي!$C$2:$C$1800,الريسبي!$A$2:$A$1800,$A69,الريسبي!$B$2:$B$1800,"كاسترد مصنع (خليط بودر + لبن)")+0.03333333333*SUMIFS(الريسبي!$C$2:$C$1800,الريسبي!$A$2:$A$1800,$A69,الريسبي!$B$2:$B$1800,"عجين كريب (مصنع بالمطعم)")</f>
        <v>0.03333333333</v>
      </c>
      <c r="BV69" s="117" t="n">
        <f aca="false">SUMIFS(الريسبي!$C$2:$C$1800,الريسبي!$A$2:$A$1800,$A69,الريسبي!$B$2:$B$1800,BV$1)</f>
        <v>0</v>
      </c>
      <c r="BW69" s="117" t="n">
        <f aca="false">SUMIFS(الريسبي!$C$2:$C$1800,الريسبي!$A$2:$A$1800,$A69,الريسبي!$B$2:$B$1800,BW$1)</f>
        <v>0</v>
      </c>
      <c r="BX69" s="117" t="n">
        <f aca="false">SUMIFS(الريسبي!$C$2:$C$1800,الريسبي!$A$2:$A$1800,$A69,الريسبي!$B$2:$B$1800,BX$1)</f>
        <v>0</v>
      </c>
      <c r="BY69" s="117" t="n">
        <f aca="false">SUMIFS(الريسبي!$C$2:$C$1800,الريسبي!$A$2:$A$1800,$A69,الريسبي!$B$2:$B$1800,BY$1)</f>
        <v>0</v>
      </c>
      <c r="BZ69" s="117" t="n">
        <f aca="false">SUMIFS(الريسبي!$C$2:$C$1800,الريسبي!$A$2:$A$1800,$A69,الريسبي!$B$2:$B$1800,BZ$1)</f>
        <v>0</v>
      </c>
      <c r="CA69" s="117" t="n">
        <f aca="false">SUMIFS(الريسبي!$C$2:$C$1800,الريسبي!$A$2:$A$1800,$A69,الريسبي!$B$2:$B$1800,CA$1)</f>
        <v>0</v>
      </c>
      <c r="CB69" s="117" t="n">
        <f aca="false">SUMIFS(الريسبي!$C$2:$C$1800,الريسبي!$A$2:$A$1800,$A69,الريسبي!$B$2:$B$1800,CB$1)</f>
        <v>0</v>
      </c>
      <c r="CC69" s="117" t="n">
        <f aca="false">SUMIFS(الريسبي!$C$2:$C$1800,الريسبي!$A$2:$A$1800,$A69,الريسبي!$B$2:$B$1800,CC$1)</f>
        <v>0</v>
      </c>
      <c r="CD69" s="117" t="n">
        <f aca="false">SUMIFS(الريسبي!$C$2:$C$1800,الريسبي!$A$2:$A$1800,$A69,الريسبي!$B$2:$B$1800,CD$1)</f>
        <v>0</v>
      </c>
      <c r="CE69" s="117" t="n">
        <f aca="false">SUMIFS(الريسبي!$C$2:$C$1800,الريسبي!$A$2:$A$1800,$A69,الريسبي!$B$2:$B$1800,CE$1)</f>
        <v>0</v>
      </c>
      <c r="CF69" s="117" t="n">
        <f aca="false">SUMIFS(الريسبي!$C$2:$C$1800,الريسبي!$A$2:$A$1800,$A69,الريسبي!$B$2:$B$1800,CF$1)</f>
        <v>0</v>
      </c>
      <c r="CG69" s="117" t="n">
        <f aca="false">SUMIFS(الريسبي!$C$2:$C$1800,الريسبي!$A$2:$A$1800,$A69,الريسبي!$B$2:$B$1800,CG$1)</f>
        <v>0</v>
      </c>
      <c r="CH69" s="117" t="n">
        <f aca="false">SUMIFS(الريسبي!$C$2:$C$1800,الريسبي!$A$2:$A$1800,$A69,الريسبي!$B$2:$B$1800,CH$1)</f>
        <v>0</v>
      </c>
      <c r="CI69" s="117" t="n">
        <f aca="false">SUMIFS(الريسبي!$C$2:$C$1800,الريسبي!$A$2:$A$1800,$A69,الريسبي!$B$2:$B$1800,CI$1)</f>
        <v>0</v>
      </c>
      <c r="CJ69" s="117" t="n">
        <f aca="false">SUMIFS(الريسبي!$C$2:$C$1800,الريسبي!$A$2:$A$1800,$A69,الريسبي!$B$2:$B$1800,CJ$1)</f>
        <v>0</v>
      </c>
      <c r="CK69" s="117" t="n">
        <f aca="false">SUMIFS(الريسبي!$C$2:$C$1800,الريسبي!$A$2:$A$1800,$A69,الريسبي!$B$2:$B$1800,CK$1)</f>
        <v>0</v>
      </c>
      <c r="CL69" s="117" t="n">
        <f aca="false">SUMIFS(الريسبي!$C$2:$C$1800,الريسبي!$A$2:$A$1800,$A69,الريسبي!$B$2:$B$1800,CL$1)</f>
        <v>0</v>
      </c>
    </row>
    <row r="70" customFormat="false" ht="15" hidden="false" customHeight="false" outlineLevel="0" collapsed="false">
      <c r="A70" s="116" t="str">
        <f aca="false">المنيو!B70</f>
        <v>عيش كريب</v>
      </c>
      <c r="B70" s="117" t="n">
        <f aca="false">SUMIFS(الريسبي!$C$2:$C$1800,الريسبي!$A$2:$A$1800,$A70,الريسبي!$B$2:$B$1800,B$1)</f>
        <v>0</v>
      </c>
      <c r="C70" s="117" t="n">
        <f aca="false">SUMIFS(الريسبي!$C$2:$C$1800,الريسبي!$A$2:$A$1800,$A70,الريسبي!$B$2:$B$1800,C$1)</f>
        <v>0</v>
      </c>
      <c r="D70" s="117" t="n">
        <f aca="false">SUMIFS(الريسبي!$C$2:$C$1800,الريسبي!$A$2:$A$1800,$A70,الريسبي!$B$2:$B$1800,D$1)</f>
        <v>0</v>
      </c>
      <c r="E70" s="117" t="n">
        <f aca="false">SUMIFS(الريسبي!$C$2:$C$1800,الريسبي!$A$2:$A$1800,$A70,الريسبي!$B$2:$B$1800,E$1)</f>
        <v>0</v>
      </c>
      <c r="F70" s="117" t="n">
        <f aca="false">SUMIFS(الريسبي!$C$2:$C$1800,الريسبي!$A$2:$A$1800,$A70,الريسبي!$B$2:$B$1800,F$1)</f>
        <v>0</v>
      </c>
      <c r="G70" s="117" t="n">
        <f aca="false">SUMIFS(الريسبي!$C$2:$C$1800,الريسبي!$A$2:$A$1800,$A70,الريسبي!$B$2:$B$1800,G$1)</f>
        <v>0</v>
      </c>
      <c r="H70" s="117" t="n">
        <f aca="false">SUMIFS(الريسبي!$C$2:$C$1800,الريسبي!$A$2:$A$1800,$A70,الريسبي!$B$2:$B$1800,H$1)</f>
        <v>0</v>
      </c>
      <c r="I70" s="117" t="n">
        <f aca="false">SUMIFS(الريسبي!$C$2:$C$1800,الريسبي!$A$2:$A$1800,$A70,الريسبي!$B$2:$B$1800,I$1)</f>
        <v>0</v>
      </c>
      <c r="J70" s="117" t="n">
        <f aca="false">SUMIFS(الريسبي!$C$2:$C$1800,الريسبي!$A$2:$A$1800,$A70,الريسبي!$B$2:$B$1800,J$1)</f>
        <v>0</v>
      </c>
      <c r="K70" s="117" t="n">
        <f aca="false">SUMIFS(الريسبي!$C$2:$C$1800,الريسبي!$A$2:$A$1800,$A70,الريسبي!$B$2:$B$1800,K$1)</f>
        <v>0</v>
      </c>
      <c r="L70" s="117" t="n">
        <f aca="false">SUMIFS(الريسبي!$C$2:$C$1800,الريسبي!$A$2:$A$1800,$A70,الريسبي!$B$2:$B$1800,L$1)</f>
        <v>0</v>
      </c>
      <c r="M70" s="117" t="n">
        <f aca="false">SUMIFS(الريسبي!$C$2:$C$1800,الريسبي!$A$2:$A$1800,$A70,الريسبي!$B$2:$B$1800,M$1)</f>
        <v>0</v>
      </c>
      <c r="N70" s="117" t="n">
        <f aca="false">SUMIFS(الريسبي!$C$2:$C$1800,الريسبي!$A$2:$A$1800,$A70,الريسبي!$B$2:$B$1800,N$1)</f>
        <v>0</v>
      </c>
      <c r="O70" s="117" t="n">
        <f aca="false">SUMIFS(الريسبي!$C$2:$C$1800,الريسبي!$A$2:$A$1800,$A70,الريسبي!$B$2:$B$1800,O$1)</f>
        <v>0</v>
      </c>
      <c r="P70" s="117" t="n">
        <f aca="false">SUMIFS(الريسبي!$C$2:$C$1800,الريسبي!$A$2:$A$1800,$A70,الريسبي!$B$2:$B$1800,P$1)</f>
        <v>0</v>
      </c>
      <c r="Q70" s="117" t="n">
        <f aca="false">SUMIFS(الريسبي!$C$2:$C$1800,الريسبي!$A$2:$A$1800,$A70,الريسبي!$B$2:$B$1800,Q$1)</f>
        <v>0</v>
      </c>
      <c r="R70" s="117" t="n">
        <f aca="false">SUMIFS(الريسبي!$C$2:$C$1800,الريسبي!$A$2:$A$1800,$A70,الريسبي!$B$2:$B$1800,R$1)</f>
        <v>0</v>
      </c>
      <c r="S70" s="117" t="n">
        <f aca="false">SUMIFS(الريسبي!$C$2:$C$1800,الريسبي!$A$2:$A$1800,$A70,الريسبي!$B$2:$B$1800,S$1)</f>
        <v>0</v>
      </c>
      <c r="T70" s="117" t="n">
        <f aca="false">SUMIFS(الريسبي!$C$2:$C$1800,الريسبي!$A$2:$A$1800,$A70,الريسبي!$B$2:$B$1800,T$1)</f>
        <v>0</v>
      </c>
      <c r="U70" s="117" t="n">
        <f aca="false">SUMIFS(الريسبي!$C$2:$C$1800,الريسبي!$A$2:$A$1800,$A70,الريسبي!$B$2:$B$1800,U$1)</f>
        <v>0</v>
      </c>
      <c r="V70" s="117" t="n">
        <f aca="false">SUMIFS(الريسبي!$C$2:$C$1800,الريسبي!$A$2:$A$1800,$A70,الريسبي!$B$2:$B$1800,V$1)+1.5*(SUMIFS(الريسبي!$C$2:$C$1800,الريسبي!$A$2:$A$1800,$A70,الريسبي!$B$2:$B$1800,"برسيون موتزريلا بيتزا كبير"))</f>
        <v>0</v>
      </c>
      <c r="W70" s="117" t="n">
        <f aca="false">0</f>
        <v>0</v>
      </c>
      <c r="X70" s="117" t="n">
        <f aca="false">SUMIFS(الريسبي!$C$2:$C$1800,الريسبي!$A$2:$A$1800,$A70,الريسبي!$B$2:$B$1800,X$1)+1.5*(SUMIFS(الريسبي!$C$2:$C$1800,الريسبي!$A$2:$A$1800,$A70,الريسبي!$B$2:$B$1800,"برسيون موتزريلا فطير كبير"))</f>
        <v>0</v>
      </c>
      <c r="Y70" s="117" t="n">
        <f aca="false">0</f>
        <v>0</v>
      </c>
      <c r="Z70" s="117" t="n">
        <f aca="false">SUMIFS(الريسبي!$C$2:$C$1800,الريسبي!$A$2:$A$1800,$A70,الريسبي!$B$2:$B$1800,Z$1)</f>
        <v>0</v>
      </c>
      <c r="AA70" s="117" t="n">
        <f aca="false">SUMIFS(الريسبي!$C$2:$C$1800,الريسبي!$A$2:$A$1800,$A70,الريسبي!$B$2:$B$1800,AA$1)</f>
        <v>0</v>
      </c>
      <c r="AB70" s="117" t="n">
        <f aca="false">SUMIFS(الريسبي!$C$2:$C$1800,الريسبي!$A$2:$A$1800,$A70,الريسبي!$B$2:$B$1800,AB$1)</f>
        <v>0</v>
      </c>
      <c r="AC70" s="117" t="n">
        <f aca="false">SUMIFS(الريسبي!$C$2:$C$1800,الريسبي!$A$2:$A$1800,$A70,الريسبي!$B$2:$B$1800,AC$1)</f>
        <v>0</v>
      </c>
      <c r="AD70" s="117" t="n">
        <f aca="false">SUMIFS(الريسبي!$C$2:$C$1800,الريسبي!$A$2:$A$1800,$A70,الريسبي!$B$2:$B$1800,AD$1)</f>
        <v>0</v>
      </c>
      <c r="AE70" s="117" t="n">
        <f aca="false">SUMIFS(الريسبي!$C$2:$C$1800,الريسبي!$A$2:$A$1800,$A70,الريسبي!$B$2:$B$1800,AE$1)</f>
        <v>0</v>
      </c>
      <c r="AF70" s="117" t="n">
        <f aca="false">SUMIFS(الريسبي!$C$2:$C$1800,الريسبي!$A$2:$A$1800,$A70,الريسبي!$B$2:$B$1800,AF$1)</f>
        <v>0</v>
      </c>
      <c r="AG70" s="117" t="n">
        <f aca="false">SUMIFS(الريسبي!$C$2:$C$1800,الريسبي!$A$2:$A$1800,$A70,الريسبي!$B$2:$B$1800,AG$1)</f>
        <v>0</v>
      </c>
      <c r="AH70" s="117" t="n">
        <f aca="false">SUMIFS(الريسبي!$C$2:$C$1800,الريسبي!$A$2:$A$1800,$A70,الريسبي!$B$2:$B$1800,AH$1)</f>
        <v>0</v>
      </c>
      <c r="AI70" s="117" t="n">
        <f aca="false">SUMIFS(الريسبي!$C$2:$C$1800,الريسبي!$A$2:$A$1800,$A70,الريسبي!$B$2:$B$1800,AI$1)</f>
        <v>0</v>
      </c>
      <c r="AJ70" s="117" t="n">
        <f aca="false">SUMIFS(الريسبي!$C$2:$C$1800,الريسبي!$A$2:$A$1800,$A70,الريسبي!$B$2:$B$1800,AJ$1)</f>
        <v>0</v>
      </c>
      <c r="AK70" s="117" t="n">
        <f aca="false">SUMIFS(الريسبي!$C$2:$C$1800,الريسبي!$A$2:$A$1800,$A70,الريسبي!$B$2:$B$1800,AK$1)</f>
        <v>0</v>
      </c>
      <c r="AL70" s="117" t="n">
        <f aca="false">SUMIFS(الريسبي!$C$2:$C$1800,الريسبي!$A$2:$A$1800,$A70,الريسبي!$B$2:$B$1800,AL$1)</f>
        <v>0</v>
      </c>
      <c r="AM70" s="117" t="n">
        <f aca="false">SUMIFS(الريسبي!$C$2:$C$1800,الريسبي!$A$2:$A$1800,$A70,الريسبي!$B$2:$B$1800,AM$1)+0.08333333333*SUMIFS(الريسبي!$C$2:$C$1800,الريسبي!$A$2:$A$1800,$A70,الريسبي!$B$2:$B$1800,"عجين كريب (مصنع بالمطعم)")+0.08333333333*SUMIFS(الريسبي!$C$2:$C$1800,الريسبي!$A$2:$A$1800,$A70,الريسبي!$B$2:$B$1800,"عجين كريب صيامي (بدون لبن)")</f>
        <v>0.08333333333</v>
      </c>
      <c r="AN70" s="117" t="n">
        <f aca="false">SUMIFS(الريسبي!$C$2:$C$1800,الريسبي!$A$2:$A$1800,$A70,الريسبي!$B$2:$B$1800,AN$1)+0.004166666667*SUMIFS(الريسبي!$C$2:$C$1800,الريسبي!$A$2:$A$1800,$A70,الريسبي!$B$2:$B$1800,"عجين كريب (مصنع بالمطعم)")+0.004166666667*SUMIFS(الريسبي!$C$2:$C$1800,الريسبي!$A$2:$A$1800,$A70,الريسبي!$B$2:$B$1800,"عجين كريب صيامي (بدون لبن)")</f>
        <v>0.004166666667</v>
      </c>
      <c r="AO70" s="117" t="n">
        <f aca="false">SUMIFS(الريسبي!$C$2:$C$1800,الريسبي!$A$2:$A$1800,$A70,الريسبي!$B$2:$B$1800,AO$1)</f>
        <v>0</v>
      </c>
      <c r="AP70" s="117" t="n">
        <f aca="false">SUMIFS(الريسبي!$C$2:$C$1800,الريسبي!$A$2:$A$1800,$A70,الريسبي!$B$2:$B$1800,AP$1)</f>
        <v>0</v>
      </c>
      <c r="AQ70" s="117" t="n">
        <f aca="false">SUMIFS(الريسبي!$C$2:$C$1800,الريسبي!$A$2:$A$1800,$A70,الريسبي!$B$2:$B$1800,AQ$1)+0.004166666667*SUMIFS(الريسبي!$C$2:$C$1800,الريسبي!$A$2:$A$1800,$A70,الريسبي!$B$2:$B$1800,"عجين كريب (مصنع بالمطعم)")+0.004166666667*SUMIFS(الريسبي!$C$2:$C$1800,الريسبي!$A$2:$A$1800,$A70,الريسبي!$B$2:$B$1800,"عجين كريب صيامي (بدون لبن)")</f>
        <v>0.004166666667</v>
      </c>
      <c r="AR70" s="117" t="n">
        <f aca="false">SUMIFS(الريسبي!$C$2:$C$1800,الريسبي!$A$2:$A$1800,$A70,الريسبي!$B$2:$B$1800,AR$1)</f>
        <v>0</v>
      </c>
      <c r="AS70" s="117" t="n">
        <f aca="false">SUMIFS(الريسبي!$C$2:$C$1800,الريسبي!$A$2:$A$1800,$A70,الريسبي!$B$2:$B$1800,AS$1)</f>
        <v>0</v>
      </c>
      <c r="AT70" s="117" t="n">
        <f aca="false">SUMIFS(الريسبي!$C$2:$C$1800,الريسبي!$A$2:$A$1800,$A70,الريسبي!$B$2:$B$1800,AT$1)</f>
        <v>0</v>
      </c>
      <c r="AU70" s="117" t="n">
        <f aca="false">SUMIFS(الريسبي!$C$2:$C$1800,الريسبي!$A$2:$A$1800,$A70,الريسبي!$B$2:$B$1800,AU$1)</f>
        <v>0</v>
      </c>
      <c r="AV70" s="117" t="n">
        <f aca="false">SUMIFS(الريسبي!$C$2:$C$1800,الريسبي!$A$2:$A$1800,$A70,الريسبي!$B$2:$B$1800,AV$1)</f>
        <v>0</v>
      </c>
      <c r="AW70" s="117" t="n">
        <f aca="false">SUMIFS(الريسبي!$C$2:$C$1800,الريسبي!$A$2:$A$1800,$A70,الريسبي!$B$2:$B$1800,AW$1)</f>
        <v>0</v>
      </c>
      <c r="AX70" s="117" t="n">
        <f aca="false">SUMIFS(الريسبي!$C$2:$C$1800,الريسبي!$A$2:$A$1800,$A70,الريسبي!$B$2:$B$1800,AX$1)</f>
        <v>0</v>
      </c>
      <c r="AY70" s="117" t="n">
        <f aca="false">SUMIFS(الريسبي!$C$2:$C$1800,الريسبي!$A$2:$A$1800,$A70,الريسبي!$B$2:$B$1800,AY$1)</f>
        <v>0</v>
      </c>
      <c r="AZ70" s="117" t="n">
        <f aca="false">SUMIFS(الريسبي!$C$2:$C$1800,الريسبي!$A$2:$A$1800,$A70,الريسبي!$B$2:$B$1800,AZ$1)</f>
        <v>0</v>
      </c>
      <c r="BA70" s="117" t="n">
        <f aca="false">SUMIFS(الريسبي!$C$2:$C$1800,الريسبي!$A$2:$A$1800,$A70,الريسبي!$B$2:$B$1800,BA$1)</f>
        <v>0</v>
      </c>
      <c r="BB70" s="117" t="n">
        <f aca="false">SUMIFS(الريسبي!$C$2:$C$1800,الريسبي!$A$2:$A$1800,$A70,الريسبي!$B$2:$B$1800,BB$1)</f>
        <v>0</v>
      </c>
      <c r="BC70" s="117" t="n">
        <f aca="false">SUMIFS(الريسبي!$C$2:$C$1800,الريسبي!$A$2:$A$1800,$A70,الريسبي!$B$2:$B$1800,BC$1)</f>
        <v>0</v>
      </c>
      <c r="BD70" s="117" t="n">
        <f aca="false">SUMIFS(الريسبي!$C$2:$C$1800,الريسبي!$A$2:$A$1800,$A70,الريسبي!$B$2:$B$1800,BD$1)</f>
        <v>0</v>
      </c>
      <c r="BE70" s="117" t="n">
        <f aca="false">SUMIFS(الريسبي!$C$2:$C$1800,الريسبي!$A$2:$A$1800,$A70,الريسبي!$B$2:$B$1800,BE$1)</f>
        <v>0</v>
      </c>
      <c r="BF70" s="117" t="n">
        <f aca="false">SUMIFS(الريسبي!$C$2:$C$1800,الريسبي!$A$2:$A$1800,$A70,الريسبي!$B$2:$B$1800,BF$1)</f>
        <v>0</v>
      </c>
      <c r="BG70" s="117" t="n">
        <f aca="false">SUMIFS(الريسبي!$C$2:$C$1800,الريسبي!$A$2:$A$1800,$A70,الريسبي!$B$2:$B$1800,BG$1)</f>
        <v>0</v>
      </c>
      <c r="BH70" s="117" t="n">
        <f aca="false">SUMIFS(الريسبي!$C$2:$C$1800,الريسبي!$A$2:$A$1800,$A70,الريسبي!$B$2:$B$1800,BH$1)</f>
        <v>0</v>
      </c>
      <c r="BI70" s="117" t="n">
        <f aca="false">SUMIFS(الريسبي!$C$2:$C$1800,الريسبي!$A$2:$A$1800,$A70,الريسبي!$B$2:$B$1800,BI$1)</f>
        <v>0</v>
      </c>
      <c r="BJ70" s="117" t="n">
        <f aca="false">SUMIFS(الريسبي!$C$2:$C$1800,الريسبي!$A$2:$A$1800,$A70,الريسبي!$B$2:$B$1800,BJ$1)</f>
        <v>0</v>
      </c>
      <c r="BK70" s="117" t="n">
        <f aca="false">SUMIFS(الريسبي!$C$2:$C$1800,الريسبي!$A$2:$A$1800,$A70,الريسبي!$B$2:$B$1800,BK$1)</f>
        <v>0</v>
      </c>
      <c r="BL70" s="117" t="n">
        <f aca="false">SUMIFS(الريسبي!$C$2:$C$1800,الريسبي!$A$2:$A$1800,$A70,الريسبي!$B$2:$B$1800,BL$1)</f>
        <v>0</v>
      </c>
      <c r="BM70" s="117" t="n">
        <f aca="false">SUMIFS(الريسبي!$C$2:$C$1800,الريسبي!$A$2:$A$1800,$A70,الريسبي!$B$2:$B$1800,BM$1)</f>
        <v>0</v>
      </c>
      <c r="BN70" s="117" t="n">
        <f aca="false">SUMIFS(الريسبي!$C$2:$C$1800,الريسبي!$A$2:$A$1800,$A70,الريسبي!$B$2:$B$1800,BN$1)</f>
        <v>0</v>
      </c>
      <c r="BO70" s="117" t="n">
        <f aca="false">SUMIFS(الريسبي!$C$2:$C$1800,الريسبي!$A$2:$A$1800,$A70,الريسبي!$B$2:$B$1800,BO$1)</f>
        <v>0</v>
      </c>
      <c r="BP70" s="117" t="n">
        <f aca="false">SUMIFS(الريسبي!$C$2:$C$1800,الريسبي!$A$2:$A$1800,$A70,الريسبي!$B$2:$B$1800,BP$1)</f>
        <v>0</v>
      </c>
      <c r="BQ70" s="117" t="n">
        <f aca="false">SUMIFS(الريسبي!$C$2:$C$1800,الريسبي!$A$2:$A$1800,$A70,الريسبي!$B$2:$B$1800,BQ$1)+0.17*SUMIFS(الريسبي!$C$2:$C$1800,الريسبي!$A$2:$A$1800,$A70,الريسبي!$B$2:$B$1800,"كاسترد مصنع (خليط بودر + لبن)")+0.17*SUMIFS(الريسبي!$C$2:$C$1800,الريسبي!$A$2:$A$1800,$A70,الريسبي!$B$2:$B$1800,"كاسترد مصنع صيامي (بدون لبن)")</f>
        <v>0</v>
      </c>
      <c r="BR70" s="117" t="n">
        <f aca="false">SUMIFS(الريسبي!$C$2:$C$1800,الريسبي!$A$2:$A$1800,$A70,الريسبي!$B$2:$B$1800,BR$1)</f>
        <v>0</v>
      </c>
      <c r="BS70" s="117" t="n">
        <f aca="false">SUMIFS(الريسبي!$C$2:$C$1800,الريسبي!$A$2:$A$1800,$A70,الريسبي!$B$2:$B$1800,BS$1)</f>
        <v>0</v>
      </c>
      <c r="BT70" s="117" t="n">
        <f aca="false">SUMIFS(الريسبي!$C$2:$C$1800,الريسبي!$A$2:$A$1800,$A70,الريسبي!$B$2:$B$1800,BT$1)</f>
        <v>1</v>
      </c>
      <c r="BU70" s="117" t="n">
        <f aca="false">SUMIFS(الريسبي!$C$2:$C$1800,الريسبي!$A$2:$A$1800,$A70,الريسبي!$B$2:$B$1800,BU$1)+0.4*SUMIFS(الريسبي!$C$2:$C$1800,الريسبي!$A$2:$A$1800,$A70,الريسبي!$B$2:$B$1800,"كاسترد مصنع (خليط بودر + لبن)")+0.03333333333*SUMIFS(الريسبي!$C$2:$C$1800,الريسبي!$A$2:$A$1800,$A70,الريسبي!$B$2:$B$1800,"عجين كريب (مصنع بالمطعم)")</f>
        <v>0.03333333333</v>
      </c>
      <c r="BV70" s="117" t="n">
        <f aca="false">SUMIFS(الريسبي!$C$2:$C$1800,الريسبي!$A$2:$A$1800,$A70,الريسبي!$B$2:$B$1800,BV$1)</f>
        <v>0</v>
      </c>
      <c r="BW70" s="117" t="n">
        <f aca="false">SUMIFS(الريسبي!$C$2:$C$1800,الريسبي!$A$2:$A$1800,$A70,الريسبي!$B$2:$B$1800,BW$1)</f>
        <v>0</v>
      </c>
      <c r="BX70" s="117" t="n">
        <f aca="false">SUMIFS(الريسبي!$C$2:$C$1800,الريسبي!$A$2:$A$1800,$A70,الريسبي!$B$2:$B$1800,BX$1)</f>
        <v>0</v>
      </c>
      <c r="BY70" s="117" t="n">
        <f aca="false">SUMIFS(الريسبي!$C$2:$C$1800,الريسبي!$A$2:$A$1800,$A70,الريسبي!$B$2:$B$1800,BY$1)</f>
        <v>0</v>
      </c>
      <c r="BZ70" s="117" t="n">
        <f aca="false">SUMIFS(الريسبي!$C$2:$C$1800,الريسبي!$A$2:$A$1800,$A70,الريسبي!$B$2:$B$1800,BZ$1)</f>
        <v>0</v>
      </c>
      <c r="CA70" s="117" t="n">
        <f aca="false">SUMIFS(الريسبي!$C$2:$C$1800,الريسبي!$A$2:$A$1800,$A70,الريسبي!$B$2:$B$1800,CA$1)</f>
        <v>0</v>
      </c>
      <c r="CB70" s="117" t="n">
        <f aca="false">SUMIFS(الريسبي!$C$2:$C$1800,الريسبي!$A$2:$A$1800,$A70,الريسبي!$B$2:$B$1800,CB$1)</f>
        <v>0</v>
      </c>
      <c r="CC70" s="117" t="n">
        <f aca="false">SUMIFS(الريسبي!$C$2:$C$1800,الريسبي!$A$2:$A$1800,$A70,الريسبي!$B$2:$B$1800,CC$1)</f>
        <v>0</v>
      </c>
      <c r="CD70" s="117" t="n">
        <f aca="false">SUMIFS(الريسبي!$C$2:$C$1800,الريسبي!$A$2:$A$1800,$A70,الريسبي!$B$2:$B$1800,CD$1)</f>
        <v>0</v>
      </c>
      <c r="CE70" s="117" t="n">
        <f aca="false">SUMIFS(الريسبي!$C$2:$C$1800,الريسبي!$A$2:$A$1800,$A70,الريسبي!$B$2:$B$1800,CE$1)</f>
        <v>0</v>
      </c>
      <c r="CF70" s="117" t="n">
        <f aca="false">SUMIFS(الريسبي!$C$2:$C$1800,الريسبي!$A$2:$A$1800,$A70,الريسبي!$B$2:$B$1800,CF$1)</f>
        <v>0</v>
      </c>
      <c r="CG70" s="117" t="n">
        <f aca="false">SUMIFS(الريسبي!$C$2:$C$1800,الريسبي!$A$2:$A$1800,$A70,الريسبي!$B$2:$B$1800,CG$1)</f>
        <v>0</v>
      </c>
      <c r="CH70" s="117" t="n">
        <f aca="false">SUMIFS(الريسبي!$C$2:$C$1800,الريسبي!$A$2:$A$1800,$A70,الريسبي!$B$2:$B$1800,CH$1)</f>
        <v>0</v>
      </c>
      <c r="CI70" s="117" t="n">
        <f aca="false">SUMIFS(الريسبي!$C$2:$C$1800,الريسبي!$A$2:$A$1800,$A70,الريسبي!$B$2:$B$1800,CI$1)</f>
        <v>0</v>
      </c>
      <c r="CJ70" s="117" t="n">
        <f aca="false">SUMIFS(الريسبي!$C$2:$C$1800,الريسبي!$A$2:$A$1800,$A70,الريسبي!$B$2:$B$1800,CJ$1)</f>
        <v>0</v>
      </c>
      <c r="CK70" s="117" t="n">
        <f aca="false">SUMIFS(الريسبي!$C$2:$C$1800,الريسبي!$A$2:$A$1800,$A70,الريسبي!$B$2:$B$1800,CK$1)</f>
        <v>0</v>
      </c>
      <c r="CL70" s="117" t="n">
        <f aca="false">SUMIFS(الريسبي!$C$2:$C$1800,الريسبي!$A$2:$A$1800,$A70,الريسبي!$B$2:$B$1800,CL$1)</f>
        <v>0</v>
      </c>
    </row>
    <row r="71" customFormat="false" ht="15" hidden="false" customHeight="false" outlineLevel="0" collapsed="false">
      <c r="A71" s="116" t="str">
        <f aca="false">المنيو!B71</f>
        <v>باكت بطاطس وسط</v>
      </c>
      <c r="B71" s="117" t="n">
        <f aca="false">SUMIFS(الريسبي!$C$2:$C$1800,الريسبي!$A$2:$A$1800,$A71,الريسبي!$B$2:$B$1800,B$1)</f>
        <v>0</v>
      </c>
      <c r="C71" s="117" t="n">
        <f aca="false">SUMIFS(الريسبي!$C$2:$C$1800,الريسبي!$A$2:$A$1800,$A71,الريسبي!$B$2:$B$1800,C$1)</f>
        <v>0</v>
      </c>
      <c r="D71" s="117" t="n">
        <f aca="false">SUMIFS(الريسبي!$C$2:$C$1800,الريسبي!$A$2:$A$1800,$A71,الريسبي!$B$2:$B$1800,D$1)</f>
        <v>0</v>
      </c>
      <c r="E71" s="117" t="n">
        <f aca="false">SUMIFS(الريسبي!$C$2:$C$1800,الريسبي!$A$2:$A$1800,$A71,الريسبي!$B$2:$B$1800,E$1)</f>
        <v>0</v>
      </c>
      <c r="F71" s="117" t="n">
        <f aca="false">SUMIFS(الريسبي!$C$2:$C$1800,الريسبي!$A$2:$A$1800,$A71,الريسبي!$B$2:$B$1800,F$1)</f>
        <v>0</v>
      </c>
      <c r="G71" s="117" t="n">
        <f aca="false">SUMIFS(الريسبي!$C$2:$C$1800,الريسبي!$A$2:$A$1800,$A71,الريسبي!$B$2:$B$1800,G$1)</f>
        <v>0</v>
      </c>
      <c r="H71" s="117" t="n">
        <f aca="false">SUMIFS(الريسبي!$C$2:$C$1800,الريسبي!$A$2:$A$1800,$A71,الريسبي!$B$2:$B$1800,H$1)</f>
        <v>0</v>
      </c>
      <c r="I71" s="117" t="n">
        <f aca="false">SUMIFS(الريسبي!$C$2:$C$1800,الريسبي!$A$2:$A$1800,$A71,الريسبي!$B$2:$B$1800,I$1)</f>
        <v>1.5</v>
      </c>
      <c r="J71" s="117" t="n">
        <f aca="false">SUMIFS(الريسبي!$C$2:$C$1800,الريسبي!$A$2:$A$1800,$A71,الريسبي!$B$2:$B$1800,J$1)</f>
        <v>0</v>
      </c>
      <c r="K71" s="117" t="n">
        <f aca="false">SUMIFS(الريسبي!$C$2:$C$1800,الريسبي!$A$2:$A$1800,$A71,الريسبي!$B$2:$B$1800,K$1)</f>
        <v>0</v>
      </c>
      <c r="L71" s="117" t="n">
        <f aca="false">SUMIFS(الريسبي!$C$2:$C$1800,الريسبي!$A$2:$A$1800,$A71,الريسبي!$B$2:$B$1800,L$1)</f>
        <v>0</v>
      </c>
      <c r="M71" s="117" t="n">
        <f aca="false">SUMIFS(الريسبي!$C$2:$C$1800,الريسبي!$A$2:$A$1800,$A71,الريسبي!$B$2:$B$1800,M$1)</f>
        <v>0</v>
      </c>
      <c r="N71" s="117" t="n">
        <f aca="false">SUMIFS(الريسبي!$C$2:$C$1800,الريسبي!$A$2:$A$1800,$A71,الريسبي!$B$2:$B$1800,N$1)</f>
        <v>0</v>
      </c>
      <c r="O71" s="117" t="n">
        <f aca="false">SUMIFS(الريسبي!$C$2:$C$1800,الريسبي!$A$2:$A$1800,$A71,الريسبي!$B$2:$B$1800,O$1)</f>
        <v>0</v>
      </c>
      <c r="P71" s="117" t="n">
        <f aca="false">SUMIFS(الريسبي!$C$2:$C$1800,الريسبي!$A$2:$A$1800,$A71,الريسبي!$B$2:$B$1800,P$1)</f>
        <v>0</v>
      </c>
      <c r="Q71" s="117" t="n">
        <f aca="false">SUMIFS(الريسبي!$C$2:$C$1800,الريسبي!$A$2:$A$1800,$A71,الريسبي!$B$2:$B$1800,Q$1)</f>
        <v>0</v>
      </c>
      <c r="R71" s="117" t="n">
        <f aca="false">SUMIFS(الريسبي!$C$2:$C$1800,الريسبي!$A$2:$A$1800,$A71,الريسبي!$B$2:$B$1800,R$1)</f>
        <v>0</v>
      </c>
      <c r="S71" s="117" t="n">
        <f aca="false">SUMIFS(الريسبي!$C$2:$C$1800,الريسبي!$A$2:$A$1800,$A71,الريسبي!$B$2:$B$1800,S$1)</f>
        <v>0</v>
      </c>
      <c r="T71" s="117" t="n">
        <f aca="false">SUMIFS(الريسبي!$C$2:$C$1800,الريسبي!$A$2:$A$1800,$A71,الريسبي!$B$2:$B$1800,T$1)</f>
        <v>0</v>
      </c>
      <c r="U71" s="117" t="n">
        <f aca="false">SUMIFS(الريسبي!$C$2:$C$1800,الريسبي!$A$2:$A$1800,$A71,الريسبي!$B$2:$B$1800,U$1)</f>
        <v>0</v>
      </c>
      <c r="V71" s="117" t="n">
        <f aca="false">SUMIFS(الريسبي!$C$2:$C$1800,الريسبي!$A$2:$A$1800,$A71,الريسبي!$B$2:$B$1800,V$1)+1.5*(SUMIFS(الريسبي!$C$2:$C$1800,الريسبي!$A$2:$A$1800,$A71,الريسبي!$B$2:$B$1800,"برسيون موتزريلا بيتزا كبير"))</f>
        <v>0</v>
      </c>
      <c r="W71" s="117" t="n">
        <f aca="false">0</f>
        <v>0</v>
      </c>
      <c r="X71" s="117" t="n">
        <f aca="false">SUMIFS(الريسبي!$C$2:$C$1800,الريسبي!$A$2:$A$1800,$A71,الريسبي!$B$2:$B$1800,X$1)+1.5*(SUMIFS(الريسبي!$C$2:$C$1800,الريسبي!$A$2:$A$1800,$A71,الريسبي!$B$2:$B$1800,"برسيون موتزريلا فطير كبير"))</f>
        <v>0</v>
      </c>
      <c r="Y71" s="117" t="n">
        <f aca="false">0</f>
        <v>0</v>
      </c>
      <c r="Z71" s="117" t="n">
        <f aca="false">SUMIFS(الريسبي!$C$2:$C$1800,الريسبي!$A$2:$A$1800,$A71,الريسبي!$B$2:$B$1800,Z$1)</f>
        <v>0</v>
      </c>
      <c r="AA71" s="117" t="n">
        <f aca="false">SUMIFS(الريسبي!$C$2:$C$1800,الريسبي!$A$2:$A$1800,$A71,الريسبي!$B$2:$B$1800,AA$1)</f>
        <v>0</v>
      </c>
      <c r="AB71" s="117" t="n">
        <f aca="false">SUMIFS(الريسبي!$C$2:$C$1800,الريسبي!$A$2:$A$1800,$A71,الريسبي!$B$2:$B$1800,AB$1)</f>
        <v>0</v>
      </c>
      <c r="AC71" s="117" t="n">
        <f aca="false">SUMIFS(الريسبي!$C$2:$C$1800,الريسبي!$A$2:$A$1800,$A71,الريسبي!$B$2:$B$1800,AC$1)</f>
        <v>0</v>
      </c>
      <c r="AD71" s="117" t="n">
        <f aca="false">SUMIFS(الريسبي!$C$2:$C$1800,الريسبي!$A$2:$A$1800,$A71,الريسبي!$B$2:$B$1800,AD$1)</f>
        <v>0</v>
      </c>
      <c r="AE71" s="117" t="n">
        <f aca="false">SUMIFS(الريسبي!$C$2:$C$1800,الريسبي!$A$2:$A$1800,$A71,الريسبي!$B$2:$B$1800,AE$1)</f>
        <v>0</v>
      </c>
      <c r="AF71" s="117" t="n">
        <f aca="false">SUMIFS(الريسبي!$C$2:$C$1800,الريسبي!$A$2:$A$1800,$A71,الريسبي!$B$2:$B$1800,AF$1)</f>
        <v>0</v>
      </c>
      <c r="AG71" s="117" t="n">
        <f aca="false">SUMIFS(الريسبي!$C$2:$C$1800,الريسبي!$A$2:$A$1800,$A71,الريسبي!$B$2:$B$1800,AG$1)</f>
        <v>0</v>
      </c>
      <c r="AH71" s="117" t="n">
        <f aca="false">SUMIFS(الريسبي!$C$2:$C$1800,الريسبي!$A$2:$A$1800,$A71,الريسبي!$B$2:$B$1800,AH$1)</f>
        <v>0</v>
      </c>
      <c r="AI71" s="117" t="n">
        <f aca="false">SUMIFS(الريسبي!$C$2:$C$1800,الريسبي!$A$2:$A$1800,$A71,الريسبي!$B$2:$B$1800,AI$1)</f>
        <v>0</v>
      </c>
      <c r="AJ71" s="117" t="n">
        <f aca="false">SUMIFS(الريسبي!$C$2:$C$1800,الريسبي!$A$2:$A$1800,$A71,الريسبي!$B$2:$B$1800,AJ$1)</f>
        <v>0</v>
      </c>
      <c r="AK71" s="117" t="n">
        <f aca="false">SUMIFS(الريسبي!$C$2:$C$1800,الريسبي!$A$2:$A$1800,$A71,الريسبي!$B$2:$B$1800,AK$1)</f>
        <v>0</v>
      </c>
      <c r="AL71" s="117" t="n">
        <f aca="false">SUMIFS(الريسبي!$C$2:$C$1800,الريسبي!$A$2:$A$1800,$A71,الريسبي!$B$2:$B$1800,AL$1)</f>
        <v>0</v>
      </c>
      <c r="AM71" s="117" t="n">
        <f aca="false">SUMIFS(الريسبي!$C$2:$C$1800,الريسبي!$A$2:$A$1800,$A71,الريسبي!$B$2:$B$1800,AM$1)+0.08333333333*SUMIFS(الريسبي!$C$2:$C$1800,الريسبي!$A$2:$A$1800,$A71,الريسبي!$B$2:$B$1800,"عجين كريب (مصنع بالمطعم)")+0.08333333333*SUMIFS(الريسبي!$C$2:$C$1800,الريسبي!$A$2:$A$1800,$A71,الريسبي!$B$2:$B$1800,"عجين كريب صيامي (بدون لبن)")</f>
        <v>0</v>
      </c>
      <c r="AN71" s="117" t="n">
        <f aca="false">SUMIFS(الريسبي!$C$2:$C$1800,الريسبي!$A$2:$A$1800,$A71,الريسبي!$B$2:$B$1800,AN$1)+0.004166666667*SUMIFS(الريسبي!$C$2:$C$1800,الريسبي!$A$2:$A$1800,$A71,الريسبي!$B$2:$B$1800,"عجين كريب (مصنع بالمطعم)")+0.004166666667*SUMIFS(الريسبي!$C$2:$C$1800,الريسبي!$A$2:$A$1800,$A71,الريسبي!$B$2:$B$1800,"عجين كريب صيامي (بدون لبن)")</f>
        <v>0</v>
      </c>
      <c r="AO71" s="117" t="n">
        <f aca="false">SUMIFS(الريسبي!$C$2:$C$1800,الريسبي!$A$2:$A$1800,$A71,الريسبي!$B$2:$B$1800,AO$1)</f>
        <v>0</v>
      </c>
      <c r="AP71" s="117" t="n">
        <f aca="false">SUMIFS(الريسبي!$C$2:$C$1800,الريسبي!$A$2:$A$1800,$A71,الريسبي!$B$2:$B$1800,AP$1)</f>
        <v>0</v>
      </c>
      <c r="AQ71" s="117" t="n">
        <f aca="false">SUMIFS(الريسبي!$C$2:$C$1800,الريسبي!$A$2:$A$1800,$A71,الريسبي!$B$2:$B$1800,AQ$1)+0.004166666667*SUMIFS(الريسبي!$C$2:$C$1800,الريسبي!$A$2:$A$1800,$A71,الريسبي!$B$2:$B$1800,"عجين كريب (مصنع بالمطعم)")+0.004166666667*SUMIFS(الريسبي!$C$2:$C$1800,الريسبي!$A$2:$A$1800,$A71,الريسبي!$B$2:$B$1800,"عجين كريب صيامي (بدون لبن)")</f>
        <v>0</v>
      </c>
      <c r="AR71" s="117" t="n">
        <f aca="false">SUMIFS(الريسبي!$C$2:$C$1800,الريسبي!$A$2:$A$1800,$A71,الريسبي!$B$2:$B$1800,AR$1)</f>
        <v>0</v>
      </c>
      <c r="AS71" s="117" t="n">
        <f aca="false">SUMIFS(الريسبي!$C$2:$C$1800,الريسبي!$A$2:$A$1800,$A71,الريسبي!$B$2:$B$1800,AS$1)</f>
        <v>0</v>
      </c>
      <c r="AT71" s="117" t="n">
        <f aca="false">SUMIFS(الريسبي!$C$2:$C$1800,الريسبي!$A$2:$A$1800,$A71,الريسبي!$B$2:$B$1800,AT$1)</f>
        <v>0</v>
      </c>
      <c r="AU71" s="117" t="n">
        <f aca="false">SUMIFS(الريسبي!$C$2:$C$1800,الريسبي!$A$2:$A$1800,$A71,الريسبي!$B$2:$B$1800,AU$1)</f>
        <v>0</v>
      </c>
      <c r="AV71" s="117" t="n">
        <f aca="false">SUMIFS(الريسبي!$C$2:$C$1800,الريسبي!$A$2:$A$1800,$A71,الريسبي!$B$2:$B$1800,AV$1)</f>
        <v>0</v>
      </c>
      <c r="AW71" s="117" t="n">
        <f aca="false">SUMIFS(الريسبي!$C$2:$C$1800,الريسبي!$A$2:$A$1800,$A71,الريسبي!$B$2:$B$1800,AW$1)</f>
        <v>0</v>
      </c>
      <c r="AX71" s="117" t="n">
        <f aca="false">SUMIFS(الريسبي!$C$2:$C$1800,الريسبي!$A$2:$A$1800,$A71,الريسبي!$B$2:$B$1800,AX$1)</f>
        <v>0</v>
      </c>
      <c r="AY71" s="117" t="n">
        <f aca="false">SUMIFS(الريسبي!$C$2:$C$1800,الريسبي!$A$2:$A$1800,$A71,الريسبي!$B$2:$B$1800,AY$1)</f>
        <v>0</v>
      </c>
      <c r="AZ71" s="117" t="n">
        <f aca="false">SUMIFS(الريسبي!$C$2:$C$1800,الريسبي!$A$2:$A$1800,$A71,الريسبي!$B$2:$B$1800,AZ$1)</f>
        <v>0</v>
      </c>
      <c r="BA71" s="117" t="n">
        <f aca="false">SUMIFS(الريسبي!$C$2:$C$1800,الريسبي!$A$2:$A$1800,$A71,الريسبي!$B$2:$B$1800,BA$1)</f>
        <v>0</v>
      </c>
      <c r="BB71" s="117" t="n">
        <f aca="false">SUMIFS(الريسبي!$C$2:$C$1800,الريسبي!$A$2:$A$1800,$A71,الريسبي!$B$2:$B$1800,BB$1)</f>
        <v>0</v>
      </c>
      <c r="BC71" s="117" t="n">
        <f aca="false">SUMIFS(الريسبي!$C$2:$C$1800,الريسبي!$A$2:$A$1800,$A71,الريسبي!$B$2:$B$1800,BC$1)</f>
        <v>0</v>
      </c>
      <c r="BD71" s="117" t="n">
        <f aca="false">SUMIFS(الريسبي!$C$2:$C$1800,الريسبي!$A$2:$A$1800,$A71,الريسبي!$B$2:$B$1800,BD$1)</f>
        <v>0</v>
      </c>
      <c r="BE71" s="117" t="n">
        <f aca="false">SUMIFS(الريسبي!$C$2:$C$1800,الريسبي!$A$2:$A$1800,$A71,الريسبي!$B$2:$B$1800,BE$1)</f>
        <v>0</v>
      </c>
      <c r="BF71" s="117" t="n">
        <f aca="false">SUMIFS(الريسبي!$C$2:$C$1800,الريسبي!$A$2:$A$1800,$A71,الريسبي!$B$2:$B$1800,BF$1)</f>
        <v>0</v>
      </c>
      <c r="BG71" s="117" t="n">
        <f aca="false">SUMIFS(الريسبي!$C$2:$C$1800,الريسبي!$A$2:$A$1800,$A71,الريسبي!$B$2:$B$1800,BG$1)</f>
        <v>0</v>
      </c>
      <c r="BH71" s="117" t="n">
        <f aca="false">SUMIFS(الريسبي!$C$2:$C$1800,الريسبي!$A$2:$A$1800,$A71,الريسبي!$B$2:$B$1800,BH$1)</f>
        <v>0</v>
      </c>
      <c r="BI71" s="117" t="n">
        <f aca="false">SUMIFS(الريسبي!$C$2:$C$1800,الريسبي!$A$2:$A$1800,$A71,الريسبي!$B$2:$B$1800,BI$1)</f>
        <v>1</v>
      </c>
      <c r="BJ71" s="117" t="n">
        <f aca="false">SUMIFS(الريسبي!$C$2:$C$1800,الريسبي!$A$2:$A$1800,$A71,الريسبي!$B$2:$B$1800,BJ$1)</f>
        <v>0</v>
      </c>
      <c r="BK71" s="117" t="n">
        <f aca="false">SUMIFS(الريسبي!$C$2:$C$1800,الريسبي!$A$2:$A$1800,$A71,الريسبي!$B$2:$B$1800,BK$1)</f>
        <v>0</v>
      </c>
      <c r="BL71" s="117" t="n">
        <f aca="false">SUMIFS(الريسبي!$C$2:$C$1800,الريسبي!$A$2:$A$1800,$A71,الريسبي!$B$2:$B$1800,BL$1)</f>
        <v>0</v>
      </c>
      <c r="BM71" s="117" t="n">
        <f aca="false">SUMIFS(الريسبي!$C$2:$C$1800,الريسبي!$A$2:$A$1800,$A71,الريسبي!$B$2:$B$1800,BM$1)</f>
        <v>0</v>
      </c>
      <c r="BN71" s="117" t="n">
        <f aca="false">SUMIFS(الريسبي!$C$2:$C$1800,الريسبي!$A$2:$A$1800,$A71,الريسبي!$B$2:$B$1800,BN$1)</f>
        <v>0</v>
      </c>
      <c r="BO71" s="117" t="n">
        <f aca="false">SUMIFS(الريسبي!$C$2:$C$1800,الريسبي!$A$2:$A$1800,$A71,الريسبي!$B$2:$B$1800,BO$1)</f>
        <v>0</v>
      </c>
      <c r="BP71" s="117" t="n">
        <f aca="false">SUMIFS(الريسبي!$C$2:$C$1800,الريسبي!$A$2:$A$1800,$A71,الريسبي!$B$2:$B$1800,BP$1)</f>
        <v>1</v>
      </c>
      <c r="BQ71" s="117" t="n">
        <f aca="false">SUMIFS(الريسبي!$C$2:$C$1800,الريسبي!$A$2:$A$1800,$A71,الريسبي!$B$2:$B$1800,BQ$1)+0.17*SUMIFS(الريسبي!$C$2:$C$1800,الريسبي!$A$2:$A$1800,$A71,الريسبي!$B$2:$B$1800,"كاسترد مصنع (خليط بودر + لبن)")+0.17*SUMIFS(الريسبي!$C$2:$C$1800,الريسبي!$A$2:$A$1800,$A71,الريسبي!$B$2:$B$1800,"كاسترد مصنع صيامي (بدون لبن)")</f>
        <v>0</v>
      </c>
      <c r="BR71" s="117" t="n">
        <f aca="false">SUMIFS(الريسبي!$C$2:$C$1800,الريسبي!$A$2:$A$1800,$A71,الريسبي!$B$2:$B$1800,BR$1)</f>
        <v>0</v>
      </c>
      <c r="BS71" s="117" t="n">
        <f aca="false">SUMIFS(الريسبي!$C$2:$C$1800,الريسبي!$A$2:$A$1800,$A71,الريسبي!$B$2:$B$1800,BS$1)</f>
        <v>0</v>
      </c>
      <c r="BT71" s="117" t="n">
        <f aca="false">SUMIFS(الريسبي!$C$2:$C$1800,الريسبي!$A$2:$A$1800,$A71,الريسبي!$B$2:$B$1800,BT$1)</f>
        <v>0</v>
      </c>
      <c r="BU71" s="117" t="n">
        <f aca="false">SUMIFS(الريسبي!$C$2:$C$1800,الريسبي!$A$2:$A$1800,$A71,الريسبي!$B$2:$B$1800,BU$1)+0.4*SUMIFS(الريسبي!$C$2:$C$1800,الريسبي!$A$2:$A$1800,$A71,الريسبي!$B$2:$B$1800,"كاسترد مصنع (خليط بودر + لبن)")+0.03333333333*SUMIFS(الريسبي!$C$2:$C$1800,الريسبي!$A$2:$A$1800,$A71,الريسبي!$B$2:$B$1800,"عجين كريب (مصنع بالمطعم)")</f>
        <v>0</v>
      </c>
      <c r="BV71" s="117" t="n">
        <f aca="false">SUMIFS(الريسبي!$C$2:$C$1800,الريسبي!$A$2:$A$1800,$A71,الريسبي!$B$2:$B$1800,BV$1)</f>
        <v>0</v>
      </c>
      <c r="BW71" s="117" t="n">
        <f aca="false">SUMIFS(الريسبي!$C$2:$C$1800,الريسبي!$A$2:$A$1800,$A71,الريسبي!$B$2:$B$1800,BW$1)</f>
        <v>0</v>
      </c>
      <c r="BX71" s="117" t="n">
        <f aca="false">SUMIFS(الريسبي!$C$2:$C$1800,الريسبي!$A$2:$A$1800,$A71,الريسبي!$B$2:$B$1800,BX$1)</f>
        <v>0</v>
      </c>
      <c r="BY71" s="117" t="n">
        <f aca="false">SUMIFS(الريسبي!$C$2:$C$1800,الريسبي!$A$2:$A$1800,$A71,الريسبي!$B$2:$B$1800,BY$1)</f>
        <v>0</v>
      </c>
      <c r="BZ71" s="117" t="n">
        <f aca="false">SUMIFS(الريسبي!$C$2:$C$1800,الريسبي!$A$2:$A$1800,$A71,الريسبي!$B$2:$B$1800,BZ$1)</f>
        <v>0</v>
      </c>
      <c r="CA71" s="117" t="n">
        <f aca="false">SUMIFS(الريسبي!$C$2:$C$1800,الريسبي!$A$2:$A$1800,$A71,الريسبي!$B$2:$B$1800,CA$1)</f>
        <v>0</v>
      </c>
      <c r="CB71" s="117" t="n">
        <f aca="false">SUMIFS(الريسبي!$C$2:$C$1800,الريسبي!$A$2:$A$1800,$A71,الريسبي!$B$2:$B$1800,CB$1)</f>
        <v>0</v>
      </c>
      <c r="CC71" s="117" t="n">
        <f aca="false">SUMIFS(الريسبي!$C$2:$C$1800,الريسبي!$A$2:$A$1800,$A71,الريسبي!$B$2:$B$1800,CC$1)</f>
        <v>0</v>
      </c>
      <c r="CD71" s="117" t="n">
        <f aca="false">SUMIFS(الريسبي!$C$2:$C$1800,الريسبي!$A$2:$A$1800,$A71,الريسبي!$B$2:$B$1800,CD$1)</f>
        <v>0</v>
      </c>
      <c r="CE71" s="117" t="n">
        <f aca="false">SUMIFS(الريسبي!$C$2:$C$1800,الريسبي!$A$2:$A$1800,$A71,الريسبي!$B$2:$B$1800,CE$1)</f>
        <v>0</v>
      </c>
      <c r="CF71" s="117" t="n">
        <f aca="false">SUMIFS(الريسبي!$C$2:$C$1800,الريسبي!$A$2:$A$1800,$A71,الريسبي!$B$2:$B$1800,CF$1)</f>
        <v>0</v>
      </c>
      <c r="CG71" s="117" t="n">
        <f aca="false">SUMIFS(الريسبي!$C$2:$C$1800,الريسبي!$A$2:$A$1800,$A71,الريسبي!$B$2:$B$1800,CG$1)</f>
        <v>0</v>
      </c>
      <c r="CH71" s="117" t="n">
        <f aca="false">SUMIFS(الريسبي!$C$2:$C$1800,الريسبي!$A$2:$A$1800,$A71,الريسبي!$B$2:$B$1800,CH$1)</f>
        <v>0</v>
      </c>
      <c r="CI71" s="117" t="n">
        <f aca="false">SUMIFS(الريسبي!$C$2:$C$1800,الريسبي!$A$2:$A$1800,$A71,الريسبي!$B$2:$B$1800,CI$1)</f>
        <v>0</v>
      </c>
      <c r="CJ71" s="117" t="n">
        <f aca="false">SUMIFS(الريسبي!$C$2:$C$1800,الريسبي!$A$2:$A$1800,$A71,الريسبي!$B$2:$B$1800,CJ$1)</f>
        <v>0</v>
      </c>
      <c r="CK71" s="117" t="n">
        <f aca="false">SUMIFS(الريسبي!$C$2:$C$1800,الريسبي!$A$2:$A$1800,$A71,الريسبي!$B$2:$B$1800,CK$1)</f>
        <v>0</v>
      </c>
      <c r="CL71" s="117" t="n">
        <f aca="false">SUMIFS(الريسبي!$C$2:$C$1800,الريسبي!$A$2:$A$1800,$A71,الريسبي!$B$2:$B$1800,CL$1)</f>
        <v>0</v>
      </c>
    </row>
    <row r="72" customFormat="false" ht="15" hidden="false" customHeight="false" outlineLevel="0" collapsed="false">
      <c r="A72" s="116" t="str">
        <f aca="false">المنيو!B72</f>
        <v>باكت بطاطس كبير</v>
      </c>
      <c r="B72" s="117" t="n">
        <f aca="false">SUMIFS(الريسبي!$C$2:$C$1800,الريسبي!$A$2:$A$1800,$A72,الريسبي!$B$2:$B$1800,B$1)</f>
        <v>0</v>
      </c>
      <c r="C72" s="117" t="n">
        <f aca="false">SUMIFS(الريسبي!$C$2:$C$1800,الريسبي!$A$2:$A$1800,$A72,الريسبي!$B$2:$B$1800,C$1)</f>
        <v>0</v>
      </c>
      <c r="D72" s="117" t="n">
        <f aca="false">SUMIFS(الريسبي!$C$2:$C$1800,الريسبي!$A$2:$A$1800,$A72,الريسبي!$B$2:$B$1800,D$1)</f>
        <v>0</v>
      </c>
      <c r="E72" s="117" t="n">
        <f aca="false">SUMIFS(الريسبي!$C$2:$C$1800,الريسبي!$A$2:$A$1800,$A72,الريسبي!$B$2:$B$1800,E$1)</f>
        <v>0</v>
      </c>
      <c r="F72" s="117" t="n">
        <f aca="false">SUMIFS(الريسبي!$C$2:$C$1800,الريسبي!$A$2:$A$1800,$A72,الريسبي!$B$2:$B$1800,F$1)</f>
        <v>0</v>
      </c>
      <c r="G72" s="117" t="n">
        <f aca="false">SUMIFS(الريسبي!$C$2:$C$1800,الريسبي!$A$2:$A$1800,$A72,الريسبي!$B$2:$B$1800,G$1)</f>
        <v>0</v>
      </c>
      <c r="H72" s="117" t="n">
        <f aca="false">SUMIFS(الريسبي!$C$2:$C$1800,الريسبي!$A$2:$A$1800,$A72,الريسبي!$B$2:$B$1800,H$1)</f>
        <v>0</v>
      </c>
      <c r="I72" s="117" t="n">
        <f aca="false">SUMIFS(الريسبي!$C$2:$C$1800,الريسبي!$A$2:$A$1800,$A72,الريسبي!$B$2:$B$1800,I$1)</f>
        <v>3</v>
      </c>
      <c r="J72" s="117" t="n">
        <f aca="false">SUMIFS(الريسبي!$C$2:$C$1800,الريسبي!$A$2:$A$1800,$A72,الريسبي!$B$2:$B$1800,J$1)</f>
        <v>0</v>
      </c>
      <c r="K72" s="117" t="n">
        <f aca="false">SUMIFS(الريسبي!$C$2:$C$1800,الريسبي!$A$2:$A$1800,$A72,الريسبي!$B$2:$B$1800,K$1)</f>
        <v>0</v>
      </c>
      <c r="L72" s="117" t="n">
        <f aca="false">SUMIFS(الريسبي!$C$2:$C$1800,الريسبي!$A$2:$A$1800,$A72,الريسبي!$B$2:$B$1800,L$1)</f>
        <v>0</v>
      </c>
      <c r="M72" s="117" t="n">
        <f aca="false">SUMIFS(الريسبي!$C$2:$C$1800,الريسبي!$A$2:$A$1800,$A72,الريسبي!$B$2:$B$1800,M$1)</f>
        <v>0</v>
      </c>
      <c r="N72" s="117" t="n">
        <f aca="false">SUMIFS(الريسبي!$C$2:$C$1800,الريسبي!$A$2:$A$1800,$A72,الريسبي!$B$2:$B$1800,N$1)</f>
        <v>0</v>
      </c>
      <c r="O72" s="117" t="n">
        <f aca="false">SUMIFS(الريسبي!$C$2:$C$1800,الريسبي!$A$2:$A$1800,$A72,الريسبي!$B$2:$B$1800,O$1)</f>
        <v>0</v>
      </c>
      <c r="P72" s="117" t="n">
        <f aca="false">SUMIFS(الريسبي!$C$2:$C$1800,الريسبي!$A$2:$A$1800,$A72,الريسبي!$B$2:$B$1800,P$1)</f>
        <v>0</v>
      </c>
      <c r="Q72" s="117" t="n">
        <f aca="false">SUMIFS(الريسبي!$C$2:$C$1800,الريسبي!$A$2:$A$1800,$A72,الريسبي!$B$2:$B$1800,Q$1)</f>
        <v>0</v>
      </c>
      <c r="R72" s="117" t="n">
        <f aca="false">SUMIFS(الريسبي!$C$2:$C$1800,الريسبي!$A$2:$A$1800,$A72,الريسبي!$B$2:$B$1800,R$1)</f>
        <v>0</v>
      </c>
      <c r="S72" s="117" t="n">
        <f aca="false">SUMIFS(الريسبي!$C$2:$C$1800,الريسبي!$A$2:$A$1800,$A72,الريسبي!$B$2:$B$1800,S$1)</f>
        <v>0</v>
      </c>
      <c r="T72" s="117" t="n">
        <f aca="false">SUMIFS(الريسبي!$C$2:$C$1800,الريسبي!$A$2:$A$1800,$A72,الريسبي!$B$2:$B$1800,T$1)</f>
        <v>0</v>
      </c>
      <c r="U72" s="117" t="n">
        <f aca="false">SUMIFS(الريسبي!$C$2:$C$1800,الريسبي!$A$2:$A$1800,$A72,الريسبي!$B$2:$B$1800,U$1)</f>
        <v>0</v>
      </c>
      <c r="V72" s="117" t="n">
        <f aca="false">SUMIFS(الريسبي!$C$2:$C$1800,الريسبي!$A$2:$A$1800,$A72,الريسبي!$B$2:$B$1800,V$1)+1.5*(SUMIFS(الريسبي!$C$2:$C$1800,الريسبي!$A$2:$A$1800,$A72,الريسبي!$B$2:$B$1800,"برسيون موتزريلا بيتزا كبير"))</f>
        <v>0</v>
      </c>
      <c r="W72" s="117" t="n">
        <f aca="false">0</f>
        <v>0</v>
      </c>
      <c r="X72" s="117" t="n">
        <f aca="false">SUMIFS(الريسبي!$C$2:$C$1800,الريسبي!$A$2:$A$1800,$A72,الريسبي!$B$2:$B$1800,X$1)+1.5*(SUMIFS(الريسبي!$C$2:$C$1800,الريسبي!$A$2:$A$1800,$A72,الريسبي!$B$2:$B$1800,"برسيون موتزريلا فطير كبير"))</f>
        <v>0</v>
      </c>
      <c r="Y72" s="117" t="n">
        <f aca="false">0</f>
        <v>0</v>
      </c>
      <c r="Z72" s="117" t="n">
        <f aca="false">SUMIFS(الريسبي!$C$2:$C$1800,الريسبي!$A$2:$A$1800,$A72,الريسبي!$B$2:$B$1800,Z$1)</f>
        <v>0</v>
      </c>
      <c r="AA72" s="117" t="n">
        <f aca="false">SUMIFS(الريسبي!$C$2:$C$1800,الريسبي!$A$2:$A$1800,$A72,الريسبي!$B$2:$B$1800,AA$1)</f>
        <v>0</v>
      </c>
      <c r="AB72" s="117" t="n">
        <f aca="false">SUMIFS(الريسبي!$C$2:$C$1800,الريسبي!$A$2:$A$1800,$A72,الريسبي!$B$2:$B$1800,AB$1)</f>
        <v>0</v>
      </c>
      <c r="AC72" s="117" t="n">
        <f aca="false">SUMIFS(الريسبي!$C$2:$C$1800,الريسبي!$A$2:$A$1800,$A72,الريسبي!$B$2:$B$1800,AC$1)</f>
        <v>0</v>
      </c>
      <c r="AD72" s="117" t="n">
        <f aca="false">SUMIFS(الريسبي!$C$2:$C$1800,الريسبي!$A$2:$A$1800,$A72,الريسبي!$B$2:$B$1800,AD$1)</f>
        <v>0</v>
      </c>
      <c r="AE72" s="117" t="n">
        <f aca="false">SUMIFS(الريسبي!$C$2:$C$1800,الريسبي!$A$2:$A$1800,$A72,الريسبي!$B$2:$B$1800,AE$1)</f>
        <v>0</v>
      </c>
      <c r="AF72" s="117" t="n">
        <f aca="false">SUMIFS(الريسبي!$C$2:$C$1800,الريسبي!$A$2:$A$1800,$A72,الريسبي!$B$2:$B$1800,AF$1)</f>
        <v>0</v>
      </c>
      <c r="AG72" s="117" t="n">
        <f aca="false">SUMIFS(الريسبي!$C$2:$C$1800,الريسبي!$A$2:$A$1800,$A72,الريسبي!$B$2:$B$1800,AG$1)</f>
        <v>0</v>
      </c>
      <c r="AH72" s="117" t="n">
        <f aca="false">SUMIFS(الريسبي!$C$2:$C$1800,الريسبي!$A$2:$A$1800,$A72,الريسبي!$B$2:$B$1800,AH$1)</f>
        <v>0</v>
      </c>
      <c r="AI72" s="117" t="n">
        <f aca="false">SUMIFS(الريسبي!$C$2:$C$1800,الريسبي!$A$2:$A$1800,$A72,الريسبي!$B$2:$B$1800,AI$1)</f>
        <v>0</v>
      </c>
      <c r="AJ72" s="117" t="n">
        <f aca="false">SUMIFS(الريسبي!$C$2:$C$1800,الريسبي!$A$2:$A$1800,$A72,الريسبي!$B$2:$B$1800,AJ$1)</f>
        <v>0</v>
      </c>
      <c r="AK72" s="117" t="n">
        <f aca="false">SUMIFS(الريسبي!$C$2:$C$1800,الريسبي!$A$2:$A$1800,$A72,الريسبي!$B$2:$B$1800,AK$1)</f>
        <v>0</v>
      </c>
      <c r="AL72" s="117" t="n">
        <f aca="false">SUMIFS(الريسبي!$C$2:$C$1800,الريسبي!$A$2:$A$1800,$A72,الريسبي!$B$2:$B$1800,AL$1)</f>
        <v>0</v>
      </c>
      <c r="AM72" s="117" t="n">
        <f aca="false">SUMIFS(الريسبي!$C$2:$C$1800,الريسبي!$A$2:$A$1800,$A72,الريسبي!$B$2:$B$1800,AM$1)+0.08333333333*SUMIFS(الريسبي!$C$2:$C$1800,الريسبي!$A$2:$A$1800,$A72,الريسبي!$B$2:$B$1800,"عجين كريب (مصنع بالمطعم)")+0.08333333333*SUMIFS(الريسبي!$C$2:$C$1800,الريسبي!$A$2:$A$1800,$A72,الريسبي!$B$2:$B$1800,"عجين كريب صيامي (بدون لبن)")</f>
        <v>0</v>
      </c>
      <c r="AN72" s="117" t="n">
        <f aca="false">SUMIFS(الريسبي!$C$2:$C$1800,الريسبي!$A$2:$A$1800,$A72,الريسبي!$B$2:$B$1800,AN$1)+0.004166666667*SUMIFS(الريسبي!$C$2:$C$1800,الريسبي!$A$2:$A$1800,$A72,الريسبي!$B$2:$B$1800,"عجين كريب (مصنع بالمطعم)")+0.004166666667*SUMIFS(الريسبي!$C$2:$C$1800,الريسبي!$A$2:$A$1800,$A72,الريسبي!$B$2:$B$1800,"عجين كريب صيامي (بدون لبن)")</f>
        <v>0</v>
      </c>
      <c r="AO72" s="117" t="n">
        <f aca="false">SUMIFS(الريسبي!$C$2:$C$1800,الريسبي!$A$2:$A$1800,$A72,الريسبي!$B$2:$B$1800,AO$1)</f>
        <v>0</v>
      </c>
      <c r="AP72" s="117" t="n">
        <f aca="false">SUMIFS(الريسبي!$C$2:$C$1800,الريسبي!$A$2:$A$1800,$A72,الريسبي!$B$2:$B$1800,AP$1)</f>
        <v>0</v>
      </c>
      <c r="AQ72" s="117" t="n">
        <f aca="false">SUMIFS(الريسبي!$C$2:$C$1800,الريسبي!$A$2:$A$1800,$A72,الريسبي!$B$2:$B$1800,AQ$1)+0.004166666667*SUMIFS(الريسبي!$C$2:$C$1800,الريسبي!$A$2:$A$1800,$A72,الريسبي!$B$2:$B$1800,"عجين كريب (مصنع بالمطعم)")+0.004166666667*SUMIFS(الريسبي!$C$2:$C$1800,الريسبي!$A$2:$A$1800,$A72,الريسبي!$B$2:$B$1800,"عجين كريب صيامي (بدون لبن)")</f>
        <v>0</v>
      </c>
      <c r="AR72" s="117" t="n">
        <f aca="false">SUMIFS(الريسبي!$C$2:$C$1800,الريسبي!$A$2:$A$1800,$A72,الريسبي!$B$2:$B$1800,AR$1)</f>
        <v>0</v>
      </c>
      <c r="AS72" s="117" t="n">
        <f aca="false">SUMIFS(الريسبي!$C$2:$C$1800,الريسبي!$A$2:$A$1800,$A72,الريسبي!$B$2:$B$1800,AS$1)</f>
        <v>0</v>
      </c>
      <c r="AT72" s="117" t="n">
        <f aca="false">SUMIFS(الريسبي!$C$2:$C$1800,الريسبي!$A$2:$A$1800,$A72,الريسبي!$B$2:$B$1800,AT$1)</f>
        <v>0</v>
      </c>
      <c r="AU72" s="117" t="n">
        <f aca="false">SUMIFS(الريسبي!$C$2:$C$1800,الريسبي!$A$2:$A$1800,$A72,الريسبي!$B$2:$B$1800,AU$1)</f>
        <v>0</v>
      </c>
      <c r="AV72" s="117" t="n">
        <f aca="false">SUMIFS(الريسبي!$C$2:$C$1800,الريسبي!$A$2:$A$1800,$A72,الريسبي!$B$2:$B$1800,AV$1)</f>
        <v>0</v>
      </c>
      <c r="AW72" s="117" t="n">
        <f aca="false">SUMIFS(الريسبي!$C$2:$C$1800,الريسبي!$A$2:$A$1800,$A72,الريسبي!$B$2:$B$1800,AW$1)</f>
        <v>0</v>
      </c>
      <c r="AX72" s="117" t="n">
        <f aca="false">SUMIFS(الريسبي!$C$2:$C$1800,الريسبي!$A$2:$A$1800,$A72,الريسبي!$B$2:$B$1800,AX$1)</f>
        <v>0</v>
      </c>
      <c r="AY72" s="117" t="n">
        <f aca="false">SUMIFS(الريسبي!$C$2:$C$1800,الريسبي!$A$2:$A$1800,$A72,الريسبي!$B$2:$B$1800,AY$1)</f>
        <v>0</v>
      </c>
      <c r="AZ72" s="117" t="n">
        <f aca="false">SUMIFS(الريسبي!$C$2:$C$1800,الريسبي!$A$2:$A$1800,$A72,الريسبي!$B$2:$B$1800,AZ$1)</f>
        <v>0</v>
      </c>
      <c r="BA72" s="117" t="n">
        <f aca="false">SUMIFS(الريسبي!$C$2:$C$1800,الريسبي!$A$2:$A$1800,$A72,الريسبي!$B$2:$B$1800,BA$1)</f>
        <v>0</v>
      </c>
      <c r="BB72" s="117" t="n">
        <f aca="false">SUMIFS(الريسبي!$C$2:$C$1800,الريسبي!$A$2:$A$1800,$A72,الريسبي!$B$2:$B$1800,BB$1)</f>
        <v>0</v>
      </c>
      <c r="BC72" s="117" t="n">
        <f aca="false">SUMIFS(الريسبي!$C$2:$C$1800,الريسبي!$A$2:$A$1800,$A72,الريسبي!$B$2:$B$1800,BC$1)</f>
        <v>0</v>
      </c>
      <c r="BD72" s="117" t="n">
        <f aca="false">SUMIFS(الريسبي!$C$2:$C$1800,الريسبي!$A$2:$A$1800,$A72,الريسبي!$B$2:$B$1800,BD$1)</f>
        <v>0</v>
      </c>
      <c r="BE72" s="117" t="n">
        <f aca="false">SUMIFS(الريسبي!$C$2:$C$1800,الريسبي!$A$2:$A$1800,$A72,الريسبي!$B$2:$B$1800,BE$1)</f>
        <v>0</v>
      </c>
      <c r="BF72" s="117" t="n">
        <f aca="false">SUMIFS(الريسبي!$C$2:$C$1800,الريسبي!$A$2:$A$1800,$A72,الريسبي!$B$2:$B$1800,BF$1)</f>
        <v>0</v>
      </c>
      <c r="BG72" s="117" t="n">
        <f aca="false">SUMIFS(الريسبي!$C$2:$C$1800,الريسبي!$A$2:$A$1800,$A72,الريسبي!$B$2:$B$1800,BG$1)</f>
        <v>0</v>
      </c>
      <c r="BH72" s="117" t="n">
        <f aca="false">SUMIFS(الريسبي!$C$2:$C$1800,الريسبي!$A$2:$A$1800,$A72,الريسبي!$B$2:$B$1800,BH$1)</f>
        <v>0</v>
      </c>
      <c r="BI72" s="117" t="n">
        <f aca="false">SUMIFS(الريسبي!$C$2:$C$1800,الريسبي!$A$2:$A$1800,$A72,الريسبي!$B$2:$B$1800,BI$1)</f>
        <v>0</v>
      </c>
      <c r="BJ72" s="117" t="n">
        <f aca="false">SUMIFS(الريسبي!$C$2:$C$1800,الريسبي!$A$2:$A$1800,$A72,الريسبي!$B$2:$B$1800,BJ$1)</f>
        <v>1</v>
      </c>
      <c r="BK72" s="117" t="n">
        <f aca="false">SUMIFS(الريسبي!$C$2:$C$1800,الريسبي!$A$2:$A$1800,$A72,الريسبي!$B$2:$B$1800,BK$1)</f>
        <v>0</v>
      </c>
      <c r="BL72" s="117" t="n">
        <f aca="false">SUMIFS(الريسبي!$C$2:$C$1800,الريسبي!$A$2:$A$1800,$A72,الريسبي!$B$2:$B$1800,BL$1)</f>
        <v>0</v>
      </c>
      <c r="BM72" s="117" t="n">
        <f aca="false">SUMIFS(الريسبي!$C$2:$C$1800,الريسبي!$A$2:$A$1800,$A72,الريسبي!$B$2:$B$1800,BM$1)</f>
        <v>0</v>
      </c>
      <c r="BN72" s="117" t="n">
        <f aca="false">SUMIFS(الريسبي!$C$2:$C$1800,الريسبي!$A$2:$A$1800,$A72,الريسبي!$B$2:$B$1800,BN$1)</f>
        <v>0</v>
      </c>
      <c r="BO72" s="117" t="n">
        <f aca="false">SUMIFS(الريسبي!$C$2:$C$1800,الريسبي!$A$2:$A$1800,$A72,الريسبي!$B$2:$B$1800,BO$1)</f>
        <v>0</v>
      </c>
      <c r="BP72" s="117" t="n">
        <f aca="false">SUMIFS(الريسبي!$C$2:$C$1800,الريسبي!$A$2:$A$1800,$A72,الريسبي!$B$2:$B$1800,BP$1)</f>
        <v>2</v>
      </c>
      <c r="BQ72" s="117" t="n">
        <f aca="false">SUMIFS(الريسبي!$C$2:$C$1800,الريسبي!$A$2:$A$1800,$A72,الريسبي!$B$2:$B$1800,BQ$1)+0.17*SUMIFS(الريسبي!$C$2:$C$1800,الريسبي!$A$2:$A$1800,$A72,الريسبي!$B$2:$B$1800,"كاسترد مصنع (خليط بودر + لبن)")+0.17*SUMIFS(الريسبي!$C$2:$C$1800,الريسبي!$A$2:$A$1800,$A72,الريسبي!$B$2:$B$1800,"كاسترد مصنع صيامي (بدون لبن)")</f>
        <v>0</v>
      </c>
      <c r="BR72" s="117" t="n">
        <f aca="false">SUMIFS(الريسبي!$C$2:$C$1800,الريسبي!$A$2:$A$1800,$A72,الريسبي!$B$2:$B$1800,BR$1)</f>
        <v>0</v>
      </c>
      <c r="BS72" s="117" t="n">
        <f aca="false">SUMIFS(الريسبي!$C$2:$C$1800,الريسبي!$A$2:$A$1800,$A72,الريسبي!$B$2:$B$1800,BS$1)</f>
        <v>0</v>
      </c>
      <c r="BT72" s="117" t="n">
        <f aca="false">SUMIFS(الريسبي!$C$2:$C$1800,الريسبي!$A$2:$A$1800,$A72,الريسبي!$B$2:$B$1800,BT$1)</f>
        <v>0</v>
      </c>
      <c r="BU72" s="117" t="n">
        <f aca="false">SUMIFS(الريسبي!$C$2:$C$1800,الريسبي!$A$2:$A$1800,$A72,الريسبي!$B$2:$B$1800,BU$1)+0.4*SUMIFS(الريسبي!$C$2:$C$1800,الريسبي!$A$2:$A$1800,$A72,الريسبي!$B$2:$B$1800,"كاسترد مصنع (خليط بودر + لبن)")+0.03333333333*SUMIFS(الريسبي!$C$2:$C$1800,الريسبي!$A$2:$A$1800,$A72,الريسبي!$B$2:$B$1800,"عجين كريب (مصنع بالمطعم)")</f>
        <v>0</v>
      </c>
      <c r="BV72" s="117" t="n">
        <f aca="false">SUMIFS(الريسبي!$C$2:$C$1800,الريسبي!$A$2:$A$1800,$A72,الريسبي!$B$2:$B$1800,BV$1)</f>
        <v>0</v>
      </c>
      <c r="BW72" s="117" t="n">
        <f aca="false">SUMIFS(الريسبي!$C$2:$C$1800,الريسبي!$A$2:$A$1800,$A72,الريسبي!$B$2:$B$1800,BW$1)</f>
        <v>0</v>
      </c>
      <c r="BX72" s="117" t="n">
        <f aca="false">SUMIFS(الريسبي!$C$2:$C$1800,الريسبي!$A$2:$A$1800,$A72,الريسبي!$B$2:$B$1800,BX$1)</f>
        <v>0</v>
      </c>
      <c r="BY72" s="117" t="n">
        <f aca="false">SUMIFS(الريسبي!$C$2:$C$1800,الريسبي!$A$2:$A$1800,$A72,الريسبي!$B$2:$B$1800,BY$1)</f>
        <v>0</v>
      </c>
      <c r="BZ72" s="117" t="n">
        <f aca="false">SUMIFS(الريسبي!$C$2:$C$1800,الريسبي!$A$2:$A$1800,$A72,الريسبي!$B$2:$B$1800,BZ$1)</f>
        <v>0</v>
      </c>
      <c r="CA72" s="117" t="n">
        <f aca="false">SUMIFS(الريسبي!$C$2:$C$1800,الريسبي!$A$2:$A$1800,$A72,الريسبي!$B$2:$B$1800,CA$1)</f>
        <v>0</v>
      </c>
      <c r="CB72" s="117" t="n">
        <f aca="false">SUMIFS(الريسبي!$C$2:$C$1800,الريسبي!$A$2:$A$1800,$A72,الريسبي!$B$2:$B$1800,CB$1)</f>
        <v>0</v>
      </c>
      <c r="CC72" s="117" t="n">
        <f aca="false">SUMIFS(الريسبي!$C$2:$C$1800,الريسبي!$A$2:$A$1800,$A72,الريسبي!$B$2:$B$1800,CC$1)</f>
        <v>0</v>
      </c>
      <c r="CD72" s="117" t="n">
        <f aca="false">SUMIFS(الريسبي!$C$2:$C$1800,الريسبي!$A$2:$A$1800,$A72,الريسبي!$B$2:$B$1800,CD$1)</f>
        <v>0</v>
      </c>
      <c r="CE72" s="117" t="n">
        <f aca="false">SUMIFS(الريسبي!$C$2:$C$1800,الريسبي!$A$2:$A$1800,$A72,الريسبي!$B$2:$B$1800,CE$1)</f>
        <v>0</v>
      </c>
      <c r="CF72" s="117" t="n">
        <f aca="false">SUMIFS(الريسبي!$C$2:$C$1800,الريسبي!$A$2:$A$1800,$A72,الريسبي!$B$2:$B$1800,CF$1)</f>
        <v>0</v>
      </c>
      <c r="CG72" s="117" t="n">
        <f aca="false">SUMIFS(الريسبي!$C$2:$C$1800,الريسبي!$A$2:$A$1800,$A72,الريسبي!$B$2:$B$1800,CG$1)</f>
        <v>0</v>
      </c>
      <c r="CH72" s="117" t="n">
        <f aca="false">SUMIFS(الريسبي!$C$2:$C$1800,الريسبي!$A$2:$A$1800,$A72,الريسبي!$B$2:$B$1800,CH$1)</f>
        <v>0</v>
      </c>
      <c r="CI72" s="117" t="n">
        <f aca="false">SUMIFS(الريسبي!$C$2:$C$1800,الريسبي!$A$2:$A$1800,$A72,الريسبي!$B$2:$B$1800,CI$1)</f>
        <v>0</v>
      </c>
      <c r="CJ72" s="117" t="n">
        <f aca="false">SUMIFS(الريسبي!$C$2:$C$1800,الريسبي!$A$2:$A$1800,$A72,الريسبي!$B$2:$B$1800,CJ$1)</f>
        <v>0</v>
      </c>
      <c r="CK72" s="117" t="n">
        <f aca="false">SUMIFS(الريسبي!$C$2:$C$1800,الريسبي!$A$2:$A$1800,$A72,الريسبي!$B$2:$B$1800,CK$1)</f>
        <v>0</v>
      </c>
      <c r="CL72" s="117" t="n">
        <f aca="false">SUMIFS(الريسبي!$C$2:$C$1800,الريسبي!$A$2:$A$1800,$A72,الريسبي!$B$2:$B$1800,CL$1)</f>
        <v>0</v>
      </c>
    </row>
    <row r="73" customFormat="false" ht="15" hidden="false" customHeight="false" outlineLevel="0" collapsed="false">
      <c r="A73" s="116" t="str">
        <f aca="false">المنيو!B73</f>
        <v>باكت بطاطس جبنة (وسط)</v>
      </c>
      <c r="B73" s="117" t="n">
        <f aca="false">SUMIFS(الريسبي!$C$2:$C$1800,الريسبي!$A$2:$A$1800,$A73,الريسبي!$B$2:$B$1800,B$1)</f>
        <v>0</v>
      </c>
      <c r="C73" s="117" t="n">
        <f aca="false">SUMIFS(الريسبي!$C$2:$C$1800,الريسبي!$A$2:$A$1800,$A73,الريسبي!$B$2:$B$1800,C$1)</f>
        <v>0</v>
      </c>
      <c r="D73" s="117" t="n">
        <f aca="false">SUMIFS(الريسبي!$C$2:$C$1800,الريسبي!$A$2:$A$1800,$A73,الريسبي!$B$2:$B$1800,D$1)</f>
        <v>0</v>
      </c>
      <c r="E73" s="117" t="n">
        <f aca="false">SUMIFS(الريسبي!$C$2:$C$1800,الريسبي!$A$2:$A$1800,$A73,الريسبي!$B$2:$B$1800,E$1)</f>
        <v>0</v>
      </c>
      <c r="F73" s="117" t="n">
        <f aca="false">SUMIFS(الريسبي!$C$2:$C$1800,الريسبي!$A$2:$A$1800,$A73,الريسبي!$B$2:$B$1800,F$1)</f>
        <v>0</v>
      </c>
      <c r="G73" s="117" t="n">
        <f aca="false">SUMIFS(الريسبي!$C$2:$C$1800,الريسبي!$A$2:$A$1800,$A73,الريسبي!$B$2:$B$1800,G$1)</f>
        <v>0</v>
      </c>
      <c r="H73" s="117" t="n">
        <f aca="false">SUMIFS(الريسبي!$C$2:$C$1800,الريسبي!$A$2:$A$1800,$A73,الريسبي!$B$2:$B$1800,H$1)</f>
        <v>0</v>
      </c>
      <c r="I73" s="117" t="n">
        <f aca="false">SUMIFS(الريسبي!$C$2:$C$1800,الريسبي!$A$2:$A$1800,$A73,الريسبي!$B$2:$B$1800,I$1)</f>
        <v>1.5</v>
      </c>
      <c r="J73" s="117" t="n">
        <f aca="false">SUMIFS(الريسبي!$C$2:$C$1800,الريسبي!$A$2:$A$1800,$A73,الريسبي!$B$2:$B$1800,J$1)</f>
        <v>0</v>
      </c>
      <c r="K73" s="117" t="n">
        <f aca="false">SUMIFS(الريسبي!$C$2:$C$1800,الريسبي!$A$2:$A$1800,$A73,الريسبي!$B$2:$B$1800,K$1)</f>
        <v>0</v>
      </c>
      <c r="L73" s="117" t="n">
        <f aca="false">SUMIFS(الريسبي!$C$2:$C$1800,الريسبي!$A$2:$A$1800,$A73,الريسبي!$B$2:$B$1800,L$1)</f>
        <v>0</v>
      </c>
      <c r="M73" s="117" t="n">
        <f aca="false">SUMIFS(الريسبي!$C$2:$C$1800,الريسبي!$A$2:$A$1800,$A73,الريسبي!$B$2:$B$1800,M$1)</f>
        <v>0</v>
      </c>
      <c r="N73" s="117" t="n">
        <f aca="false">SUMIFS(الريسبي!$C$2:$C$1800,الريسبي!$A$2:$A$1800,$A73,الريسبي!$B$2:$B$1800,N$1)</f>
        <v>0</v>
      </c>
      <c r="O73" s="117" t="n">
        <f aca="false">SUMIFS(الريسبي!$C$2:$C$1800,الريسبي!$A$2:$A$1800,$A73,الريسبي!$B$2:$B$1800,O$1)</f>
        <v>0</v>
      </c>
      <c r="P73" s="117" t="n">
        <f aca="false">SUMIFS(الريسبي!$C$2:$C$1800,الريسبي!$A$2:$A$1800,$A73,الريسبي!$B$2:$B$1800,P$1)</f>
        <v>0</v>
      </c>
      <c r="Q73" s="117" t="n">
        <f aca="false">SUMIFS(الريسبي!$C$2:$C$1800,الريسبي!$A$2:$A$1800,$A73,الريسبي!$B$2:$B$1800,Q$1)</f>
        <v>0</v>
      </c>
      <c r="R73" s="117" t="n">
        <f aca="false">SUMIFS(الريسبي!$C$2:$C$1800,الريسبي!$A$2:$A$1800,$A73,الريسبي!$B$2:$B$1800,R$1)</f>
        <v>0</v>
      </c>
      <c r="S73" s="117" t="n">
        <f aca="false">SUMIFS(الريسبي!$C$2:$C$1800,الريسبي!$A$2:$A$1800,$A73,الريسبي!$B$2:$B$1800,S$1)</f>
        <v>0</v>
      </c>
      <c r="T73" s="117" t="n">
        <f aca="false">SUMIFS(الريسبي!$C$2:$C$1800,الريسبي!$A$2:$A$1800,$A73,الريسبي!$B$2:$B$1800,T$1)</f>
        <v>0</v>
      </c>
      <c r="U73" s="117" t="n">
        <f aca="false">SUMIFS(الريسبي!$C$2:$C$1800,الريسبي!$A$2:$A$1800,$A73,الريسبي!$B$2:$B$1800,U$1)</f>
        <v>0</v>
      </c>
      <c r="V73" s="117" t="n">
        <f aca="false">SUMIFS(الريسبي!$C$2:$C$1800,الريسبي!$A$2:$A$1800,$A73,الريسبي!$B$2:$B$1800,V$1)+1.5*(SUMIFS(الريسبي!$C$2:$C$1800,الريسبي!$A$2:$A$1800,$A73,الريسبي!$B$2:$B$1800,"برسيون موتزريلا بيتزا كبير"))</f>
        <v>0</v>
      </c>
      <c r="W73" s="117" t="n">
        <f aca="false">0</f>
        <v>0</v>
      </c>
      <c r="X73" s="117" t="n">
        <f aca="false">SUMIFS(الريسبي!$C$2:$C$1800,الريسبي!$A$2:$A$1800,$A73,الريسبي!$B$2:$B$1800,X$1)+1.5*(SUMIFS(الريسبي!$C$2:$C$1800,الريسبي!$A$2:$A$1800,$A73,الريسبي!$B$2:$B$1800,"برسيون موتزريلا فطير كبير"))</f>
        <v>0</v>
      </c>
      <c r="Y73" s="117" t="n">
        <f aca="false">0</f>
        <v>0</v>
      </c>
      <c r="Z73" s="117" t="n">
        <f aca="false">SUMIFS(الريسبي!$C$2:$C$1800,الريسبي!$A$2:$A$1800,$A73,الريسبي!$B$2:$B$1800,Z$1)</f>
        <v>0</v>
      </c>
      <c r="AA73" s="117" t="n">
        <f aca="false">SUMIFS(الريسبي!$C$2:$C$1800,الريسبي!$A$2:$A$1800,$A73,الريسبي!$B$2:$B$1800,AA$1)</f>
        <v>0</v>
      </c>
      <c r="AB73" s="117" t="n">
        <f aca="false">SUMIFS(الريسبي!$C$2:$C$1800,الريسبي!$A$2:$A$1800,$A73,الريسبي!$B$2:$B$1800,AB$1)</f>
        <v>0</v>
      </c>
      <c r="AC73" s="117" t="n">
        <f aca="false">SUMIFS(الريسبي!$C$2:$C$1800,الريسبي!$A$2:$A$1800,$A73,الريسبي!$B$2:$B$1800,AC$1)</f>
        <v>0</v>
      </c>
      <c r="AD73" s="117" t="n">
        <f aca="false">SUMIFS(الريسبي!$C$2:$C$1800,الريسبي!$A$2:$A$1800,$A73,الريسبي!$B$2:$B$1800,AD$1)</f>
        <v>0</v>
      </c>
      <c r="AE73" s="117" t="n">
        <f aca="false">SUMIFS(الريسبي!$C$2:$C$1800,الريسبي!$A$2:$A$1800,$A73,الريسبي!$B$2:$B$1800,AE$1)</f>
        <v>0</v>
      </c>
      <c r="AF73" s="117" t="n">
        <f aca="false">SUMIFS(الريسبي!$C$2:$C$1800,الريسبي!$A$2:$A$1800,$A73,الريسبي!$B$2:$B$1800,AF$1)</f>
        <v>0</v>
      </c>
      <c r="AG73" s="117" t="n">
        <f aca="false">SUMIFS(الريسبي!$C$2:$C$1800,الريسبي!$A$2:$A$1800,$A73,الريسبي!$B$2:$B$1800,AG$1)</f>
        <v>0</v>
      </c>
      <c r="AH73" s="117" t="n">
        <f aca="false">SUMIFS(الريسبي!$C$2:$C$1800,الريسبي!$A$2:$A$1800,$A73,الريسبي!$B$2:$B$1800,AH$1)</f>
        <v>0</v>
      </c>
      <c r="AI73" s="117" t="n">
        <f aca="false">SUMIFS(الريسبي!$C$2:$C$1800,الريسبي!$A$2:$A$1800,$A73,الريسبي!$B$2:$B$1800,AI$1)</f>
        <v>0</v>
      </c>
      <c r="AJ73" s="117" t="n">
        <f aca="false">SUMIFS(الريسبي!$C$2:$C$1800,الريسبي!$A$2:$A$1800,$A73,الريسبي!$B$2:$B$1800,AJ$1)</f>
        <v>0</v>
      </c>
      <c r="AK73" s="117" t="n">
        <f aca="false">SUMIFS(الريسبي!$C$2:$C$1800,الريسبي!$A$2:$A$1800,$A73,الريسبي!$B$2:$B$1800,AK$1)</f>
        <v>0</v>
      </c>
      <c r="AL73" s="117" t="n">
        <f aca="false">SUMIFS(الريسبي!$C$2:$C$1800,الريسبي!$A$2:$A$1800,$A73,الريسبي!$B$2:$B$1800,AL$1)</f>
        <v>0</v>
      </c>
      <c r="AM73" s="117" t="n">
        <f aca="false">SUMIFS(الريسبي!$C$2:$C$1800,الريسبي!$A$2:$A$1800,$A73,الريسبي!$B$2:$B$1800,AM$1)+0.08333333333*SUMIFS(الريسبي!$C$2:$C$1800,الريسبي!$A$2:$A$1800,$A73,الريسبي!$B$2:$B$1800,"عجين كريب (مصنع بالمطعم)")+0.08333333333*SUMIFS(الريسبي!$C$2:$C$1800,الريسبي!$A$2:$A$1800,$A73,الريسبي!$B$2:$B$1800,"عجين كريب صيامي (بدون لبن)")</f>
        <v>0</v>
      </c>
      <c r="AN73" s="117" t="n">
        <f aca="false">SUMIFS(الريسبي!$C$2:$C$1800,الريسبي!$A$2:$A$1800,$A73,الريسبي!$B$2:$B$1800,AN$1)+0.004166666667*SUMIFS(الريسبي!$C$2:$C$1800,الريسبي!$A$2:$A$1800,$A73,الريسبي!$B$2:$B$1800,"عجين كريب (مصنع بالمطعم)")+0.004166666667*SUMIFS(الريسبي!$C$2:$C$1800,الريسبي!$A$2:$A$1800,$A73,الريسبي!$B$2:$B$1800,"عجين كريب صيامي (بدون لبن)")</f>
        <v>0</v>
      </c>
      <c r="AO73" s="117" t="n">
        <f aca="false">SUMIFS(الريسبي!$C$2:$C$1800,الريسبي!$A$2:$A$1800,$A73,الريسبي!$B$2:$B$1800,AO$1)</f>
        <v>0</v>
      </c>
      <c r="AP73" s="117" t="n">
        <f aca="false">SUMIFS(الريسبي!$C$2:$C$1800,الريسبي!$A$2:$A$1800,$A73,الريسبي!$B$2:$B$1800,AP$1)</f>
        <v>0</v>
      </c>
      <c r="AQ73" s="117" t="n">
        <f aca="false">SUMIFS(الريسبي!$C$2:$C$1800,الريسبي!$A$2:$A$1800,$A73,الريسبي!$B$2:$B$1800,AQ$1)+0.004166666667*SUMIFS(الريسبي!$C$2:$C$1800,الريسبي!$A$2:$A$1800,$A73,الريسبي!$B$2:$B$1800,"عجين كريب (مصنع بالمطعم)")+0.004166666667*SUMIFS(الريسبي!$C$2:$C$1800,الريسبي!$A$2:$A$1800,$A73,الريسبي!$B$2:$B$1800,"عجين كريب صيامي (بدون لبن)")</f>
        <v>0</v>
      </c>
      <c r="AR73" s="117" t="n">
        <f aca="false">SUMIFS(الريسبي!$C$2:$C$1800,الريسبي!$A$2:$A$1800,$A73,الريسبي!$B$2:$B$1800,AR$1)</f>
        <v>0</v>
      </c>
      <c r="AS73" s="117" t="n">
        <f aca="false">SUMIFS(الريسبي!$C$2:$C$1800,الريسبي!$A$2:$A$1800,$A73,الريسبي!$B$2:$B$1800,AS$1)</f>
        <v>0</v>
      </c>
      <c r="AT73" s="117" t="n">
        <f aca="false">SUMIFS(الريسبي!$C$2:$C$1800,الريسبي!$A$2:$A$1800,$A73,الريسبي!$B$2:$B$1800,AT$1)</f>
        <v>0</v>
      </c>
      <c r="AU73" s="117" t="n">
        <f aca="false">SUMIFS(الريسبي!$C$2:$C$1800,الريسبي!$A$2:$A$1800,$A73,الريسبي!$B$2:$B$1800,AU$1)</f>
        <v>0</v>
      </c>
      <c r="AV73" s="117" t="n">
        <f aca="false">SUMIFS(الريسبي!$C$2:$C$1800,الريسبي!$A$2:$A$1800,$A73,الريسبي!$B$2:$B$1800,AV$1)</f>
        <v>0</v>
      </c>
      <c r="AW73" s="117" t="n">
        <f aca="false">SUMIFS(الريسبي!$C$2:$C$1800,الريسبي!$A$2:$A$1800,$A73,الريسبي!$B$2:$B$1800,AW$1)</f>
        <v>0</v>
      </c>
      <c r="AX73" s="117" t="n">
        <f aca="false">SUMIFS(الريسبي!$C$2:$C$1800,الريسبي!$A$2:$A$1800,$A73,الريسبي!$B$2:$B$1800,AX$1)</f>
        <v>0</v>
      </c>
      <c r="AY73" s="117" t="n">
        <f aca="false">SUMIFS(الريسبي!$C$2:$C$1800,الريسبي!$A$2:$A$1800,$A73,الريسبي!$B$2:$B$1800,AY$1)</f>
        <v>0</v>
      </c>
      <c r="AZ73" s="117" t="n">
        <f aca="false">SUMIFS(الريسبي!$C$2:$C$1800,الريسبي!$A$2:$A$1800,$A73,الريسبي!$B$2:$B$1800,AZ$1)</f>
        <v>0</v>
      </c>
      <c r="BA73" s="117" t="n">
        <f aca="false">SUMIFS(الريسبي!$C$2:$C$1800,الريسبي!$A$2:$A$1800,$A73,الريسبي!$B$2:$B$1800,BA$1)</f>
        <v>0</v>
      </c>
      <c r="BB73" s="117" t="n">
        <f aca="false">SUMIFS(الريسبي!$C$2:$C$1800,الريسبي!$A$2:$A$1800,$A73,الريسبي!$B$2:$B$1800,BB$1)</f>
        <v>0.05</v>
      </c>
      <c r="BC73" s="117" t="n">
        <f aca="false">SUMIFS(الريسبي!$C$2:$C$1800,الريسبي!$A$2:$A$1800,$A73,الريسبي!$B$2:$B$1800,BC$1)</f>
        <v>0</v>
      </c>
      <c r="BD73" s="117" t="n">
        <f aca="false">SUMIFS(الريسبي!$C$2:$C$1800,الريسبي!$A$2:$A$1800,$A73,الريسبي!$B$2:$B$1800,BD$1)</f>
        <v>0</v>
      </c>
      <c r="BE73" s="117" t="n">
        <f aca="false">SUMIFS(الريسبي!$C$2:$C$1800,الريسبي!$A$2:$A$1800,$A73,الريسبي!$B$2:$B$1800,BE$1)</f>
        <v>0</v>
      </c>
      <c r="BF73" s="117" t="n">
        <f aca="false">SUMIFS(الريسبي!$C$2:$C$1800,الريسبي!$A$2:$A$1800,$A73,الريسبي!$B$2:$B$1800,BF$1)</f>
        <v>0</v>
      </c>
      <c r="BG73" s="117" t="n">
        <f aca="false">SUMIFS(الريسبي!$C$2:$C$1800,الريسبي!$A$2:$A$1800,$A73,الريسبي!$B$2:$B$1800,BG$1)</f>
        <v>0</v>
      </c>
      <c r="BH73" s="117" t="n">
        <f aca="false">SUMIFS(الريسبي!$C$2:$C$1800,الريسبي!$A$2:$A$1800,$A73,الريسبي!$B$2:$B$1800,BH$1)</f>
        <v>0</v>
      </c>
      <c r="BI73" s="117" t="n">
        <f aca="false">SUMIFS(الريسبي!$C$2:$C$1800,الريسبي!$A$2:$A$1800,$A73,الريسبي!$B$2:$B$1800,BI$1)</f>
        <v>1</v>
      </c>
      <c r="BJ73" s="117" t="n">
        <f aca="false">SUMIFS(الريسبي!$C$2:$C$1800,الريسبي!$A$2:$A$1800,$A73,الريسبي!$B$2:$B$1800,BJ$1)</f>
        <v>0</v>
      </c>
      <c r="BK73" s="117" t="n">
        <f aca="false">SUMIFS(الريسبي!$C$2:$C$1800,الريسبي!$A$2:$A$1800,$A73,الريسبي!$B$2:$B$1800,BK$1)</f>
        <v>0</v>
      </c>
      <c r="BL73" s="117" t="n">
        <f aca="false">SUMIFS(الريسبي!$C$2:$C$1800,الريسبي!$A$2:$A$1800,$A73,الريسبي!$B$2:$B$1800,BL$1)</f>
        <v>0</v>
      </c>
      <c r="BM73" s="117" t="n">
        <f aca="false">SUMIFS(الريسبي!$C$2:$C$1800,الريسبي!$A$2:$A$1800,$A73,الريسبي!$B$2:$B$1800,BM$1)</f>
        <v>0</v>
      </c>
      <c r="BN73" s="117" t="n">
        <f aca="false">SUMIFS(الريسبي!$C$2:$C$1800,الريسبي!$A$2:$A$1800,$A73,الريسبي!$B$2:$B$1800,BN$1)</f>
        <v>0</v>
      </c>
      <c r="BO73" s="117" t="n">
        <f aca="false">SUMIFS(الريسبي!$C$2:$C$1800,الريسبي!$A$2:$A$1800,$A73,الريسبي!$B$2:$B$1800,BO$1)</f>
        <v>0</v>
      </c>
      <c r="BP73" s="117" t="n">
        <f aca="false">SUMIFS(الريسبي!$C$2:$C$1800,الريسبي!$A$2:$A$1800,$A73,الريسبي!$B$2:$B$1800,BP$1)</f>
        <v>1</v>
      </c>
      <c r="BQ73" s="117" t="n">
        <f aca="false">SUMIFS(الريسبي!$C$2:$C$1800,الريسبي!$A$2:$A$1800,$A73,الريسبي!$B$2:$B$1800,BQ$1)+0.17*SUMIFS(الريسبي!$C$2:$C$1800,الريسبي!$A$2:$A$1800,$A73,الريسبي!$B$2:$B$1800,"كاسترد مصنع (خليط بودر + لبن)")+0.17*SUMIFS(الريسبي!$C$2:$C$1800,الريسبي!$A$2:$A$1800,$A73,الريسبي!$B$2:$B$1800,"كاسترد مصنع صيامي (بدون لبن)")</f>
        <v>0</v>
      </c>
      <c r="BR73" s="117" t="n">
        <f aca="false">SUMIFS(الريسبي!$C$2:$C$1800,الريسبي!$A$2:$A$1800,$A73,الريسبي!$B$2:$B$1800,BR$1)</f>
        <v>0</v>
      </c>
      <c r="BS73" s="117" t="n">
        <f aca="false">SUMIFS(الريسبي!$C$2:$C$1800,الريسبي!$A$2:$A$1800,$A73,الريسبي!$B$2:$B$1800,BS$1)</f>
        <v>0</v>
      </c>
      <c r="BT73" s="117" t="n">
        <f aca="false">SUMIFS(الريسبي!$C$2:$C$1800,الريسبي!$A$2:$A$1800,$A73,الريسبي!$B$2:$B$1800,BT$1)</f>
        <v>0</v>
      </c>
      <c r="BU73" s="117" t="n">
        <f aca="false">SUMIFS(الريسبي!$C$2:$C$1800,الريسبي!$A$2:$A$1800,$A73,الريسبي!$B$2:$B$1800,BU$1)+0.4*SUMIFS(الريسبي!$C$2:$C$1800,الريسبي!$A$2:$A$1800,$A73,الريسبي!$B$2:$B$1800,"كاسترد مصنع (خليط بودر + لبن)")+0.03333333333*SUMIFS(الريسبي!$C$2:$C$1800,الريسبي!$A$2:$A$1800,$A73,الريسبي!$B$2:$B$1800,"عجين كريب (مصنع بالمطعم)")</f>
        <v>0</v>
      </c>
      <c r="BV73" s="117" t="n">
        <f aca="false">SUMIFS(الريسبي!$C$2:$C$1800,الريسبي!$A$2:$A$1800,$A73,الريسبي!$B$2:$B$1800,BV$1)</f>
        <v>0</v>
      </c>
      <c r="BW73" s="117" t="n">
        <f aca="false">SUMIFS(الريسبي!$C$2:$C$1800,الريسبي!$A$2:$A$1800,$A73,الريسبي!$B$2:$B$1800,BW$1)</f>
        <v>0</v>
      </c>
      <c r="BX73" s="117" t="n">
        <f aca="false">SUMIFS(الريسبي!$C$2:$C$1800,الريسبي!$A$2:$A$1800,$A73,الريسبي!$B$2:$B$1800,BX$1)</f>
        <v>0</v>
      </c>
      <c r="BY73" s="117" t="n">
        <f aca="false">SUMIFS(الريسبي!$C$2:$C$1800,الريسبي!$A$2:$A$1800,$A73,الريسبي!$B$2:$B$1800,BY$1)</f>
        <v>0</v>
      </c>
      <c r="BZ73" s="117" t="n">
        <f aca="false">SUMIFS(الريسبي!$C$2:$C$1800,الريسبي!$A$2:$A$1800,$A73,الريسبي!$B$2:$B$1800,BZ$1)</f>
        <v>0</v>
      </c>
      <c r="CA73" s="117" t="n">
        <f aca="false">SUMIFS(الريسبي!$C$2:$C$1800,الريسبي!$A$2:$A$1800,$A73,الريسبي!$B$2:$B$1800,CA$1)</f>
        <v>0</v>
      </c>
      <c r="CB73" s="117" t="n">
        <f aca="false">SUMIFS(الريسبي!$C$2:$C$1800,الريسبي!$A$2:$A$1800,$A73,الريسبي!$B$2:$B$1800,CB$1)</f>
        <v>0</v>
      </c>
      <c r="CC73" s="117" t="n">
        <f aca="false">SUMIFS(الريسبي!$C$2:$C$1800,الريسبي!$A$2:$A$1800,$A73,الريسبي!$B$2:$B$1800,CC$1)</f>
        <v>0</v>
      </c>
      <c r="CD73" s="117" t="n">
        <f aca="false">SUMIFS(الريسبي!$C$2:$C$1800,الريسبي!$A$2:$A$1800,$A73,الريسبي!$B$2:$B$1800,CD$1)</f>
        <v>0</v>
      </c>
      <c r="CE73" s="117" t="n">
        <f aca="false">SUMIFS(الريسبي!$C$2:$C$1800,الريسبي!$A$2:$A$1800,$A73,الريسبي!$B$2:$B$1800,CE$1)</f>
        <v>0</v>
      </c>
      <c r="CF73" s="117" t="n">
        <f aca="false">SUMIFS(الريسبي!$C$2:$C$1800,الريسبي!$A$2:$A$1800,$A73,الريسبي!$B$2:$B$1800,CF$1)</f>
        <v>0</v>
      </c>
      <c r="CG73" s="117" t="n">
        <f aca="false">SUMIFS(الريسبي!$C$2:$C$1800,الريسبي!$A$2:$A$1800,$A73,الريسبي!$B$2:$B$1800,CG$1)</f>
        <v>0</v>
      </c>
      <c r="CH73" s="117" t="n">
        <f aca="false">SUMIFS(الريسبي!$C$2:$C$1800,الريسبي!$A$2:$A$1800,$A73,الريسبي!$B$2:$B$1800,CH$1)</f>
        <v>0</v>
      </c>
      <c r="CI73" s="117" t="n">
        <f aca="false">SUMIFS(الريسبي!$C$2:$C$1800,الريسبي!$A$2:$A$1800,$A73,الريسبي!$B$2:$B$1800,CI$1)</f>
        <v>0</v>
      </c>
      <c r="CJ73" s="117" t="n">
        <f aca="false">SUMIFS(الريسبي!$C$2:$C$1800,الريسبي!$A$2:$A$1800,$A73,الريسبي!$B$2:$B$1800,CJ$1)</f>
        <v>0</v>
      </c>
      <c r="CK73" s="117" t="n">
        <f aca="false">SUMIFS(الريسبي!$C$2:$C$1800,الريسبي!$A$2:$A$1800,$A73,الريسبي!$B$2:$B$1800,CK$1)</f>
        <v>0</v>
      </c>
      <c r="CL73" s="117" t="n">
        <f aca="false">SUMIFS(الريسبي!$C$2:$C$1800,الريسبي!$A$2:$A$1800,$A73,الريسبي!$B$2:$B$1800,CL$1)</f>
        <v>0</v>
      </c>
    </row>
    <row r="74" customFormat="false" ht="15" hidden="false" customHeight="false" outlineLevel="0" collapsed="false">
      <c r="A74" s="116" t="str">
        <f aca="false">المنيو!B74</f>
        <v>باكت بطاطس جبنة (كبير)</v>
      </c>
      <c r="B74" s="117" t="n">
        <f aca="false">SUMIFS(الريسبي!$C$2:$C$1800,الريسبي!$A$2:$A$1800,$A74,الريسبي!$B$2:$B$1800,B$1)</f>
        <v>0</v>
      </c>
      <c r="C74" s="117" t="n">
        <f aca="false">SUMIFS(الريسبي!$C$2:$C$1800,الريسبي!$A$2:$A$1800,$A74,الريسبي!$B$2:$B$1800,C$1)</f>
        <v>0</v>
      </c>
      <c r="D74" s="117" t="n">
        <f aca="false">SUMIFS(الريسبي!$C$2:$C$1800,الريسبي!$A$2:$A$1800,$A74,الريسبي!$B$2:$B$1800,D$1)</f>
        <v>0</v>
      </c>
      <c r="E74" s="117" t="n">
        <f aca="false">SUMIFS(الريسبي!$C$2:$C$1800,الريسبي!$A$2:$A$1800,$A74,الريسبي!$B$2:$B$1800,E$1)</f>
        <v>0</v>
      </c>
      <c r="F74" s="117" t="n">
        <f aca="false">SUMIFS(الريسبي!$C$2:$C$1800,الريسبي!$A$2:$A$1800,$A74,الريسبي!$B$2:$B$1800,F$1)</f>
        <v>0</v>
      </c>
      <c r="G74" s="117" t="n">
        <f aca="false">SUMIFS(الريسبي!$C$2:$C$1800,الريسبي!$A$2:$A$1800,$A74,الريسبي!$B$2:$B$1800,G$1)</f>
        <v>0</v>
      </c>
      <c r="H74" s="117" t="n">
        <f aca="false">SUMIFS(الريسبي!$C$2:$C$1800,الريسبي!$A$2:$A$1800,$A74,الريسبي!$B$2:$B$1800,H$1)</f>
        <v>0</v>
      </c>
      <c r="I74" s="117" t="n">
        <f aca="false">SUMIFS(الريسبي!$C$2:$C$1800,الريسبي!$A$2:$A$1800,$A74,الريسبي!$B$2:$B$1800,I$1)</f>
        <v>3</v>
      </c>
      <c r="J74" s="117" t="n">
        <f aca="false">SUMIFS(الريسبي!$C$2:$C$1800,الريسبي!$A$2:$A$1800,$A74,الريسبي!$B$2:$B$1800,J$1)</f>
        <v>0</v>
      </c>
      <c r="K74" s="117" t="n">
        <f aca="false">SUMIFS(الريسبي!$C$2:$C$1800,الريسبي!$A$2:$A$1800,$A74,الريسبي!$B$2:$B$1800,K$1)</f>
        <v>0</v>
      </c>
      <c r="L74" s="117" t="n">
        <f aca="false">SUMIFS(الريسبي!$C$2:$C$1800,الريسبي!$A$2:$A$1800,$A74,الريسبي!$B$2:$B$1800,L$1)</f>
        <v>0</v>
      </c>
      <c r="M74" s="117" t="n">
        <f aca="false">SUMIFS(الريسبي!$C$2:$C$1800,الريسبي!$A$2:$A$1800,$A74,الريسبي!$B$2:$B$1800,M$1)</f>
        <v>0</v>
      </c>
      <c r="N74" s="117" t="n">
        <f aca="false">SUMIFS(الريسبي!$C$2:$C$1800,الريسبي!$A$2:$A$1800,$A74,الريسبي!$B$2:$B$1800,N$1)</f>
        <v>0</v>
      </c>
      <c r="O74" s="117" t="n">
        <f aca="false">SUMIFS(الريسبي!$C$2:$C$1800,الريسبي!$A$2:$A$1800,$A74,الريسبي!$B$2:$B$1800,O$1)</f>
        <v>0</v>
      </c>
      <c r="P74" s="117" t="n">
        <f aca="false">SUMIFS(الريسبي!$C$2:$C$1800,الريسبي!$A$2:$A$1800,$A74,الريسبي!$B$2:$B$1800,P$1)</f>
        <v>0</v>
      </c>
      <c r="Q74" s="117" t="n">
        <f aca="false">SUMIFS(الريسبي!$C$2:$C$1800,الريسبي!$A$2:$A$1800,$A74,الريسبي!$B$2:$B$1800,Q$1)</f>
        <v>0</v>
      </c>
      <c r="R74" s="117" t="n">
        <f aca="false">SUMIFS(الريسبي!$C$2:$C$1800,الريسبي!$A$2:$A$1800,$A74,الريسبي!$B$2:$B$1800,R$1)</f>
        <v>0</v>
      </c>
      <c r="S74" s="117" t="n">
        <f aca="false">SUMIFS(الريسبي!$C$2:$C$1800,الريسبي!$A$2:$A$1800,$A74,الريسبي!$B$2:$B$1800,S$1)</f>
        <v>0</v>
      </c>
      <c r="T74" s="117" t="n">
        <f aca="false">SUMIFS(الريسبي!$C$2:$C$1800,الريسبي!$A$2:$A$1800,$A74,الريسبي!$B$2:$B$1800,T$1)</f>
        <v>0</v>
      </c>
      <c r="U74" s="117" t="n">
        <f aca="false">SUMIFS(الريسبي!$C$2:$C$1800,الريسبي!$A$2:$A$1800,$A74,الريسبي!$B$2:$B$1800,U$1)</f>
        <v>0</v>
      </c>
      <c r="V74" s="117" t="n">
        <f aca="false">SUMIFS(الريسبي!$C$2:$C$1800,الريسبي!$A$2:$A$1800,$A74,الريسبي!$B$2:$B$1800,V$1)+1.5*(SUMIFS(الريسبي!$C$2:$C$1800,الريسبي!$A$2:$A$1800,$A74,الريسبي!$B$2:$B$1800,"برسيون موتزريلا بيتزا كبير"))</f>
        <v>0</v>
      </c>
      <c r="W74" s="117" t="n">
        <f aca="false">0</f>
        <v>0</v>
      </c>
      <c r="X74" s="117" t="n">
        <f aca="false">SUMIFS(الريسبي!$C$2:$C$1800,الريسبي!$A$2:$A$1800,$A74,الريسبي!$B$2:$B$1800,X$1)+1.5*(SUMIFS(الريسبي!$C$2:$C$1800,الريسبي!$A$2:$A$1800,$A74,الريسبي!$B$2:$B$1800,"برسيون موتزريلا فطير كبير"))</f>
        <v>0</v>
      </c>
      <c r="Y74" s="117" t="n">
        <f aca="false">0</f>
        <v>0</v>
      </c>
      <c r="Z74" s="117" t="n">
        <f aca="false">SUMIFS(الريسبي!$C$2:$C$1800,الريسبي!$A$2:$A$1800,$A74,الريسبي!$B$2:$B$1800,Z$1)</f>
        <v>0</v>
      </c>
      <c r="AA74" s="117" t="n">
        <f aca="false">SUMIFS(الريسبي!$C$2:$C$1800,الريسبي!$A$2:$A$1800,$A74,الريسبي!$B$2:$B$1800,AA$1)</f>
        <v>0</v>
      </c>
      <c r="AB74" s="117" t="n">
        <f aca="false">SUMIFS(الريسبي!$C$2:$C$1800,الريسبي!$A$2:$A$1800,$A74,الريسبي!$B$2:$B$1800,AB$1)</f>
        <v>0</v>
      </c>
      <c r="AC74" s="117" t="n">
        <f aca="false">SUMIFS(الريسبي!$C$2:$C$1800,الريسبي!$A$2:$A$1800,$A74,الريسبي!$B$2:$B$1800,AC$1)</f>
        <v>0</v>
      </c>
      <c r="AD74" s="117" t="n">
        <f aca="false">SUMIFS(الريسبي!$C$2:$C$1800,الريسبي!$A$2:$A$1800,$A74,الريسبي!$B$2:$B$1800,AD$1)</f>
        <v>0</v>
      </c>
      <c r="AE74" s="117" t="n">
        <f aca="false">SUMIFS(الريسبي!$C$2:$C$1800,الريسبي!$A$2:$A$1800,$A74,الريسبي!$B$2:$B$1800,AE$1)</f>
        <v>0</v>
      </c>
      <c r="AF74" s="117" t="n">
        <f aca="false">SUMIFS(الريسبي!$C$2:$C$1800,الريسبي!$A$2:$A$1800,$A74,الريسبي!$B$2:$B$1800,AF$1)</f>
        <v>0</v>
      </c>
      <c r="AG74" s="117" t="n">
        <f aca="false">SUMIFS(الريسبي!$C$2:$C$1800,الريسبي!$A$2:$A$1800,$A74,الريسبي!$B$2:$B$1800,AG$1)</f>
        <v>0</v>
      </c>
      <c r="AH74" s="117" t="n">
        <f aca="false">SUMIFS(الريسبي!$C$2:$C$1800,الريسبي!$A$2:$A$1800,$A74,الريسبي!$B$2:$B$1800,AH$1)</f>
        <v>0</v>
      </c>
      <c r="AI74" s="117" t="n">
        <f aca="false">SUMIFS(الريسبي!$C$2:$C$1800,الريسبي!$A$2:$A$1800,$A74,الريسبي!$B$2:$B$1800,AI$1)</f>
        <v>0</v>
      </c>
      <c r="AJ74" s="117" t="n">
        <f aca="false">SUMIFS(الريسبي!$C$2:$C$1800,الريسبي!$A$2:$A$1800,$A74,الريسبي!$B$2:$B$1800,AJ$1)</f>
        <v>0</v>
      </c>
      <c r="AK74" s="117" t="n">
        <f aca="false">SUMIFS(الريسبي!$C$2:$C$1800,الريسبي!$A$2:$A$1800,$A74,الريسبي!$B$2:$B$1800,AK$1)</f>
        <v>0</v>
      </c>
      <c r="AL74" s="117" t="n">
        <f aca="false">SUMIFS(الريسبي!$C$2:$C$1800,الريسبي!$A$2:$A$1800,$A74,الريسبي!$B$2:$B$1800,AL$1)</f>
        <v>0</v>
      </c>
      <c r="AM74" s="117" t="n">
        <f aca="false">SUMIFS(الريسبي!$C$2:$C$1800,الريسبي!$A$2:$A$1800,$A74,الريسبي!$B$2:$B$1800,AM$1)+0.08333333333*SUMIFS(الريسبي!$C$2:$C$1800,الريسبي!$A$2:$A$1800,$A74,الريسبي!$B$2:$B$1800,"عجين كريب (مصنع بالمطعم)")+0.08333333333*SUMIFS(الريسبي!$C$2:$C$1800,الريسبي!$A$2:$A$1800,$A74,الريسبي!$B$2:$B$1800,"عجين كريب صيامي (بدون لبن)")</f>
        <v>0</v>
      </c>
      <c r="AN74" s="117" t="n">
        <f aca="false">SUMIFS(الريسبي!$C$2:$C$1800,الريسبي!$A$2:$A$1800,$A74,الريسبي!$B$2:$B$1800,AN$1)+0.004166666667*SUMIFS(الريسبي!$C$2:$C$1800,الريسبي!$A$2:$A$1800,$A74,الريسبي!$B$2:$B$1800,"عجين كريب (مصنع بالمطعم)")+0.004166666667*SUMIFS(الريسبي!$C$2:$C$1800,الريسبي!$A$2:$A$1800,$A74,الريسبي!$B$2:$B$1800,"عجين كريب صيامي (بدون لبن)")</f>
        <v>0</v>
      </c>
      <c r="AO74" s="117" t="n">
        <f aca="false">SUMIFS(الريسبي!$C$2:$C$1800,الريسبي!$A$2:$A$1800,$A74,الريسبي!$B$2:$B$1800,AO$1)</f>
        <v>0</v>
      </c>
      <c r="AP74" s="117" t="n">
        <f aca="false">SUMIFS(الريسبي!$C$2:$C$1800,الريسبي!$A$2:$A$1800,$A74,الريسبي!$B$2:$B$1800,AP$1)</f>
        <v>0</v>
      </c>
      <c r="AQ74" s="117" t="n">
        <f aca="false">SUMIFS(الريسبي!$C$2:$C$1800,الريسبي!$A$2:$A$1800,$A74,الريسبي!$B$2:$B$1800,AQ$1)+0.004166666667*SUMIFS(الريسبي!$C$2:$C$1800,الريسبي!$A$2:$A$1800,$A74,الريسبي!$B$2:$B$1800,"عجين كريب (مصنع بالمطعم)")+0.004166666667*SUMIFS(الريسبي!$C$2:$C$1800,الريسبي!$A$2:$A$1800,$A74,الريسبي!$B$2:$B$1800,"عجين كريب صيامي (بدون لبن)")</f>
        <v>0</v>
      </c>
      <c r="AR74" s="117" t="n">
        <f aca="false">SUMIFS(الريسبي!$C$2:$C$1800,الريسبي!$A$2:$A$1800,$A74,الريسبي!$B$2:$B$1800,AR$1)</f>
        <v>0</v>
      </c>
      <c r="AS74" s="117" t="n">
        <f aca="false">SUMIFS(الريسبي!$C$2:$C$1800,الريسبي!$A$2:$A$1800,$A74,الريسبي!$B$2:$B$1800,AS$1)</f>
        <v>0</v>
      </c>
      <c r="AT74" s="117" t="n">
        <f aca="false">SUMIFS(الريسبي!$C$2:$C$1800,الريسبي!$A$2:$A$1800,$A74,الريسبي!$B$2:$B$1800,AT$1)</f>
        <v>0</v>
      </c>
      <c r="AU74" s="117" t="n">
        <f aca="false">SUMIFS(الريسبي!$C$2:$C$1800,الريسبي!$A$2:$A$1800,$A74,الريسبي!$B$2:$B$1800,AU$1)</f>
        <v>0</v>
      </c>
      <c r="AV74" s="117" t="n">
        <f aca="false">SUMIFS(الريسبي!$C$2:$C$1800,الريسبي!$A$2:$A$1800,$A74,الريسبي!$B$2:$B$1800,AV$1)</f>
        <v>0</v>
      </c>
      <c r="AW74" s="117" t="n">
        <f aca="false">SUMIFS(الريسبي!$C$2:$C$1800,الريسبي!$A$2:$A$1800,$A74,الريسبي!$B$2:$B$1800,AW$1)</f>
        <v>0</v>
      </c>
      <c r="AX74" s="117" t="n">
        <f aca="false">SUMIFS(الريسبي!$C$2:$C$1800,الريسبي!$A$2:$A$1800,$A74,الريسبي!$B$2:$B$1800,AX$1)</f>
        <v>0</v>
      </c>
      <c r="AY74" s="117" t="n">
        <f aca="false">SUMIFS(الريسبي!$C$2:$C$1800,الريسبي!$A$2:$A$1800,$A74,الريسبي!$B$2:$B$1800,AY$1)</f>
        <v>0</v>
      </c>
      <c r="AZ74" s="117" t="n">
        <f aca="false">SUMIFS(الريسبي!$C$2:$C$1800,الريسبي!$A$2:$A$1800,$A74,الريسبي!$B$2:$B$1800,AZ$1)</f>
        <v>0</v>
      </c>
      <c r="BA74" s="117" t="n">
        <f aca="false">SUMIFS(الريسبي!$C$2:$C$1800,الريسبي!$A$2:$A$1800,$A74,الريسبي!$B$2:$B$1800,BA$1)</f>
        <v>0</v>
      </c>
      <c r="BB74" s="117" t="n">
        <f aca="false">SUMIFS(الريسبي!$C$2:$C$1800,الريسبي!$A$2:$A$1800,$A74,الريسبي!$B$2:$B$1800,BB$1)</f>
        <v>0.1</v>
      </c>
      <c r="BC74" s="117" t="n">
        <f aca="false">SUMIFS(الريسبي!$C$2:$C$1800,الريسبي!$A$2:$A$1800,$A74,الريسبي!$B$2:$B$1800,BC$1)</f>
        <v>0</v>
      </c>
      <c r="BD74" s="117" t="n">
        <f aca="false">SUMIFS(الريسبي!$C$2:$C$1800,الريسبي!$A$2:$A$1800,$A74,الريسبي!$B$2:$B$1800,BD$1)</f>
        <v>0</v>
      </c>
      <c r="BE74" s="117" t="n">
        <f aca="false">SUMIFS(الريسبي!$C$2:$C$1800,الريسبي!$A$2:$A$1800,$A74,الريسبي!$B$2:$B$1800,BE$1)</f>
        <v>0</v>
      </c>
      <c r="BF74" s="117" t="n">
        <f aca="false">SUMIFS(الريسبي!$C$2:$C$1800,الريسبي!$A$2:$A$1800,$A74,الريسبي!$B$2:$B$1800,BF$1)</f>
        <v>0</v>
      </c>
      <c r="BG74" s="117" t="n">
        <f aca="false">SUMIFS(الريسبي!$C$2:$C$1800,الريسبي!$A$2:$A$1800,$A74,الريسبي!$B$2:$B$1800,BG$1)</f>
        <v>0</v>
      </c>
      <c r="BH74" s="117" t="n">
        <f aca="false">SUMIFS(الريسبي!$C$2:$C$1800,الريسبي!$A$2:$A$1800,$A74,الريسبي!$B$2:$B$1800,BH$1)</f>
        <v>0</v>
      </c>
      <c r="BI74" s="117" t="n">
        <f aca="false">SUMIFS(الريسبي!$C$2:$C$1800,الريسبي!$A$2:$A$1800,$A74,الريسبي!$B$2:$B$1800,BI$1)</f>
        <v>0</v>
      </c>
      <c r="BJ74" s="117" t="n">
        <f aca="false">SUMIFS(الريسبي!$C$2:$C$1800,الريسبي!$A$2:$A$1800,$A74,الريسبي!$B$2:$B$1800,BJ$1)</f>
        <v>1</v>
      </c>
      <c r="BK74" s="117" t="n">
        <f aca="false">SUMIFS(الريسبي!$C$2:$C$1800,الريسبي!$A$2:$A$1800,$A74,الريسبي!$B$2:$B$1800,BK$1)</f>
        <v>0</v>
      </c>
      <c r="BL74" s="117" t="n">
        <f aca="false">SUMIFS(الريسبي!$C$2:$C$1800,الريسبي!$A$2:$A$1800,$A74,الريسبي!$B$2:$B$1800,BL$1)</f>
        <v>0</v>
      </c>
      <c r="BM74" s="117" t="n">
        <f aca="false">SUMIFS(الريسبي!$C$2:$C$1800,الريسبي!$A$2:$A$1800,$A74,الريسبي!$B$2:$B$1800,BM$1)</f>
        <v>0</v>
      </c>
      <c r="BN74" s="117" t="n">
        <f aca="false">SUMIFS(الريسبي!$C$2:$C$1800,الريسبي!$A$2:$A$1800,$A74,الريسبي!$B$2:$B$1800,BN$1)</f>
        <v>0</v>
      </c>
      <c r="BO74" s="117" t="n">
        <f aca="false">SUMIFS(الريسبي!$C$2:$C$1800,الريسبي!$A$2:$A$1800,$A74,الريسبي!$B$2:$B$1800,BO$1)</f>
        <v>0</v>
      </c>
      <c r="BP74" s="117" t="n">
        <f aca="false">SUMIFS(الريسبي!$C$2:$C$1800,الريسبي!$A$2:$A$1800,$A74,الريسبي!$B$2:$B$1800,BP$1)</f>
        <v>2</v>
      </c>
      <c r="BQ74" s="117" t="n">
        <f aca="false">SUMIFS(الريسبي!$C$2:$C$1800,الريسبي!$A$2:$A$1800,$A74,الريسبي!$B$2:$B$1800,BQ$1)+0.17*SUMIFS(الريسبي!$C$2:$C$1800,الريسبي!$A$2:$A$1800,$A74,الريسبي!$B$2:$B$1800,"كاسترد مصنع (خليط بودر + لبن)")+0.17*SUMIFS(الريسبي!$C$2:$C$1800,الريسبي!$A$2:$A$1800,$A74,الريسبي!$B$2:$B$1800,"كاسترد مصنع صيامي (بدون لبن)")</f>
        <v>0</v>
      </c>
      <c r="BR74" s="117" t="n">
        <f aca="false">SUMIFS(الريسبي!$C$2:$C$1800,الريسبي!$A$2:$A$1800,$A74,الريسبي!$B$2:$B$1800,BR$1)</f>
        <v>0</v>
      </c>
      <c r="BS74" s="117" t="n">
        <f aca="false">SUMIFS(الريسبي!$C$2:$C$1800,الريسبي!$A$2:$A$1800,$A74,الريسبي!$B$2:$B$1800,BS$1)</f>
        <v>0</v>
      </c>
      <c r="BT74" s="117" t="n">
        <f aca="false">SUMIFS(الريسبي!$C$2:$C$1800,الريسبي!$A$2:$A$1800,$A74,الريسبي!$B$2:$B$1800,BT$1)</f>
        <v>0</v>
      </c>
      <c r="BU74" s="117" t="n">
        <f aca="false">SUMIFS(الريسبي!$C$2:$C$1800,الريسبي!$A$2:$A$1800,$A74,الريسبي!$B$2:$B$1800,BU$1)+0.4*SUMIFS(الريسبي!$C$2:$C$1800,الريسبي!$A$2:$A$1800,$A74,الريسبي!$B$2:$B$1800,"كاسترد مصنع (خليط بودر + لبن)")+0.03333333333*SUMIFS(الريسبي!$C$2:$C$1800,الريسبي!$A$2:$A$1800,$A74,الريسبي!$B$2:$B$1800,"عجين كريب (مصنع بالمطعم)")</f>
        <v>0</v>
      </c>
      <c r="BV74" s="117" t="n">
        <f aca="false">SUMIFS(الريسبي!$C$2:$C$1800,الريسبي!$A$2:$A$1800,$A74,الريسبي!$B$2:$B$1800,BV$1)</f>
        <v>0</v>
      </c>
      <c r="BW74" s="117" t="n">
        <f aca="false">SUMIFS(الريسبي!$C$2:$C$1800,الريسبي!$A$2:$A$1800,$A74,الريسبي!$B$2:$B$1800,BW$1)</f>
        <v>0</v>
      </c>
      <c r="BX74" s="117" t="n">
        <f aca="false">SUMIFS(الريسبي!$C$2:$C$1800,الريسبي!$A$2:$A$1800,$A74,الريسبي!$B$2:$B$1800,BX$1)</f>
        <v>0</v>
      </c>
      <c r="BY74" s="117" t="n">
        <f aca="false">SUMIFS(الريسبي!$C$2:$C$1800,الريسبي!$A$2:$A$1800,$A74,الريسبي!$B$2:$B$1800,BY$1)</f>
        <v>0</v>
      </c>
      <c r="BZ74" s="117" t="n">
        <f aca="false">SUMIFS(الريسبي!$C$2:$C$1800,الريسبي!$A$2:$A$1800,$A74,الريسبي!$B$2:$B$1800,BZ$1)</f>
        <v>0</v>
      </c>
      <c r="CA74" s="117" t="n">
        <f aca="false">SUMIFS(الريسبي!$C$2:$C$1800,الريسبي!$A$2:$A$1800,$A74,الريسبي!$B$2:$B$1800,CA$1)</f>
        <v>0</v>
      </c>
      <c r="CB74" s="117" t="n">
        <f aca="false">SUMIFS(الريسبي!$C$2:$C$1800,الريسبي!$A$2:$A$1800,$A74,الريسبي!$B$2:$B$1800,CB$1)</f>
        <v>0</v>
      </c>
      <c r="CC74" s="117" t="n">
        <f aca="false">SUMIFS(الريسبي!$C$2:$C$1800,الريسبي!$A$2:$A$1800,$A74,الريسبي!$B$2:$B$1800,CC$1)</f>
        <v>0</v>
      </c>
      <c r="CD74" s="117" t="n">
        <f aca="false">SUMIFS(الريسبي!$C$2:$C$1800,الريسبي!$A$2:$A$1800,$A74,الريسبي!$B$2:$B$1800,CD$1)</f>
        <v>0</v>
      </c>
      <c r="CE74" s="117" t="n">
        <f aca="false">SUMIFS(الريسبي!$C$2:$C$1800,الريسبي!$A$2:$A$1800,$A74,الريسبي!$B$2:$B$1800,CE$1)</f>
        <v>0</v>
      </c>
      <c r="CF74" s="117" t="n">
        <f aca="false">SUMIFS(الريسبي!$C$2:$C$1800,الريسبي!$A$2:$A$1800,$A74,الريسبي!$B$2:$B$1800,CF$1)</f>
        <v>0</v>
      </c>
      <c r="CG74" s="117" t="n">
        <f aca="false">SUMIFS(الريسبي!$C$2:$C$1800,الريسبي!$A$2:$A$1800,$A74,الريسبي!$B$2:$B$1800,CG$1)</f>
        <v>0</v>
      </c>
      <c r="CH74" s="117" t="n">
        <f aca="false">SUMIFS(الريسبي!$C$2:$C$1800,الريسبي!$A$2:$A$1800,$A74,الريسبي!$B$2:$B$1800,CH$1)</f>
        <v>0</v>
      </c>
      <c r="CI74" s="117" t="n">
        <f aca="false">SUMIFS(الريسبي!$C$2:$C$1800,الريسبي!$A$2:$A$1800,$A74,الريسبي!$B$2:$B$1800,CI$1)</f>
        <v>0</v>
      </c>
      <c r="CJ74" s="117" t="n">
        <f aca="false">SUMIFS(الريسبي!$C$2:$C$1800,الريسبي!$A$2:$A$1800,$A74,الريسبي!$B$2:$B$1800,CJ$1)</f>
        <v>0</v>
      </c>
      <c r="CK74" s="117" t="n">
        <f aca="false">SUMIFS(الريسبي!$C$2:$C$1800,الريسبي!$A$2:$A$1800,$A74,الريسبي!$B$2:$B$1800,CK$1)</f>
        <v>0</v>
      </c>
      <c r="CL74" s="117" t="n">
        <f aca="false">SUMIFS(الريسبي!$C$2:$C$1800,الريسبي!$A$2:$A$1800,$A74,الريسبي!$B$2:$B$1800,CL$1)</f>
        <v>0</v>
      </c>
    </row>
    <row r="75" customFormat="false" ht="15" hidden="false" customHeight="false" outlineLevel="0" collapsed="false">
      <c r="A75" s="116" t="str">
        <f aca="false">المنيو!B75</f>
        <v>بيبسي كانز</v>
      </c>
      <c r="B75" s="117" t="n">
        <f aca="false">SUMIFS(الريسبي!$C$2:$C$1800,الريسبي!$A$2:$A$1800,$A75,الريسبي!$B$2:$B$1800,B$1)</f>
        <v>0</v>
      </c>
      <c r="C75" s="117" t="n">
        <f aca="false">SUMIFS(الريسبي!$C$2:$C$1800,الريسبي!$A$2:$A$1800,$A75,الريسبي!$B$2:$B$1800,C$1)</f>
        <v>0</v>
      </c>
      <c r="D75" s="117" t="n">
        <f aca="false">SUMIFS(الريسبي!$C$2:$C$1800,الريسبي!$A$2:$A$1800,$A75,الريسبي!$B$2:$B$1800,D$1)</f>
        <v>0</v>
      </c>
      <c r="E75" s="117" t="n">
        <f aca="false">SUMIFS(الريسبي!$C$2:$C$1800,الريسبي!$A$2:$A$1800,$A75,الريسبي!$B$2:$B$1800,E$1)</f>
        <v>0</v>
      </c>
      <c r="F75" s="117" t="n">
        <f aca="false">SUMIFS(الريسبي!$C$2:$C$1800,الريسبي!$A$2:$A$1800,$A75,الريسبي!$B$2:$B$1800,F$1)</f>
        <v>0</v>
      </c>
      <c r="G75" s="117" t="n">
        <f aca="false">SUMIFS(الريسبي!$C$2:$C$1800,الريسبي!$A$2:$A$1800,$A75,الريسبي!$B$2:$B$1800,G$1)</f>
        <v>0</v>
      </c>
      <c r="H75" s="117" t="n">
        <f aca="false">SUMIFS(الريسبي!$C$2:$C$1800,الريسبي!$A$2:$A$1800,$A75,الريسبي!$B$2:$B$1800,H$1)</f>
        <v>0</v>
      </c>
      <c r="I75" s="117" t="n">
        <f aca="false">SUMIFS(الريسبي!$C$2:$C$1800,الريسبي!$A$2:$A$1800,$A75,الريسبي!$B$2:$B$1800,I$1)</f>
        <v>0</v>
      </c>
      <c r="J75" s="117" t="n">
        <f aca="false">SUMIFS(الريسبي!$C$2:$C$1800,الريسبي!$A$2:$A$1800,$A75,الريسبي!$B$2:$B$1800,J$1)</f>
        <v>0</v>
      </c>
      <c r="K75" s="117" t="n">
        <f aca="false">SUMIFS(الريسبي!$C$2:$C$1800,الريسبي!$A$2:$A$1800,$A75,الريسبي!$B$2:$B$1800,K$1)</f>
        <v>0</v>
      </c>
      <c r="L75" s="117" t="n">
        <f aca="false">SUMIFS(الريسبي!$C$2:$C$1800,الريسبي!$A$2:$A$1800,$A75,الريسبي!$B$2:$B$1800,L$1)</f>
        <v>0</v>
      </c>
      <c r="M75" s="117" t="n">
        <f aca="false">SUMIFS(الريسبي!$C$2:$C$1800,الريسبي!$A$2:$A$1800,$A75,الريسبي!$B$2:$B$1800,M$1)</f>
        <v>0</v>
      </c>
      <c r="N75" s="117" t="n">
        <f aca="false">SUMIFS(الريسبي!$C$2:$C$1800,الريسبي!$A$2:$A$1800,$A75,الريسبي!$B$2:$B$1800,N$1)</f>
        <v>0</v>
      </c>
      <c r="O75" s="117" t="n">
        <f aca="false">SUMIFS(الريسبي!$C$2:$C$1800,الريسبي!$A$2:$A$1800,$A75,الريسبي!$B$2:$B$1800,O$1)</f>
        <v>0</v>
      </c>
      <c r="P75" s="117" t="n">
        <f aca="false">SUMIFS(الريسبي!$C$2:$C$1800,الريسبي!$A$2:$A$1800,$A75,الريسبي!$B$2:$B$1800,P$1)</f>
        <v>0</v>
      </c>
      <c r="Q75" s="117" t="n">
        <f aca="false">SUMIFS(الريسبي!$C$2:$C$1800,الريسبي!$A$2:$A$1800,$A75,الريسبي!$B$2:$B$1800,Q$1)</f>
        <v>0</v>
      </c>
      <c r="R75" s="117" t="n">
        <f aca="false">SUMIFS(الريسبي!$C$2:$C$1800,الريسبي!$A$2:$A$1800,$A75,الريسبي!$B$2:$B$1800,R$1)</f>
        <v>0</v>
      </c>
      <c r="S75" s="117" t="n">
        <f aca="false">SUMIFS(الريسبي!$C$2:$C$1800,الريسبي!$A$2:$A$1800,$A75,الريسبي!$B$2:$B$1800,S$1)</f>
        <v>0</v>
      </c>
      <c r="T75" s="117" t="n">
        <f aca="false">SUMIFS(الريسبي!$C$2:$C$1800,الريسبي!$A$2:$A$1800,$A75,الريسبي!$B$2:$B$1800,T$1)</f>
        <v>0</v>
      </c>
      <c r="U75" s="117" t="n">
        <f aca="false">SUMIFS(الريسبي!$C$2:$C$1800,الريسبي!$A$2:$A$1800,$A75,الريسبي!$B$2:$B$1800,U$1)</f>
        <v>0</v>
      </c>
      <c r="V75" s="117" t="n">
        <f aca="false">SUMIFS(الريسبي!$C$2:$C$1800,الريسبي!$A$2:$A$1800,$A75,الريسبي!$B$2:$B$1800,V$1)+1.5*(SUMIFS(الريسبي!$C$2:$C$1800,الريسبي!$A$2:$A$1800,$A75,الريسبي!$B$2:$B$1800,"برسيون موتزريلا بيتزا كبير"))</f>
        <v>0</v>
      </c>
      <c r="W75" s="117" t="n">
        <f aca="false">0</f>
        <v>0</v>
      </c>
      <c r="X75" s="117" t="n">
        <f aca="false">SUMIFS(الريسبي!$C$2:$C$1800,الريسبي!$A$2:$A$1800,$A75,الريسبي!$B$2:$B$1800,X$1)+1.5*(SUMIFS(الريسبي!$C$2:$C$1800,الريسبي!$A$2:$A$1800,$A75,الريسبي!$B$2:$B$1800,"برسيون موتزريلا فطير كبير"))</f>
        <v>0</v>
      </c>
      <c r="Y75" s="117" t="n">
        <f aca="false">0</f>
        <v>0</v>
      </c>
      <c r="Z75" s="117" t="n">
        <f aca="false">SUMIFS(الريسبي!$C$2:$C$1800,الريسبي!$A$2:$A$1800,$A75,الريسبي!$B$2:$B$1800,Z$1)</f>
        <v>0</v>
      </c>
      <c r="AA75" s="117" t="n">
        <f aca="false">SUMIFS(الريسبي!$C$2:$C$1800,الريسبي!$A$2:$A$1800,$A75,الريسبي!$B$2:$B$1800,AA$1)</f>
        <v>0</v>
      </c>
      <c r="AB75" s="117" t="n">
        <f aca="false">SUMIFS(الريسبي!$C$2:$C$1800,الريسبي!$A$2:$A$1800,$A75,الريسبي!$B$2:$B$1800,AB$1)</f>
        <v>0</v>
      </c>
      <c r="AC75" s="117" t="n">
        <f aca="false">SUMIFS(الريسبي!$C$2:$C$1800,الريسبي!$A$2:$A$1800,$A75,الريسبي!$B$2:$B$1800,AC$1)</f>
        <v>0</v>
      </c>
      <c r="AD75" s="117" t="n">
        <f aca="false">SUMIFS(الريسبي!$C$2:$C$1800,الريسبي!$A$2:$A$1800,$A75,الريسبي!$B$2:$B$1800,AD$1)</f>
        <v>0</v>
      </c>
      <c r="AE75" s="117" t="n">
        <f aca="false">SUMIFS(الريسبي!$C$2:$C$1800,الريسبي!$A$2:$A$1800,$A75,الريسبي!$B$2:$B$1800,AE$1)</f>
        <v>0</v>
      </c>
      <c r="AF75" s="117" t="n">
        <f aca="false">SUMIFS(الريسبي!$C$2:$C$1800,الريسبي!$A$2:$A$1800,$A75,الريسبي!$B$2:$B$1800,AF$1)</f>
        <v>0</v>
      </c>
      <c r="AG75" s="117" t="n">
        <f aca="false">SUMIFS(الريسبي!$C$2:$C$1800,الريسبي!$A$2:$A$1800,$A75,الريسبي!$B$2:$B$1800,AG$1)</f>
        <v>1</v>
      </c>
      <c r="AH75" s="117" t="n">
        <f aca="false">SUMIFS(الريسبي!$C$2:$C$1800,الريسبي!$A$2:$A$1800,$A75,الريسبي!$B$2:$B$1800,AH$1)</f>
        <v>0</v>
      </c>
      <c r="AI75" s="117" t="n">
        <f aca="false">SUMIFS(الريسبي!$C$2:$C$1800,الريسبي!$A$2:$A$1800,$A75,الريسبي!$B$2:$B$1800,AI$1)</f>
        <v>0</v>
      </c>
      <c r="AJ75" s="117" t="n">
        <f aca="false">SUMIFS(الريسبي!$C$2:$C$1800,الريسبي!$A$2:$A$1800,$A75,الريسبي!$B$2:$B$1800,AJ$1)</f>
        <v>0</v>
      </c>
      <c r="AK75" s="117" t="n">
        <f aca="false">SUMIFS(الريسبي!$C$2:$C$1800,الريسبي!$A$2:$A$1800,$A75,الريسبي!$B$2:$B$1800,AK$1)</f>
        <v>0</v>
      </c>
      <c r="AL75" s="117" t="n">
        <f aca="false">SUMIFS(الريسبي!$C$2:$C$1800,الريسبي!$A$2:$A$1800,$A75,الريسبي!$B$2:$B$1800,AL$1)</f>
        <v>0</v>
      </c>
      <c r="AM75" s="117" t="n">
        <f aca="false">SUMIFS(الريسبي!$C$2:$C$1800,الريسبي!$A$2:$A$1800,$A75,الريسبي!$B$2:$B$1800,AM$1)+0.08333333333*SUMIFS(الريسبي!$C$2:$C$1800,الريسبي!$A$2:$A$1800,$A75,الريسبي!$B$2:$B$1800,"عجين كريب (مصنع بالمطعم)")+0.08333333333*SUMIFS(الريسبي!$C$2:$C$1800,الريسبي!$A$2:$A$1800,$A75,الريسبي!$B$2:$B$1800,"عجين كريب صيامي (بدون لبن)")</f>
        <v>0</v>
      </c>
      <c r="AN75" s="117" t="n">
        <f aca="false">SUMIFS(الريسبي!$C$2:$C$1800,الريسبي!$A$2:$A$1800,$A75,الريسبي!$B$2:$B$1800,AN$1)+0.004166666667*SUMIFS(الريسبي!$C$2:$C$1800,الريسبي!$A$2:$A$1800,$A75,الريسبي!$B$2:$B$1800,"عجين كريب (مصنع بالمطعم)")+0.004166666667*SUMIFS(الريسبي!$C$2:$C$1800,الريسبي!$A$2:$A$1800,$A75,الريسبي!$B$2:$B$1800,"عجين كريب صيامي (بدون لبن)")</f>
        <v>0</v>
      </c>
      <c r="AO75" s="117" t="n">
        <f aca="false">SUMIFS(الريسبي!$C$2:$C$1800,الريسبي!$A$2:$A$1800,$A75,الريسبي!$B$2:$B$1800,AO$1)</f>
        <v>0</v>
      </c>
      <c r="AP75" s="117" t="n">
        <f aca="false">SUMIFS(الريسبي!$C$2:$C$1800,الريسبي!$A$2:$A$1800,$A75,الريسبي!$B$2:$B$1800,AP$1)</f>
        <v>0</v>
      </c>
      <c r="AQ75" s="117" t="n">
        <f aca="false">SUMIFS(الريسبي!$C$2:$C$1800,الريسبي!$A$2:$A$1800,$A75,الريسبي!$B$2:$B$1800,AQ$1)+0.004166666667*SUMIFS(الريسبي!$C$2:$C$1800,الريسبي!$A$2:$A$1800,$A75,الريسبي!$B$2:$B$1800,"عجين كريب (مصنع بالمطعم)")+0.004166666667*SUMIFS(الريسبي!$C$2:$C$1800,الريسبي!$A$2:$A$1800,$A75,الريسبي!$B$2:$B$1800,"عجين كريب صيامي (بدون لبن)")</f>
        <v>0</v>
      </c>
      <c r="AR75" s="117" t="n">
        <f aca="false">SUMIFS(الريسبي!$C$2:$C$1800,الريسبي!$A$2:$A$1800,$A75,الريسبي!$B$2:$B$1800,AR$1)</f>
        <v>0</v>
      </c>
      <c r="AS75" s="117" t="n">
        <f aca="false">SUMIFS(الريسبي!$C$2:$C$1800,الريسبي!$A$2:$A$1800,$A75,الريسبي!$B$2:$B$1800,AS$1)</f>
        <v>0</v>
      </c>
      <c r="AT75" s="117" t="n">
        <f aca="false">SUMIFS(الريسبي!$C$2:$C$1800,الريسبي!$A$2:$A$1800,$A75,الريسبي!$B$2:$B$1800,AT$1)</f>
        <v>0</v>
      </c>
      <c r="AU75" s="117" t="n">
        <f aca="false">SUMIFS(الريسبي!$C$2:$C$1800,الريسبي!$A$2:$A$1800,$A75,الريسبي!$B$2:$B$1800,AU$1)</f>
        <v>0</v>
      </c>
      <c r="AV75" s="117" t="n">
        <f aca="false">SUMIFS(الريسبي!$C$2:$C$1800,الريسبي!$A$2:$A$1800,$A75,الريسبي!$B$2:$B$1800,AV$1)</f>
        <v>0</v>
      </c>
      <c r="AW75" s="117" t="n">
        <f aca="false">SUMIFS(الريسبي!$C$2:$C$1800,الريسبي!$A$2:$A$1800,$A75,الريسبي!$B$2:$B$1800,AW$1)</f>
        <v>0</v>
      </c>
      <c r="AX75" s="117" t="n">
        <f aca="false">SUMIFS(الريسبي!$C$2:$C$1800,الريسبي!$A$2:$A$1800,$A75,الريسبي!$B$2:$B$1800,AX$1)</f>
        <v>0</v>
      </c>
      <c r="AY75" s="117" t="n">
        <f aca="false">SUMIFS(الريسبي!$C$2:$C$1800,الريسبي!$A$2:$A$1800,$A75,الريسبي!$B$2:$B$1800,AY$1)</f>
        <v>0</v>
      </c>
      <c r="AZ75" s="117" t="n">
        <f aca="false">SUMIFS(الريسبي!$C$2:$C$1800,الريسبي!$A$2:$A$1800,$A75,الريسبي!$B$2:$B$1800,AZ$1)</f>
        <v>0</v>
      </c>
      <c r="BA75" s="117" t="n">
        <f aca="false">SUMIFS(الريسبي!$C$2:$C$1800,الريسبي!$A$2:$A$1800,$A75,الريسبي!$B$2:$B$1800,BA$1)</f>
        <v>0</v>
      </c>
      <c r="BB75" s="117" t="n">
        <f aca="false">SUMIFS(الريسبي!$C$2:$C$1800,الريسبي!$A$2:$A$1800,$A75,الريسبي!$B$2:$B$1800,BB$1)</f>
        <v>0</v>
      </c>
      <c r="BC75" s="117" t="n">
        <f aca="false">SUMIFS(الريسبي!$C$2:$C$1800,الريسبي!$A$2:$A$1800,$A75,الريسبي!$B$2:$B$1800,BC$1)</f>
        <v>0</v>
      </c>
      <c r="BD75" s="117" t="n">
        <f aca="false">SUMIFS(الريسبي!$C$2:$C$1800,الريسبي!$A$2:$A$1800,$A75,الريسبي!$B$2:$B$1800,BD$1)</f>
        <v>0</v>
      </c>
      <c r="BE75" s="117" t="n">
        <f aca="false">SUMIFS(الريسبي!$C$2:$C$1800,الريسبي!$A$2:$A$1800,$A75,الريسبي!$B$2:$B$1800,BE$1)</f>
        <v>0</v>
      </c>
      <c r="BF75" s="117" t="n">
        <f aca="false">SUMIFS(الريسبي!$C$2:$C$1800,الريسبي!$A$2:$A$1800,$A75,الريسبي!$B$2:$B$1800,BF$1)</f>
        <v>0</v>
      </c>
      <c r="BG75" s="117" t="n">
        <f aca="false">SUMIFS(الريسبي!$C$2:$C$1800,الريسبي!$A$2:$A$1800,$A75,الريسبي!$B$2:$B$1800,BG$1)</f>
        <v>0</v>
      </c>
      <c r="BH75" s="117" t="n">
        <f aca="false">SUMIFS(الريسبي!$C$2:$C$1800,الريسبي!$A$2:$A$1800,$A75,الريسبي!$B$2:$B$1800,BH$1)</f>
        <v>0</v>
      </c>
      <c r="BI75" s="117" t="n">
        <f aca="false">SUMIFS(الريسبي!$C$2:$C$1800,الريسبي!$A$2:$A$1800,$A75,الريسبي!$B$2:$B$1800,BI$1)</f>
        <v>0</v>
      </c>
      <c r="BJ75" s="117" t="n">
        <f aca="false">SUMIFS(الريسبي!$C$2:$C$1800,الريسبي!$A$2:$A$1800,$A75,الريسبي!$B$2:$B$1800,BJ$1)</f>
        <v>0</v>
      </c>
      <c r="BK75" s="117" t="n">
        <f aca="false">SUMIFS(الريسبي!$C$2:$C$1800,الريسبي!$A$2:$A$1800,$A75,الريسبي!$B$2:$B$1800,BK$1)</f>
        <v>0</v>
      </c>
      <c r="BL75" s="117" t="n">
        <f aca="false">SUMIFS(الريسبي!$C$2:$C$1800,الريسبي!$A$2:$A$1800,$A75,الريسبي!$B$2:$B$1800,BL$1)</f>
        <v>0</v>
      </c>
      <c r="BM75" s="117" t="n">
        <f aca="false">SUMIFS(الريسبي!$C$2:$C$1800,الريسبي!$A$2:$A$1800,$A75,الريسبي!$B$2:$B$1800,BM$1)</f>
        <v>0</v>
      </c>
      <c r="BN75" s="117" t="n">
        <f aca="false">SUMIFS(الريسبي!$C$2:$C$1800,الريسبي!$A$2:$A$1800,$A75,الريسبي!$B$2:$B$1800,BN$1)</f>
        <v>0</v>
      </c>
      <c r="BO75" s="117" t="n">
        <f aca="false">SUMIFS(الريسبي!$C$2:$C$1800,الريسبي!$A$2:$A$1800,$A75,الريسبي!$B$2:$B$1800,BO$1)</f>
        <v>0</v>
      </c>
      <c r="BP75" s="117" t="n">
        <f aca="false">SUMIFS(الريسبي!$C$2:$C$1800,الريسبي!$A$2:$A$1800,$A75,الريسبي!$B$2:$B$1800,BP$1)</f>
        <v>0</v>
      </c>
      <c r="BQ75" s="117" t="n">
        <f aca="false">SUMIFS(الريسبي!$C$2:$C$1800,الريسبي!$A$2:$A$1800,$A75,الريسبي!$B$2:$B$1800,BQ$1)+0.17*SUMIFS(الريسبي!$C$2:$C$1800,الريسبي!$A$2:$A$1800,$A75,الريسبي!$B$2:$B$1800,"كاسترد مصنع (خليط بودر + لبن)")+0.17*SUMIFS(الريسبي!$C$2:$C$1800,الريسبي!$A$2:$A$1800,$A75,الريسبي!$B$2:$B$1800,"كاسترد مصنع صيامي (بدون لبن)")</f>
        <v>0</v>
      </c>
      <c r="BR75" s="117" t="n">
        <f aca="false">SUMIFS(الريسبي!$C$2:$C$1800,الريسبي!$A$2:$A$1800,$A75,الريسبي!$B$2:$B$1800,BR$1)</f>
        <v>0</v>
      </c>
      <c r="BS75" s="117" t="n">
        <f aca="false">SUMIFS(الريسبي!$C$2:$C$1800,الريسبي!$A$2:$A$1800,$A75,الريسبي!$B$2:$B$1800,BS$1)</f>
        <v>0</v>
      </c>
      <c r="BT75" s="117" t="n">
        <f aca="false">SUMIFS(الريسبي!$C$2:$C$1800,الريسبي!$A$2:$A$1800,$A75,الريسبي!$B$2:$B$1800,BT$1)</f>
        <v>0</v>
      </c>
      <c r="BU75" s="117" t="n">
        <f aca="false">SUMIFS(الريسبي!$C$2:$C$1800,الريسبي!$A$2:$A$1800,$A75,الريسبي!$B$2:$B$1800,BU$1)+0.4*SUMIFS(الريسبي!$C$2:$C$1800,الريسبي!$A$2:$A$1800,$A75,الريسبي!$B$2:$B$1800,"كاسترد مصنع (خليط بودر + لبن)")+0.03333333333*SUMIFS(الريسبي!$C$2:$C$1800,الريسبي!$A$2:$A$1800,$A75,الريسبي!$B$2:$B$1800,"عجين كريب (مصنع بالمطعم)")</f>
        <v>0</v>
      </c>
      <c r="BV75" s="117" t="n">
        <f aca="false">SUMIFS(الريسبي!$C$2:$C$1800,الريسبي!$A$2:$A$1800,$A75,الريسبي!$B$2:$B$1800,BV$1)</f>
        <v>0</v>
      </c>
      <c r="BW75" s="117" t="n">
        <f aca="false">SUMIFS(الريسبي!$C$2:$C$1800,الريسبي!$A$2:$A$1800,$A75,الريسبي!$B$2:$B$1800,BW$1)</f>
        <v>0</v>
      </c>
      <c r="BX75" s="117" t="n">
        <f aca="false">SUMIFS(الريسبي!$C$2:$C$1800,الريسبي!$A$2:$A$1800,$A75,الريسبي!$B$2:$B$1800,BX$1)</f>
        <v>0</v>
      </c>
      <c r="BY75" s="117" t="n">
        <f aca="false">SUMIFS(الريسبي!$C$2:$C$1800,الريسبي!$A$2:$A$1800,$A75,الريسبي!$B$2:$B$1800,BY$1)</f>
        <v>0</v>
      </c>
      <c r="BZ75" s="117" t="n">
        <f aca="false">SUMIFS(الريسبي!$C$2:$C$1800,الريسبي!$A$2:$A$1800,$A75,الريسبي!$B$2:$B$1800,BZ$1)</f>
        <v>0</v>
      </c>
      <c r="CA75" s="117" t="n">
        <f aca="false">SUMIFS(الريسبي!$C$2:$C$1800,الريسبي!$A$2:$A$1800,$A75,الريسبي!$B$2:$B$1800,CA$1)</f>
        <v>0</v>
      </c>
      <c r="CB75" s="117" t="n">
        <f aca="false">SUMIFS(الريسبي!$C$2:$C$1800,الريسبي!$A$2:$A$1800,$A75,الريسبي!$B$2:$B$1800,CB$1)</f>
        <v>0</v>
      </c>
      <c r="CC75" s="117" t="n">
        <f aca="false">SUMIFS(الريسبي!$C$2:$C$1800,الريسبي!$A$2:$A$1800,$A75,الريسبي!$B$2:$B$1800,CC$1)</f>
        <v>0</v>
      </c>
      <c r="CD75" s="117" t="n">
        <f aca="false">SUMIFS(الريسبي!$C$2:$C$1800,الريسبي!$A$2:$A$1800,$A75,الريسبي!$B$2:$B$1800,CD$1)</f>
        <v>0</v>
      </c>
      <c r="CE75" s="117" t="n">
        <f aca="false">SUMIFS(الريسبي!$C$2:$C$1800,الريسبي!$A$2:$A$1800,$A75,الريسبي!$B$2:$B$1800,CE$1)</f>
        <v>0</v>
      </c>
      <c r="CF75" s="117" t="n">
        <f aca="false">SUMIFS(الريسبي!$C$2:$C$1800,الريسبي!$A$2:$A$1800,$A75,الريسبي!$B$2:$B$1800,CF$1)</f>
        <v>0</v>
      </c>
      <c r="CG75" s="117" t="n">
        <f aca="false">SUMIFS(الريسبي!$C$2:$C$1800,الريسبي!$A$2:$A$1800,$A75,الريسبي!$B$2:$B$1800,CG$1)</f>
        <v>0</v>
      </c>
      <c r="CH75" s="117" t="n">
        <f aca="false">SUMIFS(الريسبي!$C$2:$C$1800,الريسبي!$A$2:$A$1800,$A75,الريسبي!$B$2:$B$1800,CH$1)</f>
        <v>0</v>
      </c>
      <c r="CI75" s="117" t="n">
        <f aca="false">SUMIFS(الريسبي!$C$2:$C$1800,الريسبي!$A$2:$A$1800,$A75,الريسبي!$B$2:$B$1800,CI$1)</f>
        <v>0</v>
      </c>
      <c r="CJ75" s="117" t="n">
        <f aca="false">SUMIFS(الريسبي!$C$2:$C$1800,الريسبي!$A$2:$A$1800,$A75,الريسبي!$B$2:$B$1800,CJ$1)</f>
        <v>0</v>
      </c>
      <c r="CK75" s="117" t="n">
        <f aca="false">SUMIFS(الريسبي!$C$2:$C$1800,الريسبي!$A$2:$A$1800,$A75,الريسبي!$B$2:$B$1800,CK$1)</f>
        <v>0</v>
      </c>
      <c r="CL75" s="117" t="n">
        <f aca="false">SUMIFS(الريسبي!$C$2:$C$1800,الريسبي!$A$2:$A$1800,$A75,الريسبي!$B$2:$B$1800,CL$1)</f>
        <v>0</v>
      </c>
    </row>
    <row r="76" customFormat="false" ht="15" hidden="false" customHeight="false" outlineLevel="0" collapsed="false">
      <c r="A76" s="116" t="str">
        <f aca="false">المنيو!B76</f>
        <v>بيبسي لتر</v>
      </c>
      <c r="B76" s="117" t="n">
        <f aca="false">SUMIFS(الريسبي!$C$2:$C$1800,الريسبي!$A$2:$A$1800,$A76,الريسبي!$B$2:$B$1800,B$1)</f>
        <v>0</v>
      </c>
      <c r="C76" s="117" t="n">
        <f aca="false">SUMIFS(الريسبي!$C$2:$C$1800,الريسبي!$A$2:$A$1800,$A76,الريسبي!$B$2:$B$1800,C$1)</f>
        <v>0</v>
      </c>
      <c r="D76" s="117" t="n">
        <f aca="false">SUMIFS(الريسبي!$C$2:$C$1800,الريسبي!$A$2:$A$1800,$A76,الريسبي!$B$2:$B$1800,D$1)</f>
        <v>0</v>
      </c>
      <c r="E76" s="117" t="n">
        <f aca="false">SUMIFS(الريسبي!$C$2:$C$1800,الريسبي!$A$2:$A$1800,$A76,الريسبي!$B$2:$B$1800,E$1)</f>
        <v>0</v>
      </c>
      <c r="F76" s="117" t="n">
        <f aca="false">SUMIFS(الريسبي!$C$2:$C$1800,الريسبي!$A$2:$A$1800,$A76,الريسبي!$B$2:$B$1800,F$1)</f>
        <v>0</v>
      </c>
      <c r="G76" s="117" t="n">
        <f aca="false">SUMIFS(الريسبي!$C$2:$C$1800,الريسبي!$A$2:$A$1800,$A76,الريسبي!$B$2:$B$1800,G$1)</f>
        <v>0</v>
      </c>
      <c r="H76" s="117" t="n">
        <f aca="false">SUMIFS(الريسبي!$C$2:$C$1800,الريسبي!$A$2:$A$1800,$A76,الريسبي!$B$2:$B$1800,H$1)</f>
        <v>0</v>
      </c>
      <c r="I76" s="117" t="n">
        <f aca="false">SUMIFS(الريسبي!$C$2:$C$1800,الريسبي!$A$2:$A$1800,$A76,الريسبي!$B$2:$B$1800,I$1)</f>
        <v>0</v>
      </c>
      <c r="J76" s="117" t="n">
        <f aca="false">SUMIFS(الريسبي!$C$2:$C$1800,الريسبي!$A$2:$A$1800,$A76,الريسبي!$B$2:$B$1800,J$1)</f>
        <v>0</v>
      </c>
      <c r="K76" s="117" t="n">
        <f aca="false">SUMIFS(الريسبي!$C$2:$C$1800,الريسبي!$A$2:$A$1800,$A76,الريسبي!$B$2:$B$1800,K$1)</f>
        <v>0</v>
      </c>
      <c r="L76" s="117" t="n">
        <f aca="false">SUMIFS(الريسبي!$C$2:$C$1800,الريسبي!$A$2:$A$1800,$A76,الريسبي!$B$2:$B$1800,L$1)</f>
        <v>0</v>
      </c>
      <c r="M76" s="117" t="n">
        <f aca="false">SUMIFS(الريسبي!$C$2:$C$1800,الريسبي!$A$2:$A$1800,$A76,الريسبي!$B$2:$B$1800,M$1)</f>
        <v>0</v>
      </c>
      <c r="N76" s="117" t="n">
        <f aca="false">SUMIFS(الريسبي!$C$2:$C$1800,الريسبي!$A$2:$A$1800,$A76,الريسبي!$B$2:$B$1800,N$1)</f>
        <v>0</v>
      </c>
      <c r="O76" s="117" t="n">
        <f aca="false">SUMIFS(الريسبي!$C$2:$C$1800,الريسبي!$A$2:$A$1800,$A76,الريسبي!$B$2:$B$1800,O$1)</f>
        <v>0</v>
      </c>
      <c r="P76" s="117" t="n">
        <f aca="false">SUMIFS(الريسبي!$C$2:$C$1800,الريسبي!$A$2:$A$1800,$A76,الريسبي!$B$2:$B$1800,P$1)</f>
        <v>0</v>
      </c>
      <c r="Q76" s="117" t="n">
        <f aca="false">SUMIFS(الريسبي!$C$2:$C$1800,الريسبي!$A$2:$A$1800,$A76,الريسبي!$B$2:$B$1800,Q$1)</f>
        <v>0</v>
      </c>
      <c r="R76" s="117" t="n">
        <f aca="false">SUMIFS(الريسبي!$C$2:$C$1800,الريسبي!$A$2:$A$1800,$A76,الريسبي!$B$2:$B$1800,R$1)</f>
        <v>0</v>
      </c>
      <c r="S76" s="117" t="n">
        <f aca="false">SUMIFS(الريسبي!$C$2:$C$1800,الريسبي!$A$2:$A$1800,$A76,الريسبي!$B$2:$B$1800,S$1)</f>
        <v>0</v>
      </c>
      <c r="T76" s="117" t="n">
        <f aca="false">SUMIFS(الريسبي!$C$2:$C$1800,الريسبي!$A$2:$A$1800,$A76,الريسبي!$B$2:$B$1800,T$1)</f>
        <v>0</v>
      </c>
      <c r="U76" s="117" t="n">
        <f aca="false">SUMIFS(الريسبي!$C$2:$C$1800,الريسبي!$A$2:$A$1800,$A76,الريسبي!$B$2:$B$1800,U$1)</f>
        <v>0</v>
      </c>
      <c r="V76" s="117" t="n">
        <f aca="false">SUMIFS(الريسبي!$C$2:$C$1800,الريسبي!$A$2:$A$1800,$A76,الريسبي!$B$2:$B$1800,V$1)+1.5*(SUMIFS(الريسبي!$C$2:$C$1800,الريسبي!$A$2:$A$1800,$A76,الريسبي!$B$2:$B$1800,"برسيون موتزريلا بيتزا كبير"))</f>
        <v>0</v>
      </c>
      <c r="W76" s="117" t="n">
        <f aca="false">0</f>
        <v>0</v>
      </c>
      <c r="X76" s="117" t="n">
        <f aca="false">SUMIFS(الريسبي!$C$2:$C$1800,الريسبي!$A$2:$A$1800,$A76,الريسبي!$B$2:$B$1800,X$1)+1.5*(SUMIFS(الريسبي!$C$2:$C$1800,الريسبي!$A$2:$A$1800,$A76,الريسبي!$B$2:$B$1800,"برسيون موتزريلا فطير كبير"))</f>
        <v>0</v>
      </c>
      <c r="Y76" s="117" t="n">
        <f aca="false">0</f>
        <v>0</v>
      </c>
      <c r="Z76" s="117" t="n">
        <f aca="false">SUMIFS(الريسبي!$C$2:$C$1800,الريسبي!$A$2:$A$1800,$A76,الريسبي!$B$2:$B$1800,Z$1)</f>
        <v>0</v>
      </c>
      <c r="AA76" s="117" t="n">
        <f aca="false">SUMIFS(الريسبي!$C$2:$C$1800,الريسبي!$A$2:$A$1800,$A76,الريسبي!$B$2:$B$1800,AA$1)</f>
        <v>0</v>
      </c>
      <c r="AB76" s="117" t="n">
        <f aca="false">SUMIFS(الريسبي!$C$2:$C$1800,الريسبي!$A$2:$A$1800,$A76,الريسبي!$B$2:$B$1800,AB$1)</f>
        <v>0</v>
      </c>
      <c r="AC76" s="117" t="n">
        <f aca="false">SUMIFS(الريسبي!$C$2:$C$1800,الريسبي!$A$2:$A$1800,$A76,الريسبي!$B$2:$B$1800,AC$1)</f>
        <v>0</v>
      </c>
      <c r="AD76" s="117" t="n">
        <f aca="false">SUMIFS(الريسبي!$C$2:$C$1800,الريسبي!$A$2:$A$1800,$A76,الريسبي!$B$2:$B$1800,AD$1)</f>
        <v>0</v>
      </c>
      <c r="AE76" s="117" t="n">
        <f aca="false">SUMIFS(الريسبي!$C$2:$C$1800,الريسبي!$A$2:$A$1800,$A76,الريسبي!$B$2:$B$1800,AE$1)</f>
        <v>0</v>
      </c>
      <c r="AF76" s="117" t="n">
        <f aca="false">SUMIFS(الريسبي!$C$2:$C$1800,الريسبي!$A$2:$A$1800,$A76,الريسبي!$B$2:$B$1800,AF$1)</f>
        <v>0</v>
      </c>
      <c r="AG76" s="117" t="n">
        <f aca="false">SUMIFS(الريسبي!$C$2:$C$1800,الريسبي!$A$2:$A$1800,$A76,الريسبي!$B$2:$B$1800,AG$1)</f>
        <v>0</v>
      </c>
      <c r="AH76" s="117" t="n">
        <f aca="false">SUMIFS(الريسبي!$C$2:$C$1800,الريسبي!$A$2:$A$1800,$A76,الريسبي!$B$2:$B$1800,AH$1)</f>
        <v>1</v>
      </c>
      <c r="AI76" s="117" t="n">
        <f aca="false">SUMIFS(الريسبي!$C$2:$C$1800,الريسبي!$A$2:$A$1800,$A76,الريسبي!$B$2:$B$1800,AI$1)</f>
        <v>0</v>
      </c>
      <c r="AJ76" s="117" t="n">
        <f aca="false">SUMIFS(الريسبي!$C$2:$C$1800,الريسبي!$A$2:$A$1800,$A76,الريسبي!$B$2:$B$1800,AJ$1)</f>
        <v>0</v>
      </c>
      <c r="AK76" s="117" t="n">
        <f aca="false">SUMIFS(الريسبي!$C$2:$C$1800,الريسبي!$A$2:$A$1800,$A76,الريسبي!$B$2:$B$1800,AK$1)</f>
        <v>0</v>
      </c>
      <c r="AL76" s="117" t="n">
        <f aca="false">SUMIFS(الريسبي!$C$2:$C$1800,الريسبي!$A$2:$A$1800,$A76,الريسبي!$B$2:$B$1800,AL$1)</f>
        <v>0</v>
      </c>
      <c r="AM76" s="117" t="n">
        <f aca="false">SUMIFS(الريسبي!$C$2:$C$1800,الريسبي!$A$2:$A$1800,$A76,الريسبي!$B$2:$B$1800,AM$1)+0.08333333333*SUMIFS(الريسبي!$C$2:$C$1800,الريسبي!$A$2:$A$1800,$A76,الريسبي!$B$2:$B$1800,"عجين كريب (مصنع بالمطعم)")+0.08333333333*SUMIFS(الريسبي!$C$2:$C$1800,الريسبي!$A$2:$A$1800,$A76,الريسبي!$B$2:$B$1800,"عجين كريب صيامي (بدون لبن)")</f>
        <v>0</v>
      </c>
      <c r="AN76" s="117" t="n">
        <f aca="false">SUMIFS(الريسبي!$C$2:$C$1800,الريسبي!$A$2:$A$1800,$A76,الريسبي!$B$2:$B$1800,AN$1)+0.004166666667*SUMIFS(الريسبي!$C$2:$C$1800,الريسبي!$A$2:$A$1800,$A76,الريسبي!$B$2:$B$1800,"عجين كريب (مصنع بالمطعم)")+0.004166666667*SUMIFS(الريسبي!$C$2:$C$1800,الريسبي!$A$2:$A$1800,$A76,الريسبي!$B$2:$B$1800,"عجين كريب صيامي (بدون لبن)")</f>
        <v>0</v>
      </c>
      <c r="AO76" s="117" t="n">
        <f aca="false">SUMIFS(الريسبي!$C$2:$C$1800,الريسبي!$A$2:$A$1800,$A76,الريسبي!$B$2:$B$1800,AO$1)</f>
        <v>0</v>
      </c>
      <c r="AP76" s="117" t="n">
        <f aca="false">SUMIFS(الريسبي!$C$2:$C$1800,الريسبي!$A$2:$A$1800,$A76,الريسبي!$B$2:$B$1800,AP$1)</f>
        <v>0</v>
      </c>
      <c r="AQ76" s="117" t="n">
        <f aca="false">SUMIFS(الريسبي!$C$2:$C$1800,الريسبي!$A$2:$A$1800,$A76,الريسبي!$B$2:$B$1800,AQ$1)+0.004166666667*SUMIFS(الريسبي!$C$2:$C$1800,الريسبي!$A$2:$A$1800,$A76,الريسبي!$B$2:$B$1800,"عجين كريب (مصنع بالمطعم)")+0.004166666667*SUMIFS(الريسبي!$C$2:$C$1800,الريسبي!$A$2:$A$1800,$A76,الريسبي!$B$2:$B$1800,"عجين كريب صيامي (بدون لبن)")</f>
        <v>0</v>
      </c>
      <c r="AR76" s="117" t="n">
        <f aca="false">SUMIFS(الريسبي!$C$2:$C$1800,الريسبي!$A$2:$A$1800,$A76,الريسبي!$B$2:$B$1800,AR$1)</f>
        <v>0</v>
      </c>
      <c r="AS76" s="117" t="n">
        <f aca="false">SUMIFS(الريسبي!$C$2:$C$1800,الريسبي!$A$2:$A$1800,$A76,الريسبي!$B$2:$B$1800,AS$1)</f>
        <v>0</v>
      </c>
      <c r="AT76" s="117" t="n">
        <f aca="false">SUMIFS(الريسبي!$C$2:$C$1800,الريسبي!$A$2:$A$1800,$A76,الريسبي!$B$2:$B$1800,AT$1)</f>
        <v>0</v>
      </c>
      <c r="AU76" s="117" t="n">
        <f aca="false">SUMIFS(الريسبي!$C$2:$C$1800,الريسبي!$A$2:$A$1800,$A76,الريسبي!$B$2:$B$1800,AU$1)</f>
        <v>0</v>
      </c>
      <c r="AV76" s="117" t="n">
        <f aca="false">SUMIFS(الريسبي!$C$2:$C$1800,الريسبي!$A$2:$A$1800,$A76,الريسبي!$B$2:$B$1800,AV$1)</f>
        <v>0</v>
      </c>
      <c r="AW76" s="117" t="n">
        <f aca="false">SUMIFS(الريسبي!$C$2:$C$1800,الريسبي!$A$2:$A$1800,$A76,الريسبي!$B$2:$B$1800,AW$1)</f>
        <v>0</v>
      </c>
      <c r="AX76" s="117" t="n">
        <f aca="false">SUMIFS(الريسبي!$C$2:$C$1800,الريسبي!$A$2:$A$1800,$A76,الريسبي!$B$2:$B$1800,AX$1)</f>
        <v>0</v>
      </c>
      <c r="AY76" s="117" t="n">
        <f aca="false">SUMIFS(الريسبي!$C$2:$C$1800,الريسبي!$A$2:$A$1800,$A76,الريسبي!$B$2:$B$1800,AY$1)</f>
        <v>0</v>
      </c>
      <c r="AZ76" s="117" t="n">
        <f aca="false">SUMIFS(الريسبي!$C$2:$C$1800,الريسبي!$A$2:$A$1800,$A76,الريسبي!$B$2:$B$1800,AZ$1)</f>
        <v>0</v>
      </c>
      <c r="BA76" s="117" t="n">
        <f aca="false">SUMIFS(الريسبي!$C$2:$C$1800,الريسبي!$A$2:$A$1800,$A76,الريسبي!$B$2:$B$1800,BA$1)</f>
        <v>0</v>
      </c>
      <c r="BB76" s="117" t="n">
        <f aca="false">SUMIFS(الريسبي!$C$2:$C$1800,الريسبي!$A$2:$A$1800,$A76,الريسبي!$B$2:$B$1800,BB$1)</f>
        <v>0</v>
      </c>
      <c r="BC76" s="117" t="n">
        <f aca="false">SUMIFS(الريسبي!$C$2:$C$1800,الريسبي!$A$2:$A$1800,$A76,الريسبي!$B$2:$B$1800,BC$1)</f>
        <v>0</v>
      </c>
      <c r="BD76" s="117" t="n">
        <f aca="false">SUMIFS(الريسبي!$C$2:$C$1800,الريسبي!$A$2:$A$1800,$A76,الريسبي!$B$2:$B$1800,BD$1)</f>
        <v>0</v>
      </c>
      <c r="BE76" s="117" t="n">
        <f aca="false">SUMIFS(الريسبي!$C$2:$C$1800,الريسبي!$A$2:$A$1800,$A76,الريسبي!$B$2:$B$1800,BE$1)</f>
        <v>0</v>
      </c>
      <c r="BF76" s="117" t="n">
        <f aca="false">SUMIFS(الريسبي!$C$2:$C$1800,الريسبي!$A$2:$A$1800,$A76,الريسبي!$B$2:$B$1800,BF$1)</f>
        <v>0</v>
      </c>
      <c r="BG76" s="117" t="n">
        <f aca="false">SUMIFS(الريسبي!$C$2:$C$1800,الريسبي!$A$2:$A$1800,$A76,الريسبي!$B$2:$B$1800,BG$1)</f>
        <v>0</v>
      </c>
      <c r="BH76" s="117" t="n">
        <f aca="false">SUMIFS(الريسبي!$C$2:$C$1800,الريسبي!$A$2:$A$1800,$A76,الريسبي!$B$2:$B$1800,BH$1)</f>
        <v>0</v>
      </c>
      <c r="BI76" s="117" t="n">
        <f aca="false">SUMIFS(الريسبي!$C$2:$C$1800,الريسبي!$A$2:$A$1800,$A76,الريسبي!$B$2:$B$1800,BI$1)</f>
        <v>0</v>
      </c>
      <c r="BJ76" s="117" t="n">
        <f aca="false">SUMIFS(الريسبي!$C$2:$C$1800,الريسبي!$A$2:$A$1800,$A76,الريسبي!$B$2:$B$1800,BJ$1)</f>
        <v>0</v>
      </c>
      <c r="BK76" s="117" t="n">
        <f aca="false">SUMIFS(الريسبي!$C$2:$C$1800,الريسبي!$A$2:$A$1800,$A76,الريسبي!$B$2:$B$1800,BK$1)</f>
        <v>0</v>
      </c>
      <c r="BL76" s="117" t="n">
        <f aca="false">SUMIFS(الريسبي!$C$2:$C$1800,الريسبي!$A$2:$A$1800,$A76,الريسبي!$B$2:$B$1800,BL$1)</f>
        <v>0</v>
      </c>
      <c r="BM76" s="117" t="n">
        <f aca="false">SUMIFS(الريسبي!$C$2:$C$1800,الريسبي!$A$2:$A$1800,$A76,الريسبي!$B$2:$B$1800,BM$1)</f>
        <v>0</v>
      </c>
      <c r="BN76" s="117" t="n">
        <f aca="false">SUMIFS(الريسبي!$C$2:$C$1800,الريسبي!$A$2:$A$1800,$A76,الريسبي!$B$2:$B$1800,BN$1)</f>
        <v>0</v>
      </c>
      <c r="BO76" s="117" t="n">
        <f aca="false">SUMIFS(الريسبي!$C$2:$C$1800,الريسبي!$A$2:$A$1800,$A76,الريسبي!$B$2:$B$1800,BO$1)</f>
        <v>0</v>
      </c>
      <c r="BP76" s="117" t="n">
        <f aca="false">SUMIFS(الريسبي!$C$2:$C$1800,الريسبي!$A$2:$A$1800,$A76,الريسبي!$B$2:$B$1800,BP$1)</f>
        <v>0</v>
      </c>
      <c r="BQ76" s="117" t="n">
        <f aca="false">SUMIFS(الريسبي!$C$2:$C$1800,الريسبي!$A$2:$A$1800,$A76,الريسبي!$B$2:$B$1800,BQ$1)+0.17*SUMIFS(الريسبي!$C$2:$C$1800,الريسبي!$A$2:$A$1800,$A76,الريسبي!$B$2:$B$1800,"كاسترد مصنع (خليط بودر + لبن)")+0.17*SUMIFS(الريسبي!$C$2:$C$1800,الريسبي!$A$2:$A$1800,$A76,الريسبي!$B$2:$B$1800,"كاسترد مصنع صيامي (بدون لبن)")</f>
        <v>0</v>
      </c>
      <c r="BR76" s="117" t="n">
        <f aca="false">SUMIFS(الريسبي!$C$2:$C$1800,الريسبي!$A$2:$A$1800,$A76,الريسبي!$B$2:$B$1800,BR$1)</f>
        <v>0</v>
      </c>
      <c r="BS76" s="117" t="n">
        <f aca="false">SUMIFS(الريسبي!$C$2:$C$1800,الريسبي!$A$2:$A$1800,$A76,الريسبي!$B$2:$B$1800,BS$1)</f>
        <v>0</v>
      </c>
      <c r="BT76" s="117" t="n">
        <f aca="false">SUMIFS(الريسبي!$C$2:$C$1800,الريسبي!$A$2:$A$1800,$A76,الريسبي!$B$2:$B$1800,BT$1)</f>
        <v>0</v>
      </c>
      <c r="BU76" s="117" t="n">
        <f aca="false">SUMIFS(الريسبي!$C$2:$C$1800,الريسبي!$A$2:$A$1800,$A76,الريسبي!$B$2:$B$1800,BU$1)+0.4*SUMIFS(الريسبي!$C$2:$C$1800,الريسبي!$A$2:$A$1800,$A76,الريسبي!$B$2:$B$1800,"كاسترد مصنع (خليط بودر + لبن)")+0.03333333333*SUMIFS(الريسبي!$C$2:$C$1800,الريسبي!$A$2:$A$1800,$A76,الريسبي!$B$2:$B$1800,"عجين كريب (مصنع بالمطعم)")</f>
        <v>0</v>
      </c>
      <c r="BV76" s="117" t="n">
        <f aca="false">SUMIFS(الريسبي!$C$2:$C$1800,الريسبي!$A$2:$A$1800,$A76,الريسبي!$B$2:$B$1800,BV$1)</f>
        <v>0</v>
      </c>
      <c r="BW76" s="117" t="n">
        <f aca="false">SUMIFS(الريسبي!$C$2:$C$1800,الريسبي!$A$2:$A$1800,$A76,الريسبي!$B$2:$B$1800,BW$1)</f>
        <v>0</v>
      </c>
      <c r="BX76" s="117" t="n">
        <f aca="false">SUMIFS(الريسبي!$C$2:$C$1800,الريسبي!$A$2:$A$1800,$A76,الريسبي!$B$2:$B$1800,BX$1)</f>
        <v>0</v>
      </c>
      <c r="BY76" s="117" t="n">
        <f aca="false">SUMIFS(الريسبي!$C$2:$C$1800,الريسبي!$A$2:$A$1800,$A76,الريسبي!$B$2:$B$1800,BY$1)</f>
        <v>0</v>
      </c>
      <c r="BZ76" s="117" t="n">
        <f aca="false">SUMIFS(الريسبي!$C$2:$C$1800,الريسبي!$A$2:$A$1800,$A76,الريسبي!$B$2:$B$1800,BZ$1)</f>
        <v>0</v>
      </c>
      <c r="CA76" s="117" t="n">
        <f aca="false">SUMIFS(الريسبي!$C$2:$C$1800,الريسبي!$A$2:$A$1800,$A76,الريسبي!$B$2:$B$1800,CA$1)</f>
        <v>0</v>
      </c>
      <c r="CB76" s="117" t="n">
        <f aca="false">SUMIFS(الريسبي!$C$2:$C$1800,الريسبي!$A$2:$A$1800,$A76,الريسبي!$B$2:$B$1800,CB$1)</f>
        <v>0</v>
      </c>
      <c r="CC76" s="117" t="n">
        <f aca="false">SUMIFS(الريسبي!$C$2:$C$1800,الريسبي!$A$2:$A$1800,$A76,الريسبي!$B$2:$B$1800,CC$1)</f>
        <v>0</v>
      </c>
      <c r="CD76" s="117" t="n">
        <f aca="false">SUMIFS(الريسبي!$C$2:$C$1800,الريسبي!$A$2:$A$1800,$A76,الريسبي!$B$2:$B$1800,CD$1)</f>
        <v>0</v>
      </c>
      <c r="CE76" s="117" t="n">
        <f aca="false">SUMIFS(الريسبي!$C$2:$C$1800,الريسبي!$A$2:$A$1800,$A76,الريسبي!$B$2:$B$1800,CE$1)</f>
        <v>0</v>
      </c>
      <c r="CF76" s="117" t="n">
        <f aca="false">SUMIFS(الريسبي!$C$2:$C$1800,الريسبي!$A$2:$A$1800,$A76,الريسبي!$B$2:$B$1800,CF$1)</f>
        <v>0</v>
      </c>
      <c r="CG76" s="117" t="n">
        <f aca="false">SUMIFS(الريسبي!$C$2:$C$1800,الريسبي!$A$2:$A$1800,$A76,الريسبي!$B$2:$B$1800,CG$1)</f>
        <v>0</v>
      </c>
      <c r="CH76" s="117" t="n">
        <f aca="false">SUMIFS(الريسبي!$C$2:$C$1800,الريسبي!$A$2:$A$1800,$A76,الريسبي!$B$2:$B$1800,CH$1)</f>
        <v>0</v>
      </c>
      <c r="CI76" s="117" t="n">
        <f aca="false">SUMIFS(الريسبي!$C$2:$C$1800,الريسبي!$A$2:$A$1800,$A76,الريسبي!$B$2:$B$1800,CI$1)</f>
        <v>0</v>
      </c>
      <c r="CJ76" s="117" t="n">
        <f aca="false">SUMIFS(الريسبي!$C$2:$C$1800,الريسبي!$A$2:$A$1800,$A76,الريسبي!$B$2:$B$1800,CJ$1)</f>
        <v>0</v>
      </c>
      <c r="CK76" s="117" t="n">
        <f aca="false">SUMIFS(الريسبي!$C$2:$C$1800,الريسبي!$A$2:$A$1800,$A76,الريسبي!$B$2:$B$1800,CK$1)</f>
        <v>0</v>
      </c>
      <c r="CL76" s="117" t="n">
        <f aca="false">SUMIFS(الريسبي!$C$2:$C$1800,الريسبي!$A$2:$A$1800,$A76,الريسبي!$B$2:$B$1800,CL$1)</f>
        <v>0</v>
      </c>
    </row>
    <row r="77" customFormat="false" ht="15" hidden="false" customHeight="false" outlineLevel="0" collapsed="false">
      <c r="A77" s="116" t="str">
        <f aca="false">المنيو!B77</f>
        <v>بيتزا مارجريتا صيامي وسط</v>
      </c>
      <c r="B77" s="117" t="n">
        <f aca="false">SUMIFS(الريسبي!$C$2:$C$1800,الريسبي!$A$2:$A$1800,$A77,الريسبي!$B$2:$B$1800,B$1)</f>
        <v>0</v>
      </c>
      <c r="C77" s="117" t="n">
        <f aca="false">SUMIFS(الريسبي!$C$2:$C$1800,الريسبي!$A$2:$A$1800,$A77,الريسبي!$B$2:$B$1800,C$1)</f>
        <v>0</v>
      </c>
      <c r="D77" s="117" t="n">
        <f aca="false">SUMIFS(الريسبي!$C$2:$C$1800,الريسبي!$A$2:$A$1800,$A77,الريسبي!$B$2:$B$1800,D$1)</f>
        <v>1</v>
      </c>
      <c r="E77" s="117" t="n">
        <f aca="false">SUMIFS(الريسبي!$C$2:$C$1800,الريسبي!$A$2:$A$1800,$A77,الريسبي!$B$2:$B$1800,E$1)</f>
        <v>0</v>
      </c>
      <c r="F77" s="117" t="n">
        <f aca="false">SUMIFS(الريسبي!$C$2:$C$1800,الريسبي!$A$2:$A$1800,$A77,الريسبي!$B$2:$B$1800,F$1)</f>
        <v>0</v>
      </c>
      <c r="G77" s="117" t="n">
        <f aca="false">SUMIFS(الريسبي!$C$2:$C$1800,الريسبي!$A$2:$A$1800,$A77,الريسبي!$B$2:$B$1800,G$1)</f>
        <v>0</v>
      </c>
      <c r="H77" s="117" t="n">
        <f aca="false">SUMIFS(الريسبي!$C$2:$C$1800,الريسبي!$A$2:$A$1800,$A77,الريسبي!$B$2:$B$1800,H$1)</f>
        <v>0</v>
      </c>
      <c r="I77" s="117" t="n">
        <f aca="false">SUMIFS(الريسبي!$C$2:$C$1800,الريسبي!$A$2:$A$1800,$A77,الريسبي!$B$2:$B$1800,I$1)</f>
        <v>0</v>
      </c>
      <c r="J77" s="117" t="n">
        <f aca="false">SUMIFS(الريسبي!$C$2:$C$1800,الريسبي!$A$2:$A$1800,$A77,الريسبي!$B$2:$B$1800,J$1)</f>
        <v>0</v>
      </c>
      <c r="K77" s="117" t="n">
        <f aca="false">SUMIFS(الريسبي!$C$2:$C$1800,الريسبي!$A$2:$A$1800,$A77,الريسبي!$B$2:$B$1800,K$1)</f>
        <v>0</v>
      </c>
      <c r="L77" s="117" t="n">
        <f aca="false">SUMIFS(الريسبي!$C$2:$C$1800,الريسبي!$A$2:$A$1800,$A77,الريسبي!$B$2:$B$1800,L$1)</f>
        <v>0</v>
      </c>
      <c r="M77" s="117" t="n">
        <f aca="false">SUMIFS(الريسبي!$C$2:$C$1800,الريسبي!$A$2:$A$1800,$A77,الريسبي!$B$2:$B$1800,M$1)</f>
        <v>0</v>
      </c>
      <c r="N77" s="117" t="n">
        <f aca="false">SUMIFS(الريسبي!$C$2:$C$1800,الريسبي!$A$2:$A$1800,$A77,الريسبي!$B$2:$B$1800,N$1)</f>
        <v>0</v>
      </c>
      <c r="O77" s="117" t="n">
        <f aca="false">SUMIFS(الريسبي!$C$2:$C$1800,الريسبي!$A$2:$A$1800,$A77,الريسبي!$B$2:$B$1800,O$1)</f>
        <v>0</v>
      </c>
      <c r="P77" s="117" t="n">
        <f aca="false">SUMIFS(الريسبي!$C$2:$C$1800,الريسبي!$A$2:$A$1800,$A77,الريسبي!$B$2:$B$1800,P$1)</f>
        <v>0</v>
      </c>
      <c r="Q77" s="117" t="n">
        <f aca="false">SUMIFS(الريسبي!$C$2:$C$1800,الريسبي!$A$2:$A$1800,$A77,الريسبي!$B$2:$B$1800,Q$1)</f>
        <v>0</v>
      </c>
      <c r="R77" s="117" t="n">
        <f aca="false">SUMIFS(الريسبي!$C$2:$C$1800,الريسبي!$A$2:$A$1800,$A77,الريسبي!$B$2:$B$1800,R$1)</f>
        <v>0</v>
      </c>
      <c r="S77" s="117" t="n">
        <f aca="false">SUMIFS(الريسبي!$C$2:$C$1800,الريسبي!$A$2:$A$1800,$A77,الريسبي!$B$2:$B$1800,S$1)</f>
        <v>0</v>
      </c>
      <c r="T77" s="117" t="n">
        <f aca="false">SUMIFS(الريسبي!$C$2:$C$1800,الريسبي!$A$2:$A$1800,$A77,الريسبي!$B$2:$B$1800,T$1)</f>
        <v>0</v>
      </c>
      <c r="U77" s="117" t="n">
        <f aca="false">SUMIFS(الريسبي!$C$2:$C$1800,الريسبي!$A$2:$A$1800,$A77,الريسبي!$B$2:$B$1800,U$1)</f>
        <v>0</v>
      </c>
      <c r="V77" s="117" t="n">
        <f aca="false">SUMIFS(الريسبي!$C$2:$C$1800,الريسبي!$A$2:$A$1800,$A77,الريسبي!$B$2:$B$1800,V$1)+1.5*(SUMIFS(الريسبي!$C$2:$C$1800,الريسبي!$A$2:$A$1800,$A77,الريسبي!$B$2:$B$1800,"برسيون موتزريلا بيتزا كبير"))</f>
        <v>0</v>
      </c>
      <c r="W77" s="117" t="n">
        <f aca="false">0</f>
        <v>0</v>
      </c>
      <c r="X77" s="117" t="n">
        <f aca="false">SUMIFS(الريسبي!$C$2:$C$1800,الريسبي!$A$2:$A$1800,$A77,الريسبي!$B$2:$B$1800,X$1)+1.5*(SUMIFS(الريسبي!$C$2:$C$1800,الريسبي!$A$2:$A$1800,$A77,الريسبي!$B$2:$B$1800,"برسيون موتزريلا فطير كبير"))</f>
        <v>1</v>
      </c>
      <c r="Y77" s="117" t="n">
        <f aca="false">0</f>
        <v>0</v>
      </c>
      <c r="Z77" s="117" t="n">
        <f aca="false">SUMIFS(الريسبي!$C$2:$C$1800,الريسبي!$A$2:$A$1800,$A77,الريسبي!$B$2:$B$1800,Z$1)</f>
        <v>0</v>
      </c>
      <c r="AA77" s="117" t="n">
        <f aca="false">SUMIFS(الريسبي!$C$2:$C$1800,الريسبي!$A$2:$A$1800,$A77,الريسبي!$B$2:$B$1800,AA$1)</f>
        <v>0</v>
      </c>
      <c r="AB77" s="117" t="n">
        <f aca="false">SUMIFS(الريسبي!$C$2:$C$1800,الريسبي!$A$2:$A$1800,$A77,الريسبي!$B$2:$B$1800,AB$1)</f>
        <v>0</v>
      </c>
      <c r="AC77" s="117" t="n">
        <f aca="false">SUMIFS(الريسبي!$C$2:$C$1800,الريسبي!$A$2:$A$1800,$A77,الريسبي!$B$2:$B$1800,AC$1)</f>
        <v>0</v>
      </c>
      <c r="AD77" s="117" t="n">
        <f aca="false">SUMIFS(الريسبي!$C$2:$C$1800,الريسبي!$A$2:$A$1800,$A77,الريسبي!$B$2:$B$1800,AD$1)</f>
        <v>0</v>
      </c>
      <c r="AE77" s="117" t="n">
        <f aca="false">SUMIFS(الريسبي!$C$2:$C$1800,الريسبي!$A$2:$A$1800,$A77,الريسبي!$B$2:$B$1800,AE$1)</f>
        <v>0</v>
      </c>
      <c r="AF77" s="117" t="n">
        <f aca="false">SUMIFS(الريسبي!$C$2:$C$1800,الريسبي!$A$2:$A$1800,$A77,الريسبي!$B$2:$B$1800,AF$1)</f>
        <v>0</v>
      </c>
      <c r="AG77" s="117" t="n">
        <f aca="false">SUMIFS(الريسبي!$C$2:$C$1800,الريسبي!$A$2:$A$1800,$A77,الريسبي!$B$2:$B$1800,AG$1)</f>
        <v>0</v>
      </c>
      <c r="AH77" s="117" t="n">
        <f aca="false">SUMIFS(الريسبي!$C$2:$C$1800,الريسبي!$A$2:$A$1800,$A77,الريسبي!$B$2:$B$1800,AH$1)</f>
        <v>0</v>
      </c>
      <c r="AI77" s="117" t="n">
        <f aca="false">SUMIFS(الريسبي!$C$2:$C$1800,الريسبي!$A$2:$A$1800,$A77,الريسبي!$B$2:$B$1800,AI$1)</f>
        <v>0</v>
      </c>
      <c r="AJ77" s="117" t="n">
        <f aca="false">SUMIFS(الريسبي!$C$2:$C$1800,الريسبي!$A$2:$A$1800,$A77,الريسبي!$B$2:$B$1800,AJ$1)</f>
        <v>2</v>
      </c>
      <c r="AK77" s="117" t="n">
        <f aca="false">SUMIFS(الريسبي!$C$2:$C$1800,الريسبي!$A$2:$A$1800,$A77,الريسبي!$B$2:$B$1800,AK$1)</f>
        <v>0</v>
      </c>
      <c r="AL77" s="117" t="n">
        <f aca="false">SUMIFS(الريسبي!$C$2:$C$1800,الريسبي!$A$2:$A$1800,$A77,الريسبي!$B$2:$B$1800,AL$1)</f>
        <v>0</v>
      </c>
      <c r="AM77" s="117" t="n">
        <f aca="false">SUMIFS(الريسبي!$C$2:$C$1800,الريسبي!$A$2:$A$1800,$A77,الريسبي!$B$2:$B$1800,AM$1)+0.08333333333*SUMIFS(الريسبي!$C$2:$C$1800,الريسبي!$A$2:$A$1800,$A77,الريسبي!$B$2:$B$1800,"عجين كريب (مصنع بالمطعم)")+0.08333333333*SUMIFS(الريسبي!$C$2:$C$1800,الريسبي!$A$2:$A$1800,$A77,الريسبي!$B$2:$B$1800,"عجين كريب صيامي (بدون لبن)")</f>
        <v>0</v>
      </c>
      <c r="AN77" s="117" t="n">
        <f aca="false">SUMIFS(الريسبي!$C$2:$C$1800,الريسبي!$A$2:$A$1800,$A77,الريسبي!$B$2:$B$1800,AN$1)+0.004166666667*SUMIFS(الريسبي!$C$2:$C$1800,الريسبي!$A$2:$A$1800,$A77,الريسبي!$B$2:$B$1800,"عجين كريب (مصنع بالمطعم)")+0.004166666667*SUMIFS(الريسبي!$C$2:$C$1800,الريسبي!$A$2:$A$1800,$A77,الريسبي!$B$2:$B$1800,"عجين كريب صيامي (بدون لبن)")</f>
        <v>0</v>
      </c>
      <c r="AO77" s="117" t="n">
        <f aca="false">SUMIFS(الريسبي!$C$2:$C$1800,الريسبي!$A$2:$A$1800,$A77,الريسبي!$B$2:$B$1800,AO$1)</f>
        <v>0</v>
      </c>
      <c r="AP77" s="117" t="n">
        <f aca="false">SUMIFS(الريسبي!$C$2:$C$1800,الريسبي!$A$2:$A$1800,$A77,الريسبي!$B$2:$B$1800,AP$1)</f>
        <v>0.02</v>
      </c>
      <c r="AQ77" s="117" t="n">
        <f aca="false">SUMIFS(الريسبي!$C$2:$C$1800,الريسبي!$A$2:$A$1800,$A77,الريسبي!$B$2:$B$1800,AQ$1)+0.004166666667*SUMIFS(الريسبي!$C$2:$C$1800,الريسبي!$A$2:$A$1800,$A77,الريسبي!$B$2:$B$1800,"عجين كريب (مصنع بالمطعم)")+0.004166666667*SUMIFS(الريسبي!$C$2:$C$1800,الريسبي!$A$2:$A$1800,$A77,الريسبي!$B$2:$B$1800,"عجين كريب صيامي (بدون لبن)")</f>
        <v>0</v>
      </c>
      <c r="AR77" s="117" t="n">
        <f aca="false">SUMIFS(الريسبي!$C$2:$C$1800,الريسبي!$A$2:$A$1800,$A77,الريسبي!$B$2:$B$1800,AR$1)</f>
        <v>0</v>
      </c>
      <c r="AS77" s="117" t="n">
        <f aca="false">SUMIFS(الريسبي!$C$2:$C$1800,الريسبي!$A$2:$A$1800,$A77,الريسبي!$B$2:$B$1800,AS$1)</f>
        <v>0</v>
      </c>
      <c r="AT77" s="117" t="n">
        <f aca="false">SUMIFS(الريسبي!$C$2:$C$1800,الريسبي!$A$2:$A$1800,$A77,الريسبي!$B$2:$B$1800,AT$1)</f>
        <v>0</v>
      </c>
      <c r="AU77" s="117" t="n">
        <f aca="false">SUMIFS(الريسبي!$C$2:$C$1800,الريسبي!$A$2:$A$1800,$A77,الريسبي!$B$2:$B$1800,AU$1)</f>
        <v>0</v>
      </c>
      <c r="AV77" s="117" t="n">
        <f aca="false">SUMIFS(الريسبي!$C$2:$C$1800,الريسبي!$A$2:$A$1800,$A77,الريسبي!$B$2:$B$1800,AV$1)</f>
        <v>0</v>
      </c>
      <c r="AW77" s="117" t="n">
        <f aca="false">SUMIFS(الريسبي!$C$2:$C$1800,الريسبي!$A$2:$A$1800,$A77,الريسبي!$B$2:$B$1800,AW$1)</f>
        <v>0</v>
      </c>
      <c r="AX77" s="117" t="n">
        <f aca="false">SUMIFS(الريسبي!$C$2:$C$1800,الريسبي!$A$2:$A$1800,$A77,الريسبي!$B$2:$B$1800,AX$1)</f>
        <v>0.04</v>
      </c>
      <c r="AY77" s="117" t="n">
        <f aca="false">SUMIFS(الريسبي!$C$2:$C$1800,الريسبي!$A$2:$A$1800,$A77,الريسبي!$B$2:$B$1800,AY$1)</f>
        <v>0</v>
      </c>
      <c r="AZ77" s="117" t="n">
        <f aca="false">SUMIFS(الريسبي!$C$2:$C$1800,الريسبي!$A$2:$A$1800,$A77,الريسبي!$B$2:$B$1800,AZ$1)</f>
        <v>0</v>
      </c>
      <c r="BA77" s="117" t="n">
        <f aca="false">SUMIFS(الريسبي!$C$2:$C$1800,الريسبي!$A$2:$A$1800,$A77,الريسبي!$B$2:$B$1800,BA$1)</f>
        <v>0</v>
      </c>
      <c r="BB77" s="117" t="n">
        <f aca="false">SUMIFS(الريسبي!$C$2:$C$1800,الريسبي!$A$2:$A$1800,$A77,الريسبي!$B$2:$B$1800,BB$1)</f>
        <v>0</v>
      </c>
      <c r="BC77" s="117" t="n">
        <f aca="false">SUMIFS(الريسبي!$C$2:$C$1800,الريسبي!$A$2:$A$1800,$A77,الريسبي!$B$2:$B$1800,BC$1)</f>
        <v>0.03</v>
      </c>
      <c r="BD77" s="117" t="n">
        <f aca="false">SUMIFS(الريسبي!$C$2:$C$1800,الريسبي!$A$2:$A$1800,$A77,الريسبي!$B$2:$B$1800,BD$1)</f>
        <v>0.22</v>
      </c>
      <c r="BE77" s="117" t="n">
        <f aca="false">SUMIFS(الريسبي!$C$2:$C$1800,الريسبي!$A$2:$A$1800,$A77,الريسبي!$B$2:$B$1800,BE$1)</f>
        <v>0</v>
      </c>
      <c r="BF77" s="117" t="n">
        <f aca="false">SUMIFS(الريسبي!$C$2:$C$1800,الريسبي!$A$2:$A$1800,$A77,الريسبي!$B$2:$B$1800,BF$1)</f>
        <v>0</v>
      </c>
      <c r="BG77" s="117" t="n">
        <f aca="false">SUMIFS(الريسبي!$C$2:$C$1800,الريسبي!$A$2:$A$1800,$A77,الريسبي!$B$2:$B$1800,BG$1)</f>
        <v>0</v>
      </c>
      <c r="BH77" s="117" t="n">
        <f aca="false">SUMIFS(الريسبي!$C$2:$C$1800,الريسبي!$A$2:$A$1800,$A77,الريسبي!$B$2:$B$1800,BH$1)</f>
        <v>1</v>
      </c>
      <c r="BI77" s="117" t="n">
        <f aca="false">SUMIFS(الريسبي!$C$2:$C$1800,الريسبي!$A$2:$A$1800,$A77,الريسبي!$B$2:$B$1800,BI$1)</f>
        <v>0</v>
      </c>
      <c r="BJ77" s="117" t="n">
        <f aca="false">SUMIFS(الريسبي!$C$2:$C$1800,الريسبي!$A$2:$A$1800,$A77,الريسبي!$B$2:$B$1800,BJ$1)</f>
        <v>0</v>
      </c>
      <c r="BK77" s="117" t="n">
        <f aca="false">SUMIFS(الريسبي!$C$2:$C$1800,الريسبي!$A$2:$A$1800,$A77,الريسبي!$B$2:$B$1800,BK$1)</f>
        <v>0</v>
      </c>
      <c r="BL77" s="117" t="n">
        <f aca="false">SUMIFS(الريسبي!$C$2:$C$1800,الريسبي!$A$2:$A$1800,$A77,الريسبي!$B$2:$B$1800,BL$1)</f>
        <v>0</v>
      </c>
      <c r="BM77" s="117" t="n">
        <f aca="false">SUMIFS(الريسبي!$C$2:$C$1800,الريسبي!$A$2:$A$1800,$A77,الريسبي!$B$2:$B$1800,BM$1)</f>
        <v>0</v>
      </c>
      <c r="BN77" s="117" t="n">
        <f aca="false">SUMIFS(الريسبي!$C$2:$C$1800,الريسبي!$A$2:$A$1800,$A77,الريسبي!$B$2:$B$1800,BN$1)</f>
        <v>0.02</v>
      </c>
      <c r="BO77" s="117" t="n">
        <f aca="false">SUMIFS(الريسبي!$C$2:$C$1800,الريسبي!$A$2:$A$1800,$A77,الريسبي!$B$2:$B$1800,BO$1)</f>
        <v>0</v>
      </c>
      <c r="BP77" s="117" t="n">
        <f aca="false">SUMIFS(الريسبي!$C$2:$C$1800,الريسبي!$A$2:$A$1800,$A77,الريسبي!$B$2:$B$1800,BP$1)</f>
        <v>2</v>
      </c>
      <c r="BQ77" s="117" t="n">
        <f aca="false">SUMIFS(الريسبي!$C$2:$C$1800,الريسبي!$A$2:$A$1800,$A77,الريسبي!$B$2:$B$1800,BQ$1)+0.17*SUMIFS(الريسبي!$C$2:$C$1800,الريسبي!$A$2:$A$1800,$A77,الريسبي!$B$2:$B$1800,"كاسترد مصنع (خليط بودر + لبن)")+0.17*SUMIFS(الريسبي!$C$2:$C$1800,الريسبي!$A$2:$A$1800,$A77,الريسبي!$B$2:$B$1800,"كاسترد مصنع صيامي (بدون لبن)")</f>
        <v>0</v>
      </c>
      <c r="BR77" s="117" t="n">
        <f aca="false">SUMIFS(الريسبي!$C$2:$C$1800,الريسبي!$A$2:$A$1800,$A77,الريسبي!$B$2:$B$1800,BR$1)</f>
        <v>1</v>
      </c>
      <c r="BS77" s="117" t="n">
        <f aca="false">SUMIFS(الريسبي!$C$2:$C$1800,الريسبي!$A$2:$A$1800,$A77,الريسبي!$B$2:$B$1800,BS$1)</f>
        <v>0</v>
      </c>
      <c r="BT77" s="117" t="n">
        <f aca="false">SUMIFS(الريسبي!$C$2:$C$1800,الريسبي!$A$2:$A$1800,$A77,الريسبي!$B$2:$B$1800,BT$1)</f>
        <v>0</v>
      </c>
      <c r="BU77" s="117" t="n">
        <f aca="false">SUMIFS(الريسبي!$C$2:$C$1800,الريسبي!$A$2:$A$1800,$A77,الريسبي!$B$2:$B$1800,BU$1)+0.4*SUMIFS(الريسبي!$C$2:$C$1800,الريسبي!$A$2:$A$1800,$A77,الريسبي!$B$2:$B$1800,"كاسترد مصنع (خليط بودر + لبن)")+0.03333333333*SUMIFS(الريسبي!$C$2:$C$1800,الريسبي!$A$2:$A$1800,$A77,الريسبي!$B$2:$B$1800,"عجين كريب (مصنع بالمطعم)")</f>
        <v>0</v>
      </c>
      <c r="BV77" s="117" t="n">
        <f aca="false">SUMIFS(الريسبي!$C$2:$C$1800,الريسبي!$A$2:$A$1800,$A77,الريسبي!$B$2:$B$1800,BV$1)</f>
        <v>0</v>
      </c>
      <c r="BW77" s="117" t="n">
        <f aca="false">SUMIFS(الريسبي!$C$2:$C$1800,الريسبي!$A$2:$A$1800,$A77,الريسبي!$B$2:$B$1800,BW$1)</f>
        <v>0</v>
      </c>
      <c r="BX77" s="117" t="n">
        <f aca="false">SUMIFS(الريسبي!$C$2:$C$1800,الريسبي!$A$2:$A$1800,$A77,الريسبي!$B$2:$B$1800,BX$1)</f>
        <v>0</v>
      </c>
      <c r="BY77" s="117" t="n">
        <f aca="false">SUMIFS(الريسبي!$C$2:$C$1800,الريسبي!$A$2:$A$1800,$A77,الريسبي!$B$2:$B$1800,BY$1)</f>
        <v>0</v>
      </c>
      <c r="BZ77" s="117" t="n">
        <f aca="false">SUMIFS(الريسبي!$C$2:$C$1800,الريسبي!$A$2:$A$1800,$A77,الريسبي!$B$2:$B$1800,BZ$1)</f>
        <v>0</v>
      </c>
      <c r="CA77" s="117" t="n">
        <f aca="false">SUMIFS(الريسبي!$C$2:$C$1800,الريسبي!$A$2:$A$1800,$A77,الريسبي!$B$2:$B$1800,CA$1)</f>
        <v>1</v>
      </c>
      <c r="CB77" s="117" t="n">
        <f aca="false">SUMIFS(الريسبي!$C$2:$C$1800,الريسبي!$A$2:$A$1800,$A77,الريسبي!$B$2:$B$1800,CB$1)</f>
        <v>1</v>
      </c>
      <c r="CC77" s="117" t="n">
        <f aca="false">SUMIFS(الريسبي!$C$2:$C$1800,الريسبي!$A$2:$A$1800,$A77,الريسبي!$B$2:$B$1800,CC$1)</f>
        <v>0</v>
      </c>
      <c r="CD77" s="117" t="n">
        <f aca="false">SUMIFS(الريسبي!$C$2:$C$1800,الريسبي!$A$2:$A$1800,$A77,الريسبي!$B$2:$B$1800,CD$1)</f>
        <v>0</v>
      </c>
      <c r="CE77" s="117" t="n">
        <f aca="false">SUMIFS(الريسبي!$C$2:$C$1800,الريسبي!$A$2:$A$1800,$A77,الريسبي!$B$2:$B$1800,CE$1)</f>
        <v>0</v>
      </c>
      <c r="CF77" s="117" t="n">
        <f aca="false">SUMIFS(الريسبي!$C$2:$C$1800,الريسبي!$A$2:$A$1800,$A77,الريسبي!$B$2:$B$1800,CF$1)</f>
        <v>0</v>
      </c>
      <c r="CG77" s="117" t="n">
        <f aca="false">SUMIFS(الريسبي!$C$2:$C$1800,الريسبي!$A$2:$A$1800,$A77,الريسبي!$B$2:$B$1800,CG$1)</f>
        <v>0</v>
      </c>
      <c r="CH77" s="117" t="n">
        <f aca="false">SUMIFS(الريسبي!$C$2:$C$1800,الريسبي!$A$2:$A$1800,$A77,الريسبي!$B$2:$B$1800,CH$1)</f>
        <v>0</v>
      </c>
      <c r="CI77" s="117" t="n">
        <f aca="false">SUMIFS(الريسبي!$C$2:$C$1800,الريسبي!$A$2:$A$1800,$A77,الريسبي!$B$2:$B$1800,CI$1)</f>
        <v>0</v>
      </c>
      <c r="CJ77" s="117" t="n">
        <f aca="false">SUMIFS(الريسبي!$C$2:$C$1800,الريسبي!$A$2:$A$1800,$A77,الريسبي!$B$2:$B$1800,CJ$1)</f>
        <v>0</v>
      </c>
      <c r="CK77" s="117" t="n">
        <f aca="false">SUMIFS(الريسبي!$C$2:$C$1800,الريسبي!$A$2:$A$1800,$A77,الريسبي!$B$2:$B$1800,CK$1)</f>
        <v>0</v>
      </c>
      <c r="CL77" s="117" t="n">
        <f aca="false">SUMIFS(الريسبي!$C$2:$C$1800,الريسبي!$A$2:$A$1800,$A77,الريسبي!$B$2:$B$1800,CL$1)</f>
        <v>0</v>
      </c>
    </row>
    <row r="78" customFormat="false" ht="15" hidden="false" customHeight="false" outlineLevel="0" collapsed="false">
      <c r="A78" s="116" t="str">
        <f aca="false">المنيو!B78</f>
        <v>بيتزا مارجريتا صيامي مخصوص</v>
      </c>
      <c r="B78" s="117" t="n">
        <f aca="false">SUMIFS(الريسبي!$C$2:$C$1800,الريسبي!$A$2:$A$1800,$A78,الريسبي!$B$2:$B$1800,B$1)</f>
        <v>0</v>
      </c>
      <c r="C78" s="117" t="n">
        <f aca="false">SUMIFS(الريسبي!$C$2:$C$1800,الريسبي!$A$2:$A$1800,$A78,الريسبي!$B$2:$B$1800,C$1)</f>
        <v>0</v>
      </c>
      <c r="D78" s="117" t="n">
        <f aca="false">SUMIFS(الريسبي!$C$2:$C$1800,الريسبي!$A$2:$A$1800,$A78,الريسبي!$B$2:$B$1800,D$1)</f>
        <v>1</v>
      </c>
      <c r="E78" s="117" t="n">
        <f aca="false">SUMIFS(الريسبي!$C$2:$C$1800,الريسبي!$A$2:$A$1800,$A78,الريسبي!$B$2:$B$1800,E$1)</f>
        <v>0</v>
      </c>
      <c r="F78" s="117" t="n">
        <f aca="false">SUMIFS(الريسبي!$C$2:$C$1800,الريسبي!$A$2:$A$1800,$A78,الريسبي!$B$2:$B$1800,F$1)</f>
        <v>0</v>
      </c>
      <c r="G78" s="117" t="n">
        <f aca="false">SUMIFS(الريسبي!$C$2:$C$1800,الريسبي!$A$2:$A$1800,$A78,الريسبي!$B$2:$B$1800,G$1)</f>
        <v>0</v>
      </c>
      <c r="H78" s="117" t="n">
        <f aca="false">SUMIFS(الريسبي!$C$2:$C$1800,الريسبي!$A$2:$A$1800,$A78,الريسبي!$B$2:$B$1800,H$1)</f>
        <v>0</v>
      </c>
      <c r="I78" s="117" t="n">
        <f aca="false">SUMIFS(الريسبي!$C$2:$C$1800,الريسبي!$A$2:$A$1800,$A78,الريسبي!$B$2:$B$1800,I$1)</f>
        <v>0</v>
      </c>
      <c r="J78" s="117" t="n">
        <f aca="false">SUMIFS(الريسبي!$C$2:$C$1800,الريسبي!$A$2:$A$1800,$A78,الريسبي!$B$2:$B$1800,J$1)</f>
        <v>0</v>
      </c>
      <c r="K78" s="117" t="n">
        <f aca="false">SUMIFS(الريسبي!$C$2:$C$1800,الريسبي!$A$2:$A$1800,$A78,الريسبي!$B$2:$B$1800,K$1)</f>
        <v>0</v>
      </c>
      <c r="L78" s="117" t="n">
        <f aca="false">SUMIFS(الريسبي!$C$2:$C$1800,الريسبي!$A$2:$A$1800,$A78,الريسبي!$B$2:$B$1800,L$1)</f>
        <v>0</v>
      </c>
      <c r="M78" s="117" t="n">
        <f aca="false">SUMIFS(الريسبي!$C$2:$C$1800,الريسبي!$A$2:$A$1800,$A78,الريسبي!$B$2:$B$1800,M$1)</f>
        <v>0</v>
      </c>
      <c r="N78" s="117" t="n">
        <f aca="false">SUMIFS(الريسبي!$C$2:$C$1800,الريسبي!$A$2:$A$1800,$A78,الريسبي!$B$2:$B$1800,N$1)</f>
        <v>0</v>
      </c>
      <c r="O78" s="117" t="n">
        <f aca="false">SUMIFS(الريسبي!$C$2:$C$1800,الريسبي!$A$2:$A$1800,$A78,الريسبي!$B$2:$B$1800,O$1)</f>
        <v>0</v>
      </c>
      <c r="P78" s="117" t="n">
        <f aca="false">SUMIFS(الريسبي!$C$2:$C$1800,الريسبي!$A$2:$A$1800,$A78,الريسبي!$B$2:$B$1800,P$1)</f>
        <v>0</v>
      </c>
      <c r="Q78" s="117" t="n">
        <f aca="false">SUMIFS(الريسبي!$C$2:$C$1800,الريسبي!$A$2:$A$1800,$A78,الريسبي!$B$2:$B$1800,Q$1)</f>
        <v>0</v>
      </c>
      <c r="R78" s="117" t="n">
        <f aca="false">SUMIFS(الريسبي!$C$2:$C$1800,الريسبي!$A$2:$A$1800,$A78,الريسبي!$B$2:$B$1800,R$1)</f>
        <v>0</v>
      </c>
      <c r="S78" s="117" t="n">
        <f aca="false">SUMIFS(الريسبي!$C$2:$C$1800,الريسبي!$A$2:$A$1800,$A78,الريسبي!$B$2:$B$1800,S$1)</f>
        <v>0</v>
      </c>
      <c r="T78" s="117" t="n">
        <f aca="false">SUMIFS(الريسبي!$C$2:$C$1800,الريسبي!$A$2:$A$1800,$A78,الريسبي!$B$2:$B$1800,T$1)</f>
        <v>0</v>
      </c>
      <c r="U78" s="117" t="n">
        <f aca="false">SUMIFS(الريسبي!$C$2:$C$1800,الريسبي!$A$2:$A$1800,$A78,الريسبي!$B$2:$B$1800,U$1)</f>
        <v>0</v>
      </c>
      <c r="V78" s="117" t="n">
        <f aca="false">SUMIFS(الريسبي!$C$2:$C$1800,الريسبي!$A$2:$A$1800,$A78,الريسبي!$B$2:$B$1800,V$1)+1.5*(SUMIFS(الريسبي!$C$2:$C$1800,الريسبي!$A$2:$A$1800,$A78,الريسبي!$B$2:$B$1800,"برسيون موتزريلا بيتزا كبير"))</f>
        <v>0</v>
      </c>
      <c r="W78" s="117" t="n">
        <f aca="false">0</f>
        <v>0</v>
      </c>
      <c r="X78" s="117" t="n">
        <f aca="false">SUMIFS(الريسبي!$C$2:$C$1800,الريسبي!$A$2:$A$1800,$A78,الريسبي!$B$2:$B$1800,X$1)+1.5*(SUMIFS(الريسبي!$C$2:$C$1800,الريسبي!$A$2:$A$1800,$A78,الريسبي!$B$2:$B$1800,"برسيون موتزريلا فطير كبير"))</f>
        <v>1.5</v>
      </c>
      <c r="Y78" s="117" t="n">
        <f aca="false">0</f>
        <v>0</v>
      </c>
      <c r="Z78" s="117" t="n">
        <f aca="false">SUMIFS(الريسبي!$C$2:$C$1800,الريسبي!$A$2:$A$1800,$A78,الريسبي!$B$2:$B$1800,Z$1)</f>
        <v>0</v>
      </c>
      <c r="AA78" s="117" t="n">
        <f aca="false">SUMIFS(الريسبي!$C$2:$C$1800,الريسبي!$A$2:$A$1800,$A78,الريسبي!$B$2:$B$1800,AA$1)</f>
        <v>0</v>
      </c>
      <c r="AB78" s="117" t="n">
        <f aca="false">SUMIFS(الريسبي!$C$2:$C$1800,الريسبي!$A$2:$A$1800,$A78,الريسبي!$B$2:$B$1800,AB$1)</f>
        <v>0</v>
      </c>
      <c r="AC78" s="117" t="n">
        <f aca="false">SUMIFS(الريسبي!$C$2:$C$1800,الريسبي!$A$2:$A$1800,$A78,الريسبي!$B$2:$B$1800,AC$1)</f>
        <v>0</v>
      </c>
      <c r="AD78" s="117" t="n">
        <f aca="false">SUMIFS(الريسبي!$C$2:$C$1800,الريسبي!$A$2:$A$1800,$A78,الريسبي!$B$2:$B$1800,AD$1)</f>
        <v>0</v>
      </c>
      <c r="AE78" s="117" t="n">
        <f aca="false">SUMIFS(الريسبي!$C$2:$C$1800,الريسبي!$A$2:$A$1800,$A78,الريسبي!$B$2:$B$1800,AE$1)</f>
        <v>0</v>
      </c>
      <c r="AF78" s="117" t="n">
        <f aca="false">SUMIFS(الريسبي!$C$2:$C$1800,الريسبي!$A$2:$A$1800,$A78,الريسبي!$B$2:$B$1800,AF$1)</f>
        <v>0</v>
      </c>
      <c r="AG78" s="117" t="n">
        <f aca="false">SUMIFS(الريسبي!$C$2:$C$1800,الريسبي!$A$2:$A$1800,$A78,الريسبي!$B$2:$B$1800,AG$1)</f>
        <v>0</v>
      </c>
      <c r="AH78" s="117" t="n">
        <f aca="false">SUMIFS(الريسبي!$C$2:$C$1800,الريسبي!$A$2:$A$1800,$A78,الريسبي!$B$2:$B$1800,AH$1)</f>
        <v>0</v>
      </c>
      <c r="AI78" s="117" t="n">
        <f aca="false">SUMIFS(الريسبي!$C$2:$C$1800,الريسبي!$A$2:$A$1800,$A78,الريسبي!$B$2:$B$1800,AI$1)</f>
        <v>0</v>
      </c>
      <c r="AJ78" s="117" t="n">
        <f aca="false">SUMIFS(الريسبي!$C$2:$C$1800,الريسبي!$A$2:$A$1800,$A78,الريسبي!$B$2:$B$1800,AJ$1)</f>
        <v>2</v>
      </c>
      <c r="AK78" s="117" t="n">
        <f aca="false">SUMIFS(الريسبي!$C$2:$C$1800,الريسبي!$A$2:$A$1800,$A78,الريسبي!$B$2:$B$1800,AK$1)</f>
        <v>0</v>
      </c>
      <c r="AL78" s="117" t="n">
        <f aca="false">SUMIFS(الريسبي!$C$2:$C$1800,الريسبي!$A$2:$A$1800,$A78,الريسبي!$B$2:$B$1800,AL$1)</f>
        <v>0</v>
      </c>
      <c r="AM78" s="117" t="n">
        <f aca="false">SUMIFS(الريسبي!$C$2:$C$1800,الريسبي!$A$2:$A$1800,$A78,الريسبي!$B$2:$B$1800,AM$1)+0.08333333333*SUMIFS(الريسبي!$C$2:$C$1800,الريسبي!$A$2:$A$1800,$A78,الريسبي!$B$2:$B$1800,"عجين كريب (مصنع بالمطعم)")+0.08333333333*SUMIFS(الريسبي!$C$2:$C$1800,الريسبي!$A$2:$A$1800,$A78,الريسبي!$B$2:$B$1800,"عجين كريب صيامي (بدون لبن)")</f>
        <v>0</v>
      </c>
      <c r="AN78" s="117" t="n">
        <f aca="false">SUMIFS(الريسبي!$C$2:$C$1800,الريسبي!$A$2:$A$1800,$A78,الريسبي!$B$2:$B$1800,AN$1)+0.004166666667*SUMIFS(الريسبي!$C$2:$C$1800,الريسبي!$A$2:$A$1800,$A78,الريسبي!$B$2:$B$1800,"عجين كريب (مصنع بالمطعم)")+0.004166666667*SUMIFS(الريسبي!$C$2:$C$1800,الريسبي!$A$2:$A$1800,$A78,الريسبي!$B$2:$B$1800,"عجين كريب صيامي (بدون لبن)")</f>
        <v>0</v>
      </c>
      <c r="AO78" s="117" t="n">
        <f aca="false">SUMIFS(الريسبي!$C$2:$C$1800,الريسبي!$A$2:$A$1800,$A78,الريسبي!$B$2:$B$1800,AO$1)</f>
        <v>0</v>
      </c>
      <c r="AP78" s="117" t="n">
        <f aca="false">SUMIFS(الريسبي!$C$2:$C$1800,الريسبي!$A$2:$A$1800,$A78,الريسبي!$B$2:$B$1800,AP$1)</f>
        <v>0.03</v>
      </c>
      <c r="AQ78" s="117" t="n">
        <f aca="false">SUMIFS(الريسبي!$C$2:$C$1800,الريسبي!$A$2:$A$1800,$A78,الريسبي!$B$2:$B$1800,AQ$1)+0.004166666667*SUMIFS(الريسبي!$C$2:$C$1800,الريسبي!$A$2:$A$1800,$A78,الريسبي!$B$2:$B$1800,"عجين كريب (مصنع بالمطعم)")+0.004166666667*SUMIFS(الريسبي!$C$2:$C$1800,الريسبي!$A$2:$A$1800,$A78,الريسبي!$B$2:$B$1800,"عجين كريب صيامي (بدون لبن)")</f>
        <v>0</v>
      </c>
      <c r="AR78" s="117" t="n">
        <f aca="false">SUMIFS(الريسبي!$C$2:$C$1800,الريسبي!$A$2:$A$1800,$A78,الريسبي!$B$2:$B$1800,AR$1)</f>
        <v>0</v>
      </c>
      <c r="AS78" s="117" t="n">
        <f aca="false">SUMIFS(الريسبي!$C$2:$C$1800,الريسبي!$A$2:$A$1800,$A78,الريسبي!$B$2:$B$1800,AS$1)</f>
        <v>0</v>
      </c>
      <c r="AT78" s="117" t="n">
        <f aca="false">SUMIFS(الريسبي!$C$2:$C$1800,الريسبي!$A$2:$A$1800,$A78,الريسبي!$B$2:$B$1800,AT$1)</f>
        <v>0</v>
      </c>
      <c r="AU78" s="117" t="n">
        <f aca="false">SUMIFS(الريسبي!$C$2:$C$1800,الريسبي!$A$2:$A$1800,$A78,الريسبي!$B$2:$B$1800,AU$1)</f>
        <v>0</v>
      </c>
      <c r="AV78" s="117" t="n">
        <f aca="false">SUMIFS(الريسبي!$C$2:$C$1800,الريسبي!$A$2:$A$1800,$A78,الريسبي!$B$2:$B$1800,AV$1)</f>
        <v>0</v>
      </c>
      <c r="AW78" s="117" t="n">
        <f aca="false">SUMIFS(الريسبي!$C$2:$C$1800,الريسبي!$A$2:$A$1800,$A78,الريسبي!$B$2:$B$1800,AW$1)</f>
        <v>0</v>
      </c>
      <c r="AX78" s="117" t="n">
        <f aca="false">SUMIFS(الريسبي!$C$2:$C$1800,الريسبي!$A$2:$A$1800,$A78,الريسبي!$B$2:$B$1800,AX$1)</f>
        <v>0.06</v>
      </c>
      <c r="AY78" s="117" t="n">
        <f aca="false">SUMIFS(الريسبي!$C$2:$C$1800,الريسبي!$A$2:$A$1800,$A78,الريسبي!$B$2:$B$1800,AY$1)</f>
        <v>0</v>
      </c>
      <c r="AZ78" s="117" t="n">
        <f aca="false">SUMIFS(الريسبي!$C$2:$C$1800,الريسبي!$A$2:$A$1800,$A78,الريسبي!$B$2:$B$1800,AZ$1)</f>
        <v>0</v>
      </c>
      <c r="BA78" s="117" t="n">
        <f aca="false">SUMIFS(الريسبي!$C$2:$C$1800,الريسبي!$A$2:$A$1800,$A78,الريسبي!$B$2:$B$1800,BA$1)</f>
        <v>0</v>
      </c>
      <c r="BB78" s="117" t="n">
        <f aca="false">SUMIFS(الريسبي!$C$2:$C$1800,الريسبي!$A$2:$A$1800,$A78,الريسبي!$B$2:$B$1800,BB$1)</f>
        <v>0</v>
      </c>
      <c r="BC78" s="117" t="n">
        <f aca="false">SUMIFS(الريسبي!$C$2:$C$1800,الريسبي!$A$2:$A$1800,$A78,الريسبي!$B$2:$B$1800,BC$1)</f>
        <v>0.045</v>
      </c>
      <c r="BD78" s="117" t="n">
        <f aca="false">SUMIFS(الريسبي!$C$2:$C$1800,الريسبي!$A$2:$A$1800,$A78,الريسبي!$B$2:$B$1800,BD$1)</f>
        <v>0.3</v>
      </c>
      <c r="BE78" s="117" t="n">
        <f aca="false">SUMIFS(الريسبي!$C$2:$C$1800,الريسبي!$A$2:$A$1800,$A78,الريسبي!$B$2:$B$1800,BE$1)</f>
        <v>0</v>
      </c>
      <c r="BF78" s="117" t="n">
        <f aca="false">SUMIFS(الريسبي!$C$2:$C$1800,الريسبي!$A$2:$A$1800,$A78,الريسبي!$B$2:$B$1800,BF$1)</f>
        <v>0</v>
      </c>
      <c r="BG78" s="117" t="n">
        <f aca="false">SUMIFS(الريسبي!$C$2:$C$1800,الريسبي!$A$2:$A$1800,$A78,الريسبي!$B$2:$B$1800,BG$1)</f>
        <v>1</v>
      </c>
      <c r="BH78" s="117" t="n">
        <f aca="false">SUMIFS(الريسبي!$C$2:$C$1800,الريسبي!$A$2:$A$1800,$A78,الريسبي!$B$2:$B$1800,BH$1)</f>
        <v>0</v>
      </c>
      <c r="BI78" s="117" t="n">
        <f aca="false">SUMIFS(الريسبي!$C$2:$C$1800,الريسبي!$A$2:$A$1800,$A78,الريسبي!$B$2:$B$1800,BI$1)</f>
        <v>0</v>
      </c>
      <c r="BJ78" s="117" t="n">
        <f aca="false">SUMIFS(الريسبي!$C$2:$C$1800,الريسبي!$A$2:$A$1800,$A78,الريسبي!$B$2:$B$1800,BJ$1)</f>
        <v>0</v>
      </c>
      <c r="BK78" s="117" t="n">
        <f aca="false">SUMIFS(الريسبي!$C$2:$C$1800,الريسبي!$A$2:$A$1800,$A78,الريسبي!$B$2:$B$1800,BK$1)</f>
        <v>0</v>
      </c>
      <c r="BL78" s="117" t="n">
        <f aca="false">SUMIFS(الريسبي!$C$2:$C$1800,الريسبي!$A$2:$A$1800,$A78,الريسبي!$B$2:$B$1800,BL$1)</f>
        <v>0</v>
      </c>
      <c r="BM78" s="117" t="n">
        <f aca="false">SUMIFS(الريسبي!$C$2:$C$1800,الريسبي!$A$2:$A$1800,$A78,الريسبي!$B$2:$B$1800,BM$1)</f>
        <v>0</v>
      </c>
      <c r="BN78" s="117" t="n">
        <f aca="false">SUMIFS(الريسبي!$C$2:$C$1800,الريسبي!$A$2:$A$1800,$A78,الريسبي!$B$2:$B$1800,BN$1)</f>
        <v>0.03</v>
      </c>
      <c r="BO78" s="117" t="n">
        <f aca="false">SUMIFS(الريسبي!$C$2:$C$1800,الريسبي!$A$2:$A$1800,$A78,الريسبي!$B$2:$B$1800,BO$1)</f>
        <v>0</v>
      </c>
      <c r="BP78" s="117" t="n">
        <f aca="false">SUMIFS(الريسبي!$C$2:$C$1800,الريسبي!$A$2:$A$1800,$A78,الريسبي!$B$2:$B$1800,BP$1)</f>
        <v>3</v>
      </c>
      <c r="BQ78" s="117" t="n">
        <f aca="false">SUMIFS(الريسبي!$C$2:$C$1800,الريسبي!$A$2:$A$1800,$A78,الريسبي!$B$2:$B$1800,BQ$1)+0.17*SUMIFS(الريسبي!$C$2:$C$1800,الريسبي!$A$2:$A$1800,$A78,الريسبي!$B$2:$B$1800,"كاسترد مصنع (خليط بودر + لبن)")+0.17*SUMIFS(الريسبي!$C$2:$C$1800,الريسبي!$A$2:$A$1800,$A78,الريسبي!$B$2:$B$1800,"كاسترد مصنع صيامي (بدون لبن)")</f>
        <v>0</v>
      </c>
      <c r="BR78" s="117" t="n">
        <f aca="false">SUMIFS(الريسبي!$C$2:$C$1800,الريسبي!$A$2:$A$1800,$A78,الريسبي!$B$2:$B$1800,BR$1)</f>
        <v>1</v>
      </c>
      <c r="BS78" s="117" t="n">
        <f aca="false">SUMIFS(الريسبي!$C$2:$C$1800,الريسبي!$A$2:$A$1800,$A78,الريسبي!$B$2:$B$1800,BS$1)</f>
        <v>0</v>
      </c>
      <c r="BT78" s="117" t="n">
        <f aca="false">SUMIFS(الريسبي!$C$2:$C$1800,الريسبي!$A$2:$A$1800,$A78,الريسبي!$B$2:$B$1800,BT$1)</f>
        <v>0</v>
      </c>
      <c r="BU78" s="117" t="n">
        <f aca="false">SUMIFS(الريسبي!$C$2:$C$1800,الريسبي!$A$2:$A$1800,$A78,الريسبي!$B$2:$B$1800,BU$1)+0.4*SUMIFS(الريسبي!$C$2:$C$1800,الريسبي!$A$2:$A$1800,$A78,الريسبي!$B$2:$B$1800,"كاسترد مصنع (خليط بودر + لبن)")+0.03333333333*SUMIFS(الريسبي!$C$2:$C$1800,الريسبي!$A$2:$A$1800,$A78,الريسبي!$B$2:$B$1800,"عجين كريب (مصنع بالمطعم)")</f>
        <v>0</v>
      </c>
      <c r="BV78" s="117" t="n">
        <f aca="false">SUMIFS(الريسبي!$C$2:$C$1800,الريسبي!$A$2:$A$1800,$A78,الريسبي!$B$2:$B$1800,BV$1)</f>
        <v>0</v>
      </c>
      <c r="BW78" s="117" t="n">
        <f aca="false">SUMIFS(الريسبي!$C$2:$C$1800,الريسبي!$A$2:$A$1800,$A78,الريسبي!$B$2:$B$1800,BW$1)</f>
        <v>0</v>
      </c>
      <c r="BX78" s="117" t="n">
        <f aca="false">SUMIFS(الريسبي!$C$2:$C$1800,الريسبي!$A$2:$A$1800,$A78,الريسبي!$B$2:$B$1800,BX$1)</f>
        <v>0</v>
      </c>
      <c r="BY78" s="117" t="n">
        <f aca="false">SUMIFS(الريسبي!$C$2:$C$1800,الريسبي!$A$2:$A$1800,$A78,الريسبي!$B$2:$B$1800,BY$1)</f>
        <v>0</v>
      </c>
      <c r="BZ78" s="117" t="n">
        <f aca="false">SUMIFS(الريسبي!$C$2:$C$1800,الريسبي!$A$2:$A$1800,$A78,الريسبي!$B$2:$B$1800,BZ$1)</f>
        <v>0</v>
      </c>
      <c r="CA78" s="117" t="n">
        <f aca="false">SUMIFS(الريسبي!$C$2:$C$1800,الريسبي!$A$2:$A$1800,$A78,الريسبي!$B$2:$B$1800,CA$1)</f>
        <v>1</v>
      </c>
      <c r="CB78" s="117" t="n">
        <f aca="false">SUMIFS(الريسبي!$C$2:$C$1800,الريسبي!$A$2:$A$1800,$A78,الريسبي!$B$2:$B$1800,CB$1)</f>
        <v>1</v>
      </c>
      <c r="CC78" s="117" t="n">
        <f aca="false">SUMIFS(الريسبي!$C$2:$C$1800,الريسبي!$A$2:$A$1800,$A78,الريسبي!$B$2:$B$1800,CC$1)</f>
        <v>0</v>
      </c>
      <c r="CD78" s="117" t="n">
        <f aca="false">SUMIFS(الريسبي!$C$2:$C$1800,الريسبي!$A$2:$A$1800,$A78,الريسبي!$B$2:$B$1800,CD$1)</f>
        <v>0</v>
      </c>
      <c r="CE78" s="117" t="n">
        <f aca="false">SUMIFS(الريسبي!$C$2:$C$1800,الريسبي!$A$2:$A$1800,$A78,الريسبي!$B$2:$B$1800,CE$1)</f>
        <v>0</v>
      </c>
      <c r="CF78" s="117" t="n">
        <f aca="false">SUMIFS(الريسبي!$C$2:$C$1800,الريسبي!$A$2:$A$1800,$A78,الريسبي!$B$2:$B$1800,CF$1)</f>
        <v>0</v>
      </c>
      <c r="CG78" s="117" t="n">
        <f aca="false">SUMIFS(الريسبي!$C$2:$C$1800,الريسبي!$A$2:$A$1800,$A78,الريسبي!$B$2:$B$1800,CG$1)</f>
        <v>0</v>
      </c>
      <c r="CH78" s="117" t="n">
        <f aca="false">SUMIFS(الريسبي!$C$2:$C$1800,الريسبي!$A$2:$A$1800,$A78,الريسبي!$B$2:$B$1800,CH$1)</f>
        <v>0</v>
      </c>
      <c r="CI78" s="117" t="n">
        <f aca="false">SUMIFS(الريسبي!$C$2:$C$1800,الريسبي!$A$2:$A$1800,$A78,الريسبي!$B$2:$B$1800,CI$1)</f>
        <v>0</v>
      </c>
      <c r="CJ78" s="117" t="n">
        <f aca="false">SUMIFS(الريسبي!$C$2:$C$1800,الريسبي!$A$2:$A$1800,$A78,الريسبي!$B$2:$B$1800,CJ$1)</f>
        <v>0</v>
      </c>
      <c r="CK78" s="117" t="n">
        <f aca="false">SUMIFS(الريسبي!$C$2:$C$1800,الريسبي!$A$2:$A$1800,$A78,الريسبي!$B$2:$B$1800,CK$1)</f>
        <v>0</v>
      </c>
      <c r="CL78" s="117" t="n">
        <f aca="false">SUMIFS(الريسبي!$C$2:$C$1800,الريسبي!$A$2:$A$1800,$A78,الريسبي!$B$2:$B$1800,CL$1)</f>
        <v>0</v>
      </c>
    </row>
    <row r="79" customFormat="false" ht="15" hidden="false" customHeight="false" outlineLevel="0" collapsed="false">
      <c r="A79" s="116" t="str">
        <f aca="false">المنيو!B79</f>
        <v>بيتزا مشروم صيامي وسط</v>
      </c>
      <c r="B79" s="117" t="n">
        <f aca="false">SUMIFS(الريسبي!$C$2:$C$1800,الريسبي!$A$2:$A$1800,$A79,الريسبي!$B$2:$B$1800,B$1)</f>
        <v>0</v>
      </c>
      <c r="C79" s="117" t="n">
        <f aca="false">SUMIFS(الريسبي!$C$2:$C$1800,الريسبي!$A$2:$A$1800,$A79,الريسبي!$B$2:$B$1800,C$1)</f>
        <v>0</v>
      </c>
      <c r="D79" s="117" t="n">
        <f aca="false">SUMIFS(الريسبي!$C$2:$C$1800,الريسبي!$A$2:$A$1800,$A79,الريسبي!$B$2:$B$1800,D$1)</f>
        <v>1</v>
      </c>
      <c r="E79" s="117" t="n">
        <f aca="false">SUMIFS(الريسبي!$C$2:$C$1800,الريسبي!$A$2:$A$1800,$A79,الريسبي!$B$2:$B$1800,E$1)</f>
        <v>0</v>
      </c>
      <c r="F79" s="117" t="n">
        <f aca="false">SUMIFS(الريسبي!$C$2:$C$1800,الريسبي!$A$2:$A$1800,$A79,الريسبي!$B$2:$B$1800,F$1)</f>
        <v>0</v>
      </c>
      <c r="G79" s="117" t="n">
        <f aca="false">SUMIFS(الريسبي!$C$2:$C$1800,الريسبي!$A$2:$A$1800,$A79,الريسبي!$B$2:$B$1800,G$1)</f>
        <v>0</v>
      </c>
      <c r="H79" s="117" t="n">
        <f aca="false">SUMIFS(الريسبي!$C$2:$C$1800,الريسبي!$A$2:$A$1800,$A79,الريسبي!$B$2:$B$1800,H$1)</f>
        <v>0</v>
      </c>
      <c r="I79" s="117" t="n">
        <f aca="false">SUMIFS(الريسبي!$C$2:$C$1800,الريسبي!$A$2:$A$1800,$A79,الريسبي!$B$2:$B$1800,I$1)</f>
        <v>0</v>
      </c>
      <c r="J79" s="117" t="n">
        <f aca="false">SUMIFS(الريسبي!$C$2:$C$1800,الريسبي!$A$2:$A$1800,$A79,الريسبي!$B$2:$B$1800,J$1)</f>
        <v>0</v>
      </c>
      <c r="K79" s="117" t="n">
        <f aca="false">SUMIFS(الريسبي!$C$2:$C$1800,الريسبي!$A$2:$A$1800,$A79,الريسبي!$B$2:$B$1800,K$1)</f>
        <v>0</v>
      </c>
      <c r="L79" s="117" t="n">
        <f aca="false">SUMIFS(الريسبي!$C$2:$C$1800,الريسبي!$A$2:$A$1800,$A79,الريسبي!$B$2:$B$1800,L$1)</f>
        <v>0</v>
      </c>
      <c r="M79" s="117" t="n">
        <f aca="false">SUMIFS(الريسبي!$C$2:$C$1800,الريسبي!$A$2:$A$1800,$A79,الريسبي!$B$2:$B$1800,M$1)</f>
        <v>0</v>
      </c>
      <c r="N79" s="117" t="n">
        <f aca="false">SUMIFS(الريسبي!$C$2:$C$1800,الريسبي!$A$2:$A$1800,$A79,الريسبي!$B$2:$B$1800,N$1)</f>
        <v>0</v>
      </c>
      <c r="O79" s="117" t="n">
        <f aca="false">SUMIFS(الريسبي!$C$2:$C$1800,الريسبي!$A$2:$A$1800,$A79,الريسبي!$B$2:$B$1800,O$1)</f>
        <v>0</v>
      </c>
      <c r="P79" s="117" t="n">
        <f aca="false">SUMIFS(الريسبي!$C$2:$C$1800,الريسبي!$A$2:$A$1800,$A79,الريسبي!$B$2:$B$1800,P$1)</f>
        <v>0</v>
      </c>
      <c r="Q79" s="117" t="n">
        <f aca="false">SUMIFS(الريسبي!$C$2:$C$1800,الريسبي!$A$2:$A$1800,$A79,الريسبي!$B$2:$B$1800,Q$1)</f>
        <v>0</v>
      </c>
      <c r="R79" s="117" t="n">
        <f aca="false">SUMIFS(الريسبي!$C$2:$C$1800,الريسبي!$A$2:$A$1800,$A79,الريسبي!$B$2:$B$1800,R$1)</f>
        <v>0</v>
      </c>
      <c r="S79" s="117" t="n">
        <f aca="false">SUMIFS(الريسبي!$C$2:$C$1800,الريسبي!$A$2:$A$1800,$A79,الريسبي!$B$2:$B$1800,S$1)</f>
        <v>0</v>
      </c>
      <c r="T79" s="117" t="n">
        <f aca="false">SUMIFS(الريسبي!$C$2:$C$1800,الريسبي!$A$2:$A$1800,$A79,الريسبي!$B$2:$B$1800,T$1)</f>
        <v>0</v>
      </c>
      <c r="U79" s="117" t="n">
        <f aca="false">SUMIFS(الريسبي!$C$2:$C$1800,الريسبي!$A$2:$A$1800,$A79,الريسبي!$B$2:$B$1800,U$1)</f>
        <v>0</v>
      </c>
      <c r="V79" s="117" t="n">
        <f aca="false">SUMIFS(الريسبي!$C$2:$C$1800,الريسبي!$A$2:$A$1800,$A79,الريسبي!$B$2:$B$1800,V$1)+1.5*(SUMIFS(الريسبي!$C$2:$C$1800,الريسبي!$A$2:$A$1800,$A79,الريسبي!$B$2:$B$1800,"برسيون موتزريلا بيتزا كبير"))</f>
        <v>0</v>
      </c>
      <c r="W79" s="117" t="n">
        <f aca="false">0</f>
        <v>0</v>
      </c>
      <c r="X79" s="117" t="n">
        <f aca="false">SUMIFS(الريسبي!$C$2:$C$1800,الريسبي!$A$2:$A$1800,$A79,الريسبي!$B$2:$B$1800,X$1)+1.5*(SUMIFS(الريسبي!$C$2:$C$1800,الريسبي!$A$2:$A$1800,$A79,الريسبي!$B$2:$B$1800,"برسيون موتزريلا فطير كبير"))</f>
        <v>1</v>
      </c>
      <c r="Y79" s="117" t="n">
        <f aca="false">0</f>
        <v>0</v>
      </c>
      <c r="Z79" s="117" t="n">
        <f aca="false">SUMIFS(الريسبي!$C$2:$C$1800,الريسبي!$A$2:$A$1800,$A79,الريسبي!$B$2:$B$1800,Z$1)</f>
        <v>0</v>
      </c>
      <c r="AA79" s="117" t="n">
        <f aca="false">SUMIFS(الريسبي!$C$2:$C$1800,الريسبي!$A$2:$A$1800,$A79,الريسبي!$B$2:$B$1800,AA$1)</f>
        <v>0</v>
      </c>
      <c r="AB79" s="117" t="n">
        <f aca="false">SUMIFS(الريسبي!$C$2:$C$1800,الريسبي!$A$2:$A$1800,$A79,الريسبي!$B$2:$B$1800,AB$1)</f>
        <v>0</v>
      </c>
      <c r="AC79" s="117" t="n">
        <f aca="false">SUMIFS(الريسبي!$C$2:$C$1800,الريسبي!$A$2:$A$1800,$A79,الريسبي!$B$2:$B$1800,AC$1)</f>
        <v>0</v>
      </c>
      <c r="AD79" s="117" t="n">
        <f aca="false">SUMIFS(الريسبي!$C$2:$C$1800,الريسبي!$A$2:$A$1800,$A79,الريسبي!$B$2:$B$1800,AD$1)</f>
        <v>0</v>
      </c>
      <c r="AE79" s="117" t="n">
        <f aca="false">SUMIFS(الريسبي!$C$2:$C$1800,الريسبي!$A$2:$A$1800,$A79,الريسبي!$B$2:$B$1800,AE$1)</f>
        <v>0</v>
      </c>
      <c r="AF79" s="117" t="n">
        <f aca="false">SUMIFS(الريسبي!$C$2:$C$1800,الريسبي!$A$2:$A$1800,$A79,الريسبي!$B$2:$B$1800,AF$1)</f>
        <v>0</v>
      </c>
      <c r="AG79" s="117" t="n">
        <f aca="false">SUMIFS(الريسبي!$C$2:$C$1800,الريسبي!$A$2:$A$1800,$A79,الريسبي!$B$2:$B$1800,AG$1)</f>
        <v>0</v>
      </c>
      <c r="AH79" s="117" t="n">
        <f aca="false">SUMIFS(الريسبي!$C$2:$C$1800,الريسبي!$A$2:$A$1800,$A79,الريسبي!$B$2:$B$1800,AH$1)</f>
        <v>0</v>
      </c>
      <c r="AI79" s="117" t="n">
        <f aca="false">SUMIFS(الريسبي!$C$2:$C$1800,الريسبي!$A$2:$A$1800,$A79,الريسبي!$B$2:$B$1800,AI$1)</f>
        <v>0</v>
      </c>
      <c r="AJ79" s="117" t="n">
        <f aca="false">SUMIFS(الريسبي!$C$2:$C$1800,الريسبي!$A$2:$A$1800,$A79,الريسبي!$B$2:$B$1800,AJ$1)</f>
        <v>2</v>
      </c>
      <c r="AK79" s="117" t="n">
        <f aca="false">SUMIFS(الريسبي!$C$2:$C$1800,الريسبي!$A$2:$A$1800,$A79,الريسبي!$B$2:$B$1800,AK$1)</f>
        <v>0</v>
      </c>
      <c r="AL79" s="117" t="n">
        <f aca="false">SUMIFS(الريسبي!$C$2:$C$1800,الريسبي!$A$2:$A$1800,$A79,الريسبي!$B$2:$B$1800,AL$1)</f>
        <v>0</v>
      </c>
      <c r="AM79" s="117" t="n">
        <f aca="false">SUMIFS(الريسبي!$C$2:$C$1800,الريسبي!$A$2:$A$1800,$A79,الريسبي!$B$2:$B$1800,AM$1)+0.08333333333*SUMIFS(الريسبي!$C$2:$C$1800,الريسبي!$A$2:$A$1800,$A79,الريسبي!$B$2:$B$1800,"عجين كريب (مصنع بالمطعم)")+0.08333333333*SUMIFS(الريسبي!$C$2:$C$1800,الريسبي!$A$2:$A$1800,$A79,الريسبي!$B$2:$B$1800,"عجين كريب صيامي (بدون لبن)")</f>
        <v>0</v>
      </c>
      <c r="AN79" s="117" t="n">
        <f aca="false">SUMIFS(الريسبي!$C$2:$C$1800,الريسبي!$A$2:$A$1800,$A79,الريسبي!$B$2:$B$1800,AN$1)+0.004166666667*SUMIFS(الريسبي!$C$2:$C$1800,الريسبي!$A$2:$A$1800,$A79,الريسبي!$B$2:$B$1800,"عجين كريب (مصنع بالمطعم)")+0.004166666667*SUMIFS(الريسبي!$C$2:$C$1800,الريسبي!$A$2:$A$1800,$A79,الريسبي!$B$2:$B$1800,"عجين كريب صيامي (بدون لبن)")</f>
        <v>0</v>
      </c>
      <c r="AO79" s="117" t="n">
        <f aca="false">SUMIFS(الريسبي!$C$2:$C$1800,الريسبي!$A$2:$A$1800,$A79,الريسبي!$B$2:$B$1800,AO$1)</f>
        <v>0</v>
      </c>
      <c r="AP79" s="117" t="n">
        <f aca="false">SUMIFS(الريسبي!$C$2:$C$1800,الريسبي!$A$2:$A$1800,$A79,الريسبي!$B$2:$B$1800,AP$1)</f>
        <v>0.02</v>
      </c>
      <c r="AQ79" s="117" t="n">
        <f aca="false">SUMIFS(الريسبي!$C$2:$C$1800,الريسبي!$A$2:$A$1800,$A79,الريسبي!$B$2:$B$1800,AQ$1)+0.004166666667*SUMIFS(الريسبي!$C$2:$C$1800,الريسبي!$A$2:$A$1800,$A79,الريسبي!$B$2:$B$1800,"عجين كريب (مصنع بالمطعم)")+0.004166666667*SUMIFS(الريسبي!$C$2:$C$1800,الريسبي!$A$2:$A$1800,$A79,الريسبي!$B$2:$B$1800,"عجين كريب صيامي (بدون لبن)")</f>
        <v>0</v>
      </c>
      <c r="AR79" s="117" t="n">
        <f aca="false">SUMIFS(الريسبي!$C$2:$C$1800,الريسبي!$A$2:$A$1800,$A79,الريسبي!$B$2:$B$1800,AR$1)</f>
        <v>0</v>
      </c>
      <c r="AS79" s="117" t="n">
        <f aca="false">SUMIFS(الريسبي!$C$2:$C$1800,الريسبي!$A$2:$A$1800,$A79,الريسبي!$B$2:$B$1800,AS$1)</f>
        <v>0</v>
      </c>
      <c r="AT79" s="117" t="n">
        <f aca="false">SUMIFS(الريسبي!$C$2:$C$1800,الريسبي!$A$2:$A$1800,$A79,الريسبي!$B$2:$B$1800,AT$1)</f>
        <v>0</v>
      </c>
      <c r="AU79" s="117" t="n">
        <f aca="false">SUMIFS(الريسبي!$C$2:$C$1800,الريسبي!$A$2:$A$1800,$A79,الريسبي!$B$2:$B$1800,AU$1)</f>
        <v>0</v>
      </c>
      <c r="AV79" s="117" t="n">
        <f aca="false">SUMIFS(الريسبي!$C$2:$C$1800,الريسبي!$A$2:$A$1800,$A79,الريسبي!$B$2:$B$1800,AV$1)</f>
        <v>0</v>
      </c>
      <c r="AW79" s="117" t="n">
        <f aca="false">SUMIFS(الريسبي!$C$2:$C$1800,الريسبي!$A$2:$A$1800,$A79,الريسبي!$B$2:$B$1800,AW$1)</f>
        <v>0</v>
      </c>
      <c r="AX79" s="117" t="n">
        <f aca="false">SUMIFS(الريسبي!$C$2:$C$1800,الريسبي!$A$2:$A$1800,$A79,الريسبي!$B$2:$B$1800,AX$1)</f>
        <v>0.04</v>
      </c>
      <c r="AY79" s="117" t="n">
        <f aca="false">SUMIFS(الريسبي!$C$2:$C$1800,الريسبي!$A$2:$A$1800,$A79,الريسبي!$B$2:$B$1800,AY$1)</f>
        <v>0</v>
      </c>
      <c r="AZ79" s="117" t="n">
        <f aca="false">SUMIFS(الريسبي!$C$2:$C$1800,الريسبي!$A$2:$A$1800,$A79,الريسبي!$B$2:$B$1800,AZ$1)</f>
        <v>0</v>
      </c>
      <c r="BA79" s="117" t="n">
        <f aca="false">SUMIFS(الريسبي!$C$2:$C$1800,الريسبي!$A$2:$A$1800,$A79,الريسبي!$B$2:$B$1800,BA$1)</f>
        <v>0</v>
      </c>
      <c r="BB79" s="117" t="n">
        <f aca="false">SUMIFS(الريسبي!$C$2:$C$1800,الريسبي!$A$2:$A$1800,$A79,الريسبي!$B$2:$B$1800,BB$1)</f>
        <v>0</v>
      </c>
      <c r="BC79" s="117" t="n">
        <f aca="false">SUMIFS(الريسبي!$C$2:$C$1800,الريسبي!$A$2:$A$1800,$A79,الريسبي!$B$2:$B$1800,BC$1)</f>
        <v>0.03</v>
      </c>
      <c r="BD79" s="117" t="n">
        <f aca="false">SUMIFS(الريسبي!$C$2:$C$1800,الريسبي!$A$2:$A$1800,$A79,الريسبي!$B$2:$B$1800,BD$1)</f>
        <v>0.22</v>
      </c>
      <c r="BE79" s="117" t="n">
        <f aca="false">SUMIFS(الريسبي!$C$2:$C$1800,الريسبي!$A$2:$A$1800,$A79,الريسبي!$B$2:$B$1800,BE$1)</f>
        <v>0</v>
      </c>
      <c r="BF79" s="117" t="n">
        <f aca="false">SUMIFS(الريسبي!$C$2:$C$1800,الريسبي!$A$2:$A$1800,$A79,الريسبي!$B$2:$B$1800,BF$1)</f>
        <v>0</v>
      </c>
      <c r="BG79" s="117" t="n">
        <f aca="false">SUMIFS(الريسبي!$C$2:$C$1800,الريسبي!$A$2:$A$1800,$A79,الريسبي!$B$2:$B$1800,BG$1)</f>
        <v>0</v>
      </c>
      <c r="BH79" s="117" t="n">
        <f aca="false">SUMIFS(الريسبي!$C$2:$C$1800,الريسبي!$A$2:$A$1800,$A79,الريسبي!$B$2:$B$1800,BH$1)</f>
        <v>1</v>
      </c>
      <c r="BI79" s="117" t="n">
        <f aca="false">SUMIFS(الريسبي!$C$2:$C$1800,الريسبي!$A$2:$A$1800,$A79,الريسبي!$B$2:$B$1800,BI$1)</f>
        <v>0</v>
      </c>
      <c r="BJ79" s="117" t="n">
        <f aca="false">SUMIFS(الريسبي!$C$2:$C$1800,الريسبي!$A$2:$A$1800,$A79,الريسبي!$B$2:$B$1800,BJ$1)</f>
        <v>0</v>
      </c>
      <c r="BK79" s="117" t="n">
        <f aca="false">SUMIFS(الريسبي!$C$2:$C$1800,الريسبي!$A$2:$A$1800,$A79,الريسبي!$B$2:$B$1800,BK$1)</f>
        <v>0</v>
      </c>
      <c r="BL79" s="117" t="n">
        <f aca="false">SUMIFS(الريسبي!$C$2:$C$1800,الريسبي!$A$2:$A$1800,$A79,الريسبي!$B$2:$B$1800,BL$1)</f>
        <v>0</v>
      </c>
      <c r="BM79" s="117" t="n">
        <f aca="false">SUMIFS(الريسبي!$C$2:$C$1800,الريسبي!$A$2:$A$1800,$A79,الريسبي!$B$2:$B$1800,BM$1)</f>
        <v>0</v>
      </c>
      <c r="BN79" s="117" t="n">
        <f aca="false">SUMIFS(الريسبي!$C$2:$C$1800,الريسبي!$A$2:$A$1800,$A79,الريسبي!$B$2:$B$1800,BN$1)</f>
        <v>0.02</v>
      </c>
      <c r="BO79" s="117" t="n">
        <f aca="false">SUMIFS(الريسبي!$C$2:$C$1800,الريسبي!$A$2:$A$1800,$A79,الريسبي!$B$2:$B$1800,BO$1)</f>
        <v>0</v>
      </c>
      <c r="BP79" s="117" t="n">
        <f aca="false">SUMIFS(الريسبي!$C$2:$C$1800,الريسبي!$A$2:$A$1800,$A79,الريسبي!$B$2:$B$1800,BP$1)</f>
        <v>2</v>
      </c>
      <c r="BQ79" s="117" t="n">
        <f aca="false">SUMIFS(الريسبي!$C$2:$C$1800,الريسبي!$A$2:$A$1800,$A79,الريسبي!$B$2:$B$1800,BQ$1)+0.17*SUMIFS(الريسبي!$C$2:$C$1800,الريسبي!$A$2:$A$1800,$A79,الريسبي!$B$2:$B$1800,"كاسترد مصنع (خليط بودر + لبن)")+0.17*SUMIFS(الريسبي!$C$2:$C$1800,الريسبي!$A$2:$A$1800,$A79,الريسبي!$B$2:$B$1800,"كاسترد مصنع صيامي (بدون لبن)")</f>
        <v>0</v>
      </c>
      <c r="BR79" s="117" t="n">
        <f aca="false">SUMIFS(الريسبي!$C$2:$C$1800,الريسبي!$A$2:$A$1800,$A79,الريسبي!$B$2:$B$1800,BR$1)</f>
        <v>1</v>
      </c>
      <c r="BS79" s="117" t="n">
        <f aca="false">SUMIFS(الريسبي!$C$2:$C$1800,الريسبي!$A$2:$A$1800,$A79,الريسبي!$B$2:$B$1800,BS$1)</f>
        <v>0</v>
      </c>
      <c r="BT79" s="117" t="n">
        <f aca="false">SUMIFS(الريسبي!$C$2:$C$1800,الريسبي!$A$2:$A$1800,$A79,الريسبي!$B$2:$B$1800,BT$1)</f>
        <v>0</v>
      </c>
      <c r="BU79" s="117" t="n">
        <f aca="false">SUMIFS(الريسبي!$C$2:$C$1800,الريسبي!$A$2:$A$1800,$A79,الريسبي!$B$2:$B$1800,BU$1)+0.4*SUMIFS(الريسبي!$C$2:$C$1800,الريسبي!$A$2:$A$1800,$A79,الريسبي!$B$2:$B$1800,"كاسترد مصنع (خليط بودر + لبن)")+0.03333333333*SUMIFS(الريسبي!$C$2:$C$1800,الريسبي!$A$2:$A$1800,$A79,الريسبي!$B$2:$B$1800,"عجين كريب (مصنع بالمطعم)")</f>
        <v>0</v>
      </c>
      <c r="BV79" s="117" t="n">
        <f aca="false">SUMIFS(الريسبي!$C$2:$C$1800,الريسبي!$A$2:$A$1800,$A79,الريسبي!$B$2:$B$1800,BV$1)</f>
        <v>0</v>
      </c>
      <c r="BW79" s="117" t="n">
        <f aca="false">SUMIFS(الريسبي!$C$2:$C$1800,الريسبي!$A$2:$A$1800,$A79,الريسبي!$B$2:$B$1800,BW$1)</f>
        <v>0</v>
      </c>
      <c r="BX79" s="117" t="n">
        <f aca="false">SUMIFS(الريسبي!$C$2:$C$1800,الريسبي!$A$2:$A$1800,$A79,الريسبي!$B$2:$B$1800,BX$1)</f>
        <v>0.1</v>
      </c>
      <c r="BY79" s="117" t="n">
        <f aca="false">SUMIFS(الريسبي!$C$2:$C$1800,الريسبي!$A$2:$A$1800,$A79,الريسبي!$B$2:$B$1800,BY$1)</f>
        <v>0</v>
      </c>
      <c r="BZ79" s="117" t="n">
        <f aca="false">SUMIFS(الريسبي!$C$2:$C$1800,الريسبي!$A$2:$A$1800,$A79,الريسبي!$B$2:$B$1800,BZ$1)</f>
        <v>0</v>
      </c>
      <c r="CA79" s="117" t="n">
        <f aca="false">SUMIFS(الريسبي!$C$2:$C$1800,الريسبي!$A$2:$A$1800,$A79,الريسبي!$B$2:$B$1800,CA$1)</f>
        <v>1</v>
      </c>
      <c r="CB79" s="117" t="n">
        <f aca="false">SUMIFS(الريسبي!$C$2:$C$1800,الريسبي!$A$2:$A$1800,$A79,الريسبي!$B$2:$B$1800,CB$1)</f>
        <v>1</v>
      </c>
      <c r="CC79" s="117" t="n">
        <f aca="false">SUMIFS(الريسبي!$C$2:$C$1800,الريسبي!$A$2:$A$1800,$A79,الريسبي!$B$2:$B$1800,CC$1)</f>
        <v>0</v>
      </c>
      <c r="CD79" s="117" t="n">
        <f aca="false">SUMIFS(الريسبي!$C$2:$C$1800,الريسبي!$A$2:$A$1800,$A79,الريسبي!$B$2:$B$1800,CD$1)</f>
        <v>0</v>
      </c>
      <c r="CE79" s="117" t="n">
        <f aca="false">SUMIFS(الريسبي!$C$2:$C$1800,الريسبي!$A$2:$A$1800,$A79,الريسبي!$B$2:$B$1800,CE$1)</f>
        <v>0</v>
      </c>
      <c r="CF79" s="117" t="n">
        <f aca="false">SUMIFS(الريسبي!$C$2:$C$1800,الريسبي!$A$2:$A$1800,$A79,الريسبي!$B$2:$B$1800,CF$1)</f>
        <v>0</v>
      </c>
      <c r="CG79" s="117" t="n">
        <f aca="false">SUMIFS(الريسبي!$C$2:$C$1800,الريسبي!$A$2:$A$1800,$A79,الريسبي!$B$2:$B$1800,CG$1)</f>
        <v>0</v>
      </c>
      <c r="CH79" s="117" t="n">
        <f aca="false">SUMIFS(الريسبي!$C$2:$C$1800,الريسبي!$A$2:$A$1800,$A79,الريسبي!$B$2:$B$1800,CH$1)</f>
        <v>0</v>
      </c>
      <c r="CI79" s="117" t="n">
        <f aca="false">SUMIFS(الريسبي!$C$2:$C$1800,الريسبي!$A$2:$A$1800,$A79,الريسبي!$B$2:$B$1800,CI$1)</f>
        <v>0</v>
      </c>
      <c r="CJ79" s="117" t="n">
        <f aca="false">SUMIFS(الريسبي!$C$2:$C$1800,الريسبي!$A$2:$A$1800,$A79,الريسبي!$B$2:$B$1800,CJ$1)</f>
        <v>0</v>
      </c>
      <c r="CK79" s="117" t="n">
        <f aca="false">SUMIFS(الريسبي!$C$2:$C$1800,الريسبي!$A$2:$A$1800,$A79,الريسبي!$B$2:$B$1800,CK$1)</f>
        <v>0</v>
      </c>
      <c r="CL79" s="117" t="n">
        <f aca="false">SUMIFS(الريسبي!$C$2:$C$1800,الريسبي!$A$2:$A$1800,$A79,الريسبي!$B$2:$B$1800,CL$1)</f>
        <v>0</v>
      </c>
    </row>
    <row r="80" customFormat="false" ht="15" hidden="false" customHeight="false" outlineLevel="0" collapsed="false">
      <c r="A80" s="116" t="str">
        <f aca="false">المنيو!B80</f>
        <v>بيتزا مشروم صيامي مخصوص</v>
      </c>
      <c r="B80" s="117" t="n">
        <f aca="false">SUMIFS(الريسبي!$C$2:$C$1800,الريسبي!$A$2:$A$1800,$A80,الريسبي!$B$2:$B$1800,B$1)</f>
        <v>0</v>
      </c>
      <c r="C80" s="117" t="n">
        <f aca="false">SUMIFS(الريسبي!$C$2:$C$1800,الريسبي!$A$2:$A$1800,$A80,الريسبي!$B$2:$B$1800,C$1)</f>
        <v>0</v>
      </c>
      <c r="D80" s="117" t="n">
        <f aca="false">SUMIFS(الريسبي!$C$2:$C$1800,الريسبي!$A$2:$A$1800,$A80,الريسبي!$B$2:$B$1800,D$1)</f>
        <v>1</v>
      </c>
      <c r="E80" s="117" t="n">
        <f aca="false">SUMIFS(الريسبي!$C$2:$C$1800,الريسبي!$A$2:$A$1800,$A80,الريسبي!$B$2:$B$1800,E$1)</f>
        <v>0</v>
      </c>
      <c r="F80" s="117" t="n">
        <f aca="false">SUMIFS(الريسبي!$C$2:$C$1800,الريسبي!$A$2:$A$1800,$A80,الريسبي!$B$2:$B$1800,F$1)</f>
        <v>0</v>
      </c>
      <c r="G80" s="117" t="n">
        <f aca="false">SUMIFS(الريسبي!$C$2:$C$1800,الريسبي!$A$2:$A$1800,$A80,الريسبي!$B$2:$B$1800,G$1)</f>
        <v>0</v>
      </c>
      <c r="H80" s="117" t="n">
        <f aca="false">SUMIFS(الريسبي!$C$2:$C$1800,الريسبي!$A$2:$A$1800,$A80,الريسبي!$B$2:$B$1800,H$1)</f>
        <v>0</v>
      </c>
      <c r="I80" s="117" t="n">
        <f aca="false">SUMIFS(الريسبي!$C$2:$C$1800,الريسبي!$A$2:$A$1800,$A80,الريسبي!$B$2:$B$1800,I$1)</f>
        <v>0</v>
      </c>
      <c r="J80" s="117" t="n">
        <f aca="false">SUMIFS(الريسبي!$C$2:$C$1800,الريسبي!$A$2:$A$1800,$A80,الريسبي!$B$2:$B$1800,J$1)</f>
        <v>0</v>
      </c>
      <c r="K80" s="117" t="n">
        <f aca="false">SUMIFS(الريسبي!$C$2:$C$1800,الريسبي!$A$2:$A$1800,$A80,الريسبي!$B$2:$B$1800,K$1)</f>
        <v>0</v>
      </c>
      <c r="L80" s="117" t="n">
        <f aca="false">SUMIFS(الريسبي!$C$2:$C$1800,الريسبي!$A$2:$A$1800,$A80,الريسبي!$B$2:$B$1800,L$1)</f>
        <v>0</v>
      </c>
      <c r="M80" s="117" t="n">
        <f aca="false">SUMIFS(الريسبي!$C$2:$C$1800,الريسبي!$A$2:$A$1800,$A80,الريسبي!$B$2:$B$1800,M$1)</f>
        <v>0</v>
      </c>
      <c r="N80" s="117" t="n">
        <f aca="false">SUMIFS(الريسبي!$C$2:$C$1800,الريسبي!$A$2:$A$1800,$A80,الريسبي!$B$2:$B$1800,N$1)</f>
        <v>0</v>
      </c>
      <c r="O80" s="117" t="n">
        <f aca="false">SUMIFS(الريسبي!$C$2:$C$1800,الريسبي!$A$2:$A$1800,$A80,الريسبي!$B$2:$B$1800,O$1)</f>
        <v>0</v>
      </c>
      <c r="P80" s="117" t="n">
        <f aca="false">SUMIFS(الريسبي!$C$2:$C$1800,الريسبي!$A$2:$A$1800,$A80,الريسبي!$B$2:$B$1800,P$1)</f>
        <v>0</v>
      </c>
      <c r="Q80" s="117" t="n">
        <f aca="false">SUMIFS(الريسبي!$C$2:$C$1800,الريسبي!$A$2:$A$1800,$A80,الريسبي!$B$2:$B$1800,Q$1)</f>
        <v>0</v>
      </c>
      <c r="R80" s="117" t="n">
        <f aca="false">SUMIFS(الريسبي!$C$2:$C$1800,الريسبي!$A$2:$A$1800,$A80,الريسبي!$B$2:$B$1800,R$1)</f>
        <v>0</v>
      </c>
      <c r="S80" s="117" t="n">
        <f aca="false">SUMIFS(الريسبي!$C$2:$C$1800,الريسبي!$A$2:$A$1800,$A80,الريسبي!$B$2:$B$1800,S$1)</f>
        <v>0</v>
      </c>
      <c r="T80" s="117" t="n">
        <f aca="false">SUMIFS(الريسبي!$C$2:$C$1800,الريسبي!$A$2:$A$1800,$A80,الريسبي!$B$2:$B$1800,T$1)</f>
        <v>0</v>
      </c>
      <c r="U80" s="117" t="n">
        <f aca="false">SUMIFS(الريسبي!$C$2:$C$1800,الريسبي!$A$2:$A$1800,$A80,الريسبي!$B$2:$B$1800,U$1)</f>
        <v>0</v>
      </c>
      <c r="V80" s="117" t="n">
        <f aca="false">SUMIFS(الريسبي!$C$2:$C$1800,الريسبي!$A$2:$A$1800,$A80,الريسبي!$B$2:$B$1800,V$1)+1.5*(SUMIFS(الريسبي!$C$2:$C$1800,الريسبي!$A$2:$A$1800,$A80,الريسبي!$B$2:$B$1800,"برسيون موتزريلا بيتزا كبير"))</f>
        <v>0</v>
      </c>
      <c r="W80" s="117" t="n">
        <f aca="false">0</f>
        <v>0</v>
      </c>
      <c r="X80" s="117" t="n">
        <f aca="false">SUMIFS(الريسبي!$C$2:$C$1800,الريسبي!$A$2:$A$1800,$A80,الريسبي!$B$2:$B$1800,X$1)+1.5*(SUMIFS(الريسبي!$C$2:$C$1800,الريسبي!$A$2:$A$1800,$A80,الريسبي!$B$2:$B$1800,"برسيون موتزريلا فطير كبير"))</f>
        <v>1.5</v>
      </c>
      <c r="Y80" s="117" t="n">
        <f aca="false">0</f>
        <v>0</v>
      </c>
      <c r="Z80" s="117" t="n">
        <f aca="false">SUMIFS(الريسبي!$C$2:$C$1800,الريسبي!$A$2:$A$1800,$A80,الريسبي!$B$2:$B$1800,Z$1)</f>
        <v>0</v>
      </c>
      <c r="AA80" s="117" t="n">
        <f aca="false">SUMIFS(الريسبي!$C$2:$C$1800,الريسبي!$A$2:$A$1800,$A80,الريسبي!$B$2:$B$1800,AA$1)</f>
        <v>0</v>
      </c>
      <c r="AB80" s="117" t="n">
        <f aca="false">SUMIFS(الريسبي!$C$2:$C$1800,الريسبي!$A$2:$A$1800,$A80,الريسبي!$B$2:$B$1800,AB$1)</f>
        <v>0</v>
      </c>
      <c r="AC80" s="117" t="n">
        <f aca="false">SUMIFS(الريسبي!$C$2:$C$1800,الريسبي!$A$2:$A$1800,$A80,الريسبي!$B$2:$B$1800,AC$1)</f>
        <v>0</v>
      </c>
      <c r="AD80" s="117" t="n">
        <f aca="false">SUMIFS(الريسبي!$C$2:$C$1800,الريسبي!$A$2:$A$1800,$A80,الريسبي!$B$2:$B$1800,AD$1)</f>
        <v>0</v>
      </c>
      <c r="AE80" s="117" t="n">
        <f aca="false">SUMIFS(الريسبي!$C$2:$C$1800,الريسبي!$A$2:$A$1800,$A80,الريسبي!$B$2:$B$1800,AE$1)</f>
        <v>0</v>
      </c>
      <c r="AF80" s="117" t="n">
        <f aca="false">SUMIFS(الريسبي!$C$2:$C$1800,الريسبي!$A$2:$A$1800,$A80,الريسبي!$B$2:$B$1800,AF$1)</f>
        <v>0</v>
      </c>
      <c r="AG80" s="117" t="n">
        <f aca="false">SUMIFS(الريسبي!$C$2:$C$1800,الريسبي!$A$2:$A$1800,$A80,الريسبي!$B$2:$B$1800,AG$1)</f>
        <v>0</v>
      </c>
      <c r="AH80" s="117" t="n">
        <f aca="false">SUMIFS(الريسبي!$C$2:$C$1800,الريسبي!$A$2:$A$1800,$A80,الريسبي!$B$2:$B$1800,AH$1)</f>
        <v>0</v>
      </c>
      <c r="AI80" s="117" t="n">
        <f aca="false">SUMIFS(الريسبي!$C$2:$C$1800,الريسبي!$A$2:$A$1800,$A80,الريسبي!$B$2:$B$1800,AI$1)</f>
        <v>0</v>
      </c>
      <c r="AJ80" s="117" t="n">
        <f aca="false">SUMIFS(الريسبي!$C$2:$C$1800,الريسبي!$A$2:$A$1800,$A80,الريسبي!$B$2:$B$1800,AJ$1)</f>
        <v>2</v>
      </c>
      <c r="AK80" s="117" t="n">
        <f aca="false">SUMIFS(الريسبي!$C$2:$C$1800,الريسبي!$A$2:$A$1800,$A80,الريسبي!$B$2:$B$1800,AK$1)</f>
        <v>0</v>
      </c>
      <c r="AL80" s="117" t="n">
        <f aca="false">SUMIFS(الريسبي!$C$2:$C$1800,الريسبي!$A$2:$A$1800,$A80,الريسبي!$B$2:$B$1800,AL$1)</f>
        <v>0</v>
      </c>
      <c r="AM80" s="117" t="n">
        <f aca="false">SUMIFS(الريسبي!$C$2:$C$1800,الريسبي!$A$2:$A$1800,$A80,الريسبي!$B$2:$B$1800,AM$1)+0.08333333333*SUMIFS(الريسبي!$C$2:$C$1800,الريسبي!$A$2:$A$1800,$A80,الريسبي!$B$2:$B$1800,"عجين كريب (مصنع بالمطعم)")+0.08333333333*SUMIFS(الريسبي!$C$2:$C$1800,الريسبي!$A$2:$A$1800,$A80,الريسبي!$B$2:$B$1800,"عجين كريب صيامي (بدون لبن)")</f>
        <v>0</v>
      </c>
      <c r="AN80" s="117" t="n">
        <f aca="false">SUMIFS(الريسبي!$C$2:$C$1800,الريسبي!$A$2:$A$1800,$A80,الريسبي!$B$2:$B$1800,AN$1)+0.004166666667*SUMIFS(الريسبي!$C$2:$C$1800,الريسبي!$A$2:$A$1800,$A80,الريسبي!$B$2:$B$1800,"عجين كريب (مصنع بالمطعم)")+0.004166666667*SUMIFS(الريسبي!$C$2:$C$1800,الريسبي!$A$2:$A$1800,$A80,الريسبي!$B$2:$B$1800,"عجين كريب صيامي (بدون لبن)")</f>
        <v>0</v>
      </c>
      <c r="AO80" s="117" t="n">
        <f aca="false">SUMIFS(الريسبي!$C$2:$C$1800,الريسبي!$A$2:$A$1800,$A80,الريسبي!$B$2:$B$1800,AO$1)</f>
        <v>0</v>
      </c>
      <c r="AP80" s="117" t="n">
        <f aca="false">SUMIFS(الريسبي!$C$2:$C$1800,الريسبي!$A$2:$A$1800,$A80,الريسبي!$B$2:$B$1800,AP$1)</f>
        <v>0.03</v>
      </c>
      <c r="AQ80" s="117" t="n">
        <f aca="false">SUMIFS(الريسبي!$C$2:$C$1800,الريسبي!$A$2:$A$1800,$A80,الريسبي!$B$2:$B$1800,AQ$1)+0.004166666667*SUMIFS(الريسبي!$C$2:$C$1800,الريسبي!$A$2:$A$1800,$A80,الريسبي!$B$2:$B$1800,"عجين كريب (مصنع بالمطعم)")+0.004166666667*SUMIFS(الريسبي!$C$2:$C$1800,الريسبي!$A$2:$A$1800,$A80,الريسبي!$B$2:$B$1800,"عجين كريب صيامي (بدون لبن)")</f>
        <v>0</v>
      </c>
      <c r="AR80" s="117" t="n">
        <f aca="false">SUMIFS(الريسبي!$C$2:$C$1800,الريسبي!$A$2:$A$1800,$A80,الريسبي!$B$2:$B$1800,AR$1)</f>
        <v>0</v>
      </c>
      <c r="AS80" s="117" t="n">
        <f aca="false">SUMIFS(الريسبي!$C$2:$C$1800,الريسبي!$A$2:$A$1800,$A80,الريسبي!$B$2:$B$1800,AS$1)</f>
        <v>0</v>
      </c>
      <c r="AT80" s="117" t="n">
        <f aca="false">SUMIFS(الريسبي!$C$2:$C$1800,الريسبي!$A$2:$A$1800,$A80,الريسبي!$B$2:$B$1800,AT$1)</f>
        <v>0</v>
      </c>
      <c r="AU80" s="117" t="n">
        <f aca="false">SUMIFS(الريسبي!$C$2:$C$1800,الريسبي!$A$2:$A$1800,$A80,الريسبي!$B$2:$B$1800,AU$1)</f>
        <v>0</v>
      </c>
      <c r="AV80" s="117" t="n">
        <f aca="false">SUMIFS(الريسبي!$C$2:$C$1800,الريسبي!$A$2:$A$1800,$A80,الريسبي!$B$2:$B$1800,AV$1)</f>
        <v>0</v>
      </c>
      <c r="AW80" s="117" t="n">
        <f aca="false">SUMIFS(الريسبي!$C$2:$C$1800,الريسبي!$A$2:$A$1800,$A80,الريسبي!$B$2:$B$1800,AW$1)</f>
        <v>0</v>
      </c>
      <c r="AX80" s="117" t="n">
        <f aca="false">SUMIFS(الريسبي!$C$2:$C$1800,الريسبي!$A$2:$A$1800,$A80,الريسبي!$B$2:$B$1800,AX$1)</f>
        <v>0.06</v>
      </c>
      <c r="AY80" s="117" t="n">
        <f aca="false">SUMIFS(الريسبي!$C$2:$C$1800,الريسبي!$A$2:$A$1800,$A80,الريسبي!$B$2:$B$1800,AY$1)</f>
        <v>0</v>
      </c>
      <c r="AZ80" s="117" t="n">
        <f aca="false">SUMIFS(الريسبي!$C$2:$C$1800,الريسبي!$A$2:$A$1800,$A80,الريسبي!$B$2:$B$1800,AZ$1)</f>
        <v>0</v>
      </c>
      <c r="BA80" s="117" t="n">
        <f aca="false">SUMIFS(الريسبي!$C$2:$C$1800,الريسبي!$A$2:$A$1800,$A80,الريسبي!$B$2:$B$1800,BA$1)</f>
        <v>0</v>
      </c>
      <c r="BB80" s="117" t="n">
        <f aca="false">SUMIFS(الريسبي!$C$2:$C$1800,الريسبي!$A$2:$A$1800,$A80,الريسبي!$B$2:$B$1800,BB$1)</f>
        <v>0</v>
      </c>
      <c r="BC80" s="117" t="n">
        <f aca="false">SUMIFS(الريسبي!$C$2:$C$1800,الريسبي!$A$2:$A$1800,$A80,الريسبي!$B$2:$B$1800,BC$1)</f>
        <v>0.045</v>
      </c>
      <c r="BD80" s="117" t="n">
        <f aca="false">SUMIFS(الريسبي!$C$2:$C$1800,الريسبي!$A$2:$A$1800,$A80,الريسبي!$B$2:$B$1800,BD$1)</f>
        <v>0.3</v>
      </c>
      <c r="BE80" s="117" t="n">
        <f aca="false">SUMIFS(الريسبي!$C$2:$C$1800,الريسبي!$A$2:$A$1800,$A80,الريسبي!$B$2:$B$1800,BE$1)</f>
        <v>0</v>
      </c>
      <c r="BF80" s="117" t="n">
        <f aca="false">SUMIFS(الريسبي!$C$2:$C$1800,الريسبي!$A$2:$A$1800,$A80,الريسبي!$B$2:$B$1800,BF$1)</f>
        <v>0</v>
      </c>
      <c r="BG80" s="117" t="n">
        <f aca="false">SUMIFS(الريسبي!$C$2:$C$1800,الريسبي!$A$2:$A$1800,$A80,الريسبي!$B$2:$B$1800,BG$1)</f>
        <v>1</v>
      </c>
      <c r="BH80" s="117" t="n">
        <f aca="false">SUMIFS(الريسبي!$C$2:$C$1800,الريسبي!$A$2:$A$1800,$A80,الريسبي!$B$2:$B$1800,BH$1)</f>
        <v>0</v>
      </c>
      <c r="BI80" s="117" t="n">
        <f aca="false">SUMIFS(الريسبي!$C$2:$C$1800,الريسبي!$A$2:$A$1800,$A80,الريسبي!$B$2:$B$1800,BI$1)</f>
        <v>0</v>
      </c>
      <c r="BJ80" s="117" t="n">
        <f aca="false">SUMIFS(الريسبي!$C$2:$C$1800,الريسبي!$A$2:$A$1800,$A80,الريسبي!$B$2:$B$1800,BJ$1)</f>
        <v>0</v>
      </c>
      <c r="BK80" s="117" t="n">
        <f aca="false">SUMIFS(الريسبي!$C$2:$C$1800,الريسبي!$A$2:$A$1800,$A80,الريسبي!$B$2:$B$1800,BK$1)</f>
        <v>0</v>
      </c>
      <c r="BL80" s="117" t="n">
        <f aca="false">SUMIFS(الريسبي!$C$2:$C$1800,الريسبي!$A$2:$A$1800,$A80,الريسبي!$B$2:$B$1800,BL$1)</f>
        <v>0</v>
      </c>
      <c r="BM80" s="117" t="n">
        <f aca="false">SUMIFS(الريسبي!$C$2:$C$1800,الريسبي!$A$2:$A$1800,$A80,الريسبي!$B$2:$B$1800,BM$1)</f>
        <v>0</v>
      </c>
      <c r="BN80" s="117" t="n">
        <f aca="false">SUMIFS(الريسبي!$C$2:$C$1800,الريسبي!$A$2:$A$1800,$A80,الريسبي!$B$2:$B$1800,BN$1)</f>
        <v>0.03</v>
      </c>
      <c r="BO80" s="117" t="n">
        <f aca="false">SUMIFS(الريسبي!$C$2:$C$1800,الريسبي!$A$2:$A$1800,$A80,الريسبي!$B$2:$B$1800,BO$1)</f>
        <v>0</v>
      </c>
      <c r="BP80" s="117" t="n">
        <f aca="false">SUMIFS(الريسبي!$C$2:$C$1800,الريسبي!$A$2:$A$1800,$A80,الريسبي!$B$2:$B$1800,BP$1)</f>
        <v>3</v>
      </c>
      <c r="BQ80" s="117" t="n">
        <f aca="false">SUMIFS(الريسبي!$C$2:$C$1800,الريسبي!$A$2:$A$1800,$A80,الريسبي!$B$2:$B$1800,BQ$1)+0.17*SUMIFS(الريسبي!$C$2:$C$1800,الريسبي!$A$2:$A$1800,$A80,الريسبي!$B$2:$B$1800,"كاسترد مصنع (خليط بودر + لبن)")+0.17*SUMIFS(الريسبي!$C$2:$C$1800,الريسبي!$A$2:$A$1800,$A80,الريسبي!$B$2:$B$1800,"كاسترد مصنع صيامي (بدون لبن)")</f>
        <v>0</v>
      </c>
      <c r="BR80" s="117" t="n">
        <f aca="false">SUMIFS(الريسبي!$C$2:$C$1800,الريسبي!$A$2:$A$1800,$A80,الريسبي!$B$2:$B$1800,BR$1)</f>
        <v>1</v>
      </c>
      <c r="BS80" s="117" t="n">
        <f aca="false">SUMIFS(الريسبي!$C$2:$C$1800,الريسبي!$A$2:$A$1800,$A80,الريسبي!$B$2:$B$1800,BS$1)</f>
        <v>0</v>
      </c>
      <c r="BT80" s="117" t="n">
        <f aca="false">SUMIFS(الريسبي!$C$2:$C$1800,الريسبي!$A$2:$A$1800,$A80,الريسبي!$B$2:$B$1800,BT$1)</f>
        <v>0</v>
      </c>
      <c r="BU80" s="117" t="n">
        <f aca="false">SUMIFS(الريسبي!$C$2:$C$1800,الريسبي!$A$2:$A$1800,$A80,الريسبي!$B$2:$B$1800,BU$1)+0.4*SUMIFS(الريسبي!$C$2:$C$1800,الريسبي!$A$2:$A$1800,$A80,الريسبي!$B$2:$B$1800,"كاسترد مصنع (خليط بودر + لبن)")+0.03333333333*SUMIFS(الريسبي!$C$2:$C$1800,الريسبي!$A$2:$A$1800,$A80,الريسبي!$B$2:$B$1800,"عجين كريب (مصنع بالمطعم)")</f>
        <v>0</v>
      </c>
      <c r="BV80" s="117" t="n">
        <f aca="false">SUMIFS(الريسبي!$C$2:$C$1800,الريسبي!$A$2:$A$1800,$A80,الريسبي!$B$2:$B$1800,BV$1)</f>
        <v>0</v>
      </c>
      <c r="BW80" s="117" t="n">
        <f aca="false">SUMIFS(الريسبي!$C$2:$C$1800,الريسبي!$A$2:$A$1800,$A80,الريسبي!$B$2:$B$1800,BW$1)</f>
        <v>0</v>
      </c>
      <c r="BX80" s="117" t="n">
        <f aca="false">SUMIFS(الريسبي!$C$2:$C$1800,الريسبي!$A$2:$A$1800,$A80,الريسبي!$B$2:$B$1800,BX$1)</f>
        <v>0.15</v>
      </c>
      <c r="BY80" s="117" t="n">
        <f aca="false">SUMIFS(الريسبي!$C$2:$C$1800,الريسبي!$A$2:$A$1800,$A80,الريسبي!$B$2:$B$1800,BY$1)</f>
        <v>0</v>
      </c>
      <c r="BZ80" s="117" t="n">
        <f aca="false">SUMIFS(الريسبي!$C$2:$C$1800,الريسبي!$A$2:$A$1800,$A80,الريسبي!$B$2:$B$1800,BZ$1)</f>
        <v>0</v>
      </c>
      <c r="CA80" s="117" t="n">
        <f aca="false">SUMIFS(الريسبي!$C$2:$C$1800,الريسبي!$A$2:$A$1800,$A80,الريسبي!$B$2:$B$1800,CA$1)</f>
        <v>1</v>
      </c>
      <c r="CB80" s="117" t="n">
        <f aca="false">SUMIFS(الريسبي!$C$2:$C$1800,الريسبي!$A$2:$A$1800,$A80,الريسبي!$B$2:$B$1800,CB$1)</f>
        <v>1</v>
      </c>
      <c r="CC80" s="117" t="n">
        <f aca="false">SUMIFS(الريسبي!$C$2:$C$1800,الريسبي!$A$2:$A$1800,$A80,الريسبي!$B$2:$B$1800,CC$1)</f>
        <v>0</v>
      </c>
      <c r="CD80" s="117" t="n">
        <f aca="false">SUMIFS(الريسبي!$C$2:$C$1800,الريسبي!$A$2:$A$1800,$A80,الريسبي!$B$2:$B$1800,CD$1)</f>
        <v>0</v>
      </c>
      <c r="CE80" s="117" t="n">
        <f aca="false">SUMIFS(الريسبي!$C$2:$C$1800,الريسبي!$A$2:$A$1800,$A80,الريسبي!$B$2:$B$1800,CE$1)</f>
        <v>0</v>
      </c>
      <c r="CF80" s="117" t="n">
        <f aca="false">SUMIFS(الريسبي!$C$2:$C$1800,الريسبي!$A$2:$A$1800,$A80,الريسبي!$B$2:$B$1800,CF$1)</f>
        <v>0</v>
      </c>
      <c r="CG80" s="117" t="n">
        <f aca="false">SUMIFS(الريسبي!$C$2:$C$1800,الريسبي!$A$2:$A$1800,$A80,الريسبي!$B$2:$B$1800,CG$1)</f>
        <v>0</v>
      </c>
      <c r="CH80" s="117" t="n">
        <f aca="false">SUMIFS(الريسبي!$C$2:$C$1800,الريسبي!$A$2:$A$1800,$A80,الريسبي!$B$2:$B$1800,CH$1)</f>
        <v>0</v>
      </c>
      <c r="CI80" s="117" t="n">
        <f aca="false">SUMIFS(الريسبي!$C$2:$C$1800,الريسبي!$A$2:$A$1800,$A80,الريسبي!$B$2:$B$1800,CI$1)</f>
        <v>0</v>
      </c>
      <c r="CJ80" s="117" t="n">
        <f aca="false">SUMIFS(الريسبي!$C$2:$C$1800,الريسبي!$A$2:$A$1800,$A80,الريسبي!$B$2:$B$1800,CJ$1)</f>
        <v>0</v>
      </c>
      <c r="CK80" s="117" t="n">
        <f aca="false">SUMIFS(الريسبي!$C$2:$C$1800,الريسبي!$A$2:$A$1800,$A80,الريسبي!$B$2:$B$1800,CK$1)</f>
        <v>0</v>
      </c>
      <c r="CL80" s="117" t="n">
        <f aca="false">SUMIFS(الريسبي!$C$2:$C$1800,الريسبي!$A$2:$A$1800,$A80,الريسبي!$B$2:$B$1800,CL$1)</f>
        <v>0</v>
      </c>
    </row>
    <row r="81" customFormat="false" ht="15" hidden="false" customHeight="false" outlineLevel="0" collapsed="false">
      <c r="A81" s="116" t="str">
        <f aca="false">المنيو!B81</f>
        <v>بيتزا سوسيس صيامي وسط</v>
      </c>
      <c r="B81" s="117" t="n">
        <f aca="false">SUMIFS(الريسبي!$C$2:$C$1800,الريسبي!$A$2:$A$1800,$A81,الريسبي!$B$2:$B$1800,B$1)</f>
        <v>0</v>
      </c>
      <c r="C81" s="117" t="n">
        <f aca="false">SUMIFS(الريسبي!$C$2:$C$1800,الريسبي!$A$2:$A$1800,$A81,الريسبي!$B$2:$B$1800,C$1)</f>
        <v>0</v>
      </c>
      <c r="D81" s="117" t="n">
        <f aca="false">SUMIFS(الريسبي!$C$2:$C$1800,الريسبي!$A$2:$A$1800,$A81,الريسبي!$B$2:$B$1800,D$1)</f>
        <v>1</v>
      </c>
      <c r="E81" s="117" t="n">
        <f aca="false">SUMIFS(الريسبي!$C$2:$C$1800,الريسبي!$A$2:$A$1800,$A81,الريسبي!$B$2:$B$1800,E$1)</f>
        <v>0</v>
      </c>
      <c r="F81" s="117" t="n">
        <f aca="false">SUMIFS(الريسبي!$C$2:$C$1800,الريسبي!$A$2:$A$1800,$A81,الريسبي!$B$2:$B$1800,F$1)</f>
        <v>0</v>
      </c>
      <c r="G81" s="117" t="n">
        <f aca="false">SUMIFS(الريسبي!$C$2:$C$1800,الريسبي!$A$2:$A$1800,$A81,الريسبي!$B$2:$B$1800,G$1)</f>
        <v>0</v>
      </c>
      <c r="H81" s="117" t="n">
        <f aca="false">SUMIFS(الريسبي!$C$2:$C$1800,الريسبي!$A$2:$A$1800,$A81,الريسبي!$B$2:$B$1800,H$1)</f>
        <v>0</v>
      </c>
      <c r="I81" s="117" t="n">
        <f aca="false">SUMIFS(الريسبي!$C$2:$C$1800,الريسبي!$A$2:$A$1800,$A81,الريسبي!$B$2:$B$1800,I$1)</f>
        <v>0</v>
      </c>
      <c r="J81" s="117" t="n">
        <f aca="false">SUMIFS(الريسبي!$C$2:$C$1800,الريسبي!$A$2:$A$1800,$A81,الريسبي!$B$2:$B$1800,J$1)</f>
        <v>0</v>
      </c>
      <c r="K81" s="117" t="n">
        <f aca="false">SUMIFS(الريسبي!$C$2:$C$1800,الريسبي!$A$2:$A$1800,$A81,الريسبي!$B$2:$B$1800,K$1)</f>
        <v>0</v>
      </c>
      <c r="L81" s="117" t="n">
        <f aca="false">SUMIFS(الريسبي!$C$2:$C$1800,الريسبي!$A$2:$A$1800,$A81,الريسبي!$B$2:$B$1800,L$1)</f>
        <v>0</v>
      </c>
      <c r="M81" s="117" t="n">
        <f aca="false">SUMIFS(الريسبي!$C$2:$C$1800,الريسبي!$A$2:$A$1800,$A81,الريسبي!$B$2:$B$1800,M$1)</f>
        <v>0</v>
      </c>
      <c r="N81" s="117" t="n">
        <f aca="false">SUMIFS(الريسبي!$C$2:$C$1800,الريسبي!$A$2:$A$1800,$A81,الريسبي!$B$2:$B$1800,N$1)</f>
        <v>0</v>
      </c>
      <c r="O81" s="117" t="n">
        <f aca="false">SUMIFS(الريسبي!$C$2:$C$1800,الريسبي!$A$2:$A$1800,$A81,الريسبي!$B$2:$B$1800,O$1)</f>
        <v>0</v>
      </c>
      <c r="P81" s="117" t="n">
        <f aca="false">SUMIFS(الريسبي!$C$2:$C$1800,الريسبي!$A$2:$A$1800,$A81,الريسبي!$B$2:$B$1800,P$1)</f>
        <v>0</v>
      </c>
      <c r="Q81" s="117" t="n">
        <f aca="false">SUMIFS(الريسبي!$C$2:$C$1800,الريسبي!$A$2:$A$1800,$A81,الريسبي!$B$2:$B$1800,Q$1)</f>
        <v>0</v>
      </c>
      <c r="R81" s="117" t="n">
        <f aca="false">SUMIFS(الريسبي!$C$2:$C$1800,الريسبي!$A$2:$A$1800,$A81,الريسبي!$B$2:$B$1800,R$1)</f>
        <v>0</v>
      </c>
      <c r="S81" s="117" t="n">
        <f aca="false">SUMIFS(الريسبي!$C$2:$C$1800,الريسبي!$A$2:$A$1800,$A81,الريسبي!$B$2:$B$1800,S$1)</f>
        <v>0</v>
      </c>
      <c r="T81" s="117" t="n">
        <f aca="false">SUMIFS(الريسبي!$C$2:$C$1800,الريسبي!$A$2:$A$1800,$A81,الريسبي!$B$2:$B$1800,T$1)</f>
        <v>0</v>
      </c>
      <c r="U81" s="117" t="n">
        <f aca="false">SUMIFS(الريسبي!$C$2:$C$1800,الريسبي!$A$2:$A$1800,$A81,الريسبي!$B$2:$B$1800,U$1)</f>
        <v>0</v>
      </c>
      <c r="V81" s="117" t="n">
        <f aca="false">SUMIFS(الريسبي!$C$2:$C$1800,الريسبي!$A$2:$A$1800,$A81,الريسبي!$B$2:$B$1800,V$1)+1.5*(SUMIFS(الريسبي!$C$2:$C$1800,الريسبي!$A$2:$A$1800,$A81,الريسبي!$B$2:$B$1800,"برسيون موتزريلا بيتزا كبير"))</f>
        <v>0</v>
      </c>
      <c r="W81" s="117" t="n">
        <f aca="false">0</f>
        <v>0</v>
      </c>
      <c r="X81" s="117" t="n">
        <f aca="false">SUMIFS(الريسبي!$C$2:$C$1800,الريسبي!$A$2:$A$1800,$A81,الريسبي!$B$2:$B$1800,X$1)+1.5*(SUMIFS(الريسبي!$C$2:$C$1800,الريسبي!$A$2:$A$1800,$A81,الريسبي!$B$2:$B$1800,"برسيون موتزريلا فطير كبير"))</f>
        <v>1</v>
      </c>
      <c r="Y81" s="117" t="n">
        <f aca="false">0</f>
        <v>0</v>
      </c>
      <c r="Z81" s="117" t="n">
        <f aca="false">SUMIFS(الريسبي!$C$2:$C$1800,الريسبي!$A$2:$A$1800,$A81,الريسبي!$B$2:$B$1800,Z$1)</f>
        <v>0</v>
      </c>
      <c r="AA81" s="117" t="n">
        <f aca="false">SUMIFS(الريسبي!$C$2:$C$1800,الريسبي!$A$2:$A$1800,$A81,الريسبي!$B$2:$B$1800,AA$1)</f>
        <v>0</v>
      </c>
      <c r="AB81" s="117" t="n">
        <f aca="false">SUMIFS(الريسبي!$C$2:$C$1800,الريسبي!$A$2:$A$1800,$A81,الريسبي!$B$2:$B$1800,AB$1)</f>
        <v>0</v>
      </c>
      <c r="AC81" s="117" t="n">
        <f aca="false">SUMIFS(الريسبي!$C$2:$C$1800,الريسبي!$A$2:$A$1800,$A81,الريسبي!$B$2:$B$1800,AC$1)</f>
        <v>0</v>
      </c>
      <c r="AD81" s="117" t="n">
        <f aca="false">SUMIFS(الريسبي!$C$2:$C$1800,الريسبي!$A$2:$A$1800,$A81,الريسبي!$B$2:$B$1800,AD$1)</f>
        <v>0</v>
      </c>
      <c r="AE81" s="117" t="n">
        <f aca="false">SUMIFS(الريسبي!$C$2:$C$1800,الريسبي!$A$2:$A$1800,$A81,الريسبي!$B$2:$B$1800,AE$1)</f>
        <v>0</v>
      </c>
      <c r="AF81" s="117" t="n">
        <f aca="false">SUMIFS(الريسبي!$C$2:$C$1800,الريسبي!$A$2:$A$1800,$A81,الريسبي!$B$2:$B$1800,AF$1)</f>
        <v>0</v>
      </c>
      <c r="AG81" s="117" t="n">
        <f aca="false">SUMIFS(الريسبي!$C$2:$C$1800,الريسبي!$A$2:$A$1800,$A81,الريسبي!$B$2:$B$1800,AG$1)</f>
        <v>0</v>
      </c>
      <c r="AH81" s="117" t="n">
        <f aca="false">SUMIFS(الريسبي!$C$2:$C$1800,الريسبي!$A$2:$A$1800,$A81,الريسبي!$B$2:$B$1800,AH$1)</f>
        <v>0</v>
      </c>
      <c r="AI81" s="117" t="n">
        <f aca="false">SUMIFS(الريسبي!$C$2:$C$1800,الريسبي!$A$2:$A$1800,$A81,الريسبي!$B$2:$B$1800,AI$1)</f>
        <v>0</v>
      </c>
      <c r="AJ81" s="117" t="n">
        <f aca="false">SUMIFS(الريسبي!$C$2:$C$1800,الريسبي!$A$2:$A$1800,$A81,الريسبي!$B$2:$B$1800,AJ$1)</f>
        <v>2</v>
      </c>
      <c r="AK81" s="117" t="n">
        <f aca="false">SUMIFS(الريسبي!$C$2:$C$1800,الريسبي!$A$2:$A$1800,$A81,الريسبي!$B$2:$B$1800,AK$1)</f>
        <v>0</v>
      </c>
      <c r="AL81" s="117" t="n">
        <f aca="false">SUMIFS(الريسبي!$C$2:$C$1800,الريسبي!$A$2:$A$1800,$A81,الريسبي!$B$2:$B$1800,AL$1)</f>
        <v>0</v>
      </c>
      <c r="AM81" s="117" t="n">
        <f aca="false">SUMIFS(الريسبي!$C$2:$C$1800,الريسبي!$A$2:$A$1800,$A81,الريسبي!$B$2:$B$1800,AM$1)+0.08333333333*SUMIFS(الريسبي!$C$2:$C$1800,الريسبي!$A$2:$A$1800,$A81,الريسبي!$B$2:$B$1800,"عجين كريب (مصنع بالمطعم)")+0.08333333333*SUMIFS(الريسبي!$C$2:$C$1800,الريسبي!$A$2:$A$1800,$A81,الريسبي!$B$2:$B$1800,"عجين كريب صيامي (بدون لبن)")</f>
        <v>0</v>
      </c>
      <c r="AN81" s="117" t="n">
        <f aca="false">SUMIFS(الريسبي!$C$2:$C$1800,الريسبي!$A$2:$A$1800,$A81,الريسبي!$B$2:$B$1800,AN$1)+0.004166666667*SUMIFS(الريسبي!$C$2:$C$1800,الريسبي!$A$2:$A$1800,$A81,الريسبي!$B$2:$B$1800,"عجين كريب (مصنع بالمطعم)")+0.004166666667*SUMIFS(الريسبي!$C$2:$C$1800,الريسبي!$A$2:$A$1800,$A81,الريسبي!$B$2:$B$1800,"عجين كريب صيامي (بدون لبن)")</f>
        <v>0</v>
      </c>
      <c r="AO81" s="117" t="n">
        <f aca="false">SUMIFS(الريسبي!$C$2:$C$1800,الريسبي!$A$2:$A$1800,$A81,الريسبي!$B$2:$B$1800,AO$1)</f>
        <v>0</v>
      </c>
      <c r="AP81" s="117" t="n">
        <f aca="false">SUMIFS(الريسبي!$C$2:$C$1800,الريسبي!$A$2:$A$1800,$A81,الريسبي!$B$2:$B$1800,AP$1)</f>
        <v>0.02</v>
      </c>
      <c r="AQ81" s="117" t="n">
        <f aca="false">SUMIFS(الريسبي!$C$2:$C$1800,الريسبي!$A$2:$A$1800,$A81,الريسبي!$B$2:$B$1800,AQ$1)+0.004166666667*SUMIFS(الريسبي!$C$2:$C$1800,الريسبي!$A$2:$A$1800,$A81,الريسبي!$B$2:$B$1800,"عجين كريب (مصنع بالمطعم)")+0.004166666667*SUMIFS(الريسبي!$C$2:$C$1800,الريسبي!$A$2:$A$1800,$A81,الريسبي!$B$2:$B$1800,"عجين كريب صيامي (بدون لبن)")</f>
        <v>0</v>
      </c>
      <c r="AR81" s="117" t="n">
        <f aca="false">SUMIFS(الريسبي!$C$2:$C$1800,الريسبي!$A$2:$A$1800,$A81,الريسبي!$B$2:$B$1800,AR$1)</f>
        <v>0</v>
      </c>
      <c r="AS81" s="117" t="n">
        <f aca="false">SUMIFS(الريسبي!$C$2:$C$1800,الريسبي!$A$2:$A$1800,$A81,الريسبي!$B$2:$B$1800,AS$1)</f>
        <v>0</v>
      </c>
      <c r="AT81" s="117" t="n">
        <f aca="false">SUMIFS(الريسبي!$C$2:$C$1800,الريسبي!$A$2:$A$1800,$A81,الريسبي!$B$2:$B$1800,AT$1)</f>
        <v>0</v>
      </c>
      <c r="AU81" s="117" t="n">
        <f aca="false">SUMIFS(الريسبي!$C$2:$C$1800,الريسبي!$A$2:$A$1800,$A81,الريسبي!$B$2:$B$1800,AU$1)</f>
        <v>0</v>
      </c>
      <c r="AV81" s="117" t="n">
        <f aca="false">SUMIFS(الريسبي!$C$2:$C$1800,الريسبي!$A$2:$A$1800,$A81,الريسبي!$B$2:$B$1800,AV$1)</f>
        <v>0</v>
      </c>
      <c r="AW81" s="117" t="n">
        <f aca="false">SUMIFS(الريسبي!$C$2:$C$1800,الريسبي!$A$2:$A$1800,$A81,الريسبي!$B$2:$B$1800,AW$1)</f>
        <v>0</v>
      </c>
      <c r="AX81" s="117" t="n">
        <f aca="false">SUMIFS(الريسبي!$C$2:$C$1800,الريسبي!$A$2:$A$1800,$A81,الريسبي!$B$2:$B$1800,AX$1)</f>
        <v>0.04</v>
      </c>
      <c r="AY81" s="117" t="n">
        <f aca="false">SUMIFS(الريسبي!$C$2:$C$1800,الريسبي!$A$2:$A$1800,$A81,الريسبي!$B$2:$B$1800,AY$1)</f>
        <v>0</v>
      </c>
      <c r="AZ81" s="117" t="n">
        <f aca="false">SUMIFS(الريسبي!$C$2:$C$1800,الريسبي!$A$2:$A$1800,$A81,الريسبي!$B$2:$B$1800,AZ$1)</f>
        <v>0</v>
      </c>
      <c r="BA81" s="117" t="n">
        <f aca="false">SUMIFS(الريسبي!$C$2:$C$1800,الريسبي!$A$2:$A$1800,$A81,الريسبي!$B$2:$B$1800,BA$1)</f>
        <v>0</v>
      </c>
      <c r="BB81" s="117" t="n">
        <f aca="false">SUMIFS(الريسبي!$C$2:$C$1800,الريسبي!$A$2:$A$1800,$A81,الريسبي!$B$2:$B$1800,BB$1)</f>
        <v>0</v>
      </c>
      <c r="BC81" s="117" t="n">
        <f aca="false">SUMIFS(الريسبي!$C$2:$C$1800,الريسبي!$A$2:$A$1800,$A81,الريسبي!$B$2:$B$1800,BC$1)</f>
        <v>0.03</v>
      </c>
      <c r="BD81" s="117" t="n">
        <f aca="false">SUMIFS(الريسبي!$C$2:$C$1800,الريسبي!$A$2:$A$1800,$A81,الريسبي!$B$2:$B$1800,BD$1)</f>
        <v>0.22</v>
      </c>
      <c r="BE81" s="117" t="n">
        <f aca="false">SUMIFS(الريسبي!$C$2:$C$1800,الريسبي!$A$2:$A$1800,$A81,الريسبي!$B$2:$B$1800,BE$1)</f>
        <v>0</v>
      </c>
      <c r="BF81" s="117" t="n">
        <f aca="false">SUMIFS(الريسبي!$C$2:$C$1800,الريسبي!$A$2:$A$1800,$A81,الريسبي!$B$2:$B$1800,BF$1)</f>
        <v>0</v>
      </c>
      <c r="BG81" s="117" t="n">
        <f aca="false">SUMIFS(الريسبي!$C$2:$C$1800,الريسبي!$A$2:$A$1800,$A81,الريسبي!$B$2:$B$1800,BG$1)</f>
        <v>0</v>
      </c>
      <c r="BH81" s="117" t="n">
        <f aca="false">SUMIFS(الريسبي!$C$2:$C$1800,الريسبي!$A$2:$A$1800,$A81,الريسبي!$B$2:$B$1800,BH$1)</f>
        <v>1</v>
      </c>
      <c r="BI81" s="117" t="n">
        <f aca="false">SUMIFS(الريسبي!$C$2:$C$1800,الريسبي!$A$2:$A$1800,$A81,الريسبي!$B$2:$B$1800,BI$1)</f>
        <v>0</v>
      </c>
      <c r="BJ81" s="117" t="n">
        <f aca="false">SUMIFS(الريسبي!$C$2:$C$1800,الريسبي!$A$2:$A$1800,$A81,الريسبي!$B$2:$B$1800,BJ$1)</f>
        <v>0</v>
      </c>
      <c r="BK81" s="117" t="n">
        <f aca="false">SUMIFS(الريسبي!$C$2:$C$1800,الريسبي!$A$2:$A$1800,$A81,الريسبي!$B$2:$B$1800,BK$1)</f>
        <v>0</v>
      </c>
      <c r="BL81" s="117" t="n">
        <f aca="false">SUMIFS(الريسبي!$C$2:$C$1800,الريسبي!$A$2:$A$1800,$A81,الريسبي!$B$2:$B$1800,BL$1)</f>
        <v>0</v>
      </c>
      <c r="BM81" s="117" t="n">
        <f aca="false">SUMIFS(الريسبي!$C$2:$C$1800,الريسبي!$A$2:$A$1800,$A81,الريسبي!$B$2:$B$1800,BM$1)</f>
        <v>0</v>
      </c>
      <c r="BN81" s="117" t="n">
        <f aca="false">SUMIFS(الريسبي!$C$2:$C$1800,الريسبي!$A$2:$A$1800,$A81,الريسبي!$B$2:$B$1800,BN$1)</f>
        <v>0.02</v>
      </c>
      <c r="BO81" s="117" t="n">
        <f aca="false">SUMIFS(الريسبي!$C$2:$C$1800,الريسبي!$A$2:$A$1800,$A81,الريسبي!$B$2:$B$1800,BO$1)</f>
        <v>0</v>
      </c>
      <c r="BP81" s="117" t="n">
        <f aca="false">SUMIFS(الريسبي!$C$2:$C$1800,الريسبي!$A$2:$A$1800,$A81,الريسبي!$B$2:$B$1800,BP$1)</f>
        <v>2</v>
      </c>
      <c r="BQ81" s="117" t="n">
        <f aca="false">SUMIFS(الريسبي!$C$2:$C$1800,الريسبي!$A$2:$A$1800,$A81,الريسبي!$B$2:$B$1800,BQ$1)+0.17*SUMIFS(الريسبي!$C$2:$C$1800,الريسبي!$A$2:$A$1800,$A81,الريسبي!$B$2:$B$1800,"كاسترد مصنع (خليط بودر + لبن)")+0.17*SUMIFS(الريسبي!$C$2:$C$1800,الريسبي!$A$2:$A$1800,$A81,الريسبي!$B$2:$B$1800,"كاسترد مصنع صيامي (بدون لبن)")</f>
        <v>0</v>
      </c>
      <c r="BR81" s="117" t="n">
        <f aca="false">SUMIFS(الريسبي!$C$2:$C$1800,الريسبي!$A$2:$A$1800,$A81,الريسبي!$B$2:$B$1800,BR$1)</f>
        <v>1</v>
      </c>
      <c r="BS81" s="117" t="n">
        <f aca="false">SUMIFS(الريسبي!$C$2:$C$1800,الريسبي!$A$2:$A$1800,$A81,الريسبي!$B$2:$B$1800,BS$1)</f>
        <v>0</v>
      </c>
      <c r="BT81" s="117" t="n">
        <f aca="false">SUMIFS(الريسبي!$C$2:$C$1800,الريسبي!$A$2:$A$1800,$A81,الريسبي!$B$2:$B$1800,BT$1)</f>
        <v>0</v>
      </c>
      <c r="BU81" s="117" t="n">
        <f aca="false">SUMIFS(الريسبي!$C$2:$C$1800,الريسبي!$A$2:$A$1800,$A81,الريسبي!$B$2:$B$1800,BU$1)+0.4*SUMIFS(الريسبي!$C$2:$C$1800,الريسبي!$A$2:$A$1800,$A81,الريسبي!$B$2:$B$1800,"كاسترد مصنع (خليط بودر + لبن)")+0.03333333333*SUMIFS(الريسبي!$C$2:$C$1800,الريسبي!$A$2:$A$1800,$A81,الريسبي!$B$2:$B$1800,"عجين كريب (مصنع بالمطعم)")</f>
        <v>0</v>
      </c>
      <c r="BV81" s="117" t="n">
        <f aca="false">SUMIFS(الريسبي!$C$2:$C$1800,الريسبي!$A$2:$A$1800,$A81,الريسبي!$B$2:$B$1800,BV$1)</f>
        <v>0</v>
      </c>
      <c r="BW81" s="117" t="n">
        <f aca="false">SUMIFS(الريسبي!$C$2:$C$1800,الريسبي!$A$2:$A$1800,$A81,الريسبي!$B$2:$B$1800,BW$1)</f>
        <v>0</v>
      </c>
      <c r="BX81" s="117" t="n">
        <f aca="false">SUMIFS(الريسبي!$C$2:$C$1800,الريسبي!$A$2:$A$1800,$A81,الريسبي!$B$2:$B$1800,BX$1)</f>
        <v>0</v>
      </c>
      <c r="BY81" s="117" t="n">
        <f aca="false">SUMIFS(الريسبي!$C$2:$C$1800,الريسبي!$A$2:$A$1800,$A81,الريسبي!$B$2:$B$1800,BY$1)</f>
        <v>0</v>
      </c>
      <c r="BZ81" s="117" t="n">
        <f aca="false">SUMIFS(الريسبي!$C$2:$C$1800,الريسبي!$A$2:$A$1800,$A81,الريسبي!$B$2:$B$1800,BZ$1)</f>
        <v>0</v>
      </c>
      <c r="CA81" s="117" t="n">
        <f aca="false">SUMIFS(الريسبي!$C$2:$C$1800,الريسبي!$A$2:$A$1800,$A81,الريسبي!$B$2:$B$1800,CA$1)</f>
        <v>1</v>
      </c>
      <c r="CB81" s="117" t="n">
        <f aca="false">SUMIFS(الريسبي!$C$2:$C$1800,الريسبي!$A$2:$A$1800,$A81,الريسبي!$B$2:$B$1800,CB$1)</f>
        <v>1</v>
      </c>
      <c r="CC81" s="117" t="n">
        <f aca="false">SUMIFS(الريسبي!$C$2:$C$1800,الريسبي!$A$2:$A$1800,$A81,الريسبي!$B$2:$B$1800,CC$1)</f>
        <v>0</v>
      </c>
      <c r="CD81" s="117" t="n">
        <f aca="false">SUMIFS(الريسبي!$C$2:$C$1800,الريسبي!$A$2:$A$1800,$A81,الريسبي!$B$2:$B$1800,CD$1)</f>
        <v>0.12</v>
      </c>
      <c r="CE81" s="117" t="n">
        <f aca="false">SUMIFS(الريسبي!$C$2:$C$1800,الريسبي!$A$2:$A$1800,$A81,الريسبي!$B$2:$B$1800,CE$1)</f>
        <v>0</v>
      </c>
      <c r="CF81" s="117" t="n">
        <f aca="false">SUMIFS(الريسبي!$C$2:$C$1800,الريسبي!$A$2:$A$1800,$A81,الريسبي!$B$2:$B$1800,CF$1)</f>
        <v>0</v>
      </c>
      <c r="CG81" s="117" t="n">
        <f aca="false">SUMIFS(الريسبي!$C$2:$C$1800,الريسبي!$A$2:$A$1800,$A81,الريسبي!$B$2:$B$1800,CG$1)</f>
        <v>0</v>
      </c>
      <c r="CH81" s="117" t="n">
        <f aca="false">SUMIFS(الريسبي!$C$2:$C$1800,الريسبي!$A$2:$A$1800,$A81,الريسبي!$B$2:$B$1800,CH$1)</f>
        <v>0</v>
      </c>
      <c r="CI81" s="117" t="n">
        <f aca="false">SUMIFS(الريسبي!$C$2:$C$1800,الريسبي!$A$2:$A$1800,$A81,الريسبي!$B$2:$B$1800,CI$1)</f>
        <v>0</v>
      </c>
      <c r="CJ81" s="117" t="n">
        <f aca="false">SUMIFS(الريسبي!$C$2:$C$1800,الريسبي!$A$2:$A$1800,$A81,الريسبي!$B$2:$B$1800,CJ$1)</f>
        <v>0</v>
      </c>
      <c r="CK81" s="117" t="n">
        <f aca="false">SUMIFS(الريسبي!$C$2:$C$1800,الريسبي!$A$2:$A$1800,$A81,الريسبي!$B$2:$B$1800,CK$1)</f>
        <v>0</v>
      </c>
      <c r="CL81" s="117" t="n">
        <f aca="false">SUMIFS(الريسبي!$C$2:$C$1800,الريسبي!$A$2:$A$1800,$A81,الريسبي!$B$2:$B$1800,CL$1)</f>
        <v>0</v>
      </c>
    </row>
    <row r="82" customFormat="false" ht="15" hidden="false" customHeight="false" outlineLevel="0" collapsed="false">
      <c r="A82" s="116" t="str">
        <f aca="false">المنيو!B82</f>
        <v>بيتزا سوسيس صيامي مخصوص</v>
      </c>
      <c r="B82" s="117" t="n">
        <f aca="false">SUMIFS(الريسبي!$C$2:$C$1800,الريسبي!$A$2:$A$1800,$A82,الريسبي!$B$2:$B$1800,B$1)</f>
        <v>0</v>
      </c>
      <c r="C82" s="117" t="n">
        <f aca="false">SUMIFS(الريسبي!$C$2:$C$1800,الريسبي!$A$2:$A$1800,$A82,الريسبي!$B$2:$B$1800,C$1)</f>
        <v>0</v>
      </c>
      <c r="D82" s="117" t="n">
        <f aca="false">SUMIFS(الريسبي!$C$2:$C$1800,الريسبي!$A$2:$A$1800,$A82,الريسبي!$B$2:$B$1800,D$1)</f>
        <v>1</v>
      </c>
      <c r="E82" s="117" t="n">
        <f aca="false">SUMIFS(الريسبي!$C$2:$C$1800,الريسبي!$A$2:$A$1800,$A82,الريسبي!$B$2:$B$1800,E$1)</f>
        <v>0</v>
      </c>
      <c r="F82" s="117" t="n">
        <f aca="false">SUMIFS(الريسبي!$C$2:$C$1800,الريسبي!$A$2:$A$1800,$A82,الريسبي!$B$2:$B$1800,F$1)</f>
        <v>0</v>
      </c>
      <c r="G82" s="117" t="n">
        <f aca="false">SUMIFS(الريسبي!$C$2:$C$1800,الريسبي!$A$2:$A$1800,$A82,الريسبي!$B$2:$B$1800,G$1)</f>
        <v>0</v>
      </c>
      <c r="H82" s="117" t="n">
        <f aca="false">SUMIFS(الريسبي!$C$2:$C$1800,الريسبي!$A$2:$A$1800,$A82,الريسبي!$B$2:$B$1800,H$1)</f>
        <v>0</v>
      </c>
      <c r="I82" s="117" t="n">
        <f aca="false">SUMIFS(الريسبي!$C$2:$C$1800,الريسبي!$A$2:$A$1800,$A82,الريسبي!$B$2:$B$1800,I$1)</f>
        <v>0</v>
      </c>
      <c r="J82" s="117" t="n">
        <f aca="false">SUMIFS(الريسبي!$C$2:$C$1800,الريسبي!$A$2:$A$1800,$A82,الريسبي!$B$2:$B$1800,J$1)</f>
        <v>0</v>
      </c>
      <c r="K82" s="117" t="n">
        <f aca="false">SUMIFS(الريسبي!$C$2:$C$1800,الريسبي!$A$2:$A$1800,$A82,الريسبي!$B$2:$B$1800,K$1)</f>
        <v>0</v>
      </c>
      <c r="L82" s="117" t="n">
        <f aca="false">SUMIFS(الريسبي!$C$2:$C$1800,الريسبي!$A$2:$A$1800,$A82,الريسبي!$B$2:$B$1800,L$1)</f>
        <v>0</v>
      </c>
      <c r="M82" s="117" t="n">
        <f aca="false">SUMIFS(الريسبي!$C$2:$C$1800,الريسبي!$A$2:$A$1800,$A82,الريسبي!$B$2:$B$1800,M$1)</f>
        <v>0</v>
      </c>
      <c r="N82" s="117" t="n">
        <f aca="false">SUMIFS(الريسبي!$C$2:$C$1800,الريسبي!$A$2:$A$1800,$A82,الريسبي!$B$2:$B$1800,N$1)</f>
        <v>0</v>
      </c>
      <c r="O82" s="117" t="n">
        <f aca="false">SUMIFS(الريسبي!$C$2:$C$1800,الريسبي!$A$2:$A$1800,$A82,الريسبي!$B$2:$B$1800,O$1)</f>
        <v>0</v>
      </c>
      <c r="P82" s="117" t="n">
        <f aca="false">SUMIFS(الريسبي!$C$2:$C$1800,الريسبي!$A$2:$A$1800,$A82,الريسبي!$B$2:$B$1800,P$1)</f>
        <v>0</v>
      </c>
      <c r="Q82" s="117" t="n">
        <f aca="false">SUMIFS(الريسبي!$C$2:$C$1800,الريسبي!$A$2:$A$1800,$A82,الريسبي!$B$2:$B$1800,Q$1)</f>
        <v>0</v>
      </c>
      <c r="R82" s="117" t="n">
        <f aca="false">SUMIFS(الريسبي!$C$2:$C$1800,الريسبي!$A$2:$A$1800,$A82,الريسبي!$B$2:$B$1800,R$1)</f>
        <v>0</v>
      </c>
      <c r="S82" s="117" t="n">
        <f aca="false">SUMIFS(الريسبي!$C$2:$C$1800,الريسبي!$A$2:$A$1800,$A82,الريسبي!$B$2:$B$1800,S$1)</f>
        <v>0</v>
      </c>
      <c r="T82" s="117" t="n">
        <f aca="false">SUMIFS(الريسبي!$C$2:$C$1800,الريسبي!$A$2:$A$1800,$A82,الريسبي!$B$2:$B$1800,T$1)</f>
        <v>0</v>
      </c>
      <c r="U82" s="117" t="n">
        <f aca="false">SUMIFS(الريسبي!$C$2:$C$1800,الريسبي!$A$2:$A$1800,$A82,الريسبي!$B$2:$B$1800,U$1)</f>
        <v>0</v>
      </c>
      <c r="V82" s="117" t="n">
        <f aca="false">SUMIFS(الريسبي!$C$2:$C$1800,الريسبي!$A$2:$A$1800,$A82,الريسبي!$B$2:$B$1800,V$1)+1.5*(SUMIFS(الريسبي!$C$2:$C$1800,الريسبي!$A$2:$A$1800,$A82,الريسبي!$B$2:$B$1800,"برسيون موتزريلا بيتزا كبير"))</f>
        <v>0</v>
      </c>
      <c r="W82" s="117" t="n">
        <f aca="false">0</f>
        <v>0</v>
      </c>
      <c r="X82" s="117" t="n">
        <f aca="false">SUMIFS(الريسبي!$C$2:$C$1800,الريسبي!$A$2:$A$1800,$A82,الريسبي!$B$2:$B$1800,X$1)+1.5*(SUMIFS(الريسبي!$C$2:$C$1800,الريسبي!$A$2:$A$1800,$A82,الريسبي!$B$2:$B$1800,"برسيون موتزريلا فطير كبير"))</f>
        <v>1.5</v>
      </c>
      <c r="Y82" s="117" t="n">
        <f aca="false">0</f>
        <v>0</v>
      </c>
      <c r="Z82" s="117" t="n">
        <f aca="false">SUMIFS(الريسبي!$C$2:$C$1800,الريسبي!$A$2:$A$1800,$A82,الريسبي!$B$2:$B$1800,Z$1)</f>
        <v>0</v>
      </c>
      <c r="AA82" s="117" t="n">
        <f aca="false">SUMIFS(الريسبي!$C$2:$C$1800,الريسبي!$A$2:$A$1800,$A82,الريسبي!$B$2:$B$1800,AA$1)</f>
        <v>0</v>
      </c>
      <c r="AB82" s="117" t="n">
        <f aca="false">SUMIFS(الريسبي!$C$2:$C$1800,الريسبي!$A$2:$A$1800,$A82,الريسبي!$B$2:$B$1800,AB$1)</f>
        <v>0</v>
      </c>
      <c r="AC82" s="117" t="n">
        <f aca="false">SUMIFS(الريسبي!$C$2:$C$1800,الريسبي!$A$2:$A$1800,$A82,الريسبي!$B$2:$B$1800,AC$1)</f>
        <v>0</v>
      </c>
      <c r="AD82" s="117" t="n">
        <f aca="false">SUMIFS(الريسبي!$C$2:$C$1800,الريسبي!$A$2:$A$1800,$A82,الريسبي!$B$2:$B$1800,AD$1)</f>
        <v>0</v>
      </c>
      <c r="AE82" s="117" t="n">
        <f aca="false">SUMIFS(الريسبي!$C$2:$C$1800,الريسبي!$A$2:$A$1800,$A82,الريسبي!$B$2:$B$1800,AE$1)</f>
        <v>0</v>
      </c>
      <c r="AF82" s="117" t="n">
        <f aca="false">SUMIFS(الريسبي!$C$2:$C$1800,الريسبي!$A$2:$A$1800,$A82,الريسبي!$B$2:$B$1800,AF$1)</f>
        <v>0</v>
      </c>
      <c r="AG82" s="117" t="n">
        <f aca="false">SUMIFS(الريسبي!$C$2:$C$1800,الريسبي!$A$2:$A$1800,$A82,الريسبي!$B$2:$B$1800,AG$1)</f>
        <v>0</v>
      </c>
      <c r="AH82" s="117" t="n">
        <f aca="false">SUMIFS(الريسبي!$C$2:$C$1800,الريسبي!$A$2:$A$1800,$A82,الريسبي!$B$2:$B$1800,AH$1)</f>
        <v>0</v>
      </c>
      <c r="AI82" s="117" t="n">
        <f aca="false">SUMIFS(الريسبي!$C$2:$C$1800,الريسبي!$A$2:$A$1800,$A82,الريسبي!$B$2:$B$1800,AI$1)</f>
        <v>0</v>
      </c>
      <c r="AJ82" s="117" t="n">
        <f aca="false">SUMIFS(الريسبي!$C$2:$C$1800,الريسبي!$A$2:$A$1800,$A82,الريسبي!$B$2:$B$1800,AJ$1)</f>
        <v>2</v>
      </c>
      <c r="AK82" s="117" t="n">
        <f aca="false">SUMIFS(الريسبي!$C$2:$C$1800,الريسبي!$A$2:$A$1800,$A82,الريسبي!$B$2:$B$1800,AK$1)</f>
        <v>0</v>
      </c>
      <c r="AL82" s="117" t="n">
        <f aca="false">SUMIFS(الريسبي!$C$2:$C$1800,الريسبي!$A$2:$A$1800,$A82,الريسبي!$B$2:$B$1800,AL$1)</f>
        <v>0</v>
      </c>
      <c r="AM82" s="117" t="n">
        <f aca="false">SUMIFS(الريسبي!$C$2:$C$1800,الريسبي!$A$2:$A$1800,$A82,الريسبي!$B$2:$B$1800,AM$1)+0.08333333333*SUMIFS(الريسبي!$C$2:$C$1800,الريسبي!$A$2:$A$1800,$A82,الريسبي!$B$2:$B$1800,"عجين كريب (مصنع بالمطعم)")+0.08333333333*SUMIFS(الريسبي!$C$2:$C$1800,الريسبي!$A$2:$A$1800,$A82,الريسبي!$B$2:$B$1800,"عجين كريب صيامي (بدون لبن)")</f>
        <v>0</v>
      </c>
      <c r="AN82" s="117" t="n">
        <f aca="false">SUMIFS(الريسبي!$C$2:$C$1800,الريسبي!$A$2:$A$1800,$A82,الريسبي!$B$2:$B$1800,AN$1)+0.004166666667*SUMIFS(الريسبي!$C$2:$C$1800,الريسبي!$A$2:$A$1800,$A82,الريسبي!$B$2:$B$1800,"عجين كريب (مصنع بالمطعم)")+0.004166666667*SUMIFS(الريسبي!$C$2:$C$1800,الريسبي!$A$2:$A$1800,$A82,الريسبي!$B$2:$B$1800,"عجين كريب صيامي (بدون لبن)")</f>
        <v>0</v>
      </c>
      <c r="AO82" s="117" t="n">
        <f aca="false">SUMIFS(الريسبي!$C$2:$C$1800,الريسبي!$A$2:$A$1800,$A82,الريسبي!$B$2:$B$1800,AO$1)</f>
        <v>0</v>
      </c>
      <c r="AP82" s="117" t="n">
        <f aca="false">SUMIFS(الريسبي!$C$2:$C$1800,الريسبي!$A$2:$A$1800,$A82,الريسبي!$B$2:$B$1800,AP$1)</f>
        <v>0.03</v>
      </c>
      <c r="AQ82" s="117" t="n">
        <f aca="false">SUMIFS(الريسبي!$C$2:$C$1800,الريسبي!$A$2:$A$1800,$A82,الريسبي!$B$2:$B$1800,AQ$1)+0.004166666667*SUMIFS(الريسبي!$C$2:$C$1800,الريسبي!$A$2:$A$1800,$A82,الريسبي!$B$2:$B$1800,"عجين كريب (مصنع بالمطعم)")+0.004166666667*SUMIFS(الريسبي!$C$2:$C$1800,الريسبي!$A$2:$A$1800,$A82,الريسبي!$B$2:$B$1800,"عجين كريب صيامي (بدون لبن)")</f>
        <v>0</v>
      </c>
      <c r="AR82" s="117" t="n">
        <f aca="false">SUMIFS(الريسبي!$C$2:$C$1800,الريسبي!$A$2:$A$1800,$A82,الريسبي!$B$2:$B$1800,AR$1)</f>
        <v>0</v>
      </c>
      <c r="AS82" s="117" t="n">
        <f aca="false">SUMIFS(الريسبي!$C$2:$C$1800,الريسبي!$A$2:$A$1800,$A82,الريسبي!$B$2:$B$1800,AS$1)</f>
        <v>0</v>
      </c>
      <c r="AT82" s="117" t="n">
        <f aca="false">SUMIFS(الريسبي!$C$2:$C$1800,الريسبي!$A$2:$A$1800,$A82,الريسبي!$B$2:$B$1800,AT$1)</f>
        <v>0</v>
      </c>
      <c r="AU82" s="117" t="n">
        <f aca="false">SUMIFS(الريسبي!$C$2:$C$1800,الريسبي!$A$2:$A$1800,$A82,الريسبي!$B$2:$B$1800,AU$1)</f>
        <v>0</v>
      </c>
      <c r="AV82" s="117" t="n">
        <f aca="false">SUMIFS(الريسبي!$C$2:$C$1800,الريسبي!$A$2:$A$1800,$A82,الريسبي!$B$2:$B$1800,AV$1)</f>
        <v>0</v>
      </c>
      <c r="AW82" s="117" t="n">
        <f aca="false">SUMIFS(الريسبي!$C$2:$C$1800,الريسبي!$A$2:$A$1800,$A82,الريسبي!$B$2:$B$1800,AW$1)</f>
        <v>0</v>
      </c>
      <c r="AX82" s="117" t="n">
        <f aca="false">SUMIFS(الريسبي!$C$2:$C$1800,الريسبي!$A$2:$A$1800,$A82,الريسبي!$B$2:$B$1800,AX$1)</f>
        <v>0.06</v>
      </c>
      <c r="AY82" s="117" t="n">
        <f aca="false">SUMIFS(الريسبي!$C$2:$C$1800,الريسبي!$A$2:$A$1800,$A82,الريسبي!$B$2:$B$1800,AY$1)</f>
        <v>0</v>
      </c>
      <c r="AZ82" s="117" t="n">
        <f aca="false">SUMIFS(الريسبي!$C$2:$C$1800,الريسبي!$A$2:$A$1800,$A82,الريسبي!$B$2:$B$1800,AZ$1)</f>
        <v>0</v>
      </c>
      <c r="BA82" s="117" t="n">
        <f aca="false">SUMIFS(الريسبي!$C$2:$C$1800,الريسبي!$A$2:$A$1800,$A82,الريسبي!$B$2:$B$1800,BA$1)</f>
        <v>0</v>
      </c>
      <c r="BB82" s="117" t="n">
        <f aca="false">SUMIFS(الريسبي!$C$2:$C$1800,الريسبي!$A$2:$A$1800,$A82,الريسبي!$B$2:$B$1800,BB$1)</f>
        <v>0</v>
      </c>
      <c r="BC82" s="117" t="n">
        <f aca="false">SUMIFS(الريسبي!$C$2:$C$1800,الريسبي!$A$2:$A$1800,$A82,الريسبي!$B$2:$B$1800,BC$1)</f>
        <v>0.045</v>
      </c>
      <c r="BD82" s="117" t="n">
        <f aca="false">SUMIFS(الريسبي!$C$2:$C$1800,الريسبي!$A$2:$A$1800,$A82,الريسبي!$B$2:$B$1800,BD$1)</f>
        <v>0.3</v>
      </c>
      <c r="BE82" s="117" t="n">
        <f aca="false">SUMIFS(الريسبي!$C$2:$C$1800,الريسبي!$A$2:$A$1800,$A82,الريسبي!$B$2:$B$1800,BE$1)</f>
        <v>0</v>
      </c>
      <c r="BF82" s="117" t="n">
        <f aca="false">SUMIFS(الريسبي!$C$2:$C$1800,الريسبي!$A$2:$A$1800,$A82,الريسبي!$B$2:$B$1800,BF$1)</f>
        <v>0</v>
      </c>
      <c r="BG82" s="117" t="n">
        <f aca="false">SUMIFS(الريسبي!$C$2:$C$1800,الريسبي!$A$2:$A$1800,$A82,الريسبي!$B$2:$B$1800,BG$1)</f>
        <v>1</v>
      </c>
      <c r="BH82" s="117" t="n">
        <f aca="false">SUMIFS(الريسبي!$C$2:$C$1800,الريسبي!$A$2:$A$1800,$A82,الريسبي!$B$2:$B$1800,BH$1)</f>
        <v>0</v>
      </c>
      <c r="BI82" s="117" t="n">
        <f aca="false">SUMIFS(الريسبي!$C$2:$C$1800,الريسبي!$A$2:$A$1800,$A82,الريسبي!$B$2:$B$1800,BI$1)</f>
        <v>0</v>
      </c>
      <c r="BJ82" s="117" t="n">
        <f aca="false">SUMIFS(الريسبي!$C$2:$C$1800,الريسبي!$A$2:$A$1800,$A82,الريسبي!$B$2:$B$1800,BJ$1)</f>
        <v>0</v>
      </c>
      <c r="BK82" s="117" t="n">
        <f aca="false">SUMIFS(الريسبي!$C$2:$C$1800,الريسبي!$A$2:$A$1800,$A82,الريسبي!$B$2:$B$1800,BK$1)</f>
        <v>0</v>
      </c>
      <c r="BL82" s="117" t="n">
        <f aca="false">SUMIFS(الريسبي!$C$2:$C$1800,الريسبي!$A$2:$A$1800,$A82,الريسبي!$B$2:$B$1800,BL$1)</f>
        <v>0</v>
      </c>
      <c r="BM82" s="117" t="n">
        <f aca="false">SUMIFS(الريسبي!$C$2:$C$1800,الريسبي!$A$2:$A$1800,$A82,الريسبي!$B$2:$B$1800,BM$1)</f>
        <v>0</v>
      </c>
      <c r="BN82" s="117" t="n">
        <f aca="false">SUMIFS(الريسبي!$C$2:$C$1800,الريسبي!$A$2:$A$1800,$A82,الريسبي!$B$2:$B$1800,BN$1)</f>
        <v>0.03</v>
      </c>
      <c r="BO82" s="117" t="n">
        <f aca="false">SUMIFS(الريسبي!$C$2:$C$1800,الريسبي!$A$2:$A$1800,$A82,الريسبي!$B$2:$B$1800,BO$1)</f>
        <v>0</v>
      </c>
      <c r="BP82" s="117" t="n">
        <f aca="false">SUMIFS(الريسبي!$C$2:$C$1800,الريسبي!$A$2:$A$1800,$A82,الريسبي!$B$2:$B$1800,BP$1)</f>
        <v>3</v>
      </c>
      <c r="BQ82" s="117" t="n">
        <f aca="false">SUMIFS(الريسبي!$C$2:$C$1800,الريسبي!$A$2:$A$1800,$A82,الريسبي!$B$2:$B$1800,BQ$1)+0.17*SUMIFS(الريسبي!$C$2:$C$1800,الريسبي!$A$2:$A$1800,$A82,الريسبي!$B$2:$B$1800,"كاسترد مصنع (خليط بودر + لبن)")+0.17*SUMIFS(الريسبي!$C$2:$C$1800,الريسبي!$A$2:$A$1800,$A82,الريسبي!$B$2:$B$1800,"كاسترد مصنع صيامي (بدون لبن)")</f>
        <v>0</v>
      </c>
      <c r="BR82" s="117" t="n">
        <f aca="false">SUMIFS(الريسبي!$C$2:$C$1800,الريسبي!$A$2:$A$1800,$A82,الريسبي!$B$2:$B$1800,BR$1)</f>
        <v>1</v>
      </c>
      <c r="BS82" s="117" t="n">
        <f aca="false">SUMIFS(الريسبي!$C$2:$C$1800,الريسبي!$A$2:$A$1800,$A82,الريسبي!$B$2:$B$1800,BS$1)</f>
        <v>0</v>
      </c>
      <c r="BT82" s="117" t="n">
        <f aca="false">SUMIFS(الريسبي!$C$2:$C$1800,الريسبي!$A$2:$A$1800,$A82,الريسبي!$B$2:$B$1800,BT$1)</f>
        <v>0</v>
      </c>
      <c r="BU82" s="117" t="n">
        <f aca="false">SUMIFS(الريسبي!$C$2:$C$1800,الريسبي!$A$2:$A$1800,$A82,الريسبي!$B$2:$B$1800,BU$1)+0.4*SUMIFS(الريسبي!$C$2:$C$1800,الريسبي!$A$2:$A$1800,$A82,الريسبي!$B$2:$B$1800,"كاسترد مصنع (خليط بودر + لبن)")+0.03333333333*SUMIFS(الريسبي!$C$2:$C$1800,الريسبي!$A$2:$A$1800,$A82,الريسبي!$B$2:$B$1800,"عجين كريب (مصنع بالمطعم)")</f>
        <v>0</v>
      </c>
      <c r="BV82" s="117" t="n">
        <f aca="false">SUMIFS(الريسبي!$C$2:$C$1800,الريسبي!$A$2:$A$1800,$A82,الريسبي!$B$2:$B$1800,BV$1)</f>
        <v>0</v>
      </c>
      <c r="BW82" s="117" t="n">
        <f aca="false">SUMIFS(الريسبي!$C$2:$C$1800,الريسبي!$A$2:$A$1800,$A82,الريسبي!$B$2:$B$1800,BW$1)</f>
        <v>0</v>
      </c>
      <c r="BX82" s="117" t="n">
        <f aca="false">SUMIFS(الريسبي!$C$2:$C$1800,الريسبي!$A$2:$A$1800,$A82,الريسبي!$B$2:$B$1800,BX$1)</f>
        <v>0</v>
      </c>
      <c r="BY82" s="117" t="n">
        <f aca="false">SUMIFS(الريسبي!$C$2:$C$1800,الريسبي!$A$2:$A$1800,$A82,الريسبي!$B$2:$B$1800,BY$1)</f>
        <v>0</v>
      </c>
      <c r="BZ82" s="117" t="n">
        <f aca="false">SUMIFS(الريسبي!$C$2:$C$1800,الريسبي!$A$2:$A$1800,$A82,الريسبي!$B$2:$B$1800,BZ$1)</f>
        <v>0</v>
      </c>
      <c r="CA82" s="117" t="n">
        <f aca="false">SUMIFS(الريسبي!$C$2:$C$1800,الريسبي!$A$2:$A$1800,$A82,الريسبي!$B$2:$B$1800,CA$1)</f>
        <v>1</v>
      </c>
      <c r="CB82" s="117" t="n">
        <f aca="false">SUMIFS(الريسبي!$C$2:$C$1800,الريسبي!$A$2:$A$1800,$A82,الريسبي!$B$2:$B$1800,CB$1)</f>
        <v>1</v>
      </c>
      <c r="CC82" s="117" t="n">
        <f aca="false">SUMIFS(الريسبي!$C$2:$C$1800,الريسبي!$A$2:$A$1800,$A82,الريسبي!$B$2:$B$1800,CC$1)</f>
        <v>0</v>
      </c>
      <c r="CD82" s="117" t="n">
        <f aca="false">SUMIFS(الريسبي!$C$2:$C$1800,الريسبي!$A$2:$A$1800,$A82,الريسبي!$B$2:$B$1800,CD$1)</f>
        <v>0.18</v>
      </c>
      <c r="CE82" s="117" t="n">
        <f aca="false">SUMIFS(الريسبي!$C$2:$C$1800,الريسبي!$A$2:$A$1800,$A82,الريسبي!$B$2:$B$1800,CE$1)</f>
        <v>0</v>
      </c>
      <c r="CF82" s="117" t="n">
        <f aca="false">SUMIFS(الريسبي!$C$2:$C$1800,الريسبي!$A$2:$A$1800,$A82,الريسبي!$B$2:$B$1800,CF$1)</f>
        <v>0</v>
      </c>
      <c r="CG82" s="117" t="n">
        <f aca="false">SUMIFS(الريسبي!$C$2:$C$1800,الريسبي!$A$2:$A$1800,$A82,الريسبي!$B$2:$B$1800,CG$1)</f>
        <v>0</v>
      </c>
      <c r="CH82" s="117" t="n">
        <f aca="false">SUMIFS(الريسبي!$C$2:$C$1800,الريسبي!$A$2:$A$1800,$A82,الريسبي!$B$2:$B$1800,CH$1)</f>
        <v>0</v>
      </c>
      <c r="CI82" s="117" t="n">
        <f aca="false">SUMIFS(الريسبي!$C$2:$C$1800,الريسبي!$A$2:$A$1800,$A82,الريسبي!$B$2:$B$1800,CI$1)</f>
        <v>0</v>
      </c>
      <c r="CJ82" s="117" t="n">
        <f aca="false">SUMIFS(الريسبي!$C$2:$C$1800,الريسبي!$A$2:$A$1800,$A82,الريسبي!$B$2:$B$1800,CJ$1)</f>
        <v>0</v>
      </c>
      <c r="CK82" s="117" t="n">
        <f aca="false">SUMIFS(الريسبي!$C$2:$C$1800,الريسبي!$A$2:$A$1800,$A82,الريسبي!$B$2:$B$1800,CK$1)</f>
        <v>0</v>
      </c>
      <c r="CL82" s="117" t="n">
        <f aca="false">SUMIFS(الريسبي!$C$2:$C$1800,الريسبي!$A$2:$A$1800,$A82,الريسبي!$B$2:$B$1800,CL$1)</f>
        <v>0</v>
      </c>
    </row>
    <row r="83" customFormat="false" ht="15" hidden="false" customHeight="false" outlineLevel="0" collapsed="false">
      <c r="A83" s="116" t="str">
        <f aca="false">المنيو!B83</f>
        <v>بيتزا شاورما لحم / فراخ صيامي وسط</v>
      </c>
      <c r="B83" s="117" t="n">
        <f aca="false">SUMIFS(الريسبي!$C$2:$C$1800,الريسبي!$A$2:$A$1800,$A83,الريسبي!$B$2:$B$1800,B$1)</f>
        <v>0</v>
      </c>
      <c r="C83" s="117" t="n">
        <f aca="false">SUMIFS(الريسبي!$C$2:$C$1800,الريسبي!$A$2:$A$1800,$A83,الريسبي!$B$2:$B$1800,C$1)</f>
        <v>0</v>
      </c>
      <c r="D83" s="117" t="n">
        <f aca="false">SUMIFS(الريسبي!$C$2:$C$1800,الريسبي!$A$2:$A$1800,$A83,الريسبي!$B$2:$B$1800,D$1)</f>
        <v>1</v>
      </c>
      <c r="E83" s="117" t="n">
        <f aca="false">SUMIFS(الريسبي!$C$2:$C$1800,الريسبي!$A$2:$A$1800,$A83,الريسبي!$B$2:$B$1800,E$1)</f>
        <v>0</v>
      </c>
      <c r="F83" s="117" t="n">
        <f aca="false">SUMIFS(الريسبي!$C$2:$C$1800,الريسبي!$A$2:$A$1800,$A83,الريسبي!$B$2:$B$1800,F$1)</f>
        <v>0</v>
      </c>
      <c r="G83" s="117" t="n">
        <f aca="false">SUMIFS(الريسبي!$C$2:$C$1800,الريسبي!$A$2:$A$1800,$A83,الريسبي!$B$2:$B$1800,G$1)</f>
        <v>0</v>
      </c>
      <c r="H83" s="117" t="n">
        <f aca="false">SUMIFS(الريسبي!$C$2:$C$1800,الريسبي!$A$2:$A$1800,$A83,الريسبي!$B$2:$B$1800,H$1)</f>
        <v>0</v>
      </c>
      <c r="I83" s="117" t="n">
        <f aca="false">SUMIFS(الريسبي!$C$2:$C$1800,الريسبي!$A$2:$A$1800,$A83,الريسبي!$B$2:$B$1800,I$1)</f>
        <v>0</v>
      </c>
      <c r="J83" s="117" t="n">
        <f aca="false">SUMIFS(الريسبي!$C$2:$C$1800,الريسبي!$A$2:$A$1800,$A83,الريسبي!$B$2:$B$1800,J$1)</f>
        <v>0</v>
      </c>
      <c r="K83" s="117" t="n">
        <f aca="false">SUMIFS(الريسبي!$C$2:$C$1800,الريسبي!$A$2:$A$1800,$A83,الريسبي!$B$2:$B$1800,K$1)</f>
        <v>0</v>
      </c>
      <c r="L83" s="117" t="n">
        <f aca="false">SUMIFS(الريسبي!$C$2:$C$1800,الريسبي!$A$2:$A$1800,$A83,الريسبي!$B$2:$B$1800,L$1)</f>
        <v>0</v>
      </c>
      <c r="M83" s="117" t="n">
        <f aca="false">SUMIFS(الريسبي!$C$2:$C$1800,الريسبي!$A$2:$A$1800,$A83,الريسبي!$B$2:$B$1800,M$1)</f>
        <v>0</v>
      </c>
      <c r="N83" s="117" t="n">
        <f aca="false">SUMIFS(الريسبي!$C$2:$C$1800,الريسبي!$A$2:$A$1800,$A83,الريسبي!$B$2:$B$1800,N$1)</f>
        <v>0</v>
      </c>
      <c r="O83" s="117" t="n">
        <f aca="false">SUMIFS(الريسبي!$C$2:$C$1800,الريسبي!$A$2:$A$1800,$A83,الريسبي!$B$2:$B$1800,O$1)</f>
        <v>0</v>
      </c>
      <c r="P83" s="117" t="n">
        <f aca="false">SUMIFS(الريسبي!$C$2:$C$1800,الريسبي!$A$2:$A$1800,$A83,الريسبي!$B$2:$B$1800,P$1)</f>
        <v>0</v>
      </c>
      <c r="Q83" s="117" t="n">
        <f aca="false">SUMIFS(الريسبي!$C$2:$C$1800,الريسبي!$A$2:$A$1800,$A83,الريسبي!$B$2:$B$1800,Q$1)</f>
        <v>0</v>
      </c>
      <c r="R83" s="117" t="n">
        <f aca="false">SUMIFS(الريسبي!$C$2:$C$1800,الريسبي!$A$2:$A$1800,$A83,الريسبي!$B$2:$B$1800,R$1)</f>
        <v>0</v>
      </c>
      <c r="S83" s="117" t="n">
        <f aca="false">SUMIFS(الريسبي!$C$2:$C$1800,الريسبي!$A$2:$A$1800,$A83,الريسبي!$B$2:$B$1800,S$1)</f>
        <v>0</v>
      </c>
      <c r="T83" s="117" t="n">
        <f aca="false">SUMIFS(الريسبي!$C$2:$C$1800,الريسبي!$A$2:$A$1800,$A83,الريسبي!$B$2:$B$1800,T$1)</f>
        <v>0</v>
      </c>
      <c r="U83" s="117" t="n">
        <f aca="false">SUMIFS(الريسبي!$C$2:$C$1800,الريسبي!$A$2:$A$1800,$A83,الريسبي!$B$2:$B$1800,U$1)</f>
        <v>0</v>
      </c>
      <c r="V83" s="117" t="n">
        <f aca="false">SUMIFS(الريسبي!$C$2:$C$1800,الريسبي!$A$2:$A$1800,$A83,الريسبي!$B$2:$B$1800,V$1)+1.5*(SUMIFS(الريسبي!$C$2:$C$1800,الريسبي!$A$2:$A$1800,$A83,الريسبي!$B$2:$B$1800,"برسيون موتزريلا بيتزا كبير"))</f>
        <v>0</v>
      </c>
      <c r="W83" s="117" t="n">
        <f aca="false">0</f>
        <v>0</v>
      </c>
      <c r="X83" s="117" t="n">
        <f aca="false">SUMIFS(الريسبي!$C$2:$C$1800,الريسبي!$A$2:$A$1800,$A83,الريسبي!$B$2:$B$1800,X$1)+1.5*(SUMIFS(الريسبي!$C$2:$C$1800,الريسبي!$A$2:$A$1800,$A83,الريسبي!$B$2:$B$1800,"برسيون موتزريلا فطير كبير"))</f>
        <v>1</v>
      </c>
      <c r="Y83" s="117" t="n">
        <f aca="false">0</f>
        <v>0</v>
      </c>
      <c r="Z83" s="117" t="n">
        <f aca="false">SUMIFS(الريسبي!$C$2:$C$1800,الريسبي!$A$2:$A$1800,$A83,الريسبي!$B$2:$B$1800,Z$1)</f>
        <v>0</v>
      </c>
      <c r="AA83" s="117" t="n">
        <f aca="false">SUMIFS(الريسبي!$C$2:$C$1800,الريسبي!$A$2:$A$1800,$A83,الريسبي!$B$2:$B$1800,AA$1)</f>
        <v>0</v>
      </c>
      <c r="AB83" s="117" t="n">
        <f aca="false">SUMIFS(الريسبي!$C$2:$C$1800,الريسبي!$A$2:$A$1800,$A83,الريسبي!$B$2:$B$1800,AB$1)</f>
        <v>0</v>
      </c>
      <c r="AC83" s="117" t="n">
        <f aca="false">SUMIFS(الريسبي!$C$2:$C$1800,الريسبي!$A$2:$A$1800,$A83,الريسبي!$B$2:$B$1800,AC$1)</f>
        <v>0</v>
      </c>
      <c r="AD83" s="117" t="n">
        <f aca="false">SUMIFS(الريسبي!$C$2:$C$1800,الريسبي!$A$2:$A$1800,$A83,الريسبي!$B$2:$B$1800,AD$1)</f>
        <v>0</v>
      </c>
      <c r="AE83" s="117" t="n">
        <f aca="false">SUMIFS(الريسبي!$C$2:$C$1800,الريسبي!$A$2:$A$1800,$A83,الريسبي!$B$2:$B$1800,AE$1)</f>
        <v>0</v>
      </c>
      <c r="AF83" s="117" t="n">
        <f aca="false">SUMIFS(الريسبي!$C$2:$C$1800,الريسبي!$A$2:$A$1800,$A83,الريسبي!$B$2:$B$1800,AF$1)</f>
        <v>0</v>
      </c>
      <c r="AG83" s="117" t="n">
        <f aca="false">SUMIFS(الريسبي!$C$2:$C$1800,الريسبي!$A$2:$A$1800,$A83,الريسبي!$B$2:$B$1800,AG$1)</f>
        <v>0</v>
      </c>
      <c r="AH83" s="117" t="n">
        <f aca="false">SUMIFS(الريسبي!$C$2:$C$1800,الريسبي!$A$2:$A$1800,$A83,الريسبي!$B$2:$B$1800,AH$1)</f>
        <v>0</v>
      </c>
      <c r="AI83" s="117" t="n">
        <f aca="false">SUMIFS(الريسبي!$C$2:$C$1800,الريسبي!$A$2:$A$1800,$A83,الريسبي!$B$2:$B$1800,AI$1)</f>
        <v>0</v>
      </c>
      <c r="AJ83" s="117" t="n">
        <f aca="false">SUMIFS(الريسبي!$C$2:$C$1800,الريسبي!$A$2:$A$1800,$A83,الريسبي!$B$2:$B$1800,AJ$1)</f>
        <v>2</v>
      </c>
      <c r="AK83" s="117" t="n">
        <f aca="false">SUMIFS(الريسبي!$C$2:$C$1800,الريسبي!$A$2:$A$1800,$A83,الريسبي!$B$2:$B$1800,AK$1)</f>
        <v>0</v>
      </c>
      <c r="AL83" s="117" t="n">
        <f aca="false">SUMIFS(الريسبي!$C$2:$C$1800,الريسبي!$A$2:$A$1800,$A83,الريسبي!$B$2:$B$1800,AL$1)</f>
        <v>0</v>
      </c>
      <c r="AM83" s="117" t="n">
        <f aca="false">SUMIFS(الريسبي!$C$2:$C$1800,الريسبي!$A$2:$A$1800,$A83,الريسبي!$B$2:$B$1800,AM$1)+0.08333333333*SUMIFS(الريسبي!$C$2:$C$1800,الريسبي!$A$2:$A$1800,$A83,الريسبي!$B$2:$B$1800,"عجين كريب (مصنع بالمطعم)")+0.08333333333*SUMIFS(الريسبي!$C$2:$C$1800,الريسبي!$A$2:$A$1800,$A83,الريسبي!$B$2:$B$1800,"عجين كريب صيامي (بدون لبن)")</f>
        <v>0</v>
      </c>
      <c r="AN83" s="117" t="n">
        <f aca="false">SUMIFS(الريسبي!$C$2:$C$1800,الريسبي!$A$2:$A$1800,$A83,الريسبي!$B$2:$B$1800,AN$1)+0.004166666667*SUMIFS(الريسبي!$C$2:$C$1800,الريسبي!$A$2:$A$1800,$A83,الريسبي!$B$2:$B$1800,"عجين كريب (مصنع بالمطعم)")+0.004166666667*SUMIFS(الريسبي!$C$2:$C$1800,الريسبي!$A$2:$A$1800,$A83,الريسبي!$B$2:$B$1800,"عجين كريب صيامي (بدون لبن)")</f>
        <v>0</v>
      </c>
      <c r="AO83" s="117" t="n">
        <f aca="false">SUMIFS(الريسبي!$C$2:$C$1800,الريسبي!$A$2:$A$1800,$A83,الريسبي!$B$2:$B$1800,AO$1)</f>
        <v>0</v>
      </c>
      <c r="AP83" s="117" t="n">
        <f aca="false">SUMIFS(الريسبي!$C$2:$C$1800,الريسبي!$A$2:$A$1800,$A83,الريسبي!$B$2:$B$1800,AP$1)</f>
        <v>0.02</v>
      </c>
      <c r="AQ83" s="117" t="n">
        <f aca="false">SUMIFS(الريسبي!$C$2:$C$1800,الريسبي!$A$2:$A$1800,$A83,الريسبي!$B$2:$B$1800,AQ$1)+0.004166666667*SUMIFS(الريسبي!$C$2:$C$1800,الريسبي!$A$2:$A$1800,$A83,الريسبي!$B$2:$B$1800,"عجين كريب (مصنع بالمطعم)")+0.004166666667*SUMIFS(الريسبي!$C$2:$C$1800,الريسبي!$A$2:$A$1800,$A83,الريسبي!$B$2:$B$1800,"عجين كريب صيامي (بدون لبن)")</f>
        <v>0</v>
      </c>
      <c r="AR83" s="117" t="n">
        <f aca="false">SUMIFS(الريسبي!$C$2:$C$1800,الريسبي!$A$2:$A$1800,$A83,الريسبي!$B$2:$B$1800,AR$1)</f>
        <v>0</v>
      </c>
      <c r="AS83" s="117" t="n">
        <f aca="false">SUMIFS(الريسبي!$C$2:$C$1800,الريسبي!$A$2:$A$1800,$A83,الريسبي!$B$2:$B$1800,AS$1)</f>
        <v>0</v>
      </c>
      <c r="AT83" s="117" t="n">
        <f aca="false">SUMIFS(الريسبي!$C$2:$C$1800,الريسبي!$A$2:$A$1800,$A83,الريسبي!$B$2:$B$1800,AT$1)</f>
        <v>0</v>
      </c>
      <c r="AU83" s="117" t="n">
        <f aca="false">SUMIFS(الريسبي!$C$2:$C$1800,الريسبي!$A$2:$A$1800,$A83,الريسبي!$B$2:$B$1800,AU$1)</f>
        <v>0</v>
      </c>
      <c r="AV83" s="117" t="n">
        <f aca="false">SUMIFS(الريسبي!$C$2:$C$1800,الريسبي!$A$2:$A$1800,$A83,الريسبي!$B$2:$B$1800,AV$1)</f>
        <v>0</v>
      </c>
      <c r="AW83" s="117" t="n">
        <f aca="false">SUMIFS(الريسبي!$C$2:$C$1800,الريسبي!$A$2:$A$1800,$A83,الريسبي!$B$2:$B$1800,AW$1)</f>
        <v>0</v>
      </c>
      <c r="AX83" s="117" t="n">
        <f aca="false">SUMIFS(الريسبي!$C$2:$C$1800,الريسبي!$A$2:$A$1800,$A83,الريسبي!$B$2:$B$1800,AX$1)</f>
        <v>0.04</v>
      </c>
      <c r="AY83" s="117" t="n">
        <f aca="false">SUMIFS(الريسبي!$C$2:$C$1800,الريسبي!$A$2:$A$1800,$A83,الريسبي!$B$2:$B$1800,AY$1)</f>
        <v>0</v>
      </c>
      <c r="AZ83" s="117" t="n">
        <f aca="false">SUMIFS(الريسبي!$C$2:$C$1800,الريسبي!$A$2:$A$1800,$A83,الريسبي!$B$2:$B$1800,AZ$1)</f>
        <v>0</v>
      </c>
      <c r="BA83" s="117" t="n">
        <f aca="false">SUMIFS(الريسبي!$C$2:$C$1800,الريسبي!$A$2:$A$1800,$A83,الريسبي!$B$2:$B$1800,BA$1)</f>
        <v>0</v>
      </c>
      <c r="BB83" s="117" t="n">
        <f aca="false">SUMIFS(الريسبي!$C$2:$C$1800,الريسبي!$A$2:$A$1800,$A83,الريسبي!$B$2:$B$1800,BB$1)</f>
        <v>0</v>
      </c>
      <c r="BC83" s="117" t="n">
        <f aca="false">SUMIFS(الريسبي!$C$2:$C$1800,الريسبي!$A$2:$A$1800,$A83,الريسبي!$B$2:$B$1800,BC$1)</f>
        <v>0.03</v>
      </c>
      <c r="BD83" s="117" t="n">
        <f aca="false">SUMIFS(الريسبي!$C$2:$C$1800,الريسبي!$A$2:$A$1800,$A83,الريسبي!$B$2:$B$1800,BD$1)</f>
        <v>0.22</v>
      </c>
      <c r="BE83" s="117" t="n">
        <f aca="false">SUMIFS(الريسبي!$C$2:$C$1800,الريسبي!$A$2:$A$1800,$A83,الريسبي!$B$2:$B$1800,BE$1)</f>
        <v>0</v>
      </c>
      <c r="BF83" s="117" t="n">
        <f aca="false">SUMIFS(الريسبي!$C$2:$C$1800,الريسبي!$A$2:$A$1800,$A83,الريسبي!$B$2:$B$1800,BF$1)</f>
        <v>0</v>
      </c>
      <c r="BG83" s="117" t="n">
        <f aca="false">SUMIFS(الريسبي!$C$2:$C$1800,الريسبي!$A$2:$A$1800,$A83,الريسبي!$B$2:$B$1800,BG$1)</f>
        <v>0</v>
      </c>
      <c r="BH83" s="117" t="n">
        <f aca="false">SUMIFS(الريسبي!$C$2:$C$1800,الريسبي!$A$2:$A$1800,$A83,الريسبي!$B$2:$B$1800,BH$1)</f>
        <v>1</v>
      </c>
      <c r="BI83" s="117" t="n">
        <f aca="false">SUMIFS(الريسبي!$C$2:$C$1800,الريسبي!$A$2:$A$1800,$A83,الريسبي!$B$2:$B$1800,BI$1)</f>
        <v>0</v>
      </c>
      <c r="BJ83" s="117" t="n">
        <f aca="false">SUMIFS(الريسبي!$C$2:$C$1800,الريسبي!$A$2:$A$1800,$A83,الريسبي!$B$2:$B$1800,BJ$1)</f>
        <v>0</v>
      </c>
      <c r="BK83" s="117" t="n">
        <f aca="false">SUMIFS(الريسبي!$C$2:$C$1800,الريسبي!$A$2:$A$1800,$A83,الريسبي!$B$2:$B$1800,BK$1)</f>
        <v>0</v>
      </c>
      <c r="BL83" s="117" t="n">
        <f aca="false">SUMIFS(الريسبي!$C$2:$C$1800,الريسبي!$A$2:$A$1800,$A83,الريسبي!$B$2:$B$1800,BL$1)</f>
        <v>0</v>
      </c>
      <c r="BM83" s="117" t="n">
        <f aca="false">SUMIFS(الريسبي!$C$2:$C$1800,الريسبي!$A$2:$A$1800,$A83,الريسبي!$B$2:$B$1800,BM$1)</f>
        <v>0</v>
      </c>
      <c r="BN83" s="117" t="n">
        <f aca="false">SUMIFS(الريسبي!$C$2:$C$1800,الريسبي!$A$2:$A$1800,$A83,الريسبي!$B$2:$B$1800,BN$1)</f>
        <v>0.02</v>
      </c>
      <c r="BO83" s="117" t="n">
        <f aca="false">SUMIFS(الريسبي!$C$2:$C$1800,الريسبي!$A$2:$A$1800,$A83,الريسبي!$B$2:$B$1800,BO$1)</f>
        <v>0</v>
      </c>
      <c r="BP83" s="117" t="n">
        <f aca="false">SUMIFS(الريسبي!$C$2:$C$1800,الريسبي!$A$2:$A$1800,$A83,الريسبي!$B$2:$B$1800,BP$1)</f>
        <v>2</v>
      </c>
      <c r="BQ83" s="117" t="n">
        <f aca="false">SUMIFS(الريسبي!$C$2:$C$1800,الريسبي!$A$2:$A$1800,$A83,الريسبي!$B$2:$B$1800,BQ$1)+0.17*SUMIFS(الريسبي!$C$2:$C$1800,الريسبي!$A$2:$A$1800,$A83,الريسبي!$B$2:$B$1800,"كاسترد مصنع (خليط بودر + لبن)")+0.17*SUMIFS(الريسبي!$C$2:$C$1800,الريسبي!$A$2:$A$1800,$A83,الريسبي!$B$2:$B$1800,"كاسترد مصنع صيامي (بدون لبن)")</f>
        <v>0</v>
      </c>
      <c r="BR83" s="117" t="n">
        <f aca="false">SUMIFS(الريسبي!$C$2:$C$1800,الريسبي!$A$2:$A$1800,$A83,الريسبي!$B$2:$B$1800,BR$1)</f>
        <v>1</v>
      </c>
      <c r="BS83" s="117" t="n">
        <f aca="false">SUMIFS(الريسبي!$C$2:$C$1800,الريسبي!$A$2:$A$1800,$A83,الريسبي!$B$2:$B$1800,BS$1)</f>
        <v>0</v>
      </c>
      <c r="BT83" s="117" t="n">
        <f aca="false">SUMIFS(الريسبي!$C$2:$C$1800,الريسبي!$A$2:$A$1800,$A83,الريسبي!$B$2:$B$1800,BT$1)</f>
        <v>0</v>
      </c>
      <c r="BU83" s="117" t="n">
        <f aca="false">SUMIFS(الريسبي!$C$2:$C$1800,الريسبي!$A$2:$A$1800,$A83,الريسبي!$B$2:$B$1800,BU$1)+0.4*SUMIFS(الريسبي!$C$2:$C$1800,الريسبي!$A$2:$A$1800,$A83,الريسبي!$B$2:$B$1800,"كاسترد مصنع (خليط بودر + لبن)")+0.03333333333*SUMIFS(الريسبي!$C$2:$C$1800,الريسبي!$A$2:$A$1800,$A83,الريسبي!$B$2:$B$1800,"عجين كريب (مصنع بالمطعم)")</f>
        <v>0</v>
      </c>
      <c r="BV83" s="117" t="n">
        <f aca="false">SUMIFS(الريسبي!$C$2:$C$1800,الريسبي!$A$2:$A$1800,$A83,الريسبي!$B$2:$B$1800,BV$1)</f>
        <v>0</v>
      </c>
      <c r="BW83" s="117" t="n">
        <f aca="false">SUMIFS(الريسبي!$C$2:$C$1800,الريسبي!$A$2:$A$1800,$A83,الريسبي!$B$2:$B$1800,BW$1)</f>
        <v>0</v>
      </c>
      <c r="BX83" s="117" t="n">
        <f aca="false">SUMIFS(الريسبي!$C$2:$C$1800,الريسبي!$A$2:$A$1800,$A83,الريسبي!$B$2:$B$1800,BX$1)</f>
        <v>0</v>
      </c>
      <c r="BY83" s="117" t="n">
        <f aca="false">SUMIFS(الريسبي!$C$2:$C$1800,الريسبي!$A$2:$A$1800,$A83,الريسبي!$B$2:$B$1800,BY$1)</f>
        <v>0</v>
      </c>
      <c r="BZ83" s="117" t="n">
        <f aca="false">SUMIFS(الريسبي!$C$2:$C$1800,الريسبي!$A$2:$A$1800,$A83,الريسبي!$B$2:$B$1800,BZ$1)</f>
        <v>0</v>
      </c>
      <c r="CA83" s="117" t="n">
        <f aca="false">SUMIFS(الريسبي!$C$2:$C$1800,الريسبي!$A$2:$A$1800,$A83,الريسبي!$B$2:$B$1800,CA$1)</f>
        <v>1</v>
      </c>
      <c r="CB83" s="117" t="n">
        <f aca="false">SUMIFS(الريسبي!$C$2:$C$1800,الريسبي!$A$2:$A$1800,$A83,الريسبي!$B$2:$B$1800,CB$1)</f>
        <v>1</v>
      </c>
      <c r="CC83" s="117" t="n">
        <f aca="false">SUMIFS(الريسبي!$C$2:$C$1800,الريسبي!$A$2:$A$1800,$A83,الريسبي!$B$2:$B$1800,CC$1)</f>
        <v>0</v>
      </c>
      <c r="CD83" s="117" t="n">
        <f aca="false">SUMIFS(الريسبي!$C$2:$C$1800,الريسبي!$A$2:$A$1800,$A83,الريسبي!$B$2:$B$1800,CD$1)</f>
        <v>0</v>
      </c>
      <c r="CE83" s="117" t="n">
        <f aca="false">SUMIFS(الريسبي!$C$2:$C$1800,الريسبي!$A$2:$A$1800,$A83,الريسبي!$B$2:$B$1800,CE$1)</f>
        <v>0.14</v>
      </c>
      <c r="CF83" s="117" t="n">
        <f aca="false">SUMIFS(الريسبي!$C$2:$C$1800,الريسبي!$A$2:$A$1800,$A83,الريسبي!$B$2:$B$1800,CF$1)</f>
        <v>0</v>
      </c>
      <c r="CG83" s="117" t="n">
        <f aca="false">SUMIFS(الريسبي!$C$2:$C$1800,الريسبي!$A$2:$A$1800,$A83,الريسبي!$B$2:$B$1800,CG$1)</f>
        <v>0</v>
      </c>
      <c r="CH83" s="117" t="n">
        <f aca="false">SUMIFS(الريسبي!$C$2:$C$1800,الريسبي!$A$2:$A$1800,$A83,الريسبي!$B$2:$B$1800,CH$1)</f>
        <v>0</v>
      </c>
      <c r="CI83" s="117" t="n">
        <f aca="false">SUMIFS(الريسبي!$C$2:$C$1800,الريسبي!$A$2:$A$1800,$A83,الريسبي!$B$2:$B$1800,CI$1)</f>
        <v>0</v>
      </c>
      <c r="CJ83" s="117" t="n">
        <f aca="false">SUMIFS(الريسبي!$C$2:$C$1800,الريسبي!$A$2:$A$1800,$A83,الريسبي!$B$2:$B$1800,CJ$1)</f>
        <v>0</v>
      </c>
      <c r="CK83" s="117" t="n">
        <f aca="false">SUMIFS(الريسبي!$C$2:$C$1800,الريسبي!$A$2:$A$1800,$A83,الريسبي!$B$2:$B$1800,CK$1)</f>
        <v>0</v>
      </c>
      <c r="CL83" s="117" t="n">
        <f aca="false">SUMIFS(الريسبي!$C$2:$C$1800,الريسبي!$A$2:$A$1800,$A83,الريسبي!$B$2:$B$1800,CL$1)</f>
        <v>0</v>
      </c>
    </row>
    <row r="84" customFormat="false" ht="15" hidden="false" customHeight="false" outlineLevel="0" collapsed="false">
      <c r="A84" s="116" t="str">
        <f aca="false">المنيو!B84</f>
        <v>بيتزا شاورما لحم / فراخ صيامي مخصوص</v>
      </c>
      <c r="B84" s="117" t="n">
        <f aca="false">SUMIFS(الريسبي!$C$2:$C$1800,الريسبي!$A$2:$A$1800,$A84,الريسبي!$B$2:$B$1800,B$1)</f>
        <v>0</v>
      </c>
      <c r="C84" s="117" t="n">
        <f aca="false">SUMIFS(الريسبي!$C$2:$C$1800,الريسبي!$A$2:$A$1800,$A84,الريسبي!$B$2:$B$1800,C$1)</f>
        <v>0</v>
      </c>
      <c r="D84" s="117" t="n">
        <f aca="false">SUMIFS(الريسبي!$C$2:$C$1800,الريسبي!$A$2:$A$1800,$A84,الريسبي!$B$2:$B$1800,D$1)</f>
        <v>1</v>
      </c>
      <c r="E84" s="117" t="n">
        <f aca="false">SUMIFS(الريسبي!$C$2:$C$1800,الريسبي!$A$2:$A$1800,$A84,الريسبي!$B$2:$B$1800,E$1)</f>
        <v>0</v>
      </c>
      <c r="F84" s="117" t="n">
        <f aca="false">SUMIFS(الريسبي!$C$2:$C$1800,الريسبي!$A$2:$A$1800,$A84,الريسبي!$B$2:$B$1800,F$1)</f>
        <v>0</v>
      </c>
      <c r="G84" s="117" t="n">
        <f aca="false">SUMIFS(الريسبي!$C$2:$C$1800,الريسبي!$A$2:$A$1800,$A84,الريسبي!$B$2:$B$1800,G$1)</f>
        <v>0</v>
      </c>
      <c r="H84" s="117" t="n">
        <f aca="false">SUMIFS(الريسبي!$C$2:$C$1800,الريسبي!$A$2:$A$1800,$A84,الريسبي!$B$2:$B$1800,H$1)</f>
        <v>0</v>
      </c>
      <c r="I84" s="117" t="n">
        <f aca="false">SUMIFS(الريسبي!$C$2:$C$1800,الريسبي!$A$2:$A$1800,$A84,الريسبي!$B$2:$B$1800,I$1)</f>
        <v>0</v>
      </c>
      <c r="J84" s="117" t="n">
        <f aca="false">SUMIFS(الريسبي!$C$2:$C$1800,الريسبي!$A$2:$A$1800,$A84,الريسبي!$B$2:$B$1800,J$1)</f>
        <v>0</v>
      </c>
      <c r="K84" s="117" t="n">
        <f aca="false">SUMIFS(الريسبي!$C$2:$C$1800,الريسبي!$A$2:$A$1800,$A84,الريسبي!$B$2:$B$1800,K$1)</f>
        <v>0</v>
      </c>
      <c r="L84" s="117" t="n">
        <f aca="false">SUMIFS(الريسبي!$C$2:$C$1800,الريسبي!$A$2:$A$1800,$A84,الريسبي!$B$2:$B$1800,L$1)</f>
        <v>0</v>
      </c>
      <c r="M84" s="117" t="n">
        <f aca="false">SUMIFS(الريسبي!$C$2:$C$1800,الريسبي!$A$2:$A$1800,$A84,الريسبي!$B$2:$B$1800,M$1)</f>
        <v>0</v>
      </c>
      <c r="N84" s="117" t="n">
        <f aca="false">SUMIFS(الريسبي!$C$2:$C$1800,الريسبي!$A$2:$A$1800,$A84,الريسبي!$B$2:$B$1800,N$1)</f>
        <v>0</v>
      </c>
      <c r="O84" s="117" t="n">
        <f aca="false">SUMIFS(الريسبي!$C$2:$C$1800,الريسبي!$A$2:$A$1800,$A84,الريسبي!$B$2:$B$1800,O$1)</f>
        <v>0</v>
      </c>
      <c r="P84" s="117" t="n">
        <f aca="false">SUMIFS(الريسبي!$C$2:$C$1800,الريسبي!$A$2:$A$1800,$A84,الريسبي!$B$2:$B$1800,P$1)</f>
        <v>0</v>
      </c>
      <c r="Q84" s="117" t="n">
        <f aca="false">SUMIFS(الريسبي!$C$2:$C$1800,الريسبي!$A$2:$A$1800,$A84,الريسبي!$B$2:$B$1800,Q$1)</f>
        <v>0</v>
      </c>
      <c r="R84" s="117" t="n">
        <f aca="false">SUMIFS(الريسبي!$C$2:$C$1800,الريسبي!$A$2:$A$1800,$A84,الريسبي!$B$2:$B$1800,R$1)</f>
        <v>0</v>
      </c>
      <c r="S84" s="117" t="n">
        <f aca="false">SUMIFS(الريسبي!$C$2:$C$1800,الريسبي!$A$2:$A$1800,$A84,الريسبي!$B$2:$B$1800,S$1)</f>
        <v>0</v>
      </c>
      <c r="T84" s="117" t="n">
        <f aca="false">SUMIFS(الريسبي!$C$2:$C$1800,الريسبي!$A$2:$A$1800,$A84,الريسبي!$B$2:$B$1800,T$1)</f>
        <v>0</v>
      </c>
      <c r="U84" s="117" t="n">
        <f aca="false">SUMIFS(الريسبي!$C$2:$C$1800,الريسبي!$A$2:$A$1800,$A84,الريسبي!$B$2:$B$1800,U$1)</f>
        <v>0</v>
      </c>
      <c r="V84" s="117" t="n">
        <f aca="false">SUMIFS(الريسبي!$C$2:$C$1800,الريسبي!$A$2:$A$1800,$A84,الريسبي!$B$2:$B$1800,V$1)+1.5*(SUMIFS(الريسبي!$C$2:$C$1800,الريسبي!$A$2:$A$1800,$A84,الريسبي!$B$2:$B$1800,"برسيون موتزريلا بيتزا كبير"))</f>
        <v>0</v>
      </c>
      <c r="W84" s="117" t="n">
        <f aca="false">0</f>
        <v>0</v>
      </c>
      <c r="X84" s="117" t="n">
        <f aca="false">SUMIFS(الريسبي!$C$2:$C$1800,الريسبي!$A$2:$A$1800,$A84,الريسبي!$B$2:$B$1800,X$1)+1.5*(SUMIFS(الريسبي!$C$2:$C$1800,الريسبي!$A$2:$A$1800,$A84,الريسبي!$B$2:$B$1800,"برسيون موتزريلا فطير كبير"))</f>
        <v>1.5</v>
      </c>
      <c r="Y84" s="117" t="n">
        <f aca="false">0</f>
        <v>0</v>
      </c>
      <c r="Z84" s="117" t="n">
        <f aca="false">SUMIFS(الريسبي!$C$2:$C$1800,الريسبي!$A$2:$A$1800,$A84,الريسبي!$B$2:$B$1800,Z$1)</f>
        <v>0</v>
      </c>
      <c r="AA84" s="117" t="n">
        <f aca="false">SUMIFS(الريسبي!$C$2:$C$1800,الريسبي!$A$2:$A$1800,$A84,الريسبي!$B$2:$B$1800,AA$1)</f>
        <v>0</v>
      </c>
      <c r="AB84" s="117" t="n">
        <f aca="false">SUMIFS(الريسبي!$C$2:$C$1800,الريسبي!$A$2:$A$1800,$A84,الريسبي!$B$2:$B$1800,AB$1)</f>
        <v>0</v>
      </c>
      <c r="AC84" s="117" t="n">
        <f aca="false">SUMIFS(الريسبي!$C$2:$C$1800,الريسبي!$A$2:$A$1800,$A84,الريسبي!$B$2:$B$1800,AC$1)</f>
        <v>0</v>
      </c>
      <c r="AD84" s="117" t="n">
        <f aca="false">SUMIFS(الريسبي!$C$2:$C$1800,الريسبي!$A$2:$A$1800,$A84,الريسبي!$B$2:$B$1800,AD$1)</f>
        <v>0</v>
      </c>
      <c r="AE84" s="117" t="n">
        <f aca="false">SUMIFS(الريسبي!$C$2:$C$1800,الريسبي!$A$2:$A$1800,$A84,الريسبي!$B$2:$B$1800,AE$1)</f>
        <v>0</v>
      </c>
      <c r="AF84" s="117" t="n">
        <f aca="false">SUMIFS(الريسبي!$C$2:$C$1800,الريسبي!$A$2:$A$1800,$A84,الريسبي!$B$2:$B$1800,AF$1)</f>
        <v>0</v>
      </c>
      <c r="AG84" s="117" t="n">
        <f aca="false">SUMIFS(الريسبي!$C$2:$C$1800,الريسبي!$A$2:$A$1800,$A84,الريسبي!$B$2:$B$1800,AG$1)</f>
        <v>0</v>
      </c>
      <c r="AH84" s="117" t="n">
        <f aca="false">SUMIFS(الريسبي!$C$2:$C$1800,الريسبي!$A$2:$A$1800,$A84,الريسبي!$B$2:$B$1800,AH$1)</f>
        <v>0</v>
      </c>
      <c r="AI84" s="117" t="n">
        <f aca="false">SUMIFS(الريسبي!$C$2:$C$1800,الريسبي!$A$2:$A$1800,$A84,الريسبي!$B$2:$B$1800,AI$1)</f>
        <v>0</v>
      </c>
      <c r="AJ84" s="117" t="n">
        <f aca="false">SUMIFS(الريسبي!$C$2:$C$1800,الريسبي!$A$2:$A$1800,$A84,الريسبي!$B$2:$B$1800,AJ$1)</f>
        <v>2</v>
      </c>
      <c r="AK84" s="117" t="n">
        <f aca="false">SUMIFS(الريسبي!$C$2:$C$1800,الريسبي!$A$2:$A$1800,$A84,الريسبي!$B$2:$B$1800,AK$1)</f>
        <v>0</v>
      </c>
      <c r="AL84" s="117" t="n">
        <f aca="false">SUMIFS(الريسبي!$C$2:$C$1800,الريسبي!$A$2:$A$1800,$A84,الريسبي!$B$2:$B$1800,AL$1)</f>
        <v>0</v>
      </c>
      <c r="AM84" s="117" t="n">
        <f aca="false">SUMIFS(الريسبي!$C$2:$C$1800,الريسبي!$A$2:$A$1800,$A84,الريسبي!$B$2:$B$1800,AM$1)+0.08333333333*SUMIFS(الريسبي!$C$2:$C$1800,الريسبي!$A$2:$A$1800,$A84,الريسبي!$B$2:$B$1800,"عجين كريب (مصنع بالمطعم)")+0.08333333333*SUMIFS(الريسبي!$C$2:$C$1800,الريسبي!$A$2:$A$1800,$A84,الريسبي!$B$2:$B$1800,"عجين كريب صيامي (بدون لبن)")</f>
        <v>0</v>
      </c>
      <c r="AN84" s="117" t="n">
        <f aca="false">SUMIFS(الريسبي!$C$2:$C$1800,الريسبي!$A$2:$A$1800,$A84,الريسبي!$B$2:$B$1800,AN$1)+0.004166666667*SUMIFS(الريسبي!$C$2:$C$1800,الريسبي!$A$2:$A$1800,$A84,الريسبي!$B$2:$B$1800,"عجين كريب (مصنع بالمطعم)")+0.004166666667*SUMIFS(الريسبي!$C$2:$C$1800,الريسبي!$A$2:$A$1800,$A84,الريسبي!$B$2:$B$1800,"عجين كريب صيامي (بدون لبن)")</f>
        <v>0</v>
      </c>
      <c r="AO84" s="117" t="n">
        <f aca="false">SUMIFS(الريسبي!$C$2:$C$1800,الريسبي!$A$2:$A$1800,$A84,الريسبي!$B$2:$B$1800,AO$1)</f>
        <v>0</v>
      </c>
      <c r="AP84" s="117" t="n">
        <f aca="false">SUMIFS(الريسبي!$C$2:$C$1800,الريسبي!$A$2:$A$1800,$A84,الريسبي!$B$2:$B$1800,AP$1)</f>
        <v>0.03</v>
      </c>
      <c r="AQ84" s="117" t="n">
        <f aca="false">SUMIFS(الريسبي!$C$2:$C$1800,الريسبي!$A$2:$A$1800,$A84,الريسبي!$B$2:$B$1800,AQ$1)+0.004166666667*SUMIFS(الريسبي!$C$2:$C$1800,الريسبي!$A$2:$A$1800,$A84,الريسبي!$B$2:$B$1800,"عجين كريب (مصنع بالمطعم)")+0.004166666667*SUMIFS(الريسبي!$C$2:$C$1800,الريسبي!$A$2:$A$1800,$A84,الريسبي!$B$2:$B$1800,"عجين كريب صيامي (بدون لبن)")</f>
        <v>0</v>
      </c>
      <c r="AR84" s="117" t="n">
        <f aca="false">SUMIFS(الريسبي!$C$2:$C$1800,الريسبي!$A$2:$A$1800,$A84,الريسبي!$B$2:$B$1800,AR$1)</f>
        <v>0</v>
      </c>
      <c r="AS84" s="117" t="n">
        <f aca="false">SUMIFS(الريسبي!$C$2:$C$1800,الريسبي!$A$2:$A$1800,$A84,الريسبي!$B$2:$B$1800,AS$1)</f>
        <v>0</v>
      </c>
      <c r="AT84" s="117" t="n">
        <f aca="false">SUMIFS(الريسبي!$C$2:$C$1800,الريسبي!$A$2:$A$1800,$A84,الريسبي!$B$2:$B$1800,AT$1)</f>
        <v>0</v>
      </c>
      <c r="AU84" s="117" t="n">
        <f aca="false">SUMIFS(الريسبي!$C$2:$C$1800,الريسبي!$A$2:$A$1800,$A84,الريسبي!$B$2:$B$1800,AU$1)</f>
        <v>0</v>
      </c>
      <c r="AV84" s="117" t="n">
        <f aca="false">SUMIFS(الريسبي!$C$2:$C$1800,الريسبي!$A$2:$A$1800,$A84,الريسبي!$B$2:$B$1800,AV$1)</f>
        <v>0</v>
      </c>
      <c r="AW84" s="117" t="n">
        <f aca="false">SUMIFS(الريسبي!$C$2:$C$1800,الريسبي!$A$2:$A$1800,$A84,الريسبي!$B$2:$B$1800,AW$1)</f>
        <v>0</v>
      </c>
      <c r="AX84" s="117" t="n">
        <f aca="false">SUMIFS(الريسبي!$C$2:$C$1800,الريسبي!$A$2:$A$1800,$A84,الريسبي!$B$2:$B$1800,AX$1)</f>
        <v>0.06</v>
      </c>
      <c r="AY84" s="117" t="n">
        <f aca="false">SUMIFS(الريسبي!$C$2:$C$1800,الريسبي!$A$2:$A$1800,$A84,الريسبي!$B$2:$B$1800,AY$1)</f>
        <v>0</v>
      </c>
      <c r="AZ84" s="117" t="n">
        <f aca="false">SUMIFS(الريسبي!$C$2:$C$1800,الريسبي!$A$2:$A$1800,$A84,الريسبي!$B$2:$B$1800,AZ$1)</f>
        <v>0</v>
      </c>
      <c r="BA84" s="117" t="n">
        <f aca="false">SUMIFS(الريسبي!$C$2:$C$1800,الريسبي!$A$2:$A$1800,$A84,الريسبي!$B$2:$B$1800,BA$1)</f>
        <v>0</v>
      </c>
      <c r="BB84" s="117" t="n">
        <f aca="false">SUMIFS(الريسبي!$C$2:$C$1800,الريسبي!$A$2:$A$1800,$A84,الريسبي!$B$2:$B$1800,BB$1)</f>
        <v>0</v>
      </c>
      <c r="BC84" s="117" t="n">
        <f aca="false">SUMIFS(الريسبي!$C$2:$C$1800,الريسبي!$A$2:$A$1800,$A84,الريسبي!$B$2:$B$1800,BC$1)</f>
        <v>0.045</v>
      </c>
      <c r="BD84" s="117" t="n">
        <f aca="false">SUMIFS(الريسبي!$C$2:$C$1800,الريسبي!$A$2:$A$1800,$A84,الريسبي!$B$2:$B$1800,BD$1)</f>
        <v>0.3</v>
      </c>
      <c r="BE84" s="117" t="n">
        <f aca="false">SUMIFS(الريسبي!$C$2:$C$1800,الريسبي!$A$2:$A$1800,$A84,الريسبي!$B$2:$B$1800,BE$1)</f>
        <v>0</v>
      </c>
      <c r="BF84" s="117" t="n">
        <f aca="false">SUMIFS(الريسبي!$C$2:$C$1800,الريسبي!$A$2:$A$1800,$A84,الريسبي!$B$2:$B$1800,BF$1)</f>
        <v>0</v>
      </c>
      <c r="BG84" s="117" t="n">
        <f aca="false">SUMIFS(الريسبي!$C$2:$C$1800,الريسبي!$A$2:$A$1800,$A84,الريسبي!$B$2:$B$1800,BG$1)</f>
        <v>1</v>
      </c>
      <c r="BH84" s="117" t="n">
        <f aca="false">SUMIFS(الريسبي!$C$2:$C$1800,الريسبي!$A$2:$A$1800,$A84,الريسبي!$B$2:$B$1800,BH$1)</f>
        <v>0</v>
      </c>
      <c r="BI84" s="117" t="n">
        <f aca="false">SUMIFS(الريسبي!$C$2:$C$1800,الريسبي!$A$2:$A$1800,$A84,الريسبي!$B$2:$B$1800,BI$1)</f>
        <v>0</v>
      </c>
      <c r="BJ84" s="117" t="n">
        <f aca="false">SUMIFS(الريسبي!$C$2:$C$1800,الريسبي!$A$2:$A$1800,$A84,الريسبي!$B$2:$B$1800,BJ$1)</f>
        <v>0</v>
      </c>
      <c r="BK84" s="117" t="n">
        <f aca="false">SUMIFS(الريسبي!$C$2:$C$1800,الريسبي!$A$2:$A$1800,$A84,الريسبي!$B$2:$B$1800,BK$1)</f>
        <v>0</v>
      </c>
      <c r="BL84" s="117" t="n">
        <f aca="false">SUMIFS(الريسبي!$C$2:$C$1800,الريسبي!$A$2:$A$1800,$A84,الريسبي!$B$2:$B$1800,BL$1)</f>
        <v>0</v>
      </c>
      <c r="BM84" s="117" t="n">
        <f aca="false">SUMIFS(الريسبي!$C$2:$C$1800,الريسبي!$A$2:$A$1800,$A84,الريسبي!$B$2:$B$1800,BM$1)</f>
        <v>0</v>
      </c>
      <c r="BN84" s="117" t="n">
        <f aca="false">SUMIFS(الريسبي!$C$2:$C$1800,الريسبي!$A$2:$A$1800,$A84,الريسبي!$B$2:$B$1800,BN$1)</f>
        <v>0.03</v>
      </c>
      <c r="BO84" s="117" t="n">
        <f aca="false">SUMIFS(الريسبي!$C$2:$C$1800,الريسبي!$A$2:$A$1800,$A84,الريسبي!$B$2:$B$1800,BO$1)</f>
        <v>0</v>
      </c>
      <c r="BP84" s="117" t="n">
        <f aca="false">SUMIFS(الريسبي!$C$2:$C$1800,الريسبي!$A$2:$A$1800,$A84,الريسبي!$B$2:$B$1800,BP$1)</f>
        <v>3</v>
      </c>
      <c r="BQ84" s="117" t="n">
        <f aca="false">SUMIFS(الريسبي!$C$2:$C$1800,الريسبي!$A$2:$A$1800,$A84,الريسبي!$B$2:$B$1800,BQ$1)+0.17*SUMIFS(الريسبي!$C$2:$C$1800,الريسبي!$A$2:$A$1800,$A84,الريسبي!$B$2:$B$1800,"كاسترد مصنع (خليط بودر + لبن)")+0.17*SUMIFS(الريسبي!$C$2:$C$1800,الريسبي!$A$2:$A$1800,$A84,الريسبي!$B$2:$B$1800,"كاسترد مصنع صيامي (بدون لبن)")</f>
        <v>0</v>
      </c>
      <c r="BR84" s="117" t="n">
        <f aca="false">SUMIFS(الريسبي!$C$2:$C$1800,الريسبي!$A$2:$A$1800,$A84,الريسبي!$B$2:$B$1800,BR$1)</f>
        <v>1</v>
      </c>
      <c r="BS84" s="117" t="n">
        <f aca="false">SUMIFS(الريسبي!$C$2:$C$1800,الريسبي!$A$2:$A$1800,$A84,الريسبي!$B$2:$B$1800,BS$1)</f>
        <v>0</v>
      </c>
      <c r="BT84" s="117" t="n">
        <f aca="false">SUMIFS(الريسبي!$C$2:$C$1800,الريسبي!$A$2:$A$1800,$A84,الريسبي!$B$2:$B$1800,BT$1)</f>
        <v>0</v>
      </c>
      <c r="BU84" s="117" t="n">
        <f aca="false">SUMIFS(الريسبي!$C$2:$C$1800,الريسبي!$A$2:$A$1800,$A84,الريسبي!$B$2:$B$1800,BU$1)+0.4*SUMIFS(الريسبي!$C$2:$C$1800,الريسبي!$A$2:$A$1800,$A84,الريسبي!$B$2:$B$1800,"كاسترد مصنع (خليط بودر + لبن)")+0.03333333333*SUMIFS(الريسبي!$C$2:$C$1800,الريسبي!$A$2:$A$1800,$A84,الريسبي!$B$2:$B$1800,"عجين كريب (مصنع بالمطعم)")</f>
        <v>0</v>
      </c>
      <c r="BV84" s="117" t="n">
        <f aca="false">SUMIFS(الريسبي!$C$2:$C$1800,الريسبي!$A$2:$A$1800,$A84,الريسبي!$B$2:$B$1800,BV$1)</f>
        <v>0</v>
      </c>
      <c r="BW84" s="117" t="n">
        <f aca="false">SUMIFS(الريسبي!$C$2:$C$1800,الريسبي!$A$2:$A$1800,$A84,الريسبي!$B$2:$B$1800,BW$1)</f>
        <v>0</v>
      </c>
      <c r="BX84" s="117" t="n">
        <f aca="false">SUMIFS(الريسبي!$C$2:$C$1800,الريسبي!$A$2:$A$1800,$A84,الريسبي!$B$2:$B$1800,BX$1)</f>
        <v>0</v>
      </c>
      <c r="BY84" s="117" t="n">
        <f aca="false">SUMIFS(الريسبي!$C$2:$C$1800,الريسبي!$A$2:$A$1800,$A84,الريسبي!$B$2:$B$1800,BY$1)</f>
        <v>0</v>
      </c>
      <c r="BZ84" s="117" t="n">
        <f aca="false">SUMIFS(الريسبي!$C$2:$C$1800,الريسبي!$A$2:$A$1800,$A84,الريسبي!$B$2:$B$1800,BZ$1)</f>
        <v>0</v>
      </c>
      <c r="CA84" s="117" t="n">
        <f aca="false">SUMIFS(الريسبي!$C$2:$C$1800,الريسبي!$A$2:$A$1800,$A84,الريسبي!$B$2:$B$1800,CA$1)</f>
        <v>1</v>
      </c>
      <c r="CB84" s="117" t="n">
        <f aca="false">SUMIFS(الريسبي!$C$2:$C$1800,الريسبي!$A$2:$A$1800,$A84,الريسبي!$B$2:$B$1800,CB$1)</f>
        <v>1</v>
      </c>
      <c r="CC84" s="117" t="n">
        <f aca="false">SUMIFS(الريسبي!$C$2:$C$1800,الريسبي!$A$2:$A$1800,$A84,الريسبي!$B$2:$B$1800,CC$1)</f>
        <v>0</v>
      </c>
      <c r="CD84" s="117" t="n">
        <f aca="false">SUMIFS(الريسبي!$C$2:$C$1800,الريسبي!$A$2:$A$1800,$A84,الريسبي!$B$2:$B$1800,CD$1)</f>
        <v>0</v>
      </c>
      <c r="CE84" s="117" t="n">
        <f aca="false">SUMIFS(الريسبي!$C$2:$C$1800,الريسبي!$A$2:$A$1800,$A84,الريسبي!$B$2:$B$1800,CE$1)</f>
        <v>0.21</v>
      </c>
      <c r="CF84" s="117" t="n">
        <f aca="false">SUMIFS(الريسبي!$C$2:$C$1800,الريسبي!$A$2:$A$1800,$A84,الريسبي!$B$2:$B$1800,CF$1)</f>
        <v>0</v>
      </c>
      <c r="CG84" s="117" t="n">
        <f aca="false">SUMIFS(الريسبي!$C$2:$C$1800,الريسبي!$A$2:$A$1800,$A84,الريسبي!$B$2:$B$1800,CG$1)</f>
        <v>0</v>
      </c>
      <c r="CH84" s="117" t="n">
        <f aca="false">SUMIFS(الريسبي!$C$2:$C$1800,الريسبي!$A$2:$A$1800,$A84,الريسبي!$B$2:$B$1800,CH$1)</f>
        <v>0</v>
      </c>
      <c r="CI84" s="117" t="n">
        <f aca="false">SUMIFS(الريسبي!$C$2:$C$1800,الريسبي!$A$2:$A$1800,$A84,الريسبي!$B$2:$B$1800,CI$1)</f>
        <v>0</v>
      </c>
      <c r="CJ84" s="117" t="n">
        <f aca="false">SUMIFS(الريسبي!$C$2:$C$1800,الريسبي!$A$2:$A$1800,$A84,الريسبي!$B$2:$B$1800,CJ$1)</f>
        <v>0</v>
      </c>
      <c r="CK84" s="117" t="n">
        <f aca="false">SUMIFS(الريسبي!$C$2:$C$1800,الريسبي!$A$2:$A$1800,$A84,الريسبي!$B$2:$B$1800,CK$1)</f>
        <v>0</v>
      </c>
      <c r="CL84" s="117" t="n">
        <f aca="false">SUMIFS(الريسبي!$C$2:$C$1800,الريسبي!$A$2:$A$1800,$A84,الريسبي!$B$2:$B$1800,CL$1)</f>
        <v>0</v>
      </c>
    </row>
    <row r="85" customFormat="false" ht="15" hidden="false" customHeight="false" outlineLevel="0" collapsed="false">
      <c r="A85" s="116" t="str">
        <f aca="false">المنيو!B85</f>
        <v>بيتزا مشكل جبن صيامي وسط</v>
      </c>
      <c r="B85" s="117" t="n">
        <f aca="false">SUMIFS(الريسبي!$C$2:$C$1800,الريسبي!$A$2:$A$1800,$A85,الريسبي!$B$2:$B$1800,B$1)</f>
        <v>0</v>
      </c>
      <c r="C85" s="117" t="n">
        <f aca="false">SUMIFS(الريسبي!$C$2:$C$1800,الريسبي!$A$2:$A$1800,$A85,الريسبي!$B$2:$B$1800,C$1)</f>
        <v>0</v>
      </c>
      <c r="D85" s="117" t="n">
        <f aca="false">SUMIFS(الريسبي!$C$2:$C$1800,الريسبي!$A$2:$A$1800,$A85,الريسبي!$B$2:$B$1800,D$1)</f>
        <v>1</v>
      </c>
      <c r="E85" s="117" t="n">
        <f aca="false">SUMIFS(الريسبي!$C$2:$C$1800,الريسبي!$A$2:$A$1800,$A85,الريسبي!$B$2:$B$1800,E$1)</f>
        <v>0</v>
      </c>
      <c r="F85" s="117" t="n">
        <f aca="false">SUMIFS(الريسبي!$C$2:$C$1800,الريسبي!$A$2:$A$1800,$A85,الريسبي!$B$2:$B$1800,F$1)</f>
        <v>0</v>
      </c>
      <c r="G85" s="117" t="n">
        <f aca="false">SUMIFS(الريسبي!$C$2:$C$1800,الريسبي!$A$2:$A$1800,$A85,الريسبي!$B$2:$B$1800,G$1)</f>
        <v>0</v>
      </c>
      <c r="H85" s="117" t="n">
        <f aca="false">SUMIFS(الريسبي!$C$2:$C$1800,الريسبي!$A$2:$A$1800,$A85,الريسبي!$B$2:$B$1800,H$1)</f>
        <v>0</v>
      </c>
      <c r="I85" s="117" t="n">
        <f aca="false">SUMIFS(الريسبي!$C$2:$C$1800,الريسبي!$A$2:$A$1800,$A85,الريسبي!$B$2:$B$1800,I$1)</f>
        <v>0</v>
      </c>
      <c r="J85" s="117" t="n">
        <f aca="false">SUMIFS(الريسبي!$C$2:$C$1800,الريسبي!$A$2:$A$1800,$A85,الريسبي!$B$2:$B$1800,J$1)</f>
        <v>0</v>
      </c>
      <c r="K85" s="117" t="n">
        <f aca="false">SUMIFS(الريسبي!$C$2:$C$1800,الريسبي!$A$2:$A$1800,$A85,الريسبي!$B$2:$B$1800,K$1)</f>
        <v>0</v>
      </c>
      <c r="L85" s="117" t="n">
        <f aca="false">SUMIFS(الريسبي!$C$2:$C$1800,الريسبي!$A$2:$A$1800,$A85,الريسبي!$B$2:$B$1800,L$1)</f>
        <v>0</v>
      </c>
      <c r="M85" s="117" t="n">
        <f aca="false">SUMIFS(الريسبي!$C$2:$C$1800,الريسبي!$A$2:$A$1800,$A85,الريسبي!$B$2:$B$1800,M$1)</f>
        <v>0</v>
      </c>
      <c r="N85" s="117" t="n">
        <f aca="false">SUMIFS(الريسبي!$C$2:$C$1800,الريسبي!$A$2:$A$1800,$A85,الريسبي!$B$2:$B$1800,N$1)</f>
        <v>0</v>
      </c>
      <c r="O85" s="117" t="n">
        <f aca="false">SUMIFS(الريسبي!$C$2:$C$1800,الريسبي!$A$2:$A$1800,$A85,الريسبي!$B$2:$B$1800,O$1)</f>
        <v>0</v>
      </c>
      <c r="P85" s="117" t="n">
        <f aca="false">SUMIFS(الريسبي!$C$2:$C$1800,الريسبي!$A$2:$A$1800,$A85,الريسبي!$B$2:$B$1800,P$1)</f>
        <v>0</v>
      </c>
      <c r="Q85" s="117" t="n">
        <f aca="false">SUMIFS(الريسبي!$C$2:$C$1800,الريسبي!$A$2:$A$1800,$A85,الريسبي!$B$2:$B$1800,Q$1)</f>
        <v>0</v>
      </c>
      <c r="R85" s="117" t="n">
        <f aca="false">SUMIFS(الريسبي!$C$2:$C$1800,الريسبي!$A$2:$A$1800,$A85,الريسبي!$B$2:$B$1800,R$1)</f>
        <v>0</v>
      </c>
      <c r="S85" s="117" t="n">
        <f aca="false">SUMIFS(الريسبي!$C$2:$C$1800,الريسبي!$A$2:$A$1800,$A85,الريسبي!$B$2:$B$1800,S$1)</f>
        <v>0</v>
      </c>
      <c r="T85" s="117" t="n">
        <f aca="false">SUMIFS(الريسبي!$C$2:$C$1800,الريسبي!$A$2:$A$1800,$A85,الريسبي!$B$2:$B$1800,T$1)</f>
        <v>0</v>
      </c>
      <c r="U85" s="117" t="n">
        <f aca="false">SUMIFS(الريسبي!$C$2:$C$1800,الريسبي!$A$2:$A$1800,$A85,الريسبي!$B$2:$B$1800,U$1)</f>
        <v>0</v>
      </c>
      <c r="V85" s="117" t="n">
        <f aca="false">SUMIFS(الريسبي!$C$2:$C$1800,الريسبي!$A$2:$A$1800,$A85,الريسبي!$B$2:$B$1800,V$1)+1.5*(SUMIFS(الريسبي!$C$2:$C$1800,الريسبي!$A$2:$A$1800,$A85,الريسبي!$B$2:$B$1800,"برسيون موتزريلا بيتزا كبير"))</f>
        <v>0</v>
      </c>
      <c r="W85" s="117" t="n">
        <f aca="false">0</f>
        <v>0</v>
      </c>
      <c r="X85" s="117" t="n">
        <f aca="false">SUMIFS(الريسبي!$C$2:$C$1800,الريسبي!$A$2:$A$1800,$A85,الريسبي!$B$2:$B$1800,X$1)+1.5*(SUMIFS(الريسبي!$C$2:$C$1800,الريسبي!$A$2:$A$1800,$A85,الريسبي!$B$2:$B$1800,"برسيون موتزريلا فطير كبير"))</f>
        <v>1</v>
      </c>
      <c r="Y85" s="117" t="n">
        <f aca="false">0</f>
        <v>0</v>
      </c>
      <c r="Z85" s="117" t="n">
        <f aca="false">SUMIFS(الريسبي!$C$2:$C$1800,الريسبي!$A$2:$A$1800,$A85,الريسبي!$B$2:$B$1800,Z$1)</f>
        <v>0</v>
      </c>
      <c r="AA85" s="117" t="n">
        <f aca="false">SUMIFS(الريسبي!$C$2:$C$1800,الريسبي!$A$2:$A$1800,$A85,الريسبي!$B$2:$B$1800,AA$1)</f>
        <v>0</v>
      </c>
      <c r="AB85" s="117" t="n">
        <f aca="false">SUMIFS(الريسبي!$C$2:$C$1800,الريسبي!$A$2:$A$1800,$A85,الريسبي!$B$2:$B$1800,AB$1)</f>
        <v>0</v>
      </c>
      <c r="AC85" s="117" t="n">
        <f aca="false">SUMIFS(الريسبي!$C$2:$C$1800,الريسبي!$A$2:$A$1800,$A85,الريسبي!$B$2:$B$1800,AC$1)</f>
        <v>0</v>
      </c>
      <c r="AD85" s="117" t="n">
        <f aca="false">SUMIFS(الريسبي!$C$2:$C$1800,الريسبي!$A$2:$A$1800,$A85,الريسبي!$B$2:$B$1800,AD$1)</f>
        <v>0</v>
      </c>
      <c r="AE85" s="117" t="n">
        <f aca="false">SUMIFS(الريسبي!$C$2:$C$1800,الريسبي!$A$2:$A$1800,$A85,الريسبي!$B$2:$B$1800,AE$1)</f>
        <v>0</v>
      </c>
      <c r="AF85" s="117" t="n">
        <f aca="false">SUMIFS(الريسبي!$C$2:$C$1800,الريسبي!$A$2:$A$1800,$A85,الريسبي!$B$2:$B$1800,AF$1)</f>
        <v>0</v>
      </c>
      <c r="AG85" s="117" t="n">
        <f aca="false">SUMIFS(الريسبي!$C$2:$C$1800,الريسبي!$A$2:$A$1800,$A85,الريسبي!$B$2:$B$1800,AG$1)</f>
        <v>0</v>
      </c>
      <c r="AH85" s="117" t="n">
        <f aca="false">SUMIFS(الريسبي!$C$2:$C$1800,الريسبي!$A$2:$A$1800,$A85,الريسبي!$B$2:$B$1800,AH$1)</f>
        <v>0</v>
      </c>
      <c r="AI85" s="117" t="n">
        <f aca="false">SUMIFS(الريسبي!$C$2:$C$1800,الريسبي!$A$2:$A$1800,$A85,الريسبي!$B$2:$B$1800,AI$1)</f>
        <v>0.1</v>
      </c>
      <c r="AJ85" s="117" t="n">
        <f aca="false">SUMIFS(الريسبي!$C$2:$C$1800,الريسبي!$A$2:$A$1800,$A85,الريسبي!$B$2:$B$1800,AJ$1)</f>
        <v>2</v>
      </c>
      <c r="AK85" s="117" t="n">
        <f aca="false">SUMIFS(الريسبي!$C$2:$C$1800,الريسبي!$A$2:$A$1800,$A85,الريسبي!$B$2:$B$1800,AK$1)</f>
        <v>0</v>
      </c>
      <c r="AL85" s="117" t="n">
        <f aca="false">SUMIFS(الريسبي!$C$2:$C$1800,الريسبي!$A$2:$A$1800,$A85,الريسبي!$B$2:$B$1800,AL$1)</f>
        <v>0</v>
      </c>
      <c r="AM85" s="117" t="n">
        <f aca="false">SUMIFS(الريسبي!$C$2:$C$1800,الريسبي!$A$2:$A$1800,$A85,الريسبي!$B$2:$B$1800,AM$1)+0.08333333333*SUMIFS(الريسبي!$C$2:$C$1800,الريسبي!$A$2:$A$1800,$A85,الريسبي!$B$2:$B$1800,"عجين كريب (مصنع بالمطعم)")+0.08333333333*SUMIFS(الريسبي!$C$2:$C$1800,الريسبي!$A$2:$A$1800,$A85,الريسبي!$B$2:$B$1800,"عجين كريب صيامي (بدون لبن)")</f>
        <v>0</v>
      </c>
      <c r="AN85" s="117" t="n">
        <f aca="false">SUMIFS(الريسبي!$C$2:$C$1800,الريسبي!$A$2:$A$1800,$A85,الريسبي!$B$2:$B$1800,AN$1)+0.004166666667*SUMIFS(الريسبي!$C$2:$C$1800,الريسبي!$A$2:$A$1800,$A85,الريسبي!$B$2:$B$1800,"عجين كريب (مصنع بالمطعم)")+0.004166666667*SUMIFS(الريسبي!$C$2:$C$1800,الريسبي!$A$2:$A$1800,$A85,الريسبي!$B$2:$B$1800,"عجين كريب صيامي (بدون لبن)")</f>
        <v>0</v>
      </c>
      <c r="AO85" s="117" t="n">
        <f aca="false">SUMIFS(الريسبي!$C$2:$C$1800,الريسبي!$A$2:$A$1800,$A85,الريسبي!$B$2:$B$1800,AO$1)</f>
        <v>0</v>
      </c>
      <c r="AP85" s="117" t="n">
        <f aca="false">SUMIFS(الريسبي!$C$2:$C$1800,الريسبي!$A$2:$A$1800,$A85,الريسبي!$B$2:$B$1800,AP$1)</f>
        <v>0.02</v>
      </c>
      <c r="AQ85" s="117" t="n">
        <f aca="false">SUMIFS(الريسبي!$C$2:$C$1800,الريسبي!$A$2:$A$1800,$A85,الريسبي!$B$2:$B$1800,AQ$1)+0.004166666667*SUMIFS(الريسبي!$C$2:$C$1800,الريسبي!$A$2:$A$1800,$A85,الريسبي!$B$2:$B$1800,"عجين كريب (مصنع بالمطعم)")+0.004166666667*SUMIFS(الريسبي!$C$2:$C$1800,الريسبي!$A$2:$A$1800,$A85,الريسبي!$B$2:$B$1800,"عجين كريب صيامي (بدون لبن)")</f>
        <v>0</v>
      </c>
      <c r="AR85" s="117" t="n">
        <f aca="false">SUMIFS(الريسبي!$C$2:$C$1800,الريسبي!$A$2:$A$1800,$A85,الريسبي!$B$2:$B$1800,AR$1)</f>
        <v>0</v>
      </c>
      <c r="AS85" s="117" t="n">
        <f aca="false">SUMIFS(الريسبي!$C$2:$C$1800,الريسبي!$A$2:$A$1800,$A85,الريسبي!$B$2:$B$1800,AS$1)</f>
        <v>0</v>
      </c>
      <c r="AT85" s="117" t="n">
        <f aca="false">SUMIFS(الريسبي!$C$2:$C$1800,الريسبي!$A$2:$A$1800,$A85,الريسبي!$B$2:$B$1800,AT$1)</f>
        <v>0</v>
      </c>
      <c r="AU85" s="117" t="n">
        <f aca="false">SUMIFS(الريسبي!$C$2:$C$1800,الريسبي!$A$2:$A$1800,$A85,الريسبي!$B$2:$B$1800,AU$1)</f>
        <v>0</v>
      </c>
      <c r="AV85" s="117" t="n">
        <f aca="false">SUMIFS(الريسبي!$C$2:$C$1800,الريسبي!$A$2:$A$1800,$A85,الريسبي!$B$2:$B$1800,AV$1)</f>
        <v>0</v>
      </c>
      <c r="AW85" s="117" t="n">
        <f aca="false">SUMIFS(الريسبي!$C$2:$C$1800,الريسبي!$A$2:$A$1800,$A85,الريسبي!$B$2:$B$1800,AW$1)</f>
        <v>0</v>
      </c>
      <c r="AX85" s="117" t="n">
        <f aca="false">SUMIFS(الريسبي!$C$2:$C$1800,الريسبي!$A$2:$A$1800,$A85,الريسبي!$B$2:$B$1800,AX$1)</f>
        <v>0.04</v>
      </c>
      <c r="AY85" s="117" t="n">
        <f aca="false">SUMIFS(الريسبي!$C$2:$C$1800,الريسبي!$A$2:$A$1800,$A85,الريسبي!$B$2:$B$1800,AY$1)</f>
        <v>0</v>
      </c>
      <c r="AZ85" s="117" t="n">
        <f aca="false">SUMIFS(الريسبي!$C$2:$C$1800,الريسبي!$A$2:$A$1800,$A85,الريسبي!$B$2:$B$1800,AZ$1)</f>
        <v>0</v>
      </c>
      <c r="BA85" s="117" t="n">
        <f aca="false">SUMIFS(الريسبي!$C$2:$C$1800,الريسبي!$A$2:$A$1800,$A85,الريسبي!$B$2:$B$1800,BA$1)</f>
        <v>0</v>
      </c>
      <c r="BB85" s="117" t="n">
        <f aca="false">SUMIFS(الريسبي!$C$2:$C$1800,الريسبي!$A$2:$A$1800,$A85,الريسبي!$B$2:$B$1800,BB$1)</f>
        <v>0</v>
      </c>
      <c r="BC85" s="117" t="n">
        <f aca="false">SUMIFS(الريسبي!$C$2:$C$1800,الريسبي!$A$2:$A$1800,$A85,الريسبي!$B$2:$B$1800,BC$1)</f>
        <v>0.03</v>
      </c>
      <c r="BD85" s="117" t="n">
        <f aca="false">SUMIFS(الريسبي!$C$2:$C$1800,الريسبي!$A$2:$A$1800,$A85,الريسبي!$B$2:$B$1800,BD$1)</f>
        <v>0.22</v>
      </c>
      <c r="BE85" s="117" t="n">
        <f aca="false">SUMIFS(الريسبي!$C$2:$C$1800,الريسبي!$A$2:$A$1800,$A85,الريسبي!$B$2:$B$1800,BE$1)</f>
        <v>0</v>
      </c>
      <c r="BF85" s="117" t="n">
        <f aca="false">SUMIFS(الريسبي!$C$2:$C$1800,الريسبي!$A$2:$A$1800,$A85,الريسبي!$B$2:$B$1800,BF$1)</f>
        <v>0</v>
      </c>
      <c r="BG85" s="117" t="n">
        <f aca="false">SUMIFS(الريسبي!$C$2:$C$1800,الريسبي!$A$2:$A$1800,$A85,الريسبي!$B$2:$B$1800,BG$1)</f>
        <v>0</v>
      </c>
      <c r="BH85" s="117" t="n">
        <f aca="false">SUMIFS(الريسبي!$C$2:$C$1800,الريسبي!$A$2:$A$1800,$A85,الريسبي!$B$2:$B$1800,BH$1)</f>
        <v>1</v>
      </c>
      <c r="BI85" s="117" t="n">
        <f aca="false">SUMIFS(الريسبي!$C$2:$C$1800,الريسبي!$A$2:$A$1800,$A85,الريسبي!$B$2:$B$1800,BI$1)</f>
        <v>0</v>
      </c>
      <c r="BJ85" s="117" t="n">
        <f aca="false">SUMIFS(الريسبي!$C$2:$C$1800,الريسبي!$A$2:$A$1800,$A85,الريسبي!$B$2:$B$1800,BJ$1)</f>
        <v>0</v>
      </c>
      <c r="BK85" s="117" t="n">
        <f aca="false">SUMIFS(الريسبي!$C$2:$C$1800,الريسبي!$A$2:$A$1800,$A85,الريسبي!$B$2:$B$1800,BK$1)</f>
        <v>0</v>
      </c>
      <c r="BL85" s="117" t="n">
        <f aca="false">SUMIFS(الريسبي!$C$2:$C$1800,الريسبي!$A$2:$A$1800,$A85,الريسبي!$B$2:$B$1800,BL$1)</f>
        <v>0</v>
      </c>
      <c r="BM85" s="117" t="n">
        <f aca="false">SUMIFS(الريسبي!$C$2:$C$1800,الريسبي!$A$2:$A$1800,$A85,الريسبي!$B$2:$B$1800,BM$1)</f>
        <v>0</v>
      </c>
      <c r="BN85" s="117" t="n">
        <f aca="false">SUMIFS(الريسبي!$C$2:$C$1800,الريسبي!$A$2:$A$1800,$A85,الريسبي!$B$2:$B$1800,BN$1)</f>
        <v>0.02</v>
      </c>
      <c r="BO85" s="117" t="n">
        <f aca="false">SUMIFS(الريسبي!$C$2:$C$1800,الريسبي!$A$2:$A$1800,$A85,الريسبي!$B$2:$B$1800,BO$1)</f>
        <v>0</v>
      </c>
      <c r="BP85" s="117" t="n">
        <f aca="false">SUMIFS(الريسبي!$C$2:$C$1800,الريسبي!$A$2:$A$1800,$A85,الريسبي!$B$2:$B$1800,BP$1)</f>
        <v>2</v>
      </c>
      <c r="BQ85" s="117" t="n">
        <f aca="false">SUMIFS(الريسبي!$C$2:$C$1800,الريسبي!$A$2:$A$1800,$A85,الريسبي!$B$2:$B$1800,BQ$1)+0.17*SUMIFS(الريسبي!$C$2:$C$1800,الريسبي!$A$2:$A$1800,$A85,الريسبي!$B$2:$B$1800,"كاسترد مصنع (خليط بودر + لبن)")+0.17*SUMIFS(الريسبي!$C$2:$C$1800,الريسبي!$A$2:$A$1800,$A85,الريسبي!$B$2:$B$1800,"كاسترد مصنع صيامي (بدون لبن)")</f>
        <v>0</v>
      </c>
      <c r="BR85" s="117" t="n">
        <f aca="false">SUMIFS(الريسبي!$C$2:$C$1800,الريسبي!$A$2:$A$1800,$A85,الريسبي!$B$2:$B$1800,BR$1)</f>
        <v>1</v>
      </c>
      <c r="BS85" s="117" t="n">
        <f aca="false">SUMIFS(الريسبي!$C$2:$C$1800,الريسبي!$A$2:$A$1800,$A85,الريسبي!$B$2:$B$1800,BS$1)</f>
        <v>0</v>
      </c>
      <c r="BT85" s="117" t="n">
        <f aca="false">SUMIFS(الريسبي!$C$2:$C$1800,الريسبي!$A$2:$A$1800,$A85,الريسبي!$B$2:$B$1800,BT$1)</f>
        <v>0</v>
      </c>
      <c r="BU85" s="117" t="n">
        <f aca="false">SUMIFS(الريسبي!$C$2:$C$1800,الريسبي!$A$2:$A$1800,$A85,الريسبي!$B$2:$B$1800,BU$1)+0.4*SUMIFS(الريسبي!$C$2:$C$1800,الريسبي!$A$2:$A$1800,$A85,الريسبي!$B$2:$B$1800,"كاسترد مصنع (خليط بودر + لبن)")+0.03333333333*SUMIFS(الريسبي!$C$2:$C$1800,الريسبي!$A$2:$A$1800,$A85,الريسبي!$B$2:$B$1800,"عجين كريب (مصنع بالمطعم)")</f>
        <v>0</v>
      </c>
      <c r="BV85" s="117" t="n">
        <f aca="false">SUMIFS(الريسبي!$C$2:$C$1800,الريسبي!$A$2:$A$1800,$A85,الريسبي!$B$2:$B$1800,BV$1)</f>
        <v>0</v>
      </c>
      <c r="BW85" s="117" t="n">
        <f aca="false">SUMIFS(الريسبي!$C$2:$C$1800,الريسبي!$A$2:$A$1800,$A85,الريسبي!$B$2:$B$1800,BW$1)</f>
        <v>0</v>
      </c>
      <c r="BX85" s="117" t="n">
        <f aca="false">SUMIFS(الريسبي!$C$2:$C$1800,الريسبي!$A$2:$A$1800,$A85,الريسبي!$B$2:$B$1800,BX$1)</f>
        <v>0</v>
      </c>
      <c r="BY85" s="117" t="n">
        <f aca="false">SUMIFS(الريسبي!$C$2:$C$1800,الريسبي!$A$2:$A$1800,$A85,الريسبي!$B$2:$B$1800,BY$1)</f>
        <v>0</v>
      </c>
      <c r="BZ85" s="117" t="n">
        <f aca="false">SUMIFS(الريسبي!$C$2:$C$1800,الريسبي!$A$2:$A$1800,$A85,الريسبي!$B$2:$B$1800,BZ$1)</f>
        <v>0</v>
      </c>
      <c r="CA85" s="117" t="n">
        <f aca="false">SUMIFS(الريسبي!$C$2:$C$1800,الريسبي!$A$2:$A$1800,$A85,الريسبي!$B$2:$B$1800,CA$1)</f>
        <v>1</v>
      </c>
      <c r="CB85" s="117" t="n">
        <f aca="false">SUMIFS(الريسبي!$C$2:$C$1800,الريسبي!$A$2:$A$1800,$A85,الريسبي!$B$2:$B$1800,CB$1)</f>
        <v>1</v>
      </c>
      <c r="CC85" s="117" t="n">
        <f aca="false">SUMIFS(الريسبي!$C$2:$C$1800,الريسبي!$A$2:$A$1800,$A85,الريسبي!$B$2:$B$1800,CC$1)</f>
        <v>0</v>
      </c>
      <c r="CD85" s="117" t="n">
        <f aca="false">SUMIFS(الريسبي!$C$2:$C$1800,الريسبي!$A$2:$A$1800,$A85,الريسبي!$B$2:$B$1800,CD$1)</f>
        <v>0</v>
      </c>
      <c r="CE85" s="117" t="n">
        <f aca="false">SUMIFS(الريسبي!$C$2:$C$1800,الريسبي!$A$2:$A$1800,$A85,الريسبي!$B$2:$B$1800,CE$1)</f>
        <v>0</v>
      </c>
      <c r="CF85" s="117" t="n">
        <f aca="false">SUMIFS(الريسبي!$C$2:$C$1800,الريسبي!$A$2:$A$1800,$A85,الريسبي!$B$2:$B$1800,CF$1)</f>
        <v>0</v>
      </c>
      <c r="CG85" s="117" t="n">
        <f aca="false">SUMIFS(الريسبي!$C$2:$C$1800,الريسبي!$A$2:$A$1800,$A85,الريسبي!$B$2:$B$1800,CG$1)</f>
        <v>0</v>
      </c>
      <c r="CH85" s="117" t="n">
        <f aca="false">SUMIFS(الريسبي!$C$2:$C$1800,الريسبي!$A$2:$A$1800,$A85,الريسبي!$B$2:$B$1800,CH$1)</f>
        <v>0</v>
      </c>
      <c r="CI85" s="117" t="n">
        <f aca="false">SUMIFS(الريسبي!$C$2:$C$1800,الريسبي!$A$2:$A$1800,$A85,الريسبي!$B$2:$B$1800,CI$1)</f>
        <v>0</v>
      </c>
      <c r="CJ85" s="117" t="n">
        <f aca="false">SUMIFS(الريسبي!$C$2:$C$1800,الريسبي!$A$2:$A$1800,$A85,الريسبي!$B$2:$B$1800,CJ$1)</f>
        <v>0</v>
      </c>
      <c r="CK85" s="117" t="n">
        <f aca="false">SUMIFS(الريسبي!$C$2:$C$1800,الريسبي!$A$2:$A$1800,$A85,الريسبي!$B$2:$B$1800,CK$1)</f>
        <v>0</v>
      </c>
      <c r="CL85" s="117" t="n">
        <f aca="false">SUMIFS(الريسبي!$C$2:$C$1800,الريسبي!$A$2:$A$1800,$A85,الريسبي!$B$2:$B$1800,CL$1)</f>
        <v>0</v>
      </c>
    </row>
    <row r="86" customFormat="false" ht="15" hidden="false" customHeight="false" outlineLevel="0" collapsed="false">
      <c r="A86" s="116" t="str">
        <f aca="false">المنيو!B86</f>
        <v>بيتزا مشكل جبن صيامي مخصوص</v>
      </c>
      <c r="B86" s="117" t="n">
        <f aca="false">SUMIFS(الريسبي!$C$2:$C$1800,الريسبي!$A$2:$A$1800,$A86,الريسبي!$B$2:$B$1800,B$1)</f>
        <v>0</v>
      </c>
      <c r="C86" s="117" t="n">
        <f aca="false">SUMIFS(الريسبي!$C$2:$C$1800,الريسبي!$A$2:$A$1800,$A86,الريسبي!$B$2:$B$1800,C$1)</f>
        <v>0</v>
      </c>
      <c r="D86" s="117" t="n">
        <f aca="false">SUMIFS(الريسبي!$C$2:$C$1800,الريسبي!$A$2:$A$1800,$A86,الريسبي!$B$2:$B$1800,D$1)</f>
        <v>1</v>
      </c>
      <c r="E86" s="117" t="n">
        <f aca="false">SUMIFS(الريسبي!$C$2:$C$1800,الريسبي!$A$2:$A$1800,$A86,الريسبي!$B$2:$B$1800,E$1)</f>
        <v>0</v>
      </c>
      <c r="F86" s="117" t="n">
        <f aca="false">SUMIFS(الريسبي!$C$2:$C$1800,الريسبي!$A$2:$A$1800,$A86,الريسبي!$B$2:$B$1800,F$1)</f>
        <v>0</v>
      </c>
      <c r="G86" s="117" t="n">
        <f aca="false">SUMIFS(الريسبي!$C$2:$C$1800,الريسبي!$A$2:$A$1800,$A86,الريسبي!$B$2:$B$1800,G$1)</f>
        <v>0</v>
      </c>
      <c r="H86" s="117" t="n">
        <f aca="false">SUMIFS(الريسبي!$C$2:$C$1800,الريسبي!$A$2:$A$1800,$A86,الريسبي!$B$2:$B$1800,H$1)</f>
        <v>0</v>
      </c>
      <c r="I86" s="117" t="n">
        <f aca="false">SUMIFS(الريسبي!$C$2:$C$1800,الريسبي!$A$2:$A$1800,$A86,الريسبي!$B$2:$B$1800,I$1)</f>
        <v>0</v>
      </c>
      <c r="J86" s="117" t="n">
        <f aca="false">SUMIFS(الريسبي!$C$2:$C$1800,الريسبي!$A$2:$A$1800,$A86,الريسبي!$B$2:$B$1800,J$1)</f>
        <v>0</v>
      </c>
      <c r="K86" s="117" t="n">
        <f aca="false">SUMIFS(الريسبي!$C$2:$C$1800,الريسبي!$A$2:$A$1800,$A86,الريسبي!$B$2:$B$1800,K$1)</f>
        <v>0</v>
      </c>
      <c r="L86" s="117" t="n">
        <f aca="false">SUMIFS(الريسبي!$C$2:$C$1800,الريسبي!$A$2:$A$1800,$A86,الريسبي!$B$2:$B$1800,L$1)</f>
        <v>0</v>
      </c>
      <c r="M86" s="117" t="n">
        <f aca="false">SUMIFS(الريسبي!$C$2:$C$1800,الريسبي!$A$2:$A$1800,$A86,الريسبي!$B$2:$B$1800,M$1)</f>
        <v>0</v>
      </c>
      <c r="N86" s="117" t="n">
        <f aca="false">SUMIFS(الريسبي!$C$2:$C$1800,الريسبي!$A$2:$A$1800,$A86,الريسبي!$B$2:$B$1800,N$1)</f>
        <v>0</v>
      </c>
      <c r="O86" s="117" t="n">
        <f aca="false">SUMIFS(الريسبي!$C$2:$C$1800,الريسبي!$A$2:$A$1800,$A86,الريسبي!$B$2:$B$1800,O$1)</f>
        <v>0</v>
      </c>
      <c r="P86" s="117" t="n">
        <f aca="false">SUMIFS(الريسبي!$C$2:$C$1800,الريسبي!$A$2:$A$1800,$A86,الريسبي!$B$2:$B$1800,P$1)</f>
        <v>0</v>
      </c>
      <c r="Q86" s="117" t="n">
        <f aca="false">SUMIFS(الريسبي!$C$2:$C$1800,الريسبي!$A$2:$A$1800,$A86,الريسبي!$B$2:$B$1800,Q$1)</f>
        <v>0</v>
      </c>
      <c r="R86" s="117" t="n">
        <f aca="false">SUMIFS(الريسبي!$C$2:$C$1800,الريسبي!$A$2:$A$1800,$A86,الريسبي!$B$2:$B$1800,R$1)</f>
        <v>0</v>
      </c>
      <c r="S86" s="117" t="n">
        <f aca="false">SUMIFS(الريسبي!$C$2:$C$1800,الريسبي!$A$2:$A$1800,$A86,الريسبي!$B$2:$B$1800,S$1)</f>
        <v>0</v>
      </c>
      <c r="T86" s="117" t="n">
        <f aca="false">SUMIFS(الريسبي!$C$2:$C$1800,الريسبي!$A$2:$A$1800,$A86,الريسبي!$B$2:$B$1800,T$1)</f>
        <v>0</v>
      </c>
      <c r="U86" s="117" t="n">
        <f aca="false">SUMIFS(الريسبي!$C$2:$C$1800,الريسبي!$A$2:$A$1800,$A86,الريسبي!$B$2:$B$1800,U$1)</f>
        <v>0</v>
      </c>
      <c r="V86" s="117" t="n">
        <f aca="false">SUMIFS(الريسبي!$C$2:$C$1800,الريسبي!$A$2:$A$1800,$A86,الريسبي!$B$2:$B$1800,V$1)+1.5*(SUMIFS(الريسبي!$C$2:$C$1800,الريسبي!$A$2:$A$1800,$A86,الريسبي!$B$2:$B$1800,"برسيون موتزريلا بيتزا كبير"))</f>
        <v>0</v>
      </c>
      <c r="W86" s="117" t="n">
        <f aca="false">0</f>
        <v>0</v>
      </c>
      <c r="X86" s="117" t="n">
        <f aca="false">SUMIFS(الريسبي!$C$2:$C$1800,الريسبي!$A$2:$A$1800,$A86,الريسبي!$B$2:$B$1800,X$1)+1.5*(SUMIFS(الريسبي!$C$2:$C$1800,الريسبي!$A$2:$A$1800,$A86,الريسبي!$B$2:$B$1800,"برسيون موتزريلا فطير كبير"))</f>
        <v>1.5</v>
      </c>
      <c r="Y86" s="117" t="n">
        <f aca="false">0</f>
        <v>0</v>
      </c>
      <c r="Z86" s="117" t="n">
        <f aca="false">SUMIFS(الريسبي!$C$2:$C$1800,الريسبي!$A$2:$A$1800,$A86,الريسبي!$B$2:$B$1800,Z$1)</f>
        <v>0</v>
      </c>
      <c r="AA86" s="117" t="n">
        <f aca="false">SUMIFS(الريسبي!$C$2:$C$1800,الريسبي!$A$2:$A$1800,$A86,الريسبي!$B$2:$B$1800,AA$1)</f>
        <v>0</v>
      </c>
      <c r="AB86" s="117" t="n">
        <f aca="false">SUMIFS(الريسبي!$C$2:$C$1800,الريسبي!$A$2:$A$1800,$A86,الريسبي!$B$2:$B$1800,AB$1)</f>
        <v>0</v>
      </c>
      <c r="AC86" s="117" t="n">
        <f aca="false">SUMIFS(الريسبي!$C$2:$C$1800,الريسبي!$A$2:$A$1800,$A86,الريسبي!$B$2:$B$1800,AC$1)</f>
        <v>0</v>
      </c>
      <c r="AD86" s="117" t="n">
        <f aca="false">SUMIFS(الريسبي!$C$2:$C$1800,الريسبي!$A$2:$A$1800,$A86,الريسبي!$B$2:$B$1800,AD$1)</f>
        <v>0</v>
      </c>
      <c r="AE86" s="117" t="n">
        <f aca="false">SUMIFS(الريسبي!$C$2:$C$1800,الريسبي!$A$2:$A$1800,$A86,الريسبي!$B$2:$B$1800,AE$1)</f>
        <v>0</v>
      </c>
      <c r="AF86" s="117" t="n">
        <f aca="false">SUMIFS(الريسبي!$C$2:$C$1800,الريسبي!$A$2:$A$1800,$A86,الريسبي!$B$2:$B$1800,AF$1)</f>
        <v>0</v>
      </c>
      <c r="AG86" s="117" t="n">
        <f aca="false">SUMIFS(الريسبي!$C$2:$C$1800,الريسبي!$A$2:$A$1800,$A86,الريسبي!$B$2:$B$1800,AG$1)</f>
        <v>0</v>
      </c>
      <c r="AH86" s="117" t="n">
        <f aca="false">SUMIFS(الريسبي!$C$2:$C$1800,الريسبي!$A$2:$A$1800,$A86,الريسبي!$B$2:$B$1800,AH$1)</f>
        <v>0</v>
      </c>
      <c r="AI86" s="117" t="n">
        <f aca="false">SUMIFS(الريسبي!$C$2:$C$1800,الريسبي!$A$2:$A$1800,$A86,الريسبي!$B$2:$B$1800,AI$1)</f>
        <v>0.15</v>
      </c>
      <c r="AJ86" s="117" t="n">
        <f aca="false">SUMIFS(الريسبي!$C$2:$C$1800,الريسبي!$A$2:$A$1800,$A86,الريسبي!$B$2:$B$1800,AJ$1)</f>
        <v>2</v>
      </c>
      <c r="AK86" s="117" t="n">
        <f aca="false">SUMIFS(الريسبي!$C$2:$C$1800,الريسبي!$A$2:$A$1800,$A86,الريسبي!$B$2:$B$1800,AK$1)</f>
        <v>0</v>
      </c>
      <c r="AL86" s="117" t="n">
        <f aca="false">SUMIFS(الريسبي!$C$2:$C$1800,الريسبي!$A$2:$A$1800,$A86,الريسبي!$B$2:$B$1800,AL$1)</f>
        <v>0</v>
      </c>
      <c r="AM86" s="117" t="n">
        <f aca="false">SUMIFS(الريسبي!$C$2:$C$1800,الريسبي!$A$2:$A$1800,$A86,الريسبي!$B$2:$B$1800,AM$1)+0.08333333333*SUMIFS(الريسبي!$C$2:$C$1800,الريسبي!$A$2:$A$1800,$A86,الريسبي!$B$2:$B$1800,"عجين كريب (مصنع بالمطعم)")+0.08333333333*SUMIFS(الريسبي!$C$2:$C$1800,الريسبي!$A$2:$A$1800,$A86,الريسبي!$B$2:$B$1800,"عجين كريب صيامي (بدون لبن)")</f>
        <v>0</v>
      </c>
      <c r="AN86" s="117" t="n">
        <f aca="false">SUMIFS(الريسبي!$C$2:$C$1800,الريسبي!$A$2:$A$1800,$A86,الريسبي!$B$2:$B$1800,AN$1)+0.004166666667*SUMIFS(الريسبي!$C$2:$C$1800,الريسبي!$A$2:$A$1800,$A86,الريسبي!$B$2:$B$1800,"عجين كريب (مصنع بالمطعم)")+0.004166666667*SUMIFS(الريسبي!$C$2:$C$1800,الريسبي!$A$2:$A$1800,$A86,الريسبي!$B$2:$B$1800,"عجين كريب صيامي (بدون لبن)")</f>
        <v>0</v>
      </c>
      <c r="AO86" s="117" t="n">
        <f aca="false">SUMIFS(الريسبي!$C$2:$C$1800,الريسبي!$A$2:$A$1800,$A86,الريسبي!$B$2:$B$1800,AO$1)</f>
        <v>0</v>
      </c>
      <c r="AP86" s="117" t="n">
        <f aca="false">SUMIFS(الريسبي!$C$2:$C$1800,الريسبي!$A$2:$A$1800,$A86,الريسبي!$B$2:$B$1800,AP$1)</f>
        <v>0.03</v>
      </c>
      <c r="AQ86" s="117" t="n">
        <f aca="false">SUMIFS(الريسبي!$C$2:$C$1800,الريسبي!$A$2:$A$1800,$A86,الريسبي!$B$2:$B$1800,AQ$1)+0.004166666667*SUMIFS(الريسبي!$C$2:$C$1800,الريسبي!$A$2:$A$1800,$A86,الريسبي!$B$2:$B$1800,"عجين كريب (مصنع بالمطعم)")+0.004166666667*SUMIFS(الريسبي!$C$2:$C$1800,الريسبي!$A$2:$A$1800,$A86,الريسبي!$B$2:$B$1800,"عجين كريب صيامي (بدون لبن)")</f>
        <v>0</v>
      </c>
      <c r="AR86" s="117" t="n">
        <f aca="false">SUMIFS(الريسبي!$C$2:$C$1800,الريسبي!$A$2:$A$1800,$A86,الريسبي!$B$2:$B$1800,AR$1)</f>
        <v>0</v>
      </c>
      <c r="AS86" s="117" t="n">
        <f aca="false">SUMIFS(الريسبي!$C$2:$C$1800,الريسبي!$A$2:$A$1800,$A86,الريسبي!$B$2:$B$1800,AS$1)</f>
        <v>0</v>
      </c>
      <c r="AT86" s="117" t="n">
        <f aca="false">SUMIFS(الريسبي!$C$2:$C$1800,الريسبي!$A$2:$A$1800,$A86,الريسبي!$B$2:$B$1800,AT$1)</f>
        <v>0</v>
      </c>
      <c r="AU86" s="117" t="n">
        <f aca="false">SUMIFS(الريسبي!$C$2:$C$1800,الريسبي!$A$2:$A$1800,$A86,الريسبي!$B$2:$B$1800,AU$1)</f>
        <v>0</v>
      </c>
      <c r="AV86" s="117" t="n">
        <f aca="false">SUMIFS(الريسبي!$C$2:$C$1800,الريسبي!$A$2:$A$1800,$A86,الريسبي!$B$2:$B$1800,AV$1)</f>
        <v>0</v>
      </c>
      <c r="AW86" s="117" t="n">
        <f aca="false">SUMIFS(الريسبي!$C$2:$C$1800,الريسبي!$A$2:$A$1800,$A86,الريسبي!$B$2:$B$1800,AW$1)</f>
        <v>0</v>
      </c>
      <c r="AX86" s="117" t="n">
        <f aca="false">SUMIFS(الريسبي!$C$2:$C$1800,الريسبي!$A$2:$A$1800,$A86,الريسبي!$B$2:$B$1800,AX$1)</f>
        <v>0.06</v>
      </c>
      <c r="AY86" s="117" t="n">
        <f aca="false">SUMIFS(الريسبي!$C$2:$C$1800,الريسبي!$A$2:$A$1800,$A86,الريسبي!$B$2:$B$1800,AY$1)</f>
        <v>0</v>
      </c>
      <c r="AZ86" s="117" t="n">
        <f aca="false">SUMIFS(الريسبي!$C$2:$C$1800,الريسبي!$A$2:$A$1800,$A86,الريسبي!$B$2:$B$1800,AZ$1)</f>
        <v>0</v>
      </c>
      <c r="BA86" s="117" t="n">
        <f aca="false">SUMIFS(الريسبي!$C$2:$C$1800,الريسبي!$A$2:$A$1800,$A86,الريسبي!$B$2:$B$1800,BA$1)</f>
        <v>0</v>
      </c>
      <c r="BB86" s="117" t="n">
        <f aca="false">SUMIFS(الريسبي!$C$2:$C$1800,الريسبي!$A$2:$A$1800,$A86,الريسبي!$B$2:$B$1800,BB$1)</f>
        <v>0</v>
      </c>
      <c r="BC86" s="117" t="n">
        <f aca="false">SUMIFS(الريسبي!$C$2:$C$1800,الريسبي!$A$2:$A$1800,$A86,الريسبي!$B$2:$B$1800,BC$1)</f>
        <v>0.045</v>
      </c>
      <c r="BD86" s="117" t="n">
        <f aca="false">SUMIFS(الريسبي!$C$2:$C$1800,الريسبي!$A$2:$A$1800,$A86,الريسبي!$B$2:$B$1800,BD$1)</f>
        <v>0.3</v>
      </c>
      <c r="BE86" s="117" t="n">
        <f aca="false">SUMIFS(الريسبي!$C$2:$C$1800,الريسبي!$A$2:$A$1800,$A86,الريسبي!$B$2:$B$1800,BE$1)</f>
        <v>0</v>
      </c>
      <c r="BF86" s="117" t="n">
        <f aca="false">SUMIFS(الريسبي!$C$2:$C$1800,الريسبي!$A$2:$A$1800,$A86,الريسبي!$B$2:$B$1800,BF$1)</f>
        <v>0</v>
      </c>
      <c r="BG86" s="117" t="n">
        <f aca="false">SUMIFS(الريسبي!$C$2:$C$1800,الريسبي!$A$2:$A$1800,$A86,الريسبي!$B$2:$B$1800,BG$1)</f>
        <v>1</v>
      </c>
      <c r="BH86" s="117" t="n">
        <f aca="false">SUMIFS(الريسبي!$C$2:$C$1800,الريسبي!$A$2:$A$1800,$A86,الريسبي!$B$2:$B$1800,BH$1)</f>
        <v>0</v>
      </c>
      <c r="BI86" s="117" t="n">
        <f aca="false">SUMIFS(الريسبي!$C$2:$C$1800,الريسبي!$A$2:$A$1800,$A86,الريسبي!$B$2:$B$1800,BI$1)</f>
        <v>0</v>
      </c>
      <c r="BJ86" s="117" t="n">
        <f aca="false">SUMIFS(الريسبي!$C$2:$C$1800,الريسبي!$A$2:$A$1800,$A86,الريسبي!$B$2:$B$1800,BJ$1)</f>
        <v>0</v>
      </c>
      <c r="BK86" s="117" t="n">
        <f aca="false">SUMIFS(الريسبي!$C$2:$C$1800,الريسبي!$A$2:$A$1800,$A86,الريسبي!$B$2:$B$1800,BK$1)</f>
        <v>0</v>
      </c>
      <c r="BL86" s="117" t="n">
        <f aca="false">SUMIFS(الريسبي!$C$2:$C$1800,الريسبي!$A$2:$A$1800,$A86,الريسبي!$B$2:$B$1800,BL$1)</f>
        <v>0</v>
      </c>
      <c r="BM86" s="117" t="n">
        <f aca="false">SUMIFS(الريسبي!$C$2:$C$1800,الريسبي!$A$2:$A$1800,$A86,الريسبي!$B$2:$B$1800,BM$1)</f>
        <v>0</v>
      </c>
      <c r="BN86" s="117" t="n">
        <f aca="false">SUMIFS(الريسبي!$C$2:$C$1800,الريسبي!$A$2:$A$1800,$A86,الريسبي!$B$2:$B$1800,BN$1)</f>
        <v>0.03</v>
      </c>
      <c r="BO86" s="117" t="n">
        <f aca="false">SUMIFS(الريسبي!$C$2:$C$1800,الريسبي!$A$2:$A$1800,$A86,الريسبي!$B$2:$B$1800,BO$1)</f>
        <v>0</v>
      </c>
      <c r="BP86" s="117" t="n">
        <f aca="false">SUMIFS(الريسبي!$C$2:$C$1800,الريسبي!$A$2:$A$1800,$A86,الريسبي!$B$2:$B$1800,BP$1)</f>
        <v>3</v>
      </c>
      <c r="BQ86" s="117" t="n">
        <f aca="false">SUMIFS(الريسبي!$C$2:$C$1800,الريسبي!$A$2:$A$1800,$A86,الريسبي!$B$2:$B$1800,BQ$1)+0.17*SUMIFS(الريسبي!$C$2:$C$1800,الريسبي!$A$2:$A$1800,$A86,الريسبي!$B$2:$B$1800,"كاسترد مصنع (خليط بودر + لبن)")+0.17*SUMIFS(الريسبي!$C$2:$C$1800,الريسبي!$A$2:$A$1800,$A86,الريسبي!$B$2:$B$1800,"كاسترد مصنع صيامي (بدون لبن)")</f>
        <v>0</v>
      </c>
      <c r="BR86" s="117" t="n">
        <f aca="false">SUMIFS(الريسبي!$C$2:$C$1800,الريسبي!$A$2:$A$1800,$A86,الريسبي!$B$2:$B$1800,BR$1)</f>
        <v>1</v>
      </c>
      <c r="BS86" s="117" t="n">
        <f aca="false">SUMIFS(الريسبي!$C$2:$C$1800,الريسبي!$A$2:$A$1800,$A86,الريسبي!$B$2:$B$1800,BS$1)</f>
        <v>0</v>
      </c>
      <c r="BT86" s="117" t="n">
        <f aca="false">SUMIFS(الريسبي!$C$2:$C$1800,الريسبي!$A$2:$A$1800,$A86,الريسبي!$B$2:$B$1800,BT$1)</f>
        <v>0</v>
      </c>
      <c r="BU86" s="117" t="n">
        <f aca="false">SUMIFS(الريسبي!$C$2:$C$1800,الريسبي!$A$2:$A$1800,$A86,الريسبي!$B$2:$B$1800,BU$1)+0.4*SUMIFS(الريسبي!$C$2:$C$1800,الريسبي!$A$2:$A$1800,$A86,الريسبي!$B$2:$B$1800,"كاسترد مصنع (خليط بودر + لبن)")+0.03333333333*SUMIFS(الريسبي!$C$2:$C$1800,الريسبي!$A$2:$A$1800,$A86,الريسبي!$B$2:$B$1800,"عجين كريب (مصنع بالمطعم)")</f>
        <v>0</v>
      </c>
      <c r="BV86" s="117" t="n">
        <f aca="false">SUMIFS(الريسبي!$C$2:$C$1800,الريسبي!$A$2:$A$1800,$A86,الريسبي!$B$2:$B$1800,BV$1)</f>
        <v>0</v>
      </c>
      <c r="BW86" s="117" t="n">
        <f aca="false">SUMIFS(الريسبي!$C$2:$C$1800,الريسبي!$A$2:$A$1800,$A86,الريسبي!$B$2:$B$1800,BW$1)</f>
        <v>0</v>
      </c>
      <c r="BX86" s="117" t="n">
        <f aca="false">SUMIFS(الريسبي!$C$2:$C$1800,الريسبي!$A$2:$A$1800,$A86,الريسبي!$B$2:$B$1800,BX$1)</f>
        <v>0</v>
      </c>
      <c r="BY86" s="117" t="n">
        <f aca="false">SUMIFS(الريسبي!$C$2:$C$1800,الريسبي!$A$2:$A$1800,$A86,الريسبي!$B$2:$B$1800,BY$1)</f>
        <v>0</v>
      </c>
      <c r="BZ86" s="117" t="n">
        <f aca="false">SUMIFS(الريسبي!$C$2:$C$1800,الريسبي!$A$2:$A$1800,$A86,الريسبي!$B$2:$B$1800,BZ$1)</f>
        <v>0</v>
      </c>
      <c r="CA86" s="117" t="n">
        <f aca="false">SUMIFS(الريسبي!$C$2:$C$1800,الريسبي!$A$2:$A$1800,$A86,الريسبي!$B$2:$B$1800,CA$1)</f>
        <v>1</v>
      </c>
      <c r="CB86" s="117" t="n">
        <f aca="false">SUMIFS(الريسبي!$C$2:$C$1800,الريسبي!$A$2:$A$1800,$A86,الريسبي!$B$2:$B$1800,CB$1)</f>
        <v>1</v>
      </c>
      <c r="CC86" s="117" t="n">
        <f aca="false">SUMIFS(الريسبي!$C$2:$C$1800,الريسبي!$A$2:$A$1800,$A86,الريسبي!$B$2:$B$1800,CC$1)</f>
        <v>0</v>
      </c>
      <c r="CD86" s="117" t="n">
        <f aca="false">SUMIFS(الريسبي!$C$2:$C$1800,الريسبي!$A$2:$A$1800,$A86,الريسبي!$B$2:$B$1800,CD$1)</f>
        <v>0</v>
      </c>
      <c r="CE86" s="117" t="n">
        <f aca="false">SUMIFS(الريسبي!$C$2:$C$1800,الريسبي!$A$2:$A$1800,$A86,الريسبي!$B$2:$B$1800,CE$1)</f>
        <v>0</v>
      </c>
      <c r="CF86" s="117" t="n">
        <f aca="false">SUMIFS(الريسبي!$C$2:$C$1800,الريسبي!$A$2:$A$1800,$A86,الريسبي!$B$2:$B$1800,CF$1)</f>
        <v>0</v>
      </c>
      <c r="CG86" s="117" t="n">
        <f aca="false">SUMIFS(الريسبي!$C$2:$C$1800,الريسبي!$A$2:$A$1800,$A86,الريسبي!$B$2:$B$1800,CG$1)</f>
        <v>0</v>
      </c>
      <c r="CH86" s="117" t="n">
        <f aca="false">SUMIFS(الريسبي!$C$2:$C$1800,الريسبي!$A$2:$A$1800,$A86,الريسبي!$B$2:$B$1800,CH$1)</f>
        <v>0</v>
      </c>
      <c r="CI86" s="117" t="n">
        <f aca="false">SUMIFS(الريسبي!$C$2:$C$1800,الريسبي!$A$2:$A$1800,$A86,الريسبي!$B$2:$B$1800,CI$1)</f>
        <v>0</v>
      </c>
      <c r="CJ86" s="117" t="n">
        <f aca="false">SUMIFS(الريسبي!$C$2:$C$1800,الريسبي!$A$2:$A$1800,$A86,الريسبي!$B$2:$B$1800,CJ$1)</f>
        <v>0</v>
      </c>
      <c r="CK86" s="117" t="n">
        <f aca="false">SUMIFS(الريسبي!$C$2:$C$1800,الريسبي!$A$2:$A$1800,$A86,الريسبي!$B$2:$B$1800,CK$1)</f>
        <v>0</v>
      </c>
      <c r="CL86" s="117" t="n">
        <f aca="false">SUMIFS(الريسبي!$C$2:$C$1800,الريسبي!$A$2:$A$1800,$A86,الريسبي!$B$2:$B$1800,CL$1)</f>
        <v>0</v>
      </c>
    </row>
    <row r="87" customFormat="false" ht="15" hidden="false" customHeight="false" outlineLevel="0" collapsed="false">
      <c r="A87" s="116" t="str">
        <f aca="false">المنيو!B87</f>
        <v>بيتزا فراخ باربيكيو صيامي وسط</v>
      </c>
      <c r="B87" s="117" t="n">
        <f aca="false">SUMIFS(الريسبي!$C$2:$C$1800,الريسبي!$A$2:$A$1800,$A87,الريسبي!$B$2:$B$1800,B$1)</f>
        <v>0</v>
      </c>
      <c r="C87" s="117" t="n">
        <f aca="false">SUMIFS(الريسبي!$C$2:$C$1800,الريسبي!$A$2:$A$1800,$A87,الريسبي!$B$2:$B$1800,C$1)</f>
        <v>0</v>
      </c>
      <c r="D87" s="117" t="n">
        <f aca="false">SUMIFS(الريسبي!$C$2:$C$1800,الريسبي!$A$2:$A$1800,$A87,الريسبي!$B$2:$B$1800,D$1)</f>
        <v>1</v>
      </c>
      <c r="E87" s="117" t="n">
        <f aca="false">SUMIFS(الريسبي!$C$2:$C$1800,الريسبي!$A$2:$A$1800,$A87,الريسبي!$B$2:$B$1800,E$1)</f>
        <v>0</v>
      </c>
      <c r="F87" s="117" t="n">
        <f aca="false">SUMIFS(الريسبي!$C$2:$C$1800,الريسبي!$A$2:$A$1800,$A87,الريسبي!$B$2:$B$1800,F$1)</f>
        <v>0</v>
      </c>
      <c r="G87" s="117" t="n">
        <f aca="false">SUMIFS(الريسبي!$C$2:$C$1800,الريسبي!$A$2:$A$1800,$A87,الريسبي!$B$2:$B$1800,G$1)</f>
        <v>0</v>
      </c>
      <c r="H87" s="117" t="n">
        <f aca="false">SUMIFS(الريسبي!$C$2:$C$1800,الريسبي!$A$2:$A$1800,$A87,الريسبي!$B$2:$B$1800,H$1)</f>
        <v>0</v>
      </c>
      <c r="I87" s="117" t="n">
        <f aca="false">SUMIFS(الريسبي!$C$2:$C$1800,الريسبي!$A$2:$A$1800,$A87,الريسبي!$B$2:$B$1800,I$1)</f>
        <v>0</v>
      </c>
      <c r="J87" s="117" t="n">
        <f aca="false">SUMIFS(الريسبي!$C$2:$C$1800,الريسبي!$A$2:$A$1800,$A87,الريسبي!$B$2:$B$1800,J$1)</f>
        <v>0</v>
      </c>
      <c r="K87" s="117" t="n">
        <f aca="false">SUMIFS(الريسبي!$C$2:$C$1800,الريسبي!$A$2:$A$1800,$A87,الريسبي!$B$2:$B$1800,K$1)</f>
        <v>0</v>
      </c>
      <c r="L87" s="117" t="n">
        <f aca="false">SUMIFS(الريسبي!$C$2:$C$1800,الريسبي!$A$2:$A$1800,$A87,الريسبي!$B$2:$B$1800,L$1)</f>
        <v>0</v>
      </c>
      <c r="M87" s="117" t="n">
        <f aca="false">SUMIFS(الريسبي!$C$2:$C$1800,الريسبي!$A$2:$A$1800,$A87,الريسبي!$B$2:$B$1800,M$1)</f>
        <v>0</v>
      </c>
      <c r="N87" s="117" t="n">
        <f aca="false">SUMIFS(الريسبي!$C$2:$C$1800,الريسبي!$A$2:$A$1800,$A87,الريسبي!$B$2:$B$1800,N$1)</f>
        <v>0</v>
      </c>
      <c r="O87" s="117" t="n">
        <f aca="false">SUMIFS(الريسبي!$C$2:$C$1800,الريسبي!$A$2:$A$1800,$A87,الريسبي!$B$2:$B$1800,O$1)</f>
        <v>0</v>
      </c>
      <c r="P87" s="117" t="n">
        <f aca="false">SUMIFS(الريسبي!$C$2:$C$1800,الريسبي!$A$2:$A$1800,$A87,الريسبي!$B$2:$B$1800,P$1)</f>
        <v>0</v>
      </c>
      <c r="Q87" s="117" t="n">
        <f aca="false">SUMIFS(الريسبي!$C$2:$C$1800,الريسبي!$A$2:$A$1800,$A87,الريسبي!$B$2:$B$1800,Q$1)</f>
        <v>0</v>
      </c>
      <c r="R87" s="117" t="n">
        <f aca="false">SUMIFS(الريسبي!$C$2:$C$1800,الريسبي!$A$2:$A$1800,$A87,الريسبي!$B$2:$B$1800,R$1)</f>
        <v>0</v>
      </c>
      <c r="S87" s="117" t="n">
        <f aca="false">SUMIFS(الريسبي!$C$2:$C$1800,الريسبي!$A$2:$A$1800,$A87,الريسبي!$B$2:$B$1800,S$1)</f>
        <v>0</v>
      </c>
      <c r="T87" s="117" t="n">
        <f aca="false">SUMIFS(الريسبي!$C$2:$C$1800,الريسبي!$A$2:$A$1800,$A87,الريسبي!$B$2:$B$1800,T$1)</f>
        <v>0</v>
      </c>
      <c r="U87" s="117" t="n">
        <f aca="false">SUMIFS(الريسبي!$C$2:$C$1800,الريسبي!$A$2:$A$1800,$A87,الريسبي!$B$2:$B$1800,U$1)</f>
        <v>0</v>
      </c>
      <c r="V87" s="117" t="n">
        <f aca="false">SUMIFS(الريسبي!$C$2:$C$1800,الريسبي!$A$2:$A$1800,$A87,الريسبي!$B$2:$B$1800,V$1)+1.5*(SUMIFS(الريسبي!$C$2:$C$1800,الريسبي!$A$2:$A$1800,$A87,الريسبي!$B$2:$B$1800,"برسيون موتزريلا بيتزا كبير"))</f>
        <v>0</v>
      </c>
      <c r="W87" s="117" t="n">
        <f aca="false">0</f>
        <v>0</v>
      </c>
      <c r="X87" s="117" t="n">
        <f aca="false">SUMIFS(الريسبي!$C$2:$C$1800,الريسبي!$A$2:$A$1800,$A87,الريسبي!$B$2:$B$1800,X$1)+1.5*(SUMIFS(الريسبي!$C$2:$C$1800,الريسبي!$A$2:$A$1800,$A87,الريسبي!$B$2:$B$1800,"برسيون موتزريلا فطير كبير"))</f>
        <v>1</v>
      </c>
      <c r="Y87" s="117" t="n">
        <f aca="false">0</f>
        <v>0</v>
      </c>
      <c r="Z87" s="117" t="n">
        <f aca="false">SUMIFS(الريسبي!$C$2:$C$1800,الريسبي!$A$2:$A$1800,$A87,الريسبي!$B$2:$B$1800,Z$1)</f>
        <v>0</v>
      </c>
      <c r="AA87" s="117" t="n">
        <f aca="false">SUMIFS(الريسبي!$C$2:$C$1800,الريسبي!$A$2:$A$1800,$A87,الريسبي!$B$2:$B$1800,AA$1)</f>
        <v>0</v>
      </c>
      <c r="AB87" s="117" t="n">
        <f aca="false">SUMIFS(الريسبي!$C$2:$C$1800,الريسبي!$A$2:$A$1800,$A87,الريسبي!$B$2:$B$1800,AB$1)</f>
        <v>0</v>
      </c>
      <c r="AC87" s="117" t="n">
        <f aca="false">SUMIFS(الريسبي!$C$2:$C$1800,الريسبي!$A$2:$A$1800,$A87,الريسبي!$B$2:$B$1800,AC$1)</f>
        <v>0</v>
      </c>
      <c r="AD87" s="117" t="n">
        <f aca="false">SUMIFS(الريسبي!$C$2:$C$1800,الريسبي!$A$2:$A$1800,$A87,الريسبي!$B$2:$B$1800,AD$1)</f>
        <v>0</v>
      </c>
      <c r="AE87" s="117" t="n">
        <f aca="false">SUMIFS(الريسبي!$C$2:$C$1800,الريسبي!$A$2:$A$1800,$A87,الريسبي!$B$2:$B$1800,AE$1)</f>
        <v>0</v>
      </c>
      <c r="AF87" s="117" t="n">
        <f aca="false">SUMIFS(الريسبي!$C$2:$C$1800,الريسبي!$A$2:$A$1800,$A87,الريسبي!$B$2:$B$1800,AF$1)</f>
        <v>0</v>
      </c>
      <c r="AG87" s="117" t="n">
        <f aca="false">SUMIFS(الريسبي!$C$2:$C$1800,الريسبي!$A$2:$A$1800,$A87,الريسبي!$B$2:$B$1800,AG$1)</f>
        <v>0</v>
      </c>
      <c r="AH87" s="117" t="n">
        <f aca="false">SUMIFS(الريسبي!$C$2:$C$1800,الريسبي!$A$2:$A$1800,$A87,الريسبي!$B$2:$B$1800,AH$1)</f>
        <v>0</v>
      </c>
      <c r="AI87" s="117" t="n">
        <f aca="false">SUMIFS(الريسبي!$C$2:$C$1800,الريسبي!$A$2:$A$1800,$A87,الريسبي!$B$2:$B$1800,AI$1)</f>
        <v>0</v>
      </c>
      <c r="AJ87" s="117" t="n">
        <f aca="false">SUMIFS(الريسبي!$C$2:$C$1800,الريسبي!$A$2:$A$1800,$A87,الريسبي!$B$2:$B$1800,AJ$1)</f>
        <v>2</v>
      </c>
      <c r="AK87" s="117" t="n">
        <f aca="false">SUMIFS(الريسبي!$C$2:$C$1800,الريسبي!$A$2:$A$1800,$A87,الريسبي!$B$2:$B$1800,AK$1)</f>
        <v>0</v>
      </c>
      <c r="AL87" s="117" t="n">
        <f aca="false">SUMIFS(الريسبي!$C$2:$C$1800,الريسبي!$A$2:$A$1800,$A87,الريسبي!$B$2:$B$1800,AL$1)</f>
        <v>0</v>
      </c>
      <c r="AM87" s="117" t="n">
        <f aca="false">SUMIFS(الريسبي!$C$2:$C$1800,الريسبي!$A$2:$A$1800,$A87,الريسبي!$B$2:$B$1800,AM$1)+0.08333333333*SUMIFS(الريسبي!$C$2:$C$1800,الريسبي!$A$2:$A$1800,$A87,الريسبي!$B$2:$B$1800,"عجين كريب (مصنع بالمطعم)")+0.08333333333*SUMIFS(الريسبي!$C$2:$C$1800,الريسبي!$A$2:$A$1800,$A87,الريسبي!$B$2:$B$1800,"عجين كريب صيامي (بدون لبن)")</f>
        <v>0</v>
      </c>
      <c r="AN87" s="117" t="n">
        <f aca="false">SUMIFS(الريسبي!$C$2:$C$1800,الريسبي!$A$2:$A$1800,$A87,الريسبي!$B$2:$B$1800,AN$1)+0.004166666667*SUMIFS(الريسبي!$C$2:$C$1800,الريسبي!$A$2:$A$1800,$A87,الريسبي!$B$2:$B$1800,"عجين كريب (مصنع بالمطعم)")+0.004166666667*SUMIFS(الريسبي!$C$2:$C$1800,الريسبي!$A$2:$A$1800,$A87,الريسبي!$B$2:$B$1800,"عجين كريب صيامي (بدون لبن)")</f>
        <v>0</v>
      </c>
      <c r="AO87" s="117" t="n">
        <f aca="false">SUMIFS(الريسبي!$C$2:$C$1800,الريسبي!$A$2:$A$1800,$A87,الريسبي!$B$2:$B$1800,AO$1)</f>
        <v>0</v>
      </c>
      <c r="AP87" s="117" t="n">
        <f aca="false">SUMIFS(الريسبي!$C$2:$C$1800,الريسبي!$A$2:$A$1800,$A87,الريسبي!$B$2:$B$1800,AP$1)</f>
        <v>0.02</v>
      </c>
      <c r="AQ87" s="117" t="n">
        <f aca="false">SUMIFS(الريسبي!$C$2:$C$1800,الريسبي!$A$2:$A$1800,$A87,الريسبي!$B$2:$B$1800,AQ$1)+0.004166666667*SUMIFS(الريسبي!$C$2:$C$1800,الريسبي!$A$2:$A$1800,$A87,الريسبي!$B$2:$B$1800,"عجين كريب (مصنع بالمطعم)")+0.004166666667*SUMIFS(الريسبي!$C$2:$C$1800,الريسبي!$A$2:$A$1800,$A87,الريسبي!$B$2:$B$1800,"عجين كريب صيامي (بدون لبن)")</f>
        <v>0</v>
      </c>
      <c r="AR87" s="117" t="n">
        <f aca="false">SUMIFS(الريسبي!$C$2:$C$1800,الريسبي!$A$2:$A$1800,$A87,الريسبي!$B$2:$B$1800,AR$1)</f>
        <v>0</v>
      </c>
      <c r="AS87" s="117" t="n">
        <f aca="false">SUMIFS(الريسبي!$C$2:$C$1800,الريسبي!$A$2:$A$1800,$A87,الريسبي!$B$2:$B$1800,AS$1)</f>
        <v>0</v>
      </c>
      <c r="AT87" s="117" t="n">
        <f aca="false">SUMIFS(الريسبي!$C$2:$C$1800,الريسبي!$A$2:$A$1800,$A87,الريسبي!$B$2:$B$1800,AT$1)</f>
        <v>0</v>
      </c>
      <c r="AU87" s="117" t="n">
        <f aca="false">SUMIFS(الريسبي!$C$2:$C$1800,الريسبي!$A$2:$A$1800,$A87,الريسبي!$B$2:$B$1800,AU$1)</f>
        <v>0</v>
      </c>
      <c r="AV87" s="117" t="n">
        <f aca="false">SUMIFS(الريسبي!$C$2:$C$1800,الريسبي!$A$2:$A$1800,$A87,الريسبي!$B$2:$B$1800,AV$1)</f>
        <v>0</v>
      </c>
      <c r="AW87" s="117" t="n">
        <f aca="false">SUMIFS(الريسبي!$C$2:$C$1800,الريسبي!$A$2:$A$1800,$A87,الريسبي!$B$2:$B$1800,AW$1)</f>
        <v>0</v>
      </c>
      <c r="AX87" s="117" t="n">
        <f aca="false">SUMIFS(الريسبي!$C$2:$C$1800,الريسبي!$A$2:$A$1800,$A87,الريسبي!$B$2:$B$1800,AX$1)</f>
        <v>0.04</v>
      </c>
      <c r="AY87" s="117" t="n">
        <f aca="false">SUMIFS(الريسبي!$C$2:$C$1800,الريسبي!$A$2:$A$1800,$A87,الريسبي!$B$2:$B$1800,AY$1)</f>
        <v>0.1</v>
      </c>
      <c r="AZ87" s="117" t="n">
        <f aca="false">SUMIFS(الريسبي!$C$2:$C$1800,الريسبي!$A$2:$A$1800,$A87,الريسبي!$B$2:$B$1800,AZ$1)</f>
        <v>0</v>
      </c>
      <c r="BA87" s="117" t="n">
        <f aca="false">SUMIFS(الريسبي!$C$2:$C$1800,الريسبي!$A$2:$A$1800,$A87,الريسبي!$B$2:$B$1800,BA$1)</f>
        <v>0</v>
      </c>
      <c r="BB87" s="117" t="n">
        <f aca="false">SUMIFS(الريسبي!$C$2:$C$1800,الريسبي!$A$2:$A$1800,$A87,الريسبي!$B$2:$B$1800,BB$1)</f>
        <v>0</v>
      </c>
      <c r="BC87" s="117" t="n">
        <f aca="false">SUMIFS(الريسبي!$C$2:$C$1800,الريسبي!$A$2:$A$1800,$A87,الريسبي!$B$2:$B$1800,BC$1)</f>
        <v>0.03</v>
      </c>
      <c r="BD87" s="117" t="n">
        <f aca="false">SUMIFS(الريسبي!$C$2:$C$1800,الريسبي!$A$2:$A$1800,$A87,الريسبي!$B$2:$B$1800,BD$1)</f>
        <v>0.22</v>
      </c>
      <c r="BE87" s="117" t="n">
        <f aca="false">SUMIFS(الريسبي!$C$2:$C$1800,الريسبي!$A$2:$A$1800,$A87,الريسبي!$B$2:$B$1800,BE$1)</f>
        <v>0</v>
      </c>
      <c r="BF87" s="117" t="n">
        <f aca="false">SUMIFS(الريسبي!$C$2:$C$1800,الريسبي!$A$2:$A$1800,$A87,الريسبي!$B$2:$B$1800,BF$1)</f>
        <v>0</v>
      </c>
      <c r="BG87" s="117" t="n">
        <f aca="false">SUMIFS(الريسبي!$C$2:$C$1800,الريسبي!$A$2:$A$1800,$A87,الريسبي!$B$2:$B$1800,BG$1)</f>
        <v>0</v>
      </c>
      <c r="BH87" s="117" t="n">
        <f aca="false">SUMIFS(الريسبي!$C$2:$C$1800,الريسبي!$A$2:$A$1800,$A87,الريسبي!$B$2:$B$1800,BH$1)</f>
        <v>1</v>
      </c>
      <c r="BI87" s="117" t="n">
        <f aca="false">SUMIFS(الريسبي!$C$2:$C$1800,الريسبي!$A$2:$A$1800,$A87,الريسبي!$B$2:$B$1800,BI$1)</f>
        <v>0</v>
      </c>
      <c r="BJ87" s="117" t="n">
        <f aca="false">SUMIFS(الريسبي!$C$2:$C$1800,الريسبي!$A$2:$A$1800,$A87,الريسبي!$B$2:$B$1800,BJ$1)</f>
        <v>0</v>
      </c>
      <c r="BK87" s="117" t="n">
        <f aca="false">SUMIFS(الريسبي!$C$2:$C$1800,الريسبي!$A$2:$A$1800,$A87,الريسبي!$B$2:$B$1800,BK$1)</f>
        <v>0</v>
      </c>
      <c r="BL87" s="117" t="n">
        <f aca="false">SUMIFS(الريسبي!$C$2:$C$1800,الريسبي!$A$2:$A$1800,$A87,الريسبي!$B$2:$B$1800,BL$1)</f>
        <v>0</v>
      </c>
      <c r="BM87" s="117" t="n">
        <f aca="false">SUMIFS(الريسبي!$C$2:$C$1800,الريسبي!$A$2:$A$1800,$A87,الريسبي!$B$2:$B$1800,BM$1)</f>
        <v>0.14</v>
      </c>
      <c r="BN87" s="117" t="n">
        <f aca="false">SUMIFS(الريسبي!$C$2:$C$1800,الريسبي!$A$2:$A$1800,$A87,الريسبي!$B$2:$B$1800,BN$1)</f>
        <v>0.02</v>
      </c>
      <c r="BO87" s="117" t="n">
        <f aca="false">SUMIFS(الريسبي!$C$2:$C$1800,الريسبي!$A$2:$A$1800,$A87,الريسبي!$B$2:$B$1800,BO$1)</f>
        <v>0</v>
      </c>
      <c r="BP87" s="117" t="n">
        <f aca="false">SUMIFS(الريسبي!$C$2:$C$1800,الريسبي!$A$2:$A$1800,$A87,الريسبي!$B$2:$B$1800,BP$1)</f>
        <v>2</v>
      </c>
      <c r="BQ87" s="117" t="n">
        <f aca="false">SUMIFS(الريسبي!$C$2:$C$1800,الريسبي!$A$2:$A$1800,$A87,الريسبي!$B$2:$B$1800,BQ$1)+0.17*SUMIFS(الريسبي!$C$2:$C$1800,الريسبي!$A$2:$A$1800,$A87,الريسبي!$B$2:$B$1800,"كاسترد مصنع (خليط بودر + لبن)")+0.17*SUMIFS(الريسبي!$C$2:$C$1800,الريسبي!$A$2:$A$1800,$A87,الريسبي!$B$2:$B$1800,"كاسترد مصنع صيامي (بدون لبن)")</f>
        <v>0</v>
      </c>
      <c r="BR87" s="117" t="n">
        <f aca="false">SUMIFS(الريسبي!$C$2:$C$1800,الريسبي!$A$2:$A$1800,$A87,الريسبي!$B$2:$B$1800,BR$1)</f>
        <v>1</v>
      </c>
      <c r="BS87" s="117" t="n">
        <f aca="false">SUMIFS(الريسبي!$C$2:$C$1800,الريسبي!$A$2:$A$1800,$A87,الريسبي!$B$2:$B$1800,BS$1)</f>
        <v>0</v>
      </c>
      <c r="BT87" s="117" t="n">
        <f aca="false">SUMIFS(الريسبي!$C$2:$C$1800,الريسبي!$A$2:$A$1800,$A87,الريسبي!$B$2:$B$1800,BT$1)</f>
        <v>0</v>
      </c>
      <c r="BU87" s="117" t="n">
        <f aca="false">SUMIFS(الريسبي!$C$2:$C$1800,الريسبي!$A$2:$A$1800,$A87,الريسبي!$B$2:$B$1800,BU$1)+0.4*SUMIFS(الريسبي!$C$2:$C$1800,الريسبي!$A$2:$A$1800,$A87,الريسبي!$B$2:$B$1800,"كاسترد مصنع (خليط بودر + لبن)")+0.03333333333*SUMIFS(الريسبي!$C$2:$C$1800,الريسبي!$A$2:$A$1800,$A87,الريسبي!$B$2:$B$1800,"عجين كريب (مصنع بالمطعم)")</f>
        <v>0</v>
      </c>
      <c r="BV87" s="117" t="n">
        <f aca="false">SUMIFS(الريسبي!$C$2:$C$1800,الريسبي!$A$2:$A$1800,$A87,الريسبي!$B$2:$B$1800,BV$1)</f>
        <v>0</v>
      </c>
      <c r="BW87" s="117" t="n">
        <f aca="false">SUMIFS(الريسبي!$C$2:$C$1800,الريسبي!$A$2:$A$1800,$A87,الريسبي!$B$2:$B$1800,BW$1)</f>
        <v>0</v>
      </c>
      <c r="BX87" s="117" t="n">
        <f aca="false">SUMIFS(الريسبي!$C$2:$C$1800,الريسبي!$A$2:$A$1800,$A87,الريسبي!$B$2:$B$1800,BX$1)</f>
        <v>0</v>
      </c>
      <c r="BY87" s="117" t="n">
        <f aca="false">SUMIFS(الريسبي!$C$2:$C$1800,الريسبي!$A$2:$A$1800,$A87,الريسبي!$B$2:$B$1800,BY$1)</f>
        <v>0</v>
      </c>
      <c r="BZ87" s="117" t="n">
        <f aca="false">SUMIFS(الريسبي!$C$2:$C$1800,الريسبي!$A$2:$A$1800,$A87,الريسبي!$B$2:$B$1800,BZ$1)</f>
        <v>0</v>
      </c>
      <c r="CA87" s="117" t="n">
        <f aca="false">SUMIFS(الريسبي!$C$2:$C$1800,الريسبي!$A$2:$A$1800,$A87,الريسبي!$B$2:$B$1800,CA$1)</f>
        <v>1</v>
      </c>
      <c r="CB87" s="117" t="n">
        <f aca="false">SUMIFS(الريسبي!$C$2:$C$1800,الريسبي!$A$2:$A$1800,$A87,الريسبي!$B$2:$B$1800,CB$1)</f>
        <v>1</v>
      </c>
      <c r="CC87" s="117" t="n">
        <f aca="false">SUMIFS(الريسبي!$C$2:$C$1800,الريسبي!$A$2:$A$1800,$A87,الريسبي!$B$2:$B$1800,CC$1)</f>
        <v>0</v>
      </c>
      <c r="CD87" s="117" t="n">
        <f aca="false">SUMIFS(الريسبي!$C$2:$C$1800,الريسبي!$A$2:$A$1800,$A87,الريسبي!$B$2:$B$1800,CD$1)</f>
        <v>0</v>
      </c>
      <c r="CE87" s="117" t="n">
        <f aca="false">SUMIFS(الريسبي!$C$2:$C$1800,الريسبي!$A$2:$A$1800,$A87,الريسبي!$B$2:$B$1800,CE$1)</f>
        <v>0</v>
      </c>
      <c r="CF87" s="117" t="n">
        <f aca="false">SUMIFS(الريسبي!$C$2:$C$1800,الريسبي!$A$2:$A$1800,$A87,الريسبي!$B$2:$B$1800,CF$1)</f>
        <v>0</v>
      </c>
      <c r="CG87" s="117" t="n">
        <f aca="false">SUMIFS(الريسبي!$C$2:$C$1800,الريسبي!$A$2:$A$1800,$A87,الريسبي!$B$2:$B$1800,CG$1)</f>
        <v>0</v>
      </c>
      <c r="CH87" s="117" t="n">
        <f aca="false">SUMIFS(الريسبي!$C$2:$C$1800,الريسبي!$A$2:$A$1800,$A87,الريسبي!$B$2:$B$1800,CH$1)</f>
        <v>0</v>
      </c>
      <c r="CI87" s="117" t="n">
        <f aca="false">SUMIFS(الريسبي!$C$2:$C$1800,الريسبي!$A$2:$A$1800,$A87,الريسبي!$B$2:$B$1800,CI$1)</f>
        <v>0</v>
      </c>
      <c r="CJ87" s="117" t="n">
        <f aca="false">SUMIFS(الريسبي!$C$2:$C$1800,الريسبي!$A$2:$A$1800,$A87,الريسبي!$B$2:$B$1800,CJ$1)</f>
        <v>0</v>
      </c>
      <c r="CK87" s="117" t="n">
        <f aca="false">SUMIFS(الريسبي!$C$2:$C$1800,الريسبي!$A$2:$A$1800,$A87,الريسبي!$B$2:$B$1800,CK$1)</f>
        <v>0</v>
      </c>
      <c r="CL87" s="117" t="n">
        <f aca="false">SUMIFS(الريسبي!$C$2:$C$1800,الريسبي!$A$2:$A$1800,$A87,الريسبي!$B$2:$B$1800,CL$1)</f>
        <v>0</v>
      </c>
    </row>
    <row r="88" customFormat="false" ht="15" hidden="false" customHeight="false" outlineLevel="0" collapsed="false">
      <c r="A88" s="116" t="str">
        <f aca="false">المنيو!B88</f>
        <v>بيتزا فراخ باربيكيو صيامي مخصوص</v>
      </c>
      <c r="B88" s="117" t="n">
        <f aca="false">SUMIFS(الريسبي!$C$2:$C$1800,الريسبي!$A$2:$A$1800,$A88,الريسبي!$B$2:$B$1800,B$1)</f>
        <v>0</v>
      </c>
      <c r="C88" s="117" t="n">
        <f aca="false">SUMIFS(الريسبي!$C$2:$C$1800,الريسبي!$A$2:$A$1800,$A88,الريسبي!$B$2:$B$1800,C$1)</f>
        <v>0</v>
      </c>
      <c r="D88" s="117" t="n">
        <f aca="false">SUMIFS(الريسبي!$C$2:$C$1800,الريسبي!$A$2:$A$1800,$A88,الريسبي!$B$2:$B$1800,D$1)</f>
        <v>1</v>
      </c>
      <c r="E88" s="117" t="n">
        <f aca="false">SUMIFS(الريسبي!$C$2:$C$1800,الريسبي!$A$2:$A$1800,$A88,الريسبي!$B$2:$B$1800,E$1)</f>
        <v>0</v>
      </c>
      <c r="F88" s="117" t="n">
        <f aca="false">SUMIFS(الريسبي!$C$2:$C$1800,الريسبي!$A$2:$A$1800,$A88,الريسبي!$B$2:$B$1800,F$1)</f>
        <v>0</v>
      </c>
      <c r="G88" s="117" t="n">
        <f aca="false">SUMIFS(الريسبي!$C$2:$C$1800,الريسبي!$A$2:$A$1800,$A88,الريسبي!$B$2:$B$1800,G$1)</f>
        <v>0</v>
      </c>
      <c r="H88" s="117" t="n">
        <f aca="false">SUMIFS(الريسبي!$C$2:$C$1800,الريسبي!$A$2:$A$1800,$A88,الريسبي!$B$2:$B$1800,H$1)</f>
        <v>0</v>
      </c>
      <c r="I88" s="117" t="n">
        <f aca="false">SUMIFS(الريسبي!$C$2:$C$1800,الريسبي!$A$2:$A$1800,$A88,الريسبي!$B$2:$B$1800,I$1)</f>
        <v>0</v>
      </c>
      <c r="J88" s="117" t="n">
        <f aca="false">SUMIFS(الريسبي!$C$2:$C$1800,الريسبي!$A$2:$A$1800,$A88,الريسبي!$B$2:$B$1800,J$1)</f>
        <v>0</v>
      </c>
      <c r="K88" s="117" t="n">
        <f aca="false">SUMIFS(الريسبي!$C$2:$C$1800,الريسبي!$A$2:$A$1800,$A88,الريسبي!$B$2:$B$1800,K$1)</f>
        <v>0</v>
      </c>
      <c r="L88" s="117" t="n">
        <f aca="false">SUMIFS(الريسبي!$C$2:$C$1800,الريسبي!$A$2:$A$1800,$A88,الريسبي!$B$2:$B$1800,L$1)</f>
        <v>0</v>
      </c>
      <c r="M88" s="117" t="n">
        <f aca="false">SUMIFS(الريسبي!$C$2:$C$1800,الريسبي!$A$2:$A$1800,$A88,الريسبي!$B$2:$B$1800,M$1)</f>
        <v>0</v>
      </c>
      <c r="N88" s="117" t="n">
        <f aca="false">SUMIFS(الريسبي!$C$2:$C$1800,الريسبي!$A$2:$A$1800,$A88,الريسبي!$B$2:$B$1800,N$1)</f>
        <v>0</v>
      </c>
      <c r="O88" s="117" t="n">
        <f aca="false">SUMIFS(الريسبي!$C$2:$C$1800,الريسبي!$A$2:$A$1800,$A88,الريسبي!$B$2:$B$1800,O$1)</f>
        <v>0</v>
      </c>
      <c r="P88" s="117" t="n">
        <f aca="false">SUMIFS(الريسبي!$C$2:$C$1800,الريسبي!$A$2:$A$1800,$A88,الريسبي!$B$2:$B$1800,P$1)</f>
        <v>0</v>
      </c>
      <c r="Q88" s="117" t="n">
        <f aca="false">SUMIFS(الريسبي!$C$2:$C$1800,الريسبي!$A$2:$A$1800,$A88,الريسبي!$B$2:$B$1800,Q$1)</f>
        <v>0</v>
      </c>
      <c r="R88" s="117" t="n">
        <f aca="false">SUMIFS(الريسبي!$C$2:$C$1800,الريسبي!$A$2:$A$1800,$A88,الريسبي!$B$2:$B$1800,R$1)</f>
        <v>0</v>
      </c>
      <c r="S88" s="117" t="n">
        <f aca="false">SUMIFS(الريسبي!$C$2:$C$1800,الريسبي!$A$2:$A$1800,$A88,الريسبي!$B$2:$B$1800,S$1)</f>
        <v>0</v>
      </c>
      <c r="T88" s="117" t="n">
        <f aca="false">SUMIFS(الريسبي!$C$2:$C$1800,الريسبي!$A$2:$A$1800,$A88,الريسبي!$B$2:$B$1800,T$1)</f>
        <v>0</v>
      </c>
      <c r="U88" s="117" t="n">
        <f aca="false">SUMIFS(الريسبي!$C$2:$C$1800,الريسبي!$A$2:$A$1800,$A88,الريسبي!$B$2:$B$1800,U$1)</f>
        <v>0</v>
      </c>
      <c r="V88" s="117" t="n">
        <f aca="false">SUMIFS(الريسبي!$C$2:$C$1800,الريسبي!$A$2:$A$1800,$A88,الريسبي!$B$2:$B$1800,V$1)+1.5*(SUMIFS(الريسبي!$C$2:$C$1800,الريسبي!$A$2:$A$1800,$A88,الريسبي!$B$2:$B$1800,"برسيون موتزريلا بيتزا كبير"))</f>
        <v>0</v>
      </c>
      <c r="W88" s="117" t="n">
        <f aca="false">0</f>
        <v>0</v>
      </c>
      <c r="X88" s="117" t="n">
        <f aca="false">SUMIFS(الريسبي!$C$2:$C$1800,الريسبي!$A$2:$A$1800,$A88,الريسبي!$B$2:$B$1800,X$1)+1.5*(SUMIFS(الريسبي!$C$2:$C$1800,الريسبي!$A$2:$A$1800,$A88,الريسبي!$B$2:$B$1800,"برسيون موتزريلا فطير كبير"))</f>
        <v>1.5</v>
      </c>
      <c r="Y88" s="117" t="n">
        <f aca="false">0</f>
        <v>0</v>
      </c>
      <c r="Z88" s="117" t="n">
        <f aca="false">SUMIFS(الريسبي!$C$2:$C$1800,الريسبي!$A$2:$A$1800,$A88,الريسبي!$B$2:$B$1800,Z$1)</f>
        <v>0</v>
      </c>
      <c r="AA88" s="117" t="n">
        <f aca="false">SUMIFS(الريسبي!$C$2:$C$1800,الريسبي!$A$2:$A$1800,$A88,الريسبي!$B$2:$B$1800,AA$1)</f>
        <v>0</v>
      </c>
      <c r="AB88" s="117" t="n">
        <f aca="false">SUMIFS(الريسبي!$C$2:$C$1800,الريسبي!$A$2:$A$1800,$A88,الريسبي!$B$2:$B$1800,AB$1)</f>
        <v>0</v>
      </c>
      <c r="AC88" s="117" t="n">
        <f aca="false">SUMIFS(الريسبي!$C$2:$C$1800,الريسبي!$A$2:$A$1800,$A88,الريسبي!$B$2:$B$1800,AC$1)</f>
        <v>0</v>
      </c>
      <c r="AD88" s="117" t="n">
        <f aca="false">SUMIFS(الريسبي!$C$2:$C$1800,الريسبي!$A$2:$A$1800,$A88,الريسبي!$B$2:$B$1800,AD$1)</f>
        <v>0</v>
      </c>
      <c r="AE88" s="117" t="n">
        <f aca="false">SUMIFS(الريسبي!$C$2:$C$1800,الريسبي!$A$2:$A$1800,$A88,الريسبي!$B$2:$B$1800,AE$1)</f>
        <v>0</v>
      </c>
      <c r="AF88" s="117" t="n">
        <f aca="false">SUMIFS(الريسبي!$C$2:$C$1800,الريسبي!$A$2:$A$1800,$A88,الريسبي!$B$2:$B$1800,AF$1)</f>
        <v>0</v>
      </c>
      <c r="AG88" s="117" t="n">
        <f aca="false">SUMIFS(الريسبي!$C$2:$C$1800,الريسبي!$A$2:$A$1800,$A88,الريسبي!$B$2:$B$1800,AG$1)</f>
        <v>0</v>
      </c>
      <c r="AH88" s="117" t="n">
        <f aca="false">SUMIFS(الريسبي!$C$2:$C$1800,الريسبي!$A$2:$A$1800,$A88,الريسبي!$B$2:$B$1800,AH$1)</f>
        <v>0</v>
      </c>
      <c r="AI88" s="117" t="n">
        <f aca="false">SUMIFS(الريسبي!$C$2:$C$1800,الريسبي!$A$2:$A$1800,$A88,الريسبي!$B$2:$B$1800,AI$1)</f>
        <v>0</v>
      </c>
      <c r="AJ88" s="117" t="n">
        <f aca="false">SUMIFS(الريسبي!$C$2:$C$1800,الريسبي!$A$2:$A$1800,$A88,الريسبي!$B$2:$B$1800,AJ$1)</f>
        <v>2</v>
      </c>
      <c r="AK88" s="117" t="n">
        <f aca="false">SUMIFS(الريسبي!$C$2:$C$1800,الريسبي!$A$2:$A$1800,$A88,الريسبي!$B$2:$B$1800,AK$1)</f>
        <v>0</v>
      </c>
      <c r="AL88" s="117" t="n">
        <f aca="false">SUMIFS(الريسبي!$C$2:$C$1800,الريسبي!$A$2:$A$1800,$A88,الريسبي!$B$2:$B$1800,AL$1)</f>
        <v>0</v>
      </c>
      <c r="AM88" s="117" t="n">
        <f aca="false">SUMIFS(الريسبي!$C$2:$C$1800,الريسبي!$A$2:$A$1800,$A88,الريسبي!$B$2:$B$1800,AM$1)+0.08333333333*SUMIFS(الريسبي!$C$2:$C$1800,الريسبي!$A$2:$A$1800,$A88,الريسبي!$B$2:$B$1800,"عجين كريب (مصنع بالمطعم)")+0.08333333333*SUMIFS(الريسبي!$C$2:$C$1800,الريسبي!$A$2:$A$1800,$A88,الريسبي!$B$2:$B$1800,"عجين كريب صيامي (بدون لبن)")</f>
        <v>0</v>
      </c>
      <c r="AN88" s="117" t="n">
        <f aca="false">SUMIFS(الريسبي!$C$2:$C$1800,الريسبي!$A$2:$A$1800,$A88,الريسبي!$B$2:$B$1800,AN$1)+0.004166666667*SUMIFS(الريسبي!$C$2:$C$1800,الريسبي!$A$2:$A$1800,$A88,الريسبي!$B$2:$B$1800,"عجين كريب (مصنع بالمطعم)")+0.004166666667*SUMIFS(الريسبي!$C$2:$C$1800,الريسبي!$A$2:$A$1800,$A88,الريسبي!$B$2:$B$1800,"عجين كريب صيامي (بدون لبن)")</f>
        <v>0</v>
      </c>
      <c r="AO88" s="117" t="n">
        <f aca="false">SUMIFS(الريسبي!$C$2:$C$1800,الريسبي!$A$2:$A$1800,$A88,الريسبي!$B$2:$B$1800,AO$1)</f>
        <v>0</v>
      </c>
      <c r="AP88" s="117" t="n">
        <f aca="false">SUMIFS(الريسبي!$C$2:$C$1800,الريسبي!$A$2:$A$1800,$A88,الريسبي!$B$2:$B$1800,AP$1)</f>
        <v>0.03</v>
      </c>
      <c r="AQ88" s="117" t="n">
        <f aca="false">SUMIFS(الريسبي!$C$2:$C$1800,الريسبي!$A$2:$A$1800,$A88,الريسبي!$B$2:$B$1800,AQ$1)+0.004166666667*SUMIFS(الريسبي!$C$2:$C$1800,الريسبي!$A$2:$A$1800,$A88,الريسبي!$B$2:$B$1800,"عجين كريب (مصنع بالمطعم)")+0.004166666667*SUMIFS(الريسبي!$C$2:$C$1800,الريسبي!$A$2:$A$1800,$A88,الريسبي!$B$2:$B$1800,"عجين كريب صيامي (بدون لبن)")</f>
        <v>0</v>
      </c>
      <c r="AR88" s="117" t="n">
        <f aca="false">SUMIFS(الريسبي!$C$2:$C$1800,الريسبي!$A$2:$A$1800,$A88,الريسبي!$B$2:$B$1800,AR$1)</f>
        <v>0</v>
      </c>
      <c r="AS88" s="117" t="n">
        <f aca="false">SUMIFS(الريسبي!$C$2:$C$1800,الريسبي!$A$2:$A$1800,$A88,الريسبي!$B$2:$B$1800,AS$1)</f>
        <v>0</v>
      </c>
      <c r="AT88" s="117" t="n">
        <f aca="false">SUMIFS(الريسبي!$C$2:$C$1800,الريسبي!$A$2:$A$1800,$A88,الريسبي!$B$2:$B$1800,AT$1)</f>
        <v>0</v>
      </c>
      <c r="AU88" s="117" t="n">
        <f aca="false">SUMIFS(الريسبي!$C$2:$C$1800,الريسبي!$A$2:$A$1800,$A88,الريسبي!$B$2:$B$1800,AU$1)</f>
        <v>0</v>
      </c>
      <c r="AV88" s="117" t="n">
        <f aca="false">SUMIFS(الريسبي!$C$2:$C$1800,الريسبي!$A$2:$A$1800,$A88,الريسبي!$B$2:$B$1800,AV$1)</f>
        <v>0</v>
      </c>
      <c r="AW88" s="117" t="n">
        <f aca="false">SUMIFS(الريسبي!$C$2:$C$1800,الريسبي!$A$2:$A$1800,$A88,الريسبي!$B$2:$B$1800,AW$1)</f>
        <v>0</v>
      </c>
      <c r="AX88" s="117" t="n">
        <f aca="false">SUMIFS(الريسبي!$C$2:$C$1800,الريسبي!$A$2:$A$1800,$A88,الريسبي!$B$2:$B$1800,AX$1)</f>
        <v>0.06</v>
      </c>
      <c r="AY88" s="117" t="n">
        <f aca="false">SUMIFS(الريسبي!$C$2:$C$1800,الريسبي!$A$2:$A$1800,$A88,الريسبي!$B$2:$B$1800,AY$1)</f>
        <v>0.15</v>
      </c>
      <c r="AZ88" s="117" t="n">
        <f aca="false">SUMIFS(الريسبي!$C$2:$C$1800,الريسبي!$A$2:$A$1800,$A88,الريسبي!$B$2:$B$1800,AZ$1)</f>
        <v>0</v>
      </c>
      <c r="BA88" s="117" t="n">
        <f aca="false">SUMIFS(الريسبي!$C$2:$C$1800,الريسبي!$A$2:$A$1800,$A88,الريسبي!$B$2:$B$1800,BA$1)</f>
        <v>0</v>
      </c>
      <c r="BB88" s="117" t="n">
        <f aca="false">SUMIFS(الريسبي!$C$2:$C$1800,الريسبي!$A$2:$A$1800,$A88,الريسبي!$B$2:$B$1800,BB$1)</f>
        <v>0</v>
      </c>
      <c r="BC88" s="117" t="n">
        <f aca="false">SUMIFS(الريسبي!$C$2:$C$1800,الريسبي!$A$2:$A$1800,$A88,الريسبي!$B$2:$B$1800,BC$1)</f>
        <v>0.045</v>
      </c>
      <c r="BD88" s="117" t="n">
        <f aca="false">SUMIFS(الريسبي!$C$2:$C$1800,الريسبي!$A$2:$A$1800,$A88,الريسبي!$B$2:$B$1800,BD$1)</f>
        <v>0.3</v>
      </c>
      <c r="BE88" s="117" t="n">
        <f aca="false">SUMIFS(الريسبي!$C$2:$C$1800,الريسبي!$A$2:$A$1800,$A88,الريسبي!$B$2:$B$1800,BE$1)</f>
        <v>0</v>
      </c>
      <c r="BF88" s="117" t="n">
        <f aca="false">SUMIFS(الريسبي!$C$2:$C$1800,الريسبي!$A$2:$A$1800,$A88,الريسبي!$B$2:$B$1800,BF$1)</f>
        <v>0</v>
      </c>
      <c r="BG88" s="117" t="n">
        <f aca="false">SUMIFS(الريسبي!$C$2:$C$1800,الريسبي!$A$2:$A$1800,$A88,الريسبي!$B$2:$B$1800,BG$1)</f>
        <v>1</v>
      </c>
      <c r="BH88" s="117" t="n">
        <f aca="false">SUMIFS(الريسبي!$C$2:$C$1800,الريسبي!$A$2:$A$1800,$A88,الريسبي!$B$2:$B$1800,BH$1)</f>
        <v>0</v>
      </c>
      <c r="BI88" s="117" t="n">
        <f aca="false">SUMIFS(الريسبي!$C$2:$C$1800,الريسبي!$A$2:$A$1800,$A88,الريسبي!$B$2:$B$1800,BI$1)</f>
        <v>0</v>
      </c>
      <c r="BJ88" s="117" t="n">
        <f aca="false">SUMIFS(الريسبي!$C$2:$C$1800,الريسبي!$A$2:$A$1800,$A88,الريسبي!$B$2:$B$1800,BJ$1)</f>
        <v>0</v>
      </c>
      <c r="BK88" s="117" t="n">
        <f aca="false">SUMIFS(الريسبي!$C$2:$C$1800,الريسبي!$A$2:$A$1800,$A88,الريسبي!$B$2:$B$1800,BK$1)</f>
        <v>0</v>
      </c>
      <c r="BL88" s="117" t="n">
        <f aca="false">SUMIFS(الريسبي!$C$2:$C$1800,الريسبي!$A$2:$A$1800,$A88,الريسبي!$B$2:$B$1800,BL$1)</f>
        <v>0</v>
      </c>
      <c r="BM88" s="117" t="n">
        <f aca="false">SUMIFS(الريسبي!$C$2:$C$1800,الريسبي!$A$2:$A$1800,$A88,الريسبي!$B$2:$B$1800,BM$1)</f>
        <v>0.21</v>
      </c>
      <c r="BN88" s="117" t="n">
        <f aca="false">SUMIFS(الريسبي!$C$2:$C$1800,الريسبي!$A$2:$A$1800,$A88,الريسبي!$B$2:$B$1800,BN$1)</f>
        <v>0.03</v>
      </c>
      <c r="BO88" s="117" t="n">
        <f aca="false">SUMIFS(الريسبي!$C$2:$C$1800,الريسبي!$A$2:$A$1800,$A88,الريسبي!$B$2:$B$1800,BO$1)</f>
        <v>0</v>
      </c>
      <c r="BP88" s="117" t="n">
        <f aca="false">SUMIFS(الريسبي!$C$2:$C$1800,الريسبي!$A$2:$A$1800,$A88,الريسبي!$B$2:$B$1800,BP$1)</f>
        <v>3</v>
      </c>
      <c r="BQ88" s="117" t="n">
        <f aca="false">SUMIFS(الريسبي!$C$2:$C$1800,الريسبي!$A$2:$A$1800,$A88,الريسبي!$B$2:$B$1800,BQ$1)+0.17*SUMIFS(الريسبي!$C$2:$C$1800,الريسبي!$A$2:$A$1800,$A88,الريسبي!$B$2:$B$1800,"كاسترد مصنع (خليط بودر + لبن)")+0.17*SUMIFS(الريسبي!$C$2:$C$1800,الريسبي!$A$2:$A$1800,$A88,الريسبي!$B$2:$B$1800,"كاسترد مصنع صيامي (بدون لبن)")</f>
        <v>0</v>
      </c>
      <c r="BR88" s="117" t="n">
        <f aca="false">SUMIFS(الريسبي!$C$2:$C$1800,الريسبي!$A$2:$A$1800,$A88,الريسبي!$B$2:$B$1800,BR$1)</f>
        <v>1</v>
      </c>
      <c r="BS88" s="117" t="n">
        <f aca="false">SUMIFS(الريسبي!$C$2:$C$1800,الريسبي!$A$2:$A$1800,$A88,الريسبي!$B$2:$B$1800,BS$1)</f>
        <v>0</v>
      </c>
      <c r="BT88" s="117" t="n">
        <f aca="false">SUMIFS(الريسبي!$C$2:$C$1800,الريسبي!$A$2:$A$1800,$A88,الريسبي!$B$2:$B$1800,BT$1)</f>
        <v>0</v>
      </c>
      <c r="BU88" s="117" t="n">
        <f aca="false">SUMIFS(الريسبي!$C$2:$C$1800,الريسبي!$A$2:$A$1800,$A88,الريسبي!$B$2:$B$1800,BU$1)+0.4*SUMIFS(الريسبي!$C$2:$C$1800,الريسبي!$A$2:$A$1800,$A88,الريسبي!$B$2:$B$1800,"كاسترد مصنع (خليط بودر + لبن)")+0.03333333333*SUMIFS(الريسبي!$C$2:$C$1800,الريسبي!$A$2:$A$1800,$A88,الريسبي!$B$2:$B$1800,"عجين كريب (مصنع بالمطعم)")</f>
        <v>0</v>
      </c>
      <c r="BV88" s="117" t="n">
        <f aca="false">SUMIFS(الريسبي!$C$2:$C$1800,الريسبي!$A$2:$A$1800,$A88,الريسبي!$B$2:$B$1800,BV$1)</f>
        <v>0</v>
      </c>
      <c r="BW88" s="117" t="n">
        <f aca="false">SUMIFS(الريسبي!$C$2:$C$1800,الريسبي!$A$2:$A$1800,$A88,الريسبي!$B$2:$B$1800,BW$1)</f>
        <v>0</v>
      </c>
      <c r="BX88" s="117" t="n">
        <f aca="false">SUMIFS(الريسبي!$C$2:$C$1800,الريسبي!$A$2:$A$1800,$A88,الريسبي!$B$2:$B$1800,BX$1)</f>
        <v>0</v>
      </c>
      <c r="BY88" s="117" t="n">
        <f aca="false">SUMIFS(الريسبي!$C$2:$C$1800,الريسبي!$A$2:$A$1800,$A88,الريسبي!$B$2:$B$1800,BY$1)</f>
        <v>0</v>
      </c>
      <c r="BZ88" s="117" t="n">
        <f aca="false">SUMIFS(الريسبي!$C$2:$C$1800,الريسبي!$A$2:$A$1800,$A88,الريسبي!$B$2:$B$1800,BZ$1)</f>
        <v>0</v>
      </c>
      <c r="CA88" s="117" t="n">
        <f aca="false">SUMIFS(الريسبي!$C$2:$C$1800,الريسبي!$A$2:$A$1800,$A88,الريسبي!$B$2:$B$1800,CA$1)</f>
        <v>1</v>
      </c>
      <c r="CB88" s="117" t="n">
        <f aca="false">SUMIFS(الريسبي!$C$2:$C$1800,الريسبي!$A$2:$A$1800,$A88,الريسبي!$B$2:$B$1800,CB$1)</f>
        <v>1</v>
      </c>
      <c r="CC88" s="117" t="n">
        <f aca="false">SUMIFS(الريسبي!$C$2:$C$1800,الريسبي!$A$2:$A$1800,$A88,الريسبي!$B$2:$B$1800,CC$1)</f>
        <v>0</v>
      </c>
      <c r="CD88" s="117" t="n">
        <f aca="false">SUMIFS(الريسبي!$C$2:$C$1800,الريسبي!$A$2:$A$1800,$A88,الريسبي!$B$2:$B$1800,CD$1)</f>
        <v>0</v>
      </c>
      <c r="CE88" s="117" t="n">
        <f aca="false">SUMIFS(الريسبي!$C$2:$C$1800,الريسبي!$A$2:$A$1800,$A88,الريسبي!$B$2:$B$1800,CE$1)</f>
        <v>0</v>
      </c>
      <c r="CF88" s="117" t="n">
        <f aca="false">SUMIFS(الريسبي!$C$2:$C$1800,الريسبي!$A$2:$A$1800,$A88,الريسبي!$B$2:$B$1800,CF$1)</f>
        <v>0</v>
      </c>
      <c r="CG88" s="117" t="n">
        <f aca="false">SUMIFS(الريسبي!$C$2:$C$1800,الريسبي!$A$2:$A$1800,$A88,الريسبي!$B$2:$B$1800,CG$1)</f>
        <v>0</v>
      </c>
      <c r="CH88" s="117" t="n">
        <f aca="false">SUMIFS(الريسبي!$C$2:$C$1800,الريسبي!$A$2:$A$1800,$A88,الريسبي!$B$2:$B$1800,CH$1)</f>
        <v>0</v>
      </c>
      <c r="CI88" s="117" t="n">
        <f aca="false">SUMIFS(الريسبي!$C$2:$C$1800,الريسبي!$A$2:$A$1800,$A88,الريسبي!$B$2:$B$1800,CI$1)</f>
        <v>0</v>
      </c>
      <c r="CJ88" s="117" t="n">
        <f aca="false">SUMIFS(الريسبي!$C$2:$C$1800,الريسبي!$A$2:$A$1800,$A88,الريسبي!$B$2:$B$1800,CJ$1)</f>
        <v>0</v>
      </c>
      <c r="CK88" s="117" t="n">
        <f aca="false">SUMIFS(الريسبي!$C$2:$C$1800,الريسبي!$A$2:$A$1800,$A88,الريسبي!$B$2:$B$1800,CK$1)</f>
        <v>0</v>
      </c>
      <c r="CL88" s="117" t="n">
        <f aca="false">SUMIFS(الريسبي!$C$2:$C$1800,الريسبي!$A$2:$A$1800,$A88,الريسبي!$B$2:$B$1800,CL$1)</f>
        <v>0</v>
      </c>
    </row>
    <row r="89" customFormat="false" ht="15" hidden="false" customHeight="false" outlineLevel="0" collapsed="false">
      <c r="A89" s="116" t="str">
        <f aca="false">المنيو!B89</f>
        <v>بيتزا جمبري صيامي وسط</v>
      </c>
      <c r="B89" s="117" t="n">
        <f aca="false">SUMIFS(الريسبي!$C$2:$C$1800,الريسبي!$A$2:$A$1800,$A89,الريسبي!$B$2:$B$1800,B$1)</f>
        <v>0</v>
      </c>
      <c r="C89" s="117" t="n">
        <f aca="false">SUMIFS(الريسبي!$C$2:$C$1800,الريسبي!$A$2:$A$1800,$A89,الريسبي!$B$2:$B$1800,C$1)</f>
        <v>0</v>
      </c>
      <c r="D89" s="117" t="n">
        <f aca="false">SUMIFS(الريسبي!$C$2:$C$1800,الريسبي!$A$2:$A$1800,$A89,الريسبي!$B$2:$B$1800,D$1)</f>
        <v>1</v>
      </c>
      <c r="E89" s="117" t="n">
        <f aca="false">SUMIFS(الريسبي!$C$2:$C$1800,الريسبي!$A$2:$A$1800,$A89,الريسبي!$B$2:$B$1800,E$1)</f>
        <v>0</v>
      </c>
      <c r="F89" s="117" t="n">
        <f aca="false">SUMIFS(الريسبي!$C$2:$C$1800,الريسبي!$A$2:$A$1800,$A89,الريسبي!$B$2:$B$1800,F$1)</f>
        <v>0</v>
      </c>
      <c r="G89" s="117" t="n">
        <f aca="false">SUMIFS(الريسبي!$C$2:$C$1800,الريسبي!$A$2:$A$1800,$A89,الريسبي!$B$2:$B$1800,G$1)</f>
        <v>0</v>
      </c>
      <c r="H89" s="117" t="n">
        <f aca="false">SUMIFS(الريسبي!$C$2:$C$1800,الريسبي!$A$2:$A$1800,$A89,الريسبي!$B$2:$B$1800,H$1)</f>
        <v>0</v>
      </c>
      <c r="I89" s="117" t="n">
        <f aca="false">SUMIFS(الريسبي!$C$2:$C$1800,الريسبي!$A$2:$A$1800,$A89,الريسبي!$B$2:$B$1800,I$1)</f>
        <v>0</v>
      </c>
      <c r="J89" s="117" t="n">
        <f aca="false">SUMIFS(الريسبي!$C$2:$C$1800,الريسبي!$A$2:$A$1800,$A89,الريسبي!$B$2:$B$1800,J$1)</f>
        <v>0</v>
      </c>
      <c r="K89" s="117" t="n">
        <f aca="false">SUMIFS(الريسبي!$C$2:$C$1800,الريسبي!$A$2:$A$1800,$A89,الريسبي!$B$2:$B$1800,K$1)</f>
        <v>1</v>
      </c>
      <c r="L89" s="117" t="n">
        <f aca="false">SUMIFS(الريسبي!$C$2:$C$1800,الريسبي!$A$2:$A$1800,$A89,الريسبي!$B$2:$B$1800,L$1)</f>
        <v>0</v>
      </c>
      <c r="M89" s="117" t="n">
        <f aca="false">SUMIFS(الريسبي!$C$2:$C$1800,الريسبي!$A$2:$A$1800,$A89,الريسبي!$B$2:$B$1800,M$1)</f>
        <v>0</v>
      </c>
      <c r="N89" s="117" t="n">
        <f aca="false">SUMIFS(الريسبي!$C$2:$C$1800,الريسبي!$A$2:$A$1800,$A89,الريسبي!$B$2:$B$1800,N$1)</f>
        <v>0</v>
      </c>
      <c r="O89" s="117" t="n">
        <f aca="false">SUMIFS(الريسبي!$C$2:$C$1800,الريسبي!$A$2:$A$1800,$A89,الريسبي!$B$2:$B$1800,O$1)</f>
        <v>0</v>
      </c>
      <c r="P89" s="117" t="n">
        <f aca="false">SUMIFS(الريسبي!$C$2:$C$1800,الريسبي!$A$2:$A$1800,$A89,الريسبي!$B$2:$B$1800,P$1)</f>
        <v>0</v>
      </c>
      <c r="Q89" s="117" t="n">
        <f aca="false">SUMIFS(الريسبي!$C$2:$C$1800,الريسبي!$A$2:$A$1800,$A89,الريسبي!$B$2:$B$1800,Q$1)</f>
        <v>0</v>
      </c>
      <c r="R89" s="117" t="n">
        <f aca="false">SUMIFS(الريسبي!$C$2:$C$1800,الريسبي!$A$2:$A$1800,$A89,الريسبي!$B$2:$B$1800,R$1)</f>
        <v>0</v>
      </c>
      <c r="S89" s="117" t="n">
        <f aca="false">SUMIFS(الريسبي!$C$2:$C$1800,الريسبي!$A$2:$A$1800,$A89,الريسبي!$B$2:$B$1800,S$1)</f>
        <v>0</v>
      </c>
      <c r="T89" s="117" t="n">
        <f aca="false">SUMIFS(الريسبي!$C$2:$C$1800,الريسبي!$A$2:$A$1800,$A89,الريسبي!$B$2:$B$1800,T$1)</f>
        <v>0</v>
      </c>
      <c r="U89" s="117" t="n">
        <f aca="false">SUMIFS(الريسبي!$C$2:$C$1800,الريسبي!$A$2:$A$1800,$A89,الريسبي!$B$2:$B$1800,U$1)</f>
        <v>0</v>
      </c>
      <c r="V89" s="117" t="n">
        <f aca="false">SUMIFS(الريسبي!$C$2:$C$1800,الريسبي!$A$2:$A$1800,$A89,الريسبي!$B$2:$B$1800,V$1)+1.5*(SUMIFS(الريسبي!$C$2:$C$1800,الريسبي!$A$2:$A$1800,$A89,الريسبي!$B$2:$B$1800,"برسيون موتزريلا بيتزا كبير"))</f>
        <v>0</v>
      </c>
      <c r="W89" s="117" t="n">
        <f aca="false">0</f>
        <v>0</v>
      </c>
      <c r="X89" s="117" t="n">
        <f aca="false">SUMIFS(الريسبي!$C$2:$C$1800,الريسبي!$A$2:$A$1800,$A89,الريسبي!$B$2:$B$1800,X$1)+1.5*(SUMIFS(الريسبي!$C$2:$C$1800,الريسبي!$A$2:$A$1800,$A89,الريسبي!$B$2:$B$1800,"برسيون موتزريلا فطير كبير"))</f>
        <v>1</v>
      </c>
      <c r="Y89" s="117" t="n">
        <f aca="false">0</f>
        <v>0</v>
      </c>
      <c r="Z89" s="117" t="n">
        <f aca="false">SUMIFS(الريسبي!$C$2:$C$1800,الريسبي!$A$2:$A$1800,$A89,الريسبي!$B$2:$B$1800,Z$1)</f>
        <v>0</v>
      </c>
      <c r="AA89" s="117" t="n">
        <f aca="false">SUMIFS(الريسبي!$C$2:$C$1800,الريسبي!$A$2:$A$1800,$A89,الريسبي!$B$2:$B$1800,AA$1)</f>
        <v>0</v>
      </c>
      <c r="AB89" s="117" t="n">
        <f aca="false">SUMIFS(الريسبي!$C$2:$C$1800,الريسبي!$A$2:$A$1800,$A89,الريسبي!$B$2:$B$1800,AB$1)</f>
        <v>0</v>
      </c>
      <c r="AC89" s="117" t="n">
        <f aca="false">SUMIFS(الريسبي!$C$2:$C$1800,الريسبي!$A$2:$A$1800,$A89,الريسبي!$B$2:$B$1800,AC$1)</f>
        <v>0</v>
      </c>
      <c r="AD89" s="117" t="n">
        <f aca="false">SUMIFS(الريسبي!$C$2:$C$1800,الريسبي!$A$2:$A$1800,$A89,الريسبي!$B$2:$B$1800,AD$1)</f>
        <v>0</v>
      </c>
      <c r="AE89" s="117" t="n">
        <f aca="false">SUMIFS(الريسبي!$C$2:$C$1800,الريسبي!$A$2:$A$1800,$A89,الريسبي!$B$2:$B$1800,AE$1)</f>
        <v>0</v>
      </c>
      <c r="AF89" s="117" t="n">
        <f aca="false">SUMIFS(الريسبي!$C$2:$C$1800,الريسبي!$A$2:$A$1800,$A89,الريسبي!$B$2:$B$1800,AF$1)</f>
        <v>0</v>
      </c>
      <c r="AG89" s="117" t="n">
        <f aca="false">SUMIFS(الريسبي!$C$2:$C$1800,الريسبي!$A$2:$A$1800,$A89,الريسبي!$B$2:$B$1800,AG$1)</f>
        <v>0</v>
      </c>
      <c r="AH89" s="117" t="n">
        <f aca="false">SUMIFS(الريسبي!$C$2:$C$1800,الريسبي!$A$2:$A$1800,$A89,الريسبي!$B$2:$B$1800,AH$1)</f>
        <v>0</v>
      </c>
      <c r="AI89" s="117" t="n">
        <f aca="false">SUMIFS(الريسبي!$C$2:$C$1800,الريسبي!$A$2:$A$1800,$A89,الريسبي!$B$2:$B$1800,AI$1)</f>
        <v>0</v>
      </c>
      <c r="AJ89" s="117" t="n">
        <f aca="false">SUMIFS(الريسبي!$C$2:$C$1800,الريسبي!$A$2:$A$1800,$A89,الريسبي!$B$2:$B$1800,AJ$1)</f>
        <v>2</v>
      </c>
      <c r="AK89" s="117" t="n">
        <f aca="false">SUMIFS(الريسبي!$C$2:$C$1800,الريسبي!$A$2:$A$1800,$A89,الريسبي!$B$2:$B$1800,AK$1)</f>
        <v>0</v>
      </c>
      <c r="AL89" s="117" t="n">
        <f aca="false">SUMIFS(الريسبي!$C$2:$C$1800,الريسبي!$A$2:$A$1800,$A89,الريسبي!$B$2:$B$1800,AL$1)</f>
        <v>0</v>
      </c>
      <c r="AM89" s="117" t="n">
        <f aca="false">SUMIFS(الريسبي!$C$2:$C$1800,الريسبي!$A$2:$A$1800,$A89,الريسبي!$B$2:$B$1800,AM$1)+0.08333333333*SUMIFS(الريسبي!$C$2:$C$1800,الريسبي!$A$2:$A$1800,$A89,الريسبي!$B$2:$B$1800,"عجين كريب (مصنع بالمطعم)")+0.08333333333*SUMIFS(الريسبي!$C$2:$C$1800,الريسبي!$A$2:$A$1800,$A89,الريسبي!$B$2:$B$1800,"عجين كريب صيامي (بدون لبن)")</f>
        <v>0</v>
      </c>
      <c r="AN89" s="117" t="n">
        <f aca="false">SUMIFS(الريسبي!$C$2:$C$1800,الريسبي!$A$2:$A$1800,$A89,الريسبي!$B$2:$B$1800,AN$1)+0.004166666667*SUMIFS(الريسبي!$C$2:$C$1800,الريسبي!$A$2:$A$1800,$A89,الريسبي!$B$2:$B$1800,"عجين كريب (مصنع بالمطعم)")+0.004166666667*SUMIFS(الريسبي!$C$2:$C$1800,الريسبي!$A$2:$A$1800,$A89,الريسبي!$B$2:$B$1800,"عجين كريب صيامي (بدون لبن)")</f>
        <v>0</v>
      </c>
      <c r="AO89" s="117" t="n">
        <f aca="false">SUMIFS(الريسبي!$C$2:$C$1800,الريسبي!$A$2:$A$1800,$A89,الريسبي!$B$2:$B$1800,AO$1)</f>
        <v>0</v>
      </c>
      <c r="AP89" s="117" t="n">
        <f aca="false">SUMIFS(الريسبي!$C$2:$C$1800,الريسبي!$A$2:$A$1800,$A89,الريسبي!$B$2:$B$1800,AP$1)</f>
        <v>0.02</v>
      </c>
      <c r="AQ89" s="117" t="n">
        <f aca="false">SUMIFS(الريسبي!$C$2:$C$1800,الريسبي!$A$2:$A$1800,$A89,الريسبي!$B$2:$B$1800,AQ$1)+0.004166666667*SUMIFS(الريسبي!$C$2:$C$1800,الريسبي!$A$2:$A$1800,$A89,الريسبي!$B$2:$B$1800,"عجين كريب (مصنع بالمطعم)")+0.004166666667*SUMIFS(الريسبي!$C$2:$C$1800,الريسبي!$A$2:$A$1800,$A89,الريسبي!$B$2:$B$1800,"عجين كريب صيامي (بدون لبن)")</f>
        <v>0</v>
      </c>
      <c r="AR89" s="117" t="n">
        <f aca="false">SUMIFS(الريسبي!$C$2:$C$1800,الريسبي!$A$2:$A$1800,$A89,الريسبي!$B$2:$B$1800,AR$1)</f>
        <v>0</v>
      </c>
      <c r="AS89" s="117" t="n">
        <f aca="false">SUMIFS(الريسبي!$C$2:$C$1800,الريسبي!$A$2:$A$1800,$A89,الريسبي!$B$2:$B$1800,AS$1)</f>
        <v>0</v>
      </c>
      <c r="AT89" s="117" t="n">
        <f aca="false">SUMIFS(الريسبي!$C$2:$C$1800,الريسبي!$A$2:$A$1800,$A89,الريسبي!$B$2:$B$1800,AT$1)</f>
        <v>0</v>
      </c>
      <c r="AU89" s="117" t="n">
        <f aca="false">SUMIFS(الريسبي!$C$2:$C$1800,الريسبي!$A$2:$A$1800,$A89,الريسبي!$B$2:$B$1800,AU$1)</f>
        <v>0</v>
      </c>
      <c r="AV89" s="117" t="n">
        <f aca="false">SUMIFS(الريسبي!$C$2:$C$1800,الريسبي!$A$2:$A$1800,$A89,الريسبي!$B$2:$B$1800,AV$1)</f>
        <v>0</v>
      </c>
      <c r="AW89" s="117" t="n">
        <f aca="false">SUMIFS(الريسبي!$C$2:$C$1800,الريسبي!$A$2:$A$1800,$A89,الريسبي!$B$2:$B$1800,AW$1)</f>
        <v>0</v>
      </c>
      <c r="AX89" s="117" t="n">
        <f aca="false">SUMIFS(الريسبي!$C$2:$C$1800,الريسبي!$A$2:$A$1800,$A89,الريسبي!$B$2:$B$1800,AX$1)</f>
        <v>0.04</v>
      </c>
      <c r="AY89" s="117" t="n">
        <f aca="false">SUMIFS(الريسبي!$C$2:$C$1800,الريسبي!$A$2:$A$1800,$A89,الريسبي!$B$2:$B$1800,AY$1)</f>
        <v>0</v>
      </c>
      <c r="AZ89" s="117" t="n">
        <f aca="false">SUMIFS(الريسبي!$C$2:$C$1800,الريسبي!$A$2:$A$1800,$A89,الريسبي!$B$2:$B$1800,AZ$1)</f>
        <v>0</v>
      </c>
      <c r="BA89" s="117" t="n">
        <f aca="false">SUMIFS(الريسبي!$C$2:$C$1800,الريسبي!$A$2:$A$1800,$A89,الريسبي!$B$2:$B$1800,BA$1)</f>
        <v>0</v>
      </c>
      <c r="BB89" s="117" t="n">
        <f aca="false">SUMIFS(الريسبي!$C$2:$C$1800,الريسبي!$A$2:$A$1800,$A89,الريسبي!$B$2:$B$1800,BB$1)</f>
        <v>0</v>
      </c>
      <c r="BC89" s="117" t="n">
        <f aca="false">SUMIFS(الريسبي!$C$2:$C$1800,الريسبي!$A$2:$A$1800,$A89,الريسبي!$B$2:$B$1800,BC$1)</f>
        <v>0.03</v>
      </c>
      <c r="BD89" s="117" t="n">
        <f aca="false">SUMIFS(الريسبي!$C$2:$C$1800,الريسبي!$A$2:$A$1800,$A89,الريسبي!$B$2:$B$1800,BD$1)</f>
        <v>0.22</v>
      </c>
      <c r="BE89" s="117" t="n">
        <f aca="false">SUMIFS(الريسبي!$C$2:$C$1800,الريسبي!$A$2:$A$1800,$A89,الريسبي!$B$2:$B$1800,BE$1)</f>
        <v>0</v>
      </c>
      <c r="BF89" s="117" t="n">
        <f aca="false">SUMIFS(الريسبي!$C$2:$C$1800,الريسبي!$A$2:$A$1800,$A89,الريسبي!$B$2:$B$1800,BF$1)</f>
        <v>0</v>
      </c>
      <c r="BG89" s="117" t="n">
        <f aca="false">SUMIFS(الريسبي!$C$2:$C$1800,الريسبي!$A$2:$A$1800,$A89,الريسبي!$B$2:$B$1800,BG$1)</f>
        <v>0</v>
      </c>
      <c r="BH89" s="117" t="n">
        <f aca="false">SUMIFS(الريسبي!$C$2:$C$1800,الريسبي!$A$2:$A$1800,$A89,الريسبي!$B$2:$B$1800,BH$1)</f>
        <v>1</v>
      </c>
      <c r="BI89" s="117" t="n">
        <f aca="false">SUMIFS(الريسبي!$C$2:$C$1800,الريسبي!$A$2:$A$1800,$A89,الريسبي!$B$2:$B$1800,BI$1)</f>
        <v>0</v>
      </c>
      <c r="BJ89" s="117" t="n">
        <f aca="false">SUMIFS(الريسبي!$C$2:$C$1800,الريسبي!$A$2:$A$1800,$A89,الريسبي!$B$2:$B$1800,BJ$1)</f>
        <v>0</v>
      </c>
      <c r="BK89" s="117" t="n">
        <f aca="false">SUMIFS(الريسبي!$C$2:$C$1800,الريسبي!$A$2:$A$1800,$A89,الريسبي!$B$2:$B$1800,BK$1)</f>
        <v>0</v>
      </c>
      <c r="BL89" s="117" t="n">
        <f aca="false">SUMIFS(الريسبي!$C$2:$C$1800,الريسبي!$A$2:$A$1800,$A89,الريسبي!$B$2:$B$1800,BL$1)</f>
        <v>0</v>
      </c>
      <c r="BM89" s="117" t="n">
        <f aca="false">SUMIFS(الريسبي!$C$2:$C$1800,الريسبي!$A$2:$A$1800,$A89,الريسبي!$B$2:$B$1800,BM$1)</f>
        <v>0</v>
      </c>
      <c r="BN89" s="117" t="n">
        <f aca="false">SUMIFS(الريسبي!$C$2:$C$1800,الريسبي!$A$2:$A$1800,$A89,الريسبي!$B$2:$B$1800,BN$1)</f>
        <v>0.02</v>
      </c>
      <c r="BO89" s="117" t="n">
        <f aca="false">SUMIFS(الريسبي!$C$2:$C$1800,الريسبي!$A$2:$A$1800,$A89,الريسبي!$B$2:$B$1800,BO$1)</f>
        <v>0</v>
      </c>
      <c r="BP89" s="117" t="n">
        <f aca="false">SUMIFS(الريسبي!$C$2:$C$1800,الريسبي!$A$2:$A$1800,$A89,الريسبي!$B$2:$B$1800,BP$1)</f>
        <v>2</v>
      </c>
      <c r="BQ89" s="117" t="n">
        <f aca="false">SUMIFS(الريسبي!$C$2:$C$1800,الريسبي!$A$2:$A$1800,$A89,الريسبي!$B$2:$B$1800,BQ$1)+0.17*SUMIFS(الريسبي!$C$2:$C$1800,الريسبي!$A$2:$A$1800,$A89,الريسبي!$B$2:$B$1800,"كاسترد مصنع (خليط بودر + لبن)")+0.17*SUMIFS(الريسبي!$C$2:$C$1800,الريسبي!$A$2:$A$1800,$A89,الريسبي!$B$2:$B$1800,"كاسترد مصنع صيامي (بدون لبن)")</f>
        <v>0</v>
      </c>
      <c r="BR89" s="117" t="n">
        <f aca="false">SUMIFS(الريسبي!$C$2:$C$1800,الريسبي!$A$2:$A$1800,$A89,الريسبي!$B$2:$B$1800,BR$1)</f>
        <v>1</v>
      </c>
      <c r="BS89" s="117" t="n">
        <f aca="false">SUMIFS(الريسبي!$C$2:$C$1800,الريسبي!$A$2:$A$1800,$A89,الريسبي!$B$2:$B$1800,BS$1)</f>
        <v>0</v>
      </c>
      <c r="BT89" s="117" t="n">
        <f aca="false">SUMIFS(الريسبي!$C$2:$C$1800,الريسبي!$A$2:$A$1800,$A89,الريسبي!$B$2:$B$1800,BT$1)</f>
        <v>0</v>
      </c>
      <c r="BU89" s="117" t="n">
        <f aca="false">SUMIFS(الريسبي!$C$2:$C$1800,الريسبي!$A$2:$A$1800,$A89,الريسبي!$B$2:$B$1800,BU$1)+0.4*SUMIFS(الريسبي!$C$2:$C$1800,الريسبي!$A$2:$A$1800,$A89,الريسبي!$B$2:$B$1800,"كاسترد مصنع (خليط بودر + لبن)")+0.03333333333*SUMIFS(الريسبي!$C$2:$C$1800,الريسبي!$A$2:$A$1800,$A89,الريسبي!$B$2:$B$1800,"عجين كريب (مصنع بالمطعم)")</f>
        <v>0</v>
      </c>
      <c r="BV89" s="117" t="n">
        <f aca="false">SUMIFS(الريسبي!$C$2:$C$1800,الريسبي!$A$2:$A$1800,$A89,الريسبي!$B$2:$B$1800,BV$1)</f>
        <v>0</v>
      </c>
      <c r="BW89" s="117" t="n">
        <f aca="false">SUMIFS(الريسبي!$C$2:$C$1800,الريسبي!$A$2:$A$1800,$A89,الريسبي!$B$2:$B$1800,BW$1)</f>
        <v>0</v>
      </c>
      <c r="BX89" s="117" t="n">
        <f aca="false">SUMIFS(الريسبي!$C$2:$C$1800,الريسبي!$A$2:$A$1800,$A89,الريسبي!$B$2:$B$1800,BX$1)</f>
        <v>0</v>
      </c>
      <c r="BY89" s="117" t="n">
        <f aca="false">SUMIFS(الريسبي!$C$2:$C$1800,الريسبي!$A$2:$A$1800,$A89,الريسبي!$B$2:$B$1800,BY$1)</f>
        <v>0</v>
      </c>
      <c r="BZ89" s="117" t="n">
        <f aca="false">SUMIFS(الريسبي!$C$2:$C$1800,الريسبي!$A$2:$A$1800,$A89,الريسبي!$B$2:$B$1800,BZ$1)</f>
        <v>0</v>
      </c>
      <c r="CA89" s="117" t="n">
        <f aca="false">SUMIFS(الريسبي!$C$2:$C$1800,الريسبي!$A$2:$A$1800,$A89,الريسبي!$B$2:$B$1800,CA$1)</f>
        <v>1</v>
      </c>
      <c r="CB89" s="117" t="n">
        <f aca="false">SUMIFS(الريسبي!$C$2:$C$1800,الريسبي!$A$2:$A$1800,$A89,الريسبي!$B$2:$B$1800,CB$1)</f>
        <v>1</v>
      </c>
      <c r="CC89" s="117" t="n">
        <f aca="false">SUMIFS(الريسبي!$C$2:$C$1800,الريسبي!$A$2:$A$1800,$A89,الريسبي!$B$2:$B$1800,CC$1)</f>
        <v>0</v>
      </c>
      <c r="CD89" s="117" t="n">
        <f aca="false">SUMIFS(الريسبي!$C$2:$C$1800,الريسبي!$A$2:$A$1800,$A89,الريسبي!$B$2:$B$1800,CD$1)</f>
        <v>0</v>
      </c>
      <c r="CE89" s="117" t="n">
        <f aca="false">SUMIFS(الريسبي!$C$2:$C$1800,الريسبي!$A$2:$A$1800,$A89,الريسبي!$B$2:$B$1800,CE$1)</f>
        <v>0</v>
      </c>
      <c r="CF89" s="117" t="n">
        <f aca="false">SUMIFS(الريسبي!$C$2:$C$1800,الريسبي!$A$2:$A$1800,$A89,الريسبي!$B$2:$B$1800,CF$1)</f>
        <v>0</v>
      </c>
      <c r="CG89" s="117" t="n">
        <f aca="false">SUMIFS(الريسبي!$C$2:$C$1800,الريسبي!$A$2:$A$1800,$A89,الريسبي!$B$2:$B$1800,CG$1)</f>
        <v>0</v>
      </c>
      <c r="CH89" s="117" t="n">
        <f aca="false">SUMIFS(الريسبي!$C$2:$C$1800,الريسبي!$A$2:$A$1800,$A89,الريسبي!$B$2:$B$1800,CH$1)</f>
        <v>0</v>
      </c>
      <c r="CI89" s="117" t="n">
        <f aca="false">SUMIFS(الريسبي!$C$2:$C$1800,الريسبي!$A$2:$A$1800,$A89,الريسبي!$B$2:$B$1800,CI$1)</f>
        <v>0</v>
      </c>
      <c r="CJ89" s="117" t="n">
        <f aca="false">SUMIFS(الريسبي!$C$2:$C$1800,الريسبي!$A$2:$A$1800,$A89,الريسبي!$B$2:$B$1800,CJ$1)</f>
        <v>0</v>
      </c>
      <c r="CK89" s="117" t="n">
        <f aca="false">SUMIFS(الريسبي!$C$2:$C$1800,الريسبي!$A$2:$A$1800,$A89,الريسبي!$B$2:$B$1800,CK$1)</f>
        <v>0</v>
      </c>
      <c r="CL89" s="117" t="n">
        <f aca="false">SUMIFS(الريسبي!$C$2:$C$1800,الريسبي!$A$2:$A$1800,$A89,الريسبي!$B$2:$B$1800,CL$1)</f>
        <v>0</v>
      </c>
    </row>
    <row r="90" customFormat="false" ht="15" hidden="false" customHeight="false" outlineLevel="0" collapsed="false">
      <c r="A90" s="116" t="str">
        <f aca="false">المنيو!B90</f>
        <v>بيتزا جمبري صيامي مخصوص</v>
      </c>
      <c r="B90" s="117" t="n">
        <f aca="false">SUMIFS(الريسبي!$C$2:$C$1800,الريسبي!$A$2:$A$1800,$A90,الريسبي!$B$2:$B$1800,B$1)</f>
        <v>0</v>
      </c>
      <c r="C90" s="117" t="n">
        <f aca="false">SUMIFS(الريسبي!$C$2:$C$1800,الريسبي!$A$2:$A$1800,$A90,الريسبي!$B$2:$B$1800,C$1)</f>
        <v>0</v>
      </c>
      <c r="D90" s="117" t="n">
        <f aca="false">SUMIFS(الريسبي!$C$2:$C$1800,الريسبي!$A$2:$A$1800,$A90,الريسبي!$B$2:$B$1800,D$1)</f>
        <v>1</v>
      </c>
      <c r="E90" s="117" t="n">
        <f aca="false">SUMIFS(الريسبي!$C$2:$C$1800,الريسبي!$A$2:$A$1800,$A90,الريسبي!$B$2:$B$1800,E$1)</f>
        <v>0</v>
      </c>
      <c r="F90" s="117" t="n">
        <f aca="false">SUMIFS(الريسبي!$C$2:$C$1800,الريسبي!$A$2:$A$1800,$A90,الريسبي!$B$2:$B$1800,F$1)</f>
        <v>0</v>
      </c>
      <c r="G90" s="117" t="n">
        <f aca="false">SUMIFS(الريسبي!$C$2:$C$1800,الريسبي!$A$2:$A$1800,$A90,الريسبي!$B$2:$B$1800,G$1)</f>
        <v>0</v>
      </c>
      <c r="H90" s="117" t="n">
        <f aca="false">SUMIFS(الريسبي!$C$2:$C$1800,الريسبي!$A$2:$A$1800,$A90,الريسبي!$B$2:$B$1800,H$1)</f>
        <v>0</v>
      </c>
      <c r="I90" s="117" t="n">
        <f aca="false">SUMIFS(الريسبي!$C$2:$C$1800,الريسبي!$A$2:$A$1800,$A90,الريسبي!$B$2:$B$1800,I$1)</f>
        <v>0</v>
      </c>
      <c r="J90" s="117" t="n">
        <f aca="false">SUMIFS(الريسبي!$C$2:$C$1800,الريسبي!$A$2:$A$1800,$A90,الريسبي!$B$2:$B$1800,J$1)</f>
        <v>0</v>
      </c>
      <c r="K90" s="117" t="n">
        <f aca="false">SUMIFS(الريسبي!$C$2:$C$1800,الريسبي!$A$2:$A$1800,$A90,الريسبي!$B$2:$B$1800,K$1)</f>
        <v>1.5</v>
      </c>
      <c r="L90" s="117" t="n">
        <f aca="false">SUMIFS(الريسبي!$C$2:$C$1800,الريسبي!$A$2:$A$1800,$A90,الريسبي!$B$2:$B$1800,L$1)</f>
        <v>0</v>
      </c>
      <c r="M90" s="117" t="n">
        <f aca="false">SUMIFS(الريسبي!$C$2:$C$1800,الريسبي!$A$2:$A$1800,$A90,الريسبي!$B$2:$B$1800,M$1)</f>
        <v>0</v>
      </c>
      <c r="N90" s="117" t="n">
        <f aca="false">SUMIFS(الريسبي!$C$2:$C$1800,الريسبي!$A$2:$A$1800,$A90,الريسبي!$B$2:$B$1800,N$1)</f>
        <v>0</v>
      </c>
      <c r="O90" s="117" t="n">
        <f aca="false">SUMIFS(الريسبي!$C$2:$C$1800,الريسبي!$A$2:$A$1800,$A90,الريسبي!$B$2:$B$1800,O$1)</f>
        <v>0</v>
      </c>
      <c r="P90" s="117" t="n">
        <f aca="false">SUMIFS(الريسبي!$C$2:$C$1800,الريسبي!$A$2:$A$1800,$A90,الريسبي!$B$2:$B$1800,P$1)</f>
        <v>0</v>
      </c>
      <c r="Q90" s="117" t="n">
        <f aca="false">SUMIFS(الريسبي!$C$2:$C$1800,الريسبي!$A$2:$A$1800,$A90,الريسبي!$B$2:$B$1800,Q$1)</f>
        <v>0</v>
      </c>
      <c r="R90" s="117" t="n">
        <f aca="false">SUMIFS(الريسبي!$C$2:$C$1800,الريسبي!$A$2:$A$1800,$A90,الريسبي!$B$2:$B$1800,R$1)</f>
        <v>0</v>
      </c>
      <c r="S90" s="117" t="n">
        <f aca="false">SUMIFS(الريسبي!$C$2:$C$1800,الريسبي!$A$2:$A$1800,$A90,الريسبي!$B$2:$B$1800,S$1)</f>
        <v>0</v>
      </c>
      <c r="T90" s="117" t="n">
        <f aca="false">SUMIFS(الريسبي!$C$2:$C$1800,الريسبي!$A$2:$A$1800,$A90,الريسبي!$B$2:$B$1800,T$1)</f>
        <v>0</v>
      </c>
      <c r="U90" s="117" t="n">
        <f aca="false">SUMIFS(الريسبي!$C$2:$C$1800,الريسبي!$A$2:$A$1800,$A90,الريسبي!$B$2:$B$1800,U$1)</f>
        <v>0</v>
      </c>
      <c r="V90" s="117" t="n">
        <f aca="false">SUMIFS(الريسبي!$C$2:$C$1800,الريسبي!$A$2:$A$1800,$A90,الريسبي!$B$2:$B$1800,V$1)+1.5*(SUMIFS(الريسبي!$C$2:$C$1800,الريسبي!$A$2:$A$1800,$A90,الريسبي!$B$2:$B$1800,"برسيون موتزريلا بيتزا كبير"))</f>
        <v>0</v>
      </c>
      <c r="W90" s="117" t="n">
        <f aca="false">0</f>
        <v>0</v>
      </c>
      <c r="X90" s="117" t="n">
        <f aca="false">SUMIFS(الريسبي!$C$2:$C$1800,الريسبي!$A$2:$A$1800,$A90,الريسبي!$B$2:$B$1800,X$1)+1.5*(SUMIFS(الريسبي!$C$2:$C$1800,الريسبي!$A$2:$A$1800,$A90,الريسبي!$B$2:$B$1800,"برسيون موتزريلا فطير كبير"))</f>
        <v>1.5</v>
      </c>
      <c r="Y90" s="117" t="n">
        <f aca="false">0</f>
        <v>0</v>
      </c>
      <c r="Z90" s="117" t="n">
        <f aca="false">SUMIFS(الريسبي!$C$2:$C$1800,الريسبي!$A$2:$A$1800,$A90,الريسبي!$B$2:$B$1800,Z$1)</f>
        <v>0</v>
      </c>
      <c r="AA90" s="117" t="n">
        <f aca="false">SUMIFS(الريسبي!$C$2:$C$1800,الريسبي!$A$2:$A$1800,$A90,الريسبي!$B$2:$B$1800,AA$1)</f>
        <v>0</v>
      </c>
      <c r="AB90" s="117" t="n">
        <f aca="false">SUMIFS(الريسبي!$C$2:$C$1800,الريسبي!$A$2:$A$1800,$A90,الريسبي!$B$2:$B$1800,AB$1)</f>
        <v>0</v>
      </c>
      <c r="AC90" s="117" t="n">
        <f aca="false">SUMIFS(الريسبي!$C$2:$C$1800,الريسبي!$A$2:$A$1800,$A90,الريسبي!$B$2:$B$1800,AC$1)</f>
        <v>0</v>
      </c>
      <c r="AD90" s="117" t="n">
        <f aca="false">SUMIFS(الريسبي!$C$2:$C$1800,الريسبي!$A$2:$A$1800,$A90,الريسبي!$B$2:$B$1800,AD$1)</f>
        <v>0</v>
      </c>
      <c r="AE90" s="117" t="n">
        <f aca="false">SUMIFS(الريسبي!$C$2:$C$1800,الريسبي!$A$2:$A$1800,$A90,الريسبي!$B$2:$B$1800,AE$1)</f>
        <v>0</v>
      </c>
      <c r="AF90" s="117" t="n">
        <f aca="false">SUMIFS(الريسبي!$C$2:$C$1800,الريسبي!$A$2:$A$1800,$A90,الريسبي!$B$2:$B$1800,AF$1)</f>
        <v>0</v>
      </c>
      <c r="AG90" s="117" t="n">
        <f aca="false">SUMIFS(الريسبي!$C$2:$C$1800,الريسبي!$A$2:$A$1800,$A90,الريسبي!$B$2:$B$1800,AG$1)</f>
        <v>0</v>
      </c>
      <c r="AH90" s="117" t="n">
        <f aca="false">SUMIFS(الريسبي!$C$2:$C$1800,الريسبي!$A$2:$A$1800,$A90,الريسبي!$B$2:$B$1800,AH$1)</f>
        <v>0</v>
      </c>
      <c r="AI90" s="117" t="n">
        <f aca="false">SUMIFS(الريسبي!$C$2:$C$1800,الريسبي!$A$2:$A$1800,$A90,الريسبي!$B$2:$B$1800,AI$1)</f>
        <v>0</v>
      </c>
      <c r="AJ90" s="117" t="n">
        <f aca="false">SUMIFS(الريسبي!$C$2:$C$1800,الريسبي!$A$2:$A$1800,$A90,الريسبي!$B$2:$B$1800,AJ$1)</f>
        <v>2</v>
      </c>
      <c r="AK90" s="117" t="n">
        <f aca="false">SUMIFS(الريسبي!$C$2:$C$1800,الريسبي!$A$2:$A$1800,$A90,الريسبي!$B$2:$B$1800,AK$1)</f>
        <v>0</v>
      </c>
      <c r="AL90" s="117" t="n">
        <f aca="false">SUMIFS(الريسبي!$C$2:$C$1800,الريسبي!$A$2:$A$1800,$A90,الريسبي!$B$2:$B$1800,AL$1)</f>
        <v>0</v>
      </c>
      <c r="AM90" s="117" t="n">
        <f aca="false">SUMIFS(الريسبي!$C$2:$C$1800,الريسبي!$A$2:$A$1800,$A90,الريسبي!$B$2:$B$1800,AM$1)+0.08333333333*SUMIFS(الريسبي!$C$2:$C$1800,الريسبي!$A$2:$A$1800,$A90,الريسبي!$B$2:$B$1800,"عجين كريب (مصنع بالمطعم)")+0.08333333333*SUMIFS(الريسبي!$C$2:$C$1800,الريسبي!$A$2:$A$1800,$A90,الريسبي!$B$2:$B$1800,"عجين كريب صيامي (بدون لبن)")</f>
        <v>0</v>
      </c>
      <c r="AN90" s="117" t="n">
        <f aca="false">SUMIFS(الريسبي!$C$2:$C$1800,الريسبي!$A$2:$A$1800,$A90,الريسبي!$B$2:$B$1800,AN$1)+0.004166666667*SUMIFS(الريسبي!$C$2:$C$1800,الريسبي!$A$2:$A$1800,$A90,الريسبي!$B$2:$B$1800,"عجين كريب (مصنع بالمطعم)")+0.004166666667*SUMIFS(الريسبي!$C$2:$C$1800,الريسبي!$A$2:$A$1800,$A90,الريسبي!$B$2:$B$1800,"عجين كريب صيامي (بدون لبن)")</f>
        <v>0</v>
      </c>
      <c r="AO90" s="117" t="n">
        <f aca="false">SUMIFS(الريسبي!$C$2:$C$1800,الريسبي!$A$2:$A$1800,$A90,الريسبي!$B$2:$B$1800,AO$1)</f>
        <v>0</v>
      </c>
      <c r="AP90" s="117" t="n">
        <f aca="false">SUMIFS(الريسبي!$C$2:$C$1800,الريسبي!$A$2:$A$1800,$A90,الريسبي!$B$2:$B$1800,AP$1)</f>
        <v>0.03</v>
      </c>
      <c r="AQ90" s="117" t="n">
        <f aca="false">SUMIFS(الريسبي!$C$2:$C$1800,الريسبي!$A$2:$A$1800,$A90,الريسبي!$B$2:$B$1800,AQ$1)+0.004166666667*SUMIFS(الريسبي!$C$2:$C$1800,الريسبي!$A$2:$A$1800,$A90,الريسبي!$B$2:$B$1800,"عجين كريب (مصنع بالمطعم)")+0.004166666667*SUMIFS(الريسبي!$C$2:$C$1800,الريسبي!$A$2:$A$1800,$A90,الريسبي!$B$2:$B$1800,"عجين كريب صيامي (بدون لبن)")</f>
        <v>0</v>
      </c>
      <c r="AR90" s="117" t="n">
        <f aca="false">SUMIFS(الريسبي!$C$2:$C$1800,الريسبي!$A$2:$A$1800,$A90,الريسبي!$B$2:$B$1800,AR$1)</f>
        <v>0</v>
      </c>
      <c r="AS90" s="117" t="n">
        <f aca="false">SUMIFS(الريسبي!$C$2:$C$1800,الريسبي!$A$2:$A$1800,$A90,الريسبي!$B$2:$B$1800,AS$1)</f>
        <v>0</v>
      </c>
      <c r="AT90" s="117" t="n">
        <f aca="false">SUMIFS(الريسبي!$C$2:$C$1800,الريسبي!$A$2:$A$1800,$A90,الريسبي!$B$2:$B$1800,AT$1)</f>
        <v>0</v>
      </c>
      <c r="AU90" s="117" t="n">
        <f aca="false">SUMIFS(الريسبي!$C$2:$C$1800,الريسبي!$A$2:$A$1800,$A90,الريسبي!$B$2:$B$1800,AU$1)</f>
        <v>0</v>
      </c>
      <c r="AV90" s="117" t="n">
        <f aca="false">SUMIFS(الريسبي!$C$2:$C$1800,الريسبي!$A$2:$A$1800,$A90,الريسبي!$B$2:$B$1800,AV$1)</f>
        <v>0</v>
      </c>
      <c r="AW90" s="117" t="n">
        <f aca="false">SUMIFS(الريسبي!$C$2:$C$1800,الريسبي!$A$2:$A$1800,$A90,الريسبي!$B$2:$B$1800,AW$1)</f>
        <v>0</v>
      </c>
      <c r="AX90" s="117" t="n">
        <f aca="false">SUMIFS(الريسبي!$C$2:$C$1800,الريسبي!$A$2:$A$1800,$A90,الريسبي!$B$2:$B$1800,AX$1)</f>
        <v>0.06</v>
      </c>
      <c r="AY90" s="117" t="n">
        <f aca="false">SUMIFS(الريسبي!$C$2:$C$1800,الريسبي!$A$2:$A$1800,$A90,الريسبي!$B$2:$B$1800,AY$1)</f>
        <v>0</v>
      </c>
      <c r="AZ90" s="117" t="n">
        <f aca="false">SUMIFS(الريسبي!$C$2:$C$1800,الريسبي!$A$2:$A$1800,$A90,الريسبي!$B$2:$B$1800,AZ$1)</f>
        <v>0</v>
      </c>
      <c r="BA90" s="117" t="n">
        <f aca="false">SUMIFS(الريسبي!$C$2:$C$1800,الريسبي!$A$2:$A$1800,$A90,الريسبي!$B$2:$B$1800,BA$1)</f>
        <v>0</v>
      </c>
      <c r="BB90" s="117" t="n">
        <f aca="false">SUMIFS(الريسبي!$C$2:$C$1800,الريسبي!$A$2:$A$1800,$A90,الريسبي!$B$2:$B$1800,BB$1)</f>
        <v>0</v>
      </c>
      <c r="BC90" s="117" t="n">
        <f aca="false">SUMIFS(الريسبي!$C$2:$C$1800,الريسبي!$A$2:$A$1800,$A90,الريسبي!$B$2:$B$1800,BC$1)</f>
        <v>0.045</v>
      </c>
      <c r="BD90" s="117" t="n">
        <f aca="false">SUMIFS(الريسبي!$C$2:$C$1800,الريسبي!$A$2:$A$1800,$A90,الريسبي!$B$2:$B$1800,BD$1)</f>
        <v>0.3</v>
      </c>
      <c r="BE90" s="117" t="n">
        <f aca="false">SUMIFS(الريسبي!$C$2:$C$1800,الريسبي!$A$2:$A$1800,$A90,الريسبي!$B$2:$B$1800,BE$1)</f>
        <v>0</v>
      </c>
      <c r="BF90" s="117" t="n">
        <f aca="false">SUMIFS(الريسبي!$C$2:$C$1800,الريسبي!$A$2:$A$1800,$A90,الريسبي!$B$2:$B$1800,BF$1)</f>
        <v>0</v>
      </c>
      <c r="BG90" s="117" t="n">
        <f aca="false">SUMIFS(الريسبي!$C$2:$C$1800,الريسبي!$A$2:$A$1800,$A90,الريسبي!$B$2:$B$1800,BG$1)</f>
        <v>1</v>
      </c>
      <c r="BH90" s="117" t="n">
        <f aca="false">SUMIFS(الريسبي!$C$2:$C$1800,الريسبي!$A$2:$A$1800,$A90,الريسبي!$B$2:$B$1800,BH$1)</f>
        <v>0</v>
      </c>
      <c r="BI90" s="117" t="n">
        <f aca="false">SUMIFS(الريسبي!$C$2:$C$1800,الريسبي!$A$2:$A$1800,$A90,الريسبي!$B$2:$B$1800,BI$1)</f>
        <v>0</v>
      </c>
      <c r="BJ90" s="117" t="n">
        <f aca="false">SUMIFS(الريسبي!$C$2:$C$1800,الريسبي!$A$2:$A$1800,$A90,الريسبي!$B$2:$B$1800,BJ$1)</f>
        <v>0</v>
      </c>
      <c r="BK90" s="117" t="n">
        <f aca="false">SUMIFS(الريسبي!$C$2:$C$1800,الريسبي!$A$2:$A$1800,$A90,الريسبي!$B$2:$B$1800,BK$1)</f>
        <v>0</v>
      </c>
      <c r="BL90" s="117" t="n">
        <f aca="false">SUMIFS(الريسبي!$C$2:$C$1800,الريسبي!$A$2:$A$1800,$A90,الريسبي!$B$2:$B$1800,BL$1)</f>
        <v>0</v>
      </c>
      <c r="BM90" s="117" t="n">
        <f aca="false">SUMIFS(الريسبي!$C$2:$C$1800,الريسبي!$A$2:$A$1800,$A90,الريسبي!$B$2:$B$1800,BM$1)</f>
        <v>0</v>
      </c>
      <c r="BN90" s="117" t="n">
        <f aca="false">SUMIFS(الريسبي!$C$2:$C$1800,الريسبي!$A$2:$A$1800,$A90,الريسبي!$B$2:$B$1800,BN$1)</f>
        <v>0.03</v>
      </c>
      <c r="BO90" s="117" t="n">
        <f aca="false">SUMIFS(الريسبي!$C$2:$C$1800,الريسبي!$A$2:$A$1800,$A90,الريسبي!$B$2:$B$1800,BO$1)</f>
        <v>0</v>
      </c>
      <c r="BP90" s="117" t="n">
        <f aca="false">SUMIFS(الريسبي!$C$2:$C$1800,الريسبي!$A$2:$A$1800,$A90,الريسبي!$B$2:$B$1800,BP$1)</f>
        <v>3</v>
      </c>
      <c r="BQ90" s="117" t="n">
        <f aca="false">SUMIFS(الريسبي!$C$2:$C$1800,الريسبي!$A$2:$A$1800,$A90,الريسبي!$B$2:$B$1800,BQ$1)+0.17*SUMIFS(الريسبي!$C$2:$C$1800,الريسبي!$A$2:$A$1800,$A90,الريسبي!$B$2:$B$1800,"كاسترد مصنع (خليط بودر + لبن)")+0.17*SUMIFS(الريسبي!$C$2:$C$1800,الريسبي!$A$2:$A$1800,$A90,الريسبي!$B$2:$B$1800,"كاسترد مصنع صيامي (بدون لبن)")</f>
        <v>0</v>
      </c>
      <c r="BR90" s="117" t="n">
        <f aca="false">SUMIFS(الريسبي!$C$2:$C$1800,الريسبي!$A$2:$A$1800,$A90,الريسبي!$B$2:$B$1800,BR$1)</f>
        <v>1</v>
      </c>
      <c r="BS90" s="117" t="n">
        <f aca="false">SUMIFS(الريسبي!$C$2:$C$1800,الريسبي!$A$2:$A$1800,$A90,الريسبي!$B$2:$B$1800,BS$1)</f>
        <v>0</v>
      </c>
      <c r="BT90" s="117" t="n">
        <f aca="false">SUMIFS(الريسبي!$C$2:$C$1800,الريسبي!$A$2:$A$1800,$A90,الريسبي!$B$2:$B$1800,BT$1)</f>
        <v>0</v>
      </c>
      <c r="BU90" s="117" t="n">
        <f aca="false">SUMIFS(الريسبي!$C$2:$C$1800,الريسبي!$A$2:$A$1800,$A90,الريسبي!$B$2:$B$1800,BU$1)+0.4*SUMIFS(الريسبي!$C$2:$C$1800,الريسبي!$A$2:$A$1800,$A90,الريسبي!$B$2:$B$1800,"كاسترد مصنع (خليط بودر + لبن)")+0.03333333333*SUMIFS(الريسبي!$C$2:$C$1800,الريسبي!$A$2:$A$1800,$A90,الريسبي!$B$2:$B$1800,"عجين كريب (مصنع بالمطعم)")</f>
        <v>0</v>
      </c>
      <c r="BV90" s="117" t="n">
        <f aca="false">SUMIFS(الريسبي!$C$2:$C$1800,الريسبي!$A$2:$A$1800,$A90,الريسبي!$B$2:$B$1800,BV$1)</f>
        <v>0</v>
      </c>
      <c r="BW90" s="117" t="n">
        <f aca="false">SUMIFS(الريسبي!$C$2:$C$1800,الريسبي!$A$2:$A$1800,$A90,الريسبي!$B$2:$B$1800,BW$1)</f>
        <v>0</v>
      </c>
      <c r="BX90" s="117" t="n">
        <f aca="false">SUMIFS(الريسبي!$C$2:$C$1800,الريسبي!$A$2:$A$1800,$A90,الريسبي!$B$2:$B$1800,BX$1)</f>
        <v>0</v>
      </c>
      <c r="BY90" s="117" t="n">
        <f aca="false">SUMIFS(الريسبي!$C$2:$C$1800,الريسبي!$A$2:$A$1800,$A90,الريسبي!$B$2:$B$1800,BY$1)</f>
        <v>0</v>
      </c>
      <c r="BZ90" s="117" t="n">
        <f aca="false">SUMIFS(الريسبي!$C$2:$C$1800,الريسبي!$A$2:$A$1800,$A90,الريسبي!$B$2:$B$1800,BZ$1)</f>
        <v>0</v>
      </c>
      <c r="CA90" s="117" t="n">
        <f aca="false">SUMIFS(الريسبي!$C$2:$C$1800,الريسبي!$A$2:$A$1800,$A90,الريسبي!$B$2:$B$1800,CA$1)</f>
        <v>1</v>
      </c>
      <c r="CB90" s="117" t="n">
        <f aca="false">SUMIFS(الريسبي!$C$2:$C$1800,الريسبي!$A$2:$A$1800,$A90,الريسبي!$B$2:$B$1800,CB$1)</f>
        <v>1</v>
      </c>
      <c r="CC90" s="117" t="n">
        <f aca="false">SUMIFS(الريسبي!$C$2:$C$1800,الريسبي!$A$2:$A$1800,$A90,الريسبي!$B$2:$B$1800,CC$1)</f>
        <v>0</v>
      </c>
      <c r="CD90" s="117" t="n">
        <f aca="false">SUMIFS(الريسبي!$C$2:$C$1800,الريسبي!$A$2:$A$1800,$A90,الريسبي!$B$2:$B$1800,CD$1)</f>
        <v>0</v>
      </c>
      <c r="CE90" s="117" t="n">
        <f aca="false">SUMIFS(الريسبي!$C$2:$C$1800,الريسبي!$A$2:$A$1800,$A90,الريسبي!$B$2:$B$1800,CE$1)</f>
        <v>0</v>
      </c>
      <c r="CF90" s="117" t="n">
        <f aca="false">SUMIFS(الريسبي!$C$2:$C$1800,الريسبي!$A$2:$A$1800,$A90,الريسبي!$B$2:$B$1800,CF$1)</f>
        <v>0</v>
      </c>
      <c r="CG90" s="117" t="n">
        <f aca="false">SUMIFS(الريسبي!$C$2:$C$1800,الريسبي!$A$2:$A$1800,$A90,الريسبي!$B$2:$B$1800,CG$1)</f>
        <v>0</v>
      </c>
      <c r="CH90" s="117" t="n">
        <f aca="false">SUMIFS(الريسبي!$C$2:$C$1800,الريسبي!$A$2:$A$1800,$A90,الريسبي!$B$2:$B$1800,CH$1)</f>
        <v>0</v>
      </c>
      <c r="CI90" s="117" t="n">
        <f aca="false">SUMIFS(الريسبي!$C$2:$C$1800,الريسبي!$A$2:$A$1800,$A90,الريسبي!$B$2:$B$1800,CI$1)</f>
        <v>0</v>
      </c>
      <c r="CJ90" s="117" t="n">
        <f aca="false">SUMIFS(الريسبي!$C$2:$C$1800,الريسبي!$A$2:$A$1800,$A90,الريسبي!$B$2:$B$1800,CJ$1)</f>
        <v>0</v>
      </c>
      <c r="CK90" s="117" t="n">
        <f aca="false">SUMIFS(الريسبي!$C$2:$C$1800,الريسبي!$A$2:$A$1800,$A90,الريسبي!$B$2:$B$1800,CK$1)</f>
        <v>0</v>
      </c>
      <c r="CL90" s="117" t="n">
        <f aca="false">SUMIFS(الريسبي!$C$2:$C$1800,الريسبي!$A$2:$A$1800,$A90,الريسبي!$B$2:$B$1800,CL$1)</f>
        <v>0</v>
      </c>
    </row>
    <row r="91" customFormat="false" ht="15" hidden="false" customHeight="false" outlineLevel="0" collapsed="false">
      <c r="A91" s="116" t="str">
        <f aca="false">المنيو!B91</f>
        <v>بيتزا تونة صيامي وسط</v>
      </c>
      <c r="B91" s="117" t="n">
        <f aca="false">SUMIFS(الريسبي!$C$2:$C$1800,الريسبي!$A$2:$A$1800,$A91,الريسبي!$B$2:$B$1800,B$1)</f>
        <v>0</v>
      </c>
      <c r="C91" s="117" t="n">
        <f aca="false">SUMIFS(الريسبي!$C$2:$C$1800,الريسبي!$A$2:$A$1800,$A91,الريسبي!$B$2:$B$1800,C$1)</f>
        <v>0</v>
      </c>
      <c r="D91" s="117" t="n">
        <f aca="false">SUMIFS(الريسبي!$C$2:$C$1800,الريسبي!$A$2:$A$1800,$A91,الريسبي!$B$2:$B$1800,D$1)</f>
        <v>1</v>
      </c>
      <c r="E91" s="117" t="n">
        <f aca="false">SUMIFS(الريسبي!$C$2:$C$1800,الريسبي!$A$2:$A$1800,$A91,الريسبي!$B$2:$B$1800,E$1)</f>
        <v>0</v>
      </c>
      <c r="F91" s="117" t="n">
        <f aca="false">SUMIFS(الريسبي!$C$2:$C$1800,الريسبي!$A$2:$A$1800,$A91,الريسبي!$B$2:$B$1800,F$1)</f>
        <v>0</v>
      </c>
      <c r="G91" s="117" t="n">
        <f aca="false">SUMIFS(الريسبي!$C$2:$C$1800,الريسبي!$A$2:$A$1800,$A91,الريسبي!$B$2:$B$1800,G$1)</f>
        <v>0</v>
      </c>
      <c r="H91" s="117" t="n">
        <f aca="false">SUMIFS(الريسبي!$C$2:$C$1800,الريسبي!$A$2:$A$1800,$A91,الريسبي!$B$2:$B$1800,H$1)</f>
        <v>0</v>
      </c>
      <c r="I91" s="117" t="n">
        <f aca="false">SUMIFS(الريسبي!$C$2:$C$1800,الريسبي!$A$2:$A$1800,$A91,الريسبي!$B$2:$B$1800,I$1)</f>
        <v>0</v>
      </c>
      <c r="J91" s="117" t="n">
        <f aca="false">SUMIFS(الريسبي!$C$2:$C$1800,الريسبي!$A$2:$A$1800,$A91,الريسبي!$B$2:$B$1800,J$1)</f>
        <v>0</v>
      </c>
      <c r="K91" s="117" t="n">
        <f aca="false">SUMIFS(الريسبي!$C$2:$C$1800,الريسبي!$A$2:$A$1800,$A91,الريسبي!$B$2:$B$1800,K$1)</f>
        <v>0</v>
      </c>
      <c r="L91" s="117" t="n">
        <f aca="false">SUMIFS(الريسبي!$C$2:$C$1800,الريسبي!$A$2:$A$1800,$A91,الريسبي!$B$2:$B$1800,L$1)</f>
        <v>0</v>
      </c>
      <c r="M91" s="117" t="n">
        <f aca="false">SUMIFS(الريسبي!$C$2:$C$1800,الريسبي!$A$2:$A$1800,$A91,الريسبي!$B$2:$B$1800,M$1)</f>
        <v>0</v>
      </c>
      <c r="N91" s="117" t="n">
        <f aca="false">SUMIFS(الريسبي!$C$2:$C$1800,الريسبي!$A$2:$A$1800,$A91,الريسبي!$B$2:$B$1800,N$1)</f>
        <v>0</v>
      </c>
      <c r="O91" s="117" t="n">
        <f aca="false">SUMIFS(الريسبي!$C$2:$C$1800,الريسبي!$A$2:$A$1800,$A91,الريسبي!$B$2:$B$1800,O$1)</f>
        <v>0</v>
      </c>
      <c r="P91" s="117" t="n">
        <f aca="false">SUMIFS(الريسبي!$C$2:$C$1800,الريسبي!$A$2:$A$1800,$A91,الريسبي!$B$2:$B$1800,P$1)</f>
        <v>0</v>
      </c>
      <c r="Q91" s="117" t="n">
        <f aca="false">SUMIFS(الريسبي!$C$2:$C$1800,الريسبي!$A$2:$A$1800,$A91,الريسبي!$B$2:$B$1800,Q$1)</f>
        <v>0</v>
      </c>
      <c r="R91" s="117" t="n">
        <f aca="false">SUMIFS(الريسبي!$C$2:$C$1800,الريسبي!$A$2:$A$1800,$A91,الريسبي!$B$2:$B$1800,R$1)</f>
        <v>0</v>
      </c>
      <c r="S91" s="117" t="n">
        <f aca="false">SUMIFS(الريسبي!$C$2:$C$1800,الريسبي!$A$2:$A$1800,$A91,الريسبي!$B$2:$B$1800,S$1)</f>
        <v>0</v>
      </c>
      <c r="T91" s="117" t="n">
        <f aca="false">SUMIFS(الريسبي!$C$2:$C$1800,الريسبي!$A$2:$A$1800,$A91,الريسبي!$B$2:$B$1800,T$1)</f>
        <v>0</v>
      </c>
      <c r="U91" s="117" t="n">
        <f aca="false">SUMIFS(الريسبي!$C$2:$C$1800,الريسبي!$A$2:$A$1800,$A91,الريسبي!$B$2:$B$1800,U$1)</f>
        <v>0</v>
      </c>
      <c r="V91" s="117" t="n">
        <f aca="false">SUMIFS(الريسبي!$C$2:$C$1800,الريسبي!$A$2:$A$1800,$A91,الريسبي!$B$2:$B$1800,V$1)+1.5*(SUMIFS(الريسبي!$C$2:$C$1800,الريسبي!$A$2:$A$1800,$A91,الريسبي!$B$2:$B$1800,"برسيون موتزريلا بيتزا كبير"))</f>
        <v>0</v>
      </c>
      <c r="W91" s="117" t="n">
        <f aca="false">0</f>
        <v>0</v>
      </c>
      <c r="X91" s="117" t="n">
        <f aca="false">SUMIFS(الريسبي!$C$2:$C$1800,الريسبي!$A$2:$A$1800,$A91,الريسبي!$B$2:$B$1800,X$1)+1.5*(SUMIFS(الريسبي!$C$2:$C$1800,الريسبي!$A$2:$A$1800,$A91,الريسبي!$B$2:$B$1800,"برسيون موتزريلا فطير كبير"))</f>
        <v>1</v>
      </c>
      <c r="Y91" s="117" t="n">
        <f aca="false">0</f>
        <v>0</v>
      </c>
      <c r="Z91" s="117" t="n">
        <f aca="false">SUMIFS(الريسبي!$C$2:$C$1800,الريسبي!$A$2:$A$1800,$A91,الريسبي!$B$2:$B$1800,Z$1)</f>
        <v>0</v>
      </c>
      <c r="AA91" s="117" t="n">
        <f aca="false">SUMIFS(الريسبي!$C$2:$C$1800,الريسبي!$A$2:$A$1800,$A91,الريسبي!$B$2:$B$1800,AA$1)</f>
        <v>0</v>
      </c>
      <c r="AB91" s="117" t="n">
        <f aca="false">SUMIFS(الريسبي!$C$2:$C$1800,الريسبي!$A$2:$A$1800,$A91,الريسبي!$B$2:$B$1800,AB$1)</f>
        <v>0</v>
      </c>
      <c r="AC91" s="117" t="n">
        <f aca="false">SUMIFS(الريسبي!$C$2:$C$1800,الريسبي!$A$2:$A$1800,$A91,الريسبي!$B$2:$B$1800,AC$1)</f>
        <v>0</v>
      </c>
      <c r="AD91" s="117" t="n">
        <f aca="false">SUMIFS(الريسبي!$C$2:$C$1800,الريسبي!$A$2:$A$1800,$A91,الريسبي!$B$2:$B$1800,AD$1)</f>
        <v>0</v>
      </c>
      <c r="AE91" s="117" t="n">
        <f aca="false">SUMIFS(الريسبي!$C$2:$C$1800,الريسبي!$A$2:$A$1800,$A91,الريسبي!$B$2:$B$1800,AE$1)</f>
        <v>0</v>
      </c>
      <c r="AF91" s="117" t="n">
        <f aca="false">SUMIFS(الريسبي!$C$2:$C$1800,الريسبي!$A$2:$A$1800,$A91,الريسبي!$B$2:$B$1800,AF$1)</f>
        <v>0</v>
      </c>
      <c r="AG91" s="117" t="n">
        <f aca="false">SUMIFS(الريسبي!$C$2:$C$1800,الريسبي!$A$2:$A$1800,$A91,الريسبي!$B$2:$B$1800,AG$1)</f>
        <v>0</v>
      </c>
      <c r="AH91" s="117" t="n">
        <f aca="false">SUMIFS(الريسبي!$C$2:$C$1800,الريسبي!$A$2:$A$1800,$A91,الريسبي!$B$2:$B$1800,AH$1)</f>
        <v>0</v>
      </c>
      <c r="AI91" s="117" t="n">
        <f aca="false">SUMIFS(الريسبي!$C$2:$C$1800,الريسبي!$A$2:$A$1800,$A91,الريسبي!$B$2:$B$1800,AI$1)</f>
        <v>0</v>
      </c>
      <c r="AJ91" s="117" t="n">
        <f aca="false">SUMIFS(الريسبي!$C$2:$C$1800,الريسبي!$A$2:$A$1800,$A91,الريسبي!$B$2:$B$1800,AJ$1)</f>
        <v>2</v>
      </c>
      <c r="AK91" s="117" t="n">
        <f aca="false">SUMIFS(الريسبي!$C$2:$C$1800,الريسبي!$A$2:$A$1800,$A91,الريسبي!$B$2:$B$1800,AK$1)</f>
        <v>0</v>
      </c>
      <c r="AL91" s="117" t="n">
        <f aca="false">SUMIFS(الريسبي!$C$2:$C$1800,الريسبي!$A$2:$A$1800,$A91,الريسبي!$B$2:$B$1800,AL$1)</f>
        <v>0</v>
      </c>
      <c r="AM91" s="117" t="n">
        <f aca="false">SUMIFS(الريسبي!$C$2:$C$1800,الريسبي!$A$2:$A$1800,$A91,الريسبي!$B$2:$B$1800,AM$1)+0.08333333333*SUMIFS(الريسبي!$C$2:$C$1800,الريسبي!$A$2:$A$1800,$A91,الريسبي!$B$2:$B$1800,"عجين كريب (مصنع بالمطعم)")+0.08333333333*SUMIFS(الريسبي!$C$2:$C$1800,الريسبي!$A$2:$A$1800,$A91,الريسبي!$B$2:$B$1800,"عجين كريب صيامي (بدون لبن)")</f>
        <v>0</v>
      </c>
      <c r="AN91" s="117" t="n">
        <f aca="false">SUMIFS(الريسبي!$C$2:$C$1800,الريسبي!$A$2:$A$1800,$A91,الريسبي!$B$2:$B$1800,AN$1)+0.004166666667*SUMIFS(الريسبي!$C$2:$C$1800,الريسبي!$A$2:$A$1800,$A91,الريسبي!$B$2:$B$1800,"عجين كريب (مصنع بالمطعم)")+0.004166666667*SUMIFS(الريسبي!$C$2:$C$1800,الريسبي!$A$2:$A$1800,$A91,الريسبي!$B$2:$B$1800,"عجين كريب صيامي (بدون لبن)")</f>
        <v>0</v>
      </c>
      <c r="AO91" s="117" t="n">
        <f aca="false">SUMIFS(الريسبي!$C$2:$C$1800,الريسبي!$A$2:$A$1800,$A91,الريسبي!$B$2:$B$1800,AO$1)</f>
        <v>0</v>
      </c>
      <c r="AP91" s="117" t="n">
        <f aca="false">SUMIFS(الريسبي!$C$2:$C$1800,الريسبي!$A$2:$A$1800,$A91,الريسبي!$B$2:$B$1800,AP$1)</f>
        <v>0.02</v>
      </c>
      <c r="AQ91" s="117" t="n">
        <f aca="false">SUMIFS(الريسبي!$C$2:$C$1800,الريسبي!$A$2:$A$1800,$A91,الريسبي!$B$2:$B$1800,AQ$1)+0.004166666667*SUMIFS(الريسبي!$C$2:$C$1800,الريسبي!$A$2:$A$1800,$A91,الريسبي!$B$2:$B$1800,"عجين كريب (مصنع بالمطعم)")+0.004166666667*SUMIFS(الريسبي!$C$2:$C$1800,الريسبي!$A$2:$A$1800,$A91,الريسبي!$B$2:$B$1800,"عجين كريب صيامي (بدون لبن)")</f>
        <v>0</v>
      </c>
      <c r="AR91" s="117" t="n">
        <f aca="false">SUMIFS(الريسبي!$C$2:$C$1800,الريسبي!$A$2:$A$1800,$A91,الريسبي!$B$2:$B$1800,AR$1)</f>
        <v>0</v>
      </c>
      <c r="AS91" s="117" t="n">
        <f aca="false">SUMIFS(الريسبي!$C$2:$C$1800,الريسبي!$A$2:$A$1800,$A91,الريسبي!$B$2:$B$1800,AS$1)</f>
        <v>0</v>
      </c>
      <c r="AT91" s="117" t="n">
        <f aca="false">SUMIFS(الريسبي!$C$2:$C$1800,الريسبي!$A$2:$A$1800,$A91,الريسبي!$B$2:$B$1800,AT$1)</f>
        <v>0</v>
      </c>
      <c r="AU91" s="117" t="n">
        <f aca="false">SUMIFS(الريسبي!$C$2:$C$1800,الريسبي!$A$2:$A$1800,$A91,الريسبي!$B$2:$B$1800,AU$1)</f>
        <v>0</v>
      </c>
      <c r="AV91" s="117" t="n">
        <f aca="false">SUMIFS(الريسبي!$C$2:$C$1800,الريسبي!$A$2:$A$1800,$A91,الريسبي!$B$2:$B$1800,AV$1)</f>
        <v>0</v>
      </c>
      <c r="AW91" s="117" t="n">
        <f aca="false">SUMIFS(الريسبي!$C$2:$C$1800,الريسبي!$A$2:$A$1800,$A91,الريسبي!$B$2:$B$1800,AW$1)</f>
        <v>0</v>
      </c>
      <c r="AX91" s="117" t="n">
        <f aca="false">SUMIFS(الريسبي!$C$2:$C$1800,الريسبي!$A$2:$A$1800,$A91,الريسبي!$B$2:$B$1800,AX$1)</f>
        <v>0.04</v>
      </c>
      <c r="AY91" s="117" t="n">
        <f aca="false">SUMIFS(الريسبي!$C$2:$C$1800,الريسبي!$A$2:$A$1800,$A91,الريسبي!$B$2:$B$1800,AY$1)</f>
        <v>0</v>
      </c>
      <c r="AZ91" s="117" t="n">
        <f aca="false">SUMIFS(الريسبي!$C$2:$C$1800,الريسبي!$A$2:$A$1800,$A91,الريسبي!$B$2:$B$1800,AZ$1)</f>
        <v>0</v>
      </c>
      <c r="BA91" s="117" t="n">
        <f aca="false">SUMIFS(الريسبي!$C$2:$C$1800,الريسبي!$A$2:$A$1800,$A91,الريسبي!$B$2:$B$1800,BA$1)</f>
        <v>0</v>
      </c>
      <c r="BB91" s="117" t="n">
        <f aca="false">SUMIFS(الريسبي!$C$2:$C$1800,الريسبي!$A$2:$A$1800,$A91,الريسبي!$B$2:$B$1800,BB$1)</f>
        <v>0</v>
      </c>
      <c r="BC91" s="117" t="n">
        <f aca="false">SUMIFS(الريسبي!$C$2:$C$1800,الريسبي!$A$2:$A$1800,$A91,الريسبي!$B$2:$B$1800,BC$1)</f>
        <v>0.03</v>
      </c>
      <c r="BD91" s="117" t="n">
        <f aca="false">SUMIFS(الريسبي!$C$2:$C$1800,الريسبي!$A$2:$A$1800,$A91,الريسبي!$B$2:$B$1800,BD$1)</f>
        <v>0.22</v>
      </c>
      <c r="BE91" s="117" t="n">
        <f aca="false">SUMIFS(الريسبي!$C$2:$C$1800,الريسبي!$A$2:$A$1800,$A91,الريسبي!$B$2:$B$1800,BE$1)</f>
        <v>0</v>
      </c>
      <c r="BF91" s="117" t="n">
        <f aca="false">SUMIFS(الريسبي!$C$2:$C$1800,الريسبي!$A$2:$A$1800,$A91,الريسبي!$B$2:$B$1800,BF$1)</f>
        <v>0</v>
      </c>
      <c r="BG91" s="117" t="n">
        <f aca="false">SUMIFS(الريسبي!$C$2:$C$1800,الريسبي!$A$2:$A$1800,$A91,الريسبي!$B$2:$B$1800,BG$1)</f>
        <v>0</v>
      </c>
      <c r="BH91" s="117" t="n">
        <f aca="false">SUMIFS(الريسبي!$C$2:$C$1800,الريسبي!$A$2:$A$1800,$A91,الريسبي!$B$2:$B$1800,BH$1)</f>
        <v>1</v>
      </c>
      <c r="BI91" s="117" t="n">
        <f aca="false">SUMIFS(الريسبي!$C$2:$C$1800,الريسبي!$A$2:$A$1800,$A91,الريسبي!$B$2:$B$1800,BI$1)</f>
        <v>0</v>
      </c>
      <c r="BJ91" s="117" t="n">
        <f aca="false">SUMIFS(الريسبي!$C$2:$C$1800,الريسبي!$A$2:$A$1800,$A91,الريسبي!$B$2:$B$1800,BJ$1)</f>
        <v>0</v>
      </c>
      <c r="BK91" s="117" t="n">
        <f aca="false">SUMIFS(الريسبي!$C$2:$C$1800,الريسبي!$A$2:$A$1800,$A91,الريسبي!$B$2:$B$1800,BK$1)</f>
        <v>0</v>
      </c>
      <c r="BL91" s="117" t="n">
        <f aca="false">SUMIFS(الريسبي!$C$2:$C$1800,الريسبي!$A$2:$A$1800,$A91,الريسبي!$B$2:$B$1800,BL$1)</f>
        <v>1</v>
      </c>
      <c r="BM91" s="117" t="n">
        <f aca="false">SUMIFS(الريسبي!$C$2:$C$1800,الريسبي!$A$2:$A$1800,$A91,الريسبي!$B$2:$B$1800,BM$1)</f>
        <v>0</v>
      </c>
      <c r="BN91" s="117" t="n">
        <f aca="false">SUMIFS(الريسبي!$C$2:$C$1800,الريسبي!$A$2:$A$1800,$A91,الريسبي!$B$2:$B$1800,BN$1)</f>
        <v>0.02</v>
      </c>
      <c r="BO91" s="117" t="n">
        <f aca="false">SUMIFS(الريسبي!$C$2:$C$1800,الريسبي!$A$2:$A$1800,$A91,الريسبي!$B$2:$B$1800,BO$1)</f>
        <v>0</v>
      </c>
      <c r="BP91" s="117" t="n">
        <f aca="false">SUMIFS(الريسبي!$C$2:$C$1800,الريسبي!$A$2:$A$1800,$A91,الريسبي!$B$2:$B$1800,BP$1)</f>
        <v>2</v>
      </c>
      <c r="BQ91" s="117" t="n">
        <f aca="false">SUMIFS(الريسبي!$C$2:$C$1800,الريسبي!$A$2:$A$1800,$A91,الريسبي!$B$2:$B$1800,BQ$1)+0.17*SUMIFS(الريسبي!$C$2:$C$1800,الريسبي!$A$2:$A$1800,$A91,الريسبي!$B$2:$B$1800,"كاسترد مصنع (خليط بودر + لبن)")+0.17*SUMIFS(الريسبي!$C$2:$C$1800,الريسبي!$A$2:$A$1800,$A91,الريسبي!$B$2:$B$1800,"كاسترد مصنع صيامي (بدون لبن)")</f>
        <v>0</v>
      </c>
      <c r="BR91" s="117" t="n">
        <f aca="false">SUMIFS(الريسبي!$C$2:$C$1800,الريسبي!$A$2:$A$1800,$A91,الريسبي!$B$2:$B$1800,BR$1)</f>
        <v>1</v>
      </c>
      <c r="BS91" s="117" t="n">
        <f aca="false">SUMIFS(الريسبي!$C$2:$C$1800,الريسبي!$A$2:$A$1800,$A91,الريسبي!$B$2:$B$1800,BS$1)</f>
        <v>0</v>
      </c>
      <c r="BT91" s="117" t="n">
        <f aca="false">SUMIFS(الريسبي!$C$2:$C$1800,الريسبي!$A$2:$A$1800,$A91,الريسبي!$B$2:$B$1800,BT$1)</f>
        <v>0</v>
      </c>
      <c r="BU91" s="117" t="n">
        <f aca="false">SUMIFS(الريسبي!$C$2:$C$1800,الريسبي!$A$2:$A$1800,$A91,الريسبي!$B$2:$B$1800,BU$1)+0.4*SUMIFS(الريسبي!$C$2:$C$1800,الريسبي!$A$2:$A$1800,$A91,الريسبي!$B$2:$B$1800,"كاسترد مصنع (خليط بودر + لبن)")+0.03333333333*SUMIFS(الريسبي!$C$2:$C$1800,الريسبي!$A$2:$A$1800,$A91,الريسبي!$B$2:$B$1800,"عجين كريب (مصنع بالمطعم)")</f>
        <v>0</v>
      </c>
      <c r="BV91" s="117" t="n">
        <f aca="false">SUMIFS(الريسبي!$C$2:$C$1800,الريسبي!$A$2:$A$1800,$A91,الريسبي!$B$2:$B$1800,BV$1)</f>
        <v>0</v>
      </c>
      <c r="BW91" s="117" t="n">
        <f aca="false">SUMIFS(الريسبي!$C$2:$C$1800,الريسبي!$A$2:$A$1800,$A91,الريسبي!$B$2:$B$1800,BW$1)</f>
        <v>0</v>
      </c>
      <c r="BX91" s="117" t="n">
        <f aca="false">SUMIFS(الريسبي!$C$2:$C$1800,الريسبي!$A$2:$A$1800,$A91,الريسبي!$B$2:$B$1800,BX$1)</f>
        <v>0</v>
      </c>
      <c r="BY91" s="117" t="n">
        <f aca="false">SUMIFS(الريسبي!$C$2:$C$1800,الريسبي!$A$2:$A$1800,$A91,الريسبي!$B$2:$B$1800,BY$1)</f>
        <v>0</v>
      </c>
      <c r="BZ91" s="117" t="n">
        <f aca="false">SUMIFS(الريسبي!$C$2:$C$1800,الريسبي!$A$2:$A$1800,$A91,الريسبي!$B$2:$B$1800,BZ$1)</f>
        <v>0</v>
      </c>
      <c r="CA91" s="117" t="n">
        <f aca="false">SUMIFS(الريسبي!$C$2:$C$1800,الريسبي!$A$2:$A$1800,$A91,الريسبي!$B$2:$B$1800,CA$1)</f>
        <v>1</v>
      </c>
      <c r="CB91" s="117" t="n">
        <f aca="false">SUMIFS(الريسبي!$C$2:$C$1800,الريسبي!$A$2:$A$1800,$A91,الريسبي!$B$2:$B$1800,CB$1)</f>
        <v>1</v>
      </c>
      <c r="CC91" s="117" t="n">
        <f aca="false">SUMIFS(الريسبي!$C$2:$C$1800,الريسبي!$A$2:$A$1800,$A91,الريسبي!$B$2:$B$1800,CC$1)</f>
        <v>0</v>
      </c>
      <c r="CD91" s="117" t="n">
        <f aca="false">SUMIFS(الريسبي!$C$2:$C$1800,الريسبي!$A$2:$A$1800,$A91,الريسبي!$B$2:$B$1800,CD$1)</f>
        <v>0</v>
      </c>
      <c r="CE91" s="117" t="n">
        <f aca="false">SUMIFS(الريسبي!$C$2:$C$1800,الريسبي!$A$2:$A$1800,$A91,الريسبي!$B$2:$B$1800,CE$1)</f>
        <v>0</v>
      </c>
      <c r="CF91" s="117" t="n">
        <f aca="false">SUMIFS(الريسبي!$C$2:$C$1800,الريسبي!$A$2:$A$1800,$A91,الريسبي!$B$2:$B$1800,CF$1)</f>
        <v>0</v>
      </c>
      <c r="CG91" s="117" t="n">
        <f aca="false">SUMIFS(الريسبي!$C$2:$C$1800,الريسبي!$A$2:$A$1800,$A91,الريسبي!$B$2:$B$1800,CG$1)</f>
        <v>0</v>
      </c>
      <c r="CH91" s="117" t="n">
        <f aca="false">SUMIFS(الريسبي!$C$2:$C$1800,الريسبي!$A$2:$A$1800,$A91,الريسبي!$B$2:$B$1800,CH$1)</f>
        <v>0</v>
      </c>
      <c r="CI91" s="117" t="n">
        <f aca="false">SUMIFS(الريسبي!$C$2:$C$1800,الريسبي!$A$2:$A$1800,$A91,الريسبي!$B$2:$B$1800,CI$1)</f>
        <v>0</v>
      </c>
      <c r="CJ91" s="117" t="n">
        <f aca="false">SUMIFS(الريسبي!$C$2:$C$1800,الريسبي!$A$2:$A$1800,$A91,الريسبي!$B$2:$B$1800,CJ$1)</f>
        <v>0</v>
      </c>
      <c r="CK91" s="117" t="n">
        <f aca="false">SUMIFS(الريسبي!$C$2:$C$1800,الريسبي!$A$2:$A$1800,$A91,الريسبي!$B$2:$B$1800,CK$1)</f>
        <v>0</v>
      </c>
      <c r="CL91" s="117" t="n">
        <f aca="false">SUMIFS(الريسبي!$C$2:$C$1800,الريسبي!$A$2:$A$1800,$A91,الريسبي!$B$2:$B$1800,CL$1)</f>
        <v>0</v>
      </c>
    </row>
    <row r="92" customFormat="false" ht="15" hidden="false" customHeight="false" outlineLevel="0" collapsed="false">
      <c r="A92" s="116" t="str">
        <f aca="false">المنيو!B92</f>
        <v>بيتزا تونة صيامي مخصوص</v>
      </c>
      <c r="B92" s="117" t="n">
        <f aca="false">SUMIFS(الريسبي!$C$2:$C$1800,الريسبي!$A$2:$A$1800,$A92,الريسبي!$B$2:$B$1800,B$1)</f>
        <v>0</v>
      </c>
      <c r="C92" s="117" t="n">
        <f aca="false">SUMIFS(الريسبي!$C$2:$C$1800,الريسبي!$A$2:$A$1800,$A92,الريسبي!$B$2:$B$1800,C$1)</f>
        <v>0</v>
      </c>
      <c r="D92" s="117" t="n">
        <f aca="false">SUMIFS(الريسبي!$C$2:$C$1800,الريسبي!$A$2:$A$1800,$A92,الريسبي!$B$2:$B$1800,D$1)</f>
        <v>1</v>
      </c>
      <c r="E92" s="117" t="n">
        <f aca="false">SUMIFS(الريسبي!$C$2:$C$1800,الريسبي!$A$2:$A$1800,$A92,الريسبي!$B$2:$B$1800,E$1)</f>
        <v>0</v>
      </c>
      <c r="F92" s="117" t="n">
        <f aca="false">SUMIFS(الريسبي!$C$2:$C$1800,الريسبي!$A$2:$A$1800,$A92,الريسبي!$B$2:$B$1800,F$1)</f>
        <v>0</v>
      </c>
      <c r="G92" s="117" t="n">
        <f aca="false">SUMIFS(الريسبي!$C$2:$C$1800,الريسبي!$A$2:$A$1800,$A92,الريسبي!$B$2:$B$1800,G$1)</f>
        <v>0</v>
      </c>
      <c r="H92" s="117" t="n">
        <f aca="false">SUMIFS(الريسبي!$C$2:$C$1800,الريسبي!$A$2:$A$1800,$A92,الريسبي!$B$2:$B$1800,H$1)</f>
        <v>0</v>
      </c>
      <c r="I92" s="117" t="n">
        <f aca="false">SUMIFS(الريسبي!$C$2:$C$1800,الريسبي!$A$2:$A$1800,$A92,الريسبي!$B$2:$B$1800,I$1)</f>
        <v>0</v>
      </c>
      <c r="J92" s="117" t="n">
        <f aca="false">SUMIFS(الريسبي!$C$2:$C$1800,الريسبي!$A$2:$A$1800,$A92,الريسبي!$B$2:$B$1800,J$1)</f>
        <v>0</v>
      </c>
      <c r="K92" s="117" t="n">
        <f aca="false">SUMIFS(الريسبي!$C$2:$C$1800,الريسبي!$A$2:$A$1800,$A92,الريسبي!$B$2:$B$1800,K$1)</f>
        <v>0</v>
      </c>
      <c r="L92" s="117" t="n">
        <f aca="false">SUMIFS(الريسبي!$C$2:$C$1800,الريسبي!$A$2:$A$1800,$A92,الريسبي!$B$2:$B$1800,L$1)</f>
        <v>0</v>
      </c>
      <c r="M92" s="117" t="n">
        <f aca="false">SUMIFS(الريسبي!$C$2:$C$1800,الريسبي!$A$2:$A$1800,$A92,الريسبي!$B$2:$B$1800,M$1)</f>
        <v>0</v>
      </c>
      <c r="N92" s="117" t="n">
        <f aca="false">SUMIFS(الريسبي!$C$2:$C$1800,الريسبي!$A$2:$A$1800,$A92,الريسبي!$B$2:$B$1800,N$1)</f>
        <v>0</v>
      </c>
      <c r="O92" s="117" t="n">
        <f aca="false">SUMIFS(الريسبي!$C$2:$C$1800,الريسبي!$A$2:$A$1800,$A92,الريسبي!$B$2:$B$1800,O$1)</f>
        <v>0</v>
      </c>
      <c r="P92" s="117" t="n">
        <f aca="false">SUMIFS(الريسبي!$C$2:$C$1800,الريسبي!$A$2:$A$1800,$A92,الريسبي!$B$2:$B$1800,P$1)</f>
        <v>0</v>
      </c>
      <c r="Q92" s="117" t="n">
        <f aca="false">SUMIFS(الريسبي!$C$2:$C$1800,الريسبي!$A$2:$A$1800,$A92,الريسبي!$B$2:$B$1800,Q$1)</f>
        <v>0</v>
      </c>
      <c r="R92" s="117" t="n">
        <f aca="false">SUMIFS(الريسبي!$C$2:$C$1800,الريسبي!$A$2:$A$1800,$A92,الريسبي!$B$2:$B$1800,R$1)</f>
        <v>0</v>
      </c>
      <c r="S92" s="117" t="n">
        <f aca="false">SUMIFS(الريسبي!$C$2:$C$1800,الريسبي!$A$2:$A$1800,$A92,الريسبي!$B$2:$B$1800,S$1)</f>
        <v>0</v>
      </c>
      <c r="T92" s="117" t="n">
        <f aca="false">SUMIFS(الريسبي!$C$2:$C$1800,الريسبي!$A$2:$A$1800,$A92,الريسبي!$B$2:$B$1800,T$1)</f>
        <v>0</v>
      </c>
      <c r="U92" s="117" t="n">
        <f aca="false">SUMIFS(الريسبي!$C$2:$C$1800,الريسبي!$A$2:$A$1800,$A92,الريسبي!$B$2:$B$1800,U$1)</f>
        <v>0</v>
      </c>
      <c r="V92" s="117" t="n">
        <f aca="false">SUMIFS(الريسبي!$C$2:$C$1800,الريسبي!$A$2:$A$1800,$A92,الريسبي!$B$2:$B$1800,V$1)+1.5*(SUMIFS(الريسبي!$C$2:$C$1800,الريسبي!$A$2:$A$1800,$A92,الريسبي!$B$2:$B$1800,"برسيون موتزريلا بيتزا كبير"))</f>
        <v>0</v>
      </c>
      <c r="W92" s="117" t="n">
        <f aca="false">0</f>
        <v>0</v>
      </c>
      <c r="X92" s="117" t="n">
        <f aca="false">SUMIFS(الريسبي!$C$2:$C$1800,الريسبي!$A$2:$A$1800,$A92,الريسبي!$B$2:$B$1800,X$1)+1.5*(SUMIFS(الريسبي!$C$2:$C$1800,الريسبي!$A$2:$A$1800,$A92,الريسبي!$B$2:$B$1800,"برسيون موتزريلا فطير كبير"))</f>
        <v>1.5</v>
      </c>
      <c r="Y92" s="117" t="n">
        <f aca="false">0</f>
        <v>0</v>
      </c>
      <c r="Z92" s="117" t="n">
        <f aca="false">SUMIFS(الريسبي!$C$2:$C$1800,الريسبي!$A$2:$A$1800,$A92,الريسبي!$B$2:$B$1800,Z$1)</f>
        <v>0</v>
      </c>
      <c r="AA92" s="117" t="n">
        <f aca="false">SUMIFS(الريسبي!$C$2:$C$1800,الريسبي!$A$2:$A$1800,$A92,الريسبي!$B$2:$B$1800,AA$1)</f>
        <v>0</v>
      </c>
      <c r="AB92" s="117" t="n">
        <f aca="false">SUMIFS(الريسبي!$C$2:$C$1800,الريسبي!$A$2:$A$1800,$A92,الريسبي!$B$2:$B$1800,AB$1)</f>
        <v>0</v>
      </c>
      <c r="AC92" s="117" t="n">
        <f aca="false">SUMIFS(الريسبي!$C$2:$C$1800,الريسبي!$A$2:$A$1800,$A92,الريسبي!$B$2:$B$1800,AC$1)</f>
        <v>0</v>
      </c>
      <c r="AD92" s="117" t="n">
        <f aca="false">SUMIFS(الريسبي!$C$2:$C$1800,الريسبي!$A$2:$A$1800,$A92,الريسبي!$B$2:$B$1800,AD$1)</f>
        <v>0</v>
      </c>
      <c r="AE92" s="117" t="n">
        <f aca="false">SUMIFS(الريسبي!$C$2:$C$1800,الريسبي!$A$2:$A$1800,$A92,الريسبي!$B$2:$B$1800,AE$1)</f>
        <v>0</v>
      </c>
      <c r="AF92" s="117" t="n">
        <f aca="false">SUMIFS(الريسبي!$C$2:$C$1800,الريسبي!$A$2:$A$1800,$A92,الريسبي!$B$2:$B$1800,AF$1)</f>
        <v>0</v>
      </c>
      <c r="AG92" s="117" t="n">
        <f aca="false">SUMIFS(الريسبي!$C$2:$C$1800,الريسبي!$A$2:$A$1800,$A92,الريسبي!$B$2:$B$1800,AG$1)</f>
        <v>0</v>
      </c>
      <c r="AH92" s="117" t="n">
        <f aca="false">SUMIFS(الريسبي!$C$2:$C$1800,الريسبي!$A$2:$A$1800,$A92,الريسبي!$B$2:$B$1800,AH$1)</f>
        <v>0</v>
      </c>
      <c r="AI92" s="117" t="n">
        <f aca="false">SUMIFS(الريسبي!$C$2:$C$1800,الريسبي!$A$2:$A$1800,$A92,الريسبي!$B$2:$B$1800,AI$1)</f>
        <v>0</v>
      </c>
      <c r="AJ92" s="117" t="n">
        <f aca="false">SUMIFS(الريسبي!$C$2:$C$1800,الريسبي!$A$2:$A$1800,$A92,الريسبي!$B$2:$B$1800,AJ$1)</f>
        <v>2</v>
      </c>
      <c r="AK92" s="117" t="n">
        <f aca="false">SUMIFS(الريسبي!$C$2:$C$1800,الريسبي!$A$2:$A$1800,$A92,الريسبي!$B$2:$B$1800,AK$1)</f>
        <v>0</v>
      </c>
      <c r="AL92" s="117" t="n">
        <f aca="false">SUMIFS(الريسبي!$C$2:$C$1800,الريسبي!$A$2:$A$1800,$A92,الريسبي!$B$2:$B$1800,AL$1)</f>
        <v>0</v>
      </c>
      <c r="AM92" s="117" t="n">
        <f aca="false">SUMIFS(الريسبي!$C$2:$C$1800,الريسبي!$A$2:$A$1800,$A92,الريسبي!$B$2:$B$1800,AM$1)+0.08333333333*SUMIFS(الريسبي!$C$2:$C$1800,الريسبي!$A$2:$A$1800,$A92,الريسبي!$B$2:$B$1800,"عجين كريب (مصنع بالمطعم)")+0.08333333333*SUMIFS(الريسبي!$C$2:$C$1800,الريسبي!$A$2:$A$1800,$A92,الريسبي!$B$2:$B$1800,"عجين كريب صيامي (بدون لبن)")</f>
        <v>0</v>
      </c>
      <c r="AN92" s="117" t="n">
        <f aca="false">SUMIFS(الريسبي!$C$2:$C$1800,الريسبي!$A$2:$A$1800,$A92,الريسبي!$B$2:$B$1800,AN$1)+0.004166666667*SUMIFS(الريسبي!$C$2:$C$1800,الريسبي!$A$2:$A$1800,$A92,الريسبي!$B$2:$B$1800,"عجين كريب (مصنع بالمطعم)")+0.004166666667*SUMIFS(الريسبي!$C$2:$C$1800,الريسبي!$A$2:$A$1800,$A92,الريسبي!$B$2:$B$1800,"عجين كريب صيامي (بدون لبن)")</f>
        <v>0</v>
      </c>
      <c r="AO92" s="117" t="n">
        <f aca="false">SUMIFS(الريسبي!$C$2:$C$1800,الريسبي!$A$2:$A$1800,$A92,الريسبي!$B$2:$B$1800,AO$1)</f>
        <v>0</v>
      </c>
      <c r="AP92" s="117" t="n">
        <f aca="false">SUMIFS(الريسبي!$C$2:$C$1800,الريسبي!$A$2:$A$1800,$A92,الريسبي!$B$2:$B$1800,AP$1)</f>
        <v>0.03</v>
      </c>
      <c r="AQ92" s="117" t="n">
        <f aca="false">SUMIFS(الريسبي!$C$2:$C$1800,الريسبي!$A$2:$A$1800,$A92,الريسبي!$B$2:$B$1800,AQ$1)+0.004166666667*SUMIFS(الريسبي!$C$2:$C$1800,الريسبي!$A$2:$A$1800,$A92,الريسبي!$B$2:$B$1800,"عجين كريب (مصنع بالمطعم)")+0.004166666667*SUMIFS(الريسبي!$C$2:$C$1800,الريسبي!$A$2:$A$1800,$A92,الريسبي!$B$2:$B$1800,"عجين كريب صيامي (بدون لبن)")</f>
        <v>0</v>
      </c>
      <c r="AR92" s="117" t="n">
        <f aca="false">SUMIFS(الريسبي!$C$2:$C$1800,الريسبي!$A$2:$A$1800,$A92,الريسبي!$B$2:$B$1800,AR$1)</f>
        <v>0</v>
      </c>
      <c r="AS92" s="117" t="n">
        <f aca="false">SUMIFS(الريسبي!$C$2:$C$1800,الريسبي!$A$2:$A$1800,$A92,الريسبي!$B$2:$B$1800,AS$1)</f>
        <v>0</v>
      </c>
      <c r="AT92" s="117" t="n">
        <f aca="false">SUMIFS(الريسبي!$C$2:$C$1800,الريسبي!$A$2:$A$1800,$A92,الريسبي!$B$2:$B$1800,AT$1)</f>
        <v>0</v>
      </c>
      <c r="AU92" s="117" t="n">
        <f aca="false">SUMIFS(الريسبي!$C$2:$C$1800,الريسبي!$A$2:$A$1800,$A92,الريسبي!$B$2:$B$1800,AU$1)</f>
        <v>0</v>
      </c>
      <c r="AV92" s="117" t="n">
        <f aca="false">SUMIFS(الريسبي!$C$2:$C$1800,الريسبي!$A$2:$A$1800,$A92,الريسبي!$B$2:$B$1800,AV$1)</f>
        <v>0</v>
      </c>
      <c r="AW92" s="117" t="n">
        <f aca="false">SUMIFS(الريسبي!$C$2:$C$1800,الريسبي!$A$2:$A$1800,$A92,الريسبي!$B$2:$B$1800,AW$1)</f>
        <v>0</v>
      </c>
      <c r="AX92" s="117" t="n">
        <f aca="false">SUMIFS(الريسبي!$C$2:$C$1800,الريسبي!$A$2:$A$1800,$A92,الريسبي!$B$2:$B$1800,AX$1)</f>
        <v>0.06</v>
      </c>
      <c r="AY92" s="117" t="n">
        <f aca="false">SUMIFS(الريسبي!$C$2:$C$1800,الريسبي!$A$2:$A$1800,$A92,الريسبي!$B$2:$B$1800,AY$1)</f>
        <v>0</v>
      </c>
      <c r="AZ92" s="117" t="n">
        <f aca="false">SUMIFS(الريسبي!$C$2:$C$1800,الريسبي!$A$2:$A$1800,$A92,الريسبي!$B$2:$B$1800,AZ$1)</f>
        <v>0</v>
      </c>
      <c r="BA92" s="117" t="n">
        <f aca="false">SUMIFS(الريسبي!$C$2:$C$1800,الريسبي!$A$2:$A$1800,$A92,الريسبي!$B$2:$B$1800,BA$1)</f>
        <v>0</v>
      </c>
      <c r="BB92" s="117" t="n">
        <f aca="false">SUMIFS(الريسبي!$C$2:$C$1800,الريسبي!$A$2:$A$1800,$A92,الريسبي!$B$2:$B$1800,BB$1)</f>
        <v>0</v>
      </c>
      <c r="BC92" s="117" t="n">
        <f aca="false">SUMIFS(الريسبي!$C$2:$C$1800,الريسبي!$A$2:$A$1800,$A92,الريسبي!$B$2:$B$1800,BC$1)</f>
        <v>0.045</v>
      </c>
      <c r="BD92" s="117" t="n">
        <f aca="false">SUMIFS(الريسبي!$C$2:$C$1800,الريسبي!$A$2:$A$1800,$A92,الريسبي!$B$2:$B$1800,BD$1)</f>
        <v>0.3</v>
      </c>
      <c r="BE92" s="117" t="n">
        <f aca="false">SUMIFS(الريسبي!$C$2:$C$1800,الريسبي!$A$2:$A$1800,$A92,الريسبي!$B$2:$B$1800,BE$1)</f>
        <v>0</v>
      </c>
      <c r="BF92" s="117" t="n">
        <f aca="false">SUMIFS(الريسبي!$C$2:$C$1800,الريسبي!$A$2:$A$1800,$A92,الريسبي!$B$2:$B$1800,BF$1)</f>
        <v>0</v>
      </c>
      <c r="BG92" s="117" t="n">
        <f aca="false">SUMIFS(الريسبي!$C$2:$C$1800,الريسبي!$A$2:$A$1800,$A92,الريسبي!$B$2:$B$1800,BG$1)</f>
        <v>1</v>
      </c>
      <c r="BH92" s="117" t="n">
        <f aca="false">SUMIFS(الريسبي!$C$2:$C$1800,الريسبي!$A$2:$A$1800,$A92,الريسبي!$B$2:$B$1800,BH$1)</f>
        <v>0</v>
      </c>
      <c r="BI92" s="117" t="n">
        <f aca="false">SUMIFS(الريسبي!$C$2:$C$1800,الريسبي!$A$2:$A$1800,$A92,الريسبي!$B$2:$B$1800,BI$1)</f>
        <v>0</v>
      </c>
      <c r="BJ92" s="117" t="n">
        <f aca="false">SUMIFS(الريسبي!$C$2:$C$1800,الريسبي!$A$2:$A$1800,$A92,الريسبي!$B$2:$B$1800,BJ$1)</f>
        <v>0</v>
      </c>
      <c r="BK92" s="117" t="n">
        <f aca="false">SUMIFS(الريسبي!$C$2:$C$1800,الريسبي!$A$2:$A$1800,$A92,الريسبي!$B$2:$B$1800,BK$1)</f>
        <v>0</v>
      </c>
      <c r="BL92" s="117" t="n">
        <f aca="false">SUMIFS(الريسبي!$C$2:$C$1800,الريسبي!$A$2:$A$1800,$A92,الريسبي!$B$2:$B$1800,BL$1)</f>
        <v>1.5</v>
      </c>
      <c r="BM92" s="117" t="n">
        <f aca="false">SUMIFS(الريسبي!$C$2:$C$1800,الريسبي!$A$2:$A$1800,$A92,الريسبي!$B$2:$B$1800,BM$1)</f>
        <v>0</v>
      </c>
      <c r="BN92" s="117" t="n">
        <f aca="false">SUMIFS(الريسبي!$C$2:$C$1800,الريسبي!$A$2:$A$1800,$A92,الريسبي!$B$2:$B$1800,BN$1)</f>
        <v>0.03</v>
      </c>
      <c r="BO92" s="117" t="n">
        <f aca="false">SUMIFS(الريسبي!$C$2:$C$1800,الريسبي!$A$2:$A$1800,$A92,الريسبي!$B$2:$B$1800,BO$1)</f>
        <v>0</v>
      </c>
      <c r="BP92" s="117" t="n">
        <f aca="false">SUMIFS(الريسبي!$C$2:$C$1800,الريسبي!$A$2:$A$1800,$A92,الريسبي!$B$2:$B$1800,BP$1)</f>
        <v>3</v>
      </c>
      <c r="BQ92" s="117" t="n">
        <f aca="false">SUMIFS(الريسبي!$C$2:$C$1800,الريسبي!$A$2:$A$1800,$A92,الريسبي!$B$2:$B$1800,BQ$1)+0.17*SUMIFS(الريسبي!$C$2:$C$1800,الريسبي!$A$2:$A$1800,$A92,الريسبي!$B$2:$B$1800,"كاسترد مصنع (خليط بودر + لبن)")+0.17*SUMIFS(الريسبي!$C$2:$C$1800,الريسبي!$A$2:$A$1800,$A92,الريسبي!$B$2:$B$1800,"كاسترد مصنع صيامي (بدون لبن)")</f>
        <v>0</v>
      </c>
      <c r="BR92" s="117" t="n">
        <f aca="false">SUMIFS(الريسبي!$C$2:$C$1800,الريسبي!$A$2:$A$1800,$A92,الريسبي!$B$2:$B$1800,BR$1)</f>
        <v>1</v>
      </c>
      <c r="BS92" s="117" t="n">
        <f aca="false">SUMIFS(الريسبي!$C$2:$C$1800,الريسبي!$A$2:$A$1800,$A92,الريسبي!$B$2:$B$1800,BS$1)</f>
        <v>0</v>
      </c>
      <c r="BT92" s="117" t="n">
        <f aca="false">SUMIFS(الريسبي!$C$2:$C$1800,الريسبي!$A$2:$A$1800,$A92,الريسبي!$B$2:$B$1800,BT$1)</f>
        <v>0</v>
      </c>
      <c r="BU92" s="117" t="n">
        <f aca="false">SUMIFS(الريسبي!$C$2:$C$1800,الريسبي!$A$2:$A$1800,$A92,الريسبي!$B$2:$B$1800,BU$1)+0.4*SUMIFS(الريسبي!$C$2:$C$1800,الريسبي!$A$2:$A$1800,$A92,الريسبي!$B$2:$B$1800,"كاسترد مصنع (خليط بودر + لبن)")+0.03333333333*SUMIFS(الريسبي!$C$2:$C$1800,الريسبي!$A$2:$A$1800,$A92,الريسبي!$B$2:$B$1800,"عجين كريب (مصنع بالمطعم)")</f>
        <v>0</v>
      </c>
      <c r="BV92" s="117" t="n">
        <f aca="false">SUMIFS(الريسبي!$C$2:$C$1800,الريسبي!$A$2:$A$1800,$A92,الريسبي!$B$2:$B$1800,BV$1)</f>
        <v>0</v>
      </c>
      <c r="BW92" s="117" t="n">
        <f aca="false">SUMIFS(الريسبي!$C$2:$C$1800,الريسبي!$A$2:$A$1800,$A92,الريسبي!$B$2:$B$1800,BW$1)</f>
        <v>0</v>
      </c>
      <c r="BX92" s="117" t="n">
        <f aca="false">SUMIFS(الريسبي!$C$2:$C$1800,الريسبي!$A$2:$A$1800,$A92,الريسبي!$B$2:$B$1800,BX$1)</f>
        <v>0</v>
      </c>
      <c r="BY92" s="117" t="n">
        <f aca="false">SUMIFS(الريسبي!$C$2:$C$1800,الريسبي!$A$2:$A$1800,$A92,الريسبي!$B$2:$B$1800,BY$1)</f>
        <v>0</v>
      </c>
      <c r="BZ92" s="117" t="n">
        <f aca="false">SUMIFS(الريسبي!$C$2:$C$1800,الريسبي!$A$2:$A$1800,$A92,الريسبي!$B$2:$B$1800,BZ$1)</f>
        <v>0</v>
      </c>
      <c r="CA92" s="117" t="n">
        <f aca="false">SUMIFS(الريسبي!$C$2:$C$1800,الريسبي!$A$2:$A$1800,$A92,الريسبي!$B$2:$B$1800,CA$1)</f>
        <v>1</v>
      </c>
      <c r="CB92" s="117" t="n">
        <f aca="false">SUMIFS(الريسبي!$C$2:$C$1800,الريسبي!$A$2:$A$1800,$A92,الريسبي!$B$2:$B$1800,CB$1)</f>
        <v>1</v>
      </c>
      <c r="CC92" s="117" t="n">
        <f aca="false">SUMIFS(الريسبي!$C$2:$C$1800,الريسبي!$A$2:$A$1800,$A92,الريسبي!$B$2:$B$1800,CC$1)</f>
        <v>0</v>
      </c>
      <c r="CD92" s="117" t="n">
        <f aca="false">SUMIFS(الريسبي!$C$2:$C$1800,الريسبي!$A$2:$A$1800,$A92,الريسبي!$B$2:$B$1800,CD$1)</f>
        <v>0</v>
      </c>
      <c r="CE92" s="117" t="n">
        <f aca="false">SUMIFS(الريسبي!$C$2:$C$1800,الريسبي!$A$2:$A$1800,$A92,الريسبي!$B$2:$B$1800,CE$1)</f>
        <v>0</v>
      </c>
      <c r="CF92" s="117" t="n">
        <f aca="false">SUMIFS(الريسبي!$C$2:$C$1800,الريسبي!$A$2:$A$1800,$A92,الريسبي!$B$2:$B$1800,CF$1)</f>
        <v>0</v>
      </c>
      <c r="CG92" s="117" t="n">
        <f aca="false">SUMIFS(الريسبي!$C$2:$C$1800,الريسبي!$A$2:$A$1800,$A92,الريسبي!$B$2:$B$1800,CG$1)</f>
        <v>0</v>
      </c>
      <c r="CH92" s="117" t="n">
        <f aca="false">SUMIFS(الريسبي!$C$2:$C$1800,الريسبي!$A$2:$A$1800,$A92,الريسبي!$B$2:$B$1800,CH$1)</f>
        <v>0</v>
      </c>
      <c r="CI92" s="117" t="n">
        <f aca="false">SUMIFS(الريسبي!$C$2:$C$1800,الريسبي!$A$2:$A$1800,$A92,الريسبي!$B$2:$B$1800,CI$1)</f>
        <v>0</v>
      </c>
      <c r="CJ92" s="117" t="n">
        <f aca="false">SUMIFS(الريسبي!$C$2:$C$1800,الريسبي!$A$2:$A$1800,$A92,الريسبي!$B$2:$B$1800,CJ$1)</f>
        <v>0</v>
      </c>
      <c r="CK92" s="117" t="n">
        <f aca="false">SUMIFS(الريسبي!$C$2:$C$1800,الريسبي!$A$2:$A$1800,$A92,الريسبي!$B$2:$B$1800,CK$1)</f>
        <v>0</v>
      </c>
      <c r="CL92" s="117" t="n">
        <f aca="false">SUMIFS(الريسبي!$C$2:$C$1800,الريسبي!$A$2:$A$1800,$A92,الريسبي!$B$2:$B$1800,CL$1)</f>
        <v>0</v>
      </c>
    </row>
    <row r="93" customFormat="false" ht="15" hidden="false" customHeight="false" outlineLevel="0" collapsed="false">
      <c r="A93" s="116" t="str">
        <f aca="false">المنيو!B93</f>
        <v>فطيرة خضروات صيامي وسط</v>
      </c>
      <c r="B93" s="117" t="n">
        <f aca="false">SUMIFS(الريسبي!$C$2:$C$1800,الريسبي!$A$2:$A$1800,$A93,الريسبي!$B$2:$B$1800,B$1)</f>
        <v>0</v>
      </c>
      <c r="C93" s="117" t="n">
        <f aca="false">SUMIFS(الريسبي!$C$2:$C$1800,الريسبي!$A$2:$A$1800,$A93,الريسبي!$B$2:$B$1800,C$1)</f>
        <v>0</v>
      </c>
      <c r="D93" s="117" t="n">
        <f aca="false">SUMIFS(الريسبي!$C$2:$C$1800,الريسبي!$A$2:$A$1800,$A93,الريسبي!$B$2:$B$1800,D$1)</f>
        <v>1</v>
      </c>
      <c r="E93" s="117" t="n">
        <f aca="false">SUMIFS(الريسبي!$C$2:$C$1800,الريسبي!$A$2:$A$1800,$A93,الريسبي!$B$2:$B$1800,E$1)</f>
        <v>0</v>
      </c>
      <c r="F93" s="117" t="n">
        <f aca="false">SUMIFS(الريسبي!$C$2:$C$1800,الريسبي!$A$2:$A$1800,$A93,الريسبي!$B$2:$B$1800,F$1)</f>
        <v>0</v>
      </c>
      <c r="G93" s="117" t="n">
        <f aca="false">SUMIFS(الريسبي!$C$2:$C$1800,الريسبي!$A$2:$A$1800,$A93,الريسبي!$B$2:$B$1800,G$1)</f>
        <v>0</v>
      </c>
      <c r="H93" s="117" t="n">
        <f aca="false">SUMIFS(الريسبي!$C$2:$C$1800,الريسبي!$A$2:$A$1800,$A93,الريسبي!$B$2:$B$1800,H$1)</f>
        <v>0</v>
      </c>
      <c r="I93" s="117" t="n">
        <f aca="false">SUMIFS(الريسبي!$C$2:$C$1800,الريسبي!$A$2:$A$1800,$A93,الريسبي!$B$2:$B$1800,I$1)</f>
        <v>0</v>
      </c>
      <c r="J93" s="117" t="n">
        <f aca="false">SUMIFS(الريسبي!$C$2:$C$1800,الريسبي!$A$2:$A$1800,$A93,الريسبي!$B$2:$B$1800,J$1)</f>
        <v>0</v>
      </c>
      <c r="K93" s="117" t="n">
        <f aca="false">SUMIFS(الريسبي!$C$2:$C$1800,الريسبي!$A$2:$A$1800,$A93,الريسبي!$B$2:$B$1800,K$1)</f>
        <v>0</v>
      </c>
      <c r="L93" s="117" t="n">
        <f aca="false">SUMIFS(الريسبي!$C$2:$C$1800,الريسبي!$A$2:$A$1800,$A93,الريسبي!$B$2:$B$1800,L$1)</f>
        <v>0</v>
      </c>
      <c r="M93" s="117" t="n">
        <f aca="false">SUMIFS(الريسبي!$C$2:$C$1800,الريسبي!$A$2:$A$1800,$A93,الريسبي!$B$2:$B$1800,M$1)</f>
        <v>0</v>
      </c>
      <c r="N93" s="117" t="n">
        <f aca="false">SUMIFS(الريسبي!$C$2:$C$1800,الريسبي!$A$2:$A$1800,$A93,الريسبي!$B$2:$B$1800,N$1)</f>
        <v>0</v>
      </c>
      <c r="O93" s="117" t="n">
        <f aca="false">SUMIFS(الريسبي!$C$2:$C$1800,الريسبي!$A$2:$A$1800,$A93,الريسبي!$B$2:$B$1800,O$1)</f>
        <v>0</v>
      </c>
      <c r="P93" s="117" t="n">
        <f aca="false">SUMIFS(الريسبي!$C$2:$C$1800,الريسبي!$A$2:$A$1800,$A93,الريسبي!$B$2:$B$1800,P$1)</f>
        <v>0</v>
      </c>
      <c r="Q93" s="117" t="n">
        <f aca="false">SUMIFS(الريسبي!$C$2:$C$1800,الريسبي!$A$2:$A$1800,$A93,الريسبي!$B$2:$B$1800,Q$1)</f>
        <v>0</v>
      </c>
      <c r="R93" s="117" t="n">
        <f aca="false">SUMIFS(الريسبي!$C$2:$C$1800,الريسبي!$A$2:$A$1800,$A93,الريسبي!$B$2:$B$1800,R$1)</f>
        <v>0</v>
      </c>
      <c r="S93" s="117" t="n">
        <f aca="false">SUMIFS(الريسبي!$C$2:$C$1800,الريسبي!$A$2:$A$1800,$A93,الريسبي!$B$2:$B$1800,S$1)</f>
        <v>0</v>
      </c>
      <c r="T93" s="117" t="n">
        <f aca="false">SUMIFS(الريسبي!$C$2:$C$1800,الريسبي!$A$2:$A$1800,$A93,الريسبي!$B$2:$B$1800,T$1)</f>
        <v>0</v>
      </c>
      <c r="U93" s="117" t="n">
        <f aca="false">SUMIFS(الريسبي!$C$2:$C$1800,الريسبي!$A$2:$A$1800,$A93,الريسبي!$B$2:$B$1800,U$1)</f>
        <v>0</v>
      </c>
      <c r="V93" s="117" t="n">
        <f aca="false">SUMIFS(الريسبي!$C$2:$C$1800,الريسبي!$A$2:$A$1800,$A93,الريسبي!$B$2:$B$1800,V$1)+1.5*(SUMIFS(الريسبي!$C$2:$C$1800,الريسبي!$A$2:$A$1800,$A93,الريسبي!$B$2:$B$1800,"برسيون موتزريلا بيتزا كبير"))</f>
        <v>0</v>
      </c>
      <c r="W93" s="117" t="n">
        <f aca="false">0</f>
        <v>0</v>
      </c>
      <c r="X93" s="117" t="n">
        <f aca="false">SUMIFS(الريسبي!$C$2:$C$1800,الريسبي!$A$2:$A$1800,$A93,الريسبي!$B$2:$B$1800,X$1)+1.5*(SUMIFS(الريسبي!$C$2:$C$1800,الريسبي!$A$2:$A$1800,$A93,الريسبي!$B$2:$B$1800,"برسيون موتزريلا فطير كبير"))</f>
        <v>1</v>
      </c>
      <c r="Y93" s="117" t="n">
        <f aca="false">0</f>
        <v>0</v>
      </c>
      <c r="Z93" s="117" t="n">
        <f aca="false">SUMIFS(الريسبي!$C$2:$C$1800,الريسبي!$A$2:$A$1800,$A93,الريسبي!$B$2:$B$1800,Z$1)</f>
        <v>0</v>
      </c>
      <c r="AA93" s="117" t="n">
        <f aca="false">SUMIFS(الريسبي!$C$2:$C$1800,الريسبي!$A$2:$A$1800,$A93,الريسبي!$B$2:$B$1800,AA$1)</f>
        <v>0</v>
      </c>
      <c r="AB93" s="117" t="n">
        <f aca="false">SUMIFS(الريسبي!$C$2:$C$1800,الريسبي!$A$2:$A$1800,$A93,الريسبي!$B$2:$B$1800,AB$1)</f>
        <v>0</v>
      </c>
      <c r="AC93" s="117" t="n">
        <f aca="false">SUMIFS(الريسبي!$C$2:$C$1800,الريسبي!$A$2:$A$1800,$A93,الريسبي!$B$2:$B$1800,AC$1)</f>
        <v>0</v>
      </c>
      <c r="AD93" s="117" t="n">
        <f aca="false">SUMIFS(الريسبي!$C$2:$C$1800,الريسبي!$A$2:$A$1800,$A93,الريسبي!$B$2:$B$1800,AD$1)</f>
        <v>0</v>
      </c>
      <c r="AE93" s="117" t="n">
        <f aca="false">SUMIFS(الريسبي!$C$2:$C$1800,الريسبي!$A$2:$A$1800,$A93,الريسبي!$B$2:$B$1800,AE$1)</f>
        <v>0</v>
      </c>
      <c r="AF93" s="117" t="n">
        <f aca="false">SUMIFS(الريسبي!$C$2:$C$1800,الريسبي!$A$2:$A$1800,$A93,الريسبي!$B$2:$B$1800,AF$1)</f>
        <v>0</v>
      </c>
      <c r="AG93" s="117" t="n">
        <f aca="false">SUMIFS(الريسبي!$C$2:$C$1800,الريسبي!$A$2:$A$1800,$A93,الريسبي!$B$2:$B$1800,AG$1)</f>
        <v>0</v>
      </c>
      <c r="AH93" s="117" t="n">
        <f aca="false">SUMIFS(الريسبي!$C$2:$C$1800,الريسبي!$A$2:$A$1800,$A93,الريسبي!$B$2:$B$1800,AH$1)</f>
        <v>0</v>
      </c>
      <c r="AI93" s="117" t="n">
        <f aca="false">SUMIFS(الريسبي!$C$2:$C$1800,الريسبي!$A$2:$A$1800,$A93,الريسبي!$B$2:$B$1800,AI$1)</f>
        <v>0</v>
      </c>
      <c r="AJ93" s="117" t="n">
        <f aca="false">SUMIFS(الريسبي!$C$2:$C$1800,الريسبي!$A$2:$A$1800,$A93,الريسبي!$B$2:$B$1800,AJ$1)</f>
        <v>2</v>
      </c>
      <c r="AK93" s="117" t="n">
        <f aca="false">SUMIFS(الريسبي!$C$2:$C$1800,الريسبي!$A$2:$A$1800,$A93,الريسبي!$B$2:$B$1800,AK$1)</f>
        <v>0</v>
      </c>
      <c r="AL93" s="117" t="n">
        <f aca="false">SUMIFS(الريسبي!$C$2:$C$1800,الريسبي!$A$2:$A$1800,$A93,الريسبي!$B$2:$B$1800,AL$1)</f>
        <v>0</v>
      </c>
      <c r="AM93" s="117" t="n">
        <f aca="false">SUMIFS(الريسبي!$C$2:$C$1800,الريسبي!$A$2:$A$1800,$A93,الريسبي!$B$2:$B$1800,AM$1)+0.08333333333*SUMIFS(الريسبي!$C$2:$C$1800,الريسبي!$A$2:$A$1800,$A93,الريسبي!$B$2:$B$1800,"عجين كريب (مصنع بالمطعم)")+0.08333333333*SUMIFS(الريسبي!$C$2:$C$1800,الريسبي!$A$2:$A$1800,$A93,الريسبي!$B$2:$B$1800,"عجين كريب صيامي (بدون لبن)")</f>
        <v>0</v>
      </c>
      <c r="AN93" s="117" t="n">
        <f aca="false">SUMIFS(الريسبي!$C$2:$C$1800,الريسبي!$A$2:$A$1800,$A93,الريسبي!$B$2:$B$1800,AN$1)+0.004166666667*SUMIFS(الريسبي!$C$2:$C$1800,الريسبي!$A$2:$A$1800,$A93,الريسبي!$B$2:$B$1800,"عجين كريب (مصنع بالمطعم)")+0.004166666667*SUMIFS(الريسبي!$C$2:$C$1800,الريسبي!$A$2:$A$1800,$A93,الريسبي!$B$2:$B$1800,"عجين كريب صيامي (بدون لبن)")</f>
        <v>0</v>
      </c>
      <c r="AO93" s="117" t="n">
        <f aca="false">SUMIFS(الريسبي!$C$2:$C$1800,الريسبي!$A$2:$A$1800,$A93,الريسبي!$B$2:$B$1800,AO$1)</f>
        <v>0</v>
      </c>
      <c r="AP93" s="117" t="n">
        <f aca="false">SUMIFS(الريسبي!$C$2:$C$1800,الريسبي!$A$2:$A$1800,$A93,الريسبي!$B$2:$B$1800,AP$1)</f>
        <v>0.02</v>
      </c>
      <c r="AQ93" s="117" t="n">
        <f aca="false">SUMIFS(الريسبي!$C$2:$C$1800,الريسبي!$A$2:$A$1800,$A93,الريسبي!$B$2:$B$1800,AQ$1)+0.004166666667*SUMIFS(الريسبي!$C$2:$C$1800,الريسبي!$A$2:$A$1800,$A93,الريسبي!$B$2:$B$1800,"عجين كريب (مصنع بالمطعم)")+0.004166666667*SUMIFS(الريسبي!$C$2:$C$1800,الريسبي!$A$2:$A$1800,$A93,الريسبي!$B$2:$B$1800,"عجين كريب صيامي (بدون لبن)")</f>
        <v>0</v>
      </c>
      <c r="AR93" s="117" t="n">
        <f aca="false">SUMIFS(الريسبي!$C$2:$C$1800,الريسبي!$A$2:$A$1800,$A93,الريسبي!$B$2:$B$1800,AR$1)</f>
        <v>0</v>
      </c>
      <c r="AS93" s="117" t="n">
        <f aca="false">SUMIFS(الريسبي!$C$2:$C$1800,الريسبي!$A$2:$A$1800,$A93,الريسبي!$B$2:$B$1800,AS$1)</f>
        <v>0</v>
      </c>
      <c r="AT93" s="117" t="n">
        <f aca="false">SUMIFS(الريسبي!$C$2:$C$1800,الريسبي!$A$2:$A$1800,$A93,الريسبي!$B$2:$B$1800,AT$1)</f>
        <v>0</v>
      </c>
      <c r="AU93" s="117" t="n">
        <f aca="false">SUMIFS(الريسبي!$C$2:$C$1800,الريسبي!$A$2:$A$1800,$A93,الريسبي!$B$2:$B$1800,AU$1)</f>
        <v>0</v>
      </c>
      <c r="AV93" s="117" t="n">
        <f aca="false">SUMIFS(الريسبي!$C$2:$C$1800,الريسبي!$A$2:$A$1800,$A93,الريسبي!$B$2:$B$1800,AV$1)</f>
        <v>0</v>
      </c>
      <c r="AW93" s="117" t="n">
        <f aca="false">SUMIFS(الريسبي!$C$2:$C$1800,الريسبي!$A$2:$A$1800,$A93,الريسبي!$B$2:$B$1800,AW$1)</f>
        <v>0</v>
      </c>
      <c r="AX93" s="117" t="n">
        <f aca="false">SUMIFS(الريسبي!$C$2:$C$1800,الريسبي!$A$2:$A$1800,$A93,الريسبي!$B$2:$B$1800,AX$1)</f>
        <v>0</v>
      </c>
      <c r="AY93" s="117" t="n">
        <f aca="false">SUMIFS(الريسبي!$C$2:$C$1800,الريسبي!$A$2:$A$1800,$A93,الريسبي!$B$2:$B$1800,AY$1)</f>
        <v>0</v>
      </c>
      <c r="AZ93" s="117" t="n">
        <f aca="false">SUMIFS(الريسبي!$C$2:$C$1800,الريسبي!$A$2:$A$1800,$A93,الريسبي!$B$2:$B$1800,AZ$1)</f>
        <v>0</v>
      </c>
      <c r="BA93" s="117" t="n">
        <f aca="false">SUMIFS(الريسبي!$C$2:$C$1800,الريسبي!$A$2:$A$1800,$A93,الريسبي!$B$2:$B$1800,BA$1)</f>
        <v>0</v>
      </c>
      <c r="BB93" s="117" t="n">
        <f aca="false">SUMIFS(الريسبي!$C$2:$C$1800,الريسبي!$A$2:$A$1800,$A93,الريسبي!$B$2:$B$1800,BB$1)</f>
        <v>0</v>
      </c>
      <c r="BC93" s="117" t="n">
        <f aca="false">SUMIFS(الريسبي!$C$2:$C$1800,الريسبي!$A$2:$A$1800,$A93,الريسبي!$B$2:$B$1800,BC$1)</f>
        <v>0.03</v>
      </c>
      <c r="BD93" s="117" t="n">
        <f aca="false">SUMIFS(الريسبي!$C$2:$C$1800,الريسبي!$A$2:$A$1800,$A93,الريسبي!$B$2:$B$1800,BD$1)</f>
        <v>0</v>
      </c>
      <c r="BE93" s="117" t="n">
        <f aca="false">SUMIFS(الريسبي!$C$2:$C$1800,الريسبي!$A$2:$A$1800,$A93,الريسبي!$B$2:$B$1800,BE$1)</f>
        <v>1</v>
      </c>
      <c r="BF93" s="117" t="n">
        <f aca="false">SUMIFS(الريسبي!$C$2:$C$1800,الريسبي!$A$2:$A$1800,$A93,الريسبي!$B$2:$B$1800,BF$1)</f>
        <v>0</v>
      </c>
      <c r="BG93" s="117" t="n">
        <f aca="false">SUMIFS(الريسبي!$C$2:$C$1800,الريسبي!$A$2:$A$1800,$A93,الريسبي!$B$2:$B$1800,BG$1)</f>
        <v>0</v>
      </c>
      <c r="BH93" s="117" t="n">
        <f aca="false">SUMIFS(الريسبي!$C$2:$C$1800,الريسبي!$A$2:$A$1800,$A93,الريسبي!$B$2:$B$1800,BH$1)</f>
        <v>1</v>
      </c>
      <c r="BI93" s="117" t="n">
        <f aca="false">SUMIFS(الريسبي!$C$2:$C$1800,الريسبي!$A$2:$A$1800,$A93,الريسبي!$B$2:$B$1800,BI$1)</f>
        <v>0</v>
      </c>
      <c r="BJ93" s="117" t="n">
        <f aca="false">SUMIFS(الريسبي!$C$2:$C$1800,الريسبي!$A$2:$A$1800,$A93,الريسبي!$B$2:$B$1800,BJ$1)</f>
        <v>0</v>
      </c>
      <c r="BK93" s="117" t="n">
        <f aca="false">SUMIFS(الريسبي!$C$2:$C$1800,الريسبي!$A$2:$A$1800,$A93,الريسبي!$B$2:$B$1800,BK$1)</f>
        <v>0</v>
      </c>
      <c r="BL93" s="117" t="n">
        <f aca="false">SUMIFS(الريسبي!$C$2:$C$1800,الريسبي!$A$2:$A$1800,$A93,الريسبي!$B$2:$B$1800,BL$1)</f>
        <v>0</v>
      </c>
      <c r="BM93" s="117" t="n">
        <f aca="false">SUMIFS(الريسبي!$C$2:$C$1800,الريسبي!$A$2:$A$1800,$A93,الريسبي!$B$2:$B$1800,BM$1)</f>
        <v>0</v>
      </c>
      <c r="BN93" s="117" t="n">
        <f aca="false">SUMIFS(الريسبي!$C$2:$C$1800,الريسبي!$A$2:$A$1800,$A93,الريسبي!$B$2:$B$1800,BN$1)</f>
        <v>0.02</v>
      </c>
      <c r="BO93" s="117" t="n">
        <f aca="false">SUMIFS(الريسبي!$C$2:$C$1800,الريسبي!$A$2:$A$1800,$A93,الريسبي!$B$2:$B$1800,BO$1)</f>
        <v>0</v>
      </c>
      <c r="BP93" s="117" t="n">
        <f aca="false">SUMIFS(الريسبي!$C$2:$C$1800,الريسبي!$A$2:$A$1800,$A93,الريسبي!$B$2:$B$1800,BP$1)</f>
        <v>2</v>
      </c>
      <c r="BQ93" s="117" t="n">
        <f aca="false">SUMIFS(الريسبي!$C$2:$C$1800,الريسبي!$A$2:$A$1800,$A93,الريسبي!$B$2:$B$1800,BQ$1)+0.17*SUMIFS(الريسبي!$C$2:$C$1800,الريسبي!$A$2:$A$1800,$A93,الريسبي!$B$2:$B$1800,"كاسترد مصنع (خليط بودر + لبن)")+0.17*SUMIFS(الريسبي!$C$2:$C$1800,الريسبي!$A$2:$A$1800,$A93,الريسبي!$B$2:$B$1800,"كاسترد مصنع صيامي (بدون لبن)")</f>
        <v>0</v>
      </c>
      <c r="BR93" s="117" t="n">
        <f aca="false">SUMIFS(الريسبي!$C$2:$C$1800,الريسبي!$A$2:$A$1800,$A93,الريسبي!$B$2:$B$1800,BR$1)</f>
        <v>1</v>
      </c>
      <c r="BS93" s="117" t="n">
        <f aca="false">SUMIFS(الريسبي!$C$2:$C$1800,الريسبي!$A$2:$A$1800,$A93,الريسبي!$B$2:$B$1800,BS$1)</f>
        <v>0</v>
      </c>
      <c r="BT93" s="117" t="n">
        <f aca="false">SUMIFS(الريسبي!$C$2:$C$1800,الريسبي!$A$2:$A$1800,$A93,الريسبي!$B$2:$B$1800,BT$1)</f>
        <v>0</v>
      </c>
      <c r="BU93" s="117" t="n">
        <f aca="false">SUMIFS(الريسبي!$C$2:$C$1800,الريسبي!$A$2:$A$1800,$A93,الريسبي!$B$2:$B$1800,BU$1)+0.4*SUMIFS(الريسبي!$C$2:$C$1800,الريسبي!$A$2:$A$1800,$A93,الريسبي!$B$2:$B$1800,"كاسترد مصنع (خليط بودر + لبن)")+0.03333333333*SUMIFS(الريسبي!$C$2:$C$1800,الريسبي!$A$2:$A$1800,$A93,الريسبي!$B$2:$B$1800,"عجين كريب (مصنع بالمطعم)")</f>
        <v>0</v>
      </c>
      <c r="BV93" s="117" t="n">
        <f aca="false">SUMIFS(الريسبي!$C$2:$C$1800,الريسبي!$A$2:$A$1800,$A93,الريسبي!$B$2:$B$1800,BV$1)</f>
        <v>0</v>
      </c>
      <c r="BW93" s="117" t="n">
        <f aca="false">SUMIFS(الريسبي!$C$2:$C$1800,الريسبي!$A$2:$A$1800,$A93,الريسبي!$B$2:$B$1800,BW$1)</f>
        <v>0</v>
      </c>
      <c r="BX93" s="117" t="n">
        <f aca="false">SUMIFS(الريسبي!$C$2:$C$1800,الريسبي!$A$2:$A$1800,$A93,الريسبي!$B$2:$B$1800,BX$1)</f>
        <v>0</v>
      </c>
      <c r="BY93" s="117" t="n">
        <f aca="false">SUMIFS(الريسبي!$C$2:$C$1800,الريسبي!$A$2:$A$1800,$A93,الريسبي!$B$2:$B$1800,BY$1)</f>
        <v>0</v>
      </c>
      <c r="BZ93" s="117" t="n">
        <f aca="false">SUMIFS(الريسبي!$C$2:$C$1800,الريسبي!$A$2:$A$1800,$A93,الريسبي!$B$2:$B$1800,BZ$1)</f>
        <v>0</v>
      </c>
      <c r="CA93" s="117" t="n">
        <f aca="false">SUMIFS(الريسبي!$C$2:$C$1800,الريسبي!$A$2:$A$1800,$A93,الريسبي!$B$2:$B$1800,CA$1)</f>
        <v>1</v>
      </c>
      <c r="CB93" s="117" t="n">
        <f aca="false">SUMIFS(الريسبي!$C$2:$C$1800,الريسبي!$A$2:$A$1800,$A93,الريسبي!$B$2:$B$1800,CB$1)</f>
        <v>1</v>
      </c>
      <c r="CC93" s="117" t="n">
        <f aca="false">SUMIFS(الريسبي!$C$2:$C$1800,الريسبي!$A$2:$A$1800,$A93,الريسبي!$B$2:$B$1800,CC$1)</f>
        <v>0</v>
      </c>
      <c r="CD93" s="117" t="n">
        <f aca="false">SUMIFS(الريسبي!$C$2:$C$1800,الريسبي!$A$2:$A$1800,$A93,الريسبي!$B$2:$B$1800,CD$1)</f>
        <v>0</v>
      </c>
      <c r="CE93" s="117" t="n">
        <f aca="false">SUMIFS(الريسبي!$C$2:$C$1800,الريسبي!$A$2:$A$1800,$A93,الريسبي!$B$2:$B$1800,CE$1)</f>
        <v>0</v>
      </c>
      <c r="CF93" s="117" t="n">
        <f aca="false">SUMIFS(الريسبي!$C$2:$C$1800,الريسبي!$A$2:$A$1800,$A93,الريسبي!$B$2:$B$1800,CF$1)</f>
        <v>0</v>
      </c>
      <c r="CG93" s="117" t="n">
        <f aca="false">SUMIFS(الريسبي!$C$2:$C$1800,الريسبي!$A$2:$A$1800,$A93,الريسبي!$B$2:$B$1800,CG$1)</f>
        <v>0</v>
      </c>
      <c r="CH93" s="117" t="n">
        <f aca="false">SUMIFS(الريسبي!$C$2:$C$1800,الريسبي!$A$2:$A$1800,$A93,الريسبي!$B$2:$B$1800,CH$1)</f>
        <v>0</v>
      </c>
      <c r="CI93" s="117" t="n">
        <f aca="false">SUMIFS(الريسبي!$C$2:$C$1800,الريسبي!$A$2:$A$1800,$A93,الريسبي!$B$2:$B$1800,CI$1)</f>
        <v>0</v>
      </c>
      <c r="CJ93" s="117" t="n">
        <f aca="false">SUMIFS(الريسبي!$C$2:$C$1800,الريسبي!$A$2:$A$1800,$A93,الريسبي!$B$2:$B$1800,CJ$1)</f>
        <v>0</v>
      </c>
      <c r="CK93" s="117" t="n">
        <f aca="false">SUMIFS(الريسبي!$C$2:$C$1800,الريسبي!$A$2:$A$1800,$A93,الريسبي!$B$2:$B$1800,CK$1)</f>
        <v>0</v>
      </c>
      <c r="CL93" s="117" t="n">
        <f aca="false">SUMIFS(الريسبي!$C$2:$C$1800,الريسبي!$A$2:$A$1800,$A93,الريسبي!$B$2:$B$1800,CL$1)</f>
        <v>0</v>
      </c>
    </row>
    <row r="94" customFormat="false" ht="15" hidden="false" customHeight="false" outlineLevel="0" collapsed="false">
      <c r="A94" s="116" t="str">
        <f aca="false">المنيو!B94</f>
        <v>فطيرة خضروات صيامي مخصوص</v>
      </c>
      <c r="B94" s="117" t="n">
        <f aca="false">SUMIFS(الريسبي!$C$2:$C$1800,الريسبي!$A$2:$A$1800,$A94,الريسبي!$B$2:$B$1800,B$1)</f>
        <v>0</v>
      </c>
      <c r="C94" s="117" t="n">
        <f aca="false">SUMIFS(الريسبي!$C$2:$C$1800,الريسبي!$A$2:$A$1800,$A94,الريسبي!$B$2:$B$1800,C$1)</f>
        <v>0</v>
      </c>
      <c r="D94" s="117" t="n">
        <f aca="false">SUMIFS(الريسبي!$C$2:$C$1800,الريسبي!$A$2:$A$1800,$A94,الريسبي!$B$2:$B$1800,D$1)</f>
        <v>1</v>
      </c>
      <c r="E94" s="117" t="n">
        <f aca="false">SUMIFS(الريسبي!$C$2:$C$1800,الريسبي!$A$2:$A$1800,$A94,الريسبي!$B$2:$B$1800,E$1)</f>
        <v>0</v>
      </c>
      <c r="F94" s="117" t="n">
        <f aca="false">SUMIFS(الريسبي!$C$2:$C$1800,الريسبي!$A$2:$A$1800,$A94,الريسبي!$B$2:$B$1800,F$1)</f>
        <v>0</v>
      </c>
      <c r="G94" s="117" t="n">
        <f aca="false">SUMIFS(الريسبي!$C$2:$C$1800,الريسبي!$A$2:$A$1800,$A94,الريسبي!$B$2:$B$1800,G$1)</f>
        <v>0</v>
      </c>
      <c r="H94" s="117" t="n">
        <f aca="false">SUMIFS(الريسبي!$C$2:$C$1800,الريسبي!$A$2:$A$1800,$A94,الريسبي!$B$2:$B$1800,H$1)</f>
        <v>0</v>
      </c>
      <c r="I94" s="117" t="n">
        <f aca="false">SUMIFS(الريسبي!$C$2:$C$1800,الريسبي!$A$2:$A$1800,$A94,الريسبي!$B$2:$B$1800,I$1)</f>
        <v>0</v>
      </c>
      <c r="J94" s="117" t="n">
        <f aca="false">SUMIFS(الريسبي!$C$2:$C$1800,الريسبي!$A$2:$A$1800,$A94,الريسبي!$B$2:$B$1800,J$1)</f>
        <v>0</v>
      </c>
      <c r="K94" s="117" t="n">
        <f aca="false">SUMIFS(الريسبي!$C$2:$C$1800,الريسبي!$A$2:$A$1800,$A94,الريسبي!$B$2:$B$1800,K$1)</f>
        <v>0</v>
      </c>
      <c r="L94" s="117" t="n">
        <f aca="false">SUMIFS(الريسبي!$C$2:$C$1800,الريسبي!$A$2:$A$1800,$A94,الريسبي!$B$2:$B$1800,L$1)</f>
        <v>0</v>
      </c>
      <c r="M94" s="117" t="n">
        <f aca="false">SUMIFS(الريسبي!$C$2:$C$1800,الريسبي!$A$2:$A$1800,$A94,الريسبي!$B$2:$B$1800,M$1)</f>
        <v>0</v>
      </c>
      <c r="N94" s="117" t="n">
        <f aca="false">SUMIFS(الريسبي!$C$2:$C$1800,الريسبي!$A$2:$A$1800,$A94,الريسبي!$B$2:$B$1800,N$1)</f>
        <v>0</v>
      </c>
      <c r="O94" s="117" t="n">
        <f aca="false">SUMIFS(الريسبي!$C$2:$C$1800,الريسبي!$A$2:$A$1800,$A94,الريسبي!$B$2:$B$1800,O$1)</f>
        <v>0</v>
      </c>
      <c r="P94" s="117" t="n">
        <f aca="false">SUMIFS(الريسبي!$C$2:$C$1800,الريسبي!$A$2:$A$1800,$A94,الريسبي!$B$2:$B$1800,P$1)</f>
        <v>0</v>
      </c>
      <c r="Q94" s="117" t="n">
        <f aca="false">SUMIFS(الريسبي!$C$2:$C$1800,الريسبي!$A$2:$A$1800,$A94,الريسبي!$B$2:$B$1800,Q$1)</f>
        <v>0</v>
      </c>
      <c r="R94" s="117" t="n">
        <f aca="false">SUMIFS(الريسبي!$C$2:$C$1800,الريسبي!$A$2:$A$1800,$A94,الريسبي!$B$2:$B$1800,R$1)</f>
        <v>0</v>
      </c>
      <c r="S94" s="117" t="n">
        <f aca="false">SUMIFS(الريسبي!$C$2:$C$1800,الريسبي!$A$2:$A$1800,$A94,الريسبي!$B$2:$B$1800,S$1)</f>
        <v>0</v>
      </c>
      <c r="T94" s="117" t="n">
        <f aca="false">SUMIFS(الريسبي!$C$2:$C$1800,الريسبي!$A$2:$A$1800,$A94,الريسبي!$B$2:$B$1800,T$1)</f>
        <v>0</v>
      </c>
      <c r="U94" s="117" t="n">
        <f aca="false">SUMIFS(الريسبي!$C$2:$C$1800,الريسبي!$A$2:$A$1800,$A94,الريسبي!$B$2:$B$1800,U$1)</f>
        <v>0</v>
      </c>
      <c r="V94" s="117" t="n">
        <f aca="false">SUMIFS(الريسبي!$C$2:$C$1800,الريسبي!$A$2:$A$1800,$A94,الريسبي!$B$2:$B$1800,V$1)+1.5*(SUMIFS(الريسبي!$C$2:$C$1800,الريسبي!$A$2:$A$1800,$A94,الريسبي!$B$2:$B$1800,"برسيون موتزريلا بيتزا كبير"))</f>
        <v>0</v>
      </c>
      <c r="W94" s="117" t="n">
        <f aca="false">0</f>
        <v>0</v>
      </c>
      <c r="X94" s="117" t="n">
        <f aca="false">SUMIFS(الريسبي!$C$2:$C$1800,الريسبي!$A$2:$A$1800,$A94,الريسبي!$B$2:$B$1800,X$1)+1.5*(SUMIFS(الريسبي!$C$2:$C$1800,الريسبي!$A$2:$A$1800,$A94,الريسبي!$B$2:$B$1800,"برسيون موتزريلا فطير كبير"))</f>
        <v>1.5</v>
      </c>
      <c r="Y94" s="117" t="n">
        <f aca="false">0</f>
        <v>0</v>
      </c>
      <c r="Z94" s="117" t="n">
        <f aca="false">SUMIFS(الريسبي!$C$2:$C$1800,الريسبي!$A$2:$A$1800,$A94,الريسبي!$B$2:$B$1800,Z$1)</f>
        <v>0</v>
      </c>
      <c r="AA94" s="117" t="n">
        <f aca="false">SUMIFS(الريسبي!$C$2:$C$1800,الريسبي!$A$2:$A$1800,$A94,الريسبي!$B$2:$B$1800,AA$1)</f>
        <v>0</v>
      </c>
      <c r="AB94" s="117" t="n">
        <f aca="false">SUMIFS(الريسبي!$C$2:$C$1800,الريسبي!$A$2:$A$1800,$A94,الريسبي!$B$2:$B$1800,AB$1)</f>
        <v>0</v>
      </c>
      <c r="AC94" s="117" t="n">
        <f aca="false">SUMIFS(الريسبي!$C$2:$C$1800,الريسبي!$A$2:$A$1800,$A94,الريسبي!$B$2:$B$1800,AC$1)</f>
        <v>0</v>
      </c>
      <c r="AD94" s="117" t="n">
        <f aca="false">SUMIFS(الريسبي!$C$2:$C$1800,الريسبي!$A$2:$A$1800,$A94,الريسبي!$B$2:$B$1800,AD$1)</f>
        <v>0</v>
      </c>
      <c r="AE94" s="117" t="n">
        <f aca="false">SUMIFS(الريسبي!$C$2:$C$1800,الريسبي!$A$2:$A$1800,$A94,الريسبي!$B$2:$B$1800,AE$1)</f>
        <v>0</v>
      </c>
      <c r="AF94" s="117" t="n">
        <f aca="false">SUMIFS(الريسبي!$C$2:$C$1800,الريسبي!$A$2:$A$1800,$A94,الريسبي!$B$2:$B$1800,AF$1)</f>
        <v>0</v>
      </c>
      <c r="AG94" s="117" t="n">
        <f aca="false">SUMIFS(الريسبي!$C$2:$C$1800,الريسبي!$A$2:$A$1800,$A94,الريسبي!$B$2:$B$1800,AG$1)</f>
        <v>0</v>
      </c>
      <c r="AH94" s="117" t="n">
        <f aca="false">SUMIFS(الريسبي!$C$2:$C$1800,الريسبي!$A$2:$A$1800,$A94,الريسبي!$B$2:$B$1800,AH$1)</f>
        <v>0</v>
      </c>
      <c r="AI94" s="117" t="n">
        <f aca="false">SUMIFS(الريسبي!$C$2:$C$1800,الريسبي!$A$2:$A$1800,$A94,الريسبي!$B$2:$B$1800,AI$1)</f>
        <v>0</v>
      </c>
      <c r="AJ94" s="117" t="n">
        <f aca="false">SUMIFS(الريسبي!$C$2:$C$1800,الريسبي!$A$2:$A$1800,$A94,الريسبي!$B$2:$B$1800,AJ$1)</f>
        <v>2</v>
      </c>
      <c r="AK94" s="117" t="n">
        <f aca="false">SUMIFS(الريسبي!$C$2:$C$1800,الريسبي!$A$2:$A$1800,$A94,الريسبي!$B$2:$B$1800,AK$1)</f>
        <v>0</v>
      </c>
      <c r="AL94" s="117" t="n">
        <f aca="false">SUMIFS(الريسبي!$C$2:$C$1800,الريسبي!$A$2:$A$1800,$A94,الريسبي!$B$2:$B$1800,AL$1)</f>
        <v>0</v>
      </c>
      <c r="AM94" s="117" t="n">
        <f aca="false">SUMIFS(الريسبي!$C$2:$C$1800,الريسبي!$A$2:$A$1800,$A94,الريسبي!$B$2:$B$1800,AM$1)+0.08333333333*SUMIFS(الريسبي!$C$2:$C$1800,الريسبي!$A$2:$A$1800,$A94,الريسبي!$B$2:$B$1800,"عجين كريب (مصنع بالمطعم)")+0.08333333333*SUMIFS(الريسبي!$C$2:$C$1800,الريسبي!$A$2:$A$1800,$A94,الريسبي!$B$2:$B$1800,"عجين كريب صيامي (بدون لبن)")</f>
        <v>0</v>
      </c>
      <c r="AN94" s="117" t="n">
        <f aca="false">SUMIFS(الريسبي!$C$2:$C$1800,الريسبي!$A$2:$A$1800,$A94,الريسبي!$B$2:$B$1800,AN$1)+0.004166666667*SUMIFS(الريسبي!$C$2:$C$1800,الريسبي!$A$2:$A$1800,$A94,الريسبي!$B$2:$B$1800,"عجين كريب (مصنع بالمطعم)")+0.004166666667*SUMIFS(الريسبي!$C$2:$C$1800,الريسبي!$A$2:$A$1800,$A94,الريسبي!$B$2:$B$1800,"عجين كريب صيامي (بدون لبن)")</f>
        <v>0</v>
      </c>
      <c r="AO94" s="117" t="n">
        <f aca="false">SUMIFS(الريسبي!$C$2:$C$1800,الريسبي!$A$2:$A$1800,$A94,الريسبي!$B$2:$B$1800,AO$1)</f>
        <v>0</v>
      </c>
      <c r="AP94" s="117" t="n">
        <f aca="false">SUMIFS(الريسبي!$C$2:$C$1800,الريسبي!$A$2:$A$1800,$A94,الريسبي!$B$2:$B$1800,AP$1)</f>
        <v>0.03</v>
      </c>
      <c r="AQ94" s="117" t="n">
        <f aca="false">SUMIFS(الريسبي!$C$2:$C$1800,الريسبي!$A$2:$A$1800,$A94,الريسبي!$B$2:$B$1800,AQ$1)+0.004166666667*SUMIFS(الريسبي!$C$2:$C$1800,الريسبي!$A$2:$A$1800,$A94,الريسبي!$B$2:$B$1800,"عجين كريب (مصنع بالمطعم)")+0.004166666667*SUMIFS(الريسبي!$C$2:$C$1800,الريسبي!$A$2:$A$1800,$A94,الريسبي!$B$2:$B$1800,"عجين كريب صيامي (بدون لبن)")</f>
        <v>0</v>
      </c>
      <c r="AR94" s="117" t="n">
        <f aca="false">SUMIFS(الريسبي!$C$2:$C$1800,الريسبي!$A$2:$A$1800,$A94,الريسبي!$B$2:$B$1800,AR$1)</f>
        <v>0</v>
      </c>
      <c r="AS94" s="117" t="n">
        <f aca="false">SUMIFS(الريسبي!$C$2:$C$1800,الريسبي!$A$2:$A$1800,$A94,الريسبي!$B$2:$B$1800,AS$1)</f>
        <v>0</v>
      </c>
      <c r="AT94" s="117" t="n">
        <f aca="false">SUMIFS(الريسبي!$C$2:$C$1800,الريسبي!$A$2:$A$1800,$A94,الريسبي!$B$2:$B$1800,AT$1)</f>
        <v>0</v>
      </c>
      <c r="AU94" s="117" t="n">
        <f aca="false">SUMIFS(الريسبي!$C$2:$C$1800,الريسبي!$A$2:$A$1800,$A94,الريسبي!$B$2:$B$1800,AU$1)</f>
        <v>0</v>
      </c>
      <c r="AV94" s="117" t="n">
        <f aca="false">SUMIFS(الريسبي!$C$2:$C$1800,الريسبي!$A$2:$A$1800,$A94,الريسبي!$B$2:$B$1800,AV$1)</f>
        <v>0</v>
      </c>
      <c r="AW94" s="117" t="n">
        <f aca="false">SUMIFS(الريسبي!$C$2:$C$1800,الريسبي!$A$2:$A$1800,$A94,الريسبي!$B$2:$B$1800,AW$1)</f>
        <v>0</v>
      </c>
      <c r="AX94" s="117" t="n">
        <f aca="false">SUMIFS(الريسبي!$C$2:$C$1800,الريسبي!$A$2:$A$1800,$A94,الريسبي!$B$2:$B$1800,AX$1)</f>
        <v>0</v>
      </c>
      <c r="AY94" s="117" t="n">
        <f aca="false">SUMIFS(الريسبي!$C$2:$C$1800,الريسبي!$A$2:$A$1800,$A94,الريسبي!$B$2:$B$1800,AY$1)</f>
        <v>0</v>
      </c>
      <c r="AZ94" s="117" t="n">
        <f aca="false">SUMIFS(الريسبي!$C$2:$C$1800,الريسبي!$A$2:$A$1800,$A94,الريسبي!$B$2:$B$1800,AZ$1)</f>
        <v>0</v>
      </c>
      <c r="BA94" s="117" t="n">
        <f aca="false">SUMIFS(الريسبي!$C$2:$C$1800,الريسبي!$A$2:$A$1800,$A94,الريسبي!$B$2:$B$1800,BA$1)</f>
        <v>0</v>
      </c>
      <c r="BB94" s="117" t="n">
        <f aca="false">SUMIFS(الريسبي!$C$2:$C$1800,الريسبي!$A$2:$A$1800,$A94,الريسبي!$B$2:$B$1800,BB$1)</f>
        <v>0</v>
      </c>
      <c r="BC94" s="117" t="n">
        <f aca="false">SUMIFS(الريسبي!$C$2:$C$1800,الريسبي!$A$2:$A$1800,$A94,الريسبي!$B$2:$B$1800,BC$1)</f>
        <v>0.045</v>
      </c>
      <c r="BD94" s="117" t="n">
        <f aca="false">SUMIFS(الريسبي!$C$2:$C$1800,الريسبي!$A$2:$A$1800,$A94,الريسبي!$B$2:$B$1800,BD$1)</f>
        <v>0</v>
      </c>
      <c r="BE94" s="117" t="n">
        <f aca="false">SUMIFS(الريسبي!$C$2:$C$1800,الريسبي!$A$2:$A$1800,$A94,الريسبي!$B$2:$B$1800,BE$1)</f>
        <v>1.5</v>
      </c>
      <c r="BF94" s="117" t="n">
        <f aca="false">SUMIFS(الريسبي!$C$2:$C$1800,الريسبي!$A$2:$A$1800,$A94,الريسبي!$B$2:$B$1800,BF$1)</f>
        <v>0</v>
      </c>
      <c r="BG94" s="117" t="n">
        <f aca="false">SUMIFS(الريسبي!$C$2:$C$1800,الريسبي!$A$2:$A$1800,$A94,الريسبي!$B$2:$B$1800,BG$1)</f>
        <v>1</v>
      </c>
      <c r="BH94" s="117" t="n">
        <f aca="false">SUMIFS(الريسبي!$C$2:$C$1800,الريسبي!$A$2:$A$1800,$A94,الريسبي!$B$2:$B$1800,BH$1)</f>
        <v>0</v>
      </c>
      <c r="BI94" s="117" t="n">
        <f aca="false">SUMIFS(الريسبي!$C$2:$C$1800,الريسبي!$A$2:$A$1800,$A94,الريسبي!$B$2:$B$1800,BI$1)</f>
        <v>0</v>
      </c>
      <c r="BJ94" s="117" t="n">
        <f aca="false">SUMIFS(الريسبي!$C$2:$C$1800,الريسبي!$A$2:$A$1800,$A94,الريسبي!$B$2:$B$1800,BJ$1)</f>
        <v>0</v>
      </c>
      <c r="BK94" s="117" t="n">
        <f aca="false">SUMIFS(الريسبي!$C$2:$C$1800,الريسبي!$A$2:$A$1800,$A94,الريسبي!$B$2:$B$1800,BK$1)</f>
        <v>0</v>
      </c>
      <c r="BL94" s="117" t="n">
        <f aca="false">SUMIFS(الريسبي!$C$2:$C$1800,الريسبي!$A$2:$A$1800,$A94,الريسبي!$B$2:$B$1800,BL$1)</f>
        <v>0</v>
      </c>
      <c r="BM94" s="117" t="n">
        <f aca="false">SUMIFS(الريسبي!$C$2:$C$1800,الريسبي!$A$2:$A$1800,$A94,الريسبي!$B$2:$B$1800,BM$1)</f>
        <v>0</v>
      </c>
      <c r="BN94" s="117" t="n">
        <f aca="false">SUMIFS(الريسبي!$C$2:$C$1800,الريسبي!$A$2:$A$1800,$A94,الريسبي!$B$2:$B$1800,BN$1)</f>
        <v>0.03</v>
      </c>
      <c r="BO94" s="117" t="n">
        <f aca="false">SUMIFS(الريسبي!$C$2:$C$1800,الريسبي!$A$2:$A$1800,$A94,الريسبي!$B$2:$B$1800,BO$1)</f>
        <v>0</v>
      </c>
      <c r="BP94" s="117" t="n">
        <f aca="false">SUMIFS(الريسبي!$C$2:$C$1800,الريسبي!$A$2:$A$1800,$A94,الريسبي!$B$2:$B$1800,BP$1)</f>
        <v>3</v>
      </c>
      <c r="BQ94" s="117" t="n">
        <f aca="false">SUMIFS(الريسبي!$C$2:$C$1800,الريسبي!$A$2:$A$1800,$A94,الريسبي!$B$2:$B$1800,BQ$1)+0.17*SUMIFS(الريسبي!$C$2:$C$1800,الريسبي!$A$2:$A$1800,$A94,الريسبي!$B$2:$B$1800,"كاسترد مصنع (خليط بودر + لبن)")+0.17*SUMIFS(الريسبي!$C$2:$C$1800,الريسبي!$A$2:$A$1800,$A94,الريسبي!$B$2:$B$1800,"كاسترد مصنع صيامي (بدون لبن)")</f>
        <v>0</v>
      </c>
      <c r="BR94" s="117" t="n">
        <f aca="false">SUMIFS(الريسبي!$C$2:$C$1800,الريسبي!$A$2:$A$1800,$A94,الريسبي!$B$2:$B$1800,BR$1)</f>
        <v>1</v>
      </c>
      <c r="BS94" s="117" t="n">
        <f aca="false">SUMIFS(الريسبي!$C$2:$C$1800,الريسبي!$A$2:$A$1800,$A94,الريسبي!$B$2:$B$1800,BS$1)</f>
        <v>0</v>
      </c>
      <c r="BT94" s="117" t="n">
        <f aca="false">SUMIFS(الريسبي!$C$2:$C$1800,الريسبي!$A$2:$A$1800,$A94,الريسبي!$B$2:$B$1800,BT$1)</f>
        <v>0</v>
      </c>
      <c r="BU94" s="117" t="n">
        <f aca="false">SUMIFS(الريسبي!$C$2:$C$1800,الريسبي!$A$2:$A$1800,$A94,الريسبي!$B$2:$B$1800,BU$1)+0.4*SUMIFS(الريسبي!$C$2:$C$1800,الريسبي!$A$2:$A$1800,$A94,الريسبي!$B$2:$B$1800,"كاسترد مصنع (خليط بودر + لبن)")+0.03333333333*SUMIFS(الريسبي!$C$2:$C$1800,الريسبي!$A$2:$A$1800,$A94,الريسبي!$B$2:$B$1800,"عجين كريب (مصنع بالمطعم)")</f>
        <v>0</v>
      </c>
      <c r="BV94" s="117" t="n">
        <f aca="false">SUMIFS(الريسبي!$C$2:$C$1800,الريسبي!$A$2:$A$1800,$A94,الريسبي!$B$2:$B$1800,BV$1)</f>
        <v>0</v>
      </c>
      <c r="BW94" s="117" t="n">
        <f aca="false">SUMIFS(الريسبي!$C$2:$C$1800,الريسبي!$A$2:$A$1800,$A94,الريسبي!$B$2:$B$1800,BW$1)</f>
        <v>0</v>
      </c>
      <c r="BX94" s="117" t="n">
        <f aca="false">SUMIFS(الريسبي!$C$2:$C$1800,الريسبي!$A$2:$A$1800,$A94,الريسبي!$B$2:$B$1800,BX$1)</f>
        <v>0</v>
      </c>
      <c r="BY94" s="117" t="n">
        <f aca="false">SUMIFS(الريسبي!$C$2:$C$1800,الريسبي!$A$2:$A$1800,$A94,الريسبي!$B$2:$B$1800,BY$1)</f>
        <v>0</v>
      </c>
      <c r="BZ94" s="117" t="n">
        <f aca="false">SUMIFS(الريسبي!$C$2:$C$1800,الريسبي!$A$2:$A$1800,$A94,الريسبي!$B$2:$B$1800,BZ$1)</f>
        <v>0</v>
      </c>
      <c r="CA94" s="117" t="n">
        <f aca="false">SUMIFS(الريسبي!$C$2:$C$1800,الريسبي!$A$2:$A$1800,$A94,الريسبي!$B$2:$B$1800,CA$1)</f>
        <v>1</v>
      </c>
      <c r="CB94" s="117" t="n">
        <f aca="false">SUMIFS(الريسبي!$C$2:$C$1800,الريسبي!$A$2:$A$1800,$A94,الريسبي!$B$2:$B$1800,CB$1)</f>
        <v>1</v>
      </c>
      <c r="CC94" s="117" t="n">
        <f aca="false">SUMIFS(الريسبي!$C$2:$C$1800,الريسبي!$A$2:$A$1800,$A94,الريسبي!$B$2:$B$1800,CC$1)</f>
        <v>0</v>
      </c>
      <c r="CD94" s="117" t="n">
        <f aca="false">SUMIFS(الريسبي!$C$2:$C$1800,الريسبي!$A$2:$A$1800,$A94,الريسبي!$B$2:$B$1800,CD$1)</f>
        <v>0</v>
      </c>
      <c r="CE94" s="117" t="n">
        <f aca="false">SUMIFS(الريسبي!$C$2:$C$1800,الريسبي!$A$2:$A$1800,$A94,الريسبي!$B$2:$B$1800,CE$1)</f>
        <v>0</v>
      </c>
      <c r="CF94" s="117" t="n">
        <f aca="false">SUMIFS(الريسبي!$C$2:$C$1800,الريسبي!$A$2:$A$1800,$A94,الريسبي!$B$2:$B$1800,CF$1)</f>
        <v>0</v>
      </c>
      <c r="CG94" s="117" t="n">
        <f aca="false">SUMIFS(الريسبي!$C$2:$C$1800,الريسبي!$A$2:$A$1800,$A94,الريسبي!$B$2:$B$1800,CG$1)</f>
        <v>0</v>
      </c>
      <c r="CH94" s="117" t="n">
        <f aca="false">SUMIFS(الريسبي!$C$2:$C$1800,الريسبي!$A$2:$A$1800,$A94,الريسبي!$B$2:$B$1800,CH$1)</f>
        <v>0</v>
      </c>
      <c r="CI94" s="117" t="n">
        <f aca="false">SUMIFS(الريسبي!$C$2:$C$1800,الريسبي!$A$2:$A$1800,$A94,الريسبي!$B$2:$B$1800,CI$1)</f>
        <v>0</v>
      </c>
      <c r="CJ94" s="117" t="n">
        <f aca="false">SUMIFS(الريسبي!$C$2:$C$1800,الريسبي!$A$2:$A$1800,$A94,الريسبي!$B$2:$B$1800,CJ$1)</f>
        <v>0</v>
      </c>
      <c r="CK94" s="117" t="n">
        <f aca="false">SUMIFS(الريسبي!$C$2:$C$1800,الريسبي!$A$2:$A$1800,$A94,الريسبي!$B$2:$B$1800,CK$1)</f>
        <v>0</v>
      </c>
      <c r="CL94" s="117" t="n">
        <f aca="false">SUMIFS(الريسبي!$C$2:$C$1800,الريسبي!$A$2:$A$1800,$A94,الريسبي!$B$2:$B$1800,CL$1)</f>
        <v>0</v>
      </c>
    </row>
    <row r="95" customFormat="false" ht="15" hidden="false" customHeight="false" outlineLevel="0" collapsed="false">
      <c r="A95" s="116" t="str">
        <f aca="false">المنيو!B95</f>
        <v>فطيرة مشروم صيامي وسط</v>
      </c>
      <c r="B95" s="117" t="n">
        <f aca="false">SUMIFS(الريسبي!$C$2:$C$1800,الريسبي!$A$2:$A$1800,$A95,الريسبي!$B$2:$B$1800,B$1)</f>
        <v>0</v>
      </c>
      <c r="C95" s="117" t="n">
        <f aca="false">SUMIFS(الريسبي!$C$2:$C$1800,الريسبي!$A$2:$A$1800,$A95,الريسبي!$B$2:$B$1800,C$1)</f>
        <v>0</v>
      </c>
      <c r="D95" s="117" t="n">
        <f aca="false">SUMIFS(الريسبي!$C$2:$C$1800,الريسبي!$A$2:$A$1800,$A95,الريسبي!$B$2:$B$1800,D$1)</f>
        <v>1</v>
      </c>
      <c r="E95" s="117" t="n">
        <f aca="false">SUMIFS(الريسبي!$C$2:$C$1800,الريسبي!$A$2:$A$1800,$A95,الريسبي!$B$2:$B$1800,E$1)</f>
        <v>0</v>
      </c>
      <c r="F95" s="117" t="n">
        <f aca="false">SUMIFS(الريسبي!$C$2:$C$1800,الريسبي!$A$2:$A$1800,$A95,الريسبي!$B$2:$B$1800,F$1)</f>
        <v>0</v>
      </c>
      <c r="G95" s="117" t="n">
        <f aca="false">SUMIFS(الريسبي!$C$2:$C$1800,الريسبي!$A$2:$A$1800,$A95,الريسبي!$B$2:$B$1800,G$1)</f>
        <v>0</v>
      </c>
      <c r="H95" s="117" t="n">
        <f aca="false">SUMIFS(الريسبي!$C$2:$C$1800,الريسبي!$A$2:$A$1800,$A95,الريسبي!$B$2:$B$1800,H$1)</f>
        <v>0</v>
      </c>
      <c r="I95" s="117" t="n">
        <f aca="false">SUMIFS(الريسبي!$C$2:$C$1800,الريسبي!$A$2:$A$1800,$A95,الريسبي!$B$2:$B$1800,I$1)</f>
        <v>0</v>
      </c>
      <c r="J95" s="117" t="n">
        <f aca="false">SUMIFS(الريسبي!$C$2:$C$1800,الريسبي!$A$2:$A$1800,$A95,الريسبي!$B$2:$B$1800,J$1)</f>
        <v>0</v>
      </c>
      <c r="K95" s="117" t="n">
        <f aca="false">SUMIFS(الريسبي!$C$2:$C$1800,الريسبي!$A$2:$A$1800,$A95,الريسبي!$B$2:$B$1800,K$1)</f>
        <v>0</v>
      </c>
      <c r="L95" s="117" t="n">
        <f aca="false">SUMIFS(الريسبي!$C$2:$C$1800,الريسبي!$A$2:$A$1800,$A95,الريسبي!$B$2:$B$1800,L$1)</f>
        <v>0</v>
      </c>
      <c r="M95" s="117" t="n">
        <f aca="false">SUMIFS(الريسبي!$C$2:$C$1800,الريسبي!$A$2:$A$1800,$A95,الريسبي!$B$2:$B$1800,M$1)</f>
        <v>0</v>
      </c>
      <c r="N95" s="117" t="n">
        <f aca="false">SUMIFS(الريسبي!$C$2:$C$1800,الريسبي!$A$2:$A$1800,$A95,الريسبي!$B$2:$B$1800,N$1)</f>
        <v>0</v>
      </c>
      <c r="O95" s="117" t="n">
        <f aca="false">SUMIFS(الريسبي!$C$2:$C$1800,الريسبي!$A$2:$A$1800,$A95,الريسبي!$B$2:$B$1800,O$1)</f>
        <v>0</v>
      </c>
      <c r="P95" s="117" t="n">
        <f aca="false">SUMIFS(الريسبي!$C$2:$C$1800,الريسبي!$A$2:$A$1800,$A95,الريسبي!$B$2:$B$1800,P$1)</f>
        <v>0</v>
      </c>
      <c r="Q95" s="117" t="n">
        <f aca="false">SUMIFS(الريسبي!$C$2:$C$1800,الريسبي!$A$2:$A$1800,$A95,الريسبي!$B$2:$B$1800,Q$1)</f>
        <v>0</v>
      </c>
      <c r="R95" s="117" t="n">
        <f aca="false">SUMIFS(الريسبي!$C$2:$C$1800,الريسبي!$A$2:$A$1800,$A95,الريسبي!$B$2:$B$1800,R$1)</f>
        <v>0</v>
      </c>
      <c r="S95" s="117" t="n">
        <f aca="false">SUMIFS(الريسبي!$C$2:$C$1800,الريسبي!$A$2:$A$1800,$A95,الريسبي!$B$2:$B$1800,S$1)</f>
        <v>0</v>
      </c>
      <c r="T95" s="117" t="n">
        <f aca="false">SUMIFS(الريسبي!$C$2:$C$1800,الريسبي!$A$2:$A$1800,$A95,الريسبي!$B$2:$B$1800,T$1)</f>
        <v>0</v>
      </c>
      <c r="U95" s="117" t="n">
        <f aca="false">SUMIFS(الريسبي!$C$2:$C$1800,الريسبي!$A$2:$A$1800,$A95,الريسبي!$B$2:$B$1800,U$1)</f>
        <v>0</v>
      </c>
      <c r="V95" s="117" t="n">
        <f aca="false">SUMIFS(الريسبي!$C$2:$C$1800,الريسبي!$A$2:$A$1800,$A95,الريسبي!$B$2:$B$1800,V$1)+1.5*(SUMIFS(الريسبي!$C$2:$C$1800,الريسبي!$A$2:$A$1800,$A95,الريسبي!$B$2:$B$1800,"برسيون موتزريلا بيتزا كبير"))</f>
        <v>0</v>
      </c>
      <c r="W95" s="117" t="n">
        <f aca="false">0</f>
        <v>0</v>
      </c>
      <c r="X95" s="117" t="n">
        <f aca="false">SUMIFS(الريسبي!$C$2:$C$1800,الريسبي!$A$2:$A$1800,$A95,الريسبي!$B$2:$B$1800,X$1)+1.5*(SUMIFS(الريسبي!$C$2:$C$1800,الريسبي!$A$2:$A$1800,$A95,الريسبي!$B$2:$B$1800,"برسيون موتزريلا فطير كبير"))</f>
        <v>1</v>
      </c>
      <c r="Y95" s="117" t="n">
        <f aca="false">0</f>
        <v>0</v>
      </c>
      <c r="Z95" s="117" t="n">
        <f aca="false">SUMIFS(الريسبي!$C$2:$C$1800,الريسبي!$A$2:$A$1800,$A95,الريسبي!$B$2:$B$1800,Z$1)</f>
        <v>0</v>
      </c>
      <c r="AA95" s="117" t="n">
        <f aca="false">SUMIFS(الريسبي!$C$2:$C$1800,الريسبي!$A$2:$A$1800,$A95,الريسبي!$B$2:$B$1800,AA$1)</f>
        <v>0</v>
      </c>
      <c r="AB95" s="117" t="n">
        <f aca="false">SUMIFS(الريسبي!$C$2:$C$1800,الريسبي!$A$2:$A$1800,$A95,الريسبي!$B$2:$B$1800,AB$1)</f>
        <v>0</v>
      </c>
      <c r="AC95" s="117" t="n">
        <f aca="false">SUMIFS(الريسبي!$C$2:$C$1800,الريسبي!$A$2:$A$1800,$A95,الريسبي!$B$2:$B$1800,AC$1)</f>
        <v>0</v>
      </c>
      <c r="AD95" s="117" t="n">
        <f aca="false">SUMIFS(الريسبي!$C$2:$C$1800,الريسبي!$A$2:$A$1800,$A95,الريسبي!$B$2:$B$1800,AD$1)</f>
        <v>0</v>
      </c>
      <c r="AE95" s="117" t="n">
        <f aca="false">SUMIFS(الريسبي!$C$2:$C$1800,الريسبي!$A$2:$A$1800,$A95,الريسبي!$B$2:$B$1800,AE$1)</f>
        <v>0</v>
      </c>
      <c r="AF95" s="117" t="n">
        <f aca="false">SUMIFS(الريسبي!$C$2:$C$1800,الريسبي!$A$2:$A$1800,$A95,الريسبي!$B$2:$B$1800,AF$1)</f>
        <v>0</v>
      </c>
      <c r="AG95" s="117" t="n">
        <f aca="false">SUMIFS(الريسبي!$C$2:$C$1800,الريسبي!$A$2:$A$1800,$A95,الريسبي!$B$2:$B$1800,AG$1)</f>
        <v>0</v>
      </c>
      <c r="AH95" s="117" t="n">
        <f aca="false">SUMIFS(الريسبي!$C$2:$C$1800,الريسبي!$A$2:$A$1800,$A95,الريسبي!$B$2:$B$1800,AH$1)</f>
        <v>0</v>
      </c>
      <c r="AI95" s="117" t="n">
        <f aca="false">SUMIFS(الريسبي!$C$2:$C$1800,الريسبي!$A$2:$A$1800,$A95,الريسبي!$B$2:$B$1800,AI$1)</f>
        <v>0</v>
      </c>
      <c r="AJ95" s="117" t="n">
        <f aca="false">SUMIFS(الريسبي!$C$2:$C$1800,الريسبي!$A$2:$A$1800,$A95,الريسبي!$B$2:$B$1800,AJ$1)</f>
        <v>2</v>
      </c>
      <c r="AK95" s="117" t="n">
        <f aca="false">SUMIFS(الريسبي!$C$2:$C$1800,الريسبي!$A$2:$A$1800,$A95,الريسبي!$B$2:$B$1800,AK$1)</f>
        <v>0</v>
      </c>
      <c r="AL95" s="117" t="n">
        <f aca="false">SUMIFS(الريسبي!$C$2:$C$1800,الريسبي!$A$2:$A$1800,$A95,الريسبي!$B$2:$B$1800,AL$1)</f>
        <v>0</v>
      </c>
      <c r="AM95" s="117" t="n">
        <f aca="false">SUMIFS(الريسبي!$C$2:$C$1800,الريسبي!$A$2:$A$1800,$A95,الريسبي!$B$2:$B$1800,AM$1)+0.08333333333*SUMIFS(الريسبي!$C$2:$C$1800,الريسبي!$A$2:$A$1800,$A95,الريسبي!$B$2:$B$1800,"عجين كريب (مصنع بالمطعم)")+0.08333333333*SUMIFS(الريسبي!$C$2:$C$1800,الريسبي!$A$2:$A$1800,$A95,الريسبي!$B$2:$B$1800,"عجين كريب صيامي (بدون لبن)")</f>
        <v>0</v>
      </c>
      <c r="AN95" s="117" t="n">
        <f aca="false">SUMIFS(الريسبي!$C$2:$C$1800,الريسبي!$A$2:$A$1800,$A95,الريسبي!$B$2:$B$1800,AN$1)+0.004166666667*SUMIFS(الريسبي!$C$2:$C$1800,الريسبي!$A$2:$A$1800,$A95,الريسبي!$B$2:$B$1800,"عجين كريب (مصنع بالمطعم)")+0.004166666667*SUMIFS(الريسبي!$C$2:$C$1800,الريسبي!$A$2:$A$1800,$A95,الريسبي!$B$2:$B$1800,"عجين كريب صيامي (بدون لبن)")</f>
        <v>0</v>
      </c>
      <c r="AO95" s="117" t="n">
        <f aca="false">SUMIFS(الريسبي!$C$2:$C$1800,الريسبي!$A$2:$A$1800,$A95,الريسبي!$B$2:$B$1800,AO$1)</f>
        <v>0</v>
      </c>
      <c r="AP95" s="117" t="n">
        <f aca="false">SUMIFS(الريسبي!$C$2:$C$1800,الريسبي!$A$2:$A$1800,$A95,الريسبي!$B$2:$B$1800,AP$1)</f>
        <v>0.02</v>
      </c>
      <c r="AQ95" s="117" t="n">
        <f aca="false">SUMIFS(الريسبي!$C$2:$C$1800,الريسبي!$A$2:$A$1800,$A95,الريسبي!$B$2:$B$1800,AQ$1)+0.004166666667*SUMIFS(الريسبي!$C$2:$C$1800,الريسبي!$A$2:$A$1800,$A95,الريسبي!$B$2:$B$1800,"عجين كريب (مصنع بالمطعم)")+0.004166666667*SUMIFS(الريسبي!$C$2:$C$1800,الريسبي!$A$2:$A$1800,$A95,الريسبي!$B$2:$B$1800,"عجين كريب صيامي (بدون لبن)")</f>
        <v>0</v>
      </c>
      <c r="AR95" s="117" t="n">
        <f aca="false">SUMIFS(الريسبي!$C$2:$C$1800,الريسبي!$A$2:$A$1800,$A95,الريسبي!$B$2:$B$1800,AR$1)</f>
        <v>0</v>
      </c>
      <c r="AS95" s="117" t="n">
        <f aca="false">SUMIFS(الريسبي!$C$2:$C$1800,الريسبي!$A$2:$A$1800,$A95,الريسبي!$B$2:$B$1800,AS$1)</f>
        <v>0</v>
      </c>
      <c r="AT95" s="117" t="n">
        <f aca="false">SUMIFS(الريسبي!$C$2:$C$1800,الريسبي!$A$2:$A$1800,$A95,الريسبي!$B$2:$B$1800,AT$1)</f>
        <v>0</v>
      </c>
      <c r="AU95" s="117" t="n">
        <f aca="false">SUMIFS(الريسبي!$C$2:$C$1800,الريسبي!$A$2:$A$1800,$A95,الريسبي!$B$2:$B$1800,AU$1)</f>
        <v>0</v>
      </c>
      <c r="AV95" s="117" t="n">
        <f aca="false">SUMIFS(الريسبي!$C$2:$C$1800,الريسبي!$A$2:$A$1800,$A95,الريسبي!$B$2:$B$1800,AV$1)</f>
        <v>0</v>
      </c>
      <c r="AW95" s="117" t="n">
        <f aca="false">SUMIFS(الريسبي!$C$2:$C$1800,الريسبي!$A$2:$A$1800,$A95,الريسبي!$B$2:$B$1800,AW$1)</f>
        <v>0</v>
      </c>
      <c r="AX95" s="117" t="n">
        <f aca="false">SUMIFS(الريسبي!$C$2:$C$1800,الريسبي!$A$2:$A$1800,$A95,الريسبي!$B$2:$B$1800,AX$1)</f>
        <v>0</v>
      </c>
      <c r="AY95" s="117" t="n">
        <f aca="false">SUMIFS(الريسبي!$C$2:$C$1800,الريسبي!$A$2:$A$1800,$A95,الريسبي!$B$2:$B$1800,AY$1)</f>
        <v>0</v>
      </c>
      <c r="AZ95" s="117" t="n">
        <f aca="false">SUMIFS(الريسبي!$C$2:$C$1800,الريسبي!$A$2:$A$1800,$A95,الريسبي!$B$2:$B$1800,AZ$1)</f>
        <v>0</v>
      </c>
      <c r="BA95" s="117" t="n">
        <f aca="false">SUMIFS(الريسبي!$C$2:$C$1800,الريسبي!$A$2:$A$1800,$A95,الريسبي!$B$2:$B$1800,BA$1)</f>
        <v>0</v>
      </c>
      <c r="BB95" s="117" t="n">
        <f aca="false">SUMIFS(الريسبي!$C$2:$C$1800,الريسبي!$A$2:$A$1800,$A95,الريسبي!$B$2:$B$1800,BB$1)</f>
        <v>0</v>
      </c>
      <c r="BC95" s="117" t="n">
        <f aca="false">SUMIFS(الريسبي!$C$2:$C$1800,الريسبي!$A$2:$A$1800,$A95,الريسبي!$B$2:$B$1800,BC$1)</f>
        <v>0.03</v>
      </c>
      <c r="BD95" s="117" t="n">
        <f aca="false">SUMIFS(الريسبي!$C$2:$C$1800,الريسبي!$A$2:$A$1800,$A95,الريسبي!$B$2:$B$1800,BD$1)</f>
        <v>0</v>
      </c>
      <c r="BE95" s="117" t="n">
        <f aca="false">SUMIFS(الريسبي!$C$2:$C$1800,الريسبي!$A$2:$A$1800,$A95,الريسبي!$B$2:$B$1800,BE$1)</f>
        <v>1</v>
      </c>
      <c r="BF95" s="117" t="n">
        <f aca="false">SUMIFS(الريسبي!$C$2:$C$1800,الريسبي!$A$2:$A$1800,$A95,الريسبي!$B$2:$B$1800,BF$1)</f>
        <v>0</v>
      </c>
      <c r="BG95" s="117" t="n">
        <f aca="false">SUMIFS(الريسبي!$C$2:$C$1800,الريسبي!$A$2:$A$1800,$A95,الريسبي!$B$2:$B$1800,BG$1)</f>
        <v>0</v>
      </c>
      <c r="BH95" s="117" t="n">
        <f aca="false">SUMIFS(الريسبي!$C$2:$C$1800,الريسبي!$A$2:$A$1800,$A95,الريسبي!$B$2:$B$1800,BH$1)</f>
        <v>1</v>
      </c>
      <c r="BI95" s="117" t="n">
        <f aca="false">SUMIFS(الريسبي!$C$2:$C$1800,الريسبي!$A$2:$A$1800,$A95,الريسبي!$B$2:$B$1800,BI$1)</f>
        <v>0</v>
      </c>
      <c r="BJ95" s="117" t="n">
        <f aca="false">SUMIFS(الريسبي!$C$2:$C$1800,الريسبي!$A$2:$A$1800,$A95,الريسبي!$B$2:$B$1800,BJ$1)</f>
        <v>0</v>
      </c>
      <c r="BK95" s="117" t="n">
        <f aca="false">SUMIFS(الريسبي!$C$2:$C$1800,الريسبي!$A$2:$A$1800,$A95,الريسبي!$B$2:$B$1800,BK$1)</f>
        <v>0</v>
      </c>
      <c r="BL95" s="117" t="n">
        <f aca="false">SUMIFS(الريسبي!$C$2:$C$1800,الريسبي!$A$2:$A$1800,$A95,الريسبي!$B$2:$B$1800,BL$1)</f>
        <v>0</v>
      </c>
      <c r="BM95" s="117" t="n">
        <f aca="false">SUMIFS(الريسبي!$C$2:$C$1800,الريسبي!$A$2:$A$1800,$A95,الريسبي!$B$2:$B$1800,BM$1)</f>
        <v>0</v>
      </c>
      <c r="BN95" s="117" t="n">
        <f aca="false">SUMIFS(الريسبي!$C$2:$C$1800,الريسبي!$A$2:$A$1800,$A95,الريسبي!$B$2:$B$1800,BN$1)</f>
        <v>0.02</v>
      </c>
      <c r="BO95" s="117" t="n">
        <f aca="false">SUMIFS(الريسبي!$C$2:$C$1800,الريسبي!$A$2:$A$1800,$A95,الريسبي!$B$2:$B$1800,BO$1)</f>
        <v>0</v>
      </c>
      <c r="BP95" s="117" t="n">
        <f aca="false">SUMIFS(الريسبي!$C$2:$C$1800,الريسبي!$A$2:$A$1800,$A95,الريسبي!$B$2:$B$1800,BP$1)</f>
        <v>2</v>
      </c>
      <c r="BQ95" s="117" t="n">
        <f aca="false">SUMIFS(الريسبي!$C$2:$C$1800,الريسبي!$A$2:$A$1800,$A95,الريسبي!$B$2:$B$1800,BQ$1)+0.17*SUMIFS(الريسبي!$C$2:$C$1800,الريسبي!$A$2:$A$1800,$A95,الريسبي!$B$2:$B$1800,"كاسترد مصنع (خليط بودر + لبن)")+0.17*SUMIFS(الريسبي!$C$2:$C$1800,الريسبي!$A$2:$A$1800,$A95,الريسبي!$B$2:$B$1800,"كاسترد مصنع صيامي (بدون لبن)")</f>
        <v>0</v>
      </c>
      <c r="BR95" s="117" t="n">
        <f aca="false">SUMIFS(الريسبي!$C$2:$C$1800,الريسبي!$A$2:$A$1800,$A95,الريسبي!$B$2:$B$1800,BR$1)</f>
        <v>1</v>
      </c>
      <c r="BS95" s="117" t="n">
        <f aca="false">SUMIFS(الريسبي!$C$2:$C$1800,الريسبي!$A$2:$A$1800,$A95,الريسبي!$B$2:$B$1800,BS$1)</f>
        <v>0</v>
      </c>
      <c r="BT95" s="117" t="n">
        <f aca="false">SUMIFS(الريسبي!$C$2:$C$1800,الريسبي!$A$2:$A$1800,$A95,الريسبي!$B$2:$B$1800,BT$1)</f>
        <v>0</v>
      </c>
      <c r="BU95" s="117" t="n">
        <f aca="false">SUMIFS(الريسبي!$C$2:$C$1800,الريسبي!$A$2:$A$1800,$A95,الريسبي!$B$2:$B$1800,BU$1)+0.4*SUMIFS(الريسبي!$C$2:$C$1800,الريسبي!$A$2:$A$1800,$A95,الريسبي!$B$2:$B$1800,"كاسترد مصنع (خليط بودر + لبن)")+0.03333333333*SUMIFS(الريسبي!$C$2:$C$1800,الريسبي!$A$2:$A$1800,$A95,الريسبي!$B$2:$B$1800,"عجين كريب (مصنع بالمطعم)")</f>
        <v>0</v>
      </c>
      <c r="BV95" s="117" t="n">
        <f aca="false">SUMIFS(الريسبي!$C$2:$C$1800,الريسبي!$A$2:$A$1800,$A95,الريسبي!$B$2:$B$1800,BV$1)</f>
        <v>0</v>
      </c>
      <c r="BW95" s="117" t="n">
        <f aca="false">SUMIFS(الريسبي!$C$2:$C$1800,الريسبي!$A$2:$A$1800,$A95,الريسبي!$B$2:$B$1800,BW$1)</f>
        <v>0</v>
      </c>
      <c r="BX95" s="117" t="n">
        <f aca="false">SUMIFS(الريسبي!$C$2:$C$1800,الريسبي!$A$2:$A$1800,$A95,الريسبي!$B$2:$B$1800,BX$1)</f>
        <v>0.1</v>
      </c>
      <c r="BY95" s="117" t="n">
        <f aca="false">SUMIFS(الريسبي!$C$2:$C$1800,الريسبي!$A$2:$A$1800,$A95,الريسبي!$B$2:$B$1800,BY$1)</f>
        <v>0</v>
      </c>
      <c r="BZ95" s="117" t="n">
        <f aca="false">SUMIFS(الريسبي!$C$2:$C$1800,الريسبي!$A$2:$A$1800,$A95,الريسبي!$B$2:$B$1800,BZ$1)</f>
        <v>0</v>
      </c>
      <c r="CA95" s="117" t="n">
        <f aca="false">SUMIFS(الريسبي!$C$2:$C$1800,الريسبي!$A$2:$A$1800,$A95,الريسبي!$B$2:$B$1800,CA$1)</f>
        <v>1</v>
      </c>
      <c r="CB95" s="117" t="n">
        <f aca="false">SUMIFS(الريسبي!$C$2:$C$1800,الريسبي!$A$2:$A$1800,$A95,الريسبي!$B$2:$B$1800,CB$1)</f>
        <v>1</v>
      </c>
      <c r="CC95" s="117" t="n">
        <f aca="false">SUMIFS(الريسبي!$C$2:$C$1800,الريسبي!$A$2:$A$1800,$A95,الريسبي!$B$2:$B$1800,CC$1)</f>
        <v>0</v>
      </c>
      <c r="CD95" s="117" t="n">
        <f aca="false">SUMIFS(الريسبي!$C$2:$C$1800,الريسبي!$A$2:$A$1800,$A95,الريسبي!$B$2:$B$1800,CD$1)</f>
        <v>0</v>
      </c>
      <c r="CE95" s="117" t="n">
        <f aca="false">SUMIFS(الريسبي!$C$2:$C$1800,الريسبي!$A$2:$A$1800,$A95,الريسبي!$B$2:$B$1800,CE$1)</f>
        <v>0</v>
      </c>
      <c r="CF95" s="117" t="n">
        <f aca="false">SUMIFS(الريسبي!$C$2:$C$1800,الريسبي!$A$2:$A$1800,$A95,الريسبي!$B$2:$B$1800,CF$1)</f>
        <v>0</v>
      </c>
      <c r="CG95" s="117" t="n">
        <f aca="false">SUMIFS(الريسبي!$C$2:$C$1800,الريسبي!$A$2:$A$1800,$A95,الريسبي!$B$2:$B$1800,CG$1)</f>
        <v>0</v>
      </c>
      <c r="CH95" s="117" t="n">
        <f aca="false">SUMIFS(الريسبي!$C$2:$C$1800,الريسبي!$A$2:$A$1800,$A95,الريسبي!$B$2:$B$1800,CH$1)</f>
        <v>0</v>
      </c>
      <c r="CI95" s="117" t="n">
        <f aca="false">SUMIFS(الريسبي!$C$2:$C$1800,الريسبي!$A$2:$A$1800,$A95,الريسبي!$B$2:$B$1800,CI$1)</f>
        <v>0</v>
      </c>
      <c r="CJ95" s="117" t="n">
        <f aca="false">SUMIFS(الريسبي!$C$2:$C$1800,الريسبي!$A$2:$A$1800,$A95,الريسبي!$B$2:$B$1800,CJ$1)</f>
        <v>0</v>
      </c>
      <c r="CK95" s="117" t="n">
        <f aca="false">SUMIFS(الريسبي!$C$2:$C$1800,الريسبي!$A$2:$A$1800,$A95,الريسبي!$B$2:$B$1800,CK$1)</f>
        <v>0</v>
      </c>
      <c r="CL95" s="117" t="n">
        <f aca="false">SUMIFS(الريسبي!$C$2:$C$1800,الريسبي!$A$2:$A$1800,$A95,الريسبي!$B$2:$B$1800,CL$1)</f>
        <v>0</v>
      </c>
    </row>
    <row r="96" customFormat="false" ht="15" hidden="false" customHeight="false" outlineLevel="0" collapsed="false">
      <c r="A96" s="116" t="str">
        <f aca="false">المنيو!B96</f>
        <v>فطيرة مشروم صيامي مخصوص</v>
      </c>
      <c r="B96" s="117" t="n">
        <f aca="false">SUMIFS(الريسبي!$C$2:$C$1800,الريسبي!$A$2:$A$1800,$A96,الريسبي!$B$2:$B$1800,B$1)</f>
        <v>0</v>
      </c>
      <c r="C96" s="117" t="n">
        <f aca="false">SUMIFS(الريسبي!$C$2:$C$1800,الريسبي!$A$2:$A$1800,$A96,الريسبي!$B$2:$B$1800,C$1)</f>
        <v>0</v>
      </c>
      <c r="D96" s="117" t="n">
        <f aca="false">SUMIFS(الريسبي!$C$2:$C$1800,الريسبي!$A$2:$A$1800,$A96,الريسبي!$B$2:$B$1800,D$1)</f>
        <v>1</v>
      </c>
      <c r="E96" s="117" t="n">
        <f aca="false">SUMIFS(الريسبي!$C$2:$C$1800,الريسبي!$A$2:$A$1800,$A96,الريسبي!$B$2:$B$1800,E$1)</f>
        <v>0</v>
      </c>
      <c r="F96" s="117" t="n">
        <f aca="false">SUMIFS(الريسبي!$C$2:$C$1800,الريسبي!$A$2:$A$1800,$A96,الريسبي!$B$2:$B$1800,F$1)</f>
        <v>0</v>
      </c>
      <c r="G96" s="117" t="n">
        <f aca="false">SUMIFS(الريسبي!$C$2:$C$1800,الريسبي!$A$2:$A$1800,$A96,الريسبي!$B$2:$B$1800,G$1)</f>
        <v>0</v>
      </c>
      <c r="H96" s="117" t="n">
        <f aca="false">SUMIFS(الريسبي!$C$2:$C$1800,الريسبي!$A$2:$A$1800,$A96,الريسبي!$B$2:$B$1800,H$1)</f>
        <v>0</v>
      </c>
      <c r="I96" s="117" t="n">
        <f aca="false">SUMIFS(الريسبي!$C$2:$C$1800,الريسبي!$A$2:$A$1800,$A96,الريسبي!$B$2:$B$1800,I$1)</f>
        <v>0</v>
      </c>
      <c r="J96" s="117" t="n">
        <f aca="false">SUMIFS(الريسبي!$C$2:$C$1800,الريسبي!$A$2:$A$1800,$A96,الريسبي!$B$2:$B$1800,J$1)</f>
        <v>0</v>
      </c>
      <c r="K96" s="117" t="n">
        <f aca="false">SUMIFS(الريسبي!$C$2:$C$1800,الريسبي!$A$2:$A$1800,$A96,الريسبي!$B$2:$B$1800,K$1)</f>
        <v>0</v>
      </c>
      <c r="L96" s="117" t="n">
        <f aca="false">SUMIFS(الريسبي!$C$2:$C$1800,الريسبي!$A$2:$A$1800,$A96,الريسبي!$B$2:$B$1800,L$1)</f>
        <v>0</v>
      </c>
      <c r="M96" s="117" t="n">
        <f aca="false">SUMIFS(الريسبي!$C$2:$C$1800,الريسبي!$A$2:$A$1800,$A96,الريسبي!$B$2:$B$1800,M$1)</f>
        <v>0</v>
      </c>
      <c r="N96" s="117" t="n">
        <f aca="false">SUMIFS(الريسبي!$C$2:$C$1800,الريسبي!$A$2:$A$1800,$A96,الريسبي!$B$2:$B$1800,N$1)</f>
        <v>0</v>
      </c>
      <c r="O96" s="117" t="n">
        <f aca="false">SUMIFS(الريسبي!$C$2:$C$1800,الريسبي!$A$2:$A$1800,$A96,الريسبي!$B$2:$B$1800,O$1)</f>
        <v>0</v>
      </c>
      <c r="P96" s="117" t="n">
        <f aca="false">SUMIFS(الريسبي!$C$2:$C$1800,الريسبي!$A$2:$A$1800,$A96,الريسبي!$B$2:$B$1800,P$1)</f>
        <v>0</v>
      </c>
      <c r="Q96" s="117" t="n">
        <f aca="false">SUMIFS(الريسبي!$C$2:$C$1800,الريسبي!$A$2:$A$1800,$A96,الريسبي!$B$2:$B$1800,Q$1)</f>
        <v>0</v>
      </c>
      <c r="R96" s="117" t="n">
        <f aca="false">SUMIFS(الريسبي!$C$2:$C$1800,الريسبي!$A$2:$A$1800,$A96,الريسبي!$B$2:$B$1800,R$1)</f>
        <v>0</v>
      </c>
      <c r="S96" s="117" t="n">
        <f aca="false">SUMIFS(الريسبي!$C$2:$C$1800,الريسبي!$A$2:$A$1800,$A96,الريسبي!$B$2:$B$1800,S$1)</f>
        <v>0</v>
      </c>
      <c r="T96" s="117" t="n">
        <f aca="false">SUMIFS(الريسبي!$C$2:$C$1800,الريسبي!$A$2:$A$1800,$A96,الريسبي!$B$2:$B$1800,T$1)</f>
        <v>0</v>
      </c>
      <c r="U96" s="117" t="n">
        <f aca="false">SUMIFS(الريسبي!$C$2:$C$1800,الريسبي!$A$2:$A$1800,$A96,الريسبي!$B$2:$B$1800,U$1)</f>
        <v>0</v>
      </c>
      <c r="V96" s="117" t="n">
        <f aca="false">SUMIFS(الريسبي!$C$2:$C$1800,الريسبي!$A$2:$A$1800,$A96,الريسبي!$B$2:$B$1800,V$1)+1.5*(SUMIFS(الريسبي!$C$2:$C$1800,الريسبي!$A$2:$A$1800,$A96,الريسبي!$B$2:$B$1800,"برسيون موتزريلا بيتزا كبير"))</f>
        <v>0</v>
      </c>
      <c r="W96" s="117" t="n">
        <f aca="false">0</f>
        <v>0</v>
      </c>
      <c r="X96" s="117" t="n">
        <f aca="false">SUMIFS(الريسبي!$C$2:$C$1800,الريسبي!$A$2:$A$1800,$A96,الريسبي!$B$2:$B$1800,X$1)+1.5*(SUMIFS(الريسبي!$C$2:$C$1800,الريسبي!$A$2:$A$1800,$A96,الريسبي!$B$2:$B$1800,"برسيون موتزريلا فطير كبير"))</f>
        <v>1.5</v>
      </c>
      <c r="Y96" s="117" t="n">
        <f aca="false">0</f>
        <v>0</v>
      </c>
      <c r="Z96" s="117" t="n">
        <f aca="false">SUMIFS(الريسبي!$C$2:$C$1800,الريسبي!$A$2:$A$1800,$A96,الريسبي!$B$2:$B$1800,Z$1)</f>
        <v>0</v>
      </c>
      <c r="AA96" s="117" t="n">
        <f aca="false">SUMIFS(الريسبي!$C$2:$C$1800,الريسبي!$A$2:$A$1800,$A96,الريسبي!$B$2:$B$1800,AA$1)</f>
        <v>0</v>
      </c>
      <c r="AB96" s="117" t="n">
        <f aca="false">SUMIFS(الريسبي!$C$2:$C$1800,الريسبي!$A$2:$A$1800,$A96,الريسبي!$B$2:$B$1800,AB$1)</f>
        <v>0</v>
      </c>
      <c r="AC96" s="117" t="n">
        <f aca="false">SUMIFS(الريسبي!$C$2:$C$1800,الريسبي!$A$2:$A$1800,$A96,الريسبي!$B$2:$B$1800,AC$1)</f>
        <v>0</v>
      </c>
      <c r="AD96" s="117" t="n">
        <f aca="false">SUMIFS(الريسبي!$C$2:$C$1800,الريسبي!$A$2:$A$1800,$A96,الريسبي!$B$2:$B$1800,AD$1)</f>
        <v>0</v>
      </c>
      <c r="AE96" s="117" t="n">
        <f aca="false">SUMIFS(الريسبي!$C$2:$C$1800,الريسبي!$A$2:$A$1800,$A96,الريسبي!$B$2:$B$1800,AE$1)</f>
        <v>0</v>
      </c>
      <c r="AF96" s="117" t="n">
        <f aca="false">SUMIFS(الريسبي!$C$2:$C$1800,الريسبي!$A$2:$A$1800,$A96,الريسبي!$B$2:$B$1800,AF$1)</f>
        <v>0</v>
      </c>
      <c r="AG96" s="117" t="n">
        <f aca="false">SUMIFS(الريسبي!$C$2:$C$1800,الريسبي!$A$2:$A$1800,$A96,الريسبي!$B$2:$B$1800,AG$1)</f>
        <v>0</v>
      </c>
      <c r="AH96" s="117" t="n">
        <f aca="false">SUMIFS(الريسبي!$C$2:$C$1800,الريسبي!$A$2:$A$1800,$A96,الريسبي!$B$2:$B$1800,AH$1)</f>
        <v>0</v>
      </c>
      <c r="AI96" s="117" t="n">
        <f aca="false">SUMIFS(الريسبي!$C$2:$C$1800,الريسبي!$A$2:$A$1800,$A96,الريسبي!$B$2:$B$1800,AI$1)</f>
        <v>0</v>
      </c>
      <c r="AJ96" s="117" t="n">
        <f aca="false">SUMIFS(الريسبي!$C$2:$C$1800,الريسبي!$A$2:$A$1800,$A96,الريسبي!$B$2:$B$1800,AJ$1)</f>
        <v>2</v>
      </c>
      <c r="AK96" s="117" t="n">
        <f aca="false">SUMIFS(الريسبي!$C$2:$C$1800,الريسبي!$A$2:$A$1800,$A96,الريسبي!$B$2:$B$1800,AK$1)</f>
        <v>0</v>
      </c>
      <c r="AL96" s="117" t="n">
        <f aca="false">SUMIFS(الريسبي!$C$2:$C$1800,الريسبي!$A$2:$A$1800,$A96,الريسبي!$B$2:$B$1800,AL$1)</f>
        <v>0</v>
      </c>
      <c r="AM96" s="117" t="n">
        <f aca="false">SUMIFS(الريسبي!$C$2:$C$1800,الريسبي!$A$2:$A$1800,$A96,الريسبي!$B$2:$B$1800,AM$1)+0.08333333333*SUMIFS(الريسبي!$C$2:$C$1800,الريسبي!$A$2:$A$1800,$A96,الريسبي!$B$2:$B$1800,"عجين كريب (مصنع بالمطعم)")+0.08333333333*SUMIFS(الريسبي!$C$2:$C$1800,الريسبي!$A$2:$A$1800,$A96,الريسبي!$B$2:$B$1800,"عجين كريب صيامي (بدون لبن)")</f>
        <v>0</v>
      </c>
      <c r="AN96" s="117" t="n">
        <f aca="false">SUMIFS(الريسبي!$C$2:$C$1800,الريسبي!$A$2:$A$1800,$A96,الريسبي!$B$2:$B$1800,AN$1)+0.004166666667*SUMIFS(الريسبي!$C$2:$C$1800,الريسبي!$A$2:$A$1800,$A96,الريسبي!$B$2:$B$1800,"عجين كريب (مصنع بالمطعم)")+0.004166666667*SUMIFS(الريسبي!$C$2:$C$1800,الريسبي!$A$2:$A$1800,$A96,الريسبي!$B$2:$B$1800,"عجين كريب صيامي (بدون لبن)")</f>
        <v>0</v>
      </c>
      <c r="AO96" s="117" t="n">
        <f aca="false">SUMIFS(الريسبي!$C$2:$C$1800,الريسبي!$A$2:$A$1800,$A96,الريسبي!$B$2:$B$1800,AO$1)</f>
        <v>0</v>
      </c>
      <c r="AP96" s="117" t="n">
        <f aca="false">SUMIFS(الريسبي!$C$2:$C$1800,الريسبي!$A$2:$A$1800,$A96,الريسبي!$B$2:$B$1800,AP$1)</f>
        <v>0.03</v>
      </c>
      <c r="AQ96" s="117" t="n">
        <f aca="false">SUMIFS(الريسبي!$C$2:$C$1800,الريسبي!$A$2:$A$1800,$A96,الريسبي!$B$2:$B$1800,AQ$1)+0.004166666667*SUMIFS(الريسبي!$C$2:$C$1800,الريسبي!$A$2:$A$1800,$A96,الريسبي!$B$2:$B$1800,"عجين كريب (مصنع بالمطعم)")+0.004166666667*SUMIFS(الريسبي!$C$2:$C$1800,الريسبي!$A$2:$A$1800,$A96,الريسبي!$B$2:$B$1800,"عجين كريب صيامي (بدون لبن)")</f>
        <v>0</v>
      </c>
      <c r="AR96" s="117" t="n">
        <f aca="false">SUMIFS(الريسبي!$C$2:$C$1800,الريسبي!$A$2:$A$1800,$A96,الريسبي!$B$2:$B$1800,AR$1)</f>
        <v>0</v>
      </c>
      <c r="AS96" s="117" t="n">
        <f aca="false">SUMIFS(الريسبي!$C$2:$C$1800,الريسبي!$A$2:$A$1800,$A96,الريسبي!$B$2:$B$1800,AS$1)</f>
        <v>0</v>
      </c>
      <c r="AT96" s="117" t="n">
        <f aca="false">SUMIFS(الريسبي!$C$2:$C$1800,الريسبي!$A$2:$A$1800,$A96,الريسبي!$B$2:$B$1800,AT$1)</f>
        <v>0</v>
      </c>
      <c r="AU96" s="117" t="n">
        <f aca="false">SUMIFS(الريسبي!$C$2:$C$1800,الريسبي!$A$2:$A$1800,$A96,الريسبي!$B$2:$B$1800,AU$1)</f>
        <v>0</v>
      </c>
      <c r="AV96" s="117" t="n">
        <f aca="false">SUMIFS(الريسبي!$C$2:$C$1800,الريسبي!$A$2:$A$1800,$A96,الريسبي!$B$2:$B$1800,AV$1)</f>
        <v>0</v>
      </c>
      <c r="AW96" s="117" t="n">
        <f aca="false">SUMIFS(الريسبي!$C$2:$C$1800,الريسبي!$A$2:$A$1800,$A96,الريسبي!$B$2:$B$1800,AW$1)</f>
        <v>0</v>
      </c>
      <c r="AX96" s="117" t="n">
        <f aca="false">SUMIFS(الريسبي!$C$2:$C$1800,الريسبي!$A$2:$A$1800,$A96,الريسبي!$B$2:$B$1800,AX$1)</f>
        <v>0</v>
      </c>
      <c r="AY96" s="117" t="n">
        <f aca="false">SUMIFS(الريسبي!$C$2:$C$1800,الريسبي!$A$2:$A$1800,$A96,الريسبي!$B$2:$B$1800,AY$1)</f>
        <v>0</v>
      </c>
      <c r="AZ96" s="117" t="n">
        <f aca="false">SUMIFS(الريسبي!$C$2:$C$1800,الريسبي!$A$2:$A$1800,$A96,الريسبي!$B$2:$B$1800,AZ$1)</f>
        <v>0</v>
      </c>
      <c r="BA96" s="117" t="n">
        <f aca="false">SUMIFS(الريسبي!$C$2:$C$1800,الريسبي!$A$2:$A$1800,$A96,الريسبي!$B$2:$B$1800,BA$1)</f>
        <v>0</v>
      </c>
      <c r="BB96" s="117" t="n">
        <f aca="false">SUMIFS(الريسبي!$C$2:$C$1800,الريسبي!$A$2:$A$1800,$A96,الريسبي!$B$2:$B$1800,BB$1)</f>
        <v>0</v>
      </c>
      <c r="BC96" s="117" t="n">
        <f aca="false">SUMIFS(الريسبي!$C$2:$C$1800,الريسبي!$A$2:$A$1800,$A96,الريسبي!$B$2:$B$1800,BC$1)</f>
        <v>0.045</v>
      </c>
      <c r="BD96" s="117" t="n">
        <f aca="false">SUMIFS(الريسبي!$C$2:$C$1800,الريسبي!$A$2:$A$1800,$A96,الريسبي!$B$2:$B$1800,BD$1)</f>
        <v>0</v>
      </c>
      <c r="BE96" s="117" t="n">
        <f aca="false">SUMIFS(الريسبي!$C$2:$C$1800,الريسبي!$A$2:$A$1800,$A96,الريسبي!$B$2:$B$1800,BE$1)</f>
        <v>1.5</v>
      </c>
      <c r="BF96" s="117" t="n">
        <f aca="false">SUMIFS(الريسبي!$C$2:$C$1800,الريسبي!$A$2:$A$1800,$A96,الريسبي!$B$2:$B$1800,BF$1)</f>
        <v>0</v>
      </c>
      <c r="BG96" s="117" t="n">
        <f aca="false">SUMIFS(الريسبي!$C$2:$C$1800,الريسبي!$A$2:$A$1800,$A96,الريسبي!$B$2:$B$1800,BG$1)</f>
        <v>1</v>
      </c>
      <c r="BH96" s="117" t="n">
        <f aca="false">SUMIFS(الريسبي!$C$2:$C$1800,الريسبي!$A$2:$A$1800,$A96,الريسبي!$B$2:$B$1800,BH$1)</f>
        <v>0</v>
      </c>
      <c r="BI96" s="117" t="n">
        <f aca="false">SUMIFS(الريسبي!$C$2:$C$1800,الريسبي!$A$2:$A$1800,$A96,الريسبي!$B$2:$B$1800,BI$1)</f>
        <v>0</v>
      </c>
      <c r="BJ96" s="117" t="n">
        <f aca="false">SUMIFS(الريسبي!$C$2:$C$1800,الريسبي!$A$2:$A$1800,$A96,الريسبي!$B$2:$B$1800,BJ$1)</f>
        <v>0</v>
      </c>
      <c r="BK96" s="117" t="n">
        <f aca="false">SUMIFS(الريسبي!$C$2:$C$1800,الريسبي!$A$2:$A$1800,$A96,الريسبي!$B$2:$B$1800,BK$1)</f>
        <v>0</v>
      </c>
      <c r="BL96" s="117" t="n">
        <f aca="false">SUMIFS(الريسبي!$C$2:$C$1800,الريسبي!$A$2:$A$1800,$A96,الريسبي!$B$2:$B$1800,BL$1)</f>
        <v>0</v>
      </c>
      <c r="BM96" s="117" t="n">
        <f aca="false">SUMIFS(الريسبي!$C$2:$C$1800,الريسبي!$A$2:$A$1800,$A96,الريسبي!$B$2:$B$1800,BM$1)</f>
        <v>0</v>
      </c>
      <c r="BN96" s="117" t="n">
        <f aca="false">SUMIFS(الريسبي!$C$2:$C$1800,الريسبي!$A$2:$A$1800,$A96,الريسبي!$B$2:$B$1800,BN$1)</f>
        <v>0.03</v>
      </c>
      <c r="BO96" s="117" t="n">
        <f aca="false">SUMIFS(الريسبي!$C$2:$C$1800,الريسبي!$A$2:$A$1800,$A96,الريسبي!$B$2:$B$1800,BO$1)</f>
        <v>0</v>
      </c>
      <c r="BP96" s="117" t="n">
        <f aca="false">SUMIFS(الريسبي!$C$2:$C$1800,الريسبي!$A$2:$A$1800,$A96,الريسبي!$B$2:$B$1800,BP$1)</f>
        <v>3</v>
      </c>
      <c r="BQ96" s="117" t="n">
        <f aca="false">SUMIFS(الريسبي!$C$2:$C$1800,الريسبي!$A$2:$A$1800,$A96,الريسبي!$B$2:$B$1800,BQ$1)+0.17*SUMIFS(الريسبي!$C$2:$C$1800,الريسبي!$A$2:$A$1800,$A96,الريسبي!$B$2:$B$1800,"كاسترد مصنع (خليط بودر + لبن)")+0.17*SUMIFS(الريسبي!$C$2:$C$1800,الريسبي!$A$2:$A$1800,$A96,الريسبي!$B$2:$B$1800,"كاسترد مصنع صيامي (بدون لبن)")</f>
        <v>0</v>
      </c>
      <c r="BR96" s="117" t="n">
        <f aca="false">SUMIFS(الريسبي!$C$2:$C$1800,الريسبي!$A$2:$A$1800,$A96,الريسبي!$B$2:$B$1800,BR$1)</f>
        <v>1</v>
      </c>
      <c r="BS96" s="117" t="n">
        <f aca="false">SUMIFS(الريسبي!$C$2:$C$1800,الريسبي!$A$2:$A$1800,$A96,الريسبي!$B$2:$B$1800,BS$1)</f>
        <v>0</v>
      </c>
      <c r="BT96" s="117" t="n">
        <f aca="false">SUMIFS(الريسبي!$C$2:$C$1800,الريسبي!$A$2:$A$1800,$A96,الريسبي!$B$2:$B$1800,BT$1)</f>
        <v>0</v>
      </c>
      <c r="BU96" s="117" t="n">
        <f aca="false">SUMIFS(الريسبي!$C$2:$C$1800,الريسبي!$A$2:$A$1800,$A96,الريسبي!$B$2:$B$1800,BU$1)+0.4*SUMIFS(الريسبي!$C$2:$C$1800,الريسبي!$A$2:$A$1800,$A96,الريسبي!$B$2:$B$1800,"كاسترد مصنع (خليط بودر + لبن)")+0.03333333333*SUMIFS(الريسبي!$C$2:$C$1800,الريسبي!$A$2:$A$1800,$A96,الريسبي!$B$2:$B$1800,"عجين كريب (مصنع بالمطعم)")</f>
        <v>0</v>
      </c>
      <c r="BV96" s="117" t="n">
        <f aca="false">SUMIFS(الريسبي!$C$2:$C$1800,الريسبي!$A$2:$A$1800,$A96,الريسبي!$B$2:$B$1800,BV$1)</f>
        <v>0</v>
      </c>
      <c r="BW96" s="117" t="n">
        <f aca="false">SUMIFS(الريسبي!$C$2:$C$1800,الريسبي!$A$2:$A$1800,$A96,الريسبي!$B$2:$B$1800,BW$1)</f>
        <v>0</v>
      </c>
      <c r="BX96" s="117" t="n">
        <f aca="false">SUMIFS(الريسبي!$C$2:$C$1800,الريسبي!$A$2:$A$1800,$A96,الريسبي!$B$2:$B$1800,BX$1)</f>
        <v>0.15</v>
      </c>
      <c r="BY96" s="117" t="n">
        <f aca="false">SUMIFS(الريسبي!$C$2:$C$1800,الريسبي!$A$2:$A$1800,$A96,الريسبي!$B$2:$B$1800,BY$1)</f>
        <v>0</v>
      </c>
      <c r="BZ96" s="117" t="n">
        <f aca="false">SUMIFS(الريسبي!$C$2:$C$1800,الريسبي!$A$2:$A$1800,$A96,الريسبي!$B$2:$B$1800,BZ$1)</f>
        <v>0</v>
      </c>
      <c r="CA96" s="117" t="n">
        <f aca="false">SUMIFS(الريسبي!$C$2:$C$1800,الريسبي!$A$2:$A$1800,$A96,الريسبي!$B$2:$B$1800,CA$1)</f>
        <v>1</v>
      </c>
      <c r="CB96" s="117" t="n">
        <f aca="false">SUMIFS(الريسبي!$C$2:$C$1800,الريسبي!$A$2:$A$1800,$A96,الريسبي!$B$2:$B$1800,CB$1)</f>
        <v>1</v>
      </c>
      <c r="CC96" s="117" t="n">
        <f aca="false">SUMIFS(الريسبي!$C$2:$C$1800,الريسبي!$A$2:$A$1800,$A96,الريسبي!$B$2:$B$1800,CC$1)</f>
        <v>0</v>
      </c>
      <c r="CD96" s="117" t="n">
        <f aca="false">SUMIFS(الريسبي!$C$2:$C$1800,الريسبي!$A$2:$A$1800,$A96,الريسبي!$B$2:$B$1800,CD$1)</f>
        <v>0</v>
      </c>
      <c r="CE96" s="117" t="n">
        <f aca="false">SUMIFS(الريسبي!$C$2:$C$1800,الريسبي!$A$2:$A$1800,$A96,الريسبي!$B$2:$B$1800,CE$1)</f>
        <v>0</v>
      </c>
      <c r="CF96" s="117" t="n">
        <f aca="false">SUMIFS(الريسبي!$C$2:$C$1800,الريسبي!$A$2:$A$1800,$A96,الريسبي!$B$2:$B$1800,CF$1)</f>
        <v>0</v>
      </c>
      <c r="CG96" s="117" t="n">
        <f aca="false">SUMIFS(الريسبي!$C$2:$C$1800,الريسبي!$A$2:$A$1800,$A96,الريسبي!$B$2:$B$1800,CG$1)</f>
        <v>0</v>
      </c>
      <c r="CH96" s="117" t="n">
        <f aca="false">SUMIFS(الريسبي!$C$2:$C$1800,الريسبي!$A$2:$A$1800,$A96,الريسبي!$B$2:$B$1800,CH$1)</f>
        <v>0</v>
      </c>
      <c r="CI96" s="117" t="n">
        <f aca="false">SUMIFS(الريسبي!$C$2:$C$1800,الريسبي!$A$2:$A$1800,$A96,الريسبي!$B$2:$B$1800,CI$1)</f>
        <v>0</v>
      </c>
      <c r="CJ96" s="117" t="n">
        <f aca="false">SUMIFS(الريسبي!$C$2:$C$1800,الريسبي!$A$2:$A$1800,$A96,الريسبي!$B$2:$B$1800,CJ$1)</f>
        <v>0</v>
      </c>
      <c r="CK96" s="117" t="n">
        <f aca="false">SUMIFS(الريسبي!$C$2:$C$1800,الريسبي!$A$2:$A$1800,$A96,الريسبي!$B$2:$B$1800,CK$1)</f>
        <v>0</v>
      </c>
      <c r="CL96" s="117" t="n">
        <f aca="false">SUMIFS(الريسبي!$C$2:$C$1800,الريسبي!$A$2:$A$1800,$A96,الريسبي!$B$2:$B$1800,CL$1)</f>
        <v>0</v>
      </c>
    </row>
    <row r="97" customFormat="false" ht="15" hidden="false" customHeight="false" outlineLevel="0" collapsed="false">
      <c r="A97" s="116" t="str">
        <f aca="false">المنيو!B97</f>
        <v>فطيرة سوسيس صيامي وسط</v>
      </c>
      <c r="B97" s="117" t="n">
        <f aca="false">SUMIFS(الريسبي!$C$2:$C$1800,الريسبي!$A$2:$A$1800,$A97,الريسبي!$B$2:$B$1800,B$1)</f>
        <v>0</v>
      </c>
      <c r="C97" s="117" t="n">
        <f aca="false">SUMIFS(الريسبي!$C$2:$C$1800,الريسبي!$A$2:$A$1800,$A97,الريسبي!$B$2:$B$1800,C$1)</f>
        <v>0</v>
      </c>
      <c r="D97" s="117" t="n">
        <f aca="false">SUMIFS(الريسبي!$C$2:$C$1800,الريسبي!$A$2:$A$1800,$A97,الريسبي!$B$2:$B$1800,D$1)</f>
        <v>1</v>
      </c>
      <c r="E97" s="117" t="n">
        <f aca="false">SUMIFS(الريسبي!$C$2:$C$1800,الريسبي!$A$2:$A$1800,$A97,الريسبي!$B$2:$B$1800,E$1)</f>
        <v>0</v>
      </c>
      <c r="F97" s="117" t="n">
        <f aca="false">SUMIFS(الريسبي!$C$2:$C$1800,الريسبي!$A$2:$A$1800,$A97,الريسبي!$B$2:$B$1800,F$1)</f>
        <v>0</v>
      </c>
      <c r="G97" s="117" t="n">
        <f aca="false">SUMIFS(الريسبي!$C$2:$C$1800,الريسبي!$A$2:$A$1800,$A97,الريسبي!$B$2:$B$1800,G$1)</f>
        <v>0</v>
      </c>
      <c r="H97" s="117" t="n">
        <f aca="false">SUMIFS(الريسبي!$C$2:$C$1800,الريسبي!$A$2:$A$1800,$A97,الريسبي!$B$2:$B$1800,H$1)</f>
        <v>0</v>
      </c>
      <c r="I97" s="117" t="n">
        <f aca="false">SUMIFS(الريسبي!$C$2:$C$1800,الريسبي!$A$2:$A$1800,$A97,الريسبي!$B$2:$B$1800,I$1)</f>
        <v>0</v>
      </c>
      <c r="J97" s="117" t="n">
        <f aca="false">SUMIFS(الريسبي!$C$2:$C$1800,الريسبي!$A$2:$A$1800,$A97,الريسبي!$B$2:$B$1800,J$1)</f>
        <v>0</v>
      </c>
      <c r="K97" s="117" t="n">
        <f aca="false">SUMIFS(الريسبي!$C$2:$C$1800,الريسبي!$A$2:$A$1800,$A97,الريسبي!$B$2:$B$1800,K$1)</f>
        <v>0</v>
      </c>
      <c r="L97" s="117" t="n">
        <f aca="false">SUMIFS(الريسبي!$C$2:$C$1800,الريسبي!$A$2:$A$1800,$A97,الريسبي!$B$2:$B$1800,L$1)</f>
        <v>0</v>
      </c>
      <c r="M97" s="117" t="n">
        <f aca="false">SUMIFS(الريسبي!$C$2:$C$1800,الريسبي!$A$2:$A$1800,$A97,الريسبي!$B$2:$B$1800,M$1)</f>
        <v>0</v>
      </c>
      <c r="N97" s="117" t="n">
        <f aca="false">SUMIFS(الريسبي!$C$2:$C$1800,الريسبي!$A$2:$A$1800,$A97,الريسبي!$B$2:$B$1800,N$1)</f>
        <v>0</v>
      </c>
      <c r="O97" s="117" t="n">
        <f aca="false">SUMIFS(الريسبي!$C$2:$C$1800,الريسبي!$A$2:$A$1800,$A97,الريسبي!$B$2:$B$1800,O$1)</f>
        <v>0</v>
      </c>
      <c r="P97" s="117" t="n">
        <f aca="false">SUMIFS(الريسبي!$C$2:$C$1800,الريسبي!$A$2:$A$1800,$A97,الريسبي!$B$2:$B$1800,P$1)</f>
        <v>0</v>
      </c>
      <c r="Q97" s="117" t="n">
        <f aca="false">SUMIFS(الريسبي!$C$2:$C$1800,الريسبي!$A$2:$A$1800,$A97,الريسبي!$B$2:$B$1800,Q$1)</f>
        <v>0</v>
      </c>
      <c r="R97" s="117" t="n">
        <f aca="false">SUMIFS(الريسبي!$C$2:$C$1800,الريسبي!$A$2:$A$1800,$A97,الريسبي!$B$2:$B$1800,R$1)</f>
        <v>0</v>
      </c>
      <c r="S97" s="117" t="n">
        <f aca="false">SUMIFS(الريسبي!$C$2:$C$1800,الريسبي!$A$2:$A$1800,$A97,الريسبي!$B$2:$B$1800,S$1)</f>
        <v>0</v>
      </c>
      <c r="T97" s="117" t="n">
        <f aca="false">SUMIFS(الريسبي!$C$2:$C$1800,الريسبي!$A$2:$A$1800,$A97,الريسبي!$B$2:$B$1800,T$1)</f>
        <v>0</v>
      </c>
      <c r="U97" s="117" t="n">
        <f aca="false">SUMIFS(الريسبي!$C$2:$C$1800,الريسبي!$A$2:$A$1800,$A97,الريسبي!$B$2:$B$1800,U$1)</f>
        <v>0</v>
      </c>
      <c r="V97" s="117" t="n">
        <f aca="false">SUMIFS(الريسبي!$C$2:$C$1800,الريسبي!$A$2:$A$1800,$A97,الريسبي!$B$2:$B$1800,V$1)+1.5*(SUMIFS(الريسبي!$C$2:$C$1800,الريسبي!$A$2:$A$1800,$A97,الريسبي!$B$2:$B$1800,"برسيون موتزريلا بيتزا كبير"))</f>
        <v>0</v>
      </c>
      <c r="W97" s="117" t="n">
        <f aca="false">0</f>
        <v>0</v>
      </c>
      <c r="X97" s="117" t="n">
        <f aca="false">SUMIFS(الريسبي!$C$2:$C$1800,الريسبي!$A$2:$A$1800,$A97,الريسبي!$B$2:$B$1800,X$1)+1.5*(SUMIFS(الريسبي!$C$2:$C$1800,الريسبي!$A$2:$A$1800,$A97,الريسبي!$B$2:$B$1800,"برسيون موتزريلا فطير كبير"))</f>
        <v>1</v>
      </c>
      <c r="Y97" s="117" t="n">
        <f aca="false">0</f>
        <v>0</v>
      </c>
      <c r="Z97" s="117" t="n">
        <f aca="false">SUMIFS(الريسبي!$C$2:$C$1800,الريسبي!$A$2:$A$1800,$A97,الريسبي!$B$2:$B$1800,Z$1)</f>
        <v>0</v>
      </c>
      <c r="AA97" s="117" t="n">
        <f aca="false">SUMIFS(الريسبي!$C$2:$C$1800,الريسبي!$A$2:$A$1800,$A97,الريسبي!$B$2:$B$1800,AA$1)</f>
        <v>0</v>
      </c>
      <c r="AB97" s="117" t="n">
        <f aca="false">SUMIFS(الريسبي!$C$2:$C$1800,الريسبي!$A$2:$A$1800,$A97,الريسبي!$B$2:$B$1800,AB$1)</f>
        <v>0</v>
      </c>
      <c r="AC97" s="117" t="n">
        <f aca="false">SUMIFS(الريسبي!$C$2:$C$1800,الريسبي!$A$2:$A$1800,$A97,الريسبي!$B$2:$B$1800,AC$1)</f>
        <v>0</v>
      </c>
      <c r="AD97" s="117" t="n">
        <f aca="false">SUMIFS(الريسبي!$C$2:$C$1800,الريسبي!$A$2:$A$1800,$A97,الريسبي!$B$2:$B$1800,AD$1)</f>
        <v>0</v>
      </c>
      <c r="AE97" s="117" t="n">
        <f aca="false">SUMIFS(الريسبي!$C$2:$C$1800,الريسبي!$A$2:$A$1800,$A97,الريسبي!$B$2:$B$1800,AE$1)</f>
        <v>0</v>
      </c>
      <c r="AF97" s="117" t="n">
        <f aca="false">SUMIFS(الريسبي!$C$2:$C$1800,الريسبي!$A$2:$A$1800,$A97,الريسبي!$B$2:$B$1800,AF$1)</f>
        <v>0</v>
      </c>
      <c r="AG97" s="117" t="n">
        <f aca="false">SUMIFS(الريسبي!$C$2:$C$1800,الريسبي!$A$2:$A$1800,$A97,الريسبي!$B$2:$B$1800,AG$1)</f>
        <v>0</v>
      </c>
      <c r="AH97" s="117" t="n">
        <f aca="false">SUMIFS(الريسبي!$C$2:$C$1800,الريسبي!$A$2:$A$1800,$A97,الريسبي!$B$2:$B$1800,AH$1)</f>
        <v>0</v>
      </c>
      <c r="AI97" s="117" t="n">
        <f aca="false">SUMIFS(الريسبي!$C$2:$C$1800,الريسبي!$A$2:$A$1800,$A97,الريسبي!$B$2:$B$1800,AI$1)</f>
        <v>0</v>
      </c>
      <c r="AJ97" s="117" t="n">
        <f aca="false">SUMIFS(الريسبي!$C$2:$C$1800,الريسبي!$A$2:$A$1800,$A97,الريسبي!$B$2:$B$1800,AJ$1)</f>
        <v>2</v>
      </c>
      <c r="AK97" s="117" t="n">
        <f aca="false">SUMIFS(الريسبي!$C$2:$C$1800,الريسبي!$A$2:$A$1800,$A97,الريسبي!$B$2:$B$1800,AK$1)</f>
        <v>0</v>
      </c>
      <c r="AL97" s="117" t="n">
        <f aca="false">SUMIFS(الريسبي!$C$2:$C$1800,الريسبي!$A$2:$A$1800,$A97,الريسبي!$B$2:$B$1800,AL$1)</f>
        <v>0</v>
      </c>
      <c r="AM97" s="117" t="n">
        <f aca="false">SUMIFS(الريسبي!$C$2:$C$1800,الريسبي!$A$2:$A$1800,$A97,الريسبي!$B$2:$B$1800,AM$1)+0.08333333333*SUMIFS(الريسبي!$C$2:$C$1800,الريسبي!$A$2:$A$1800,$A97,الريسبي!$B$2:$B$1800,"عجين كريب (مصنع بالمطعم)")+0.08333333333*SUMIFS(الريسبي!$C$2:$C$1800,الريسبي!$A$2:$A$1800,$A97,الريسبي!$B$2:$B$1800,"عجين كريب صيامي (بدون لبن)")</f>
        <v>0</v>
      </c>
      <c r="AN97" s="117" t="n">
        <f aca="false">SUMIFS(الريسبي!$C$2:$C$1800,الريسبي!$A$2:$A$1800,$A97,الريسبي!$B$2:$B$1800,AN$1)+0.004166666667*SUMIFS(الريسبي!$C$2:$C$1800,الريسبي!$A$2:$A$1800,$A97,الريسبي!$B$2:$B$1800,"عجين كريب (مصنع بالمطعم)")+0.004166666667*SUMIFS(الريسبي!$C$2:$C$1800,الريسبي!$A$2:$A$1800,$A97,الريسبي!$B$2:$B$1800,"عجين كريب صيامي (بدون لبن)")</f>
        <v>0</v>
      </c>
      <c r="AO97" s="117" t="n">
        <f aca="false">SUMIFS(الريسبي!$C$2:$C$1800,الريسبي!$A$2:$A$1800,$A97,الريسبي!$B$2:$B$1800,AO$1)</f>
        <v>0</v>
      </c>
      <c r="AP97" s="117" t="n">
        <f aca="false">SUMIFS(الريسبي!$C$2:$C$1800,الريسبي!$A$2:$A$1800,$A97,الريسبي!$B$2:$B$1800,AP$1)</f>
        <v>0.02</v>
      </c>
      <c r="AQ97" s="117" t="n">
        <f aca="false">SUMIFS(الريسبي!$C$2:$C$1800,الريسبي!$A$2:$A$1800,$A97,الريسبي!$B$2:$B$1800,AQ$1)+0.004166666667*SUMIFS(الريسبي!$C$2:$C$1800,الريسبي!$A$2:$A$1800,$A97,الريسبي!$B$2:$B$1800,"عجين كريب (مصنع بالمطعم)")+0.004166666667*SUMIFS(الريسبي!$C$2:$C$1800,الريسبي!$A$2:$A$1800,$A97,الريسبي!$B$2:$B$1800,"عجين كريب صيامي (بدون لبن)")</f>
        <v>0</v>
      </c>
      <c r="AR97" s="117" t="n">
        <f aca="false">SUMIFS(الريسبي!$C$2:$C$1800,الريسبي!$A$2:$A$1800,$A97,الريسبي!$B$2:$B$1800,AR$1)</f>
        <v>0</v>
      </c>
      <c r="AS97" s="117" t="n">
        <f aca="false">SUMIFS(الريسبي!$C$2:$C$1800,الريسبي!$A$2:$A$1800,$A97,الريسبي!$B$2:$B$1800,AS$1)</f>
        <v>0</v>
      </c>
      <c r="AT97" s="117" t="n">
        <f aca="false">SUMIFS(الريسبي!$C$2:$C$1800,الريسبي!$A$2:$A$1800,$A97,الريسبي!$B$2:$B$1800,AT$1)</f>
        <v>0</v>
      </c>
      <c r="AU97" s="117" t="n">
        <f aca="false">SUMIFS(الريسبي!$C$2:$C$1800,الريسبي!$A$2:$A$1800,$A97,الريسبي!$B$2:$B$1800,AU$1)</f>
        <v>0</v>
      </c>
      <c r="AV97" s="117" t="n">
        <f aca="false">SUMIFS(الريسبي!$C$2:$C$1800,الريسبي!$A$2:$A$1800,$A97,الريسبي!$B$2:$B$1800,AV$1)</f>
        <v>0</v>
      </c>
      <c r="AW97" s="117" t="n">
        <f aca="false">SUMIFS(الريسبي!$C$2:$C$1800,الريسبي!$A$2:$A$1800,$A97,الريسبي!$B$2:$B$1800,AW$1)</f>
        <v>0</v>
      </c>
      <c r="AX97" s="117" t="n">
        <f aca="false">SUMIFS(الريسبي!$C$2:$C$1800,الريسبي!$A$2:$A$1800,$A97,الريسبي!$B$2:$B$1800,AX$1)</f>
        <v>0</v>
      </c>
      <c r="AY97" s="117" t="n">
        <f aca="false">SUMIFS(الريسبي!$C$2:$C$1800,الريسبي!$A$2:$A$1800,$A97,الريسبي!$B$2:$B$1800,AY$1)</f>
        <v>0</v>
      </c>
      <c r="AZ97" s="117" t="n">
        <f aca="false">SUMIFS(الريسبي!$C$2:$C$1800,الريسبي!$A$2:$A$1800,$A97,الريسبي!$B$2:$B$1800,AZ$1)</f>
        <v>0</v>
      </c>
      <c r="BA97" s="117" t="n">
        <f aca="false">SUMIFS(الريسبي!$C$2:$C$1800,الريسبي!$A$2:$A$1800,$A97,الريسبي!$B$2:$B$1800,BA$1)</f>
        <v>0</v>
      </c>
      <c r="BB97" s="117" t="n">
        <f aca="false">SUMIFS(الريسبي!$C$2:$C$1800,الريسبي!$A$2:$A$1800,$A97,الريسبي!$B$2:$B$1800,BB$1)</f>
        <v>0</v>
      </c>
      <c r="BC97" s="117" t="n">
        <f aca="false">SUMIFS(الريسبي!$C$2:$C$1800,الريسبي!$A$2:$A$1800,$A97,الريسبي!$B$2:$B$1800,BC$1)</f>
        <v>0.03</v>
      </c>
      <c r="BD97" s="117" t="n">
        <f aca="false">SUMIFS(الريسبي!$C$2:$C$1800,الريسبي!$A$2:$A$1800,$A97,الريسبي!$B$2:$B$1800,BD$1)</f>
        <v>0</v>
      </c>
      <c r="BE97" s="117" t="n">
        <f aca="false">SUMIFS(الريسبي!$C$2:$C$1800,الريسبي!$A$2:$A$1800,$A97,الريسبي!$B$2:$B$1800,BE$1)</f>
        <v>1</v>
      </c>
      <c r="BF97" s="117" t="n">
        <f aca="false">SUMIFS(الريسبي!$C$2:$C$1800,الريسبي!$A$2:$A$1800,$A97,الريسبي!$B$2:$B$1800,BF$1)</f>
        <v>0</v>
      </c>
      <c r="BG97" s="117" t="n">
        <f aca="false">SUMIFS(الريسبي!$C$2:$C$1800,الريسبي!$A$2:$A$1800,$A97,الريسبي!$B$2:$B$1800,BG$1)</f>
        <v>0</v>
      </c>
      <c r="BH97" s="117" t="n">
        <f aca="false">SUMIFS(الريسبي!$C$2:$C$1800,الريسبي!$A$2:$A$1800,$A97,الريسبي!$B$2:$B$1800,BH$1)</f>
        <v>1</v>
      </c>
      <c r="BI97" s="117" t="n">
        <f aca="false">SUMIFS(الريسبي!$C$2:$C$1800,الريسبي!$A$2:$A$1800,$A97,الريسبي!$B$2:$B$1800,BI$1)</f>
        <v>0</v>
      </c>
      <c r="BJ97" s="117" t="n">
        <f aca="false">SUMIFS(الريسبي!$C$2:$C$1800,الريسبي!$A$2:$A$1800,$A97,الريسبي!$B$2:$B$1800,BJ$1)</f>
        <v>0</v>
      </c>
      <c r="BK97" s="117" t="n">
        <f aca="false">SUMIFS(الريسبي!$C$2:$C$1800,الريسبي!$A$2:$A$1800,$A97,الريسبي!$B$2:$B$1800,BK$1)</f>
        <v>0</v>
      </c>
      <c r="BL97" s="117" t="n">
        <f aca="false">SUMIFS(الريسبي!$C$2:$C$1800,الريسبي!$A$2:$A$1800,$A97,الريسبي!$B$2:$B$1800,BL$1)</f>
        <v>0</v>
      </c>
      <c r="BM97" s="117" t="n">
        <f aca="false">SUMIFS(الريسبي!$C$2:$C$1800,الريسبي!$A$2:$A$1800,$A97,الريسبي!$B$2:$B$1800,BM$1)</f>
        <v>0</v>
      </c>
      <c r="BN97" s="117" t="n">
        <f aca="false">SUMIFS(الريسبي!$C$2:$C$1800,الريسبي!$A$2:$A$1800,$A97,الريسبي!$B$2:$B$1800,BN$1)</f>
        <v>0.02</v>
      </c>
      <c r="BO97" s="117" t="n">
        <f aca="false">SUMIFS(الريسبي!$C$2:$C$1800,الريسبي!$A$2:$A$1800,$A97,الريسبي!$B$2:$B$1800,BO$1)</f>
        <v>0</v>
      </c>
      <c r="BP97" s="117" t="n">
        <f aca="false">SUMIFS(الريسبي!$C$2:$C$1800,الريسبي!$A$2:$A$1800,$A97,الريسبي!$B$2:$B$1800,BP$1)</f>
        <v>2</v>
      </c>
      <c r="BQ97" s="117" t="n">
        <f aca="false">SUMIFS(الريسبي!$C$2:$C$1800,الريسبي!$A$2:$A$1800,$A97,الريسبي!$B$2:$B$1800,BQ$1)+0.17*SUMIFS(الريسبي!$C$2:$C$1800,الريسبي!$A$2:$A$1800,$A97,الريسبي!$B$2:$B$1800,"كاسترد مصنع (خليط بودر + لبن)")+0.17*SUMIFS(الريسبي!$C$2:$C$1800,الريسبي!$A$2:$A$1800,$A97,الريسبي!$B$2:$B$1800,"كاسترد مصنع صيامي (بدون لبن)")</f>
        <v>0</v>
      </c>
      <c r="BR97" s="117" t="n">
        <f aca="false">SUMIFS(الريسبي!$C$2:$C$1800,الريسبي!$A$2:$A$1800,$A97,الريسبي!$B$2:$B$1800,BR$1)</f>
        <v>1</v>
      </c>
      <c r="BS97" s="117" t="n">
        <f aca="false">SUMIFS(الريسبي!$C$2:$C$1800,الريسبي!$A$2:$A$1800,$A97,الريسبي!$B$2:$B$1800,BS$1)</f>
        <v>0</v>
      </c>
      <c r="BT97" s="117" t="n">
        <f aca="false">SUMIFS(الريسبي!$C$2:$C$1800,الريسبي!$A$2:$A$1800,$A97,الريسبي!$B$2:$B$1800,BT$1)</f>
        <v>0</v>
      </c>
      <c r="BU97" s="117" t="n">
        <f aca="false">SUMIFS(الريسبي!$C$2:$C$1800,الريسبي!$A$2:$A$1800,$A97,الريسبي!$B$2:$B$1800,BU$1)+0.4*SUMIFS(الريسبي!$C$2:$C$1800,الريسبي!$A$2:$A$1800,$A97,الريسبي!$B$2:$B$1800,"كاسترد مصنع (خليط بودر + لبن)")+0.03333333333*SUMIFS(الريسبي!$C$2:$C$1800,الريسبي!$A$2:$A$1800,$A97,الريسبي!$B$2:$B$1800,"عجين كريب (مصنع بالمطعم)")</f>
        <v>0</v>
      </c>
      <c r="BV97" s="117" t="n">
        <f aca="false">SUMIFS(الريسبي!$C$2:$C$1800,الريسبي!$A$2:$A$1800,$A97,الريسبي!$B$2:$B$1800,BV$1)</f>
        <v>0</v>
      </c>
      <c r="BW97" s="117" t="n">
        <f aca="false">SUMIFS(الريسبي!$C$2:$C$1800,الريسبي!$A$2:$A$1800,$A97,الريسبي!$B$2:$B$1800,BW$1)</f>
        <v>0</v>
      </c>
      <c r="BX97" s="117" t="n">
        <f aca="false">SUMIFS(الريسبي!$C$2:$C$1800,الريسبي!$A$2:$A$1800,$A97,الريسبي!$B$2:$B$1800,BX$1)</f>
        <v>0</v>
      </c>
      <c r="BY97" s="117" t="n">
        <f aca="false">SUMIFS(الريسبي!$C$2:$C$1800,الريسبي!$A$2:$A$1800,$A97,الريسبي!$B$2:$B$1800,BY$1)</f>
        <v>0</v>
      </c>
      <c r="BZ97" s="117" t="n">
        <f aca="false">SUMIFS(الريسبي!$C$2:$C$1800,الريسبي!$A$2:$A$1800,$A97,الريسبي!$B$2:$B$1800,BZ$1)</f>
        <v>0</v>
      </c>
      <c r="CA97" s="117" t="n">
        <f aca="false">SUMIFS(الريسبي!$C$2:$C$1800,الريسبي!$A$2:$A$1800,$A97,الريسبي!$B$2:$B$1800,CA$1)</f>
        <v>1</v>
      </c>
      <c r="CB97" s="117" t="n">
        <f aca="false">SUMIFS(الريسبي!$C$2:$C$1800,الريسبي!$A$2:$A$1800,$A97,الريسبي!$B$2:$B$1800,CB$1)</f>
        <v>1</v>
      </c>
      <c r="CC97" s="117" t="n">
        <f aca="false">SUMIFS(الريسبي!$C$2:$C$1800,الريسبي!$A$2:$A$1800,$A97,الريسبي!$B$2:$B$1800,CC$1)</f>
        <v>0</v>
      </c>
      <c r="CD97" s="117" t="n">
        <f aca="false">SUMIFS(الريسبي!$C$2:$C$1800,الريسبي!$A$2:$A$1800,$A97,الريسبي!$B$2:$B$1800,CD$1)</f>
        <v>0.12</v>
      </c>
      <c r="CE97" s="117" t="n">
        <f aca="false">SUMIFS(الريسبي!$C$2:$C$1800,الريسبي!$A$2:$A$1800,$A97,الريسبي!$B$2:$B$1800,CE$1)</f>
        <v>0</v>
      </c>
      <c r="CF97" s="117" t="n">
        <f aca="false">SUMIFS(الريسبي!$C$2:$C$1800,الريسبي!$A$2:$A$1800,$A97,الريسبي!$B$2:$B$1800,CF$1)</f>
        <v>0</v>
      </c>
      <c r="CG97" s="117" t="n">
        <f aca="false">SUMIFS(الريسبي!$C$2:$C$1800,الريسبي!$A$2:$A$1800,$A97,الريسبي!$B$2:$B$1800,CG$1)</f>
        <v>0</v>
      </c>
      <c r="CH97" s="117" t="n">
        <f aca="false">SUMIFS(الريسبي!$C$2:$C$1800,الريسبي!$A$2:$A$1800,$A97,الريسبي!$B$2:$B$1800,CH$1)</f>
        <v>0</v>
      </c>
      <c r="CI97" s="117" t="n">
        <f aca="false">SUMIFS(الريسبي!$C$2:$C$1800,الريسبي!$A$2:$A$1800,$A97,الريسبي!$B$2:$B$1800,CI$1)</f>
        <v>0</v>
      </c>
      <c r="CJ97" s="117" t="n">
        <f aca="false">SUMIFS(الريسبي!$C$2:$C$1800,الريسبي!$A$2:$A$1800,$A97,الريسبي!$B$2:$B$1800,CJ$1)</f>
        <v>0</v>
      </c>
      <c r="CK97" s="117" t="n">
        <f aca="false">SUMIFS(الريسبي!$C$2:$C$1800,الريسبي!$A$2:$A$1800,$A97,الريسبي!$B$2:$B$1800,CK$1)</f>
        <v>0</v>
      </c>
      <c r="CL97" s="117" t="n">
        <f aca="false">SUMIFS(الريسبي!$C$2:$C$1800,الريسبي!$A$2:$A$1800,$A97,الريسبي!$B$2:$B$1800,CL$1)</f>
        <v>0</v>
      </c>
    </row>
    <row r="98" customFormat="false" ht="15" hidden="false" customHeight="false" outlineLevel="0" collapsed="false">
      <c r="A98" s="116" t="str">
        <f aca="false">المنيو!B98</f>
        <v>فطيرة سوسيس صيامي مخصوص</v>
      </c>
      <c r="B98" s="117" t="n">
        <f aca="false">SUMIFS(الريسبي!$C$2:$C$1800,الريسبي!$A$2:$A$1800,$A98,الريسبي!$B$2:$B$1800,B$1)</f>
        <v>0</v>
      </c>
      <c r="C98" s="117" t="n">
        <f aca="false">SUMIFS(الريسبي!$C$2:$C$1800,الريسبي!$A$2:$A$1800,$A98,الريسبي!$B$2:$B$1800,C$1)</f>
        <v>0</v>
      </c>
      <c r="D98" s="117" t="n">
        <f aca="false">SUMIFS(الريسبي!$C$2:$C$1800,الريسبي!$A$2:$A$1800,$A98,الريسبي!$B$2:$B$1800,D$1)</f>
        <v>1</v>
      </c>
      <c r="E98" s="117" t="n">
        <f aca="false">SUMIFS(الريسبي!$C$2:$C$1800,الريسبي!$A$2:$A$1800,$A98,الريسبي!$B$2:$B$1800,E$1)</f>
        <v>0</v>
      </c>
      <c r="F98" s="117" t="n">
        <f aca="false">SUMIFS(الريسبي!$C$2:$C$1800,الريسبي!$A$2:$A$1800,$A98,الريسبي!$B$2:$B$1800,F$1)</f>
        <v>0</v>
      </c>
      <c r="G98" s="117" t="n">
        <f aca="false">SUMIFS(الريسبي!$C$2:$C$1800,الريسبي!$A$2:$A$1800,$A98,الريسبي!$B$2:$B$1800,G$1)</f>
        <v>0</v>
      </c>
      <c r="H98" s="117" t="n">
        <f aca="false">SUMIFS(الريسبي!$C$2:$C$1800,الريسبي!$A$2:$A$1800,$A98,الريسبي!$B$2:$B$1800,H$1)</f>
        <v>0</v>
      </c>
      <c r="I98" s="117" t="n">
        <f aca="false">SUMIFS(الريسبي!$C$2:$C$1800,الريسبي!$A$2:$A$1800,$A98,الريسبي!$B$2:$B$1800,I$1)</f>
        <v>0</v>
      </c>
      <c r="J98" s="117" t="n">
        <f aca="false">SUMIFS(الريسبي!$C$2:$C$1800,الريسبي!$A$2:$A$1800,$A98,الريسبي!$B$2:$B$1800,J$1)</f>
        <v>0</v>
      </c>
      <c r="K98" s="117" t="n">
        <f aca="false">SUMIFS(الريسبي!$C$2:$C$1800,الريسبي!$A$2:$A$1800,$A98,الريسبي!$B$2:$B$1800,K$1)</f>
        <v>0</v>
      </c>
      <c r="L98" s="117" t="n">
        <f aca="false">SUMIFS(الريسبي!$C$2:$C$1800,الريسبي!$A$2:$A$1800,$A98,الريسبي!$B$2:$B$1800,L$1)</f>
        <v>0</v>
      </c>
      <c r="M98" s="117" t="n">
        <f aca="false">SUMIFS(الريسبي!$C$2:$C$1800,الريسبي!$A$2:$A$1800,$A98,الريسبي!$B$2:$B$1800,M$1)</f>
        <v>0</v>
      </c>
      <c r="N98" s="117" t="n">
        <f aca="false">SUMIFS(الريسبي!$C$2:$C$1800,الريسبي!$A$2:$A$1800,$A98,الريسبي!$B$2:$B$1800,N$1)</f>
        <v>0</v>
      </c>
      <c r="O98" s="117" t="n">
        <f aca="false">SUMIFS(الريسبي!$C$2:$C$1800,الريسبي!$A$2:$A$1800,$A98,الريسبي!$B$2:$B$1800,O$1)</f>
        <v>0</v>
      </c>
      <c r="P98" s="117" t="n">
        <f aca="false">SUMIFS(الريسبي!$C$2:$C$1800,الريسبي!$A$2:$A$1800,$A98,الريسبي!$B$2:$B$1800,P$1)</f>
        <v>0</v>
      </c>
      <c r="Q98" s="117" t="n">
        <f aca="false">SUMIFS(الريسبي!$C$2:$C$1800,الريسبي!$A$2:$A$1800,$A98,الريسبي!$B$2:$B$1800,Q$1)</f>
        <v>0</v>
      </c>
      <c r="R98" s="117" t="n">
        <f aca="false">SUMIFS(الريسبي!$C$2:$C$1800,الريسبي!$A$2:$A$1800,$A98,الريسبي!$B$2:$B$1800,R$1)</f>
        <v>0</v>
      </c>
      <c r="S98" s="117" t="n">
        <f aca="false">SUMIFS(الريسبي!$C$2:$C$1800,الريسبي!$A$2:$A$1800,$A98,الريسبي!$B$2:$B$1800,S$1)</f>
        <v>0</v>
      </c>
      <c r="T98" s="117" t="n">
        <f aca="false">SUMIFS(الريسبي!$C$2:$C$1800,الريسبي!$A$2:$A$1800,$A98,الريسبي!$B$2:$B$1800,T$1)</f>
        <v>0</v>
      </c>
      <c r="U98" s="117" t="n">
        <f aca="false">SUMIFS(الريسبي!$C$2:$C$1800,الريسبي!$A$2:$A$1800,$A98,الريسبي!$B$2:$B$1800,U$1)</f>
        <v>0</v>
      </c>
      <c r="V98" s="117" t="n">
        <f aca="false">SUMIFS(الريسبي!$C$2:$C$1800,الريسبي!$A$2:$A$1800,$A98,الريسبي!$B$2:$B$1800,V$1)+1.5*(SUMIFS(الريسبي!$C$2:$C$1800,الريسبي!$A$2:$A$1800,$A98,الريسبي!$B$2:$B$1800,"برسيون موتزريلا بيتزا كبير"))</f>
        <v>0</v>
      </c>
      <c r="W98" s="117" t="n">
        <f aca="false">0</f>
        <v>0</v>
      </c>
      <c r="X98" s="117" t="n">
        <f aca="false">SUMIFS(الريسبي!$C$2:$C$1800,الريسبي!$A$2:$A$1800,$A98,الريسبي!$B$2:$B$1800,X$1)+1.5*(SUMIFS(الريسبي!$C$2:$C$1800,الريسبي!$A$2:$A$1800,$A98,الريسبي!$B$2:$B$1800,"برسيون موتزريلا فطير كبير"))</f>
        <v>1.5</v>
      </c>
      <c r="Y98" s="117" t="n">
        <f aca="false">0</f>
        <v>0</v>
      </c>
      <c r="Z98" s="117" t="n">
        <f aca="false">SUMIFS(الريسبي!$C$2:$C$1800,الريسبي!$A$2:$A$1800,$A98,الريسبي!$B$2:$B$1800,Z$1)</f>
        <v>0</v>
      </c>
      <c r="AA98" s="117" t="n">
        <f aca="false">SUMIFS(الريسبي!$C$2:$C$1800,الريسبي!$A$2:$A$1800,$A98,الريسبي!$B$2:$B$1800,AA$1)</f>
        <v>0</v>
      </c>
      <c r="AB98" s="117" t="n">
        <f aca="false">SUMIFS(الريسبي!$C$2:$C$1800,الريسبي!$A$2:$A$1800,$A98,الريسبي!$B$2:$B$1800,AB$1)</f>
        <v>0</v>
      </c>
      <c r="AC98" s="117" t="n">
        <f aca="false">SUMIFS(الريسبي!$C$2:$C$1800,الريسبي!$A$2:$A$1800,$A98,الريسبي!$B$2:$B$1800,AC$1)</f>
        <v>0</v>
      </c>
      <c r="AD98" s="117" t="n">
        <f aca="false">SUMIFS(الريسبي!$C$2:$C$1800,الريسبي!$A$2:$A$1800,$A98,الريسبي!$B$2:$B$1800,AD$1)</f>
        <v>0</v>
      </c>
      <c r="AE98" s="117" t="n">
        <f aca="false">SUMIFS(الريسبي!$C$2:$C$1800,الريسبي!$A$2:$A$1800,$A98,الريسبي!$B$2:$B$1800,AE$1)</f>
        <v>0</v>
      </c>
      <c r="AF98" s="117" t="n">
        <f aca="false">SUMIFS(الريسبي!$C$2:$C$1800,الريسبي!$A$2:$A$1800,$A98,الريسبي!$B$2:$B$1800,AF$1)</f>
        <v>0</v>
      </c>
      <c r="AG98" s="117" t="n">
        <f aca="false">SUMIFS(الريسبي!$C$2:$C$1800,الريسبي!$A$2:$A$1800,$A98,الريسبي!$B$2:$B$1800,AG$1)</f>
        <v>0</v>
      </c>
      <c r="AH98" s="117" t="n">
        <f aca="false">SUMIFS(الريسبي!$C$2:$C$1800,الريسبي!$A$2:$A$1800,$A98,الريسبي!$B$2:$B$1800,AH$1)</f>
        <v>0</v>
      </c>
      <c r="AI98" s="117" t="n">
        <f aca="false">SUMIFS(الريسبي!$C$2:$C$1800,الريسبي!$A$2:$A$1800,$A98,الريسبي!$B$2:$B$1800,AI$1)</f>
        <v>0</v>
      </c>
      <c r="AJ98" s="117" t="n">
        <f aca="false">SUMIFS(الريسبي!$C$2:$C$1800,الريسبي!$A$2:$A$1800,$A98,الريسبي!$B$2:$B$1800,AJ$1)</f>
        <v>2</v>
      </c>
      <c r="AK98" s="117" t="n">
        <f aca="false">SUMIFS(الريسبي!$C$2:$C$1800,الريسبي!$A$2:$A$1800,$A98,الريسبي!$B$2:$B$1800,AK$1)</f>
        <v>0</v>
      </c>
      <c r="AL98" s="117" t="n">
        <f aca="false">SUMIFS(الريسبي!$C$2:$C$1800,الريسبي!$A$2:$A$1800,$A98,الريسبي!$B$2:$B$1800,AL$1)</f>
        <v>0</v>
      </c>
      <c r="AM98" s="117" t="n">
        <f aca="false">SUMIFS(الريسبي!$C$2:$C$1800,الريسبي!$A$2:$A$1800,$A98,الريسبي!$B$2:$B$1800,AM$1)+0.08333333333*SUMIFS(الريسبي!$C$2:$C$1800,الريسبي!$A$2:$A$1800,$A98,الريسبي!$B$2:$B$1800,"عجين كريب (مصنع بالمطعم)")+0.08333333333*SUMIFS(الريسبي!$C$2:$C$1800,الريسبي!$A$2:$A$1800,$A98,الريسبي!$B$2:$B$1800,"عجين كريب صيامي (بدون لبن)")</f>
        <v>0</v>
      </c>
      <c r="AN98" s="117" t="n">
        <f aca="false">SUMIFS(الريسبي!$C$2:$C$1800,الريسبي!$A$2:$A$1800,$A98,الريسبي!$B$2:$B$1800,AN$1)+0.004166666667*SUMIFS(الريسبي!$C$2:$C$1800,الريسبي!$A$2:$A$1800,$A98,الريسبي!$B$2:$B$1800,"عجين كريب (مصنع بالمطعم)")+0.004166666667*SUMIFS(الريسبي!$C$2:$C$1800,الريسبي!$A$2:$A$1800,$A98,الريسبي!$B$2:$B$1800,"عجين كريب صيامي (بدون لبن)")</f>
        <v>0</v>
      </c>
      <c r="AO98" s="117" t="n">
        <f aca="false">SUMIFS(الريسبي!$C$2:$C$1800,الريسبي!$A$2:$A$1800,$A98,الريسبي!$B$2:$B$1800,AO$1)</f>
        <v>0</v>
      </c>
      <c r="AP98" s="117" t="n">
        <f aca="false">SUMIFS(الريسبي!$C$2:$C$1800,الريسبي!$A$2:$A$1800,$A98,الريسبي!$B$2:$B$1800,AP$1)</f>
        <v>0.03</v>
      </c>
      <c r="AQ98" s="117" t="n">
        <f aca="false">SUMIFS(الريسبي!$C$2:$C$1800,الريسبي!$A$2:$A$1800,$A98,الريسبي!$B$2:$B$1800,AQ$1)+0.004166666667*SUMIFS(الريسبي!$C$2:$C$1800,الريسبي!$A$2:$A$1800,$A98,الريسبي!$B$2:$B$1800,"عجين كريب (مصنع بالمطعم)")+0.004166666667*SUMIFS(الريسبي!$C$2:$C$1800,الريسبي!$A$2:$A$1800,$A98,الريسبي!$B$2:$B$1800,"عجين كريب صيامي (بدون لبن)")</f>
        <v>0</v>
      </c>
      <c r="AR98" s="117" t="n">
        <f aca="false">SUMIFS(الريسبي!$C$2:$C$1800,الريسبي!$A$2:$A$1800,$A98,الريسبي!$B$2:$B$1800,AR$1)</f>
        <v>0</v>
      </c>
      <c r="AS98" s="117" t="n">
        <f aca="false">SUMIFS(الريسبي!$C$2:$C$1800,الريسبي!$A$2:$A$1800,$A98,الريسبي!$B$2:$B$1800,AS$1)</f>
        <v>0</v>
      </c>
      <c r="AT98" s="117" t="n">
        <f aca="false">SUMIFS(الريسبي!$C$2:$C$1800,الريسبي!$A$2:$A$1800,$A98,الريسبي!$B$2:$B$1800,AT$1)</f>
        <v>0</v>
      </c>
      <c r="AU98" s="117" t="n">
        <f aca="false">SUMIFS(الريسبي!$C$2:$C$1800,الريسبي!$A$2:$A$1800,$A98,الريسبي!$B$2:$B$1800,AU$1)</f>
        <v>0</v>
      </c>
      <c r="AV98" s="117" t="n">
        <f aca="false">SUMIFS(الريسبي!$C$2:$C$1800,الريسبي!$A$2:$A$1800,$A98,الريسبي!$B$2:$B$1800,AV$1)</f>
        <v>0</v>
      </c>
      <c r="AW98" s="117" t="n">
        <f aca="false">SUMIFS(الريسبي!$C$2:$C$1800,الريسبي!$A$2:$A$1800,$A98,الريسبي!$B$2:$B$1800,AW$1)</f>
        <v>0</v>
      </c>
      <c r="AX98" s="117" t="n">
        <f aca="false">SUMIFS(الريسبي!$C$2:$C$1800,الريسبي!$A$2:$A$1800,$A98,الريسبي!$B$2:$B$1800,AX$1)</f>
        <v>0</v>
      </c>
      <c r="AY98" s="117" t="n">
        <f aca="false">SUMIFS(الريسبي!$C$2:$C$1800,الريسبي!$A$2:$A$1800,$A98,الريسبي!$B$2:$B$1800,AY$1)</f>
        <v>0</v>
      </c>
      <c r="AZ98" s="117" t="n">
        <f aca="false">SUMIFS(الريسبي!$C$2:$C$1800,الريسبي!$A$2:$A$1800,$A98,الريسبي!$B$2:$B$1800,AZ$1)</f>
        <v>0</v>
      </c>
      <c r="BA98" s="117" t="n">
        <f aca="false">SUMIFS(الريسبي!$C$2:$C$1800,الريسبي!$A$2:$A$1800,$A98,الريسبي!$B$2:$B$1800,BA$1)</f>
        <v>0</v>
      </c>
      <c r="BB98" s="117" t="n">
        <f aca="false">SUMIFS(الريسبي!$C$2:$C$1800,الريسبي!$A$2:$A$1800,$A98,الريسبي!$B$2:$B$1800,BB$1)</f>
        <v>0</v>
      </c>
      <c r="BC98" s="117" t="n">
        <f aca="false">SUMIFS(الريسبي!$C$2:$C$1800,الريسبي!$A$2:$A$1800,$A98,الريسبي!$B$2:$B$1800,BC$1)</f>
        <v>0.045</v>
      </c>
      <c r="BD98" s="117" t="n">
        <f aca="false">SUMIFS(الريسبي!$C$2:$C$1800,الريسبي!$A$2:$A$1800,$A98,الريسبي!$B$2:$B$1800,BD$1)</f>
        <v>0</v>
      </c>
      <c r="BE98" s="117" t="n">
        <f aca="false">SUMIFS(الريسبي!$C$2:$C$1800,الريسبي!$A$2:$A$1800,$A98,الريسبي!$B$2:$B$1800,BE$1)</f>
        <v>1.5</v>
      </c>
      <c r="BF98" s="117" t="n">
        <f aca="false">SUMIFS(الريسبي!$C$2:$C$1800,الريسبي!$A$2:$A$1800,$A98,الريسبي!$B$2:$B$1800,BF$1)</f>
        <v>0</v>
      </c>
      <c r="BG98" s="117" t="n">
        <f aca="false">SUMIFS(الريسبي!$C$2:$C$1800,الريسبي!$A$2:$A$1800,$A98,الريسبي!$B$2:$B$1800,BG$1)</f>
        <v>1</v>
      </c>
      <c r="BH98" s="117" t="n">
        <f aca="false">SUMIFS(الريسبي!$C$2:$C$1800,الريسبي!$A$2:$A$1800,$A98,الريسبي!$B$2:$B$1800,BH$1)</f>
        <v>0</v>
      </c>
      <c r="BI98" s="117" t="n">
        <f aca="false">SUMIFS(الريسبي!$C$2:$C$1800,الريسبي!$A$2:$A$1800,$A98,الريسبي!$B$2:$B$1800,BI$1)</f>
        <v>0</v>
      </c>
      <c r="BJ98" s="117" t="n">
        <f aca="false">SUMIFS(الريسبي!$C$2:$C$1800,الريسبي!$A$2:$A$1800,$A98,الريسبي!$B$2:$B$1800,BJ$1)</f>
        <v>0</v>
      </c>
      <c r="BK98" s="117" t="n">
        <f aca="false">SUMIFS(الريسبي!$C$2:$C$1800,الريسبي!$A$2:$A$1800,$A98,الريسبي!$B$2:$B$1800,BK$1)</f>
        <v>0</v>
      </c>
      <c r="BL98" s="117" t="n">
        <f aca="false">SUMIFS(الريسبي!$C$2:$C$1800,الريسبي!$A$2:$A$1800,$A98,الريسبي!$B$2:$B$1800,BL$1)</f>
        <v>0</v>
      </c>
      <c r="BM98" s="117" t="n">
        <f aca="false">SUMIFS(الريسبي!$C$2:$C$1800,الريسبي!$A$2:$A$1800,$A98,الريسبي!$B$2:$B$1800,BM$1)</f>
        <v>0</v>
      </c>
      <c r="BN98" s="117" t="n">
        <f aca="false">SUMIFS(الريسبي!$C$2:$C$1800,الريسبي!$A$2:$A$1800,$A98,الريسبي!$B$2:$B$1800,BN$1)</f>
        <v>0.03</v>
      </c>
      <c r="BO98" s="117" t="n">
        <f aca="false">SUMIFS(الريسبي!$C$2:$C$1800,الريسبي!$A$2:$A$1800,$A98,الريسبي!$B$2:$B$1800,BO$1)</f>
        <v>0</v>
      </c>
      <c r="BP98" s="117" t="n">
        <f aca="false">SUMIFS(الريسبي!$C$2:$C$1800,الريسبي!$A$2:$A$1800,$A98,الريسبي!$B$2:$B$1800,BP$1)</f>
        <v>3</v>
      </c>
      <c r="BQ98" s="117" t="n">
        <f aca="false">SUMIFS(الريسبي!$C$2:$C$1800,الريسبي!$A$2:$A$1800,$A98,الريسبي!$B$2:$B$1800,BQ$1)+0.17*SUMIFS(الريسبي!$C$2:$C$1800,الريسبي!$A$2:$A$1800,$A98,الريسبي!$B$2:$B$1800,"كاسترد مصنع (خليط بودر + لبن)")+0.17*SUMIFS(الريسبي!$C$2:$C$1800,الريسبي!$A$2:$A$1800,$A98,الريسبي!$B$2:$B$1800,"كاسترد مصنع صيامي (بدون لبن)")</f>
        <v>0</v>
      </c>
      <c r="BR98" s="117" t="n">
        <f aca="false">SUMIFS(الريسبي!$C$2:$C$1800,الريسبي!$A$2:$A$1800,$A98,الريسبي!$B$2:$B$1800,BR$1)</f>
        <v>1</v>
      </c>
      <c r="BS98" s="117" t="n">
        <f aca="false">SUMIFS(الريسبي!$C$2:$C$1800,الريسبي!$A$2:$A$1800,$A98,الريسبي!$B$2:$B$1800,BS$1)</f>
        <v>0</v>
      </c>
      <c r="BT98" s="117" t="n">
        <f aca="false">SUMIFS(الريسبي!$C$2:$C$1800,الريسبي!$A$2:$A$1800,$A98,الريسبي!$B$2:$B$1800,BT$1)</f>
        <v>0</v>
      </c>
      <c r="BU98" s="117" t="n">
        <f aca="false">SUMIFS(الريسبي!$C$2:$C$1800,الريسبي!$A$2:$A$1800,$A98,الريسبي!$B$2:$B$1800,BU$1)+0.4*SUMIFS(الريسبي!$C$2:$C$1800,الريسبي!$A$2:$A$1800,$A98,الريسبي!$B$2:$B$1800,"كاسترد مصنع (خليط بودر + لبن)")+0.03333333333*SUMIFS(الريسبي!$C$2:$C$1800,الريسبي!$A$2:$A$1800,$A98,الريسبي!$B$2:$B$1800,"عجين كريب (مصنع بالمطعم)")</f>
        <v>0</v>
      </c>
      <c r="BV98" s="117" t="n">
        <f aca="false">SUMIFS(الريسبي!$C$2:$C$1800,الريسبي!$A$2:$A$1800,$A98,الريسبي!$B$2:$B$1800,BV$1)</f>
        <v>0</v>
      </c>
      <c r="BW98" s="117" t="n">
        <f aca="false">SUMIFS(الريسبي!$C$2:$C$1800,الريسبي!$A$2:$A$1800,$A98,الريسبي!$B$2:$B$1800,BW$1)</f>
        <v>0</v>
      </c>
      <c r="BX98" s="117" t="n">
        <f aca="false">SUMIFS(الريسبي!$C$2:$C$1800,الريسبي!$A$2:$A$1800,$A98,الريسبي!$B$2:$B$1800,BX$1)</f>
        <v>0</v>
      </c>
      <c r="BY98" s="117" t="n">
        <f aca="false">SUMIFS(الريسبي!$C$2:$C$1800,الريسبي!$A$2:$A$1800,$A98,الريسبي!$B$2:$B$1800,BY$1)</f>
        <v>0</v>
      </c>
      <c r="BZ98" s="117" t="n">
        <f aca="false">SUMIFS(الريسبي!$C$2:$C$1800,الريسبي!$A$2:$A$1800,$A98,الريسبي!$B$2:$B$1800,BZ$1)</f>
        <v>0</v>
      </c>
      <c r="CA98" s="117" t="n">
        <f aca="false">SUMIFS(الريسبي!$C$2:$C$1800,الريسبي!$A$2:$A$1800,$A98,الريسبي!$B$2:$B$1800,CA$1)</f>
        <v>1</v>
      </c>
      <c r="CB98" s="117" t="n">
        <f aca="false">SUMIFS(الريسبي!$C$2:$C$1800,الريسبي!$A$2:$A$1800,$A98,الريسبي!$B$2:$B$1800,CB$1)</f>
        <v>1</v>
      </c>
      <c r="CC98" s="117" t="n">
        <f aca="false">SUMIFS(الريسبي!$C$2:$C$1800,الريسبي!$A$2:$A$1800,$A98,الريسبي!$B$2:$B$1800,CC$1)</f>
        <v>0</v>
      </c>
      <c r="CD98" s="117" t="n">
        <f aca="false">SUMIFS(الريسبي!$C$2:$C$1800,الريسبي!$A$2:$A$1800,$A98,الريسبي!$B$2:$B$1800,CD$1)</f>
        <v>0.18</v>
      </c>
      <c r="CE98" s="117" t="n">
        <f aca="false">SUMIFS(الريسبي!$C$2:$C$1800,الريسبي!$A$2:$A$1800,$A98,الريسبي!$B$2:$B$1800,CE$1)</f>
        <v>0</v>
      </c>
      <c r="CF98" s="117" t="n">
        <f aca="false">SUMIFS(الريسبي!$C$2:$C$1800,الريسبي!$A$2:$A$1800,$A98,الريسبي!$B$2:$B$1800,CF$1)</f>
        <v>0</v>
      </c>
      <c r="CG98" s="117" t="n">
        <f aca="false">SUMIFS(الريسبي!$C$2:$C$1800,الريسبي!$A$2:$A$1800,$A98,الريسبي!$B$2:$B$1800,CG$1)</f>
        <v>0</v>
      </c>
      <c r="CH98" s="117" t="n">
        <f aca="false">SUMIFS(الريسبي!$C$2:$C$1800,الريسبي!$A$2:$A$1800,$A98,الريسبي!$B$2:$B$1800,CH$1)</f>
        <v>0</v>
      </c>
      <c r="CI98" s="117" t="n">
        <f aca="false">SUMIFS(الريسبي!$C$2:$C$1800,الريسبي!$A$2:$A$1800,$A98,الريسبي!$B$2:$B$1800,CI$1)</f>
        <v>0</v>
      </c>
      <c r="CJ98" s="117" t="n">
        <f aca="false">SUMIFS(الريسبي!$C$2:$C$1800,الريسبي!$A$2:$A$1800,$A98,الريسبي!$B$2:$B$1800,CJ$1)</f>
        <v>0</v>
      </c>
      <c r="CK98" s="117" t="n">
        <f aca="false">SUMIFS(الريسبي!$C$2:$C$1800,الريسبي!$A$2:$A$1800,$A98,الريسبي!$B$2:$B$1800,CK$1)</f>
        <v>0</v>
      </c>
      <c r="CL98" s="117" t="n">
        <f aca="false">SUMIFS(الريسبي!$C$2:$C$1800,الريسبي!$A$2:$A$1800,$A98,الريسبي!$B$2:$B$1800,CL$1)</f>
        <v>0</v>
      </c>
    </row>
    <row r="99" customFormat="false" ht="15" hidden="false" customHeight="false" outlineLevel="0" collapsed="false">
      <c r="A99" s="116" t="str">
        <f aca="false">المنيو!B99</f>
        <v>فطيرة شاورما لحم / فراخ صيامي وسط</v>
      </c>
      <c r="B99" s="117" t="n">
        <f aca="false">SUMIFS(الريسبي!$C$2:$C$1800,الريسبي!$A$2:$A$1800,$A99,الريسبي!$B$2:$B$1800,B$1)</f>
        <v>0</v>
      </c>
      <c r="C99" s="117" t="n">
        <f aca="false">SUMIFS(الريسبي!$C$2:$C$1800,الريسبي!$A$2:$A$1800,$A99,الريسبي!$B$2:$B$1800,C$1)</f>
        <v>0</v>
      </c>
      <c r="D99" s="117" t="n">
        <f aca="false">SUMIFS(الريسبي!$C$2:$C$1800,الريسبي!$A$2:$A$1800,$A99,الريسبي!$B$2:$B$1800,D$1)</f>
        <v>1</v>
      </c>
      <c r="E99" s="117" t="n">
        <f aca="false">SUMIFS(الريسبي!$C$2:$C$1800,الريسبي!$A$2:$A$1800,$A99,الريسبي!$B$2:$B$1800,E$1)</f>
        <v>0</v>
      </c>
      <c r="F99" s="117" t="n">
        <f aca="false">SUMIFS(الريسبي!$C$2:$C$1800,الريسبي!$A$2:$A$1800,$A99,الريسبي!$B$2:$B$1800,F$1)</f>
        <v>0</v>
      </c>
      <c r="G99" s="117" t="n">
        <f aca="false">SUMIFS(الريسبي!$C$2:$C$1800,الريسبي!$A$2:$A$1800,$A99,الريسبي!$B$2:$B$1800,G$1)</f>
        <v>0</v>
      </c>
      <c r="H99" s="117" t="n">
        <f aca="false">SUMIFS(الريسبي!$C$2:$C$1800,الريسبي!$A$2:$A$1800,$A99,الريسبي!$B$2:$B$1800,H$1)</f>
        <v>0</v>
      </c>
      <c r="I99" s="117" t="n">
        <f aca="false">SUMIFS(الريسبي!$C$2:$C$1800,الريسبي!$A$2:$A$1800,$A99,الريسبي!$B$2:$B$1800,I$1)</f>
        <v>0</v>
      </c>
      <c r="J99" s="117" t="n">
        <f aca="false">SUMIFS(الريسبي!$C$2:$C$1800,الريسبي!$A$2:$A$1800,$A99,الريسبي!$B$2:$B$1800,J$1)</f>
        <v>0</v>
      </c>
      <c r="K99" s="117" t="n">
        <f aca="false">SUMIFS(الريسبي!$C$2:$C$1800,الريسبي!$A$2:$A$1800,$A99,الريسبي!$B$2:$B$1800,K$1)</f>
        <v>0</v>
      </c>
      <c r="L99" s="117" t="n">
        <f aca="false">SUMIFS(الريسبي!$C$2:$C$1800,الريسبي!$A$2:$A$1800,$A99,الريسبي!$B$2:$B$1800,L$1)</f>
        <v>0</v>
      </c>
      <c r="M99" s="117" t="n">
        <f aca="false">SUMIFS(الريسبي!$C$2:$C$1800,الريسبي!$A$2:$A$1800,$A99,الريسبي!$B$2:$B$1800,M$1)</f>
        <v>0</v>
      </c>
      <c r="N99" s="117" t="n">
        <f aca="false">SUMIFS(الريسبي!$C$2:$C$1800,الريسبي!$A$2:$A$1800,$A99,الريسبي!$B$2:$B$1800,N$1)</f>
        <v>0</v>
      </c>
      <c r="O99" s="117" t="n">
        <f aca="false">SUMIFS(الريسبي!$C$2:$C$1800,الريسبي!$A$2:$A$1800,$A99,الريسبي!$B$2:$B$1800,O$1)</f>
        <v>0</v>
      </c>
      <c r="P99" s="117" t="n">
        <f aca="false">SUMIFS(الريسبي!$C$2:$C$1800,الريسبي!$A$2:$A$1800,$A99,الريسبي!$B$2:$B$1800,P$1)</f>
        <v>0</v>
      </c>
      <c r="Q99" s="117" t="n">
        <f aca="false">SUMIFS(الريسبي!$C$2:$C$1800,الريسبي!$A$2:$A$1800,$A99,الريسبي!$B$2:$B$1800,Q$1)</f>
        <v>0</v>
      </c>
      <c r="R99" s="117" t="n">
        <f aca="false">SUMIFS(الريسبي!$C$2:$C$1800,الريسبي!$A$2:$A$1800,$A99,الريسبي!$B$2:$B$1800,R$1)</f>
        <v>0</v>
      </c>
      <c r="S99" s="117" t="n">
        <f aca="false">SUMIFS(الريسبي!$C$2:$C$1800,الريسبي!$A$2:$A$1800,$A99,الريسبي!$B$2:$B$1800,S$1)</f>
        <v>0</v>
      </c>
      <c r="T99" s="117" t="n">
        <f aca="false">SUMIFS(الريسبي!$C$2:$C$1800,الريسبي!$A$2:$A$1800,$A99,الريسبي!$B$2:$B$1800,T$1)</f>
        <v>0</v>
      </c>
      <c r="U99" s="117" t="n">
        <f aca="false">SUMIFS(الريسبي!$C$2:$C$1800,الريسبي!$A$2:$A$1800,$A99,الريسبي!$B$2:$B$1800,U$1)</f>
        <v>0</v>
      </c>
      <c r="V99" s="117" t="n">
        <f aca="false">SUMIFS(الريسبي!$C$2:$C$1800,الريسبي!$A$2:$A$1800,$A99,الريسبي!$B$2:$B$1800,V$1)+1.5*(SUMIFS(الريسبي!$C$2:$C$1800,الريسبي!$A$2:$A$1800,$A99,الريسبي!$B$2:$B$1800,"برسيون موتزريلا بيتزا كبير"))</f>
        <v>0</v>
      </c>
      <c r="W99" s="117" t="n">
        <f aca="false">0</f>
        <v>0</v>
      </c>
      <c r="X99" s="117" t="n">
        <f aca="false">SUMIFS(الريسبي!$C$2:$C$1800,الريسبي!$A$2:$A$1800,$A99,الريسبي!$B$2:$B$1800,X$1)+1.5*(SUMIFS(الريسبي!$C$2:$C$1800,الريسبي!$A$2:$A$1800,$A99,الريسبي!$B$2:$B$1800,"برسيون موتزريلا فطير كبير"))</f>
        <v>1</v>
      </c>
      <c r="Y99" s="117" t="n">
        <f aca="false">0</f>
        <v>0</v>
      </c>
      <c r="Z99" s="117" t="n">
        <f aca="false">SUMIFS(الريسبي!$C$2:$C$1800,الريسبي!$A$2:$A$1800,$A99,الريسبي!$B$2:$B$1800,Z$1)</f>
        <v>0</v>
      </c>
      <c r="AA99" s="117" t="n">
        <f aca="false">SUMIFS(الريسبي!$C$2:$C$1800,الريسبي!$A$2:$A$1800,$A99,الريسبي!$B$2:$B$1800,AA$1)</f>
        <v>0</v>
      </c>
      <c r="AB99" s="117" t="n">
        <f aca="false">SUMIFS(الريسبي!$C$2:$C$1800,الريسبي!$A$2:$A$1800,$A99,الريسبي!$B$2:$B$1800,AB$1)</f>
        <v>0</v>
      </c>
      <c r="AC99" s="117" t="n">
        <f aca="false">SUMIFS(الريسبي!$C$2:$C$1800,الريسبي!$A$2:$A$1800,$A99,الريسبي!$B$2:$B$1800,AC$1)</f>
        <v>0</v>
      </c>
      <c r="AD99" s="117" t="n">
        <f aca="false">SUMIFS(الريسبي!$C$2:$C$1800,الريسبي!$A$2:$A$1800,$A99,الريسبي!$B$2:$B$1800,AD$1)</f>
        <v>0</v>
      </c>
      <c r="AE99" s="117" t="n">
        <f aca="false">SUMIFS(الريسبي!$C$2:$C$1800,الريسبي!$A$2:$A$1800,$A99,الريسبي!$B$2:$B$1800,AE$1)</f>
        <v>0</v>
      </c>
      <c r="AF99" s="117" t="n">
        <f aca="false">SUMIFS(الريسبي!$C$2:$C$1800,الريسبي!$A$2:$A$1800,$A99,الريسبي!$B$2:$B$1800,AF$1)</f>
        <v>0</v>
      </c>
      <c r="AG99" s="117" t="n">
        <f aca="false">SUMIFS(الريسبي!$C$2:$C$1800,الريسبي!$A$2:$A$1800,$A99,الريسبي!$B$2:$B$1800,AG$1)</f>
        <v>0</v>
      </c>
      <c r="AH99" s="117" t="n">
        <f aca="false">SUMIFS(الريسبي!$C$2:$C$1800,الريسبي!$A$2:$A$1800,$A99,الريسبي!$B$2:$B$1800,AH$1)</f>
        <v>0</v>
      </c>
      <c r="AI99" s="117" t="n">
        <f aca="false">SUMIFS(الريسبي!$C$2:$C$1800,الريسبي!$A$2:$A$1800,$A99,الريسبي!$B$2:$B$1800,AI$1)</f>
        <v>0</v>
      </c>
      <c r="AJ99" s="117" t="n">
        <f aca="false">SUMIFS(الريسبي!$C$2:$C$1800,الريسبي!$A$2:$A$1800,$A99,الريسبي!$B$2:$B$1800,AJ$1)</f>
        <v>2</v>
      </c>
      <c r="AK99" s="117" t="n">
        <f aca="false">SUMIFS(الريسبي!$C$2:$C$1800,الريسبي!$A$2:$A$1800,$A99,الريسبي!$B$2:$B$1800,AK$1)</f>
        <v>0</v>
      </c>
      <c r="AL99" s="117" t="n">
        <f aca="false">SUMIFS(الريسبي!$C$2:$C$1800,الريسبي!$A$2:$A$1800,$A99,الريسبي!$B$2:$B$1800,AL$1)</f>
        <v>0</v>
      </c>
      <c r="AM99" s="117" t="n">
        <f aca="false">SUMIFS(الريسبي!$C$2:$C$1800,الريسبي!$A$2:$A$1800,$A99,الريسبي!$B$2:$B$1800,AM$1)+0.08333333333*SUMIFS(الريسبي!$C$2:$C$1800,الريسبي!$A$2:$A$1800,$A99,الريسبي!$B$2:$B$1800,"عجين كريب (مصنع بالمطعم)")+0.08333333333*SUMIFS(الريسبي!$C$2:$C$1800,الريسبي!$A$2:$A$1800,$A99,الريسبي!$B$2:$B$1800,"عجين كريب صيامي (بدون لبن)")</f>
        <v>0</v>
      </c>
      <c r="AN99" s="117" t="n">
        <f aca="false">SUMIFS(الريسبي!$C$2:$C$1800,الريسبي!$A$2:$A$1800,$A99,الريسبي!$B$2:$B$1800,AN$1)+0.004166666667*SUMIFS(الريسبي!$C$2:$C$1800,الريسبي!$A$2:$A$1800,$A99,الريسبي!$B$2:$B$1800,"عجين كريب (مصنع بالمطعم)")+0.004166666667*SUMIFS(الريسبي!$C$2:$C$1800,الريسبي!$A$2:$A$1800,$A99,الريسبي!$B$2:$B$1800,"عجين كريب صيامي (بدون لبن)")</f>
        <v>0</v>
      </c>
      <c r="AO99" s="117" t="n">
        <f aca="false">SUMIFS(الريسبي!$C$2:$C$1800,الريسبي!$A$2:$A$1800,$A99,الريسبي!$B$2:$B$1800,AO$1)</f>
        <v>0</v>
      </c>
      <c r="AP99" s="117" t="n">
        <f aca="false">SUMIFS(الريسبي!$C$2:$C$1800,الريسبي!$A$2:$A$1800,$A99,الريسبي!$B$2:$B$1800,AP$1)</f>
        <v>0.02</v>
      </c>
      <c r="AQ99" s="117" t="n">
        <f aca="false">SUMIFS(الريسبي!$C$2:$C$1800,الريسبي!$A$2:$A$1800,$A99,الريسبي!$B$2:$B$1800,AQ$1)+0.004166666667*SUMIFS(الريسبي!$C$2:$C$1800,الريسبي!$A$2:$A$1800,$A99,الريسبي!$B$2:$B$1800,"عجين كريب (مصنع بالمطعم)")+0.004166666667*SUMIFS(الريسبي!$C$2:$C$1800,الريسبي!$A$2:$A$1800,$A99,الريسبي!$B$2:$B$1800,"عجين كريب صيامي (بدون لبن)")</f>
        <v>0</v>
      </c>
      <c r="AR99" s="117" t="n">
        <f aca="false">SUMIFS(الريسبي!$C$2:$C$1800,الريسبي!$A$2:$A$1800,$A99,الريسبي!$B$2:$B$1800,AR$1)</f>
        <v>0</v>
      </c>
      <c r="AS99" s="117" t="n">
        <f aca="false">SUMIFS(الريسبي!$C$2:$C$1800,الريسبي!$A$2:$A$1800,$A99,الريسبي!$B$2:$B$1800,AS$1)</f>
        <v>0</v>
      </c>
      <c r="AT99" s="117" t="n">
        <f aca="false">SUMIFS(الريسبي!$C$2:$C$1800,الريسبي!$A$2:$A$1800,$A99,الريسبي!$B$2:$B$1800,AT$1)</f>
        <v>0</v>
      </c>
      <c r="AU99" s="117" t="n">
        <f aca="false">SUMIFS(الريسبي!$C$2:$C$1800,الريسبي!$A$2:$A$1800,$A99,الريسبي!$B$2:$B$1800,AU$1)</f>
        <v>0</v>
      </c>
      <c r="AV99" s="117" t="n">
        <f aca="false">SUMIFS(الريسبي!$C$2:$C$1800,الريسبي!$A$2:$A$1800,$A99,الريسبي!$B$2:$B$1800,AV$1)</f>
        <v>0</v>
      </c>
      <c r="AW99" s="117" t="n">
        <f aca="false">SUMIFS(الريسبي!$C$2:$C$1800,الريسبي!$A$2:$A$1800,$A99,الريسبي!$B$2:$B$1800,AW$1)</f>
        <v>0</v>
      </c>
      <c r="AX99" s="117" t="n">
        <f aca="false">SUMIFS(الريسبي!$C$2:$C$1800,الريسبي!$A$2:$A$1800,$A99,الريسبي!$B$2:$B$1800,AX$1)</f>
        <v>0</v>
      </c>
      <c r="AY99" s="117" t="n">
        <f aca="false">SUMIFS(الريسبي!$C$2:$C$1800,الريسبي!$A$2:$A$1800,$A99,الريسبي!$B$2:$B$1800,AY$1)</f>
        <v>0</v>
      </c>
      <c r="AZ99" s="117" t="n">
        <f aca="false">SUMIFS(الريسبي!$C$2:$C$1800,الريسبي!$A$2:$A$1800,$A99,الريسبي!$B$2:$B$1800,AZ$1)</f>
        <v>0</v>
      </c>
      <c r="BA99" s="117" t="n">
        <f aca="false">SUMIFS(الريسبي!$C$2:$C$1800,الريسبي!$A$2:$A$1800,$A99,الريسبي!$B$2:$B$1800,BA$1)</f>
        <v>0</v>
      </c>
      <c r="BB99" s="117" t="n">
        <f aca="false">SUMIFS(الريسبي!$C$2:$C$1800,الريسبي!$A$2:$A$1800,$A99,الريسبي!$B$2:$B$1800,BB$1)</f>
        <v>0</v>
      </c>
      <c r="BC99" s="117" t="n">
        <f aca="false">SUMIFS(الريسبي!$C$2:$C$1800,الريسبي!$A$2:$A$1800,$A99,الريسبي!$B$2:$B$1800,BC$1)</f>
        <v>0.03</v>
      </c>
      <c r="BD99" s="117" t="n">
        <f aca="false">SUMIFS(الريسبي!$C$2:$C$1800,الريسبي!$A$2:$A$1800,$A99,الريسبي!$B$2:$B$1800,BD$1)</f>
        <v>0</v>
      </c>
      <c r="BE99" s="117" t="n">
        <f aca="false">SUMIFS(الريسبي!$C$2:$C$1800,الريسبي!$A$2:$A$1800,$A99,الريسبي!$B$2:$B$1800,BE$1)</f>
        <v>1</v>
      </c>
      <c r="BF99" s="117" t="n">
        <f aca="false">SUMIFS(الريسبي!$C$2:$C$1800,الريسبي!$A$2:$A$1800,$A99,الريسبي!$B$2:$B$1800,BF$1)</f>
        <v>0</v>
      </c>
      <c r="BG99" s="117" t="n">
        <f aca="false">SUMIFS(الريسبي!$C$2:$C$1800,الريسبي!$A$2:$A$1800,$A99,الريسبي!$B$2:$B$1800,BG$1)</f>
        <v>0</v>
      </c>
      <c r="BH99" s="117" t="n">
        <f aca="false">SUMIFS(الريسبي!$C$2:$C$1800,الريسبي!$A$2:$A$1800,$A99,الريسبي!$B$2:$B$1800,BH$1)</f>
        <v>1</v>
      </c>
      <c r="BI99" s="117" t="n">
        <f aca="false">SUMIFS(الريسبي!$C$2:$C$1800,الريسبي!$A$2:$A$1800,$A99,الريسبي!$B$2:$B$1800,BI$1)</f>
        <v>0</v>
      </c>
      <c r="BJ99" s="117" t="n">
        <f aca="false">SUMIFS(الريسبي!$C$2:$C$1800,الريسبي!$A$2:$A$1800,$A99,الريسبي!$B$2:$B$1800,BJ$1)</f>
        <v>0</v>
      </c>
      <c r="BK99" s="117" t="n">
        <f aca="false">SUMIFS(الريسبي!$C$2:$C$1800,الريسبي!$A$2:$A$1800,$A99,الريسبي!$B$2:$B$1800,BK$1)</f>
        <v>0</v>
      </c>
      <c r="BL99" s="117" t="n">
        <f aca="false">SUMIFS(الريسبي!$C$2:$C$1800,الريسبي!$A$2:$A$1800,$A99,الريسبي!$B$2:$B$1800,BL$1)</f>
        <v>0</v>
      </c>
      <c r="BM99" s="117" t="n">
        <f aca="false">SUMIFS(الريسبي!$C$2:$C$1800,الريسبي!$A$2:$A$1800,$A99,الريسبي!$B$2:$B$1800,BM$1)</f>
        <v>0</v>
      </c>
      <c r="BN99" s="117" t="n">
        <f aca="false">SUMIFS(الريسبي!$C$2:$C$1800,الريسبي!$A$2:$A$1800,$A99,الريسبي!$B$2:$B$1800,BN$1)</f>
        <v>0.02</v>
      </c>
      <c r="BO99" s="117" t="n">
        <f aca="false">SUMIFS(الريسبي!$C$2:$C$1800,الريسبي!$A$2:$A$1800,$A99,الريسبي!$B$2:$B$1800,BO$1)</f>
        <v>0</v>
      </c>
      <c r="BP99" s="117" t="n">
        <f aca="false">SUMIFS(الريسبي!$C$2:$C$1800,الريسبي!$A$2:$A$1800,$A99,الريسبي!$B$2:$B$1800,BP$1)</f>
        <v>2</v>
      </c>
      <c r="BQ99" s="117" t="n">
        <f aca="false">SUMIFS(الريسبي!$C$2:$C$1800,الريسبي!$A$2:$A$1800,$A99,الريسبي!$B$2:$B$1800,BQ$1)+0.17*SUMIFS(الريسبي!$C$2:$C$1800,الريسبي!$A$2:$A$1800,$A99,الريسبي!$B$2:$B$1800,"كاسترد مصنع (خليط بودر + لبن)")+0.17*SUMIFS(الريسبي!$C$2:$C$1800,الريسبي!$A$2:$A$1800,$A99,الريسبي!$B$2:$B$1800,"كاسترد مصنع صيامي (بدون لبن)")</f>
        <v>0</v>
      </c>
      <c r="BR99" s="117" t="n">
        <f aca="false">SUMIFS(الريسبي!$C$2:$C$1800,الريسبي!$A$2:$A$1800,$A99,الريسبي!$B$2:$B$1800,BR$1)</f>
        <v>1</v>
      </c>
      <c r="BS99" s="117" t="n">
        <f aca="false">SUMIFS(الريسبي!$C$2:$C$1800,الريسبي!$A$2:$A$1800,$A99,الريسبي!$B$2:$B$1800,BS$1)</f>
        <v>0</v>
      </c>
      <c r="BT99" s="117" t="n">
        <f aca="false">SUMIFS(الريسبي!$C$2:$C$1800,الريسبي!$A$2:$A$1800,$A99,الريسبي!$B$2:$B$1800,BT$1)</f>
        <v>0</v>
      </c>
      <c r="BU99" s="117" t="n">
        <f aca="false">SUMIFS(الريسبي!$C$2:$C$1800,الريسبي!$A$2:$A$1800,$A99,الريسبي!$B$2:$B$1800,BU$1)+0.4*SUMIFS(الريسبي!$C$2:$C$1800,الريسبي!$A$2:$A$1800,$A99,الريسبي!$B$2:$B$1800,"كاسترد مصنع (خليط بودر + لبن)")+0.03333333333*SUMIFS(الريسبي!$C$2:$C$1800,الريسبي!$A$2:$A$1800,$A99,الريسبي!$B$2:$B$1800,"عجين كريب (مصنع بالمطعم)")</f>
        <v>0</v>
      </c>
      <c r="BV99" s="117" t="n">
        <f aca="false">SUMIFS(الريسبي!$C$2:$C$1800,الريسبي!$A$2:$A$1800,$A99,الريسبي!$B$2:$B$1800,BV$1)</f>
        <v>0</v>
      </c>
      <c r="BW99" s="117" t="n">
        <f aca="false">SUMIFS(الريسبي!$C$2:$C$1800,الريسبي!$A$2:$A$1800,$A99,الريسبي!$B$2:$B$1800,BW$1)</f>
        <v>0</v>
      </c>
      <c r="BX99" s="117" t="n">
        <f aca="false">SUMIFS(الريسبي!$C$2:$C$1800,الريسبي!$A$2:$A$1800,$A99,الريسبي!$B$2:$B$1800,BX$1)</f>
        <v>0</v>
      </c>
      <c r="BY99" s="117" t="n">
        <f aca="false">SUMIFS(الريسبي!$C$2:$C$1800,الريسبي!$A$2:$A$1800,$A99,الريسبي!$B$2:$B$1800,BY$1)</f>
        <v>0</v>
      </c>
      <c r="BZ99" s="117" t="n">
        <f aca="false">SUMIFS(الريسبي!$C$2:$C$1800,الريسبي!$A$2:$A$1800,$A99,الريسبي!$B$2:$B$1800,BZ$1)</f>
        <v>0</v>
      </c>
      <c r="CA99" s="117" t="n">
        <f aca="false">SUMIFS(الريسبي!$C$2:$C$1800,الريسبي!$A$2:$A$1800,$A99,الريسبي!$B$2:$B$1800,CA$1)</f>
        <v>1</v>
      </c>
      <c r="CB99" s="117" t="n">
        <f aca="false">SUMIFS(الريسبي!$C$2:$C$1800,الريسبي!$A$2:$A$1800,$A99,الريسبي!$B$2:$B$1800,CB$1)</f>
        <v>1</v>
      </c>
      <c r="CC99" s="117" t="n">
        <f aca="false">SUMIFS(الريسبي!$C$2:$C$1800,الريسبي!$A$2:$A$1800,$A99,الريسبي!$B$2:$B$1800,CC$1)</f>
        <v>0</v>
      </c>
      <c r="CD99" s="117" t="n">
        <f aca="false">SUMIFS(الريسبي!$C$2:$C$1800,الريسبي!$A$2:$A$1800,$A99,الريسبي!$B$2:$B$1800,CD$1)</f>
        <v>0</v>
      </c>
      <c r="CE99" s="117" t="n">
        <f aca="false">SUMIFS(الريسبي!$C$2:$C$1800,الريسبي!$A$2:$A$1800,$A99,الريسبي!$B$2:$B$1800,CE$1)</f>
        <v>0.14</v>
      </c>
      <c r="CF99" s="117" t="n">
        <f aca="false">SUMIFS(الريسبي!$C$2:$C$1800,الريسبي!$A$2:$A$1800,$A99,الريسبي!$B$2:$B$1800,CF$1)</f>
        <v>0</v>
      </c>
      <c r="CG99" s="117" t="n">
        <f aca="false">SUMIFS(الريسبي!$C$2:$C$1800,الريسبي!$A$2:$A$1800,$A99,الريسبي!$B$2:$B$1800,CG$1)</f>
        <v>0</v>
      </c>
      <c r="CH99" s="117" t="n">
        <f aca="false">SUMIFS(الريسبي!$C$2:$C$1800,الريسبي!$A$2:$A$1800,$A99,الريسبي!$B$2:$B$1800,CH$1)</f>
        <v>0</v>
      </c>
      <c r="CI99" s="117" t="n">
        <f aca="false">SUMIFS(الريسبي!$C$2:$C$1800,الريسبي!$A$2:$A$1800,$A99,الريسبي!$B$2:$B$1800,CI$1)</f>
        <v>0</v>
      </c>
      <c r="CJ99" s="117" t="n">
        <f aca="false">SUMIFS(الريسبي!$C$2:$C$1800,الريسبي!$A$2:$A$1800,$A99,الريسبي!$B$2:$B$1800,CJ$1)</f>
        <v>0</v>
      </c>
      <c r="CK99" s="117" t="n">
        <f aca="false">SUMIFS(الريسبي!$C$2:$C$1800,الريسبي!$A$2:$A$1800,$A99,الريسبي!$B$2:$B$1800,CK$1)</f>
        <v>0</v>
      </c>
      <c r="CL99" s="117" t="n">
        <f aca="false">SUMIFS(الريسبي!$C$2:$C$1800,الريسبي!$A$2:$A$1800,$A99,الريسبي!$B$2:$B$1800,CL$1)</f>
        <v>0</v>
      </c>
    </row>
    <row r="100" customFormat="false" ht="15" hidden="false" customHeight="false" outlineLevel="0" collapsed="false">
      <c r="A100" s="116" t="str">
        <f aca="false">المنيو!B100</f>
        <v>فطيرة شاورما لحم / فراخ صيامي مخصوص</v>
      </c>
      <c r="B100" s="117" t="n">
        <f aca="false">SUMIFS(الريسبي!$C$2:$C$1800,الريسبي!$A$2:$A$1800,$A100,الريسبي!$B$2:$B$1800,B$1)</f>
        <v>0</v>
      </c>
      <c r="C100" s="117" t="n">
        <f aca="false">SUMIFS(الريسبي!$C$2:$C$1800,الريسبي!$A$2:$A$1800,$A100,الريسبي!$B$2:$B$1800,C$1)</f>
        <v>0</v>
      </c>
      <c r="D100" s="117" t="n">
        <f aca="false">SUMIFS(الريسبي!$C$2:$C$1800,الريسبي!$A$2:$A$1800,$A100,الريسبي!$B$2:$B$1800,D$1)</f>
        <v>1</v>
      </c>
      <c r="E100" s="117" t="n">
        <f aca="false">SUMIFS(الريسبي!$C$2:$C$1800,الريسبي!$A$2:$A$1800,$A100,الريسبي!$B$2:$B$1800,E$1)</f>
        <v>0</v>
      </c>
      <c r="F100" s="117" t="n">
        <f aca="false">SUMIFS(الريسبي!$C$2:$C$1800,الريسبي!$A$2:$A$1800,$A100,الريسبي!$B$2:$B$1800,F$1)</f>
        <v>0</v>
      </c>
      <c r="G100" s="117" t="n">
        <f aca="false">SUMIFS(الريسبي!$C$2:$C$1800,الريسبي!$A$2:$A$1800,$A100,الريسبي!$B$2:$B$1800,G$1)</f>
        <v>0</v>
      </c>
      <c r="H100" s="117" t="n">
        <f aca="false">SUMIFS(الريسبي!$C$2:$C$1800,الريسبي!$A$2:$A$1800,$A100,الريسبي!$B$2:$B$1800,H$1)</f>
        <v>0</v>
      </c>
      <c r="I100" s="117" t="n">
        <f aca="false">SUMIFS(الريسبي!$C$2:$C$1800,الريسبي!$A$2:$A$1800,$A100,الريسبي!$B$2:$B$1800,I$1)</f>
        <v>0</v>
      </c>
      <c r="J100" s="117" t="n">
        <f aca="false">SUMIFS(الريسبي!$C$2:$C$1800,الريسبي!$A$2:$A$1800,$A100,الريسبي!$B$2:$B$1800,J$1)</f>
        <v>0</v>
      </c>
      <c r="K100" s="117" t="n">
        <f aca="false">SUMIFS(الريسبي!$C$2:$C$1800,الريسبي!$A$2:$A$1800,$A100,الريسبي!$B$2:$B$1800,K$1)</f>
        <v>0</v>
      </c>
      <c r="L100" s="117" t="n">
        <f aca="false">SUMIFS(الريسبي!$C$2:$C$1800,الريسبي!$A$2:$A$1800,$A100,الريسبي!$B$2:$B$1800,L$1)</f>
        <v>0</v>
      </c>
      <c r="M100" s="117" t="n">
        <f aca="false">SUMIFS(الريسبي!$C$2:$C$1800,الريسبي!$A$2:$A$1800,$A100,الريسبي!$B$2:$B$1800,M$1)</f>
        <v>0</v>
      </c>
      <c r="N100" s="117" t="n">
        <f aca="false">SUMIFS(الريسبي!$C$2:$C$1800,الريسبي!$A$2:$A$1800,$A100,الريسبي!$B$2:$B$1800,N$1)</f>
        <v>0</v>
      </c>
      <c r="O100" s="117" t="n">
        <f aca="false">SUMIFS(الريسبي!$C$2:$C$1800,الريسبي!$A$2:$A$1800,$A100,الريسبي!$B$2:$B$1800,O$1)</f>
        <v>0</v>
      </c>
      <c r="P100" s="117" t="n">
        <f aca="false">SUMIFS(الريسبي!$C$2:$C$1800,الريسبي!$A$2:$A$1800,$A100,الريسبي!$B$2:$B$1800,P$1)</f>
        <v>0</v>
      </c>
      <c r="Q100" s="117" t="n">
        <f aca="false">SUMIFS(الريسبي!$C$2:$C$1800,الريسبي!$A$2:$A$1800,$A100,الريسبي!$B$2:$B$1800,Q$1)</f>
        <v>0</v>
      </c>
      <c r="R100" s="117" t="n">
        <f aca="false">SUMIFS(الريسبي!$C$2:$C$1800,الريسبي!$A$2:$A$1800,$A100,الريسبي!$B$2:$B$1800,R$1)</f>
        <v>0</v>
      </c>
      <c r="S100" s="117" t="n">
        <f aca="false">SUMIFS(الريسبي!$C$2:$C$1800,الريسبي!$A$2:$A$1800,$A100,الريسبي!$B$2:$B$1800,S$1)</f>
        <v>0</v>
      </c>
      <c r="T100" s="117" t="n">
        <f aca="false">SUMIFS(الريسبي!$C$2:$C$1800,الريسبي!$A$2:$A$1800,$A100,الريسبي!$B$2:$B$1800,T$1)</f>
        <v>0</v>
      </c>
      <c r="U100" s="117" t="n">
        <f aca="false">SUMIFS(الريسبي!$C$2:$C$1800,الريسبي!$A$2:$A$1800,$A100,الريسبي!$B$2:$B$1800,U$1)</f>
        <v>0</v>
      </c>
      <c r="V100" s="117" t="n">
        <f aca="false">SUMIFS(الريسبي!$C$2:$C$1800,الريسبي!$A$2:$A$1800,$A100,الريسبي!$B$2:$B$1800,V$1)+1.5*(SUMIFS(الريسبي!$C$2:$C$1800,الريسبي!$A$2:$A$1800,$A100,الريسبي!$B$2:$B$1800,"برسيون موتزريلا بيتزا كبير"))</f>
        <v>0</v>
      </c>
      <c r="W100" s="117" t="n">
        <f aca="false">0</f>
        <v>0</v>
      </c>
      <c r="X100" s="117" t="n">
        <f aca="false">SUMIFS(الريسبي!$C$2:$C$1800,الريسبي!$A$2:$A$1800,$A100,الريسبي!$B$2:$B$1800,X$1)+1.5*(SUMIFS(الريسبي!$C$2:$C$1800,الريسبي!$A$2:$A$1800,$A100,الريسبي!$B$2:$B$1800,"برسيون موتزريلا فطير كبير"))</f>
        <v>1.5</v>
      </c>
      <c r="Y100" s="117" t="n">
        <f aca="false">0</f>
        <v>0</v>
      </c>
      <c r="Z100" s="117" t="n">
        <f aca="false">SUMIFS(الريسبي!$C$2:$C$1800,الريسبي!$A$2:$A$1800,$A100,الريسبي!$B$2:$B$1800,Z$1)</f>
        <v>0</v>
      </c>
      <c r="AA100" s="117" t="n">
        <f aca="false">SUMIFS(الريسبي!$C$2:$C$1800,الريسبي!$A$2:$A$1800,$A100,الريسبي!$B$2:$B$1800,AA$1)</f>
        <v>0</v>
      </c>
      <c r="AB100" s="117" t="n">
        <f aca="false">SUMIFS(الريسبي!$C$2:$C$1800,الريسبي!$A$2:$A$1800,$A100,الريسبي!$B$2:$B$1800,AB$1)</f>
        <v>0</v>
      </c>
      <c r="AC100" s="117" t="n">
        <f aca="false">SUMIFS(الريسبي!$C$2:$C$1800,الريسبي!$A$2:$A$1800,$A100,الريسبي!$B$2:$B$1800,AC$1)</f>
        <v>0</v>
      </c>
      <c r="AD100" s="117" t="n">
        <f aca="false">SUMIFS(الريسبي!$C$2:$C$1800,الريسبي!$A$2:$A$1800,$A100,الريسبي!$B$2:$B$1800,AD$1)</f>
        <v>0</v>
      </c>
      <c r="AE100" s="117" t="n">
        <f aca="false">SUMIFS(الريسبي!$C$2:$C$1800,الريسبي!$A$2:$A$1800,$A100,الريسبي!$B$2:$B$1800,AE$1)</f>
        <v>0</v>
      </c>
      <c r="AF100" s="117" t="n">
        <f aca="false">SUMIFS(الريسبي!$C$2:$C$1800,الريسبي!$A$2:$A$1800,$A100,الريسبي!$B$2:$B$1800,AF$1)</f>
        <v>0</v>
      </c>
      <c r="AG100" s="117" t="n">
        <f aca="false">SUMIFS(الريسبي!$C$2:$C$1800,الريسبي!$A$2:$A$1800,$A100,الريسبي!$B$2:$B$1800,AG$1)</f>
        <v>0</v>
      </c>
      <c r="AH100" s="117" t="n">
        <f aca="false">SUMIFS(الريسبي!$C$2:$C$1800,الريسبي!$A$2:$A$1800,$A100,الريسبي!$B$2:$B$1800,AH$1)</f>
        <v>0</v>
      </c>
      <c r="AI100" s="117" t="n">
        <f aca="false">SUMIFS(الريسبي!$C$2:$C$1800,الريسبي!$A$2:$A$1800,$A100,الريسبي!$B$2:$B$1800,AI$1)</f>
        <v>0</v>
      </c>
      <c r="AJ100" s="117" t="n">
        <f aca="false">SUMIFS(الريسبي!$C$2:$C$1800,الريسبي!$A$2:$A$1800,$A100,الريسبي!$B$2:$B$1800,AJ$1)</f>
        <v>2</v>
      </c>
      <c r="AK100" s="117" t="n">
        <f aca="false">SUMIFS(الريسبي!$C$2:$C$1800,الريسبي!$A$2:$A$1800,$A100,الريسبي!$B$2:$B$1800,AK$1)</f>
        <v>0</v>
      </c>
      <c r="AL100" s="117" t="n">
        <f aca="false">SUMIFS(الريسبي!$C$2:$C$1800,الريسبي!$A$2:$A$1800,$A100,الريسبي!$B$2:$B$1800,AL$1)</f>
        <v>0</v>
      </c>
      <c r="AM100" s="117" t="n">
        <f aca="false">SUMIFS(الريسبي!$C$2:$C$1800,الريسبي!$A$2:$A$1800,$A100,الريسبي!$B$2:$B$1800,AM$1)+0.08333333333*SUMIFS(الريسبي!$C$2:$C$1800,الريسبي!$A$2:$A$1800,$A100,الريسبي!$B$2:$B$1800,"عجين كريب (مصنع بالمطعم)")+0.08333333333*SUMIFS(الريسبي!$C$2:$C$1800,الريسبي!$A$2:$A$1800,$A100,الريسبي!$B$2:$B$1800,"عجين كريب صيامي (بدون لبن)")</f>
        <v>0</v>
      </c>
      <c r="AN100" s="117" t="n">
        <f aca="false">SUMIFS(الريسبي!$C$2:$C$1800,الريسبي!$A$2:$A$1800,$A100,الريسبي!$B$2:$B$1800,AN$1)+0.004166666667*SUMIFS(الريسبي!$C$2:$C$1800,الريسبي!$A$2:$A$1800,$A100,الريسبي!$B$2:$B$1800,"عجين كريب (مصنع بالمطعم)")+0.004166666667*SUMIFS(الريسبي!$C$2:$C$1800,الريسبي!$A$2:$A$1800,$A100,الريسبي!$B$2:$B$1800,"عجين كريب صيامي (بدون لبن)")</f>
        <v>0</v>
      </c>
      <c r="AO100" s="117" t="n">
        <f aca="false">SUMIFS(الريسبي!$C$2:$C$1800,الريسبي!$A$2:$A$1800,$A100,الريسبي!$B$2:$B$1800,AO$1)</f>
        <v>0</v>
      </c>
      <c r="AP100" s="117" t="n">
        <f aca="false">SUMIFS(الريسبي!$C$2:$C$1800,الريسبي!$A$2:$A$1800,$A100,الريسبي!$B$2:$B$1800,AP$1)</f>
        <v>0.03</v>
      </c>
      <c r="AQ100" s="117" t="n">
        <f aca="false">SUMIFS(الريسبي!$C$2:$C$1800,الريسبي!$A$2:$A$1800,$A100,الريسبي!$B$2:$B$1800,AQ$1)+0.004166666667*SUMIFS(الريسبي!$C$2:$C$1800,الريسبي!$A$2:$A$1800,$A100,الريسبي!$B$2:$B$1800,"عجين كريب (مصنع بالمطعم)")+0.004166666667*SUMIFS(الريسبي!$C$2:$C$1800,الريسبي!$A$2:$A$1800,$A100,الريسبي!$B$2:$B$1800,"عجين كريب صيامي (بدون لبن)")</f>
        <v>0</v>
      </c>
      <c r="AR100" s="117" t="n">
        <f aca="false">SUMIFS(الريسبي!$C$2:$C$1800,الريسبي!$A$2:$A$1800,$A100,الريسبي!$B$2:$B$1800,AR$1)</f>
        <v>0</v>
      </c>
      <c r="AS100" s="117" t="n">
        <f aca="false">SUMIFS(الريسبي!$C$2:$C$1800,الريسبي!$A$2:$A$1800,$A100,الريسبي!$B$2:$B$1800,AS$1)</f>
        <v>0</v>
      </c>
      <c r="AT100" s="117" t="n">
        <f aca="false">SUMIFS(الريسبي!$C$2:$C$1800,الريسبي!$A$2:$A$1800,$A100,الريسبي!$B$2:$B$1800,AT$1)</f>
        <v>0</v>
      </c>
      <c r="AU100" s="117" t="n">
        <f aca="false">SUMIFS(الريسبي!$C$2:$C$1800,الريسبي!$A$2:$A$1800,$A100,الريسبي!$B$2:$B$1800,AU$1)</f>
        <v>0</v>
      </c>
      <c r="AV100" s="117" t="n">
        <f aca="false">SUMIFS(الريسبي!$C$2:$C$1800,الريسبي!$A$2:$A$1800,$A100,الريسبي!$B$2:$B$1800,AV$1)</f>
        <v>0</v>
      </c>
      <c r="AW100" s="117" t="n">
        <f aca="false">SUMIFS(الريسبي!$C$2:$C$1800,الريسبي!$A$2:$A$1800,$A100,الريسبي!$B$2:$B$1800,AW$1)</f>
        <v>0</v>
      </c>
      <c r="AX100" s="117" t="n">
        <f aca="false">SUMIFS(الريسبي!$C$2:$C$1800,الريسبي!$A$2:$A$1800,$A100,الريسبي!$B$2:$B$1800,AX$1)</f>
        <v>0</v>
      </c>
      <c r="AY100" s="117" t="n">
        <f aca="false">SUMIFS(الريسبي!$C$2:$C$1800,الريسبي!$A$2:$A$1800,$A100,الريسبي!$B$2:$B$1800,AY$1)</f>
        <v>0</v>
      </c>
      <c r="AZ100" s="117" t="n">
        <f aca="false">SUMIFS(الريسبي!$C$2:$C$1800,الريسبي!$A$2:$A$1800,$A100,الريسبي!$B$2:$B$1800,AZ$1)</f>
        <v>0</v>
      </c>
      <c r="BA100" s="117" t="n">
        <f aca="false">SUMIFS(الريسبي!$C$2:$C$1800,الريسبي!$A$2:$A$1800,$A100,الريسبي!$B$2:$B$1800,BA$1)</f>
        <v>0</v>
      </c>
      <c r="BB100" s="117" t="n">
        <f aca="false">SUMIFS(الريسبي!$C$2:$C$1800,الريسبي!$A$2:$A$1800,$A100,الريسبي!$B$2:$B$1800,BB$1)</f>
        <v>0</v>
      </c>
      <c r="BC100" s="117" t="n">
        <f aca="false">SUMIFS(الريسبي!$C$2:$C$1800,الريسبي!$A$2:$A$1800,$A100,الريسبي!$B$2:$B$1800,BC$1)</f>
        <v>0.045</v>
      </c>
      <c r="BD100" s="117" t="n">
        <f aca="false">SUMIFS(الريسبي!$C$2:$C$1800,الريسبي!$A$2:$A$1800,$A100,الريسبي!$B$2:$B$1800,BD$1)</f>
        <v>0</v>
      </c>
      <c r="BE100" s="117" t="n">
        <f aca="false">SUMIFS(الريسبي!$C$2:$C$1800,الريسبي!$A$2:$A$1800,$A100,الريسبي!$B$2:$B$1800,BE$1)</f>
        <v>1.5</v>
      </c>
      <c r="BF100" s="117" t="n">
        <f aca="false">SUMIFS(الريسبي!$C$2:$C$1800,الريسبي!$A$2:$A$1800,$A100,الريسبي!$B$2:$B$1800,BF$1)</f>
        <v>0</v>
      </c>
      <c r="BG100" s="117" t="n">
        <f aca="false">SUMIFS(الريسبي!$C$2:$C$1800,الريسبي!$A$2:$A$1800,$A100,الريسبي!$B$2:$B$1800,BG$1)</f>
        <v>1</v>
      </c>
      <c r="BH100" s="117" t="n">
        <f aca="false">SUMIFS(الريسبي!$C$2:$C$1800,الريسبي!$A$2:$A$1800,$A100,الريسبي!$B$2:$B$1800,BH$1)</f>
        <v>0</v>
      </c>
      <c r="BI100" s="117" t="n">
        <f aca="false">SUMIFS(الريسبي!$C$2:$C$1800,الريسبي!$A$2:$A$1800,$A100,الريسبي!$B$2:$B$1800,BI$1)</f>
        <v>0</v>
      </c>
      <c r="BJ100" s="117" t="n">
        <f aca="false">SUMIFS(الريسبي!$C$2:$C$1800,الريسبي!$A$2:$A$1800,$A100,الريسبي!$B$2:$B$1800,BJ$1)</f>
        <v>0</v>
      </c>
      <c r="BK100" s="117" t="n">
        <f aca="false">SUMIFS(الريسبي!$C$2:$C$1800,الريسبي!$A$2:$A$1800,$A100,الريسبي!$B$2:$B$1800,BK$1)</f>
        <v>0</v>
      </c>
      <c r="BL100" s="117" t="n">
        <f aca="false">SUMIFS(الريسبي!$C$2:$C$1800,الريسبي!$A$2:$A$1800,$A100,الريسبي!$B$2:$B$1800,BL$1)</f>
        <v>0</v>
      </c>
      <c r="BM100" s="117" t="n">
        <f aca="false">SUMIFS(الريسبي!$C$2:$C$1800,الريسبي!$A$2:$A$1800,$A100,الريسبي!$B$2:$B$1800,BM$1)</f>
        <v>0</v>
      </c>
      <c r="BN100" s="117" t="n">
        <f aca="false">SUMIFS(الريسبي!$C$2:$C$1800,الريسبي!$A$2:$A$1800,$A100,الريسبي!$B$2:$B$1800,BN$1)</f>
        <v>0.03</v>
      </c>
      <c r="BO100" s="117" t="n">
        <f aca="false">SUMIFS(الريسبي!$C$2:$C$1800,الريسبي!$A$2:$A$1800,$A100,الريسبي!$B$2:$B$1800,BO$1)</f>
        <v>0</v>
      </c>
      <c r="BP100" s="117" t="n">
        <f aca="false">SUMIFS(الريسبي!$C$2:$C$1800,الريسبي!$A$2:$A$1800,$A100,الريسبي!$B$2:$B$1800,BP$1)</f>
        <v>3</v>
      </c>
      <c r="BQ100" s="117" t="n">
        <f aca="false">SUMIFS(الريسبي!$C$2:$C$1800,الريسبي!$A$2:$A$1800,$A100,الريسبي!$B$2:$B$1800,BQ$1)+0.17*SUMIFS(الريسبي!$C$2:$C$1800,الريسبي!$A$2:$A$1800,$A100,الريسبي!$B$2:$B$1800,"كاسترد مصنع (خليط بودر + لبن)")+0.17*SUMIFS(الريسبي!$C$2:$C$1800,الريسبي!$A$2:$A$1800,$A100,الريسبي!$B$2:$B$1800,"كاسترد مصنع صيامي (بدون لبن)")</f>
        <v>0</v>
      </c>
      <c r="BR100" s="117" t="n">
        <f aca="false">SUMIFS(الريسبي!$C$2:$C$1800,الريسبي!$A$2:$A$1800,$A100,الريسبي!$B$2:$B$1800,BR$1)</f>
        <v>1</v>
      </c>
      <c r="BS100" s="117" t="n">
        <f aca="false">SUMIFS(الريسبي!$C$2:$C$1800,الريسبي!$A$2:$A$1800,$A100,الريسبي!$B$2:$B$1800,BS$1)</f>
        <v>0</v>
      </c>
      <c r="BT100" s="117" t="n">
        <f aca="false">SUMIFS(الريسبي!$C$2:$C$1800,الريسبي!$A$2:$A$1800,$A100,الريسبي!$B$2:$B$1800,BT$1)</f>
        <v>0</v>
      </c>
      <c r="BU100" s="117" t="n">
        <f aca="false">SUMIFS(الريسبي!$C$2:$C$1800,الريسبي!$A$2:$A$1800,$A100,الريسبي!$B$2:$B$1800,BU$1)+0.4*SUMIFS(الريسبي!$C$2:$C$1800,الريسبي!$A$2:$A$1800,$A100,الريسبي!$B$2:$B$1800,"كاسترد مصنع (خليط بودر + لبن)")+0.03333333333*SUMIFS(الريسبي!$C$2:$C$1800,الريسبي!$A$2:$A$1800,$A100,الريسبي!$B$2:$B$1800,"عجين كريب (مصنع بالمطعم)")</f>
        <v>0</v>
      </c>
      <c r="BV100" s="117" t="n">
        <f aca="false">SUMIFS(الريسبي!$C$2:$C$1800,الريسبي!$A$2:$A$1800,$A100,الريسبي!$B$2:$B$1800,BV$1)</f>
        <v>0</v>
      </c>
      <c r="BW100" s="117" t="n">
        <f aca="false">SUMIFS(الريسبي!$C$2:$C$1800,الريسبي!$A$2:$A$1800,$A100,الريسبي!$B$2:$B$1800,BW$1)</f>
        <v>0</v>
      </c>
      <c r="BX100" s="117" t="n">
        <f aca="false">SUMIFS(الريسبي!$C$2:$C$1800,الريسبي!$A$2:$A$1800,$A100,الريسبي!$B$2:$B$1800,BX$1)</f>
        <v>0</v>
      </c>
      <c r="BY100" s="117" t="n">
        <f aca="false">SUMIFS(الريسبي!$C$2:$C$1800,الريسبي!$A$2:$A$1800,$A100,الريسبي!$B$2:$B$1800,BY$1)</f>
        <v>0</v>
      </c>
      <c r="BZ100" s="117" t="n">
        <f aca="false">SUMIFS(الريسبي!$C$2:$C$1800,الريسبي!$A$2:$A$1800,$A100,الريسبي!$B$2:$B$1800,BZ$1)</f>
        <v>0</v>
      </c>
      <c r="CA100" s="117" t="n">
        <f aca="false">SUMIFS(الريسبي!$C$2:$C$1800,الريسبي!$A$2:$A$1800,$A100,الريسبي!$B$2:$B$1800,CA$1)</f>
        <v>1</v>
      </c>
      <c r="CB100" s="117" t="n">
        <f aca="false">SUMIFS(الريسبي!$C$2:$C$1800,الريسبي!$A$2:$A$1800,$A100,الريسبي!$B$2:$B$1800,CB$1)</f>
        <v>1</v>
      </c>
      <c r="CC100" s="117" t="n">
        <f aca="false">SUMIFS(الريسبي!$C$2:$C$1800,الريسبي!$A$2:$A$1800,$A100,الريسبي!$B$2:$B$1800,CC$1)</f>
        <v>0</v>
      </c>
      <c r="CD100" s="117" t="n">
        <f aca="false">SUMIFS(الريسبي!$C$2:$C$1800,الريسبي!$A$2:$A$1800,$A100,الريسبي!$B$2:$B$1800,CD$1)</f>
        <v>0</v>
      </c>
      <c r="CE100" s="117" t="n">
        <f aca="false">SUMIFS(الريسبي!$C$2:$C$1800,الريسبي!$A$2:$A$1800,$A100,الريسبي!$B$2:$B$1800,CE$1)</f>
        <v>0.21</v>
      </c>
      <c r="CF100" s="117" t="n">
        <f aca="false">SUMIFS(الريسبي!$C$2:$C$1800,الريسبي!$A$2:$A$1800,$A100,الريسبي!$B$2:$B$1800,CF$1)</f>
        <v>0</v>
      </c>
      <c r="CG100" s="117" t="n">
        <f aca="false">SUMIFS(الريسبي!$C$2:$C$1800,الريسبي!$A$2:$A$1800,$A100,الريسبي!$B$2:$B$1800,CG$1)</f>
        <v>0</v>
      </c>
      <c r="CH100" s="117" t="n">
        <f aca="false">SUMIFS(الريسبي!$C$2:$C$1800,الريسبي!$A$2:$A$1800,$A100,الريسبي!$B$2:$B$1800,CH$1)</f>
        <v>0</v>
      </c>
      <c r="CI100" s="117" t="n">
        <f aca="false">SUMIFS(الريسبي!$C$2:$C$1800,الريسبي!$A$2:$A$1800,$A100,الريسبي!$B$2:$B$1800,CI$1)</f>
        <v>0</v>
      </c>
      <c r="CJ100" s="117" t="n">
        <f aca="false">SUMIFS(الريسبي!$C$2:$C$1800,الريسبي!$A$2:$A$1800,$A100,الريسبي!$B$2:$B$1800,CJ$1)</f>
        <v>0</v>
      </c>
      <c r="CK100" s="117" t="n">
        <f aca="false">SUMIFS(الريسبي!$C$2:$C$1800,الريسبي!$A$2:$A$1800,$A100,الريسبي!$B$2:$B$1800,CK$1)</f>
        <v>0</v>
      </c>
      <c r="CL100" s="117" t="n">
        <f aca="false">SUMIFS(الريسبي!$C$2:$C$1800,الريسبي!$A$2:$A$1800,$A100,الريسبي!$B$2:$B$1800,CL$1)</f>
        <v>0</v>
      </c>
    </row>
    <row r="101" customFormat="false" ht="15" hidden="false" customHeight="false" outlineLevel="0" collapsed="false">
      <c r="A101" s="116" t="str">
        <f aca="false">المنيو!B101</f>
        <v>فطيرة مشكل لحوم صيامي وسط</v>
      </c>
      <c r="B101" s="117" t="n">
        <f aca="false">SUMIFS(الريسبي!$C$2:$C$1800,الريسبي!$A$2:$A$1800,$A101,الريسبي!$B$2:$B$1800,B$1)</f>
        <v>0</v>
      </c>
      <c r="C101" s="117" t="n">
        <f aca="false">SUMIFS(الريسبي!$C$2:$C$1800,الريسبي!$A$2:$A$1800,$A101,الريسبي!$B$2:$B$1800,C$1)</f>
        <v>0</v>
      </c>
      <c r="D101" s="117" t="n">
        <f aca="false">SUMIFS(الريسبي!$C$2:$C$1800,الريسبي!$A$2:$A$1800,$A101,الريسبي!$B$2:$B$1800,D$1)</f>
        <v>1</v>
      </c>
      <c r="E101" s="117" t="n">
        <f aca="false">SUMIFS(الريسبي!$C$2:$C$1800,الريسبي!$A$2:$A$1800,$A101,الريسبي!$B$2:$B$1800,E$1)</f>
        <v>0</v>
      </c>
      <c r="F101" s="117" t="n">
        <f aca="false">SUMIFS(الريسبي!$C$2:$C$1800,الريسبي!$A$2:$A$1800,$A101,الريسبي!$B$2:$B$1800,F$1)</f>
        <v>0</v>
      </c>
      <c r="G101" s="117" t="n">
        <f aca="false">SUMIFS(الريسبي!$C$2:$C$1800,الريسبي!$A$2:$A$1800,$A101,الريسبي!$B$2:$B$1800,G$1)</f>
        <v>0</v>
      </c>
      <c r="H101" s="117" t="n">
        <f aca="false">SUMIFS(الريسبي!$C$2:$C$1800,الريسبي!$A$2:$A$1800,$A101,الريسبي!$B$2:$B$1800,H$1)</f>
        <v>0</v>
      </c>
      <c r="I101" s="117" t="n">
        <f aca="false">SUMIFS(الريسبي!$C$2:$C$1800,الريسبي!$A$2:$A$1800,$A101,الريسبي!$B$2:$B$1800,I$1)</f>
        <v>0</v>
      </c>
      <c r="J101" s="117" t="n">
        <f aca="false">SUMIFS(الريسبي!$C$2:$C$1800,الريسبي!$A$2:$A$1800,$A101,الريسبي!$B$2:$B$1800,J$1)</f>
        <v>0</v>
      </c>
      <c r="K101" s="117" t="n">
        <f aca="false">SUMIFS(الريسبي!$C$2:$C$1800,الريسبي!$A$2:$A$1800,$A101,الريسبي!$B$2:$B$1800,K$1)</f>
        <v>0</v>
      </c>
      <c r="L101" s="117" t="n">
        <f aca="false">SUMIFS(الريسبي!$C$2:$C$1800,الريسبي!$A$2:$A$1800,$A101,الريسبي!$B$2:$B$1800,L$1)</f>
        <v>0</v>
      </c>
      <c r="M101" s="117" t="n">
        <f aca="false">SUMIFS(الريسبي!$C$2:$C$1800,الريسبي!$A$2:$A$1800,$A101,الريسبي!$B$2:$B$1800,M$1)</f>
        <v>0</v>
      </c>
      <c r="N101" s="117" t="n">
        <f aca="false">SUMIFS(الريسبي!$C$2:$C$1800,الريسبي!$A$2:$A$1800,$A101,الريسبي!$B$2:$B$1800,N$1)</f>
        <v>0</v>
      </c>
      <c r="O101" s="117" t="n">
        <f aca="false">SUMIFS(الريسبي!$C$2:$C$1800,الريسبي!$A$2:$A$1800,$A101,الريسبي!$B$2:$B$1800,O$1)</f>
        <v>0</v>
      </c>
      <c r="P101" s="117" t="n">
        <f aca="false">SUMIFS(الريسبي!$C$2:$C$1800,الريسبي!$A$2:$A$1800,$A101,الريسبي!$B$2:$B$1800,P$1)</f>
        <v>0</v>
      </c>
      <c r="Q101" s="117" t="n">
        <f aca="false">SUMIFS(الريسبي!$C$2:$C$1800,الريسبي!$A$2:$A$1800,$A101,الريسبي!$B$2:$B$1800,Q$1)</f>
        <v>0</v>
      </c>
      <c r="R101" s="117" t="n">
        <f aca="false">SUMIFS(الريسبي!$C$2:$C$1800,الريسبي!$A$2:$A$1800,$A101,الريسبي!$B$2:$B$1800,R$1)</f>
        <v>0</v>
      </c>
      <c r="S101" s="117" t="n">
        <f aca="false">SUMIFS(الريسبي!$C$2:$C$1800,الريسبي!$A$2:$A$1800,$A101,الريسبي!$B$2:$B$1800,S$1)</f>
        <v>0</v>
      </c>
      <c r="T101" s="117" t="n">
        <f aca="false">SUMIFS(الريسبي!$C$2:$C$1800,الريسبي!$A$2:$A$1800,$A101,الريسبي!$B$2:$B$1800,T$1)</f>
        <v>0</v>
      </c>
      <c r="U101" s="117" t="n">
        <f aca="false">SUMIFS(الريسبي!$C$2:$C$1800,الريسبي!$A$2:$A$1800,$A101,الريسبي!$B$2:$B$1800,U$1)</f>
        <v>0</v>
      </c>
      <c r="V101" s="117" t="n">
        <f aca="false">SUMIFS(الريسبي!$C$2:$C$1800,الريسبي!$A$2:$A$1800,$A101,الريسبي!$B$2:$B$1800,V$1)+1.5*(SUMIFS(الريسبي!$C$2:$C$1800,الريسبي!$A$2:$A$1800,$A101,الريسبي!$B$2:$B$1800,"برسيون موتزريلا بيتزا كبير"))</f>
        <v>0</v>
      </c>
      <c r="W101" s="117" t="n">
        <f aca="false">0</f>
        <v>0</v>
      </c>
      <c r="X101" s="117" t="n">
        <f aca="false">SUMIFS(الريسبي!$C$2:$C$1800,الريسبي!$A$2:$A$1800,$A101,الريسبي!$B$2:$B$1800,X$1)+1.5*(SUMIFS(الريسبي!$C$2:$C$1800,الريسبي!$A$2:$A$1800,$A101,الريسبي!$B$2:$B$1800,"برسيون موتزريلا فطير كبير"))</f>
        <v>1</v>
      </c>
      <c r="Y101" s="117" t="n">
        <f aca="false">0</f>
        <v>0</v>
      </c>
      <c r="Z101" s="117" t="n">
        <f aca="false">SUMIFS(الريسبي!$C$2:$C$1800,الريسبي!$A$2:$A$1800,$A101,الريسبي!$B$2:$B$1800,Z$1)</f>
        <v>0</v>
      </c>
      <c r="AA101" s="117" t="n">
        <f aca="false">SUMIFS(الريسبي!$C$2:$C$1800,الريسبي!$A$2:$A$1800,$A101,الريسبي!$B$2:$B$1800,AA$1)</f>
        <v>0</v>
      </c>
      <c r="AB101" s="117" t="n">
        <f aca="false">SUMIFS(الريسبي!$C$2:$C$1800,الريسبي!$A$2:$A$1800,$A101,الريسبي!$B$2:$B$1800,AB$1)</f>
        <v>0</v>
      </c>
      <c r="AC101" s="117" t="n">
        <f aca="false">SUMIFS(الريسبي!$C$2:$C$1800,الريسبي!$A$2:$A$1800,$A101,الريسبي!$B$2:$B$1800,AC$1)</f>
        <v>0</v>
      </c>
      <c r="AD101" s="117" t="n">
        <f aca="false">SUMIFS(الريسبي!$C$2:$C$1800,الريسبي!$A$2:$A$1800,$A101,الريسبي!$B$2:$B$1800,AD$1)</f>
        <v>0</v>
      </c>
      <c r="AE101" s="117" t="n">
        <f aca="false">SUMIFS(الريسبي!$C$2:$C$1800,الريسبي!$A$2:$A$1800,$A101,الريسبي!$B$2:$B$1800,AE$1)</f>
        <v>0</v>
      </c>
      <c r="AF101" s="117" t="n">
        <f aca="false">SUMIFS(الريسبي!$C$2:$C$1800,الريسبي!$A$2:$A$1800,$A101,الريسبي!$B$2:$B$1800,AF$1)</f>
        <v>0</v>
      </c>
      <c r="AG101" s="117" t="n">
        <f aca="false">SUMIFS(الريسبي!$C$2:$C$1800,الريسبي!$A$2:$A$1800,$A101,الريسبي!$B$2:$B$1800,AG$1)</f>
        <v>0</v>
      </c>
      <c r="AH101" s="117" t="n">
        <f aca="false">SUMIFS(الريسبي!$C$2:$C$1800,الريسبي!$A$2:$A$1800,$A101,الريسبي!$B$2:$B$1800,AH$1)</f>
        <v>0</v>
      </c>
      <c r="AI101" s="117" t="n">
        <f aca="false">SUMIFS(الريسبي!$C$2:$C$1800,الريسبي!$A$2:$A$1800,$A101,الريسبي!$B$2:$B$1800,AI$1)</f>
        <v>0</v>
      </c>
      <c r="AJ101" s="117" t="n">
        <f aca="false">SUMIFS(الريسبي!$C$2:$C$1800,الريسبي!$A$2:$A$1800,$A101,الريسبي!$B$2:$B$1800,AJ$1)</f>
        <v>2</v>
      </c>
      <c r="AK101" s="117" t="n">
        <f aca="false">SUMIFS(الريسبي!$C$2:$C$1800,الريسبي!$A$2:$A$1800,$A101,الريسبي!$B$2:$B$1800,AK$1)</f>
        <v>0</v>
      </c>
      <c r="AL101" s="117" t="n">
        <f aca="false">SUMIFS(الريسبي!$C$2:$C$1800,الريسبي!$A$2:$A$1800,$A101,الريسبي!$B$2:$B$1800,AL$1)</f>
        <v>0</v>
      </c>
      <c r="AM101" s="117" t="n">
        <f aca="false">SUMIFS(الريسبي!$C$2:$C$1800,الريسبي!$A$2:$A$1800,$A101,الريسبي!$B$2:$B$1800,AM$1)+0.08333333333*SUMIFS(الريسبي!$C$2:$C$1800,الريسبي!$A$2:$A$1800,$A101,الريسبي!$B$2:$B$1800,"عجين كريب (مصنع بالمطعم)")+0.08333333333*SUMIFS(الريسبي!$C$2:$C$1800,الريسبي!$A$2:$A$1800,$A101,الريسبي!$B$2:$B$1800,"عجين كريب صيامي (بدون لبن)")</f>
        <v>0</v>
      </c>
      <c r="AN101" s="117" t="n">
        <f aca="false">SUMIFS(الريسبي!$C$2:$C$1800,الريسبي!$A$2:$A$1800,$A101,الريسبي!$B$2:$B$1800,AN$1)+0.004166666667*SUMIFS(الريسبي!$C$2:$C$1800,الريسبي!$A$2:$A$1800,$A101,الريسبي!$B$2:$B$1800,"عجين كريب (مصنع بالمطعم)")+0.004166666667*SUMIFS(الريسبي!$C$2:$C$1800,الريسبي!$A$2:$A$1800,$A101,الريسبي!$B$2:$B$1800,"عجين كريب صيامي (بدون لبن)")</f>
        <v>0</v>
      </c>
      <c r="AO101" s="117" t="n">
        <f aca="false">SUMIFS(الريسبي!$C$2:$C$1800,الريسبي!$A$2:$A$1800,$A101,الريسبي!$B$2:$B$1800,AO$1)</f>
        <v>0</v>
      </c>
      <c r="AP101" s="117" t="n">
        <f aca="false">SUMIFS(الريسبي!$C$2:$C$1800,الريسبي!$A$2:$A$1800,$A101,الريسبي!$B$2:$B$1800,AP$1)</f>
        <v>0.02</v>
      </c>
      <c r="AQ101" s="117" t="n">
        <f aca="false">SUMIFS(الريسبي!$C$2:$C$1800,الريسبي!$A$2:$A$1800,$A101,الريسبي!$B$2:$B$1800,AQ$1)+0.004166666667*SUMIFS(الريسبي!$C$2:$C$1800,الريسبي!$A$2:$A$1800,$A101,الريسبي!$B$2:$B$1800,"عجين كريب (مصنع بالمطعم)")+0.004166666667*SUMIFS(الريسبي!$C$2:$C$1800,الريسبي!$A$2:$A$1800,$A101,الريسبي!$B$2:$B$1800,"عجين كريب صيامي (بدون لبن)")</f>
        <v>0</v>
      </c>
      <c r="AR101" s="117" t="n">
        <f aca="false">SUMIFS(الريسبي!$C$2:$C$1800,الريسبي!$A$2:$A$1800,$A101,الريسبي!$B$2:$B$1800,AR$1)</f>
        <v>0</v>
      </c>
      <c r="AS101" s="117" t="n">
        <f aca="false">SUMIFS(الريسبي!$C$2:$C$1800,الريسبي!$A$2:$A$1800,$A101,الريسبي!$B$2:$B$1800,AS$1)</f>
        <v>0</v>
      </c>
      <c r="AT101" s="117" t="n">
        <f aca="false">SUMIFS(الريسبي!$C$2:$C$1800,الريسبي!$A$2:$A$1800,$A101,الريسبي!$B$2:$B$1800,AT$1)</f>
        <v>0</v>
      </c>
      <c r="AU101" s="117" t="n">
        <f aca="false">SUMIFS(الريسبي!$C$2:$C$1800,الريسبي!$A$2:$A$1800,$A101,الريسبي!$B$2:$B$1800,AU$1)</f>
        <v>0</v>
      </c>
      <c r="AV101" s="117" t="n">
        <f aca="false">SUMIFS(الريسبي!$C$2:$C$1800,الريسبي!$A$2:$A$1800,$A101,الريسبي!$B$2:$B$1800,AV$1)</f>
        <v>0</v>
      </c>
      <c r="AW101" s="117" t="n">
        <f aca="false">SUMIFS(الريسبي!$C$2:$C$1800,الريسبي!$A$2:$A$1800,$A101,الريسبي!$B$2:$B$1800,AW$1)</f>
        <v>0</v>
      </c>
      <c r="AX101" s="117" t="n">
        <f aca="false">SUMIFS(الريسبي!$C$2:$C$1800,الريسبي!$A$2:$A$1800,$A101,الريسبي!$B$2:$B$1800,AX$1)</f>
        <v>0</v>
      </c>
      <c r="AY101" s="117" t="n">
        <f aca="false">SUMIFS(الريسبي!$C$2:$C$1800,الريسبي!$A$2:$A$1800,$A101,الريسبي!$B$2:$B$1800,AY$1)</f>
        <v>0</v>
      </c>
      <c r="AZ101" s="117" t="n">
        <f aca="false">SUMIFS(الريسبي!$C$2:$C$1800,الريسبي!$A$2:$A$1800,$A101,الريسبي!$B$2:$B$1800,AZ$1)</f>
        <v>0</v>
      </c>
      <c r="BA101" s="117" t="n">
        <f aca="false">SUMIFS(الريسبي!$C$2:$C$1800,الريسبي!$A$2:$A$1800,$A101,الريسبي!$B$2:$B$1800,BA$1)</f>
        <v>0</v>
      </c>
      <c r="BB101" s="117" t="n">
        <f aca="false">SUMIFS(الريسبي!$C$2:$C$1800,الريسبي!$A$2:$A$1800,$A101,الريسبي!$B$2:$B$1800,BB$1)</f>
        <v>0</v>
      </c>
      <c r="BC101" s="117" t="n">
        <f aca="false">SUMIFS(الريسبي!$C$2:$C$1800,الريسبي!$A$2:$A$1800,$A101,الريسبي!$B$2:$B$1800,BC$1)</f>
        <v>0.03</v>
      </c>
      <c r="BD101" s="117" t="n">
        <f aca="false">SUMIFS(الريسبي!$C$2:$C$1800,الريسبي!$A$2:$A$1800,$A101,الريسبي!$B$2:$B$1800,BD$1)</f>
        <v>0</v>
      </c>
      <c r="BE101" s="117" t="n">
        <f aca="false">SUMIFS(الريسبي!$C$2:$C$1800,الريسبي!$A$2:$A$1800,$A101,الريسبي!$B$2:$B$1800,BE$1)</f>
        <v>1</v>
      </c>
      <c r="BF101" s="117" t="n">
        <f aca="false">SUMIFS(الريسبي!$C$2:$C$1800,الريسبي!$A$2:$A$1800,$A101,الريسبي!$B$2:$B$1800,BF$1)</f>
        <v>0</v>
      </c>
      <c r="BG101" s="117" t="n">
        <f aca="false">SUMIFS(الريسبي!$C$2:$C$1800,الريسبي!$A$2:$A$1800,$A101,الريسبي!$B$2:$B$1800,BG$1)</f>
        <v>0</v>
      </c>
      <c r="BH101" s="117" t="n">
        <f aca="false">SUMIFS(الريسبي!$C$2:$C$1800,الريسبي!$A$2:$A$1800,$A101,الريسبي!$B$2:$B$1800,BH$1)</f>
        <v>1</v>
      </c>
      <c r="BI101" s="117" t="n">
        <f aca="false">SUMIFS(الريسبي!$C$2:$C$1800,الريسبي!$A$2:$A$1800,$A101,الريسبي!$B$2:$B$1800,BI$1)</f>
        <v>0</v>
      </c>
      <c r="BJ101" s="117" t="n">
        <f aca="false">SUMIFS(الريسبي!$C$2:$C$1800,الريسبي!$A$2:$A$1800,$A101,الريسبي!$B$2:$B$1800,BJ$1)</f>
        <v>0</v>
      </c>
      <c r="BK101" s="117" t="n">
        <f aca="false">SUMIFS(الريسبي!$C$2:$C$1800,الريسبي!$A$2:$A$1800,$A101,الريسبي!$B$2:$B$1800,BK$1)</f>
        <v>0</v>
      </c>
      <c r="BL101" s="117" t="n">
        <f aca="false">SUMIFS(الريسبي!$C$2:$C$1800,الريسبي!$A$2:$A$1800,$A101,الريسبي!$B$2:$B$1800,BL$1)</f>
        <v>0</v>
      </c>
      <c r="BM101" s="117" t="n">
        <f aca="false">SUMIFS(الريسبي!$C$2:$C$1800,الريسبي!$A$2:$A$1800,$A101,الريسبي!$B$2:$B$1800,BM$1)</f>
        <v>0</v>
      </c>
      <c r="BN101" s="117" t="n">
        <f aca="false">SUMIFS(الريسبي!$C$2:$C$1800,الريسبي!$A$2:$A$1800,$A101,الريسبي!$B$2:$B$1800,BN$1)</f>
        <v>0.02</v>
      </c>
      <c r="BO101" s="117" t="n">
        <f aca="false">SUMIFS(الريسبي!$C$2:$C$1800,الريسبي!$A$2:$A$1800,$A101,الريسبي!$B$2:$B$1800,BO$1)</f>
        <v>0</v>
      </c>
      <c r="BP101" s="117" t="n">
        <f aca="false">SUMIFS(الريسبي!$C$2:$C$1800,الريسبي!$A$2:$A$1800,$A101,الريسبي!$B$2:$B$1800,BP$1)</f>
        <v>2</v>
      </c>
      <c r="BQ101" s="117" t="n">
        <f aca="false">SUMIFS(الريسبي!$C$2:$C$1800,الريسبي!$A$2:$A$1800,$A101,الريسبي!$B$2:$B$1800,BQ$1)+0.17*SUMIFS(الريسبي!$C$2:$C$1800,الريسبي!$A$2:$A$1800,$A101,الريسبي!$B$2:$B$1800,"كاسترد مصنع (خليط بودر + لبن)")+0.17*SUMIFS(الريسبي!$C$2:$C$1800,الريسبي!$A$2:$A$1800,$A101,الريسبي!$B$2:$B$1800,"كاسترد مصنع صيامي (بدون لبن)")</f>
        <v>0</v>
      </c>
      <c r="BR101" s="117" t="n">
        <f aca="false">SUMIFS(الريسبي!$C$2:$C$1800,الريسبي!$A$2:$A$1800,$A101,الريسبي!$B$2:$B$1800,BR$1)</f>
        <v>1</v>
      </c>
      <c r="BS101" s="117" t="n">
        <f aca="false">SUMIFS(الريسبي!$C$2:$C$1800,الريسبي!$A$2:$A$1800,$A101,الريسبي!$B$2:$B$1800,BS$1)</f>
        <v>0</v>
      </c>
      <c r="BT101" s="117" t="n">
        <f aca="false">SUMIFS(الريسبي!$C$2:$C$1800,الريسبي!$A$2:$A$1800,$A101,الريسبي!$B$2:$B$1800,BT$1)</f>
        <v>0</v>
      </c>
      <c r="BU101" s="117" t="n">
        <f aca="false">SUMIFS(الريسبي!$C$2:$C$1800,الريسبي!$A$2:$A$1800,$A101,الريسبي!$B$2:$B$1800,BU$1)+0.4*SUMIFS(الريسبي!$C$2:$C$1800,الريسبي!$A$2:$A$1800,$A101,الريسبي!$B$2:$B$1800,"كاسترد مصنع (خليط بودر + لبن)")+0.03333333333*SUMIFS(الريسبي!$C$2:$C$1800,الريسبي!$A$2:$A$1800,$A101,الريسبي!$B$2:$B$1800,"عجين كريب (مصنع بالمطعم)")</f>
        <v>0</v>
      </c>
      <c r="BV101" s="117" t="n">
        <f aca="false">SUMIFS(الريسبي!$C$2:$C$1800,الريسبي!$A$2:$A$1800,$A101,الريسبي!$B$2:$B$1800,BV$1)</f>
        <v>0</v>
      </c>
      <c r="BW101" s="117" t="n">
        <f aca="false">SUMIFS(الريسبي!$C$2:$C$1800,الريسبي!$A$2:$A$1800,$A101,الريسبي!$B$2:$B$1800,BW$1)</f>
        <v>0</v>
      </c>
      <c r="BX101" s="117" t="n">
        <f aca="false">SUMIFS(الريسبي!$C$2:$C$1800,الريسبي!$A$2:$A$1800,$A101,الريسبي!$B$2:$B$1800,BX$1)</f>
        <v>0</v>
      </c>
      <c r="BY101" s="117" t="n">
        <f aca="false">SUMIFS(الريسبي!$C$2:$C$1800,الريسبي!$A$2:$A$1800,$A101,الريسبي!$B$2:$B$1800,BY$1)</f>
        <v>0</v>
      </c>
      <c r="BZ101" s="117" t="n">
        <f aca="false">SUMIFS(الريسبي!$C$2:$C$1800,الريسبي!$A$2:$A$1800,$A101,الريسبي!$B$2:$B$1800,BZ$1)</f>
        <v>0</v>
      </c>
      <c r="CA101" s="117" t="n">
        <f aca="false">SUMIFS(الريسبي!$C$2:$C$1800,الريسبي!$A$2:$A$1800,$A101,الريسبي!$B$2:$B$1800,CA$1)</f>
        <v>1</v>
      </c>
      <c r="CB101" s="117" t="n">
        <f aca="false">SUMIFS(الريسبي!$C$2:$C$1800,الريسبي!$A$2:$A$1800,$A101,الريسبي!$B$2:$B$1800,CB$1)</f>
        <v>1</v>
      </c>
      <c r="CC101" s="117" t="n">
        <f aca="false">SUMIFS(الريسبي!$C$2:$C$1800,الريسبي!$A$2:$A$1800,$A101,الريسبي!$B$2:$B$1800,CC$1)</f>
        <v>0</v>
      </c>
      <c r="CD101" s="117" t="n">
        <f aca="false">SUMIFS(الريسبي!$C$2:$C$1800,الريسبي!$A$2:$A$1800,$A101,الريسبي!$B$2:$B$1800,CD$1)</f>
        <v>0.06</v>
      </c>
      <c r="CE101" s="117" t="n">
        <f aca="false">SUMIFS(الريسبي!$C$2:$C$1800,الريسبي!$A$2:$A$1800,$A101,الريسبي!$B$2:$B$1800,CE$1)</f>
        <v>0.07</v>
      </c>
      <c r="CF101" s="117" t="n">
        <f aca="false">SUMIFS(الريسبي!$C$2:$C$1800,الريسبي!$A$2:$A$1800,$A101,الريسبي!$B$2:$B$1800,CF$1)</f>
        <v>0</v>
      </c>
      <c r="CG101" s="117" t="n">
        <f aca="false">SUMIFS(الريسبي!$C$2:$C$1800,الريسبي!$A$2:$A$1800,$A101,الريسبي!$B$2:$B$1800,CG$1)</f>
        <v>0</v>
      </c>
      <c r="CH101" s="117" t="n">
        <f aca="false">SUMIFS(الريسبي!$C$2:$C$1800,الريسبي!$A$2:$A$1800,$A101,الريسبي!$B$2:$B$1800,CH$1)</f>
        <v>0</v>
      </c>
      <c r="CI101" s="117" t="n">
        <f aca="false">SUMIFS(الريسبي!$C$2:$C$1800,الريسبي!$A$2:$A$1800,$A101,الريسبي!$B$2:$B$1800,CI$1)</f>
        <v>0</v>
      </c>
      <c r="CJ101" s="117" t="n">
        <f aca="false">SUMIFS(الريسبي!$C$2:$C$1800,الريسبي!$A$2:$A$1800,$A101,الريسبي!$B$2:$B$1800,CJ$1)</f>
        <v>0</v>
      </c>
      <c r="CK101" s="117" t="n">
        <f aca="false">SUMIFS(الريسبي!$C$2:$C$1800,الريسبي!$A$2:$A$1800,$A101,الريسبي!$B$2:$B$1800,CK$1)</f>
        <v>0</v>
      </c>
      <c r="CL101" s="117" t="n">
        <f aca="false">SUMIFS(الريسبي!$C$2:$C$1800,الريسبي!$A$2:$A$1800,$A101,الريسبي!$B$2:$B$1800,CL$1)</f>
        <v>0</v>
      </c>
    </row>
    <row r="102" customFormat="false" ht="15" hidden="false" customHeight="false" outlineLevel="0" collapsed="false">
      <c r="A102" s="116" t="str">
        <f aca="false">المنيو!B102</f>
        <v>فطيرة مشكل لحوم صيامي مخصوص</v>
      </c>
      <c r="B102" s="117" t="n">
        <f aca="false">SUMIFS(الريسبي!$C$2:$C$1800,الريسبي!$A$2:$A$1800,$A102,الريسبي!$B$2:$B$1800,B$1)</f>
        <v>0</v>
      </c>
      <c r="C102" s="117" t="n">
        <f aca="false">SUMIFS(الريسبي!$C$2:$C$1800,الريسبي!$A$2:$A$1800,$A102,الريسبي!$B$2:$B$1800,C$1)</f>
        <v>0</v>
      </c>
      <c r="D102" s="117" t="n">
        <f aca="false">SUMIFS(الريسبي!$C$2:$C$1800,الريسبي!$A$2:$A$1800,$A102,الريسبي!$B$2:$B$1800,D$1)</f>
        <v>1</v>
      </c>
      <c r="E102" s="117" t="n">
        <f aca="false">SUMIFS(الريسبي!$C$2:$C$1800,الريسبي!$A$2:$A$1800,$A102,الريسبي!$B$2:$B$1800,E$1)</f>
        <v>0</v>
      </c>
      <c r="F102" s="117" t="n">
        <f aca="false">SUMIFS(الريسبي!$C$2:$C$1800,الريسبي!$A$2:$A$1800,$A102,الريسبي!$B$2:$B$1800,F$1)</f>
        <v>0</v>
      </c>
      <c r="G102" s="117" t="n">
        <f aca="false">SUMIFS(الريسبي!$C$2:$C$1800,الريسبي!$A$2:$A$1800,$A102,الريسبي!$B$2:$B$1800,G$1)</f>
        <v>0</v>
      </c>
      <c r="H102" s="117" t="n">
        <f aca="false">SUMIFS(الريسبي!$C$2:$C$1800,الريسبي!$A$2:$A$1800,$A102,الريسبي!$B$2:$B$1800,H$1)</f>
        <v>0</v>
      </c>
      <c r="I102" s="117" t="n">
        <f aca="false">SUMIFS(الريسبي!$C$2:$C$1800,الريسبي!$A$2:$A$1800,$A102,الريسبي!$B$2:$B$1800,I$1)</f>
        <v>0</v>
      </c>
      <c r="J102" s="117" t="n">
        <f aca="false">SUMIFS(الريسبي!$C$2:$C$1800,الريسبي!$A$2:$A$1800,$A102,الريسبي!$B$2:$B$1800,J$1)</f>
        <v>0</v>
      </c>
      <c r="K102" s="117" t="n">
        <f aca="false">SUMIFS(الريسبي!$C$2:$C$1800,الريسبي!$A$2:$A$1800,$A102,الريسبي!$B$2:$B$1800,K$1)</f>
        <v>0</v>
      </c>
      <c r="L102" s="117" t="n">
        <f aca="false">SUMIFS(الريسبي!$C$2:$C$1800,الريسبي!$A$2:$A$1800,$A102,الريسبي!$B$2:$B$1800,L$1)</f>
        <v>0</v>
      </c>
      <c r="M102" s="117" t="n">
        <f aca="false">SUMIFS(الريسبي!$C$2:$C$1800,الريسبي!$A$2:$A$1800,$A102,الريسبي!$B$2:$B$1800,M$1)</f>
        <v>0</v>
      </c>
      <c r="N102" s="117" t="n">
        <f aca="false">SUMIFS(الريسبي!$C$2:$C$1800,الريسبي!$A$2:$A$1800,$A102,الريسبي!$B$2:$B$1800,N$1)</f>
        <v>0</v>
      </c>
      <c r="O102" s="117" t="n">
        <f aca="false">SUMIFS(الريسبي!$C$2:$C$1800,الريسبي!$A$2:$A$1800,$A102,الريسبي!$B$2:$B$1800,O$1)</f>
        <v>0</v>
      </c>
      <c r="P102" s="117" t="n">
        <f aca="false">SUMIFS(الريسبي!$C$2:$C$1800,الريسبي!$A$2:$A$1800,$A102,الريسبي!$B$2:$B$1800,P$1)</f>
        <v>0</v>
      </c>
      <c r="Q102" s="117" t="n">
        <f aca="false">SUMIFS(الريسبي!$C$2:$C$1800,الريسبي!$A$2:$A$1800,$A102,الريسبي!$B$2:$B$1800,Q$1)</f>
        <v>0</v>
      </c>
      <c r="R102" s="117" t="n">
        <f aca="false">SUMIFS(الريسبي!$C$2:$C$1800,الريسبي!$A$2:$A$1800,$A102,الريسبي!$B$2:$B$1800,R$1)</f>
        <v>0</v>
      </c>
      <c r="S102" s="117" t="n">
        <f aca="false">SUMIFS(الريسبي!$C$2:$C$1800,الريسبي!$A$2:$A$1800,$A102,الريسبي!$B$2:$B$1800,S$1)</f>
        <v>0</v>
      </c>
      <c r="T102" s="117" t="n">
        <f aca="false">SUMIFS(الريسبي!$C$2:$C$1800,الريسبي!$A$2:$A$1800,$A102,الريسبي!$B$2:$B$1800,T$1)</f>
        <v>0</v>
      </c>
      <c r="U102" s="117" t="n">
        <f aca="false">SUMIFS(الريسبي!$C$2:$C$1800,الريسبي!$A$2:$A$1800,$A102,الريسبي!$B$2:$B$1800,U$1)</f>
        <v>0</v>
      </c>
      <c r="V102" s="117" t="n">
        <f aca="false">SUMIFS(الريسبي!$C$2:$C$1800,الريسبي!$A$2:$A$1800,$A102,الريسبي!$B$2:$B$1800,V$1)+1.5*(SUMIFS(الريسبي!$C$2:$C$1800,الريسبي!$A$2:$A$1800,$A102,الريسبي!$B$2:$B$1800,"برسيون موتزريلا بيتزا كبير"))</f>
        <v>0</v>
      </c>
      <c r="W102" s="117" t="n">
        <f aca="false">0</f>
        <v>0</v>
      </c>
      <c r="X102" s="117" t="n">
        <f aca="false">SUMIFS(الريسبي!$C$2:$C$1800,الريسبي!$A$2:$A$1800,$A102,الريسبي!$B$2:$B$1800,X$1)+1.5*(SUMIFS(الريسبي!$C$2:$C$1800,الريسبي!$A$2:$A$1800,$A102,الريسبي!$B$2:$B$1800,"برسيون موتزريلا فطير كبير"))</f>
        <v>1.5</v>
      </c>
      <c r="Y102" s="117" t="n">
        <f aca="false">0</f>
        <v>0</v>
      </c>
      <c r="Z102" s="117" t="n">
        <f aca="false">SUMIFS(الريسبي!$C$2:$C$1800,الريسبي!$A$2:$A$1800,$A102,الريسبي!$B$2:$B$1800,Z$1)</f>
        <v>0</v>
      </c>
      <c r="AA102" s="117" t="n">
        <f aca="false">SUMIFS(الريسبي!$C$2:$C$1800,الريسبي!$A$2:$A$1800,$A102,الريسبي!$B$2:$B$1800,AA$1)</f>
        <v>0</v>
      </c>
      <c r="AB102" s="117" t="n">
        <f aca="false">SUMIFS(الريسبي!$C$2:$C$1800,الريسبي!$A$2:$A$1800,$A102,الريسبي!$B$2:$B$1800,AB$1)</f>
        <v>0</v>
      </c>
      <c r="AC102" s="117" t="n">
        <f aca="false">SUMIFS(الريسبي!$C$2:$C$1800,الريسبي!$A$2:$A$1800,$A102,الريسبي!$B$2:$B$1800,AC$1)</f>
        <v>0</v>
      </c>
      <c r="AD102" s="117" t="n">
        <f aca="false">SUMIFS(الريسبي!$C$2:$C$1800,الريسبي!$A$2:$A$1800,$A102,الريسبي!$B$2:$B$1800,AD$1)</f>
        <v>0</v>
      </c>
      <c r="AE102" s="117" t="n">
        <f aca="false">SUMIFS(الريسبي!$C$2:$C$1800,الريسبي!$A$2:$A$1800,$A102,الريسبي!$B$2:$B$1800,AE$1)</f>
        <v>0</v>
      </c>
      <c r="AF102" s="117" t="n">
        <f aca="false">SUMIFS(الريسبي!$C$2:$C$1800,الريسبي!$A$2:$A$1800,$A102,الريسبي!$B$2:$B$1800,AF$1)</f>
        <v>0</v>
      </c>
      <c r="AG102" s="117" t="n">
        <f aca="false">SUMIFS(الريسبي!$C$2:$C$1800,الريسبي!$A$2:$A$1800,$A102,الريسبي!$B$2:$B$1800,AG$1)</f>
        <v>0</v>
      </c>
      <c r="AH102" s="117" t="n">
        <f aca="false">SUMIFS(الريسبي!$C$2:$C$1800,الريسبي!$A$2:$A$1800,$A102,الريسبي!$B$2:$B$1800,AH$1)</f>
        <v>0</v>
      </c>
      <c r="AI102" s="117" t="n">
        <f aca="false">SUMIFS(الريسبي!$C$2:$C$1800,الريسبي!$A$2:$A$1800,$A102,الريسبي!$B$2:$B$1800,AI$1)</f>
        <v>0</v>
      </c>
      <c r="AJ102" s="117" t="n">
        <f aca="false">SUMIFS(الريسبي!$C$2:$C$1800,الريسبي!$A$2:$A$1800,$A102,الريسبي!$B$2:$B$1800,AJ$1)</f>
        <v>2</v>
      </c>
      <c r="AK102" s="117" t="n">
        <f aca="false">SUMIFS(الريسبي!$C$2:$C$1800,الريسبي!$A$2:$A$1800,$A102,الريسبي!$B$2:$B$1800,AK$1)</f>
        <v>0</v>
      </c>
      <c r="AL102" s="117" t="n">
        <f aca="false">SUMIFS(الريسبي!$C$2:$C$1800,الريسبي!$A$2:$A$1800,$A102,الريسبي!$B$2:$B$1800,AL$1)</f>
        <v>0</v>
      </c>
      <c r="AM102" s="117" t="n">
        <f aca="false">SUMIFS(الريسبي!$C$2:$C$1800,الريسبي!$A$2:$A$1800,$A102,الريسبي!$B$2:$B$1800,AM$1)+0.08333333333*SUMIFS(الريسبي!$C$2:$C$1800,الريسبي!$A$2:$A$1800,$A102,الريسبي!$B$2:$B$1800,"عجين كريب (مصنع بالمطعم)")+0.08333333333*SUMIFS(الريسبي!$C$2:$C$1800,الريسبي!$A$2:$A$1800,$A102,الريسبي!$B$2:$B$1800,"عجين كريب صيامي (بدون لبن)")</f>
        <v>0</v>
      </c>
      <c r="AN102" s="117" t="n">
        <f aca="false">SUMIFS(الريسبي!$C$2:$C$1800,الريسبي!$A$2:$A$1800,$A102,الريسبي!$B$2:$B$1800,AN$1)+0.004166666667*SUMIFS(الريسبي!$C$2:$C$1800,الريسبي!$A$2:$A$1800,$A102,الريسبي!$B$2:$B$1800,"عجين كريب (مصنع بالمطعم)")+0.004166666667*SUMIFS(الريسبي!$C$2:$C$1800,الريسبي!$A$2:$A$1800,$A102,الريسبي!$B$2:$B$1800,"عجين كريب صيامي (بدون لبن)")</f>
        <v>0</v>
      </c>
      <c r="AO102" s="117" t="n">
        <f aca="false">SUMIFS(الريسبي!$C$2:$C$1800,الريسبي!$A$2:$A$1800,$A102,الريسبي!$B$2:$B$1800,AO$1)</f>
        <v>0</v>
      </c>
      <c r="AP102" s="117" t="n">
        <f aca="false">SUMIFS(الريسبي!$C$2:$C$1800,الريسبي!$A$2:$A$1800,$A102,الريسبي!$B$2:$B$1800,AP$1)</f>
        <v>0.03</v>
      </c>
      <c r="AQ102" s="117" t="n">
        <f aca="false">SUMIFS(الريسبي!$C$2:$C$1800,الريسبي!$A$2:$A$1800,$A102,الريسبي!$B$2:$B$1800,AQ$1)+0.004166666667*SUMIFS(الريسبي!$C$2:$C$1800,الريسبي!$A$2:$A$1800,$A102,الريسبي!$B$2:$B$1800,"عجين كريب (مصنع بالمطعم)")+0.004166666667*SUMIFS(الريسبي!$C$2:$C$1800,الريسبي!$A$2:$A$1800,$A102,الريسبي!$B$2:$B$1800,"عجين كريب صيامي (بدون لبن)")</f>
        <v>0</v>
      </c>
      <c r="AR102" s="117" t="n">
        <f aca="false">SUMIFS(الريسبي!$C$2:$C$1800,الريسبي!$A$2:$A$1800,$A102,الريسبي!$B$2:$B$1800,AR$1)</f>
        <v>0</v>
      </c>
      <c r="AS102" s="117" t="n">
        <f aca="false">SUMIFS(الريسبي!$C$2:$C$1800,الريسبي!$A$2:$A$1800,$A102,الريسبي!$B$2:$B$1800,AS$1)</f>
        <v>0</v>
      </c>
      <c r="AT102" s="117" t="n">
        <f aca="false">SUMIFS(الريسبي!$C$2:$C$1800,الريسبي!$A$2:$A$1800,$A102,الريسبي!$B$2:$B$1800,AT$1)</f>
        <v>0</v>
      </c>
      <c r="AU102" s="117" t="n">
        <f aca="false">SUMIFS(الريسبي!$C$2:$C$1800,الريسبي!$A$2:$A$1800,$A102,الريسبي!$B$2:$B$1800,AU$1)</f>
        <v>0</v>
      </c>
      <c r="AV102" s="117" t="n">
        <f aca="false">SUMIFS(الريسبي!$C$2:$C$1800,الريسبي!$A$2:$A$1800,$A102,الريسبي!$B$2:$B$1800,AV$1)</f>
        <v>0</v>
      </c>
      <c r="AW102" s="117" t="n">
        <f aca="false">SUMIFS(الريسبي!$C$2:$C$1800,الريسبي!$A$2:$A$1800,$A102,الريسبي!$B$2:$B$1800,AW$1)</f>
        <v>0</v>
      </c>
      <c r="AX102" s="117" t="n">
        <f aca="false">SUMIFS(الريسبي!$C$2:$C$1800,الريسبي!$A$2:$A$1800,$A102,الريسبي!$B$2:$B$1800,AX$1)</f>
        <v>0</v>
      </c>
      <c r="AY102" s="117" t="n">
        <f aca="false">SUMIFS(الريسبي!$C$2:$C$1800,الريسبي!$A$2:$A$1800,$A102,الريسبي!$B$2:$B$1800,AY$1)</f>
        <v>0</v>
      </c>
      <c r="AZ102" s="117" t="n">
        <f aca="false">SUMIFS(الريسبي!$C$2:$C$1800,الريسبي!$A$2:$A$1800,$A102,الريسبي!$B$2:$B$1800,AZ$1)</f>
        <v>0</v>
      </c>
      <c r="BA102" s="117" t="n">
        <f aca="false">SUMIFS(الريسبي!$C$2:$C$1800,الريسبي!$A$2:$A$1800,$A102,الريسبي!$B$2:$B$1800,BA$1)</f>
        <v>0</v>
      </c>
      <c r="BB102" s="117" t="n">
        <f aca="false">SUMIFS(الريسبي!$C$2:$C$1800,الريسبي!$A$2:$A$1800,$A102,الريسبي!$B$2:$B$1800,BB$1)</f>
        <v>0</v>
      </c>
      <c r="BC102" s="117" t="n">
        <f aca="false">SUMIFS(الريسبي!$C$2:$C$1800,الريسبي!$A$2:$A$1800,$A102,الريسبي!$B$2:$B$1800,BC$1)</f>
        <v>0.045</v>
      </c>
      <c r="BD102" s="117" t="n">
        <f aca="false">SUMIFS(الريسبي!$C$2:$C$1800,الريسبي!$A$2:$A$1800,$A102,الريسبي!$B$2:$B$1800,BD$1)</f>
        <v>0</v>
      </c>
      <c r="BE102" s="117" t="n">
        <f aca="false">SUMIFS(الريسبي!$C$2:$C$1800,الريسبي!$A$2:$A$1800,$A102,الريسبي!$B$2:$B$1800,BE$1)</f>
        <v>1.5</v>
      </c>
      <c r="BF102" s="117" t="n">
        <f aca="false">SUMIFS(الريسبي!$C$2:$C$1800,الريسبي!$A$2:$A$1800,$A102,الريسبي!$B$2:$B$1800,BF$1)</f>
        <v>0</v>
      </c>
      <c r="BG102" s="117" t="n">
        <f aca="false">SUMIFS(الريسبي!$C$2:$C$1800,الريسبي!$A$2:$A$1800,$A102,الريسبي!$B$2:$B$1800,BG$1)</f>
        <v>1</v>
      </c>
      <c r="BH102" s="117" t="n">
        <f aca="false">SUMIFS(الريسبي!$C$2:$C$1800,الريسبي!$A$2:$A$1800,$A102,الريسبي!$B$2:$B$1800,BH$1)</f>
        <v>0</v>
      </c>
      <c r="BI102" s="117" t="n">
        <f aca="false">SUMIFS(الريسبي!$C$2:$C$1800,الريسبي!$A$2:$A$1800,$A102,الريسبي!$B$2:$B$1800,BI$1)</f>
        <v>0</v>
      </c>
      <c r="BJ102" s="117" t="n">
        <f aca="false">SUMIFS(الريسبي!$C$2:$C$1800,الريسبي!$A$2:$A$1800,$A102,الريسبي!$B$2:$B$1800,BJ$1)</f>
        <v>0</v>
      </c>
      <c r="BK102" s="117" t="n">
        <f aca="false">SUMIFS(الريسبي!$C$2:$C$1800,الريسبي!$A$2:$A$1800,$A102,الريسبي!$B$2:$B$1800,BK$1)</f>
        <v>0</v>
      </c>
      <c r="BL102" s="117" t="n">
        <f aca="false">SUMIFS(الريسبي!$C$2:$C$1800,الريسبي!$A$2:$A$1800,$A102,الريسبي!$B$2:$B$1800,BL$1)</f>
        <v>0</v>
      </c>
      <c r="BM102" s="117" t="n">
        <f aca="false">SUMIFS(الريسبي!$C$2:$C$1800,الريسبي!$A$2:$A$1800,$A102,الريسبي!$B$2:$B$1800,BM$1)</f>
        <v>0</v>
      </c>
      <c r="BN102" s="117" t="n">
        <f aca="false">SUMIFS(الريسبي!$C$2:$C$1800,الريسبي!$A$2:$A$1800,$A102,الريسبي!$B$2:$B$1800,BN$1)</f>
        <v>0.03</v>
      </c>
      <c r="BO102" s="117" t="n">
        <f aca="false">SUMIFS(الريسبي!$C$2:$C$1800,الريسبي!$A$2:$A$1800,$A102,الريسبي!$B$2:$B$1800,BO$1)</f>
        <v>0</v>
      </c>
      <c r="BP102" s="117" t="n">
        <f aca="false">SUMIFS(الريسبي!$C$2:$C$1800,الريسبي!$A$2:$A$1800,$A102,الريسبي!$B$2:$B$1800,BP$1)</f>
        <v>3</v>
      </c>
      <c r="BQ102" s="117" t="n">
        <f aca="false">SUMIFS(الريسبي!$C$2:$C$1800,الريسبي!$A$2:$A$1800,$A102,الريسبي!$B$2:$B$1800,BQ$1)+0.17*SUMIFS(الريسبي!$C$2:$C$1800,الريسبي!$A$2:$A$1800,$A102,الريسبي!$B$2:$B$1800,"كاسترد مصنع (خليط بودر + لبن)")+0.17*SUMIFS(الريسبي!$C$2:$C$1800,الريسبي!$A$2:$A$1800,$A102,الريسبي!$B$2:$B$1800,"كاسترد مصنع صيامي (بدون لبن)")</f>
        <v>0</v>
      </c>
      <c r="BR102" s="117" t="n">
        <f aca="false">SUMIFS(الريسبي!$C$2:$C$1800,الريسبي!$A$2:$A$1800,$A102,الريسبي!$B$2:$B$1800,BR$1)</f>
        <v>1</v>
      </c>
      <c r="BS102" s="117" t="n">
        <f aca="false">SUMIFS(الريسبي!$C$2:$C$1800,الريسبي!$A$2:$A$1800,$A102,الريسبي!$B$2:$B$1800,BS$1)</f>
        <v>0</v>
      </c>
      <c r="BT102" s="117" t="n">
        <f aca="false">SUMIFS(الريسبي!$C$2:$C$1800,الريسبي!$A$2:$A$1800,$A102,الريسبي!$B$2:$B$1800,BT$1)</f>
        <v>0</v>
      </c>
      <c r="BU102" s="117" t="n">
        <f aca="false">SUMIFS(الريسبي!$C$2:$C$1800,الريسبي!$A$2:$A$1800,$A102,الريسبي!$B$2:$B$1800,BU$1)+0.4*SUMIFS(الريسبي!$C$2:$C$1800,الريسبي!$A$2:$A$1800,$A102,الريسبي!$B$2:$B$1800,"كاسترد مصنع (خليط بودر + لبن)")+0.03333333333*SUMIFS(الريسبي!$C$2:$C$1800,الريسبي!$A$2:$A$1800,$A102,الريسبي!$B$2:$B$1800,"عجين كريب (مصنع بالمطعم)")</f>
        <v>0</v>
      </c>
      <c r="BV102" s="117" t="n">
        <f aca="false">SUMIFS(الريسبي!$C$2:$C$1800,الريسبي!$A$2:$A$1800,$A102,الريسبي!$B$2:$B$1800,BV$1)</f>
        <v>0</v>
      </c>
      <c r="BW102" s="117" t="n">
        <f aca="false">SUMIFS(الريسبي!$C$2:$C$1800,الريسبي!$A$2:$A$1800,$A102,الريسبي!$B$2:$B$1800,BW$1)</f>
        <v>0</v>
      </c>
      <c r="BX102" s="117" t="n">
        <f aca="false">SUMIFS(الريسبي!$C$2:$C$1800,الريسبي!$A$2:$A$1800,$A102,الريسبي!$B$2:$B$1800,BX$1)</f>
        <v>0</v>
      </c>
      <c r="BY102" s="117" t="n">
        <f aca="false">SUMIFS(الريسبي!$C$2:$C$1800,الريسبي!$A$2:$A$1800,$A102,الريسبي!$B$2:$B$1800,BY$1)</f>
        <v>0</v>
      </c>
      <c r="BZ102" s="117" t="n">
        <f aca="false">SUMIFS(الريسبي!$C$2:$C$1800,الريسبي!$A$2:$A$1800,$A102,الريسبي!$B$2:$B$1800,BZ$1)</f>
        <v>0</v>
      </c>
      <c r="CA102" s="117" t="n">
        <f aca="false">SUMIFS(الريسبي!$C$2:$C$1800,الريسبي!$A$2:$A$1800,$A102,الريسبي!$B$2:$B$1800,CA$1)</f>
        <v>1</v>
      </c>
      <c r="CB102" s="117" t="n">
        <f aca="false">SUMIFS(الريسبي!$C$2:$C$1800,الريسبي!$A$2:$A$1800,$A102,الريسبي!$B$2:$B$1800,CB$1)</f>
        <v>1</v>
      </c>
      <c r="CC102" s="117" t="n">
        <f aca="false">SUMIFS(الريسبي!$C$2:$C$1800,الريسبي!$A$2:$A$1800,$A102,الريسبي!$B$2:$B$1800,CC$1)</f>
        <v>0</v>
      </c>
      <c r="CD102" s="117" t="n">
        <f aca="false">SUMIFS(الريسبي!$C$2:$C$1800,الريسبي!$A$2:$A$1800,$A102,الريسبي!$B$2:$B$1800,CD$1)</f>
        <v>0.09</v>
      </c>
      <c r="CE102" s="117" t="n">
        <f aca="false">SUMIFS(الريسبي!$C$2:$C$1800,الريسبي!$A$2:$A$1800,$A102,الريسبي!$B$2:$B$1800,CE$1)</f>
        <v>0.105</v>
      </c>
      <c r="CF102" s="117" t="n">
        <f aca="false">SUMIFS(الريسبي!$C$2:$C$1800,الريسبي!$A$2:$A$1800,$A102,الريسبي!$B$2:$B$1800,CF$1)</f>
        <v>0</v>
      </c>
      <c r="CG102" s="117" t="n">
        <f aca="false">SUMIFS(الريسبي!$C$2:$C$1800,الريسبي!$A$2:$A$1800,$A102,الريسبي!$B$2:$B$1800,CG$1)</f>
        <v>0</v>
      </c>
      <c r="CH102" s="117" t="n">
        <f aca="false">SUMIFS(الريسبي!$C$2:$C$1800,الريسبي!$A$2:$A$1800,$A102,الريسبي!$B$2:$B$1800,CH$1)</f>
        <v>0</v>
      </c>
      <c r="CI102" s="117" t="n">
        <f aca="false">SUMIFS(الريسبي!$C$2:$C$1800,الريسبي!$A$2:$A$1800,$A102,الريسبي!$B$2:$B$1800,CI$1)</f>
        <v>0</v>
      </c>
      <c r="CJ102" s="117" t="n">
        <f aca="false">SUMIFS(الريسبي!$C$2:$C$1800,الريسبي!$A$2:$A$1800,$A102,الريسبي!$B$2:$B$1800,CJ$1)</f>
        <v>0</v>
      </c>
      <c r="CK102" s="117" t="n">
        <f aca="false">SUMIFS(الريسبي!$C$2:$C$1800,الريسبي!$A$2:$A$1800,$A102,الريسبي!$B$2:$B$1800,CK$1)</f>
        <v>0</v>
      </c>
      <c r="CL102" s="117" t="n">
        <f aca="false">SUMIFS(الريسبي!$C$2:$C$1800,الريسبي!$A$2:$A$1800,$A102,الريسبي!$B$2:$B$1800,CL$1)</f>
        <v>0</v>
      </c>
    </row>
    <row r="103" customFormat="false" ht="15" hidden="false" customHeight="false" outlineLevel="0" collapsed="false">
      <c r="A103" s="116" t="str">
        <f aca="false">المنيو!B103</f>
        <v>فطيرة مشكل جبن صيامي وسط</v>
      </c>
      <c r="B103" s="117" t="n">
        <f aca="false">SUMIFS(الريسبي!$C$2:$C$1800,الريسبي!$A$2:$A$1800,$A103,الريسبي!$B$2:$B$1800,B$1)</f>
        <v>0</v>
      </c>
      <c r="C103" s="117" t="n">
        <f aca="false">SUMIFS(الريسبي!$C$2:$C$1800,الريسبي!$A$2:$A$1800,$A103,الريسبي!$B$2:$B$1800,C$1)</f>
        <v>0</v>
      </c>
      <c r="D103" s="117" t="n">
        <f aca="false">SUMIFS(الريسبي!$C$2:$C$1800,الريسبي!$A$2:$A$1800,$A103,الريسبي!$B$2:$B$1800,D$1)</f>
        <v>1</v>
      </c>
      <c r="E103" s="117" t="n">
        <f aca="false">SUMIFS(الريسبي!$C$2:$C$1800,الريسبي!$A$2:$A$1800,$A103,الريسبي!$B$2:$B$1800,E$1)</f>
        <v>0</v>
      </c>
      <c r="F103" s="117" t="n">
        <f aca="false">SUMIFS(الريسبي!$C$2:$C$1800,الريسبي!$A$2:$A$1800,$A103,الريسبي!$B$2:$B$1800,F$1)</f>
        <v>0</v>
      </c>
      <c r="G103" s="117" t="n">
        <f aca="false">SUMIFS(الريسبي!$C$2:$C$1800,الريسبي!$A$2:$A$1800,$A103,الريسبي!$B$2:$B$1800,G$1)</f>
        <v>0</v>
      </c>
      <c r="H103" s="117" t="n">
        <f aca="false">SUMIFS(الريسبي!$C$2:$C$1800,الريسبي!$A$2:$A$1800,$A103,الريسبي!$B$2:$B$1800,H$1)</f>
        <v>0</v>
      </c>
      <c r="I103" s="117" t="n">
        <f aca="false">SUMIFS(الريسبي!$C$2:$C$1800,الريسبي!$A$2:$A$1800,$A103,الريسبي!$B$2:$B$1800,I$1)</f>
        <v>0</v>
      </c>
      <c r="J103" s="117" t="n">
        <f aca="false">SUMIFS(الريسبي!$C$2:$C$1800,الريسبي!$A$2:$A$1800,$A103,الريسبي!$B$2:$B$1800,J$1)</f>
        <v>0</v>
      </c>
      <c r="K103" s="117" t="n">
        <f aca="false">SUMIFS(الريسبي!$C$2:$C$1800,الريسبي!$A$2:$A$1800,$A103,الريسبي!$B$2:$B$1800,K$1)</f>
        <v>0</v>
      </c>
      <c r="L103" s="117" t="n">
        <f aca="false">SUMIFS(الريسبي!$C$2:$C$1800,الريسبي!$A$2:$A$1800,$A103,الريسبي!$B$2:$B$1800,L$1)</f>
        <v>0</v>
      </c>
      <c r="M103" s="117" t="n">
        <f aca="false">SUMIFS(الريسبي!$C$2:$C$1800,الريسبي!$A$2:$A$1800,$A103,الريسبي!$B$2:$B$1800,M$1)</f>
        <v>0</v>
      </c>
      <c r="N103" s="117" t="n">
        <f aca="false">SUMIFS(الريسبي!$C$2:$C$1800,الريسبي!$A$2:$A$1800,$A103,الريسبي!$B$2:$B$1800,N$1)</f>
        <v>0</v>
      </c>
      <c r="O103" s="117" t="n">
        <f aca="false">SUMIFS(الريسبي!$C$2:$C$1800,الريسبي!$A$2:$A$1800,$A103,الريسبي!$B$2:$B$1800,O$1)</f>
        <v>0</v>
      </c>
      <c r="P103" s="117" t="n">
        <f aca="false">SUMIFS(الريسبي!$C$2:$C$1800,الريسبي!$A$2:$A$1800,$A103,الريسبي!$B$2:$B$1800,P$1)</f>
        <v>0</v>
      </c>
      <c r="Q103" s="117" t="n">
        <f aca="false">SUMIFS(الريسبي!$C$2:$C$1800,الريسبي!$A$2:$A$1800,$A103,الريسبي!$B$2:$B$1800,Q$1)</f>
        <v>0</v>
      </c>
      <c r="R103" s="117" t="n">
        <f aca="false">SUMIFS(الريسبي!$C$2:$C$1800,الريسبي!$A$2:$A$1800,$A103,الريسبي!$B$2:$B$1800,R$1)</f>
        <v>0</v>
      </c>
      <c r="S103" s="117" t="n">
        <f aca="false">SUMIFS(الريسبي!$C$2:$C$1800,الريسبي!$A$2:$A$1800,$A103,الريسبي!$B$2:$B$1800,S$1)</f>
        <v>0</v>
      </c>
      <c r="T103" s="117" t="n">
        <f aca="false">SUMIFS(الريسبي!$C$2:$C$1800,الريسبي!$A$2:$A$1800,$A103,الريسبي!$B$2:$B$1800,T$1)</f>
        <v>0</v>
      </c>
      <c r="U103" s="117" t="n">
        <f aca="false">SUMIFS(الريسبي!$C$2:$C$1800,الريسبي!$A$2:$A$1800,$A103,الريسبي!$B$2:$B$1800,U$1)</f>
        <v>0</v>
      </c>
      <c r="V103" s="117" t="n">
        <f aca="false">SUMIFS(الريسبي!$C$2:$C$1800,الريسبي!$A$2:$A$1800,$A103,الريسبي!$B$2:$B$1800,V$1)+1.5*(SUMIFS(الريسبي!$C$2:$C$1800,الريسبي!$A$2:$A$1800,$A103,الريسبي!$B$2:$B$1800,"برسيون موتزريلا بيتزا كبير"))</f>
        <v>0</v>
      </c>
      <c r="W103" s="117" t="n">
        <f aca="false">0</f>
        <v>0</v>
      </c>
      <c r="X103" s="117" t="n">
        <f aca="false">SUMIFS(الريسبي!$C$2:$C$1800,الريسبي!$A$2:$A$1800,$A103,الريسبي!$B$2:$B$1800,X$1)+1.5*(SUMIFS(الريسبي!$C$2:$C$1800,الريسبي!$A$2:$A$1800,$A103,الريسبي!$B$2:$B$1800,"برسيون موتزريلا فطير كبير"))</f>
        <v>1</v>
      </c>
      <c r="Y103" s="117" t="n">
        <f aca="false">0</f>
        <v>0</v>
      </c>
      <c r="Z103" s="117" t="n">
        <f aca="false">SUMIFS(الريسبي!$C$2:$C$1800,الريسبي!$A$2:$A$1800,$A103,الريسبي!$B$2:$B$1800,Z$1)</f>
        <v>0</v>
      </c>
      <c r="AA103" s="117" t="n">
        <f aca="false">SUMIFS(الريسبي!$C$2:$C$1800,الريسبي!$A$2:$A$1800,$A103,الريسبي!$B$2:$B$1800,AA$1)</f>
        <v>0</v>
      </c>
      <c r="AB103" s="117" t="n">
        <f aca="false">SUMIFS(الريسبي!$C$2:$C$1800,الريسبي!$A$2:$A$1800,$A103,الريسبي!$B$2:$B$1800,AB$1)</f>
        <v>0</v>
      </c>
      <c r="AC103" s="117" t="n">
        <f aca="false">SUMIFS(الريسبي!$C$2:$C$1800,الريسبي!$A$2:$A$1800,$A103,الريسبي!$B$2:$B$1800,AC$1)</f>
        <v>0</v>
      </c>
      <c r="AD103" s="117" t="n">
        <f aca="false">SUMIFS(الريسبي!$C$2:$C$1800,الريسبي!$A$2:$A$1800,$A103,الريسبي!$B$2:$B$1800,AD$1)</f>
        <v>0</v>
      </c>
      <c r="AE103" s="117" t="n">
        <f aca="false">SUMIFS(الريسبي!$C$2:$C$1800,الريسبي!$A$2:$A$1800,$A103,الريسبي!$B$2:$B$1800,AE$1)</f>
        <v>0</v>
      </c>
      <c r="AF103" s="117" t="n">
        <f aca="false">SUMIFS(الريسبي!$C$2:$C$1800,الريسبي!$A$2:$A$1800,$A103,الريسبي!$B$2:$B$1800,AF$1)</f>
        <v>0</v>
      </c>
      <c r="AG103" s="117" t="n">
        <f aca="false">SUMIFS(الريسبي!$C$2:$C$1800,الريسبي!$A$2:$A$1800,$A103,الريسبي!$B$2:$B$1800,AG$1)</f>
        <v>0</v>
      </c>
      <c r="AH103" s="117" t="n">
        <f aca="false">SUMIFS(الريسبي!$C$2:$C$1800,الريسبي!$A$2:$A$1800,$A103,الريسبي!$B$2:$B$1800,AH$1)</f>
        <v>0</v>
      </c>
      <c r="AI103" s="117" t="n">
        <f aca="false">SUMIFS(الريسبي!$C$2:$C$1800,الريسبي!$A$2:$A$1800,$A103,الريسبي!$B$2:$B$1800,AI$1)</f>
        <v>0.1</v>
      </c>
      <c r="AJ103" s="117" t="n">
        <f aca="false">SUMIFS(الريسبي!$C$2:$C$1800,الريسبي!$A$2:$A$1800,$A103,الريسبي!$B$2:$B$1800,AJ$1)</f>
        <v>2</v>
      </c>
      <c r="AK103" s="117" t="n">
        <f aca="false">SUMIFS(الريسبي!$C$2:$C$1800,الريسبي!$A$2:$A$1800,$A103,الريسبي!$B$2:$B$1800,AK$1)</f>
        <v>0</v>
      </c>
      <c r="AL103" s="117" t="n">
        <f aca="false">SUMIFS(الريسبي!$C$2:$C$1800,الريسبي!$A$2:$A$1800,$A103,الريسبي!$B$2:$B$1800,AL$1)</f>
        <v>0</v>
      </c>
      <c r="AM103" s="117" t="n">
        <f aca="false">SUMIFS(الريسبي!$C$2:$C$1800,الريسبي!$A$2:$A$1800,$A103,الريسبي!$B$2:$B$1800,AM$1)+0.08333333333*SUMIFS(الريسبي!$C$2:$C$1800,الريسبي!$A$2:$A$1800,$A103,الريسبي!$B$2:$B$1800,"عجين كريب (مصنع بالمطعم)")+0.08333333333*SUMIFS(الريسبي!$C$2:$C$1800,الريسبي!$A$2:$A$1800,$A103,الريسبي!$B$2:$B$1800,"عجين كريب صيامي (بدون لبن)")</f>
        <v>0</v>
      </c>
      <c r="AN103" s="117" t="n">
        <f aca="false">SUMIFS(الريسبي!$C$2:$C$1800,الريسبي!$A$2:$A$1800,$A103,الريسبي!$B$2:$B$1800,AN$1)+0.004166666667*SUMIFS(الريسبي!$C$2:$C$1800,الريسبي!$A$2:$A$1800,$A103,الريسبي!$B$2:$B$1800,"عجين كريب (مصنع بالمطعم)")+0.004166666667*SUMIFS(الريسبي!$C$2:$C$1800,الريسبي!$A$2:$A$1800,$A103,الريسبي!$B$2:$B$1800,"عجين كريب صيامي (بدون لبن)")</f>
        <v>0</v>
      </c>
      <c r="AO103" s="117" t="n">
        <f aca="false">SUMIFS(الريسبي!$C$2:$C$1800,الريسبي!$A$2:$A$1800,$A103,الريسبي!$B$2:$B$1800,AO$1)</f>
        <v>0</v>
      </c>
      <c r="AP103" s="117" t="n">
        <f aca="false">SUMIFS(الريسبي!$C$2:$C$1800,الريسبي!$A$2:$A$1800,$A103,الريسبي!$B$2:$B$1800,AP$1)</f>
        <v>0.02</v>
      </c>
      <c r="AQ103" s="117" t="n">
        <f aca="false">SUMIFS(الريسبي!$C$2:$C$1800,الريسبي!$A$2:$A$1800,$A103,الريسبي!$B$2:$B$1800,AQ$1)+0.004166666667*SUMIFS(الريسبي!$C$2:$C$1800,الريسبي!$A$2:$A$1800,$A103,الريسبي!$B$2:$B$1800,"عجين كريب (مصنع بالمطعم)")+0.004166666667*SUMIFS(الريسبي!$C$2:$C$1800,الريسبي!$A$2:$A$1800,$A103,الريسبي!$B$2:$B$1800,"عجين كريب صيامي (بدون لبن)")</f>
        <v>0</v>
      </c>
      <c r="AR103" s="117" t="n">
        <f aca="false">SUMIFS(الريسبي!$C$2:$C$1800,الريسبي!$A$2:$A$1800,$A103,الريسبي!$B$2:$B$1800,AR$1)</f>
        <v>0</v>
      </c>
      <c r="AS103" s="117" t="n">
        <f aca="false">SUMIFS(الريسبي!$C$2:$C$1800,الريسبي!$A$2:$A$1800,$A103,الريسبي!$B$2:$B$1800,AS$1)</f>
        <v>0</v>
      </c>
      <c r="AT103" s="117" t="n">
        <f aca="false">SUMIFS(الريسبي!$C$2:$C$1800,الريسبي!$A$2:$A$1800,$A103,الريسبي!$B$2:$B$1800,AT$1)</f>
        <v>0</v>
      </c>
      <c r="AU103" s="117" t="n">
        <f aca="false">SUMIFS(الريسبي!$C$2:$C$1800,الريسبي!$A$2:$A$1800,$A103,الريسبي!$B$2:$B$1800,AU$1)</f>
        <v>0</v>
      </c>
      <c r="AV103" s="117" t="n">
        <f aca="false">SUMIFS(الريسبي!$C$2:$C$1800,الريسبي!$A$2:$A$1800,$A103,الريسبي!$B$2:$B$1800,AV$1)</f>
        <v>0</v>
      </c>
      <c r="AW103" s="117" t="n">
        <f aca="false">SUMIFS(الريسبي!$C$2:$C$1800,الريسبي!$A$2:$A$1800,$A103,الريسبي!$B$2:$B$1800,AW$1)</f>
        <v>0</v>
      </c>
      <c r="AX103" s="117" t="n">
        <f aca="false">SUMIFS(الريسبي!$C$2:$C$1800,الريسبي!$A$2:$A$1800,$A103,الريسبي!$B$2:$B$1800,AX$1)</f>
        <v>0</v>
      </c>
      <c r="AY103" s="117" t="n">
        <f aca="false">SUMIFS(الريسبي!$C$2:$C$1800,الريسبي!$A$2:$A$1800,$A103,الريسبي!$B$2:$B$1800,AY$1)</f>
        <v>0</v>
      </c>
      <c r="AZ103" s="117" t="n">
        <f aca="false">SUMIFS(الريسبي!$C$2:$C$1800,الريسبي!$A$2:$A$1800,$A103,الريسبي!$B$2:$B$1800,AZ$1)</f>
        <v>0</v>
      </c>
      <c r="BA103" s="117" t="n">
        <f aca="false">SUMIFS(الريسبي!$C$2:$C$1800,الريسبي!$A$2:$A$1800,$A103,الريسبي!$B$2:$B$1800,BA$1)</f>
        <v>0</v>
      </c>
      <c r="BB103" s="117" t="n">
        <f aca="false">SUMIFS(الريسبي!$C$2:$C$1800,الريسبي!$A$2:$A$1800,$A103,الريسبي!$B$2:$B$1800,BB$1)</f>
        <v>0</v>
      </c>
      <c r="BC103" s="117" t="n">
        <f aca="false">SUMIFS(الريسبي!$C$2:$C$1800,الريسبي!$A$2:$A$1800,$A103,الريسبي!$B$2:$B$1800,BC$1)</f>
        <v>0.03</v>
      </c>
      <c r="BD103" s="117" t="n">
        <f aca="false">SUMIFS(الريسبي!$C$2:$C$1800,الريسبي!$A$2:$A$1800,$A103,الريسبي!$B$2:$B$1800,BD$1)</f>
        <v>0</v>
      </c>
      <c r="BE103" s="117" t="n">
        <f aca="false">SUMIFS(الريسبي!$C$2:$C$1800,الريسبي!$A$2:$A$1800,$A103,الريسبي!$B$2:$B$1800,BE$1)</f>
        <v>1</v>
      </c>
      <c r="BF103" s="117" t="n">
        <f aca="false">SUMIFS(الريسبي!$C$2:$C$1800,الريسبي!$A$2:$A$1800,$A103,الريسبي!$B$2:$B$1800,BF$1)</f>
        <v>0</v>
      </c>
      <c r="BG103" s="117" t="n">
        <f aca="false">SUMIFS(الريسبي!$C$2:$C$1800,الريسبي!$A$2:$A$1800,$A103,الريسبي!$B$2:$B$1800,BG$1)</f>
        <v>0</v>
      </c>
      <c r="BH103" s="117" t="n">
        <f aca="false">SUMIFS(الريسبي!$C$2:$C$1800,الريسبي!$A$2:$A$1800,$A103,الريسبي!$B$2:$B$1800,BH$1)</f>
        <v>1</v>
      </c>
      <c r="BI103" s="117" t="n">
        <f aca="false">SUMIFS(الريسبي!$C$2:$C$1800,الريسبي!$A$2:$A$1800,$A103,الريسبي!$B$2:$B$1800,BI$1)</f>
        <v>0</v>
      </c>
      <c r="BJ103" s="117" t="n">
        <f aca="false">SUMIFS(الريسبي!$C$2:$C$1800,الريسبي!$A$2:$A$1800,$A103,الريسبي!$B$2:$B$1800,BJ$1)</f>
        <v>0</v>
      </c>
      <c r="BK103" s="117" t="n">
        <f aca="false">SUMIFS(الريسبي!$C$2:$C$1800,الريسبي!$A$2:$A$1800,$A103,الريسبي!$B$2:$B$1800,BK$1)</f>
        <v>0</v>
      </c>
      <c r="BL103" s="117" t="n">
        <f aca="false">SUMIFS(الريسبي!$C$2:$C$1800,الريسبي!$A$2:$A$1800,$A103,الريسبي!$B$2:$B$1800,BL$1)</f>
        <v>0</v>
      </c>
      <c r="BM103" s="117" t="n">
        <f aca="false">SUMIFS(الريسبي!$C$2:$C$1800,الريسبي!$A$2:$A$1800,$A103,الريسبي!$B$2:$B$1800,BM$1)</f>
        <v>0</v>
      </c>
      <c r="BN103" s="117" t="n">
        <f aca="false">SUMIFS(الريسبي!$C$2:$C$1800,الريسبي!$A$2:$A$1800,$A103,الريسبي!$B$2:$B$1800,BN$1)</f>
        <v>0.02</v>
      </c>
      <c r="BO103" s="117" t="n">
        <f aca="false">SUMIFS(الريسبي!$C$2:$C$1800,الريسبي!$A$2:$A$1800,$A103,الريسبي!$B$2:$B$1800,BO$1)</f>
        <v>0</v>
      </c>
      <c r="BP103" s="117" t="n">
        <f aca="false">SUMIFS(الريسبي!$C$2:$C$1800,الريسبي!$A$2:$A$1800,$A103,الريسبي!$B$2:$B$1800,BP$1)</f>
        <v>2</v>
      </c>
      <c r="BQ103" s="117" t="n">
        <f aca="false">SUMIFS(الريسبي!$C$2:$C$1800,الريسبي!$A$2:$A$1800,$A103,الريسبي!$B$2:$B$1800,BQ$1)+0.17*SUMIFS(الريسبي!$C$2:$C$1800,الريسبي!$A$2:$A$1800,$A103,الريسبي!$B$2:$B$1800,"كاسترد مصنع (خليط بودر + لبن)")+0.17*SUMIFS(الريسبي!$C$2:$C$1800,الريسبي!$A$2:$A$1800,$A103,الريسبي!$B$2:$B$1800,"كاسترد مصنع صيامي (بدون لبن)")</f>
        <v>0</v>
      </c>
      <c r="BR103" s="117" t="n">
        <f aca="false">SUMIFS(الريسبي!$C$2:$C$1800,الريسبي!$A$2:$A$1800,$A103,الريسبي!$B$2:$B$1800,BR$1)</f>
        <v>1</v>
      </c>
      <c r="BS103" s="117" t="n">
        <f aca="false">SUMIFS(الريسبي!$C$2:$C$1800,الريسبي!$A$2:$A$1800,$A103,الريسبي!$B$2:$B$1800,BS$1)</f>
        <v>0</v>
      </c>
      <c r="BT103" s="117" t="n">
        <f aca="false">SUMIFS(الريسبي!$C$2:$C$1800,الريسبي!$A$2:$A$1800,$A103,الريسبي!$B$2:$B$1800,BT$1)</f>
        <v>0</v>
      </c>
      <c r="BU103" s="117" t="n">
        <f aca="false">SUMIFS(الريسبي!$C$2:$C$1800,الريسبي!$A$2:$A$1800,$A103,الريسبي!$B$2:$B$1800,BU$1)+0.4*SUMIFS(الريسبي!$C$2:$C$1800,الريسبي!$A$2:$A$1800,$A103,الريسبي!$B$2:$B$1800,"كاسترد مصنع (خليط بودر + لبن)")+0.03333333333*SUMIFS(الريسبي!$C$2:$C$1800,الريسبي!$A$2:$A$1800,$A103,الريسبي!$B$2:$B$1800,"عجين كريب (مصنع بالمطعم)")</f>
        <v>0</v>
      </c>
      <c r="BV103" s="117" t="n">
        <f aca="false">SUMIFS(الريسبي!$C$2:$C$1800,الريسبي!$A$2:$A$1800,$A103,الريسبي!$B$2:$B$1800,BV$1)</f>
        <v>0</v>
      </c>
      <c r="BW103" s="117" t="n">
        <f aca="false">SUMIFS(الريسبي!$C$2:$C$1800,الريسبي!$A$2:$A$1800,$A103,الريسبي!$B$2:$B$1800,BW$1)</f>
        <v>0</v>
      </c>
      <c r="BX103" s="117" t="n">
        <f aca="false">SUMIFS(الريسبي!$C$2:$C$1800,الريسبي!$A$2:$A$1800,$A103,الريسبي!$B$2:$B$1800,BX$1)</f>
        <v>0</v>
      </c>
      <c r="BY103" s="117" t="n">
        <f aca="false">SUMIFS(الريسبي!$C$2:$C$1800,الريسبي!$A$2:$A$1800,$A103,الريسبي!$B$2:$B$1800,BY$1)</f>
        <v>0</v>
      </c>
      <c r="BZ103" s="117" t="n">
        <f aca="false">SUMIFS(الريسبي!$C$2:$C$1800,الريسبي!$A$2:$A$1800,$A103,الريسبي!$B$2:$B$1800,BZ$1)</f>
        <v>0</v>
      </c>
      <c r="CA103" s="117" t="n">
        <f aca="false">SUMIFS(الريسبي!$C$2:$C$1800,الريسبي!$A$2:$A$1800,$A103,الريسبي!$B$2:$B$1800,CA$1)</f>
        <v>1</v>
      </c>
      <c r="CB103" s="117" t="n">
        <f aca="false">SUMIFS(الريسبي!$C$2:$C$1800,الريسبي!$A$2:$A$1800,$A103,الريسبي!$B$2:$B$1800,CB$1)</f>
        <v>1</v>
      </c>
      <c r="CC103" s="117" t="n">
        <f aca="false">SUMIFS(الريسبي!$C$2:$C$1800,الريسبي!$A$2:$A$1800,$A103,الريسبي!$B$2:$B$1800,CC$1)</f>
        <v>0</v>
      </c>
      <c r="CD103" s="117" t="n">
        <f aca="false">SUMIFS(الريسبي!$C$2:$C$1800,الريسبي!$A$2:$A$1800,$A103,الريسبي!$B$2:$B$1800,CD$1)</f>
        <v>0</v>
      </c>
      <c r="CE103" s="117" t="n">
        <f aca="false">SUMIFS(الريسبي!$C$2:$C$1800,الريسبي!$A$2:$A$1800,$A103,الريسبي!$B$2:$B$1800,CE$1)</f>
        <v>0</v>
      </c>
      <c r="CF103" s="117" t="n">
        <f aca="false">SUMIFS(الريسبي!$C$2:$C$1800,الريسبي!$A$2:$A$1800,$A103,الريسبي!$B$2:$B$1800,CF$1)</f>
        <v>0</v>
      </c>
      <c r="CG103" s="117" t="n">
        <f aca="false">SUMIFS(الريسبي!$C$2:$C$1800,الريسبي!$A$2:$A$1800,$A103,الريسبي!$B$2:$B$1800,CG$1)</f>
        <v>0</v>
      </c>
      <c r="CH103" s="117" t="n">
        <f aca="false">SUMIFS(الريسبي!$C$2:$C$1800,الريسبي!$A$2:$A$1800,$A103,الريسبي!$B$2:$B$1800,CH$1)</f>
        <v>0</v>
      </c>
      <c r="CI103" s="117" t="n">
        <f aca="false">SUMIFS(الريسبي!$C$2:$C$1800,الريسبي!$A$2:$A$1800,$A103,الريسبي!$B$2:$B$1800,CI$1)</f>
        <v>0</v>
      </c>
      <c r="CJ103" s="117" t="n">
        <f aca="false">SUMIFS(الريسبي!$C$2:$C$1800,الريسبي!$A$2:$A$1800,$A103,الريسبي!$B$2:$B$1800,CJ$1)</f>
        <v>0</v>
      </c>
      <c r="CK103" s="117" t="n">
        <f aca="false">SUMIFS(الريسبي!$C$2:$C$1800,الريسبي!$A$2:$A$1800,$A103,الريسبي!$B$2:$B$1800,CK$1)</f>
        <v>0</v>
      </c>
      <c r="CL103" s="117" t="n">
        <f aca="false">SUMIFS(الريسبي!$C$2:$C$1800,الريسبي!$A$2:$A$1800,$A103,الريسبي!$B$2:$B$1800,CL$1)</f>
        <v>0</v>
      </c>
    </row>
    <row r="104" customFormat="false" ht="15" hidden="false" customHeight="false" outlineLevel="0" collapsed="false">
      <c r="A104" s="116" t="str">
        <f aca="false">المنيو!B104</f>
        <v>فطيرة مشكل جبن صيامي مخصوص</v>
      </c>
      <c r="B104" s="117" t="n">
        <f aca="false">SUMIFS(الريسبي!$C$2:$C$1800,الريسبي!$A$2:$A$1800,$A104,الريسبي!$B$2:$B$1800,B$1)</f>
        <v>0</v>
      </c>
      <c r="C104" s="117" t="n">
        <f aca="false">SUMIFS(الريسبي!$C$2:$C$1800,الريسبي!$A$2:$A$1800,$A104,الريسبي!$B$2:$B$1800,C$1)</f>
        <v>0</v>
      </c>
      <c r="D104" s="117" t="n">
        <f aca="false">SUMIFS(الريسبي!$C$2:$C$1800,الريسبي!$A$2:$A$1800,$A104,الريسبي!$B$2:$B$1800,D$1)</f>
        <v>1</v>
      </c>
      <c r="E104" s="117" t="n">
        <f aca="false">SUMIFS(الريسبي!$C$2:$C$1800,الريسبي!$A$2:$A$1800,$A104,الريسبي!$B$2:$B$1800,E$1)</f>
        <v>0</v>
      </c>
      <c r="F104" s="117" t="n">
        <f aca="false">SUMIFS(الريسبي!$C$2:$C$1800,الريسبي!$A$2:$A$1800,$A104,الريسبي!$B$2:$B$1800,F$1)</f>
        <v>0</v>
      </c>
      <c r="G104" s="117" t="n">
        <f aca="false">SUMIFS(الريسبي!$C$2:$C$1800,الريسبي!$A$2:$A$1800,$A104,الريسبي!$B$2:$B$1800,G$1)</f>
        <v>0</v>
      </c>
      <c r="H104" s="117" t="n">
        <f aca="false">SUMIFS(الريسبي!$C$2:$C$1800,الريسبي!$A$2:$A$1800,$A104,الريسبي!$B$2:$B$1800,H$1)</f>
        <v>0</v>
      </c>
      <c r="I104" s="117" t="n">
        <f aca="false">SUMIFS(الريسبي!$C$2:$C$1800,الريسبي!$A$2:$A$1800,$A104,الريسبي!$B$2:$B$1800,I$1)</f>
        <v>0</v>
      </c>
      <c r="J104" s="117" t="n">
        <f aca="false">SUMIFS(الريسبي!$C$2:$C$1800,الريسبي!$A$2:$A$1800,$A104,الريسبي!$B$2:$B$1800,J$1)</f>
        <v>0</v>
      </c>
      <c r="K104" s="117" t="n">
        <f aca="false">SUMIFS(الريسبي!$C$2:$C$1800,الريسبي!$A$2:$A$1800,$A104,الريسبي!$B$2:$B$1800,K$1)</f>
        <v>0</v>
      </c>
      <c r="L104" s="117" t="n">
        <f aca="false">SUMIFS(الريسبي!$C$2:$C$1800,الريسبي!$A$2:$A$1800,$A104,الريسبي!$B$2:$B$1800,L$1)</f>
        <v>0</v>
      </c>
      <c r="M104" s="117" t="n">
        <f aca="false">SUMIFS(الريسبي!$C$2:$C$1800,الريسبي!$A$2:$A$1800,$A104,الريسبي!$B$2:$B$1800,M$1)</f>
        <v>0</v>
      </c>
      <c r="N104" s="117" t="n">
        <f aca="false">SUMIFS(الريسبي!$C$2:$C$1800,الريسبي!$A$2:$A$1800,$A104,الريسبي!$B$2:$B$1800,N$1)</f>
        <v>0</v>
      </c>
      <c r="O104" s="117" t="n">
        <f aca="false">SUMIFS(الريسبي!$C$2:$C$1800,الريسبي!$A$2:$A$1800,$A104,الريسبي!$B$2:$B$1800,O$1)</f>
        <v>0</v>
      </c>
      <c r="P104" s="117" t="n">
        <f aca="false">SUMIFS(الريسبي!$C$2:$C$1800,الريسبي!$A$2:$A$1800,$A104,الريسبي!$B$2:$B$1800,P$1)</f>
        <v>0</v>
      </c>
      <c r="Q104" s="117" t="n">
        <f aca="false">SUMIFS(الريسبي!$C$2:$C$1800,الريسبي!$A$2:$A$1800,$A104,الريسبي!$B$2:$B$1800,Q$1)</f>
        <v>0</v>
      </c>
      <c r="R104" s="117" t="n">
        <f aca="false">SUMIFS(الريسبي!$C$2:$C$1800,الريسبي!$A$2:$A$1800,$A104,الريسبي!$B$2:$B$1800,R$1)</f>
        <v>0</v>
      </c>
      <c r="S104" s="117" t="n">
        <f aca="false">SUMIFS(الريسبي!$C$2:$C$1800,الريسبي!$A$2:$A$1800,$A104,الريسبي!$B$2:$B$1800,S$1)</f>
        <v>0</v>
      </c>
      <c r="T104" s="117" t="n">
        <f aca="false">SUMIFS(الريسبي!$C$2:$C$1800,الريسبي!$A$2:$A$1800,$A104,الريسبي!$B$2:$B$1800,T$1)</f>
        <v>0</v>
      </c>
      <c r="U104" s="117" t="n">
        <f aca="false">SUMIFS(الريسبي!$C$2:$C$1800,الريسبي!$A$2:$A$1800,$A104,الريسبي!$B$2:$B$1800,U$1)</f>
        <v>0</v>
      </c>
      <c r="V104" s="117" t="n">
        <f aca="false">SUMIFS(الريسبي!$C$2:$C$1800,الريسبي!$A$2:$A$1800,$A104,الريسبي!$B$2:$B$1800,V$1)+1.5*(SUMIFS(الريسبي!$C$2:$C$1800,الريسبي!$A$2:$A$1800,$A104,الريسبي!$B$2:$B$1800,"برسيون موتزريلا بيتزا كبير"))</f>
        <v>0</v>
      </c>
      <c r="W104" s="117" t="n">
        <f aca="false">0</f>
        <v>0</v>
      </c>
      <c r="X104" s="117" t="n">
        <f aca="false">SUMIFS(الريسبي!$C$2:$C$1800,الريسبي!$A$2:$A$1800,$A104,الريسبي!$B$2:$B$1800,X$1)+1.5*(SUMIFS(الريسبي!$C$2:$C$1800,الريسبي!$A$2:$A$1800,$A104,الريسبي!$B$2:$B$1800,"برسيون موتزريلا فطير كبير"))</f>
        <v>1.5</v>
      </c>
      <c r="Y104" s="117" t="n">
        <f aca="false">0</f>
        <v>0</v>
      </c>
      <c r="Z104" s="117" t="n">
        <f aca="false">SUMIFS(الريسبي!$C$2:$C$1800,الريسبي!$A$2:$A$1800,$A104,الريسبي!$B$2:$B$1800,Z$1)</f>
        <v>0</v>
      </c>
      <c r="AA104" s="117" t="n">
        <f aca="false">SUMIFS(الريسبي!$C$2:$C$1800,الريسبي!$A$2:$A$1800,$A104,الريسبي!$B$2:$B$1800,AA$1)</f>
        <v>0</v>
      </c>
      <c r="AB104" s="117" t="n">
        <f aca="false">SUMIFS(الريسبي!$C$2:$C$1800,الريسبي!$A$2:$A$1800,$A104,الريسبي!$B$2:$B$1800,AB$1)</f>
        <v>0</v>
      </c>
      <c r="AC104" s="117" t="n">
        <f aca="false">SUMIFS(الريسبي!$C$2:$C$1800,الريسبي!$A$2:$A$1800,$A104,الريسبي!$B$2:$B$1800,AC$1)</f>
        <v>0</v>
      </c>
      <c r="AD104" s="117" t="n">
        <f aca="false">SUMIFS(الريسبي!$C$2:$C$1800,الريسبي!$A$2:$A$1800,$A104,الريسبي!$B$2:$B$1800,AD$1)</f>
        <v>0</v>
      </c>
      <c r="AE104" s="117" t="n">
        <f aca="false">SUMIFS(الريسبي!$C$2:$C$1800,الريسبي!$A$2:$A$1800,$A104,الريسبي!$B$2:$B$1800,AE$1)</f>
        <v>0</v>
      </c>
      <c r="AF104" s="117" t="n">
        <f aca="false">SUMIFS(الريسبي!$C$2:$C$1800,الريسبي!$A$2:$A$1800,$A104,الريسبي!$B$2:$B$1800,AF$1)</f>
        <v>0</v>
      </c>
      <c r="AG104" s="117" t="n">
        <f aca="false">SUMIFS(الريسبي!$C$2:$C$1800,الريسبي!$A$2:$A$1800,$A104,الريسبي!$B$2:$B$1800,AG$1)</f>
        <v>0</v>
      </c>
      <c r="AH104" s="117" t="n">
        <f aca="false">SUMIFS(الريسبي!$C$2:$C$1800,الريسبي!$A$2:$A$1800,$A104,الريسبي!$B$2:$B$1800,AH$1)</f>
        <v>0</v>
      </c>
      <c r="AI104" s="117" t="n">
        <f aca="false">SUMIFS(الريسبي!$C$2:$C$1800,الريسبي!$A$2:$A$1800,$A104,الريسبي!$B$2:$B$1800,AI$1)</f>
        <v>0.15</v>
      </c>
      <c r="AJ104" s="117" t="n">
        <f aca="false">SUMIFS(الريسبي!$C$2:$C$1800,الريسبي!$A$2:$A$1800,$A104,الريسبي!$B$2:$B$1800,AJ$1)</f>
        <v>2</v>
      </c>
      <c r="AK104" s="117" t="n">
        <f aca="false">SUMIFS(الريسبي!$C$2:$C$1800,الريسبي!$A$2:$A$1800,$A104,الريسبي!$B$2:$B$1800,AK$1)</f>
        <v>0</v>
      </c>
      <c r="AL104" s="117" t="n">
        <f aca="false">SUMIFS(الريسبي!$C$2:$C$1800,الريسبي!$A$2:$A$1800,$A104,الريسبي!$B$2:$B$1800,AL$1)</f>
        <v>0</v>
      </c>
      <c r="AM104" s="117" t="n">
        <f aca="false">SUMIFS(الريسبي!$C$2:$C$1800,الريسبي!$A$2:$A$1800,$A104,الريسبي!$B$2:$B$1800,AM$1)+0.08333333333*SUMIFS(الريسبي!$C$2:$C$1800,الريسبي!$A$2:$A$1800,$A104,الريسبي!$B$2:$B$1800,"عجين كريب (مصنع بالمطعم)")+0.08333333333*SUMIFS(الريسبي!$C$2:$C$1800,الريسبي!$A$2:$A$1800,$A104,الريسبي!$B$2:$B$1800,"عجين كريب صيامي (بدون لبن)")</f>
        <v>0</v>
      </c>
      <c r="AN104" s="117" t="n">
        <f aca="false">SUMIFS(الريسبي!$C$2:$C$1800,الريسبي!$A$2:$A$1800,$A104,الريسبي!$B$2:$B$1800,AN$1)+0.004166666667*SUMIFS(الريسبي!$C$2:$C$1800,الريسبي!$A$2:$A$1800,$A104,الريسبي!$B$2:$B$1800,"عجين كريب (مصنع بالمطعم)")+0.004166666667*SUMIFS(الريسبي!$C$2:$C$1800,الريسبي!$A$2:$A$1800,$A104,الريسبي!$B$2:$B$1800,"عجين كريب صيامي (بدون لبن)")</f>
        <v>0</v>
      </c>
      <c r="AO104" s="117" t="n">
        <f aca="false">SUMIFS(الريسبي!$C$2:$C$1800,الريسبي!$A$2:$A$1800,$A104,الريسبي!$B$2:$B$1800,AO$1)</f>
        <v>0</v>
      </c>
      <c r="AP104" s="117" t="n">
        <f aca="false">SUMIFS(الريسبي!$C$2:$C$1800,الريسبي!$A$2:$A$1800,$A104,الريسبي!$B$2:$B$1800,AP$1)</f>
        <v>0.03</v>
      </c>
      <c r="AQ104" s="117" t="n">
        <f aca="false">SUMIFS(الريسبي!$C$2:$C$1800,الريسبي!$A$2:$A$1800,$A104,الريسبي!$B$2:$B$1800,AQ$1)+0.004166666667*SUMIFS(الريسبي!$C$2:$C$1800,الريسبي!$A$2:$A$1800,$A104,الريسبي!$B$2:$B$1800,"عجين كريب (مصنع بالمطعم)")+0.004166666667*SUMIFS(الريسبي!$C$2:$C$1800,الريسبي!$A$2:$A$1800,$A104,الريسبي!$B$2:$B$1800,"عجين كريب صيامي (بدون لبن)")</f>
        <v>0</v>
      </c>
      <c r="AR104" s="117" t="n">
        <f aca="false">SUMIFS(الريسبي!$C$2:$C$1800,الريسبي!$A$2:$A$1800,$A104,الريسبي!$B$2:$B$1800,AR$1)</f>
        <v>0</v>
      </c>
      <c r="AS104" s="117" t="n">
        <f aca="false">SUMIFS(الريسبي!$C$2:$C$1800,الريسبي!$A$2:$A$1800,$A104,الريسبي!$B$2:$B$1800,AS$1)</f>
        <v>0</v>
      </c>
      <c r="AT104" s="117" t="n">
        <f aca="false">SUMIFS(الريسبي!$C$2:$C$1800,الريسبي!$A$2:$A$1800,$A104,الريسبي!$B$2:$B$1800,AT$1)</f>
        <v>0</v>
      </c>
      <c r="AU104" s="117" t="n">
        <f aca="false">SUMIFS(الريسبي!$C$2:$C$1800,الريسبي!$A$2:$A$1800,$A104,الريسبي!$B$2:$B$1800,AU$1)</f>
        <v>0</v>
      </c>
      <c r="AV104" s="117" t="n">
        <f aca="false">SUMIFS(الريسبي!$C$2:$C$1800,الريسبي!$A$2:$A$1800,$A104,الريسبي!$B$2:$B$1800,AV$1)</f>
        <v>0</v>
      </c>
      <c r="AW104" s="117" t="n">
        <f aca="false">SUMIFS(الريسبي!$C$2:$C$1800,الريسبي!$A$2:$A$1800,$A104,الريسبي!$B$2:$B$1800,AW$1)</f>
        <v>0</v>
      </c>
      <c r="AX104" s="117" t="n">
        <f aca="false">SUMIFS(الريسبي!$C$2:$C$1800,الريسبي!$A$2:$A$1800,$A104,الريسبي!$B$2:$B$1800,AX$1)</f>
        <v>0</v>
      </c>
      <c r="AY104" s="117" t="n">
        <f aca="false">SUMIFS(الريسبي!$C$2:$C$1800,الريسبي!$A$2:$A$1800,$A104,الريسبي!$B$2:$B$1800,AY$1)</f>
        <v>0</v>
      </c>
      <c r="AZ104" s="117" t="n">
        <f aca="false">SUMIFS(الريسبي!$C$2:$C$1800,الريسبي!$A$2:$A$1800,$A104,الريسبي!$B$2:$B$1800,AZ$1)</f>
        <v>0</v>
      </c>
      <c r="BA104" s="117" t="n">
        <f aca="false">SUMIFS(الريسبي!$C$2:$C$1800,الريسبي!$A$2:$A$1800,$A104,الريسبي!$B$2:$B$1800,BA$1)</f>
        <v>0</v>
      </c>
      <c r="BB104" s="117" t="n">
        <f aca="false">SUMIFS(الريسبي!$C$2:$C$1800,الريسبي!$A$2:$A$1800,$A104,الريسبي!$B$2:$B$1800,BB$1)</f>
        <v>0</v>
      </c>
      <c r="BC104" s="117" t="n">
        <f aca="false">SUMIFS(الريسبي!$C$2:$C$1800,الريسبي!$A$2:$A$1800,$A104,الريسبي!$B$2:$B$1800,BC$1)</f>
        <v>0.045</v>
      </c>
      <c r="BD104" s="117" t="n">
        <f aca="false">SUMIFS(الريسبي!$C$2:$C$1800,الريسبي!$A$2:$A$1800,$A104,الريسبي!$B$2:$B$1800,BD$1)</f>
        <v>0</v>
      </c>
      <c r="BE104" s="117" t="n">
        <f aca="false">SUMIFS(الريسبي!$C$2:$C$1800,الريسبي!$A$2:$A$1800,$A104,الريسبي!$B$2:$B$1800,BE$1)</f>
        <v>1.5</v>
      </c>
      <c r="BF104" s="117" t="n">
        <f aca="false">SUMIFS(الريسبي!$C$2:$C$1800,الريسبي!$A$2:$A$1800,$A104,الريسبي!$B$2:$B$1800,BF$1)</f>
        <v>0</v>
      </c>
      <c r="BG104" s="117" t="n">
        <f aca="false">SUMIFS(الريسبي!$C$2:$C$1800,الريسبي!$A$2:$A$1800,$A104,الريسبي!$B$2:$B$1800,BG$1)</f>
        <v>1</v>
      </c>
      <c r="BH104" s="117" t="n">
        <f aca="false">SUMIFS(الريسبي!$C$2:$C$1800,الريسبي!$A$2:$A$1800,$A104,الريسبي!$B$2:$B$1800,BH$1)</f>
        <v>0</v>
      </c>
      <c r="BI104" s="117" t="n">
        <f aca="false">SUMIFS(الريسبي!$C$2:$C$1800,الريسبي!$A$2:$A$1800,$A104,الريسبي!$B$2:$B$1800,BI$1)</f>
        <v>0</v>
      </c>
      <c r="BJ104" s="117" t="n">
        <f aca="false">SUMIFS(الريسبي!$C$2:$C$1800,الريسبي!$A$2:$A$1800,$A104,الريسبي!$B$2:$B$1800,BJ$1)</f>
        <v>0</v>
      </c>
      <c r="BK104" s="117" t="n">
        <f aca="false">SUMIFS(الريسبي!$C$2:$C$1800,الريسبي!$A$2:$A$1800,$A104,الريسبي!$B$2:$B$1800,BK$1)</f>
        <v>0</v>
      </c>
      <c r="BL104" s="117" t="n">
        <f aca="false">SUMIFS(الريسبي!$C$2:$C$1800,الريسبي!$A$2:$A$1800,$A104,الريسبي!$B$2:$B$1800,BL$1)</f>
        <v>0</v>
      </c>
      <c r="BM104" s="117" t="n">
        <f aca="false">SUMIFS(الريسبي!$C$2:$C$1800,الريسبي!$A$2:$A$1800,$A104,الريسبي!$B$2:$B$1800,BM$1)</f>
        <v>0</v>
      </c>
      <c r="BN104" s="117" t="n">
        <f aca="false">SUMIFS(الريسبي!$C$2:$C$1800,الريسبي!$A$2:$A$1800,$A104,الريسبي!$B$2:$B$1800,BN$1)</f>
        <v>0.03</v>
      </c>
      <c r="BO104" s="117" t="n">
        <f aca="false">SUMIFS(الريسبي!$C$2:$C$1800,الريسبي!$A$2:$A$1800,$A104,الريسبي!$B$2:$B$1800,BO$1)</f>
        <v>0</v>
      </c>
      <c r="BP104" s="117" t="n">
        <f aca="false">SUMIFS(الريسبي!$C$2:$C$1800,الريسبي!$A$2:$A$1800,$A104,الريسبي!$B$2:$B$1800,BP$1)</f>
        <v>3</v>
      </c>
      <c r="BQ104" s="117" t="n">
        <f aca="false">SUMIFS(الريسبي!$C$2:$C$1800,الريسبي!$A$2:$A$1800,$A104,الريسبي!$B$2:$B$1800,BQ$1)+0.17*SUMIFS(الريسبي!$C$2:$C$1800,الريسبي!$A$2:$A$1800,$A104,الريسبي!$B$2:$B$1800,"كاسترد مصنع (خليط بودر + لبن)")+0.17*SUMIFS(الريسبي!$C$2:$C$1800,الريسبي!$A$2:$A$1800,$A104,الريسبي!$B$2:$B$1800,"كاسترد مصنع صيامي (بدون لبن)")</f>
        <v>0</v>
      </c>
      <c r="BR104" s="117" t="n">
        <f aca="false">SUMIFS(الريسبي!$C$2:$C$1800,الريسبي!$A$2:$A$1800,$A104,الريسبي!$B$2:$B$1800,BR$1)</f>
        <v>1</v>
      </c>
      <c r="BS104" s="117" t="n">
        <f aca="false">SUMIFS(الريسبي!$C$2:$C$1800,الريسبي!$A$2:$A$1800,$A104,الريسبي!$B$2:$B$1800,BS$1)</f>
        <v>0</v>
      </c>
      <c r="BT104" s="117" t="n">
        <f aca="false">SUMIFS(الريسبي!$C$2:$C$1800,الريسبي!$A$2:$A$1800,$A104,الريسبي!$B$2:$B$1800,BT$1)</f>
        <v>0</v>
      </c>
      <c r="BU104" s="117" t="n">
        <f aca="false">SUMIFS(الريسبي!$C$2:$C$1800,الريسبي!$A$2:$A$1800,$A104,الريسبي!$B$2:$B$1800,BU$1)+0.4*SUMIFS(الريسبي!$C$2:$C$1800,الريسبي!$A$2:$A$1800,$A104,الريسبي!$B$2:$B$1800,"كاسترد مصنع (خليط بودر + لبن)")+0.03333333333*SUMIFS(الريسبي!$C$2:$C$1800,الريسبي!$A$2:$A$1800,$A104,الريسبي!$B$2:$B$1800,"عجين كريب (مصنع بالمطعم)")</f>
        <v>0</v>
      </c>
      <c r="BV104" s="117" t="n">
        <f aca="false">SUMIFS(الريسبي!$C$2:$C$1800,الريسبي!$A$2:$A$1800,$A104,الريسبي!$B$2:$B$1800,BV$1)</f>
        <v>0</v>
      </c>
      <c r="BW104" s="117" t="n">
        <f aca="false">SUMIFS(الريسبي!$C$2:$C$1800,الريسبي!$A$2:$A$1800,$A104,الريسبي!$B$2:$B$1800,BW$1)</f>
        <v>0</v>
      </c>
      <c r="BX104" s="117" t="n">
        <f aca="false">SUMIFS(الريسبي!$C$2:$C$1800,الريسبي!$A$2:$A$1800,$A104,الريسبي!$B$2:$B$1800,BX$1)</f>
        <v>0</v>
      </c>
      <c r="BY104" s="117" t="n">
        <f aca="false">SUMIFS(الريسبي!$C$2:$C$1800,الريسبي!$A$2:$A$1800,$A104,الريسبي!$B$2:$B$1800,BY$1)</f>
        <v>0</v>
      </c>
      <c r="BZ104" s="117" t="n">
        <f aca="false">SUMIFS(الريسبي!$C$2:$C$1800,الريسبي!$A$2:$A$1800,$A104,الريسبي!$B$2:$B$1800,BZ$1)</f>
        <v>0</v>
      </c>
      <c r="CA104" s="117" t="n">
        <f aca="false">SUMIFS(الريسبي!$C$2:$C$1800,الريسبي!$A$2:$A$1800,$A104,الريسبي!$B$2:$B$1800,CA$1)</f>
        <v>1</v>
      </c>
      <c r="CB104" s="117" t="n">
        <f aca="false">SUMIFS(الريسبي!$C$2:$C$1800,الريسبي!$A$2:$A$1800,$A104,الريسبي!$B$2:$B$1800,CB$1)</f>
        <v>1</v>
      </c>
      <c r="CC104" s="117" t="n">
        <f aca="false">SUMIFS(الريسبي!$C$2:$C$1800,الريسبي!$A$2:$A$1800,$A104,الريسبي!$B$2:$B$1800,CC$1)</f>
        <v>0</v>
      </c>
      <c r="CD104" s="117" t="n">
        <f aca="false">SUMIFS(الريسبي!$C$2:$C$1800,الريسبي!$A$2:$A$1800,$A104,الريسبي!$B$2:$B$1800,CD$1)</f>
        <v>0</v>
      </c>
      <c r="CE104" s="117" t="n">
        <f aca="false">SUMIFS(الريسبي!$C$2:$C$1800,الريسبي!$A$2:$A$1800,$A104,الريسبي!$B$2:$B$1800,CE$1)</f>
        <v>0</v>
      </c>
      <c r="CF104" s="117" t="n">
        <f aca="false">SUMIFS(الريسبي!$C$2:$C$1800,الريسبي!$A$2:$A$1800,$A104,الريسبي!$B$2:$B$1800,CF$1)</f>
        <v>0</v>
      </c>
      <c r="CG104" s="117" t="n">
        <f aca="false">SUMIFS(الريسبي!$C$2:$C$1800,الريسبي!$A$2:$A$1800,$A104,الريسبي!$B$2:$B$1800,CG$1)</f>
        <v>0</v>
      </c>
      <c r="CH104" s="117" t="n">
        <f aca="false">SUMIFS(الريسبي!$C$2:$C$1800,الريسبي!$A$2:$A$1800,$A104,الريسبي!$B$2:$B$1800,CH$1)</f>
        <v>0</v>
      </c>
      <c r="CI104" s="117" t="n">
        <f aca="false">SUMIFS(الريسبي!$C$2:$C$1800,الريسبي!$A$2:$A$1800,$A104,الريسبي!$B$2:$B$1800,CI$1)</f>
        <v>0</v>
      </c>
      <c r="CJ104" s="117" t="n">
        <f aca="false">SUMIFS(الريسبي!$C$2:$C$1800,الريسبي!$A$2:$A$1800,$A104,الريسبي!$B$2:$B$1800,CJ$1)</f>
        <v>0</v>
      </c>
      <c r="CK104" s="117" t="n">
        <f aca="false">SUMIFS(الريسبي!$C$2:$C$1800,الريسبي!$A$2:$A$1800,$A104,الريسبي!$B$2:$B$1800,CK$1)</f>
        <v>0</v>
      </c>
      <c r="CL104" s="117" t="n">
        <f aca="false">SUMIFS(الريسبي!$C$2:$C$1800,الريسبي!$A$2:$A$1800,$A104,الريسبي!$B$2:$B$1800,CL$1)</f>
        <v>0</v>
      </c>
    </row>
    <row r="105" customFormat="false" ht="15" hidden="false" customHeight="false" outlineLevel="0" collapsed="false">
      <c r="A105" s="116" t="str">
        <f aca="false">المنيو!B105</f>
        <v>فطيرة فراخ باربيكيو صيامي وسط</v>
      </c>
      <c r="B105" s="117" t="n">
        <f aca="false">SUMIFS(الريسبي!$C$2:$C$1800,الريسبي!$A$2:$A$1800,$A105,الريسبي!$B$2:$B$1800,B$1)</f>
        <v>0</v>
      </c>
      <c r="C105" s="117" t="n">
        <f aca="false">SUMIFS(الريسبي!$C$2:$C$1800,الريسبي!$A$2:$A$1800,$A105,الريسبي!$B$2:$B$1800,C$1)</f>
        <v>0</v>
      </c>
      <c r="D105" s="117" t="n">
        <f aca="false">SUMIFS(الريسبي!$C$2:$C$1800,الريسبي!$A$2:$A$1800,$A105,الريسبي!$B$2:$B$1800,D$1)</f>
        <v>1</v>
      </c>
      <c r="E105" s="117" t="n">
        <f aca="false">SUMIFS(الريسبي!$C$2:$C$1800,الريسبي!$A$2:$A$1800,$A105,الريسبي!$B$2:$B$1800,E$1)</f>
        <v>0</v>
      </c>
      <c r="F105" s="117" t="n">
        <f aca="false">SUMIFS(الريسبي!$C$2:$C$1800,الريسبي!$A$2:$A$1800,$A105,الريسبي!$B$2:$B$1800,F$1)</f>
        <v>0</v>
      </c>
      <c r="G105" s="117" t="n">
        <f aca="false">SUMIFS(الريسبي!$C$2:$C$1800,الريسبي!$A$2:$A$1800,$A105,الريسبي!$B$2:$B$1800,G$1)</f>
        <v>0</v>
      </c>
      <c r="H105" s="117" t="n">
        <f aca="false">SUMIFS(الريسبي!$C$2:$C$1800,الريسبي!$A$2:$A$1800,$A105,الريسبي!$B$2:$B$1800,H$1)</f>
        <v>0</v>
      </c>
      <c r="I105" s="117" t="n">
        <f aca="false">SUMIFS(الريسبي!$C$2:$C$1800,الريسبي!$A$2:$A$1800,$A105,الريسبي!$B$2:$B$1800,I$1)</f>
        <v>0</v>
      </c>
      <c r="J105" s="117" t="n">
        <f aca="false">SUMIFS(الريسبي!$C$2:$C$1800,الريسبي!$A$2:$A$1800,$A105,الريسبي!$B$2:$B$1800,J$1)</f>
        <v>0</v>
      </c>
      <c r="K105" s="117" t="n">
        <f aca="false">SUMIFS(الريسبي!$C$2:$C$1800,الريسبي!$A$2:$A$1800,$A105,الريسبي!$B$2:$B$1800,K$1)</f>
        <v>0</v>
      </c>
      <c r="L105" s="117" t="n">
        <f aca="false">SUMIFS(الريسبي!$C$2:$C$1800,الريسبي!$A$2:$A$1800,$A105,الريسبي!$B$2:$B$1800,L$1)</f>
        <v>0</v>
      </c>
      <c r="M105" s="117" t="n">
        <f aca="false">SUMIFS(الريسبي!$C$2:$C$1800,الريسبي!$A$2:$A$1800,$A105,الريسبي!$B$2:$B$1800,M$1)</f>
        <v>0</v>
      </c>
      <c r="N105" s="117" t="n">
        <f aca="false">SUMIFS(الريسبي!$C$2:$C$1800,الريسبي!$A$2:$A$1800,$A105,الريسبي!$B$2:$B$1800,N$1)</f>
        <v>0</v>
      </c>
      <c r="O105" s="117" t="n">
        <f aca="false">SUMIFS(الريسبي!$C$2:$C$1800,الريسبي!$A$2:$A$1800,$A105,الريسبي!$B$2:$B$1800,O$1)</f>
        <v>0</v>
      </c>
      <c r="P105" s="117" t="n">
        <f aca="false">SUMIFS(الريسبي!$C$2:$C$1800,الريسبي!$A$2:$A$1800,$A105,الريسبي!$B$2:$B$1800,P$1)</f>
        <v>0</v>
      </c>
      <c r="Q105" s="117" t="n">
        <f aca="false">SUMIFS(الريسبي!$C$2:$C$1800,الريسبي!$A$2:$A$1800,$A105,الريسبي!$B$2:$B$1800,Q$1)</f>
        <v>0</v>
      </c>
      <c r="R105" s="117" t="n">
        <f aca="false">SUMIFS(الريسبي!$C$2:$C$1800,الريسبي!$A$2:$A$1800,$A105,الريسبي!$B$2:$B$1800,R$1)</f>
        <v>0</v>
      </c>
      <c r="S105" s="117" t="n">
        <f aca="false">SUMIFS(الريسبي!$C$2:$C$1800,الريسبي!$A$2:$A$1800,$A105,الريسبي!$B$2:$B$1800,S$1)</f>
        <v>0</v>
      </c>
      <c r="T105" s="117" t="n">
        <f aca="false">SUMIFS(الريسبي!$C$2:$C$1800,الريسبي!$A$2:$A$1800,$A105,الريسبي!$B$2:$B$1800,T$1)</f>
        <v>0</v>
      </c>
      <c r="U105" s="117" t="n">
        <f aca="false">SUMIFS(الريسبي!$C$2:$C$1800,الريسبي!$A$2:$A$1800,$A105,الريسبي!$B$2:$B$1800,U$1)</f>
        <v>0</v>
      </c>
      <c r="V105" s="117" t="n">
        <f aca="false">SUMIFS(الريسبي!$C$2:$C$1800,الريسبي!$A$2:$A$1800,$A105,الريسبي!$B$2:$B$1800,V$1)+1.5*(SUMIFS(الريسبي!$C$2:$C$1800,الريسبي!$A$2:$A$1800,$A105,الريسبي!$B$2:$B$1800,"برسيون موتزريلا بيتزا كبير"))</f>
        <v>0</v>
      </c>
      <c r="W105" s="117" t="n">
        <f aca="false">0</f>
        <v>0</v>
      </c>
      <c r="X105" s="117" t="n">
        <f aca="false">SUMIFS(الريسبي!$C$2:$C$1800,الريسبي!$A$2:$A$1800,$A105,الريسبي!$B$2:$B$1800,X$1)+1.5*(SUMIFS(الريسبي!$C$2:$C$1800,الريسبي!$A$2:$A$1800,$A105,الريسبي!$B$2:$B$1800,"برسيون موتزريلا فطير كبير"))</f>
        <v>1</v>
      </c>
      <c r="Y105" s="117" t="n">
        <f aca="false">0</f>
        <v>0</v>
      </c>
      <c r="Z105" s="117" t="n">
        <f aca="false">SUMIFS(الريسبي!$C$2:$C$1800,الريسبي!$A$2:$A$1800,$A105,الريسبي!$B$2:$B$1800,Z$1)</f>
        <v>0</v>
      </c>
      <c r="AA105" s="117" t="n">
        <f aca="false">SUMIFS(الريسبي!$C$2:$C$1800,الريسبي!$A$2:$A$1800,$A105,الريسبي!$B$2:$B$1800,AA$1)</f>
        <v>0</v>
      </c>
      <c r="AB105" s="117" t="n">
        <f aca="false">SUMIFS(الريسبي!$C$2:$C$1800,الريسبي!$A$2:$A$1800,$A105,الريسبي!$B$2:$B$1800,AB$1)</f>
        <v>0</v>
      </c>
      <c r="AC105" s="117" t="n">
        <f aca="false">SUMIFS(الريسبي!$C$2:$C$1800,الريسبي!$A$2:$A$1800,$A105,الريسبي!$B$2:$B$1800,AC$1)</f>
        <v>0</v>
      </c>
      <c r="AD105" s="117" t="n">
        <f aca="false">SUMIFS(الريسبي!$C$2:$C$1800,الريسبي!$A$2:$A$1800,$A105,الريسبي!$B$2:$B$1800,AD$1)</f>
        <v>0</v>
      </c>
      <c r="AE105" s="117" t="n">
        <f aca="false">SUMIFS(الريسبي!$C$2:$C$1800,الريسبي!$A$2:$A$1800,$A105,الريسبي!$B$2:$B$1800,AE$1)</f>
        <v>0</v>
      </c>
      <c r="AF105" s="117" t="n">
        <f aca="false">SUMIFS(الريسبي!$C$2:$C$1800,الريسبي!$A$2:$A$1800,$A105,الريسبي!$B$2:$B$1800,AF$1)</f>
        <v>0</v>
      </c>
      <c r="AG105" s="117" t="n">
        <f aca="false">SUMIFS(الريسبي!$C$2:$C$1800,الريسبي!$A$2:$A$1800,$A105,الريسبي!$B$2:$B$1800,AG$1)</f>
        <v>0</v>
      </c>
      <c r="AH105" s="117" t="n">
        <f aca="false">SUMIFS(الريسبي!$C$2:$C$1800,الريسبي!$A$2:$A$1800,$A105,الريسبي!$B$2:$B$1800,AH$1)</f>
        <v>0</v>
      </c>
      <c r="AI105" s="117" t="n">
        <f aca="false">SUMIFS(الريسبي!$C$2:$C$1800,الريسبي!$A$2:$A$1800,$A105,الريسبي!$B$2:$B$1800,AI$1)</f>
        <v>0</v>
      </c>
      <c r="AJ105" s="117" t="n">
        <f aca="false">SUMIFS(الريسبي!$C$2:$C$1800,الريسبي!$A$2:$A$1800,$A105,الريسبي!$B$2:$B$1800,AJ$1)</f>
        <v>2</v>
      </c>
      <c r="AK105" s="117" t="n">
        <f aca="false">SUMIFS(الريسبي!$C$2:$C$1800,الريسبي!$A$2:$A$1800,$A105,الريسبي!$B$2:$B$1800,AK$1)</f>
        <v>0</v>
      </c>
      <c r="AL105" s="117" t="n">
        <f aca="false">SUMIFS(الريسبي!$C$2:$C$1800,الريسبي!$A$2:$A$1800,$A105,الريسبي!$B$2:$B$1800,AL$1)</f>
        <v>0</v>
      </c>
      <c r="AM105" s="117" t="n">
        <f aca="false">SUMIFS(الريسبي!$C$2:$C$1800,الريسبي!$A$2:$A$1800,$A105,الريسبي!$B$2:$B$1800,AM$1)+0.08333333333*SUMIFS(الريسبي!$C$2:$C$1800,الريسبي!$A$2:$A$1800,$A105,الريسبي!$B$2:$B$1800,"عجين كريب (مصنع بالمطعم)")+0.08333333333*SUMIFS(الريسبي!$C$2:$C$1800,الريسبي!$A$2:$A$1800,$A105,الريسبي!$B$2:$B$1800,"عجين كريب صيامي (بدون لبن)")</f>
        <v>0</v>
      </c>
      <c r="AN105" s="117" t="n">
        <f aca="false">SUMIFS(الريسبي!$C$2:$C$1800,الريسبي!$A$2:$A$1800,$A105,الريسبي!$B$2:$B$1800,AN$1)+0.004166666667*SUMIFS(الريسبي!$C$2:$C$1800,الريسبي!$A$2:$A$1800,$A105,الريسبي!$B$2:$B$1800,"عجين كريب (مصنع بالمطعم)")+0.004166666667*SUMIFS(الريسبي!$C$2:$C$1800,الريسبي!$A$2:$A$1800,$A105,الريسبي!$B$2:$B$1800,"عجين كريب صيامي (بدون لبن)")</f>
        <v>0</v>
      </c>
      <c r="AO105" s="117" t="n">
        <f aca="false">SUMIFS(الريسبي!$C$2:$C$1800,الريسبي!$A$2:$A$1800,$A105,الريسبي!$B$2:$B$1800,AO$1)</f>
        <v>0</v>
      </c>
      <c r="AP105" s="117" t="n">
        <f aca="false">SUMIFS(الريسبي!$C$2:$C$1800,الريسبي!$A$2:$A$1800,$A105,الريسبي!$B$2:$B$1800,AP$1)</f>
        <v>0.02</v>
      </c>
      <c r="AQ105" s="117" t="n">
        <f aca="false">SUMIFS(الريسبي!$C$2:$C$1800,الريسبي!$A$2:$A$1800,$A105,الريسبي!$B$2:$B$1800,AQ$1)+0.004166666667*SUMIFS(الريسبي!$C$2:$C$1800,الريسبي!$A$2:$A$1800,$A105,الريسبي!$B$2:$B$1800,"عجين كريب (مصنع بالمطعم)")+0.004166666667*SUMIFS(الريسبي!$C$2:$C$1800,الريسبي!$A$2:$A$1800,$A105,الريسبي!$B$2:$B$1800,"عجين كريب صيامي (بدون لبن)")</f>
        <v>0</v>
      </c>
      <c r="AR105" s="117" t="n">
        <f aca="false">SUMIFS(الريسبي!$C$2:$C$1800,الريسبي!$A$2:$A$1800,$A105,الريسبي!$B$2:$B$1800,AR$1)</f>
        <v>0</v>
      </c>
      <c r="AS105" s="117" t="n">
        <f aca="false">SUMIFS(الريسبي!$C$2:$C$1800,الريسبي!$A$2:$A$1800,$A105,الريسبي!$B$2:$B$1800,AS$1)</f>
        <v>0</v>
      </c>
      <c r="AT105" s="117" t="n">
        <f aca="false">SUMIFS(الريسبي!$C$2:$C$1800,الريسبي!$A$2:$A$1800,$A105,الريسبي!$B$2:$B$1800,AT$1)</f>
        <v>0</v>
      </c>
      <c r="AU105" s="117" t="n">
        <f aca="false">SUMIFS(الريسبي!$C$2:$C$1800,الريسبي!$A$2:$A$1800,$A105,الريسبي!$B$2:$B$1800,AU$1)</f>
        <v>0</v>
      </c>
      <c r="AV105" s="117" t="n">
        <f aca="false">SUMIFS(الريسبي!$C$2:$C$1800,الريسبي!$A$2:$A$1800,$A105,الريسبي!$B$2:$B$1800,AV$1)</f>
        <v>0</v>
      </c>
      <c r="AW105" s="117" t="n">
        <f aca="false">SUMIFS(الريسبي!$C$2:$C$1800,الريسبي!$A$2:$A$1800,$A105,الريسبي!$B$2:$B$1800,AW$1)</f>
        <v>0</v>
      </c>
      <c r="AX105" s="117" t="n">
        <f aca="false">SUMIFS(الريسبي!$C$2:$C$1800,الريسبي!$A$2:$A$1800,$A105,الريسبي!$B$2:$B$1800,AX$1)</f>
        <v>0</v>
      </c>
      <c r="AY105" s="117" t="n">
        <f aca="false">SUMIFS(الريسبي!$C$2:$C$1800,الريسبي!$A$2:$A$1800,$A105,الريسبي!$B$2:$B$1800,AY$1)</f>
        <v>0.1</v>
      </c>
      <c r="AZ105" s="117" t="n">
        <f aca="false">SUMIFS(الريسبي!$C$2:$C$1800,الريسبي!$A$2:$A$1800,$A105,الريسبي!$B$2:$B$1800,AZ$1)</f>
        <v>0</v>
      </c>
      <c r="BA105" s="117" t="n">
        <f aca="false">SUMIFS(الريسبي!$C$2:$C$1800,الريسبي!$A$2:$A$1800,$A105,الريسبي!$B$2:$B$1800,BA$1)</f>
        <v>0</v>
      </c>
      <c r="BB105" s="117" t="n">
        <f aca="false">SUMIFS(الريسبي!$C$2:$C$1800,الريسبي!$A$2:$A$1800,$A105,الريسبي!$B$2:$B$1800,BB$1)</f>
        <v>0</v>
      </c>
      <c r="BC105" s="117" t="n">
        <f aca="false">SUMIFS(الريسبي!$C$2:$C$1800,الريسبي!$A$2:$A$1800,$A105,الريسبي!$B$2:$B$1800,BC$1)</f>
        <v>0.03</v>
      </c>
      <c r="BD105" s="117" t="n">
        <f aca="false">SUMIFS(الريسبي!$C$2:$C$1800,الريسبي!$A$2:$A$1800,$A105,الريسبي!$B$2:$B$1800,BD$1)</f>
        <v>0</v>
      </c>
      <c r="BE105" s="117" t="n">
        <f aca="false">SUMIFS(الريسبي!$C$2:$C$1800,الريسبي!$A$2:$A$1800,$A105,الريسبي!$B$2:$B$1800,BE$1)</f>
        <v>1</v>
      </c>
      <c r="BF105" s="117" t="n">
        <f aca="false">SUMIFS(الريسبي!$C$2:$C$1800,الريسبي!$A$2:$A$1800,$A105,الريسبي!$B$2:$B$1800,BF$1)</f>
        <v>0</v>
      </c>
      <c r="BG105" s="117" t="n">
        <f aca="false">SUMIFS(الريسبي!$C$2:$C$1800,الريسبي!$A$2:$A$1800,$A105,الريسبي!$B$2:$B$1800,BG$1)</f>
        <v>0</v>
      </c>
      <c r="BH105" s="117" t="n">
        <f aca="false">SUMIFS(الريسبي!$C$2:$C$1800,الريسبي!$A$2:$A$1800,$A105,الريسبي!$B$2:$B$1800,BH$1)</f>
        <v>1</v>
      </c>
      <c r="BI105" s="117" t="n">
        <f aca="false">SUMIFS(الريسبي!$C$2:$C$1800,الريسبي!$A$2:$A$1800,$A105,الريسبي!$B$2:$B$1800,BI$1)</f>
        <v>0</v>
      </c>
      <c r="BJ105" s="117" t="n">
        <f aca="false">SUMIFS(الريسبي!$C$2:$C$1800,الريسبي!$A$2:$A$1800,$A105,الريسبي!$B$2:$B$1800,BJ$1)</f>
        <v>0</v>
      </c>
      <c r="BK105" s="117" t="n">
        <f aca="false">SUMIFS(الريسبي!$C$2:$C$1800,الريسبي!$A$2:$A$1800,$A105,الريسبي!$B$2:$B$1800,BK$1)</f>
        <v>0</v>
      </c>
      <c r="BL105" s="117" t="n">
        <f aca="false">SUMIFS(الريسبي!$C$2:$C$1800,الريسبي!$A$2:$A$1800,$A105,الريسبي!$B$2:$B$1800,BL$1)</f>
        <v>0</v>
      </c>
      <c r="BM105" s="117" t="n">
        <f aca="false">SUMIFS(الريسبي!$C$2:$C$1800,الريسبي!$A$2:$A$1800,$A105,الريسبي!$B$2:$B$1800,BM$1)</f>
        <v>0.14</v>
      </c>
      <c r="BN105" s="117" t="n">
        <f aca="false">SUMIFS(الريسبي!$C$2:$C$1800,الريسبي!$A$2:$A$1800,$A105,الريسبي!$B$2:$B$1800,BN$1)</f>
        <v>0.02</v>
      </c>
      <c r="BO105" s="117" t="n">
        <f aca="false">SUMIFS(الريسبي!$C$2:$C$1800,الريسبي!$A$2:$A$1800,$A105,الريسبي!$B$2:$B$1800,BO$1)</f>
        <v>0</v>
      </c>
      <c r="BP105" s="117" t="n">
        <f aca="false">SUMIFS(الريسبي!$C$2:$C$1800,الريسبي!$A$2:$A$1800,$A105,الريسبي!$B$2:$B$1800,BP$1)</f>
        <v>2</v>
      </c>
      <c r="BQ105" s="117" t="n">
        <f aca="false">SUMIFS(الريسبي!$C$2:$C$1800,الريسبي!$A$2:$A$1800,$A105,الريسبي!$B$2:$B$1800,BQ$1)+0.17*SUMIFS(الريسبي!$C$2:$C$1800,الريسبي!$A$2:$A$1800,$A105,الريسبي!$B$2:$B$1800,"كاسترد مصنع (خليط بودر + لبن)")+0.17*SUMIFS(الريسبي!$C$2:$C$1800,الريسبي!$A$2:$A$1800,$A105,الريسبي!$B$2:$B$1800,"كاسترد مصنع صيامي (بدون لبن)")</f>
        <v>0</v>
      </c>
      <c r="BR105" s="117" t="n">
        <f aca="false">SUMIFS(الريسبي!$C$2:$C$1800,الريسبي!$A$2:$A$1800,$A105,الريسبي!$B$2:$B$1800,BR$1)</f>
        <v>1</v>
      </c>
      <c r="BS105" s="117" t="n">
        <f aca="false">SUMIFS(الريسبي!$C$2:$C$1800,الريسبي!$A$2:$A$1800,$A105,الريسبي!$B$2:$B$1800,BS$1)</f>
        <v>0</v>
      </c>
      <c r="BT105" s="117" t="n">
        <f aca="false">SUMIFS(الريسبي!$C$2:$C$1800,الريسبي!$A$2:$A$1800,$A105,الريسبي!$B$2:$B$1800,BT$1)</f>
        <v>0</v>
      </c>
      <c r="BU105" s="117" t="n">
        <f aca="false">SUMIFS(الريسبي!$C$2:$C$1800,الريسبي!$A$2:$A$1800,$A105,الريسبي!$B$2:$B$1800,BU$1)+0.4*SUMIFS(الريسبي!$C$2:$C$1800,الريسبي!$A$2:$A$1800,$A105,الريسبي!$B$2:$B$1800,"كاسترد مصنع (خليط بودر + لبن)")+0.03333333333*SUMIFS(الريسبي!$C$2:$C$1800,الريسبي!$A$2:$A$1800,$A105,الريسبي!$B$2:$B$1800,"عجين كريب (مصنع بالمطعم)")</f>
        <v>0</v>
      </c>
      <c r="BV105" s="117" t="n">
        <f aca="false">SUMIFS(الريسبي!$C$2:$C$1800,الريسبي!$A$2:$A$1800,$A105,الريسبي!$B$2:$B$1800,BV$1)</f>
        <v>0</v>
      </c>
      <c r="BW105" s="117" t="n">
        <f aca="false">SUMIFS(الريسبي!$C$2:$C$1800,الريسبي!$A$2:$A$1800,$A105,الريسبي!$B$2:$B$1800,BW$1)</f>
        <v>0</v>
      </c>
      <c r="BX105" s="117" t="n">
        <f aca="false">SUMIFS(الريسبي!$C$2:$C$1800,الريسبي!$A$2:$A$1800,$A105,الريسبي!$B$2:$B$1800,BX$1)</f>
        <v>0</v>
      </c>
      <c r="BY105" s="117" t="n">
        <f aca="false">SUMIFS(الريسبي!$C$2:$C$1800,الريسبي!$A$2:$A$1800,$A105,الريسبي!$B$2:$B$1800,BY$1)</f>
        <v>0</v>
      </c>
      <c r="BZ105" s="117" t="n">
        <f aca="false">SUMIFS(الريسبي!$C$2:$C$1800,الريسبي!$A$2:$A$1800,$A105,الريسبي!$B$2:$B$1800,BZ$1)</f>
        <v>0</v>
      </c>
      <c r="CA105" s="117" t="n">
        <f aca="false">SUMIFS(الريسبي!$C$2:$C$1800,الريسبي!$A$2:$A$1800,$A105,الريسبي!$B$2:$B$1800,CA$1)</f>
        <v>1</v>
      </c>
      <c r="CB105" s="117" t="n">
        <f aca="false">SUMIFS(الريسبي!$C$2:$C$1800,الريسبي!$A$2:$A$1800,$A105,الريسبي!$B$2:$B$1800,CB$1)</f>
        <v>1</v>
      </c>
      <c r="CC105" s="117" t="n">
        <f aca="false">SUMIFS(الريسبي!$C$2:$C$1800,الريسبي!$A$2:$A$1800,$A105,الريسبي!$B$2:$B$1800,CC$1)</f>
        <v>0</v>
      </c>
      <c r="CD105" s="117" t="n">
        <f aca="false">SUMIFS(الريسبي!$C$2:$C$1800,الريسبي!$A$2:$A$1800,$A105,الريسبي!$B$2:$B$1800,CD$1)</f>
        <v>0</v>
      </c>
      <c r="CE105" s="117" t="n">
        <f aca="false">SUMIFS(الريسبي!$C$2:$C$1800,الريسبي!$A$2:$A$1800,$A105,الريسبي!$B$2:$B$1800,CE$1)</f>
        <v>0</v>
      </c>
      <c r="CF105" s="117" t="n">
        <f aca="false">SUMIFS(الريسبي!$C$2:$C$1800,الريسبي!$A$2:$A$1800,$A105,الريسبي!$B$2:$B$1800,CF$1)</f>
        <v>0</v>
      </c>
      <c r="CG105" s="117" t="n">
        <f aca="false">SUMIFS(الريسبي!$C$2:$C$1800,الريسبي!$A$2:$A$1800,$A105,الريسبي!$B$2:$B$1800,CG$1)</f>
        <v>0</v>
      </c>
      <c r="CH105" s="117" t="n">
        <f aca="false">SUMIFS(الريسبي!$C$2:$C$1800,الريسبي!$A$2:$A$1800,$A105,الريسبي!$B$2:$B$1800,CH$1)</f>
        <v>0</v>
      </c>
      <c r="CI105" s="117" t="n">
        <f aca="false">SUMIFS(الريسبي!$C$2:$C$1800,الريسبي!$A$2:$A$1800,$A105,الريسبي!$B$2:$B$1800,CI$1)</f>
        <v>0</v>
      </c>
      <c r="CJ105" s="117" t="n">
        <f aca="false">SUMIFS(الريسبي!$C$2:$C$1800,الريسبي!$A$2:$A$1800,$A105,الريسبي!$B$2:$B$1800,CJ$1)</f>
        <v>0</v>
      </c>
      <c r="CK105" s="117" t="n">
        <f aca="false">SUMIFS(الريسبي!$C$2:$C$1800,الريسبي!$A$2:$A$1800,$A105,الريسبي!$B$2:$B$1800,CK$1)</f>
        <v>0</v>
      </c>
      <c r="CL105" s="117" t="n">
        <f aca="false">SUMIFS(الريسبي!$C$2:$C$1800,الريسبي!$A$2:$A$1800,$A105,الريسبي!$B$2:$B$1800,CL$1)</f>
        <v>0</v>
      </c>
    </row>
    <row r="106" customFormat="false" ht="15" hidden="false" customHeight="false" outlineLevel="0" collapsed="false">
      <c r="A106" s="116" t="str">
        <f aca="false">المنيو!B106</f>
        <v>فطيرة فراخ باربيكيو صيامي مخصوص</v>
      </c>
      <c r="B106" s="117" t="n">
        <f aca="false">SUMIFS(الريسبي!$C$2:$C$1800,الريسبي!$A$2:$A$1800,$A106,الريسبي!$B$2:$B$1800,B$1)</f>
        <v>0</v>
      </c>
      <c r="C106" s="117" t="n">
        <f aca="false">SUMIFS(الريسبي!$C$2:$C$1800,الريسبي!$A$2:$A$1800,$A106,الريسبي!$B$2:$B$1800,C$1)</f>
        <v>0</v>
      </c>
      <c r="D106" s="117" t="n">
        <f aca="false">SUMIFS(الريسبي!$C$2:$C$1800,الريسبي!$A$2:$A$1800,$A106,الريسبي!$B$2:$B$1800,D$1)</f>
        <v>1</v>
      </c>
      <c r="E106" s="117" t="n">
        <f aca="false">SUMIFS(الريسبي!$C$2:$C$1800,الريسبي!$A$2:$A$1800,$A106,الريسبي!$B$2:$B$1800,E$1)</f>
        <v>0</v>
      </c>
      <c r="F106" s="117" t="n">
        <f aca="false">SUMIFS(الريسبي!$C$2:$C$1800,الريسبي!$A$2:$A$1800,$A106,الريسبي!$B$2:$B$1800,F$1)</f>
        <v>0</v>
      </c>
      <c r="G106" s="117" t="n">
        <f aca="false">SUMIFS(الريسبي!$C$2:$C$1800,الريسبي!$A$2:$A$1800,$A106,الريسبي!$B$2:$B$1800,G$1)</f>
        <v>0</v>
      </c>
      <c r="H106" s="117" t="n">
        <f aca="false">SUMIFS(الريسبي!$C$2:$C$1800,الريسبي!$A$2:$A$1800,$A106,الريسبي!$B$2:$B$1800,H$1)</f>
        <v>0</v>
      </c>
      <c r="I106" s="117" t="n">
        <f aca="false">SUMIFS(الريسبي!$C$2:$C$1800,الريسبي!$A$2:$A$1800,$A106,الريسبي!$B$2:$B$1800,I$1)</f>
        <v>0</v>
      </c>
      <c r="J106" s="117" t="n">
        <f aca="false">SUMIFS(الريسبي!$C$2:$C$1800,الريسبي!$A$2:$A$1800,$A106,الريسبي!$B$2:$B$1800,J$1)</f>
        <v>0</v>
      </c>
      <c r="K106" s="117" t="n">
        <f aca="false">SUMIFS(الريسبي!$C$2:$C$1800,الريسبي!$A$2:$A$1800,$A106,الريسبي!$B$2:$B$1800,K$1)</f>
        <v>0</v>
      </c>
      <c r="L106" s="117" t="n">
        <f aca="false">SUMIFS(الريسبي!$C$2:$C$1800,الريسبي!$A$2:$A$1800,$A106,الريسبي!$B$2:$B$1800,L$1)</f>
        <v>0</v>
      </c>
      <c r="M106" s="117" t="n">
        <f aca="false">SUMIFS(الريسبي!$C$2:$C$1800,الريسبي!$A$2:$A$1800,$A106,الريسبي!$B$2:$B$1800,M$1)</f>
        <v>0</v>
      </c>
      <c r="N106" s="117" t="n">
        <f aca="false">SUMIFS(الريسبي!$C$2:$C$1800,الريسبي!$A$2:$A$1800,$A106,الريسبي!$B$2:$B$1800,N$1)</f>
        <v>0</v>
      </c>
      <c r="O106" s="117" t="n">
        <f aca="false">SUMIFS(الريسبي!$C$2:$C$1800,الريسبي!$A$2:$A$1800,$A106,الريسبي!$B$2:$B$1800,O$1)</f>
        <v>0</v>
      </c>
      <c r="P106" s="117" t="n">
        <f aca="false">SUMIFS(الريسبي!$C$2:$C$1800,الريسبي!$A$2:$A$1800,$A106,الريسبي!$B$2:$B$1800,P$1)</f>
        <v>0</v>
      </c>
      <c r="Q106" s="117" t="n">
        <f aca="false">SUMIFS(الريسبي!$C$2:$C$1800,الريسبي!$A$2:$A$1800,$A106,الريسبي!$B$2:$B$1800,Q$1)</f>
        <v>0</v>
      </c>
      <c r="R106" s="117" t="n">
        <f aca="false">SUMIFS(الريسبي!$C$2:$C$1800,الريسبي!$A$2:$A$1800,$A106,الريسبي!$B$2:$B$1800,R$1)</f>
        <v>0</v>
      </c>
      <c r="S106" s="117" t="n">
        <f aca="false">SUMIFS(الريسبي!$C$2:$C$1800,الريسبي!$A$2:$A$1800,$A106,الريسبي!$B$2:$B$1800,S$1)</f>
        <v>0</v>
      </c>
      <c r="T106" s="117" t="n">
        <f aca="false">SUMIFS(الريسبي!$C$2:$C$1800,الريسبي!$A$2:$A$1800,$A106,الريسبي!$B$2:$B$1800,T$1)</f>
        <v>0</v>
      </c>
      <c r="U106" s="117" t="n">
        <f aca="false">SUMIFS(الريسبي!$C$2:$C$1800,الريسبي!$A$2:$A$1800,$A106,الريسبي!$B$2:$B$1800,U$1)</f>
        <v>0</v>
      </c>
      <c r="V106" s="117" t="n">
        <f aca="false">SUMIFS(الريسبي!$C$2:$C$1800,الريسبي!$A$2:$A$1800,$A106,الريسبي!$B$2:$B$1800,V$1)+1.5*(SUMIFS(الريسبي!$C$2:$C$1800,الريسبي!$A$2:$A$1800,$A106,الريسبي!$B$2:$B$1800,"برسيون موتزريلا بيتزا كبير"))</f>
        <v>0</v>
      </c>
      <c r="W106" s="117" t="n">
        <f aca="false">0</f>
        <v>0</v>
      </c>
      <c r="X106" s="117" t="n">
        <f aca="false">SUMIFS(الريسبي!$C$2:$C$1800,الريسبي!$A$2:$A$1800,$A106,الريسبي!$B$2:$B$1800,X$1)+1.5*(SUMIFS(الريسبي!$C$2:$C$1800,الريسبي!$A$2:$A$1800,$A106,الريسبي!$B$2:$B$1800,"برسيون موتزريلا فطير كبير"))</f>
        <v>1.5</v>
      </c>
      <c r="Y106" s="117" t="n">
        <f aca="false">0</f>
        <v>0</v>
      </c>
      <c r="Z106" s="117" t="n">
        <f aca="false">SUMIFS(الريسبي!$C$2:$C$1800,الريسبي!$A$2:$A$1800,$A106,الريسبي!$B$2:$B$1800,Z$1)</f>
        <v>0</v>
      </c>
      <c r="AA106" s="117" t="n">
        <f aca="false">SUMIFS(الريسبي!$C$2:$C$1800,الريسبي!$A$2:$A$1800,$A106,الريسبي!$B$2:$B$1800,AA$1)</f>
        <v>0</v>
      </c>
      <c r="AB106" s="117" t="n">
        <f aca="false">SUMIFS(الريسبي!$C$2:$C$1800,الريسبي!$A$2:$A$1800,$A106,الريسبي!$B$2:$B$1800,AB$1)</f>
        <v>0</v>
      </c>
      <c r="AC106" s="117" t="n">
        <f aca="false">SUMIFS(الريسبي!$C$2:$C$1800,الريسبي!$A$2:$A$1800,$A106,الريسبي!$B$2:$B$1800,AC$1)</f>
        <v>0</v>
      </c>
      <c r="AD106" s="117" t="n">
        <f aca="false">SUMIFS(الريسبي!$C$2:$C$1800,الريسبي!$A$2:$A$1800,$A106,الريسبي!$B$2:$B$1800,AD$1)</f>
        <v>0</v>
      </c>
      <c r="AE106" s="117" t="n">
        <f aca="false">SUMIFS(الريسبي!$C$2:$C$1800,الريسبي!$A$2:$A$1800,$A106,الريسبي!$B$2:$B$1800,AE$1)</f>
        <v>0</v>
      </c>
      <c r="AF106" s="117" t="n">
        <f aca="false">SUMIFS(الريسبي!$C$2:$C$1800,الريسبي!$A$2:$A$1800,$A106,الريسبي!$B$2:$B$1800,AF$1)</f>
        <v>0</v>
      </c>
      <c r="AG106" s="117" t="n">
        <f aca="false">SUMIFS(الريسبي!$C$2:$C$1800,الريسبي!$A$2:$A$1800,$A106,الريسبي!$B$2:$B$1800,AG$1)</f>
        <v>0</v>
      </c>
      <c r="AH106" s="117" t="n">
        <f aca="false">SUMIFS(الريسبي!$C$2:$C$1800,الريسبي!$A$2:$A$1800,$A106,الريسبي!$B$2:$B$1800,AH$1)</f>
        <v>0</v>
      </c>
      <c r="AI106" s="117" t="n">
        <f aca="false">SUMIFS(الريسبي!$C$2:$C$1800,الريسبي!$A$2:$A$1800,$A106,الريسبي!$B$2:$B$1800,AI$1)</f>
        <v>0</v>
      </c>
      <c r="AJ106" s="117" t="n">
        <f aca="false">SUMIFS(الريسبي!$C$2:$C$1800,الريسبي!$A$2:$A$1800,$A106,الريسبي!$B$2:$B$1800,AJ$1)</f>
        <v>2</v>
      </c>
      <c r="AK106" s="117" t="n">
        <f aca="false">SUMIFS(الريسبي!$C$2:$C$1800,الريسبي!$A$2:$A$1800,$A106,الريسبي!$B$2:$B$1800,AK$1)</f>
        <v>0</v>
      </c>
      <c r="AL106" s="117" t="n">
        <f aca="false">SUMIFS(الريسبي!$C$2:$C$1800,الريسبي!$A$2:$A$1800,$A106,الريسبي!$B$2:$B$1800,AL$1)</f>
        <v>0</v>
      </c>
      <c r="AM106" s="117" t="n">
        <f aca="false">SUMIFS(الريسبي!$C$2:$C$1800,الريسبي!$A$2:$A$1800,$A106,الريسبي!$B$2:$B$1800,AM$1)+0.08333333333*SUMIFS(الريسبي!$C$2:$C$1800,الريسبي!$A$2:$A$1800,$A106,الريسبي!$B$2:$B$1800,"عجين كريب (مصنع بالمطعم)")+0.08333333333*SUMIFS(الريسبي!$C$2:$C$1800,الريسبي!$A$2:$A$1800,$A106,الريسبي!$B$2:$B$1800,"عجين كريب صيامي (بدون لبن)")</f>
        <v>0</v>
      </c>
      <c r="AN106" s="117" t="n">
        <f aca="false">SUMIFS(الريسبي!$C$2:$C$1800,الريسبي!$A$2:$A$1800,$A106,الريسبي!$B$2:$B$1800,AN$1)+0.004166666667*SUMIFS(الريسبي!$C$2:$C$1800,الريسبي!$A$2:$A$1800,$A106,الريسبي!$B$2:$B$1800,"عجين كريب (مصنع بالمطعم)")+0.004166666667*SUMIFS(الريسبي!$C$2:$C$1800,الريسبي!$A$2:$A$1800,$A106,الريسبي!$B$2:$B$1800,"عجين كريب صيامي (بدون لبن)")</f>
        <v>0</v>
      </c>
      <c r="AO106" s="117" t="n">
        <f aca="false">SUMIFS(الريسبي!$C$2:$C$1800,الريسبي!$A$2:$A$1800,$A106,الريسبي!$B$2:$B$1800,AO$1)</f>
        <v>0</v>
      </c>
      <c r="AP106" s="117" t="n">
        <f aca="false">SUMIFS(الريسبي!$C$2:$C$1800,الريسبي!$A$2:$A$1800,$A106,الريسبي!$B$2:$B$1800,AP$1)</f>
        <v>0.03</v>
      </c>
      <c r="AQ106" s="117" t="n">
        <f aca="false">SUMIFS(الريسبي!$C$2:$C$1800,الريسبي!$A$2:$A$1800,$A106,الريسبي!$B$2:$B$1800,AQ$1)+0.004166666667*SUMIFS(الريسبي!$C$2:$C$1800,الريسبي!$A$2:$A$1800,$A106,الريسبي!$B$2:$B$1800,"عجين كريب (مصنع بالمطعم)")+0.004166666667*SUMIFS(الريسبي!$C$2:$C$1800,الريسبي!$A$2:$A$1800,$A106,الريسبي!$B$2:$B$1800,"عجين كريب صيامي (بدون لبن)")</f>
        <v>0</v>
      </c>
      <c r="AR106" s="117" t="n">
        <f aca="false">SUMIFS(الريسبي!$C$2:$C$1800,الريسبي!$A$2:$A$1800,$A106,الريسبي!$B$2:$B$1800,AR$1)</f>
        <v>0</v>
      </c>
      <c r="AS106" s="117" t="n">
        <f aca="false">SUMIFS(الريسبي!$C$2:$C$1800,الريسبي!$A$2:$A$1800,$A106,الريسبي!$B$2:$B$1800,AS$1)</f>
        <v>0</v>
      </c>
      <c r="AT106" s="117" t="n">
        <f aca="false">SUMIFS(الريسبي!$C$2:$C$1800,الريسبي!$A$2:$A$1800,$A106,الريسبي!$B$2:$B$1800,AT$1)</f>
        <v>0</v>
      </c>
      <c r="AU106" s="117" t="n">
        <f aca="false">SUMIFS(الريسبي!$C$2:$C$1800,الريسبي!$A$2:$A$1800,$A106,الريسبي!$B$2:$B$1800,AU$1)</f>
        <v>0</v>
      </c>
      <c r="AV106" s="117" t="n">
        <f aca="false">SUMIFS(الريسبي!$C$2:$C$1800,الريسبي!$A$2:$A$1800,$A106,الريسبي!$B$2:$B$1800,AV$1)</f>
        <v>0</v>
      </c>
      <c r="AW106" s="117" t="n">
        <f aca="false">SUMIFS(الريسبي!$C$2:$C$1800,الريسبي!$A$2:$A$1800,$A106,الريسبي!$B$2:$B$1800,AW$1)</f>
        <v>0</v>
      </c>
      <c r="AX106" s="117" t="n">
        <f aca="false">SUMIFS(الريسبي!$C$2:$C$1800,الريسبي!$A$2:$A$1800,$A106,الريسبي!$B$2:$B$1800,AX$1)</f>
        <v>0</v>
      </c>
      <c r="AY106" s="117" t="n">
        <f aca="false">SUMIFS(الريسبي!$C$2:$C$1800,الريسبي!$A$2:$A$1800,$A106,الريسبي!$B$2:$B$1800,AY$1)</f>
        <v>0.15</v>
      </c>
      <c r="AZ106" s="117" t="n">
        <f aca="false">SUMIFS(الريسبي!$C$2:$C$1800,الريسبي!$A$2:$A$1800,$A106,الريسبي!$B$2:$B$1800,AZ$1)</f>
        <v>0</v>
      </c>
      <c r="BA106" s="117" t="n">
        <f aca="false">SUMIFS(الريسبي!$C$2:$C$1800,الريسبي!$A$2:$A$1800,$A106,الريسبي!$B$2:$B$1800,BA$1)</f>
        <v>0</v>
      </c>
      <c r="BB106" s="117" t="n">
        <f aca="false">SUMIFS(الريسبي!$C$2:$C$1800,الريسبي!$A$2:$A$1800,$A106,الريسبي!$B$2:$B$1800,BB$1)</f>
        <v>0</v>
      </c>
      <c r="BC106" s="117" t="n">
        <f aca="false">SUMIFS(الريسبي!$C$2:$C$1800,الريسبي!$A$2:$A$1800,$A106,الريسبي!$B$2:$B$1800,BC$1)</f>
        <v>0.045</v>
      </c>
      <c r="BD106" s="117" t="n">
        <f aca="false">SUMIFS(الريسبي!$C$2:$C$1800,الريسبي!$A$2:$A$1800,$A106,الريسبي!$B$2:$B$1800,BD$1)</f>
        <v>0</v>
      </c>
      <c r="BE106" s="117" t="n">
        <f aca="false">SUMIFS(الريسبي!$C$2:$C$1800,الريسبي!$A$2:$A$1800,$A106,الريسبي!$B$2:$B$1800,BE$1)</f>
        <v>1.5</v>
      </c>
      <c r="BF106" s="117" t="n">
        <f aca="false">SUMIFS(الريسبي!$C$2:$C$1800,الريسبي!$A$2:$A$1800,$A106,الريسبي!$B$2:$B$1800,BF$1)</f>
        <v>0</v>
      </c>
      <c r="BG106" s="117" t="n">
        <f aca="false">SUMIFS(الريسبي!$C$2:$C$1800,الريسبي!$A$2:$A$1800,$A106,الريسبي!$B$2:$B$1800,BG$1)</f>
        <v>1</v>
      </c>
      <c r="BH106" s="117" t="n">
        <f aca="false">SUMIFS(الريسبي!$C$2:$C$1800,الريسبي!$A$2:$A$1800,$A106,الريسبي!$B$2:$B$1800,BH$1)</f>
        <v>0</v>
      </c>
      <c r="BI106" s="117" t="n">
        <f aca="false">SUMIFS(الريسبي!$C$2:$C$1800,الريسبي!$A$2:$A$1800,$A106,الريسبي!$B$2:$B$1800,BI$1)</f>
        <v>0</v>
      </c>
      <c r="BJ106" s="117" t="n">
        <f aca="false">SUMIFS(الريسبي!$C$2:$C$1800,الريسبي!$A$2:$A$1800,$A106,الريسبي!$B$2:$B$1800,BJ$1)</f>
        <v>0</v>
      </c>
      <c r="BK106" s="117" t="n">
        <f aca="false">SUMIFS(الريسبي!$C$2:$C$1800,الريسبي!$A$2:$A$1800,$A106,الريسبي!$B$2:$B$1800,BK$1)</f>
        <v>0</v>
      </c>
      <c r="BL106" s="117" t="n">
        <f aca="false">SUMIFS(الريسبي!$C$2:$C$1800,الريسبي!$A$2:$A$1800,$A106,الريسبي!$B$2:$B$1800,BL$1)</f>
        <v>0</v>
      </c>
      <c r="BM106" s="117" t="n">
        <f aca="false">SUMIFS(الريسبي!$C$2:$C$1800,الريسبي!$A$2:$A$1800,$A106,الريسبي!$B$2:$B$1800,BM$1)</f>
        <v>0.21</v>
      </c>
      <c r="BN106" s="117" t="n">
        <f aca="false">SUMIFS(الريسبي!$C$2:$C$1800,الريسبي!$A$2:$A$1800,$A106,الريسبي!$B$2:$B$1800,BN$1)</f>
        <v>0.03</v>
      </c>
      <c r="BO106" s="117" t="n">
        <f aca="false">SUMIFS(الريسبي!$C$2:$C$1800,الريسبي!$A$2:$A$1800,$A106,الريسبي!$B$2:$B$1800,BO$1)</f>
        <v>0</v>
      </c>
      <c r="BP106" s="117" t="n">
        <f aca="false">SUMIFS(الريسبي!$C$2:$C$1800,الريسبي!$A$2:$A$1800,$A106,الريسبي!$B$2:$B$1800,BP$1)</f>
        <v>3</v>
      </c>
      <c r="BQ106" s="117" t="n">
        <f aca="false">SUMIFS(الريسبي!$C$2:$C$1800,الريسبي!$A$2:$A$1800,$A106,الريسبي!$B$2:$B$1800,BQ$1)+0.17*SUMIFS(الريسبي!$C$2:$C$1800,الريسبي!$A$2:$A$1800,$A106,الريسبي!$B$2:$B$1800,"كاسترد مصنع (خليط بودر + لبن)")+0.17*SUMIFS(الريسبي!$C$2:$C$1800,الريسبي!$A$2:$A$1800,$A106,الريسبي!$B$2:$B$1800,"كاسترد مصنع صيامي (بدون لبن)")</f>
        <v>0</v>
      </c>
      <c r="BR106" s="117" t="n">
        <f aca="false">SUMIFS(الريسبي!$C$2:$C$1800,الريسبي!$A$2:$A$1800,$A106,الريسبي!$B$2:$B$1800,BR$1)</f>
        <v>1</v>
      </c>
      <c r="BS106" s="117" t="n">
        <f aca="false">SUMIFS(الريسبي!$C$2:$C$1800,الريسبي!$A$2:$A$1800,$A106,الريسبي!$B$2:$B$1800,BS$1)</f>
        <v>0</v>
      </c>
      <c r="BT106" s="117" t="n">
        <f aca="false">SUMIFS(الريسبي!$C$2:$C$1800,الريسبي!$A$2:$A$1800,$A106,الريسبي!$B$2:$B$1800,BT$1)</f>
        <v>0</v>
      </c>
      <c r="BU106" s="117" t="n">
        <f aca="false">SUMIFS(الريسبي!$C$2:$C$1800,الريسبي!$A$2:$A$1800,$A106,الريسبي!$B$2:$B$1800,BU$1)+0.4*SUMIFS(الريسبي!$C$2:$C$1800,الريسبي!$A$2:$A$1800,$A106,الريسبي!$B$2:$B$1800,"كاسترد مصنع (خليط بودر + لبن)")+0.03333333333*SUMIFS(الريسبي!$C$2:$C$1800,الريسبي!$A$2:$A$1800,$A106,الريسبي!$B$2:$B$1800,"عجين كريب (مصنع بالمطعم)")</f>
        <v>0</v>
      </c>
      <c r="BV106" s="117" t="n">
        <f aca="false">SUMIFS(الريسبي!$C$2:$C$1800,الريسبي!$A$2:$A$1800,$A106,الريسبي!$B$2:$B$1800,BV$1)</f>
        <v>0</v>
      </c>
      <c r="BW106" s="117" t="n">
        <f aca="false">SUMIFS(الريسبي!$C$2:$C$1800,الريسبي!$A$2:$A$1800,$A106,الريسبي!$B$2:$B$1800,BW$1)</f>
        <v>0</v>
      </c>
      <c r="BX106" s="117" t="n">
        <f aca="false">SUMIFS(الريسبي!$C$2:$C$1800,الريسبي!$A$2:$A$1800,$A106,الريسبي!$B$2:$B$1800,BX$1)</f>
        <v>0</v>
      </c>
      <c r="BY106" s="117" t="n">
        <f aca="false">SUMIFS(الريسبي!$C$2:$C$1800,الريسبي!$A$2:$A$1800,$A106,الريسبي!$B$2:$B$1800,BY$1)</f>
        <v>0</v>
      </c>
      <c r="BZ106" s="117" t="n">
        <f aca="false">SUMIFS(الريسبي!$C$2:$C$1800,الريسبي!$A$2:$A$1800,$A106,الريسبي!$B$2:$B$1800,BZ$1)</f>
        <v>0</v>
      </c>
      <c r="CA106" s="117" t="n">
        <f aca="false">SUMIFS(الريسبي!$C$2:$C$1800,الريسبي!$A$2:$A$1800,$A106,الريسبي!$B$2:$B$1800,CA$1)</f>
        <v>1</v>
      </c>
      <c r="CB106" s="117" t="n">
        <f aca="false">SUMIFS(الريسبي!$C$2:$C$1800,الريسبي!$A$2:$A$1800,$A106,الريسبي!$B$2:$B$1800,CB$1)</f>
        <v>1</v>
      </c>
      <c r="CC106" s="117" t="n">
        <f aca="false">SUMIFS(الريسبي!$C$2:$C$1800,الريسبي!$A$2:$A$1800,$A106,الريسبي!$B$2:$B$1800,CC$1)</f>
        <v>0</v>
      </c>
      <c r="CD106" s="117" t="n">
        <f aca="false">SUMIFS(الريسبي!$C$2:$C$1800,الريسبي!$A$2:$A$1800,$A106,الريسبي!$B$2:$B$1800,CD$1)</f>
        <v>0</v>
      </c>
      <c r="CE106" s="117" t="n">
        <f aca="false">SUMIFS(الريسبي!$C$2:$C$1800,الريسبي!$A$2:$A$1800,$A106,الريسبي!$B$2:$B$1800,CE$1)</f>
        <v>0</v>
      </c>
      <c r="CF106" s="117" t="n">
        <f aca="false">SUMIFS(الريسبي!$C$2:$C$1800,الريسبي!$A$2:$A$1800,$A106,الريسبي!$B$2:$B$1800,CF$1)</f>
        <v>0</v>
      </c>
      <c r="CG106" s="117" t="n">
        <f aca="false">SUMIFS(الريسبي!$C$2:$C$1800,الريسبي!$A$2:$A$1800,$A106,الريسبي!$B$2:$B$1800,CG$1)</f>
        <v>0</v>
      </c>
      <c r="CH106" s="117" t="n">
        <f aca="false">SUMIFS(الريسبي!$C$2:$C$1800,الريسبي!$A$2:$A$1800,$A106,الريسبي!$B$2:$B$1800,CH$1)</f>
        <v>0</v>
      </c>
      <c r="CI106" s="117" t="n">
        <f aca="false">SUMIFS(الريسبي!$C$2:$C$1800,الريسبي!$A$2:$A$1800,$A106,الريسبي!$B$2:$B$1800,CI$1)</f>
        <v>0</v>
      </c>
      <c r="CJ106" s="117" t="n">
        <f aca="false">SUMIFS(الريسبي!$C$2:$C$1800,الريسبي!$A$2:$A$1800,$A106,الريسبي!$B$2:$B$1800,CJ$1)</f>
        <v>0</v>
      </c>
      <c r="CK106" s="117" t="n">
        <f aca="false">SUMIFS(الريسبي!$C$2:$C$1800,الريسبي!$A$2:$A$1800,$A106,الريسبي!$B$2:$B$1800,CK$1)</f>
        <v>0</v>
      </c>
      <c r="CL106" s="117" t="n">
        <f aca="false">SUMIFS(الريسبي!$C$2:$C$1800,الريسبي!$A$2:$A$1800,$A106,الريسبي!$B$2:$B$1800,CL$1)</f>
        <v>0</v>
      </c>
    </row>
    <row r="107" customFormat="false" ht="15" hidden="false" customHeight="false" outlineLevel="0" collapsed="false">
      <c r="A107" s="116" t="str">
        <f aca="false">المنيو!B107</f>
        <v>فطيرة جمبري صيامي وسط</v>
      </c>
      <c r="B107" s="117" t="n">
        <f aca="false">SUMIFS(الريسبي!$C$2:$C$1800,الريسبي!$A$2:$A$1800,$A107,الريسبي!$B$2:$B$1800,B$1)</f>
        <v>0</v>
      </c>
      <c r="C107" s="117" t="n">
        <f aca="false">SUMIFS(الريسبي!$C$2:$C$1800,الريسبي!$A$2:$A$1800,$A107,الريسبي!$B$2:$B$1800,C$1)</f>
        <v>0</v>
      </c>
      <c r="D107" s="117" t="n">
        <f aca="false">SUMIFS(الريسبي!$C$2:$C$1800,الريسبي!$A$2:$A$1800,$A107,الريسبي!$B$2:$B$1800,D$1)</f>
        <v>1</v>
      </c>
      <c r="E107" s="117" t="n">
        <f aca="false">SUMIFS(الريسبي!$C$2:$C$1800,الريسبي!$A$2:$A$1800,$A107,الريسبي!$B$2:$B$1800,E$1)</f>
        <v>0</v>
      </c>
      <c r="F107" s="117" t="n">
        <f aca="false">SUMIFS(الريسبي!$C$2:$C$1800,الريسبي!$A$2:$A$1800,$A107,الريسبي!$B$2:$B$1800,F$1)</f>
        <v>0</v>
      </c>
      <c r="G107" s="117" t="n">
        <f aca="false">SUMIFS(الريسبي!$C$2:$C$1800,الريسبي!$A$2:$A$1800,$A107,الريسبي!$B$2:$B$1800,G$1)</f>
        <v>0</v>
      </c>
      <c r="H107" s="117" t="n">
        <f aca="false">SUMIFS(الريسبي!$C$2:$C$1800,الريسبي!$A$2:$A$1800,$A107,الريسبي!$B$2:$B$1800,H$1)</f>
        <v>0</v>
      </c>
      <c r="I107" s="117" t="n">
        <f aca="false">SUMIFS(الريسبي!$C$2:$C$1800,الريسبي!$A$2:$A$1800,$A107,الريسبي!$B$2:$B$1800,I$1)</f>
        <v>0</v>
      </c>
      <c r="J107" s="117" t="n">
        <f aca="false">SUMIFS(الريسبي!$C$2:$C$1800,الريسبي!$A$2:$A$1800,$A107,الريسبي!$B$2:$B$1800,J$1)</f>
        <v>0</v>
      </c>
      <c r="K107" s="117" t="n">
        <f aca="false">SUMIFS(الريسبي!$C$2:$C$1800,الريسبي!$A$2:$A$1800,$A107,الريسبي!$B$2:$B$1800,K$1)</f>
        <v>1</v>
      </c>
      <c r="L107" s="117" t="n">
        <f aca="false">SUMIFS(الريسبي!$C$2:$C$1800,الريسبي!$A$2:$A$1800,$A107,الريسبي!$B$2:$B$1800,L$1)</f>
        <v>0</v>
      </c>
      <c r="M107" s="117" t="n">
        <f aca="false">SUMIFS(الريسبي!$C$2:$C$1800,الريسبي!$A$2:$A$1800,$A107,الريسبي!$B$2:$B$1800,M$1)</f>
        <v>0</v>
      </c>
      <c r="N107" s="117" t="n">
        <f aca="false">SUMIFS(الريسبي!$C$2:$C$1800,الريسبي!$A$2:$A$1800,$A107,الريسبي!$B$2:$B$1800,N$1)</f>
        <v>0</v>
      </c>
      <c r="O107" s="117" t="n">
        <f aca="false">SUMIFS(الريسبي!$C$2:$C$1800,الريسبي!$A$2:$A$1800,$A107,الريسبي!$B$2:$B$1800,O$1)</f>
        <v>0</v>
      </c>
      <c r="P107" s="117" t="n">
        <f aca="false">SUMIFS(الريسبي!$C$2:$C$1800,الريسبي!$A$2:$A$1800,$A107,الريسبي!$B$2:$B$1800,P$1)</f>
        <v>0</v>
      </c>
      <c r="Q107" s="117" t="n">
        <f aca="false">SUMIFS(الريسبي!$C$2:$C$1800,الريسبي!$A$2:$A$1800,$A107,الريسبي!$B$2:$B$1800,Q$1)</f>
        <v>0</v>
      </c>
      <c r="R107" s="117" t="n">
        <f aca="false">SUMIFS(الريسبي!$C$2:$C$1800,الريسبي!$A$2:$A$1800,$A107,الريسبي!$B$2:$B$1800,R$1)</f>
        <v>0</v>
      </c>
      <c r="S107" s="117" t="n">
        <f aca="false">SUMIFS(الريسبي!$C$2:$C$1800,الريسبي!$A$2:$A$1800,$A107,الريسبي!$B$2:$B$1800,S$1)</f>
        <v>0</v>
      </c>
      <c r="T107" s="117" t="n">
        <f aca="false">SUMIFS(الريسبي!$C$2:$C$1800,الريسبي!$A$2:$A$1800,$A107,الريسبي!$B$2:$B$1800,T$1)</f>
        <v>0</v>
      </c>
      <c r="U107" s="117" t="n">
        <f aca="false">SUMIFS(الريسبي!$C$2:$C$1800,الريسبي!$A$2:$A$1800,$A107,الريسبي!$B$2:$B$1800,U$1)</f>
        <v>0</v>
      </c>
      <c r="V107" s="117" t="n">
        <f aca="false">SUMIFS(الريسبي!$C$2:$C$1800,الريسبي!$A$2:$A$1800,$A107,الريسبي!$B$2:$B$1800,V$1)+1.5*(SUMIFS(الريسبي!$C$2:$C$1800,الريسبي!$A$2:$A$1800,$A107,الريسبي!$B$2:$B$1800,"برسيون موتزريلا بيتزا كبير"))</f>
        <v>0</v>
      </c>
      <c r="W107" s="117" t="n">
        <f aca="false">0</f>
        <v>0</v>
      </c>
      <c r="X107" s="117" t="n">
        <f aca="false">SUMIFS(الريسبي!$C$2:$C$1800,الريسبي!$A$2:$A$1800,$A107,الريسبي!$B$2:$B$1800,X$1)+1.5*(SUMIFS(الريسبي!$C$2:$C$1800,الريسبي!$A$2:$A$1800,$A107,الريسبي!$B$2:$B$1800,"برسيون موتزريلا فطير كبير"))</f>
        <v>1</v>
      </c>
      <c r="Y107" s="117" t="n">
        <f aca="false">0</f>
        <v>0</v>
      </c>
      <c r="Z107" s="117" t="n">
        <f aca="false">SUMIFS(الريسبي!$C$2:$C$1800,الريسبي!$A$2:$A$1800,$A107,الريسبي!$B$2:$B$1800,Z$1)</f>
        <v>0</v>
      </c>
      <c r="AA107" s="117" t="n">
        <f aca="false">SUMIFS(الريسبي!$C$2:$C$1800,الريسبي!$A$2:$A$1800,$A107,الريسبي!$B$2:$B$1800,AA$1)</f>
        <v>0</v>
      </c>
      <c r="AB107" s="117" t="n">
        <f aca="false">SUMIFS(الريسبي!$C$2:$C$1800,الريسبي!$A$2:$A$1800,$A107,الريسبي!$B$2:$B$1800,AB$1)</f>
        <v>0</v>
      </c>
      <c r="AC107" s="117" t="n">
        <f aca="false">SUMIFS(الريسبي!$C$2:$C$1800,الريسبي!$A$2:$A$1800,$A107,الريسبي!$B$2:$B$1800,AC$1)</f>
        <v>0</v>
      </c>
      <c r="AD107" s="117" t="n">
        <f aca="false">SUMIFS(الريسبي!$C$2:$C$1800,الريسبي!$A$2:$A$1800,$A107,الريسبي!$B$2:$B$1800,AD$1)</f>
        <v>0</v>
      </c>
      <c r="AE107" s="117" t="n">
        <f aca="false">SUMIFS(الريسبي!$C$2:$C$1800,الريسبي!$A$2:$A$1800,$A107,الريسبي!$B$2:$B$1800,AE$1)</f>
        <v>0</v>
      </c>
      <c r="AF107" s="117" t="n">
        <f aca="false">SUMIFS(الريسبي!$C$2:$C$1800,الريسبي!$A$2:$A$1800,$A107,الريسبي!$B$2:$B$1800,AF$1)</f>
        <v>0</v>
      </c>
      <c r="AG107" s="117" t="n">
        <f aca="false">SUMIFS(الريسبي!$C$2:$C$1800,الريسبي!$A$2:$A$1800,$A107,الريسبي!$B$2:$B$1800,AG$1)</f>
        <v>0</v>
      </c>
      <c r="AH107" s="117" t="n">
        <f aca="false">SUMIFS(الريسبي!$C$2:$C$1800,الريسبي!$A$2:$A$1800,$A107,الريسبي!$B$2:$B$1800,AH$1)</f>
        <v>0</v>
      </c>
      <c r="AI107" s="117" t="n">
        <f aca="false">SUMIFS(الريسبي!$C$2:$C$1800,الريسبي!$A$2:$A$1800,$A107,الريسبي!$B$2:$B$1800,AI$1)</f>
        <v>0</v>
      </c>
      <c r="AJ107" s="117" t="n">
        <f aca="false">SUMIFS(الريسبي!$C$2:$C$1800,الريسبي!$A$2:$A$1800,$A107,الريسبي!$B$2:$B$1800,AJ$1)</f>
        <v>2</v>
      </c>
      <c r="AK107" s="117" t="n">
        <f aca="false">SUMIFS(الريسبي!$C$2:$C$1800,الريسبي!$A$2:$A$1800,$A107,الريسبي!$B$2:$B$1800,AK$1)</f>
        <v>0</v>
      </c>
      <c r="AL107" s="117" t="n">
        <f aca="false">SUMIFS(الريسبي!$C$2:$C$1800,الريسبي!$A$2:$A$1800,$A107,الريسبي!$B$2:$B$1800,AL$1)</f>
        <v>0</v>
      </c>
      <c r="AM107" s="117" t="n">
        <f aca="false">SUMIFS(الريسبي!$C$2:$C$1800,الريسبي!$A$2:$A$1800,$A107,الريسبي!$B$2:$B$1800,AM$1)+0.08333333333*SUMIFS(الريسبي!$C$2:$C$1800,الريسبي!$A$2:$A$1800,$A107,الريسبي!$B$2:$B$1800,"عجين كريب (مصنع بالمطعم)")+0.08333333333*SUMIFS(الريسبي!$C$2:$C$1800,الريسبي!$A$2:$A$1800,$A107,الريسبي!$B$2:$B$1800,"عجين كريب صيامي (بدون لبن)")</f>
        <v>0</v>
      </c>
      <c r="AN107" s="117" t="n">
        <f aca="false">SUMIFS(الريسبي!$C$2:$C$1800,الريسبي!$A$2:$A$1800,$A107,الريسبي!$B$2:$B$1800,AN$1)+0.004166666667*SUMIFS(الريسبي!$C$2:$C$1800,الريسبي!$A$2:$A$1800,$A107,الريسبي!$B$2:$B$1800,"عجين كريب (مصنع بالمطعم)")+0.004166666667*SUMIFS(الريسبي!$C$2:$C$1800,الريسبي!$A$2:$A$1800,$A107,الريسبي!$B$2:$B$1800,"عجين كريب صيامي (بدون لبن)")</f>
        <v>0</v>
      </c>
      <c r="AO107" s="117" t="n">
        <f aca="false">SUMIFS(الريسبي!$C$2:$C$1800,الريسبي!$A$2:$A$1800,$A107,الريسبي!$B$2:$B$1800,AO$1)</f>
        <v>0</v>
      </c>
      <c r="AP107" s="117" t="n">
        <f aca="false">SUMIFS(الريسبي!$C$2:$C$1800,الريسبي!$A$2:$A$1800,$A107,الريسبي!$B$2:$B$1800,AP$1)</f>
        <v>0.02</v>
      </c>
      <c r="AQ107" s="117" t="n">
        <f aca="false">SUMIFS(الريسبي!$C$2:$C$1800,الريسبي!$A$2:$A$1800,$A107,الريسبي!$B$2:$B$1800,AQ$1)+0.004166666667*SUMIFS(الريسبي!$C$2:$C$1800,الريسبي!$A$2:$A$1800,$A107,الريسبي!$B$2:$B$1800,"عجين كريب (مصنع بالمطعم)")+0.004166666667*SUMIFS(الريسبي!$C$2:$C$1800,الريسبي!$A$2:$A$1800,$A107,الريسبي!$B$2:$B$1800,"عجين كريب صيامي (بدون لبن)")</f>
        <v>0</v>
      </c>
      <c r="AR107" s="117" t="n">
        <f aca="false">SUMIFS(الريسبي!$C$2:$C$1800,الريسبي!$A$2:$A$1800,$A107,الريسبي!$B$2:$B$1800,AR$1)</f>
        <v>0</v>
      </c>
      <c r="AS107" s="117" t="n">
        <f aca="false">SUMIFS(الريسبي!$C$2:$C$1800,الريسبي!$A$2:$A$1800,$A107,الريسبي!$B$2:$B$1800,AS$1)</f>
        <v>0</v>
      </c>
      <c r="AT107" s="117" t="n">
        <f aca="false">SUMIFS(الريسبي!$C$2:$C$1800,الريسبي!$A$2:$A$1800,$A107,الريسبي!$B$2:$B$1800,AT$1)</f>
        <v>0</v>
      </c>
      <c r="AU107" s="117" t="n">
        <f aca="false">SUMIFS(الريسبي!$C$2:$C$1800,الريسبي!$A$2:$A$1800,$A107,الريسبي!$B$2:$B$1800,AU$1)</f>
        <v>0</v>
      </c>
      <c r="AV107" s="117" t="n">
        <f aca="false">SUMIFS(الريسبي!$C$2:$C$1800,الريسبي!$A$2:$A$1800,$A107,الريسبي!$B$2:$B$1800,AV$1)</f>
        <v>0</v>
      </c>
      <c r="AW107" s="117" t="n">
        <f aca="false">SUMIFS(الريسبي!$C$2:$C$1800,الريسبي!$A$2:$A$1800,$A107,الريسبي!$B$2:$B$1800,AW$1)</f>
        <v>0</v>
      </c>
      <c r="AX107" s="117" t="n">
        <f aca="false">SUMIFS(الريسبي!$C$2:$C$1800,الريسبي!$A$2:$A$1800,$A107,الريسبي!$B$2:$B$1800,AX$1)</f>
        <v>0</v>
      </c>
      <c r="AY107" s="117" t="n">
        <f aca="false">SUMIFS(الريسبي!$C$2:$C$1800,الريسبي!$A$2:$A$1800,$A107,الريسبي!$B$2:$B$1800,AY$1)</f>
        <v>0</v>
      </c>
      <c r="AZ107" s="117" t="n">
        <f aca="false">SUMIFS(الريسبي!$C$2:$C$1800,الريسبي!$A$2:$A$1800,$A107,الريسبي!$B$2:$B$1800,AZ$1)</f>
        <v>0</v>
      </c>
      <c r="BA107" s="117" t="n">
        <f aca="false">SUMIFS(الريسبي!$C$2:$C$1800,الريسبي!$A$2:$A$1800,$A107,الريسبي!$B$2:$B$1800,BA$1)</f>
        <v>0</v>
      </c>
      <c r="BB107" s="117" t="n">
        <f aca="false">SUMIFS(الريسبي!$C$2:$C$1800,الريسبي!$A$2:$A$1800,$A107,الريسبي!$B$2:$B$1800,BB$1)</f>
        <v>0</v>
      </c>
      <c r="BC107" s="117" t="n">
        <f aca="false">SUMIFS(الريسبي!$C$2:$C$1800,الريسبي!$A$2:$A$1800,$A107,الريسبي!$B$2:$B$1800,BC$1)</f>
        <v>0.03</v>
      </c>
      <c r="BD107" s="117" t="n">
        <f aca="false">SUMIFS(الريسبي!$C$2:$C$1800,الريسبي!$A$2:$A$1800,$A107,الريسبي!$B$2:$B$1800,BD$1)</f>
        <v>0</v>
      </c>
      <c r="BE107" s="117" t="n">
        <f aca="false">SUMIFS(الريسبي!$C$2:$C$1800,الريسبي!$A$2:$A$1800,$A107,الريسبي!$B$2:$B$1800,BE$1)</f>
        <v>1</v>
      </c>
      <c r="BF107" s="117" t="n">
        <f aca="false">SUMIFS(الريسبي!$C$2:$C$1800,الريسبي!$A$2:$A$1800,$A107,الريسبي!$B$2:$B$1800,BF$1)</f>
        <v>0</v>
      </c>
      <c r="BG107" s="117" t="n">
        <f aca="false">SUMIFS(الريسبي!$C$2:$C$1800,الريسبي!$A$2:$A$1800,$A107,الريسبي!$B$2:$B$1800,BG$1)</f>
        <v>0</v>
      </c>
      <c r="BH107" s="117" t="n">
        <f aca="false">SUMIFS(الريسبي!$C$2:$C$1800,الريسبي!$A$2:$A$1800,$A107,الريسبي!$B$2:$B$1800,BH$1)</f>
        <v>1</v>
      </c>
      <c r="BI107" s="117" t="n">
        <f aca="false">SUMIFS(الريسبي!$C$2:$C$1800,الريسبي!$A$2:$A$1800,$A107,الريسبي!$B$2:$B$1800,BI$1)</f>
        <v>0</v>
      </c>
      <c r="BJ107" s="117" t="n">
        <f aca="false">SUMIFS(الريسبي!$C$2:$C$1800,الريسبي!$A$2:$A$1800,$A107,الريسبي!$B$2:$B$1800,BJ$1)</f>
        <v>0</v>
      </c>
      <c r="BK107" s="117" t="n">
        <f aca="false">SUMIFS(الريسبي!$C$2:$C$1800,الريسبي!$A$2:$A$1800,$A107,الريسبي!$B$2:$B$1800,BK$1)</f>
        <v>0</v>
      </c>
      <c r="BL107" s="117" t="n">
        <f aca="false">SUMIFS(الريسبي!$C$2:$C$1800,الريسبي!$A$2:$A$1800,$A107,الريسبي!$B$2:$B$1800,BL$1)</f>
        <v>0</v>
      </c>
      <c r="BM107" s="117" t="n">
        <f aca="false">SUMIFS(الريسبي!$C$2:$C$1800,الريسبي!$A$2:$A$1800,$A107,الريسبي!$B$2:$B$1800,BM$1)</f>
        <v>0</v>
      </c>
      <c r="BN107" s="117" t="n">
        <f aca="false">SUMIFS(الريسبي!$C$2:$C$1800,الريسبي!$A$2:$A$1800,$A107,الريسبي!$B$2:$B$1800,BN$1)</f>
        <v>0.02</v>
      </c>
      <c r="BO107" s="117" t="n">
        <f aca="false">SUMIFS(الريسبي!$C$2:$C$1800,الريسبي!$A$2:$A$1800,$A107,الريسبي!$B$2:$B$1800,BO$1)</f>
        <v>0</v>
      </c>
      <c r="BP107" s="117" t="n">
        <f aca="false">SUMIFS(الريسبي!$C$2:$C$1800,الريسبي!$A$2:$A$1800,$A107,الريسبي!$B$2:$B$1800,BP$1)</f>
        <v>2</v>
      </c>
      <c r="BQ107" s="117" t="n">
        <f aca="false">SUMIFS(الريسبي!$C$2:$C$1800,الريسبي!$A$2:$A$1800,$A107,الريسبي!$B$2:$B$1800,BQ$1)+0.17*SUMIFS(الريسبي!$C$2:$C$1800,الريسبي!$A$2:$A$1800,$A107,الريسبي!$B$2:$B$1800,"كاسترد مصنع (خليط بودر + لبن)")+0.17*SUMIFS(الريسبي!$C$2:$C$1800,الريسبي!$A$2:$A$1800,$A107,الريسبي!$B$2:$B$1800,"كاسترد مصنع صيامي (بدون لبن)")</f>
        <v>0</v>
      </c>
      <c r="BR107" s="117" t="n">
        <f aca="false">SUMIFS(الريسبي!$C$2:$C$1800,الريسبي!$A$2:$A$1800,$A107,الريسبي!$B$2:$B$1800,BR$1)</f>
        <v>1</v>
      </c>
      <c r="BS107" s="117" t="n">
        <f aca="false">SUMIFS(الريسبي!$C$2:$C$1800,الريسبي!$A$2:$A$1800,$A107,الريسبي!$B$2:$B$1800,BS$1)</f>
        <v>0</v>
      </c>
      <c r="BT107" s="117" t="n">
        <f aca="false">SUMIFS(الريسبي!$C$2:$C$1800,الريسبي!$A$2:$A$1800,$A107,الريسبي!$B$2:$B$1800,BT$1)</f>
        <v>0</v>
      </c>
      <c r="BU107" s="117" t="n">
        <f aca="false">SUMIFS(الريسبي!$C$2:$C$1800,الريسبي!$A$2:$A$1800,$A107,الريسبي!$B$2:$B$1800,BU$1)+0.4*SUMIFS(الريسبي!$C$2:$C$1800,الريسبي!$A$2:$A$1800,$A107,الريسبي!$B$2:$B$1800,"كاسترد مصنع (خليط بودر + لبن)")+0.03333333333*SUMIFS(الريسبي!$C$2:$C$1800,الريسبي!$A$2:$A$1800,$A107,الريسبي!$B$2:$B$1800,"عجين كريب (مصنع بالمطعم)")</f>
        <v>0</v>
      </c>
      <c r="BV107" s="117" t="n">
        <f aca="false">SUMIFS(الريسبي!$C$2:$C$1800,الريسبي!$A$2:$A$1800,$A107,الريسبي!$B$2:$B$1800,BV$1)</f>
        <v>0</v>
      </c>
      <c r="BW107" s="117" t="n">
        <f aca="false">SUMIFS(الريسبي!$C$2:$C$1800,الريسبي!$A$2:$A$1800,$A107,الريسبي!$B$2:$B$1800,BW$1)</f>
        <v>0</v>
      </c>
      <c r="BX107" s="117" t="n">
        <f aca="false">SUMIFS(الريسبي!$C$2:$C$1800,الريسبي!$A$2:$A$1800,$A107,الريسبي!$B$2:$B$1800,BX$1)</f>
        <v>0</v>
      </c>
      <c r="BY107" s="117" t="n">
        <f aca="false">SUMIFS(الريسبي!$C$2:$C$1800,الريسبي!$A$2:$A$1800,$A107,الريسبي!$B$2:$B$1800,BY$1)</f>
        <v>0</v>
      </c>
      <c r="BZ107" s="117" t="n">
        <f aca="false">SUMIFS(الريسبي!$C$2:$C$1800,الريسبي!$A$2:$A$1800,$A107,الريسبي!$B$2:$B$1800,BZ$1)</f>
        <v>0</v>
      </c>
      <c r="CA107" s="117" t="n">
        <f aca="false">SUMIFS(الريسبي!$C$2:$C$1800,الريسبي!$A$2:$A$1800,$A107,الريسبي!$B$2:$B$1800,CA$1)</f>
        <v>1</v>
      </c>
      <c r="CB107" s="117" t="n">
        <f aca="false">SUMIFS(الريسبي!$C$2:$C$1800,الريسبي!$A$2:$A$1800,$A107,الريسبي!$B$2:$B$1800,CB$1)</f>
        <v>1</v>
      </c>
      <c r="CC107" s="117" t="n">
        <f aca="false">SUMIFS(الريسبي!$C$2:$C$1800,الريسبي!$A$2:$A$1800,$A107,الريسبي!$B$2:$B$1800,CC$1)</f>
        <v>0</v>
      </c>
      <c r="CD107" s="117" t="n">
        <f aca="false">SUMIFS(الريسبي!$C$2:$C$1800,الريسبي!$A$2:$A$1800,$A107,الريسبي!$B$2:$B$1800,CD$1)</f>
        <v>0</v>
      </c>
      <c r="CE107" s="117" t="n">
        <f aca="false">SUMIFS(الريسبي!$C$2:$C$1800,الريسبي!$A$2:$A$1800,$A107,الريسبي!$B$2:$B$1800,CE$1)</f>
        <v>0</v>
      </c>
      <c r="CF107" s="117" t="n">
        <f aca="false">SUMIFS(الريسبي!$C$2:$C$1800,الريسبي!$A$2:$A$1800,$A107,الريسبي!$B$2:$B$1800,CF$1)</f>
        <v>0</v>
      </c>
      <c r="CG107" s="117" t="n">
        <f aca="false">SUMIFS(الريسبي!$C$2:$C$1800,الريسبي!$A$2:$A$1800,$A107,الريسبي!$B$2:$B$1800,CG$1)</f>
        <v>0</v>
      </c>
      <c r="CH107" s="117" t="n">
        <f aca="false">SUMIFS(الريسبي!$C$2:$C$1800,الريسبي!$A$2:$A$1800,$A107,الريسبي!$B$2:$B$1800,CH$1)</f>
        <v>0</v>
      </c>
      <c r="CI107" s="117" t="n">
        <f aca="false">SUMIFS(الريسبي!$C$2:$C$1800,الريسبي!$A$2:$A$1800,$A107,الريسبي!$B$2:$B$1800,CI$1)</f>
        <v>0</v>
      </c>
      <c r="CJ107" s="117" t="n">
        <f aca="false">SUMIFS(الريسبي!$C$2:$C$1800,الريسبي!$A$2:$A$1800,$A107,الريسبي!$B$2:$B$1800,CJ$1)</f>
        <v>0</v>
      </c>
      <c r="CK107" s="117" t="n">
        <f aca="false">SUMIFS(الريسبي!$C$2:$C$1800,الريسبي!$A$2:$A$1800,$A107,الريسبي!$B$2:$B$1800,CK$1)</f>
        <v>0</v>
      </c>
      <c r="CL107" s="117" t="n">
        <f aca="false">SUMIFS(الريسبي!$C$2:$C$1800,الريسبي!$A$2:$A$1800,$A107,الريسبي!$B$2:$B$1800,CL$1)</f>
        <v>0</v>
      </c>
    </row>
    <row r="108" customFormat="false" ht="15" hidden="false" customHeight="false" outlineLevel="0" collapsed="false">
      <c r="A108" s="116" t="str">
        <f aca="false">المنيو!B108</f>
        <v>فطيرة جمبري صيامي مخصوص</v>
      </c>
      <c r="B108" s="117" t="n">
        <f aca="false">SUMIFS(الريسبي!$C$2:$C$1800,الريسبي!$A$2:$A$1800,$A108,الريسبي!$B$2:$B$1800,B$1)</f>
        <v>0</v>
      </c>
      <c r="C108" s="117" t="n">
        <f aca="false">SUMIFS(الريسبي!$C$2:$C$1800,الريسبي!$A$2:$A$1800,$A108,الريسبي!$B$2:$B$1800,C$1)</f>
        <v>0</v>
      </c>
      <c r="D108" s="117" t="n">
        <f aca="false">SUMIFS(الريسبي!$C$2:$C$1800,الريسبي!$A$2:$A$1800,$A108,الريسبي!$B$2:$B$1800,D$1)</f>
        <v>1</v>
      </c>
      <c r="E108" s="117" t="n">
        <f aca="false">SUMIFS(الريسبي!$C$2:$C$1800,الريسبي!$A$2:$A$1800,$A108,الريسبي!$B$2:$B$1800,E$1)</f>
        <v>0</v>
      </c>
      <c r="F108" s="117" t="n">
        <f aca="false">SUMIFS(الريسبي!$C$2:$C$1800,الريسبي!$A$2:$A$1800,$A108,الريسبي!$B$2:$B$1800,F$1)</f>
        <v>0</v>
      </c>
      <c r="G108" s="117" t="n">
        <f aca="false">SUMIFS(الريسبي!$C$2:$C$1800,الريسبي!$A$2:$A$1800,$A108,الريسبي!$B$2:$B$1800,G$1)</f>
        <v>0</v>
      </c>
      <c r="H108" s="117" t="n">
        <f aca="false">SUMIFS(الريسبي!$C$2:$C$1800,الريسبي!$A$2:$A$1800,$A108,الريسبي!$B$2:$B$1800,H$1)</f>
        <v>0</v>
      </c>
      <c r="I108" s="117" t="n">
        <f aca="false">SUMIFS(الريسبي!$C$2:$C$1800,الريسبي!$A$2:$A$1800,$A108,الريسبي!$B$2:$B$1800,I$1)</f>
        <v>0</v>
      </c>
      <c r="J108" s="117" t="n">
        <f aca="false">SUMIFS(الريسبي!$C$2:$C$1800,الريسبي!$A$2:$A$1800,$A108,الريسبي!$B$2:$B$1800,J$1)</f>
        <v>0</v>
      </c>
      <c r="K108" s="117" t="n">
        <f aca="false">SUMIFS(الريسبي!$C$2:$C$1800,الريسبي!$A$2:$A$1800,$A108,الريسبي!$B$2:$B$1800,K$1)</f>
        <v>1.5</v>
      </c>
      <c r="L108" s="117" t="n">
        <f aca="false">SUMIFS(الريسبي!$C$2:$C$1800,الريسبي!$A$2:$A$1800,$A108,الريسبي!$B$2:$B$1800,L$1)</f>
        <v>0</v>
      </c>
      <c r="M108" s="117" t="n">
        <f aca="false">SUMIFS(الريسبي!$C$2:$C$1800,الريسبي!$A$2:$A$1800,$A108,الريسبي!$B$2:$B$1800,M$1)</f>
        <v>0</v>
      </c>
      <c r="N108" s="117" t="n">
        <f aca="false">SUMIFS(الريسبي!$C$2:$C$1800,الريسبي!$A$2:$A$1800,$A108,الريسبي!$B$2:$B$1800,N$1)</f>
        <v>0</v>
      </c>
      <c r="O108" s="117" t="n">
        <f aca="false">SUMIFS(الريسبي!$C$2:$C$1800,الريسبي!$A$2:$A$1800,$A108,الريسبي!$B$2:$B$1800,O$1)</f>
        <v>0</v>
      </c>
      <c r="P108" s="117" t="n">
        <f aca="false">SUMIFS(الريسبي!$C$2:$C$1800,الريسبي!$A$2:$A$1800,$A108,الريسبي!$B$2:$B$1800,P$1)</f>
        <v>0</v>
      </c>
      <c r="Q108" s="117" t="n">
        <f aca="false">SUMIFS(الريسبي!$C$2:$C$1800,الريسبي!$A$2:$A$1800,$A108,الريسبي!$B$2:$B$1800,Q$1)</f>
        <v>0</v>
      </c>
      <c r="R108" s="117" t="n">
        <f aca="false">SUMIFS(الريسبي!$C$2:$C$1800,الريسبي!$A$2:$A$1800,$A108,الريسبي!$B$2:$B$1800,R$1)</f>
        <v>0</v>
      </c>
      <c r="S108" s="117" t="n">
        <f aca="false">SUMIFS(الريسبي!$C$2:$C$1800,الريسبي!$A$2:$A$1800,$A108,الريسبي!$B$2:$B$1800,S$1)</f>
        <v>0</v>
      </c>
      <c r="T108" s="117" t="n">
        <f aca="false">SUMIFS(الريسبي!$C$2:$C$1800,الريسبي!$A$2:$A$1800,$A108,الريسبي!$B$2:$B$1800,T$1)</f>
        <v>0</v>
      </c>
      <c r="U108" s="117" t="n">
        <f aca="false">SUMIFS(الريسبي!$C$2:$C$1800,الريسبي!$A$2:$A$1800,$A108,الريسبي!$B$2:$B$1800,U$1)</f>
        <v>0</v>
      </c>
      <c r="V108" s="117" t="n">
        <f aca="false">SUMIFS(الريسبي!$C$2:$C$1800,الريسبي!$A$2:$A$1800,$A108,الريسبي!$B$2:$B$1800,V$1)+1.5*(SUMIFS(الريسبي!$C$2:$C$1800,الريسبي!$A$2:$A$1800,$A108,الريسبي!$B$2:$B$1800,"برسيون موتزريلا بيتزا كبير"))</f>
        <v>0</v>
      </c>
      <c r="W108" s="117" t="n">
        <f aca="false">0</f>
        <v>0</v>
      </c>
      <c r="X108" s="117" t="n">
        <f aca="false">SUMIFS(الريسبي!$C$2:$C$1800,الريسبي!$A$2:$A$1800,$A108,الريسبي!$B$2:$B$1800,X$1)+1.5*(SUMIFS(الريسبي!$C$2:$C$1800,الريسبي!$A$2:$A$1800,$A108,الريسبي!$B$2:$B$1800,"برسيون موتزريلا فطير كبير"))</f>
        <v>1.5</v>
      </c>
      <c r="Y108" s="117" t="n">
        <f aca="false">0</f>
        <v>0</v>
      </c>
      <c r="Z108" s="117" t="n">
        <f aca="false">SUMIFS(الريسبي!$C$2:$C$1800,الريسبي!$A$2:$A$1800,$A108,الريسبي!$B$2:$B$1800,Z$1)</f>
        <v>0</v>
      </c>
      <c r="AA108" s="117" t="n">
        <f aca="false">SUMIFS(الريسبي!$C$2:$C$1800,الريسبي!$A$2:$A$1800,$A108,الريسبي!$B$2:$B$1800,AA$1)</f>
        <v>0</v>
      </c>
      <c r="AB108" s="117" t="n">
        <f aca="false">SUMIFS(الريسبي!$C$2:$C$1800,الريسبي!$A$2:$A$1800,$A108,الريسبي!$B$2:$B$1800,AB$1)</f>
        <v>0</v>
      </c>
      <c r="AC108" s="117" t="n">
        <f aca="false">SUMIFS(الريسبي!$C$2:$C$1800,الريسبي!$A$2:$A$1800,$A108,الريسبي!$B$2:$B$1800,AC$1)</f>
        <v>0</v>
      </c>
      <c r="AD108" s="117" t="n">
        <f aca="false">SUMIFS(الريسبي!$C$2:$C$1800,الريسبي!$A$2:$A$1800,$A108,الريسبي!$B$2:$B$1800,AD$1)</f>
        <v>0</v>
      </c>
      <c r="AE108" s="117" t="n">
        <f aca="false">SUMIFS(الريسبي!$C$2:$C$1800,الريسبي!$A$2:$A$1800,$A108,الريسبي!$B$2:$B$1800,AE$1)</f>
        <v>0</v>
      </c>
      <c r="AF108" s="117" t="n">
        <f aca="false">SUMIFS(الريسبي!$C$2:$C$1800,الريسبي!$A$2:$A$1800,$A108,الريسبي!$B$2:$B$1800,AF$1)</f>
        <v>0</v>
      </c>
      <c r="AG108" s="117" t="n">
        <f aca="false">SUMIFS(الريسبي!$C$2:$C$1800,الريسبي!$A$2:$A$1800,$A108,الريسبي!$B$2:$B$1800,AG$1)</f>
        <v>0</v>
      </c>
      <c r="AH108" s="117" t="n">
        <f aca="false">SUMIFS(الريسبي!$C$2:$C$1800,الريسبي!$A$2:$A$1800,$A108,الريسبي!$B$2:$B$1800,AH$1)</f>
        <v>0</v>
      </c>
      <c r="AI108" s="117" t="n">
        <f aca="false">SUMIFS(الريسبي!$C$2:$C$1800,الريسبي!$A$2:$A$1800,$A108,الريسبي!$B$2:$B$1800,AI$1)</f>
        <v>0</v>
      </c>
      <c r="AJ108" s="117" t="n">
        <f aca="false">SUMIFS(الريسبي!$C$2:$C$1800,الريسبي!$A$2:$A$1800,$A108,الريسبي!$B$2:$B$1800,AJ$1)</f>
        <v>2</v>
      </c>
      <c r="AK108" s="117" t="n">
        <f aca="false">SUMIFS(الريسبي!$C$2:$C$1800,الريسبي!$A$2:$A$1800,$A108,الريسبي!$B$2:$B$1800,AK$1)</f>
        <v>0</v>
      </c>
      <c r="AL108" s="117" t="n">
        <f aca="false">SUMIFS(الريسبي!$C$2:$C$1800,الريسبي!$A$2:$A$1800,$A108,الريسبي!$B$2:$B$1800,AL$1)</f>
        <v>0</v>
      </c>
      <c r="AM108" s="117" t="n">
        <f aca="false">SUMIFS(الريسبي!$C$2:$C$1800,الريسبي!$A$2:$A$1800,$A108,الريسبي!$B$2:$B$1800,AM$1)+0.08333333333*SUMIFS(الريسبي!$C$2:$C$1800,الريسبي!$A$2:$A$1800,$A108,الريسبي!$B$2:$B$1800,"عجين كريب (مصنع بالمطعم)")+0.08333333333*SUMIFS(الريسبي!$C$2:$C$1800,الريسبي!$A$2:$A$1800,$A108,الريسبي!$B$2:$B$1800,"عجين كريب صيامي (بدون لبن)")</f>
        <v>0</v>
      </c>
      <c r="AN108" s="117" t="n">
        <f aca="false">SUMIFS(الريسبي!$C$2:$C$1800,الريسبي!$A$2:$A$1800,$A108,الريسبي!$B$2:$B$1800,AN$1)+0.004166666667*SUMIFS(الريسبي!$C$2:$C$1800,الريسبي!$A$2:$A$1800,$A108,الريسبي!$B$2:$B$1800,"عجين كريب (مصنع بالمطعم)")+0.004166666667*SUMIFS(الريسبي!$C$2:$C$1800,الريسبي!$A$2:$A$1800,$A108,الريسبي!$B$2:$B$1800,"عجين كريب صيامي (بدون لبن)")</f>
        <v>0</v>
      </c>
      <c r="AO108" s="117" t="n">
        <f aca="false">SUMIFS(الريسبي!$C$2:$C$1800,الريسبي!$A$2:$A$1800,$A108,الريسبي!$B$2:$B$1800,AO$1)</f>
        <v>0</v>
      </c>
      <c r="AP108" s="117" t="n">
        <f aca="false">SUMIFS(الريسبي!$C$2:$C$1800,الريسبي!$A$2:$A$1800,$A108,الريسبي!$B$2:$B$1800,AP$1)</f>
        <v>0.03</v>
      </c>
      <c r="AQ108" s="117" t="n">
        <f aca="false">SUMIFS(الريسبي!$C$2:$C$1800,الريسبي!$A$2:$A$1800,$A108,الريسبي!$B$2:$B$1800,AQ$1)+0.004166666667*SUMIFS(الريسبي!$C$2:$C$1800,الريسبي!$A$2:$A$1800,$A108,الريسبي!$B$2:$B$1800,"عجين كريب (مصنع بالمطعم)")+0.004166666667*SUMIFS(الريسبي!$C$2:$C$1800,الريسبي!$A$2:$A$1800,$A108,الريسبي!$B$2:$B$1800,"عجين كريب صيامي (بدون لبن)")</f>
        <v>0</v>
      </c>
      <c r="AR108" s="117" t="n">
        <f aca="false">SUMIFS(الريسبي!$C$2:$C$1800,الريسبي!$A$2:$A$1800,$A108,الريسبي!$B$2:$B$1800,AR$1)</f>
        <v>0</v>
      </c>
      <c r="AS108" s="117" t="n">
        <f aca="false">SUMIFS(الريسبي!$C$2:$C$1800,الريسبي!$A$2:$A$1800,$A108,الريسبي!$B$2:$B$1800,AS$1)</f>
        <v>0</v>
      </c>
      <c r="AT108" s="117" t="n">
        <f aca="false">SUMIFS(الريسبي!$C$2:$C$1800,الريسبي!$A$2:$A$1800,$A108,الريسبي!$B$2:$B$1800,AT$1)</f>
        <v>0</v>
      </c>
      <c r="AU108" s="117" t="n">
        <f aca="false">SUMIFS(الريسبي!$C$2:$C$1800,الريسبي!$A$2:$A$1800,$A108,الريسبي!$B$2:$B$1800,AU$1)</f>
        <v>0</v>
      </c>
      <c r="AV108" s="117" t="n">
        <f aca="false">SUMIFS(الريسبي!$C$2:$C$1800,الريسبي!$A$2:$A$1800,$A108,الريسبي!$B$2:$B$1800,AV$1)</f>
        <v>0</v>
      </c>
      <c r="AW108" s="117" t="n">
        <f aca="false">SUMIFS(الريسبي!$C$2:$C$1800,الريسبي!$A$2:$A$1800,$A108,الريسبي!$B$2:$B$1800,AW$1)</f>
        <v>0</v>
      </c>
      <c r="AX108" s="117" t="n">
        <f aca="false">SUMIFS(الريسبي!$C$2:$C$1800,الريسبي!$A$2:$A$1800,$A108,الريسبي!$B$2:$B$1800,AX$1)</f>
        <v>0</v>
      </c>
      <c r="AY108" s="117" t="n">
        <f aca="false">SUMIFS(الريسبي!$C$2:$C$1800,الريسبي!$A$2:$A$1800,$A108,الريسبي!$B$2:$B$1800,AY$1)</f>
        <v>0</v>
      </c>
      <c r="AZ108" s="117" t="n">
        <f aca="false">SUMIFS(الريسبي!$C$2:$C$1800,الريسبي!$A$2:$A$1800,$A108,الريسبي!$B$2:$B$1800,AZ$1)</f>
        <v>0</v>
      </c>
      <c r="BA108" s="117" t="n">
        <f aca="false">SUMIFS(الريسبي!$C$2:$C$1800,الريسبي!$A$2:$A$1800,$A108,الريسبي!$B$2:$B$1800,BA$1)</f>
        <v>0</v>
      </c>
      <c r="BB108" s="117" t="n">
        <f aca="false">SUMIFS(الريسبي!$C$2:$C$1800,الريسبي!$A$2:$A$1800,$A108,الريسبي!$B$2:$B$1800,BB$1)</f>
        <v>0</v>
      </c>
      <c r="BC108" s="117" t="n">
        <f aca="false">SUMIFS(الريسبي!$C$2:$C$1800,الريسبي!$A$2:$A$1800,$A108,الريسبي!$B$2:$B$1800,BC$1)</f>
        <v>0.045</v>
      </c>
      <c r="BD108" s="117" t="n">
        <f aca="false">SUMIFS(الريسبي!$C$2:$C$1800,الريسبي!$A$2:$A$1800,$A108,الريسبي!$B$2:$B$1800,BD$1)</f>
        <v>0</v>
      </c>
      <c r="BE108" s="117" t="n">
        <f aca="false">SUMIFS(الريسبي!$C$2:$C$1800,الريسبي!$A$2:$A$1800,$A108,الريسبي!$B$2:$B$1800,BE$1)</f>
        <v>1.5</v>
      </c>
      <c r="BF108" s="117" t="n">
        <f aca="false">SUMIFS(الريسبي!$C$2:$C$1800,الريسبي!$A$2:$A$1800,$A108,الريسبي!$B$2:$B$1800,BF$1)</f>
        <v>0</v>
      </c>
      <c r="BG108" s="117" t="n">
        <f aca="false">SUMIFS(الريسبي!$C$2:$C$1800,الريسبي!$A$2:$A$1800,$A108,الريسبي!$B$2:$B$1800,BG$1)</f>
        <v>1</v>
      </c>
      <c r="BH108" s="117" t="n">
        <f aca="false">SUMIFS(الريسبي!$C$2:$C$1800,الريسبي!$A$2:$A$1800,$A108,الريسبي!$B$2:$B$1800,BH$1)</f>
        <v>0</v>
      </c>
      <c r="BI108" s="117" t="n">
        <f aca="false">SUMIFS(الريسبي!$C$2:$C$1800,الريسبي!$A$2:$A$1800,$A108,الريسبي!$B$2:$B$1800,BI$1)</f>
        <v>0</v>
      </c>
      <c r="BJ108" s="117" t="n">
        <f aca="false">SUMIFS(الريسبي!$C$2:$C$1800,الريسبي!$A$2:$A$1800,$A108,الريسبي!$B$2:$B$1800,BJ$1)</f>
        <v>0</v>
      </c>
      <c r="BK108" s="117" t="n">
        <f aca="false">SUMIFS(الريسبي!$C$2:$C$1800,الريسبي!$A$2:$A$1800,$A108,الريسبي!$B$2:$B$1800,BK$1)</f>
        <v>0</v>
      </c>
      <c r="BL108" s="117" t="n">
        <f aca="false">SUMIFS(الريسبي!$C$2:$C$1800,الريسبي!$A$2:$A$1800,$A108,الريسبي!$B$2:$B$1800,BL$1)</f>
        <v>0</v>
      </c>
      <c r="BM108" s="117" t="n">
        <f aca="false">SUMIFS(الريسبي!$C$2:$C$1800,الريسبي!$A$2:$A$1800,$A108,الريسبي!$B$2:$B$1800,BM$1)</f>
        <v>0</v>
      </c>
      <c r="BN108" s="117" t="n">
        <f aca="false">SUMIFS(الريسبي!$C$2:$C$1800,الريسبي!$A$2:$A$1800,$A108,الريسبي!$B$2:$B$1800,BN$1)</f>
        <v>0.03</v>
      </c>
      <c r="BO108" s="117" t="n">
        <f aca="false">SUMIFS(الريسبي!$C$2:$C$1800,الريسبي!$A$2:$A$1800,$A108,الريسبي!$B$2:$B$1800,BO$1)</f>
        <v>0</v>
      </c>
      <c r="BP108" s="117" t="n">
        <f aca="false">SUMIFS(الريسبي!$C$2:$C$1800,الريسبي!$A$2:$A$1800,$A108,الريسبي!$B$2:$B$1800,BP$1)</f>
        <v>3</v>
      </c>
      <c r="BQ108" s="117" t="n">
        <f aca="false">SUMIFS(الريسبي!$C$2:$C$1800,الريسبي!$A$2:$A$1800,$A108,الريسبي!$B$2:$B$1800,BQ$1)+0.17*SUMIFS(الريسبي!$C$2:$C$1800,الريسبي!$A$2:$A$1800,$A108,الريسبي!$B$2:$B$1800,"كاسترد مصنع (خليط بودر + لبن)")+0.17*SUMIFS(الريسبي!$C$2:$C$1800,الريسبي!$A$2:$A$1800,$A108,الريسبي!$B$2:$B$1800,"كاسترد مصنع صيامي (بدون لبن)")</f>
        <v>0</v>
      </c>
      <c r="BR108" s="117" t="n">
        <f aca="false">SUMIFS(الريسبي!$C$2:$C$1800,الريسبي!$A$2:$A$1800,$A108,الريسبي!$B$2:$B$1800,BR$1)</f>
        <v>1</v>
      </c>
      <c r="BS108" s="117" t="n">
        <f aca="false">SUMIFS(الريسبي!$C$2:$C$1800,الريسبي!$A$2:$A$1800,$A108,الريسبي!$B$2:$B$1800,BS$1)</f>
        <v>0</v>
      </c>
      <c r="BT108" s="117" t="n">
        <f aca="false">SUMIFS(الريسبي!$C$2:$C$1800,الريسبي!$A$2:$A$1800,$A108,الريسبي!$B$2:$B$1800,BT$1)</f>
        <v>0</v>
      </c>
      <c r="BU108" s="117" t="n">
        <f aca="false">SUMIFS(الريسبي!$C$2:$C$1800,الريسبي!$A$2:$A$1800,$A108,الريسبي!$B$2:$B$1800,BU$1)+0.4*SUMIFS(الريسبي!$C$2:$C$1800,الريسبي!$A$2:$A$1800,$A108,الريسبي!$B$2:$B$1800,"كاسترد مصنع (خليط بودر + لبن)")+0.03333333333*SUMIFS(الريسبي!$C$2:$C$1800,الريسبي!$A$2:$A$1800,$A108,الريسبي!$B$2:$B$1800,"عجين كريب (مصنع بالمطعم)")</f>
        <v>0</v>
      </c>
      <c r="BV108" s="117" t="n">
        <f aca="false">SUMIFS(الريسبي!$C$2:$C$1800,الريسبي!$A$2:$A$1800,$A108,الريسبي!$B$2:$B$1800,BV$1)</f>
        <v>0</v>
      </c>
      <c r="BW108" s="117" t="n">
        <f aca="false">SUMIFS(الريسبي!$C$2:$C$1800,الريسبي!$A$2:$A$1800,$A108,الريسبي!$B$2:$B$1800,BW$1)</f>
        <v>0</v>
      </c>
      <c r="BX108" s="117" t="n">
        <f aca="false">SUMIFS(الريسبي!$C$2:$C$1800,الريسبي!$A$2:$A$1800,$A108,الريسبي!$B$2:$B$1800,BX$1)</f>
        <v>0</v>
      </c>
      <c r="BY108" s="117" t="n">
        <f aca="false">SUMIFS(الريسبي!$C$2:$C$1800,الريسبي!$A$2:$A$1800,$A108,الريسبي!$B$2:$B$1800,BY$1)</f>
        <v>0</v>
      </c>
      <c r="BZ108" s="117" t="n">
        <f aca="false">SUMIFS(الريسبي!$C$2:$C$1800,الريسبي!$A$2:$A$1800,$A108,الريسبي!$B$2:$B$1800,BZ$1)</f>
        <v>0</v>
      </c>
      <c r="CA108" s="117" t="n">
        <f aca="false">SUMIFS(الريسبي!$C$2:$C$1800,الريسبي!$A$2:$A$1800,$A108,الريسبي!$B$2:$B$1800,CA$1)</f>
        <v>1</v>
      </c>
      <c r="CB108" s="117" t="n">
        <f aca="false">SUMIFS(الريسبي!$C$2:$C$1800,الريسبي!$A$2:$A$1800,$A108,الريسبي!$B$2:$B$1800,CB$1)</f>
        <v>1</v>
      </c>
      <c r="CC108" s="117" t="n">
        <f aca="false">SUMIFS(الريسبي!$C$2:$C$1800,الريسبي!$A$2:$A$1800,$A108,الريسبي!$B$2:$B$1800,CC$1)</f>
        <v>0</v>
      </c>
      <c r="CD108" s="117" t="n">
        <f aca="false">SUMIFS(الريسبي!$C$2:$C$1800,الريسبي!$A$2:$A$1800,$A108,الريسبي!$B$2:$B$1800,CD$1)</f>
        <v>0</v>
      </c>
      <c r="CE108" s="117" t="n">
        <f aca="false">SUMIFS(الريسبي!$C$2:$C$1800,الريسبي!$A$2:$A$1800,$A108,الريسبي!$B$2:$B$1800,CE$1)</f>
        <v>0</v>
      </c>
      <c r="CF108" s="117" t="n">
        <f aca="false">SUMIFS(الريسبي!$C$2:$C$1800,الريسبي!$A$2:$A$1800,$A108,الريسبي!$B$2:$B$1800,CF$1)</f>
        <v>0</v>
      </c>
      <c r="CG108" s="117" t="n">
        <f aca="false">SUMIFS(الريسبي!$C$2:$C$1800,الريسبي!$A$2:$A$1800,$A108,الريسبي!$B$2:$B$1800,CG$1)</f>
        <v>0</v>
      </c>
      <c r="CH108" s="117" t="n">
        <f aca="false">SUMIFS(الريسبي!$C$2:$C$1800,الريسبي!$A$2:$A$1800,$A108,الريسبي!$B$2:$B$1800,CH$1)</f>
        <v>0</v>
      </c>
      <c r="CI108" s="117" t="n">
        <f aca="false">SUMIFS(الريسبي!$C$2:$C$1800,الريسبي!$A$2:$A$1800,$A108,الريسبي!$B$2:$B$1800,CI$1)</f>
        <v>0</v>
      </c>
      <c r="CJ108" s="117" t="n">
        <f aca="false">SUMIFS(الريسبي!$C$2:$C$1800,الريسبي!$A$2:$A$1800,$A108,الريسبي!$B$2:$B$1800,CJ$1)</f>
        <v>0</v>
      </c>
      <c r="CK108" s="117" t="n">
        <f aca="false">SUMIFS(الريسبي!$C$2:$C$1800,الريسبي!$A$2:$A$1800,$A108,الريسبي!$B$2:$B$1800,CK$1)</f>
        <v>0</v>
      </c>
      <c r="CL108" s="117" t="n">
        <f aca="false">SUMIFS(الريسبي!$C$2:$C$1800,الريسبي!$A$2:$A$1800,$A108,الريسبي!$B$2:$B$1800,CL$1)</f>
        <v>0</v>
      </c>
    </row>
    <row r="109" customFormat="false" ht="15" hidden="false" customHeight="false" outlineLevel="0" collapsed="false">
      <c r="A109" s="116" t="str">
        <f aca="false">المنيو!B109</f>
        <v>فطيرة تونة صيامي وسط</v>
      </c>
      <c r="B109" s="117" t="n">
        <f aca="false">SUMIFS(الريسبي!$C$2:$C$1800,الريسبي!$A$2:$A$1800,$A109,الريسبي!$B$2:$B$1800,B$1)</f>
        <v>0</v>
      </c>
      <c r="C109" s="117" t="n">
        <f aca="false">SUMIFS(الريسبي!$C$2:$C$1800,الريسبي!$A$2:$A$1800,$A109,الريسبي!$B$2:$B$1800,C$1)</f>
        <v>0</v>
      </c>
      <c r="D109" s="117" t="n">
        <f aca="false">SUMIFS(الريسبي!$C$2:$C$1800,الريسبي!$A$2:$A$1800,$A109,الريسبي!$B$2:$B$1800,D$1)</f>
        <v>1</v>
      </c>
      <c r="E109" s="117" t="n">
        <f aca="false">SUMIFS(الريسبي!$C$2:$C$1800,الريسبي!$A$2:$A$1800,$A109,الريسبي!$B$2:$B$1800,E$1)</f>
        <v>0</v>
      </c>
      <c r="F109" s="117" t="n">
        <f aca="false">SUMIFS(الريسبي!$C$2:$C$1800,الريسبي!$A$2:$A$1800,$A109,الريسبي!$B$2:$B$1800,F$1)</f>
        <v>0</v>
      </c>
      <c r="G109" s="117" t="n">
        <f aca="false">SUMIFS(الريسبي!$C$2:$C$1800,الريسبي!$A$2:$A$1800,$A109,الريسبي!$B$2:$B$1800,G$1)</f>
        <v>0</v>
      </c>
      <c r="H109" s="117" t="n">
        <f aca="false">SUMIFS(الريسبي!$C$2:$C$1800,الريسبي!$A$2:$A$1800,$A109,الريسبي!$B$2:$B$1800,H$1)</f>
        <v>0</v>
      </c>
      <c r="I109" s="117" t="n">
        <f aca="false">SUMIFS(الريسبي!$C$2:$C$1800,الريسبي!$A$2:$A$1800,$A109,الريسبي!$B$2:$B$1800,I$1)</f>
        <v>0</v>
      </c>
      <c r="J109" s="117" t="n">
        <f aca="false">SUMIFS(الريسبي!$C$2:$C$1800,الريسبي!$A$2:$A$1800,$A109,الريسبي!$B$2:$B$1800,J$1)</f>
        <v>0</v>
      </c>
      <c r="K109" s="117" t="n">
        <f aca="false">SUMIFS(الريسبي!$C$2:$C$1800,الريسبي!$A$2:$A$1800,$A109,الريسبي!$B$2:$B$1800,K$1)</f>
        <v>0</v>
      </c>
      <c r="L109" s="117" t="n">
        <f aca="false">SUMIFS(الريسبي!$C$2:$C$1800,الريسبي!$A$2:$A$1800,$A109,الريسبي!$B$2:$B$1800,L$1)</f>
        <v>0</v>
      </c>
      <c r="M109" s="117" t="n">
        <f aca="false">SUMIFS(الريسبي!$C$2:$C$1800,الريسبي!$A$2:$A$1800,$A109,الريسبي!$B$2:$B$1800,M$1)</f>
        <v>0</v>
      </c>
      <c r="N109" s="117" t="n">
        <f aca="false">SUMIFS(الريسبي!$C$2:$C$1800,الريسبي!$A$2:$A$1800,$A109,الريسبي!$B$2:$B$1800,N$1)</f>
        <v>0</v>
      </c>
      <c r="O109" s="117" t="n">
        <f aca="false">SUMIFS(الريسبي!$C$2:$C$1800,الريسبي!$A$2:$A$1800,$A109,الريسبي!$B$2:$B$1800,O$1)</f>
        <v>0</v>
      </c>
      <c r="P109" s="117" t="n">
        <f aca="false">SUMIFS(الريسبي!$C$2:$C$1800,الريسبي!$A$2:$A$1800,$A109,الريسبي!$B$2:$B$1800,P$1)</f>
        <v>0</v>
      </c>
      <c r="Q109" s="117" t="n">
        <f aca="false">SUMIFS(الريسبي!$C$2:$C$1800,الريسبي!$A$2:$A$1800,$A109,الريسبي!$B$2:$B$1800,Q$1)</f>
        <v>0</v>
      </c>
      <c r="R109" s="117" t="n">
        <f aca="false">SUMIFS(الريسبي!$C$2:$C$1800,الريسبي!$A$2:$A$1800,$A109,الريسبي!$B$2:$B$1800,R$1)</f>
        <v>0</v>
      </c>
      <c r="S109" s="117" t="n">
        <f aca="false">SUMIFS(الريسبي!$C$2:$C$1800,الريسبي!$A$2:$A$1800,$A109,الريسبي!$B$2:$B$1800,S$1)</f>
        <v>0</v>
      </c>
      <c r="T109" s="117" t="n">
        <f aca="false">SUMIFS(الريسبي!$C$2:$C$1800,الريسبي!$A$2:$A$1800,$A109,الريسبي!$B$2:$B$1800,T$1)</f>
        <v>0</v>
      </c>
      <c r="U109" s="117" t="n">
        <f aca="false">SUMIFS(الريسبي!$C$2:$C$1800,الريسبي!$A$2:$A$1800,$A109,الريسبي!$B$2:$B$1800,U$1)</f>
        <v>0</v>
      </c>
      <c r="V109" s="117" t="n">
        <f aca="false">SUMIFS(الريسبي!$C$2:$C$1800,الريسبي!$A$2:$A$1800,$A109,الريسبي!$B$2:$B$1800,V$1)+1.5*(SUMIFS(الريسبي!$C$2:$C$1800,الريسبي!$A$2:$A$1800,$A109,الريسبي!$B$2:$B$1800,"برسيون موتزريلا بيتزا كبير"))</f>
        <v>0</v>
      </c>
      <c r="W109" s="117" t="n">
        <f aca="false">0</f>
        <v>0</v>
      </c>
      <c r="X109" s="117" t="n">
        <f aca="false">SUMIFS(الريسبي!$C$2:$C$1800,الريسبي!$A$2:$A$1800,$A109,الريسبي!$B$2:$B$1800,X$1)+1.5*(SUMIFS(الريسبي!$C$2:$C$1800,الريسبي!$A$2:$A$1800,$A109,الريسبي!$B$2:$B$1800,"برسيون موتزريلا فطير كبير"))</f>
        <v>1</v>
      </c>
      <c r="Y109" s="117" t="n">
        <f aca="false">0</f>
        <v>0</v>
      </c>
      <c r="Z109" s="117" t="n">
        <f aca="false">SUMIFS(الريسبي!$C$2:$C$1800,الريسبي!$A$2:$A$1800,$A109,الريسبي!$B$2:$B$1800,Z$1)</f>
        <v>0</v>
      </c>
      <c r="AA109" s="117" t="n">
        <f aca="false">SUMIFS(الريسبي!$C$2:$C$1800,الريسبي!$A$2:$A$1800,$A109,الريسبي!$B$2:$B$1800,AA$1)</f>
        <v>0</v>
      </c>
      <c r="AB109" s="117" t="n">
        <f aca="false">SUMIFS(الريسبي!$C$2:$C$1800,الريسبي!$A$2:$A$1800,$A109,الريسبي!$B$2:$B$1800,AB$1)</f>
        <v>0</v>
      </c>
      <c r="AC109" s="117" t="n">
        <f aca="false">SUMIFS(الريسبي!$C$2:$C$1800,الريسبي!$A$2:$A$1800,$A109,الريسبي!$B$2:$B$1800,AC$1)</f>
        <v>0</v>
      </c>
      <c r="AD109" s="117" t="n">
        <f aca="false">SUMIFS(الريسبي!$C$2:$C$1800,الريسبي!$A$2:$A$1800,$A109,الريسبي!$B$2:$B$1800,AD$1)</f>
        <v>0</v>
      </c>
      <c r="AE109" s="117" t="n">
        <f aca="false">SUMIFS(الريسبي!$C$2:$C$1800,الريسبي!$A$2:$A$1800,$A109,الريسبي!$B$2:$B$1800,AE$1)</f>
        <v>0</v>
      </c>
      <c r="AF109" s="117" t="n">
        <f aca="false">SUMIFS(الريسبي!$C$2:$C$1800,الريسبي!$A$2:$A$1800,$A109,الريسبي!$B$2:$B$1800,AF$1)</f>
        <v>0</v>
      </c>
      <c r="AG109" s="117" t="n">
        <f aca="false">SUMIFS(الريسبي!$C$2:$C$1800,الريسبي!$A$2:$A$1800,$A109,الريسبي!$B$2:$B$1800,AG$1)</f>
        <v>0</v>
      </c>
      <c r="AH109" s="117" t="n">
        <f aca="false">SUMIFS(الريسبي!$C$2:$C$1800,الريسبي!$A$2:$A$1800,$A109,الريسبي!$B$2:$B$1800,AH$1)</f>
        <v>0</v>
      </c>
      <c r="AI109" s="117" t="n">
        <f aca="false">SUMIFS(الريسبي!$C$2:$C$1800,الريسبي!$A$2:$A$1800,$A109,الريسبي!$B$2:$B$1800,AI$1)</f>
        <v>0</v>
      </c>
      <c r="AJ109" s="117" t="n">
        <f aca="false">SUMIFS(الريسبي!$C$2:$C$1800,الريسبي!$A$2:$A$1800,$A109,الريسبي!$B$2:$B$1800,AJ$1)</f>
        <v>2</v>
      </c>
      <c r="AK109" s="117" t="n">
        <f aca="false">SUMIFS(الريسبي!$C$2:$C$1800,الريسبي!$A$2:$A$1800,$A109,الريسبي!$B$2:$B$1800,AK$1)</f>
        <v>0</v>
      </c>
      <c r="AL109" s="117" t="n">
        <f aca="false">SUMIFS(الريسبي!$C$2:$C$1800,الريسبي!$A$2:$A$1800,$A109,الريسبي!$B$2:$B$1800,AL$1)</f>
        <v>0</v>
      </c>
      <c r="AM109" s="117" t="n">
        <f aca="false">SUMIFS(الريسبي!$C$2:$C$1800,الريسبي!$A$2:$A$1800,$A109,الريسبي!$B$2:$B$1800,AM$1)+0.08333333333*SUMIFS(الريسبي!$C$2:$C$1800,الريسبي!$A$2:$A$1800,$A109,الريسبي!$B$2:$B$1800,"عجين كريب (مصنع بالمطعم)")+0.08333333333*SUMIFS(الريسبي!$C$2:$C$1800,الريسبي!$A$2:$A$1800,$A109,الريسبي!$B$2:$B$1800,"عجين كريب صيامي (بدون لبن)")</f>
        <v>0</v>
      </c>
      <c r="AN109" s="117" t="n">
        <f aca="false">SUMIFS(الريسبي!$C$2:$C$1800,الريسبي!$A$2:$A$1800,$A109,الريسبي!$B$2:$B$1800,AN$1)+0.004166666667*SUMIFS(الريسبي!$C$2:$C$1800,الريسبي!$A$2:$A$1800,$A109,الريسبي!$B$2:$B$1800,"عجين كريب (مصنع بالمطعم)")+0.004166666667*SUMIFS(الريسبي!$C$2:$C$1800,الريسبي!$A$2:$A$1800,$A109,الريسبي!$B$2:$B$1800,"عجين كريب صيامي (بدون لبن)")</f>
        <v>0</v>
      </c>
      <c r="AO109" s="117" t="n">
        <f aca="false">SUMIFS(الريسبي!$C$2:$C$1800,الريسبي!$A$2:$A$1800,$A109,الريسبي!$B$2:$B$1800,AO$1)</f>
        <v>0</v>
      </c>
      <c r="AP109" s="117" t="n">
        <f aca="false">SUMIFS(الريسبي!$C$2:$C$1800,الريسبي!$A$2:$A$1800,$A109,الريسبي!$B$2:$B$1800,AP$1)</f>
        <v>0.02</v>
      </c>
      <c r="AQ109" s="117" t="n">
        <f aca="false">SUMIFS(الريسبي!$C$2:$C$1800,الريسبي!$A$2:$A$1800,$A109,الريسبي!$B$2:$B$1800,AQ$1)+0.004166666667*SUMIFS(الريسبي!$C$2:$C$1800,الريسبي!$A$2:$A$1800,$A109,الريسبي!$B$2:$B$1800,"عجين كريب (مصنع بالمطعم)")+0.004166666667*SUMIFS(الريسبي!$C$2:$C$1800,الريسبي!$A$2:$A$1800,$A109,الريسبي!$B$2:$B$1800,"عجين كريب صيامي (بدون لبن)")</f>
        <v>0</v>
      </c>
      <c r="AR109" s="117" t="n">
        <f aca="false">SUMIFS(الريسبي!$C$2:$C$1800,الريسبي!$A$2:$A$1800,$A109,الريسبي!$B$2:$B$1800,AR$1)</f>
        <v>0</v>
      </c>
      <c r="AS109" s="117" t="n">
        <f aca="false">SUMIFS(الريسبي!$C$2:$C$1800,الريسبي!$A$2:$A$1800,$A109,الريسبي!$B$2:$B$1800,AS$1)</f>
        <v>0</v>
      </c>
      <c r="AT109" s="117" t="n">
        <f aca="false">SUMIFS(الريسبي!$C$2:$C$1800,الريسبي!$A$2:$A$1800,$A109,الريسبي!$B$2:$B$1800,AT$1)</f>
        <v>0</v>
      </c>
      <c r="AU109" s="117" t="n">
        <f aca="false">SUMIFS(الريسبي!$C$2:$C$1800,الريسبي!$A$2:$A$1800,$A109,الريسبي!$B$2:$B$1800,AU$1)</f>
        <v>0</v>
      </c>
      <c r="AV109" s="117" t="n">
        <f aca="false">SUMIFS(الريسبي!$C$2:$C$1800,الريسبي!$A$2:$A$1800,$A109,الريسبي!$B$2:$B$1800,AV$1)</f>
        <v>0</v>
      </c>
      <c r="AW109" s="117" t="n">
        <f aca="false">SUMIFS(الريسبي!$C$2:$C$1800,الريسبي!$A$2:$A$1800,$A109,الريسبي!$B$2:$B$1800,AW$1)</f>
        <v>0</v>
      </c>
      <c r="AX109" s="117" t="n">
        <f aca="false">SUMIFS(الريسبي!$C$2:$C$1800,الريسبي!$A$2:$A$1800,$A109,الريسبي!$B$2:$B$1800,AX$1)</f>
        <v>0</v>
      </c>
      <c r="AY109" s="117" t="n">
        <f aca="false">SUMIFS(الريسبي!$C$2:$C$1800,الريسبي!$A$2:$A$1800,$A109,الريسبي!$B$2:$B$1800,AY$1)</f>
        <v>0</v>
      </c>
      <c r="AZ109" s="117" t="n">
        <f aca="false">SUMIFS(الريسبي!$C$2:$C$1800,الريسبي!$A$2:$A$1800,$A109,الريسبي!$B$2:$B$1800,AZ$1)</f>
        <v>0</v>
      </c>
      <c r="BA109" s="117" t="n">
        <f aca="false">SUMIFS(الريسبي!$C$2:$C$1800,الريسبي!$A$2:$A$1800,$A109,الريسبي!$B$2:$B$1800,BA$1)</f>
        <v>0</v>
      </c>
      <c r="BB109" s="117" t="n">
        <f aca="false">SUMIFS(الريسبي!$C$2:$C$1800,الريسبي!$A$2:$A$1800,$A109,الريسبي!$B$2:$B$1800,BB$1)</f>
        <v>0</v>
      </c>
      <c r="BC109" s="117" t="n">
        <f aca="false">SUMIFS(الريسبي!$C$2:$C$1800,الريسبي!$A$2:$A$1800,$A109,الريسبي!$B$2:$B$1800,BC$1)</f>
        <v>0.03</v>
      </c>
      <c r="BD109" s="117" t="n">
        <f aca="false">SUMIFS(الريسبي!$C$2:$C$1800,الريسبي!$A$2:$A$1800,$A109,الريسبي!$B$2:$B$1800,BD$1)</f>
        <v>0</v>
      </c>
      <c r="BE109" s="117" t="n">
        <f aca="false">SUMIFS(الريسبي!$C$2:$C$1800,الريسبي!$A$2:$A$1800,$A109,الريسبي!$B$2:$B$1800,BE$1)</f>
        <v>1</v>
      </c>
      <c r="BF109" s="117" t="n">
        <f aca="false">SUMIFS(الريسبي!$C$2:$C$1800,الريسبي!$A$2:$A$1800,$A109,الريسبي!$B$2:$B$1800,BF$1)</f>
        <v>0</v>
      </c>
      <c r="BG109" s="117" t="n">
        <f aca="false">SUMIFS(الريسبي!$C$2:$C$1800,الريسبي!$A$2:$A$1800,$A109,الريسبي!$B$2:$B$1800,BG$1)</f>
        <v>0</v>
      </c>
      <c r="BH109" s="117" t="n">
        <f aca="false">SUMIFS(الريسبي!$C$2:$C$1800,الريسبي!$A$2:$A$1800,$A109,الريسبي!$B$2:$B$1800,BH$1)</f>
        <v>1</v>
      </c>
      <c r="BI109" s="117" t="n">
        <f aca="false">SUMIFS(الريسبي!$C$2:$C$1800,الريسبي!$A$2:$A$1800,$A109,الريسبي!$B$2:$B$1800,BI$1)</f>
        <v>0</v>
      </c>
      <c r="BJ109" s="117" t="n">
        <f aca="false">SUMIFS(الريسبي!$C$2:$C$1800,الريسبي!$A$2:$A$1800,$A109,الريسبي!$B$2:$B$1800,BJ$1)</f>
        <v>0</v>
      </c>
      <c r="BK109" s="117" t="n">
        <f aca="false">SUMIFS(الريسبي!$C$2:$C$1800,الريسبي!$A$2:$A$1800,$A109,الريسبي!$B$2:$B$1800,BK$1)</f>
        <v>0</v>
      </c>
      <c r="BL109" s="117" t="n">
        <f aca="false">SUMIFS(الريسبي!$C$2:$C$1800,الريسبي!$A$2:$A$1800,$A109,الريسبي!$B$2:$B$1800,BL$1)</f>
        <v>1</v>
      </c>
      <c r="BM109" s="117" t="n">
        <f aca="false">SUMIFS(الريسبي!$C$2:$C$1800,الريسبي!$A$2:$A$1800,$A109,الريسبي!$B$2:$B$1800,BM$1)</f>
        <v>0</v>
      </c>
      <c r="BN109" s="117" t="n">
        <f aca="false">SUMIFS(الريسبي!$C$2:$C$1800,الريسبي!$A$2:$A$1800,$A109,الريسبي!$B$2:$B$1800,BN$1)</f>
        <v>0.02</v>
      </c>
      <c r="BO109" s="117" t="n">
        <f aca="false">SUMIFS(الريسبي!$C$2:$C$1800,الريسبي!$A$2:$A$1800,$A109,الريسبي!$B$2:$B$1800,BO$1)</f>
        <v>0</v>
      </c>
      <c r="BP109" s="117" t="n">
        <f aca="false">SUMIFS(الريسبي!$C$2:$C$1800,الريسبي!$A$2:$A$1800,$A109,الريسبي!$B$2:$B$1800,BP$1)</f>
        <v>2</v>
      </c>
      <c r="BQ109" s="117" t="n">
        <f aca="false">SUMIFS(الريسبي!$C$2:$C$1800,الريسبي!$A$2:$A$1800,$A109,الريسبي!$B$2:$B$1800,BQ$1)+0.17*SUMIFS(الريسبي!$C$2:$C$1800,الريسبي!$A$2:$A$1800,$A109,الريسبي!$B$2:$B$1800,"كاسترد مصنع (خليط بودر + لبن)")+0.17*SUMIFS(الريسبي!$C$2:$C$1800,الريسبي!$A$2:$A$1800,$A109,الريسبي!$B$2:$B$1800,"كاسترد مصنع صيامي (بدون لبن)")</f>
        <v>0</v>
      </c>
      <c r="BR109" s="117" t="n">
        <f aca="false">SUMIFS(الريسبي!$C$2:$C$1800,الريسبي!$A$2:$A$1800,$A109,الريسبي!$B$2:$B$1800,BR$1)</f>
        <v>1</v>
      </c>
      <c r="BS109" s="117" t="n">
        <f aca="false">SUMIFS(الريسبي!$C$2:$C$1800,الريسبي!$A$2:$A$1800,$A109,الريسبي!$B$2:$B$1800,BS$1)</f>
        <v>0</v>
      </c>
      <c r="BT109" s="117" t="n">
        <f aca="false">SUMIFS(الريسبي!$C$2:$C$1800,الريسبي!$A$2:$A$1800,$A109,الريسبي!$B$2:$B$1800,BT$1)</f>
        <v>0</v>
      </c>
      <c r="BU109" s="117" t="n">
        <f aca="false">SUMIFS(الريسبي!$C$2:$C$1800,الريسبي!$A$2:$A$1800,$A109,الريسبي!$B$2:$B$1800,BU$1)+0.4*SUMIFS(الريسبي!$C$2:$C$1800,الريسبي!$A$2:$A$1800,$A109,الريسبي!$B$2:$B$1800,"كاسترد مصنع (خليط بودر + لبن)")+0.03333333333*SUMIFS(الريسبي!$C$2:$C$1800,الريسبي!$A$2:$A$1800,$A109,الريسبي!$B$2:$B$1800,"عجين كريب (مصنع بالمطعم)")</f>
        <v>0</v>
      </c>
      <c r="BV109" s="117" t="n">
        <f aca="false">SUMIFS(الريسبي!$C$2:$C$1800,الريسبي!$A$2:$A$1800,$A109,الريسبي!$B$2:$B$1800,BV$1)</f>
        <v>0</v>
      </c>
      <c r="BW109" s="117" t="n">
        <f aca="false">SUMIFS(الريسبي!$C$2:$C$1800,الريسبي!$A$2:$A$1800,$A109,الريسبي!$B$2:$B$1800,BW$1)</f>
        <v>0</v>
      </c>
      <c r="BX109" s="117" t="n">
        <f aca="false">SUMIFS(الريسبي!$C$2:$C$1800,الريسبي!$A$2:$A$1800,$A109,الريسبي!$B$2:$B$1800,BX$1)</f>
        <v>0</v>
      </c>
      <c r="BY109" s="117" t="n">
        <f aca="false">SUMIFS(الريسبي!$C$2:$C$1800,الريسبي!$A$2:$A$1800,$A109,الريسبي!$B$2:$B$1800,BY$1)</f>
        <v>0</v>
      </c>
      <c r="BZ109" s="117" t="n">
        <f aca="false">SUMIFS(الريسبي!$C$2:$C$1800,الريسبي!$A$2:$A$1800,$A109,الريسبي!$B$2:$B$1800,BZ$1)</f>
        <v>0</v>
      </c>
      <c r="CA109" s="117" t="n">
        <f aca="false">SUMIFS(الريسبي!$C$2:$C$1800,الريسبي!$A$2:$A$1800,$A109,الريسبي!$B$2:$B$1800,CA$1)</f>
        <v>1</v>
      </c>
      <c r="CB109" s="117" t="n">
        <f aca="false">SUMIFS(الريسبي!$C$2:$C$1800,الريسبي!$A$2:$A$1800,$A109,الريسبي!$B$2:$B$1800,CB$1)</f>
        <v>1</v>
      </c>
      <c r="CC109" s="117" t="n">
        <f aca="false">SUMIFS(الريسبي!$C$2:$C$1800,الريسبي!$A$2:$A$1800,$A109,الريسبي!$B$2:$B$1800,CC$1)</f>
        <v>0</v>
      </c>
      <c r="CD109" s="117" t="n">
        <f aca="false">SUMIFS(الريسبي!$C$2:$C$1800,الريسبي!$A$2:$A$1800,$A109,الريسبي!$B$2:$B$1800,CD$1)</f>
        <v>0</v>
      </c>
      <c r="CE109" s="117" t="n">
        <f aca="false">SUMIFS(الريسبي!$C$2:$C$1800,الريسبي!$A$2:$A$1800,$A109,الريسبي!$B$2:$B$1800,CE$1)</f>
        <v>0</v>
      </c>
      <c r="CF109" s="117" t="n">
        <f aca="false">SUMIFS(الريسبي!$C$2:$C$1800,الريسبي!$A$2:$A$1800,$A109,الريسبي!$B$2:$B$1800,CF$1)</f>
        <v>0</v>
      </c>
      <c r="CG109" s="117" t="n">
        <f aca="false">SUMIFS(الريسبي!$C$2:$C$1800,الريسبي!$A$2:$A$1800,$A109,الريسبي!$B$2:$B$1800,CG$1)</f>
        <v>0</v>
      </c>
      <c r="CH109" s="117" t="n">
        <f aca="false">SUMIFS(الريسبي!$C$2:$C$1800,الريسبي!$A$2:$A$1800,$A109,الريسبي!$B$2:$B$1800,CH$1)</f>
        <v>0</v>
      </c>
      <c r="CI109" s="117" t="n">
        <f aca="false">SUMIFS(الريسبي!$C$2:$C$1800,الريسبي!$A$2:$A$1800,$A109,الريسبي!$B$2:$B$1800,CI$1)</f>
        <v>0</v>
      </c>
      <c r="CJ109" s="117" t="n">
        <f aca="false">SUMIFS(الريسبي!$C$2:$C$1800,الريسبي!$A$2:$A$1800,$A109,الريسبي!$B$2:$B$1800,CJ$1)</f>
        <v>0</v>
      </c>
      <c r="CK109" s="117" t="n">
        <f aca="false">SUMIFS(الريسبي!$C$2:$C$1800,الريسبي!$A$2:$A$1800,$A109,الريسبي!$B$2:$B$1800,CK$1)</f>
        <v>0</v>
      </c>
      <c r="CL109" s="117" t="n">
        <f aca="false">SUMIFS(الريسبي!$C$2:$C$1800,الريسبي!$A$2:$A$1800,$A109,الريسبي!$B$2:$B$1800,CL$1)</f>
        <v>0</v>
      </c>
    </row>
    <row r="110" customFormat="false" ht="15" hidden="false" customHeight="false" outlineLevel="0" collapsed="false">
      <c r="A110" s="116" t="str">
        <f aca="false">المنيو!B110</f>
        <v>فطيرة تونة صيامي مخصوص</v>
      </c>
      <c r="B110" s="117" t="n">
        <f aca="false">SUMIFS(الريسبي!$C$2:$C$1800,الريسبي!$A$2:$A$1800,$A110,الريسبي!$B$2:$B$1800,B$1)</f>
        <v>0</v>
      </c>
      <c r="C110" s="117" t="n">
        <f aca="false">SUMIFS(الريسبي!$C$2:$C$1800,الريسبي!$A$2:$A$1800,$A110,الريسبي!$B$2:$B$1800,C$1)</f>
        <v>0</v>
      </c>
      <c r="D110" s="117" t="n">
        <f aca="false">SUMIFS(الريسبي!$C$2:$C$1800,الريسبي!$A$2:$A$1800,$A110,الريسبي!$B$2:$B$1800,D$1)</f>
        <v>1</v>
      </c>
      <c r="E110" s="117" t="n">
        <f aca="false">SUMIFS(الريسبي!$C$2:$C$1800,الريسبي!$A$2:$A$1800,$A110,الريسبي!$B$2:$B$1800,E$1)</f>
        <v>0</v>
      </c>
      <c r="F110" s="117" t="n">
        <f aca="false">SUMIFS(الريسبي!$C$2:$C$1800,الريسبي!$A$2:$A$1800,$A110,الريسبي!$B$2:$B$1800,F$1)</f>
        <v>0</v>
      </c>
      <c r="G110" s="117" t="n">
        <f aca="false">SUMIFS(الريسبي!$C$2:$C$1800,الريسبي!$A$2:$A$1800,$A110,الريسبي!$B$2:$B$1800,G$1)</f>
        <v>0</v>
      </c>
      <c r="H110" s="117" t="n">
        <f aca="false">SUMIFS(الريسبي!$C$2:$C$1800,الريسبي!$A$2:$A$1800,$A110,الريسبي!$B$2:$B$1800,H$1)</f>
        <v>0</v>
      </c>
      <c r="I110" s="117" t="n">
        <f aca="false">SUMIFS(الريسبي!$C$2:$C$1800,الريسبي!$A$2:$A$1800,$A110,الريسبي!$B$2:$B$1800,I$1)</f>
        <v>0</v>
      </c>
      <c r="J110" s="117" t="n">
        <f aca="false">SUMIFS(الريسبي!$C$2:$C$1800,الريسبي!$A$2:$A$1800,$A110,الريسبي!$B$2:$B$1800,J$1)</f>
        <v>0</v>
      </c>
      <c r="K110" s="117" t="n">
        <f aca="false">SUMIFS(الريسبي!$C$2:$C$1800,الريسبي!$A$2:$A$1800,$A110,الريسبي!$B$2:$B$1800,K$1)</f>
        <v>0</v>
      </c>
      <c r="L110" s="117" t="n">
        <f aca="false">SUMIFS(الريسبي!$C$2:$C$1800,الريسبي!$A$2:$A$1800,$A110,الريسبي!$B$2:$B$1800,L$1)</f>
        <v>0</v>
      </c>
      <c r="M110" s="117" t="n">
        <f aca="false">SUMIFS(الريسبي!$C$2:$C$1800,الريسبي!$A$2:$A$1800,$A110,الريسبي!$B$2:$B$1800,M$1)</f>
        <v>0</v>
      </c>
      <c r="N110" s="117" t="n">
        <f aca="false">SUMIFS(الريسبي!$C$2:$C$1800,الريسبي!$A$2:$A$1800,$A110,الريسبي!$B$2:$B$1800,N$1)</f>
        <v>0</v>
      </c>
      <c r="O110" s="117" t="n">
        <f aca="false">SUMIFS(الريسبي!$C$2:$C$1800,الريسبي!$A$2:$A$1800,$A110,الريسبي!$B$2:$B$1800,O$1)</f>
        <v>0</v>
      </c>
      <c r="P110" s="117" t="n">
        <f aca="false">SUMIFS(الريسبي!$C$2:$C$1800,الريسبي!$A$2:$A$1800,$A110,الريسبي!$B$2:$B$1800,P$1)</f>
        <v>0</v>
      </c>
      <c r="Q110" s="117" t="n">
        <f aca="false">SUMIFS(الريسبي!$C$2:$C$1800,الريسبي!$A$2:$A$1800,$A110,الريسبي!$B$2:$B$1800,Q$1)</f>
        <v>0</v>
      </c>
      <c r="R110" s="117" t="n">
        <f aca="false">SUMIFS(الريسبي!$C$2:$C$1800,الريسبي!$A$2:$A$1800,$A110,الريسبي!$B$2:$B$1800,R$1)</f>
        <v>0</v>
      </c>
      <c r="S110" s="117" t="n">
        <f aca="false">SUMIFS(الريسبي!$C$2:$C$1800,الريسبي!$A$2:$A$1800,$A110,الريسبي!$B$2:$B$1800,S$1)</f>
        <v>0</v>
      </c>
      <c r="T110" s="117" t="n">
        <f aca="false">SUMIFS(الريسبي!$C$2:$C$1800,الريسبي!$A$2:$A$1800,$A110,الريسبي!$B$2:$B$1800,T$1)</f>
        <v>0</v>
      </c>
      <c r="U110" s="117" t="n">
        <f aca="false">SUMIFS(الريسبي!$C$2:$C$1800,الريسبي!$A$2:$A$1800,$A110,الريسبي!$B$2:$B$1800,U$1)</f>
        <v>0</v>
      </c>
      <c r="V110" s="117" t="n">
        <f aca="false">SUMIFS(الريسبي!$C$2:$C$1800,الريسبي!$A$2:$A$1800,$A110,الريسبي!$B$2:$B$1800,V$1)+1.5*(SUMIFS(الريسبي!$C$2:$C$1800,الريسبي!$A$2:$A$1800,$A110,الريسبي!$B$2:$B$1800,"برسيون موتزريلا بيتزا كبير"))</f>
        <v>0</v>
      </c>
      <c r="W110" s="117" t="n">
        <f aca="false">0</f>
        <v>0</v>
      </c>
      <c r="X110" s="117" t="n">
        <f aca="false">SUMIFS(الريسبي!$C$2:$C$1800,الريسبي!$A$2:$A$1800,$A110,الريسبي!$B$2:$B$1800,X$1)+1.5*(SUMIFS(الريسبي!$C$2:$C$1800,الريسبي!$A$2:$A$1800,$A110,الريسبي!$B$2:$B$1800,"برسيون موتزريلا فطير كبير"))</f>
        <v>1.5</v>
      </c>
      <c r="Y110" s="117" t="n">
        <f aca="false">0</f>
        <v>0</v>
      </c>
      <c r="Z110" s="117" t="n">
        <f aca="false">SUMIFS(الريسبي!$C$2:$C$1800,الريسبي!$A$2:$A$1800,$A110,الريسبي!$B$2:$B$1800,Z$1)</f>
        <v>0</v>
      </c>
      <c r="AA110" s="117" t="n">
        <f aca="false">SUMIFS(الريسبي!$C$2:$C$1800,الريسبي!$A$2:$A$1800,$A110,الريسبي!$B$2:$B$1800,AA$1)</f>
        <v>0</v>
      </c>
      <c r="AB110" s="117" t="n">
        <f aca="false">SUMIFS(الريسبي!$C$2:$C$1800,الريسبي!$A$2:$A$1800,$A110,الريسبي!$B$2:$B$1800,AB$1)</f>
        <v>0</v>
      </c>
      <c r="AC110" s="117" t="n">
        <f aca="false">SUMIFS(الريسبي!$C$2:$C$1800,الريسبي!$A$2:$A$1800,$A110,الريسبي!$B$2:$B$1800,AC$1)</f>
        <v>0</v>
      </c>
      <c r="AD110" s="117" t="n">
        <f aca="false">SUMIFS(الريسبي!$C$2:$C$1800,الريسبي!$A$2:$A$1800,$A110,الريسبي!$B$2:$B$1800,AD$1)</f>
        <v>0</v>
      </c>
      <c r="AE110" s="117" t="n">
        <f aca="false">SUMIFS(الريسبي!$C$2:$C$1800,الريسبي!$A$2:$A$1800,$A110,الريسبي!$B$2:$B$1800,AE$1)</f>
        <v>0</v>
      </c>
      <c r="AF110" s="117" t="n">
        <f aca="false">SUMIFS(الريسبي!$C$2:$C$1800,الريسبي!$A$2:$A$1800,$A110,الريسبي!$B$2:$B$1800,AF$1)</f>
        <v>0</v>
      </c>
      <c r="AG110" s="117" t="n">
        <f aca="false">SUMIFS(الريسبي!$C$2:$C$1800,الريسبي!$A$2:$A$1800,$A110,الريسبي!$B$2:$B$1800,AG$1)</f>
        <v>0</v>
      </c>
      <c r="AH110" s="117" t="n">
        <f aca="false">SUMIFS(الريسبي!$C$2:$C$1800,الريسبي!$A$2:$A$1800,$A110,الريسبي!$B$2:$B$1800,AH$1)</f>
        <v>0</v>
      </c>
      <c r="AI110" s="117" t="n">
        <f aca="false">SUMIFS(الريسبي!$C$2:$C$1800,الريسبي!$A$2:$A$1800,$A110,الريسبي!$B$2:$B$1800,AI$1)</f>
        <v>0</v>
      </c>
      <c r="AJ110" s="117" t="n">
        <f aca="false">SUMIFS(الريسبي!$C$2:$C$1800,الريسبي!$A$2:$A$1800,$A110,الريسبي!$B$2:$B$1800,AJ$1)</f>
        <v>2</v>
      </c>
      <c r="AK110" s="117" t="n">
        <f aca="false">SUMIFS(الريسبي!$C$2:$C$1800,الريسبي!$A$2:$A$1800,$A110,الريسبي!$B$2:$B$1800,AK$1)</f>
        <v>0</v>
      </c>
      <c r="AL110" s="117" t="n">
        <f aca="false">SUMIFS(الريسبي!$C$2:$C$1800,الريسبي!$A$2:$A$1800,$A110,الريسبي!$B$2:$B$1800,AL$1)</f>
        <v>0</v>
      </c>
      <c r="AM110" s="117" t="n">
        <f aca="false">SUMIFS(الريسبي!$C$2:$C$1800,الريسبي!$A$2:$A$1800,$A110,الريسبي!$B$2:$B$1800,AM$1)+0.08333333333*SUMIFS(الريسبي!$C$2:$C$1800,الريسبي!$A$2:$A$1800,$A110,الريسبي!$B$2:$B$1800,"عجين كريب (مصنع بالمطعم)")+0.08333333333*SUMIFS(الريسبي!$C$2:$C$1800,الريسبي!$A$2:$A$1800,$A110,الريسبي!$B$2:$B$1800,"عجين كريب صيامي (بدون لبن)")</f>
        <v>0</v>
      </c>
      <c r="AN110" s="117" t="n">
        <f aca="false">SUMIFS(الريسبي!$C$2:$C$1800,الريسبي!$A$2:$A$1800,$A110,الريسبي!$B$2:$B$1800,AN$1)+0.004166666667*SUMIFS(الريسبي!$C$2:$C$1800,الريسبي!$A$2:$A$1800,$A110,الريسبي!$B$2:$B$1800,"عجين كريب (مصنع بالمطعم)")+0.004166666667*SUMIFS(الريسبي!$C$2:$C$1800,الريسبي!$A$2:$A$1800,$A110,الريسبي!$B$2:$B$1800,"عجين كريب صيامي (بدون لبن)")</f>
        <v>0</v>
      </c>
      <c r="AO110" s="117" t="n">
        <f aca="false">SUMIFS(الريسبي!$C$2:$C$1800,الريسبي!$A$2:$A$1800,$A110,الريسبي!$B$2:$B$1800,AO$1)</f>
        <v>0</v>
      </c>
      <c r="AP110" s="117" t="n">
        <f aca="false">SUMIFS(الريسبي!$C$2:$C$1800,الريسبي!$A$2:$A$1800,$A110,الريسبي!$B$2:$B$1800,AP$1)</f>
        <v>0.03</v>
      </c>
      <c r="AQ110" s="117" t="n">
        <f aca="false">SUMIFS(الريسبي!$C$2:$C$1800,الريسبي!$A$2:$A$1800,$A110,الريسبي!$B$2:$B$1800,AQ$1)+0.004166666667*SUMIFS(الريسبي!$C$2:$C$1800,الريسبي!$A$2:$A$1800,$A110,الريسبي!$B$2:$B$1800,"عجين كريب (مصنع بالمطعم)")+0.004166666667*SUMIFS(الريسبي!$C$2:$C$1800,الريسبي!$A$2:$A$1800,$A110,الريسبي!$B$2:$B$1800,"عجين كريب صيامي (بدون لبن)")</f>
        <v>0</v>
      </c>
      <c r="AR110" s="117" t="n">
        <f aca="false">SUMIFS(الريسبي!$C$2:$C$1800,الريسبي!$A$2:$A$1800,$A110,الريسبي!$B$2:$B$1800,AR$1)</f>
        <v>0</v>
      </c>
      <c r="AS110" s="117" t="n">
        <f aca="false">SUMIFS(الريسبي!$C$2:$C$1800,الريسبي!$A$2:$A$1800,$A110,الريسبي!$B$2:$B$1800,AS$1)</f>
        <v>0</v>
      </c>
      <c r="AT110" s="117" t="n">
        <f aca="false">SUMIFS(الريسبي!$C$2:$C$1800,الريسبي!$A$2:$A$1800,$A110,الريسبي!$B$2:$B$1800,AT$1)</f>
        <v>0</v>
      </c>
      <c r="AU110" s="117" t="n">
        <f aca="false">SUMIFS(الريسبي!$C$2:$C$1800,الريسبي!$A$2:$A$1800,$A110,الريسبي!$B$2:$B$1800,AU$1)</f>
        <v>0</v>
      </c>
      <c r="AV110" s="117" t="n">
        <f aca="false">SUMIFS(الريسبي!$C$2:$C$1800,الريسبي!$A$2:$A$1800,$A110,الريسبي!$B$2:$B$1800,AV$1)</f>
        <v>0</v>
      </c>
      <c r="AW110" s="117" t="n">
        <f aca="false">SUMIFS(الريسبي!$C$2:$C$1800,الريسبي!$A$2:$A$1800,$A110,الريسبي!$B$2:$B$1800,AW$1)</f>
        <v>0</v>
      </c>
      <c r="AX110" s="117" t="n">
        <f aca="false">SUMIFS(الريسبي!$C$2:$C$1800,الريسبي!$A$2:$A$1800,$A110,الريسبي!$B$2:$B$1800,AX$1)</f>
        <v>0</v>
      </c>
      <c r="AY110" s="117" t="n">
        <f aca="false">SUMIFS(الريسبي!$C$2:$C$1800,الريسبي!$A$2:$A$1800,$A110,الريسبي!$B$2:$B$1800,AY$1)</f>
        <v>0</v>
      </c>
      <c r="AZ110" s="117" t="n">
        <f aca="false">SUMIFS(الريسبي!$C$2:$C$1800,الريسبي!$A$2:$A$1800,$A110,الريسبي!$B$2:$B$1800,AZ$1)</f>
        <v>0</v>
      </c>
      <c r="BA110" s="117" t="n">
        <f aca="false">SUMIFS(الريسبي!$C$2:$C$1800,الريسبي!$A$2:$A$1800,$A110,الريسبي!$B$2:$B$1800,BA$1)</f>
        <v>0</v>
      </c>
      <c r="BB110" s="117" t="n">
        <f aca="false">SUMIFS(الريسبي!$C$2:$C$1800,الريسبي!$A$2:$A$1800,$A110,الريسبي!$B$2:$B$1800,BB$1)</f>
        <v>0</v>
      </c>
      <c r="BC110" s="117" t="n">
        <f aca="false">SUMIFS(الريسبي!$C$2:$C$1800,الريسبي!$A$2:$A$1800,$A110,الريسبي!$B$2:$B$1800,BC$1)</f>
        <v>0.045</v>
      </c>
      <c r="BD110" s="117" t="n">
        <f aca="false">SUMIFS(الريسبي!$C$2:$C$1800,الريسبي!$A$2:$A$1800,$A110,الريسبي!$B$2:$B$1800,BD$1)</f>
        <v>0</v>
      </c>
      <c r="BE110" s="117" t="n">
        <f aca="false">SUMIFS(الريسبي!$C$2:$C$1800,الريسبي!$A$2:$A$1800,$A110,الريسبي!$B$2:$B$1800,BE$1)</f>
        <v>1.5</v>
      </c>
      <c r="BF110" s="117" t="n">
        <f aca="false">SUMIFS(الريسبي!$C$2:$C$1800,الريسبي!$A$2:$A$1800,$A110,الريسبي!$B$2:$B$1800,BF$1)</f>
        <v>0</v>
      </c>
      <c r="BG110" s="117" t="n">
        <f aca="false">SUMIFS(الريسبي!$C$2:$C$1800,الريسبي!$A$2:$A$1800,$A110,الريسبي!$B$2:$B$1800,BG$1)</f>
        <v>1</v>
      </c>
      <c r="BH110" s="117" t="n">
        <f aca="false">SUMIFS(الريسبي!$C$2:$C$1800,الريسبي!$A$2:$A$1800,$A110,الريسبي!$B$2:$B$1800,BH$1)</f>
        <v>0</v>
      </c>
      <c r="BI110" s="117" t="n">
        <f aca="false">SUMIFS(الريسبي!$C$2:$C$1800,الريسبي!$A$2:$A$1800,$A110,الريسبي!$B$2:$B$1800,BI$1)</f>
        <v>0</v>
      </c>
      <c r="BJ110" s="117" t="n">
        <f aca="false">SUMIFS(الريسبي!$C$2:$C$1800,الريسبي!$A$2:$A$1800,$A110,الريسبي!$B$2:$B$1800,BJ$1)</f>
        <v>0</v>
      </c>
      <c r="BK110" s="117" t="n">
        <f aca="false">SUMIFS(الريسبي!$C$2:$C$1800,الريسبي!$A$2:$A$1800,$A110,الريسبي!$B$2:$B$1800,BK$1)</f>
        <v>0</v>
      </c>
      <c r="BL110" s="117" t="n">
        <f aca="false">SUMIFS(الريسبي!$C$2:$C$1800,الريسبي!$A$2:$A$1800,$A110,الريسبي!$B$2:$B$1800,BL$1)</f>
        <v>1.5</v>
      </c>
      <c r="BM110" s="117" t="n">
        <f aca="false">SUMIFS(الريسبي!$C$2:$C$1800,الريسبي!$A$2:$A$1800,$A110,الريسبي!$B$2:$B$1800,BM$1)</f>
        <v>0</v>
      </c>
      <c r="BN110" s="117" t="n">
        <f aca="false">SUMIFS(الريسبي!$C$2:$C$1800,الريسبي!$A$2:$A$1800,$A110,الريسبي!$B$2:$B$1800,BN$1)</f>
        <v>0.03</v>
      </c>
      <c r="BO110" s="117" t="n">
        <f aca="false">SUMIFS(الريسبي!$C$2:$C$1800,الريسبي!$A$2:$A$1800,$A110,الريسبي!$B$2:$B$1800,BO$1)</f>
        <v>0</v>
      </c>
      <c r="BP110" s="117" t="n">
        <f aca="false">SUMIFS(الريسبي!$C$2:$C$1800,الريسبي!$A$2:$A$1800,$A110,الريسبي!$B$2:$B$1800,BP$1)</f>
        <v>3</v>
      </c>
      <c r="BQ110" s="117" t="n">
        <f aca="false">SUMIFS(الريسبي!$C$2:$C$1800,الريسبي!$A$2:$A$1800,$A110,الريسبي!$B$2:$B$1800,BQ$1)+0.17*SUMIFS(الريسبي!$C$2:$C$1800,الريسبي!$A$2:$A$1800,$A110,الريسبي!$B$2:$B$1800,"كاسترد مصنع (خليط بودر + لبن)")+0.17*SUMIFS(الريسبي!$C$2:$C$1800,الريسبي!$A$2:$A$1800,$A110,الريسبي!$B$2:$B$1800,"كاسترد مصنع صيامي (بدون لبن)")</f>
        <v>0</v>
      </c>
      <c r="BR110" s="117" t="n">
        <f aca="false">SUMIFS(الريسبي!$C$2:$C$1800,الريسبي!$A$2:$A$1800,$A110,الريسبي!$B$2:$B$1800,BR$1)</f>
        <v>1</v>
      </c>
      <c r="BS110" s="117" t="n">
        <f aca="false">SUMIFS(الريسبي!$C$2:$C$1800,الريسبي!$A$2:$A$1800,$A110,الريسبي!$B$2:$B$1800,BS$1)</f>
        <v>0</v>
      </c>
      <c r="BT110" s="117" t="n">
        <f aca="false">SUMIFS(الريسبي!$C$2:$C$1800,الريسبي!$A$2:$A$1800,$A110,الريسبي!$B$2:$B$1800,BT$1)</f>
        <v>0</v>
      </c>
      <c r="BU110" s="117" t="n">
        <f aca="false">SUMIFS(الريسبي!$C$2:$C$1800,الريسبي!$A$2:$A$1800,$A110,الريسبي!$B$2:$B$1800,BU$1)+0.4*SUMIFS(الريسبي!$C$2:$C$1800,الريسبي!$A$2:$A$1800,$A110,الريسبي!$B$2:$B$1800,"كاسترد مصنع (خليط بودر + لبن)")+0.03333333333*SUMIFS(الريسبي!$C$2:$C$1800,الريسبي!$A$2:$A$1800,$A110,الريسبي!$B$2:$B$1800,"عجين كريب (مصنع بالمطعم)")</f>
        <v>0</v>
      </c>
      <c r="BV110" s="117" t="n">
        <f aca="false">SUMIFS(الريسبي!$C$2:$C$1800,الريسبي!$A$2:$A$1800,$A110,الريسبي!$B$2:$B$1800,BV$1)</f>
        <v>0</v>
      </c>
      <c r="BW110" s="117" t="n">
        <f aca="false">SUMIFS(الريسبي!$C$2:$C$1800,الريسبي!$A$2:$A$1800,$A110,الريسبي!$B$2:$B$1800,BW$1)</f>
        <v>0</v>
      </c>
      <c r="BX110" s="117" t="n">
        <f aca="false">SUMIFS(الريسبي!$C$2:$C$1800,الريسبي!$A$2:$A$1800,$A110,الريسبي!$B$2:$B$1800,BX$1)</f>
        <v>0</v>
      </c>
      <c r="BY110" s="117" t="n">
        <f aca="false">SUMIFS(الريسبي!$C$2:$C$1800,الريسبي!$A$2:$A$1800,$A110,الريسبي!$B$2:$B$1800,BY$1)</f>
        <v>0</v>
      </c>
      <c r="BZ110" s="117" t="n">
        <f aca="false">SUMIFS(الريسبي!$C$2:$C$1800,الريسبي!$A$2:$A$1800,$A110,الريسبي!$B$2:$B$1800,BZ$1)</f>
        <v>0</v>
      </c>
      <c r="CA110" s="117" t="n">
        <f aca="false">SUMIFS(الريسبي!$C$2:$C$1800,الريسبي!$A$2:$A$1800,$A110,الريسبي!$B$2:$B$1800,CA$1)</f>
        <v>1</v>
      </c>
      <c r="CB110" s="117" t="n">
        <f aca="false">SUMIFS(الريسبي!$C$2:$C$1800,الريسبي!$A$2:$A$1800,$A110,الريسبي!$B$2:$B$1800,CB$1)</f>
        <v>1</v>
      </c>
      <c r="CC110" s="117" t="n">
        <f aca="false">SUMIFS(الريسبي!$C$2:$C$1800,الريسبي!$A$2:$A$1800,$A110,الريسبي!$B$2:$B$1800,CC$1)</f>
        <v>0</v>
      </c>
      <c r="CD110" s="117" t="n">
        <f aca="false">SUMIFS(الريسبي!$C$2:$C$1800,الريسبي!$A$2:$A$1800,$A110,الريسبي!$B$2:$B$1800,CD$1)</f>
        <v>0</v>
      </c>
      <c r="CE110" s="117" t="n">
        <f aca="false">SUMIFS(الريسبي!$C$2:$C$1800,الريسبي!$A$2:$A$1800,$A110,الريسبي!$B$2:$B$1800,CE$1)</f>
        <v>0</v>
      </c>
      <c r="CF110" s="117" t="n">
        <f aca="false">SUMIFS(الريسبي!$C$2:$C$1800,الريسبي!$A$2:$A$1800,$A110,الريسبي!$B$2:$B$1800,CF$1)</f>
        <v>0</v>
      </c>
      <c r="CG110" s="117" t="n">
        <f aca="false">SUMIFS(الريسبي!$C$2:$C$1800,الريسبي!$A$2:$A$1800,$A110,الريسبي!$B$2:$B$1800,CG$1)</f>
        <v>0</v>
      </c>
      <c r="CH110" s="117" t="n">
        <f aca="false">SUMIFS(الريسبي!$C$2:$C$1800,الريسبي!$A$2:$A$1800,$A110,الريسبي!$B$2:$B$1800,CH$1)</f>
        <v>0</v>
      </c>
      <c r="CI110" s="117" t="n">
        <f aca="false">SUMIFS(الريسبي!$C$2:$C$1800,الريسبي!$A$2:$A$1800,$A110,الريسبي!$B$2:$B$1800,CI$1)</f>
        <v>0</v>
      </c>
      <c r="CJ110" s="117" t="n">
        <f aca="false">SUMIFS(الريسبي!$C$2:$C$1800,الريسبي!$A$2:$A$1800,$A110,الريسبي!$B$2:$B$1800,CJ$1)</f>
        <v>0</v>
      </c>
      <c r="CK110" s="117" t="n">
        <f aca="false">SUMIFS(الريسبي!$C$2:$C$1800,الريسبي!$A$2:$A$1800,$A110,الريسبي!$B$2:$B$1800,CK$1)</f>
        <v>0</v>
      </c>
      <c r="CL110" s="117" t="n">
        <f aca="false">SUMIFS(الريسبي!$C$2:$C$1800,الريسبي!$A$2:$A$1800,$A110,الريسبي!$B$2:$B$1800,CL$1)</f>
        <v>0</v>
      </c>
    </row>
    <row r="111" customFormat="false" ht="15" hidden="false" customHeight="false" outlineLevel="0" collapsed="false">
      <c r="A111" s="116" t="str">
        <f aca="false">المنيو!B111</f>
        <v>فطيرة سكر / كاستر صيامي</v>
      </c>
      <c r="B111" s="117" t="n">
        <f aca="false">SUMIFS(الريسبي!$C$2:$C$1800,الريسبي!$A$2:$A$1800,$A111,الريسبي!$B$2:$B$1800,B$1)</f>
        <v>0</v>
      </c>
      <c r="C111" s="117" t="n">
        <f aca="false">SUMIFS(الريسبي!$C$2:$C$1800,الريسبي!$A$2:$A$1800,$A111,الريسبي!$B$2:$B$1800,C$1)</f>
        <v>1</v>
      </c>
      <c r="D111" s="117" t="n">
        <f aca="false">SUMIFS(الريسبي!$C$2:$C$1800,الريسبي!$A$2:$A$1800,$A111,الريسبي!$B$2:$B$1800,D$1)</f>
        <v>0</v>
      </c>
      <c r="E111" s="117" t="n">
        <f aca="false">SUMIFS(الريسبي!$C$2:$C$1800,الريسبي!$A$2:$A$1800,$A111,الريسبي!$B$2:$B$1800,E$1)</f>
        <v>1</v>
      </c>
      <c r="F111" s="117" t="n">
        <f aca="false">SUMIFS(الريسبي!$C$2:$C$1800,الريسبي!$A$2:$A$1800,$A111,الريسبي!$B$2:$B$1800,F$1)</f>
        <v>0</v>
      </c>
      <c r="G111" s="117" t="n">
        <f aca="false">SUMIFS(الريسبي!$C$2:$C$1800,الريسبي!$A$2:$A$1800,$A111,الريسبي!$B$2:$B$1800,G$1)</f>
        <v>0</v>
      </c>
      <c r="H111" s="117" t="n">
        <f aca="false">SUMIFS(الريسبي!$C$2:$C$1800,الريسبي!$A$2:$A$1800,$A111,الريسبي!$B$2:$B$1800,H$1)</f>
        <v>0</v>
      </c>
      <c r="I111" s="117" t="n">
        <f aca="false">SUMIFS(الريسبي!$C$2:$C$1800,الريسبي!$A$2:$A$1800,$A111,الريسبي!$B$2:$B$1800,I$1)</f>
        <v>0</v>
      </c>
      <c r="J111" s="117" t="n">
        <f aca="false">SUMIFS(الريسبي!$C$2:$C$1800,الريسبي!$A$2:$A$1800,$A111,الريسبي!$B$2:$B$1800,J$1)</f>
        <v>0</v>
      </c>
      <c r="K111" s="117" t="n">
        <f aca="false">SUMIFS(الريسبي!$C$2:$C$1800,الريسبي!$A$2:$A$1800,$A111,الريسبي!$B$2:$B$1800,K$1)</f>
        <v>0</v>
      </c>
      <c r="L111" s="117" t="n">
        <f aca="false">SUMIFS(الريسبي!$C$2:$C$1800,الريسبي!$A$2:$A$1800,$A111,الريسبي!$B$2:$B$1800,L$1)</f>
        <v>0</v>
      </c>
      <c r="M111" s="117" t="n">
        <f aca="false">SUMIFS(الريسبي!$C$2:$C$1800,الريسبي!$A$2:$A$1800,$A111,الريسبي!$B$2:$B$1800,M$1)</f>
        <v>0</v>
      </c>
      <c r="N111" s="117" t="n">
        <f aca="false">SUMIFS(الريسبي!$C$2:$C$1800,الريسبي!$A$2:$A$1800,$A111,الريسبي!$B$2:$B$1800,N$1)</f>
        <v>0</v>
      </c>
      <c r="O111" s="117" t="n">
        <f aca="false">SUMIFS(الريسبي!$C$2:$C$1800,الريسبي!$A$2:$A$1800,$A111,الريسبي!$B$2:$B$1800,O$1)</f>
        <v>0</v>
      </c>
      <c r="P111" s="117" t="n">
        <f aca="false">SUMIFS(الريسبي!$C$2:$C$1800,الريسبي!$A$2:$A$1800,$A111,الريسبي!$B$2:$B$1800,P$1)</f>
        <v>0</v>
      </c>
      <c r="Q111" s="117" t="n">
        <f aca="false">SUMIFS(الريسبي!$C$2:$C$1800,الريسبي!$A$2:$A$1800,$A111,الريسبي!$B$2:$B$1800,Q$1)</f>
        <v>0</v>
      </c>
      <c r="R111" s="117" t="n">
        <f aca="false">SUMIFS(الريسبي!$C$2:$C$1800,الريسبي!$A$2:$A$1800,$A111,الريسبي!$B$2:$B$1800,R$1)</f>
        <v>0</v>
      </c>
      <c r="S111" s="117" t="n">
        <f aca="false">SUMIFS(الريسبي!$C$2:$C$1800,الريسبي!$A$2:$A$1800,$A111,الريسبي!$B$2:$B$1800,S$1)</f>
        <v>0</v>
      </c>
      <c r="T111" s="117" t="n">
        <f aca="false">SUMIFS(الريسبي!$C$2:$C$1800,الريسبي!$A$2:$A$1800,$A111,الريسبي!$B$2:$B$1800,T$1)</f>
        <v>0</v>
      </c>
      <c r="U111" s="117" t="n">
        <f aca="false">SUMIFS(الريسبي!$C$2:$C$1800,الريسبي!$A$2:$A$1800,$A111,الريسبي!$B$2:$B$1800,U$1)</f>
        <v>0</v>
      </c>
      <c r="V111" s="117" t="n">
        <f aca="false">SUMIFS(الريسبي!$C$2:$C$1800,الريسبي!$A$2:$A$1800,$A111,الريسبي!$B$2:$B$1800,V$1)+1.5*(SUMIFS(الريسبي!$C$2:$C$1800,الريسبي!$A$2:$A$1800,$A111,الريسبي!$B$2:$B$1800,"برسيون موتزريلا بيتزا كبير"))</f>
        <v>0</v>
      </c>
      <c r="W111" s="117" t="n">
        <f aca="false">0</f>
        <v>0</v>
      </c>
      <c r="X111" s="117" t="n">
        <f aca="false">SUMIFS(الريسبي!$C$2:$C$1800,الريسبي!$A$2:$A$1800,$A111,الريسبي!$B$2:$B$1800,X$1)+1.5*(SUMIFS(الريسبي!$C$2:$C$1800,الريسبي!$A$2:$A$1800,$A111,الريسبي!$B$2:$B$1800,"برسيون موتزريلا فطير كبير"))</f>
        <v>0</v>
      </c>
      <c r="Y111" s="117" t="n">
        <f aca="false">0</f>
        <v>0</v>
      </c>
      <c r="Z111" s="117" t="n">
        <f aca="false">SUMIFS(الريسبي!$C$2:$C$1800,الريسبي!$A$2:$A$1800,$A111,الريسبي!$B$2:$B$1800,Z$1)</f>
        <v>0</v>
      </c>
      <c r="AA111" s="117" t="n">
        <f aca="false">SUMIFS(الريسبي!$C$2:$C$1800,الريسبي!$A$2:$A$1800,$A111,الريسبي!$B$2:$B$1800,AA$1)</f>
        <v>0</v>
      </c>
      <c r="AB111" s="117" t="n">
        <f aca="false">SUMIFS(الريسبي!$C$2:$C$1800,الريسبي!$A$2:$A$1800,$A111,الريسبي!$B$2:$B$1800,AB$1)</f>
        <v>0</v>
      </c>
      <c r="AC111" s="117" t="n">
        <f aca="false">SUMIFS(الريسبي!$C$2:$C$1800,الريسبي!$A$2:$A$1800,$A111,الريسبي!$B$2:$B$1800,AC$1)</f>
        <v>0</v>
      </c>
      <c r="AD111" s="117" t="n">
        <f aca="false">SUMIFS(الريسبي!$C$2:$C$1800,الريسبي!$A$2:$A$1800,$A111,الريسبي!$B$2:$B$1800,AD$1)</f>
        <v>0</v>
      </c>
      <c r="AE111" s="117" t="n">
        <f aca="false">SUMIFS(الريسبي!$C$2:$C$1800,الريسبي!$A$2:$A$1800,$A111,الريسبي!$B$2:$B$1800,AE$1)</f>
        <v>0</v>
      </c>
      <c r="AF111" s="117" t="n">
        <f aca="false">SUMIFS(الريسبي!$C$2:$C$1800,الريسبي!$A$2:$A$1800,$A111,الريسبي!$B$2:$B$1800,AF$1)</f>
        <v>1</v>
      </c>
      <c r="AG111" s="117" t="n">
        <f aca="false">SUMIFS(الريسبي!$C$2:$C$1800,الريسبي!$A$2:$A$1800,$A111,الريسبي!$B$2:$B$1800,AG$1)</f>
        <v>0</v>
      </c>
      <c r="AH111" s="117" t="n">
        <f aca="false">SUMIFS(الريسبي!$C$2:$C$1800,الريسبي!$A$2:$A$1800,$A111,الريسبي!$B$2:$B$1800,AH$1)</f>
        <v>0</v>
      </c>
      <c r="AI111" s="117" t="n">
        <f aca="false">SUMIFS(الريسبي!$C$2:$C$1800,الريسبي!$A$2:$A$1800,$A111,الريسبي!$B$2:$B$1800,AI$1)</f>
        <v>0</v>
      </c>
      <c r="AJ111" s="117" t="n">
        <f aca="false">SUMIFS(الريسبي!$C$2:$C$1800,الريسبي!$A$2:$A$1800,$A111,الريسبي!$B$2:$B$1800,AJ$1)</f>
        <v>2</v>
      </c>
      <c r="AK111" s="117" t="n">
        <f aca="false">SUMIFS(الريسبي!$C$2:$C$1800,الريسبي!$A$2:$A$1800,$A111,الريسبي!$B$2:$B$1800,AK$1)</f>
        <v>0</v>
      </c>
      <c r="AL111" s="117" t="n">
        <f aca="false">SUMIFS(الريسبي!$C$2:$C$1800,الريسبي!$A$2:$A$1800,$A111,الريسبي!$B$2:$B$1800,AL$1)</f>
        <v>0</v>
      </c>
      <c r="AM111" s="117" t="n">
        <f aca="false">SUMIFS(الريسبي!$C$2:$C$1800,الريسبي!$A$2:$A$1800,$A111,الريسبي!$B$2:$B$1800,AM$1)+0.08333333333*SUMIFS(الريسبي!$C$2:$C$1800,الريسبي!$A$2:$A$1800,$A111,الريسبي!$B$2:$B$1800,"عجين كريب (مصنع بالمطعم)")+0.08333333333*SUMIFS(الريسبي!$C$2:$C$1800,الريسبي!$A$2:$A$1800,$A111,الريسبي!$B$2:$B$1800,"عجين كريب صيامي (بدون لبن)")</f>
        <v>0</v>
      </c>
      <c r="AN111" s="117" t="n">
        <f aca="false">SUMIFS(الريسبي!$C$2:$C$1800,الريسبي!$A$2:$A$1800,$A111,الريسبي!$B$2:$B$1800,AN$1)+0.004166666667*SUMIFS(الريسبي!$C$2:$C$1800,الريسبي!$A$2:$A$1800,$A111,الريسبي!$B$2:$B$1800,"عجين كريب (مصنع بالمطعم)")+0.004166666667*SUMIFS(الريسبي!$C$2:$C$1800,الريسبي!$A$2:$A$1800,$A111,الريسبي!$B$2:$B$1800,"عجين كريب صيامي (بدون لبن)")</f>
        <v>0</v>
      </c>
      <c r="AO111" s="117" t="n">
        <f aca="false">SUMIFS(الريسبي!$C$2:$C$1800,الريسبي!$A$2:$A$1800,$A111,الريسبي!$B$2:$B$1800,AO$1)</f>
        <v>0</v>
      </c>
      <c r="AP111" s="117" t="n">
        <f aca="false">SUMIFS(الريسبي!$C$2:$C$1800,الريسبي!$A$2:$A$1800,$A111,الريسبي!$B$2:$B$1800,AP$1)</f>
        <v>0</v>
      </c>
      <c r="AQ111" s="117" t="n">
        <f aca="false">SUMIFS(الريسبي!$C$2:$C$1800,الريسبي!$A$2:$A$1800,$A111,الريسبي!$B$2:$B$1800,AQ$1)+0.004166666667*SUMIFS(الريسبي!$C$2:$C$1800,الريسبي!$A$2:$A$1800,$A111,الريسبي!$B$2:$B$1800,"عجين كريب (مصنع بالمطعم)")+0.004166666667*SUMIFS(الريسبي!$C$2:$C$1800,الريسبي!$A$2:$A$1800,$A111,الريسبي!$B$2:$B$1800,"عجين كريب صيامي (بدون لبن)")</f>
        <v>0.05</v>
      </c>
      <c r="AR111" s="117" t="n">
        <f aca="false">SUMIFS(الريسبي!$C$2:$C$1800,الريسبي!$A$2:$A$1800,$A111,الريسبي!$B$2:$B$1800,AR$1)</f>
        <v>0</v>
      </c>
      <c r="AS111" s="117" t="n">
        <f aca="false">SUMIFS(الريسبي!$C$2:$C$1800,الريسبي!$A$2:$A$1800,$A111,الريسبي!$B$2:$B$1800,AS$1)</f>
        <v>0</v>
      </c>
      <c r="AT111" s="117" t="n">
        <f aca="false">SUMIFS(الريسبي!$C$2:$C$1800,الريسبي!$A$2:$A$1800,$A111,الريسبي!$B$2:$B$1800,AT$1)</f>
        <v>1</v>
      </c>
      <c r="AU111" s="117" t="n">
        <f aca="false">SUMIFS(الريسبي!$C$2:$C$1800,الريسبي!$A$2:$A$1800,$A111,الريسبي!$B$2:$B$1800,AU$1)</f>
        <v>1</v>
      </c>
      <c r="AV111" s="117" t="n">
        <f aca="false">SUMIFS(الريسبي!$C$2:$C$1800,الريسبي!$A$2:$A$1800,$A111,الريسبي!$B$2:$B$1800,AV$1)</f>
        <v>0</v>
      </c>
      <c r="AW111" s="117" t="n">
        <f aca="false">SUMIFS(الريسبي!$C$2:$C$1800,الريسبي!$A$2:$A$1800,$A111,الريسبي!$B$2:$B$1800,AW$1)</f>
        <v>0</v>
      </c>
      <c r="AX111" s="117" t="n">
        <f aca="false">SUMIFS(الريسبي!$C$2:$C$1800,الريسبي!$A$2:$A$1800,$A111,الريسبي!$B$2:$B$1800,AX$1)</f>
        <v>0</v>
      </c>
      <c r="AY111" s="117" t="n">
        <f aca="false">SUMIFS(الريسبي!$C$2:$C$1800,الريسبي!$A$2:$A$1800,$A111,الريسبي!$B$2:$B$1800,AY$1)</f>
        <v>0</v>
      </c>
      <c r="AZ111" s="117" t="n">
        <f aca="false">SUMIFS(الريسبي!$C$2:$C$1800,الريسبي!$A$2:$A$1800,$A111,الريسبي!$B$2:$B$1800,AZ$1)</f>
        <v>0</v>
      </c>
      <c r="BA111" s="117" t="n">
        <f aca="false">SUMIFS(الريسبي!$C$2:$C$1800,الريسبي!$A$2:$A$1800,$A111,الريسبي!$B$2:$B$1800,BA$1)</f>
        <v>0</v>
      </c>
      <c r="BB111" s="117" t="n">
        <f aca="false">SUMIFS(الريسبي!$C$2:$C$1800,الريسبي!$A$2:$A$1800,$A111,الريسبي!$B$2:$B$1800,BB$1)</f>
        <v>0</v>
      </c>
      <c r="BC111" s="117" t="n">
        <f aca="false">SUMIFS(الريسبي!$C$2:$C$1800,الريسبي!$A$2:$A$1800,$A111,الريسبي!$B$2:$B$1800,BC$1)</f>
        <v>0</v>
      </c>
      <c r="BD111" s="117" t="n">
        <f aca="false">SUMIFS(الريسبي!$C$2:$C$1800,الريسبي!$A$2:$A$1800,$A111,الريسبي!$B$2:$B$1800,BD$1)</f>
        <v>0</v>
      </c>
      <c r="BE111" s="117" t="n">
        <f aca="false">SUMIFS(الريسبي!$C$2:$C$1800,الريسبي!$A$2:$A$1800,$A111,الريسبي!$B$2:$B$1800,BE$1)</f>
        <v>1</v>
      </c>
      <c r="BF111" s="117" t="n">
        <f aca="false">SUMIFS(الريسبي!$C$2:$C$1800,الريسبي!$A$2:$A$1800,$A111,الريسبي!$B$2:$B$1800,BF$1)</f>
        <v>0</v>
      </c>
      <c r="BG111" s="117" t="n">
        <f aca="false">SUMIFS(الريسبي!$C$2:$C$1800,الريسبي!$A$2:$A$1800,$A111,الريسبي!$B$2:$B$1800,BG$1)</f>
        <v>0</v>
      </c>
      <c r="BH111" s="117" t="n">
        <f aca="false">SUMIFS(الريسبي!$C$2:$C$1800,الريسبي!$A$2:$A$1800,$A111,الريسبي!$B$2:$B$1800,BH$1)</f>
        <v>0</v>
      </c>
      <c r="BI111" s="117" t="n">
        <f aca="false">SUMIFS(الريسبي!$C$2:$C$1800,الريسبي!$A$2:$A$1800,$A111,الريسبي!$B$2:$B$1800,BI$1)</f>
        <v>0</v>
      </c>
      <c r="BJ111" s="117" t="n">
        <f aca="false">SUMIFS(الريسبي!$C$2:$C$1800,الريسبي!$A$2:$A$1800,$A111,الريسبي!$B$2:$B$1800,BJ$1)</f>
        <v>0</v>
      </c>
      <c r="BK111" s="117" t="n">
        <f aca="false">SUMIFS(الريسبي!$C$2:$C$1800,الريسبي!$A$2:$A$1800,$A111,الريسبي!$B$2:$B$1800,BK$1)</f>
        <v>0</v>
      </c>
      <c r="BL111" s="117" t="n">
        <f aca="false">SUMIFS(الريسبي!$C$2:$C$1800,الريسبي!$A$2:$A$1800,$A111,الريسبي!$B$2:$B$1800,BL$1)</f>
        <v>0</v>
      </c>
      <c r="BM111" s="117" t="n">
        <f aca="false">SUMIFS(الريسبي!$C$2:$C$1800,الريسبي!$A$2:$A$1800,$A111,الريسبي!$B$2:$B$1800,BM$1)</f>
        <v>0</v>
      </c>
      <c r="BN111" s="117" t="n">
        <f aca="false">SUMIFS(الريسبي!$C$2:$C$1800,الريسبي!$A$2:$A$1800,$A111,الريسبي!$B$2:$B$1800,BN$1)</f>
        <v>0</v>
      </c>
      <c r="BO111" s="117" t="n">
        <f aca="false">SUMIFS(الريسبي!$C$2:$C$1800,الريسبي!$A$2:$A$1800,$A111,الريسبي!$B$2:$B$1800,BO$1)</f>
        <v>0</v>
      </c>
      <c r="BP111" s="117" t="n">
        <f aca="false">SUMIFS(الريسبي!$C$2:$C$1800,الريسبي!$A$2:$A$1800,$A111,الريسبي!$B$2:$B$1800,BP$1)</f>
        <v>0</v>
      </c>
      <c r="BQ111" s="117" t="n">
        <f aca="false">SUMIFS(الريسبي!$C$2:$C$1800,الريسبي!$A$2:$A$1800,$A111,الريسبي!$B$2:$B$1800,BQ$1)+0.17*SUMIFS(الريسبي!$C$2:$C$1800,الريسبي!$A$2:$A$1800,$A111,الريسبي!$B$2:$B$1800,"كاسترد مصنع (خليط بودر + لبن)")+0.17*SUMIFS(الريسبي!$C$2:$C$1800,الريسبي!$A$2:$A$1800,$A111,الريسبي!$B$2:$B$1800,"كاسترد مصنع صيامي (بدون لبن)")</f>
        <v>0.0255</v>
      </c>
      <c r="BR111" s="117" t="n">
        <f aca="false">SUMIFS(الريسبي!$C$2:$C$1800,الريسبي!$A$2:$A$1800,$A111,الريسبي!$B$2:$B$1800,BR$1)</f>
        <v>0</v>
      </c>
      <c r="BS111" s="117" t="n">
        <f aca="false">SUMIFS(الريسبي!$C$2:$C$1800,الريسبي!$A$2:$A$1800,$A111,الريسبي!$B$2:$B$1800,BS$1)</f>
        <v>0</v>
      </c>
      <c r="BT111" s="117" t="n">
        <f aca="false">SUMIFS(الريسبي!$C$2:$C$1800,الريسبي!$A$2:$A$1800,$A111,الريسبي!$B$2:$B$1800,BT$1)</f>
        <v>0</v>
      </c>
      <c r="BU111" s="117" t="n">
        <f aca="false">SUMIFS(الريسبي!$C$2:$C$1800,الريسبي!$A$2:$A$1800,$A111,الريسبي!$B$2:$B$1800,BU$1)+0.4*SUMIFS(الريسبي!$C$2:$C$1800,الريسبي!$A$2:$A$1800,$A111,الريسبي!$B$2:$B$1800,"كاسترد مصنع (خليط بودر + لبن)")+0.03333333333*SUMIFS(الريسبي!$C$2:$C$1800,الريسبي!$A$2:$A$1800,$A111,الريسبي!$B$2:$B$1800,"عجين كريب (مصنع بالمطعم)")</f>
        <v>0</v>
      </c>
      <c r="BV111" s="117" t="n">
        <f aca="false">SUMIFS(الريسبي!$C$2:$C$1800,الريسبي!$A$2:$A$1800,$A111,الريسبي!$B$2:$B$1800,BV$1)</f>
        <v>0</v>
      </c>
      <c r="BW111" s="117" t="n">
        <f aca="false">SUMIFS(الريسبي!$C$2:$C$1800,الريسبي!$A$2:$A$1800,$A111,الريسبي!$B$2:$B$1800,BW$1)</f>
        <v>0</v>
      </c>
      <c r="BX111" s="117" t="n">
        <f aca="false">SUMIFS(الريسبي!$C$2:$C$1800,الريسبي!$A$2:$A$1800,$A111,الريسبي!$B$2:$B$1800,BX$1)</f>
        <v>0</v>
      </c>
      <c r="BY111" s="117" t="n">
        <f aca="false">SUMIFS(الريسبي!$C$2:$C$1800,الريسبي!$A$2:$A$1800,$A111,الريسبي!$B$2:$B$1800,BY$1)</f>
        <v>0</v>
      </c>
      <c r="BZ111" s="117" t="n">
        <f aca="false">SUMIFS(الريسبي!$C$2:$C$1800,الريسبي!$A$2:$A$1800,$A111,الريسبي!$B$2:$B$1800,BZ$1)</f>
        <v>0</v>
      </c>
      <c r="CA111" s="117" t="n">
        <f aca="false">SUMIFS(الريسبي!$C$2:$C$1800,الريسبي!$A$2:$A$1800,$A111,الريسبي!$B$2:$B$1800,CA$1)</f>
        <v>0</v>
      </c>
      <c r="CB111" s="117" t="n">
        <f aca="false">SUMIFS(الريسبي!$C$2:$C$1800,الريسبي!$A$2:$A$1800,$A111,الريسبي!$B$2:$B$1800,CB$1)</f>
        <v>0</v>
      </c>
      <c r="CC111" s="117" t="n">
        <f aca="false">SUMIFS(الريسبي!$C$2:$C$1800,الريسبي!$A$2:$A$1800,$A111,الريسبي!$B$2:$B$1800,CC$1)</f>
        <v>0</v>
      </c>
      <c r="CD111" s="117" t="n">
        <f aca="false">SUMIFS(الريسبي!$C$2:$C$1800,الريسبي!$A$2:$A$1800,$A111,الريسبي!$B$2:$B$1800,CD$1)</f>
        <v>0</v>
      </c>
      <c r="CE111" s="117" t="n">
        <f aca="false">SUMIFS(الريسبي!$C$2:$C$1800,الريسبي!$A$2:$A$1800,$A111,الريسبي!$B$2:$B$1800,CE$1)</f>
        <v>0</v>
      </c>
      <c r="CF111" s="117" t="n">
        <f aca="false">SUMIFS(الريسبي!$C$2:$C$1800,الريسبي!$A$2:$A$1800,$A111,الريسبي!$B$2:$B$1800,CF$1)</f>
        <v>0</v>
      </c>
      <c r="CG111" s="117" t="n">
        <f aca="false">SUMIFS(الريسبي!$C$2:$C$1800,الريسبي!$A$2:$A$1800,$A111,الريسبي!$B$2:$B$1800,CG$1)</f>
        <v>0</v>
      </c>
      <c r="CH111" s="117" t="n">
        <f aca="false">SUMIFS(الريسبي!$C$2:$C$1800,الريسبي!$A$2:$A$1800,$A111,الريسبي!$B$2:$B$1800,CH$1)</f>
        <v>0</v>
      </c>
      <c r="CI111" s="117" t="n">
        <f aca="false">SUMIFS(الريسبي!$C$2:$C$1800,الريسبي!$A$2:$A$1800,$A111,الريسبي!$B$2:$B$1800,CI$1)</f>
        <v>0</v>
      </c>
      <c r="CJ111" s="117" t="n">
        <f aca="false">SUMIFS(الريسبي!$C$2:$C$1800,الريسبي!$A$2:$A$1800,$A111,الريسبي!$B$2:$B$1800,CJ$1)</f>
        <v>0</v>
      </c>
      <c r="CK111" s="117" t="n">
        <f aca="false">SUMIFS(الريسبي!$C$2:$C$1800,الريسبي!$A$2:$A$1800,$A111,الريسبي!$B$2:$B$1800,CK$1)</f>
        <v>0</v>
      </c>
      <c r="CL111" s="117" t="n">
        <f aca="false">SUMIFS(الريسبي!$C$2:$C$1800,الريسبي!$A$2:$A$1800,$A111,الريسبي!$B$2:$B$1800,CL$1)</f>
        <v>0</v>
      </c>
    </row>
    <row r="112" customFormat="false" ht="15" hidden="false" customHeight="false" outlineLevel="0" collapsed="false">
      <c r="A112" s="116" t="str">
        <f aca="false">المنيو!B112</f>
        <v>فطيرة ملوكي زبيب وجوزهند صيامي</v>
      </c>
      <c r="B112" s="117" t="n">
        <f aca="false">SUMIFS(الريسبي!$C$2:$C$1800,الريسبي!$A$2:$A$1800,$A112,الريسبي!$B$2:$B$1800,B$1)</f>
        <v>0</v>
      </c>
      <c r="C112" s="117" t="n">
        <f aca="false">SUMIFS(الريسبي!$C$2:$C$1800,الريسبي!$A$2:$A$1800,$A112,الريسبي!$B$2:$B$1800,C$1)</f>
        <v>0</v>
      </c>
      <c r="D112" s="117" t="n">
        <f aca="false">SUMIFS(الريسبي!$C$2:$C$1800,الريسبي!$A$2:$A$1800,$A112,الريسبي!$B$2:$B$1800,D$1)</f>
        <v>0</v>
      </c>
      <c r="E112" s="117" t="n">
        <f aca="false">SUMIFS(الريسبي!$C$2:$C$1800,الريسبي!$A$2:$A$1800,$A112,الريسبي!$B$2:$B$1800,E$1)</f>
        <v>1</v>
      </c>
      <c r="F112" s="117" t="n">
        <f aca="false">SUMIFS(الريسبي!$C$2:$C$1800,الريسبي!$A$2:$A$1800,$A112,الريسبي!$B$2:$B$1800,F$1)</f>
        <v>0</v>
      </c>
      <c r="G112" s="117" t="n">
        <f aca="false">SUMIFS(الريسبي!$C$2:$C$1800,الريسبي!$A$2:$A$1800,$A112,الريسبي!$B$2:$B$1800,G$1)</f>
        <v>0</v>
      </c>
      <c r="H112" s="117" t="n">
        <f aca="false">SUMIFS(الريسبي!$C$2:$C$1800,الريسبي!$A$2:$A$1800,$A112,الريسبي!$B$2:$B$1800,H$1)</f>
        <v>0</v>
      </c>
      <c r="I112" s="117" t="n">
        <f aca="false">SUMIFS(الريسبي!$C$2:$C$1800,الريسبي!$A$2:$A$1800,$A112,الريسبي!$B$2:$B$1800,I$1)</f>
        <v>0</v>
      </c>
      <c r="J112" s="117" t="n">
        <f aca="false">SUMIFS(الريسبي!$C$2:$C$1800,الريسبي!$A$2:$A$1800,$A112,الريسبي!$B$2:$B$1800,J$1)</f>
        <v>0</v>
      </c>
      <c r="K112" s="117" t="n">
        <f aca="false">SUMIFS(الريسبي!$C$2:$C$1800,الريسبي!$A$2:$A$1800,$A112,الريسبي!$B$2:$B$1800,K$1)</f>
        <v>0</v>
      </c>
      <c r="L112" s="117" t="n">
        <f aca="false">SUMIFS(الريسبي!$C$2:$C$1800,الريسبي!$A$2:$A$1800,$A112,الريسبي!$B$2:$B$1800,L$1)</f>
        <v>0</v>
      </c>
      <c r="M112" s="117" t="n">
        <f aca="false">SUMIFS(الريسبي!$C$2:$C$1800,الريسبي!$A$2:$A$1800,$A112,الريسبي!$B$2:$B$1800,M$1)</f>
        <v>0</v>
      </c>
      <c r="N112" s="117" t="n">
        <f aca="false">SUMIFS(الريسبي!$C$2:$C$1800,الريسبي!$A$2:$A$1800,$A112,الريسبي!$B$2:$B$1800,N$1)</f>
        <v>0</v>
      </c>
      <c r="O112" s="117" t="n">
        <f aca="false">SUMIFS(الريسبي!$C$2:$C$1800,الريسبي!$A$2:$A$1800,$A112,الريسبي!$B$2:$B$1800,O$1)</f>
        <v>0</v>
      </c>
      <c r="P112" s="117" t="n">
        <f aca="false">SUMIFS(الريسبي!$C$2:$C$1800,الريسبي!$A$2:$A$1800,$A112,الريسبي!$B$2:$B$1800,P$1)</f>
        <v>0</v>
      </c>
      <c r="Q112" s="117" t="n">
        <f aca="false">SUMIFS(الريسبي!$C$2:$C$1800,الريسبي!$A$2:$A$1800,$A112,الريسبي!$B$2:$B$1800,Q$1)</f>
        <v>0</v>
      </c>
      <c r="R112" s="117" t="n">
        <f aca="false">SUMIFS(الريسبي!$C$2:$C$1800,الريسبي!$A$2:$A$1800,$A112,الريسبي!$B$2:$B$1800,R$1)</f>
        <v>0</v>
      </c>
      <c r="S112" s="117" t="n">
        <f aca="false">SUMIFS(الريسبي!$C$2:$C$1800,الريسبي!$A$2:$A$1800,$A112,الريسبي!$B$2:$B$1800,S$1)</f>
        <v>0</v>
      </c>
      <c r="T112" s="117" t="n">
        <f aca="false">SUMIFS(الريسبي!$C$2:$C$1800,الريسبي!$A$2:$A$1800,$A112,الريسبي!$B$2:$B$1800,T$1)</f>
        <v>0</v>
      </c>
      <c r="U112" s="117" t="n">
        <f aca="false">SUMIFS(الريسبي!$C$2:$C$1800,الريسبي!$A$2:$A$1800,$A112,الريسبي!$B$2:$B$1800,U$1)</f>
        <v>0</v>
      </c>
      <c r="V112" s="117" t="n">
        <f aca="false">SUMIFS(الريسبي!$C$2:$C$1800,الريسبي!$A$2:$A$1800,$A112,الريسبي!$B$2:$B$1800,V$1)+1.5*(SUMIFS(الريسبي!$C$2:$C$1800,الريسبي!$A$2:$A$1800,$A112,الريسبي!$B$2:$B$1800,"برسيون موتزريلا بيتزا كبير"))</f>
        <v>0</v>
      </c>
      <c r="W112" s="117" t="n">
        <f aca="false">0</f>
        <v>0</v>
      </c>
      <c r="X112" s="117" t="n">
        <f aca="false">SUMIFS(الريسبي!$C$2:$C$1800,الريسبي!$A$2:$A$1800,$A112,الريسبي!$B$2:$B$1800,X$1)+1.5*(SUMIFS(الريسبي!$C$2:$C$1800,الريسبي!$A$2:$A$1800,$A112,الريسبي!$B$2:$B$1800,"برسيون موتزريلا فطير كبير"))</f>
        <v>0</v>
      </c>
      <c r="Y112" s="117" t="n">
        <f aca="false">0</f>
        <v>0</v>
      </c>
      <c r="Z112" s="117" t="n">
        <f aca="false">SUMIFS(الريسبي!$C$2:$C$1800,الريسبي!$A$2:$A$1800,$A112,الريسبي!$B$2:$B$1800,Z$1)</f>
        <v>0</v>
      </c>
      <c r="AA112" s="117" t="n">
        <f aca="false">SUMIFS(الريسبي!$C$2:$C$1800,الريسبي!$A$2:$A$1800,$A112,الريسبي!$B$2:$B$1800,AA$1)</f>
        <v>0</v>
      </c>
      <c r="AB112" s="117" t="n">
        <f aca="false">SUMIFS(الريسبي!$C$2:$C$1800,الريسبي!$A$2:$A$1800,$A112,الريسبي!$B$2:$B$1800,AB$1)</f>
        <v>0</v>
      </c>
      <c r="AC112" s="117" t="n">
        <f aca="false">SUMIFS(الريسبي!$C$2:$C$1800,الريسبي!$A$2:$A$1800,$A112,الريسبي!$B$2:$B$1800,AC$1)</f>
        <v>0</v>
      </c>
      <c r="AD112" s="117" t="n">
        <f aca="false">SUMIFS(الريسبي!$C$2:$C$1800,الريسبي!$A$2:$A$1800,$A112,الريسبي!$B$2:$B$1800,AD$1)</f>
        <v>0</v>
      </c>
      <c r="AE112" s="117" t="n">
        <f aca="false">SUMIFS(الريسبي!$C$2:$C$1800,الريسبي!$A$2:$A$1800,$A112,الريسبي!$B$2:$B$1800,AE$1)</f>
        <v>0</v>
      </c>
      <c r="AF112" s="117" t="n">
        <f aca="false">SUMIFS(الريسبي!$C$2:$C$1800,الريسبي!$A$2:$A$1800,$A112,الريسبي!$B$2:$B$1800,AF$1)</f>
        <v>1</v>
      </c>
      <c r="AG112" s="117" t="n">
        <f aca="false">SUMIFS(الريسبي!$C$2:$C$1800,الريسبي!$A$2:$A$1800,$A112,الريسبي!$B$2:$B$1800,AG$1)</f>
        <v>0</v>
      </c>
      <c r="AH112" s="117" t="n">
        <f aca="false">SUMIFS(الريسبي!$C$2:$C$1800,الريسبي!$A$2:$A$1800,$A112,الريسبي!$B$2:$B$1800,AH$1)</f>
        <v>0</v>
      </c>
      <c r="AI112" s="117" t="n">
        <f aca="false">SUMIFS(الريسبي!$C$2:$C$1800,الريسبي!$A$2:$A$1800,$A112,الريسبي!$B$2:$B$1800,AI$1)</f>
        <v>0</v>
      </c>
      <c r="AJ112" s="117" t="n">
        <f aca="false">SUMIFS(الريسبي!$C$2:$C$1800,الريسبي!$A$2:$A$1800,$A112,الريسبي!$B$2:$B$1800,AJ$1)</f>
        <v>0</v>
      </c>
      <c r="AK112" s="117" t="n">
        <f aca="false">SUMIFS(الريسبي!$C$2:$C$1800,الريسبي!$A$2:$A$1800,$A112,الريسبي!$B$2:$B$1800,AK$1)</f>
        <v>0.03</v>
      </c>
      <c r="AL112" s="117" t="n">
        <f aca="false">SUMIFS(الريسبي!$C$2:$C$1800,الريسبي!$A$2:$A$1800,$A112,الريسبي!$B$2:$B$1800,AL$1)</f>
        <v>0</v>
      </c>
      <c r="AM112" s="117" t="n">
        <f aca="false">SUMIFS(الريسبي!$C$2:$C$1800,الريسبي!$A$2:$A$1800,$A112,الريسبي!$B$2:$B$1800,AM$1)+0.08333333333*SUMIFS(الريسبي!$C$2:$C$1800,الريسبي!$A$2:$A$1800,$A112,الريسبي!$B$2:$B$1800,"عجين كريب (مصنع بالمطعم)")+0.08333333333*SUMIFS(الريسبي!$C$2:$C$1800,الريسبي!$A$2:$A$1800,$A112,الريسبي!$B$2:$B$1800,"عجين كريب صيامي (بدون لبن)")</f>
        <v>0</v>
      </c>
      <c r="AN112" s="117" t="n">
        <f aca="false">SUMIFS(الريسبي!$C$2:$C$1800,الريسبي!$A$2:$A$1800,$A112,الريسبي!$B$2:$B$1800,AN$1)+0.004166666667*SUMIFS(الريسبي!$C$2:$C$1800,الريسبي!$A$2:$A$1800,$A112,الريسبي!$B$2:$B$1800,"عجين كريب (مصنع بالمطعم)")+0.004166666667*SUMIFS(الريسبي!$C$2:$C$1800,الريسبي!$A$2:$A$1800,$A112,الريسبي!$B$2:$B$1800,"عجين كريب صيامي (بدون لبن)")</f>
        <v>0</v>
      </c>
      <c r="AO112" s="117" t="n">
        <f aca="false">SUMIFS(الريسبي!$C$2:$C$1800,الريسبي!$A$2:$A$1800,$A112,الريسبي!$B$2:$B$1800,AO$1)</f>
        <v>0.06</v>
      </c>
      <c r="AP112" s="117" t="n">
        <f aca="false">SUMIFS(الريسبي!$C$2:$C$1800,الريسبي!$A$2:$A$1800,$A112,الريسبي!$B$2:$B$1800,AP$1)</f>
        <v>0</v>
      </c>
      <c r="AQ112" s="117" t="n">
        <f aca="false">SUMIFS(الريسبي!$C$2:$C$1800,الريسبي!$A$2:$A$1800,$A112,الريسبي!$B$2:$B$1800,AQ$1)+0.004166666667*SUMIFS(الريسبي!$C$2:$C$1800,الريسبي!$A$2:$A$1800,$A112,الريسبي!$B$2:$B$1800,"عجين كريب (مصنع بالمطعم)")+0.004166666667*SUMIFS(الريسبي!$C$2:$C$1800,الريسبي!$A$2:$A$1800,$A112,الريسبي!$B$2:$B$1800,"عجين كريب صيامي (بدون لبن)")</f>
        <v>0.05</v>
      </c>
      <c r="AR112" s="117" t="n">
        <f aca="false">SUMIFS(الريسبي!$C$2:$C$1800,الريسبي!$A$2:$A$1800,$A112,الريسبي!$B$2:$B$1800,AR$1)</f>
        <v>0</v>
      </c>
      <c r="AS112" s="117" t="n">
        <f aca="false">SUMIFS(الريسبي!$C$2:$C$1800,الريسبي!$A$2:$A$1800,$A112,الريسبي!$B$2:$B$1800,AS$1)</f>
        <v>0</v>
      </c>
      <c r="AT112" s="117" t="n">
        <f aca="false">SUMIFS(الريسبي!$C$2:$C$1800,الريسبي!$A$2:$A$1800,$A112,الريسبي!$B$2:$B$1800,AT$1)</f>
        <v>0</v>
      </c>
      <c r="AU112" s="117" t="n">
        <f aca="false">SUMIFS(الريسبي!$C$2:$C$1800,الريسبي!$A$2:$A$1800,$A112,الريسبي!$B$2:$B$1800,AU$1)</f>
        <v>1</v>
      </c>
      <c r="AV112" s="117" t="n">
        <f aca="false">SUMIFS(الريسبي!$C$2:$C$1800,الريسبي!$A$2:$A$1800,$A112,الريسبي!$B$2:$B$1800,AV$1)</f>
        <v>0</v>
      </c>
      <c r="AW112" s="117" t="n">
        <f aca="false">SUMIFS(الريسبي!$C$2:$C$1800,الريسبي!$A$2:$A$1800,$A112,الريسبي!$B$2:$B$1800,AW$1)</f>
        <v>0</v>
      </c>
      <c r="AX112" s="117" t="n">
        <f aca="false">SUMIFS(الريسبي!$C$2:$C$1800,الريسبي!$A$2:$A$1800,$A112,الريسبي!$B$2:$B$1800,AX$1)</f>
        <v>0</v>
      </c>
      <c r="AY112" s="117" t="n">
        <f aca="false">SUMIFS(الريسبي!$C$2:$C$1800,الريسبي!$A$2:$A$1800,$A112,الريسبي!$B$2:$B$1800,AY$1)</f>
        <v>0</v>
      </c>
      <c r="AZ112" s="117" t="n">
        <f aca="false">SUMIFS(الريسبي!$C$2:$C$1800,الريسبي!$A$2:$A$1800,$A112,الريسبي!$B$2:$B$1800,AZ$1)</f>
        <v>0</v>
      </c>
      <c r="BA112" s="117" t="n">
        <f aca="false">SUMIFS(الريسبي!$C$2:$C$1800,الريسبي!$A$2:$A$1800,$A112,الريسبي!$B$2:$B$1800,BA$1)</f>
        <v>0</v>
      </c>
      <c r="BB112" s="117" t="n">
        <f aca="false">SUMIFS(الريسبي!$C$2:$C$1800,الريسبي!$A$2:$A$1800,$A112,الريسبي!$B$2:$B$1800,BB$1)</f>
        <v>0</v>
      </c>
      <c r="BC112" s="117" t="n">
        <f aca="false">SUMIFS(الريسبي!$C$2:$C$1800,الريسبي!$A$2:$A$1800,$A112,الريسبي!$B$2:$B$1800,BC$1)</f>
        <v>0</v>
      </c>
      <c r="BD112" s="117" t="n">
        <f aca="false">SUMIFS(الريسبي!$C$2:$C$1800,الريسبي!$A$2:$A$1800,$A112,الريسبي!$B$2:$B$1800,BD$1)</f>
        <v>0</v>
      </c>
      <c r="BE112" s="117" t="n">
        <f aca="false">SUMIFS(الريسبي!$C$2:$C$1800,الريسبي!$A$2:$A$1800,$A112,الريسبي!$B$2:$B$1800,BE$1)</f>
        <v>1</v>
      </c>
      <c r="BF112" s="117" t="n">
        <f aca="false">SUMIFS(الريسبي!$C$2:$C$1800,الريسبي!$A$2:$A$1800,$A112,الريسبي!$B$2:$B$1800,BF$1)</f>
        <v>0</v>
      </c>
      <c r="BG112" s="117" t="n">
        <f aca="false">SUMIFS(الريسبي!$C$2:$C$1800,الريسبي!$A$2:$A$1800,$A112,الريسبي!$B$2:$B$1800,BG$1)</f>
        <v>0</v>
      </c>
      <c r="BH112" s="117" t="n">
        <f aca="false">SUMIFS(الريسبي!$C$2:$C$1800,الريسبي!$A$2:$A$1800,$A112,الريسبي!$B$2:$B$1800,BH$1)</f>
        <v>0</v>
      </c>
      <c r="BI112" s="117" t="n">
        <f aca="false">SUMIFS(الريسبي!$C$2:$C$1800,الريسبي!$A$2:$A$1800,$A112,الريسبي!$B$2:$B$1800,BI$1)</f>
        <v>0</v>
      </c>
      <c r="BJ112" s="117" t="n">
        <f aca="false">SUMIFS(الريسبي!$C$2:$C$1800,الريسبي!$A$2:$A$1800,$A112,الريسبي!$B$2:$B$1800,BJ$1)</f>
        <v>0</v>
      </c>
      <c r="BK112" s="117" t="n">
        <f aca="false">SUMIFS(الريسبي!$C$2:$C$1800,الريسبي!$A$2:$A$1800,$A112,الريسبي!$B$2:$B$1800,BK$1)</f>
        <v>1</v>
      </c>
      <c r="BL112" s="117" t="n">
        <f aca="false">SUMIFS(الريسبي!$C$2:$C$1800,الريسبي!$A$2:$A$1800,$A112,الريسبي!$B$2:$B$1800,BL$1)</f>
        <v>0</v>
      </c>
      <c r="BM112" s="117" t="n">
        <f aca="false">SUMIFS(الريسبي!$C$2:$C$1800,الريسبي!$A$2:$A$1800,$A112,الريسبي!$B$2:$B$1800,BM$1)</f>
        <v>0</v>
      </c>
      <c r="BN112" s="117" t="n">
        <f aca="false">SUMIFS(الريسبي!$C$2:$C$1800,الريسبي!$A$2:$A$1800,$A112,الريسبي!$B$2:$B$1800,BN$1)</f>
        <v>0</v>
      </c>
      <c r="BO112" s="117" t="n">
        <f aca="false">SUMIFS(الريسبي!$C$2:$C$1800,الريسبي!$A$2:$A$1800,$A112,الريسبي!$B$2:$B$1800,BO$1)</f>
        <v>0</v>
      </c>
      <c r="BP112" s="117" t="n">
        <f aca="false">SUMIFS(الريسبي!$C$2:$C$1800,الريسبي!$A$2:$A$1800,$A112,الريسبي!$B$2:$B$1800,BP$1)</f>
        <v>0</v>
      </c>
      <c r="BQ112" s="117" t="n">
        <f aca="false">SUMIFS(الريسبي!$C$2:$C$1800,الريسبي!$A$2:$A$1800,$A112,الريسبي!$B$2:$B$1800,BQ$1)+0.17*SUMIFS(الريسبي!$C$2:$C$1800,الريسبي!$A$2:$A$1800,$A112,الريسبي!$B$2:$B$1800,"كاسترد مصنع (خليط بودر + لبن)")+0.17*SUMIFS(الريسبي!$C$2:$C$1800,الريسبي!$A$2:$A$1800,$A112,الريسبي!$B$2:$B$1800,"كاسترد مصنع صيامي (بدون لبن)")</f>
        <v>0.0255</v>
      </c>
      <c r="BR112" s="117" t="n">
        <f aca="false">SUMIFS(الريسبي!$C$2:$C$1800,الريسبي!$A$2:$A$1800,$A112,الريسبي!$B$2:$B$1800,BR$1)</f>
        <v>0</v>
      </c>
      <c r="BS112" s="117" t="n">
        <f aca="false">SUMIFS(الريسبي!$C$2:$C$1800,الريسبي!$A$2:$A$1800,$A112,الريسبي!$B$2:$B$1800,BS$1)</f>
        <v>0</v>
      </c>
      <c r="BT112" s="117" t="n">
        <f aca="false">SUMIFS(الريسبي!$C$2:$C$1800,الريسبي!$A$2:$A$1800,$A112,الريسبي!$B$2:$B$1800,BT$1)</f>
        <v>0</v>
      </c>
      <c r="BU112" s="117" t="n">
        <f aca="false">SUMIFS(الريسبي!$C$2:$C$1800,الريسبي!$A$2:$A$1800,$A112,الريسبي!$B$2:$B$1800,BU$1)+0.4*SUMIFS(الريسبي!$C$2:$C$1800,الريسبي!$A$2:$A$1800,$A112,الريسبي!$B$2:$B$1800,"كاسترد مصنع (خليط بودر + لبن)")+0.03333333333*SUMIFS(الريسبي!$C$2:$C$1800,الريسبي!$A$2:$A$1800,$A112,الريسبي!$B$2:$B$1800,"عجين كريب (مصنع بالمطعم)")</f>
        <v>0</v>
      </c>
      <c r="BV112" s="117" t="n">
        <f aca="false">SUMIFS(الريسبي!$C$2:$C$1800,الريسبي!$A$2:$A$1800,$A112,الريسبي!$B$2:$B$1800,BV$1)</f>
        <v>0</v>
      </c>
      <c r="BW112" s="117" t="n">
        <f aca="false">SUMIFS(الريسبي!$C$2:$C$1800,الريسبي!$A$2:$A$1800,$A112,الريسبي!$B$2:$B$1800,BW$1)</f>
        <v>0</v>
      </c>
      <c r="BX112" s="117" t="n">
        <f aca="false">SUMIFS(الريسبي!$C$2:$C$1800,الريسبي!$A$2:$A$1800,$A112,الريسبي!$B$2:$B$1800,BX$1)</f>
        <v>0</v>
      </c>
      <c r="BY112" s="117" t="n">
        <f aca="false">SUMIFS(الريسبي!$C$2:$C$1800,الريسبي!$A$2:$A$1800,$A112,الريسبي!$B$2:$B$1800,BY$1)</f>
        <v>0</v>
      </c>
      <c r="BZ112" s="117" t="n">
        <f aca="false">SUMIFS(الريسبي!$C$2:$C$1800,الريسبي!$A$2:$A$1800,$A112,الريسبي!$B$2:$B$1800,BZ$1)</f>
        <v>0</v>
      </c>
      <c r="CA112" s="117" t="n">
        <f aca="false">SUMIFS(الريسبي!$C$2:$C$1800,الريسبي!$A$2:$A$1800,$A112,الريسبي!$B$2:$B$1800,CA$1)</f>
        <v>0</v>
      </c>
      <c r="CB112" s="117" t="n">
        <f aca="false">SUMIFS(الريسبي!$C$2:$C$1800,الريسبي!$A$2:$A$1800,$A112,الريسبي!$B$2:$B$1800,CB$1)</f>
        <v>0</v>
      </c>
      <c r="CC112" s="117" t="n">
        <f aca="false">SUMIFS(الريسبي!$C$2:$C$1800,الريسبي!$A$2:$A$1800,$A112,الريسبي!$B$2:$B$1800,CC$1)</f>
        <v>0</v>
      </c>
      <c r="CD112" s="117" t="n">
        <f aca="false">SUMIFS(الريسبي!$C$2:$C$1800,الريسبي!$A$2:$A$1800,$A112,الريسبي!$B$2:$B$1800,CD$1)</f>
        <v>0</v>
      </c>
      <c r="CE112" s="117" t="n">
        <f aca="false">SUMIFS(الريسبي!$C$2:$C$1800,الريسبي!$A$2:$A$1800,$A112,الريسبي!$B$2:$B$1800,CE$1)</f>
        <v>0</v>
      </c>
      <c r="CF112" s="117" t="n">
        <f aca="false">SUMIFS(الريسبي!$C$2:$C$1800,الريسبي!$A$2:$A$1800,$A112,الريسبي!$B$2:$B$1800,CF$1)</f>
        <v>0</v>
      </c>
      <c r="CG112" s="117" t="n">
        <f aca="false">SUMIFS(الريسبي!$C$2:$C$1800,الريسبي!$A$2:$A$1800,$A112,الريسبي!$B$2:$B$1800,CG$1)</f>
        <v>0</v>
      </c>
      <c r="CH112" s="117" t="n">
        <f aca="false">SUMIFS(الريسبي!$C$2:$C$1800,الريسبي!$A$2:$A$1800,$A112,الريسبي!$B$2:$B$1800,CH$1)</f>
        <v>0</v>
      </c>
      <c r="CI112" s="117" t="n">
        <f aca="false">SUMIFS(الريسبي!$C$2:$C$1800,الريسبي!$A$2:$A$1800,$A112,الريسبي!$B$2:$B$1800,CI$1)</f>
        <v>0</v>
      </c>
      <c r="CJ112" s="117" t="n">
        <f aca="false">SUMIFS(الريسبي!$C$2:$C$1800,الريسبي!$A$2:$A$1800,$A112,الريسبي!$B$2:$B$1800,CJ$1)</f>
        <v>0</v>
      </c>
      <c r="CK112" s="117" t="n">
        <f aca="false">SUMIFS(الريسبي!$C$2:$C$1800,الريسبي!$A$2:$A$1800,$A112,الريسبي!$B$2:$B$1800,CK$1)</f>
        <v>0</v>
      </c>
      <c r="CL112" s="117" t="n">
        <f aca="false">SUMIFS(الريسبي!$C$2:$C$1800,الريسبي!$A$2:$A$1800,$A112,الريسبي!$B$2:$B$1800,CL$1)</f>
        <v>0</v>
      </c>
    </row>
    <row r="113" customFormat="false" ht="15" hidden="false" customHeight="false" outlineLevel="0" collapsed="false">
      <c r="A113" s="116" t="str">
        <f aca="false">المنيو!B113</f>
        <v>فطيرة شيكولاتة صيامي</v>
      </c>
      <c r="B113" s="117" t="n">
        <f aca="false">SUMIFS(الريسبي!$C$2:$C$1800,الريسبي!$A$2:$A$1800,$A113,الريسبي!$B$2:$B$1800,B$1)</f>
        <v>0</v>
      </c>
      <c r="C113" s="117" t="n">
        <f aca="false">SUMIFS(الريسبي!$C$2:$C$1800,الريسبي!$A$2:$A$1800,$A113,الريسبي!$B$2:$B$1800,C$1)</f>
        <v>0</v>
      </c>
      <c r="D113" s="117" t="n">
        <f aca="false">SUMIFS(الريسبي!$C$2:$C$1800,الريسبي!$A$2:$A$1800,$A113,الريسبي!$B$2:$B$1800,D$1)</f>
        <v>0</v>
      </c>
      <c r="E113" s="117" t="n">
        <f aca="false">SUMIFS(الريسبي!$C$2:$C$1800,الريسبي!$A$2:$A$1800,$A113,الريسبي!$B$2:$B$1800,E$1)</f>
        <v>1</v>
      </c>
      <c r="F113" s="117" t="n">
        <f aca="false">SUMIFS(الريسبي!$C$2:$C$1800,الريسبي!$A$2:$A$1800,$A113,الريسبي!$B$2:$B$1800,F$1)</f>
        <v>0</v>
      </c>
      <c r="G113" s="117" t="n">
        <f aca="false">SUMIFS(الريسبي!$C$2:$C$1800,الريسبي!$A$2:$A$1800,$A113,الريسبي!$B$2:$B$1800,G$1)</f>
        <v>0</v>
      </c>
      <c r="H113" s="117" t="n">
        <f aca="false">SUMIFS(الريسبي!$C$2:$C$1800,الريسبي!$A$2:$A$1800,$A113,الريسبي!$B$2:$B$1800,H$1)</f>
        <v>0</v>
      </c>
      <c r="I113" s="117" t="n">
        <f aca="false">SUMIFS(الريسبي!$C$2:$C$1800,الريسبي!$A$2:$A$1800,$A113,الريسبي!$B$2:$B$1800,I$1)</f>
        <v>0</v>
      </c>
      <c r="J113" s="117" t="n">
        <f aca="false">SUMIFS(الريسبي!$C$2:$C$1800,الريسبي!$A$2:$A$1800,$A113,الريسبي!$B$2:$B$1800,J$1)</f>
        <v>0</v>
      </c>
      <c r="K113" s="117" t="n">
        <f aca="false">SUMIFS(الريسبي!$C$2:$C$1800,الريسبي!$A$2:$A$1800,$A113,الريسبي!$B$2:$B$1800,K$1)</f>
        <v>0</v>
      </c>
      <c r="L113" s="117" t="n">
        <f aca="false">SUMIFS(الريسبي!$C$2:$C$1800,الريسبي!$A$2:$A$1800,$A113,الريسبي!$B$2:$B$1800,L$1)</f>
        <v>0</v>
      </c>
      <c r="M113" s="117" t="n">
        <f aca="false">SUMIFS(الريسبي!$C$2:$C$1800,الريسبي!$A$2:$A$1800,$A113,الريسبي!$B$2:$B$1800,M$1)</f>
        <v>0</v>
      </c>
      <c r="N113" s="117" t="n">
        <f aca="false">SUMIFS(الريسبي!$C$2:$C$1800,الريسبي!$A$2:$A$1800,$A113,الريسبي!$B$2:$B$1800,N$1)</f>
        <v>0</v>
      </c>
      <c r="O113" s="117" t="n">
        <f aca="false">SUMIFS(الريسبي!$C$2:$C$1800,الريسبي!$A$2:$A$1800,$A113,الريسبي!$B$2:$B$1800,O$1)</f>
        <v>0</v>
      </c>
      <c r="P113" s="117" t="n">
        <f aca="false">SUMIFS(الريسبي!$C$2:$C$1800,الريسبي!$A$2:$A$1800,$A113,الريسبي!$B$2:$B$1800,P$1)</f>
        <v>0</v>
      </c>
      <c r="Q113" s="117" t="n">
        <f aca="false">SUMIFS(الريسبي!$C$2:$C$1800,الريسبي!$A$2:$A$1800,$A113,الريسبي!$B$2:$B$1800,Q$1)</f>
        <v>0</v>
      </c>
      <c r="R113" s="117" t="n">
        <f aca="false">SUMIFS(الريسبي!$C$2:$C$1800,الريسبي!$A$2:$A$1800,$A113,الريسبي!$B$2:$B$1800,R$1)</f>
        <v>0</v>
      </c>
      <c r="S113" s="117" t="n">
        <f aca="false">SUMIFS(الريسبي!$C$2:$C$1800,الريسبي!$A$2:$A$1800,$A113,الريسبي!$B$2:$B$1800,S$1)</f>
        <v>0</v>
      </c>
      <c r="T113" s="117" t="n">
        <f aca="false">SUMIFS(الريسبي!$C$2:$C$1800,الريسبي!$A$2:$A$1800,$A113,الريسبي!$B$2:$B$1800,T$1)</f>
        <v>0</v>
      </c>
      <c r="U113" s="117" t="n">
        <f aca="false">SUMIFS(الريسبي!$C$2:$C$1800,الريسبي!$A$2:$A$1800,$A113,الريسبي!$B$2:$B$1800,U$1)</f>
        <v>0</v>
      </c>
      <c r="V113" s="117" t="n">
        <f aca="false">SUMIFS(الريسبي!$C$2:$C$1800,الريسبي!$A$2:$A$1800,$A113,الريسبي!$B$2:$B$1800,V$1)+1.5*(SUMIFS(الريسبي!$C$2:$C$1800,الريسبي!$A$2:$A$1800,$A113,الريسبي!$B$2:$B$1800,"برسيون موتزريلا بيتزا كبير"))</f>
        <v>0</v>
      </c>
      <c r="W113" s="117" t="n">
        <f aca="false">0</f>
        <v>0</v>
      </c>
      <c r="X113" s="117" t="n">
        <f aca="false">SUMIFS(الريسبي!$C$2:$C$1800,الريسبي!$A$2:$A$1800,$A113,الريسبي!$B$2:$B$1800,X$1)+1.5*(SUMIFS(الريسبي!$C$2:$C$1800,الريسبي!$A$2:$A$1800,$A113,الريسبي!$B$2:$B$1800,"برسيون موتزريلا فطير كبير"))</f>
        <v>0</v>
      </c>
      <c r="Y113" s="117" t="n">
        <f aca="false">0</f>
        <v>0</v>
      </c>
      <c r="Z113" s="117" t="n">
        <f aca="false">SUMIFS(الريسبي!$C$2:$C$1800,الريسبي!$A$2:$A$1800,$A113,الريسبي!$B$2:$B$1800,Z$1)</f>
        <v>0</v>
      </c>
      <c r="AA113" s="117" t="n">
        <f aca="false">SUMIFS(الريسبي!$C$2:$C$1800,الريسبي!$A$2:$A$1800,$A113,الريسبي!$B$2:$B$1800,AA$1)</f>
        <v>0</v>
      </c>
      <c r="AB113" s="117" t="n">
        <f aca="false">SUMIFS(الريسبي!$C$2:$C$1800,الريسبي!$A$2:$A$1800,$A113,الريسبي!$B$2:$B$1800,AB$1)</f>
        <v>0</v>
      </c>
      <c r="AC113" s="117" t="n">
        <f aca="false">SUMIFS(الريسبي!$C$2:$C$1800,الريسبي!$A$2:$A$1800,$A113,الريسبي!$B$2:$B$1800,AC$1)</f>
        <v>0</v>
      </c>
      <c r="AD113" s="117" t="n">
        <f aca="false">SUMIFS(الريسبي!$C$2:$C$1800,الريسبي!$A$2:$A$1800,$A113,الريسبي!$B$2:$B$1800,AD$1)</f>
        <v>0</v>
      </c>
      <c r="AE113" s="117" t="n">
        <f aca="false">SUMIFS(الريسبي!$C$2:$C$1800,الريسبي!$A$2:$A$1800,$A113,الريسبي!$B$2:$B$1800,AE$1)</f>
        <v>0</v>
      </c>
      <c r="AF113" s="117" t="n">
        <f aca="false">SUMIFS(الريسبي!$C$2:$C$1800,الريسبي!$A$2:$A$1800,$A113,الريسبي!$B$2:$B$1800,AF$1)</f>
        <v>1</v>
      </c>
      <c r="AG113" s="117" t="n">
        <f aca="false">SUMIFS(الريسبي!$C$2:$C$1800,الريسبي!$A$2:$A$1800,$A113,الريسبي!$B$2:$B$1800,AG$1)</f>
        <v>0</v>
      </c>
      <c r="AH113" s="117" t="n">
        <f aca="false">SUMIFS(الريسبي!$C$2:$C$1800,الريسبي!$A$2:$A$1800,$A113,الريسبي!$B$2:$B$1800,AH$1)</f>
        <v>0</v>
      </c>
      <c r="AI113" s="117" t="n">
        <f aca="false">SUMIFS(الريسبي!$C$2:$C$1800,الريسبي!$A$2:$A$1800,$A113,الريسبي!$B$2:$B$1800,AI$1)</f>
        <v>0</v>
      </c>
      <c r="AJ113" s="117" t="n">
        <f aca="false">SUMIFS(الريسبي!$C$2:$C$1800,الريسبي!$A$2:$A$1800,$A113,الريسبي!$B$2:$B$1800,AJ$1)</f>
        <v>0</v>
      </c>
      <c r="AK113" s="117" t="n">
        <f aca="false">SUMIFS(الريسبي!$C$2:$C$1800,الريسبي!$A$2:$A$1800,$A113,الريسبي!$B$2:$B$1800,AK$1)</f>
        <v>0</v>
      </c>
      <c r="AL113" s="117" t="n">
        <f aca="false">SUMIFS(الريسبي!$C$2:$C$1800,الريسبي!$A$2:$A$1800,$A113,الريسبي!$B$2:$B$1800,AL$1)</f>
        <v>0</v>
      </c>
      <c r="AM113" s="117" t="n">
        <f aca="false">SUMIFS(الريسبي!$C$2:$C$1800,الريسبي!$A$2:$A$1800,$A113,الريسبي!$B$2:$B$1800,AM$1)+0.08333333333*SUMIFS(الريسبي!$C$2:$C$1800,الريسبي!$A$2:$A$1800,$A113,الريسبي!$B$2:$B$1800,"عجين كريب (مصنع بالمطعم)")+0.08333333333*SUMIFS(الريسبي!$C$2:$C$1800,الريسبي!$A$2:$A$1800,$A113,الريسبي!$B$2:$B$1800,"عجين كريب صيامي (بدون لبن)")</f>
        <v>0</v>
      </c>
      <c r="AN113" s="117" t="n">
        <f aca="false">SUMIFS(الريسبي!$C$2:$C$1800,الريسبي!$A$2:$A$1800,$A113,الريسبي!$B$2:$B$1800,AN$1)+0.004166666667*SUMIFS(الريسبي!$C$2:$C$1800,الريسبي!$A$2:$A$1800,$A113,الريسبي!$B$2:$B$1800,"عجين كريب (مصنع بالمطعم)")+0.004166666667*SUMIFS(الريسبي!$C$2:$C$1800,الريسبي!$A$2:$A$1800,$A113,الريسبي!$B$2:$B$1800,"عجين كريب صيامي (بدون لبن)")</f>
        <v>0</v>
      </c>
      <c r="AO113" s="117" t="n">
        <f aca="false">SUMIFS(الريسبي!$C$2:$C$1800,الريسبي!$A$2:$A$1800,$A113,الريسبي!$B$2:$B$1800,AO$1)</f>
        <v>0</v>
      </c>
      <c r="AP113" s="117" t="n">
        <f aca="false">SUMIFS(الريسبي!$C$2:$C$1800,الريسبي!$A$2:$A$1800,$A113,الريسبي!$B$2:$B$1800,AP$1)</f>
        <v>0</v>
      </c>
      <c r="AQ113" s="117" t="n">
        <f aca="false">SUMIFS(الريسبي!$C$2:$C$1800,الريسبي!$A$2:$A$1800,$A113,الريسبي!$B$2:$B$1800,AQ$1)+0.004166666667*SUMIFS(الريسبي!$C$2:$C$1800,الريسبي!$A$2:$A$1800,$A113,الريسبي!$B$2:$B$1800,"عجين كريب (مصنع بالمطعم)")+0.004166666667*SUMIFS(الريسبي!$C$2:$C$1800,الريسبي!$A$2:$A$1800,$A113,الريسبي!$B$2:$B$1800,"عجين كريب صيامي (بدون لبن)")</f>
        <v>0</v>
      </c>
      <c r="AR113" s="117" t="n">
        <f aca="false">SUMIFS(الريسبي!$C$2:$C$1800,الريسبي!$A$2:$A$1800,$A113,الريسبي!$B$2:$B$1800,AR$1)</f>
        <v>0</v>
      </c>
      <c r="AS113" s="117" t="n">
        <f aca="false">SUMIFS(الريسبي!$C$2:$C$1800,الريسبي!$A$2:$A$1800,$A113,الريسبي!$B$2:$B$1800,AS$1)</f>
        <v>0</v>
      </c>
      <c r="AT113" s="117" t="n">
        <f aca="false">SUMIFS(الريسبي!$C$2:$C$1800,الريسبي!$A$2:$A$1800,$A113,الريسبي!$B$2:$B$1800,AT$1)</f>
        <v>0</v>
      </c>
      <c r="AU113" s="117" t="n">
        <f aca="false">SUMIFS(الريسبي!$C$2:$C$1800,الريسبي!$A$2:$A$1800,$A113,الريسبي!$B$2:$B$1800,AU$1)</f>
        <v>1</v>
      </c>
      <c r="AV113" s="117" t="n">
        <f aca="false">SUMIFS(الريسبي!$C$2:$C$1800,الريسبي!$A$2:$A$1800,$A113,الريسبي!$B$2:$B$1800,AV$1)</f>
        <v>0.16</v>
      </c>
      <c r="AW113" s="117" t="n">
        <f aca="false">SUMIFS(الريسبي!$C$2:$C$1800,الريسبي!$A$2:$A$1800,$A113,الريسبي!$B$2:$B$1800,AW$1)</f>
        <v>0.03</v>
      </c>
      <c r="AX113" s="117" t="n">
        <f aca="false">SUMIFS(الريسبي!$C$2:$C$1800,الريسبي!$A$2:$A$1800,$A113,الريسبي!$B$2:$B$1800,AX$1)</f>
        <v>0</v>
      </c>
      <c r="AY113" s="117" t="n">
        <f aca="false">SUMIFS(الريسبي!$C$2:$C$1800,الريسبي!$A$2:$A$1800,$A113,الريسبي!$B$2:$B$1800,AY$1)</f>
        <v>0</v>
      </c>
      <c r="AZ113" s="117" t="n">
        <f aca="false">SUMIFS(الريسبي!$C$2:$C$1800,الريسبي!$A$2:$A$1800,$A113,الريسبي!$B$2:$B$1800,AZ$1)</f>
        <v>0</v>
      </c>
      <c r="BA113" s="117" t="n">
        <f aca="false">SUMIFS(الريسبي!$C$2:$C$1800,الريسبي!$A$2:$A$1800,$A113,الريسبي!$B$2:$B$1800,BA$1)</f>
        <v>0</v>
      </c>
      <c r="BB113" s="117" t="n">
        <f aca="false">SUMIFS(الريسبي!$C$2:$C$1800,الريسبي!$A$2:$A$1800,$A113,الريسبي!$B$2:$B$1800,BB$1)</f>
        <v>0</v>
      </c>
      <c r="BC113" s="117" t="n">
        <f aca="false">SUMIFS(الريسبي!$C$2:$C$1800,الريسبي!$A$2:$A$1800,$A113,الريسبي!$B$2:$B$1800,BC$1)</f>
        <v>0</v>
      </c>
      <c r="BD113" s="117" t="n">
        <f aca="false">SUMIFS(الريسبي!$C$2:$C$1800,الريسبي!$A$2:$A$1800,$A113,الريسبي!$B$2:$B$1800,BD$1)</f>
        <v>0</v>
      </c>
      <c r="BE113" s="117" t="n">
        <f aca="false">SUMIFS(الريسبي!$C$2:$C$1800,الريسبي!$A$2:$A$1800,$A113,الريسبي!$B$2:$B$1800,BE$1)</f>
        <v>1</v>
      </c>
      <c r="BF113" s="117" t="n">
        <f aca="false">SUMIFS(الريسبي!$C$2:$C$1800,الريسبي!$A$2:$A$1800,$A113,الريسبي!$B$2:$B$1800,BF$1)</f>
        <v>0</v>
      </c>
      <c r="BG113" s="117" t="n">
        <f aca="false">SUMIFS(الريسبي!$C$2:$C$1800,الريسبي!$A$2:$A$1800,$A113,الريسبي!$B$2:$B$1800,BG$1)</f>
        <v>0</v>
      </c>
      <c r="BH113" s="117" t="n">
        <f aca="false">SUMIFS(الريسبي!$C$2:$C$1800,الريسبي!$A$2:$A$1800,$A113,الريسبي!$B$2:$B$1800,BH$1)</f>
        <v>0</v>
      </c>
      <c r="BI113" s="117" t="n">
        <f aca="false">SUMIFS(الريسبي!$C$2:$C$1800,الريسبي!$A$2:$A$1800,$A113,الريسبي!$B$2:$B$1800,BI$1)</f>
        <v>0</v>
      </c>
      <c r="BJ113" s="117" t="n">
        <f aca="false">SUMIFS(الريسبي!$C$2:$C$1800,الريسبي!$A$2:$A$1800,$A113,الريسبي!$B$2:$B$1800,BJ$1)</f>
        <v>0</v>
      </c>
      <c r="BK113" s="117" t="n">
        <f aca="false">SUMIFS(الريسبي!$C$2:$C$1800,الريسبي!$A$2:$A$1800,$A113,الريسبي!$B$2:$B$1800,BK$1)</f>
        <v>1</v>
      </c>
      <c r="BL113" s="117" t="n">
        <f aca="false">SUMIFS(الريسبي!$C$2:$C$1800,الريسبي!$A$2:$A$1800,$A113,الريسبي!$B$2:$B$1800,BL$1)</f>
        <v>0</v>
      </c>
      <c r="BM113" s="117" t="n">
        <f aca="false">SUMIFS(الريسبي!$C$2:$C$1800,الريسبي!$A$2:$A$1800,$A113,الريسبي!$B$2:$B$1800,BM$1)</f>
        <v>0</v>
      </c>
      <c r="BN113" s="117" t="n">
        <f aca="false">SUMIFS(الريسبي!$C$2:$C$1800,الريسبي!$A$2:$A$1800,$A113,الريسبي!$B$2:$B$1800,BN$1)</f>
        <v>0</v>
      </c>
      <c r="BO113" s="117" t="n">
        <f aca="false">SUMIFS(الريسبي!$C$2:$C$1800,الريسبي!$A$2:$A$1800,$A113,الريسبي!$B$2:$B$1800,BO$1)</f>
        <v>0</v>
      </c>
      <c r="BP113" s="117" t="n">
        <f aca="false">SUMIFS(الريسبي!$C$2:$C$1800,الريسبي!$A$2:$A$1800,$A113,الريسبي!$B$2:$B$1800,BP$1)</f>
        <v>0</v>
      </c>
      <c r="BQ113" s="117" t="n">
        <f aca="false">SUMIFS(الريسبي!$C$2:$C$1800,الريسبي!$A$2:$A$1800,$A113,الريسبي!$B$2:$B$1800,BQ$1)+0.17*SUMIFS(الريسبي!$C$2:$C$1800,الريسبي!$A$2:$A$1800,$A113,الريسبي!$B$2:$B$1800,"كاسترد مصنع (خليط بودر + لبن)")+0.17*SUMIFS(الريسبي!$C$2:$C$1800,الريسبي!$A$2:$A$1800,$A113,الريسبي!$B$2:$B$1800,"كاسترد مصنع صيامي (بدون لبن)")</f>
        <v>0.0255</v>
      </c>
      <c r="BR113" s="117" t="n">
        <f aca="false">SUMIFS(الريسبي!$C$2:$C$1800,الريسبي!$A$2:$A$1800,$A113,الريسبي!$B$2:$B$1800,BR$1)</f>
        <v>0</v>
      </c>
      <c r="BS113" s="117" t="n">
        <f aca="false">SUMIFS(الريسبي!$C$2:$C$1800,الريسبي!$A$2:$A$1800,$A113,الريسبي!$B$2:$B$1800,BS$1)</f>
        <v>0.01</v>
      </c>
      <c r="BT113" s="117" t="n">
        <f aca="false">SUMIFS(الريسبي!$C$2:$C$1800,الريسبي!$A$2:$A$1800,$A113,الريسبي!$B$2:$B$1800,BT$1)</f>
        <v>0</v>
      </c>
      <c r="BU113" s="117" t="n">
        <f aca="false">SUMIFS(الريسبي!$C$2:$C$1800,الريسبي!$A$2:$A$1800,$A113,الريسبي!$B$2:$B$1800,BU$1)+0.4*SUMIFS(الريسبي!$C$2:$C$1800,الريسبي!$A$2:$A$1800,$A113,الريسبي!$B$2:$B$1800,"كاسترد مصنع (خليط بودر + لبن)")+0.03333333333*SUMIFS(الريسبي!$C$2:$C$1800,الريسبي!$A$2:$A$1800,$A113,الريسبي!$B$2:$B$1800,"عجين كريب (مصنع بالمطعم)")</f>
        <v>0</v>
      </c>
      <c r="BV113" s="117" t="n">
        <f aca="false">SUMIFS(الريسبي!$C$2:$C$1800,الريسبي!$A$2:$A$1800,$A113,الريسبي!$B$2:$B$1800,BV$1)</f>
        <v>0</v>
      </c>
      <c r="BW113" s="117" t="n">
        <f aca="false">SUMIFS(الريسبي!$C$2:$C$1800,الريسبي!$A$2:$A$1800,$A113,الريسبي!$B$2:$B$1800,BW$1)</f>
        <v>0</v>
      </c>
      <c r="BX113" s="117" t="n">
        <f aca="false">SUMIFS(الريسبي!$C$2:$C$1800,الريسبي!$A$2:$A$1800,$A113,الريسبي!$B$2:$B$1800,BX$1)</f>
        <v>0</v>
      </c>
      <c r="BY113" s="117" t="n">
        <f aca="false">SUMIFS(الريسبي!$C$2:$C$1800,الريسبي!$A$2:$A$1800,$A113,الريسبي!$B$2:$B$1800,BY$1)</f>
        <v>0</v>
      </c>
      <c r="BZ113" s="117" t="n">
        <f aca="false">SUMIFS(الريسبي!$C$2:$C$1800,الريسبي!$A$2:$A$1800,$A113,الريسبي!$B$2:$B$1800,BZ$1)</f>
        <v>0</v>
      </c>
      <c r="CA113" s="117" t="n">
        <f aca="false">SUMIFS(الريسبي!$C$2:$C$1800,الريسبي!$A$2:$A$1800,$A113,الريسبي!$B$2:$B$1800,CA$1)</f>
        <v>0</v>
      </c>
      <c r="CB113" s="117" t="n">
        <f aca="false">SUMIFS(الريسبي!$C$2:$C$1800,الريسبي!$A$2:$A$1800,$A113,الريسبي!$B$2:$B$1800,CB$1)</f>
        <v>0</v>
      </c>
      <c r="CC113" s="117" t="n">
        <f aca="false">SUMIFS(الريسبي!$C$2:$C$1800,الريسبي!$A$2:$A$1800,$A113,الريسبي!$B$2:$B$1800,CC$1)</f>
        <v>0</v>
      </c>
      <c r="CD113" s="117" t="n">
        <f aca="false">SUMIFS(الريسبي!$C$2:$C$1800,الريسبي!$A$2:$A$1800,$A113,الريسبي!$B$2:$B$1800,CD$1)</f>
        <v>0</v>
      </c>
      <c r="CE113" s="117" t="n">
        <f aca="false">SUMIFS(الريسبي!$C$2:$C$1800,الريسبي!$A$2:$A$1800,$A113,الريسبي!$B$2:$B$1800,CE$1)</f>
        <v>0</v>
      </c>
      <c r="CF113" s="117" t="n">
        <f aca="false">SUMIFS(الريسبي!$C$2:$C$1800,الريسبي!$A$2:$A$1800,$A113,الريسبي!$B$2:$B$1800,CF$1)</f>
        <v>0</v>
      </c>
      <c r="CG113" s="117" t="n">
        <f aca="false">SUMIFS(الريسبي!$C$2:$C$1800,الريسبي!$A$2:$A$1800,$A113,الريسبي!$B$2:$B$1800,CG$1)</f>
        <v>0</v>
      </c>
      <c r="CH113" s="117" t="n">
        <f aca="false">SUMIFS(الريسبي!$C$2:$C$1800,الريسبي!$A$2:$A$1800,$A113,الريسبي!$B$2:$B$1800,CH$1)</f>
        <v>0</v>
      </c>
      <c r="CI113" s="117" t="n">
        <f aca="false">SUMIFS(الريسبي!$C$2:$C$1800,الريسبي!$A$2:$A$1800,$A113,الريسبي!$B$2:$B$1800,CI$1)</f>
        <v>0</v>
      </c>
      <c r="CJ113" s="117" t="n">
        <f aca="false">SUMIFS(الريسبي!$C$2:$C$1800,الريسبي!$A$2:$A$1800,$A113,الريسبي!$B$2:$B$1800,CJ$1)</f>
        <v>0</v>
      </c>
      <c r="CK113" s="117" t="n">
        <f aca="false">SUMIFS(الريسبي!$C$2:$C$1800,الريسبي!$A$2:$A$1800,$A113,الريسبي!$B$2:$B$1800,CK$1)</f>
        <v>0</v>
      </c>
      <c r="CL113" s="117" t="n">
        <f aca="false">SUMIFS(الريسبي!$C$2:$C$1800,الريسبي!$A$2:$A$1800,$A113,الريسبي!$B$2:$B$1800,CL$1)</f>
        <v>0</v>
      </c>
    </row>
    <row r="114" customFormat="false" ht="15" hidden="false" customHeight="false" outlineLevel="0" collapsed="false">
      <c r="A114" s="116" t="str">
        <f aca="false">المنيو!B114</f>
        <v>فطيرة لوتس صيامي</v>
      </c>
      <c r="B114" s="117" t="n">
        <f aca="false">SUMIFS(الريسبي!$C$2:$C$1800,الريسبي!$A$2:$A$1800,$A114,الريسبي!$B$2:$B$1800,B$1)</f>
        <v>0</v>
      </c>
      <c r="C114" s="117" t="n">
        <f aca="false">SUMIFS(الريسبي!$C$2:$C$1800,الريسبي!$A$2:$A$1800,$A114,الريسبي!$B$2:$B$1800,C$1)</f>
        <v>0</v>
      </c>
      <c r="D114" s="117" t="n">
        <f aca="false">SUMIFS(الريسبي!$C$2:$C$1800,الريسبي!$A$2:$A$1800,$A114,الريسبي!$B$2:$B$1800,D$1)</f>
        <v>0</v>
      </c>
      <c r="E114" s="117" t="n">
        <f aca="false">SUMIFS(الريسبي!$C$2:$C$1800,الريسبي!$A$2:$A$1800,$A114,الريسبي!$B$2:$B$1800,E$1)</f>
        <v>1</v>
      </c>
      <c r="F114" s="117" t="n">
        <f aca="false">SUMIFS(الريسبي!$C$2:$C$1800,الريسبي!$A$2:$A$1800,$A114,الريسبي!$B$2:$B$1800,F$1)</f>
        <v>0</v>
      </c>
      <c r="G114" s="117" t="n">
        <f aca="false">SUMIFS(الريسبي!$C$2:$C$1800,الريسبي!$A$2:$A$1800,$A114,الريسبي!$B$2:$B$1800,G$1)</f>
        <v>0</v>
      </c>
      <c r="H114" s="117" t="n">
        <f aca="false">SUMIFS(الريسبي!$C$2:$C$1800,الريسبي!$A$2:$A$1800,$A114,الريسبي!$B$2:$B$1800,H$1)</f>
        <v>0</v>
      </c>
      <c r="I114" s="117" t="n">
        <f aca="false">SUMIFS(الريسبي!$C$2:$C$1800,الريسبي!$A$2:$A$1800,$A114,الريسبي!$B$2:$B$1800,I$1)</f>
        <v>0</v>
      </c>
      <c r="J114" s="117" t="n">
        <f aca="false">SUMIFS(الريسبي!$C$2:$C$1800,الريسبي!$A$2:$A$1800,$A114,الريسبي!$B$2:$B$1800,J$1)</f>
        <v>0</v>
      </c>
      <c r="K114" s="117" t="n">
        <f aca="false">SUMIFS(الريسبي!$C$2:$C$1800,الريسبي!$A$2:$A$1800,$A114,الريسبي!$B$2:$B$1800,K$1)</f>
        <v>0</v>
      </c>
      <c r="L114" s="117" t="n">
        <f aca="false">SUMIFS(الريسبي!$C$2:$C$1800,الريسبي!$A$2:$A$1800,$A114,الريسبي!$B$2:$B$1800,L$1)</f>
        <v>0</v>
      </c>
      <c r="M114" s="117" t="n">
        <f aca="false">SUMIFS(الريسبي!$C$2:$C$1800,الريسبي!$A$2:$A$1800,$A114,الريسبي!$B$2:$B$1800,M$1)</f>
        <v>0</v>
      </c>
      <c r="N114" s="117" t="n">
        <f aca="false">SUMIFS(الريسبي!$C$2:$C$1800,الريسبي!$A$2:$A$1800,$A114,الريسبي!$B$2:$B$1800,N$1)</f>
        <v>0</v>
      </c>
      <c r="O114" s="117" t="n">
        <f aca="false">SUMIFS(الريسبي!$C$2:$C$1800,الريسبي!$A$2:$A$1800,$A114,الريسبي!$B$2:$B$1800,O$1)</f>
        <v>0</v>
      </c>
      <c r="P114" s="117" t="n">
        <f aca="false">SUMIFS(الريسبي!$C$2:$C$1800,الريسبي!$A$2:$A$1800,$A114,الريسبي!$B$2:$B$1800,P$1)</f>
        <v>0</v>
      </c>
      <c r="Q114" s="117" t="n">
        <f aca="false">SUMIFS(الريسبي!$C$2:$C$1800,الريسبي!$A$2:$A$1800,$A114,الريسبي!$B$2:$B$1800,Q$1)</f>
        <v>0</v>
      </c>
      <c r="R114" s="117" t="n">
        <f aca="false">SUMIFS(الريسبي!$C$2:$C$1800,الريسبي!$A$2:$A$1800,$A114,الريسبي!$B$2:$B$1800,R$1)</f>
        <v>0</v>
      </c>
      <c r="S114" s="117" t="n">
        <f aca="false">SUMIFS(الريسبي!$C$2:$C$1800,الريسبي!$A$2:$A$1800,$A114,الريسبي!$B$2:$B$1800,S$1)</f>
        <v>0</v>
      </c>
      <c r="T114" s="117" t="n">
        <f aca="false">SUMIFS(الريسبي!$C$2:$C$1800,الريسبي!$A$2:$A$1800,$A114,الريسبي!$B$2:$B$1800,T$1)</f>
        <v>0</v>
      </c>
      <c r="U114" s="117" t="n">
        <f aca="false">SUMIFS(الريسبي!$C$2:$C$1800,الريسبي!$A$2:$A$1800,$A114,الريسبي!$B$2:$B$1800,U$1)</f>
        <v>0</v>
      </c>
      <c r="V114" s="117" t="n">
        <f aca="false">SUMIFS(الريسبي!$C$2:$C$1800,الريسبي!$A$2:$A$1800,$A114,الريسبي!$B$2:$B$1800,V$1)+1.5*(SUMIFS(الريسبي!$C$2:$C$1800,الريسبي!$A$2:$A$1800,$A114,الريسبي!$B$2:$B$1800,"برسيون موتزريلا بيتزا كبير"))</f>
        <v>0</v>
      </c>
      <c r="W114" s="117" t="n">
        <f aca="false">0</f>
        <v>0</v>
      </c>
      <c r="X114" s="117" t="n">
        <f aca="false">SUMIFS(الريسبي!$C$2:$C$1800,الريسبي!$A$2:$A$1800,$A114,الريسبي!$B$2:$B$1800,X$1)+1.5*(SUMIFS(الريسبي!$C$2:$C$1800,الريسبي!$A$2:$A$1800,$A114,الريسبي!$B$2:$B$1800,"برسيون موتزريلا فطير كبير"))</f>
        <v>0</v>
      </c>
      <c r="Y114" s="117" t="n">
        <f aca="false">0</f>
        <v>0</v>
      </c>
      <c r="Z114" s="117" t="n">
        <f aca="false">SUMIFS(الريسبي!$C$2:$C$1800,الريسبي!$A$2:$A$1800,$A114,الريسبي!$B$2:$B$1800,Z$1)</f>
        <v>0</v>
      </c>
      <c r="AA114" s="117" t="n">
        <f aca="false">SUMIFS(الريسبي!$C$2:$C$1800,الريسبي!$A$2:$A$1800,$A114,الريسبي!$B$2:$B$1800,AA$1)</f>
        <v>0.02</v>
      </c>
      <c r="AB114" s="117" t="n">
        <f aca="false">SUMIFS(الريسبي!$C$2:$C$1800,الريسبي!$A$2:$A$1800,$A114,الريسبي!$B$2:$B$1800,AB$1)</f>
        <v>0.04</v>
      </c>
      <c r="AC114" s="117" t="n">
        <f aca="false">SUMIFS(الريسبي!$C$2:$C$1800,الريسبي!$A$2:$A$1800,$A114,الريسبي!$B$2:$B$1800,AC$1)</f>
        <v>0</v>
      </c>
      <c r="AD114" s="117" t="n">
        <f aca="false">SUMIFS(الريسبي!$C$2:$C$1800,الريسبي!$A$2:$A$1800,$A114,الريسبي!$B$2:$B$1800,AD$1)</f>
        <v>0</v>
      </c>
      <c r="AE114" s="117" t="n">
        <f aca="false">SUMIFS(الريسبي!$C$2:$C$1800,الريسبي!$A$2:$A$1800,$A114,الريسبي!$B$2:$B$1800,AE$1)</f>
        <v>0</v>
      </c>
      <c r="AF114" s="117" t="n">
        <f aca="false">SUMIFS(الريسبي!$C$2:$C$1800,الريسبي!$A$2:$A$1800,$A114,الريسبي!$B$2:$B$1800,AF$1)</f>
        <v>1</v>
      </c>
      <c r="AG114" s="117" t="n">
        <f aca="false">SUMIFS(الريسبي!$C$2:$C$1800,الريسبي!$A$2:$A$1800,$A114,الريسبي!$B$2:$B$1800,AG$1)</f>
        <v>0</v>
      </c>
      <c r="AH114" s="117" t="n">
        <f aca="false">SUMIFS(الريسبي!$C$2:$C$1800,الريسبي!$A$2:$A$1800,$A114,الريسبي!$B$2:$B$1800,AH$1)</f>
        <v>0</v>
      </c>
      <c r="AI114" s="117" t="n">
        <f aca="false">SUMIFS(الريسبي!$C$2:$C$1800,الريسبي!$A$2:$A$1800,$A114,الريسبي!$B$2:$B$1800,AI$1)</f>
        <v>0</v>
      </c>
      <c r="AJ114" s="117" t="n">
        <f aca="false">SUMIFS(الريسبي!$C$2:$C$1800,الريسبي!$A$2:$A$1800,$A114,الريسبي!$B$2:$B$1800,AJ$1)</f>
        <v>0</v>
      </c>
      <c r="AK114" s="117" t="n">
        <f aca="false">SUMIFS(الريسبي!$C$2:$C$1800,الريسبي!$A$2:$A$1800,$A114,الريسبي!$B$2:$B$1800,AK$1)</f>
        <v>0</v>
      </c>
      <c r="AL114" s="117" t="n">
        <f aca="false">SUMIFS(الريسبي!$C$2:$C$1800,الريسبي!$A$2:$A$1800,$A114,الريسبي!$B$2:$B$1800,AL$1)</f>
        <v>0</v>
      </c>
      <c r="AM114" s="117" t="n">
        <f aca="false">SUMIFS(الريسبي!$C$2:$C$1800,الريسبي!$A$2:$A$1800,$A114,الريسبي!$B$2:$B$1800,AM$1)+0.08333333333*SUMIFS(الريسبي!$C$2:$C$1800,الريسبي!$A$2:$A$1800,$A114,الريسبي!$B$2:$B$1800,"عجين كريب (مصنع بالمطعم)")+0.08333333333*SUMIFS(الريسبي!$C$2:$C$1800,الريسبي!$A$2:$A$1800,$A114,الريسبي!$B$2:$B$1800,"عجين كريب صيامي (بدون لبن)")</f>
        <v>0</v>
      </c>
      <c r="AN114" s="117" t="n">
        <f aca="false">SUMIFS(الريسبي!$C$2:$C$1800,الريسبي!$A$2:$A$1800,$A114,الريسبي!$B$2:$B$1800,AN$1)+0.004166666667*SUMIFS(الريسبي!$C$2:$C$1800,الريسبي!$A$2:$A$1800,$A114,الريسبي!$B$2:$B$1800,"عجين كريب (مصنع بالمطعم)")+0.004166666667*SUMIFS(الريسبي!$C$2:$C$1800,الريسبي!$A$2:$A$1800,$A114,الريسبي!$B$2:$B$1800,"عجين كريب صيامي (بدون لبن)")</f>
        <v>0</v>
      </c>
      <c r="AO114" s="117" t="n">
        <f aca="false">SUMIFS(الريسبي!$C$2:$C$1800,الريسبي!$A$2:$A$1800,$A114,الريسبي!$B$2:$B$1800,AO$1)</f>
        <v>0</v>
      </c>
      <c r="AP114" s="117" t="n">
        <f aca="false">SUMIFS(الريسبي!$C$2:$C$1800,الريسبي!$A$2:$A$1800,$A114,الريسبي!$B$2:$B$1800,AP$1)</f>
        <v>0</v>
      </c>
      <c r="AQ114" s="117" t="n">
        <f aca="false">SUMIFS(الريسبي!$C$2:$C$1800,الريسبي!$A$2:$A$1800,$A114,الريسبي!$B$2:$B$1800,AQ$1)+0.004166666667*SUMIFS(الريسبي!$C$2:$C$1800,الريسبي!$A$2:$A$1800,$A114,الريسبي!$B$2:$B$1800,"عجين كريب (مصنع بالمطعم)")+0.004166666667*SUMIFS(الريسبي!$C$2:$C$1800,الريسبي!$A$2:$A$1800,$A114,الريسبي!$B$2:$B$1800,"عجين كريب صيامي (بدون لبن)")</f>
        <v>0</v>
      </c>
      <c r="AR114" s="117" t="n">
        <f aca="false">SUMIFS(الريسبي!$C$2:$C$1800,الريسبي!$A$2:$A$1800,$A114,الريسبي!$B$2:$B$1800,AR$1)</f>
        <v>0</v>
      </c>
      <c r="AS114" s="117" t="n">
        <f aca="false">SUMIFS(الريسبي!$C$2:$C$1800,الريسبي!$A$2:$A$1800,$A114,الريسبي!$B$2:$B$1800,AS$1)</f>
        <v>0</v>
      </c>
      <c r="AT114" s="117" t="n">
        <f aca="false">SUMIFS(الريسبي!$C$2:$C$1800,الريسبي!$A$2:$A$1800,$A114,الريسبي!$B$2:$B$1800,AT$1)</f>
        <v>0</v>
      </c>
      <c r="AU114" s="117" t="n">
        <f aca="false">SUMIFS(الريسبي!$C$2:$C$1800,الريسبي!$A$2:$A$1800,$A114,الريسبي!$B$2:$B$1800,AU$1)</f>
        <v>1</v>
      </c>
      <c r="AV114" s="117" t="n">
        <f aca="false">SUMIFS(الريسبي!$C$2:$C$1800,الريسبي!$A$2:$A$1800,$A114,الريسبي!$B$2:$B$1800,AV$1)</f>
        <v>0</v>
      </c>
      <c r="AW114" s="117" t="n">
        <f aca="false">SUMIFS(الريسبي!$C$2:$C$1800,الريسبي!$A$2:$A$1800,$A114,الريسبي!$B$2:$B$1800,AW$1)</f>
        <v>0</v>
      </c>
      <c r="AX114" s="117" t="n">
        <f aca="false">SUMIFS(الريسبي!$C$2:$C$1800,الريسبي!$A$2:$A$1800,$A114,الريسبي!$B$2:$B$1800,AX$1)</f>
        <v>0</v>
      </c>
      <c r="AY114" s="117" t="n">
        <f aca="false">SUMIFS(الريسبي!$C$2:$C$1800,الريسبي!$A$2:$A$1800,$A114,الريسبي!$B$2:$B$1800,AY$1)</f>
        <v>0</v>
      </c>
      <c r="AZ114" s="117" t="n">
        <f aca="false">SUMIFS(الريسبي!$C$2:$C$1800,الريسبي!$A$2:$A$1800,$A114,الريسبي!$B$2:$B$1800,AZ$1)</f>
        <v>0</v>
      </c>
      <c r="BA114" s="117" t="n">
        <f aca="false">SUMIFS(الريسبي!$C$2:$C$1800,الريسبي!$A$2:$A$1800,$A114,الريسبي!$B$2:$B$1800,BA$1)</f>
        <v>0</v>
      </c>
      <c r="BB114" s="117" t="n">
        <f aca="false">SUMIFS(الريسبي!$C$2:$C$1800,الريسبي!$A$2:$A$1800,$A114,الريسبي!$B$2:$B$1800,BB$1)</f>
        <v>0</v>
      </c>
      <c r="BC114" s="117" t="n">
        <f aca="false">SUMIFS(الريسبي!$C$2:$C$1800,الريسبي!$A$2:$A$1800,$A114,الريسبي!$B$2:$B$1800,BC$1)</f>
        <v>0</v>
      </c>
      <c r="BD114" s="117" t="n">
        <f aca="false">SUMIFS(الريسبي!$C$2:$C$1800,الريسبي!$A$2:$A$1800,$A114,الريسبي!$B$2:$B$1800,BD$1)</f>
        <v>0</v>
      </c>
      <c r="BE114" s="117" t="n">
        <f aca="false">SUMIFS(الريسبي!$C$2:$C$1800,الريسبي!$A$2:$A$1800,$A114,الريسبي!$B$2:$B$1800,BE$1)</f>
        <v>1</v>
      </c>
      <c r="BF114" s="117" t="n">
        <f aca="false">SUMIFS(الريسبي!$C$2:$C$1800,الريسبي!$A$2:$A$1800,$A114,الريسبي!$B$2:$B$1800,BF$1)</f>
        <v>0</v>
      </c>
      <c r="BG114" s="117" t="n">
        <f aca="false">SUMIFS(الريسبي!$C$2:$C$1800,الريسبي!$A$2:$A$1800,$A114,الريسبي!$B$2:$B$1800,BG$1)</f>
        <v>0</v>
      </c>
      <c r="BH114" s="117" t="n">
        <f aca="false">SUMIFS(الريسبي!$C$2:$C$1800,الريسبي!$A$2:$A$1800,$A114,الريسبي!$B$2:$B$1800,BH$1)</f>
        <v>0</v>
      </c>
      <c r="BI114" s="117" t="n">
        <f aca="false">SUMIFS(الريسبي!$C$2:$C$1800,الريسبي!$A$2:$A$1800,$A114,الريسبي!$B$2:$B$1800,BI$1)</f>
        <v>0</v>
      </c>
      <c r="BJ114" s="117" t="n">
        <f aca="false">SUMIFS(الريسبي!$C$2:$C$1800,الريسبي!$A$2:$A$1800,$A114,الريسبي!$B$2:$B$1800,BJ$1)</f>
        <v>0</v>
      </c>
      <c r="BK114" s="117" t="n">
        <f aca="false">SUMIFS(الريسبي!$C$2:$C$1800,الريسبي!$A$2:$A$1800,$A114,الريسبي!$B$2:$B$1800,BK$1)</f>
        <v>1</v>
      </c>
      <c r="BL114" s="117" t="n">
        <f aca="false">SUMIFS(الريسبي!$C$2:$C$1800,الريسبي!$A$2:$A$1800,$A114,الريسبي!$B$2:$B$1800,BL$1)</f>
        <v>0</v>
      </c>
      <c r="BM114" s="117" t="n">
        <f aca="false">SUMIFS(الريسبي!$C$2:$C$1800,الريسبي!$A$2:$A$1800,$A114,الريسبي!$B$2:$B$1800,BM$1)</f>
        <v>0</v>
      </c>
      <c r="BN114" s="117" t="n">
        <f aca="false">SUMIFS(الريسبي!$C$2:$C$1800,الريسبي!$A$2:$A$1800,$A114,الريسبي!$B$2:$B$1800,BN$1)</f>
        <v>0</v>
      </c>
      <c r="BO114" s="117" t="n">
        <f aca="false">SUMIFS(الريسبي!$C$2:$C$1800,الريسبي!$A$2:$A$1800,$A114,الريسبي!$B$2:$B$1800,BO$1)</f>
        <v>0</v>
      </c>
      <c r="BP114" s="117" t="n">
        <f aca="false">SUMIFS(الريسبي!$C$2:$C$1800,الريسبي!$A$2:$A$1800,$A114,الريسبي!$B$2:$B$1800,BP$1)</f>
        <v>0</v>
      </c>
      <c r="BQ114" s="117" t="n">
        <f aca="false">SUMIFS(الريسبي!$C$2:$C$1800,الريسبي!$A$2:$A$1800,$A114,الريسبي!$B$2:$B$1800,BQ$1)+0.17*SUMIFS(الريسبي!$C$2:$C$1800,الريسبي!$A$2:$A$1800,$A114,الريسبي!$B$2:$B$1800,"كاسترد مصنع (خليط بودر + لبن)")+0.17*SUMIFS(الريسبي!$C$2:$C$1800,الريسبي!$A$2:$A$1800,$A114,الريسبي!$B$2:$B$1800,"كاسترد مصنع صيامي (بدون لبن)")</f>
        <v>0.0255</v>
      </c>
      <c r="BR114" s="117" t="n">
        <f aca="false">SUMIFS(الريسبي!$C$2:$C$1800,الريسبي!$A$2:$A$1800,$A114,الريسبي!$B$2:$B$1800,BR$1)</f>
        <v>0</v>
      </c>
      <c r="BS114" s="117" t="n">
        <f aca="false">SUMIFS(الريسبي!$C$2:$C$1800,الريسبي!$A$2:$A$1800,$A114,الريسبي!$B$2:$B$1800,BS$1)</f>
        <v>0</v>
      </c>
      <c r="BT114" s="117" t="n">
        <f aca="false">SUMIFS(الريسبي!$C$2:$C$1800,الريسبي!$A$2:$A$1800,$A114,الريسبي!$B$2:$B$1800,BT$1)</f>
        <v>0</v>
      </c>
      <c r="BU114" s="117" t="n">
        <f aca="false">SUMIFS(الريسبي!$C$2:$C$1800,الريسبي!$A$2:$A$1800,$A114,الريسبي!$B$2:$B$1800,BU$1)+0.4*SUMIFS(الريسبي!$C$2:$C$1800,الريسبي!$A$2:$A$1800,$A114,الريسبي!$B$2:$B$1800,"كاسترد مصنع (خليط بودر + لبن)")+0.03333333333*SUMIFS(الريسبي!$C$2:$C$1800,الريسبي!$A$2:$A$1800,$A114,الريسبي!$B$2:$B$1800,"عجين كريب (مصنع بالمطعم)")</f>
        <v>0</v>
      </c>
      <c r="BV114" s="117" t="n">
        <f aca="false">SUMIFS(الريسبي!$C$2:$C$1800,الريسبي!$A$2:$A$1800,$A114,الريسبي!$B$2:$B$1800,BV$1)</f>
        <v>0</v>
      </c>
      <c r="BW114" s="117" t="n">
        <f aca="false">SUMIFS(الريسبي!$C$2:$C$1800,الريسبي!$A$2:$A$1800,$A114,الريسبي!$B$2:$B$1800,BW$1)</f>
        <v>0.16</v>
      </c>
      <c r="BX114" s="117" t="n">
        <f aca="false">SUMIFS(الريسبي!$C$2:$C$1800,الريسبي!$A$2:$A$1800,$A114,الريسبي!$B$2:$B$1800,BX$1)</f>
        <v>0</v>
      </c>
      <c r="BY114" s="117" t="n">
        <f aca="false">SUMIFS(الريسبي!$C$2:$C$1800,الريسبي!$A$2:$A$1800,$A114,الريسبي!$B$2:$B$1800,BY$1)</f>
        <v>0</v>
      </c>
      <c r="BZ114" s="117" t="n">
        <f aca="false">SUMIFS(الريسبي!$C$2:$C$1800,الريسبي!$A$2:$A$1800,$A114,الريسبي!$B$2:$B$1800,BZ$1)</f>
        <v>0</v>
      </c>
      <c r="CA114" s="117" t="n">
        <f aca="false">SUMIFS(الريسبي!$C$2:$C$1800,الريسبي!$A$2:$A$1800,$A114,الريسبي!$B$2:$B$1800,CA$1)</f>
        <v>0</v>
      </c>
      <c r="CB114" s="117" t="n">
        <f aca="false">SUMIFS(الريسبي!$C$2:$C$1800,الريسبي!$A$2:$A$1800,$A114,الريسبي!$B$2:$B$1800,CB$1)</f>
        <v>0</v>
      </c>
      <c r="CC114" s="117" t="n">
        <f aca="false">SUMIFS(الريسبي!$C$2:$C$1800,الريسبي!$A$2:$A$1800,$A114,الريسبي!$B$2:$B$1800,CC$1)</f>
        <v>0</v>
      </c>
      <c r="CD114" s="117" t="n">
        <f aca="false">SUMIFS(الريسبي!$C$2:$C$1800,الريسبي!$A$2:$A$1800,$A114,الريسبي!$B$2:$B$1800,CD$1)</f>
        <v>0</v>
      </c>
      <c r="CE114" s="117" t="n">
        <f aca="false">SUMIFS(الريسبي!$C$2:$C$1800,الريسبي!$A$2:$A$1800,$A114,الريسبي!$B$2:$B$1800,CE$1)</f>
        <v>0</v>
      </c>
      <c r="CF114" s="117" t="n">
        <f aca="false">SUMIFS(الريسبي!$C$2:$C$1800,الريسبي!$A$2:$A$1800,$A114,الريسبي!$B$2:$B$1800,CF$1)</f>
        <v>0</v>
      </c>
      <c r="CG114" s="117" t="n">
        <f aca="false">SUMIFS(الريسبي!$C$2:$C$1800,الريسبي!$A$2:$A$1800,$A114,الريسبي!$B$2:$B$1800,CG$1)</f>
        <v>0</v>
      </c>
      <c r="CH114" s="117" t="n">
        <f aca="false">SUMIFS(الريسبي!$C$2:$C$1800,الريسبي!$A$2:$A$1800,$A114,الريسبي!$B$2:$B$1800,CH$1)</f>
        <v>0</v>
      </c>
      <c r="CI114" s="117" t="n">
        <f aca="false">SUMIFS(الريسبي!$C$2:$C$1800,الريسبي!$A$2:$A$1800,$A114,الريسبي!$B$2:$B$1800,CI$1)</f>
        <v>0</v>
      </c>
      <c r="CJ114" s="117" t="n">
        <f aca="false">SUMIFS(الريسبي!$C$2:$C$1800,الريسبي!$A$2:$A$1800,$A114,الريسبي!$B$2:$B$1800,CJ$1)</f>
        <v>0</v>
      </c>
      <c r="CK114" s="117" t="n">
        <f aca="false">SUMIFS(الريسبي!$C$2:$C$1800,الريسبي!$A$2:$A$1800,$A114,الريسبي!$B$2:$B$1800,CK$1)</f>
        <v>0</v>
      </c>
      <c r="CL114" s="117" t="n">
        <f aca="false">SUMIFS(الريسبي!$C$2:$C$1800,الريسبي!$A$2:$A$1800,$A114,الريسبي!$B$2:$B$1800,CL$1)</f>
        <v>0</v>
      </c>
    </row>
    <row r="115" customFormat="false" ht="15" hidden="false" customHeight="false" outlineLevel="0" collapsed="false">
      <c r="A115" s="116" t="str">
        <f aca="false">المنيو!B115</f>
        <v>قنبلة برجر صيامي</v>
      </c>
      <c r="B115" s="117" t="n">
        <f aca="false">SUMIFS(الريسبي!$C$2:$C$1800,الريسبي!$A$2:$A$1800,$A115,الريسبي!$B$2:$B$1800,B$1)</f>
        <v>0</v>
      </c>
      <c r="C115" s="117" t="n">
        <f aca="false">SUMIFS(الريسبي!$C$2:$C$1800,الريسبي!$A$2:$A$1800,$A115,الريسبي!$B$2:$B$1800,C$1)</f>
        <v>0</v>
      </c>
      <c r="D115" s="117" t="n">
        <f aca="false">SUMIFS(الريسبي!$C$2:$C$1800,الريسبي!$A$2:$A$1800,$A115,الريسبي!$B$2:$B$1800,D$1)</f>
        <v>1</v>
      </c>
      <c r="E115" s="117" t="n">
        <f aca="false">SUMIFS(الريسبي!$C$2:$C$1800,الريسبي!$A$2:$A$1800,$A115,الريسبي!$B$2:$B$1800,E$1)</f>
        <v>0</v>
      </c>
      <c r="F115" s="117" t="n">
        <f aca="false">SUMIFS(الريسبي!$C$2:$C$1800,الريسبي!$A$2:$A$1800,$A115,الريسبي!$B$2:$B$1800,F$1)</f>
        <v>0</v>
      </c>
      <c r="G115" s="117" t="n">
        <f aca="false">SUMIFS(الريسبي!$C$2:$C$1800,الريسبي!$A$2:$A$1800,$A115,الريسبي!$B$2:$B$1800,G$1)</f>
        <v>0</v>
      </c>
      <c r="H115" s="117" t="n">
        <f aca="false">SUMIFS(الريسبي!$C$2:$C$1800,الريسبي!$A$2:$A$1800,$A115,الريسبي!$B$2:$B$1800,H$1)</f>
        <v>0</v>
      </c>
      <c r="I115" s="117" t="n">
        <f aca="false">SUMIFS(الريسبي!$C$2:$C$1800,الريسبي!$A$2:$A$1800,$A115,الريسبي!$B$2:$B$1800,I$1)</f>
        <v>0</v>
      </c>
      <c r="J115" s="117" t="n">
        <f aca="false">SUMIFS(الريسبي!$C$2:$C$1800,الريسبي!$A$2:$A$1800,$A115,الريسبي!$B$2:$B$1800,J$1)</f>
        <v>0</v>
      </c>
      <c r="K115" s="117" t="n">
        <f aca="false">SUMIFS(الريسبي!$C$2:$C$1800,الريسبي!$A$2:$A$1800,$A115,الريسبي!$B$2:$B$1800,K$1)</f>
        <v>0</v>
      </c>
      <c r="L115" s="117" t="n">
        <f aca="false">SUMIFS(الريسبي!$C$2:$C$1800,الريسبي!$A$2:$A$1800,$A115,الريسبي!$B$2:$B$1800,L$1)</f>
        <v>0</v>
      </c>
      <c r="M115" s="117" t="n">
        <f aca="false">SUMIFS(الريسبي!$C$2:$C$1800,الريسبي!$A$2:$A$1800,$A115,الريسبي!$B$2:$B$1800,M$1)</f>
        <v>0</v>
      </c>
      <c r="N115" s="117" t="n">
        <f aca="false">SUMIFS(الريسبي!$C$2:$C$1800,الريسبي!$A$2:$A$1800,$A115,الريسبي!$B$2:$B$1800,N$1)</f>
        <v>0</v>
      </c>
      <c r="O115" s="117" t="n">
        <f aca="false">SUMIFS(الريسبي!$C$2:$C$1800,الريسبي!$A$2:$A$1800,$A115,الريسبي!$B$2:$B$1800,O$1)</f>
        <v>0</v>
      </c>
      <c r="P115" s="117" t="n">
        <f aca="false">SUMIFS(الريسبي!$C$2:$C$1800,الريسبي!$A$2:$A$1800,$A115,الريسبي!$B$2:$B$1800,P$1)</f>
        <v>0</v>
      </c>
      <c r="Q115" s="117" t="n">
        <f aca="false">SUMIFS(الريسبي!$C$2:$C$1800,الريسبي!$A$2:$A$1800,$A115,الريسبي!$B$2:$B$1800,Q$1)</f>
        <v>0</v>
      </c>
      <c r="R115" s="117" t="n">
        <f aca="false">SUMIFS(الريسبي!$C$2:$C$1800,الريسبي!$A$2:$A$1800,$A115,الريسبي!$B$2:$B$1800,R$1)</f>
        <v>0</v>
      </c>
      <c r="S115" s="117" t="n">
        <f aca="false">SUMIFS(الريسبي!$C$2:$C$1800,الريسبي!$A$2:$A$1800,$A115,الريسبي!$B$2:$B$1800,S$1)</f>
        <v>0</v>
      </c>
      <c r="T115" s="117" t="n">
        <f aca="false">SUMIFS(الريسبي!$C$2:$C$1800,الريسبي!$A$2:$A$1800,$A115,الريسبي!$B$2:$B$1800,T$1)</f>
        <v>0</v>
      </c>
      <c r="U115" s="117" t="n">
        <f aca="false">SUMIFS(الريسبي!$C$2:$C$1800,الريسبي!$A$2:$A$1800,$A115,الريسبي!$B$2:$B$1800,U$1)</f>
        <v>0</v>
      </c>
      <c r="V115" s="117" t="n">
        <f aca="false">SUMIFS(الريسبي!$C$2:$C$1800,الريسبي!$A$2:$A$1800,$A115,الريسبي!$B$2:$B$1800,V$1)+1.5*(SUMIFS(الريسبي!$C$2:$C$1800,الريسبي!$A$2:$A$1800,$A115,الريسبي!$B$2:$B$1800,"برسيون موتزريلا بيتزا كبير"))</f>
        <v>0</v>
      </c>
      <c r="W115" s="117" t="n">
        <f aca="false">0</f>
        <v>0</v>
      </c>
      <c r="X115" s="117" t="n">
        <f aca="false">SUMIFS(الريسبي!$C$2:$C$1800,الريسبي!$A$2:$A$1800,$A115,الريسبي!$B$2:$B$1800,X$1)+1.5*(SUMIFS(الريسبي!$C$2:$C$1800,الريسبي!$A$2:$A$1800,$A115,الريسبي!$B$2:$B$1800,"برسيون موتزريلا فطير كبير"))</f>
        <v>0.5</v>
      </c>
      <c r="Y115" s="117" t="n">
        <f aca="false">0</f>
        <v>0</v>
      </c>
      <c r="Z115" s="117" t="n">
        <f aca="false">SUMIFS(الريسبي!$C$2:$C$1800,الريسبي!$A$2:$A$1800,$A115,الريسبي!$B$2:$B$1800,Z$1)</f>
        <v>0</v>
      </c>
      <c r="AA115" s="117" t="n">
        <f aca="false">SUMIFS(الريسبي!$C$2:$C$1800,الريسبي!$A$2:$A$1800,$A115,الريسبي!$B$2:$B$1800,AA$1)</f>
        <v>0</v>
      </c>
      <c r="AB115" s="117" t="n">
        <f aca="false">SUMIFS(الريسبي!$C$2:$C$1800,الريسبي!$A$2:$A$1800,$A115,الريسبي!$B$2:$B$1800,AB$1)</f>
        <v>0</v>
      </c>
      <c r="AC115" s="117" t="n">
        <f aca="false">SUMIFS(الريسبي!$C$2:$C$1800,الريسبي!$A$2:$A$1800,$A115,الريسبي!$B$2:$B$1800,AC$1)</f>
        <v>0</v>
      </c>
      <c r="AD115" s="117" t="n">
        <f aca="false">SUMIFS(الريسبي!$C$2:$C$1800,الريسبي!$A$2:$A$1800,$A115,الريسبي!$B$2:$B$1800,AD$1)</f>
        <v>0</v>
      </c>
      <c r="AE115" s="117" t="n">
        <f aca="false">SUMIFS(الريسبي!$C$2:$C$1800,الريسبي!$A$2:$A$1800,$A115,الريسبي!$B$2:$B$1800,AE$1)</f>
        <v>0.02</v>
      </c>
      <c r="AF115" s="117" t="n">
        <f aca="false">SUMIFS(الريسبي!$C$2:$C$1800,الريسبي!$A$2:$A$1800,$A115,الريسبي!$B$2:$B$1800,AF$1)</f>
        <v>0</v>
      </c>
      <c r="AG115" s="117" t="n">
        <f aca="false">SUMIFS(الريسبي!$C$2:$C$1800,الريسبي!$A$2:$A$1800,$A115,الريسبي!$B$2:$B$1800,AG$1)</f>
        <v>0</v>
      </c>
      <c r="AH115" s="117" t="n">
        <f aca="false">SUMIFS(الريسبي!$C$2:$C$1800,الريسبي!$A$2:$A$1800,$A115,الريسبي!$B$2:$B$1800,AH$1)</f>
        <v>0</v>
      </c>
      <c r="AI115" s="117" t="n">
        <f aca="false">SUMIFS(الريسبي!$C$2:$C$1800,الريسبي!$A$2:$A$1800,$A115,الريسبي!$B$2:$B$1800,AI$1)</f>
        <v>0</v>
      </c>
      <c r="AJ115" s="117" t="n">
        <f aca="false">SUMIFS(الريسبي!$C$2:$C$1800,الريسبي!$A$2:$A$1800,$A115,الريسبي!$B$2:$B$1800,AJ$1)</f>
        <v>2</v>
      </c>
      <c r="AK115" s="117" t="n">
        <f aca="false">SUMIFS(الريسبي!$C$2:$C$1800,الريسبي!$A$2:$A$1800,$A115,الريسبي!$B$2:$B$1800,AK$1)</f>
        <v>0</v>
      </c>
      <c r="AL115" s="117" t="n">
        <f aca="false">SUMIFS(الريسبي!$C$2:$C$1800,الريسبي!$A$2:$A$1800,$A115,الريسبي!$B$2:$B$1800,AL$1)</f>
        <v>0.02</v>
      </c>
      <c r="AM115" s="117" t="n">
        <f aca="false">SUMIFS(الريسبي!$C$2:$C$1800,الريسبي!$A$2:$A$1800,$A115,الريسبي!$B$2:$B$1800,AM$1)+0.08333333333*SUMIFS(الريسبي!$C$2:$C$1800,الريسبي!$A$2:$A$1800,$A115,الريسبي!$B$2:$B$1800,"عجين كريب (مصنع بالمطعم)")+0.08333333333*SUMIFS(الريسبي!$C$2:$C$1800,الريسبي!$A$2:$A$1800,$A115,الريسبي!$B$2:$B$1800,"عجين كريب صيامي (بدون لبن)")</f>
        <v>0</v>
      </c>
      <c r="AN115" s="117" t="n">
        <f aca="false">SUMIFS(الريسبي!$C$2:$C$1800,الريسبي!$A$2:$A$1800,$A115,الريسبي!$B$2:$B$1800,AN$1)+0.004166666667*SUMIFS(الريسبي!$C$2:$C$1800,الريسبي!$A$2:$A$1800,$A115,الريسبي!$B$2:$B$1800,"عجين كريب (مصنع بالمطعم)")+0.004166666667*SUMIFS(الريسبي!$C$2:$C$1800,الريسبي!$A$2:$A$1800,$A115,الريسبي!$B$2:$B$1800,"عجين كريب صيامي (بدون لبن)")</f>
        <v>0</v>
      </c>
      <c r="AO115" s="117" t="n">
        <f aca="false">SUMIFS(الريسبي!$C$2:$C$1800,الريسبي!$A$2:$A$1800,$A115,الريسبي!$B$2:$B$1800,AO$1)</f>
        <v>0</v>
      </c>
      <c r="AP115" s="117" t="n">
        <f aca="false">SUMIFS(الريسبي!$C$2:$C$1800,الريسبي!$A$2:$A$1800,$A115,الريسبي!$B$2:$B$1800,AP$1)</f>
        <v>0</v>
      </c>
      <c r="AQ115" s="117" t="n">
        <f aca="false">SUMIFS(الريسبي!$C$2:$C$1800,الريسبي!$A$2:$A$1800,$A115,الريسبي!$B$2:$B$1800,AQ$1)+0.004166666667*SUMIFS(الريسبي!$C$2:$C$1800,الريسبي!$A$2:$A$1800,$A115,الريسبي!$B$2:$B$1800,"عجين كريب (مصنع بالمطعم)")+0.004166666667*SUMIFS(الريسبي!$C$2:$C$1800,الريسبي!$A$2:$A$1800,$A115,الريسبي!$B$2:$B$1800,"عجين كريب صيامي (بدون لبن)")</f>
        <v>0</v>
      </c>
      <c r="AR115" s="117" t="n">
        <f aca="false">SUMIFS(الريسبي!$C$2:$C$1800,الريسبي!$A$2:$A$1800,$A115,الريسبي!$B$2:$B$1800,AR$1)</f>
        <v>0</v>
      </c>
      <c r="AS115" s="117" t="n">
        <f aca="false">SUMIFS(الريسبي!$C$2:$C$1800,الريسبي!$A$2:$A$1800,$A115,الريسبي!$B$2:$B$1800,AS$1)</f>
        <v>0</v>
      </c>
      <c r="AT115" s="117" t="n">
        <f aca="false">SUMIFS(الريسبي!$C$2:$C$1800,الريسبي!$A$2:$A$1800,$A115,الريسبي!$B$2:$B$1800,AT$1)</f>
        <v>0</v>
      </c>
      <c r="AU115" s="117" t="n">
        <f aca="false">SUMIFS(الريسبي!$C$2:$C$1800,الريسبي!$A$2:$A$1800,$A115,الريسبي!$B$2:$B$1800,AU$1)</f>
        <v>0</v>
      </c>
      <c r="AV115" s="117" t="n">
        <f aca="false">SUMIFS(الريسبي!$C$2:$C$1800,الريسبي!$A$2:$A$1800,$A115,الريسبي!$B$2:$B$1800,AV$1)</f>
        <v>0</v>
      </c>
      <c r="AW115" s="117" t="n">
        <f aca="false">SUMIFS(الريسبي!$C$2:$C$1800,الريسبي!$A$2:$A$1800,$A115,الريسبي!$B$2:$B$1800,AW$1)</f>
        <v>0</v>
      </c>
      <c r="AX115" s="117" t="n">
        <f aca="false">SUMIFS(الريسبي!$C$2:$C$1800,الريسبي!$A$2:$A$1800,$A115,الريسبي!$B$2:$B$1800,AX$1)</f>
        <v>0</v>
      </c>
      <c r="AY115" s="117" t="n">
        <f aca="false">SUMIFS(الريسبي!$C$2:$C$1800,الريسبي!$A$2:$A$1800,$A115,الريسبي!$B$2:$B$1800,AY$1)</f>
        <v>0.05</v>
      </c>
      <c r="AZ115" s="117" t="n">
        <f aca="false">SUMIFS(الريسبي!$C$2:$C$1800,الريسبي!$A$2:$A$1800,$A115,الريسبي!$B$2:$B$1800,AZ$1)</f>
        <v>0.05</v>
      </c>
      <c r="BA115" s="117" t="n">
        <f aca="false">SUMIFS(الريسبي!$C$2:$C$1800,الريسبي!$A$2:$A$1800,$A115,الريسبي!$B$2:$B$1800,BA$1)</f>
        <v>0</v>
      </c>
      <c r="BB115" s="117" t="n">
        <f aca="false">SUMIFS(الريسبي!$C$2:$C$1800,الريسبي!$A$2:$A$1800,$A115,الريسبي!$B$2:$B$1800,BB$1)</f>
        <v>0.05</v>
      </c>
      <c r="BC115" s="117" t="n">
        <f aca="false">SUMIFS(الريسبي!$C$2:$C$1800,الريسبي!$A$2:$A$1800,$A115,الريسبي!$B$2:$B$1800,BC$1)</f>
        <v>0.02</v>
      </c>
      <c r="BD115" s="117" t="n">
        <f aca="false">SUMIFS(الريسبي!$C$2:$C$1800,الريسبي!$A$2:$A$1800,$A115,الريسبي!$B$2:$B$1800,BD$1)</f>
        <v>0.22</v>
      </c>
      <c r="BE115" s="117" t="n">
        <f aca="false">SUMIFS(الريسبي!$C$2:$C$1800,الريسبي!$A$2:$A$1800,$A115,الريسبي!$B$2:$B$1800,BE$1)</f>
        <v>0</v>
      </c>
      <c r="BF115" s="117" t="n">
        <f aca="false">SUMIFS(الريسبي!$C$2:$C$1800,الريسبي!$A$2:$A$1800,$A115,الريسبي!$B$2:$B$1800,BF$1)</f>
        <v>0</v>
      </c>
      <c r="BG115" s="117" t="n">
        <f aca="false">SUMIFS(الريسبي!$C$2:$C$1800,الريسبي!$A$2:$A$1800,$A115,الريسبي!$B$2:$B$1800,BG$1)</f>
        <v>0</v>
      </c>
      <c r="BH115" s="117" t="n">
        <f aca="false">SUMIFS(الريسبي!$C$2:$C$1800,الريسبي!$A$2:$A$1800,$A115,الريسبي!$B$2:$B$1800,BH$1)</f>
        <v>0</v>
      </c>
      <c r="BI115" s="117" t="n">
        <f aca="false">SUMIFS(الريسبي!$C$2:$C$1800,الريسبي!$A$2:$A$1800,$A115,الريسبي!$B$2:$B$1800,BI$1)</f>
        <v>0</v>
      </c>
      <c r="BJ115" s="117" t="n">
        <f aca="false">SUMIFS(الريسبي!$C$2:$C$1800,الريسبي!$A$2:$A$1800,$A115,الريسبي!$B$2:$B$1800,BJ$1)</f>
        <v>0</v>
      </c>
      <c r="BK115" s="117" t="n">
        <f aca="false">SUMIFS(الريسبي!$C$2:$C$1800,الريسبي!$A$2:$A$1800,$A115,الريسبي!$B$2:$B$1800,BK$1)</f>
        <v>0</v>
      </c>
      <c r="BL115" s="117" t="n">
        <f aca="false">SUMIFS(الريسبي!$C$2:$C$1800,الريسبي!$A$2:$A$1800,$A115,الريسبي!$B$2:$B$1800,BL$1)</f>
        <v>0</v>
      </c>
      <c r="BM115" s="117" t="n">
        <f aca="false">SUMIFS(الريسبي!$C$2:$C$1800,الريسبي!$A$2:$A$1800,$A115,الريسبي!$B$2:$B$1800,BM$1)</f>
        <v>0</v>
      </c>
      <c r="BN115" s="117" t="n">
        <f aca="false">SUMIFS(الريسبي!$C$2:$C$1800,الريسبي!$A$2:$A$1800,$A115,الريسبي!$B$2:$B$1800,BN$1)</f>
        <v>0.02</v>
      </c>
      <c r="BO115" s="117" t="n">
        <f aca="false">SUMIFS(الريسبي!$C$2:$C$1800,الريسبي!$A$2:$A$1800,$A115,الريسبي!$B$2:$B$1800,BO$1)</f>
        <v>0</v>
      </c>
      <c r="BP115" s="117" t="n">
        <f aca="false">SUMIFS(الريسبي!$C$2:$C$1800,الريسبي!$A$2:$A$1800,$A115,الريسبي!$B$2:$B$1800,BP$1)</f>
        <v>2</v>
      </c>
      <c r="BQ115" s="117" t="n">
        <f aca="false">SUMIFS(الريسبي!$C$2:$C$1800,الريسبي!$A$2:$A$1800,$A115,الريسبي!$B$2:$B$1800,BQ$1)+0.17*SUMIFS(الريسبي!$C$2:$C$1800,الريسبي!$A$2:$A$1800,$A115,الريسبي!$B$2:$B$1800,"كاسترد مصنع (خليط بودر + لبن)")+0.17*SUMIFS(الريسبي!$C$2:$C$1800,الريسبي!$A$2:$A$1800,$A115,الريسبي!$B$2:$B$1800,"كاسترد مصنع صيامي (بدون لبن)")</f>
        <v>0</v>
      </c>
      <c r="BR115" s="117" t="n">
        <f aca="false">SUMIFS(الريسبي!$C$2:$C$1800,الريسبي!$A$2:$A$1800,$A115,الريسبي!$B$2:$B$1800,BR$1)</f>
        <v>1</v>
      </c>
      <c r="BS115" s="117" t="n">
        <f aca="false">SUMIFS(الريسبي!$C$2:$C$1800,الريسبي!$A$2:$A$1800,$A115,الريسبي!$B$2:$B$1800,BS$1)</f>
        <v>0</v>
      </c>
      <c r="BT115" s="117" t="n">
        <f aca="false">SUMIFS(الريسبي!$C$2:$C$1800,الريسبي!$A$2:$A$1800,$A115,الريسبي!$B$2:$B$1800,BT$1)</f>
        <v>0</v>
      </c>
      <c r="BU115" s="117" t="n">
        <f aca="false">SUMIFS(الريسبي!$C$2:$C$1800,الريسبي!$A$2:$A$1800,$A115,الريسبي!$B$2:$B$1800,BU$1)+0.4*SUMIFS(الريسبي!$C$2:$C$1800,الريسبي!$A$2:$A$1800,$A115,الريسبي!$B$2:$B$1800,"كاسترد مصنع (خليط بودر + لبن)")+0.03333333333*SUMIFS(الريسبي!$C$2:$C$1800,الريسبي!$A$2:$A$1800,$A115,الريسبي!$B$2:$B$1800,"عجين كريب (مصنع بالمطعم)")</f>
        <v>0</v>
      </c>
      <c r="BV115" s="117" t="n">
        <f aca="false">SUMIFS(الريسبي!$C$2:$C$1800,الريسبي!$A$2:$A$1800,$A115,الريسبي!$B$2:$B$1800,BV$1)</f>
        <v>0</v>
      </c>
      <c r="BW115" s="117" t="n">
        <f aca="false">SUMIFS(الريسبي!$C$2:$C$1800,الريسبي!$A$2:$A$1800,$A115,الريسبي!$B$2:$B$1800,BW$1)</f>
        <v>0</v>
      </c>
      <c r="BX115" s="117" t="n">
        <f aca="false">SUMIFS(الريسبي!$C$2:$C$1800,الريسبي!$A$2:$A$1800,$A115,الريسبي!$B$2:$B$1800,BX$1)</f>
        <v>0</v>
      </c>
      <c r="BY115" s="117" t="n">
        <f aca="false">SUMIFS(الريسبي!$C$2:$C$1800,الريسبي!$A$2:$A$1800,$A115,الريسبي!$B$2:$B$1800,BY$1)</f>
        <v>0</v>
      </c>
      <c r="BZ115" s="117" t="n">
        <f aca="false">SUMIFS(الريسبي!$C$2:$C$1800,الريسبي!$A$2:$A$1800,$A115,الريسبي!$B$2:$B$1800,BZ$1)</f>
        <v>0</v>
      </c>
      <c r="CA115" s="117" t="n">
        <f aca="false">SUMIFS(الريسبي!$C$2:$C$1800,الريسبي!$A$2:$A$1800,$A115,الريسبي!$B$2:$B$1800,CA$1)</f>
        <v>1</v>
      </c>
      <c r="CB115" s="117" t="n">
        <f aca="false">SUMIFS(الريسبي!$C$2:$C$1800,الريسبي!$A$2:$A$1800,$A115,الريسبي!$B$2:$B$1800,CB$1)</f>
        <v>1</v>
      </c>
      <c r="CC115" s="117" t="n">
        <f aca="false">SUMIFS(الريسبي!$C$2:$C$1800,الريسبي!$A$2:$A$1800,$A115,الريسبي!$B$2:$B$1800,CC$1)</f>
        <v>0</v>
      </c>
      <c r="CD115" s="117" t="n">
        <f aca="false">SUMIFS(الريسبي!$C$2:$C$1800,الريسبي!$A$2:$A$1800,$A115,الريسبي!$B$2:$B$1800,CD$1)</f>
        <v>0</v>
      </c>
      <c r="CE115" s="117" t="n">
        <f aca="false">SUMIFS(الريسبي!$C$2:$C$1800,الريسبي!$A$2:$A$1800,$A115,الريسبي!$B$2:$B$1800,CE$1)</f>
        <v>0</v>
      </c>
      <c r="CF115" s="117" t="n">
        <f aca="false">SUMIFS(الريسبي!$C$2:$C$1800,الريسبي!$A$2:$A$1800,$A115,الريسبي!$B$2:$B$1800,CF$1)</f>
        <v>3</v>
      </c>
      <c r="CG115" s="117" t="n">
        <f aca="false">SUMIFS(الريسبي!$C$2:$C$1800,الريسبي!$A$2:$A$1800,$A115,الريسبي!$B$2:$B$1800,CG$1)</f>
        <v>1</v>
      </c>
      <c r="CH115" s="117" t="n">
        <f aca="false">SUMIFS(الريسبي!$C$2:$C$1800,الريسبي!$A$2:$A$1800,$A115,الريسبي!$B$2:$B$1800,CH$1)</f>
        <v>1</v>
      </c>
      <c r="CI115" s="117" t="n">
        <f aca="false">SUMIFS(الريسبي!$C$2:$C$1800,الريسبي!$A$2:$A$1800,$A115,الريسبي!$B$2:$B$1800,CI$1)</f>
        <v>0</v>
      </c>
      <c r="CJ115" s="117" t="n">
        <f aca="false">SUMIFS(الريسبي!$C$2:$C$1800,الريسبي!$A$2:$A$1800,$A115,الريسبي!$B$2:$B$1800,CJ$1)</f>
        <v>0</v>
      </c>
      <c r="CK115" s="117" t="n">
        <f aca="false">SUMIFS(الريسبي!$C$2:$C$1800,الريسبي!$A$2:$A$1800,$A115,الريسبي!$B$2:$B$1800,CK$1)</f>
        <v>0</v>
      </c>
      <c r="CL115" s="117" t="n">
        <f aca="false">SUMIFS(الريسبي!$C$2:$C$1800,الريسبي!$A$2:$A$1800,$A115,الريسبي!$B$2:$B$1800,CL$1)</f>
        <v>0</v>
      </c>
    </row>
    <row r="116" customFormat="false" ht="15" hidden="false" customHeight="false" outlineLevel="0" collapsed="false">
      <c r="A116" s="116" t="str">
        <f aca="false">المنيو!B116</f>
        <v>قنبلة كريسبي صيامي</v>
      </c>
      <c r="B116" s="117" t="n">
        <f aca="false">SUMIFS(الريسبي!$C$2:$C$1800,الريسبي!$A$2:$A$1800,$A116,الريسبي!$B$2:$B$1800,B$1)</f>
        <v>0</v>
      </c>
      <c r="C116" s="117" t="n">
        <f aca="false">SUMIFS(الريسبي!$C$2:$C$1800,الريسبي!$A$2:$A$1800,$A116,الريسبي!$B$2:$B$1800,C$1)</f>
        <v>0</v>
      </c>
      <c r="D116" s="117" t="n">
        <f aca="false">SUMIFS(الريسبي!$C$2:$C$1800,الريسبي!$A$2:$A$1800,$A116,الريسبي!$B$2:$B$1800,D$1)</f>
        <v>1</v>
      </c>
      <c r="E116" s="117" t="n">
        <f aca="false">SUMIFS(الريسبي!$C$2:$C$1800,الريسبي!$A$2:$A$1800,$A116,الريسبي!$B$2:$B$1800,E$1)</f>
        <v>0</v>
      </c>
      <c r="F116" s="117" t="n">
        <f aca="false">SUMIFS(الريسبي!$C$2:$C$1800,الريسبي!$A$2:$A$1800,$A116,الريسبي!$B$2:$B$1800,F$1)</f>
        <v>0</v>
      </c>
      <c r="G116" s="117" t="n">
        <f aca="false">SUMIFS(الريسبي!$C$2:$C$1800,الريسبي!$A$2:$A$1800,$A116,الريسبي!$B$2:$B$1800,G$1)</f>
        <v>0</v>
      </c>
      <c r="H116" s="117" t="n">
        <f aca="false">SUMIFS(الريسبي!$C$2:$C$1800,الريسبي!$A$2:$A$1800,$A116,الريسبي!$B$2:$B$1800,H$1)</f>
        <v>0</v>
      </c>
      <c r="I116" s="117" t="n">
        <f aca="false">SUMIFS(الريسبي!$C$2:$C$1800,الريسبي!$A$2:$A$1800,$A116,الريسبي!$B$2:$B$1800,I$1)</f>
        <v>0</v>
      </c>
      <c r="J116" s="117" t="n">
        <f aca="false">SUMIFS(الريسبي!$C$2:$C$1800,الريسبي!$A$2:$A$1800,$A116,الريسبي!$B$2:$B$1800,J$1)</f>
        <v>0</v>
      </c>
      <c r="K116" s="117" t="n">
        <f aca="false">SUMIFS(الريسبي!$C$2:$C$1800,الريسبي!$A$2:$A$1800,$A116,الريسبي!$B$2:$B$1800,K$1)</f>
        <v>0</v>
      </c>
      <c r="L116" s="117" t="n">
        <f aca="false">SUMIFS(الريسبي!$C$2:$C$1800,الريسبي!$A$2:$A$1800,$A116,الريسبي!$B$2:$B$1800,L$1)</f>
        <v>0</v>
      </c>
      <c r="M116" s="117" t="n">
        <f aca="false">SUMIFS(الريسبي!$C$2:$C$1800,الريسبي!$A$2:$A$1800,$A116,الريسبي!$B$2:$B$1800,M$1)</f>
        <v>0</v>
      </c>
      <c r="N116" s="117" t="n">
        <f aca="false">SUMIFS(الريسبي!$C$2:$C$1800,الريسبي!$A$2:$A$1800,$A116,الريسبي!$B$2:$B$1800,N$1)</f>
        <v>0</v>
      </c>
      <c r="O116" s="117" t="n">
        <f aca="false">SUMIFS(الريسبي!$C$2:$C$1800,الريسبي!$A$2:$A$1800,$A116,الريسبي!$B$2:$B$1800,O$1)</f>
        <v>0</v>
      </c>
      <c r="P116" s="117" t="n">
        <f aca="false">SUMIFS(الريسبي!$C$2:$C$1800,الريسبي!$A$2:$A$1800,$A116,الريسبي!$B$2:$B$1800,P$1)</f>
        <v>0</v>
      </c>
      <c r="Q116" s="117" t="n">
        <f aca="false">SUMIFS(الريسبي!$C$2:$C$1800,الريسبي!$A$2:$A$1800,$A116,الريسبي!$B$2:$B$1800,Q$1)</f>
        <v>0</v>
      </c>
      <c r="R116" s="117" t="n">
        <f aca="false">SUMIFS(الريسبي!$C$2:$C$1800,الريسبي!$A$2:$A$1800,$A116,الريسبي!$B$2:$B$1800,R$1)</f>
        <v>0</v>
      </c>
      <c r="S116" s="117" t="n">
        <f aca="false">SUMIFS(الريسبي!$C$2:$C$1800,الريسبي!$A$2:$A$1800,$A116,الريسبي!$B$2:$B$1800,S$1)</f>
        <v>0</v>
      </c>
      <c r="T116" s="117" t="n">
        <f aca="false">SUMIFS(الريسبي!$C$2:$C$1800,الريسبي!$A$2:$A$1800,$A116,الريسبي!$B$2:$B$1800,T$1)</f>
        <v>0</v>
      </c>
      <c r="U116" s="117" t="n">
        <f aca="false">SUMIFS(الريسبي!$C$2:$C$1800,الريسبي!$A$2:$A$1800,$A116,الريسبي!$B$2:$B$1800,U$1)</f>
        <v>0</v>
      </c>
      <c r="V116" s="117" t="n">
        <f aca="false">SUMIFS(الريسبي!$C$2:$C$1800,الريسبي!$A$2:$A$1800,$A116,الريسبي!$B$2:$B$1800,V$1)+1.5*(SUMIFS(الريسبي!$C$2:$C$1800,الريسبي!$A$2:$A$1800,$A116,الريسبي!$B$2:$B$1800,"برسيون موتزريلا بيتزا كبير"))</f>
        <v>0</v>
      </c>
      <c r="W116" s="117" t="n">
        <f aca="false">0</f>
        <v>0</v>
      </c>
      <c r="X116" s="117" t="n">
        <f aca="false">SUMIFS(الريسبي!$C$2:$C$1800,الريسبي!$A$2:$A$1800,$A116,الريسبي!$B$2:$B$1800,X$1)+1.5*(SUMIFS(الريسبي!$C$2:$C$1800,الريسبي!$A$2:$A$1800,$A116,الريسبي!$B$2:$B$1800,"برسيون موتزريلا فطير كبير"))</f>
        <v>0.5</v>
      </c>
      <c r="Y116" s="117" t="n">
        <f aca="false">0</f>
        <v>0</v>
      </c>
      <c r="Z116" s="117" t="n">
        <f aca="false">SUMIFS(الريسبي!$C$2:$C$1800,الريسبي!$A$2:$A$1800,$A116,الريسبي!$B$2:$B$1800,Z$1)</f>
        <v>0</v>
      </c>
      <c r="AA116" s="117" t="n">
        <f aca="false">SUMIFS(الريسبي!$C$2:$C$1800,الريسبي!$A$2:$A$1800,$A116,الريسبي!$B$2:$B$1800,AA$1)</f>
        <v>0</v>
      </c>
      <c r="AB116" s="117" t="n">
        <f aca="false">SUMIFS(الريسبي!$C$2:$C$1800,الريسبي!$A$2:$A$1800,$A116,الريسبي!$B$2:$B$1800,AB$1)</f>
        <v>0</v>
      </c>
      <c r="AC116" s="117" t="n">
        <f aca="false">SUMIFS(الريسبي!$C$2:$C$1800,الريسبي!$A$2:$A$1800,$A116,الريسبي!$B$2:$B$1800,AC$1)</f>
        <v>0</v>
      </c>
      <c r="AD116" s="117" t="n">
        <f aca="false">SUMIFS(الريسبي!$C$2:$C$1800,الريسبي!$A$2:$A$1800,$A116,الريسبي!$B$2:$B$1800,AD$1)</f>
        <v>0</v>
      </c>
      <c r="AE116" s="117" t="n">
        <f aca="false">SUMIFS(الريسبي!$C$2:$C$1800,الريسبي!$A$2:$A$1800,$A116,الريسبي!$B$2:$B$1800,AE$1)</f>
        <v>0.02</v>
      </c>
      <c r="AF116" s="117" t="n">
        <f aca="false">SUMIFS(الريسبي!$C$2:$C$1800,الريسبي!$A$2:$A$1800,$A116,الريسبي!$B$2:$B$1800,AF$1)</f>
        <v>0</v>
      </c>
      <c r="AG116" s="117" t="n">
        <f aca="false">SUMIFS(الريسبي!$C$2:$C$1800,الريسبي!$A$2:$A$1800,$A116,الريسبي!$B$2:$B$1800,AG$1)</f>
        <v>0</v>
      </c>
      <c r="AH116" s="117" t="n">
        <f aca="false">SUMIFS(الريسبي!$C$2:$C$1800,الريسبي!$A$2:$A$1800,$A116,الريسبي!$B$2:$B$1800,AH$1)</f>
        <v>0</v>
      </c>
      <c r="AI116" s="117" t="n">
        <f aca="false">SUMIFS(الريسبي!$C$2:$C$1800,الريسبي!$A$2:$A$1800,$A116,الريسبي!$B$2:$B$1800,AI$1)</f>
        <v>0</v>
      </c>
      <c r="AJ116" s="117" t="n">
        <f aca="false">SUMIFS(الريسبي!$C$2:$C$1800,الريسبي!$A$2:$A$1800,$A116,الريسبي!$B$2:$B$1800,AJ$1)</f>
        <v>2</v>
      </c>
      <c r="AK116" s="117" t="n">
        <f aca="false">SUMIFS(الريسبي!$C$2:$C$1800,الريسبي!$A$2:$A$1800,$A116,الريسبي!$B$2:$B$1800,AK$1)</f>
        <v>0</v>
      </c>
      <c r="AL116" s="117" t="n">
        <f aca="false">SUMIFS(الريسبي!$C$2:$C$1800,الريسبي!$A$2:$A$1800,$A116,الريسبي!$B$2:$B$1800,AL$1)</f>
        <v>0.02</v>
      </c>
      <c r="AM116" s="117" t="n">
        <f aca="false">SUMIFS(الريسبي!$C$2:$C$1800,الريسبي!$A$2:$A$1800,$A116,الريسبي!$B$2:$B$1800,AM$1)+0.08333333333*SUMIFS(الريسبي!$C$2:$C$1800,الريسبي!$A$2:$A$1800,$A116,الريسبي!$B$2:$B$1800,"عجين كريب (مصنع بالمطعم)")+0.08333333333*SUMIFS(الريسبي!$C$2:$C$1800,الريسبي!$A$2:$A$1800,$A116,الريسبي!$B$2:$B$1800,"عجين كريب صيامي (بدون لبن)")</f>
        <v>0</v>
      </c>
      <c r="AN116" s="117" t="n">
        <f aca="false">SUMIFS(الريسبي!$C$2:$C$1800,الريسبي!$A$2:$A$1800,$A116,الريسبي!$B$2:$B$1800,AN$1)+0.004166666667*SUMIFS(الريسبي!$C$2:$C$1800,الريسبي!$A$2:$A$1800,$A116,الريسبي!$B$2:$B$1800,"عجين كريب (مصنع بالمطعم)")+0.004166666667*SUMIFS(الريسبي!$C$2:$C$1800,الريسبي!$A$2:$A$1800,$A116,الريسبي!$B$2:$B$1800,"عجين كريب صيامي (بدون لبن)")</f>
        <v>0</v>
      </c>
      <c r="AO116" s="117" t="n">
        <f aca="false">SUMIFS(الريسبي!$C$2:$C$1800,الريسبي!$A$2:$A$1800,$A116,الريسبي!$B$2:$B$1800,AO$1)</f>
        <v>0</v>
      </c>
      <c r="AP116" s="117" t="n">
        <f aca="false">SUMIFS(الريسبي!$C$2:$C$1800,الريسبي!$A$2:$A$1800,$A116,الريسبي!$B$2:$B$1800,AP$1)</f>
        <v>0</v>
      </c>
      <c r="AQ116" s="117" t="n">
        <f aca="false">SUMIFS(الريسبي!$C$2:$C$1800,الريسبي!$A$2:$A$1800,$A116,الريسبي!$B$2:$B$1800,AQ$1)+0.004166666667*SUMIFS(الريسبي!$C$2:$C$1800,الريسبي!$A$2:$A$1800,$A116,الريسبي!$B$2:$B$1800,"عجين كريب (مصنع بالمطعم)")+0.004166666667*SUMIFS(الريسبي!$C$2:$C$1800,الريسبي!$A$2:$A$1800,$A116,الريسبي!$B$2:$B$1800,"عجين كريب صيامي (بدون لبن)")</f>
        <v>0</v>
      </c>
      <c r="AR116" s="117" t="n">
        <f aca="false">SUMIFS(الريسبي!$C$2:$C$1800,الريسبي!$A$2:$A$1800,$A116,الريسبي!$B$2:$B$1800,AR$1)</f>
        <v>0</v>
      </c>
      <c r="AS116" s="117" t="n">
        <f aca="false">SUMIFS(الريسبي!$C$2:$C$1800,الريسبي!$A$2:$A$1800,$A116,الريسبي!$B$2:$B$1800,AS$1)</f>
        <v>0</v>
      </c>
      <c r="AT116" s="117" t="n">
        <f aca="false">SUMIFS(الريسبي!$C$2:$C$1800,الريسبي!$A$2:$A$1800,$A116,الريسبي!$B$2:$B$1800,AT$1)</f>
        <v>0</v>
      </c>
      <c r="AU116" s="117" t="n">
        <f aca="false">SUMIFS(الريسبي!$C$2:$C$1800,الريسبي!$A$2:$A$1800,$A116,الريسبي!$B$2:$B$1800,AU$1)</f>
        <v>0</v>
      </c>
      <c r="AV116" s="117" t="n">
        <f aca="false">SUMIFS(الريسبي!$C$2:$C$1800,الريسبي!$A$2:$A$1800,$A116,الريسبي!$B$2:$B$1800,AV$1)</f>
        <v>0</v>
      </c>
      <c r="AW116" s="117" t="n">
        <f aca="false">SUMIFS(الريسبي!$C$2:$C$1800,الريسبي!$A$2:$A$1800,$A116,الريسبي!$B$2:$B$1800,AW$1)</f>
        <v>0</v>
      </c>
      <c r="AX116" s="117" t="n">
        <f aca="false">SUMIFS(الريسبي!$C$2:$C$1800,الريسبي!$A$2:$A$1800,$A116,الريسبي!$B$2:$B$1800,AX$1)</f>
        <v>0</v>
      </c>
      <c r="AY116" s="117" t="n">
        <f aca="false">SUMIFS(الريسبي!$C$2:$C$1800,الريسبي!$A$2:$A$1800,$A116,الريسبي!$B$2:$B$1800,AY$1)</f>
        <v>0.05</v>
      </c>
      <c r="AZ116" s="117" t="n">
        <f aca="false">SUMIFS(الريسبي!$C$2:$C$1800,الريسبي!$A$2:$A$1800,$A116,الريسبي!$B$2:$B$1800,AZ$1)</f>
        <v>0</v>
      </c>
      <c r="BA116" s="117" t="n">
        <f aca="false">SUMIFS(الريسبي!$C$2:$C$1800,الريسبي!$A$2:$A$1800,$A116,الريسبي!$B$2:$B$1800,BA$1)</f>
        <v>0.05</v>
      </c>
      <c r="BB116" s="117" t="n">
        <f aca="false">SUMIFS(الريسبي!$C$2:$C$1800,الريسبي!$A$2:$A$1800,$A116,الريسبي!$B$2:$B$1800,BB$1)</f>
        <v>0.05</v>
      </c>
      <c r="BC116" s="117" t="n">
        <f aca="false">SUMIFS(الريسبي!$C$2:$C$1800,الريسبي!$A$2:$A$1800,$A116,الريسبي!$B$2:$B$1800,BC$1)</f>
        <v>0.02</v>
      </c>
      <c r="BD116" s="117" t="n">
        <f aca="false">SUMIFS(الريسبي!$C$2:$C$1800,الريسبي!$A$2:$A$1800,$A116,الريسبي!$B$2:$B$1800,BD$1)</f>
        <v>0.22</v>
      </c>
      <c r="BE116" s="117" t="n">
        <f aca="false">SUMIFS(الريسبي!$C$2:$C$1800,الريسبي!$A$2:$A$1800,$A116,الريسبي!$B$2:$B$1800,BE$1)</f>
        <v>0</v>
      </c>
      <c r="BF116" s="117" t="n">
        <f aca="false">SUMIFS(الريسبي!$C$2:$C$1800,الريسبي!$A$2:$A$1800,$A116,الريسبي!$B$2:$B$1800,BF$1)</f>
        <v>0</v>
      </c>
      <c r="BG116" s="117" t="n">
        <f aca="false">SUMIFS(الريسبي!$C$2:$C$1800,الريسبي!$A$2:$A$1800,$A116,الريسبي!$B$2:$B$1800,BG$1)</f>
        <v>0</v>
      </c>
      <c r="BH116" s="117" t="n">
        <f aca="false">SUMIFS(الريسبي!$C$2:$C$1800,الريسبي!$A$2:$A$1800,$A116,الريسبي!$B$2:$B$1800,BH$1)</f>
        <v>0</v>
      </c>
      <c r="BI116" s="117" t="n">
        <f aca="false">SUMIFS(الريسبي!$C$2:$C$1800,الريسبي!$A$2:$A$1800,$A116,الريسبي!$B$2:$B$1800,BI$1)</f>
        <v>0</v>
      </c>
      <c r="BJ116" s="117" t="n">
        <f aca="false">SUMIFS(الريسبي!$C$2:$C$1800,الريسبي!$A$2:$A$1800,$A116,الريسبي!$B$2:$B$1800,BJ$1)</f>
        <v>0</v>
      </c>
      <c r="BK116" s="117" t="n">
        <f aca="false">SUMIFS(الريسبي!$C$2:$C$1800,الريسبي!$A$2:$A$1800,$A116,الريسبي!$B$2:$B$1800,BK$1)</f>
        <v>0</v>
      </c>
      <c r="BL116" s="117" t="n">
        <f aca="false">SUMIFS(الريسبي!$C$2:$C$1800,الريسبي!$A$2:$A$1800,$A116,الريسبي!$B$2:$B$1800,BL$1)</f>
        <v>0</v>
      </c>
      <c r="BM116" s="117" t="n">
        <f aca="false">SUMIFS(الريسبي!$C$2:$C$1800,الريسبي!$A$2:$A$1800,$A116,الريسبي!$B$2:$B$1800,BM$1)</f>
        <v>0.14</v>
      </c>
      <c r="BN116" s="117" t="n">
        <f aca="false">SUMIFS(الريسبي!$C$2:$C$1800,الريسبي!$A$2:$A$1800,$A116,الريسبي!$B$2:$B$1800,BN$1)</f>
        <v>0.02</v>
      </c>
      <c r="BO116" s="117" t="n">
        <f aca="false">SUMIFS(الريسبي!$C$2:$C$1800,الريسبي!$A$2:$A$1800,$A116,الريسبي!$B$2:$B$1800,BO$1)</f>
        <v>0</v>
      </c>
      <c r="BP116" s="117" t="n">
        <f aca="false">SUMIFS(الريسبي!$C$2:$C$1800,الريسبي!$A$2:$A$1800,$A116,الريسبي!$B$2:$B$1800,BP$1)</f>
        <v>2</v>
      </c>
      <c r="BQ116" s="117" t="n">
        <f aca="false">SUMIFS(الريسبي!$C$2:$C$1800,الريسبي!$A$2:$A$1800,$A116,الريسبي!$B$2:$B$1800,BQ$1)+0.17*SUMIFS(الريسبي!$C$2:$C$1800,الريسبي!$A$2:$A$1800,$A116,الريسبي!$B$2:$B$1800,"كاسترد مصنع (خليط بودر + لبن)")+0.17*SUMIFS(الريسبي!$C$2:$C$1800,الريسبي!$A$2:$A$1800,$A116,الريسبي!$B$2:$B$1800,"كاسترد مصنع صيامي (بدون لبن)")</f>
        <v>0</v>
      </c>
      <c r="BR116" s="117" t="n">
        <f aca="false">SUMIFS(الريسبي!$C$2:$C$1800,الريسبي!$A$2:$A$1800,$A116,الريسبي!$B$2:$B$1800,BR$1)</f>
        <v>1</v>
      </c>
      <c r="BS116" s="117" t="n">
        <f aca="false">SUMIFS(الريسبي!$C$2:$C$1800,الريسبي!$A$2:$A$1800,$A116,الريسبي!$B$2:$B$1800,BS$1)</f>
        <v>0</v>
      </c>
      <c r="BT116" s="117" t="n">
        <f aca="false">SUMIFS(الريسبي!$C$2:$C$1800,الريسبي!$A$2:$A$1800,$A116,الريسبي!$B$2:$B$1800,BT$1)</f>
        <v>0</v>
      </c>
      <c r="BU116" s="117" t="n">
        <f aca="false">SUMIFS(الريسبي!$C$2:$C$1800,الريسبي!$A$2:$A$1800,$A116,الريسبي!$B$2:$B$1800,BU$1)+0.4*SUMIFS(الريسبي!$C$2:$C$1800,الريسبي!$A$2:$A$1800,$A116,الريسبي!$B$2:$B$1800,"كاسترد مصنع (خليط بودر + لبن)")+0.03333333333*SUMIFS(الريسبي!$C$2:$C$1800,الريسبي!$A$2:$A$1800,$A116,الريسبي!$B$2:$B$1800,"عجين كريب (مصنع بالمطعم)")</f>
        <v>0</v>
      </c>
      <c r="BV116" s="117" t="n">
        <f aca="false">SUMIFS(الريسبي!$C$2:$C$1800,الريسبي!$A$2:$A$1800,$A116,الريسبي!$B$2:$B$1800,BV$1)</f>
        <v>0</v>
      </c>
      <c r="BW116" s="117" t="n">
        <f aca="false">SUMIFS(الريسبي!$C$2:$C$1800,الريسبي!$A$2:$A$1800,$A116,الريسبي!$B$2:$B$1800,BW$1)</f>
        <v>0</v>
      </c>
      <c r="BX116" s="117" t="n">
        <f aca="false">SUMIFS(الريسبي!$C$2:$C$1800,الريسبي!$A$2:$A$1800,$A116,الريسبي!$B$2:$B$1800,BX$1)</f>
        <v>0</v>
      </c>
      <c r="BY116" s="117" t="n">
        <f aca="false">SUMIFS(الريسبي!$C$2:$C$1800,الريسبي!$A$2:$A$1800,$A116,الريسبي!$B$2:$B$1800,BY$1)</f>
        <v>0</v>
      </c>
      <c r="BZ116" s="117" t="n">
        <f aca="false">SUMIFS(الريسبي!$C$2:$C$1800,الريسبي!$A$2:$A$1800,$A116,الريسبي!$B$2:$B$1800,BZ$1)</f>
        <v>0</v>
      </c>
      <c r="CA116" s="117" t="n">
        <f aca="false">SUMIFS(الريسبي!$C$2:$C$1800,الريسبي!$A$2:$A$1800,$A116,الريسبي!$B$2:$B$1800,CA$1)</f>
        <v>1</v>
      </c>
      <c r="CB116" s="117" t="n">
        <f aca="false">SUMIFS(الريسبي!$C$2:$C$1800,الريسبي!$A$2:$A$1800,$A116,الريسبي!$B$2:$B$1800,CB$1)</f>
        <v>1</v>
      </c>
      <c r="CC116" s="117" t="n">
        <f aca="false">SUMIFS(الريسبي!$C$2:$C$1800,الريسبي!$A$2:$A$1800,$A116,الريسبي!$B$2:$B$1800,CC$1)</f>
        <v>0</v>
      </c>
      <c r="CD116" s="117" t="n">
        <f aca="false">SUMIFS(الريسبي!$C$2:$C$1800,الريسبي!$A$2:$A$1800,$A116,الريسبي!$B$2:$B$1800,CD$1)</f>
        <v>0</v>
      </c>
      <c r="CE116" s="117" t="n">
        <f aca="false">SUMIFS(الريسبي!$C$2:$C$1800,الريسبي!$A$2:$A$1800,$A116,الريسبي!$B$2:$B$1800,CE$1)</f>
        <v>0</v>
      </c>
      <c r="CF116" s="117" t="n">
        <f aca="false">SUMIFS(الريسبي!$C$2:$C$1800,الريسبي!$A$2:$A$1800,$A116,الريسبي!$B$2:$B$1800,CF$1)</f>
        <v>0</v>
      </c>
      <c r="CG116" s="117" t="n">
        <f aca="false">SUMIFS(الريسبي!$C$2:$C$1800,الريسبي!$A$2:$A$1800,$A116,الريسبي!$B$2:$B$1800,CG$1)</f>
        <v>1</v>
      </c>
      <c r="CH116" s="117" t="n">
        <f aca="false">SUMIFS(الريسبي!$C$2:$C$1800,الريسبي!$A$2:$A$1800,$A116,الريسبي!$B$2:$B$1800,CH$1)</f>
        <v>1</v>
      </c>
      <c r="CI116" s="117" t="n">
        <f aca="false">SUMIFS(الريسبي!$C$2:$C$1800,الريسبي!$A$2:$A$1800,$A116,الريسبي!$B$2:$B$1800,CI$1)</f>
        <v>0</v>
      </c>
      <c r="CJ116" s="117" t="n">
        <f aca="false">SUMIFS(الريسبي!$C$2:$C$1800,الريسبي!$A$2:$A$1800,$A116,الريسبي!$B$2:$B$1800,CJ$1)</f>
        <v>0</v>
      </c>
      <c r="CK116" s="117" t="n">
        <f aca="false">SUMIFS(الريسبي!$C$2:$C$1800,الريسبي!$A$2:$A$1800,$A116,الريسبي!$B$2:$B$1800,CK$1)</f>
        <v>0</v>
      </c>
      <c r="CL116" s="117" t="n">
        <f aca="false">SUMIFS(الريسبي!$C$2:$C$1800,الريسبي!$A$2:$A$1800,$A116,الريسبي!$B$2:$B$1800,CL$1)</f>
        <v>0</v>
      </c>
    </row>
    <row r="117" customFormat="false" ht="15" hidden="false" customHeight="false" outlineLevel="0" collapsed="false">
      <c r="A117" s="116" t="str">
        <f aca="false">المنيو!B117</f>
        <v>بهججة بيتزا برجر صيامي</v>
      </c>
      <c r="B117" s="117" t="n">
        <f aca="false">SUMIFS(الريسبي!$C$2:$C$1800,الريسبي!$A$2:$A$1800,$A117,الريسبي!$B$2:$B$1800,B$1)</f>
        <v>0</v>
      </c>
      <c r="C117" s="117" t="n">
        <f aca="false">SUMIFS(الريسبي!$C$2:$C$1800,الريسبي!$A$2:$A$1800,$A117,الريسبي!$B$2:$B$1800,C$1)</f>
        <v>0</v>
      </c>
      <c r="D117" s="117" t="n">
        <f aca="false">SUMIFS(الريسبي!$C$2:$C$1800,الريسبي!$A$2:$A$1800,$A117,الريسبي!$B$2:$B$1800,D$1)</f>
        <v>1</v>
      </c>
      <c r="E117" s="117" t="n">
        <f aca="false">SUMIFS(الريسبي!$C$2:$C$1800,الريسبي!$A$2:$A$1800,$A117,الريسبي!$B$2:$B$1800,E$1)</f>
        <v>0</v>
      </c>
      <c r="F117" s="117" t="n">
        <f aca="false">SUMIFS(الريسبي!$C$2:$C$1800,الريسبي!$A$2:$A$1800,$A117,الريسبي!$B$2:$B$1800,F$1)</f>
        <v>0</v>
      </c>
      <c r="G117" s="117" t="n">
        <f aca="false">SUMIFS(الريسبي!$C$2:$C$1800,الريسبي!$A$2:$A$1800,$A117,الريسبي!$B$2:$B$1800,G$1)</f>
        <v>0</v>
      </c>
      <c r="H117" s="117" t="n">
        <f aca="false">SUMIFS(الريسبي!$C$2:$C$1800,الريسبي!$A$2:$A$1800,$A117,الريسبي!$B$2:$B$1800,H$1)</f>
        <v>0</v>
      </c>
      <c r="I117" s="117" t="n">
        <f aca="false">SUMIFS(الريسبي!$C$2:$C$1800,الريسبي!$A$2:$A$1800,$A117,الريسبي!$B$2:$B$1800,I$1)</f>
        <v>0</v>
      </c>
      <c r="J117" s="117" t="n">
        <f aca="false">SUMIFS(الريسبي!$C$2:$C$1800,الريسبي!$A$2:$A$1800,$A117,الريسبي!$B$2:$B$1800,J$1)</f>
        <v>0</v>
      </c>
      <c r="K117" s="117" t="n">
        <f aca="false">SUMIFS(الريسبي!$C$2:$C$1800,الريسبي!$A$2:$A$1800,$A117,الريسبي!$B$2:$B$1800,K$1)</f>
        <v>0</v>
      </c>
      <c r="L117" s="117" t="n">
        <f aca="false">SUMIFS(الريسبي!$C$2:$C$1800,الريسبي!$A$2:$A$1800,$A117,الريسبي!$B$2:$B$1800,L$1)</f>
        <v>0</v>
      </c>
      <c r="M117" s="117" t="n">
        <f aca="false">SUMIFS(الريسبي!$C$2:$C$1800,الريسبي!$A$2:$A$1800,$A117,الريسبي!$B$2:$B$1800,M$1)</f>
        <v>0</v>
      </c>
      <c r="N117" s="117" t="n">
        <f aca="false">SUMIFS(الريسبي!$C$2:$C$1800,الريسبي!$A$2:$A$1800,$A117,الريسبي!$B$2:$B$1800,N$1)</f>
        <v>0</v>
      </c>
      <c r="O117" s="117" t="n">
        <f aca="false">SUMIFS(الريسبي!$C$2:$C$1800,الريسبي!$A$2:$A$1800,$A117,الريسبي!$B$2:$B$1800,O$1)</f>
        <v>0</v>
      </c>
      <c r="P117" s="117" t="n">
        <f aca="false">SUMIFS(الريسبي!$C$2:$C$1800,الريسبي!$A$2:$A$1800,$A117,الريسبي!$B$2:$B$1800,P$1)</f>
        <v>0</v>
      </c>
      <c r="Q117" s="117" t="n">
        <f aca="false">SUMIFS(الريسبي!$C$2:$C$1800,الريسبي!$A$2:$A$1800,$A117,الريسبي!$B$2:$B$1800,Q$1)</f>
        <v>0</v>
      </c>
      <c r="R117" s="117" t="n">
        <f aca="false">SUMIFS(الريسبي!$C$2:$C$1800,الريسبي!$A$2:$A$1800,$A117,الريسبي!$B$2:$B$1800,R$1)</f>
        <v>0</v>
      </c>
      <c r="S117" s="117" t="n">
        <f aca="false">SUMIFS(الريسبي!$C$2:$C$1800,الريسبي!$A$2:$A$1800,$A117,الريسبي!$B$2:$B$1800,S$1)</f>
        <v>0</v>
      </c>
      <c r="T117" s="117" t="n">
        <f aca="false">SUMIFS(الريسبي!$C$2:$C$1800,الريسبي!$A$2:$A$1800,$A117,الريسبي!$B$2:$B$1800,T$1)</f>
        <v>0</v>
      </c>
      <c r="U117" s="117" t="n">
        <f aca="false">SUMIFS(الريسبي!$C$2:$C$1800,الريسبي!$A$2:$A$1800,$A117,الريسبي!$B$2:$B$1800,U$1)</f>
        <v>0</v>
      </c>
      <c r="V117" s="117" t="n">
        <f aca="false">SUMIFS(الريسبي!$C$2:$C$1800,الريسبي!$A$2:$A$1800,$A117,الريسبي!$B$2:$B$1800,V$1)+1.5*(SUMIFS(الريسبي!$C$2:$C$1800,الريسبي!$A$2:$A$1800,$A117,الريسبي!$B$2:$B$1800,"برسيون موتزريلا بيتزا كبير"))</f>
        <v>0</v>
      </c>
      <c r="W117" s="117" t="n">
        <f aca="false">0</f>
        <v>0</v>
      </c>
      <c r="X117" s="117" t="n">
        <f aca="false">SUMIFS(الريسبي!$C$2:$C$1800,الريسبي!$A$2:$A$1800,$A117,الريسبي!$B$2:$B$1800,X$1)+1.5*(SUMIFS(الريسبي!$C$2:$C$1800,الريسبي!$A$2:$A$1800,$A117,الريسبي!$B$2:$B$1800,"برسيون موتزريلا فطير كبير"))</f>
        <v>1</v>
      </c>
      <c r="Y117" s="117" t="n">
        <f aca="false">0</f>
        <v>0</v>
      </c>
      <c r="Z117" s="117" t="n">
        <f aca="false">SUMIFS(الريسبي!$C$2:$C$1800,الريسبي!$A$2:$A$1800,$A117,الريسبي!$B$2:$B$1800,Z$1)</f>
        <v>0</v>
      </c>
      <c r="AA117" s="117" t="n">
        <f aca="false">SUMIFS(الريسبي!$C$2:$C$1800,الريسبي!$A$2:$A$1800,$A117,الريسبي!$B$2:$B$1800,AA$1)</f>
        <v>0</v>
      </c>
      <c r="AB117" s="117" t="n">
        <f aca="false">SUMIFS(الريسبي!$C$2:$C$1800,الريسبي!$A$2:$A$1800,$A117,الريسبي!$B$2:$B$1800,AB$1)</f>
        <v>0</v>
      </c>
      <c r="AC117" s="117" t="n">
        <f aca="false">SUMIFS(الريسبي!$C$2:$C$1800,الريسبي!$A$2:$A$1800,$A117,الريسبي!$B$2:$B$1800,AC$1)</f>
        <v>0</v>
      </c>
      <c r="AD117" s="117" t="n">
        <f aca="false">SUMIFS(الريسبي!$C$2:$C$1800,الريسبي!$A$2:$A$1800,$A117,الريسبي!$B$2:$B$1800,AD$1)</f>
        <v>0</v>
      </c>
      <c r="AE117" s="117" t="n">
        <f aca="false">SUMIFS(الريسبي!$C$2:$C$1800,الريسبي!$A$2:$A$1800,$A117,الريسبي!$B$2:$B$1800,AE$1)</f>
        <v>0.02</v>
      </c>
      <c r="AF117" s="117" t="n">
        <f aca="false">SUMIFS(الريسبي!$C$2:$C$1800,الريسبي!$A$2:$A$1800,$A117,الريسبي!$B$2:$B$1800,AF$1)</f>
        <v>0</v>
      </c>
      <c r="AG117" s="117" t="n">
        <f aca="false">SUMIFS(الريسبي!$C$2:$C$1800,الريسبي!$A$2:$A$1800,$A117,الريسبي!$B$2:$B$1800,AG$1)</f>
        <v>0</v>
      </c>
      <c r="AH117" s="117" t="n">
        <f aca="false">SUMIFS(الريسبي!$C$2:$C$1800,الريسبي!$A$2:$A$1800,$A117,الريسبي!$B$2:$B$1800,AH$1)</f>
        <v>0</v>
      </c>
      <c r="AI117" s="117" t="n">
        <f aca="false">SUMIFS(الريسبي!$C$2:$C$1800,الريسبي!$A$2:$A$1800,$A117,الريسبي!$B$2:$B$1800,AI$1)</f>
        <v>0</v>
      </c>
      <c r="AJ117" s="117" t="n">
        <f aca="false">SUMIFS(الريسبي!$C$2:$C$1800,الريسبي!$A$2:$A$1800,$A117,الريسبي!$B$2:$B$1800,AJ$1)</f>
        <v>2</v>
      </c>
      <c r="AK117" s="117" t="n">
        <f aca="false">SUMIFS(الريسبي!$C$2:$C$1800,الريسبي!$A$2:$A$1800,$A117,الريسبي!$B$2:$B$1800,AK$1)</f>
        <v>0</v>
      </c>
      <c r="AL117" s="117" t="n">
        <f aca="false">SUMIFS(الريسبي!$C$2:$C$1800,الريسبي!$A$2:$A$1800,$A117,الريسبي!$B$2:$B$1800,AL$1)</f>
        <v>0.02</v>
      </c>
      <c r="AM117" s="117" t="n">
        <f aca="false">SUMIFS(الريسبي!$C$2:$C$1800,الريسبي!$A$2:$A$1800,$A117,الريسبي!$B$2:$B$1800,AM$1)+0.08333333333*SUMIFS(الريسبي!$C$2:$C$1800,الريسبي!$A$2:$A$1800,$A117,الريسبي!$B$2:$B$1800,"عجين كريب (مصنع بالمطعم)")+0.08333333333*SUMIFS(الريسبي!$C$2:$C$1800,الريسبي!$A$2:$A$1800,$A117,الريسبي!$B$2:$B$1800,"عجين كريب صيامي (بدون لبن)")</f>
        <v>0</v>
      </c>
      <c r="AN117" s="117" t="n">
        <f aca="false">SUMIFS(الريسبي!$C$2:$C$1800,الريسبي!$A$2:$A$1800,$A117,الريسبي!$B$2:$B$1800,AN$1)+0.004166666667*SUMIFS(الريسبي!$C$2:$C$1800,الريسبي!$A$2:$A$1800,$A117,الريسبي!$B$2:$B$1800,"عجين كريب (مصنع بالمطعم)")+0.004166666667*SUMIFS(الريسبي!$C$2:$C$1800,الريسبي!$A$2:$A$1800,$A117,الريسبي!$B$2:$B$1800,"عجين كريب صيامي (بدون لبن)")</f>
        <v>0</v>
      </c>
      <c r="AO117" s="117" t="n">
        <f aca="false">SUMIFS(الريسبي!$C$2:$C$1800,الريسبي!$A$2:$A$1800,$A117,الريسبي!$B$2:$B$1800,AO$1)</f>
        <v>0</v>
      </c>
      <c r="AP117" s="117" t="n">
        <f aca="false">SUMIFS(الريسبي!$C$2:$C$1800,الريسبي!$A$2:$A$1800,$A117,الريسبي!$B$2:$B$1800,AP$1)</f>
        <v>0</v>
      </c>
      <c r="AQ117" s="117" t="n">
        <f aca="false">SUMIFS(الريسبي!$C$2:$C$1800,الريسبي!$A$2:$A$1800,$A117,الريسبي!$B$2:$B$1800,AQ$1)+0.004166666667*SUMIFS(الريسبي!$C$2:$C$1800,الريسبي!$A$2:$A$1800,$A117,الريسبي!$B$2:$B$1800,"عجين كريب (مصنع بالمطعم)")+0.004166666667*SUMIFS(الريسبي!$C$2:$C$1800,الريسبي!$A$2:$A$1800,$A117,الريسبي!$B$2:$B$1800,"عجين كريب صيامي (بدون لبن)")</f>
        <v>0</v>
      </c>
      <c r="AR117" s="117" t="n">
        <f aca="false">SUMIFS(الريسبي!$C$2:$C$1800,الريسبي!$A$2:$A$1800,$A117,الريسبي!$B$2:$B$1800,AR$1)</f>
        <v>0</v>
      </c>
      <c r="AS117" s="117" t="n">
        <f aca="false">SUMIFS(الريسبي!$C$2:$C$1800,الريسبي!$A$2:$A$1800,$A117,الريسبي!$B$2:$B$1800,AS$1)</f>
        <v>0</v>
      </c>
      <c r="AT117" s="117" t="n">
        <f aca="false">SUMIFS(الريسبي!$C$2:$C$1800,الريسبي!$A$2:$A$1800,$A117,الريسبي!$B$2:$B$1800,AT$1)</f>
        <v>0</v>
      </c>
      <c r="AU117" s="117" t="n">
        <f aca="false">SUMIFS(الريسبي!$C$2:$C$1800,الريسبي!$A$2:$A$1800,$A117,الريسبي!$B$2:$B$1800,AU$1)</f>
        <v>0</v>
      </c>
      <c r="AV117" s="117" t="n">
        <f aca="false">SUMIFS(الريسبي!$C$2:$C$1800,الريسبي!$A$2:$A$1800,$A117,الريسبي!$B$2:$B$1800,AV$1)</f>
        <v>0</v>
      </c>
      <c r="AW117" s="117" t="n">
        <f aca="false">SUMIFS(الريسبي!$C$2:$C$1800,الريسبي!$A$2:$A$1800,$A117,الريسبي!$B$2:$B$1800,AW$1)</f>
        <v>0</v>
      </c>
      <c r="AX117" s="117" t="n">
        <f aca="false">SUMIFS(الريسبي!$C$2:$C$1800,الريسبي!$A$2:$A$1800,$A117,الريسبي!$B$2:$B$1800,AX$1)</f>
        <v>0</v>
      </c>
      <c r="AY117" s="117" t="n">
        <f aca="false">SUMIFS(الريسبي!$C$2:$C$1800,الريسبي!$A$2:$A$1800,$A117,الريسبي!$B$2:$B$1800,AY$1)</f>
        <v>0.05</v>
      </c>
      <c r="AZ117" s="117" t="n">
        <f aca="false">SUMIFS(الريسبي!$C$2:$C$1800,الريسبي!$A$2:$A$1800,$A117,الريسبي!$B$2:$B$1800,AZ$1)</f>
        <v>0.05</v>
      </c>
      <c r="BA117" s="117" t="n">
        <f aca="false">SUMIFS(الريسبي!$C$2:$C$1800,الريسبي!$A$2:$A$1800,$A117,الريسبي!$B$2:$B$1800,BA$1)</f>
        <v>0</v>
      </c>
      <c r="BB117" s="117" t="n">
        <f aca="false">SUMIFS(الريسبي!$C$2:$C$1800,الريسبي!$A$2:$A$1800,$A117,الريسبي!$B$2:$B$1800,BB$1)</f>
        <v>0.05</v>
      </c>
      <c r="BC117" s="117" t="n">
        <f aca="false">SUMIFS(الريسبي!$C$2:$C$1800,الريسبي!$A$2:$A$1800,$A117,الريسبي!$B$2:$B$1800,BC$1)</f>
        <v>0.02</v>
      </c>
      <c r="BD117" s="117" t="n">
        <f aca="false">SUMIFS(الريسبي!$C$2:$C$1800,الريسبي!$A$2:$A$1800,$A117,الريسبي!$B$2:$B$1800,BD$1)</f>
        <v>0.22</v>
      </c>
      <c r="BE117" s="117" t="n">
        <f aca="false">SUMIFS(الريسبي!$C$2:$C$1800,الريسبي!$A$2:$A$1800,$A117,الريسبي!$B$2:$B$1800,BE$1)</f>
        <v>0</v>
      </c>
      <c r="BF117" s="117" t="n">
        <f aca="false">SUMIFS(الريسبي!$C$2:$C$1800,الريسبي!$A$2:$A$1800,$A117,الريسبي!$B$2:$B$1800,BF$1)</f>
        <v>0</v>
      </c>
      <c r="BG117" s="117" t="n">
        <f aca="false">SUMIFS(الريسبي!$C$2:$C$1800,الريسبي!$A$2:$A$1800,$A117,الريسبي!$B$2:$B$1800,BG$1)</f>
        <v>0</v>
      </c>
      <c r="BH117" s="117" t="n">
        <f aca="false">SUMIFS(الريسبي!$C$2:$C$1800,الريسبي!$A$2:$A$1800,$A117,الريسبي!$B$2:$B$1800,BH$1)</f>
        <v>0</v>
      </c>
      <c r="BI117" s="117" t="n">
        <f aca="false">SUMIFS(الريسبي!$C$2:$C$1800,الريسبي!$A$2:$A$1800,$A117,الريسبي!$B$2:$B$1800,BI$1)</f>
        <v>0</v>
      </c>
      <c r="BJ117" s="117" t="n">
        <f aca="false">SUMIFS(الريسبي!$C$2:$C$1800,الريسبي!$A$2:$A$1800,$A117,الريسبي!$B$2:$B$1800,BJ$1)</f>
        <v>0</v>
      </c>
      <c r="BK117" s="117" t="n">
        <f aca="false">SUMIFS(الريسبي!$C$2:$C$1800,الريسبي!$A$2:$A$1800,$A117,الريسبي!$B$2:$B$1800,BK$1)</f>
        <v>0</v>
      </c>
      <c r="BL117" s="117" t="n">
        <f aca="false">SUMIFS(الريسبي!$C$2:$C$1800,الريسبي!$A$2:$A$1800,$A117,الريسبي!$B$2:$B$1800,BL$1)</f>
        <v>0</v>
      </c>
      <c r="BM117" s="117" t="n">
        <f aca="false">SUMIFS(الريسبي!$C$2:$C$1800,الريسبي!$A$2:$A$1800,$A117,الريسبي!$B$2:$B$1800,BM$1)</f>
        <v>0</v>
      </c>
      <c r="BN117" s="117" t="n">
        <f aca="false">SUMIFS(الريسبي!$C$2:$C$1800,الريسبي!$A$2:$A$1800,$A117,الريسبي!$B$2:$B$1800,BN$1)</f>
        <v>0.02</v>
      </c>
      <c r="BO117" s="117" t="n">
        <f aca="false">SUMIFS(الريسبي!$C$2:$C$1800,الريسبي!$A$2:$A$1800,$A117,الريسبي!$B$2:$B$1800,BO$1)</f>
        <v>0</v>
      </c>
      <c r="BP117" s="117" t="n">
        <f aca="false">SUMIFS(الريسبي!$C$2:$C$1800,الريسبي!$A$2:$A$1800,$A117,الريسبي!$B$2:$B$1800,BP$1)</f>
        <v>2</v>
      </c>
      <c r="BQ117" s="117" t="n">
        <f aca="false">SUMIFS(الريسبي!$C$2:$C$1800,الريسبي!$A$2:$A$1800,$A117,الريسبي!$B$2:$B$1800,BQ$1)+0.17*SUMIFS(الريسبي!$C$2:$C$1800,الريسبي!$A$2:$A$1800,$A117,الريسبي!$B$2:$B$1800,"كاسترد مصنع (خليط بودر + لبن)")+0.17*SUMIFS(الريسبي!$C$2:$C$1800,الريسبي!$A$2:$A$1800,$A117,الريسبي!$B$2:$B$1800,"كاسترد مصنع صيامي (بدون لبن)")</f>
        <v>0</v>
      </c>
      <c r="BR117" s="117" t="n">
        <f aca="false">SUMIFS(الريسبي!$C$2:$C$1800,الريسبي!$A$2:$A$1800,$A117,الريسبي!$B$2:$B$1800,BR$1)</f>
        <v>1</v>
      </c>
      <c r="BS117" s="117" t="n">
        <f aca="false">SUMIFS(الريسبي!$C$2:$C$1800,الريسبي!$A$2:$A$1800,$A117,الريسبي!$B$2:$B$1800,BS$1)</f>
        <v>0</v>
      </c>
      <c r="BT117" s="117" t="n">
        <f aca="false">SUMIFS(الريسبي!$C$2:$C$1800,الريسبي!$A$2:$A$1800,$A117,الريسبي!$B$2:$B$1800,BT$1)</f>
        <v>0</v>
      </c>
      <c r="BU117" s="117" t="n">
        <f aca="false">SUMIFS(الريسبي!$C$2:$C$1800,الريسبي!$A$2:$A$1800,$A117,الريسبي!$B$2:$B$1800,BU$1)+0.4*SUMIFS(الريسبي!$C$2:$C$1800,الريسبي!$A$2:$A$1800,$A117,الريسبي!$B$2:$B$1800,"كاسترد مصنع (خليط بودر + لبن)")+0.03333333333*SUMIFS(الريسبي!$C$2:$C$1800,الريسبي!$A$2:$A$1800,$A117,الريسبي!$B$2:$B$1800,"عجين كريب (مصنع بالمطعم)")</f>
        <v>0</v>
      </c>
      <c r="BV117" s="117" t="n">
        <f aca="false">SUMIFS(الريسبي!$C$2:$C$1800,الريسبي!$A$2:$A$1800,$A117,الريسبي!$B$2:$B$1800,BV$1)</f>
        <v>0</v>
      </c>
      <c r="BW117" s="117" t="n">
        <f aca="false">SUMIFS(الريسبي!$C$2:$C$1800,الريسبي!$A$2:$A$1800,$A117,الريسبي!$B$2:$B$1800,BW$1)</f>
        <v>0</v>
      </c>
      <c r="BX117" s="117" t="n">
        <f aca="false">SUMIFS(الريسبي!$C$2:$C$1800,الريسبي!$A$2:$A$1800,$A117,الريسبي!$B$2:$B$1800,BX$1)</f>
        <v>0</v>
      </c>
      <c r="BY117" s="117" t="n">
        <f aca="false">SUMIFS(الريسبي!$C$2:$C$1800,الريسبي!$A$2:$A$1800,$A117,الريسبي!$B$2:$B$1800,BY$1)</f>
        <v>0</v>
      </c>
      <c r="BZ117" s="117" t="n">
        <f aca="false">SUMIFS(الريسبي!$C$2:$C$1800,الريسبي!$A$2:$A$1800,$A117,الريسبي!$B$2:$B$1800,BZ$1)</f>
        <v>0</v>
      </c>
      <c r="CA117" s="117" t="n">
        <f aca="false">SUMIFS(الريسبي!$C$2:$C$1800,الريسبي!$A$2:$A$1800,$A117,الريسبي!$B$2:$B$1800,CA$1)</f>
        <v>1</v>
      </c>
      <c r="CB117" s="117" t="n">
        <f aca="false">SUMIFS(الريسبي!$C$2:$C$1800,الريسبي!$A$2:$A$1800,$A117,الريسبي!$B$2:$B$1800,CB$1)</f>
        <v>1</v>
      </c>
      <c r="CC117" s="117" t="n">
        <f aca="false">SUMIFS(الريسبي!$C$2:$C$1800,الريسبي!$A$2:$A$1800,$A117,الريسبي!$B$2:$B$1800,CC$1)</f>
        <v>0</v>
      </c>
      <c r="CD117" s="117" t="n">
        <f aca="false">SUMIFS(الريسبي!$C$2:$C$1800,الريسبي!$A$2:$A$1800,$A117,الريسبي!$B$2:$B$1800,CD$1)</f>
        <v>0</v>
      </c>
      <c r="CE117" s="117" t="n">
        <f aca="false">SUMIFS(الريسبي!$C$2:$C$1800,الريسبي!$A$2:$A$1800,$A117,الريسبي!$B$2:$B$1800,CE$1)</f>
        <v>0</v>
      </c>
      <c r="CF117" s="117" t="n">
        <f aca="false">SUMIFS(الريسبي!$C$2:$C$1800,الريسبي!$A$2:$A$1800,$A117,الريسبي!$B$2:$B$1800,CF$1)</f>
        <v>3</v>
      </c>
      <c r="CG117" s="117" t="n">
        <f aca="false">SUMIFS(الريسبي!$C$2:$C$1800,الريسبي!$A$2:$A$1800,$A117,الريسبي!$B$2:$B$1800,CG$1)</f>
        <v>1</v>
      </c>
      <c r="CH117" s="117" t="n">
        <f aca="false">SUMIFS(الريسبي!$C$2:$C$1800,الريسبي!$A$2:$A$1800,$A117,الريسبي!$B$2:$B$1800,CH$1)</f>
        <v>1</v>
      </c>
      <c r="CI117" s="117" t="n">
        <f aca="false">SUMIFS(الريسبي!$C$2:$C$1800,الريسبي!$A$2:$A$1800,$A117,الريسبي!$B$2:$B$1800,CI$1)</f>
        <v>0</v>
      </c>
      <c r="CJ117" s="117" t="n">
        <f aca="false">SUMIFS(الريسبي!$C$2:$C$1800,الريسبي!$A$2:$A$1800,$A117,الريسبي!$B$2:$B$1800,CJ$1)</f>
        <v>0</v>
      </c>
      <c r="CK117" s="117" t="n">
        <f aca="false">SUMIFS(الريسبي!$C$2:$C$1800,الريسبي!$A$2:$A$1800,$A117,الريسبي!$B$2:$B$1800,CK$1)</f>
        <v>0</v>
      </c>
      <c r="CL117" s="117" t="n">
        <f aca="false">SUMIFS(الريسبي!$C$2:$C$1800,الريسبي!$A$2:$A$1800,$A117,الريسبي!$B$2:$B$1800,CL$1)</f>
        <v>0</v>
      </c>
    </row>
    <row r="118" customFormat="false" ht="15" hidden="false" customHeight="false" outlineLevel="0" collapsed="false">
      <c r="A118" s="116" t="str">
        <f aca="false">المنيو!B118</f>
        <v>بهججة كريسبي صيامي</v>
      </c>
      <c r="B118" s="117" t="n">
        <f aca="false">SUMIFS(الريسبي!$C$2:$C$1800,الريسبي!$A$2:$A$1800,$A118,الريسبي!$B$2:$B$1800,B$1)</f>
        <v>0</v>
      </c>
      <c r="C118" s="117" t="n">
        <f aca="false">SUMIFS(الريسبي!$C$2:$C$1800,الريسبي!$A$2:$A$1800,$A118,الريسبي!$B$2:$B$1800,C$1)</f>
        <v>0</v>
      </c>
      <c r="D118" s="117" t="n">
        <f aca="false">SUMIFS(الريسبي!$C$2:$C$1800,الريسبي!$A$2:$A$1800,$A118,الريسبي!$B$2:$B$1800,D$1)</f>
        <v>1</v>
      </c>
      <c r="E118" s="117" t="n">
        <f aca="false">SUMIFS(الريسبي!$C$2:$C$1800,الريسبي!$A$2:$A$1800,$A118,الريسبي!$B$2:$B$1800,E$1)</f>
        <v>0</v>
      </c>
      <c r="F118" s="117" t="n">
        <f aca="false">SUMIFS(الريسبي!$C$2:$C$1800,الريسبي!$A$2:$A$1800,$A118,الريسبي!$B$2:$B$1800,F$1)</f>
        <v>0</v>
      </c>
      <c r="G118" s="117" t="n">
        <f aca="false">SUMIFS(الريسبي!$C$2:$C$1800,الريسبي!$A$2:$A$1800,$A118,الريسبي!$B$2:$B$1800,G$1)</f>
        <v>0</v>
      </c>
      <c r="H118" s="117" t="n">
        <f aca="false">SUMIFS(الريسبي!$C$2:$C$1800,الريسبي!$A$2:$A$1800,$A118,الريسبي!$B$2:$B$1800,H$1)</f>
        <v>0</v>
      </c>
      <c r="I118" s="117" t="n">
        <f aca="false">SUMIFS(الريسبي!$C$2:$C$1800,الريسبي!$A$2:$A$1800,$A118,الريسبي!$B$2:$B$1800,I$1)</f>
        <v>0</v>
      </c>
      <c r="J118" s="117" t="n">
        <f aca="false">SUMIFS(الريسبي!$C$2:$C$1800,الريسبي!$A$2:$A$1800,$A118,الريسبي!$B$2:$B$1800,J$1)</f>
        <v>0</v>
      </c>
      <c r="K118" s="117" t="n">
        <f aca="false">SUMIFS(الريسبي!$C$2:$C$1800,الريسبي!$A$2:$A$1800,$A118,الريسبي!$B$2:$B$1800,K$1)</f>
        <v>0</v>
      </c>
      <c r="L118" s="117" t="n">
        <f aca="false">SUMIFS(الريسبي!$C$2:$C$1800,الريسبي!$A$2:$A$1800,$A118,الريسبي!$B$2:$B$1800,L$1)</f>
        <v>0</v>
      </c>
      <c r="M118" s="117" t="n">
        <f aca="false">SUMIFS(الريسبي!$C$2:$C$1800,الريسبي!$A$2:$A$1800,$A118,الريسبي!$B$2:$B$1800,M$1)</f>
        <v>0</v>
      </c>
      <c r="N118" s="117" t="n">
        <f aca="false">SUMIFS(الريسبي!$C$2:$C$1800,الريسبي!$A$2:$A$1800,$A118,الريسبي!$B$2:$B$1800,N$1)</f>
        <v>0</v>
      </c>
      <c r="O118" s="117" t="n">
        <f aca="false">SUMIFS(الريسبي!$C$2:$C$1800,الريسبي!$A$2:$A$1800,$A118,الريسبي!$B$2:$B$1800,O$1)</f>
        <v>0</v>
      </c>
      <c r="P118" s="117" t="n">
        <f aca="false">SUMIFS(الريسبي!$C$2:$C$1800,الريسبي!$A$2:$A$1800,$A118,الريسبي!$B$2:$B$1800,P$1)</f>
        <v>0</v>
      </c>
      <c r="Q118" s="117" t="n">
        <f aca="false">SUMIFS(الريسبي!$C$2:$C$1800,الريسبي!$A$2:$A$1800,$A118,الريسبي!$B$2:$B$1800,Q$1)</f>
        <v>0</v>
      </c>
      <c r="R118" s="117" t="n">
        <f aca="false">SUMIFS(الريسبي!$C$2:$C$1800,الريسبي!$A$2:$A$1800,$A118,الريسبي!$B$2:$B$1800,R$1)</f>
        <v>0</v>
      </c>
      <c r="S118" s="117" t="n">
        <f aca="false">SUMIFS(الريسبي!$C$2:$C$1800,الريسبي!$A$2:$A$1800,$A118,الريسبي!$B$2:$B$1800,S$1)</f>
        <v>0</v>
      </c>
      <c r="T118" s="117" t="n">
        <f aca="false">SUMIFS(الريسبي!$C$2:$C$1800,الريسبي!$A$2:$A$1800,$A118,الريسبي!$B$2:$B$1800,T$1)</f>
        <v>0</v>
      </c>
      <c r="U118" s="117" t="n">
        <f aca="false">SUMIFS(الريسبي!$C$2:$C$1800,الريسبي!$A$2:$A$1800,$A118,الريسبي!$B$2:$B$1800,U$1)</f>
        <v>0</v>
      </c>
      <c r="V118" s="117" t="n">
        <f aca="false">SUMIFS(الريسبي!$C$2:$C$1800,الريسبي!$A$2:$A$1800,$A118,الريسبي!$B$2:$B$1800,V$1)+1.5*(SUMIFS(الريسبي!$C$2:$C$1800,الريسبي!$A$2:$A$1800,$A118,الريسبي!$B$2:$B$1800,"برسيون موتزريلا بيتزا كبير"))</f>
        <v>0</v>
      </c>
      <c r="W118" s="117" t="n">
        <f aca="false">0</f>
        <v>0</v>
      </c>
      <c r="X118" s="117" t="n">
        <f aca="false">SUMIFS(الريسبي!$C$2:$C$1800,الريسبي!$A$2:$A$1800,$A118,الريسبي!$B$2:$B$1800,X$1)+1.5*(SUMIFS(الريسبي!$C$2:$C$1800,الريسبي!$A$2:$A$1800,$A118,الريسبي!$B$2:$B$1800,"برسيون موتزريلا فطير كبير"))</f>
        <v>1</v>
      </c>
      <c r="Y118" s="117" t="n">
        <f aca="false">0</f>
        <v>0</v>
      </c>
      <c r="Z118" s="117" t="n">
        <f aca="false">SUMIFS(الريسبي!$C$2:$C$1800,الريسبي!$A$2:$A$1800,$A118,الريسبي!$B$2:$B$1800,Z$1)</f>
        <v>0</v>
      </c>
      <c r="AA118" s="117" t="n">
        <f aca="false">SUMIFS(الريسبي!$C$2:$C$1800,الريسبي!$A$2:$A$1800,$A118,الريسبي!$B$2:$B$1800,AA$1)</f>
        <v>0</v>
      </c>
      <c r="AB118" s="117" t="n">
        <f aca="false">SUMIFS(الريسبي!$C$2:$C$1800,الريسبي!$A$2:$A$1800,$A118,الريسبي!$B$2:$B$1800,AB$1)</f>
        <v>0</v>
      </c>
      <c r="AC118" s="117" t="n">
        <f aca="false">SUMIFS(الريسبي!$C$2:$C$1800,الريسبي!$A$2:$A$1800,$A118,الريسبي!$B$2:$B$1800,AC$1)</f>
        <v>0</v>
      </c>
      <c r="AD118" s="117" t="n">
        <f aca="false">SUMIFS(الريسبي!$C$2:$C$1800,الريسبي!$A$2:$A$1800,$A118,الريسبي!$B$2:$B$1800,AD$1)</f>
        <v>0</v>
      </c>
      <c r="AE118" s="117" t="n">
        <f aca="false">SUMIFS(الريسبي!$C$2:$C$1800,الريسبي!$A$2:$A$1800,$A118,الريسبي!$B$2:$B$1800,AE$1)</f>
        <v>0.02</v>
      </c>
      <c r="AF118" s="117" t="n">
        <f aca="false">SUMIFS(الريسبي!$C$2:$C$1800,الريسبي!$A$2:$A$1800,$A118,الريسبي!$B$2:$B$1800,AF$1)</f>
        <v>0</v>
      </c>
      <c r="AG118" s="117" t="n">
        <f aca="false">SUMIFS(الريسبي!$C$2:$C$1800,الريسبي!$A$2:$A$1800,$A118,الريسبي!$B$2:$B$1800,AG$1)</f>
        <v>0</v>
      </c>
      <c r="AH118" s="117" t="n">
        <f aca="false">SUMIFS(الريسبي!$C$2:$C$1800,الريسبي!$A$2:$A$1800,$A118,الريسبي!$B$2:$B$1800,AH$1)</f>
        <v>0</v>
      </c>
      <c r="AI118" s="117" t="n">
        <f aca="false">SUMIFS(الريسبي!$C$2:$C$1800,الريسبي!$A$2:$A$1800,$A118,الريسبي!$B$2:$B$1800,AI$1)</f>
        <v>0</v>
      </c>
      <c r="AJ118" s="117" t="n">
        <f aca="false">SUMIFS(الريسبي!$C$2:$C$1800,الريسبي!$A$2:$A$1800,$A118,الريسبي!$B$2:$B$1800,AJ$1)</f>
        <v>2</v>
      </c>
      <c r="AK118" s="117" t="n">
        <f aca="false">SUMIFS(الريسبي!$C$2:$C$1800,الريسبي!$A$2:$A$1800,$A118,الريسبي!$B$2:$B$1800,AK$1)</f>
        <v>0</v>
      </c>
      <c r="AL118" s="117" t="n">
        <f aca="false">SUMIFS(الريسبي!$C$2:$C$1800,الريسبي!$A$2:$A$1800,$A118,الريسبي!$B$2:$B$1800,AL$1)</f>
        <v>0.02</v>
      </c>
      <c r="AM118" s="117" t="n">
        <f aca="false">SUMIFS(الريسبي!$C$2:$C$1800,الريسبي!$A$2:$A$1800,$A118,الريسبي!$B$2:$B$1800,AM$1)+0.08333333333*SUMIFS(الريسبي!$C$2:$C$1800,الريسبي!$A$2:$A$1800,$A118,الريسبي!$B$2:$B$1800,"عجين كريب (مصنع بالمطعم)")+0.08333333333*SUMIFS(الريسبي!$C$2:$C$1800,الريسبي!$A$2:$A$1800,$A118,الريسبي!$B$2:$B$1800,"عجين كريب صيامي (بدون لبن)")</f>
        <v>0</v>
      </c>
      <c r="AN118" s="117" t="n">
        <f aca="false">SUMIFS(الريسبي!$C$2:$C$1800,الريسبي!$A$2:$A$1800,$A118,الريسبي!$B$2:$B$1800,AN$1)+0.004166666667*SUMIFS(الريسبي!$C$2:$C$1800,الريسبي!$A$2:$A$1800,$A118,الريسبي!$B$2:$B$1800,"عجين كريب (مصنع بالمطعم)")+0.004166666667*SUMIFS(الريسبي!$C$2:$C$1800,الريسبي!$A$2:$A$1800,$A118,الريسبي!$B$2:$B$1800,"عجين كريب صيامي (بدون لبن)")</f>
        <v>0</v>
      </c>
      <c r="AO118" s="117" t="n">
        <f aca="false">SUMIFS(الريسبي!$C$2:$C$1800,الريسبي!$A$2:$A$1800,$A118,الريسبي!$B$2:$B$1800,AO$1)</f>
        <v>0</v>
      </c>
      <c r="AP118" s="117" t="n">
        <f aca="false">SUMIFS(الريسبي!$C$2:$C$1800,الريسبي!$A$2:$A$1800,$A118,الريسبي!$B$2:$B$1800,AP$1)</f>
        <v>0</v>
      </c>
      <c r="AQ118" s="117" t="n">
        <f aca="false">SUMIFS(الريسبي!$C$2:$C$1800,الريسبي!$A$2:$A$1800,$A118,الريسبي!$B$2:$B$1800,AQ$1)+0.004166666667*SUMIFS(الريسبي!$C$2:$C$1800,الريسبي!$A$2:$A$1800,$A118,الريسبي!$B$2:$B$1800,"عجين كريب (مصنع بالمطعم)")+0.004166666667*SUMIFS(الريسبي!$C$2:$C$1800,الريسبي!$A$2:$A$1800,$A118,الريسبي!$B$2:$B$1800,"عجين كريب صيامي (بدون لبن)")</f>
        <v>0</v>
      </c>
      <c r="AR118" s="117" t="n">
        <f aca="false">SUMIFS(الريسبي!$C$2:$C$1800,الريسبي!$A$2:$A$1800,$A118,الريسبي!$B$2:$B$1800,AR$1)</f>
        <v>0</v>
      </c>
      <c r="AS118" s="117" t="n">
        <f aca="false">SUMIFS(الريسبي!$C$2:$C$1800,الريسبي!$A$2:$A$1800,$A118,الريسبي!$B$2:$B$1800,AS$1)</f>
        <v>0</v>
      </c>
      <c r="AT118" s="117" t="n">
        <f aca="false">SUMIFS(الريسبي!$C$2:$C$1800,الريسبي!$A$2:$A$1800,$A118,الريسبي!$B$2:$B$1800,AT$1)</f>
        <v>0</v>
      </c>
      <c r="AU118" s="117" t="n">
        <f aca="false">SUMIFS(الريسبي!$C$2:$C$1800,الريسبي!$A$2:$A$1800,$A118,الريسبي!$B$2:$B$1800,AU$1)</f>
        <v>0</v>
      </c>
      <c r="AV118" s="117" t="n">
        <f aca="false">SUMIFS(الريسبي!$C$2:$C$1800,الريسبي!$A$2:$A$1800,$A118,الريسبي!$B$2:$B$1800,AV$1)</f>
        <v>0</v>
      </c>
      <c r="AW118" s="117" t="n">
        <f aca="false">SUMIFS(الريسبي!$C$2:$C$1800,الريسبي!$A$2:$A$1800,$A118,الريسبي!$B$2:$B$1800,AW$1)</f>
        <v>0</v>
      </c>
      <c r="AX118" s="117" t="n">
        <f aca="false">SUMIFS(الريسبي!$C$2:$C$1800,الريسبي!$A$2:$A$1800,$A118,الريسبي!$B$2:$B$1800,AX$1)</f>
        <v>0</v>
      </c>
      <c r="AY118" s="117" t="n">
        <f aca="false">SUMIFS(الريسبي!$C$2:$C$1800,الريسبي!$A$2:$A$1800,$A118,الريسبي!$B$2:$B$1800,AY$1)</f>
        <v>0.05</v>
      </c>
      <c r="AZ118" s="117" t="n">
        <f aca="false">SUMIFS(الريسبي!$C$2:$C$1800,الريسبي!$A$2:$A$1800,$A118,الريسبي!$B$2:$B$1800,AZ$1)</f>
        <v>0</v>
      </c>
      <c r="BA118" s="117" t="n">
        <f aca="false">SUMIFS(الريسبي!$C$2:$C$1800,الريسبي!$A$2:$A$1800,$A118,الريسبي!$B$2:$B$1800,BA$1)</f>
        <v>0.05</v>
      </c>
      <c r="BB118" s="117" t="n">
        <f aca="false">SUMIFS(الريسبي!$C$2:$C$1800,الريسبي!$A$2:$A$1800,$A118,الريسبي!$B$2:$B$1800,BB$1)</f>
        <v>0.05</v>
      </c>
      <c r="BC118" s="117" t="n">
        <f aca="false">SUMIFS(الريسبي!$C$2:$C$1800,الريسبي!$A$2:$A$1800,$A118,الريسبي!$B$2:$B$1800,BC$1)</f>
        <v>0.02</v>
      </c>
      <c r="BD118" s="117" t="n">
        <f aca="false">SUMIFS(الريسبي!$C$2:$C$1800,الريسبي!$A$2:$A$1800,$A118,الريسبي!$B$2:$B$1800,BD$1)</f>
        <v>0.22</v>
      </c>
      <c r="BE118" s="117" t="n">
        <f aca="false">SUMIFS(الريسبي!$C$2:$C$1800,الريسبي!$A$2:$A$1800,$A118,الريسبي!$B$2:$B$1800,BE$1)</f>
        <v>0</v>
      </c>
      <c r="BF118" s="117" t="n">
        <f aca="false">SUMIFS(الريسبي!$C$2:$C$1800,الريسبي!$A$2:$A$1800,$A118,الريسبي!$B$2:$B$1800,BF$1)</f>
        <v>0</v>
      </c>
      <c r="BG118" s="117" t="n">
        <f aca="false">SUMIFS(الريسبي!$C$2:$C$1800,الريسبي!$A$2:$A$1800,$A118,الريسبي!$B$2:$B$1800,BG$1)</f>
        <v>0</v>
      </c>
      <c r="BH118" s="117" t="n">
        <f aca="false">SUMIFS(الريسبي!$C$2:$C$1800,الريسبي!$A$2:$A$1800,$A118,الريسبي!$B$2:$B$1800,BH$1)</f>
        <v>0</v>
      </c>
      <c r="BI118" s="117" t="n">
        <f aca="false">SUMIFS(الريسبي!$C$2:$C$1800,الريسبي!$A$2:$A$1800,$A118,الريسبي!$B$2:$B$1800,BI$1)</f>
        <v>0</v>
      </c>
      <c r="BJ118" s="117" t="n">
        <f aca="false">SUMIFS(الريسبي!$C$2:$C$1800,الريسبي!$A$2:$A$1800,$A118,الريسبي!$B$2:$B$1800,BJ$1)</f>
        <v>0</v>
      </c>
      <c r="BK118" s="117" t="n">
        <f aca="false">SUMIFS(الريسبي!$C$2:$C$1800,الريسبي!$A$2:$A$1800,$A118,الريسبي!$B$2:$B$1800,BK$1)</f>
        <v>0</v>
      </c>
      <c r="BL118" s="117" t="n">
        <f aca="false">SUMIFS(الريسبي!$C$2:$C$1800,الريسبي!$A$2:$A$1800,$A118,الريسبي!$B$2:$B$1800,BL$1)</f>
        <v>0</v>
      </c>
      <c r="BM118" s="117" t="n">
        <f aca="false">SUMIFS(الريسبي!$C$2:$C$1800,الريسبي!$A$2:$A$1800,$A118,الريسبي!$B$2:$B$1800,BM$1)</f>
        <v>0.14</v>
      </c>
      <c r="BN118" s="117" t="n">
        <f aca="false">SUMIFS(الريسبي!$C$2:$C$1800,الريسبي!$A$2:$A$1800,$A118,الريسبي!$B$2:$B$1800,BN$1)</f>
        <v>0.02</v>
      </c>
      <c r="BO118" s="117" t="n">
        <f aca="false">SUMIFS(الريسبي!$C$2:$C$1800,الريسبي!$A$2:$A$1800,$A118,الريسبي!$B$2:$B$1800,BO$1)</f>
        <v>0</v>
      </c>
      <c r="BP118" s="117" t="n">
        <f aca="false">SUMIFS(الريسبي!$C$2:$C$1800,الريسبي!$A$2:$A$1800,$A118,الريسبي!$B$2:$B$1800,BP$1)</f>
        <v>2</v>
      </c>
      <c r="BQ118" s="117" t="n">
        <f aca="false">SUMIFS(الريسبي!$C$2:$C$1800,الريسبي!$A$2:$A$1800,$A118,الريسبي!$B$2:$B$1800,BQ$1)+0.17*SUMIFS(الريسبي!$C$2:$C$1800,الريسبي!$A$2:$A$1800,$A118,الريسبي!$B$2:$B$1800,"كاسترد مصنع (خليط بودر + لبن)")+0.17*SUMIFS(الريسبي!$C$2:$C$1800,الريسبي!$A$2:$A$1800,$A118,الريسبي!$B$2:$B$1800,"كاسترد مصنع صيامي (بدون لبن)")</f>
        <v>0</v>
      </c>
      <c r="BR118" s="117" t="n">
        <f aca="false">SUMIFS(الريسبي!$C$2:$C$1800,الريسبي!$A$2:$A$1800,$A118,الريسبي!$B$2:$B$1800,BR$1)</f>
        <v>1</v>
      </c>
      <c r="BS118" s="117" t="n">
        <f aca="false">SUMIFS(الريسبي!$C$2:$C$1800,الريسبي!$A$2:$A$1800,$A118,الريسبي!$B$2:$B$1800,BS$1)</f>
        <v>0</v>
      </c>
      <c r="BT118" s="117" t="n">
        <f aca="false">SUMIFS(الريسبي!$C$2:$C$1800,الريسبي!$A$2:$A$1800,$A118,الريسبي!$B$2:$B$1800,BT$1)</f>
        <v>0</v>
      </c>
      <c r="BU118" s="117" t="n">
        <f aca="false">SUMIFS(الريسبي!$C$2:$C$1800,الريسبي!$A$2:$A$1800,$A118,الريسبي!$B$2:$B$1800,BU$1)+0.4*SUMIFS(الريسبي!$C$2:$C$1800,الريسبي!$A$2:$A$1800,$A118,الريسبي!$B$2:$B$1800,"كاسترد مصنع (خليط بودر + لبن)")+0.03333333333*SUMIFS(الريسبي!$C$2:$C$1800,الريسبي!$A$2:$A$1800,$A118,الريسبي!$B$2:$B$1800,"عجين كريب (مصنع بالمطعم)")</f>
        <v>0</v>
      </c>
      <c r="BV118" s="117" t="n">
        <f aca="false">SUMIFS(الريسبي!$C$2:$C$1800,الريسبي!$A$2:$A$1800,$A118,الريسبي!$B$2:$B$1800,BV$1)</f>
        <v>0</v>
      </c>
      <c r="BW118" s="117" t="n">
        <f aca="false">SUMIFS(الريسبي!$C$2:$C$1800,الريسبي!$A$2:$A$1800,$A118,الريسبي!$B$2:$B$1800,BW$1)</f>
        <v>0</v>
      </c>
      <c r="BX118" s="117" t="n">
        <f aca="false">SUMIFS(الريسبي!$C$2:$C$1800,الريسبي!$A$2:$A$1800,$A118,الريسبي!$B$2:$B$1800,BX$1)</f>
        <v>0</v>
      </c>
      <c r="BY118" s="117" t="n">
        <f aca="false">SUMIFS(الريسبي!$C$2:$C$1800,الريسبي!$A$2:$A$1800,$A118,الريسبي!$B$2:$B$1800,BY$1)</f>
        <v>0</v>
      </c>
      <c r="BZ118" s="117" t="n">
        <f aca="false">SUMIFS(الريسبي!$C$2:$C$1800,الريسبي!$A$2:$A$1800,$A118,الريسبي!$B$2:$B$1800,BZ$1)</f>
        <v>0</v>
      </c>
      <c r="CA118" s="117" t="n">
        <f aca="false">SUMIFS(الريسبي!$C$2:$C$1800,الريسبي!$A$2:$A$1800,$A118,الريسبي!$B$2:$B$1800,CA$1)</f>
        <v>1</v>
      </c>
      <c r="CB118" s="117" t="n">
        <f aca="false">SUMIFS(الريسبي!$C$2:$C$1800,الريسبي!$A$2:$A$1800,$A118,الريسبي!$B$2:$B$1800,CB$1)</f>
        <v>1</v>
      </c>
      <c r="CC118" s="117" t="n">
        <f aca="false">SUMIFS(الريسبي!$C$2:$C$1800,الريسبي!$A$2:$A$1800,$A118,الريسبي!$B$2:$B$1800,CC$1)</f>
        <v>0</v>
      </c>
      <c r="CD118" s="117" t="n">
        <f aca="false">SUMIFS(الريسبي!$C$2:$C$1800,الريسبي!$A$2:$A$1800,$A118,الريسبي!$B$2:$B$1800,CD$1)</f>
        <v>0</v>
      </c>
      <c r="CE118" s="117" t="n">
        <f aca="false">SUMIFS(الريسبي!$C$2:$C$1800,الريسبي!$A$2:$A$1800,$A118,الريسبي!$B$2:$B$1800,CE$1)</f>
        <v>0</v>
      </c>
      <c r="CF118" s="117" t="n">
        <f aca="false">SUMIFS(الريسبي!$C$2:$C$1800,الريسبي!$A$2:$A$1800,$A118,الريسبي!$B$2:$B$1800,CF$1)</f>
        <v>0</v>
      </c>
      <c r="CG118" s="117" t="n">
        <f aca="false">SUMIFS(الريسبي!$C$2:$C$1800,الريسبي!$A$2:$A$1800,$A118,الريسبي!$B$2:$B$1800,CG$1)</f>
        <v>1</v>
      </c>
      <c r="CH118" s="117" t="n">
        <f aca="false">SUMIFS(الريسبي!$C$2:$C$1800,الريسبي!$A$2:$A$1800,$A118,الريسبي!$B$2:$B$1800,CH$1)</f>
        <v>1</v>
      </c>
      <c r="CI118" s="117" t="n">
        <f aca="false">SUMIFS(الريسبي!$C$2:$C$1800,الريسبي!$A$2:$A$1800,$A118,الريسبي!$B$2:$B$1800,CI$1)</f>
        <v>0</v>
      </c>
      <c r="CJ118" s="117" t="n">
        <f aca="false">SUMIFS(الريسبي!$C$2:$C$1800,الريسبي!$A$2:$A$1800,$A118,الريسبي!$B$2:$B$1800,CJ$1)</f>
        <v>0</v>
      </c>
      <c r="CK118" s="117" t="n">
        <f aca="false">SUMIFS(الريسبي!$C$2:$C$1800,الريسبي!$A$2:$A$1800,$A118,الريسبي!$B$2:$B$1800,CK$1)</f>
        <v>0</v>
      </c>
      <c r="CL118" s="117" t="n">
        <f aca="false">SUMIFS(الريسبي!$C$2:$C$1800,الريسبي!$A$2:$A$1800,$A118,الريسبي!$B$2:$B$1800,CL$1)</f>
        <v>0</v>
      </c>
    </row>
    <row r="119" customFormat="false" ht="15" hidden="false" customHeight="false" outlineLevel="0" collapsed="false">
      <c r="A119" s="116" t="str">
        <f aca="false">المنيو!B119</f>
        <v>مكرونة صوص ابيض خضروات صيامي</v>
      </c>
      <c r="B119" s="117" t="n">
        <f aca="false">SUMIFS(الريسبي!$C$2:$C$1800,الريسبي!$A$2:$A$1800,$A119,الريسبي!$B$2:$B$1800,B$1)</f>
        <v>1</v>
      </c>
      <c r="C119" s="117" t="n">
        <f aca="false">SUMIFS(الريسبي!$C$2:$C$1800,الريسبي!$A$2:$A$1800,$A119,الريسبي!$B$2:$B$1800,C$1)</f>
        <v>0</v>
      </c>
      <c r="D119" s="117" t="n">
        <f aca="false">SUMIFS(الريسبي!$C$2:$C$1800,الريسبي!$A$2:$A$1800,$A119,الريسبي!$B$2:$B$1800,D$1)</f>
        <v>0</v>
      </c>
      <c r="E119" s="117" t="n">
        <f aca="false">SUMIFS(الريسبي!$C$2:$C$1800,الريسبي!$A$2:$A$1800,$A119,الريسبي!$B$2:$B$1800,E$1)</f>
        <v>1</v>
      </c>
      <c r="F119" s="117" t="n">
        <f aca="false">SUMIFS(الريسبي!$C$2:$C$1800,الريسبي!$A$2:$A$1800,$A119,الريسبي!$B$2:$B$1800,F$1)</f>
        <v>0</v>
      </c>
      <c r="G119" s="117" t="n">
        <f aca="false">SUMIFS(الريسبي!$C$2:$C$1800,الريسبي!$A$2:$A$1800,$A119,الريسبي!$B$2:$B$1800,G$1)</f>
        <v>0</v>
      </c>
      <c r="H119" s="117" t="n">
        <f aca="false">SUMIFS(الريسبي!$C$2:$C$1800,الريسبي!$A$2:$A$1800,$A119,الريسبي!$B$2:$B$1800,H$1)</f>
        <v>0</v>
      </c>
      <c r="I119" s="117" t="n">
        <f aca="false">SUMIFS(الريسبي!$C$2:$C$1800,الريسبي!$A$2:$A$1800,$A119,الريسبي!$B$2:$B$1800,I$1)</f>
        <v>0</v>
      </c>
      <c r="J119" s="117" t="n">
        <f aca="false">SUMIFS(الريسبي!$C$2:$C$1800,الريسبي!$A$2:$A$1800,$A119,الريسبي!$B$2:$B$1800,J$1)</f>
        <v>0</v>
      </c>
      <c r="K119" s="117" t="n">
        <f aca="false">SUMIFS(الريسبي!$C$2:$C$1800,الريسبي!$A$2:$A$1800,$A119,الريسبي!$B$2:$B$1800,K$1)</f>
        <v>0</v>
      </c>
      <c r="L119" s="117" t="n">
        <f aca="false">SUMIFS(الريسبي!$C$2:$C$1800,الريسبي!$A$2:$A$1800,$A119,الريسبي!$B$2:$B$1800,L$1)</f>
        <v>0</v>
      </c>
      <c r="M119" s="117" t="n">
        <f aca="false">SUMIFS(الريسبي!$C$2:$C$1800,الريسبي!$A$2:$A$1800,$A119,الريسبي!$B$2:$B$1800,M$1)</f>
        <v>0</v>
      </c>
      <c r="N119" s="117" t="n">
        <f aca="false">SUMIFS(الريسبي!$C$2:$C$1800,الريسبي!$A$2:$A$1800,$A119,الريسبي!$B$2:$B$1800,N$1)</f>
        <v>0</v>
      </c>
      <c r="O119" s="117" t="n">
        <f aca="false">SUMIFS(الريسبي!$C$2:$C$1800,الريسبي!$A$2:$A$1800,$A119,الريسبي!$B$2:$B$1800,O$1)</f>
        <v>0</v>
      </c>
      <c r="P119" s="117" t="n">
        <f aca="false">SUMIFS(الريسبي!$C$2:$C$1800,الريسبي!$A$2:$A$1800,$A119,الريسبي!$B$2:$B$1800,P$1)</f>
        <v>0</v>
      </c>
      <c r="Q119" s="117" t="n">
        <f aca="false">SUMIFS(الريسبي!$C$2:$C$1800,الريسبي!$A$2:$A$1800,$A119,الريسبي!$B$2:$B$1800,Q$1)</f>
        <v>0</v>
      </c>
      <c r="R119" s="117" t="n">
        <f aca="false">SUMIFS(الريسبي!$C$2:$C$1800,الريسبي!$A$2:$A$1800,$A119,الريسبي!$B$2:$B$1800,R$1)</f>
        <v>0</v>
      </c>
      <c r="S119" s="117" t="n">
        <f aca="false">SUMIFS(الريسبي!$C$2:$C$1800,الريسبي!$A$2:$A$1800,$A119,الريسبي!$B$2:$B$1800,S$1)</f>
        <v>0</v>
      </c>
      <c r="T119" s="117" t="n">
        <f aca="false">SUMIFS(الريسبي!$C$2:$C$1800,الريسبي!$A$2:$A$1800,$A119,الريسبي!$B$2:$B$1800,T$1)</f>
        <v>0</v>
      </c>
      <c r="U119" s="117" t="n">
        <f aca="false">SUMIFS(الريسبي!$C$2:$C$1800,الريسبي!$A$2:$A$1800,$A119,الريسبي!$B$2:$B$1800,U$1)</f>
        <v>0</v>
      </c>
      <c r="V119" s="117" t="n">
        <f aca="false">SUMIFS(الريسبي!$C$2:$C$1800,الريسبي!$A$2:$A$1800,$A119,الريسبي!$B$2:$B$1800,V$1)+1.5*(SUMIFS(الريسبي!$C$2:$C$1800,الريسبي!$A$2:$A$1800,$A119,الريسبي!$B$2:$B$1800,"برسيون موتزريلا بيتزا كبير"))</f>
        <v>0</v>
      </c>
      <c r="W119" s="117" t="n">
        <f aca="false">0</f>
        <v>0</v>
      </c>
      <c r="X119" s="117" t="n">
        <f aca="false">SUMIFS(الريسبي!$C$2:$C$1800,الريسبي!$A$2:$A$1800,$A119,الريسبي!$B$2:$B$1800,X$1)+1.5*(SUMIFS(الريسبي!$C$2:$C$1800,الريسبي!$A$2:$A$1800,$A119,الريسبي!$B$2:$B$1800,"برسيون موتزريلا فطير كبير"))</f>
        <v>1</v>
      </c>
      <c r="Y119" s="117" t="n">
        <f aca="false">0</f>
        <v>0</v>
      </c>
      <c r="Z119" s="117" t="n">
        <f aca="false">SUMIFS(الريسبي!$C$2:$C$1800,الريسبي!$A$2:$A$1800,$A119,الريسبي!$B$2:$B$1800,Z$1)</f>
        <v>0</v>
      </c>
      <c r="AA119" s="117" t="n">
        <f aca="false">SUMIFS(الريسبي!$C$2:$C$1800,الريسبي!$A$2:$A$1800,$A119,الريسبي!$B$2:$B$1800,AA$1)</f>
        <v>0</v>
      </c>
      <c r="AB119" s="117" t="n">
        <f aca="false">SUMIFS(الريسبي!$C$2:$C$1800,الريسبي!$A$2:$A$1800,$A119,الريسبي!$B$2:$B$1800,AB$1)</f>
        <v>0</v>
      </c>
      <c r="AC119" s="117" t="n">
        <f aca="false">SUMIFS(الريسبي!$C$2:$C$1800,الريسبي!$A$2:$A$1800,$A119,الريسبي!$B$2:$B$1800,AC$1)</f>
        <v>0</v>
      </c>
      <c r="AD119" s="117" t="n">
        <f aca="false">SUMIFS(الريسبي!$C$2:$C$1800,الريسبي!$A$2:$A$1800,$A119,الريسبي!$B$2:$B$1800,AD$1)</f>
        <v>0.2</v>
      </c>
      <c r="AE119" s="117" t="n">
        <f aca="false">SUMIFS(الريسبي!$C$2:$C$1800,الريسبي!$A$2:$A$1800,$A119,الريسبي!$B$2:$B$1800,AE$1)</f>
        <v>0</v>
      </c>
      <c r="AF119" s="117" t="n">
        <f aca="false">SUMIFS(الريسبي!$C$2:$C$1800,الريسبي!$A$2:$A$1800,$A119,الريسبي!$B$2:$B$1800,AF$1)</f>
        <v>0</v>
      </c>
      <c r="AG119" s="117" t="n">
        <f aca="false">SUMIFS(الريسبي!$C$2:$C$1800,الريسبي!$A$2:$A$1800,$A119,الريسبي!$B$2:$B$1800,AG$1)</f>
        <v>0</v>
      </c>
      <c r="AH119" s="117" t="n">
        <f aca="false">SUMIFS(الريسبي!$C$2:$C$1800,الريسبي!$A$2:$A$1800,$A119,الريسبي!$B$2:$B$1800,AH$1)</f>
        <v>0</v>
      </c>
      <c r="AI119" s="117" t="n">
        <f aca="false">SUMIFS(الريسبي!$C$2:$C$1800,الريسبي!$A$2:$A$1800,$A119,الريسبي!$B$2:$B$1800,AI$1)</f>
        <v>0</v>
      </c>
      <c r="AJ119" s="117" t="n">
        <f aca="false">SUMIFS(الريسبي!$C$2:$C$1800,الريسبي!$A$2:$A$1800,$A119,الريسبي!$B$2:$B$1800,AJ$1)</f>
        <v>2</v>
      </c>
      <c r="AK119" s="117" t="n">
        <f aca="false">SUMIFS(الريسبي!$C$2:$C$1800,الريسبي!$A$2:$A$1800,$A119,الريسبي!$B$2:$B$1800,AK$1)</f>
        <v>0</v>
      </c>
      <c r="AL119" s="117" t="n">
        <f aca="false">SUMIFS(الريسبي!$C$2:$C$1800,الريسبي!$A$2:$A$1800,$A119,الريسبي!$B$2:$B$1800,AL$1)</f>
        <v>0</v>
      </c>
      <c r="AM119" s="117" t="n">
        <f aca="false">SUMIFS(الريسبي!$C$2:$C$1800,الريسبي!$A$2:$A$1800,$A119,الريسبي!$B$2:$B$1800,AM$1)+0.08333333333*SUMIFS(الريسبي!$C$2:$C$1800,الريسبي!$A$2:$A$1800,$A119,الريسبي!$B$2:$B$1800,"عجين كريب (مصنع بالمطعم)")+0.08333333333*SUMIFS(الريسبي!$C$2:$C$1800,الريسبي!$A$2:$A$1800,$A119,الريسبي!$B$2:$B$1800,"عجين كريب صيامي (بدون لبن)")</f>
        <v>0</v>
      </c>
      <c r="AN119" s="117" t="n">
        <f aca="false">SUMIFS(الريسبي!$C$2:$C$1800,الريسبي!$A$2:$A$1800,$A119,الريسبي!$B$2:$B$1800,AN$1)+0.004166666667*SUMIFS(الريسبي!$C$2:$C$1800,الريسبي!$A$2:$A$1800,$A119,الريسبي!$B$2:$B$1800,"عجين كريب (مصنع بالمطعم)")+0.004166666667*SUMIFS(الريسبي!$C$2:$C$1800,الريسبي!$A$2:$A$1800,$A119,الريسبي!$B$2:$B$1800,"عجين كريب صيامي (بدون لبن)")</f>
        <v>0</v>
      </c>
      <c r="AO119" s="117" t="n">
        <f aca="false">SUMIFS(الريسبي!$C$2:$C$1800,الريسبي!$A$2:$A$1800,$A119,الريسبي!$B$2:$B$1800,AO$1)</f>
        <v>0</v>
      </c>
      <c r="AP119" s="117" t="n">
        <f aca="false">SUMIFS(الريسبي!$C$2:$C$1800,الريسبي!$A$2:$A$1800,$A119,الريسبي!$B$2:$B$1800,AP$1)</f>
        <v>0</v>
      </c>
      <c r="AQ119" s="117" t="n">
        <f aca="false">SUMIFS(الريسبي!$C$2:$C$1800,الريسبي!$A$2:$A$1800,$A119,الريسبي!$B$2:$B$1800,AQ$1)+0.004166666667*SUMIFS(الريسبي!$C$2:$C$1800,الريسبي!$A$2:$A$1800,$A119,الريسبي!$B$2:$B$1800,"عجين كريب (مصنع بالمطعم)")+0.004166666667*SUMIFS(الريسبي!$C$2:$C$1800,الريسبي!$A$2:$A$1800,$A119,الريسبي!$B$2:$B$1800,"عجين كريب صيامي (بدون لبن)")</f>
        <v>0</v>
      </c>
      <c r="AR119" s="117" t="n">
        <f aca="false">SUMIFS(الريسبي!$C$2:$C$1800,الريسبي!$A$2:$A$1800,$A119,الريسبي!$B$2:$B$1800,AR$1)</f>
        <v>0</v>
      </c>
      <c r="AS119" s="117" t="n">
        <f aca="false">SUMIFS(الريسبي!$C$2:$C$1800,الريسبي!$A$2:$A$1800,$A119,الريسبي!$B$2:$B$1800,AS$1)</f>
        <v>0</v>
      </c>
      <c r="AT119" s="117" t="n">
        <f aca="false">SUMIFS(الريسبي!$C$2:$C$1800,الريسبي!$A$2:$A$1800,$A119,الريسبي!$B$2:$B$1800,AT$1)</f>
        <v>0</v>
      </c>
      <c r="AU119" s="117" t="n">
        <f aca="false">SUMIFS(الريسبي!$C$2:$C$1800,الريسبي!$A$2:$A$1800,$A119,الريسبي!$B$2:$B$1800,AU$1)</f>
        <v>1</v>
      </c>
      <c r="AV119" s="117" t="n">
        <f aca="false">SUMIFS(الريسبي!$C$2:$C$1800,الريسبي!$A$2:$A$1800,$A119,الريسبي!$B$2:$B$1800,AV$1)</f>
        <v>0</v>
      </c>
      <c r="AW119" s="117" t="n">
        <f aca="false">SUMIFS(الريسبي!$C$2:$C$1800,الريسبي!$A$2:$A$1800,$A119,الريسبي!$B$2:$B$1800,AW$1)</f>
        <v>0</v>
      </c>
      <c r="AX119" s="117" t="n">
        <f aca="false">SUMIFS(الريسبي!$C$2:$C$1800,الريسبي!$A$2:$A$1800,$A119,الريسبي!$B$2:$B$1800,AX$1)</f>
        <v>0</v>
      </c>
      <c r="AY119" s="117" t="n">
        <f aca="false">SUMIFS(الريسبي!$C$2:$C$1800,الريسبي!$A$2:$A$1800,$A119,الريسبي!$B$2:$B$1800,AY$1)</f>
        <v>0</v>
      </c>
      <c r="AZ119" s="117" t="n">
        <f aca="false">SUMIFS(الريسبي!$C$2:$C$1800,الريسبي!$A$2:$A$1800,$A119,الريسبي!$B$2:$B$1800,AZ$1)</f>
        <v>0</v>
      </c>
      <c r="BA119" s="117" t="n">
        <f aca="false">SUMIFS(الريسبي!$C$2:$C$1800,الريسبي!$A$2:$A$1800,$A119,الريسبي!$B$2:$B$1800,BA$1)</f>
        <v>0</v>
      </c>
      <c r="BB119" s="117" t="n">
        <f aca="false">SUMIFS(الريسبي!$C$2:$C$1800,الريسبي!$A$2:$A$1800,$A119,الريسبي!$B$2:$B$1800,BB$1)</f>
        <v>0</v>
      </c>
      <c r="BC119" s="117" t="n">
        <f aca="false">SUMIFS(الريسبي!$C$2:$C$1800,الريسبي!$A$2:$A$1800,$A119,الريسبي!$B$2:$B$1800,BC$1)</f>
        <v>0</v>
      </c>
      <c r="BD119" s="117" t="n">
        <f aca="false">SUMIFS(الريسبي!$C$2:$C$1800,الريسبي!$A$2:$A$1800,$A119,الريسبي!$B$2:$B$1800,BD$1)</f>
        <v>0</v>
      </c>
      <c r="BE119" s="117" t="n">
        <f aca="false">SUMIFS(الريسبي!$C$2:$C$1800,الريسبي!$A$2:$A$1800,$A119,الريسبي!$B$2:$B$1800,BE$1)</f>
        <v>0</v>
      </c>
      <c r="BF119" s="117" t="n">
        <f aca="false">SUMIFS(الريسبي!$C$2:$C$1800,الريسبي!$A$2:$A$1800,$A119,الريسبي!$B$2:$B$1800,BF$1)</f>
        <v>0</v>
      </c>
      <c r="BG119" s="117" t="n">
        <f aca="false">SUMIFS(الريسبي!$C$2:$C$1800,الريسبي!$A$2:$A$1800,$A119,الريسبي!$B$2:$B$1800,BG$1)</f>
        <v>0</v>
      </c>
      <c r="BH119" s="117" t="n">
        <f aca="false">SUMIFS(الريسبي!$C$2:$C$1800,الريسبي!$A$2:$A$1800,$A119,الريسبي!$B$2:$B$1800,BH$1)</f>
        <v>0</v>
      </c>
      <c r="BI119" s="117" t="n">
        <f aca="false">SUMIFS(الريسبي!$C$2:$C$1800,الريسبي!$A$2:$A$1800,$A119,الريسبي!$B$2:$B$1800,BI$1)</f>
        <v>0</v>
      </c>
      <c r="BJ119" s="117" t="n">
        <f aca="false">SUMIFS(الريسبي!$C$2:$C$1800,الريسبي!$A$2:$A$1800,$A119,الريسبي!$B$2:$B$1800,BJ$1)</f>
        <v>0</v>
      </c>
      <c r="BK119" s="117" t="n">
        <f aca="false">SUMIFS(الريسبي!$C$2:$C$1800,الريسبي!$A$2:$A$1800,$A119,الريسبي!$B$2:$B$1800,BK$1)</f>
        <v>0</v>
      </c>
      <c r="BL119" s="117" t="n">
        <f aca="false">SUMIFS(الريسبي!$C$2:$C$1800,الريسبي!$A$2:$A$1800,$A119,الريسبي!$B$2:$B$1800,BL$1)</f>
        <v>0</v>
      </c>
      <c r="BM119" s="117" t="n">
        <f aca="false">SUMIFS(الريسبي!$C$2:$C$1800,الريسبي!$A$2:$A$1800,$A119,الريسبي!$B$2:$B$1800,BM$1)</f>
        <v>0</v>
      </c>
      <c r="BN119" s="117" t="n">
        <f aca="false">SUMIFS(الريسبي!$C$2:$C$1800,الريسبي!$A$2:$A$1800,$A119,الريسبي!$B$2:$B$1800,BN$1)</f>
        <v>0</v>
      </c>
      <c r="BO119" s="117" t="n">
        <f aca="false">SUMIFS(الريسبي!$C$2:$C$1800,الريسبي!$A$2:$A$1800,$A119,الريسبي!$B$2:$B$1800,BO$1)</f>
        <v>0</v>
      </c>
      <c r="BP119" s="117" t="n">
        <f aca="false">SUMIFS(الريسبي!$C$2:$C$1800,الريسبي!$A$2:$A$1800,$A119,الريسبي!$B$2:$B$1800,BP$1)</f>
        <v>2</v>
      </c>
      <c r="BQ119" s="117" t="n">
        <f aca="false">SUMIFS(الريسبي!$C$2:$C$1800,الريسبي!$A$2:$A$1800,$A119,الريسبي!$B$2:$B$1800,BQ$1)+0.17*SUMIFS(الريسبي!$C$2:$C$1800,الريسبي!$A$2:$A$1800,$A119,الريسبي!$B$2:$B$1800,"كاسترد مصنع (خليط بودر + لبن)")+0.17*SUMIFS(الريسبي!$C$2:$C$1800,الريسبي!$A$2:$A$1800,$A119,الريسبي!$B$2:$B$1800,"كاسترد مصنع صيامي (بدون لبن)")</f>
        <v>0</v>
      </c>
      <c r="BR119" s="117" t="n">
        <f aca="false">SUMIFS(الريسبي!$C$2:$C$1800,الريسبي!$A$2:$A$1800,$A119,الريسبي!$B$2:$B$1800,BR$1)</f>
        <v>0</v>
      </c>
      <c r="BS119" s="117" t="n">
        <f aca="false">SUMIFS(الريسبي!$C$2:$C$1800,الريسبي!$A$2:$A$1800,$A119,الريسبي!$B$2:$B$1800,BS$1)</f>
        <v>0</v>
      </c>
      <c r="BT119" s="117" t="n">
        <f aca="false">SUMIFS(الريسبي!$C$2:$C$1800,الريسبي!$A$2:$A$1800,$A119,الريسبي!$B$2:$B$1800,BT$1)</f>
        <v>0</v>
      </c>
      <c r="BU119" s="117" t="n">
        <f aca="false">SUMIFS(الريسبي!$C$2:$C$1800,الريسبي!$A$2:$A$1800,$A119,الريسبي!$B$2:$B$1800,BU$1)+0.4*SUMIFS(الريسبي!$C$2:$C$1800,الريسبي!$A$2:$A$1800,$A119,الريسبي!$B$2:$B$1800,"كاسترد مصنع (خليط بودر + لبن)")+0.03333333333*SUMIFS(الريسبي!$C$2:$C$1800,الريسبي!$A$2:$A$1800,$A119,الريسبي!$B$2:$B$1800,"عجين كريب (مصنع بالمطعم)")</f>
        <v>0</v>
      </c>
      <c r="BV119" s="117" t="n">
        <f aca="false">SUMIFS(الريسبي!$C$2:$C$1800,الريسبي!$A$2:$A$1800,$A119,الريسبي!$B$2:$B$1800,BV$1)</f>
        <v>0</v>
      </c>
      <c r="BW119" s="117" t="n">
        <f aca="false">SUMIFS(الريسبي!$C$2:$C$1800,الريسبي!$A$2:$A$1800,$A119,الريسبي!$B$2:$B$1800,BW$1)</f>
        <v>0</v>
      </c>
      <c r="BX119" s="117" t="n">
        <f aca="false">SUMIFS(الريسبي!$C$2:$C$1800,الريسبي!$A$2:$A$1800,$A119,الريسبي!$B$2:$B$1800,BX$1)</f>
        <v>0</v>
      </c>
      <c r="BY119" s="117" t="n">
        <f aca="false">SUMIFS(الريسبي!$C$2:$C$1800,الريسبي!$A$2:$A$1800,$A119,الريسبي!$B$2:$B$1800,BY$1)</f>
        <v>0.15</v>
      </c>
      <c r="BZ119" s="117" t="n">
        <f aca="false">SUMIFS(الريسبي!$C$2:$C$1800,الريسبي!$A$2:$A$1800,$A119,الريسبي!$B$2:$B$1800,BZ$1)</f>
        <v>0</v>
      </c>
      <c r="CA119" s="117" t="n">
        <f aca="false">SUMIFS(الريسبي!$C$2:$C$1800,الريسبي!$A$2:$A$1800,$A119,الريسبي!$B$2:$B$1800,CA$1)</f>
        <v>0</v>
      </c>
      <c r="CB119" s="117" t="n">
        <f aca="false">SUMIFS(الريسبي!$C$2:$C$1800,الريسبي!$A$2:$A$1800,$A119,الريسبي!$B$2:$B$1800,CB$1)</f>
        <v>0</v>
      </c>
      <c r="CC119" s="117" t="n">
        <f aca="false">SUMIFS(الريسبي!$C$2:$C$1800,الريسبي!$A$2:$A$1800,$A119,الريسبي!$B$2:$B$1800,CC$1)</f>
        <v>1</v>
      </c>
      <c r="CD119" s="117" t="n">
        <f aca="false">SUMIFS(الريسبي!$C$2:$C$1800,الريسبي!$A$2:$A$1800,$A119,الريسبي!$B$2:$B$1800,CD$1)</f>
        <v>0</v>
      </c>
      <c r="CE119" s="117" t="n">
        <f aca="false">SUMIFS(الريسبي!$C$2:$C$1800,الريسبي!$A$2:$A$1800,$A119,الريسبي!$B$2:$B$1800,CE$1)</f>
        <v>0</v>
      </c>
      <c r="CF119" s="117" t="n">
        <f aca="false">SUMIFS(الريسبي!$C$2:$C$1800,الريسبي!$A$2:$A$1800,$A119,الريسبي!$B$2:$B$1800,CF$1)</f>
        <v>0</v>
      </c>
      <c r="CG119" s="117" t="n">
        <f aca="false">SUMIFS(الريسبي!$C$2:$C$1800,الريسبي!$A$2:$A$1800,$A119,الريسبي!$B$2:$B$1800,CG$1)</f>
        <v>0</v>
      </c>
      <c r="CH119" s="117" t="n">
        <f aca="false">SUMIFS(الريسبي!$C$2:$C$1800,الريسبي!$A$2:$A$1800,$A119,الريسبي!$B$2:$B$1800,CH$1)</f>
        <v>0</v>
      </c>
      <c r="CI119" s="117" t="n">
        <f aca="false">SUMIFS(الريسبي!$C$2:$C$1800,الريسبي!$A$2:$A$1800,$A119,الريسبي!$B$2:$B$1800,CI$1)</f>
        <v>0</v>
      </c>
      <c r="CJ119" s="117" t="n">
        <f aca="false">SUMIFS(الريسبي!$C$2:$C$1800,الريسبي!$A$2:$A$1800,$A119,الريسبي!$B$2:$B$1800,CJ$1)</f>
        <v>0</v>
      </c>
      <c r="CK119" s="117" t="n">
        <f aca="false">SUMIFS(الريسبي!$C$2:$C$1800,الريسبي!$A$2:$A$1800,$A119,الريسبي!$B$2:$B$1800,CK$1)</f>
        <v>0</v>
      </c>
      <c r="CL119" s="117" t="n">
        <f aca="false">SUMIFS(الريسبي!$C$2:$C$1800,الريسبي!$A$2:$A$1800,$A119,الريسبي!$B$2:$B$1800,CL$1)</f>
        <v>0</v>
      </c>
    </row>
    <row r="120" customFormat="false" ht="15" hidden="false" customHeight="false" outlineLevel="0" collapsed="false">
      <c r="A120" s="116" t="str">
        <f aca="false">المنيو!B120</f>
        <v>مكرونة مشروم صيامي</v>
      </c>
      <c r="B120" s="117" t="n">
        <f aca="false">SUMIFS(الريسبي!$C$2:$C$1800,الريسبي!$A$2:$A$1800,$A120,الريسبي!$B$2:$B$1800,B$1)</f>
        <v>1</v>
      </c>
      <c r="C120" s="117" t="n">
        <f aca="false">SUMIFS(الريسبي!$C$2:$C$1800,الريسبي!$A$2:$A$1800,$A120,الريسبي!$B$2:$B$1800,C$1)</f>
        <v>0</v>
      </c>
      <c r="D120" s="117" t="n">
        <f aca="false">SUMIFS(الريسبي!$C$2:$C$1800,الريسبي!$A$2:$A$1800,$A120,الريسبي!$B$2:$B$1800,D$1)</f>
        <v>0</v>
      </c>
      <c r="E120" s="117" t="n">
        <f aca="false">SUMIFS(الريسبي!$C$2:$C$1800,الريسبي!$A$2:$A$1800,$A120,الريسبي!$B$2:$B$1800,E$1)</f>
        <v>1</v>
      </c>
      <c r="F120" s="117" t="n">
        <f aca="false">SUMIFS(الريسبي!$C$2:$C$1800,الريسبي!$A$2:$A$1800,$A120,الريسبي!$B$2:$B$1800,F$1)</f>
        <v>0</v>
      </c>
      <c r="G120" s="117" t="n">
        <f aca="false">SUMIFS(الريسبي!$C$2:$C$1800,الريسبي!$A$2:$A$1800,$A120,الريسبي!$B$2:$B$1800,G$1)</f>
        <v>0</v>
      </c>
      <c r="H120" s="117" t="n">
        <f aca="false">SUMIFS(الريسبي!$C$2:$C$1800,الريسبي!$A$2:$A$1800,$A120,الريسبي!$B$2:$B$1800,H$1)</f>
        <v>0</v>
      </c>
      <c r="I120" s="117" t="n">
        <f aca="false">SUMIFS(الريسبي!$C$2:$C$1800,الريسبي!$A$2:$A$1800,$A120,الريسبي!$B$2:$B$1800,I$1)</f>
        <v>0</v>
      </c>
      <c r="J120" s="117" t="n">
        <f aca="false">SUMIFS(الريسبي!$C$2:$C$1800,الريسبي!$A$2:$A$1800,$A120,الريسبي!$B$2:$B$1800,J$1)</f>
        <v>0</v>
      </c>
      <c r="K120" s="117" t="n">
        <f aca="false">SUMIFS(الريسبي!$C$2:$C$1800,الريسبي!$A$2:$A$1800,$A120,الريسبي!$B$2:$B$1800,K$1)</f>
        <v>0</v>
      </c>
      <c r="L120" s="117" t="n">
        <f aca="false">SUMIFS(الريسبي!$C$2:$C$1800,الريسبي!$A$2:$A$1800,$A120,الريسبي!$B$2:$B$1800,L$1)</f>
        <v>0</v>
      </c>
      <c r="M120" s="117" t="n">
        <f aca="false">SUMIFS(الريسبي!$C$2:$C$1800,الريسبي!$A$2:$A$1800,$A120,الريسبي!$B$2:$B$1800,M$1)</f>
        <v>0</v>
      </c>
      <c r="N120" s="117" t="n">
        <f aca="false">SUMIFS(الريسبي!$C$2:$C$1800,الريسبي!$A$2:$A$1800,$A120,الريسبي!$B$2:$B$1800,N$1)</f>
        <v>0</v>
      </c>
      <c r="O120" s="117" t="n">
        <f aca="false">SUMIFS(الريسبي!$C$2:$C$1800,الريسبي!$A$2:$A$1800,$A120,الريسبي!$B$2:$B$1800,O$1)</f>
        <v>0</v>
      </c>
      <c r="P120" s="117" t="n">
        <f aca="false">SUMIFS(الريسبي!$C$2:$C$1800,الريسبي!$A$2:$A$1800,$A120,الريسبي!$B$2:$B$1800,P$1)</f>
        <v>0</v>
      </c>
      <c r="Q120" s="117" t="n">
        <f aca="false">SUMIFS(الريسبي!$C$2:$C$1800,الريسبي!$A$2:$A$1800,$A120,الريسبي!$B$2:$B$1800,Q$1)</f>
        <v>0</v>
      </c>
      <c r="R120" s="117" t="n">
        <f aca="false">SUMIFS(الريسبي!$C$2:$C$1800,الريسبي!$A$2:$A$1800,$A120,الريسبي!$B$2:$B$1800,R$1)</f>
        <v>0</v>
      </c>
      <c r="S120" s="117" t="n">
        <f aca="false">SUMIFS(الريسبي!$C$2:$C$1800,الريسبي!$A$2:$A$1800,$A120,الريسبي!$B$2:$B$1800,S$1)</f>
        <v>0</v>
      </c>
      <c r="T120" s="117" t="n">
        <f aca="false">SUMIFS(الريسبي!$C$2:$C$1800,الريسبي!$A$2:$A$1800,$A120,الريسبي!$B$2:$B$1800,T$1)</f>
        <v>0</v>
      </c>
      <c r="U120" s="117" t="n">
        <f aca="false">SUMIFS(الريسبي!$C$2:$C$1800,الريسبي!$A$2:$A$1800,$A120,الريسبي!$B$2:$B$1800,U$1)</f>
        <v>0</v>
      </c>
      <c r="V120" s="117" t="n">
        <f aca="false">SUMIFS(الريسبي!$C$2:$C$1800,الريسبي!$A$2:$A$1800,$A120,الريسبي!$B$2:$B$1800,V$1)+1.5*(SUMIFS(الريسبي!$C$2:$C$1800,الريسبي!$A$2:$A$1800,$A120,الريسبي!$B$2:$B$1800,"برسيون موتزريلا بيتزا كبير"))</f>
        <v>0</v>
      </c>
      <c r="W120" s="117" t="n">
        <f aca="false">0</f>
        <v>0</v>
      </c>
      <c r="X120" s="117" t="n">
        <f aca="false">SUMIFS(الريسبي!$C$2:$C$1800,الريسبي!$A$2:$A$1800,$A120,الريسبي!$B$2:$B$1800,X$1)+1.5*(SUMIFS(الريسبي!$C$2:$C$1800,الريسبي!$A$2:$A$1800,$A120,الريسبي!$B$2:$B$1800,"برسيون موتزريلا فطير كبير"))</f>
        <v>1</v>
      </c>
      <c r="Y120" s="117" t="n">
        <f aca="false">0</f>
        <v>0</v>
      </c>
      <c r="Z120" s="117" t="n">
        <f aca="false">SUMIFS(الريسبي!$C$2:$C$1800,الريسبي!$A$2:$A$1800,$A120,الريسبي!$B$2:$B$1800,Z$1)</f>
        <v>0</v>
      </c>
      <c r="AA120" s="117" t="n">
        <f aca="false">SUMIFS(الريسبي!$C$2:$C$1800,الريسبي!$A$2:$A$1800,$A120,الريسبي!$B$2:$B$1800,AA$1)</f>
        <v>0</v>
      </c>
      <c r="AB120" s="117" t="n">
        <f aca="false">SUMIFS(الريسبي!$C$2:$C$1800,الريسبي!$A$2:$A$1800,$A120,الريسبي!$B$2:$B$1800,AB$1)</f>
        <v>0</v>
      </c>
      <c r="AC120" s="117" t="n">
        <f aca="false">SUMIFS(الريسبي!$C$2:$C$1800,الريسبي!$A$2:$A$1800,$A120,الريسبي!$B$2:$B$1800,AC$1)</f>
        <v>0</v>
      </c>
      <c r="AD120" s="117" t="n">
        <f aca="false">SUMIFS(الريسبي!$C$2:$C$1800,الريسبي!$A$2:$A$1800,$A120,الريسبي!$B$2:$B$1800,AD$1)</f>
        <v>0.2</v>
      </c>
      <c r="AE120" s="117" t="n">
        <f aca="false">SUMIFS(الريسبي!$C$2:$C$1800,الريسبي!$A$2:$A$1800,$A120,الريسبي!$B$2:$B$1800,AE$1)</f>
        <v>0</v>
      </c>
      <c r="AF120" s="117" t="n">
        <f aca="false">SUMIFS(الريسبي!$C$2:$C$1800,الريسبي!$A$2:$A$1800,$A120,الريسبي!$B$2:$B$1800,AF$1)</f>
        <v>0</v>
      </c>
      <c r="AG120" s="117" t="n">
        <f aca="false">SUMIFS(الريسبي!$C$2:$C$1800,الريسبي!$A$2:$A$1800,$A120,الريسبي!$B$2:$B$1800,AG$1)</f>
        <v>0</v>
      </c>
      <c r="AH120" s="117" t="n">
        <f aca="false">SUMIFS(الريسبي!$C$2:$C$1800,الريسبي!$A$2:$A$1800,$A120,الريسبي!$B$2:$B$1800,AH$1)</f>
        <v>0</v>
      </c>
      <c r="AI120" s="117" t="n">
        <f aca="false">SUMIFS(الريسبي!$C$2:$C$1800,الريسبي!$A$2:$A$1800,$A120,الريسبي!$B$2:$B$1800,AI$1)</f>
        <v>0</v>
      </c>
      <c r="AJ120" s="117" t="n">
        <f aca="false">SUMIFS(الريسبي!$C$2:$C$1800,الريسبي!$A$2:$A$1800,$A120,الريسبي!$B$2:$B$1800,AJ$1)</f>
        <v>2</v>
      </c>
      <c r="AK120" s="117" t="n">
        <f aca="false">SUMIFS(الريسبي!$C$2:$C$1800,الريسبي!$A$2:$A$1800,$A120,الريسبي!$B$2:$B$1800,AK$1)</f>
        <v>0</v>
      </c>
      <c r="AL120" s="117" t="n">
        <f aca="false">SUMIFS(الريسبي!$C$2:$C$1800,الريسبي!$A$2:$A$1800,$A120,الريسبي!$B$2:$B$1800,AL$1)</f>
        <v>0</v>
      </c>
      <c r="AM120" s="117" t="n">
        <f aca="false">SUMIFS(الريسبي!$C$2:$C$1800,الريسبي!$A$2:$A$1800,$A120,الريسبي!$B$2:$B$1800,AM$1)+0.08333333333*SUMIFS(الريسبي!$C$2:$C$1800,الريسبي!$A$2:$A$1800,$A120,الريسبي!$B$2:$B$1800,"عجين كريب (مصنع بالمطعم)")+0.08333333333*SUMIFS(الريسبي!$C$2:$C$1800,الريسبي!$A$2:$A$1800,$A120,الريسبي!$B$2:$B$1800,"عجين كريب صيامي (بدون لبن)")</f>
        <v>0</v>
      </c>
      <c r="AN120" s="117" t="n">
        <f aca="false">SUMIFS(الريسبي!$C$2:$C$1800,الريسبي!$A$2:$A$1800,$A120,الريسبي!$B$2:$B$1800,AN$1)+0.004166666667*SUMIFS(الريسبي!$C$2:$C$1800,الريسبي!$A$2:$A$1800,$A120,الريسبي!$B$2:$B$1800,"عجين كريب (مصنع بالمطعم)")+0.004166666667*SUMIFS(الريسبي!$C$2:$C$1800,الريسبي!$A$2:$A$1800,$A120,الريسبي!$B$2:$B$1800,"عجين كريب صيامي (بدون لبن)")</f>
        <v>0</v>
      </c>
      <c r="AO120" s="117" t="n">
        <f aca="false">SUMIFS(الريسبي!$C$2:$C$1800,الريسبي!$A$2:$A$1800,$A120,الريسبي!$B$2:$B$1800,AO$1)</f>
        <v>0</v>
      </c>
      <c r="AP120" s="117" t="n">
        <f aca="false">SUMIFS(الريسبي!$C$2:$C$1800,الريسبي!$A$2:$A$1800,$A120,الريسبي!$B$2:$B$1800,AP$1)</f>
        <v>0</v>
      </c>
      <c r="AQ120" s="117" t="n">
        <f aca="false">SUMIFS(الريسبي!$C$2:$C$1800,الريسبي!$A$2:$A$1800,$A120,الريسبي!$B$2:$B$1800,AQ$1)+0.004166666667*SUMIFS(الريسبي!$C$2:$C$1800,الريسبي!$A$2:$A$1800,$A120,الريسبي!$B$2:$B$1800,"عجين كريب (مصنع بالمطعم)")+0.004166666667*SUMIFS(الريسبي!$C$2:$C$1800,الريسبي!$A$2:$A$1800,$A120,الريسبي!$B$2:$B$1800,"عجين كريب صيامي (بدون لبن)")</f>
        <v>0</v>
      </c>
      <c r="AR120" s="117" t="n">
        <f aca="false">SUMIFS(الريسبي!$C$2:$C$1800,الريسبي!$A$2:$A$1800,$A120,الريسبي!$B$2:$B$1800,AR$1)</f>
        <v>0</v>
      </c>
      <c r="AS120" s="117" t="n">
        <f aca="false">SUMIFS(الريسبي!$C$2:$C$1800,الريسبي!$A$2:$A$1800,$A120,الريسبي!$B$2:$B$1800,AS$1)</f>
        <v>0</v>
      </c>
      <c r="AT120" s="117" t="n">
        <f aca="false">SUMIFS(الريسبي!$C$2:$C$1800,الريسبي!$A$2:$A$1800,$A120,الريسبي!$B$2:$B$1800,AT$1)</f>
        <v>0</v>
      </c>
      <c r="AU120" s="117" t="n">
        <f aca="false">SUMIFS(الريسبي!$C$2:$C$1800,الريسبي!$A$2:$A$1800,$A120,الريسبي!$B$2:$B$1800,AU$1)</f>
        <v>1</v>
      </c>
      <c r="AV120" s="117" t="n">
        <f aca="false">SUMIFS(الريسبي!$C$2:$C$1800,الريسبي!$A$2:$A$1800,$A120,الريسبي!$B$2:$B$1800,AV$1)</f>
        <v>0</v>
      </c>
      <c r="AW120" s="117" t="n">
        <f aca="false">SUMIFS(الريسبي!$C$2:$C$1800,الريسبي!$A$2:$A$1800,$A120,الريسبي!$B$2:$B$1800,AW$1)</f>
        <v>0</v>
      </c>
      <c r="AX120" s="117" t="n">
        <f aca="false">SUMIFS(الريسبي!$C$2:$C$1800,الريسبي!$A$2:$A$1800,$A120,الريسبي!$B$2:$B$1800,AX$1)</f>
        <v>0</v>
      </c>
      <c r="AY120" s="117" t="n">
        <f aca="false">SUMIFS(الريسبي!$C$2:$C$1800,الريسبي!$A$2:$A$1800,$A120,الريسبي!$B$2:$B$1800,AY$1)</f>
        <v>0</v>
      </c>
      <c r="AZ120" s="117" t="n">
        <f aca="false">SUMIFS(الريسبي!$C$2:$C$1800,الريسبي!$A$2:$A$1800,$A120,الريسبي!$B$2:$B$1800,AZ$1)</f>
        <v>0</v>
      </c>
      <c r="BA120" s="117" t="n">
        <f aca="false">SUMIFS(الريسبي!$C$2:$C$1800,الريسبي!$A$2:$A$1800,$A120,الريسبي!$B$2:$B$1800,BA$1)</f>
        <v>0</v>
      </c>
      <c r="BB120" s="117" t="n">
        <f aca="false">SUMIFS(الريسبي!$C$2:$C$1800,الريسبي!$A$2:$A$1800,$A120,الريسبي!$B$2:$B$1800,BB$1)</f>
        <v>0</v>
      </c>
      <c r="BC120" s="117" t="n">
        <f aca="false">SUMIFS(الريسبي!$C$2:$C$1800,الريسبي!$A$2:$A$1800,$A120,الريسبي!$B$2:$B$1800,BC$1)</f>
        <v>0</v>
      </c>
      <c r="BD120" s="117" t="n">
        <f aca="false">SUMIFS(الريسبي!$C$2:$C$1800,الريسبي!$A$2:$A$1800,$A120,الريسبي!$B$2:$B$1800,BD$1)</f>
        <v>0</v>
      </c>
      <c r="BE120" s="117" t="n">
        <f aca="false">SUMIFS(الريسبي!$C$2:$C$1800,الريسبي!$A$2:$A$1800,$A120,الريسبي!$B$2:$B$1800,BE$1)</f>
        <v>0</v>
      </c>
      <c r="BF120" s="117" t="n">
        <f aca="false">SUMIFS(الريسبي!$C$2:$C$1800,الريسبي!$A$2:$A$1800,$A120,الريسبي!$B$2:$B$1800,BF$1)</f>
        <v>0</v>
      </c>
      <c r="BG120" s="117" t="n">
        <f aca="false">SUMIFS(الريسبي!$C$2:$C$1800,الريسبي!$A$2:$A$1800,$A120,الريسبي!$B$2:$B$1800,BG$1)</f>
        <v>0</v>
      </c>
      <c r="BH120" s="117" t="n">
        <f aca="false">SUMIFS(الريسبي!$C$2:$C$1800,الريسبي!$A$2:$A$1800,$A120,الريسبي!$B$2:$B$1800,BH$1)</f>
        <v>0</v>
      </c>
      <c r="BI120" s="117" t="n">
        <f aca="false">SUMIFS(الريسبي!$C$2:$C$1800,الريسبي!$A$2:$A$1800,$A120,الريسبي!$B$2:$B$1800,BI$1)</f>
        <v>0</v>
      </c>
      <c r="BJ120" s="117" t="n">
        <f aca="false">SUMIFS(الريسبي!$C$2:$C$1800,الريسبي!$A$2:$A$1800,$A120,الريسبي!$B$2:$B$1800,BJ$1)</f>
        <v>0</v>
      </c>
      <c r="BK120" s="117" t="n">
        <f aca="false">SUMIFS(الريسبي!$C$2:$C$1800,الريسبي!$A$2:$A$1800,$A120,الريسبي!$B$2:$B$1800,BK$1)</f>
        <v>0</v>
      </c>
      <c r="BL120" s="117" t="n">
        <f aca="false">SUMIFS(الريسبي!$C$2:$C$1800,الريسبي!$A$2:$A$1800,$A120,الريسبي!$B$2:$B$1800,BL$1)</f>
        <v>0</v>
      </c>
      <c r="BM120" s="117" t="n">
        <f aca="false">SUMIFS(الريسبي!$C$2:$C$1800,الريسبي!$A$2:$A$1800,$A120,الريسبي!$B$2:$B$1800,BM$1)</f>
        <v>0</v>
      </c>
      <c r="BN120" s="117" t="n">
        <f aca="false">SUMIFS(الريسبي!$C$2:$C$1800,الريسبي!$A$2:$A$1800,$A120,الريسبي!$B$2:$B$1800,BN$1)</f>
        <v>0</v>
      </c>
      <c r="BO120" s="117" t="n">
        <f aca="false">SUMIFS(الريسبي!$C$2:$C$1800,الريسبي!$A$2:$A$1800,$A120,الريسبي!$B$2:$B$1800,BO$1)</f>
        <v>0</v>
      </c>
      <c r="BP120" s="117" t="n">
        <f aca="false">SUMIFS(الريسبي!$C$2:$C$1800,الريسبي!$A$2:$A$1800,$A120,الريسبي!$B$2:$B$1800,BP$1)</f>
        <v>2</v>
      </c>
      <c r="BQ120" s="117" t="n">
        <f aca="false">SUMIFS(الريسبي!$C$2:$C$1800,الريسبي!$A$2:$A$1800,$A120,الريسبي!$B$2:$B$1800,BQ$1)+0.17*SUMIFS(الريسبي!$C$2:$C$1800,الريسبي!$A$2:$A$1800,$A120,الريسبي!$B$2:$B$1800,"كاسترد مصنع (خليط بودر + لبن)")+0.17*SUMIFS(الريسبي!$C$2:$C$1800,الريسبي!$A$2:$A$1800,$A120,الريسبي!$B$2:$B$1800,"كاسترد مصنع صيامي (بدون لبن)")</f>
        <v>0</v>
      </c>
      <c r="BR120" s="117" t="n">
        <f aca="false">SUMIFS(الريسبي!$C$2:$C$1800,الريسبي!$A$2:$A$1800,$A120,الريسبي!$B$2:$B$1800,BR$1)</f>
        <v>0</v>
      </c>
      <c r="BS120" s="117" t="n">
        <f aca="false">SUMIFS(الريسبي!$C$2:$C$1800,الريسبي!$A$2:$A$1800,$A120,الريسبي!$B$2:$B$1800,BS$1)</f>
        <v>0</v>
      </c>
      <c r="BT120" s="117" t="n">
        <f aca="false">SUMIFS(الريسبي!$C$2:$C$1800,الريسبي!$A$2:$A$1800,$A120,الريسبي!$B$2:$B$1800,BT$1)</f>
        <v>0</v>
      </c>
      <c r="BU120" s="117" t="n">
        <f aca="false">SUMIFS(الريسبي!$C$2:$C$1800,الريسبي!$A$2:$A$1800,$A120,الريسبي!$B$2:$B$1800,BU$1)+0.4*SUMIFS(الريسبي!$C$2:$C$1800,الريسبي!$A$2:$A$1800,$A120,الريسبي!$B$2:$B$1800,"كاسترد مصنع (خليط بودر + لبن)")+0.03333333333*SUMIFS(الريسبي!$C$2:$C$1800,الريسبي!$A$2:$A$1800,$A120,الريسبي!$B$2:$B$1800,"عجين كريب (مصنع بالمطعم)")</f>
        <v>0</v>
      </c>
      <c r="BV120" s="117" t="n">
        <f aca="false">SUMIFS(الريسبي!$C$2:$C$1800,الريسبي!$A$2:$A$1800,$A120,الريسبي!$B$2:$B$1800,BV$1)</f>
        <v>0</v>
      </c>
      <c r="BW120" s="117" t="n">
        <f aca="false">SUMIFS(الريسبي!$C$2:$C$1800,الريسبي!$A$2:$A$1800,$A120,الريسبي!$B$2:$B$1800,BW$1)</f>
        <v>0</v>
      </c>
      <c r="BX120" s="117" t="n">
        <f aca="false">SUMIFS(الريسبي!$C$2:$C$1800,الريسبي!$A$2:$A$1800,$A120,الريسبي!$B$2:$B$1800,BX$1)</f>
        <v>0.06</v>
      </c>
      <c r="BY120" s="117" t="n">
        <f aca="false">SUMIFS(الريسبي!$C$2:$C$1800,الريسبي!$A$2:$A$1800,$A120,الريسبي!$B$2:$B$1800,BY$1)</f>
        <v>0.15</v>
      </c>
      <c r="BZ120" s="117" t="n">
        <f aca="false">SUMIFS(الريسبي!$C$2:$C$1800,الريسبي!$A$2:$A$1800,$A120,الريسبي!$B$2:$B$1800,BZ$1)</f>
        <v>0</v>
      </c>
      <c r="CA120" s="117" t="n">
        <f aca="false">SUMIFS(الريسبي!$C$2:$C$1800,الريسبي!$A$2:$A$1800,$A120,الريسبي!$B$2:$B$1800,CA$1)</f>
        <v>0</v>
      </c>
      <c r="CB120" s="117" t="n">
        <f aca="false">SUMIFS(الريسبي!$C$2:$C$1800,الريسبي!$A$2:$A$1800,$A120,الريسبي!$B$2:$B$1800,CB$1)</f>
        <v>0</v>
      </c>
      <c r="CC120" s="117" t="n">
        <f aca="false">SUMIFS(الريسبي!$C$2:$C$1800,الريسبي!$A$2:$A$1800,$A120,الريسبي!$B$2:$B$1800,CC$1)</f>
        <v>1</v>
      </c>
      <c r="CD120" s="117" t="n">
        <f aca="false">SUMIFS(الريسبي!$C$2:$C$1800,الريسبي!$A$2:$A$1800,$A120,الريسبي!$B$2:$B$1800,CD$1)</f>
        <v>0</v>
      </c>
      <c r="CE120" s="117" t="n">
        <f aca="false">SUMIFS(الريسبي!$C$2:$C$1800,الريسبي!$A$2:$A$1800,$A120,الريسبي!$B$2:$B$1800,CE$1)</f>
        <v>0</v>
      </c>
      <c r="CF120" s="117" t="n">
        <f aca="false">SUMIFS(الريسبي!$C$2:$C$1800,الريسبي!$A$2:$A$1800,$A120,الريسبي!$B$2:$B$1800,CF$1)</f>
        <v>0</v>
      </c>
      <c r="CG120" s="117" t="n">
        <f aca="false">SUMIFS(الريسبي!$C$2:$C$1800,الريسبي!$A$2:$A$1800,$A120,الريسبي!$B$2:$B$1800,CG$1)</f>
        <v>0</v>
      </c>
      <c r="CH120" s="117" t="n">
        <f aca="false">SUMIFS(الريسبي!$C$2:$C$1800,الريسبي!$A$2:$A$1800,$A120,الريسبي!$B$2:$B$1800,CH$1)</f>
        <v>0</v>
      </c>
      <c r="CI120" s="117" t="n">
        <f aca="false">SUMIFS(الريسبي!$C$2:$C$1800,الريسبي!$A$2:$A$1800,$A120,الريسبي!$B$2:$B$1800,CI$1)</f>
        <v>0</v>
      </c>
      <c r="CJ120" s="117" t="n">
        <f aca="false">SUMIFS(الريسبي!$C$2:$C$1800,الريسبي!$A$2:$A$1800,$A120,الريسبي!$B$2:$B$1800,CJ$1)</f>
        <v>0</v>
      </c>
      <c r="CK120" s="117" t="n">
        <f aca="false">SUMIFS(الريسبي!$C$2:$C$1800,الريسبي!$A$2:$A$1800,$A120,الريسبي!$B$2:$B$1800,CK$1)</f>
        <v>0</v>
      </c>
      <c r="CL120" s="117" t="n">
        <f aca="false">SUMIFS(الريسبي!$C$2:$C$1800,الريسبي!$A$2:$A$1800,$A120,الريسبي!$B$2:$B$1800,CL$1)</f>
        <v>0</v>
      </c>
    </row>
    <row r="121" customFormat="false" ht="15" hidden="false" customHeight="false" outlineLevel="0" collapsed="false">
      <c r="A121" s="116" t="str">
        <f aca="false">المنيو!B121</f>
        <v>مكرونة سوسيس صيامي</v>
      </c>
      <c r="B121" s="117" t="n">
        <f aca="false">SUMIFS(الريسبي!$C$2:$C$1800,الريسبي!$A$2:$A$1800,$A121,الريسبي!$B$2:$B$1800,B$1)</f>
        <v>1</v>
      </c>
      <c r="C121" s="117" t="n">
        <f aca="false">SUMIFS(الريسبي!$C$2:$C$1800,الريسبي!$A$2:$A$1800,$A121,الريسبي!$B$2:$B$1800,C$1)</f>
        <v>0</v>
      </c>
      <c r="D121" s="117" t="n">
        <f aca="false">SUMIFS(الريسبي!$C$2:$C$1800,الريسبي!$A$2:$A$1800,$A121,الريسبي!$B$2:$B$1800,D$1)</f>
        <v>0</v>
      </c>
      <c r="E121" s="117" t="n">
        <f aca="false">SUMIFS(الريسبي!$C$2:$C$1800,الريسبي!$A$2:$A$1800,$A121,الريسبي!$B$2:$B$1800,E$1)</f>
        <v>1</v>
      </c>
      <c r="F121" s="117" t="n">
        <f aca="false">SUMIFS(الريسبي!$C$2:$C$1800,الريسبي!$A$2:$A$1800,$A121,الريسبي!$B$2:$B$1800,F$1)</f>
        <v>0</v>
      </c>
      <c r="G121" s="117" t="n">
        <f aca="false">SUMIFS(الريسبي!$C$2:$C$1800,الريسبي!$A$2:$A$1800,$A121,الريسبي!$B$2:$B$1800,G$1)</f>
        <v>0</v>
      </c>
      <c r="H121" s="117" t="n">
        <f aca="false">SUMIFS(الريسبي!$C$2:$C$1800,الريسبي!$A$2:$A$1800,$A121,الريسبي!$B$2:$B$1800,H$1)</f>
        <v>0</v>
      </c>
      <c r="I121" s="117" t="n">
        <f aca="false">SUMIFS(الريسبي!$C$2:$C$1800,الريسبي!$A$2:$A$1800,$A121,الريسبي!$B$2:$B$1800,I$1)</f>
        <v>0</v>
      </c>
      <c r="J121" s="117" t="n">
        <f aca="false">SUMIFS(الريسبي!$C$2:$C$1800,الريسبي!$A$2:$A$1800,$A121,الريسبي!$B$2:$B$1800,J$1)</f>
        <v>0</v>
      </c>
      <c r="K121" s="117" t="n">
        <f aca="false">SUMIFS(الريسبي!$C$2:$C$1800,الريسبي!$A$2:$A$1800,$A121,الريسبي!$B$2:$B$1800,K$1)</f>
        <v>0</v>
      </c>
      <c r="L121" s="117" t="n">
        <f aca="false">SUMIFS(الريسبي!$C$2:$C$1800,الريسبي!$A$2:$A$1800,$A121,الريسبي!$B$2:$B$1800,L$1)</f>
        <v>0</v>
      </c>
      <c r="M121" s="117" t="n">
        <f aca="false">SUMIFS(الريسبي!$C$2:$C$1800,الريسبي!$A$2:$A$1800,$A121,الريسبي!$B$2:$B$1800,M$1)</f>
        <v>0</v>
      </c>
      <c r="N121" s="117" t="n">
        <f aca="false">SUMIFS(الريسبي!$C$2:$C$1800,الريسبي!$A$2:$A$1800,$A121,الريسبي!$B$2:$B$1800,N$1)</f>
        <v>0</v>
      </c>
      <c r="O121" s="117" t="n">
        <f aca="false">SUMIFS(الريسبي!$C$2:$C$1800,الريسبي!$A$2:$A$1800,$A121,الريسبي!$B$2:$B$1800,O$1)</f>
        <v>0</v>
      </c>
      <c r="P121" s="117" t="n">
        <f aca="false">SUMIFS(الريسبي!$C$2:$C$1800,الريسبي!$A$2:$A$1800,$A121,الريسبي!$B$2:$B$1800,P$1)</f>
        <v>0</v>
      </c>
      <c r="Q121" s="117" t="n">
        <f aca="false">SUMIFS(الريسبي!$C$2:$C$1800,الريسبي!$A$2:$A$1800,$A121,الريسبي!$B$2:$B$1800,Q$1)</f>
        <v>0</v>
      </c>
      <c r="R121" s="117" t="n">
        <f aca="false">SUMIFS(الريسبي!$C$2:$C$1800,الريسبي!$A$2:$A$1800,$A121,الريسبي!$B$2:$B$1800,R$1)</f>
        <v>0</v>
      </c>
      <c r="S121" s="117" t="n">
        <f aca="false">SUMIFS(الريسبي!$C$2:$C$1800,الريسبي!$A$2:$A$1800,$A121,الريسبي!$B$2:$B$1800,S$1)</f>
        <v>0</v>
      </c>
      <c r="T121" s="117" t="n">
        <f aca="false">SUMIFS(الريسبي!$C$2:$C$1800,الريسبي!$A$2:$A$1800,$A121,الريسبي!$B$2:$B$1800,T$1)</f>
        <v>0</v>
      </c>
      <c r="U121" s="117" t="n">
        <f aca="false">SUMIFS(الريسبي!$C$2:$C$1800,الريسبي!$A$2:$A$1800,$A121,الريسبي!$B$2:$B$1800,U$1)</f>
        <v>0</v>
      </c>
      <c r="V121" s="117" t="n">
        <f aca="false">SUMIFS(الريسبي!$C$2:$C$1800,الريسبي!$A$2:$A$1800,$A121,الريسبي!$B$2:$B$1800,V$1)+1.5*(SUMIFS(الريسبي!$C$2:$C$1800,الريسبي!$A$2:$A$1800,$A121,الريسبي!$B$2:$B$1800,"برسيون موتزريلا بيتزا كبير"))</f>
        <v>0</v>
      </c>
      <c r="W121" s="117" t="n">
        <f aca="false">0</f>
        <v>0</v>
      </c>
      <c r="X121" s="117" t="n">
        <f aca="false">SUMIFS(الريسبي!$C$2:$C$1800,الريسبي!$A$2:$A$1800,$A121,الريسبي!$B$2:$B$1800,X$1)+1.5*(SUMIFS(الريسبي!$C$2:$C$1800,الريسبي!$A$2:$A$1800,$A121,الريسبي!$B$2:$B$1800,"برسيون موتزريلا فطير كبير"))</f>
        <v>1</v>
      </c>
      <c r="Y121" s="117" t="n">
        <f aca="false">0</f>
        <v>0</v>
      </c>
      <c r="Z121" s="117" t="n">
        <f aca="false">SUMIFS(الريسبي!$C$2:$C$1800,الريسبي!$A$2:$A$1800,$A121,الريسبي!$B$2:$B$1800,Z$1)</f>
        <v>0</v>
      </c>
      <c r="AA121" s="117" t="n">
        <f aca="false">SUMIFS(الريسبي!$C$2:$C$1800,الريسبي!$A$2:$A$1800,$A121,الريسبي!$B$2:$B$1800,AA$1)</f>
        <v>0</v>
      </c>
      <c r="AB121" s="117" t="n">
        <f aca="false">SUMIFS(الريسبي!$C$2:$C$1800,الريسبي!$A$2:$A$1800,$A121,الريسبي!$B$2:$B$1800,AB$1)</f>
        <v>0</v>
      </c>
      <c r="AC121" s="117" t="n">
        <f aca="false">SUMIFS(الريسبي!$C$2:$C$1800,الريسبي!$A$2:$A$1800,$A121,الريسبي!$B$2:$B$1800,AC$1)</f>
        <v>0</v>
      </c>
      <c r="AD121" s="117" t="n">
        <f aca="false">SUMIFS(الريسبي!$C$2:$C$1800,الريسبي!$A$2:$A$1800,$A121,الريسبي!$B$2:$B$1800,AD$1)</f>
        <v>0.2</v>
      </c>
      <c r="AE121" s="117" t="n">
        <f aca="false">SUMIFS(الريسبي!$C$2:$C$1800,الريسبي!$A$2:$A$1800,$A121,الريسبي!$B$2:$B$1800,AE$1)</f>
        <v>0</v>
      </c>
      <c r="AF121" s="117" t="n">
        <f aca="false">SUMIFS(الريسبي!$C$2:$C$1800,الريسبي!$A$2:$A$1800,$A121,الريسبي!$B$2:$B$1800,AF$1)</f>
        <v>0</v>
      </c>
      <c r="AG121" s="117" t="n">
        <f aca="false">SUMIFS(الريسبي!$C$2:$C$1800,الريسبي!$A$2:$A$1800,$A121,الريسبي!$B$2:$B$1800,AG$1)</f>
        <v>0</v>
      </c>
      <c r="AH121" s="117" t="n">
        <f aca="false">SUMIFS(الريسبي!$C$2:$C$1800,الريسبي!$A$2:$A$1800,$A121,الريسبي!$B$2:$B$1800,AH$1)</f>
        <v>0</v>
      </c>
      <c r="AI121" s="117" t="n">
        <f aca="false">SUMIFS(الريسبي!$C$2:$C$1800,الريسبي!$A$2:$A$1800,$A121,الريسبي!$B$2:$B$1800,AI$1)</f>
        <v>0</v>
      </c>
      <c r="AJ121" s="117" t="n">
        <f aca="false">SUMIFS(الريسبي!$C$2:$C$1800,الريسبي!$A$2:$A$1800,$A121,الريسبي!$B$2:$B$1800,AJ$1)</f>
        <v>2</v>
      </c>
      <c r="AK121" s="117" t="n">
        <f aca="false">SUMIFS(الريسبي!$C$2:$C$1800,الريسبي!$A$2:$A$1800,$A121,الريسبي!$B$2:$B$1800,AK$1)</f>
        <v>0</v>
      </c>
      <c r="AL121" s="117" t="n">
        <f aca="false">SUMIFS(الريسبي!$C$2:$C$1800,الريسبي!$A$2:$A$1800,$A121,الريسبي!$B$2:$B$1800,AL$1)</f>
        <v>0</v>
      </c>
      <c r="AM121" s="117" t="n">
        <f aca="false">SUMIFS(الريسبي!$C$2:$C$1800,الريسبي!$A$2:$A$1800,$A121,الريسبي!$B$2:$B$1800,AM$1)+0.08333333333*SUMIFS(الريسبي!$C$2:$C$1800,الريسبي!$A$2:$A$1800,$A121,الريسبي!$B$2:$B$1800,"عجين كريب (مصنع بالمطعم)")+0.08333333333*SUMIFS(الريسبي!$C$2:$C$1800,الريسبي!$A$2:$A$1800,$A121,الريسبي!$B$2:$B$1800,"عجين كريب صيامي (بدون لبن)")</f>
        <v>0</v>
      </c>
      <c r="AN121" s="117" t="n">
        <f aca="false">SUMIFS(الريسبي!$C$2:$C$1800,الريسبي!$A$2:$A$1800,$A121,الريسبي!$B$2:$B$1800,AN$1)+0.004166666667*SUMIFS(الريسبي!$C$2:$C$1800,الريسبي!$A$2:$A$1800,$A121,الريسبي!$B$2:$B$1800,"عجين كريب (مصنع بالمطعم)")+0.004166666667*SUMIFS(الريسبي!$C$2:$C$1800,الريسبي!$A$2:$A$1800,$A121,الريسبي!$B$2:$B$1800,"عجين كريب صيامي (بدون لبن)")</f>
        <v>0</v>
      </c>
      <c r="AO121" s="117" t="n">
        <f aca="false">SUMIFS(الريسبي!$C$2:$C$1800,الريسبي!$A$2:$A$1800,$A121,الريسبي!$B$2:$B$1800,AO$1)</f>
        <v>0</v>
      </c>
      <c r="AP121" s="117" t="n">
        <f aca="false">SUMIFS(الريسبي!$C$2:$C$1800,الريسبي!$A$2:$A$1800,$A121,الريسبي!$B$2:$B$1800,AP$1)</f>
        <v>0</v>
      </c>
      <c r="AQ121" s="117" t="n">
        <f aca="false">SUMIFS(الريسبي!$C$2:$C$1800,الريسبي!$A$2:$A$1800,$A121,الريسبي!$B$2:$B$1800,AQ$1)+0.004166666667*SUMIFS(الريسبي!$C$2:$C$1800,الريسبي!$A$2:$A$1800,$A121,الريسبي!$B$2:$B$1800,"عجين كريب (مصنع بالمطعم)")+0.004166666667*SUMIFS(الريسبي!$C$2:$C$1800,الريسبي!$A$2:$A$1800,$A121,الريسبي!$B$2:$B$1800,"عجين كريب صيامي (بدون لبن)")</f>
        <v>0</v>
      </c>
      <c r="AR121" s="117" t="n">
        <f aca="false">SUMIFS(الريسبي!$C$2:$C$1800,الريسبي!$A$2:$A$1800,$A121,الريسبي!$B$2:$B$1800,AR$1)</f>
        <v>0</v>
      </c>
      <c r="AS121" s="117" t="n">
        <f aca="false">SUMIFS(الريسبي!$C$2:$C$1800,الريسبي!$A$2:$A$1800,$A121,الريسبي!$B$2:$B$1800,AS$1)</f>
        <v>0</v>
      </c>
      <c r="AT121" s="117" t="n">
        <f aca="false">SUMIFS(الريسبي!$C$2:$C$1800,الريسبي!$A$2:$A$1800,$A121,الريسبي!$B$2:$B$1800,AT$1)</f>
        <v>0</v>
      </c>
      <c r="AU121" s="117" t="n">
        <f aca="false">SUMIFS(الريسبي!$C$2:$C$1800,الريسبي!$A$2:$A$1800,$A121,الريسبي!$B$2:$B$1800,AU$1)</f>
        <v>1</v>
      </c>
      <c r="AV121" s="117" t="n">
        <f aca="false">SUMIFS(الريسبي!$C$2:$C$1800,الريسبي!$A$2:$A$1800,$A121,الريسبي!$B$2:$B$1800,AV$1)</f>
        <v>0</v>
      </c>
      <c r="AW121" s="117" t="n">
        <f aca="false">SUMIFS(الريسبي!$C$2:$C$1800,الريسبي!$A$2:$A$1800,$A121,الريسبي!$B$2:$B$1800,AW$1)</f>
        <v>0</v>
      </c>
      <c r="AX121" s="117" t="n">
        <f aca="false">SUMIFS(الريسبي!$C$2:$C$1800,الريسبي!$A$2:$A$1800,$A121,الريسبي!$B$2:$B$1800,AX$1)</f>
        <v>0</v>
      </c>
      <c r="AY121" s="117" t="n">
        <f aca="false">SUMIFS(الريسبي!$C$2:$C$1800,الريسبي!$A$2:$A$1800,$A121,الريسبي!$B$2:$B$1800,AY$1)</f>
        <v>0</v>
      </c>
      <c r="AZ121" s="117" t="n">
        <f aca="false">SUMIFS(الريسبي!$C$2:$C$1800,الريسبي!$A$2:$A$1800,$A121,الريسبي!$B$2:$B$1800,AZ$1)</f>
        <v>0</v>
      </c>
      <c r="BA121" s="117" t="n">
        <f aca="false">SUMIFS(الريسبي!$C$2:$C$1800,الريسبي!$A$2:$A$1800,$A121,الريسبي!$B$2:$B$1800,BA$1)</f>
        <v>0</v>
      </c>
      <c r="BB121" s="117" t="n">
        <f aca="false">SUMIFS(الريسبي!$C$2:$C$1800,الريسبي!$A$2:$A$1800,$A121,الريسبي!$B$2:$B$1800,BB$1)</f>
        <v>0</v>
      </c>
      <c r="BC121" s="117" t="n">
        <f aca="false">SUMIFS(الريسبي!$C$2:$C$1800,الريسبي!$A$2:$A$1800,$A121,الريسبي!$B$2:$B$1800,BC$1)</f>
        <v>0</v>
      </c>
      <c r="BD121" s="117" t="n">
        <f aca="false">SUMIFS(الريسبي!$C$2:$C$1800,الريسبي!$A$2:$A$1800,$A121,الريسبي!$B$2:$B$1800,BD$1)</f>
        <v>0</v>
      </c>
      <c r="BE121" s="117" t="n">
        <f aca="false">SUMIFS(الريسبي!$C$2:$C$1800,الريسبي!$A$2:$A$1800,$A121,الريسبي!$B$2:$B$1800,BE$1)</f>
        <v>0</v>
      </c>
      <c r="BF121" s="117" t="n">
        <f aca="false">SUMIFS(الريسبي!$C$2:$C$1800,الريسبي!$A$2:$A$1800,$A121,الريسبي!$B$2:$B$1800,BF$1)</f>
        <v>0</v>
      </c>
      <c r="BG121" s="117" t="n">
        <f aca="false">SUMIFS(الريسبي!$C$2:$C$1800,الريسبي!$A$2:$A$1800,$A121,الريسبي!$B$2:$B$1800,BG$1)</f>
        <v>0</v>
      </c>
      <c r="BH121" s="117" t="n">
        <f aca="false">SUMIFS(الريسبي!$C$2:$C$1800,الريسبي!$A$2:$A$1800,$A121,الريسبي!$B$2:$B$1800,BH$1)</f>
        <v>0</v>
      </c>
      <c r="BI121" s="117" t="n">
        <f aca="false">SUMIFS(الريسبي!$C$2:$C$1800,الريسبي!$A$2:$A$1800,$A121,الريسبي!$B$2:$B$1800,BI$1)</f>
        <v>0</v>
      </c>
      <c r="BJ121" s="117" t="n">
        <f aca="false">SUMIFS(الريسبي!$C$2:$C$1800,الريسبي!$A$2:$A$1800,$A121,الريسبي!$B$2:$B$1800,BJ$1)</f>
        <v>0</v>
      </c>
      <c r="BK121" s="117" t="n">
        <f aca="false">SUMIFS(الريسبي!$C$2:$C$1800,الريسبي!$A$2:$A$1800,$A121,الريسبي!$B$2:$B$1800,BK$1)</f>
        <v>0</v>
      </c>
      <c r="BL121" s="117" t="n">
        <f aca="false">SUMIFS(الريسبي!$C$2:$C$1800,الريسبي!$A$2:$A$1800,$A121,الريسبي!$B$2:$B$1800,BL$1)</f>
        <v>0</v>
      </c>
      <c r="BM121" s="117" t="n">
        <f aca="false">SUMIFS(الريسبي!$C$2:$C$1800,الريسبي!$A$2:$A$1800,$A121,الريسبي!$B$2:$B$1800,BM$1)</f>
        <v>0</v>
      </c>
      <c r="BN121" s="117" t="n">
        <f aca="false">SUMIFS(الريسبي!$C$2:$C$1800,الريسبي!$A$2:$A$1800,$A121,الريسبي!$B$2:$B$1800,BN$1)</f>
        <v>0</v>
      </c>
      <c r="BO121" s="117" t="n">
        <f aca="false">SUMIFS(الريسبي!$C$2:$C$1800,الريسبي!$A$2:$A$1800,$A121,الريسبي!$B$2:$B$1800,BO$1)</f>
        <v>0</v>
      </c>
      <c r="BP121" s="117" t="n">
        <f aca="false">SUMIFS(الريسبي!$C$2:$C$1800,الريسبي!$A$2:$A$1800,$A121,الريسبي!$B$2:$B$1800,BP$1)</f>
        <v>2</v>
      </c>
      <c r="BQ121" s="117" t="n">
        <f aca="false">SUMIFS(الريسبي!$C$2:$C$1800,الريسبي!$A$2:$A$1800,$A121,الريسبي!$B$2:$B$1800,BQ$1)+0.17*SUMIFS(الريسبي!$C$2:$C$1800,الريسبي!$A$2:$A$1800,$A121,الريسبي!$B$2:$B$1800,"كاسترد مصنع (خليط بودر + لبن)")+0.17*SUMIFS(الريسبي!$C$2:$C$1800,الريسبي!$A$2:$A$1800,$A121,الريسبي!$B$2:$B$1800,"كاسترد مصنع صيامي (بدون لبن)")</f>
        <v>0</v>
      </c>
      <c r="BR121" s="117" t="n">
        <f aca="false">SUMIFS(الريسبي!$C$2:$C$1800,الريسبي!$A$2:$A$1800,$A121,الريسبي!$B$2:$B$1800,BR$1)</f>
        <v>0</v>
      </c>
      <c r="BS121" s="117" t="n">
        <f aca="false">SUMIFS(الريسبي!$C$2:$C$1800,الريسبي!$A$2:$A$1800,$A121,الريسبي!$B$2:$B$1800,BS$1)</f>
        <v>0</v>
      </c>
      <c r="BT121" s="117" t="n">
        <f aca="false">SUMIFS(الريسبي!$C$2:$C$1800,الريسبي!$A$2:$A$1800,$A121,الريسبي!$B$2:$B$1800,BT$1)</f>
        <v>0</v>
      </c>
      <c r="BU121" s="117" t="n">
        <f aca="false">SUMIFS(الريسبي!$C$2:$C$1800,الريسبي!$A$2:$A$1800,$A121,الريسبي!$B$2:$B$1800,BU$1)+0.4*SUMIFS(الريسبي!$C$2:$C$1800,الريسبي!$A$2:$A$1800,$A121,الريسبي!$B$2:$B$1800,"كاسترد مصنع (خليط بودر + لبن)")+0.03333333333*SUMIFS(الريسبي!$C$2:$C$1800,الريسبي!$A$2:$A$1800,$A121,الريسبي!$B$2:$B$1800,"عجين كريب (مصنع بالمطعم)")</f>
        <v>0</v>
      </c>
      <c r="BV121" s="117" t="n">
        <f aca="false">SUMIFS(الريسبي!$C$2:$C$1800,الريسبي!$A$2:$A$1800,$A121,الريسبي!$B$2:$B$1800,BV$1)</f>
        <v>0</v>
      </c>
      <c r="BW121" s="117" t="n">
        <f aca="false">SUMIFS(الريسبي!$C$2:$C$1800,الريسبي!$A$2:$A$1800,$A121,الريسبي!$B$2:$B$1800,BW$1)</f>
        <v>0</v>
      </c>
      <c r="BX121" s="117" t="n">
        <f aca="false">SUMIFS(الريسبي!$C$2:$C$1800,الريسبي!$A$2:$A$1800,$A121,الريسبي!$B$2:$B$1800,BX$1)</f>
        <v>0</v>
      </c>
      <c r="BY121" s="117" t="n">
        <f aca="false">SUMIFS(الريسبي!$C$2:$C$1800,الريسبي!$A$2:$A$1800,$A121,الريسبي!$B$2:$B$1800,BY$1)</f>
        <v>0.15</v>
      </c>
      <c r="BZ121" s="117" t="n">
        <f aca="false">SUMIFS(الريسبي!$C$2:$C$1800,الريسبي!$A$2:$A$1800,$A121,الريسبي!$B$2:$B$1800,BZ$1)</f>
        <v>0</v>
      </c>
      <c r="CA121" s="117" t="n">
        <f aca="false">SUMIFS(الريسبي!$C$2:$C$1800,الريسبي!$A$2:$A$1800,$A121,الريسبي!$B$2:$B$1800,CA$1)</f>
        <v>0</v>
      </c>
      <c r="CB121" s="117" t="n">
        <f aca="false">SUMIFS(الريسبي!$C$2:$C$1800,الريسبي!$A$2:$A$1800,$A121,الريسبي!$B$2:$B$1800,CB$1)</f>
        <v>0</v>
      </c>
      <c r="CC121" s="117" t="n">
        <f aca="false">SUMIFS(الريسبي!$C$2:$C$1800,الريسبي!$A$2:$A$1800,$A121,الريسبي!$B$2:$B$1800,CC$1)</f>
        <v>1</v>
      </c>
      <c r="CD121" s="117" t="n">
        <f aca="false">SUMIFS(الريسبي!$C$2:$C$1800,الريسبي!$A$2:$A$1800,$A121,الريسبي!$B$2:$B$1800,CD$1)</f>
        <v>0.14</v>
      </c>
      <c r="CE121" s="117" t="n">
        <f aca="false">SUMIFS(الريسبي!$C$2:$C$1800,الريسبي!$A$2:$A$1800,$A121,الريسبي!$B$2:$B$1800,CE$1)</f>
        <v>0</v>
      </c>
      <c r="CF121" s="117" t="n">
        <f aca="false">SUMIFS(الريسبي!$C$2:$C$1800,الريسبي!$A$2:$A$1800,$A121,الريسبي!$B$2:$B$1800,CF$1)</f>
        <v>0</v>
      </c>
      <c r="CG121" s="117" t="n">
        <f aca="false">SUMIFS(الريسبي!$C$2:$C$1800,الريسبي!$A$2:$A$1800,$A121,الريسبي!$B$2:$B$1800,CG$1)</f>
        <v>0</v>
      </c>
      <c r="CH121" s="117" t="n">
        <f aca="false">SUMIFS(الريسبي!$C$2:$C$1800,الريسبي!$A$2:$A$1800,$A121,الريسبي!$B$2:$B$1800,CH$1)</f>
        <v>0</v>
      </c>
      <c r="CI121" s="117" t="n">
        <f aca="false">SUMIFS(الريسبي!$C$2:$C$1800,الريسبي!$A$2:$A$1800,$A121,الريسبي!$B$2:$B$1800,CI$1)</f>
        <v>0</v>
      </c>
      <c r="CJ121" s="117" t="n">
        <f aca="false">SUMIFS(الريسبي!$C$2:$C$1800,الريسبي!$A$2:$A$1800,$A121,الريسبي!$B$2:$B$1800,CJ$1)</f>
        <v>0</v>
      </c>
      <c r="CK121" s="117" t="n">
        <f aca="false">SUMIFS(الريسبي!$C$2:$C$1800,الريسبي!$A$2:$A$1800,$A121,الريسبي!$B$2:$B$1800,CK$1)</f>
        <v>0</v>
      </c>
      <c r="CL121" s="117" t="n">
        <f aca="false">SUMIFS(الريسبي!$C$2:$C$1800,الريسبي!$A$2:$A$1800,$A121,الريسبي!$B$2:$B$1800,CL$1)</f>
        <v>0</v>
      </c>
    </row>
    <row r="122" customFormat="false" ht="15" hidden="false" customHeight="false" outlineLevel="0" collapsed="false">
      <c r="A122" s="116" t="str">
        <f aca="false">المنيو!B122</f>
        <v>مكرونة فراخ باربيكيو صيامي</v>
      </c>
      <c r="B122" s="117" t="n">
        <f aca="false">SUMIFS(الريسبي!$C$2:$C$1800,الريسبي!$A$2:$A$1800,$A122,الريسبي!$B$2:$B$1800,B$1)</f>
        <v>1</v>
      </c>
      <c r="C122" s="117" t="n">
        <f aca="false">SUMIFS(الريسبي!$C$2:$C$1800,الريسبي!$A$2:$A$1800,$A122,الريسبي!$B$2:$B$1800,C$1)</f>
        <v>0</v>
      </c>
      <c r="D122" s="117" t="n">
        <f aca="false">SUMIFS(الريسبي!$C$2:$C$1800,الريسبي!$A$2:$A$1800,$A122,الريسبي!$B$2:$B$1800,D$1)</f>
        <v>0</v>
      </c>
      <c r="E122" s="117" t="n">
        <f aca="false">SUMIFS(الريسبي!$C$2:$C$1800,الريسبي!$A$2:$A$1800,$A122,الريسبي!$B$2:$B$1800,E$1)</f>
        <v>1</v>
      </c>
      <c r="F122" s="117" t="n">
        <f aca="false">SUMIFS(الريسبي!$C$2:$C$1800,الريسبي!$A$2:$A$1800,$A122,الريسبي!$B$2:$B$1800,F$1)</f>
        <v>0</v>
      </c>
      <c r="G122" s="117" t="n">
        <f aca="false">SUMIFS(الريسبي!$C$2:$C$1800,الريسبي!$A$2:$A$1800,$A122,الريسبي!$B$2:$B$1800,G$1)</f>
        <v>0</v>
      </c>
      <c r="H122" s="117" t="n">
        <f aca="false">SUMIFS(الريسبي!$C$2:$C$1800,الريسبي!$A$2:$A$1800,$A122,الريسبي!$B$2:$B$1800,H$1)</f>
        <v>0</v>
      </c>
      <c r="I122" s="117" t="n">
        <f aca="false">SUMIFS(الريسبي!$C$2:$C$1800,الريسبي!$A$2:$A$1800,$A122,الريسبي!$B$2:$B$1800,I$1)</f>
        <v>0</v>
      </c>
      <c r="J122" s="117" t="n">
        <f aca="false">SUMIFS(الريسبي!$C$2:$C$1800,الريسبي!$A$2:$A$1800,$A122,الريسبي!$B$2:$B$1800,J$1)</f>
        <v>0</v>
      </c>
      <c r="K122" s="117" t="n">
        <f aca="false">SUMIFS(الريسبي!$C$2:$C$1800,الريسبي!$A$2:$A$1800,$A122,الريسبي!$B$2:$B$1800,K$1)</f>
        <v>0</v>
      </c>
      <c r="L122" s="117" t="n">
        <f aca="false">SUMIFS(الريسبي!$C$2:$C$1800,الريسبي!$A$2:$A$1800,$A122,الريسبي!$B$2:$B$1800,L$1)</f>
        <v>0</v>
      </c>
      <c r="M122" s="117" t="n">
        <f aca="false">SUMIFS(الريسبي!$C$2:$C$1800,الريسبي!$A$2:$A$1800,$A122,الريسبي!$B$2:$B$1800,M$1)</f>
        <v>0</v>
      </c>
      <c r="N122" s="117" t="n">
        <f aca="false">SUMIFS(الريسبي!$C$2:$C$1800,الريسبي!$A$2:$A$1800,$A122,الريسبي!$B$2:$B$1800,N$1)</f>
        <v>0</v>
      </c>
      <c r="O122" s="117" t="n">
        <f aca="false">SUMIFS(الريسبي!$C$2:$C$1800,الريسبي!$A$2:$A$1800,$A122,الريسبي!$B$2:$B$1800,O$1)</f>
        <v>0</v>
      </c>
      <c r="P122" s="117" t="n">
        <f aca="false">SUMIFS(الريسبي!$C$2:$C$1800,الريسبي!$A$2:$A$1800,$A122,الريسبي!$B$2:$B$1800,P$1)</f>
        <v>0</v>
      </c>
      <c r="Q122" s="117" t="n">
        <f aca="false">SUMIFS(الريسبي!$C$2:$C$1800,الريسبي!$A$2:$A$1800,$A122,الريسبي!$B$2:$B$1800,Q$1)</f>
        <v>0</v>
      </c>
      <c r="R122" s="117" t="n">
        <f aca="false">SUMIFS(الريسبي!$C$2:$C$1800,الريسبي!$A$2:$A$1800,$A122,الريسبي!$B$2:$B$1800,R$1)</f>
        <v>0</v>
      </c>
      <c r="S122" s="117" t="n">
        <f aca="false">SUMIFS(الريسبي!$C$2:$C$1800,الريسبي!$A$2:$A$1800,$A122,الريسبي!$B$2:$B$1800,S$1)</f>
        <v>0</v>
      </c>
      <c r="T122" s="117" t="n">
        <f aca="false">SUMIFS(الريسبي!$C$2:$C$1800,الريسبي!$A$2:$A$1800,$A122,الريسبي!$B$2:$B$1800,T$1)</f>
        <v>0</v>
      </c>
      <c r="U122" s="117" t="n">
        <f aca="false">SUMIFS(الريسبي!$C$2:$C$1800,الريسبي!$A$2:$A$1800,$A122,الريسبي!$B$2:$B$1800,U$1)</f>
        <v>0</v>
      </c>
      <c r="V122" s="117" t="n">
        <f aca="false">SUMIFS(الريسبي!$C$2:$C$1800,الريسبي!$A$2:$A$1800,$A122,الريسبي!$B$2:$B$1800,V$1)+1.5*(SUMIFS(الريسبي!$C$2:$C$1800,الريسبي!$A$2:$A$1800,$A122,الريسبي!$B$2:$B$1800,"برسيون موتزريلا بيتزا كبير"))</f>
        <v>0</v>
      </c>
      <c r="W122" s="117" t="n">
        <f aca="false">0</f>
        <v>0</v>
      </c>
      <c r="X122" s="117" t="n">
        <f aca="false">SUMIFS(الريسبي!$C$2:$C$1800,الريسبي!$A$2:$A$1800,$A122,الريسبي!$B$2:$B$1800,X$1)+1.5*(SUMIFS(الريسبي!$C$2:$C$1800,الريسبي!$A$2:$A$1800,$A122,الريسبي!$B$2:$B$1800,"برسيون موتزريلا فطير كبير"))</f>
        <v>1</v>
      </c>
      <c r="Y122" s="117" t="n">
        <f aca="false">0</f>
        <v>0</v>
      </c>
      <c r="Z122" s="117" t="n">
        <f aca="false">SUMIFS(الريسبي!$C$2:$C$1800,الريسبي!$A$2:$A$1800,$A122,الريسبي!$B$2:$B$1800,Z$1)</f>
        <v>0</v>
      </c>
      <c r="AA122" s="117" t="n">
        <f aca="false">SUMIFS(الريسبي!$C$2:$C$1800,الريسبي!$A$2:$A$1800,$A122,الريسبي!$B$2:$B$1800,AA$1)</f>
        <v>0</v>
      </c>
      <c r="AB122" s="117" t="n">
        <f aca="false">SUMIFS(الريسبي!$C$2:$C$1800,الريسبي!$A$2:$A$1800,$A122,الريسبي!$B$2:$B$1800,AB$1)</f>
        <v>0</v>
      </c>
      <c r="AC122" s="117" t="n">
        <f aca="false">SUMIFS(الريسبي!$C$2:$C$1800,الريسبي!$A$2:$A$1800,$A122,الريسبي!$B$2:$B$1800,AC$1)</f>
        <v>0</v>
      </c>
      <c r="AD122" s="117" t="n">
        <f aca="false">SUMIFS(الريسبي!$C$2:$C$1800,الريسبي!$A$2:$A$1800,$A122,الريسبي!$B$2:$B$1800,AD$1)</f>
        <v>0.2</v>
      </c>
      <c r="AE122" s="117" t="n">
        <f aca="false">SUMIFS(الريسبي!$C$2:$C$1800,الريسبي!$A$2:$A$1800,$A122,الريسبي!$B$2:$B$1800,AE$1)</f>
        <v>0</v>
      </c>
      <c r="AF122" s="117" t="n">
        <f aca="false">SUMIFS(الريسبي!$C$2:$C$1800,الريسبي!$A$2:$A$1800,$A122,الريسبي!$B$2:$B$1800,AF$1)</f>
        <v>0</v>
      </c>
      <c r="AG122" s="117" t="n">
        <f aca="false">SUMIFS(الريسبي!$C$2:$C$1800,الريسبي!$A$2:$A$1800,$A122,الريسبي!$B$2:$B$1800,AG$1)</f>
        <v>0</v>
      </c>
      <c r="AH122" s="117" t="n">
        <f aca="false">SUMIFS(الريسبي!$C$2:$C$1800,الريسبي!$A$2:$A$1800,$A122,الريسبي!$B$2:$B$1800,AH$1)</f>
        <v>0</v>
      </c>
      <c r="AI122" s="117" t="n">
        <f aca="false">SUMIFS(الريسبي!$C$2:$C$1800,الريسبي!$A$2:$A$1800,$A122,الريسبي!$B$2:$B$1800,AI$1)</f>
        <v>0</v>
      </c>
      <c r="AJ122" s="117" t="n">
        <f aca="false">SUMIFS(الريسبي!$C$2:$C$1800,الريسبي!$A$2:$A$1800,$A122,الريسبي!$B$2:$B$1800,AJ$1)</f>
        <v>2</v>
      </c>
      <c r="AK122" s="117" t="n">
        <f aca="false">SUMIFS(الريسبي!$C$2:$C$1800,الريسبي!$A$2:$A$1800,$A122,الريسبي!$B$2:$B$1800,AK$1)</f>
        <v>0</v>
      </c>
      <c r="AL122" s="117" t="n">
        <f aca="false">SUMIFS(الريسبي!$C$2:$C$1800,الريسبي!$A$2:$A$1800,$A122,الريسبي!$B$2:$B$1800,AL$1)</f>
        <v>0</v>
      </c>
      <c r="AM122" s="117" t="n">
        <f aca="false">SUMIFS(الريسبي!$C$2:$C$1800,الريسبي!$A$2:$A$1800,$A122,الريسبي!$B$2:$B$1800,AM$1)+0.08333333333*SUMIFS(الريسبي!$C$2:$C$1800,الريسبي!$A$2:$A$1800,$A122,الريسبي!$B$2:$B$1800,"عجين كريب (مصنع بالمطعم)")+0.08333333333*SUMIFS(الريسبي!$C$2:$C$1800,الريسبي!$A$2:$A$1800,$A122,الريسبي!$B$2:$B$1800,"عجين كريب صيامي (بدون لبن)")</f>
        <v>0</v>
      </c>
      <c r="AN122" s="117" t="n">
        <f aca="false">SUMIFS(الريسبي!$C$2:$C$1800,الريسبي!$A$2:$A$1800,$A122,الريسبي!$B$2:$B$1800,AN$1)+0.004166666667*SUMIFS(الريسبي!$C$2:$C$1800,الريسبي!$A$2:$A$1800,$A122,الريسبي!$B$2:$B$1800,"عجين كريب (مصنع بالمطعم)")+0.004166666667*SUMIFS(الريسبي!$C$2:$C$1800,الريسبي!$A$2:$A$1800,$A122,الريسبي!$B$2:$B$1800,"عجين كريب صيامي (بدون لبن)")</f>
        <v>0</v>
      </c>
      <c r="AO122" s="117" t="n">
        <f aca="false">SUMIFS(الريسبي!$C$2:$C$1800,الريسبي!$A$2:$A$1800,$A122,الريسبي!$B$2:$B$1800,AO$1)</f>
        <v>0</v>
      </c>
      <c r="AP122" s="117" t="n">
        <f aca="false">SUMIFS(الريسبي!$C$2:$C$1800,الريسبي!$A$2:$A$1800,$A122,الريسبي!$B$2:$B$1800,AP$1)</f>
        <v>0</v>
      </c>
      <c r="AQ122" s="117" t="n">
        <f aca="false">SUMIFS(الريسبي!$C$2:$C$1800,الريسبي!$A$2:$A$1800,$A122,الريسبي!$B$2:$B$1800,AQ$1)+0.004166666667*SUMIFS(الريسبي!$C$2:$C$1800,الريسبي!$A$2:$A$1800,$A122,الريسبي!$B$2:$B$1800,"عجين كريب (مصنع بالمطعم)")+0.004166666667*SUMIFS(الريسبي!$C$2:$C$1800,الريسبي!$A$2:$A$1800,$A122,الريسبي!$B$2:$B$1800,"عجين كريب صيامي (بدون لبن)")</f>
        <v>0</v>
      </c>
      <c r="AR122" s="117" t="n">
        <f aca="false">SUMIFS(الريسبي!$C$2:$C$1800,الريسبي!$A$2:$A$1800,$A122,الريسبي!$B$2:$B$1800,AR$1)</f>
        <v>0</v>
      </c>
      <c r="AS122" s="117" t="n">
        <f aca="false">SUMIFS(الريسبي!$C$2:$C$1800,الريسبي!$A$2:$A$1800,$A122,الريسبي!$B$2:$B$1800,AS$1)</f>
        <v>0</v>
      </c>
      <c r="AT122" s="117" t="n">
        <f aca="false">SUMIFS(الريسبي!$C$2:$C$1800,الريسبي!$A$2:$A$1800,$A122,الريسبي!$B$2:$B$1800,AT$1)</f>
        <v>0</v>
      </c>
      <c r="AU122" s="117" t="n">
        <f aca="false">SUMIFS(الريسبي!$C$2:$C$1800,الريسبي!$A$2:$A$1800,$A122,الريسبي!$B$2:$B$1800,AU$1)</f>
        <v>1</v>
      </c>
      <c r="AV122" s="117" t="n">
        <f aca="false">SUMIFS(الريسبي!$C$2:$C$1800,الريسبي!$A$2:$A$1800,$A122,الريسبي!$B$2:$B$1800,AV$1)</f>
        <v>0</v>
      </c>
      <c r="AW122" s="117" t="n">
        <f aca="false">SUMIFS(الريسبي!$C$2:$C$1800,الريسبي!$A$2:$A$1800,$A122,الريسبي!$B$2:$B$1800,AW$1)</f>
        <v>0</v>
      </c>
      <c r="AX122" s="117" t="n">
        <f aca="false">SUMIFS(الريسبي!$C$2:$C$1800,الريسبي!$A$2:$A$1800,$A122,الريسبي!$B$2:$B$1800,AX$1)</f>
        <v>0</v>
      </c>
      <c r="AY122" s="117" t="n">
        <f aca="false">SUMIFS(الريسبي!$C$2:$C$1800,الريسبي!$A$2:$A$1800,$A122,الريسبي!$B$2:$B$1800,AY$1)</f>
        <v>0.1</v>
      </c>
      <c r="AZ122" s="117" t="n">
        <f aca="false">SUMIFS(الريسبي!$C$2:$C$1800,الريسبي!$A$2:$A$1800,$A122,الريسبي!$B$2:$B$1800,AZ$1)</f>
        <v>0</v>
      </c>
      <c r="BA122" s="117" t="n">
        <f aca="false">SUMIFS(الريسبي!$C$2:$C$1800,الريسبي!$A$2:$A$1800,$A122,الريسبي!$B$2:$B$1800,BA$1)</f>
        <v>0</v>
      </c>
      <c r="BB122" s="117" t="n">
        <f aca="false">SUMIFS(الريسبي!$C$2:$C$1800,الريسبي!$A$2:$A$1800,$A122,الريسبي!$B$2:$B$1800,BB$1)</f>
        <v>0</v>
      </c>
      <c r="BC122" s="117" t="n">
        <f aca="false">SUMIFS(الريسبي!$C$2:$C$1800,الريسبي!$A$2:$A$1800,$A122,الريسبي!$B$2:$B$1800,BC$1)</f>
        <v>0</v>
      </c>
      <c r="BD122" s="117" t="n">
        <f aca="false">SUMIFS(الريسبي!$C$2:$C$1800,الريسبي!$A$2:$A$1800,$A122,الريسبي!$B$2:$B$1800,BD$1)</f>
        <v>0</v>
      </c>
      <c r="BE122" s="117" t="n">
        <f aca="false">SUMIFS(الريسبي!$C$2:$C$1800,الريسبي!$A$2:$A$1800,$A122,الريسبي!$B$2:$B$1800,BE$1)</f>
        <v>0</v>
      </c>
      <c r="BF122" s="117" t="n">
        <f aca="false">SUMIFS(الريسبي!$C$2:$C$1800,الريسبي!$A$2:$A$1800,$A122,الريسبي!$B$2:$B$1800,BF$1)</f>
        <v>0</v>
      </c>
      <c r="BG122" s="117" t="n">
        <f aca="false">SUMIFS(الريسبي!$C$2:$C$1800,الريسبي!$A$2:$A$1800,$A122,الريسبي!$B$2:$B$1800,BG$1)</f>
        <v>0</v>
      </c>
      <c r="BH122" s="117" t="n">
        <f aca="false">SUMIFS(الريسبي!$C$2:$C$1800,الريسبي!$A$2:$A$1800,$A122,الريسبي!$B$2:$B$1800,BH$1)</f>
        <v>0</v>
      </c>
      <c r="BI122" s="117" t="n">
        <f aca="false">SUMIFS(الريسبي!$C$2:$C$1800,الريسبي!$A$2:$A$1800,$A122,الريسبي!$B$2:$B$1800,BI$1)</f>
        <v>0</v>
      </c>
      <c r="BJ122" s="117" t="n">
        <f aca="false">SUMIFS(الريسبي!$C$2:$C$1800,الريسبي!$A$2:$A$1800,$A122,الريسبي!$B$2:$B$1800,BJ$1)</f>
        <v>0</v>
      </c>
      <c r="BK122" s="117" t="n">
        <f aca="false">SUMIFS(الريسبي!$C$2:$C$1800,الريسبي!$A$2:$A$1800,$A122,الريسبي!$B$2:$B$1800,BK$1)</f>
        <v>0</v>
      </c>
      <c r="BL122" s="117" t="n">
        <f aca="false">SUMIFS(الريسبي!$C$2:$C$1800,الريسبي!$A$2:$A$1800,$A122,الريسبي!$B$2:$B$1800,BL$1)</f>
        <v>0</v>
      </c>
      <c r="BM122" s="117" t="n">
        <f aca="false">SUMIFS(الريسبي!$C$2:$C$1800,الريسبي!$A$2:$A$1800,$A122,الريسبي!$B$2:$B$1800,BM$1)</f>
        <v>0.14</v>
      </c>
      <c r="BN122" s="117" t="n">
        <f aca="false">SUMIFS(الريسبي!$C$2:$C$1800,الريسبي!$A$2:$A$1800,$A122,الريسبي!$B$2:$B$1800,BN$1)</f>
        <v>0</v>
      </c>
      <c r="BO122" s="117" t="n">
        <f aca="false">SUMIFS(الريسبي!$C$2:$C$1800,الريسبي!$A$2:$A$1800,$A122,الريسبي!$B$2:$B$1800,BO$1)</f>
        <v>0</v>
      </c>
      <c r="BP122" s="117" t="n">
        <f aca="false">SUMIFS(الريسبي!$C$2:$C$1800,الريسبي!$A$2:$A$1800,$A122,الريسبي!$B$2:$B$1800,BP$1)</f>
        <v>2</v>
      </c>
      <c r="BQ122" s="117" t="n">
        <f aca="false">SUMIFS(الريسبي!$C$2:$C$1800,الريسبي!$A$2:$A$1800,$A122,الريسبي!$B$2:$B$1800,BQ$1)+0.17*SUMIFS(الريسبي!$C$2:$C$1800,الريسبي!$A$2:$A$1800,$A122,الريسبي!$B$2:$B$1800,"كاسترد مصنع (خليط بودر + لبن)")+0.17*SUMIFS(الريسبي!$C$2:$C$1800,الريسبي!$A$2:$A$1800,$A122,الريسبي!$B$2:$B$1800,"كاسترد مصنع صيامي (بدون لبن)")</f>
        <v>0</v>
      </c>
      <c r="BR122" s="117" t="n">
        <f aca="false">SUMIFS(الريسبي!$C$2:$C$1800,الريسبي!$A$2:$A$1800,$A122,الريسبي!$B$2:$B$1800,BR$1)</f>
        <v>0</v>
      </c>
      <c r="BS122" s="117" t="n">
        <f aca="false">SUMIFS(الريسبي!$C$2:$C$1800,الريسبي!$A$2:$A$1800,$A122,الريسبي!$B$2:$B$1800,BS$1)</f>
        <v>0</v>
      </c>
      <c r="BT122" s="117" t="n">
        <f aca="false">SUMIFS(الريسبي!$C$2:$C$1800,الريسبي!$A$2:$A$1800,$A122,الريسبي!$B$2:$B$1800,BT$1)</f>
        <v>0</v>
      </c>
      <c r="BU122" s="117" t="n">
        <f aca="false">SUMIFS(الريسبي!$C$2:$C$1800,الريسبي!$A$2:$A$1800,$A122,الريسبي!$B$2:$B$1800,BU$1)+0.4*SUMIFS(الريسبي!$C$2:$C$1800,الريسبي!$A$2:$A$1800,$A122,الريسبي!$B$2:$B$1800,"كاسترد مصنع (خليط بودر + لبن)")+0.03333333333*SUMIFS(الريسبي!$C$2:$C$1800,الريسبي!$A$2:$A$1800,$A122,الريسبي!$B$2:$B$1800,"عجين كريب (مصنع بالمطعم)")</f>
        <v>0</v>
      </c>
      <c r="BV122" s="117" t="n">
        <f aca="false">SUMIFS(الريسبي!$C$2:$C$1800,الريسبي!$A$2:$A$1800,$A122,الريسبي!$B$2:$B$1800,BV$1)</f>
        <v>0</v>
      </c>
      <c r="BW122" s="117" t="n">
        <f aca="false">SUMIFS(الريسبي!$C$2:$C$1800,الريسبي!$A$2:$A$1800,$A122,الريسبي!$B$2:$B$1800,BW$1)</f>
        <v>0</v>
      </c>
      <c r="BX122" s="117" t="n">
        <f aca="false">SUMIFS(الريسبي!$C$2:$C$1800,الريسبي!$A$2:$A$1800,$A122,الريسبي!$B$2:$B$1800,BX$1)</f>
        <v>0</v>
      </c>
      <c r="BY122" s="117" t="n">
        <f aca="false">SUMIFS(الريسبي!$C$2:$C$1800,الريسبي!$A$2:$A$1800,$A122,الريسبي!$B$2:$B$1800,BY$1)</f>
        <v>0.15</v>
      </c>
      <c r="BZ122" s="117" t="n">
        <f aca="false">SUMIFS(الريسبي!$C$2:$C$1800,الريسبي!$A$2:$A$1800,$A122,الريسبي!$B$2:$B$1800,BZ$1)</f>
        <v>0</v>
      </c>
      <c r="CA122" s="117" t="n">
        <f aca="false">SUMIFS(الريسبي!$C$2:$C$1800,الريسبي!$A$2:$A$1800,$A122,الريسبي!$B$2:$B$1800,CA$1)</f>
        <v>0</v>
      </c>
      <c r="CB122" s="117" t="n">
        <f aca="false">SUMIFS(الريسبي!$C$2:$C$1800,الريسبي!$A$2:$A$1800,$A122,الريسبي!$B$2:$B$1800,CB$1)</f>
        <v>0</v>
      </c>
      <c r="CC122" s="117" t="n">
        <f aca="false">SUMIFS(الريسبي!$C$2:$C$1800,الريسبي!$A$2:$A$1800,$A122,الريسبي!$B$2:$B$1800,CC$1)</f>
        <v>1</v>
      </c>
      <c r="CD122" s="117" t="n">
        <f aca="false">SUMIFS(الريسبي!$C$2:$C$1800,الريسبي!$A$2:$A$1800,$A122,الريسبي!$B$2:$B$1800,CD$1)</f>
        <v>0</v>
      </c>
      <c r="CE122" s="117" t="n">
        <f aca="false">SUMIFS(الريسبي!$C$2:$C$1800,الريسبي!$A$2:$A$1800,$A122,الريسبي!$B$2:$B$1800,CE$1)</f>
        <v>0</v>
      </c>
      <c r="CF122" s="117" t="n">
        <f aca="false">SUMIFS(الريسبي!$C$2:$C$1800,الريسبي!$A$2:$A$1800,$A122,الريسبي!$B$2:$B$1800,CF$1)</f>
        <v>0</v>
      </c>
      <c r="CG122" s="117" t="n">
        <f aca="false">SUMIFS(الريسبي!$C$2:$C$1800,الريسبي!$A$2:$A$1800,$A122,الريسبي!$B$2:$B$1800,CG$1)</f>
        <v>0</v>
      </c>
      <c r="CH122" s="117" t="n">
        <f aca="false">SUMIFS(الريسبي!$C$2:$C$1800,الريسبي!$A$2:$A$1800,$A122,الريسبي!$B$2:$B$1800,CH$1)</f>
        <v>0</v>
      </c>
      <c r="CI122" s="117" t="n">
        <f aca="false">SUMIFS(الريسبي!$C$2:$C$1800,الريسبي!$A$2:$A$1800,$A122,الريسبي!$B$2:$B$1800,CI$1)</f>
        <v>0</v>
      </c>
      <c r="CJ122" s="117" t="n">
        <f aca="false">SUMIFS(الريسبي!$C$2:$C$1800,الريسبي!$A$2:$A$1800,$A122,الريسبي!$B$2:$B$1800,CJ$1)</f>
        <v>0</v>
      </c>
      <c r="CK122" s="117" t="n">
        <f aca="false">SUMIFS(الريسبي!$C$2:$C$1800,الريسبي!$A$2:$A$1800,$A122,الريسبي!$B$2:$B$1800,CK$1)</f>
        <v>0</v>
      </c>
      <c r="CL122" s="117" t="n">
        <f aca="false">SUMIFS(الريسبي!$C$2:$C$1800,الريسبي!$A$2:$A$1800,$A122,الريسبي!$B$2:$B$1800,CL$1)</f>
        <v>0</v>
      </c>
    </row>
    <row r="123" customFormat="false" ht="15" hidden="false" customHeight="false" outlineLevel="0" collapsed="false">
      <c r="A123" s="116" t="str">
        <f aca="false">المنيو!B123</f>
        <v>مكرونة جمبري صيامي</v>
      </c>
      <c r="B123" s="117" t="n">
        <f aca="false">SUMIFS(الريسبي!$C$2:$C$1800,الريسبي!$A$2:$A$1800,$A123,الريسبي!$B$2:$B$1800,B$1)</f>
        <v>1</v>
      </c>
      <c r="C123" s="117" t="n">
        <f aca="false">SUMIFS(الريسبي!$C$2:$C$1800,الريسبي!$A$2:$A$1800,$A123,الريسبي!$B$2:$B$1800,C$1)</f>
        <v>0</v>
      </c>
      <c r="D123" s="117" t="n">
        <f aca="false">SUMIFS(الريسبي!$C$2:$C$1800,الريسبي!$A$2:$A$1800,$A123,الريسبي!$B$2:$B$1800,D$1)</f>
        <v>0</v>
      </c>
      <c r="E123" s="117" t="n">
        <f aca="false">SUMIFS(الريسبي!$C$2:$C$1800,الريسبي!$A$2:$A$1800,$A123,الريسبي!$B$2:$B$1800,E$1)</f>
        <v>1</v>
      </c>
      <c r="F123" s="117" t="n">
        <f aca="false">SUMIFS(الريسبي!$C$2:$C$1800,الريسبي!$A$2:$A$1800,$A123,الريسبي!$B$2:$B$1800,F$1)</f>
        <v>0</v>
      </c>
      <c r="G123" s="117" t="n">
        <f aca="false">SUMIFS(الريسبي!$C$2:$C$1800,الريسبي!$A$2:$A$1800,$A123,الريسبي!$B$2:$B$1800,G$1)</f>
        <v>0</v>
      </c>
      <c r="H123" s="117" t="n">
        <f aca="false">SUMIFS(الريسبي!$C$2:$C$1800,الريسبي!$A$2:$A$1800,$A123,الريسبي!$B$2:$B$1800,H$1)</f>
        <v>0</v>
      </c>
      <c r="I123" s="117" t="n">
        <f aca="false">SUMIFS(الريسبي!$C$2:$C$1800,الريسبي!$A$2:$A$1800,$A123,الريسبي!$B$2:$B$1800,I$1)</f>
        <v>0</v>
      </c>
      <c r="J123" s="117" t="n">
        <f aca="false">SUMIFS(الريسبي!$C$2:$C$1800,الريسبي!$A$2:$A$1800,$A123,الريسبي!$B$2:$B$1800,J$1)</f>
        <v>0</v>
      </c>
      <c r="K123" s="117" t="n">
        <f aca="false">SUMIFS(الريسبي!$C$2:$C$1800,الريسبي!$A$2:$A$1800,$A123,الريسبي!$B$2:$B$1800,K$1)</f>
        <v>1</v>
      </c>
      <c r="L123" s="117" t="n">
        <f aca="false">SUMIFS(الريسبي!$C$2:$C$1800,الريسبي!$A$2:$A$1800,$A123,الريسبي!$B$2:$B$1800,L$1)</f>
        <v>0</v>
      </c>
      <c r="M123" s="117" t="n">
        <f aca="false">SUMIFS(الريسبي!$C$2:$C$1800,الريسبي!$A$2:$A$1800,$A123,الريسبي!$B$2:$B$1800,M$1)</f>
        <v>0</v>
      </c>
      <c r="N123" s="117" t="n">
        <f aca="false">SUMIFS(الريسبي!$C$2:$C$1800,الريسبي!$A$2:$A$1800,$A123,الريسبي!$B$2:$B$1800,N$1)</f>
        <v>0</v>
      </c>
      <c r="O123" s="117" t="n">
        <f aca="false">SUMIFS(الريسبي!$C$2:$C$1800,الريسبي!$A$2:$A$1800,$A123,الريسبي!$B$2:$B$1800,O$1)</f>
        <v>0</v>
      </c>
      <c r="P123" s="117" t="n">
        <f aca="false">SUMIFS(الريسبي!$C$2:$C$1800,الريسبي!$A$2:$A$1800,$A123,الريسبي!$B$2:$B$1800,P$1)</f>
        <v>0</v>
      </c>
      <c r="Q123" s="117" t="n">
        <f aca="false">SUMIFS(الريسبي!$C$2:$C$1800,الريسبي!$A$2:$A$1800,$A123,الريسبي!$B$2:$B$1800,Q$1)</f>
        <v>0</v>
      </c>
      <c r="R123" s="117" t="n">
        <f aca="false">SUMIFS(الريسبي!$C$2:$C$1800,الريسبي!$A$2:$A$1800,$A123,الريسبي!$B$2:$B$1800,R$1)</f>
        <v>0</v>
      </c>
      <c r="S123" s="117" t="n">
        <f aca="false">SUMIFS(الريسبي!$C$2:$C$1800,الريسبي!$A$2:$A$1800,$A123,الريسبي!$B$2:$B$1800,S$1)</f>
        <v>0</v>
      </c>
      <c r="T123" s="117" t="n">
        <f aca="false">SUMIFS(الريسبي!$C$2:$C$1800,الريسبي!$A$2:$A$1800,$A123,الريسبي!$B$2:$B$1800,T$1)</f>
        <v>0</v>
      </c>
      <c r="U123" s="117" t="n">
        <f aca="false">SUMIFS(الريسبي!$C$2:$C$1800,الريسبي!$A$2:$A$1800,$A123,الريسبي!$B$2:$B$1800,U$1)</f>
        <v>0</v>
      </c>
      <c r="V123" s="117" t="n">
        <f aca="false">SUMIFS(الريسبي!$C$2:$C$1800,الريسبي!$A$2:$A$1800,$A123,الريسبي!$B$2:$B$1800,V$1)+1.5*(SUMIFS(الريسبي!$C$2:$C$1800,الريسبي!$A$2:$A$1800,$A123,الريسبي!$B$2:$B$1800,"برسيون موتزريلا بيتزا كبير"))</f>
        <v>0</v>
      </c>
      <c r="W123" s="117" t="n">
        <f aca="false">0</f>
        <v>0</v>
      </c>
      <c r="X123" s="117" t="n">
        <f aca="false">SUMIFS(الريسبي!$C$2:$C$1800,الريسبي!$A$2:$A$1800,$A123,الريسبي!$B$2:$B$1800,X$1)+1.5*(SUMIFS(الريسبي!$C$2:$C$1800,الريسبي!$A$2:$A$1800,$A123,الريسبي!$B$2:$B$1800,"برسيون موتزريلا فطير كبير"))</f>
        <v>1</v>
      </c>
      <c r="Y123" s="117" t="n">
        <f aca="false">0</f>
        <v>0</v>
      </c>
      <c r="Z123" s="117" t="n">
        <f aca="false">SUMIFS(الريسبي!$C$2:$C$1800,الريسبي!$A$2:$A$1800,$A123,الريسبي!$B$2:$B$1800,Z$1)</f>
        <v>0</v>
      </c>
      <c r="AA123" s="117" t="n">
        <f aca="false">SUMIFS(الريسبي!$C$2:$C$1800,الريسبي!$A$2:$A$1800,$A123,الريسبي!$B$2:$B$1800,AA$1)</f>
        <v>0</v>
      </c>
      <c r="AB123" s="117" t="n">
        <f aca="false">SUMIFS(الريسبي!$C$2:$C$1800,الريسبي!$A$2:$A$1800,$A123,الريسبي!$B$2:$B$1800,AB$1)</f>
        <v>0</v>
      </c>
      <c r="AC123" s="117" t="n">
        <f aca="false">SUMIFS(الريسبي!$C$2:$C$1800,الريسبي!$A$2:$A$1800,$A123,الريسبي!$B$2:$B$1800,AC$1)</f>
        <v>0</v>
      </c>
      <c r="AD123" s="117" t="n">
        <f aca="false">SUMIFS(الريسبي!$C$2:$C$1800,الريسبي!$A$2:$A$1800,$A123,الريسبي!$B$2:$B$1800,AD$1)</f>
        <v>0.2</v>
      </c>
      <c r="AE123" s="117" t="n">
        <f aca="false">SUMIFS(الريسبي!$C$2:$C$1800,الريسبي!$A$2:$A$1800,$A123,الريسبي!$B$2:$B$1800,AE$1)</f>
        <v>0</v>
      </c>
      <c r="AF123" s="117" t="n">
        <f aca="false">SUMIFS(الريسبي!$C$2:$C$1800,الريسبي!$A$2:$A$1800,$A123,الريسبي!$B$2:$B$1800,AF$1)</f>
        <v>0</v>
      </c>
      <c r="AG123" s="117" t="n">
        <f aca="false">SUMIFS(الريسبي!$C$2:$C$1800,الريسبي!$A$2:$A$1800,$A123,الريسبي!$B$2:$B$1800,AG$1)</f>
        <v>0</v>
      </c>
      <c r="AH123" s="117" t="n">
        <f aca="false">SUMIFS(الريسبي!$C$2:$C$1800,الريسبي!$A$2:$A$1800,$A123,الريسبي!$B$2:$B$1800,AH$1)</f>
        <v>0</v>
      </c>
      <c r="AI123" s="117" t="n">
        <f aca="false">SUMIFS(الريسبي!$C$2:$C$1800,الريسبي!$A$2:$A$1800,$A123,الريسبي!$B$2:$B$1800,AI$1)</f>
        <v>0</v>
      </c>
      <c r="AJ123" s="117" t="n">
        <f aca="false">SUMIFS(الريسبي!$C$2:$C$1800,الريسبي!$A$2:$A$1800,$A123,الريسبي!$B$2:$B$1800,AJ$1)</f>
        <v>2</v>
      </c>
      <c r="AK123" s="117" t="n">
        <f aca="false">SUMIFS(الريسبي!$C$2:$C$1800,الريسبي!$A$2:$A$1800,$A123,الريسبي!$B$2:$B$1800,AK$1)</f>
        <v>0</v>
      </c>
      <c r="AL123" s="117" t="n">
        <f aca="false">SUMIFS(الريسبي!$C$2:$C$1800,الريسبي!$A$2:$A$1800,$A123,الريسبي!$B$2:$B$1800,AL$1)</f>
        <v>0</v>
      </c>
      <c r="AM123" s="117" t="n">
        <f aca="false">SUMIFS(الريسبي!$C$2:$C$1800,الريسبي!$A$2:$A$1800,$A123,الريسبي!$B$2:$B$1800,AM$1)+0.08333333333*SUMIFS(الريسبي!$C$2:$C$1800,الريسبي!$A$2:$A$1800,$A123,الريسبي!$B$2:$B$1800,"عجين كريب (مصنع بالمطعم)")+0.08333333333*SUMIFS(الريسبي!$C$2:$C$1800,الريسبي!$A$2:$A$1800,$A123,الريسبي!$B$2:$B$1800,"عجين كريب صيامي (بدون لبن)")</f>
        <v>0</v>
      </c>
      <c r="AN123" s="117" t="n">
        <f aca="false">SUMIFS(الريسبي!$C$2:$C$1800,الريسبي!$A$2:$A$1800,$A123,الريسبي!$B$2:$B$1800,AN$1)+0.004166666667*SUMIFS(الريسبي!$C$2:$C$1800,الريسبي!$A$2:$A$1800,$A123,الريسبي!$B$2:$B$1800,"عجين كريب (مصنع بالمطعم)")+0.004166666667*SUMIFS(الريسبي!$C$2:$C$1800,الريسبي!$A$2:$A$1800,$A123,الريسبي!$B$2:$B$1800,"عجين كريب صيامي (بدون لبن)")</f>
        <v>0</v>
      </c>
      <c r="AO123" s="117" t="n">
        <f aca="false">SUMIFS(الريسبي!$C$2:$C$1800,الريسبي!$A$2:$A$1800,$A123,الريسبي!$B$2:$B$1800,AO$1)</f>
        <v>0</v>
      </c>
      <c r="AP123" s="117" t="n">
        <f aca="false">SUMIFS(الريسبي!$C$2:$C$1800,الريسبي!$A$2:$A$1800,$A123,الريسبي!$B$2:$B$1800,AP$1)</f>
        <v>0</v>
      </c>
      <c r="AQ123" s="117" t="n">
        <f aca="false">SUMIFS(الريسبي!$C$2:$C$1800,الريسبي!$A$2:$A$1800,$A123,الريسبي!$B$2:$B$1800,AQ$1)+0.004166666667*SUMIFS(الريسبي!$C$2:$C$1800,الريسبي!$A$2:$A$1800,$A123,الريسبي!$B$2:$B$1800,"عجين كريب (مصنع بالمطعم)")+0.004166666667*SUMIFS(الريسبي!$C$2:$C$1800,الريسبي!$A$2:$A$1800,$A123,الريسبي!$B$2:$B$1800,"عجين كريب صيامي (بدون لبن)")</f>
        <v>0</v>
      </c>
      <c r="AR123" s="117" t="n">
        <f aca="false">SUMIFS(الريسبي!$C$2:$C$1800,الريسبي!$A$2:$A$1800,$A123,الريسبي!$B$2:$B$1800,AR$1)</f>
        <v>0</v>
      </c>
      <c r="AS123" s="117" t="n">
        <f aca="false">SUMIFS(الريسبي!$C$2:$C$1800,الريسبي!$A$2:$A$1800,$A123,الريسبي!$B$2:$B$1800,AS$1)</f>
        <v>0</v>
      </c>
      <c r="AT123" s="117" t="n">
        <f aca="false">SUMIFS(الريسبي!$C$2:$C$1800,الريسبي!$A$2:$A$1800,$A123,الريسبي!$B$2:$B$1800,AT$1)</f>
        <v>0</v>
      </c>
      <c r="AU123" s="117" t="n">
        <f aca="false">SUMIFS(الريسبي!$C$2:$C$1800,الريسبي!$A$2:$A$1800,$A123,الريسبي!$B$2:$B$1800,AU$1)</f>
        <v>1</v>
      </c>
      <c r="AV123" s="117" t="n">
        <f aca="false">SUMIFS(الريسبي!$C$2:$C$1800,الريسبي!$A$2:$A$1800,$A123,الريسبي!$B$2:$B$1800,AV$1)</f>
        <v>0</v>
      </c>
      <c r="AW123" s="117" t="n">
        <f aca="false">SUMIFS(الريسبي!$C$2:$C$1800,الريسبي!$A$2:$A$1800,$A123,الريسبي!$B$2:$B$1800,AW$1)</f>
        <v>0</v>
      </c>
      <c r="AX123" s="117" t="n">
        <f aca="false">SUMIFS(الريسبي!$C$2:$C$1800,الريسبي!$A$2:$A$1800,$A123,الريسبي!$B$2:$B$1800,AX$1)</f>
        <v>0</v>
      </c>
      <c r="AY123" s="117" t="n">
        <f aca="false">SUMIFS(الريسبي!$C$2:$C$1800,الريسبي!$A$2:$A$1800,$A123,الريسبي!$B$2:$B$1800,AY$1)</f>
        <v>0</v>
      </c>
      <c r="AZ123" s="117" t="n">
        <f aca="false">SUMIFS(الريسبي!$C$2:$C$1800,الريسبي!$A$2:$A$1800,$A123,الريسبي!$B$2:$B$1800,AZ$1)</f>
        <v>0</v>
      </c>
      <c r="BA123" s="117" t="n">
        <f aca="false">SUMIFS(الريسبي!$C$2:$C$1800,الريسبي!$A$2:$A$1800,$A123,الريسبي!$B$2:$B$1800,BA$1)</f>
        <v>0</v>
      </c>
      <c r="BB123" s="117" t="n">
        <f aca="false">SUMIFS(الريسبي!$C$2:$C$1800,الريسبي!$A$2:$A$1800,$A123,الريسبي!$B$2:$B$1800,BB$1)</f>
        <v>0</v>
      </c>
      <c r="BC123" s="117" t="n">
        <f aca="false">SUMIFS(الريسبي!$C$2:$C$1800,الريسبي!$A$2:$A$1800,$A123,الريسبي!$B$2:$B$1800,BC$1)</f>
        <v>0</v>
      </c>
      <c r="BD123" s="117" t="n">
        <f aca="false">SUMIFS(الريسبي!$C$2:$C$1800,الريسبي!$A$2:$A$1800,$A123,الريسبي!$B$2:$B$1800,BD$1)</f>
        <v>0</v>
      </c>
      <c r="BE123" s="117" t="n">
        <f aca="false">SUMIFS(الريسبي!$C$2:$C$1800,الريسبي!$A$2:$A$1800,$A123,الريسبي!$B$2:$B$1800,BE$1)</f>
        <v>0</v>
      </c>
      <c r="BF123" s="117" t="n">
        <f aca="false">SUMIFS(الريسبي!$C$2:$C$1800,الريسبي!$A$2:$A$1800,$A123,الريسبي!$B$2:$B$1800,BF$1)</f>
        <v>0</v>
      </c>
      <c r="BG123" s="117" t="n">
        <f aca="false">SUMIFS(الريسبي!$C$2:$C$1800,الريسبي!$A$2:$A$1800,$A123,الريسبي!$B$2:$B$1800,BG$1)</f>
        <v>0</v>
      </c>
      <c r="BH123" s="117" t="n">
        <f aca="false">SUMIFS(الريسبي!$C$2:$C$1800,الريسبي!$A$2:$A$1800,$A123,الريسبي!$B$2:$B$1800,BH$1)</f>
        <v>0</v>
      </c>
      <c r="BI123" s="117" t="n">
        <f aca="false">SUMIFS(الريسبي!$C$2:$C$1800,الريسبي!$A$2:$A$1800,$A123,الريسبي!$B$2:$B$1800,BI$1)</f>
        <v>0</v>
      </c>
      <c r="BJ123" s="117" t="n">
        <f aca="false">SUMIFS(الريسبي!$C$2:$C$1800,الريسبي!$A$2:$A$1800,$A123,الريسبي!$B$2:$B$1800,BJ$1)</f>
        <v>0</v>
      </c>
      <c r="BK123" s="117" t="n">
        <f aca="false">SUMIFS(الريسبي!$C$2:$C$1800,الريسبي!$A$2:$A$1800,$A123,الريسبي!$B$2:$B$1800,BK$1)</f>
        <v>0</v>
      </c>
      <c r="BL123" s="117" t="n">
        <f aca="false">SUMIFS(الريسبي!$C$2:$C$1800,الريسبي!$A$2:$A$1800,$A123,الريسبي!$B$2:$B$1800,BL$1)</f>
        <v>0</v>
      </c>
      <c r="BM123" s="117" t="n">
        <f aca="false">SUMIFS(الريسبي!$C$2:$C$1800,الريسبي!$A$2:$A$1800,$A123,الريسبي!$B$2:$B$1800,BM$1)</f>
        <v>0</v>
      </c>
      <c r="BN123" s="117" t="n">
        <f aca="false">SUMIFS(الريسبي!$C$2:$C$1800,الريسبي!$A$2:$A$1800,$A123,الريسبي!$B$2:$B$1800,BN$1)</f>
        <v>0</v>
      </c>
      <c r="BO123" s="117" t="n">
        <f aca="false">SUMIFS(الريسبي!$C$2:$C$1800,الريسبي!$A$2:$A$1800,$A123,الريسبي!$B$2:$B$1800,BO$1)</f>
        <v>0</v>
      </c>
      <c r="BP123" s="117" t="n">
        <f aca="false">SUMIFS(الريسبي!$C$2:$C$1800,الريسبي!$A$2:$A$1800,$A123,الريسبي!$B$2:$B$1800,BP$1)</f>
        <v>2</v>
      </c>
      <c r="BQ123" s="117" t="n">
        <f aca="false">SUMIFS(الريسبي!$C$2:$C$1800,الريسبي!$A$2:$A$1800,$A123,الريسبي!$B$2:$B$1800,BQ$1)+0.17*SUMIFS(الريسبي!$C$2:$C$1800,الريسبي!$A$2:$A$1800,$A123,الريسبي!$B$2:$B$1800,"كاسترد مصنع (خليط بودر + لبن)")+0.17*SUMIFS(الريسبي!$C$2:$C$1800,الريسبي!$A$2:$A$1800,$A123,الريسبي!$B$2:$B$1800,"كاسترد مصنع صيامي (بدون لبن)")</f>
        <v>0</v>
      </c>
      <c r="BR123" s="117" t="n">
        <f aca="false">SUMIFS(الريسبي!$C$2:$C$1800,الريسبي!$A$2:$A$1800,$A123,الريسبي!$B$2:$B$1800,BR$1)</f>
        <v>0</v>
      </c>
      <c r="BS123" s="117" t="n">
        <f aca="false">SUMIFS(الريسبي!$C$2:$C$1800,الريسبي!$A$2:$A$1800,$A123,الريسبي!$B$2:$B$1800,BS$1)</f>
        <v>0</v>
      </c>
      <c r="BT123" s="117" t="n">
        <f aca="false">SUMIFS(الريسبي!$C$2:$C$1800,الريسبي!$A$2:$A$1800,$A123,الريسبي!$B$2:$B$1800,BT$1)</f>
        <v>0</v>
      </c>
      <c r="BU123" s="117" t="n">
        <f aca="false">SUMIFS(الريسبي!$C$2:$C$1800,الريسبي!$A$2:$A$1800,$A123,الريسبي!$B$2:$B$1800,BU$1)+0.4*SUMIFS(الريسبي!$C$2:$C$1800,الريسبي!$A$2:$A$1800,$A123,الريسبي!$B$2:$B$1800,"كاسترد مصنع (خليط بودر + لبن)")+0.03333333333*SUMIFS(الريسبي!$C$2:$C$1800,الريسبي!$A$2:$A$1800,$A123,الريسبي!$B$2:$B$1800,"عجين كريب (مصنع بالمطعم)")</f>
        <v>0</v>
      </c>
      <c r="BV123" s="117" t="n">
        <f aca="false">SUMIFS(الريسبي!$C$2:$C$1800,الريسبي!$A$2:$A$1800,$A123,الريسبي!$B$2:$B$1800,BV$1)</f>
        <v>0</v>
      </c>
      <c r="BW123" s="117" t="n">
        <f aca="false">SUMIFS(الريسبي!$C$2:$C$1800,الريسبي!$A$2:$A$1800,$A123,الريسبي!$B$2:$B$1800,BW$1)</f>
        <v>0</v>
      </c>
      <c r="BX123" s="117" t="n">
        <f aca="false">SUMIFS(الريسبي!$C$2:$C$1800,الريسبي!$A$2:$A$1800,$A123,الريسبي!$B$2:$B$1800,BX$1)</f>
        <v>0</v>
      </c>
      <c r="BY123" s="117" t="n">
        <f aca="false">SUMIFS(الريسبي!$C$2:$C$1800,الريسبي!$A$2:$A$1800,$A123,الريسبي!$B$2:$B$1800,BY$1)</f>
        <v>0.15</v>
      </c>
      <c r="BZ123" s="117" t="n">
        <f aca="false">SUMIFS(الريسبي!$C$2:$C$1800,الريسبي!$A$2:$A$1800,$A123,الريسبي!$B$2:$B$1800,BZ$1)</f>
        <v>0</v>
      </c>
      <c r="CA123" s="117" t="n">
        <f aca="false">SUMIFS(الريسبي!$C$2:$C$1800,الريسبي!$A$2:$A$1800,$A123,الريسبي!$B$2:$B$1800,CA$1)</f>
        <v>0</v>
      </c>
      <c r="CB123" s="117" t="n">
        <f aca="false">SUMIFS(الريسبي!$C$2:$C$1800,الريسبي!$A$2:$A$1800,$A123,الريسبي!$B$2:$B$1800,CB$1)</f>
        <v>0</v>
      </c>
      <c r="CC123" s="117" t="n">
        <f aca="false">SUMIFS(الريسبي!$C$2:$C$1800,الريسبي!$A$2:$A$1800,$A123,الريسبي!$B$2:$B$1800,CC$1)</f>
        <v>1</v>
      </c>
      <c r="CD123" s="117" t="n">
        <f aca="false">SUMIFS(الريسبي!$C$2:$C$1800,الريسبي!$A$2:$A$1800,$A123,الريسبي!$B$2:$B$1800,CD$1)</f>
        <v>0</v>
      </c>
      <c r="CE123" s="117" t="n">
        <f aca="false">SUMIFS(الريسبي!$C$2:$C$1800,الريسبي!$A$2:$A$1800,$A123,الريسبي!$B$2:$B$1800,CE$1)</f>
        <v>0</v>
      </c>
      <c r="CF123" s="117" t="n">
        <f aca="false">SUMIFS(الريسبي!$C$2:$C$1800,الريسبي!$A$2:$A$1800,$A123,الريسبي!$B$2:$B$1800,CF$1)</f>
        <v>0</v>
      </c>
      <c r="CG123" s="117" t="n">
        <f aca="false">SUMIFS(الريسبي!$C$2:$C$1800,الريسبي!$A$2:$A$1800,$A123,الريسبي!$B$2:$B$1800,CG$1)</f>
        <v>0</v>
      </c>
      <c r="CH123" s="117" t="n">
        <f aca="false">SUMIFS(الريسبي!$C$2:$C$1800,الريسبي!$A$2:$A$1800,$A123,الريسبي!$B$2:$B$1800,CH$1)</f>
        <v>0</v>
      </c>
      <c r="CI123" s="117" t="n">
        <f aca="false">SUMIFS(الريسبي!$C$2:$C$1800,الريسبي!$A$2:$A$1800,$A123,الريسبي!$B$2:$B$1800,CI$1)</f>
        <v>0</v>
      </c>
      <c r="CJ123" s="117" t="n">
        <f aca="false">SUMIFS(الريسبي!$C$2:$C$1800,الريسبي!$A$2:$A$1800,$A123,الريسبي!$B$2:$B$1800,CJ$1)</f>
        <v>0</v>
      </c>
      <c r="CK123" s="117" t="n">
        <f aca="false">SUMIFS(الريسبي!$C$2:$C$1800,الريسبي!$A$2:$A$1800,$A123,الريسبي!$B$2:$B$1800,CK$1)</f>
        <v>0</v>
      </c>
      <c r="CL123" s="117" t="n">
        <f aca="false">SUMIFS(الريسبي!$C$2:$C$1800,الريسبي!$A$2:$A$1800,$A123,الريسبي!$B$2:$B$1800,CL$1)</f>
        <v>0</v>
      </c>
    </row>
    <row r="124" customFormat="false" ht="15" hidden="false" customHeight="false" outlineLevel="0" collapsed="false">
      <c r="A124" s="116" t="str">
        <f aca="false">المنيو!B124</f>
        <v>كريب بطاطس صيامي</v>
      </c>
      <c r="B124" s="117" t="n">
        <f aca="false">SUMIFS(الريسبي!$C$2:$C$1800,الريسبي!$A$2:$A$1800,$A124,الريسبي!$B$2:$B$1800,B$1)</f>
        <v>0</v>
      </c>
      <c r="C124" s="117" t="n">
        <f aca="false">SUMIFS(الريسبي!$C$2:$C$1800,الريسبي!$A$2:$A$1800,$A124,الريسبي!$B$2:$B$1800,C$1)</f>
        <v>0</v>
      </c>
      <c r="D124" s="117" t="n">
        <f aca="false">SUMIFS(الريسبي!$C$2:$C$1800,الريسبي!$A$2:$A$1800,$A124,الريسبي!$B$2:$B$1800,D$1)</f>
        <v>0</v>
      </c>
      <c r="E124" s="117" t="n">
        <f aca="false">SUMIFS(الريسبي!$C$2:$C$1800,الريسبي!$A$2:$A$1800,$A124,الريسبي!$B$2:$B$1800,E$1)</f>
        <v>0</v>
      </c>
      <c r="F124" s="117" t="n">
        <f aca="false">SUMIFS(الريسبي!$C$2:$C$1800,الريسبي!$A$2:$A$1800,$A124,الريسبي!$B$2:$B$1800,F$1)</f>
        <v>0</v>
      </c>
      <c r="G124" s="117" t="n">
        <f aca="false">SUMIFS(الريسبي!$C$2:$C$1800,الريسبي!$A$2:$A$1800,$A124,الريسبي!$B$2:$B$1800,G$1)</f>
        <v>0</v>
      </c>
      <c r="H124" s="117" t="n">
        <f aca="false">SUMIFS(الريسبي!$C$2:$C$1800,الريسبي!$A$2:$A$1800,$A124,الريسبي!$B$2:$B$1800,H$1)</f>
        <v>0</v>
      </c>
      <c r="I124" s="117" t="n">
        <f aca="false">SUMIFS(الريسبي!$C$2:$C$1800,الريسبي!$A$2:$A$1800,$A124,الريسبي!$B$2:$B$1800,I$1)</f>
        <v>1.5</v>
      </c>
      <c r="J124" s="117" t="n">
        <f aca="false">SUMIFS(الريسبي!$C$2:$C$1800,الريسبي!$A$2:$A$1800,$A124,الريسبي!$B$2:$B$1800,J$1)</f>
        <v>0</v>
      </c>
      <c r="K124" s="117" t="n">
        <f aca="false">SUMIFS(الريسبي!$C$2:$C$1800,الريسبي!$A$2:$A$1800,$A124,الريسبي!$B$2:$B$1800,K$1)</f>
        <v>0</v>
      </c>
      <c r="L124" s="117" t="n">
        <f aca="false">SUMIFS(الريسبي!$C$2:$C$1800,الريسبي!$A$2:$A$1800,$A124,الريسبي!$B$2:$B$1800,L$1)</f>
        <v>0</v>
      </c>
      <c r="M124" s="117" t="n">
        <f aca="false">SUMIFS(الريسبي!$C$2:$C$1800,الريسبي!$A$2:$A$1800,$A124,الريسبي!$B$2:$B$1800,M$1)</f>
        <v>0</v>
      </c>
      <c r="N124" s="117" t="n">
        <f aca="false">SUMIFS(الريسبي!$C$2:$C$1800,الريسبي!$A$2:$A$1800,$A124,الريسبي!$B$2:$B$1800,N$1)</f>
        <v>0</v>
      </c>
      <c r="O124" s="117" t="n">
        <f aca="false">SUMIFS(الريسبي!$C$2:$C$1800,الريسبي!$A$2:$A$1800,$A124,الريسبي!$B$2:$B$1800,O$1)</f>
        <v>0</v>
      </c>
      <c r="P124" s="117" t="n">
        <f aca="false">SUMIFS(الريسبي!$C$2:$C$1800,الريسبي!$A$2:$A$1800,$A124,الريسبي!$B$2:$B$1800,P$1)</f>
        <v>0</v>
      </c>
      <c r="Q124" s="117" t="n">
        <f aca="false">SUMIFS(الريسبي!$C$2:$C$1800,الريسبي!$A$2:$A$1800,$A124,الريسبي!$B$2:$B$1800,Q$1)</f>
        <v>0</v>
      </c>
      <c r="R124" s="117" t="n">
        <f aca="false">SUMIFS(الريسبي!$C$2:$C$1800,الريسبي!$A$2:$A$1800,$A124,الريسبي!$B$2:$B$1800,R$1)</f>
        <v>0</v>
      </c>
      <c r="S124" s="117" t="n">
        <f aca="false">SUMIFS(الريسبي!$C$2:$C$1800,الريسبي!$A$2:$A$1800,$A124,الريسبي!$B$2:$B$1800,S$1)</f>
        <v>0</v>
      </c>
      <c r="T124" s="117" t="n">
        <f aca="false">SUMIFS(الريسبي!$C$2:$C$1800,الريسبي!$A$2:$A$1800,$A124,الريسبي!$B$2:$B$1800,T$1)</f>
        <v>0</v>
      </c>
      <c r="U124" s="117" t="n">
        <f aca="false">SUMIFS(الريسبي!$C$2:$C$1800,الريسبي!$A$2:$A$1800,$A124,الريسبي!$B$2:$B$1800,U$1)</f>
        <v>0</v>
      </c>
      <c r="V124" s="117" t="n">
        <f aca="false">SUMIFS(الريسبي!$C$2:$C$1800,الريسبي!$A$2:$A$1800,$A124,الريسبي!$B$2:$B$1800,V$1)+1.5*(SUMIFS(الريسبي!$C$2:$C$1800,الريسبي!$A$2:$A$1800,$A124,الريسبي!$B$2:$B$1800,"برسيون موتزريلا بيتزا كبير"))</f>
        <v>0</v>
      </c>
      <c r="W124" s="117" t="n">
        <f aca="false">0</f>
        <v>0</v>
      </c>
      <c r="X124" s="117" t="n">
        <f aca="false">SUMIFS(الريسبي!$C$2:$C$1800,الريسبي!$A$2:$A$1800,$A124,الريسبي!$B$2:$B$1800,X$1)+1.5*(SUMIFS(الريسبي!$C$2:$C$1800,الريسبي!$A$2:$A$1800,$A124,الريسبي!$B$2:$B$1800,"برسيون موتزريلا فطير كبير"))</f>
        <v>1</v>
      </c>
      <c r="Y124" s="117" t="n">
        <f aca="false">0</f>
        <v>0</v>
      </c>
      <c r="Z124" s="117" t="n">
        <f aca="false">SUMIFS(الريسبي!$C$2:$C$1800,الريسبي!$A$2:$A$1800,$A124,الريسبي!$B$2:$B$1800,Z$1)</f>
        <v>0</v>
      </c>
      <c r="AA124" s="117" t="n">
        <f aca="false">SUMIFS(الريسبي!$C$2:$C$1800,الريسبي!$A$2:$A$1800,$A124,الريسبي!$B$2:$B$1800,AA$1)</f>
        <v>0</v>
      </c>
      <c r="AB124" s="117" t="n">
        <f aca="false">SUMIFS(الريسبي!$C$2:$C$1800,الريسبي!$A$2:$A$1800,$A124,الريسبي!$B$2:$B$1800,AB$1)</f>
        <v>0</v>
      </c>
      <c r="AC124" s="117" t="n">
        <f aca="false">SUMIFS(الريسبي!$C$2:$C$1800,الريسبي!$A$2:$A$1800,$A124,الريسبي!$B$2:$B$1800,AC$1)</f>
        <v>0</v>
      </c>
      <c r="AD124" s="117" t="n">
        <f aca="false">SUMIFS(الريسبي!$C$2:$C$1800,الريسبي!$A$2:$A$1800,$A124,الريسبي!$B$2:$B$1800,AD$1)</f>
        <v>0</v>
      </c>
      <c r="AE124" s="117" t="n">
        <f aca="false">SUMIFS(الريسبي!$C$2:$C$1800,الريسبي!$A$2:$A$1800,$A124,الريسبي!$B$2:$B$1800,AE$1)</f>
        <v>0</v>
      </c>
      <c r="AF124" s="117" t="n">
        <f aca="false">SUMIFS(الريسبي!$C$2:$C$1800,الريسبي!$A$2:$A$1800,$A124,الريسبي!$B$2:$B$1800,AF$1)</f>
        <v>0</v>
      </c>
      <c r="AG124" s="117" t="n">
        <f aca="false">SUMIFS(الريسبي!$C$2:$C$1800,الريسبي!$A$2:$A$1800,$A124,الريسبي!$B$2:$B$1800,AG$1)</f>
        <v>0</v>
      </c>
      <c r="AH124" s="117" t="n">
        <f aca="false">SUMIFS(الريسبي!$C$2:$C$1800,الريسبي!$A$2:$A$1800,$A124,الريسبي!$B$2:$B$1800,AH$1)</f>
        <v>0</v>
      </c>
      <c r="AI124" s="117" t="n">
        <f aca="false">SUMIFS(الريسبي!$C$2:$C$1800,الريسبي!$A$2:$A$1800,$A124,الريسبي!$B$2:$B$1800,AI$1)</f>
        <v>0</v>
      </c>
      <c r="AJ124" s="117" t="n">
        <f aca="false">SUMIFS(الريسبي!$C$2:$C$1800,الريسبي!$A$2:$A$1800,$A124,الريسبي!$B$2:$B$1800,AJ$1)</f>
        <v>0</v>
      </c>
      <c r="AK124" s="117" t="n">
        <f aca="false">SUMIFS(الريسبي!$C$2:$C$1800,الريسبي!$A$2:$A$1800,$A124,الريسبي!$B$2:$B$1800,AK$1)</f>
        <v>0</v>
      </c>
      <c r="AL124" s="117" t="n">
        <f aca="false">SUMIFS(الريسبي!$C$2:$C$1800,الريسبي!$A$2:$A$1800,$A124,الريسبي!$B$2:$B$1800,AL$1)</f>
        <v>0</v>
      </c>
      <c r="AM124" s="117" t="n">
        <f aca="false">SUMIFS(الريسبي!$C$2:$C$1800,الريسبي!$A$2:$A$1800,$A124,الريسبي!$B$2:$B$1800,AM$1)+0.08333333333*SUMIFS(الريسبي!$C$2:$C$1800,الريسبي!$A$2:$A$1800,$A124,الريسبي!$B$2:$B$1800,"عجين كريب (مصنع بالمطعم)")+0.08333333333*SUMIFS(الريسبي!$C$2:$C$1800,الريسبي!$A$2:$A$1800,$A124,الريسبي!$B$2:$B$1800,"عجين كريب صيامي (بدون لبن)")</f>
        <v>0.08333333333</v>
      </c>
      <c r="AN124" s="117" t="n">
        <f aca="false">SUMIFS(الريسبي!$C$2:$C$1800,الريسبي!$A$2:$A$1800,$A124,الريسبي!$B$2:$B$1800,AN$1)+0.004166666667*SUMIFS(الريسبي!$C$2:$C$1800,الريسبي!$A$2:$A$1800,$A124,الريسبي!$B$2:$B$1800,"عجين كريب (مصنع بالمطعم)")+0.004166666667*SUMIFS(الريسبي!$C$2:$C$1800,الريسبي!$A$2:$A$1800,$A124,الريسبي!$B$2:$B$1800,"عجين كريب صيامي (بدون لبن)")</f>
        <v>0.004166666667</v>
      </c>
      <c r="AO124" s="117" t="n">
        <f aca="false">SUMIFS(الريسبي!$C$2:$C$1800,الريسبي!$A$2:$A$1800,$A124,الريسبي!$B$2:$B$1800,AO$1)</f>
        <v>0</v>
      </c>
      <c r="AP124" s="117" t="n">
        <f aca="false">SUMIFS(الريسبي!$C$2:$C$1800,الريسبي!$A$2:$A$1800,$A124,الريسبي!$B$2:$B$1800,AP$1)</f>
        <v>0.02</v>
      </c>
      <c r="AQ124" s="117" t="n">
        <f aca="false">SUMIFS(الريسبي!$C$2:$C$1800,الريسبي!$A$2:$A$1800,$A124,الريسبي!$B$2:$B$1800,AQ$1)+0.004166666667*SUMIFS(الريسبي!$C$2:$C$1800,الريسبي!$A$2:$A$1800,$A124,الريسبي!$B$2:$B$1800,"عجين كريب (مصنع بالمطعم)")+0.004166666667*SUMIFS(الريسبي!$C$2:$C$1800,الريسبي!$A$2:$A$1800,$A124,الريسبي!$B$2:$B$1800,"عجين كريب صيامي (بدون لبن)")</f>
        <v>0.004166666667</v>
      </c>
      <c r="AR124" s="117" t="n">
        <f aca="false">SUMIFS(الريسبي!$C$2:$C$1800,الريسبي!$A$2:$A$1800,$A124,الريسبي!$B$2:$B$1800,AR$1)</f>
        <v>0</v>
      </c>
      <c r="AS124" s="117" t="n">
        <f aca="false">SUMIFS(الريسبي!$C$2:$C$1800,الريسبي!$A$2:$A$1800,$A124,الريسبي!$B$2:$B$1800,AS$1)</f>
        <v>1</v>
      </c>
      <c r="AT124" s="117" t="n">
        <f aca="false">SUMIFS(الريسبي!$C$2:$C$1800,الريسبي!$A$2:$A$1800,$A124,الريسبي!$B$2:$B$1800,AT$1)</f>
        <v>0</v>
      </c>
      <c r="AU124" s="117" t="n">
        <f aca="false">SUMIFS(الريسبي!$C$2:$C$1800,الريسبي!$A$2:$A$1800,$A124,الريسبي!$B$2:$B$1800,AU$1)</f>
        <v>0</v>
      </c>
      <c r="AV124" s="117" t="n">
        <f aca="false">SUMIFS(الريسبي!$C$2:$C$1800,الريسبي!$A$2:$A$1800,$A124,الريسبي!$B$2:$B$1800,AV$1)</f>
        <v>0</v>
      </c>
      <c r="AW124" s="117" t="n">
        <f aca="false">SUMIFS(الريسبي!$C$2:$C$1800,الريسبي!$A$2:$A$1800,$A124,الريسبي!$B$2:$B$1800,AW$1)</f>
        <v>0</v>
      </c>
      <c r="AX124" s="117" t="n">
        <f aca="false">SUMIFS(الريسبي!$C$2:$C$1800,الريسبي!$A$2:$A$1800,$A124,الريسبي!$B$2:$B$1800,AX$1)</f>
        <v>0</v>
      </c>
      <c r="AY124" s="117" t="n">
        <f aca="false">SUMIFS(الريسبي!$C$2:$C$1800,الريسبي!$A$2:$A$1800,$A124,الريسبي!$B$2:$B$1800,AY$1)</f>
        <v>0</v>
      </c>
      <c r="AZ124" s="117" t="n">
        <f aca="false">SUMIFS(الريسبي!$C$2:$C$1800,الريسبي!$A$2:$A$1800,$A124,الريسبي!$B$2:$B$1800,AZ$1)</f>
        <v>0</v>
      </c>
      <c r="BA124" s="117" t="n">
        <f aca="false">SUMIFS(الريسبي!$C$2:$C$1800,الريسبي!$A$2:$A$1800,$A124,الريسبي!$B$2:$B$1800,BA$1)</f>
        <v>0</v>
      </c>
      <c r="BB124" s="117" t="n">
        <f aca="false">SUMIFS(الريسبي!$C$2:$C$1800,الريسبي!$A$2:$A$1800,$A124,الريسبي!$B$2:$B$1800,BB$1)</f>
        <v>0</v>
      </c>
      <c r="BC124" s="117" t="n">
        <f aca="false">SUMIFS(الريسبي!$C$2:$C$1800,الريسبي!$A$2:$A$1800,$A124,الريسبي!$B$2:$B$1800,BC$1)</f>
        <v>0.03</v>
      </c>
      <c r="BD124" s="117" t="n">
        <f aca="false">SUMIFS(الريسبي!$C$2:$C$1800,الريسبي!$A$2:$A$1800,$A124,الريسبي!$B$2:$B$1800,BD$1)</f>
        <v>0</v>
      </c>
      <c r="BE124" s="117" t="n">
        <f aca="false">SUMIFS(الريسبي!$C$2:$C$1800,الريسبي!$A$2:$A$1800,$A124,الريسبي!$B$2:$B$1800,BE$1)</f>
        <v>0</v>
      </c>
      <c r="BF124" s="117" t="n">
        <f aca="false">SUMIFS(الريسبي!$C$2:$C$1800,الريسبي!$A$2:$A$1800,$A124,الريسبي!$B$2:$B$1800,BF$1)</f>
        <v>0</v>
      </c>
      <c r="BG124" s="117" t="n">
        <f aca="false">SUMIFS(الريسبي!$C$2:$C$1800,الريسبي!$A$2:$A$1800,$A124,الريسبي!$B$2:$B$1800,BG$1)</f>
        <v>0</v>
      </c>
      <c r="BH124" s="117" t="n">
        <f aca="false">SUMIFS(الريسبي!$C$2:$C$1800,الريسبي!$A$2:$A$1800,$A124,الريسبي!$B$2:$B$1800,BH$1)</f>
        <v>0</v>
      </c>
      <c r="BI124" s="117" t="n">
        <f aca="false">SUMIFS(الريسبي!$C$2:$C$1800,الريسبي!$A$2:$A$1800,$A124,الريسبي!$B$2:$B$1800,BI$1)</f>
        <v>0</v>
      </c>
      <c r="BJ124" s="117" t="n">
        <f aca="false">SUMIFS(الريسبي!$C$2:$C$1800,الريسبي!$A$2:$A$1800,$A124,الريسبي!$B$2:$B$1800,BJ$1)</f>
        <v>0</v>
      </c>
      <c r="BK124" s="117" t="n">
        <f aca="false">SUMIFS(الريسبي!$C$2:$C$1800,الريسبي!$A$2:$A$1800,$A124,الريسبي!$B$2:$B$1800,BK$1)</f>
        <v>0</v>
      </c>
      <c r="BL124" s="117" t="n">
        <f aca="false">SUMIFS(الريسبي!$C$2:$C$1800,الريسبي!$A$2:$A$1800,$A124,الريسبي!$B$2:$B$1800,BL$1)</f>
        <v>0</v>
      </c>
      <c r="BM124" s="117" t="n">
        <f aca="false">SUMIFS(الريسبي!$C$2:$C$1800,الريسبي!$A$2:$A$1800,$A124,الريسبي!$B$2:$B$1800,BM$1)</f>
        <v>0</v>
      </c>
      <c r="BN124" s="117" t="n">
        <f aca="false">SUMIFS(الريسبي!$C$2:$C$1800,الريسبي!$A$2:$A$1800,$A124,الريسبي!$B$2:$B$1800,BN$1)</f>
        <v>0.02</v>
      </c>
      <c r="BO124" s="117" t="n">
        <f aca="false">SUMIFS(الريسبي!$C$2:$C$1800,الريسبي!$A$2:$A$1800,$A124,الريسبي!$B$2:$B$1800,BO$1)</f>
        <v>0</v>
      </c>
      <c r="BP124" s="117" t="n">
        <f aca="false">SUMIFS(الريسبي!$C$2:$C$1800,الريسبي!$A$2:$A$1800,$A124,الريسبي!$B$2:$B$1800,BP$1)</f>
        <v>0</v>
      </c>
      <c r="BQ124" s="117" t="n">
        <f aca="false">SUMIFS(الريسبي!$C$2:$C$1800,الريسبي!$A$2:$A$1800,$A124,الريسبي!$B$2:$B$1800,BQ$1)+0.17*SUMIFS(الريسبي!$C$2:$C$1800,الريسبي!$A$2:$A$1800,$A124,الريسبي!$B$2:$B$1800,"كاسترد مصنع (خليط بودر + لبن)")+0.17*SUMIFS(الريسبي!$C$2:$C$1800,الريسبي!$A$2:$A$1800,$A124,الريسبي!$B$2:$B$1800,"كاسترد مصنع صيامي (بدون لبن)")</f>
        <v>0</v>
      </c>
      <c r="BR124" s="117" t="n">
        <f aca="false">SUMIFS(الريسبي!$C$2:$C$1800,الريسبي!$A$2:$A$1800,$A124,الريسبي!$B$2:$B$1800,BR$1)</f>
        <v>0</v>
      </c>
      <c r="BS124" s="117" t="n">
        <f aca="false">SUMIFS(الريسبي!$C$2:$C$1800,الريسبي!$A$2:$A$1800,$A124,الريسبي!$B$2:$B$1800,BS$1)</f>
        <v>0</v>
      </c>
      <c r="BT124" s="117" t="n">
        <f aca="false">SUMIFS(الريسبي!$C$2:$C$1800,الريسبي!$A$2:$A$1800,$A124,الريسبي!$B$2:$B$1800,BT$1)</f>
        <v>1</v>
      </c>
      <c r="BU124" s="117" t="n">
        <f aca="false">SUMIFS(الريسبي!$C$2:$C$1800,الريسبي!$A$2:$A$1800,$A124,الريسبي!$B$2:$B$1800,BU$1)+0.4*SUMIFS(الريسبي!$C$2:$C$1800,الريسبي!$A$2:$A$1800,$A124,الريسبي!$B$2:$B$1800,"كاسترد مصنع (خليط بودر + لبن)")+0.03333333333*SUMIFS(الريسبي!$C$2:$C$1800,الريسبي!$A$2:$A$1800,$A124,الريسبي!$B$2:$B$1800,"عجين كريب (مصنع بالمطعم)")</f>
        <v>0</v>
      </c>
      <c r="BV124" s="117" t="n">
        <f aca="false">SUMIFS(الريسبي!$C$2:$C$1800,الريسبي!$A$2:$A$1800,$A124,الريسبي!$B$2:$B$1800,BV$1)</f>
        <v>0</v>
      </c>
      <c r="BW124" s="117" t="n">
        <f aca="false">SUMIFS(الريسبي!$C$2:$C$1800,الريسبي!$A$2:$A$1800,$A124,الريسبي!$B$2:$B$1800,BW$1)</f>
        <v>0</v>
      </c>
      <c r="BX124" s="117" t="n">
        <f aca="false">SUMIFS(الريسبي!$C$2:$C$1800,الريسبي!$A$2:$A$1800,$A124,الريسبي!$B$2:$B$1800,BX$1)</f>
        <v>0</v>
      </c>
      <c r="BY124" s="117" t="n">
        <f aca="false">SUMIFS(الريسبي!$C$2:$C$1800,الريسبي!$A$2:$A$1800,$A124,الريسبي!$B$2:$B$1800,BY$1)</f>
        <v>0</v>
      </c>
      <c r="BZ124" s="117" t="n">
        <f aca="false">SUMIFS(الريسبي!$C$2:$C$1800,الريسبي!$A$2:$A$1800,$A124,الريسبي!$B$2:$B$1800,BZ$1)</f>
        <v>0</v>
      </c>
      <c r="CA124" s="117" t="n">
        <f aca="false">SUMIFS(الريسبي!$C$2:$C$1800,الريسبي!$A$2:$A$1800,$A124,الريسبي!$B$2:$B$1800,CA$1)</f>
        <v>0</v>
      </c>
      <c r="CB124" s="117" t="n">
        <f aca="false">SUMIFS(الريسبي!$C$2:$C$1800,الريسبي!$A$2:$A$1800,$A124,الريسبي!$B$2:$B$1800,CB$1)</f>
        <v>0</v>
      </c>
      <c r="CC124" s="117" t="n">
        <f aca="false">SUMIFS(الريسبي!$C$2:$C$1800,الريسبي!$A$2:$A$1800,$A124,الريسبي!$B$2:$B$1800,CC$1)</f>
        <v>0</v>
      </c>
      <c r="CD124" s="117" t="n">
        <f aca="false">SUMIFS(الريسبي!$C$2:$C$1800,الريسبي!$A$2:$A$1800,$A124,الريسبي!$B$2:$B$1800,CD$1)</f>
        <v>0</v>
      </c>
      <c r="CE124" s="117" t="n">
        <f aca="false">SUMIFS(الريسبي!$C$2:$C$1800,الريسبي!$A$2:$A$1800,$A124,الريسبي!$B$2:$B$1800,CE$1)</f>
        <v>0</v>
      </c>
      <c r="CF124" s="117" t="n">
        <f aca="false">SUMIFS(الريسبي!$C$2:$C$1800,الريسبي!$A$2:$A$1800,$A124,الريسبي!$B$2:$B$1800,CF$1)</f>
        <v>0</v>
      </c>
      <c r="CG124" s="117" t="n">
        <f aca="false">SUMIFS(الريسبي!$C$2:$C$1800,الريسبي!$A$2:$A$1800,$A124,الريسبي!$B$2:$B$1800,CG$1)</f>
        <v>0</v>
      </c>
      <c r="CH124" s="117" t="n">
        <f aca="false">SUMIFS(الريسبي!$C$2:$C$1800,الريسبي!$A$2:$A$1800,$A124,الريسبي!$B$2:$B$1800,CH$1)</f>
        <v>0</v>
      </c>
      <c r="CI124" s="117" t="n">
        <f aca="false">SUMIFS(الريسبي!$C$2:$C$1800,الريسبي!$A$2:$A$1800,$A124,الريسبي!$B$2:$B$1800,CI$1)</f>
        <v>0</v>
      </c>
      <c r="CJ124" s="117" t="n">
        <f aca="false">SUMIFS(الريسبي!$C$2:$C$1800,الريسبي!$A$2:$A$1800,$A124,الريسبي!$B$2:$B$1800,CJ$1)</f>
        <v>0</v>
      </c>
      <c r="CK124" s="117" t="n">
        <f aca="false">SUMIFS(الريسبي!$C$2:$C$1800,الريسبي!$A$2:$A$1800,$A124,الريسبي!$B$2:$B$1800,CK$1)</f>
        <v>0</v>
      </c>
      <c r="CL124" s="117" t="n">
        <f aca="false">SUMIFS(الريسبي!$C$2:$C$1800,الريسبي!$A$2:$A$1800,$A124,الريسبي!$B$2:$B$1800,CL$1)</f>
        <v>0</v>
      </c>
    </row>
    <row r="125" customFormat="false" ht="15" hidden="false" customHeight="false" outlineLevel="0" collapsed="false">
      <c r="A125" s="116" t="str">
        <f aca="false">المنيو!B125</f>
        <v>كريب فراخ باربيكيو صيامي</v>
      </c>
      <c r="B125" s="117" t="n">
        <f aca="false">SUMIFS(الريسبي!$C$2:$C$1800,الريسبي!$A$2:$A$1800,$A125,الريسبي!$B$2:$B$1800,B$1)</f>
        <v>0</v>
      </c>
      <c r="C125" s="117" t="n">
        <f aca="false">SUMIFS(الريسبي!$C$2:$C$1800,الريسبي!$A$2:$A$1800,$A125,الريسبي!$B$2:$B$1800,C$1)</f>
        <v>0</v>
      </c>
      <c r="D125" s="117" t="n">
        <f aca="false">SUMIFS(الريسبي!$C$2:$C$1800,الريسبي!$A$2:$A$1800,$A125,الريسبي!$B$2:$B$1800,D$1)</f>
        <v>0</v>
      </c>
      <c r="E125" s="117" t="n">
        <f aca="false">SUMIFS(الريسبي!$C$2:$C$1800,الريسبي!$A$2:$A$1800,$A125,الريسبي!$B$2:$B$1800,E$1)</f>
        <v>0</v>
      </c>
      <c r="F125" s="117" t="n">
        <f aca="false">SUMIFS(الريسبي!$C$2:$C$1800,الريسبي!$A$2:$A$1800,$A125,الريسبي!$B$2:$B$1800,F$1)</f>
        <v>0</v>
      </c>
      <c r="G125" s="117" t="n">
        <f aca="false">SUMIFS(الريسبي!$C$2:$C$1800,الريسبي!$A$2:$A$1800,$A125,الريسبي!$B$2:$B$1800,G$1)</f>
        <v>0</v>
      </c>
      <c r="H125" s="117" t="n">
        <f aca="false">SUMIFS(الريسبي!$C$2:$C$1800,الريسبي!$A$2:$A$1800,$A125,الريسبي!$B$2:$B$1800,H$1)</f>
        <v>0</v>
      </c>
      <c r="I125" s="117" t="n">
        <f aca="false">SUMIFS(الريسبي!$C$2:$C$1800,الريسبي!$A$2:$A$1800,$A125,الريسبي!$B$2:$B$1800,I$1)</f>
        <v>0</v>
      </c>
      <c r="J125" s="117" t="n">
        <f aca="false">SUMIFS(الريسبي!$C$2:$C$1800,الريسبي!$A$2:$A$1800,$A125,الريسبي!$B$2:$B$1800,J$1)</f>
        <v>0</v>
      </c>
      <c r="K125" s="117" t="n">
        <f aca="false">SUMIFS(الريسبي!$C$2:$C$1800,الريسبي!$A$2:$A$1800,$A125,الريسبي!$B$2:$B$1800,K$1)</f>
        <v>0</v>
      </c>
      <c r="L125" s="117" t="n">
        <f aca="false">SUMIFS(الريسبي!$C$2:$C$1800,الريسبي!$A$2:$A$1800,$A125,الريسبي!$B$2:$B$1800,L$1)</f>
        <v>0</v>
      </c>
      <c r="M125" s="117" t="n">
        <f aca="false">SUMIFS(الريسبي!$C$2:$C$1800,الريسبي!$A$2:$A$1800,$A125,الريسبي!$B$2:$B$1800,M$1)</f>
        <v>0</v>
      </c>
      <c r="N125" s="117" t="n">
        <f aca="false">SUMIFS(الريسبي!$C$2:$C$1800,الريسبي!$A$2:$A$1800,$A125,الريسبي!$B$2:$B$1800,N$1)</f>
        <v>0</v>
      </c>
      <c r="O125" s="117" t="n">
        <f aca="false">SUMIFS(الريسبي!$C$2:$C$1800,الريسبي!$A$2:$A$1800,$A125,الريسبي!$B$2:$B$1800,O$1)</f>
        <v>0</v>
      </c>
      <c r="P125" s="117" t="n">
        <f aca="false">SUMIFS(الريسبي!$C$2:$C$1800,الريسبي!$A$2:$A$1800,$A125,الريسبي!$B$2:$B$1800,P$1)</f>
        <v>0</v>
      </c>
      <c r="Q125" s="117" t="n">
        <f aca="false">SUMIFS(الريسبي!$C$2:$C$1800,الريسبي!$A$2:$A$1800,$A125,الريسبي!$B$2:$B$1800,Q$1)</f>
        <v>0</v>
      </c>
      <c r="R125" s="117" t="n">
        <f aca="false">SUMIFS(الريسبي!$C$2:$C$1800,الريسبي!$A$2:$A$1800,$A125,الريسبي!$B$2:$B$1800,R$1)</f>
        <v>0</v>
      </c>
      <c r="S125" s="117" t="n">
        <f aca="false">SUMIFS(الريسبي!$C$2:$C$1800,الريسبي!$A$2:$A$1800,$A125,الريسبي!$B$2:$B$1800,S$1)</f>
        <v>0</v>
      </c>
      <c r="T125" s="117" t="n">
        <f aca="false">SUMIFS(الريسبي!$C$2:$C$1800,الريسبي!$A$2:$A$1800,$A125,الريسبي!$B$2:$B$1800,T$1)</f>
        <v>0</v>
      </c>
      <c r="U125" s="117" t="n">
        <f aca="false">SUMIFS(الريسبي!$C$2:$C$1800,الريسبي!$A$2:$A$1800,$A125,الريسبي!$B$2:$B$1800,U$1)</f>
        <v>0</v>
      </c>
      <c r="V125" s="117" t="n">
        <f aca="false">SUMIFS(الريسبي!$C$2:$C$1800,الريسبي!$A$2:$A$1800,$A125,الريسبي!$B$2:$B$1800,V$1)+1.5*(SUMIFS(الريسبي!$C$2:$C$1800,الريسبي!$A$2:$A$1800,$A125,الريسبي!$B$2:$B$1800,"برسيون موتزريلا بيتزا كبير"))</f>
        <v>0</v>
      </c>
      <c r="W125" s="117" t="n">
        <f aca="false">0</f>
        <v>0</v>
      </c>
      <c r="X125" s="117" t="n">
        <f aca="false">SUMIFS(الريسبي!$C$2:$C$1800,الريسبي!$A$2:$A$1800,$A125,الريسبي!$B$2:$B$1800,X$1)+1.5*(SUMIFS(الريسبي!$C$2:$C$1800,الريسبي!$A$2:$A$1800,$A125,الريسبي!$B$2:$B$1800,"برسيون موتزريلا فطير كبير"))</f>
        <v>1</v>
      </c>
      <c r="Y125" s="117" t="n">
        <f aca="false">0</f>
        <v>0</v>
      </c>
      <c r="Z125" s="117" t="n">
        <f aca="false">SUMIFS(الريسبي!$C$2:$C$1800,الريسبي!$A$2:$A$1800,$A125,الريسبي!$B$2:$B$1800,Z$1)</f>
        <v>0</v>
      </c>
      <c r="AA125" s="117" t="n">
        <f aca="false">SUMIFS(الريسبي!$C$2:$C$1800,الريسبي!$A$2:$A$1800,$A125,الريسبي!$B$2:$B$1800,AA$1)</f>
        <v>0</v>
      </c>
      <c r="AB125" s="117" t="n">
        <f aca="false">SUMIFS(الريسبي!$C$2:$C$1800,الريسبي!$A$2:$A$1800,$A125,الريسبي!$B$2:$B$1800,AB$1)</f>
        <v>0</v>
      </c>
      <c r="AC125" s="117" t="n">
        <f aca="false">SUMIFS(الريسبي!$C$2:$C$1800,الريسبي!$A$2:$A$1800,$A125,الريسبي!$B$2:$B$1800,AC$1)</f>
        <v>0</v>
      </c>
      <c r="AD125" s="117" t="n">
        <f aca="false">SUMIFS(الريسبي!$C$2:$C$1800,الريسبي!$A$2:$A$1800,$A125,الريسبي!$B$2:$B$1800,AD$1)</f>
        <v>0</v>
      </c>
      <c r="AE125" s="117" t="n">
        <f aca="false">SUMIFS(الريسبي!$C$2:$C$1800,الريسبي!$A$2:$A$1800,$A125,الريسبي!$B$2:$B$1800,AE$1)</f>
        <v>0</v>
      </c>
      <c r="AF125" s="117" t="n">
        <f aca="false">SUMIFS(الريسبي!$C$2:$C$1800,الريسبي!$A$2:$A$1800,$A125,الريسبي!$B$2:$B$1800,AF$1)</f>
        <v>0</v>
      </c>
      <c r="AG125" s="117" t="n">
        <f aca="false">SUMIFS(الريسبي!$C$2:$C$1800,الريسبي!$A$2:$A$1800,$A125,الريسبي!$B$2:$B$1800,AG$1)</f>
        <v>0</v>
      </c>
      <c r="AH125" s="117" t="n">
        <f aca="false">SUMIFS(الريسبي!$C$2:$C$1800,الريسبي!$A$2:$A$1800,$A125,الريسبي!$B$2:$B$1800,AH$1)</f>
        <v>0</v>
      </c>
      <c r="AI125" s="117" t="n">
        <f aca="false">SUMIFS(الريسبي!$C$2:$C$1800,الريسبي!$A$2:$A$1800,$A125,الريسبي!$B$2:$B$1800,AI$1)</f>
        <v>0</v>
      </c>
      <c r="AJ125" s="117" t="n">
        <f aca="false">SUMIFS(الريسبي!$C$2:$C$1800,الريسبي!$A$2:$A$1800,$A125,الريسبي!$B$2:$B$1800,AJ$1)</f>
        <v>0</v>
      </c>
      <c r="AK125" s="117" t="n">
        <f aca="false">SUMIFS(الريسبي!$C$2:$C$1800,الريسبي!$A$2:$A$1800,$A125,الريسبي!$B$2:$B$1800,AK$1)</f>
        <v>0</v>
      </c>
      <c r="AL125" s="117" t="n">
        <f aca="false">SUMIFS(الريسبي!$C$2:$C$1800,الريسبي!$A$2:$A$1800,$A125,الريسبي!$B$2:$B$1800,AL$1)</f>
        <v>0</v>
      </c>
      <c r="AM125" s="117" t="n">
        <f aca="false">SUMIFS(الريسبي!$C$2:$C$1800,الريسبي!$A$2:$A$1800,$A125,الريسبي!$B$2:$B$1800,AM$1)+0.08333333333*SUMIFS(الريسبي!$C$2:$C$1800,الريسبي!$A$2:$A$1800,$A125,الريسبي!$B$2:$B$1800,"عجين كريب (مصنع بالمطعم)")+0.08333333333*SUMIFS(الريسبي!$C$2:$C$1800,الريسبي!$A$2:$A$1800,$A125,الريسبي!$B$2:$B$1800,"عجين كريب صيامي (بدون لبن)")</f>
        <v>0.08333333333</v>
      </c>
      <c r="AN125" s="117" t="n">
        <f aca="false">SUMIFS(الريسبي!$C$2:$C$1800,الريسبي!$A$2:$A$1800,$A125,الريسبي!$B$2:$B$1800,AN$1)+0.004166666667*SUMIFS(الريسبي!$C$2:$C$1800,الريسبي!$A$2:$A$1800,$A125,الريسبي!$B$2:$B$1800,"عجين كريب (مصنع بالمطعم)")+0.004166666667*SUMIFS(الريسبي!$C$2:$C$1800,الريسبي!$A$2:$A$1800,$A125,الريسبي!$B$2:$B$1800,"عجين كريب صيامي (بدون لبن)")</f>
        <v>0.004166666667</v>
      </c>
      <c r="AO125" s="117" t="n">
        <f aca="false">SUMIFS(الريسبي!$C$2:$C$1800,الريسبي!$A$2:$A$1800,$A125,الريسبي!$B$2:$B$1800,AO$1)</f>
        <v>0</v>
      </c>
      <c r="AP125" s="117" t="n">
        <f aca="false">SUMIFS(الريسبي!$C$2:$C$1800,الريسبي!$A$2:$A$1800,$A125,الريسبي!$B$2:$B$1800,AP$1)</f>
        <v>0.02</v>
      </c>
      <c r="AQ125" s="117" t="n">
        <f aca="false">SUMIFS(الريسبي!$C$2:$C$1800,الريسبي!$A$2:$A$1800,$A125,الريسبي!$B$2:$B$1800,AQ$1)+0.004166666667*SUMIFS(الريسبي!$C$2:$C$1800,الريسبي!$A$2:$A$1800,$A125,الريسبي!$B$2:$B$1800,"عجين كريب (مصنع بالمطعم)")+0.004166666667*SUMIFS(الريسبي!$C$2:$C$1800,الريسبي!$A$2:$A$1800,$A125,الريسبي!$B$2:$B$1800,"عجين كريب صيامي (بدون لبن)")</f>
        <v>0.004166666667</v>
      </c>
      <c r="AR125" s="117" t="n">
        <f aca="false">SUMIFS(الريسبي!$C$2:$C$1800,الريسبي!$A$2:$A$1800,$A125,الريسبي!$B$2:$B$1800,AR$1)</f>
        <v>0</v>
      </c>
      <c r="AS125" s="117" t="n">
        <f aca="false">SUMIFS(الريسبي!$C$2:$C$1800,الريسبي!$A$2:$A$1800,$A125,الريسبي!$B$2:$B$1800,AS$1)</f>
        <v>1</v>
      </c>
      <c r="AT125" s="117" t="n">
        <f aca="false">SUMIFS(الريسبي!$C$2:$C$1800,الريسبي!$A$2:$A$1800,$A125,الريسبي!$B$2:$B$1800,AT$1)</f>
        <v>0</v>
      </c>
      <c r="AU125" s="117" t="n">
        <f aca="false">SUMIFS(الريسبي!$C$2:$C$1800,الريسبي!$A$2:$A$1800,$A125,الريسبي!$B$2:$B$1800,AU$1)</f>
        <v>0</v>
      </c>
      <c r="AV125" s="117" t="n">
        <f aca="false">SUMIFS(الريسبي!$C$2:$C$1800,الريسبي!$A$2:$A$1800,$A125,الريسبي!$B$2:$B$1800,AV$1)</f>
        <v>0</v>
      </c>
      <c r="AW125" s="117" t="n">
        <f aca="false">SUMIFS(الريسبي!$C$2:$C$1800,الريسبي!$A$2:$A$1800,$A125,الريسبي!$B$2:$B$1800,AW$1)</f>
        <v>0</v>
      </c>
      <c r="AX125" s="117" t="n">
        <f aca="false">SUMIFS(الريسبي!$C$2:$C$1800,الريسبي!$A$2:$A$1800,$A125,الريسبي!$B$2:$B$1800,AX$1)</f>
        <v>0</v>
      </c>
      <c r="AY125" s="117" t="n">
        <f aca="false">SUMIFS(الريسبي!$C$2:$C$1800,الريسبي!$A$2:$A$1800,$A125,الريسبي!$B$2:$B$1800,AY$1)</f>
        <v>0.1</v>
      </c>
      <c r="AZ125" s="117" t="n">
        <f aca="false">SUMIFS(الريسبي!$C$2:$C$1800,الريسبي!$A$2:$A$1800,$A125,الريسبي!$B$2:$B$1800,AZ$1)</f>
        <v>0</v>
      </c>
      <c r="BA125" s="117" t="n">
        <f aca="false">SUMIFS(الريسبي!$C$2:$C$1800,الريسبي!$A$2:$A$1800,$A125,الريسبي!$B$2:$B$1800,BA$1)</f>
        <v>0</v>
      </c>
      <c r="BB125" s="117" t="n">
        <f aca="false">SUMIFS(الريسبي!$C$2:$C$1800,الريسبي!$A$2:$A$1800,$A125,الريسبي!$B$2:$B$1800,BB$1)</f>
        <v>0</v>
      </c>
      <c r="BC125" s="117" t="n">
        <f aca="false">SUMIFS(الريسبي!$C$2:$C$1800,الريسبي!$A$2:$A$1800,$A125,الريسبي!$B$2:$B$1800,BC$1)</f>
        <v>0.03</v>
      </c>
      <c r="BD125" s="117" t="n">
        <f aca="false">SUMIFS(الريسبي!$C$2:$C$1800,الريسبي!$A$2:$A$1800,$A125,الريسبي!$B$2:$B$1800,BD$1)</f>
        <v>0</v>
      </c>
      <c r="BE125" s="117" t="n">
        <f aca="false">SUMIFS(الريسبي!$C$2:$C$1800,الريسبي!$A$2:$A$1800,$A125,الريسبي!$B$2:$B$1800,BE$1)</f>
        <v>0</v>
      </c>
      <c r="BF125" s="117" t="n">
        <f aca="false">SUMIFS(الريسبي!$C$2:$C$1800,الريسبي!$A$2:$A$1800,$A125,الريسبي!$B$2:$B$1800,BF$1)</f>
        <v>0</v>
      </c>
      <c r="BG125" s="117" t="n">
        <f aca="false">SUMIFS(الريسبي!$C$2:$C$1800,الريسبي!$A$2:$A$1800,$A125,الريسبي!$B$2:$B$1800,BG$1)</f>
        <v>0</v>
      </c>
      <c r="BH125" s="117" t="n">
        <f aca="false">SUMIFS(الريسبي!$C$2:$C$1800,الريسبي!$A$2:$A$1800,$A125,الريسبي!$B$2:$B$1800,BH$1)</f>
        <v>0</v>
      </c>
      <c r="BI125" s="117" t="n">
        <f aca="false">SUMIFS(الريسبي!$C$2:$C$1800,الريسبي!$A$2:$A$1800,$A125,الريسبي!$B$2:$B$1800,BI$1)</f>
        <v>0</v>
      </c>
      <c r="BJ125" s="117" t="n">
        <f aca="false">SUMIFS(الريسبي!$C$2:$C$1800,الريسبي!$A$2:$A$1800,$A125,الريسبي!$B$2:$B$1800,BJ$1)</f>
        <v>0</v>
      </c>
      <c r="BK125" s="117" t="n">
        <f aca="false">SUMIFS(الريسبي!$C$2:$C$1800,الريسبي!$A$2:$A$1800,$A125,الريسبي!$B$2:$B$1800,BK$1)</f>
        <v>0</v>
      </c>
      <c r="BL125" s="117" t="n">
        <f aca="false">SUMIFS(الريسبي!$C$2:$C$1800,الريسبي!$A$2:$A$1800,$A125,الريسبي!$B$2:$B$1800,BL$1)</f>
        <v>0</v>
      </c>
      <c r="BM125" s="117" t="n">
        <f aca="false">SUMIFS(الريسبي!$C$2:$C$1800,الريسبي!$A$2:$A$1800,$A125,الريسبي!$B$2:$B$1800,BM$1)</f>
        <v>0.14</v>
      </c>
      <c r="BN125" s="117" t="n">
        <f aca="false">SUMIFS(الريسبي!$C$2:$C$1800,الريسبي!$A$2:$A$1800,$A125,الريسبي!$B$2:$B$1800,BN$1)</f>
        <v>0.02</v>
      </c>
      <c r="BO125" s="117" t="n">
        <f aca="false">SUMIFS(الريسبي!$C$2:$C$1800,الريسبي!$A$2:$A$1800,$A125,الريسبي!$B$2:$B$1800,BO$1)</f>
        <v>0</v>
      </c>
      <c r="BP125" s="117" t="n">
        <f aca="false">SUMIFS(الريسبي!$C$2:$C$1800,الريسبي!$A$2:$A$1800,$A125,الريسبي!$B$2:$B$1800,BP$1)</f>
        <v>0</v>
      </c>
      <c r="BQ125" s="117" t="n">
        <f aca="false">SUMIFS(الريسبي!$C$2:$C$1800,الريسبي!$A$2:$A$1800,$A125,الريسبي!$B$2:$B$1800,BQ$1)+0.17*SUMIFS(الريسبي!$C$2:$C$1800,الريسبي!$A$2:$A$1800,$A125,الريسبي!$B$2:$B$1800,"كاسترد مصنع (خليط بودر + لبن)")+0.17*SUMIFS(الريسبي!$C$2:$C$1800,الريسبي!$A$2:$A$1800,$A125,الريسبي!$B$2:$B$1800,"كاسترد مصنع صيامي (بدون لبن)")</f>
        <v>0</v>
      </c>
      <c r="BR125" s="117" t="n">
        <f aca="false">SUMIFS(الريسبي!$C$2:$C$1800,الريسبي!$A$2:$A$1800,$A125,الريسبي!$B$2:$B$1800,BR$1)</f>
        <v>0</v>
      </c>
      <c r="BS125" s="117" t="n">
        <f aca="false">SUMIFS(الريسبي!$C$2:$C$1800,الريسبي!$A$2:$A$1800,$A125,الريسبي!$B$2:$B$1800,BS$1)</f>
        <v>0</v>
      </c>
      <c r="BT125" s="117" t="n">
        <f aca="false">SUMIFS(الريسبي!$C$2:$C$1800,الريسبي!$A$2:$A$1800,$A125,الريسبي!$B$2:$B$1800,BT$1)</f>
        <v>1</v>
      </c>
      <c r="BU125" s="117" t="n">
        <f aca="false">SUMIFS(الريسبي!$C$2:$C$1800,الريسبي!$A$2:$A$1800,$A125,الريسبي!$B$2:$B$1800,BU$1)+0.4*SUMIFS(الريسبي!$C$2:$C$1800,الريسبي!$A$2:$A$1800,$A125,الريسبي!$B$2:$B$1800,"كاسترد مصنع (خليط بودر + لبن)")+0.03333333333*SUMIFS(الريسبي!$C$2:$C$1800,الريسبي!$A$2:$A$1800,$A125,الريسبي!$B$2:$B$1800,"عجين كريب (مصنع بالمطعم)")</f>
        <v>0</v>
      </c>
      <c r="BV125" s="117" t="n">
        <f aca="false">SUMIFS(الريسبي!$C$2:$C$1800,الريسبي!$A$2:$A$1800,$A125,الريسبي!$B$2:$B$1800,BV$1)</f>
        <v>0</v>
      </c>
      <c r="BW125" s="117" t="n">
        <f aca="false">SUMIFS(الريسبي!$C$2:$C$1800,الريسبي!$A$2:$A$1800,$A125,الريسبي!$B$2:$B$1800,BW$1)</f>
        <v>0</v>
      </c>
      <c r="BX125" s="117" t="n">
        <f aca="false">SUMIFS(الريسبي!$C$2:$C$1800,الريسبي!$A$2:$A$1800,$A125,الريسبي!$B$2:$B$1800,BX$1)</f>
        <v>0</v>
      </c>
      <c r="BY125" s="117" t="n">
        <f aca="false">SUMIFS(الريسبي!$C$2:$C$1800,الريسبي!$A$2:$A$1800,$A125,الريسبي!$B$2:$B$1800,BY$1)</f>
        <v>0</v>
      </c>
      <c r="BZ125" s="117" t="n">
        <f aca="false">SUMIFS(الريسبي!$C$2:$C$1800,الريسبي!$A$2:$A$1800,$A125,الريسبي!$B$2:$B$1800,BZ$1)</f>
        <v>0</v>
      </c>
      <c r="CA125" s="117" t="n">
        <f aca="false">SUMIFS(الريسبي!$C$2:$C$1800,الريسبي!$A$2:$A$1800,$A125,الريسبي!$B$2:$B$1800,CA$1)</f>
        <v>0</v>
      </c>
      <c r="CB125" s="117" t="n">
        <f aca="false">SUMIFS(الريسبي!$C$2:$C$1800,الريسبي!$A$2:$A$1800,$A125,الريسبي!$B$2:$B$1800,CB$1)</f>
        <v>0</v>
      </c>
      <c r="CC125" s="117" t="n">
        <f aca="false">SUMIFS(الريسبي!$C$2:$C$1800,الريسبي!$A$2:$A$1800,$A125,الريسبي!$B$2:$B$1800,CC$1)</f>
        <v>0</v>
      </c>
      <c r="CD125" s="117" t="n">
        <f aca="false">SUMIFS(الريسبي!$C$2:$C$1800,الريسبي!$A$2:$A$1800,$A125,الريسبي!$B$2:$B$1800,CD$1)</f>
        <v>0</v>
      </c>
      <c r="CE125" s="117" t="n">
        <f aca="false">SUMIFS(الريسبي!$C$2:$C$1800,الريسبي!$A$2:$A$1800,$A125,الريسبي!$B$2:$B$1800,CE$1)</f>
        <v>0</v>
      </c>
      <c r="CF125" s="117" t="n">
        <f aca="false">SUMIFS(الريسبي!$C$2:$C$1800,الريسبي!$A$2:$A$1800,$A125,الريسبي!$B$2:$B$1800,CF$1)</f>
        <v>0</v>
      </c>
      <c r="CG125" s="117" t="n">
        <f aca="false">SUMIFS(الريسبي!$C$2:$C$1800,الريسبي!$A$2:$A$1800,$A125,الريسبي!$B$2:$B$1800,CG$1)</f>
        <v>0</v>
      </c>
      <c r="CH125" s="117" t="n">
        <f aca="false">SUMIFS(الريسبي!$C$2:$C$1800,الريسبي!$A$2:$A$1800,$A125,الريسبي!$B$2:$B$1800,CH$1)</f>
        <v>0</v>
      </c>
      <c r="CI125" s="117" t="n">
        <f aca="false">SUMIFS(الريسبي!$C$2:$C$1800,الريسبي!$A$2:$A$1800,$A125,الريسبي!$B$2:$B$1800,CI$1)</f>
        <v>0</v>
      </c>
      <c r="CJ125" s="117" t="n">
        <f aca="false">SUMIFS(الريسبي!$C$2:$C$1800,الريسبي!$A$2:$A$1800,$A125,الريسبي!$B$2:$B$1800,CJ$1)</f>
        <v>0</v>
      </c>
      <c r="CK125" s="117" t="n">
        <f aca="false">SUMIFS(الريسبي!$C$2:$C$1800,الريسبي!$A$2:$A$1800,$A125,الريسبي!$B$2:$B$1800,CK$1)</f>
        <v>0</v>
      </c>
      <c r="CL125" s="117" t="n">
        <f aca="false">SUMIFS(الريسبي!$C$2:$C$1800,الريسبي!$A$2:$A$1800,$A125,الريسبي!$B$2:$B$1800,CL$1)</f>
        <v>0</v>
      </c>
    </row>
    <row r="126" customFormat="false" ht="15" hidden="false" customHeight="false" outlineLevel="0" collapsed="false">
      <c r="A126" s="116" t="str">
        <f aca="false">المنيو!B126</f>
        <v>كريب سوسيس / شاورما لحم فراخ صيامي</v>
      </c>
      <c r="B126" s="117" t="n">
        <f aca="false">SUMIFS(الريسبي!$C$2:$C$1800,الريسبي!$A$2:$A$1800,$A126,الريسبي!$B$2:$B$1800,B$1)</f>
        <v>0</v>
      </c>
      <c r="C126" s="117" t="n">
        <f aca="false">SUMIFS(الريسبي!$C$2:$C$1800,الريسبي!$A$2:$A$1800,$A126,الريسبي!$B$2:$B$1800,C$1)</f>
        <v>0</v>
      </c>
      <c r="D126" s="117" t="n">
        <f aca="false">SUMIFS(الريسبي!$C$2:$C$1800,الريسبي!$A$2:$A$1800,$A126,الريسبي!$B$2:$B$1800,D$1)</f>
        <v>0</v>
      </c>
      <c r="E126" s="117" t="n">
        <f aca="false">SUMIFS(الريسبي!$C$2:$C$1800,الريسبي!$A$2:$A$1800,$A126,الريسبي!$B$2:$B$1800,E$1)</f>
        <v>0</v>
      </c>
      <c r="F126" s="117" t="n">
        <f aca="false">SUMIFS(الريسبي!$C$2:$C$1800,الريسبي!$A$2:$A$1800,$A126,الريسبي!$B$2:$B$1800,F$1)</f>
        <v>0</v>
      </c>
      <c r="G126" s="117" t="n">
        <f aca="false">SUMIFS(الريسبي!$C$2:$C$1800,الريسبي!$A$2:$A$1800,$A126,الريسبي!$B$2:$B$1800,G$1)</f>
        <v>0</v>
      </c>
      <c r="H126" s="117" t="n">
        <f aca="false">SUMIFS(الريسبي!$C$2:$C$1800,الريسبي!$A$2:$A$1800,$A126,الريسبي!$B$2:$B$1800,H$1)</f>
        <v>0</v>
      </c>
      <c r="I126" s="117" t="n">
        <f aca="false">SUMIFS(الريسبي!$C$2:$C$1800,الريسبي!$A$2:$A$1800,$A126,الريسبي!$B$2:$B$1800,I$1)</f>
        <v>0</v>
      </c>
      <c r="J126" s="117" t="n">
        <f aca="false">SUMIFS(الريسبي!$C$2:$C$1800,الريسبي!$A$2:$A$1800,$A126,الريسبي!$B$2:$B$1800,J$1)</f>
        <v>0</v>
      </c>
      <c r="K126" s="117" t="n">
        <f aca="false">SUMIFS(الريسبي!$C$2:$C$1800,الريسبي!$A$2:$A$1800,$A126,الريسبي!$B$2:$B$1800,K$1)</f>
        <v>0</v>
      </c>
      <c r="L126" s="117" t="n">
        <f aca="false">SUMIFS(الريسبي!$C$2:$C$1800,الريسبي!$A$2:$A$1800,$A126,الريسبي!$B$2:$B$1800,L$1)</f>
        <v>0</v>
      </c>
      <c r="M126" s="117" t="n">
        <f aca="false">SUMIFS(الريسبي!$C$2:$C$1800,الريسبي!$A$2:$A$1800,$A126,الريسبي!$B$2:$B$1800,M$1)</f>
        <v>0</v>
      </c>
      <c r="N126" s="117" t="n">
        <f aca="false">SUMIFS(الريسبي!$C$2:$C$1800,الريسبي!$A$2:$A$1800,$A126,الريسبي!$B$2:$B$1800,N$1)</f>
        <v>0</v>
      </c>
      <c r="O126" s="117" t="n">
        <f aca="false">SUMIFS(الريسبي!$C$2:$C$1800,الريسبي!$A$2:$A$1800,$A126,الريسبي!$B$2:$B$1800,O$1)</f>
        <v>0</v>
      </c>
      <c r="P126" s="117" t="n">
        <f aca="false">SUMIFS(الريسبي!$C$2:$C$1800,الريسبي!$A$2:$A$1800,$A126,الريسبي!$B$2:$B$1800,P$1)</f>
        <v>0</v>
      </c>
      <c r="Q126" s="117" t="n">
        <f aca="false">SUMIFS(الريسبي!$C$2:$C$1800,الريسبي!$A$2:$A$1800,$A126,الريسبي!$B$2:$B$1800,Q$1)</f>
        <v>0</v>
      </c>
      <c r="R126" s="117" t="n">
        <f aca="false">SUMIFS(الريسبي!$C$2:$C$1800,الريسبي!$A$2:$A$1800,$A126,الريسبي!$B$2:$B$1800,R$1)</f>
        <v>0</v>
      </c>
      <c r="S126" s="117" t="n">
        <f aca="false">SUMIFS(الريسبي!$C$2:$C$1800,الريسبي!$A$2:$A$1800,$A126,الريسبي!$B$2:$B$1800,S$1)</f>
        <v>0</v>
      </c>
      <c r="T126" s="117" t="n">
        <f aca="false">SUMIFS(الريسبي!$C$2:$C$1800,الريسبي!$A$2:$A$1800,$A126,الريسبي!$B$2:$B$1800,T$1)</f>
        <v>0</v>
      </c>
      <c r="U126" s="117" t="n">
        <f aca="false">SUMIFS(الريسبي!$C$2:$C$1800,الريسبي!$A$2:$A$1800,$A126,الريسبي!$B$2:$B$1800,U$1)</f>
        <v>0</v>
      </c>
      <c r="V126" s="117" t="n">
        <f aca="false">SUMIFS(الريسبي!$C$2:$C$1800,الريسبي!$A$2:$A$1800,$A126,الريسبي!$B$2:$B$1800,V$1)+1.5*(SUMIFS(الريسبي!$C$2:$C$1800,الريسبي!$A$2:$A$1800,$A126,الريسبي!$B$2:$B$1800,"برسيون موتزريلا بيتزا كبير"))</f>
        <v>0</v>
      </c>
      <c r="W126" s="117" t="n">
        <f aca="false">0</f>
        <v>0</v>
      </c>
      <c r="X126" s="117" t="n">
        <f aca="false">SUMIFS(الريسبي!$C$2:$C$1800,الريسبي!$A$2:$A$1800,$A126,الريسبي!$B$2:$B$1800,X$1)+1.5*(SUMIFS(الريسبي!$C$2:$C$1800,الريسبي!$A$2:$A$1800,$A126,الريسبي!$B$2:$B$1800,"برسيون موتزريلا فطير كبير"))</f>
        <v>1</v>
      </c>
      <c r="Y126" s="117" t="n">
        <f aca="false">0</f>
        <v>0</v>
      </c>
      <c r="Z126" s="117" t="n">
        <f aca="false">SUMIFS(الريسبي!$C$2:$C$1800,الريسبي!$A$2:$A$1800,$A126,الريسبي!$B$2:$B$1800,Z$1)</f>
        <v>0</v>
      </c>
      <c r="AA126" s="117" t="n">
        <f aca="false">SUMIFS(الريسبي!$C$2:$C$1800,الريسبي!$A$2:$A$1800,$A126,الريسبي!$B$2:$B$1800,AA$1)</f>
        <v>0</v>
      </c>
      <c r="AB126" s="117" t="n">
        <f aca="false">SUMIFS(الريسبي!$C$2:$C$1800,الريسبي!$A$2:$A$1800,$A126,الريسبي!$B$2:$B$1800,AB$1)</f>
        <v>0</v>
      </c>
      <c r="AC126" s="117" t="n">
        <f aca="false">SUMIFS(الريسبي!$C$2:$C$1800,الريسبي!$A$2:$A$1800,$A126,الريسبي!$B$2:$B$1800,AC$1)</f>
        <v>0</v>
      </c>
      <c r="AD126" s="117" t="n">
        <f aca="false">SUMIFS(الريسبي!$C$2:$C$1800,الريسبي!$A$2:$A$1800,$A126,الريسبي!$B$2:$B$1800,AD$1)</f>
        <v>0</v>
      </c>
      <c r="AE126" s="117" t="n">
        <f aca="false">SUMIFS(الريسبي!$C$2:$C$1800,الريسبي!$A$2:$A$1800,$A126,الريسبي!$B$2:$B$1800,AE$1)</f>
        <v>0</v>
      </c>
      <c r="AF126" s="117" t="n">
        <f aca="false">SUMIFS(الريسبي!$C$2:$C$1800,الريسبي!$A$2:$A$1800,$A126,الريسبي!$B$2:$B$1800,AF$1)</f>
        <v>0</v>
      </c>
      <c r="AG126" s="117" t="n">
        <f aca="false">SUMIFS(الريسبي!$C$2:$C$1800,الريسبي!$A$2:$A$1800,$A126,الريسبي!$B$2:$B$1800,AG$1)</f>
        <v>0</v>
      </c>
      <c r="AH126" s="117" t="n">
        <f aca="false">SUMIFS(الريسبي!$C$2:$C$1800,الريسبي!$A$2:$A$1800,$A126,الريسبي!$B$2:$B$1800,AH$1)</f>
        <v>0</v>
      </c>
      <c r="AI126" s="117" t="n">
        <f aca="false">SUMIFS(الريسبي!$C$2:$C$1800,الريسبي!$A$2:$A$1800,$A126,الريسبي!$B$2:$B$1800,AI$1)</f>
        <v>0</v>
      </c>
      <c r="AJ126" s="117" t="n">
        <f aca="false">SUMIFS(الريسبي!$C$2:$C$1800,الريسبي!$A$2:$A$1800,$A126,الريسبي!$B$2:$B$1800,AJ$1)</f>
        <v>0</v>
      </c>
      <c r="AK126" s="117" t="n">
        <f aca="false">SUMIFS(الريسبي!$C$2:$C$1800,الريسبي!$A$2:$A$1800,$A126,الريسبي!$B$2:$B$1800,AK$1)</f>
        <v>0</v>
      </c>
      <c r="AL126" s="117" t="n">
        <f aca="false">SUMIFS(الريسبي!$C$2:$C$1800,الريسبي!$A$2:$A$1800,$A126,الريسبي!$B$2:$B$1800,AL$1)</f>
        <v>0</v>
      </c>
      <c r="AM126" s="117" t="n">
        <f aca="false">SUMIFS(الريسبي!$C$2:$C$1800,الريسبي!$A$2:$A$1800,$A126,الريسبي!$B$2:$B$1800,AM$1)+0.08333333333*SUMIFS(الريسبي!$C$2:$C$1800,الريسبي!$A$2:$A$1800,$A126,الريسبي!$B$2:$B$1800,"عجين كريب (مصنع بالمطعم)")+0.08333333333*SUMIFS(الريسبي!$C$2:$C$1800,الريسبي!$A$2:$A$1800,$A126,الريسبي!$B$2:$B$1800,"عجين كريب صيامي (بدون لبن)")</f>
        <v>0.08333333333</v>
      </c>
      <c r="AN126" s="117" t="n">
        <f aca="false">SUMIFS(الريسبي!$C$2:$C$1800,الريسبي!$A$2:$A$1800,$A126,الريسبي!$B$2:$B$1800,AN$1)+0.004166666667*SUMIFS(الريسبي!$C$2:$C$1800,الريسبي!$A$2:$A$1800,$A126,الريسبي!$B$2:$B$1800,"عجين كريب (مصنع بالمطعم)")+0.004166666667*SUMIFS(الريسبي!$C$2:$C$1800,الريسبي!$A$2:$A$1800,$A126,الريسبي!$B$2:$B$1800,"عجين كريب صيامي (بدون لبن)")</f>
        <v>0.004166666667</v>
      </c>
      <c r="AO126" s="117" t="n">
        <f aca="false">SUMIFS(الريسبي!$C$2:$C$1800,الريسبي!$A$2:$A$1800,$A126,الريسبي!$B$2:$B$1800,AO$1)</f>
        <v>0</v>
      </c>
      <c r="AP126" s="117" t="n">
        <f aca="false">SUMIFS(الريسبي!$C$2:$C$1800,الريسبي!$A$2:$A$1800,$A126,الريسبي!$B$2:$B$1800,AP$1)</f>
        <v>0.02</v>
      </c>
      <c r="AQ126" s="117" t="n">
        <f aca="false">SUMIFS(الريسبي!$C$2:$C$1800,الريسبي!$A$2:$A$1800,$A126,الريسبي!$B$2:$B$1800,AQ$1)+0.004166666667*SUMIFS(الريسبي!$C$2:$C$1800,الريسبي!$A$2:$A$1800,$A126,الريسبي!$B$2:$B$1800,"عجين كريب (مصنع بالمطعم)")+0.004166666667*SUMIFS(الريسبي!$C$2:$C$1800,الريسبي!$A$2:$A$1800,$A126,الريسبي!$B$2:$B$1800,"عجين كريب صيامي (بدون لبن)")</f>
        <v>0.004166666667</v>
      </c>
      <c r="AR126" s="117" t="n">
        <f aca="false">SUMIFS(الريسبي!$C$2:$C$1800,الريسبي!$A$2:$A$1800,$A126,الريسبي!$B$2:$B$1800,AR$1)</f>
        <v>0</v>
      </c>
      <c r="AS126" s="117" t="n">
        <f aca="false">SUMIFS(الريسبي!$C$2:$C$1800,الريسبي!$A$2:$A$1800,$A126,الريسبي!$B$2:$B$1800,AS$1)</f>
        <v>1</v>
      </c>
      <c r="AT126" s="117" t="n">
        <f aca="false">SUMIFS(الريسبي!$C$2:$C$1800,الريسبي!$A$2:$A$1800,$A126,الريسبي!$B$2:$B$1800,AT$1)</f>
        <v>0</v>
      </c>
      <c r="AU126" s="117" t="n">
        <f aca="false">SUMIFS(الريسبي!$C$2:$C$1800,الريسبي!$A$2:$A$1800,$A126,الريسبي!$B$2:$B$1800,AU$1)</f>
        <v>0</v>
      </c>
      <c r="AV126" s="117" t="n">
        <f aca="false">SUMIFS(الريسبي!$C$2:$C$1800,الريسبي!$A$2:$A$1800,$A126,الريسبي!$B$2:$B$1800,AV$1)</f>
        <v>0</v>
      </c>
      <c r="AW126" s="117" t="n">
        <f aca="false">SUMIFS(الريسبي!$C$2:$C$1800,الريسبي!$A$2:$A$1800,$A126,الريسبي!$B$2:$B$1800,AW$1)</f>
        <v>0</v>
      </c>
      <c r="AX126" s="117" t="n">
        <f aca="false">SUMIFS(الريسبي!$C$2:$C$1800,الريسبي!$A$2:$A$1800,$A126,الريسبي!$B$2:$B$1800,AX$1)</f>
        <v>0</v>
      </c>
      <c r="AY126" s="117" t="n">
        <f aca="false">SUMIFS(الريسبي!$C$2:$C$1800,الريسبي!$A$2:$A$1800,$A126,الريسبي!$B$2:$B$1800,AY$1)</f>
        <v>0</v>
      </c>
      <c r="AZ126" s="117" t="n">
        <f aca="false">SUMIFS(الريسبي!$C$2:$C$1800,الريسبي!$A$2:$A$1800,$A126,الريسبي!$B$2:$B$1800,AZ$1)</f>
        <v>0</v>
      </c>
      <c r="BA126" s="117" t="n">
        <f aca="false">SUMIFS(الريسبي!$C$2:$C$1800,الريسبي!$A$2:$A$1800,$A126,الريسبي!$B$2:$B$1800,BA$1)</f>
        <v>0</v>
      </c>
      <c r="BB126" s="117" t="n">
        <f aca="false">SUMIFS(الريسبي!$C$2:$C$1800,الريسبي!$A$2:$A$1800,$A126,الريسبي!$B$2:$B$1800,BB$1)</f>
        <v>0</v>
      </c>
      <c r="BC126" s="117" t="n">
        <f aca="false">SUMIFS(الريسبي!$C$2:$C$1800,الريسبي!$A$2:$A$1800,$A126,الريسبي!$B$2:$B$1800,BC$1)</f>
        <v>0.03</v>
      </c>
      <c r="BD126" s="117" t="n">
        <f aca="false">SUMIFS(الريسبي!$C$2:$C$1800,الريسبي!$A$2:$A$1800,$A126,الريسبي!$B$2:$B$1800,BD$1)</f>
        <v>0</v>
      </c>
      <c r="BE126" s="117" t="n">
        <f aca="false">SUMIFS(الريسبي!$C$2:$C$1800,الريسبي!$A$2:$A$1800,$A126,الريسبي!$B$2:$B$1800,BE$1)</f>
        <v>0</v>
      </c>
      <c r="BF126" s="117" t="n">
        <f aca="false">SUMIFS(الريسبي!$C$2:$C$1800,الريسبي!$A$2:$A$1800,$A126,الريسبي!$B$2:$B$1800,BF$1)</f>
        <v>0</v>
      </c>
      <c r="BG126" s="117" t="n">
        <f aca="false">SUMIFS(الريسبي!$C$2:$C$1800,الريسبي!$A$2:$A$1800,$A126,الريسبي!$B$2:$B$1800,BG$1)</f>
        <v>0</v>
      </c>
      <c r="BH126" s="117" t="n">
        <f aca="false">SUMIFS(الريسبي!$C$2:$C$1800,الريسبي!$A$2:$A$1800,$A126,الريسبي!$B$2:$B$1800,BH$1)</f>
        <v>0</v>
      </c>
      <c r="BI126" s="117" t="n">
        <f aca="false">SUMIFS(الريسبي!$C$2:$C$1800,الريسبي!$A$2:$A$1800,$A126,الريسبي!$B$2:$B$1800,BI$1)</f>
        <v>0</v>
      </c>
      <c r="BJ126" s="117" t="n">
        <f aca="false">SUMIFS(الريسبي!$C$2:$C$1800,الريسبي!$A$2:$A$1800,$A126,الريسبي!$B$2:$B$1800,BJ$1)</f>
        <v>0</v>
      </c>
      <c r="BK126" s="117" t="n">
        <f aca="false">SUMIFS(الريسبي!$C$2:$C$1800,الريسبي!$A$2:$A$1800,$A126,الريسبي!$B$2:$B$1800,BK$1)</f>
        <v>0</v>
      </c>
      <c r="BL126" s="117" t="n">
        <f aca="false">SUMIFS(الريسبي!$C$2:$C$1800,الريسبي!$A$2:$A$1800,$A126,الريسبي!$B$2:$B$1800,BL$1)</f>
        <v>0</v>
      </c>
      <c r="BM126" s="117" t="n">
        <f aca="false">SUMIFS(الريسبي!$C$2:$C$1800,الريسبي!$A$2:$A$1800,$A126,الريسبي!$B$2:$B$1800,BM$1)</f>
        <v>0</v>
      </c>
      <c r="BN126" s="117" t="n">
        <f aca="false">SUMIFS(الريسبي!$C$2:$C$1800,الريسبي!$A$2:$A$1800,$A126,الريسبي!$B$2:$B$1800,BN$1)</f>
        <v>0.02</v>
      </c>
      <c r="BO126" s="117" t="n">
        <f aca="false">SUMIFS(الريسبي!$C$2:$C$1800,الريسبي!$A$2:$A$1800,$A126,الريسبي!$B$2:$B$1800,BO$1)</f>
        <v>0</v>
      </c>
      <c r="BP126" s="117" t="n">
        <f aca="false">SUMIFS(الريسبي!$C$2:$C$1800,الريسبي!$A$2:$A$1800,$A126,الريسبي!$B$2:$B$1800,BP$1)</f>
        <v>0</v>
      </c>
      <c r="BQ126" s="117" t="n">
        <f aca="false">SUMIFS(الريسبي!$C$2:$C$1800,الريسبي!$A$2:$A$1800,$A126,الريسبي!$B$2:$B$1800,BQ$1)+0.17*SUMIFS(الريسبي!$C$2:$C$1800,الريسبي!$A$2:$A$1800,$A126,الريسبي!$B$2:$B$1800,"كاسترد مصنع (خليط بودر + لبن)")+0.17*SUMIFS(الريسبي!$C$2:$C$1800,الريسبي!$A$2:$A$1800,$A126,الريسبي!$B$2:$B$1800,"كاسترد مصنع صيامي (بدون لبن)")</f>
        <v>0</v>
      </c>
      <c r="BR126" s="117" t="n">
        <f aca="false">SUMIFS(الريسبي!$C$2:$C$1800,الريسبي!$A$2:$A$1800,$A126,الريسبي!$B$2:$B$1800,BR$1)</f>
        <v>0</v>
      </c>
      <c r="BS126" s="117" t="n">
        <f aca="false">SUMIFS(الريسبي!$C$2:$C$1800,الريسبي!$A$2:$A$1800,$A126,الريسبي!$B$2:$B$1800,BS$1)</f>
        <v>0</v>
      </c>
      <c r="BT126" s="117" t="n">
        <f aca="false">SUMIFS(الريسبي!$C$2:$C$1800,الريسبي!$A$2:$A$1800,$A126,الريسبي!$B$2:$B$1800,BT$1)</f>
        <v>1</v>
      </c>
      <c r="BU126" s="117" t="n">
        <f aca="false">SUMIFS(الريسبي!$C$2:$C$1800,الريسبي!$A$2:$A$1800,$A126,الريسبي!$B$2:$B$1800,BU$1)+0.4*SUMIFS(الريسبي!$C$2:$C$1800,الريسبي!$A$2:$A$1800,$A126,الريسبي!$B$2:$B$1800,"كاسترد مصنع (خليط بودر + لبن)")+0.03333333333*SUMIFS(الريسبي!$C$2:$C$1800,الريسبي!$A$2:$A$1800,$A126,الريسبي!$B$2:$B$1800,"عجين كريب (مصنع بالمطعم)")</f>
        <v>0</v>
      </c>
      <c r="BV126" s="117" t="n">
        <f aca="false">SUMIFS(الريسبي!$C$2:$C$1800,الريسبي!$A$2:$A$1800,$A126,الريسبي!$B$2:$B$1800,BV$1)</f>
        <v>0</v>
      </c>
      <c r="BW126" s="117" t="n">
        <f aca="false">SUMIFS(الريسبي!$C$2:$C$1800,الريسبي!$A$2:$A$1800,$A126,الريسبي!$B$2:$B$1800,BW$1)</f>
        <v>0</v>
      </c>
      <c r="BX126" s="117" t="n">
        <f aca="false">SUMIFS(الريسبي!$C$2:$C$1800,الريسبي!$A$2:$A$1800,$A126,الريسبي!$B$2:$B$1800,BX$1)</f>
        <v>0</v>
      </c>
      <c r="BY126" s="117" t="n">
        <f aca="false">SUMIFS(الريسبي!$C$2:$C$1800,الريسبي!$A$2:$A$1800,$A126,الريسبي!$B$2:$B$1800,BY$1)</f>
        <v>0</v>
      </c>
      <c r="BZ126" s="117" t="n">
        <f aca="false">SUMIFS(الريسبي!$C$2:$C$1800,الريسبي!$A$2:$A$1800,$A126,الريسبي!$B$2:$B$1800,BZ$1)</f>
        <v>0</v>
      </c>
      <c r="CA126" s="117" t="n">
        <f aca="false">SUMIFS(الريسبي!$C$2:$C$1800,الريسبي!$A$2:$A$1800,$A126,الريسبي!$B$2:$B$1800,CA$1)</f>
        <v>0</v>
      </c>
      <c r="CB126" s="117" t="n">
        <f aca="false">SUMIFS(الريسبي!$C$2:$C$1800,الريسبي!$A$2:$A$1800,$A126,الريسبي!$B$2:$B$1800,CB$1)</f>
        <v>0</v>
      </c>
      <c r="CC126" s="117" t="n">
        <f aca="false">SUMIFS(الريسبي!$C$2:$C$1800,الريسبي!$A$2:$A$1800,$A126,الريسبي!$B$2:$B$1800,CC$1)</f>
        <v>0</v>
      </c>
      <c r="CD126" s="117" t="n">
        <f aca="false">SUMIFS(الريسبي!$C$2:$C$1800,الريسبي!$A$2:$A$1800,$A126,الريسبي!$B$2:$B$1800,CD$1)</f>
        <v>0.07</v>
      </c>
      <c r="CE126" s="117" t="n">
        <f aca="false">SUMIFS(الريسبي!$C$2:$C$1800,الريسبي!$A$2:$A$1800,$A126,الريسبي!$B$2:$B$1800,CE$1)</f>
        <v>0.07</v>
      </c>
      <c r="CF126" s="117" t="n">
        <f aca="false">SUMIFS(الريسبي!$C$2:$C$1800,الريسبي!$A$2:$A$1800,$A126,الريسبي!$B$2:$B$1800,CF$1)</f>
        <v>0</v>
      </c>
      <c r="CG126" s="117" t="n">
        <f aca="false">SUMIFS(الريسبي!$C$2:$C$1800,الريسبي!$A$2:$A$1800,$A126,الريسبي!$B$2:$B$1800,CG$1)</f>
        <v>0</v>
      </c>
      <c r="CH126" s="117" t="n">
        <f aca="false">SUMIFS(الريسبي!$C$2:$C$1800,الريسبي!$A$2:$A$1800,$A126,الريسبي!$B$2:$B$1800,CH$1)</f>
        <v>0</v>
      </c>
      <c r="CI126" s="117" t="n">
        <f aca="false">SUMIFS(الريسبي!$C$2:$C$1800,الريسبي!$A$2:$A$1800,$A126,الريسبي!$B$2:$B$1800,CI$1)</f>
        <v>0</v>
      </c>
      <c r="CJ126" s="117" t="n">
        <f aca="false">SUMIFS(الريسبي!$C$2:$C$1800,الريسبي!$A$2:$A$1800,$A126,الريسبي!$B$2:$B$1800,CJ$1)</f>
        <v>0</v>
      </c>
      <c r="CK126" s="117" t="n">
        <f aca="false">SUMIFS(الريسبي!$C$2:$C$1800,الريسبي!$A$2:$A$1800,$A126,الريسبي!$B$2:$B$1800,CK$1)</f>
        <v>0</v>
      </c>
      <c r="CL126" s="117" t="n">
        <f aca="false">SUMIFS(الريسبي!$C$2:$C$1800,الريسبي!$A$2:$A$1800,$A126,الريسبي!$B$2:$B$1800,CL$1)</f>
        <v>0</v>
      </c>
    </row>
    <row r="127" customFormat="false" ht="15" hidden="false" customHeight="false" outlineLevel="0" collapsed="false">
      <c r="A127" s="116" t="str">
        <f aca="false">المنيو!B127</f>
        <v>كريب جمبري صيامي</v>
      </c>
      <c r="B127" s="117" t="n">
        <f aca="false">SUMIFS(الريسبي!$C$2:$C$1800,الريسبي!$A$2:$A$1800,$A127,الريسبي!$B$2:$B$1800,B$1)</f>
        <v>0</v>
      </c>
      <c r="C127" s="117" t="n">
        <f aca="false">SUMIFS(الريسبي!$C$2:$C$1800,الريسبي!$A$2:$A$1800,$A127,الريسبي!$B$2:$B$1800,C$1)</f>
        <v>0</v>
      </c>
      <c r="D127" s="117" t="n">
        <f aca="false">SUMIFS(الريسبي!$C$2:$C$1800,الريسبي!$A$2:$A$1800,$A127,الريسبي!$B$2:$B$1800,D$1)</f>
        <v>0</v>
      </c>
      <c r="E127" s="117" t="n">
        <f aca="false">SUMIFS(الريسبي!$C$2:$C$1800,الريسبي!$A$2:$A$1800,$A127,الريسبي!$B$2:$B$1800,E$1)</f>
        <v>0</v>
      </c>
      <c r="F127" s="117" t="n">
        <f aca="false">SUMIFS(الريسبي!$C$2:$C$1800,الريسبي!$A$2:$A$1800,$A127,الريسبي!$B$2:$B$1800,F$1)</f>
        <v>0</v>
      </c>
      <c r="G127" s="117" t="n">
        <f aca="false">SUMIFS(الريسبي!$C$2:$C$1800,الريسبي!$A$2:$A$1800,$A127,الريسبي!$B$2:$B$1800,G$1)</f>
        <v>0</v>
      </c>
      <c r="H127" s="117" t="n">
        <f aca="false">SUMIFS(الريسبي!$C$2:$C$1800,الريسبي!$A$2:$A$1800,$A127,الريسبي!$B$2:$B$1800,H$1)</f>
        <v>0</v>
      </c>
      <c r="I127" s="117" t="n">
        <f aca="false">SUMIFS(الريسبي!$C$2:$C$1800,الريسبي!$A$2:$A$1800,$A127,الريسبي!$B$2:$B$1800,I$1)</f>
        <v>0</v>
      </c>
      <c r="J127" s="117" t="n">
        <f aca="false">SUMIFS(الريسبي!$C$2:$C$1800,الريسبي!$A$2:$A$1800,$A127,الريسبي!$B$2:$B$1800,J$1)</f>
        <v>0</v>
      </c>
      <c r="K127" s="117" t="n">
        <f aca="false">SUMIFS(الريسبي!$C$2:$C$1800,الريسبي!$A$2:$A$1800,$A127,الريسبي!$B$2:$B$1800,K$1)</f>
        <v>0.5</v>
      </c>
      <c r="L127" s="117" t="n">
        <f aca="false">SUMIFS(الريسبي!$C$2:$C$1800,الريسبي!$A$2:$A$1800,$A127,الريسبي!$B$2:$B$1800,L$1)</f>
        <v>0</v>
      </c>
      <c r="M127" s="117" t="n">
        <f aca="false">SUMIFS(الريسبي!$C$2:$C$1800,الريسبي!$A$2:$A$1800,$A127,الريسبي!$B$2:$B$1800,M$1)</f>
        <v>0</v>
      </c>
      <c r="N127" s="117" t="n">
        <f aca="false">SUMIFS(الريسبي!$C$2:$C$1800,الريسبي!$A$2:$A$1800,$A127,الريسبي!$B$2:$B$1800,N$1)</f>
        <v>0</v>
      </c>
      <c r="O127" s="117" t="n">
        <f aca="false">SUMIFS(الريسبي!$C$2:$C$1800,الريسبي!$A$2:$A$1800,$A127,الريسبي!$B$2:$B$1800,O$1)</f>
        <v>0</v>
      </c>
      <c r="P127" s="117" t="n">
        <f aca="false">SUMIFS(الريسبي!$C$2:$C$1800,الريسبي!$A$2:$A$1800,$A127,الريسبي!$B$2:$B$1800,P$1)</f>
        <v>0</v>
      </c>
      <c r="Q127" s="117" t="n">
        <f aca="false">SUMIFS(الريسبي!$C$2:$C$1800,الريسبي!$A$2:$A$1800,$A127,الريسبي!$B$2:$B$1800,Q$1)</f>
        <v>0</v>
      </c>
      <c r="R127" s="117" t="n">
        <f aca="false">SUMIFS(الريسبي!$C$2:$C$1800,الريسبي!$A$2:$A$1800,$A127,الريسبي!$B$2:$B$1800,R$1)</f>
        <v>0</v>
      </c>
      <c r="S127" s="117" t="n">
        <f aca="false">SUMIFS(الريسبي!$C$2:$C$1800,الريسبي!$A$2:$A$1800,$A127,الريسبي!$B$2:$B$1800,S$1)</f>
        <v>0</v>
      </c>
      <c r="T127" s="117" t="n">
        <f aca="false">SUMIFS(الريسبي!$C$2:$C$1800,الريسبي!$A$2:$A$1800,$A127,الريسبي!$B$2:$B$1800,T$1)</f>
        <v>0</v>
      </c>
      <c r="U127" s="117" t="n">
        <f aca="false">SUMIFS(الريسبي!$C$2:$C$1800,الريسبي!$A$2:$A$1800,$A127,الريسبي!$B$2:$B$1800,U$1)</f>
        <v>0</v>
      </c>
      <c r="V127" s="117" t="n">
        <f aca="false">SUMIFS(الريسبي!$C$2:$C$1800,الريسبي!$A$2:$A$1800,$A127,الريسبي!$B$2:$B$1800,V$1)+1.5*(SUMIFS(الريسبي!$C$2:$C$1800,الريسبي!$A$2:$A$1800,$A127,الريسبي!$B$2:$B$1800,"برسيون موتزريلا بيتزا كبير"))</f>
        <v>0</v>
      </c>
      <c r="W127" s="117" t="n">
        <f aca="false">0</f>
        <v>0</v>
      </c>
      <c r="X127" s="117" t="n">
        <f aca="false">SUMIFS(الريسبي!$C$2:$C$1800,الريسبي!$A$2:$A$1800,$A127,الريسبي!$B$2:$B$1800,X$1)+1.5*(SUMIFS(الريسبي!$C$2:$C$1800,الريسبي!$A$2:$A$1800,$A127,الريسبي!$B$2:$B$1800,"برسيون موتزريلا فطير كبير"))</f>
        <v>1</v>
      </c>
      <c r="Y127" s="117" t="n">
        <f aca="false">0</f>
        <v>0</v>
      </c>
      <c r="Z127" s="117" t="n">
        <f aca="false">SUMIFS(الريسبي!$C$2:$C$1800,الريسبي!$A$2:$A$1800,$A127,الريسبي!$B$2:$B$1800,Z$1)</f>
        <v>0</v>
      </c>
      <c r="AA127" s="117" t="n">
        <f aca="false">SUMIFS(الريسبي!$C$2:$C$1800,الريسبي!$A$2:$A$1800,$A127,الريسبي!$B$2:$B$1800,AA$1)</f>
        <v>0</v>
      </c>
      <c r="AB127" s="117" t="n">
        <f aca="false">SUMIFS(الريسبي!$C$2:$C$1800,الريسبي!$A$2:$A$1800,$A127,الريسبي!$B$2:$B$1800,AB$1)</f>
        <v>0</v>
      </c>
      <c r="AC127" s="117" t="n">
        <f aca="false">SUMIFS(الريسبي!$C$2:$C$1800,الريسبي!$A$2:$A$1800,$A127,الريسبي!$B$2:$B$1800,AC$1)</f>
        <v>0</v>
      </c>
      <c r="AD127" s="117" t="n">
        <f aca="false">SUMIFS(الريسبي!$C$2:$C$1800,الريسبي!$A$2:$A$1800,$A127,الريسبي!$B$2:$B$1800,AD$1)</f>
        <v>0</v>
      </c>
      <c r="AE127" s="117" t="n">
        <f aca="false">SUMIFS(الريسبي!$C$2:$C$1800,الريسبي!$A$2:$A$1800,$A127,الريسبي!$B$2:$B$1800,AE$1)</f>
        <v>0</v>
      </c>
      <c r="AF127" s="117" t="n">
        <f aca="false">SUMIFS(الريسبي!$C$2:$C$1800,الريسبي!$A$2:$A$1800,$A127,الريسبي!$B$2:$B$1800,AF$1)</f>
        <v>0</v>
      </c>
      <c r="AG127" s="117" t="n">
        <f aca="false">SUMIFS(الريسبي!$C$2:$C$1800,الريسبي!$A$2:$A$1800,$A127,الريسبي!$B$2:$B$1800,AG$1)</f>
        <v>0</v>
      </c>
      <c r="AH127" s="117" t="n">
        <f aca="false">SUMIFS(الريسبي!$C$2:$C$1800,الريسبي!$A$2:$A$1800,$A127,الريسبي!$B$2:$B$1800,AH$1)</f>
        <v>0</v>
      </c>
      <c r="AI127" s="117" t="n">
        <f aca="false">SUMIFS(الريسبي!$C$2:$C$1800,الريسبي!$A$2:$A$1800,$A127,الريسبي!$B$2:$B$1800,AI$1)</f>
        <v>0</v>
      </c>
      <c r="AJ127" s="117" t="n">
        <f aca="false">SUMIFS(الريسبي!$C$2:$C$1800,الريسبي!$A$2:$A$1800,$A127,الريسبي!$B$2:$B$1800,AJ$1)</f>
        <v>0</v>
      </c>
      <c r="AK127" s="117" t="n">
        <f aca="false">SUMIFS(الريسبي!$C$2:$C$1800,الريسبي!$A$2:$A$1800,$A127,الريسبي!$B$2:$B$1800,AK$1)</f>
        <v>0</v>
      </c>
      <c r="AL127" s="117" t="n">
        <f aca="false">SUMIFS(الريسبي!$C$2:$C$1800,الريسبي!$A$2:$A$1800,$A127,الريسبي!$B$2:$B$1800,AL$1)</f>
        <v>0</v>
      </c>
      <c r="AM127" s="117" t="n">
        <f aca="false">SUMIFS(الريسبي!$C$2:$C$1800,الريسبي!$A$2:$A$1800,$A127,الريسبي!$B$2:$B$1800,AM$1)+0.08333333333*SUMIFS(الريسبي!$C$2:$C$1800,الريسبي!$A$2:$A$1800,$A127,الريسبي!$B$2:$B$1800,"عجين كريب (مصنع بالمطعم)")+0.08333333333*SUMIFS(الريسبي!$C$2:$C$1800,الريسبي!$A$2:$A$1800,$A127,الريسبي!$B$2:$B$1800,"عجين كريب صيامي (بدون لبن)")</f>
        <v>0.08333333333</v>
      </c>
      <c r="AN127" s="117" t="n">
        <f aca="false">SUMIFS(الريسبي!$C$2:$C$1800,الريسبي!$A$2:$A$1800,$A127,الريسبي!$B$2:$B$1800,AN$1)+0.004166666667*SUMIFS(الريسبي!$C$2:$C$1800,الريسبي!$A$2:$A$1800,$A127,الريسبي!$B$2:$B$1800,"عجين كريب (مصنع بالمطعم)")+0.004166666667*SUMIFS(الريسبي!$C$2:$C$1800,الريسبي!$A$2:$A$1800,$A127,الريسبي!$B$2:$B$1800,"عجين كريب صيامي (بدون لبن)")</f>
        <v>0.004166666667</v>
      </c>
      <c r="AO127" s="117" t="n">
        <f aca="false">SUMIFS(الريسبي!$C$2:$C$1800,الريسبي!$A$2:$A$1800,$A127,الريسبي!$B$2:$B$1800,AO$1)</f>
        <v>0</v>
      </c>
      <c r="AP127" s="117" t="n">
        <f aca="false">SUMIFS(الريسبي!$C$2:$C$1800,الريسبي!$A$2:$A$1800,$A127,الريسبي!$B$2:$B$1800,AP$1)</f>
        <v>0.02</v>
      </c>
      <c r="AQ127" s="117" t="n">
        <f aca="false">SUMIFS(الريسبي!$C$2:$C$1800,الريسبي!$A$2:$A$1800,$A127,الريسبي!$B$2:$B$1800,AQ$1)+0.004166666667*SUMIFS(الريسبي!$C$2:$C$1800,الريسبي!$A$2:$A$1800,$A127,الريسبي!$B$2:$B$1800,"عجين كريب (مصنع بالمطعم)")+0.004166666667*SUMIFS(الريسبي!$C$2:$C$1800,الريسبي!$A$2:$A$1800,$A127,الريسبي!$B$2:$B$1800,"عجين كريب صيامي (بدون لبن)")</f>
        <v>0.004166666667</v>
      </c>
      <c r="AR127" s="117" t="n">
        <f aca="false">SUMIFS(الريسبي!$C$2:$C$1800,الريسبي!$A$2:$A$1800,$A127,الريسبي!$B$2:$B$1800,AR$1)</f>
        <v>0</v>
      </c>
      <c r="AS127" s="117" t="n">
        <f aca="false">SUMIFS(الريسبي!$C$2:$C$1800,الريسبي!$A$2:$A$1800,$A127,الريسبي!$B$2:$B$1800,AS$1)</f>
        <v>1</v>
      </c>
      <c r="AT127" s="117" t="n">
        <f aca="false">SUMIFS(الريسبي!$C$2:$C$1800,الريسبي!$A$2:$A$1800,$A127,الريسبي!$B$2:$B$1800,AT$1)</f>
        <v>0</v>
      </c>
      <c r="AU127" s="117" t="n">
        <f aca="false">SUMIFS(الريسبي!$C$2:$C$1800,الريسبي!$A$2:$A$1800,$A127,الريسبي!$B$2:$B$1800,AU$1)</f>
        <v>0</v>
      </c>
      <c r="AV127" s="117" t="n">
        <f aca="false">SUMIFS(الريسبي!$C$2:$C$1800,الريسبي!$A$2:$A$1800,$A127,الريسبي!$B$2:$B$1800,AV$1)</f>
        <v>0</v>
      </c>
      <c r="AW127" s="117" t="n">
        <f aca="false">SUMIFS(الريسبي!$C$2:$C$1800,الريسبي!$A$2:$A$1800,$A127,الريسبي!$B$2:$B$1800,AW$1)</f>
        <v>0</v>
      </c>
      <c r="AX127" s="117" t="n">
        <f aca="false">SUMIFS(الريسبي!$C$2:$C$1800,الريسبي!$A$2:$A$1800,$A127,الريسبي!$B$2:$B$1800,AX$1)</f>
        <v>0</v>
      </c>
      <c r="AY127" s="117" t="n">
        <f aca="false">SUMIFS(الريسبي!$C$2:$C$1800,الريسبي!$A$2:$A$1800,$A127,الريسبي!$B$2:$B$1800,AY$1)</f>
        <v>0</v>
      </c>
      <c r="AZ127" s="117" t="n">
        <f aca="false">SUMIFS(الريسبي!$C$2:$C$1800,الريسبي!$A$2:$A$1800,$A127,الريسبي!$B$2:$B$1800,AZ$1)</f>
        <v>0</v>
      </c>
      <c r="BA127" s="117" t="n">
        <f aca="false">SUMIFS(الريسبي!$C$2:$C$1800,الريسبي!$A$2:$A$1800,$A127,الريسبي!$B$2:$B$1800,BA$1)</f>
        <v>0</v>
      </c>
      <c r="BB127" s="117" t="n">
        <f aca="false">SUMIFS(الريسبي!$C$2:$C$1800,الريسبي!$A$2:$A$1800,$A127,الريسبي!$B$2:$B$1800,BB$1)</f>
        <v>0</v>
      </c>
      <c r="BC127" s="117" t="n">
        <f aca="false">SUMIFS(الريسبي!$C$2:$C$1800,الريسبي!$A$2:$A$1800,$A127,الريسبي!$B$2:$B$1800,BC$1)</f>
        <v>0.03</v>
      </c>
      <c r="BD127" s="117" t="n">
        <f aca="false">SUMIFS(الريسبي!$C$2:$C$1800,الريسبي!$A$2:$A$1800,$A127,الريسبي!$B$2:$B$1800,BD$1)</f>
        <v>0</v>
      </c>
      <c r="BE127" s="117" t="n">
        <f aca="false">SUMIFS(الريسبي!$C$2:$C$1800,الريسبي!$A$2:$A$1800,$A127,الريسبي!$B$2:$B$1800,BE$1)</f>
        <v>0</v>
      </c>
      <c r="BF127" s="117" t="n">
        <f aca="false">SUMIFS(الريسبي!$C$2:$C$1800,الريسبي!$A$2:$A$1800,$A127,الريسبي!$B$2:$B$1800,BF$1)</f>
        <v>0</v>
      </c>
      <c r="BG127" s="117" t="n">
        <f aca="false">SUMIFS(الريسبي!$C$2:$C$1800,الريسبي!$A$2:$A$1800,$A127,الريسبي!$B$2:$B$1800,BG$1)</f>
        <v>0</v>
      </c>
      <c r="BH127" s="117" t="n">
        <f aca="false">SUMIFS(الريسبي!$C$2:$C$1800,الريسبي!$A$2:$A$1800,$A127,الريسبي!$B$2:$B$1800,BH$1)</f>
        <v>0</v>
      </c>
      <c r="BI127" s="117" t="n">
        <f aca="false">SUMIFS(الريسبي!$C$2:$C$1800,الريسبي!$A$2:$A$1800,$A127,الريسبي!$B$2:$B$1800,BI$1)</f>
        <v>0</v>
      </c>
      <c r="BJ127" s="117" t="n">
        <f aca="false">SUMIFS(الريسبي!$C$2:$C$1800,الريسبي!$A$2:$A$1800,$A127,الريسبي!$B$2:$B$1800,BJ$1)</f>
        <v>0</v>
      </c>
      <c r="BK127" s="117" t="n">
        <f aca="false">SUMIFS(الريسبي!$C$2:$C$1800,الريسبي!$A$2:$A$1800,$A127,الريسبي!$B$2:$B$1800,BK$1)</f>
        <v>0</v>
      </c>
      <c r="BL127" s="117" t="n">
        <f aca="false">SUMIFS(الريسبي!$C$2:$C$1800,الريسبي!$A$2:$A$1800,$A127,الريسبي!$B$2:$B$1800,BL$1)</f>
        <v>0</v>
      </c>
      <c r="BM127" s="117" t="n">
        <f aca="false">SUMIFS(الريسبي!$C$2:$C$1800,الريسبي!$A$2:$A$1800,$A127,الريسبي!$B$2:$B$1800,BM$1)</f>
        <v>0</v>
      </c>
      <c r="BN127" s="117" t="n">
        <f aca="false">SUMIFS(الريسبي!$C$2:$C$1800,الريسبي!$A$2:$A$1800,$A127,الريسبي!$B$2:$B$1800,BN$1)</f>
        <v>0.02</v>
      </c>
      <c r="BO127" s="117" t="n">
        <f aca="false">SUMIFS(الريسبي!$C$2:$C$1800,الريسبي!$A$2:$A$1800,$A127,الريسبي!$B$2:$B$1800,BO$1)</f>
        <v>0</v>
      </c>
      <c r="BP127" s="117" t="n">
        <f aca="false">SUMIFS(الريسبي!$C$2:$C$1800,الريسبي!$A$2:$A$1800,$A127,الريسبي!$B$2:$B$1800,BP$1)</f>
        <v>0</v>
      </c>
      <c r="BQ127" s="117" t="n">
        <f aca="false">SUMIFS(الريسبي!$C$2:$C$1800,الريسبي!$A$2:$A$1800,$A127,الريسبي!$B$2:$B$1800,BQ$1)+0.17*SUMIFS(الريسبي!$C$2:$C$1800,الريسبي!$A$2:$A$1800,$A127,الريسبي!$B$2:$B$1800,"كاسترد مصنع (خليط بودر + لبن)")+0.17*SUMIFS(الريسبي!$C$2:$C$1800,الريسبي!$A$2:$A$1800,$A127,الريسبي!$B$2:$B$1800,"كاسترد مصنع صيامي (بدون لبن)")</f>
        <v>0</v>
      </c>
      <c r="BR127" s="117" t="n">
        <f aca="false">SUMIFS(الريسبي!$C$2:$C$1800,الريسبي!$A$2:$A$1800,$A127,الريسبي!$B$2:$B$1800,BR$1)</f>
        <v>0</v>
      </c>
      <c r="BS127" s="117" t="n">
        <f aca="false">SUMIFS(الريسبي!$C$2:$C$1800,الريسبي!$A$2:$A$1800,$A127,الريسبي!$B$2:$B$1800,BS$1)</f>
        <v>0</v>
      </c>
      <c r="BT127" s="117" t="n">
        <f aca="false">SUMIFS(الريسبي!$C$2:$C$1800,الريسبي!$A$2:$A$1800,$A127,الريسبي!$B$2:$B$1800,BT$1)</f>
        <v>1</v>
      </c>
      <c r="BU127" s="117" t="n">
        <f aca="false">SUMIFS(الريسبي!$C$2:$C$1800,الريسبي!$A$2:$A$1800,$A127,الريسبي!$B$2:$B$1800,BU$1)+0.4*SUMIFS(الريسبي!$C$2:$C$1800,الريسبي!$A$2:$A$1800,$A127,الريسبي!$B$2:$B$1800,"كاسترد مصنع (خليط بودر + لبن)")+0.03333333333*SUMIFS(الريسبي!$C$2:$C$1800,الريسبي!$A$2:$A$1800,$A127,الريسبي!$B$2:$B$1800,"عجين كريب (مصنع بالمطعم)")</f>
        <v>0</v>
      </c>
      <c r="BV127" s="117" t="n">
        <f aca="false">SUMIFS(الريسبي!$C$2:$C$1800,الريسبي!$A$2:$A$1800,$A127,الريسبي!$B$2:$B$1800,BV$1)</f>
        <v>0</v>
      </c>
      <c r="BW127" s="117" t="n">
        <f aca="false">SUMIFS(الريسبي!$C$2:$C$1800,الريسبي!$A$2:$A$1800,$A127,الريسبي!$B$2:$B$1800,BW$1)</f>
        <v>0</v>
      </c>
      <c r="BX127" s="117" t="n">
        <f aca="false">SUMIFS(الريسبي!$C$2:$C$1800,الريسبي!$A$2:$A$1800,$A127,الريسبي!$B$2:$B$1800,BX$1)</f>
        <v>0</v>
      </c>
      <c r="BY127" s="117" t="n">
        <f aca="false">SUMIFS(الريسبي!$C$2:$C$1800,الريسبي!$A$2:$A$1800,$A127,الريسبي!$B$2:$B$1800,BY$1)</f>
        <v>0</v>
      </c>
      <c r="BZ127" s="117" t="n">
        <f aca="false">SUMIFS(الريسبي!$C$2:$C$1800,الريسبي!$A$2:$A$1800,$A127,الريسبي!$B$2:$B$1800,BZ$1)</f>
        <v>0</v>
      </c>
      <c r="CA127" s="117" t="n">
        <f aca="false">SUMIFS(الريسبي!$C$2:$C$1800,الريسبي!$A$2:$A$1800,$A127,الريسبي!$B$2:$B$1800,CA$1)</f>
        <v>0</v>
      </c>
      <c r="CB127" s="117" t="n">
        <f aca="false">SUMIFS(الريسبي!$C$2:$C$1800,الريسبي!$A$2:$A$1800,$A127,الريسبي!$B$2:$B$1800,CB$1)</f>
        <v>0</v>
      </c>
      <c r="CC127" s="117" t="n">
        <f aca="false">SUMIFS(الريسبي!$C$2:$C$1800,الريسبي!$A$2:$A$1800,$A127,الريسبي!$B$2:$B$1800,CC$1)</f>
        <v>0</v>
      </c>
      <c r="CD127" s="117" t="n">
        <f aca="false">SUMIFS(الريسبي!$C$2:$C$1800,الريسبي!$A$2:$A$1800,$A127,الريسبي!$B$2:$B$1800,CD$1)</f>
        <v>0</v>
      </c>
      <c r="CE127" s="117" t="n">
        <f aca="false">SUMIFS(الريسبي!$C$2:$C$1800,الريسبي!$A$2:$A$1800,$A127,الريسبي!$B$2:$B$1800,CE$1)</f>
        <v>0</v>
      </c>
      <c r="CF127" s="117" t="n">
        <f aca="false">SUMIFS(الريسبي!$C$2:$C$1800,الريسبي!$A$2:$A$1800,$A127,الريسبي!$B$2:$B$1800,CF$1)</f>
        <v>0</v>
      </c>
      <c r="CG127" s="117" t="n">
        <f aca="false">SUMIFS(الريسبي!$C$2:$C$1800,الريسبي!$A$2:$A$1800,$A127,الريسبي!$B$2:$B$1800,CG$1)</f>
        <v>0</v>
      </c>
      <c r="CH127" s="117" t="n">
        <f aca="false">SUMIFS(الريسبي!$C$2:$C$1800,الريسبي!$A$2:$A$1800,$A127,الريسبي!$B$2:$B$1800,CH$1)</f>
        <v>0</v>
      </c>
      <c r="CI127" s="117" t="n">
        <f aca="false">SUMIFS(الريسبي!$C$2:$C$1800,الريسبي!$A$2:$A$1800,$A127,الريسبي!$B$2:$B$1800,CI$1)</f>
        <v>0</v>
      </c>
      <c r="CJ127" s="117" t="n">
        <f aca="false">SUMIFS(الريسبي!$C$2:$C$1800,الريسبي!$A$2:$A$1800,$A127,الريسبي!$B$2:$B$1800,CJ$1)</f>
        <v>0</v>
      </c>
      <c r="CK127" s="117" t="n">
        <f aca="false">SUMIFS(الريسبي!$C$2:$C$1800,الريسبي!$A$2:$A$1800,$A127,الريسبي!$B$2:$B$1800,CK$1)</f>
        <v>0</v>
      </c>
      <c r="CL127" s="117" t="n">
        <f aca="false">SUMIFS(الريسبي!$C$2:$C$1800,الريسبي!$A$2:$A$1800,$A127,الريسبي!$B$2:$B$1800,CL$1)</f>
        <v>0</v>
      </c>
    </row>
    <row r="128" customFormat="false" ht="15" hidden="false" customHeight="false" outlineLevel="0" collapsed="false">
      <c r="A128" s="116" t="str">
        <f aca="false">المنيو!B128</f>
        <v>اضافة جبنة كيري (فطير M)</v>
      </c>
      <c r="B128" s="117" t="n">
        <f aca="false">SUMIFS(الريسبي!$C$2:$C$1800,الريسبي!$A$2:$A$1800,$A128,الريسبي!$B$2:$B$1800,B$1)</f>
        <v>0</v>
      </c>
      <c r="C128" s="117" t="n">
        <f aca="false">SUMIFS(الريسبي!$C$2:$C$1800,الريسبي!$A$2:$A$1800,$A128,الريسبي!$B$2:$B$1800,C$1)</f>
        <v>0</v>
      </c>
      <c r="D128" s="117" t="n">
        <f aca="false">SUMIFS(الريسبي!$C$2:$C$1800,الريسبي!$A$2:$A$1800,$A128,الريسبي!$B$2:$B$1800,D$1)</f>
        <v>0</v>
      </c>
      <c r="E128" s="117" t="n">
        <f aca="false">SUMIFS(الريسبي!$C$2:$C$1800,الريسبي!$A$2:$A$1800,$A128,الريسبي!$B$2:$B$1800,E$1)</f>
        <v>0</v>
      </c>
      <c r="F128" s="117" t="n">
        <f aca="false">SUMIFS(الريسبي!$C$2:$C$1800,الريسبي!$A$2:$A$1800,$A128,الريسبي!$B$2:$B$1800,F$1)</f>
        <v>0</v>
      </c>
      <c r="G128" s="117" t="n">
        <f aca="false">SUMIFS(الريسبي!$C$2:$C$1800,الريسبي!$A$2:$A$1800,$A128,الريسبي!$B$2:$B$1800,G$1)</f>
        <v>0</v>
      </c>
      <c r="H128" s="117" t="n">
        <f aca="false">SUMIFS(الريسبي!$C$2:$C$1800,الريسبي!$A$2:$A$1800,$A128,الريسبي!$B$2:$B$1800,H$1)</f>
        <v>0</v>
      </c>
      <c r="I128" s="117" t="n">
        <f aca="false">SUMIFS(الريسبي!$C$2:$C$1800,الريسبي!$A$2:$A$1800,$A128,الريسبي!$B$2:$B$1800,I$1)</f>
        <v>0</v>
      </c>
      <c r="J128" s="117" t="n">
        <f aca="false">SUMIFS(الريسبي!$C$2:$C$1800,الريسبي!$A$2:$A$1800,$A128,الريسبي!$B$2:$B$1800,J$1)</f>
        <v>0</v>
      </c>
      <c r="K128" s="117" t="n">
        <f aca="false">SUMIFS(الريسبي!$C$2:$C$1800,الريسبي!$A$2:$A$1800,$A128,الريسبي!$B$2:$B$1800,K$1)</f>
        <v>0</v>
      </c>
      <c r="L128" s="117" t="n">
        <f aca="false">SUMIFS(الريسبي!$C$2:$C$1800,الريسبي!$A$2:$A$1800,$A128,الريسبي!$B$2:$B$1800,L$1)</f>
        <v>0</v>
      </c>
      <c r="M128" s="117" t="n">
        <f aca="false">SUMIFS(الريسبي!$C$2:$C$1800,الريسبي!$A$2:$A$1800,$A128,الريسبي!$B$2:$B$1800,M$1)</f>
        <v>0</v>
      </c>
      <c r="N128" s="117" t="n">
        <f aca="false">SUMIFS(الريسبي!$C$2:$C$1800,الريسبي!$A$2:$A$1800,$A128,الريسبي!$B$2:$B$1800,N$1)</f>
        <v>0</v>
      </c>
      <c r="O128" s="117" t="n">
        <f aca="false">SUMIFS(الريسبي!$C$2:$C$1800,الريسبي!$A$2:$A$1800,$A128,الريسبي!$B$2:$B$1800,O$1)</f>
        <v>0</v>
      </c>
      <c r="P128" s="117" t="n">
        <f aca="false">SUMIFS(الريسبي!$C$2:$C$1800,الريسبي!$A$2:$A$1800,$A128,الريسبي!$B$2:$B$1800,P$1)</f>
        <v>0</v>
      </c>
      <c r="Q128" s="117" t="n">
        <f aca="false">SUMIFS(الريسبي!$C$2:$C$1800,الريسبي!$A$2:$A$1800,$A128,الريسبي!$B$2:$B$1800,Q$1)</f>
        <v>0</v>
      </c>
      <c r="R128" s="117" t="n">
        <f aca="false">SUMIFS(الريسبي!$C$2:$C$1800,الريسبي!$A$2:$A$1800,$A128,الريسبي!$B$2:$B$1800,R$1)</f>
        <v>0</v>
      </c>
      <c r="S128" s="117" t="n">
        <f aca="false">SUMIFS(الريسبي!$C$2:$C$1800,الريسبي!$A$2:$A$1800,$A128,الريسبي!$B$2:$B$1800,S$1)</f>
        <v>0</v>
      </c>
      <c r="T128" s="117" t="n">
        <f aca="false">SUMIFS(الريسبي!$C$2:$C$1800,الريسبي!$A$2:$A$1800,$A128,الريسبي!$B$2:$B$1800,T$1)</f>
        <v>0</v>
      </c>
      <c r="U128" s="117" t="n">
        <f aca="false">SUMIFS(الريسبي!$C$2:$C$1800,الريسبي!$A$2:$A$1800,$A128,الريسبي!$B$2:$B$1800,U$1)</f>
        <v>0</v>
      </c>
      <c r="V128" s="117" t="n">
        <f aca="false">SUMIFS(الريسبي!$C$2:$C$1800,الريسبي!$A$2:$A$1800,$A128,الريسبي!$B$2:$B$1800,V$1)+1.5*(SUMIFS(الريسبي!$C$2:$C$1800,الريسبي!$A$2:$A$1800,$A128,الريسبي!$B$2:$B$1800,"برسيون موتزريلا بيتزا كبير"))</f>
        <v>0</v>
      </c>
      <c r="W128" s="117" t="n">
        <f aca="false">0</f>
        <v>0</v>
      </c>
      <c r="X128" s="117" t="n">
        <f aca="false">SUMIFS(الريسبي!$C$2:$C$1800,الريسبي!$A$2:$A$1800,$A128,الريسبي!$B$2:$B$1800,X$1)+1.5*(SUMIFS(الريسبي!$C$2:$C$1800,الريسبي!$A$2:$A$1800,$A128,الريسبي!$B$2:$B$1800,"برسيون موتزريلا فطير كبير"))</f>
        <v>0</v>
      </c>
      <c r="Y128" s="117" t="n">
        <f aca="false">0</f>
        <v>0</v>
      </c>
      <c r="Z128" s="117" t="n">
        <f aca="false">SUMIFS(الريسبي!$C$2:$C$1800,الريسبي!$A$2:$A$1800,$A128,الريسبي!$B$2:$B$1800,Z$1)</f>
        <v>0</v>
      </c>
      <c r="AA128" s="117" t="n">
        <f aca="false">SUMIFS(الريسبي!$C$2:$C$1800,الريسبي!$A$2:$A$1800,$A128,الريسبي!$B$2:$B$1800,AA$1)</f>
        <v>0</v>
      </c>
      <c r="AB128" s="117" t="n">
        <f aca="false">SUMIFS(الريسبي!$C$2:$C$1800,الريسبي!$A$2:$A$1800,$A128,الريسبي!$B$2:$B$1800,AB$1)</f>
        <v>0</v>
      </c>
      <c r="AC128" s="117" t="n">
        <f aca="false">SUMIFS(الريسبي!$C$2:$C$1800,الريسبي!$A$2:$A$1800,$A128,الريسبي!$B$2:$B$1800,AC$1)</f>
        <v>0</v>
      </c>
      <c r="AD128" s="117" t="n">
        <f aca="false">SUMIFS(الريسبي!$C$2:$C$1800,الريسبي!$A$2:$A$1800,$A128,الريسبي!$B$2:$B$1800,AD$1)</f>
        <v>0</v>
      </c>
      <c r="AE128" s="117" t="n">
        <f aca="false">SUMIFS(الريسبي!$C$2:$C$1800,الريسبي!$A$2:$A$1800,$A128,الريسبي!$B$2:$B$1800,AE$1)</f>
        <v>0</v>
      </c>
      <c r="AF128" s="117" t="n">
        <f aca="false">SUMIFS(الريسبي!$C$2:$C$1800,الريسبي!$A$2:$A$1800,$A128,الريسبي!$B$2:$B$1800,AF$1)</f>
        <v>0</v>
      </c>
      <c r="AG128" s="117" t="n">
        <f aca="false">SUMIFS(الريسبي!$C$2:$C$1800,الريسبي!$A$2:$A$1800,$A128,الريسبي!$B$2:$B$1800,AG$1)</f>
        <v>0</v>
      </c>
      <c r="AH128" s="117" t="n">
        <f aca="false">SUMIFS(الريسبي!$C$2:$C$1800,الريسبي!$A$2:$A$1800,$A128,الريسبي!$B$2:$B$1800,AH$1)</f>
        <v>0</v>
      </c>
      <c r="AI128" s="117" t="n">
        <f aca="false">SUMIFS(الريسبي!$C$2:$C$1800,الريسبي!$A$2:$A$1800,$A128,الريسبي!$B$2:$B$1800,AI$1)</f>
        <v>0</v>
      </c>
      <c r="AJ128" s="117" t="n">
        <f aca="false">SUMIFS(الريسبي!$C$2:$C$1800,الريسبي!$A$2:$A$1800,$A128,الريسبي!$B$2:$B$1800,AJ$1)</f>
        <v>0</v>
      </c>
      <c r="AK128" s="117" t="n">
        <f aca="false">SUMIFS(الريسبي!$C$2:$C$1800,الريسبي!$A$2:$A$1800,$A128,الريسبي!$B$2:$B$1800,AK$1)</f>
        <v>0</v>
      </c>
      <c r="AL128" s="117" t="n">
        <f aca="false">SUMIFS(الريسبي!$C$2:$C$1800,الريسبي!$A$2:$A$1800,$A128,الريسبي!$B$2:$B$1800,AL$1)</f>
        <v>0</v>
      </c>
      <c r="AM128" s="117" t="n">
        <f aca="false">SUMIFS(الريسبي!$C$2:$C$1800,الريسبي!$A$2:$A$1800,$A128,الريسبي!$B$2:$B$1800,AM$1)+0.08333333333*SUMIFS(الريسبي!$C$2:$C$1800,الريسبي!$A$2:$A$1800,$A128,الريسبي!$B$2:$B$1800,"عجين كريب (مصنع بالمطعم)")+0.08333333333*SUMIFS(الريسبي!$C$2:$C$1800,الريسبي!$A$2:$A$1800,$A128,الريسبي!$B$2:$B$1800,"عجين كريب صيامي (بدون لبن)")</f>
        <v>0</v>
      </c>
      <c r="AN128" s="117" t="n">
        <f aca="false">SUMIFS(الريسبي!$C$2:$C$1800,الريسبي!$A$2:$A$1800,$A128,الريسبي!$B$2:$B$1800,AN$1)+0.004166666667*SUMIFS(الريسبي!$C$2:$C$1800,الريسبي!$A$2:$A$1800,$A128,الريسبي!$B$2:$B$1800,"عجين كريب (مصنع بالمطعم)")+0.004166666667*SUMIFS(الريسبي!$C$2:$C$1800,الريسبي!$A$2:$A$1800,$A128,الريسبي!$B$2:$B$1800,"عجين كريب صيامي (بدون لبن)")</f>
        <v>0</v>
      </c>
      <c r="AO128" s="117" t="n">
        <f aca="false">SUMIFS(الريسبي!$C$2:$C$1800,الريسبي!$A$2:$A$1800,$A128,الريسبي!$B$2:$B$1800,AO$1)</f>
        <v>0</v>
      </c>
      <c r="AP128" s="117" t="n">
        <f aca="false">SUMIFS(الريسبي!$C$2:$C$1800,الريسبي!$A$2:$A$1800,$A128,الريسبي!$B$2:$B$1800,AP$1)</f>
        <v>0</v>
      </c>
      <c r="AQ128" s="117" t="n">
        <f aca="false">SUMIFS(الريسبي!$C$2:$C$1800,الريسبي!$A$2:$A$1800,$A128,الريسبي!$B$2:$B$1800,AQ$1)+0.004166666667*SUMIFS(الريسبي!$C$2:$C$1800,الريسبي!$A$2:$A$1800,$A128,الريسبي!$B$2:$B$1800,"عجين كريب (مصنع بالمطعم)")+0.004166666667*SUMIFS(الريسبي!$C$2:$C$1800,الريسبي!$A$2:$A$1800,$A128,الريسبي!$B$2:$B$1800,"عجين كريب صيامي (بدون لبن)")</f>
        <v>0</v>
      </c>
      <c r="AR128" s="117" t="n">
        <f aca="false">SUMIFS(الريسبي!$C$2:$C$1800,الريسبي!$A$2:$A$1800,$A128,الريسبي!$B$2:$B$1800,AR$1)</f>
        <v>0</v>
      </c>
      <c r="AS128" s="117" t="n">
        <f aca="false">SUMIFS(الريسبي!$C$2:$C$1800,الريسبي!$A$2:$A$1800,$A128,الريسبي!$B$2:$B$1800,AS$1)</f>
        <v>0</v>
      </c>
      <c r="AT128" s="117" t="n">
        <f aca="false">SUMIFS(الريسبي!$C$2:$C$1800,الريسبي!$A$2:$A$1800,$A128,الريسبي!$B$2:$B$1800,AT$1)</f>
        <v>0</v>
      </c>
      <c r="AU128" s="117" t="n">
        <f aca="false">SUMIFS(الريسبي!$C$2:$C$1800,الريسبي!$A$2:$A$1800,$A128,الريسبي!$B$2:$B$1800,AU$1)</f>
        <v>0</v>
      </c>
      <c r="AV128" s="117" t="n">
        <f aca="false">SUMIFS(الريسبي!$C$2:$C$1800,الريسبي!$A$2:$A$1800,$A128,الريسبي!$B$2:$B$1800,AV$1)</f>
        <v>0</v>
      </c>
      <c r="AW128" s="117" t="n">
        <f aca="false">SUMIFS(الريسبي!$C$2:$C$1800,الريسبي!$A$2:$A$1800,$A128,الريسبي!$B$2:$B$1800,AW$1)</f>
        <v>0</v>
      </c>
      <c r="AX128" s="117" t="n">
        <f aca="false">SUMIFS(الريسبي!$C$2:$C$1800,الريسبي!$A$2:$A$1800,$A128,الريسبي!$B$2:$B$1800,AX$1)</f>
        <v>0</v>
      </c>
      <c r="AY128" s="117" t="n">
        <f aca="false">SUMIFS(الريسبي!$C$2:$C$1800,الريسبي!$A$2:$A$1800,$A128,الريسبي!$B$2:$B$1800,AY$1)</f>
        <v>0</v>
      </c>
      <c r="AZ128" s="117" t="n">
        <f aca="false">SUMIFS(الريسبي!$C$2:$C$1800,الريسبي!$A$2:$A$1800,$A128,الريسبي!$B$2:$B$1800,AZ$1)</f>
        <v>0</v>
      </c>
      <c r="BA128" s="117" t="n">
        <f aca="false">SUMIFS(الريسبي!$C$2:$C$1800,الريسبي!$A$2:$A$1800,$A128,الريسبي!$B$2:$B$1800,BA$1)</f>
        <v>0</v>
      </c>
      <c r="BB128" s="117" t="n">
        <f aca="false">SUMIFS(الريسبي!$C$2:$C$1800,الريسبي!$A$2:$A$1800,$A128,الريسبي!$B$2:$B$1800,BB$1)</f>
        <v>0</v>
      </c>
      <c r="BC128" s="117" t="n">
        <f aca="false">SUMIFS(الريسبي!$C$2:$C$1800,الريسبي!$A$2:$A$1800,$A128,الريسبي!$B$2:$B$1800,BC$1)</f>
        <v>0</v>
      </c>
      <c r="BD128" s="117" t="n">
        <f aca="false">SUMIFS(الريسبي!$C$2:$C$1800,الريسبي!$A$2:$A$1800,$A128,الريسبي!$B$2:$B$1800,BD$1)</f>
        <v>0</v>
      </c>
      <c r="BE128" s="117" t="n">
        <f aca="false">SUMIFS(الريسبي!$C$2:$C$1800,الريسبي!$A$2:$A$1800,$A128,الريسبي!$B$2:$B$1800,BE$1)</f>
        <v>0</v>
      </c>
      <c r="BF128" s="117" t="n">
        <f aca="false">SUMIFS(الريسبي!$C$2:$C$1800,الريسبي!$A$2:$A$1800,$A128,الريسبي!$B$2:$B$1800,BF$1)</f>
        <v>0</v>
      </c>
      <c r="BG128" s="117" t="n">
        <f aca="false">SUMIFS(الريسبي!$C$2:$C$1800,الريسبي!$A$2:$A$1800,$A128,الريسبي!$B$2:$B$1800,BG$1)</f>
        <v>0</v>
      </c>
      <c r="BH128" s="117" t="n">
        <f aca="false">SUMIFS(الريسبي!$C$2:$C$1800,الريسبي!$A$2:$A$1800,$A128,الريسبي!$B$2:$B$1800,BH$1)</f>
        <v>0</v>
      </c>
      <c r="BI128" s="117" t="n">
        <f aca="false">SUMIFS(الريسبي!$C$2:$C$1800,الريسبي!$A$2:$A$1800,$A128,الريسبي!$B$2:$B$1800,BI$1)</f>
        <v>0</v>
      </c>
      <c r="BJ128" s="117" t="n">
        <f aca="false">SUMIFS(الريسبي!$C$2:$C$1800,الريسبي!$A$2:$A$1800,$A128,الريسبي!$B$2:$B$1800,BJ$1)</f>
        <v>0</v>
      </c>
      <c r="BK128" s="117" t="n">
        <f aca="false">SUMIFS(الريسبي!$C$2:$C$1800,الريسبي!$A$2:$A$1800,$A128,الريسبي!$B$2:$B$1800,BK$1)</f>
        <v>0</v>
      </c>
      <c r="BL128" s="117" t="n">
        <f aca="false">SUMIFS(الريسبي!$C$2:$C$1800,الريسبي!$A$2:$A$1800,$A128,الريسبي!$B$2:$B$1800,BL$1)</f>
        <v>0</v>
      </c>
      <c r="BM128" s="117" t="n">
        <f aca="false">SUMIFS(الريسبي!$C$2:$C$1800,الريسبي!$A$2:$A$1800,$A128,الريسبي!$B$2:$B$1800,BM$1)</f>
        <v>0</v>
      </c>
      <c r="BN128" s="117" t="n">
        <f aca="false">SUMIFS(الريسبي!$C$2:$C$1800,الريسبي!$A$2:$A$1800,$A128,الريسبي!$B$2:$B$1800,BN$1)</f>
        <v>0</v>
      </c>
      <c r="BO128" s="117" t="n">
        <f aca="false">SUMIFS(الريسبي!$C$2:$C$1800,الريسبي!$A$2:$A$1800,$A128,الريسبي!$B$2:$B$1800,BO$1)</f>
        <v>2</v>
      </c>
      <c r="BP128" s="117" t="n">
        <f aca="false">SUMIFS(الريسبي!$C$2:$C$1800,الريسبي!$A$2:$A$1800,$A128,الريسبي!$B$2:$B$1800,BP$1)</f>
        <v>0</v>
      </c>
      <c r="BQ128" s="117" t="n">
        <f aca="false">SUMIFS(الريسبي!$C$2:$C$1800,الريسبي!$A$2:$A$1800,$A128,الريسبي!$B$2:$B$1800,BQ$1)+0.17*SUMIFS(الريسبي!$C$2:$C$1800,الريسبي!$A$2:$A$1800,$A128,الريسبي!$B$2:$B$1800,"كاسترد مصنع (خليط بودر + لبن)")+0.17*SUMIFS(الريسبي!$C$2:$C$1800,الريسبي!$A$2:$A$1800,$A128,الريسبي!$B$2:$B$1800,"كاسترد مصنع صيامي (بدون لبن)")</f>
        <v>0</v>
      </c>
      <c r="BR128" s="117" t="n">
        <f aca="false">SUMIFS(الريسبي!$C$2:$C$1800,الريسبي!$A$2:$A$1800,$A128,الريسبي!$B$2:$B$1800,BR$1)</f>
        <v>0</v>
      </c>
      <c r="BS128" s="117" t="n">
        <f aca="false">SUMIFS(الريسبي!$C$2:$C$1800,الريسبي!$A$2:$A$1800,$A128,الريسبي!$B$2:$B$1800,BS$1)</f>
        <v>0</v>
      </c>
      <c r="BT128" s="117" t="n">
        <f aca="false">SUMIFS(الريسبي!$C$2:$C$1800,الريسبي!$A$2:$A$1800,$A128,الريسبي!$B$2:$B$1800,BT$1)</f>
        <v>0</v>
      </c>
      <c r="BU128" s="117" t="n">
        <f aca="false">SUMIFS(الريسبي!$C$2:$C$1800,الريسبي!$A$2:$A$1800,$A128,الريسبي!$B$2:$B$1800,BU$1)+0.4*SUMIFS(الريسبي!$C$2:$C$1800,الريسبي!$A$2:$A$1800,$A128,الريسبي!$B$2:$B$1800,"كاسترد مصنع (خليط بودر + لبن)")+0.03333333333*SUMIFS(الريسبي!$C$2:$C$1800,الريسبي!$A$2:$A$1800,$A128,الريسبي!$B$2:$B$1800,"عجين كريب (مصنع بالمطعم)")</f>
        <v>0</v>
      </c>
      <c r="BV128" s="117" t="n">
        <f aca="false">SUMIFS(الريسبي!$C$2:$C$1800,الريسبي!$A$2:$A$1800,$A128,الريسبي!$B$2:$B$1800,BV$1)</f>
        <v>0</v>
      </c>
      <c r="BW128" s="117" t="n">
        <f aca="false">SUMIFS(الريسبي!$C$2:$C$1800,الريسبي!$A$2:$A$1800,$A128,الريسبي!$B$2:$B$1800,BW$1)</f>
        <v>0</v>
      </c>
      <c r="BX128" s="117" t="n">
        <f aca="false">SUMIFS(الريسبي!$C$2:$C$1800,الريسبي!$A$2:$A$1800,$A128,الريسبي!$B$2:$B$1800,BX$1)</f>
        <v>0</v>
      </c>
      <c r="BY128" s="117" t="n">
        <f aca="false">SUMIFS(الريسبي!$C$2:$C$1800,الريسبي!$A$2:$A$1800,$A128,الريسبي!$B$2:$B$1800,BY$1)</f>
        <v>0</v>
      </c>
      <c r="BZ128" s="117" t="n">
        <f aca="false">SUMIFS(الريسبي!$C$2:$C$1800,الريسبي!$A$2:$A$1800,$A128,الريسبي!$B$2:$B$1800,BZ$1)</f>
        <v>0</v>
      </c>
      <c r="CA128" s="117" t="n">
        <f aca="false">SUMIFS(الريسبي!$C$2:$C$1800,الريسبي!$A$2:$A$1800,$A128,الريسبي!$B$2:$B$1800,CA$1)</f>
        <v>0</v>
      </c>
      <c r="CB128" s="117" t="n">
        <f aca="false">SUMIFS(الريسبي!$C$2:$C$1800,الريسبي!$A$2:$A$1800,$A128,الريسبي!$B$2:$B$1800,CB$1)</f>
        <v>0</v>
      </c>
      <c r="CC128" s="117" t="n">
        <f aca="false">SUMIFS(الريسبي!$C$2:$C$1800,الريسبي!$A$2:$A$1800,$A128,الريسبي!$B$2:$B$1800,CC$1)</f>
        <v>0</v>
      </c>
      <c r="CD128" s="117" t="n">
        <f aca="false">SUMIFS(الريسبي!$C$2:$C$1800,الريسبي!$A$2:$A$1800,$A128,الريسبي!$B$2:$B$1800,CD$1)</f>
        <v>0</v>
      </c>
      <c r="CE128" s="117" t="n">
        <f aca="false">SUMIFS(الريسبي!$C$2:$C$1800,الريسبي!$A$2:$A$1800,$A128,الريسبي!$B$2:$B$1800,CE$1)</f>
        <v>0</v>
      </c>
      <c r="CF128" s="117" t="n">
        <f aca="false">SUMIFS(الريسبي!$C$2:$C$1800,الريسبي!$A$2:$A$1800,$A128,الريسبي!$B$2:$B$1800,CF$1)</f>
        <v>0</v>
      </c>
      <c r="CG128" s="117" t="n">
        <f aca="false">SUMIFS(الريسبي!$C$2:$C$1800,الريسبي!$A$2:$A$1800,$A128,الريسبي!$B$2:$B$1800,CG$1)</f>
        <v>0</v>
      </c>
      <c r="CH128" s="117" t="n">
        <f aca="false">SUMIFS(الريسبي!$C$2:$C$1800,الريسبي!$A$2:$A$1800,$A128,الريسبي!$B$2:$B$1800,CH$1)</f>
        <v>0</v>
      </c>
      <c r="CI128" s="117" t="n">
        <f aca="false">SUMIFS(الريسبي!$C$2:$C$1800,الريسبي!$A$2:$A$1800,$A128,الريسبي!$B$2:$B$1800,CI$1)</f>
        <v>0</v>
      </c>
      <c r="CJ128" s="117" t="n">
        <f aca="false">SUMIFS(الريسبي!$C$2:$C$1800,الريسبي!$A$2:$A$1800,$A128,الريسبي!$B$2:$B$1800,CJ$1)</f>
        <v>0</v>
      </c>
      <c r="CK128" s="117" t="n">
        <f aca="false">SUMIFS(الريسبي!$C$2:$C$1800,الريسبي!$A$2:$A$1800,$A128,الريسبي!$B$2:$B$1800,CK$1)</f>
        <v>0</v>
      </c>
      <c r="CL128" s="117" t="n">
        <f aca="false">SUMIFS(الريسبي!$C$2:$C$1800,الريسبي!$A$2:$A$1800,$A128,الريسبي!$B$2:$B$1800,CL$1)</f>
        <v>0</v>
      </c>
    </row>
    <row r="129" customFormat="false" ht="15" hidden="false" customHeight="false" outlineLevel="0" collapsed="false">
      <c r="A129" s="116" t="str">
        <f aca="false">المنيو!B129</f>
        <v>اضافة جبنة كيري (فطير L)</v>
      </c>
      <c r="B129" s="117" t="n">
        <f aca="false">SUMIFS(الريسبي!$C$2:$C$1800,الريسبي!$A$2:$A$1800,$A129,الريسبي!$B$2:$B$1800,B$1)</f>
        <v>0</v>
      </c>
      <c r="C129" s="117" t="n">
        <f aca="false">SUMIFS(الريسبي!$C$2:$C$1800,الريسبي!$A$2:$A$1800,$A129,الريسبي!$B$2:$B$1800,C$1)</f>
        <v>0</v>
      </c>
      <c r="D129" s="117" t="n">
        <f aca="false">SUMIFS(الريسبي!$C$2:$C$1800,الريسبي!$A$2:$A$1800,$A129,الريسبي!$B$2:$B$1800,D$1)</f>
        <v>0</v>
      </c>
      <c r="E129" s="117" t="n">
        <f aca="false">SUMIFS(الريسبي!$C$2:$C$1800,الريسبي!$A$2:$A$1800,$A129,الريسبي!$B$2:$B$1800,E$1)</f>
        <v>0</v>
      </c>
      <c r="F129" s="117" t="n">
        <f aca="false">SUMIFS(الريسبي!$C$2:$C$1800,الريسبي!$A$2:$A$1800,$A129,الريسبي!$B$2:$B$1800,F$1)</f>
        <v>0</v>
      </c>
      <c r="G129" s="117" t="n">
        <f aca="false">SUMIFS(الريسبي!$C$2:$C$1800,الريسبي!$A$2:$A$1800,$A129,الريسبي!$B$2:$B$1800,G$1)</f>
        <v>0</v>
      </c>
      <c r="H129" s="117" t="n">
        <f aca="false">SUMIFS(الريسبي!$C$2:$C$1800,الريسبي!$A$2:$A$1800,$A129,الريسبي!$B$2:$B$1800,H$1)</f>
        <v>0</v>
      </c>
      <c r="I129" s="117" t="n">
        <f aca="false">SUMIFS(الريسبي!$C$2:$C$1800,الريسبي!$A$2:$A$1800,$A129,الريسبي!$B$2:$B$1800,I$1)</f>
        <v>0</v>
      </c>
      <c r="J129" s="117" t="n">
        <f aca="false">SUMIFS(الريسبي!$C$2:$C$1800,الريسبي!$A$2:$A$1800,$A129,الريسبي!$B$2:$B$1800,J$1)</f>
        <v>0</v>
      </c>
      <c r="K129" s="117" t="n">
        <f aca="false">SUMIFS(الريسبي!$C$2:$C$1800,الريسبي!$A$2:$A$1800,$A129,الريسبي!$B$2:$B$1800,K$1)</f>
        <v>0</v>
      </c>
      <c r="L129" s="117" t="n">
        <f aca="false">SUMIFS(الريسبي!$C$2:$C$1800,الريسبي!$A$2:$A$1800,$A129,الريسبي!$B$2:$B$1800,L$1)</f>
        <v>0</v>
      </c>
      <c r="M129" s="117" t="n">
        <f aca="false">SUMIFS(الريسبي!$C$2:$C$1800,الريسبي!$A$2:$A$1800,$A129,الريسبي!$B$2:$B$1800,M$1)</f>
        <v>0</v>
      </c>
      <c r="N129" s="117" t="n">
        <f aca="false">SUMIFS(الريسبي!$C$2:$C$1800,الريسبي!$A$2:$A$1800,$A129,الريسبي!$B$2:$B$1800,N$1)</f>
        <v>0</v>
      </c>
      <c r="O129" s="117" t="n">
        <f aca="false">SUMIFS(الريسبي!$C$2:$C$1800,الريسبي!$A$2:$A$1800,$A129,الريسبي!$B$2:$B$1800,O$1)</f>
        <v>0</v>
      </c>
      <c r="P129" s="117" t="n">
        <f aca="false">SUMIFS(الريسبي!$C$2:$C$1800,الريسبي!$A$2:$A$1800,$A129,الريسبي!$B$2:$B$1800,P$1)</f>
        <v>0</v>
      </c>
      <c r="Q129" s="117" t="n">
        <f aca="false">SUMIFS(الريسبي!$C$2:$C$1800,الريسبي!$A$2:$A$1800,$A129,الريسبي!$B$2:$B$1800,Q$1)</f>
        <v>0</v>
      </c>
      <c r="R129" s="117" t="n">
        <f aca="false">SUMIFS(الريسبي!$C$2:$C$1800,الريسبي!$A$2:$A$1800,$A129,الريسبي!$B$2:$B$1800,R$1)</f>
        <v>0</v>
      </c>
      <c r="S129" s="117" t="n">
        <f aca="false">SUMIFS(الريسبي!$C$2:$C$1800,الريسبي!$A$2:$A$1800,$A129,الريسبي!$B$2:$B$1800,S$1)</f>
        <v>0</v>
      </c>
      <c r="T129" s="117" t="n">
        <f aca="false">SUMIFS(الريسبي!$C$2:$C$1800,الريسبي!$A$2:$A$1800,$A129,الريسبي!$B$2:$B$1800,T$1)</f>
        <v>0</v>
      </c>
      <c r="U129" s="117" t="n">
        <f aca="false">SUMIFS(الريسبي!$C$2:$C$1800,الريسبي!$A$2:$A$1800,$A129,الريسبي!$B$2:$B$1800,U$1)</f>
        <v>0</v>
      </c>
      <c r="V129" s="117" t="n">
        <f aca="false">SUMIFS(الريسبي!$C$2:$C$1800,الريسبي!$A$2:$A$1800,$A129,الريسبي!$B$2:$B$1800,V$1)+1.5*(SUMIFS(الريسبي!$C$2:$C$1800,الريسبي!$A$2:$A$1800,$A129,الريسبي!$B$2:$B$1800,"برسيون موتزريلا بيتزا كبير"))</f>
        <v>0</v>
      </c>
      <c r="W129" s="117" t="n">
        <f aca="false">0</f>
        <v>0</v>
      </c>
      <c r="X129" s="117" t="n">
        <f aca="false">SUMIFS(الريسبي!$C$2:$C$1800,الريسبي!$A$2:$A$1800,$A129,الريسبي!$B$2:$B$1800,X$1)+1.5*(SUMIFS(الريسبي!$C$2:$C$1800,الريسبي!$A$2:$A$1800,$A129,الريسبي!$B$2:$B$1800,"برسيون موتزريلا فطير كبير"))</f>
        <v>0</v>
      </c>
      <c r="Y129" s="117" t="n">
        <f aca="false">0</f>
        <v>0</v>
      </c>
      <c r="Z129" s="117" t="n">
        <f aca="false">SUMIFS(الريسبي!$C$2:$C$1800,الريسبي!$A$2:$A$1800,$A129,الريسبي!$B$2:$B$1800,Z$1)</f>
        <v>0</v>
      </c>
      <c r="AA129" s="117" t="n">
        <f aca="false">SUMIFS(الريسبي!$C$2:$C$1800,الريسبي!$A$2:$A$1800,$A129,الريسبي!$B$2:$B$1800,AA$1)</f>
        <v>0</v>
      </c>
      <c r="AB129" s="117" t="n">
        <f aca="false">SUMIFS(الريسبي!$C$2:$C$1800,الريسبي!$A$2:$A$1800,$A129,الريسبي!$B$2:$B$1800,AB$1)</f>
        <v>0</v>
      </c>
      <c r="AC129" s="117" t="n">
        <f aca="false">SUMIFS(الريسبي!$C$2:$C$1800,الريسبي!$A$2:$A$1800,$A129,الريسبي!$B$2:$B$1800,AC$1)</f>
        <v>0</v>
      </c>
      <c r="AD129" s="117" t="n">
        <f aca="false">SUMIFS(الريسبي!$C$2:$C$1800,الريسبي!$A$2:$A$1800,$A129,الريسبي!$B$2:$B$1800,AD$1)</f>
        <v>0</v>
      </c>
      <c r="AE129" s="117" t="n">
        <f aca="false">SUMIFS(الريسبي!$C$2:$C$1800,الريسبي!$A$2:$A$1800,$A129,الريسبي!$B$2:$B$1800,AE$1)</f>
        <v>0</v>
      </c>
      <c r="AF129" s="117" t="n">
        <f aca="false">SUMIFS(الريسبي!$C$2:$C$1800,الريسبي!$A$2:$A$1800,$A129,الريسبي!$B$2:$B$1800,AF$1)</f>
        <v>0</v>
      </c>
      <c r="AG129" s="117" t="n">
        <f aca="false">SUMIFS(الريسبي!$C$2:$C$1800,الريسبي!$A$2:$A$1800,$A129,الريسبي!$B$2:$B$1800,AG$1)</f>
        <v>0</v>
      </c>
      <c r="AH129" s="117" t="n">
        <f aca="false">SUMIFS(الريسبي!$C$2:$C$1800,الريسبي!$A$2:$A$1800,$A129,الريسبي!$B$2:$B$1800,AH$1)</f>
        <v>0</v>
      </c>
      <c r="AI129" s="117" t="n">
        <f aca="false">SUMIFS(الريسبي!$C$2:$C$1800,الريسبي!$A$2:$A$1800,$A129,الريسبي!$B$2:$B$1800,AI$1)</f>
        <v>0</v>
      </c>
      <c r="AJ129" s="117" t="n">
        <f aca="false">SUMIFS(الريسبي!$C$2:$C$1800,الريسبي!$A$2:$A$1800,$A129,الريسبي!$B$2:$B$1800,AJ$1)</f>
        <v>0</v>
      </c>
      <c r="AK129" s="117" t="n">
        <f aca="false">SUMIFS(الريسبي!$C$2:$C$1800,الريسبي!$A$2:$A$1800,$A129,الريسبي!$B$2:$B$1800,AK$1)</f>
        <v>0</v>
      </c>
      <c r="AL129" s="117" t="n">
        <f aca="false">SUMIFS(الريسبي!$C$2:$C$1800,الريسبي!$A$2:$A$1800,$A129,الريسبي!$B$2:$B$1800,AL$1)</f>
        <v>0</v>
      </c>
      <c r="AM129" s="117" t="n">
        <f aca="false">SUMIFS(الريسبي!$C$2:$C$1800,الريسبي!$A$2:$A$1800,$A129,الريسبي!$B$2:$B$1800,AM$1)+0.08333333333*SUMIFS(الريسبي!$C$2:$C$1800,الريسبي!$A$2:$A$1800,$A129,الريسبي!$B$2:$B$1800,"عجين كريب (مصنع بالمطعم)")+0.08333333333*SUMIFS(الريسبي!$C$2:$C$1800,الريسبي!$A$2:$A$1800,$A129,الريسبي!$B$2:$B$1800,"عجين كريب صيامي (بدون لبن)")</f>
        <v>0</v>
      </c>
      <c r="AN129" s="117" t="n">
        <f aca="false">SUMIFS(الريسبي!$C$2:$C$1800,الريسبي!$A$2:$A$1800,$A129,الريسبي!$B$2:$B$1800,AN$1)+0.004166666667*SUMIFS(الريسبي!$C$2:$C$1800,الريسبي!$A$2:$A$1800,$A129,الريسبي!$B$2:$B$1800,"عجين كريب (مصنع بالمطعم)")+0.004166666667*SUMIFS(الريسبي!$C$2:$C$1800,الريسبي!$A$2:$A$1800,$A129,الريسبي!$B$2:$B$1800,"عجين كريب صيامي (بدون لبن)")</f>
        <v>0</v>
      </c>
      <c r="AO129" s="117" t="n">
        <f aca="false">SUMIFS(الريسبي!$C$2:$C$1800,الريسبي!$A$2:$A$1800,$A129,الريسبي!$B$2:$B$1800,AO$1)</f>
        <v>0</v>
      </c>
      <c r="AP129" s="117" t="n">
        <f aca="false">SUMIFS(الريسبي!$C$2:$C$1800,الريسبي!$A$2:$A$1800,$A129,الريسبي!$B$2:$B$1800,AP$1)</f>
        <v>0</v>
      </c>
      <c r="AQ129" s="117" t="n">
        <f aca="false">SUMIFS(الريسبي!$C$2:$C$1800,الريسبي!$A$2:$A$1800,$A129,الريسبي!$B$2:$B$1800,AQ$1)+0.004166666667*SUMIFS(الريسبي!$C$2:$C$1800,الريسبي!$A$2:$A$1800,$A129,الريسبي!$B$2:$B$1800,"عجين كريب (مصنع بالمطعم)")+0.004166666667*SUMIFS(الريسبي!$C$2:$C$1800,الريسبي!$A$2:$A$1800,$A129,الريسبي!$B$2:$B$1800,"عجين كريب صيامي (بدون لبن)")</f>
        <v>0</v>
      </c>
      <c r="AR129" s="117" t="n">
        <f aca="false">SUMIFS(الريسبي!$C$2:$C$1800,الريسبي!$A$2:$A$1800,$A129,الريسبي!$B$2:$B$1800,AR$1)</f>
        <v>0</v>
      </c>
      <c r="AS129" s="117" t="n">
        <f aca="false">SUMIFS(الريسبي!$C$2:$C$1800,الريسبي!$A$2:$A$1800,$A129,الريسبي!$B$2:$B$1800,AS$1)</f>
        <v>0</v>
      </c>
      <c r="AT129" s="117" t="n">
        <f aca="false">SUMIFS(الريسبي!$C$2:$C$1800,الريسبي!$A$2:$A$1800,$A129,الريسبي!$B$2:$B$1800,AT$1)</f>
        <v>0</v>
      </c>
      <c r="AU129" s="117" t="n">
        <f aca="false">SUMIFS(الريسبي!$C$2:$C$1800,الريسبي!$A$2:$A$1800,$A129,الريسبي!$B$2:$B$1800,AU$1)</f>
        <v>0</v>
      </c>
      <c r="AV129" s="117" t="n">
        <f aca="false">SUMIFS(الريسبي!$C$2:$C$1800,الريسبي!$A$2:$A$1800,$A129,الريسبي!$B$2:$B$1800,AV$1)</f>
        <v>0</v>
      </c>
      <c r="AW129" s="117" t="n">
        <f aca="false">SUMIFS(الريسبي!$C$2:$C$1800,الريسبي!$A$2:$A$1800,$A129,الريسبي!$B$2:$B$1800,AW$1)</f>
        <v>0</v>
      </c>
      <c r="AX129" s="117" t="n">
        <f aca="false">SUMIFS(الريسبي!$C$2:$C$1800,الريسبي!$A$2:$A$1800,$A129,الريسبي!$B$2:$B$1800,AX$1)</f>
        <v>0</v>
      </c>
      <c r="AY129" s="117" t="n">
        <f aca="false">SUMIFS(الريسبي!$C$2:$C$1800,الريسبي!$A$2:$A$1800,$A129,الريسبي!$B$2:$B$1800,AY$1)</f>
        <v>0</v>
      </c>
      <c r="AZ129" s="117" t="n">
        <f aca="false">SUMIFS(الريسبي!$C$2:$C$1800,الريسبي!$A$2:$A$1800,$A129,الريسبي!$B$2:$B$1800,AZ$1)</f>
        <v>0</v>
      </c>
      <c r="BA129" s="117" t="n">
        <f aca="false">SUMIFS(الريسبي!$C$2:$C$1800,الريسبي!$A$2:$A$1800,$A129,الريسبي!$B$2:$B$1800,BA$1)</f>
        <v>0</v>
      </c>
      <c r="BB129" s="117" t="n">
        <f aca="false">SUMIFS(الريسبي!$C$2:$C$1800,الريسبي!$A$2:$A$1800,$A129,الريسبي!$B$2:$B$1800,BB$1)</f>
        <v>0</v>
      </c>
      <c r="BC129" s="117" t="n">
        <f aca="false">SUMIFS(الريسبي!$C$2:$C$1800,الريسبي!$A$2:$A$1800,$A129,الريسبي!$B$2:$B$1800,BC$1)</f>
        <v>0</v>
      </c>
      <c r="BD129" s="117" t="n">
        <f aca="false">SUMIFS(الريسبي!$C$2:$C$1800,الريسبي!$A$2:$A$1800,$A129,الريسبي!$B$2:$B$1800,BD$1)</f>
        <v>0</v>
      </c>
      <c r="BE129" s="117" t="n">
        <f aca="false">SUMIFS(الريسبي!$C$2:$C$1800,الريسبي!$A$2:$A$1800,$A129,الريسبي!$B$2:$B$1800,BE$1)</f>
        <v>0</v>
      </c>
      <c r="BF129" s="117" t="n">
        <f aca="false">SUMIFS(الريسبي!$C$2:$C$1800,الريسبي!$A$2:$A$1800,$A129,الريسبي!$B$2:$B$1800,BF$1)</f>
        <v>0</v>
      </c>
      <c r="BG129" s="117" t="n">
        <f aca="false">SUMIFS(الريسبي!$C$2:$C$1800,الريسبي!$A$2:$A$1800,$A129,الريسبي!$B$2:$B$1800,BG$1)</f>
        <v>0</v>
      </c>
      <c r="BH129" s="117" t="n">
        <f aca="false">SUMIFS(الريسبي!$C$2:$C$1800,الريسبي!$A$2:$A$1800,$A129,الريسبي!$B$2:$B$1800,BH$1)</f>
        <v>0</v>
      </c>
      <c r="BI129" s="117" t="n">
        <f aca="false">SUMIFS(الريسبي!$C$2:$C$1800,الريسبي!$A$2:$A$1800,$A129,الريسبي!$B$2:$B$1800,BI$1)</f>
        <v>0</v>
      </c>
      <c r="BJ129" s="117" t="n">
        <f aca="false">SUMIFS(الريسبي!$C$2:$C$1800,الريسبي!$A$2:$A$1800,$A129,الريسبي!$B$2:$B$1800,BJ$1)</f>
        <v>0</v>
      </c>
      <c r="BK129" s="117" t="n">
        <f aca="false">SUMIFS(الريسبي!$C$2:$C$1800,الريسبي!$A$2:$A$1800,$A129,الريسبي!$B$2:$B$1800,BK$1)</f>
        <v>0</v>
      </c>
      <c r="BL129" s="117" t="n">
        <f aca="false">SUMIFS(الريسبي!$C$2:$C$1800,الريسبي!$A$2:$A$1800,$A129,الريسبي!$B$2:$B$1800,BL$1)</f>
        <v>0</v>
      </c>
      <c r="BM129" s="117" t="n">
        <f aca="false">SUMIFS(الريسبي!$C$2:$C$1800,الريسبي!$A$2:$A$1800,$A129,الريسبي!$B$2:$B$1800,BM$1)</f>
        <v>0</v>
      </c>
      <c r="BN129" s="117" t="n">
        <f aca="false">SUMIFS(الريسبي!$C$2:$C$1800,الريسبي!$A$2:$A$1800,$A129,الريسبي!$B$2:$B$1800,BN$1)</f>
        <v>0</v>
      </c>
      <c r="BO129" s="117" t="n">
        <f aca="false">SUMIFS(الريسبي!$C$2:$C$1800,الريسبي!$A$2:$A$1800,$A129,الريسبي!$B$2:$B$1800,BO$1)</f>
        <v>3</v>
      </c>
      <c r="BP129" s="117" t="n">
        <f aca="false">SUMIFS(الريسبي!$C$2:$C$1800,الريسبي!$A$2:$A$1800,$A129,الريسبي!$B$2:$B$1800,BP$1)</f>
        <v>0</v>
      </c>
      <c r="BQ129" s="117" t="n">
        <f aca="false">SUMIFS(الريسبي!$C$2:$C$1800,الريسبي!$A$2:$A$1800,$A129,الريسبي!$B$2:$B$1800,BQ$1)+0.17*SUMIFS(الريسبي!$C$2:$C$1800,الريسبي!$A$2:$A$1800,$A129,الريسبي!$B$2:$B$1800,"كاسترد مصنع (خليط بودر + لبن)")+0.17*SUMIFS(الريسبي!$C$2:$C$1800,الريسبي!$A$2:$A$1800,$A129,الريسبي!$B$2:$B$1800,"كاسترد مصنع صيامي (بدون لبن)")</f>
        <v>0</v>
      </c>
      <c r="BR129" s="117" t="n">
        <f aca="false">SUMIFS(الريسبي!$C$2:$C$1800,الريسبي!$A$2:$A$1800,$A129,الريسبي!$B$2:$B$1800,BR$1)</f>
        <v>0</v>
      </c>
      <c r="BS129" s="117" t="n">
        <f aca="false">SUMIFS(الريسبي!$C$2:$C$1800,الريسبي!$A$2:$A$1800,$A129,الريسبي!$B$2:$B$1800,BS$1)</f>
        <v>0</v>
      </c>
      <c r="BT129" s="117" t="n">
        <f aca="false">SUMIFS(الريسبي!$C$2:$C$1800,الريسبي!$A$2:$A$1800,$A129,الريسبي!$B$2:$B$1800,BT$1)</f>
        <v>0</v>
      </c>
      <c r="BU129" s="117" t="n">
        <f aca="false">SUMIFS(الريسبي!$C$2:$C$1800,الريسبي!$A$2:$A$1800,$A129,الريسبي!$B$2:$B$1800,BU$1)+0.4*SUMIFS(الريسبي!$C$2:$C$1800,الريسبي!$A$2:$A$1800,$A129,الريسبي!$B$2:$B$1800,"كاسترد مصنع (خليط بودر + لبن)")+0.03333333333*SUMIFS(الريسبي!$C$2:$C$1800,الريسبي!$A$2:$A$1800,$A129,الريسبي!$B$2:$B$1800,"عجين كريب (مصنع بالمطعم)")</f>
        <v>0</v>
      </c>
      <c r="BV129" s="117" t="n">
        <f aca="false">SUMIFS(الريسبي!$C$2:$C$1800,الريسبي!$A$2:$A$1800,$A129,الريسبي!$B$2:$B$1800,BV$1)</f>
        <v>0</v>
      </c>
      <c r="BW129" s="117" t="n">
        <f aca="false">SUMIFS(الريسبي!$C$2:$C$1800,الريسبي!$A$2:$A$1800,$A129,الريسبي!$B$2:$B$1800,BW$1)</f>
        <v>0</v>
      </c>
      <c r="BX129" s="117" t="n">
        <f aca="false">SUMIFS(الريسبي!$C$2:$C$1800,الريسبي!$A$2:$A$1800,$A129,الريسبي!$B$2:$B$1800,BX$1)</f>
        <v>0</v>
      </c>
      <c r="BY129" s="117" t="n">
        <f aca="false">SUMIFS(الريسبي!$C$2:$C$1800,الريسبي!$A$2:$A$1800,$A129,الريسبي!$B$2:$B$1800,BY$1)</f>
        <v>0</v>
      </c>
      <c r="BZ129" s="117" t="n">
        <f aca="false">SUMIFS(الريسبي!$C$2:$C$1800,الريسبي!$A$2:$A$1800,$A129,الريسبي!$B$2:$B$1800,BZ$1)</f>
        <v>0</v>
      </c>
      <c r="CA129" s="117" t="n">
        <f aca="false">SUMIFS(الريسبي!$C$2:$C$1800,الريسبي!$A$2:$A$1800,$A129,الريسبي!$B$2:$B$1800,CA$1)</f>
        <v>0</v>
      </c>
      <c r="CB129" s="117" t="n">
        <f aca="false">SUMIFS(الريسبي!$C$2:$C$1800,الريسبي!$A$2:$A$1800,$A129,الريسبي!$B$2:$B$1800,CB$1)</f>
        <v>0</v>
      </c>
      <c r="CC129" s="117" t="n">
        <f aca="false">SUMIFS(الريسبي!$C$2:$C$1800,الريسبي!$A$2:$A$1800,$A129,الريسبي!$B$2:$B$1800,CC$1)</f>
        <v>0</v>
      </c>
      <c r="CD129" s="117" t="n">
        <f aca="false">SUMIFS(الريسبي!$C$2:$C$1800,الريسبي!$A$2:$A$1800,$A129,الريسبي!$B$2:$B$1800,CD$1)</f>
        <v>0</v>
      </c>
      <c r="CE129" s="117" t="n">
        <f aca="false">SUMIFS(الريسبي!$C$2:$C$1800,الريسبي!$A$2:$A$1800,$A129,الريسبي!$B$2:$B$1800,CE$1)</f>
        <v>0</v>
      </c>
      <c r="CF129" s="117" t="n">
        <f aca="false">SUMIFS(الريسبي!$C$2:$C$1800,الريسبي!$A$2:$A$1800,$A129,الريسبي!$B$2:$B$1800,CF$1)</f>
        <v>0</v>
      </c>
      <c r="CG129" s="117" t="n">
        <f aca="false">SUMIFS(الريسبي!$C$2:$C$1800,الريسبي!$A$2:$A$1800,$A129,الريسبي!$B$2:$B$1800,CG$1)</f>
        <v>0</v>
      </c>
      <c r="CH129" s="117" t="n">
        <f aca="false">SUMIFS(الريسبي!$C$2:$C$1800,الريسبي!$A$2:$A$1800,$A129,الريسبي!$B$2:$B$1800,CH$1)</f>
        <v>0</v>
      </c>
      <c r="CI129" s="117" t="n">
        <f aca="false">SUMIFS(الريسبي!$C$2:$C$1800,الريسبي!$A$2:$A$1800,$A129,الريسبي!$B$2:$B$1800,CI$1)</f>
        <v>0</v>
      </c>
      <c r="CJ129" s="117" t="n">
        <f aca="false">SUMIFS(الريسبي!$C$2:$C$1800,الريسبي!$A$2:$A$1800,$A129,الريسبي!$B$2:$B$1800,CJ$1)</f>
        <v>0</v>
      </c>
      <c r="CK129" s="117" t="n">
        <f aca="false">SUMIFS(الريسبي!$C$2:$C$1800,الريسبي!$A$2:$A$1800,$A129,الريسبي!$B$2:$B$1800,CK$1)</f>
        <v>0</v>
      </c>
      <c r="CL129" s="117" t="n">
        <f aca="false">SUMIFS(الريسبي!$C$2:$C$1800,الريسبي!$A$2:$A$1800,$A129,الريسبي!$B$2:$B$1800,CL$1)</f>
        <v>0</v>
      </c>
    </row>
    <row r="130" customFormat="false" ht="15" hidden="false" customHeight="false" outlineLevel="0" collapsed="false">
      <c r="A130" s="116" t="str">
        <f aca="false">المنيو!B130</f>
        <v>اضافة جبنة كيري (بيتزا وسط)</v>
      </c>
      <c r="B130" s="117" t="n">
        <f aca="false">SUMIFS(الريسبي!$C$2:$C$1800,الريسبي!$A$2:$A$1800,$A130,الريسبي!$B$2:$B$1800,B$1)</f>
        <v>0</v>
      </c>
      <c r="C130" s="117" t="n">
        <f aca="false">SUMIFS(الريسبي!$C$2:$C$1800,الريسبي!$A$2:$A$1800,$A130,الريسبي!$B$2:$B$1800,C$1)</f>
        <v>0</v>
      </c>
      <c r="D130" s="117" t="n">
        <f aca="false">SUMIFS(الريسبي!$C$2:$C$1800,الريسبي!$A$2:$A$1800,$A130,الريسبي!$B$2:$B$1800,D$1)</f>
        <v>0</v>
      </c>
      <c r="E130" s="117" t="n">
        <f aca="false">SUMIFS(الريسبي!$C$2:$C$1800,الريسبي!$A$2:$A$1800,$A130,الريسبي!$B$2:$B$1800,E$1)</f>
        <v>0</v>
      </c>
      <c r="F130" s="117" t="n">
        <f aca="false">SUMIFS(الريسبي!$C$2:$C$1800,الريسبي!$A$2:$A$1800,$A130,الريسبي!$B$2:$B$1800,F$1)</f>
        <v>0</v>
      </c>
      <c r="G130" s="117" t="n">
        <f aca="false">SUMIFS(الريسبي!$C$2:$C$1800,الريسبي!$A$2:$A$1800,$A130,الريسبي!$B$2:$B$1800,G$1)</f>
        <v>0</v>
      </c>
      <c r="H130" s="117" t="n">
        <f aca="false">SUMIFS(الريسبي!$C$2:$C$1800,الريسبي!$A$2:$A$1800,$A130,الريسبي!$B$2:$B$1800,H$1)</f>
        <v>0</v>
      </c>
      <c r="I130" s="117" t="n">
        <f aca="false">SUMIFS(الريسبي!$C$2:$C$1800,الريسبي!$A$2:$A$1800,$A130,الريسبي!$B$2:$B$1800,I$1)</f>
        <v>0</v>
      </c>
      <c r="J130" s="117" t="n">
        <f aca="false">SUMIFS(الريسبي!$C$2:$C$1800,الريسبي!$A$2:$A$1800,$A130,الريسبي!$B$2:$B$1800,J$1)</f>
        <v>0</v>
      </c>
      <c r="K130" s="117" t="n">
        <f aca="false">SUMIFS(الريسبي!$C$2:$C$1800,الريسبي!$A$2:$A$1800,$A130,الريسبي!$B$2:$B$1800,K$1)</f>
        <v>0</v>
      </c>
      <c r="L130" s="117" t="n">
        <f aca="false">SUMIFS(الريسبي!$C$2:$C$1800,الريسبي!$A$2:$A$1800,$A130,الريسبي!$B$2:$B$1800,L$1)</f>
        <v>0</v>
      </c>
      <c r="M130" s="117" t="n">
        <f aca="false">SUMIFS(الريسبي!$C$2:$C$1800,الريسبي!$A$2:$A$1800,$A130,الريسبي!$B$2:$B$1800,M$1)</f>
        <v>0</v>
      </c>
      <c r="N130" s="117" t="n">
        <f aca="false">SUMIFS(الريسبي!$C$2:$C$1800,الريسبي!$A$2:$A$1800,$A130,الريسبي!$B$2:$B$1800,N$1)</f>
        <v>0</v>
      </c>
      <c r="O130" s="117" t="n">
        <f aca="false">SUMIFS(الريسبي!$C$2:$C$1800,الريسبي!$A$2:$A$1800,$A130,الريسبي!$B$2:$B$1800,O$1)</f>
        <v>0</v>
      </c>
      <c r="P130" s="117" t="n">
        <f aca="false">SUMIFS(الريسبي!$C$2:$C$1800,الريسبي!$A$2:$A$1800,$A130,الريسبي!$B$2:$B$1800,P$1)</f>
        <v>0</v>
      </c>
      <c r="Q130" s="117" t="n">
        <f aca="false">SUMIFS(الريسبي!$C$2:$C$1800,الريسبي!$A$2:$A$1800,$A130,الريسبي!$B$2:$B$1800,Q$1)</f>
        <v>0</v>
      </c>
      <c r="R130" s="117" t="n">
        <f aca="false">SUMIFS(الريسبي!$C$2:$C$1800,الريسبي!$A$2:$A$1800,$A130,الريسبي!$B$2:$B$1800,R$1)</f>
        <v>0</v>
      </c>
      <c r="S130" s="117" t="n">
        <f aca="false">SUMIFS(الريسبي!$C$2:$C$1800,الريسبي!$A$2:$A$1800,$A130,الريسبي!$B$2:$B$1800,S$1)</f>
        <v>0</v>
      </c>
      <c r="T130" s="117" t="n">
        <f aca="false">SUMIFS(الريسبي!$C$2:$C$1800,الريسبي!$A$2:$A$1800,$A130,الريسبي!$B$2:$B$1800,T$1)</f>
        <v>0</v>
      </c>
      <c r="U130" s="117" t="n">
        <f aca="false">SUMIFS(الريسبي!$C$2:$C$1800,الريسبي!$A$2:$A$1800,$A130,الريسبي!$B$2:$B$1800,U$1)</f>
        <v>0</v>
      </c>
      <c r="V130" s="117" t="n">
        <f aca="false">SUMIFS(الريسبي!$C$2:$C$1800,الريسبي!$A$2:$A$1800,$A130,الريسبي!$B$2:$B$1800,V$1)+1.5*(SUMIFS(الريسبي!$C$2:$C$1800,الريسبي!$A$2:$A$1800,$A130,الريسبي!$B$2:$B$1800,"برسيون موتزريلا بيتزا كبير"))</f>
        <v>0</v>
      </c>
      <c r="W130" s="117" t="n">
        <f aca="false">0</f>
        <v>0</v>
      </c>
      <c r="X130" s="117" t="n">
        <f aca="false">SUMIFS(الريسبي!$C$2:$C$1800,الريسبي!$A$2:$A$1800,$A130,الريسبي!$B$2:$B$1800,X$1)+1.5*(SUMIFS(الريسبي!$C$2:$C$1800,الريسبي!$A$2:$A$1800,$A130,الريسبي!$B$2:$B$1800,"برسيون موتزريلا فطير كبير"))</f>
        <v>0</v>
      </c>
      <c r="Y130" s="117" t="n">
        <f aca="false">0</f>
        <v>0</v>
      </c>
      <c r="Z130" s="117" t="n">
        <f aca="false">SUMIFS(الريسبي!$C$2:$C$1800,الريسبي!$A$2:$A$1800,$A130,الريسبي!$B$2:$B$1800,Z$1)</f>
        <v>0</v>
      </c>
      <c r="AA130" s="117" t="n">
        <f aca="false">SUMIFS(الريسبي!$C$2:$C$1800,الريسبي!$A$2:$A$1800,$A130,الريسبي!$B$2:$B$1800,AA$1)</f>
        <v>0</v>
      </c>
      <c r="AB130" s="117" t="n">
        <f aca="false">SUMIFS(الريسبي!$C$2:$C$1800,الريسبي!$A$2:$A$1800,$A130,الريسبي!$B$2:$B$1800,AB$1)</f>
        <v>0</v>
      </c>
      <c r="AC130" s="117" t="n">
        <f aca="false">SUMIFS(الريسبي!$C$2:$C$1800,الريسبي!$A$2:$A$1800,$A130,الريسبي!$B$2:$B$1800,AC$1)</f>
        <v>0</v>
      </c>
      <c r="AD130" s="117" t="n">
        <f aca="false">SUMIFS(الريسبي!$C$2:$C$1800,الريسبي!$A$2:$A$1800,$A130,الريسبي!$B$2:$B$1800,AD$1)</f>
        <v>0</v>
      </c>
      <c r="AE130" s="117" t="n">
        <f aca="false">SUMIFS(الريسبي!$C$2:$C$1800,الريسبي!$A$2:$A$1800,$A130,الريسبي!$B$2:$B$1800,AE$1)</f>
        <v>0</v>
      </c>
      <c r="AF130" s="117" t="n">
        <f aca="false">SUMIFS(الريسبي!$C$2:$C$1800,الريسبي!$A$2:$A$1800,$A130,الريسبي!$B$2:$B$1800,AF$1)</f>
        <v>0</v>
      </c>
      <c r="AG130" s="117" t="n">
        <f aca="false">SUMIFS(الريسبي!$C$2:$C$1800,الريسبي!$A$2:$A$1800,$A130,الريسبي!$B$2:$B$1800,AG$1)</f>
        <v>0</v>
      </c>
      <c r="AH130" s="117" t="n">
        <f aca="false">SUMIFS(الريسبي!$C$2:$C$1800,الريسبي!$A$2:$A$1800,$A130,الريسبي!$B$2:$B$1800,AH$1)</f>
        <v>0</v>
      </c>
      <c r="AI130" s="117" t="n">
        <f aca="false">SUMIFS(الريسبي!$C$2:$C$1800,الريسبي!$A$2:$A$1800,$A130,الريسبي!$B$2:$B$1800,AI$1)</f>
        <v>0</v>
      </c>
      <c r="AJ130" s="117" t="n">
        <f aca="false">SUMIFS(الريسبي!$C$2:$C$1800,الريسبي!$A$2:$A$1800,$A130,الريسبي!$B$2:$B$1800,AJ$1)</f>
        <v>0</v>
      </c>
      <c r="AK130" s="117" t="n">
        <f aca="false">SUMIFS(الريسبي!$C$2:$C$1800,الريسبي!$A$2:$A$1800,$A130,الريسبي!$B$2:$B$1800,AK$1)</f>
        <v>0</v>
      </c>
      <c r="AL130" s="117" t="n">
        <f aca="false">SUMIFS(الريسبي!$C$2:$C$1800,الريسبي!$A$2:$A$1800,$A130,الريسبي!$B$2:$B$1800,AL$1)</f>
        <v>0</v>
      </c>
      <c r="AM130" s="117" t="n">
        <f aca="false">SUMIFS(الريسبي!$C$2:$C$1800,الريسبي!$A$2:$A$1800,$A130,الريسبي!$B$2:$B$1800,AM$1)+0.08333333333*SUMIFS(الريسبي!$C$2:$C$1800,الريسبي!$A$2:$A$1800,$A130,الريسبي!$B$2:$B$1800,"عجين كريب (مصنع بالمطعم)")+0.08333333333*SUMIFS(الريسبي!$C$2:$C$1800,الريسبي!$A$2:$A$1800,$A130,الريسبي!$B$2:$B$1800,"عجين كريب صيامي (بدون لبن)")</f>
        <v>0</v>
      </c>
      <c r="AN130" s="117" t="n">
        <f aca="false">SUMIFS(الريسبي!$C$2:$C$1800,الريسبي!$A$2:$A$1800,$A130,الريسبي!$B$2:$B$1800,AN$1)+0.004166666667*SUMIFS(الريسبي!$C$2:$C$1800,الريسبي!$A$2:$A$1800,$A130,الريسبي!$B$2:$B$1800,"عجين كريب (مصنع بالمطعم)")+0.004166666667*SUMIFS(الريسبي!$C$2:$C$1800,الريسبي!$A$2:$A$1800,$A130,الريسبي!$B$2:$B$1800,"عجين كريب صيامي (بدون لبن)")</f>
        <v>0</v>
      </c>
      <c r="AO130" s="117" t="n">
        <f aca="false">SUMIFS(الريسبي!$C$2:$C$1800,الريسبي!$A$2:$A$1800,$A130,الريسبي!$B$2:$B$1800,AO$1)</f>
        <v>0</v>
      </c>
      <c r="AP130" s="117" t="n">
        <f aca="false">SUMIFS(الريسبي!$C$2:$C$1800,الريسبي!$A$2:$A$1800,$A130,الريسبي!$B$2:$B$1800,AP$1)</f>
        <v>0</v>
      </c>
      <c r="AQ130" s="117" t="n">
        <f aca="false">SUMIFS(الريسبي!$C$2:$C$1800,الريسبي!$A$2:$A$1800,$A130,الريسبي!$B$2:$B$1800,AQ$1)+0.004166666667*SUMIFS(الريسبي!$C$2:$C$1800,الريسبي!$A$2:$A$1800,$A130,الريسبي!$B$2:$B$1800,"عجين كريب (مصنع بالمطعم)")+0.004166666667*SUMIFS(الريسبي!$C$2:$C$1800,الريسبي!$A$2:$A$1800,$A130,الريسبي!$B$2:$B$1800,"عجين كريب صيامي (بدون لبن)")</f>
        <v>0</v>
      </c>
      <c r="AR130" s="117" t="n">
        <f aca="false">SUMIFS(الريسبي!$C$2:$C$1800,الريسبي!$A$2:$A$1800,$A130,الريسبي!$B$2:$B$1800,AR$1)</f>
        <v>0</v>
      </c>
      <c r="AS130" s="117" t="n">
        <f aca="false">SUMIFS(الريسبي!$C$2:$C$1800,الريسبي!$A$2:$A$1800,$A130,الريسبي!$B$2:$B$1800,AS$1)</f>
        <v>0</v>
      </c>
      <c r="AT130" s="117" t="n">
        <f aca="false">SUMIFS(الريسبي!$C$2:$C$1800,الريسبي!$A$2:$A$1800,$A130,الريسبي!$B$2:$B$1800,AT$1)</f>
        <v>0</v>
      </c>
      <c r="AU130" s="117" t="n">
        <f aca="false">SUMIFS(الريسبي!$C$2:$C$1800,الريسبي!$A$2:$A$1800,$A130,الريسبي!$B$2:$B$1800,AU$1)</f>
        <v>0</v>
      </c>
      <c r="AV130" s="117" t="n">
        <f aca="false">SUMIFS(الريسبي!$C$2:$C$1800,الريسبي!$A$2:$A$1800,$A130,الريسبي!$B$2:$B$1800,AV$1)</f>
        <v>0</v>
      </c>
      <c r="AW130" s="117" t="n">
        <f aca="false">SUMIFS(الريسبي!$C$2:$C$1800,الريسبي!$A$2:$A$1800,$A130,الريسبي!$B$2:$B$1800,AW$1)</f>
        <v>0</v>
      </c>
      <c r="AX130" s="117" t="n">
        <f aca="false">SUMIFS(الريسبي!$C$2:$C$1800,الريسبي!$A$2:$A$1800,$A130,الريسبي!$B$2:$B$1800,AX$1)</f>
        <v>0</v>
      </c>
      <c r="AY130" s="117" t="n">
        <f aca="false">SUMIFS(الريسبي!$C$2:$C$1800,الريسبي!$A$2:$A$1800,$A130,الريسبي!$B$2:$B$1800,AY$1)</f>
        <v>0</v>
      </c>
      <c r="AZ130" s="117" t="n">
        <f aca="false">SUMIFS(الريسبي!$C$2:$C$1800,الريسبي!$A$2:$A$1800,$A130,الريسبي!$B$2:$B$1800,AZ$1)</f>
        <v>0</v>
      </c>
      <c r="BA130" s="117" t="n">
        <f aca="false">SUMIFS(الريسبي!$C$2:$C$1800,الريسبي!$A$2:$A$1800,$A130,الريسبي!$B$2:$B$1800,BA$1)</f>
        <v>0</v>
      </c>
      <c r="BB130" s="117" t="n">
        <f aca="false">SUMIFS(الريسبي!$C$2:$C$1800,الريسبي!$A$2:$A$1800,$A130,الريسبي!$B$2:$B$1800,BB$1)</f>
        <v>0</v>
      </c>
      <c r="BC130" s="117" t="n">
        <f aca="false">SUMIFS(الريسبي!$C$2:$C$1800,الريسبي!$A$2:$A$1800,$A130,الريسبي!$B$2:$B$1800,BC$1)</f>
        <v>0</v>
      </c>
      <c r="BD130" s="117" t="n">
        <f aca="false">SUMIFS(الريسبي!$C$2:$C$1800,الريسبي!$A$2:$A$1800,$A130,الريسبي!$B$2:$B$1800,BD$1)</f>
        <v>0</v>
      </c>
      <c r="BE130" s="117" t="n">
        <f aca="false">SUMIFS(الريسبي!$C$2:$C$1800,الريسبي!$A$2:$A$1800,$A130,الريسبي!$B$2:$B$1800,BE$1)</f>
        <v>0</v>
      </c>
      <c r="BF130" s="117" t="n">
        <f aca="false">SUMIFS(الريسبي!$C$2:$C$1800,الريسبي!$A$2:$A$1800,$A130,الريسبي!$B$2:$B$1800,BF$1)</f>
        <v>0</v>
      </c>
      <c r="BG130" s="117" t="n">
        <f aca="false">SUMIFS(الريسبي!$C$2:$C$1800,الريسبي!$A$2:$A$1800,$A130,الريسبي!$B$2:$B$1800,BG$1)</f>
        <v>0</v>
      </c>
      <c r="BH130" s="117" t="n">
        <f aca="false">SUMIFS(الريسبي!$C$2:$C$1800,الريسبي!$A$2:$A$1800,$A130,الريسبي!$B$2:$B$1800,BH$1)</f>
        <v>0</v>
      </c>
      <c r="BI130" s="117" t="n">
        <f aca="false">SUMIFS(الريسبي!$C$2:$C$1800,الريسبي!$A$2:$A$1800,$A130,الريسبي!$B$2:$B$1800,BI$1)</f>
        <v>0</v>
      </c>
      <c r="BJ130" s="117" t="n">
        <f aca="false">SUMIFS(الريسبي!$C$2:$C$1800,الريسبي!$A$2:$A$1800,$A130,الريسبي!$B$2:$B$1800,BJ$1)</f>
        <v>0</v>
      </c>
      <c r="BK130" s="117" t="n">
        <f aca="false">SUMIFS(الريسبي!$C$2:$C$1800,الريسبي!$A$2:$A$1800,$A130,الريسبي!$B$2:$B$1800,BK$1)</f>
        <v>0</v>
      </c>
      <c r="BL130" s="117" t="n">
        <f aca="false">SUMIFS(الريسبي!$C$2:$C$1800,الريسبي!$A$2:$A$1800,$A130,الريسبي!$B$2:$B$1800,BL$1)</f>
        <v>0</v>
      </c>
      <c r="BM130" s="117" t="n">
        <f aca="false">SUMIFS(الريسبي!$C$2:$C$1800,الريسبي!$A$2:$A$1800,$A130,الريسبي!$B$2:$B$1800,BM$1)</f>
        <v>0</v>
      </c>
      <c r="BN130" s="117" t="n">
        <f aca="false">SUMIFS(الريسبي!$C$2:$C$1800,الريسبي!$A$2:$A$1800,$A130,الريسبي!$B$2:$B$1800,BN$1)</f>
        <v>0</v>
      </c>
      <c r="BO130" s="117" t="n">
        <f aca="false">SUMIFS(الريسبي!$C$2:$C$1800,الريسبي!$A$2:$A$1800,$A130,الريسبي!$B$2:$B$1800,BO$1)</f>
        <v>2</v>
      </c>
      <c r="BP130" s="117" t="n">
        <f aca="false">SUMIFS(الريسبي!$C$2:$C$1800,الريسبي!$A$2:$A$1800,$A130,الريسبي!$B$2:$B$1800,BP$1)</f>
        <v>0</v>
      </c>
      <c r="BQ130" s="117" t="n">
        <f aca="false">SUMIFS(الريسبي!$C$2:$C$1800,الريسبي!$A$2:$A$1800,$A130,الريسبي!$B$2:$B$1800,BQ$1)+0.17*SUMIFS(الريسبي!$C$2:$C$1800,الريسبي!$A$2:$A$1800,$A130,الريسبي!$B$2:$B$1800,"كاسترد مصنع (خليط بودر + لبن)")+0.17*SUMIFS(الريسبي!$C$2:$C$1800,الريسبي!$A$2:$A$1800,$A130,الريسبي!$B$2:$B$1800,"كاسترد مصنع صيامي (بدون لبن)")</f>
        <v>0</v>
      </c>
      <c r="BR130" s="117" t="n">
        <f aca="false">SUMIFS(الريسبي!$C$2:$C$1800,الريسبي!$A$2:$A$1800,$A130,الريسبي!$B$2:$B$1800,BR$1)</f>
        <v>0</v>
      </c>
      <c r="BS130" s="117" t="n">
        <f aca="false">SUMIFS(الريسبي!$C$2:$C$1800,الريسبي!$A$2:$A$1800,$A130,الريسبي!$B$2:$B$1800,BS$1)</f>
        <v>0</v>
      </c>
      <c r="BT130" s="117" t="n">
        <f aca="false">SUMIFS(الريسبي!$C$2:$C$1800,الريسبي!$A$2:$A$1800,$A130,الريسبي!$B$2:$B$1800,BT$1)</f>
        <v>0</v>
      </c>
      <c r="BU130" s="117" t="n">
        <f aca="false">SUMIFS(الريسبي!$C$2:$C$1800,الريسبي!$A$2:$A$1800,$A130,الريسبي!$B$2:$B$1800,BU$1)+0.4*SUMIFS(الريسبي!$C$2:$C$1800,الريسبي!$A$2:$A$1800,$A130,الريسبي!$B$2:$B$1800,"كاسترد مصنع (خليط بودر + لبن)")+0.03333333333*SUMIFS(الريسبي!$C$2:$C$1800,الريسبي!$A$2:$A$1800,$A130,الريسبي!$B$2:$B$1800,"عجين كريب (مصنع بالمطعم)")</f>
        <v>0</v>
      </c>
      <c r="BV130" s="117" t="n">
        <f aca="false">SUMIFS(الريسبي!$C$2:$C$1800,الريسبي!$A$2:$A$1800,$A130,الريسبي!$B$2:$B$1800,BV$1)</f>
        <v>0</v>
      </c>
      <c r="BW130" s="117" t="n">
        <f aca="false">SUMIFS(الريسبي!$C$2:$C$1800,الريسبي!$A$2:$A$1800,$A130,الريسبي!$B$2:$B$1800,BW$1)</f>
        <v>0</v>
      </c>
      <c r="BX130" s="117" t="n">
        <f aca="false">SUMIFS(الريسبي!$C$2:$C$1800,الريسبي!$A$2:$A$1800,$A130,الريسبي!$B$2:$B$1800,BX$1)</f>
        <v>0</v>
      </c>
      <c r="BY130" s="117" t="n">
        <f aca="false">SUMIFS(الريسبي!$C$2:$C$1800,الريسبي!$A$2:$A$1800,$A130,الريسبي!$B$2:$B$1800,BY$1)</f>
        <v>0</v>
      </c>
      <c r="BZ130" s="117" t="n">
        <f aca="false">SUMIFS(الريسبي!$C$2:$C$1800,الريسبي!$A$2:$A$1800,$A130,الريسبي!$B$2:$B$1800,BZ$1)</f>
        <v>0</v>
      </c>
      <c r="CA130" s="117" t="n">
        <f aca="false">SUMIFS(الريسبي!$C$2:$C$1800,الريسبي!$A$2:$A$1800,$A130,الريسبي!$B$2:$B$1800,CA$1)</f>
        <v>0</v>
      </c>
      <c r="CB130" s="117" t="n">
        <f aca="false">SUMIFS(الريسبي!$C$2:$C$1800,الريسبي!$A$2:$A$1800,$A130,الريسبي!$B$2:$B$1800,CB$1)</f>
        <v>0</v>
      </c>
      <c r="CC130" s="117" t="n">
        <f aca="false">SUMIFS(الريسبي!$C$2:$C$1800,الريسبي!$A$2:$A$1800,$A130,الريسبي!$B$2:$B$1800,CC$1)</f>
        <v>0</v>
      </c>
      <c r="CD130" s="117" t="n">
        <f aca="false">SUMIFS(الريسبي!$C$2:$C$1800,الريسبي!$A$2:$A$1800,$A130,الريسبي!$B$2:$B$1800,CD$1)</f>
        <v>0</v>
      </c>
      <c r="CE130" s="117" t="n">
        <f aca="false">SUMIFS(الريسبي!$C$2:$C$1800,الريسبي!$A$2:$A$1800,$A130,الريسبي!$B$2:$B$1800,CE$1)</f>
        <v>0</v>
      </c>
      <c r="CF130" s="117" t="n">
        <f aca="false">SUMIFS(الريسبي!$C$2:$C$1800,الريسبي!$A$2:$A$1800,$A130,الريسبي!$B$2:$B$1800,CF$1)</f>
        <v>0</v>
      </c>
      <c r="CG130" s="117" t="n">
        <f aca="false">SUMIFS(الريسبي!$C$2:$C$1800,الريسبي!$A$2:$A$1800,$A130,الريسبي!$B$2:$B$1800,CG$1)</f>
        <v>0</v>
      </c>
      <c r="CH130" s="117" t="n">
        <f aca="false">SUMIFS(الريسبي!$C$2:$C$1800,الريسبي!$A$2:$A$1800,$A130,الريسبي!$B$2:$B$1800,CH$1)</f>
        <v>0</v>
      </c>
      <c r="CI130" s="117" t="n">
        <f aca="false">SUMIFS(الريسبي!$C$2:$C$1800,الريسبي!$A$2:$A$1800,$A130,الريسبي!$B$2:$B$1800,CI$1)</f>
        <v>0</v>
      </c>
      <c r="CJ130" s="117" t="n">
        <f aca="false">SUMIFS(الريسبي!$C$2:$C$1800,الريسبي!$A$2:$A$1800,$A130,الريسبي!$B$2:$B$1800,CJ$1)</f>
        <v>0</v>
      </c>
      <c r="CK130" s="117" t="n">
        <f aca="false">SUMIFS(الريسبي!$C$2:$C$1800,الريسبي!$A$2:$A$1800,$A130,الريسبي!$B$2:$B$1800,CK$1)</f>
        <v>0</v>
      </c>
      <c r="CL130" s="117" t="n">
        <f aca="false">SUMIFS(الريسبي!$C$2:$C$1800,الريسبي!$A$2:$A$1800,$A130,الريسبي!$B$2:$B$1800,CL$1)</f>
        <v>0</v>
      </c>
    </row>
    <row r="131" customFormat="false" ht="15" hidden="false" customHeight="false" outlineLevel="0" collapsed="false">
      <c r="A131" s="116" t="str">
        <f aca="false">المنيو!B131</f>
        <v>اضافة جبنة موتزريلا (فطير M)</v>
      </c>
      <c r="B131" s="117" t="n">
        <f aca="false">SUMIFS(الريسبي!$C$2:$C$1800,الريسبي!$A$2:$A$1800,$A131,الريسبي!$B$2:$B$1800,B$1)</f>
        <v>0</v>
      </c>
      <c r="C131" s="117" t="n">
        <f aca="false">SUMIFS(الريسبي!$C$2:$C$1800,الريسبي!$A$2:$A$1800,$A131,الريسبي!$B$2:$B$1800,C$1)</f>
        <v>0</v>
      </c>
      <c r="D131" s="117" t="n">
        <f aca="false">SUMIFS(الريسبي!$C$2:$C$1800,الريسبي!$A$2:$A$1800,$A131,الريسبي!$B$2:$B$1800,D$1)</f>
        <v>0</v>
      </c>
      <c r="E131" s="117" t="n">
        <f aca="false">SUMIFS(الريسبي!$C$2:$C$1800,الريسبي!$A$2:$A$1800,$A131,الريسبي!$B$2:$B$1800,E$1)</f>
        <v>0</v>
      </c>
      <c r="F131" s="117" t="n">
        <f aca="false">SUMIFS(الريسبي!$C$2:$C$1800,الريسبي!$A$2:$A$1800,$A131,الريسبي!$B$2:$B$1800,F$1)</f>
        <v>0</v>
      </c>
      <c r="G131" s="117" t="n">
        <f aca="false">SUMIFS(الريسبي!$C$2:$C$1800,الريسبي!$A$2:$A$1800,$A131,الريسبي!$B$2:$B$1800,G$1)</f>
        <v>0</v>
      </c>
      <c r="H131" s="117" t="n">
        <f aca="false">SUMIFS(الريسبي!$C$2:$C$1800,الريسبي!$A$2:$A$1800,$A131,الريسبي!$B$2:$B$1800,H$1)</f>
        <v>0</v>
      </c>
      <c r="I131" s="117" t="n">
        <f aca="false">SUMIFS(الريسبي!$C$2:$C$1800,الريسبي!$A$2:$A$1800,$A131,الريسبي!$B$2:$B$1800,I$1)</f>
        <v>0</v>
      </c>
      <c r="J131" s="117" t="n">
        <f aca="false">SUMIFS(الريسبي!$C$2:$C$1800,الريسبي!$A$2:$A$1800,$A131,الريسبي!$B$2:$B$1800,J$1)</f>
        <v>0</v>
      </c>
      <c r="K131" s="117" t="n">
        <f aca="false">SUMIFS(الريسبي!$C$2:$C$1800,الريسبي!$A$2:$A$1800,$A131,الريسبي!$B$2:$B$1800,K$1)</f>
        <v>0</v>
      </c>
      <c r="L131" s="117" t="n">
        <f aca="false">SUMIFS(الريسبي!$C$2:$C$1800,الريسبي!$A$2:$A$1800,$A131,الريسبي!$B$2:$B$1800,L$1)</f>
        <v>0</v>
      </c>
      <c r="M131" s="117" t="n">
        <f aca="false">SUMIFS(الريسبي!$C$2:$C$1800,الريسبي!$A$2:$A$1800,$A131,الريسبي!$B$2:$B$1800,M$1)</f>
        <v>0</v>
      </c>
      <c r="N131" s="117" t="n">
        <f aca="false">SUMIFS(الريسبي!$C$2:$C$1800,الريسبي!$A$2:$A$1800,$A131,الريسبي!$B$2:$B$1800,N$1)</f>
        <v>0</v>
      </c>
      <c r="O131" s="117" t="n">
        <f aca="false">SUMIFS(الريسبي!$C$2:$C$1800,الريسبي!$A$2:$A$1800,$A131,الريسبي!$B$2:$B$1800,O$1)</f>
        <v>0</v>
      </c>
      <c r="P131" s="117" t="n">
        <f aca="false">SUMIFS(الريسبي!$C$2:$C$1800,الريسبي!$A$2:$A$1800,$A131,الريسبي!$B$2:$B$1800,P$1)</f>
        <v>0</v>
      </c>
      <c r="Q131" s="117" t="n">
        <f aca="false">SUMIFS(الريسبي!$C$2:$C$1800,الريسبي!$A$2:$A$1800,$A131,الريسبي!$B$2:$B$1800,Q$1)</f>
        <v>0</v>
      </c>
      <c r="R131" s="117" t="n">
        <f aca="false">SUMIFS(الريسبي!$C$2:$C$1800,الريسبي!$A$2:$A$1800,$A131,الريسبي!$B$2:$B$1800,R$1)</f>
        <v>0</v>
      </c>
      <c r="S131" s="117" t="n">
        <f aca="false">SUMIFS(الريسبي!$C$2:$C$1800,الريسبي!$A$2:$A$1800,$A131,الريسبي!$B$2:$B$1800,S$1)</f>
        <v>0</v>
      </c>
      <c r="T131" s="117" t="n">
        <f aca="false">SUMIFS(الريسبي!$C$2:$C$1800,الريسبي!$A$2:$A$1800,$A131,الريسبي!$B$2:$B$1800,T$1)</f>
        <v>0</v>
      </c>
      <c r="U131" s="117" t="n">
        <f aca="false">SUMIFS(الريسبي!$C$2:$C$1800,الريسبي!$A$2:$A$1800,$A131,الريسبي!$B$2:$B$1800,U$1)</f>
        <v>0</v>
      </c>
      <c r="V131" s="117" t="n">
        <f aca="false">SUMIFS(الريسبي!$C$2:$C$1800,الريسبي!$A$2:$A$1800,$A131,الريسبي!$B$2:$B$1800,V$1)+1.5*(SUMIFS(الريسبي!$C$2:$C$1800,الريسبي!$A$2:$A$1800,$A131,الريسبي!$B$2:$B$1800,"برسيون موتزريلا بيتزا كبير"))</f>
        <v>0</v>
      </c>
      <c r="W131" s="117" t="n">
        <f aca="false">0</f>
        <v>0</v>
      </c>
      <c r="X131" s="117" t="n">
        <f aca="false">SUMIFS(الريسبي!$C$2:$C$1800,الريسبي!$A$2:$A$1800,$A131,الريسبي!$B$2:$B$1800,X$1)+1.5*(SUMIFS(الريسبي!$C$2:$C$1800,الريسبي!$A$2:$A$1800,$A131,الريسبي!$B$2:$B$1800,"برسيون موتزريلا فطير كبير"))</f>
        <v>1</v>
      </c>
      <c r="Y131" s="117" t="n">
        <f aca="false">0</f>
        <v>0</v>
      </c>
      <c r="Z131" s="117" t="n">
        <f aca="false">SUMIFS(الريسبي!$C$2:$C$1800,الريسبي!$A$2:$A$1800,$A131,الريسبي!$B$2:$B$1800,Z$1)</f>
        <v>0</v>
      </c>
      <c r="AA131" s="117" t="n">
        <f aca="false">SUMIFS(الريسبي!$C$2:$C$1800,الريسبي!$A$2:$A$1800,$A131,الريسبي!$B$2:$B$1800,AA$1)</f>
        <v>0</v>
      </c>
      <c r="AB131" s="117" t="n">
        <f aca="false">SUMIFS(الريسبي!$C$2:$C$1800,الريسبي!$A$2:$A$1800,$A131,الريسبي!$B$2:$B$1800,AB$1)</f>
        <v>0</v>
      </c>
      <c r="AC131" s="117" t="n">
        <f aca="false">SUMIFS(الريسبي!$C$2:$C$1800,الريسبي!$A$2:$A$1800,$A131,الريسبي!$B$2:$B$1800,AC$1)</f>
        <v>0</v>
      </c>
      <c r="AD131" s="117" t="n">
        <f aca="false">SUMIFS(الريسبي!$C$2:$C$1800,الريسبي!$A$2:$A$1800,$A131,الريسبي!$B$2:$B$1800,AD$1)</f>
        <v>0</v>
      </c>
      <c r="AE131" s="117" t="n">
        <f aca="false">SUMIFS(الريسبي!$C$2:$C$1800,الريسبي!$A$2:$A$1800,$A131,الريسبي!$B$2:$B$1800,AE$1)</f>
        <v>0</v>
      </c>
      <c r="AF131" s="117" t="n">
        <f aca="false">SUMIFS(الريسبي!$C$2:$C$1800,الريسبي!$A$2:$A$1800,$A131,الريسبي!$B$2:$B$1800,AF$1)</f>
        <v>0</v>
      </c>
      <c r="AG131" s="117" t="n">
        <f aca="false">SUMIFS(الريسبي!$C$2:$C$1800,الريسبي!$A$2:$A$1800,$A131,الريسبي!$B$2:$B$1800,AG$1)</f>
        <v>0</v>
      </c>
      <c r="AH131" s="117" t="n">
        <f aca="false">SUMIFS(الريسبي!$C$2:$C$1800,الريسبي!$A$2:$A$1800,$A131,الريسبي!$B$2:$B$1800,AH$1)</f>
        <v>0</v>
      </c>
      <c r="AI131" s="117" t="n">
        <f aca="false">SUMIFS(الريسبي!$C$2:$C$1800,الريسبي!$A$2:$A$1800,$A131,الريسبي!$B$2:$B$1800,AI$1)</f>
        <v>0</v>
      </c>
      <c r="AJ131" s="117" t="n">
        <f aca="false">SUMIFS(الريسبي!$C$2:$C$1800,الريسبي!$A$2:$A$1800,$A131,الريسبي!$B$2:$B$1800,AJ$1)</f>
        <v>0</v>
      </c>
      <c r="AK131" s="117" t="n">
        <f aca="false">SUMIFS(الريسبي!$C$2:$C$1800,الريسبي!$A$2:$A$1800,$A131,الريسبي!$B$2:$B$1800,AK$1)</f>
        <v>0</v>
      </c>
      <c r="AL131" s="117" t="n">
        <f aca="false">SUMIFS(الريسبي!$C$2:$C$1800,الريسبي!$A$2:$A$1800,$A131,الريسبي!$B$2:$B$1800,AL$1)</f>
        <v>0</v>
      </c>
      <c r="AM131" s="117" t="n">
        <f aca="false">SUMIFS(الريسبي!$C$2:$C$1800,الريسبي!$A$2:$A$1800,$A131,الريسبي!$B$2:$B$1800,AM$1)+0.08333333333*SUMIFS(الريسبي!$C$2:$C$1800,الريسبي!$A$2:$A$1800,$A131,الريسبي!$B$2:$B$1800,"عجين كريب (مصنع بالمطعم)")+0.08333333333*SUMIFS(الريسبي!$C$2:$C$1800,الريسبي!$A$2:$A$1800,$A131,الريسبي!$B$2:$B$1800,"عجين كريب صيامي (بدون لبن)")</f>
        <v>0</v>
      </c>
      <c r="AN131" s="117" t="n">
        <f aca="false">SUMIFS(الريسبي!$C$2:$C$1800,الريسبي!$A$2:$A$1800,$A131,الريسبي!$B$2:$B$1800,AN$1)+0.004166666667*SUMIFS(الريسبي!$C$2:$C$1800,الريسبي!$A$2:$A$1800,$A131,الريسبي!$B$2:$B$1800,"عجين كريب (مصنع بالمطعم)")+0.004166666667*SUMIFS(الريسبي!$C$2:$C$1800,الريسبي!$A$2:$A$1800,$A131,الريسبي!$B$2:$B$1800,"عجين كريب صيامي (بدون لبن)")</f>
        <v>0</v>
      </c>
      <c r="AO131" s="117" t="n">
        <f aca="false">SUMIFS(الريسبي!$C$2:$C$1800,الريسبي!$A$2:$A$1800,$A131,الريسبي!$B$2:$B$1800,AO$1)</f>
        <v>0</v>
      </c>
      <c r="AP131" s="117" t="n">
        <f aca="false">SUMIFS(الريسبي!$C$2:$C$1800,الريسبي!$A$2:$A$1800,$A131,الريسبي!$B$2:$B$1800,AP$1)</f>
        <v>0</v>
      </c>
      <c r="AQ131" s="117" t="n">
        <f aca="false">SUMIFS(الريسبي!$C$2:$C$1800,الريسبي!$A$2:$A$1800,$A131,الريسبي!$B$2:$B$1800,AQ$1)+0.004166666667*SUMIFS(الريسبي!$C$2:$C$1800,الريسبي!$A$2:$A$1800,$A131,الريسبي!$B$2:$B$1800,"عجين كريب (مصنع بالمطعم)")+0.004166666667*SUMIFS(الريسبي!$C$2:$C$1800,الريسبي!$A$2:$A$1800,$A131,الريسبي!$B$2:$B$1800,"عجين كريب صيامي (بدون لبن)")</f>
        <v>0</v>
      </c>
      <c r="AR131" s="117" t="n">
        <f aca="false">SUMIFS(الريسبي!$C$2:$C$1800,الريسبي!$A$2:$A$1800,$A131,الريسبي!$B$2:$B$1800,AR$1)</f>
        <v>0</v>
      </c>
      <c r="AS131" s="117" t="n">
        <f aca="false">SUMIFS(الريسبي!$C$2:$C$1800,الريسبي!$A$2:$A$1800,$A131,الريسبي!$B$2:$B$1800,AS$1)</f>
        <v>0</v>
      </c>
      <c r="AT131" s="117" t="n">
        <f aca="false">SUMIFS(الريسبي!$C$2:$C$1800,الريسبي!$A$2:$A$1800,$A131,الريسبي!$B$2:$B$1800,AT$1)</f>
        <v>0</v>
      </c>
      <c r="AU131" s="117" t="n">
        <f aca="false">SUMIFS(الريسبي!$C$2:$C$1800,الريسبي!$A$2:$A$1800,$A131,الريسبي!$B$2:$B$1800,AU$1)</f>
        <v>0</v>
      </c>
      <c r="AV131" s="117" t="n">
        <f aca="false">SUMIFS(الريسبي!$C$2:$C$1800,الريسبي!$A$2:$A$1800,$A131,الريسبي!$B$2:$B$1800,AV$1)</f>
        <v>0</v>
      </c>
      <c r="AW131" s="117" t="n">
        <f aca="false">SUMIFS(الريسبي!$C$2:$C$1800,الريسبي!$A$2:$A$1800,$A131,الريسبي!$B$2:$B$1800,AW$1)</f>
        <v>0</v>
      </c>
      <c r="AX131" s="117" t="n">
        <f aca="false">SUMIFS(الريسبي!$C$2:$C$1800,الريسبي!$A$2:$A$1800,$A131,الريسبي!$B$2:$B$1800,AX$1)</f>
        <v>0</v>
      </c>
      <c r="AY131" s="117" t="n">
        <f aca="false">SUMIFS(الريسبي!$C$2:$C$1800,الريسبي!$A$2:$A$1800,$A131,الريسبي!$B$2:$B$1800,AY$1)</f>
        <v>0</v>
      </c>
      <c r="AZ131" s="117" t="n">
        <f aca="false">SUMIFS(الريسبي!$C$2:$C$1800,الريسبي!$A$2:$A$1800,$A131,الريسبي!$B$2:$B$1800,AZ$1)</f>
        <v>0</v>
      </c>
      <c r="BA131" s="117" t="n">
        <f aca="false">SUMIFS(الريسبي!$C$2:$C$1800,الريسبي!$A$2:$A$1800,$A131,الريسبي!$B$2:$B$1800,BA$1)</f>
        <v>0</v>
      </c>
      <c r="BB131" s="117" t="n">
        <f aca="false">SUMIFS(الريسبي!$C$2:$C$1800,الريسبي!$A$2:$A$1800,$A131,الريسبي!$B$2:$B$1800,BB$1)</f>
        <v>0</v>
      </c>
      <c r="BC131" s="117" t="n">
        <f aca="false">SUMIFS(الريسبي!$C$2:$C$1800,الريسبي!$A$2:$A$1800,$A131,الريسبي!$B$2:$B$1800,BC$1)</f>
        <v>0</v>
      </c>
      <c r="BD131" s="117" t="n">
        <f aca="false">SUMIFS(الريسبي!$C$2:$C$1800,الريسبي!$A$2:$A$1800,$A131,الريسبي!$B$2:$B$1800,BD$1)</f>
        <v>0</v>
      </c>
      <c r="BE131" s="117" t="n">
        <f aca="false">SUMIFS(الريسبي!$C$2:$C$1800,الريسبي!$A$2:$A$1800,$A131,الريسبي!$B$2:$B$1800,BE$1)</f>
        <v>0</v>
      </c>
      <c r="BF131" s="117" t="n">
        <f aca="false">SUMIFS(الريسبي!$C$2:$C$1800,الريسبي!$A$2:$A$1800,$A131,الريسبي!$B$2:$B$1800,BF$1)</f>
        <v>0</v>
      </c>
      <c r="BG131" s="117" t="n">
        <f aca="false">SUMIFS(الريسبي!$C$2:$C$1800,الريسبي!$A$2:$A$1800,$A131,الريسبي!$B$2:$B$1800,BG$1)</f>
        <v>0</v>
      </c>
      <c r="BH131" s="117" t="n">
        <f aca="false">SUMIFS(الريسبي!$C$2:$C$1800,الريسبي!$A$2:$A$1800,$A131,الريسبي!$B$2:$B$1800,BH$1)</f>
        <v>0</v>
      </c>
      <c r="BI131" s="117" t="n">
        <f aca="false">SUMIFS(الريسبي!$C$2:$C$1800,الريسبي!$A$2:$A$1800,$A131,الريسبي!$B$2:$B$1800,BI$1)</f>
        <v>0</v>
      </c>
      <c r="BJ131" s="117" t="n">
        <f aca="false">SUMIFS(الريسبي!$C$2:$C$1800,الريسبي!$A$2:$A$1800,$A131,الريسبي!$B$2:$B$1800,BJ$1)</f>
        <v>0</v>
      </c>
      <c r="BK131" s="117" t="n">
        <f aca="false">SUMIFS(الريسبي!$C$2:$C$1800,الريسبي!$A$2:$A$1800,$A131,الريسبي!$B$2:$B$1800,BK$1)</f>
        <v>0</v>
      </c>
      <c r="BL131" s="117" t="n">
        <f aca="false">SUMIFS(الريسبي!$C$2:$C$1800,الريسبي!$A$2:$A$1800,$A131,الريسبي!$B$2:$B$1800,BL$1)</f>
        <v>0</v>
      </c>
      <c r="BM131" s="117" t="n">
        <f aca="false">SUMIFS(الريسبي!$C$2:$C$1800,الريسبي!$A$2:$A$1800,$A131,الريسبي!$B$2:$B$1800,BM$1)</f>
        <v>0</v>
      </c>
      <c r="BN131" s="117" t="n">
        <f aca="false">SUMIFS(الريسبي!$C$2:$C$1800,الريسبي!$A$2:$A$1800,$A131,الريسبي!$B$2:$B$1800,BN$1)</f>
        <v>0</v>
      </c>
      <c r="BO131" s="117" t="n">
        <f aca="false">SUMIFS(الريسبي!$C$2:$C$1800,الريسبي!$A$2:$A$1800,$A131,الريسبي!$B$2:$B$1800,BO$1)</f>
        <v>0</v>
      </c>
      <c r="BP131" s="117" t="n">
        <f aca="false">SUMIFS(الريسبي!$C$2:$C$1800,الريسبي!$A$2:$A$1800,$A131,الريسبي!$B$2:$B$1800,BP$1)</f>
        <v>0</v>
      </c>
      <c r="BQ131" s="117" t="n">
        <f aca="false">SUMIFS(الريسبي!$C$2:$C$1800,الريسبي!$A$2:$A$1800,$A131,الريسبي!$B$2:$B$1800,BQ$1)+0.17*SUMIFS(الريسبي!$C$2:$C$1800,الريسبي!$A$2:$A$1800,$A131,الريسبي!$B$2:$B$1800,"كاسترد مصنع (خليط بودر + لبن)")+0.17*SUMIFS(الريسبي!$C$2:$C$1800,الريسبي!$A$2:$A$1800,$A131,الريسبي!$B$2:$B$1800,"كاسترد مصنع صيامي (بدون لبن)")</f>
        <v>0</v>
      </c>
      <c r="BR131" s="117" t="n">
        <f aca="false">SUMIFS(الريسبي!$C$2:$C$1800,الريسبي!$A$2:$A$1800,$A131,الريسبي!$B$2:$B$1800,BR$1)</f>
        <v>0</v>
      </c>
      <c r="BS131" s="117" t="n">
        <f aca="false">SUMIFS(الريسبي!$C$2:$C$1800,الريسبي!$A$2:$A$1800,$A131,الريسبي!$B$2:$B$1800,BS$1)</f>
        <v>0</v>
      </c>
      <c r="BT131" s="117" t="n">
        <f aca="false">SUMIFS(الريسبي!$C$2:$C$1800,الريسبي!$A$2:$A$1800,$A131,الريسبي!$B$2:$B$1800,BT$1)</f>
        <v>0</v>
      </c>
      <c r="BU131" s="117" t="n">
        <f aca="false">SUMIFS(الريسبي!$C$2:$C$1800,الريسبي!$A$2:$A$1800,$A131,الريسبي!$B$2:$B$1800,BU$1)+0.4*SUMIFS(الريسبي!$C$2:$C$1800,الريسبي!$A$2:$A$1800,$A131,الريسبي!$B$2:$B$1800,"كاسترد مصنع (خليط بودر + لبن)")+0.03333333333*SUMIFS(الريسبي!$C$2:$C$1800,الريسبي!$A$2:$A$1800,$A131,الريسبي!$B$2:$B$1800,"عجين كريب (مصنع بالمطعم)")</f>
        <v>0</v>
      </c>
      <c r="BV131" s="117" t="n">
        <f aca="false">SUMIFS(الريسبي!$C$2:$C$1800,الريسبي!$A$2:$A$1800,$A131,الريسبي!$B$2:$B$1800,BV$1)</f>
        <v>0</v>
      </c>
      <c r="BW131" s="117" t="n">
        <f aca="false">SUMIFS(الريسبي!$C$2:$C$1800,الريسبي!$A$2:$A$1800,$A131,الريسبي!$B$2:$B$1800,BW$1)</f>
        <v>0</v>
      </c>
      <c r="BX131" s="117" t="n">
        <f aca="false">SUMIFS(الريسبي!$C$2:$C$1800,الريسبي!$A$2:$A$1800,$A131,الريسبي!$B$2:$B$1800,BX$1)</f>
        <v>0</v>
      </c>
      <c r="BY131" s="117" t="n">
        <f aca="false">SUMIFS(الريسبي!$C$2:$C$1800,الريسبي!$A$2:$A$1800,$A131,الريسبي!$B$2:$B$1800,BY$1)</f>
        <v>0</v>
      </c>
      <c r="BZ131" s="117" t="n">
        <f aca="false">SUMIFS(الريسبي!$C$2:$C$1800,الريسبي!$A$2:$A$1800,$A131,الريسبي!$B$2:$B$1800,BZ$1)</f>
        <v>0</v>
      </c>
      <c r="CA131" s="117" t="n">
        <f aca="false">SUMIFS(الريسبي!$C$2:$C$1800,الريسبي!$A$2:$A$1800,$A131,الريسبي!$B$2:$B$1800,CA$1)</f>
        <v>0</v>
      </c>
      <c r="CB131" s="117" t="n">
        <f aca="false">SUMIFS(الريسبي!$C$2:$C$1800,الريسبي!$A$2:$A$1800,$A131,الريسبي!$B$2:$B$1800,CB$1)</f>
        <v>0</v>
      </c>
      <c r="CC131" s="117" t="n">
        <f aca="false">SUMIFS(الريسبي!$C$2:$C$1800,الريسبي!$A$2:$A$1800,$A131,الريسبي!$B$2:$B$1800,CC$1)</f>
        <v>0</v>
      </c>
      <c r="CD131" s="117" t="n">
        <f aca="false">SUMIFS(الريسبي!$C$2:$C$1800,الريسبي!$A$2:$A$1800,$A131,الريسبي!$B$2:$B$1800,CD$1)</f>
        <v>0</v>
      </c>
      <c r="CE131" s="117" t="n">
        <f aca="false">SUMIFS(الريسبي!$C$2:$C$1800,الريسبي!$A$2:$A$1800,$A131,الريسبي!$B$2:$B$1800,CE$1)</f>
        <v>0</v>
      </c>
      <c r="CF131" s="117" t="n">
        <f aca="false">SUMIFS(الريسبي!$C$2:$C$1800,الريسبي!$A$2:$A$1800,$A131,الريسبي!$B$2:$B$1800,CF$1)</f>
        <v>0</v>
      </c>
      <c r="CG131" s="117" t="n">
        <f aca="false">SUMIFS(الريسبي!$C$2:$C$1800,الريسبي!$A$2:$A$1800,$A131,الريسبي!$B$2:$B$1800,CG$1)</f>
        <v>0</v>
      </c>
      <c r="CH131" s="117" t="n">
        <f aca="false">SUMIFS(الريسبي!$C$2:$C$1800,الريسبي!$A$2:$A$1800,$A131,الريسبي!$B$2:$B$1800,CH$1)</f>
        <v>0</v>
      </c>
      <c r="CI131" s="117" t="n">
        <f aca="false">SUMIFS(الريسبي!$C$2:$C$1800,الريسبي!$A$2:$A$1800,$A131,الريسبي!$B$2:$B$1800,CI$1)</f>
        <v>0</v>
      </c>
      <c r="CJ131" s="117" t="n">
        <f aca="false">SUMIFS(الريسبي!$C$2:$C$1800,الريسبي!$A$2:$A$1800,$A131,الريسبي!$B$2:$B$1800,CJ$1)</f>
        <v>0</v>
      </c>
      <c r="CK131" s="117" t="n">
        <f aca="false">SUMIFS(الريسبي!$C$2:$C$1800,الريسبي!$A$2:$A$1800,$A131,الريسبي!$B$2:$B$1800,CK$1)</f>
        <v>0</v>
      </c>
      <c r="CL131" s="117" t="n">
        <f aca="false">SUMIFS(الريسبي!$C$2:$C$1800,الريسبي!$A$2:$A$1800,$A131,الريسبي!$B$2:$B$1800,CL$1)</f>
        <v>0</v>
      </c>
    </row>
    <row r="132" customFormat="false" ht="15" hidden="false" customHeight="false" outlineLevel="0" collapsed="false">
      <c r="A132" s="116" t="str">
        <f aca="false">المنيو!B132</f>
        <v>اضافة جبنة موتزريلا (فطير L)</v>
      </c>
      <c r="B132" s="117" t="n">
        <f aca="false">SUMIFS(الريسبي!$C$2:$C$1800,الريسبي!$A$2:$A$1800,$A132,الريسبي!$B$2:$B$1800,B$1)</f>
        <v>0</v>
      </c>
      <c r="C132" s="117" t="n">
        <f aca="false">SUMIFS(الريسبي!$C$2:$C$1800,الريسبي!$A$2:$A$1800,$A132,الريسبي!$B$2:$B$1800,C$1)</f>
        <v>0</v>
      </c>
      <c r="D132" s="117" t="n">
        <f aca="false">SUMIFS(الريسبي!$C$2:$C$1800,الريسبي!$A$2:$A$1800,$A132,الريسبي!$B$2:$B$1800,D$1)</f>
        <v>0</v>
      </c>
      <c r="E132" s="117" t="n">
        <f aca="false">SUMIFS(الريسبي!$C$2:$C$1800,الريسبي!$A$2:$A$1800,$A132,الريسبي!$B$2:$B$1800,E$1)</f>
        <v>0</v>
      </c>
      <c r="F132" s="117" t="n">
        <f aca="false">SUMIFS(الريسبي!$C$2:$C$1800,الريسبي!$A$2:$A$1800,$A132,الريسبي!$B$2:$B$1800,F$1)</f>
        <v>0</v>
      </c>
      <c r="G132" s="117" t="n">
        <f aca="false">SUMIFS(الريسبي!$C$2:$C$1800,الريسبي!$A$2:$A$1800,$A132,الريسبي!$B$2:$B$1800,G$1)</f>
        <v>0</v>
      </c>
      <c r="H132" s="117" t="n">
        <f aca="false">SUMIFS(الريسبي!$C$2:$C$1800,الريسبي!$A$2:$A$1800,$A132,الريسبي!$B$2:$B$1800,H$1)</f>
        <v>0</v>
      </c>
      <c r="I132" s="117" t="n">
        <f aca="false">SUMIFS(الريسبي!$C$2:$C$1800,الريسبي!$A$2:$A$1800,$A132,الريسبي!$B$2:$B$1800,I$1)</f>
        <v>0</v>
      </c>
      <c r="J132" s="117" t="n">
        <f aca="false">SUMIFS(الريسبي!$C$2:$C$1800,الريسبي!$A$2:$A$1800,$A132,الريسبي!$B$2:$B$1800,J$1)</f>
        <v>0</v>
      </c>
      <c r="K132" s="117" t="n">
        <f aca="false">SUMIFS(الريسبي!$C$2:$C$1800,الريسبي!$A$2:$A$1800,$A132,الريسبي!$B$2:$B$1800,K$1)</f>
        <v>0</v>
      </c>
      <c r="L132" s="117" t="n">
        <f aca="false">SUMIFS(الريسبي!$C$2:$C$1800,الريسبي!$A$2:$A$1800,$A132,الريسبي!$B$2:$B$1800,L$1)</f>
        <v>0</v>
      </c>
      <c r="M132" s="117" t="n">
        <f aca="false">SUMIFS(الريسبي!$C$2:$C$1800,الريسبي!$A$2:$A$1800,$A132,الريسبي!$B$2:$B$1800,M$1)</f>
        <v>0</v>
      </c>
      <c r="N132" s="117" t="n">
        <f aca="false">SUMIFS(الريسبي!$C$2:$C$1800,الريسبي!$A$2:$A$1800,$A132,الريسبي!$B$2:$B$1800,N$1)</f>
        <v>0</v>
      </c>
      <c r="O132" s="117" t="n">
        <f aca="false">SUMIFS(الريسبي!$C$2:$C$1800,الريسبي!$A$2:$A$1800,$A132,الريسبي!$B$2:$B$1800,O$1)</f>
        <v>0</v>
      </c>
      <c r="P132" s="117" t="n">
        <f aca="false">SUMIFS(الريسبي!$C$2:$C$1800,الريسبي!$A$2:$A$1800,$A132,الريسبي!$B$2:$B$1800,P$1)</f>
        <v>0</v>
      </c>
      <c r="Q132" s="117" t="n">
        <f aca="false">SUMIFS(الريسبي!$C$2:$C$1800,الريسبي!$A$2:$A$1800,$A132,الريسبي!$B$2:$B$1800,Q$1)</f>
        <v>0</v>
      </c>
      <c r="R132" s="117" t="n">
        <f aca="false">SUMIFS(الريسبي!$C$2:$C$1800,الريسبي!$A$2:$A$1800,$A132,الريسبي!$B$2:$B$1800,R$1)</f>
        <v>0</v>
      </c>
      <c r="S132" s="117" t="n">
        <f aca="false">SUMIFS(الريسبي!$C$2:$C$1800,الريسبي!$A$2:$A$1800,$A132,الريسبي!$B$2:$B$1800,S$1)</f>
        <v>0</v>
      </c>
      <c r="T132" s="117" t="n">
        <f aca="false">SUMIFS(الريسبي!$C$2:$C$1800,الريسبي!$A$2:$A$1800,$A132,الريسبي!$B$2:$B$1800,T$1)</f>
        <v>0</v>
      </c>
      <c r="U132" s="117" t="n">
        <f aca="false">SUMIFS(الريسبي!$C$2:$C$1800,الريسبي!$A$2:$A$1800,$A132,الريسبي!$B$2:$B$1800,U$1)</f>
        <v>0</v>
      </c>
      <c r="V132" s="117" t="n">
        <f aca="false">SUMIFS(الريسبي!$C$2:$C$1800,الريسبي!$A$2:$A$1800,$A132,الريسبي!$B$2:$B$1800,V$1)+1.5*(SUMIFS(الريسبي!$C$2:$C$1800,الريسبي!$A$2:$A$1800,$A132,الريسبي!$B$2:$B$1800,"برسيون موتزريلا بيتزا كبير"))</f>
        <v>0</v>
      </c>
      <c r="W132" s="117" t="n">
        <f aca="false">0</f>
        <v>0</v>
      </c>
      <c r="X132" s="117" t="n">
        <f aca="false">SUMIFS(الريسبي!$C$2:$C$1800,الريسبي!$A$2:$A$1800,$A132,الريسبي!$B$2:$B$1800,X$1)+1.5*(SUMIFS(الريسبي!$C$2:$C$1800,الريسبي!$A$2:$A$1800,$A132,الريسبي!$B$2:$B$1800,"برسيون موتزريلا فطير كبير"))</f>
        <v>1.5</v>
      </c>
      <c r="Y132" s="117" t="n">
        <f aca="false">0</f>
        <v>0</v>
      </c>
      <c r="Z132" s="117" t="n">
        <f aca="false">SUMIFS(الريسبي!$C$2:$C$1800,الريسبي!$A$2:$A$1800,$A132,الريسبي!$B$2:$B$1800,Z$1)</f>
        <v>0</v>
      </c>
      <c r="AA132" s="117" t="n">
        <f aca="false">SUMIFS(الريسبي!$C$2:$C$1800,الريسبي!$A$2:$A$1800,$A132,الريسبي!$B$2:$B$1800,AA$1)</f>
        <v>0</v>
      </c>
      <c r="AB132" s="117" t="n">
        <f aca="false">SUMIFS(الريسبي!$C$2:$C$1800,الريسبي!$A$2:$A$1800,$A132,الريسبي!$B$2:$B$1800,AB$1)</f>
        <v>0</v>
      </c>
      <c r="AC132" s="117" t="n">
        <f aca="false">SUMIFS(الريسبي!$C$2:$C$1800,الريسبي!$A$2:$A$1800,$A132,الريسبي!$B$2:$B$1800,AC$1)</f>
        <v>0</v>
      </c>
      <c r="AD132" s="117" t="n">
        <f aca="false">SUMIFS(الريسبي!$C$2:$C$1800,الريسبي!$A$2:$A$1800,$A132,الريسبي!$B$2:$B$1800,AD$1)</f>
        <v>0</v>
      </c>
      <c r="AE132" s="117" t="n">
        <f aca="false">SUMIFS(الريسبي!$C$2:$C$1800,الريسبي!$A$2:$A$1800,$A132,الريسبي!$B$2:$B$1800,AE$1)</f>
        <v>0</v>
      </c>
      <c r="AF132" s="117" t="n">
        <f aca="false">SUMIFS(الريسبي!$C$2:$C$1800,الريسبي!$A$2:$A$1800,$A132,الريسبي!$B$2:$B$1800,AF$1)</f>
        <v>0</v>
      </c>
      <c r="AG132" s="117" t="n">
        <f aca="false">SUMIFS(الريسبي!$C$2:$C$1800,الريسبي!$A$2:$A$1800,$A132,الريسبي!$B$2:$B$1800,AG$1)</f>
        <v>0</v>
      </c>
      <c r="AH132" s="117" t="n">
        <f aca="false">SUMIFS(الريسبي!$C$2:$C$1800,الريسبي!$A$2:$A$1800,$A132,الريسبي!$B$2:$B$1800,AH$1)</f>
        <v>0</v>
      </c>
      <c r="AI132" s="117" t="n">
        <f aca="false">SUMIFS(الريسبي!$C$2:$C$1800,الريسبي!$A$2:$A$1800,$A132,الريسبي!$B$2:$B$1800,AI$1)</f>
        <v>0</v>
      </c>
      <c r="AJ132" s="117" t="n">
        <f aca="false">SUMIFS(الريسبي!$C$2:$C$1800,الريسبي!$A$2:$A$1800,$A132,الريسبي!$B$2:$B$1800,AJ$1)</f>
        <v>0</v>
      </c>
      <c r="AK132" s="117" t="n">
        <f aca="false">SUMIFS(الريسبي!$C$2:$C$1800,الريسبي!$A$2:$A$1800,$A132,الريسبي!$B$2:$B$1800,AK$1)</f>
        <v>0</v>
      </c>
      <c r="AL132" s="117" t="n">
        <f aca="false">SUMIFS(الريسبي!$C$2:$C$1800,الريسبي!$A$2:$A$1800,$A132,الريسبي!$B$2:$B$1800,AL$1)</f>
        <v>0</v>
      </c>
      <c r="AM132" s="117" t="n">
        <f aca="false">SUMIFS(الريسبي!$C$2:$C$1800,الريسبي!$A$2:$A$1800,$A132,الريسبي!$B$2:$B$1800,AM$1)+0.08333333333*SUMIFS(الريسبي!$C$2:$C$1800,الريسبي!$A$2:$A$1800,$A132,الريسبي!$B$2:$B$1800,"عجين كريب (مصنع بالمطعم)")+0.08333333333*SUMIFS(الريسبي!$C$2:$C$1800,الريسبي!$A$2:$A$1800,$A132,الريسبي!$B$2:$B$1800,"عجين كريب صيامي (بدون لبن)")</f>
        <v>0</v>
      </c>
      <c r="AN132" s="117" t="n">
        <f aca="false">SUMIFS(الريسبي!$C$2:$C$1800,الريسبي!$A$2:$A$1800,$A132,الريسبي!$B$2:$B$1800,AN$1)+0.004166666667*SUMIFS(الريسبي!$C$2:$C$1800,الريسبي!$A$2:$A$1800,$A132,الريسبي!$B$2:$B$1800,"عجين كريب (مصنع بالمطعم)")+0.004166666667*SUMIFS(الريسبي!$C$2:$C$1800,الريسبي!$A$2:$A$1800,$A132,الريسبي!$B$2:$B$1800,"عجين كريب صيامي (بدون لبن)")</f>
        <v>0</v>
      </c>
      <c r="AO132" s="117" t="n">
        <f aca="false">SUMIFS(الريسبي!$C$2:$C$1800,الريسبي!$A$2:$A$1800,$A132,الريسبي!$B$2:$B$1800,AO$1)</f>
        <v>0</v>
      </c>
      <c r="AP132" s="117" t="n">
        <f aca="false">SUMIFS(الريسبي!$C$2:$C$1800,الريسبي!$A$2:$A$1800,$A132,الريسبي!$B$2:$B$1800,AP$1)</f>
        <v>0</v>
      </c>
      <c r="AQ132" s="117" t="n">
        <f aca="false">SUMIFS(الريسبي!$C$2:$C$1800,الريسبي!$A$2:$A$1800,$A132,الريسبي!$B$2:$B$1800,AQ$1)+0.004166666667*SUMIFS(الريسبي!$C$2:$C$1800,الريسبي!$A$2:$A$1800,$A132,الريسبي!$B$2:$B$1800,"عجين كريب (مصنع بالمطعم)")+0.004166666667*SUMIFS(الريسبي!$C$2:$C$1800,الريسبي!$A$2:$A$1800,$A132,الريسبي!$B$2:$B$1800,"عجين كريب صيامي (بدون لبن)")</f>
        <v>0</v>
      </c>
      <c r="AR132" s="117" t="n">
        <f aca="false">SUMIFS(الريسبي!$C$2:$C$1800,الريسبي!$A$2:$A$1800,$A132,الريسبي!$B$2:$B$1800,AR$1)</f>
        <v>0</v>
      </c>
      <c r="AS132" s="117" t="n">
        <f aca="false">SUMIFS(الريسبي!$C$2:$C$1800,الريسبي!$A$2:$A$1800,$A132,الريسبي!$B$2:$B$1800,AS$1)</f>
        <v>0</v>
      </c>
      <c r="AT132" s="117" t="n">
        <f aca="false">SUMIFS(الريسبي!$C$2:$C$1800,الريسبي!$A$2:$A$1800,$A132,الريسبي!$B$2:$B$1800,AT$1)</f>
        <v>0</v>
      </c>
      <c r="AU132" s="117" t="n">
        <f aca="false">SUMIFS(الريسبي!$C$2:$C$1800,الريسبي!$A$2:$A$1800,$A132,الريسبي!$B$2:$B$1800,AU$1)</f>
        <v>0</v>
      </c>
      <c r="AV132" s="117" t="n">
        <f aca="false">SUMIFS(الريسبي!$C$2:$C$1800,الريسبي!$A$2:$A$1800,$A132,الريسبي!$B$2:$B$1800,AV$1)</f>
        <v>0</v>
      </c>
      <c r="AW132" s="117" t="n">
        <f aca="false">SUMIFS(الريسبي!$C$2:$C$1800,الريسبي!$A$2:$A$1800,$A132,الريسبي!$B$2:$B$1800,AW$1)</f>
        <v>0</v>
      </c>
      <c r="AX132" s="117" t="n">
        <f aca="false">SUMIFS(الريسبي!$C$2:$C$1800,الريسبي!$A$2:$A$1800,$A132,الريسبي!$B$2:$B$1800,AX$1)</f>
        <v>0</v>
      </c>
      <c r="AY132" s="117" t="n">
        <f aca="false">SUMIFS(الريسبي!$C$2:$C$1800,الريسبي!$A$2:$A$1800,$A132,الريسبي!$B$2:$B$1800,AY$1)</f>
        <v>0</v>
      </c>
      <c r="AZ132" s="117" t="n">
        <f aca="false">SUMIFS(الريسبي!$C$2:$C$1800,الريسبي!$A$2:$A$1800,$A132,الريسبي!$B$2:$B$1800,AZ$1)</f>
        <v>0</v>
      </c>
      <c r="BA132" s="117" t="n">
        <f aca="false">SUMIFS(الريسبي!$C$2:$C$1800,الريسبي!$A$2:$A$1800,$A132,الريسبي!$B$2:$B$1800,BA$1)</f>
        <v>0</v>
      </c>
      <c r="BB132" s="117" t="n">
        <f aca="false">SUMIFS(الريسبي!$C$2:$C$1800,الريسبي!$A$2:$A$1800,$A132,الريسبي!$B$2:$B$1800,BB$1)</f>
        <v>0</v>
      </c>
      <c r="BC132" s="117" t="n">
        <f aca="false">SUMIFS(الريسبي!$C$2:$C$1800,الريسبي!$A$2:$A$1800,$A132,الريسبي!$B$2:$B$1800,BC$1)</f>
        <v>0</v>
      </c>
      <c r="BD132" s="117" t="n">
        <f aca="false">SUMIFS(الريسبي!$C$2:$C$1800,الريسبي!$A$2:$A$1800,$A132,الريسبي!$B$2:$B$1800,BD$1)</f>
        <v>0</v>
      </c>
      <c r="BE132" s="117" t="n">
        <f aca="false">SUMIFS(الريسبي!$C$2:$C$1800,الريسبي!$A$2:$A$1800,$A132,الريسبي!$B$2:$B$1800,BE$1)</f>
        <v>0</v>
      </c>
      <c r="BF132" s="117" t="n">
        <f aca="false">SUMIFS(الريسبي!$C$2:$C$1800,الريسبي!$A$2:$A$1800,$A132,الريسبي!$B$2:$B$1800,BF$1)</f>
        <v>0</v>
      </c>
      <c r="BG132" s="117" t="n">
        <f aca="false">SUMIFS(الريسبي!$C$2:$C$1800,الريسبي!$A$2:$A$1800,$A132,الريسبي!$B$2:$B$1800,BG$1)</f>
        <v>0</v>
      </c>
      <c r="BH132" s="117" t="n">
        <f aca="false">SUMIFS(الريسبي!$C$2:$C$1800,الريسبي!$A$2:$A$1800,$A132,الريسبي!$B$2:$B$1800,BH$1)</f>
        <v>0</v>
      </c>
      <c r="BI132" s="117" t="n">
        <f aca="false">SUMIFS(الريسبي!$C$2:$C$1800,الريسبي!$A$2:$A$1800,$A132,الريسبي!$B$2:$B$1800,BI$1)</f>
        <v>0</v>
      </c>
      <c r="BJ132" s="117" t="n">
        <f aca="false">SUMIFS(الريسبي!$C$2:$C$1800,الريسبي!$A$2:$A$1800,$A132,الريسبي!$B$2:$B$1800,BJ$1)</f>
        <v>0</v>
      </c>
      <c r="BK132" s="117" t="n">
        <f aca="false">SUMIFS(الريسبي!$C$2:$C$1800,الريسبي!$A$2:$A$1800,$A132,الريسبي!$B$2:$B$1800,BK$1)</f>
        <v>0</v>
      </c>
      <c r="BL132" s="117" t="n">
        <f aca="false">SUMIFS(الريسبي!$C$2:$C$1800,الريسبي!$A$2:$A$1800,$A132,الريسبي!$B$2:$B$1800,BL$1)</f>
        <v>0</v>
      </c>
      <c r="BM132" s="117" t="n">
        <f aca="false">SUMIFS(الريسبي!$C$2:$C$1800,الريسبي!$A$2:$A$1800,$A132,الريسبي!$B$2:$B$1800,BM$1)</f>
        <v>0</v>
      </c>
      <c r="BN132" s="117" t="n">
        <f aca="false">SUMIFS(الريسبي!$C$2:$C$1800,الريسبي!$A$2:$A$1800,$A132,الريسبي!$B$2:$B$1800,BN$1)</f>
        <v>0</v>
      </c>
      <c r="BO132" s="117" t="n">
        <f aca="false">SUMIFS(الريسبي!$C$2:$C$1800,الريسبي!$A$2:$A$1800,$A132,الريسبي!$B$2:$B$1800,BO$1)</f>
        <v>0</v>
      </c>
      <c r="BP132" s="117" t="n">
        <f aca="false">SUMIFS(الريسبي!$C$2:$C$1800,الريسبي!$A$2:$A$1800,$A132,الريسبي!$B$2:$B$1800,BP$1)</f>
        <v>0</v>
      </c>
      <c r="BQ132" s="117" t="n">
        <f aca="false">SUMIFS(الريسبي!$C$2:$C$1800,الريسبي!$A$2:$A$1800,$A132,الريسبي!$B$2:$B$1800,BQ$1)+0.17*SUMIFS(الريسبي!$C$2:$C$1800,الريسبي!$A$2:$A$1800,$A132,الريسبي!$B$2:$B$1800,"كاسترد مصنع (خليط بودر + لبن)")+0.17*SUMIFS(الريسبي!$C$2:$C$1800,الريسبي!$A$2:$A$1800,$A132,الريسبي!$B$2:$B$1800,"كاسترد مصنع صيامي (بدون لبن)")</f>
        <v>0</v>
      </c>
      <c r="BR132" s="117" t="n">
        <f aca="false">SUMIFS(الريسبي!$C$2:$C$1800,الريسبي!$A$2:$A$1800,$A132,الريسبي!$B$2:$B$1800,BR$1)</f>
        <v>0</v>
      </c>
      <c r="BS132" s="117" t="n">
        <f aca="false">SUMIFS(الريسبي!$C$2:$C$1800,الريسبي!$A$2:$A$1800,$A132,الريسبي!$B$2:$B$1800,BS$1)</f>
        <v>0</v>
      </c>
      <c r="BT132" s="117" t="n">
        <f aca="false">SUMIFS(الريسبي!$C$2:$C$1800,الريسبي!$A$2:$A$1800,$A132,الريسبي!$B$2:$B$1800,BT$1)</f>
        <v>0</v>
      </c>
      <c r="BU132" s="117" t="n">
        <f aca="false">SUMIFS(الريسبي!$C$2:$C$1800,الريسبي!$A$2:$A$1800,$A132,الريسبي!$B$2:$B$1800,BU$1)+0.4*SUMIFS(الريسبي!$C$2:$C$1800,الريسبي!$A$2:$A$1800,$A132,الريسبي!$B$2:$B$1800,"كاسترد مصنع (خليط بودر + لبن)")+0.03333333333*SUMIFS(الريسبي!$C$2:$C$1800,الريسبي!$A$2:$A$1800,$A132,الريسبي!$B$2:$B$1800,"عجين كريب (مصنع بالمطعم)")</f>
        <v>0</v>
      </c>
      <c r="BV132" s="117" t="n">
        <f aca="false">SUMIFS(الريسبي!$C$2:$C$1800,الريسبي!$A$2:$A$1800,$A132,الريسبي!$B$2:$B$1800,BV$1)</f>
        <v>0</v>
      </c>
      <c r="BW132" s="117" t="n">
        <f aca="false">SUMIFS(الريسبي!$C$2:$C$1800,الريسبي!$A$2:$A$1800,$A132,الريسبي!$B$2:$B$1800,BW$1)</f>
        <v>0</v>
      </c>
      <c r="BX132" s="117" t="n">
        <f aca="false">SUMIFS(الريسبي!$C$2:$C$1800,الريسبي!$A$2:$A$1800,$A132,الريسبي!$B$2:$B$1800,BX$1)</f>
        <v>0</v>
      </c>
      <c r="BY132" s="117" t="n">
        <f aca="false">SUMIFS(الريسبي!$C$2:$C$1800,الريسبي!$A$2:$A$1800,$A132,الريسبي!$B$2:$B$1800,BY$1)</f>
        <v>0</v>
      </c>
      <c r="BZ132" s="117" t="n">
        <f aca="false">SUMIFS(الريسبي!$C$2:$C$1800,الريسبي!$A$2:$A$1800,$A132,الريسبي!$B$2:$B$1800,BZ$1)</f>
        <v>0</v>
      </c>
      <c r="CA132" s="117" t="n">
        <f aca="false">SUMIFS(الريسبي!$C$2:$C$1800,الريسبي!$A$2:$A$1800,$A132,الريسبي!$B$2:$B$1800,CA$1)</f>
        <v>0</v>
      </c>
      <c r="CB132" s="117" t="n">
        <f aca="false">SUMIFS(الريسبي!$C$2:$C$1800,الريسبي!$A$2:$A$1800,$A132,الريسبي!$B$2:$B$1800,CB$1)</f>
        <v>0</v>
      </c>
      <c r="CC132" s="117" t="n">
        <f aca="false">SUMIFS(الريسبي!$C$2:$C$1800,الريسبي!$A$2:$A$1800,$A132,الريسبي!$B$2:$B$1800,CC$1)</f>
        <v>0</v>
      </c>
      <c r="CD132" s="117" t="n">
        <f aca="false">SUMIFS(الريسبي!$C$2:$C$1800,الريسبي!$A$2:$A$1800,$A132,الريسبي!$B$2:$B$1800,CD$1)</f>
        <v>0</v>
      </c>
      <c r="CE132" s="117" t="n">
        <f aca="false">SUMIFS(الريسبي!$C$2:$C$1800,الريسبي!$A$2:$A$1800,$A132,الريسبي!$B$2:$B$1800,CE$1)</f>
        <v>0</v>
      </c>
      <c r="CF132" s="117" t="n">
        <f aca="false">SUMIFS(الريسبي!$C$2:$C$1800,الريسبي!$A$2:$A$1800,$A132,الريسبي!$B$2:$B$1800,CF$1)</f>
        <v>0</v>
      </c>
      <c r="CG132" s="117" t="n">
        <f aca="false">SUMIFS(الريسبي!$C$2:$C$1800,الريسبي!$A$2:$A$1800,$A132,الريسبي!$B$2:$B$1800,CG$1)</f>
        <v>0</v>
      </c>
      <c r="CH132" s="117" t="n">
        <f aca="false">SUMIFS(الريسبي!$C$2:$C$1800,الريسبي!$A$2:$A$1800,$A132,الريسبي!$B$2:$B$1800,CH$1)</f>
        <v>0</v>
      </c>
      <c r="CI132" s="117" t="n">
        <f aca="false">SUMIFS(الريسبي!$C$2:$C$1800,الريسبي!$A$2:$A$1800,$A132,الريسبي!$B$2:$B$1800,CI$1)</f>
        <v>0</v>
      </c>
      <c r="CJ132" s="117" t="n">
        <f aca="false">SUMIFS(الريسبي!$C$2:$C$1800,الريسبي!$A$2:$A$1800,$A132,الريسبي!$B$2:$B$1800,CJ$1)</f>
        <v>0</v>
      </c>
      <c r="CK132" s="117" t="n">
        <f aca="false">SUMIFS(الريسبي!$C$2:$C$1800,الريسبي!$A$2:$A$1800,$A132,الريسبي!$B$2:$B$1800,CK$1)</f>
        <v>0</v>
      </c>
      <c r="CL132" s="117" t="n">
        <f aca="false">SUMIFS(الريسبي!$C$2:$C$1800,الريسبي!$A$2:$A$1800,$A132,الريسبي!$B$2:$B$1800,CL$1)</f>
        <v>0</v>
      </c>
    </row>
    <row r="133" customFormat="false" ht="15" hidden="false" customHeight="false" outlineLevel="0" collapsed="false">
      <c r="A133" s="116" t="str">
        <f aca="false">المنيو!B133</f>
        <v>اضافة جبنة موتزريلا (بيتزا وسط)</v>
      </c>
      <c r="B133" s="117" t="n">
        <f aca="false">SUMIFS(الريسبي!$C$2:$C$1800,الريسبي!$A$2:$A$1800,$A133,الريسبي!$B$2:$B$1800,B$1)</f>
        <v>0</v>
      </c>
      <c r="C133" s="117" t="n">
        <f aca="false">SUMIFS(الريسبي!$C$2:$C$1800,الريسبي!$A$2:$A$1800,$A133,الريسبي!$B$2:$B$1800,C$1)</f>
        <v>0</v>
      </c>
      <c r="D133" s="117" t="n">
        <f aca="false">SUMIFS(الريسبي!$C$2:$C$1800,الريسبي!$A$2:$A$1800,$A133,الريسبي!$B$2:$B$1800,D$1)</f>
        <v>0</v>
      </c>
      <c r="E133" s="117" t="n">
        <f aca="false">SUMIFS(الريسبي!$C$2:$C$1800,الريسبي!$A$2:$A$1800,$A133,الريسبي!$B$2:$B$1800,E$1)</f>
        <v>0</v>
      </c>
      <c r="F133" s="117" t="n">
        <f aca="false">SUMIFS(الريسبي!$C$2:$C$1800,الريسبي!$A$2:$A$1800,$A133,الريسبي!$B$2:$B$1800,F$1)</f>
        <v>0</v>
      </c>
      <c r="G133" s="117" t="n">
        <f aca="false">SUMIFS(الريسبي!$C$2:$C$1800,الريسبي!$A$2:$A$1800,$A133,الريسبي!$B$2:$B$1800,G$1)</f>
        <v>0</v>
      </c>
      <c r="H133" s="117" t="n">
        <f aca="false">SUMIFS(الريسبي!$C$2:$C$1800,الريسبي!$A$2:$A$1800,$A133,الريسبي!$B$2:$B$1800,H$1)</f>
        <v>0</v>
      </c>
      <c r="I133" s="117" t="n">
        <f aca="false">SUMIFS(الريسبي!$C$2:$C$1800,الريسبي!$A$2:$A$1800,$A133,الريسبي!$B$2:$B$1800,I$1)</f>
        <v>0</v>
      </c>
      <c r="J133" s="117" t="n">
        <f aca="false">SUMIFS(الريسبي!$C$2:$C$1800,الريسبي!$A$2:$A$1800,$A133,الريسبي!$B$2:$B$1800,J$1)</f>
        <v>0</v>
      </c>
      <c r="K133" s="117" t="n">
        <f aca="false">SUMIFS(الريسبي!$C$2:$C$1800,الريسبي!$A$2:$A$1800,$A133,الريسبي!$B$2:$B$1800,K$1)</f>
        <v>0</v>
      </c>
      <c r="L133" s="117" t="n">
        <f aca="false">SUMIFS(الريسبي!$C$2:$C$1800,الريسبي!$A$2:$A$1800,$A133,الريسبي!$B$2:$B$1800,L$1)</f>
        <v>0</v>
      </c>
      <c r="M133" s="117" t="n">
        <f aca="false">SUMIFS(الريسبي!$C$2:$C$1800,الريسبي!$A$2:$A$1800,$A133,الريسبي!$B$2:$B$1800,M$1)</f>
        <v>0</v>
      </c>
      <c r="N133" s="117" t="n">
        <f aca="false">SUMIFS(الريسبي!$C$2:$C$1800,الريسبي!$A$2:$A$1800,$A133,الريسبي!$B$2:$B$1800,N$1)</f>
        <v>0</v>
      </c>
      <c r="O133" s="117" t="n">
        <f aca="false">SUMIFS(الريسبي!$C$2:$C$1800,الريسبي!$A$2:$A$1800,$A133,الريسبي!$B$2:$B$1800,O$1)</f>
        <v>0</v>
      </c>
      <c r="P133" s="117" t="n">
        <f aca="false">SUMIFS(الريسبي!$C$2:$C$1800,الريسبي!$A$2:$A$1800,$A133,الريسبي!$B$2:$B$1800,P$1)</f>
        <v>0</v>
      </c>
      <c r="Q133" s="117" t="n">
        <f aca="false">SUMIFS(الريسبي!$C$2:$C$1800,الريسبي!$A$2:$A$1800,$A133,الريسبي!$B$2:$B$1800,Q$1)</f>
        <v>0</v>
      </c>
      <c r="R133" s="117" t="n">
        <f aca="false">SUMIFS(الريسبي!$C$2:$C$1800,الريسبي!$A$2:$A$1800,$A133,الريسبي!$B$2:$B$1800,R$1)</f>
        <v>0</v>
      </c>
      <c r="S133" s="117" t="n">
        <f aca="false">SUMIFS(الريسبي!$C$2:$C$1800,الريسبي!$A$2:$A$1800,$A133,الريسبي!$B$2:$B$1800,S$1)</f>
        <v>0</v>
      </c>
      <c r="T133" s="117" t="n">
        <f aca="false">SUMIFS(الريسبي!$C$2:$C$1800,الريسبي!$A$2:$A$1800,$A133,الريسبي!$B$2:$B$1800,T$1)</f>
        <v>0</v>
      </c>
      <c r="U133" s="117" t="n">
        <f aca="false">SUMIFS(الريسبي!$C$2:$C$1800,الريسبي!$A$2:$A$1800,$A133,الريسبي!$B$2:$B$1800,U$1)</f>
        <v>0</v>
      </c>
      <c r="V133" s="117" t="n">
        <f aca="false">SUMIFS(الريسبي!$C$2:$C$1800,الريسبي!$A$2:$A$1800,$A133,الريسبي!$B$2:$B$1800,V$1)+1.5*(SUMIFS(الريسبي!$C$2:$C$1800,الريسبي!$A$2:$A$1800,$A133,الريسبي!$B$2:$B$1800,"برسيون موتزريلا بيتزا كبير"))</f>
        <v>1</v>
      </c>
      <c r="W133" s="117" t="n">
        <f aca="false">0</f>
        <v>0</v>
      </c>
      <c r="X133" s="117" t="n">
        <f aca="false">SUMIFS(الريسبي!$C$2:$C$1800,الريسبي!$A$2:$A$1800,$A133,الريسبي!$B$2:$B$1800,X$1)+1.5*(SUMIFS(الريسبي!$C$2:$C$1800,الريسبي!$A$2:$A$1800,$A133,الريسبي!$B$2:$B$1800,"برسيون موتزريلا فطير كبير"))</f>
        <v>0</v>
      </c>
      <c r="Y133" s="117" t="n">
        <f aca="false">0</f>
        <v>0</v>
      </c>
      <c r="Z133" s="117" t="n">
        <f aca="false">SUMIFS(الريسبي!$C$2:$C$1800,الريسبي!$A$2:$A$1800,$A133,الريسبي!$B$2:$B$1800,Z$1)</f>
        <v>0</v>
      </c>
      <c r="AA133" s="117" t="n">
        <f aca="false">SUMIFS(الريسبي!$C$2:$C$1800,الريسبي!$A$2:$A$1800,$A133,الريسبي!$B$2:$B$1800,AA$1)</f>
        <v>0</v>
      </c>
      <c r="AB133" s="117" t="n">
        <f aca="false">SUMIFS(الريسبي!$C$2:$C$1800,الريسبي!$A$2:$A$1800,$A133,الريسبي!$B$2:$B$1800,AB$1)</f>
        <v>0</v>
      </c>
      <c r="AC133" s="117" t="n">
        <f aca="false">SUMIFS(الريسبي!$C$2:$C$1800,الريسبي!$A$2:$A$1800,$A133,الريسبي!$B$2:$B$1800,AC$1)</f>
        <v>0</v>
      </c>
      <c r="AD133" s="117" t="n">
        <f aca="false">SUMIFS(الريسبي!$C$2:$C$1800,الريسبي!$A$2:$A$1800,$A133,الريسبي!$B$2:$B$1800,AD$1)</f>
        <v>0</v>
      </c>
      <c r="AE133" s="117" t="n">
        <f aca="false">SUMIFS(الريسبي!$C$2:$C$1800,الريسبي!$A$2:$A$1800,$A133,الريسبي!$B$2:$B$1800,AE$1)</f>
        <v>0</v>
      </c>
      <c r="AF133" s="117" t="n">
        <f aca="false">SUMIFS(الريسبي!$C$2:$C$1800,الريسبي!$A$2:$A$1800,$A133,الريسبي!$B$2:$B$1800,AF$1)</f>
        <v>0</v>
      </c>
      <c r="AG133" s="117" t="n">
        <f aca="false">SUMIFS(الريسبي!$C$2:$C$1800,الريسبي!$A$2:$A$1800,$A133,الريسبي!$B$2:$B$1800,AG$1)</f>
        <v>0</v>
      </c>
      <c r="AH133" s="117" t="n">
        <f aca="false">SUMIFS(الريسبي!$C$2:$C$1800,الريسبي!$A$2:$A$1800,$A133,الريسبي!$B$2:$B$1800,AH$1)</f>
        <v>0</v>
      </c>
      <c r="AI133" s="117" t="n">
        <f aca="false">SUMIFS(الريسبي!$C$2:$C$1800,الريسبي!$A$2:$A$1800,$A133,الريسبي!$B$2:$B$1800,AI$1)</f>
        <v>0</v>
      </c>
      <c r="AJ133" s="117" t="n">
        <f aca="false">SUMIFS(الريسبي!$C$2:$C$1800,الريسبي!$A$2:$A$1800,$A133,الريسبي!$B$2:$B$1800,AJ$1)</f>
        <v>0</v>
      </c>
      <c r="AK133" s="117" t="n">
        <f aca="false">SUMIFS(الريسبي!$C$2:$C$1800,الريسبي!$A$2:$A$1800,$A133,الريسبي!$B$2:$B$1800,AK$1)</f>
        <v>0</v>
      </c>
      <c r="AL133" s="117" t="n">
        <f aca="false">SUMIFS(الريسبي!$C$2:$C$1800,الريسبي!$A$2:$A$1800,$A133,الريسبي!$B$2:$B$1800,AL$1)</f>
        <v>0</v>
      </c>
      <c r="AM133" s="117" t="n">
        <f aca="false">SUMIFS(الريسبي!$C$2:$C$1800,الريسبي!$A$2:$A$1800,$A133,الريسبي!$B$2:$B$1800,AM$1)+0.08333333333*SUMIFS(الريسبي!$C$2:$C$1800,الريسبي!$A$2:$A$1800,$A133,الريسبي!$B$2:$B$1800,"عجين كريب (مصنع بالمطعم)")+0.08333333333*SUMIFS(الريسبي!$C$2:$C$1800,الريسبي!$A$2:$A$1800,$A133,الريسبي!$B$2:$B$1800,"عجين كريب صيامي (بدون لبن)")</f>
        <v>0</v>
      </c>
      <c r="AN133" s="117" t="n">
        <f aca="false">SUMIFS(الريسبي!$C$2:$C$1800,الريسبي!$A$2:$A$1800,$A133,الريسبي!$B$2:$B$1800,AN$1)+0.004166666667*SUMIFS(الريسبي!$C$2:$C$1800,الريسبي!$A$2:$A$1800,$A133,الريسبي!$B$2:$B$1800,"عجين كريب (مصنع بالمطعم)")+0.004166666667*SUMIFS(الريسبي!$C$2:$C$1800,الريسبي!$A$2:$A$1800,$A133,الريسبي!$B$2:$B$1800,"عجين كريب صيامي (بدون لبن)")</f>
        <v>0</v>
      </c>
      <c r="AO133" s="117" t="n">
        <f aca="false">SUMIFS(الريسبي!$C$2:$C$1800,الريسبي!$A$2:$A$1800,$A133,الريسبي!$B$2:$B$1800,AO$1)</f>
        <v>0</v>
      </c>
      <c r="AP133" s="117" t="n">
        <f aca="false">SUMIFS(الريسبي!$C$2:$C$1800,الريسبي!$A$2:$A$1800,$A133,الريسبي!$B$2:$B$1800,AP$1)</f>
        <v>0</v>
      </c>
      <c r="AQ133" s="117" t="n">
        <f aca="false">SUMIFS(الريسبي!$C$2:$C$1800,الريسبي!$A$2:$A$1800,$A133,الريسبي!$B$2:$B$1800,AQ$1)+0.004166666667*SUMIFS(الريسبي!$C$2:$C$1800,الريسبي!$A$2:$A$1800,$A133,الريسبي!$B$2:$B$1800,"عجين كريب (مصنع بالمطعم)")+0.004166666667*SUMIFS(الريسبي!$C$2:$C$1800,الريسبي!$A$2:$A$1800,$A133,الريسبي!$B$2:$B$1800,"عجين كريب صيامي (بدون لبن)")</f>
        <v>0</v>
      </c>
      <c r="AR133" s="117" t="n">
        <f aca="false">SUMIFS(الريسبي!$C$2:$C$1800,الريسبي!$A$2:$A$1800,$A133,الريسبي!$B$2:$B$1800,AR$1)</f>
        <v>0</v>
      </c>
      <c r="AS133" s="117" t="n">
        <f aca="false">SUMIFS(الريسبي!$C$2:$C$1800,الريسبي!$A$2:$A$1800,$A133,الريسبي!$B$2:$B$1800,AS$1)</f>
        <v>0</v>
      </c>
      <c r="AT133" s="117" t="n">
        <f aca="false">SUMIFS(الريسبي!$C$2:$C$1800,الريسبي!$A$2:$A$1800,$A133,الريسبي!$B$2:$B$1800,AT$1)</f>
        <v>0</v>
      </c>
      <c r="AU133" s="117" t="n">
        <f aca="false">SUMIFS(الريسبي!$C$2:$C$1800,الريسبي!$A$2:$A$1800,$A133,الريسبي!$B$2:$B$1800,AU$1)</f>
        <v>0</v>
      </c>
      <c r="AV133" s="117" t="n">
        <f aca="false">SUMIFS(الريسبي!$C$2:$C$1800,الريسبي!$A$2:$A$1800,$A133,الريسبي!$B$2:$B$1800,AV$1)</f>
        <v>0</v>
      </c>
      <c r="AW133" s="117" t="n">
        <f aca="false">SUMIFS(الريسبي!$C$2:$C$1800,الريسبي!$A$2:$A$1800,$A133,الريسبي!$B$2:$B$1800,AW$1)</f>
        <v>0</v>
      </c>
      <c r="AX133" s="117" t="n">
        <f aca="false">SUMIFS(الريسبي!$C$2:$C$1800,الريسبي!$A$2:$A$1800,$A133,الريسبي!$B$2:$B$1800,AX$1)</f>
        <v>0</v>
      </c>
      <c r="AY133" s="117" t="n">
        <f aca="false">SUMIFS(الريسبي!$C$2:$C$1800,الريسبي!$A$2:$A$1800,$A133,الريسبي!$B$2:$B$1800,AY$1)</f>
        <v>0</v>
      </c>
      <c r="AZ133" s="117" t="n">
        <f aca="false">SUMIFS(الريسبي!$C$2:$C$1800,الريسبي!$A$2:$A$1800,$A133,الريسبي!$B$2:$B$1800,AZ$1)</f>
        <v>0</v>
      </c>
      <c r="BA133" s="117" t="n">
        <f aca="false">SUMIFS(الريسبي!$C$2:$C$1800,الريسبي!$A$2:$A$1800,$A133,الريسبي!$B$2:$B$1800,BA$1)</f>
        <v>0</v>
      </c>
      <c r="BB133" s="117" t="n">
        <f aca="false">SUMIFS(الريسبي!$C$2:$C$1800,الريسبي!$A$2:$A$1800,$A133,الريسبي!$B$2:$B$1800,BB$1)</f>
        <v>0</v>
      </c>
      <c r="BC133" s="117" t="n">
        <f aca="false">SUMIFS(الريسبي!$C$2:$C$1800,الريسبي!$A$2:$A$1800,$A133,الريسبي!$B$2:$B$1800,BC$1)</f>
        <v>0</v>
      </c>
      <c r="BD133" s="117" t="n">
        <f aca="false">SUMIFS(الريسبي!$C$2:$C$1800,الريسبي!$A$2:$A$1800,$A133,الريسبي!$B$2:$B$1800,BD$1)</f>
        <v>0</v>
      </c>
      <c r="BE133" s="117" t="n">
        <f aca="false">SUMIFS(الريسبي!$C$2:$C$1800,الريسبي!$A$2:$A$1800,$A133,الريسبي!$B$2:$B$1800,BE$1)</f>
        <v>0</v>
      </c>
      <c r="BF133" s="117" t="n">
        <f aca="false">SUMIFS(الريسبي!$C$2:$C$1800,الريسبي!$A$2:$A$1800,$A133,الريسبي!$B$2:$B$1800,BF$1)</f>
        <v>0</v>
      </c>
      <c r="BG133" s="117" t="n">
        <f aca="false">SUMIFS(الريسبي!$C$2:$C$1800,الريسبي!$A$2:$A$1800,$A133,الريسبي!$B$2:$B$1800,BG$1)</f>
        <v>0</v>
      </c>
      <c r="BH133" s="117" t="n">
        <f aca="false">SUMIFS(الريسبي!$C$2:$C$1800,الريسبي!$A$2:$A$1800,$A133,الريسبي!$B$2:$B$1800,BH$1)</f>
        <v>0</v>
      </c>
      <c r="BI133" s="117" t="n">
        <f aca="false">SUMIFS(الريسبي!$C$2:$C$1800,الريسبي!$A$2:$A$1800,$A133,الريسبي!$B$2:$B$1800,BI$1)</f>
        <v>0</v>
      </c>
      <c r="BJ133" s="117" t="n">
        <f aca="false">SUMIFS(الريسبي!$C$2:$C$1800,الريسبي!$A$2:$A$1800,$A133,الريسبي!$B$2:$B$1800,BJ$1)</f>
        <v>0</v>
      </c>
      <c r="BK133" s="117" t="n">
        <f aca="false">SUMIFS(الريسبي!$C$2:$C$1800,الريسبي!$A$2:$A$1800,$A133,الريسبي!$B$2:$B$1800,BK$1)</f>
        <v>0</v>
      </c>
      <c r="BL133" s="117" t="n">
        <f aca="false">SUMIFS(الريسبي!$C$2:$C$1800,الريسبي!$A$2:$A$1800,$A133,الريسبي!$B$2:$B$1800,BL$1)</f>
        <v>0</v>
      </c>
      <c r="BM133" s="117" t="n">
        <f aca="false">SUMIFS(الريسبي!$C$2:$C$1800,الريسبي!$A$2:$A$1800,$A133,الريسبي!$B$2:$B$1800,BM$1)</f>
        <v>0</v>
      </c>
      <c r="BN133" s="117" t="n">
        <f aca="false">SUMIFS(الريسبي!$C$2:$C$1800,الريسبي!$A$2:$A$1800,$A133,الريسبي!$B$2:$B$1800,BN$1)</f>
        <v>0</v>
      </c>
      <c r="BO133" s="117" t="n">
        <f aca="false">SUMIFS(الريسبي!$C$2:$C$1800,الريسبي!$A$2:$A$1800,$A133,الريسبي!$B$2:$B$1800,BO$1)</f>
        <v>0</v>
      </c>
      <c r="BP133" s="117" t="n">
        <f aca="false">SUMIFS(الريسبي!$C$2:$C$1800,الريسبي!$A$2:$A$1800,$A133,الريسبي!$B$2:$B$1800,BP$1)</f>
        <v>0</v>
      </c>
      <c r="BQ133" s="117" t="n">
        <f aca="false">SUMIFS(الريسبي!$C$2:$C$1800,الريسبي!$A$2:$A$1800,$A133,الريسبي!$B$2:$B$1800,BQ$1)+0.17*SUMIFS(الريسبي!$C$2:$C$1800,الريسبي!$A$2:$A$1800,$A133,الريسبي!$B$2:$B$1800,"كاسترد مصنع (خليط بودر + لبن)")+0.17*SUMIFS(الريسبي!$C$2:$C$1800,الريسبي!$A$2:$A$1800,$A133,الريسبي!$B$2:$B$1800,"كاسترد مصنع صيامي (بدون لبن)")</f>
        <v>0</v>
      </c>
      <c r="BR133" s="117" t="n">
        <f aca="false">SUMIFS(الريسبي!$C$2:$C$1800,الريسبي!$A$2:$A$1800,$A133,الريسبي!$B$2:$B$1800,BR$1)</f>
        <v>0</v>
      </c>
      <c r="BS133" s="117" t="n">
        <f aca="false">SUMIFS(الريسبي!$C$2:$C$1800,الريسبي!$A$2:$A$1800,$A133,الريسبي!$B$2:$B$1800,BS$1)</f>
        <v>0</v>
      </c>
      <c r="BT133" s="117" t="n">
        <f aca="false">SUMIFS(الريسبي!$C$2:$C$1800,الريسبي!$A$2:$A$1800,$A133,الريسبي!$B$2:$B$1800,BT$1)</f>
        <v>0</v>
      </c>
      <c r="BU133" s="117" t="n">
        <f aca="false">SUMIFS(الريسبي!$C$2:$C$1800,الريسبي!$A$2:$A$1800,$A133,الريسبي!$B$2:$B$1800,BU$1)+0.4*SUMIFS(الريسبي!$C$2:$C$1800,الريسبي!$A$2:$A$1800,$A133,الريسبي!$B$2:$B$1800,"كاسترد مصنع (خليط بودر + لبن)")+0.03333333333*SUMIFS(الريسبي!$C$2:$C$1800,الريسبي!$A$2:$A$1800,$A133,الريسبي!$B$2:$B$1800,"عجين كريب (مصنع بالمطعم)")</f>
        <v>0</v>
      </c>
      <c r="BV133" s="117" t="n">
        <f aca="false">SUMIFS(الريسبي!$C$2:$C$1800,الريسبي!$A$2:$A$1800,$A133,الريسبي!$B$2:$B$1800,BV$1)</f>
        <v>0</v>
      </c>
      <c r="BW133" s="117" t="n">
        <f aca="false">SUMIFS(الريسبي!$C$2:$C$1800,الريسبي!$A$2:$A$1800,$A133,الريسبي!$B$2:$B$1800,BW$1)</f>
        <v>0</v>
      </c>
      <c r="BX133" s="117" t="n">
        <f aca="false">SUMIFS(الريسبي!$C$2:$C$1800,الريسبي!$A$2:$A$1800,$A133,الريسبي!$B$2:$B$1800,BX$1)</f>
        <v>0</v>
      </c>
      <c r="BY133" s="117" t="n">
        <f aca="false">SUMIFS(الريسبي!$C$2:$C$1800,الريسبي!$A$2:$A$1800,$A133,الريسبي!$B$2:$B$1800,BY$1)</f>
        <v>0</v>
      </c>
      <c r="BZ133" s="117" t="n">
        <f aca="false">SUMIFS(الريسبي!$C$2:$C$1800,الريسبي!$A$2:$A$1800,$A133,الريسبي!$B$2:$B$1800,BZ$1)</f>
        <v>0</v>
      </c>
      <c r="CA133" s="117" t="n">
        <f aca="false">SUMIFS(الريسبي!$C$2:$C$1800,الريسبي!$A$2:$A$1800,$A133,الريسبي!$B$2:$B$1800,CA$1)</f>
        <v>0</v>
      </c>
      <c r="CB133" s="117" t="n">
        <f aca="false">SUMIFS(الريسبي!$C$2:$C$1800,الريسبي!$A$2:$A$1800,$A133,الريسبي!$B$2:$B$1800,CB$1)</f>
        <v>0</v>
      </c>
      <c r="CC133" s="117" t="n">
        <f aca="false">SUMIFS(الريسبي!$C$2:$C$1800,الريسبي!$A$2:$A$1800,$A133,الريسبي!$B$2:$B$1800,CC$1)</f>
        <v>0</v>
      </c>
      <c r="CD133" s="117" t="n">
        <f aca="false">SUMIFS(الريسبي!$C$2:$C$1800,الريسبي!$A$2:$A$1800,$A133,الريسبي!$B$2:$B$1800,CD$1)</f>
        <v>0</v>
      </c>
      <c r="CE133" s="117" t="n">
        <f aca="false">SUMIFS(الريسبي!$C$2:$C$1800,الريسبي!$A$2:$A$1800,$A133,الريسبي!$B$2:$B$1800,CE$1)</f>
        <v>0</v>
      </c>
      <c r="CF133" s="117" t="n">
        <f aca="false">SUMIFS(الريسبي!$C$2:$C$1800,الريسبي!$A$2:$A$1800,$A133,الريسبي!$B$2:$B$1800,CF$1)</f>
        <v>0</v>
      </c>
      <c r="CG133" s="117" t="n">
        <f aca="false">SUMIFS(الريسبي!$C$2:$C$1800,الريسبي!$A$2:$A$1800,$A133,الريسبي!$B$2:$B$1800,CG$1)</f>
        <v>0</v>
      </c>
      <c r="CH133" s="117" t="n">
        <f aca="false">SUMIFS(الريسبي!$C$2:$C$1800,الريسبي!$A$2:$A$1800,$A133,الريسبي!$B$2:$B$1800,CH$1)</f>
        <v>0</v>
      </c>
      <c r="CI133" s="117" t="n">
        <f aca="false">SUMIFS(الريسبي!$C$2:$C$1800,الريسبي!$A$2:$A$1800,$A133,الريسبي!$B$2:$B$1800,CI$1)</f>
        <v>0</v>
      </c>
      <c r="CJ133" s="117" t="n">
        <f aca="false">SUMIFS(الريسبي!$C$2:$C$1800,الريسبي!$A$2:$A$1800,$A133,الريسبي!$B$2:$B$1800,CJ$1)</f>
        <v>0</v>
      </c>
      <c r="CK133" s="117" t="n">
        <f aca="false">SUMIFS(الريسبي!$C$2:$C$1800,الريسبي!$A$2:$A$1800,$A133,الريسبي!$B$2:$B$1800,CK$1)</f>
        <v>0</v>
      </c>
      <c r="CL133" s="117" t="n">
        <f aca="false">SUMIFS(الريسبي!$C$2:$C$1800,الريسبي!$A$2:$A$1800,$A133,الريسبي!$B$2:$B$1800,CL$1)</f>
        <v>0</v>
      </c>
    </row>
    <row r="134" customFormat="false" ht="15" hidden="false" customHeight="false" outlineLevel="0" collapsed="false">
      <c r="A134" s="116" t="str">
        <f aca="false">المنيو!B134</f>
        <v>اضافة جبنة موتزريلا (بيتزا كبير)</v>
      </c>
      <c r="B134" s="117" t="n">
        <f aca="false">SUMIFS(الريسبي!$C$2:$C$1800,الريسبي!$A$2:$A$1800,$A134,الريسبي!$B$2:$B$1800,B$1)</f>
        <v>0</v>
      </c>
      <c r="C134" s="117" t="n">
        <f aca="false">SUMIFS(الريسبي!$C$2:$C$1800,الريسبي!$A$2:$A$1800,$A134,الريسبي!$B$2:$B$1800,C$1)</f>
        <v>0</v>
      </c>
      <c r="D134" s="117" t="n">
        <f aca="false">SUMIFS(الريسبي!$C$2:$C$1800,الريسبي!$A$2:$A$1800,$A134,الريسبي!$B$2:$B$1800,D$1)</f>
        <v>0</v>
      </c>
      <c r="E134" s="117" t="n">
        <f aca="false">SUMIFS(الريسبي!$C$2:$C$1800,الريسبي!$A$2:$A$1800,$A134,الريسبي!$B$2:$B$1800,E$1)</f>
        <v>0</v>
      </c>
      <c r="F134" s="117" t="n">
        <f aca="false">SUMIFS(الريسبي!$C$2:$C$1800,الريسبي!$A$2:$A$1800,$A134,الريسبي!$B$2:$B$1800,F$1)</f>
        <v>0</v>
      </c>
      <c r="G134" s="117" t="n">
        <f aca="false">SUMIFS(الريسبي!$C$2:$C$1800,الريسبي!$A$2:$A$1800,$A134,الريسبي!$B$2:$B$1800,G$1)</f>
        <v>0</v>
      </c>
      <c r="H134" s="117" t="n">
        <f aca="false">SUMIFS(الريسبي!$C$2:$C$1800,الريسبي!$A$2:$A$1800,$A134,الريسبي!$B$2:$B$1800,H$1)</f>
        <v>0</v>
      </c>
      <c r="I134" s="117" t="n">
        <f aca="false">SUMIFS(الريسبي!$C$2:$C$1800,الريسبي!$A$2:$A$1800,$A134,الريسبي!$B$2:$B$1800,I$1)</f>
        <v>0</v>
      </c>
      <c r="J134" s="117" t="n">
        <f aca="false">SUMIFS(الريسبي!$C$2:$C$1800,الريسبي!$A$2:$A$1800,$A134,الريسبي!$B$2:$B$1800,J$1)</f>
        <v>0</v>
      </c>
      <c r="K134" s="117" t="n">
        <f aca="false">SUMIFS(الريسبي!$C$2:$C$1800,الريسبي!$A$2:$A$1800,$A134,الريسبي!$B$2:$B$1800,K$1)</f>
        <v>0</v>
      </c>
      <c r="L134" s="117" t="n">
        <f aca="false">SUMIFS(الريسبي!$C$2:$C$1800,الريسبي!$A$2:$A$1800,$A134,الريسبي!$B$2:$B$1800,L$1)</f>
        <v>0</v>
      </c>
      <c r="M134" s="117" t="n">
        <f aca="false">SUMIFS(الريسبي!$C$2:$C$1800,الريسبي!$A$2:$A$1800,$A134,الريسبي!$B$2:$B$1800,M$1)</f>
        <v>0</v>
      </c>
      <c r="N134" s="117" t="n">
        <f aca="false">SUMIFS(الريسبي!$C$2:$C$1800,الريسبي!$A$2:$A$1800,$A134,الريسبي!$B$2:$B$1800,N$1)</f>
        <v>0</v>
      </c>
      <c r="O134" s="117" t="n">
        <f aca="false">SUMIFS(الريسبي!$C$2:$C$1800,الريسبي!$A$2:$A$1800,$A134,الريسبي!$B$2:$B$1800,O$1)</f>
        <v>0</v>
      </c>
      <c r="P134" s="117" t="n">
        <f aca="false">SUMIFS(الريسبي!$C$2:$C$1800,الريسبي!$A$2:$A$1800,$A134,الريسبي!$B$2:$B$1800,P$1)</f>
        <v>0</v>
      </c>
      <c r="Q134" s="117" t="n">
        <f aca="false">SUMIFS(الريسبي!$C$2:$C$1800,الريسبي!$A$2:$A$1800,$A134,الريسبي!$B$2:$B$1800,Q$1)</f>
        <v>0</v>
      </c>
      <c r="R134" s="117" t="n">
        <f aca="false">SUMIFS(الريسبي!$C$2:$C$1800,الريسبي!$A$2:$A$1800,$A134,الريسبي!$B$2:$B$1800,R$1)</f>
        <v>0</v>
      </c>
      <c r="S134" s="117" t="n">
        <f aca="false">SUMIFS(الريسبي!$C$2:$C$1800,الريسبي!$A$2:$A$1800,$A134,الريسبي!$B$2:$B$1800,S$1)</f>
        <v>0</v>
      </c>
      <c r="T134" s="117" t="n">
        <f aca="false">SUMIFS(الريسبي!$C$2:$C$1800,الريسبي!$A$2:$A$1800,$A134,الريسبي!$B$2:$B$1800,T$1)</f>
        <v>0</v>
      </c>
      <c r="U134" s="117" t="n">
        <f aca="false">SUMIFS(الريسبي!$C$2:$C$1800,الريسبي!$A$2:$A$1800,$A134,الريسبي!$B$2:$B$1800,U$1)</f>
        <v>0</v>
      </c>
      <c r="V134" s="117" t="n">
        <f aca="false">SUMIFS(الريسبي!$C$2:$C$1800,الريسبي!$A$2:$A$1800,$A134,الريسبي!$B$2:$B$1800,V$1)+1.5*(SUMIFS(الريسبي!$C$2:$C$1800,الريسبي!$A$2:$A$1800,$A134,الريسبي!$B$2:$B$1800,"برسيون موتزريلا بيتزا كبير"))</f>
        <v>1.5</v>
      </c>
      <c r="W134" s="117" t="n">
        <f aca="false">0</f>
        <v>0</v>
      </c>
      <c r="X134" s="117" t="n">
        <f aca="false">SUMIFS(الريسبي!$C$2:$C$1800,الريسبي!$A$2:$A$1800,$A134,الريسبي!$B$2:$B$1800,X$1)+1.5*(SUMIFS(الريسبي!$C$2:$C$1800,الريسبي!$A$2:$A$1800,$A134,الريسبي!$B$2:$B$1800,"برسيون موتزريلا فطير كبير"))</f>
        <v>0</v>
      </c>
      <c r="Y134" s="117" t="n">
        <f aca="false">0</f>
        <v>0</v>
      </c>
      <c r="Z134" s="117" t="n">
        <f aca="false">SUMIFS(الريسبي!$C$2:$C$1800,الريسبي!$A$2:$A$1800,$A134,الريسبي!$B$2:$B$1800,Z$1)</f>
        <v>0</v>
      </c>
      <c r="AA134" s="117" t="n">
        <f aca="false">SUMIFS(الريسبي!$C$2:$C$1800,الريسبي!$A$2:$A$1800,$A134,الريسبي!$B$2:$B$1800,AA$1)</f>
        <v>0</v>
      </c>
      <c r="AB134" s="117" t="n">
        <f aca="false">SUMIFS(الريسبي!$C$2:$C$1800,الريسبي!$A$2:$A$1800,$A134,الريسبي!$B$2:$B$1800,AB$1)</f>
        <v>0</v>
      </c>
      <c r="AC134" s="117" t="n">
        <f aca="false">SUMIFS(الريسبي!$C$2:$C$1800,الريسبي!$A$2:$A$1800,$A134,الريسبي!$B$2:$B$1800,AC$1)</f>
        <v>0</v>
      </c>
      <c r="AD134" s="117" t="n">
        <f aca="false">SUMIFS(الريسبي!$C$2:$C$1800,الريسبي!$A$2:$A$1800,$A134,الريسبي!$B$2:$B$1800,AD$1)</f>
        <v>0</v>
      </c>
      <c r="AE134" s="117" t="n">
        <f aca="false">SUMIFS(الريسبي!$C$2:$C$1800,الريسبي!$A$2:$A$1800,$A134,الريسبي!$B$2:$B$1800,AE$1)</f>
        <v>0</v>
      </c>
      <c r="AF134" s="117" t="n">
        <f aca="false">SUMIFS(الريسبي!$C$2:$C$1800,الريسبي!$A$2:$A$1800,$A134,الريسبي!$B$2:$B$1800,AF$1)</f>
        <v>0</v>
      </c>
      <c r="AG134" s="117" t="n">
        <f aca="false">SUMIFS(الريسبي!$C$2:$C$1800,الريسبي!$A$2:$A$1800,$A134,الريسبي!$B$2:$B$1800,AG$1)</f>
        <v>0</v>
      </c>
      <c r="AH134" s="117" t="n">
        <f aca="false">SUMIFS(الريسبي!$C$2:$C$1800,الريسبي!$A$2:$A$1800,$A134,الريسبي!$B$2:$B$1800,AH$1)</f>
        <v>0</v>
      </c>
      <c r="AI134" s="117" t="n">
        <f aca="false">SUMIFS(الريسبي!$C$2:$C$1800,الريسبي!$A$2:$A$1800,$A134,الريسبي!$B$2:$B$1800,AI$1)</f>
        <v>0</v>
      </c>
      <c r="AJ134" s="117" t="n">
        <f aca="false">SUMIFS(الريسبي!$C$2:$C$1800,الريسبي!$A$2:$A$1800,$A134,الريسبي!$B$2:$B$1800,AJ$1)</f>
        <v>0</v>
      </c>
      <c r="AK134" s="117" t="n">
        <f aca="false">SUMIFS(الريسبي!$C$2:$C$1800,الريسبي!$A$2:$A$1800,$A134,الريسبي!$B$2:$B$1800,AK$1)</f>
        <v>0</v>
      </c>
      <c r="AL134" s="117" t="n">
        <f aca="false">SUMIFS(الريسبي!$C$2:$C$1800,الريسبي!$A$2:$A$1800,$A134,الريسبي!$B$2:$B$1800,AL$1)</f>
        <v>0</v>
      </c>
      <c r="AM134" s="117" t="n">
        <f aca="false">SUMIFS(الريسبي!$C$2:$C$1800,الريسبي!$A$2:$A$1800,$A134,الريسبي!$B$2:$B$1800,AM$1)+0.08333333333*SUMIFS(الريسبي!$C$2:$C$1800,الريسبي!$A$2:$A$1800,$A134,الريسبي!$B$2:$B$1800,"عجين كريب (مصنع بالمطعم)")+0.08333333333*SUMIFS(الريسبي!$C$2:$C$1800,الريسبي!$A$2:$A$1800,$A134,الريسبي!$B$2:$B$1800,"عجين كريب صيامي (بدون لبن)")</f>
        <v>0</v>
      </c>
      <c r="AN134" s="117" t="n">
        <f aca="false">SUMIFS(الريسبي!$C$2:$C$1800,الريسبي!$A$2:$A$1800,$A134,الريسبي!$B$2:$B$1800,AN$1)+0.004166666667*SUMIFS(الريسبي!$C$2:$C$1800,الريسبي!$A$2:$A$1800,$A134,الريسبي!$B$2:$B$1800,"عجين كريب (مصنع بالمطعم)")+0.004166666667*SUMIFS(الريسبي!$C$2:$C$1800,الريسبي!$A$2:$A$1800,$A134,الريسبي!$B$2:$B$1800,"عجين كريب صيامي (بدون لبن)")</f>
        <v>0</v>
      </c>
      <c r="AO134" s="117" t="n">
        <f aca="false">SUMIFS(الريسبي!$C$2:$C$1800,الريسبي!$A$2:$A$1800,$A134,الريسبي!$B$2:$B$1800,AO$1)</f>
        <v>0</v>
      </c>
      <c r="AP134" s="117" t="n">
        <f aca="false">SUMIFS(الريسبي!$C$2:$C$1800,الريسبي!$A$2:$A$1800,$A134,الريسبي!$B$2:$B$1800,AP$1)</f>
        <v>0</v>
      </c>
      <c r="AQ134" s="117" t="n">
        <f aca="false">SUMIFS(الريسبي!$C$2:$C$1800,الريسبي!$A$2:$A$1800,$A134,الريسبي!$B$2:$B$1800,AQ$1)+0.004166666667*SUMIFS(الريسبي!$C$2:$C$1800,الريسبي!$A$2:$A$1800,$A134,الريسبي!$B$2:$B$1800,"عجين كريب (مصنع بالمطعم)")+0.004166666667*SUMIFS(الريسبي!$C$2:$C$1800,الريسبي!$A$2:$A$1800,$A134,الريسبي!$B$2:$B$1800,"عجين كريب صيامي (بدون لبن)")</f>
        <v>0</v>
      </c>
      <c r="AR134" s="117" t="n">
        <f aca="false">SUMIFS(الريسبي!$C$2:$C$1800,الريسبي!$A$2:$A$1800,$A134,الريسبي!$B$2:$B$1800,AR$1)</f>
        <v>0</v>
      </c>
      <c r="AS134" s="117" t="n">
        <f aca="false">SUMIFS(الريسبي!$C$2:$C$1800,الريسبي!$A$2:$A$1800,$A134,الريسبي!$B$2:$B$1800,AS$1)</f>
        <v>0</v>
      </c>
      <c r="AT134" s="117" t="n">
        <f aca="false">SUMIFS(الريسبي!$C$2:$C$1800,الريسبي!$A$2:$A$1800,$A134,الريسبي!$B$2:$B$1800,AT$1)</f>
        <v>0</v>
      </c>
      <c r="AU134" s="117" t="n">
        <f aca="false">SUMIFS(الريسبي!$C$2:$C$1800,الريسبي!$A$2:$A$1800,$A134,الريسبي!$B$2:$B$1800,AU$1)</f>
        <v>0</v>
      </c>
      <c r="AV134" s="117" t="n">
        <f aca="false">SUMIFS(الريسبي!$C$2:$C$1800,الريسبي!$A$2:$A$1800,$A134,الريسبي!$B$2:$B$1800,AV$1)</f>
        <v>0</v>
      </c>
      <c r="AW134" s="117" t="n">
        <f aca="false">SUMIFS(الريسبي!$C$2:$C$1800,الريسبي!$A$2:$A$1800,$A134,الريسبي!$B$2:$B$1800,AW$1)</f>
        <v>0</v>
      </c>
      <c r="AX134" s="117" t="n">
        <f aca="false">SUMIFS(الريسبي!$C$2:$C$1800,الريسبي!$A$2:$A$1800,$A134,الريسبي!$B$2:$B$1800,AX$1)</f>
        <v>0</v>
      </c>
      <c r="AY134" s="117" t="n">
        <f aca="false">SUMIFS(الريسبي!$C$2:$C$1800,الريسبي!$A$2:$A$1800,$A134,الريسبي!$B$2:$B$1800,AY$1)</f>
        <v>0</v>
      </c>
      <c r="AZ134" s="117" t="n">
        <f aca="false">SUMIFS(الريسبي!$C$2:$C$1800,الريسبي!$A$2:$A$1800,$A134,الريسبي!$B$2:$B$1800,AZ$1)</f>
        <v>0</v>
      </c>
      <c r="BA134" s="117" t="n">
        <f aca="false">SUMIFS(الريسبي!$C$2:$C$1800,الريسبي!$A$2:$A$1800,$A134,الريسبي!$B$2:$B$1800,BA$1)</f>
        <v>0</v>
      </c>
      <c r="BB134" s="117" t="n">
        <f aca="false">SUMIFS(الريسبي!$C$2:$C$1800,الريسبي!$A$2:$A$1800,$A134,الريسبي!$B$2:$B$1800,BB$1)</f>
        <v>0</v>
      </c>
      <c r="BC134" s="117" t="n">
        <f aca="false">SUMIFS(الريسبي!$C$2:$C$1800,الريسبي!$A$2:$A$1800,$A134,الريسبي!$B$2:$B$1800,BC$1)</f>
        <v>0</v>
      </c>
      <c r="BD134" s="117" t="n">
        <f aca="false">SUMIFS(الريسبي!$C$2:$C$1800,الريسبي!$A$2:$A$1800,$A134,الريسبي!$B$2:$B$1800,BD$1)</f>
        <v>0</v>
      </c>
      <c r="BE134" s="117" t="n">
        <f aca="false">SUMIFS(الريسبي!$C$2:$C$1800,الريسبي!$A$2:$A$1800,$A134,الريسبي!$B$2:$B$1800,BE$1)</f>
        <v>0</v>
      </c>
      <c r="BF134" s="117" t="n">
        <f aca="false">SUMIFS(الريسبي!$C$2:$C$1800,الريسبي!$A$2:$A$1800,$A134,الريسبي!$B$2:$B$1800,BF$1)</f>
        <v>0</v>
      </c>
      <c r="BG134" s="117" t="n">
        <f aca="false">SUMIFS(الريسبي!$C$2:$C$1800,الريسبي!$A$2:$A$1800,$A134,الريسبي!$B$2:$B$1800,BG$1)</f>
        <v>0</v>
      </c>
      <c r="BH134" s="117" t="n">
        <f aca="false">SUMIFS(الريسبي!$C$2:$C$1800,الريسبي!$A$2:$A$1800,$A134,الريسبي!$B$2:$B$1800,BH$1)</f>
        <v>0</v>
      </c>
      <c r="BI134" s="117" t="n">
        <f aca="false">SUMIFS(الريسبي!$C$2:$C$1800,الريسبي!$A$2:$A$1800,$A134,الريسبي!$B$2:$B$1800,BI$1)</f>
        <v>0</v>
      </c>
      <c r="BJ134" s="117" t="n">
        <f aca="false">SUMIFS(الريسبي!$C$2:$C$1800,الريسبي!$A$2:$A$1800,$A134,الريسبي!$B$2:$B$1800,BJ$1)</f>
        <v>0</v>
      </c>
      <c r="BK134" s="117" t="n">
        <f aca="false">SUMIFS(الريسبي!$C$2:$C$1800,الريسبي!$A$2:$A$1800,$A134,الريسبي!$B$2:$B$1800,BK$1)</f>
        <v>0</v>
      </c>
      <c r="BL134" s="117" t="n">
        <f aca="false">SUMIFS(الريسبي!$C$2:$C$1800,الريسبي!$A$2:$A$1800,$A134,الريسبي!$B$2:$B$1800,BL$1)</f>
        <v>0</v>
      </c>
      <c r="BM134" s="117" t="n">
        <f aca="false">SUMIFS(الريسبي!$C$2:$C$1800,الريسبي!$A$2:$A$1800,$A134,الريسبي!$B$2:$B$1800,BM$1)</f>
        <v>0</v>
      </c>
      <c r="BN134" s="117" t="n">
        <f aca="false">SUMIFS(الريسبي!$C$2:$C$1800,الريسبي!$A$2:$A$1800,$A134,الريسبي!$B$2:$B$1800,BN$1)</f>
        <v>0</v>
      </c>
      <c r="BO134" s="117" t="n">
        <f aca="false">SUMIFS(الريسبي!$C$2:$C$1800,الريسبي!$A$2:$A$1800,$A134,الريسبي!$B$2:$B$1800,BO$1)</f>
        <v>0</v>
      </c>
      <c r="BP134" s="117" t="n">
        <f aca="false">SUMIFS(الريسبي!$C$2:$C$1800,الريسبي!$A$2:$A$1800,$A134,الريسبي!$B$2:$B$1800,BP$1)</f>
        <v>0</v>
      </c>
      <c r="BQ134" s="117" t="n">
        <f aca="false">SUMIFS(الريسبي!$C$2:$C$1800,الريسبي!$A$2:$A$1800,$A134,الريسبي!$B$2:$B$1800,BQ$1)+0.17*SUMIFS(الريسبي!$C$2:$C$1800,الريسبي!$A$2:$A$1800,$A134,الريسبي!$B$2:$B$1800,"كاسترد مصنع (خليط بودر + لبن)")+0.17*SUMIFS(الريسبي!$C$2:$C$1800,الريسبي!$A$2:$A$1800,$A134,الريسبي!$B$2:$B$1800,"كاسترد مصنع صيامي (بدون لبن)")</f>
        <v>0</v>
      </c>
      <c r="BR134" s="117" t="n">
        <f aca="false">SUMIFS(الريسبي!$C$2:$C$1800,الريسبي!$A$2:$A$1800,$A134,الريسبي!$B$2:$B$1800,BR$1)</f>
        <v>0</v>
      </c>
      <c r="BS134" s="117" t="n">
        <f aca="false">SUMIFS(الريسبي!$C$2:$C$1800,الريسبي!$A$2:$A$1800,$A134,الريسبي!$B$2:$B$1800,BS$1)</f>
        <v>0</v>
      </c>
      <c r="BT134" s="117" t="n">
        <f aca="false">SUMIFS(الريسبي!$C$2:$C$1800,الريسبي!$A$2:$A$1800,$A134,الريسبي!$B$2:$B$1800,BT$1)</f>
        <v>0</v>
      </c>
      <c r="BU134" s="117" t="n">
        <f aca="false">SUMIFS(الريسبي!$C$2:$C$1800,الريسبي!$A$2:$A$1800,$A134,الريسبي!$B$2:$B$1800,BU$1)+0.4*SUMIFS(الريسبي!$C$2:$C$1800,الريسبي!$A$2:$A$1800,$A134,الريسبي!$B$2:$B$1800,"كاسترد مصنع (خليط بودر + لبن)")+0.03333333333*SUMIFS(الريسبي!$C$2:$C$1800,الريسبي!$A$2:$A$1800,$A134,الريسبي!$B$2:$B$1800,"عجين كريب (مصنع بالمطعم)")</f>
        <v>0</v>
      </c>
      <c r="BV134" s="117" t="n">
        <f aca="false">SUMIFS(الريسبي!$C$2:$C$1800,الريسبي!$A$2:$A$1800,$A134,الريسبي!$B$2:$B$1800,BV$1)</f>
        <v>0</v>
      </c>
      <c r="BW134" s="117" t="n">
        <f aca="false">SUMIFS(الريسبي!$C$2:$C$1800,الريسبي!$A$2:$A$1800,$A134,الريسبي!$B$2:$B$1800,BW$1)</f>
        <v>0</v>
      </c>
      <c r="BX134" s="117" t="n">
        <f aca="false">SUMIFS(الريسبي!$C$2:$C$1800,الريسبي!$A$2:$A$1800,$A134,الريسبي!$B$2:$B$1800,BX$1)</f>
        <v>0</v>
      </c>
      <c r="BY134" s="117" t="n">
        <f aca="false">SUMIFS(الريسبي!$C$2:$C$1800,الريسبي!$A$2:$A$1800,$A134,الريسبي!$B$2:$B$1800,BY$1)</f>
        <v>0</v>
      </c>
      <c r="BZ134" s="117" t="n">
        <f aca="false">SUMIFS(الريسبي!$C$2:$C$1800,الريسبي!$A$2:$A$1800,$A134,الريسبي!$B$2:$B$1800,BZ$1)</f>
        <v>0</v>
      </c>
      <c r="CA134" s="117" t="n">
        <f aca="false">SUMIFS(الريسبي!$C$2:$C$1800,الريسبي!$A$2:$A$1800,$A134,الريسبي!$B$2:$B$1800,CA$1)</f>
        <v>0</v>
      </c>
      <c r="CB134" s="117" t="n">
        <f aca="false">SUMIFS(الريسبي!$C$2:$C$1800,الريسبي!$A$2:$A$1800,$A134,الريسبي!$B$2:$B$1800,CB$1)</f>
        <v>0</v>
      </c>
      <c r="CC134" s="117" t="n">
        <f aca="false">SUMIFS(الريسبي!$C$2:$C$1800,الريسبي!$A$2:$A$1800,$A134,الريسبي!$B$2:$B$1800,CC$1)</f>
        <v>0</v>
      </c>
      <c r="CD134" s="117" t="n">
        <f aca="false">SUMIFS(الريسبي!$C$2:$C$1800,الريسبي!$A$2:$A$1800,$A134,الريسبي!$B$2:$B$1800,CD$1)</f>
        <v>0</v>
      </c>
      <c r="CE134" s="117" t="n">
        <f aca="false">SUMIFS(الريسبي!$C$2:$C$1800,الريسبي!$A$2:$A$1800,$A134,الريسبي!$B$2:$B$1800,CE$1)</f>
        <v>0</v>
      </c>
      <c r="CF134" s="117" t="n">
        <f aca="false">SUMIFS(الريسبي!$C$2:$C$1800,الريسبي!$A$2:$A$1800,$A134,الريسبي!$B$2:$B$1800,CF$1)</f>
        <v>0</v>
      </c>
      <c r="CG134" s="117" t="n">
        <f aca="false">SUMIFS(الريسبي!$C$2:$C$1800,الريسبي!$A$2:$A$1800,$A134,الريسبي!$B$2:$B$1800,CG$1)</f>
        <v>0</v>
      </c>
      <c r="CH134" s="117" t="n">
        <f aca="false">SUMIFS(الريسبي!$C$2:$C$1800,الريسبي!$A$2:$A$1800,$A134,الريسبي!$B$2:$B$1800,CH$1)</f>
        <v>0</v>
      </c>
      <c r="CI134" s="117" t="n">
        <f aca="false">SUMIFS(الريسبي!$C$2:$C$1800,الريسبي!$A$2:$A$1800,$A134,الريسبي!$B$2:$B$1800,CI$1)</f>
        <v>0</v>
      </c>
      <c r="CJ134" s="117" t="n">
        <f aca="false">SUMIFS(الريسبي!$C$2:$C$1800,الريسبي!$A$2:$A$1800,$A134,الريسبي!$B$2:$B$1800,CJ$1)</f>
        <v>0</v>
      </c>
      <c r="CK134" s="117" t="n">
        <f aca="false">SUMIFS(الريسبي!$C$2:$C$1800,الريسبي!$A$2:$A$1800,$A134,الريسبي!$B$2:$B$1800,CK$1)</f>
        <v>0</v>
      </c>
      <c r="CL134" s="117" t="n">
        <f aca="false">SUMIFS(الريسبي!$C$2:$C$1800,الريسبي!$A$2:$A$1800,$A134,الريسبي!$B$2:$B$1800,CL$1)</f>
        <v>0</v>
      </c>
    </row>
    <row r="135" customFormat="false" ht="15" hidden="false" customHeight="false" outlineLevel="0" collapsed="false">
      <c r="A135" s="116" t="str">
        <f aca="false">المنيو!B135</f>
        <v>اضافة جبنة رومي (بيتزا وسط)</v>
      </c>
      <c r="B135" s="117" t="n">
        <f aca="false">SUMIFS(الريسبي!$C$2:$C$1800,الريسبي!$A$2:$A$1800,$A135,الريسبي!$B$2:$B$1800,B$1)</f>
        <v>0</v>
      </c>
      <c r="C135" s="117" t="n">
        <f aca="false">SUMIFS(الريسبي!$C$2:$C$1800,الريسبي!$A$2:$A$1800,$A135,الريسبي!$B$2:$B$1800,C$1)</f>
        <v>0</v>
      </c>
      <c r="D135" s="117" t="n">
        <f aca="false">SUMIFS(الريسبي!$C$2:$C$1800,الريسبي!$A$2:$A$1800,$A135,الريسبي!$B$2:$B$1800,D$1)</f>
        <v>0</v>
      </c>
      <c r="E135" s="117" t="n">
        <f aca="false">SUMIFS(الريسبي!$C$2:$C$1800,الريسبي!$A$2:$A$1800,$A135,الريسبي!$B$2:$B$1800,E$1)</f>
        <v>0</v>
      </c>
      <c r="F135" s="117" t="n">
        <f aca="false">SUMIFS(الريسبي!$C$2:$C$1800,الريسبي!$A$2:$A$1800,$A135,الريسبي!$B$2:$B$1800,F$1)</f>
        <v>0</v>
      </c>
      <c r="G135" s="117" t="n">
        <f aca="false">SUMIFS(الريسبي!$C$2:$C$1800,الريسبي!$A$2:$A$1800,$A135,الريسبي!$B$2:$B$1800,G$1)</f>
        <v>0</v>
      </c>
      <c r="H135" s="117" t="n">
        <f aca="false">SUMIFS(الريسبي!$C$2:$C$1800,الريسبي!$A$2:$A$1800,$A135,الريسبي!$B$2:$B$1800,H$1)</f>
        <v>0</v>
      </c>
      <c r="I135" s="117" t="n">
        <f aca="false">SUMIFS(الريسبي!$C$2:$C$1800,الريسبي!$A$2:$A$1800,$A135,الريسبي!$B$2:$B$1800,I$1)</f>
        <v>0</v>
      </c>
      <c r="J135" s="117" t="n">
        <f aca="false">SUMIFS(الريسبي!$C$2:$C$1800,الريسبي!$A$2:$A$1800,$A135,الريسبي!$B$2:$B$1800,J$1)</f>
        <v>1</v>
      </c>
      <c r="K135" s="117" t="n">
        <f aca="false">SUMIFS(الريسبي!$C$2:$C$1800,الريسبي!$A$2:$A$1800,$A135,الريسبي!$B$2:$B$1800,K$1)</f>
        <v>0</v>
      </c>
      <c r="L135" s="117" t="n">
        <f aca="false">SUMIFS(الريسبي!$C$2:$C$1800,الريسبي!$A$2:$A$1800,$A135,الريسبي!$B$2:$B$1800,L$1)</f>
        <v>0</v>
      </c>
      <c r="M135" s="117" t="n">
        <f aca="false">SUMIFS(الريسبي!$C$2:$C$1800,الريسبي!$A$2:$A$1800,$A135,الريسبي!$B$2:$B$1800,M$1)</f>
        <v>0</v>
      </c>
      <c r="N135" s="117" t="n">
        <f aca="false">SUMIFS(الريسبي!$C$2:$C$1800,الريسبي!$A$2:$A$1800,$A135,الريسبي!$B$2:$B$1800,N$1)</f>
        <v>0</v>
      </c>
      <c r="O135" s="117" t="n">
        <f aca="false">SUMIFS(الريسبي!$C$2:$C$1800,الريسبي!$A$2:$A$1800,$A135,الريسبي!$B$2:$B$1800,O$1)</f>
        <v>0</v>
      </c>
      <c r="P135" s="117" t="n">
        <f aca="false">SUMIFS(الريسبي!$C$2:$C$1800,الريسبي!$A$2:$A$1800,$A135,الريسبي!$B$2:$B$1800,P$1)</f>
        <v>0</v>
      </c>
      <c r="Q135" s="117" t="n">
        <f aca="false">SUMIFS(الريسبي!$C$2:$C$1800,الريسبي!$A$2:$A$1800,$A135,الريسبي!$B$2:$B$1800,Q$1)</f>
        <v>0</v>
      </c>
      <c r="R135" s="117" t="n">
        <f aca="false">SUMIFS(الريسبي!$C$2:$C$1800,الريسبي!$A$2:$A$1800,$A135,الريسبي!$B$2:$B$1800,R$1)</f>
        <v>0</v>
      </c>
      <c r="S135" s="117" t="n">
        <f aca="false">SUMIFS(الريسبي!$C$2:$C$1800,الريسبي!$A$2:$A$1800,$A135,الريسبي!$B$2:$B$1800,S$1)</f>
        <v>0</v>
      </c>
      <c r="T135" s="117" t="n">
        <f aca="false">SUMIFS(الريسبي!$C$2:$C$1800,الريسبي!$A$2:$A$1800,$A135,الريسبي!$B$2:$B$1800,T$1)</f>
        <v>0</v>
      </c>
      <c r="U135" s="117" t="n">
        <f aca="false">SUMIFS(الريسبي!$C$2:$C$1800,الريسبي!$A$2:$A$1800,$A135,الريسبي!$B$2:$B$1800,U$1)</f>
        <v>0</v>
      </c>
      <c r="V135" s="117" t="n">
        <f aca="false">SUMIFS(الريسبي!$C$2:$C$1800,الريسبي!$A$2:$A$1800,$A135,الريسبي!$B$2:$B$1800,V$1)+1.5*(SUMIFS(الريسبي!$C$2:$C$1800,الريسبي!$A$2:$A$1800,$A135,الريسبي!$B$2:$B$1800,"برسيون موتزريلا بيتزا كبير"))</f>
        <v>0</v>
      </c>
      <c r="W135" s="117" t="n">
        <f aca="false">0</f>
        <v>0</v>
      </c>
      <c r="X135" s="117" t="n">
        <f aca="false">SUMIFS(الريسبي!$C$2:$C$1800,الريسبي!$A$2:$A$1800,$A135,الريسبي!$B$2:$B$1800,X$1)+1.5*(SUMIFS(الريسبي!$C$2:$C$1800,الريسبي!$A$2:$A$1800,$A135,الريسبي!$B$2:$B$1800,"برسيون موتزريلا فطير كبير"))</f>
        <v>0</v>
      </c>
      <c r="Y135" s="117" t="n">
        <f aca="false">0</f>
        <v>0</v>
      </c>
      <c r="Z135" s="117" t="n">
        <f aca="false">SUMIFS(الريسبي!$C$2:$C$1800,الريسبي!$A$2:$A$1800,$A135,الريسبي!$B$2:$B$1800,Z$1)</f>
        <v>0</v>
      </c>
      <c r="AA135" s="117" t="n">
        <f aca="false">SUMIFS(الريسبي!$C$2:$C$1800,الريسبي!$A$2:$A$1800,$A135,الريسبي!$B$2:$B$1800,AA$1)</f>
        <v>0</v>
      </c>
      <c r="AB135" s="117" t="n">
        <f aca="false">SUMIFS(الريسبي!$C$2:$C$1800,الريسبي!$A$2:$A$1800,$A135,الريسبي!$B$2:$B$1800,AB$1)</f>
        <v>0</v>
      </c>
      <c r="AC135" s="117" t="n">
        <f aca="false">SUMIFS(الريسبي!$C$2:$C$1800,الريسبي!$A$2:$A$1800,$A135,الريسبي!$B$2:$B$1800,AC$1)</f>
        <v>0</v>
      </c>
      <c r="AD135" s="117" t="n">
        <f aca="false">SUMIFS(الريسبي!$C$2:$C$1800,الريسبي!$A$2:$A$1800,$A135,الريسبي!$B$2:$B$1800,AD$1)</f>
        <v>0</v>
      </c>
      <c r="AE135" s="117" t="n">
        <f aca="false">SUMIFS(الريسبي!$C$2:$C$1800,الريسبي!$A$2:$A$1800,$A135,الريسبي!$B$2:$B$1800,AE$1)</f>
        <v>0</v>
      </c>
      <c r="AF135" s="117" t="n">
        <f aca="false">SUMIFS(الريسبي!$C$2:$C$1800,الريسبي!$A$2:$A$1800,$A135,الريسبي!$B$2:$B$1800,AF$1)</f>
        <v>0</v>
      </c>
      <c r="AG135" s="117" t="n">
        <f aca="false">SUMIFS(الريسبي!$C$2:$C$1800,الريسبي!$A$2:$A$1800,$A135,الريسبي!$B$2:$B$1800,AG$1)</f>
        <v>0</v>
      </c>
      <c r="AH135" s="117" t="n">
        <f aca="false">SUMIFS(الريسبي!$C$2:$C$1800,الريسبي!$A$2:$A$1800,$A135,الريسبي!$B$2:$B$1800,AH$1)</f>
        <v>0</v>
      </c>
      <c r="AI135" s="117" t="n">
        <f aca="false">SUMIFS(الريسبي!$C$2:$C$1800,الريسبي!$A$2:$A$1800,$A135,الريسبي!$B$2:$B$1800,AI$1)</f>
        <v>0</v>
      </c>
      <c r="AJ135" s="117" t="n">
        <f aca="false">SUMIFS(الريسبي!$C$2:$C$1800,الريسبي!$A$2:$A$1800,$A135,الريسبي!$B$2:$B$1800,AJ$1)</f>
        <v>0</v>
      </c>
      <c r="AK135" s="117" t="n">
        <f aca="false">SUMIFS(الريسبي!$C$2:$C$1800,الريسبي!$A$2:$A$1800,$A135,الريسبي!$B$2:$B$1800,AK$1)</f>
        <v>0</v>
      </c>
      <c r="AL135" s="117" t="n">
        <f aca="false">SUMIFS(الريسبي!$C$2:$C$1800,الريسبي!$A$2:$A$1800,$A135,الريسبي!$B$2:$B$1800,AL$1)</f>
        <v>0</v>
      </c>
      <c r="AM135" s="117" t="n">
        <f aca="false">SUMIFS(الريسبي!$C$2:$C$1800,الريسبي!$A$2:$A$1800,$A135,الريسبي!$B$2:$B$1800,AM$1)+0.08333333333*SUMIFS(الريسبي!$C$2:$C$1800,الريسبي!$A$2:$A$1800,$A135,الريسبي!$B$2:$B$1800,"عجين كريب (مصنع بالمطعم)")+0.08333333333*SUMIFS(الريسبي!$C$2:$C$1800,الريسبي!$A$2:$A$1800,$A135,الريسبي!$B$2:$B$1800,"عجين كريب صيامي (بدون لبن)")</f>
        <v>0</v>
      </c>
      <c r="AN135" s="117" t="n">
        <f aca="false">SUMIFS(الريسبي!$C$2:$C$1800,الريسبي!$A$2:$A$1800,$A135,الريسبي!$B$2:$B$1800,AN$1)+0.004166666667*SUMIFS(الريسبي!$C$2:$C$1800,الريسبي!$A$2:$A$1800,$A135,الريسبي!$B$2:$B$1800,"عجين كريب (مصنع بالمطعم)")+0.004166666667*SUMIFS(الريسبي!$C$2:$C$1800,الريسبي!$A$2:$A$1800,$A135,الريسبي!$B$2:$B$1800,"عجين كريب صيامي (بدون لبن)")</f>
        <v>0</v>
      </c>
      <c r="AO135" s="117" t="n">
        <f aca="false">SUMIFS(الريسبي!$C$2:$C$1800,الريسبي!$A$2:$A$1800,$A135,الريسبي!$B$2:$B$1800,AO$1)</f>
        <v>0</v>
      </c>
      <c r="AP135" s="117" t="n">
        <f aca="false">SUMIFS(الريسبي!$C$2:$C$1800,الريسبي!$A$2:$A$1800,$A135,الريسبي!$B$2:$B$1800,AP$1)</f>
        <v>0</v>
      </c>
      <c r="AQ135" s="117" t="n">
        <f aca="false">SUMIFS(الريسبي!$C$2:$C$1800,الريسبي!$A$2:$A$1800,$A135,الريسبي!$B$2:$B$1800,AQ$1)+0.004166666667*SUMIFS(الريسبي!$C$2:$C$1800,الريسبي!$A$2:$A$1800,$A135,الريسبي!$B$2:$B$1800,"عجين كريب (مصنع بالمطعم)")+0.004166666667*SUMIFS(الريسبي!$C$2:$C$1800,الريسبي!$A$2:$A$1800,$A135,الريسبي!$B$2:$B$1800,"عجين كريب صيامي (بدون لبن)")</f>
        <v>0</v>
      </c>
      <c r="AR135" s="117" t="n">
        <f aca="false">SUMIFS(الريسبي!$C$2:$C$1800,الريسبي!$A$2:$A$1800,$A135,الريسبي!$B$2:$B$1800,AR$1)</f>
        <v>0</v>
      </c>
      <c r="AS135" s="117" t="n">
        <f aca="false">SUMIFS(الريسبي!$C$2:$C$1800,الريسبي!$A$2:$A$1800,$A135,الريسبي!$B$2:$B$1800,AS$1)</f>
        <v>0</v>
      </c>
      <c r="AT135" s="117" t="n">
        <f aca="false">SUMIFS(الريسبي!$C$2:$C$1800,الريسبي!$A$2:$A$1800,$A135,الريسبي!$B$2:$B$1800,AT$1)</f>
        <v>0</v>
      </c>
      <c r="AU135" s="117" t="n">
        <f aca="false">SUMIFS(الريسبي!$C$2:$C$1800,الريسبي!$A$2:$A$1800,$A135,الريسبي!$B$2:$B$1800,AU$1)</f>
        <v>0</v>
      </c>
      <c r="AV135" s="117" t="n">
        <f aca="false">SUMIFS(الريسبي!$C$2:$C$1800,الريسبي!$A$2:$A$1800,$A135,الريسبي!$B$2:$B$1800,AV$1)</f>
        <v>0</v>
      </c>
      <c r="AW135" s="117" t="n">
        <f aca="false">SUMIFS(الريسبي!$C$2:$C$1800,الريسبي!$A$2:$A$1800,$A135,الريسبي!$B$2:$B$1800,AW$1)</f>
        <v>0</v>
      </c>
      <c r="AX135" s="117" t="n">
        <f aca="false">SUMIFS(الريسبي!$C$2:$C$1800,الريسبي!$A$2:$A$1800,$A135,الريسبي!$B$2:$B$1800,AX$1)</f>
        <v>0</v>
      </c>
      <c r="AY135" s="117" t="n">
        <f aca="false">SUMIFS(الريسبي!$C$2:$C$1800,الريسبي!$A$2:$A$1800,$A135,الريسبي!$B$2:$B$1800,AY$1)</f>
        <v>0</v>
      </c>
      <c r="AZ135" s="117" t="n">
        <f aca="false">SUMIFS(الريسبي!$C$2:$C$1800,الريسبي!$A$2:$A$1800,$A135,الريسبي!$B$2:$B$1800,AZ$1)</f>
        <v>0</v>
      </c>
      <c r="BA135" s="117" t="n">
        <f aca="false">SUMIFS(الريسبي!$C$2:$C$1800,الريسبي!$A$2:$A$1800,$A135,الريسبي!$B$2:$B$1800,BA$1)</f>
        <v>0</v>
      </c>
      <c r="BB135" s="117" t="n">
        <f aca="false">SUMIFS(الريسبي!$C$2:$C$1800,الريسبي!$A$2:$A$1800,$A135,الريسبي!$B$2:$B$1800,BB$1)</f>
        <v>0</v>
      </c>
      <c r="BC135" s="117" t="n">
        <f aca="false">SUMIFS(الريسبي!$C$2:$C$1800,الريسبي!$A$2:$A$1800,$A135,الريسبي!$B$2:$B$1800,BC$1)</f>
        <v>0</v>
      </c>
      <c r="BD135" s="117" t="n">
        <f aca="false">SUMIFS(الريسبي!$C$2:$C$1800,الريسبي!$A$2:$A$1800,$A135,الريسبي!$B$2:$B$1800,BD$1)</f>
        <v>0</v>
      </c>
      <c r="BE135" s="117" t="n">
        <f aca="false">SUMIFS(الريسبي!$C$2:$C$1800,الريسبي!$A$2:$A$1800,$A135,الريسبي!$B$2:$B$1800,BE$1)</f>
        <v>0</v>
      </c>
      <c r="BF135" s="117" t="n">
        <f aca="false">SUMIFS(الريسبي!$C$2:$C$1800,الريسبي!$A$2:$A$1800,$A135,الريسبي!$B$2:$B$1800,BF$1)</f>
        <v>0</v>
      </c>
      <c r="BG135" s="117" t="n">
        <f aca="false">SUMIFS(الريسبي!$C$2:$C$1800,الريسبي!$A$2:$A$1800,$A135,الريسبي!$B$2:$B$1800,BG$1)</f>
        <v>0</v>
      </c>
      <c r="BH135" s="117" t="n">
        <f aca="false">SUMIFS(الريسبي!$C$2:$C$1800,الريسبي!$A$2:$A$1800,$A135,الريسبي!$B$2:$B$1800,BH$1)</f>
        <v>0</v>
      </c>
      <c r="BI135" s="117" t="n">
        <f aca="false">SUMIFS(الريسبي!$C$2:$C$1800,الريسبي!$A$2:$A$1800,$A135,الريسبي!$B$2:$B$1800,BI$1)</f>
        <v>0</v>
      </c>
      <c r="BJ135" s="117" t="n">
        <f aca="false">SUMIFS(الريسبي!$C$2:$C$1800,الريسبي!$A$2:$A$1800,$A135,الريسبي!$B$2:$B$1800,BJ$1)</f>
        <v>0</v>
      </c>
      <c r="BK135" s="117" t="n">
        <f aca="false">SUMIFS(الريسبي!$C$2:$C$1800,الريسبي!$A$2:$A$1800,$A135,الريسبي!$B$2:$B$1800,BK$1)</f>
        <v>0</v>
      </c>
      <c r="BL135" s="117" t="n">
        <f aca="false">SUMIFS(الريسبي!$C$2:$C$1800,الريسبي!$A$2:$A$1800,$A135,الريسبي!$B$2:$B$1800,BL$1)</f>
        <v>0</v>
      </c>
      <c r="BM135" s="117" t="n">
        <f aca="false">SUMIFS(الريسبي!$C$2:$C$1800,الريسبي!$A$2:$A$1800,$A135,الريسبي!$B$2:$B$1800,BM$1)</f>
        <v>0</v>
      </c>
      <c r="BN135" s="117" t="n">
        <f aca="false">SUMIFS(الريسبي!$C$2:$C$1800,الريسبي!$A$2:$A$1800,$A135,الريسبي!$B$2:$B$1800,BN$1)</f>
        <v>0</v>
      </c>
      <c r="BO135" s="117" t="n">
        <f aca="false">SUMIFS(الريسبي!$C$2:$C$1800,الريسبي!$A$2:$A$1800,$A135,الريسبي!$B$2:$B$1800,BO$1)</f>
        <v>0</v>
      </c>
      <c r="BP135" s="117" t="n">
        <f aca="false">SUMIFS(الريسبي!$C$2:$C$1800,الريسبي!$A$2:$A$1800,$A135,الريسبي!$B$2:$B$1800,BP$1)</f>
        <v>0</v>
      </c>
      <c r="BQ135" s="117" t="n">
        <f aca="false">SUMIFS(الريسبي!$C$2:$C$1800,الريسبي!$A$2:$A$1800,$A135,الريسبي!$B$2:$B$1800,BQ$1)+0.17*SUMIFS(الريسبي!$C$2:$C$1800,الريسبي!$A$2:$A$1800,$A135,الريسبي!$B$2:$B$1800,"كاسترد مصنع (خليط بودر + لبن)")+0.17*SUMIFS(الريسبي!$C$2:$C$1800,الريسبي!$A$2:$A$1800,$A135,الريسبي!$B$2:$B$1800,"كاسترد مصنع صيامي (بدون لبن)")</f>
        <v>0</v>
      </c>
      <c r="BR135" s="117" t="n">
        <f aca="false">SUMIFS(الريسبي!$C$2:$C$1800,الريسبي!$A$2:$A$1800,$A135,الريسبي!$B$2:$B$1800,BR$1)</f>
        <v>0</v>
      </c>
      <c r="BS135" s="117" t="n">
        <f aca="false">SUMIFS(الريسبي!$C$2:$C$1800,الريسبي!$A$2:$A$1800,$A135,الريسبي!$B$2:$B$1800,BS$1)</f>
        <v>0</v>
      </c>
      <c r="BT135" s="117" t="n">
        <f aca="false">SUMIFS(الريسبي!$C$2:$C$1800,الريسبي!$A$2:$A$1800,$A135,الريسبي!$B$2:$B$1800,BT$1)</f>
        <v>0</v>
      </c>
      <c r="BU135" s="117" t="n">
        <f aca="false">SUMIFS(الريسبي!$C$2:$C$1800,الريسبي!$A$2:$A$1800,$A135,الريسبي!$B$2:$B$1800,BU$1)+0.4*SUMIFS(الريسبي!$C$2:$C$1800,الريسبي!$A$2:$A$1800,$A135,الريسبي!$B$2:$B$1800,"كاسترد مصنع (خليط بودر + لبن)")+0.03333333333*SUMIFS(الريسبي!$C$2:$C$1800,الريسبي!$A$2:$A$1800,$A135,الريسبي!$B$2:$B$1800,"عجين كريب (مصنع بالمطعم)")</f>
        <v>0</v>
      </c>
      <c r="BV135" s="117" t="n">
        <f aca="false">SUMIFS(الريسبي!$C$2:$C$1800,الريسبي!$A$2:$A$1800,$A135,الريسبي!$B$2:$B$1800,BV$1)</f>
        <v>0</v>
      </c>
      <c r="BW135" s="117" t="n">
        <f aca="false">SUMIFS(الريسبي!$C$2:$C$1800,الريسبي!$A$2:$A$1800,$A135,الريسبي!$B$2:$B$1800,BW$1)</f>
        <v>0</v>
      </c>
      <c r="BX135" s="117" t="n">
        <f aca="false">SUMIFS(الريسبي!$C$2:$C$1800,الريسبي!$A$2:$A$1800,$A135,الريسبي!$B$2:$B$1800,BX$1)</f>
        <v>0</v>
      </c>
      <c r="BY135" s="117" t="n">
        <f aca="false">SUMIFS(الريسبي!$C$2:$C$1800,الريسبي!$A$2:$A$1800,$A135,الريسبي!$B$2:$B$1800,BY$1)</f>
        <v>0</v>
      </c>
      <c r="BZ135" s="117" t="n">
        <f aca="false">SUMIFS(الريسبي!$C$2:$C$1800,الريسبي!$A$2:$A$1800,$A135,الريسبي!$B$2:$B$1800,BZ$1)</f>
        <v>0</v>
      </c>
      <c r="CA135" s="117" t="n">
        <f aca="false">SUMIFS(الريسبي!$C$2:$C$1800,الريسبي!$A$2:$A$1800,$A135,الريسبي!$B$2:$B$1800,CA$1)</f>
        <v>0</v>
      </c>
      <c r="CB135" s="117" t="n">
        <f aca="false">SUMIFS(الريسبي!$C$2:$C$1800,الريسبي!$A$2:$A$1800,$A135,الريسبي!$B$2:$B$1800,CB$1)</f>
        <v>0</v>
      </c>
      <c r="CC135" s="117" t="n">
        <f aca="false">SUMIFS(الريسبي!$C$2:$C$1800,الريسبي!$A$2:$A$1800,$A135,الريسبي!$B$2:$B$1800,CC$1)</f>
        <v>0</v>
      </c>
      <c r="CD135" s="117" t="n">
        <f aca="false">SUMIFS(الريسبي!$C$2:$C$1800,الريسبي!$A$2:$A$1800,$A135,الريسبي!$B$2:$B$1800,CD$1)</f>
        <v>0</v>
      </c>
      <c r="CE135" s="117" t="n">
        <f aca="false">SUMIFS(الريسبي!$C$2:$C$1800,الريسبي!$A$2:$A$1800,$A135,الريسبي!$B$2:$B$1800,CE$1)</f>
        <v>0</v>
      </c>
      <c r="CF135" s="117" t="n">
        <f aca="false">SUMIFS(الريسبي!$C$2:$C$1800,الريسبي!$A$2:$A$1800,$A135,الريسبي!$B$2:$B$1800,CF$1)</f>
        <v>0</v>
      </c>
      <c r="CG135" s="117" t="n">
        <f aca="false">SUMIFS(الريسبي!$C$2:$C$1800,الريسبي!$A$2:$A$1800,$A135,الريسبي!$B$2:$B$1800,CG$1)</f>
        <v>0</v>
      </c>
      <c r="CH135" s="117" t="n">
        <f aca="false">SUMIFS(الريسبي!$C$2:$C$1800,الريسبي!$A$2:$A$1800,$A135,الريسبي!$B$2:$B$1800,CH$1)</f>
        <v>0</v>
      </c>
      <c r="CI135" s="117" t="n">
        <f aca="false">SUMIFS(الريسبي!$C$2:$C$1800,الريسبي!$A$2:$A$1800,$A135,الريسبي!$B$2:$B$1800,CI$1)</f>
        <v>0</v>
      </c>
      <c r="CJ135" s="117" t="n">
        <f aca="false">SUMIFS(الريسبي!$C$2:$C$1800,الريسبي!$A$2:$A$1800,$A135,الريسبي!$B$2:$B$1800,CJ$1)</f>
        <v>0</v>
      </c>
      <c r="CK135" s="117" t="n">
        <f aca="false">SUMIFS(الريسبي!$C$2:$C$1800,الريسبي!$A$2:$A$1800,$A135,الريسبي!$B$2:$B$1800,CK$1)</f>
        <v>0</v>
      </c>
      <c r="CL135" s="117" t="n">
        <f aca="false">SUMIFS(الريسبي!$C$2:$C$1800,الريسبي!$A$2:$A$1800,$A135,الريسبي!$B$2:$B$1800,CL$1)</f>
        <v>0</v>
      </c>
    </row>
    <row r="136" customFormat="false" ht="15" hidden="false" customHeight="false" outlineLevel="0" collapsed="false">
      <c r="A136" s="116" t="str">
        <f aca="false">المنيو!B136</f>
        <v>اضافة جبنة رومي (فطير وسط)</v>
      </c>
      <c r="B136" s="117" t="n">
        <f aca="false">SUMIFS(الريسبي!$C$2:$C$1800,الريسبي!$A$2:$A$1800,$A136,الريسبي!$B$2:$B$1800,B$1)</f>
        <v>0</v>
      </c>
      <c r="C136" s="117" t="n">
        <f aca="false">SUMIFS(الريسبي!$C$2:$C$1800,الريسبي!$A$2:$A$1800,$A136,الريسبي!$B$2:$B$1800,C$1)</f>
        <v>0</v>
      </c>
      <c r="D136" s="117" t="n">
        <f aca="false">SUMIFS(الريسبي!$C$2:$C$1800,الريسبي!$A$2:$A$1800,$A136,الريسبي!$B$2:$B$1800,D$1)</f>
        <v>0</v>
      </c>
      <c r="E136" s="117" t="n">
        <f aca="false">SUMIFS(الريسبي!$C$2:$C$1800,الريسبي!$A$2:$A$1800,$A136,الريسبي!$B$2:$B$1800,E$1)</f>
        <v>0</v>
      </c>
      <c r="F136" s="117" t="n">
        <f aca="false">SUMIFS(الريسبي!$C$2:$C$1800,الريسبي!$A$2:$A$1800,$A136,الريسبي!$B$2:$B$1800,F$1)</f>
        <v>0</v>
      </c>
      <c r="G136" s="117" t="n">
        <f aca="false">SUMIFS(الريسبي!$C$2:$C$1800,الريسبي!$A$2:$A$1800,$A136,الريسبي!$B$2:$B$1800,G$1)</f>
        <v>0</v>
      </c>
      <c r="H136" s="117" t="n">
        <f aca="false">SUMIFS(الريسبي!$C$2:$C$1800,الريسبي!$A$2:$A$1800,$A136,الريسبي!$B$2:$B$1800,H$1)</f>
        <v>0</v>
      </c>
      <c r="I136" s="117" t="n">
        <f aca="false">SUMIFS(الريسبي!$C$2:$C$1800,الريسبي!$A$2:$A$1800,$A136,الريسبي!$B$2:$B$1800,I$1)</f>
        <v>0</v>
      </c>
      <c r="J136" s="117" t="n">
        <f aca="false">SUMIFS(الريسبي!$C$2:$C$1800,الريسبي!$A$2:$A$1800,$A136,الريسبي!$B$2:$B$1800,J$1)</f>
        <v>1</v>
      </c>
      <c r="K136" s="117" t="n">
        <f aca="false">SUMIFS(الريسبي!$C$2:$C$1800,الريسبي!$A$2:$A$1800,$A136,الريسبي!$B$2:$B$1800,K$1)</f>
        <v>0</v>
      </c>
      <c r="L136" s="117" t="n">
        <f aca="false">SUMIFS(الريسبي!$C$2:$C$1800,الريسبي!$A$2:$A$1800,$A136,الريسبي!$B$2:$B$1800,L$1)</f>
        <v>0</v>
      </c>
      <c r="M136" s="117" t="n">
        <f aca="false">SUMIFS(الريسبي!$C$2:$C$1800,الريسبي!$A$2:$A$1800,$A136,الريسبي!$B$2:$B$1800,M$1)</f>
        <v>0</v>
      </c>
      <c r="N136" s="117" t="n">
        <f aca="false">SUMIFS(الريسبي!$C$2:$C$1800,الريسبي!$A$2:$A$1800,$A136,الريسبي!$B$2:$B$1800,N$1)</f>
        <v>0</v>
      </c>
      <c r="O136" s="117" t="n">
        <f aca="false">SUMIFS(الريسبي!$C$2:$C$1800,الريسبي!$A$2:$A$1800,$A136,الريسبي!$B$2:$B$1800,O$1)</f>
        <v>0</v>
      </c>
      <c r="P136" s="117" t="n">
        <f aca="false">SUMIFS(الريسبي!$C$2:$C$1800,الريسبي!$A$2:$A$1800,$A136,الريسبي!$B$2:$B$1800,P$1)</f>
        <v>0</v>
      </c>
      <c r="Q136" s="117" t="n">
        <f aca="false">SUMIFS(الريسبي!$C$2:$C$1800,الريسبي!$A$2:$A$1800,$A136,الريسبي!$B$2:$B$1800,Q$1)</f>
        <v>0</v>
      </c>
      <c r="R136" s="117" t="n">
        <f aca="false">SUMIFS(الريسبي!$C$2:$C$1800,الريسبي!$A$2:$A$1800,$A136,الريسبي!$B$2:$B$1800,R$1)</f>
        <v>0</v>
      </c>
      <c r="S136" s="117" t="n">
        <f aca="false">SUMIFS(الريسبي!$C$2:$C$1800,الريسبي!$A$2:$A$1800,$A136,الريسبي!$B$2:$B$1800,S$1)</f>
        <v>0</v>
      </c>
      <c r="T136" s="117" t="n">
        <f aca="false">SUMIFS(الريسبي!$C$2:$C$1800,الريسبي!$A$2:$A$1800,$A136,الريسبي!$B$2:$B$1800,T$1)</f>
        <v>0</v>
      </c>
      <c r="U136" s="117" t="n">
        <f aca="false">SUMIFS(الريسبي!$C$2:$C$1800,الريسبي!$A$2:$A$1800,$A136,الريسبي!$B$2:$B$1800,U$1)</f>
        <v>0</v>
      </c>
      <c r="V136" s="117" t="n">
        <f aca="false">SUMIFS(الريسبي!$C$2:$C$1800,الريسبي!$A$2:$A$1800,$A136,الريسبي!$B$2:$B$1800,V$1)+1.5*(SUMIFS(الريسبي!$C$2:$C$1800,الريسبي!$A$2:$A$1800,$A136,الريسبي!$B$2:$B$1800,"برسيون موتزريلا بيتزا كبير"))</f>
        <v>0</v>
      </c>
      <c r="W136" s="117" t="n">
        <f aca="false">0</f>
        <v>0</v>
      </c>
      <c r="X136" s="117" t="n">
        <f aca="false">SUMIFS(الريسبي!$C$2:$C$1800,الريسبي!$A$2:$A$1800,$A136,الريسبي!$B$2:$B$1800,X$1)+1.5*(SUMIFS(الريسبي!$C$2:$C$1800,الريسبي!$A$2:$A$1800,$A136,الريسبي!$B$2:$B$1800,"برسيون موتزريلا فطير كبير"))</f>
        <v>0</v>
      </c>
      <c r="Y136" s="117" t="n">
        <f aca="false">0</f>
        <v>0</v>
      </c>
      <c r="Z136" s="117" t="n">
        <f aca="false">SUMIFS(الريسبي!$C$2:$C$1800,الريسبي!$A$2:$A$1800,$A136,الريسبي!$B$2:$B$1800,Z$1)</f>
        <v>0</v>
      </c>
      <c r="AA136" s="117" t="n">
        <f aca="false">SUMIFS(الريسبي!$C$2:$C$1800,الريسبي!$A$2:$A$1800,$A136,الريسبي!$B$2:$B$1800,AA$1)</f>
        <v>0</v>
      </c>
      <c r="AB136" s="117" t="n">
        <f aca="false">SUMIFS(الريسبي!$C$2:$C$1800,الريسبي!$A$2:$A$1800,$A136,الريسبي!$B$2:$B$1800,AB$1)</f>
        <v>0</v>
      </c>
      <c r="AC136" s="117" t="n">
        <f aca="false">SUMIFS(الريسبي!$C$2:$C$1800,الريسبي!$A$2:$A$1800,$A136,الريسبي!$B$2:$B$1800,AC$1)</f>
        <v>0</v>
      </c>
      <c r="AD136" s="117" t="n">
        <f aca="false">SUMIFS(الريسبي!$C$2:$C$1800,الريسبي!$A$2:$A$1800,$A136,الريسبي!$B$2:$B$1800,AD$1)</f>
        <v>0</v>
      </c>
      <c r="AE136" s="117" t="n">
        <f aca="false">SUMIFS(الريسبي!$C$2:$C$1800,الريسبي!$A$2:$A$1800,$A136,الريسبي!$B$2:$B$1800,AE$1)</f>
        <v>0</v>
      </c>
      <c r="AF136" s="117" t="n">
        <f aca="false">SUMIFS(الريسبي!$C$2:$C$1800,الريسبي!$A$2:$A$1800,$A136,الريسبي!$B$2:$B$1800,AF$1)</f>
        <v>0</v>
      </c>
      <c r="AG136" s="117" t="n">
        <f aca="false">SUMIFS(الريسبي!$C$2:$C$1800,الريسبي!$A$2:$A$1800,$A136,الريسبي!$B$2:$B$1800,AG$1)</f>
        <v>0</v>
      </c>
      <c r="AH136" s="117" t="n">
        <f aca="false">SUMIFS(الريسبي!$C$2:$C$1800,الريسبي!$A$2:$A$1800,$A136,الريسبي!$B$2:$B$1800,AH$1)</f>
        <v>0</v>
      </c>
      <c r="AI136" s="117" t="n">
        <f aca="false">SUMIFS(الريسبي!$C$2:$C$1800,الريسبي!$A$2:$A$1800,$A136,الريسبي!$B$2:$B$1800,AI$1)</f>
        <v>0</v>
      </c>
      <c r="AJ136" s="117" t="n">
        <f aca="false">SUMIFS(الريسبي!$C$2:$C$1800,الريسبي!$A$2:$A$1800,$A136,الريسبي!$B$2:$B$1800,AJ$1)</f>
        <v>0</v>
      </c>
      <c r="AK136" s="117" t="n">
        <f aca="false">SUMIFS(الريسبي!$C$2:$C$1800,الريسبي!$A$2:$A$1800,$A136,الريسبي!$B$2:$B$1800,AK$1)</f>
        <v>0</v>
      </c>
      <c r="AL136" s="117" t="n">
        <f aca="false">SUMIFS(الريسبي!$C$2:$C$1800,الريسبي!$A$2:$A$1800,$A136,الريسبي!$B$2:$B$1800,AL$1)</f>
        <v>0</v>
      </c>
      <c r="AM136" s="117" t="n">
        <f aca="false">SUMIFS(الريسبي!$C$2:$C$1800,الريسبي!$A$2:$A$1800,$A136,الريسبي!$B$2:$B$1800,AM$1)+0.08333333333*SUMIFS(الريسبي!$C$2:$C$1800,الريسبي!$A$2:$A$1800,$A136,الريسبي!$B$2:$B$1800,"عجين كريب (مصنع بالمطعم)")+0.08333333333*SUMIFS(الريسبي!$C$2:$C$1800,الريسبي!$A$2:$A$1800,$A136,الريسبي!$B$2:$B$1800,"عجين كريب صيامي (بدون لبن)")</f>
        <v>0</v>
      </c>
      <c r="AN136" s="117" t="n">
        <f aca="false">SUMIFS(الريسبي!$C$2:$C$1800,الريسبي!$A$2:$A$1800,$A136,الريسبي!$B$2:$B$1800,AN$1)+0.004166666667*SUMIFS(الريسبي!$C$2:$C$1800,الريسبي!$A$2:$A$1800,$A136,الريسبي!$B$2:$B$1800,"عجين كريب (مصنع بالمطعم)")+0.004166666667*SUMIFS(الريسبي!$C$2:$C$1800,الريسبي!$A$2:$A$1800,$A136,الريسبي!$B$2:$B$1800,"عجين كريب صيامي (بدون لبن)")</f>
        <v>0</v>
      </c>
      <c r="AO136" s="117" t="n">
        <f aca="false">SUMIFS(الريسبي!$C$2:$C$1800,الريسبي!$A$2:$A$1800,$A136,الريسبي!$B$2:$B$1800,AO$1)</f>
        <v>0</v>
      </c>
      <c r="AP136" s="117" t="n">
        <f aca="false">SUMIFS(الريسبي!$C$2:$C$1800,الريسبي!$A$2:$A$1800,$A136,الريسبي!$B$2:$B$1800,AP$1)</f>
        <v>0</v>
      </c>
      <c r="AQ136" s="117" t="n">
        <f aca="false">SUMIFS(الريسبي!$C$2:$C$1800,الريسبي!$A$2:$A$1800,$A136,الريسبي!$B$2:$B$1800,AQ$1)+0.004166666667*SUMIFS(الريسبي!$C$2:$C$1800,الريسبي!$A$2:$A$1800,$A136,الريسبي!$B$2:$B$1800,"عجين كريب (مصنع بالمطعم)")+0.004166666667*SUMIFS(الريسبي!$C$2:$C$1800,الريسبي!$A$2:$A$1800,$A136,الريسبي!$B$2:$B$1800,"عجين كريب صيامي (بدون لبن)")</f>
        <v>0</v>
      </c>
      <c r="AR136" s="117" t="n">
        <f aca="false">SUMIFS(الريسبي!$C$2:$C$1800,الريسبي!$A$2:$A$1800,$A136,الريسبي!$B$2:$B$1800,AR$1)</f>
        <v>0</v>
      </c>
      <c r="AS136" s="117" t="n">
        <f aca="false">SUMIFS(الريسبي!$C$2:$C$1800,الريسبي!$A$2:$A$1800,$A136,الريسبي!$B$2:$B$1800,AS$1)</f>
        <v>0</v>
      </c>
      <c r="AT136" s="117" t="n">
        <f aca="false">SUMIFS(الريسبي!$C$2:$C$1800,الريسبي!$A$2:$A$1800,$A136,الريسبي!$B$2:$B$1800,AT$1)</f>
        <v>0</v>
      </c>
      <c r="AU136" s="117" t="n">
        <f aca="false">SUMIFS(الريسبي!$C$2:$C$1800,الريسبي!$A$2:$A$1800,$A136,الريسبي!$B$2:$B$1800,AU$1)</f>
        <v>0</v>
      </c>
      <c r="AV136" s="117" t="n">
        <f aca="false">SUMIFS(الريسبي!$C$2:$C$1800,الريسبي!$A$2:$A$1800,$A136,الريسبي!$B$2:$B$1800,AV$1)</f>
        <v>0</v>
      </c>
      <c r="AW136" s="117" t="n">
        <f aca="false">SUMIFS(الريسبي!$C$2:$C$1800,الريسبي!$A$2:$A$1800,$A136,الريسبي!$B$2:$B$1800,AW$1)</f>
        <v>0</v>
      </c>
      <c r="AX136" s="117" t="n">
        <f aca="false">SUMIFS(الريسبي!$C$2:$C$1800,الريسبي!$A$2:$A$1800,$A136,الريسبي!$B$2:$B$1800,AX$1)</f>
        <v>0</v>
      </c>
      <c r="AY136" s="117" t="n">
        <f aca="false">SUMIFS(الريسبي!$C$2:$C$1800,الريسبي!$A$2:$A$1800,$A136,الريسبي!$B$2:$B$1800,AY$1)</f>
        <v>0</v>
      </c>
      <c r="AZ136" s="117" t="n">
        <f aca="false">SUMIFS(الريسبي!$C$2:$C$1800,الريسبي!$A$2:$A$1800,$A136,الريسبي!$B$2:$B$1800,AZ$1)</f>
        <v>0</v>
      </c>
      <c r="BA136" s="117" t="n">
        <f aca="false">SUMIFS(الريسبي!$C$2:$C$1800,الريسبي!$A$2:$A$1800,$A136,الريسبي!$B$2:$B$1800,BA$1)</f>
        <v>0</v>
      </c>
      <c r="BB136" s="117" t="n">
        <f aca="false">SUMIFS(الريسبي!$C$2:$C$1800,الريسبي!$A$2:$A$1800,$A136,الريسبي!$B$2:$B$1800,BB$1)</f>
        <v>0</v>
      </c>
      <c r="BC136" s="117" t="n">
        <f aca="false">SUMIFS(الريسبي!$C$2:$C$1800,الريسبي!$A$2:$A$1800,$A136,الريسبي!$B$2:$B$1800,BC$1)</f>
        <v>0</v>
      </c>
      <c r="BD136" s="117" t="n">
        <f aca="false">SUMIFS(الريسبي!$C$2:$C$1800,الريسبي!$A$2:$A$1800,$A136,الريسبي!$B$2:$B$1800,BD$1)</f>
        <v>0</v>
      </c>
      <c r="BE136" s="117" t="n">
        <f aca="false">SUMIFS(الريسبي!$C$2:$C$1800,الريسبي!$A$2:$A$1800,$A136,الريسبي!$B$2:$B$1800,BE$1)</f>
        <v>0</v>
      </c>
      <c r="BF136" s="117" t="n">
        <f aca="false">SUMIFS(الريسبي!$C$2:$C$1800,الريسبي!$A$2:$A$1800,$A136,الريسبي!$B$2:$B$1800,BF$1)</f>
        <v>0</v>
      </c>
      <c r="BG136" s="117" t="n">
        <f aca="false">SUMIFS(الريسبي!$C$2:$C$1800,الريسبي!$A$2:$A$1800,$A136,الريسبي!$B$2:$B$1800,BG$1)</f>
        <v>0</v>
      </c>
      <c r="BH136" s="117" t="n">
        <f aca="false">SUMIFS(الريسبي!$C$2:$C$1800,الريسبي!$A$2:$A$1800,$A136,الريسبي!$B$2:$B$1800,BH$1)</f>
        <v>0</v>
      </c>
      <c r="BI136" s="117" t="n">
        <f aca="false">SUMIFS(الريسبي!$C$2:$C$1800,الريسبي!$A$2:$A$1800,$A136,الريسبي!$B$2:$B$1800,BI$1)</f>
        <v>0</v>
      </c>
      <c r="BJ136" s="117" t="n">
        <f aca="false">SUMIFS(الريسبي!$C$2:$C$1800,الريسبي!$A$2:$A$1800,$A136,الريسبي!$B$2:$B$1800,BJ$1)</f>
        <v>0</v>
      </c>
      <c r="BK136" s="117" t="n">
        <f aca="false">SUMIFS(الريسبي!$C$2:$C$1800,الريسبي!$A$2:$A$1800,$A136,الريسبي!$B$2:$B$1800,BK$1)</f>
        <v>0</v>
      </c>
      <c r="BL136" s="117" t="n">
        <f aca="false">SUMIFS(الريسبي!$C$2:$C$1800,الريسبي!$A$2:$A$1800,$A136,الريسبي!$B$2:$B$1800,BL$1)</f>
        <v>0</v>
      </c>
      <c r="BM136" s="117" t="n">
        <f aca="false">SUMIFS(الريسبي!$C$2:$C$1800,الريسبي!$A$2:$A$1800,$A136,الريسبي!$B$2:$B$1800,BM$1)</f>
        <v>0</v>
      </c>
      <c r="BN136" s="117" t="n">
        <f aca="false">SUMIFS(الريسبي!$C$2:$C$1800,الريسبي!$A$2:$A$1800,$A136,الريسبي!$B$2:$B$1800,BN$1)</f>
        <v>0</v>
      </c>
      <c r="BO136" s="117" t="n">
        <f aca="false">SUMIFS(الريسبي!$C$2:$C$1800,الريسبي!$A$2:$A$1800,$A136,الريسبي!$B$2:$B$1800,BO$1)</f>
        <v>0</v>
      </c>
      <c r="BP136" s="117" t="n">
        <f aca="false">SUMIFS(الريسبي!$C$2:$C$1800,الريسبي!$A$2:$A$1800,$A136,الريسبي!$B$2:$B$1800,BP$1)</f>
        <v>0</v>
      </c>
      <c r="BQ136" s="117" t="n">
        <f aca="false">SUMIFS(الريسبي!$C$2:$C$1800,الريسبي!$A$2:$A$1800,$A136,الريسبي!$B$2:$B$1800,BQ$1)+0.17*SUMIFS(الريسبي!$C$2:$C$1800,الريسبي!$A$2:$A$1800,$A136,الريسبي!$B$2:$B$1800,"كاسترد مصنع (خليط بودر + لبن)")+0.17*SUMIFS(الريسبي!$C$2:$C$1800,الريسبي!$A$2:$A$1800,$A136,الريسبي!$B$2:$B$1800,"كاسترد مصنع صيامي (بدون لبن)")</f>
        <v>0</v>
      </c>
      <c r="BR136" s="117" t="n">
        <f aca="false">SUMIFS(الريسبي!$C$2:$C$1800,الريسبي!$A$2:$A$1800,$A136,الريسبي!$B$2:$B$1800,BR$1)</f>
        <v>0</v>
      </c>
      <c r="BS136" s="117" t="n">
        <f aca="false">SUMIFS(الريسبي!$C$2:$C$1800,الريسبي!$A$2:$A$1800,$A136,الريسبي!$B$2:$B$1800,BS$1)</f>
        <v>0</v>
      </c>
      <c r="BT136" s="117" t="n">
        <f aca="false">SUMIFS(الريسبي!$C$2:$C$1800,الريسبي!$A$2:$A$1800,$A136,الريسبي!$B$2:$B$1800,BT$1)</f>
        <v>0</v>
      </c>
      <c r="BU136" s="117" t="n">
        <f aca="false">SUMIFS(الريسبي!$C$2:$C$1800,الريسبي!$A$2:$A$1800,$A136,الريسبي!$B$2:$B$1800,BU$1)+0.4*SUMIFS(الريسبي!$C$2:$C$1800,الريسبي!$A$2:$A$1800,$A136,الريسبي!$B$2:$B$1800,"كاسترد مصنع (خليط بودر + لبن)")+0.03333333333*SUMIFS(الريسبي!$C$2:$C$1800,الريسبي!$A$2:$A$1800,$A136,الريسبي!$B$2:$B$1800,"عجين كريب (مصنع بالمطعم)")</f>
        <v>0</v>
      </c>
      <c r="BV136" s="117" t="n">
        <f aca="false">SUMIFS(الريسبي!$C$2:$C$1800,الريسبي!$A$2:$A$1800,$A136,الريسبي!$B$2:$B$1800,BV$1)</f>
        <v>0</v>
      </c>
      <c r="BW136" s="117" t="n">
        <f aca="false">SUMIFS(الريسبي!$C$2:$C$1800,الريسبي!$A$2:$A$1800,$A136,الريسبي!$B$2:$B$1800,BW$1)</f>
        <v>0</v>
      </c>
      <c r="BX136" s="117" t="n">
        <f aca="false">SUMIFS(الريسبي!$C$2:$C$1800,الريسبي!$A$2:$A$1800,$A136,الريسبي!$B$2:$B$1800,BX$1)</f>
        <v>0</v>
      </c>
      <c r="BY136" s="117" t="n">
        <f aca="false">SUMIFS(الريسبي!$C$2:$C$1800,الريسبي!$A$2:$A$1800,$A136,الريسبي!$B$2:$B$1800,BY$1)</f>
        <v>0</v>
      </c>
      <c r="BZ136" s="117" t="n">
        <f aca="false">SUMIFS(الريسبي!$C$2:$C$1800,الريسبي!$A$2:$A$1800,$A136,الريسبي!$B$2:$B$1800,BZ$1)</f>
        <v>0</v>
      </c>
      <c r="CA136" s="117" t="n">
        <f aca="false">SUMIFS(الريسبي!$C$2:$C$1800,الريسبي!$A$2:$A$1800,$A136,الريسبي!$B$2:$B$1800,CA$1)</f>
        <v>0</v>
      </c>
      <c r="CB136" s="117" t="n">
        <f aca="false">SUMIFS(الريسبي!$C$2:$C$1800,الريسبي!$A$2:$A$1800,$A136,الريسبي!$B$2:$B$1800,CB$1)</f>
        <v>0</v>
      </c>
      <c r="CC136" s="117" t="n">
        <f aca="false">SUMIFS(الريسبي!$C$2:$C$1800,الريسبي!$A$2:$A$1800,$A136,الريسبي!$B$2:$B$1800,CC$1)</f>
        <v>0</v>
      </c>
      <c r="CD136" s="117" t="n">
        <f aca="false">SUMIFS(الريسبي!$C$2:$C$1800,الريسبي!$A$2:$A$1800,$A136,الريسبي!$B$2:$B$1800,CD$1)</f>
        <v>0</v>
      </c>
      <c r="CE136" s="117" t="n">
        <f aca="false">SUMIFS(الريسبي!$C$2:$C$1800,الريسبي!$A$2:$A$1800,$A136,الريسبي!$B$2:$B$1800,CE$1)</f>
        <v>0</v>
      </c>
      <c r="CF136" s="117" t="n">
        <f aca="false">SUMIFS(الريسبي!$C$2:$C$1800,الريسبي!$A$2:$A$1800,$A136,الريسبي!$B$2:$B$1800,CF$1)</f>
        <v>0</v>
      </c>
      <c r="CG136" s="117" t="n">
        <f aca="false">SUMIFS(الريسبي!$C$2:$C$1800,الريسبي!$A$2:$A$1800,$A136,الريسبي!$B$2:$B$1800,CG$1)</f>
        <v>0</v>
      </c>
      <c r="CH136" s="117" t="n">
        <f aca="false">SUMIFS(الريسبي!$C$2:$C$1800,الريسبي!$A$2:$A$1800,$A136,الريسبي!$B$2:$B$1800,CH$1)</f>
        <v>0</v>
      </c>
      <c r="CI136" s="117" t="n">
        <f aca="false">SUMIFS(الريسبي!$C$2:$C$1800,الريسبي!$A$2:$A$1800,$A136,الريسبي!$B$2:$B$1800,CI$1)</f>
        <v>0</v>
      </c>
      <c r="CJ136" s="117" t="n">
        <f aca="false">SUMIFS(الريسبي!$C$2:$C$1800,الريسبي!$A$2:$A$1800,$A136,الريسبي!$B$2:$B$1800,CJ$1)</f>
        <v>0</v>
      </c>
      <c r="CK136" s="117" t="n">
        <f aca="false">SUMIFS(الريسبي!$C$2:$C$1800,الريسبي!$A$2:$A$1800,$A136,الريسبي!$B$2:$B$1800,CK$1)</f>
        <v>0</v>
      </c>
      <c r="CL136" s="117" t="n">
        <f aca="false">SUMIFS(الريسبي!$C$2:$C$1800,الريسبي!$A$2:$A$1800,$A136,الريسبي!$B$2:$B$1800,CL$1)</f>
        <v>0</v>
      </c>
    </row>
    <row r="137" customFormat="false" ht="15" hidden="false" customHeight="false" outlineLevel="0" collapsed="false">
      <c r="A137" s="116" t="str">
        <f aca="false">المنيو!B137</f>
        <v>اضافة جبنة رومي (فطير كبير)</v>
      </c>
      <c r="B137" s="117" t="n">
        <f aca="false">SUMIFS(الريسبي!$C$2:$C$1800,الريسبي!$A$2:$A$1800,$A137,الريسبي!$B$2:$B$1800,B$1)</f>
        <v>0</v>
      </c>
      <c r="C137" s="117" t="n">
        <f aca="false">SUMIFS(الريسبي!$C$2:$C$1800,الريسبي!$A$2:$A$1800,$A137,الريسبي!$B$2:$B$1800,C$1)</f>
        <v>0</v>
      </c>
      <c r="D137" s="117" t="n">
        <f aca="false">SUMIFS(الريسبي!$C$2:$C$1800,الريسبي!$A$2:$A$1800,$A137,الريسبي!$B$2:$B$1800,D$1)</f>
        <v>0</v>
      </c>
      <c r="E137" s="117" t="n">
        <f aca="false">SUMIFS(الريسبي!$C$2:$C$1800,الريسبي!$A$2:$A$1800,$A137,الريسبي!$B$2:$B$1800,E$1)</f>
        <v>0</v>
      </c>
      <c r="F137" s="117" t="n">
        <f aca="false">SUMIFS(الريسبي!$C$2:$C$1800,الريسبي!$A$2:$A$1800,$A137,الريسبي!$B$2:$B$1800,F$1)</f>
        <v>0</v>
      </c>
      <c r="G137" s="117" t="n">
        <f aca="false">SUMIFS(الريسبي!$C$2:$C$1800,الريسبي!$A$2:$A$1800,$A137,الريسبي!$B$2:$B$1800,G$1)</f>
        <v>0</v>
      </c>
      <c r="H137" s="117" t="n">
        <f aca="false">SUMIFS(الريسبي!$C$2:$C$1800,الريسبي!$A$2:$A$1800,$A137,الريسبي!$B$2:$B$1800,H$1)</f>
        <v>0</v>
      </c>
      <c r="I137" s="117" t="n">
        <f aca="false">SUMIFS(الريسبي!$C$2:$C$1800,الريسبي!$A$2:$A$1800,$A137,الريسبي!$B$2:$B$1800,I$1)</f>
        <v>0</v>
      </c>
      <c r="J137" s="117" t="n">
        <f aca="false">SUMIFS(الريسبي!$C$2:$C$1800,الريسبي!$A$2:$A$1800,$A137,الريسبي!$B$2:$B$1800,J$1)</f>
        <v>1.5</v>
      </c>
      <c r="K137" s="117" t="n">
        <f aca="false">SUMIFS(الريسبي!$C$2:$C$1800,الريسبي!$A$2:$A$1800,$A137,الريسبي!$B$2:$B$1800,K$1)</f>
        <v>0</v>
      </c>
      <c r="L137" s="117" t="n">
        <f aca="false">SUMIFS(الريسبي!$C$2:$C$1800,الريسبي!$A$2:$A$1800,$A137,الريسبي!$B$2:$B$1800,L$1)</f>
        <v>0</v>
      </c>
      <c r="M137" s="117" t="n">
        <f aca="false">SUMIFS(الريسبي!$C$2:$C$1800,الريسبي!$A$2:$A$1800,$A137,الريسبي!$B$2:$B$1800,M$1)</f>
        <v>0</v>
      </c>
      <c r="N137" s="117" t="n">
        <f aca="false">SUMIFS(الريسبي!$C$2:$C$1800,الريسبي!$A$2:$A$1800,$A137,الريسبي!$B$2:$B$1800,N$1)</f>
        <v>0</v>
      </c>
      <c r="O137" s="117" t="n">
        <f aca="false">SUMIFS(الريسبي!$C$2:$C$1800,الريسبي!$A$2:$A$1800,$A137,الريسبي!$B$2:$B$1800,O$1)</f>
        <v>0</v>
      </c>
      <c r="P137" s="117" t="n">
        <f aca="false">SUMIFS(الريسبي!$C$2:$C$1800,الريسبي!$A$2:$A$1800,$A137,الريسبي!$B$2:$B$1800,P$1)</f>
        <v>0</v>
      </c>
      <c r="Q137" s="117" t="n">
        <f aca="false">SUMIFS(الريسبي!$C$2:$C$1800,الريسبي!$A$2:$A$1800,$A137,الريسبي!$B$2:$B$1800,Q$1)</f>
        <v>0</v>
      </c>
      <c r="R137" s="117" t="n">
        <f aca="false">SUMIFS(الريسبي!$C$2:$C$1800,الريسبي!$A$2:$A$1800,$A137,الريسبي!$B$2:$B$1800,R$1)</f>
        <v>0</v>
      </c>
      <c r="S137" s="117" t="n">
        <f aca="false">SUMIFS(الريسبي!$C$2:$C$1800,الريسبي!$A$2:$A$1800,$A137,الريسبي!$B$2:$B$1800,S$1)</f>
        <v>0</v>
      </c>
      <c r="T137" s="117" t="n">
        <f aca="false">SUMIFS(الريسبي!$C$2:$C$1800,الريسبي!$A$2:$A$1800,$A137,الريسبي!$B$2:$B$1800,T$1)</f>
        <v>0</v>
      </c>
      <c r="U137" s="117" t="n">
        <f aca="false">SUMIFS(الريسبي!$C$2:$C$1800,الريسبي!$A$2:$A$1800,$A137,الريسبي!$B$2:$B$1800,U$1)</f>
        <v>0</v>
      </c>
      <c r="V137" s="117" t="n">
        <f aca="false">SUMIFS(الريسبي!$C$2:$C$1800,الريسبي!$A$2:$A$1800,$A137,الريسبي!$B$2:$B$1800,V$1)+1.5*(SUMIFS(الريسبي!$C$2:$C$1800,الريسبي!$A$2:$A$1800,$A137,الريسبي!$B$2:$B$1800,"برسيون موتزريلا بيتزا كبير"))</f>
        <v>0</v>
      </c>
      <c r="W137" s="117" t="n">
        <f aca="false">0</f>
        <v>0</v>
      </c>
      <c r="X137" s="117" t="n">
        <f aca="false">SUMIFS(الريسبي!$C$2:$C$1800,الريسبي!$A$2:$A$1800,$A137,الريسبي!$B$2:$B$1800,X$1)+1.5*(SUMIFS(الريسبي!$C$2:$C$1800,الريسبي!$A$2:$A$1800,$A137,الريسبي!$B$2:$B$1800,"برسيون موتزريلا فطير كبير"))</f>
        <v>0</v>
      </c>
      <c r="Y137" s="117" t="n">
        <f aca="false">0</f>
        <v>0</v>
      </c>
      <c r="Z137" s="117" t="n">
        <f aca="false">SUMIFS(الريسبي!$C$2:$C$1800,الريسبي!$A$2:$A$1800,$A137,الريسبي!$B$2:$B$1800,Z$1)</f>
        <v>0</v>
      </c>
      <c r="AA137" s="117" t="n">
        <f aca="false">SUMIFS(الريسبي!$C$2:$C$1800,الريسبي!$A$2:$A$1800,$A137,الريسبي!$B$2:$B$1800,AA$1)</f>
        <v>0</v>
      </c>
      <c r="AB137" s="117" t="n">
        <f aca="false">SUMIFS(الريسبي!$C$2:$C$1800,الريسبي!$A$2:$A$1800,$A137,الريسبي!$B$2:$B$1800,AB$1)</f>
        <v>0</v>
      </c>
      <c r="AC137" s="117" t="n">
        <f aca="false">SUMIFS(الريسبي!$C$2:$C$1800,الريسبي!$A$2:$A$1800,$A137,الريسبي!$B$2:$B$1800,AC$1)</f>
        <v>0</v>
      </c>
      <c r="AD137" s="117" t="n">
        <f aca="false">SUMIFS(الريسبي!$C$2:$C$1800,الريسبي!$A$2:$A$1800,$A137,الريسبي!$B$2:$B$1800,AD$1)</f>
        <v>0</v>
      </c>
      <c r="AE137" s="117" t="n">
        <f aca="false">SUMIFS(الريسبي!$C$2:$C$1800,الريسبي!$A$2:$A$1800,$A137,الريسبي!$B$2:$B$1800,AE$1)</f>
        <v>0</v>
      </c>
      <c r="AF137" s="117" t="n">
        <f aca="false">SUMIFS(الريسبي!$C$2:$C$1800,الريسبي!$A$2:$A$1800,$A137,الريسبي!$B$2:$B$1800,AF$1)</f>
        <v>0</v>
      </c>
      <c r="AG137" s="117" t="n">
        <f aca="false">SUMIFS(الريسبي!$C$2:$C$1800,الريسبي!$A$2:$A$1800,$A137,الريسبي!$B$2:$B$1800,AG$1)</f>
        <v>0</v>
      </c>
      <c r="AH137" s="117" t="n">
        <f aca="false">SUMIFS(الريسبي!$C$2:$C$1800,الريسبي!$A$2:$A$1800,$A137,الريسبي!$B$2:$B$1800,AH$1)</f>
        <v>0</v>
      </c>
      <c r="AI137" s="117" t="n">
        <f aca="false">SUMIFS(الريسبي!$C$2:$C$1800,الريسبي!$A$2:$A$1800,$A137,الريسبي!$B$2:$B$1800,AI$1)</f>
        <v>0</v>
      </c>
      <c r="AJ137" s="117" t="n">
        <f aca="false">SUMIFS(الريسبي!$C$2:$C$1800,الريسبي!$A$2:$A$1800,$A137,الريسبي!$B$2:$B$1800,AJ$1)</f>
        <v>0</v>
      </c>
      <c r="AK137" s="117" t="n">
        <f aca="false">SUMIFS(الريسبي!$C$2:$C$1800,الريسبي!$A$2:$A$1800,$A137,الريسبي!$B$2:$B$1800,AK$1)</f>
        <v>0</v>
      </c>
      <c r="AL137" s="117" t="n">
        <f aca="false">SUMIFS(الريسبي!$C$2:$C$1800,الريسبي!$A$2:$A$1800,$A137,الريسبي!$B$2:$B$1800,AL$1)</f>
        <v>0</v>
      </c>
      <c r="AM137" s="117" t="n">
        <f aca="false">SUMIFS(الريسبي!$C$2:$C$1800,الريسبي!$A$2:$A$1800,$A137,الريسبي!$B$2:$B$1800,AM$1)+0.08333333333*SUMIFS(الريسبي!$C$2:$C$1800,الريسبي!$A$2:$A$1800,$A137,الريسبي!$B$2:$B$1800,"عجين كريب (مصنع بالمطعم)")+0.08333333333*SUMIFS(الريسبي!$C$2:$C$1800,الريسبي!$A$2:$A$1800,$A137,الريسبي!$B$2:$B$1800,"عجين كريب صيامي (بدون لبن)")</f>
        <v>0</v>
      </c>
      <c r="AN137" s="117" t="n">
        <f aca="false">SUMIFS(الريسبي!$C$2:$C$1800,الريسبي!$A$2:$A$1800,$A137,الريسبي!$B$2:$B$1800,AN$1)+0.004166666667*SUMIFS(الريسبي!$C$2:$C$1800,الريسبي!$A$2:$A$1800,$A137,الريسبي!$B$2:$B$1800,"عجين كريب (مصنع بالمطعم)")+0.004166666667*SUMIFS(الريسبي!$C$2:$C$1800,الريسبي!$A$2:$A$1800,$A137,الريسبي!$B$2:$B$1800,"عجين كريب صيامي (بدون لبن)")</f>
        <v>0</v>
      </c>
      <c r="AO137" s="117" t="n">
        <f aca="false">SUMIFS(الريسبي!$C$2:$C$1800,الريسبي!$A$2:$A$1800,$A137,الريسبي!$B$2:$B$1800,AO$1)</f>
        <v>0</v>
      </c>
      <c r="AP137" s="117" t="n">
        <f aca="false">SUMIFS(الريسبي!$C$2:$C$1800,الريسبي!$A$2:$A$1800,$A137,الريسبي!$B$2:$B$1800,AP$1)</f>
        <v>0</v>
      </c>
      <c r="AQ137" s="117" t="n">
        <f aca="false">SUMIFS(الريسبي!$C$2:$C$1800,الريسبي!$A$2:$A$1800,$A137,الريسبي!$B$2:$B$1800,AQ$1)+0.004166666667*SUMIFS(الريسبي!$C$2:$C$1800,الريسبي!$A$2:$A$1800,$A137,الريسبي!$B$2:$B$1800,"عجين كريب (مصنع بالمطعم)")+0.004166666667*SUMIFS(الريسبي!$C$2:$C$1800,الريسبي!$A$2:$A$1800,$A137,الريسبي!$B$2:$B$1800,"عجين كريب صيامي (بدون لبن)")</f>
        <v>0</v>
      </c>
      <c r="AR137" s="117" t="n">
        <f aca="false">SUMIFS(الريسبي!$C$2:$C$1800,الريسبي!$A$2:$A$1800,$A137,الريسبي!$B$2:$B$1800,AR$1)</f>
        <v>0</v>
      </c>
      <c r="AS137" s="117" t="n">
        <f aca="false">SUMIFS(الريسبي!$C$2:$C$1800,الريسبي!$A$2:$A$1800,$A137,الريسبي!$B$2:$B$1800,AS$1)</f>
        <v>0</v>
      </c>
      <c r="AT137" s="117" t="n">
        <f aca="false">SUMIFS(الريسبي!$C$2:$C$1800,الريسبي!$A$2:$A$1800,$A137,الريسبي!$B$2:$B$1800,AT$1)</f>
        <v>0</v>
      </c>
      <c r="AU137" s="117" t="n">
        <f aca="false">SUMIFS(الريسبي!$C$2:$C$1800,الريسبي!$A$2:$A$1800,$A137,الريسبي!$B$2:$B$1800,AU$1)</f>
        <v>0</v>
      </c>
      <c r="AV137" s="117" t="n">
        <f aca="false">SUMIFS(الريسبي!$C$2:$C$1800,الريسبي!$A$2:$A$1800,$A137,الريسبي!$B$2:$B$1800,AV$1)</f>
        <v>0</v>
      </c>
      <c r="AW137" s="117" t="n">
        <f aca="false">SUMIFS(الريسبي!$C$2:$C$1800,الريسبي!$A$2:$A$1800,$A137,الريسبي!$B$2:$B$1800,AW$1)</f>
        <v>0</v>
      </c>
      <c r="AX137" s="117" t="n">
        <f aca="false">SUMIFS(الريسبي!$C$2:$C$1800,الريسبي!$A$2:$A$1800,$A137,الريسبي!$B$2:$B$1800,AX$1)</f>
        <v>0</v>
      </c>
      <c r="AY137" s="117" t="n">
        <f aca="false">SUMIFS(الريسبي!$C$2:$C$1800,الريسبي!$A$2:$A$1800,$A137,الريسبي!$B$2:$B$1800,AY$1)</f>
        <v>0</v>
      </c>
      <c r="AZ137" s="117" t="n">
        <f aca="false">SUMIFS(الريسبي!$C$2:$C$1800,الريسبي!$A$2:$A$1800,$A137,الريسبي!$B$2:$B$1800,AZ$1)</f>
        <v>0</v>
      </c>
      <c r="BA137" s="117" t="n">
        <f aca="false">SUMIFS(الريسبي!$C$2:$C$1800,الريسبي!$A$2:$A$1800,$A137,الريسبي!$B$2:$B$1800,BA$1)</f>
        <v>0</v>
      </c>
      <c r="BB137" s="117" t="n">
        <f aca="false">SUMIFS(الريسبي!$C$2:$C$1800,الريسبي!$A$2:$A$1800,$A137,الريسبي!$B$2:$B$1800,BB$1)</f>
        <v>0</v>
      </c>
      <c r="BC137" s="117" t="n">
        <f aca="false">SUMIFS(الريسبي!$C$2:$C$1800,الريسبي!$A$2:$A$1800,$A137,الريسبي!$B$2:$B$1800,BC$1)</f>
        <v>0</v>
      </c>
      <c r="BD137" s="117" t="n">
        <f aca="false">SUMIFS(الريسبي!$C$2:$C$1800,الريسبي!$A$2:$A$1800,$A137,الريسبي!$B$2:$B$1800,BD$1)</f>
        <v>0</v>
      </c>
      <c r="BE137" s="117" t="n">
        <f aca="false">SUMIFS(الريسبي!$C$2:$C$1800,الريسبي!$A$2:$A$1800,$A137,الريسبي!$B$2:$B$1800,BE$1)</f>
        <v>0</v>
      </c>
      <c r="BF137" s="117" t="n">
        <f aca="false">SUMIFS(الريسبي!$C$2:$C$1800,الريسبي!$A$2:$A$1800,$A137,الريسبي!$B$2:$B$1800,BF$1)</f>
        <v>0</v>
      </c>
      <c r="BG137" s="117" t="n">
        <f aca="false">SUMIFS(الريسبي!$C$2:$C$1800,الريسبي!$A$2:$A$1800,$A137,الريسبي!$B$2:$B$1800,BG$1)</f>
        <v>0</v>
      </c>
      <c r="BH137" s="117" t="n">
        <f aca="false">SUMIFS(الريسبي!$C$2:$C$1800,الريسبي!$A$2:$A$1800,$A137,الريسبي!$B$2:$B$1800,BH$1)</f>
        <v>0</v>
      </c>
      <c r="BI137" s="117" t="n">
        <f aca="false">SUMIFS(الريسبي!$C$2:$C$1800,الريسبي!$A$2:$A$1800,$A137,الريسبي!$B$2:$B$1800,BI$1)</f>
        <v>0</v>
      </c>
      <c r="BJ137" s="117" t="n">
        <f aca="false">SUMIFS(الريسبي!$C$2:$C$1800,الريسبي!$A$2:$A$1800,$A137,الريسبي!$B$2:$B$1800,BJ$1)</f>
        <v>0</v>
      </c>
      <c r="BK137" s="117" t="n">
        <f aca="false">SUMIFS(الريسبي!$C$2:$C$1800,الريسبي!$A$2:$A$1800,$A137,الريسبي!$B$2:$B$1800,BK$1)</f>
        <v>0</v>
      </c>
      <c r="BL137" s="117" t="n">
        <f aca="false">SUMIFS(الريسبي!$C$2:$C$1800,الريسبي!$A$2:$A$1800,$A137,الريسبي!$B$2:$B$1800,BL$1)</f>
        <v>0</v>
      </c>
      <c r="BM137" s="117" t="n">
        <f aca="false">SUMIFS(الريسبي!$C$2:$C$1800,الريسبي!$A$2:$A$1800,$A137,الريسبي!$B$2:$B$1800,BM$1)</f>
        <v>0</v>
      </c>
      <c r="BN137" s="117" t="n">
        <f aca="false">SUMIFS(الريسبي!$C$2:$C$1800,الريسبي!$A$2:$A$1800,$A137,الريسبي!$B$2:$B$1800,BN$1)</f>
        <v>0</v>
      </c>
      <c r="BO137" s="117" t="n">
        <f aca="false">SUMIFS(الريسبي!$C$2:$C$1800,الريسبي!$A$2:$A$1800,$A137,الريسبي!$B$2:$B$1800,BO$1)</f>
        <v>0</v>
      </c>
      <c r="BP137" s="117" t="n">
        <f aca="false">SUMIFS(الريسبي!$C$2:$C$1800,الريسبي!$A$2:$A$1800,$A137,الريسبي!$B$2:$B$1800,BP$1)</f>
        <v>0</v>
      </c>
      <c r="BQ137" s="117" t="n">
        <f aca="false">SUMIFS(الريسبي!$C$2:$C$1800,الريسبي!$A$2:$A$1800,$A137,الريسبي!$B$2:$B$1800,BQ$1)+0.17*SUMIFS(الريسبي!$C$2:$C$1800,الريسبي!$A$2:$A$1800,$A137,الريسبي!$B$2:$B$1800,"كاسترد مصنع (خليط بودر + لبن)")+0.17*SUMIFS(الريسبي!$C$2:$C$1800,الريسبي!$A$2:$A$1800,$A137,الريسبي!$B$2:$B$1800,"كاسترد مصنع صيامي (بدون لبن)")</f>
        <v>0</v>
      </c>
      <c r="BR137" s="117" t="n">
        <f aca="false">SUMIFS(الريسبي!$C$2:$C$1800,الريسبي!$A$2:$A$1800,$A137,الريسبي!$B$2:$B$1800,BR$1)</f>
        <v>0</v>
      </c>
      <c r="BS137" s="117" t="n">
        <f aca="false">SUMIFS(الريسبي!$C$2:$C$1800,الريسبي!$A$2:$A$1800,$A137,الريسبي!$B$2:$B$1800,BS$1)</f>
        <v>0</v>
      </c>
      <c r="BT137" s="117" t="n">
        <f aca="false">SUMIFS(الريسبي!$C$2:$C$1800,الريسبي!$A$2:$A$1800,$A137,الريسبي!$B$2:$B$1800,BT$1)</f>
        <v>0</v>
      </c>
      <c r="BU137" s="117" t="n">
        <f aca="false">SUMIFS(الريسبي!$C$2:$C$1800,الريسبي!$A$2:$A$1800,$A137,الريسبي!$B$2:$B$1800,BU$1)+0.4*SUMIFS(الريسبي!$C$2:$C$1800,الريسبي!$A$2:$A$1800,$A137,الريسبي!$B$2:$B$1800,"كاسترد مصنع (خليط بودر + لبن)")+0.03333333333*SUMIFS(الريسبي!$C$2:$C$1800,الريسبي!$A$2:$A$1800,$A137,الريسبي!$B$2:$B$1800,"عجين كريب (مصنع بالمطعم)")</f>
        <v>0</v>
      </c>
      <c r="BV137" s="117" t="n">
        <f aca="false">SUMIFS(الريسبي!$C$2:$C$1800,الريسبي!$A$2:$A$1800,$A137,الريسبي!$B$2:$B$1800,BV$1)</f>
        <v>0</v>
      </c>
      <c r="BW137" s="117" t="n">
        <f aca="false">SUMIFS(الريسبي!$C$2:$C$1800,الريسبي!$A$2:$A$1800,$A137,الريسبي!$B$2:$B$1800,BW$1)</f>
        <v>0</v>
      </c>
      <c r="BX137" s="117" t="n">
        <f aca="false">SUMIFS(الريسبي!$C$2:$C$1800,الريسبي!$A$2:$A$1800,$A137,الريسبي!$B$2:$B$1800,BX$1)</f>
        <v>0</v>
      </c>
      <c r="BY137" s="117" t="n">
        <f aca="false">SUMIFS(الريسبي!$C$2:$C$1800,الريسبي!$A$2:$A$1800,$A137,الريسبي!$B$2:$B$1800,BY$1)</f>
        <v>0</v>
      </c>
      <c r="BZ137" s="117" t="n">
        <f aca="false">SUMIFS(الريسبي!$C$2:$C$1800,الريسبي!$A$2:$A$1800,$A137,الريسبي!$B$2:$B$1800,BZ$1)</f>
        <v>0</v>
      </c>
      <c r="CA137" s="117" t="n">
        <f aca="false">SUMIFS(الريسبي!$C$2:$C$1800,الريسبي!$A$2:$A$1800,$A137,الريسبي!$B$2:$B$1800,CA$1)</f>
        <v>0</v>
      </c>
      <c r="CB137" s="117" t="n">
        <f aca="false">SUMIFS(الريسبي!$C$2:$C$1800,الريسبي!$A$2:$A$1800,$A137,الريسبي!$B$2:$B$1800,CB$1)</f>
        <v>0</v>
      </c>
      <c r="CC137" s="117" t="n">
        <f aca="false">SUMIFS(الريسبي!$C$2:$C$1800,الريسبي!$A$2:$A$1800,$A137,الريسبي!$B$2:$B$1800,CC$1)</f>
        <v>0</v>
      </c>
      <c r="CD137" s="117" t="n">
        <f aca="false">SUMIFS(الريسبي!$C$2:$C$1800,الريسبي!$A$2:$A$1800,$A137,الريسبي!$B$2:$B$1800,CD$1)</f>
        <v>0</v>
      </c>
      <c r="CE137" s="117" t="n">
        <f aca="false">SUMIFS(الريسبي!$C$2:$C$1800,الريسبي!$A$2:$A$1800,$A137,الريسبي!$B$2:$B$1800,CE$1)</f>
        <v>0</v>
      </c>
      <c r="CF137" s="117" t="n">
        <f aca="false">SUMIFS(الريسبي!$C$2:$C$1800,الريسبي!$A$2:$A$1800,$A137,الريسبي!$B$2:$B$1800,CF$1)</f>
        <v>0</v>
      </c>
      <c r="CG137" s="117" t="n">
        <f aca="false">SUMIFS(الريسبي!$C$2:$C$1800,الريسبي!$A$2:$A$1800,$A137,الريسبي!$B$2:$B$1800,CG$1)</f>
        <v>0</v>
      </c>
      <c r="CH137" s="117" t="n">
        <f aca="false">SUMIFS(الريسبي!$C$2:$C$1800,الريسبي!$A$2:$A$1800,$A137,الريسبي!$B$2:$B$1800,CH$1)</f>
        <v>0</v>
      </c>
      <c r="CI137" s="117" t="n">
        <f aca="false">SUMIFS(الريسبي!$C$2:$C$1800,الريسبي!$A$2:$A$1800,$A137,الريسبي!$B$2:$B$1800,CI$1)</f>
        <v>0</v>
      </c>
      <c r="CJ137" s="117" t="n">
        <f aca="false">SUMIFS(الريسبي!$C$2:$C$1800,الريسبي!$A$2:$A$1800,$A137,الريسبي!$B$2:$B$1800,CJ$1)</f>
        <v>0</v>
      </c>
      <c r="CK137" s="117" t="n">
        <f aca="false">SUMIFS(الريسبي!$C$2:$C$1800,الريسبي!$A$2:$A$1800,$A137,الريسبي!$B$2:$B$1800,CK$1)</f>
        <v>0</v>
      </c>
      <c r="CL137" s="117" t="n">
        <f aca="false">SUMIFS(الريسبي!$C$2:$C$1800,الريسبي!$A$2:$A$1800,$A137,الريسبي!$B$2:$B$1800,CL$1)</f>
        <v>0</v>
      </c>
    </row>
    <row r="138" customFormat="false" ht="15" hidden="false" customHeight="false" outlineLevel="0" collapsed="false">
      <c r="A138" s="116" t="str">
        <f aca="false">المنيو!B138</f>
        <v>اضافة مكسرات (وسط)</v>
      </c>
      <c r="B138" s="117" t="n">
        <f aca="false">SUMIFS(الريسبي!$C$2:$C$1800,الريسبي!$A$2:$A$1800,$A138,الريسبي!$B$2:$B$1800,B$1)</f>
        <v>0</v>
      </c>
      <c r="C138" s="117" t="n">
        <f aca="false">SUMIFS(الريسبي!$C$2:$C$1800,الريسبي!$A$2:$A$1800,$A138,الريسبي!$B$2:$B$1800,C$1)</f>
        <v>0</v>
      </c>
      <c r="D138" s="117" t="n">
        <f aca="false">SUMIFS(الريسبي!$C$2:$C$1800,الريسبي!$A$2:$A$1800,$A138,الريسبي!$B$2:$B$1800,D$1)</f>
        <v>0</v>
      </c>
      <c r="E138" s="117" t="n">
        <f aca="false">SUMIFS(الريسبي!$C$2:$C$1800,الريسبي!$A$2:$A$1800,$A138,الريسبي!$B$2:$B$1800,E$1)</f>
        <v>0</v>
      </c>
      <c r="F138" s="117" t="n">
        <f aca="false">SUMIFS(الريسبي!$C$2:$C$1800,الريسبي!$A$2:$A$1800,$A138,الريسبي!$B$2:$B$1800,F$1)</f>
        <v>0</v>
      </c>
      <c r="G138" s="117" t="n">
        <f aca="false">SUMIFS(الريسبي!$C$2:$C$1800,الريسبي!$A$2:$A$1800,$A138,الريسبي!$B$2:$B$1800,G$1)</f>
        <v>0</v>
      </c>
      <c r="H138" s="117" t="n">
        <f aca="false">SUMIFS(الريسبي!$C$2:$C$1800,الريسبي!$A$2:$A$1800,$A138,الريسبي!$B$2:$B$1800,H$1)</f>
        <v>0</v>
      </c>
      <c r="I138" s="117" t="n">
        <f aca="false">SUMIFS(الريسبي!$C$2:$C$1800,الريسبي!$A$2:$A$1800,$A138,الريسبي!$B$2:$B$1800,I$1)</f>
        <v>0</v>
      </c>
      <c r="J138" s="117" t="n">
        <f aca="false">SUMIFS(الريسبي!$C$2:$C$1800,الريسبي!$A$2:$A$1800,$A138,الريسبي!$B$2:$B$1800,J$1)</f>
        <v>0</v>
      </c>
      <c r="K138" s="117" t="n">
        <f aca="false">SUMIFS(الريسبي!$C$2:$C$1800,الريسبي!$A$2:$A$1800,$A138,الريسبي!$B$2:$B$1800,K$1)</f>
        <v>0</v>
      </c>
      <c r="L138" s="117" t="n">
        <f aca="false">SUMIFS(الريسبي!$C$2:$C$1800,الريسبي!$A$2:$A$1800,$A138,الريسبي!$B$2:$B$1800,L$1)</f>
        <v>0</v>
      </c>
      <c r="M138" s="117" t="n">
        <f aca="false">SUMIFS(الريسبي!$C$2:$C$1800,الريسبي!$A$2:$A$1800,$A138,الريسبي!$B$2:$B$1800,M$1)</f>
        <v>0</v>
      </c>
      <c r="N138" s="117" t="n">
        <f aca="false">SUMIFS(الريسبي!$C$2:$C$1800,الريسبي!$A$2:$A$1800,$A138,الريسبي!$B$2:$B$1800,N$1)</f>
        <v>0</v>
      </c>
      <c r="O138" s="117" t="n">
        <f aca="false">SUMIFS(الريسبي!$C$2:$C$1800,الريسبي!$A$2:$A$1800,$A138,الريسبي!$B$2:$B$1800,O$1)</f>
        <v>0</v>
      </c>
      <c r="P138" s="117" t="n">
        <f aca="false">SUMIFS(الريسبي!$C$2:$C$1800,الريسبي!$A$2:$A$1800,$A138,الريسبي!$B$2:$B$1800,P$1)</f>
        <v>0</v>
      </c>
      <c r="Q138" s="117" t="n">
        <f aca="false">SUMIFS(الريسبي!$C$2:$C$1800,الريسبي!$A$2:$A$1800,$A138,الريسبي!$B$2:$B$1800,Q$1)</f>
        <v>0</v>
      </c>
      <c r="R138" s="117" t="n">
        <f aca="false">SUMIFS(الريسبي!$C$2:$C$1800,الريسبي!$A$2:$A$1800,$A138,الريسبي!$B$2:$B$1800,R$1)</f>
        <v>0</v>
      </c>
      <c r="S138" s="117" t="n">
        <f aca="false">SUMIFS(الريسبي!$C$2:$C$1800,الريسبي!$A$2:$A$1800,$A138,الريسبي!$B$2:$B$1800,S$1)</f>
        <v>0</v>
      </c>
      <c r="T138" s="117" t="n">
        <f aca="false">SUMIFS(الريسبي!$C$2:$C$1800,الريسبي!$A$2:$A$1800,$A138,الريسبي!$B$2:$B$1800,T$1)</f>
        <v>0</v>
      </c>
      <c r="U138" s="117" t="n">
        <f aca="false">SUMIFS(الريسبي!$C$2:$C$1800,الريسبي!$A$2:$A$1800,$A138,الريسبي!$B$2:$B$1800,U$1)</f>
        <v>1</v>
      </c>
      <c r="V138" s="117" t="n">
        <f aca="false">SUMIFS(الريسبي!$C$2:$C$1800,الريسبي!$A$2:$A$1800,$A138,الريسبي!$B$2:$B$1800,V$1)+1.5*(SUMIFS(الريسبي!$C$2:$C$1800,الريسبي!$A$2:$A$1800,$A138,الريسبي!$B$2:$B$1800,"برسيون موتزريلا بيتزا كبير"))</f>
        <v>0</v>
      </c>
      <c r="W138" s="117" t="n">
        <f aca="false">0</f>
        <v>0</v>
      </c>
      <c r="X138" s="117" t="n">
        <f aca="false">SUMIFS(الريسبي!$C$2:$C$1800,الريسبي!$A$2:$A$1800,$A138,الريسبي!$B$2:$B$1800,X$1)+1.5*(SUMIFS(الريسبي!$C$2:$C$1800,الريسبي!$A$2:$A$1800,$A138,الريسبي!$B$2:$B$1800,"برسيون موتزريلا فطير كبير"))</f>
        <v>0</v>
      </c>
      <c r="Y138" s="117" t="n">
        <f aca="false">0</f>
        <v>0</v>
      </c>
      <c r="Z138" s="117" t="n">
        <f aca="false">SUMIFS(الريسبي!$C$2:$C$1800,الريسبي!$A$2:$A$1800,$A138,الريسبي!$B$2:$B$1800,Z$1)</f>
        <v>0</v>
      </c>
      <c r="AA138" s="117" t="n">
        <f aca="false">SUMIFS(الريسبي!$C$2:$C$1800,الريسبي!$A$2:$A$1800,$A138,الريسبي!$B$2:$B$1800,AA$1)</f>
        <v>0</v>
      </c>
      <c r="AB138" s="117" t="n">
        <f aca="false">SUMIFS(الريسبي!$C$2:$C$1800,الريسبي!$A$2:$A$1800,$A138,الريسبي!$B$2:$B$1800,AB$1)</f>
        <v>0</v>
      </c>
      <c r="AC138" s="117" t="n">
        <f aca="false">SUMIFS(الريسبي!$C$2:$C$1800,الريسبي!$A$2:$A$1800,$A138,الريسبي!$B$2:$B$1800,AC$1)</f>
        <v>0</v>
      </c>
      <c r="AD138" s="117" t="n">
        <f aca="false">SUMIFS(الريسبي!$C$2:$C$1800,الريسبي!$A$2:$A$1800,$A138,الريسبي!$B$2:$B$1800,AD$1)</f>
        <v>0</v>
      </c>
      <c r="AE138" s="117" t="n">
        <f aca="false">SUMIFS(الريسبي!$C$2:$C$1800,الريسبي!$A$2:$A$1800,$A138,الريسبي!$B$2:$B$1800,AE$1)</f>
        <v>0</v>
      </c>
      <c r="AF138" s="117" t="n">
        <f aca="false">SUMIFS(الريسبي!$C$2:$C$1800,الريسبي!$A$2:$A$1800,$A138,الريسبي!$B$2:$B$1800,AF$1)</f>
        <v>0</v>
      </c>
      <c r="AG138" s="117" t="n">
        <f aca="false">SUMIFS(الريسبي!$C$2:$C$1800,الريسبي!$A$2:$A$1800,$A138,الريسبي!$B$2:$B$1800,AG$1)</f>
        <v>0</v>
      </c>
      <c r="AH138" s="117" t="n">
        <f aca="false">SUMIFS(الريسبي!$C$2:$C$1800,الريسبي!$A$2:$A$1800,$A138,الريسبي!$B$2:$B$1800,AH$1)</f>
        <v>0</v>
      </c>
      <c r="AI138" s="117" t="n">
        <f aca="false">SUMIFS(الريسبي!$C$2:$C$1800,الريسبي!$A$2:$A$1800,$A138,الريسبي!$B$2:$B$1800,AI$1)</f>
        <v>0</v>
      </c>
      <c r="AJ138" s="117" t="n">
        <f aca="false">SUMIFS(الريسبي!$C$2:$C$1800,الريسبي!$A$2:$A$1800,$A138,الريسبي!$B$2:$B$1800,AJ$1)</f>
        <v>0</v>
      </c>
      <c r="AK138" s="117" t="n">
        <f aca="false">SUMIFS(الريسبي!$C$2:$C$1800,الريسبي!$A$2:$A$1800,$A138,الريسبي!$B$2:$B$1800,AK$1)</f>
        <v>0</v>
      </c>
      <c r="AL138" s="117" t="n">
        <f aca="false">SUMIFS(الريسبي!$C$2:$C$1800,الريسبي!$A$2:$A$1800,$A138,الريسبي!$B$2:$B$1800,AL$1)</f>
        <v>0</v>
      </c>
      <c r="AM138" s="117" t="n">
        <f aca="false">SUMIFS(الريسبي!$C$2:$C$1800,الريسبي!$A$2:$A$1800,$A138,الريسبي!$B$2:$B$1800,AM$1)+0.08333333333*SUMIFS(الريسبي!$C$2:$C$1800,الريسبي!$A$2:$A$1800,$A138,الريسبي!$B$2:$B$1800,"عجين كريب (مصنع بالمطعم)")+0.08333333333*SUMIFS(الريسبي!$C$2:$C$1800,الريسبي!$A$2:$A$1800,$A138,الريسبي!$B$2:$B$1800,"عجين كريب صيامي (بدون لبن)")</f>
        <v>0</v>
      </c>
      <c r="AN138" s="117" t="n">
        <f aca="false">SUMIFS(الريسبي!$C$2:$C$1800,الريسبي!$A$2:$A$1800,$A138,الريسبي!$B$2:$B$1800,AN$1)+0.004166666667*SUMIFS(الريسبي!$C$2:$C$1800,الريسبي!$A$2:$A$1800,$A138,الريسبي!$B$2:$B$1800,"عجين كريب (مصنع بالمطعم)")+0.004166666667*SUMIFS(الريسبي!$C$2:$C$1800,الريسبي!$A$2:$A$1800,$A138,الريسبي!$B$2:$B$1800,"عجين كريب صيامي (بدون لبن)")</f>
        <v>0</v>
      </c>
      <c r="AO138" s="117" t="n">
        <f aca="false">SUMIFS(الريسبي!$C$2:$C$1800,الريسبي!$A$2:$A$1800,$A138,الريسبي!$B$2:$B$1800,AO$1)</f>
        <v>0</v>
      </c>
      <c r="AP138" s="117" t="n">
        <f aca="false">SUMIFS(الريسبي!$C$2:$C$1800,الريسبي!$A$2:$A$1800,$A138,الريسبي!$B$2:$B$1800,AP$1)</f>
        <v>0</v>
      </c>
      <c r="AQ138" s="117" t="n">
        <f aca="false">SUMIFS(الريسبي!$C$2:$C$1800,الريسبي!$A$2:$A$1800,$A138,الريسبي!$B$2:$B$1800,AQ$1)+0.004166666667*SUMIFS(الريسبي!$C$2:$C$1800,الريسبي!$A$2:$A$1800,$A138,الريسبي!$B$2:$B$1800,"عجين كريب (مصنع بالمطعم)")+0.004166666667*SUMIFS(الريسبي!$C$2:$C$1800,الريسبي!$A$2:$A$1800,$A138,الريسبي!$B$2:$B$1800,"عجين كريب صيامي (بدون لبن)")</f>
        <v>0</v>
      </c>
      <c r="AR138" s="117" t="n">
        <f aca="false">SUMIFS(الريسبي!$C$2:$C$1800,الريسبي!$A$2:$A$1800,$A138,الريسبي!$B$2:$B$1800,AR$1)</f>
        <v>0</v>
      </c>
      <c r="AS138" s="117" t="n">
        <f aca="false">SUMIFS(الريسبي!$C$2:$C$1800,الريسبي!$A$2:$A$1800,$A138,الريسبي!$B$2:$B$1800,AS$1)</f>
        <v>0</v>
      </c>
      <c r="AT138" s="117" t="n">
        <f aca="false">SUMIFS(الريسبي!$C$2:$C$1800,الريسبي!$A$2:$A$1800,$A138,الريسبي!$B$2:$B$1800,AT$1)</f>
        <v>0</v>
      </c>
      <c r="AU138" s="117" t="n">
        <f aca="false">SUMIFS(الريسبي!$C$2:$C$1800,الريسبي!$A$2:$A$1800,$A138,الريسبي!$B$2:$B$1800,AU$1)</f>
        <v>0</v>
      </c>
      <c r="AV138" s="117" t="n">
        <f aca="false">SUMIFS(الريسبي!$C$2:$C$1800,الريسبي!$A$2:$A$1800,$A138,الريسبي!$B$2:$B$1800,AV$1)</f>
        <v>0</v>
      </c>
      <c r="AW138" s="117" t="n">
        <f aca="false">SUMIFS(الريسبي!$C$2:$C$1800,الريسبي!$A$2:$A$1800,$A138,الريسبي!$B$2:$B$1800,AW$1)</f>
        <v>0</v>
      </c>
      <c r="AX138" s="117" t="n">
        <f aca="false">SUMIFS(الريسبي!$C$2:$C$1800,الريسبي!$A$2:$A$1800,$A138,الريسبي!$B$2:$B$1800,AX$1)</f>
        <v>0</v>
      </c>
      <c r="AY138" s="117" t="n">
        <f aca="false">SUMIFS(الريسبي!$C$2:$C$1800,الريسبي!$A$2:$A$1800,$A138,الريسبي!$B$2:$B$1800,AY$1)</f>
        <v>0</v>
      </c>
      <c r="AZ138" s="117" t="n">
        <f aca="false">SUMIFS(الريسبي!$C$2:$C$1800,الريسبي!$A$2:$A$1800,$A138,الريسبي!$B$2:$B$1800,AZ$1)</f>
        <v>0</v>
      </c>
      <c r="BA138" s="117" t="n">
        <f aca="false">SUMIFS(الريسبي!$C$2:$C$1800,الريسبي!$A$2:$A$1800,$A138,الريسبي!$B$2:$B$1800,BA$1)</f>
        <v>0</v>
      </c>
      <c r="BB138" s="117" t="n">
        <f aca="false">SUMIFS(الريسبي!$C$2:$C$1800,الريسبي!$A$2:$A$1800,$A138,الريسبي!$B$2:$B$1800,BB$1)</f>
        <v>0</v>
      </c>
      <c r="BC138" s="117" t="n">
        <f aca="false">SUMIFS(الريسبي!$C$2:$C$1800,الريسبي!$A$2:$A$1800,$A138,الريسبي!$B$2:$B$1800,BC$1)</f>
        <v>0</v>
      </c>
      <c r="BD138" s="117" t="n">
        <f aca="false">SUMIFS(الريسبي!$C$2:$C$1800,الريسبي!$A$2:$A$1800,$A138,الريسبي!$B$2:$B$1800,BD$1)</f>
        <v>0</v>
      </c>
      <c r="BE138" s="117" t="n">
        <f aca="false">SUMIFS(الريسبي!$C$2:$C$1800,الريسبي!$A$2:$A$1800,$A138,الريسبي!$B$2:$B$1800,BE$1)</f>
        <v>0</v>
      </c>
      <c r="BF138" s="117" t="n">
        <f aca="false">SUMIFS(الريسبي!$C$2:$C$1800,الريسبي!$A$2:$A$1800,$A138,الريسبي!$B$2:$B$1800,BF$1)</f>
        <v>0</v>
      </c>
      <c r="BG138" s="117" t="n">
        <f aca="false">SUMIFS(الريسبي!$C$2:$C$1800,الريسبي!$A$2:$A$1800,$A138,الريسبي!$B$2:$B$1800,BG$1)</f>
        <v>0</v>
      </c>
      <c r="BH138" s="117" t="n">
        <f aca="false">SUMIFS(الريسبي!$C$2:$C$1800,الريسبي!$A$2:$A$1800,$A138,الريسبي!$B$2:$B$1800,BH$1)</f>
        <v>0</v>
      </c>
      <c r="BI138" s="117" t="n">
        <f aca="false">SUMIFS(الريسبي!$C$2:$C$1800,الريسبي!$A$2:$A$1800,$A138,الريسبي!$B$2:$B$1800,BI$1)</f>
        <v>0</v>
      </c>
      <c r="BJ138" s="117" t="n">
        <f aca="false">SUMIFS(الريسبي!$C$2:$C$1800,الريسبي!$A$2:$A$1800,$A138,الريسبي!$B$2:$B$1800,BJ$1)</f>
        <v>0</v>
      </c>
      <c r="BK138" s="117" t="n">
        <f aca="false">SUMIFS(الريسبي!$C$2:$C$1800,الريسبي!$A$2:$A$1800,$A138,الريسبي!$B$2:$B$1800,BK$1)</f>
        <v>0</v>
      </c>
      <c r="BL138" s="117" t="n">
        <f aca="false">SUMIFS(الريسبي!$C$2:$C$1800,الريسبي!$A$2:$A$1800,$A138,الريسبي!$B$2:$B$1800,BL$1)</f>
        <v>0</v>
      </c>
      <c r="BM138" s="117" t="n">
        <f aca="false">SUMIFS(الريسبي!$C$2:$C$1800,الريسبي!$A$2:$A$1800,$A138,الريسبي!$B$2:$B$1800,BM$1)</f>
        <v>0</v>
      </c>
      <c r="BN138" s="117" t="n">
        <f aca="false">SUMIFS(الريسبي!$C$2:$C$1800,الريسبي!$A$2:$A$1800,$A138,الريسبي!$B$2:$B$1800,BN$1)</f>
        <v>0</v>
      </c>
      <c r="BO138" s="117" t="n">
        <f aca="false">SUMIFS(الريسبي!$C$2:$C$1800,الريسبي!$A$2:$A$1800,$A138,الريسبي!$B$2:$B$1800,BO$1)</f>
        <v>0</v>
      </c>
      <c r="BP138" s="117" t="n">
        <f aca="false">SUMIFS(الريسبي!$C$2:$C$1800,الريسبي!$A$2:$A$1800,$A138,الريسبي!$B$2:$B$1800,BP$1)</f>
        <v>0</v>
      </c>
      <c r="BQ138" s="117" t="n">
        <f aca="false">SUMIFS(الريسبي!$C$2:$C$1800,الريسبي!$A$2:$A$1800,$A138,الريسبي!$B$2:$B$1800,BQ$1)+0.17*SUMIFS(الريسبي!$C$2:$C$1800,الريسبي!$A$2:$A$1800,$A138,الريسبي!$B$2:$B$1800,"كاسترد مصنع (خليط بودر + لبن)")+0.17*SUMIFS(الريسبي!$C$2:$C$1800,الريسبي!$A$2:$A$1800,$A138,الريسبي!$B$2:$B$1800,"كاسترد مصنع صيامي (بدون لبن)")</f>
        <v>0</v>
      </c>
      <c r="BR138" s="117" t="n">
        <f aca="false">SUMIFS(الريسبي!$C$2:$C$1800,الريسبي!$A$2:$A$1800,$A138,الريسبي!$B$2:$B$1800,BR$1)</f>
        <v>0</v>
      </c>
      <c r="BS138" s="117" t="n">
        <f aca="false">SUMIFS(الريسبي!$C$2:$C$1800,الريسبي!$A$2:$A$1800,$A138,الريسبي!$B$2:$B$1800,BS$1)</f>
        <v>0</v>
      </c>
      <c r="BT138" s="117" t="n">
        <f aca="false">SUMIFS(الريسبي!$C$2:$C$1800,الريسبي!$A$2:$A$1800,$A138,الريسبي!$B$2:$B$1800,BT$1)</f>
        <v>0</v>
      </c>
      <c r="BU138" s="117" t="n">
        <f aca="false">SUMIFS(الريسبي!$C$2:$C$1800,الريسبي!$A$2:$A$1800,$A138,الريسبي!$B$2:$B$1800,BU$1)+0.4*SUMIFS(الريسبي!$C$2:$C$1800,الريسبي!$A$2:$A$1800,$A138,الريسبي!$B$2:$B$1800,"كاسترد مصنع (خليط بودر + لبن)")+0.03333333333*SUMIFS(الريسبي!$C$2:$C$1800,الريسبي!$A$2:$A$1800,$A138,الريسبي!$B$2:$B$1800,"عجين كريب (مصنع بالمطعم)")</f>
        <v>0</v>
      </c>
      <c r="BV138" s="117" t="n">
        <f aca="false">SUMIFS(الريسبي!$C$2:$C$1800,الريسبي!$A$2:$A$1800,$A138,الريسبي!$B$2:$B$1800,BV$1)</f>
        <v>0</v>
      </c>
      <c r="BW138" s="117" t="n">
        <f aca="false">SUMIFS(الريسبي!$C$2:$C$1800,الريسبي!$A$2:$A$1800,$A138,الريسبي!$B$2:$B$1800,BW$1)</f>
        <v>0</v>
      </c>
      <c r="BX138" s="117" t="n">
        <f aca="false">SUMIFS(الريسبي!$C$2:$C$1800,الريسبي!$A$2:$A$1800,$A138,الريسبي!$B$2:$B$1800,BX$1)</f>
        <v>0</v>
      </c>
      <c r="BY138" s="117" t="n">
        <f aca="false">SUMIFS(الريسبي!$C$2:$C$1800,الريسبي!$A$2:$A$1800,$A138,الريسبي!$B$2:$B$1800,BY$1)</f>
        <v>0</v>
      </c>
      <c r="BZ138" s="117" t="n">
        <f aca="false">SUMIFS(الريسبي!$C$2:$C$1800,الريسبي!$A$2:$A$1800,$A138,الريسبي!$B$2:$B$1800,BZ$1)</f>
        <v>0</v>
      </c>
      <c r="CA138" s="117" t="n">
        <f aca="false">SUMIFS(الريسبي!$C$2:$C$1800,الريسبي!$A$2:$A$1800,$A138,الريسبي!$B$2:$B$1800,CA$1)</f>
        <v>0</v>
      </c>
      <c r="CB138" s="117" t="n">
        <f aca="false">SUMIFS(الريسبي!$C$2:$C$1800,الريسبي!$A$2:$A$1800,$A138,الريسبي!$B$2:$B$1800,CB$1)</f>
        <v>0</v>
      </c>
      <c r="CC138" s="117" t="n">
        <f aca="false">SUMIFS(الريسبي!$C$2:$C$1800,الريسبي!$A$2:$A$1800,$A138,الريسبي!$B$2:$B$1800,CC$1)</f>
        <v>0</v>
      </c>
      <c r="CD138" s="117" t="n">
        <f aca="false">SUMIFS(الريسبي!$C$2:$C$1800,الريسبي!$A$2:$A$1800,$A138,الريسبي!$B$2:$B$1800,CD$1)</f>
        <v>0</v>
      </c>
      <c r="CE138" s="117" t="n">
        <f aca="false">SUMIFS(الريسبي!$C$2:$C$1800,الريسبي!$A$2:$A$1800,$A138,الريسبي!$B$2:$B$1800,CE$1)</f>
        <v>0</v>
      </c>
      <c r="CF138" s="117" t="n">
        <f aca="false">SUMIFS(الريسبي!$C$2:$C$1800,الريسبي!$A$2:$A$1800,$A138,الريسبي!$B$2:$B$1800,CF$1)</f>
        <v>0</v>
      </c>
      <c r="CG138" s="117" t="n">
        <f aca="false">SUMIFS(الريسبي!$C$2:$C$1800,الريسبي!$A$2:$A$1800,$A138,الريسبي!$B$2:$B$1800,CG$1)</f>
        <v>0</v>
      </c>
      <c r="CH138" s="117" t="n">
        <f aca="false">SUMIFS(الريسبي!$C$2:$C$1800,الريسبي!$A$2:$A$1800,$A138,الريسبي!$B$2:$B$1800,CH$1)</f>
        <v>0</v>
      </c>
      <c r="CI138" s="117" t="n">
        <f aca="false">SUMIFS(الريسبي!$C$2:$C$1800,الريسبي!$A$2:$A$1800,$A138,الريسبي!$B$2:$B$1800,CI$1)</f>
        <v>0</v>
      </c>
      <c r="CJ138" s="117" t="n">
        <f aca="false">SUMIFS(الريسبي!$C$2:$C$1800,الريسبي!$A$2:$A$1800,$A138,الريسبي!$B$2:$B$1800,CJ$1)</f>
        <v>0</v>
      </c>
      <c r="CK138" s="117" t="n">
        <f aca="false">SUMIFS(الريسبي!$C$2:$C$1800,الريسبي!$A$2:$A$1800,$A138,الريسبي!$B$2:$B$1800,CK$1)</f>
        <v>0</v>
      </c>
      <c r="CL138" s="117" t="n">
        <f aca="false">SUMIFS(الريسبي!$C$2:$C$1800,الريسبي!$A$2:$A$1800,$A138,الريسبي!$B$2:$B$1800,CL$1)</f>
        <v>0</v>
      </c>
    </row>
    <row r="139" customFormat="false" ht="15" hidden="false" customHeight="false" outlineLevel="0" collapsed="false">
      <c r="A139" s="116" t="str">
        <f aca="false">المنيو!B139</f>
        <v>اضافة مكسرات (كبير)</v>
      </c>
      <c r="B139" s="117" t="n">
        <f aca="false">SUMIFS(الريسبي!$C$2:$C$1800,الريسبي!$A$2:$A$1800,$A139,الريسبي!$B$2:$B$1800,B$1)</f>
        <v>0</v>
      </c>
      <c r="C139" s="117" t="n">
        <f aca="false">SUMIFS(الريسبي!$C$2:$C$1800,الريسبي!$A$2:$A$1800,$A139,الريسبي!$B$2:$B$1800,C$1)</f>
        <v>0</v>
      </c>
      <c r="D139" s="117" t="n">
        <f aca="false">SUMIFS(الريسبي!$C$2:$C$1800,الريسبي!$A$2:$A$1800,$A139,الريسبي!$B$2:$B$1800,D$1)</f>
        <v>0</v>
      </c>
      <c r="E139" s="117" t="n">
        <f aca="false">SUMIFS(الريسبي!$C$2:$C$1800,الريسبي!$A$2:$A$1800,$A139,الريسبي!$B$2:$B$1800,E$1)</f>
        <v>0</v>
      </c>
      <c r="F139" s="117" t="n">
        <f aca="false">SUMIFS(الريسبي!$C$2:$C$1800,الريسبي!$A$2:$A$1800,$A139,الريسبي!$B$2:$B$1800,F$1)</f>
        <v>0</v>
      </c>
      <c r="G139" s="117" t="n">
        <f aca="false">SUMIFS(الريسبي!$C$2:$C$1800,الريسبي!$A$2:$A$1800,$A139,الريسبي!$B$2:$B$1800,G$1)</f>
        <v>0</v>
      </c>
      <c r="H139" s="117" t="n">
        <f aca="false">SUMIFS(الريسبي!$C$2:$C$1800,الريسبي!$A$2:$A$1800,$A139,الريسبي!$B$2:$B$1800,H$1)</f>
        <v>0</v>
      </c>
      <c r="I139" s="117" t="n">
        <f aca="false">SUMIFS(الريسبي!$C$2:$C$1800,الريسبي!$A$2:$A$1800,$A139,الريسبي!$B$2:$B$1800,I$1)</f>
        <v>0</v>
      </c>
      <c r="J139" s="117" t="n">
        <f aca="false">SUMIFS(الريسبي!$C$2:$C$1800,الريسبي!$A$2:$A$1800,$A139,الريسبي!$B$2:$B$1800,J$1)</f>
        <v>0</v>
      </c>
      <c r="K139" s="117" t="n">
        <f aca="false">SUMIFS(الريسبي!$C$2:$C$1800,الريسبي!$A$2:$A$1800,$A139,الريسبي!$B$2:$B$1800,K$1)</f>
        <v>0</v>
      </c>
      <c r="L139" s="117" t="n">
        <f aca="false">SUMIFS(الريسبي!$C$2:$C$1800,الريسبي!$A$2:$A$1800,$A139,الريسبي!$B$2:$B$1800,L$1)</f>
        <v>0</v>
      </c>
      <c r="M139" s="117" t="n">
        <f aca="false">SUMIFS(الريسبي!$C$2:$C$1800,الريسبي!$A$2:$A$1800,$A139,الريسبي!$B$2:$B$1800,M$1)</f>
        <v>0</v>
      </c>
      <c r="N139" s="117" t="n">
        <f aca="false">SUMIFS(الريسبي!$C$2:$C$1800,الريسبي!$A$2:$A$1800,$A139,الريسبي!$B$2:$B$1800,N$1)</f>
        <v>0</v>
      </c>
      <c r="O139" s="117" t="n">
        <f aca="false">SUMIFS(الريسبي!$C$2:$C$1800,الريسبي!$A$2:$A$1800,$A139,الريسبي!$B$2:$B$1800,O$1)</f>
        <v>0</v>
      </c>
      <c r="P139" s="117" t="n">
        <f aca="false">SUMIFS(الريسبي!$C$2:$C$1800,الريسبي!$A$2:$A$1800,$A139,الريسبي!$B$2:$B$1800,P$1)</f>
        <v>0</v>
      </c>
      <c r="Q139" s="117" t="n">
        <f aca="false">SUMIFS(الريسبي!$C$2:$C$1800,الريسبي!$A$2:$A$1800,$A139,الريسبي!$B$2:$B$1800,Q$1)</f>
        <v>0</v>
      </c>
      <c r="R139" s="117" t="n">
        <f aca="false">SUMIFS(الريسبي!$C$2:$C$1800,الريسبي!$A$2:$A$1800,$A139,الريسبي!$B$2:$B$1800,R$1)</f>
        <v>0</v>
      </c>
      <c r="S139" s="117" t="n">
        <f aca="false">SUMIFS(الريسبي!$C$2:$C$1800,الريسبي!$A$2:$A$1800,$A139,الريسبي!$B$2:$B$1800,S$1)</f>
        <v>0</v>
      </c>
      <c r="T139" s="117" t="n">
        <f aca="false">SUMIFS(الريسبي!$C$2:$C$1800,الريسبي!$A$2:$A$1800,$A139,الريسبي!$B$2:$B$1800,T$1)</f>
        <v>0</v>
      </c>
      <c r="U139" s="117" t="n">
        <f aca="false">SUMIFS(الريسبي!$C$2:$C$1800,الريسبي!$A$2:$A$1800,$A139,الريسبي!$B$2:$B$1800,U$1)</f>
        <v>2</v>
      </c>
      <c r="V139" s="117" t="n">
        <f aca="false">SUMIFS(الريسبي!$C$2:$C$1800,الريسبي!$A$2:$A$1800,$A139,الريسبي!$B$2:$B$1800,V$1)+1.5*(SUMIFS(الريسبي!$C$2:$C$1800,الريسبي!$A$2:$A$1800,$A139,الريسبي!$B$2:$B$1800,"برسيون موتزريلا بيتزا كبير"))</f>
        <v>0</v>
      </c>
      <c r="W139" s="117" t="n">
        <f aca="false">0</f>
        <v>0</v>
      </c>
      <c r="X139" s="117" t="n">
        <f aca="false">SUMIFS(الريسبي!$C$2:$C$1800,الريسبي!$A$2:$A$1800,$A139,الريسبي!$B$2:$B$1800,X$1)+1.5*(SUMIFS(الريسبي!$C$2:$C$1800,الريسبي!$A$2:$A$1800,$A139,الريسبي!$B$2:$B$1800,"برسيون موتزريلا فطير كبير"))</f>
        <v>0</v>
      </c>
      <c r="Y139" s="117" t="n">
        <f aca="false">0</f>
        <v>0</v>
      </c>
      <c r="Z139" s="117" t="n">
        <f aca="false">SUMIFS(الريسبي!$C$2:$C$1800,الريسبي!$A$2:$A$1800,$A139,الريسبي!$B$2:$B$1800,Z$1)</f>
        <v>0</v>
      </c>
      <c r="AA139" s="117" t="n">
        <f aca="false">SUMIFS(الريسبي!$C$2:$C$1800,الريسبي!$A$2:$A$1800,$A139,الريسبي!$B$2:$B$1800,AA$1)</f>
        <v>0</v>
      </c>
      <c r="AB139" s="117" t="n">
        <f aca="false">SUMIFS(الريسبي!$C$2:$C$1800,الريسبي!$A$2:$A$1800,$A139,الريسبي!$B$2:$B$1800,AB$1)</f>
        <v>0</v>
      </c>
      <c r="AC139" s="117" t="n">
        <f aca="false">SUMIFS(الريسبي!$C$2:$C$1800,الريسبي!$A$2:$A$1800,$A139,الريسبي!$B$2:$B$1800,AC$1)</f>
        <v>0</v>
      </c>
      <c r="AD139" s="117" t="n">
        <f aca="false">SUMIFS(الريسبي!$C$2:$C$1800,الريسبي!$A$2:$A$1800,$A139,الريسبي!$B$2:$B$1800,AD$1)</f>
        <v>0</v>
      </c>
      <c r="AE139" s="117" t="n">
        <f aca="false">SUMIFS(الريسبي!$C$2:$C$1800,الريسبي!$A$2:$A$1800,$A139,الريسبي!$B$2:$B$1800,AE$1)</f>
        <v>0</v>
      </c>
      <c r="AF139" s="117" t="n">
        <f aca="false">SUMIFS(الريسبي!$C$2:$C$1800,الريسبي!$A$2:$A$1800,$A139,الريسبي!$B$2:$B$1800,AF$1)</f>
        <v>0</v>
      </c>
      <c r="AG139" s="117" t="n">
        <f aca="false">SUMIFS(الريسبي!$C$2:$C$1800,الريسبي!$A$2:$A$1800,$A139,الريسبي!$B$2:$B$1800,AG$1)</f>
        <v>0</v>
      </c>
      <c r="AH139" s="117" t="n">
        <f aca="false">SUMIFS(الريسبي!$C$2:$C$1800,الريسبي!$A$2:$A$1800,$A139,الريسبي!$B$2:$B$1800,AH$1)</f>
        <v>0</v>
      </c>
      <c r="AI139" s="117" t="n">
        <f aca="false">SUMIFS(الريسبي!$C$2:$C$1800,الريسبي!$A$2:$A$1800,$A139,الريسبي!$B$2:$B$1800,AI$1)</f>
        <v>0</v>
      </c>
      <c r="AJ139" s="117" t="n">
        <f aca="false">SUMIFS(الريسبي!$C$2:$C$1800,الريسبي!$A$2:$A$1800,$A139,الريسبي!$B$2:$B$1800,AJ$1)</f>
        <v>0</v>
      </c>
      <c r="AK139" s="117" t="n">
        <f aca="false">SUMIFS(الريسبي!$C$2:$C$1800,الريسبي!$A$2:$A$1800,$A139,الريسبي!$B$2:$B$1800,AK$1)</f>
        <v>0</v>
      </c>
      <c r="AL139" s="117" t="n">
        <f aca="false">SUMIFS(الريسبي!$C$2:$C$1800,الريسبي!$A$2:$A$1800,$A139,الريسبي!$B$2:$B$1800,AL$1)</f>
        <v>0</v>
      </c>
      <c r="AM139" s="117" t="n">
        <f aca="false">SUMIFS(الريسبي!$C$2:$C$1800,الريسبي!$A$2:$A$1800,$A139,الريسبي!$B$2:$B$1800,AM$1)+0.08333333333*SUMIFS(الريسبي!$C$2:$C$1800,الريسبي!$A$2:$A$1800,$A139,الريسبي!$B$2:$B$1800,"عجين كريب (مصنع بالمطعم)")+0.08333333333*SUMIFS(الريسبي!$C$2:$C$1800,الريسبي!$A$2:$A$1800,$A139,الريسبي!$B$2:$B$1800,"عجين كريب صيامي (بدون لبن)")</f>
        <v>0</v>
      </c>
      <c r="AN139" s="117" t="n">
        <f aca="false">SUMIFS(الريسبي!$C$2:$C$1800,الريسبي!$A$2:$A$1800,$A139,الريسبي!$B$2:$B$1800,AN$1)+0.004166666667*SUMIFS(الريسبي!$C$2:$C$1800,الريسبي!$A$2:$A$1800,$A139,الريسبي!$B$2:$B$1800,"عجين كريب (مصنع بالمطعم)")+0.004166666667*SUMIFS(الريسبي!$C$2:$C$1800,الريسبي!$A$2:$A$1800,$A139,الريسبي!$B$2:$B$1800,"عجين كريب صيامي (بدون لبن)")</f>
        <v>0</v>
      </c>
      <c r="AO139" s="117" t="n">
        <f aca="false">SUMIFS(الريسبي!$C$2:$C$1800,الريسبي!$A$2:$A$1800,$A139,الريسبي!$B$2:$B$1800,AO$1)</f>
        <v>0</v>
      </c>
      <c r="AP139" s="117" t="n">
        <f aca="false">SUMIFS(الريسبي!$C$2:$C$1800,الريسبي!$A$2:$A$1800,$A139,الريسبي!$B$2:$B$1800,AP$1)</f>
        <v>0</v>
      </c>
      <c r="AQ139" s="117" t="n">
        <f aca="false">SUMIFS(الريسبي!$C$2:$C$1800,الريسبي!$A$2:$A$1800,$A139,الريسبي!$B$2:$B$1800,AQ$1)+0.004166666667*SUMIFS(الريسبي!$C$2:$C$1800,الريسبي!$A$2:$A$1800,$A139,الريسبي!$B$2:$B$1800,"عجين كريب (مصنع بالمطعم)")+0.004166666667*SUMIFS(الريسبي!$C$2:$C$1800,الريسبي!$A$2:$A$1800,$A139,الريسبي!$B$2:$B$1800,"عجين كريب صيامي (بدون لبن)")</f>
        <v>0</v>
      </c>
      <c r="AR139" s="117" t="n">
        <f aca="false">SUMIFS(الريسبي!$C$2:$C$1800,الريسبي!$A$2:$A$1800,$A139,الريسبي!$B$2:$B$1800,AR$1)</f>
        <v>0</v>
      </c>
      <c r="AS139" s="117" t="n">
        <f aca="false">SUMIFS(الريسبي!$C$2:$C$1800,الريسبي!$A$2:$A$1800,$A139,الريسبي!$B$2:$B$1800,AS$1)</f>
        <v>0</v>
      </c>
      <c r="AT139" s="117" t="n">
        <f aca="false">SUMIFS(الريسبي!$C$2:$C$1800,الريسبي!$A$2:$A$1800,$A139,الريسبي!$B$2:$B$1800,AT$1)</f>
        <v>0</v>
      </c>
      <c r="AU139" s="117" t="n">
        <f aca="false">SUMIFS(الريسبي!$C$2:$C$1800,الريسبي!$A$2:$A$1800,$A139,الريسبي!$B$2:$B$1800,AU$1)</f>
        <v>0</v>
      </c>
      <c r="AV139" s="117" t="n">
        <f aca="false">SUMIFS(الريسبي!$C$2:$C$1800,الريسبي!$A$2:$A$1800,$A139,الريسبي!$B$2:$B$1800,AV$1)</f>
        <v>0</v>
      </c>
      <c r="AW139" s="117" t="n">
        <f aca="false">SUMIFS(الريسبي!$C$2:$C$1800,الريسبي!$A$2:$A$1800,$A139,الريسبي!$B$2:$B$1800,AW$1)</f>
        <v>0</v>
      </c>
      <c r="AX139" s="117" t="n">
        <f aca="false">SUMIFS(الريسبي!$C$2:$C$1800,الريسبي!$A$2:$A$1800,$A139,الريسبي!$B$2:$B$1800,AX$1)</f>
        <v>0</v>
      </c>
      <c r="AY139" s="117" t="n">
        <f aca="false">SUMIFS(الريسبي!$C$2:$C$1800,الريسبي!$A$2:$A$1800,$A139,الريسبي!$B$2:$B$1800,AY$1)</f>
        <v>0</v>
      </c>
      <c r="AZ139" s="117" t="n">
        <f aca="false">SUMIFS(الريسبي!$C$2:$C$1800,الريسبي!$A$2:$A$1800,$A139,الريسبي!$B$2:$B$1800,AZ$1)</f>
        <v>0</v>
      </c>
      <c r="BA139" s="117" t="n">
        <f aca="false">SUMIFS(الريسبي!$C$2:$C$1800,الريسبي!$A$2:$A$1800,$A139,الريسبي!$B$2:$B$1800,BA$1)</f>
        <v>0</v>
      </c>
      <c r="BB139" s="117" t="n">
        <f aca="false">SUMIFS(الريسبي!$C$2:$C$1800,الريسبي!$A$2:$A$1800,$A139,الريسبي!$B$2:$B$1800,BB$1)</f>
        <v>0</v>
      </c>
      <c r="BC139" s="117" t="n">
        <f aca="false">SUMIFS(الريسبي!$C$2:$C$1800,الريسبي!$A$2:$A$1800,$A139,الريسبي!$B$2:$B$1800,BC$1)</f>
        <v>0</v>
      </c>
      <c r="BD139" s="117" t="n">
        <f aca="false">SUMIFS(الريسبي!$C$2:$C$1800,الريسبي!$A$2:$A$1800,$A139,الريسبي!$B$2:$B$1800,BD$1)</f>
        <v>0</v>
      </c>
      <c r="BE139" s="117" t="n">
        <f aca="false">SUMIFS(الريسبي!$C$2:$C$1800,الريسبي!$A$2:$A$1800,$A139,الريسبي!$B$2:$B$1800,BE$1)</f>
        <v>0</v>
      </c>
      <c r="BF139" s="117" t="n">
        <f aca="false">SUMIFS(الريسبي!$C$2:$C$1800,الريسبي!$A$2:$A$1800,$A139,الريسبي!$B$2:$B$1800,BF$1)</f>
        <v>0</v>
      </c>
      <c r="BG139" s="117" t="n">
        <f aca="false">SUMIFS(الريسبي!$C$2:$C$1800,الريسبي!$A$2:$A$1800,$A139,الريسبي!$B$2:$B$1800,BG$1)</f>
        <v>0</v>
      </c>
      <c r="BH139" s="117" t="n">
        <f aca="false">SUMIFS(الريسبي!$C$2:$C$1800,الريسبي!$A$2:$A$1800,$A139,الريسبي!$B$2:$B$1800,BH$1)</f>
        <v>0</v>
      </c>
      <c r="BI139" s="117" t="n">
        <f aca="false">SUMIFS(الريسبي!$C$2:$C$1800,الريسبي!$A$2:$A$1800,$A139,الريسبي!$B$2:$B$1800,BI$1)</f>
        <v>0</v>
      </c>
      <c r="BJ139" s="117" t="n">
        <f aca="false">SUMIFS(الريسبي!$C$2:$C$1800,الريسبي!$A$2:$A$1800,$A139,الريسبي!$B$2:$B$1800,BJ$1)</f>
        <v>0</v>
      </c>
      <c r="BK139" s="117" t="n">
        <f aca="false">SUMIFS(الريسبي!$C$2:$C$1800,الريسبي!$A$2:$A$1800,$A139,الريسبي!$B$2:$B$1800,BK$1)</f>
        <v>0</v>
      </c>
      <c r="BL139" s="117" t="n">
        <f aca="false">SUMIFS(الريسبي!$C$2:$C$1800,الريسبي!$A$2:$A$1800,$A139,الريسبي!$B$2:$B$1800,BL$1)</f>
        <v>0</v>
      </c>
      <c r="BM139" s="117" t="n">
        <f aca="false">SUMIFS(الريسبي!$C$2:$C$1800,الريسبي!$A$2:$A$1800,$A139,الريسبي!$B$2:$B$1800,BM$1)</f>
        <v>0</v>
      </c>
      <c r="BN139" s="117" t="n">
        <f aca="false">SUMIFS(الريسبي!$C$2:$C$1800,الريسبي!$A$2:$A$1800,$A139,الريسبي!$B$2:$B$1800,BN$1)</f>
        <v>0</v>
      </c>
      <c r="BO139" s="117" t="n">
        <f aca="false">SUMIFS(الريسبي!$C$2:$C$1800,الريسبي!$A$2:$A$1800,$A139,الريسبي!$B$2:$B$1800,BO$1)</f>
        <v>0</v>
      </c>
      <c r="BP139" s="117" t="n">
        <f aca="false">SUMIFS(الريسبي!$C$2:$C$1800,الريسبي!$A$2:$A$1800,$A139,الريسبي!$B$2:$B$1800,BP$1)</f>
        <v>0</v>
      </c>
      <c r="BQ139" s="117" t="n">
        <f aca="false">SUMIFS(الريسبي!$C$2:$C$1800,الريسبي!$A$2:$A$1800,$A139,الريسبي!$B$2:$B$1800,BQ$1)+0.17*SUMIFS(الريسبي!$C$2:$C$1800,الريسبي!$A$2:$A$1800,$A139,الريسبي!$B$2:$B$1800,"كاسترد مصنع (خليط بودر + لبن)")+0.17*SUMIFS(الريسبي!$C$2:$C$1800,الريسبي!$A$2:$A$1800,$A139,الريسبي!$B$2:$B$1800,"كاسترد مصنع صيامي (بدون لبن)")</f>
        <v>0</v>
      </c>
      <c r="BR139" s="117" t="n">
        <f aca="false">SUMIFS(الريسبي!$C$2:$C$1800,الريسبي!$A$2:$A$1800,$A139,الريسبي!$B$2:$B$1800,BR$1)</f>
        <v>0</v>
      </c>
      <c r="BS139" s="117" t="n">
        <f aca="false">SUMIFS(الريسبي!$C$2:$C$1800,الريسبي!$A$2:$A$1800,$A139,الريسبي!$B$2:$B$1800,BS$1)</f>
        <v>0</v>
      </c>
      <c r="BT139" s="117" t="n">
        <f aca="false">SUMIFS(الريسبي!$C$2:$C$1800,الريسبي!$A$2:$A$1800,$A139,الريسبي!$B$2:$B$1800,BT$1)</f>
        <v>0</v>
      </c>
      <c r="BU139" s="117" t="n">
        <f aca="false">SUMIFS(الريسبي!$C$2:$C$1800,الريسبي!$A$2:$A$1800,$A139,الريسبي!$B$2:$B$1800,BU$1)+0.4*SUMIFS(الريسبي!$C$2:$C$1800,الريسبي!$A$2:$A$1800,$A139,الريسبي!$B$2:$B$1800,"كاسترد مصنع (خليط بودر + لبن)")+0.03333333333*SUMIFS(الريسبي!$C$2:$C$1800,الريسبي!$A$2:$A$1800,$A139,الريسبي!$B$2:$B$1800,"عجين كريب (مصنع بالمطعم)")</f>
        <v>0</v>
      </c>
      <c r="BV139" s="117" t="n">
        <f aca="false">SUMIFS(الريسبي!$C$2:$C$1800,الريسبي!$A$2:$A$1800,$A139,الريسبي!$B$2:$B$1800,BV$1)</f>
        <v>0</v>
      </c>
      <c r="BW139" s="117" t="n">
        <f aca="false">SUMIFS(الريسبي!$C$2:$C$1800,الريسبي!$A$2:$A$1800,$A139,الريسبي!$B$2:$B$1800,BW$1)</f>
        <v>0</v>
      </c>
      <c r="BX139" s="117" t="n">
        <f aca="false">SUMIFS(الريسبي!$C$2:$C$1800,الريسبي!$A$2:$A$1800,$A139,الريسبي!$B$2:$B$1800,BX$1)</f>
        <v>0</v>
      </c>
      <c r="BY139" s="117" t="n">
        <f aca="false">SUMIFS(الريسبي!$C$2:$C$1800,الريسبي!$A$2:$A$1800,$A139,الريسبي!$B$2:$B$1800,BY$1)</f>
        <v>0</v>
      </c>
      <c r="BZ139" s="117" t="n">
        <f aca="false">SUMIFS(الريسبي!$C$2:$C$1800,الريسبي!$A$2:$A$1800,$A139,الريسبي!$B$2:$B$1800,BZ$1)</f>
        <v>0</v>
      </c>
      <c r="CA139" s="117" t="n">
        <f aca="false">SUMIFS(الريسبي!$C$2:$C$1800,الريسبي!$A$2:$A$1800,$A139,الريسبي!$B$2:$B$1800,CA$1)</f>
        <v>0</v>
      </c>
      <c r="CB139" s="117" t="n">
        <f aca="false">SUMIFS(الريسبي!$C$2:$C$1800,الريسبي!$A$2:$A$1800,$A139,الريسبي!$B$2:$B$1800,CB$1)</f>
        <v>0</v>
      </c>
      <c r="CC139" s="117" t="n">
        <f aca="false">SUMIFS(الريسبي!$C$2:$C$1800,الريسبي!$A$2:$A$1800,$A139,الريسبي!$B$2:$B$1800,CC$1)</f>
        <v>0</v>
      </c>
      <c r="CD139" s="117" t="n">
        <f aca="false">SUMIFS(الريسبي!$C$2:$C$1800,الريسبي!$A$2:$A$1800,$A139,الريسبي!$B$2:$B$1800,CD$1)</f>
        <v>0</v>
      </c>
      <c r="CE139" s="117" t="n">
        <f aca="false">SUMIFS(الريسبي!$C$2:$C$1800,الريسبي!$A$2:$A$1800,$A139,الريسبي!$B$2:$B$1800,CE$1)</f>
        <v>0</v>
      </c>
      <c r="CF139" s="117" t="n">
        <f aca="false">SUMIFS(الريسبي!$C$2:$C$1800,الريسبي!$A$2:$A$1800,$A139,الريسبي!$B$2:$B$1800,CF$1)</f>
        <v>0</v>
      </c>
      <c r="CG139" s="117" t="n">
        <f aca="false">SUMIFS(الريسبي!$C$2:$C$1800,الريسبي!$A$2:$A$1800,$A139,الريسبي!$B$2:$B$1800,CG$1)</f>
        <v>0</v>
      </c>
      <c r="CH139" s="117" t="n">
        <f aca="false">SUMIFS(الريسبي!$C$2:$C$1800,الريسبي!$A$2:$A$1800,$A139,الريسبي!$B$2:$B$1800,CH$1)</f>
        <v>0</v>
      </c>
      <c r="CI139" s="117" t="n">
        <f aca="false">SUMIFS(الريسبي!$C$2:$C$1800,الريسبي!$A$2:$A$1800,$A139,الريسبي!$B$2:$B$1800,CI$1)</f>
        <v>0</v>
      </c>
      <c r="CJ139" s="117" t="n">
        <f aca="false">SUMIFS(الريسبي!$C$2:$C$1800,الريسبي!$A$2:$A$1800,$A139,الريسبي!$B$2:$B$1800,CJ$1)</f>
        <v>0</v>
      </c>
      <c r="CK139" s="117" t="n">
        <f aca="false">SUMIFS(الريسبي!$C$2:$C$1800,الريسبي!$A$2:$A$1800,$A139,الريسبي!$B$2:$B$1800,CK$1)</f>
        <v>0</v>
      </c>
      <c r="CL139" s="117" t="n">
        <f aca="false">SUMIFS(الريسبي!$C$2:$C$1800,الريسبي!$A$2:$A$1800,$A139,الريسبي!$B$2:$B$1800,CL$1)</f>
        <v>0</v>
      </c>
    </row>
    <row r="140" customFormat="false" ht="15" hidden="false" customHeight="false" outlineLevel="0" collapsed="false">
      <c r="A140" s="116" t="str">
        <f aca="false">المنيو!B140</f>
        <v>اضافة شيكولاتة (عام)</v>
      </c>
      <c r="B140" s="117" t="n">
        <f aca="false">SUMIFS(الريسبي!$C$2:$C$1800,الريسبي!$A$2:$A$1800,$A140,الريسبي!$B$2:$B$1800,B$1)</f>
        <v>0</v>
      </c>
      <c r="C140" s="117" t="n">
        <f aca="false">SUMIFS(الريسبي!$C$2:$C$1800,الريسبي!$A$2:$A$1800,$A140,الريسبي!$B$2:$B$1800,C$1)</f>
        <v>0</v>
      </c>
      <c r="D140" s="117" t="n">
        <f aca="false">SUMIFS(الريسبي!$C$2:$C$1800,الريسبي!$A$2:$A$1800,$A140,الريسبي!$B$2:$B$1800,D$1)</f>
        <v>0</v>
      </c>
      <c r="E140" s="117" t="n">
        <f aca="false">SUMIFS(الريسبي!$C$2:$C$1800,الريسبي!$A$2:$A$1800,$A140,الريسبي!$B$2:$B$1800,E$1)</f>
        <v>0</v>
      </c>
      <c r="F140" s="117" t="n">
        <f aca="false">SUMIFS(الريسبي!$C$2:$C$1800,الريسبي!$A$2:$A$1800,$A140,الريسبي!$B$2:$B$1800,F$1)</f>
        <v>0</v>
      </c>
      <c r="G140" s="117" t="n">
        <f aca="false">SUMIFS(الريسبي!$C$2:$C$1800,الريسبي!$A$2:$A$1800,$A140,الريسبي!$B$2:$B$1800,G$1)</f>
        <v>0</v>
      </c>
      <c r="H140" s="117" t="n">
        <f aca="false">SUMIFS(الريسبي!$C$2:$C$1800,الريسبي!$A$2:$A$1800,$A140,الريسبي!$B$2:$B$1800,H$1)</f>
        <v>0</v>
      </c>
      <c r="I140" s="117" t="n">
        <f aca="false">SUMIFS(الريسبي!$C$2:$C$1800,الريسبي!$A$2:$A$1800,$A140,الريسبي!$B$2:$B$1800,I$1)</f>
        <v>0</v>
      </c>
      <c r="J140" s="117" t="n">
        <f aca="false">SUMIFS(الريسبي!$C$2:$C$1800,الريسبي!$A$2:$A$1800,$A140,الريسبي!$B$2:$B$1800,J$1)</f>
        <v>0</v>
      </c>
      <c r="K140" s="117" t="n">
        <f aca="false">SUMIFS(الريسبي!$C$2:$C$1800,الريسبي!$A$2:$A$1800,$A140,الريسبي!$B$2:$B$1800,K$1)</f>
        <v>0</v>
      </c>
      <c r="L140" s="117" t="n">
        <f aca="false">SUMIFS(الريسبي!$C$2:$C$1800,الريسبي!$A$2:$A$1800,$A140,الريسبي!$B$2:$B$1800,L$1)</f>
        <v>0</v>
      </c>
      <c r="M140" s="117" t="n">
        <f aca="false">SUMIFS(الريسبي!$C$2:$C$1800,الريسبي!$A$2:$A$1800,$A140,الريسبي!$B$2:$B$1800,M$1)</f>
        <v>0</v>
      </c>
      <c r="N140" s="117" t="n">
        <f aca="false">SUMIFS(الريسبي!$C$2:$C$1800,الريسبي!$A$2:$A$1800,$A140,الريسبي!$B$2:$B$1800,N$1)</f>
        <v>0</v>
      </c>
      <c r="O140" s="117" t="n">
        <f aca="false">SUMIFS(الريسبي!$C$2:$C$1800,الريسبي!$A$2:$A$1800,$A140,الريسبي!$B$2:$B$1800,O$1)</f>
        <v>0</v>
      </c>
      <c r="P140" s="117" t="n">
        <f aca="false">SUMIFS(الريسبي!$C$2:$C$1800,الريسبي!$A$2:$A$1800,$A140,الريسبي!$B$2:$B$1800,P$1)</f>
        <v>0</v>
      </c>
      <c r="Q140" s="117" t="n">
        <f aca="false">SUMIFS(الريسبي!$C$2:$C$1800,الريسبي!$A$2:$A$1800,$A140,الريسبي!$B$2:$B$1800,Q$1)</f>
        <v>0</v>
      </c>
      <c r="R140" s="117" t="n">
        <f aca="false">SUMIFS(الريسبي!$C$2:$C$1800,الريسبي!$A$2:$A$1800,$A140,الريسبي!$B$2:$B$1800,R$1)</f>
        <v>0</v>
      </c>
      <c r="S140" s="117" t="n">
        <f aca="false">SUMIFS(الريسبي!$C$2:$C$1800,الريسبي!$A$2:$A$1800,$A140,الريسبي!$B$2:$B$1800,S$1)</f>
        <v>0</v>
      </c>
      <c r="T140" s="117" t="n">
        <f aca="false">SUMIFS(الريسبي!$C$2:$C$1800,الريسبي!$A$2:$A$1800,$A140,الريسبي!$B$2:$B$1800,T$1)</f>
        <v>0</v>
      </c>
      <c r="U140" s="117" t="n">
        <f aca="false">SUMIFS(الريسبي!$C$2:$C$1800,الريسبي!$A$2:$A$1800,$A140,الريسبي!$B$2:$B$1800,U$1)</f>
        <v>0</v>
      </c>
      <c r="V140" s="117" t="n">
        <f aca="false">SUMIFS(الريسبي!$C$2:$C$1800,الريسبي!$A$2:$A$1800,$A140,الريسبي!$B$2:$B$1800,V$1)+1.5*(SUMIFS(الريسبي!$C$2:$C$1800,الريسبي!$A$2:$A$1800,$A140,الريسبي!$B$2:$B$1800,"برسيون موتزريلا بيتزا كبير"))</f>
        <v>0</v>
      </c>
      <c r="W140" s="117" t="n">
        <f aca="false">0</f>
        <v>0</v>
      </c>
      <c r="X140" s="117" t="n">
        <f aca="false">SUMIFS(الريسبي!$C$2:$C$1800,الريسبي!$A$2:$A$1800,$A140,الريسبي!$B$2:$B$1800,X$1)+1.5*(SUMIFS(الريسبي!$C$2:$C$1800,الريسبي!$A$2:$A$1800,$A140,الريسبي!$B$2:$B$1800,"برسيون موتزريلا فطير كبير"))</f>
        <v>0</v>
      </c>
      <c r="Y140" s="117" t="n">
        <f aca="false">0</f>
        <v>0</v>
      </c>
      <c r="Z140" s="117" t="n">
        <f aca="false">SUMIFS(الريسبي!$C$2:$C$1800,الريسبي!$A$2:$A$1800,$A140,الريسبي!$B$2:$B$1800,Z$1)</f>
        <v>0</v>
      </c>
      <c r="AA140" s="117" t="n">
        <f aca="false">SUMIFS(الريسبي!$C$2:$C$1800,الريسبي!$A$2:$A$1800,$A140,الريسبي!$B$2:$B$1800,AA$1)</f>
        <v>0</v>
      </c>
      <c r="AB140" s="117" t="n">
        <f aca="false">SUMIFS(الريسبي!$C$2:$C$1800,الريسبي!$A$2:$A$1800,$A140,الريسبي!$B$2:$B$1800,AB$1)</f>
        <v>0</v>
      </c>
      <c r="AC140" s="117" t="n">
        <f aca="false">SUMIFS(الريسبي!$C$2:$C$1800,الريسبي!$A$2:$A$1800,$A140,الريسبي!$B$2:$B$1800,AC$1)</f>
        <v>0</v>
      </c>
      <c r="AD140" s="117" t="n">
        <f aca="false">SUMIFS(الريسبي!$C$2:$C$1800,الريسبي!$A$2:$A$1800,$A140,الريسبي!$B$2:$B$1800,AD$1)</f>
        <v>0</v>
      </c>
      <c r="AE140" s="117" t="n">
        <f aca="false">SUMIFS(الريسبي!$C$2:$C$1800,الريسبي!$A$2:$A$1800,$A140,الريسبي!$B$2:$B$1800,AE$1)</f>
        <v>0</v>
      </c>
      <c r="AF140" s="117" t="n">
        <f aca="false">SUMIFS(الريسبي!$C$2:$C$1800,الريسبي!$A$2:$A$1800,$A140,الريسبي!$B$2:$B$1800,AF$1)</f>
        <v>0</v>
      </c>
      <c r="AG140" s="117" t="n">
        <f aca="false">SUMIFS(الريسبي!$C$2:$C$1800,الريسبي!$A$2:$A$1800,$A140,الريسبي!$B$2:$B$1800,AG$1)</f>
        <v>0</v>
      </c>
      <c r="AH140" s="117" t="n">
        <f aca="false">SUMIFS(الريسبي!$C$2:$C$1800,الريسبي!$A$2:$A$1800,$A140,الريسبي!$B$2:$B$1800,AH$1)</f>
        <v>0</v>
      </c>
      <c r="AI140" s="117" t="n">
        <f aca="false">SUMIFS(الريسبي!$C$2:$C$1800,الريسبي!$A$2:$A$1800,$A140,الريسبي!$B$2:$B$1800,AI$1)</f>
        <v>0</v>
      </c>
      <c r="AJ140" s="117" t="n">
        <f aca="false">SUMIFS(الريسبي!$C$2:$C$1800,الريسبي!$A$2:$A$1800,$A140,الريسبي!$B$2:$B$1800,AJ$1)</f>
        <v>0</v>
      </c>
      <c r="AK140" s="117" t="n">
        <f aca="false">SUMIFS(الريسبي!$C$2:$C$1800,الريسبي!$A$2:$A$1800,$A140,الريسبي!$B$2:$B$1800,AK$1)</f>
        <v>0</v>
      </c>
      <c r="AL140" s="117" t="n">
        <f aca="false">SUMIFS(الريسبي!$C$2:$C$1800,الريسبي!$A$2:$A$1800,$A140,الريسبي!$B$2:$B$1800,AL$1)</f>
        <v>0</v>
      </c>
      <c r="AM140" s="117" t="n">
        <f aca="false">SUMIFS(الريسبي!$C$2:$C$1800,الريسبي!$A$2:$A$1800,$A140,الريسبي!$B$2:$B$1800,AM$1)+0.08333333333*SUMIFS(الريسبي!$C$2:$C$1800,الريسبي!$A$2:$A$1800,$A140,الريسبي!$B$2:$B$1800,"عجين كريب (مصنع بالمطعم)")+0.08333333333*SUMIFS(الريسبي!$C$2:$C$1800,الريسبي!$A$2:$A$1800,$A140,الريسبي!$B$2:$B$1800,"عجين كريب صيامي (بدون لبن)")</f>
        <v>0</v>
      </c>
      <c r="AN140" s="117" t="n">
        <f aca="false">SUMIFS(الريسبي!$C$2:$C$1800,الريسبي!$A$2:$A$1800,$A140,الريسبي!$B$2:$B$1800,AN$1)+0.004166666667*SUMIFS(الريسبي!$C$2:$C$1800,الريسبي!$A$2:$A$1800,$A140,الريسبي!$B$2:$B$1800,"عجين كريب (مصنع بالمطعم)")+0.004166666667*SUMIFS(الريسبي!$C$2:$C$1800,الريسبي!$A$2:$A$1800,$A140,الريسبي!$B$2:$B$1800,"عجين كريب صيامي (بدون لبن)")</f>
        <v>0</v>
      </c>
      <c r="AO140" s="117" t="n">
        <f aca="false">SUMIFS(الريسبي!$C$2:$C$1800,الريسبي!$A$2:$A$1800,$A140,الريسبي!$B$2:$B$1800,AO$1)</f>
        <v>0</v>
      </c>
      <c r="AP140" s="117" t="n">
        <f aca="false">SUMIFS(الريسبي!$C$2:$C$1800,الريسبي!$A$2:$A$1800,$A140,الريسبي!$B$2:$B$1800,AP$1)</f>
        <v>0</v>
      </c>
      <c r="AQ140" s="117" t="n">
        <f aca="false">SUMIFS(الريسبي!$C$2:$C$1800,الريسبي!$A$2:$A$1800,$A140,الريسبي!$B$2:$B$1800,AQ$1)+0.004166666667*SUMIFS(الريسبي!$C$2:$C$1800,الريسبي!$A$2:$A$1800,$A140,الريسبي!$B$2:$B$1800,"عجين كريب (مصنع بالمطعم)")+0.004166666667*SUMIFS(الريسبي!$C$2:$C$1800,الريسبي!$A$2:$A$1800,$A140,الريسبي!$B$2:$B$1800,"عجين كريب صيامي (بدون لبن)")</f>
        <v>0</v>
      </c>
      <c r="AR140" s="117" t="n">
        <f aca="false">SUMIFS(الريسبي!$C$2:$C$1800,الريسبي!$A$2:$A$1800,$A140,الريسبي!$B$2:$B$1800,AR$1)</f>
        <v>0</v>
      </c>
      <c r="AS140" s="117" t="n">
        <f aca="false">SUMIFS(الريسبي!$C$2:$C$1800,الريسبي!$A$2:$A$1800,$A140,الريسبي!$B$2:$B$1800,AS$1)</f>
        <v>0</v>
      </c>
      <c r="AT140" s="117" t="n">
        <f aca="false">SUMIFS(الريسبي!$C$2:$C$1800,الريسبي!$A$2:$A$1800,$A140,الريسبي!$B$2:$B$1800,AT$1)</f>
        <v>0</v>
      </c>
      <c r="AU140" s="117" t="n">
        <f aca="false">SUMIFS(الريسبي!$C$2:$C$1800,الريسبي!$A$2:$A$1800,$A140,الريسبي!$B$2:$B$1800,AU$1)</f>
        <v>0</v>
      </c>
      <c r="AV140" s="117" t="n">
        <f aca="false">SUMIFS(الريسبي!$C$2:$C$1800,الريسبي!$A$2:$A$1800,$A140,الريسبي!$B$2:$B$1800,AV$1)</f>
        <v>0.1</v>
      </c>
      <c r="AW140" s="117" t="n">
        <f aca="false">SUMIFS(الريسبي!$C$2:$C$1800,الريسبي!$A$2:$A$1800,$A140,الريسبي!$B$2:$B$1800,AW$1)</f>
        <v>0</v>
      </c>
      <c r="AX140" s="117" t="n">
        <f aca="false">SUMIFS(الريسبي!$C$2:$C$1800,الريسبي!$A$2:$A$1800,$A140,الريسبي!$B$2:$B$1800,AX$1)</f>
        <v>0</v>
      </c>
      <c r="AY140" s="117" t="n">
        <f aca="false">SUMIFS(الريسبي!$C$2:$C$1800,الريسبي!$A$2:$A$1800,$A140,الريسبي!$B$2:$B$1800,AY$1)</f>
        <v>0</v>
      </c>
      <c r="AZ140" s="117" t="n">
        <f aca="false">SUMIFS(الريسبي!$C$2:$C$1800,الريسبي!$A$2:$A$1800,$A140,الريسبي!$B$2:$B$1800,AZ$1)</f>
        <v>0</v>
      </c>
      <c r="BA140" s="117" t="n">
        <f aca="false">SUMIFS(الريسبي!$C$2:$C$1800,الريسبي!$A$2:$A$1800,$A140,الريسبي!$B$2:$B$1800,BA$1)</f>
        <v>0</v>
      </c>
      <c r="BB140" s="117" t="n">
        <f aca="false">SUMIFS(الريسبي!$C$2:$C$1800,الريسبي!$A$2:$A$1800,$A140,الريسبي!$B$2:$B$1800,BB$1)</f>
        <v>0</v>
      </c>
      <c r="BC140" s="117" t="n">
        <f aca="false">SUMIFS(الريسبي!$C$2:$C$1800,الريسبي!$A$2:$A$1800,$A140,الريسبي!$B$2:$B$1800,BC$1)</f>
        <v>0</v>
      </c>
      <c r="BD140" s="117" t="n">
        <f aca="false">SUMIFS(الريسبي!$C$2:$C$1800,الريسبي!$A$2:$A$1800,$A140,الريسبي!$B$2:$B$1800,BD$1)</f>
        <v>0</v>
      </c>
      <c r="BE140" s="117" t="n">
        <f aca="false">SUMIFS(الريسبي!$C$2:$C$1800,الريسبي!$A$2:$A$1800,$A140,الريسبي!$B$2:$B$1800,BE$1)</f>
        <v>0</v>
      </c>
      <c r="BF140" s="117" t="n">
        <f aca="false">SUMIFS(الريسبي!$C$2:$C$1800,الريسبي!$A$2:$A$1800,$A140,الريسبي!$B$2:$B$1800,BF$1)</f>
        <v>0</v>
      </c>
      <c r="BG140" s="117" t="n">
        <f aca="false">SUMIFS(الريسبي!$C$2:$C$1800,الريسبي!$A$2:$A$1800,$A140,الريسبي!$B$2:$B$1800,BG$1)</f>
        <v>0</v>
      </c>
      <c r="BH140" s="117" t="n">
        <f aca="false">SUMIFS(الريسبي!$C$2:$C$1800,الريسبي!$A$2:$A$1800,$A140,الريسبي!$B$2:$B$1800,BH$1)</f>
        <v>0</v>
      </c>
      <c r="BI140" s="117" t="n">
        <f aca="false">SUMIFS(الريسبي!$C$2:$C$1800,الريسبي!$A$2:$A$1800,$A140,الريسبي!$B$2:$B$1800,BI$1)</f>
        <v>0</v>
      </c>
      <c r="BJ140" s="117" t="n">
        <f aca="false">SUMIFS(الريسبي!$C$2:$C$1800,الريسبي!$A$2:$A$1800,$A140,الريسبي!$B$2:$B$1800,BJ$1)</f>
        <v>0</v>
      </c>
      <c r="BK140" s="117" t="n">
        <f aca="false">SUMIFS(الريسبي!$C$2:$C$1800,الريسبي!$A$2:$A$1800,$A140,الريسبي!$B$2:$B$1800,BK$1)</f>
        <v>0</v>
      </c>
      <c r="BL140" s="117" t="n">
        <f aca="false">SUMIFS(الريسبي!$C$2:$C$1800,الريسبي!$A$2:$A$1800,$A140,الريسبي!$B$2:$B$1800,BL$1)</f>
        <v>0</v>
      </c>
      <c r="BM140" s="117" t="n">
        <f aca="false">SUMIFS(الريسبي!$C$2:$C$1800,الريسبي!$A$2:$A$1800,$A140,الريسبي!$B$2:$B$1800,BM$1)</f>
        <v>0</v>
      </c>
      <c r="BN140" s="117" t="n">
        <f aca="false">SUMIFS(الريسبي!$C$2:$C$1800,الريسبي!$A$2:$A$1800,$A140,الريسبي!$B$2:$B$1800,BN$1)</f>
        <v>0</v>
      </c>
      <c r="BO140" s="117" t="n">
        <f aca="false">SUMIFS(الريسبي!$C$2:$C$1800,الريسبي!$A$2:$A$1800,$A140,الريسبي!$B$2:$B$1800,BO$1)</f>
        <v>0</v>
      </c>
      <c r="BP140" s="117" t="n">
        <f aca="false">SUMIFS(الريسبي!$C$2:$C$1800,الريسبي!$A$2:$A$1800,$A140,الريسبي!$B$2:$B$1800,BP$1)</f>
        <v>0</v>
      </c>
      <c r="BQ140" s="117" t="n">
        <f aca="false">SUMIFS(الريسبي!$C$2:$C$1800,الريسبي!$A$2:$A$1800,$A140,الريسبي!$B$2:$B$1800,BQ$1)+0.17*SUMIFS(الريسبي!$C$2:$C$1800,الريسبي!$A$2:$A$1800,$A140,الريسبي!$B$2:$B$1800,"كاسترد مصنع (خليط بودر + لبن)")+0.17*SUMIFS(الريسبي!$C$2:$C$1800,الريسبي!$A$2:$A$1800,$A140,الريسبي!$B$2:$B$1800,"كاسترد مصنع صيامي (بدون لبن)")</f>
        <v>0</v>
      </c>
      <c r="BR140" s="117" t="n">
        <f aca="false">SUMIFS(الريسبي!$C$2:$C$1800,الريسبي!$A$2:$A$1800,$A140,الريسبي!$B$2:$B$1800,BR$1)</f>
        <v>0</v>
      </c>
      <c r="BS140" s="117" t="n">
        <f aca="false">SUMIFS(الريسبي!$C$2:$C$1800,الريسبي!$A$2:$A$1800,$A140,الريسبي!$B$2:$B$1800,BS$1)</f>
        <v>0</v>
      </c>
      <c r="BT140" s="117" t="n">
        <f aca="false">SUMIFS(الريسبي!$C$2:$C$1800,الريسبي!$A$2:$A$1800,$A140,الريسبي!$B$2:$B$1800,BT$1)</f>
        <v>0</v>
      </c>
      <c r="BU140" s="117" t="n">
        <f aca="false">SUMIFS(الريسبي!$C$2:$C$1800,الريسبي!$A$2:$A$1800,$A140,الريسبي!$B$2:$B$1800,BU$1)+0.4*SUMIFS(الريسبي!$C$2:$C$1800,الريسبي!$A$2:$A$1800,$A140,الريسبي!$B$2:$B$1800,"كاسترد مصنع (خليط بودر + لبن)")+0.03333333333*SUMIFS(الريسبي!$C$2:$C$1800,الريسبي!$A$2:$A$1800,$A140,الريسبي!$B$2:$B$1800,"عجين كريب (مصنع بالمطعم)")</f>
        <v>0</v>
      </c>
      <c r="BV140" s="117" t="n">
        <f aca="false">SUMIFS(الريسبي!$C$2:$C$1800,الريسبي!$A$2:$A$1800,$A140,الريسبي!$B$2:$B$1800,BV$1)</f>
        <v>0</v>
      </c>
      <c r="BW140" s="117" t="n">
        <f aca="false">SUMIFS(الريسبي!$C$2:$C$1800,الريسبي!$A$2:$A$1800,$A140,الريسبي!$B$2:$B$1800,BW$1)</f>
        <v>0</v>
      </c>
      <c r="BX140" s="117" t="n">
        <f aca="false">SUMIFS(الريسبي!$C$2:$C$1800,الريسبي!$A$2:$A$1800,$A140,الريسبي!$B$2:$B$1800,BX$1)</f>
        <v>0</v>
      </c>
      <c r="BY140" s="117" t="n">
        <f aca="false">SUMIFS(الريسبي!$C$2:$C$1800,الريسبي!$A$2:$A$1800,$A140,الريسبي!$B$2:$B$1800,BY$1)</f>
        <v>0</v>
      </c>
      <c r="BZ140" s="117" t="n">
        <f aca="false">SUMIFS(الريسبي!$C$2:$C$1800,الريسبي!$A$2:$A$1800,$A140,الريسبي!$B$2:$B$1800,BZ$1)</f>
        <v>0</v>
      </c>
      <c r="CA140" s="117" t="n">
        <f aca="false">SUMIFS(الريسبي!$C$2:$C$1800,الريسبي!$A$2:$A$1800,$A140,الريسبي!$B$2:$B$1800,CA$1)</f>
        <v>0</v>
      </c>
      <c r="CB140" s="117" t="n">
        <f aca="false">SUMIFS(الريسبي!$C$2:$C$1800,الريسبي!$A$2:$A$1800,$A140,الريسبي!$B$2:$B$1800,CB$1)</f>
        <v>0</v>
      </c>
      <c r="CC140" s="117" t="n">
        <f aca="false">SUMIFS(الريسبي!$C$2:$C$1800,الريسبي!$A$2:$A$1800,$A140,الريسبي!$B$2:$B$1800,CC$1)</f>
        <v>0</v>
      </c>
      <c r="CD140" s="117" t="n">
        <f aca="false">SUMIFS(الريسبي!$C$2:$C$1800,الريسبي!$A$2:$A$1800,$A140,الريسبي!$B$2:$B$1800,CD$1)</f>
        <v>0</v>
      </c>
      <c r="CE140" s="117" t="n">
        <f aca="false">SUMIFS(الريسبي!$C$2:$C$1800,الريسبي!$A$2:$A$1800,$A140,الريسبي!$B$2:$B$1800,CE$1)</f>
        <v>0</v>
      </c>
      <c r="CF140" s="117" t="n">
        <f aca="false">SUMIFS(الريسبي!$C$2:$C$1800,الريسبي!$A$2:$A$1800,$A140,الريسبي!$B$2:$B$1800,CF$1)</f>
        <v>0</v>
      </c>
      <c r="CG140" s="117" t="n">
        <f aca="false">SUMIFS(الريسبي!$C$2:$C$1800,الريسبي!$A$2:$A$1800,$A140,الريسبي!$B$2:$B$1800,CG$1)</f>
        <v>0</v>
      </c>
      <c r="CH140" s="117" t="n">
        <f aca="false">SUMIFS(الريسبي!$C$2:$C$1800,الريسبي!$A$2:$A$1800,$A140,الريسبي!$B$2:$B$1800,CH$1)</f>
        <v>0</v>
      </c>
      <c r="CI140" s="117" t="n">
        <f aca="false">SUMIFS(الريسبي!$C$2:$C$1800,الريسبي!$A$2:$A$1800,$A140,الريسبي!$B$2:$B$1800,CI$1)</f>
        <v>0</v>
      </c>
      <c r="CJ140" s="117" t="n">
        <f aca="false">SUMIFS(الريسبي!$C$2:$C$1800,الريسبي!$A$2:$A$1800,$A140,الريسبي!$B$2:$B$1800,CJ$1)</f>
        <v>0</v>
      </c>
      <c r="CK140" s="117" t="n">
        <f aca="false">SUMIFS(الريسبي!$C$2:$C$1800,الريسبي!$A$2:$A$1800,$A140,الريسبي!$B$2:$B$1800,CK$1)</f>
        <v>0</v>
      </c>
      <c r="CL140" s="117" t="n">
        <f aca="false">SUMIFS(الريسبي!$C$2:$C$1800,الريسبي!$A$2:$A$1800,$A140,الريسبي!$B$2:$B$1800,CL$1)</f>
        <v>0</v>
      </c>
    </row>
    <row r="141" customFormat="false" ht="15" hidden="false" customHeight="false" outlineLevel="0" collapsed="false">
      <c r="A141" s="116" t="str">
        <f aca="false">المنيو!B141</f>
        <v>اضافة قشطة (عام)</v>
      </c>
      <c r="B141" s="117" t="n">
        <f aca="false">SUMIFS(الريسبي!$C$2:$C$1800,الريسبي!$A$2:$A$1800,$A141,الريسبي!$B$2:$B$1800,B$1)</f>
        <v>0</v>
      </c>
      <c r="C141" s="117" t="n">
        <f aca="false">SUMIFS(الريسبي!$C$2:$C$1800,الريسبي!$A$2:$A$1800,$A141,الريسبي!$B$2:$B$1800,C$1)</f>
        <v>0</v>
      </c>
      <c r="D141" s="117" t="n">
        <f aca="false">SUMIFS(الريسبي!$C$2:$C$1800,الريسبي!$A$2:$A$1800,$A141,الريسبي!$B$2:$B$1800,D$1)</f>
        <v>0</v>
      </c>
      <c r="E141" s="117" t="n">
        <f aca="false">SUMIFS(الريسبي!$C$2:$C$1800,الريسبي!$A$2:$A$1800,$A141,الريسبي!$B$2:$B$1800,E$1)</f>
        <v>0</v>
      </c>
      <c r="F141" s="117" t="n">
        <f aca="false">SUMIFS(الريسبي!$C$2:$C$1800,الريسبي!$A$2:$A$1800,$A141,الريسبي!$B$2:$B$1800,F$1)</f>
        <v>0</v>
      </c>
      <c r="G141" s="117" t="n">
        <f aca="false">SUMIFS(الريسبي!$C$2:$C$1800,الريسبي!$A$2:$A$1800,$A141,الريسبي!$B$2:$B$1800,G$1)</f>
        <v>0</v>
      </c>
      <c r="H141" s="117" t="n">
        <f aca="false">SUMIFS(الريسبي!$C$2:$C$1800,الريسبي!$A$2:$A$1800,$A141,الريسبي!$B$2:$B$1800,H$1)</f>
        <v>0</v>
      </c>
      <c r="I141" s="117" t="n">
        <f aca="false">SUMIFS(الريسبي!$C$2:$C$1800,الريسبي!$A$2:$A$1800,$A141,الريسبي!$B$2:$B$1800,I$1)</f>
        <v>0</v>
      </c>
      <c r="J141" s="117" t="n">
        <f aca="false">SUMIFS(الريسبي!$C$2:$C$1800,الريسبي!$A$2:$A$1800,$A141,الريسبي!$B$2:$B$1800,J$1)</f>
        <v>0</v>
      </c>
      <c r="K141" s="117" t="n">
        <f aca="false">SUMIFS(الريسبي!$C$2:$C$1800,الريسبي!$A$2:$A$1800,$A141,الريسبي!$B$2:$B$1800,K$1)</f>
        <v>0</v>
      </c>
      <c r="L141" s="117" t="n">
        <f aca="false">SUMIFS(الريسبي!$C$2:$C$1800,الريسبي!$A$2:$A$1800,$A141,الريسبي!$B$2:$B$1800,L$1)</f>
        <v>0</v>
      </c>
      <c r="M141" s="117" t="n">
        <f aca="false">SUMIFS(الريسبي!$C$2:$C$1800,الريسبي!$A$2:$A$1800,$A141,الريسبي!$B$2:$B$1800,M$1)</f>
        <v>0</v>
      </c>
      <c r="N141" s="117" t="n">
        <f aca="false">SUMIFS(الريسبي!$C$2:$C$1800,الريسبي!$A$2:$A$1800,$A141,الريسبي!$B$2:$B$1800,N$1)</f>
        <v>0</v>
      </c>
      <c r="O141" s="117" t="n">
        <f aca="false">SUMIFS(الريسبي!$C$2:$C$1800,الريسبي!$A$2:$A$1800,$A141,الريسبي!$B$2:$B$1800,O$1)</f>
        <v>0</v>
      </c>
      <c r="P141" s="117" t="n">
        <f aca="false">SUMIFS(الريسبي!$C$2:$C$1800,الريسبي!$A$2:$A$1800,$A141,الريسبي!$B$2:$B$1800,P$1)</f>
        <v>0</v>
      </c>
      <c r="Q141" s="117" t="n">
        <f aca="false">SUMIFS(الريسبي!$C$2:$C$1800,الريسبي!$A$2:$A$1800,$A141,الريسبي!$B$2:$B$1800,Q$1)</f>
        <v>0</v>
      </c>
      <c r="R141" s="117" t="n">
        <f aca="false">SUMIFS(الريسبي!$C$2:$C$1800,الريسبي!$A$2:$A$1800,$A141,الريسبي!$B$2:$B$1800,R$1)</f>
        <v>0</v>
      </c>
      <c r="S141" s="117" t="n">
        <f aca="false">SUMIFS(الريسبي!$C$2:$C$1800,الريسبي!$A$2:$A$1800,$A141,الريسبي!$B$2:$B$1800,S$1)</f>
        <v>1</v>
      </c>
      <c r="T141" s="117" t="n">
        <f aca="false">SUMIFS(الريسبي!$C$2:$C$1800,الريسبي!$A$2:$A$1800,$A141,الريسبي!$B$2:$B$1800,T$1)</f>
        <v>0</v>
      </c>
      <c r="U141" s="117" t="n">
        <f aca="false">SUMIFS(الريسبي!$C$2:$C$1800,الريسبي!$A$2:$A$1800,$A141,الريسبي!$B$2:$B$1800,U$1)</f>
        <v>0</v>
      </c>
      <c r="V141" s="117" t="n">
        <f aca="false">SUMIFS(الريسبي!$C$2:$C$1800,الريسبي!$A$2:$A$1800,$A141,الريسبي!$B$2:$B$1800,V$1)+1.5*(SUMIFS(الريسبي!$C$2:$C$1800,الريسبي!$A$2:$A$1800,$A141,الريسبي!$B$2:$B$1800,"برسيون موتزريلا بيتزا كبير"))</f>
        <v>0</v>
      </c>
      <c r="W141" s="117" t="n">
        <f aca="false">0</f>
        <v>0</v>
      </c>
      <c r="X141" s="117" t="n">
        <f aca="false">SUMIFS(الريسبي!$C$2:$C$1800,الريسبي!$A$2:$A$1800,$A141,الريسبي!$B$2:$B$1800,X$1)+1.5*(SUMIFS(الريسبي!$C$2:$C$1800,الريسبي!$A$2:$A$1800,$A141,الريسبي!$B$2:$B$1800,"برسيون موتزريلا فطير كبير"))</f>
        <v>0</v>
      </c>
      <c r="Y141" s="117" t="n">
        <f aca="false">0</f>
        <v>0</v>
      </c>
      <c r="Z141" s="117" t="n">
        <f aca="false">SUMIFS(الريسبي!$C$2:$C$1800,الريسبي!$A$2:$A$1800,$A141,الريسبي!$B$2:$B$1800,Z$1)</f>
        <v>0</v>
      </c>
      <c r="AA141" s="117" t="n">
        <f aca="false">SUMIFS(الريسبي!$C$2:$C$1800,الريسبي!$A$2:$A$1800,$A141,الريسبي!$B$2:$B$1800,AA$1)</f>
        <v>0</v>
      </c>
      <c r="AB141" s="117" t="n">
        <f aca="false">SUMIFS(الريسبي!$C$2:$C$1800,الريسبي!$A$2:$A$1800,$A141,الريسبي!$B$2:$B$1800,AB$1)</f>
        <v>0</v>
      </c>
      <c r="AC141" s="117" t="n">
        <f aca="false">SUMIFS(الريسبي!$C$2:$C$1800,الريسبي!$A$2:$A$1800,$A141,الريسبي!$B$2:$B$1800,AC$1)</f>
        <v>0</v>
      </c>
      <c r="AD141" s="117" t="n">
        <f aca="false">SUMIFS(الريسبي!$C$2:$C$1800,الريسبي!$A$2:$A$1800,$A141,الريسبي!$B$2:$B$1800,AD$1)</f>
        <v>0</v>
      </c>
      <c r="AE141" s="117" t="n">
        <f aca="false">SUMIFS(الريسبي!$C$2:$C$1800,الريسبي!$A$2:$A$1800,$A141,الريسبي!$B$2:$B$1800,AE$1)</f>
        <v>0</v>
      </c>
      <c r="AF141" s="117" t="n">
        <f aca="false">SUMIFS(الريسبي!$C$2:$C$1800,الريسبي!$A$2:$A$1800,$A141,الريسبي!$B$2:$B$1800,AF$1)</f>
        <v>0</v>
      </c>
      <c r="AG141" s="117" t="n">
        <f aca="false">SUMIFS(الريسبي!$C$2:$C$1800,الريسبي!$A$2:$A$1800,$A141,الريسبي!$B$2:$B$1800,AG$1)</f>
        <v>0</v>
      </c>
      <c r="AH141" s="117" t="n">
        <f aca="false">SUMIFS(الريسبي!$C$2:$C$1800,الريسبي!$A$2:$A$1800,$A141,الريسبي!$B$2:$B$1800,AH$1)</f>
        <v>0</v>
      </c>
      <c r="AI141" s="117" t="n">
        <f aca="false">SUMIFS(الريسبي!$C$2:$C$1800,الريسبي!$A$2:$A$1800,$A141,الريسبي!$B$2:$B$1800,AI$1)</f>
        <v>0</v>
      </c>
      <c r="AJ141" s="117" t="n">
        <f aca="false">SUMIFS(الريسبي!$C$2:$C$1800,الريسبي!$A$2:$A$1800,$A141,الريسبي!$B$2:$B$1800,AJ$1)</f>
        <v>0</v>
      </c>
      <c r="AK141" s="117" t="n">
        <f aca="false">SUMIFS(الريسبي!$C$2:$C$1800,الريسبي!$A$2:$A$1800,$A141,الريسبي!$B$2:$B$1800,AK$1)</f>
        <v>0</v>
      </c>
      <c r="AL141" s="117" t="n">
        <f aca="false">SUMIFS(الريسبي!$C$2:$C$1800,الريسبي!$A$2:$A$1800,$A141,الريسبي!$B$2:$B$1800,AL$1)</f>
        <v>0</v>
      </c>
      <c r="AM141" s="117" t="n">
        <f aca="false">SUMIFS(الريسبي!$C$2:$C$1800,الريسبي!$A$2:$A$1800,$A141,الريسبي!$B$2:$B$1800,AM$1)+0.08333333333*SUMIFS(الريسبي!$C$2:$C$1800,الريسبي!$A$2:$A$1800,$A141,الريسبي!$B$2:$B$1800,"عجين كريب (مصنع بالمطعم)")+0.08333333333*SUMIFS(الريسبي!$C$2:$C$1800,الريسبي!$A$2:$A$1800,$A141,الريسبي!$B$2:$B$1800,"عجين كريب صيامي (بدون لبن)")</f>
        <v>0</v>
      </c>
      <c r="AN141" s="117" t="n">
        <f aca="false">SUMIFS(الريسبي!$C$2:$C$1800,الريسبي!$A$2:$A$1800,$A141,الريسبي!$B$2:$B$1800,AN$1)+0.004166666667*SUMIFS(الريسبي!$C$2:$C$1800,الريسبي!$A$2:$A$1800,$A141,الريسبي!$B$2:$B$1800,"عجين كريب (مصنع بالمطعم)")+0.004166666667*SUMIFS(الريسبي!$C$2:$C$1800,الريسبي!$A$2:$A$1800,$A141,الريسبي!$B$2:$B$1800,"عجين كريب صيامي (بدون لبن)")</f>
        <v>0</v>
      </c>
      <c r="AO141" s="117" t="n">
        <f aca="false">SUMIFS(الريسبي!$C$2:$C$1800,الريسبي!$A$2:$A$1800,$A141,الريسبي!$B$2:$B$1800,AO$1)</f>
        <v>0</v>
      </c>
      <c r="AP141" s="117" t="n">
        <f aca="false">SUMIFS(الريسبي!$C$2:$C$1800,الريسبي!$A$2:$A$1800,$A141,الريسبي!$B$2:$B$1800,AP$1)</f>
        <v>0</v>
      </c>
      <c r="AQ141" s="117" t="n">
        <f aca="false">SUMIFS(الريسبي!$C$2:$C$1800,الريسبي!$A$2:$A$1800,$A141,الريسبي!$B$2:$B$1800,AQ$1)+0.004166666667*SUMIFS(الريسبي!$C$2:$C$1800,الريسبي!$A$2:$A$1800,$A141,الريسبي!$B$2:$B$1800,"عجين كريب (مصنع بالمطعم)")+0.004166666667*SUMIFS(الريسبي!$C$2:$C$1800,الريسبي!$A$2:$A$1800,$A141,الريسبي!$B$2:$B$1800,"عجين كريب صيامي (بدون لبن)")</f>
        <v>0</v>
      </c>
      <c r="AR141" s="117" t="n">
        <f aca="false">SUMIFS(الريسبي!$C$2:$C$1800,الريسبي!$A$2:$A$1800,$A141,الريسبي!$B$2:$B$1800,AR$1)</f>
        <v>0</v>
      </c>
      <c r="AS141" s="117" t="n">
        <f aca="false">SUMIFS(الريسبي!$C$2:$C$1800,الريسبي!$A$2:$A$1800,$A141,الريسبي!$B$2:$B$1800,AS$1)</f>
        <v>0</v>
      </c>
      <c r="AT141" s="117" t="n">
        <f aca="false">SUMIFS(الريسبي!$C$2:$C$1800,الريسبي!$A$2:$A$1800,$A141,الريسبي!$B$2:$B$1800,AT$1)</f>
        <v>0</v>
      </c>
      <c r="AU141" s="117" t="n">
        <f aca="false">SUMIFS(الريسبي!$C$2:$C$1800,الريسبي!$A$2:$A$1800,$A141,الريسبي!$B$2:$B$1800,AU$1)</f>
        <v>0</v>
      </c>
      <c r="AV141" s="117" t="n">
        <f aca="false">SUMIFS(الريسبي!$C$2:$C$1800,الريسبي!$A$2:$A$1800,$A141,الريسبي!$B$2:$B$1800,AV$1)</f>
        <v>0</v>
      </c>
      <c r="AW141" s="117" t="n">
        <f aca="false">SUMIFS(الريسبي!$C$2:$C$1800,الريسبي!$A$2:$A$1800,$A141,الريسبي!$B$2:$B$1800,AW$1)</f>
        <v>0</v>
      </c>
      <c r="AX141" s="117" t="n">
        <f aca="false">SUMIFS(الريسبي!$C$2:$C$1800,الريسبي!$A$2:$A$1800,$A141,الريسبي!$B$2:$B$1800,AX$1)</f>
        <v>0</v>
      </c>
      <c r="AY141" s="117" t="n">
        <f aca="false">SUMIFS(الريسبي!$C$2:$C$1800,الريسبي!$A$2:$A$1800,$A141,الريسبي!$B$2:$B$1800,AY$1)</f>
        <v>0</v>
      </c>
      <c r="AZ141" s="117" t="n">
        <f aca="false">SUMIFS(الريسبي!$C$2:$C$1800,الريسبي!$A$2:$A$1800,$A141,الريسبي!$B$2:$B$1800,AZ$1)</f>
        <v>0</v>
      </c>
      <c r="BA141" s="117" t="n">
        <f aca="false">SUMIFS(الريسبي!$C$2:$C$1800,الريسبي!$A$2:$A$1800,$A141,الريسبي!$B$2:$B$1800,BA$1)</f>
        <v>0</v>
      </c>
      <c r="BB141" s="117" t="n">
        <f aca="false">SUMIFS(الريسبي!$C$2:$C$1800,الريسبي!$A$2:$A$1800,$A141,الريسبي!$B$2:$B$1800,BB$1)</f>
        <v>0</v>
      </c>
      <c r="BC141" s="117" t="n">
        <f aca="false">SUMIFS(الريسبي!$C$2:$C$1800,الريسبي!$A$2:$A$1800,$A141,الريسبي!$B$2:$B$1800,BC$1)</f>
        <v>0</v>
      </c>
      <c r="BD141" s="117" t="n">
        <f aca="false">SUMIFS(الريسبي!$C$2:$C$1800,الريسبي!$A$2:$A$1800,$A141,الريسبي!$B$2:$B$1800,BD$1)</f>
        <v>0</v>
      </c>
      <c r="BE141" s="117" t="n">
        <f aca="false">SUMIFS(الريسبي!$C$2:$C$1800,الريسبي!$A$2:$A$1800,$A141,الريسبي!$B$2:$B$1800,BE$1)</f>
        <v>0</v>
      </c>
      <c r="BF141" s="117" t="n">
        <f aca="false">SUMIFS(الريسبي!$C$2:$C$1800,الريسبي!$A$2:$A$1800,$A141,الريسبي!$B$2:$B$1800,BF$1)</f>
        <v>0</v>
      </c>
      <c r="BG141" s="117" t="n">
        <f aca="false">SUMIFS(الريسبي!$C$2:$C$1800,الريسبي!$A$2:$A$1800,$A141,الريسبي!$B$2:$B$1800,BG$1)</f>
        <v>0</v>
      </c>
      <c r="BH141" s="117" t="n">
        <f aca="false">SUMIFS(الريسبي!$C$2:$C$1800,الريسبي!$A$2:$A$1800,$A141,الريسبي!$B$2:$B$1800,BH$1)</f>
        <v>0</v>
      </c>
      <c r="BI141" s="117" t="n">
        <f aca="false">SUMIFS(الريسبي!$C$2:$C$1800,الريسبي!$A$2:$A$1800,$A141,الريسبي!$B$2:$B$1800,BI$1)</f>
        <v>0</v>
      </c>
      <c r="BJ141" s="117" t="n">
        <f aca="false">SUMIFS(الريسبي!$C$2:$C$1800,الريسبي!$A$2:$A$1800,$A141,الريسبي!$B$2:$B$1800,BJ$1)</f>
        <v>0</v>
      </c>
      <c r="BK141" s="117" t="n">
        <f aca="false">SUMIFS(الريسبي!$C$2:$C$1800,الريسبي!$A$2:$A$1800,$A141,الريسبي!$B$2:$B$1800,BK$1)</f>
        <v>0</v>
      </c>
      <c r="BL141" s="117" t="n">
        <f aca="false">SUMIFS(الريسبي!$C$2:$C$1800,الريسبي!$A$2:$A$1800,$A141,الريسبي!$B$2:$B$1800,BL$1)</f>
        <v>0</v>
      </c>
      <c r="BM141" s="117" t="n">
        <f aca="false">SUMIFS(الريسبي!$C$2:$C$1800,الريسبي!$A$2:$A$1800,$A141,الريسبي!$B$2:$B$1800,BM$1)</f>
        <v>0</v>
      </c>
      <c r="BN141" s="117" t="n">
        <f aca="false">SUMIFS(الريسبي!$C$2:$C$1800,الريسبي!$A$2:$A$1800,$A141,الريسبي!$B$2:$B$1800,BN$1)</f>
        <v>0</v>
      </c>
      <c r="BO141" s="117" t="n">
        <f aca="false">SUMIFS(الريسبي!$C$2:$C$1800,الريسبي!$A$2:$A$1800,$A141,الريسبي!$B$2:$B$1800,BO$1)</f>
        <v>0</v>
      </c>
      <c r="BP141" s="117" t="n">
        <f aca="false">SUMIFS(الريسبي!$C$2:$C$1800,الريسبي!$A$2:$A$1800,$A141,الريسبي!$B$2:$B$1800,BP$1)</f>
        <v>0</v>
      </c>
      <c r="BQ141" s="117" t="n">
        <f aca="false">SUMIFS(الريسبي!$C$2:$C$1800,الريسبي!$A$2:$A$1800,$A141,الريسبي!$B$2:$B$1800,BQ$1)+0.17*SUMIFS(الريسبي!$C$2:$C$1800,الريسبي!$A$2:$A$1800,$A141,الريسبي!$B$2:$B$1800,"كاسترد مصنع (خليط بودر + لبن)")+0.17*SUMIFS(الريسبي!$C$2:$C$1800,الريسبي!$A$2:$A$1800,$A141,الريسبي!$B$2:$B$1800,"كاسترد مصنع صيامي (بدون لبن)")</f>
        <v>0</v>
      </c>
      <c r="BR141" s="117" t="n">
        <f aca="false">SUMIFS(الريسبي!$C$2:$C$1800,الريسبي!$A$2:$A$1800,$A141,الريسبي!$B$2:$B$1800,BR$1)</f>
        <v>0</v>
      </c>
      <c r="BS141" s="117" t="n">
        <f aca="false">SUMIFS(الريسبي!$C$2:$C$1800,الريسبي!$A$2:$A$1800,$A141,الريسبي!$B$2:$B$1800,BS$1)</f>
        <v>0</v>
      </c>
      <c r="BT141" s="117" t="n">
        <f aca="false">SUMIFS(الريسبي!$C$2:$C$1800,الريسبي!$A$2:$A$1800,$A141,الريسبي!$B$2:$B$1800,BT$1)</f>
        <v>0</v>
      </c>
      <c r="BU141" s="117" t="n">
        <f aca="false">SUMIFS(الريسبي!$C$2:$C$1800,الريسبي!$A$2:$A$1800,$A141,الريسبي!$B$2:$B$1800,BU$1)+0.4*SUMIFS(الريسبي!$C$2:$C$1800,الريسبي!$A$2:$A$1800,$A141,الريسبي!$B$2:$B$1800,"كاسترد مصنع (خليط بودر + لبن)")+0.03333333333*SUMIFS(الريسبي!$C$2:$C$1800,الريسبي!$A$2:$A$1800,$A141,الريسبي!$B$2:$B$1800,"عجين كريب (مصنع بالمطعم)")</f>
        <v>0</v>
      </c>
      <c r="BV141" s="117" t="n">
        <f aca="false">SUMIFS(الريسبي!$C$2:$C$1800,الريسبي!$A$2:$A$1800,$A141,الريسبي!$B$2:$B$1800,BV$1)</f>
        <v>0</v>
      </c>
      <c r="BW141" s="117" t="n">
        <f aca="false">SUMIFS(الريسبي!$C$2:$C$1800,الريسبي!$A$2:$A$1800,$A141,الريسبي!$B$2:$B$1800,BW$1)</f>
        <v>0</v>
      </c>
      <c r="BX141" s="117" t="n">
        <f aca="false">SUMIFS(الريسبي!$C$2:$C$1800,الريسبي!$A$2:$A$1800,$A141,الريسبي!$B$2:$B$1800,BX$1)</f>
        <v>0</v>
      </c>
      <c r="BY141" s="117" t="n">
        <f aca="false">SUMIFS(الريسبي!$C$2:$C$1800,الريسبي!$A$2:$A$1800,$A141,الريسبي!$B$2:$B$1800,BY$1)</f>
        <v>0</v>
      </c>
      <c r="BZ141" s="117" t="n">
        <f aca="false">SUMIFS(الريسبي!$C$2:$C$1800,الريسبي!$A$2:$A$1800,$A141,الريسبي!$B$2:$B$1800,BZ$1)</f>
        <v>0</v>
      </c>
      <c r="CA141" s="117" t="n">
        <f aca="false">SUMIFS(الريسبي!$C$2:$C$1800,الريسبي!$A$2:$A$1800,$A141,الريسبي!$B$2:$B$1800,CA$1)</f>
        <v>0</v>
      </c>
      <c r="CB141" s="117" t="n">
        <f aca="false">SUMIFS(الريسبي!$C$2:$C$1800,الريسبي!$A$2:$A$1800,$A141,الريسبي!$B$2:$B$1800,CB$1)</f>
        <v>0</v>
      </c>
      <c r="CC141" s="117" t="n">
        <f aca="false">SUMIFS(الريسبي!$C$2:$C$1800,الريسبي!$A$2:$A$1800,$A141,الريسبي!$B$2:$B$1800,CC$1)</f>
        <v>0</v>
      </c>
      <c r="CD141" s="117" t="n">
        <f aca="false">SUMIFS(الريسبي!$C$2:$C$1800,الريسبي!$A$2:$A$1800,$A141,الريسبي!$B$2:$B$1800,CD$1)</f>
        <v>0</v>
      </c>
      <c r="CE141" s="117" t="n">
        <f aca="false">SUMIFS(الريسبي!$C$2:$C$1800,الريسبي!$A$2:$A$1800,$A141,الريسبي!$B$2:$B$1800,CE$1)</f>
        <v>0</v>
      </c>
      <c r="CF141" s="117" t="n">
        <f aca="false">SUMIFS(الريسبي!$C$2:$C$1800,الريسبي!$A$2:$A$1800,$A141,الريسبي!$B$2:$B$1800,CF$1)</f>
        <v>0</v>
      </c>
      <c r="CG141" s="117" t="n">
        <f aca="false">SUMIFS(الريسبي!$C$2:$C$1800,الريسبي!$A$2:$A$1800,$A141,الريسبي!$B$2:$B$1800,CG$1)</f>
        <v>0</v>
      </c>
      <c r="CH141" s="117" t="n">
        <f aca="false">SUMIFS(الريسبي!$C$2:$C$1800,الريسبي!$A$2:$A$1800,$A141,الريسبي!$B$2:$B$1800,CH$1)</f>
        <v>0</v>
      </c>
      <c r="CI141" s="117" t="n">
        <f aca="false">SUMIFS(الريسبي!$C$2:$C$1800,الريسبي!$A$2:$A$1800,$A141,الريسبي!$B$2:$B$1800,CI$1)</f>
        <v>0</v>
      </c>
      <c r="CJ141" s="117" t="n">
        <f aca="false">SUMIFS(الريسبي!$C$2:$C$1800,الريسبي!$A$2:$A$1800,$A141,الريسبي!$B$2:$B$1800,CJ$1)</f>
        <v>0</v>
      </c>
      <c r="CK141" s="117" t="n">
        <f aca="false">SUMIFS(الريسبي!$C$2:$C$1800,الريسبي!$A$2:$A$1800,$A141,الريسبي!$B$2:$B$1800,CK$1)</f>
        <v>0</v>
      </c>
      <c r="CL141" s="117" t="n">
        <f aca="false">SUMIFS(الريسبي!$C$2:$C$1800,الريسبي!$A$2:$A$1800,$A141,الريسبي!$B$2:$B$1800,CL$1)</f>
        <v>0</v>
      </c>
    </row>
    <row r="142" customFormat="false" ht="15" hidden="false" customHeight="false" outlineLevel="0" collapsed="false">
      <c r="A142" s="116" t="str">
        <f aca="false">المنيو!B142</f>
        <v>اضافة مفروم (بيتزا وسط)</v>
      </c>
      <c r="B142" s="117" t="n">
        <f aca="false">SUMIFS(الريسبي!$C$2:$C$1800,الريسبي!$A$2:$A$1800,$A142,الريسبي!$B$2:$B$1800,B$1)</f>
        <v>0</v>
      </c>
      <c r="C142" s="117" t="n">
        <f aca="false">SUMIFS(الريسبي!$C$2:$C$1800,الريسبي!$A$2:$A$1800,$A142,الريسبي!$B$2:$B$1800,C$1)</f>
        <v>0</v>
      </c>
      <c r="D142" s="117" t="n">
        <f aca="false">SUMIFS(الريسبي!$C$2:$C$1800,الريسبي!$A$2:$A$1800,$A142,الريسبي!$B$2:$B$1800,D$1)</f>
        <v>0</v>
      </c>
      <c r="E142" s="117" t="n">
        <f aca="false">SUMIFS(الريسبي!$C$2:$C$1800,الريسبي!$A$2:$A$1800,$A142,الريسبي!$B$2:$B$1800,E$1)</f>
        <v>0</v>
      </c>
      <c r="F142" s="117" t="n">
        <f aca="false">SUMIFS(الريسبي!$C$2:$C$1800,الريسبي!$A$2:$A$1800,$A142,الريسبي!$B$2:$B$1800,F$1)</f>
        <v>0</v>
      </c>
      <c r="G142" s="117" t="n">
        <f aca="false">SUMIFS(الريسبي!$C$2:$C$1800,الريسبي!$A$2:$A$1800,$A142,الريسبي!$B$2:$B$1800,G$1)</f>
        <v>0</v>
      </c>
      <c r="H142" s="117" t="n">
        <f aca="false">SUMIFS(الريسبي!$C$2:$C$1800,الريسبي!$A$2:$A$1800,$A142,الريسبي!$B$2:$B$1800,H$1)</f>
        <v>0</v>
      </c>
      <c r="I142" s="117" t="n">
        <f aca="false">SUMIFS(الريسبي!$C$2:$C$1800,الريسبي!$A$2:$A$1800,$A142,الريسبي!$B$2:$B$1800,I$1)</f>
        <v>0</v>
      </c>
      <c r="J142" s="117" t="n">
        <f aca="false">SUMIFS(الريسبي!$C$2:$C$1800,الريسبي!$A$2:$A$1800,$A142,الريسبي!$B$2:$B$1800,J$1)</f>
        <v>0</v>
      </c>
      <c r="K142" s="117" t="n">
        <f aca="false">SUMIFS(الريسبي!$C$2:$C$1800,الريسبي!$A$2:$A$1800,$A142,الريسبي!$B$2:$B$1800,K$1)</f>
        <v>0</v>
      </c>
      <c r="L142" s="117" t="n">
        <f aca="false">SUMIFS(الريسبي!$C$2:$C$1800,الريسبي!$A$2:$A$1800,$A142,الريسبي!$B$2:$B$1800,L$1)</f>
        <v>0</v>
      </c>
      <c r="M142" s="117" t="n">
        <f aca="false">SUMIFS(الريسبي!$C$2:$C$1800,الريسبي!$A$2:$A$1800,$A142,الريسبي!$B$2:$B$1800,M$1)</f>
        <v>0</v>
      </c>
      <c r="N142" s="117" t="n">
        <f aca="false">SUMIFS(الريسبي!$C$2:$C$1800,الريسبي!$A$2:$A$1800,$A142,الريسبي!$B$2:$B$1800,N$1)</f>
        <v>0</v>
      </c>
      <c r="O142" s="117" t="n">
        <f aca="false">SUMIFS(الريسبي!$C$2:$C$1800,الريسبي!$A$2:$A$1800,$A142,الريسبي!$B$2:$B$1800,O$1)</f>
        <v>0</v>
      </c>
      <c r="P142" s="117" t="n">
        <f aca="false">SUMIFS(الريسبي!$C$2:$C$1800,الريسبي!$A$2:$A$1800,$A142,الريسبي!$B$2:$B$1800,P$1)</f>
        <v>0</v>
      </c>
      <c r="Q142" s="117" t="n">
        <f aca="false">SUMIFS(الريسبي!$C$2:$C$1800,الريسبي!$A$2:$A$1800,$A142,الريسبي!$B$2:$B$1800,Q$1)</f>
        <v>0</v>
      </c>
      <c r="R142" s="117" t="n">
        <f aca="false">SUMIFS(الريسبي!$C$2:$C$1800,الريسبي!$A$2:$A$1800,$A142,الريسبي!$B$2:$B$1800,R$1)</f>
        <v>0</v>
      </c>
      <c r="S142" s="117" t="n">
        <f aca="false">SUMIFS(الريسبي!$C$2:$C$1800,الريسبي!$A$2:$A$1800,$A142,الريسبي!$B$2:$B$1800,S$1)</f>
        <v>0</v>
      </c>
      <c r="T142" s="117" t="n">
        <f aca="false">SUMIFS(الريسبي!$C$2:$C$1800,الريسبي!$A$2:$A$1800,$A142,الريسبي!$B$2:$B$1800,T$1)</f>
        <v>1</v>
      </c>
      <c r="U142" s="117" t="n">
        <f aca="false">SUMIFS(الريسبي!$C$2:$C$1800,الريسبي!$A$2:$A$1800,$A142,الريسبي!$B$2:$B$1800,U$1)</f>
        <v>0</v>
      </c>
      <c r="V142" s="117" t="n">
        <f aca="false">SUMIFS(الريسبي!$C$2:$C$1800,الريسبي!$A$2:$A$1800,$A142,الريسبي!$B$2:$B$1800,V$1)+1.5*(SUMIFS(الريسبي!$C$2:$C$1800,الريسبي!$A$2:$A$1800,$A142,الريسبي!$B$2:$B$1800,"برسيون موتزريلا بيتزا كبير"))</f>
        <v>0</v>
      </c>
      <c r="W142" s="117" t="n">
        <f aca="false">0</f>
        <v>0</v>
      </c>
      <c r="X142" s="117" t="n">
        <f aca="false">SUMIFS(الريسبي!$C$2:$C$1800,الريسبي!$A$2:$A$1800,$A142,الريسبي!$B$2:$B$1800,X$1)+1.5*(SUMIFS(الريسبي!$C$2:$C$1800,الريسبي!$A$2:$A$1800,$A142,الريسبي!$B$2:$B$1800,"برسيون موتزريلا فطير كبير"))</f>
        <v>0</v>
      </c>
      <c r="Y142" s="117" t="n">
        <f aca="false">0</f>
        <v>0</v>
      </c>
      <c r="Z142" s="117" t="n">
        <f aca="false">SUMIFS(الريسبي!$C$2:$C$1800,الريسبي!$A$2:$A$1800,$A142,الريسبي!$B$2:$B$1800,Z$1)</f>
        <v>0</v>
      </c>
      <c r="AA142" s="117" t="n">
        <f aca="false">SUMIFS(الريسبي!$C$2:$C$1800,الريسبي!$A$2:$A$1800,$A142,الريسبي!$B$2:$B$1800,AA$1)</f>
        <v>0</v>
      </c>
      <c r="AB142" s="117" t="n">
        <f aca="false">SUMIFS(الريسبي!$C$2:$C$1800,الريسبي!$A$2:$A$1800,$A142,الريسبي!$B$2:$B$1800,AB$1)</f>
        <v>0</v>
      </c>
      <c r="AC142" s="117" t="n">
        <f aca="false">SUMIFS(الريسبي!$C$2:$C$1800,الريسبي!$A$2:$A$1800,$A142,الريسبي!$B$2:$B$1800,AC$1)</f>
        <v>0</v>
      </c>
      <c r="AD142" s="117" t="n">
        <f aca="false">SUMIFS(الريسبي!$C$2:$C$1800,الريسبي!$A$2:$A$1800,$A142,الريسبي!$B$2:$B$1800,AD$1)</f>
        <v>0</v>
      </c>
      <c r="AE142" s="117" t="n">
        <f aca="false">SUMIFS(الريسبي!$C$2:$C$1800,الريسبي!$A$2:$A$1800,$A142,الريسبي!$B$2:$B$1800,AE$1)</f>
        <v>0</v>
      </c>
      <c r="AF142" s="117" t="n">
        <f aca="false">SUMIFS(الريسبي!$C$2:$C$1800,الريسبي!$A$2:$A$1800,$A142,الريسبي!$B$2:$B$1800,AF$1)</f>
        <v>0</v>
      </c>
      <c r="AG142" s="117" t="n">
        <f aca="false">SUMIFS(الريسبي!$C$2:$C$1800,الريسبي!$A$2:$A$1800,$A142,الريسبي!$B$2:$B$1800,AG$1)</f>
        <v>0</v>
      </c>
      <c r="AH142" s="117" t="n">
        <f aca="false">SUMIFS(الريسبي!$C$2:$C$1800,الريسبي!$A$2:$A$1800,$A142,الريسبي!$B$2:$B$1800,AH$1)</f>
        <v>0</v>
      </c>
      <c r="AI142" s="117" t="n">
        <f aca="false">SUMIFS(الريسبي!$C$2:$C$1800,الريسبي!$A$2:$A$1800,$A142,الريسبي!$B$2:$B$1800,AI$1)</f>
        <v>0</v>
      </c>
      <c r="AJ142" s="117" t="n">
        <f aca="false">SUMIFS(الريسبي!$C$2:$C$1800,الريسبي!$A$2:$A$1800,$A142,الريسبي!$B$2:$B$1800,AJ$1)</f>
        <v>0</v>
      </c>
      <c r="AK142" s="117" t="n">
        <f aca="false">SUMIFS(الريسبي!$C$2:$C$1800,الريسبي!$A$2:$A$1800,$A142,الريسبي!$B$2:$B$1800,AK$1)</f>
        <v>0</v>
      </c>
      <c r="AL142" s="117" t="n">
        <f aca="false">SUMIFS(الريسبي!$C$2:$C$1800,الريسبي!$A$2:$A$1800,$A142,الريسبي!$B$2:$B$1800,AL$1)</f>
        <v>0</v>
      </c>
      <c r="AM142" s="117" t="n">
        <f aca="false">SUMIFS(الريسبي!$C$2:$C$1800,الريسبي!$A$2:$A$1800,$A142,الريسبي!$B$2:$B$1800,AM$1)+0.08333333333*SUMIFS(الريسبي!$C$2:$C$1800,الريسبي!$A$2:$A$1800,$A142,الريسبي!$B$2:$B$1800,"عجين كريب (مصنع بالمطعم)")+0.08333333333*SUMIFS(الريسبي!$C$2:$C$1800,الريسبي!$A$2:$A$1800,$A142,الريسبي!$B$2:$B$1800,"عجين كريب صيامي (بدون لبن)")</f>
        <v>0</v>
      </c>
      <c r="AN142" s="117" t="n">
        <f aca="false">SUMIFS(الريسبي!$C$2:$C$1800,الريسبي!$A$2:$A$1800,$A142,الريسبي!$B$2:$B$1800,AN$1)+0.004166666667*SUMIFS(الريسبي!$C$2:$C$1800,الريسبي!$A$2:$A$1800,$A142,الريسبي!$B$2:$B$1800,"عجين كريب (مصنع بالمطعم)")+0.004166666667*SUMIFS(الريسبي!$C$2:$C$1800,الريسبي!$A$2:$A$1800,$A142,الريسبي!$B$2:$B$1800,"عجين كريب صيامي (بدون لبن)")</f>
        <v>0</v>
      </c>
      <c r="AO142" s="117" t="n">
        <f aca="false">SUMIFS(الريسبي!$C$2:$C$1800,الريسبي!$A$2:$A$1800,$A142,الريسبي!$B$2:$B$1800,AO$1)</f>
        <v>0</v>
      </c>
      <c r="AP142" s="117" t="n">
        <f aca="false">SUMIFS(الريسبي!$C$2:$C$1800,الريسبي!$A$2:$A$1800,$A142,الريسبي!$B$2:$B$1800,AP$1)</f>
        <v>0</v>
      </c>
      <c r="AQ142" s="117" t="n">
        <f aca="false">SUMIFS(الريسبي!$C$2:$C$1800,الريسبي!$A$2:$A$1800,$A142,الريسبي!$B$2:$B$1800,AQ$1)+0.004166666667*SUMIFS(الريسبي!$C$2:$C$1800,الريسبي!$A$2:$A$1800,$A142,الريسبي!$B$2:$B$1800,"عجين كريب (مصنع بالمطعم)")+0.004166666667*SUMIFS(الريسبي!$C$2:$C$1800,الريسبي!$A$2:$A$1800,$A142,الريسبي!$B$2:$B$1800,"عجين كريب صيامي (بدون لبن)")</f>
        <v>0</v>
      </c>
      <c r="AR142" s="117" t="n">
        <f aca="false">SUMIFS(الريسبي!$C$2:$C$1800,الريسبي!$A$2:$A$1800,$A142,الريسبي!$B$2:$B$1800,AR$1)</f>
        <v>0</v>
      </c>
      <c r="AS142" s="117" t="n">
        <f aca="false">SUMIFS(الريسبي!$C$2:$C$1800,الريسبي!$A$2:$A$1800,$A142,الريسبي!$B$2:$B$1800,AS$1)</f>
        <v>0</v>
      </c>
      <c r="AT142" s="117" t="n">
        <f aca="false">SUMIFS(الريسبي!$C$2:$C$1800,الريسبي!$A$2:$A$1800,$A142,الريسبي!$B$2:$B$1800,AT$1)</f>
        <v>0</v>
      </c>
      <c r="AU142" s="117" t="n">
        <f aca="false">SUMIFS(الريسبي!$C$2:$C$1800,الريسبي!$A$2:$A$1800,$A142,الريسبي!$B$2:$B$1800,AU$1)</f>
        <v>0</v>
      </c>
      <c r="AV142" s="117" t="n">
        <f aca="false">SUMIFS(الريسبي!$C$2:$C$1800,الريسبي!$A$2:$A$1800,$A142,الريسبي!$B$2:$B$1800,AV$1)</f>
        <v>0</v>
      </c>
      <c r="AW142" s="117" t="n">
        <f aca="false">SUMIFS(الريسبي!$C$2:$C$1800,الريسبي!$A$2:$A$1800,$A142,الريسبي!$B$2:$B$1800,AW$1)</f>
        <v>0</v>
      </c>
      <c r="AX142" s="117" t="n">
        <f aca="false">SUMIFS(الريسبي!$C$2:$C$1800,الريسبي!$A$2:$A$1800,$A142,الريسبي!$B$2:$B$1800,AX$1)</f>
        <v>0</v>
      </c>
      <c r="AY142" s="117" t="n">
        <f aca="false">SUMIFS(الريسبي!$C$2:$C$1800,الريسبي!$A$2:$A$1800,$A142,الريسبي!$B$2:$B$1800,AY$1)</f>
        <v>0</v>
      </c>
      <c r="AZ142" s="117" t="n">
        <f aca="false">SUMIFS(الريسبي!$C$2:$C$1800,الريسبي!$A$2:$A$1800,$A142,الريسبي!$B$2:$B$1800,AZ$1)</f>
        <v>0</v>
      </c>
      <c r="BA142" s="117" t="n">
        <f aca="false">SUMIFS(الريسبي!$C$2:$C$1800,الريسبي!$A$2:$A$1800,$A142,الريسبي!$B$2:$B$1800,BA$1)</f>
        <v>0</v>
      </c>
      <c r="BB142" s="117" t="n">
        <f aca="false">SUMIFS(الريسبي!$C$2:$C$1800,الريسبي!$A$2:$A$1800,$A142,الريسبي!$B$2:$B$1800,BB$1)</f>
        <v>0</v>
      </c>
      <c r="BC142" s="117" t="n">
        <f aca="false">SUMIFS(الريسبي!$C$2:$C$1800,الريسبي!$A$2:$A$1800,$A142,الريسبي!$B$2:$B$1800,BC$1)</f>
        <v>0</v>
      </c>
      <c r="BD142" s="117" t="n">
        <f aca="false">SUMIFS(الريسبي!$C$2:$C$1800,الريسبي!$A$2:$A$1800,$A142,الريسبي!$B$2:$B$1800,BD$1)</f>
        <v>0</v>
      </c>
      <c r="BE142" s="117" t="n">
        <f aca="false">SUMIFS(الريسبي!$C$2:$C$1800,الريسبي!$A$2:$A$1800,$A142,الريسبي!$B$2:$B$1800,BE$1)</f>
        <v>0</v>
      </c>
      <c r="BF142" s="117" t="n">
        <f aca="false">SUMIFS(الريسبي!$C$2:$C$1800,الريسبي!$A$2:$A$1800,$A142,الريسبي!$B$2:$B$1800,BF$1)</f>
        <v>0</v>
      </c>
      <c r="BG142" s="117" t="n">
        <f aca="false">SUMIFS(الريسبي!$C$2:$C$1800,الريسبي!$A$2:$A$1800,$A142,الريسبي!$B$2:$B$1800,BG$1)</f>
        <v>0</v>
      </c>
      <c r="BH142" s="117" t="n">
        <f aca="false">SUMIFS(الريسبي!$C$2:$C$1800,الريسبي!$A$2:$A$1800,$A142,الريسبي!$B$2:$B$1800,BH$1)</f>
        <v>0</v>
      </c>
      <c r="BI142" s="117" t="n">
        <f aca="false">SUMIFS(الريسبي!$C$2:$C$1800,الريسبي!$A$2:$A$1800,$A142,الريسبي!$B$2:$B$1800,BI$1)</f>
        <v>0</v>
      </c>
      <c r="BJ142" s="117" t="n">
        <f aca="false">SUMIFS(الريسبي!$C$2:$C$1800,الريسبي!$A$2:$A$1800,$A142,الريسبي!$B$2:$B$1800,BJ$1)</f>
        <v>0</v>
      </c>
      <c r="BK142" s="117" t="n">
        <f aca="false">SUMIFS(الريسبي!$C$2:$C$1800,الريسبي!$A$2:$A$1800,$A142,الريسبي!$B$2:$B$1800,BK$1)</f>
        <v>0</v>
      </c>
      <c r="BL142" s="117" t="n">
        <f aca="false">SUMIFS(الريسبي!$C$2:$C$1800,الريسبي!$A$2:$A$1800,$A142,الريسبي!$B$2:$B$1800,BL$1)</f>
        <v>0</v>
      </c>
      <c r="BM142" s="117" t="n">
        <f aca="false">SUMIFS(الريسبي!$C$2:$C$1800,الريسبي!$A$2:$A$1800,$A142,الريسبي!$B$2:$B$1800,BM$1)</f>
        <v>0</v>
      </c>
      <c r="BN142" s="117" t="n">
        <f aca="false">SUMIFS(الريسبي!$C$2:$C$1800,الريسبي!$A$2:$A$1800,$A142,الريسبي!$B$2:$B$1800,BN$1)</f>
        <v>0</v>
      </c>
      <c r="BO142" s="117" t="n">
        <f aca="false">SUMIFS(الريسبي!$C$2:$C$1800,الريسبي!$A$2:$A$1800,$A142,الريسبي!$B$2:$B$1800,BO$1)</f>
        <v>0</v>
      </c>
      <c r="BP142" s="117" t="n">
        <f aca="false">SUMIFS(الريسبي!$C$2:$C$1800,الريسبي!$A$2:$A$1800,$A142,الريسبي!$B$2:$B$1800,BP$1)</f>
        <v>0</v>
      </c>
      <c r="BQ142" s="117" t="n">
        <f aca="false">SUMIFS(الريسبي!$C$2:$C$1800,الريسبي!$A$2:$A$1800,$A142,الريسبي!$B$2:$B$1800,BQ$1)+0.17*SUMIFS(الريسبي!$C$2:$C$1800,الريسبي!$A$2:$A$1800,$A142,الريسبي!$B$2:$B$1800,"كاسترد مصنع (خليط بودر + لبن)")+0.17*SUMIFS(الريسبي!$C$2:$C$1800,الريسبي!$A$2:$A$1800,$A142,الريسبي!$B$2:$B$1800,"كاسترد مصنع صيامي (بدون لبن)")</f>
        <v>0</v>
      </c>
      <c r="BR142" s="117" t="n">
        <f aca="false">SUMIFS(الريسبي!$C$2:$C$1800,الريسبي!$A$2:$A$1800,$A142,الريسبي!$B$2:$B$1800,BR$1)</f>
        <v>0</v>
      </c>
      <c r="BS142" s="117" t="n">
        <f aca="false">SUMIFS(الريسبي!$C$2:$C$1800,الريسبي!$A$2:$A$1800,$A142,الريسبي!$B$2:$B$1800,BS$1)</f>
        <v>0</v>
      </c>
      <c r="BT142" s="117" t="n">
        <f aca="false">SUMIFS(الريسبي!$C$2:$C$1800,الريسبي!$A$2:$A$1800,$A142,الريسبي!$B$2:$B$1800,BT$1)</f>
        <v>0</v>
      </c>
      <c r="BU142" s="117" t="n">
        <f aca="false">SUMIFS(الريسبي!$C$2:$C$1800,الريسبي!$A$2:$A$1800,$A142,الريسبي!$B$2:$B$1800,BU$1)+0.4*SUMIFS(الريسبي!$C$2:$C$1800,الريسبي!$A$2:$A$1800,$A142,الريسبي!$B$2:$B$1800,"كاسترد مصنع (خليط بودر + لبن)")+0.03333333333*SUMIFS(الريسبي!$C$2:$C$1800,الريسبي!$A$2:$A$1800,$A142,الريسبي!$B$2:$B$1800,"عجين كريب (مصنع بالمطعم)")</f>
        <v>0</v>
      </c>
      <c r="BV142" s="117" t="n">
        <f aca="false">SUMIFS(الريسبي!$C$2:$C$1800,الريسبي!$A$2:$A$1800,$A142,الريسبي!$B$2:$B$1800,BV$1)</f>
        <v>0</v>
      </c>
      <c r="BW142" s="117" t="n">
        <f aca="false">SUMIFS(الريسبي!$C$2:$C$1800,الريسبي!$A$2:$A$1800,$A142,الريسبي!$B$2:$B$1800,BW$1)</f>
        <v>0</v>
      </c>
      <c r="BX142" s="117" t="n">
        <f aca="false">SUMIFS(الريسبي!$C$2:$C$1800,الريسبي!$A$2:$A$1800,$A142,الريسبي!$B$2:$B$1800,BX$1)</f>
        <v>0</v>
      </c>
      <c r="BY142" s="117" t="n">
        <f aca="false">SUMIFS(الريسبي!$C$2:$C$1800,الريسبي!$A$2:$A$1800,$A142,الريسبي!$B$2:$B$1800,BY$1)</f>
        <v>0</v>
      </c>
      <c r="BZ142" s="117" t="n">
        <f aca="false">SUMIFS(الريسبي!$C$2:$C$1800,الريسبي!$A$2:$A$1800,$A142,الريسبي!$B$2:$B$1800,BZ$1)</f>
        <v>0</v>
      </c>
      <c r="CA142" s="117" t="n">
        <f aca="false">SUMIFS(الريسبي!$C$2:$C$1800,الريسبي!$A$2:$A$1800,$A142,الريسبي!$B$2:$B$1800,CA$1)</f>
        <v>0</v>
      </c>
      <c r="CB142" s="117" t="n">
        <f aca="false">SUMIFS(الريسبي!$C$2:$C$1800,الريسبي!$A$2:$A$1800,$A142,الريسبي!$B$2:$B$1800,CB$1)</f>
        <v>0</v>
      </c>
      <c r="CC142" s="117" t="n">
        <f aca="false">SUMIFS(الريسبي!$C$2:$C$1800,الريسبي!$A$2:$A$1800,$A142,الريسبي!$B$2:$B$1800,CC$1)</f>
        <v>0</v>
      </c>
      <c r="CD142" s="117" t="n">
        <f aca="false">SUMIFS(الريسبي!$C$2:$C$1800,الريسبي!$A$2:$A$1800,$A142,الريسبي!$B$2:$B$1800,CD$1)</f>
        <v>0</v>
      </c>
      <c r="CE142" s="117" t="n">
        <f aca="false">SUMIFS(الريسبي!$C$2:$C$1800,الريسبي!$A$2:$A$1800,$A142,الريسبي!$B$2:$B$1800,CE$1)</f>
        <v>0</v>
      </c>
      <c r="CF142" s="117" t="n">
        <f aca="false">SUMIFS(الريسبي!$C$2:$C$1800,الريسبي!$A$2:$A$1800,$A142,الريسبي!$B$2:$B$1800,CF$1)</f>
        <v>0</v>
      </c>
      <c r="CG142" s="117" t="n">
        <f aca="false">SUMIFS(الريسبي!$C$2:$C$1800,الريسبي!$A$2:$A$1800,$A142,الريسبي!$B$2:$B$1800,CG$1)</f>
        <v>0</v>
      </c>
      <c r="CH142" s="117" t="n">
        <f aca="false">SUMIFS(الريسبي!$C$2:$C$1800,الريسبي!$A$2:$A$1800,$A142,الريسبي!$B$2:$B$1800,CH$1)</f>
        <v>0</v>
      </c>
      <c r="CI142" s="117" t="n">
        <f aca="false">SUMIFS(الريسبي!$C$2:$C$1800,الريسبي!$A$2:$A$1800,$A142,الريسبي!$B$2:$B$1800,CI$1)</f>
        <v>0</v>
      </c>
      <c r="CJ142" s="117" t="n">
        <f aca="false">SUMIFS(الريسبي!$C$2:$C$1800,الريسبي!$A$2:$A$1800,$A142,الريسبي!$B$2:$B$1800,CJ$1)</f>
        <v>0</v>
      </c>
      <c r="CK142" s="117" t="n">
        <f aca="false">SUMIFS(الريسبي!$C$2:$C$1800,الريسبي!$A$2:$A$1800,$A142,الريسبي!$B$2:$B$1800,CK$1)</f>
        <v>0</v>
      </c>
      <c r="CL142" s="117" t="n">
        <f aca="false">SUMIFS(الريسبي!$C$2:$C$1800,الريسبي!$A$2:$A$1800,$A142,الريسبي!$B$2:$B$1800,CL$1)</f>
        <v>0</v>
      </c>
    </row>
    <row r="143" customFormat="false" ht="15" hidden="false" customHeight="false" outlineLevel="0" collapsed="false">
      <c r="A143" s="116" t="str">
        <f aca="false">المنيو!B143</f>
        <v>اضافة مفروم (فطير وسط)</v>
      </c>
      <c r="B143" s="117" t="n">
        <f aca="false">SUMIFS(الريسبي!$C$2:$C$1800,الريسبي!$A$2:$A$1800,$A143,الريسبي!$B$2:$B$1800,B$1)</f>
        <v>0</v>
      </c>
      <c r="C143" s="117" t="n">
        <f aca="false">SUMIFS(الريسبي!$C$2:$C$1800,الريسبي!$A$2:$A$1800,$A143,الريسبي!$B$2:$B$1800,C$1)</f>
        <v>0</v>
      </c>
      <c r="D143" s="117" t="n">
        <f aca="false">SUMIFS(الريسبي!$C$2:$C$1800,الريسبي!$A$2:$A$1800,$A143,الريسبي!$B$2:$B$1800,D$1)</f>
        <v>0</v>
      </c>
      <c r="E143" s="117" t="n">
        <f aca="false">SUMIFS(الريسبي!$C$2:$C$1800,الريسبي!$A$2:$A$1800,$A143,الريسبي!$B$2:$B$1800,E$1)</f>
        <v>0</v>
      </c>
      <c r="F143" s="117" t="n">
        <f aca="false">SUMIFS(الريسبي!$C$2:$C$1800,الريسبي!$A$2:$A$1800,$A143,الريسبي!$B$2:$B$1800,F$1)</f>
        <v>0</v>
      </c>
      <c r="G143" s="117" t="n">
        <f aca="false">SUMIFS(الريسبي!$C$2:$C$1800,الريسبي!$A$2:$A$1800,$A143,الريسبي!$B$2:$B$1800,G$1)</f>
        <v>0</v>
      </c>
      <c r="H143" s="117" t="n">
        <f aca="false">SUMIFS(الريسبي!$C$2:$C$1800,الريسبي!$A$2:$A$1800,$A143,الريسبي!$B$2:$B$1800,H$1)</f>
        <v>0</v>
      </c>
      <c r="I143" s="117" t="n">
        <f aca="false">SUMIFS(الريسبي!$C$2:$C$1800,الريسبي!$A$2:$A$1800,$A143,الريسبي!$B$2:$B$1800,I$1)</f>
        <v>0</v>
      </c>
      <c r="J143" s="117" t="n">
        <f aca="false">SUMIFS(الريسبي!$C$2:$C$1800,الريسبي!$A$2:$A$1800,$A143,الريسبي!$B$2:$B$1800,J$1)</f>
        <v>0</v>
      </c>
      <c r="K143" s="117" t="n">
        <f aca="false">SUMIFS(الريسبي!$C$2:$C$1800,الريسبي!$A$2:$A$1800,$A143,الريسبي!$B$2:$B$1800,K$1)</f>
        <v>0</v>
      </c>
      <c r="L143" s="117" t="n">
        <f aca="false">SUMIFS(الريسبي!$C$2:$C$1800,الريسبي!$A$2:$A$1800,$A143,الريسبي!$B$2:$B$1800,L$1)</f>
        <v>0</v>
      </c>
      <c r="M143" s="117" t="n">
        <f aca="false">SUMIFS(الريسبي!$C$2:$C$1800,الريسبي!$A$2:$A$1800,$A143,الريسبي!$B$2:$B$1800,M$1)</f>
        <v>0</v>
      </c>
      <c r="N143" s="117" t="n">
        <f aca="false">SUMIFS(الريسبي!$C$2:$C$1800,الريسبي!$A$2:$A$1800,$A143,الريسبي!$B$2:$B$1800,N$1)</f>
        <v>0</v>
      </c>
      <c r="O143" s="117" t="n">
        <f aca="false">SUMIFS(الريسبي!$C$2:$C$1800,الريسبي!$A$2:$A$1800,$A143,الريسبي!$B$2:$B$1800,O$1)</f>
        <v>0</v>
      </c>
      <c r="P143" s="117" t="n">
        <f aca="false">SUMIFS(الريسبي!$C$2:$C$1800,الريسبي!$A$2:$A$1800,$A143,الريسبي!$B$2:$B$1800,P$1)</f>
        <v>0</v>
      </c>
      <c r="Q143" s="117" t="n">
        <f aca="false">SUMIFS(الريسبي!$C$2:$C$1800,الريسبي!$A$2:$A$1800,$A143,الريسبي!$B$2:$B$1800,Q$1)</f>
        <v>0</v>
      </c>
      <c r="R143" s="117" t="n">
        <f aca="false">SUMIFS(الريسبي!$C$2:$C$1800,الريسبي!$A$2:$A$1800,$A143,الريسبي!$B$2:$B$1800,R$1)</f>
        <v>0</v>
      </c>
      <c r="S143" s="117" t="n">
        <f aca="false">SUMIFS(الريسبي!$C$2:$C$1800,الريسبي!$A$2:$A$1800,$A143,الريسبي!$B$2:$B$1800,S$1)</f>
        <v>0</v>
      </c>
      <c r="T143" s="117" t="n">
        <f aca="false">SUMIFS(الريسبي!$C$2:$C$1800,الريسبي!$A$2:$A$1800,$A143,الريسبي!$B$2:$B$1800,T$1)</f>
        <v>1</v>
      </c>
      <c r="U143" s="117" t="n">
        <f aca="false">SUMIFS(الريسبي!$C$2:$C$1800,الريسبي!$A$2:$A$1800,$A143,الريسبي!$B$2:$B$1800,U$1)</f>
        <v>0</v>
      </c>
      <c r="V143" s="117" t="n">
        <f aca="false">SUMIFS(الريسبي!$C$2:$C$1800,الريسبي!$A$2:$A$1800,$A143,الريسبي!$B$2:$B$1800,V$1)+1.5*(SUMIFS(الريسبي!$C$2:$C$1800,الريسبي!$A$2:$A$1800,$A143,الريسبي!$B$2:$B$1800,"برسيون موتزريلا بيتزا كبير"))</f>
        <v>0</v>
      </c>
      <c r="W143" s="117" t="n">
        <f aca="false">0</f>
        <v>0</v>
      </c>
      <c r="X143" s="117" t="n">
        <f aca="false">SUMIFS(الريسبي!$C$2:$C$1800,الريسبي!$A$2:$A$1800,$A143,الريسبي!$B$2:$B$1800,X$1)+1.5*(SUMIFS(الريسبي!$C$2:$C$1800,الريسبي!$A$2:$A$1800,$A143,الريسبي!$B$2:$B$1800,"برسيون موتزريلا فطير كبير"))</f>
        <v>0</v>
      </c>
      <c r="Y143" s="117" t="n">
        <f aca="false">0</f>
        <v>0</v>
      </c>
      <c r="Z143" s="117" t="n">
        <f aca="false">SUMIFS(الريسبي!$C$2:$C$1800,الريسبي!$A$2:$A$1800,$A143,الريسبي!$B$2:$B$1800,Z$1)</f>
        <v>0</v>
      </c>
      <c r="AA143" s="117" t="n">
        <f aca="false">SUMIFS(الريسبي!$C$2:$C$1800,الريسبي!$A$2:$A$1800,$A143,الريسبي!$B$2:$B$1800,AA$1)</f>
        <v>0</v>
      </c>
      <c r="AB143" s="117" t="n">
        <f aca="false">SUMIFS(الريسبي!$C$2:$C$1800,الريسبي!$A$2:$A$1800,$A143,الريسبي!$B$2:$B$1800,AB$1)</f>
        <v>0</v>
      </c>
      <c r="AC143" s="117" t="n">
        <f aca="false">SUMIFS(الريسبي!$C$2:$C$1800,الريسبي!$A$2:$A$1800,$A143,الريسبي!$B$2:$B$1800,AC$1)</f>
        <v>0</v>
      </c>
      <c r="AD143" s="117" t="n">
        <f aca="false">SUMIFS(الريسبي!$C$2:$C$1800,الريسبي!$A$2:$A$1800,$A143,الريسبي!$B$2:$B$1800,AD$1)</f>
        <v>0</v>
      </c>
      <c r="AE143" s="117" t="n">
        <f aca="false">SUMIFS(الريسبي!$C$2:$C$1800,الريسبي!$A$2:$A$1800,$A143,الريسبي!$B$2:$B$1800,AE$1)</f>
        <v>0</v>
      </c>
      <c r="AF143" s="117" t="n">
        <f aca="false">SUMIFS(الريسبي!$C$2:$C$1800,الريسبي!$A$2:$A$1800,$A143,الريسبي!$B$2:$B$1800,AF$1)</f>
        <v>0</v>
      </c>
      <c r="AG143" s="117" t="n">
        <f aca="false">SUMIFS(الريسبي!$C$2:$C$1800,الريسبي!$A$2:$A$1800,$A143,الريسبي!$B$2:$B$1800,AG$1)</f>
        <v>0</v>
      </c>
      <c r="AH143" s="117" t="n">
        <f aca="false">SUMIFS(الريسبي!$C$2:$C$1800,الريسبي!$A$2:$A$1800,$A143,الريسبي!$B$2:$B$1800,AH$1)</f>
        <v>0</v>
      </c>
      <c r="AI143" s="117" t="n">
        <f aca="false">SUMIFS(الريسبي!$C$2:$C$1800,الريسبي!$A$2:$A$1800,$A143,الريسبي!$B$2:$B$1800,AI$1)</f>
        <v>0</v>
      </c>
      <c r="AJ143" s="117" t="n">
        <f aca="false">SUMIFS(الريسبي!$C$2:$C$1800,الريسبي!$A$2:$A$1800,$A143,الريسبي!$B$2:$B$1800,AJ$1)</f>
        <v>0</v>
      </c>
      <c r="AK143" s="117" t="n">
        <f aca="false">SUMIFS(الريسبي!$C$2:$C$1800,الريسبي!$A$2:$A$1800,$A143,الريسبي!$B$2:$B$1800,AK$1)</f>
        <v>0</v>
      </c>
      <c r="AL143" s="117" t="n">
        <f aca="false">SUMIFS(الريسبي!$C$2:$C$1800,الريسبي!$A$2:$A$1800,$A143,الريسبي!$B$2:$B$1800,AL$1)</f>
        <v>0</v>
      </c>
      <c r="AM143" s="117" t="n">
        <f aca="false">SUMIFS(الريسبي!$C$2:$C$1800,الريسبي!$A$2:$A$1800,$A143,الريسبي!$B$2:$B$1800,AM$1)+0.08333333333*SUMIFS(الريسبي!$C$2:$C$1800,الريسبي!$A$2:$A$1800,$A143,الريسبي!$B$2:$B$1800,"عجين كريب (مصنع بالمطعم)")+0.08333333333*SUMIFS(الريسبي!$C$2:$C$1800,الريسبي!$A$2:$A$1800,$A143,الريسبي!$B$2:$B$1800,"عجين كريب صيامي (بدون لبن)")</f>
        <v>0</v>
      </c>
      <c r="AN143" s="117" t="n">
        <f aca="false">SUMIFS(الريسبي!$C$2:$C$1800,الريسبي!$A$2:$A$1800,$A143,الريسبي!$B$2:$B$1800,AN$1)+0.004166666667*SUMIFS(الريسبي!$C$2:$C$1800,الريسبي!$A$2:$A$1800,$A143,الريسبي!$B$2:$B$1800,"عجين كريب (مصنع بالمطعم)")+0.004166666667*SUMIFS(الريسبي!$C$2:$C$1800,الريسبي!$A$2:$A$1800,$A143,الريسبي!$B$2:$B$1800,"عجين كريب صيامي (بدون لبن)")</f>
        <v>0</v>
      </c>
      <c r="AO143" s="117" t="n">
        <f aca="false">SUMIFS(الريسبي!$C$2:$C$1800,الريسبي!$A$2:$A$1800,$A143,الريسبي!$B$2:$B$1800,AO$1)</f>
        <v>0</v>
      </c>
      <c r="AP143" s="117" t="n">
        <f aca="false">SUMIFS(الريسبي!$C$2:$C$1800,الريسبي!$A$2:$A$1800,$A143,الريسبي!$B$2:$B$1800,AP$1)</f>
        <v>0</v>
      </c>
      <c r="AQ143" s="117" t="n">
        <f aca="false">SUMIFS(الريسبي!$C$2:$C$1800,الريسبي!$A$2:$A$1800,$A143,الريسبي!$B$2:$B$1800,AQ$1)+0.004166666667*SUMIFS(الريسبي!$C$2:$C$1800,الريسبي!$A$2:$A$1800,$A143,الريسبي!$B$2:$B$1800,"عجين كريب (مصنع بالمطعم)")+0.004166666667*SUMIFS(الريسبي!$C$2:$C$1800,الريسبي!$A$2:$A$1800,$A143,الريسبي!$B$2:$B$1800,"عجين كريب صيامي (بدون لبن)")</f>
        <v>0</v>
      </c>
      <c r="AR143" s="117" t="n">
        <f aca="false">SUMIFS(الريسبي!$C$2:$C$1800,الريسبي!$A$2:$A$1800,$A143,الريسبي!$B$2:$B$1800,AR$1)</f>
        <v>0</v>
      </c>
      <c r="AS143" s="117" t="n">
        <f aca="false">SUMIFS(الريسبي!$C$2:$C$1800,الريسبي!$A$2:$A$1800,$A143,الريسبي!$B$2:$B$1800,AS$1)</f>
        <v>0</v>
      </c>
      <c r="AT143" s="117" t="n">
        <f aca="false">SUMIFS(الريسبي!$C$2:$C$1800,الريسبي!$A$2:$A$1800,$A143,الريسبي!$B$2:$B$1800,AT$1)</f>
        <v>0</v>
      </c>
      <c r="AU143" s="117" t="n">
        <f aca="false">SUMIFS(الريسبي!$C$2:$C$1800,الريسبي!$A$2:$A$1800,$A143,الريسبي!$B$2:$B$1800,AU$1)</f>
        <v>0</v>
      </c>
      <c r="AV143" s="117" t="n">
        <f aca="false">SUMIFS(الريسبي!$C$2:$C$1800,الريسبي!$A$2:$A$1800,$A143,الريسبي!$B$2:$B$1800,AV$1)</f>
        <v>0</v>
      </c>
      <c r="AW143" s="117" t="n">
        <f aca="false">SUMIFS(الريسبي!$C$2:$C$1800,الريسبي!$A$2:$A$1800,$A143,الريسبي!$B$2:$B$1800,AW$1)</f>
        <v>0</v>
      </c>
      <c r="AX143" s="117" t="n">
        <f aca="false">SUMIFS(الريسبي!$C$2:$C$1800,الريسبي!$A$2:$A$1800,$A143,الريسبي!$B$2:$B$1800,AX$1)</f>
        <v>0</v>
      </c>
      <c r="AY143" s="117" t="n">
        <f aca="false">SUMIFS(الريسبي!$C$2:$C$1800,الريسبي!$A$2:$A$1800,$A143,الريسبي!$B$2:$B$1800,AY$1)</f>
        <v>0</v>
      </c>
      <c r="AZ143" s="117" t="n">
        <f aca="false">SUMIFS(الريسبي!$C$2:$C$1800,الريسبي!$A$2:$A$1800,$A143,الريسبي!$B$2:$B$1800,AZ$1)</f>
        <v>0</v>
      </c>
      <c r="BA143" s="117" t="n">
        <f aca="false">SUMIFS(الريسبي!$C$2:$C$1800,الريسبي!$A$2:$A$1800,$A143,الريسبي!$B$2:$B$1800,BA$1)</f>
        <v>0</v>
      </c>
      <c r="BB143" s="117" t="n">
        <f aca="false">SUMIFS(الريسبي!$C$2:$C$1800,الريسبي!$A$2:$A$1800,$A143,الريسبي!$B$2:$B$1800,BB$1)</f>
        <v>0</v>
      </c>
      <c r="BC143" s="117" t="n">
        <f aca="false">SUMIFS(الريسبي!$C$2:$C$1800,الريسبي!$A$2:$A$1800,$A143,الريسبي!$B$2:$B$1800,BC$1)</f>
        <v>0</v>
      </c>
      <c r="BD143" s="117" t="n">
        <f aca="false">SUMIFS(الريسبي!$C$2:$C$1800,الريسبي!$A$2:$A$1800,$A143,الريسبي!$B$2:$B$1800,BD$1)</f>
        <v>0</v>
      </c>
      <c r="BE143" s="117" t="n">
        <f aca="false">SUMIFS(الريسبي!$C$2:$C$1800,الريسبي!$A$2:$A$1800,$A143,الريسبي!$B$2:$B$1800,BE$1)</f>
        <v>0</v>
      </c>
      <c r="BF143" s="117" t="n">
        <f aca="false">SUMIFS(الريسبي!$C$2:$C$1800,الريسبي!$A$2:$A$1800,$A143,الريسبي!$B$2:$B$1800,BF$1)</f>
        <v>0</v>
      </c>
      <c r="BG143" s="117" t="n">
        <f aca="false">SUMIFS(الريسبي!$C$2:$C$1800,الريسبي!$A$2:$A$1800,$A143,الريسبي!$B$2:$B$1800,BG$1)</f>
        <v>0</v>
      </c>
      <c r="BH143" s="117" t="n">
        <f aca="false">SUMIFS(الريسبي!$C$2:$C$1800,الريسبي!$A$2:$A$1800,$A143,الريسبي!$B$2:$B$1800,BH$1)</f>
        <v>0</v>
      </c>
      <c r="BI143" s="117" t="n">
        <f aca="false">SUMIFS(الريسبي!$C$2:$C$1800,الريسبي!$A$2:$A$1800,$A143,الريسبي!$B$2:$B$1800,BI$1)</f>
        <v>0</v>
      </c>
      <c r="BJ143" s="117" t="n">
        <f aca="false">SUMIFS(الريسبي!$C$2:$C$1800,الريسبي!$A$2:$A$1800,$A143,الريسبي!$B$2:$B$1800,BJ$1)</f>
        <v>0</v>
      </c>
      <c r="BK143" s="117" t="n">
        <f aca="false">SUMIFS(الريسبي!$C$2:$C$1800,الريسبي!$A$2:$A$1800,$A143,الريسبي!$B$2:$B$1800,BK$1)</f>
        <v>0</v>
      </c>
      <c r="BL143" s="117" t="n">
        <f aca="false">SUMIFS(الريسبي!$C$2:$C$1800,الريسبي!$A$2:$A$1800,$A143,الريسبي!$B$2:$B$1800,BL$1)</f>
        <v>0</v>
      </c>
      <c r="BM143" s="117" t="n">
        <f aca="false">SUMIFS(الريسبي!$C$2:$C$1800,الريسبي!$A$2:$A$1800,$A143,الريسبي!$B$2:$B$1800,BM$1)</f>
        <v>0</v>
      </c>
      <c r="BN143" s="117" t="n">
        <f aca="false">SUMIFS(الريسبي!$C$2:$C$1800,الريسبي!$A$2:$A$1800,$A143,الريسبي!$B$2:$B$1800,BN$1)</f>
        <v>0</v>
      </c>
      <c r="BO143" s="117" t="n">
        <f aca="false">SUMIFS(الريسبي!$C$2:$C$1800,الريسبي!$A$2:$A$1800,$A143,الريسبي!$B$2:$B$1800,BO$1)</f>
        <v>0</v>
      </c>
      <c r="BP143" s="117" t="n">
        <f aca="false">SUMIFS(الريسبي!$C$2:$C$1800,الريسبي!$A$2:$A$1800,$A143,الريسبي!$B$2:$B$1800,BP$1)</f>
        <v>0</v>
      </c>
      <c r="BQ143" s="117" t="n">
        <f aca="false">SUMIFS(الريسبي!$C$2:$C$1800,الريسبي!$A$2:$A$1800,$A143,الريسبي!$B$2:$B$1800,BQ$1)+0.17*SUMIFS(الريسبي!$C$2:$C$1800,الريسبي!$A$2:$A$1800,$A143,الريسبي!$B$2:$B$1800,"كاسترد مصنع (خليط بودر + لبن)")+0.17*SUMIFS(الريسبي!$C$2:$C$1800,الريسبي!$A$2:$A$1800,$A143,الريسبي!$B$2:$B$1800,"كاسترد مصنع صيامي (بدون لبن)")</f>
        <v>0</v>
      </c>
      <c r="BR143" s="117" t="n">
        <f aca="false">SUMIFS(الريسبي!$C$2:$C$1800,الريسبي!$A$2:$A$1800,$A143,الريسبي!$B$2:$B$1800,BR$1)</f>
        <v>0</v>
      </c>
      <c r="BS143" s="117" t="n">
        <f aca="false">SUMIFS(الريسبي!$C$2:$C$1800,الريسبي!$A$2:$A$1800,$A143,الريسبي!$B$2:$B$1800,BS$1)</f>
        <v>0</v>
      </c>
      <c r="BT143" s="117" t="n">
        <f aca="false">SUMIFS(الريسبي!$C$2:$C$1800,الريسبي!$A$2:$A$1800,$A143,الريسبي!$B$2:$B$1800,BT$1)</f>
        <v>0</v>
      </c>
      <c r="BU143" s="117" t="n">
        <f aca="false">SUMIFS(الريسبي!$C$2:$C$1800,الريسبي!$A$2:$A$1800,$A143,الريسبي!$B$2:$B$1800,BU$1)+0.4*SUMIFS(الريسبي!$C$2:$C$1800,الريسبي!$A$2:$A$1800,$A143,الريسبي!$B$2:$B$1800,"كاسترد مصنع (خليط بودر + لبن)")+0.03333333333*SUMIFS(الريسبي!$C$2:$C$1800,الريسبي!$A$2:$A$1800,$A143,الريسبي!$B$2:$B$1800,"عجين كريب (مصنع بالمطعم)")</f>
        <v>0</v>
      </c>
      <c r="BV143" s="117" t="n">
        <f aca="false">SUMIFS(الريسبي!$C$2:$C$1800,الريسبي!$A$2:$A$1800,$A143,الريسبي!$B$2:$B$1800,BV$1)</f>
        <v>0</v>
      </c>
      <c r="BW143" s="117" t="n">
        <f aca="false">SUMIFS(الريسبي!$C$2:$C$1800,الريسبي!$A$2:$A$1800,$A143,الريسبي!$B$2:$B$1800,BW$1)</f>
        <v>0</v>
      </c>
      <c r="BX143" s="117" t="n">
        <f aca="false">SUMIFS(الريسبي!$C$2:$C$1800,الريسبي!$A$2:$A$1800,$A143,الريسبي!$B$2:$B$1800,BX$1)</f>
        <v>0</v>
      </c>
      <c r="BY143" s="117" t="n">
        <f aca="false">SUMIFS(الريسبي!$C$2:$C$1800,الريسبي!$A$2:$A$1800,$A143,الريسبي!$B$2:$B$1800,BY$1)</f>
        <v>0</v>
      </c>
      <c r="BZ143" s="117" t="n">
        <f aca="false">SUMIFS(الريسبي!$C$2:$C$1800,الريسبي!$A$2:$A$1800,$A143,الريسبي!$B$2:$B$1800,BZ$1)</f>
        <v>0</v>
      </c>
      <c r="CA143" s="117" t="n">
        <f aca="false">SUMIFS(الريسبي!$C$2:$C$1800,الريسبي!$A$2:$A$1800,$A143,الريسبي!$B$2:$B$1800,CA$1)</f>
        <v>0</v>
      </c>
      <c r="CB143" s="117" t="n">
        <f aca="false">SUMIFS(الريسبي!$C$2:$C$1800,الريسبي!$A$2:$A$1800,$A143,الريسبي!$B$2:$B$1800,CB$1)</f>
        <v>0</v>
      </c>
      <c r="CC143" s="117" t="n">
        <f aca="false">SUMIFS(الريسبي!$C$2:$C$1800,الريسبي!$A$2:$A$1800,$A143,الريسبي!$B$2:$B$1800,CC$1)</f>
        <v>0</v>
      </c>
      <c r="CD143" s="117" t="n">
        <f aca="false">SUMIFS(الريسبي!$C$2:$C$1800,الريسبي!$A$2:$A$1800,$A143,الريسبي!$B$2:$B$1800,CD$1)</f>
        <v>0</v>
      </c>
      <c r="CE143" s="117" t="n">
        <f aca="false">SUMIFS(الريسبي!$C$2:$C$1800,الريسبي!$A$2:$A$1800,$A143,الريسبي!$B$2:$B$1800,CE$1)</f>
        <v>0</v>
      </c>
      <c r="CF143" s="117" t="n">
        <f aca="false">SUMIFS(الريسبي!$C$2:$C$1800,الريسبي!$A$2:$A$1800,$A143,الريسبي!$B$2:$B$1800,CF$1)</f>
        <v>0</v>
      </c>
      <c r="CG143" s="117" t="n">
        <f aca="false">SUMIFS(الريسبي!$C$2:$C$1800,الريسبي!$A$2:$A$1800,$A143,الريسبي!$B$2:$B$1800,CG$1)</f>
        <v>0</v>
      </c>
      <c r="CH143" s="117" t="n">
        <f aca="false">SUMIFS(الريسبي!$C$2:$C$1800,الريسبي!$A$2:$A$1800,$A143,الريسبي!$B$2:$B$1800,CH$1)</f>
        <v>0</v>
      </c>
      <c r="CI143" s="117" t="n">
        <f aca="false">SUMIFS(الريسبي!$C$2:$C$1800,الريسبي!$A$2:$A$1800,$A143,الريسبي!$B$2:$B$1800,CI$1)</f>
        <v>0</v>
      </c>
      <c r="CJ143" s="117" t="n">
        <f aca="false">SUMIFS(الريسبي!$C$2:$C$1800,الريسبي!$A$2:$A$1800,$A143,الريسبي!$B$2:$B$1800,CJ$1)</f>
        <v>0</v>
      </c>
      <c r="CK143" s="117" t="n">
        <f aca="false">SUMIFS(الريسبي!$C$2:$C$1800,الريسبي!$A$2:$A$1800,$A143,الريسبي!$B$2:$B$1800,CK$1)</f>
        <v>0</v>
      </c>
      <c r="CL143" s="117" t="n">
        <f aca="false">SUMIFS(الريسبي!$C$2:$C$1800,الريسبي!$A$2:$A$1800,$A143,الريسبي!$B$2:$B$1800,CL$1)</f>
        <v>0</v>
      </c>
    </row>
    <row r="144" customFormat="false" ht="15" hidden="false" customHeight="false" outlineLevel="0" collapsed="false">
      <c r="A144" s="116" t="str">
        <f aca="false">المنيو!B144</f>
        <v>اضافة سدق (بيتزا وسط)</v>
      </c>
      <c r="B144" s="117" t="n">
        <f aca="false">SUMIFS(الريسبي!$C$2:$C$1800,الريسبي!$A$2:$A$1800,$A144,الريسبي!$B$2:$B$1800,B$1)</f>
        <v>0</v>
      </c>
      <c r="C144" s="117" t="n">
        <f aca="false">SUMIFS(الريسبي!$C$2:$C$1800,الريسبي!$A$2:$A$1800,$A144,الريسبي!$B$2:$B$1800,C$1)</f>
        <v>0</v>
      </c>
      <c r="D144" s="117" t="n">
        <f aca="false">SUMIFS(الريسبي!$C$2:$C$1800,الريسبي!$A$2:$A$1800,$A144,الريسبي!$B$2:$B$1800,D$1)</f>
        <v>0</v>
      </c>
      <c r="E144" s="117" t="n">
        <f aca="false">SUMIFS(الريسبي!$C$2:$C$1800,الريسبي!$A$2:$A$1800,$A144,الريسبي!$B$2:$B$1800,E$1)</f>
        <v>0</v>
      </c>
      <c r="F144" s="117" t="n">
        <f aca="false">SUMIFS(الريسبي!$C$2:$C$1800,الريسبي!$A$2:$A$1800,$A144,الريسبي!$B$2:$B$1800,F$1)</f>
        <v>0</v>
      </c>
      <c r="G144" s="117" t="n">
        <f aca="false">SUMIFS(الريسبي!$C$2:$C$1800,الريسبي!$A$2:$A$1800,$A144,الريسبي!$B$2:$B$1800,G$1)</f>
        <v>0</v>
      </c>
      <c r="H144" s="117" t="n">
        <f aca="false">SUMIFS(الريسبي!$C$2:$C$1800,الريسبي!$A$2:$A$1800,$A144,الريسبي!$B$2:$B$1800,H$1)</f>
        <v>0</v>
      </c>
      <c r="I144" s="117" t="n">
        <f aca="false">SUMIFS(الريسبي!$C$2:$C$1800,الريسبي!$A$2:$A$1800,$A144,الريسبي!$B$2:$B$1800,I$1)</f>
        <v>0</v>
      </c>
      <c r="J144" s="117" t="n">
        <f aca="false">SUMIFS(الريسبي!$C$2:$C$1800,الريسبي!$A$2:$A$1800,$A144,الريسبي!$B$2:$B$1800,J$1)</f>
        <v>0</v>
      </c>
      <c r="K144" s="117" t="n">
        <f aca="false">SUMIFS(الريسبي!$C$2:$C$1800,الريسبي!$A$2:$A$1800,$A144,الريسبي!$B$2:$B$1800,K$1)</f>
        <v>0</v>
      </c>
      <c r="L144" s="117" t="n">
        <f aca="false">SUMIFS(الريسبي!$C$2:$C$1800,الريسبي!$A$2:$A$1800,$A144,الريسبي!$B$2:$B$1800,L$1)</f>
        <v>1</v>
      </c>
      <c r="M144" s="117" t="n">
        <f aca="false">SUMIFS(الريسبي!$C$2:$C$1800,الريسبي!$A$2:$A$1800,$A144,الريسبي!$B$2:$B$1800,M$1)</f>
        <v>0</v>
      </c>
      <c r="N144" s="117" t="n">
        <f aca="false">SUMIFS(الريسبي!$C$2:$C$1800,الريسبي!$A$2:$A$1800,$A144,الريسبي!$B$2:$B$1800,N$1)</f>
        <v>0</v>
      </c>
      <c r="O144" s="117" t="n">
        <f aca="false">SUMIFS(الريسبي!$C$2:$C$1800,الريسبي!$A$2:$A$1800,$A144,الريسبي!$B$2:$B$1800,O$1)</f>
        <v>0</v>
      </c>
      <c r="P144" s="117" t="n">
        <f aca="false">SUMIFS(الريسبي!$C$2:$C$1800,الريسبي!$A$2:$A$1800,$A144,الريسبي!$B$2:$B$1800,P$1)</f>
        <v>0</v>
      </c>
      <c r="Q144" s="117" t="n">
        <f aca="false">SUMIFS(الريسبي!$C$2:$C$1800,الريسبي!$A$2:$A$1800,$A144,الريسبي!$B$2:$B$1800,Q$1)</f>
        <v>0</v>
      </c>
      <c r="R144" s="117" t="n">
        <f aca="false">SUMIFS(الريسبي!$C$2:$C$1800,الريسبي!$A$2:$A$1800,$A144,الريسبي!$B$2:$B$1800,R$1)</f>
        <v>0</v>
      </c>
      <c r="S144" s="117" t="n">
        <f aca="false">SUMIFS(الريسبي!$C$2:$C$1800,الريسبي!$A$2:$A$1800,$A144,الريسبي!$B$2:$B$1800,S$1)</f>
        <v>0</v>
      </c>
      <c r="T144" s="117" t="n">
        <f aca="false">SUMIFS(الريسبي!$C$2:$C$1800,الريسبي!$A$2:$A$1800,$A144,الريسبي!$B$2:$B$1800,T$1)</f>
        <v>0</v>
      </c>
      <c r="U144" s="117" t="n">
        <f aca="false">SUMIFS(الريسبي!$C$2:$C$1800,الريسبي!$A$2:$A$1800,$A144,الريسبي!$B$2:$B$1800,U$1)</f>
        <v>0</v>
      </c>
      <c r="V144" s="117" t="n">
        <f aca="false">SUMIFS(الريسبي!$C$2:$C$1800,الريسبي!$A$2:$A$1800,$A144,الريسبي!$B$2:$B$1800,V$1)+1.5*(SUMIFS(الريسبي!$C$2:$C$1800,الريسبي!$A$2:$A$1800,$A144,الريسبي!$B$2:$B$1800,"برسيون موتزريلا بيتزا كبير"))</f>
        <v>0</v>
      </c>
      <c r="W144" s="117" t="n">
        <f aca="false">0</f>
        <v>0</v>
      </c>
      <c r="X144" s="117" t="n">
        <f aca="false">SUMIFS(الريسبي!$C$2:$C$1800,الريسبي!$A$2:$A$1800,$A144,الريسبي!$B$2:$B$1800,X$1)+1.5*(SUMIFS(الريسبي!$C$2:$C$1800,الريسبي!$A$2:$A$1800,$A144,الريسبي!$B$2:$B$1800,"برسيون موتزريلا فطير كبير"))</f>
        <v>0</v>
      </c>
      <c r="Y144" s="117" t="n">
        <f aca="false">0</f>
        <v>0</v>
      </c>
      <c r="Z144" s="117" t="n">
        <f aca="false">SUMIFS(الريسبي!$C$2:$C$1800,الريسبي!$A$2:$A$1800,$A144,الريسبي!$B$2:$B$1800,Z$1)</f>
        <v>0</v>
      </c>
      <c r="AA144" s="117" t="n">
        <f aca="false">SUMIFS(الريسبي!$C$2:$C$1800,الريسبي!$A$2:$A$1800,$A144,الريسبي!$B$2:$B$1800,AA$1)</f>
        <v>0</v>
      </c>
      <c r="AB144" s="117" t="n">
        <f aca="false">SUMIFS(الريسبي!$C$2:$C$1800,الريسبي!$A$2:$A$1800,$A144,الريسبي!$B$2:$B$1800,AB$1)</f>
        <v>0</v>
      </c>
      <c r="AC144" s="117" t="n">
        <f aca="false">SUMIFS(الريسبي!$C$2:$C$1800,الريسبي!$A$2:$A$1800,$A144,الريسبي!$B$2:$B$1800,AC$1)</f>
        <v>0</v>
      </c>
      <c r="AD144" s="117" t="n">
        <f aca="false">SUMIFS(الريسبي!$C$2:$C$1800,الريسبي!$A$2:$A$1800,$A144,الريسبي!$B$2:$B$1800,AD$1)</f>
        <v>0</v>
      </c>
      <c r="AE144" s="117" t="n">
        <f aca="false">SUMIFS(الريسبي!$C$2:$C$1800,الريسبي!$A$2:$A$1800,$A144,الريسبي!$B$2:$B$1800,AE$1)</f>
        <v>0</v>
      </c>
      <c r="AF144" s="117" t="n">
        <f aca="false">SUMIFS(الريسبي!$C$2:$C$1800,الريسبي!$A$2:$A$1800,$A144,الريسبي!$B$2:$B$1800,AF$1)</f>
        <v>0</v>
      </c>
      <c r="AG144" s="117" t="n">
        <f aca="false">SUMIFS(الريسبي!$C$2:$C$1800,الريسبي!$A$2:$A$1800,$A144,الريسبي!$B$2:$B$1800,AG$1)</f>
        <v>0</v>
      </c>
      <c r="AH144" s="117" t="n">
        <f aca="false">SUMIFS(الريسبي!$C$2:$C$1800,الريسبي!$A$2:$A$1800,$A144,الريسبي!$B$2:$B$1800,AH$1)</f>
        <v>0</v>
      </c>
      <c r="AI144" s="117" t="n">
        <f aca="false">SUMIFS(الريسبي!$C$2:$C$1800,الريسبي!$A$2:$A$1800,$A144,الريسبي!$B$2:$B$1800,AI$1)</f>
        <v>0</v>
      </c>
      <c r="AJ144" s="117" t="n">
        <f aca="false">SUMIFS(الريسبي!$C$2:$C$1800,الريسبي!$A$2:$A$1800,$A144,الريسبي!$B$2:$B$1800,AJ$1)</f>
        <v>0</v>
      </c>
      <c r="AK144" s="117" t="n">
        <f aca="false">SUMIFS(الريسبي!$C$2:$C$1800,الريسبي!$A$2:$A$1800,$A144,الريسبي!$B$2:$B$1800,AK$1)</f>
        <v>0</v>
      </c>
      <c r="AL144" s="117" t="n">
        <f aca="false">SUMIFS(الريسبي!$C$2:$C$1800,الريسبي!$A$2:$A$1800,$A144,الريسبي!$B$2:$B$1800,AL$1)</f>
        <v>0</v>
      </c>
      <c r="AM144" s="117" t="n">
        <f aca="false">SUMIFS(الريسبي!$C$2:$C$1800,الريسبي!$A$2:$A$1800,$A144,الريسبي!$B$2:$B$1800,AM$1)+0.08333333333*SUMIFS(الريسبي!$C$2:$C$1800,الريسبي!$A$2:$A$1800,$A144,الريسبي!$B$2:$B$1800,"عجين كريب (مصنع بالمطعم)")+0.08333333333*SUMIFS(الريسبي!$C$2:$C$1800,الريسبي!$A$2:$A$1800,$A144,الريسبي!$B$2:$B$1800,"عجين كريب صيامي (بدون لبن)")</f>
        <v>0</v>
      </c>
      <c r="AN144" s="117" t="n">
        <f aca="false">SUMIFS(الريسبي!$C$2:$C$1800,الريسبي!$A$2:$A$1800,$A144,الريسبي!$B$2:$B$1800,AN$1)+0.004166666667*SUMIFS(الريسبي!$C$2:$C$1800,الريسبي!$A$2:$A$1800,$A144,الريسبي!$B$2:$B$1800,"عجين كريب (مصنع بالمطعم)")+0.004166666667*SUMIFS(الريسبي!$C$2:$C$1800,الريسبي!$A$2:$A$1800,$A144,الريسبي!$B$2:$B$1800,"عجين كريب صيامي (بدون لبن)")</f>
        <v>0</v>
      </c>
      <c r="AO144" s="117" t="n">
        <f aca="false">SUMIFS(الريسبي!$C$2:$C$1800,الريسبي!$A$2:$A$1800,$A144,الريسبي!$B$2:$B$1800,AO$1)</f>
        <v>0</v>
      </c>
      <c r="AP144" s="117" t="n">
        <f aca="false">SUMIFS(الريسبي!$C$2:$C$1800,الريسبي!$A$2:$A$1800,$A144,الريسبي!$B$2:$B$1800,AP$1)</f>
        <v>0</v>
      </c>
      <c r="AQ144" s="117" t="n">
        <f aca="false">SUMIFS(الريسبي!$C$2:$C$1800,الريسبي!$A$2:$A$1800,$A144,الريسبي!$B$2:$B$1800,AQ$1)+0.004166666667*SUMIFS(الريسبي!$C$2:$C$1800,الريسبي!$A$2:$A$1800,$A144,الريسبي!$B$2:$B$1800,"عجين كريب (مصنع بالمطعم)")+0.004166666667*SUMIFS(الريسبي!$C$2:$C$1800,الريسبي!$A$2:$A$1800,$A144,الريسبي!$B$2:$B$1800,"عجين كريب صيامي (بدون لبن)")</f>
        <v>0</v>
      </c>
      <c r="AR144" s="117" t="n">
        <f aca="false">SUMIFS(الريسبي!$C$2:$C$1800,الريسبي!$A$2:$A$1800,$A144,الريسبي!$B$2:$B$1800,AR$1)</f>
        <v>0</v>
      </c>
      <c r="AS144" s="117" t="n">
        <f aca="false">SUMIFS(الريسبي!$C$2:$C$1800,الريسبي!$A$2:$A$1800,$A144,الريسبي!$B$2:$B$1800,AS$1)</f>
        <v>0</v>
      </c>
      <c r="AT144" s="117" t="n">
        <f aca="false">SUMIFS(الريسبي!$C$2:$C$1800,الريسبي!$A$2:$A$1800,$A144,الريسبي!$B$2:$B$1800,AT$1)</f>
        <v>0</v>
      </c>
      <c r="AU144" s="117" t="n">
        <f aca="false">SUMIFS(الريسبي!$C$2:$C$1800,الريسبي!$A$2:$A$1800,$A144,الريسبي!$B$2:$B$1800,AU$1)</f>
        <v>0</v>
      </c>
      <c r="AV144" s="117" t="n">
        <f aca="false">SUMIFS(الريسبي!$C$2:$C$1800,الريسبي!$A$2:$A$1800,$A144,الريسبي!$B$2:$B$1800,AV$1)</f>
        <v>0</v>
      </c>
      <c r="AW144" s="117" t="n">
        <f aca="false">SUMIFS(الريسبي!$C$2:$C$1800,الريسبي!$A$2:$A$1800,$A144,الريسبي!$B$2:$B$1800,AW$1)</f>
        <v>0</v>
      </c>
      <c r="AX144" s="117" t="n">
        <f aca="false">SUMIFS(الريسبي!$C$2:$C$1800,الريسبي!$A$2:$A$1800,$A144,الريسبي!$B$2:$B$1800,AX$1)</f>
        <v>0</v>
      </c>
      <c r="AY144" s="117" t="n">
        <f aca="false">SUMIFS(الريسبي!$C$2:$C$1800,الريسبي!$A$2:$A$1800,$A144,الريسبي!$B$2:$B$1800,AY$1)</f>
        <v>0</v>
      </c>
      <c r="AZ144" s="117" t="n">
        <f aca="false">SUMIFS(الريسبي!$C$2:$C$1800,الريسبي!$A$2:$A$1800,$A144,الريسبي!$B$2:$B$1800,AZ$1)</f>
        <v>0</v>
      </c>
      <c r="BA144" s="117" t="n">
        <f aca="false">SUMIFS(الريسبي!$C$2:$C$1800,الريسبي!$A$2:$A$1800,$A144,الريسبي!$B$2:$B$1800,BA$1)</f>
        <v>0</v>
      </c>
      <c r="BB144" s="117" t="n">
        <f aca="false">SUMIFS(الريسبي!$C$2:$C$1800,الريسبي!$A$2:$A$1800,$A144,الريسبي!$B$2:$B$1800,BB$1)</f>
        <v>0</v>
      </c>
      <c r="BC144" s="117" t="n">
        <f aca="false">SUMIFS(الريسبي!$C$2:$C$1800,الريسبي!$A$2:$A$1800,$A144,الريسبي!$B$2:$B$1800,BC$1)</f>
        <v>0</v>
      </c>
      <c r="BD144" s="117" t="n">
        <f aca="false">SUMIFS(الريسبي!$C$2:$C$1800,الريسبي!$A$2:$A$1800,$A144,الريسبي!$B$2:$B$1800,BD$1)</f>
        <v>0</v>
      </c>
      <c r="BE144" s="117" t="n">
        <f aca="false">SUMIFS(الريسبي!$C$2:$C$1800,الريسبي!$A$2:$A$1800,$A144,الريسبي!$B$2:$B$1800,BE$1)</f>
        <v>0</v>
      </c>
      <c r="BF144" s="117" t="n">
        <f aca="false">SUMIFS(الريسبي!$C$2:$C$1800,الريسبي!$A$2:$A$1800,$A144,الريسبي!$B$2:$B$1800,BF$1)</f>
        <v>0</v>
      </c>
      <c r="BG144" s="117" t="n">
        <f aca="false">SUMIFS(الريسبي!$C$2:$C$1800,الريسبي!$A$2:$A$1800,$A144,الريسبي!$B$2:$B$1800,BG$1)</f>
        <v>0</v>
      </c>
      <c r="BH144" s="117" t="n">
        <f aca="false">SUMIFS(الريسبي!$C$2:$C$1800,الريسبي!$A$2:$A$1800,$A144,الريسبي!$B$2:$B$1800,BH$1)</f>
        <v>0</v>
      </c>
      <c r="BI144" s="117" t="n">
        <f aca="false">SUMIFS(الريسبي!$C$2:$C$1800,الريسبي!$A$2:$A$1800,$A144,الريسبي!$B$2:$B$1800,BI$1)</f>
        <v>0</v>
      </c>
      <c r="BJ144" s="117" t="n">
        <f aca="false">SUMIFS(الريسبي!$C$2:$C$1800,الريسبي!$A$2:$A$1800,$A144,الريسبي!$B$2:$B$1800,BJ$1)</f>
        <v>0</v>
      </c>
      <c r="BK144" s="117" t="n">
        <f aca="false">SUMIFS(الريسبي!$C$2:$C$1800,الريسبي!$A$2:$A$1800,$A144,الريسبي!$B$2:$B$1800,BK$1)</f>
        <v>0</v>
      </c>
      <c r="BL144" s="117" t="n">
        <f aca="false">SUMIFS(الريسبي!$C$2:$C$1800,الريسبي!$A$2:$A$1800,$A144,الريسبي!$B$2:$B$1800,BL$1)</f>
        <v>0</v>
      </c>
      <c r="BM144" s="117" t="n">
        <f aca="false">SUMIFS(الريسبي!$C$2:$C$1800,الريسبي!$A$2:$A$1800,$A144,الريسبي!$B$2:$B$1800,BM$1)</f>
        <v>0</v>
      </c>
      <c r="BN144" s="117" t="n">
        <f aca="false">SUMIFS(الريسبي!$C$2:$C$1800,الريسبي!$A$2:$A$1800,$A144,الريسبي!$B$2:$B$1800,BN$1)</f>
        <v>0</v>
      </c>
      <c r="BO144" s="117" t="n">
        <f aca="false">SUMIFS(الريسبي!$C$2:$C$1800,الريسبي!$A$2:$A$1800,$A144,الريسبي!$B$2:$B$1800,BO$1)</f>
        <v>0</v>
      </c>
      <c r="BP144" s="117" t="n">
        <f aca="false">SUMIFS(الريسبي!$C$2:$C$1800,الريسبي!$A$2:$A$1800,$A144,الريسبي!$B$2:$B$1800,BP$1)</f>
        <v>0</v>
      </c>
      <c r="BQ144" s="117" t="n">
        <f aca="false">SUMIFS(الريسبي!$C$2:$C$1800,الريسبي!$A$2:$A$1800,$A144,الريسبي!$B$2:$B$1800,BQ$1)+0.17*SUMIFS(الريسبي!$C$2:$C$1800,الريسبي!$A$2:$A$1800,$A144,الريسبي!$B$2:$B$1800,"كاسترد مصنع (خليط بودر + لبن)")+0.17*SUMIFS(الريسبي!$C$2:$C$1800,الريسبي!$A$2:$A$1800,$A144,الريسبي!$B$2:$B$1800,"كاسترد مصنع صيامي (بدون لبن)")</f>
        <v>0</v>
      </c>
      <c r="BR144" s="117" t="n">
        <f aca="false">SUMIFS(الريسبي!$C$2:$C$1800,الريسبي!$A$2:$A$1800,$A144,الريسبي!$B$2:$B$1800,BR$1)</f>
        <v>0</v>
      </c>
      <c r="BS144" s="117" t="n">
        <f aca="false">SUMIFS(الريسبي!$C$2:$C$1800,الريسبي!$A$2:$A$1800,$A144,الريسبي!$B$2:$B$1800,BS$1)</f>
        <v>0</v>
      </c>
      <c r="BT144" s="117" t="n">
        <f aca="false">SUMIFS(الريسبي!$C$2:$C$1800,الريسبي!$A$2:$A$1800,$A144,الريسبي!$B$2:$B$1800,BT$1)</f>
        <v>0</v>
      </c>
      <c r="BU144" s="117" t="n">
        <f aca="false">SUMIFS(الريسبي!$C$2:$C$1800,الريسبي!$A$2:$A$1800,$A144,الريسبي!$B$2:$B$1800,BU$1)+0.4*SUMIFS(الريسبي!$C$2:$C$1800,الريسبي!$A$2:$A$1800,$A144,الريسبي!$B$2:$B$1800,"كاسترد مصنع (خليط بودر + لبن)")+0.03333333333*SUMIFS(الريسبي!$C$2:$C$1800,الريسبي!$A$2:$A$1800,$A144,الريسبي!$B$2:$B$1800,"عجين كريب (مصنع بالمطعم)")</f>
        <v>0</v>
      </c>
      <c r="BV144" s="117" t="n">
        <f aca="false">SUMIFS(الريسبي!$C$2:$C$1800,الريسبي!$A$2:$A$1800,$A144,الريسبي!$B$2:$B$1800,BV$1)</f>
        <v>0</v>
      </c>
      <c r="BW144" s="117" t="n">
        <f aca="false">SUMIFS(الريسبي!$C$2:$C$1800,الريسبي!$A$2:$A$1800,$A144,الريسبي!$B$2:$B$1800,BW$1)</f>
        <v>0</v>
      </c>
      <c r="BX144" s="117" t="n">
        <f aca="false">SUMIFS(الريسبي!$C$2:$C$1800,الريسبي!$A$2:$A$1800,$A144,الريسبي!$B$2:$B$1800,BX$1)</f>
        <v>0</v>
      </c>
      <c r="BY144" s="117" t="n">
        <f aca="false">SUMIFS(الريسبي!$C$2:$C$1800,الريسبي!$A$2:$A$1800,$A144,الريسبي!$B$2:$B$1800,BY$1)</f>
        <v>0</v>
      </c>
      <c r="BZ144" s="117" t="n">
        <f aca="false">SUMIFS(الريسبي!$C$2:$C$1800,الريسبي!$A$2:$A$1800,$A144,الريسبي!$B$2:$B$1800,BZ$1)</f>
        <v>0</v>
      </c>
      <c r="CA144" s="117" t="n">
        <f aca="false">SUMIFS(الريسبي!$C$2:$C$1800,الريسبي!$A$2:$A$1800,$A144,الريسبي!$B$2:$B$1800,CA$1)</f>
        <v>0</v>
      </c>
      <c r="CB144" s="117" t="n">
        <f aca="false">SUMIFS(الريسبي!$C$2:$C$1800,الريسبي!$A$2:$A$1800,$A144,الريسبي!$B$2:$B$1800,CB$1)</f>
        <v>0</v>
      </c>
      <c r="CC144" s="117" t="n">
        <f aca="false">SUMIFS(الريسبي!$C$2:$C$1800,الريسبي!$A$2:$A$1800,$A144,الريسبي!$B$2:$B$1800,CC$1)</f>
        <v>0</v>
      </c>
      <c r="CD144" s="117" t="n">
        <f aca="false">SUMIFS(الريسبي!$C$2:$C$1800,الريسبي!$A$2:$A$1800,$A144,الريسبي!$B$2:$B$1800,CD$1)</f>
        <v>0</v>
      </c>
      <c r="CE144" s="117" t="n">
        <f aca="false">SUMIFS(الريسبي!$C$2:$C$1800,الريسبي!$A$2:$A$1800,$A144,الريسبي!$B$2:$B$1800,CE$1)</f>
        <v>0</v>
      </c>
      <c r="CF144" s="117" t="n">
        <f aca="false">SUMIFS(الريسبي!$C$2:$C$1800,الريسبي!$A$2:$A$1800,$A144,الريسبي!$B$2:$B$1800,CF$1)</f>
        <v>0</v>
      </c>
      <c r="CG144" s="117" t="n">
        <f aca="false">SUMIFS(الريسبي!$C$2:$C$1800,الريسبي!$A$2:$A$1800,$A144,الريسبي!$B$2:$B$1800,CG$1)</f>
        <v>0</v>
      </c>
      <c r="CH144" s="117" t="n">
        <f aca="false">SUMIFS(الريسبي!$C$2:$C$1800,الريسبي!$A$2:$A$1800,$A144,الريسبي!$B$2:$B$1800,CH$1)</f>
        <v>0</v>
      </c>
      <c r="CI144" s="117" t="n">
        <f aca="false">SUMIFS(الريسبي!$C$2:$C$1800,الريسبي!$A$2:$A$1800,$A144,الريسبي!$B$2:$B$1800,CI$1)</f>
        <v>0</v>
      </c>
      <c r="CJ144" s="117" t="n">
        <f aca="false">SUMIFS(الريسبي!$C$2:$C$1800,الريسبي!$A$2:$A$1800,$A144,الريسبي!$B$2:$B$1800,CJ$1)</f>
        <v>0</v>
      </c>
      <c r="CK144" s="117" t="n">
        <f aca="false">SUMIFS(الريسبي!$C$2:$C$1800,الريسبي!$A$2:$A$1800,$A144,الريسبي!$B$2:$B$1800,CK$1)</f>
        <v>0</v>
      </c>
      <c r="CL144" s="117" t="n">
        <f aca="false">SUMIFS(الريسبي!$C$2:$C$1800,الريسبي!$A$2:$A$1800,$A144,الريسبي!$B$2:$B$1800,CL$1)</f>
        <v>0</v>
      </c>
    </row>
    <row r="145" customFormat="false" ht="15" hidden="false" customHeight="false" outlineLevel="0" collapsed="false">
      <c r="A145" s="116" t="str">
        <f aca="false">المنيو!B145</f>
        <v>اضافة سدق (فطير وسط)</v>
      </c>
      <c r="B145" s="117" t="n">
        <f aca="false">SUMIFS(الريسبي!$C$2:$C$1800,الريسبي!$A$2:$A$1800,$A145,الريسبي!$B$2:$B$1800,B$1)</f>
        <v>0</v>
      </c>
      <c r="C145" s="117" t="n">
        <f aca="false">SUMIFS(الريسبي!$C$2:$C$1800,الريسبي!$A$2:$A$1800,$A145,الريسبي!$B$2:$B$1800,C$1)</f>
        <v>0</v>
      </c>
      <c r="D145" s="117" t="n">
        <f aca="false">SUMIFS(الريسبي!$C$2:$C$1800,الريسبي!$A$2:$A$1800,$A145,الريسبي!$B$2:$B$1800,D$1)</f>
        <v>0</v>
      </c>
      <c r="E145" s="117" t="n">
        <f aca="false">SUMIFS(الريسبي!$C$2:$C$1800,الريسبي!$A$2:$A$1800,$A145,الريسبي!$B$2:$B$1800,E$1)</f>
        <v>0</v>
      </c>
      <c r="F145" s="117" t="n">
        <f aca="false">SUMIFS(الريسبي!$C$2:$C$1800,الريسبي!$A$2:$A$1800,$A145,الريسبي!$B$2:$B$1800,F$1)</f>
        <v>0</v>
      </c>
      <c r="G145" s="117" t="n">
        <f aca="false">SUMIFS(الريسبي!$C$2:$C$1800,الريسبي!$A$2:$A$1800,$A145,الريسبي!$B$2:$B$1800,G$1)</f>
        <v>0</v>
      </c>
      <c r="H145" s="117" t="n">
        <f aca="false">SUMIFS(الريسبي!$C$2:$C$1800,الريسبي!$A$2:$A$1800,$A145,الريسبي!$B$2:$B$1800,H$1)</f>
        <v>0</v>
      </c>
      <c r="I145" s="117" t="n">
        <f aca="false">SUMIFS(الريسبي!$C$2:$C$1800,الريسبي!$A$2:$A$1800,$A145,الريسبي!$B$2:$B$1800,I$1)</f>
        <v>0</v>
      </c>
      <c r="J145" s="117" t="n">
        <f aca="false">SUMIFS(الريسبي!$C$2:$C$1800,الريسبي!$A$2:$A$1800,$A145,الريسبي!$B$2:$B$1800,J$1)</f>
        <v>0</v>
      </c>
      <c r="K145" s="117" t="n">
        <f aca="false">SUMIFS(الريسبي!$C$2:$C$1800,الريسبي!$A$2:$A$1800,$A145,الريسبي!$B$2:$B$1800,K$1)</f>
        <v>0</v>
      </c>
      <c r="L145" s="117" t="n">
        <f aca="false">SUMIFS(الريسبي!$C$2:$C$1800,الريسبي!$A$2:$A$1800,$A145,الريسبي!$B$2:$B$1800,L$1)</f>
        <v>1</v>
      </c>
      <c r="M145" s="117" t="n">
        <f aca="false">SUMIFS(الريسبي!$C$2:$C$1800,الريسبي!$A$2:$A$1800,$A145,الريسبي!$B$2:$B$1800,M$1)</f>
        <v>0</v>
      </c>
      <c r="N145" s="117" t="n">
        <f aca="false">SUMIFS(الريسبي!$C$2:$C$1800,الريسبي!$A$2:$A$1800,$A145,الريسبي!$B$2:$B$1800,N$1)</f>
        <v>0</v>
      </c>
      <c r="O145" s="117" t="n">
        <f aca="false">SUMIFS(الريسبي!$C$2:$C$1800,الريسبي!$A$2:$A$1800,$A145,الريسبي!$B$2:$B$1800,O$1)</f>
        <v>0</v>
      </c>
      <c r="P145" s="117" t="n">
        <f aca="false">SUMIFS(الريسبي!$C$2:$C$1800,الريسبي!$A$2:$A$1800,$A145,الريسبي!$B$2:$B$1800,P$1)</f>
        <v>0</v>
      </c>
      <c r="Q145" s="117" t="n">
        <f aca="false">SUMIFS(الريسبي!$C$2:$C$1800,الريسبي!$A$2:$A$1800,$A145,الريسبي!$B$2:$B$1800,Q$1)</f>
        <v>0</v>
      </c>
      <c r="R145" s="117" t="n">
        <f aca="false">SUMIFS(الريسبي!$C$2:$C$1800,الريسبي!$A$2:$A$1800,$A145,الريسبي!$B$2:$B$1800,R$1)</f>
        <v>0</v>
      </c>
      <c r="S145" s="117" t="n">
        <f aca="false">SUMIFS(الريسبي!$C$2:$C$1800,الريسبي!$A$2:$A$1800,$A145,الريسبي!$B$2:$B$1800,S$1)</f>
        <v>0</v>
      </c>
      <c r="T145" s="117" t="n">
        <f aca="false">SUMIFS(الريسبي!$C$2:$C$1800,الريسبي!$A$2:$A$1800,$A145,الريسبي!$B$2:$B$1800,T$1)</f>
        <v>0</v>
      </c>
      <c r="U145" s="117" t="n">
        <f aca="false">SUMIFS(الريسبي!$C$2:$C$1800,الريسبي!$A$2:$A$1800,$A145,الريسبي!$B$2:$B$1800,U$1)</f>
        <v>0</v>
      </c>
      <c r="V145" s="117" t="n">
        <f aca="false">SUMIFS(الريسبي!$C$2:$C$1800,الريسبي!$A$2:$A$1800,$A145,الريسبي!$B$2:$B$1800,V$1)+1.5*(SUMIFS(الريسبي!$C$2:$C$1800,الريسبي!$A$2:$A$1800,$A145,الريسبي!$B$2:$B$1800,"برسيون موتزريلا بيتزا كبير"))</f>
        <v>0</v>
      </c>
      <c r="W145" s="117" t="n">
        <f aca="false">0</f>
        <v>0</v>
      </c>
      <c r="X145" s="117" t="n">
        <f aca="false">SUMIFS(الريسبي!$C$2:$C$1800,الريسبي!$A$2:$A$1800,$A145,الريسبي!$B$2:$B$1800,X$1)+1.5*(SUMIFS(الريسبي!$C$2:$C$1800,الريسبي!$A$2:$A$1800,$A145,الريسبي!$B$2:$B$1800,"برسيون موتزريلا فطير كبير"))</f>
        <v>0</v>
      </c>
      <c r="Y145" s="117" t="n">
        <f aca="false">0</f>
        <v>0</v>
      </c>
      <c r="Z145" s="117" t="n">
        <f aca="false">SUMIFS(الريسبي!$C$2:$C$1800,الريسبي!$A$2:$A$1800,$A145,الريسبي!$B$2:$B$1800,Z$1)</f>
        <v>0</v>
      </c>
      <c r="AA145" s="117" t="n">
        <f aca="false">SUMIFS(الريسبي!$C$2:$C$1800,الريسبي!$A$2:$A$1800,$A145,الريسبي!$B$2:$B$1800,AA$1)</f>
        <v>0</v>
      </c>
      <c r="AB145" s="117" t="n">
        <f aca="false">SUMIFS(الريسبي!$C$2:$C$1800,الريسبي!$A$2:$A$1800,$A145,الريسبي!$B$2:$B$1800,AB$1)</f>
        <v>0</v>
      </c>
      <c r="AC145" s="117" t="n">
        <f aca="false">SUMIFS(الريسبي!$C$2:$C$1800,الريسبي!$A$2:$A$1800,$A145,الريسبي!$B$2:$B$1800,AC$1)</f>
        <v>0</v>
      </c>
      <c r="AD145" s="117" t="n">
        <f aca="false">SUMIFS(الريسبي!$C$2:$C$1800,الريسبي!$A$2:$A$1800,$A145,الريسبي!$B$2:$B$1800,AD$1)</f>
        <v>0</v>
      </c>
      <c r="AE145" s="117" t="n">
        <f aca="false">SUMIFS(الريسبي!$C$2:$C$1800,الريسبي!$A$2:$A$1800,$A145,الريسبي!$B$2:$B$1800,AE$1)</f>
        <v>0</v>
      </c>
      <c r="AF145" s="117" t="n">
        <f aca="false">SUMIFS(الريسبي!$C$2:$C$1800,الريسبي!$A$2:$A$1800,$A145,الريسبي!$B$2:$B$1800,AF$1)</f>
        <v>0</v>
      </c>
      <c r="AG145" s="117" t="n">
        <f aca="false">SUMIFS(الريسبي!$C$2:$C$1800,الريسبي!$A$2:$A$1800,$A145,الريسبي!$B$2:$B$1800,AG$1)</f>
        <v>0</v>
      </c>
      <c r="AH145" s="117" t="n">
        <f aca="false">SUMIFS(الريسبي!$C$2:$C$1800,الريسبي!$A$2:$A$1800,$A145,الريسبي!$B$2:$B$1800,AH$1)</f>
        <v>0</v>
      </c>
      <c r="AI145" s="117" t="n">
        <f aca="false">SUMIFS(الريسبي!$C$2:$C$1800,الريسبي!$A$2:$A$1800,$A145,الريسبي!$B$2:$B$1800,AI$1)</f>
        <v>0</v>
      </c>
      <c r="AJ145" s="117" t="n">
        <f aca="false">SUMIFS(الريسبي!$C$2:$C$1800,الريسبي!$A$2:$A$1800,$A145,الريسبي!$B$2:$B$1800,AJ$1)</f>
        <v>0</v>
      </c>
      <c r="AK145" s="117" t="n">
        <f aca="false">SUMIFS(الريسبي!$C$2:$C$1800,الريسبي!$A$2:$A$1800,$A145,الريسبي!$B$2:$B$1800,AK$1)</f>
        <v>0</v>
      </c>
      <c r="AL145" s="117" t="n">
        <f aca="false">SUMIFS(الريسبي!$C$2:$C$1800,الريسبي!$A$2:$A$1800,$A145,الريسبي!$B$2:$B$1800,AL$1)</f>
        <v>0</v>
      </c>
      <c r="AM145" s="117" t="n">
        <f aca="false">SUMIFS(الريسبي!$C$2:$C$1800,الريسبي!$A$2:$A$1800,$A145,الريسبي!$B$2:$B$1800,AM$1)+0.08333333333*SUMIFS(الريسبي!$C$2:$C$1800,الريسبي!$A$2:$A$1800,$A145,الريسبي!$B$2:$B$1800,"عجين كريب (مصنع بالمطعم)")+0.08333333333*SUMIFS(الريسبي!$C$2:$C$1800,الريسبي!$A$2:$A$1800,$A145,الريسبي!$B$2:$B$1800,"عجين كريب صيامي (بدون لبن)")</f>
        <v>0</v>
      </c>
      <c r="AN145" s="117" t="n">
        <f aca="false">SUMIFS(الريسبي!$C$2:$C$1800,الريسبي!$A$2:$A$1800,$A145,الريسبي!$B$2:$B$1800,AN$1)+0.004166666667*SUMIFS(الريسبي!$C$2:$C$1800,الريسبي!$A$2:$A$1800,$A145,الريسبي!$B$2:$B$1800,"عجين كريب (مصنع بالمطعم)")+0.004166666667*SUMIFS(الريسبي!$C$2:$C$1800,الريسبي!$A$2:$A$1800,$A145,الريسبي!$B$2:$B$1800,"عجين كريب صيامي (بدون لبن)")</f>
        <v>0</v>
      </c>
      <c r="AO145" s="117" t="n">
        <f aca="false">SUMIFS(الريسبي!$C$2:$C$1800,الريسبي!$A$2:$A$1800,$A145,الريسبي!$B$2:$B$1800,AO$1)</f>
        <v>0</v>
      </c>
      <c r="AP145" s="117" t="n">
        <f aca="false">SUMIFS(الريسبي!$C$2:$C$1800,الريسبي!$A$2:$A$1800,$A145,الريسبي!$B$2:$B$1800,AP$1)</f>
        <v>0</v>
      </c>
      <c r="AQ145" s="117" t="n">
        <f aca="false">SUMIFS(الريسبي!$C$2:$C$1800,الريسبي!$A$2:$A$1800,$A145,الريسبي!$B$2:$B$1800,AQ$1)+0.004166666667*SUMIFS(الريسبي!$C$2:$C$1800,الريسبي!$A$2:$A$1800,$A145,الريسبي!$B$2:$B$1800,"عجين كريب (مصنع بالمطعم)")+0.004166666667*SUMIFS(الريسبي!$C$2:$C$1800,الريسبي!$A$2:$A$1800,$A145,الريسبي!$B$2:$B$1800,"عجين كريب صيامي (بدون لبن)")</f>
        <v>0</v>
      </c>
      <c r="AR145" s="117" t="n">
        <f aca="false">SUMIFS(الريسبي!$C$2:$C$1800,الريسبي!$A$2:$A$1800,$A145,الريسبي!$B$2:$B$1800,AR$1)</f>
        <v>0</v>
      </c>
      <c r="AS145" s="117" t="n">
        <f aca="false">SUMIFS(الريسبي!$C$2:$C$1800,الريسبي!$A$2:$A$1800,$A145,الريسبي!$B$2:$B$1800,AS$1)</f>
        <v>0</v>
      </c>
      <c r="AT145" s="117" t="n">
        <f aca="false">SUMIFS(الريسبي!$C$2:$C$1800,الريسبي!$A$2:$A$1800,$A145,الريسبي!$B$2:$B$1800,AT$1)</f>
        <v>0</v>
      </c>
      <c r="AU145" s="117" t="n">
        <f aca="false">SUMIFS(الريسبي!$C$2:$C$1800,الريسبي!$A$2:$A$1800,$A145,الريسبي!$B$2:$B$1800,AU$1)</f>
        <v>0</v>
      </c>
      <c r="AV145" s="117" t="n">
        <f aca="false">SUMIFS(الريسبي!$C$2:$C$1800,الريسبي!$A$2:$A$1800,$A145,الريسبي!$B$2:$B$1800,AV$1)</f>
        <v>0</v>
      </c>
      <c r="AW145" s="117" t="n">
        <f aca="false">SUMIFS(الريسبي!$C$2:$C$1800,الريسبي!$A$2:$A$1800,$A145,الريسبي!$B$2:$B$1800,AW$1)</f>
        <v>0</v>
      </c>
      <c r="AX145" s="117" t="n">
        <f aca="false">SUMIFS(الريسبي!$C$2:$C$1800,الريسبي!$A$2:$A$1800,$A145,الريسبي!$B$2:$B$1800,AX$1)</f>
        <v>0</v>
      </c>
      <c r="AY145" s="117" t="n">
        <f aca="false">SUMIFS(الريسبي!$C$2:$C$1800,الريسبي!$A$2:$A$1800,$A145,الريسبي!$B$2:$B$1800,AY$1)</f>
        <v>0</v>
      </c>
      <c r="AZ145" s="117" t="n">
        <f aca="false">SUMIFS(الريسبي!$C$2:$C$1800,الريسبي!$A$2:$A$1800,$A145,الريسبي!$B$2:$B$1800,AZ$1)</f>
        <v>0</v>
      </c>
      <c r="BA145" s="117" t="n">
        <f aca="false">SUMIFS(الريسبي!$C$2:$C$1800,الريسبي!$A$2:$A$1800,$A145,الريسبي!$B$2:$B$1800,BA$1)</f>
        <v>0</v>
      </c>
      <c r="BB145" s="117" t="n">
        <f aca="false">SUMIFS(الريسبي!$C$2:$C$1800,الريسبي!$A$2:$A$1800,$A145,الريسبي!$B$2:$B$1800,BB$1)</f>
        <v>0</v>
      </c>
      <c r="BC145" s="117" t="n">
        <f aca="false">SUMIFS(الريسبي!$C$2:$C$1800,الريسبي!$A$2:$A$1800,$A145,الريسبي!$B$2:$B$1800,BC$1)</f>
        <v>0</v>
      </c>
      <c r="BD145" s="117" t="n">
        <f aca="false">SUMIFS(الريسبي!$C$2:$C$1800,الريسبي!$A$2:$A$1800,$A145,الريسبي!$B$2:$B$1800,BD$1)</f>
        <v>0</v>
      </c>
      <c r="BE145" s="117" t="n">
        <f aca="false">SUMIFS(الريسبي!$C$2:$C$1800,الريسبي!$A$2:$A$1800,$A145,الريسبي!$B$2:$B$1800,BE$1)</f>
        <v>0</v>
      </c>
      <c r="BF145" s="117" t="n">
        <f aca="false">SUMIFS(الريسبي!$C$2:$C$1800,الريسبي!$A$2:$A$1800,$A145,الريسبي!$B$2:$B$1800,BF$1)</f>
        <v>0</v>
      </c>
      <c r="BG145" s="117" t="n">
        <f aca="false">SUMIFS(الريسبي!$C$2:$C$1800,الريسبي!$A$2:$A$1800,$A145,الريسبي!$B$2:$B$1800,BG$1)</f>
        <v>0</v>
      </c>
      <c r="BH145" s="117" t="n">
        <f aca="false">SUMIFS(الريسبي!$C$2:$C$1800,الريسبي!$A$2:$A$1800,$A145,الريسبي!$B$2:$B$1800,BH$1)</f>
        <v>0</v>
      </c>
      <c r="BI145" s="117" t="n">
        <f aca="false">SUMIFS(الريسبي!$C$2:$C$1800,الريسبي!$A$2:$A$1800,$A145,الريسبي!$B$2:$B$1800,BI$1)</f>
        <v>0</v>
      </c>
      <c r="BJ145" s="117" t="n">
        <f aca="false">SUMIFS(الريسبي!$C$2:$C$1800,الريسبي!$A$2:$A$1800,$A145,الريسبي!$B$2:$B$1800,BJ$1)</f>
        <v>0</v>
      </c>
      <c r="BK145" s="117" t="n">
        <f aca="false">SUMIFS(الريسبي!$C$2:$C$1800,الريسبي!$A$2:$A$1800,$A145,الريسبي!$B$2:$B$1800,BK$1)</f>
        <v>0</v>
      </c>
      <c r="BL145" s="117" t="n">
        <f aca="false">SUMIFS(الريسبي!$C$2:$C$1800,الريسبي!$A$2:$A$1800,$A145,الريسبي!$B$2:$B$1800,BL$1)</f>
        <v>0</v>
      </c>
      <c r="BM145" s="117" t="n">
        <f aca="false">SUMIFS(الريسبي!$C$2:$C$1800,الريسبي!$A$2:$A$1800,$A145,الريسبي!$B$2:$B$1800,BM$1)</f>
        <v>0</v>
      </c>
      <c r="BN145" s="117" t="n">
        <f aca="false">SUMIFS(الريسبي!$C$2:$C$1800,الريسبي!$A$2:$A$1800,$A145,الريسبي!$B$2:$B$1800,BN$1)</f>
        <v>0</v>
      </c>
      <c r="BO145" s="117" t="n">
        <f aca="false">SUMIFS(الريسبي!$C$2:$C$1800,الريسبي!$A$2:$A$1800,$A145,الريسبي!$B$2:$B$1800,BO$1)</f>
        <v>0</v>
      </c>
      <c r="BP145" s="117" t="n">
        <f aca="false">SUMIFS(الريسبي!$C$2:$C$1800,الريسبي!$A$2:$A$1800,$A145,الريسبي!$B$2:$B$1800,BP$1)</f>
        <v>0</v>
      </c>
      <c r="BQ145" s="117" t="n">
        <f aca="false">SUMIFS(الريسبي!$C$2:$C$1800,الريسبي!$A$2:$A$1800,$A145,الريسبي!$B$2:$B$1800,BQ$1)+0.17*SUMIFS(الريسبي!$C$2:$C$1800,الريسبي!$A$2:$A$1800,$A145,الريسبي!$B$2:$B$1800,"كاسترد مصنع (خليط بودر + لبن)")+0.17*SUMIFS(الريسبي!$C$2:$C$1800,الريسبي!$A$2:$A$1800,$A145,الريسبي!$B$2:$B$1800,"كاسترد مصنع صيامي (بدون لبن)")</f>
        <v>0</v>
      </c>
      <c r="BR145" s="117" t="n">
        <f aca="false">SUMIFS(الريسبي!$C$2:$C$1800,الريسبي!$A$2:$A$1800,$A145,الريسبي!$B$2:$B$1800,BR$1)</f>
        <v>0</v>
      </c>
      <c r="BS145" s="117" t="n">
        <f aca="false">SUMIFS(الريسبي!$C$2:$C$1800,الريسبي!$A$2:$A$1800,$A145,الريسبي!$B$2:$B$1800,BS$1)</f>
        <v>0</v>
      </c>
      <c r="BT145" s="117" t="n">
        <f aca="false">SUMIFS(الريسبي!$C$2:$C$1800,الريسبي!$A$2:$A$1800,$A145,الريسبي!$B$2:$B$1800,BT$1)</f>
        <v>0</v>
      </c>
      <c r="BU145" s="117" t="n">
        <f aca="false">SUMIFS(الريسبي!$C$2:$C$1800,الريسبي!$A$2:$A$1800,$A145,الريسبي!$B$2:$B$1800,BU$1)+0.4*SUMIFS(الريسبي!$C$2:$C$1800,الريسبي!$A$2:$A$1800,$A145,الريسبي!$B$2:$B$1800,"كاسترد مصنع (خليط بودر + لبن)")+0.03333333333*SUMIFS(الريسبي!$C$2:$C$1800,الريسبي!$A$2:$A$1800,$A145,الريسبي!$B$2:$B$1800,"عجين كريب (مصنع بالمطعم)")</f>
        <v>0</v>
      </c>
      <c r="BV145" s="117" t="n">
        <f aca="false">SUMIFS(الريسبي!$C$2:$C$1800,الريسبي!$A$2:$A$1800,$A145,الريسبي!$B$2:$B$1800,BV$1)</f>
        <v>0</v>
      </c>
      <c r="BW145" s="117" t="n">
        <f aca="false">SUMIFS(الريسبي!$C$2:$C$1800,الريسبي!$A$2:$A$1800,$A145,الريسبي!$B$2:$B$1800,BW$1)</f>
        <v>0</v>
      </c>
      <c r="BX145" s="117" t="n">
        <f aca="false">SUMIFS(الريسبي!$C$2:$C$1800,الريسبي!$A$2:$A$1800,$A145,الريسبي!$B$2:$B$1800,BX$1)</f>
        <v>0</v>
      </c>
      <c r="BY145" s="117" t="n">
        <f aca="false">SUMIFS(الريسبي!$C$2:$C$1800,الريسبي!$A$2:$A$1800,$A145,الريسبي!$B$2:$B$1800,BY$1)</f>
        <v>0</v>
      </c>
      <c r="BZ145" s="117" t="n">
        <f aca="false">SUMIFS(الريسبي!$C$2:$C$1800,الريسبي!$A$2:$A$1800,$A145,الريسبي!$B$2:$B$1800,BZ$1)</f>
        <v>0</v>
      </c>
      <c r="CA145" s="117" t="n">
        <f aca="false">SUMIFS(الريسبي!$C$2:$C$1800,الريسبي!$A$2:$A$1800,$A145,الريسبي!$B$2:$B$1800,CA$1)</f>
        <v>0</v>
      </c>
      <c r="CB145" s="117" t="n">
        <f aca="false">SUMIFS(الريسبي!$C$2:$C$1800,الريسبي!$A$2:$A$1800,$A145,الريسبي!$B$2:$B$1800,CB$1)</f>
        <v>0</v>
      </c>
      <c r="CC145" s="117" t="n">
        <f aca="false">SUMIFS(الريسبي!$C$2:$C$1800,الريسبي!$A$2:$A$1800,$A145,الريسبي!$B$2:$B$1800,CC$1)</f>
        <v>0</v>
      </c>
      <c r="CD145" s="117" t="n">
        <f aca="false">SUMIFS(الريسبي!$C$2:$C$1800,الريسبي!$A$2:$A$1800,$A145,الريسبي!$B$2:$B$1800,CD$1)</f>
        <v>0</v>
      </c>
      <c r="CE145" s="117" t="n">
        <f aca="false">SUMIFS(الريسبي!$C$2:$C$1800,الريسبي!$A$2:$A$1800,$A145,الريسبي!$B$2:$B$1800,CE$1)</f>
        <v>0</v>
      </c>
      <c r="CF145" s="117" t="n">
        <f aca="false">SUMIFS(الريسبي!$C$2:$C$1800,الريسبي!$A$2:$A$1800,$A145,الريسبي!$B$2:$B$1800,CF$1)</f>
        <v>0</v>
      </c>
      <c r="CG145" s="117" t="n">
        <f aca="false">SUMIFS(الريسبي!$C$2:$C$1800,الريسبي!$A$2:$A$1800,$A145,الريسبي!$B$2:$B$1800,CG$1)</f>
        <v>0</v>
      </c>
      <c r="CH145" s="117" t="n">
        <f aca="false">SUMIFS(الريسبي!$C$2:$C$1800,الريسبي!$A$2:$A$1800,$A145,الريسبي!$B$2:$B$1800,CH$1)</f>
        <v>0</v>
      </c>
      <c r="CI145" s="117" t="n">
        <f aca="false">SUMIFS(الريسبي!$C$2:$C$1800,الريسبي!$A$2:$A$1800,$A145,الريسبي!$B$2:$B$1800,CI$1)</f>
        <v>0</v>
      </c>
      <c r="CJ145" s="117" t="n">
        <f aca="false">SUMIFS(الريسبي!$C$2:$C$1800,الريسبي!$A$2:$A$1800,$A145,الريسبي!$B$2:$B$1800,CJ$1)</f>
        <v>0</v>
      </c>
      <c r="CK145" s="117" t="n">
        <f aca="false">SUMIFS(الريسبي!$C$2:$C$1800,الريسبي!$A$2:$A$1800,$A145,الريسبي!$B$2:$B$1800,CK$1)</f>
        <v>0</v>
      </c>
      <c r="CL145" s="117" t="n">
        <f aca="false">SUMIFS(الريسبي!$C$2:$C$1800,الريسبي!$A$2:$A$1800,$A145,الريسبي!$B$2:$B$1800,CL$1)</f>
        <v>0</v>
      </c>
    </row>
    <row r="146" customFormat="false" ht="15" hidden="false" customHeight="false" outlineLevel="0" collapsed="false">
      <c r="A146" s="116" t="str">
        <f aca="false">المنيو!B146</f>
        <v>اضافة سدق (فطير كبير)</v>
      </c>
      <c r="B146" s="117" t="n">
        <f aca="false">SUMIFS(الريسبي!$C$2:$C$1800,الريسبي!$A$2:$A$1800,$A146,الريسبي!$B$2:$B$1800,B$1)</f>
        <v>0</v>
      </c>
      <c r="C146" s="117" t="n">
        <f aca="false">SUMIFS(الريسبي!$C$2:$C$1800,الريسبي!$A$2:$A$1800,$A146,الريسبي!$B$2:$B$1800,C$1)</f>
        <v>0</v>
      </c>
      <c r="D146" s="117" t="n">
        <f aca="false">SUMIFS(الريسبي!$C$2:$C$1800,الريسبي!$A$2:$A$1800,$A146,الريسبي!$B$2:$B$1800,D$1)</f>
        <v>0</v>
      </c>
      <c r="E146" s="117" t="n">
        <f aca="false">SUMIFS(الريسبي!$C$2:$C$1800,الريسبي!$A$2:$A$1800,$A146,الريسبي!$B$2:$B$1800,E$1)</f>
        <v>0</v>
      </c>
      <c r="F146" s="117" t="n">
        <f aca="false">SUMIFS(الريسبي!$C$2:$C$1800,الريسبي!$A$2:$A$1800,$A146,الريسبي!$B$2:$B$1800,F$1)</f>
        <v>0</v>
      </c>
      <c r="G146" s="117" t="n">
        <f aca="false">SUMIFS(الريسبي!$C$2:$C$1800,الريسبي!$A$2:$A$1800,$A146,الريسبي!$B$2:$B$1800,G$1)</f>
        <v>0</v>
      </c>
      <c r="H146" s="117" t="n">
        <f aca="false">SUMIFS(الريسبي!$C$2:$C$1800,الريسبي!$A$2:$A$1800,$A146,الريسبي!$B$2:$B$1800,H$1)</f>
        <v>0</v>
      </c>
      <c r="I146" s="117" t="n">
        <f aca="false">SUMIFS(الريسبي!$C$2:$C$1800,الريسبي!$A$2:$A$1800,$A146,الريسبي!$B$2:$B$1800,I$1)</f>
        <v>0</v>
      </c>
      <c r="J146" s="117" t="n">
        <f aca="false">SUMIFS(الريسبي!$C$2:$C$1800,الريسبي!$A$2:$A$1800,$A146,الريسبي!$B$2:$B$1800,J$1)</f>
        <v>0</v>
      </c>
      <c r="K146" s="117" t="n">
        <f aca="false">SUMIFS(الريسبي!$C$2:$C$1800,الريسبي!$A$2:$A$1800,$A146,الريسبي!$B$2:$B$1800,K$1)</f>
        <v>0</v>
      </c>
      <c r="L146" s="117" t="n">
        <f aca="false">SUMIFS(الريسبي!$C$2:$C$1800,الريسبي!$A$2:$A$1800,$A146,الريسبي!$B$2:$B$1800,L$1)</f>
        <v>0</v>
      </c>
      <c r="M146" s="117" t="n">
        <f aca="false">SUMIFS(الريسبي!$C$2:$C$1800,الريسبي!$A$2:$A$1800,$A146,الريسبي!$B$2:$B$1800,M$1)</f>
        <v>1</v>
      </c>
      <c r="N146" s="117" t="n">
        <f aca="false">SUMIFS(الريسبي!$C$2:$C$1800,الريسبي!$A$2:$A$1800,$A146,الريسبي!$B$2:$B$1800,N$1)</f>
        <v>0</v>
      </c>
      <c r="O146" s="117" t="n">
        <f aca="false">SUMIFS(الريسبي!$C$2:$C$1800,الريسبي!$A$2:$A$1800,$A146,الريسبي!$B$2:$B$1800,O$1)</f>
        <v>0</v>
      </c>
      <c r="P146" s="117" t="n">
        <f aca="false">SUMIFS(الريسبي!$C$2:$C$1800,الريسبي!$A$2:$A$1800,$A146,الريسبي!$B$2:$B$1800,P$1)</f>
        <v>0</v>
      </c>
      <c r="Q146" s="117" t="n">
        <f aca="false">SUMIFS(الريسبي!$C$2:$C$1800,الريسبي!$A$2:$A$1800,$A146,الريسبي!$B$2:$B$1800,Q$1)</f>
        <v>0</v>
      </c>
      <c r="R146" s="117" t="n">
        <f aca="false">SUMIFS(الريسبي!$C$2:$C$1800,الريسبي!$A$2:$A$1800,$A146,الريسبي!$B$2:$B$1800,R$1)</f>
        <v>0</v>
      </c>
      <c r="S146" s="117" t="n">
        <f aca="false">SUMIFS(الريسبي!$C$2:$C$1800,الريسبي!$A$2:$A$1800,$A146,الريسبي!$B$2:$B$1800,S$1)</f>
        <v>0</v>
      </c>
      <c r="T146" s="117" t="n">
        <f aca="false">SUMIFS(الريسبي!$C$2:$C$1800,الريسبي!$A$2:$A$1800,$A146,الريسبي!$B$2:$B$1800,T$1)</f>
        <v>0</v>
      </c>
      <c r="U146" s="117" t="n">
        <f aca="false">SUMIFS(الريسبي!$C$2:$C$1800,الريسبي!$A$2:$A$1800,$A146,الريسبي!$B$2:$B$1800,U$1)</f>
        <v>0</v>
      </c>
      <c r="V146" s="117" t="n">
        <f aca="false">SUMIFS(الريسبي!$C$2:$C$1800,الريسبي!$A$2:$A$1800,$A146,الريسبي!$B$2:$B$1800,V$1)+1.5*(SUMIFS(الريسبي!$C$2:$C$1800,الريسبي!$A$2:$A$1800,$A146,الريسبي!$B$2:$B$1800,"برسيون موتزريلا بيتزا كبير"))</f>
        <v>0</v>
      </c>
      <c r="W146" s="117" t="n">
        <f aca="false">0</f>
        <v>0</v>
      </c>
      <c r="X146" s="117" t="n">
        <f aca="false">SUMIFS(الريسبي!$C$2:$C$1800,الريسبي!$A$2:$A$1800,$A146,الريسبي!$B$2:$B$1800,X$1)+1.5*(SUMIFS(الريسبي!$C$2:$C$1800,الريسبي!$A$2:$A$1800,$A146,الريسبي!$B$2:$B$1800,"برسيون موتزريلا فطير كبير"))</f>
        <v>0</v>
      </c>
      <c r="Y146" s="117" t="n">
        <f aca="false">0</f>
        <v>0</v>
      </c>
      <c r="Z146" s="117" t="n">
        <f aca="false">SUMIFS(الريسبي!$C$2:$C$1800,الريسبي!$A$2:$A$1800,$A146,الريسبي!$B$2:$B$1800,Z$1)</f>
        <v>0</v>
      </c>
      <c r="AA146" s="117" t="n">
        <f aca="false">SUMIFS(الريسبي!$C$2:$C$1800,الريسبي!$A$2:$A$1800,$A146,الريسبي!$B$2:$B$1800,AA$1)</f>
        <v>0</v>
      </c>
      <c r="AB146" s="117" t="n">
        <f aca="false">SUMIFS(الريسبي!$C$2:$C$1800,الريسبي!$A$2:$A$1800,$A146,الريسبي!$B$2:$B$1800,AB$1)</f>
        <v>0</v>
      </c>
      <c r="AC146" s="117" t="n">
        <f aca="false">SUMIFS(الريسبي!$C$2:$C$1800,الريسبي!$A$2:$A$1800,$A146,الريسبي!$B$2:$B$1800,AC$1)</f>
        <v>0</v>
      </c>
      <c r="AD146" s="117" t="n">
        <f aca="false">SUMIFS(الريسبي!$C$2:$C$1800,الريسبي!$A$2:$A$1800,$A146,الريسبي!$B$2:$B$1800,AD$1)</f>
        <v>0</v>
      </c>
      <c r="AE146" s="117" t="n">
        <f aca="false">SUMIFS(الريسبي!$C$2:$C$1800,الريسبي!$A$2:$A$1800,$A146,الريسبي!$B$2:$B$1800,AE$1)</f>
        <v>0</v>
      </c>
      <c r="AF146" s="117" t="n">
        <f aca="false">SUMIFS(الريسبي!$C$2:$C$1800,الريسبي!$A$2:$A$1800,$A146,الريسبي!$B$2:$B$1800,AF$1)</f>
        <v>0</v>
      </c>
      <c r="AG146" s="117" t="n">
        <f aca="false">SUMIFS(الريسبي!$C$2:$C$1800,الريسبي!$A$2:$A$1800,$A146,الريسبي!$B$2:$B$1800,AG$1)</f>
        <v>0</v>
      </c>
      <c r="AH146" s="117" t="n">
        <f aca="false">SUMIFS(الريسبي!$C$2:$C$1800,الريسبي!$A$2:$A$1800,$A146,الريسبي!$B$2:$B$1800,AH$1)</f>
        <v>0</v>
      </c>
      <c r="AI146" s="117" t="n">
        <f aca="false">SUMIFS(الريسبي!$C$2:$C$1800,الريسبي!$A$2:$A$1800,$A146,الريسبي!$B$2:$B$1800,AI$1)</f>
        <v>0</v>
      </c>
      <c r="AJ146" s="117" t="n">
        <f aca="false">SUMIFS(الريسبي!$C$2:$C$1800,الريسبي!$A$2:$A$1800,$A146,الريسبي!$B$2:$B$1800,AJ$1)</f>
        <v>0</v>
      </c>
      <c r="AK146" s="117" t="n">
        <f aca="false">SUMIFS(الريسبي!$C$2:$C$1800,الريسبي!$A$2:$A$1800,$A146,الريسبي!$B$2:$B$1800,AK$1)</f>
        <v>0</v>
      </c>
      <c r="AL146" s="117" t="n">
        <f aca="false">SUMIFS(الريسبي!$C$2:$C$1800,الريسبي!$A$2:$A$1800,$A146,الريسبي!$B$2:$B$1800,AL$1)</f>
        <v>0</v>
      </c>
      <c r="AM146" s="117" t="n">
        <f aca="false">SUMIFS(الريسبي!$C$2:$C$1800,الريسبي!$A$2:$A$1800,$A146,الريسبي!$B$2:$B$1800,AM$1)+0.08333333333*SUMIFS(الريسبي!$C$2:$C$1800,الريسبي!$A$2:$A$1800,$A146,الريسبي!$B$2:$B$1800,"عجين كريب (مصنع بالمطعم)")+0.08333333333*SUMIFS(الريسبي!$C$2:$C$1800,الريسبي!$A$2:$A$1800,$A146,الريسبي!$B$2:$B$1800,"عجين كريب صيامي (بدون لبن)")</f>
        <v>0</v>
      </c>
      <c r="AN146" s="117" t="n">
        <f aca="false">SUMIFS(الريسبي!$C$2:$C$1800,الريسبي!$A$2:$A$1800,$A146,الريسبي!$B$2:$B$1800,AN$1)+0.004166666667*SUMIFS(الريسبي!$C$2:$C$1800,الريسبي!$A$2:$A$1800,$A146,الريسبي!$B$2:$B$1800,"عجين كريب (مصنع بالمطعم)")+0.004166666667*SUMIFS(الريسبي!$C$2:$C$1800,الريسبي!$A$2:$A$1800,$A146,الريسبي!$B$2:$B$1800,"عجين كريب صيامي (بدون لبن)")</f>
        <v>0</v>
      </c>
      <c r="AO146" s="117" t="n">
        <f aca="false">SUMIFS(الريسبي!$C$2:$C$1800,الريسبي!$A$2:$A$1800,$A146,الريسبي!$B$2:$B$1800,AO$1)</f>
        <v>0</v>
      </c>
      <c r="AP146" s="117" t="n">
        <f aca="false">SUMIFS(الريسبي!$C$2:$C$1800,الريسبي!$A$2:$A$1800,$A146,الريسبي!$B$2:$B$1800,AP$1)</f>
        <v>0</v>
      </c>
      <c r="AQ146" s="117" t="n">
        <f aca="false">SUMIFS(الريسبي!$C$2:$C$1800,الريسبي!$A$2:$A$1800,$A146,الريسبي!$B$2:$B$1800,AQ$1)+0.004166666667*SUMIFS(الريسبي!$C$2:$C$1800,الريسبي!$A$2:$A$1800,$A146,الريسبي!$B$2:$B$1800,"عجين كريب (مصنع بالمطعم)")+0.004166666667*SUMIFS(الريسبي!$C$2:$C$1800,الريسبي!$A$2:$A$1800,$A146,الريسبي!$B$2:$B$1800,"عجين كريب صيامي (بدون لبن)")</f>
        <v>0</v>
      </c>
      <c r="AR146" s="117" t="n">
        <f aca="false">SUMIFS(الريسبي!$C$2:$C$1800,الريسبي!$A$2:$A$1800,$A146,الريسبي!$B$2:$B$1800,AR$1)</f>
        <v>0</v>
      </c>
      <c r="AS146" s="117" t="n">
        <f aca="false">SUMIFS(الريسبي!$C$2:$C$1800,الريسبي!$A$2:$A$1800,$A146,الريسبي!$B$2:$B$1800,AS$1)</f>
        <v>0</v>
      </c>
      <c r="AT146" s="117" t="n">
        <f aca="false">SUMIFS(الريسبي!$C$2:$C$1800,الريسبي!$A$2:$A$1800,$A146,الريسبي!$B$2:$B$1800,AT$1)</f>
        <v>0</v>
      </c>
      <c r="AU146" s="117" t="n">
        <f aca="false">SUMIFS(الريسبي!$C$2:$C$1800,الريسبي!$A$2:$A$1800,$A146,الريسبي!$B$2:$B$1800,AU$1)</f>
        <v>0</v>
      </c>
      <c r="AV146" s="117" t="n">
        <f aca="false">SUMIFS(الريسبي!$C$2:$C$1800,الريسبي!$A$2:$A$1800,$A146,الريسبي!$B$2:$B$1800,AV$1)</f>
        <v>0</v>
      </c>
      <c r="AW146" s="117" t="n">
        <f aca="false">SUMIFS(الريسبي!$C$2:$C$1800,الريسبي!$A$2:$A$1800,$A146,الريسبي!$B$2:$B$1800,AW$1)</f>
        <v>0</v>
      </c>
      <c r="AX146" s="117" t="n">
        <f aca="false">SUMIFS(الريسبي!$C$2:$C$1800,الريسبي!$A$2:$A$1800,$A146,الريسبي!$B$2:$B$1800,AX$1)</f>
        <v>0</v>
      </c>
      <c r="AY146" s="117" t="n">
        <f aca="false">SUMIFS(الريسبي!$C$2:$C$1800,الريسبي!$A$2:$A$1800,$A146,الريسبي!$B$2:$B$1800,AY$1)</f>
        <v>0</v>
      </c>
      <c r="AZ146" s="117" t="n">
        <f aca="false">SUMIFS(الريسبي!$C$2:$C$1800,الريسبي!$A$2:$A$1800,$A146,الريسبي!$B$2:$B$1800,AZ$1)</f>
        <v>0</v>
      </c>
      <c r="BA146" s="117" t="n">
        <f aca="false">SUMIFS(الريسبي!$C$2:$C$1800,الريسبي!$A$2:$A$1800,$A146,الريسبي!$B$2:$B$1800,BA$1)</f>
        <v>0</v>
      </c>
      <c r="BB146" s="117" t="n">
        <f aca="false">SUMIFS(الريسبي!$C$2:$C$1800,الريسبي!$A$2:$A$1800,$A146,الريسبي!$B$2:$B$1800,BB$1)</f>
        <v>0</v>
      </c>
      <c r="BC146" s="117" t="n">
        <f aca="false">SUMIFS(الريسبي!$C$2:$C$1800,الريسبي!$A$2:$A$1800,$A146,الريسبي!$B$2:$B$1800,BC$1)</f>
        <v>0</v>
      </c>
      <c r="BD146" s="117" t="n">
        <f aca="false">SUMIFS(الريسبي!$C$2:$C$1800,الريسبي!$A$2:$A$1800,$A146,الريسبي!$B$2:$B$1800,BD$1)</f>
        <v>0</v>
      </c>
      <c r="BE146" s="117" t="n">
        <f aca="false">SUMIFS(الريسبي!$C$2:$C$1800,الريسبي!$A$2:$A$1800,$A146,الريسبي!$B$2:$B$1800,BE$1)</f>
        <v>0</v>
      </c>
      <c r="BF146" s="117" t="n">
        <f aca="false">SUMIFS(الريسبي!$C$2:$C$1800,الريسبي!$A$2:$A$1800,$A146,الريسبي!$B$2:$B$1800,BF$1)</f>
        <v>0</v>
      </c>
      <c r="BG146" s="117" t="n">
        <f aca="false">SUMIFS(الريسبي!$C$2:$C$1800,الريسبي!$A$2:$A$1800,$A146,الريسبي!$B$2:$B$1800,BG$1)</f>
        <v>0</v>
      </c>
      <c r="BH146" s="117" t="n">
        <f aca="false">SUMIFS(الريسبي!$C$2:$C$1800,الريسبي!$A$2:$A$1800,$A146,الريسبي!$B$2:$B$1800,BH$1)</f>
        <v>0</v>
      </c>
      <c r="BI146" s="117" t="n">
        <f aca="false">SUMIFS(الريسبي!$C$2:$C$1800,الريسبي!$A$2:$A$1800,$A146,الريسبي!$B$2:$B$1800,BI$1)</f>
        <v>0</v>
      </c>
      <c r="BJ146" s="117" t="n">
        <f aca="false">SUMIFS(الريسبي!$C$2:$C$1800,الريسبي!$A$2:$A$1800,$A146,الريسبي!$B$2:$B$1800,BJ$1)</f>
        <v>0</v>
      </c>
      <c r="BK146" s="117" t="n">
        <f aca="false">SUMIFS(الريسبي!$C$2:$C$1800,الريسبي!$A$2:$A$1800,$A146,الريسبي!$B$2:$B$1800,BK$1)</f>
        <v>0</v>
      </c>
      <c r="BL146" s="117" t="n">
        <f aca="false">SUMIFS(الريسبي!$C$2:$C$1800,الريسبي!$A$2:$A$1800,$A146,الريسبي!$B$2:$B$1800,BL$1)</f>
        <v>0</v>
      </c>
      <c r="BM146" s="117" t="n">
        <f aca="false">SUMIFS(الريسبي!$C$2:$C$1800,الريسبي!$A$2:$A$1800,$A146,الريسبي!$B$2:$B$1800,BM$1)</f>
        <v>0</v>
      </c>
      <c r="BN146" s="117" t="n">
        <f aca="false">SUMIFS(الريسبي!$C$2:$C$1800,الريسبي!$A$2:$A$1800,$A146,الريسبي!$B$2:$B$1800,BN$1)</f>
        <v>0</v>
      </c>
      <c r="BO146" s="117" t="n">
        <f aca="false">SUMIFS(الريسبي!$C$2:$C$1800,الريسبي!$A$2:$A$1800,$A146,الريسبي!$B$2:$B$1800,BO$1)</f>
        <v>0</v>
      </c>
      <c r="BP146" s="117" t="n">
        <f aca="false">SUMIFS(الريسبي!$C$2:$C$1800,الريسبي!$A$2:$A$1800,$A146,الريسبي!$B$2:$B$1800,BP$1)</f>
        <v>0</v>
      </c>
      <c r="BQ146" s="117" t="n">
        <f aca="false">SUMIFS(الريسبي!$C$2:$C$1800,الريسبي!$A$2:$A$1800,$A146,الريسبي!$B$2:$B$1800,BQ$1)+0.17*SUMIFS(الريسبي!$C$2:$C$1800,الريسبي!$A$2:$A$1800,$A146,الريسبي!$B$2:$B$1800,"كاسترد مصنع (خليط بودر + لبن)")+0.17*SUMIFS(الريسبي!$C$2:$C$1800,الريسبي!$A$2:$A$1800,$A146,الريسبي!$B$2:$B$1800,"كاسترد مصنع صيامي (بدون لبن)")</f>
        <v>0</v>
      </c>
      <c r="BR146" s="117" t="n">
        <f aca="false">SUMIFS(الريسبي!$C$2:$C$1800,الريسبي!$A$2:$A$1800,$A146,الريسبي!$B$2:$B$1800,BR$1)</f>
        <v>0</v>
      </c>
      <c r="BS146" s="117" t="n">
        <f aca="false">SUMIFS(الريسبي!$C$2:$C$1800,الريسبي!$A$2:$A$1800,$A146,الريسبي!$B$2:$B$1800,BS$1)</f>
        <v>0</v>
      </c>
      <c r="BT146" s="117" t="n">
        <f aca="false">SUMIFS(الريسبي!$C$2:$C$1800,الريسبي!$A$2:$A$1800,$A146,الريسبي!$B$2:$B$1800,BT$1)</f>
        <v>0</v>
      </c>
      <c r="BU146" s="117" t="n">
        <f aca="false">SUMIFS(الريسبي!$C$2:$C$1800,الريسبي!$A$2:$A$1800,$A146,الريسبي!$B$2:$B$1800,BU$1)+0.4*SUMIFS(الريسبي!$C$2:$C$1800,الريسبي!$A$2:$A$1800,$A146,الريسبي!$B$2:$B$1800,"كاسترد مصنع (خليط بودر + لبن)")+0.03333333333*SUMIFS(الريسبي!$C$2:$C$1800,الريسبي!$A$2:$A$1800,$A146,الريسبي!$B$2:$B$1800,"عجين كريب (مصنع بالمطعم)")</f>
        <v>0</v>
      </c>
      <c r="BV146" s="117" t="n">
        <f aca="false">SUMIFS(الريسبي!$C$2:$C$1800,الريسبي!$A$2:$A$1800,$A146,الريسبي!$B$2:$B$1800,BV$1)</f>
        <v>0</v>
      </c>
      <c r="BW146" s="117" t="n">
        <f aca="false">SUMIFS(الريسبي!$C$2:$C$1800,الريسبي!$A$2:$A$1800,$A146,الريسبي!$B$2:$B$1800,BW$1)</f>
        <v>0</v>
      </c>
      <c r="BX146" s="117" t="n">
        <f aca="false">SUMIFS(الريسبي!$C$2:$C$1800,الريسبي!$A$2:$A$1800,$A146,الريسبي!$B$2:$B$1800,BX$1)</f>
        <v>0</v>
      </c>
      <c r="BY146" s="117" t="n">
        <f aca="false">SUMIFS(الريسبي!$C$2:$C$1800,الريسبي!$A$2:$A$1800,$A146,الريسبي!$B$2:$B$1800,BY$1)</f>
        <v>0</v>
      </c>
      <c r="BZ146" s="117" t="n">
        <f aca="false">SUMIFS(الريسبي!$C$2:$C$1800,الريسبي!$A$2:$A$1800,$A146,الريسبي!$B$2:$B$1800,BZ$1)</f>
        <v>0</v>
      </c>
      <c r="CA146" s="117" t="n">
        <f aca="false">SUMIFS(الريسبي!$C$2:$C$1800,الريسبي!$A$2:$A$1800,$A146,الريسبي!$B$2:$B$1800,CA$1)</f>
        <v>0</v>
      </c>
      <c r="CB146" s="117" t="n">
        <f aca="false">SUMIFS(الريسبي!$C$2:$C$1800,الريسبي!$A$2:$A$1800,$A146,الريسبي!$B$2:$B$1800,CB$1)</f>
        <v>0</v>
      </c>
      <c r="CC146" s="117" t="n">
        <f aca="false">SUMIFS(الريسبي!$C$2:$C$1800,الريسبي!$A$2:$A$1800,$A146,الريسبي!$B$2:$B$1800,CC$1)</f>
        <v>0</v>
      </c>
      <c r="CD146" s="117" t="n">
        <f aca="false">SUMIFS(الريسبي!$C$2:$C$1800,الريسبي!$A$2:$A$1800,$A146,الريسبي!$B$2:$B$1800,CD$1)</f>
        <v>0</v>
      </c>
      <c r="CE146" s="117" t="n">
        <f aca="false">SUMIFS(الريسبي!$C$2:$C$1800,الريسبي!$A$2:$A$1800,$A146,الريسبي!$B$2:$B$1800,CE$1)</f>
        <v>0</v>
      </c>
      <c r="CF146" s="117" t="n">
        <f aca="false">SUMIFS(الريسبي!$C$2:$C$1800,الريسبي!$A$2:$A$1800,$A146,الريسبي!$B$2:$B$1800,CF$1)</f>
        <v>0</v>
      </c>
      <c r="CG146" s="117" t="n">
        <f aca="false">SUMIFS(الريسبي!$C$2:$C$1800,الريسبي!$A$2:$A$1800,$A146,الريسبي!$B$2:$B$1800,CG$1)</f>
        <v>0</v>
      </c>
      <c r="CH146" s="117" t="n">
        <f aca="false">SUMIFS(الريسبي!$C$2:$C$1800,الريسبي!$A$2:$A$1800,$A146,الريسبي!$B$2:$B$1800,CH$1)</f>
        <v>0</v>
      </c>
      <c r="CI146" s="117" t="n">
        <f aca="false">SUMIFS(الريسبي!$C$2:$C$1800,الريسبي!$A$2:$A$1800,$A146,الريسبي!$B$2:$B$1800,CI$1)</f>
        <v>0</v>
      </c>
      <c r="CJ146" s="117" t="n">
        <f aca="false">SUMIFS(الريسبي!$C$2:$C$1800,الريسبي!$A$2:$A$1800,$A146,الريسبي!$B$2:$B$1800,CJ$1)</f>
        <v>0</v>
      </c>
      <c r="CK146" s="117" t="n">
        <f aca="false">SUMIFS(الريسبي!$C$2:$C$1800,الريسبي!$A$2:$A$1800,$A146,الريسبي!$B$2:$B$1800,CK$1)</f>
        <v>0</v>
      </c>
      <c r="CL146" s="117" t="n">
        <f aca="false">SUMIFS(الريسبي!$C$2:$C$1800,الريسبي!$A$2:$A$1800,$A146,الريسبي!$B$2:$B$1800,CL$1)</f>
        <v>0</v>
      </c>
    </row>
    <row r="147" customFormat="false" ht="15" hidden="false" customHeight="false" outlineLevel="0" collapsed="false">
      <c r="A147" s="116" t="str">
        <f aca="false">المنيو!B147</f>
        <v>اضافة بسطرمة (بيتزا وسط)</v>
      </c>
      <c r="B147" s="117" t="n">
        <f aca="false">SUMIFS(الريسبي!$C$2:$C$1800,الريسبي!$A$2:$A$1800,$A147,الريسبي!$B$2:$B$1800,B$1)</f>
        <v>0</v>
      </c>
      <c r="C147" s="117" t="n">
        <f aca="false">SUMIFS(الريسبي!$C$2:$C$1800,الريسبي!$A$2:$A$1800,$A147,الريسبي!$B$2:$B$1800,C$1)</f>
        <v>0</v>
      </c>
      <c r="D147" s="117" t="n">
        <f aca="false">SUMIFS(الريسبي!$C$2:$C$1800,الريسبي!$A$2:$A$1800,$A147,الريسبي!$B$2:$B$1800,D$1)</f>
        <v>0</v>
      </c>
      <c r="E147" s="117" t="n">
        <f aca="false">SUMIFS(الريسبي!$C$2:$C$1800,الريسبي!$A$2:$A$1800,$A147,الريسبي!$B$2:$B$1800,E$1)</f>
        <v>0</v>
      </c>
      <c r="F147" s="117" t="n">
        <f aca="false">SUMIFS(الريسبي!$C$2:$C$1800,الريسبي!$A$2:$A$1800,$A147,الريسبي!$B$2:$B$1800,F$1)</f>
        <v>0</v>
      </c>
      <c r="G147" s="117" t="n">
        <f aca="false">SUMIFS(الريسبي!$C$2:$C$1800,الريسبي!$A$2:$A$1800,$A147,الريسبي!$B$2:$B$1800,G$1)</f>
        <v>1</v>
      </c>
      <c r="H147" s="117" t="n">
        <f aca="false">SUMIFS(الريسبي!$C$2:$C$1800,الريسبي!$A$2:$A$1800,$A147,الريسبي!$B$2:$B$1800,H$1)</f>
        <v>0</v>
      </c>
      <c r="I147" s="117" t="n">
        <f aca="false">SUMIFS(الريسبي!$C$2:$C$1800,الريسبي!$A$2:$A$1800,$A147,الريسبي!$B$2:$B$1800,I$1)</f>
        <v>0</v>
      </c>
      <c r="J147" s="117" t="n">
        <f aca="false">SUMIFS(الريسبي!$C$2:$C$1800,الريسبي!$A$2:$A$1800,$A147,الريسبي!$B$2:$B$1800,J$1)</f>
        <v>0</v>
      </c>
      <c r="K147" s="117" t="n">
        <f aca="false">SUMIFS(الريسبي!$C$2:$C$1800,الريسبي!$A$2:$A$1800,$A147,الريسبي!$B$2:$B$1800,K$1)</f>
        <v>0</v>
      </c>
      <c r="L147" s="117" t="n">
        <f aca="false">SUMIFS(الريسبي!$C$2:$C$1800,الريسبي!$A$2:$A$1800,$A147,الريسبي!$B$2:$B$1800,L$1)</f>
        <v>0</v>
      </c>
      <c r="M147" s="117" t="n">
        <f aca="false">SUMIFS(الريسبي!$C$2:$C$1800,الريسبي!$A$2:$A$1800,$A147,الريسبي!$B$2:$B$1800,M$1)</f>
        <v>0</v>
      </c>
      <c r="N147" s="117" t="n">
        <f aca="false">SUMIFS(الريسبي!$C$2:$C$1800,الريسبي!$A$2:$A$1800,$A147,الريسبي!$B$2:$B$1800,N$1)</f>
        <v>0</v>
      </c>
      <c r="O147" s="117" t="n">
        <f aca="false">SUMIFS(الريسبي!$C$2:$C$1800,الريسبي!$A$2:$A$1800,$A147,الريسبي!$B$2:$B$1800,O$1)</f>
        <v>0</v>
      </c>
      <c r="P147" s="117" t="n">
        <f aca="false">SUMIFS(الريسبي!$C$2:$C$1800,الريسبي!$A$2:$A$1800,$A147,الريسبي!$B$2:$B$1800,P$1)</f>
        <v>0</v>
      </c>
      <c r="Q147" s="117" t="n">
        <f aca="false">SUMIFS(الريسبي!$C$2:$C$1800,الريسبي!$A$2:$A$1800,$A147,الريسبي!$B$2:$B$1800,Q$1)</f>
        <v>0</v>
      </c>
      <c r="R147" s="117" t="n">
        <f aca="false">SUMIFS(الريسبي!$C$2:$C$1800,الريسبي!$A$2:$A$1800,$A147,الريسبي!$B$2:$B$1800,R$1)</f>
        <v>0</v>
      </c>
      <c r="S147" s="117" t="n">
        <f aca="false">SUMIFS(الريسبي!$C$2:$C$1800,الريسبي!$A$2:$A$1800,$A147,الريسبي!$B$2:$B$1800,S$1)</f>
        <v>0</v>
      </c>
      <c r="T147" s="117" t="n">
        <f aca="false">SUMIFS(الريسبي!$C$2:$C$1800,الريسبي!$A$2:$A$1800,$A147,الريسبي!$B$2:$B$1800,T$1)</f>
        <v>0</v>
      </c>
      <c r="U147" s="117" t="n">
        <f aca="false">SUMIFS(الريسبي!$C$2:$C$1800,الريسبي!$A$2:$A$1800,$A147,الريسبي!$B$2:$B$1800,U$1)</f>
        <v>0</v>
      </c>
      <c r="V147" s="117" t="n">
        <f aca="false">SUMIFS(الريسبي!$C$2:$C$1800,الريسبي!$A$2:$A$1800,$A147,الريسبي!$B$2:$B$1800,V$1)+1.5*(SUMIFS(الريسبي!$C$2:$C$1800,الريسبي!$A$2:$A$1800,$A147,الريسبي!$B$2:$B$1800,"برسيون موتزريلا بيتزا كبير"))</f>
        <v>0</v>
      </c>
      <c r="W147" s="117" t="n">
        <f aca="false">0</f>
        <v>0</v>
      </c>
      <c r="X147" s="117" t="n">
        <f aca="false">SUMIFS(الريسبي!$C$2:$C$1800,الريسبي!$A$2:$A$1800,$A147,الريسبي!$B$2:$B$1800,X$1)+1.5*(SUMIFS(الريسبي!$C$2:$C$1800,الريسبي!$A$2:$A$1800,$A147,الريسبي!$B$2:$B$1800,"برسيون موتزريلا فطير كبير"))</f>
        <v>0</v>
      </c>
      <c r="Y147" s="117" t="n">
        <f aca="false">0</f>
        <v>0</v>
      </c>
      <c r="Z147" s="117" t="n">
        <f aca="false">SUMIFS(الريسبي!$C$2:$C$1800,الريسبي!$A$2:$A$1800,$A147,الريسبي!$B$2:$B$1800,Z$1)</f>
        <v>0</v>
      </c>
      <c r="AA147" s="117" t="n">
        <f aca="false">SUMIFS(الريسبي!$C$2:$C$1800,الريسبي!$A$2:$A$1800,$A147,الريسبي!$B$2:$B$1800,AA$1)</f>
        <v>0</v>
      </c>
      <c r="AB147" s="117" t="n">
        <f aca="false">SUMIFS(الريسبي!$C$2:$C$1800,الريسبي!$A$2:$A$1800,$A147,الريسبي!$B$2:$B$1800,AB$1)</f>
        <v>0</v>
      </c>
      <c r="AC147" s="117" t="n">
        <f aca="false">SUMIFS(الريسبي!$C$2:$C$1800,الريسبي!$A$2:$A$1800,$A147,الريسبي!$B$2:$B$1800,AC$1)</f>
        <v>0</v>
      </c>
      <c r="AD147" s="117" t="n">
        <f aca="false">SUMIFS(الريسبي!$C$2:$C$1800,الريسبي!$A$2:$A$1800,$A147,الريسبي!$B$2:$B$1800,AD$1)</f>
        <v>0</v>
      </c>
      <c r="AE147" s="117" t="n">
        <f aca="false">SUMIFS(الريسبي!$C$2:$C$1800,الريسبي!$A$2:$A$1800,$A147,الريسبي!$B$2:$B$1800,AE$1)</f>
        <v>0</v>
      </c>
      <c r="AF147" s="117" t="n">
        <f aca="false">SUMIFS(الريسبي!$C$2:$C$1800,الريسبي!$A$2:$A$1800,$A147,الريسبي!$B$2:$B$1800,AF$1)</f>
        <v>0</v>
      </c>
      <c r="AG147" s="117" t="n">
        <f aca="false">SUMIFS(الريسبي!$C$2:$C$1800,الريسبي!$A$2:$A$1800,$A147,الريسبي!$B$2:$B$1800,AG$1)</f>
        <v>0</v>
      </c>
      <c r="AH147" s="117" t="n">
        <f aca="false">SUMIFS(الريسبي!$C$2:$C$1800,الريسبي!$A$2:$A$1800,$A147,الريسبي!$B$2:$B$1800,AH$1)</f>
        <v>0</v>
      </c>
      <c r="AI147" s="117" t="n">
        <f aca="false">SUMIFS(الريسبي!$C$2:$C$1800,الريسبي!$A$2:$A$1800,$A147,الريسبي!$B$2:$B$1800,AI$1)</f>
        <v>0</v>
      </c>
      <c r="AJ147" s="117" t="n">
        <f aca="false">SUMIFS(الريسبي!$C$2:$C$1800,الريسبي!$A$2:$A$1800,$A147,الريسبي!$B$2:$B$1800,AJ$1)</f>
        <v>0</v>
      </c>
      <c r="AK147" s="117" t="n">
        <f aca="false">SUMIFS(الريسبي!$C$2:$C$1800,الريسبي!$A$2:$A$1800,$A147,الريسبي!$B$2:$B$1800,AK$1)</f>
        <v>0</v>
      </c>
      <c r="AL147" s="117" t="n">
        <f aca="false">SUMIFS(الريسبي!$C$2:$C$1800,الريسبي!$A$2:$A$1800,$A147,الريسبي!$B$2:$B$1800,AL$1)</f>
        <v>0</v>
      </c>
      <c r="AM147" s="117" t="n">
        <f aca="false">SUMIFS(الريسبي!$C$2:$C$1800,الريسبي!$A$2:$A$1800,$A147,الريسبي!$B$2:$B$1800,AM$1)+0.08333333333*SUMIFS(الريسبي!$C$2:$C$1800,الريسبي!$A$2:$A$1800,$A147,الريسبي!$B$2:$B$1800,"عجين كريب (مصنع بالمطعم)")+0.08333333333*SUMIFS(الريسبي!$C$2:$C$1800,الريسبي!$A$2:$A$1800,$A147,الريسبي!$B$2:$B$1800,"عجين كريب صيامي (بدون لبن)")</f>
        <v>0</v>
      </c>
      <c r="AN147" s="117" t="n">
        <f aca="false">SUMIFS(الريسبي!$C$2:$C$1800,الريسبي!$A$2:$A$1800,$A147,الريسبي!$B$2:$B$1800,AN$1)+0.004166666667*SUMIFS(الريسبي!$C$2:$C$1800,الريسبي!$A$2:$A$1800,$A147,الريسبي!$B$2:$B$1800,"عجين كريب (مصنع بالمطعم)")+0.004166666667*SUMIFS(الريسبي!$C$2:$C$1800,الريسبي!$A$2:$A$1800,$A147,الريسبي!$B$2:$B$1800,"عجين كريب صيامي (بدون لبن)")</f>
        <v>0</v>
      </c>
      <c r="AO147" s="117" t="n">
        <f aca="false">SUMIFS(الريسبي!$C$2:$C$1800,الريسبي!$A$2:$A$1800,$A147,الريسبي!$B$2:$B$1800,AO$1)</f>
        <v>0</v>
      </c>
      <c r="AP147" s="117" t="n">
        <f aca="false">SUMIFS(الريسبي!$C$2:$C$1800,الريسبي!$A$2:$A$1800,$A147,الريسبي!$B$2:$B$1800,AP$1)</f>
        <v>0</v>
      </c>
      <c r="AQ147" s="117" t="n">
        <f aca="false">SUMIFS(الريسبي!$C$2:$C$1800,الريسبي!$A$2:$A$1800,$A147,الريسبي!$B$2:$B$1800,AQ$1)+0.004166666667*SUMIFS(الريسبي!$C$2:$C$1800,الريسبي!$A$2:$A$1800,$A147,الريسبي!$B$2:$B$1800,"عجين كريب (مصنع بالمطعم)")+0.004166666667*SUMIFS(الريسبي!$C$2:$C$1800,الريسبي!$A$2:$A$1800,$A147,الريسبي!$B$2:$B$1800,"عجين كريب صيامي (بدون لبن)")</f>
        <v>0</v>
      </c>
      <c r="AR147" s="117" t="n">
        <f aca="false">SUMIFS(الريسبي!$C$2:$C$1800,الريسبي!$A$2:$A$1800,$A147,الريسبي!$B$2:$B$1800,AR$1)</f>
        <v>0</v>
      </c>
      <c r="AS147" s="117" t="n">
        <f aca="false">SUMIFS(الريسبي!$C$2:$C$1800,الريسبي!$A$2:$A$1800,$A147,الريسبي!$B$2:$B$1800,AS$1)</f>
        <v>0</v>
      </c>
      <c r="AT147" s="117" t="n">
        <f aca="false">SUMIFS(الريسبي!$C$2:$C$1800,الريسبي!$A$2:$A$1800,$A147,الريسبي!$B$2:$B$1800,AT$1)</f>
        <v>0</v>
      </c>
      <c r="AU147" s="117" t="n">
        <f aca="false">SUMIFS(الريسبي!$C$2:$C$1800,الريسبي!$A$2:$A$1800,$A147,الريسبي!$B$2:$B$1800,AU$1)</f>
        <v>0</v>
      </c>
      <c r="AV147" s="117" t="n">
        <f aca="false">SUMIFS(الريسبي!$C$2:$C$1800,الريسبي!$A$2:$A$1800,$A147,الريسبي!$B$2:$B$1800,AV$1)</f>
        <v>0</v>
      </c>
      <c r="AW147" s="117" t="n">
        <f aca="false">SUMIFS(الريسبي!$C$2:$C$1800,الريسبي!$A$2:$A$1800,$A147,الريسبي!$B$2:$B$1800,AW$1)</f>
        <v>0</v>
      </c>
      <c r="AX147" s="117" t="n">
        <f aca="false">SUMIFS(الريسبي!$C$2:$C$1800,الريسبي!$A$2:$A$1800,$A147,الريسبي!$B$2:$B$1800,AX$1)</f>
        <v>0</v>
      </c>
      <c r="AY147" s="117" t="n">
        <f aca="false">SUMIFS(الريسبي!$C$2:$C$1800,الريسبي!$A$2:$A$1800,$A147,الريسبي!$B$2:$B$1800,AY$1)</f>
        <v>0</v>
      </c>
      <c r="AZ147" s="117" t="n">
        <f aca="false">SUMIFS(الريسبي!$C$2:$C$1800,الريسبي!$A$2:$A$1800,$A147,الريسبي!$B$2:$B$1800,AZ$1)</f>
        <v>0</v>
      </c>
      <c r="BA147" s="117" t="n">
        <f aca="false">SUMIFS(الريسبي!$C$2:$C$1800,الريسبي!$A$2:$A$1800,$A147,الريسبي!$B$2:$B$1800,BA$1)</f>
        <v>0</v>
      </c>
      <c r="BB147" s="117" t="n">
        <f aca="false">SUMIFS(الريسبي!$C$2:$C$1800,الريسبي!$A$2:$A$1800,$A147,الريسبي!$B$2:$B$1800,BB$1)</f>
        <v>0</v>
      </c>
      <c r="BC147" s="117" t="n">
        <f aca="false">SUMIFS(الريسبي!$C$2:$C$1800,الريسبي!$A$2:$A$1800,$A147,الريسبي!$B$2:$B$1800,BC$1)</f>
        <v>0</v>
      </c>
      <c r="BD147" s="117" t="n">
        <f aca="false">SUMIFS(الريسبي!$C$2:$C$1800,الريسبي!$A$2:$A$1800,$A147,الريسبي!$B$2:$B$1800,BD$1)</f>
        <v>0</v>
      </c>
      <c r="BE147" s="117" t="n">
        <f aca="false">SUMIFS(الريسبي!$C$2:$C$1800,الريسبي!$A$2:$A$1800,$A147,الريسبي!$B$2:$B$1800,BE$1)</f>
        <v>0</v>
      </c>
      <c r="BF147" s="117" t="n">
        <f aca="false">SUMIFS(الريسبي!$C$2:$C$1800,الريسبي!$A$2:$A$1800,$A147,الريسبي!$B$2:$B$1800,BF$1)</f>
        <v>0</v>
      </c>
      <c r="BG147" s="117" t="n">
        <f aca="false">SUMIFS(الريسبي!$C$2:$C$1800,الريسبي!$A$2:$A$1800,$A147,الريسبي!$B$2:$B$1800,BG$1)</f>
        <v>0</v>
      </c>
      <c r="BH147" s="117" t="n">
        <f aca="false">SUMIFS(الريسبي!$C$2:$C$1800,الريسبي!$A$2:$A$1800,$A147,الريسبي!$B$2:$B$1800,BH$1)</f>
        <v>0</v>
      </c>
      <c r="BI147" s="117" t="n">
        <f aca="false">SUMIFS(الريسبي!$C$2:$C$1800,الريسبي!$A$2:$A$1800,$A147,الريسبي!$B$2:$B$1800,BI$1)</f>
        <v>0</v>
      </c>
      <c r="BJ147" s="117" t="n">
        <f aca="false">SUMIFS(الريسبي!$C$2:$C$1800,الريسبي!$A$2:$A$1800,$A147,الريسبي!$B$2:$B$1800,BJ$1)</f>
        <v>0</v>
      </c>
      <c r="BK147" s="117" t="n">
        <f aca="false">SUMIFS(الريسبي!$C$2:$C$1800,الريسبي!$A$2:$A$1800,$A147,الريسبي!$B$2:$B$1800,BK$1)</f>
        <v>0</v>
      </c>
      <c r="BL147" s="117" t="n">
        <f aca="false">SUMIFS(الريسبي!$C$2:$C$1800,الريسبي!$A$2:$A$1800,$A147,الريسبي!$B$2:$B$1800,BL$1)</f>
        <v>0</v>
      </c>
      <c r="BM147" s="117" t="n">
        <f aca="false">SUMIFS(الريسبي!$C$2:$C$1800,الريسبي!$A$2:$A$1800,$A147,الريسبي!$B$2:$B$1800,BM$1)</f>
        <v>0</v>
      </c>
      <c r="BN147" s="117" t="n">
        <f aca="false">SUMIFS(الريسبي!$C$2:$C$1800,الريسبي!$A$2:$A$1800,$A147,الريسبي!$B$2:$B$1800,BN$1)</f>
        <v>0</v>
      </c>
      <c r="BO147" s="117" t="n">
        <f aca="false">SUMIFS(الريسبي!$C$2:$C$1800,الريسبي!$A$2:$A$1800,$A147,الريسبي!$B$2:$B$1800,BO$1)</f>
        <v>0</v>
      </c>
      <c r="BP147" s="117" t="n">
        <f aca="false">SUMIFS(الريسبي!$C$2:$C$1800,الريسبي!$A$2:$A$1800,$A147,الريسبي!$B$2:$B$1800,BP$1)</f>
        <v>0</v>
      </c>
      <c r="BQ147" s="117" t="n">
        <f aca="false">SUMIFS(الريسبي!$C$2:$C$1800,الريسبي!$A$2:$A$1800,$A147,الريسبي!$B$2:$B$1800,BQ$1)+0.17*SUMIFS(الريسبي!$C$2:$C$1800,الريسبي!$A$2:$A$1800,$A147,الريسبي!$B$2:$B$1800,"كاسترد مصنع (خليط بودر + لبن)")+0.17*SUMIFS(الريسبي!$C$2:$C$1800,الريسبي!$A$2:$A$1800,$A147,الريسبي!$B$2:$B$1800,"كاسترد مصنع صيامي (بدون لبن)")</f>
        <v>0</v>
      </c>
      <c r="BR147" s="117" t="n">
        <f aca="false">SUMIFS(الريسبي!$C$2:$C$1800,الريسبي!$A$2:$A$1800,$A147,الريسبي!$B$2:$B$1800,BR$1)</f>
        <v>0</v>
      </c>
      <c r="BS147" s="117" t="n">
        <f aca="false">SUMIFS(الريسبي!$C$2:$C$1800,الريسبي!$A$2:$A$1800,$A147,الريسبي!$B$2:$B$1800,BS$1)</f>
        <v>0</v>
      </c>
      <c r="BT147" s="117" t="n">
        <f aca="false">SUMIFS(الريسبي!$C$2:$C$1800,الريسبي!$A$2:$A$1800,$A147,الريسبي!$B$2:$B$1800,BT$1)</f>
        <v>0</v>
      </c>
      <c r="BU147" s="117" t="n">
        <f aca="false">SUMIFS(الريسبي!$C$2:$C$1800,الريسبي!$A$2:$A$1800,$A147,الريسبي!$B$2:$B$1800,BU$1)+0.4*SUMIFS(الريسبي!$C$2:$C$1800,الريسبي!$A$2:$A$1800,$A147,الريسبي!$B$2:$B$1800,"كاسترد مصنع (خليط بودر + لبن)")+0.03333333333*SUMIFS(الريسبي!$C$2:$C$1800,الريسبي!$A$2:$A$1800,$A147,الريسبي!$B$2:$B$1800,"عجين كريب (مصنع بالمطعم)")</f>
        <v>0</v>
      </c>
      <c r="BV147" s="117" t="n">
        <f aca="false">SUMIFS(الريسبي!$C$2:$C$1800,الريسبي!$A$2:$A$1800,$A147,الريسبي!$B$2:$B$1800,BV$1)</f>
        <v>0</v>
      </c>
      <c r="BW147" s="117" t="n">
        <f aca="false">SUMIFS(الريسبي!$C$2:$C$1800,الريسبي!$A$2:$A$1800,$A147,الريسبي!$B$2:$B$1800,BW$1)</f>
        <v>0</v>
      </c>
      <c r="BX147" s="117" t="n">
        <f aca="false">SUMIFS(الريسبي!$C$2:$C$1800,الريسبي!$A$2:$A$1800,$A147,الريسبي!$B$2:$B$1800,BX$1)</f>
        <v>0</v>
      </c>
      <c r="BY147" s="117" t="n">
        <f aca="false">SUMIFS(الريسبي!$C$2:$C$1800,الريسبي!$A$2:$A$1800,$A147,الريسبي!$B$2:$B$1800,BY$1)</f>
        <v>0</v>
      </c>
      <c r="BZ147" s="117" t="n">
        <f aca="false">SUMIFS(الريسبي!$C$2:$C$1800,الريسبي!$A$2:$A$1800,$A147,الريسبي!$B$2:$B$1800,BZ$1)</f>
        <v>0</v>
      </c>
      <c r="CA147" s="117" t="n">
        <f aca="false">SUMIFS(الريسبي!$C$2:$C$1800,الريسبي!$A$2:$A$1800,$A147,الريسبي!$B$2:$B$1800,CA$1)</f>
        <v>0</v>
      </c>
      <c r="CB147" s="117" t="n">
        <f aca="false">SUMIFS(الريسبي!$C$2:$C$1800,الريسبي!$A$2:$A$1800,$A147,الريسبي!$B$2:$B$1800,CB$1)</f>
        <v>0</v>
      </c>
      <c r="CC147" s="117" t="n">
        <f aca="false">SUMIFS(الريسبي!$C$2:$C$1800,الريسبي!$A$2:$A$1800,$A147,الريسبي!$B$2:$B$1800,CC$1)</f>
        <v>0</v>
      </c>
      <c r="CD147" s="117" t="n">
        <f aca="false">SUMIFS(الريسبي!$C$2:$C$1800,الريسبي!$A$2:$A$1800,$A147,الريسبي!$B$2:$B$1800,CD$1)</f>
        <v>0</v>
      </c>
      <c r="CE147" s="117" t="n">
        <f aca="false">SUMIFS(الريسبي!$C$2:$C$1800,الريسبي!$A$2:$A$1800,$A147,الريسبي!$B$2:$B$1800,CE$1)</f>
        <v>0</v>
      </c>
      <c r="CF147" s="117" t="n">
        <f aca="false">SUMIFS(الريسبي!$C$2:$C$1800,الريسبي!$A$2:$A$1800,$A147,الريسبي!$B$2:$B$1800,CF$1)</f>
        <v>0</v>
      </c>
      <c r="CG147" s="117" t="n">
        <f aca="false">SUMIFS(الريسبي!$C$2:$C$1800,الريسبي!$A$2:$A$1800,$A147,الريسبي!$B$2:$B$1800,CG$1)</f>
        <v>0</v>
      </c>
      <c r="CH147" s="117" t="n">
        <f aca="false">SUMIFS(الريسبي!$C$2:$C$1800,الريسبي!$A$2:$A$1800,$A147,الريسبي!$B$2:$B$1800,CH$1)</f>
        <v>0</v>
      </c>
      <c r="CI147" s="117" t="n">
        <f aca="false">SUMIFS(الريسبي!$C$2:$C$1800,الريسبي!$A$2:$A$1800,$A147,الريسبي!$B$2:$B$1800,CI$1)</f>
        <v>0</v>
      </c>
      <c r="CJ147" s="117" t="n">
        <f aca="false">SUMIFS(الريسبي!$C$2:$C$1800,الريسبي!$A$2:$A$1800,$A147,الريسبي!$B$2:$B$1800,CJ$1)</f>
        <v>0</v>
      </c>
      <c r="CK147" s="117" t="n">
        <f aca="false">SUMIFS(الريسبي!$C$2:$C$1800,الريسبي!$A$2:$A$1800,$A147,الريسبي!$B$2:$B$1800,CK$1)</f>
        <v>0</v>
      </c>
      <c r="CL147" s="117" t="n">
        <f aca="false">SUMIFS(الريسبي!$C$2:$C$1800,الريسبي!$A$2:$A$1800,$A147,الريسبي!$B$2:$B$1800,CL$1)</f>
        <v>0</v>
      </c>
    </row>
    <row r="148" customFormat="false" ht="15" hidden="false" customHeight="false" outlineLevel="0" collapsed="false">
      <c r="A148" s="116" t="str">
        <f aca="false">المنيو!B148</f>
        <v>اضافة بسطرمة (فطير وسط)</v>
      </c>
      <c r="B148" s="117" t="n">
        <f aca="false">SUMIFS(الريسبي!$C$2:$C$1800,الريسبي!$A$2:$A$1800,$A148,الريسبي!$B$2:$B$1800,B$1)</f>
        <v>0</v>
      </c>
      <c r="C148" s="117" t="n">
        <f aca="false">SUMIFS(الريسبي!$C$2:$C$1800,الريسبي!$A$2:$A$1800,$A148,الريسبي!$B$2:$B$1800,C$1)</f>
        <v>0</v>
      </c>
      <c r="D148" s="117" t="n">
        <f aca="false">SUMIFS(الريسبي!$C$2:$C$1800,الريسبي!$A$2:$A$1800,$A148,الريسبي!$B$2:$B$1800,D$1)</f>
        <v>0</v>
      </c>
      <c r="E148" s="117" t="n">
        <f aca="false">SUMIFS(الريسبي!$C$2:$C$1800,الريسبي!$A$2:$A$1800,$A148,الريسبي!$B$2:$B$1800,E$1)</f>
        <v>0</v>
      </c>
      <c r="F148" s="117" t="n">
        <f aca="false">SUMIFS(الريسبي!$C$2:$C$1800,الريسبي!$A$2:$A$1800,$A148,الريسبي!$B$2:$B$1800,F$1)</f>
        <v>0</v>
      </c>
      <c r="G148" s="117" t="n">
        <f aca="false">SUMIFS(الريسبي!$C$2:$C$1800,الريسبي!$A$2:$A$1800,$A148,الريسبي!$B$2:$B$1800,G$1)</f>
        <v>1</v>
      </c>
      <c r="H148" s="117" t="n">
        <f aca="false">SUMIFS(الريسبي!$C$2:$C$1800,الريسبي!$A$2:$A$1800,$A148,الريسبي!$B$2:$B$1800,H$1)</f>
        <v>0</v>
      </c>
      <c r="I148" s="117" t="n">
        <f aca="false">SUMIFS(الريسبي!$C$2:$C$1800,الريسبي!$A$2:$A$1800,$A148,الريسبي!$B$2:$B$1800,I$1)</f>
        <v>0</v>
      </c>
      <c r="J148" s="117" t="n">
        <f aca="false">SUMIFS(الريسبي!$C$2:$C$1800,الريسبي!$A$2:$A$1800,$A148,الريسبي!$B$2:$B$1800,J$1)</f>
        <v>0</v>
      </c>
      <c r="K148" s="117" t="n">
        <f aca="false">SUMIFS(الريسبي!$C$2:$C$1800,الريسبي!$A$2:$A$1800,$A148,الريسبي!$B$2:$B$1800,K$1)</f>
        <v>0</v>
      </c>
      <c r="L148" s="117" t="n">
        <f aca="false">SUMIFS(الريسبي!$C$2:$C$1800,الريسبي!$A$2:$A$1800,$A148,الريسبي!$B$2:$B$1800,L$1)</f>
        <v>0</v>
      </c>
      <c r="M148" s="117" t="n">
        <f aca="false">SUMIFS(الريسبي!$C$2:$C$1800,الريسبي!$A$2:$A$1800,$A148,الريسبي!$B$2:$B$1800,M$1)</f>
        <v>0</v>
      </c>
      <c r="N148" s="117" t="n">
        <f aca="false">SUMIFS(الريسبي!$C$2:$C$1800,الريسبي!$A$2:$A$1800,$A148,الريسبي!$B$2:$B$1800,N$1)</f>
        <v>0</v>
      </c>
      <c r="O148" s="117" t="n">
        <f aca="false">SUMIFS(الريسبي!$C$2:$C$1800,الريسبي!$A$2:$A$1800,$A148,الريسبي!$B$2:$B$1800,O$1)</f>
        <v>0</v>
      </c>
      <c r="P148" s="117" t="n">
        <f aca="false">SUMIFS(الريسبي!$C$2:$C$1800,الريسبي!$A$2:$A$1800,$A148,الريسبي!$B$2:$B$1800,P$1)</f>
        <v>0</v>
      </c>
      <c r="Q148" s="117" t="n">
        <f aca="false">SUMIFS(الريسبي!$C$2:$C$1800,الريسبي!$A$2:$A$1800,$A148,الريسبي!$B$2:$B$1800,Q$1)</f>
        <v>0</v>
      </c>
      <c r="R148" s="117" t="n">
        <f aca="false">SUMIFS(الريسبي!$C$2:$C$1800,الريسبي!$A$2:$A$1800,$A148,الريسبي!$B$2:$B$1800,R$1)</f>
        <v>0</v>
      </c>
      <c r="S148" s="117" t="n">
        <f aca="false">SUMIFS(الريسبي!$C$2:$C$1800,الريسبي!$A$2:$A$1800,$A148,الريسبي!$B$2:$B$1800,S$1)</f>
        <v>0</v>
      </c>
      <c r="T148" s="117" t="n">
        <f aca="false">SUMIFS(الريسبي!$C$2:$C$1800,الريسبي!$A$2:$A$1800,$A148,الريسبي!$B$2:$B$1800,T$1)</f>
        <v>0</v>
      </c>
      <c r="U148" s="117" t="n">
        <f aca="false">SUMIFS(الريسبي!$C$2:$C$1800,الريسبي!$A$2:$A$1800,$A148,الريسبي!$B$2:$B$1800,U$1)</f>
        <v>0</v>
      </c>
      <c r="V148" s="117" t="n">
        <f aca="false">SUMIFS(الريسبي!$C$2:$C$1800,الريسبي!$A$2:$A$1800,$A148,الريسبي!$B$2:$B$1800,V$1)+1.5*(SUMIFS(الريسبي!$C$2:$C$1800,الريسبي!$A$2:$A$1800,$A148,الريسبي!$B$2:$B$1800,"برسيون موتزريلا بيتزا كبير"))</f>
        <v>0</v>
      </c>
      <c r="W148" s="117" t="n">
        <f aca="false">0</f>
        <v>0</v>
      </c>
      <c r="X148" s="117" t="n">
        <f aca="false">SUMIFS(الريسبي!$C$2:$C$1800,الريسبي!$A$2:$A$1800,$A148,الريسبي!$B$2:$B$1800,X$1)+1.5*(SUMIFS(الريسبي!$C$2:$C$1800,الريسبي!$A$2:$A$1800,$A148,الريسبي!$B$2:$B$1800,"برسيون موتزريلا فطير كبير"))</f>
        <v>0</v>
      </c>
      <c r="Y148" s="117" t="n">
        <f aca="false">0</f>
        <v>0</v>
      </c>
      <c r="Z148" s="117" t="n">
        <f aca="false">SUMIFS(الريسبي!$C$2:$C$1800,الريسبي!$A$2:$A$1800,$A148,الريسبي!$B$2:$B$1800,Z$1)</f>
        <v>0</v>
      </c>
      <c r="AA148" s="117" t="n">
        <f aca="false">SUMIFS(الريسبي!$C$2:$C$1800,الريسبي!$A$2:$A$1800,$A148,الريسبي!$B$2:$B$1800,AA$1)</f>
        <v>0</v>
      </c>
      <c r="AB148" s="117" t="n">
        <f aca="false">SUMIFS(الريسبي!$C$2:$C$1800,الريسبي!$A$2:$A$1800,$A148,الريسبي!$B$2:$B$1800,AB$1)</f>
        <v>0</v>
      </c>
      <c r="AC148" s="117" t="n">
        <f aca="false">SUMIFS(الريسبي!$C$2:$C$1800,الريسبي!$A$2:$A$1800,$A148,الريسبي!$B$2:$B$1800,AC$1)</f>
        <v>0</v>
      </c>
      <c r="AD148" s="117" t="n">
        <f aca="false">SUMIFS(الريسبي!$C$2:$C$1800,الريسبي!$A$2:$A$1800,$A148,الريسبي!$B$2:$B$1800,AD$1)</f>
        <v>0</v>
      </c>
      <c r="AE148" s="117" t="n">
        <f aca="false">SUMIFS(الريسبي!$C$2:$C$1800,الريسبي!$A$2:$A$1800,$A148,الريسبي!$B$2:$B$1800,AE$1)</f>
        <v>0</v>
      </c>
      <c r="AF148" s="117" t="n">
        <f aca="false">SUMIFS(الريسبي!$C$2:$C$1800,الريسبي!$A$2:$A$1800,$A148,الريسبي!$B$2:$B$1800,AF$1)</f>
        <v>0</v>
      </c>
      <c r="AG148" s="117" t="n">
        <f aca="false">SUMIFS(الريسبي!$C$2:$C$1800,الريسبي!$A$2:$A$1800,$A148,الريسبي!$B$2:$B$1800,AG$1)</f>
        <v>0</v>
      </c>
      <c r="AH148" s="117" t="n">
        <f aca="false">SUMIFS(الريسبي!$C$2:$C$1800,الريسبي!$A$2:$A$1800,$A148,الريسبي!$B$2:$B$1800,AH$1)</f>
        <v>0</v>
      </c>
      <c r="AI148" s="117" t="n">
        <f aca="false">SUMIFS(الريسبي!$C$2:$C$1800,الريسبي!$A$2:$A$1800,$A148,الريسبي!$B$2:$B$1800,AI$1)</f>
        <v>0</v>
      </c>
      <c r="AJ148" s="117" t="n">
        <f aca="false">SUMIFS(الريسبي!$C$2:$C$1800,الريسبي!$A$2:$A$1800,$A148,الريسبي!$B$2:$B$1800,AJ$1)</f>
        <v>0</v>
      </c>
      <c r="AK148" s="117" t="n">
        <f aca="false">SUMIFS(الريسبي!$C$2:$C$1800,الريسبي!$A$2:$A$1800,$A148,الريسبي!$B$2:$B$1800,AK$1)</f>
        <v>0</v>
      </c>
      <c r="AL148" s="117" t="n">
        <f aca="false">SUMIFS(الريسبي!$C$2:$C$1800,الريسبي!$A$2:$A$1800,$A148,الريسبي!$B$2:$B$1800,AL$1)</f>
        <v>0</v>
      </c>
      <c r="AM148" s="117" t="n">
        <f aca="false">SUMIFS(الريسبي!$C$2:$C$1800,الريسبي!$A$2:$A$1800,$A148,الريسبي!$B$2:$B$1800,AM$1)+0.08333333333*SUMIFS(الريسبي!$C$2:$C$1800,الريسبي!$A$2:$A$1800,$A148,الريسبي!$B$2:$B$1800,"عجين كريب (مصنع بالمطعم)")+0.08333333333*SUMIFS(الريسبي!$C$2:$C$1800,الريسبي!$A$2:$A$1800,$A148,الريسبي!$B$2:$B$1800,"عجين كريب صيامي (بدون لبن)")</f>
        <v>0</v>
      </c>
      <c r="AN148" s="117" t="n">
        <f aca="false">SUMIFS(الريسبي!$C$2:$C$1800,الريسبي!$A$2:$A$1800,$A148,الريسبي!$B$2:$B$1800,AN$1)+0.004166666667*SUMIFS(الريسبي!$C$2:$C$1800,الريسبي!$A$2:$A$1800,$A148,الريسبي!$B$2:$B$1800,"عجين كريب (مصنع بالمطعم)")+0.004166666667*SUMIFS(الريسبي!$C$2:$C$1800,الريسبي!$A$2:$A$1800,$A148,الريسبي!$B$2:$B$1800,"عجين كريب صيامي (بدون لبن)")</f>
        <v>0</v>
      </c>
      <c r="AO148" s="117" t="n">
        <f aca="false">SUMIFS(الريسبي!$C$2:$C$1800,الريسبي!$A$2:$A$1800,$A148,الريسبي!$B$2:$B$1800,AO$1)</f>
        <v>0</v>
      </c>
      <c r="AP148" s="117" t="n">
        <f aca="false">SUMIFS(الريسبي!$C$2:$C$1800,الريسبي!$A$2:$A$1800,$A148,الريسبي!$B$2:$B$1800,AP$1)</f>
        <v>0</v>
      </c>
      <c r="AQ148" s="117" t="n">
        <f aca="false">SUMIFS(الريسبي!$C$2:$C$1800,الريسبي!$A$2:$A$1800,$A148,الريسبي!$B$2:$B$1800,AQ$1)+0.004166666667*SUMIFS(الريسبي!$C$2:$C$1800,الريسبي!$A$2:$A$1800,$A148,الريسبي!$B$2:$B$1800,"عجين كريب (مصنع بالمطعم)")+0.004166666667*SUMIFS(الريسبي!$C$2:$C$1800,الريسبي!$A$2:$A$1800,$A148,الريسبي!$B$2:$B$1800,"عجين كريب صيامي (بدون لبن)")</f>
        <v>0</v>
      </c>
      <c r="AR148" s="117" t="n">
        <f aca="false">SUMIFS(الريسبي!$C$2:$C$1800,الريسبي!$A$2:$A$1800,$A148,الريسبي!$B$2:$B$1800,AR$1)</f>
        <v>0</v>
      </c>
      <c r="AS148" s="117" t="n">
        <f aca="false">SUMIFS(الريسبي!$C$2:$C$1800,الريسبي!$A$2:$A$1800,$A148,الريسبي!$B$2:$B$1800,AS$1)</f>
        <v>0</v>
      </c>
      <c r="AT148" s="117" t="n">
        <f aca="false">SUMIFS(الريسبي!$C$2:$C$1800,الريسبي!$A$2:$A$1800,$A148,الريسبي!$B$2:$B$1800,AT$1)</f>
        <v>0</v>
      </c>
      <c r="AU148" s="117" t="n">
        <f aca="false">SUMIFS(الريسبي!$C$2:$C$1800,الريسبي!$A$2:$A$1800,$A148,الريسبي!$B$2:$B$1800,AU$1)</f>
        <v>0</v>
      </c>
      <c r="AV148" s="117" t="n">
        <f aca="false">SUMIFS(الريسبي!$C$2:$C$1800,الريسبي!$A$2:$A$1800,$A148,الريسبي!$B$2:$B$1800,AV$1)</f>
        <v>0</v>
      </c>
      <c r="AW148" s="117" t="n">
        <f aca="false">SUMIFS(الريسبي!$C$2:$C$1800,الريسبي!$A$2:$A$1800,$A148,الريسبي!$B$2:$B$1800,AW$1)</f>
        <v>0</v>
      </c>
      <c r="AX148" s="117" t="n">
        <f aca="false">SUMIFS(الريسبي!$C$2:$C$1800,الريسبي!$A$2:$A$1800,$A148,الريسبي!$B$2:$B$1800,AX$1)</f>
        <v>0</v>
      </c>
      <c r="AY148" s="117" t="n">
        <f aca="false">SUMIFS(الريسبي!$C$2:$C$1800,الريسبي!$A$2:$A$1800,$A148,الريسبي!$B$2:$B$1800,AY$1)</f>
        <v>0</v>
      </c>
      <c r="AZ148" s="117" t="n">
        <f aca="false">SUMIFS(الريسبي!$C$2:$C$1800,الريسبي!$A$2:$A$1800,$A148,الريسبي!$B$2:$B$1800,AZ$1)</f>
        <v>0</v>
      </c>
      <c r="BA148" s="117" t="n">
        <f aca="false">SUMIFS(الريسبي!$C$2:$C$1800,الريسبي!$A$2:$A$1800,$A148,الريسبي!$B$2:$B$1800,BA$1)</f>
        <v>0</v>
      </c>
      <c r="BB148" s="117" t="n">
        <f aca="false">SUMIFS(الريسبي!$C$2:$C$1800,الريسبي!$A$2:$A$1800,$A148,الريسبي!$B$2:$B$1800,BB$1)</f>
        <v>0</v>
      </c>
      <c r="BC148" s="117" t="n">
        <f aca="false">SUMIFS(الريسبي!$C$2:$C$1800,الريسبي!$A$2:$A$1800,$A148,الريسبي!$B$2:$B$1800,BC$1)</f>
        <v>0</v>
      </c>
      <c r="BD148" s="117" t="n">
        <f aca="false">SUMIFS(الريسبي!$C$2:$C$1800,الريسبي!$A$2:$A$1800,$A148,الريسبي!$B$2:$B$1800,BD$1)</f>
        <v>0</v>
      </c>
      <c r="BE148" s="117" t="n">
        <f aca="false">SUMIFS(الريسبي!$C$2:$C$1800,الريسبي!$A$2:$A$1800,$A148,الريسبي!$B$2:$B$1800,BE$1)</f>
        <v>0</v>
      </c>
      <c r="BF148" s="117" t="n">
        <f aca="false">SUMIFS(الريسبي!$C$2:$C$1800,الريسبي!$A$2:$A$1800,$A148,الريسبي!$B$2:$B$1800,BF$1)</f>
        <v>0</v>
      </c>
      <c r="BG148" s="117" t="n">
        <f aca="false">SUMIFS(الريسبي!$C$2:$C$1800,الريسبي!$A$2:$A$1800,$A148,الريسبي!$B$2:$B$1800,BG$1)</f>
        <v>0</v>
      </c>
      <c r="BH148" s="117" t="n">
        <f aca="false">SUMIFS(الريسبي!$C$2:$C$1800,الريسبي!$A$2:$A$1800,$A148,الريسبي!$B$2:$B$1800,BH$1)</f>
        <v>0</v>
      </c>
      <c r="BI148" s="117" t="n">
        <f aca="false">SUMIFS(الريسبي!$C$2:$C$1800,الريسبي!$A$2:$A$1800,$A148,الريسبي!$B$2:$B$1800,BI$1)</f>
        <v>0</v>
      </c>
      <c r="BJ148" s="117" t="n">
        <f aca="false">SUMIFS(الريسبي!$C$2:$C$1800,الريسبي!$A$2:$A$1800,$A148,الريسبي!$B$2:$B$1800,BJ$1)</f>
        <v>0</v>
      </c>
      <c r="BK148" s="117" t="n">
        <f aca="false">SUMIFS(الريسبي!$C$2:$C$1800,الريسبي!$A$2:$A$1800,$A148,الريسبي!$B$2:$B$1800,BK$1)</f>
        <v>0</v>
      </c>
      <c r="BL148" s="117" t="n">
        <f aca="false">SUMIFS(الريسبي!$C$2:$C$1800,الريسبي!$A$2:$A$1800,$A148,الريسبي!$B$2:$B$1800,BL$1)</f>
        <v>0</v>
      </c>
      <c r="BM148" s="117" t="n">
        <f aca="false">SUMIFS(الريسبي!$C$2:$C$1800,الريسبي!$A$2:$A$1800,$A148,الريسبي!$B$2:$B$1800,BM$1)</f>
        <v>0</v>
      </c>
      <c r="BN148" s="117" t="n">
        <f aca="false">SUMIFS(الريسبي!$C$2:$C$1800,الريسبي!$A$2:$A$1800,$A148,الريسبي!$B$2:$B$1800,BN$1)</f>
        <v>0</v>
      </c>
      <c r="BO148" s="117" t="n">
        <f aca="false">SUMIFS(الريسبي!$C$2:$C$1800,الريسبي!$A$2:$A$1800,$A148,الريسبي!$B$2:$B$1800,BO$1)</f>
        <v>0</v>
      </c>
      <c r="BP148" s="117" t="n">
        <f aca="false">SUMIFS(الريسبي!$C$2:$C$1800,الريسبي!$A$2:$A$1800,$A148,الريسبي!$B$2:$B$1800,BP$1)</f>
        <v>0</v>
      </c>
      <c r="BQ148" s="117" t="n">
        <f aca="false">SUMIFS(الريسبي!$C$2:$C$1800,الريسبي!$A$2:$A$1800,$A148,الريسبي!$B$2:$B$1800,BQ$1)+0.17*SUMIFS(الريسبي!$C$2:$C$1800,الريسبي!$A$2:$A$1800,$A148,الريسبي!$B$2:$B$1800,"كاسترد مصنع (خليط بودر + لبن)")+0.17*SUMIFS(الريسبي!$C$2:$C$1800,الريسبي!$A$2:$A$1800,$A148,الريسبي!$B$2:$B$1800,"كاسترد مصنع صيامي (بدون لبن)")</f>
        <v>0</v>
      </c>
      <c r="BR148" s="117" t="n">
        <f aca="false">SUMIFS(الريسبي!$C$2:$C$1800,الريسبي!$A$2:$A$1800,$A148,الريسبي!$B$2:$B$1800,BR$1)</f>
        <v>0</v>
      </c>
      <c r="BS148" s="117" t="n">
        <f aca="false">SUMIFS(الريسبي!$C$2:$C$1800,الريسبي!$A$2:$A$1800,$A148,الريسبي!$B$2:$B$1800,BS$1)</f>
        <v>0</v>
      </c>
      <c r="BT148" s="117" t="n">
        <f aca="false">SUMIFS(الريسبي!$C$2:$C$1800,الريسبي!$A$2:$A$1800,$A148,الريسبي!$B$2:$B$1800,BT$1)</f>
        <v>0</v>
      </c>
      <c r="BU148" s="117" t="n">
        <f aca="false">SUMIFS(الريسبي!$C$2:$C$1800,الريسبي!$A$2:$A$1800,$A148,الريسبي!$B$2:$B$1800,BU$1)+0.4*SUMIFS(الريسبي!$C$2:$C$1800,الريسبي!$A$2:$A$1800,$A148,الريسبي!$B$2:$B$1800,"كاسترد مصنع (خليط بودر + لبن)")+0.03333333333*SUMIFS(الريسبي!$C$2:$C$1800,الريسبي!$A$2:$A$1800,$A148,الريسبي!$B$2:$B$1800,"عجين كريب (مصنع بالمطعم)")</f>
        <v>0</v>
      </c>
      <c r="BV148" s="117" t="n">
        <f aca="false">SUMIFS(الريسبي!$C$2:$C$1800,الريسبي!$A$2:$A$1800,$A148,الريسبي!$B$2:$B$1800,BV$1)</f>
        <v>0</v>
      </c>
      <c r="BW148" s="117" t="n">
        <f aca="false">SUMIFS(الريسبي!$C$2:$C$1800,الريسبي!$A$2:$A$1800,$A148,الريسبي!$B$2:$B$1800,BW$1)</f>
        <v>0</v>
      </c>
      <c r="BX148" s="117" t="n">
        <f aca="false">SUMIFS(الريسبي!$C$2:$C$1800,الريسبي!$A$2:$A$1800,$A148,الريسبي!$B$2:$B$1800,BX$1)</f>
        <v>0</v>
      </c>
      <c r="BY148" s="117" t="n">
        <f aca="false">SUMIFS(الريسبي!$C$2:$C$1800,الريسبي!$A$2:$A$1800,$A148,الريسبي!$B$2:$B$1800,BY$1)</f>
        <v>0</v>
      </c>
      <c r="BZ148" s="117" t="n">
        <f aca="false">SUMIFS(الريسبي!$C$2:$C$1800,الريسبي!$A$2:$A$1800,$A148,الريسبي!$B$2:$B$1800,BZ$1)</f>
        <v>0</v>
      </c>
      <c r="CA148" s="117" t="n">
        <f aca="false">SUMIFS(الريسبي!$C$2:$C$1800,الريسبي!$A$2:$A$1800,$A148,الريسبي!$B$2:$B$1800,CA$1)</f>
        <v>0</v>
      </c>
      <c r="CB148" s="117" t="n">
        <f aca="false">SUMIFS(الريسبي!$C$2:$C$1800,الريسبي!$A$2:$A$1800,$A148,الريسبي!$B$2:$B$1800,CB$1)</f>
        <v>0</v>
      </c>
      <c r="CC148" s="117" t="n">
        <f aca="false">SUMIFS(الريسبي!$C$2:$C$1800,الريسبي!$A$2:$A$1800,$A148,الريسبي!$B$2:$B$1800,CC$1)</f>
        <v>0</v>
      </c>
      <c r="CD148" s="117" t="n">
        <f aca="false">SUMIFS(الريسبي!$C$2:$C$1800,الريسبي!$A$2:$A$1800,$A148,الريسبي!$B$2:$B$1800,CD$1)</f>
        <v>0</v>
      </c>
      <c r="CE148" s="117" t="n">
        <f aca="false">SUMIFS(الريسبي!$C$2:$C$1800,الريسبي!$A$2:$A$1800,$A148,الريسبي!$B$2:$B$1800,CE$1)</f>
        <v>0</v>
      </c>
      <c r="CF148" s="117" t="n">
        <f aca="false">SUMIFS(الريسبي!$C$2:$C$1800,الريسبي!$A$2:$A$1800,$A148,الريسبي!$B$2:$B$1800,CF$1)</f>
        <v>0</v>
      </c>
      <c r="CG148" s="117" t="n">
        <f aca="false">SUMIFS(الريسبي!$C$2:$C$1800,الريسبي!$A$2:$A$1800,$A148,الريسبي!$B$2:$B$1800,CG$1)</f>
        <v>0</v>
      </c>
      <c r="CH148" s="117" t="n">
        <f aca="false">SUMIFS(الريسبي!$C$2:$C$1800,الريسبي!$A$2:$A$1800,$A148,الريسبي!$B$2:$B$1800,CH$1)</f>
        <v>0</v>
      </c>
      <c r="CI148" s="117" t="n">
        <f aca="false">SUMIFS(الريسبي!$C$2:$C$1800,الريسبي!$A$2:$A$1800,$A148,الريسبي!$B$2:$B$1800,CI$1)</f>
        <v>0</v>
      </c>
      <c r="CJ148" s="117" t="n">
        <f aca="false">SUMIFS(الريسبي!$C$2:$C$1800,الريسبي!$A$2:$A$1800,$A148,الريسبي!$B$2:$B$1800,CJ$1)</f>
        <v>0</v>
      </c>
      <c r="CK148" s="117" t="n">
        <f aca="false">SUMIFS(الريسبي!$C$2:$C$1800,الريسبي!$A$2:$A$1800,$A148,الريسبي!$B$2:$B$1800,CK$1)</f>
        <v>0</v>
      </c>
      <c r="CL148" s="117" t="n">
        <f aca="false">SUMIFS(الريسبي!$C$2:$C$1800,الريسبي!$A$2:$A$1800,$A148,الريسبي!$B$2:$B$1800,CL$1)</f>
        <v>0</v>
      </c>
    </row>
    <row r="149" customFormat="false" ht="15" hidden="false" customHeight="false" outlineLevel="0" collapsed="false">
      <c r="A149" s="116" t="str">
        <f aca="false">المنيو!B149</f>
        <v>اضافة بسطرمة (فطير كبير)</v>
      </c>
      <c r="B149" s="117" t="n">
        <f aca="false">SUMIFS(الريسبي!$C$2:$C$1800,الريسبي!$A$2:$A$1800,$A149,الريسبي!$B$2:$B$1800,B$1)</f>
        <v>0</v>
      </c>
      <c r="C149" s="117" t="n">
        <f aca="false">SUMIFS(الريسبي!$C$2:$C$1800,الريسبي!$A$2:$A$1800,$A149,الريسبي!$B$2:$B$1800,C$1)</f>
        <v>0</v>
      </c>
      <c r="D149" s="117" t="n">
        <f aca="false">SUMIFS(الريسبي!$C$2:$C$1800,الريسبي!$A$2:$A$1800,$A149,الريسبي!$B$2:$B$1800,D$1)</f>
        <v>0</v>
      </c>
      <c r="E149" s="117" t="n">
        <f aca="false">SUMIFS(الريسبي!$C$2:$C$1800,الريسبي!$A$2:$A$1800,$A149,الريسبي!$B$2:$B$1800,E$1)</f>
        <v>0</v>
      </c>
      <c r="F149" s="117" t="n">
        <f aca="false">SUMIFS(الريسبي!$C$2:$C$1800,الريسبي!$A$2:$A$1800,$A149,الريسبي!$B$2:$B$1800,F$1)</f>
        <v>0</v>
      </c>
      <c r="G149" s="117" t="n">
        <f aca="false">SUMIFS(الريسبي!$C$2:$C$1800,الريسبي!$A$2:$A$1800,$A149,الريسبي!$B$2:$B$1800,G$1)</f>
        <v>0</v>
      </c>
      <c r="H149" s="117" t="n">
        <f aca="false">SUMIFS(الريسبي!$C$2:$C$1800,الريسبي!$A$2:$A$1800,$A149,الريسبي!$B$2:$B$1800,H$1)</f>
        <v>1</v>
      </c>
      <c r="I149" s="117" t="n">
        <f aca="false">SUMIFS(الريسبي!$C$2:$C$1800,الريسبي!$A$2:$A$1800,$A149,الريسبي!$B$2:$B$1800,I$1)</f>
        <v>0</v>
      </c>
      <c r="J149" s="117" t="n">
        <f aca="false">SUMIFS(الريسبي!$C$2:$C$1800,الريسبي!$A$2:$A$1800,$A149,الريسبي!$B$2:$B$1800,J$1)</f>
        <v>0</v>
      </c>
      <c r="K149" s="117" t="n">
        <f aca="false">SUMIFS(الريسبي!$C$2:$C$1800,الريسبي!$A$2:$A$1800,$A149,الريسبي!$B$2:$B$1800,K$1)</f>
        <v>0</v>
      </c>
      <c r="L149" s="117" t="n">
        <f aca="false">SUMIFS(الريسبي!$C$2:$C$1800,الريسبي!$A$2:$A$1800,$A149,الريسبي!$B$2:$B$1800,L$1)</f>
        <v>0</v>
      </c>
      <c r="M149" s="117" t="n">
        <f aca="false">SUMIFS(الريسبي!$C$2:$C$1800,الريسبي!$A$2:$A$1800,$A149,الريسبي!$B$2:$B$1800,M$1)</f>
        <v>0</v>
      </c>
      <c r="N149" s="117" t="n">
        <f aca="false">SUMIFS(الريسبي!$C$2:$C$1800,الريسبي!$A$2:$A$1800,$A149,الريسبي!$B$2:$B$1800,N$1)</f>
        <v>0</v>
      </c>
      <c r="O149" s="117" t="n">
        <f aca="false">SUMIFS(الريسبي!$C$2:$C$1800,الريسبي!$A$2:$A$1800,$A149,الريسبي!$B$2:$B$1800,O$1)</f>
        <v>0</v>
      </c>
      <c r="P149" s="117" t="n">
        <f aca="false">SUMIFS(الريسبي!$C$2:$C$1800,الريسبي!$A$2:$A$1800,$A149,الريسبي!$B$2:$B$1800,P$1)</f>
        <v>0</v>
      </c>
      <c r="Q149" s="117" t="n">
        <f aca="false">SUMIFS(الريسبي!$C$2:$C$1800,الريسبي!$A$2:$A$1800,$A149,الريسبي!$B$2:$B$1800,Q$1)</f>
        <v>0</v>
      </c>
      <c r="R149" s="117" t="n">
        <f aca="false">SUMIFS(الريسبي!$C$2:$C$1800,الريسبي!$A$2:$A$1800,$A149,الريسبي!$B$2:$B$1800,R$1)</f>
        <v>0</v>
      </c>
      <c r="S149" s="117" t="n">
        <f aca="false">SUMIFS(الريسبي!$C$2:$C$1800,الريسبي!$A$2:$A$1800,$A149,الريسبي!$B$2:$B$1800,S$1)</f>
        <v>0</v>
      </c>
      <c r="T149" s="117" t="n">
        <f aca="false">SUMIFS(الريسبي!$C$2:$C$1800,الريسبي!$A$2:$A$1800,$A149,الريسبي!$B$2:$B$1800,T$1)</f>
        <v>0</v>
      </c>
      <c r="U149" s="117" t="n">
        <f aca="false">SUMIFS(الريسبي!$C$2:$C$1800,الريسبي!$A$2:$A$1800,$A149,الريسبي!$B$2:$B$1800,U$1)</f>
        <v>0</v>
      </c>
      <c r="V149" s="117" t="n">
        <f aca="false">SUMIFS(الريسبي!$C$2:$C$1800,الريسبي!$A$2:$A$1800,$A149,الريسبي!$B$2:$B$1800,V$1)+1.5*(SUMIFS(الريسبي!$C$2:$C$1800,الريسبي!$A$2:$A$1800,$A149,الريسبي!$B$2:$B$1800,"برسيون موتزريلا بيتزا كبير"))</f>
        <v>0</v>
      </c>
      <c r="W149" s="117" t="n">
        <f aca="false">0</f>
        <v>0</v>
      </c>
      <c r="X149" s="117" t="n">
        <f aca="false">SUMIFS(الريسبي!$C$2:$C$1800,الريسبي!$A$2:$A$1800,$A149,الريسبي!$B$2:$B$1800,X$1)+1.5*(SUMIFS(الريسبي!$C$2:$C$1800,الريسبي!$A$2:$A$1800,$A149,الريسبي!$B$2:$B$1800,"برسيون موتزريلا فطير كبير"))</f>
        <v>0</v>
      </c>
      <c r="Y149" s="117" t="n">
        <f aca="false">0</f>
        <v>0</v>
      </c>
      <c r="Z149" s="117" t="n">
        <f aca="false">SUMIFS(الريسبي!$C$2:$C$1800,الريسبي!$A$2:$A$1800,$A149,الريسبي!$B$2:$B$1800,Z$1)</f>
        <v>0</v>
      </c>
      <c r="AA149" s="117" t="n">
        <f aca="false">SUMIFS(الريسبي!$C$2:$C$1800,الريسبي!$A$2:$A$1800,$A149,الريسبي!$B$2:$B$1800,AA$1)</f>
        <v>0</v>
      </c>
      <c r="AB149" s="117" t="n">
        <f aca="false">SUMIFS(الريسبي!$C$2:$C$1800,الريسبي!$A$2:$A$1800,$A149,الريسبي!$B$2:$B$1800,AB$1)</f>
        <v>0</v>
      </c>
      <c r="AC149" s="117" t="n">
        <f aca="false">SUMIFS(الريسبي!$C$2:$C$1800,الريسبي!$A$2:$A$1800,$A149,الريسبي!$B$2:$B$1800,AC$1)</f>
        <v>0</v>
      </c>
      <c r="AD149" s="117" t="n">
        <f aca="false">SUMIFS(الريسبي!$C$2:$C$1800,الريسبي!$A$2:$A$1800,$A149,الريسبي!$B$2:$B$1800,AD$1)</f>
        <v>0</v>
      </c>
      <c r="AE149" s="117" t="n">
        <f aca="false">SUMIFS(الريسبي!$C$2:$C$1800,الريسبي!$A$2:$A$1800,$A149,الريسبي!$B$2:$B$1800,AE$1)</f>
        <v>0</v>
      </c>
      <c r="AF149" s="117" t="n">
        <f aca="false">SUMIFS(الريسبي!$C$2:$C$1800,الريسبي!$A$2:$A$1800,$A149,الريسبي!$B$2:$B$1800,AF$1)</f>
        <v>0</v>
      </c>
      <c r="AG149" s="117" t="n">
        <f aca="false">SUMIFS(الريسبي!$C$2:$C$1800,الريسبي!$A$2:$A$1800,$A149,الريسبي!$B$2:$B$1800,AG$1)</f>
        <v>0</v>
      </c>
      <c r="AH149" s="117" t="n">
        <f aca="false">SUMIFS(الريسبي!$C$2:$C$1800,الريسبي!$A$2:$A$1800,$A149,الريسبي!$B$2:$B$1800,AH$1)</f>
        <v>0</v>
      </c>
      <c r="AI149" s="117" t="n">
        <f aca="false">SUMIFS(الريسبي!$C$2:$C$1800,الريسبي!$A$2:$A$1800,$A149,الريسبي!$B$2:$B$1800,AI$1)</f>
        <v>0</v>
      </c>
      <c r="AJ149" s="117" t="n">
        <f aca="false">SUMIFS(الريسبي!$C$2:$C$1800,الريسبي!$A$2:$A$1800,$A149,الريسبي!$B$2:$B$1800,AJ$1)</f>
        <v>0</v>
      </c>
      <c r="AK149" s="117" t="n">
        <f aca="false">SUMIFS(الريسبي!$C$2:$C$1800,الريسبي!$A$2:$A$1800,$A149,الريسبي!$B$2:$B$1800,AK$1)</f>
        <v>0</v>
      </c>
      <c r="AL149" s="117" t="n">
        <f aca="false">SUMIFS(الريسبي!$C$2:$C$1800,الريسبي!$A$2:$A$1800,$A149,الريسبي!$B$2:$B$1800,AL$1)</f>
        <v>0</v>
      </c>
      <c r="AM149" s="117" t="n">
        <f aca="false">SUMIFS(الريسبي!$C$2:$C$1800,الريسبي!$A$2:$A$1800,$A149,الريسبي!$B$2:$B$1800,AM$1)+0.08333333333*SUMIFS(الريسبي!$C$2:$C$1800,الريسبي!$A$2:$A$1800,$A149,الريسبي!$B$2:$B$1800,"عجين كريب (مصنع بالمطعم)")+0.08333333333*SUMIFS(الريسبي!$C$2:$C$1800,الريسبي!$A$2:$A$1800,$A149,الريسبي!$B$2:$B$1800,"عجين كريب صيامي (بدون لبن)")</f>
        <v>0</v>
      </c>
      <c r="AN149" s="117" t="n">
        <f aca="false">SUMIFS(الريسبي!$C$2:$C$1800,الريسبي!$A$2:$A$1800,$A149,الريسبي!$B$2:$B$1800,AN$1)+0.004166666667*SUMIFS(الريسبي!$C$2:$C$1800,الريسبي!$A$2:$A$1800,$A149,الريسبي!$B$2:$B$1800,"عجين كريب (مصنع بالمطعم)")+0.004166666667*SUMIFS(الريسبي!$C$2:$C$1800,الريسبي!$A$2:$A$1800,$A149,الريسبي!$B$2:$B$1800,"عجين كريب صيامي (بدون لبن)")</f>
        <v>0</v>
      </c>
      <c r="AO149" s="117" t="n">
        <f aca="false">SUMIFS(الريسبي!$C$2:$C$1800,الريسبي!$A$2:$A$1800,$A149,الريسبي!$B$2:$B$1800,AO$1)</f>
        <v>0</v>
      </c>
      <c r="AP149" s="117" t="n">
        <f aca="false">SUMIFS(الريسبي!$C$2:$C$1800,الريسبي!$A$2:$A$1800,$A149,الريسبي!$B$2:$B$1800,AP$1)</f>
        <v>0</v>
      </c>
      <c r="AQ149" s="117" t="n">
        <f aca="false">SUMIFS(الريسبي!$C$2:$C$1800,الريسبي!$A$2:$A$1800,$A149,الريسبي!$B$2:$B$1800,AQ$1)+0.004166666667*SUMIFS(الريسبي!$C$2:$C$1800,الريسبي!$A$2:$A$1800,$A149,الريسبي!$B$2:$B$1800,"عجين كريب (مصنع بالمطعم)")+0.004166666667*SUMIFS(الريسبي!$C$2:$C$1800,الريسبي!$A$2:$A$1800,$A149,الريسبي!$B$2:$B$1800,"عجين كريب صيامي (بدون لبن)")</f>
        <v>0</v>
      </c>
      <c r="AR149" s="117" t="n">
        <f aca="false">SUMIFS(الريسبي!$C$2:$C$1800,الريسبي!$A$2:$A$1800,$A149,الريسبي!$B$2:$B$1800,AR$1)</f>
        <v>0</v>
      </c>
      <c r="AS149" s="117" t="n">
        <f aca="false">SUMIFS(الريسبي!$C$2:$C$1800,الريسبي!$A$2:$A$1800,$A149,الريسبي!$B$2:$B$1800,AS$1)</f>
        <v>0</v>
      </c>
      <c r="AT149" s="117" t="n">
        <f aca="false">SUMIFS(الريسبي!$C$2:$C$1800,الريسبي!$A$2:$A$1800,$A149,الريسبي!$B$2:$B$1800,AT$1)</f>
        <v>0</v>
      </c>
      <c r="AU149" s="117" t="n">
        <f aca="false">SUMIFS(الريسبي!$C$2:$C$1800,الريسبي!$A$2:$A$1800,$A149,الريسبي!$B$2:$B$1800,AU$1)</f>
        <v>0</v>
      </c>
      <c r="AV149" s="117" t="n">
        <f aca="false">SUMIFS(الريسبي!$C$2:$C$1800,الريسبي!$A$2:$A$1800,$A149,الريسبي!$B$2:$B$1800,AV$1)</f>
        <v>0</v>
      </c>
      <c r="AW149" s="117" t="n">
        <f aca="false">SUMIFS(الريسبي!$C$2:$C$1800,الريسبي!$A$2:$A$1800,$A149,الريسبي!$B$2:$B$1800,AW$1)</f>
        <v>0</v>
      </c>
      <c r="AX149" s="117" t="n">
        <f aca="false">SUMIFS(الريسبي!$C$2:$C$1800,الريسبي!$A$2:$A$1800,$A149,الريسبي!$B$2:$B$1800,AX$1)</f>
        <v>0</v>
      </c>
      <c r="AY149" s="117" t="n">
        <f aca="false">SUMIFS(الريسبي!$C$2:$C$1800,الريسبي!$A$2:$A$1800,$A149,الريسبي!$B$2:$B$1800,AY$1)</f>
        <v>0</v>
      </c>
      <c r="AZ149" s="117" t="n">
        <f aca="false">SUMIFS(الريسبي!$C$2:$C$1800,الريسبي!$A$2:$A$1800,$A149,الريسبي!$B$2:$B$1800,AZ$1)</f>
        <v>0</v>
      </c>
      <c r="BA149" s="117" t="n">
        <f aca="false">SUMIFS(الريسبي!$C$2:$C$1800,الريسبي!$A$2:$A$1800,$A149,الريسبي!$B$2:$B$1800,BA$1)</f>
        <v>0</v>
      </c>
      <c r="BB149" s="117" t="n">
        <f aca="false">SUMIFS(الريسبي!$C$2:$C$1800,الريسبي!$A$2:$A$1800,$A149,الريسبي!$B$2:$B$1800,BB$1)</f>
        <v>0</v>
      </c>
      <c r="BC149" s="117" t="n">
        <f aca="false">SUMIFS(الريسبي!$C$2:$C$1800,الريسبي!$A$2:$A$1800,$A149,الريسبي!$B$2:$B$1800,BC$1)</f>
        <v>0</v>
      </c>
      <c r="BD149" s="117" t="n">
        <f aca="false">SUMIFS(الريسبي!$C$2:$C$1800,الريسبي!$A$2:$A$1800,$A149,الريسبي!$B$2:$B$1800,BD$1)</f>
        <v>0</v>
      </c>
      <c r="BE149" s="117" t="n">
        <f aca="false">SUMIFS(الريسبي!$C$2:$C$1800,الريسبي!$A$2:$A$1800,$A149,الريسبي!$B$2:$B$1800,BE$1)</f>
        <v>0</v>
      </c>
      <c r="BF149" s="117" t="n">
        <f aca="false">SUMIFS(الريسبي!$C$2:$C$1800,الريسبي!$A$2:$A$1800,$A149,الريسبي!$B$2:$B$1800,BF$1)</f>
        <v>0</v>
      </c>
      <c r="BG149" s="117" t="n">
        <f aca="false">SUMIFS(الريسبي!$C$2:$C$1800,الريسبي!$A$2:$A$1800,$A149,الريسبي!$B$2:$B$1800,BG$1)</f>
        <v>0</v>
      </c>
      <c r="BH149" s="117" t="n">
        <f aca="false">SUMIFS(الريسبي!$C$2:$C$1800,الريسبي!$A$2:$A$1800,$A149,الريسبي!$B$2:$B$1800,BH$1)</f>
        <v>0</v>
      </c>
      <c r="BI149" s="117" t="n">
        <f aca="false">SUMIFS(الريسبي!$C$2:$C$1800,الريسبي!$A$2:$A$1800,$A149,الريسبي!$B$2:$B$1800,BI$1)</f>
        <v>0</v>
      </c>
      <c r="BJ149" s="117" t="n">
        <f aca="false">SUMIFS(الريسبي!$C$2:$C$1800,الريسبي!$A$2:$A$1800,$A149,الريسبي!$B$2:$B$1800,BJ$1)</f>
        <v>0</v>
      </c>
      <c r="BK149" s="117" t="n">
        <f aca="false">SUMIFS(الريسبي!$C$2:$C$1800,الريسبي!$A$2:$A$1800,$A149,الريسبي!$B$2:$B$1800,BK$1)</f>
        <v>0</v>
      </c>
      <c r="BL149" s="117" t="n">
        <f aca="false">SUMIFS(الريسبي!$C$2:$C$1800,الريسبي!$A$2:$A$1800,$A149,الريسبي!$B$2:$B$1800,BL$1)</f>
        <v>0</v>
      </c>
      <c r="BM149" s="117" t="n">
        <f aca="false">SUMIFS(الريسبي!$C$2:$C$1800,الريسبي!$A$2:$A$1800,$A149,الريسبي!$B$2:$B$1800,BM$1)</f>
        <v>0</v>
      </c>
      <c r="BN149" s="117" t="n">
        <f aca="false">SUMIFS(الريسبي!$C$2:$C$1800,الريسبي!$A$2:$A$1800,$A149,الريسبي!$B$2:$B$1800,BN$1)</f>
        <v>0</v>
      </c>
      <c r="BO149" s="117" t="n">
        <f aca="false">SUMIFS(الريسبي!$C$2:$C$1800,الريسبي!$A$2:$A$1800,$A149,الريسبي!$B$2:$B$1800,BO$1)</f>
        <v>0</v>
      </c>
      <c r="BP149" s="117" t="n">
        <f aca="false">SUMIFS(الريسبي!$C$2:$C$1800,الريسبي!$A$2:$A$1800,$A149,الريسبي!$B$2:$B$1800,BP$1)</f>
        <v>0</v>
      </c>
      <c r="BQ149" s="117" t="n">
        <f aca="false">SUMIFS(الريسبي!$C$2:$C$1800,الريسبي!$A$2:$A$1800,$A149,الريسبي!$B$2:$B$1800,BQ$1)+0.17*SUMIFS(الريسبي!$C$2:$C$1800,الريسبي!$A$2:$A$1800,$A149,الريسبي!$B$2:$B$1800,"كاسترد مصنع (خليط بودر + لبن)")+0.17*SUMIFS(الريسبي!$C$2:$C$1800,الريسبي!$A$2:$A$1800,$A149,الريسبي!$B$2:$B$1800,"كاسترد مصنع صيامي (بدون لبن)")</f>
        <v>0</v>
      </c>
      <c r="BR149" s="117" t="n">
        <f aca="false">SUMIFS(الريسبي!$C$2:$C$1800,الريسبي!$A$2:$A$1800,$A149,الريسبي!$B$2:$B$1800,BR$1)</f>
        <v>0</v>
      </c>
      <c r="BS149" s="117" t="n">
        <f aca="false">SUMIFS(الريسبي!$C$2:$C$1800,الريسبي!$A$2:$A$1800,$A149,الريسبي!$B$2:$B$1800,BS$1)</f>
        <v>0</v>
      </c>
      <c r="BT149" s="117" t="n">
        <f aca="false">SUMIFS(الريسبي!$C$2:$C$1800,الريسبي!$A$2:$A$1800,$A149,الريسبي!$B$2:$B$1800,BT$1)</f>
        <v>0</v>
      </c>
      <c r="BU149" s="117" t="n">
        <f aca="false">SUMIFS(الريسبي!$C$2:$C$1800,الريسبي!$A$2:$A$1800,$A149,الريسبي!$B$2:$B$1800,BU$1)+0.4*SUMIFS(الريسبي!$C$2:$C$1800,الريسبي!$A$2:$A$1800,$A149,الريسبي!$B$2:$B$1800,"كاسترد مصنع (خليط بودر + لبن)")+0.03333333333*SUMIFS(الريسبي!$C$2:$C$1800,الريسبي!$A$2:$A$1800,$A149,الريسبي!$B$2:$B$1800,"عجين كريب (مصنع بالمطعم)")</f>
        <v>0</v>
      </c>
      <c r="BV149" s="117" t="n">
        <f aca="false">SUMIFS(الريسبي!$C$2:$C$1800,الريسبي!$A$2:$A$1800,$A149,الريسبي!$B$2:$B$1800,BV$1)</f>
        <v>0</v>
      </c>
      <c r="BW149" s="117" t="n">
        <f aca="false">SUMIFS(الريسبي!$C$2:$C$1800,الريسبي!$A$2:$A$1800,$A149,الريسبي!$B$2:$B$1800,BW$1)</f>
        <v>0</v>
      </c>
      <c r="BX149" s="117" t="n">
        <f aca="false">SUMIFS(الريسبي!$C$2:$C$1800,الريسبي!$A$2:$A$1800,$A149,الريسبي!$B$2:$B$1800,BX$1)</f>
        <v>0</v>
      </c>
      <c r="BY149" s="117" t="n">
        <f aca="false">SUMIFS(الريسبي!$C$2:$C$1800,الريسبي!$A$2:$A$1800,$A149,الريسبي!$B$2:$B$1800,BY$1)</f>
        <v>0</v>
      </c>
      <c r="BZ149" s="117" t="n">
        <f aca="false">SUMIFS(الريسبي!$C$2:$C$1800,الريسبي!$A$2:$A$1800,$A149,الريسبي!$B$2:$B$1800,BZ$1)</f>
        <v>0</v>
      </c>
      <c r="CA149" s="117" t="n">
        <f aca="false">SUMIFS(الريسبي!$C$2:$C$1800,الريسبي!$A$2:$A$1800,$A149,الريسبي!$B$2:$B$1800,CA$1)</f>
        <v>0</v>
      </c>
      <c r="CB149" s="117" t="n">
        <f aca="false">SUMIFS(الريسبي!$C$2:$C$1800,الريسبي!$A$2:$A$1800,$A149,الريسبي!$B$2:$B$1800,CB$1)</f>
        <v>0</v>
      </c>
      <c r="CC149" s="117" t="n">
        <f aca="false">SUMIFS(الريسبي!$C$2:$C$1800,الريسبي!$A$2:$A$1800,$A149,الريسبي!$B$2:$B$1800,CC$1)</f>
        <v>0</v>
      </c>
      <c r="CD149" s="117" t="n">
        <f aca="false">SUMIFS(الريسبي!$C$2:$C$1800,الريسبي!$A$2:$A$1800,$A149,الريسبي!$B$2:$B$1800,CD$1)</f>
        <v>0</v>
      </c>
      <c r="CE149" s="117" t="n">
        <f aca="false">SUMIFS(الريسبي!$C$2:$C$1800,الريسبي!$A$2:$A$1800,$A149,الريسبي!$B$2:$B$1800,CE$1)</f>
        <v>0</v>
      </c>
      <c r="CF149" s="117" t="n">
        <f aca="false">SUMIFS(الريسبي!$C$2:$C$1800,الريسبي!$A$2:$A$1800,$A149,الريسبي!$B$2:$B$1800,CF$1)</f>
        <v>0</v>
      </c>
      <c r="CG149" s="117" t="n">
        <f aca="false">SUMIFS(الريسبي!$C$2:$C$1800,الريسبي!$A$2:$A$1800,$A149,الريسبي!$B$2:$B$1800,CG$1)</f>
        <v>0</v>
      </c>
      <c r="CH149" s="117" t="n">
        <f aca="false">SUMIFS(الريسبي!$C$2:$C$1800,الريسبي!$A$2:$A$1800,$A149,الريسبي!$B$2:$B$1800,CH$1)</f>
        <v>0</v>
      </c>
      <c r="CI149" s="117" t="n">
        <f aca="false">SUMIFS(الريسبي!$C$2:$C$1800,الريسبي!$A$2:$A$1800,$A149,الريسبي!$B$2:$B$1800,CI$1)</f>
        <v>0</v>
      </c>
      <c r="CJ149" s="117" t="n">
        <f aca="false">SUMIFS(الريسبي!$C$2:$C$1800,الريسبي!$A$2:$A$1800,$A149,الريسبي!$B$2:$B$1800,CJ$1)</f>
        <v>0</v>
      </c>
      <c r="CK149" s="117" t="n">
        <f aca="false">SUMIFS(الريسبي!$C$2:$C$1800,الريسبي!$A$2:$A$1800,$A149,الريسبي!$B$2:$B$1800,CK$1)</f>
        <v>0</v>
      </c>
      <c r="CL149" s="117" t="n">
        <f aca="false">SUMIFS(الريسبي!$C$2:$C$1800,الريسبي!$A$2:$A$1800,$A149,الريسبي!$B$2:$B$1800,CL$1)</f>
        <v>0</v>
      </c>
    </row>
    <row r="150" customFormat="false" ht="15" hidden="false" customHeight="false" outlineLevel="0" collapsed="false">
      <c r="A150" s="116" t="str">
        <f aca="false">المنيو!B150</f>
        <v>اضافة سلامي (بيتزا وسط)</v>
      </c>
      <c r="B150" s="117" t="n">
        <f aca="false">SUMIFS(الريسبي!$C$2:$C$1800,الريسبي!$A$2:$A$1800,$A150,الريسبي!$B$2:$B$1800,B$1)</f>
        <v>0</v>
      </c>
      <c r="C150" s="117" t="n">
        <f aca="false">SUMIFS(الريسبي!$C$2:$C$1800,الريسبي!$A$2:$A$1800,$A150,الريسبي!$B$2:$B$1800,C$1)</f>
        <v>0</v>
      </c>
      <c r="D150" s="117" t="n">
        <f aca="false">SUMIFS(الريسبي!$C$2:$C$1800,الريسبي!$A$2:$A$1800,$A150,الريسبي!$B$2:$B$1800,D$1)</f>
        <v>0</v>
      </c>
      <c r="E150" s="117" t="n">
        <f aca="false">SUMIFS(الريسبي!$C$2:$C$1800,الريسبي!$A$2:$A$1800,$A150,الريسبي!$B$2:$B$1800,E$1)</f>
        <v>0</v>
      </c>
      <c r="F150" s="117" t="n">
        <f aca="false">SUMIFS(الريسبي!$C$2:$C$1800,الريسبي!$A$2:$A$1800,$A150,الريسبي!$B$2:$B$1800,F$1)</f>
        <v>0</v>
      </c>
      <c r="G150" s="117" t="n">
        <f aca="false">SUMIFS(الريسبي!$C$2:$C$1800,الريسبي!$A$2:$A$1800,$A150,الريسبي!$B$2:$B$1800,G$1)</f>
        <v>0</v>
      </c>
      <c r="H150" s="117" t="n">
        <f aca="false">SUMIFS(الريسبي!$C$2:$C$1800,الريسبي!$A$2:$A$1800,$A150,الريسبي!$B$2:$B$1800,H$1)</f>
        <v>0</v>
      </c>
      <c r="I150" s="117" t="n">
        <f aca="false">SUMIFS(الريسبي!$C$2:$C$1800,الريسبي!$A$2:$A$1800,$A150,الريسبي!$B$2:$B$1800,I$1)</f>
        <v>0</v>
      </c>
      <c r="J150" s="117" t="n">
        <f aca="false">SUMIFS(الريسبي!$C$2:$C$1800,الريسبي!$A$2:$A$1800,$A150,الريسبي!$B$2:$B$1800,J$1)</f>
        <v>0</v>
      </c>
      <c r="K150" s="117" t="n">
        <f aca="false">SUMIFS(الريسبي!$C$2:$C$1800,الريسبي!$A$2:$A$1800,$A150,الريسبي!$B$2:$B$1800,K$1)</f>
        <v>0</v>
      </c>
      <c r="L150" s="117" t="n">
        <f aca="false">SUMIFS(الريسبي!$C$2:$C$1800,الريسبي!$A$2:$A$1800,$A150,الريسبي!$B$2:$B$1800,L$1)</f>
        <v>0</v>
      </c>
      <c r="M150" s="117" t="n">
        <f aca="false">SUMIFS(الريسبي!$C$2:$C$1800,الريسبي!$A$2:$A$1800,$A150,الريسبي!$B$2:$B$1800,M$1)</f>
        <v>0</v>
      </c>
      <c r="N150" s="117" t="n">
        <f aca="false">SUMIFS(الريسبي!$C$2:$C$1800,الريسبي!$A$2:$A$1800,$A150,الريسبي!$B$2:$B$1800,N$1)</f>
        <v>1</v>
      </c>
      <c r="O150" s="117" t="n">
        <f aca="false">SUMIFS(الريسبي!$C$2:$C$1800,الريسبي!$A$2:$A$1800,$A150,الريسبي!$B$2:$B$1800,O$1)</f>
        <v>0</v>
      </c>
      <c r="P150" s="117" t="n">
        <f aca="false">SUMIFS(الريسبي!$C$2:$C$1800,الريسبي!$A$2:$A$1800,$A150,الريسبي!$B$2:$B$1800,P$1)</f>
        <v>0</v>
      </c>
      <c r="Q150" s="117" t="n">
        <f aca="false">SUMIFS(الريسبي!$C$2:$C$1800,الريسبي!$A$2:$A$1800,$A150,الريسبي!$B$2:$B$1800,Q$1)</f>
        <v>0</v>
      </c>
      <c r="R150" s="117" t="n">
        <f aca="false">SUMIFS(الريسبي!$C$2:$C$1800,الريسبي!$A$2:$A$1800,$A150,الريسبي!$B$2:$B$1800,R$1)</f>
        <v>0</v>
      </c>
      <c r="S150" s="117" t="n">
        <f aca="false">SUMIFS(الريسبي!$C$2:$C$1800,الريسبي!$A$2:$A$1800,$A150,الريسبي!$B$2:$B$1800,S$1)</f>
        <v>0</v>
      </c>
      <c r="T150" s="117" t="n">
        <f aca="false">SUMIFS(الريسبي!$C$2:$C$1800,الريسبي!$A$2:$A$1800,$A150,الريسبي!$B$2:$B$1800,T$1)</f>
        <v>0</v>
      </c>
      <c r="U150" s="117" t="n">
        <f aca="false">SUMIFS(الريسبي!$C$2:$C$1800,الريسبي!$A$2:$A$1800,$A150,الريسبي!$B$2:$B$1800,U$1)</f>
        <v>0</v>
      </c>
      <c r="V150" s="117" t="n">
        <f aca="false">SUMIFS(الريسبي!$C$2:$C$1800,الريسبي!$A$2:$A$1800,$A150,الريسبي!$B$2:$B$1800,V$1)+1.5*(SUMIFS(الريسبي!$C$2:$C$1800,الريسبي!$A$2:$A$1800,$A150,الريسبي!$B$2:$B$1800,"برسيون موتزريلا بيتزا كبير"))</f>
        <v>0</v>
      </c>
      <c r="W150" s="117" t="n">
        <f aca="false">0</f>
        <v>0</v>
      </c>
      <c r="X150" s="117" t="n">
        <f aca="false">SUMIFS(الريسبي!$C$2:$C$1800,الريسبي!$A$2:$A$1800,$A150,الريسبي!$B$2:$B$1800,X$1)+1.5*(SUMIFS(الريسبي!$C$2:$C$1800,الريسبي!$A$2:$A$1800,$A150,الريسبي!$B$2:$B$1800,"برسيون موتزريلا فطير كبير"))</f>
        <v>0</v>
      </c>
      <c r="Y150" s="117" t="n">
        <f aca="false">0</f>
        <v>0</v>
      </c>
      <c r="Z150" s="117" t="n">
        <f aca="false">SUMIFS(الريسبي!$C$2:$C$1800,الريسبي!$A$2:$A$1800,$A150,الريسبي!$B$2:$B$1800,Z$1)</f>
        <v>0</v>
      </c>
      <c r="AA150" s="117" t="n">
        <f aca="false">SUMIFS(الريسبي!$C$2:$C$1800,الريسبي!$A$2:$A$1800,$A150,الريسبي!$B$2:$B$1800,AA$1)</f>
        <v>0</v>
      </c>
      <c r="AB150" s="117" t="n">
        <f aca="false">SUMIFS(الريسبي!$C$2:$C$1800,الريسبي!$A$2:$A$1800,$A150,الريسبي!$B$2:$B$1800,AB$1)</f>
        <v>0</v>
      </c>
      <c r="AC150" s="117" t="n">
        <f aca="false">SUMIFS(الريسبي!$C$2:$C$1800,الريسبي!$A$2:$A$1800,$A150,الريسبي!$B$2:$B$1800,AC$1)</f>
        <v>0</v>
      </c>
      <c r="AD150" s="117" t="n">
        <f aca="false">SUMIFS(الريسبي!$C$2:$C$1800,الريسبي!$A$2:$A$1800,$A150,الريسبي!$B$2:$B$1800,AD$1)</f>
        <v>0</v>
      </c>
      <c r="AE150" s="117" t="n">
        <f aca="false">SUMIFS(الريسبي!$C$2:$C$1800,الريسبي!$A$2:$A$1800,$A150,الريسبي!$B$2:$B$1800,AE$1)</f>
        <v>0</v>
      </c>
      <c r="AF150" s="117" t="n">
        <f aca="false">SUMIFS(الريسبي!$C$2:$C$1800,الريسبي!$A$2:$A$1800,$A150,الريسبي!$B$2:$B$1800,AF$1)</f>
        <v>0</v>
      </c>
      <c r="AG150" s="117" t="n">
        <f aca="false">SUMIFS(الريسبي!$C$2:$C$1800,الريسبي!$A$2:$A$1800,$A150,الريسبي!$B$2:$B$1800,AG$1)</f>
        <v>0</v>
      </c>
      <c r="AH150" s="117" t="n">
        <f aca="false">SUMIFS(الريسبي!$C$2:$C$1800,الريسبي!$A$2:$A$1800,$A150,الريسبي!$B$2:$B$1800,AH$1)</f>
        <v>0</v>
      </c>
      <c r="AI150" s="117" t="n">
        <f aca="false">SUMIFS(الريسبي!$C$2:$C$1800,الريسبي!$A$2:$A$1800,$A150,الريسبي!$B$2:$B$1800,AI$1)</f>
        <v>0</v>
      </c>
      <c r="AJ150" s="117" t="n">
        <f aca="false">SUMIFS(الريسبي!$C$2:$C$1800,الريسبي!$A$2:$A$1800,$A150,الريسبي!$B$2:$B$1800,AJ$1)</f>
        <v>0</v>
      </c>
      <c r="AK150" s="117" t="n">
        <f aca="false">SUMIFS(الريسبي!$C$2:$C$1800,الريسبي!$A$2:$A$1800,$A150,الريسبي!$B$2:$B$1800,AK$1)</f>
        <v>0</v>
      </c>
      <c r="AL150" s="117" t="n">
        <f aca="false">SUMIFS(الريسبي!$C$2:$C$1800,الريسبي!$A$2:$A$1800,$A150,الريسبي!$B$2:$B$1800,AL$1)</f>
        <v>0</v>
      </c>
      <c r="AM150" s="117" t="n">
        <f aca="false">SUMIFS(الريسبي!$C$2:$C$1800,الريسبي!$A$2:$A$1800,$A150,الريسبي!$B$2:$B$1800,AM$1)+0.08333333333*SUMIFS(الريسبي!$C$2:$C$1800,الريسبي!$A$2:$A$1800,$A150,الريسبي!$B$2:$B$1800,"عجين كريب (مصنع بالمطعم)")+0.08333333333*SUMIFS(الريسبي!$C$2:$C$1800,الريسبي!$A$2:$A$1800,$A150,الريسبي!$B$2:$B$1800,"عجين كريب صيامي (بدون لبن)")</f>
        <v>0</v>
      </c>
      <c r="AN150" s="117" t="n">
        <f aca="false">SUMIFS(الريسبي!$C$2:$C$1800,الريسبي!$A$2:$A$1800,$A150,الريسبي!$B$2:$B$1800,AN$1)+0.004166666667*SUMIFS(الريسبي!$C$2:$C$1800,الريسبي!$A$2:$A$1800,$A150,الريسبي!$B$2:$B$1800,"عجين كريب (مصنع بالمطعم)")+0.004166666667*SUMIFS(الريسبي!$C$2:$C$1800,الريسبي!$A$2:$A$1800,$A150,الريسبي!$B$2:$B$1800,"عجين كريب صيامي (بدون لبن)")</f>
        <v>0</v>
      </c>
      <c r="AO150" s="117" t="n">
        <f aca="false">SUMIFS(الريسبي!$C$2:$C$1800,الريسبي!$A$2:$A$1800,$A150,الريسبي!$B$2:$B$1800,AO$1)</f>
        <v>0</v>
      </c>
      <c r="AP150" s="117" t="n">
        <f aca="false">SUMIFS(الريسبي!$C$2:$C$1800,الريسبي!$A$2:$A$1800,$A150,الريسبي!$B$2:$B$1800,AP$1)</f>
        <v>0</v>
      </c>
      <c r="AQ150" s="117" t="n">
        <f aca="false">SUMIFS(الريسبي!$C$2:$C$1800,الريسبي!$A$2:$A$1800,$A150,الريسبي!$B$2:$B$1800,AQ$1)+0.004166666667*SUMIFS(الريسبي!$C$2:$C$1800,الريسبي!$A$2:$A$1800,$A150,الريسبي!$B$2:$B$1800,"عجين كريب (مصنع بالمطعم)")+0.004166666667*SUMIFS(الريسبي!$C$2:$C$1800,الريسبي!$A$2:$A$1800,$A150,الريسبي!$B$2:$B$1800,"عجين كريب صيامي (بدون لبن)")</f>
        <v>0</v>
      </c>
      <c r="AR150" s="117" t="n">
        <f aca="false">SUMIFS(الريسبي!$C$2:$C$1800,الريسبي!$A$2:$A$1800,$A150,الريسبي!$B$2:$B$1800,AR$1)</f>
        <v>0</v>
      </c>
      <c r="AS150" s="117" t="n">
        <f aca="false">SUMIFS(الريسبي!$C$2:$C$1800,الريسبي!$A$2:$A$1800,$A150,الريسبي!$B$2:$B$1800,AS$1)</f>
        <v>0</v>
      </c>
      <c r="AT150" s="117" t="n">
        <f aca="false">SUMIFS(الريسبي!$C$2:$C$1800,الريسبي!$A$2:$A$1800,$A150,الريسبي!$B$2:$B$1800,AT$1)</f>
        <v>0</v>
      </c>
      <c r="AU150" s="117" t="n">
        <f aca="false">SUMIFS(الريسبي!$C$2:$C$1800,الريسبي!$A$2:$A$1800,$A150,الريسبي!$B$2:$B$1800,AU$1)</f>
        <v>0</v>
      </c>
      <c r="AV150" s="117" t="n">
        <f aca="false">SUMIFS(الريسبي!$C$2:$C$1800,الريسبي!$A$2:$A$1800,$A150,الريسبي!$B$2:$B$1800,AV$1)</f>
        <v>0</v>
      </c>
      <c r="AW150" s="117" t="n">
        <f aca="false">SUMIFS(الريسبي!$C$2:$C$1800,الريسبي!$A$2:$A$1800,$A150,الريسبي!$B$2:$B$1800,AW$1)</f>
        <v>0</v>
      </c>
      <c r="AX150" s="117" t="n">
        <f aca="false">SUMIFS(الريسبي!$C$2:$C$1800,الريسبي!$A$2:$A$1800,$A150,الريسبي!$B$2:$B$1800,AX$1)</f>
        <v>0</v>
      </c>
      <c r="AY150" s="117" t="n">
        <f aca="false">SUMIFS(الريسبي!$C$2:$C$1800,الريسبي!$A$2:$A$1800,$A150,الريسبي!$B$2:$B$1800,AY$1)</f>
        <v>0</v>
      </c>
      <c r="AZ150" s="117" t="n">
        <f aca="false">SUMIFS(الريسبي!$C$2:$C$1800,الريسبي!$A$2:$A$1800,$A150,الريسبي!$B$2:$B$1800,AZ$1)</f>
        <v>0</v>
      </c>
      <c r="BA150" s="117" t="n">
        <f aca="false">SUMIFS(الريسبي!$C$2:$C$1800,الريسبي!$A$2:$A$1800,$A150,الريسبي!$B$2:$B$1800,BA$1)</f>
        <v>0</v>
      </c>
      <c r="BB150" s="117" t="n">
        <f aca="false">SUMIFS(الريسبي!$C$2:$C$1800,الريسبي!$A$2:$A$1800,$A150,الريسبي!$B$2:$B$1800,BB$1)</f>
        <v>0</v>
      </c>
      <c r="BC150" s="117" t="n">
        <f aca="false">SUMIFS(الريسبي!$C$2:$C$1800,الريسبي!$A$2:$A$1800,$A150,الريسبي!$B$2:$B$1800,BC$1)</f>
        <v>0</v>
      </c>
      <c r="BD150" s="117" t="n">
        <f aca="false">SUMIFS(الريسبي!$C$2:$C$1800,الريسبي!$A$2:$A$1800,$A150,الريسبي!$B$2:$B$1800,BD$1)</f>
        <v>0</v>
      </c>
      <c r="BE150" s="117" t="n">
        <f aca="false">SUMIFS(الريسبي!$C$2:$C$1800,الريسبي!$A$2:$A$1800,$A150,الريسبي!$B$2:$B$1800,BE$1)</f>
        <v>0</v>
      </c>
      <c r="BF150" s="117" t="n">
        <f aca="false">SUMIFS(الريسبي!$C$2:$C$1800,الريسبي!$A$2:$A$1800,$A150,الريسبي!$B$2:$B$1800,BF$1)</f>
        <v>0</v>
      </c>
      <c r="BG150" s="117" t="n">
        <f aca="false">SUMIFS(الريسبي!$C$2:$C$1800,الريسبي!$A$2:$A$1800,$A150,الريسبي!$B$2:$B$1800,BG$1)</f>
        <v>0</v>
      </c>
      <c r="BH150" s="117" t="n">
        <f aca="false">SUMIFS(الريسبي!$C$2:$C$1800,الريسبي!$A$2:$A$1800,$A150,الريسبي!$B$2:$B$1800,BH$1)</f>
        <v>0</v>
      </c>
      <c r="BI150" s="117" t="n">
        <f aca="false">SUMIFS(الريسبي!$C$2:$C$1800,الريسبي!$A$2:$A$1800,$A150,الريسبي!$B$2:$B$1800,BI$1)</f>
        <v>0</v>
      </c>
      <c r="BJ150" s="117" t="n">
        <f aca="false">SUMIFS(الريسبي!$C$2:$C$1800,الريسبي!$A$2:$A$1800,$A150,الريسبي!$B$2:$B$1800,BJ$1)</f>
        <v>0</v>
      </c>
      <c r="BK150" s="117" t="n">
        <f aca="false">SUMIFS(الريسبي!$C$2:$C$1800,الريسبي!$A$2:$A$1800,$A150,الريسبي!$B$2:$B$1800,BK$1)</f>
        <v>0</v>
      </c>
      <c r="BL150" s="117" t="n">
        <f aca="false">SUMIFS(الريسبي!$C$2:$C$1800,الريسبي!$A$2:$A$1800,$A150,الريسبي!$B$2:$B$1800,BL$1)</f>
        <v>0</v>
      </c>
      <c r="BM150" s="117" t="n">
        <f aca="false">SUMIFS(الريسبي!$C$2:$C$1800,الريسبي!$A$2:$A$1800,$A150,الريسبي!$B$2:$B$1800,BM$1)</f>
        <v>0</v>
      </c>
      <c r="BN150" s="117" t="n">
        <f aca="false">SUMIFS(الريسبي!$C$2:$C$1800,الريسبي!$A$2:$A$1800,$A150,الريسبي!$B$2:$B$1800,BN$1)</f>
        <v>0</v>
      </c>
      <c r="BO150" s="117" t="n">
        <f aca="false">SUMIFS(الريسبي!$C$2:$C$1800,الريسبي!$A$2:$A$1800,$A150,الريسبي!$B$2:$B$1800,BO$1)</f>
        <v>0</v>
      </c>
      <c r="BP150" s="117" t="n">
        <f aca="false">SUMIFS(الريسبي!$C$2:$C$1800,الريسبي!$A$2:$A$1800,$A150,الريسبي!$B$2:$B$1800,BP$1)</f>
        <v>0</v>
      </c>
      <c r="BQ150" s="117" t="n">
        <f aca="false">SUMIFS(الريسبي!$C$2:$C$1800,الريسبي!$A$2:$A$1800,$A150,الريسبي!$B$2:$B$1800,BQ$1)+0.17*SUMIFS(الريسبي!$C$2:$C$1800,الريسبي!$A$2:$A$1800,$A150,الريسبي!$B$2:$B$1800,"كاسترد مصنع (خليط بودر + لبن)")+0.17*SUMIFS(الريسبي!$C$2:$C$1800,الريسبي!$A$2:$A$1800,$A150,الريسبي!$B$2:$B$1800,"كاسترد مصنع صيامي (بدون لبن)")</f>
        <v>0</v>
      </c>
      <c r="BR150" s="117" t="n">
        <f aca="false">SUMIFS(الريسبي!$C$2:$C$1800,الريسبي!$A$2:$A$1800,$A150,الريسبي!$B$2:$B$1800,BR$1)</f>
        <v>0</v>
      </c>
      <c r="BS150" s="117" t="n">
        <f aca="false">SUMIFS(الريسبي!$C$2:$C$1800,الريسبي!$A$2:$A$1800,$A150,الريسبي!$B$2:$B$1800,BS$1)</f>
        <v>0</v>
      </c>
      <c r="BT150" s="117" t="n">
        <f aca="false">SUMIFS(الريسبي!$C$2:$C$1800,الريسبي!$A$2:$A$1800,$A150,الريسبي!$B$2:$B$1800,BT$1)</f>
        <v>0</v>
      </c>
      <c r="BU150" s="117" t="n">
        <f aca="false">SUMIFS(الريسبي!$C$2:$C$1800,الريسبي!$A$2:$A$1800,$A150,الريسبي!$B$2:$B$1800,BU$1)+0.4*SUMIFS(الريسبي!$C$2:$C$1800,الريسبي!$A$2:$A$1800,$A150,الريسبي!$B$2:$B$1800,"كاسترد مصنع (خليط بودر + لبن)")+0.03333333333*SUMIFS(الريسبي!$C$2:$C$1800,الريسبي!$A$2:$A$1800,$A150,الريسبي!$B$2:$B$1800,"عجين كريب (مصنع بالمطعم)")</f>
        <v>0</v>
      </c>
      <c r="BV150" s="117" t="n">
        <f aca="false">SUMIFS(الريسبي!$C$2:$C$1800,الريسبي!$A$2:$A$1800,$A150,الريسبي!$B$2:$B$1800,BV$1)</f>
        <v>0</v>
      </c>
      <c r="BW150" s="117" t="n">
        <f aca="false">SUMIFS(الريسبي!$C$2:$C$1800,الريسبي!$A$2:$A$1800,$A150,الريسبي!$B$2:$B$1800,BW$1)</f>
        <v>0</v>
      </c>
      <c r="BX150" s="117" t="n">
        <f aca="false">SUMIFS(الريسبي!$C$2:$C$1800,الريسبي!$A$2:$A$1800,$A150,الريسبي!$B$2:$B$1800,BX$1)</f>
        <v>0</v>
      </c>
      <c r="BY150" s="117" t="n">
        <f aca="false">SUMIFS(الريسبي!$C$2:$C$1800,الريسبي!$A$2:$A$1800,$A150,الريسبي!$B$2:$B$1800,BY$1)</f>
        <v>0</v>
      </c>
      <c r="BZ150" s="117" t="n">
        <f aca="false">SUMIFS(الريسبي!$C$2:$C$1800,الريسبي!$A$2:$A$1800,$A150,الريسبي!$B$2:$B$1800,BZ$1)</f>
        <v>0</v>
      </c>
      <c r="CA150" s="117" t="n">
        <f aca="false">SUMIFS(الريسبي!$C$2:$C$1800,الريسبي!$A$2:$A$1800,$A150,الريسبي!$B$2:$B$1800,CA$1)</f>
        <v>0</v>
      </c>
      <c r="CB150" s="117" t="n">
        <f aca="false">SUMIFS(الريسبي!$C$2:$C$1800,الريسبي!$A$2:$A$1800,$A150,الريسبي!$B$2:$B$1800,CB$1)</f>
        <v>0</v>
      </c>
      <c r="CC150" s="117" t="n">
        <f aca="false">SUMIFS(الريسبي!$C$2:$C$1800,الريسبي!$A$2:$A$1800,$A150,الريسبي!$B$2:$B$1800,CC$1)</f>
        <v>0</v>
      </c>
      <c r="CD150" s="117" t="n">
        <f aca="false">SUMIFS(الريسبي!$C$2:$C$1800,الريسبي!$A$2:$A$1800,$A150,الريسبي!$B$2:$B$1800,CD$1)</f>
        <v>0</v>
      </c>
      <c r="CE150" s="117" t="n">
        <f aca="false">SUMIFS(الريسبي!$C$2:$C$1800,الريسبي!$A$2:$A$1800,$A150,الريسبي!$B$2:$B$1800,CE$1)</f>
        <v>0</v>
      </c>
      <c r="CF150" s="117" t="n">
        <f aca="false">SUMIFS(الريسبي!$C$2:$C$1800,الريسبي!$A$2:$A$1800,$A150,الريسبي!$B$2:$B$1800,CF$1)</f>
        <v>0</v>
      </c>
      <c r="CG150" s="117" t="n">
        <f aca="false">SUMIFS(الريسبي!$C$2:$C$1800,الريسبي!$A$2:$A$1800,$A150,الريسبي!$B$2:$B$1800,CG$1)</f>
        <v>0</v>
      </c>
      <c r="CH150" s="117" t="n">
        <f aca="false">SUMIFS(الريسبي!$C$2:$C$1800,الريسبي!$A$2:$A$1800,$A150,الريسبي!$B$2:$B$1800,CH$1)</f>
        <v>0</v>
      </c>
      <c r="CI150" s="117" t="n">
        <f aca="false">SUMIFS(الريسبي!$C$2:$C$1800,الريسبي!$A$2:$A$1800,$A150,الريسبي!$B$2:$B$1800,CI$1)</f>
        <v>0</v>
      </c>
      <c r="CJ150" s="117" t="n">
        <f aca="false">SUMIFS(الريسبي!$C$2:$C$1800,الريسبي!$A$2:$A$1800,$A150,الريسبي!$B$2:$B$1800,CJ$1)</f>
        <v>0</v>
      </c>
      <c r="CK150" s="117" t="n">
        <f aca="false">SUMIFS(الريسبي!$C$2:$C$1800,الريسبي!$A$2:$A$1800,$A150,الريسبي!$B$2:$B$1800,CK$1)</f>
        <v>0</v>
      </c>
      <c r="CL150" s="117" t="n">
        <f aca="false">SUMIFS(الريسبي!$C$2:$C$1800,الريسبي!$A$2:$A$1800,$A150,الريسبي!$B$2:$B$1800,CL$1)</f>
        <v>0</v>
      </c>
    </row>
    <row r="151" customFormat="false" ht="15" hidden="false" customHeight="false" outlineLevel="0" collapsed="false">
      <c r="A151" s="116" t="str">
        <f aca="false">المنيو!B151</f>
        <v>اضافة تونة (بيتزا وسط)</v>
      </c>
      <c r="B151" s="117" t="n">
        <f aca="false">SUMIFS(الريسبي!$C$2:$C$1800,الريسبي!$A$2:$A$1800,$A151,الريسبي!$B$2:$B$1800,B$1)</f>
        <v>0</v>
      </c>
      <c r="C151" s="117" t="n">
        <f aca="false">SUMIFS(الريسبي!$C$2:$C$1800,الريسبي!$A$2:$A$1800,$A151,الريسبي!$B$2:$B$1800,C$1)</f>
        <v>0</v>
      </c>
      <c r="D151" s="117" t="n">
        <f aca="false">SUMIFS(الريسبي!$C$2:$C$1800,الريسبي!$A$2:$A$1800,$A151,الريسبي!$B$2:$B$1800,D$1)</f>
        <v>0</v>
      </c>
      <c r="E151" s="117" t="n">
        <f aca="false">SUMIFS(الريسبي!$C$2:$C$1800,الريسبي!$A$2:$A$1800,$A151,الريسبي!$B$2:$B$1800,E$1)</f>
        <v>0</v>
      </c>
      <c r="F151" s="117" t="n">
        <f aca="false">SUMIFS(الريسبي!$C$2:$C$1800,الريسبي!$A$2:$A$1800,$A151,الريسبي!$B$2:$B$1800,F$1)</f>
        <v>0</v>
      </c>
      <c r="G151" s="117" t="n">
        <f aca="false">SUMIFS(الريسبي!$C$2:$C$1800,الريسبي!$A$2:$A$1800,$A151,الريسبي!$B$2:$B$1800,G$1)</f>
        <v>0</v>
      </c>
      <c r="H151" s="117" t="n">
        <f aca="false">SUMIFS(الريسبي!$C$2:$C$1800,الريسبي!$A$2:$A$1800,$A151,الريسبي!$B$2:$B$1800,H$1)</f>
        <v>0</v>
      </c>
      <c r="I151" s="117" t="n">
        <f aca="false">SUMIFS(الريسبي!$C$2:$C$1800,الريسبي!$A$2:$A$1800,$A151,الريسبي!$B$2:$B$1800,I$1)</f>
        <v>0</v>
      </c>
      <c r="J151" s="117" t="n">
        <f aca="false">SUMIFS(الريسبي!$C$2:$C$1800,الريسبي!$A$2:$A$1800,$A151,الريسبي!$B$2:$B$1800,J$1)</f>
        <v>0</v>
      </c>
      <c r="K151" s="117" t="n">
        <f aca="false">SUMIFS(الريسبي!$C$2:$C$1800,الريسبي!$A$2:$A$1800,$A151,الريسبي!$B$2:$B$1800,K$1)</f>
        <v>0</v>
      </c>
      <c r="L151" s="117" t="n">
        <f aca="false">SUMIFS(الريسبي!$C$2:$C$1800,الريسبي!$A$2:$A$1800,$A151,الريسبي!$B$2:$B$1800,L$1)</f>
        <v>0</v>
      </c>
      <c r="M151" s="117" t="n">
        <f aca="false">SUMIFS(الريسبي!$C$2:$C$1800,الريسبي!$A$2:$A$1800,$A151,الريسبي!$B$2:$B$1800,M$1)</f>
        <v>0</v>
      </c>
      <c r="N151" s="117" t="n">
        <f aca="false">SUMIFS(الريسبي!$C$2:$C$1800,الريسبي!$A$2:$A$1800,$A151,الريسبي!$B$2:$B$1800,N$1)</f>
        <v>0</v>
      </c>
      <c r="O151" s="117" t="n">
        <f aca="false">SUMIFS(الريسبي!$C$2:$C$1800,الريسبي!$A$2:$A$1800,$A151,الريسبي!$B$2:$B$1800,O$1)</f>
        <v>0</v>
      </c>
      <c r="P151" s="117" t="n">
        <f aca="false">SUMIFS(الريسبي!$C$2:$C$1800,الريسبي!$A$2:$A$1800,$A151,الريسبي!$B$2:$B$1800,P$1)</f>
        <v>0</v>
      </c>
      <c r="Q151" s="117" t="n">
        <f aca="false">SUMIFS(الريسبي!$C$2:$C$1800,الريسبي!$A$2:$A$1800,$A151,الريسبي!$B$2:$B$1800,Q$1)</f>
        <v>0</v>
      </c>
      <c r="R151" s="117" t="n">
        <f aca="false">SUMIFS(الريسبي!$C$2:$C$1800,الريسبي!$A$2:$A$1800,$A151,الريسبي!$B$2:$B$1800,R$1)</f>
        <v>0</v>
      </c>
      <c r="S151" s="117" t="n">
        <f aca="false">SUMIFS(الريسبي!$C$2:$C$1800,الريسبي!$A$2:$A$1800,$A151,الريسبي!$B$2:$B$1800,S$1)</f>
        <v>0</v>
      </c>
      <c r="T151" s="117" t="n">
        <f aca="false">SUMIFS(الريسبي!$C$2:$C$1800,الريسبي!$A$2:$A$1800,$A151,الريسبي!$B$2:$B$1800,T$1)</f>
        <v>0</v>
      </c>
      <c r="U151" s="117" t="n">
        <f aca="false">SUMIFS(الريسبي!$C$2:$C$1800,الريسبي!$A$2:$A$1800,$A151,الريسبي!$B$2:$B$1800,U$1)</f>
        <v>0</v>
      </c>
      <c r="V151" s="117" t="n">
        <f aca="false">SUMIFS(الريسبي!$C$2:$C$1800,الريسبي!$A$2:$A$1800,$A151,الريسبي!$B$2:$B$1800,V$1)+1.5*(SUMIFS(الريسبي!$C$2:$C$1800,الريسبي!$A$2:$A$1800,$A151,الريسبي!$B$2:$B$1800,"برسيون موتزريلا بيتزا كبير"))</f>
        <v>0</v>
      </c>
      <c r="W151" s="117" t="n">
        <f aca="false">0</f>
        <v>0</v>
      </c>
      <c r="X151" s="117" t="n">
        <f aca="false">SUMIFS(الريسبي!$C$2:$C$1800,الريسبي!$A$2:$A$1800,$A151,الريسبي!$B$2:$B$1800,X$1)+1.5*(SUMIFS(الريسبي!$C$2:$C$1800,الريسبي!$A$2:$A$1800,$A151,الريسبي!$B$2:$B$1800,"برسيون موتزريلا فطير كبير"))</f>
        <v>0</v>
      </c>
      <c r="Y151" s="117" t="n">
        <f aca="false">0</f>
        <v>0</v>
      </c>
      <c r="Z151" s="117" t="n">
        <f aca="false">SUMIFS(الريسبي!$C$2:$C$1800,الريسبي!$A$2:$A$1800,$A151,الريسبي!$B$2:$B$1800,Z$1)</f>
        <v>0</v>
      </c>
      <c r="AA151" s="117" t="n">
        <f aca="false">SUMIFS(الريسبي!$C$2:$C$1800,الريسبي!$A$2:$A$1800,$A151,الريسبي!$B$2:$B$1800,AA$1)</f>
        <v>0</v>
      </c>
      <c r="AB151" s="117" t="n">
        <f aca="false">SUMIFS(الريسبي!$C$2:$C$1800,الريسبي!$A$2:$A$1800,$A151,الريسبي!$B$2:$B$1800,AB$1)</f>
        <v>0</v>
      </c>
      <c r="AC151" s="117" t="n">
        <f aca="false">SUMIFS(الريسبي!$C$2:$C$1800,الريسبي!$A$2:$A$1800,$A151,الريسبي!$B$2:$B$1800,AC$1)</f>
        <v>0</v>
      </c>
      <c r="AD151" s="117" t="n">
        <f aca="false">SUMIFS(الريسبي!$C$2:$C$1800,الريسبي!$A$2:$A$1800,$A151,الريسبي!$B$2:$B$1800,AD$1)</f>
        <v>0</v>
      </c>
      <c r="AE151" s="117" t="n">
        <f aca="false">SUMIFS(الريسبي!$C$2:$C$1800,الريسبي!$A$2:$A$1800,$A151,الريسبي!$B$2:$B$1800,AE$1)</f>
        <v>0</v>
      </c>
      <c r="AF151" s="117" t="n">
        <f aca="false">SUMIFS(الريسبي!$C$2:$C$1800,الريسبي!$A$2:$A$1800,$A151,الريسبي!$B$2:$B$1800,AF$1)</f>
        <v>0</v>
      </c>
      <c r="AG151" s="117" t="n">
        <f aca="false">SUMIFS(الريسبي!$C$2:$C$1800,الريسبي!$A$2:$A$1800,$A151,الريسبي!$B$2:$B$1800,AG$1)</f>
        <v>0</v>
      </c>
      <c r="AH151" s="117" t="n">
        <f aca="false">SUMIFS(الريسبي!$C$2:$C$1800,الريسبي!$A$2:$A$1800,$A151,الريسبي!$B$2:$B$1800,AH$1)</f>
        <v>0</v>
      </c>
      <c r="AI151" s="117" t="n">
        <f aca="false">SUMIFS(الريسبي!$C$2:$C$1800,الريسبي!$A$2:$A$1800,$A151,الريسبي!$B$2:$B$1800,AI$1)</f>
        <v>0</v>
      </c>
      <c r="AJ151" s="117" t="n">
        <f aca="false">SUMIFS(الريسبي!$C$2:$C$1800,الريسبي!$A$2:$A$1800,$A151,الريسبي!$B$2:$B$1800,AJ$1)</f>
        <v>0</v>
      </c>
      <c r="AK151" s="117" t="n">
        <f aca="false">SUMIFS(الريسبي!$C$2:$C$1800,الريسبي!$A$2:$A$1800,$A151,الريسبي!$B$2:$B$1800,AK$1)</f>
        <v>0</v>
      </c>
      <c r="AL151" s="117" t="n">
        <f aca="false">SUMIFS(الريسبي!$C$2:$C$1800,الريسبي!$A$2:$A$1800,$A151,الريسبي!$B$2:$B$1800,AL$1)</f>
        <v>0</v>
      </c>
      <c r="AM151" s="117" t="n">
        <f aca="false">SUMIFS(الريسبي!$C$2:$C$1800,الريسبي!$A$2:$A$1800,$A151,الريسبي!$B$2:$B$1800,AM$1)+0.08333333333*SUMIFS(الريسبي!$C$2:$C$1800,الريسبي!$A$2:$A$1800,$A151,الريسبي!$B$2:$B$1800,"عجين كريب (مصنع بالمطعم)")+0.08333333333*SUMIFS(الريسبي!$C$2:$C$1800,الريسبي!$A$2:$A$1800,$A151,الريسبي!$B$2:$B$1800,"عجين كريب صيامي (بدون لبن)")</f>
        <v>0</v>
      </c>
      <c r="AN151" s="117" t="n">
        <f aca="false">SUMIFS(الريسبي!$C$2:$C$1800,الريسبي!$A$2:$A$1800,$A151,الريسبي!$B$2:$B$1800,AN$1)+0.004166666667*SUMIFS(الريسبي!$C$2:$C$1800,الريسبي!$A$2:$A$1800,$A151,الريسبي!$B$2:$B$1800,"عجين كريب (مصنع بالمطعم)")+0.004166666667*SUMIFS(الريسبي!$C$2:$C$1800,الريسبي!$A$2:$A$1800,$A151,الريسبي!$B$2:$B$1800,"عجين كريب صيامي (بدون لبن)")</f>
        <v>0</v>
      </c>
      <c r="AO151" s="117" t="n">
        <f aca="false">SUMIFS(الريسبي!$C$2:$C$1800,الريسبي!$A$2:$A$1800,$A151,الريسبي!$B$2:$B$1800,AO$1)</f>
        <v>0</v>
      </c>
      <c r="AP151" s="117" t="n">
        <f aca="false">SUMIFS(الريسبي!$C$2:$C$1800,الريسبي!$A$2:$A$1800,$A151,الريسبي!$B$2:$B$1800,AP$1)</f>
        <v>0</v>
      </c>
      <c r="AQ151" s="117" t="n">
        <f aca="false">SUMIFS(الريسبي!$C$2:$C$1800,الريسبي!$A$2:$A$1800,$A151,الريسبي!$B$2:$B$1800,AQ$1)+0.004166666667*SUMIFS(الريسبي!$C$2:$C$1800,الريسبي!$A$2:$A$1800,$A151,الريسبي!$B$2:$B$1800,"عجين كريب (مصنع بالمطعم)")+0.004166666667*SUMIFS(الريسبي!$C$2:$C$1800,الريسبي!$A$2:$A$1800,$A151,الريسبي!$B$2:$B$1800,"عجين كريب صيامي (بدون لبن)")</f>
        <v>0</v>
      </c>
      <c r="AR151" s="117" t="n">
        <f aca="false">SUMIFS(الريسبي!$C$2:$C$1800,الريسبي!$A$2:$A$1800,$A151,الريسبي!$B$2:$B$1800,AR$1)</f>
        <v>0</v>
      </c>
      <c r="AS151" s="117" t="n">
        <f aca="false">SUMIFS(الريسبي!$C$2:$C$1800,الريسبي!$A$2:$A$1800,$A151,الريسبي!$B$2:$B$1800,AS$1)</f>
        <v>0</v>
      </c>
      <c r="AT151" s="117" t="n">
        <f aca="false">SUMIFS(الريسبي!$C$2:$C$1800,الريسبي!$A$2:$A$1800,$A151,الريسبي!$B$2:$B$1800,AT$1)</f>
        <v>0</v>
      </c>
      <c r="AU151" s="117" t="n">
        <f aca="false">SUMIFS(الريسبي!$C$2:$C$1800,الريسبي!$A$2:$A$1800,$A151,الريسبي!$B$2:$B$1800,AU$1)</f>
        <v>0</v>
      </c>
      <c r="AV151" s="117" t="n">
        <f aca="false">SUMIFS(الريسبي!$C$2:$C$1800,الريسبي!$A$2:$A$1800,$A151,الريسبي!$B$2:$B$1800,AV$1)</f>
        <v>0</v>
      </c>
      <c r="AW151" s="117" t="n">
        <f aca="false">SUMIFS(الريسبي!$C$2:$C$1800,الريسبي!$A$2:$A$1800,$A151,الريسبي!$B$2:$B$1800,AW$1)</f>
        <v>0</v>
      </c>
      <c r="AX151" s="117" t="n">
        <f aca="false">SUMIFS(الريسبي!$C$2:$C$1800,الريسبي!$A$2:$A$1800,$A151,الريسبي!$B$2:$B$1800,AX$1)</f>
        <v>0</v>
      </c>
      <c r="AY151" s="117" t="n">
        <f aca="false">SUMIFS(الريسبي!$C$2:$C$1800,الريسبي!$A$2:$A$1800,$A151,الريسبي!$B$2:$B$1800,AY$1)</f>
        <v>0</v>
      </c>
      <c r="AZ151" s="117" t="n">
        <f aca="false">SUMIFS(الريسبي!$C$2:$C$1800,الريسبي!$A$2:$A$1800,$A151,الريسبي!$B$2:$B$1800,AZ$1)</f>
        <v>0</v>
      </c>
      <c r="BA151" s="117" t="n">
        <f aca="false">SUMIFS(الريسبي!$C$2:$C$1800,الريسبي!$A$2:$A$1800,$A151,الريسبي!$B$2:$B$1800,BA$1)</f>
        <v>0</v>
      </c>
      <c r="BB151" s="117" t="n">
        <f aca="false">SUMIFS(الريسبي!$C$2:$C$1800,الريسبي!$A$2:$A$1800,$A151,الريسبي!$B$2:$B$1800,BB$1)</f>
        <v>0</v>
      </c>
      <c r="BC151" s="117" t="n">
        <f aca="false">SUMIFS(الريسبي!$C$2:$C$1800,الريسبي!$A$2:$A$1800,$A151,الريسبي!$B$2:$B$1800,BC$1)</f>
        <v>0</v>
      </c>
      <c r="BD151" s="117" t="n">
        <f aca="false">SUMIFS(الريسبي!$C$2:$C$1800,الريسبي!$A$2:$A$1800,$A151,الريسبي!$B$2:$B$1800,BD$1)</f>
        <v>0</v>
      </c>
      <c r="BE151" s="117" t="n">
        <f aca="false">SUMIFS(الريسبي!$C$2:$C$1800,الريسبي!$A$2:$A$1800,$A151,الريسبي!$B$2:$B$1800,BE$1)</f>
        <v>0</v>
      </c>
      <c r="BF151" s="117" t="n">
        <f aca="false">SUMIFS(الريسبي!$C$2:$C$1800,الريسبي!$A$2:$A$1800,$A151,الريسبي!$B$2:$B$1800,BF$1)</f>
        <v>0</v>
      </c>
      <c r="BG151" s="117" t="n">
        <f aca="false">SUMIFS(الريسبي!$C$2:$C$1800,الريسبي!$A$2:$A$1800,$A151,الريسبي!$B$2:$B$1800,BG$1)</f>
        <v>0</v>
      </c>
      <c r="BH151" s="117" t="n">
        <f aca="false">SUMIFS(الريسبي!$C$2:$C$1800,الريسبي!$A$2:$A$1800,$A151,الريسبي!$B$2:$B$1800,BH$1)</f>
        <v>0</v>
      </c>
      <c r="BI151" s="117" t="n">
        <f aca="false">SUMIFS(الريسبي!$C$2:$C$1800,الريسبي!$A$2:$A$1800,$A151,الريسبي!$B$2:$B$1800,BI$1)</f>
        <v>0</v>
      </c>
      <c r="BJ151" s="117" t="n">
        <f aca="false">SUMIFS(الريسبي!$C$2:$C$1800,الريسبي!$A$2:$A$1800,$A151,الريسبي!$B$2:$B$1800,BJ$1)</f>
        <v>0</v>
      </c>
      <c r="BK151" s="117" t="n">
        <f aca="false">SUMIFS(الريسبي!$C$2:$C$1800,الريسبي!$A$2:$A$1800,$A151,الريسبي!$B$2:$B$1800,BK$1)</f>
        <v>0</v>
      </c>
      <c r="BL151" s="117" t="n">
        <f aca="false">SUMIFS(الريسبي!$C$2:$C$1800,الريسبي!$A$2:$A$1800,$A151,الريسبي!$B$2:$B$1800,BL$1)</f>
        <v>1</v>
      </c>
      <c r="BM151" s="117" t="n">
        <f aca="false">SUMIFS(الريسبي!$C$2:$C$1800,الريسبي!$A$2:$A$1800,$A151,الريسبي!$B$2:$B$1800,BM$1)</f>
        <v>0</v>
      </c>
      <c r="BN151" s="117" t="n">
        <f aca="false">SUMIFS(الريسبي!$C$2:$C$1800,الريسبي!$A$2:$A$1800,$A151,الريسبي!$B$2:$B$1800,BN$1)</f>
        <v>0</v>
      </c>
      <c r="BO151" s="117" t="n">
        <f aca="false">SUMIFS(الريسبي!$C$2:$C$1800,الريسبي!$A$2:$A$1800,$A151,الريسبي!$B$2:$B$1800,BO$1)</f>
        <v>0</v>
      </c>
      <c r="BP151" s="117" t="n">
        <f aca="false">SUMIFS(الريسبي!$C$2:$C$1800,الريسبي!$A$2:$A$1800,$A151,الريسبي!$B$2:$B$1800,BP$1)</f>
        <v>0</v>
      </c>
      <c r="BQ151" s="117" t="n">
        <f aca="false">SUMIFS(الريسبي!$C$2:$C$1800,الريسبي!$A$2:$A$1800,$A151,الريسبي!$B$2:$B$1800,BQ$1)+0.17*SUMIFS(الريسبي!$C$2:$C$1800,الريسبي!$A$2:$A$1800,$A151,الريسبي!$B$2:$B$1800,"كاسترد مصنع (خليط بودر + لبن)")+0.17*SUMIFS(الريسبي!$C$2:$C$1800,الريسبي!$A$2:$A$1800,$A151,الريسبي!$B$2:$B$1800,"كاسترد مصنع صيامي (بدون لبن)")</f>
        <v>0</v>
      </c>
      <c r="BR151" s="117" t="n">
        <f aca="false">SUMIFS(الريسبي!$C$2:$C$1800,الريسبي!$A$2:$A$1800,$A151,الريسبي!$B$2:$B$1800,BR$1)</f>
        <v>0</v>
      </c>
      <c r="BS151" s="117" t="n">
        <f aca="false">SUMIFS(الريسبي!$C$2:$C$1800,الريسبي!$A$2:$A$1800,$A151,الريسبي!$B$2:$B$1800,BS$1)</f>
        <v>0</v>
      </c>
      <c r="BT151" s="117" t="n">
        <f aca="false">SUMIFS(الريسبي!$C$2:$C$1800,الريسبي!$A$2:$A$1800,$A151,الريسبي!$B$2:$B$1800,BT$1)</f>
        <v>0</v>
      </c>
      <c r="BU151" s="117" t="n">
        <f aca="false">SUMIFS(الريسبي!$C$2:$C$1800,الريسبي!$A$2:$A$1800,$A151,الريسبي!$B$2:$B$1800,BU$1)+0.4*SUMIFS(الريسبي!$C$2:$C$1800,الريسبي!$A$2:$A$1800,$A151,الريسبي!$B$2:$B$1800,"كاسترد مصنع (خليط بودر + لبن)")+0.03333333333*SUMIFS(الريسبي!$C$2:$C$1800,الريسبي!$A$2:$A$1800,$A151,الريسبي!$B$2:$B$1800,"عجين كريب (مصنع بالمطعم)")</f>
        <v>0</v>
      </c>
      <c r="BV151" s="117" t="n">
        <f aca="false">SUMIFS(الريسبي!$C$2:$C$1800,الريسبي!$A$2:$A$1800,$A151,الريسبي!$B$2:$B$1800,BV$1)</f>
        <v>0</v>
      </c>
      <c r="BW151" s="117" t="n">
        <f aca="false">SUMIFS(الريسبي!$C$2:$C$1800,الريسبي!$A$2:$A$1800,$A151,الريسبي!$B$2:$B$1800,BW$1)</f>
        <v>0</v>
      </c>
      <c r="BX151" s="117" t="n">
        <f aca="false">SUMIFS(الريسبي!$C$2:$C$1800,الريسبي!$A$2:$A$1800,$A151,الريسبي!$B$2:$B$1800,BX$1)</f>
        <v>0</v>
      </c>
      <c r="BY151" s="117" t="n">
        <f aca="false">SUMIFS(الريسبي!$C$2:$C$1800,الريسبي!$A$2:$A$1800,$A151,الريسبي!$B$2:$B$1800,BY$1)</f>
        <v>0</v>
      </c>
      <c r="BZ151" s="117" t="n">
        <f aca="false">SUMIFS(الريسبي!$C$2:$C$1800,الريسبي!$A$2:$A$1800,$A151,الريسبي!$B$2:$B$1800,BZ$1)</f>
        <v>0</v>
      </c>
      <c r="CA151" s="117" t="n">
        <f aca="false">SUMIFS(الريسبي!$C$2:$C$1800,الريسبي!$A$2:$A$1800,$A151,الريسبي!$B$2:$B$1800,CA$1)</f>
        <v>0</v>
      </c>
      <c r="CB151" s="117" t="n">
        <f aca="false">SUMIFS(الريسبي!$C$2:$C$1800,الريسبي!$A$2:$A$1800,$A151,الريسبي!$B$2:$B$1800,CB$1)</f>
        <v>0</v>
      </c>
      <c r="CC151" s="117" t="n">
        <f aca="false">SUMIFS(الريسبي!$C$2:$C$1800,الريسبي!$A$2:$A$1800,$A151,الريسبي!$B$2:$B$1800,CC$1)</f>
        <v>0</v>
      </c>
      <c r="CD151" s="117" t="n">
        <f aca="false">SUMIFS(الريسبي!$C$2:$C$1800,الريسبي!$A$2:$A$1800,$A151,الريسبي!$B$2:$B$1800,CD$1)</f>
        <v>0</v>
      </c>
      <c r="CE151" s="117" t="n">
        <f aca="false">SUMIFS(الريسبي!$C$2:$C$1800,الريسبي!$A$2:$A$1800,$A151,الريسبي!$B$2:$B$1800,CE$1)</f>
        <v>0</v>
      </c>
      <c r="CF151" s="117" t="n">
        <f aca="false">SUMIFS(الريسبي!$C$2:$C$1800,الريسبي!$A$2:$A$1800,$A151,الريسبي!$B$2:$B$1800,CF$1)</f>
        <v>0</v>
      </c>
      <c r="CG151" s="117" t="n">
        <f aca="false">SUMIFS(الريسبي!$C$2:$C$1800,الريسبي!$A$2:$A$1800,$A151,الريسبي!$B$2:$B$1800,CG$1)</f>
        <v>0</v>
      </c>
      <c r="CH151" s="117" t="n">
        <f aca="false">SUMIFS(الريسبي!$C$2:$C$1800,الريسبي!$A$2:$A$1800,$A151,الريسبي!$B$2:$B$1800,CH$1)</f>
        <v>0</v>
      </c>
      <c r="CI151" s="117" t="n">
        <f aca="false">SUMIFS(الريسبي!$C$2:$C$1800,الريسبي!$A$2:$A$1800,$A151,الريسبي!$B$2:$B$1800,CI$1)</f>
        <v>0</v>
      </c>
      <c r="CJ151" s="117" t="n">
        <f aca="false">SUMIFS(الريسبي!$C$2:$C$1800,الريسبي!$A$2:$A$1800,$A151,الريسبي!$B$2:$B$1800,CJ$1)</f>
        <v>0</v>
      </c>
      <c r="CK151" s="117" t="n">
        <f aca="false">SUMIFS(الريسبي!$C$2:$C$1800,الريسبي!$A$2:$A$1800,$A151,الريسبي!$B$2:$B$1800,CK$1)</f>
        <v>0</v>
      </c>
      <c r="CL151" s="117" t="n">
        <f aca="false">SUMIFS(الريسبي!$C$2:$C$1800,الريسبي!$A$2:$A$1800,$A151,الريسبي!$B$2:$B$1800,CL$1)</f>
        <v>0</v>
      </c>
    </row>
    <row r="152" customFormat="false" ht="15" hidden="false" customHeight="false" outlineLevel="0" collapsed="false">
      <c r="A152" s="116" t="str">
        <f aca="false">المنيو!B152</f>
        <v>اضافة جمبري (بيتزا وسط)</v>
      </c>
      <c r="B152" s="117" t="n">
        <f aca="false">SUMIFS(الريسبي!$C$2:$C$1800,الريسبي!$A$2:$A$1800,$A152,الريسبي!$B$2:$B$1800,B$1)</f>
        <v>0</v>
      </c>
      <c r="C152" s="117" t="n">
        <f aca="false">SUMIFS(الريسبي!$C$2:$C$1800,الريسبي!$A$2:$A$1800,$A152,الريسبي!$B$2:$B$1800,C$1)</f>
        <v>0</v>
      </c>
      <c r="D152" s="117" t="n">
        <f aca="false">SUMIFS(الريسبي!$C$2:$C$1800,الريسبي!$A$2:$A$1800,$A152,الريسبي!$B$2:$B$1800,D$1)</f>
        <v>0</v>
      </c>
      <c r="E152" s="117" t="n">
        <f aca="false">SUMIFS(الريسبي!$C$2:$C$1800,الريسبي!$A$2:$A$1800,$A152,الريسبي!$B$2:$B$1800,E$1)</f>
        <v>0</v>
      </c>
      <c r="F152" s="117" t="n">
        <f aca="false">SUMIFS(الريسبي!$C$2:$C$1800,الريسبي!$A$2:$A$1800,$A152,الريسبي!$B$2:$B$1800,F$1)</f>
        <v>0</v>
      </c>
      <c r="G152" s="117" t="n">
        <f aca="false">SUMIFS(الريسبي!$C$2:$C$1800,الريسبي!$A$2:$A$1800,$A152,الريسبي!$B$2:$B$1800,G$1)</f>
        <v>0</v>
      </c>
      <c r="H152" s="117" t="n">
        <f aca="false">SUMIFS(الريسبي!$C$2:$C$1800,الريسبي!$A$2:$A$1800,$A152,الريسبي!$B$2:$B$1800,H$1)</f>
        <v>0</v>
      </c>
      <c r="I152" s="117" t="n">
        <f aca="false">SUMIFS(الريسبي!$C$2:$C$1800,الريسبي!$A$2:$A$1800,$A152,الريسبي!$B$2:$B$1800,I$1)</f>
        <v>0</v>
      </c>
      <c r="J152" s="117" t="n">
        <f aca="false">SUMIFS(الريسبي!$C$2:$C$1800,الريسبي!$A$2:$A$1800,$A152,الريسبي!$B$2:$B$1800,J$1)</f>
        <v>0</v>
      </c>
      <c r="K152" s="117" t="n">
        <f aca="false">SUMIFS(الريسبي!$C$2:$C$1800,الريسبي!$A$2:$A$1800,$A152,الريسبي!$B$2:$B$1800,K$1)</f>
        <v>1</v>
      </c>
      <c r="L152" s="117" t="n">
        <f aca="false">SUMIFS(الريسبي!$C$2:$C$1800,الريسبي!$A$2:$A$1800,$A152,الريسبي!$B$2:$B$1800,L$1)</f>
        <v>0</v>
      </c>
      <c r="M152" s="117" t="n">
        <f aca="false">SUMIFS(الريسبي!$C$2:$C$1800,الريسبي!$A$2:$A$1800,$A152,الريسبي!$B$2:$B$1800,M$1)</f>
        <v>0</v>
      </c>
      <c r="N152" s="117" t="n">
        <f aca="false">SUMIFS(الريسبي!$C$2:$C$1800,الريسبي!$A$2:$A$1800,$A152,الريسبي!$B$2:$B$1800,N$1)</f>
        <v>0</v>
      </c>
      <c r="O152" s="117" t="n">
        <f aca="false">SUMIFS(الريسبي!$C$2:$C$1800,الريسبي!$A$2:$A$1800,$A152,الريسبي!$B$2:$B$1800,O$1)</f>
        <v>0</v>
      </c>
      <c r="P152" s="117" t="n">
        <f aca="false">SUMIFS(الريسبي!$C$2:$C$1800,الريسبي!$A$2:$A$1800,$A152,الريسبي!$B$2:$B$1800,P$1)</f>
        <v>0</v>
      </c>
      <c r="Q152" s="117" t="n">
        <f aca="false">SUMIFS(الريسبي!$C$2:$C$1800,الريسبي!$A$2:$A$1800,$A152,الريسبي!$B$2:$B$1800,Q$1)</f>
        <v>0</v>
      </c>
      <c r="R152" s="117" t="n">
        <f aca="false">SUMIFS(الريسبي!$C$2:$C$1800,الريسبي!$A$2:$A$1800,$A152,الريسبي!$B$2:$B$1800,R$1)</f>
        <v>0</v>
      </c>
      <c r="S152" s="117" t="n">
        <f aca="false">SUMIFS(الريسبي!$C$2:$C$1800,الريسبي!$A$2:$A$1800,$A152,الريسبي!$B$2:$B$1800,S$1)</f>
        <v>0</v>
      </c>
      <c r="T152" s="117" t="n">
        <f aca="false">SUMIFS(الريسبي!$C$2:$C$1800,الريسبي!$A$2:$A$1800,$A152,الريسبي!$B$2:$B$1800,T$1)</f>
        <v>0</v>
      </c>
      <c r="U152" s="117" t="n">
        <f aca="false">SUMIFS(الريسبي!$C$2:$C$1800,الريسبي!$A$2:$A$1800,$A152,الريسبي!$B$2:$B$1800,U$1)</f>
        <v>0</v>
      </c>
      <c r="V152" s="117" t="n">
        <f aca="false">SUMIFS(الريسبي!$C$2:$C$1800,الريسبي!$A$2:$A$1800,$A152,الريسبي!$B$2:$B$1800,V$1)+1.5*(SUMIFS(الريسبي!$C$2:$C$1800,الريسبي!$A$2:$A$1800,$A152,الريسبي!$B$2:$B$1800,"برسيون موتزريلا بيتزا كبير"))</f>
        <v>0</v>
      </c>
      <c r="W152" s="117" t="n">
        <f aca="false">0</f>
        <v>0</v>
      </c>
      <c r="X152" s="117" t="n">
        <f aca="false">SUMIFS(الريسبي!$C$2:$C$1800,الريسبي!$A$2:$A$1800,$A152,الريسبي!$B$2:$B$1800,X$1)+1.5*(SUMIFS(الريسبي!$C$2:$C$1800,الريسبي!$A$2:$A$1800,$A152,الريسبي!$B$2:$B$1800,"برسيون موتزريلا فطير كبير"))</f>
        <v>0</v>
      </c>
      <c r="Y152" s="117" t="n">
        <f aca="false">0</f>
        <v>0</v>
      </c>
      <c r="Z152" s="117" t="n">
        <f aca="false">SUMIFS(الريسبي!$C$2:$C$1800,الريسبي!$A$2:$A$1800,$A152,الريسبي!$B$2:$B$1800,Z$1)</f>
        <v>0</v>
      </c>
      <c r="AA152" s="117" t="n">
        <f aca="false">SUMIFS(الريسبي!$C$2:$C$1800,الريسبي!$A$2:$A$1800,$A152,الريسبي!$B$2:$B$1800,AA$1)</f>
        <v>0</v>
      </c>
      <c r="AB152" s="117" t="n">
        <f aca="false">SUMIFS(الريسبي!$C$2:$C$1800,الريسبي!$A$2:$A$1800,$A152,الريسبي!$B$2:$B$1800,AB$1)</f>
        <v>0</v>
      </c>
      <c r="AC152" s="117" t="n">
        <f aca="false">SUMIFS(الريسبي!$C$2:$C$1800,الريسبي!$A$2:$A$1800,$A152,الريسبي!$B$2:$B$1800,AC$1)</f>
        <v>0</v>
      </c>
      <c r="AD152" s="117" t="n">
        <f aca="false">SUMIFS(الريسبي!$C$2:$C$1800,الريسبي!$A$2:$A$1800,$A152,الريسبي!$B$2:$B$1800,AD$1)</f>
        <v>0</v>
      </c>
      <c r="AE152" s="117" t="n">
        <f aca="false">SUMIFS(الريسبي!$C$2:$C$1800,الريسبي!$A$2:$A$1800,$A152,الريسبي!$B$2:$B$1800,AE$1)</f>
        <v>0</v>
      </c>
      <c r="AF152" s="117" t="n">
        <f aca="false">SUMIFS(الريسبي!$C$2:$C$1800,الريسبي!$A$2:$A$1800,$A152,الريسبي!$B$2:$B$1800,AF$1)</f>
        <v>0</v>
      </c>
      <c r="AG152" s="117" t="n">
        <f aca="false">SUMIFS(الريسبي!$C$2:$C$1800,الريسبي!$A$2:$A$1800,$A152,الريسبي!$B$2:$B$1800,AG$1)</f>
        <v>0</v>
      </c>
      <c r="AH152" s="117" t="n">
        <f aca="false">SUMIFS(الريسبي!$C$2:$C$1800,الريسبي!$A$2:$A$1800,$A152,الريسبي!$B$2:$B$1800,AH$1)</f>
        <v>0</v>
      </c>
      <c r="AI152" s="117" t="n">
        <f aca="false">SUMIFS(الريسبي!$C$2:$C$1800,الريسبي!$A$2:$A$1800,$A152,الريسبي!$B$2:$B$1800,AI$1)</f>
        <v>0</v>
      </c>
      <c r="AJ152" s="117" t="n">
        <f aca="false">SUMIFS(الريسبي!$C$2:$C$1800,الريسبي!$A$2:$A$1800,$A152,الريسبي!$B$2:$B$1800,AJ$1)</f>
        <v>0</v>
      </c>
      <c r="AK152" s="117" t="n">
        <f aca="false">SUMIFS(الريسبي!$C$2:$C$1800,الريسبي!$A$2:$A$1800,$A152,الريسبي!$B$2:$B$1800,AK$1)</f>
        <v>0</v>
      </c>
      <c r="AL152" s="117" t="n">
        <f aca="false">SUMIFS(الريسبي!$C$2:$C$1800,الريسبي!$A$2:$A$1800,$A152,الريسبي!$B$2:$B$1800,AL$1)</f>
        <v>0</v>
      </c>
      <c r="AM152" s="117" t="n">
        <f aca="false">SUMIFS(الريسبي!$C$2:$C$1800,الريسبي!$A$2:$A$1800,$A152,الريسبي!$B$2:$B$1800,AM$1)+0.08333333333*SUMIFS(الريسبي!$C$2:$C$1800,الريسبي!$A$2:$A$1800,$A152,الريسبي!$B$2:$B$1800,"عجين كريب (مصنع بالمطعم)")+0.08333333333*SUMIFS(الريسبي!$C$2:$C$1800,الريسبي!$A$2:$A$1800,$A152,الريسبي!$B$2:$B$1800,"عجين كريب صيامي (بدون لبن)")</f>
        <v>0</v>
      </c>
      <c r="AN152" s="117" t="n">
        <f aca="false">SUMIFS(الريسبي!$C$2:$C$1800,الريسبي!$A$2:$A$1800,$A152,الريسبي!$B$2:$B$1800,AN$1)+0.004166666667*SUMIFS(الريسبي!$C$2:$C$1800,الريسبي!$A$2:$A$1800,$A152,الريسبي!$B$2:$B$1800,"عجين كريب (مصنع بالمطعم)")+0.004166666667*SUMIFS(الريسبي!$C$2:$C$1800,الريسبي!$A$2:$A$1800,$A152,الريسبي!$B$2:$B$1800,"عجين كريب صيامي (بدون لبن)")</f>
        <v>0</v>
      </c>
      <c r="AO152" s="117" t="n">
        <f aca="false">SUMIFS(الريسبي!$C$2:$C$1800,الريسبي!$A$2:$A$1800,$A152,الريسبي!$B$2:$B$1800,AO$1)</f>
        <v>0</v>
      </c>
      <c r="AP152" s="117" t="n">
        <f aca="false">SUMIFS(الريسبي!$C$2:$C$1800,الريسبي!$A$2:$A$1800,$A152,الريسبي!$B$2:$B$1800,AP$1)</f>
        <v>0</v>
      </c>
      <c r="AQ152" s="117" t="n">
        <f aca="false">SUMIFS(الريسبي!$C$2:$C$1800,الريسبي!$A$2:$A$1800,$A152,الريسبي!$B$2:$B$1800,AQ$1)+0.004166666667*SUMIFS(الريسبي!$C$2:$C$1800,الريسبي!$A$2:$A$1800,$A152,الريسبي!$B$2:$B$1800,"عجين كريب (مصنع بالمطعم)")+0.004166666667*SUMIFS(الريسبي!$C$2:$C$1800,الريسبي!$A$2:$A$1800,$A152,الريسبي!$B$2:$B$1800,"عجين كريب صيامي (بدون لبن)")</f>
        <v>0</v>
      </c>
      <c r="AR152" s="117" t="n">
        <f aca="false">SUMIFS(الريسبي!$C$2:$C$1800,الريسبي!$A$2:$A$1800,$A152,الريسبي!$B$2:$B$1800,AR$1)</f>
        <v>0</v>
      </c>
      <c r="AS152" s="117" t="n">
        <f aca="false">SUMIFS(الريسبي!$C$2:$C$1800,الريسبي!$A$2:$A$1800,$A152,الريسبي!$B$2:$B$1800,AS$1)</f>
        <v>0</v>
      </c>
      <c r="AT152" s="117" t="n">
        <f aca="false">SUMIFS(الريسبي!$C$2:$C$1800,الريسبي!$A$2:$A$1800,$A152,الريسبي!$B$2:$B$1800,AT$1)</f>
        <v>0</v>
      </c>
      <c r="AU152" s="117" t="n">
        <f aca="false">SUMIFS(الريسبي!$C$2:$C$1800,الريسبي!$A$2:$A$1800,$A152,الريسبي!$B$2:$B$1800,AU$1)</f>
        <v>0</v>
      </c>
      <c r="AV152" s="117" t="n">
        <f aca="false">SUMIFS(الريسبي!$C$2:$C$1800,الريسبي!$A$2:$A$1800,$A152,الريسبي!$B$2:$B$1800,AV$1)</f>
        <v>0</v>
      </c>
      <c r="AW152" s="117" t="n">
        <f aca="false">SUMIFS(الريسبي!$C$2:$C$1800,الريسبي!$A$2:$A$1800,$A152,الريسبي!$B$2:$B$1800,AW$1)</f>
        <v>0</v>
      </c>
      <c r="AX152" s="117" t="n">
        <f aca="false">SUMIFS(الريسبي!$C$2:$C$1800,الريسبي!$A$2:$A$1800,$A152,الريسبي!$B$2:$B$1800,AX$1)</f>
        <v>0</v>
      </c>
      <c r="AY152" s="117" t="n">
        <f aca="false">SUMIFS(الريسبي!$C$2:$C$1800,الريسبي!$A$2:$A$1800,$A152,الريسبي!$B$2:$B$1800,AY$1)</f>
        <v>0</v>
      </c>
      <c r="AZ152" s="117" t="n">
        <f aca="false">SUMIFS(الريسبي!$C$2:$C$1800,الريسبي!$A$2:$A$1800,$A152,الريسبي!$B$2:$B$1800,AZ$1)</f>
        <v>0</v>
      </c>
      <c r="BA152" s="117" t="n">
        <f aca="false">SUMIFS(الريسبي!$C$2:$C$1800,الريسبي!$A$2:$A$1800,$A152,الريسبي!$B$2:$B$1800,BA$1)</f>
        <v>0</v>
      </c>
      <c r="BB152" s="117" t="n">
        <f aca="false">SUMIFS(الريسبي!$C$2:$C$1800,الريسبي!$A$2:$A$1800,$A152,الريسبي!$B$2:$B$1800,BB$1)</f>
        <v>0</v>
      </c>
      <c r="BC152" s="117" t="n">
        <f aca="false">SUMIFS(الريسبي!$C$2:$C$1800,الريسبي!$A$2:$A$1800,$A152,الريسبي!$B$2:$B$1800,BC$1)</f>
        <v>0</v>
      </c>
      <c r="BD152" s="117" t="n">
        <f aca="false">SUMIFS(الريسبي!$C$2:$C$1800,الريسبي!$A$2:$A$1800,$A152,الريسبي!$B$2:$B$1800,BD$1)</f>
        <v>0</v>
      </c>
      <c r="BE152" s="117" t="n">
        <f aca="false">SUMIFS(الريسبي!$C$2:$C$1800,الريسبي!$A$2:$A$1800,$A152,الريسبي!$B$2:$B$1800,BE$1)</f>
        <v>0</v>
      </c>
      <c r="BF152" s="117" t="n">
        <f aca="false">SUMIFS(الريسبي!$C$2:$C$1800,الريسبي!$A$2:$A$1800,$A152,الريسبي!$B$2:$B$1800,BF$1)</f>
        <v>0</v>
      </c>
      <c r="BG152" s="117" t="n">
        <f aca="false">SUMIFS(الريسبي!$C$2:$C$1800,الريسبي!$A$2:$A$1800,$A152,الريسبي!$B$2:$B$1800,BG$1)</f>
        <v>0</v>
      </c>
      <c r="BH152" s="117" t="n">
        <f aca="false">SUMIFS(الريسبي!$C$2:$C$1800,الريسبي!$A$2:$A$1800,$A152,الريسبي!$B$2:$B$1800,BH$1)</f>
        <v>0</v>
      </c>
      <c r="BI152" s="117" t="n">
        <f aca="false">SUMIFS(الريسبي!$C$2:$C$1800,الريسبي!$A$2:$A$1800,$A152,الريسبي!$B$2:$B$1800,BI$1)</f>
        <v>0</v>
      </c>
      <c r="BJ152" s="117" t="n">
        <f aca="false">SUMIFS(الريسبي!$C$2:$C$1800,الريسبي!$A$2:$A$1800,$A152,الريسبي!$B$2:$B$1800,BJ$1)</f>
        <v>0</v>
      </c>
      <c r="BK152" s="117" t="n">
        <f aca="false">SUMIFS(الريسبي!$C$2:$C$1800,الريسبي!$A$2:$A$1800,$A152,الريسبي!$B$2:$B$1800,BK$1)</f>
        <v>0</v>
      </c>
      <c r="BL152" s="117" t="n">
        <f aca="false">SUMIFS(الريسبي!$C$2:$C$1800,الريسبي!$A$2:$A$1800,$A152,الريسبي!$B$2:$B$1800,BL$1)</f>
        <v>0</v>
      </c>
      <c r="BM152" s="117" t="n">
        <f aca="false">SUMIFS(الريسبي!$C$2:$C$1800,الريسبي!$A$2:$A$1800,$A152,الريسبي!$B$2:$B$1800,BM$1)</f>
        <v>0</v>
      </c>
      <c r="BN152" s="117" t="n">
        <f aca="false">SUMIFS(الريسبي!$C$2:$C$1800,الريسبي!$A$2:$A$1800,$A152,الريسبي!$B$2:$B$1800,BN$1)</f>
        <v>0</v>
      </c>
      <c r="BO152" s="117" t="n">
        <f aca="false">SUMIFS(الريسبي!$C$2:$C$1800,الريسبي!$A$2:$A$1800,$A152,الريسبي!$B$2:$B$1800,BO$1)</f>
        <v>0</v>
      </c>
      <c r="BP152" s="117" t="n">
        <f aca="false">SUMIFS(الريسبي!$C$2:$C$1800,الريسبي!$A$2:$A$1800,$A152,الريسبي!$B$2:$B$1800,BP$1)</f>
        <v>0</v>
      </c>
      <c r="BQ152" s="117" t="n">
        <f aca="false">SUMIFS(الريسبي!$C$2:$C$1800,الريسبي!$A$2:$A$1800,$A152,الريسبي!$B$2:$B$1800,BQ$1)+0.17*SUMIFS(الريسبي!$C$2:$C$1800,الريسبي!$A$2:$A$1800,$A152,الريسبي!$B$2:$B$1800,"كاسترد مصنع (خليط بودر + لبن)")+0.17*SUMIFS(الريسبي!$C$2:$C$1800,الريسبي!$A$2:$A$1800,$A152,الريسبي!$B$2:$B$1800,"كاسترد مصنع صيامي (بدون لبن)")</f>
        <v>0</v>
      </c>
      <c r="BR152" s="117" t="n">
        <f aca="false">SUMIFS(الريسبي!$C$2:$C$1800,الريسبي!$A$2:$A$1800,$A152,الريسبي!$B$2:$B$1800,BR$1)</f>
        <v>0</v>
      </c>
      <c r="BS152" s="117" t="n">
        <f aca="false">SUMIFS(الريسبي!$C$2:$C$1800,الريسبي!$A$2:$A$1800,$A152,الريسبي!$B$2:$B$1800,BS$1)</f>
        <v>0</v>
      </c>
      <c r="BT152" s="117" t="n">
        <f aca="false">SUMIFS(الريسبي!$C$2:$C$1800,الريسبي!$A$2:$A$1800,$A152,الريسبي!$B$2:$B$1800,BT$1)</f>
        <v>0</v>
      </c>
      <c r="BU152" s="117" t="n">
        <f aca="false">SUMIFS(الريسبي!$C$2:$C$1800,الريسبي!$A$2:$A$1800,$A152,الريسبي!$B$2:$B$1800,BU$1)+0.4*SUMIFS(الريسبي!$C$2:$C$1800,الريسبي!$A$2:$A$1800,$A152,الريسبي!$B$2:$B$1800,"كاسترد مصنع (خليط بودر + لبن)")+0.03333333333*SUMIFS(الريسبي!$C$2:$C$1800,الريسبي!$A$2:$A$1800,$A152,الريسبي!$B$2:$B$1800,"عجين كريب (مصنع بالمطعم)")</f>
        <v>0</v>
      </c>
      <c r="BV152" s="117" t="n">
        <f aca="false">SUMIFS(الريسبي!$C$2:$C$1800,الريسبي!$A$2:$A$1800,$A152,الريسبي!$B$2:$B$1800,BV$1)</f>
        <v>0</v>
      </c>
      <c r="BW152" s="117" t="n">
        <f aca="false">SUMIFS(الريسبي!$C$2:$C$1800,الريسبي!$A$2:$A$1800,$A152,الريسبي!$B$2:$B$1800,BW$1)</f>
        <v>0</v>
      </c>
      <c r="BX152" s="117" t="n">
        <f aca="false">SUMIFS(الريسبي!$C$2:$C$1800,الريسبي!$A$2:$A$1800,$A152,الريسبي!$B$2:$B$1800,BX$1)</f>
        <v>0</v>
      </c>
      <c r="BY152" s="117" t="n">
        <f aca="false">SUMIFS(الريسبي!$C$2:$C$1800,الريسبي!$A$2:$A$1800,$A152,الريسبي!$B$2:$B$1800,BY$1)</f>
        <v>0</v>
      </c>
      <c r="BZ152" s="117" t="n">
        <f aca="false">SUMIFS(الريسبي!$C$2:$C$1800,الريسبي!$A$2:$A$1800,$A152,الريسبي!$B$2:$B$1800,BZ$1)</f>
        <v>0</v>
      </c>
      <c r="CA152" s="117" t="n">
        <f aca="false">SUMIFS(الريسبي!$C$2:$C$1800,الريسبي!$A$2:$A$1800,$A152,الريسبي!$B$2:$B$1800,CA$1)</f>
        <v>0</v>
      </c>
      <c r="CB152" s="117" t="n">
        <f aca="false">SUMIFS(الريسبي!$C$2:$C$1800,الريسبي!$A$2:$A$1800,$A152,الريسبي!$B$2:$B$1800,CB$1)</f>
        <v>0</v>
      </c>
      <c r="CC152" s="117" t="n">
        <f aca="false">SUMIFS(الريسبي!$C$2:$C$1800,الريسبي!$A$2:$A$1800,$A152,الريسبي!$B$2:$B$1800,CC$1)</f>
        <v>0</v>
      </c>
      <c r="CD152" s="117" t="n">
        <f aca="false">SUMIFS(الريسبي!$C$2:$C$1800,الريسبي!$A$2:$A$1800,$A152,الريسبي!$B$2:$B$1800,CD$1)</f>
        <v>0</v>
      </c>
      <c r="CE152" s="117" t="n">
        <f aca="false">SUMIFS(الريسبي!$C$2:$C$1800,الريسبي!$A$2:$A$1800,$A152,الريسبي!$B$2:$B$1800,CE$1)</f>
        <v>0</v>
      </c>
      <c r="CF152" s="117" t="n">
        <f aca="false">SUMIFS(الريسبي!$C$2:$C$1800,الريسبي!$A$2:$A$1800,$A152,الريسبي!$B$2:$B$1800,CF$1)</f>
        <v>0</v>
      </c>
      <c r="CG152" s="117" t="n">
        <f aca="false">SUMIFS(الريسبي!$C$2:$C$1800,الريسبي!$A$2:$A$1800,$A152,الريسبي!$B$2:$B$1800,CG$1)</f>
        <v>0</v>
      </c>
      <c r="CH152" s="117" t="n">
        <f aca="false">SUMIFS(الريسبي!$C$2:$C$1800,الريسبي!$A$2:$A$1800,$A152,الريسبي!$B$2:$B$1800,CH$1)</f>
        <v>0</v>
      </c>
      <c r="CI152" s="117" t="n">
        <f aca="false">SUMIFS(الريسبي!$C$2:$C$1800,الريسبي!$A$2:$A$1800,$A152,الريسبي!$B$2:$B$1800,CI$1)</f>
        <v>0</v>
      </c>
      <c r="CJ152" s="117" t="n">
        <f aca="false">SUMIFS(الريسبي!$C$2:$C$1800,الريسبي!$A$2:$A$1800,$A152,الريسبي!$B$2:$B$1800,CJ$1)</f>
        <v>0</v>
      </c>
      <c r="CK152" s="117" t="n">
        <f aca="false">SUMIFS(الريسبي!$C$2:$C$1800,الريسبي!$A$2:$A$1800,$A152,الريسبي!$B$2:$B$1800,CK$1)</f>
        <v>0</v>
      </c>
      <c r="CL152" s="117" t="n">
        <f aca="false">SUMIFS(الريسبي!$C$2:$C$1800,الريسبي!$A$2:$A$1800,$A152,الريسبي!$B$2:$B$1800,CL$1)</f>
        <v>0</v>
      </c>
    </row>
    <row r="153" customFormat="false" ht="15" hidden="false" customHeight="false" outlineLevel="0" collapsed="false">
      <c r="A153" s="116" t="str">
        <f aca="false">المنيو!B153</f>
        <v>اضافة فراخ جريل (بيتزا وسط)</v>
      </c>
      <c r="B153" s="117" t="n">
        <f aca="false">SUMIFS(الريسبي!$C$2:$C$1800,الريسبي!$A$2:$A$1800,$A153,الريسبي!$B$2:$B$1800,B$1)</f>
        <v>0</v>
      </c>
      <c r="C153" s="117" t="n">
        <f aca="false">SUMIFS(الريسبي!$C$2:$C$1800,الريسبي!$A$2:$A$1800,$A153,الريسبي!$B$2:$B$1800,C$1)</f>
        <v>0</v>
      </c>
      <c r="D153" s="117" t="n">
        <f aca="false">SUMIFS(الريسبي!$C$2:$C$1800,الريسبي!$A$2:$A$1800,$A153,الريسبي!$B$2:$B$1800,D$1)</f>
        <v>0</v>
      </c>
      <c r="E153" s="117" t="n">
        <f aca="false">SUMIFS(الريسبي!$C$2:$C$1800,الريسبي!$A$2:$A$1800,$A153,الريسبي!$B$2:$B$1800,E$1)</f>
        <v>0</v>
      </c>
      <c r="F153" s="117" t="n">
        <f aca="false">SUMIFS(الريسبي!$C$2:$C$1800,الريسبي!$A$2:$A$1800,$A153,الريسبي!$B$2:$B$1800,F$1)</f>
        <v>0</v>
      </c>
      <c r="G153" s="117" t="n">
        <f aca="false">SUMIFS(الريسبي!$C$2:$C$1800,الريسبي!$A$2:$A$1800,$A153,الريسبي!$B$2:$B$1800,G$1)</f>
        <v>0</v>
      </c>
      <c r="H153" s="117" t="n">
        <f aca="false">SUMIFS(الريسبي!$C$2:$C$1800,الريسبي!$A$2:$A$1800,$A153,الريسبي!$B$2:$B$1800,H$1)</f>
        <v>0</v>
      </c>
      <c r="I153" s="117" t="n">
        <f aca="false">SUMIFS(الريسبي!$C$2:$C$1800,الريسبي!$A$2:$A$1800,$A153,الريسبي!$B$2:$B$1800,I$1)</f>
        <v>0</v>
      </c>
      <c r="J153" s="117" t="n">
        <f aca="false">SUMIFS(الريسبي!$C$2:$C$1800,الريسبي!$A$2:$A$1800,$A153,الريسبي!$B$2:$B$1800,J$1)</f>
        <v>0</v>
      </c>
      <c r="K153" s="117" t="n">
        <f aca="false">SUMIFS(الريسبي!$C$2:$C$1800,الريسبي!$A$2:$A$1800,$A153,الريسبي!$B$2:$B$1800,K$1)</f>
        <v>0</v>
      </c>
      <c r="L153" s="117" t="n">
        <f aca="false">SUMIFS(الريسبي!$C$2:$C$1800,الريسبي!$A$2:$A$1800,$A153,الريسبي!$B$2:$B$1800,L$1)</f>
        <v>0</v>
      </c>
      <c r="M153" s="117" t="n">
        <f aca="false">SUMIFS(الريسبي!$C$2:$C$1800,الريسبي!$A$2:$A$1800,$A153,الريسبي!$B$2:$B$1800,M$1)</f>
        <v>0</v>
      </c>
      <c r="N153" s="117" t="n">
        <f aca="false">SUMIFS(الريسبي!$C$2:$C$1800,الريسبي!$A$2:$A$1800,$A153,الريسبي!$B$2:$B$1800,N$1)</f>
        <v>0</v>
      </c>
      <c r="O153" s="117" t="n">
        <f aca="false">SUMIFS(الريسبي!$C$2:$C$1800,الريسبي!$A$2:$A$1800,$A153,الريسبي!$B$2:$B$1800,O$1)</f>
        <v>1</v>
      </c>
      <c r="P153" s="117" t="n">
        <f aca="false">SUMIFS(الريسبي!$C$2:$C$1800,الريسبي!$A$2:$A$1800,$A153,الريسبي!$B$2:$B$1800,P$1)</f>
        <v>0</v>
      </c>
      <c r="Q153" s="117" t="n">
        <f aca="false">SUMIFS(الريسبي!$C$2:$C$1800,الريسبي!$A$2:$A$1800,$A153,الريسبي!$B$2:$B$1800,Q$1)</f>
        <v>0</v>
      </c>
      <c r="R153" s="117" t="n">
        <f aca="false">SUMIFS(الريسبي!$C$2:$C$1800,الريسبي!$A$2:$A$1800,$A153,الريسبي!$B$2:$B$1800,R$1)</f>
        <v>0</v>
      </c>
      <c r="S153" s="117" t="n">
        <f aca="false">SUMIFS(الريسبي!$C$2:$C$1800,الريسبي!$A$2:$A$1800,$A153,الريسبي!$B$2:$B$1800,S$1)</f>
        <v>0</v>
      </c>
      <c r="T153" s="117" t="n">
        <f aca="false">SUMIFS(الريسبي!$C$2:$C$1800,الريسبي!$A$2:$A$1800,$A153,الريسبي!$B$2:$B$1800,T$1)</f>
        <v>0</v>
      </c>
      <c r="U153" s="117" t="n">
        <f aca="false">SUMIFS(الريسبي!$C$2:$C$1800,الريسبي!$A$2:$A$1800,$A153,الريسبي!$B$2:$B$1800,U$1)</f>
        <v>0</v>
      </c>
      <c r="V153" s="117" t="n">
        <f aca="false">SUMIFS(الريسبي!$C$2:$C$1800,الريسبي!$A$2:$A$1800,$A153,الريسبي!$B$2:$B$1800,V$1)+1.5*(SUMIFS(الريسبي!$C$2:$C$1800,الريسبي!$A$2:$A$1800,$A153,الريسبي!$B$2:$B$1800,"برسيون موتزريلا بيتزا كبير"))</f>
        <v>0</v>
      </c>
      <c r="W153" s="117" t="n">
        <f aca="false">0</f>
        <v>0</v>
      </c>
      <c r="X153" s="117" t="n">
        <f aca="false">SUMIFS(الريسبي!$C$2:$C$1800,الريسبي!$A$2:$A$1800,$A153,الريسبي!$B$2:$B$1800,X$1)+1.5*(SUMIFS(الريسبي!$C$2:$C$1800,الريسبي!$A$2:$A$1800,$A153,الريسبي!$B$2:$B$1800,"برسيون موتزريلا فطير كبير"))</f>
        <v>0</v>
      </c>
      <c r="Y153" s="117" t="n">
        <f aca="false">0</f>
        <v>0</v>
      </c>
      <c r="Z153" s="117" t="n">
        <f aca="false">SUMIFS(الريسبي!$C$2:$C$1800,الريسبي!$A$2:$A$1800,$A153,الريسبي!$B$2:$B$1800,Z$1)</f>
        <v>0</v>
      </c>
      <c r="AA153" s="117" t="n">
        <f aca="false">SUMIFS(الريسبي!$C$2:$C$1800,الريسبي!$A$2:$A$1800,$A153,الريسبي!$B$2:$B$1800,AA$1)</f>
        <v>0</v>
      </c>
      <c r="AB153" s="117" t="n">
        <f aca="false">SUMIFS(الريسبي!$C$2:$C$1800,الريسبي!$A$2:$A$1800,$A153,الريسبي!$B$2:$B$1800,AB$1)</f>
        <v>0</v>
      </c>
      <c r="AC153" s="117" t="n">
        <f aca="false">SUMIFS(الريسبي!$C$2:$C$1800,الريسبي!$A$2:$A$1800,$A153,الريسبي!$B$2:$B$1800,AC$1)</f>
        <v>0</v>
      </c>
      <c r="AD153" s="117" t="n">
        <f aca="false">SUMIFS(الريسبي!$C$2:$C$1800,الريسبي!$A$2:$A$1800,$A153,الريسبي!$B$2:$B$1800,AD$1)</f>
        <v>0</v>
      </c>
      <c r="AE153" s="117" t="n">
        <f aca="false">SUMIFS(الريسبي!$C$2:$C$1800,الريسبي!$A$2:$A$1800,$A153,الريسبي!$B$2:$B$1800,AE$1)</f>
        <v>0</v>
      </c>
      <c r="AF153" s="117" t="n">
        <f aca="false">SUMIFS(الريسبي!$C$2:$C$1800,الريسبي!$A$2:$A$1800,$A153,الريسبي!$B$2:$B$1800,AF$1)</f>
        <v>0</v>
      </c>
      <c r="AG153" s="117" t="n">
        <f aca="false">SUMIFS(الريسبي!$C$2:$C$1800,الريسبي!$A$2:$A$1800,$A153,الريسبي!$B$2:$B$1800,AG$1)</f>
        <v>0</v>
      </c>
      <c r="AH153" s="117" t="n">
        <f aca="false">SUMIFS(الريسبي!$C$2:$C$1800,الريسبي!$A$2:$A$1800,$A153,الريسبي!$B$2:$B$1800,AH$1)</f>
        <v>0</v>
      </c>
      <c r="AI153" s="117" t="n">
        <f aca="false">SUMIFS(الريسبي!$C$2:$C$1800,الريسبي!$A$2:$A$1800,$A153,الريسبي!$B$2:$B$1800,AI$1)</f>
        <v>0</v>
      </c>
      <c r="AJ153" s="117" t="n">
        <f aca="false">SUMIFS(الريسبي!$C$2:$C$1800,الريسبي!$A$2:$A$1800,$A153,الريسبي!$B$2:$B$1800,AJ$1)</f>
        <v>0</v>
      </c>
      <c r="AK153" s="117" t="n">
        <f aca="false">SUMIFS(الريسبي!$C$2:$C$1800,الريسبي!$A$2:$A$1800,$A153,الريسبي!$B$2:$B$1800,AK$1)</f>
        <v>0</v>
      </c>
      <c r="AL153" s="117" t="n">
        <f aca="false">SUMIFS(الريسبي!$C$2:$C$1800,الريسبي!$A$2:$A$1800,$A153,الريسبي!$B$2:$B$1800,AL$1)</f>
        <v>0</v>
      </c>
      <c r="AM153" s="117" t="n">
        <f aca="false">SUMIFS(الريسبي!$C$2:$C$1800,الريسبي!$A$2:$A$1800,$A153,الريسبي!$B$2:$B$1800,AM$1)+0.08333333333*SUMIFS(الريسبي!$C$2:$C$1800,الريسبي!$A$2:$A$1800,$A153,الريسبي!$B$2:$B$1800,"عجين كريب (مصنع بالمطعم)")+0.08333333333*SUMIFS(الريسبي!$C$2:$C$1800,الريسبي!$A$2:$A$1800,$A153,الريسبي!$B$2:$B$1800,"عجين كريب صيامي (بدون لبن)")</f>
        <v>0</v>
      </c>
      <c r="AN153" s="117" t="n">
        <f aca="false">SUMIFS(الريسبي!$C$2:$C$1800,الريسبي!$A$2:$A$1800,$A153,الريسبي!$B$2:$B$1800,AN$1)+0.004166666667*SUMIFS(الريسبي!$C$2:$C$1800,الريسبي!$A$2:$A$1800,$A153,الريسبي!$B$2:$B$1800,"عجين كريب (مصنع بالمطعم)")+0.004166666667*SUMIFS(الريسبي!$C$2:$C$1800,الريسبي!$A$2:$A$1800,$A153,الريسبي!$B$2:$B$1800,"عجين كريب صيامي (بدون لبن)")</f>
        <v>0</v>
      </c>
      <c r="AO153" s="117" t="n">
        <f aca="false">SUMIFS(الريسبي!$C$2:$C$1800,الريسبي!$A$2:$A$1800,$A153,الريسبي!$B$2:$B$1800,AO$1)</f>
        <v>0</v>
      </c>
      <c r="AP153" s="117" t="n">
        <f aca="false">SUMIFS(الريسبي!$C$2:$C$1800,الريسبي!$A$2:$A$1800,$A153,الريسبي!$B$2:$B$1800,AP$1)</f>
        <v>0</v>
      </c>
      <c r="AQ153" s="117" t="n">
        <f aca="false">SUMIFS(الريسبي!$C$2:$C$1800,الريسبي!$A$2:$A$1800,$A153,الريسبي!$B$2:$B$1800,AQ$1)+0.004166666667*SUMIFS(الريسبي!$C$2:$C$1800,الريسبي!$A$2:$A$1800,$A153,الريسبي!$B$2:$B$1800,"عجين كريب (مصنع بالمطعم)")+0.004166666667*SUMIFS(الريسبي!$C$2:$C$1800,الريسبي!$A$2:$A$1800,$A153,الريسبي!$B$2:$B$1800,"عجين كريب صيامي (بدون لبن)")</f>
        <v>0</v>
      </c>
      <c r="AR153" s="117" t="n">
        <f aca="false">SUMIFS(الريسبي!$C$2:$C$1800,الريسبي!$A$2:$A$1800,$A153,الريسبي!$B$2:$B$1800,AR$1)</f>
        <v>0</v>
      </c>
      <c r="AS153" s="117" t="n">
        <f aca="false">SUMIFS(الريسبي!$C$2:$C$1800,الريسبي!$A$2:$A$1800,$A153,الريسبي!$B$2:$B$1800,AS$1)</f>
        <v>0</v>
      </c>
      <c r="AT153" s="117" t="n">
        <f aca="false">SUMIFS(الريسبي!$C$2:$C$1800,الريسبي!$A$2:$A$1800,$A153,الريسبي!$B$2:$B$1800,AT$1)</f>
        <v>0</v>
      </c>
      <c r="AU153" s="117" t="n">
        <f aca="false">SUMIFS(الريسبي!$C$2:$C$1800,الريسبي!$A$2:$A$1800,$A153,الريسبي!$B$2:$B$1800,AU$1)</f>
        <v>0</v>
      </c>
      <c r="AV153" s="117" t="n">
        <f aca="false">SUMIFS(الريسبي!$C$2:$C$1800,الريسبي!$A$2:$A$1800,$A153,الريسبي!$B$2:$B$1800,AV$1)</f>
        <v>0</v>
      </c>
      <c r="AW153" s="117" t="n">
        <f aca="false">SUMIFS(الريسبي!$C$2:$C$1800,الريسبي!$A$2:$A$1800,$A153,الريسبي!$B$2:$B$1800,AW$1)</f>
        <v>0</v>
      </c>
      <c r="AX153" s="117" t="n">
        <f aca="false">SUMIFS(الريسبي!$C$2:$C$1800,الريسبي!$A$2:$A$1800,$A153,الريسبي!$B$2:$B$1800,AX$1)</f>
        <v>0</v>
      </c>
      <c r="AY153" s="117" t="n">
        <f aca="false">SUMIFS(الريسبي!$C$2:$C$1800,الريسبي!$A$2:$A$1800,$A153,الريسبي!$B$2:$B$1800,AY$1)</f>
        <v>0</v>
      </c>
      <c r="AZ153" s="117" t="n">
        <f aca="false">SUMIFS(الريسبي!$C$2:$C$1800,الريسبي!$A$2:$A$1800,$A153,الريسبي!$B$2:$B$1800,AZ$1)</f>
        <v>0</v>
      </c>
      <c r="BA153" s="117" t="n">
        <f aca="false">SUMIFS(الريسبي!$C$2:$C$1800,الريسبي!$A$2:$A$1800,$A153,الريسبي!$B$2:$B$1800,BA$1)</f>
        <v>0</v>
      </c>
      <c r="BB153" s="117" t="n">
        <f aca="false">SUMIFS(الريسبي!$C$2:$C$1800,الريسبي!$A$2:$A$1800,$A153,الريسبي!$B$2:$B$1800,BB$1)</f>
        <v>0</v>
      </c>
      <c r="BC153" s="117" t="n">
        <f aca="false">SUMIFS(الريسبي!$C$2:$C$1800,الريسبي!$A$2:$A$1800,$A153,الريسبي!$B$2:$B$1800,BC$1)</f>
        <v>0</v>
      </c>
      <c r="BD153" s="117" t="n">
        <f aca="false">SUMIFS(الريسبي!$C$2:$C$1800,الريسبي!$A$2:$A$1800,$A153,الريسبي!$B$2:$B$1800,BD$1)</f>
        <v>0</v>
      </c>
      <c r="BE153" s="117" t="n">
        <f aca="false">SUMIFS(الريسبي!$C$2:$C$1800,الريسبي!$A$2:$A$1800,$A153,الريسبي!$B$2:$B$1800,BE$1)</f>
        <v>0</v>
      </c>
      <c r="BF153" s="117" t="n">
        <f aca="false">SUMIFS(الريسبي!$C$2:$C$1800,الريسبي!$A$2:$A$1800,$A153,الريسبي!$B$2:$B$1800,BF$1)</f>
        <v>0</v>
      </c>
      <c r="BG153" s="117" t="n">
        <f aca="false">SUMIFS(الريسبي!$C$2:$C$1800,الريسبي!$A$2:$A$1800,$A153,الريسبي!$B$2:$B$1800,BG$1)</f>
        <v>0</v>
      </c>
      <c r="BH153" s="117" t="n">
        <f aca="false">SUMIFS(الريسبي!$C$2:$C$1800,الريسبي!$A$2:$A$1800,$A153,الريسبي!$B$2:$B$1800,BH$1)</f>
        <v>0</v>
      </c>
      <c r="BI153" s="117" t="n">
        <f aca="false">SUMIFS(الريسبي!$C$2:$C$1800,الريسبي!$A$2:$A$1800,$A153,الريسبي!$B$2:$B$1800,BI$1)</f>
        <v>0</v>
      </c>
      <c r="BJ153" s="117" t="n">
        <f aca="false">SUMIFS(الريسبي!$C$2:$C$1800,الريسبي!$A$2:$A$1800,$A153,الريسبي!$B$2:$B$1800,BJ$1)</f>
        <v>0</v>
      </c>
      <c r="BK153" s="117" t="n">
        <f aca="false">SUMIFS(الريسبي!$C$2:$C$1800,الريسبي!$A$2:$A$1800,$A153,الريسبي!$B$2:$B$1800,BK$1)</f>
        <v>0</v>
      </c>
      <c r="BL153" s="117" t="n">
        <f aca="false">SUMIFS(الريسبي!$C$2:$C$1800,الريسبي!$A$2:$A$1800,$A153,الريسبي!$B$2:$B$1800,BL$1)</f>
        <v>0</v>
      </c>
      <c r="BM153" s="117" t="n">
        <f aca="false">SUMIFS(الريسبي!$C$2:$C$1800,الريسبي!$A$2:$A$1800,$A153,الريسبي!$B$2:$B$1800,BM$1)</f>
        <v>0</v>
      </c>
      <c r="BN153" s="117" t="n">
        <f aca="false">SUMIFS(الريسبي!$C$2:$C$1800,الريسبي!$A$2:$A$1800,$A153,الريسبي!$B$2:$B$1800,BN$1)</f>
        <v>0</v>
      </c>
      <c r="BO153" s="117" t="n">
        <f aca="false">SUMIFS(الريسبي!$C$2:$C$1800,الريسبي!$A$2:$A$1800,$A153,الريسبي!$B$2:$B$1800,BO$1)</f>
        <v>0</v>
      </c>
      <c r="BP153" s="117" t="n">
        <f aca="false">SUMIFS(الريسبي!$C$2:$C$1800,الريسبي!$A$2:$A$1800,$A153,الريسبي!$B$2:$B$1800,BP$1)</f>
        <v>0</v>
      </c>
      <c r="BQ153" s="117" t="n">
        <f aca="false">SUMIFS(الريسبي!$C$2:$C$1800,الريسبي!$A$2:$A$1800,$A153,الريسبي!$B$2:$B$1800,BQ$1)+0.17*SUMIFS(الريسبي!$C$2:$C$1800,الريسبي!$A$2:$A$1800,$A153,الريسبي!$B$2:$B$1800,"كاسترد مصنع (خليط بودر + لبن)")+0.17*SUMIFS(الريسبي!$C$2:$C$1800,الريسبي!$A$2:$A$1800,$A153,الريسبي!$B$2:$B$1800,"كاسترد مصنع صيامي (بدون لبن)")</f>
        <v>0</v>
      </c>
      <c r="BR153" s="117" t="n">
        <f aca="false">SUMIFS(الريسبي!$C$2:$C$1800,الريسبي!$A$2:$A$1800,$A153,الريسبي!$B$2:$B$1800,BR$1)</f>
        <v>0</v>
      </c>
      <c r="BS153" s="117" t="n">
        <f aca="false">SUMIFS(الريسبي!$C$2:$C$1800,الريسبي!$A$2:$A$1800,$A153,الريسبي!$B$2:$B$1800,BS$1)</f>
        <v>0</v>
      </c>
      <c r="BT153" s="117" t="n">
        <f aca="false">SUMIFS(الريسبي!$C$2:$C$1800,الريسبي!$A$2:$A$1800,$A153,الريسبي!$B$2:$B$1800,BT$1)</f>
        <v>0</v>
      </c>
      <c r="BU153" s="117" t="n">
        <f aca="false">SUMIFS(الريسبي!$C$2:$C$1800,الريسبي!$A$2:$A$1800,$A153,الريسبي!$B$2:$B$1800,BU$1)+0.4*SUMIFS(الريسبي!$C$2:$C$1800,الريسبي!$A$2:$A$1800,$A153,الريسبي!$B$2:$B$1800,"كاسترد مصنع (خليط بودر + لبن)")+0.03333333333*SUMIFS(الريسبي!$C$2:$C$1800,الريسبي!$A$2:$A$1800,$A153,الريسبي!$B$2:$B$1800,"عجين كريب (مصنع بالمطعم)")</f>
        <v>0</v>
      </c>
      <c r="BV153" s="117" t="n">
        <f aca="false">SUMIFS(الريسبي!$C$2:$C$1800,الريسبي!$A$2:$A$1800,$A153,الريسبي!$B$2:$B$1800,BV$1)</f>
        <v>0</v>
      </c>
      <c r="BW153" s="117" t="n">
        <f aca="false">SUMIFS(الريسبي!$C$2:$C$1800,الريسبي!$A$2:$A$1800,$A153,الريسبي!$B$2:$B$1800,BW$1)</f>
        <v>0</v>
      </c>
      <c r="BX153" s="117" t="n">
        <f aca="false">SUMIFS(الريسبي!$C$2:$C$1800,الريسبي!$A$2:$A$1800,$A153,الريسبي!$B$2:$B$1800,BX$1)</f>
        <v>0</v>
      </c>
      <c r="BY153" s="117" t="n">
        <f aca="false">SUMIFS(الريسبي!$C$2:$C$1800,الريسبي!$A$2:$A$1800,$A153,الريسبي!$B$2:$B$1800,BY$1)</f>
        <v>0</v>
      </c>
      <c r="BZ153" s="117" t="n">
        <f aca="false">SUMIFS(الريسبي!$C$2:$C$1800,الريسبي!$A$2:$A$1800,$A153,الريسبي!$B$2:$B$1800,BZ$1)</f>
        <v>0</v>
      </c>
      <c r="CA153" s="117" t="n">
        <f aca="false">SUMIFS(الريسبي!$C$2:$C$1800,الريسبي!$A$2:$A$1800,$A153,الريسبي!$B$2:$B$1800,CA$1)</f>
        <v>0</v>
      </c>
      <c r="CB153" s="117" t="n">
        <f aca="false">SUMIFS(الريسبي!$C$2:$C$1800,الريسبي!$A$2:$A$1800,$A153,الريسبي!$B$2:$B$1800,CB$1)</f>
        <v>0</v>
      </c>
      <c r="CC153" s="117" t="n">
        <f aca="false">SUMIFS(الريسبي!$C$2:$C$1800,الريسبي!$A$2:$A$1800,$A153,الريسبي!$B$2:$B$1800,CC$1)</f>
        <v>0</v>
      </c>
      <c r="CD153" s="117" t="n">
        <f aca="false">SUMIFS(الريسبي!$C$2:$C$1800,الريسبي!$A$2:$A$1800,$A153,الريسبي!$B$2:$B$1800,CD$1)</f>
        <v>0</v>
      </c>
      <c r="CE153" s="117" t="n">
        <f aca="false">SUMIFS(الريسبي!$C$2:$C$1800,الريسبي!$A$2:$A$1800,$A153,الريسبي!$B$2:$B$1800,CE$1)</f>
        <v>0</v>
      </c>
      <c r="CF153" s="117" t="n">
        <f aca="false">SUMIFS(الريسبي!$C$2:$C$1800,الريسبي!$A$2:$A$1800,$A153,الريسبي!$B$2:$B$1800,CF$1)</f>
        <v>0</v>
      </c>
      <c r="CG153" s="117" t="n">
        <f aca="false">SUMIFS(الريسبي!$C$2:$C$1800,الريسبي!$A$2:$A$1800,$A153,الريسبي!$B$2:$B$1800,CG$1)</f>
        <v>0</v>
      </c>
      <c r="CH153" s="117" t="n">
        <f aca="false">SUMIFS(الريسبي!$C$2:$C$1800,الريسبي!$A$2:$A$1800,$A153,الريسبي!$B$2:$B$1800,CH$1)</f>
        <v>0</v>
      </c>
      <c r="CI153" s="117" t="n">
        <f aca="false">SUMIFS(الريسبي!$C$2:$C$1800,الريسبي!$A$2:$A$1800,$A153,الريسبي!$B$2:$B$1800,CI$1)</f>
        <v>0</v>
      </c>
      <c r="CJ153" s="117" t="n">
        <f aca="false">SUMIFS(الريسبي!$C$2:$C$1800,الريسبي!$A$2:$A$1800,$A153,الريسبي!$B$2:$B$1800,CJ$1)</f>
        <v>0</v>
      </c>
      <c r="CK153" s="117" t="n">
        <f aca="false">SUMIFS(الريسبي!$C$2:$C$1800,الريسبي!$A$2:$A$1800,$A153,الريسبي!$B$2:$B$1800,CK$1)</f>
        <v>0</v>
      </c>
      <c r="CL153" s="117" t="n">
        <f aca="false">SUMIFS(الريسبي!$C$2:$C$1800,الريسبي!$A$2:$A$1800,$A153,الريسبي!$B$2:$B$1800,CL$1)</f>
        <v>0</v>
      </c>
    </row>
    <row r="154" customFormat="false" ht="15" hidden="false" customHeight="false" outlineLevel="0" collapsed="false">
      <c r="A154" s="116" t="str">
        <f aca="false">المنيو!B154</f>
        <v>اضافة فراخ جريل (بيتزا كبير)</v>
      </c>
      <c r="B154" s="117" t="n">
        <f aca="false">SUMIFS(الريسبي!$C$2:$C$1800,الريسبي!$A$2:$A$1800,$A154,الريسبي!$B$2:$B$1800,B$1)</f>
        <v>0</v>
      </c>
      <c r="C154" s="117" t="n">
        <f aca="false">SUMIFS(الريسبي!$C$2:$C$1800,الريسبي!$A$2:$A$1800,$A154,الريسبي!$B$2:$B$1800,C$1)</f>
        <v>0</v>
      </c>
      <c r="D154" s="117" t="n">
        <f aca="false">SUMIFS(الريسبي!$C$2:$C$1800,الريسبي!$A$2:$A$1800,$A154,الريسبي!$B$2:$B$1800,D$1)</f>
        <v>0</v>
      </c>
      <c r="E154" s="117" t="n">
        <f aca="false">SUMIFS(الريسبي!$C$2:$C$1800,الريسبي!$A$2:$A$1800,$A154,الريسبي!$B$2:$B$1800,E$1)</f>
        <v>0</v>
      </c>
      <c r="F154" s="117" t="n">
        <f aca="false">SUMIFS(الريسبي!$C$2:$C$1800,الريسبي!$A$2:$A$1800,$A154,الريسبي!$B$2:$B$1800,F$1)</f>
        <v>0</v>
      </c>
      <c r="G154" s="117" t="n">
        <f aca="false">SUMIFS(الريسبي!$C$2:$C$1800,الريسبي!$A$2:$A$1800,$A154,الريسبي!$B$2:$B$1800,G$1)</f>
        <v>0</v>
      </c>
      <c r="H154" s="117" t="n">
        <f aca="false">SUMIFS(الريسبي!$C$2:$C$1800,الريسبي!$A$2:$A$1800,$A154,الريسبي!$B$2:$B$1800,H$1)</f>
        <v>0</v>
      </c>
      <c r="I154" s="117" t="n">
        <f aca="false">SUMIFS(الريسبي!$C$2:$C$1800,الريسبي!$A$2:$A$1800,$A154,الريسبي!$B$2:$B$1800,I$1)</f>
        <v>0</v>
      </c>
      <c r="J154" s="117" t="n">
        <f aca="false">SUMIFS(الريسبي!$C$2:$C$1800,الريسبي!$A$2:$A$1800,$A154,الريسبي!$B$2:$B$1800,J$1)</f>
        <v>0</v>
      </c>
      <c r="K154" s="117" t="n">
        <f aca="false">SUMIFS(الريسبي!$C$2:$C$1800,الريسبي!$A$2:$A$1800,$A154,الريسبي!$B$2:$B$1800,K$1)</f>
        <v>0</v>
      </c>
      <c r="L154" s="117" t="n">
        <f aca="false">SUMIFS(الريسبي!$C$2:$C$1800,الريسبي!$A$2:$A$1800,$A154,الريسبي!$B$2:$B$1800,L$1)</f>
        <v>0</v>
      </c>
      <c r="M154" s="117" t="n">
        <f aca="false">SUMIFS(الريسبي!$C$2:$C$1800,الريسبي!$A$2:$A$1800,$A154,الريسبي!$B$2:$B$1800,M$1)</f>
        <v>0</v>
      </c>
      <c r="N154" s="117" t="n">
        <f aca="false">SUMIFS(الريسبي!$C$2:$C$1800,الريسبي!$A$2:$A$1800,$A154,الريسبي!$B$2:$B$1800,N$1)</f>
        <v>0</v>
      </c>
      <c r="O154" s="117" t="n">
        <f aca="false">SUMIFS(الريسبي!$C$2:$C$1800,الريسبي!$A$2:$A$1800,$A154,الريسبي!$B$2:$B$1800,O$1)</f>
        <v>0</v>
      </c>
      <c r="P154" s="117" t="n">
        <f aca="false">SUMIFS(الريسبي!$C$2:$C$1800,الريسبي!$A$2:$A$1800,$A154,الريسبي!$B$2:$B$1800,P$1)</f>
        <v>1</v>
      </c>
      <c r="Q154" s="117" t="n">
        <f aca="false">SUMIFS(الريسبي!$C$2:$C$1800,الريسبي!$A$2:$A$1800,$A154,الريسبي!$B$2:$B$1800,Q$1)</f>
        <v>0</v>
      </c>
      <c r="R154" s="117" t="n">
        <f aca="false">SUMIFS(الريسبي!$C$2:$C$1800,الريسبي!$A$2:$A$1800,$A154,الريسبي!$B$2:$B$1800,R$1)</f>
        <v>0</v>
      </c>
      <c r="S154" s="117" t="n">
        <f aca="false">SUMIFS(الريسبي!$C$2:$C$1800,الريسبي!$A$2:$A$1800,$A154,الريسبي!$B$2:$B$1800,S$1)</f>
        <v>0</v>
      </c>
      <c r="T154" s="117" t="n">
        <f aca="false">SUMIFS(الريسبي!$C$2:$C$1800,الريسبي!$A$2:$A$1800,$A154,الريسبي!$B$2:$B$1800,T$1)</f>
        <v>0</v>
      </c>
      <c r="U154" s="117" t="n">
        <f aca="false">SUMIFS(الريسبي!$C$2:$C$1800,الريسبي!$A$2:$A$1800,$A154,الريسبي!$B$2:$B$1800,U$1)</f>
        <v>0</v>
      </c>
      <c r="V154" s="117" t="n">
        <f aca="false">SUMIFS(الريسبي!$C$2:$C$1800,الريسبي!$A$2:$A$1800,$A154,الريسبي!$B$2:$B$1800,V$1)+1.5*(SUMIFS(الريسبي!$C$2:$C$1800,الريسبي!$A$2:$A$1800,$A154,الريسبي!$B$2:$B$1800,"برسيون موتزريلا بيتزا كبير"))</f>
        <v>0</v>
      </c>
      <c r="W154" s="117" t="n">
        <f aca="false">0</f>
        <v>0</v>
      </c>
      <c r="X154" s="117" t="n">
        <f aca="false">SUMIFS(الريسبي!$C$2:$C$1800,الريسبي!$A$2:$A$1800,$A154,الريسبي!$B$2:$B$1800,X$1)+1.5*(SUMIFS(الريسبي!$C$2:$C$1800,الريسبي!$A$2:$A$1800,$A154,الريسبي!$B$2:$B$1800,"برسيون موتزريلا فطير كبير"))</f>
        <v>0</v>
      </c>
      <c r="Y154" s="117" t="n">
        <f aca="false">0</f>
        <v>0</v>
      </c>
      <c r="Z154" s="117" t="n">
        <f aca="false">SUMIFS(الريسبي!$C$2:$C$1800,الريسبي!$A$2:$A$1800,$A154,الريسبي!$B$2:$B$1800,Z$1)</f>
        <v>0</v>
      </c>
      <c r="AA154" s="117" t="n">
        <f aca="false">SUMIFS(الريسبي!$C$2:$C$1800,الريسبي!$A$2:$A$1800,$A154,الريسبي!$B$2:$B$1800,AA$1)</f>
        <v>0</v>
      </c>
      <c r="AB154" s="117" t="n">
        <f aca="false">SUMIFS(الريسبي!$C$2:$C$1800,الريسبي!$A$2:$A$1800,$A154,الريسبي!$B$2:$B$1800,AB$1)</f>
        <v>0</v>
      </c>
      <c r="AC154" s="117" t="n">
        <f aca="false">SUMIFS(الريسبي!$C$2:$C$1800,الريسبي!$A$2:$A$1800,$A154,الريسبي!$B$2:$B$1800,AC$1)</f>
        <v>0</v>
      </c>
      <c r="AD154" s="117" t="n">
        <f aca="false">SUMIFS(الريسبي!$C$2:$C$1800,الريسبي!$A$2:$A$1800,$A154,الريسبي!$B$2:$B$1800,AD$1)</f>
        <v>0</v>
      </c>
      <c r="AE154" s="117" t="n">
        <f aca="false">SUMIFS(الريسبي!$C$2:$C$1800,الريسبي!$A$2:$A$1800,$A154,الريسبي!$B$2:$B$1800,AE$1)</f>
        <v>0</v>
      </c>
      <c r="AF154" s="117" t="n">
        <f aca="false">SUMIFS(الريسبي!$C$2:$C$1800,الريسبي!$A$2:$A$1800,$A154,الريسبي!$B$2:$B$1800,AF$1)</f>
        <v>0</v>
      </c>
      <c r="AG154" s="117" t="n">
        <f aca="false">SUMIFS(الريسبي!$C$2:$C$1800,الريسبي!$A$2:$A$1800,$A154,الريسبي!$B$2:$B$1800,AG$1)</f>
        <v>0</v>
      </c>
      <c r="AH154" s="117" t="n">
        <f aca="false">SUMIFS(الريسبي!$C$2:$C$1800,الريسبي!$A$2:$A$1800,$A154,الريسبي!$B$2:$B$1800,AH$1)</f>
        <v>0</v>
      </c>
      <c r="AI154" s="117" t="n">
        <f aca="false">SUMIFS(الريسبي!$C$2:$C$1800,الريسبي!$A$2:$A$1800,$A154,الريسبي!$B$2:$B$1800,AI$1)</f>
        <v>0</v>
      </c>
      <c r="AJ154" s="117" t="n">
        <f aca="false">SUMIFS(الريسبي!$C$2:$C$1800,الريسبي!$A$2:$A$1800,$A154,الريسبي!$B$2:$B$1800,AJ$1)</f>
        <v>0</v>
      </c>
      <c r="AK154" s="117" t="n">
        <f aca="false">SUMIFS(الريسبي!$C$2:$C$1800,الريسبي!$A$2:$A$1800,$A154,الريسبي!$B$2:$B$1800,AK$1)</f>
        <v>0</v>
      </c>
      <c r="AL154" s="117" t="n">
        <f aca="false">SUMIFS(الريسبي!$C$2:$C$1800,الريسبي!$A$2:$A$1800,$A154,الريسبي!$B$2:$B$1800,AL$1)</f>
        <v>0</v>
      </c>
      <c r="AM154" s="117" t="n">
        <f aca="false">SUMIFS(الريسبي!$C$2:$C$1800,الريسبي!$A$2:$A$1800,$A154,الريسبي!$B$2:$B$1800,AM$1)+0.08333333333*SUMIFS(الريسبي!$C$2:$C$1800,الريسبي!$A$2:$A$1800,$A154,الريسبي!$B$2:$B$1800,"عجين كريب (مصنع بالمطعم)")+0.08333333333*SUMIFS(الريسبي!$C$2:$C$1800,الريسبي!$A$2:$A$1800,$A154,الريسبي!$B$2:$B$1800,"عجين كريب صيامي (بدون لبن)")</f>
        <v>0</v>
      </c>
      <c r="AN154" s="117" t="n">
        <f aca="false">SUMIFS(الريسبي!$C$2:$C$1800,الريسبي!$A$2:$A$1800,$A154,الريسبي!$B$2:$B$1800,AN$1)+0.004166666667*SUMIFS(الريسبي!$C$2:$C$1800,الريسبي!$A$2:$A$1800,$A154,الريسبي!$B$2:$B$1800,"عجين كريب (مصنع بالمطعم)")+0.004166666667*SUMIFS(الريسبي!$C$2:$C$1800,الريسبي!$A$2:$A$1800,$A154,الريسبي!$B$2:$B$1800,"عجين كريب صيامي (بدون لبن)")</f>
        <v>0</v>
      </c>
      <c r="AO154" s="117" t="n">
        <f aca="false">SUMIFS(الريسبي!$C$2:$C$1800,الريسبي!$A$2:$A$1800,$A154,الريسبي!$B$2:$B$1800,AO$1)</f>
        <v>0</v>
      </c>
      <c r="AP154" s="117" t="n">
        <f aca="false">SUMIFS(الريسبي!$C$2:$C$1800,الريسبي!$A$2:$A$1800,$A154,الريسبي!$B$2:$B$1800,AP$1)</f>
        <v>0</v>
      </c>
      <c r="AQ154" s="117" t="n">
        <f aca="false">SUMIFS(الريسبي!$C$2:$C$1800,الريسبي!$A$2:$A$1800,$A154,الريسبي!$B$2:$B$1800,AQ$1)+0.004166666667*SUMIFS(الريسبي!$C$2:$C$1800,الريسبي!$A$2:$A$1800,$A154,الريسبي!$B$2:$B$1800,"عجين كريب (مصنع بالمطعم)")+0.004166666667*SUMIFS(الريسبي!$C$2:$C$1800,الريسبي!$A$2:$A$1800,$A154,الريسبي!$B$2:$B$1800,"عجين كريب صيامي (بدون لبن)")</f>
        <v>0</v>
      </c>
      <c r="AR154" s="117" t="n">
        <f aca="false">SUMIFS(الريسبي!$C$2:$C$1800,الريسبي!$A$2:$A$1800,$A154,الريسبي!$B$2:$B$1800,AR$1)</f>
        <v>0</v>
      </c>
      <c r="AS154" s="117" t="n">
        <f aca="false">SUMIFS(الريسبي!$C$2:$C$1800,الريسبي!$A$2:$A$1800,$A154,الريسبي!$B$2:$B$1800,AS$1)</f>
        <v>0</v>
      </c>
      <c r="AT154" s="117" t="n">
        <f aca="false">SUMIFS(الريسبي!$C$2:$C$1800,الريسبي!$A$2:$A$1800,$A154,الريسبي!$B$2:$B$1800,AT$1)</f>
        <v>0</v>
      </c>
      <c r="AU154" s="117" t="n">
        <f aca="false">SUMIFS(الريسبي!$C$2:$C$1800,الريسبي!$A$2:$A$1800,$A154,الريسبي!$B$2:$B$1800,AU$1)</f>
        <v>0</v>
      </c>
      <c r="AV154" s="117" t="n">
        <f aca="false">SUMIFS(الريسبي!$C$2:$C$1800,الريسبي!$A$2:$A$1800,$A154,الريسبي!$B$2:$B$1800,AV$1)</f>
        <v>0</v>
      </c>
      <c r="AW154" s="117" t="n">
        <f aca="false">SUMIFS(الريسبي!$C$2:$C$1800,الريسبي!$A$2:$A$1800,$A154,الريسبي!$B$2:$B$1800,AW$1)</f>
        <v>0</v>
      </c>
      <c r="AX154" s="117" t="n">
        <f aca="false">SUMIFS(الريسبي!$C$2:$C$1800,الريسبي!$A$2:$A$1800,$A154,الريسبي!$B$2:$B$1800,AX$1)</f>
        <v>0</v>
      </c>
      <c r="AY154" s="117" t="n">
        <f aca="false">SUMIFS(الريسبي!$C$2:$C$1800,الريسبي!$A$2:$A$1800,$A154,الريسبي!$B$2:$B$1800,AY$1)</f>
        <v>0</v>
      </c>
      <c r="AZ154" s="117" t="n">
        <f aca="false">SUMIFS(الريسبي!$C$2:$C$1800,الريسبي!$A$2:$A$1800,$A154,الريسبي!$B$2:$B$1800,AZ$1)</f>
        <v>0</v>
      </c>
      <c r="BA154" s="117" t="n">
        <f aca="false">SUMIFS(الريسبي!$C$2:$C$1800,الريسبي!$A$2:$A$1800,$A154,الريسبي!$B$2:$B$1800,BA$1)</f>
        <v>0</v>
      </c>
      <c r="BB154" s="117" t="n">
        <f aca="false">SUMIFS(الريسبي!$C$2:$C$1800,الريسبي!$A$2:$A$1800,$A154,الريسبي!$B$2:$B$1800,BB$1)</f>
        <v>0</v>
      </c>
      <c r="BC154" s="117" t="n">
        <f aca="false">SUMIFS(الريسبي!$C$2:$C$1800,الريسبي!$A$2:$A$1800,$A154,الريسبي!$B$2:$B$1800,BC$1)</f>
        <v>0</v>
      </c>
      <c r="BD154" s="117" t="n">
        <f aca="false">SUMIFS(الريسبي!$C$2:$C$1800,الريسبي!$A$2:$A$1800,$A154,الريسبي!$B$2:$B$1800,BD$1)</f>
        <v>0</v>
      </c>
      <c r="BE154" s="117" t="n">
        <f aca="false">SUMIFS(الريسبي!$C$2:$C$1800,الريسبي!$A$2:$A$1800,$A154,الريسبي!$B$2:$B$1800,BE$1)</f>
        <v>0</v>
      </c>
      <c r="BF154" s="117" t="n">
        <f aca="false">SUMIFS(الريسبي!$C$2:$C$1800,الريسبي!$A$2:$A$1800,$A154,الريسبي!$B$2:$B$1800,BF$1)</f>
        <v>0</v>
      </c>
      <c r="BG154" s="117" t="n">
        <f aca="false">SUMIFS(الريسبي!$C$2:$C$1800,الريسبي!$A$2:$A$1800,$A154,الريسبي!$B$2:$B$1800,BG$1)</f>
        <v>0</v>
      </c>
      <c r="BH154" s="117" t="n">
        <f aca="false">SUMIFS(الريسبي!$C$2:$C$1800,الريسبي!$A$2:$A$1800,$A154,الريسبي!$B$2:$B$1800,BH$1)</f>
        <v>0</v>
      </c>
      <c r="BI154" s="117" t="n">
        <f aca="false">SUMIFS(الريسبي!$C$2:$C$1800,الريسبي!$A$2:$A$1800,$A154,الريسبي!$B$2:$B$1800,BI$1)</f>
        <v>0</v>
      </c>
      <c r="BJ154" s="117" t="n">
        <f aca="false">SUMIFS(الريسبي!$C$2:$C$1800,الريسبي!$A$2:$A$1800,$A154,الريسبي!$B$2:$B$1800,BJ$1)</f>
        <v>0</v>
      </c>
      <c r="BK154" s="117" t="n">
        <f aca="false">SUMIFS(الريسبي!$C$2:$C$1800,الريسبي!$A$2:$A$1800,$A154,الريسبي!$B$2:$B$1800,BK$1)</f>
        <v>0</v>
      </c>
      <c r="BL154" s="117" t="n">
        <f aca="false">SUMIFS(الريسبي!$C$2:$C$1800,الريسبي!$A$2:$A$1800,$A154,الريسبي!$B$2:$B$1800,BL$1)</f>
        <v>0</v>
      </c>
      <c r="BM154" s="117" t="n">
        <f aca="false">SUMIFS(الريسبي!$C$2:$C$1800,الريسبي!$A$2:$A$1800,$A154,الريسبي!$B$2:$B$1800,BM$1)</f>
        <v>0</v>
      </c>
      <c r="BN154" s="117" t="n">
        <f aca="false">SUMIFS(الريسبي!$C$2:$C$1800,الريسبي!$A$2:$A$1800,$A154,الريسبي!$B$2:$B$1800,BN$1)</f>
        <v>0</v>
      </c>
      <c r="BO154" s="117" t="n">
        <f aca="false">SUMIFS(الريسبي!$C$2:$C$1800,الريسبي!$A$2:$A$1800,$A154,الريسبي!$B$2:$B$1800,BO$1)</f>
        <v>0</v>
      </c>
      <c r="BP154" s="117" t="n">
        <f aca="false">SUMIFS(الريسبي!$C$2:$C$1800,الريسبي!$A$2:$A$1800,$A154,الريسبي!$B$2:$B$1800,BP$1)</f>
        <v>0</v>
      </c>
      <c r="BQ154" s="117" t="n">
        <f aca="false">SUMIFS(الريسبي!$C$2:$C$1800,الريسبي!$A$2:$A$1800,$A154,الريسبي!$B$2:$B$1800,BQ$1)+0.17*SUMIFS(الريسبي!$C$2:$C$1800,الريسبي!$A$2:$A$1800,$A154,الريسبي!$B$2:$B$1800,"كاسترد مصنع (خليط بودر + لبن)")+0.17*SUMIFS(الريسبي!$C$2:$C$1800,الريسبي!$A$2:$A$1800,$A154,الريسبي!$B$2:$B$1800,"كاسترد مصنع صيامي (بدون لبن)")</f>
        <v>0</v>
      </c>
      <c r="BR154" s="117" t="n">
        <f aca="false">SUMIFS(الريسبي!$C$2:$C$1800,الريسبي!$A$2:$A$1800,$A154,الريسبي!$B$2:$B$1800,BR$1)</f>
        <v>0</v>
      </c>
      <c r="BS154" s="117" t="n">
        <f aca="false">SUMIFS(الريسبي!$C$2:$C$1800,الريسبي!$A$2:$A$1800,$A154,الريسبي!$B$2:$B$1800,BS$1)</f>
        <v>0</v>
      </c>
      <c r="BT154" s="117" t="n">
        <f aca="false">SUMIFS(الريسبي!$C$2:$C$1800,الريسبي!$A$2:$A$1800,$A154,الريسبي!$B$2:$B$1800,BT$1)</f>
        <v>0</v>
      </c>
      <c r="BU154" s="117" t="n">
        <f aca="false">SUMIFS(الريسبي!$C$2:$C$1800,الريسبي!$A$2:$A$1800,$A154,الريسبي!$B$2:$B$1800,BU$1)+0.4*SUMIFS(الريسبي!$C$2:$C$1800,الريسبي!$A$2:$A$1800,$A154,الريسبي!$B$2:$B$1800,"كاسترد مصنع (خليط بودر + لبن)")+0.03333333333*SUMIFS(الريسبي!$C$2:$C$1800,الريسبي!$A$2:$A$1800,$A154,الريسبي!$B$2:$B$1800,"عجين كريب (مصنع بالمطعم)")</f>
        <v>0</v>
      </c>
      <c r="BV154" s="117" t="n">
        <f aca="false">SUMIFS(الريسبي!$C$2:$C$1800,الريسبي!$A$2:$A$1800,$A154,الريسبي!$B$2:$B$1800,BV$1)</f>
        <v>0</v>
      </c>
      <c r="BW154" s="117" t="n">
        <f aca="false">SUMIFS(الريسبي!$C$2:$C$1800,الريسبي!$A$2:$A$1800,$A154,الريسبي!$B$2:$B$1800,BW$1)</f>
        <v>0</v>
      </c>
      <c r="BX154" s="117" t="n">
        <f aca="false">SUMIFS(الريسبي!$C$2:$C$1800,الريسبي!$A$2:$A$1800,$A154,الريسبي!$B$2:$B$1800,BX$1)</f>
        <v>0</v>
      </c>
      <c r="BY154" s="117" t="n">
        <f aca="false">SUMIFS(الريسبي!$C$2:$C$1800,الريسبي!$A$2:$A$1800,$A154,الريسبي!$B$2:$B$1800,BY$1)</f>
        <v>0</v>
      </c>
      <c r="BZ154" s="117" t="n">
        <f aca="false">SUMIFS(الريسبي!$C$2:$C$1800,الريسبي!$A$2:$A$1800,$A154,الريسبي!$B$2:$B$1800,BZ$1)</f>
        <v>0</v>
      </c>
      <c r="CA154" s="117" t="n">
        <f aca="false">SUMIFS(الريسبي!$C$2:$C$1800,الريسبي!$A$2:$A$1800,$A154,الريسبي!$B$2:$B$1800,CA$1)</f>
        <v>0</v>
      </c>
      <c r="CB154" s="117" t="n">
        <f aca="false">SUMIFS(الريسبي!$C$2:$C$1800,الريسبي!$A$2:$A$1800,$A154,الريسبي!$B$2:$B$1800,CB$1)</f>
        <v>0</v>
      </c>
      <c r="CC154" s="117" t="n">
        <f aca="false">SUMIFS(الريسبي!$C$2:$C$1800,الريسبي!$A$2:$A$1800,$A154,الريسبي!$B$2:$B$1800,CC$1)</f>
        <v>0</v>
      </c>
      <c r="CD154" s="117" t="n">
        <f aca="false">SUMIFS(الريسبي!$C$2:$C$1800,الريسبي!$A$2:$A$1800,$A154,الريسبي!$B$2:$B$1800,CD$1)</f>
        <v>0</v>
      </c>
      <c r="CE154" s="117" t="n">
        <f aca="false">SUMIFS(الريسبي!$C$2:$C$1800,الريسبي!$A$2:$A$1800,$A154,الريسبي!$B$2:$B$1800,CE$1)</f>
        <v>0</v>
      </c>
      <c r="CF154" s="117" t="n">
        <f aca="false">SUMIFS(الريسبي!$C$2:$C$1800,الريسبي!$A$2:$A$1800,$A154,الريسبي!$B$2:$B$1800,CF$1)</f>
        <v>0</v>
      </c>
      <c r="CG154" s="117" t="n">
        <f aca="false">SUMIFS(الريسبي!$C$2:$C$1800,الريسبي!$A$2:$A$1800,$A154,الريسبي!$B$2:$B$1800,CG$1)</f>
        <v>0</v>
      </c>
      <c r="CH154" s="117" t="n">
        <f aca="false">SUMIFS(الريسبي!$C$2:$C$1800,الريسبي!$A$2:$A$1800,$A154,الريسبي!$B$2:$B$1800,CH$1)</f>
        <v>0</v>
      </c>
      <c r="CI154" s="117" t="n">
        <f aca="false">SUMIFS(الريسبي!$C$2:$C$1800,الريسبي!$A$2:$A$1800,$A154,الريسبي!$B$2:$B$1800,CI$1)</f>
        <v>0</v>
      </c>
      <c r="CJ154" s="117" t="n">
        <f aca="false">SUMIFS(الريسبي!$C$2:$C$1800,الريسبي!$A$2:$A$1800,$A154,الريسبي!$B$2:$B$1800,CJ$1)</f>
        <v>0</v>
      </c>
      <c r="CK154" s="117" t="n">
        <f aca="false">SUMIFS(الريسبي!$C$2:$C$1800,الريسبي!$A$2:$A$1800,$A154,الريسبي!$B$2:$B$1800,CK$1)</f>
        <v>0</v>
      </c>
      <c r="CL154" s="117" t="n">
        <f aca="false">SUMIFS(الريسبي!$C$2:$C$1800,الريسبي!$A$2:$A$1800,$A154,الريسبي!$B$2:$B$1800,CL$1)</f>
        <v>0</v>
      </c>
    </row>
    <row r="155" customFormat="false" ht="15" hidden="false" customHeight="false" outlineLevel="0" collapsed="false">
      <c r="A155" s="116" t="str">
        <f aca="false">المنيو!B155</f>
        <v>اضافة فراخ جريل (فطير كبير)</v>
      </c>
      <c r="B155" s="117" t="n">
        <f aca="false">SUMIFS(الريسبي!$C$2:$C$1800,الريسبي!$A$2:$A$1800,$A155,الريسبي!$B$2:$B$1800,B$1)</f>
        <v>0</v>
      </c>
      <c r="C155" s="117" t="n">
        <f aca="false">SUMIFS(الريسبي!$C$2:$C$1800,الريسبي!$A$2:$A$1800,$A155,الريسبي!$B$2:$B$1800,C$1)</f>
        <v>0</v>
      </c>
      <c r="D155" s="117" t="n">
        <f aca="false">SUMIFS(الريسبي!$C$2:$C$1800,الريسبي!$A$2:$A$1800,$A155,الريسبي!$B$2:$B$1800,D$1)</f>
        <v>0</v>
      </c>
      <c r="E155" s="117" t="n">
        <f aca="false">SUMIFS(الريسبي!$C$2:$C$1800,الريسبي!$A$2:$A$1800,$A155,الريسبي!$B$2:$B$1800,E$1)</f>
        <v>0</v>
      </c>
      <c r="F155" s="117" t="n">
        <f aca="false">SUMIFS(الريسبي!$C$2:$C$1800,الريسبي!$A$2:$A$1800,$A155,الريسبي!$B$2:$B$1800,F$1)</f>
        <v>0</v>
      </c>
      <c r="G155" s="117" t="n">
        <f aca="false">SUMIFS(الريسبي!$C$2:$C$1800,الريسبي!$A$2:$A$1800,$A155,الريسبي!$B$2:$B$1800,G$1)</f>
        <v>0</v>
      </c>
      <c r="H155" s="117" t="n">
        <f aca="false">SUMIFS(الريسبي!$C$2:$C$1800,الريسبي!$A$2:$A$1800,$A155,الريسبي!$B$2:$B$1800,H$1)</f>
        <v>0</v>
      </c>
      <c r="I155" s="117" t="n">
        <f aca="false">SUMIFS(الريسبي!$C$2:$C$1800,الريسبي!$A$2:$A$1800,$A155,الريسبي!$B$2:$B$1800,I$1)</f>
        <v>0</v>
      </c>
      <c r="J155" s="117" t="n">
        <f aca="false">SUMIFS(الريسبي!$C$2:$C$1800,الريسبي!$A$2:$A$1800,$A155,الريسبي!$B$2:$B$1800,J$1)</f>
        <v>0</v>
      </c>
      <c r="K155" s="117" t="n">
        <f aca="false">SUMIFS(الريسبي!$C$2:$C$1800,الريسبي!$A$2:$A$1800,$A155,الريسبي!$B$2:$B$1800,K$1)</f>
        <v>0</v>
      </c>
      <c r="L155" s="117" t="n">
        <f aca="false">SUMIFS(الريسبي!$C$2:$C$1800,الريسبي!$A$2:$A$1800,$A155,الريسبي!$B$2:$B$1800,L$1)</f>
        <v>0</v>
      </c>
      <c r="M155" s="117" t="n">
        <f aca="false">SUMIFS(الريسبي!$C$2:$C$1800,الريسبي!$A$2:$A$1800,$A155,الريسبي!$B$2:$B$1800,M$1)</f>
        <v>0</v>
      </c>
      <c r="N155" s="117" t="n">
        <f aca="false">SUMIFS(الريسبي!$C$2:$C$1800,الريسبي!$A$2:$A$1800,$A155,الريسبي!$B$2:$B$1800,N$1)</f>
        <v>0</v>
      </c>
      <c r="O155" s="117" t="n">
        <f aca="false">SUMIFS(الريسبي!$C$2:$C$1800,الريسبي!$A$2:$A$1800,$A155,الريسبي!$B$2:$B$1800,O$1)</f>
        <v>0</v>
      </c>
      <c r="P155" s="117" t="n">
        <f aca="false">SUMIFS(الريسبي!$C$2:$C$1800,الريسبي!$A$2:$A$1800,$A155,الريسبي!$B$2:$B$1800,P$1)</f>
        <v>1</v>
      </c>
      <c r="Q155" s="117" t="n">
        <f aca="false">SUMIFS(الريسبي!$C$2:$C$1800,الريسبي!$A$2:$A$1800,$A155,الريسبي!$B$2:$B$1800,Q$1)</f>
        <v>0</v>
      </c>
      <c r="R155" s="117" t="n">
        <f aca="false">SUMIFS(الريسبي!$C$2:$C$1800,الريسبي!$A$2:$A$1800,$A155,الريسبي!$B$2:$B$1800,R$1)</f>
        <v>0</v>
      </c>
      <c r="S155" s="117" t="n">
        <f aca="false">SUMIFS(الريسبي!$C$2:$C$1800,الريسبي!$A$2:$A$1800,$A155,الريسبي!$B$2:$B$1800,S$1)</f>
        <v>0</v>
      </c>
      <c r="T155" s="117" t="n">
        <f aca="false">SUMIFS(الريسبي!$C$2:$C$1800,الريسبي!$A$2:$A$1800,$A155,الريسبي!$B$2:$B$1800,T$1)</f>
        <v>0</v>
      </c>
      <c r="U155" s="117" t="n">
        <f aca="false">SUMIFS(الريسبي!$C$2:$C$1800,الريسبي!$A$2:$A$1800,$A155,الريسبي!$B$2:$B$1800,U$1)</f>
        <v>0</v>
      </c>
      <c r="V155" s="117" t="n">
        <f aca="false">SUMIFS(الريسبي!$C$2:$C$1800,الريسبي!$A$2:$A$1800,$A155,الريسبي!$B$2:$B$1800,V$1)+1.5*(SUMIFS(الريسبي!$C$2:$C$1800,الريسبي!$A$2:$A$1800,$A155,الريسبي!$B$2:$B$1800,"برسيون موتزريلا بيتزا كبير"))</f>
        <v>0</v>
      </c>
      <c r="W155" s="117" t="n">
        <f aca="false">0</f>
        <v>0</v>
      </c>
      <c r="X155" s="117" t="n">
        <f aca="false">SUMIFS(الريسبي!$C$2:$C$1800,الريسبي!$A$2:$A$1800,$A155,الريسبي!$B$2:$B$1800,X$1)+1.5*(SUMIFS(الريسبي!$C$2:$C$1800,الريسبي!$A$2:$A$1800,$A155,الريسبي!$B$2:$B$1800,"برسيون موتزريلا فطير كبير"))</f>
        <v>0</v>
      </c>
      <c r="Y155" s="117" t="n">
        <f aca="false">0</f>
        <v>0</v>
      </c>
      <c r="Z155" s="117" t="n">
        <f aca="false">SUMIFS(الريسبي!$C$2:$C$1800,الريسبي!$A$2:$A$1800,$A155,الريسبي!$B$2:$B$1800,Z$1)</f>
        <v>0</v>
      </c>
      <c r="AA155" s="117" t="n">
        <f aca="false">SUMIFS(الريسبي!$C$2:$C$1800,الريسبي!$A$2:$A$1800,$A155,الريسبي!$B$2:$B$1800,AA$1)</f>
        <v>0</v>
      </c>
      <c r="AB155" s="117" t="n">
        <f aca="false">SUMIFS(الريسبي!$C$2:$C$1800,الريسبي!$A$2:$A$1800,$A155,الريسبي!$B$2:$B$1800,AB$1)</f>
        <v>0</v>
      </c>
      <c r="AC155" s="117" t="n">
        <f aca="false">SUMIFS(الريسبي!$C$2:$C$1800,الريسبي!$A$2:$A$1800,$A155,الريسبي!$B$2:$B$1800,AC$1)</f>
        <v>0</v>
      </c>
      <c r="AD155" s="117" t="n">
        <f aca="false">SUMIFS(الريسبي!$C$2:$C$1800,الريسبي!$A$2:$A$1800,$A155,الريسبي!$B$2:$B$1800,AD$1)</f>
        <v>0</v>
      </c>
      <c r="AE155" s="117" t="n">
        <f aca="false">SUMIFS(الريسبي!$C$2:$C$1800,الريسبي!$A$2:$A$1800,$A155,الريسبي!$B$2:$B$1800,AE$1)</f>
        <v>0</v>
      </c>
      <c r="AF155" s="117" t="n">
        <f aca="false">SUMIFS(الريسبي!$C$2:$C$1800,الريسبي!$A$2:$A$1800,$A155,الريسبي!$B$2:$B$1800,AF$1)</f>
        <v>0</v>
      </c>
      <c r="AG155" s="117" t="n">
        <f aca="false">SUMIFS(الريسبي!$C$2:$C$1800,الريسبي!$A$2:$A$1800,$A155,الريسبي!$B$2:$B$1800,AG$1)</f>
        <v>0</v>
      </c>
      <c r="AH155" s="117" t="n">
        <f aca="false">SUMIFS(الريسبي!$C$2:$C$1800,الريسبي!$A$2:$A$1800,$A155,الريسبي!$B$2:$B$1800,AH$1)</f>
        <v>0</v>
      </c>
      <c r="AI155" s="117" t="n">
        <f aca="false">SUMIFS(الريسبي!$C$2:$C$1800,الريسبي!$A$2:$A$1800,$A155,الريسبي!$B$2:$B$1800,AI$1)</f>
        <v>0</v>
      </c>
      <c r="AJ155" s="117" t="n">
        <f aca="false">SUMIFS(الريسبي!$C$2:$C$1800,الريسبي!$A$2:$A$1800,$A155,الريسبي!$B$2:$B$1800,AJ$1)</f>
        <v>0</v>
      </c>
      <c r="AK155" s="117" t="n">
        <f aca="false">SUMIFS(الريسبي!$C$2:$C$1800,الريسبي!$A$2:$A$1800,$A155,الريسبي!$B$2:$B$1800,AK$1)</f>
        <v>0</v>
      </c>
      <c r="AL155" s="117" t="n">
        <f aca="false">SUMIFS(الريسبي!$C$2:$C$1800,الريسبي!$A$2:$A$1800,$A155,الريسبي!$B$2:$B$1800,AL$1)</f>
        <v>0</v>
      </c>
      <c r="AM155" s="117" t="n">
        <f aca="false">SUMIFS(الريسبي!$C$2:$C$1800,الريسبي!$A$2:$A$1800,$A155,الريسبي!$B$2:$B$1800,AM$1)+0.08333333333*SUMIFS(الريسبي!$C$2:$C$1800,الريسبي!$A$2:$A$1800,$A155,الريسبي!$B$2:$B$1800,"عجين كريب (مصنع بالمطعم)")+0.08333333333*SUMIFS(الريسبي!$C$2:$C$1800,الريسبي!$A$2:$A$1800,$A155,الريسبي!$B$2:$B$1800,"عجين كريب صيامي (بدون لبن)")</f>
        <v>0</v>
      </c>
      <c r="AN155" s="117" t="n">
        <f aca="false">SUMIFS(الريسبي!$C$2:$C$1800,الريسبي!$A$2:$A$1800,$A155,الريسبي!$B$2:$B$1800,AN$1)+0.004166666667*SUMIFS(الريسبي!$C$2:$C$1800,الريسبي!$A$2:$A$1800,$A155,الريسبي!$B$2:$B$1800,"عجين كريب (مصنع بالمطعم)")+0.004166666667*SUMIFS(الريسبي!$C$2:$C$1800,الريسبي!$A$2:$A$1800,$A155,الريسبي!$B$2:$B$1800,"عجين كريب صيامي (بدون لبن)")</f>
        <v>0</v>
      </c>
      <c r="AO155" s="117" t="n">
        <f aca="false">SUMIFS(الريسبي!$C$2:$C$1800,الريسبي!$A$2:$A$1800,$A155,الريسبي!$B$2:$B$1800,AO$1)</f>
        <v>0</v>
      </c>
      <c r="AP155" s="117" t="n">
        <f aca="false">SUMIFS(الريسبي!$C$2:$C$1800,الريسبي!$A$2:$A$1800,$A155,الريسبي!$B$2:$B$1800,AP$1)</f>
        <v>0</v>
      </c>
      <c r="AQ155" s="117" t="n">
        <f aca="false">SUMIFS(الريسبي!$C$2:$C$1800,الريسبي!$A$2:$A$1800,$A155,الريسبي!$B$2:$B$1800,AQ$1)+0.004166666667*SUMIFS(الريسبي!$C$2:$C$1800,الريسبي!$A$2:$A$1800,$A155,الريسبي!$B$2:$B$1800,"عجين كريب (مصنع بالمطعم)")+0.004166666667*SUMIFS(الريسبي!$C$2:$C$1800,الريسبي!$A$2:$A$1800,$A155,الريسبي!$B$2:$B$1800,"عجين كريب صيامي (بدون لبن)")</f>
        <v>0</v>
      </c>
      <c r="AR155" s="117" t="n">
        <f aca="false">SUMIFS(الريسبي!$C$2:$C$1800,الريسبي!$A$2:$A$1800,$A155,الريسبي!$B$2:$B$1800,AR$1)</f>
        <v>0</v>
      </c>
      <c r="AS155" s="117" t="n">
        <f aca="false">SUMIFS(الريسبي!$C$2:$C$1800,الريسبي!$A$2:$A$1800,$A155,الريسبي!$B$2:$B$1800,AS$1)</f>
        <v>0</v>
      </c>
      <c r="AT155" s="117" t="n">
        <f aca="false">SUMIFS(الريسبي!$C$2:$C$1800,الريسبي!$A$2:$A$1800,$A155,الريسبي!$B$2:$B$1800,AT$1)</f>
        <v>0</v>
      </c>
      <c r="AU155" s="117" t="n">
        <f aca="false">SUMIFS(الريسبي!$C$2:$C$1800,الريسبي!$A$2:$A$1800,$A155,الريسبي!$B$2:$B$1800,AU$1)</f>
        <v>0</v>
      </c>
      <c r="AV155" s="117" t="n">
        <f aca="false">SUMIFS(الريسبي!$C$2:$C$1800,الريسبي!$A$2:$A$1800,$A155,الريسبي!$B$2:$B$1800,AV$1)</f>
        <v>0</v>
      </c>
      <c r="AW155" s="117" t="n">
        <f aca="false">SUMIFS(الريسبي!$C$2:$C$1800,الريسبي!$A$2:$A$1800,$A155,الريسبي!$B$2:$B$1800,AW$1)</f>
        <v>0</v>
      </c>
      <c r="AX155" s="117" t="n">
        <f aca="false">SUMIFS(الريسبي!$C$2:$C$1800,الريسبي!$A$2:$A$1800,$A155,الريسبي!$B$2:$B$1800,AX$1)</f>
        <v>0</v>
      </c>
      <c r="AY155" s="117" t="n">
        <f aca="false">SUMIFS(الريسبي!$C$2:$C$1800,الريسبي!$A$2:$A$1800,$A155,الريسبي!$B$2:$B$1800,AY$1)</f>
        <v>0</v>
      </c>
      <c r="AZ155" s="117" t="n">
        <f aca="false">SUMIFS(الريسبي!$C$2:$C$1800,الريسبي!$A$2:$A$1800,$A155,الريسبي!$B$2:$B$1800,AZ$1)</f>
        <v>0</v>
      </c>
      <c r="BA155" s="117" t="n">
        <f aca="false">SUMIFS(الريسبي!$C$2:$C$1800,الريسبي!$A$2:$A$1800,$A155,الريسبي!$B$2:$B$1800,BA$1)</f>
        <v>0</v>
      </c>
      <c r="BB155" s="117" t="n">
        <f aca="false">SUMIFS(الريسبي!$C$2:$C$1800,الريسبي!$A$2:$A$1800,$A155,الريسبي!$B$2:$B$1800,BB$1)</f>
        <v>0</v>
      </c>
      <c r="BC155" s="117" t="n">
        <f aca="false">SUMIFS(الريسبي!$C$2:$C$1800,الريسبي!$A$2:$A$1800,$A155,الريسبي!$B$2:$B$1800,BC$1)</f>
        <v>0</v>
      </c>
      <c r="BD155" s="117" t="n">
        <f aca="false">SUMIFS(الريسبي!$C$2:$C$1800,الريسبي!$A$2:$A$1800,$A155,الريسبي!$B$2:$B$1800,BD$1)</f>
        <v>0</v>
      </c>
      <c r="BE155" s="117" t="n">
        <f aca="false">SUMIFS(الريسبي!$C$2:$C$1800,الريسبي!$A$2:$A$1800,$A155,الريسبي!$B$2:$B$1800,BE$1)</f>
        <v>0</v>
      </c>
      <c r="BF155" s="117" t="n">
        <f aca="false">SUMIFS(الريسبي!$C$2:$C$1800,الريسبي!$A$2:$A$1800,$A155,الريسبي!$B$2:$B$1800,BF$1)</f>
        <v>0</v>
      </c>
      <c r="BG155" s="117" t="n">
        <f aca="false">SUMIFS(الريسبي!$C$2:$C$1800,الريسبي!$A$2:$A$1800,$A155,الريسبي!$B$2:$B$1800,BG$1)</f>
        <v>0</v>
      </c>
      <c r="BH155" s="117" t="n">
        <f aca="false">SUMIFS(الريسبي!$C$2:$C$1800,الريسبي!$A$2:$A$1800,$A155,الريسبي!$B$2:$B$1800,BH$1)</f>
        <v>0</v>
      </c>
      <c r="BI155" s="117" t="n">
        <f aca="false">SUMIFS(الريسبي!$C$2:$C$1800,الريسبي!$A$2:$A$1800,$A155,الريسبي!$B$2:$B$1800,BI$1)</f>
        <v>0</v>
      </c>
      <c r="BJ155" s="117" t="n">
        <f aca="false">SUMIFS(الريسبي!$C$2:$C$1800,الريسبي!$A$2:$A$1800,$A155,الريسبي!$B$2:$B$1800,BJ$1)</f>
        <v>0</v>
      </c>
      <c r="BK155" s="117" t="n">
        <f aca="false">SUMIFS(الريسبي!$C$2:$C$1800,الريسبي!$A$2:$A$1800,$A155,الريسبي!$B$2:$B$1800,BK$1)</f>
        <v>0</v>
      </c>
      <c r="BL155" s="117" t="n">
        <f aca="false">SUMIFS(الريسبي!$C$2:$C$1800,الريسبي!$A$2:$A$1800,$A155,الريسبي!$B$2:$B$1800,BL$1)</f>
        <v>0</v>
      </c>
      <c r="BM155" s="117" t="n">
        <f aca="false">SUMIFS(الريسبي!$C$2:$C$1800,الريسبي!$A$2:$A$1800,$A155,الريسبي!$B$2:$B$1800,BM$1)</f>
        <v>0</v>
      </c>
      <c r="BN155" s="117" t="n">
        <f aca="false">SUMIFS(الريسبي!$C$2:$C$1800,الريسبي!$A$2:$A$1800,$A155,الريسبي!$B$2:$B$1800,BN$1)</f>
        <v>0</v>
      </c>
      <c r="BO155" s="117" t="n">
        <f aca="false">SUMIFS(الريسبي!$C$2:$C$1800,الريسبي!$A$2:$A$1800,$A155,الريسبي!$B$2:$B$1800,BO$1)</f>
        <v>0</v>
      </c>
      <c r="BP155" s="117" t="n">
        <f aca="false">SUMIFS(الريسبي!$C$2:$C$1800,الريسبي!$A$2:$A$1800,$A155,الريسبي!$B$2:$B$1800,BP$1)</f>
        <v>0</v>
      </c>
      <c r="BQ155" s="117" t="n">
        <f aca="false">SUMIFS(الريسبي!$C$2:$C$1800,الريسبي!$A$2:$A$1800,$A155,الريسبي!$B$2:$B$1800,BQ$1)+0.17*SUMIFS(الريسبي!$C$2:$C$1800,الريسبي!$A$2:$A$1800,$A155,الريسبي!$B$2:$B$1800,"كاسترد مصنع (خليط بودر + لبن)")+0.17*SUMIFS(الريسبي!$C$2:$C$1800,الريسبي!$A$2:$A$1800,$A155,الريسبي!$B$2:$B$1800,"كاسترد مصنع صيامي (بدون لبن)")</f>
        <v>0</v>
      </c>
      <c r="BR155" s="117" t="n">
        <f aca="false">SUMIFS(الريسبي!$C$2:$C$1800,الريسبي!$A$2:$A$1800,$A155,الريسبي!$B$2:$B$1800,BR$1)</f>
        <v>0</v>
      </c>
      <c r="BS155" s="117" t="n">
        <f aca="false">SUMIFS(الريسبي!$C$2:$C$1800,الريسبي!$A$2:$A$1800,$A155,الريسبي!$B$2:$B$1800,BS$1)</f>
        <v>0</v>
      </c>
      <c r="BT155" s="117" t="n">
        <f aca="false">SUMIFS(الريسبي!$C$2:$C$1800,الريسبي!$A$2:$A$1800,$A155,الريسبي!$B$2:$B$1800,BT$1)</f>
        <v>0</v>
      </c>
      <c r="BU155" s="117" t="n">
        <f aca="false">SUMIFS(الريسبي!$C$2:$C$1800,الريسبي!$A$2:$A$1800,$A155,الريسبي!$B$2:$B$1800,BU$1)+0.4*SUMIFS(الريسبي!$C$2:$C$1800,الريسبي!$A$2:$A$1800,$A155,الريسبي!$B$2:$B$1800,"كاسترد مصنع (خليط بودر + لبن)")+0.03333333333*SUMIFS(الريسبي!$C$2:$C$1800,الريسبي!$A$2:$A$1800,$A155,الريسبي!$B$2:$B$1800,"عجين كريب (مصنع بالمطعم)")</f>
        <v>0</v>
      </c>
      <c r="BV155" s="117" t="n">
        <f aca="false">SUMIFS(الريسبي!$C$2:$C$1800,الريسبي!$A$2:$A$1800,$A155,الريسبي!$B$2:$B$1800,BV$1)</f>
        <v>0</v>
      </c>
      <c r="BW155" s="117" t="n">
        <f aca="false">SUMIFS(الريسبي!$C$2:$C$1800,الريسبي!$A$2:$A$1800,$A155,الريسبي!$B$2:$B$1800,BW$1)</f>
        <v>0</v>
      </c>
      <c r="BX155" s="117" t="n">
        <f aca="false">SUMIFS(الريسبي!$C$2:$C$1800,الريسبي!$A$2:$A$1800,$A155,الريسبي!$B$2:$B$1800,BX$1)</f>
        <v>0</v>
      </c>
      <c r="BY155" s="117" t="n">
        <f aca="false">SUMIFS(الريسبي!$C$2:$C$1800,الريسبي!$A$2:$A$1800,$A155,الريسبي!$B$2:$B$1800,BY$1)</f>
        <v>0</v>
      </c>
      <c r="BZ155" s="117" t="n">
        <f aca="false">SUMIFS(الريسبي!$C$2:$C$1800,الريسبي!$A$2:$A$1800,$A155,الريسبي!$B$2:$B$1800,BZ$1)</f>
        <v>0</v>
      </c>
      <c r="CA155" s="117" t="n">
        <f aca="false">SUMIFS(الريسبي!$C$2:$C$1800,الريسبي!$A$2:$A$1800,$A155,الريسبي!$B$2:$B$1800,CA$1)</f>
        <v>0</v>
      </c>
      <c r="CB155" s="117" t="n">
        <f aca="false">SUMIFS(الريسبي!$C$2:$C$1800,الريسبي!$A$2:$A$1800,$A155,الريسبي!$B$2:$B$1800,CB$1)</f>
        <v>0</v>
      </c>
      <c r="CC155" s="117" t="n">
        <f aca="false">SUMIFS(الريسبي!$C$2:$C$1800,الريسبي!$A$2:$A$1800,$A155,الريسبي!$B$2:$B$1800,CC$1)</f>
        <v>0</v>
      </c>
      <c r="CD155" s="117" t="n">
        <f aca="false">SUMIFS(الريسبي!$C$2:$C$1800,الريسبي!$A$2:$A$1800,$A155,الريسبي!$B$2:$B$1800,CD$1)</f>
        <v>0</v>
      </c>
      <c r="CE155" s="117" t="n">
        <f aca="false">SUMIFS(الريسبي!$C$2:$C$1800,الريسبي!$A$2:$A$1800,$A155,الريسبي!$B$2:$B$1800,CE$1)</f>
        <v>0</v>
      </c>
      <c r="CF155" s="117" t="n">
        <f aca="false">SUMIFS(الريسبي!$C$2:$C$1800,الريسبي!$A$2:$A$1800,$A155,الريسبي!$B$2:$B$1800,CF$1)</f>
        <v>0</v>
      </c>
      <c r="CG155" s="117" t="n">
        <f aca="false">SUMIFS(الريسبي!$C$2:$C$1800,الريسبي!$A$2:$A$1800,$A155,الريسبي!$B$2:$B$1800,CG$1)</f>
        <v>0</v>
      </c>
      <c r="CH155" s="117" t="n">
        <f aca="false">SUMIFS(الريسبي!$C$2:$C$1800,الريسبي!$A$2:$A$1800,$A155,الريسبي!$B$2:$B$1800,CH$1)</f>
        <v>0</v>
      </c>
      <c r="CI155" s="117" t="n">
        <f aca="false">SUMIFS(الريسبي!$C$2:$C$1800,الريسبي!$A$2:$A$1800,$A155,الريسبي!$B$2:$B$1800,CI$1)</f>
        <v>0</v>
      </c>
      <c r="CJ155" s="117" t="n">
        <f aca="false">SUMIFS(الريسبي!$C$2:$C$1800,الريسبي!$A$2:$A$1800,$A155,الريسبي!$B$2:$B$1800,CJ$1)</f>
        <v>0</v>
      </c>
      <c r="CK155" s="117" t="n">
        <f aca="false">SUMIFS(الريسبي!$C$2:$C$1800,الريسبي!$A$2:$A$1800,$A155,الريسبي!$B$2:$B$1800,CK$1)</f>
        <v>0</v>
      </c>
      <c r="CL155" s="117" t="n">
        <f aca="false">SUMIFS(الريسبي!$C$2:$C$1800,الريسبي!$A$2:$A$1800,$A155,الريسبي!$B$2:$B$1800,CL$1)</f>
        <v>0</v>
      </c>
    </row>
    <row r="156" customFormat="false" ht="15" hidden="false" customHeight="false" outlineLevel="0" collapsed="false">
      <c r="A156" s="116" t="str">
        <f aca="false">المنيو!B156</f>
        <v>اضافة فراخ كريسبي (بيتزا وسط)</v>
      </c>
      <c r="B156" s="117" t="n">
        <f aca="false">SUMIFS(الريسبي!$C$2:$C$1800,الريسبي!$A$2:$A$1800,$A156,الريسبي!$B$2:$B$1800,B$1)</f>
        <v>0</v>
      </c>
      <c r="C156" s="117" t="n">
        <f aca="false">SUMIFS(الريسبي!$C$2:$C$1800,الريسبي!$A$2:$A$1800,$A156,الريسبي!$B$2:$B$1800,C$1)</f>
        <v>0</v>
      </c>
      <c r="D156" s="117" t="n">
        <f aca="false">SUMIFS(الريسبي!$C$2:$C$1800,الريسبي!$A$2:$A$1800,$A156,الريسبي!$B$2:$B$1800,D$1)</f>
        <v>0</v>
      </c>
      <c r="E156" s="117" t="n">
        <f aca="false">SUMIFS(الريسبي!$C$2:$C$1800,الريسبي!$A$2:$A$1800,$A156,الريسبي!$B$2:$B$1800,E$1)</f>
        <v>0</v>
      </c>
      <c r="F156" s="117" t="n">
        <f aca="false">SUMIFS(الريسبي!$C$2:$C$1800,الريسبي!$A$2:$A$1800,$A156,الريسبي!$B$2:$B$1800,F$1)</f>
        <v>0</v>
      </c>
      <c r="G156" s="117" t="n">
        <f aca="false">SUMIFS(الريسبي!$C$2:$C$1800,الريسبي!$A$2:$A$1800,$A156,الريسبي!$B$2:$B$1800,G$1)</f>
        <v>0</v>
      </c>
      <c r="H156" s="117" t="n">
        <f aca="false">SUMIFS(الريسبي!$C$2:$C$1800,الريسبي!$A$2:$A$1800,$A156,الريسبي!$B$2:$B$1800,H$1)</f>
        <v>0</v>
      </c>
      <c r="I156" s="117" t="n">
        <f aca="false">SUMIFS(الريسبي!$C$2:$C$1800,الريسبي!$A$2:$A$1800,$A156,الريسبي!$B$2:$B$1800,I$1)</f>
        <v>0</v>
      </c>
      <c r="J156" s="117" t="n">
        <f aca="false">SUMIFS(الريسبي!$C$2:$C$1800,الريسبي!$A$2:$A$1800,$A156,الريسبي!$B$2:$B$1800,J$1)</f>
        <v>0</v>
      </c>
      <c r="K156" s="117" t="n">
        <f aca="false">SUMIFS(الريسبي!$C$2:$C$1800,الريسبي!$A$2:$A$1800,$A156,الريسبي!$B$2:$B$1800,K$1)</f>
        <v>0</v>
      </c>
      <c r="L156" s="117" t="n">
        <f aca="false">SUMIFS(الريسبي!$C$2:$C$1800,الريسبي!$A$2:$A$1800,$A156,الريسبي!$B$2:$B$1800,L$1)</f>
        <v>0</v>
      </c>
      <c r="M156" s="117" t="n">
        <f aca="false">SUMIFS(الريسبي!$C$2:$C$1800,الريسبي!$A$2:$A$1800,$A156,الريسبي!$B$2:$B$1800,M$1)</f>
        <v>0</v>
      </c>
      <c r="N156" s="117" t="n">
        <f aca="false">SUMIFS(الريسبي!$C$2:$C$1800,الريسبي!$A$2:$A$1800,$A156,الريسبي!$B$2:$B$1800,N$1)</f>
        <v>0</v>
      </c>
      <c r="O156" s="117" t="n">
        <f aca="false">SUMIFS(الريسبي!$C$2:$C$1800,الريسبي!$A$2:$A$1800,$A156,الريسبي!$B$2:$B$1800,O$1)</f>
        <v>0</v>
      </c>
      <c r="P156" s="117" t="n">
        <f aca="false">SUMIFS(الريسبي!$C$2:$C$1800,الريسبي!$A$2:$A$1800,$A156,الريسبي!$B$2:$B$1800,P$1)</f>
        <v>0</v>
      </c>
      <c r="Q156" s="117" t="n">
        <f aca="false">SUMIFS(الريسبي!$C$2:$C$1800,الريسبي!$A$2:$A$1800,$A156,الريسبي!$B$2:$B$1800,Q$1)</f>
        <v>1</v>
      </c>
      <c r="R156" s="117" t="n">
        <f aca="false">SUMIFS(الريسبي!$C$2:$C$1800,الريسبي!$A$2:$A$1800,$A156,الريسبي!$B$2:$B$1800,R$1)</f>
        <v>0</v>
      </c>
      <c r="S156" s="117" t="n">
        <f aca="false">SUMIFS(الريسبي!$C$2:$C$1800,الريسبي!$A$2:$A$1800,$A156,الريسبي!$B$2:$B$1800,S$1)</f>
        <v>0</v>
      </c>
      <c r="T156" s="117" t="n">
        <f aca="false">SUMIFS(الريسبي!$C$2:$C$1800,الريسبي!$A$2:$A$1800,$A156,الريسبي!$B$2:$B$1800,T$1)</f>
        <v>0</v>
      </c>
      <c r="U156" s="117" t="n">
        <f aca="false">SUMIFS(الريسبي!$C$2:$C$1800,الريسبي!$A$2:$A$1800,$A156,الريسبي!$B$2:$B$1800,U$1)</f>
        <v>0</v>
      </c>
      <c r="V156" s="117" t="n">
        <f aca="false">SUMIFS(الريسبي!$C$2:$C$1800,الريسبي!$A$2:$A$1800,$A156,الريسبي!$B$2:$B$1800,V$1)+1.5*(SUMIFS(الريسبي!$C$2:$C$1800,الريسبي!$A$2:$A$1800,$A156,الريسبي!$B$2:$B$1800,"برسيون موتزريلا بيتزا كبير"))</f>
        <v>0</v>
      </c>
      <c r="W156" s="117" t="n">
        <f aca="false">0</f>
        <v>0</v>
      </c>
      <c r="X156" s="117" t="n">
        <f aca="false">SUMIFS(الريسبي!$C$2:$C$1800,الريسبي!$A$2:$A$1800,$A156,الريسبي!$B$2:$B$1800,X$1)+1.5*(SUMIFS(الريسبي!$C$2:$C$1800,الريسبي!$A$2:$A$1800,$A156,الريسبي!$B$2:$B$1800,"برسيون موتزريلا فطير كبير"))</f>
        <v>0</v>
      </c>
      <c r="Y156" s="117" t="n">
        <f aca="false">0</f>
        <v>0</v>
      </c>
      <c r="Z156" s="117" t="n">
        <f aca="false">SUMIFS(الريسبي!$C$2:$C$1800,الريسبي!$A$2:$A$1800,$A156,الريسبي!$B$2:$B$1800,Z$1)</f>
        <v>0</v>
      </c>
      <c r="AA156" s="117" t="n">
        <f aca="false">SUMIFS(الريسبي!$C$2:$C$1800,الريسبي!$A$2:$A$1800,$A156,الريسبي!$B$2:$B$1800,AA$1)</f>
        <v>0</v>
      </c>
      <c r="AB156" s="117" t="n">
        <f aca="false">SUMIFS(الريسبي!$C$2:$C$1800,الريسبي!$A$2:$A$1800,$A156,الريسبي!$B$2:$B$1800,AB$1)</f>
        <v>0</v>
      </c>
      <c r="AC156" s="117" t="n">
        <f aca="false">SUMIFS(الريسبي!$C$2:$C$1800,الريسبي!$A$2:$A$1800,$A156,الريسبي!$B$2:$B$1800,AC$1)</f>
        <v>0</v>
      </c>
      <c r="AD156" s="117" t="n">
        <f aca="false">SUMIFS(الريسبي!$C$2:$C$1800,الريسبي!$A$2:$A$1800,$A156,الريسبي!$B$2:$B$1800,AD$1)</f>
        <v>0</v>
      </c>
      <c r="AE156" s="117" t="n">
        <f aca="false">SUMIFS(الريسبي!$C$2:$C$1800,الريسبي!$A$2:$A$1800,$A156,الريسبي!$B$2:$B$1800,AE$1)</f>
        <v>0</v>
      </c>
      <c r="AF156" s="117" t="n">
        <f aca="false">SUMIFS(الريسبي!$C$2:$C$1800,الريسبي!$A$2:$A$1800,$A156,الريسبي!$B$2:$B$1800,AF$1)</f>
        <v>0</v>
      </c>
      <c r="AG156" s="117" t="n">
        <f aca="false">SUMIFS(الريسبي!$C$2:$C$1800,الريسبي!$A$2:$A$1800,$A156,الريسبي!$B$2:$B$1800,AG$1)</f>
        <v>0</v>
      </c>
      <c r="AH156" s="117" t="n">
        <f aca="false">SUMIFS(الريسبي!$C$2:$C$1800,الريسبي!$A$2:$A$1800,$A156,الريسبي!$B$2:$B$1800,AH$1)</f>
        <v>0</v>
      </c>
      <c r="AI156" s="117" t="n">
        <f aca="false">SUMIFS(الريسبي!$C$2:$C$1800,الريسبي!$A$2:$A$1800,$A156,الريسبي!$B$2:$B$1800,AI$1)</f>
        <v>0</v>
      </c>
      <c r="AJ156" s="117" t="n">
        <f aca="false">SUMIFS(الريسبي!$C$2:$C$1800,الريسبي!$A$2:$A$1800,$A156,الريسبي!$B$2:$B$1800,AJ$1)</f>
        <v>0</v>
      </c>
      <c r="AK156" s="117" t="n">
        <f aca="false">SUMIFS(الريسبي!$C$2:$C$1800,الريسبي!$A$2:$A$1800,$A156,الريسبي!$B$2:$B$1800,AK$1)</f>
        <v>0</v>
      </c>
      <c r="AL156" s="117" t="n">
        <f aca="false">SUMIFS(الريسبي!$C$2:$C$1800,الريسبي!$A$2:$A$1800,$A156,الريسبي!$B$2:$B$1800,AL$1)</f>
        <v>0</v>
      </c>
      <c r="AM156" s="117" t="n">
        <f aca="false">SUMIFS(الريسبي!$C$2:$C$1800,الريسبي!$A$2:$A$1800,$A156,الريسبي!$B$2:$B$1800,AM$1)+0.08333333333*SUMIFS(الريسبي!$C$2:$C$1800,الريسبي!$A$2:$A$1800,$A156,الريسبي!$B$2:$B$1800,"عجين كريب (مصنع بالمطعم)")+0.08333333333*SUMIFS(الريسبي!$C$2:$C$1800,الريسبي!$A$2:$A$1800,$A156,الريسبي!$B$2:$B$1800,"عجين كريب صيامي (بدون لبن)")</f>
        <v>0</v>
      </c>
      <c r="AN156" s="117" t="n">
        <f aca="false">SUMIFS(الريسبي!$C$2:$C$1800,الريسبي!$A$2:$A$1800,$A156,الريسبي!$B$2:$B$1800,AN$1)+0.004166666667*SUMIFS(الريسبي!$C$2:$C$1800,الريسبي!$A$2:$A$1800,$A156,الريسبي!$B$2:$B$1800,"عجين كريب (مصنع بالمطعم)")+0.004166666667*SUMIFS(الريسبي!$C$2:$C$1800,الريسبي!$A$2:$A$1800,$A156,الريسبي!$B$2:$B$1800,"عجين كريب صيامي (بدون لبن)")</f>
        <v>0</v>
      </c>
      <c r="AO156" s="117" t="n">
        <f aca="false">SUMIFS(الريسبي!$C$2:$C$1800,الريسبي!$A$2:$A$1800,$A156,الريسبي!$B$2:$B$1800,AO$1)</f>
        <v>0</v>
      </c>
      <c r="AP156" s="117" t="n">
        <f aca="false">SUMIFS(الريسبي!$C$2:$C$1800,الريسبي!$A$2:$A$1800,$A156,الريسبي!$B$2:$B$1800,AP$1)</f>
        <v>0</v>
      </c>
      <c r="AQ156" s="117" t="n">
        <f aca="false">SUMIFS(الريسبي!$C$2:$C$1800,الريسبي!$A$2:$A$1800,$A156,الريسبي!$B$2:$B$1800,AQ$1)+0.004166666667*SUMIFS(الريسبي!$C$2:$C$1800,الريسبي!$A$2:$A$1800,$A156,الريسبي!$B$2:$B$1800,"عجين كريب (مصنع بالمطعم)")+0.004166666667*SUMIFS(الريسبي!$C$2:$C$1800,الريسبي!$A$2:$A$1800,$A156,الريسبي!$B$2:$B$1800,"عجين كريب صيامي (بدون لبن)")</f>
        <v>0</v>
      </c>
      <c r="AR156" s="117" t="n">
        <f aca="false">SUMIFS(الريسبي!$C$2:$C$1800,الريسبي!$A$2:$A$1800,$A156,الريسبي!$B$2:$B$1800,AR$1)</f>
        <v>0</v>
      </c>
      <c r="AS156" s="117" t="n">
        <f aca="false">SUMIFS(الريسبي!$C$2:$C$1800,الريسبي!$A$2:$A$1800,$A156,الريسبي!$B$2:$B$1800,AS$1)</f>
        <v>0</v>
      </c>
      <c r="AT156" s="117" t="n">
        <f aca="false">SUMIFS(الريسبي!$C$2:$C$1800,الريسبي!$A$2:$A$1800,$A156,الريسبي!$B$2:$B$1800,AT$1)</f>
        <v>0</v>
      </c>
      <c r="AU156" s="117" t="n">
        <f aca="false">SUMIFS(الريسبي!$C$2:$C$1800,الريسبي!$A$2:$A$1800,$A156,الريسبي!$B$2:$B$1800,AU$1)</f>
        <v>0</v>
      </c>
      <c r="AV156" s="117" t="n">
        <f aca="false">SUMIFS(الريسبي!$C$2:$C$1800,الريسبي!$A$2:$A$1800,$A156,الريسبي!$B$2:$B$1800,AV$1)</f>
        <v>0</v>
      </c>
      <c r="AW156" s="117" t="n">
        <f aca="false">SUMIFS(الريسبي!$C$2:$C$1800,الريسبي!$A$2:$A$1800,$A156,الريسبي!$B$2:$B$1800,AW$1)</f>
        <v>0</v>
      </c>
      <c r="AX156" s="117" t="n">
        <f aca="false">SUMIFS(الريسبي!$C$2:$C$1800,الريسبي!$A$2:$A$1800,$A156,الريسبي!$B$2:$B$1800,AX$1)</f>
        <v>0</v>
      </c>
      <c r="AY156" s="117" t="n">
        <f aca="false">SUMIFS(الريسبي!$C$2:$C$1800,الريسبي!$A$2:$A$1800,$A156,الريسبي!$B$2:$B$1800,AY$1)</f>
        <v>0</v>
      </c>
      <c r="AZ156" s="117" t="n">
        <f aca="false">SUMIFS(الريسبي!$C$2:$C$1800,الريسبي!$A$2:$A$1800,$A156,الريسبي!$B$2:$B$1800,AZ$1)</f>
        <v>0</v>
      </c>
      <c r="BA156" s="117" t="n">
        <f aca="false">SUMIFS(الريسبي!$C$2:$C$1800,الريسبي!$A$2:$A$1800,$A156,الريسبي!$B$2:$B$1800,BA$1)</f>
        <v>0</v>
      </c>
      <c r="BB156" s="117" t="n">
        <f aca="false">SUMIFS(الريسبي!$C$2:$C$1800,الريسبي!$A$2:$A$1800,$A156,الريسبي!$B$2:$B$1800,BB$1)</f>
        <v>0</v>
      </c>
      <c r="BC156" s="117" t="n">
        <f aca="false">SUMIFS(الريسبي!$C$2:$C$1800,الريسبي!$A$2:$A$1800,$A156,الريسبي!$B$2:$B$1800,BC$1)</f>
        <v>0</v>
      </c>
      <c r="BD156" s="117" t="n">
        <f aca="false">SUMIFS(الريسبي!$C$2:$C$1800,الريسبي!$A$2:$A$1800,$A156,الريسبي!$B$2:$B$1800,BD$1)</f>
        <v>0</v>
      </c>
      <c r="BE156" s="117" t="n">
        <f aca="false">SUMIFS(الريسبي!$C$2:$C$1800,الريسبي!$A$2:$A$1800,$A156,الريسبي!$B$2:$B$1800,BE$1)</f>
        <v>0</v>
      </c>
      <c r="BF156" s="117" t="n">
        <f aca="false">SUMIFS(الريسبي!$C$2:$C$1800,الريسبي!$A$2:$A$1800,$A156,الريسبي!$B$2:$B$1800,BF$1)</f>
        <v>0</v>
      </c>
      <c r="BG156" s="117" t="n">
        <f aca="false">SUMIFS(الريسبي!$C$2:$C$1800,الريسبي!$A$2:$A$1800,$A156,الريسبي!$B$2:$B$1800,BG$1)</f>
        <v>0</v>
      </c>
      <c r="BH156" s="117" t="n">
        <f aca="false">SUMIFS(الريسبي!$C$2:$C$1800,الريسبي!$A$2:$A$1800,$A156,الريسبي!$B$2:$B$1800,BH$1)</f>
        <v>0</v>
      </c>
      <c r="BI156" s="117" t="n">
        <f aca="false">SUMIFS(الريسبي!$C$2:$C$1800,الريسبي!$A$2:$A$1800,$A156,الريسبي!$B$2:$B$1800,BI$1)</f>
        <v>0</v>
      </c>
      <c r="BJ156" s="117" t="n">
        <f aca="false">SUMIFS(الريسبي!$C$2:$C$1800,الريسبي!$A$2:$A$1800,$A156,الريسبي!$B$2:$B$1800,BJ$1)</f>
        <v>0</v>
      </c>
      <c r="BK156" s="117" t="n">
        <f aca="false">SUMIFS(الريسبي!$C$2:$C$1800,الريسبي!$A$2:$A$1800,$A156,الريسبي!$B$2:$B$1800,BK$1)</f>
        <v>0</v>
      </c>
      <c r="BL156" s="117" t="n">
        <f aca="false">SUMIFS(الريسبي!$C$2:$C$1800,الريسبي!$A$2:$A$1800,$A156,الريسبي!$B$2:$B$1800,BL$1)</f>
        <v>0</v>
      </c>
      <c r="BM156" s="117" t="n">
        <f aca="false">SUMIFS(الريسبي!$C$2:$C$1800,الريسبي!$A$2:$A$1800,$A156,الريسبي!$B$2:$B$1800,BM$1)</f>
        <v>0</v>
      </c>
      <c r="BN156" s="117" t="n">
        <f aca="false">SUMIFS(الريسبي!$C$2:$C$1800,الريسبي!$A$2:$A$1800,$A156,الريسبي!$B$2:$B$1800,BN$1)</f>
        <v>0</v>
      </c>
      <c r="BO156" s="117" t="n">
        <f aca="false">SUMIFS(الريسبي!$C$2:$C$1800,الريسبي!$A$2:$A$1800,$A156,الريسبي!$B$2:$B$1800,BO$1)</f>
        <v>0</v>
      </c>
      <c r="BP156" s="117" t="n">
        <f aca="false">SUMIFS(الريسبي!$C$2:$C$1800,الريسبي!$A$2:$A$1800,$A156,الريسبي!$B$2:$B$1800,BP$1)</f>
        <v>0</v>
      </c>
      <c r="BQ156" s="117" t="n">
        <f aca="false">SUMIFS(الريسبي!$C$2:$C$1800,الريسبي!$A$2:$A$1800,$A156,الريسبي!$B$2:$B$1800,BQ$1)+0.17*SUMIFS(الريسبي!$C$2:$C$1800,الريسبي!$A$2:$A$1800,$A156,الريسبي!$B$2:$B$1800,"كاسترد مصنع (خليط بودر + لبن)")+0.17*SUMIFS(الريسبي!$C$2:$C$1800,الريسبي!$A$2:$A$1800,$A156,الريسبي!$B$2:$B$1800,"كاسترد مصنع صيامي (بدون لبن)")</f>
        <v>0</v>
      </c>
      <c r="BR156" s="117" t="n">
        <f aca="false">SUMIFS(الريسبي!$C$2:$C$1800,الريسبي!$A$2:$A$1800,$A156,الريسبي!$B$2:$B$1800,BR$1)</f>
        <v>0</v>
      </c>
      <c r="BS156" s="117" t="n">
        <f aca="false">SUMIFS(الريسبي!$C$2:$C$1800,الريسبي!$A$2:$A$1800,$A156,الريسبي!$B$2:$B$1800,BS$1)</f>
        <v>0</v>
      </c>
      <c r="BT156" s="117" t="n">
        <f aca="false">SUMIFS(الريسبي!$C$2:$C$1800,الريسبي!$A$2:$A$1800,$A156,الريسبي!$B$2:$B$1800,BT$1)</f>
        <v>0</v>
      </c>
      <c r="BU156" s="117" t="n">
        <f aca="false">SUMIFS(الريسبي!$C$2:$C$1800,الريسبي!$A$2:$A$1800,$A156,الريسبي!$B$2:$B$1800,BU$1)+0.4*SUMIFS(الريسبي!$C$2:$C$1800,الريسبي!$A$2:$A$1800,$A156,الريسبي!$B$2:$B$1800,"كاسترد مصنع (خليط بودر + لبن)")+0.03333333333*SUMIFS(الريسبي!$C$2:$C$1800,الريسبي!$A$2:$A$1800,$A156,الريسبي!$B$2:$B$1800,"عجين كريب (مصنع بالمطعم)")</f>
        <v>0</v>
      </c>
      <c r="BV156" s="117" t="n">
        <f aca="false">SUMIFS(الريسبي!$C$2:$C$1800,الريسبي!$A$2:$A$1800,$A156,الريسبي!$B$2:$B$1800,BV$1)</f>
        <v>0</v>
      </c>
      <c r="BW156" s="117" t="n">
        <f aca="false">SUMIFS(الريسبي!$C$2:$C$1800,الريسبي!$A$2:$A$1800,$A156,الريسبي!$B$2:$B$1800,BW$1)</f>
        <v>0</v>
      </c>
      <c r="BX156" s="117" t="n">
        <f aca="false">SUMIFS(الريسبي!$C$2:$C$1800,الريسبي!$A$2:$A$1800,$A156,الريسبي!$B$2:$B$1800,BX$1)</f>
        <v>0</v>
      </c>
      <c r="BY156" s="117" t="n">
        <f aca="false">SUMIFS(الريسبي!$C$2:$C$1800,الريسبي!$A$2:$A$1800,$A156,الريسبي!$B$2:$B$1800,BY$1)</f>
        <v>0</v>
      </c>
      <c r="BZ156" s="117" t="n">
        <f aca="false">SUMIFS(الريسبي!$C$2:$C$1800,الريسبي!$A$2:$A$1800,$A156,الريسبي!$B$2:$B$1800,BZ$1)</f>
        <v>0</v>
      </c>
      <c r="CA156" s="117" t="n">
        <f aca="false">SUMIFS(الريسبي!$C$2:$C$1800,الريسبي!$A$2:$A$1800,$A156,الريسبي!$B$2:$B$1800,CA$1)</f>
        <v>0</v>
      </c>
      <c r="CB156" s="117" t="n">
        <f aca="false">SUMIFS(الريسبي!$C$2:$C$1800,الريسبي!$A$2:$A$1800,$A156,الريسبي!$B$2:$B$1800,CB$1)</f>
        <v>0</v>
      </c>
      <c r="CC156" s="117" t="n">
        <f aca="false">SUMIFS(الريسبي!$C$2:$C$1800,الريسبي!$A$2:$A$1800,$A156,الريسبي!$B$2:$B$1800,CC$1)</f>
        <v>0</v>
      </c>
      <c r="CD156" s="117" t="n">
        <f aca="false">SUMIFS(الريسبي!$C$2:$C$1800,الريسبي!$A$2:$A$1800,$A156,الريسبي!$B$2:$B$1800,CD$1)</f>
        <v>0</v>
      </c>
      <c r="CE156" s="117" t="n">
        <f aca="false">SUMIFS(الريسبي!$C$2:$C$1800,الريسبي!$A$2:$A$1800,$A156,الريسبي!$B$2:$B$1800,CE$1)</f>
        <v>0</v>
      </c>
      <c r="CF156" s="117" t="n">
        <f aca="false">SUMIFS(الريسبي!$C$2:$C$1800,الريسبي!$A$2:$A$1800,$A156,الريسبي!$B$2:$B$1800,CF$1)</f>
        <v>0</v>
      </c>
      <c r="CG156" s="117" t="n">
        <f aca="false">SUMIFS(الريسبي!$C$2:$C$1800,الريسبي!$A$2:$A$1800,$A156,الريسبي!$B$2:$B$1800,CG$1)</f>
        <v>0</v>
      </c>
      <c r="CH156" s="117" t="n">
        <f aca="false">SUMIFS(الريسبي!$C$2:$C$1800,الريسبي!$A$2:$A$1800,$A156,الريسبي!$B$2:$B$1800,CH$1)</f>
        <v>0</v>
      </c>
      <c r="CI156" s="117" t="n">
        <f aca="false">SUMIFS(الريسبي!$C$2:$C$1800,الريسبي!$A$2:$A$1800,$A156,الريسبي!$B$2:$B$1800,CI$1)</f>
        <v>0</v>
      </c>
      <c r="CJ156" s="117" t="n">
        <f aca="false">SUMIFS(الريسبي!$C$2:$C$1800,الريسبي!$A$2:$A$1800,$A156,الريسبي!$B$2:$B$1800,CJ$1)</f>
        <v>0</v>
      </c>
      <c r="CK156" s="117" t="n">
        <f aca="false">SUMIFS(الريسبي!$C$2:$C$1800,الريسبي!$A$2:$A$1800,$A156,الريسبي!$B$2:$B$1800,CK$1)</f>
        <v>0</v>
      </c>
      <c r="CL156" s="117" t="n">
        <f aca="false">SUMIFS(الريسبي!$C$2:$C$1800,الريسبي!$A$2:$A$1800,$A156,الريسبي!$B$2:$B$1800,CL$1)</f>
        <v>0</v>
      </c>
    </row>
    <row r="157" customFormat="false" ht="15" hidden="false" customHeight="false" outlineLevel="0" collapsed="false">
      <c r="A157" s="116" t="str">
        <f aca="false">المنيو!B157</f>
        <v>اضافة فراخ كريسبي (فطير وسط)</v>
      </c>
      <c r="B157" s="117" t="n">
        <f aca="false">SUMIFS(الريسبي!$C$2:$C$1800,الريسبي!$A$2:$A$1800,$A157,الريسبي!$B$2:$B$1800,B$1)</f>
        <v>0</v>
      </c>
      <c r="C157" s="117" t="n">
        <f aca="false">SUMIFS(الريسبي!$C$2:$C$1800,الريسبي!$A$2:$A$1800,$A157,الريسبي!$B$2:$B$1800,C$1)</f>
        <v>0</v>
      </c>
      <c r="D157" s="117" t="n">
        <f aca="false">SUMIFS(الريسبي!$C$2:$C$1800,الريسبي!$A$2:$A$1800,$A157,الريسبي!$B$2:$B$1800,D$1)</f>
        <v>0</v>
      </c>
      <c r="E157" s="117" t="n">
        <f aca="false">SUMIFS(الريسبي!$C$2:$C$1800,الريسبي!$A$2:$A$1800,$A157,الريسبي!$B$2:$B$1800,E$1)</f>
        <v>0</v>
      </c>
      <c r="F157" s="117" t="n">
        <f aca="false">SUMIFS(الريسبي!$C$2:$C$1800,الريسبي!$A$2:$A$1800,$A157,الريسبي!$B$2:$B$1800,F$1)</f>
        <v>0</v>
      </c>
      <c r="G157" s="117" t="n">
        <f aca="false">SUMIFS(الريسبي!$C$2:$C$1800,الريسبي!$A$2:$A$1800,$A157,الريسبي!$B$2:$B$1800,G$1)</f>
        <v>0</v>
      </c>
      <c r="H157" s="117" t="n">
        <f aca="false">SUMIFS(الريسبي!$C$2:$C$1800,الريسبي!$A$2:$A$1800,$A157,الريسبي!$B$2:$B$1800,H$1)</f>
        <v>0</v>
      </c>
      <c r="I157" s="117" t="n">
        <f aca="false">SUMIFS(الريسبي!$C$2:$C$1800,الريسبي!$A$2:$A$1800,$A157,الريسبي!$B$2:$B$1800,I$1)</f>
        <v>0</v>
      </c>
      <c r="J157" s="117" t="n">
        <f aca="false">SUMIFS(الريسبي!$C$2:$C$1800,الريسبي!$A$2:$A$1800,$A157,الريسبي!$B$2:$B$1800,J$1)</f>
        <v>0</v>
      </c>
      <c r="K157" s="117" t="n">
        <f aca="false">SUMIFS(الريسبي!$C$2:$C$1800,الريسبي!$A$2:$A$1800,$A157,الريسبي!$B$2:$B$1800,K$1)</f>
        <v>0</v>
      </c>
      <c r="L157" s="117" t="n">
        <f aca="false">SUMIFS(الريسبي!$C$2:$C$1800,الريسبي!$A$2:$A$1800,$A157,الريسبي!$B$2:$B$1800,L$1)</f>
        <v>0</v>
      </c>
      <c r="M157" s="117" t="n">
        <f aca="false">SUMIFS(الريسبي!$C$2:$C$1800,الريسبي!$A$2:$A$1800,$A157,الريسبي!$B$2:$B$1800,M$1)</f>
        <v>0</v>
      </c>
      <c r="N157" s="117" t="n">
        <f aca="false">SUMIFS(الريسبي!$C$2:$C$1800,الريسبي!$A$2:$A$1800,$A157,الريسبي!$B$2:$B$1800,N$1)</f>
        <v>0</v>
      </c>
      <c r="O157" s="117" t="n">
        <f aca="false">SUMIFS(الريسبي!$C$2:$C$1800,الريسبي!$A$2:$A$1800,$A157,الريسبي!$B$2:$B$1800,O$1)</f>
        <v>0</v>
      </c>
      <c r="P157" s="117" t="n">
        <f aca="false">SUMIFS(الريسبي!$C$2:$C$1800,الريسبي!$A$2:$A$1800,$A157,الريسبي!$B$2:$B$1800,P$1)</f>
        <v>0</v>
      </c>
      <c r="Q157" s="117" t="n">
        <f aca="false">SUMIFS(الريسبي!$C$2:$C$1800,الريسبي!$A$2:$A$1800,$A157,الريسبي!$B$2:$B$1800,Q$1)</f>
        <v>1</v>
      </c>
      <c r="R157" s="117" t="n">
        <f aca="false">SUMIFS(الريسبي!$C$2:$C$1800,الريسبي!$A$2:$A$1800,$A157,الريسبي!$B$2:$B$1800,R$1)</f>
        <v>0</v>
      </c>
      <c r="S157" s="117" t="n">
        <f aca="false">SUMIFS(الريسبي!$C$2:$C$1800,الريسبي!$A$2:$A$1800,$A157,الريسبي!$B$2:$B$1800,S$1)</f>
        <v>0</v>
      </c>
      <c r="T157" s="117" t="n">
        <f aca="false">SUMIFS(الريسبي!$C$2:$C$1800,الريسبي!$A$2:$A$1800,$A157,الريسبي!$B$2:$B$1800,T$1)</f>
        <v>0</v>
      </c>
      <c r="U157" s="117" t="n">
        <f aca="false">SUMIFS(الريسبي!$C$2:$C$1800,الريسبي!$A$2:$A$1800,$A157,الريسبي!$B$2:$B$1800,U$1)</f>
        <v>0</v>
      </c>
      <c r="V157" s="117" t="n">
        <f aca="false">SUMIFS(الريسبي!$C$2:$C$1800,الريسبي!$A$2:$A$1800,$A157,الريسبي!$B$2:$B$1800,V$1)+1.5*(SUMIFS(الريسبي!$C$2:$C$1800,الريسبي!$A$2:$A$1800,$A157,الريسبي!$B$2:$B$1800,"برسيون موتزريلا بيتزا كبير"))</f>
        <v>0</v>
      </c>
      <c r="W157" s="117" t="n">
        <f aca="false">0</f>
        <v>0</v>
      </c>
      <c r="X157" s="117" t="n">
        <f aca="false">SUMIFS(الريسبي!$C$2:$C$1800,الريسبي!$A$2:$A$1800,$A157,الريسبي!$B$2:$B$1800,X$1)+1.5*(SUMIFS(الريسبي!$C$2:$C$1800,الريسبي!$A$2:$A$1800,$A157,الريسبي!$B$2:$B$1800,"برسيون موتزريلا فطير كبير"))</f>
        <v>0</v>
      </c>
      <c r="Y157" s="117" t="n">
        <f aca="false">0</f>
        <v>0</v>
      </c>
      <c r="Z157" s="117" t="n">
        <f aca="false">SUMIFS(الريسبي!$C$2:$C$1800,الريسبي!$A$2:$A$1800,$A157,الريسبي!$B$2:$B$1800,Z$1)</f>
        <v>0</v>
      </c>
      <c r="AA157" s="117" t="n">
        <f aca="false">SUMIFS(الريسبي!$C$2:$C$1800,الريسبي!$A$2:$A$1800,$A157,الريسبي!$B$2:$B$1800,AA$1)</f>
        <v>0</v>
      </c>
      <c r="AB157" s="117" t="n">
        <f aca="false">SUMIFS(الريسبي!$C$2:$C$1800,الريسبي!$A$2:$A$1800,$A157,الريسبي!$B$2:$B$1800,AB$1)</f>
        <v>0</v>
      </c>
      <c r="AC157" s="117" t="n">
        <f aca="false">SUMIFS(الريسبي!$C$2:$C$1800,الريسبي!$A$2:$A$1800,$A157,الريسبي!$B$2:$B$1800,AC$1)</f>
        <v>0</v>
      </c>
      <c r="AD157" s="117" t="n">
        <f aca="false">SUMIFS(الريسبي!$C$2:$C$1800,الريسبي!$A$2:$A$1800,$A157,الريسبي!$B$2:$B$1800,AD$1)</f>
        <v>0</v>
      </c>
      <c r="AE157" s="117" t="n">
        <f aca="false">SUMIFS(الريسبي!$C$2:$C$1800,الريسبي!$A$2:$A$1800,$A157,الريسبي!$B$2:$B$1800,AE$1)</f>
        <v>0</v>
      </c>
      <c r="AF157" s="117" t="n">
        <f aca="false">SUMIFS(الريسبي!$C$2:$C$1800,الريسبي!$A$2:$A$1800,$A157,الريسبي!$B$2:$B$1800,AF$1)</f>
        <v>0</v>
      </c>
      <c r="AG157" s="117" t="n">
        <f aca="false">SUMIFS(الريسبي!$C$2:$C$1800,الريسبي!$A$2:$A$1800,$A157,الريسبي!$B$2:$B$1800,AG$1)</f>
        <v>0</v>
      </c>
      <c r="AH157" s="117" t="n">
        <f aca="false">SUMIFS(الريسبي!$C$2:$C$1800,الريسبي!$A$2:$A$1800,$A157,الريسبي!$B$2:$B$1800,AH$1)</f>
        <v>0</v>
      </c>
      <c r="AI157" s="117" t="n">
        <f aca="false">SUMIFS(الريسبي!$C$2:$C$1800,الريسبي!$A$2:$A$1800,$A157,الريسبي!$B$2:$B$1800,AI$1)</f>
        <v>0</v>
      </c>
      <c r="AJ157" s="117" t="n">
        <f aca="false">SUMIFS(الريسبي!$C$2:$C$1800,الريسبي!$A$2:$A$1800,$A157,الريسبي!$B$2:$B$1800,AJ$1)</f>
        <v>0</v>
      </c>
      <c r="AK157" s="117" t="n">
        <f aca="false">SUMIFS(الريسبي!$C$2:$C$1800,الريسبي!$A$2:$A$1800,$A157,الريسبي!$B$2:$B$1800,AK$1)</f>
        <v>0</v>
      </c>
      <c r="AL157" s="117" t="n">
        <f aca="false">SUMIFS(الريسبي!$C$2:$C$1800,الريسبي!$A$2:$A$1800,$A157,الريسبي!$B$2:$B$1800,AL$1)</f>
        <v>0</v>
      </c>
      <c r="AM157" s="117" t="n">
        <f aca="false">SUMIFS(الريسبي!$C$2:$C$1800,الريسبي!$A$2:$A$1800,$A157,الريسبي!$B$2:$B$1800,AM$1)+0.08333333333*SUMIFS(الريسبي!$C$2:$C$1800,الريسبي!$A$2:$A$1800,$A157,الريسبي!$B$2:$B$1800,"عجين كريب (مصنع بالمطعم)")+0.08333333333*SUMIFS(الريسبي!$C$2:$C$1800,الريسبي!$A$2:$A$1800,$A157,الريسبي!$B$2:$B$1800,"عجين كريب صيامي (بدون لبن)")</f>
        <v>0</v>
      </c>
      <c r="AN157" s="117" t="n">
        <f aca="false">SUMIFS(الريسبي!$C$2:$C$1800,الريسبي!$A$2:$A$1800,$A157,الريسبي!$B$2:$B$1800,AN$1)+0.004166666667*SUMIFS(الريسبي!$C$2:$C$1800,الريسبي!$A$2:$A$1800,$A157,الريسبي!$B$2:$B$1800,"عجين كريب (مصنع بالمطعم)")+0.004166666667*SUMIFS(الريسبي!$C$2:$C$1800,الريسبي!$A$2:$A$1800,$A157,الريسبي!$B$2:$B$1800,"عجين كريب صيامي (بدون لبن)")</f>
        <v>0</v>
      </c>
      <c r="AO157" s="117" t="n">
        <f aca="false">SUMIFS(الريسبي!$C$2:$C$1800,الريسبي!$A$2:$A$1800,$A157,الريسبي!$B$2:$B$1800,AO$1)</f>
        <v>0</v>
      </c>
      <c r="AP157" s="117" t="n">
        <f aca="false">SUMIFS(الريسبي!$C$2:$C$1800,الريسبي!$A$2:$A$1800,$A157,الريسبي!$B$2:$B$1800,AP$1)</f>
        <v>0</v>
      </c>
      <c r="AQ157" s="117" t="n">
        <f aca="false">SUMIFS(الريسبي!$C$2:$C$1800,الريسبي!$A$2:$A$1800,$A157,الريسبي!$B$2:$B$1800,AQ$1)+0.004166666667*SUMIFS(الريسبي!$C$2:$C$1800,الريسبي!$A$2:$A$1800,$A157,الريسبي!$B$2:$B$1800,"عجين كريب (مصنع بالمطعم)")+0.004166666667*SUMIFS(الريسبي!$C$2:$C$1800,الريسبي!$A$2:$A$1800,$A157,الريسبي!$B$2:$B$1800,"عجين كريب صيامي (بدون لبن)")</f>
        <v>0</v>
      </c>
      <c r="AR157" s="117" t="n">
        <f aca="false">SUMIFS(الريسبي!$C$2:$C$1800,الريسبي!$A$2:$A$1800,$A157,الريسبي!$B$2:$B$1800,AR$1)</f>
        <v>0</v>
      </c>
      <c r="AS157" s="117" t="n">
        <f aca="false">SUMIFS(الريسبي!$C$2:$C$1800,الريسبي!$A$2:$A$1800,$A157,الريسبي!$B$2:$B$1800,AS$1)</f>
        <v>0</v>
      </c>
      <c r="AT157" s="117" t="n">
        <f aca="false">SUMIFS(الريسبي!$C$2:$C$1800,الريسبي!$A$2:$A$1800,$A157,الريسبي!$B$2:$B$1800,AT$1)</f>
        <v>0</v>
      </c>
      <c r="AU157" s="117" t="n">
        <f aca="false">SUMIFS(الريسبي!$C$2:$C$1800,الريسبي!$A$2:$A$1800,$A157,الريسبي!$B$2:$B$1800,AU$1)</f>
        <v>0</v>
      </c>
      <c r="AV157" s="117" t="n">
        <f aca="false">SUMIFS(الريسبي!$C$2:$C$1800,الريسبي!$A$2:$A$1800,$A157,الريسبي!$B$2:$B$1800,AV$1)</f>
        <v>0</v>
      </c>
      <c r="AW157" s="117" t="n">
        <f aca="false">SUMIFS(الريسبي!$C$2:$C$1800,الريسبي!$A$2:$A$1800,$A157,الريسبي!$B$2:$B$1800,AW$1)</f>
        <v>0</v>
      </c>
      <c r="AX157" s="117" t="n">
        <f aca="false">SUMIFS(الريسبي!$C$2:$C$1800,الريسبي!$A$2:$A$1800,$A157,الريسبي!$B$2:$B$1800,AX$1)</f>
        <v>0</v>
      </c>
      <c r="AY157" s="117" t="n">
        <f aca="false">SUMIFS(الريسبي!$C$2:$C$1800,الريسبي!$A$2:$A$1800,$A157,الريسبي!$B$2:$B$1800,AY$1)</f>
        <v>0</v>
      </c>
      <c r="AZ157" s="117" t="n">
        <f aca="false">SUMIFS(الريسبي!$C$2:$C$1800,الريسبي!$A$2:$A$1800,$A157,الريسبي!$B$2:$B$1800,AZ$1)</f>
        <v>0</v>
      </c>
      <c r="BA157" s="117" t="n">
        <f aca="false">SUMIFS(الريسبي!$C$2:$C$1800,الريسبي!$A$2:$A$1800,$A157,الريسبي!$B$2:$B$1800,BA$1)</f>
        <v>0</v>
      </c>
      <c r="BB157" s="117" t="n">
        <f aca="false">SUMIFS(الريسبي!$C$2:$C$1800,الريسبي!$A$2:$A$1800,$A157,الريسبي!$B$2:$B$1800,BB$1)</f>
        <v>0</v>
      </c>
      <c r="BC157" s="117" t="n">
        <f aca="false">SUMIFS(الريسبي!$C$2:$C$1800,الريسبي!$A$2:$A$1800,$A157,الريسبي!$B$2:$B$1800,BC$1)</f>
        <v>0</v>
      </c>
      <c r="BD157" s="117" t="n">
        <f aca="false">SUMIFS(الريسبي!$C$2:$C$1800,الريسبي!$A$2:$A$1800,$A157,الريسبي!$B$2:$B$1800,BD$1)</f>
        <v>0</v>
      </c>
      <c r="BE157" s="117" t="n">
        <f aca="false">SUMIFS(الريسبي!$C$2:$C$1800,الريسبي!$A$2:$A$1800,$A157,الريسبي!$B$2:$B$1800,BE$1)</f>
        <v>0</v>
      </c>
      <c r="BF157" s="117" t="n">
        <f aca="false">SUMIFS(الريسبي!$C$2:$C$1800,الريسبي!$A$2:$A$1800,$A157,الريسبي!$B$2:$B$1800,BF$1)</f>
        <v>0</v>
      </c>
      <c r="BG157" s="117" t="n">
        <f aca="false">SUMIFS(الريسبي!$C$2:$C$1800,الريسبي!$A$2:$A$1800,$A157,الريسبي!$B$2:$B$1800,BG$1)</f>
        <v>0</v>
      </c>
      <c r="BH157" s="117" t="n">
        <f aca="false">SUMIFS(الريسبي!$C$2:$C$1800,الريسبي!$A$2:$A$1800,$A157,الريسبي!$B$2:$B$1800,BH$1)</f>
        <v>0</v>
      </c>
      <c r="BI157" s="117" t="n">
        <f aca="false">SUMIFS(الريسبي!$C$2:$C$1800,الريسبي!$A$2:$A$1800,$A157,الريسبي!$B$2:$B$1800,BI$1)</f>
        <v>0</v>
      </c>
      <c r="BJ157" s="117" t="n">
        <f aca="false">SUMIFS(الريسبي!$C$2:$C$1800,الريسبي!$A$2:$A$1800,$A157,الريسبي!$B$2:$B$1800,BJ$1)</f>
        <v>0</v>
      </c>
      <c r="BK157" s="117" t="n">
        <f aca="false">SUMIFS(الريسبي!$C$2:$C$1800,الريسبي!$A$2:$A$1800,$A157,الريسبي!$B$2:$B$1800,BK$1)</f>
        <v>0</v>
      </c>
      <c r="BL157" s="117" t="n">
        <f aca="false">SUMIFS(الريسبي!$C$2:$C$1800,الريسبي!$A$2:$A$1800,$A157,الريسبي!$B$2:$B$1800,BL$1)</f>
        <v>0</v>
      </c>
      <c r="BM157" s="117" t="n">
        <f aca="false">SUMIFS(الريسبي!$C$2:$C$1800,الريسبي!$A$2:$A$1800,$A157,الريسبي!$B$2:$B$1800,BM$1)</f>
        <v>0</v>
      </c>
      <c r="BN157" s="117" t="n">
        <f aca="false">SUMIFS(الريسبي!$C$2:$C$1800,الريسبي!$A$2:$A$1800,$A157,الريسبي!$B$2:$B$1800,BN$1)</f>
        <v>0</v>
      </c>
      <c r="BO157" s="117" t="n">
        <f aca="false">SUMIFS(الريسبي!$C$2:$C$1800,الريسبي!$A$2:$A$1800,$A157,الريسبي!$B$2:$B$1800,BO$1)</f>
        <v>0</v>
      </c>
      <c r="BP157" s="117" t="n">
        <f aca="false">SUMIFS(الريسبي!$C$2:$C$1800,الريسبي!$A$2:$A$1800,$A157,الريسبي!$B$2:$B$1800,BP$1)</f>
        <v>0</v>
      </c>
      <c r="BQ157" s="117" t="n">
        <f aca="false">SUMIFS(الريسبي!$C$2:$C$1800,الريسبي!$A$2:$A$1800,$A157,الريسبي!$B$2:$B$1800,BQ$1)+0.17*SUMIFS(الريسبي!$C$2:$C$1800,الريسبي!$A$2:$A$1800,$A157,الريسبي!$B$2:$B$1800,"كاسترد مصنع (خليط بودر + لبن)")+0.17*SUMIFS(الريسبي!$C$2:$C$1800,الريسبي!$A$2:$A$1800,$A157,الريسبي!$B$2:$B$1800,"كاسترد مصنع صيامي (بدون لبن)")</f>
        <v>0</v>
      </c>
      <c r="BR157" s="117" t="n">
        <f aca="false">SUMIFS(الريسبي!$C$2:$C$1800,الريسبي!$A$2:$A$1800,$A157,الريسبي!$B$2:$B$1800,BR$1)</f>
        <v>0</v>
      </c>
      <c r="BS157" s="117" t="n">
        <f aca="false">SUMIFS(الريسبي!$C$2:$C$1800,الريسبي!$A$2:$A$1800,$A157,الريسبي!$B$2:$B$1800,BS$1)</f>
        <v>0</v>
      </c>
      <c r="BT157" s="117" t="n">
        <f aca="false">SUMIFS(الريسبي!$C$2:$C$1800,الريسبي!$A$2:$A$1800,$A157,الريسبي!$B$2:$B$1800,BT$1)</f>
        <v>0</v>
      </c>
      <c r="BU157" s="117" t="n">
        <f aca="false">SUMIFS(الريسبي!$C$2:$C$1800,الريسبي!$A$2:$A$1800,$A157,الريسبي!$B$2:$B$1800,BU$1)+0.4*SUMIFS(الريسبي!$C$2:$C$1800,الريسبي!$A$2:$A$1800,$A157,الريسبي!$B$2:$B$1800,"كاسترد مصنع (خليط بودر + لبن)")+0.03333333333*SUMIFS(الريسبي!$C$2:$C$1800,الريسبي!$A$2:$A$1800,$A157,الريسبي!$B$2:$B$1800,"عجين كريب (مصنع بالمطعم)")</f>
        <v>0</v>
      </c>
      <c r="BV157" s="117" t="n">
        <f aca="false">SUMIFS(الريسبي!$C$2:$C$1800,الريسبي!$A$2:$A$1800,$A157,الريسبي!$B$2:$B$1800,BV$1)</f>
        <v>0</v>
      </c>
      <c r="BW157" s="117" t="n">
        <f aca="false">SUMIFS(الريسبي!$C$2:$C$1800,الريسبي!$A$2:$A$1800,$A157,الريسبي!$B$2:$B$1800,BW$1)</f>
        <v>0</v>
      </c>
      <c r="BX157" s="117" t="n">
        <f aca="false">SUMIFS(الريسبي!$C$2:$C$1800,الريسبي!$A$2:$A$1800,$A157,الريسبي!$B$2:$B$1800,BX$1)</f>
        <v>0</v>
      </c>
      <c r="BY157" s="117" t="n">
        <f aca="false">SUMIFS(الريسبي!$C$2:$C$1800,الريسبي!$A$2:$A$1800,$A157,الريسبي!$B$2:$B$1800,BY$1)</f>
        <v>0</v>
      </c>
      <c r="BZ157" s="117" t="n">
        <f aca="false">SUMIFS(الريسبي!$C$2:$C$1800,الريسبي!$A$2:$A$1800,$A157,الريسبي!$B$2:$B$1800,BZ$1)</f>
        <v>0</v>
      </c>
      <c r="CA157" s="117" t="n">
        <f aca="false">SUMIFS(الريسبي!$C$2:$C$1800,الريسبي!$A$2:$A$1800,$A157,الريسبي!$B$2:$B$1800,CA$1)</f>
        <v>0</v>
      </c>
      <c r="CB157" s="117" t="n">
        <f aca="false">SUMIFS(الريسبي!$C$2:$C$1800,الريسبي!$A$2:$A$1800,$A157,الريسبي!$B$2:$B$1800,CB$1)</f>
        <v>0</v>
      </c>
      <c r="CC157" s="117" t="n">
        <f aca="false">SUMIFS(الريسبي!$C$2:$C$1800,الريسبي!$A$2:$A$1800,$A157,الريسبي!$B$2:$B$1800,CC$1)</f>
        <v>0</v>
      </c>
      <c r="CD157" s="117" t="n">
        <f aca="false">SUMIFS(الريسبي!$C$2:$C$1800,الريسبي!$A$2:$A$1800,$A157,الريسبي!$B$2:$B$1800,CD$1)</f>
        <v>0</v>
      </c>
      <c r="CE157" s="117" t="n">
        <f aca="false">SUMIFS(الريسبي!$C$2:$C$1800,الريسبي!$A$2:$A$1800,$A157,الريسبي!$B$2:$B$1800,CE$1)</f>
        <v>0</v>
      </c>
      <c r="CF157" s="117" t="n">
        <f aca="false">SUMIFS(الريسبي!$C$2:$C$1800,الريسبي!$A$2:$A$1800,$A157,الريسبي!$B$2:$B$1800,CF$1)</f>
        <v>0</v>
      </c>
      <c r="CG157" s="117" t="n">
        <f aca="false">SUMIFS(الريسبي!$C$2:$C$1800,الريسبي!$A$2:$A$1800,$A157,الريسبي!$B$2:$B$1800,CG$1)</f>
        <v>0</v>
      </c>
      <c r="CH157" s="117" t="n">
        <f aca="false">SUMIFS(الريسبي!$C$2:$C$1800,الريسبي!$A$2:$A$1800,$A157,الريسبي!$B$2:$B$1800,CH$1)</f>
        <v>0</v>
      </c>
      <c r="CI157" s="117" t="n">
        <f aca="false">SUMIFS(الريسبي!$C$2:$C$1800,الريسبي!$A$2:$A$1800,$A157,الريسبي!$B$2:$B$1800,CI$1)</f>
        <v>0</v>
      </c>
      <c r="CJ157" s="117" t="n">
        <f aca="false">SUMIFS(الريسبي!$C$2:$C$1800,الريسبي!$A$2:$A$1800,$A157,الريسبي!$B$2:$B$1800,CJ$1)</f>
        <v>0</v>
      </c>
      <c r="CK157" s="117" t="n">
        <f aca="false">SUMIFS(الريسبي!$C$2:$C$1800,الريسبي!$A$2:$A$1800,$A157,الريسبي!$B$2:$B$1800,CK$1)</f>
        <v>0</v>
      </c>
      <c r="CL157" s="117" t="n">
        <f aca="false">SUMIFS(الريسبي!$C$2:$C$1800,الريسبي!$A$2:$A$1800,$A157,الريسبي!$B$2:$B$1800,CL$1)</f>
        <v>0</v>
      </c>
    </row>
    <row r="158" customFormat="false" ht="15" hidden="false" customHeight="false" outlineLevel="0" collapsed="false">
      <c r="A158" s="116" t="str">
        <f aca="false">المنيو!B158</f>
        <v>اضافة فراخ كريسبي (فطير كبير)</v>
      </c>
      <c r="B158" s="117" t="n">
        <f aca="false">SUMIFS(الريسبي!$C$2:$C$1800,الريسبي!$A$2:$A$1800,$A158,الريسبي!$B$2:$B$1800,B$1)</f>
        <v>0</v>
      </c>
      <c r="C158" s="117" t="n">
        <f aca="false">SUMIFS(الريسبي!$C$2:$C$1800,الريسبي!$A$2:$A$1800,$A158,الريسبي!$B$2:$B$1800,C$1)</f>
        <v>0</v>
      </c>
      <c r="D158" s="117" t="n">
        <f aca="false">SUMIFS(الريسبي!$C$2:$C$1800,الريسبي!$A$2:$A$1800,$A158,الريسبي!$B$2:$B$1800,D$1)</f>
        <v>0</v>
      </c>
      <c r="E158" s="117" t="n">
        <f aca="false">SUMIFS(الريسبي!$C$2:$C$1800,الريسبي!$A$2:$A$1800,$A158,الريسبي!$B$2:$B$1800,E$1)</f>
        <v>0</v>
      </c>
      <c r="F158" s="117" t="n">
        <f aca="false">SUMIFS(الريسبي!$C$2:$C$1800,الريسبي!$A$2:$A$1800,$A158,الريسبي!$B$2:$B$1800,F$1)</f>
        <v>0</v>
      </c>
      <c r="G158" s="117" t="n">
        <f aca="false">SUMIFS(الريسبي!$C$2:$C$1800,الريسبي!$A$2:$A$1800,$A158,الريسبي!$B$2:$B$1800,G$1)</f>
        <v>0</v>
      </c>
      <c r="H158" s="117" t="n">
        <f aca="false">SUMIFS(الريسبي!$C$2:$C$1800,الريسبي!$A$2:$A$1800,$A158,الريسبي!$B$2:$B$1800,H$1)</f>
        <v>0</v>
      </c>
      <c r="I158" s="117" t="n">
        <f aca="false">SUMIFS(الريسبي!$C$2:$C$1800,الريسبي!$A$2:$A$1800,$A158,الريسبي!$B$2:$B$1800,I$1)</f>
        <v>0</v>
      </c>
      <c r="J158" s="117" t="n">
        <f aca="false">SUMIFS(الريسبي!$C$2:$C$1800,الريسبي!$A$2:$A$1800,$A158,الريسبي!$B$2:$B$1800,J$1)</f>
        <v>0</v>
      </c>
      <c r="K158" s="117" t="n">
        <f aca="false">SUMIFS(الريسبي!$C$2:$C$1800,الريسبي!$A$2:$A$1800,$A158,الريسبي!$B$2:$B$1800,K$1)</f>
        <v>0</v>
      </c>
      <c r="L158" s="117" t="n">
        <f aca="false">SUMIFS(الريسبي!$C$2:$C$1800,الريسبي!$A$2:$A$1800,$A158,الريسبي!$B$2:$B$1800,L$1)</f>
        <v>0</v>
      </c>
      <c r="M158" s="117" t="n">
        <f aca="false">SUMIFS(الريسبي!$C$2:$C$1800,الريسبي!$A$2:$A$1800,$A158,الريسبي!$B$2:$B$1800,M$1)</f>
        <v>0</v>
      </c>
      <c r="N158" s="117" t="n">
        <f aca="false">SUMIFS(الريسبي!$C$2:$C$1800,الريسبي!$A$2:$A$1800,$A158,الريسبي!$B$2:$B$1800,N$1)</f>
        <v>0</v>
      </c>
      <c r="O158" s="117" t="n">
        <f aca="false">SUMIFS(الريسبي!$C$2:$C$1800,الريسبي!$A$2:$A$1800,$A158,الريسبي!$B$2:$B$1800,O$1)</f>
        <v>0</v>
      </c>
      <c r="P158" s="117" t="n">
        <f aca="false">SUMIFS(الريسبي!$C$2:$C$1800,الريسبي!$A$2:$A$1800,$A158,الريسبي!$B$2:$B$1800,P$1)</f>
        <v>0</v>
      </c>
      <c r="Q158" s="117" t="n">
        <f aca="false">SUMIFS(الريسبي!$C$2:$C$1800,الريسبي!$A$2:$A$1800,$A158,الريسبي!$B$2:$B$1800,Q$1)</f>
        <v>0</v>
      </c>
      <c r="R158" s="117" t="n">
        <f aca="false">SUMIFS(الريسبي!$C$2:$C$1800,الريسبي!$A$2:$A$1800,$A158,الريسبي!$B$2:$B$1800,R$1)</f>
        <v>1</v>
      </c>
      <c r="S158" s="117" t="n">
        <f aca="false">SUMIFS(الريسبي!$C$2:$C$1800,الريسبي!$A$2:$A$1800,$A158,الريسبي!$B$2:$B$1800,S$1)</f>
        <v>0</v>
      </c>
      <c r="T158" s="117" t="n">
        <f aca="false">SUMIFS(الريسبي!$C$2:$C$1800,الريسبي!$A$2:$A$1800,$A158,الريسبي!$B$2:$B$1800,T$1)</f>
        <v>0</v>
      </c>
      <c r="U158" s="117" t="n">
        <f aca="false">SUMIFS(الريسبي!$C$2:$C$1800,الريسبي!$A$2:$A$1800,$A158,الريسبي!$B$2:$B$1800,U$1)</f>
        <v>0</v>
      </c>
      <c r="V158" s="117" t="n">
        <f aca="false">SUMIFS(الريسبي!$C$2:$C$1800,الريسبي!$A$2:$A$1800,$A158,الريسبي!$B$2:$B$1800,V$1)+1.5*(SUMIFS(الريسبي!$C$2:$C$1800,الريسبي!$A$2:$A$1800,$A158,الريسبي!$B$2:$B$1800,"برسيون موتزريلا بيتزا كبير"))</f>
        <v>0</v>
      </c>
      <c r="W158" s="117" t="n">
        <f aca="false">0</f>
        <v>0</v>
      </c>
      <c r="X158" s="117" t="n">
        <f aca="false">SUMIFS(الريسبي!$C$2:$C$1800,الريسبي!$A$2:$A$1800,$A158,الريسبي!$B$2:$B$1800,X$1)+1.5*(SUMIFS(الريسبي!$C$2:$C$1800,الريسبي!$A$2:$A$1800,$A158,الريسبي!$B$2:$B$1800,"برسيون موتزريلا فطير كبير"))</f>
        <v>0</v>
      </c>
      <c r="Y158" s="117" t="n">
        <f aca="false">0</f>
        <v>0</v>
      </c>
      <c r="Z158" s="117" t="n">
        <f aca="false">SUMIFS(الريسبي!$C$2:$C$1800,الريسبي!$A$2:$A$1800,$A158,الريسبي!$B$2:$B$1800,Z$1)</f>
        <v>0</v>
      </c>
      <c r="AA158" s="117" t="n">
        <f aca="false">SUMIFS(الريسبي!$C$2:$C$1800,الريسبي!$A$2:$A$1800,$A158,الريسبي!$B$2:$B$1800,AA$1)</f>
        <v>0</v>
      </c>
      <c r="AB158" s="117" t="n">
        <f aca="false">SUMIFS(الريسبي!$C$2:$C$1800,الريسبي!$A$2:$A$1800,$A158,الريسبي!$B$2:$B$1800,AB$1)</f>
        <v>0</v>
      </c>
      <c r="AC158" s="117" t="n">
        <f aca="false">SUMIFS(الريسبي!$C$2:$C$1800,الريسبي!$A$2:$A$1800,$A158,الريسبي!$B$2:$B$1800,AC$1)</f>
        <v>0</v>
      </c>
      <c r="AD158" s="117" t="n">
        <f aca="false">SUMIFS(الريسبي!$C$2:$C$1800,الريسبي!$A$2:$A$1800,$A158,الريسبي!$B$2:$B$1800,AD$1)</f>
        <v>0</v>
      </c>
      <c r="AE158" s="117" t="n">
        <f aca="false">SUMIFS(الريسبي!$C$2:$C$1800,الريسبي!$A$2:$A$1800,$A158,الريسبي!$B$2:$B$1800,AE$1)</f>
        <v>0</v>
      </c>
      <c r="AF158" s="117" t="n">
        <f aca="false">SUMIFS(الريسبي!$C$2:$C$1800,الريسبي!$A$2:$A$1800,$A158,الريسبي!$B$2:$B$1800,AF$1)</f>
        <v>0</v>
      </c>
      <c r="AG158" s="117" t="n">
        <f aca="false">SUMIFS(الريسبي!$C$2:$C$1800,الريسبي!$A$2:$A$1800,$A158,الريسبي!$B$2:$B$1800,AG$1)</f>
        <v>0</v>
      </c>
      <c r="AH158" s="117" t="n">
        <f aca="false">SUMIFS(الريسبي!$C$2:$C$1800,الريسبي!$A$2:$A$1800,$A158,الريسبي!$B$2:$B$1800,AH$1)</f>
        <v>0</v>
      </c>
      <c r="AI158" s="117" t="n">
        <f aca="false">SUMIFS(الريسبي!$C$2:$C$1800,الريسبي!$A$2:$A$1800,$A158,الريسبي!$B$2:$B$1800,AI$1)</f>
        <v>0</v>
      </c>
      <c r="AJ158" s="117" t="n">
        <f aca="false">SUMIFS(الريسبي!$C$2:$C$1800,الريسبي!$A$2:$A$1800,$A158,الريسبي!$B$2:$B$1800,AJ$1)</f>
        <v>0</v>
      </c>
      <c r="AK158" s="117" t="n">
        <f aca="false">SUMIFS(الريسبي!$C$2:$C$1800,الريسبي!$A$2:$A$1800,$A158,الريسبي!$B$2:$B$1800,AK$1)</f>
        <v>0</v>
      </c>
      <c r="AL158" s="117" t="n">
        <f aca="false">SUMIFS(الريسبي!$C$2:$C$1800,الريسبي!$A$2:$A$1800,$A158,الريسبي!$B$2:$B$1800,AL$1)</f>
        <v>0</v>
      </c>
      <c r="AM158" s="117" t="n">
        <f aca="false">SUMIFS(الريسبي!$C$2:$C$1800,الريسبي!$A$2:$A$1800,$A158,الريسبي!$B$2:$B$1800,AM$1)+0.08333333333*SUMIFS(الريسبي!$C$2:$C$1800,الريسبي!$A$2:$A$1800,$A158,الريسبي!$B$2:$B$1800,"عجين كريب (مصنع بالمطعم)")+0.08333333333*SUMIFS(الريسبي!$C$2:$C$1800,الريسبي!$A$2:$A$1800,$A158,الريسبي!$B$2:$B$1800,"عجين كريب صيامي (بدون لبن)")</f>
        <v>0</v>
      </c>
      <c r="AN158" s="117" t="n">
        <f aca="false">SUMIFS(الريسبي!$C$2:$C$1800,الريسبي!$A$2:$A$1800,$A158,الريسبي!$B$2:$B$1800,AN$1)+0.004166666667*SUMIFS(الريسبي!$C$2:$C$1800,الريسبي!$A$2:$A$1800,$A158,الريسبي!$B$2:$B$1800,"عجين كريب (مصنع بالمطعم)")+0.004166666667*SUMIFS(الريسبي!$C$2:$C$1800,الريسبي!$A$2:$A$1800,$A158,الريسبي!$B$2:$B$1800,"عجين كريب صيامي (بدون لبن)")</f>
        <v>0</v>
      </c>
      <c r="AO158" s="117" t="n">
        <f aca="false">SUMIFS(الريسبي!$C$2:$C$1800,الريسبي!$A$2:$A$1800,$A158,الريسبي!$B$2:$B$1800,AO$1)</f>
        <v>0</v>
      </c>
      <c r="AP158" s="117" t="n">
        <f aca="false">SUMIFS(الريسبي!$C$2:$C$1800,الريسبي!$A$2:$A$1800,$A158,الريسبي!$B$2:$B$1800,AP$1)</f>
        <v>0</v>
      </c>
      <c r="AQ158" s="117" t="n">
        <f aca="false">SUMIFS(الريسبي!$C$2:$C$1800,الريسبي!$A$2:$A$1800,$A158,الريسبي!$B$2:$B$1800,AQ$1)+0.004166666667*SUMIFS(الريسبي!$C$2:$C$1800,الريسبي!$A$2:$A$1800,$A158,الريسبي!$B$2:$B$1800,"عجين كريب (مصنع بالمطعم)")+0.004166666667*SUMIFS(الريسبي!$C$2:$C$1800,الريسبي!$A$2:$A$1800,$A158,الريسبي!$B$2:$B$1800,"عجين كريب صيامي (بدون لبن)")</f>
        <v>0</v>
      </c>
      <c r="AR158" s="117" t="n">
        <f aca="false">SUMIFS(الريسبي!$C$2:$C$1800,الريسبي!$A$2:$A$1800,$A158,الريسبي!$B$2:$B$1800,AR$1)</f>
        <v>0</v>
      </c>
      <c r="AS158" s="117" t="n">
        <f aca="false">SUMIFS(الريسبي!$C$2:$C$1800,الريسبي!$A$2:$A$1800,$A158,الريسبي!$B$2:$B$1800,AS$1)</f>
        <v>0</v>
      </c>
      <c r="AT158" s="117" t="n">
        <f aca="false">SUMIFS(الريسبي!$C$2:$C$1800,الريسبي!$A$2:$A$1800,$A158,الريسبي!$B$2:$B$1800,AT$1)</f>
        <v>0</v>
      </c>
      <c r="AU158" s="117" t="n">
        <f aca="false">SUMIFS(الريسبي!$C$2:$C$1800,الريسبي!$A$2:$A$1800,$A158,الريسبي!$B$2:$B$1800,AU$1)</f>
        <v>0</v>
      </c>
      <c r="AV158" s="117" t="n">
        <f aca="false">SUMIFS(الريسبي!$C$2:$C$1800,الريسبي!$A$2:$A$1800,$A158,الريسبي!$B$2:$B$1800,AV$1)</f>
        <v>0</v>
      </c>
      <c r="AW158" s="117" t="n">
        <f aca="false">SUMIFS(الريسبي!$C$2:$C$1800,الريسبي!$A$2:$A$1800,$A158,الريسبي!$B$2:$B$1800,AW$1)</f>
        <v>0</v>
      </c>
      <c r="AX158" s="117" t="n">
        <f aca="false">SUMIFS(الريسبي!$C$2:$C$1800,الريسبي!$A$2:$A$1800,$A158,الريسبي!$B$2:$B$1800,AX$1)</f>
        <v>0</v>
      </c>
      <c r="AY158" s="117" t="n">
        <f aca="false">SUMIFS(الريسبي!$C$2:$C$1800,الريسبي!$A$2:$A$1800,$A158,الريسبي!$B$2:$B$1800,AY$1)</f>
        <v>0</v>
      </c>
      <c r="AZ158" s="117" t="n">
        <f aca="false">SUMIFS(الريسبي!$C$2:$C$1800,الريسبي!$A$2:$A$1800,$A158,الريسبي!$B$2:$B$1800,AZ$1)</f>
        <v>0</v>
      </c>
      <c r="BA158" s="117" t="n">
        <f aca="false">SUMIFS(الريسبي!$C$2:$C$1800,الريسبي!$A$2:$A$1800,$A158,الريسبي!$B$2:$B$1800,BA$1)</f>
        <v>0</v>
      </c>
      <c r="BB158" s="117" t="n">
        <f aca="false">SUMIFS(الريسبي!$C$2:$C$1800,الريسبي!$A$2:$A$1800,$A158,الريسبي!$B$2:$B$1800,BB$1)</f>
        <v>0</v>
      </c>
      <c r="BC158" s="117" t="n">
        <f aca="false">SUMIFS(الريسبي!$C$2:$C$1800,الريسبي!$A$2:$A$1800,$A158,الريسبي!$B$2:$B$1800,BC$1)</f>
        <v>0</v>
      </c>
      <c r="BD158" s="117" t="n">
        <f aca="false">SUMIFS(الريسبي!$C$2:$C$1800,الريسبي!$A$2:$A$1800,$A158,الريسبي!$B$2:$B$1800,BD$1)</f>
        <v>0</v>
      </c>
      <c r="BE158" s="117" t="n">
        <f aca="false">SUMIFS(الريسبي!$C$2:$C$1800,الريسبي!$A$2:$A$1800,$A158,الريسبي!$B$2:$B$1800,BE$1)</f>
        <v>0</v>
      </c>
      <c r="BF158" s="117" t="n">
        <f aca="false">SUMIFS(الريسبي!$C$2:$C$1800,الريسبي!$A$2:$A$1800,$A158,الريسبي!$B$2:$B$1800,BF$1)</f>
        <v>0</v>
      </c>
      <c r="BG158" s="117" t="n">
        <f aca="false">SUMIFS(الريسبي!$C$2:$C$1800,الريسبي!$A$2:$A$1800,$A158,الريسبي!$B$2:$B$1800,BG$1)</f>
        <v>0</v>
      </c>
      <c r="BH158" s="117" t="n">
        <f aca="false">SUMIFS(الريسبي!$C$2:$C$1800,الريسبي!$A$2:$A$1800,$A158,الريسبي!$B$2:$B$1800,BH$1)</f>
        <v>0</v>
      </c>
      <c r="BI158" s="117" t="n">
        <f aca="false">SUMIFS(الريسبي!$C$2:$C$1800,الريسبي!$A$2:$A$1800,$A158,الريسبي!$B$2:$B$1800,BI$1)</f>
        <v>0</v>
      </c>
      <c r="BJ158" s="117" t="n">
        <f aca="false">SUMIFS(الريسبي!$C$2:$C$1800,الريسبي!$A$2:$A$1800,$A158,الريسبي!$B$2:$B$1800,BJ$1)</f>
        <v>0</v>
      </c>
      <c r="BK158" s="117" t="n">
        <f aca="false">SUMIFS(الريسبي!$C$2:$C$1800,الريسبي!$A$2:$A$1800,$A158,الريسبي!$B$2:$B$1800,BK$1)</f>
        <v>0</v>
      </c>
      <c r="BL158" s="117" t="n">
        <f aca="false">SUMIFS(الريسبي!$C$2:$C$1800,الريسبي!$A$2:$A$1800,$A158,الريسبي!$B$2:$B$1800,BL$1)</f>
        <v>0</v>
      </c>
      <c r="BM158" s="117" t="n">
        <f aca="false">SUMIFS(الريسبي!$C$2:$C$1800,الريسبي!$A$2:$A$1800,$A158,الريسبي!$B$2:$B$1800,BM$1)</f>
        <v>0</v>
      </c>
      <c r="BN158" s="117" t="n">
        <f aca="false">SUMIFS(الريسبي!$C$2:$C$1800,الريسبي!$A$2:$A$1800,$A158,الريسبي!$B$2:$B$1800,BN$1)</f>
        <v>0</v>
      </c>
      <c r="BO158" s="117" t="n">
        <f aca="false">SUMIFS(الريسبي!$C$2:$C$1800,الريسبي!$A$2:$A$1800,$A158,الريسبي!$B$2:$B$1800,BO$1)</f>
        <v>0</v>
      </c>
      <c r="BP158" s="117" t="n">
        <f aca="false">SUMIFS(الريسبي!$C$2:$C$1800,الريسبي!$A$2:$A$1800,$A158,الريسبي!$B$2:$B$1800,BP$1)</f>
        <v>0</v>
      </c>
      <c r="BQ158" s="117" t="n">
        <f aca="false">SUMIFS(الريسبي!$C$2:$C$1800,الريسبي!$A$2:$A$1800,$A158,الريسبي!$B$2:$B$1800,BQ$1)+0.17*SUMIFS(الريسبي!$C$2:$C$1800,الريسبي!$A$2:$A$1800,$A158,الريسبي!$B$2:$B$1800,"كاسترد مصنع (خليط بودر + لبن)")+0.17*SUMIFS(الريسبي!$C$2:$C$1800,الريسبي!$A$2:$A$1800,$A158,الريسبي!$B$2:$B$1800,"كاسترد مصنع صيامي (بدون لبن)")</f>
        <v>0</v>
      </c>
      <c r="BR158" s="117" t="n">
        <f aca="false">SUMIFS(الريسبي!$C$2:$C$1800,الريسبي!$A$2:$A$1800,$A158,الريسبي!$B$2:$B$1800,BR$1)</f>
        <v>0</v>
      </c>
      <c r="BS158" s="117" t="n">
        <f aca="false">SUMIFS(الريسبي!$C$2:$C$1800,الريسبي!$A$2:$A$1800,$A158,الريسبي!$B$2:$B$1800,BS$1)</f>
        <v>0</v>
      </c>
      <c r="BT158" s="117" t="n">
        <f aca="false">SUMIFS(الريسبي!$C$2:$C$1800,الريسبي!$A$2:$A$1800,$A158,الريسبي!$B$2:$B$1800,BT$1)</f>
        <v>0</v>
      </c>
      <c r="BU158" s="117" t="n">
        <f aca="false">SUMIFS(الريسبي!$C$2:$C$1800,الريسبي!$A$2:$A$1800,$A158,الريسبي!$B$2:$B$1800,BU$1)+0.4*SUMIFS(الريسبي!$C$2:$C$1800,الريسبي!$A$2:$A$1800,$A158,الريسبي!$B$2:$B$1800,"كاسترد مصنع (خليط بودر + لبن)")+0.03333333333*SUMIFS(الريسبي!$C$2:$C$1800,الريسبي!$A$2:$A$1800,$A158,الريسبي!$B$2:$B$1800,"عجين كريب (مصنع بالمطعم)")</f>
        <v>0</v>
      </c>
      <c r="BV158" s="117" t="n">
        <f aca="false">SUMIFS(الريسبي!$C$2:$C$1800,الريسبي!$A$2:$A$1800,$A158,الريسبي!$B$2:$B$1800,BV$1)</f>
        <v>0</v>
      </c>
      <c r="BW158" s="117" t="n">
        <f aca="false">SUMIFS(الريسبي!$C$2:$C$1800,الريسبي!$A$2:$A$1800,$A158,الريسبي!$B$2:$B$1800,BW$1)</f>
        <v>0</v>
      </c>
      <c r="BX158" s="117" t="n">
        <f aca="false">SUMIFS(الريسبي!$C$2:$C$1800,الريسبي!$A$2:$A$1800,$A158,الريسبي!$B$2:$B$1800,BX$1)</f>
        <v>0</v>
      </c>
      <c r="BY158" s="117" t="n">
        <f aca="false">SUMIFS(الريسبي!$C$2:$C$1800,الريسبي!$A$2:$A$1800,$A158,الريسبي!$B$2:$B$1800,BY$1)</f>
        <v>0</v>
      </c>
      <c r="BZ158" s="117" t="n">
        <f aca="false">SUMIFS(الريسبي!$C$2:$C$1800,الريسبي!$A$2:$A$1800,$A158,الريسبي!$B$2:$B$1800,BZ$1)</f>
        <v>0</v>
      </c>
      <c r="CA158" s="117" t="n">
        <f aca="false">SUMIFS(الريسبي!$C$2:$C$1800,الريسبي!$A$2:$A$1800,$A158,الريسبي!$B$2:$B$1800,CA$1)</f>
        <v>0</v>
      </c>
      <c r="CB158" s="117" t="n">
        <f aca="false">SUMIFS(الريسبي!$C$2:$C$1800,الريسبي!$A$2:$A$1800,$A158,الريسبي!$B$2:$B$1800,CB$1)</f>
        <v>0</v>
      </c>
      <c r="CC158" s="117" t="n">
        <f aca="false">SUMIFS(الريسبي!$C$2:$C$1800,الريسبي!$A$2:$A$1800,$A158,الريسبي!$B$2:$B$1800,CC$1)</f>
        <v>0</v>
      </c>
      <c r="CD158" s="117" t="n">
        <f aca="false">SUMIFS(الريسبي!$C$2:$C$1800,الريسبي!$A$2:$A$1800,$A158,الريسبي!$B$2:$B$1800,CD$1)</f>
        <v>0</v>
      </c>
      <c r="CE158" s="117" t="n">
        <f aca="false">SUMIFS(الريسبي!$C$2:$C$1800,الريسبي!$A$2:$A$1800,$A158,الريسبي!$B$2:$B$1800,CE$1)</f>
        <v>0</v>
      </c>
      <c r="CF158" s="117" t="n">
        <f aca="false">SUMIFS(الريسبي!$C$2:$C$1800,الريسبي!$A$2:$A$1800,$A158,الريسبي!$B$2:$B$1800,CF$1)</f>
        <v>0</v>
      </c>
      <c r="CG158" s="117" t="n">
        <f aca="false">SUMIFS(الريسبي!$C$2:$C$1800,الريسبي!$A$2:$A$1800,$A158,الريسبي!$B$2:$B$1800,CG$1)</f>
        <v>0</v>
      </c>
      <c r="CH158" s="117" t="n">
        <f aca="false">SUMIFS(الريسبي!$C$2:$C$1800,الريسبي!$A$2:$A$1800,$A158,الريسبي!$B$2:$B$1800,CH$1)</f>
        <v>0</v>
      </c>
      <c r="CI158" s="117" t="n">
        <f aca="false">SUMIFS(الريسبي!$C$2:$C$1800,الريسبي!$A$2:$A$1800,$A158,الريسبي!$B$2:$B$1800,CI$1)</f>
        <v>0</v>
      </c>
      <c r="CJ158" s="117" t="n">
        <f aca="false">SUMIFS(الريسبي!$C$2:$C$1800,الريسبي!$A$2:$A$1800,$A158,الريسبي!$B$2:$B$1800,CJ$1)</f>
        <v>0</v>
      </c>
      <c r="CK158" s="117" t="n">
        <f aca="false">SUMIFS(الريسبي!$C$2:$C$1800,الريسبي!$A$2:$A$1800,$A158,الريسبي!$B$2:$B$1800,CK$1)</f>
        <v>0</v>
      </c>
      <c r="CL158" s="117" t="n">
        <f aca="false">SUMIFS(الريسبي!$C$2:$C$1800,الريسبي!$A$2:$A$1800,$A158,الريسبي!$B$2:$B$1800,CL$1)</f>
        <v>0</v>
      </c>
    </row>
    <row r="159" customFormat="false" ht="15" hidden="false" customHeight="false" outlineLevel="0" collapsed="false">
      <c r="A159" s="116" t="str">
        <f aca="false">المنيو!B159</f>
        <v>اضافة مشروم (بيتزا وسط)</v>
      </c>
      <c r="B159" s="117" t="n">
        <f aca="false">SUMIFS(الريسبي!$C$2:$C$1800,الريسبي!$A$2:$A$1800,$A159,الريسبي!$B$2:$B$1800,B$1)</f>
        <v>0</v>
      </c>
      <c r="C159" s="117" t="n">
        <f aca="false">SUMIFS(الريسبي!$C$2:$C$1800,الريسبي!$A$2:$A$1800,$A159,الريسبي!$B$2:$B$1800,C$1)</f>
        <v>0</v>
      </c>
      <c r="D159" s="117" t="n">
        <f aca="false">SUMIFS(الريسبي!$C$2:$C$1800,الريسبي!$A$2:$A$1800,$A159,الريسبي!$B$2:$B$1800,D$1)</f>
        <v>0</v>
      </c>
      <c r="E159" s="117" t="n">
        <f aca="false">SUMIFS(الريسبي!$C$2:$C$1800,الريسبي!$A$2:$A$1800,$A159,الريسبي!$B$2:$B$1800,E$1)</f>
        <v>0</v>
      </c>
      <c r="F159" s="117" t="n">
        <f aca="false">SUMIFS(الريسبي!$C$2:$C$1800,الريسبي!$A$2:$A$1800,$A159,الريسبي!$B$2:$B$1800,F$1)</f>
        <v>0</v>
      </c>
      <c r="G159" s="117" t="n">
        <f aca="false">SUMIFS(الريسبي!$C$2:$C$1800,الريسبي!$A$2:$A$1800,$A159,الريسبي!$B$2:$B$1800,G$1)</f>
        <v>0</v>
      </c>
      <c r="H159" s="117" t="n">
        <f aca="false">SUMIFS(الريسبي!$C$2:$C$1800,الريسبي!$A$2:$A$1800,$A159,الريسبي!$B$2:$B$1800,H$1)</f>
        <v>0</v>
      </c>
      <c r="I159" s="117" t="n">
        <f aca="false">SUMIFS(الريسبي!$C$2:$C$1800,الريسبي!$A$2:$A$1800,$A159,الريسبي!$B$2:$B$1800,I$1)</f>
        <v>0</v>
      </c>
      <c r="J159" s="117" t="n">
        <f aca="false">SUMIFS(الريسبي!$C$2:$C$1800,الريسبي!$A$2:$A$1800,$A159,الريسبي!$B$2:$B$1800,J$1)</f>
        <v>0</v>
      </c>
      <c r="K159" s="117" t="n">
        <f aca="false">SUMIFS(الريسبي!$C$2:$C$1800,الريسبي!$A$2:$A$1800,$A159,الريسبي!$B$2:$B$1800,K$1)</f>
        <v>0</v>
      </c>
      <c r="L159" s="117" t="n">
        <f aca="false">SUMIFS(الريسبي!$C$2:$C$1800,الريسبي!$A$2:$A$1800,$A159,الريسبي!$B$2:$B$1800,L$1)</f>
        <v>0</v>
      </c>
      <c r="M159" s="117" t="n">
        <f aca="false">SUMIFS(الريسبي!$C$2:$C$1800,الريسبي!$A$2:$A$1800,$A159,الريسبي!$B$2:$B$1800,M$1)</f>
        <v>0</v>
      </c>
      <c r="N159" s="117" t="n">
        <f aca="false">SUMIFS(الريسبي!$C$2:$C$1800,الريسبي!$A$2:$A$1800,$A159,الريسبي!$B$2:$B$1800,N$1)</f>
        <v>0</v>
      </c>
      <c r="O159" s="117" t="n">
        <f aca="false">SUMIFS(الريسبي!$C$2:$C$1800,الريسبي!$A$2:$A$1800,$A159,الريسبي!$B$2:$B$1800,O$1)</f>
        <v>0</v>
      </c>
      <c r="P159" s="117" t="n">
        <f aca="false">SUMIFS(الريسبي!$C$2:$C$1800,الريسبي!$A$2:$A$1800,$A159,الريسبي!$B$2:$B$1800,P$1)</f>
        <v>0</v>
      </c>
      <c r="Q159" s="117" t="n">
        <f aca="false">SUMIFS(الريسبي!$C$2:$C$1800,الريسبي!$A$2:$A$1800,$A159,الريسبي!$B$2:$B$1800,Q$1)</f>
        <v>0</v>
      </c>
      <c r="R159" s="117" t="n">
        <f aca="false">SUMIFS(الريسبي!$C$2:$C$1800,الريسبي!$A$2:$A$1800,$A159,الريسبي!$B$2:$B$1800,R$1)</f>
        <v>0</v>
      </c>
      <c r="S159" s="117" t="n">
        <f aca="false">SUMIFS(الريسبي!$C$2:$C$1800,الريسبي!$A$2:$A$1800,$A159,الريسبي!$B$2:$B$1800,S$1)</f>
        <v>0</v>
      </c>
      <c r="T159" s="117" t="n">
        <f aca="false">SUMIFS(الريسبي!$C$2:$C$1800,الريسبي!$A$2:$A$1800,$A159,الريسبي!$B$2:$B$1800,T$1)</f>
        <v>0</v>
      </c>
      <c r="U159" s="117" t="n">
        <f aca="false">SUMIFS(الريسبي!$C$2:$C$1800,الريسبي!$A$2:$A$1800,$A159,الريسبي!$B$2:$B$1800,U$1)</f>
        <v>0</v>
      </c>
      <c r="V159" s="117" t="n">
        <f aca="false">SUMIFS(الريسبي!$C$2:$C$1800,الريسبي!$A$2:$A$1800,$A159,الريسبي!$B$2:$B$1800,V$1)+1.5*(SUMIFS(الريسبي!$C$2:$C$1800,الريسبي!$A$2:$A$1800,$A159,الريسبي!$B$2:$B$1800,"برسيون موتزريلا بيتزا كبير"))</f>
        <v>0</v>
      </c>
      <c r="W159" s="117" t="n">
        <f aca="false">0</f>
        <v>0</v>
      </c>
      <c r="X159" s="117" t="n">
        <f aca="false">SUMIFS(الريسبي!$C$2:$C$1800,الريسبي!$A$2:$A$1800,$A159,الريسبي!$B$2:$B$1800,X$1)+1.5*(SUMIFS(الريسبي!$C$2:$C$1800,الريسبي!$A$2:$A$1800,$A159,الريسبي!$B$2:$B$1800,"برسيون موتزريلا فطير كبير"))</f>
        <v>0</v>
      </c>
      <c r="Y159" s="117" t="n">
        <f aca="false">0</f>
        <v>0</v>
      </c>
      <c r="Z159" s="117" t="n">
        <f aca="false">SUMIFS(الريسبي!$C$2:$C$1800,الريسبي!$A$2:$A$1800,$A159,الريسبي!$B$2:$B$1800,Z$1)</f>
        <v>0</v>
      </c>
      <c r="AA159" s="117" t="n">
        <f aca="false">SUMIFS(الريسبي!$C$2:$C$1800,الريسبي!$A$2:$A$1800,$A159,الريسبي!$B$2:$B$1800,AA$1)</f>
        <v>0</v>
      </c>
      <c r="AB159" s="117" t="n">
        <f aca="false">SUMIFS(الريسبي!$C$2:$C$1800,الريسبي!$A$2:$A$1800,$A159,الريسبي!$B$2:$B$1800,AB$1)</f>
        <v>0</v>
      </c>
      <c r="AC159" s="117" t="n">
        <f aca="false">SUMIFS(الريسبي!$C$2:$C$1800,الريسبي!$A$2:$A$1800,$A159,الريسبي!$B$2:$B$1800,AC$1)</f>
        <v>0</v>
      </c>
      <c r="AD159" s="117" t="n">
        <f aca="false">SUMIFS(الريسبي!$C$2:$C$1800,الريسبي!$A$2:$A$1800,$A159,الريسبي!$B$2:$B$1800,AD$1)</f>
        <v>0</v>
      </c>
      <c r="AE159" s="117" t="n">
        <f aca="false">SUMIFS(الريسبي!$C$2:$C$1800,الريسبي!$A$2:$A$1800,$A159,الريسبي!$B$2:$B$1800,AE$1)</f>
        <v>0</v>
      </c>
      <c r="AF159" s="117" t="n">
        <f aca="false">SUMIFS(الريسبي!$C$2:$C$1800,الريسبي!$A$2:$A$1800,$A159,الريسبي!$B$2:$B$1800,AF$1)</f>
        <v>0</v>
      </c>
      <c r="AG159" s="117" t="n">
        <f aca="false">SUMIFS(الريسبي!$C$2:$C$1800,الريسبي!$A$2:$A$1800,$A159,الريسبي!$B$2:$B$1800,AG$1)</f>
        <v>0</v>
      </c>
      <c r="AH159" s="117" t="n">
        <f aca="false">SUMIFS(الريسبي!$C$2:$C$1800,الريسبي!$A$2:$A$1800,$A159,الريسبي!$B$2:$B$1800,AH$1)</f>
        <v>0</v>
      </c>
      <c r="AI159" s="117" t="n">
        <f aca="false">SUMIFS(الريسبي!$C$2:$C$1800,الريسبي!$A$2:$A$1800,$A159,الريسبي!$B$2:$B$1800,AI$1)</f>
        <v>0</v>
      </c>
      <c r="AJ159" s="117" t="n">
        <f aca="false">SUMIFS(الريسبي!$C$2:$C$1800,الريسبي!$A$2:$A$1800,$A159,الريسبي!$B$2:$B$1800,AJ$1)</f>
        <v>0</v>
      </c>
      <c r="AK159" s="117" t="n">
        <f aca="false">SUMIFS(الريسبي!$C$2:$C$1800,الريسبي!$A$2:$A$1800,$A159,الريسبي!$B$2:$B$1800,AK$1)</f>
        <v>0</v>
      </c>
      <c r="AL159" s="117" t="n">
        <f aca="false">SUMIFS(الريسبي!$C$2:$C$1800,الريسبي!$A$2:$A$1800,$A159,الريسبي!$B$2:$B$1800,AL$1)</f>
        <v>0</v>
      </c>
      <c r="AM159" s="117" t="n">
        <f aca="false">SUMIFS(الريسبي!$C$2:$C$1800,الريسبي!$A$2:$A$1800,$A159,الريسبي!$B$2:$B$1800,AM$1)+0.08333333333*SUMIFS(الريسبي!$C$2:$C$1800,الريسبي!$A$2:$A$1800,$A159,الريسبي!$B$2:$B$1800,"عجين كريب (مصنع بالمطعم)")+0.08333333333*SUMIFS(الريسبي!$C$2:$C$1800,الريسبي!$A$2:$A$1800,$A159,الريسبي!$B$2:$B$1800,"عجين كريب صيامي (بدون لبن)")</f>
        <v>0</v>
      </c>
      <c r="AN159" s="117" t="n">
        <f aca="false">SUMIFS(الريسبي!$C$2:$C$1800,الريسبي!$A$2:$A$1800,$A159,الريسبي!$B$2:$B$1800,AN$1)+0.004166666667*SUMIFS(الريسبي!$C$2:$C$1800,الريسبي!$A$2:$A$1800,$A159,الريسبي!$B$2:$B$1800,"عجين كريب (مصنع بالمطعم)")+0.004166666667*SUMIFS(الريسبي!$C$2:$C$1800,الريسبي!$A$2:$A$1800,$A159,الريسبي!$B$2:$B$1800,"عجين كريب صيامي (بدون لبن)")</f>
        <v>0</v>
      </c>
      <c r="AO159" s="117" t="n">
        <f aca="false">SUMIFS(الريسبي!$C$2:$C$1800,الريسبي!$A$2:$A$1800,$A159,الريسبي!$B$2:$B$1800,AO$1)</f>
        <v>0</v>
      </c>
      <c r="AP159" s="117" t="n">
        <f aca="false">SUMIFS(الريسبي!$C$2:$C$1800,الريسبي!$A$2:$A$1800,$A159,الريسبي!$B$2:$B$1800,AP$1)</f>
        <v>0</v>
      </c>
      <c r="AQ159" s="117" t="n">
        <f aca="false">SUMIFS(الريسبي!$C$2:$C$1800,الريسبي!$A$2:$A$1800,$A159,الريسبي!$B$2:$B$1800,AQ$1)+0.004166666667*SUMIFS(الريسبي!$C$2:$C$1800,الريسبي!$A$2:$A$1800,$A159,الريسبي!$B$2:$B$1800,"عجين كريب (مصنع بالمطعم)")+0.004166666667*SUMIFS(الريسبي!$C$2:$C$1800,الريسبي!$A$2:$A$1800,$A159,الريسبي!$B$2:$B$1800,"عجين كريب صيامي (بدون لبن)")</f>
        <v>0</v>
      </c>
      <c r="AR159" s="117" t="n">
        <f aca="false">SUMIFS(الريسبي!$C$2:$C$1800,الريسبي!$A$2:$A$1800,$A159,الريسبي!$B$2:$B$1800,AR$1)</f>
        <v>0</v>
      </c>
      <c r="AS159" s="117" t="n">
        <f aca="false">SUMIFS(الريسبي!$C$2:$C$1800,الريسبي!$A$2:$A$1800,$A159,الريسبي!$B$2:$B$1800,AS$1)</f>
        <v>0</v>
      </c>
      <c r="AT159" s="117" t="n">
        <f aca="false">SUMIFS(الريسبي!$C$2:$C$1800,الريسبي!$A$2:$A$1800,$A159,الريسبي!$B$2:$B$1800,AT$1)</f>
        <v>0</v>
      </c>
      <c r="AU159" s="117" t="n">
        <f aca="false">SUMIFS(الريسبي!$C$2:$C$1800,الريسبي!$A$2:$A$1800,$A159,الريسبي!$B$2:$B$1800,AU$1)</f>
        <v>0</v>
      </c>
      <c r="AV159" s="117" t="n">
        <f aca="false">SUMIFS(الريسبي!$C$2:$C$1800,الريسبي!$A$2:$A$1800,$A159,الريسبي!$B$2:$B$1800,AV$1)</f>
        <v>0</v>
      </c>
      <c r="AW159" s="117" t="n">
        <f aca="false">SUMIFS(الريسبي!$C$2:$C$1800,الريسبي!$A$2:$A$1800,$A159,الريسبي!$B$2:$B$1800,AW$1)</f>
        <v>0</v>
      </c>
      <c r="AX159" s="117" t="n">
        <f aca="false">SUMIFS(الريسبي!$C$2:$C$1800,الريسبي!$A$2:$A$1800,$A159,الريسبي!$B$2:$B$1800,AX$1)</f>
        <v>0</v>
      </c>
      <c r="AY159" s="117" t="n">
        <f aca="false">SUMIFS(الريسبي!$C$2:$C$1800,الريسبي!$A$2:$A$1800,$A159,الريسبي!$B$2:$B$1800,AY$1)</f>
        <v>0</v>
      </c>
      <c r="AZ159" s="117" t="n">
        <f aca="false">SUMIFS(الريسبي!$C$2:$C$1800,الريسبي!$A$2:$A$1800,$A159,الريسبي!$B$2:$B$1800,AZ$1)</f>
        <v>0</v>
      </c>
      <c r="BA159" s="117" t="n">
        <f aca="false">SUMIFS(الريسبي!$C$2:$C$1800,الريسبي!$A$2:$A$1800,$A159,الريسبي!$B$2:$B$1800,BA$1)</f>
        <v>0</v>
      </c>
      <c r="BB159" s="117" t="n">
        <f aca="false">SUMIFS(الريسبي!$C$2:$C$1800,الريسبي!$A$2:$A$1800,$A159,الريسبي!$B$2:$B$1800,BB$1)</f>
        <v>0</v>
      </c>
      <c r="BC159" s="117" t="n">
        <f aca="false">SUMIFS(الريسبي!$C$2:$C$1800,الريسبي!$A$2:$A$1800,$A159,الريسبي!$B$2:$B$1800,BC$1)</f>
        <v>0</v>
      </c>
      <c r="BD159" s="117" t="n">
        <f aca="false">SUMIFS(الريسبي!$C$2:$C$1800,الريسبي!$A$2:$A$1800,$A159,الريسبي!$B$2:$B$1800,BD$1)</f>
        <v>0</v>
      </c>
      <c r="BE159" s="117" t="n">
        <f aca="false">SUMIFS(الريسبي!$C$2:$C$1800,الريسبي!$A$2:$A$1800,$A159,الريسبي!$B$2:$B$1800,BE$1)</f>
        <v>0</v>
      </c>
      <c r="BF159" s="117" t="n">
        <f aca="false">SUMIFS(الريسبي!$C$2:$C$1800,الريسبي!$A$2:$A$1800,$A159,الريسبي!$B$2:$B$1800,BF$1)</f>
        <v>0</v>
      </c>
      <c r="BG159" s="117" t="n">
        <f aca="false">SUMIFS(الريسبي!$C$2:$C$1800,الريسبي!$A$2:$A$1800,$A159,الريسبي!$B$2:$B$1800,BG$1)</f>
        <v>0</v>
      </c>
      <c r="BH159" s="117" t="n">
        <f aca="false">SUMIFS(الريسبي!$C$2:$C$1800,الريسبي!$A$2:$A$1800,$A159,الريسبي!$B$2:$B$1800,BH$1)</f>
        <v>0</v>
      </c>
      <c r="BI159" s="117" t="n">
        <f aca="false">SUMIFS(الريسبي!$C$2:$C$1800,الريسبي!$A$2:$A$1800,$A159,الريسبي!$B$2:$B$1800,BI$1)</f>
        <v>0</v>
      </c>
      <c r="BJ159" s="117" t="n">
        <f aca="false">SUMIFS(الريسبي!$C$2:$C$1800,الريسبي!$A$2:$A$1800,$A159,الريسبي!$B$2:$B$1800,BJ$1)</f>
        <v>0</v>
      </c>
      <c r="BK159" s="117" t="n">
        <f aca="false">SUMIFS(الريسبي!$C$2:$C$1800,الريسبي!$A$2:$A$1800,$A159,الريسبي!$B$2:$B$1800,BK$1)</f>
        <v>0</v>
      </c>
      <c r="BL159" s="117" t="n">
        <f aca="false">SUMIFS(الريسبي!$C$2:$C$1800,الريسبي!$A$2:$A$1800,$A159,الريسبي!$B$2:$B$1800,BL$1)</f>
        <v>0</v>
      </c>
      <c r="BM159" s="117" t="n">
        <f aca="false">SUMIFS(الريسبي!$C$2:$C$1800,الريسبي!$A$2:$A$1800,$A159,الريسبي!$B$2:$B$1800,BM$1)</f>
        <v>0</v>
      </c>
      <c r="BN159" s="117" t="n">
        <f aca="false">SUMIFS(الريسبي!$C$2:$C$1800,الريسبي!$A$2:$A$1800,$A159,الريسبي!$B$2:$B$1800,BN$1)</f>
        <v>0</v>
      </c>
      <c r="BO159" s="117" t="n">
        <f aca="false">SUMIFS(الريسبي!$C$2:$C$1800,الريسبي!$A$2:$A$1800,$A159,الريسبي!$B$2:$B$1800,BO$1)</f>
        <v>0</v>
      </c>
      <c r="BP159" s="117" t="n">
        <f aca="false">SUMIFS(الريسبي!$C$2:$C$1800,الريسبي!$A$2:$A$1800,$A159,الريسبي!$B$2:$B$1800,BP$1)</f>
        <v>0</v>
      </c>
      <c r="BQ159" s="117" t="n">
        <f aca="false">SUMIFS(الريسبي!$C$2:$C$1800,الريسبي!$A$2:$A$1800,$A159,الريسبي!$B$2:$B$1800,BQ$1)+0.17*SUMIFS(الريسبي!$C$2:$C$1800,الريسبي!$A$2:$A$1800,$A159,الريسبي!$B$2:$B$1800,"كاسترد مصنع (خليط بودر + لبن)")+0.17*SUMIFS(الريسبي!$C$2:$C$1800,الريسبي!$A$2:$A$1800,$A159,الريسبي!$B$2:$B$1800,"كاسترد مصنع صيامي (بدون لبن)")</f>
        <v>0</v>
      </c>
      <c r="BR159" s="117" t="n">
        <f aca="false">SUMIFS(الريسبي!$C$2:$C$1800,الريسبي!$A$2:$A$1800,$A159,الريسبي!$B$2:$B$1800,BR$1)</f>
        <v>0</v>
      </c>
      <c r="BS159" s="117" t="n">
        <f aca="false">SUMIFS(الريسبي!$C$2:$C$1800,الريسبي!$A$2:$A$1800,$A159,الريسبي!$B$2:$B$1800,BS$1)</f>
        <v>0</v>
      </c>
      <c r="BT159" s="117" t="n">
        <f aca="false">SUMIFS(الريسبي!$C$2:$C$1800,الريسبي!$A$2:$A$1800,$A159,الريسبي!$B$2:$B$1800,BT$1)</f>
        <v>0</v>
      </c>
      <c r="BU159" s="117" t="n">
        <f aca="false">SUMIFS(الريسبي!$C$2:$C$1800,الريسبي!$A$2:$A$1800,$A159,الريسبي!$B$2:$B$1800,BU$1)+0.4*SUMIFS(الريسبي!$C$2:$C$1800,الريسبي!$A$2:$A$1800,$A159,الريسبي!$B$2:$B$1800,"كاسترد مصنع (خليط بودر + لبن)")+0.03333333333*SUMIFS(الريسبي!$C$2:$C$1800,الريسبي!$A$2:$A$1800,$A159,الريسبي!$B$2:$B$1800,"عجين كريب (مصنع بالمطعم)")</f>
        <v>0</v>
      </c>
      <c r="BV159" s="117" t="n">
        <f aca="false">SUMIFS(الريسبي!$C$2:$C$1800,الريسبي!$A$2:$A$1800,$A159,الريسبي!$B$2:$B$1800,BV$1)</f>
        <v>0</v>
      </c>
      <c r="BW159" s="117" t="n">
        <f aca="false">SUMIFS(الريسبي!$C$2:$C$1800,الريسبي!$A$2:$A$1800,$A159,الريسبي!$B$2:$B$1800,BW$1)</f>
        <v>0</v>
      </c>
      <c r="BX159" s="117" t="n">
        <f aca="false">SUMIFS(الريسبي!$C$2:$C$1800,الريسبي!$A$2:$A$1800,$A159,الريسبي!$B$2:$B$1800,BX$1)</f>
        <v>0.06</v>
      </c>
      <c r="BY159" s="117" t="n">
        <f aca="false">SUMIFS(الريسبي!$C$2:$C$1800,الريسبي!$A$2:$A$1800,$A159,الريسبي!$B$2:$B$1800,BY$1)</f>
        <v>0</v>
      </c>
      <c r="BZ159" s="117" t="n">
        <f aca="false">SUMIFS(الريسبي!$C$2:$C$1800,الريسبي!$A$2:$A$1800,$A159,الريسبي!$B$2:$B$1800,BZ$1)</f>
        <v>0</v>
      </c>
      <c r="CA159" s="117" t="n">
        <f aca="false">SUMIFS(الريسبي!$C$2:$C$1800,الريسبي!$A$2:$A$1800,$A159,الريسبي!$B$2:$B$1800,CA$1)</f>
        <v>0</v>
      </c>
      <c r="CB159" s="117" t="n">
        <f aca="false">SUMIFS(الريسبي!$C$2:$C$1800,الريسبي!$A$2:$A$1800,$A159,الريسبي!$B$2:$B$1800,CB$1)</f>
        <v>0</v>
      </c>
      <c r="CC159" s="117" t="n">
        <f aca="false">SUMIFS(الريسبي!$C$2:$C$1800,الريسبي!$A$2:$A$1800,$A159,الريسبي!$B$2:$B$1800,CC$1)</f>
        <v>0</v>
      </c>
      <c r="CD159" s="117" t="n">
        <f aca="false">SUMIFS(الريسبي!$C$2:$C$1800,الريسبي!$A$2:$A$1800,$A159,الريسبي!$B$2:$B$1800,CD$1)</f>
        <v>0</v>
      </c>
      <c r="CE159" s="117" t="n">
        <f aca="false">SUMIFS(الريسبي!$C$2:$C$1800,الريسبي!$A$2:$A$1800,$A159,الريسبي!$B$2:$B$1800,CE$1)</f>
        <v>0</v>
      </c>
      <c r="CF159" s="117" t="n">
        <f aca="false">SUMIFS(الريسبي!$C$2:$C$1800,الريسبي!$A$2:$A$1800,$A159,الريسبي!$B$2:$B$1800,CF$1)</f>
        <v>0</v>
      </c>
      <c r="CG159" s="117" t="n">
        <f aca="false">SUMIFS(الريسبي!$C$2:$C$1800,الريسبي!$A$2:$A$1800,$A159,الريسبي!$B$2:$B$1800,CG$1)</f>
        <v>0</v>
      </c>
      <c r="CH159" s="117" t="n">
        <f aca="false">SUMIFS(الريسبي!$C$2:$C$1800,الريسبي!$A$2:$A$1800,$A159,الريسبي!$B$2:$B$1800,CH$1)</f>
        <v>0</v>
      </c>
      <c r="CI159" s="117" t="n">
        <f aca="false">SUMIFS(الريسبي!$C$2:$C$1800,الريسبي!$A$2:$A$1800,$A159,الريسبي!$B$2:$B$1800,CI$1)</f>
        <v>0</v>
      </c>
      <c r="CJ159" s="117" t="n">
        <f aca="false">SUMIFS(الريسبي!$C$2:$C$1800,الريسبي!$A$2:$A$1800,$A159,الريسبي!$B$2:$B$1800,CJ$1)</f>
        <v>0</v>
      </c>
      <c r="CK159" s="117" t="n">
        <f aca="false">SUMIFS(الريسبي!$C$2:$C$1800,الريسبي!$A$2:$A$1800,$A159,الريسبي!$B$2:$B$1800,CK$1)</f>
        <v>0</v>
      </c>
      <c r="CL159" s="117" t="n">
        <f aca="false">SUMIFS(الريسبي!$C$2:$C$1800,الريسبي!$A$2:$A$1800,$A159,الريسبي!$B$2:$B$1800,CL$1)</f>
        <v>0</v>
      </c>
    </row>
    <row r="160" customFormat="false" ht="15" hidden="false" customHeight="false" outlineLevel="0" collapsed="false">
      <c r="A160" s="116" t="str">
        <f aca="false">المنيو!B160</f>
        <v>اضافة مشروم (بيتزا كبير)</v>
      </c>
      <c r="B160" s="117" t="n">
        <f aca="false">SUMIFS(الريسبي!$C$2:$C$1800,الريسبي!$A$2:$A$1800,$A160,الريسبي!$B$2:$B$1800,B$1)</f>
        <v>0</v>
      </c>
      <c r="C160" s="117" t="n">
        <f aca="false">SUMIFS(الريسبي!$C$2:$C$1800,الريسبي!$A$2:$A$1800,$A160,الريسبي!$B$2:$B$1800,C$1)</f>
        <v>0</v>
      </c>
      <c r="D160" s="117" t="n">
        <f aca="false">SUMIFS(الريسبي!$C$2:$C$1800,الريسبي!$A$2:$A$1800,$A160,الريسبي!$B$2:$B$1800,D$1)</f>
        <v>0</v>
      </c>
      <c r="E160" s="117" t="n">
        <f aca="false">SUMIFS(الريسبي!$C$2:$C$1800,الريسبي!$A$2:$A$1800,$A160,الريسبي!$B$2:$B$1800,E$1)</f>
        <v>0</v>
      </c>
      <c r="F160" s="117" t="n">
        <f aca="false">SUMIFS(الريسبي!$C$2:$C$1800,الريسبي!$A$2:$A$1800,$A160,الريسبي!$B$2:$B$1800,F$1)</f>
        <v>0</v>
      </c>
      <c r="G160" s="117" t="n">
        <f aca="false">SUMIFS(الريسبي!$C$2:$C$1800,الريسبي!$A$2:$A$1800,$A160,الريسبي!$B$2:$B$1800,G$1)</f>
        <v>0</v>
      </c>
      <c r="H160" s="117" t="n">
        <f aca="false">SUMIFS(الريسبي!$C$2:$C$1800,الريسبي!$A$2:$A$1800,$A160,الريسبي!$B$2:$B$1800,H$1)</f>
        <v>0</v>
      </c>
      <c r="I160" s="117" t="n">
        <f aca="false">SUMIFS(الريسبي!$C$2:$C$1800,الريسبي!$A$2:$A$1800,$A160,الريسبي!$B$2:$B$1800,I$1)</f>
        <v>0</v>
      </c>
      <c r="J160" s="117" t="n">
        <f aca="false">SUMIFS(الريسبي!$C$2:$C$1800,الريسبي!$A$2:$A$1800,$A160,الريسبي!$B$2:$B$1800,J$1)</f>
        <v>0</v>
      </c>
      <c r="K160" s="117" t="n">
        <f aca="false">SUMIFS(الريسبي!$C$2:$C$1800,الريسبي!$A$2:$A$1800,$A160,الريسبي!$B$2:$B$1800,K$1)</f>
        <v>0</v>
      </c>
      <c r="L160" s="117" t="n">
        <f aca="false">SUMIFS(الريسبي!$C$2:$C$1800,الريسبي!$A$2:$A$1800,$A160,الريسبي!$B$2:$B$1800,L$1)</f>
        <v>0</v>
      </c>
      <c r="M160" s="117" t="n">
        <f aca="false">SUMIFS(الريسبي!$C$2:$C$1800,الريسبي!$A$2:$A$1800,$A160,الريسبي!$B$2:$B$1800,M$1)</f>
        <v>0</v>
      </c>
      <c r="N160" s="117" t="n">
        <f aca="false">SUMIFS(الريسبي!$C$2:$C$1800,الريسبي!$A$2:$A$1800,$A160,الريسبي!$B$2:$B$1800,N$1)</f>
        <v>0</v>
      </c>
      <c r="O160" s="117" t="n">
        <f aca="false">SUMIFS(الريسبي!$C$2:$C$1800,الريسبي!$A$2:$A$1800,$A160,الريسبي!$B$2:$B$1800,O$1)</f>
        <v>0</v>
      </c>
      <c r="P160" s="117" t="n">
        <f aca="false">SUMIFS(الريسبي!$C$2:$C$1800,الريسبي!$A$2:$A$1800,$A160,الريسبي!$B$2:$B$1800,P$1)</f>
        <v>0</v>
      </c>
      <c r="Q160" s="117" t="n">
        <f aca="false">SUMIFS(الريسبي!$C$2:$C$1800,الريسبي!$A$2:$A$1800,$A160,الريسبي!$B$2:$B$1800,Q$1)</f>
        <v>0</v>
      </c>
      <c r="R160" s="117" t="n">
        <f aca="false">SUMIFS(الريسبي!$C$2:$C$1800,الريسبي!$A$2:$A$1800,$A160,الريسبي!$B$2:$B$1800,R$1)</f>
        <v>0</v>
      </c>
      <c r="S160" s="117" t="n">
        <f aca="false">SUMIFS(الريسبي!$C$2:$C$1800,الريسبي!$A$2:$A$1800,$A160,الريسبي!$B$2:$B$1800,S$1)</f>
        <v>0</v>
      </c>
      <c r="T160" s="117" t="n">
        <f aca="false">SUMIFS(الريسبي!$C$2:$C$1800,الريسبي!$A$2:$A$1800,$A160,الريسبي!$B$2:$B$1800,T$1)</f>
        <v>0</v>
      </c>
      <c r="U160" s="117" t="n">
        <f aca="false">SUMIFS(الريسبي!$C$2:$C$1800,الريسبي!$A$2:$A$1800,$A160,الريسبي!$B$2:$B$1800,U$1)</f>
        <v>0</v>
      </c>
      <c r="V160" s="117" t="n">
        <f aca="false">SUMIFS(الريسبي!$C$2:$C$1800,الريسبي!$A$2:$A$1800,$A160,الريسبي!$B$2:$B$1800,V$1)+1.5*(SUMIFS(الريسبي!$C$2:$C$1800,الريسبي!$A$2:$A$1800,$A160,الريسبي!$B$2:$B$1800,"برسيون موتزريلا بيتزا كبير"))</f>
        <v>0</v>
      </c>
      <c r="W160" s="117" t="n">
        <f aca="false">0</f>
        <v>0</v>
      </c>
      <c r="X160" s="117" t="n">
        <f aca="false">SUMIFS(الريسبي!$C$2:$C$1800,الريسبي!$A$2:$A$1800,$A160,الريسبي!$B$2:$B$1800,X$1)+1.5*(SUMIFS(الريسبي!$C$2:$C$1800,الريسبي!$A$2:$A$1800,$A160,الريسبي!$B$2:$B$1800,"برسيون موتزريلا فطير كبير"))</f>
        <v>0</v>
      </c>
      <c r="Y160" s="117" t="n">
        <f aca="false">0</f>
        <v>0</v>
      </c>
      <c r="Z160" s="117" t="n">
        <f aca="false">SUMIFS(الريسبي!$C$2:$C$1800,الريسبي!$A$2:$A$1800,$A160,الريسبي!$B$2:$B$1800,Z$1)</f>
        <v>0</v>
      </c>
      <c r="AA160" s="117" t="n">
        <f aca="false">SUMIFS(الريسبي!$C$2:$C$1800,الريسبي!$A$2:$A$1800,$A160,الريسبي!$B$2:$B$1800,AA$1)</f>
        <v>0</v>
      </c>
      <c r="AB160" s="117" t="n">
        <f aca="false">SUMIFS(الريسبي!$C$2:$C$1800,الريسبي!$A$2:$A$1800,$A160,الريسبي!$B$2:$B$1800,AB$1)</f>
        <v>0</v>
      </c>
      <c r="AC160" s="117" t="n">
        <f aca="false">SUMIFS(الريسبي!$C$2:$C$1800,الريسبي!$A$2:$A$1800,$A160,الريسبي!$B$2:$B$1800,AC$1)</f>
        <v>0</v>
      </c>
      <c r="AD160" s="117" t="n">
        <f aca="false">SUMIFS(الريسبي!$C$2:$C$1800,الريسبي!$A$2:$A$1800,$A160,الريسبي!$B$2:$B$1800,AD$1)</f>
        <v>0</v>
      </c>
      <c r="AE160" s="117" t="n">
        <f aca="false">SUMIFS(الريسبي!$C$2:$C$1800,الريسبي!$A$2:$A$1800,$A160,الريسبي!$B$2:$B$1800,AE$1)</f>
        <v>0</v>
      </c>
      <c r="AF160" s="117" t="n">
        <f aca="false">SUMIFS(الريسبي!$C$2:$C$1800,الريسبي!$A$2:$A$1800,$A160,الريسبي!$B$2:$B$1800,AF$1)</f>
        <v>0</v>
      </c>
      <c r="AG160" s="117" t="n">
        <f aca="false">SUMIFS(الريسبي!$C$2:$C$1800,الريسبي!$A$2:$A$1800,$A160,الريسبي!$B$2:$B$1800,AG$1)</f>
        <v>0</v>
      </c>
      <c r="AH160" s="117" t="n">
        <f aca="false">SUMIFS(الريسبي!$C$2:$C$1800,الريسبي!$A$2:$A$1800,$A160,الريسبي!$B$2:$B$1800,AH$1)</f>
        <v>0</v>
      </c>
      <c r="AI160" s="117" t="n">
        <f aca="false">SUMIFS(الريسبي!$C$2:$C$1800,الريسبي!$A$2:$A$1800,$A160,الريسبي!$B$2:$B$1800,AI$1)</f>
        <v>0</v>
      </c>
      <c r="AJ160" s="117" t="n">
        <f aca="false">SUMIFS(الريسبي!$C$2:$C$1800,الريسبي!$A$2:$A$1800,$A160,الريسبي!$B$2:$B$1800,AJ$1)</f>
        <v>0</v>
      </c>
      <c r="AK160" s="117" t="n">
        <f aca="false">SUMIFS(الريسبي!$C$2:$C$1800,الريسبي!$A$2:$A$1800,$A160,الريسبي!$B$2:$B$1800,AK$1)</f>
        <v>0</v>
      </c>
      <c r="AL160" s="117" t="n">
        <f aca="false">SUMIFS(الريسبي!$C$2:$C$1800,الريسبي!$A$2:$A$1800,$A160,الريسبي!$B$2:$B$1800,AL$1)</f>
        <v>0</v>
      </c>
      <c r="AM160" s="117" t="n">
        <f aca="false">SUMIFS(الريسبي!$C$2:$C$1800,الريسبي!$A$2:$A$1800,$A160,الريسبي!$B$2:$B$1800,AM$1)+0.08333333333*SUMIFS(الريسبي!$C$2:$C$1800,الريسبي!$A$2:$A$1800,$A160,الريسبي!$B$2:$B$1800,"عجين كريب (مصنع بالمطعم)")+0.08333333333*SUMIFS(الريسبي!$C$2:$C$1800,الريسبي!$A$2:$A$1800,$A160,الريسبي!$B$2:$B$1800,"عجين كريب صيامي (بدون لبن)")</f>
        <v>0</v>
      </c>
      <c r="AN160" s="117" t="n">
        <f aca="false">SUMIFS(الريسبي!$C$2:$C$1800,الريسبي!$A$2:$A$1800,$A160,الريسبي!$B$2:$B$1800,AN$1)+0.004166666667*SUMIFS(الريسبي!$C$2:$C$1800,الريسبي!$A$2:$A$1800,$A160,الريسبي!$B$2:$B$1800,"عجين كريب (مصنع بالمطعم)")+0.004166666667*SUMIFS(الريسبي!$C$2:$C$1800,الريسبي!$A$2:$A$1800,$A160,الريسبي!$B$2:$B$1800,"عجين كريب صيامي (بدون لبن)")</f>
        <v>0</v>
      </c>
      <c r="AO160" s="117" t="n">
        <f aca="false">SUMIFS(الريسبي!$C$2:$C$1800,الريسبي!$A$2:$A$1800,$A160,الريسبي!$B$2:$B$1800,AO$1)</f>
        <v>0</v>
      </c>
      <c r="AP160" s="117" t="n">
        <f aca="false">SUMIFS(الريسبي!$C$2:$C$1800,الريسبي!$A$2:$A$1800,$A160,الريسبي!$B$2:$B$1800,AP$1)</f>
        <v>0</v>
      </c>
      <c r="AQ160" s="117" t="n">
        <f aca="false">SUMIFS(الريسبي!$C$2:$C$1800,الريسبي!$A$2:$A$1800,$A160,الريسبي!$B$2:$B$1800,AQ$1)+0.004166666667*SUMIFS(الريسبي!$C$2:$C$1800,الريسبي!$A$2:$A$1800,$A160,الريسبي!$B$2:$B$1800,"عجين كريب (مصنع بالمطعم)")+0.004166666667*SUMIFS(الريسبي!$C$2:$C$1800,الريسبي!$A$2:$A$1800,$A160,الريسبي!$B$2:$B$1800,"عجين كريب صيامي (بدون لبن)")</f>
        <v>0</v>
      </c>
      <c r="AR160" s="117" t="n">
        <f aca="false">SUMIFS(الريسبي!$C$2:$C$1800,الريسبي!$A$2:$A$1800,$A160,الريسبي!$B$2:$B$1800,AR$1)</f>
        <v>0</v>
      </c>
      <c r="AS160" s="117" t="n">
        <f aca="false">SUMIFS(الريسبي!$C$2:$C$1800,الريسبي!$A$2:$A$1800,$A160,الريسبي!$B$2:$B$1800,AS$1)</f>
        <v>0</v>
      </c>
      <c r="AT160" s="117" t="n">
        <f aca="false">SUMIFS(الريسبي!$C$2:$C$1800,الريسبي!$A$2:$A$1800,$A160,الريسبي!$B$2:$B$1800,AT$1)</f>
        <v>0</v>
      </c>
      <c r="AU160" s="117" t="n">
        <f aca="false">SUMIFS(الريسبي!$C$2:$C$1800,الريسبي!$A$2:$A$1800,$A160,الريسبي!$B$2:$B$1800,AU$1)</f>
        <v>0</v>
      </c>
      <c r="AV160" s="117" t="n">
        <f aca="false">SUMIFS(الريسبي!$C$2:$C$1800,الريسبي!$A$2:$A$1800,$A160,الريسبي!$B$2:$B$1800,AV$1)</f>
        <v>0</v>
      </c>
      <c r="AW160" s="117" t="n">
        <f aca="false">SUMIFS(الريسبي!$C$2:$C$1800,الريسبي!$A$2:$A$1800,$A160,الريسبي!$B$2:$B$1800,AW$1)</f>
        <v>0</v>
      </c>
      <c r="AX160" s="117" t="n">
        <f aca="false">SUMIFS(الريسبي!$C$2:$C$1800,الريسبي!$A$2:$A$1800,$A160,الريسبي!$B$2:$B$1800,AX$1)</f>
        <v>0</v>
      </c>
      <c r="AY160" s="117" t="n">
        <f aca="false">SUMIFS(الريسبي!$C$2:$C$1800,الريسبي!$A$2:$A$1800,$A160,الريسبي!$B$2:$B$1800,AY$1)</f>
        <v>0</v>
      </c>
      <c r="AZ160" s="117" t="n">
        <f aca="false">SUMIFS(الريسبي!$C$2:$C$1800,الريسبي!$A$2:$A$1800,$A160,الريسبي!$B$2:$B$1800,AZ$1)</f>
        <v>0</v>
      </c>
      <c r="BA160" s="117" t="n">
        <f aca="false">SUMIFS(الريسبي!$C$2:$C$1800,الريسبي!$A$2:$A$1800,$A160,الريسبي!$B$2:$B$1800,BA$1)</f>
        <v>0</v>
      </c>
      <c r="BB160" s="117" t="n">
        <f aca="false">SUMIFS(الريسبي!$C$2:$C$1800,الريسبي!$A$2:$A$1800,$A160,الريسبي!$B$2:$B$1800,BB$1)</f>
        <v>0</v>
      </c>
      <c r="BC160" s="117" t="n">
        <f aca="false">SUMIFS(الريسبي!$C$2:$C$1800,الريسبي!$A$2:$A$1800,$A160,الريسبي!$B$2:$B$1800,BC$1)</f>
        <v>0</v>
      </c>
      <c r="BD160" s="117" t="n">
        <f aca="false">SUMIFS(الريسبي!$C$2:$C$1800,الريسبي!$A$2:$A$1800,$A160,الريسبي!$B$2:$B$1800,BD$1)</f>
        <v>0</v>
      </c>
      <c r="BE160" s="117" t="n">
        <f aca="false">SUMIFS(الريسبي!$C$2:$C$1800,الريسبي!$A$2:$A$1800,$A160,الريسبي!$B$2:$B$1800,BE$1)</f>
        <v>0</v>
      </c>
      <c r="BF160" s="117" t="n">
        <f aca="false">SUMIFS(الريسبي!$C$2:$C$1800,الريسبي!$A$2:$A$1800,$A160,الريسبي!$B$2:$B$1800,BF$1)</f>
        <v>0</v>
      </c>
      <c r="BG160" s="117" t="n">
        <f aca="false">SUMIFS(الريسبي!$C$2:$C$1800,الريسبي!$A$2:$A$1800,$A160,الريسبي!$B$2:$B$1800,BG$1)</f>
        <v>0</v>
      </c>
      <c r="BH160" s="117" t="n">
        <f aca="false">SUMIFS(الريسبي!$C$2:$C$1800,الريسبي!$A$2:$A$1800,$A160,الريسبي!$B$2:$B$1800,BH$1)</f>
        <v>0</v>
      </c>
      <c r="BI160" s="117" t="n">
        <f aca="false">SUMIFS(الريسبي!$C$2:$C$1800,الريسبي!$A$2:$A$1800,$A160,الريسبي!$B$2:$B$1800,BI$1)</f>
        <v>0</v>
      </c>
      <c r="BJ160" s="117" t="n">
        <f aca="false">SUMIFS(الريسبي!$C$2:$C$1800,الريسبي!$A$2:$A$1800,$A160,الريسبي!$B$2:$B$1800,BJ$1)</f>
        <v>0</v>
      </c>
      <c r="BK160" s="117" t="n">
        <f aca="false">SUMIFS(الريسبي!$C$2:$C$1800,الريسبي!$A$2:$A$1800,$A160,الريسبي!$B$2:$B$1800,BK$1)</f>
        <v>0</v>
      </c>
      <c r="BL160" s="117" t="n">
        <f aca="false">SUMIFS(الريسبي!$C$2:$C$1800,الريسبي!$A$2:$A$1800,$A160,الريسبي!$B$2:$B$1800,BL$1)</f>
        <v>0</v>
      </c>
      <c r="BM160" s="117" t="n">
        <f aca="false">SUMIFS(الريسبي!$C$2:$C$1800,الريسبي!$A$2:$A$1800,$A160,الريسبي!$B$2:$B$1800,BM$1)</f>
        <v>0</v>
      </c>
      <c r="BN160" s="117" t="n">
        <f aca="false">SUMIFS(الريسبي!$C$2:$C$1800,الريسبي!$A$2:$A$1800,$A160,الريسبي!$B$2:$B$1800,BN$1)</f>
        <v>0</v>
      </c>
      <c r="BO160" s="117" t="n">
        <f aca="false">SUMIFS(الريسبي!$C$2:$C$1800,الريسبي!$A$2:$A$1800,$A160,الريسبي!$B$2:$B$1800,BO$1)</f>
        <v>0</v>
      </c>
      <c r="BP160" s="117" t="n">
        <f aca="false">SUMIFS(الريسبي!$C$2:$C$1800,الريسبي!$A$2:$A$1800,$A160,الريسبي!$B$2:$B$1800,BP$1)</f>
        <v>0</v>
      </c>
      <c r="BQ160" s="117" t="n">
        <f aca="false">SUMIFS(الريسبي!$C$2:$C$1800,الريسبي!$A$2:$A$1800,$A160,الريسبي!$B$2:$B$1800,BQ$1)+0.17*SUMIFS(الريسبي!$C$2:$C$1800,الريسبي!$A$2:$A$1800,$A160,الريسبي!$B$2:$B$1800,"كاسترد مصنع (خليط بودر + لبن)")+0.17*SUMIFS(الريسبي!$C$2:$C$1800,الريسبي!$A$2:$A$1800,$A160,الريسبي!$B$2:$B$1800,"كاسترد مصنع صيامي (بدون لبن)")</f>
        <v>0</v>
      </c>
      <c r="BR160" s="117" t="n">
        <f aca="false">SUMIFS(الريسبي!$C$2:$C$1800,الريسبي!$A$2:$A$1800,$A160,الريسبي!$B$2:$B$1800,BR$1)</f>
        <v>0</v>
      </c>
      <c r="BS160" s="117" t="n">
        <f aca="false">SUMIFS(الريسبي!$C$2:$C$1800,الريسبي!$A$2:$A$1800,$A160,الريسبي!$B$2:$B$1800,BS$1)</f>
        <v>0</v>
      </c>
      <c r="BT160" s="117" t="n">
        <f aca="false">SUMIFS(الريسبي!$C$2:$C$1800,الريسبي!$A$2:$A$1800,$A160,الريسبي!$B$2:$B$1800,BT$1)</f>
        <v>0</v>
      </c>
      <c r="BU160" s="117" t="n">
        <f aca="false">SUMIFS(الريسبي!$C$2:$C$1800,الريسبي!$A$2:$A$1800,$A160,الريسبي!$B$2:$B$1800,BU$1)+0.4*SUMIFS(الريسبي!$C$2:$C$1800,الريسبي!$A$2:$A$1800,$A160,الريسبي!$B$2:$B$1800,"كاسترد مصنع (خليط بودر + لبن)")+0.03333333333*SUMIFS(الريسبي!$C$2:$C$1800,الريسبي!$A$2:$A$1800,$A160,الريسبي!$B$2:$B$1800,"عجين كريب (مصنع بالمطعم)")</f>
        <v>0</v>
      </c>
      <c r="BV160" s="117" t="n">
        <f aca="false">SUMIFS(الريسبي!$C$2:$C$1800,الريسبي!$A$2:$A$1800,$A160,الريسبي!$B$2:$B$1800,BV$1)</f>
        <v>0</v>
      </c>
      <c r="BW160" s="117" t="n">
        <f aca="false">SUMIFS(الريسبي!$C$2:$C$1800,الريسبي!$A$2:$A$1800,$A160,الريسبي!$B$2:$B$1800,BW$1)</f>
        <v>0</v>
      </c>
      <c r="BX160" s="117" t="n">
        <f aca="false">SUMIFS(الريسبي!$C$2:$C$1800,الريسبي!$A$2:$A$1800,$A160,الريسبي!$B$2:$B$1800,BX$1)</f>
        <v>0.09</v>
      </c>
      <c r="BY160" s="117" t="n">
        <f aca="false">SUMIFS(الريسبي!$C$2:$C$1800,الريسبي!$A$2:$A$1800,$A160,الريسبي!$B$2:$B$1800,BY$1)</f>
        <v>0</v>
      </c>
      <c r="BZ160" s="117" t="n">
        <f aca="false">SUMIFS(الريسبي!$C$2:$C$1800,الريسبي!$A$2:$A$1800,$A160,الريسبي!$B$2:$B$1800,BZ$1)</f>
        <v>0</v>
      </c>
      <c r="CA160" s="117" t="n">
        <f aca="false">SUMIFS(الريسبي!$C$2:$C$1800,الريسبي!$A$2:$A$1800,$A160,الريسبي!$B$2:$B$1800,CA$1)</f>
        <v>0</v>
      </c>
      <c r="CB160" s="117" t="n">
        <f aca="false">SUMIFS(الريسبي!$C$2:$C$1800,الريسبي!$A$2:$A$1800,$A160,الريسبي!$B$2:$B$1800,CB$1)</f>
        <v>0</v>
      </c>
      <c r="CC160" s="117" t="n">
        <f aca="false">SUMIFS(الريسبي!$C$2:$C$1800,الريسبي!$A$2:$A$1800,$A160,الريسبي!$B$2:$B$1800,CC$1)</f>
        <v>0</v>
      </c>
      <c r="CD160" s="117" t="n">
        <f aca="false">SUMIFS(الريسبي!$C$2:$C$1800,الريسبي!$A$2:$A$1800,$A160,الريسبي!$B$2:$B$1800,CD$1)</f>
        <v>0</v>
      </c>
      <c r="CE160" s="117" t="n">
        <f aca="false">SUMIFS(الريسبي!$C$2:$C$1800,الريسبي!$A$2:$A$1800,$A160,الريسبي!$B$2:$B$1800,CE$1)</f>
        <v>0</v>
      </c>
      <c r="CF160" s="117" t="n">
        <f aca="false">SUMIFS(الريسبي!$C$2:$C$1800,الريسبي!$A$2:$A$1800,$A160,الريسبي!$B$2:$B$1800,CF$1)</f>
        <v>0</v>
      </c>
      <c r="CG160" s="117" t="n">
        <f aca="false">SUMIFS(الريسبي!$C$2:$C$1800,الريسبي!$A$2:$A$1800,$A160,الريسبي!$B$2:$B$1800,CG$1)</f>
        <v>0</v>
      </c>
      <c r="CH160" s="117" t="n">
        <f aca="false">SUMIFS(الريسبي!$C$2:$C$1800,الريسبي!$A$2:$A$1800,$A160,الريسبي!$B$2:$B$1800,CH$1)</f>
        <v>0</v>
      </c>
      <c r="CI160" s="117" t="n">
        <f aca="false">SUMIFS(الريسبي!$C$2:$C$1800,الريسبي!$A$2:$A$1800,$A160,الريسبي!$B$2:$B$1800,CI$1)</f>
        <v>0</v>
      </c>
      <c r="CJ160" s="117" t="n">
        <f aca="false">SUMIFS(الريسبي!$C$2:$C$1800,الريسبي!$A$2:$A$1800,$A160,الريسبي!$B$2:$B$1800,CJ$1)</f>
        <v>0</v>
      </c>
      <c r="CK160" s="117" t="n">
        <f aca="false">SUMIFS(الريسبي!$C$2:$C$1800,الريسبي!$A$2:$A$1800,$A160,الريسبي!$B$2:$B$1800,CK$1)</f>
        <v>0</v>
      </c>
      <c r="CL160" s="117" t="n">
        <f aca="false">SUMIFS(الريسبي!$C$2:$C$1800,الريسبي!$A$2:$A$1800,$A160,الريسبي!$B$2:$B$1800,CL$1)</f>
        <v>0</v>
      </c>
    </row>
    <row r="161" customFormat="false" ht="15" hidden="false" customHeight="false" outlineLevel="0" collapsed="false">
      <c r="A161" s="116" t="str">
        <f aca="false">المنيو!B161</f>
        <v>اضافة مشروم (فطير وسط)</v>
      </c>
      <c r="B161" s="117" t="n">
        <f aca="false">SUMIFS(الريسبي!$C$2:$C$1800,الريسبي!$A$2:$A$1800,$A161,الريسبي!$B$2:$B$1800,B$1)</f>
        <v>0</v>
      </c>
      <c r="C161" s="117" t="n">
        <f aca="false">SUMIFS(الريسبي!$C$2:$C$1800,الريسبي!$A$2:$A$1800,$A161,الريسبي!$B$2:$B$1800,C$1)</f>
        <v>0</v>
      </c>
      <c r="D161" s="117" t="n">
        <f aca="false">SUMIFS(الريسبي!$C$2:$C$1800,الريسبي!$A$2:$A$1800,$A161,الريسبي!$B$2:$B$1800,D$1)</f>
        <v>0</v>
      </c>
      <c r="E161" s="117" t="n">
        <f aca="false">SUMIFS(الريسبي!$C$2:$C$1800,الريسبي!$A$2:$A$1800,$A161,الريسبي!$B$2:$B$1800,E$1)</f>
        <v>0</v>
      </c>
      <c r="F161" s="117" t="n">
        <f aca="false">SUMIFS(الريسبي!$C$2:$C$1800,الريسبي!$A$2:$A$1800,$A161,الريسبي!$B$2:$B$1800,F$1)</f>
        <v>0</v>
      </c>
      <c r="G161" s="117" t="n">
        <f aca="false">SUMIFS(الريسبي!$C$2:$C$1800,الريسبي!$A$2:$A$1800,$A161,الريسبي!$B$2:$B$1800,G$1)</f>
        <v>0</v>
      </c>
      <c r="H161" s="117" t="n">
        <f aca="false">SUMIFS(الريسبي!$C$2:$C$1800,الريسبي!$A$2:$A$1800,$A161,الريسبي!$B$2:$B$1800,H$1)</f>
        <v>0</v>
      </c>
      <c r="I161" s="117" t="n">
        <f aca="false">SUMIFS(الريسبي!$C$2:$C$1800,الريسبي!$A$2:$A$1800,$A161,الريسبي!$B$2:$B$1800,I$1)</f>
        <v>0</v>
      </c>
      <c r="J161" s="117" t="n">
        <f aca="false">SUMIFS(الريسبي!$C$2:$C$1800,الريسبي!$A$2:$A$1800,$A161,الريسبي!$B$2:$B$1800,J$1)</f>
        <v>0</v>
      </c>
      <c r="K161" s="117" t="n">
        <f aca="false">SUMIFS(الريسبي!$C$2:$C$1800,الريسبي!$A$2:$A$1800,$A161,الريسبي!$B$2:$B$1800,K$1)</f>
        <v>0</v>
      </c>
      <c r="L161" s="117" t="n">
        <f aca="false">SUMIFS(الريسبي!$C$2:$C$1800,الريسبي!$A$2:$A$1800,$A161,الريسبي!$B$2:$B$1800,L$1)</f>
        <v>0</v>
      </c>
      <c r="M161" s="117" t="n">
        <f aca="false">SUMIFS(الريسبي!$C$2:$C$1800,الريسبي!$A$2:$A$1800,$A161,الريسبي!$B$2:$B$1800,M$1)</f>
        <v>0</v>
      </c>
      <c r="N161" s="117" t="n">
        <f aca="false">SUMIFS(الريسبي!$C$2:$C$1800,الريسبي!$A$2:$A$1800,$A161,الريسبي!$B$2:$B$1800,N$1)</f>
        <v>0</v>
      </c>
      <c r="O161" s="117" t="n">
        <f aca="false">SUMIFS(الريسبي!$C$2:$C$1800,الريسبي!$A$2:$A$1800,$A161,الريسبي!$B$2:$B$1800,O$1)</f>
        <v>0</v>
      </c>
      <c r="P161" s="117" t="n">
        <f aca="false">SUMIFS(الريسبي!$C$2:$C$1800,الريسبي!$A$2:$A$1800,$A161,الريسبي!$B$2:$B$1800,P$1)</f>
        <v>0</v>
      </c>
      <c r="Q161" s="117" t="n">
        <f aca="false">SUMIFS(الريسبي!$C$2:$C$1800,الريسبي!$A$2:$A$1800,$A161,الريسبي!$B$2:$B$1800,Q$1)</f>
        <v>0</v>
      </c>
      <c r="R161" s="117" t="n">
        <f aca="false">SUMIFS(الريسبي!$C$2:$C$1800,الريسبي!$A$2:$A$1800,$A161,الريسبي!$B$2:$B$1800,R$1)</f>
        <v>0</v>
      </c>
      <c r="S161" s="117" t="n">
        <f aca="false">SUMIFS(الريسبي!$C$2:$C$1800,الريسبي!$A$2:$A$1800,$A161,الريسبي!$B$2:$B$1800,S$1)</f>
        <v>0</v>
      </c>
      <c r="T161" s="117" t="n">
        <f aca="false">SUMIFS(الريسبي!$C$2:$C$1800,الريسبي!$A$2:$A$1800,$A161,الريسبي!$B$2:$B$1800,T$1)</f>
        <v>0</v>
      </c>
      <c r="U161" s="117" t="n">
        <f aca="false">SUMIFS(الريسبي!$C$2:$C$1800,الريسبي!$A$2:$A$1800,$A161,الريسبي!$B$2:$B$1800,U$1)</f>
        <v>0</v>
      </c>
      <c r="V161" s="117" t="n">
        <f aca="false">SUMIFS(الريسبي!$C$2:$C$1800,الريسبي!$A$2:$A$1800,$A161,الريسبي!$B$2:$B$1800,V$1)+1.5*(SUMIFS(الريسبي!$C$2:$C$1800,الريسبي!$A$2:$A$1800,$A161,الريسبي!$B$2:$B$1800,"برسيون موتزريلا بيتزا كبير"))</f>
        <v>0</v>
      </c>
      <c r="W161" s="117" t="n">
        <f aca="false">0</f>
        <v>0</v>
      </c>
      <c r="X161" s="117" t="n">
        <f aca="false">SUMIFS(الريسبي!$C$2:$C$1800,الريسبي!$A$2:$A$1800,$A161,الريسبي!$B$2:$B$1800,X$1)+1.5*(SUMIFS(الريسبي!$C$2:$C$1800,الريسبي!$A$2:$A$1800,$A161,الريسبي!$B$2:$B$1800,"برسيون موتزريلا فطير كبير"))</f>
        <v>0</v>
      </c>
      <c r="Y161" s="117" t="n">
        <f aca="false">0</f>
        <v>0</v>
      </c>
      <c r="Z161" s="117" t="n">
        <f aca="false">SUMIFS(الريسبي!$C$2:$C$1800,الريسبي!$A$2:$A$1800,$A161,الريسبي!$B$2:$B$1800,Z$1)</f>
        <v>0</v>
      </c>
      <c r="AA161" s="117" t="n">
        <f aca="false">SUMIFS(الريسبي!$C$2:$C$1800,الريسبي!$A$2:$A$1800,$A161,الريسبي!$B$2:$B$1800,AA$1)</f>
        <v>0</v>
      </c>
      <c r="AB161" s="117" t="n">
        <f aca="false">SUMIFS(الريسبي!$C$2:$C$1800,الريسبي!$A$2:$A$1800,$A161,الريسبي!$B$2:$B$1800,AB$1)</f>
        <v>0</v>
      </c>
      <c r="AC161" s="117" t="n">
        <f aca="false">SUMIFS(الريسبي!$C$2:$C$1800,الريسبي!$A$2:$A$1800,$A161,الريسبي!$B$2:$B$1800,AC$1)</f>
        <v>0</v>
      </c>
      <c r="AD161" s="117" t="n">
        <f aca="false">SUMIFS(الريسبي!$C$2:$C$1800,الريسبي!$A$2:$A$1800,$A161,الريسبي!$B$2:$B$1800,AD$1)</f>
        <v>0</v>
      </c>
      <c r="AE161" s="117" t="n">
        <f aca="false">SUMIFS(الريسبي!$C$2:$C$1800,الريسبي!$A$2:$A$1800,$A161,الريسبي!$B$2:$B$1800,AE$1)</f>
        <v>0</v>
      </c>
      <c r="AF161" s="117" t="n">
        <f aca="false">SUMIFS(الريسبي!$C$2:$C$1800,الريسبي!$A$2:$A$1800,$A161,الريسبي!$B$2:$B$1800,AF$1)</f>
        <v>0</v>
      </c>
      <c r="AG161" s="117" t="n">
        <f aca="false">SUMIFS(الريسبي!$C$2:$C$1800,الريسبي!$A$2:$A$1800,$A161,الريسبي!$B$2:$B$1800,AG$1)</f>
        <v>0</v>
      </c>
      <c r="AH161" s="117" t="n">
        <f aca="false">SUMIFS(الريسبي!$C$2:$C$1800,الريسبي!$A$2:$A$1800,$A161,الريسبي!$B$2:$B$1800,AH$1)</f>
        <v>0</v>
      </c>
      <c r="AI161" s="117" t="n">
        <f aca="false">SUMIFS(الريسبي!$C$2:$C$1800,الريسبي!$A$2:$A$1800,$A161,الريسبي!$B$2:$B$1800,AI$1)</f>
        <v>0</v>
      </c>
      <c r="AJ161" s="117" t="n">
        <f aca="false">SUMIFS(الريسبي!$C$2:$C$1800,الريسبي!$A$2:$A$1800,$A161,الريسبي!$B$2:$B$1800,AJ$1)</f>
        <v>0</v>
      </c>
      <c r="AK161" s="117" t="n">
        <f aca="false">SUMIFS(الريسبي!$C$2:$C$1800,الريسبي!$A$2:$A$1800,$A161,الريسبي!$B$2:$B$1800,AK$1)</f>
        <v>0</v>
      </c>
      <c r="AL161" s="117" t="n">
        <f aca="false">SUMIFS(الريسبي!$C$2:$C$1800,الريسبي!$A$2:$A$1800,$A161,الريسبي!$B$2:$B$1800,AL$1)</f>
        <v>0</v>
      </c>
      <c r="AM161" s="117" t="n">
        <f aca="false">SUMIFS(الريسبي!$C$2:$C$1800,الريسبي!$A$2:$A$1800,$A161,الريسبي!$B$2:$B$1800,AM$1)+0.08333333333*SUMIFS(الريسبي!$C$2:$C$1800,الريسبي!$A$2:$A$1800,$A161,الريسبي!$B$2:$B$1800,"عجين كريب (مصنع بالمطعم)")+0.08333333333*SUMIFS(الريسبي!$C$2:$C$1800,الريسبي!$A$2:$A$1800,$A161,الريسبي!$B$2:$B$1800,"عجين كريب صيامي (بدون لبن)")</f>
        <v>0</v>
      </c>
      <c r="AN161" s="117" t="n">
        <f aca="false">SUMIFS(الريسبي!$C$2:$C$1800,الريسبي!$A$2:$A$1800,$A161,الريسبي!$B$2:$B$1800,AN$1)+0.004166666667*SUMIFS(الريسبي!$C$2:$C$1800,الريسبي!$A$2:$A$1800,$A161,الريسبي!$B$2:$B$1800,"عجين كريب (مصنع بالمطعم)")+0.004166666667*SUMIFS(الريسبي!$C$2:$C$1800,الريسبي!$A$2:$A$1800,$A161,الريسبي!$B$2:$B$1800,"عجين كريب صيامي (بدون لبن)")</f>
        <v>0</v>
      </c>
      <c r="AO161" s="117" t="n">
        <f aca="false">SUMIFS(الريسبي!$C$2:$C$1800,الريسبي!$A$2:$A$1800,$A161,الريسبي!$B$2:$B$1800,AO$1)</f>
        <v>0</v>
      </c>
      <c r="AP161" s="117" t="n">
        <f aca="false">SUMIFS(الريسبي!$C$2:$C$1800,الريسبي!$A$2:$A$1800,$A161,الريسبي!$B$2:$B$1800,AP$1)</f>
        <v>0</v>
      </c>
      <c r="AQ161" s="117" t="n">
        <f aca="false">SUMIFS(الريسبي!$C$2:$C$1800,الريسبي!$A$2:$A$1800,$A161,الريسبي!$B$2:$B$1800,AQ$1)+0.004166666667*SUMIFS(الريسبي!$C$2:$C$1800,الريسبي!$A$2:$A$1800,$A161,الريسبي!$B$2:$B$1800,"عجين كريب (مصنع بالمطعم)")+0.004166666667*SUMIFS(الريسبي!$C$2:$C$1800,الريسبي!$A$2:$A$1800,$A161,الريسبي!$B$2:$B$1800,"عجين كريب صيامي (بدون لبن)")</f>
        <v>0</v>
      </c>
      <c r="AR161" s="117" t="n">
        <f aca="false">SUMIFS(الريسبي!$C$2:$C$1800,الريسبي!$A$2:$A$1800,$A161,الريسبي!$B$2:$B$1800,AR$1)</f>
        <v>0</v>
      </c>
      <c r="AS161" s="117" t="n">
        <f aca="false">SUMIFS(الريسبي!$C$2:$C$1800,الريسبي!$A$2:$A$1800,$A161,الريسبي!$B$2:$B$1800,AS$1)</f>
        <v>0</v>
      </c>
      <c r="AT161" s="117" t="n">
        <f aca="false">SUMIFS(الريسبي!$C$2:$C$1800,الريسبي!$A$2:$A$1800,$A161,الريسبي!$B$2:$B$1800,AT$1)</f>
        <v>0</v>
      </c>
      <c r="AU161" s="117" t="n">
        <f aca="false">SUMIFS(الريسبي!$C$2:$C$1800,الريسبي!$A$2:$A$1800,$A161,الريسبي!$B$2:$B$1800,AU$1)</f>
        <v>0</v>
      </c>
      <c r="AV161" s="117" t="n">
        <f aca="false">SUMIFS(الريسبي!$C$2:$C$1800,الريسبي!$A$2:$A$1800,$A161,الريسبي!$B$2:$B$1800,AV$1)</f>
        <v>0</v>
      </c>
      <c r="AW161" s="117" t="n">
        <f aca="false">SUMIFS(الريسبي!$C$2:$C$1800,الريسبي!$A$2:$A$1800,$A161,الريسبي!$B$2:$B$1800,AW$1)</f>
        <v>0</v>
      </c>
      <c r="AX161" s="117" t="n">
        <f aca="false">SUMIFS(الريسبي!$C$2:$C$1800,الريسبي!$A$2:$A$1800,$A161,الريسبي!$B$2:$B$1800,AX$1)</f>
        <v>0</v>
      </c>
      <c r="AY161" s="117" t="n">
        <f aca="false">SUMIFS(الريسبي!$C$2:$C$1800,الريسبي!$A$2:$A$1800,$A161,الريسبي!$B$2:$B$1800,AY$1)</f>
        <v>0</v>
      </c>
      <c r="AZ161" s="117" t="n">
        <f aca="false">SUMIFS(الريسبي!$C$2:$C$1800,الريسبي!$A$2:$A$1800,$A161,الريسبي!$B$2:$B$1800,AZ$1)</f>
        <v>0</v>
      </c>
      <c r="BA161" s="117" t="n">
        <f aca="false">SUMIFS(الريسبي!$C$2:$C$1800,الريسبي!$A$2:$A$1800,$A161,الريسبي!$B$2:$B$1800,BA$1)</f>
        <v>0</v>
      </c>
      <c r="BB161" s="117" t="n">
        <f aca="false">SUMIFS(الريسبي!$C$2:$C$1800,الريسبي!$A$2:$A$1800,$A161,الريسبي!$B$2:$B$1800,BB$1)</f>
        <v>0</v>
      </c>
      <c r="BC161" s="117" t="n">
        <f aca="false">SUMIFS(الريسبي!$C$2:$C$1800,الريسبي!$A$2:$A$1800,$A161,الريسبي!$B$2:$B$1800,BC$1)</f>
        <v>0</v>
      </c>
      <c r="BD161" s="117" t="n">
        <f aca="false">SUMIFS(الريسبي!$C$2:$C$1800,الريسبي!$A$2:$A$1800,$A161,الريسبي!$B$2:$B$1800,BD$1)</f>
        <v>0</v>
      </c>
      <c r="BE161" s="117" t="n">
        <f aca="false">SUMIFS(الريسبي!$C$2:$C$1800,الريسبي!$A$2:$A$1800,$A161,الريسبي!$B$2:$B$1800,BE$1)</f>
        <v>0</v>
      </c>
      <c r="BF161" s="117" t="n">
        <f aca="false">SUMIFS(الريسبي!$C$2:$C$1800,الريسبي!$A$2:$A$1800,$A161,الريسبي!$B$2:$B$1800,BF$1)</f>
        <v>0</v>
      </c>
      <c r="BG161" s="117" t="n">
        <f aca="false">SUMIFS(الريسبي!$C$2:$C$1800,الريسبي!$A$2:$A$1800,$A161,الريسبي!$B$2:$B$1800,BG$1)</f>
        <v>0</v>
      </c>
      <c r="BH161" s="117" t="n">
        <f aca="false">SUMIFS(الريسبي!$C$2:$C$1800,الريسبي!$A$2:$A$1800,$A161,الريسبي!$B$2:$B$1800,BH$1)</f>
        <v>0</v>
      </c>
      <c r="BI161" s="117" t="n">
        <f aca="false">SUMIFS(الريسبي!$C$2:$C$1800,الريسبي!$A$2:$A$1800,$A161,الريسبي!$B$2:$B$1800,BI$1)</f>
        <v>0</v>
      </c>
      <c r="BJ161" s="117" t="n">
        <f aca="false">SUMIFS(الريسبي!$C$2:$C$1800,الريسبي!$A$2:$A$1800,$A161,الريسبي!$B$2:$B$1800,BJ$1)</f>
        <v>0</v>
      </c>
      <c r="BK161" s="117" t="n">
        <f aca="false">SUMIFS(الريسبي!$C$2:$C$1800,الريسبي!$A$2:$A$1800,$A161,الريسبي!$B$2:$B$1800,BK$1)</f>
        <v>0</v>
      </c>
      <c r="BL161" s="117" t="n">
        <f aca="false">SUMIFS(الريسبي!$C$2:$C$1800,الريسبي!$A$2:$A$1800,$A161,الريسبي!$B$2:$B$1800,BL$1)</f>
        <v>0</v>
      </c>
      <c r="BM161" s="117" t="n">
        <f aca="false">SUMIFS(الريسبي!$C$2:$C$1800,الريسبي!$A$2:$A$1800,$A161,الريسبي!$B$2:$B$1800,BM$1)</f>
        <v>0</v>
      </c>
      <c r="BN161" s="117" t="n">
        <f aca="false">SUMIFS(الريسبي!$C$2:$C$1800,الريسبي!$A$2:$A$1800,$A161,الريسبي!$B$2:$B$1800,BN$1)</f>
        <v>0</v>
      </c>
      <c r="BO161" s="117" t="n">
        <f aca="false">SUMIFS(الريسبي!$C$2:$C$1800,الريسبي!$A$2:$A$1800,$A161,الريسبي!$B$2:$B$1800,BO$1)</f>
        <v>0</v>
      </c>
      <c r="BP161" s="117" t="n">
        <f aca="false">SUMIFS(الريسبي!$C$2:$C$1800,الريسبي!$A$2:$A$1800,$A161,الريسبي!$B$2:$B$1800,BP$1)</f>
        <v>0</v>
      </c>
      <c r="BQ161" s="117" t="n">
        <f aca="false">SUMIFS(الريسبي!$C$2:$C$1800,الريسبي!$A$2:$A$1800,$A161,الريسبي!$B$2:$B$1800,BQ$1)+0.17*SUMIFS(الريسبي!$C$2:$C$1800,الريسبي!$A$2:$A$1800,$A161,الريسبي!$B$2:$B$1800,"كاسترد مصنع (خليط بودر + لبن)")+0.17*SUMIFS(الريسبي!$C$2:$C$1800,الريسبي!$A$2:$A$1800,$A161,الريسبي!$B$2:$B$1800,"كاسترد مصنع صيامي (بدون لبن)")</f>
        <v>0</v>
      </c>
      <c r="BR161" s="117" t="n">
        <f aca="false">SUMIFS(الريسبي!$C$2:$C$1800,الريسبي!$A$2:$A$1800,$A161,الريسبي!$B$2:$B$1800,BR$1)</f>
        <v>0</v>
      </c>
      <c r="BS161" s="117" t="n">
        <f aca="false">SUMIFS(الريسبي!$C$2:$C$1800,الريسبي!$A$2:$A$1800,$A161,الريسبي!$B$2:$B$1800,BS$1)</f>
        <v>0</v>
      </c>
      <c r="BT161" s="117" t="n">
        <f aca="false">SUMIFS(الريسبي!$C$2:$C$1800,الريسبي!$A$2:$A$1800,$A161,الريسبي!$B$2:$B$1800,BT$1)</f>
        <v>0</v>
      </c>
      <c r="BU161" s="117" t="n">
        <f aca="false">SUMIFS(الريسبي!$C$2:$C$1800,الريسبي!$A$2:$A$1800,$A161,الريسبي!$B$2:$B$1800,BU$1)+0.4*SUMIFS(الريسبي!$C$2:$C$1800,الريسبي!$A$2:$A$1800,$A161,الريسبي!$B$2:$B$1800,"كاسترد مصنع (خليط بودر + لبن)")+0.03333333333*SUMIFS(الريسبي!$C$2:$C$1800,الريسبي!$A$2:$A$1800,$A161,الريسبي!$B$2:$B$1800,"عجين كريب (مصنع بالمطعم)")</f>
        <v>0</v>
      </c>
      <c r="BV161" s="117" t="n">
        <f aca="false">SUMIFS(الريسبي!$C$2:$C$1800,الريسبي!$A$2:$A$1800,$A161,الريسبي!$B$2:$B$1800,BV$1)</f>
        <v>0</v>
      </c>
      <c r="BW161" s="117" t="n">
        <f aca="false">SUMIFS(الريسبي!$C$2:$C$1800,الريسبي!$A$2:$A$1800,$A161,الريسبي!$B$2:$B$1800,BW$1)</f>
        <v>0</v>
      </c>
      <c r="BX161" s="117" t="n">
        <f aca="false">SUMIFS(الريسبي!$C$2:$C$1800,الريسبي!$A$2:$A$1800,$A161,الريسبي!$B$2:$B$1800,BX$1)</f>
        <v>0.06</v>
      </c>
      <c r="BY161" s="117" t="n">
        <f aca="false">SUMIFS(الريسبي!$C$2:$C$1800,الريسبي!$A$2:$A$1800,$A161,الريسبي!$B$2:$B$1800,BY$1)</f>
        <v>0</v>
      </c>
      <c r="BZ161" s="117" t="n">
        <f aca="false">SUMIFS(الريسبي!$C$2:$C$1800,الريسبي!$A$2:$A$1800,$A161,الريسبي!$B$2:$B$1800,BZ$1)</f>
        <v>0</v>
      </c>
      <c r="CA161" s="117" t="n">
        <f aca="false">SUMIFS(الريسبي!$C$2:$C$1800,الريسبي!$A$2:$A$1800,$A161,الريسبي!$B$2:$B$1800,CA$1)</f>
        <v>0</v>
      </c>
      <c r="CB161" s="117" t="n">
        <f aca="false">SUMIFS(الريسبي!$C$2:$C$1800,الريسبي!$A$2:$A$1800,$A161,الريسبي!$B$2:$B$1800,CB$1)</f>
        <v>0</v>
      </c>
      <c r="CC161" s="117" t="n">
        <f aca="false">SUMIFS(الريسبي!$C$2:$C$1800,الريسبي!$A$2:$A$1800,$A161,الريسبي!$B$2:$B$1800,CC$1)</f>
        <v>0</v>
      </c>
      <c r="CD161" s="117" t="n">
        <f aca="false">SUMIFS(الريسبي!$C$2:$C$1800,الريسبي!$A$2:$A$1800,$A161,الريسبي!$B$2:$B$1800,CD$1)</f>
        <v>0</v>
      </c>
      <c r="CE161" s="117" t="n">
        <f aca="false">SUMIFS(الريسبي!$C$2:$C$1800,الريسبي!$A$2:$A$1800,$A161,الريسبي!$B$2:$B$1800,CE$1)</f>
        <v>0</v>
      </c>
      <c r="CF161" s="117" t="n">
        <f aca="false">SUMIFS(الريسبي!$C$2:$C$1800,الريسبي!$A$2:$A$1800,$A161,الريسبي!$B$2:$B$1800,CF$1)</f>
        <v>0</v>
      </c>
      <c r="CG161" s="117" t="n">
        <f aca="false">SUMIFS(الريسبي!$C$2:$C$1800,الريسبي!$A$2:$A$1800,$A161,الريسبي!$B$2:$B$1800,CG$1)</f>
        <v>0</v>
      </c>
      <c r="CH161" s="117" t="n">
        <f aca="false">SUMIFS(الريسبي!$C$2:$C$1800,الريسبي!$A$2:$A$1800,$A161,الريسبي!$B$2:$B$1800,CH$1)</f>
        <v>0</v>
      </c>
      <c r="CI161" s="117" t="n">
        <f aca="false">SUMIFS(الريسبي!$C$2:$C$1800,الريسبي!$A$2:$A$1800,$A161,الريسبي!$B$2:$B$1800,CI$1)</f>
        <v>0</v>
      </c>
      <c r="CJ161" s="117" t="n">
        <f aca="false">SUMIFS(الريسبي!$C$2:$C$1800,الريسبي!$A$2:$A$1800,$A161,الريسبي!$B$2:$B$1800,CJ$1)</f>
        <v>0</v>
      </c>
      <c r="CK161" s="117" t="n">
        <f aca="false">SUMIFS(الريسبي!$C$2:$C$1800,الريسبي!$A$2:$A$1800,$A161,الريسبي!$B$2:$B$1800,CK$1)</f>
        <v>0</v>
      </c>
      <c r="CL161" s="117" t="n">
        <f aca="false">SUMIFS(الريسبي!$C$2:$C$1800,الريسبي!$A$2:$A$1800,$A161,الريسبي!$B$2:$B$1800,CL$1)</f>
        <v>0</v>
      </c>
    </row>
    <row r="162" customFormat="false" ht="15" hidden="false" customHeight="false" outlineLevel="0" collapsed="false">
      <c r="A162" s="116" t="str">
        <f aca="false">المنيو!B162</f>
        <v>اضافة مشروم (فطير كبير)</v>
      </c>
      <c r="B162" s="117" t="n">
        <f aca="false">SUMIFS(الريسبي!$C$2:$C$1800,الريسبي!$A$2:$A$1800,$A162,الريسبي!$B$2:$B$1800,B$1)</f>
        <v>0</v>
      </c>
      <c r="C162" s="117" t="n">
        <f aca="false">SUMIFS(الريسبي!$C$2:$C$1800,الريسبي!$A$2:$A$1800,$A162,الريسبي!$B$2:$B$1800,C$1)</f>
        <v>0</v>
      </c>
      <c r="D162" s="117" t="n">
        <f aca="false">SUMIFS(الريسبي!$C$2:$C$1800,الريسبي!$A$2:$A$1800,$A162,الريسبي!$B$2:$B$1800,D$1)</f>
        <v>0</v>
      </c>
      <c r="E162" s="117" t="n">
        <f aca="false">SUMIFS(الريسبي!$C$2:$C$1800,الريسبي!$A$2:$A$1800,$A162,الريسبي!$B$2:$B$1800,E$1)</f>
        <v>0</v>
      </c>
      <c r="F162" s="117" t="n">
        <f aca="false">SUMIFS(الريسبي!$C$2:$C$1800,الريسبي!$A$2:$A$1800,$A162,الريسبي!$B$2:$B$1800,F$1)</f>
        <v>0</v>
      </c>
      <c r="G162" s="117" t="n">
        <f aca="false">SUMIFS(الريسبي!$C$2:$C$1800,الريسبي!$A$2:$A$1800,$A162,الريسبي!$B$2:$B$1800,G$1)</f>
        <v>0</v>
      </c>
      <c r="H162" s="117" t="n">
        <f aca="false">SUMIFS(الريسبي!$C$2:$C$1800,الريسبي!$A$2:$A$1800,$A162,الريسبي!$B$2:$B$1800,H$1)</f>
        <v>0</v>
      </c>
      <c r="I162" s="117" t="n">
        <f aca="false">SUMIFS(الريسبي!$C$2:$C$1800,الريسبي!$A$2:$A$1800,$A162,الريسبي!$B$2:$B$1800,I$1)</f>
        <v>0</v>
      </c>
      <c r="J162" s="117" t="n">
        <f aca="false">SUMIFS(الريسبي!$C$2:$C$1800,الريسبي!$A$2:$A$1800,$A162,الريسبي!$B$2:$B$1800,J$1)</f>
        <v>0</v>
      </c>
      <c r="K162" s="117" t="n">
        <f aca="false">SUMIFS(الريسبي!$C$2:$C$1800,الريسبي!$A$2:$A$1800,$A162,الريسبي!$B$2:$B$1800,K$1)</f>
        <v>0</v>
      </c>
      <c r="L162" s="117" t="n">
        <f aca="false">SUMIFS(الريسبي!$C$2:$C$1800,الريسبي!$A$2:$A$1800,$A162,الريسبي!$B$2:$B$1800,L$1)</f>
        <v>0</v>
      </c>
      <c r="M162" s="117" t="n">
        <f aca="false">SUMIFS(الريسبي!$C$2:$C$1800,الريسبي!$A$2:$A$1800,$A162,الريسبي!$B$2:$B$1800,M$1)</f>
        <v>0</v>
      </c>
      <c r="N162" s="117" t="n">
        <f aca="false">SUMIFS(الريسبي!$C$2:$C$1800,الريسبي!$A$2:$A$1800,$A162,الريسبي!$B$2:$B$1800,N$1)</f>
        <v>0</v>
      </c>
      <c r="O162" s="117" t="n">
        <f aca="false">SUMIFS(الريسبي!$C$2:$C$1800,الريسبي!$A$2:$A$1800,$A162,الريسبي!$B$2:$B$1800,O$1)</f>
        <v>0</v>
      </c>
      <c r="P162" s="117" t="n">
        <f aca="false">SUMIFS(الريسبي!$C$2:$C$1800,الريسبي!$A$2:$A$1800,$A162,الريسبي!$B$2:$B$1800,P$1)</f>
        <v>0</v>
      </c>
      <c r="Q162" s="117" t="n">
        <f aca="false">SUMIFS(الريسبي!$C$2:$C$1800,الريسبي!$A$2:$A$1800,$A162,الريسبي!$B$2:$B$1800,Q$1)</f>
        <v>0</v>
      </c>
      <c r="R162" s="117" t="n">
        <f aca="false">SUMIFS(الريسبي!$C$2:$C$1800,الريسبي!$A$2:$A$1800,$A162,الريسبي!$B$2:$B$1800,R$1)</f>
        <v>0</v>
      </c>
      <c r="S162" s="117" t="n">
        <f aca="false">SUMIFS(الريسبي!$C$2:$C$1800,الريسبي!$A$2:$A$1800,$A162,الريسبي!$B$2:$B$1800,S$1)</f>
        <v>0</v>
      </c>
      <c r="T162" s="117" t="n">
        <f aca="false">SUMIFS(الريسبي!$C$2:$C$1800,الريسبي!$A$2:$A$1800,$A162,الريسبي!$B$2:$B$1800,T$1)</f>
        <v>0</v>
      </c>
      <c r="U162" s="117" t="n">
        <f aca="false">SUMIFS(الريسبي!$C$2:$C$1800,الريسبي!$A$2:$A$1800,$A162,الريسبي!$B$2:$B$1800,U$1)</f>
        <v>0</v>
      </c>
      <c r="V162" s="117" t="n">
        <f aca="false">SUMIFS(الريسبي!$C$2:$C$1800,الريسبي!$A$2:$A$1800,$A162,الريسبي!$B$2:$B$1800,V$1)+1.5*(SUMIFS(الريسبي!$C$2:$C$1800,الريسبي!$A$2:$A$1800,$A162,الريسبي!$B$2:$B$1800,"برسيون موتزريلا بيتزا كبير"))</f>
        <v>0</v>
      </c>
      <c r="W162" s="117" t="n">
        <f aca="false">0</f>
        <v>0</v>
      </c>
      <c r="X162" s="117" t="n">
        <f aca="false">SUMIFS(الريسبي!$C$2:$C$1800,الريسبي!$A$2:$A$1800,$A162,الريسبي!$B$2:$B$1800,X$1)+1.5*(SUMIFS(الريسبي!$C$2:$C$1800,الريسبي!$A$2:$A$1800,$A162,الريسبي!$B$2:$B$1800,"برسيون موتزريلا فطير كبير"))</f>
        <v>0</v>
      </c>
      <c r="Y162" s="117" t="n">
        <f aca="false">0</f>
        <v>0</v>
      </c>
      <c r="Z162" s="117" t="n">
        <f aca="false">SUMIFS(الريسبي!$C$2:$C$1800,الريسبي!$A$2:$A$1800,$A162,الريسبي!$B$2:$B$1800,Z$1)</f>
        <v>0</v>
      </c>
      <c r="AA162" s="117" t="n">
        <f aca="false">SUMIFS(الريسبي!$C$2:$C$1800,الريسبي!$A$2:$A$1800,$A162,الريسبي!$B$2:$B$1800,AA$1)</f>
        <v>0</v>
      </c>
      <c r="AB162" s="117" t="n">
        <f aca="false">SUMIFS(الريسبي!$C$2:$C$1800,الريسبي!$A$2:$A$1800,$A162,الريسبي!$B$2:$B$1800,AB$1)</f>
        <v>0</v>
      </c>
      <c r="AC162" s="117" t="n">
        <f aca="false">SUMIFS(الريسبي!$C$2:$C$1800,الريسبي!$A$2:$A$1800,$A162,الريسبي!$B$2:$B$1800,AC$1)</f>
        <v>0</v>
      </c>
      <c r="AD162" s="117" t="n">
        <f aca="false">SUMIFS(الريسبي!$C$2:$C$1800,الريسبي!$A$2:$A$1800,$A162,الريسبي!$B$2:$B$1800,AD$1)</f>
        <v>0</v>
      </c>
      <c r="AE162" s="117" t="n">
        <f aca="false">SUMIFS(الريسبي!$C$2:$C$1800,الريسبي!$A$2:$A$1800,$A162,الريسبي!$B$2:$B$1800,AE$1)</f>
        <v>0</v>
      </c>
      <c r="AF162" s="117" t="n">
        <f aca="false">SUMIFS(الريسبي!$C$2:$C$1800,الريسبي!$A$2:$A$1800,$A162,الريسبي!$B$2:$B$1800,AF$1)</f>
        <v>0</v>
      </c>
      <c r="AG162" s="117" t="n">
        <f aca="false">SUMIFS(الريسبي!$C$2:$C$1800,الريسبي!$A$2:$A$1800,$A162,الريسبي!$B$2:$B$1800,AG$1)</f>
        <v>0</v>
      </c>
      <c r="AH162" s="117" t="n">
        <f aca="false">SUMIFS(الريسبي!$C$2:$C$1800,الريسبي!$A$2:$A$1800,$A162,الريسبي!$B$2:$B$1800,AH$1)</f>
        <v>0</v>
      </c>
      <c r="AI162" s="117" t="n">
        <f aca="false">SUMIFS(الريسبي!$C$2:$C$1800,الريسبي!$A$2:$A$1800,$A162,الريسبي!$B$2:$B$1800,AI$1)</f>
        <v>0</v>
      </c>
      <c r="AJ162" s="117" t="n">
        <f aca="false">SUMIFS(الريسبي!$C$2:$C$1800,الريسبي!$A$2:$A$1800,$A162,الريسبي!$B$2:$B$1800,AJ$1)</f>
        <v>0</v>
      </c>
      <c r="AK162" s="117" t="n">
        <f aca="false">SUMIFS(الريسبي!$C$2:$C$1800,الريسبي!$A$2:$A$1800,$A162,الريسبي!$B$2:$B$1800,AK$1)</f>
        <v>0</v>
      </c>
      <c r="AL162" s="117" t="n">
        <f aca="false">SUMIFS(الريسبي!$C$2:$C$1800,الريسبي!$A$2:$A$1800,$A162,الريسبي!$B$2:$B$1800,AL$1)</f>
        <v>0</v>
      </c>
      <c r="AM162" s="117" t="n">
        <f aca="false">SUMIFS(الريسبي!$C$2:$C$1800,الريسبي!$A$2:$A$1800,$A162,الريسبي!$B$2:$B$1800,AM$1)+0.08333333333*SUMIFS(الريسبي!$C$2:$C$1800,الريسبي!$A$2:$A$1800,$A162,الريسبي!$B$2:$B$1800,"عجين كريب (مصنع بالمطعم)")+0.08333333333*SUMIFS(الريسبي!$C$2:$C$1800,الريسبي!$A$2:$A$1800,$A162,الريسبي!$B$2:$B$1800,"عجين كريب صيامي (بدون لبن)")</f>
        <v>0</v>
      </c>
      <c r="AN162" s="117" t="n">
        <f aca="false">SUMIFS(الريسبي!$C$2:$C$1800,الريسبي!$A$2:$A$1800,$A162,الريسبي!$B$2:$B$1800,AN$1)+0.004166666667*SUMIFS(الريسبي!$C$2:$C$1800,الريسبي!$A$2:$A$1800,$A162,الريسبي!$B$2:$B$1800,"عجين كريب (مصنع بالمطعم)")+0.004166666667*SUMIFS(الريسبي!$C$2:$C$1800,الريسبي!$A$2:$A$1800,$A162,الريسبي!$B$2:$B$1800,"عجين كريب صيامي (بدون لبن)")</f>
        <v>0</v>
      </c>
      <c r="AO162" s="117" t="n">
        <f aca="false">SUMIFS(الريسبي!$C$2:$C$1800,الريسبي!$A$2:$A$1800,$A162,الريسبي!$B$2:$B$1800,AO$1)</f>
        <v>0</v>
      </c>
      <c r="AP162" s="117" t="n">
        <f aca="false">SUMIFS(الريسبي!$C$2:$C$1800,الريسبي!$A$2:$A$1800,$A162,الريسبي!$B$2:$B$1800,AP$1)</f>
        <v>0</v>
      </c>
      <c r="AQ162" s="117" t="n">
        <f aca="false">SUMIFS(الريسبي!$C$2:$C$1800,الريسبي!$A$2:$A$1800,$A162,الريسبي!$B$2:$B$1800,AQ$1)+0.004166666667*SUMIFS(الريسبي!$C$2:$C$1800,الريسبي!$A$2:$A$1800,$A162,الريسبي!$B$2:$B$1800,"عجين كريب (مصنع بالمطعم)")+0.004166666667*SUMIFS(الريسبي!$C$2:$C$1800,الريسبي!$A$2:$A$1800,$A162,الريسبي!$B$2:$B$1800,"عجين كريب صيامي (بدون لبن)")</f>
        <v>0</v>
      </c>
      <c r="AR162" s="117" t="n">
        <f aca="false">SUMIFS(الريسبي!$C$2:$C$1800,الريسبي!$A$2:$A$1800,$A162,الريسبي!$B$2:$B$1800,AR$1)</f>
        <v>0</v>
      </c>
      <c r="AS162" s="117" t="n">
        <f aca="false">SUMIFS(الريسبي!$C$2:$C$1800,الريسبي!$A$2:$A$1800,$A162,الريسبي!$B$2:$B$1800,AS$1)</f>
        <v>0</v>
      </c>
      <c r="AT162" s="117" t="n">
        <f aca="false">SUMIFS(الريسبي!$C$2:$C$1800,الريسبي!$A$2:$A$1800,$A162,الريسبي!$B$2:$B$1800,AT$1)</f>
        <v>0</v>
      </c>
      <c r="AU162" s="117" t="n">
        <f aca="false">SUMIFS(الريسبي!$C$2:$C$1800,الريسبي!$A$2:$A$1800,$A162,الريسبي!$B$2:$B$1800,AU$1)</f>
        <v>0</v>
      </c>
      <c r="AV162" s="117" t="n">
        <f aca="false">SUMIFS(الريسبي!$C$2:$C$1800,الريسبي!$A$2:$A$1800,$A162,الريسبي!$B$2:$B$1800,AV$1)</f>
        <v>0</v>
      </c>
      <c r="AW162" s="117" t="n">
        <f aca="false">SUMIFS(الريسبي!$C$2:$C$1800,الريسبي!$A$2:$A$1800,$A162,الريسبي!$B$2:$B$1800,AW$1)</f>
        <v>0</v>
      </c>
      <c r="AX162" s="117" t="n">
        <f aca="false">SUMIFS(الريسبي!$C$2:$C$1800,الريسبي!$A$2:$A$1800,$A162,الريسبي!$B$2:$B$1800,AX$1)</f>
        <v>0</v>
      </c>
      <c r="AY162" s="117" t="n">
        <f aca="false">SUMIFS(الريسبي!$C$2:$C$1800,الريسبي!$A$2:$A$1800,$A162,الريسبي!$B$2:$B$1800,AY$1)</f>
        <v>0</v>
      </c>
      <c r="AZ162" s="117" t="n">
        <f aca="false">SUMIFS(الريسبي!$C$2:$C$1800,الريسبي!$A$2:$A$1800,$A162,الريسبي!$B$2:$B$1800,AZ$1)</f>
        <v>0</v>
      </c>
      <c r="BA162" s="117" t="n">
        <f aca="false">SUMIFS(الريسبي!$C$2:$C$1800,الريسبي!$A$2:$A$1800,$A162,الريسبي!$B$2:$B$1800,BA$1)</f>
        <v>0</v>
      </c>
      <c r="BB162" s="117" t="n">
        <f aca="false">SUMIFS(الريسبي!$C$2:$C$1800,الريسبي!$A$2:$A$1800,$A162,الريسبي!$B$2:$B$1800,BB$1)</f>
        <v>0</v>
      </c>
      <c r="BC162" s="117" t="n">
        <f aca="false">SUMIFS(الريسبي!$C$2:$C$1800,الريسبي!$A$2:$A$1800,$A162,الريسبي!$B$2:$B$1800,BC$1)</f>
        <v>0</v>
      </c>
      <c r="BD162" s="117" t="n">
        <f aca="false">SUMIFS(الريسبي!$C$2:$C$1800,الريسبي!$A$2:$A$1800,$A162,الريسبي!$B$2:$B$1800,BD$1)</f>
        <v>0</v>
      </c>
      <c r="BE162" s="117" t="n">
        <f aca="false">SUMIFS(الريسبي!$C$2:$C$1800,الريسبي!$A$2:$A$1800,$A162,الريسبي!$B$2:$B$1800,BE$1)</f>
        <v>0</v>
      </c>
      <c r="BF162" s="117" t="n">
        <f aca="false">SUMIFS(الريسبي!$C$2:$C$1800,الريسبي!$A$2:$A$1800,$A162,الريسبي!$B$2:$B$1800,BF$1)</f>
        <v>0</v>
      </c>
      <c r="BG162" s="117" t="n">
        <f aca="false">SUMIFS(الريسبي!$C$2:$C$1800,الريسبي!$A$2:$A$1800,$A162,الريسبي!$B$2:$B$1800,BG$1)</f>
        <v>0</v>
      </c>
      <c r="BH162" s="117" t="n">
        <f aca="false">SUMIFS(الريسبي!$C$2:$C$1800,الريسبي!$A$2:$A$1800,$A162,الريسبي!$B$2:$B$1800,BH$1)</f>
        <v>0</v>
      </c>
      <c r="BI162" s="117" t="n">
        <f aca="false">SUMIFS(الريسبي!$C$2:$C$1800,الريسبي!$A$2:$A$1800,$A162,الريسبي!$B$2:$B$1800,BI$1)</f>
        <v>0</v>
      </c>
      <c r="BJ162" s="117" t="n">
        <f aca="false">SUMIFS(الريسبي!$C$2:$C$1800,الريسبي!$A$2:$A$1800,$A162,الريسبي!$B$2:$B$1800,BJ$1)</f>
        <v>0</v>
      </c>
      <c r="BK162" s="117" t="n">
        <f aca="false">SUMIFS(الريسبي!$C$2:$C$1800,الريسبي!$A$2:$A$1800,$A162,الريسبي!$B$2:$B$1800,BK$1)</f>
        <v>0</v>
      </c>
      <c r="BL162" s="117" t="n">
        <f aca="false">SUMIFS(الريسبي!$C$2:$C$1800,الريسبي!$A$2:$A$1800,$A162,الريسبي!$B$2:$B$1800,BL$1)</f>
        <v>0</v>
      </c>
      <c r="BM162" s="117" t="n">
        <f aca="false">SUMIFS(الريسبي!$C$2:$C$1800,الريسبي!$A$2:$A$1800,$A162,الريسبي!$B$2:$B$1800,BM$1)</f>
        <v>0</v>
      </c>
      <c r="BN162" s="117" t="n">
        <f aca="false">SUMIFS(الريسبي!$C$2:$C$1800,الريسبي!$A$2:$A$1800,$A162,الريسبي!$B$2:$B$1800,BN$1)</f>
        <v>0</v>
      </c>
      <c r="BO162" s="117" t="n">
        <f aca="false">SUMIFS(الريسبي!$C$2:$C$1800,الريسبي!$A$2:$A$1800,$A162,الريسبي!$B$2:$B$1800,BO$1)</f>
        <v>0</v>
      </c>
      <c r="BP162" s="117" t="n">
        <f aca="false">SUMIFS(الريسبي!$C$2:$C$1800,الريسبي!$A$2:$A$1800,$A162,الريسبي!$B$2:$B$1800,BP$1)</f>
        <v>0</v>
      </c>
      <c r="BQ162" s="117" t="n">
        <f aca="false">SUMIFS(الريسبي!$C$2:$C$1800,الريسبي!$A$2:$A$1800,$A162,الريسبي!$B$2:$B$1800,BQ$1)+0.17*SUMIFS(الريسبي!$C$2:$C$1800,الريسبي!$A$2:$A$1800,$A162,الريسبي!$B$2:$B$1800,"كاسترد مصنع (خليط بودر + لبن)")+0.17*SUMIFS(الريسبي!$C$2:$C$1800,الريسبي!$A$2:$A$1800,$A162,الريسبي!$B$2:$B$1800,"كاسترد مصنع صيامي (بدون لبن)")</f>
        <v>0</v>
      </c>
      <c r="BR162" s="117" t="n">
        <f aca="false">SUMIFS(الريسبي!$C$2:$C$1800,الريسبي!$A$2:$A$1800,$A162,الريسبي!$B$2:$B$1800,BR$1)</f>
        <v>0</v>
      </c>
      <c r="BS162" s="117" t="n">
        <f aca="false">SUMIFS(الريسبي!$C$2:$C$1800,الريسبي!$A$2:$A$1800,$A162,الريسبي!$B$2:$B$1800,BS$1)</f>
        <v>0</v>
      </c>
      <c r="BT162" s="117" t="n">
        <f aca="false">SUMIFS(الريسبي!$C$2:$C$1800,الريسبي!$A$2:$A$1800,$A162,الريسبي!$B$2:$B$1800,BT$1)</f>
        <v>0</v>
      </c>
      <c r="BU162" s="117" t="n">
        <f aca="false">SUMIFS(الريسبي!$C$2:$C$1800,الريسبي!$A$2:$A$1800,$A162,الريسبي!$B$2:$B$1800,BU$1)+0.4*SUMIFS(الريسبي!$C$2:$C$1800,الريسبي!$A$2:$A$1800,$A162,الريسبي!$B$2:$B$1800,"كاسترد مصنع (خليط بودر + لبن)")+0.03333333333*SUMIFS(الريسبي!$C$2:$C$1800,الريسبي!$A$2:$A$1800,$A162,الريسبي!$B$2:$B$1800,"عجين كريب (مصنع بالمطعم)")</f>
        <v>0</v>
      </c>
      <c r="BV162" s="117" t="n">
        <f aca="false">SUMIFS(الريسبي!$C$2:$C$1800,الريسبي!$A$2:$A$1800,$A162,الريسبي!$B$2:$B$1800,BV$1)</f>
        <v>0</v>
      </c>
      <c r="BW162" s="117" t="n">
        <f aca="false">SUMIFS(الريسبي!$C$2:$C$1800,الريسبي!$A$2:$A$1800,$A162,الريسبي!$B$2:$B$1800,BW$1)</f>
        <v>0</v>
      </c>
      <c r="BX162" s="117" t="n">
        <f aca="false">SUMIFS(الريسبي!$C$2:$C$1800,الريسبي!$A$2:$A$1800,$A162,الريسبي!$B$2:$B$1800,BX$1)</f>
        <v>0.09</v>
      </c>
      <c r="BY162" s="117" t="n">
        <f aca="false">SUMIFS(الريسبي!$C$2:$C$1800,الريسبي!$A$2:$A$1800,$A162,الريسبي!$B$2:$B$1800,BY$1)</f>
        <v>0</v>
      </c>
      <c r="BZ162" s="117" t="n">
        <f aca="false">SUMIFS(الريسبي!$C$2:$C$1800,الريسبي!$A$2:$A$1800,$A162,الريسبي!$B$2:$B$1800,BZ$1)</f>
        <v>0</v>
      </c>
      <c r="CA162" s="117" t="n">
        <f aca="false">SUMIFS(الريسبي!$C$2:$C$1800,الريسبي!$A$2:$A$1800,$A162,الريسبي!$B$2:$B$1800,CA$1)</f>
        <v>0</v>
      </c>
      <c r="CB162" s="117" t="n">
        <f aca="false">SUMIFS(الريسبي!$C$2:$C$1800,الريسبي!$A$2:$A$1800,$A162,الريسبي!$B$2:$B$1800,CB$1)</f>
        <v>0</v>
      </c>
      <c r="CC162" s="117" t="n">
        <f aca="false">SUMIFS(الريسبي!$C$2:$C$1800,الريسبي!$A$2:$A$1800,$A162,الريسبي!$B$2:$B$1800,CC$1)</f>
        <v>0</v>
      </c>
      <c r="CD162" s="117" t="n">
        <f aca="false">SUMIFS(الريسبي!$C$2:$C$1800,الريسبي!$A$2:$A$1800,$A162,الريسبي!$B$2:$B$1800,CD$1)</f>
        <v>0</v>
      </c>
      <c r="CE162" s="117" t="n">
        <f aca="false">SUMIFS(الريسبي!$C$2:$C$1800,الريسبي!$A$2:$A$1800,$A162,الريسبي!$B$2:$B$1800,CE$1)</f>
        <v>0</v>
      </c>
      <c r="CF162" s="117" t="n">
        <f aca="false">SUMIFS(الريسبي!$C$2:$C$1800,الريسبي!$A$2:$A$1800,$A162,الريسبي!$B$2:$B$1800,CF$1)</f>
        <v>0</v>
      </c>
      <c r="CG162" s="117" t="n">
        <f aca="false">SUMIFS(الريسبي!$C$2:$C$1800,الريسبي!$A$2:$A$1800,$A162,الريسبي!$B$2:$B$1800,CG$1)</f>
        <v>0</v>
      </c>
      <c r="CH162" s="117" t="n">
        <f aca="false">SUMIFS(الريسبي!$C$2:$C$1800,الريسبي!$A$2:$A$1800,$A162,الريسبي!$B$2:$B$1800,CH$1)</f>
        <v>0</v>
      </c>
      <c r="CI162" s="117" t="n">
        <f aca="false">SUMIFS(الريسبي!$C$2:$C$1800,الريسبي!$A$2:$A$1800,$A162,الريسبي!$B$2:$B$1800,CI$1)</f>
        <v>0</v>
      </c>
      <c r="CJ162" s="117" t="n">
        <f aca="false">SUMIFS(الريسبي!$C$2:$C$1800,الريسبي!$A$2:$A$1800,$A162,الريسبي!$B$2:$B$1800,CJ$1)</f>
        <v>0</v>
      </c>
      <c r="CK162" s="117" t="n">
        <f aca="false">SUMIFS(الريسبي!$C$2:$C$1800,الريسبي!$A$2:$A$1800,$A162,الريسبي!$B$2:$B$1800,CK$1)</f>
        <v>0</v>
      </c>
      <c r="CL162" s="117" t="n">
        <f aca="false">SUMIFS(الريسبي!$C$2:$C$1800,الريسبي!$A$2:$A$1800,$A162,الريسبي!$B$2:$B$1800,CL$1)</f>
        <v>0</v>
      </c>
    </row>
    <row r="163" customFormat="false" ht="15" hidden="false" customHeight="false" outlineLevel="0" collapsed="false">
      <c r="A163" s="116" t="str">
        <f aca="false">المنيو!B163</f>
        <v>إضافة وش بيتزا (مخصوص) (وسط)</v>
      </c>
      <c r="B163" s="117" t="n">
        <f aca="false">SUMIFS(الريسبي!$C$2:$C$1800,الريسبي!$A$2:$A$1800,$A163,الريسبي!$B$2:$B$1800,B$1)</f>
        <v>0</v>
      </c>
      <c r="C163" s="117" t="n">
        <f aca="false">SUMIFS(الريسبي!$C$2:$C$1800,الريسبي!$A$2:$A$1800,$A163,الريسبي!$B$2:$B$1800,C$1)</f>
        <v>0</v>
      </c>
      <c r="D163" s="117" t="n">
        <f aca="false">SUMIFS(الريسبي!$C$2:$C$1800,الريسبي!$A$2:$A$1800,$A163,الريسبي!$B$2:$B$1800,D$1)</f>
        <v>0</v>
      </c>
      <c r="E163" s="117" t="n">
        <f aca="false">SUMIFS(الريسبي!$C$2:$C$1800,الريسبي!$A$2:$A$1800,$A163,الريسبي!$B$2:$B$1800,E$1)</f>
        <v>0</v>
      </c>
      <c r="F163" s="117" t="n">
        <f aca="false">SUMIFS(الريسبي!$C$2:$C$1800,الريسبي!$A$2:$A$1800,$A163,الريسبي!$B$2:$B$1800,F$1)</f>
        <v>0</v>
      </c>
      <c r="G163" s="117" t="n">
        <f aca="false">SUMIFS(الريسبي!$C$2:$C$1800,الريسبي!$A$2:$A$1800,$A163,الريسبي!$B$2:$B$1800,G$1)</f>
        <v>0</v>
      </c>
      <c r="H163" s="117" t="n">
        <f aca="false">SUMIFS(الريسبي!$C$2:$C$1800,الريسبي!$A$2:$A$1800,$A163,الريسبي!$B$2:$B$1800,H$1)</f>
        <v>0</v>
      </c>
      <c r="I163" s="117" t="n">
        <f aca="false">SUMIFS(الريسبي!$C$2:$C$1800,الريسبي!$A$2:$A$1800,$A163,الريسبي!$B$2:$B$1800,I$1)</f>
        <v>0</v>
      </c>
      <c r="J163" s="117" t="n">
        <f aca="false">SUMIFS(الريسبي!$C$2:$C$1800,الريسبي!$A$2:$A$1800,$A163,الريسبي!$B$2:$B$1800,J$1)</f>
        <v>0</v>
      </c>
      <c r="K163" s="117" t="n">
        <f aca="false">SUMIFS(الريسبي!$C$2:$C$1800,الريسبي!$A$2:$A$1800,$A163,الريسبي!$B$2:$B$1800,K$1)</f>
        <v>0</v>
      </c>
      <c r="L163" s="117" t="n">
        <f aca="false">SUMIFS(الريسبي!$C$2:$C$1800,الريسبي!$A$2:$A$1800,$A163,الريسبي!$B$2:$B$1800,L$1)</f>
        <v>0</v>
      </c>
      <c r="M163" s="117" t="n">
        <f aca="false">SUMIFS(الريسبي!$C$2:$C$1800,الريسبي!$A$2:$A$1800,$A163,الريسبي!$B$2:$B$1800,M$1)</f>
        <v>0</v>
      </c>
      <c r="N163" s="117" t="n">
        <f aca="false">SUMIFS(الريسبي!$C$2:$C$1800,الريسبي!$A$2:$A$1800,$A163,الريسبي!$B$2:$B$1800,N$1)</f>
        <v>0</v>
      </c>
      <c r="O163" s="117" t="n">
        <f aca="false">SUMIFS(الريسبي!$C$2:$C$1800,الريسبي!$A$2:$A$1800,$A163,الريسبي!$B$2:$B$1800,O$1)</f>
        <v>0</v>
      </c>
      <c r="P163" s="117" t="n">
        <f aca="false">SUMIFS(الريسبي!$C$2:$C$1800,الريسبي!$A$2:$A$1800,$A163,الريسبي!$B$2:$B$1800,P$1)</f>
        <v>0</v>
      </c>
      <c r="Q163" s="117" t="n">
        <f aca="false">SUMIFS(الريسبي!$C$2:$C$1800,الريسبي!$A$2:$A$1800,$A163,الريسبي!$B$2:$B$1800,Q$1)</f>
        <v>0</v>
      </c>
      <c r="R163" s="117" t="n">
        <f aca="false">SUMIFS(الريسبي!$C$2:$C$1800,الريسبي!$A$2:$A$1800,$A163,الريسبي!$B$2:$B$1800,R$1)</f>
        <v>0</v>
      </c>
      <c r="S163" s="117" t="n">
        <f aca="false">SUMIFS(الريسبي!$C$2:$C$1800,الريسبي!$A$2:$A$1800,$A163,الريسبي!$B$2:$B$1800,S$1)</f>
        <v>0</v>
      </c>
      <c r="T163" s="117" t="n">
        <f aca="false">SUMIFS(الريسبي!$C$2:$C$1800,الريسبي!$A$2:$A$1800,$A163,الريسبي!$B$2:$B$1800,T$1)</f>
        <v>0</v>
      </c>
      <c r="U163" s="117" t="n">
        <f aca="false">SUMIFS(الريسبي!$C$2:$C$1800,الريسبي!$A$2:$A$1800,$A163,الريسبي!$B$2:$B$1800,U$1)</f>
        <v>0</v>
      </c>
      <c r="V163" s="117" t="n">
        <f aca="false">SUMIFS(الريسبي!$C$2:$C$1800,الريسبي!$A$2:$A$1800,$A163,الريسبي!$B$2:$B$1800,V$1)+1.5*(SUMIFS(الريسبي!$C$2:$C$1800,الريسبي!$A$2:$A$1800,$A163,الريسبي!$B$2:$B$1800,"برسيون موتزريلا بيتزا كبير"))</f>
        <v>1</v>
      </c>
      <c r="W163" s="117" t="n">
        <f aca="false">0</f>
        <v>0</v>
      </c>
      <c r="X163" s="117" t="n">
        <f aca="false">SUMIFS(الريسبي!$C$2:$C$1800,الريسبي!$A$2:$A$1800,$A163,الريسبي!$B$2:$B$1800,X$1)+1.5*(SUMIFS(الريسبي!$C$2:$C$1800,الريسبي!$A$2:$A$1800,$A163,الريسبي!$B$2:$B$1800,"برسيون موتزريلا فطير كبير"))</f>
        <v>0</v>
      </c>
      <c r="Y163" s="117" t="n">
        <f aca="false">0</f>
        <v>0</v>
      </c>
      <c r="Z163" s="117" t="n">
        <f aca="false">SUMIFS(الريسبي!$C$2:$C$1800,الريسبي!$A$2:$A$1800,$A163,الريسبي!$B$2:$B$1800,Z$1)</f>
        <v>0</v>
      </c>
      <c r="AA163" s="117" t="n">
        <f aca="false">SUMIFS(الريسبي!$C$2:$C$1800,الريسبي!$A$2:$A$1800,$A163,الريسبي!$B$2:$B$1800,AA$1)</f>
        <v>0</v>
      </c>
      <c r="AB163" s="117" t="n">
        <f aca="false">SUMIFS(الريسبي!$C$2:$C$1800,الريسبي!$A$2:$A$1800,$A163,الريسبي!$B$2:$B$1800,AB$1)</f>
        <v>0</v>
      </c>
      <c r="AC163" s="117" t="n">
        <f aca="false">SUMIFS(الريسبي!$C$2:$C$1800,الريسبي!$A$2:$A$1800,$A163,الريسبي!$B$2:$B$1800,AC$1)</f>
        <v>0</v>
      </c>
      <c r="AD163" s="117" t="n">
        <f aca="false">SUMIFS(الريسبي!$C$2:$C$1800,الريسبي!$A$2:$A$1800,$A163,الريسبي!$B$2:$B$1800,AD$1)</f>
        <v>0</v>
      </c>
      <c r="AE163" s="117" t="n">
        <f aca="false">SUMIFS(الريسبي!$C$2:$C$1800,الريسبي!$A$2:$A$1800,$A163,الريسبي!$B$2:$B$1800,AE$1)</f>
        <v>0</v>
      </c>
      <c r="AF163" s="117" t="n">
        <f aca="false">SUMIFS(الريسبي!$C$2:$C$1800,الريسبي!$A$2:$A$1800,$A163,الريسبي!$B$2:$B$1800,AF$1)</f>
        <v>0</v>
      </c>
      <c r="AG163" s="117" t="n">
        <f aca="false">SUMIFS(الريسبي!$C$2:$C$1800,الريسبي!$A$2:$A$1800,$A163,الريسبي!$B$2:$B$1800,AG$1)</f>
        <v>0</v>
      </c>
      <c r="AH163" s="117" t="n">
        <f aca="false">SUMIFS(الريسبي!$C$2:$C$1800,الريسبي!$A$2:$A$1800,$A163,الريسبي!$B$2:$B$1800,AH$1)</f>
        <v>0</v>
      </c>
      <c r="AI163" s="117" t="n">
        <f aca="false">SUMIFS(الريسبي!$C$2:$C$1800,الريسبي!$A$2:$A$1800,$A163,الريسبي!$B$2:$B$1800,AI$1)</f>
        <v>0</v>
      </c>
      <c r="AJ163" s="117" t="n">
        <f aca="false">SUMIFS(الريسبي!$C$2:$C$1800,الريسبي!$A$2:$A$1800,$A163,الريسبي!$B$2:$B$1800,AJ$1)</f>
        <v>0</v>
      </c>
      <c r="AK163" s="117" t="n">
        <f aca="false">SUMIFS(الريسبي!$C$2:$C$1800,الريسبي!$A$2:$A$1800,$A163,الريسبي!$B$2:$B$1800,AK$1)</f>
        <v>0</v>
      </c>
      <c r="AL163" s="117" t="n">
        <f aca="false">SUMIFS(الريسبي!$C$2:$C$1800,الريسبي!$A$2:$A$1800,$A163,الريسبي!$B$2:$B$1800,AL$1)</f>
        <v>0</v>
      </c>
      <c r="AM163" s="117" t="n">
        <f aca="false">SUMIFS(الريسبي!$C$2:$C$1800,الريسبي!$A$2:$A$1800,$A163,الريسبي!$B$2:$B$1800,AM$1)+0.08333333333*SUMIFS(الريسبي!$C$2:$C$1800,الريسبي!$A$2:$A$1800,$A163,الريسبي!$B$2:$B$1800,"عجين كريب (مصنع بالمطعم)")+0.08333333333*SUMIFS(الريسبي!$C$2:$C$1800,الريسبي!$A$2:$A$1800,$A163,الريسبي!$B$2:$B$1800,"عجين كريب صيامي (بدون لبن)")</f>
        <v>0</v>
      </c>
      <c r="AN163" s="117" t="n">
        <f aca="false">SUMIFS(الريسبي!$C$2:$C$1800,الريسبي!$A$2:$A$1800,$A163,الريسبي!$B$2:$B$1800,AN$1)+0.004166666667*SUMIFS(الريسبي!$C$2:$C$1800,الريسبي!$A$2:$A$1800,$A163,الريسبي!$B$2:$B$1800,"عجين كريب (مصنع بالمطعم)")+0.004166666667*SUMIFS(الريسبي!$C$2:$C$1800,الريسبي!$A$2:$A$1800,$A163,الريسبي!$B$2:$B$1800,"عجين كريب صيامي (بدون لبن)")</f>
        <v>0</v>
      </c>
      <c r="AO163" s="117" t="n">
        <f aca="false">SUMIFS(الريسبي!$C$2:$C$1800,الريسبي!$A$2:$A$1800,$A163,الريسبي!$B$2:$B$1800,AO$1)</f>
        <v>0</v>
      </c>
      <c r="AP163" s="117" t="n">
        <f aca="false">SUMIFS(الريسبي!$C$2:$C$1800,الريسبي!$A$2:$A$1800,$A163,الريسبي!$B$2:$B$1800,AP$1)</f>
        <v>0</v>
      </c>
      <c r="AQ163" s="117" t="n">
        <f aca="false">SUMIFS(الريسبي!$C$2:$C$1800,الريسبي!$A$2:$A$1800,$A163,الريسبي!$B$2:$B$1800,AQ$1)+0.004166666667*SUMIFS(الريسبي!$C$2:$C$1800,الريسبي!$A$2:$A$1800,$A163,الريسبي!$B$2:$B$1800,"عجين كريب (مصنع بالمطعم)")+0.004166666667*SUMIFS(الريسبي!$C$2:$C$1800,الريسبي!$A$2:$A$1800,$A163,الريسبي!$B$2:$B$1800,"عجين كريب صيامي (بدون لبن)")</f>
        <v>0</v>
      </c>
      <c r="AR163" s="117" t="n">
        <f aca="false">SUMIFS(الريسبي!$C$2:$C$1800,الريسبي!$A$2:$A$1800,$A163,الريسبي!$B$2:$B$1800,AR$1)</f>
        <v>0</v>
      </c>
      <c r="AS163" s="117" t="n">
        <f aca="false">SUMIFS(الريسبي!$C$2:$C$1800,الريسبي!$A$2:$A$1800,$A163,الريسبي!$B$2:$B$1800,AS$1)</f>
        <v>0</v>
      </c>
      <c r="AT163" s="117" t="n">
        <f aca="false">SUMIFS(الريسبي!$C$2:$C$1800,الريسبي!$A$2:$A$1800,$A163,الريسبي!$B$2:$B$1800,AT$1)</f>
        <v>0</v>
      </c>
      <c r="AU163" s="117" t="n">
        <f aca="false">SUMIFS(الريسبي!$C$2:$C$1800,الريسبي!$A$2:$A$1800,$A163,الريسبي!$B$2:$B$1800,AU$1)</f>
        <v>0</v>
      </c>
      <c r="AV163" s="117" t="n">
        <f aca="false">SUMIFS(الريسبي!$C$2:$C$1800,الريسبي!$A$2:$A$1800,$A163,الريسبي!$B$2:$B$1800,AV$1)</f>
        <v>0</v>
      </c>
      <c r="AW163" s="117" t="n">
        <f aca="false">SUMIFS(الريسبي!$C$2:$C$1800,الريسبي!$A$2:$A$1800,$A163,الريسبي!$B$2:$B$1800,AW$1)</f>
        <v>0</v>
      </c>
      <c r="AX163" s="117" t="n">
        <f aca="false">SUMIFS(الريسبي!$C$2:$C$1800,الريسبي!$A$2:$A$1800,$A163,الريسبي!$B$2:$B$1800,AX$1)</f>
        <v>0</v>
      </c>
      <c r="AY163" s="117" t="n">
        <f aca="false">SUMIFS(الريسبي!$C$2:$C$1800,الريسبي!$A$2:$A$1800,$A163,الريسبي!$B$2:$B$1800,AY$1)</f>
        <v>0</v>
      </c>
      <c r="AZ163" s="117" t="n">
        <f aca="false">SUMIFS(الريسبي!$C$2:$C$1800,الريسبي!$A$2:$A$1800,$A163,الريسبي!$B$2:$B$1800,AZ$1)</f>
        <v>0</v>
      </c>
      <c r="BA163" s="117" t="n">
        <f aca="false">SUMIFS(الريسبي!$C$2:$C$1800,الريسبي!$A$2:$A$1800,$A163,الريسبي!$B$2:$B$1800,BA$1)</f>
        <v>0</v>
      </c>
      <c r="BB163" s="117" t="n">
        <f aca="false">SUMIFS(الريسبي!$C$2:$C$1800,الريسبي!$A$2:$A$1800,$A163,الريسبي!$B$2:$B$1800,BB$1)</f>
        <v>0</v>
      </c>
      <c r="BC163" s="117" t="n">
        <f aca="false">SUMIFS(الريسبي!$C$2:$C$1800,الريسبي!$A$2:$A$1800,$A163,الريسبي!$B$2:$B$1800,BC$1)</f>
        <v>0</v>
      </c>
      <c r="BD163" s="117" t="n">
        <f aca="false">SUMIFS(الريسبي!$C$2:$C$1800,الريسبي!$A$2:$A$1800,$A163,الريسبي!$B$2:$B$1800,BD$1)</f>
        <v>0</v>
      </c>
      <c r="BE163" s="117" t="n">
        <f aca="false">SUMIFS(الريسبي!$C$2:$C$1800,الريسبي!$A$2:$A$1800,$A163,الريسبي!$B$2:$B$1800,BE$1)</f>
        <v>0</v>
      </c>
      <c r="BF163" s="117" t="n">
        <f aca="false">SUMIFS(الريسبي!$C$2:$C$1800,الريسبي!$A$2:$A$1800,$A163,الريسبي!$B$2:$B$1800,BF$1)</f>
        <v>0</v>
      </c>
      <c r="BG163" s="117" t="n">
        <f aca="false">SUMIFS(الريسبي!$C$2:$C$1800,الريسبي!$A$2:$A$1800,$A163,الريسبي!$B$2:$B$1800,BG$1)</f>
        <v>0</v>
      </c>
      <c r="BH163" s="117" t="n">
        <f aca="false">SUMIFS(الريسبي!$C$2:$C$1800,الريسبي!$A$2:$A$1800,$A163,الريسبي!$B$2:$B$1800,BH$1)</f>
        <v>0</v>
      </c>
      <c r="BI163" s="117" t="n">
        <f aca="false">SUMIFS(الريسبي!$C$2:$C$1800,الريسبي!$A$2:$A$1800,$A163,الريسبي!$B$2:$B$1800,BI$1)</f>
        <v>0</v>
      </c>
      <c r="BJ163" s="117" t="n">
        <f aca="false">SUMIFS(الريسبي!$C$2:$C$1800,الريسبي!$A$2:$A$1800,$A163,الريسبي!$B$2:$B$1800,BJ$1)</f>
        <v>0</v>
      </c>
      <c r="BK163" s="117" t="n">
        <f aca="false">SUMIFS(الريسبي!$C$2:$C$1800,الريسبي!$A$2:$A$1800,$A163,الريسبي!$B$2:$B$1800,BK$1)</f>
        <v>0</v>
      </c>
      <c r="BL163" s="117" t="n">
        <f aca="false">SUMIFS(الريسبي!$C$2:$C$1800,الريسبي!$A$2:$A$1800,$A163,الريسبي!$B$2:$B$1800,BL$1)</f>
        <v>0</v>
      </c>
      <c r="BM163" s="117" t="n">
        <f aca="false">SUMIFS(الريسبي!$C$2:$C$1800,الريسبي!$A$2:$A$1800,$A163,الريسبي!$B$2:$B$1800,BM$1)</f>
        <v>0</v>
      </c>
      <c r="BN163" s="117" t="n">
        <f aca="false">SUMIFS(الريسبي!$C$2:$C$1800,الريسبي!$A$2:$A$1800,$A163,الريسبي!$B$2:$B$1800,BN$1)</f>
        <v>0</v>
      </c>
      <c r="BO163" s="117" t="n">
        <f aca="false">SUMIFS(الريسبي!$C$2:$C$1800,الريسبي!$A$2:$A$1800,$A163,الريسبي!$B$2:$B$1800,BO$1)</f>
        <v>0</v>
      </c>
      <c r="BP163" s="117" t="n">
        <f aca="false">SUMIFS(الريسبي!$C$2:$C$1800,الريسبي!$A$2:$A$1800,$A163,الريسبي!$B$2:$B$1800,BP$1)</f>
        <v>0</v>
      </c>
      <c r="BQ163" s="117" t="n">
        <f aca="false">SUMIFS(الريسبي!$C$2:$C$1800,الريسبي!$A$2:$A$1800,$A163,الريسبي!$B$2:$B$1800,BQ$1)+0.17*SUMIFS(الريسبي!$C$2:$C$1800,الريسبي!$A$2:$A$1800,$A163,الريسبي!$B$2:$B$1800,"كاسترد مصنع (خليط بودر + لبن)")+0.17*SUMIFS(الريسبي!$C$2:$C$1800,الريسبي!$A$2:$A$1800,$A163,الريسبي!$B$2:$B$1800,"كاسترد مصنع صيامي (بدون لبن)")</f>
        <v>0</v>
      </c>
      <c r="BR163" s="117" t="n">
        <f aca="false">SUMIFS(الريسبي!$C$2:$C$1800,الريسبي!$A$2:$A$1800,$A163,الريسبي!$B$2:$B$1800,BR$1)</f>
        <v>0</v>
      </c>
      <c r="BS163" s="117" t="n">
        <f aca="false">SUMIFS(الريسبي!$C$2:$C$1800,الريسبي!$A$2:$A$1800,$A163,الريسبي!$B$2:$B$1800,BS$1)</f>
        <v>0</v>
      </c>
      <c r="BT163" s="117" t="n">
        <f aca="false">SUMIFS(الريسبي!$C$2:$C$1800,الريسبي!$A$2:$A$1800,$A163,الريسبي!$B$2:$B$1800,BT$1)</f>
        <v>0</v>
      </c>
      <c r="BU163" s="117" t="n">
        <f aca="false">SUMIFS(الريسبي!$C$2:$C$1800,الريسبي!$A$2:$A$1800,$A163,الريسبي!$B$2:$B$1800,BU$1)+0.4*SUMIFS(الريسبي!$C$2:$C$1800,الريسبي!$A$2:$A$1800,$A163,الريسبي!$B$2:$B$1800,"كاسترد مصنع (خليط بودر + لبن)")+0.03333333333*SUMIFS(الريسبي!$C$2:$C$1800,الريسبي!$A$2:$A$1800,$A163,الريسبي!$B$2:$B$1800,"عجين كريب (مصنع بالمطعم)")</f>
        <v>0</v>
      </c>
      <c r="BV163" s="117" t="n">
        <f aca="false">SUMIFS(الريسبي!$C$2:$C$1800,الريسبي!$A$2:$A$1800,$A163,الريسبي!$B$2:$B$1800,BV$1)</f>
        <v>0</v>
      </c>
      <c r="BW163" s="117" t="n">
        <f aca="false">SUMIFS(الريسبي!$C$2:$C$1800,الريسبي!$A$2:$A$1800,$A163,الريسبي!$B$2:$B$1800,BW$1)</f>
        <v>0</v>
      </c>
      <c r="BX163" s="117" t="n">
        <f aca="false">SUMIFS(الريسبي!$C$2:$C$1800,الريسبي!$A$2:$A$1800,$A163,الريسبي!$B$2:$B$1800,BX$1)</f>
        <v>0</v>
      </c>
      <c r="BY163" s="117" t="n">
        <f aca="false">SUMIFS(الريسبي!$C$2:$C$1800,الريسبي!$A$2:$A$1800,$A163,الريسبي!$B$2:$B$1800,BY$1)</f>
        <v>0</v>
      </c>
      <c r="BZ163" s="117" t="n">
        <f aca="false">SUMIFS(الريسبي!$C$2:$C$1800,الريسبي!$A$2:$A$1800,$A163,الريسبي!$B$2:$B$1800,BZ$1)</f>
        <v>0</v>
      </c>
      <c r="CA163" s="117" t="n">
        <f aca="false">SUMIFS(الريسبي!$C$2:$C$1800,الريسبي!$A$2:$A$1800,$A163,الريسبي!$B$2:$B$1800,CA$1)</f>
        <v>0</v>
      </c>
      <c r="CB163" s="117" t="n">
        <f aca="false">SUMIFS(الريسبي!$C$2:$C$1800,الريسبي!$A$2:$A$1800,$A163,الريسبي!$B$2:$B$1800,CB$1)</f>
        <v>0</v>
      </c>
      <c r="CC163" s="117" t="n">
        <f aca="false">SUMIFS(الريسبي!$C$2:$C$1800,الريسبي!$A$2:$A$1800,$A163,الريسبي!$B$2:$B$1800,CC$1)</f>
        <v>0</v>
      </c>
      <c r="CD163" s="117" t="n">
        <f aca="false">SUMIFS(الريسبي!$C$2:$C$1800,الريسبي!$A$2:$A$1800,$A163,الريسبي!$B$2:$B$1800,CD$1)</f>
        <v>0</v>
      </c>
      <c r="CE163" s="117" t="n">
        <f aca="false">SUMIFS(الريسبي!$C$2:$C$1800,الريسبي!$A$2:$A$1800,$A163,الريسبي!$B$2:$B$1800,CE$1)</f>
        <v>0</v>
      </c>
      <c r="CF163" s="117" t="n">
        <f aca="false">SUMIFS(الريسبي!$C$2:$C$1800,الريسبي!$A$2:$A$1800,$A163,الريسبي!$B$2:$B$1800,CF$1)</f>
        <v>0</v>
      </c>
      <c r="CG163" s="117" t="n">
        <f aca="false">SUMIFS(الريسبي!$C$2:$C$1800,الريسبي!$A$2:$A$1800,$A163,الريسبي!$B$2:$B$1800,CG$1)</f>
        <v>0</v>
      </c>
      <c r="CH163" s="117" t="n">
        <f aca="false">SUMIFS(الريسبي!$C$2:$C$1800,الريسبي!$A$2:$A$1800,$A163,الريسبي!$B$2:$B$1800,CH$1)</f>
        <v>0</v>
      </c>
      <c r="CI163" s="117" t="n">
        <f aca="false">SUMIFS(الريسبي!$C$2:$C$1800,الريسبي!$A$2:$A$1800,$A163,الريسبي!$B$2:$B$1800,CI$1)</f>
        <v>0</v>
      </c>
      <c r="CJ163" s="117" t="n">
        <f aca="false">SUMIFS(الريسبي!$C$2:$C$1800,الريسبي!$A$2:$A$1800,$A163,الريسبي!$B$2:$B$1800,CJ$1)</f>
        <v>0</v>
      </c>
      <c r="CK163" s="117" t="n">
        <f aca="false">SUMIFS(الريسبي!$C$2:$C$1800,الريسبي!$A$2:$A$1800,$A163,الريسبي!$B$2:$B$1800,CK$1)</f>
        <v>0</v>
      </c>
      <c r="CL163" s="117" t="n">
        <f aca="false">SUMIFS(الريسبي!$C$2:$C$1800,الريسبي!$A$2:$A$1800,$A163,الريسبي!$B$2:$B$1800,CL$1)</f>
        <v>0</v>
      </c>
    </row>
    <row r="164" customFormat="false" ht="15" hidden="false" customHeight="false" outlineLevel="0" collapsed="false">
      <c r="A164" s="116" t="str">
        <f aca="false">المنيو!B164</f>
        <v>إضافة وش بيتزا (مخصوص) (كبير)</v>
      </c>
      <c r="B164" s="117" t="n">
        <f aca="false">SUMIFS(الريسبي!$C$2:$C$1800,الريسبي!$A$2:$A$1800,$A164,الريسبي!$B$2:$B$1800,B$1)</f>
        <v>0</v>
      </c>
      <c r="C164" s="117" t="n">
        <f aca="false">SUMIFS(الريسبي!$C$2:$C$1800,الريسبي!$A$2:$A$1800,$A164,الريسبي!$B$2:$B$1800,C$1)</f>
        <v>0</v>
      </c>
      <c r="D164" s="117" t="n">
        <f aca="false">SUMIFS(الريسبي!$C$2:$C$1800,الريسبي!$A$2:$A$1800,$A164,الريسبي!$B$2:$B$1800,D$1)</f>
        <v>0</v>
      </c>
      <c r="E164" s="117" t="n">
        <f aca="false">SUMIFS(الريسبي!$C$2:$C$1800,الريسبي!$A$2:$A$1800,$A164,الريسبي!$B$2:$B$1800,E$1)</f>
        <v>0</v>
      </c>
      <c r="F164" s="117" t="n">
        <f aca="false">SUMIFS(الريسبي!$C$2:$C$1800,الريسبي!$A$2:$A$1800,$A164,الريسبي!$B$2:$B$1800,F$1)</f>
        <v>0</v>
      </c>
      <c r="G164" s="117" t="n">
        <f aca="false">SUMIFS(الريسبي!$C$2:$C$1800,الريسبي!$A$2:$A$1800,$A164,الريسبي!$B$2:$B$1800,G$1)</f>
        <v>0</v>
      </c>
      <c r="H164" s="117" t="n">
        <f aca="false">SUMIFS(الريسبي!$C$2:$C$1800,الريسبي!$A$2:$A$1800,$A164,الريسبي!$B$2:$B$1800,H$1)</f>
        <v>0</v>
      </c>
      <c r="I164" s="117" t="n">
        <f aca="false">SUMIFS(الريسبي!$C$2:$C$1800,الريسبي!$A$2:$A$1800,$A164,الريسبي!$B$2:$B$1800,I$1)</f>
        <v>0</v>
      </c>
      <c r="J164" s="117" t="n">
        <f aca="false">SUMIFS(الريسبي!$C$2:$C$1800,الريسبي!$A$2:$A$1800,$A164,الريسبي!$B$2:$B$1800,J$1)</f>
        <v>0</v>
      </c>
      <c r="K164" s="117" t="n">
        <f aca="false">SUMIFS(الريسبي!$C$2:$C$1800,الريسبي!$A$2:$A$1800,$A164,الريسبي!$B$2:$B$1800,K$1)</f>
        <v>0</v>
      </c>
      <c r="L164" s="117" t="n">
        <f aca="false">SUMIFS(الريسبي!$C$2:$C$1800,الريسبي!$A$2:$A$1800,$A164,الريسبي!$B$2:$B$1800,L$1)</f>
        <v>0</v>
      </c>
      <c r="M164" s="117" t="n">
        <f aca="false">SUMIFS(الريسبي!$C$2:$C$1800,الريسبي!$A$2:$A$1800,$A164,الريسبي!$B$2:$B$1800,M$1)</f>
        <v>0</v>
      </c>
      <c r="N164" s="117" t="n">
        <f aca="false">SUMIFS(الريسبي!$C$2:$C$1800,الريسبي!$A$2:$A$1800,$A164,الريسبي!$B$2:$B$1800,N$1)</f>
        <v>0</v>
      </c>
      <c r="O164" s="117" t="n">
        <f aca="false">SUMIFS(الريسبي!$C$2:$C$1800,الريسبي!$A$2:$A$1800,$A164,الريسبي!$B$2:$B$1800,O$1)</f>
        <v>0</v>
      </c>
      <c r="P164" s="117" t="n">
        <f aca="false">SUMIFS(الريسبي!$C$2:$C$1800,الريسبي!$A$2:$A$1800,$A164,الريسبي!$B$2:$B$1800,P$1)</f>
        <v>0</v>
      </c>
      <c r="Q164" s="117" t="n">
        <f aca="false">SUMIFS(الريسبي!$C$2:$C$1800,الريسبي!$A$2:$A$1800,$A164,الريسبي!$B$2:$B$1800,Q$1)</f>
        <v>0</v>
      </c>
      <c r="R164" s="117" t="n">
        <f aca="false">SUMIFS(الريسبي!$C$2:$C$1800,الريسبي!$A$2:$A$1800,$A164,الريسبي!$B$2:$B$1800,R$1)</f>
        <v>0</v>
      </c>
      <c r="S164" s="117" t="n">
        <f aca="false">SUMIFS(الريسبي!$C$2:$C$1800,الريسبي!$A$2:$A$1800,$A164,الريسبي!$B$2:$B$1800,S$1)</f>
        <v>0</v>
      </c>
      <c r="T164" s="117" t="n">
        <f aca="false">SUMIFS(الريسبي!$C$2:$C$1800,الريسبي!$A$2:$A$1800,$A164,الريسبي!$B$2:$B$1800,T$1)</f>
        <v>0</v>
      </c>
      <c r="U164" s="117" t="n">
        <f aca="false">SUMIFS(الريسبي!$C$2:$C$1800,الريسبي!$A$2:$A$1800,$A164,الريسبي!$B$2:$B$1800,U$1)</f>
        <v>0</v>
      </c>
      <c r="V164" s="117" t="n">
        <f aca="false">SUMIFS(الريسبي!$C$2:$C$1800,الريسبي!$A$2:$A$1800,$A164,الريسبي!$B$2:$B$1800,V$1)+1.5*(SUMIFS(الريسبي!$C$2:$C$1800,الريسبي!$A$2:$A$1800,$A164,الريسبي!$B$2:$B$1800,"برسيون موتزريلا بيتزا كبير"))</f>
        <v>1.5</v>
      </c>
      <c r="W164" s="117" t="n">
        <f aca="false">0</f>
        <v>0</v>
      </c>
      <c r="X164" s="117" t="n">
        <f aca="false">SUMIFS(الريسبي!$C$2:$C$1800,الريسبي!$A$2:$A$1800,$A164,الريسبي!$B$2:$B$1800,X$1)+1.5*(SUMIFS(الريسبي!$C$2:$C$1800,الريسبي!$A$2:$A$1800,$A164,الريسبي!$B$2:$B$1800,"برسيون موتزريلا فطير كبير"))</f>
        <v>0</v>
      </c>
      <c r="Y164" s="117" t="n">
        <f aca="false">0</f>
        <v>0</v>
      </c>
      <c r="Z164" s="117" t="n">
        <f aca="false">SUMIFS(الريسبي!$C$2:$C$1800,الريسبي!$A$2:$A$1800,$A164,الريسبي!$B$2:$B$1800,Z$1)</f>
        <v>0</v>
      </c>
      <c r="AA164" s="117" t="n">
        <f aca="false">SUMIFS(الريسبي!$C$2:$C$1800,الريسبي!$A$2:$A$1800,$A164,الريسبي!$B$2:$B$1800,AA$1)</f>
        <v>0</v>
      </c>
      <c r="AB164" s="117" t="n">
        <f aca="false">SUMIFS(الريسبي!$C$2:$C$1800,الريسبي!$A$2:$A$1800,$A164,الريسبي!$B$2:$B$1800,AB$1)</f>
        <v>0</v>
      </c>
      <c r="AC164" s="117" t="n">
        <f aca="false">SUMIFS(الريسبي!$C$2:$C$1800,الريسبي!$A$2:$A$1800,$A164,الريسبي!$B$2:$B$1800,AC$1)</f>
        <v>0</v>
      </c>
      <c r="AD164" s="117" t="n">
        <f aca="false">SUMIFS(الريسبي!$C$2:$C$1800,الريسبي!$A$2:$A$1800,$A164,الريسبي!$B$2:$B$1800,AD$1)</f>
        <v>0</v>
      </c>
      <c r="AE164" s="117" t="n">
        <f aca="false">SUMIFS(الريسبي!$C$2:$C$1800,الريسبي!$A$2:$A$1800,$A164,الريسبي!$B$2:$B$1800,AE$1)</f>
        <v>0</v>
      </c>
      <c r="AF164" s="117" t="n">
        <f aca="false">SUMIFS(الريسبي!$C$2:$C$1800,الريسبي!$A$2:$A$1800,$A164,الريسبي!$B$2:$B$1800,AF$1)</f>
        <v>0</v>
      </c>
      <c r="AG164" s="117" t="n">
        <f aca="false">SUMIFS(الريسبي!$C$2:$C$1800,الريسبي!$A$2:$A$1800,$A164,الريسبي!$B$2:$B$1800,AG$1)</f>
        <v>0</v>
      </c>
      <c r="AH164" s="117" t="n">
        <f aca="false">SUMIFS(الريسبي!$C$2:$C$1800,الريسبي!$A$2:$A$1800,$A164,الريسبي!$B$2:$B$1800,AH$1)</f>
        <v>0</v>
      </c>
      <c r="AI164" s="117" t="n">
        <f aca="false">SUMIFS(الريسبي!$C$2:$C$1800,الريسبي!$A$2:$A$1800,$A164,الريسبي!$B$2:$B$1800,AI$1)</f>
        <v>0</v>
      </c>
      <c r="AJ164" s="117" t="n">
        <f aca="false">SUMIFS(الريسبي!$C$2:$C$1800,الريسبي!$A$2:$A$1800,$A164,الريسبي!$B$2:$B$1800,AJ$1)</f>
        <v>0</v>
      </c>
      <c r="AK164" s="117" t="n">
        <f aca="false">SUMIFS(الريسبي!$C$2:$C$1800,الريسبي!$A$2:$A$1800,$A164,الريسبي!$B$2:$B$1800,AK$1)</f>
        <v>0</v>
      </c>
      <c r="AL164" s="117" t="n">
        <f aca="false">SUMIFS(الريسبي!$C$2:$C$1800,الريسبي!$A$2:$A$1800,$A164,الريسبي!$B$2:$B$1800,AL$1)</f>
        <v>0</v>
      </c>
      <c r="AM164" s="117" t="n">
        <f aca="false">SUMIFS(الريسبي!$C$2:$C$1800,الريسبي!$A$2:$A$1800,$A164,الريسبي!$B$2:$B$1800,AM$1)+0.08333333333*SUMIFS(الريسبي!$C$2:$C$1800,الريسبي!$A$2:$A$1800,$A164,الريسبي!$B$2:$B$1800,"عجين كريب (مصنع بالمطعم)")+0.08333333333*SUMIFS(الريسبي!$C$2:$C$1800,الريسبي!$A$2:$A$1800,$A164,الريسبي!$B$2:$B$1800,"عجين كريب صيامي (بدون لبن)")</f>
        <v>0</v>
      </c>
      <c r="AN164" s="117" t="n">
        <f aca="false">SUMIFS(الريسبي!$C$2:$C$1800,الريسبي!$A$2:$A$1800,$A164,الريسبي!$B$2:$B$1800,AN$1)+0.004166666667*SUMIFS(الريسبي!$C$2:$C$1800,الريسبي!$A$2:$A$1800,$A164,الريسبي!$B$2:$B$1800,"عجين كريب (مصنع بالمطعم)")+0.004166666667*SUMIFS(الريسبي!$C$2:$C$1800,الريسبي!$A$2:$A$1800,$A164,الريسبي!$B$2:$B$1800,"عجين كريب صيامي (بدون لبن)")</f>
        <v>0</v>
      </c>
      <c r="AO164" s="117" t="n">
        <f aca="false">SUMIFS(الريسبي!$C$2:$C$1800,الريسبي!$A$2:$A$1800,$A164,الريسبي!$B$2:$B$1800,AO$1)</f>
        <v>0</v>
      </c>
      <c r="AP164" s="117" t="n">
        <f aca="false">SUMIFS(الريسبي!$C$2:$C$1800,الريسبي!$A$2:$A$1800,$A164,الريسبي!$B$2:$B$1800,AP$1)</f>
        <v>0</v>
      </c>
      <c r="AQ164" s="117" t="n">
        <f aca="false">SUMIFS(الريسبي!$C$2:$C$1800,الريسبي!$A$2:$A$1800,$A164,الريسبي!$B$2:$B$1800,AQ$1)+0.004166666667*SUMIFS(الريسبي!$C$2:$C$1800,الريسبي!$A$2:$A$1800,$A164,الريسبي!$B$2:$B$1800,"عجين كريب (مصنع بالمطعم)")+0.004166666667*SUMIFS(الريسبي!$C$2:$C$1800,الريسبي!$A$2:$A$1800,$A164,الريسبي!$B$2:$B$1800,"عجين كريب صيامي (بدون لبن)")</f>
        <v>0</v>
      </c>
      <c r="AR164" s="117" t="n">
        <f aca="false">SUMIFS(الريسبي!$C$2:$C$1800,الريسبي!$A$2:$A$1800,$A164,الريسبي!$B$2:$B$1800,AR$1)</f>
        <v>0</v>
      </c>
      <c r="AS164" s="117" t="n">
        <f aca="false">SUMIFS(الريسبي!$C$2:$C$1800,الريسبي!$A$2:$A$1800,$A164,الريسبي!$B$2:$B$1800,AS$1)</f>
        <v>0</v>
      </c>
      <c r="AT164" s="117" t="n">
        <f aca="false">SUMIFS(الريسبي!$C$2:$C$1800,الريسبي!$A$2:$A$1800,$A164,الريسبي!$B$2:$B$1800,AT$1)</f>
        <v>0</v>
      </c>
      <c r="AU164" s="117" t="n">
        <f aca="false">SUMIFS(الريسبي!$C$2:$C$1800,الريسبي!$A$2:$A$1800,$A164,الريسبي!$B$2:$B$1800,AU$1)</f>
        <v>0</v>
      </c>
      <c r="AV164" s="117" t="n">
        <f aca="false">SUMIFS(الريسبي!$C$2:$C$1800,الريسبي!$A$2:$A$1800,$A164,الريسبي!$B$2:$B$1800,AV$1)</f>
        <v>0</v>
      </c>
      <c r="AW164" s="117" t="n">
        <f aca="false">SUMIFS(الريسبي!$C$2:$C$1800,الريسبي!$A$2:$A$1800,$A164,الريسبي!$B$2:$B$1800,AW$1)</f>
        <v>0</v>
      </c>
      <c r="AX164" s="117" t="n">
        <f aca="false">SUMIFS(الريسبي!$C$2:$C$1800,الريسبي!$A$2:$A$1800,$A164,الريسبي!$B$2:$B$1800,AX$1)</f>
        <v>0</v>
      </c>
      <c r="AY164" s="117" t="n">
        <f aca="false">SUMIFS(الريسبي!$C$2:$C$1800,الريسبي!$A$2:$A$1800,$A164,الريسبي!$B$2:$B$1800,AY$1)</f>
        <v>0</v>
      </c>
      <c r="AZ164" s="117" t="n">
        <f aca="false">SUMIFS(الريسبي!$C$2:$C$1800,الريسبي!$A$2:$A$1800,$A164,الريسبي!$B$2:$B$1800,AZ$1)</f>
        <v>0</v>
      </c>
      <c r="BA164" s="117" t="n">
        <f aca="false">SUMIFS(الريسبي!$C$2:$C$1800,الريسبي!$A$2:$A$1800,$A164,الريسبي!$B$2:$B$1800,BA$1)</f>
        <v>0</v>
      </c>
      <c r="BB164" s="117" t="n">
        <f aca="false">SUMIFS(الريسبي!$C$2:$C$1800,الريسبي!$A$2:$A$1800,$A164,الريسبي!$B$2:$B$1800,BB$1)</f>
        <v>0</v>
      </c>
      <c r="BC164" s="117" t="n">
        <f aca="false">SUMIFS(الريسبي!$C$2:$C$1800,الريسبي!$A$2:$A$1800,$A164,الريسبي!$B$2:$B$1800,BC$1)</f>
        <v>0</v>
      </c>
      <c r="BD164" s="117" t="n">
        <f aca="false">SUMIFS(الريسبي!$C$2:$C$1800,الريسبي!$A$2:$A$1800,$A164,الريسبي!$B$2:$B$1800,BD$1)</f>
        <v>0</v>
      </c>
      <c r="BE164" s="117" t="n">
        <f aca="false">SUMIFS(الريسبي!$C$2:$C$1800,الريسبي!$A$2:$A$1800,$A164,الريسبي!$B$2:$B$1800,BE$1)</f>
        <v>0</v>
      </c>
      <c r="BF164" s="117" t="n">
        <f aca="false">SUMIFS(الريسبي!$C$2:$C$1800,الريسبي!$A$2:$A$1800,$A164,الريسبي!$B$2:$B$1800,BF$1)</f>
        <v>0</v>
      </c>
      <c r="BG164" s="117" t="n">
        <f aca="false">SUMIFS(الريسبي!$C$2:$C$1800,الريسبي!$A$2:$A$1800,$A164,الريسبي!$B$2:$B$1800,BG$1)</f>
        <v>0</v>
      </c>
      <c r="BH164" s="117" t="n">
        <f aca="false">SUMIFS(الريسبي!$C$2:$C$1800,الريسبي!$A$2:$A$1800,$A164,الريسبي!$B$2:$B$1800,BH$1)</f>
        <v>0</v>
      </c>
      <c r="BI164" s="117" t="n">
        <f aca="false">SUMIFS(الريسبي!$C$2:$C$1800,الريسبي!$A$2:$A$1800,$A164,الريسبي!$B$2:$B$1800,BI$1)</f>
        <v>0</v>
      </c>
      <c r="BJ164" s="117" t="n">
        <f aca="false">SUMIFS(الريسبي!$C$2:$C$1800,الريسبي!$A$2:$A$1800,$A164,الريسبي!$B$2:$B$1800,BJ$1)</f>
        <v>0</v>
      </c>
      <c r="BK164" s="117" t="n">
        <f aca="false">SUMIFS(الريسبي!$C$2:$C$1800,الريسبي!$A$2:$A$1800,$A164,الريسبي!$B$2:$B$1800,BK$1)</f>
        <v>0</v>
      </c>
      <c r="BL164" s="117" t="n">
        <f aca="false">SUMIFS(الريسبي!$C$2:$C$1800,الريسبي!$A$2:$A$1800,$A164,الريسبي!$B$2:$B$1800,BL$1)</f>
        <v>0</v>
      </c>
      <c r="BM164" s="117" t="n">
        <f aca="false">SUMIFS(الريسبي!$C$2:$C$1800,الريسبي!$A$2:$A$1800,$A164,الريسبي!$B$2:$B$1800,BM$1)</f>
        <v>0</v>
      </c>
      <c r="BN164" s="117" t="n">
        <f aca="false">SUMIFS(الريسبي!$C$2:$C$1800,الريسبي!$A$2:$A$1800,$A164,الريسبي!$B$2:$B$1800,BN$1)</f>
        <v>0</v>
      </c>
      <c r="BO164" s="117" t="n">
        <f aca="false">SUMIFS(الريسبي!$C$2:$C$1800,الريسبي!$A$2:$A$1800,$A164,الريسبي!$B$2:$B$1800,BO$1)</f>
        <v>0</v>
      </c>
      <c r="BP164" s="117" t="n">
        <f aca="false">SUMIFS(الريسبي!$C$2:$C$1800,الريسبي!$A$2:$A$1800,$A164,الريسبي!$B$2:$B$1800,BP$1)</f>
        <v>0</v>
      </c>
      <c r="BQ164" s="117" t="n">
        <f aca="false">SUMIFS(الريسبي!$C$2:$C$1800,الريسبي!$A$2:$A$1800,$A164,الريسبي!$B$2:$B$1800,BQ$1)+0.17*SUMIFS(الريسبي!$C$2:$C$1800,الريسبي!$A$2:$A$1800,$A164,الريسبي!$B$2:$B$1800,"كاسترد مصنع (خليط بودر + لبن)")+0.17*SUMIFS(الريسبي!$C$2:$C$1800,الريسبي!$A$2:$A$1800,$A164,الريسبي!$B$2:$B$1800,"كاسترد مصنع صيامي (بدون لبن)")</f>
        <v>0</v>
      </c>
      <c r="BR164" s="117" t="n">
        <f aca="false">SUMIFS(الريسبي!$C$2:$C$1800,الريسبي!$A$2:$A$1800,$A164,الريسبي!$B$2:$B$1800,BR$1)</f>
        <v>0</v>
      </c>
      <c r="BS164" s="117" t="n">
        <f aca="false">SUMIFS(الريسبي!$C$2:$C$1800,الريسبي!$A$2:$A$1800,$A164,الريسبي!$B$2:$B$1800,BS$1)</f>
        <v>0</v>
      </c>
      <c r="BT164" s="117" t="n">
        <f aca="false">SUMIFS(الريسبي!$C$2:$C$1800,الريسبي!$A$2:$A$1800,$A164,الريسبي!$B$2:$B$1800,BT$1)</f>
        <v>0</v>
      </c>
      <c r="BU164" s="117" t="n">
        <f aca="false">SUMIFS(الريسبي!$C$2:$C$1800,الريسبي!$A$2:$A$1800,$A164,الريسبي!$B$2:$B$1800,BU$1)+0.4*SUMIFS(الريسبي!$C$2:$C$1800,الريسبي!$A$2:$A$1800,$A164,الريسبي!$B$2:$B$1800,"كاسترد مصنع (خليط بودر + لبن)")+0.03333333333*SUMIFS(الريسبي!$C$2:$C$1800,الريسبي!$A$2:$A$1800,$A164,الريسبي!$B$2:$B$1800,"عجين كريب (مصنع بالمطعم)")</f>
        <v>0</v>
      </c>
      <c r="BV164" s="117" t="n">
        <f aca="false">SUMIFS(الريسبي!$C$2:$C$1800,الريسبي!$A$2:$A$1800,$A164,الريسبي!$B$2:$B$1800,BV$1)</f>
        <v>0</v>
      </c>
      <c r="BW164" s="117" t="n">
        <f aca="false">SUMIFS(الريسبي!$C$2:$C$1800,الريسبي!$A$2:$A$1800,$A164,الريسبي!$B$2:$B$1800,BW$1)</f>
        <v>0</v>
      </c>
      <c r="BX164" s="117" t="n">
        <f aca="false">SUMIFS(الريسبي!$C$2:$C$1800,الريسبي!$A$2:$A$1800,$A164,الريسبي!$B$2:$B$1800,BX$1)</f>
        <v>0</v>
      </c>
      <c r="BY164" s="117" t="n">
        <f aca="false">SUMIFS(الريسبي!$C$2:$C$1800,الريسبي!$A$2:$A$1800,$A164,الريسبي!$B$2:$B$1800,BY$1)</f>
        <v>0</v>
      </c>
      <c r="BZ164" s="117" t="n">
        <f aca="false">SUMIFS(الريسبي!$C$2:$C$1800,الريسبي!$A$2:$A$1800,$A164,الريسبي!$B$2:$B$1800,BZ$1)</f>
        <v>0</v>
      </c>
      <c r="CA164" s="117" t="n">
        <f aca="false">SUMIFS(الريسبي!$C$2:$C$1800,الريسبي!$A$2:$A$1800,$A164,الريسبي!$B$2:$B$1800,CA$1)</f>
        <v>0</v>
      </c>
      <c r="CB164" s="117" t="n">
        <f aca="false">SUMIFS(الريسبي!$C$2:$C$1800,الريسبي!$A$2:$A$1800,$A164,الريسبي!$B$2:$B$1800,CB$1)</f>
        <v>0</v>
      </c>
      <c r="CC164" s="117" t="n">
        <f aca="false">SUMIFS(الريسبي!$C$2:$C$1800,الريسبي!$A$2:$A$1800,$A164,الريسبي!$B$2:$B$1800,CC$1)</f>
        <v>0</v>
      </c>
      <c r="CD164" s="117" t="n">
        <f aca="false">SUMIFS(الريسبي!$C$2:$C$1800,الريسبي!$A$2:$A$1800,$A164,الريسبي!$B$2:$B$1800,CD$1)</f>
        <v>0</v>
      </c>
      <c r="CE164" s="117" t="n">
        <f aca="false">SUMIFS(الريسبي!$C$2:$C$1800,الريسبي!$A$2:$A$1800,$A164,الريسبي!$B$2:$B$1800,CE$1)</f>
        <v>0</v>
      </c>
      <c r="CF164" s="117" t="n">
        <f aca="false">SUMIFS(الريسبي!$C$2:$C$1800,الريسبي!$A$2:$A$1800,$A164,الريسبي!$B$2:$B$1800,CF$1)</f>
        <v>0</v>
      </c>
      <c r="CG164" s="117" t="n">
        <f aca="false">SUMIFS(الريسبي!$C$2:$C$1800,الريسبي!$A$2:$A$1800,$A164,الريسبي!$B$2:$B$1800,CG$1)</f>
        <v>0</v>
      </c>
      <c r="CH164" s="117" t="n">
        <f aca="false">SUMIFS(الريسبي!$C$2:$C$1800,الريسبي!$A$2:$A$1800,$A164,الريسبي!$B$2:$B$1800,CH$1)</f>
        <v>0</v>
      </c>
      <c r="CI164" s="117" t="n">
        <f aca="false">SUMIFS(الريسبي!$C$2:$C$1800,الريسبي!$A$2:$A$1800,$A164,الريسبي!$B$2:$B$1800,CI$1)</f>
        <v>0</v>
      </c>
      <c r="CJ164" s="117" t="n">
        <f aca="false">SUMIFS(الريسبي!$C$2:$C$1800,الريسبي!$A$2:$A$1800,$A164,الريسبي!$B$2:$B$1800,CJ$1)</f>
        <v>0</v>
      </c>
      <c r="CK164" s="117" t="n">
        <f aca="false">SUMIFS(الريسبي!$C$2:$C$1800,الريسبي!$A$2:$A$1800,$A164,الريسبي!$B$2:$B$1800,CK$1)</f>
        <v>0</v>
      </c>
      <c r="CL164" s="117" t="n">
        <f aca="false">SUMIFS(الريسبي!$C$2:$C$1800,الريسبي!$A$2:$A$1800,$A164,الريسبي!$B$2:$B$1800,CL$1)</f>
        <v>0</v>
      </c>
    </row>
    <row r="165" customFormat="false" ht="15" hidden="false" customHeight="false" outlineLevel="0" collapsed="false">
      <c r="A165" s="116" t="str">
        <f aca="false">المنيو!B165</f>
        <v>اضافة حشو للاطراف (Small)</v>
      </c>
      <c r="B165" s="117" t="n">
        <f aca="false">SUMIFS(الريسبي!$C$2:$C$1800,الريسبي!$A$2:$A$1800,$A165,الريسبي!$B$2:$B$1800,B$1)</f>
        <v>0</v>
      </c>
      <c r="C165" s="117" t="n">
        <f aca="false">SUMIFS(الريسبي!$C$2:$C$1800,الريسبي!$A$2:$A$1800,$A165,الريسبي!$B$2:$B$1800,C$1)</f>
        <v>0</v>
      </c>
      <c r="D165" s="117" t="n">
        <f aca="false">SUMIFS(الريسبي!$C$2:$C$1800,الريسبي!$A$2:$A$1800,$A165,الريسبي!$B$2:$B$1800,D$1)</f>
        <v>0</v>
      </c>
      <c r="E165" s="117" t="n">
        <f aca="false">SUMIFS(الريسبي!$C$2:$C$1800,الريسبي!$A$2:$A$1800,$A165,الريسبي!$B$2:$B$1800,E$1)</f>
        <v>0</v>
      </c>
      <c r="F165" s="117" t="n">
        <f aca="false">SUMIFS(الريسبي!$C$2:$C$1800,الريسبي!$A$2:$A$1800,$A165,الريسبي!$B$2:$B$1800,F$1)</f>
        <v>0</v>
      </c>
      <c r="G165" s="117" t="n">
        <f aca="false">SUMIFS(الريسبي!$C$2:$C$1800,الريسبي!$A$2:$A$1800,$A165,الريسبي!$B$2:$B$1800,G$1)</f>
        <v>0</v>
      </c>
      <c r="H165" s="117" t="n">
        <f aca="false">SUMIFS(الريسبي!$C$2:$C$1800,الريسبي!$A$2:$A$1800,$A165,الريسبي!$B$2:$B$1800,H$1)</f>
        <v>0</v>
      </c>
      <c r="I165" s="117" t="n">
        <f aca="false">SUMIFS(الريسبي!$C$2:$C$1800,الريسبي!$A$2:$A$1800,$A165,الريسبي!$B$2:$B$1800,I$1)</f>
        <v>0</v>
      </c>
      <c r="J165" s="117" t="n">
        <f aca="false">SUMIFS(الريسبي!$C$2:$C$1800,الريسبي!$A$2:$A$1800,$A165,الريسبي!$B$2:$B$1800,J$1)</f>
        <v>0</v>
      </c>
      <c r="K165" s="117" t="n">
        <f aca="false">SUMIFS(الريسبي!$C$2:$C$1800,الريسبي!$A$2:$A$1800,$A165,الريسبي!$B$2:$B$1800,K$1)</f>
        <v>0</v>
      </c>
      <c r="L165" s="117" t="n">
        <f aca="false">SUMIFS(الريسبي!$C$2:$C$1800,الريسبي!$A$2:$A$1800,$A165,الريسبي!$B$2:$B$1800,L$1)</f>
        <v>0</v>
      </c>
      <c r="M165" s="117" t="n">
        <f aca="false">SUMIFS(الريسبي!$C$2:$C$1800,الريسبي!$A$2:$A$1800,$A165,الريسبي!$B$2:$B$1800,M$1)</f>
        <v>0</v>
      </c>
      <c r="N165" s="117" t="n">
        <f aca="false">SUMIFS(الريسبي!$C$2:$C$1800,الريسبي!$A$2:$A$1800,$A165,الريسبي!$B$2:$B$1800,N$1)</f>
        <v>0</v>
      </c>
      <c r="O165" s="117" t="n">
        <f aca="false">SUMIFS(الريسبي!$C$2:$C$1800,الريسبي!$A$2:$A$1800,$A165,الريسبي!$B$2:$B$1800,O$1)</f>
        <v>0</v>
      </c>
      <c r="P165" s="117" t="n">
        <f aca="false">SUMIFS(الريسبي!$C$2:$C$1800,الريسبي!$A$2:$A$1800,$A165,الريسبي!$B$2:$B$1800,P$1)</f>
        <v>0</v>
      </c>
      <c r="Q165" s="117" t="n">
        <f aca="false">SUMIFS(الريسبي!$C$2:$C$1800,الريسبي!$A$2:$A$1800,$A165,الريسبي!$B$2:$B$1800,Q$1)</f>
        <v>0</v>
      </c>
      <c r="R165" s="117" t="n">
        <f aca="false">SUMIFS(الريسبي!$C$2:$C$1800,الريسبي!$A$2:$A$1800,$A165,الريسبي!$B$2:$B$1800,R$1)</f>
        <v>0</v>
      </c>
      <c r="S165" s="117" t="n">
        <f aca="false">SUMIFS(الريسبي!$C$2:$C$1800,الريسبي!$A$2:$A$1800,$A165,الريسبي!$B$2:$B$1800,S$1)</f>
        <v>0</v>
      </c>
      <c r="T165" s="117" t="n">
        <f aca="false">SUMIFS(الريسبي!$C$2:$C$1800,الريسبي!$A$2:$A$1800,$A165,الريسبي!$B$2:$B$1800,T$1)</f>
        <v>0</v>
      </c>
      <c r="U165" s="117" t="n">
        <f aca="false">SUMIFS(الريسبي!$C$2:$C$1800,الريسبي!$A$2:$A$1800,$A165,الريسبي!$B$2:$B$1800,U$1)</f>
        <v>0</v>
      </c>
      <c r="V165" s="117" t="n">
        <f aca="false">SUMIFS(الريسبي!$C$2:$C$1800,الريسبي!$A$2:$A$1800,$A165,الريسبي!$B$2:$B$1800,V$1)+1.5*(SUMIFS(الريسبي!$C$2:$C$1800,الريسبي!$A$2:$A$1800,$A165,الريسبي!$B$2:$B$1800,"برسيون موتزريلا بيتزا كبير"))</f>
        <v>0.5</v>
      </c>
      <c r="W165" s="117" t="n">
        <f aca="false">0</f>
        <v>0</v>
      </c>
      <c r="X165" s="117" t="n">
        <f aca="false">SUMIFS(الريسبي!$C$2:$C$1800,الريسبي!$A$2:$A$1800,$A165,الريسبي!$B$2:$B$1800,X$1)+1.5*(SUMIFS(الريسبي!$C$2:$C$1800,الريسبي!$A$2:$A$1800,$A165,الريسبي!$B$2:$B$1800,"برسيون موتزريلا فطير كبير"))</f>
        <v>0</v>
      </c>
      <c r="Y165" s="117" t="n">
        <f aca="false">0</f>
        <v>0</v>
      </c>
      <c r="Z165" s="117" t="n">
        <f aca="false">SUMIFS(الريسبي!$C$2:$C$1800,الريسبي!$A$2:$A$1800,$A165,الريسبي!$B$2:$B$1800,Z$1)</f>
        <v>0</v>
      </c>
      <c r="AA165" s="117" t="n">
        <f aca="false">SUMIFS(الريسبي!$C$2:$C$1800,الريسبي!$A$2:$A$1800,$A165,الريسبي!$B$2:$B$1800,AA$1)</f>
        <v>0</v>
      </c>
      <c r="AB165" s="117" t="n">
        <f aca="false">SUMIFS(الريسبي!$C$2:$C$1800,الريسبي!$A$2:$A$1800,$A165,الريسبي!$B$2:$B$1800,AB$1)</f>
        <v>0</v>
      </c>
      <c r="AC165" s="117" t="n">
        <f aca="false">SUMIFS(الريسبي!$C$2:$C$1800,الريسبي!$A$2:$A$1800,$A165,الريسبي!$B$2:$B$1800,AC$1)</f>
        <v>0</v>
      </c>
      <c r="AD165" s="117" t="n">
        <f aca="false">SUMIFS(الريسبي!$C$2:$C$1800,الريسبي!$A$2:$A$1800,$A165,الريسبي!$B$2:$B$1800,AD$1)</f>
        <v>0</v>
      </c>
      <c r="AE165" s="117" t="n">
        <f aca="false">SUMIFS(الريسبي!$C$2:$C$1800,الريسبي!$A$2:$A$1800,$A165,الريسبي!$B$2:$B$1800,AE$1)</f>
        <v>0</v>
      </c>
      <c r="AF165" s="117" t="n">
        <f aca="false">SUMIFS(الريسبي!$C$2:$C$1800,الريسبي!$A$2:$A$1800,$A165,الريسبي!$B$2:$B$1800,AF$1)</f>
        <v>0</v>
      </c>
      <c r="AG165" s="117" t="n">
        <f aca="false">SUMIFS(الريسبي!$C$2:$C$1800,الريسبي!$A$2:$A$1800,$A165,الريسبي!$B$2:$B$1800,AG$1)</f>
        <v>0</v>
      </c>
      <c r="AH165" s="117" t="n">
        <f aca="false">SUMIFS(الريسبي!$C$2:$C$1800,الريسبي!$A$2:$A$1800,$A165,الريسبي!$B$2:$B$1800,AH$1)</f>
        <v>0</v>
      </c>
      <c r="AI165" s="117" t="n">
        <f aca="false">SUMIFS(الريسبي!$C$2:$C$1800,الريسبي!$A$2:$A$1800,$A165,الريسبي!$B$2:$B$1800,AI$1)</f>
        <v>0</v>
      </c>
      <c r="AJ165" s="117" t="n">
        <f aca="false">SUMIFS(الريسبي!$C$2:$C$1800,الريسبي!$A$2:$A$1800,$A165,الريسبي!$B$2:$B$1800,AJ$1)</f>
        <v>0</v>
      </c>
      <c r="AK165" s="117" t="n">
        <f aca="false">SUMIFS(الريسبي!$C$2:$C$1800,الريسبي!$A$2:$A$1800,$A165,الريسبي!$B$2:$B$1800,AK$1)</f>
        <v>0</v>
      </c>
      <c r="AL165" s="117" t="n">
        <f aca="false">SUMIFS(الريسبي!$C$2:$C$1800,الريسبي!$A$2:$A$1800,$A165,الريسبي!$B$2:$B$1800,AL$1)</f>
        <v>0</v>
      </c>
      <c r="AM165" s="117" t="n">
        <f aca="false">SUMIFS(الريسبي!$C$2:$C$1800,الريسبي!$A$2:$A$1800,$A165,الريسبي!$B$2:$B$1800,AM$1)+0.08333333333*SUMIFS(الريسبي!$C$2:$C$1800,الريسبي!$A$2:$A$1800,$A165,الريسبي!$B$2:$B$1800,"عجين كريب (مصنع بالمطعم)")+0.08333333333*SUMIFS(الريسبي!$C$2:$C$1800,الريسبي!$A$2:$A$1800,$A165,الريسبي!$B$2:$B$1800,"عجين كريب صيامي (بدون لبن)")</f>
        <v>0</v>
      </c>
      <c r="AN165" s="117" t="n">
        <f aca="false">SUMIFS(الريسبي!$C$2:$C$1800,الريسبي!$A$2:$A$1800,$A165,الريسبي!$B$2:$B$1800,AN$1)+0.004166666667*SUMIFS(الريسبي!$C$2:$C$1800,الريسبي!$A$2:$A$1800,$A165,الريسبي!$B$2:$B$1800,"عجين كريب (مصنع بالمطعم)")+0.004166666667*SUMIFS(الريسبي!$C$2:$C$1800,الريسبي!$A$2:$A$1800,$A165,الريسبي!$B$2:$B$1800,"عجين كريب صيامي (بدون لبن)")</f>
        <v>0</v>
      </c>
      <c r="AO165" s="117" t="n">
        <f aca="false">SUMIFS(الريسبي!$C$2:$C$1800,الريسبي!$A$2:$A$1800,$A165,الريسبي!$B$2:$B$1800,AO$1)</f>
        <v>0</v>
      </c>
      <c r="AP165" s="117" t="n">
        <f aca="false">SUMIFS(الريسبي!$C$2:$C$1800,الريسبي!$A$2:$A$1800,$A165,الريسبي!$B$2:$B$1800,AP$1)</f>
        <v>0</v>
      </c>
      <c r="AQ165" s="117" t="n">
        <f aca="false">SUMIFS(الريسبي!$C$2:$C$1800,الريسبي!$A$2:$A$1800,$A165,الريسبي!$B$2:$B$1800,AQ$1)+0.004166666667*SUMIFS(الريسبي!$C$2:$C$1800,الريسبي!$A$2:$A$1800,$A165,الريسبي!$B$2:$B$1800,"عجين كريب (مصنع بالمطعم)")+0.004166666667*SUMIFS(الريسبي!$C$2:$C$1800,الريسبي!$A$2:$A$1800,$A165,الريسبي!$B$2:$B$1800,"عجين كريب صيامي (بدون لبن)")</f>
        <v>0</v>
      </c>
      <c r="AR165" s="117" t="n">
        <f aca="false">SUMIFS(الريسبي!$C$2:$C$1800,الريسبي!$A$2:$A$1800,$A165,الريسبي!$B$2:$B$1800,AR$1)</f>
        <v>0</v>
      </c>
      <c r="AS165" s="117" t="n">
        <f aca="false">SUMIFS(الريسبي!$C$2:$C$1800,الريسبي!$A$2:$A$1800,$A165,الريسبي!$B$2:$B$1800,AS$1)</f>
        <v>0</v>
      </c>
      <c r="AT165" s="117" t="n">
        <f aca="false">SUMIFS(الريسبي!$C$2:$C$1800,الريسبي!$A$2:$A$1800,$A165,الريسبي!$B$2:$B$1800,AT$1)</f>
        <v>0</v>
      </c>
      <c r="AU165" s="117" t="n">
        <f aca="false">SUMIFS(الريسبي!$C$2:$C$1800,الريسبي!$A$2:$A$1800,$A165,الريسبي!$B$2:$B$1800,AU$1)</f>
        <v>0</v>
      </c>
      <c r="AV165" s="117" t="n">
        <f aca="false">SUMIFS(الريسبي!$C$2:$C$1800,الريسبي!$A$2:$A$1800,$A165,الريسبي!$B$2:$B$1800,AV$1)</f>
        <v>0</v>
      </c>
      <c r="AW165" s="117" t="n">
        <f aca="false">SUMIFS(الريسبي!$C$2:$C$1800,الريسبي!$A$2:$A$1800,$A165,الريسبي!$B$2:$B$1800,AW$1)</f>
        <v>0</v>
      </c>
      <c r="AX165" s="117" t="n">
        <f aca="false">SUMIFS(الريسبي!$C$2:$C$1800,الريسبي!$A$2:$A$1800,$A165,الريسبي!$B$2:$B$1800,AX$1)</f>
        <v>0</v>
      </c>
      <c r="AY165" s="117" t="n">
        <f aca="false">SUMIFS(الريسبي!$C$2:$C$1800,الريسبي!$A$2:$A$1800,$A165,الريسبي!$B$2:$B$1800,AY$1)</f>
        <v>0</v>
      </c>
      <c r="AZ165" s="117" t="n">
        <f aca="false">SUMIFS(الريسبي!$C$2:$C$1800,الريسبي!$A$2:$A$1800,$A165,الريسبي!$B$2:$B$1800,AZ$1)</f>
        <v>0</v>
      </c>
      <c r="BA165" s="117" t="n">
        <f aca="false">SUMIFS(الريسبي!$C$2:$C$1800,الريسبي!$A$2:$A$1800,$A165,الريسبي!$B$2:$B$1800,BA$1)</f>
        <v>0</v>
      </c>
      <c r="BB165" s="117" t="n">
        <f aca="false">SUMIFS(الريسبي!$C$2:$C$1800,الريسبي!$A$2:$A$1800,$A165,الريسبي!$B$2:$B$1800,BB$1)</f>
        <v>0</v>
      </c>
      <c r="BC165" s="117" t="n">
        <f aca="false">SUMIFS(الريسبي!$C$2:$C$1800,الريسبي!$A$2:$A$1800,$A165,الريسبي!$B$2:$B$1800,BC$1)</f>
        <v>0</v>
      </c>
      <c r="BD165" s="117" t="n">
        <f aca="false">SUMIFS(الريسبي!$C$2:$C$1800,الريسبي!$A$2:$A$1800,$A165,الريسبي!$B$2:$B$1800,BD$1)</f>
        <v>0</v>
      </c>
      <c r="BE165" s="117" t="n">
        <f aca="false">SUMIFS(الريسبي!$C$2:$C$1800,الريسبي!$A$2:$A$1800,$A165,الريسبي!$B$2:$B$1800,BE$1)</f>
        <v>0</v>
      </c>
      <c r="BF165" s="117" t="n">
        <f aca="false">SUMIFS(الريسبي!$C$2:$C$1800,الريسبي!$A$2:$A$1800,$A165,الريسبي!$B$2:$B$1800,BF$1)</f>
        <v>0</v>
      </c>
      <c r="BG165" s="117" t="n">
        <f aca="false">SUMIFS(الريسبي!$C$2:$C$1800,الريسبي!$A$2:$A$1800,$A165,الريسبي!$B$2:$B$1800,BG$1)</f>
        <v>0</v>
      </c>
      <c r="BH165" s="117" t="n">
        <f aca="false">SUMIFS(الريسبي!$C$2:$C$1800,الريسبي!$A$2:$A$1800,$A165,الريسبي!$B$2:$B$1800,BH$1)</f>
        <v>0</v>
      </c>
      <c r="BI165" s="117" t="n">
        <f aca="false">SUMIFS(الريسبي!$C$2:$C$1800,الريسبي!$A$2:$A$1800,$A165,الريسبي!$B$2:$B$1800,BI$1)</f>
        <v>0</v>
      </c>
      <c r="BJ165" s="117" t="n">
        <f aca="false">SUMIFS(الريسبي!$C$2:$C$1800,الريسبي!$A$2:$A$1800,$A165,الريسبي!$B$2:$B$1800,BJ$1)</f>
        <v>0</v>
      </c>
      <c r="BK165" s="117" t="n">
        <f aca="false">SUMIFS(الريسبي!$C$2:$C$1800,الريسبي!$A$2:$A$1800,$A165,الريسبي!$B$2:$B$1800,BK$1)</f>
        <v>0</v>
      </c>
      <c r="BL165" s="117" t="n">
        <f aca="false">SUMIFS(الريسبي!$C$2:$C$1800,الريسبي!$A$2:$A$1800,$A165,الريسبي!$B$2:$B$1800,BL$1)</f>
        <v>0</v>
      </c>
      <c r="BM165" s="117" t="n">
        <f aca="false">SUMIFS(الريسبي!$C$2:$C$1800,الريسبي!$A$2:$A$1800,$A165,الريسبي!$B$2:$B$1800,BM$1)</f>
        <v>0</v>
      </c>
      <c r="BN165" s="117" t="n">
        <f aca="false">SUMIFS(الريسبي!$C$2:$C$1800,الريسبي!$A$2:$A$1800,$A165,الريسبي!$B$2:$B$1800,BN$1)</f>
        <v>0</v>
      </c>
      <c r="BO165" s="117" t="n">
        <f aca="false">SUMIFS(الريسبي!$C$2:$C$1800,الريسبي!$A$2:$A$1800,$A165,الريسبي!$B$2:$B$1800,BO$1)</f>
        <v>0</v>
      </c>
      <c r="BP165" s="117" t="n">
        <f aca="false">SUMIFS(الريسبي!$C$2:$C$1800,الريسبي!$A$2:$A$1800,$A165,الريسبي!$B$2:$B$1800,BP$1)</f>
        <v>0</v>
      </c>
      <c r="BQ165" s="117" t="n">
        <f aca="false">SUMIFS(الريسبي!$C$2:$C$1800,الريسبي!$A$2:$A$1800,$A165,الريسبي!$B$2:$B$1800,BQ$1)+0.17*SUMIFS(الريسبي!$C$2:$C$1800,الريسبي!$A$2:$A$1800,$A165,الريسبي!$B$2:$B$1800,"كاسترد مصنع (خليط بودر + لبن)")+0.17*SUMIFS(الريسبي!$C$2:$C$1800,الريسبي!$A$2:$A$1800,$A165,الريسبي!$B$2:$B$1800,"كاسترد مصنع صيامي (بدون لبن)")</f>
        <v>0</v>
      </c>
      <c r="BR165" s="117" t="n">
        <f aca="false">SUMIFS(الريسبي!$C$2:$C$1800,الريسبي!$A$2:$A$1800,$A165,الريسبي!$B$2:$B$1800,BR$1)</f>
        <v>0</v>
      </c>
      <c r="BS165" s="117" t="n">
        <f aca="false">SUMIFS(الريسبي!$C$2:$C$1800,الريسبي!$A$2:$A$1800,$A165,الريسبي!$B$2:$B$1800,BS$1)</f>
        <v>0</v>
      </c>
      <c r="BT165" s="117" t="n">
        <f aca="false">SUMIFS(الريسبي!$C$2:$C$1800,الريسبي!$A$2:$A$1800,$A165,الريسبي!$B$2:$B$1800,BT$1)</f>
        <v>0</v>
      </c>
      <c r="BU165" s="117" t="n">
        <f aca="false">SUMIFS(الريسبي!$C$2:$C$1800,الريسبي!$A$2:$A$1800,$A165,الريسبي!$B$2:$B$1800,BU$1)+0.4*SUMIFS(الريسبي!$C$2:$C$1800,الريسبي!$A$2:$A$1800,$A165,الريسبي!$B$2:$B$1800,"كاسترد مصنع (خليط بودر + لبن)")+0.03333333333*SUMIFS(الريسبي!$C$2:$C$1800,الريسبي!$A$2:$A$1800,$A165,الريسبي!$B$2:$B$1800,"عجين كريب (مصنع بالمطعم)")</f>
        <v>0</v>
      </c>
      <c r="BV165" s="117" t="n">
        <f aca="false">SUMIFS(الريسبي!$C$2:$C$1800,الريسبي!$A$2:$A$1800,$A165,الريسبي!$B$2:$B$1800,BV$1)</f>
        <v>0</v>
      </c>
      <c r="BW165" s="117" t="n">
        <f aca="false">SUMIFS(الريسبي!$C$2:$C$1800,الريسبي!$A$2:$A$1800,$A165,الريسبي!$B$2:$B$1800,BW$1)</f>
        <v>0</v>
      </c>
      <c r="BX165" s="117" t="n">
        <f aca="false">SUMIFS(الريسبي!$C$2:$C$1800,الريسبي!$A$2:$A$1800,$A165,الريسبي!$B$2:$B$1800,BX$1)</f>
        <v>0</v>
      </c>
      <c r="BY165" s="117" t="n">
        <f aca="false">SUMIFS(الريسبي!$C$2:$C$1800,الريسبي!$A$2:$A$1800,$A165,الريسبي!$B$2:$B$1800,BY$1)</f>
        <v>0</v>
      </c>
      <c r="BZ165" s="117" t="n">
        <f aca="false">SUMIFS(الريسبي!$C$2:$C$1800,الريسبي!$A$2:$A$1800,$A165,الريسبي!$B$2:$B$1800,BZ$1)</f>
        <v>0</v>
      </c>
      <c r="CA165" s="117" t="n">
        <f aca="false">SUMIFS(الريسبي!$C$2:$C$1800,الريسبي!$A$2:$A$1800,$A165,الريسبي!$B$2:$B$1800,CA$1)</f>
        <v>0</v>
      </c>
      <c r="CB165" s="117" t="n">
        <f aca="false">SUMIFS(الريسبي!$C$2:$C$1800,الريسبي!$A$2:$A$1800,$A165,الريسبي!$B$2:$B$1800,CB$1)</f>
        <v>0</v>
      </c>
      <c r="CC165" s="117" t="n">
        <f aca="false">SUMIFS(الريسبي!$C$2:$C$1800,الريسبي!$A$2:$A$1800,$A165,الريسبي!$B$2:$B$1800,CC$1)</f>
        <v>0</v>
      </c>
      <c r="CD165" s="117" t="n">
        <f aca="false">SUMIFS(الريسبي!$C$2:$C$1800,الريسبي!$A$2:$A$1800,$A165,الريسبي!$B$2:$B$1800,CD$1)</f>
        <v>0</v>
      </c>
      <c r="CE165" s="117" t="n">
        <f aca="false">SUMIFS(الريسبي!$C$2:$C$1800,الريسبي!$A$2:$A$1800,$A165,الريسبي!$B$2:$B$1800,CE$1)</f>
        <v>0</v>
      </c>
      <c r="CF165" s="117" t="n">
        <f aca="false">SUMIFS(الريسبي!$C$2:$C$1800,الريسبي!$A$2:$A$1800,$A165,الريسبي!$B$2:$B$1800,CF$1)</f>
        <v>0</v>
      </c>
      <c r="CG165" s="117" t="n">
        <f aca="false">SUMIFS(الريسبي!$C$2:$C$1800,الريسبي!$A$2:$A$1800,$A165,الريسبي!$B$2:$B$1800,CG$1)</f>
        <v>0</v>
      </c>
      <c r="CH165" s="117" t="n">
        <f aca="false">SUMIFS(الريسبي!$C$2:$C$1800,الريسبي!$A$2:$A$1800,$A165,الريسبي!$B$2:$B$1800,CH$1)</f>
        <v>0</v>
      </c>
      <c r="CI165" s="117" t="n">
        <f aca="false">SUMIFS(الريسبي!$C$2:$C$1800,الريسبي!$A$2:$A$1800,$A165,الريسبي!$B$2:$B$1800,CI$1)</f>
        <v>0</v>
      </c>
      <c r="CJ165" s="117" t="n">
        <f aca="false">SUMIFS(الريسبي!$C$2:$C$1800,الريسبي!$A$2:$A$1800,$A165,الريسبي!$B$2:$B$1800,CJ$1)</f>
        <v>0</v>
      </c>
      <c r="CK165" s="117" t="n">
        <f aca="false">SUMIFS(الريسبي!$C$2:$C$1800,الريسبي!$A$2:$A$1800,$A165,الريسبي!$B$2:$B$1800,CK$1)</f>
        <v>0</v>
      </c>
      <c r="CL165" s="117" t="n">
        <f aca="false">SUMIFS(الريسبي!$C$2:$C$1800,الريسبي!$A$2:$A$1800,$A165,الريسبي!$B$2:$B$1800,CL$1)</f>
        <v>0</v>
      </c>
    </row>
    <row r="166" customFormat="false" ht="15" hidden="false" customHeight="false" outlineLevel="0" collapsed="false">
      <c r="A166" s="116" t="str">
        <f aca="false">المنيو!B166</f>
        <v>اضافة حشو للاطراف (Medium)</v>
      </c>
      <c r="B166" s="117" t="n">
        <f aca="false">SUMIFS(الريسبي!$C$2:$C$1800,الريسبي!$A$2:$A$1800,$A166,الريسبي!$B$2:$B$1800,B$1)</f>
        <v>0</v>
      </c>
      <c r="C166" s="117" t="n">
        <f aca="false">SUMIFS(الريسبي!$C$2:$C$1800,الريسبي!$A$2:$A$1800,$A166,الريسبي!$B$2:$B$1800,C$1)</f>
        <v>0</v>
      </c>
      <c r="D166" s="117" t="n">
        <f aca="false">SUMIFS(الريسبي!$C$2:$C$1800,الريسبي!$A$2:$A$1800,$A166,الريسبي!$B$2:$B$1800,D$1)</f>
        <v>0</v>
      </c>
      <c r="E166" s="117" t="n">
        <f aca="false">SUMIFS(الريسبي!$C$2:$C$1800,الريسبي!$A$2:$A$1800,$A166,الريسبي!$B$2:$B$1800,E$1)</f>
        <v>0</v>
      </c>
      <c r="F166" s="117" t="n">
        <f aca="false">SUMIFS(الريسبي!$C$2:$C$1800,الريسبي!$A$2:$A$1800,$A166,الريسبي!$B$2:$B$1800,F$1)</f>
        <v>0</v>
      </c>
      <c r="G166" s="117" t="n">
        <f aca="false">SUMIFS(الريسبي!$C$2:$C$1800,الريسبي!$A$2:$A$1800,$A166,الريسبي!$B$2:$B$1800,G$1)</f>
        <v>0</v>
      </c>
      <c r="H166" s="117" t="n">
        <f aca="false">SUMIFS(الريسبي!$C$2:$C$1800,الريسبي!$A$2:$A$1800,$A166,الريسبي!$B$2:$B$1800,H$1)</f>
        <v>0</v>
      </c>
      <c r="I166" s="117" t="n">
        <f aca="false">SUMIFS(الريسبي!$C$2:$C$1800,الريسبي!$A$2:$A$1800,$A166,الريسبي!$B$2:$B$1800,I$1)</f>
        <v>0</v>
      </c>
      <c r="J166" s="117" t="n">
        <f aca="false">SUMIFS(الريسبي!$C$2:$C$1800,الريسبي!$A$2:$A$1800,$A166,الريسبي!$B$2:$B$1800,J$1)</f>
        <v>0</v>
      </c>
      <c r="K166" s="117" t="n">
        <f aca="false">SUMIFS(الريسبي!$C$2:$C$1800,الريسبي!$A$2:$A$1800,$A166,الريسبي!$B$2:$B$1800,K$1)</f>
        <v>0</v>
      </c>
      <c r="L166" s="117" t="n">
        <f aca="false">SUMIFS(الريسبي!$C$2:$C$1800,الريسبي!$A$2:$A$1800,$A166,الريسبي!$B$2:$B$1800,L$1)</f>
        <v>0</v>
      </c>
      <c r="M166" s="117" t="n">
        <f aca="false">SUMIFS(الريسبي!$C$2:$C$1800,الريسبي!$A$2:$A$1800,$A166,الريسبي!$B$2:$B$1800,M$1)</f>
        <v>0</v>
      </c>
      <c r="N166" s="117" t="n">
        <f aca="false">SUMIFS(الريسبي!$C$2:$C$1800,الريسبي!$A$2:$A$1800,$A166,الريسبي!$B$2:$B$1800,N$1)</f>
        <v>0</v>
      </c>
      <c r="O166" s="117" t="n">
        <f aca="false">SUMIFS(الريسبي!$C$2:$C$1800,الريسبي!$A$2:$A$1800,$A166,الريسبي!$B$2:$B$1800,O$1)</f>
        <v>0</v>
      </c>
      <c r="P166" s="117" t="n">
        <f aca="false">SUMIFS(الريسبي!$C$2:$C$1800,الريسبي!$A$2:$A$1800,$A166,الريسبي!$B$2:$B$1800,P$1)</f>
        <v>0</v>
      </c>
      <c r="Q166" s="117" t="n">
        <f aca="false">SUMIFS(الريسبي!$C$2:$C$1800,الريسبي!$A$2:$A$1800,$A166,الريسبي!$B$2:$B$1800,Q$1)</f>
        <v>0</v>
      </c>
      <c r="R166" s="117" t="n">
        <f aca="false">SUMIFS(الريسبي!$C$2:$C$1800,الريسبي!$A$2:$A$1800,$A166,الريسبي!$B$2:$B$1800,R$1)</f>
        <v>0</v>
      </c>
      <c r="S166" s="117" t="n">
        <f aca="false">SUMIFS(الريسبي!$C$2:$C$1800,الريسبي!$A$2:$A$1800,$A166,الريسبي!$B$2:$B$1800,S$1)</f>
        <v>0</v>
      </c>
      <c r="T166" s="117" t="n">
        <f aca="false">SUMIFS(الريسبي!$C$2:$C$1800,الريسبي!$A$2:$A$1800,$A166,الريسبي!$B$2:$B$1800,T$1)</f>
        <v>0</v>
      </c>
      <c r="U166" s="117" t="n">
        <f aca="false">SUMIFS(الريسبي!$C$2:$C$1800,الريسبي!$A$2:$A$1800,$A166,الريسبي!$B$2:$B$1800,U$1)</f>
        <v>0</v>
      </c>
      <c r="V166" s="117" t="n">
        <f aca="false">SUMIFS(الريسبي!$C$2:$C$1800,الريسبي!$A$2:$A$1800,$A166,الريسبي!$B$2:$B$1800,V$1)+1.5*(SUMIFS(الريسبي!$C$2:$C$1800,الريسبي!$A$2:$A$1800,$A166,الريسبي!$B$2:$B$1800,"برسيون موتزريلا بيتزا كبير"))</f>
        <v>1.125</v>
      </c>
      <c r="W166" s="117" t="n">
        <f aca="false">0</f>
        <v>0</v>
      </c>
      <c r="X166" s="117" t="n">
        <f aca="false">SUMIFS(الريسبي!$C$2:$C$1800,الريسبي!$A$2:$A$1800,$A166,الريسبي!$B$2:$B$1800,X$1)+1.5*(SUMIFS(الريسبي!$C$2:$C$1800,الريسبي!$A$2:$A$1800,$A166,الريسبي!$B$2:$B$1800,"برسيون موتزريلا فطير كبير"))</f>
        <v>0</v>
      </c>
      <c r="Y166" s="117" t="n">
        <f aca="false">0</f>
        <v>0</v>
      </c>
      <c r="Z166" s="117" t="n">
        <f aca="false">SUMIFS(الريسبي!$C$2:$C$1800,الريسبي!$A$2:$A$1800,$A166,الريسبي!$B$2:$B$1800,Z$1)</f>
        <v>0</v>
      </c>
      <c r="AA166" s="117" t="n">
        <f aca="false">SUMIFS(الريسبي!$C$2:$C$1800,الريسبي!$A$2:$A$1800,$A166,الريسبي!$B$2:$B$1800,AA$1)</f>
        <v>0</v>
      </c>
      <c r="AB166" s="117" t="n">
        <f aca="false">SUMIFS(الريسبي!$C$2:$C$1800,الريسبي!$A$2:$A$1800,$A166,الريسبي!$B$2:$B$1800,AB$1)</f>
        <v>0</v>
      </c>
      <c r="AC166" s="117" t="n">
        <f aca="false">SUMIFS(الريسبي!$C$2:$C$1800,الريسبي!$A$2:$A$1800,$A166,الريسبي!$B$2:$B$1800,AC$1)</f>
        <v>0</v>
      </c>
      <c r="AD166" s="117" t="n">
        <f aca="false">SUMIFS(الريسبي!$C$2:$C$1800,الريسبي!$A$2:$A$1800,$A166,الريسبي!$B$2:$B$1800,AD$1)</f>
        <v>0</v>
      </c>
      <c r="AE166" s="117" t="n">
        <f aca="false">SUMIFS(الريسبي!$C$2:$C$1800,الريسبي!$A$2:$A$1800,$A166,الريسبي!$B$2:$B$1800,AE$1)</f>
        <v>0</v>
      </c>
      <c r="AF166" s="117" t="n">
        <f aca="false">SUMIFS(الريسبي!$C$2:$C$1800,الريسبي!$A$2:$A$1800,$A166,الريسبي!$B$2:$B$1800,AF$1)</f>
        <v>0</v>
      </c>
      <c r="AG166" s="117" t="n">
        <f aca="false">SUMIFS(الريسبي!$C$2:$C$1800,الريسبي!$A$2:$A$1800,$A166,الريسبي!$B$2:$B$1800,AG$1)</f>
        <v>0</v>
      </c>
      <c r="AH166" s="117" t="n">
        <f aca="false">SUMIFS(الريسبي!$C$2:$C$1800,الريسبي!$A$2:$A$1800,$A166,الريسبي!$B$2:$B$1800,AH$1)</f>
        <v>0</v>
      </c>
      <c r="AI166" s="117" t="n">
        <f aca="false">SUMIFS(الريسبي!$C$2:$C$1800,الريسبي!$A$2:$A$1800,$A166,الريسبي!$B$2:$B$1800,AI$1)</f>
        <v>0</v>
      </c>
      <c r="AJ166" s="117" t="n">
        <f aca="false">SUMIFS(الريسبي!$C$2:$C$1800,الريسبي!$A$2:$A$1800,$A166,الريسبي!$B$2:$B$1800,AJ$1)</f>
        <v>0</v>
      </c>
      <c r="AK166" s="117" t="n">
        <f aca="false">SUMIFS(الريسبي!$C$2:$C$1800,الريسبي!$A$2:$A$1800,$A166,الريسبي!$B$2:$B$1800,AK$1)</f>
        <v>0</v>
      </c>
      <c r="AL166" s="117" t="n">
        <f aca="false">SUMIFS(الريسبي!$C$2:$C$1800,الريسبي!$A$2:$A$1800,$A166,الريسبي!$B$2:$B$1800,AL$1)</f>
        <v>0</v>
      </c>
      <c r="AM166" s="117" t="n">
        <f aca="false">SUMIFS(الريسبي!$C$2:$C$1800,الريسبي!$A$2:$A$1800,$A166,الريسبي!$B$2:$B$1800,AM$1)+0.08333333333*SUMIFS(الريسبي!$C$2:$C$1800,الريسبي!$A$2:$A$1800,$A166,الريسبي!$B$2:$B$1800,"عجين كريب (مصنع بالمطعم)")+0.08333333333*SUMIFS(الريسبي!$C$2:$C$1800,الريسبي!$A$2:$A$1800,$A166,الريسبي!$B$2:$B$1800,"عجين كريب صيامي (بدون لبن)")</f>
        <v>0</v>
      </c>
      <c r="AN166" s="117" t="n">
        <f aca="false">SUMIFS(الريسبي!$C$2:$C$1800,الريسبي!$A$2:$A$1800,$A166,الريسبي!$B$2:$B$1800,AN$1)+0.004166666667*SUMIFS(الريسبي!$C$2:$C$1800,الريسبي!$A$2:$A$1800,$A166,الريسبي!$B$2:$B$1800,"عجين كريب (مصنع بالمطعم)")+0.004166666667*SUMIFS(الريسبي!$C$2:$C$1800,الريسبي!$A$2:$A$1800,$A166,الريسبي!$B$2:$B$1800,"عجين كريب صيامي (بدون لبن)")</f>
        <v>0</v>
      </c>
      <c r="AO166" s="117" t="n">
        <f aca="false">SUMIFS(الريسبي!$C$2:$C$1800,الريسبي!$A$2:$A$1800,$A166,الريسبي!$B$2:$B$1800,AO$1)</f>
        <v>0</v>
      </c>
      <c r="AP166" s="117" t="n">
        <f aca="false">SUMIFS(الريسبي!$C$2:$C$1800,الريسبي!$A$2:$A$1800,$A166,الريسبي!$B$2:$B$1800,AP$1)</f>
        <v>0</v>
      </c>
      <c r="AQ166" s="117" t="n">
        <f aca="false">SUMIFS(الريسبي!$C$2:$C$1800,الريسبي!$A$2:$A$1800,$A166,الريسبي!$B$2:$B$1800,AQ$1)+0.004166666667*SUMIFS(الريسبي!$C$2:$C$1800,الريسبي!$A$2:$A$1800,$A166,الريسبي!$B$2:$B$1800,"عجين كريب (مصنع بالمطعم)")+0.004166666667*SUMIFS(الريسبي!$C$2:$C$1800,الريسبي!$A$2:$A$1800,$A166,الريسبي!$B$2:$B$1800,"عجين كريب صيامي (بدون لبن)")</f>
        <v>0</v>
      </c>
      <c r="AR166" s="117" t="n">
        <f aca="false">SUMIFS(الريسبي!$C$2:$C$1800,الريسبي!$A$2:$A$1800,$A166,الريسبي!$B$2:$B$1800,AR$1)</f>
        <v>0</v>
      </c>
      <c r="AS166" s="117" t="n">
        <f aca="false">SUMIFS(الريسبي!$C$2:$C$1800,الريسبي!$A$2:$A$1800,$A166,الريسبي!$B$2:$B$1800,AS$1)</f>
        <v>0</v>
      </c>
      <c r="AT166" s="117" t="n">
        <f aca="false">SUMIFS(الريسبي!$C$2:$C$1800,الريسبي!$A$2:$A$1800,$A166,الريسبي!$B$2:$B$1800,AT$1)</f>
        <v>0</v>
      </c>
      <c r="AU166" s="117" t="n">
        <f aca="false">SUMIFS(الريسبي!$C$2:$C$1800,الريسبي!$A$2:$A$1800,$A166,الريسبي!$B$2:$B$1800,AU$1)</f>
        <v>0</v>
      </c>
      <c r="AV166" s="117" t="n">
        <f aca="false">SUMIFS(الريسبي!$C$2:$C$1800,الريسبي!$A$2:$A$1800,$A166,الريسبي!$B$2:$B$1800,AV$1)</f>
        <v>0</v>
      </c>
      <c r="AW166" s="117" t="n">
        <f aca="false">SUMIFS(الريسبي!$C$2:$C$1800,الريسبي!$A$2:$A$1800,$A166,الريسبي!$B$2:$B$1800,AW$1)</f>
        <v>0</v>
      </c>
      <c r="AX166" s="117" t="n">
        <f aca="false">SUMIFS(الريسبي!$C$2:$C$1800,الريسبي!$A$2:$A$1800,$A166,الريسبي!$B$2:$B$1800,AX$1)</f>
        <v>0</v>
      </c>
      <c r="AY166" s="117" t="n">
        <f aca="false">SUMIFS(الريسبي!$C$2:$C$1800,الريسبي!$A$2:$A$1800,$A166,الريسبي!$B$2:$B$1800,AY$1)</f>
        <v>0</v>
      </c>
      <c r="AZ166" s="117" t="n">
        <f aca="false">SUMIFS(الريسبي!$C$2:$C$1800,الريسبي!$A$2:$A$1800,$A166,الريسبي!$B$2:$B$1800,AZ$1)</f>
        <v>0</v>
      </c>
      <c r="BA166" s="117" t="n">
        <f aca="false">SUMIFS(الريسبي!$C$2:$C$1800,الريسبي!$A$2:$A$1800,$A166,الريسبي!$B$2:$B$1800,BA$1)</f>
        <v>0</v>
      </c>
      <c r="BB166" s="117" t="n">
        <f aca="false">SUMIFS(الريسبي!$C$2:$C$1800,الريسبي!$A$2:$A$1800,$A166,الريسبي!$B$2:$B$1800,BB$1)</f>
        <v>0</v>
      </c>
      <c r="BC166" s="117" t="n">
        <f aca="false">SUMIFS(الريسبي!$C$2:$C$1800,الريسبي!$A$2:$A$1800,$A166,الريسبي!$B$2:$B$1800,BC$1)</f>
        <v>0</v>
      </c>
      <c r="BD166" s="117" t="n">
        <f aca="false">SUMIFS(الريسبي!$C$2:$C$1800,الريسبي!$A$2:$A$1800,$A166,الريسبي!$B$2:$B$1800,BD$1)</f>
        <v>0</v>
      </c>
      <c r="BE166" s="117" t="n">
        <f aca="false">SUMIFS(الريسبي!$C$2:$C$1800,الريسبي!$A$2:$A$1800,$A166,الريسبي!$B$2:$B$1800,BE$1)</f>
        <v>0</v>
      </c>
      <c r="BF166" s="117" t="n">
        <f aca="false">SUMIFS(الريسبي!$C$2:$C$1800,الريسبي!$A$2:$A$1800,$A166,الريسبي!$B$2:$B$1800,BF$1)</f>
        <v>0</v>
      </c>
      <c r="BG166" s="117" t="n">
        <f aca="false">SUMIFS(الريسبي!$C$2:$C$1800,الريسبي!$A$2:$A$1800,$A166,الريسبي!$B$2:$B$1800,BG$1)</f>
        <v>0</v>
      </c>
      <c r="BH166" s="117" t="n">
        <f aca="false">SUMIFS(الريسبي!$C$2:$C$1800,الريسبي!$A$2:$A$1800,$A166,الريسبي!$B$2:$B$1800,BH$1)</f>
        <v>0</v>
      </c>
      <c r="BI166" s="117" t="n">
        <f aca="false">SUMIFS(الريسبي!$C$2:$C$1800,الريسبي!$A$2:$A$1800,$A166,الريسبي!$B$2:$B$1800,BI$1)</f>
        <v>0</v>
      </c>
      <c r="BJ166" s="117" t="n">
        <f aca="false">SUMIFS(الريسبي!$C$2:$C$1800,الريسبي!$A$2:$A$1800,$A166,الريسبي!$B$2:$B$1800,BJ$1)</f>
        <v>0</v>
      </c>
      <c r="BK166" s="117" t="n">
        <f aca="false">SUMIFS(الريسبي!$C$2:$C$1800,الريسبي!$A$2:$A$1800,$A166,الريسبي!$B$2:$B$1800,BK$1)</f>
        <v>0</v>
      </c>
      <c r="BL166" s="117" t="n">
        <f aca="false">SUMIFS(الريسبي!$C$2:$C$1800,الريسبي!$A$2:$A$1800,$A166,الريسبي!$B$2:$B$1800,BL$1)</f>
        <v>0</v>
      </c>
      <c r="BM166" s="117" t="n">
        <f aca="false">SUMIFS(الريسبي!$C$2:$C$1800,الريسبي!$A$2:$A$1800,$A166,الريسبي!$B$2:$B$1800,BM$1)</f>
        <v>0</v>
      </c>
      <c r="BN166" s="117" t="n">
        <f aca="false">SUMIFS(الريسبي!$C$2:$C$1800,الريسبي!$A$2:$A$1800,$A166,الريسبي!$B$2:$B$1800,BN$1)</f>
        <v>0</v>
      </c>
      <c r="BO166" s="117" t="n">
        <f aca="false">SUMIFS(الريسبي!$C$2:$C$1800,الريسبي!$A$2:$A$1800,$A166,الريسبي!$B$2:$B$1800,BO$1)</f>
        <v>0</v>
      </c>
      <c r="BP166" s="117" t="n">
        <f aca="false">SUMIFS(الريسبي!$C$2:$C$1800,الريسبي!$A$2:$A$1800,$A166,الريسبي!$B$2:$B$1800,BP$1)</f>
        <v>0</v>
      </c>
      <c r="BQ166" s="117" t="n">
        <f aca="false">SUMIFS(الريسبي!$C$2:$C$1800,الريسبي!$A$2:$A$1800,$A166,الريسبي!$B$2:$B$1800,BQ$1)+0.17*SUMIFS(الريسبي!$C$2:$C$1800,الريسبي!$A$2:$A$1800,$A166,الريسبي!$B$2:$B$1800,"كاسترد مصنع (خليط بودر + لبن)")+0.17*SUMIFS(الريسبي!$C$2:$C$1800,الريسبي!$A$2:$A$1800,$A166,الريسبي!$B$2:$B$1800,"كاسترد مصنع صيامي (بدون لبن)")</f>
        <v>0</v>
      </c>
      <c r="BR166" s="117" t="n">
        <f aca="false">SUMIFS(الريسبي!$C$2:$C$1800,الريسبي!$A$2:$A$1800,$A166,الريسبي!$B$2:$B$1800,BR$1)</f>
        <v>0</v>
      </c>
      <c r="BS166" s="117" t="n">
        <f aca="false">SUMIFS(الريسبي!$C$2:$C$1800,الريسبي!$A$2:$A$1800,$A166,الريسبي!$B$2:$B$1800,BS$1)</f>
        <v>0</v>
      </c>
      <c r="BT166" s="117" t="n">
        <f aca="false">SUMIFS(الريسبي!$C$2:$C$1800,الريسبي!$A$2:$A$1800,$A166,الريسبي!$B$2:$B$1800,BT$1)</f>
        <v>0</v>
      </c>
      <c r="BU166" s="117" t="n">
        <f aca="false">SUMIFS(الريسبي!$C$2:$C$1800,الريسبي!$A$2:$A$1800,$A166,الريسبي!$B$2:$B$1800,BU$1)+0.4*SUMIFS(الريسبي!$C$2:$C$1800,الريسبي!$A$2:$A$1800,$A166,الريسبي!$B$2:$B$1800,"كاسترد مصنع (خليط بودر + لبن)")+0.03333333333*SUMIFS(الريسبي!$C$2:$C$1800,الريسبي!$A$2:$A$1800,$A166,الريسبي!$B$2:$B$1800,"عجين كريب (مصنع بالمطعم)")</f>
        <v>0</v>
      </c>
      <c r="BV166" s="117" t="n">
        <f aca="false">SUMIFS(الريسبي!$C$2:$C$1800,الريسبي!$A$2:$A$1800,$A166,الريسبي!$B$2:$B$1800,BV$1)</f>
        <v>0</v>
      </c>
      <c r="BW166" s="117" t="n">
        <f aca="false">SUMIFS(الريسبي!$C$2:$C$1800,الريسبي!$A$2:$A$1800,$A166,الريسبي!$B$2:$B$1800,BW$1)</f>
        <v>0</v>
      </c>
      <c r="BX166" s="117" t="n">
        <f aca="false">SUMIFS(الريسبي!$C$2:$C$1800,الريسبي!$A$2:$A$1800,$A166,الريسبي!$B$2:$B$1800,BX$1)</f>
        <v>0</v>
      </c>
      <c r="BY166" s="117" t="n">
        <f aca="false">SUMIFS(الريسبي!$C$2:$C$1800,الريسبي!$A$2:$A$1800,$A166,الريسبي!$B$2:$B$1800,BY$1)</f>
        <v>0</v>
      </c>
      <c r="BZ166" s="117" t="n">
        <f aca="false">SUMIFS(الريسبي!$C$2:$C$1800,الريسبي!$A$2:$A$1800,$A166,الريسبي!$B$2:$B$1800,BZ$1)</f>
        <v>0</v>
      </c>
      <c r="CA166" s="117" t="n">
        <f aca="false">SUMIFS(الريسبي!$C$2:$C$1800,الريسبي!$A$2:$A$1800,$A166,الريسبي!$B$2:$B$1800,CA$1)</f>
        <v>0</v>
      </c>
      <c r="CB166" s="117" t="n">
        <f aca="false">SUMIFS(الريسبي!$C$2:$C$1800,الريسبي!$A$2:$A$1800,$A166,الريسبي!$B$2:$B$1800,CB$1)</f>
        <v>0</v>
      </c>
      <c r="CC166" s="117" t="n">
        <f aca="false">SUMIFS(الريسبي!$C$2:$C$1800,الريسبي!$A$2:$A$1800,$A166,الريسبي!$B$2:$B$1800,CC$1)</f>
        <v>0</v>
      </c>
      <c r="CD166" s="117" t="n">
        <f aca="false">SUMIFS(الريسبي!$C$2:$C$1800,الريسبي!$A$2:$A$1800,$A166,الريسبي!$B$2:$B$1800,CD$1)</f>
        <v>0</v>
      </c>
      <c r="CE166" s="117" t="n">
        <f aca="false">SUMIFS(الريسبي!$C$2:$C$1800,الريسبي!$A$2:$A$1800,$A166,الريسبي!$B$2:$B$1800,CE$1)</f>
        <v>0</v>
      </c>
      <c r="CF166" s="117" t="n">
        <f aca="false">SUMIFS(الريسبي!$C$2:$C$1800,الريسبي!$A$2:$A$1800,$A166,الريسبي!$B$2:$B$1800,CF$1)</f>
        <v>0</v>
      </c>
      <c r="CG166" s="117" t="n">
        <f aca="false">SUMIFS(الريسبي!$C$2:$C$1800,الريسبي!$A$2:$A$1800,$A166,الريسبي!$B$2:$B$1800,CG$1)</f>
        <v>0</v>
      </c>
      <c r="CH166" s="117" t="n">
        <f aca="false">SUMIFS(الريسبي!$C$2:$C$1800,الريسبي!$A$2:$A$1800,$A166,الريسبي!$B$2:$B$1800,CH$1)</f>
        <v>0</v>
      </c>
      <c r="CI166" s="117" t="n">
        <f aca="false">SUMIFS(الريسبي!$C$2:$C$1800,الريسبي!$A$2:$A$1800,$A166,الريسبي!$B$2:$B$1800,CI$1)</f>
        <v>0</v>
      </c>
      <c r="CJ166" s="117" t="n">
        <f aca="false">SUMIFS(الريسبي!$C$2:$C$1800,الريسبي!$A$2:$A$1800,$A166,الريسبي!$B$2:$B$1800,CJ$1)</f>
        <v>0</v>
      </c>
      <c r="CK166" s="117" t="n">
        <f aca="false">SUMIFS(الريسبي!$C$2:$C$1800,الريسبي!$A$2:$A$1800,$A166,الريسبي!$B$2:$B$1800,CK$1)</f>
        <v>0</v>
      </c>
      <c r="CL166" s="117" t="n">
        <f aca="false">SUMIFS(الريسبي!$C$2:$C$1800,الريسبي!$A$2:$A$1800,$A166,الريسبي!$B$2:$B$1800,CL$1)</f>
        <v>0</v>
      </c>
    </row>
    <row r="167" customFormat="false" ht="15" hidden="false" customHeight="false" outlineLevel="0" collapsed="false">
      <c r="A167" s="116" t="str">
        <f aca="false">المنيو!B167</f>
        <v>صوص رانش إضافي (M)</v>
      </c>
      <c r="B167" s="117" t="n">
        <f aca="false">SUMIFS(الريسبي!$C$2:$C$1800,الريسبي!$A$2:$A$1800,$A167,الريسبي!$B$2:$B$1800,B$1)</f>
        <v>0</v>
      </c>
      <c r="C167" s="117" t="n">
        <f aca="false">SUMIFS(الريسبي!$C$2:$C$1800,الريسبي!$A$2:$A$1800,$A167,الريسبي!$B$2:$B$1800,C$1)</f>
        <v>0</v>
      </c>
      <c r="D167" s="117" t="n">
        <f aca="false">SUMIFS(الريسبي!$C$2:$C$1800,الريسبي!$A$2:$A$1800,$A167,الريسبي!$B$2:$B$1800,D$1)</f>
        <v>0</v>
      </c>
      <c r="E167" s="117" t="n">
        <f aca="false">SUMIFS(الريسبي!$C$2:$C$1800,الريسبي!$A$2:$A$1800,$A167,الريسبي!$B$2:$B$1800,E$1)</f>
        <v>0</v>
      </c>
      <c r="F167" s="117" t="n">
        <f aca="false">SUMIFS(الريسبي!$C$2:$C$1800,الريسبي!$A$2:$A$1800,$A167,الريسبي!$B$2:$B$1800,F$1)</f>
        <v>0</v>
      </c>
      <c r="G167" s="117" t="n">
        <f aca="false">SUMIFS(الريسبي!$C$2:$C$1800,الريسبي!$A$2:$A$1800,$A167,الريسبي!$B$2:$B$1800,G$1)</f>
        <v>0</v>
      </c>
      <c r="H167" s="117" t="n">
        <f aca="false">SUMIFS(الريسبي!$C$2:$C$1800,الريسبي!$A$2:$A$1800,$A167,الريسبي!$B$2:$B$1800,H$1)</f>
        <v>0</v>
      </c>
      <c r="I167" s="117" t="n">
        <f aca="false">SUMIFS(الريسبي!$C$2:$C$1800,الريسبي!$A$2:$A$1800,$A167,الريسبي!$B$2:$B$1800,I$1)</f>
        <v>0</v>
      </c>
      <c r="J167" s="117" t="n">
        <f aca="false">SUMIFS(الريسبي!$C$2:$C$1800,الريسبي!$A$2:$A$1800,$A167,الريسبي!$B$2:$B$1800,J$1)</f>
        <v>0</v>
      </c>
      <c r="K167" s="117" t="n">
        <f aca="false">SUMIFS(الريسبي!$C$2:$C$1800,الريسبي!$A$2:$A$1800,$A167,الريسبي!$B$2:$B$1800,K$1)</f>
        <v>0</v>
      </c>
      <c r="L167" s="117" t="n">
        <f aca="false">SUMIFS(الريسبي!$C$2:$C$1800,الريسبي!$A$2:$A$1800,$A167,الريسبي!$B$2:$B$1800,L$1)</f>
        <v>0</v>
      </c>
      <c r="M167" s="117" t="n">
        <f aca="false">SUMIFS(الريسبي!$C$2:$C$1800,الريسبي!$A$2:$A$1800,$A167,الريسبي!$B$2:$B$1800,M$1)</f>
        <v>0</v>
      </c>
      <c r="N167" s="117" t="n">
        <f aca="false">SUMIFS(الريسبي!$C$2:$C$1800,الريسبي!$A$2:$A$1800,$A167,الريسبي!$B$2:$B$1800,N$1)</f>
        <v>0</v>
      </c>
      <c r="O167" s="117" t="n">
        <f aca="false">SUMIFS(الريسبي!$C$2:$C$1800,الريسبي!$A$2:$A$1800,$A167,الريسبي!$B$2:$B$1800,O$1)</f>
        <v>0</v>
      </c>
      <c r="P167" s="117" t="n">
        <f aca="false">SUMIFS(الريسبي!$C$2:$C$1800,الريسبي!$A$2:$A$1800,$A167,الريسبي!$B$2:$B$1800,P$1)</f>
        <v>0</v>
      </c>
      <c r="Q167" s="117" t="n">
        <f aca="false">SUMIFS(الريسبي!$C$2:$C$1800,الريسبي!$A$2:$A$1800,$A167,الريسبي!$B$2:$B$1800,Q$1)</f>
        <v>0</v>
      </c>
      <c r="R167" s="117" t="n">
        <f aca="false">SUMIFS(الريسبي!$C$2:$C$1800,الريسبي!$A$2:$A$1800,$A167,الريسبي!$B$2:$B$1800,R$1)</f>
        <v>0</v>
      </c>
      <c r="S167" s="117" t="n">
        <f aca="false">SUMIFS(الريسبي!$C$2:$C$1800,الريسبي!$A$2:$A$1800,$A167,الريسبي!$B$2:$B$1800,S$1)</f>
        <v>0</v>
      </c>
      <c r="T167" s="117" t="n">
        <f aca="false">SUMIFS(الريسبي!$C$2:$C$1800,الريسبي!$A$2:$A$1800,$A167,الريسبي!$B$2:$B$1800,T$1)</f>
        <v>0</v>
      </c>
      <c r="U167" s="117" t="n">
        <f aca="false">SUMIFS(الريسبي!$C$2:$C$1800,الريسبي!$A$2:$A$1800,$A167,الريسبي!$B$2:$B$1800,U$1)</f>
        <v>0</v>
      </c>
      <c r="V167" s="117" t="n">
        <f aca="false">SUMIFS(الريسبي!$C$2:$C$1800,الريسبي!$A$2:$A$1800,$A167,الريسبي!$B$2:$B$1800,V$1)+1.5*(SUMIFS(الريسبي!$C$2:$C$1800,الريسبي!$A$2:$A$1800,$A167,الريسبي!$B$2:$B$1800,"برسيون موتزريلا بيتزا كبير"))</f>
        <v>0</v>
      </c>
      <c r="W167" s="117" t="n">
        <f aca="false">0</f>
        <v>0</v>
      </c>
      <c r="X167" s="117" t="n">
        <f aca="false">SUMIFS(الريسبي!$C$2:$C$1800,الريسبي!$A$2:$A$1800,$A167,الريسبي!$B$2:$B$1800,X$1)+1.5*(SUMIFS(الريسبي!$C$2:$C$1800,الريسبي!$A$2:$A$1800,$A167,الريسبي!$B$2:$B$1800,"برسيون موتزريلا فطير كبير"))</f>
        <v>0</v>
      </c>
      <c r="Y167" s="117" t="n">
        <f aca="false">0</f>
        <v>0</v>
      </c>
      <c r="Z167" s="117" t="n">
        <f aca="false">SUMIFS(الريسبي!$C$2:$C$1800,الريسبي!$A$2:$A$1800,$A167,الريسبي!$B$2:$B$1800,Z$1)</f>
        <v>0</v>
      </c>
      <c r="AA167" s="117" t="n">
        <f aca="false">SUMIFS(الريسبي!$C$2:$C$1800,الريسبي!$A$2:$A$1800,$A167,الريسبي!$B$2:$B$1800,AA$1)</f>
        <v>0</v>
      </c>
      <c r="AB167" s="117" t="n">
        <f aca="false">SUMIFS(الريسبي!$C$2:$C$1800,الريسبي!$A$2:$A$1800,$A167,الريسبي!$B$2:$B$1800,AB$1)</f>
        <v>0</v>
      </c>
      <c r="AC167" s="117" t="n">
        <f aca="false">SUMIFS(الريسبي!$C$2:$C$1800,الريسبي!$A$2:$A$1800,$A167,الريسبي!$B$2:$B$1800,AC$1)</f>
        <v>0</v>
      </c>
      <c r="AD167" s="117" t="n">
        <f aca="false">SUMIFS(الريسبي!$C$2:$C$1800,الريسبي!$A$2:$A$1800,$A167,الريسبي!$B$2:$B$1800,AD$1)</f>
        <v>0</v>
      </c>
      <c r="AE167" s="117" t="n">
        <f aca="false">SUMIFS(الريسبي!$C$2:$C$1800,الريسبي!$A$2:$A$1800,$A167,الريسبي!$B$2:$B$1800,AE$1)</f>
        <v>0</v>
      </c>
      <c r="AF167" s="117" t="n">
        <f aca="false">SUMIFS(الريسبي!$C$2:$C$1800,الريسبي!$A$2:$A$1800,$A167,الريسبي!$B$2:$B$1800,AF$1)</f>
        <v>0</v>
      </c>
      <c r="AG167" s="117" t="n">
        <f aca="false">SUMIFS(الريسبي!$C$2:$C$1800,الريسبي!$A$2:$A$1800,$A167,الريسبي!$B$2:$B$1800,AG$1)</f>
        <v>0</v>
      </c>
      <c r="AH167" s="117" t="n">
        <f aca="false">SUMIFS(الريسبي!$C$2:$C$1800,الريسبي!$A$2:$A$1800,$A167,الريسبي!$B$2:$B$1800,AH$1)</f>
        <v>0</v>
      </c>
      <c r="AI167" s="117" t="n">
        <f aca="false">SUMIFS(الريسبي!$C$2:$C$1800,الريسبي!$A$2:$A$1800,$A167,الريسبي!$B$2:$B$1800,AI$1)</f>
        <v>0</v>
      </c>
      <c r="AJ167" s="117" t="n">
        <f aca="false">SUMIFS(الريسبي!$C$2:$C$1800,الريسبي!$A$2:$A$1800,$A167,الريسبي!$B$2:$B$1800,AJ$1)</f>
        <v>0</v>
      </c>
      <c r="AK167" s="117" t="n">
        <f aca="false">SUMIFS(الريسبي!$C$2:$C$1800,الريسبي!$A$2:$A$1800,$A167,الريسبي!$B$2:$B$1800,AK$1)</f>
        <v>0</v>
      </c>
      <c r="AL167" s="117" t="n">
        <f aca="false">SUMIFS(الريسبي!$C$2:$C$1800,الريسبي!$A$2:$A$1800,$A167,الريسبي!$B$2:$B$1800,AL$1)</f>
        <v>0</v>
      </c>
      <c r="AM167" s="117" t="n">
        <f aca="false">SUMIFS(الريسبي!$C$2:$C$1800,الريسبي!$A$2:$A$1800,$A167,الريسبي!$B$2:$B$1800,AM$1)+0.08333333333*SUMIFS(الريسبي!$C$2:$C$1800,الريسبي!$A$2:$A$1800,$A167,الريسبي!$B$2:$B$1800,"عجين كريب (مصنع بالمطعم)")+0.08333333333*SUMIFS(الريسبي!$C$2:$C$1800,الريسبي!$A$2:$A$1800,$A167,الريسبي!$B$2:$B$1800,"عجين كريب صيامي (بدون لبن)")</f>
        <v>0</v>
      </c>
      <c r="AN167" s="117" t="n">
        <f aca="false">SUMIFS(الريسبي!$C$2:$C$1800,الريسبي!$A$2:$A$1800,$A167,الريسبي!$B$2:$B$1800,AN$1)+0.004166666667*SUMIFS(الريسبي!$C$2:$C$1800,الريسبي!$A$2:$A$1800,$A167,الريسبي!$B$2:$B$1800,"عجين كريب (مصنع بالمطعم)")+0.004166666667*SUMIFS(الريسبي!$C$2:$C$1800,الريسبي!$A$2:$A$1800,$A167,الريسبي!$B$2:$B$1800,"عجين كريب صيامي (بدون لبن)")</f>
        <v>0</v>
      </c>
      <c r="AO167" s="117" t="n">
        <f aca="false">SUMIFS(الريسبي!$C$2:$C$1800,الريسبي!$A$2:$A$1800,$A167,الريسبي!$B$2:$B$1800,AO$1)</f>
        <v>0</v>
      </c>
      <c r="AP167" s="117" t="n">
        <f aca="false">SUMIFS(الريسبي!$C$2:$C$1800,الريسبي!$A$2:$A$1800,$A167,الريسبي!$B$2:$B$1800,AP$1)</f>
        <v>0</v>
      </c>
      <c r="AQ167" s="117" t="n">
        <f aca="false">SUMIFS(الريسبي!$C$2:$C$1800,الريسبي!$A$2:$A$1800,$A167,الريسبي!$B$2:$B$1800,AQ$1)+0.004166666667*SUMIFS(الريسبي!$C$2:$C$1800,الريسبي!$A$2:$A$1800,$A167,الريسبي!$B$2:$B$1800,"عجين كريب (مصنع بالمطعم)")+0.004166666667*SUMIFS(الريسبي!$C$2:$C$1800,الريسبي!$A$2:$A$1800,$A167,الريسبي!$B$2:$B$1800,"عجين كريب صيامي (بدون لبن)")</f>
        <v>0</v>
      </c>
      <c r="AR167" s="117" t="n">
        <f aca="false">SUMIFS(الريسبي!$C$2:$C$1800,الريسبي!$A$2:$A$1800,$A167,الريسبي!$B$2:$B$1800,AR$1)</f>
        <v>0</v>
      </c>
      <c r="AS167" s="117" t="n">
        <f aca="false">SUMIFS(الريسبي!$C$2:$C$1800,الريسبي!$A$2:$A$1800,$A167,الريسبي!$B$2:$B$1800,AS$1)</f>
        <v>0</v>
      </c>
      <c r="AT167" s="117" t="n">
        <f aca="false">SUMIFS(الريسبي!$C$2:$C$1800,الريسبي!$A$2:$A$1800,$A167,الريسبي!$B$2:$B$1800,AT$1)</f>
        <v>0</v>
      </c>
      <c r="AU167" s="117" t="n">
        <f aca="false">SUMIFS(الريسبي!$C$2:$C$1800,الريسبي!$A$2:$A$1800,$A167,الريسبي!$B$2:$B$1800,AU$1)</f>
        <v>0</v>
      </c>
      <c r="AV167" s="117" t="n">
        <f aca="false">SUMIFS(الريسبي!$C$2:$C$1800,الريسبي!$A$2:$A$1800,$A167,الريسبي!$B$2:$B$1800,AV$1)</f>
        <v>0</v>
      </c>
      <c r="AW167" s="117" t="n">
        <f aca="false">SUMIFS(الريسبي!$C$2:$C$1800,الريسبي!$A$2:$A$1800,$A167,الريسبي!$B$2:$B$1800,AW$1)</f>
        <v>0</v>
      </c>
      <c r="AX167" s="117" t="n">
        <f aca="false">SUMIFS(الريسبي!$C$2:$C$1800,الريسبي!$A$2:$A$1800,$A167,الريسبي!$B$2:$B$1800,AX$1)</f>
        <v>0</v>
      </c>
      <c r="AY167" s="117" t="n">
        <f aca="false">SUMIFS(الريسبي!$C$2:$C$1800,الريسبي!$A$2:$A$1800,$A167,الريسبي!$B$2:$B$1800,AY$1)</f>
        <v>0</v>
      </c>
      <c r="AZ167" s="117" t="n">
        <f aca="false">SUMIFS(الريسبي!$C$2:$C$1800,الريسبي!$A$2:$A$1800,$A167,الريسبي!$B$2:$B$1800,AZ$1)</f>
        <v>0</v>
      </c>
      <c r="BA167" s="117" t="n">
        <f aca="false">SUMIFS(الريسبي!$C$2:$C$1800,الريسبي!$A$2:$A$1800,$A167,الريسبي!$B$2:$B$1800,BA$1)</f>
        <v>0.1</v>
      </c>
      <c r="BB167" s="117" t="n">
        <f aca="false">SUMIFS(الريسبي!$C$2:$C$1800,الريسبي!$A$2:$A$1800,$A167,الريسبي!$B$2:$B$1800,BB$1)</f>
        <v>0</v>
      </c>
      <c r="BC167" s="117" t="n">
        <f aca="false">SUMIFS(الريسبي!$C$2:$C$1800,الريسبي!$A$2:$A$1800,$A167,الريسبي!$B$2:$B$1800,BC$1)</f>
        <v>0</v>
      </c>
      <c r="BD167" s="117" t="n">
        <f aca="false">SUMIFS(الريسبي!$C$2:$C$1800,الريسبي!$A$2:$A$1800,$A167,الريسبي!$B$2:$B$1800,BD$1)</f>
        <v>0</v>
      </c>
      <c r="BE167" s="117" t="n">
        <f aca="false">SUMIFS(الريسبي!$C$2:$C$1800,الريسبي!$A$2:$A$1800,$A167,الريسبي!$B$2:$B$1800,BE$1)</f>
        <v>0</v>
      </c>
      <c r="BF167" s="117" t="n">
        <f aca="false">SUMIFS(الريسبي!$C$2:$C$1800,الريسبي!$A$2:$A$1800,$A167,الريسبي!$B$2:$B$1800,BF$1)</f>
        <v>0</v>
      </c>
      <c r="BG167" s="117" t="n">
        <f aca="false">SUMIFS(الريسبي!$C$2:$C$1800,الريسبي!$A$2:$A$1800,$A167,الريسبي!$B$2:$B$1800,BG$1)</f>
        <v>0</v>
      </c>
      <c r="BH167" s="117" t="n">
        <f aca="false">SUMIFS(الريسبي!$C$2:$C$1800,الريسبي!$A$2:$A$1800,$A167,الريسبي!$B$2:$B$1800,BH$1)</f>
        <v>0</v>
      </c>
      <c r="BI167" s="117" t="n">
        <f aca="false">SUMIFS(الريسبي!$C$2:$C$1800,الريسبي!$A$2:$A$1800,$A167,الريسبي!$B$2:$B$1800,BI$1)</f>
        <v>0</v>
      </c>
      <c r="BJ167" s="117" t="n">
        <f aca="false">SUMIFS(الريسبي!$C$2:$C$1800,الريسبي!$A$2:$A$1800,$A167,الريسبي!$B$2:$B$1800,BJ$1)</f>
        <v>0</v>
      </c>
      <c r="BK167" s="117" t="n">
        <f aca="false">SUMIFS(الريسبي!$C$2:$C$1800,الريسبي!$A$2:$A$1800,$A167,الريسبي!$B$2:$B$1800,BK$1)</f>
        <v>0</v>
      </c>
      <c r="BL167" s="117" t="n">
        <f aca="false">SUMIFS(الريسبي!$C$2:$C$1800,الريسبي!$A$2:$A$1800,$A167,الريسبي!$B$2:$B$1800,BL$1)</f>
        <v>0</v>
      </c>
      <c r="BM167" s="117" t="n">
        <f aca="false">SUMIFS(الريسبي!$C$2:$C$1800,الريسبي!$A$2:$A$1800,$A167,الريسبي!$B$2:$B$1800,BM$1)</f>
        <v>0</v>
      </c>
      <c r="BN167" s="117" t="n">
        <f aca="false">SUMIFS(الريسبي!$C$2:$C$1800,الريسبي!$A$2:$A$1800,$A167,الريسبي!$B$2:$B$1800,BN$1)</f>
        <v>0</v>
      </c>
      <c r="BO167" s="117" t="n">
        <f aca="false">SUMIFS(الريسبي!$C$2:$C$1800,الريسبي!$A$2:$A$1800,$A167,الريسبي!$B$2:$B$1800,BO$1)</f>
        <v>0</v>
      </c>
      <c r="BP167" s="117" t="n">
        <f aca="false">SUMIFS(الريسبي!$C$2:$C$1800,الريسبي!$A$2:$A$1800,$A167,الريسبي!$B$2:$B$1800,BP$1)</f>
        <v>0</v>
      </c>
      <c r="BQ167" s="117" t="n">
        <f aca="false">SUMIFS(الريسبي!$C$2:$C$1800,الريسبي!$A$2:$A$1800,$A167,الريسبي!$B$2:$B$1800,BQ$1)+0.17*SUMIFS(الريسبي!$C$2:$C$1800,الريسبي!$A$2:$A$1800,$A167,الريسبي!$B$2:$B$1800,"كاسترد مصنع (خليط بودر + لبن)")+0.17*SUMIFS(الريسبي!$C$2:$C$1800,الريسبي!$A$2:$A$1800,$A167,الريسبي!$B$2:$B$1800,"كاسترد مصنع صيامي (بدون لبن)")</f>
        <v>0</v>
      </c>
      <c r="BR167" s="117" t="n">
        <f aca="false">SUMIFS(الريسبي!$C$2:$C$1800,الريسبي!$A$2:$A$1800,$A167,الريسبي!$B$2:$B$1800,BR$1)</f>
        <v>0</v>
      </c>
      <c r="BS167" s="117" t="n">
        <f aca="false">SUMIFS(الريسبي!$C$2:$C$1800,الريسبي!$A$2:$A$1800,$A167,الريسبي!$B$2:$B$1800,BS$1)</f>
        <v>0</v>
      </c>
      <c r="BT167" s="117" t="n">
        <f aca="false">SUMIFS(الريسبي!$C$2:$C$1800,الريسبي!$A$2:$A$1800,$A167,الريسبي!$B$2:$B$1800,BT$1)</f>
        <v>0</v>
      </c>
      <c r="BU167" s="117" t="n">
        <f aca="false">SUMIFS(الريسبي!$C$2:$C$1800,الريسبي!$A$2:$A$1800,$A167,الريسبي!$B$2:$B$1800,BU$1)+0.4*SUMIFS(الريسبي!$C$2:$C$1800,الريسبي!$A$2:$A$1800,$A167,الريسبي!$B$2:$B$1800,"كاسترد مصنع (خليط بودر + لبن)")+0.03333333333*SUMIFS(الريسبي!$C$2:$C$1800,الريسبي!$A$2:$A$1800,$A167,الريسبي!$B$2:$B$1800,"عجين كريب (مصنع بالمطعم)")</f>
        <v>0</v>
      </c>
      <c r="BV167" s="117" t="n">
        <f aca="false">SUMIFS(الريسبي!$C$2:$C$1800,الريسبي!$A$2:$A$1800,$A167,الريسبي!$B$2:$B$1800,BV$1)</f>
        <v>0</v>
      </c>
      <c r="BW167" s="117" t="n">
        <f aca="false">SUMIFS(الريسبي!$C$2:$C$1800,الريسبي!$A$2:$A$1800,$A167,الريسبي!$B$2:$B$1800,BW$1)</f>
        <v>0</v>
      </c>
      <c r="BX167" s="117" t="n">
        <f aca="false">SUMIFS(الريسبي!$C$2:$C$1800,الريسبي!$A$2:$A$1800,$A167,الريسبي!$B$2:$B$1800,BX$1)</f>
        <v>0</v>
      </c>
      <c r="BY167" s="117" t="n">
        <f aca="false">SUMIFS(الريسبي!$C$2:$C$1800,الريسبي!$A$2:$A$1800,$A167,الريسبي!$B$2:$B$1800,BY$1)</f>
        <v>0</v>
      </c>
      <c r="BZ167" s="117" t="n">
        <f aca="false">SUMIFS(الريسبي!$C$2:$C$1800,الريسبي!$A$2:$A$1800,$A167,الريسبي!$B$2:$B$1800,BZ$1)</f>
        <v>0</v>
      </c>
      <c r="CA167" s="117" t="n">
        <f aca="false">SUMIFS(الريسبي!$C$2:$C$1800,الريسبي!$A$2:$A$1800,$A167,الريسبي!$B$2:$B$1800,CA$1)</f>
        <v>0</v>
      </c>
      <c r="CB167" s="117" t="n">
        <f aca="false">SUMIFS(الريسبي!$C$2:$C$1800,الريسبي!$A$2:$A$1800,$A167,الريسبي!$B$2:$B$1800,CB$1)</f>
        <v>0</v>
      </c>
      <c r="CC167" s="117" t="n">
        <f aca="false">SUMIFS(الريسبي!$C$2:$C$1800,الريسبي!$A$2:$A$1800,$A167,الريسبي!$B$2:$B$1800,CC$1)</f>
        <v>0</v>
      </c>
      <c r="CD167" s="117" t="n">
        <f aca="false">SUMIFS(الريسبي!$C$2:$C$1800,الريسبي!$A$2:$A$1800,$A167,الريسبي!$B$2:$B$1800,CD$1)</f>
        <v>0</v>
      </c>
      <c r="CE167" s="117" t="n">
        <f aca="false">SUMIFS(الريسبي!$C$2:$C$1800,الريسبي!$A$2:$A$1800,$A167,الريسبي!$B$2:$B$1800,CE$1)</f>
        <v>0</v>
      </c>
      <c r="CF167" s="117" t="n">
        <f aca="false">SUMIFS(الريسبي!$C$2:$C$1800,الريسبي!$A$2:$A$1800,$A167,الريسبي!$B$2:$B$1800,CF$1)</f>
        <v>0</v>
      </c>
      <c r="CG167" s="117" t="n">
        <f aca="false">SUMIFS(الريسبي!$C$2:$C$1800,الريسبي!$A$2:$A$1800,$A167,الريسبي!$B$2:$B$1800,CG$1)</f>
        <v>0</v>
      </c>
      <c r="CH167" s="117" t="n">
        <f aca="false">SUMIFS(الريسبي!$C$2:$C$1800,الريسبي!$A$2:$A$1800,$A167,الريسبي!$B$2:$B$1800,CH$1)</f>
        <v>0</v>
      </c>
      <c r="CI167" s="117" t="n">
        <f aca="false">SUMIFS(الريسبي!$C$2:$C$1800,الريسبي!$A$2:$A$1800,$A167,الريسبي!$B$2:$B$1800,CI$1)</f>
        <v>0</v>
      </c>
      <c r="CJ167" s="117" t="n">
        <f aca="false">SUMIFS(الريسبي!$C$2:$C$1800,الريسبي!$A$2:$A$1800,$A167,الريسبي!$B$2:$B$1800,CJ$1)</f>
        <v>0</v>
      </c>
      <c r="CK167" s="117" t="n">
        <f aca="false">SUMIFS(الريسبي!$C$2:$C$1800,الريسبي!$A$2:$A$1800,$A167,الريسبي!$B$2:$B$1800,CK$1)</f>
        <v>0</v>
      </c>
      <c r="CL167" s="117" t="n">
        <f aca="false">SUMIFS(الريسبي!$C$2:$C$1800,الريسبي!$A$2:$A$1800,$A167,الريسبي!$B$2:$B$1800,CL$1)</f>
        <v>0</v>
      </c>
    </row>
    <row r="168" customFormat="false" ht="15" hidden="false" customHeight="false" outlineLevel="0" collapsed="false">
      <c r="A168" s="116" t="str">
        <f aca="false">المنيو!B168</f>
        <v>صوص رانش إضافي (L)</v>
      </c>
      <c r="B168" s="117" t="n">
        <f aca="false">SUMIFS(الريسبي!$C$2:$C$1800,الريسبي!$A$2:$A$1800,$A168,الريسبي!$B$2:$B$1800,B$1)</f>
        <v>0</v>
      </c>
      <c r="C168" s="117" t="n">
        <f aca="false">SUMIFS(الريسبي!$C$2:$C$1800,الريسبي!$A$2:$A$1800,$A168,الريسبي!$B$2:$B$1800,C$1)</f>
        <v>0</v>
      </c>
      <c r="D168" s="117" t="n">
        <f aca="false">SUMIFS(الريسبي!$C$2:$C$1800,الريسبي!$A$2:$A$1800,$A168,الريسبي!$B$2:$B$1800,D$1)</f>
        <v>0</v>
      </c>
      <c r="E168" s="117" t="n">
        <f aca="false">SUMIFS(الريسبي!$C$2:$C$1800,الريسبي!$A$2:$A$1800,$A168,الريسبي!$B$2:$B$1800,E$1)</f>
        <v>0</v>
      </c>
      <c r="F168" s="117" t="n">
        <f aca="false">SUMIFS(الريسبي!$C$2:$C$1800,الريسبي!$A$2:$A$1800,$A168,الريسبي!$B$2:$B$1800,F$1)</f>
        <v>0</v>
      </c>
      <c r="G168" s="117" t="n">
        <f aca="false">SUMIFS(الريسبي!$C$2:$C$1800,الريسبي!$A$2:$A$1800,$A168,الريسبي!$B$2:$B$1800,G$1)</f>
        <v>0</v>
      </c>
      <c r="H168" s="117" t="n">
        <f aca="false">SUMIFS(الريسبي!$C$2:$C$1800,الريسبي!$A$2:$A$1800,$A168,الريسبي!$B$2:$B$1800,H$1)</f>
        <v>0</v>
      </c>
      <c r="I168" s="117" t="n">
        <f aca="false">SUMIFS(الريسبي!$C$2:$C$1800,الريسبي!$A$2:$A$1800,$A168,الريسبي!$B$2:$B$1800,I$1)</f>
        <v>0</v>
      </c>
      <c r="J168" s="117" t="n">
        <f aca="false">SUMIFS(الريسبي!$C$2:$C$1800,الريسبي!$A$2:$A$1800,$A168,الريسبي!$B$2:$B$1800,J$1)</f>
        <v>0</v>
      </c>
      <c r="K168" s="117" t="n">
        <f aca="false">SUMIFS(الريسبي!$C$2:$C$1800,الريسبي!$A$2:$A$1800,$A168,الريسبي!$B$2:$B$1800,K$1)</f>
        <v>0</v>
      </c>
      <c r="L168" s="117" t="n">
        <f aca="false">SUMIFS(الريسبي!$C$2:$C$1800,الريسبي!$A$2:$A$1800,$A168,الريسبي!$B$2:$B$1800,L$1)</f>
        <v>0</v>
      </c>
      <c r="M168" s="117" t="n">
        <f aca="false">SUMIFS(الريسبي!$C$2:$C$1800,الريسبي!$A$2:$A$1800,$A168,الريسبي!$B$2:$B$1800,M$1)</f>
        <v>0</v>
      </c>
      <c r="N168" s="117" t="n">
        <f aca="false">SUMIFS(الريسبي!$C$2:$C$1800,الريسبي!$A$2:$A$1800,$A168,الريسبي!$B$2:$B$1800,N$1)</f>
        <v>0</v>
      </c>
      <c r="O168" s="117" t="n">
        <f aca="false">SUMIFS(الريسبي!$C$2:$C$1800,الريسبي!$A$2:$A$1800,$A168,الريسبي!$B$2:$B$1800,O$1)</f>
        <v>0</v>
      </c>
      <c r="P168" s="117" t="n">
        <f aca="false">SUMIFS(الريسبي!$C$2:$C$1800,الريسبي!$A$2:$A$1800,$A168,الريسبي!$B$2:$B$1800,P$1)</f>
        <v>0</v>
      </c>
      <c r="Q168" s="117" t="n">
        <f aca="false">SUMIFS(الريسبي!$C$2:$C$1800,الريسبي!$A$2:$A$1800,$A168,الريسبي!$B$2:$B$1800,Q$1)</f>
        <v>0</v>
      </c>
      <c r="R168" s="117" t="n">
        <f aca="false">SUMIFS(الريسبي!$C$2:$C$1800,الريسبي!$A$2:$A$1800,$A168,الريسبي!$B$2:$B$1800,R$1)</f>
        <v>0</v>
      </c>
      <c r="S168" s="117" t="n">
        <f aca="false">SUMIFS(الريسبي!$C$2:$C$1800,الريسبي!$A$2:$A$1800,$A168,الريسبي!$B$2:$B$1800,S$1)</f>
        <v>0</v>
      </c>
      <c r="T168" s="117" t="n">
        <f aca="false">SUMIFS(الريسبي!$C$2:$C$1800,الريسبي!$A$2:$A$1800,$A168,الريسبي!$B$2:$B$1800,T$1)</f>
        <v>0</v>
      </c>
      <c r="U168" s="117" t="n">
        <f aca="false">SUMIFS(الريسبي!$C$2:$C$1800,الريسبي!$A$2:$A$1800,$A168,الريسبي!$B$2:$B$1800,U$1)</f>
        <v>0</v>
      </c>
      <c r="V168" s="117" t="n">
        <f aca="false">SUMIFS(الريسبي!$C$2:$C$1800,الريسبي!$A$2:$A$1800,$A168,الريسبي!$B$2:$B$1800,V$1)+1.5*(SUMIFS(الريسبي!$C$2:$C$1800,الريسبي!$A$2:$A$1800,$A168,الريسبي!$B$2:$B$1800,"برسيون موتزريلا بيتزا كبير"))</f>
        <v>0</v>
      </c>
      <c r="W168" s="117" t="n">
        <f aca="false">0</f>
        <v>0</v>
      </c>
      <c r="X168" s="117" t="n">
        <f aca="false">SUMIFS(الريسبي!$C$2:$C$1800,الريسبي!$A$2:$A$1800,$A168,الريسبي!$B$2:$B$1800,X$1)+1.5*(SUMIFS(الريسبي!$C$2:$C$1800,الريسبي!$A$2:$A$1800,$A168,الريسبي!$B$2:$B$1800,"برسيون موتزريلا فطير كبير"))</f>
        <v>0</v>
      </c>
      <c r="Y168" s="117" t="n">
        <f aca="false">0</f>
        <v>0</v>
      </c>
      <c r="Z168" s="117" t="n">
        <f aca="false">SUMIFS(الريسبي!$C$2:$C$1800,الريسبي!$A$2:$A$1800,$A168,الريسبي!$B$2:$B$1800,Z$1)</f>
        <v>0</v>
      </c>
      <c r="AA168" s="117" t="n">
        <f aca="false">SUMIFS(الريسبي!$C$2:$C$1800,الريسبي!$A$2:$A$1800,$A168,الريسبي!$B$2:$B$1800,AA$1)</f>
        <v>0</v>
      </c>
      <c r="AB168" s="117" t="n">
        <f aca="false">SUMIFS(الريسبي!$C$2:$C$1800,الريسبي!$A$2:$A$1800,$A168,الريسبي!$B$2:$B$1800,AB$1)</f>
        <v>0</v>
      </c>
      <c r="AC168" s="117" t="n">
        <f aca="false">SUMIFS(الريسبي!$C$2:$C$1800,الريسبي!$A$2:$A$1800,$A168,الريسبي!$B$2:$B$1800,AC$1)</f>
        <v>0</v>
      </c>
      <c r="AD168" s="117" t="n">
        <f aca="false">SUMIFS(الريسبي!$C$2:$C$1800,الريسبي!$A$2:$A$1800,$A168,الريسبي!$B$2:$B$1800,AD$1)</f>
        <v>0</v>
      </c>
      <c r="AE168" s="117" t="n">
        <f aca="false">SUMIFS(الريسبي!$C$2:$C$1800,الريسبي!$A$2:$A$1800,$A168,الريسبي!$B$2:$B$1800,AE$1)</f>
        <v>0</v>
      </c>
      <c r="AF168" s="117" t="n">
        <f aca="false">SUMIFS(الريسبي!$C$2:$C$1800,الريسبي!$A$2:$A$1800,$A168,الريسبي!$B$2:$B$1800,AF$1)</f>
        <v>0</v>
      </c>
      <c r="AG168" s="117" t="n">
        <f aca="false">SUMIFS(الريسبي!$C$2:$C$1800,الريسبي!$A$2:$A$1800,$A168,الريسبي!$B$2:$B$1800,AG$1)</f>
        <v>0</v>
      </c>
      <c r="AH168" s="117" t="n">
        <f aca="false">SUMIFS(الريسبي!$C$2:$C$1800,الريسبي!$A$2:$A$1800,$A168,الريسبي!$B$2:$B$1800,AH$1)</f>
        <v>0</v>
      </c>
      <c r="AI168" s="117" t="n">
        <f aca="false">SUMIFS(الريسبي!$C$2:$C$1800,الريسبي!$A$2:$A$1800,$A168,الريسبي!$B$2:$B$1800,AI$1)</f>
        <v>0</v>
      </c>
      <c r="AJ168" s="117" t="n">
        <f aca="false">SUMIFS(الريسبي!$C$2:$C$1800,الريسبي!$A$2:$A$1800,$A168,الريسبي!$B$2:$B$1800,AJ$1)</f>
        <v>0</v>
      </c>
      <c r="AK168" s="117" t="n">
        <f aca="false">SUMIFS(الريسبي!$C$2:$C$1800,الريسبي!$A$2:$A$1800,$A168,الريسبي!$B$2:$B$1800,AK$1)</f>
        <v>0</v>
      </c>
      <c r="AL168" s="117" t="n">
        <f aca="false">SUMIFS(الريسبي!$C$2:$C$1800,الريسبي!$A$2:$A$1800,$A168,الريسبي!$B$2:$B$1800,AL$1)</f>
        <v>0</v>
      </c>
      <c r="AM168" s="117" t="n">
        <f aca="false">SUMIFS(الريسبي!$C$2:$C$1800,الريسبي!$A$2:$A$1800,$A168,الريسبي!$B$2:$B$1800,AM$1)+0.08333333333*SUMIFS(الريسبي!$C$2:$C$1800,الريسبي!$A$2:$A$1800,$A168,الريسبي!$B$2:$B$1800,"عجين كريب (مصنع بالمطعم)")+0.08333333333*SUMIFS(الريسبي!$C$2:$C$1800,الريسبي!$A$2:$A$1800,$A168,الريسبي!$B$2:$B$1800,"عجين كريب صيامي (بدون لبن)")</f>
        <v>0</v>
      </c>
      <c r="AN168" s="117" t="n">
        <f aca="false">SUMIFS(الريسبي!$C$2:$C$1800,الريسبي!$A$2:$A$1800,$A168,الريسبي!$B$2:$B$1800,AN$1)+0.004166666667*SUMIFS(الريسبي!$C$2:$C$1800,الريسبي!$A$2:$A$1800,$A168,الريسبي!$B$2:$B$1800,"عجين كريب (مصنع بالمطعم)")+0.004166666667*SUMIFS(الريسبي!$C$2:$C$1800,الريسبي!$A$2:$A$1800,$A168,الريسبي!$B$2:$B$1800,"عجين كريب صيامي (بدون لبن)")</f>
        <v>0</v>
      </c>
      <c r="AO168" s="117" t="n">
        <f aca="false">SUMIFS(الريسبي!$C$2:$C$1800,الريسبي!$A$2:$A$1800,$A168,الريسبي!$B$2:$B$1800,AO$1)</f>
        <v>0</v>
      </c>
      <c r="AP168" s="117" t="n">
        <f aca="false">SUMIFS(الريسبي!$C$2:$C$1800,الريسبي!$A$2:$A$1800,$A168,الريسبي!$B$2:$B$1800,AP$1)</f>
        <v>0</v>
      </c>
      <c r="AQ168" s="117" t="n">
        <f aca="false">SUMIFS(الريسبي!$C$2:$C$1800,الريسبي!$A$2:$A$1800,$A168,الريسبي!$B$2:$B$1800,AQ$1)+0.004166666667*SUMIFS(الريسبي!$C$2:$C$1800,الريسبي!$A$2:$A$1800,$A168,الريسبي!$B$2:$B$1800,"عجين كريب (مصنع بالمطعم)")+0.004166666667*SUMIFS(الريسبي!$C$2:$C$1800,الريسبي!$A$2:$A$1800,$A168,الريسبي!$B$2:$B$1800,"عجين كريب صيامي (بدون لبن)")</f>
        <v>0</v>
      </c>
      <c r="AR168" s="117" t="n">
        <f aca="false">SUMIFS(الريسبي!$C$2:$C$1800,الريسبي!$A$2:$A$1800,$A168,الريسبي!$B$2:$B$1800,AR$1)</f>
        <v>0</v>
      </c>
      <c r="AS168" s="117" t="n">
        <f aca="false">SUMIFS(الريسبي!$C$2:$C$1800,الريسبي!$A$2:$A$1800,$A168,الريسبي!$B$2:$B$1800,AS$1)</f>
        <v>0</v>
      </c>
      <c r="AT168" s="117" t="n">
        <f aca="false">SUMIFS(الريسبي!$C$2:$C$1800,الريسبي!$A$2:$A$1800,$A168,الريسبي!$B$2:$B$1800,AT$1)</f>
        <v>0</v>
      </c>
      <c r="AU168" s="117" t="n">
        <f aca="false">SUMIFS(الريسبي!$C$2:$C$1800,الريسبي!$A$2:$A$1800,$A168,الريسبي!$B$2:$B$1800,AU$1)</f>
        <v>0</v>
      </c>
      <c r="AV168" s="117" t="n">
        <f aca="false">SUMIFS(الريسبي!$C$2:$C$1800,الريسبي!$A$2:$A$1800,$A168,الريسبي!$B$2:$B$1800,AV$1)</f>
        <v>0</v>
      </c>
      <c r="AW168" s="117" t="n">
        <f aca="false">SUMIFS(الريسبي!$C$2:$C$1800,الريسبي!$A$2:$A$1800,$A168,الريسبي!$B$2:$B$1800,AW$1)</f>
        <v>0</v>
      </c>
      <c r="AX168" s="117" t="n">
        <f aca="false">SUMIFS(الريسبي!$C$2:$C$1800,الريسبي!$A$2:$A$1800,$A168,الريسبي!$B$2:$B$1800,AX$1)</f>
        <v>0</v>
      </c>
      <c r="AY168" s="117" t="n">
        <f aca="false">SUMIFS(الريسبي!$C$2:$C$1800,الريسبي!$A$2:$A$1800,$A168,الريسبي!$B$2:$B$1800,AY$1)</f>
        <v>0</v>
      </c>
      <c r="AZ168" s="117" t="n">
        <f aca="false">SUMIFS(الريسبي!$C$2:$C$1800,الريسبي!$A$2:$A$1800,$A168,الريسبي!$B$2:$B$1800,AZ$1)</f>
        <v>0</v>
      </c>
      <c r="BA168" s="117" t="n">
        <f aca="false">SUMIFS(الريسبي!$C$2:$C$1800,الريسبي!$A$2:$A$1800,$A168,الريسبي!$B$2:$B$1800,BA$1)</f>
        <v>0.15</v>
      </c>
      <c r="BB168" s="117" t="n">
        <f aca="false">SUMIFS(الريسبي!$C$2:$C$1800,الريسبي!$A$2:$A$1800,$A168,الريسبي!$B$2:$B$1800,BB$1)</f>
        <v>0</v>
      </c>
      <c r="BC168" s="117" t="n">
        <f aca="false">SUMIFS(الريسبي!$C$2:$C$1800,الريسبي!$A$2:$A$1800,$A168,الريسبي!$B$2:$B$1800,BC$1)</f>
        <v>0</v>
      </c>
      <c r="BD168" s="117" t="n">
        <f aca="false">SUMIFS(الريسبي!$C$2:$C$1800,الريسبي!$A$2:$A$1800,$A168,الريسبي!$B$2:$B$1800,BD$1)</f>
        <v>0</v>
      </c>
      <c r="BE168" s="117" t="n">
        <f aca="false">SUMIFS(الريسبي!$C$2:$C$1800,الريسبي!$A$2:$A$1800,$A168,الريسبي!$B$2:$B$1800,BE$1)</f>
        <v>0</v>
      </c>
      <c r="BF168" s="117" t="n">
        <f aca="false">SUMIFS(الريسبي!$C$2:$C$1800,الريسبي!$A$2:$A$1800,$A168,الريسبي!$B$2:$B$1800,BF$1)</f>
        <v>0</v>
      </c>
      <c r="BG168" s="117" t="n">
        <f aca="false">SUMIFS(الريسبي!$C$2:$C$1800,الريسبي!$A$2:$A$1800,$A168,الريسبي!$B$2:$B$1800,BG$1)</f>
        <v>0</v>
      </c>
      <c r="BH168" s="117" t="n">
        <f aca="false">SUMIFS(الريسبي!$C$2:$C$1800,الريسبي!$A$2:$A$1800,$A168,الريسبي!$B$2:$B$1800,BH$1)</f>
        <v>0</v>
      </c>
      <c r="BI168" s="117" t="n">
        <f aca="false">SUMIFS(الريسبي!$C$2:$C$1800,الريسبي!$A$2:$A$1800,$A168,الريسبي!$B$2:$B$1800,BI$1)</f>
        <v>0</v>
      </c>
      <c r="BJ168" s="117" t="n">
        <f aca="false">SUMIFS(الريسبي!$C$2:$C$1800,الريسبي!$A$2:$A$1800,$A168,الريسبي!$B$2:$B$1800,BJ$1)</f>
        <v>0</v>
      </c>
      <c r="BK168" s="117" t="n">
        <f aca="false">SUMIFS(الريسبي!$C$2:$C$1800,الريسبي!$A$2:$A$1800,$A168,الريسبي!$B$2:$B$1800,BK$1)</f>
        <v>0</v>
      </c>
      <c r="BL168" s="117" t="n">
        <f aca="false">SUMIFS(الريسبي!$C$2:$C$1800,الريسبي!$A$2:$A$1800,$A168,الريسبي!$B$2:$B$1800,BL$1)</f>
        <v>0</v>
      </c>
      <c r="BM168" s="117" t="n">
        <f aca="false">SUMIFS(الريسبي!$C$2:$C$1800,الريسبي!$A$2:$A$1800,$A168,الريسبي!$B$2:$B$1800,BM$1)</f>
        <v>0</v>
      </c>
      <c r="BN168" s="117" t="n">
        <f aca="false">SUMIFS(الريسبي!$C$2:$C$1800,الريسبي!$A$2:$A$1800,$A168,الريسبي!$B$2:$B$1800,BN$1)</f>
        <v>0</v>
      </c>
      <c r="BO168" s="117" t="n">
        <f aca="false">SUMIFS(الريسبي!$C$2:$C$1800,الريسبي!$A$2:$A$1800,$A168,الريسبي!$B$2:$B$1800,BO$1)</f>
        <v>0</v>
      </c>
      <c r="BP168" s="117" t="n">
        <f aca="false">SUMIFS(الريسبي!$C$2:$C$1800,الريسبي!$A$2:$A$1800,$A168,الريسبي!$B$2:$B$1800,BP$1)</f>
        <v>0</v>
      </c>
      <c r="BQ168" s="117" t="n">
        <f aca="false">SUMIFS(الريسبي!$C$2:$C$1800,الريسبي!$A$2:$A$1800,$A168,الريسبي!$B$2:$B$1800,BQ$1)+0.17*SUMIFS(الريسبي!$C$2:$C$1800,الريسبي!$A$2:$A$1800,$A168,الريسبي!$B$2:$B$1800,"كاسترد مصنع (خليط بودر + لبن)")+0.17*SUMIFS(الريسبي!$C$2:$C$1800,الريسبي!$A$2:$A$1800,$A168,الريسبي!$B$2:$B$1800,"كاسترد مصنع صيامي (بدون لبن)")</f>
        <v>0</v>
      </c>
      <c r="BR168" s="117" t="n">
        <f aca="false">SUMIFS(الريسبي!$C$2:$C$1800,الريسبي!$A$2:$A$1800,$A168,الريسبي!$B$2:$B$1800,BR$1)</f>
        <v>0</v>
      </c>
      <c r="BS168" s="117" t="n">
        <f aca="false">SUMIFS(الريسبي!$C$2:$C$1800,الريسبي!$A$2:$A$1800,$A168,الريسبي!$B$2:$B$1800,BS$1)</f>
        <v>0</v>
      </c>
      <c r="BT168" s="117" t="n">
        <f aca="false">SUMIFS(الريسبي!$C$2:$C$1800,الريسبي!$A$2:$A$1800,$A168,الريسبي!$B$2:$B$1800,BT$1)</f>
        <v>0</v>
      </c>
      <c r="BU168" s="117" t="n">
        <f aca="false">SUMIFS(الريسبي!$C$2:$C$1800,الريسبي!$A$2:$A$1800,$A168,الريسبي!$B$2:$B$1800,BU$1)+0.4*SUMIFS(الريسبي!$C$2:$C$1800,الريسبي!$A$2:$A$1800,$A168,الريسبي!$B$2:$B$1800,"كاسترد مصنع (خليط بودر + لبن)")+0.03333333333*SUMIFS(الريسبي!$C$2:$C$1800,الريسبي!$A$2:$A$1800,$A168,الريسبي!$B$2:$B$1800,"عجين كريب (مصنع بالمطعم)")</f>
        <v>0</v>
      </c>
      <c r="BV168" s="117" t="n">
        <f aca="false">SUMIFS(الريسبي!$C$2:$C$1800,الريسبي!$A$2:$A$1800,$A168,الريسبي!$B$2:$B$1800,BV$1)</f>
        <v>0</v>
      </c>
      <c r="BW168" s="117" t="n">
        <f aca="false">SUMIFS(الريسبي!$C$2:$C$1800,الريسبي!$A$2:$A$1800,$A168,الريسبي!$B$2:$B$1800,BW$1)</f>
        <v>0</v>
      </c>
      <c r="BX168" s="117" t="n">
        <f aca="false">SUMIFS(الريسبي!$C$2:$C$1800,الريسبي!$A$2:$A$1800,$A168,الريسبي!$B$2:$B$1800,BX$1)</f>
        <v>0</v>
      </c>
      <c r="BY168" s="117" t="n">
        <f aca="false">SUMIFS(الريسبي!$C$2:$C$1800,الريسبي!$A$2:$A$1800,$A168,الريسبي!$B$2:$B$1800,BY$1)</f>
        <v>0</v>
      </c>
      <c r="BZ168" s="117" t="n">
        <f aca="false">SUMIFS(الريسبي!$C$2:$C$1800,الريسبي!$A$2:$A$1800,$A168,الريسبي!$B$2:$B$1800,BZ$1)</f>
        <v>0</v>
      </c>
      <c r="CA168" s="117" t="n">
        <f aca="false">SUMIFS(الريسبي!$C$2:$C$1800,الريسبي!$A$2:$A$1800,$A168,الريسبي!$B$2:$B$1800,CA$1)</f>
        <v>0</v>
      </c>
      <c r="CB168" s="117" t="n">
        <f aca="false">SUMIFS(الريسبي!$C$2:$C$1800,الريسبي!$A$2:$A$1800,$A168,الريسبي!$B$2:$B$1800,CB$1)</f>
        <v>0</v>
      </c>
      <c r="CC168" s="117" t="n">
        <f aca="false">SUMIFS(الريسبي!$C$2:$C$1800,الريسبي!$A$2:$A$1800,$A168,الريسبي!$B$2:$B$1800,CC$1)</f>
        <v>0</v>
      </c>
      <c r="CD168" s="117" t="n">
        <f aca="false">SUMIFS(الريسبي!$C$2:$C$1800,الريسبي!$A$2:$A$1800,$A168,الريسبي!$B$2:$B$1800,CD$1)</f>
        <v>0</v>
      </c>
      <c r="CE168" s="117" t="n">
        <f aca="false">SUMIFS(الريسبي!$C$2:$C$1800,الريسبي!$A$2:$A$1800,$A168,الريسبي!$B$2:$B$1800,CE$1)</f>
        <v>0</v>
      </c>
      <c r="CF168" s="117" t="n">
        <f aca="false">SUMIFS(الريسبي!$C$2:$C$1800,الريسبي!$A$2:$A$1800,$A168,الريسبي!$B$2:$B$1800,CF$1)</f>
        <v>0</v>
      </c>
      <c r="CG168" s="117" t="n">
        <f aca="false">SUMIFS(الريسبي!$C$2:$C$1800,الريسبي!$A$2:$A$1800,$A168,الريسبي!$B$2:$B$1800,CG$1)</f>
        <v>0</v>
      </c>
      <c r="CH168" s="117" t="n">
        <f aca="false">SUMIFS(الريسبي!$C$2:$C$1800,الريسبي!$A$2:$A$1800,$A168,الريسبي!$B$2:$B$1800,CH$1)</f>
        <v>0</v>
      </c>
      <c r="CI168" s="117" t="n">
        <f aca="false">SUMIFS(الريسبي!$C$2:$C$1800,الريسبي!$A$2:$A$1800,$A168,الريسبي!$B$2:$B$1800,CI$1)</f>
        <v>0</v>
      </c>
      <c r="CJ168" s="117" t="n">
        <f aca="false">SUMIFS(الريسبي!$C$2:$C$1800,الريسبي!$A$2:$A$1800,$A168,الريسبي!$B$2:$B$1800,CJ$1)</f>
        <v>0</v>
      </c>
      <c r="CK168" s="117" t="n">
        <f aca="false">SUMIFS(الريسبي!$C$2:$C$1800,الريسبي!$A$2:$A$1800,$A168,الريسبي!$B$2:$B$1800,CK$1)</f>
        <v>0</v>
      </c>
      <c r="CL168" s="117" t="n">
        <f aca="false">SUMIFS(الريسبي!$C$2:$C$1800,الريسبي!$A$2:$A$1800,$A168,الريسبي!$B$2:$B$1800,CL$1)</f>
        <v>0</v>
      </c>
    </row>
    <row r="169" customFormat="false" ht="15" hidden="false" customHeight="false" outlineLevel="0" collapsed="false">
      <c r="A169" s="116" t="str">
        <f aca="false">المنيو!B169</f>
        <v>صوص شيدر إضافي (M)</v>
      </c>
      <c r="B169" s="117" t="n">
        <f aca="false">SUMIFS(الريسبي!$C$2:$C$1800,الريسبي!$A$2:$A$1800,$A169,الريسبي!$B$2:$B$1800,B$1)</f>
        <v>0</v>
      </c>
      <c r="C169" s="117" t="n">
        <f aca="false">SUMIFS(الريسبي!$C$2:$C$1800,الريسبي!$A$2:$A$1800,$A169,الريسبي!$B$2:$B$1800,C$1)</f>
        <v>0</v>
      </c>
      <c r="D169" s="117" t="n">
        <f aca="false">SUMIFS(الريسبي!$C$2:$C$1800,الريسبي!$A$2:$A$1800,$A169,الريسبي!$B$2:$B$1800,D$1)</f>
        <v>0</v>
      </c>
      <c r="E169" s="117" t="n">
        <f aca="false">SUMIFS(الريسبي!$C$2:$C$1800,الريسبي!$A$2:$A$1800,$A169,الريسبي!$B$2:$B$1800,E$1)</f>
        <v>0</v>
      </c>
      <c r="F169" s="117" t="n">
        <f aca="false">SUMIFS(الريسبي!$C$2:$C$1800,الريسبي!$A$2:$A$1800,$A169,الريسبي!$B$2:$B$1800,F$1)</f>
        <v>0</v>
      </c>
      <c r="G169" s="117" t="n">
        <f aca="false">SUMIFS(الريسبي!$C$2:$C$1800,الريسبي!$A$2:$A$1800,$A169,الريسبي!$B$2:$B$1800,G$1)</f>
        <v>0</v>
      </c>
      <c r="H169" s="117" t="n">
        <f aca="false">SUMIFS(الريسبي!$C$2:$C$1800,الريسبي!$A$2:$A$1800,$A169,الريسبي!$B$2:$B$1800,H$1)</f>
        <v>0</v>
      </c>
      <c r="I169" s="117" t="n">
        <f aca="false">SUMIFS(الريسبي!$C$2:$C$1800,الريسبي!$A$2:$A$1800,$A169,الريسبي!$B$2:$B$1800,I$1)</f>
        <v>0</v>
      </c>
      <c r="J169" s="117" t="n">
        <f aca="false">SUMIFS(الريسبي!$C$2:$C$1800,الريسبي!$A$2:$A$1800,$A169,الريسبي!$B$2:$B$1800,J$1)</f>
        <v>0</v>
      </c>
      <c r="K169" s="117" t="n">
        <f aca="false">SUMIFS(الريسبي!$C$2:$C$1800,الريسبي!$A$2:$A$1800,$A169,الريسبي!$B$2:$B$1800,K$1)</f>
        <v>0</v>
      </c>
      <c r="L169" s="117" t="n">
        <f aca="false">SUMIFS(الريسبي!$C$2:$C$1800,الريسبي!$A$2:$A$1800,$A169,الريسبي!$B$2:$B$1800,L$1)</f>
        <v>0</v>
      </c>
      <c r="M169" s="117" t="n">
        <f aca="false">SUMIFS(الريسبي!$C$2:$C$1800,الريسبي!$A$2:$A$1800,$A169,الريسبي!$B$2:$B$1800,M$1)</f>
        <v>0</v>
      </c>
      <c r="N169" s="117" t="n">
        <f aca="false">SUMIFS(الريسبي!$C$2:$C$1800,الريسبي!$A$2:$A$1800,$A169,الريسبي!$B$2:$B$1800,N$1)</f>
        <v>0</v>
      </c>
      <c r="O169" s="117" t="n">
        <f aca="false">SUMIFS(الريسبي!$C$2:$C$1800,الريسبي!$A$2:$A$1800,$A169,الريسبي!$B$2:$B$1800,O$1)</f>
        <v>0</v>
      </c>
      <c r="P169" s="117" t="n">
        <f aca="false">SUMIFS(الريسبي!$C$2:$C$1800,الريسبي!$A$2:$A$1800,$A169,الريسبي!$B$2:$B$1800,P$1)</f>
        <v>0</v>
      </c>
      <c r="Q169" s="117" t="n">
        <f aca="false">SUMIFS(الريسبي!$C$2:$C$1800,الريسبي!$A$2:$A$1800,$A169,الريسبي!$B$2:$B$1800,Q$1)</f>
        <v>0</v>
      </c>
      <c r="R169" s="117" t="n">
        <f aca="false">SUMIFS(الريسبي!$C$2:$C$1800,الريسبي!$A$2:$A$1800,$A169,الريسبي!$B$2:$B$1800,R$1)</f>
        <v>0</v>
      </c>
      <c r="S169" s="117" t="n">
        <f aca="false">SUMIFS(الريسبي!$C$2:$C$1800,الريسبي!$A$2:$A$1800,$A169,الريسبي!$B$2:$B$1800,S$1)</f>
        <v>0</v>
      </c>
      <c r="T169" s="117" t="n">
        <f aca="false">SUMIFS(الريسبي!$C$2:$C$1800,الريسبي!$A$2:$A$1800,$A169,الريسبي!$B$2:$B$1800,T$1)</f>
        <v>0</v>
      </c>
      <c r="U169" s="117" t="n">
        <f aca="false">SUMIFS(الريسبي!$C$2:$C$1800,الريسبي!$A$2:$A$1800,$A169,الريسبي!$B$2:$B$1800,U$1)</f>
        <v>0</v>
      </c>
      <c r="V169" s="117" t="n">
        <f aca="false">SUMIFS(الريسبي!$C$2:$C$1800,الريسبي!$A$2:$A$1800,$A169,الريسبي!$B$2:$B$1800,V$1)+1.5*(SUMIFS(الريسبي!$C$2:$C$1800,الريسبي!$A$2:$A$1800,$A169,الريسبي!$B$2:$B$1800,"برسيون موتزريلا بيتزا كبير"))</f>
        <v>0</v>
      </c>
      <c r="W169" s="117" t="n">
        <f aca="false">0</f>
        <v>0</v>
      </c>
      <c r="X169" s="117" t="n">
        <f aca="false">SUMIFS(الريسبي!$C$2:$C$1800,الريسبي!$A$2:$A$1800,$A169,الريسبي!$B$2:$B$1800,X$1)+1.5*(SUMIFS(الريسبي!$C$2:$C$1800,الريسبي!$A$2:$A$1800,$A169,الريسبي!$B$2:$B$1800,"برسيون موتزريلا فطير كبير"))</f>
        <v>0</v>
      </c>
      <c r="Y169" s="117" t="n">
        <f aca="false">0</f>
        <v>0</v>
      </c>
      <c r="Z169" s="117" t="n">
        <f aca="false">SUMIFS(الريسبي!$C$2:$C$1800,الريسبي!$A$2:$A$1800,$A169,الريسبي!$B$2:$B$1800,Z$1)</f>
        <v>0</v>
      </c>
      <c r="AA169" s="117" t="n">
        <f aca="false">SUMIFS(الريسبي!$C$2:$C$1800,الريسبي!$A$2:$A$1800,$A169,الريسبي!$B$2:$B$1800,AA$1)</f>
        <v>0</v>
      </c>
      <c r="AB169" s="117" t="n">
        <f aca="false">SUMIFS(الريسبي!$C$2:$C$1800,الريسبي!$A$2:$A$1800,$A169,الريسبي!$B$2:$B$1800,AB$1)</f>
        <v>0</v>
      </c>
      <c r="AC169" s="117" t="n">
        <f aca="false">SUMIFS(الريسبي!$C$2:$C$1800,الريسبي!$A$2:$A$1800,$A169,الريسبي!$B$2:$B$1800,AC$1)</f>
        <v>0</v>
      </c>
      <c r="AD169" s="117" t="n">
        <f aca="false">SUMIFS(الريسبي!$C$2:$C$1800,الريسبي!$A$2:$A$1800,$A169,الريسبي!$B$2:$B$1800,AD$1)</f>
        <v>0</v>
      </c>
      <c r="AE169" s="117" t="n">
        <f aca="false">SUMIFS(الريسبي!$C$2:$C$1800,الريسبي!$A$2:$A$1800,$A169,الريسبي!$B$2:$B$1800,AE$1)</f>
        <v>0</v>
      </c>
      <c r="AF169" s="117" t="n">
        <f aca="false">SUMIFS(الريسبي!$C$2:$C$1800,الريسبي!$A$2:$A$1800,$A169,الريسبي!$B$2:$B$1800,AF$1)</f>
        <v>0</v>
      </c>
      <c r="AG169" s="117" t="n">
        <f aca="false">SUMIFS(الريسبي!$C$2:$C$1800,الريسبي!$A$2:$A$1800,$A169,الريسبي!$B$2:$B$1800,AG$1)</f>
        <v>0</v>
      </c>
      <c r="AH169" s="117" t="n">
        <f aca="false">SUMIFS(الريسبي!$C$2:$C$1800,الريسبي!$A$2:$A$1800,$A169,الريسبي!$B$2:$B$1800,AH$1)</f>
        <v>0</v>
      </c>
      <c r="AI169" s="117" t="n">
        <f aca="false">SUMIFS(الريسبي!$C$2:$C$1800,الريسبي!$A$2:$A$1800,$A169,الريسبي!$B$2:$B$1800,AI$1)</f>
        <v>0</v>
      </c>
      <c r="AJ169" s="117" t="n">
        <f aca="false">SUMIFS(الريسبي!$C$2:$C$1800,الريسبي!$A$2:$A$1800,$A169,الريسبي!$B$2:$B$1800,AJ$1)</f>
        <v>0</v>
      </c>
      <c r="AK169" s="117" t="n">
        <f aca="false">SUMIFS(الريسبي!$C$2:$C$1800,الريسبي!$A$2:$A$1800,$A169,الريسبي!$B$2:$B$1800,AK$1)</f>
        <v>0</v>
      </c>
      <c r="AL169" s="117" t="n">
        <f aca="false">SUMIFS(الريسبي!$C$2:$C$1800,الريسبي!$A$2:$A$1800,$A169,الريسبي!$B$2:$B$1800,AL$1)</f>
        <v>0</v>
      </c>
      <c r="AM169" s="117" t="n">
        <f aca="false">SUMIFS(الريسبي!$C$2:$C$1800,الريسبي!$A$2:$A$1800,$A169,الريسبي!$B$2:$B$1800,AM$1)+0.08333333333*SUMIFS(الريسبي!$C$2:$C$1800,الريسبي!$A$2:$A$1800,$A169,الريسبي!$B$2:$B$1800,"عجين كريب (مصنع بالمطعم)")+0.08333333333*SUMIFS(الريسبي!$C$2:$C$1800,الريسبي!$A$2:$A$1800,$A169,الريسبي!$B$2:$B$1800,"عجين كريب صيامي (بدون لبن)")</f>
        <v>0</v>
      </c>
      <c r="AN169" s="117" t="n">
        <f aca="false">SUMIFS(الريسبي!$C$2:$C$1800,الريسبي!$A$2:$A$1800,$A169,الريسبي!$B$2:$B$1800,AN$1)+0.004166666667*SUMIFS(الريسبي!$C$2:$C$1800,الريسبي!$A$2:$A$1800,$A169,الريسبي!$B$2:$B$1800,"عجين كريب (مصنع بالمطعم)")+0.004166666667*SUMIFS(الريسبي!$C$2:$C$1800,الريسبي!$A$2:$A$1800,$A169,الريسبي!$B$2:$B$1800,"عجين كريب صيامي (بدون لبن)")</f>
        <v>0</v>
      </c>
      <c r="AO169" s="117" t="n">
        <f aca="false">SUMIFS(الريسبي!$C$2:$C$1800,الريسبي!$A$2:$A$1800,$A169,الريسبي!$B$2:$B$1800,AO$1)</f>
        <v>0</v>
      </c>
      <c r="AP169" s="117" t="n">
        <f aca="false">SUMIFS(الريسبي!$C$2:$C$1800,الريسبي!$A$2:$A$1800,$A169,الريسبي!$B$2:$B$1800,AP$1)</f>
        <v>0</v>
      </c>
      <c r="AQ169" s="117" t="n">
        <f aca="false">SUMIFS(الريسبي!$C$2:$C$1800,الريسبي!$A$2:$A$1800,$A169,الريسبي!$B$2:$B$1800,AQ$1)+0.004166666667*SUMIFS(الريسبي!$C$2:$C$1800,الريسبي!$A$2:$A$1800,$A169,الريسبي!$B$2:$B$1800,"عجين كريب (مصنع بالمطعم)")+0.004166666667*SUMIFS(الريسبي!$C$2:$C$1800,الريسبي!$A$2:$A$1800,$A169,الريسبي!$B$2:$B$1800,"عجين كريب صيامي (بدون لبن)")</f>
        <v>0</v>
      </c>
      <c r="AR169" s="117" t="n">
        <f aca="false">SUMIFS(الريسبي!$C$2:$C$1800,الريسبي!$A$2:$A$1800,$A169,الريسبي!$B$2:$B$1800,AR$1)</f>
        <v>0</v>
      </c>
      <c r="AS169" s="117" t="n">
        <f aca="false">SUMIFS(الريسبي!$C$2:$C$1800,الريسبي!$A$2:$A$1800,$A169,الريسبي!$B$2:$B$1800,AS$1)</f>
        <v>0</v>
      </c>
      <c r="AT169" s="117" t="n">
        <f aca="false">SUMIFS(الريسبي!$C$2:$C$1800,الريسبي!$A$2:$A$1800,$A169,الريسبي!$B$2:$B$1800,AT$1)</f>
        <v>0</v>
      </c>
      <c r="AU169" s="117" t="n">
        <f aca="false">SUMIFS(الريسبي!$C$2:$C$1800,الريسبي!$A$2:$A$1800,$A169,الريسبي!$B$2:$B$1800,AU$1)</f>
        <v>0</v>
      </c>
      <c r="AV169" s="117" t="n">
        <f aca="false">SUMIFS(الريسبي!$C$2:$C$1800,الريسبي!$A$2:$A$1800,$A169,الريسبي!$B$2:$B$1800,AV$1)</f>
        <v>0</v>
      </c>
      <c r="AW169" s="117" t="n">
        <f aca="false">SUMIFS(الريسبي!$C$2:$C$1800,الريسبي!$A$2:$A$1800,$A169,الريسبي!$B$2:$B$1800,AW$1)</f>
        <v>0</v>
      </c>
      <c r="AX169" s="117" t="n">
        <f aca="false">SUMIFS(الريسبي!$C$2:$C$1800,الريسبي!$A$2:$A$1800,$A169,الريسبي!$B$2:$B$1800,AX$1)</f>
        <v>0</v>
      </c>
      <c r="AY169" s="117" t="n">
        <f aca="false">SUMIFS(الريسبي!$C$2:$C$1800,الريسبي!$A$2:$A$1800,$A169,الريسبي!$B$2:$B$1800,AY$1)</f>
        <v>0</v>
      </c>
      <c r="AZ169" s="117" t="n">
        <f aca="false">SUMIFS(الريسبي!$C$2:$C$1800,الريسبي!$A$2:$A$1800,$A169,الريسبي!$B$2:$B$1800,AZ$1)</f>
        <v>0</v>
      </c>
      <c r="BA169" s="117" t="n">
        <f aca="false">SUMIFS(الريسبي!$C$2:$C$1800,الريسبي!$A$2:$A$1800,$A169,الريسبي!$B$2:$B$1800,BA$1)</f>
        <v>0</v>
      </c>
      <c r="BB169" s="117" t="n">
        <f aca="false">SUMIFS(الريسبي!$C$2:$C$1800,الريسبي!$A$2:$A$1800,$A169,الريسبي!$B$2:$B$1800,BB$1)</f>
        <v>0.1</v>
      </c>
      <c r="BC169" s="117" t="n">
        <f aca="false">SUMIFS(الريسبي!$C$2:$C$1800,الريسبي!$A$2:$A$1800,$A169,الريسبي!$B$2:$B$1800,BC$1)</f>
        <v>0</v>
      </c>
      <c r="BD169" s="117" t="n">
        <f aca="false">SUMIFS(الريسبي!$C$2:$C$1800,الريسبي!$A$2:$A$1800,$A169,الريسبي!$B$2:$B$1800,BD$1)</f>
        <v>0</v>
      </c>
      <c r="BE169" s="117" t="n">
        <f aca="false">SUMIFS(الريسبي!$C$2:$C$1800,الريسبي!$A$2:$A$1800,$A169,الريسبي!$B$2:$B$1800,BE$1)</f>
        <v>0</v>
      </c>
      <c r="BF169" s="117" t="n">
        <f aca="false">SUMIFS(الريسبي!$C$2:$C$1800,الريسبي!$A$2:$A$1800,$A169,الريسبي!$B$2:$B$1800,BF$1)</f>
        <v>0</v>
      </c>
      <c r="BG169" s="117" t="n">
        <f aca="false">SUMIFS(الريسبي!$C$2:$C$1800,الريسبي!$A$2:$A$1800,$A169,الريسبي!$B$2:$B$1800,BG$1)</f>
        <v>0</v>
      </c>
      <c r="BH169" s="117" t="n">
        <f aca="false">SUMIFS(الريسبي!$C$2:$C$1800,الريسبي!$A$2:$A$1800,$A169,الريسبي!$B$2:$B$1800,BH$1)</f>
        <v>0</v>
      </c>
      <c r="BI169" s="117" t="n">
        <f aca="false">SUMIFS(الريسبي!$C$2:$C$1800,الريسبي!$A$2:$A$1800,$A169,الريسبي!$B$2:$B$1800,BI$1)</f>
        <v>0</v>
      </c>
      <c r="BJ169" s="117" t="n">
        <f aca="false">SUMIFS(الريسبي!$C$2:$C$1800,الريسبي!$A$2:$A$1800,$A169,الريسبي!$B$2:$B$1800,BJ$1)</f>
        <v>0</v>
      </c>
      <c r="BK169" s="117" t="n">
        <f aca="false">SUMIFS(الريسبي!$C$2:$C$1800,الريسبي!$A$2:$A$1800,$A169,الريسبي!$B$2:$B$1800,BK$1)</f>
        <v>0</v>
      </c>
      <c r="BL169" s="117" t="n">
        <f aca="false">SUMIFS(الريسبي!$C$2:$C$1800,الريسبي!$A$2:$A$1800,$A169,الريسبي!$B$2:$B$1800,BL$1)</f>
        <v>0</v>
      </c>
      <c r="BM169" s="117" t="n">
        <f aca="false">SUMIFS(الريسبي!$C$2:$C$1800,الريسبي!$A$2:$A$1800,$A169,الريسبي!$B$2:$B$1800,BM$1)</f>
        <v>0</v>
      </c>
      <c r="BN169" s="117" t="n">
        <f aca="false">SUMIFS(الريسبي!$C$2:$C$1800,الريسبي!$A$2:$A$1800,$A169,الريسبي!$B$2:$B$1800,BN$1)</f>
        <v>0</v>
      </c>
      <c r="BO169" s="117" t="n">
        <f aca="false">SUMIFS(الريسبي!$C$2:$C$1800,الريسبي!$A$2:$A$1800,$A169,الريسبي!$B$2:$B$1800,BO$1)</f>
        <v>0</v>
      </c>
      <c r="BP169" s="117" t="n">
        <f aca="false">SUMIFS(الريسبي!$C$2:$C$1800,الريسبي!$A$2:$A$1800,$A169,الريسبي!$B$2:$B$1800,BP$1)</f>
        <v>0</v>
      </c>
      <c r="BQ169" s="117" t="n">
        <f aca="false">SUMIFS(الريسبي!$C$2:$C$1800,الريسبي!$A$2:$A$1800,$A169,الريسبي!$B$2:$B$1800,BQ$1)+0.17*SUMIFS(الريسبي!$C$2:$C$1800,الريسبي!$A$2:$A$1800,$A169,الريسبي!$B$2:$B$1800,"كاسترد مصنع (خليط بودر + لبن)")+0.17*SUMIFS(الريسبي!$C$2:$C$1800,الريسبي!$A$2:$A$1800,$A169,الريسبي!$B$2:$B$1800,"كاسترد مصنع صيامي (بدون لبن)")</f>
        <v>0</v>
      </c>
      <c r="BR169" s="117" t="n">
        <f aca="false">SUMIFS(الريسبي!$C$2:$C$1800,الريسبي!$A$2:$A$1800,$A169,الريسبي!$B$2:$B$1800,BR$1)</f>
        <v>0</v>
      </c>
      <c r="BS169" s="117" t="n">
        <f aca="false">SUMIFS(الريسبي!$C$2:$C$1800,الريسبي!$A$2:$A$1800,$A169,الريسبي!$B$2:$B$1800,BS$1)</f>
        <v>0</v>
      </c>
      <c r="BT169" s="117" t="n">
        <f aca="false">SUMIFS(الريسبي!$C$2:$C$1800,الريسبي!$A$2:$A$1800,$A169,الريسبي!$B$2:$B$1800,BT$1)</f>
        <v>0</v>
      </c>
      <c r="BU169" s="117" t="n">
        <f aca="false">SUMIFS(الريسبي!$C$2:$C$1800,الريسبي!$A$2:$A$1800,$A169,الريسبي!$B$2:$B$1800,BU$1)+0.4*SUMIFS(الريسبي!$C$2:$C$1800,الريسبي!$A$2:$A$1800,$A169,الريسبي!$B$2:$B$1800,"كاسترد مصنع (خليط بودر + لبن)")+0.03333333333*SUMIFS(الريسبي!$C$2:$C$1800,الريسبي!$A$2:$A$1800,$A169,الريسبي!$B$2:$B$1800,"عجين كريب (مصنع بالمطعم)")</f>
        <v>0</v>
      </c>
      <c r="BV169" s="117" t="n">
        <f aca="false">SUMIFS(الريسبي!$C$2:$C$1800,الريسبي!$A$2:$A$1800,$A169,الريسبي!$B$2:$B$1800,BV$1)</f>
        <v>0</v>
      </c>
      <c r="BW169" s="117" t="n">
        <f aca="false">SUMIFS(الريسبي!$C$2:$C$1800,الريسبي!$A$2:$A$1800,$A169,الريسبي!$B$2:$B$1800,BW$1)</f>
        <v>0</v>
      </c>
      <c r="BX169" s="117" t="n">
        <f aca="false">SUMIFS(الريسبي!$C$2:$C$1800,الريسبي!$A$2:$A$1800,$A169,الريسبي!$B$2:$B$1800,BX$1)</f>
        <v>0</v>
      </c>
      <c r="BY169" s="117" t="n">
        <f aca="false">SUMIFS(الريسبي!$C$2:$C$1800,الريسبي!$A$2:$A$1800,$A169,الريسبي!$B$2:$B$1800,BY$1)</f>
        <v>0</v>
      </c>
      <c r="BZ169" s="117" t="n">
        <f aca="false">SUMIFS(الريسبي!$C$2:$C$1800,الريسبي!$A$2:$A$1800,$A169,الريسبي!$B$2:$B$1800,BZ$1)</f>
        <v>0</v>
      </c>
      <c r="CA169" s="117" t="n">
        <f aca="false">SUMIFS(الريسبي!$C$2:$C$1800,الريسبي!$A$2:$A$1800,$A169,الريسبي!$B$2:$B$1800,CA$1)</f>
        <v>0</v>
      </c>
      <c r="CB169" s="117" t="n">
        <f aca="false">SUMIFS(الريسبي!$C$2:$C$1800,الريسبي!$A$2:$A$1800,$A169,الريسبي!$B$2:$B$1800,CB$1)</f>
        <v>0</v>
      </c>
      <c r="CC169" s="117" t="n">
        <f aca="false">SUMIFS(الريسبي!$C$2:$C$1800,الريسبي!$A$2:$A$1800,$A169,الريسبي!$B$2:$B$1800,CC$1)</f>
        <v>0</v>
      </c>
      <c r="CD169" s="117" t="n">
        <f aca="false">SUMIFS(الريسبي!$C$2:$C$1800,الريسبي!$A$2:$A$1800,$A169,الريسبي!$B$2:$B$1800,CD$1)</f>
        <v>0</v>
      </c>
      <c r="CE169" s="117" t="n">
        <f aca="false">SUMIFS(الريسبي!$C$2:$C$1800,الريسبي!$A$2:$A$1800,$A169,الريسبي!$B$2:$B$1800,CE$1)</f>
        <v>0</v>
      </c>
      <c r="CF169" s="117" t="n">
        <f aca="false">SUMIFS(الريسبي!$C$2:$C$1800,الريسبي!$A$2:$A$1800,$A169,الريسبي!$B$2:$B$1800,CF$1)</f>
        <v>0</v>
      </c>
      <c r="CG169" s="117" t="n">
        <f aca="false">SUMIFS(الريسبي!$C$2:$C$1800,الريسبي!$A$2:$A$1800,$A169,الريسبي!$B$2:$B$1800,CG$1)</f>
        <v>0</v>
      </c>
      <c r="CH169" s="117" t="n">
        <f aca="false">SUMIFS(الريسبي!$C$2:$C$1800,الريسبي!$A$2:$A$1800,$A169,الريسبي!$B$2:$B$1800,CH$1)</f>
        <v>0</v>
      </c>
      <c r="CI169" s="117" t="n">
        <f aca="false">SUMIFS(الريسبي!$C$2:$C$1800,الريسبي!$A$2:$A$1800,$A169,الريسبي!$B$2:$B$1800,CI$1)</f>
        <v>0</v>
      </c>
      <c r="CJ169" s="117" t="n">
        <f aca="false">SUMIFS(الريسبي!$C$2:$C$1800,الريسبي!$A$2:$A$1800,$A169,الريسبي!$B$2:$B$1800,CJ$1)</f>
        <v>0</v>
      </c>
      <c r="CK169" s="117" t="n">
        <f aca="false">SUMIFS(الريسبي!$C$2:$C$1800,الريسبي!$A$2:$A$1800,$A169,الريسبي!$B$2:$B$1800,CK$1)</f>
        <v>0</v>
      </c>
      <c r="CL169" s="117" t="n">
        <f aca="false">SUMIFS(الريسبي!$C$2:$C$1800,الريسبي!$A$2:$A$1800,$A169,الريسبي!$B$2:$B$1800,CL$1)</f>
        <v>0</v>
      </c>
    </row>
    <row r="170" customFormat="false" ht="15" hidden="false" customHeight="false" outlineLevel="0" collapsed="false">
      <c r="A170" s="116" t="str">
        <f aca="false">المنيو!B170</f>
        <v>صوص شيدر إضافي (L)</v>
      </c>
      <c r="B170" s="117" t="n">
        <f aca="false">SUMIFS(الريسبي!$C$2:$C$1800,الريسبي!$A$2:$A$1800,$A170,الريسبي!$B$2:$B$1800,B$1)</f>
        <v>0</v>
      </c>
      <c r="C170" s="117" t="n">
        <f aca="false">SUMIFS(الريسبي!$C$2:$C$1800,الريسبي!$A$2:$A$1800,$A170,الريسبي!$B$2:$B$1800,C$1)</f>
        <v>0</v>
      </c>
      <c r="D170" s="117" t="n">
        <f aca="false">SUMIFS(الريسبي!$C$2:$C$1800,الريسبي!$A$2:$A$1800,$A170,الريسبي!$B$2:$B$1800,D$1)</f>
        <v>0</v>
      </c>
      <c r="E170" s="117" t="n">
        <f aca="false">SUMIFS(الريسبي!$C$2:$C$1800,الريسبي!$A$2:$A$1800,$A170,الريسبي!$B$2:$B$1800,E$1)</f>
        <v>0</v>
      </c>
      <c r="F170" s="117" t="n">
        <f aca="false">SUMIFS(الريسبي!$C$2:$C$1800,الريسبي!$A$2:$A$1800,$A170,الريسبي!$B$2:$B$1800,F$1)</f>
        <v>0</v>
      </c>
      <c r="G170" s="117" t="n">
        <f aca="false">SUMIFS(الريسبي!$C$2:$C$1800,الريسبي!$A$2:$A$1800,$A170,الريسبي!$B$2:$B$1800,G$1)</f>
        <v>0</v>
      </c>
      <c r="H170" s="117" t="n">
        <f aca="false">SUMIFS(الريسبي!$C$2:$C$1800,الريسبي!$A$2:$A$1800,$A170,الريسبي!$B$2:$B$1800,H$1)</f>
        <v>0</v>
      </c>
      <c r="I170" s="117" t="n">
        <f aca="false">SUMIFS(الريسبي!$C$2:$C$1800,الريسبي!$A$2:$A$1800,$A170,الريسبي!$B$2:$B$1800,I$1)</f>
        <v>0</v>
      </c>
      <c r="J170" s="117" t="n">
        <f aca="false">SUMIFS(الريسبي!$C$2:$C$1800,الريسبي!$A$2:$A$1800,$A170,الريسبي!$B$2:$B$1800,J$1)</f>
        <v>0</v>
      </c>
      <c r="K170" s="117" t="n">
        <f aca="false">SUMIFS(الريسبي!$C$2:$C$1800,الريسبي!$A$2:$A$1800,$A170,الريسبي!$B$2:$B$1800,K$1)</f>
        <v>0</v>
      </c>
      <c r="L170" s="117" t="n">
        <f aca="false">SUMIFS(الريسبي!$C$2:$C$1800,الريسبي!$A$2:$A$1800,$A170,الريسبي!$B$2:$B$1800,L$1)</f>
        <v>0</v>
      </c>
      <c r="M170" s="117" t="n">
        <f aca="false">SUMIFS(الريسبي!$C$2:$C$1800,الريسبي!$A$2:$A$1800,$A170,الريسبي!$B$2:$B$1800,M$1)</f>
        <v>0</v>
      </c>
      <c r="N170" s="117" t="n">
        <f aca="false">SUMIFS(الريسبي!$C$2:$C$1800,الريسبي!$A$2:$A$1800,$A170,الريسبي!$B$2:$B$1800,N$1)</f>
        <v>0</v>
      </c>
      <c r="O170" s="117" t="n">
        <f aca="false">SUMIFS(الريسبي!$C$2:$C$1800,الريسبي!$A$2:$A$1800,$A170,الريسبي!$B$2:$B$1800,O$1)</f>
        <v>0</v>
      </c>
      <c r="P170" s="117" t="n">
        <f aca="false">SUMIFS(الريسبي!$C$2:$C$1800,الريسبي!$A$2:$A$1800,$A170,الريسبي!$B$2:$B$1800,P$1)</f>
        <v>0</v>
      </c>
      <c r="Q170" s="117" t="n">
        <f aca="false">SUMIFS(الريسبي!$C$2:$C$1800,الريسبي!$A$2:$A$1800,$A170,الريسبي!$B$2:$B$1800,Q$1)</f>
        <v>0</v>
      </c>
      <c r="R170" s="117" t="n">
        <f aca="false">SUMIFS(الريسبي!$C$2:$C$1800,الريسبي!$A$2:$A$1800,$A170,الريسبي!$B$2:$B$1800,R$1)</f>
        <v>0</v>
      </c>
      <c r="S170" s="117" t="n">
        <f aca="false">SUMIFS(الريسبي!$C$2:$C$1800,الريسبي!$A$2:$A$1800,$A170,الريسبي!$B$2:$B$1800,S$1)</f>
        <v>0</v>
      </c>
      <c r="T170" s="117" t="n">
        <f aca="false">SUMIFS(الريسبي!$C$2:$C$1800,الريسبي!$A$2:$A$1800,$A170,الريسبي!$B$2:$B$1800,T$1)</f>
        <v>0</v>
      </c>
      <c r="U170" s="117" t="n">
        <f aca="false">SUMIFS(الريسبي!$C$2:$C$1800,الريسبي!$A$2:$A$1800,$A170,الريسبي!$B$2:$B$1800,U$1)</f>
        <v>0</v>
      </c>
      <c r="V170" s="117" t="n">
        <f aca="false">SUMIFS(الريسبي!$C$2:$C$1800,الريسبي!$A$2:$A$1800,$A170,الريسبي!$B$2:$B$1800,V$1)+1.5*(SUMIFS(الريسبي!$C$2:$C$1800,الريسبي!$A$2:$A$1800,$A170,الريسبي!$B$2:$B$1800,"برسيون موتزريلا بيتزا كبير"))</f>
        <v>0</v>
      </c>
      <c r="W170" s="117" t="n">
        <f aca="false">0</f>
        <v>0</v>
      </c>
      <c r="X170" s="117" t="n">
        <f aca="false">SUMIFS(الريسبي!$C$2:$C$1800,الريسبي!$A$2:$A$1800,$A170,الريسبي!$B$2:$B$1800,X$1)+1.5*(SUMIFS(الريسبي!$C$2:$C$1800,الريسبي!$A$2:$A$1800,$A170,الريسبي!$B$2:$B$1800,"برسيون موتزريلا فطير كبير"))</f>
        <v>0</v>
      </c>
      <c r="Y170" s="117" t="n">
        <f aca="false">0</f>
        <v>0</v>
      </c>
      <c r="Z170" s="117" t="n">
        <f aca="false">SUMIFS(الريسبي!$C$2:$C$1800,الريسبي!$A$2:$A$1800,$A170,الريسبي!$B$2:$B$1800,Z$1)</f>
        <v>0</v>
      </c>
      <c r="AA170" s="117" t="n">
        <f aca="false">SUMIFS(الريسبي!$C$2:$C$1800,الريسبي!$A$2:$A$1800,$A170,الريسبي!$B$2:$B$1800,AA$1)</f>
        <v>0</v>
      </c>
      <c r="AB170" s="117" t="n">
        <f aca="false">SUMIFS(الريسبي!$C$2:$C$1800,الريسبي!$A$2:$A$1800,$A170,الريسبي!$B$2:$B$1800,AB$1)</f>
        <v>0</v>
      </c>
      <c r="AC170" s="117" t="n">
        <f aca="false">SUMIFS(الريسبي!$C$2:$C$1800,الريسبي!$A$2:$A$1800,$A170,الريسبي!$B$2:$B$1800,AC$1)</f>
        <v>0</v>
      </c>
      <c r="AD170" s="117" t="n">
        <f aca="false">SUMIFS(الريسبي!$C$2:$C$1800,الريسبي!$A$2:$A$1800,$A170,الريسبي!$B$2:$B$1800,AD$1)</f>
        <v>0</v>
      </c>
      <c r="AE170" s="117" t="n">
        <f aca="false">SUMIFS(الريسبي!$C$2:$C$1800,الريسبي!$A$2:$A$1800,$A170,الريسبي!$B$2:$B$1800,AE$1)</f>
        <v>0</v>
      </c>
      <c r="AF170" s="117" t="n">
        <f aca="false">SUMIFS(الريسبي!$C$2:$C$1800,الريسبي!$A$2:$A$1800,$A170,الريسبي!$B$2:$B$1800,AF$1)</f>
        <v>0</v>
      </c>
      <c r="AG170" s="117" t="n">
        <f aca="false">SUMIFS(الريسبي!$C$2:$C$1800,الريسبي!$A$2:$A$1800,$A170,الريسبي!$B$2:$B$1800,AG$1)</f>
        <v>0</v>
      </c>
      <c r="AH170" s="117" t="n">
        <f aca="false">SUMIFS(الريسبي!$C$2:$C$1800,الريسبي!$A$2:$A$1800,$A170,الريسبي!$B$2:$B$1800,AH$1)</f>
        <v>0</v>
      </c>
      <c r="AI170" s="117" t="n">
        <f aca="false">SUMIFS(الريسبي!$C$2:$C$1800,الريسبي!$A$2:$A$1800,$A170,الريسبي!$B$2:$B$1800,AI$1)</f>
        <v>0</v>
      </c>
      <c r="AJ170" s="117" t="n">
        <f aca="false">SUMIFS(الريسبي!$C$2:$C$1800,الريسبي!$A$2:$A$1800,$A170,الريسبي!$B$2:$B$1800,AJ$1)</f>
        <v>0</v>
      </c>
      <c r="AK170" s="117" t="n">
        <f aca="false">SUMIFS(الريسبي!$C$2:$C$1800,الريسبي!$A$2:$A$1800,$A170,الريسبي!$B$2:$B$1800,AK$1)</f>
        <v>0</v>
      </c>
      <c r="AL170" s="117" t="n">
        <f aca="false">SUMIFS(الريسبي!$C$2:$C$1800,الريسبي!$A$2:$A$1800,$A170,الريسبي!$B$2:$B$1800,AL$1)</f>
        <v>0</v>
      </c>
      <c r="AM170" s="117" t="n">
        <f aca="false">SUMIFS(الريسبي!$C$2:$C$1800,الريسبي!$A$2:$A$1800,$A170,الريسبي!$B$2:$B$1800,AM$1)+0.08333333333*SUMIFS(الريسبي!$C$2:$C$1800,الريسبي!$A$2:$A$1800,$A170,الريسبي!$B$2:$B$1800,"عجين كريب (مصنع بالمطعم)")+0.08333333333*SUMIFS(الريسبي!$C$2:$C$1800,الريسبي!$A$2:$A$1800,$A170,الريسبي!$B$2:$B$1800,"عجين كريب صيامي (بدون لبن)")</f>
        <v>0</v>
      </c>
      <c r="AN170" s="117" t="n">
        <f aca="false">SUMIFS(الريسبي!$C$2:$C$1800,الريسبي!$A$2:$A$1800,$A170,الريسبي!$B$2:$B$1800,AN$1)+0.004166666667*SUMIFS(الريسبي!$C$2:$C$1800,الريسبي!$A$2:$A$1800,$A170,الريسبي!$B$2:$B$1800,"عجين كريب (مصنع بالمطعم)")+0.004166666667*SUMIFS(الريسبي!$C$2:$C$1800,الريسبي!$A$2:$A$1800,$A170,الريسبي!$B$2:$B$1800,"عجين كريب صيامي (بدون لبن)")</f>
        <v>0</v>
      </c>
      <c r="AO170" s="117" t="n">
        <f aca="false">SUMIFS(الريسبي!$C$2:$C$1800,الريسبي!$A$2:$A$1800,$A170,الريسبي!$B$2:$B$1800,AO$1)</f>
        <v>0</v>
      </c>
      <c r="AP170" s="117" t="n">
        <f aca="false">SUMIFS(الريسبي!$C$2:$C$1800,الريسبي!$A$2:$A$1800,$A170,الريسبي!$B$2:$B$1800,AP$1)</f>
        <v>0</v>
      </c>
      <c r="AQ170" s="117" t="n">
        <f aca="false">SUMIFS(الريسبي!$C$2:$C$1800,الريسبي!$A$2:$A$1800,$A170,الريسبي!$B$2:$B$1800,AQ$1)+0.004166666667*SUMIFS(الريسبي!$C$2:$C$1800,الريسبي!$A$2:$A$1800,$A170,الريسبي!$B$2:$B$1800,"عجين كريب (مصنع بالمطعم)")+0.004166666667*SUMIFS(الريسبي!$C$2:$C$1800,الريسبي!$A$2:$A$1800,$A170,الريسبي!$B$2:$B$1800,"عجين كريب صيامي (بدون لبن)")</f>
        <v>0</v>
      </c>
      <c r="AR170" s="117" t="n">
        <f aca="false">SUMIFS(الريسبي!$C$2:$C$1800,الريسبي!$A$2:$A$1800,$A170,الريسبي!$B$2:$B$1800,AR$1)</f>
        <v>0</v>
      </c>
      <c r="AS170" s="117" t="n">
        <f aca="false">SUMIFS(الريسبي!$C$2:$C$1800,الريسبي!$A$2:$A$1800,$A170,الريسبي!$B$2:$B$1800,AS$1)</f>
        <v>0</v>
      </c>
      <c r="AT170" s="117" t="n">
        <f aca="false">SUMIFS(الريسبي!$C$2:$C$1800,الريسبي!$A$2:$A$1800,$A170,الريسبي!$B$2:$B$1800,AT$1)</f>
        <v>0</v>
      </c>
      <c r="AU170" s="117" t="n">
        <f aca="false">SUMIFS(الريسبي!$C$2:$C$1800,الريسبي!$A$2:$A$1800,$A170,الريسبي!$B$2:$B$1800,AU$1)</f>
        <v>0</v>
      </c>
      <c r="AV170" s="117" t="n">
        <f aca="false">SUMIFS(الريسبي!$C$2:$C$1800,الريسبي!$A$2:$A$1800,$A170,الريسبي!$B$2:$B$1800,AV$1)</f>
        <v>0</v>
      </c>
      <c r="AW170" s="117" t="n">
        <f aca="false">SUMIFS(الريسبي!$C$2:$C$1800,الريسبي!$A$2:$A$1800,$A170,الريسبي!$B$2:$B$1800,AW$1)</f>
        <v>0</v>
      </c>
      <c r="AX170" s="117" t="n">
        <f aca="false">SUMIFS(الريسبي!$C$2:$C$1800,الريسبي!$A$2:$A$1800,$A170,الريسبي!$B$2:$B$1800,AX$1)</f>
        <v>0</v>
      </c>
      <c r="AY170" s="117" t="n">
        <f aca="false">SUMIFS(الريسبي!$C$2:$C$1800,الريسبي!$A$2:$A$1800,$A170,الريسبي!$B$2:$B$1800,AY$1)</f>
        <v>0</v>
      </c>
      <c r="AZ170" s="117" t="n">
        <f aca="false">SUMIFS(الريسبي!$C$2:$C$1800,الريسبي!$A$2:$A$1800,$A170,الريسبي!$B$2:$B$1800,AZ$1)</f>
        <v>0</v>
      </c>
      <c r="BA170" s="117" t="n">
        <f aca="false">SUMIFS(الريسبي!$C$2:$C$1800,الريسبي!$A$2:$A$1800,$A170,الريسبي!$B$2:$B$1800,BA$1)</f>
        <v>0</v>
      </c>
      <c r="BB170" s="117" t="n">
        <f aca="false">SUMIFS(الريسبي!$C$2:$C$1800,الريسبي!$A$2:$A$1800,$A170,الريسبي!$B$2:$B$1800,BB$1)</f>
        <v>0.15</v>
      </c>
      <c r="BC170" s="117" t="n">
        <f aca="false">SUMIFS(الريسبي!$C$2:$C$1800,الريسبي!$A$2:$A$1800,$A170,الريسبي!$B$2:$B$1800,BC$1)</f>
        <v>0</v>
      </c>
      <c r="BD170" s="117" t="n">
        <f aca="false">SUMIFS(الريسبي!$C$2:$C$1800,الريسبي!$A$2:$A$1800,$A170,الريسبي!$B$2:$B$1800,BD$1)</f>
        <v>0</v>
      </c>
      <c r="BE170" s="117" t="n">
        <f aca="false">SUMIFS(الريسبي!$C$2:$C$1800,الريسبي!$A$2:$A$1800,$A170,الريسبي!$B$2:$B$1800,BE$1)</f>
        <v>0</v>
      </c>
      <c r="BF170" s="117" t="n">
        <f aca="false">SUMIFS(الريسبي!$C$2:$C$1800,الريسبي!$A$2:$A$1800,$A170,الريسبي!$B$2:$B$1800,BF$1)</f>
        <v>0</v>
      </c>
      <c r="BG170" s="117" t="n">
        <f aca="false">SUMIFS(الريسبي!$C$2:$C$1800,الريسبي!$A$2:$A$1800,$A170,الريسبي!$B$2:$B$1800,BG$1)</f>
        <v>0</v>
      </c>
      <c r="BH170" s="117" t="n">
        <f aca="false">SUMIFS(الريسبي!$C$2:$C$1800,الريسبي!$A$2:$A$1800,$A170,الريسبي!$B$2:$B$1800,BH$1)</f>
        <v>0</v>
      </c>
      <c r="BI170" s="117" t="n">
        <f aca="false">SUMIFS(الريسبي!$C$2:$C$1800,الريسبي!$A$2:$A$1800,$A170,الريسبي!$B$2:$B$1800,BI$1)</f>
        <v>0</v>
      </c>
      <c r="BJ170" s="117" t="n">
        <f aca="false">SUMIFS(الريسبي!$C$2:$C$1800,الريسبي!$A$2:$A$1800,$A170,الريسبي!$B$2:$B$1800,BJ$1)</f>
        <v>0</v>
      </c>
      <c r="BK170" s="117" t="n">
        <f aca="false">SUMIFS(الريسبي!$C$2:$C$1800,الريسبي!$A$2:$A$1800,$A170,الريسبي!$B$2:$B$1800,BK$1)</f>
        <v>0</v>
      </c>
      <c r="BL170" s="117" t="n">
        <f aca="false">SUMIFS(الريسبي!$C$2:$C$1800,الريسبي!$A$2:$A$1800,$A170,الريسبي!$B$2:$B$1800,BL$1)</f>
        <v>0</v>
      </c>
      <c r="BM170" s="117" t="n">
        <f aca="false">SUMIFS(الريسبي!$C$2:$C$1800,الريسبي!$A$2:$A$1800,$A170,الريسبي!$B$2:$B$1800,BM$1)</f>
        <v>0</v>
      </c>
      <c r="BN170" s="117" t="n">
        <f aca="false">SUMIFS(الريسبي!$C$2:$C$1800,الريسبي!$A$2:$A$1800,$A170,الريسبي!$B$2:$B$1800,BN$1)</f>
        <v>0</v>
      </c>
      <c r="BO170" s="117" t="n">
        <f aca="false">SUMIFS(الريسبي!$C$2:$C$1800,الريسبي!$A$2:$A$1800,$A170,الريسبي!$B$2:$B$1800,BO$1)</f>
        <v>0</v>
      </c>
      <c r="BP170" s="117" t="n">
        <f aca="false">SUMIFS(الريسبي!$C$2:$C$1800,الريسبي!$A$2:$A$1800,$A170,الريسبي!$B$2:$B$1800,BP$1)</f>
        <v>0</v>
      </c>
      <c r="BQ170" s="117" t="n">
        <f aca="false">SUMIFS(الريسبي!$C$2:$C$1800,الريسبي!$A$2:$A$1800,$A170,الريسبي!$B$2:$B$1800,BQ$1)+0.17*SUMIFS(الريسبي!$C$2:$C$1800,الريسبي!$A$2:$A$1800,$A170,الريسبي!$B$2:$B$1800,"كاسترد مصنع (خليط بودر + لبن)")+0.17*SUMIFS(الريسبي!$C$2:$C$1800,الريسبي!$A$2:$A$1800,$A170,الريسبي!$B$2:$B$1800,"كاسترد مصنع صيامي (بدون لبن)")</f>
        <v>0</v>
      </c>
      <c r="BR170" s="117" t="n">
        <f aca="false">SUMIFS(الريسبي!$C$2:$C$1800,الريسبي!$A$2:$A$1800,$A170,الريسبي!$B$2:$B$1800,BR$1)</f>
        <v>0</v>
      </c>
      <c r="BS170" s="117" t="n">
        <f aca="false">SUMIFS(الريسبي!$C$2:$C$1800,الريسبي!$A$2:$A$1800,$A170,الريسبي!$B$2:$B$1800,BS$1)</f>
        <v>0</v>
      </c>
      <c r="BT170" s="117" t="n">
        <f aca="false">SUMIFS(الريسبي!$C$2:$C$1800,الريسبي!$A$2:$A$1800,$A170,الريسبي!$B$2:$B$1800,BT$1)</f>
        <v>0</v>
      </c>
      <c r="BU170" s="117" t="n">
        <f aca="false">SUMIFS(الريسبي!$C$2:$C$1800,الريسبي!$A$2:$A$1800,$A170,الريسبي!$B$2:$B$1800,BU$1)+0.4*SUMIFS(الريسبي!$C$2:$C$1800,الريسبي!$A$2:$A$1800,$A170,الريسبي!$B$2:$B$1800,"كاسترد مصنع (خليط بودر + لبن)")+0.03333333333*SUMIFS(الريسبي!$C$2:$C$1800,الريسبي!$A$2:$A$1800,$A170,الريسبي!$B$2:$B$1800,"عجين كريب (مصنع بالمطعم)")</f>
        <v>0</v>
      </c>
      <c r="BV170" s="117" t="n">
        <f aca="false">SUMIFS(الريسبي!$C$2:$C$1800,الريسبي!$A$2:$A$1800,$A170,الريسبي!$B$2:$B$1800,BV$1)</f>
        <v>0</v>
      </c>
      <c r="BW170" s="117" t="n">
        <f aca="false">SUMIFS(الريسبي!$C$2:$C$1800,الريسبي!$A$2:$A$1800,$A170,الريسبي!$B$2:$B$1800,BW$1)</f>
        <v>0</v>
      </c>
      <c r="BX170" s="117" t="n">
        <f aca="false">SUMIFS(الريسبي!$C$2:$C$1800,الريسبي!$A$2:$A$1800,$A170,الريسبي!$B$2:$B$1800,BX$1)</f>
        <v>0</v>
      </c>
      <c r="BY170" s="117" t="n">
        <f aca="false">SUMIFS(الريسبي!$C$2:$C$1800,الريسبي!$A$2:$A$1800,$A170,الريسبي!$B$2:$B$1800,BY$1)</f>
        <v>0</v>
      </c>
      <c r="BZ170" s="117" t="n">
        <f aca="false">SUMIFS(الريسبي!$C$2:$C$1800,الريسبي!$A$2:$A$1800,$A170,الريسبي!$B$2:$B$1800,BZ$1)</f>
        <v>0</v>
      </c>
      <c r="CA170" s="117" t="n">
        <f aca="false">SUMIFS(الريسبي!$C$2:$C$1800,الريسبي!$A$2:$A$1800,$A170,الريسبي!$B$2:$B$1800,CA$1)</f>
        <v>0</v>
      </c>
      <c r="CB170" s="117" t="n">
        <f aca="false">SUMIFS(الريسبي!$C$2:$C$1800,الريسبي!$A$2:$A$1800,$A170,الريسبي!$B$2:$B$1800,CB$1)</f>
        <v>0</v>
      </c>
      <c r="CC170" s="117" t="n">
        <f aca="false">SUMIFS(الريسبي!$C$2:$C$1800,الريسبي!$A$2:$A$1800,$A170,الريسبي!$B$2:$B$1800,CC$1)</f>
        <v>0</v>
      </c>
      <c r="CD170" s="117" t="n">
        <f aca="false">SUMIFS(الريسبي!$C$2:$C$1800,الريسبي!$A$2:$A$1800,$A170,الريسبي!$B$2:$B$1800,CD$1)</f>
        <v>0</v>
      </c>
      <c r="CE170" s="117" t="n">
        <f aca="false">SUMIFS(الريسبي!$C$2:$C$1800,الريسبي!$A$2:$A$1800,$A170,الريسبي!$B$2:$B$1800,CE$1)</f>
        <v>0</v>
      </c>
      <c r="CF170" s="117" t="n">
        <f aca="false">SUMIFS(الريسبي!$C$2:$C$1800,الريسبي!$A$2:$A$1800,$A170,الريسبي!$B$2:$B$1800,CF$1)</f>
        <v>0</v>
      </c>
      <c r="CG170" s="117" t="n">
        <f aca="false">SUMIFS(الريسبي!$C$2:$C$1800,الريسبي!$A$2:$A$1800,$A170,الريسبي!$B$2:$B$1800,CG$1)</f>
        <v>0</v>
      </c>
      <c r="CH170" s="117" t="n">
        <f aca="false">SUMIFS(الريسبي!$C$2:$C$1800,الريسبي!$A$2:$A$1800,$A170,الريسبي!$B$2:$B$1800,CH$1)</f>
        <v>0</v>
      </c>
      <c r="CI170" s="117" t="n">
        <f aca="false">SUMIFS(الريسبي!$C$2:$C$1800,الريسبي!$A$2:$A$1800,$A170,الريسبي!$B$2:$B$1800,CI$1)</f>
        <v>0</v>
      </c>
      <c r="CJ170" s="117" t="n">
        <f aca="false">SUMIFS(الريسبي!$C$2:$C$1800,الريسبي!$A$2:$A$1800,$A170,الريسبي!$B$2:$B$1800,CJ$1)</f>
        <v>0</v>
      </c>
      <c r="CK170" s="117" t="n">
        <f aca="false">SUMIFS(الريسبي!$C$2:$C$1800,الريسبي!$A$2:$A$1800,$A170,الريسبي!$B$2:$B$1800,CK$1)</f>
        <v>0</v>
      </c>
      <c r="CL170" s="117" t="n">
        <f aca="false">SUMIFS(الريسبي!$C$2:$C$1800,الريسبي!$A$2:$A$1800,$A170,الريسبي!$B$2:$B$1800,CL$1)</f>
        <v>0</v>
      </c>
    </row>
    <row r="171" customFormat="false" ht="15" hidden="false" customHeight="false" outlineLevel="0" collapsed="false">
      <c r="A171" s="116" t="str">
        <f aca="false">المنيو!B171</f>
        <v>صوص باربيكيو إضافي (M)</v>
      </c>
      <c r="B171" s="117" t="n">
        <f aca="false">SUMIFS(الريسبي!$C$2:$C$1800,الريسبي!$A$2:$A$1800,$A171,الريسبي!$B$2:$B$1800,B$1)</f>
        <v>0</v>
      </c>
      <c r="C171" s="117" t="n">
        <f aca="false">SUMIFS(الريسبي!$C$2:$C$1800,الريسبي!$A$2:$A$1800,$A171,الريسبي!$B$2:$B$1800,C$1)</f>
        <v>0</v>
      </c>
      <c r="D171" s="117" t="n">
        <f aca="false">SUMIFS(الريسبي!$C$2:$C$1800,الريسبي!$A$2:$A$1800,$A171,الريسبي!$B$2:$B$1800,D$1)</f>
        <v>0</v>
      </c>
      <c r="E171" s="117" t="n">
        <f aca="false">SUMIFS(الريسبي!$C$2:$C$1800,الريسبي!$A$2:$A$1800,$A171,الريسبي!$B$2:$B$1800,E$1)</f>
        <v>0</v>
      </c>
      <c r="F171" s="117" t="n">
        <f aca="false">SUMIFS(الريسبي!$C$2:$C$1800,الريسبي!$A$2:$A$1800,$A171,الريسبي!$B$2:$B$1800,F$1)</f>
        <v>0</v>
      </c>
      <c r="G171" s="117" t="n">
        <f aca="false">SUMIFS(الريسبي!$C$2:$C$1800,الريسبي!$A$2:$A$1800,$A171,الريسبي!$B$2:$B$1800,G$1)</f>
        <v>0</v>
      </c>
      <c r="H171" s="117" t="n">
        <f aca="false">SUMIFS(الريسبي!$C$2:$C$1800,الريسبي!$A$2:$A$1800,$A171,الريسبي!$B$2:$B$1800,H$1)</f>
        <v>0</v>
      </c>
      <c r="I171" s="117" t="n">
        <f aca="false">SUMIFS(الريسبي!$C$2:$C$1800,الريسبي!$A$2:$A$1800,$A171,الريسبي!$B$2:$B$1800,I$1)</f>
        <v>0</v>
      </c>
      <c r="J171" s="117" t="n">
        <f aca="false">SUMIFS(الريسبي!$C$2:$C$1800,الريسبي!$A$2:$A$1800,$A171,الريسبي!$B$2:$B$1800,J$1)</f>
        <v>0</v>
      </c>
      <c r="K171" s="117" t="n">
        <f aca="false">SUMIFS(الريسبي!$C$2:$C$1800,الريسبي!$A$2:$A$1800,$A171,الريسبي!$B$2:$B$1800,K$1)</f>
        <v>0</v>
      </c>
      <c r="L171" s="117" t="n">
        <f aca="false">SUMIFS(الريسبي!$C$2:$C$1800,الريسبي!$A$2:$A$1800,$A171,الريسبي!$B$2:$B$1800,L$1)</f>
        <v>0</v>
      </c>
      <c r="M171" s="117" t="n">
        <f aca="false">SUMIFS(الريسبي!$C$2:$C$1800,الريسبي!$A$2:$A$1800,$A171,الريسبي!$B$2:$B$1800,M$1)</f>
        <v>0</v>
      </c>
      <c r="N171" s="117" t="n">
        <f aca="false">SUMIFS(الريسبي!$C$2:$C$1800,الريسبي!$A$2:$A$1800,$A171,الريسبي!$B$2:$B$1800,N$1)</f>
        <v>0</v>
      </c>
      <c r="O171" s="117" t="n">
        <f aca="false">SUMIFS(الريسبي!$C$2:$C$1800,الريسبي!$A$2:$A$1800,$A171,الريسبي!$B$2:$B$1800,O$1)</f>
        <v>0</v>
      </c>
      <c r="P171" s="117" t="n">
        <f aca="false">SUMIFS(الريسبي!$C$2:$C$1800,الريسبي!$A$2:$A$1800,$A171,الريسبي!$B$2:$B$1800,P$1)</f>
        <v>0</v>
      </c>
      <c r="Q171" s="117" t="n">
        <f aca="false">SUMIFS(الريسبي!$C$2:$C$1800,الريسبي!$A$2:$A$1800,$A171,الريسبي!$B$2:$B$1800,Q$1)</f>
        <v>0</v>
      </c>
      <c r="R171" s="117" t="n">
        <f aca="false">SUMIFS(الريسبي!$C$2:$C$1800,الريسبي!$A$2:$A$1800,$A171,الريسبي!$B$2:$B$1800,R$1)</f>
        <v>0</v>
      </c>
      <c r="S171" s="117" t="n">
        <f aca="false">SUMIFS(الريسبي!$C$2:$C$1800,الريسبي!$A$2:$A$1800,$A171,الريسبي!$B$2:$B$1800,S$1)</f>
        <v>0</v>
      </c>
      <c r="T171" s="117" t="n">
        <f aca="false">SUMIFS(الريسبي!$C$2:$C$1800,الريسبي!$A$2:$A$1800,$A171,الريسبي!$B$2:$B$1800,T$1)</f>
        <v>0</v>
      </c>
      <c r="U171" s="117" t="n">
        <f aca="false">SUMIFS(الريسبي!$C$2:$C$1800,الريسبي!$A$2:$A$1800,$A171,الريسبي!$B$2:$B$1800,U$1)</f>
        <v>0</v>
      </c>
      <c r="V171" s="117" t="n">
        <f aca="false">SUMIFS(الريسبي!$C$2:$C$1800,الريسبي!$A$2:$A$1800,$A171,الريسبي!$B$2:$B$1800,V$1)+1.5*(SUMIFS(الريسبي!$C$2:$C$1800,الريسبي!$A$2:$A$1800,$A171,الريسبي!$B$2:$B$1800,"برسيون موتزريلا بيتزا كبير"))</f>
        <v>0</v>
      </c>
      <c r="W171" s="117" t="n">
        <f aca="false">0</f>
        <v>0</v>
      </c>
      <c r="X171" s="117" t="n">
        <f aca="false">SUMIFS(الريسبي!$C$2:$C$1800,الريسبي!$A$2:$A$1800,$A171,الريسبي!$B$2:$B$1800,X$1)+1.5*(SUMIFS(الريسبي!$C$2:$C$1800,الريسبي!$A$2:$A$1800,$A171,الريسبي!$B$2:$B$1800,"برسيون موتزريلا فطير كبير"))</f>
        <v>0</v>
      </c>
      <c r="Y171" s="117" t="n">
        <f aca="false">0</f>
        <v>0</v>
      </c>
      <c r="Z171" s="117" t="n">
        <f aca="false">SUMIFS(الريسبي!$C$2:$C$1800,الريسبي!$A$2:$A$1800,$A171,الريسبي!$B$2:$B$1800,Z$1)</f>
        <v>0</v>
      </c>
      <c r="AA171" s="117" t="n">
        <f aca="false">SUMIFS(الريسبي!$C$2:$C$1800,الريسبي!$A$2:$A$1800,$A171,الريسبي!$B$2:$B$1800,AA$1)</f>
        <v>0</v>
      </c>
      <c r="AB171" s="117" t="n">
        <f aca="false">SUMIFS(الريسبي!$C$2:$C$1800,الريسبي!$A$2:$A$1800,$A171,الريسبي!$B$2:$B$1800,AB$1)</f>
        <v>0</v>
      </c>
      <c r="AC171" s="117" t="n">
        <f aca="false">SUMIFS(الريسبي!$C$2:$C$1800,الريسبي!$A$2:$A$1800,$A171,الريسبي!$B$2:$B$1800,AC$1)</f>
        <v>0</v>
      </c>
      <c r="AD171" s="117" t="n">
        <f aca="false">SUMIFS(الريسبي!$C$2:$C$1800,الريسبي!$A$2:$A$1800,$A171,الريسبي!$B$2:$B$1800,AD$1)</f>
        <v>0</v>
      </c>
      <c r="AE171" s="117" t="n">
        <f aca="false">SUMIFS(الريسبي!$C$2:$C$1800,الريسبي!$A$2:$A$1800,$A171,الريسبي!$B$2:$B$1800,AE$1)</f>
        <v>0</v>
      </c>
      <c r="AF171" s="117" t="n">
        <f aca="false">SUMIFS(الريسبي!$C$2:$C$1800,الريسبي!$A$2:$A$1800,$A171,الريسبي!$B$2:$B$1800,AF$1)</f>
        <v>0</v>
      </c>
      <c r="AG171" s="117" t="n">
        <f aca="false">SUMIFS(الريسبي!$C$2:$C$1800,الريسبي!$A$2:$A$1800,$A171,الريسبي!$B$2:$B$1800,AG$1)</f>
        <v>0</v>
      </c>
      <c r="AH171" s="117" t="n">
        <f aca="false">SUMIFS(الريسبي!$C$2:$C$1800,الريسبي!$A$2:$A$1800,$A171,الريسبي!$B$2:$B$1800,AH$1)</f>
        <v>0</v>
      </c>
      <c r="AI171" s="117" t="n">
        <f aca="false">SUMIFS(الريسبي!$C$2:$C$1800,الريسبي!$A$2:$A$1800,$A171,الريسبي!$B$2:$B$1800,AI$1)</f>
        <v>0</v>
      </c>
      <c r="AJ171" s="117" t="n">
        <f aca="false">SUMIFS(الريسبي!$C$2:$C$1800,الريسبي!$A$2:$A$1800,$A171,الريسبي!$B$2:$B$1800,AJ$1)</f>
        <v>0</v>
      </c>
      <c r="AK171" s="117" t="n">
        <f aca="false">SUMIFS(الريسبي!$C$2:$C$1800,الريسبي!$A$2:$A$1800,$A171,الريسبي!$B$2:$B$1800,AK$1)</f>
        <v>0</v>
      </c>
      <c r="AL171" s="117" t="n">
        <f aca="false">SUMIFS(الريسبي!$C$2:$C$1800,الريسبي!$A$2:$A$1800,$A171,الريسبي!$B$2:$B$1800,AL$1)</f>
        <v>0</v>
      </c>
      <c r="AM171" s="117" t="n">
        <f aca="false">SUMIFS(الريسبي!$C$2:$C$1800,الريسبي!$A$2:$A$1800,$A171,الريسبي!$B$2:$B$1800,AM$1)+0.08333333333*SUMIFS(الريسبي!$C$2:$C$1800,الريسبي!$A$2:$A$1800,$A171,الريسبي!$B$2:$B$1800,"عجين كريب (مصنع بالمطعم)")+0.08333333333*SUMIFS(الريسبي!$C$2:$C$1800,الريسبي!$A$2:$A$1800,$A171,الريسبي!$B$2:$B$1800,"عجين كريب صيامي (بدون لبن)")</f>
        <v>0</v>
      </c>
      <c r="AN171" s="117" t="n">
        <f aca="false">SUMIFS(الريسبي!$C$2:$C$1800,الريسبي!$A$2:$A$1800,$A171,الريسبي!$B$2:$B$1800,AN$1)+0.004166666667*SUMIFS(الريسبي!$C$2:$C$1800,الريسبي!$A$2:$A$1800,$A171,الريسبي!$B$2:$B$1800,"عجين كريب (مصنع بالمطعم)")+0.004166666667*SUMIFS(الريسبي!$C$2:$C$1800,الريسبي!$A$2:$A$1800,$A171,الريسبي!$B$2:$B$1800,"عجين كريب صيامي (بدون لبن)")</f>
        <v>0</v>
      </c>
      <c r="AO171" s="117" t="n">
        <f aca="false">SUMIFS(الريسبي!$C$2:$C$1800,الريسبي!$A$2:$A$1800,$A171,الريسبي!$B$2:$B$1800,AO$1)</f>
        <v>0</v>
      </c>
      <c r="AP171" s="117" t="n">
        <f aca="false">SUMIFS(الريسبي!$C$2:$C$1800,الريسبي!$A$2:$A$1800,$A171,الريسبي!$B$2:$B$1800,AP$1)</f>
        <v>0</v>
      </c>
      <c r="AQ171" s="117" t="n">
        <f aca="false">SUMIFS(الريسبي!$C$2:$C$1800,الريسبي!$A$2:$A$1800,$A171,الريسبي!$B$2:$B$1800,AQ$1)+0.004166666667*SUMIFS(الريسبي!$C$2:$C$1800,الريسبي!$A$2:$A$1800,$A171,الريسبي!$B$2:$B$1800,"عجين كريب (مصنع بالمطعم)")+0.004166666667*SUMIFS(الريسبي!$C$2:$C$1800,الريسبي!$A$2:$A$1800,$A171,الريسبي!$B$2:$B$1800,"عجين كريب صيامي (بدون لبن)")</f>
        <v>0</v>
      </c>
      <c r="AR171" s="117" t="n">
        <f aca="false">SUMIFS(الريسبي!$C$2:$C$1800,الريسبي!$A$2:$A$1800,$A171,الريسبي!$B$2:$B$1800,AR$1)</f>
        <v>0</v>
      </c>
      <c r="AS171" s="117" t="n">
        <f aca="false">SUMIFS(الريسبي!$C$2:$C$1800,الريسبي!$A$2:$A$1800,$A171,الريسبي!$B$2:$B$1800,AS$1)</f>
        <v>0</v>
      </c>
      <c r="AT171" s="117" t="n">
        <f aca="false">SUMIFS(الريسبي!$C$2:$C$1800,الريسبي!$A$2:$A$1800,$A171,الريسبي!$B$2:$B$1800,AT$1)</f>
        <v>0</v>
      </c>
      <c r="AU171" s="117" t="n">
        <f aca="false">SUMIFS(الريسبي!$C$2:$C$1800,الريسبي!$A$2:$A$1800,$A171,الريسبي!$B$2:$B$1800,AU$1)</f>
        <v>0</v>
      </c>
      <c r="AV171" s="117" t="n">
        <f aca="false">SUMIFS(الريسبي!$C$2:$C$1800,الريسبي!$A$2:$A$1800,$A171,الريسبي!$B$2:$B$1800,AV$1)</f>
        <v>0</v>
      </c>
      <c r="AW171" s="117" t="n">
        <f aca="false">SUMIFS(الريسبي!$C$2:$C$1800,الريسبي!$A$2:$A$1800,$A171,الريسبي!$B$2:$B$1800,AW$1)</f>
        <v>0</v>
      </c>
      <c r="AX171" s="117" t="n">
        <f aca="false">SUMIFS(الريسبي!$C$2:$C$1800,الريسبي!$A$2:$A$1800,$A171,الريسبي!$B$2:$B$1800,AX$1)</f>
        <v>0</v>
      </c>
      <c r="AY171" s="117" t="n">
        <f aca="false">SUMIFS(الريسبي!$C$2:$C$1800,الريسبي!$A$2:$A$1800,$A171,الريسبي!$B$2:$B$1800,AY$1)</f>
        <v>0.1</v>
      </c>
      <c r="AZ171" s="117" t="n">
        <f aca="false">SUMIFS(الريسبي!$C$2:$C$1800,الريسبي!$A$2:$A$1800,$A171,الريسبي!$B$2:$B$1800,AZ$1)</f>
        <v>0</v>
      </c>
      <c r="BA171" s="117" t="n">
        <f aca="false">SUMIFS(الريسبي!$C$2:$C$1800,الريسبي!$A$2:$A$1800,$A171,الريسبي!$B$2:$B$1800,BA$1)</f>
        <v>0</v>
      </c>
      <c r="BB171" s="117" t="n">
        <f aca="false">SUMIFS(الريسبي!$C$2:$C$1800,الريسبي!$A$2:$A$1800,$A171,الريسبي!$B$2:$B$1800,BB$1)</f>
        <v>0</v>
      </c>
      <c r="BC171" s="117" t="n">
        <f aca="false">SUMIFS(الريسبي!$C$2:$C$1800,الريسبي!$A$2:$A$1800,$A171,الريسبي!$B$2:$B$1800,BC$1)</f>
        <v>0</v>
      </c>
      <c r="BD171" s="117" t="n">
        <f aca="false">SUMIFS(الريسبي!$C$2:$C$1800,الريسبي!$A$2:$A$1800,$A171,الريسبي!$B$2:$B$1800,BD$1)</f>
        <v>0</v>
      </c>
      <c r="BE171" s="117" t="n">
        <f aca="false">SUMIFS(الريسبي!$C$2:$C$1800,الريسبي!$A$2:$A$1800,$A171,الريسبي!$B$2:$B$1800,BE$1)</f>
        <v>0</v>
      </c>
      <c r="BF171" s="117" t="n">
        <f aca="false">SUMIFS(الريسبي!$C$2:$C$1800,الريسبي!$A$2:$A$1800,$A171,الريسبي!$B$2:$B$1800,BF$1)</f>
        <v>0</v>
      </c>
      <c r="BG171" s="117" t="n">
        <f aca="false">SUMIFS(الريسبي!$C$2:$C$1800,الريسبي!$A$2:$A$1800,$A171,الريسبي!$B$2:$B$1800,BG$1)</f>
        <v>0</v>
      </c>
      <c r="BH171" s="117" t="n">
        <f aca="false">SUMIFS(الريسبي!$C$2:$C$1800,الريسبي!$A$2:$A$1800,$A171,الريسبي!$B$2:$B$1800,BH$1)</f>
        <v>0</v>
      </c>
      <c r="BI171" s="117" t="n">
        <f aca="false">SUMIFS(الريسبي!$C$2:$C$1800,الريسبي!$A$2:$A$1800,$A171,الريسبي!$B$2:$B$1800,BI$1)</f>
        <v>0</v>
      </c>
      <c r="BJ171" s="117" t="n">
        <f aca="false">SUMIFS(الريسبي!$C$2:$C$1800,الريسبي!$A$2:$A$1800,$A171,الريسبي!$B$2:$B$1800,BJ$1)</f>
        <v>0</v>
      </c>
      <c r="BK171" s="117" t="n">
        <f aca="false">SUMIFS(الريسبي!$C$2:$C$1800,الريسبي!$A$2:$A$1800,$A171,الريسبي!$B$2:$B$1800,BK$1)</f>
        <v>0</v>
      </c>
      <c r="BL171" s="117" t="n">
        <f aca="false">SUMIFS(الريسبي!$C$2:$C$1800,الريسبي!$A$2:$A$1800,$A171,الريسبي!$B$2:$B$1800,BL$1)</f>
        <v>0</v>
      </c>
      <c r="BM171" s="117" t="n">
        <f aca="false">SUMIFS(الريسبي!$C$2:$C$1800,الريسبي!$A$2:$A$1800,$A171,الريسبي!$B$2:$B$1800,BM$1)</f>
        <v>0</v>
      </c>
      <c r="BN171" s="117" t="n">
        <f aca="false">SUMIFS(الريسبي!$C$2:$C$1800,الريسبي!$A$2:$A$1800,$A171,الريسبي!$B$2:$B$1800,BN$1)</f>
        <v>0</v>
      </c>
      <c r="BO171" s="117" t="n">
        <f aca="false">SUMIFS(الريسبي!$C$2:$C$1800,الريسبي!$A$2:$A$1800,$A171,الريسبي!$B$2:$B$1800,BO$1)</f>
        <v>0</v>
      </c>
      <c r="BP171" s="117" t="n">
        <f aca="false">SUMIFS(الريسبي!$C$2:$C$1800,الريسبي!$A$2:$A$1800,$A171,الريسبي!$B$2:$B$1800,BP$1)</f>
        <v>0</v>
      </c>
      <c r="BQ171" s="117" t="n">
        <f aca="false">SUMIFS(الريسبي!$C$2:$C$1800,الريسبي!$A$2:$A$1800,$A171,الريسبي!$B$2:$B$1800,BQ$1)+0.17*SUMIFS(الريسبي!$C$2:$C$1800,الريسبي!$A$2:$A$1800,$A171,الريسبي!$B$2:$B$1800,"كاسترد مصنع (خليط بودر + لبن)")+0.17*SUMIFS(الريسبي!$C$2:$C$1800,الريسبي!$A$2:$A$1800,$A171,الريسبي!$B$2:$B$1800,"كاسترد مصنع صيامي (بدون لبن)")</f>
        <v>0</v>
      </c>
      <c r="BR171" s="117" t="n">
        <f aca="false">SUMIFS(الريسبي!$C$2:$C$1800,الريسبي!$A$2:$A$1800,$A171,الريسبي!$B$2:$B$1800,BR$1)</f>
        <v>0</v>
      </c>
      <c r="BS171" s="117" t="n">
        <f aca="false">SUMIFS(الريسبي!$C$2:$C$1800,الريسبي!$A$2:$A$1800,$A171,الريسبي!$B$2:$B$1800,BS$1)</f>
        <v>0</v>
      </c>
      <c r="BT171" s="117" t="n">
        <f aca="false">SUMIFS(الريسبي!$C$2:$C$1800,الريسبي!$A$2:$A$1800,$A171,الريسبي!$B$2:$B$1800,BT$1)</f>
        <v>0</v>
      </c>
      <c r="BU171" s="117" t="n">
        <f aca="false">SUMIFS(الريسبي!$C$2:$C$1800,الريسبي!$A$2:$A$1800,$A171,الريسبي!$B$2:$B$1800,BU$1)+0.4*SUMIFS(الريسبي!$C$2:$C$1800,الريسبي!$A$2:$A$1800,$A171,الريسبي!$B$2:$B$1800,"كاسترد مصنع (خليط بودر + لبن)")+0.03333333333*SUMIFS(الريسبي!$C$2:$C$1800,الريسبي!$A$2:$A$1800,$A171,الريسبي!$B$2:$B$1800,"عجين كريب (مصنع بالمطعم)")</f>
        <v>0</v>
      </c>
      <c r="BV171" s="117" t="n">
        <f aca="false">SUMIFS(الريسبي!$C$2:$C$1800,الريسبي!$A$2:$A$1800,$A171,الريسبي!$B$2:$B$1800,BV$1)</f>
        <v>0</v>
      </c>
      <c r="BW171" s="117" t="n">
        <f aca="false">SUMIFS(الريسبي!$C$2:$C$1800,الريسبي!$A$2:$A$1800,$A171,الريسبي!$B$2:$B$1800,BW$1)</f>
        <v>0</v>
      </c>
      <c r="BX171" s="117" t="n">
        <f aca="false">SUMIFS(الريسبي!$C$2:$C$1800,الريسبي!$A$2:$A$1800,$A171,الريسبي!$B$2:$B$1800,BX$1)</f>
        <v>0</v>
      </c>
      <c r="BY171" s="117" t="n">
        <f aca="false">SUMIFS(الريسبي!$C$2:$C$1800,الريسبي!$A$2:$A$1800,$A171,الريسبي!$B$2:$B$1800,BY$1)</f>
        <v>0</v>
      </c>
      <c r="BZ171" s="117" t="n">
        <f aca="false">SUMIFS(الريسبي!$C$2:$C$1800,الريسبي!$A$2:$A$1800,$A171,الريسبي!$B$2:$B$1800,BZ$1)</f>
        <v>0</v>
      </c>
      <c r="CA171" s="117" t="n">
        <f aca="false">SUMIFS(الريسبي!$C$2:$C$1800,الريسبي!$A$2:$A$1800,$A171,الريسبي!$B$2:$B$1800,CA$1)</f>
        <v>0</v>
      </c>
      <c r="CB171" s="117" t="n">
        <f aca="false">SUMIFS(الريسبي!$C$2:$C$1800,الريسبي!$A$2:$A$1800,$A171,الريسبي!$B$2:$B$1800,CB$1)</f>
        <v>0</v>
      </c>
      <c r="CC171" s="117" t="n">
        <f aca="false">SUMIFS(الريسبي!$C$2:$C$1800,الريسبي!$A$2:$A$1800,$A171,الريسبي!$B$2:$B$1800,CC$1)</f>
        <v>0</v>
      </c>
      <c r="CD171" s="117" t="n">
        <f aca="false">SUMIFS(الريسبي!$C$2:$C$1800,الريسبي!$A$2:$A$1800,$A171,الريسبي!$B$2:$B$1800,CD$1)</f>
        <v>0</v>
      </c>
      <c r="CE171" s="117" t="n">
        <f aca="false">SUMIFS(الريسبي!$C$2:$C$1800,الريسبي!$A$2:$A$1800,$A171,الريسبي!$B$2:$B$1800,CE$1)</f>
        <v>0</v>
      </c>
      <c r="CF171" s="117" t="n">
        <f aca="false">SUMIFS(الريسبي!$C$2:$C$1800,الريسبي!$A$2:$A$1800,$A171,الريسبي!$B$2:$B$1800,CF$1)</f>
        <v>0</v>
      </c>
      <c r="CG171" s="117" t="n">
        <f aca="false">SUMIFS(الريسبي!$C$2:$C$1800,الريسبي!$A$2:$A$1800,$A171,الريسبي!$B$2:$B$1800,CG$1)</f>
        <v>0</v>
      </c>
      <c r="CH171" s="117" t="n">
        <f aca="false">SUMIFS(الريسبي!$C$2:$C$1800,الريسبي!$A$2:$A$1800,$A171,الريسبي!$B$2:$B$1800,CH$1)</f>
        <v>0</v>
      </c>
      <c r="CI171" s="117" t="n">
        <f aca="false">SUMIFS(الريسبي!$C$2:$C$1800,الريسبي!$A$2:$A$1800,$A171,الريسبي!$B$2:$B$1800,CI$1)</f>
        <v>0</v>
      </c>
      <c r="CJ171" s="117" t="n">
        <f aca="false">SUMIFS(الريسبي!$C$2:$C$1800,الريسبي!$A$2:$A$1800,$A171,الريسبي!$B$2:$B$1800,CJ$1)</f>
        <v>0</v>
      </c>
      <c r="CK171" s="117" t="n">
        <f aca="false">SUMIFS(الريسبي!$C$2:$C$1800,الريسبي!$A$2:$A$1800,$A171,الريسبي!$B$2:$B$1800,CK$1)</f>
        <v>0</v>
      </c>
      <c r="CL171" s="117" t="n">
        <f aca="false">SUMIFS(الريسبي!$C$2:$C$1800,الريسبي!$A$2:$A$1800,$A171,الريسبي!$B$2:$B$1800,CL$1)</f>
        <v>0</v>
      </c>
    </row>
    <row r="172" customFormat="false" ht="15" hidden="false" customHeight="false" outlineLevel="0" collapsed="false">
      <c r="A172" s="116" t="str">
        <f aca="false">المنيو!B172</f>
        <v>صوص باربيكيو إضافي (L)</v>
      </c>
      <c r="B172" s="117" t="n">
        <f aca="false">SUMIFS(الريسبي!$C$2:$C$1800,الريسبي!$A$2:$A$1800,$A172,الريسبي!$B$2:$B$1800,B$1)</f>
        <v>0</v>
      </c>
      <c r="C172" s="117" t="n">
        <f aca="false">SUMIFS(الريسبي!$C$2:$C$1800,الريسبي!$A$2:$A$1800,$A172,الريسبي!$B$2:$B$1800,C$1)</f>
        <v>0</v>
      </c>
      <c r="D172" s="117" t="n">
        <f aca="false">SUMIFS(الريسبي!$C$2:$C$1800,الريسبي!$A$2:$A$1800,$A172,الريسبي!$B$2:$B$1800,D$1)</f>
        <v>0</v>
      </c>
      <c r="E172" s="117" t="n">
        <f aca="false">SUMIFS(الريسبي!$C$2:$C$1800,الريسبي!$A$2:$A$1800,$A172,الريسبي!$B$2:$B$1800,E$1)</f>
        <v>0</v>
      </c>
      <c r="F172" s="117" t="n">
        <f aca="false">SUMIFS(الريسبي!$C$2:$C$1800,الريسبي!$A$2:$A$1800,$A172,الريسبي!$B$2:$B$1800,F$1)</f>
        <v>0</v>
      </c>
      <c r="G172" s="117" t="n">
        <f aca="false">SUMIFS(الريسبي!$C$2:$C$1800,الريسبي!$A$2:$A$1800,$A172,الريسبي!$B$2:$B$1800,G$1)</f>
        <v>0</v>
      </c>
      <c r="H172" s="117" t="n">
        <f aca="false">SUMIFS(الريسبي!$C$2:$C$1800,الريسبي!$A$2:$A$1800,$A172,الريسبي!$B$2:$B$1800,H$1)</f>
        <v>0</v>
      </c>
      <c r="I172" s="117" t="n">
        <f aca="false">SUMIFS(الريسبي!$C$2:$C$1800,الريسبي!$A$2:$A$1800,$A172,الريسبي!$B$2:$B$1800,I$1)</f>
        <v>0</v>
      </c>
      <c r="J172" s="117" t="n">
        <f aca="false">SUMIFS(الريسبي!$C$2:$C$1800,الريسبي!$A$2:$A$1800,$A172,الريسبي!$B$2:$B$1800,J$1)</f>
        <v>0</v>
      </c>
      <c r="K172" s="117" t="n">
        <f aca="false">SUMIFS(الريسبي!$C$2:$C$1800,الريسبي!$A$2:$A$1800,$A172,الريسبي!$B$2:$B$1800,K$1)</f>
        <v>0</v>
      </c>
      <c r="L172" s="117" t="n">
        <f aca="false">SUMIFS(الريسبي!$C$2:$C$1800,الريسبي!$A$2:$A$1800,$A172,الريسبي!$B$2:$B$1800,L$1)</f>
        <v>0</v>
      </c>
      <c r="M172" s="117" t="n">
        <f aca="false">SUMIFS(الريسبي!$C$2:$C$1800,الريسبي!$A$2:$A$1800,$A172,الريسبي!$B$2:$B$1800,M$1)</f>
        <v>0</v>
      </c>
      <c r="N172" s="117" t="n">
        <f aca="false">SUMIFS(الريسبي!$C$2:$C$1800,الريسبي!$A$2:$A$1800,$A172,الريسبي!$B$2:$B$1800,N$1)</f>
        <v>0</v>
      </c>
      <c r="O172" s="117" t="n">
        <f aca="false">SUMIFS(الريسبي!$C$2:$C$1800,الريسبي!$A$2:$A$1800,$A172,الريسبي!$B$2:$B$1800,O$1)</f>
        <v>0</v>
      </c>
      <c r="P172" s="117" t="n">
        <f aca="false">SUMIFS(الريسبي!$C$2:$C$1800,الريسبي!$A$2:$A$1800,$A172,الريسبي!$B$2:$B$1800,P$1)</f>
        <v>0</v>
      </c>
      <c r="Q172" s="117" t="n">
        <f aca="false">SUMIFS(الريسبي!$C$2:$C$1800,الريسبي!$A$2:$A$1800,$A172,الريسبي!$B$2:$B$1800,Q$1)</f>
        <v>0</v>
      </c>
      <c r="R172" s="117" t="n">
        <f aca="false">SUMIFS(الريسبي!$C$2:$C$1800,الريسبي!$A$2:$A$1800,$A172,الريسبي!$B$2:$B$1800,R$1)</f>
        <v>0</v>
      </c>
      <c r="S172" s="117" t="n">
        <f aca="false">SUMIFS(الريسبي!$C$2:$C$1800,الريسبي!$A$2:$A$1800,$A172,الريسبي!$B$2:$B$1800,S$1)</f>
        <v>0</v>
      </c>
      <c r="T172" s="117" t="n">
        <f aca="false">SUMIFS(الريسبي!$C$2:$C$1800,الريسبي!$A$2:$A$1800,$A172,الريسبي!$B$2:$B$1800,T$1)</f>
        <v>0</v>
      </c>
      <c r="U172" s="117" t="n">
        <f aca="false">SUMIFS(الريسبي!$C$2:$C$1800,الريسبي!$A$2:$A$1800,$A172,الريسبي!$B$2:$B$1800,U$1)</f>
        <v>0</v>
      </c>
      <c r="V172" s="117" t="n">
        <f aca="false">SUMIFS(الريسبي!$C$2:$C$1800,الريسبي!$A$2:$A$1800,$A172,الريسبي!$B$2:$B$1800,V$1)+1.5*(SUMIFS(الريسبي!$C$2:$C$1800,الريسبي!$A$2:$A$1800,$A172,الريسبي!$B$2:$B$1800,"برسيون موتزريلا بيتزا كبير"))</f>
        <v>0</v>
      </c>
      <c r="W172" s="117" t="n">
        <f aca="false">0</f>
        <v>0</v>
      </c>
      <c r="X172" s="117" t="n">
        <f aca="false">SUMIFS(الريسبي!$C$2:$C$1800,الريسبي!$A$2:$A$1800,$A172,الريسبي!$B$2:$B$1800,X$1)+1.5*(SUMIFS(الريسبي!$C$2:$C$1800,الريسبي!$A$2:$A$1800,$A172,الريسبي!$B$2:$B$1800,"برسيون موتزريلا فطير كبير"))</f>
        <v>0</v>
      </c>
      <c r="Y172" s="117" t="n">
        <f aca="false">0</f>
        <v>0</v>
      </c>
      <c r="Z172" s="117" t="n">
        <f aca="false">SUMIFS(الريسبي!$C$2:$C$1800,الريسبي!$A$2:$A$1800,$A172,الريسبي!$B$2:$B$1800,Z$1)</f>
        <v>0</v>
      </c>
      <c r="AA172" s="117" t="n">
        <f aca="false">SUMIFS(الريسبي!$C$2:$C$1800,الريسبي!$A$2:$A$1800,$A172,الريسبي!$B$2:$B$1800,AA$1)</f>
        <v>0</v>
      </c>
      <c r="AB172" s="117" t="n">
        <f aca="false">SUMIFS(الريسبي!$C$2:$C$1800,الريسبي!$A$2:$A$1800,$A172,الريسبي!$B$2:$B$1800,AB$1)</f>
        <v>0</v>
      </c>
      <c r="AC172" s="117" t="n">
        <f aca="false">SUMIFS(الريسبي!$C$2:$C$1800,الريسبي!$A$2:$A$1800,$A172,الريسبي!$B$2:$B$1800,AC$1)</f>
        <v>0</v>
      </c>
      <c r="AD172" s="117" t="n">
        <f aca="false">SUMIFS(الريسبي!$C$2:$C$1800,الريسبي!$A$2:$A$1800,$A172,الريسبي!$B$2:$B$1800,AD$1)</f>
        <v>0</v>
      </c>
      <c r="AE172" s="117" t="n">
        <f aca="false">SUMIFS(الريسبي!$C$2:$C$1800,الريسبي!$A$2:$A$1800,$A172,الريسبي!$B$2:$B$1800,AE$1)</f>
        <v>0</v>
      </c>
      <c r="AF172" s="117" t="n">
        <f aca="false">SUMIFS(الريسبي!$C$2:$C$1800,الريسبي!$A$2:$A$1800,$A172,الريسبي!$B$2:$B$1800,AF$1)</f>
        <v>0</v>
      </c>
      <c r="AG172" s="117" t="n">
        <f aca="false">SUMIFS(الريسبي!$C$2:$C$1800,الريسبي!$A$2:$A$1800,$A172,الريسبي!$B$2:$B$1800,AG$1)</f>
        <v>0</v>
      </c>
      <c r="AH172" s="117" t="n">
        <f aca="false">SUMIFS(الريسبي!$C$2:$C$1800,الريسبي!$A$2:$A$1800,$A172,الريسبي!$B$2:$B$1800,AH$1)</f>
        <v>0</v>
      </c>
      <c r="AI172" s="117" t="n">
        <f aca="false">SUMIFS(الريسبي!$C$2:$C$1800,الريسبي!$A$2:$A$1800,$A172,الريسبي!$B$2:$B$1800,AI$1)</f>
        <v>0</v>
      </c>
      <c r="AJ172" s="117" t="n">
        <f aca="false">SUMIFS(الريسبي!$C$2:$C$1800,الريسبي!$A$2:$A$1800,$A172,الريسبي!$B$2:$B$1800,AJ$1)</f>
        <v>0</v>
      </c>
      <c r="AK172" s="117" t="n">
        <f aca="false">SUMIFS(الريسبي!$C$2:$C$1800,الريسبي!$A$2:$A$1800,$A172,الريسبي!$B$2:$B$1800,AK$1)</f>
        <v>0</v>
      </c>
      <c r="AL172" s="117" t="n">
        <f aca="false">SUMIFS(الريسبي!$C$2:$C$1800,الريسبي!$A$2:$A$1800,$A172,الريسبي!$B$2:$B$1800,AL$1)</f>
        <v>0</v>
      </c>
      <c r="AM172" s="117" t="n">
        <f aca="false">SUMIFS(الريسبي!$C$2:$C$1800,الريسبي!$A$2:$A$1800,$A172,الريسبي!$B$2:$B$1800,AM$1)+0.08333333333*SUMIFS(الريسبي!$C$2:$C$1800,الريسبي!$A$2:$A$1800,$A172,الريسبي!$B$2:$B$1800,"عجين كريب (مصنع بالمطعم)")+0.08333333333*SUMIFS(الريسبي!$C$2:$C$1800,الريسبي!$A$2:$A$1800,$A172,الريسبي!$B$2:$B$1800,"عجين كريب صيامي (بدون لبن)")</f>
        <v>0</v>
      </c>
      <c r="AN172" s="117" t="n">
        <f aca="false">SUMIFS(الريسبي!$C$2:$C$1800,الريسبي!$A$2:$A$1800,$A172,الريسبي!$B$2:$B$1800,AN$1)+0.004166666667*SUMIFS(الريسبي!$C$2:$C$1800,الريسبي!$A$2:$A$1800,$A172,الريسبي!$B$2:$B$1800,"عجين كريب (مصنع بالمطعم)")+0.004166666667*SUMIFS(الريسبي!$C$2:$C$1800,الريسبي!$A$2:$A$1800,$A172,الريسبي!$B$2:$B$1800,"عجين كريب صيامي (بدون لبن)")</f>
        <v>0</v>
      </c>
      <c r="AO172" s="117" t="n">
        <f aca="false">SUMIFS(الريسبي!$C$2:$C$1800,الريسبي!$A$2:$A$1800,$A172,الريسبي!$B$2:$B$1800,AO$1)</f>
        <v>0</v>
      </c>
      <c r="AP172" s="117" t="n">
        <f aca="false">SUMIFS(الريسبي!$C$2:$C$1800,الريسبي!$A$2:$A$1800,$A172,الريسبي!$B$2:$B$1800,AP$1)</f>
        <v>0</v>
      </c>
      <c r="AQ172" s="117" t="n">
        <f aca="false">SUMIFS(الريسبي!$C$2:$C$1800,الريسبي!$A$2:$A$1800,$A172,الريسبي!$B$2:$B$1800,AQ$1)+0.004166666667*SUMIFS(الريسبي!$C$2:$C$1800,الريسبي!$A$2:$A$1800,$A172,الريسبي!$B$2:$B$1800,"عجين كريب (مصنع بالمطعم)")+0.004166666667*SUMIFS(الريسبي!$C$2:$C$1800,الريسبي!$A$2:$A$1800,$A172,الريسبي!$B$2:$B$1800,"عجين كريب صيامي (بدون لبن)")</f>
        <v>0</v>
      </c>
      <c r="AR172" s="117" t="n">
        <f aca="false">SUMIFS(الريسبي!$C$2:$C$1800,الريسبي!$A$2:$A$1800,$A172,الريسبي!$B$2:$B$1800,AR$1)</f>
        <v>0</v>
      </c>
      <c r="AS172" s="117" t="n">
        <f aca="false">SUMIFS(الريسبي!$C$2:$C$1800,الريسبي!$A$2:$A$1800,$A172,الريسبي!$B$2:$B$1800,AS$1)</f>
        <v>0</v>
      </c>
      <c r="AT172" s="117" t="n">
        <f aca="false">SUMIFS(الريسبي!$C$2:$C$1800,الريسبي!$A$2:$A$1800,$A172,الريسبي!$B$2:$B$1800,AT$1)</f>
        <v>0</v>
      </c>
      <c r="AU172" s="117" t="n">
        <f aca="false">SUMIFS(الريسبي!$C$2:$C$1800,الريسبي!$A$2:$A$1800,$A172,الريسبي!$B$2:$B$1800,AU$1)</f>
        <v>0</v>
      </c>
      <c r="AV172" s="117" t="n">
        <f aca="false">SUMIFS(الريسبي!$C$2:$C$1800,الريسبي!$A$2:$A$1800,$A172,الريسبي!$B$2:$B$1800,AV$1)</f>
        <v>0</v>
      </c>
      <c r="AW172" s="117" t="n">
        <f aca="false">SUMIFS(الريسبي!$C$2:$C$1800,الريسبي!$A$2:$A$1800,$A172,الريسبي!$B$2:$B$1800,AW$1)</f>
        <v>0</v>
      </c>
      <c r="AX172" s="117" t="n">
        <f aca="false">SUMIFS(الريسبي!$C$2:$C$1800,الريسبي!$A$2:$A$1800,$A172,الريسبي!$B$2:$B$1800,AX$1)</f>
        <v>0</v>
      </c>
      <c r="AY172" s="117" t="n">
        <f aca="false">SUMIFS(الريسبي!$C$2:$C$1800,الريسبي!$A$2:$A$1800,$A172,الريسبي!$B$2:$B$1800,AY$1)</f>
        <v>0.15</v>
      </c>
      <c r="AZ172" s="117" t="n">
        <f aca="false">SUMIFS(الريسبي!$C$2:$C$1800,الريسبي!$A$2:$A$1800,$A172,الريسبي!$B$2:$B$1800,AZ$1)</f>
        <v>0</v>
      </c>
      <c r="BA172" s="117" t="n">
        <f aca="false">SUMIFS(الريسبي!$C$2:$C$1800,الريسبي!$A$2:$A$1800,$A172,الريسبي!$B$2:$B$1800,BA$1)</f>
        <v>0</v>
      </c>
      <c r="BB172" s="117" t="n">
        <f aca="false">SUMIFS(الريسبي!$C$2:$C$1800,الريسبي!$A$2:$A$1800,$A172,الريسبي!$B$2:$B$1800,BB$1)</f>
        <v>0</v>
      </c>
      <c r="BC172" s="117" t="n">
        <f aca="false">SUMIFS(الريسبي!$C$2:$C$1800,الريسبي!$A$2:$A$1800,$A172,الريسبي!$B$2:$B$1800,BC$1)</f>
        <v>0</v>
      </c>
      <c r="BD172" s="117" t="n">
        <f aca="false">SUMIFS(الريسبي!$C$2:$C$1800,الريسبي!$A$2:$A$1800,$A172,الريسبي!$B$2:$B$1800,BD$1)</f>
        <v>0</v>
      </c>
      <c r="BE172" s="117" t="n">
        <f aca="false">SUMIFS(الريسبي!$C$2:$C$1800,الريسبي!$A$2:$A$1800,$A172,الريسبي!$B$2:$B$1800,BE$1)</f>
        <v>0</v>
      </c>
      <c r="BF172" s="117" t="n">
        <f aca="false">SUMIFS(الريسبي!$C$2:$C$1800,الريسبي!$A$2:$A$1800,$A172,الريسبي!$B$2:$B$1800,BF$1)</f>
        <v>0</v>
      </c>
      <c r="BG172" s="117" t="n">
        <f aca="false">SUMIFS(الريسبي!$C$2:$C$1800,الريسبي!$A$2:$A$1800,$A172,الريسبي!$B$2:$B$1800,BG$1)</f>
        <v>0</v>
      </c>
      <c r="BH172" s="117" t="n">
        <f aca="false">SUMIFS(الريسبي!$C$2:$C$1800,الريسبي!$A$2:$A$1800,$A172,الريسبي!$B$2:$B$1800,BH$1)</f>
        <v>0</v>
      </c>
      <c r="BI172" s="117" t="n">
        <f aca="false">SUMIFS(الريسبي!$C$2:$C$1800,الريسبي!$A$2:$A$1800,$A172,الريسبي!$B$2:$B$1800,BI$1)</f>
        <v>0</v>
      </c>
      <c r="BJ172" s="117" t="n">
        <f aca="false">SUMIFS(الريسبي!$C$2:$C$1800,الريسبي!$A$2:$A$1800,$A172,الريسبي!$B$2:$B$1800,BJ$1)</f>
        <v>0</v>
      </c>
      <c r="BK172" s="117" t="n">
        <f aca="false">SUMIFS(الريسبي!$C$2:$C$1800,الريسبي!$A$2:$A$1800,$A172,الريسبي!$B$2:$B$1800,BK$1)</f>
        <v>0</v>
      </c>
      <c r="BL172" s="117" t="n">
        <f aca="false">SUMIFS(الريسبي!$C$2:$C$1800,الريسبي!$A$2:$A$1800,$A172,الريسبي!$B$2:$B$1800,BL$1)</f>
        <v>0</v>
      </c>
      <c r="BM172" s="117" t="n">
        <f aca="false">SUMIFS(الريسبي!$C$2:$C$1800,الريسبي!$A$2:$A$1800,$A172,الريسبي!$B$2:$B$1800,BM$1)</f>
        <v>0</v>
      </c>
      <c r="BN172" s="117" t="n">
        <f aca="false">SUMIFS(الريسبي!$C$2:$C$1800,الريسبي!$A$2:$A$1800,$A172,الريسبي!$B$2:$B$1800,BN$1)</f>
        <v>0</v>
      </c>
      <c r="BO172" s="117" t="n">
        <f aca="false">SUMIFS(الريسبي!$C$2:$C$1800,الريسبي!$A$2:$A$1800,$A172,الريسبي!$B$2:$B$1800,BO$1)</f>
        <v>0</v>
      </c>
      <c r="BP172" s="117" t="n">
        <f aca="false">SUMIFS(الريسبي!$C$2:$C$1800,الريسبي!$A$2:$A$1800,$A172,الريسبي!$B$2:$B$1800,BP$1)</f>
        <v>0</v>
      </c>
      <c r="BQ172" s="117" t="n">
        <f aca="false">SUMIFS(الريسبي!$C$2:$C$1800,الريسبي!$A$2:$A$1800,$A172,الريسبي!$B$2:$B$1800,BQ$1)+0.17*SUMIFS(الريسبي!$C$2:$C$1800,الريسبي!$A$2:$A$1800,$A172,الريسبي!$B$2:$B$1800,"كاسترد مصنع (خليط بودر + لبن)")+0.17*SUMIFS(الريسبي!$C$2:$C$1800,الريسبي!$A$2:$A$1800,$A172,الريسبي!$B$2:$B$1800,"كاسترد مصنع صيامي (بدون لبن)")</f>
        <v>0</v>
      </c>
      <c r="BR172" s="117" t="n">
        <f aca="false">SUMIFS(الريسبي!$C$2:$C$1800,الريسبي!$A$2:$A$1800,$A172,الريسبي!$B$2:$B$1800,BR$1)</f>
        <v>0</v>
      </c>
      <c r="BS172" s="117" t="n">
        <f aca="false">SUMIFS(الريسبي!$C$2:$C$1800,الريسبي!$A$2:$A$1800,$A172,الريسبي!$B$2:$B$1800,BS$1)</f>
        <v>0</v>
      </c>
      <c r="BT172" s="117" t="n">
        <f aca="false">SUMIFS(الريسبي!$C$2:$C$1800,الريسبي!$A$2:$A$1800,$A172,الريسبي!$B$2:$B$1800,BT$1)</f>
        <v>0</v>
      </c>
      <c r="BU172" s="117" t="n">
        <f aca="false">SUMIFS(الريسبي!$C$2:$C$1800,الريسبي!$A$2:$A$1800,$A172,الريسبي!$B$2:$B$1800,BU$1)+0.4*SUMIFS(الريسبي!$C$2:$C$1800,الريسبي!$A$2:$A$1800,$A172,الريسبي!$B$2:$B$1800,"كاسترد مصنع (خليط بودر + لبن)")+0.03333333333*SUMIFS(الريسبي!$C$2:$C$1800,الريسبي!$A$2:$A$1800,$A172,الريسبي!$B$2:$B$1800,"عجين كريب (مصنع بالمطعم)")</f>
        <v>0</v>
      </c>
      <c r="BV172" s="117" t="n">
        <f aca="false">SUMIFS(الريسبي!$C$2:$C$1800,الريسبي!$A$2:$A$1800,$A172,الريسبي!$B$2:$B$1800,BV$1)</f>
        <v>0</v>
      </c>
      <c r="BW172" s="117" t="n">
        <f aca="false">SUMIFS(الريسبي!$C$2:$C$1800,الريسبي!$A$2:$A$1800,$A172,الريسبي!$B$2:$B$1800,BW$1)</f>
        <v>0</v>
      </c>
      <c r="BX172" s="117" t="n">
        <f aca="false">SUMIFS(الريسبي!$C$2:$C$1800,الريسبي!$A$2:$A$1800,$A172,الريسبي!$B$2:$B$1800,BX$1)</f>
        <v>0</v>
      </c>
      <c r="BY172" s="117" t="n">
        <f aca="false">SUMIFS(الريسبي!$C$2:$C$1800,الريسبي!$A$2:$A$1800,$A172,الريسبي!$B$2:$B$1800,BY$1)</f>
        <v>0</v>
      </c>
      <c r="BZ172" s="117" t="n">
        <f aca="false">SUMIFS(الريسبي!$C$2:$C$1800,الريسبي!$A$2:$A$1800,$A172,الريسبي!$B$2:$B$1800,BZ$1)</f>
        <v>0</v>
      </c>
      <c r="CA172" s="117" t="n">
        <f aca="false">SUMIFS(الريسبي!$C$2:$C$1800,الريسبي!$A$2:$A$1800,$A172,الريسبي!$B$2:$B$1800,CA$1)</f>
        <v>0</v>
      </c>
      <c r="CB172" s="117" t="n">
        <f aca="false">SUMIFS(الريسبي!$C$2:$C$1800,الريسبي!$A$2:$A$1800,$A172,الريسبي!$B$2:$B$1800,CB$1)</f>
        <v>0</v>
      </c>
      <c r="CC172" s="117" t="n">
        <f aca="false">SUMIFS(الريسبي!$C$2:$C$1800,الريسبي!$A$2:$A$1800,$A172,الريسبي!$B$2:$B$1800,CC$1)</f>
        <v>0</v>
      </c>
      <c r="CD172" s="117" t="n">
        <f aca="false">SUMIFS(الريسبي!$C$2:$C$1800,الريسبي!$A$2:$A$1800,$A172,الريسبي!$B$2:$B$1800,CD$1)</f>
        <v>0</v>
      </c>
      <c r="CE172" s="117" t="n">
        <f aca="false">SUMIFS(الريسبي!$C$2:$C$1800,الريسبي!$A$2:$A$1800,$A172,الريسبي!$B$2:$B$1800,CE$1)</f>
        <v>0</v>
      </c>
      <c r="CF172" s="117" t="n">
        <f aca="false">SUMIFS(الريسبي!$C$2:$C$1800,الريسبي!$A$2:$A$1800,$A172,الريسبي!$B$2:$B$1800,CF$1)</f>
        <v>0</v>
      </c>
      <c r="CG172" s="117" t="n">
        <f aca="false">SUMIFS(الريسبي!$C$2:$C$1800,الريسبي!$A$2:$A$1800,$A172,الريسبي!$B$2:$B$1800,CG$1)</f>
        <v>0</v>
      </c>
      <c r="CH172" s="117" t="n">
        <f aca="false">SUMIFS(الريسبي!$C$2:$C$1800,الريسبي!$A$2:$A$1800,$A172,الريسبي!$B$2:$B$1800,CH$1)</f>
        <v>0</v>
      </c>
      <c r="CI172" s="117" t="n">
        <f aca="false">SUMIFS(الريسبي!$C$2:$C$1800,الريسبي!$A$2:$A$1800,$A172,الريسبي!$B$2:$B$1800,CI$1)</f>
        <v>0</v>
      </c>
      <c r="CJ172" s="117" t="n">
        <f aca="false">SUMIFS(الريسبي!$C$2:$C$1800,الريسبي!$A$2:$A$1800,$A172,الريسبي!$B$2:$B$1800,CJ$1)</f>
        <v>0</v>
      </c>
      <c r="CK172" s="117" t="n">
        <f aca="false">SUMIFS(الريسبي!$C$2:$C$1800,الريسبي!$A$2:$A$1800,$A172,الريسبي!$B$2:$B$1800,CK$1)</f>
        <v>0</v>
      </c>
      <c r="CL172" s="117" t="n">
        <f aca="false">SUMIFS(الريسبي!$C$2:$C$1800,الريسبي!$A$2:$A$1800,$A172,الريسبي!$B$2:$B$1800,CL$1)</f>
        <v>0</v>
      </c>
    </row>
    <row r="173" customFormat="false" ht="15" hidden="false" customHeight="false" outlineLevel="0" collapsed="false">
      <c r="A173" s="116" t="str">
        <f aca="false">المنيو!B173</f>
        <v>فطيرة نوتيلا</v>
      </c>
      <c r="B173" s="117" t="n">
        <f aca="false">SUMIFS(الريسبي!$C$2:$C$1800,الريسبي!$A$2:$A$1800,$A173,الريسبي!$B$2:$B$1800,B$1)</f>
        <v>0</v>
      </c>
      <c r="C173" s="117" t="n">
        <f aca="false">SUMIFS(الريسبي!$C$2:$C$1800,الريسبي!$A$2:$A$1800,$A173,الريسبي!$B$2:$B$1800,C$1)</f>
        <v>0</v>
      </c>
      <c r="D173" s="117" t="n">
        <f aca="false">SUMIFS(الريسبي!$C$2:$C$1800,الريسبي!$A$2:$A$1800,$A173,الريسبي!$B$2:$B$1800,D$1)</f>
        <v>0</v>
      </c>
      <c r="E173" s="117" t="n">
        <f aca="false">SUMIFS(الريسبي!$C$2:$C$1800,الريسبي!$A$2:$A$1800,$A173,الريسبي!$B$2:$B$1800,E$1)</f>
        <v>1</v>
      </c>
      <c r="F173" s="117" t="n">
        <f aca="false">SUMIFS(الريسبي!$C$2:$C$1800,الريسبي!$A$2:$A$1800,$A173,الريسبي!$B$2:$B$1800,F$1)</f>
        <v>0</v>
      </c>
      <c r="G173" s="117" t="n">
        <f aca="false">SUMIFS(الريسبي!$C$2:$C$1800,الريسبي!$A$2:$A$1800,$A173,الريسبي!$B$2:$B$1800,G$1)</f>
        <v>0</v>
      </c>
      <c r="H173" s="117" t="n">
        <f aca="false">SUMIFS(الريسبي!$C$2:$C$1800,الريسبي!$A$2:$A$1800,$A173,الريسبي!$B$2:$B$1800,H$1)</f>
        <v>0</v>
      </c>
      <c r="I173" s="117" t="n">
        <f aca="false">SUMIFS(الريسبي!$C$2:$C$1800,الريسبي!$A$2:$A$1800,$A173,الريسبي!$B$2:$B$1800,I$1)</f>
        <v>0</v>
      </c>
      <c r="J173" s="117" t="n">
        <f aca="false">SUMIFS(الريسبي!$C$2:$C$1800,الريسبي!$A$2:$A$1800,$A173,الريسبي!$B$2:$B$1800,J$1)</f>
        <v>0</v>
      </c>
      <c r="K173" s="117" t="n">
        <f aca="false">SUMIFS(الريسبي!$C$2:$C$1800,الريسبي!$A$2:$A$1800,$A173,الريسبي!$B$2:$B$1800,K$1)</f>
        <v>0</v>
      </c>
      <c r="L173" s="117" t="n">
        <f aca="false">SUMIFS(الريسبي!$C$2:$C$1800,الريسبي!$A$2:$A$1800,$A173,الريسبي!$B$2:$B$1800,L$1)</f>
        <v>0</v>
      </c>
      <c r="M173" s="117" t="n">
        <f aca="false">SUMIFS(الريسبي!$C$2:$C$1800,الريسبي!$A$2:$A$1800,$A173,الريسبي!$B$2:$B$1800,M$1)</f>
        <v>0</v>
      </c>
      <c r="N173" s="117" t="n">
        <f aca="false">SUMIFS(الريسبي!$C$2:$C$1800,الريسبي!$A$2:$A$1800,$A173,الريسبي!$B$2:$B$1800,N$1)</f>
        <v>0</v>
      </c>
      <c r="O173" s="117" t="n">
        <f aca="false">SUMIFS(الريسبي!$C$2:$C$1800,الريسبي!$A$2:$A$1800,$A173,الريسبي!$B$2:$B$1800,O$1)</f>
        <v>0</v>
      </c>
      <c r="P173" s="117" t="n">
        <f aca="false">SUMIFS(الريسبي!$C$2:$C$1800,الريسبي!$A$2:$A$1800,$A173,الريسبي!$B$2:$B$1800,P$1)</f>
        <v>0</v>
      </c>
      <c r="Q173" s="117" t="n">
        <f aca="false">SUMIFS(الريسبي!$C$2:$C$1800,الريسبي!$A$2:$A$1800,$A173,الريسبي!$B$2:$B$1800,Q$1)</f>
        <v>0</v>
      </c>
      <c r="R173" s="117" t="n">
        <f aca="false">SUMIFS(الريسبي!$C$2:$C$1800,الريسبي!$A$2:$A$1800,$A173,الريسبي!$B$2:$B$1800,R$1)</f>
        <v>0</v>
      </c>
      <c r="S173" s="117" t="n">
        <f aca="false">SUMIFS(الريسبي!$C$2:$C$1800,الريسبي!$A$2:$A$1800,$A173,الريسبي!$B$2:$B$1800,S$1)</f>
        <v>0</v>
      </c>
      <c r="T173" s="117" t="n">
        <f aca="false">SUMIFS(الريسبي!$C$2:$C$1800,الريسبي!$A$2:$A$1800,$A173,الريسبي!$B$2:$B$1800,T$1)</f>
        <v>0</v>
      </c>
      <c r="U173" s="117" t="n">
        <f aca="false">SUMIFS(الريسبي!$C$2:$C$1800,الريسبي!$A$2:$A$1800,$A173,الريسبي!$B$2:$B$1800,U$1)</f>
        <v>0</v>
      </c>
      <c r="V173" s="117" t="n">
        <f aca="false">SUMIFS(الريسبي!$C$2:$C$1800,الريسبي!$A$2:$A$1800,$A173,الريسبي!$B$2:$B$1800,V$1)+1.5*(SUMIFS(الريسبي!$C$2:$C$1800,الريسبي!$A$2:$A$1800,$A173,الريسبي!$B$2:$B$1800,"برسيون موتزريلا بيتزا كبير"))</f>
        <v>0</v>
      </c>
      <c r="W173" s="117" t="n">
        <f aca="false">0</f>
        <v>0</v>
      </c>
      <c r="X173" s="117" t="n">
        <f aca="false">SUMIFS(الريسبي!$C$2:$C$1800,الريسبي!$A$2:$A$1800,$A173,الريسبي!$B$2:$B$1800,X$1)+1.5*(SUMIFS(الريسبي!$C$2:$C$1800,الريسبي!$A$2:$A$1800,$A173,الريسبي!$B$2:$B$1800,"برسيون موتزريلا فطير كبير"))</f>
        <v>0</v>
      </c>
      <c r="Y173" s="117" t="n">
        <f aca="false">0</f>
        <v>0</v>
      </c>
      <c r="Z173" s="117" t="n">
        <f aca="false">SUMIFS(الريسبي!$C$2:$C$1800,الريسبي!$A$2:$A$1800,$A173,الريسبي!$B$2:$B$1800,Z$1)</f>
        <v>0</v>
      </c>
      <c r="AA173" s="117" t="n">
        <f aca="false">SUMIFS(الريسبي!$C$2:$C$1800,الريسبي!$A$2:$A$1800,$A173,الريسبي!$B$2:$B$1800,AA$1)</f>
        <v>0</v>
      </c>
      <c r="AB173" s="117" t="n">
        <f aca="false">SUMIFS(الريسبي!$C$2:$C$1800,الريسبي!$A$2:$A$1800,$A173,الريسبي!$B$2:$B$1800,AB$1)</f>
        <v>0</v>
      </c>
      <c r="AC173" s="117" t="n">
        <f aca="false">SUMIFS(الريسبي!$C$2:$C$1800,الريسبي!$A$2:$A$1800,$A173,الريسبي!$B$2:$B$1800,AC$1)</f>
        <v>0</v>
      </c>
      <c r="AD173" s="117" t="n">
        <f aca="false">SUMIFS(الريسبي!$C$2:$C$1800,الريسبي!$A$2:$A$1800,$A173,الريسبي!$B$2:$B$1800,AD$1)</f>
        <v>0</v>
      </c>
      <c r="AE173" s="117" t="n">
        <f aca="false">SUMIFS(الريسبي!$C$2:$C$1800,الريسبي!$A$2:$A$1800,$A173,الريسبي!$B$2:$B$1800,AE$1)</f>
        <v>0</v>
      </c>
      <c r="AF173" s="117" t="n">
        <f aca="false">SUMIFS(الريسبي!$C$2:$C$1800,الريسبي!$A$2:$A$1800,$A173,الريسبي!$B$2:$B$1800,AF$1)</f>
        <v>1</v>
      </c>
      <c r="AG173" s="117" t="n">
        <f aca="false">SUMIFS(الريسبي!$C$2:$C$1800,الريسبي!$A$2:$A$1800,$A173,الريسبي!$B$2:$B$1800,AG$1)</f>
        <v>0</v>
      </c>
      <c r="AH173" s="117" t="n">
        <f aca="false">SUMIFS(الريسبي!$C$2:$C$1800,الريسبي!$A$2:$A$1800,$A173,الريسبي!$B$2:$B$1800,AH$1)</f>
        <v>0</v>
      </c>
      <c r="AI173" s="117" t="n">
        <f aca="false">SUMIFS(الريسبي!$C$2:$C$1800,الريسبي!$A$2:$A$1800,$A173,الريسبي!$B$2:$B$1800,AI$1)</f>
        <v>0</v>
      </c>
      <c r="AJ173" s="117" t="n">
        <f aca="false">SUMIFS(الريسبي!$C$2:$C$1800,الريسبي!$A$2:$A$1800,$A173,الريسبي!$B$2:$B$1800,AJ$1)</f>
        <v>0</v>
      </c>
      <c r="AK173" s="117" t="n">
        <f aca="false">SUMIFS(الريسبي!$C$2:$C$1800,الريسبي!$A$2:$A$1800,$A173,الريسبي!$B$2:$B$1800,AK$1)</f>
        <v>0</v>
      </c>
      <c r="AL173" s="117" t="n">
        <f aca="false">SUMIFS(الريسبي!$C$2:$C$1800,الريسبي!$A$2:$A$1800,$A173,الريسبي!$B$2:$B$1800,AL$1)</f>
        <v>0</v>
      </c>
      <c r="AM173" s="117" t="n">
        <f aca="false">SUMIFS(الريسبي!$C$2:$C$1800,الريسبي!$A$2:$A$1800,$A173,الريسبي!$B$2:$B$1800,AM$1)+0.08333333333*SUMIFS(الريسبي!$C$2:$C$1800,الريسبي!$A$2:$A$1800,$A173,الريسبي!$B$2:$B$1800,"عجين كريب (مصنع بالمطعم)")+0.08333333333*SUMIFS(الريسبي!$C$2:$C$1800,الريسبي!$A$2:$A$1800,$A173,الريسبي!$B$2:$B$1800,"عجين كريب صيامي (بدون لبن)")</f>
        <v>0</v>
      </c>
      <c r="AN173" s="117" t="n">
        <f aca="false">SUMIFS(الريسبي!$C$2:$C$1800,الريسبي!$A$2:$A$1800,$A173,الريسبي!$B$2:$B$1800,AN$1)+0.004166666667*SUMIFS(الريسبي!$C$2:$C$1800,الريسبي!$A$2:$A$1800,$A173,الريسبي!$B$2:$B$1800,"عجين كريب (مصنع بالمطعم)")+0.004166666667*SUMIFS(الريسبي!$C$2:$C$1800,الريسبي!$A$2:$A$1800,$A173,الريسبي!$B$2:$B$1800,"عجين كريب صيامي (بدون لبن)")</f>
        <v>0</v>
      </c>
      <c r="AO173" s="117" t="n">
        <f aca="false">SUMIFS(الريسبي!$C$2:$C$1800,الريسبي!$A$2:$A$1800,$A173,الريسبي!$B$2:$B$1800,AO$1)</f>
        <v>0</v>
      </c>
      <c r="AP173" s="117" t="n">
        <f aca="false">SUMIFS(الريسبي!$C$2:$C$1800,الريسبي!$A$2:$A$1800,$A173,الريسبي!$B$2:$B$1800,AP$1)</f>
        <v>0</v>
      </c>
      <c r="AQ173" s="117" t="n">
        <f aca="false">SUMIFS(الريسبي!$C$2:$C$1800,الريسبي!$A$2:$A$1800,$A173,الريسبي!$B$2:$B$1800,AQ$1)+0.004166666667*SUMIFS(الريسبي!$C$2:$C$1800,الريسبي!$A$2:$A$1800,$A173,الريسبي!$B$2:$B$1800,"عجين كريب (مصنع بالمطعم)")+0.004166666667*SUMIFS(الريسبي!$C$2:$C$1800,الريسبي!$A$2:$A$1800,$A173,الريسبي!$B$2:$B$1800,"عجين كريب صيامي (بدون لبن)")</f>
        <v>0</v>
      </c>
      <c r="AR173" s="117" t="n">
        <f aca="false">SUMIFS(الريسبي!$C$2:$C$1800,الريسبي!$A$2:$A$1800,$A173,الريسبي!$B$2:$B$1800,AR$1)</f>
        <v>0</v>
      </c>
      <c r="AS173" s="117" t="n">
        <f aca="false">SUMIFS(الريسبي!$C$2:$C$1800,الريسبي!$A$2:$A$1800,$A173,الريسبي!$B$2:$B$1800,AS$1)</f>
        <v>0</v>
      </c>
      <c r="AT173" s="117" t="n">
        <f aca="false">SUMIFS(الريسبي!$C$2:$C$1800,الريسبي!$A$2:$A$1800,$A173,الريسبي!$B$2:$B$1800,AT$1)</f>
        <v>0</v>
      </c>
      <c r="AU173" s="117" t="n">
        <f aca="false">SUMIFS(الريسبي!$C$2:$C$1800,الريسبي!$A$2:$A$1800,$A173,الريسبي!$B$2:$B$1800,AU$1)</f>
        <v>1</v>
      </c>
      <c r="AV173" s="117" t="n">
        <f aca="false">SUMIFS(الريسبي!$C$2:$C$1800,الريسبي!$A$2:$A$1800,$A173,الريسبي!$B$2:$B$1800,AV$1)</f>
        <v>0</v>
      </c>
      <c r="AW173" s="117" t="n">
        <f aca="false">SUMIFS(الريسبي!$C$2:$C$1800,الريسبي!$A$2:$A$1800,$A173,الريسبي!$B$2:$B$1800,AW$1)</f>
        <v>0.03</v>
      </c>
      <c r="AX173" s="117" t="n">
        <f aca="false">SUMIFS(الريسبي!$C$2:$C$1800,الريسبي!$A$2:$A$1800,$A173,الريسبي!$B$2:$B$1800,AX$1)</f>
        <v>0</v>
      </c>
      <c r="AY173" s="117" t="n">
        <f aca="false">SUMIFS(الريسبي!$C$2:$C$1800,الريسبي!$A$2:$A$1800,$A173,الريسبي!$B$2:$B$1800,AY$1)</f>
        <v>0</v>
      </c>
      <c r="AZ173" s="117" t="n">
        <f aca="false">SUMIFS(الريسبي!$C$2:$C$1800,الريسبي!$A$2:$A$1800,$A173,الريسبي!$B$2:$B$1800,AZ$1)</f>
        <v>0</v>
      </c>
      <c r="BA173" s="117" t="n">
        <f aca="false">SUMIFS(الريسبي!$C$2:$C$1800,الريسبي!$A$2:$A$1800,$A173,الريسبي!$B$2:$B$1800,BA$1)</f>
        <v>0</v>
      </c>
      <c r="BB173" s="117" t="n">
        <f aca="false">SUMIFS(الريسبي!$C$2:$C$1800,الريسبي!$A$2:$A$1800,$A173,الريسبي!$B$2:$B$1800,BB$1)</f>
        <v>0</v>
      </c>
      <c r="BC173" s="117" t="n">
        <f aca="false">SUMIFS(الريسبي!$C$2:$C$1800,الريسبي!$A$2:$A$1800,$A173,الريسبي!$B$2:$B$1800,BC$1)</f>
        <v>0</v>
      </c>
      <c r="BD173" s="117" t="n">
        <f aca="false">SUMIFS(الريسبي!$C$2:$C$1800,الريسبي!$A$2:$A$1800,$A173,الريسبي!$B$2:$B$1800,BD$1)</f>
        <v>0</v>
      </c>
      <c r="BE173" s="117" t="n">
        <f aca="false">SUMIFS(الريسبي!$C$2:$C$1800,الريسبي!$A$2:$A$1800,$A173,الريسبي!$B$2:$B$1800,BE$1)</f>
        <v>1</v>
      </c>
      <c r="BF173" s="117" t="n">
        <f aca="false">SUMIFS(الريسبي!$C$2:$C$1800,الريسبي!$A$2:$A$1800,$A173,الريسبي!$B$2:$B$1800,BF$1)</f>
        <v>0</v>
      </c>
      <c r="BG173" s="117" t="n">
        <f aca="false">SUMIFS(الريسبي!$C$2:$C$1800,الريسبي!$A$2:$A$1800,$A173,الريسبي!$B$2:$B$1800,BG$1)</f>
        <v>0</v>
      </c>
      <c r="BH173" s="117" t="n">
        <f aca="false">SUMIFS(الريسبي!$C$2:$C$1800,الريسبي!$A$2:$A$1800,$A173,الريسبي!$B$2:$B$1800,BH$1)</f>
        <v>0</v>
      </c>
      <c r="BI173" s="117" t="n">
        <f aca="false">SUMIFS(الريسبي!$C$2:$C$1800,الريسبي!$A$2:$A$1800,$A173,الريسبي!$B$2:$B$1800,BI$1)</f>
        <v>0</v>
      </c>
      <c r="BJ173" s="117" t="n">
        <f aca="false">SUMIFS(الريسبي!$C$2:$C$1800,الريسبي!$A$2:$A$1800,$A173,الريسبي!$B$2:$B$1800,BJ$1)</f>
        <v>0</v>
      </c>
      <c r="BK173" s="117" t="n">
        <f aca="false">SUMIFS(الريسبي!$C$2:$C$1800,الريسبي!$A$2:$A$1800,$A173,الريسبي!$B$2:$B$1800,BK$1)</f>
        <v>1</v>
      </c>
      <c r="BL173" s="117" t="n">
        <f aca="false">SUMIFS(الريسبي!$C$2:$C$1800,الريسبي!$A$2:$A$1800,$A173,الريسبي!$B$2:$B$1800,BL$1)</f>
        <v>0</v>
      </c>
      <c r="BM173" s="117" t="n">
        <f aca="false">SUMIFS(الريسبي!$C$2:$C$1800,الريسبي!$A$2:$A$1800,$A173,الريسبي!$B$2:$B$1800,BM$1)</f>
        <v>0</v>
      </c>
      <c r="BN173" s="117" t="n">
        <f aca="false">SUMIFS(الريسبي!$C$2:$C$1800,الريسبي!$A$2:$A$1800,$A173,الريسبي!$B$2:$B$1800,BN$1)</f>
        <v>0</v>
      </c>
      <c r="BO173" s="117" t="n">
        <f aca="false">SUMIFS(الريسبي!$C$2:$C$1800,الريسبي!$A$2:$A$1800,$A173,الريسبي!$B$2:$B$1800,BO$1)</f>
        <v>0</v>
      </c>
      <c r="BP173" s="117" t="n">
        <f aca="false">SUMIFS(الريسبي!$C$2:$C$1800,الريسبي!$A$2:$A$1800,$A173,الريسبي!$B$2:$B$1800,BP$1)</f>
        <v>0</v>
      </c>
      <c r="BQ173" s="117" t="n">
        <f aca="false">SUMIFS(الريسبي!$C$2:$C$1800,الريسبي!$A$2:$A$1800,$A173,الريسبي!$B$2:$B$1800,BQ$1)+0.17*SUMIFS(الريسبي!$C$2:$C$1800,الريسبي!$A$2:$A$1800,$A173,الريسبي!$B$2:$B$1800,"كاسترد مصنع (خليط بودر + لبن)")+0.17*SUMIFS(الريسبي!$C$2:$C$1800,الريسبي!$A$2:$A$1800,$A173,الريسبي!$B$2:$B$1800,"كاسترد مصنع صيامي (بدون لبن)")</f>
        <v>0.0255</v>
      </c>
      <c r="BR173" s="117" t="n">
        <f aca="false">SUMIFS(الريسبي!$C$2:$C$1800,الريسبي!$A$2:$A$1800,$A173,الريسبي!$B$2:$B$1800,BR$1)</f>
        <v>0</v>
      </c>
      <c r="BS173" s="117" t="n">
        <f aca="false">SUMIFS(الريسبي!$C$2:$C$1800,الريسبي!$A$2:$A$1800,$A173,الريسبي!$B$2:$B$1800,BS$1)</f>
        <v>0</v>
      </c>
      <c r="BT173" s="117" t="n">
        <f aca="false">SUMIFS(الريسبي!$C$2:$C$1800,الريسبي!$A$2:$A$1800,$A173,الريسبي!$B$2:$B$1800,BT$1)</f>
        <v>0</v>
      </c>
      <c r="BU173" s="117" t="n">
        <f aca="false">SUMIFS(الريسبي!$C$2:$C$1800,الريسبي!$A$2:$A$1800,$A173,الريسبي!$B$2:$B$1800,BU$1)+0.4*SUMIFS(الريسبي!$C$2:$C$1800,الريسبي!$A$2:$A$1800,$A173,الريسبي!$B$2:$B$1800,"كاسترد مصنع (خليط بودر + لبن)")+0.03333333333*SUMIFS(الريسبي!$C$2:$C$1800,الريسبي!$A$2:$A$1800,$A173,الريسبي!$B$2:$B$1800,"عجين كريب (مصنع بالمطعم)")</f>
        <v>0.06</v>
      </c>
      <c r="BV173" s="117" t="n">
        <f aca="false">SUMIFS(الريسبي!$C$2:$C$1800,الريسبي!$A$2:$A$1800,$A173,الريسبي!$B$2:$B$1800,BV$1)</f>
        <v>0</v>
      </c>
      <c r="BW173" s="117" t="n">
        <f aca="false">SUMIFS(الريسبي!$C$2:$C$1800,الريسبي!$A$2:$A$1800,$A173,الريسبي!$B$2:$B$1800,BW$1)</f>
        <v>0</v>
      </c>
      <c r="BX173" s="117" t="n">
        <f aca="false">SUMIFS(الريسبي!$C$2:$C$1800,الريسبي!$A$2:$A$1800,$A173,الريسبي!$B$2:$B$1800,BX$1)</f>
        <v>0</v>
      </c>
      <c r="BY173" s="117" t="n">
        <f aca="false">SUMIFS(الريسبي!$C$2:$C$1800,الريسبي!$A$2:$A$1800,$A173,الريسبي!$B$2:$B$1800,BY$1)</f>
        <v>0</v>
      </c>
      <c r="BZ173" s="117" t="n">
        <f aca="false">SUMIFS(الريسبي!$C$2:$C$1800,الريسبي!$A$2:$A$1800,$A173,الريسبي!$B$2:$B$1800,BZ$1)</f>
        <v>0.16</v>
      </c>
      <c r="CA173" s="117" t="n">
        <f aca="false">SUMIFS(الريسبي!$C$2:$C$1800,الريسبي!$A$2:$A$1800,$A173,الريسبي!$B$2:$B$1800,CA$1)</f>
        <v>0</v>
      </c>
      <c r="CB173" s="117" t="n">
        <f aca="false">SUMIFS(الريسبي!$C$2:$C$1800,الريسبي!$A$2:$A$1800,$A173,الريسبي!$B$2:$B$1800,CB$1)</f>
        <v>0</v>
      </c>
      <c r="CC173" s="117" t="n">
        <f aca="false">SUMIFS(الريسبي!$C$2:$C$1800,الريسبي!$A$2:$A$1800,$A173,الريسبي!$B$2:$B$1800,CC$1)</f>
        <v>0</v>
      </c>
      <c r="CD173" s="117" t="n">
        <f aca="false">SUMIFS(الريسبي!$C$2:$C$1800,الريسبي!$A$2:$A$1800,$A173,الريسبي!$B$2:$B$1800,CD$1)</f>
        <v>0</v>
      </c>
      <c r="CE173" s="117" t="n">
        <f aca="false">SUMIFS(الريسبي!$C$2:$C$1800,الريسبي!$A$2:$A$1800,$A173,الريسبي!$B$2:$B$1800,CE$1)</f>
        <v>0</v>
      </c>
      <c r="CF173" s="117" t="n">
        <f aca="false">SUMIFS(الريسبي!$C$2:$C$1800,الريسبي!$A$2:$A$1800,$A173,الريسبي!$B$2:$B$1800,CF$1)</f>
        <v>0</v>
      </c>
      <c r="CG173" s="117" t="n">
        <f aca="false">SUMIFS(الريسبي!$C$2:$C$1800,الريسبي!$A$2:$A$1800,$A173,الريسبي!$B$2:$B$1800,CG$1)</f>
        <v>0</v>
      </c>
      <c r="CH173" s="117" t="n">
        <f aca="false">SUMIFS(الريسبي!$C$2:$C$1800,الريسبي!$A$2:$A$1800,$A173,الريسبي!$B$2:$B$1800,CH$1)</f>
        <v>0</v>
      </c>
      <c r="CI173" s="117" t="n">
        <f aca="false">SUMIFS(الريسبي!$C$2:$C$1800,الريسبي!$A$2:$A$1800,$A173,الريسبي!$B$2:$B$1800,CI$1)</f>
        <v>0</v>
      </c>
      <c r="CJ173" s="117" t="n">
        <f aca="false">SUMIFS(الريسبي!$C$2:$C$1800,الريسبي!$A$2:$A$1800,$A173,الريسبي!$B$2:$B$1800,CJ$1)</f>
        <v>0</v>
      </c>
      <c r="CK173" s="117" t="n">
        <f aca="false">SUMIFS(الريسبي!$C$2:$C$1800,الريسبي!$A$2:$A$1800,$A173,الريسبي!$B$2:$B$1800,CK$1)</f>
        <v>0</v>
      </c>
      <c r="CL173" s="117" t="n">
        <f aca="false">SUMIFS(الريسبي!$C$2:$C$1800,الريسبي!$A$2:$A$1800,$A173,الريسبي!$B$2:$B$1800,CL$1)</f>
        <v>0</v>
      </c>
    </row>
    <row r="174" customFormat="false" ht="15" hidden="false" customHeight="false" outlineLevel="0" collapsed="false">
      <c r="A174" s="116" t="str">
        <f aca="false">المنيو!B174</f>
        <v>مكرونة صوص ابيض مفروم</v>
      </c>
      <c r="B174" s="117" t="n">
        <f aca="false">SUMIFS(الريسبي!$C$2:$C$1800,الريسبي!$A$2:$A$1800,$A174,الريسبي!$B$2:$B$1800,B$1)</f>
        <v>1</v>
      </c>
      <c r="C174" s="117" t="n">
        <f aca="false">SUMIFS(الريسبي!$C$2:$C$1800,الريسبي!$A$2:$A$1800,$A174,الريسبي!$B$2:$B$1800,C$1)</f>
        <v>0</v>
      </c>
      <c r="D174" s="117" t="n">
        <f aca="false">SUMIFS(الريسبي!$C$2:$C$1800,الريسبي!$A$2:$A$1800,$A174,الريسبي!$B$2:$B$1800,D$1)</f>
        <v>0</v>
      </c>
      <c r="E174" s="117" t="n">
        <f aca="false">SUMIFS(الريسبي!$C$2:$C$1800,الريسبي!$A$2:$A$1800,$A174,الريسبي!$B$2:$B$1800,E$1)</f>
        <v>1</v>
      </c>
      <c r="F174" s="117" t="n">
        <f aca="false">SUMIFS(الريسبي!$C$2:$C$1800,الريسبي!$A$2:$A$1800,$A174,الريسبي!$B$2:$B$1800,F$1)</f>
        <v>0</v>
      </c>
      <c r="G174" s="117" t="n">
        <f aca="false">SUMIFS(الريسبي!$C$2:$C$1800,الريسبي!$A$2:$A$1800,$A174,الريسبي!$B$2:$B$1800,G$1)</f>
        <v>0</v>
      </c>
      <c r="H174" s="117" t="n">
        <f aca="false">SUMIFS(الريسبي!$C$2:$C$1800,الريسبي!$A$2:$A$1800,$A174,الريسبي!$B$2:$B$1800,H$1)</f>
        <v>0</v>
      </c>
      <c r="I174" s="117" t="n">
        <f aca="false">SUMIFS(الريسبي!$C$2:$C$1800,الريسبي!$A$2:$A$1800,$A174,الريسبي!$B$2:$B$1800,I$1)</f>
        <v>0</v>
      </c>
      <c r="J174" s="117" t="n">
        <f aca="false">SUMIFS(الريسبي!$C$2:$C$1800,الريسبي!$A$2:$A$1800,$A174,الريسبي!$B$2:$B$1800,J$1)</f>
        <v>0</v>
      </c>
      <c r="K174" s="117" t="n">
        <f aca="false">SUMIFS(الريسبي!$C$2:$C$1800,الريسبي!$A$2:$A$1800,$A174,الريسبي!$B$2:$B$1800,K$1)</f>
        <v>0</v>
      </c>
      <c r="L174" s="117" t="n">
        <f aca="false">SUMIFS(الريسبي!$C$2:$C$1800,الريسبي!$A$2:$A$1800,$A174,الريسبي!$B$2:$B$1800,L$1)</f>
        <v>0</v>
      </c>
      <c r="M174" s="117" t="n">
        <f aca="false">SUMIFS(الريسبي!$C$2:$C$1800,الريسبي!$A$2:$A$1800,$A174,الريسبي!$B$2:$B$1800,M$1)</f>
        <v>0</v>
      </c>
      <c r="N174" s="117" t="n">
        <f aca="false">SUMIFS(الريسبي!$C$2:$C$1800,الريسبي!$A$2:$A$1800,$A174,الريسبي!$B$2:$B$1800,N$1)</f>
        <v>0</v>
      </c>
      <c r="O174" s="117" t="n">
        <f aca="false">SUMIFS(الريسبي!$C$2:$C$1800,الريسبي!$A$2:$A$1800,$A174,الريسبي!$B$2:$B$1800,O$1)</f>
        <v>0</v>
      </c>
      <c r="P174" s="117" t="n">
        <f aca="false">SUMIFS(الريسبي!$C$2:$C$1800,الريسبي!$A$2:$A$1800,$A174,الريسبي!$B$2:$B$1800,P$1)</f>
        <v>0</v>
      </c>
      <c r="Q174" s="117" t="n">
        <f aca="false">SUMIFS(الريسبي!$C$2:$C$1800,الريسبي!$A$2:$A$1800,$A174,الريسبي!$B$2:$B$1800,Q$1)</f>
        <v>0</v>
      </c>
      <c r="R174" s="117" t="n">
        <f aca="false">SUMIFS(الريسبي!$C$2:$C$1800,الريسبي!$A$2:$A$1800,$A174,الريسبي!$B$2:$B$1800,R$1)</f>
        <v>0</v>
      </c>
      <c r="S174" s="117" t="n">
        <f aca="false">SUMIFS(الريسبي!$C$2:$C$1800,الريسبي!$A$2:$A$1800,$A174,الريسبي!$B$2:$B$1800,S$1)</f>
        <v>0</v>
      </c>
      <c r="T174" s="117" t="n">
        <f aca="false">SUMIFS(الريسبي!$C$2:$C$1800,الريسبي!$A$2:$A$1800,$A174,الريسبي!$B$2:$B$1800,T$1)</f>
        <v>1</v>
      </c>
      <c r="U174" s="117" t="n">
        <f aca="false">SUMIFS(الريسبي!$C$2:$C$1800,الريسبي!$A$2:$A$1800,$A174,الريسبي!$B$2:$B$1800,U$1)</f>
        <v>0</v>
      </c>
      <c r="V174" s="117" t="n">
        <f aca="false">SUMIFS(الريسبي!$C$2:$C$1800,الريسبي!$A$2:$A$1800,$A174,الريسبي!$B$2:$B$1800,V$1)+1.5*(SUMIFS(الريسبي!$C$2:$C$1800,الريسبي!$A$2:$A$1800,$A174,الريسبي!$B$2:$B$1800,"برسيون موتزريلا بيتزا كبير"))</f>
        <v>1</v>
      </c>
      <c r="W174" s="117" t="n">
        <f aca="false">0</f>
        <v>0</v>
      </c>
      <c r="X174" s="117" t="n">
        <f aca="false">SUMIFS(الريسبي!$C$2:$C$1800,الريسبي!$A$2:$A$1800,$A174,الريسبي!$B$2:$B$1800,X$1)+1.5*(SUMIFS(الريسبي!$C$2:$C$1800,الريسبي!$A$2:$A$1800,$A174,الريسبي!$B$2:$B$1800,"برسيون موتزريلا فطير كبير"))</f>
        <v>0</v>
      </c>
      <c r="Y174" s="117" t="n">
        <f aca="false">0</f>
        <v>0</v>
      </c>
      <c r="Z174" s="117" t="n">
        <f aca="false">SUMIFS(الريسبي!$C$2:$C$1800,الريسبي!$A$2:$A$1800,$A174,الريسبي!$B$2:$B$1800,Z$1)</f>
        <v>0</v>
      </c>
      <c r="AA174" s="117" t="n">
        <f aca="false">SUMIFS(الريسبي!$C$2:$C$1800,الريسبي!$A$2:$A$1800,$A174,الريسبي!$B$2:$B$1800,AA$1)</f>
        <v>0</v>
      </c>
      <c r="AB174" s="117" t="n">
        <f aca="false">SUMIFS(الريسبي!$C$2:$C$1800,الريسبي!$A$2:$A$1800,$A174,الريسبي!$B$2:$B$1800,AB$1)</f>
        <v>0</v>
      </c>
      <c r="AC174" s="117" t="n">
        <f aca="false">SUMIFS(الريسبي!$C$2:$C$1800,الريسبي!$A$2:$A$1800,$A174,الريسبي!$B$2:$B$1800,AC$1)</f>
        <v>0.2</v>
      </c>
      <c r="AD174" s="117" t="n">
        <f aca="false">SUMIFS(الريسبي!$C$2:$C$1800,الريسبي!$A$2:$A$1800,$A174,الريسبي!$B$2:$B$1800,AD$1)</f>
        <v>0</v>
      </c>
      <c r="AE174" s="117" t="n">
        <f aca="false">SUMIFS(الريسبي!$C$2:$C$1800,الريسبي!$A$2:$A$1800,$A174,الريسبي!$B$2:$B$1800,AE$1)</f>
        <v>0</v>
      </c>
      <c r="AF174" s="117" t="n">
        <f aca="false">SUMIFS(الريسبي!$C$2:$C$1800,الريسبي!$A$2:$A$1800,$A174,الريسبي!$B$2:$B$1800,AF$1)</f>
        <v>0</v>
      </c>
      <c r="AG174" s="117" t="n">
        <f aca="false">SUMIFS(الريسبي!$C$2:$C$1800,الريسبي!$A$2:$A$1800,$A174,الريسبي!$B$2:$B$1800,AG$1)</f>
        <v>0</v>
      </c>
      <c r="AH174" s="117" t="n">
        <f aca="false">SUMIFS(الريسبي!$C$2:$C$1800,الريسبي!$A$2:$A$1800,$A174,الريسبي!$B$2:$B$1800,AH$1)</f>
        <v>0</v>
      </c>
      <c r="AI174" s="117" t="n">
        <f aca="false">SUMIFS(الريسبي!$C$2:$C$1800,الريسبي!$A$2:$A$1800,$A174,الريسبي!$B$2:$B$1800,AI$1)</f>
        <v>0</v>
      </c>
      <c r="AJ174" s="117" t="n">
        <f aca="false">SUMIFS(الريسبي!$C$2:$C$1800,الريسبي!$A$2:$A$1800,$A174,الريسبي!$B$2:$B$1800,AJ$1)</f>
        <v>2</v>
      </c>
      <c r="AK174" s="117" t="n">
        <f aca="false">SUMIFS(الريسبي!$C$2:$C$1800,الريسبي!$A$2:$A$1800,$A174,الريسبي!$B$2:$B$1800,AK$1)</f>
        <v>0</v>
      </c>
      <c r="AL174" s="117" t="n">
        <f aca="false">SUMIFS(الريسبي!$C$2:$C$1800,الريسبي!$A$2:$A$1800,$A174,الريسبي!$B$2:$B$1800,AL$1)</f>
        <v>0</v>
      </c>
      <c r="AM174" s="117" t="n">
        <f aca="false">SUMIFS(الريسبي!$C$2:$C$1800,الريسبي!$A$2:$A$1800,$A174,الريسبي!$B$2:$B$1800,AM$1)+0.08333333333*SUMIFS(الريسبي!$C$2:$C$1800,الريسبي!$A$2:$A$1800,$A174,الريسبي!$B$2:$B$1800,"عجين كريب (مصنع بالمطعم)")+0.08333333333*SUMIFS(الريسبي!$C$2:$C$1800,الريسبي!$A$2:$A$1800,$A174,الريسبي!$B$2:$B$1800,"عجين كريب صيامي (بدون لبن)")</f>
        <v>0</v>
      </c>
      <c r="AN174" s="117" t="n">
        <f aca="false">SUMIFS(الريسبي!$C$2:$C$1800,الريسبي!$A$2:$A$1800,$A174,الريسبي!$B$2:$B$1800,AN$1)+0.004166666667*SUMIFS(الريسبي!$C$2:$C$1800,الريسبي!$A$2:$A$1800,$A174,الريسبي!$B$2:$B$1800,"عجين كريب (مصنع بالمطعم)")+0.004166666667*SUMIFS(الريسبي!$C$2:$C$1800,الريسبي!$A$2:$A$1800,$A174,الريسبي!$B$2:$B$1800,"عجين كريب صيامي (بدون لبن)")</f>
        <v>0.01</v>
      </c>
      <c r="AO174" s="117" t="n">
        <f aca="false">SUMIFS(الريسبي!$C$2:$C$1800,الريسبي!$A$2:$A$1800,$A174,الريسبي!$B$2:$B$1800,AO$1)</f>
        <v>0</v>
      </c>
      <c r="AP174" s="117" t="n">
        <f aca="false">SUMIFS(الريسبي!$C$2:$C$1800,الريسبي!$A$2:$A$1800,$A174,الريسبي!$B$2:$B$1800,AP$1)</f>
        <v>0</v>
      </c>
      <c r="AQ174" s="117" t="n">
        <f aca="false">SUMIFS(الريسبي!$C$2:$C$1800,الريسبي!$A$2:$A$1800,$A174,الريسبي!$B$2:$B$1800,AQ$1)+0.004166666667*SUMIFS(الريسبي!$C$2:$C$1800,الريسبي!$A$2:$A$1800,$A174,الريسبي!$B$2:$B$1800,"عجين كريب (مصنع بالمطعم)")+0.004166666667*SUMIFS(الريسبي!$C$2:$C$1800,الريسبي!$A$2:$A$1800,$A174,الريسبي!$B$2:$B$1800,"عجين كريب صيامي (بدون لبن)")</f>
        <v>0</v>
      </c>
      <c r="AR174" s="117" t="n">
        <f aca="false">SUMIFS(الريسبي!$C$2:$C$1800,الريسبي!$A$2:$A$1800,$A174,الريسبي!$B$2:$B$1800,AR$1)</f>
        <v>0</v>
      </c>
      <c r="AS174" s="117" t="n">
        <f aca="false">SUMIFS(الريسبي!$C$2:$C$1800,الريسبي!$A$2:$A$1800,$A174,الريسبي!$B$2:$B$1800,AS$1)</f>
        <v>0</v>
      </c>
      <c r="AT174" s="117" t="n">
        <f aca="false">SUMIFS(الريسبي!$C$2:$C$1800,الريسبي!$A$2:$A$1800,$A174,الريسبي!$B$2:$B$1800,AT$1)</f>
        <v>0</v>
      </c>
      <c r="AU174" s="117" t="n">
        <f aca="false">SUMIFS(الريسبي!$C$2:$C$1800,الريسبي!$A$2:$A$1800,$A174,الريسبي!$B$2:$B$1800,AU$1)</f>
        <v>1</v>
      </c>
      <c r="AV174" s="117" t="n">
        <f aca="false">SUMIFS(الريسبي!$C$2:$C$1800,الريسبي!$A$2:$A$1800,$A174,الريسبي!$B$2:$B$1800,AV$1)</f>
        <v>0</v>
      </c>
      <c r="AW174" s="117" t="n">
        <f aca="false">SUMIFS(الريسبي!$C$2:$C$1800,الريسبي!$A$2:$A$1800,$A174,الريسبي!$B$2:$B$1800,AW$1)</f>
        <v>0</v>
      </c>
      <c r="AX174" s="117" t="n">
        <f aca="false">SUMIFS(الريسبي!$C$2:$C$1800,الريسبي!$A$2:$A$1800,$A174,الريسبي!$B$2:$B$1800,AX$1)</f>
        <v>0</v>
      </c>
      <c r="AY174" s="117" t="n">
        <f aca="false">SUMIFS(الريسبي!$C$2:$C$1800,الريسبي!$A$2:$A$1800,$A174,الريسبي!$B$2:$B$1800,AY$1)</f>
        <v>0</v>
      </c>
      <c r="AZ174" s="117" t="n">
        <f aca="false">SUMIFS(الريسبي!$C$2:$C$1800,الريسبي!$A$2:$A$1800,$A174,الريسبي!$B$2:$B$1800,AZ$1)</f>
        <v>0</v>
      </c>
      <c r="BA174" s="117" t="n">
        <f aca="false">SUMIFS(الريسبي!$C$2:$C$1800,الريسبي!$A$2:$A$1800,$A174,الريسبي!$B$2:$B$1800,BA$1)</f>
        <v>0</v>
      </c>
      <c r="BB174" s="117" t="n">
        <f aca="false">SUMIFS(الريسبي!$C$2:$C$1800,الريسبي!$A$2:$A$1800,$A174,الريسبي!$B$2:$B$1800,BB$1)</f>
        <v>0</v>
      </c>
      <c r="BC174" s="117" t="n">
        <f aca="false">SUMIFS(الريسبي!$C$2:$C$1800,الريسبي!$A$2:$A$1800,$A174,الريسبي!$B$2:$B$1800,BC$1)</f>
        <v>0</v>
      </c>
      <c r="BD174" s="117" t="n">
        <f aca="false">SUMIFS(الريسبي!$C$2:$C$1800,الريسبي!$A$2:$A$1800,$A174,الريسبي!$B$2:$B$1800,BD$1)</f>
        <v>0</v>
      </c>
      <c r="BE174" s="117" t="n">
        <f aca="false">SUMIFS(الريسبي!$C$2:$C$1800,الريسبي!$A$2:$A$1800,$A174,الريسبي!$B$2:$B$1800,BE$1)</f>
        <v>0</v>
      </c>
      <c r="BF174" s="117" t="n">
        <f aca="false">SUMIFS(الريسبي!$C$2:$C$1800,الريسبي!$A$2:$A$1800,$A174,الريسبي!$B$2:$B$1800,BF$1)</f>
        <v>0</v>
      </c>
      <c r="BG174" s="117" t="n">
        <f aca="false">SUMIFS(الريسبي!$C$2:$C$1800,الريسبي!$A$2:$A$1800,$A174,الريسبي!$B$2:$B$1800,BG$1)</f>
        <v>0</v>
      </c>
      <c r="BH174" s="117" t="n">
        <f aca="false">SUMIFS(الريسبي!$C$2:$C$1800,الريسبي!$A$2:$A$1800,$A174,الريسبي!$B$2:$B$1800,BH$1)</f>
        <v>0</v>
      </c>
      <c r="BI174" s="117" t="n">
        <f aca="false">SUMIFS(الريسبي!$C$2:$C$1800,الريسبي!$A$2:$A$1800,$A174,الريسبي!$B$2:$B$1800,BI$1)</f>
        <v>0</v>
      </c>
      <c r="BJ174" s="117" t="n">
        <f aca="false">SUMIFS(الريسبي!$C$2:$C$1800,الريسبي!$A$2:$A$1800,$A174,الريسبي!$B$2:$B$1800,BJ$1)</f>
        <v>0</v>
      </c>
      <c r="BK174" s="117" t="n">
        <f aca="false">SUMIFS(الريسبي!$C$2:$C$1800,الريسبي!$A$2:$A$1800,$A174,الريسبي!$B$2:$B$1800,BK$1)</f>
        <v>0</v>
      </c>
      <c r="BL174" s="117" t="n">
        <f aca="false">SUMIFS(الريسبي!$C$2:$C$1800,الريسبي!$A$2:$A$1800,$A174,الريسبي!$B$2:$B$1800,BL$1)</f>
        <v>0</v>
      </c>
      <c r="BM174" s="117" t="n">
        <f aca="false">SUMIFS(الريسبي!$C$2:$C$1800,الريسبي!$A$2:$A$1800,$A174,الريسبي!$B$2:$B$1800,BM$1)</f>
        <v>0</v>
      </c>
      <c r="BN174" s="117" t="n">
        <f aca="false">SUMIFS(الريسبي!$C$2:$C$1800,الريسبي!$A$2:$A$1800,$A174,الريسبي!$B$2:$B$1800,BN$1)</f>
        <v>0</v>
      </c>
      <c r="BO174" s="117" t="n">
        <f aca="false">SUMIFS(الريسبي!$C$2:$C$1800,الريسبي!$A$2:$A$1800,$A174,الريسبي!$B$2:$B$1800,BO$1)</f>
        <v>0</v>
      </c>
      <c r="BP174" s="117" t="n">
        <f aca="false">SUMIFS(الريسبي!$C$2:$C$1800,الريسبي!$A$2:$A$1800,$A174,الريسبي!$B$2:$B$1800,BP$1)</f>
        <v>2</v>
      </c>
      <c r="BQ174" s="117" t="n">
        <f aca="false">SUMIFS(الريسبي!$C$2:$C$1800,الريسبي!$A$2:$A$1800,$A174,الريسبي!$B$2:$B$1800,BQ$1)+0.17*SUMIFS(الريسبي!$C$2:$C$1800,الريسبي!$A$2:$A$1800,$A174,الريسبي!$B$2:$B$1800,"كاسترد مصنع (خليط بودر + لبن)")+0.17*SUMIFS(الريسبي!$C$2:$C$1800,الريسبي!$A$2:$A$1800,$A174,الريسبي!$B$2:$B$1800,"كاسترد مصنع صيامي (بدون لبن)")</f>
        <v>0</v>
      </c>
      <c r="BR174" s="117" t="n">
        <f aca="false">SUMIFS(الريسبي!$C$2:$C$1800,الريسبي!$A$2:$A$1800,$A174,الريسبي!$B$2:$B$1800,BR$1)</f>
        <v>0</v>
      </c>
      <c r="BS174" s="117" t="n">
        <f aca="false">SUMIFS(الريسبي!$C$2:$C$1800,الريسبي!$A$2:$A$1800,$A174,الريسبي!$B$2:$B$1800,BS$1)</f>
        <v>0</v>
      </c>
      <c r="BT174" s="117" t="n">
        <f aca="false">SUMIFS(الريسبي!$C$2:$C$1800,الريسبي!$A$2:$A$1800,$A174,الريسبي!$B$2:$B$1800,BT$1)</f>
        <v>0</v>
      </c>
      <c r="BU174" s="117" t="n">
        <f aca="false">SUMIFS(الريسبي!$C$2:$C$1800,الريسبي!$A$2:$A$1800,$A174,الريسبي!$B$2:$B$1800,BU$1)+0.4*SUMIFS(الريسبي!$C$2:$C$1800,الريسبي!$A$2:$A$1800,$A174,الريسبي!$B$2:$B$1800,"كاسترد مصنع (خليط بودر + لبن)")+0.03333333333*SUMIFS(الريسبي!$C$2:$C$1800,الريسبي!$A$2:$A$1800,$A174,الريسبي!$B$2:$B$1800,"عجين كريب (مصنع بالمطعم)")</f>
        <v>0.05</v>
      </c>
      <c r="BV174" s="117" t="n">
        <f aca="false">SUMIFS(الريسبي!$C$2:$C$1800,الريسبي!$A$2:$A$1800,$A174,الريسبي!$B$2:$B$1800,BV$1)</f>
        <v>0</v>
      </c>
      <c r="BW174" s="117" t="n">
        <f aca="false">SUMIFS(الريسبي!$C$2:$C$1800,الريسبي!$A$2:$A$1800,$A174,الريسبي!$B$2:$B$1800,BW$1)</f>
        <v>0</v>
      </c>
      <c r="BX174" s="117" t="n">
        <f aca="false">SUMIFS(الريسبي!$C$2:$C$1800,الريسبي!$A$2:$A$1800,$A174,الريسبي!$B$2:$B$1800,BX$1)</f>
        <v>0</v>
      </c>
      <c r="BY174" s="117" t="n">
        <f aca="false">SUMIFS(الريسبي!$C$2:$C$1800,الريسبي!$A$2:$A$1800,$A174,الريسبي!$B$2:$B$1800,BY$1)</f>
        <v>0.15</v>
      </c>
      <c r="BZ174" s="117" t="n">
        <f aca="false">SUMIFS(الريسبي!$C$2:$C$1800,الريسبي!$A$2:$A$1800,$A174,الريسبي!$B$2:$B$1800,BZ$1)</f>
        <v>0</v>
      </c>
      <c r="CA174" s="117" t="n">
        <f aca="false">SUMIFS(الريسبي!$C$2:$C$1800,الريسبي!$A$2:$A$1800,$A174,الريسبي!$B$2:$B$1800,CA$1)</f>
        <v>0</v>
      </c>
      <c r="CB174" s="117" t="n">
        <f aca="false">SUMIFS(الريسبي!$C$2:$C$1800,الريسبي!$A$2:$A$1800,$A174,الريسبي!$B$2:$B$1800,CB$1)</f>
        <v>0</v>
      </c>
      <c r="CC174" s="117" t="n">
        <f aca="false">SUMIFS(الريسبي!$C$2:$C$1800,الريسبي!$A$2:$A$1800,$A174,الريسبي!$B$2:$B$1800,CC$1)</f>
        <v>1</v>
      </c>
      <c r="CD174" s="117" t="n">
        <f aca="false">SUMIFS(الريسبي!$C$2:$C$1800,الريسبي!$A$2:$A$1800,$A174,الريسبي!$B$2:$B$1800,CD$1)</f>
        <v>0</v>
      </c>
      <c r="CE174" s="117" t="n">
        <f aca="false">SUMIFS(الريسبي!$C$2:$C$1800,الريسبي!$A$2:$A$1800,$A174,الريسبي!$B$2:$B$1800,CE$1)</f>
        <v>0</v>
      </c>
      <c r="CF174" s="117" t="n">
        <f aca="false">SUMIFS(الريسبي!$C$2:$C$1800,الريسبي!$A$2:$A$1800,$A174,الريسبي!$B$2:$B$1800,CF$1)</f>
        <v>0</v>
      </c>
      <c r="CG174" s="117" t="n">
        <f aca="false">SUMIFS(الريسبي!$C$2:$C$1800,الريسبي!$A$2:$A$1800,$A174,الريسبي!$B$2:$B$1800,CG$1)</f>
        <v>0</v>
      </c>
      <c r="CH174" s="117" t="n">
        <f aca="false">SUMIFS(الريسبي!$C$2:$C$1800,الريسبي!$A$2:$A$1800,$A174,الريسبي!$B$2:$B$1800,CH$1)</f>
        <v>0</v>
      </c>
      <c r="CI174" s="117" t="n">
        <f aca="false">SUMIFS(الريسبي!$C$2:$C$1800,الريسبي!$A$2:$A$1800,$A174,الريسبي!$B$2:$B$1800,CI$1)</f>
        <v>0</v>
      </c>
      <c r="CJ174" s="117" t="n">
        <f aca="false">SUMIFS(الريسبي!$C$2:$C$1800,الريسبي!$A$2:$A$1800,$A174,الريسبي!$B$2:$B$1800,CJ$1)</f>
        <v>0</v>
      </c>
      <c r="CK174" s="117" t="n">
        <f aca="false">SUMIFS(الريسبي!$C$2:$C$1800,الريسبي!$A$2:$A$1800,$A174,الريسبي!$B$2:$B$1800,CK$1)</f>
        <v>0</v>
      </c>
      <c r="CL174" s="117" t="n">
        <f aca="false">SUMIFS(الريسبي!$C$2:$C$1800,الريسبي!$A$2:$A$1800,$A174,الريسبي!$B$2:$B$1800,CL$1)</f>
        <v>0</v>
      </c>
    </row>
    <row r="175" customFormat="false" ht="15" hidden="false" customHeight="false" outlineLevel="0" collapsed="false">
      <c r="A175" s="116" t="str">
        <f aca="false">المنيو!B175</f>
        <v>كريب جمبري</v>
      </c>
      <c r="B175" s="117" t="n">
        <f aca="false">SUMIFS(الريسبي!$C$2:$C$1800,الريسبي!$A$2:$A$1800,$A175,الريسبي!$B$2:$B$1800,B$1)</f>
        <v>0</v>
      </c>
      <c r="C175" s="117" t="n">
        <f aca="false">SUMIFS(الريسبي!$C$2:$C$1800,الريسبي!$A$2:$A$1800,$A175,الريسبي!$B$2:$B$1800,C$1)</f>
        <v>0</v>
      </c>
      <c r="D175" s="117" t="n">
        <f aca="false">SUMIFS(الريسبي!$C$2:$C$1800,الريسبي!$A$2:$A$1800,$A175,الريسبي!$B$2:$B$1800,D$1)</f>
        <v>0</v>
      </c>
      <c r="E175" s="117" t="n">
        <f aca="false">SUMIFS(الريسبي!$C$2:$C$1800,الريسبي!$A$2:$A$1800,$A175,الريسبي!$B$2:$B$1800,E$1)</f>
        <v>0</v>
      </c>
      <c r="F175" s="117" t="n">
        <f aca="false">SUMIFS(الريسبي!$C$2:$C$1800,الريسبي!$A$2:$A$1800,$A175,الريسبي!$B$2:$B$1800,F$1)</f>
        <v>0</v>
      </c>
      <c r="G175" s="117" t="n">
        <f aca="false">SUMIFS(الريسبي!$C$2:$C$1800,الريسبي!$A$2:$A$1800,$A175,الريسبي!$B$2:$B$1800,G$1)</f>
        <v>0</v>
      </c>
      <c r="H175" s="117" t="n">
        <f aca="false">SUMIFS(الريسبي!$C$2:$C$1800,الريسبي!$A$2:$A$1800,$A175,الريسبي!$B$2:$B$1800,H$1)</f>
        <v>0</v>
      </c>
      <c r="I175" s="117" t="n">
        <f aca="false">SUMIFS(الريسبي!$C$2:$C$1800,الريسبي!$A$2:$A$1800,$A175,الريسبي!$B$2:$B$1800,I$1)</f>
        <v>0</v>
      </c>
      <c r="J175" s="117" t="n">
        <f aca="false">SUMIFS(الريسبي!$C$2:$C$1800,الريسبي!$A$2:$A$1800,$A175,الريسبي!$B$2:$B$1800,J$1)</f>
        <v>0</v>
      </c>
      <c r="K175" s="117" t="n">
        <f aca="false">SUMIFS(الريسبي!$C$2:$C$1800,الريسبي!$A$2:$A$1800,$A175,الريسبي!$B$2:$B$1800,K$1)</f>
        <v>0.5</v>
      </c>
      <c r="L175" s="117" t="n">
        <f aca="false">SUMIFS(الريسبي!$C$2:$C$1800,الريسبي!$A$2:$A$1800,$A175,الريسبي!$B$2:$B$1800,L$1)</f>
        <v>0</v>
      </c>
      <c r="M175" s="117" t="n">
        <f aca="false">SUMIFS(الريسبي!$C$2:$C$1800,الريسبي!$A$2:$A$1800,$A175,الريسبي!$B$2:$B$1800,M$1)</f>
        <v>0</v>
      </c>
      <c r="N175" s="117" t="n">
        <f aca="false">SUMIFS(الريسبي!$C$2:$C$1800,الريسبي!$A$2:$A$1800,$A175,الريسبي!$B$2:$B$1800,N$1)</f>
        <v>0</v>
      </c>
      <c r="O175" s="117" t="n">
        <f aca="false">SUMIFS(الريسبي!$C$2:$C$1800,الريسبي!$A$2:$A$1800,$A175,الريسبي!$B$2:$B$1800,O$1)</f>
        <v>0</v>
      </c>
      <c r="P175" s="117" t="n">
        <f aca="false">SUMIFS(الريسبي!$C$2:$C$1800,الريسبي!$A$2:$A$1800,$A175,الريسبي!$B$2:$B$1800,P$1)</f>
        <v>0</v>
      </c>
      <c r="Q175" s="117" t="n">
        <f aca="false">SUMIFS(الريسبي!$C$2:$C$1800,الريسبي!$A$2:$A$1800,$A175,الريسبي!$B$2:$B$1800,Q$1)</f>
        <v>0</v>
      </c>
      <c r="R175" s="117" t="n">
        <f aca="false">SUMIFS(الريسبي!$C$2:$C$1800,الريسبي!$A$2:$A$1800,$A175,الريسبي!$B$2:$B$1800,R$1)</f>
        <v>0</v>
      </c>
      <c r="S175" s="117" t="n">
        <f aca="false">SUMIFS(الريسبي!$C$2:$C$1800,الريسبي!$A$2:$A$1800,$A175,الريسبي!$B$2:$B$1800,S$1)</f>
        <v>0</v>
      </c>
      <c r="T175" s="117" t="n">
        <f aca="false">SUMIFS(الريسبي!$C$2:$C$1800,الريسبي!$A$2:$A$1800,$A175,الريسبي!$B$2:$B$1800,T$1)</f>
        <v>0</v>
      </c>
      <c r="U175" s="117" t="n">
        <f aca="false">SUMIFS(الريسبي!$C$2:$C$1800,الريسبي!$A$2:$A$1800,$A175,الريسبي!$B$2:$B$1800,U$1)</f>
        <v>0</v>
      </c>
      <c r="V175" s="117" t="n">
        <f aca="false">SUMIFS(الريسبي!$C$2:$C$1800,الريسبي!$A$2:$A$1800,$A175,الريسبي!$B$2:$B$1800,V$1)+1.5*(SUMIFS(الريسبي!$C$2:$C$1800,الريسبي!$A$2:$A$1800,$A175,الريسبي!$B$2:$B$1800,"برسيون موتزريلا بيتزا كبير"))</f>
        <v>0</v>
      </c>
      <c r="W175" s="117" t="n">
        <f aca="false">0</f>
        <v>0</v>
      </c>
      <c r="X175" s="117" t="n">
        <f aca="false">SUMIFS(الريسبي!$C$2:$C$1800,الريسبي!$A$2:$A$1800,$A175,الريسبي!$B$2:$B$1800,X$1)+1.5*(SUMIFS(الريسبي!$C$2:$C$1800,الريسبي!$A$2:$A$1800,$A175,الريسبي!$B$2:$B$1800,"برسيون موتزريلا فطير كبير"))</f>
        <v>1</v>
      </c>
      <c r="Y175" s="117" t="n">
        <f aca="false">0</f>
        <v>0</v>
      </c>
      <c r="Z175" s="117" t="n">
        <f aca="false">SUMIFS(الريسبي!$C$2:$C$1800,الريسبي!$A$2:$A$1800,$A175,الريسبي!$B$2:$B$1800,Z$1)</f>
        <v>0</v>
      </c>
      <c r="AA175" s="117" t="n">
        <f aca="false">SUMIFS(الريسبي!$C$2:$C$1800,الريسبي!$A$2:$A$1800,$A175,الريسبي!$B$2:$B$1800,AA$1)</f>
        <v>0</v>
      </c>
      <c r="AB175" s="117" t="n">
        <f aca="false">SUMIFS(الريسبي!$C$2:$C$1800,الريسبي!$A$2:$A$1800,$A175,الريسبي!$B$2:$B$1800,AB$1)</f>
        <v>0</v>
      </c>
      <c r="AC175" s="117" t="n">
        <f aca="false">SUMIFS(الريسبي!$C$2:$C$1800,الريسبي!$A$2:$A$1800,$A175,الريسبي!$B$2:$B$1800,AC$1)</f>
        <v>0</v>
      </c>
      <c r="AD175" s="117" t="n">
        <f aca="false">SUMIFS(الريسبي!$C$2:$C$1800,الريسبي!$A$2:$A$1800,$A175,الريسبي!$B$2:$B$1800,AD$1)</f>
        <v>0</v>
      </c>
      <c r="AE175" s="117" t="n">
        <f aca="false">SUMIFS(الريسبي!$C$2:$C$1800,الريسبي!$A$2:$A$1800,$A175,الريسبي!$B$2:$B$1800,AE$1)</f>
        <v>0</v>
      </c>
      <c r="AF175" s="117" t="n">
        <f aca="false">SUMIFS(الريسبي!$C$2:$C$1800,الريسبي!$A$2:$A$1800,$A175,الريسبي!$B$2:$B$1800,AF$1)</f>
        <v>0</v>
      </c>
      <c r="AG175" s="117" t="n">
        <f aca="false">SUMIFS(الريسبي!$C$2:$C$1800,الريسبي!$A$2:$A$1800,$A175,الريسبي!$B$2:$B$1800,AG$1)</f>
        <v>0</v>
      </c>
      <c r="AH175" s="117" t="n">
        <f aca="false">SUMIFS(الريسبي!$C$2:$C$1800,الريسبي!$A$2:$A$1800,$A175,الريسبي!$B$2:$B$1800,AH$1)</f>
        <v>0</v>
      </c>
      <c r="AI175" s="117" t="n">
        <f aca="false">SUMIFS(الريسبي!$C$2:$C$1800,الريسبي!$A$2:$A$1800,$A175,الريسبي!$B$2:$B$1800,AI$1)</f>
        <v>0</v>
      </c>
      <c r="AJ175" s="117" t="n">
        <f aca="false">SUMIFS(الريسبي!$C$2:$C$1800,الريسبي!$A$2:$A$1800,$A175,الريسبي!$B$2:$B$1800,AJ$1)</f>
        <v>0</v>
      </c>
      <c r="AK175" s="117" t="n">
        <f aca="false">SUMIFS(الريسبي!$C$2:$C$1800,الريسبي!$A$2:$A$1800,$A175,الريسبي!$B$2:$B$1800,AK$1)</f>
        <v>0</v>
      </c>
      <c r="AL175" s="117" t="n">
        <f aca="false">SUMIFS(الريسبي!$C$2:$C$1800,الريسبي!$A$2:$A$1800,$A175,الريسبي!$B$2:$B$1800,AL$1)</f>
        <v>0</v>
      </c>
      <c r="AM175" s="117" t="n">
        <f aca="false">SUMIFS(الريسبي!$C$2:$C$1800,الريسبي!$A$2:$A$1800,$A175,الريسبي!$B$2:$B$1800,AM$1)+0.08333333333*SUMIFS(الريسبي!$C$2:$C$1800,الريسبي!$A$2:$A$1800,$A175,الريسبي!$B$2:$B$1800,"عجين كريب (مصنع بالمطعم)")+0.08333333333*SUMIFS(الريسبي!$C$2:$C$1800,الريسبي!$A$2:$A$1800,$A175,الريسبي!$B$2:$B$1800,"عجين كريب صيامي (بدون لبن)")</f>
        <v>0.08333333333</v>
      </c>
      <c r="AN175" s="117" t="n">
        <f aca="false">SUMIFS(الريسبي!$C$2:$C$1800,الريسبي!$A$2:$A$1800,$A175,الريسبي!$B$2:$B$1800,AN$1)+0.004166666667*SUMIFS(الريسبي!$C$2:$C$1800,الريسبي!$A$2:$A$1800,$A175,الريسبي!$B$2:$B$1800,"عجين كريب (مصنع بالمطعم)")+0.004166666667*SUMIFS(الريسبي!$C$2:$C$1800,الريسبي!$A$2:$A$1800,$A175,الريسبي!$B$2:$B$1800,"عجين كريب صيامي (بدون لبن)")</f>
        <v>0.004166666667</v>
      </c>
      <c r="AO175" s="117" t="n">
        <f aca="false">SUMIFS(الريسبي!$C$2:$C$1800,الريسبي!$A$2:$A$1800,$A175,الريسبي!$B$2:$B$1800,AO$1)</f>
        <v>0</v>
      </c>
      <c r="AP175" s="117" t="n">
        <f aca="false">SUMIFS(الريسبي!$C$2:$C$1800,الريسبي!$A$2:$A$1800,$A175,الريسبي!$B$2:$B$1800,AP$1)</f>
        <v>0.02</v>
      </c>
      <c r="AQ175" s="117" t="n">
        <f aca="false">SUMIFS(الريسبي!$C$2:$C$1800,الريسبي!$A$2:$A$1800,$A175,الريسبي!$B$2:$B$1800,AQ$1)+0.004166666667*SUMIFS(الريسبي!$C$2:$C$1800,الريسبي!$A$2:$A$1800,$A175,الريسبي!$B$2:$B$1800,"عجين كريب (مصنع بالمطعم)")+0.004166666667*SUMIFS(الريسبي!$C$2:$C$1800,الريسبي!$A$2:$A$1800,$A175,الريسبي!$B$2:$B$1800,"عجين كريب صيامي (بدون لبن)")</f>
        <v>0.004166666667</v>
      </c>
      <c r="AR175" s="117" t="n">
        <f aca="false">SUMIFS(الريسبي!$C$2:$C$1800,الريسبي!$A$2:$A$1800,$A175,الريسبي!$B$2:$B$1800,AR$1)</f>
        <v>0</v>
      </c>
      <c r="AS175" s="117" t="n">
        <f aca="false">SUMIFS(الريسبي!$C$2:$C$1800,الريسبي!$A$2:$A$1800,$A175,الريسبي!$B$2:$B$1800,AS$1)</f>
        <v>1</v>
      </c>
      <c r="AT175" s="117" t="n">
        <f aca="false">SUMIFS(الريسبي!$C$2:$C$1800,الريسبي!$A$2:$A$1800,$A175,الريسبي!$B$2:$B$1800,AT$1)</f>
        <v>0</v>
      </c>
      <c r="AU175" s="117" t="n">
        <f aca="false">SUMIFS(الريسبي!$C$2:$C$1800,الريسبي!$A$2:$A$1800,$A175,الريسبي!$B$2:$B$1800,AU$1)</f>
        <v>0</v>
      </c>
      <c r="AV175" s="117" t="n">
        <f aca="false">SUMIFS(الريسبي!$C$2:$C$1800,الريسبي!$A$2:$A$1800,$A175,الريسبي!$B$2:$B$1800,AV$1)</f>
        <v>0</v>
      </c>
      <c r="AW175" s="117" t="n">
        <f aca="false">SUMIFS(الريسبي!$C$2:$C$1800,الريسبي!$A$2:$A$1800,$A175,الريسبي!$B$2:$B$1800,AW$1)</f>
        <v>0</v>
      </c>
      <c r="AX175" s="117" t="n">
        <f aca="false">SUMIFS(الريسبي!$C$2:$C$1800,الريسبي!$A$2:$A$1800,$A175,الريسبي!$B$2:$B$1800,AX$1)</f>
        <v>0</v>
      </c>
      <c r="AY175" s="117" t="n">
        <f aca="false">SUMIFS(الريسبي!$C$2:$C$1800,الريسبي!$A$2:$A$1800,$A175,الريسبي!$B$2:$B$1800,AY$1)</f>
        <v>0</v>
      </c>
      <c r="AZ175" s="117" t="n">
        <f aca="false">SUMIFS(الريسبي!$C$2:$C$1800,الريسبي!$A$2:$A$1800,$A175,الريسبي!$B$2:$B$1800,AZ$1)</f>
        <v>0</v>
      </c>
      <c r="BA175" s="117" t="n">
        <f aca="false">SUMIFS(الريسبي!$C$2:$C$1800,الريسبي!$A$2:$A$1800,$A175,الريسبي!$B$2:$B$1800,BA$1)</f>
        <v>0</v>
      </c>
      <c r="BB175" s="117" t="n">
        <f aca="false">SUMIFS(الريسبي!$C$2:$C$1800,الريسبي!$A$2:$A$1800,$A175,الريسبي!$B$2:$B$1800,BB$1)</f>
        <v>0</v>
      </c>
      <c r="BC175" s="117" t="n">
        <f aca="false">SUMIFS(الريسبي!$C$2:$C$1800,الريسبي!$A$2:$A$1800,$A175,الريسبي!$B$2:$B$1800,BC$1)</f>
        <v>0.03</v>
      </c>
      <c r="BD175" s="117" t="n">
        <f aca="false">SUMIFS(الريسبي!$C$2:$C$1800,الريسبي!$A$2:$A$1800,$A175,الريسبي!$B$2:$B$1800,BD$1)</f>
        <v>0</v>
      </c>
      <c r="BE175" s="117" t="n">
        <f aca="false">SUMIFS(الريسبي!$C$2:$C$1800,الريسبي!$A$2:$A$1800,$A175,الريسبي!$B$2:$B$1800,BE$1)</f>
        <v>0</v>
      </c>
      <c r="BF175" s="117" t="n">
        <f aca="false">SUMIFS(الريسبي!$C$2:$C$1800,الريسبي!$A$2:$A$1800,$A175,الريسبي!$B$2:$B$1800,BF$1)</f>
        <v>0</v>
      </c>
      <c r="BG175" s="117" t="n">
        <f aca="false">SUMIFS(الريسبي!$C$2:$C$1800,الريسبي!$A$2:$A$1800,$A175,الريسبي!$B$2:$B$1800,BG$1)</f>
        <v>0</v>
      </c>
      <c r="BH175" s="117" t="n">
        <f aca="false">SUMIFS(الريسبي!$C$2:$C$1800,الريسبي!$A$2:$A$1800,$A175,الريسبي!$B$2:$B$1800,BH$1)</f>
        <v>0</v>
      </c>
      <c r="BI175" s="117" t="n">
        <f aca="false">SUMIFS(الريسبي!$C$2:$C$1800,الريسبي!$A$2:$A$1800,$A175,الريسبي!$B$2:$B$1800,BI$1)</f>
        <v>0</v>
      </c>
      <c r="BJ175" s="117" t="n">
        <f aca="false">SUMIFS(الريسبي!$C$2:$C$1800,الريسبي!$A$2:$A$1800,$A175,الريسبي!$B$2:$B$1800,BJ$1)</f>
        <v>0</v>
      </c>
      <c r="BK175" s="117" t="n">
        <f aca="false">SUMIFS(الريسبي!$C$2:$C$1800,الريسبي!$A$2:$A$1800,$A175,الريسبي!$B$2:$B$1800,BK$1)</f>
        <v>0</v>
      </c>
      <c r="BL175" s="117" t="n">
        <f aca="false">SUMIFS(الريسبي!$C$2:$C$1800,الريسبي!$A$2:$A$1800,$A175,الريسبي!$B$2:$B$1800,BL$1)</f>
        <v>0</v>
      </c>
      <c r="BM175" s="117" t="n">
        <f aca="false">SUMIFS(الريسبي!$C$2:$C$1800,الريسبي!$A$2:$A$1800,$A175,الريسبي!$B$2:$B$1800,BM$1)</f>
        <v>0</v>
      </c>
      <c r="BN175" s="117" t="n">
        <f aca="false">SUMIFS(الريسبي!$C$2:$C$1800,الريسبي!$A$2:$A$1800,$A175,الريسبي!$B$2:$B$1800,BN$1)</f>
        <v>0.02</v>
      </c>
      <c r="BO175" s="117" t="n">
        <f aca="false">SUMIFS(الريسبي!$C$2:$C$1800,الريسبي!$A$2:$A$1800,$A175,الريسبي!$B$2:$B$1800,BO$1)</f>
        <v>0</v>
      </c>
      <c r="BP175" s="117" t="n">
        <f aca="false">SUMIFS(الريسبي!$C$2:$C$1800,الريسبي!$A$2:$A$1800,$A175,الريسبي!$B$2:$B$1800,BP$1)</f>
        <v>0</v>
      </c>
      <c r="BQ175" s="117" t="n">
        <f aca="false">SUMIFS(الريسبي!$C$2:$C$1800,الريسبي!$A$2:$A$1800,$A175,الريسبي!$B$2:$B$1800,BQ$1)+0.17*SUMIFS(الريسبي!$C$2:$C$1800,الريسبي!$A$2:$A$1800,$A175,الريسبي!$B$2:$B$1800,"كاسترد مصنع (خليط بودر + لبن)")+0.17*SUMIFS(الريسبي!$C$2:$C$1800,الريسبي!$A$2:$A$1800,$A175,الريسبي!$B$2:$B$1800,"كاسترد مصنع صيامي (بدون لبن)")</f>
        <v>0</v>
      </c>
      <c r="BR175" s="117" t="n">
        <f aca="false">SUMIFS(الريسبي!$C$2:$C$1800,الريسبي!$A$2:$A$1800,$A175,الريسبي!$B$2:$B$1800,BR$1)</f>
        <v>0</v>
      </c>
      <c r="BS175" s="117" t="n">
        <f aca="false">SUMIFS(الريسبي!$C$2:$C$1800,الريسبي!$A$2:$A$1800,$A175,الريسبي!$B$2:$B$1800,BS$1)</f>
        <v>0</v>
      </c>
      <c r="BT175" s="117" t="n">
        <f aca="false">SUMIFS(الريسبي!$C$2:$C$1800,الريسبي!$A$2:$A$1800,$A175,الريسبي!$B$2:$B$1800,BT$1)</f>
        <v>1</v>
      </c>
      <c r="BU175" s="117" t="n">
        <f aca="false">SUMIFS(الريسبي!$C$2:$C$1800,الريسبي!$A$2:$A$1800,$A175,الريسبي!$B$2:$B$1800,BU$1)+0.4*SUMIFS(الريسبي!$C$2:$C$1800,الريسبي!$A$2:$A$1800,$A175,الريسبي!$B$2:$B$1800,"كاسترد مصنع (خليط بودر + لبن)")+0.03333333333*SUMIFS(الريسبي!$C$2:$C$1800,الريسبي!$A$2:$A$1800,$A175,الريسبي!$B$2:$B$1800,"عجين كريب (مصنع بالمطعم)")</f>
        <v>0.03333333333</v>
      </c>
      <c r="BV175" s="117" t="n">
        <f aca="false">SUMIFS(الريسبي!$C$2:$C$1800,الريسبي!$A$2:$A$1800,$A175,الريسبي!$B$2:$B$1800,BV$1)</f>
        <v>0</v>
      </c>
      <c r="BW175" s="117" t="n">
        <f aca="false">SUMIFS(الريسبي!$C$2:$C$1800,الريسبي!$A$2:$A$1800,$A175,الريسبي!$B$2:$B$1800,BW$1)</f>
        <v>0</v>
      </c>
      <c r="BX175" s="117" t="n">
        <f aca="false">SUMIFS(الريسبي!$C$2:$C$1800,الريسبي!$A$2:$A$1800,$A175,الريسبي!$B$2:$B$1800,BX$1)</f>
        <v>0</v>
      </c>
      <c r="BY175" s="117" t="n">
        <f aca="false">SUMIFS(الريسبي!$C$2:$C$1800,الريسبي!$A$2:$A$1800,$A175,الريسبي!$B$2:$B$1800,BY$1)</f>
        <v>0</v>
      </c>
      <c r="BZ175" s="117" t="n">
        <f aca="false">SUMIFS(الريسبي!$C$2:$C$1800,الريسبي!$A$2:$A$1800,$A175,الريسبي!$B$2:$B$1800,BZ$1)</f>
        <v>0</v>
      </c>
      <c r="CA175" s="117" t="n">
        <f aca="false">SUMIFS(الريسبي!$C$2:$C$1800,الريسبي!$A$2:$A$1800,$A175,الريسبي!$B$2:$B$1800,CA$1)</f>
        <v>0</v>
      </c>
      <c r="CB175" s="117" t="n">
        <f aca="false">SUMIFS(الريسبي!$C$2:$C$1800,الريسبي!$A$2:$A$1800,$A175,الريسبي!$B$2:$B$1800,CB$1)</f>
        <v>0</v>
      </c>
      <c r="CC175" s="117" t="n">
        <f aca="false">SUMIFS(الريسبي!$C$2:$C$1800,الريسبي!$A$2:$A$1800,$A175,الريسبي!$B$2:$B$1800,CC$1)</f>
        <v>0</v>
      </c>
      <c r="CD175" s="117" t="n">
        <f aca="false">SUMIFS(الريسبي!$C$2:$C$1800,الريسبي!$A$2:$A$1800,$A175,الريسبي!$B$2:$B$1800,CD$1)</f>
        <v>0</v>
      </c>
      <c r="CE175" s="117" t="n">
        <f aca="false">SUMIFS(الريسبي!$C$2:$C$1800,الريسبي!$A$2:$A$1800,$A175,الريسبي!$B$2:$B$1800,CE$1)</f>
        <v>0</v>
      </c>
      <c r="CF175" s="117" t="n">
        <f aca="false">SUMIFS(الريسبي!$C$2:$C$1800,الريسبي!$A$2:$A$1800,$A175,الريسبي!$B$2:$B$1800,CF$1)</f>
        <v>0</v>
      </c>
      <c r="CG175" s="117" t="n">
        <f aca="false">SUMIFS(الريسبي!$C$2:$C$1800,الريسبي!$A$2:$A$1800,$A175,الريسبي!$B$2:$B$1800,CG$1)</f>
        <v>0</v>
      </c>
      <c r="CH175" s="117" t="n">
        <f aca="false">SUMIFS(الريسبي!$C$2:$C$1800,الريسبي!$A$2:$A$1800,$A175,الريسبي!$B$2:$B$1800,CH$1)</f>
        <v>0</v>
      </c>
      <c r="CI175" s="117" t="n">
        <f aca="false">SUMIFS(الريسبي!$C$2:$C$1800,الريسبي!$A$2:$A$1800,$A175,الريسبي!$B$2:$B$1800,CI$1)</f>
        <v>0</v>
      </c>
      <c r="CJ175" s="117" t="n">
        <f aca="false">SUMIFS(الريسبي!$C$2:$C$1800,الريسبي!$A$2:$A$1800,$A175,الريسبي!$B$2:$B$1800,CJ$1)</f>
        <v>0</v>
      </c>
      <c r="CK175" s="117" t="n">
        <f aca="false">SUMIFS(الريسبي!$C$2:$C$1800,الريسبي!$A$2:$A$1800,$A175,الريسبي!$B$2:$B$1800,CK$1)</f>
        <v>0</v>
      </c>
      <c r="CL175" s="117" t="n">
        <f aca="false">SUMIFS(الريسبي!$C$2:$C$1800,الريسبي!$A$2:$A$1800,$A175,الريسبي!$B$2:$B$1800,CL$1)</f>
        <v>0</v>
      </c>
    </row>
    <row r="176" customFormat="false" ht="15" hidden="false" customHeight="false" outlineLevel="0" collapsed="false">
      <c r="A176" s="116" t="str">
        <f aca="false">المنيو!B176</f>
        <v>كريب فراخ جريل</v>
      </c>
      <c r="B176" s="117" t="n">
        <f aca="false">SUMIFS(الريسبي!$C$2:$C$1800,الريسبي!$A$2:$A$1800,$A176,الريسبي!$B$2:$B$1800,B$1)</f>
        <v>0</v>
      </c>
      <c r="C176" s="117" t="n">
        <f aca="false">SUMIFS(الريسبي!$C$2:$C$1800,الريسبي!$A$2:$A$1800,$A176,الريسبي!$B$2:$B$1800,C$1)</f>
        <v>0</v>
      </c>
      <c r="D176" s="117" t="n">
        <f aca="false">SUMIFS(الريسبي!$C$2:$C$1800,الريسبي!$A$2:$A$1800,$A176,الريسبي!$B$2:$B$1800,D$1)</f>
        <v>0</v>
      </c>
      <c r="E176" s="117" t="n">
        <f aca="false">SUMIFS(الريسبي!$C$2:$C$1800,الريسبي!$A$2:$A$1800,$A176,الريسبي!$B$2:$B$1800,E$1)</f>
        <v>0</v>
      </c>
      <c r="F176" s="117" t="n">
        <f aca="false">SUMIFS(الريسبي!$C$2:$C$1800,الريسبي!$A$2:$A$1800,$A176,الريسبي!$B$2:$B$1800,F$1)</f>
        <v>0</v>
      </c>
      <c r="G176" s="117" t="n">
        <f aca="false">SUMIFS(الريسبي!$C$2:$C$1800,الريسبي!$A$2:$A$1800,$A176,الريسبي!$B$2:$B$1800,G$1)</f>
        <v>0</v>
      </c>
      <c r="H176" s="117" t="n">
        <f aca="false">SUMIFS(الريسبي!$C$2:$C$1800,الريسبي!$A$2:$A$1800,$A176,الريسبي!$B$2:$B$1800,H$1)</f>
        <v>0</v>
      </c>
      <c r="I176" s="117" t="n">
        <f aca="false">SUMIFS(الريسبي!$C$2:$C$1800,الريسبي!$A$2:$A$1800,$A176,الريسبي!$B$2:$B$1800,I$1)</f>
        <v>0</v>
      </c>
      <c r="J176" s="117" t="n">
        <f aca="false">SUMIFS(الريسبي!$C$2:$C$1800,الريسبي!$A$2:$A$1800,$A176,الريسبي!$B$2:$B$1800,J$1)</f>
        <v>0</v>
      </c>
      <c r="K176" s="117" t="n">
        <f aca="false">SUMIFS(الريسبي!$C$2:$C$1800,الريسبي!$A$2:$A$1800,$A176,الريسبي!$B$2:$B$1800,K$1)</f>
        <v>0</v>
      </c>
      <c r="L176" s="117" t="n">
        <f aca="false">SUMIFS(الريسبي!$C$2:$C$1800,الريسبي!$A$2:$A$1800,$A176,الريسبي!$B$2:$B$1800,L$1)</f>
        <v>0</v>
      </c>
      <c r="M176" s="117" t="n">
        <f aca="false">SUMIFS(الريسبي!$C$2:$C$1800,الريسبي!$A$2:$A$1800,$A176,الريسبي!$B$2:$B$1800,M$1)</f>
        <v>0</v>
      </c>
      <c r="N176" s="117" t="n">
        <f aca="false">SUMIFS(الريسبي!$C$2:$C$1800,الريسبي!$A$2:$A$1800,$A176,الريسبي!$B$2:$B$1800,N$1)</f>
        <v>0</v>
      </c>
      <c r="O176" s="117" t="n">
        <f aca="false">SUMIFS(الريسبي!$C$2:$C$1800,الريسبي!$A$2:$A$1800,$A176,الريسبي!$B$2:$B$1800,O$1)</f>
        <v>1</v>
      </c>
      <c r="P176" s="117" t="n">
        <f aca="false">SUMIFS(الريسبي!$C$2:$C$1800,الريسبي!$A$2:$A$1800,$A176,الريسبي!$B$2:$B$1800,P$1)</f>
        <v>0</v>
      </c>
      <c r="Q176" s="117" t="n">
        <f aca="false">SUMIFS(الريسبي!$C$2:$C$1800,الريسبي!$A$2:$A$1800,$A176,الريسبي!$B$2:$B$1800,Q$1)</f>
        <v>0</v>
      </c>
      <c r="R176" s="117" t="n">
        <f aca="false">SUMIFS(الريسبي!$C$2:$C$1800,الريسبي!$A$2:$A$1800,$A176,الريسبي!$B$2:$B$1800,R$1)</f>
        <v>0</v>
      </c>
      <c r="S176" s="117" t="n">
        <f aca="false">SUMIFS(الريسبي!$C$2:$C$1800,الريسبي!$A$2:$A$1800,$A176,الريسبي!$B$2:$B$1800,S$1)</f>
        <v>0</v>
      </c>
      <c r="T176" s="117" t="n">
        <f aca="false">SUMIFS(الريسبي!$C$2:$C$1800,الريسبي!$A$2:$A$1800,$A176,الريسبي!$B$2:$B$1800,T$1)</f>
        <v>0</v>
      </c>
      <c r="U176" s="117" t="n">
        <f aca="false">SUMIFS(الريسبي!$C$2:$C$1800,الريسبي!$A$2:$A$1800,$A176,الريسبي!$B$2:$B$1800,U$1)</f>
        <v>0</v>
      </c>
      <c r="V176" s="117" t="n">
        <f aca="false">SUMIFS(الريسبي!$C$2:$C$1800,الريسبي!$A$2:$A$1800,$A176,الريسبي!$B$2:$B$1800,V$1)+1.5*(SUMIFS(الريسبي!$C$2:$C$1800,الريسبي!$A$2:$A$1800,$A176,الريسبي!$B$2:$B$1800,"برسيون موتزريلا بيتزا كبير"))</f>
        <v>0</v>
      </c>
      <c r="W176" s="117" t="n">
        <f aca="false">0</f>
        <v>0</v>
      </c>
      <c r="X176" s="117" t="n">
        <f aca="false">SUMIFS(الريسبي!$C$2:$C$1800,الريسبي!$A$2:$A$1800,$A176,الريسبي!$B$2:$B$1800,X$1)+1.5*(SUMIFS(الريسبي!$C$2:$C$1800,الريسبي!$A$2:$A$1800,$A176,الريسبي!$B$2:$B$1800,"برسيون موتزريلا فطير كبير"))</f>
        <v>1</v>
      </c>
      <c r="Y176" s="117" t="n">
        <f aca="false">0</f>
        <v>0</v>
      </c>
      <c r="Z176" s="117" t="n">
        <f aca="false">SUMIFS(الريسبي!$C$2:$C$1800,الريسبي!$A$2:$A$1800,$A176,الريسبي!$B$2:$B$1800,Z$1)</f>
        <v>0</v>
      </c>
      <c r="AA176" s="117" t="n">
        <f aca="false">SUMIFS(الريسبي!$C$2:$C$1800,الريسبي!$A$2:$A$1800,$A176,الريسبي!$B$2:$B$1800,AA$1)</f>
        <v>0</v>
      </c>
      <c r="AB176" s="117" t="n">
        <f aca="false">SUMIFS(الريسبي!$C$2:$C$1800,الريسبي!$A$2:$A$1800,$A176,الريسبي!$B$2:$B$1800,AB$1)</f>
        <v>0</v>
      </c>
      <c r="AC176" s="117" t="n">
        <f aca="false">SUMIFS(الريسبي!$C$2:$C$1800,الريسبي!$A$2:$A$1800,$A176,الريسبي!$B$2:$B$1800,AC$1)</f>
        <v>0</v>
      </c>
      <c r="AD176" s="117" t="n">
        <f aca="false">SUMIFS(الريسبي!$C$2:$C$1800,الريسبي!$A$2:$A$1800,$A176,الريسبي!$B$2:$B$1800,AD$1)</f>
        <v>0</v>
      </c>
      <c r="AE176" s="117" t="n">
        <f aca="false">SUMIFS(الريسبي!$C$2:$C$1800,الريسبي!$A$2:$A$1800,$A176,الريسبي!$B$2:$B$1800,AE$1)</f>
        <v>0</v>
      </c>
      <c r="AF176" s="117" t="n">
        <f aca="false">SUMIFS(الريسبي!$C$2:$C$1800,الريسبي!$A$2:$A$1800,$A176,الريسبي!$B$2:$B$1800,AF$1)</f>
        <v>0</v>
      </c>
      <c r="AG176" s="117" t="n">
        <f aca="false">SUMIFS(الريسبي!$C$2:$C$1800,الريسبي!$A$2:$A$1800,$A176,الريسبي!$B$2:$B$1800,AG$1)</f>
        <v>0</v>
      </c>
      <c r="AH176" s="117" t="n">
        <f aca="false">SUMIFS(الريسبي!$C$2:$C$1800,الريسبي!$A$2:$A$1800,$A176,الريسبي!$B$2:$B$1800,AH$1)</f>
        <v>0</v>
      </c>
      <c r="AI176" s="117" t="n">
        <f aca="false">SUMIFS(الريسبي!$C$2:$C$1800,الريسبي!$A$2:$A$1800,$A176,الريسبي!$B$2:$B$1800,AI$1)</f>
        <v>0</v>
      </c>
      <c r="AJ176" s="117" t="n">
        <f aca="false">SUMIFS(الريسبي!$C$2:$C$1800,الريسبي!$A$2:$A$1800,$A176,الريسبي!$B$2:$B$1800,AJ$1)</f>
        <v>0</v>
      </c>
      <c r="AK176" s="117" t="n">
        <f aca="false">SUMIFS(الريسبي!$C$2:$C$1800,الريسبي!$A$2:$A$1800,$A176,الريسبي!$B$2:$B$1800,AK$1)</f>
        <v>0</v>
      </c>
      <c r="AL176" s="117" t="n">
        <f aca="false">SUMIFS(الريسبي!$C$2:$C$1800,الريسبي!$A$2:$A$1800,$A176,الريسبي!$B$2:$B$1800,AL$1)</f>
        <v>0</v>
      </c>
      <c r="AM176" s="117" t="n">
        <f aca="false">SUMIFS(الريسبي!$C$2:$C$1800,الريسبي!$A$2:$A$1800,$A176,الريسبي!$B$2:$B$1800,AM$1)+0.08333333333*SUMIFS(الريسبي!$C$2:$C$1800,الريسبي!$A$2:$A$1800,$A176,الريسبي!$B$2:$B$1800,"عجين كريب (مصنع بالمطعم)")+0.08333333333*SUMIFS(الريسبي!$C$2:$C$1800,الريسبي!$A$2:$A$1800,$A176,الريسبي!$B$2:$B$1800,"عجين كريب صيامي (بدون لبن)")</f>
        <v>0.08333333333</v>
      </c>
      <c r="AN176" s="117" t="n">
        <f aca="false">SUMIFS(الريسبي!$C$2:$C$1800,الريسبي!$A$2:$A$1800,$A176,الريسبي!$B$2:$B$1800,AN$1)+0.004166666667*SUMIFS(الريسبي!$C$2:$C$1800,الريسبي!$A$2:$A$1800,$A176,الريسبي!$B$2:$B$1800,"عجين كريب (مصنع بالمطعم)")+0.004166666667*SUMIFS(الريسبي!$C$2:$C$1800,الريسبي!$A$2:$A$1800,$A176,الريسبي!$B$2:$B$1800,"عجين كريب صيامي (بدون لبن)")</f>
        <v>0.004166666667</v>
      </c>
      <c r="AO176" s="117" t="n">
        <f aca="false">SUMIFS(الريسبي!$C$2:$C$1800,الريسبي!$A$2:$A$1800,$A176,الريسبي!$B$2:$B$1800,AO$1)</f>
        <v>0</v>
      </c>
      <c r="AP176" s="117" t="n">
        <f aca="false">SUMIFS(الريسبي!$C$2:$C$1800,الريسبي!$A$2:$A$1800,$A176,الريسبي!$B$2:$B$1800,AP$1)</f>
        <v>0.02</v>
      </c>
      <c r="AQ176" s="117" t="n">
        <f aca="false">SUMIFS(الريسبي!$C$2:$C$1800,الريسبي!$A$2:$A$1800,$A176,الريسبي!$B$2:$B$1800,AQ$1)+0.004166666667*SUMIFS(الريسبي!$C$2:$C$1800,الريسبي!$A$2:$A$1800,$A176,الريسبي!$B$2:$B$1800,"عجين كريب (مصنع بالمطعم)")+0.004166666667*SUMIFS(الريسبي!$C$2:$C$1800,الريسبي!$A$2:$A$1800,$A176,الريسبي!$B$2:$B$1800,"عجين كريب صيامي (بدون لبن)")</f>
        <v>0.004166666667</v>
      </c>
      <c r="AR176" s="117" t="n">
        <f aca="false">SUMIFS(الريسبي!$C$2:$C$1800,الريسبي!$A$2:$A$1800,$A176,الريسبي!$B$2:$B$1800,AR$1)</f>
        <v>0</v>
      </c>
      <c r="AS176" s="117" t="n">
        <f aca="false">SUMIFS(الريسبي!$C$2:$C$1800,الريسبي!$A$2:$A$1800,$A176,الريسبي!$B$2:$B$1800,AS$1)</f>
        <v>1</v>
      </c>
      <c r="AT176" s="117" t="n">
        <f aca="false">SUMIFS(الريسبي!$C$2:$C$1800,الريسبي!$A$2:$A$1800,$A176,الريسبي!$B$2:$B$1800,AT$1)</f>
        <v>0</v>
      </c>
      <c r="AU176" s="117" t="n">
        <f aca="false">SUMIFS(الريسبي!$C$2:$C$1800,الريسبي!$A$2:$A$1800,$A176,الريسبي!$B$2:$B$1800,AU$1)</f>
        <v>0</v>
      </c>
      <c r="AV176" s="117" t="n">
        <f aca="false">SUMIFS(الريسبي!$C$2:$C$1800,الريسبي!$A$2:$A$1800,$A176,الريسبي!$B$2:$B$1800,AV$1)</f>
        <v>0</v>
      </c>
      <c r="AW176" s="117" t="n">
        <f aca="false">SUMIFS(الريسبي!$C$2:$C$1800,الريسبي!$A$2:$A$1800,$A176,الريسبي!$B$2:$B$1800,AW$1)</f>
        <v>0</v>
      </c>
      <c r="AX176" s="117" t="n">
        <f aca="false">SUMIFS(الريسبي!$C$2:$C$1800,الريسبي!$A$2:$A$1800,$A176,الريسبي!$B$2:$B$1800,AX$1)</f>
        <v>0</v>
      </c>
      <c r="AY176" s="117" t="n">
        <f aca="false">SUMIFS(الريسبي!$C$2:$C$1800,الريسبي!$A$2:$A$1800,$A176,الريسبي!$B$2:$B$1800,AY$1)</f>
        <v>0</v>
      </c>
      <c r="AZ176" s="117" t="n">
        <f aca="false">SUMIFS(الريسبي!$C$2:$C$1800,الريسبي!$A$2:$A$1800,$A176,الريسبي!$B$2:$B$1800,AZ$1)</f>
        <v>0</v>
      </c>
      <c r="BA176" s="117" t="n">
        <f aca="false">SUMIFS(الريسبي!$C$2:$C$1800,الريسبي!$A$2:$A$1800,$A176,الريسبي!$B$2:$B$1800,BA$1)</f>
        <v>0</v>
      </c>
      <c r="BB176" s="117" t="n">
        <f aca="false">SUMIFS(الريسبي!$C$2:$C$1800,الريسبي!$A$2:$A$1800,$A176,الريسبي!$B$2:$B$1800,BB$1)</f>
        <v>0</v>
      </c>
      <c r="BC176" s="117" t="n">
        <f aca="false">SUMIFS(الريسبي!$C$2:$C$1800,الريسبي!$A$2:$A$1800,$A176,الريسبي!$B$2:$B$1800,BC$1)</f>
        <v>0.03</v>
      </c>
      <c r="BD176" s="117" t="n">
        <f aca="false">SUMIFS(الريسبي!$C$2:$C$1800,الريسبي!$A$2:$A$1800,$A176,الريسبي!$B$2:$B$1800,BD$1)</f>
        <v>0</v>
      </c>
      <c r="BE176" s="117" t="n">
        <f aca="false">SUMIFS(الريسبي!$C$2:$C$1800,الريسبي!$A$2:$A$1800,$A176,الريسبي!$B$2:$B$1800,BE$1)</f>
        <v>0</v>
      </c>
      <c r="BF176" s="117" t="n">
        <f aca="false">SUMIFS(الريسبي!$C$2:$C$1800,الريسبي!$A$2:$A$1800,$A176,الريسبي!$B$2:$B$1800,BF$1)</f>
        <v>0</v>
      </c>
      <c r="BG176" s="117" t="n">
        <f aca="false">SUMIFS(الريسبي!$C$2:$C$1800,الريسبي!$A$2:$A$1800,$A176,الريسبي!$B$2:$B$1800,BG$1)</f>
        <v>0</v>
      </c>
      <c r="BH176" s="117" t="n">
        <f aca="false">SUMIFS(الريسبي!$C$2:$C$1800,الريسبي!$A$2:$A$1800,$A176,الريسبي!$B$2:$B$1800,BH$1)</f>
        <v>0</v>
      </c>
      <c r="BI176" s="117" t="n">
        <f aca="false">SUMIFS(الريسبي!$C$2:$C$1800,الريسبي!$A$2:$A$1800,$A176,الريسبي!$B$2:$B$1800,BI$1)</f>
        <v>0</v>
      </c>
      <c r="BJ176" s="117" t="n">
        <f aca="false">SUMIFS(الريسبي!$C$2:$C$1800,الريسبي!$A$2:$A$1800,$A176,الريسبي!$B$2:$B$1800,BJ$1)</f>
        <v>0</v>
      </c>
      <c r="BK176" s="117" t="n">
        <f aca="false">SUMIFS(الريسبي!$C$2:$C$1800,الريسبي!$A$2:$A$1800,$A176,الريسبي!$B$2:$B$1800,BK$1)</f>
        <v>0</v>
      </c>
      <c r="BL176" s="117" t="n">
        <f aca="false">SUMIFS(الريسبي!$C$2:$C$1800,الريسبي!$A$2:$A$1800,$A176,الريسبي!$B$2:$B$1800,BL$1)</f>
        <v>0</v>
      </c>
      <c r="BM176" s="117" t="n">
        <f aca="false">SUMIFS(الريسبي!$C$2:$C$1800,الريسبي!$A$2:$A$1800,$A176,الريسبي!$B$2:$B$1800,BM$1)</f>
        <v>0</v>
      </c>
      <c r="BN176" s="117" t="n">
        <f aca="false">SUMIFS(الريسبي!$C$2:$C$1800,الريسبي!$A$2:$A$1800,$A176,الريسبي!$B$2:$B$1800,BN$1)</f>
        <v>0.02</v>
      </c>
      <c r="BO176" s="117" t="n">
        <f aca="false">SUMIFS(الريسبي!$C$2:$C$1800,الريسبي!$A$2:$A$1800,$A176,الريسبي!$B$2:$B$1800,BO$1)</f>
        <v>0</v>
      </c>
      <c r="BP176" s="117" t="n">
        <f aca="false">SUMIFS(الريسبي!$C$2:$C$1800,الريسبي!$A$2:$A$1800,$A176,الريسبي!$B$2:$B$1800,BP$1)</f>
        <v>0</v>
      </c>
      <c r="BQ176" s="117" t="n">
        <f aca="false">SUMIFS(الريسبي!$C$2:$C$1800,الريسبي!$A$2:$A$1800,$A176,الريسبي!$B$2:$B$1800,BQ$1)+0.17*SUMIFS(الريسبي!$C$2:$C$1800,الريسبي!$A$2:$A$1800,$A176,الريسبي!$B$2:$B$1800,"كاسترد مصنع (خليط بودر + لبن)")+0.17*SUMIFS(الريسبي!$C$2:$C$1800,الريسبي!$A$2:$A$1800,$A176,الريسبي!$B$2:$B$1800,"كاسترد مصنع صيامي (بدون لبن)")</f>
        <v>0</v>
      </c>
      <c r="BR176" s="117" t="n">
        <f aca="false">SUMIFS(الريسبي!$C$2:$C$1800,الريسبي!$A$2:$A$1800,$A176,الريسبي!$B$2:$B$1800,BR$1)</f>
        <v>0</v>
      </c>
      <c r="BS176" s="117" t="n">
        <f aca="false">SUMIFS(الريسبي!$C$2:$C$1800,الريسبي!$A$2:$A$1800,$A176,الريسبي!$B$2:$B$1800,BS$1)</f>
        <v>0</v>
      </c>
      <c r="BT176" s="117" t="n">
        <f aca="false">SUMIFS(الريسبي!$C$2:$C$1800,الريسبي!$A$2:$A$1800,$A176,الريسبي!$B$2:$B$1800,BT$1)</f>
        <v>1</v>
      </c>
      <c r="BU176" s="117" t="n">
        <f aca="false">SUMIFS(الريسبي!$C$2:$C$1800,الريسبي!$A$2:$A$1800,$A176,الريسبي!$B$2:$B$1800,BU$1)+0.4*SUMIFS(الريسبي!$C$2:$C$1800,الريسبي!$A$2:$A$1800,$A176,الريسبي!$B$2:$B$1800,"كاسترد مصنع (خليط بودر + لبن)")+0.03333333333*SUMIFS(الريسبي!$C$2:$C$1800,الريسبي!$A$2:$A$1800,$A176,الريسبي!$B$2:$B$1800,"عجين كريب (مصنع بالمطعم)")</f>
        <v>0.03333333333</v>
      </c>
      <c r="BV176" s="117" t="n">
        <f aca="false">SUMIFS(الريسبي!$C$2:$C$1800,الريسبي!$A$2:$A$1800,$A176,الريسبي!$B$2:$B$1800,BV$1)</f>
        <v>0</v>
      </c>
      <c r="BW176" s="117" t="n">
        <f aca="false">SUMIFS(الريسبي!$C$2:$C$1800,الريسبي!$A$2:$A$1800,$A176,الريسبي!$B$2:$B$1800,BW$1)</f>
        <v>0</v>
      </c>
      <c r="BX176" s="117" t="n">
        <f aca="false">SUMIFS(الريسبي!$C$2:$C$1800,الريسبي!$A$2:$A$1800,$A176,الريسبي!$B$2:$B$1800,BX$1)</f>
        <v>0</v>
      </c>
      <c r="BY176" s="117" t="n">
        <f aca="false">SUMIFS(الريسبي!$C$2:$C$1800,الريسبي!$A$2:$A$1800,$A176,الريسبي!$B$2:$B$1800,BY$1)</f>
        <v>0</v>
      </c>
      <c r="BZ176" s="117" t="n">
        <f aca="false">SUMIFS(الريسبي!$C$2:$C$1800,الريسبي!$A$2:$A$1800,$A176,الريسبي!$B$2:$B$1800,BZ$1)</f>
        <v>0</v>
      </c>
      <c r="CA176" s="117" t="n">
        <f aca="false">SUMIFS(الريسبي!$C$2:$C$1800,الريسبي!$A$2:$A$1800,$A176,الريسبي!$B$2:$B$1800,CA$1)</f>
        <v>0</v>
      </c>
      <c r="CB176" s="117" t="n">
        <f aca="false">SUMIFS(الريسبي!$C$2:$C$1800,الريسبي!$A$2:$A$1800,$A176,الريسبي!$B$2:$B$1800,CB$1)</f>
        <v>0</v>
      </c>
      <c r="CC176" s="117" t="n">
        <f aca="false">SUMIFS(الريسبي!$C$2:$C$1800,الريسبي!$A$2:$A$1800,$A176,الريسبي!$B$2:$B$1800,CC$1)</f>
        <v>0</v>
      </c>
      <c r="CD176" s="117" t="n">
        <f aca="false">SUMIFS(الريسبي!$C$2:$C$1800,الريسبي!$A$2:$A$1800,$A176,الريسبي!$B$2:$B$1800,CD$1)</f>
        <v>0</v>
      </c>
      <c r="CE176" s="117" t="n">
        <f aca="false">SUMIFS(الريسبي!$C$2:$C$1800,الريسبي!$A$2:$A$1800,$A176,الريسبي!$B$2:$B$1800,CE$1)</f>
        <v>0</v>
      </c>
      <c r="CF176" s="117" t="n">
        <f aca="false">SUMIFS(الريسبي!$C$2:$C$1800,الريسبي!$A$2:$A$1800,$A176,الريسبي!$B$2:$B$1800,CF$1)</f>
        <v>0</v>
      </c>
      <c r="CG176" s="117" t="n">
        <f aca="false">SUMIFS(الريسبي!$C$2:$C$1800,الريسبي!$A$2:$A$1800,$A176,الريسبي!$B$2:$B$1800,CG$1)</f>
        <v>0</v>
      </c>
      <c r="CH176" s="117" t="n">
        <f aca="false">SUMIFS(الريسبي!$C$2:$C$1800,الريسبي!$A$2:$A$1800,$A176,الريسبي!$B$2:$B$1800,CH$1)</f>
        <v>0</v>
      </c>
      <c r="CI176" s="117" t="n">
        <f aca="false">SUMIFS(الريسبي!$C$2:$C$1800,الريسبي!$A$2:$A$1800,$A176,الريسبي!$B$2:$B$1800,CI$1)</f>
        <v>0</v>
      </c>
      <c r="CJ176" s="117" t="n">
        <f aca="false">SUMIFS(الريسبي!$C$2:$C$1800,الريسبي!$A$2:$A$1800,$A176,الريسبي!$B$2:$B$1800,CJ$1)</f>
        <v>0</v>
      </c>
      <c r="CK176" s="117" t="n">
        <f aca="false">SUMIFS(الريسبي!$C$2:$C$1800,الريسبي!$A$2:$A$1800,$A176,الريسبي!$B$2:$B$1800,CK$1)</f>
        <v>0</v>
      </c>
      <c r="CL176" s="117" t="n">
        <f aca="false">SUMIFS(الريسبي!$C$2:$C$1800,الريسبي!$A$2:$A$1800,$A176,الريسبي!$B$2:$B$1800,CL$1)</f>
        <v>0</v>
      </c>
    </row>
    <row r="177" customFormat="false" ht="15" hidden="false" customHeight="false" outlineLevel="0" collapsed="false">
      <c r="A177" s="116" t="str">
        <f aca="false">المنيو!B177</f>
        <v>اضافة بسطرمة (بيتزا كبير)</v>
      </c>
      <c r="B177" s="117" t="n">
        <f aca="false">SUMIFS(الريسبي!$C$2:$C$1800,الريسبي!$A$2:$A$1800,$A177,الريسبي!$B$2:$B$1800,B$1)</f>
        <v>0</v>
      </c>
      <c r="C177" s="117" t="n">
        <f aca="false">SUMIFS(الريسبي!$C$2:$C$1800,الريسبي!$A$2:$A$1800,$A177,الريسبي!$B$2:$B$1800,C$1)</f>
        <v>0</v>
      </c>
      <c r="D177" s="117" t="n">
        <f aca="false">SUMIFS(الريسبي!$C$2:$C$1800,الريسبي!$A$2:$A$1800,$A177,الريسبي!$B$2:$B$1800,D$1)</f>
        <v>0</v>
      </c>
      <c r="E177" s="117" t="n">
        <f aca="false">SUMIFS(الريسبي!$C$2:$C$1800,الريسبي!$A$2:$A$1800,$A177,الريسبي!$B$2:$B$1800,E$1)</f>
        <v>0</v>
      </c>
      <c r="F177" s="117" t="n">
        <f aca="false">SUMIFS(الريسبي!$C$2:$C$1800,الريسبي!$A$2:$A$1800,$A177,الريسبي!$B$2:$B$1800,F$1)</f>
        <v>0</v>
      </c>
      <c r="G177" s="117" t="n">
        <f aca="false">SUMIFS(الريسبي!$C$2:$C$1800,الريسبي!$A$2:$A$1800,$A177,الريسبي!$B$2:$B$1800,G$1)</f>
        <v>0</v>
      </c>
      <c r="H177" s="117" t="n">
        <f aca="false">SUMIFS(الريسبي!$C$2:$C$1800,الريسبي!$A$2:$A$1800,$A177,الريسبي!$B$2:$B$1800,H$1)</f>
        <v>1</v>
      </c>
      <c r="I177" s="117" t="n">
        <f aca="false">SUMIFS(الريسبي!$C$2:$C$1800,الريسبي!$A$2:$A$1800,$A177,الريسبي!$B$2:$B$1800,I$1)</f>
        <v>0</v>
      </c>
      <c r="J177" s="117" t="n">
        <f aca="false">SUMIFS(الريسبي!$C$2:$C$1800,الريسبي!$A$2:$A$1800,$A177,الريسبي!$B$2:$B$1800,J$1)</f>
        <v>0</v>
      </c>
      <c r="K177" s="117" t="n">
        <f aca="false">SUMIFS(الريسبي!$C$2:$C$1800,الريسبي!$A$2:$A$1800,$A177,الريسبي!$B$2:$B$1800,K$1)</f>
        <v>0</v>
      </c>
      <c r="L177" s="117" t="n">
        <f aca="false">SUMIFS(الريسبي!$C$2:$C$1800,الريسبي!$A$2:$A$1800,$A177,الريسبي!$B$2:$B$1800,L$1)</f>
        <v>0</v>
      </c>
      <c r="M177" s="117" t="n">
        <f aca="false">SUMIFS(الريسبي!$C$2:$C$1800,الريسبي!$A$2:$A$1800,$A177,الريسبي!$B$2:$B$1800,M$1)</f>
        <v>0</v>
      </c>
      <c r="N177" s="117" t="n">
        <f aca="false">SUMIFS(الريسبي!$C$2:$C$1800,الريسبي!$A$2:$A$1800,$A177,الريسبي!$B$2:$B$1800,N$1)</f>
        <v>0</v>
      </c>
      <c r="O177" s="117" t="n">
        <f aca="false">SUMIFS(الريسبي!$C$2:$C$1800,الريسبي!$A$2:$A$1800,$A177,الريسبي!$B$2:$B$1800,O$1)</f>
        <v>0</v>
      </c>
      <c r="P177" s="117" t="n">
        <f aca="false">SUMIFS(الريسبي!$C$2:$C$1800,الريسبي!$A$2:$A$1800,$A177,الريسبي!$B$2:$B$1800,P$1)</f>
        <v>0</v>
      </c>
      <c r="Q177" s="117" t="n">
        <f aca="false">SUMIFS(الريسبي!$C$2:$C$1800,الريسبي!$A$2:$A$1800,$A177,الريسبي!$B$2:$B$1800,Q$1)</f>
        <v>0</v>
      </c>
      <c r="R177" s="117" t="n">
        <f aca="false">SUMIFS(الريسبي!$C$2:$C$1800,الريسبي!$A$2:$A$1800,$A177,الريسبي!$B$2:$B$1800,R$1)</f>
        <v>0</v>
      </c>
      <c r="S177" s="117" t="n">
        <f aca="false">SUMIFS(الريسبي!$C$2:$C$1800,الريسبي!$A$2:$A$1800,$A177,الريسبي!$B$2:$B$1800,S$1)</f>
        <v>0</v>
      </c>
      <c r="T177" s="117" t="n">
        <f aca="false">SUMIFS(الريسبي!$C$2:$C$1800,الريسبي!$A$2:$A$1800,$A177,الريسبي!$B$2:$B$1800,T$1)</f>
        <v>0</v>
      </c>
      <c r="U177" s="117" t="n">
        <f aca="false">SUMIFS(الريسبي!$C$2:$C$1800,الريسبي!$A$2:$A$1800,$A177,الريسبي!$B$2:$B$1800,U$1)</f>
        <v>0</v>
      </c>
      <c r="V177" s="117" t="n">
        <f aca="false">SUMIFS(الريسبي!$C$2:$C$1800,الريسبي!$A$2:$A$1800,$A177,الريسبي!$B$2:$B$1800,V$1)+1.5*(SUMIFS(الريسبي!$C$2:$C$1800,الريسبي!$A$2:$A$1800,$A177,الريسبي!$B$2:$B$1800,"برسيون موتزريلا بيتزا كبير"))</f>
        <v>0</v>
      </c>
      <c r="W177" s="117" t="n">
        <f aca="false">0</f>
        <v>0</v>
      </c>
      <c r="X177" s="117" t="n">
        <f aca="false">SUMIFS(الريسبي!$C$2:$C$1800,الريسبي!$A$2:$A$1800,$A177,الريسبي!$B$2:$B$1800,X$1)+1.5*(SUMIFS(الريسبي!$C$2:$C$1800,الريسبي!$A$2:$A$1800,$A177,الريسبي!$B$2:$B$1800,"برسيون موتزريلا فطير كبير"))</f>
        <v>0</v>
      </c>
      <c r="Y177" s="117" t="n">
        <f aca="false">0</f>
        <v>0</v>
      </c>
      <c r="Z177" s="117" t="n">
        <f aca="false">SUMIFS(الريسبي!$C$2:$C$1800,الريسبي!$A$2:$A$1800,$A177,الريسبي!$B$2:$B$1800,Z$1)</f>
        <v>0</v>
      </c>
      <c r="AA177" s="117" t="n">
        <f aca="false">SUMIFS(الريسبي!$C$2:$C$1800,الريسبي!$A$2:$A$1800,$A177,الريسبي!$B$2:$B$1800,AA$1)</f>
        <v>0</v>
      </c>
      <c r="AB177" s="117" t="n">
        <f aca="false">SUMIFS(الريسبي!$C$2:$C$1800,الريسبي!$A$2:$A$1800,$A177,الريسبي!$B$2:$B$1800,AB$1)</f>
        <v>0</v>
      </c>
      <c r="AC177" s="117" t="n">
        <f aca="false">SUMIFS(الريسبي!$C$2:$C$1800,الريسبي!$A$2:$A$1800,$A177,الريسبي!$B$2:$B$1800,AC$1)</f>
        <v>0</v>
      </c>
      <c r="AD177" s="117" t="n">
        <f aca="false">SUMIFS(الريسبي!$C$2:$C$1800,الريسبي!$A$2:$A$1800,$A177,الريسبي!$B$2:$B$1800,AD$1)</f>
        <v>0</v>
      </c>
      <c r="AE177" s="117" t="n">
        <f aca="false">SUMIFS(الريسبي!$C$2:$C$1800,الريسبي!$A$2:$A$1800,$A177,الريسبي!$B$2:$B$1800,AE$1)</f>
        <v>0</v>
      </c>
      <c r="AF177" s="117" t="n">
        <f aca="false">SUMIFS(الريسبي!$C$2:$C$1800,الريسبي!$A$2:$A$1800,$A177,الريسبي!$B$2:$B$1800,AF$1)</f>
        <v>0</v>
      </c>
      <c r="AG177" s="117" t="n">
        <f aca="false">SUMIFS(الريسبي!$C$2:$C$1800,الريسبي!$A$2:$A$1800,$A177,الريسبي!$B$2:$B$1800,AG$1)</f>
        <v>0</v>
      </c>
      <c r="AH177" s="117" t="n">
        <f aca="false">SUMIFS(الريسبي!$C$2:$C$1800,الريسبي!$A$2:$A$1800,$A177,الريسبي!$B$2:$B$1800,AH$1)</f>
        <v>0</v>
      </c>
      <c r="AI177" s="117" t="n">
        <f aca="false">SUMIFS(الريسبي!$C$2:$C$1800,الريسبي!$A$2:$A$1800,$A177,الريسبي!$B$2:$B$1800,AI$1)</f>
        <v>0</v>
      </c>
      <c r="AJ177" s="117" t="n">
        <f aca="false">SUMIFS(الريسبي!$C$2:$C$1800,الريسبي!$A$2:$A$1800,$A177,الريسبي!$B$2:$B$1800,AJ$1)</f>
        <v>0</v>
      </c>
      <c r="AK177" s="117" t="n">
        <f aca="false">SUMIFS(الريسبي!$C$2:$C$1800,الريسبي!$A$2:$A$1800,$A177,الريسبي!$B$2:$B$1800,AK$1)</f>
        <v>0</v>
      </c>
      <c r="AL177" s="117" t="n">
        <f aca="false">SUMIFS(الريسبي!$C$2:$C$1800,الريسبي!$A$2:$A$1800,$A177,الريسبي!$B$2:$B$1800,AL$1)</f>
        <v>0</v>
      </c>
      <c r="AM177" s="117" t="n">
        <f aca="false">SUMIFS(الريسبي!$C$2:$C$1800,الريسبي!$A$2:$A$1800,$A177,الريسبي!$B$2:$B$1800,AM$1)+0.08333333333*SUMIFS(الريسبي!$C$2:$C$1800,الريسبي!$A$2:$A$1800,$A177,الريسبي!$B$2:$B$1800,"عجين كريب (مصنع بالمطعم)")+0.08333333333*SUMIFS(الريسبي!$C$2:$C$1800,الريسبي!$A$2:$A$1800,$A177,الريسبي!$B$2:$B$1800,"عجين كريب صيامي (بدون لبن)")</f>
        <v>0</v>
      </c>
      <c r="AN177" s="117" t="n">
        <f aca="false">SUMIFS(الريسبي!$C$2:$C$1800,الريسبي!$A$2:$A$1800,$A177,الريسبي!$B$2:$B$1800,AN$1)+0.004166666667*SUMIFS(الريسبي!$C$2:$C$1800,الريسبي!$A$2:$A$1800,$A177,الريسبي!$B$2:$B$1800,"عجين كريب (مصنع بالمطعم)")+0.004166666667*SUMIFS(الريسبي!$C$2:$C$1800,الريسبي!$A$2:$A$1800,$A177,الريسبي!$B$2:$B$1800,"عجين كريب صيامي (بدون لبن)")</f>
        <v>0</v>
      </c>
      <c r="AO177" s="117" t="n">
        <f aca="false">SUMIFS(الريسبي!$C$2:$C$1800,الريسبي!$A$2:$A$1800,$A177,الريسبي!$B$2:$B$1800,AO$1)</f>
        <v>0</v>
      </c>
      <c r="AP177" s="117" t="n">
        <f aca="false">SUMIFS(الريسبي!$C$2:$C$1800,الريسبي!$A$2:$A$1800,$A177,الريسبي!$B$2:$B$1800,AP$1)</f>
        <v>0</v>
      </c>
      <c r="AQ177" s="117" t="n">
        <f aca="false">SUMIFS(الريسبي!$C$2:$C$1800,الريسبي!$A$2:$A$1800,$A177,الريسبي!$B$2:$B$1800,AQ$1)+0.004166666667*SUMIFS(الريسبي!$C$2:$C$1800,الريسبي!$A$2:$A$1800,$A177,الريسبي!$B$2:$B$1800,"عجين كريب (مصنع بالمطعم)")+0.004166666667*SUMIFS(الريسبي!$C$2:$C$1800,الريسبي!$A$2:$A$1800,$A177,الريسبي!$B$2:$B$1800,"عجين كريب صيامي (بدون لبن)")</f>
        <v>0</v>
      </c>
      <c r="AR177" s="117" t="n">
        <f aca="false">SUMIFS(الريسبي!$C$2:$C$1800,الريسبي!$A$2:$A$1800,$A177,الريسبي!$B$2:$B$1800,AR$1)</f>
        <v>0</v>
      </c>
      <c r="AS177" s="117" t="n">
        <f aca="false">SUMIFS(الريسبي!$C$2:$C$1800,الريسبي!$A$2:$A$1800,$A177,الريسبي!$B$2:$B$1800,AS$1)</f>
        <v>0</v>
      </c>
      <c r="AT177" s="117" t="n">
        <f aca="false">SUMIFS(الريسبي!$C$2:$C$1800,الريسبي!$A$2:$A$1800,$A177,الريسبي!$B$2:$B$1800,AT$1)</f>
        <v>0</v>
      </c>
      <c r="AU177" s="117" t="n">
        <f aca="false">SUMIFS(الريسبي!$C$2:$C$1800,الريسبي!$A$2:$A$1800,$A177,الريسبي!$B$2:$B$1800,AU$1)</f>
        <v>0</v>
      </c>
      <c r="AV177" s="117" t="n">
        <f aca="false">SUMIFS(الريسبي!$C$2:$C$1800,الريسبي!$A$2:$A$1800,$A177,الريسبي!$B$2:$B$1800,AV$1)</f>
        <v>0</v>
      </c>
      <c r="AW177" s="117" t="n">
        <f aca="false">SUMIFS(الريسبي!$C$2:$C$1800,الريسبي!$A$2:$A$1800,$A177,الريسبي!$B$2:$B$1800,AW$1)</f>
        <v>0</v>
      </c>
      <c r="AX177" s="117" t="n">
        <f aca="false">SUMIFS(الريسبي!$C$2:$C$1800,الريسبي!$A$2:$A$1800,$A177,الريسبي!$B$2:$B$1800,AX$1)</f>
        <v>0</v>
      </c>
      <c r="AY177" s="117" t="n">
        <f aca="false">SUMIFS(الريسبي!$C$2:$C$1800,الريسبي!$A$2:$A$1800,$A177,الريسبي!$B$2:$B$1800,AY$1)</f>
        <v>0</v>
      </c>
      <c r="AZ177" s="117" t="n">
        <f aca="false">SUMIFS(الريسبي!$C$2:$C$1800,الريسبي!$A$2:$A$1800,$A177,الريسبي!$B$2:$B$1800,AZ$1)</f>
        <v>0</v>
      </c>
      <c r="BA177" s="117" t="n">
        <f aca="false">SUMIFS(الريسبي!$C$2:$C$1800,الريسبي!$A$2:$A$1800,$A177,الريسبي!$B$2:$B$1800,BA$1)</f>
        <v>0</v>
      </c>
      <c r="BB177" s="117" t="n">
        <f aca="false">SUMIFS(الريسبي!$C$2:$C$1800,الريسبي!$A$2:$A$1800,$A177,الريسبي!$B$2:$B$1800,BB$1)</f>
        <v>0</v>
      </c>
      <c r="BC177" s="117" t="n">
        <f aca="false">SUMIFS(الريسبي!$C$2:$C$1800,الريسبي!$A$2:$A$1800,$A177,الريسبي!$B$2:$B$1800,BC$1)</f>
        <v>0</v>
      </c>
      <c r="BD177" s="117" t="n">
        <f aca="false">SUMIFS(الريسبي!$C$2:$C$1800,الريسبي!$A$2:$A$1800,$A177,الريسبي!$B$2:$B$1800,BD$1)</f>
        <v>0</v>
      </c>
      <c r="BE177" s="117" t="n">
        <f aca="false">SUMIFS(الريسبي!$C$2:$C$1800,الريسبي!$A$2:$A$1800,$A177,الريسبي!$B$2:$B$1800,BE$1)</f>
        <v>0</v>
      </c>
      <c r="BF177" s="117" t="n">
        <f aca="false">SUMIFS(الريسبي!$C$2:$C$1800,الريسبي!$A$2:$A$1800,$A177,الريسبي!$B$2:$B$1800,BF$1)</f>
        <v>0</v>
      </c>
      <c r="BG177" s="117" t="n">
        <f aca="false">SUMIFS(الريسبي!$C$2:$C$1800,الريسبي!$A$2:$A$1800,$A177,الريسبي!$B$2:$B$1800,BG$1)</f>
        <v>0</v>
      </c>
      <c r="BH177" s="117" t="n">
        <f aca="false">SUMIFS(الريسبي!$C$2:$C$1800,الريسبي!$A$2:$A$1800,$A177,الريسبي!$B$2:$B$1800,BH$1)</f>
        <v>0</v>
      </c>
      <c r="BI177" s="117" t="n">
        <f aca="false">SUMIFS(الريسبي!$C$2:$C$1800,الريسبي!$A$2:$A$1800,$A177,الريسبي!$B$2:$B$1800,BI$1)</f>
        <v>0</v>
      </c>
      <c r="BJ177" s="117" t="n">
        <f aca="false">SUMIFS(الريسبي!$C$2:$C$1800,الريسبي!$A$2:$A$1800,$A177,الريسبي!$B$2:$B$1800,BJ$1)</f>
        <v>0</v>
      </c>
      <c r="BK177" s="117" t="n">
        <f aca="false">SUMIFS(الريسبي!$C$2:$C$1800,الريسبي!$A$2:$A$1800,$A177,الريسبي!$B$2:$B$1800,BK$1)</f>
        <v>0</v>
      </c>
      <c r="BL177" s="117" t="n">
        <f aca="false">SUMIFS(الريسبي!$C$2:$C$1800,الريسبي!$A$2:$A$1800,$A177,الريسبي!$B$2:$B$1800,BL$1)</f>
        <v>0</v>
      </c>
      <c r="BM177" s="117" t="n">
        <f aca="false">SUMIFS(الريسبي!$C$2:$C$1800,الريسبي!$A$2:$A$1800,$A177,الريسبي!$B$2:$B$1800,BM$1)</f>
        <v>0</v>
      </c>
      <c r="BN177" s="117" t="n">
        <f aca="false">SUMIFS(الريسبي!$C$2:$C$1800,الريسبي!$A$2:$A$1800,$A177,الريسبي!$B$2:$B$1800,BN$1)</f>
        <v>0</v>
      </c>
      <c r="BO177" s="117" t="n">
        <f aca="false">SUMIFS(الريسبي!$C$2:$C$1800,الريسبي!$A$2:$A$1800,$A177,الريسبي!$B$2:$B$1800,BO$1)</f>
        <v>0</v>
      </c>
      <c r="BP177" s="117" t="n">
        <f aca="false">SUMIFS(الريسبي!$C$2:$C$1800,الريسبي!$A$2:$A$1800,$A177,الريسبي!$B$2:$B$1800,BP$1)</f>
        <v>0</v>
      </c>
      <c r="BQ177" s="117" t="n">
        <f aca="false">SUMIFS(الريسبي!$C$2:$C$1800,الريسبي!$A$2:$A$1800,$A177,الريسبي!$B$2:$B$1800,BQ$1)+0.17*SUMIFS(الريسبي!$C$2:$C$1800,الريسبي!$A$2:$A$1800,$A177,الريسبي!$B$2:$B$1800,"كاسترد مصنع (خليط بودر + لبن)")+0.17*SUMIFS(الريسبي!$C$2:$C$1800,الريسبي!$A$2:$A$1800,$A177,الريسبي!$B$2:$B$1800,"كاسترد مصنع صيامي (بدون لبن)")</f>
        <v>0</v>
      </c>
      <c r="BR177" s="117" t="n">
        <f aca="false">SUMIFS(الريسبي!$C$2:$C$1800,الريسبي!$A$2:$A$1800,$A177,الريسبي!$B$2:$B$1800,BR$1)</f>
        <v>0</v>
      </c>
      <c r="BS177" s="117" t="n">
        <f aca="false">SUMIFS(الريسبي!$C$2:$C$1800,الريسبي!$A$2:$A$1800,$A177,الريسبي!$B$2:$B$1800,BS$1)</f>
        <v>0</v>
      </c>
      <c r="BT177" s="117" t="n">
        <f aca="false">SUMIFS(الريسبي!$C$2:$C$1800,الريسبي!$A$2:$A$1800,$A177,الريسبي!$B$2:$B$1800,BT$1)</f>
        <v>0</v>
      </c>
      <c r="BU177" s="117" t="n">
        <f aca="false">SUMIFS(الريسبي!$C$2:$C$1800,الريسبي!$A$2:$A$1800,$A177,الريسبي!$B$2:$B$1800,BU$1)+0.4*SUMIFS(الريسبي!$C$2:$C$1800,الريسبي!$A$2:$A$1800,$A177,الريسبي!$B$2:$B$1800,"كاسترد مصنع (خليط بودر + لبن)")+0.03333333333*SUMIFS(الريسبي!$C$2:$C$1800,الريسبي!$A$2:$A$1800,$A177,الريسبي!$B$2:$B$1800,"عجين كريب (مصنع بالمطعم)")</f>
        <v>0</v>
      </c>
      <c r="BV177" s="117" t="n">
        <f aca="false">SUMIFS(الريسبي!$C$2:$C$1800,الريسبي!$A$2:$A$1800,$A177,الريسبي!$B$2:$B$1800,BV$1)</f>
        <v>0</v>
      </c>
      <c r="BW177" s="117" t="n">
        <f aca="false">SUMIFS(الريسبي!$C$2:$C$1800,الريسبي!$A$2:$A$1800,$A177,الريسبي!$B$2:$B$1800,BW$1)</f>
        <v>0</v>
      </c>
      <c r="BX177" s="117" t="n">
        <f aca="false">SUMIFS(الريسبي!$C$2:$C$1800,الريسبي!$A$2:$A$1800,$A177,الريسبي!$B$2:$B$1800,BX$1)</f>
        <v>0</v>
      </c>
      <c r="BY177" s="117" t="n">
        <f aca="false">SUMIFS(الريسبي!$C$2:$C$1800,الريسبي!$A$2:$A$1800,$A177,الريسبي!$B$2:$B$1800,BY$1)</f>
        <v>0</v>
      </c>
      <c r="BZ177" s="117" t="n">
        <f aca="false">SUMIFS(الريسبي!$C$2:$C$1800,الريسبي!$A$2:$A$1800,$A177,الريسبي!$B$2:$B$1800,BZ$1)</f>
        <v>0</v>
      </c>
      <c r="CA177" s="117" t="n">
        <f aca="false">SUMIFS(الريسبي!$C$2:$C$1800,الريسبي!$A$2:$A$1800,$A177,الريسبي!$B$2:$B$1800,CA$1)</f>
        <v>0</v>
      </c>
      <c r="CB177" s="117" t="n">
        <f aca="false">SUMIFS(الريسبي!$C$2:$C$1800,الريسبي!$A$2:$A$1800,$A177,الريسبي!$B$2:$B$1800,CB$1)</f>
        <v>0</v>
      </c>
      <c r="CC177" s="117" t="n">
        <f aca="false">SUMIFS(الريسبي!$C$2:$C$1800,الريسبي!$A$2:$A$1800,$A177,الريسبي!$B$2:$B$1800,CC$1)</f>
        <v>0</v>
      </c>
      <c r="CD177" s="117" t="n">
        <f aca="false">SUMIFS(الريسبي!$C$2:$C$1800,الريسبي!$A$2:$A$1800,$A177,الريسبي!$B$2:$B$1800,CD$1)</f>
        <v>0</v>
      </c>
      <c r="CE177" s="117" t="n">
        <f aca="false">SUMIFS(الريسبي!$C$2:$C$1800,الريسبي!$A$2:$A$1800,$A177,الريسبي!$B$2:$B$1800,CE$1)</f>
        <v>0</v>
      </c>
      <c r="CF177" s="117" t="n">
        <f aca="false">SUMIFS(الريسبي!$C$2:$C$1800,الريسبي!$A$2:$A$1800,$A177,الريسبي!$B$2:$B$1800,CF$1)</f>
        <v>0</v>
      </c>
      <c r="CG177" s="117" t="n">
        <f aca="false">SUMIFS(الريسبي!$C$2:$C$1800,الريسبي!$A$2:$A$1800,$A177,الريسبي!$B$2:$B$1800,CG$1)</f>
        <v>0</v>
      </c>
      <c r="CH177" s="117" t="n">
        <f aca="false">SUMIFS(الريسبي!$C$2:$C$1800,الريسبي!$A$2:$A$1800,$A177,الريسبي!$B$2:$B$1800,CH$1)</f>
        <v>0</v>
      </c>
      <c r="CI177" s="117" t="n">
        <f aca="false">SUMIFS(الريسبي!$C$2:$C$1800,الريسبي!$A$2:$A$1800,$A177,الريسبي!$B$2:$B$1800,CI$1)</f>
        <v>0</v>
      </c>
      <c r="CJ177" s="117" t="n">
        <f aca="false">SUMIFS(الريسبي!$C$2:$C$1800,الريسبي!$A$2:$A$1800,$A177,الريسبي!$B$2:$B$1800,CJ$1)</f>
        <v>0</v>
      </c>
      <c r="CK177" s="117" t="n">
        <f aca="false">SUMIFS(الريسبي!$C$2:$C$1800,الريسبي!$A$2:$A$1800,$A177,الريسبي!$B$2:$B$1800,CK$1)</f>
        <v>0</v>
      </c>
      <c r="CL177" s="117" t="n">
        <f aca="false">SUMIFS(الريسبي!$C$2:$C$1800,الريسبي!$A$2:$A$1800,$A177,الريسبي!$B$2:$B$1800,CL$1)</f>
        <v>0</v>
      </c>
    </row>
    <row r="178" customFormat="false" ht="15" hidden="false" customHeight="false" outlineLevel="0" collapsed="false">
      <c r="A178" s="116" t="str">
        <f aca="false">المنيو!B178</f>
        <v>اضافة جبنة كيري (بيتزا كبير)</v>
      </c>
      <c r="B178" s="117" t="n">
        <f aca="false">SUMIFS(الريسبي!$C$2:$C$1800,الريسبي!$A$2:$A$1800,$A178,الريسبي!$B$2:$B$1800,B$1)</f>
        <v>0</v>
      </c>
      <c r="C178" s="117" t="n">
        <f aca="false">SUMIFS(الريسبي!$C$2:$C$1800,الريسبي!$A$2:$A$1800,$A178,الريسبي!$B$2:$B$1800,C$1)</f>
        <v>0</v>
      </c>
      <c r="D178" s="117" t="n">
        <f aca="false">SUMIFS(الريسبي!$C$2:$C$1800,الريسبي!$A$2:$A$1800,$A178,الريسبي!$B$2:$B$1800,D$1)</f>
        <v>0</v>
      </c>
      <c r="E178" s="117" t="n">
        <f aca="false">SUMIFS(الريسبي!$C$2:$C$1800,الريسبي!$A$2:$A$1800,$A178,الريسبي!$B$2:$B$1800,E$1)</f>
        <v>0</v>
      </c>
      <c r="F178" s="117" t="n">
        <f aca="false">SUMIFS(الريسبي!$C$2:$C$1800,الريسبي!$A$2:$A$1800,$A178,الريسبي!$B$2:$B$1800,F$1)</f>
        <v>0</v>
      </c>
      <c r="G178" s="117" t="n">
        <f aca="false">SUMIFS(الريسبي!$C$2:$C$1800,الريسبي!$A$2:$A$1800,$A178,الريسبي!$B$2:$B$1800,G$1)</f>
        <v>0</v>
      </c>
      <c r="H178" s="117" t="n">
        <f aca="false">SUMIFS(الريسبي!$C$2:$C$1800,الريسبي!$A$2:$A$1800,$A178,الريسبي!$B$2:$B$1800,H$1)</f>
        <v>0</v>
      </c>
      <c r="I178" s="117" t="n">
        <f aca="false">SUMIFS(الريسبي!$C$2:$C$1800,الريسبي!$A$2:$A$1800,$A178,الريسبي!$B$2:$B$1800,I$1)</f>
        <v>0</v>
      </c>
      <c r="J178" s="117" t="n">
        <f aca="false">SUMIFS(الريسبي!$C$2:$C$1800,الريسبي!$A$2:$A$1800,$A178,الريسبي!$B$2:$B$1800,J$1)</f>
        <v>0</v>
      </c>
      <c r="K178" s="117" t="n">
        <f aca="false">SUMIFS(الريسبي!$C$2:$C$1800,الريسبي!$A$2:$A$1800,$A178,الريسبي!$B$2:$B$1800,K$1)</f>
        <v>0</v>
      </c>
      <c r="L178" s="117" t="n">
        <f aca="false">SUMIFS(الريسبي!$C$2:$C$1800,الريسبي!$A$2:$A$1800,$A178,الريسبي!$B$2:$B$1800,L$1)</f>
        <v>0</v>
      </c>
      <c r="M178" s="117" t="n">
        <f aca="false">SUMIFS(الريسبي!$C$2:$C$1800,الريسبي!$A$2:$A$1800,$A178,الريسبي!$B$2:$B$1800,M$1)</f>
        <v>0</v>
      </c>
      <c r="N178" s="117" t="n">
        <f aca="false">SUMIFS(الريسبي!$C$2:$C$1800,الريسبي!$A$2:$A$1800,$A178,الريسبي!$B$2:$B$1800,N$1)</f>
        <v>0</v>
      </c>
      <c r="O178" s="117" t="n">
        <f aca="false">SUMIFS(الريسبي!$C$2:$C$1800,الريسبي!$A$2:$A$1800,$A178,الريسبي!$B$2:$B$1800,O$1)</f>
        <v>0</v>
      </c>
      <c r="P178" s="117" t="n">
        <f aca="false">SUMIFS(الريسبي!$C$2:$C$1800,الريسبي!$A$2:$A$1800,$A178,الريسبي!$B$2:$B$1800,P$1)</f>
        <v>0</v>
      </c>
      <c r="Q178" s="117" t="n">
        <f aca="false">SUMIFS(الريسبي!$C$2:$C$1800,الريسبي!$A$2:$A$1800,$A178,الريسبي!$B$2:$B$1800,Q$1)</f>
        <v>0</v>
      </c>
      <c r="R178" s="117" t="n">
        <f aca="false">SUMIFS(الريسبي!$C$2:$C$1800,الريسبي!$A$2:$A$1800,$A178,الريسبي!$B$2:$B$1800,R$1)</f>
        <v>0</v>
      </c>
      <c r="S178" s="117" t="n">
        <f aca="false">SUMIFS(الريسبي!$C$2:$C$1800,الريسبي!$A$2:$A$1800,$A178,الريسبي!$B$2:$B$1800,S$1)</f>
        <v>0</v>
      </c>
      <c r="T178" s="117" t="n">
        <f aca="false">SUMIFS(الريسبي!$C$2:$C$1800,الريسبي!$A$2:$A$1800,$A178,الريسبي!$B$2:$B$1800,T$1)</f>
        <v>0</v>
      </c>
      <c r="U178" s="117" t="n">
        <f aca="false">SUMIFS(الريسبي!$C$2:$C$1800,الريسبي!$A$2:$A$1800,$A178,الريسبي!$B$2:$B$1800,U$1)</f>
        <v>0</v>
      </c>
      <c r="V178" s="117" t="n">
        <f aca="false">SUMIFS(الريسبي!$C$2:$C$1800,الريسبي!$A$2:$A$1800,$A178,الريسبي!$B$2:$B$1800,V$1)+1.5*(SUMIFS(الريسبي!$C$2:$C$1800,الريسبي!$A$2:$A$1800,$A178,الريسبي!$B$2:$B$1800,"برسيون موتزريلا بيتزا كبير"))</f>
        <v>0</v>
      </c>
      <c r="W178" s="117" t="n">
        <f aca="false">0</f>
        <v>0</v>
      </c>
      <c r="X178" s="117" t="n">
        <f aca="false">SUMIFS(الريسبي!$C$2:$C$1800,الريسبي!$A$2:$A$1800,$A178,الريسبي!$B$2:$B$1800,X$1)+1.5*(SUMIFS(الريسبي!$C$2:$C$1800,الريسبي!$A$2:$A$1800,$A178,الريسبي!$B$2:$B$1800,"برسيون موتزريلا فطير كبير"))</f>
        <v>0</v>
      </c>
      <c r="Y178" s="117" t="n">
        <f aca="false">0</f>
        <v>0</v>
      </c>
      <c r="Z178" s="117" t="n">
        <f aca="false">SUMIFS(الريسبي!$C$2:$C$1800,الريسبي!$A$2:$A$1800,$A178,الريسبي!$B$2:$B$1800,Z$1)</f>
        <v>0</v>
      </c>
      <c r="AA178" s="117" t="n">
        <f aca="false">SUMIFS(الريسبي!$C$2:$C$1800,الريسبي!$A$2:$A$1800,$A178,الريسبي!$B$2:$B$1800,AA$1)</f>
        <v>0</v>
      </c>
      <c r="AB178" s="117" t="n">
        <f aca="false">SUMIFS(الريسبي!$C$2:$C$1800,الريسبي!$A$2:$A$1800,$A178,الريسبي!$B$2:$B$1800,AB$1)</f>
        <v>0</v>
      </c>
      <c r="AC178" s="117" t="n">
        <f aca="false">SUMIFS(الريسبي!$C$2:$C$1800,الريسبي!$A$2:$A$1800,$A178,الريسبي!$B$2:$B$1800,AC$1)</f>
        <v>0</v>
      </c>
      <c r="AD178" s="117" t="n">
        <f aca="false">SUMIFS(الريسبي!$C$2:$C$1800,الريسبي!$A$2:$A$1800,$A178,الريسبي!$B$2:$B$1800,AD$1)</f>
        <v>0</v>
      </c>
      <c r="AE178" s="117" t="n">
        <f aca="false">SUMIFS(الريسبي!$C$2:$C$1800,الريسبي!$A$2:$A$1800,$A178,الريسبي!$B$2:$B$1800,AE$1)</f>
        <v>0</v>
      </c>
      <c r="AF178" s="117" t="n">
        <f aca="false">SUMIFS(الريسبي!$C$2:$C$1800,الريسبي!$A$2:$A$1800,$A178,الريسبي!$B$2:$B$1800,AF$1)</f>
        <v>0</v>
      </c>
      <c r="AG178" s="117" t="n">
        <f aca="false">SUMIFS(الريسبي!$C$2:$C$1800,الريسبي!$A$2:$A$1800,$A178,الريسبي!$B$2:$B$1800,AG$1)</f>
        <v>0</v>
      </c>
      <c r="AH178" s="117" t="n">
        <f aca="false">SUMIFS(الريسبي!$C$2:$C$1800,الريسبي!$A$2:$A$1800,$A178,الريسبي!$B$2:$B$1800,AH$1)</f>
        <v>0</v>
      </c>
      <c r="AI178" s="117" t="n">
        <f aca="false">SUMIFS(الريسبي!$C$2:$C$1800,الريسبي!$A$2:$A$1800,$A178,الريسبي!$B$2:$B$1800,AI$1)</f>
        <v>0</v>
      </c>
      <c r="AJ178" s="117" t="n">
        <f aca="false">SUMIFS(الريسبي!$C$2:$C$1800,الريسبي!$A$2:$A$1800,$A178,الريسبي!$B$2:$B$1800,AJ$1)</f>
        <v>0</v>
      </c>
      <c r="AK178" s="117" t="n">
        <f aca="false">SUMIFS(الريسبي!$C$2:$C$1800,الريسبي!$A$2:$A$1800,$A178,الريسبي!$B$2:$B$1800,AK$1)</f>
        <v>0</v>
      </c>
      <c r="AL178" s="117" t="n">
        <f aca="false">SUMIFS(الريسبي!$C$2:$C$1800,الريسبي!$A$2:$A$1800,$A178,الريسبي!$B$2:$B$1800,AL$1)</f>
        <v>0</v>
      </c>
      <c r="AM178" s="117" t="n">
        <f aca="false">SUMIFS(الريسبي!$C$2:$C$1800,الريسبي!$A$2:$A$1800,$A178,الريسبي!$B$2:$B$1800,AM$1)+0.08333333333*SUMIFS(الريسبي!$C$2:$C$1800,الريسبي!$A$2:$A$1800,$A178,الريسبي!$B$2:$B$1800,"عجين كريب (مصنع بالمطعم)")+0.08333333333*SUMIFS(الريسبي!$C$2:$C$1800,الريسبي!$A$2:$A$1800,$A178,الريسبي!$B$2:$B$1800,"عجين كريب صيامي (بدون لبن)")</f>
        <v>0</v>
      </c>
      <c r="AN178" s="117" t="n">
        <f aca="false">SUMIFS(الريسبي!$C$2:$C$1800,الريسبي!$A$2:$A$1800,$A178,الريسبي!$B$2:$B$1800,AN$1)+0.004166666667*SUMIFS(الريسبي!$C$2:$C$1800,الريسبي!$A$2:$A$1800,$A178,الريسبي!$B$2:$B$1800,"عجين كريب (مصنع بالمطعم)")+0.004166666667*SUMIFS(الريسبي!$C$2:$C$1800,الريسبي!$A$2:$A$1800,$A178,الريسبي!$B$2:$B$1800,"عجين كريب صيامي (بدون لبن)")</f>
        <v>0</v>
      </c>
      <c r="AO178" s="117" t="n">
        <f aca="false">SUMIFS(الريسبي!$C$2:$C$1800,الريسبي!$A$2:$A$1800,$A178,الريسبي!$B$2:$B$1800,AO$1)</f>
        <v>0</v>
      </c>
      <c r="AP178" s="117" t="n">
        <f aca="false">SUMIFS(الريسبي!$C$2:$C$1800,الريسبي!$A$2:$A$1800,$A178,الريسبي!$B$2:$B$1800,AP$1)</f>
        <v>0</v>
      </c>
      <c r="AQ178" s="117" t="n">
        <f aca="false">SUMIFS(الريسبي!$C$2:$C$1800,الريسبي!$A$2:$A$1800,$A178,الريسبي!$B$2:$B$1800,AQ$1)+0.004166666667*SUMIFS(الريسبي!$C$2:$C$1800,الريسبي!$A$2:$A$1800,$A178,الريسبي!$B$2:$B$1800,"عجين كريب (مصنع بالمطعم)")+0.004166666667*SUMIFS(الريسبي!$C$2:$C$1800,الريسبي!$A$2:$A$1800,$A178,الريسبي!$B$2:$B$1800,"عجين كريب صيامي (بدون لبن)")</f>
        <v>0</v>
      </c>
      <c r="AR178" s="117" t="n">
        <f aca="false">SUMIFS(الريسبي!$C$2:$C$1800,الريسبي!$A$2:$A$1800,$A178,الريسبي!$B$2:$B$1800,AR$1)</f>
        <v>0</v>
      </c>
      <c r="AS178" s="117" t="n">
        <f aca="false">SUMIFS(الريسبي!$C$2:$C$1800,الريسبي!$A$2:$A$1800,$A178,الريسبي!$B$2:$B$1800,AS$1)</f>
        <v>0</v>
      </c>
      <c r="AT178" s="117" t="n">
        <f aca="false">SUMIFS(الريسبي!$C$2:$C$1800,الريسبي!$A$2:$A$1800,$A178,الريسبي!$B$2:$B$1800,AT$1)</f>
        <v>0</v>
      </c>
      <c r="AU178" s="117" t="n">
        <f aca="false">SUMIFS(الريسبي!$C$2:$C$1800,الريسبي!$A$2:$A$1800,$A178,الريسبي!$B$2:$B$1800,AU$1)</f>
        <v>0</v>
      </c>
      <c r="AV178" s="117" t="n">
        <f aca="false">SUMIFS(الريسبي!$C$2:$C$1800,الريسبي!$A$2:$A$1800,$A178,الريسبي!$B$2:$B$1800,AV$1)</f>
        <v>0</v>
      </c>
      <c r="AW178" s="117" t="n">
        <f aca="false">SUMIFS(الريسبي!$C$2:$C$1800,الريسبي!$A$2:$A$1800,$A178,الريسبي!$B$2:$B$1800,AW$1)</f>
        <v>0</v>
      </c>
      <c r="AX178" s="117" t="n">
        <f aca="false">SUMIFS(الريسبي!$C$2:$C$1800,الريسبي!$A$2:$A$1800,$A178,الريسبي!$B$2:$B$1800,AX$1)</f>
        <v>0</v>
      </c>
      <c r="AY178" s="117" t="n">
        <f aca="false">SUMIFS(الريسبي!$C$2:$C$1800,الريسبي!$A$2:$A$1800,$A178,الريسبي!$B$2:$B$1800,AY$1)</f>
        <v>0</v>
      </c>
      <c r="AZ178" s="117" t="n">
        <f aca="false">SUMIFS(الريسبي!$C$2:$C$1800,الريسبي!$A$2:$A$1800,$A178,الريسبي!$B$2:$B$1800,AZ$1)</f>
        <v>0</v>
      </c>
      <c r="BA178" s="117" t="n">
        <f aca="false">SUMIFS(الريسبي!$C$2:$C$1800,الريسبي!$A$2:$A$1800,$A178,الريسبي!$B$2:$B$1800,BA$1)</f>
        <v>0</v>
      </c>
      <c r="BB178" s="117" t="n">
        <f aca="false">SUMIFS(الريسبي!$C$2:$C$1800,الريسبي!$A$2:$A$1800,$A178,الريسبي!$B$2:$B$1800,BB$1)</f>
        <v>0</v>
      </c>
      <c r="BC178" s="117" t="n">
        <f aca="false">SUMIFS(الريسبي!$C$2:$C$1800,الريسبي!$A$2:$A$1800,$A178,الريسبي!$B$2:$B$1800,BC$1)</f>
        <v>0</v>
      </c>
      <c r="BD178" s="117" t="n">
        <f aca="false">SUMIFS(الريسبي!$C$2:$C$1800,الريسبي!$A$2:$A$1800,$A178,الريسبي!$B$2:$B$1800,BD$1)</f>
        <v>0</v>
      </c>
      <c r="BE178" s="117" t="n">
        <f aca="false">SUMIFS(الريسبي!$C$2:$C$1800,الريسبي!$A$2:$A$1800,$A178,الريسبي!$B$2:$B$1800,BE$1)</f>
        <v>0</v>
      </c>
      <c r="BF178" s="117" t="n">
        <f aca="false">SUMIFS(الريسبي!$C$2:$C$1800,الريسبي!$A$2:$A$1800,$A178,الريسبي!$B$2:$B$1800,BF$1)</f>
        <v>0</v>
      </c>
      <c r="BG178" s="117" t="n">
        <f aca="false">SUMIFS(الريسبي!$C$2:$C$1800,الريسبي!$A$2:$A$1800,$A178,الريسبي!$B$2:$B$1800,BG$1)</f>
        <v>0</v>
      </c>
      <c r="BH178" s="117" t="n">
        <f aca="false">SUMIFS(الريسبي!$C$2:$C$1800,الريسبي!$A$2:$A$1800,$A178,الريسبي!$B$2:$B$1800,BH$1)</f>
        <v>0</v>
      </c>
      <c r="BI178" s="117" t="n">
        <f aca="false">SUMIFS(الريسبي!$C$2:$C$1800,الريسبي!$A$2:$A$1800,$A178,الريسبي!$B$2:$B$1800,BI$1)</f>
        <v>0</v>
      </c>
      <c r="BJ178" s="117" t="n">
        <f aca="false">SUMIFS(الريسبي!$C$2:$C$1800,الريسبي!$A$2:$A$1800,$A178,الريسبي!$B$2:$B$1800,BJ$1)</f>
        <v>0</v>
      </c>
      <c r="BK178" s="117" t="n">
        <f aca="false">SUMIFS(الريسبي!$C$2:$C$1800,الريسبي!$A$2:$A$1800,$A178,الريسبي!$B$2:$B$1800,BK$1)</f>
        <v>0</v>
      </c>
      <c r="BL178" s="117" t="n">
        <f aca="false">SUMIFS(الريسبي!$C$2:$C$1800,الريسبي!$A$2:$A$1800,$A178,الريسبي!$B$2:$B$1800,BL$1)</f>
        <v>0</v>
      </c>
      <c r="BM178" s="117" t="n">
        <f aca="false">SUMIFS(الريسبي!$C$2:$C$1800,الريسبي!$A$2:$A$1800,$A178,الريسبي!$B$2:$B$1800,BM$1)</f>
        <v>0</v>
      </c>
      <c r="BN178" s="117" t="n">
        <f aca="false">SUMIFS(الريسبي!$C$2:$C$1800,الريسبي!$A$2:$A$1800,$A178,الريسبي!$B$2:$B$1800,BN$1)</f>
        <v>0</v>
      </c>
      <c r="BO178" s="117" t="n">
        <f aca="false">SUMIFS(الريسبي!$C$2:$C$1800,الريسبي!$A$2:$A$1800,$A178,الريسبي!$B$2:$B$1800,BO$1)</f>
        <v>3</v>
      </c>
      <c r="BP178" s="117" t="n">
        <f aca="false">SUMIFS(الريسبي!$C$2:$C$1800,الريسبي!$A$2:$A$1800,$A178,الريسبي!$B$2:$B$1800,BP$1)</f>
        <v>0</v>
      </c>
      <c r="BQ178" s="117" t="n">
        <f aca="false">SUMIFS(الريسبي!$C$2:$C$1800,الريسبي!$A$2:$A$1800,$A178,الريسبي!$B$2:$B$1800,BQ$1)+0.17*SUMIFS(الريسبي!$C$2:$C$1800,الريسبي!$A$2:$A$1800,$A178,الريسبي!$B$2:$B$1800,"كاسترد مصنع (خليط بودر + لبن)")+0.17*SUMIFS(الريسبي!$C$2:$C$1800,الريسبي!$A$2:$A$1800,$A178,الريسبي!$B$2:$B$1800,"كاسترد مصنع صيامي (بدون لبن)")</f>
        <v>0</v>
      </c>
      <c r="BR178" s="117" t="n">
        <f aca="false">SUMIFS(الريسبي!$C$2:$C$1800,الريسبي!$A$2:$A$1800,$A178,الريسبي!$B$2:$B$1800,BR$1)</f>
        <v>0</v>
      </c>
      <c r="BS178" s="117" t="n">
        <f aca="false">SUMIFS(الريسبي!$C$2:$C$1800,الريسبي!$A$2:$A$1800,$A178,الريسبي!$B$2:$B$1800,BS$1)</f>
        <v>0</v>
      </c>
      <c r="BT178" s="117" t="n">
        <f aca="false">SUMIFS(الريسبي!$C$2:$C$1800,الريسبي!$A$2:$A$1800,$A178,الريسبي!$B$2:$B$1800,BT$1)</f>
        <v>0</v>
      </c>
      <c r="BU178" s="117" t="n">
        <f aca="false">SUMIFS(الريسبي!$C$2:$C$1800,الريسبي!$A$2:$A$1800,$A178,الريسبي!$B$2:$B$1800,BU$1)+0.4*SUMIFS(الريسبي!$C$2:$C$1800,الريسبي!$A$2:$A$1800,$A178,الريسبي!$B$2:$B$1800,"كاسترد مصنع (خليط بودر + لبن)")+0.03333333333*SUMIFS(الريسبي!$C$2:$C$1800,الريسبي!$A$2:$A$1800,$A178,الريسبي!$B$2:$B$1800,"عجين كريب (مصنع بالمطعم)")</f>
        <v>0</v>
      </c>
      <c r="BV178" s="117" t="n">
        <f aca="false">SUMIFS(الريسبي!$C$2:$C$1800,الريسبي!$A$2:$A$1800,$A178,الريسبي!$B$2:$B$1800,BV$1)</f>
        <v>0</v>
      </c>
      <c r="BW178" s="117" t="n">
        <f aca="false">SUMIFS(الريسبي!$C$2:$C$1800,الريسبي!$A$2:$A$1800,$A178,الريسبي!$B$2:$B$1800,BW$1)</f>
        <v>0</v>
      </c>
      <c r="BX178" s="117" t="n">
        <f aca="false">SUMIFS(الريسبي!$C$2:$C$1800,الريسبي!$A$2:$A$1800,$A178,الريسبي!$B$2:$B$1800,BX$1)</f>
        <v>0</v>
      </c>
      <c r="BY178" s="117" t="n">
        <f aca="false">SUMIFS(الريسبي!$C$2:$C$1800,الريسبي!$A$2:$A$1800,$A178,الريسبي!$B$2:$B$1800,BY$1)</f>
        <v>0</v>
      </c>
      <c r="BZ178" s="117" t="n">
        <f aca="false">SUMIFS(الريسبي!$C$2:$C$1800,الريسبي!$A$2:$A$1800,$A178,الريسبي!$B$2:$B$1800,BZ$1)</f>
        <v>0</v>
      </c>
      <c r="CA178" s="117" t="n">
        <f aca="false">SUMIFS(الريسبي!$C$2:$C$1800,الريسبي!$A$2:$A$1800,$A178,الريسبي!$B$2:$B$1800,CA$1)</f>
        <v>0</v>
      </c>
      <c r="CB178" s="117" t="n">
        <f aca="false">SUMIFS(الريسبي!$C$2:$C$1800,الريسبي!$A$2:$A$1800,$A178,الريسبي!$B$2:$B$1800,CB$1)</f>
        <v>0</v>
      </c>
      <c r="CC178" s="117" t="n">
        <f aca="false">SUMIFS(الريسبي!$C$2:$C$1800,الريسبي!$A$2:$A$1800,$A178,الريسبي!$B$2:$B$1800,CC$1)</f>
        <v>0</v>
      </c>
      <c r="CD178" s="117" t="n">
        <f aca="false">SUMIFS(الريسبي!$C$2:$C$1800,الريسبي!$A$2:$A$1800,$A178,الريسبي!$B$2:$B$1800,CD$1)</f>
        <v>0</v>
      </c>
      <c r="CE178" s="117" t="n">
        <f aca="false">SUMIFS(الريسبي!$C$2:$C$1800,الريسبي!$A$2:$A$1800,$A178,الريسبي!$B$2:$B$1800,CE$1)</f>
        <v>0</v>
      </c>
      <c r="CF178" s="117" t="n">
        <f aca="false">SUMIFS(الريسبي!$C$2:$C$1800,الريسبي!$A$2:$A$1800,$A178,الريسبي!$B$2:$B$1800,CF$1)</f>
        <v>0</v>
      </c>
      <c r="CG178" s="117" t="n">
        <f aca="false">SUMIFS(الريسبي!$C$2:$C$1800,الريسبي!$A$2:$A$1800,$A178,الريسبي!$B$2:$B$1800,CG$1)</f>
        <v>0</v>
      </c>
      <c r="CH178" s="117" t="n">
        <f aca="false">SUMIFS(الريسبي!$C$2:$C$1800,الريسبي!$A$2:$A$1800,$A178,الريسبي!$B$2:$B$1800,CH$1)</f>
        <v>0</v>
      </c>
      <c r="CI178" s="117" t="n">
        <f aca="false">SUMIFS(الريسبي!$C$2:$C$1800,الريسبي!$A$2:$A$1800,$A178,الريسبي!$B$2:$B$1800,CI$1)</f>
        <v>0</v>
      </c>
      <c r="CJ178" s="117" t="n">
        <f aca="false">SUMIFS(الريسبي!$C$2:$C$1800,الريسبي!$A$2:$A$1800,$A178,الريسبي!$B$2:$B$1800,CJ$1)</f>
        <v>0</v>
      </c>
      <c r="CK178" s="117" t="n">
        <f aca="false">SUMIFS(الريسبي!$C$2:$C$1800,الريسبي!$A$2:$A$1800,$A178,الريسبي!$B$2:$B$1800,CK$1)</f>
        <v>0</v>
      </c>
      <c r="CL178" s="117" t="n">
        <f aca="false">SUMIFS(الريسبي!$C$2:$C$1800,الريسبي!$A$2:$A$1800,$A178,الريسبي!$B$2:$B$1800,CL$1)</f>
        <v>0</v>
      </c>
    </row>
    <row r="179" customFormat="false" ht="15" hidden="false" customHeight="false" outlineLevel="0" collapsed="false">
      <c r="A179" s="116" t="str">
        <f aca="false">المنيو!B179</f>
        <v>اضافة سدق (بيتزا كبير)</v>
      </c>
      <c r="B179" s="117" t="n">
        <f aca="false">SUMIFS(الريسبي!$C$2:$C$1800,الريسبي!$A$2:$A$1800,$A179,الريسبي!$B$2:$B$1800,B$1)</f>
        <v>0</v>
      </c>
      <c r="C179" s="117" t="n">
        <f aca="false">SUMIFS(الريسبي!$C$2:$C$1800,الريسبي!$A$2:$A$1800,$A179,الريسبي!$B$2:$B$1800,C$1)</f>
        <v>0</v>
      </c>
      <c r="D179" s="117" t="n">
        <f aca="false">SUMIFS(الريسبي!$C$2:$C$1800,الريسبي!$A$2:$A$1800,$A179,الريسبي!$B$2:$B$1800,D$1)</f>
        <v>0</v>
      </c>
      <c r="E179" s="117" t="n">
        <f aca="false">SUMIFS(الريسبي!$C$2:$C$1800,الريسبي!$A$2:$A$1800,$A179,الريسبي!$B$2:$B$1800,E$1)</f>
        <v>0</v>
      </c>
      <c r="F179" s="117" t="n">
        <f aca="false">SUMIFS(الريسبي!$C$2:$C$1800,الريسبي!$A$2:$A$1800,$A179,الريسبي!$B$2:$B$1800,F$1)</f>
        <v>0</v>
      </c>
      <c r="G179" s="117" t="n">
        <f aca="false">SUMIFS(الريسبي!$C$2:$C$1800,الريسبي!$A$2:$A$1800,$A179,الريسبي!$B$2:$B$1800,G$1)</f>
        <v>0</v>
      </c>
      <c r="H179" s="117" t="n">
        <f aca="false">SUMIFS(الريسبي!$C$2:$C$1800,الريسبي!$A$2:$A$1800,$A179,الريسبي!$B$2:$B$1800,H$1)</f>
        <v>0</v>
      </c>
      <c r="I179" s="117" t="n">
        <f aca="false">SUMIFS(الريسبي!$C$2:$C$1800,الريسبي!$A$2:$A$1800,$A179,الريسبي!$B$2:$B$1800,I$1)</f>
        <v>0</v>
      </c>
      <c r="J179" s="117" t="n">
        <f aca="false">SUMIFS(الريسبي!$C$2:$C$1800,الريسبي!$A$2:$A$1800,$A179,الريسبي!$B$2:$B$1800,J$1)</f>
        <v>0</v>
      </c>
      <c r="K179" s="117" t="n">
        <f aca="false">SUMIFS(الريسبي!$C$2:$C$1800,الريسبي!$A$2:$A$1800,$A179,الريسبي!$B$2:$B$1800,K$1)</f>
        <v>0</v>
      </c>
      <c r="L179" s="117" t="n">
        <f aca="false">SUMIFS(الريسبي!$C$2:$C$1800,الريسبي!$A$2:$A$1800,$A179,الريسبي!$B$2:$B$1800,L$1)</f>
        <v>0</v>
      </c>
      <c r="M179" s="117" t="n">
        <f aca="false">SUMIFS(الريسبي!$C$2:$C$1800,الريسبي!$A$2:$A$1800,$A179,الريسبي!$B$2:$B$1800,M$1)</f>
        <v>1</v>
      </c>
      <c r="N179" s="117" t="n">
        <f aca="false">SUMIFS(الريسبي!$C$2:$C$1800,الريسبي!$A$2:$A$1800,$A179,الريسبي!$B$2:$B$1800,N$1)</f>
        <v>0</v>
      </c>
      <c r="O179" s="117" t="n">
        <f aca="false">SUMIFS(الريسبي!$C$2:$C$1800,الريسبي!$A$2:$A$1800,$A179,الريسبي!$B$2:$B$1800,O$1)</f>
        <v>0</v>
      </c>
      <c r="P179" s="117" t="n">
        <f aca="false">SUMIFS(الريسبي!$C$2:$C$1800,الريسبي!$A$2:$A$1800,$A179,الريسبي!$B$2:$B$1800,P$1)</f>
        <v>0</v>
      </c>
      <c r="Q179" s="117" t="n">
        <f aca="false">SUMIFS(الريسبي!$C$2:$C$1800,الريسبي!$A$2:$A$1800,$A179,الريسبي!$B$2:$B$1800,Q$1)</f>
        <v>0</v>
      </c>
      <c r="R179" s="117" t="n">
        <f aca="false">SUMIFS(الريسبي!$C$2:$C$1800,الريسبي!$A$2:$A$1800,$A179,الريسبي!$B$2:$B$1800,R$1)</f>
        <v>0</v>
      </c>
      <c r="S179" s="117" t="n">
        <f aca="false">SUMIFS(الريسبي!$C$2:$C$1800,الريسبي!$A$2:$A$1800,$A179,الريسبي!$B$2:$B$1800,S$1)</f>
        <v>0</v>
      </c>
      <c r="T179" s="117" t="n">
        <f aca="false">SUMIFS(الريسبي!$C$2:$C$1800,الريسبي!$A$2:$A$1800,$A179,الريسبي!$B$2:$B$1800,T$1)</f>
        <v>0</v>
      </c>
      <c r="U179" s="117" t="n">
        <f aca="false">SUMIFS(الريسبي!$C$2:$C$1800,الريسبي!$A$2:$A$1800,$A179,الريسبي!$B$2:$B$1800,U$1)</f>
        <v>0</v>
      </c>
      <c r="V179" s="117" t="n">
        <f aca="false">SUMIFS(الريسبي!$C$2:$C$1800,الريسبي!$A$2:$A$1800,$A179,الريسبي!$B$2:$B$1800,V$1)+1.5*(SUMIFS(الريسبي!$C$2:$C$1800,الريسبي!$A$2:$A$1800,$A179,الريسبي!$B$2:$B$1800,"برسيون موتزريلا بيتزا كبير"))</f>
        <v>0</v>
      </c>
      <c r="W179" s="117" t="n">
        <f aca="false">0</f>
        <v>0</v>
      </c>
      <c r="X179" s="117" t="n">
        <f aca="false">SUMIFS(الريسبي!$C$2:$C$1800,الريسبي!$A$2:$A$1800,$A179,الريسبي!$B$2:$B$1800,X$1)+1.5*(SUMIFS(الريسبي!$C$2:$C$1800,الريسبي!$A$2:$A$1800,$A179,الريسبي!$B$2:$B$1800,"برسيون موتزريلا فطير كبير"))</f>
        <v>0</v>
      </c>
      <c r="Y179" s="117" t="n">
        <f aca="false">0</f>
        <v>0</v>
      </c>
      <c r="Z179" s="117" t="n">
        <f aca="false">SUMIFS(الريسبي!$C$2:$C$1800,الريسبي!$A$2:$A$1800,$A179,الريسبي!$B$2:$B$1800,Z$1)</f>
        <v>0</v>
      </c>
      <c r="AA179" s="117" t="n">
        <f aca="false">SUMIFS(الريسبي!$C$2:$C$1800,الريسبي!$A$2:$A$1800,$A179,الريسبي!$B$2:$B$1800,AA$1)</f>
        <v>0</v>
      </c>
      <c r="AB179" s="117" t="n">
        <f aca="false">SUMIFS(الريسبي!$C$2:$C$1800,الريسبي!$A$2:$A$1800,$A179,الريسبي!$B$2:$B$1800,AB$1)</f>
        <v>0</v>
      </c>
      <c r="AC179" s="117" t="n">
        <f aca="false">SUMIFS(الريسبي!$C$2:$C$1800,الريسبي!$A$2:$A$1800,$A179,الريسبي!$B$2:$B$1800,AC$1)</f>
        <v>0</v>
      </c>
      <c r="AD179" s="117" t="n">
        <f aca="false">SUMIFS(الريسبي!$C$2:$C$1800,الريسبي!$A$2:$A$1800,$A179,الريسبي!$B$2:$B$1800,AD$1)</f>
        <v>0</v>
      </c>
      <c r="AE179" s="117" t="n">
        <f aca="false">SUMIFS(الريسبي!$C$2:$C$1800,الريسبي!$A$2:$A$1800,$A179,الريسبي!$B$2:$B$1800,AE$1)</f>
        <v>0</v>
      </c>
      <c r="AF179" s="117" t="n">
        <f aca="false">SUMIFS(الريسبي!$C$2:$C$1800,الريسبي!$A$2:$A$1800,$A179,الريسبي!$B$2:$B$1800,AF$1)</f>
        <v>0</v>
      </c>
      <c r="AG179" s="117" t="n">
        <f aca="false">SUMIFS(الريسبي!$C$2:$C$1800,الريسبي!$A$2:$A$1800,$A179,الريسبي!$B$2:$B$1800,AG$1)</f>
        <v>0</v>
      </c>
      <c r="AH179" s="117" t="n">
        <f aca="false">SUMIFS(الريسبي!$C$2:$C$1800,الريسبي!$A$2:$A$1800,$A179,الريسبي!$B$2:$B$1800,AH$1)</f>
        <v>0</v>
      </c>
      <c r="AI179" s="117" t="n">
        <f aca="false">SUMIFS(الريسبي!$C$2:$C$1800,الريسبي!$A$2:$A$1800,$A179,الريسبي!$B$2:$B$1800,AI$1)</f>
        <v>0</v>
      </c>
      <c r="AJ179" s="117" t="n">
        <f aca="false">SUMIFS(الريسبي!$C$2:$C$1800,الريسبي!$A$2:$A$1800,$A179,الريسبي!$B$2:$B$1800,AJ$1)</f>
        <v>0</v>
      </c>
      <c r="AK179" s="117" t="n">
        <f aca="false">SUMIFS(الريسبي!$C$2:$C$1800,الريسبي!$A$2:$A$1800,$A179,الريسبي!$B$2:$B$1800,AK$1)</f>
        <v>0</v>
      </c>
      <c r="AL179" s="117" t="n">
        <f aca="false">SUMIFS(الريسبي!$C$2:$C$1800,الريسبي!$A$2:$A$1800,$A179,الريسبي!$B$2:$B$1800,AL$1)</f>
        <v>0</v>
      </c>
      <c r="AM179" s="117" t="n">
        <f aca="false">SUMIFS(الريسبي!$C$2:$C$1800,الريسبي!$A$2:$A$1800,$A179,الريسبي!$B$2:$B$1800,AM$1)+0.08333333333*SUMIFS(الريسبي!$C$2:$C$1800,الريسبي!$A$2:$A$1800,$A179,الريسبي!$B$2:$B$1800,"عجين كريب (مصنع بالمطعم)")+0.08333333333*SUMIFS(الريسبي!$C$2:$C$1800,الريسبي!$A$2:$A$1800,$A179,الريسبي!$B$2:$B$1800,"عجين كريب صيامي (بدون لبن)")</f>
        <v>0</v>
      </c>
      <c r="AN179" s="117" t="n">
        <f aca="false">SUMIFS(الريسبي!$C$2:$C$1800,الريسبي!$A$2:$A$1800,$A179,الريسبي!$B$2:$B$1800,AN$1)+0.004166666667*SUMIFS(الريسبي!$C$2:$C$1800,الريسبي!$A$2:$A$1800,$A179,الريسبي!$B$2:$B$1800,"عجين كريب (مصنع بالمطعم)")+0.004166666667*SUMIFS(الريسبي!$C$2:$C$1800,الريسبي!$A$2:$A$1800,$A179,الريسبي!$B$2:$B$1800,"عجين كريب صيامي (بدون لبن)")</f>
        <v>0</v>
      </c>
      <c r="AO179" s="117" t="n">
        <f aca="false">SUMIFS(الريسبي!$C$2:$C$1800,الريسبي!$A$2:$A$1800,$A179,الريسبي!$B$2:$B$1800,AO$1)</f>
        <v>0</v>
      </c>
      <c r="AP179" s="117" t="n">
        <f aca="false">SUMIFS(الريسبي!$C$2:$C$1800,الريسبي!$A$2:$A$1800,$A179,الريسبي!$B$2:$B$1800,AP$1)</f>
        <v>0</v>
      </c>
      <c r="AQ179" s="117" t="n">
        <f aca="false">SUMIFS(الريسبي!$C$2:$C$1800,الريسبي!$A$2:$A$1800,$A179,الريسبي!$B$2:$B$1800,AQ$1)+0.004166666667*SUMIFS(الريسبي!$C$2:$C$1800,الريسبي!$A$2:$A$1800,$A179,الريسبي!$B$2:$B$1800,"عجين كريب (مصنع بالمطعم)")+0.004166666667*SUMIFS(الريسبي!$C$2:$C$1800,الريسبي!$A$2:$A$1800,$A179,الريسبي!$B$2:$B$1800,"عجين كريب صيامي (بدون لبن)")</f>
        <v>0</v>
      </c>
      <c r="AR179" s="117" t="n">
        <f aca="false">SUMIFS(الريسبي!$C$2:$C$1800,الريسبي!$A$2:$A$1800,$A179,الريسبي!$B$2:$B$1800,AR$1)</f>
        <v>0</v>
      </c>
      <c r="AS179" s="117" t="n">
        <f aca="false">SUMIFS(الريسبي!$C$2:$C$1800,الريسبي!$A$2:$A$1800,$A179,الريسبي!$B$2:$B$1800,AS$1)</f>
        <v>0</v>
      </c>
      <c r="AT179" s="117" t="n">
        <f aca="false">SUMIFS(الريسبي!$C$2:$C$1800,الريسبي!$A$2:$A$1800,$A179,الريسبي!$B$2:$B$1800,AT$1)</f>
        <v>0</v>
      </c>
      <c r="AU179" s="117" t="n">
        <f aca="false">SUMIFS(الريسبي!$C$2:$C$1800,الريسبي!$A$2:$A$1800,$A179,الريسبي!$B$2:$B$1800,AU$1)</f>
        <v>0</v>
      </c>
      <c r="AV179" s="117" t="n">
        <f aca="false">SUMIFS(الريسبي!$C$2:$C$1800,الريسبي!$A$2:$A$1800,$A179,الريسبي!$B$2:$B$1800,AV$1)</f>
        <v>0</v>
      </c>
      <c r="AW179" s="117" t="n">
        <f aca="false">SUMIFS(الريسبي!$C$2:$C$1800,الريسبي!$A$2:$A$1800,$A179,الريسبي!$B$2:$B$1800,AW$1)</f>
        <v>0</v>
      </c>
      <c r="AX179" s="117" t="n">
        <f aca="false">SUMIFS(الريسبي!$C$2:$C$1800,الريسبي!$A$2:$A$1800,$A179,الريسبي!$B$2:$B$1800,AX$1)</f>
        <v>0</v>
      </c>
      <c r="AY179" s="117" t="n">
        <f aca="false">SUMIFS(الريسبي!$C$2:$C$1800,الريسبي!$A$2:$A$1800,$A179,الريسبي!$B$2:$B$1800,AY$1)</f>
        <v>0</v>
      </c>
      <c r="AZ179" s="117" t="n">
        <f aca="false">SUMIFS(الريسبي!$C$2:$C$1800,الريسبي!$A$2:$A$1800,$A179,الريسبي!$B$2:$B$1800,AZ$1)</f>
        <v>0</v>
      </c>
      <c r="BA179" s="117" t="n">
        <f aca="false">SUMIFS(الريسبي!$C$2:$C$1800,الريسبي!$A$2:$A$1800,$A179,الريسبي!$B$2:$B$1800,BA$1)</f>
        <v>0</v>
      </c>
      <c r="BB179" s="117" t="n">
        <f aca="false">SUMIFS(الريسبي!$C$2:$C$1800,الريسبي!$A$2:$A$1800,$A179,الريسبي!$B$2:$B$1800,BB$1)</f>
        <v>0</v>
      </c>
      <c r="BC179" s="117" t="n">
        <f aca="false">SUMIFS(الريسبي!$C$2:$C$1800,الريسبي!$A$2:$A$1800,$A179,الريسبي!$B$2:$B$1800,BC$1)</f>
        <v>0</v>
      </c>
      <c r="BD179" s="117" t="n">
        <f aca="false">SUMIFS(الريسبي!$C$2:$C$1800,الريسبي!$A$2:$A$1800,$A179,الريسبي!$B$2:$B$1800,BD$1)</f>
        <v>0</v>
      </c>
      <c r="BE179" s="117" t="n">
        <f aca="false">SUMIFS(الريسبي!$C$2:$C$1800,الريسبي!$A$2:$A$1800,$A179,الريسبي!$B$2:$B$1800,BE$1)</f>
        <v>0</v>
      </c>
      <c r="BF179" s="117" t="n">
        <f aca="false">SUMIFS(الريسبي!$C$2:$C$1800,الريسبي!$A$2:$A$1800,$A179,الريسبي!$B$2:$B$1800,BF$1)</f>
        <v>0</v>
      </c>
      <c r="BG179" s="117" t="n">
        <f aca="false">SUMIFS(الريسبي!$C$2:$C$1800,الريسبي!$A$2:$A$1800,$A179,الريسبي!$B$2:$B$1800,BG$1)</f>
        <v>0</v>
      </c>
      <c r="BH179" s="117" t="n">
        <f aca="false">SUMIFS(الريسبي!$C$2:$C$1800,الريسبي!$A$2:$A$1800,$A179,الريسبي!$B$2:$B$1800,BH$1)</f>
        <v>0</v>
      </c>
      <c r="BI179" s="117" t="n">
        <f aca="false">SUMIFS(الريسبي!$C$2:$C$1800,الريسبي!$A$2:$A$1800,$A179,الريسبي!$B$2:$B$1800,BI$1)</f>
        <v>0</v>
      </c>
      <c r="BJ179" s="117" t="n">
        <f aca="false">SUMIFS(الريسبي!$C$2:$C$1800,الريسبي!$A$2:$A$1800,$A179,الريسبي!$B$2:$B$1800,BJ$1)</f>
        <v>0</v>
      </c>
      <c r="BK179" s="117" t="n">
        <f aca="false">SUMIFS(الريسبي!$C$2:$C$1800,الريسبي!$A$2:$A$1800,$A179,الريسبي!$B$2:$B$1800,BK$1)</f>
        <v>0</v>
      </c>
      <c r="BL179" s="117" t="n">
        <f aca="false">SUMIFS(الريسبي!$C$2:$C$1800,الريسبي!$A$2:$A$1800,$A179,الريسبي!$B$2:$B$1800,BL$1)</f>
        <v>0</v>
      </c>
      <c r="BM179" s="117" t="n">
        <f aca="false">SUMIFS(الريسبي!$C$2:$C$1800,الريسبي!$A$2:$A$1800,$A179,الريسبي!$B$2:$B$1800,BM$1)</f>
        <v>0</v>
      </c>
      <c r="BN179" s="117" t="n">
        <f aca="false">SUMIFS(الريسبي!$C$2:$C$1800,الريسبي!$A$2:$A$1800,$A179,الريسبي!$B$2:$B$1800,BN$1)</f>
        <v>0</v>
      </c>
      <c r="BO179" s="117" t="n">
        <f aca="false">SUMIFS(الريسبي!$C$2:$C$1800,الريسبي!$A$2:$A$1800,$A179,الريسبي!$B$2:$B$1800,BO$1)</f>
        <v>0</v>
      </c>
      <c r="BP179" s="117" t="n">
        <f aca="false">SUMIFS(الريسبي!$C$2:$C$1800,الريسبي!$A$2:$A$1800,$A179,الريسبي!$B$2:$B$1800,BP$1)</f>
        <v>0</v>
      </c>
      <c r="BQ179" s="117" t="n">
        <f aca="false">SUMIFS(الريسبي!$C$2:$C$1800,الريسبي!$A$2:$A$1800,$A179,الريسبي!$B$2:$B$1800,BQ$1)+0.17*SUMIFS(الريسبي!$C$2:$C$1800,الريسبي!$A$2:$A$1800,$A179,الريسبي!$B$2:$B$1800,"كاسترد مصنع (خليط بودر + لبن)")+0.17*SUMIFS(الريسبي!$C$2:$C$1800,الريسبي!$A$2:$A$1800,$A179,الريسبي!$B$2:$B$1800,"كاسترد مصنع صيامي (بدون لبن)")</f>
        <v>0</v>
      </c>
      <c r="BR179" s="117" t="n">
        <f aca="false">SUMIFS(الريسبي!$C$2:$C$1800,الريسبي!$A$2:$A$1800,$A179,الريسبي!$B$2:$B$1800,BR$1)</f>
        <v>0</v>
      </c>
      <c r="BS179" s="117" t="n">
        <f aca="false">SUMIFS(الريسبي!$C$2:$C$1800,الريسبي!$A$2:$A$1800,$A179,الريسبي!$B$2:$B$1800,BS$1)</f>
        <v>0</v>
      </c>
      <c r="BT179" s="117" t="n">
        <f aca="false">SUMIFS(الريسبي!$C$2:$C$1800,الريسبي!$A$2:$A$1800,$A179,الريسبي!$B$2:$B$1800,BT$1)</f>
        <v>0</v>
      </c>
      <c r="BU179" s="117" t="n">
        <f aca="false">SUMIFS(الريسبي!$C$2:$C$1800,الريسبي!$A$2:$A$1800,$A179,الريسبي!$B$2:$B$1800,BU$1)+0.4*SUMIFS(الريسبي!$C$2:$C$1800,الريسبي!$A$2:$A$1800,$A179,الريسبي!$B$2:$B$1800,"كاسترد مصنع (خليط بودر + لبن)")+0.03333333333*SUMIFS(الريسبي!$C$2:$C$1800,الريسبي!$A$2:$A$1800,$A179,الريسبي!$B$2:$B$1800,"عجين كريب (مصنع بالمطعم)")</f>
        <v>0</v>
      </c>
      <c r="BV179" s="117" t="n">
        <f aca="false">SUMIFS(الريسبي!$C$2:$C$1800,الريسبي!$A$2:$A$1800,$A179,الريسبي!$B$2:$B$1800,BV$1)</f>
        <v>0</v>
      </c>
      <c r="BW179" s="117" t="n">
        <f aca="false">SUMIFS(الريسبي!$C$2:$C$1800,الريسبي!$A$2:$A$1800,$A179,الريسبي!$B$2:$B$1800,BW$1)</f>
        <v>0</v>
      </c>
      <c r="BX179" s="117" t="n">
        <f aca="false">SUMIFS(الريسبي!$C$2:$C$1800,الريسبي!$A$2:$A$1800,$A179,الريسبي!$B$2:$B$1800,BX$1)</f>
        <v>0</v>
      </c>
      <c r="BY179" s="117" t="n">
        <f aca="false">SUMIFS(الريسبي!$C$2:$C$1800,الريسبي!$A$2:$A$1800,$A179,الريسبي!$B$2:$B$1800,BY$1)</f>
        <v>0</v>
      </c>
      <c r="BZ179" s="117" t="n">
        <f aca="false">SUMIFS(الريسبي!$C$2:$C$1800,الريسبي!$A$2:$A$1800,$A179,الريسبي!$B$2:$B$1800,BZ$1)</f>
        <v>0</v>
      </c>
      <c r="CA179" s="117" t="n">
        <f aca="false">SUMIFS(الريسبي!$C$2:$C$1800,الريسبي!$A$2:$A$1800,$A179,الريسبي!$B$2:$B$1800,CA$1)</f>
        <v>0</v>
      </c>
      <c r="CB179" s="117" t="n">
        <f aca="false">SUMIFS(الريسبي!$C$2:$C$1800,الريسبي!$A$2:$A$1800,$A179,الريسبي!$B$2:$B$1800,CB$1)</f>
        <v>0</v>
      </c>
      <c r="CC179" s="117" t="n">
        <f aca="false">SUMIFS(الريسبي!$C$2:$C$1800,الريسبي!$A$2:$A$1800,$A179,الريسبي!$B$2:$B$1800,CC$1)</f>
        <v>0</v>
      </c>
      <c r="CD179" s="117" t="n">
        <f aca="false">SUMIFS(الريسبي!$C$2:$C$1800,الريسبي!$A$2:$A$1800,$A179,الريسبي!$B$2:$B$1800,CD$1)</f>
        <v>0</v>
      </c>
      <c r="CE179" s="117" t="n">
        <f aca="false">SUMIFS(الريسبي!$C$2:$C$1800,الريسبي!$A$2:$A$1800,$A179,الريسبي!$B$2:$B$1800,CE$1)</f>
        <v>0</v>
      </c>
      <c r="CF179" s="117" t="n">
        <f aca="false">SUMIFS(الريسبي!$C$2:$C$1800,الريسبي!$A$2:$A$1800,$A179,الريسبي!$B$2:$B$1800,CF$1)</f>
        <v>0</v>
      </c>
      <c r="CG179" s="117" t="n">
        <f aca="false">SUMIFS(الريسبي!$C$2:$C$1800,الريسبي!$A$2:$A$1800,$A179,الريسبي!$B$2:$B$1800,CG$1)</f>
        <v>0</v>
      </c>
      <c r="CH179" s="117" t="n">
        <f aca="false">SUMIFS(الريسبي!$C$2:$C$1800,الريسبي!$A$2:$A$1800,$A179,الريسبي!$B$2:$B$1800,CH$1)</f>
        <v>0</v>
      </c>
      <c r="CI179" s="117" t="n">
        <f aca="false">SUMIFS(الريسبي!$C$2:$C$1800,الريسبي!$A$2:$A$1800,$A179,الريسبي!$B$2:$B$1800,CI$1)</f>
        <v>0</v>
      </c>
      <c r="CJ179" s="117" t="n">
        <f aca="false">SUMIFS(الريسبي!$C$2:$C$1800,الريسبي!$A$2:$A$1800,$A179,الريسبي!$B$2:$B$1800,CJ$1)</f>
        <v>0</v>
      </c>
      <c r="CK179" s="117" t="n">
        <f aca="false">SUMIFS(الريسبي!$C$2:$C$1800,الريسبي!$A$2:$A$1800,$A179,الريسبي!$B$2:$B$1800,CK$1)</f>
        <v>0</v>
      </c>
      <c r="CL179" s="117" t="n">
        <f aca="false">SUMIFS(الريسبي!$C$2:$C$1800,الريسبي!$A$2:$A$1800,$A179,الريسبي!$B$2:$B$1800,CL$1)</f>
        <v>0</v>
      </c>
    </row>
    <row r="180" customFormat="false" ht="15" hidden="false" customHeight="false" outlineLevel="0" collapsed="false">
      <c r="A180" s="116" t="str">
        <f aca="false">المنيو!B180</f>
        <v>اضافة فراخ كريسبي (بيتزا كبير)</v>
      </c>
      <c r="B180" s="117" t="n">
        <f aca="false">SUMIFS(الريسبي!$C$2:$C$1800,الريسبي!$A$2:$A$1800,$A180,الريسبي!$B$2:$B$1800,B$1)</f>
        <v>0</v>
      </c>
      <c r="C180" s="117" t="n">
        <f aca="false">SUMIFS(الريسبي!$C$2:$C$1800,الريسبي!$A$2:$A$1800,$A180,الريسبي!$B$2:$B$1800,C$1)</f>
        <v>0</v>
      </c>
      <c r="D180" s="117" t="n">
        <f aca="false">SUMIFS(الريسبي!$C$2:$C$1800,الريسبي!$A$2:$A$1800,$A180,الريسبي!$B$2:$B$1800,D$1)</f>
        <v>0</v>
      </c>
      <c r="E180" s="117" t="n">
        <f aca="false">SUMIFS(الريسبي!$C$2:$C$1800,الريسبي!$A$2:$A$1800,$A180,الريسبي!$B$2:$B$1800,E$1)</f>
        <v>0</v>
      </c>
      <c r="F180" s="117" t="n">
        <f aca="false">SUMIFS(الريسبي!$C$2:$C$1800,الريسبي!$A$2:$A$1800,$A180,الريسبي!$B$2:$B$1800,F$1)</f>
        <v>0</v>
      </c>
      <c r="G180" s="117" t="n">
        <f aca="false">SUMIFS(الريسبي!$C$2:$C$1800,الريسبي!$A$2:$A$1800,$A180,الريسبي!$B$2:$B$1800,G$1)</f>
        <v>0</v>
      </c>
      <c r="H180" s="117" t="n">
        <f aca="false">SUMIFS(الريسبي!$C$2:$C$1800,الريسبي!$A$2:$A$1800,$A180,الريسبي!$B$2:$B$1800,H$1)</f>
        <v>0</v>
      </c>
      <c r="I180" s="117" t="n">
        <f aca="false">SUMIFS(الريسبي!$C$2:$C$1800,الريسبي!$A$2:$A$1800,$A180,الريسبي!$B$2:$B$1800,I$1)</f>
        <v>0</v>
      </c>
      <c r="J180" s="117" t="n">
        <f aca="false">SUMIFS(الريسبي!$C$2:$C$1800,الريسبي!$A$2:$A$1800,$A180,الريسبي!$B$2:$B$1800,J$1)</f>
        <v>0</v>
      </c>
      <c r="K180" s="117" t="n">
        <f aca="false">SUMIFS(الريسبي!$C$2:$C$1800,الريسبي!$A$2:$A$1800,$A180,الريسبي!$B$2:$B$1800,K$1)</f>
        <v>0</v>
      </c>
      <c r="L180" s="117" t="n">
        <f aca="false">SUMIFS(الريسبي!$C$2:$C$1800,الريسبي!$A$2:$A$1800,$A180,الريسبي!$B$2:$B$1800,L$1)</f>
        <v>0</v>
      </c>
      <c r="M180" s="117" t="n">
        <f aca="false">SUMIFS(الريسبي!$C$2:$C$1800,الريسبي!$A$2:$A$1800,$A180,الريسبي!$B$2:$B$1800,M$1)</f>
        <v>0</v>
      </c>
      <c r="N180" s="117" t="n">
        <f aca="false">SUMIFS(الريسبي!$C$2:$C$1800,الريسبي!$A$2:$A$1800,$A180,الريسبي!$B$2:$B$1800,N$1)</f>
        <v>0</v>
      </c>
      <c r="O180" s="117" t="n">
        <f aca="false">SUMIFS(الريسبي!$C$2:$C$1800,الريسبي!$A$2:$A$1800,$A180,الريسبي!$B$2:$B$1800,O$1)</f>
        <v>0</v>
      </c>
      <c r="P180" s="117" t="n">
        <f aca="false">SUMIFS(الريسبي!$C$2:$C$1800,الريسبي!$A$2:$A$1800,$A180,الريسبي!$B$2:$B$1800,P$1)</f>
        <v>0</v>
      </c>
      <c r="Q180" s="117" t="n">
        <f aca="false">SUMIFS(الريسبي!$C$2:$C$1800,الريسبي!$A$2:$A$1800,$A180,الريسبي!$B$2:$B$1800,Q$1)</f>
        <v>0</v>
      </c>
      <c r="R180" s="117" t="n">
        <f aca="false">SUMIFS(الريسبي!$C$2:$C$1800,الريسبي!$A$2:$A$1800,$A180,الريسبي!$B$2:$B$1800,R$1)</f>
        <v>1</v>
      </c>
      <c r="S180" s="117" t="n">
        <f aca="false">SUMIFS(الريسبي!$C$2:$C$1800,الريسبي!$A$2:$A$1800,$A180,الريسبي!$B$2:$B$1800,S$1)</f>
        <v>0</v>
      </c>
      <c r="T180" s="117" t="n">
        <f aca="false">SUMIFS(الريسبي!$C$2:$C$1800,الريسبي!$A$2:$A$1800,$A180,الريسبي!$B$2:$B$1800,T$1)</f>
        <v>0</v>
      </c>
      <c r="U180" s="117" t="n">
        <f aca="false">SUMIFS(الريسبي!$C$2:$C$1800,الريسبي!$A$2:$A$1800,$A180,الريسبي!$B$2:$B$1800,U$1)</f>
        <v>0</v>
      </c>
      <c r="V180" s="117" t="n">
        <f aca="false">SUMIFS(الريسبي!$C$2:$C$1800,الريسبي!$A$2:$A$1800,$A180,الريسبي!$B$2:$B$1800,V$1)+1.5*(SUMIFS(الريسبي!$C$2:$C$1800,الريسبي!$A$2:$A$1800,$A180,الريسبي!$B$2:$B$1800,"برسيون موتزريلا بيتزا كبير"))</f>
        <v>0</v>
      </c>
      <c r="W180" s="117" t="n">
        <f aca="false">0</f>
        <v>0</v>
      </c>
      <c r="X180" s="117" t="n">
        <f aca="false">SUMIFS(الريسبي!$C$2:$C$1800,الريسبي!$A$2:$A$1800,$A180,الريسبي!$B$2:$B$1800,X$1)+1.5*(SUMIFS(الريسبي!$C$2:$C$1800,الريسبي!$A$2:$A$1800,$A180,الريسبي!$B$2:$B$1800,"برسيون موتزريلا فطير كبير"))</f>
        <v>0</v>
      </c>
      <c r="Y180" s="117" t="n">
        <f aca="false">0</f>
        <v>0</v>
      </c>
      <c r="Z180" s="117" t="n">
        <f aca="false">SUMIFS(الريسبي!$C$2:$C$1800,الريسبي!$A$2:$A$1800,$A180,الريسبي!$B$2:$B$1800,Z$1)</f>
        <v>0</v>
      </c>
      <c r="AA180" s="117" t="n">
        <f aca="false">SUMIFS(الريسبي!$C$2:$C$1800,الريسبي!$A$2:$A$1800,$A180,الريسبي!$B$2:$B$1800,AA$1)</f>
        <v>0</v>
      </c>
      <c r="AB180" s="117" t="n">
        <f aca="false">SUMIFS(الريسبي!$C$2:$C$1800,الريسبي!$A$2:$A$1800,$A180,الريسبي!$B$2:$B$1800,AB$1)</f>
        <v>0</v>
      </c>
      <c r="AC180" s="117" t="n">
        <f aca="false">SUMIFS(الريسبي!$C$2:$C$1800,الريسبي!$A$2:$A$1800,$A180,الريسبي!$B$2:$B$1800,AC$1)</f>
        <v>0</v>
      </c>
      <c r="AD180" s="117" t="n">
        <f aca="false">SUMIFS(الريسبي!$C$2:$C$1800,الريسبي!$A$2:$A$1800,$A180,الريسبي!$B$2:$B$1800,AD$1)</f>
        <v>0</v>
      </c>
      <c r="AE180" s="117" t="n">
        <f aca="false">SUMIFS(الريسبي!$C$2:$C$1800,الريسبي!$A$2:$A$1800,$A180,الريسبي!$B$2:$B$1800,AE$1)</f>
        <v>0</v>
      </c>
      <c r="AF180" s="117" t="n">
        <f aca="false">SUMIFS(الريسبي!$C$2:$C$1800,الريسبي!$A$2:$A$1800,$A180,الريسبي!$B$2:$B$1800,AF$1)</f>
        <v>0</v>
      </c>
      <c r="AG180" s="117" t="n">
        <f aca="false">SUMIFS(الريسبي!$C$2:$C$1800,الريسبي!$A$2:$A$1800,$A180,الريسبي!$B$2:$B$1800,AG$1)</f>
        <v>0</v>
      </c>
      <c r="AH180" s="117" t="n">
        <f aca="false">SUMIFS(الريسبي!$C$2:$C$1800,الريسبي!$A$2:$A$1800,$A180,الريسبي!$B$2:$B$1800,AH$1)</f>
        <v>0</v>
      </c>
      <c r="AI180" s="117" t="n">
        <f aca="false">SUMIFS(الريسبي!$C$2:$C$1800,الريسبي!$A$2:$A$1800,$A180,الريسبي!$B$2:$B$1800,AI$1)</f>
        <v>0</v>
      </c>
      <c r="AJ180" s="117" t="n">
        <f aca="false">SUMIFS(الريسبي!$C$2:$C$1800,الريسبي!$A$2:$A$1800,$A180,الريسبي!$B$2:$B$1800,AJ$1)</f>
        <v>0</v>
      </c>
      <c r="AK180" s="117" t="n">
        <f aca="false">SUMIFS(الريسبي!$C$2:$C$1800,الريسبي!$A$2:$A$1800,$A180,الريسبي!$B$2:$B$1800,AK$1)</f>
        <v>0</v>
      </c>
      <c r="AL180" s="117" t="n">
        <f aca="false">SUMIFS(الريسبي!$C$2:$C$1800,الريسبي!$A$2:$A$1800,$A180,الريسبي!$B$2:$B$1800,AL$1)</f>
        <v>0</v>
      </c>
      <c r="AM180" s="117" t="n">
        <f aca="false">SUMIFS(الريسبي!$C$2:$C$1800,الريسبي!$A$2:$A$1800,$A180,الريسبي!$B$2:$B$1800,AM$1)+0.08333333333*SUMIFS(الريسبي!$C$2:$C$1800,الريسبي!$A$2:$A$1800,$A180,الريسبي!$B$2:$B$1800,"عجين كريب (مصنع بالمطعم)")+0.08333333333*SUMIFS(الريسبي!$C$2:$C$1800,الريسبي!$A$2:$A$1800,$A180,الريسبي!$B$2:$B$1800,"عجين كريب صيامي (بدون لبن)")</f>
        <v>0</v>
      </c>
      <c r="AN180" s="117" t="n">
        <f aca="false">SUMIFS(الريسبي!$C$2:$C$1800,الريسبي!$A$2:$A$1800,$A180,الريسبي!$B$2:$B$1800,AN$1)+0.004166666667*SUMIFS(الريسبي!$C$2:$C$1800,الريسبي!$A$2:$A$1800,$A180,الريسبي!$B$2:$B$1800,"عجين كريب (مصنع بالمطعم)")+0.004166666667*SUMIFS(الريسبي!$C$2:$C$1800,الريسبي!$A$2:$A$1800,$A180,الريسبي!$B$2:$B$1800,"عجين كريب صيامي (بدون لبن)")</f>
        <v>0</v>
      </c>
      <c r="AO180" s="117" t="n">
        <f aca="false">SUMIFS(الريسبي!$C$2:$C$1800,الريسبي!$A$2:$A$1800,$A180,الريسبي!$B$2:$B$1800,AO$1)</f>
        <v>0</v>
      </c>
      <c r="AP180" s="117" t="n">
        <f aca="false">SUMIFS(الريسبي!$C$2:$C$1800,الريسبي!$A$2:$A$1800,$A180,الريسبي!$B$2:$B$1800,AP$1)</f>
        <v>0</v>
      </c>
      <c r="AQ180" s="117" t="n">
        <f aca="false">SUMIFS(الريسبي!$C$2:$C$1800,الريسبي!$A$2:$A$1800,$A180,الريسبي!$B$2:$B$1800,AQ$1)+0.004166666667*SUMIFS(الريسبي!$C$2:$C$1800,الريسبي!$A$2:$A$1800,$A180,الريسبي!$B$2:$B$1800,"عجين كريب (مصنع بالمطعم)")+0.004166666667*SUMIFS(الريسبي!$C$2:$C$1800,الريسبي!$A$2:$A$1800,$A180,الريسبي!$B$2:$B$1800,"عجين كريب صيامي (بدون لبن)")</f>
        <v>0</v>
      </c>
      <c r="AR180" s="117" t="n">
        <f aca="false">SUMIFS(الريسبي!$C$2:$C$1800,الريسبي!$A$2:$A$1800,$A180,الريسبي!$B$2:$B$1800,AR$1)</f>
        <v>0</v>
      </c>
      <c r="AS180" s="117" t="n">
        <f aca="false">SUMIFS(الريسبي!$C$2:$C$1800,الريسبي!$A$2:$A$1800,$A180,الريسبي!$B$2:$B$1800,AS$1)</f>
        <v>0</v>
      </c>
      <c r="AT180" s="117" t="n">
        <f aca="false">SUMIFS(الريسبي!$C$2:$C$1800,الريسبي!$A$2:$A$1800,$A180,الريسبي!$B$2:$B$1800,AT$1)</f>
        <v>0</v>
      </c>
      <c r="AU180" s="117" t="n">
        <f aca="false">SUMIFS(الريسبي!$C$2:$C$1800,الريسبي!$A$2:$A$1800,$A180,الريسبي!$B$2:$B$1800,AU$1)</f>
        <v>0</v>
      </c>
      <c r="AV180" s="117" t="n">
        <f aca="false">SUMIFS(الريسبي!$C$2:$C$1800,الريسبي!$A$2:$A$1800,$A180,الريسبي!$B$2:$B$1800,AV$1)</f>
        <v>0</v>
      </c>
      <c r="AW180" s="117" t="n">
        <f aca="false">SUMIFS(الريسبي!$C$2:$C$1800,الريسبي!$A$2:$A$1800,$A180,الريسبي!$B$2:$B$1800,AW$1)</f>
        <v>0</v>
      </c>
      <c r="AX180" s="117" t="n">
        <f aca="false">SUMIFS(الريسبي!$C$2:$C$1800,الريسبي!$A$2:$A$1800,$A180,الريسبي!$B$2:$B$1800,AX$1)</f>
        <v>0</v>
      </c>
      <c r="AY180" s="117" t="n">
        <f aca="false">SUMIFS(الريسبي!$C$2:$C$1800,الريسبي!$A$2:$A$1800,$A180,الريسبي!$B$2:$B$1800,AY$1)</f>
        <v>0</v>
      </c>
      <c r="AZ180" s="117" t="n">
        <f aca="false">SUMIFS(الريسبي!$C$2:$C$1800,الريسبي!$A$2:$A$1800,$A180,الريسبي!$B$2:$B$1800,AZ$1)</f>
        <v>0</v>
      </c>
      <c r="BA180" s="117" t="n">
        <f aca="false">SUMIFS(الريسبي!$C$2:$C$1800,الريسبي!$A$2:$A$1800,$A180,الريسبي!$B$2:$B$1800,BA$1)</f>
        <v>0</v>
      </c>
      <c r="BB180" s="117" t="n">
        <f aca="false">SUMIFS(الريسبي!$C$2:$C$1800,الريسبي!$A$2:$A$1800,$A180,الريسبي!$B$2:$B$1800,BB$1)</f>
        <v>0</v>
      </c>
      <c r="BC180" s="117" t="n">
        <f aca="false">SUMIFS(الريسبي!$C$2:$C$1800,الريسبي!$A$2:$A$1800,$A180,الريسبي!$B$2:$B$1800,BC$1)</f>
        <v>0</v>
      </c>
      <c r="BD180" s="117" t="n">
        <f aca="false">SUMIFS(الريسبي!$C$2:$C$1800,الريسبي!$A$2:$A$1800,$A180,الريسبي!$B$2:$B$1800,BD$1)</f>
        <v>0</v>
      </c>
      <c r="BE180" s="117" t="n">
        <f aca="false">SUMIFS(الريسبي!$C$2:$C$1800,الريسبي!$A$2:$A$1800,$A180,الريسبي!$B$2:$B$1800,BE$1)</f>
        <v>0</v>
      </c>
      <c r="BF180" s="117" t="n">
        <f aca="false">SUMIFS(الريسبي!$C$2:$C$1800,الريسبي!$A$2:$A$1800,$A180,الريسبي!$B$2:$B$1800,BF$1)</f>
        <v>0</v>
      </c>
      <c r="BG180" s="117" t="n">
        <f aca="false">SUMIFS(الريسبي!$C$2:$C$1800,الريسبي!$A$2:$A$1800,$A180,الريسبي!$B$2:$B$1800,BG$1)</f>
        <v>0</v>
      </c>
      <c r="BH180" s="117" t="n">
        <f aca="false">SUMIFS(الريسبي!$C$2:$C$1800,الريسبي!$A$2:$A$1800,$A180,الريسبي!$B$2:$B$1800,BH$1)</f>
        <v>0</v>
      </c>
      <c r="BI180" s="117" t="n">
        <f aca="false">SUMIFS(الريسبي!$C$2:$C$1800,الريسبي!$A$2:$A$1800,$A180,الريسبي!$B$2:$B$1800,BI$1)</f>
        <v>0</v>
      </c>
      <c r="BJ180" s="117" t="n">
        <f aca="false">SUMIFS(الريسبي!$C$2:$C$1800,الريسبي!$A$2:$A$1800,$A180,الريسبي!$B$2:$B$1800,BJ$1)</f>
        <v>0</v>
      </c>
      <c r="BK180" s="117" t="n">
        <f aca="false">SUMIFS(الريسبي!$C$2:$C$1800,الريسبي!$A$2:$A$1800,$A180,الريسبي!$B$2:$B$1800,BK$1)</f>
        <v>0</v>
      </c>
      <c r="BL180" s="117" t="n">
        <f aca="false">SUMIFS(الريسبي!$C$2:$C$1800,الريسبي!$A$2:$A$1800,$A180,الريسبي!$B$2:$B$1800,BL$1)</f>
        <v>0</v>
      </c>
      <c r="BM180" s="117" t="n">
        <f aca="false">SUMIFS(الريسبي!$C$2:$C$1800,الريسبي!$A$2:$A$1800,$A180,الريسبي!$B$2:$B$1800,BM$1)</f>
        <v>0</v>
      </c>
      <c r="BN180" s="117" t="n">
        <f aca="false">SUMIFS(الريسبي!$C$2:$C$1800,الريسبي!$A$2:$A$1800,$A180,الريسبي!$B$2:$B$1800,BN$1)</f>
        <v>0</v>
      </c>
      <c r="BO180" s="117" t="n">
        <f aca="false">SUMIFS(الريسبي!$C$2:$C$1800,الريسبي!$A$2:$A$1800,$A180,الريسبي!$B$2:$B$1800,BO$1)</f>
        <v>0</v>
      </c>
      <c r="BP180" s="117" t="n">
        <f aca="false">SUMIFS(الريسبي!$C$2:$C$1800,الريسبي!$A$2:$A$1800,$A180,الريسبي!$B$2:$B$1800,BP$1)</f>
        <v>0</v>
      </c>
      <c r="BQ180" s="117" t="n">
        <f aca="false">SUMIFS(الريسبي!$C$2:$C$1800,الريسبي!$A$2:$A$1800,$A180,الريسبي!$B$2:$B$1800,BQ$1)+0.17*SUMIFS(الريسبي!$C$2:$C$1800,الريسبي!$A$2:$A$1800,$A180,الريسبي!$B$2:$B$1800,"كاسترد مصنع (خليط بودر + لبن)")+0.17*SUMIFS(الريسبي!$C$2:$C$1800,الريسبي!$A$2:$A$1800,$A180,الريسبي!$B$2:$B$1800,"كاسترد مصنع صيامي (بدون لبن)")</f>
        <v>0</v>
      </c>
      <c r="BR180" s="117" t="n">
        <f aca="false">SUMIFS(الريسبي!$C$2:$C$1800,الريسبي!$A$2:$A$1800,$A180,الريسبي!$B$2:$B$1800,BR$1)</f>
        <v>0</v>
      </c>
      <c r="BS180" s="117" t="n">
        <f aca="false">SUMIFS(الريسبي!$C$2:$C$1800,الريسبي!$A$2:$A$1800,$A180,الريسبي!$B$2:$B$1800,BS$1)</f>
        <v>0</v>
      </c>
      <c r="BT180" s="117" t="n">
        <f aca="false">SUMIFS(الريسبي!$C$2:$C$1800,الريسبي!$A$2:$A$1800,$A180,الريسبي!$B$2:$B$1800,BT$1)</f>
        <v>0</v>
      </c>
      <c r="BU180" s="117" t="n">
        <f aca="false">SUMIFS(الريسبي!$C$2:$C$1800,الريسبي!$A$2:$A$1800,$A180,الريسبي!$B$2:$B$1800,BU$1)+0.4*SUMIFS(الريسبي!$C$2:$C$1800,الريسبي!$A$2:$A$1800,$A180,الريسبي!$B$2:$B$1800,"كاسترد مصنع (خليط بودر + لبن)")+0.03333333333*SUMIFS(الريسبي!$C$2:$C$1800,الريسبي!$A$2:$A$1800,$A180,الريسبي!$B$2:$B$1800,"عجين كريب (مصنع بالمطعم)")</f>
        <v>0</v>
      </c>
      <c r="BV180" s="117" t="n">
        <f aca="false">SUMIFS(الريسبي!$C$2:$C$1800,الريسبي!$A$2:$A$1800,$A180,الريسبي!$B$2:$B$1800,BV$1)</f>
        <v>0</v>
      </c>
      <c r="BW180" s="117" t="n">
        <f aca="false">SUMIFS(الريسبي!$C$2:$C$1800,الريسبي!$A$2:$A$1800,$A180,الريسبي!$B$2:$B$1800,BW$1)</f>
        <v>0</v>
      </c>
      <c r="BX180" s="117" t="n">
        <f aca="false">SUMIFS(الريسبي!$C$2:$C$1800,الريسبي!$A$2:$A$1800,$A180,الريسبي!$B$2:$B$1800,BX$1)</f>
        <v>0</v>
      </c>
      <c r="BY180" s="117" t="n">
        <f aca="false">SUMIFS(الريسبي!$C$2:$C$1800,الريسبي!$A$2:$A$1800,$A180,الريسبي!$B$2:$B$1800,BY$1)</f>
        <v>0</v>
      </c>
      <c r="BZ180" s="117" t="n">
        <f aca="false">SUMIFS(الريسبي!$C$2:$C$1800,الريسبي!$A$2:$A$1800,$A180,الريسبي!$B$2:$B$1800,BZ$1)</f>
        <v>0</v>
      </c>
      <c r="CA180" s="117" t="n">
        <f aca="false">SUMIFS(الريسبي!$C$2:$C$1800,الريسبي!$A$2:$A$1800,$A180,الريسبي!$B$2:$B$1800,CA$1)</f>
        <v>0</v>
      </c>
      <c r="CB180" s="117" t="n">
        <f aca="false">SUMIFS(الريسبي!$C$2:$C$1800,الريسبي!$A$2:$A$1800,$A180,الريسبي!$B$2:$B$1800,CB$1)</f>
        <v>0</v>
      </c>
      <c r="CC180" s="117" t="n">
        <f aca="false">SUMIFS(الريسبي!$C$2:$C$1800,الريسبي!$A$2:$A$1800,$A180,الريسبي!$B$2:$B$1800,CC$1)</f>
        <v>0</v>
      </c>
      <c r="CD180" s="117" t="n">
        <f aca="false">SUMIFS(الريسبي!$C$2:$C$1800,الريسبي!$A$2:$A$1800,$A180,الريسبي!$B$2:$B$1800,CD$1)</f>
        <v>0</v>
      </c>
      <c r="CE180" s="117" t="n">
        <f aca="false">SUMIFS(الريسبي!$C$2:$C$1800,الريسبي!$A$2:$A$1800,$A180,الريسبي!$B$2:$B$1800,CE$1)</f>
        <v>0</v>
      </c>
      <c r="CF180" s="117" t="n">
        <f aca="false">SUMIFS(الريسبي!$C$2:$C$1800,الريسبي!$A$2:$A$1800,$A180,الريسبي!$B$2:$B$1800,CF$1)</f>
        <v>0</v>
      </c>
      <c r="CG180" s="117" t="n">
        <f aca="false">SUMIFS(الريسبي!$C$2:$C$1800,الريسبي!$A$2:$A$1800,$A180,الريسبي!$B$2:$B$1800,CG$1)</f>
        <v>0</v>
      </c>
      <c r="CH180" s="117" t="n">
        <f aca="false">SUMIFS(الريسبي!$C$2:$C$1800,الريسبي!$A$2:$A$1800,$A180,الريسبي!$B$2:$B$1800,CH$1)</f>
        <v>0</v>
      </c>
      <c r="CI180" s="117" t="n">
        <f aca="false">SUMIFS(الريسبي!$C$2:$C$1800,الريسبي!$A$2:$A$1800,$A180,الريسبي!$B$2:$B$1800,CI$1)</f>
        <v>0</v>
      </c>
      <c r="CJ180" s="117" t="n">
        <f aca="false">SUMIFS(الريسبي!$C$2:$C$1800,الريسبي!$A$2:$A$1800,$A180,الريسبي!$B$2:$B$1800,CJ$1)</f>
        <v>0</v>
      </c>
      <c r="CK180" s="117" t="n">
        <f aca="false">SUMIFS(الريسبي!$C$2:$C$1800,الريسبي!$A$2:$A$1800,$A180,الريسبي!$B$2:$B$1800,CK$1)</f>
        <v>0</v>
      </c>
      <c r="CL180" s="117" t="n">
        <f aca="false">SUMIFS(الريسبي!$C$2:$C$1800,الريسبي!$A$2:$A$1800,$A180,الريسبي!$B$2:$B$1800,CL$1)</f>
        <v>0</v>
      </c>
    </row>
    <row r="181" customFormat="false" ht="15" hidden="false" customHeight="false" outlineLevel="0" collapsed="false">
      <c r="A181" s="116" t="str">
        <f aca="false">المنيو!B181</f>
        <v>اضافة فراخ جريل (فطير وسط)</v>
      </c>
      <c r="B181" s="117" t="n">
        <f aca="false">SUMIFS(الريسبي!$C$2:$C$1800,الريسبي!$A$2:$A$1800,$A181,الريسبي!$B$2:$B$1800,B$1)</f>
        <v>0</v>
      </c>
      <c r="C181" s="117" t="n">
        <f aca="false">SUMIFS(الريسبي!$C$2:$C$1800,الريسبي!$A$2:$A$1800,$A181,الريسبي!$B$2:$B$1800,C$1)</f>
        <v>0</v>
      </c>
      <c r="D181" s="117" t="n">
        <f aca="false">SUMIFS(الريسبي!$C$2:$C$1800,الريسبي!$A$2:$A$1800,$A181,الريسبي!$B$2:$B$1800,D$1)</f>
        <v>0</v>
      </c>
      <c r="E181" s="117" t="n">
        <f aca="false">SUMIFS(الريسبي!$C$2:$C$1800,الريسبي!$A$2:$A$1800,$A181,الريسبي!$B$2:$B$1800,E$1)</f>
        <v>0</v>
      </c>
      <c r="F181" s="117" t="n">
        <f aca="false">SUMIFS(الريسبي!$C$2:$C$1800,الريسبي!$A$2:$A$1800,$A181,الريسبي!$B$2:$B$1800,F$1)</f>
        <v>0</v>
      </c>
      <c r="G181" s="117" t="n">
        <f aca="false">SUMIFS(الريسبي!$C$2:$C$1800,الريسبي!$A$2:$A$1800,$A181,الريسبي!$B$2:$B$1800,G$1)</f>
        <v>0</v>
      </c>
      <c r="H181" s="117" t="n">
        <f aca="false">SUMIFS(الريسبي!$C$2:$C$1800,الريسبي!$A$2:$A$1800,$A181,الريسبي!$B$2:$B$1800,H$1)</f>
        <v>0</v>
      </c>
      <c r="I181" s="117" t="n">
        <f aca="false">SUMIFS(الريسبي!$C$2:$C$1800,الريسبي!$A$2:$A$1800,$A181,الريسبي!$B$2:$B$1800,I$1)</f>
        <v>0</v>
      </c>
      <c r="J181" s="117" t="n">
        <f aca="false">SUMIFS(الريسبي!$C$2:$C$1800,الريسبي!$A$2:$A$1800,$A181,الريسبي!$B$2:$B$1800,J$1)</f>
        <v>0</v>
      </c>
      <c r="K181" s="117" t="n">
        <f aca="false">SUMIFS(الريسبي!$C$2:$C$1800,الريسبي!$A$2:$A$1800,$A181,الريسبي!$B$2:$B$1800,K$1)</f>
        <v>0</v>
      </c>
      <c r="L181" s="117" t="n">
        <f aca="false">SUMIFS(الريسبي!$C$2:$C$1800,الريسبي!$A$2:$A$1800,$A181,الريسبي!$B$2:$B$1800,L$1)</f>
        <v>0</v>
      </c>
      <c r="M181" s="117" t="n">
        <f aca="false">SUMIFS(الريسبي!$C$2:$C$1800,الريسبي!$A$2:$A$1800,$A181,الريسبي!$B$2:$B$1800,M$1)</f>
        <v>0</v>
      </c>
      <c r="N181" s="117" t="n">
        <f aca="false">SUMIFS(الريسبي!$C$2:$C$1800,الريسبي!$A$2:$A$1800,$A181,الريسبي!$B$2:$B$1800,N$1)</f>
        <v>0</v>
      </c>
      <c r="O181" s="117" t="n">
        <f aca="false">SUMIFS(الريسبي!$C$2:$C$1800,الريسبي!$A$2:$A$1800,$A181,الريسبي!$B$2:$B$1800,O$1)</f>
        <v>1</v>
      </c>
      <c r="P181" s="117" t="n">
        <f aca="false">SUMIFS(الريسبي!$C$2:$C$1800,الريسبي!$A$2:$A$1800,$A181,الريسبي!$B$2:$B$1800,P$1)</f>
        <v>0</v>
      </c>
      <c r="Q181" s="117" t="n">
        <f aca="false">SUMIFS(الريسبي!$C$2:$C$1800,الريسبي!$A$2:$A$1800,$A181,الريسبي!$B$2:$B$1800,Q$1)</f>
        <v>0</v>
      </c>
      <c r="R181" s="117" t="n">
        <f aca="false">SUMIFS(الريسبي!$C$2:$C$1800,الريسبي!$A$2:$A$1800,$A181,الريسبي!$B$2:$B$1800,R$1)</f>
        <v>0</v>
      </c>
      <c r="S181" s="117" t="n">
        <f aca="false">SUMIFS(الريسبي!$C$2:$C$1800,الريسبي!$A$2:$A$1800,$A181,الريسبي!$B$2:$B$1800,S$1)</f>
        <v>0</v>
      </c>
      <c r="T181" s="117" t="n">
        <f aca="false">SUMIFS(الريسبي!$C$2:$C$1800,الريسبي!$A$2:$A$1800,$A181,الريسبي!$B$2:$B$1800,T$1)</f>
        <v>0</v>
      </c>
      <c r="U181" s="117" t="n">
        <f aca="false">SUMIFS(الريسبي!$C$2:$C$1800,الريسبي!$A$2:$A$1800,$A181,الريسبي!$B$2:$B$1800,U$1)</f>
        <v>0</v>
      </c>
      <c r="V181" s="117" t="n">
        <f aca="false">SUMIFS(الريسبي!$C$2:$C$1800,الريسبي!$A$2:$A$1800,$A181,الريسبي!$B$2:$B$1800,V$1)+1.5*(SUMIFS(الريسبي!$C$2:$C$1800,الريسبي!$A$2:$A$1800,$A181,الريسبي!$B$2:$B$1800,"برسيون موتزريلا بيتزا كبير"))</f>
        <v>0</v>
      </c>
      <c r="W181" s="117" t="n">
        <f aca="false">0</f>
        <v>0</v>
      </c>
      <c r="X181" s="117" t="n">
        <f aca="false">SUMIFS(الريسبي!$C$2:$C$1800,الريسبي!$A$2:$A$1800,$A181,الريسبي!$B$2:$B$1800,X$1)+1.5*(SUMIFS(الريسبي!$C$2:$C$1800,الريسبي!$A$2:$A$1800,$A181,الريسبي!$B$2:$B$1800,"برسيون موتزريلا فطير كبير"))</f>
        <v>0</v>
      </c>
      <c r="Y181" s="117" t="n">
        <f aca="false">0</f>
        <v>0</v>
      </c>
      <c r="Z181" s="117" t="n">
        <f aca="false">SUMIFS(الريسبي!$C$2:$C$1800,الريسبي!$A$2:$A$1800,$A181,الريسبي!$B$2:$B$1800,Z$1)</f>
        <v>0</v>
      </c>
      <c r="AA181" s="117" t="n">
        <f aca="false">SUMIFS(الريسبي!$C$2:$C$1800,الريسبي!$A$2:$A$1800,$A181,الريسبي!$B$2:$B$1800,AA$1)</f>
        <v>0</v>
      </c>
      <c r="AB181" s="117" t="n">
        <f aca="false">SUMIFS(الريسبي!$C$2:$C$1800,الريسبي!$A$2:$A$1800,$A181,الريسبي!$B$2:$B$1800,AB$1)</f>
        <v>0</v>
      </c>
      <c r="AC181" s="117" t="n">
        <f aca="false">SUMIFS(الريسبي!$C$2:$C$1800,الريسبي!$A$2:$A$1800,$A181,الريسبي!$B$2:$B$1800,AC$1)</f>
        <v>0</v>
      </c>
      <c r="AD181" s="117" t="n">
        <f aca="false">SUMIFS(الريسبي!$C$2:$C$1800,الريسبي!$A$2:$A$1800,$A181,الريسبي!$B$2:$B$1800,AD$1)</f>
        <v>0</v>
      </c>
      <c r="AE181" s="117" t="n">
        <f aca="false">SUMIFS(الريسبي!$C$2:$C$1800,الريسبي!$A$2:$A$1800,$A181,الريسبي!$B$2:$B$1800,AE$1)</f>
        <v>0</v>
      </c>
      <c r="AF181" s="117" t="n">
        <f aca="false">SUMIFS(الريسبي!$C$2:$C$1800,الريسبي!$A$2:$A$1800,$A181,الريسبي!$B$2:$B$1800,AF$1)</f>
        <v>0</v>
      </c>
      <c r="AG181" s="117" t="n">
        <f aca="false">SUMIFS(الريسبي!$C$2:$C$1800,الريسبي!$A$2:$A$1800,$A181,الريسبي!$B$2:$B$1800,AG$1)</f>
        <v>0</v>
      </c>
      <c r="AH181" s="117" t="n">
        <f aca="false">SUMIFS(الريسبي!$C$2:$C$1800,الريسبي!$A$2:$A$1800,$A181,الريسبي!$B$2:$B$1800,AH$1)</f>
        <v>0</v>
      </c>
      <c r="AI181" s="117" t="n">
        <f aca="false">SUMIFS(الريسبي!$C$2:$C$1800,الريسبي!$A$2:$A$1800,$A181,الريسبي!$B$2:$B$1800,AI$1)</f>
        <v>0</v>
      </c>
      <c r="AJ181" s="117" t="n">
        <f aca="false">SUMIFS(الريسبي!$C$2:$C$1800,الريسبي!$A$2:$A$1800,$A181,الريسبي!$B$2:$B$1800,AJ$1)</f>
        <v>0</v>
      </c>
      <c r="AK181" s="117" t="n">
        <f aca="false">SUMIFS(الريسبي!$C$2:$C$1800,الريسبي!$A$2:$A$1800,$A181,الريسبي!$B$2:$B$1800,AK$1)</f>
        <v>0</v>
      </c>
      <c r="AL181" s="117" t="n">
        <f aca="false">SUMIFS(الريسبي!$C$2:$C$1800,الريسبي!$A$2:$A$1800,$A181,الريسبي!$B$2:$B$1800,AL$1)</f>
        <v>0</v>
      </c>
      <c r="AM181" s="117" t="n">
        <f aca="false">SUMIFS(الريسبي!$C$2:$C$1800,الريسبي!$A$2:$A$1800,$A181,الريسبي!$B$2:$B$1800,AM$1)+0.08333333333*SUMIFS(الريسبي!$C$2:$C$1800,الريسبي!$A$2:$A$1800,$A181,الريسبي!$B$2:$B$1800,"عجين كريب (مصنع بالمطعم)")+0.08333333333*SUMIFS(الريسبي!$C$2:$C$1800,الريسبي!$A$2:$A$1800,$A181,الريسبي!$B$2:$B$1800,"عجين كريب صيامي (بدون لبن)")</f>
        <v>0</v>
      </c>
      <c r="AN181" s="117" t="n">
        <f aca="false">SUMIFS(الريسبي!$C$2:$C$1800,الريسبي!$A$2:$A$1800,$A181,الريسبي!$B$2:$B$1800,AN$1)+0.004166666667*SUMIFS(الريسبي!$C$2:$C$1800,الريسبي!$A$2:$A$1800,$A181,الريسبي!$B$2:$B$1800,"عجين كريب (مصنع بالمطعم)")+0.004166666667*SUMIFS(الريسبي!$C$2:$C$1800,الريسبي!$A$2:$A$1800,$A181,الريسبي!$B$2:$B$1800,"عجين كريب صيامي (بدون لبن)")</f>
        <v>0</v>
      </c>
      <c r="AO181" s="117" t="n">
        <f aca="false">SUMIFS(الريسبي!$C$2:$C$1800,الريسبي!$A$2:$A$1800,$A181,الريسبي!$B$2:$B$1800,AO$1)</f>
        <v>0</v>
      </c>
      <c r="AP181" s="117" t="n">
        <f aca="false">SUMIFS(الريسبي!$C$2:$C$1800,الريسبي!$A$2:$A$1800,$A181,الريسبي!$B$2:$B$1800,AP$1)</f>
        <v>0</v>
      </c>
      <c r="AQ181" s="117" t="n">
        <f aca="false">SUMIFS(الريسبي!$C$2:$C$1800,الريسبي!$A$2:$A$1800,$A181,الريسبي!$B$2:$B$1800,AQ$1)+0.004166666667*SUMIFS(الريسبي!$C$2:$C$1800,الريسبي!$A$2:$A$1800,$A181,الريسبي!$B$2:$B$1800,"عجين كريب (مصنع بالمطعم)")+0.004166666667*SUMIFS(الريسبي!$C$2:$C$1800,الريسبي!$A$2:$A$1800,$A181,الريسبي!$B$2:$B$1800,"عجين كريب صيامي (بدون لبن)")</f>
        <v>0</v>
      </c>
      <c r="AR181" s="117" t="n">
        <f aca="false">SUMIFS(الريسبي!$C$2:$C$1800,الريسبي!$A$2:$A$1800,$A181,الريسبي!$B$2:$B$1800,AR$1)</f>
        <v>0</v>
      </c>
      <c r="AS181" s="117" t="n">
        <f aca="false">SUMIFS(الريسبي!$C$2:$C$1800,الريسبي!$A$2:$A$1800,$A181,الريسبي!$B$2:$B$1800,AS$1)</f>
        <v>0</v>
      </c>
      <c r="AT181" s="117" t="n">
        <f aca="false">SUMIFS(الريسبي!$C$2:$C$1800,الريسبي!$A$2:$A$1800,$A181,الريسبي!$B$2:$B$1800,AT$1)</f>
        <v>0</v>
      </c>
      <c r="AU181" s="117" t="n">
        <f aca="false">SUMIFS(الريسبي!$C$2:$C$1800,الريسبي!$A$2:$A$1800,$A181,الريسبي!$B$2:$B$1800,AU$1)</f>
        <v>0</v>
      </c>
      <c r="AV181" s="117" t="n">
        <f aca="false">SUMIFS(الريسبي!$C$2:$C$1800,الريسبي!$A$2:$A$1800,$A181,الريسبي!$B$2:$B$1800,AV$1)</f>
        <v>0</v>
      </c>
      <c r="AW181" s="117" t="n">
        <f aca="false">SUMIFS(الريسبي!$C$2:$C$1800,الريسبي!$A$2:$A$1800,$A181,الريسبي!$B$2:$B$1800,AW$1)</f>
        <v>0</v>
      </c>
      <c r="AX181" s="117" t="n">
        <f aca="false">SUMIFS(الريسبي!$C$2:$C$1800,الريسبي!$A$2:$A$1800,$A181,الريسبي!$B$2:$B$1800,AX$1)</f>
        <v>0</v>
      </c>
      <c r="AY181" s="117" t="n">
        <f aca="false">SUMIFS(الريسبي!$C$2:$C$1800,الريسبي!$A$2:$A$1800,$A181,الريسبي!$B$2:$B$1800,AY$1)</f>
        <v>0</v>
      </c>
      <c r="AZ181" s="117" t="n">
        <f aca="false">SUMIFS(الريسبي!$C$2:$C$1800,الريسبي!$A$2:$A$1800,$A181,الريسبي!$B$2:$B$1800,AZ$1)</f>
        <v>0</v>
      </c>
      <c r="BA181" s="117" t="n">
        <f aca="false">SUMIFS(الريسبي!$C$2:$C$1800,الريسبي!$A$2:$A$1800,$A181,الريسبي!$B$2:$B$1800,BA$1)</f>
        <v>0</v>
      </c>
      <c r="BB181" s="117" t="n">
        <f aca="false">SUMIFS(الريسبي!$C$2:$C$1800,الريسبي!$A$2:$A$1800,$A181,الريسبي!$B$2:$B$1800,BB$1)</f>
        <v>0</v>
      </c>
      <c r="BC181" s="117" t="n">
        <f aca="false">SUMIFS(الريسبي!$C$2:$C$1800,الريسبي!$A$2:$A$1800,$A181,الريسبي!$B$2:$B$1800,BC$1)</f>
        <v>0</v>
      </c>
      <c r="BD181" s="117" t="n">
        <f aca="false">SUMIFS(الريسبي!$C$2:$C$1800,الريسبي!$A$2:$A$1800,$A181,الريسبي!$B$2:$B$1800,BD$1)</f>
        <v>0</v>
      </c>
      <c r="BE181" s="117" t="n">
        <f aca="false">SUMIFS(الريسبي!$C$2:$C$1800,الريسبي!$A$2:$A$1800,$A181,الريسبي!$B$2:$B$1800,BE$1)</f>
        <v>0</v>
      </c>
      <c r="BF181" s="117" t="n">
        <f aca="false">SUMIFS(الريسبي!$C$2:$C$1800,الريسبي!$A$2:$A$1800,$A181,الريسبي!$B$2:$B$1800,BF$1)</f>
        <v>0</v>
      </c>
      <c r="BG181" s="117" t="n">
        <f aca="false">SUMIFS(الريسبي!$C$2:$C$1800,الريسبي!$A$2:$A$1800,$A181,الريسبي!$B$2:$B$1800,BG$1)</f>
        <v>0</v>
      </c>
      <c r="BH181" s="117" t="n">
        <f aca="false">SUMIFS(الريسبي!$C$2:$C$1800,الريسبي!$A$2:$A$1800,$A181,الريسبي!$B$2:$B$1800,BH$1)</f>
        <v>0</v>
      </c>
      <c r="BI181" s="117" t="n">
        <f aca="false">SUMIFS(الريسبي!$C$2:$C$1800,الريسبي!$A$2:$A$1800,$A181,الريسبي!$B$2:$B$1800,BI$1)</f>
        <v>0</v>
      </c>
      <c r="BJ181" s="117" t="n">
        <f aca="false">SUMIFS(الريسبي!$C$2:$C$1800,الريسبي!$A$2:$A$1800,$A181,الريسبي!$B$2:$B$1800,BJ$1)</f>
        <v>0</v>
      </c>
      <c r="BK181" s="117" t="n">
        <f aca="false">SUMIFS(الريسبي!$C$2:$C$1800,الريسبي!$A$2:$A$1800,$A181,الريسبي!$B$2:$B$1800,BK$1)</f>
        <v>0</v>
      </c>
      <c r="BL181" s="117" t="n">
        <f aca="false">SUMIFS(الريسبي!$C$2:$C$1800,الريسبي!$A$2:$A$1800,$A181,الريسبي!$B$2:$B$1800,BL$1)</f>
        <v>0</v>
      </c>
      <c r="BM181" s="117" t="n">
        <f aca="false">SUMIFS(الريسبي!$C$2:$C$1800,الريسبي!$A$2:$A$1800,$A181,الريسبي!$B$2:$B$1800,BM$1)</f>
        <v>0</v>
      </c>
      <c r="BN181" s="117" t="n">
        <f aca="false">SUMIFS(الريسبي!$C$2:$C$1800,الريسبي!$A$2:$A$1800,$A181,الريسبي!$B$2:$B$1800,BN$1)</f>
        <v>0</v>
      </c>
      <c r="BO181" s="117" t="n">
        <f aca="false">SUMIFS(الريسبي!$C$2:$C$1800,الريسبي!$A$2:$A$1800,$A181,الريسبي!$B$2:$B$1800,BO$1)</f>
        <v>0</v>
      </c>
      <c r="BP181" s="117" t="n">
        <f aca="false">SUMIFS(الريسبي!$C$2:$C$1800,الريسبي!$A$2:$A$1800,$A181,الريسبي!$B$2:$B$1800,BP$1)</f>
        <v>0</v>
      </c>
      <c r="BQ181" s="117" t="n">
        <f aca="false">SUMIFS(الريسبي!$C$2:$C$1800,الريسبي!$A$2:$A$1800,$A181,الريسبي!$B$2:$B$1800,BQ$1)+0.17*SUMIFS(الريسبي!$C$2:$C$1800,الريسبي!$A$2:$A$1800,$A181,الريسبي!$B$2:$B$1800,"كاسترد مصنع (خليط بودر + لبن)")+0.17*SUMIFS(الريسبي!$C$2:$C$1800,الريسبي!$A$2:$A$1800,$A181,الريسبي!$B$2:$B$1800,"كاسترد مصنع صيامي (بدون لبن)")</f>
        <v>0</v>
      </c>
      <c r="BR181" s="117" t="n">
        <f aca="false">SUMIFS(الريسبي!$C$2:$C$1800,الريسبي!$A$2:$A$1800,$A181,الريسبي!$B$2:$B$1800,BR$1)</f>
        <v>0</v>
      </c>
      <c r="BS181" s="117" t="n">
        <f aca="false">SUMIFS(الريسبي!$C$2:$C$1800,الريسبي!$A$2:$A$1800,$A181,الريسبي!$B$2:$B$1800,BS$1)</f>
        <v>0</v>
      </c>
      <c r="BT181" s="117" t="n">
        <f aca="false">SUMIFS(الريسبي!$C$2:$C$1800,الريسبي!$A$2:$A$1800,$A181,الريسبي!$B$2:$B$1800,BT$1)</f>
        <v>0</v>
      </c>
      <c r="BU181" s="117" t="n">
        <f aca="false">SUMIFS(الريسبي!$C$2:$C$1800,الريسبي!$A$2:$A$1800,$A181,الريسبي!$B$2:$B$1800,BU$1)+0.4*SUMIFS(الريسبي!$C$2:$C$1800,الريسبي!$A$2:$A$1800,$A181,الريسبي!$B$2:$B$1800,"كاسترد مصنع (خليط بودر + لبن)")+0.03333333333*SUMIFS(الريسبي!$C$2:$C$1800,الريسبي!$A$2:$A$1800,$A181,الريسبي!$B$2:$B$1800,"عجين كريب (مصنع بالمطعم)")</f>
        <v>0</v>
      </c>
      <c r="BV181" s="117" t="n">
        <f aca="false">SUMIFS(الريسبي!$C$2:$C$1800,الريسبي!$A$2:$A$1800,$A181,الريسبي!$B$2:$B$1800,BV$1)</f>
        <v>0</v>
      </c>
      <c r="BW181" s="117" t="n">
        <f aca="false">SUMIFS(الريسبي!$C$2:$C$1800,الريسبي!$A$2:$A$1800,$A181,الريسبي!$B$2:$B$1800,BW$1)</f>
        <v>0</v>
      </c>
      <c r="BX181" s="117" t="n">
        <f aca="false">SUMIFS(الريسبي!$C$2:$C$1800,الريسبي!$A$2:$A$1800,$A181,الريسبي!$B$2:$B$1800,BX$1)</f>
        <v>0</v>
      </c>
      <c r="BY181" s="117" t="n">
        <f aca="false">SUMIFS(الريسبي!$C$2:$C$1800,الريسبي!$A$2:$A$1800,$A181,الريسبي!$B$2:$B$1800,BY$1)</f>
        <v>0</v>
      </c>
      <c r="BZ181" s="117" t="n">
        <f aca="false">SUMIFS(الريسبي!$C$2:$C$1800,الريسبي!$A$2:$A$1800,$A181,الريسبي!$B$2:$B$1800,BZ$1)</f>
        <v>0</v>
      </c>
      <c r="CA181" s="117" t="n">
        <f aca="false">SUMIFS(الريسبي!$C$2:$C$1800,الريسبي!$A$2:$A$1800,$A181,الريسبي!$B$2:$B$1800,CA$1)</f>
        <v>0</v>
      </c>
      <c r="CB181" s="117" t="n">
        <f aca="false">SUMIFS(الريسبي!$C$2:$C$1800,الريسبي!$A$2:$A$1800,$A181,الريسبي!$B$2:$B$1800,CB$1)</f>
        <v>0</v>
      </c>
      <c r="CC181" s="117" t="n">
        <f aca="false">SUMIFS(الريسبي!$C$2:$C$1800,الريسبي!$A$2:$A$1800,$A181,الريسبي!$B$2:$B$1800,CC$1)</f>
        <v>0</v>
      </c>
      <c r="CD181" s="117" t="n">
        <f aca="false">SUMIFS(الريسبي!$C$2:$C$1800,الريسبي!$A$2:$A$1800,$A181,الريسبي!$B$2:$B$1800,CD$1)</f>
        <v>0</v>
      </c>
      <c r="CE181" s="117" t="n">
        <f aca="false">SUMIFS(الريسبي!$C$2:$C$1800,الريسبي!$A$2:$A$1800,$A181,الريسبي!$B$2:$B$1800,CE$1)</f>
        <v>0</v>
      </c>
      <c r="CF181" s="117" t="n">
        <f aca="false">SUMIFS(الريسبي!$C$2:$C$1800,الريسبي!$A$2:$A$1800,$A181,الريسبي!$B$2:$B$1800,CF$1)</f>
        <v>0</v>
      </c>
      <c r="CG181" s="117" t="n">
        <f aca="false">SUMIFS(الريسبي!$C$2:$C$1800,الريسبي!$A$2:$A$1800,$A181,الريسبي!$B$2:$B$1800,CG$1)</f>
        <v>0</v>
      </c>
      <c r="CH181" s="117" t="n">
        <f aca="false">SUMIFS(الريسبي!$C$2:$C$1800,الريسبي!$A$2:$A$1800,$A181,الريسبي!$B$2:$B$1800,CH$1)</f>
        <v>0</v>
      </c>
      <c r="CI181" s="117" t="n">
        <f aca="false">SUMIFS(الريسبي!$C$2:$C$1800,الريسبي!$A$2:$A$1800,$A181,الريسبي!$B$2:$B$1800,CI$1)</f>
        <v>0</v>
      </c>
      <c r="CJ181" s="117" t="n">
        <f aca="false">SUMIFS(الريسبي!$C$2:$C$1800,الريسبي!$A$2:$A$1800,$A181,الريسبي!$B$2:$B$1800,CJ$1)</f>
        <v>0</v>
      </c>
      <c r="CK181" s="117" t="n">
        <f aca="false">SUMIFS(الريسبي!$C$2:$C$1800,الريسبي!$A$2:$A$1800,$A181,الريسبي!$B$2:$B$1800,CK$1)</f>
        <v>0</v>
      </c>
      <c r="CL181" s="117" t="n">
        <f aca="false">SUMIFS(الريسبي!$C$2:$C$1800,الريسبي!$A$2:$A$1800,$A181,الريسبي!$B$2:$B$1800,CL$1)</f>
        <v>0</v>
      </c>
    </row>
    <row r="182" customFormat="false" ht="15" hidden="false" customHeight="false" outlineLevel="0" collapsed="false">
      <c r="A182" s="116" t="str">
        <f aca="false">المنيو!B182</f>
        <v>اضافة سلامي (فطير وسط)</v>
      </c>
      <c r="B182" s="117" t="n">
        <f aca="false">SUMIFS(الريسبي!$C$2:$C$1800,الريسبي!$A$2:$A$1800,$A182,الريسبي!$B$2:$B$1800,B$1)</f>
        <v>0</v>
      </c>
      <c r="C182" s="117" t="n">
        <f aca="false">SUMIFS(الريسبي!$C$2:$C$1800,الريسبي!$A$2:$A$1800,$A182,الريسبي!$B$2:$B$1800,C$1)</f>
        <v>0</v>
      </c>
      <c r="D182" s="117" t="n">
        <f aca="false">SUMIFS(الريسبي!$C$2:$C$1800,الريسبي!$A$2:$A$1800,$A182,الريسبي!$B$2:$B$1800,D$1)</f>
        <v>0</v>
      </c>
      <c r="E182" s="117" t="n">
        <f aca="false">SUMIFS(الريسبي!$C$2:$C$1800,الريسبي!$A$2:$A$1800,$A182,الريسبي!$B$2:$B$1800,E$1)</f>
        <v>0</v>
      </c>
      <c r="F182" s="117" t="n">
        <f aca="false">SUMIFS(الريسبي!$C$2:$C$1800,الريسبي!$A$2:$A$1800,$A182,الريسبي!$B$2:$B$1800,F$1)</f>
        <v>0</v>
      </c>
      <c r="G182" s="117" t="n">
        <f aca="false">SUMIFS(الريسبي!$C$2:$C$1800,الريسبي!$A$2:$A$1800,$A182,الريسبي!$B$2:$B$1800,G$1)</f>
        <v>0</v>
      </c>
      <c r="H182" s="117" t="n">
        <f aca="false">SUMIFS(الريسبي!$C$2:$C$1800,الريسبي!$A$2:$A$1800,$A182,الريسبي!$B$2:$B$1800,H$1)</f>
        <v>0</v>
      </c>
      <c r="I182" s="117" t="n">
        <f aca="false">SUMIFS(الريسبي!$C$2:$C$1800,الريسبي!$A$2:$A$1800,$A182,الريسبي!$B$2:$B$1800,I$1)</f>
        <v>0</v>
      </c>
      <c r="J182" s="117" t="n">
        <f aca="false">SUMIFS(الريسبي!$C$2:$C$1800,الريسبي!$A$2:$A$1800,$A182,الريسبي!$B$2:$B$1800,J$1)</f>
        <v>0</v>
      </c>
      <c r="K182" s="117" t="n">
        <f aca="false">SUMIFS(الريسبي!$C$2:$C$1800,الريسبي!$A$2:$A$1800,$A182,الريسبي!$B$2:$B$1800,K$1)</f>
        <v>0</v>
      </c>
      <c r="L182" s="117" t="n">
        <f aca="false">SUMIFS(الريسبي!$C$2:$C$1800,الريسبي!$A$2:$A$1800,$A182,الريسبي!$B$2:$B$1800,L$1)</f>
        <v>0</v>
      </c>
      <c r="M182" s="117" t="n">
        <f aca="false">SUMIFS(الريسبي!$C$2:$C$1800,الريسبي!$A$2:$A$1800,$A182,الريسبي!$B$2:$B$1800,M$1)</f>
        <v>0</v>
      </c>
      <c r="N182" s="117" t="n">
        <f aca="false">SUMIFS(الريسبي!$C$2:$C$1800,الريسبي!$A$2:$A$1800,$A182,الريسبي!$B$2:$B$1800,N$1)</f>
        <v>1</v>
      </c>
      <c r="O182" s="117" t="n">
        <f aca="false">SUMIFS(الريسبي!$C$2:$C$1800,الريسبي!$A$2:$A$1800,$A182,الريسبي!$B$2:$B$1800,O$1)</f>
        <v>0</v>
      </c>
      <c r="P182" s="117" t="n">
        <f aca="false">SUMIFS(الريسبي!$C$2:$C$1800,الريسبي!$A$2:$A$1800,$A182,الريسبي!$B$2:$B$1800,P$1)</f>
        <v>0</v>
      </c>
      <c r="Q182" s="117" t="n">
        <f aca="false">SUMIFS(الريسبي!$C$2:$C$1800,الريسبي!$A$2:$A$1800,$A182,الريسبي!$B$2:$B$1800,Q$1)</f>
        <v>0</v>
      </c>
      <c r="R182" s="117" t="n">
        <f aca="false">SUMIFS(الريسبي!$C$2:$C$1800,الريسبي!$A$2:$A$1800,$A182,الريسبي!$B$2:$B$1800,R$1)</f>
        <v>0</v>
      </c>
      <c r="S182" s="117" t="n">
        <f aca="false">SUMIFS(الريسبي!$C$2:$C$1800,الريسبي!$A$2:$A$1800,$A182,الريسبي!$B$2:$B$1800,S$1)</f>
        <v>0</v>
      </c>
      <c r="T182" s="117" t="n">
        <f aca="false">SUMIFS(الريسبي!$C$2:$C$1800,الريسبي!$A$2:$A$1800,$A182,الريسبي!$B$2:$B$1800,T$1)</f>
        <v>0</v>
      </c>
      <c r="U182" s="117" t="n">
        <f aca="false">SUMIFS(الريسبي!$C$2:$C$1800,الريسبي!$A$2:$A$1800,$A182,الريسبي!$B$2:$B$1800,U$1)</f>
        <v>0</v>
      </c>
      <c r="V182" s="117" t="n">
        <f aca="false">SUMIFS(الريسبي!$C$2:$C$1800,الريسبي!$A$2:$A$1800,$A182,الريسبي!$B$2:$B$1800,V$1)+1.5*(SUMIFS(الريسبي!$C$2:$C$1800,الريسبي!$A$2:$A$1800,$A182,الريسبي!$B$2:$B$1800,"برسيون موتزريلا بيتزا كبير"))</f>
        <v>0</v>
      </c>
      <c r="W182" s="117" t="n">
        <f aca="false">0</f>
        <v>0</v>
      </c>
      <c r="X182" s="117" t="n">
        <f aca="false">SUMIFS(الريسبي!$C$2:$C$1800,الريسبي!$A$2:$A$1800,$A182,الريسبي!$B$2:$B$1800,X$1)+1.5*(SUMIFS(الريسبي!$C$2:$C$1800,الريسبي!$A$2:$A$1800,$A182,الريسبي!$B$2:$B$1800,"برسيون موتزريلا فطير كبير"))</f>
        <v>0</v>
      </c>
      <c r="Y182" s="117" t="n">
        <f aca="false">0</f>
        <v>0</v>
      </c>
      <c r="Z182" s="117" t="n">
        <f aca="false">SUMIFS(الريسبي!$C$2:$C$1800,الريسبي!$A$2:$A$1800,$A182,الريسبي!$B$2:$B$1800,Z$1)</f>
        <v>0</v>
      </c>
      <c r="AA182" s="117" t="n">
        <f aca="false">SUMIFS(الريسبي!$C$2:$C$1800,الريسبي!$A$2:$A$1800,$A182,الريسبي!$B$2:$B$1800,AA$1)</f>
        <v>0</v>
      </c>
      <c r="AB182" s="117" t="n">
        <f aca="false">SUMIFS(الريسبي!$C$2:$C$1800,الريسبي!$A$2:$A$1800,$A182,الريسبي!$B$2:$B$1800,AB$1)</f>
        <v>0</v>
      </c>
      <c r="AC182" s="117" t="n">
        <f aca="false">SUMIFS(الريسبي!$C$2:$C$1800,الريسبي!$A$2:$A$1800,$A182,الريسبي!$B$2:$B$1800,AC$1)</f>
        <v>0</v>
      </c>
      <c r="AD182" s="117" t="n">
        <f aca="false">SUMIFS(الريسبي!$C$2:$C$1800,الريسبي!$A$2:$A$1800,$A182,الريسبي!$B$2:$B$1800,AD$1)</f>
        <v>0</v>
      </c>
      <c r="AE182" s="117" t="n">
        <f aca="false">SUMIFS(الريسبي!$C$2:$C$1800,الريسبي!$A$2:$A$1800,$A182,الريسبي!$B$2:$B$1800,AE$1)</f>
        <v>0</v>
      </c>
      <c r="AF182" s="117" t="n">
        <f aca="false">SUMIFS(الريسبي!$C$2:$C$1800,الريسبي!$A$2:$A$1800,$A182,الريسبي!$B$2:$B$1800,AF$1)</f>
        <v>0</v>
      </c>
      <c r="AG182" s="117" t="n">
        <f aca="false">SUMIFS(الريسبي!$C$2:$C$1800,الريسبي!$A$2:$A$1800,$A182,الريسبي!$B$2:$B$1800,AG$1)</f>
        <v>0</v>
      </c>
      <c r="AH182" s="117" t="n">
        <f aca="false">SUMIFS(الريسبي!$C$2:$C$1800,الريسبي!$A$2:$A$1800,$A182,الريسبي!$B$2:$B$1800,AH$1)</f>
        <v>0</v>
      </c>
      <c r="AI182" s="117" t="n">
        <f aca="false">SUMIFS(الريسبي!$C$2:$C$1800,الريسبي!$A$2:$A$1800,$A182,الريسبي!$B$2:$B$1800,AI$1)</f>
        <v>0</v>
      </c>
      <c r="AJ182" s="117" t="n">
        <f aca="false">SUMIFS(الريسبي!$C$2:$C$1800,الريسبي!$A$2:$A$1800,$A182,الريسبي!$B$2:$B$1800,AJ$1)</f>
        <v>0</v>
      </c>
      <c r="AK182" s="117" t="n">
        <f aca="false">SUMIFS(الريسبي!$C$2:$C$1800,الريسبي!$A$2:$A$1800,$A182,الريسبي!$B$2:$B$1800,AK$1)</f>
        <v>0</v>
      </c>
      <c r="AL182" s="117" t="n">
        <f aca="false">SUMIFS(الريسبي!$C$2:$C$1800,الريسبي!$A$2:$A$1800,$A182,الريسبي!$B$2:$B$1800,AL$1)</f>
        <v>0</v>
      </c>
      <c r="AM182" s="117" t="n">
        <f aca="false">SUMIFS(الريسبي!$C$2:$C$1800,الريسبي!$A$2:$A$1800,$A182,الريسبي!$B$2:$B$1800,AM$1)+0.08333333333*SUMIFS(الريسبي!$C$2:$C$1800,الريسبي!$A$2:$A$1800,$A182,الريسبي!$B$2:$B$1800,"عجين كريب (مصنع بالمطعم)")+0.08333333333*SUMIFS(الريسبي!$C$2:$C$1800,الريسبي!$A$2:$A$1800,$A182,الريسبي!$B$2:$B$1800,"عجين كريب صيامي (بدون لبن)")</f>
        <v>0</v>
      </c>
      <c r="AN182" s="117" t="n">
        <f aca="false">SUMIFS(الريسبي!$C$2:$C$1800,الريسبي!$A$2:$A$1800,$A182,الريسبي!$B$2:$B$1800,AN$1)+0.004166666667*SUMIFS(الريسبي!$C$2:$C$1800,الريسبي!$A$2:$A$1800,$A182,الريسبي!$B$2:$B$1800,"عجين كريب (مصنع بالمطعم)")+0.004166666667*SUMIFS(الريسبي!$C$2:$C$1800,الريسبي!$A$2:$A$1800,$A182,الريسبي!$B$2:$B$1800,"عجين كريب صيامي (بدون لبن)")</f>
        <v>0</v>
      </c>
      <c r="AO182" s="117" t="n">
        <f aca="false">SUMIFS(الريسبي!$C$2:$C$1800,الريسبي!$A$2:$A$1800,$A182,الريسبي!$B$2:$B$1800,AO$1)</f>
        <v>0</v>
      </c>
      <c r="AP182" s="117" t="n">
        <f aca="false">SUMIFS(الريسبي!$C$2:$C$1800,الريسبي!$A$2:$A$1800,$A182,الريسبي!$B$2:$B$1800,AP$1)</f>
        <v>0</v>
      </c>
      <c r="AQ182" s="117" t="n">
        <f aca="false">SUMIFS(الريسبي!$C$2:$C$1800,الريسبي!$A$2:$A$1800,$A182,الريسبي!$B$2:$B$1800,AQ$1)+0.004166666667*SUMIFS(الريسبي!$C$2:$C$1800,الريسبي!$A$2:$A$1800,$A182,الريسبي!$B$2:$B$1800,"عجين كريب (مصنع بالمطعم)")+0.004166666667*SUMIFS(الريسبي!$C$2:$C$1800,الريسبي!$A$2:$A$1800,$A182,الريسبي!$B$2:$B$1800,"عجين كريب صيامي (بدون لبن)")</f>
        <v>0</v>
      </c>
      <c r="AR182" s="117" t="n">
        <f aca="false">SUMIFS(الريسبي!$C$2:$C$1800,الريسبي!$A$2:$A$1800,$A182,الريسبي!$B$2:$B$1800,AR$1)</f>
        <v>0</v>
      </c>
      <c r="AS182" s="117" t="n">
        <f aca="false">SUMIFS(الريسبي!$C$2:$C$1800,الريسبي!$A$2:$A$1800,$A182,الريسبي!$B$2:$B$1800,AS$1)</f>
        <v>0</v>
      </c>
      <c r="AT182" s="117" t="n">
        <f aca="false">SUMIFS(الريسبي!$C$2:$C$1800,الريسبي!$A$2:$A$1800,$A182,الريسبي!$B$2:$B$1800,AT$1)</f>
        <v>0</v>
      </c>
      <c r="AU182" s="117" t="n">
        <f aca="false">SUMIFS(الريسبي!$C$2:$C$1800,الريسبي!$A$2:$A$1800,$A182,الريسبي!$B$2:$B$1800,AU$1)</f>
        <v>0</v>
      </c>
      <c r="AV182" s="117" t="n">
        <f aca="false">SUMIFS(الريسبي!$C$2:$C$1800,الريسبي!$A$2:$A$1800,$A182,الريسبي!$B$2:$B$1800,AV$1)</f>
        <v>0</v>
      </c>
      <c r="AW182" s="117" t="n">
        <f aca="false">SUMIFS(الريسبي!$C$2:$C$1800,الريسبي!$A$2:$A$1800,$A182,الريسبي!$B$2:$B$1800,AW$1)</f>
        <v>0</v>
      </c>
      <c r="AX182" s="117" t="n">
        <f aca="false">SUMIFS(الريسبي!$C$2:$C$1800,الريسبي!$A$2:$A$1800,$A182,الريسبي!$B$2:$B$1800,AX$1)</f>
        <v>0</v>
      </c>
      <c r="AY182" s="117" t="n">
        <f aca="false">SUMIFS(الريسبي!$C$2:$C$1800,الريسبي!$A$2:$A$1800,$A182,الريسبي!$B$2:$B$1800,AY$1)</f>
        <v>0</v>
      </c>
      <c r="AZ182" s="117" t="n">
        <f aca="false">SUMIFS(الريسبي!$C$2:$C$1800,الريسبي!$A$2:$A$1800,$A182,الريسبي!$B$2:$B$1800,AZ$1)</f>
        <v>0</v>
      </c>
      <c r="BA182" s="117" t="n">
        <f aca="false">SUMIFS(الريسبي!$C$2:$C$1800,الريسبي!$A$2:$A$1800,$A182,الريسبي!$B$2:$B$1800,BA$1)</f>
        <v>0</v>
      </c>
      <c r="BB182" s="117" t="n">
        <f aca="false">SUMIFS(الريسبي!$C$2:$C$1800,الريسبي!$A$2:$A$1800,$A182,الريسبي!$B$2:$B$1800,BB$1)</f>
        <v>0</v>
      </c>
      <c r="BC182" s="117" t="n">
        <f aca="false">SUMIFS(الريسبي!$C$2:$C$1800,الريسبي!$A$2:$A$1800,$A182,الريسبي!$B$2:$B$1800,BC$1)</f>
        <v>0</v>
      </c>
      <c r="BD182" s="117" t="n">
        <f aca="false">SUMIFS(الريسبي!$C$2:$C$1800,الريسبي!$A$2:$A$1800,$A182,الريسبي!$B$2:$B$1800,BD$1)</f>
        <v>0</v>
      </c>
      <c r="BE182" s="117" t="n">
        <f aca="false">SUMIFS(الريسبي!$C$2:$C$1800,الريسبي!$A$2:$A$1800,$A182,الريسبي!$B$2:$B$1800,BE$1)</f>
        <v>0</v>
      </c>
      <c r="BF182" s="117" t="n">
        <f aca="false">SUMIFS(الريسبي!$C$2:$C$1800,الريسبي!$A$2:$A$1800,$A182,الريسبي!$B$2:$B$1800,BF$1)</f>
        <v>0</v>
      </c>
      <c r="BG182" s="117" t="n">
        <f aca="false">SUMIFS(الريسبي!$C$2:$C$1800,الريسبي!$A$2:$A$1800,$A182,الريسبي!$B$2:$B$1800,BG$1)</f>
        <v>0</v>
      </c>
      <c r="BH182" s="117" t="n">
        <f aca="false">SUMIFS(الريسبي!$C$2:$C$1800,الريسبي!$A$2:$A$1800,$A182,الريسبي!$B$2:$B$1800,BH$1)</f>
        <v>0</v>
      </c>
      <c r="BI182" s="117" t="n">
        <f aca="false">SUMIFS(الريسبي!$C$2:$C$1800,الريسبي!$A$2:$A$1800,$A182,الريسبي!$B$2:$B$1800,BI$1)</f>
        <v>0</v>
      </c>
      <c r="BJ182" s="117" t="n">
        <f aca="false">SUMIFS(الريسبي!$C$2:$C$1800,الريسبي!$A$2:$A$1800,$A182,الريسبي!$B$2:$B$1800,BJ$1)</f>
        <v>0</v>
      </c>
      <c r="BK182" s="117" t="n">
        <f aca="false">SUMIFS(الريسبي!$C$2:$C$1800,الريسبي!$A$2:$A$1800,$A182,الريسبي!$B$2:$B$1800,BK$1)</f>
        <v>0</v>
      </c>
      <c r="BL182" s="117" t="n">
        <f aca="false">SUMIFS(الريسبي!$C$2:$C$1800,الريسبي!$A$2:$A$1800,$A182,الريسبي!$B$2:$B$1800,BL$1)</f>
        <v>0</v>
      </c>
      <c r="BM182" s="117" t="n">
        <f aca="false">SUMIFS(الريسبي!$C$2:$C$1800,الريسبي!$A$2:$A$1800,$A182,الريسبي!$B$2:$B$1800,BM$1)</f>
        <v>0</v>
      </c>
      <c r="BN182" s="117" t="n">
        <f aca="false">SUMIFS(الريسبي!$C$2:$C$1800,الريسبي!$A$2:$A$1800,$A182,الريسبي!$B$2:$B$1800,BN$1)</f>
        <v>0</v>
      </c>
      <c r="BO182" s="117" t="n">
        <f aca="false">SUMIFS(الريسبي!$C$2:$C$1800,الريسبي!$A$2:$A$1800,$A182,الريسبي!$B$2:$B$1800,BO$1)</f>
        <v>0</v>
      </c>
      <c r="BP182" s="117" t="n">
        <f aca="false">SUMIFS(الريسبي!$C$2:$C$1800,الريسبي!$A$2:$A$1800,$A182,الريسبي!$B$2:$B$1800,BP$1)</f>
        <v>0</v>
      </c>
      <c r="BQ182" s="117" t="n">
        <f aca="false">SUMIFS(الريسبي!$C$2:$C$1800,الريسبي!$A$2:$A$1800,$A182,الريسبي!$B$2:$B$1800,BQ$1)+0.17*SUMIFS(الريسبي!$C$2:$C$1800,الريسبي!$A$2:$A$1800,$A182,الريسبي!$B$2:$B$1800,"كاسترد مصنع (خليط بودر + لبن)")+0.17*SUMIFS(الريسبي!$C$2:$C$1800,الريسبي!$A$2:$A$1800,$A182,الريسبي!$B$2:$B$1800,"كاسترد مصنع صيامي (بدون لبن)")</f>
        <v>0</v>
      </c>
      <c r="BR182" s="117" t="n">
        <f aca="false">SUMIFS(الريسبي!$C$2:$C$1800,الريسبي!$A$2:$A$1800,$A182,الريسبي!$B$2:$B$1800,BR$1)</f>
        <v>0</v>
      </c>
      <c r="BS182" s="117" t="n">
        <f aca="false">SUMIFS(الريسبي!$C$2:$C$1800,الريسبي!$A$2:$A$1800,$A182,الريسبي!$B$2:$B$1800,BS$1)</f>
        <v>0</v>
      </c>
      <c r="BT182" s="117" t="n">
        <f aca="false">SUMIFS(الريسبي!$C$2:$C$1800,الريسبي!$A$2:$A$1800,$A182,الريسبي!$B$2:$B$1800,BT$1)</f>
        <v>0</v>
      </c>
      <c r="BU182" s="117" t="n">
        <f aca="false">SUMIFS(الريسبي!$C$2:$C$1800,الريسبي!$A$2:$A$1800,$A182,الريسبي!$B$2:$B$1800,BU$1)+0.4*SUMIFS(الريسبي!$C$2:$C$1800,الريسبي!$A$2:$A$1800,$A182,الريسبي!$B$2:$B$1800,"كاسترد مصنع (خليط بودر + لبن)")+0.03333333333*SUMIFS(الريسبي!$C$2:$C$1800,الريسبي!$A$2:$A$1800,$A182,الريسبي!$B$2:$B$1800,"عجين كريب (مصنع بالمطعم)")</f>
        <v>0</v>
      </c>
      <c r="BV182" s="117" t="n">
        <f aca="false">SUMIFS(الريسبي!$C$2:$C$1800,الريسبي!$A$2:$A$1800,$A182,الريسبي!$B$2:$B$1800,BV$1)</f>
        <v>0</v>
      </c>
      <c r="BW182" s="117" t="n">
        <f aca="false">SUMIFS(الريسبي!$C$2:$C$1800,الريسبي!$A$2:$A$1800,$A182,الريسبي!$B$2:$B$1800,BW$1)</f>
        <v>0</v>
      </c>
      <c r="BX182" s="117" t="n">
        <f aca="false">SUMIFS(الريسبي!$C$2:$C$1800,الريسبي!$A$2:$A$1800,$A182,الريسبي!$B$2:$B$1800,BX$1)</f>
        <v>0</v>
      </c>
      <c r="BY182" s="117" t="n">
        <f aca="false">SUMIFS(الريسبي!$C$2:$C$1800,الريسبي!$A$2:$A$1800,$A182,الريسبي!$B$2:$B$1800,BY$1)</f>
        <v>0</v>
      </c>
      <c r="BZ182" s="117" t="n">
        <f aca="false">SUMIFS(الريسبي!$C$2:$C$1800,الريسبي!$A$2:$A$1800,$A182,الريسبي!$B$2:$B$1800,BZ$1)</f>
        <v>0</v>
      </c>
      <c r="CA182" s="117" t="n">
        <f aca="false">SUMIFS(الريسبي!$C$2:$C$1800,الريسبي!$A$2:$A$1800,$A182,الريسبي!$B$2:$B$1800,CA$1)</f>
        <v>0</v>
      </c>
      <c r="CB182" s="117" t="n">
        <f aca="false">SUMIFS(الريسبي!$C$2:$C$1800,الريسبي!$A$2:$A$1800,$A182,الريسبي!$B$2:$B$1800,CB$1)</f>
        <v>0</v>
      </c>
      <c r="CC182" s="117" t="n">
        <f aca="false">SUMIFS(الريسبي!$C$2:$C$1800,الريسبي!$A$2:$A$1800,$A182,الريسبي!$B$2:$B$1800,CC$1)</f>
        <v>0</v>
      </c>
      <c r="CD182" s="117" t="n">
        <f aca="false">SUMIFS(الريسبي!$C$2:$C$1800,الريسبي!$A$2:$A$1800,$A182,الريسبي!$B$2:$B$1800,CD$1)</f>
        <v>0</v>
      </c>
      <c r="CE182" s="117" t="n">
        <f aca="false">SUMIFS(الريسبي!$C$2:$C$1800,الريسبي!$A$2:$A$1800,$A182,الريسبي!$B$2:$B$1800,CE$1)</f>
        <v>0</v>
      </c>
      <c r="CF182" s="117" t="n">
        <f aca="false">SUMIFS(الريسبي!$C$2:$C$1800,الريسبي!$A$2:$A$1800,$A182,الريسبي!$B$2:$B$1800,CF$1)</f>
        <v>0</v>
      </c>
      <c r="CG182" s="117" t="n">
        <f aca="false">SUMIFS(الريسبي!$C$2:$C$1800,الريسبي!$A$2:$A$1800,$A182,الريسبي!$B$2:$B$1800,CG$1)</f>
        <v>0</v>
      </c>
      <c r="CH182" s="117" t="n">
        <f aca="false">SUMIFS(الريسبي!$C$2:$C$1800,الريسبي!$A$2:$A$1800,$A182,الريسبي!$B$2:$B$1800,CH$1)</f>
        <v>0</v>
      </c>
      <c r="CI182" s="117" t="n">
        <f aca="false">SUMIFS(الريسبي!$C$2:$C$1800,الريسبي!$A$2:$A$1800,$A182,الريسبي!$B$2:$B$1800,CI$1)</f>
        <v>0</v>
      </c>
      <c r="CJ182" s="117" t="n">
        <f aca="false">SUMIFS(الريسبي!$C$2:$C$1800,الريسبي!$A$2:$A$1800,$A182,الريسبي!$B$2:$B$1800,CJ$1)</f>
        <v>0</v>
      </c>
      <c r="CK182" s="117" t="n">
        <f aca="false">SUMIFS(الريسبي!$C$2:$C$1800,الريسبي!$A$2:$A$1800,$A182,الريسبي!$B$2:$B$1800,CK$1)</f>
        <v>0</v>
      </c>
      <c r="CL182" s="117" t="n">
        <f aca="false">SUMIFS(الريسبي!$C$2:$C$1800,الريسبي!$A$2:$A$1800,$A182,الريسبي!$B$2:$B$1800,CL$1)</f>
        <v>0</v>
      </c>
    </row>
    <row r="183" customFormat="false" ht="15" hidden="false" customHeight="false" outlineLevel="0" collapsed="false">
      <c r="A183" s="116" t="str">
        <f aca="false">المنيو!B183</f>
        <v>وجبة أطفال بيتزا مارجريتا</v>
      </c>
      <c r="B183" s="117" t="n">
        <f aca="false">SUMIFS(الريسبي!$C$2:$C$1800,الريسبي!$A$2:$A$1800,$A183,الريسبي!$B$2:$B$1800,B$1)</f>
        <v>0</v>
      </c>
      <c r="C183" s="117" t="n">
        <f aca="false">SUMIFS(الريسبي!$C$2:$C$1800,الريسبي!$A$2:$A$1800,$A183,الريسبي!$B$2:$B$1800,C$1)</f>
        <v>0</v>
      </c>
      <c r="D183" s="117" t="n">
        <f aca="false">SUMIFS(الريسبي!$C$2:$C$1800,الريسبي!$A$2:$A$1800,$A183,الريسبي!$B$2:$B$1800,D$1)</f>
        <v>0.5</v>
      </c>
      <c r="E183" s="117" t="n">
        <f aca="false">SUMIFS(الريسبي!$C$2:$C$1800,الريسبي!$A$2:$A$1800,$A183,الريسبي!$B$2:$B$1800,E$1)</f>
        <v>0</v>
      </c>
      <c r="F183" s="117" t="n">
        <f aca="false">SUMIFS(الريسبي!$C$2:$C$1800,الريسبي!$A$2:$A$1800,$A183,الريسبي!$B$2:$B$1800,F$1)</f>
        <v>0</v>
      </c>
      <c r="G183" s="117" t="n">
        <f aca="false">SUMIFS(الريسبي!$C$2:$C$1800,الريسبي!$A$2:$A$1800,$A183,الريسبي!$B$2:$B$1800,G$1)</f>
        <v>0</v>
      </c>
      <c r="H183" s="117" t="n">
        <f aca="false">SUMIFS(الريسبي!$C$2:$C$1800,الريسبي!$A$2:$A$1800,$A183,الريسبي!$B$2:$B$1800,H$1)</f>
        <v>0</v>
      </c>
      <c r="I183" s="117" t="n">
        <f aca="false">SUMIFS(الريسبي!$C$2:$C$1800,الريسبي!$A$2:$A$1800,$A183,الريسبي!$B$2:$B$1800,I$1)</f>
        <v>1</v>
      </c>
      <c r="J183" s="117" t="n">
        <f aca="false">SUMIFS(الريسبي!$C$2:$C$1800,الريسبي!$A$2:$A$1800,$A183,الريسبي!$B$2:$B$1800,J$1)</f>
        <v>0</v>
      </c>
      <c r="K183" s="117" t="n">
        <f aca="false">SUMIFS(الريسبي!$C$2:$C$1800,الريسبي!$A$2:$A$1800,$A183,الريسبي!$B$2:$B$1800,K$1)</f>
        <v>0</v>
      </c>
      <c r="L183" s="117" t="n">
        <f aca="false">SUMIFS(الريسبي!$C$2:$C$1800,الريسبي!$A$2:$A$1800,$A183,الريسبي!$B$2:$B$1800,L$1)</f>
        <v>0</v>
      </c>
      <c r="M183" s="117" t="n">
        <f aca="false">SUMIFS(الريسبي!$C$2:$C$1800,الريسبي!$A$2:$A$1800,$A183,الريسبي!$B$2:$B$1800,M$1)</f>
        <v>0</v>
      </c>
      <c r="N183" s="117" t="n">
        <f aca="false">SUMIFS(الريسبي!$C$2:$C$1800,الريسبي!$A$2:$A$1800,$A183,الريسبي!$B$2:$B$1800,N$1)</f>
        <v>0</v>
      </c>
      <c r="O183" s="117" t="n">
        <f aca="false">SUMIFS(الريسبي!$C$2:$C$1800,الريسبي!$A$2:$A$1800,$A183,الريسبي!$B$2:$B$1800,O$1)</f>
        <v>0</v>
      </c>
      <c r="P183" s="117" t="n">
        <f aca="false">SUMIFS(الريسبي!$C$2:$C$1800,الريسبي!$A$2:$A$1800,$A183,الريسبي!$B$2:$B$1800,P$1)</f>
        <v>0</v>
      </c>
      <c r="Q183" s="117" t="n">
        <f aca="false">SUMIFS(الريسبي!$C$2:$C$1800,الريسبي!$A$2:$A$1800,$A183,الريسبي!$B$2:$B$1800,Q$1)</f>
        <v>0</v>
      </c>
      <c r="R183" s="117" t="n">
        <f aca="false">SUMIFS(الريسبي!$C$2:$C$1800,الريسبي!$A$2:$A$1800,$A183,الريسبي!$B$2:$B$1800,R$1)</f>
        <v>0</v>
      </c>
      <c r="S183" s="117" t="n">
        <f aca="false">SUMIFS(الريسبي!$C$2:$C$1800,الريسبي!$A$2:$A$1800,$A183,الريسبي!$B$2:$B$1800,S$1)</f>
        <v>0</v>
      </c>
      <c r="T183" s="117" t="n">
        <f aca="false">SUMIFS(الريسبي!$C$2:$C$1800,الريسبي!$A$2:$A$1800,$A183,الريسبي!$B$2:$B$1800,T$1)</f>
        <v>0</v>
      </c>
      <c r="U183" s="117" t="n">
        <f aca="false">SUMIFS(الريسبي!$C$2:$C$1800,الريسبي!$A$2:$A$1800,$A183,الريسبي!$B$2:$B$1800,U$1)</f>
        <v>0</v>
      </c>
      <c r="V183" s="117" t="n">
        <f aca="false">SUMIFS(الريسبي!$C$2:$C$1800,الريسبي!$A$2:$A$1800,$A183,الريسبي!$B$2:$B$1800,V$1)+1.5*(SUMIFS(الريسبي!$C$2:$C$1800,الريسبي!$A$2:$A$1800,$A183,الريسبي!$B$2:$B$1800,"برسيون موتزريلا بيتزا كبير"))</f>
        <v>0.5</v>
      </c>
      <c r="W183" s="117" t="n">
        <f aca="false">0</f>
        <v>0</v>
      </c>
      <c r="X183" s="117" t="n">
        <f aca="false">SUMIFS(الريسبي!$C$2:$C$1800,الريسبي!$A$2:$A$1800,$A183,الريسبي!$B$2:$B$1800,X$1)+1.5*(SUMIFS(الريسبي!$C$2:$C$1800,الريسبي!$A$2:$A$1800,$A183,الريسبي!$B$2:$B$1800,"برسيون موتزريلا فطير كبير"))</f>
        <v>0</v>
      </c>
      <c r="Y183" s="117" t="n">
        <f aca="false">0</f>
        <v>0</v>
      </c>
      <c r="Z183" s="117" t="n">
        <f aca="false">SUMIFS(الريسبي!$C$2:$C$1800,الريسبي!$A$2:$A$1800,$A183,الريسبي!$B$2:$B$1800,Z$1)</f>
        <v>0</v>
      </c>
      <c r="AA183" s="117" t="n">
        <f aca="false">SUMIFS(الريسبي!$C$2:$C$1800,الريسبي!$A$2:$A$1800,$A183,الريسبي!$B$2:$B$1800,AA$1)</f>
        <v>0</v>
      </c>
      <c r="AB183" s="117" t="n">
        <f aca="false">SUMIFS(الريسبي!$C$2:$C$1800,الريسبي!$A$2:$A$1800,$A183,الريسبي!$B$2:$B$1800,AB$1)</f>
        <v>0</v>
      </c>
      <c r="AC183" s="117" t="n">
        <f aca="false">SUMIFS(الريسبي!$C$2:$C$1800,الريسبي!$A$2:$A$1800,$A183,الريسبي!$B$2:$B$1800,AC$1)</f>
        <v>0</v>
      </c>
      <c r="AD183" s="117" t="n">
        <f aca="false">SUMIFS(الريسبي!$C$2:$C$1800,الريسبي!$A$2:$A$1800,$A183,الريسبي!$B$2:$B$1800,AD$1)</f>
        <v>0</v>
      </c>
      <c r="AE183" s="117" t="n">
        <f aca="false">SUMIFS(الريسبي!$C$2:$C$1800,الريسبي!$A$2:$A$1800,$A183,الريسبي!$B$2:$B$1800,AE$1)</f>
        <v>0</v>
      </c>
      <c r="AF183" s="117" t="n">
        <f aca="false">SUMIFS(الريسبي!$C$2:$C$1800,الريسبي!$A$2:$A$1800,$A183,الريسبي!$B$2:$B$1800,AF$1)</f>
        <v>0</v>
      </c>
      <c r="AG183" s="117" t="n">
        <f aca="false">SUMIFS(الريسبي!$C$2:$C$1800,الريسبي!$A$2:$A$1800,$A183,الريسبي!$B$2:$B$1800,AG$1)</f>
        <v>0</v>
      </c>
      <c r="AH183" s="117" t="n">
        <f aca="false">SUMIFS(الريسبي!$C$2:$C$1800,الريسبي!$A$2:$A$1800,$A183,الريسبي!$B$2:$B$1800,AH$1)</f>
        <v>0</v>
      </c>
      <c r="AI183" s="117" t="n">
        <f aca="false">SUMIFS(الريسبي!$C$2:$C$1800,الريسبي!$A$2:$A$1800,$A183,الريسبي!$B$2:$B$1800,AI$1)</f>
        <v>0</v>
      </c>
      <c r="AJ183" s="117" t="n">
        <f aca="false">SUMIFS(الريسبي!$C$2:$C$1800,الريسبي!$A$2:$A$1800,$A183,الريسبي!$B$2:$B$1800,AJ$1)</f>
        <v>1</v>
      </c>
      <c r="AK183" s="117" t="n">
        <f aca="false">SUMIFS(الريسبي!$C$2:$C$1800,الريسبي!$A$2:$A$1800,$A183,الريسبي!$B$2:$B$1800,AK$1)</f>
        <v>0</v>
      </c>
      <c r="AL183" s="117" t="n">
        <f aca="false">SUMIFS(الريسبي!$C$2:$C$1800,الريسبي!$A$2:$A$1800,$A183,الريسبي!$B$2:$B$1800,AL$1)</f>
        <v>0</v>
      </c>
      <c r="AM183" s="117" t="n">
        <f aca="false">SUMIFS(الريسبي!$C$2:$C$1800,الريسبي!$A$2:$A$1800,$A183,الريسبي!$B$2:$B$1800,AM$1)+0.08333333333*SUMIFS(الريسبي!$C$2:$C$1800,الريسبي!$A$2:$A$1800,$A183,الريسبي!$B$2:$B$1800,"عجين كريب (مصنع بالمطعم)")+0.08333333333*SUMIFS(الريسبي!$C$2:$C$1800,الريسبي!$A$2:$A$1800,$A183,الريسبي!$B$2:$B$1800,"عجين كريب صيامي (بدون لبن)")</f>
        <v>0</v>
      </c>
      <c r="AN183" s="117" t="n">
        <f aca="false">SUMIFS(الريسبي!$C$2:$C$1800,الريسبي!$A$2:$A$1800,$A183,الريسبي!$B$2:$B$1800,AN$1)+0.004166666667*SUMIFS(الريسبي!$C$2:$C$1800,الريسبي!$A$2:$A$1800,$A183,الريسبي!$B$2:$B$1800,"عجين كريب (مصنع بالمطعم)")+0.004166666667*SUMIFS(الريسبي!$C$2:$C$1800,الريسبي!$A$2:$A$1800,$A183,الريسبي!$B$2:$B$1800,"عجين كريب صيامي (بدون لبن)")</f>
        <v>0</v>
      </c>
      <c r="AO183" s="117" t="n">
        <f aca="false">SUMIFS(الريسبي!$C$2:$C$1800,الريسبي!$A$2:$A$1800,$A183,الريسبي!$B$2:$B$1800,AO$1)</f>
        <v>0</v>
      </c>
      <c r="AP183" s="117" t="n">
        <f aca="false">SUMIFS(الريسبي!$C$2:$C$1800,الريسبي!$A$2:$A$1800,$A183,الريسبي!$B$2:$B$1800,AP$1)</f>
        <v>0.01</v>
      </c>
      <c r="AQ183" s="117" t="n">
        <f aca="false">SUMIFS(الريسبي!$C$2:$C$1800,الريسبي!$A$2:$A$1800,$A183,الريسبي!$B$2:$B$1800,AQ$1)+0.004166666667*SUMIFS(الريسبي!$C$2:$C$1800,الريسبي!$A$2:$A$1800,$A183,الريسبي!$B$2:$B$1800,"عجين كريب (مصنع بالمطعم)")+0.004166666667*SUMIFS(الريسبي!$C$2:$C$1800,الريسبي!$A$2:$A$1800,$A183,الريسبي!$B$2:$B$1800,"عجين كريب صيامي (بدون لبن)")</f>
        <v>0</v>
      </c>
      <c r="AR183" s="117" t="n">
        <f aca="false">SUMIFS(الريسبي!$C$2:$C$1800,الريسبي!$A$2:$A$1800,$A183,الريسبي!$B$2:$B$1800,AR$1)</f>
        <v>0</v>
      </c>
      <c r="AS183" s="117" t="n">
        <f aca="false">SUMIFS(الريسبي!$C$2:$C$1800,الريسبي!$A$2:$A$1800,$A183,الريسبي!$B$2:$B$1800,AS$1)</f>
        <v>0</v>
      </c>
      <c r="AT183" s="117" t="n">
        <f aca="false">SUMIFS(الريسبي!$C$2:$C$1800,الريسبي!$A$2:$A$1800,$A183,الريسبي!$B$2:$B$1800,AT$1)</f>
        <v>0</v>
      </c>
      <c r="AU183" s="117" t="n">
        <f aca="false">SUMIFS(الريسبي!$C$2:$C$1800,الريسبي!$A$2:$A$1800,$A183,الريسبي!$B$2:$B$1800,AU$1)</f>
        <v>0</v>
      </c>
      <c r="AV183" s="117" t="n">
        <f aca="false">SUMIFS(الريسبي!$C$2:$C$1800,الريسبي!$A$2:$A$1800,$A183,الريسبي!$B$2:$B$1800,AV$1)</f>
        <v>0</v>
      </c>
      <c r="AW183" s="117" t="n">
        <f aca="false">SUMIFS(الريسبي!$C$2:$C$1800,الريسبي!$A$2:$A$1800,$A183,الريسبي!$B$2:$B$1800,AW$1)</f>
        <v>0</v>
      </c>
      <c r="AX183" s="117" t="n">
        <f aca="false">SUMIFS(الريسبي!$C$2:$C$1800,الريسبي!$A$2:$A$1800,$A183,الريسبي!$B$2:$B$1800,AX$1)</f>
        <v>0.02</v>
      </c>
      <c r="AY183" s="117" t="n">
        <f aca="false">SUMIFS(الريسبي!$C$2:$C$1800,الريسبي!$A$2:$A$1800,$A183,الريسبي!$B$2:$B$1800,AY$1)</f>
        <v>0</v>
      </c>
      <c r="AZ183" s="117" t="n">
        <f aca="false">SUMIFS(الريسبي!$C$2:$C$1800,الريسبي!$A$2:$A$1800,$A183,الريسبي!$B$2:$B$1800,AZ$1)</f>
        <v>0</v>
      </c>
      <c r="BA183" s="117" t="n">
        <f aca="false">SUMIFS(الريسبي!$C$2:$C$1800,الريسبي!$A$2:$A$1800,$A183,الريسبي!$B$2:$B$1800,BA$1)</f>
        <v>0</v>
      </c>
      <c r="BB183" s="117" t="n">
        <f aca="false">SUMIFS(الريسبي!$C$2:$C$1800,الريسبي!$A$2:$A$1800,$A183,الريسبي!$B$2:$B$1800,BB$1)</f>
        <v>0</v>
      </c>
      <c r="BC183" s="117" t="n">
        <f aca="false">SUMIFS(الريسبي!$C$2:$C$1800,الريسبي!$A$2:$A$1800,$A183,الريسبي!$B$2:$B$1800,BC$1)</f>
        <v>0.015</v>
      </c>
      <c r="BD183" s="117" t="n">
        <f aca="false">SUMIFS(الريسبي!$C$2:$C$1800,الريسبي!$A$2:$A$1800,$A183,الريسبي!$B$2:$B$1800,BD$1)</f>
        <v>0.11</v>
      </c>
      <c r="BE183" s="117" t="n">
        <f aca="false">SUMIFS(الريسبي!$C$2:$C$1800,الريسبي!$A$2:$A$1800,$A183,الريسبي!$B$2:$B$1800,BE$1)</f>
        <v>0</v>
      </c>
      <c r="BF183" s="117" t="n">
        <f aca="false">SUMIFS(الريسبي!$C$2:$C$1800,الريسبي!$A$2:$A$1800,$A183,الريسبي!$B$2:$B$1800,BF$1)</f>
        <v>0</v>
      </c>
      <c r="BG183" s="117" t="n">
        <f aca="false">SUMIFS(الريسبي!$C$2:$C$1800,الريسبي!$A$2:$A$1800,$A183,الريسبي!$B$2:$B$1800,BG$1)</f>
        <v>0</v>
      </c>
      <c r="BH183" s="117" t="n">
        <f aca="false">SUMIFS(الريسبي!$C$2:$C$1800,الريسبي!$A$2:$A$1800,$A183,الريسبي!$B$2:$B$1800,BH$1)</f>
        <v>0.5</v>
      </c>
      <c r="BI183" s="117" t="n">
        <f aca="false">SUMIFS(الريسبي!$C$2:$C$1800,الريسبي!$A$2:$A$1800,$A183,الريسبي!$B$2:$B$1800,BI$1)</f>
        <v>0</v>
      </c>
      <c r="BJ183" s="117" t="n">
        <f aca="false">SUMIFS(الريسبي!$C$2:$C$1800,الريسبي!$A$2:$A$1800,$A183,الريسبي!$B$2:$B$1800,BJ$1)</f>
        <v>0</v>
      </c>
      <c r="BK183" s="117" t="n">
        <f aca="false">SUMIFS(الريسبي!$C$2:$C$1800,الريسبي!$A$2:$A$1800,$A183,الريسبي!$B$2:$B$1800,BK$1)</f>
        <v>0</v>
      </c>
      <c r="BL183" s="117" t="n">
        <f aca="false">SUMIFS(الريسبي!$C$2:$C$1800,الريسبي!$A$2:$A$1800,$A183,الريسبي!$B$2:$B$1800,BL$1)</f>
        <v>0</v>
      </c>
      <c r="BM183" s="117" t="n">
        <f aca="false">SUMIFS(الريسبي!$C$2:$C$1800,الريسبي!$A$2:$A$1800,$A183,الريسبي!$B$2:$B$1800,BM$1)</f>
        <v>0</v>
      </c>
      <c r="BN183" s="117" t="n">
        <f aca="false">SUMIFS(الريسبي!$C$2:$C$1800,الريسبي!$A$2:$A$1800,$A183,الريسبي!$B$2:$B$1800,BN$1)</f>
        <v>0.01</v>
      </c>
      <c r="BO183" s="117" t="n">
        <f aca="false">SUMIFS(الريسبي!$C$2:$C$1800,الريسبي!$A$2:$A$1800,$A183,الريسبي!$B$2:$B$1800,BO$1)</f>
        <v>0</v>
      </c>
      <c r="BP183" s="117" t="n">
        <f aca="false">SUMIFS(الريسبي!$C$2:$C$1800,الريسبي!$A$2:$A$1800,$A183,الريسبي!$B$2:$B$1800,BP$1)</f>
        <v>1</v>
      </c>
      <c r="BQ183" s="117" t="n">
        <f aca="false">SUMIFS(الريسبي!$C$2:$C$1800,الريسبي!$A$2:$A$1800,$A183,الريسبي!$B$2:$B$1800,BQ$1)+0.17*SUMIFS(الريسبي!$C$2:$C$1800,الريسبي!$A$2:$A$1800,$A183,الريسبي!$B$2:$B$1800,"كاسترد مصنع (خليط بودر + لبن)")+0.17*SUMIFS(الريسبي!$C$2:$C$1800,الريسبي!$A$2:$A$1800,$A183,الريسبي!$B$2:$B$1800,"كاسترد مصنع صيامي (بدون لبن)")</f>
        <v>0</v>
      </c>
      <c r="BR183" s="117" t="n">
        <f aca="false">SUMIFS(الريسبي!$C$2:$C$1800,الريسبي!$A$2:$A$1800,$A183,الريسبي!$B$2:$B$1800,BR$1)</f>
        <v>0.5</v>
      </c>
      <c r="BS183" s="117" t="n">
        <f aca="false">SUMIFS(الريسبي!$C$2:$C$1800,الريسبي!$A$2:$A$1800,$A183,الريسبي!$B$2:$B$1800,BS$1)</f>
        <v>0</v>
      </c>
      <c r="BT183" s="117" t="n">
        <f aca="false">SUMIFS(الريسبي!$C$2:$C$1800,الريسبي!$A$2:$A$1800,$A183,الريسبي!$B$2:$B$1800,BT$1)</f>
        <v>0</v>
      </c>
      <c r="BU183" s="117" t="n">
        <f aca="false">SUMIFS(الريسبي!$C$2:$C$1800,الريسبي!$A$2:$A$1800,$A183,الريسبي!$B$2:$B$1800,BU$1)+0.4*SUMIFS(الريسبي!$C$2:$C$1800,الريسبي!$A$2:$A$1800,$A183,الريسبي!$B$2:$B$1800,"كاسترد مصنع (خليط بودر + لبن)")+0.03333333333*SUMIFS(الريسبي!$C$2:$C$1800,الريسبي!$A$2:$A$1800,$A183,الريسبي!$B$2:$B$1800,"عجين كريب (مصنع بالمطعم)")</f>
        <v>0</v>
      </c>
      <c r="BV183" s="117" t="n">
        <f aca="false">SUMIFS(الريسبي!$C$2:$C$1800,الريسبي!$A$2:$A$1800,$A183,الريسبي!$B$2:$B$1800,BV$1)</f>
        <v>1</v>
      </c>
      <c r="BW183" s="117" t="n">
        <f aca="false">SUMIFS(الريسبي!$C$2:$C$1800,الريسبي!$A$2:$A$1800,$A183,الريسبي!$B$2:$B$1800,BW$1)</f>
        <v>0</v>
      </c>
      <c r="BX183" s="117" t="n">
        <f aca="false">SUMIFS(الريسبي!$C$2:$C$1800,الريسبي!$A$2:$A$1800,$A183,الريسبي!$B$2:$B$1800,BX$1)</f>
        <v>0</v>
      </c>
      <c r="BY183" s="117" t="n">
        <f aca="false">SUMIFS(الريسبي!$C$2:$C$1800,الريسبي!$A$2:$A$1800,$A183,الريسبي!$B$2:$B$1800,BY$1)</f>
        <v>0</v>
      </c>
      <c r="BZ183" s="117" t="n">
        <f aca="false">SUMIFS(الريسبي!$C$2:$C$1800,الريسبي!$A$2:$A$1800,$A183,الريسبي!$B$2:$B$1800,BZ$1)</f>
        <v>0</v>
      </c>
      <c r="CA183" s="117" t="n">
        <f aca="false">SUMIFS(الريسبي!$C$2:$C$1800,الريسبي!$A$2:$A$1800,$A183,الريسبي!$B$2:$B$1800,CA$1)</f>
        <v>0.5</v>
      </c>
      <c r="CB183" s="117" t="n">
        <f aca="false">SUMIFS(الريسبي!$C$2:$C$1800,الريسبي!$A$2:$A$1800,$A183,الريسبي!$B$2:$B$1800,CB$1)</f>
        <v>0.5</v>
      </c>
      <c r="CC183" s="117" t="n">
        <f aca="false">SUMIFS(الريسبي!$C$2:$C$1800,الريسبي!$A$2:$A$1800,$A183,الريسبي!$B$2:$B$1800,CC$1)</f>
        <v>0</v>
      </c>
      <c r="CD183" s="117" t="n">
        <f aca="false">SUMIFS(الريسبي!$C$2:$C$1800,الريسبي!$A$2:$A$1800,$A183,الريسبي!$B$2:$B$1800,CD$1)</f>
        <v>0</v>
      </c>
      <c r="CE183" s="117" t="n">
        <f aca="false">SUMIFS(الريسبي!$C$2:$C$1800,الريسبي!$A$2:$A$1800,$A183,الريسبي!$B$2:$B$1800,CE$1)</f>
        <v>0</v>
      </c>
      <c r="CF183" s="117" t="n">
        <f aca="false">SUMIFS(الريسبي!$C$2:$C$1800,الريسبي!$A$2:$A$1800,$A183,الريسبي!$B$2:$B$1800,CF$1)</f>
        <v>0</v>
      </c>
      <c r="CG183" s="117" t="n">
        <f aca="false">SUMIFS(الريسبي!$C$2:$C$1800,الريسبي!$A$2:$A$1800,$A183,الريسبي!$B$2:$B$1800,CG$1)</f>
        <v>0</v>
      </c>
      <c r="CH183" s="117" t="n">
        <f aca="false">SUMIFS(الريسبي!$C$2:$C$1800,الريسبي!$A$2:$A$1800,$A183,الريسبي!$B$2:$B$1800,CH$1)</f>
        <v>0</v>
      </c>
      <c r="CI183" s="117" t="n">
        <f aca="false">SUMIFS(الريسبي!$C$2:$C$1800,الريسبي!$A$2:$A$1800,$A183,الريسبي!$B$2:$B$1800,CI$1)</f>
        <v>0</v>
      </c>
      <c r="CJ183" s="117" t="n">
        <f aca="false">SUMIFS(الريسبي!$C$2:$C$1800,الريسبي!$A$2:$A$1800,$A183,الريسبي!$B$2:$B$1800,CJ$1)</f>
        <v>1</v>
      </c>
      <c r="CK183" s="117" t="n">
        <f aca="false">SUMIFS(الريسبي!$C$2:$C$1800,الريسبي!$A$2:$A$1800,$A183,الريسبي!$B$2:$B$1800,CK$1)</f>
        <v>0</v>
      </c>
      <c r="CL183" s="117" t="n">
        <f aca="false">SUMIFS(الريسبي!$C$2:$C$1800,الريسبي!$A$2:$A$1800,$A183,الريسبي!$B$2:$B$1800,CL$1)</f>
        <v>0</v>
      </c>
    </row>
    <row r="184" customFormat="false" ht="15" hidden="false" customHeight="false" outlineLevel="0" collapsed="false">
      <c r="A184" s="116" t="str">
        <f aca="false">المنيو!B184</f>
        <v>وجبة أطفال بيتزا سلامي</v>
      </c>
      <c r="B184" s="117" t="n">
        <f aca="false">SUMIFS(الريسبي!$C$2:$C$1800,الريسبي!$A$2:$A$1800,$A184,الريسبي!$B$2:$B$1800,B$1)</f>
        <v>0</v>
      </c>
      <c r="C184" s="117" t="n">
        <f aca="false">SUMIFS(الريسبي!$C$2:$C$1800,الريسبي!$A$2:$A$1800,$A184,الريسبي!$B$2:$B$1800,C$1)</f>
        <v>0</v>
      </c>
      <c r="D184" s="117" t="n">
        <f aca="false">SUMIFS(الريسبي!$C$2:$C$1800,الريسبي!$A$2:$A$1800,$A184,الريسبي!$B$2:$B$1800,D$1)</f>
        <v>0.5</v>
      </c>
      <c r="E184" s="117" t="n">
        <f aca="false">SUMIFS(الريسبي!$C$2:$C$1800,الريسبي!$A$2:$A$1800,$A184,الريسبي!$B$2:$B$1800,E$1)</f>
        <v>0</v>
      </c>
      <c r="F184" s="117" t="n">
        <f aca="false">SUMIFS(الريسبي!$C$2:$C$1800,الريسبي!$A$2:$A$1800,$A184,الريسبي!$B$2:$B$1800,F$1)</f>
        <v>0</v>
      </c>
      <c r="G184" s="117" t="n">
        <f aca="false">SUMIFS(الريسبي!$C$2:$C$1800,الريسبي!$A$2:$A$1800,$A184,الريسبي!$B$2:$B$1800,G$1)</f>
        <v>0</v>
      </c>
      <c r="H184" s="117" t="n">
        <f aca="false">SUMIFS(الريسبي!$C$2:$C$1800,الريسبي!$A$2:$A$1800,$A184,الريسبي!$B$2:$B$1800,H$1)</f>
        <v>0</v>
      </c>
      <c r="I184" s="117" t="n">
        <f aca="false">SUMIFS(الريسبي!$C$2:$C$1800,الريسبي!$A$2:$A$1800,$A184,الريسبي!$B$2:$B$1800,I$1)</f>
        <v>1</v>
      </c>
      <c r="J184" s="117" t="n">
        <f aca="false">SUMIFS(الريسبي!$C$2:$C$1800,الريسبي!$A$2:$A$1800,$A184,الريسبي!$B$2:$B$1800,J$1)</f>
        <v>0</v>
      </c>
      <c r="K184" s="117" t="n">
        <f aca="false">SUMIFS(الريسبي!$C$2:$C$1800,الريسبي!$A$2:$A$1800,$A184,الريسبي!$B$2:$B$1800,K$1)</f>
        <v>0</v>
      </c>
      <c r="L184" s="117" t="n">
        <f aca="false">SUMIFS(الريسبي!$C$2:$C$1800,الريسبي!$A$2:$A$1800,$A184,الريسبي!$B$2:$B$1800,L$1)</f>
        <v>0</v>
      </c>
      <c r="M184" s="117" t="n">
        <f aca="false">SUMIFS(الريسبي!$C$2:$C$1800,الريسبي!$A$2:$A$1800,$A184,الريسبي!$B$2:$B$1800,M$1)</f>
        <v>0</v>
      </c>
      <c r="N184" s="117" t="n">
        <f aca="false">SUMIFS(الريسبي!$C$2:$C$1800,الريسبي!$A$2:$A$1800,$A184,الريسبي!$B$2:$B$1800,N$1)</f>
        <v>0.5</v>
      </c>
      <c r="O184" s="117" t="n">
        <f aca="false">SUMIFS(الريسبي!$C$2:$C$1800,الريسبي!$A$2:$A$1800,$A184,الريسبي!$B$2:$B$1800,O$1)</f>
        <v>0</v>
      </c>
      <c r="P184" s="117" t="n">
        <f aca="false">SUMIFS(الريسبي!$C$2:$C$1800,الريسبي!$A$2:$A$1800,$A184,الريسبي!$B$2:$B$1800,P$1)</f>
        <v>0</v>
      </c>
      <c r="Q184" s="117" t="n">
        <f aca="false">SUMIFS(الريسبي!$C$2:$C$1800,الريسبي!$A$2:$A$1800,$A184,الريسبي!$B$2:$B$1800,Q$1)</f>
        <v>0</v>
      </c>
      <c r="R184" s="117" t="n">
        <f aca="false">SUMIFS(الريسبي!$C$2:$C$1800,الريسبي!$A$2:$A$1800,$A184,الريسبي!$B$2:$B$1800,R$1)</f>
        <v>0</v>
      </c>
      <c r="S184" s="117" t="n">
        <f aca="false">SUMIFS(الريسبي!$C$2:$C$1800,الريسبي!$A$2:$A$1800,$A184,الريسبي!$B$2:$B$1800,S$1)</f>
        <v>0</v>
      </c>
      <c r="T184" s="117" t="n">
        <f aca="false">SUMIFS(الريسبي!$C$2:$C$1800,الريسبي!$A$2:$A$1800,$A184,الريسبي!$B$2:$B$1800,T$1)</f>
        <v>0</v>
      </c>
      <c r="U184" s="117" t="n">
        <f aca="false">SUMIFS(الريسبي!$C$2:$C$1800,الريسبي!$A$2:$A$1800,$A184,الريسبي!$B$2:$B$1800,U$1)</f>
        <v>0</v>
      </c>
      <c r="V184" s="117" t="n">
        <f aca="false">SUMIFS(الريسبي!$C$2:$C$1800,الريسبي!$A$2:$A$1800,$A184,الريسبي!$B$2:$B$1800,V$1)+1.5*(SUMIFS(الريسبي!$C$2:$C$1800,الريسبي!$A$2:$A$1800,$A184,الريسبي!$B$2:$B$1800,"برسيون موتزريلا بيتزا كبير"))</f>
        <v>0.5</v>
      </c>
      <c r="W184" s="117" t="n">
        <f aca="false">0</f>
        <v>0</v>
      </c>
      <c r="X184" s="117" t="n">
        <f aca="false">SUMIFS(الريسبي!$C$2:$C$1800,الريسبي!$A$2:$A$1800,$A184,الريسبي!$B$2:$B$1800,X$1)+1.5*(SUMIFS(الريسبي!$C$2:$C$1800,الريسبي!$A$2:$A$1800,$A184,الريسبي!$B$2:$B$1800,"برسيون موتزريلا فطير كبير"))</f>
        <v>0</v>
      </c>
      <c r="Y184" s="117" t="n">
        <f aca="false">0</f>
        <v>0</v>
      </c>
      <c r="Z184" s="117" t="n">
        <f aca="false">SUMIFS(الريسبي!$C$2:$C$1800,الريسبي!$A$2:$A$1800,$A184,الريسبي!$B$2:$B$1800,Z$1)</f>
        <v>0</v>
      </c>
      <c r="AA184" s="117" t="n">
        <f aca="false">SUMIFS(الريسبي!$C$2:$C$1800,الريسبي!$A$2:$A$1800,$A184,الريسبي!$B$2:$B$1800,AA$1)</f>
        <v>0</v>
      </c>
      <c r="AB184" s="117" t="n">
        <f aca="false">SUMIFS(الريسبي!$C$2:$C$1800,الريسبي!$A$2:$A$1800,$A184,الريسبي!$B$2:$B$1800,AB$1)</f>
        <v>0</v>
      </c>
      <c r="AC184" s="117" t="n">
        <f aca="false">SUMIFS(الريسبي!$C$2:$C$1800,الريسبي!$A$2:$A$1800,$A184,الريسبي!$B$2:$B$1800,AC$1)</f>
        <v>0</v>
      </c>
      <c r="AD184" s="117" t="n">
        <f aca="false">SUMIFS(الريسبي!$C$2:$C$1800,الريسبي!$A$2:$A$1800,$A184,الريسبي!$B$2:$B$1800,AD$1)</f>
        <v>0</v>
      </c>
      <c r="AE184" s="117" t="n">
        <f aca="false">SUMIFS(الريسبي!$C$2:$C$1800,الريسبي!$A$2:$A$1800,$A184,الريسبي!$B$2:$B$1800,AE$1)</f>
        <v>0</v>
      </c>
      <c r="AF184" s="117" t="n">
        <f aca="false">SUMIFS(الريسبي!$C$2:$C$1800,الريسبي!$A$2:$A$1800,$A184,الريسبي!$B$2:$B$1800,AF$1)</f>
        <v>0</v>
      </c>
      <c r="AG184" s="117" t="n">
        <f aca="false">SUMIFS(الريسبي!$C$2:$C$1800,الريسبي!$A$2:$A$1800,$A184,الريسبي!$B$2:$B$1800,AG$1)</f>
        <v>0</v>
      </c>
      <c r="AH184" s="117" t="n">
        <f aca="false">SUMIFS(الريسبي!$C$2:$C$1800,الريسبي!$A$2:$A$1800,$A184,الريسبي!$B$2:$B$1800,AH$1)</f>
        <v>0</v>
      </c>
      <c r="AI184" s="117" t="n">
        <f aca="false">SUMIFS(الريسبي!$C$2:$C$1800,الريسبي!$A$2:$A$1800,$A184,الريسبي!$B$2:$B$1800,AI$1)</f>
        <v>0</v>
      </c>
      <c r="AJ184" s="117" t="n">
        <f aca="false">SUMIFS(الريسبي!$C$2:$C$1800,الريسبي!$A$2:$A$1800,$A184,الريسبي!$B$2:$B$1800,AJ$1)</f>
        <v>1</v>
      </c>
      <c r="AK184" s="117" t="n">
        <f aca="false">SUMIFS(الريسبي!$C$2:$C$1800,الريسبي!$A$2:$A$1800,$A184,الريسبي!$B$2:$B$1800,AK$1)</f>
        <v>0</v>
      </c>
      <c r="AL184" s="117" t="n">
        <f aca="false">SUMIFS(الريسبي!$C$2:$C$1800,الريسبي!$A$2:$A$1800,$A184,الريسبي!$B$2:$B$1800,AL$1)</f>
        <v>0</v>
      </c>
      <c r="AM184" s="117" t="n">
        <f aca="false">SUMIFS(الريسبي!$C$2:$C$1800,الريسبي!$A$2:$A$1800,$A184,الريسبي!$B$2:$B$1800,AM$1)+0.08333333333*SUMIFS(الريسبي!$C$2:$C$1800,الريسبي!$A$2:$A$1800,$A184,الريسبي!$B$2:$B$1800,"عجين كريب (مصنع بالمطعم)")+0.08333333333*SUMIFS(الريسبي!$C$2:$C$1800,الريسبي!$A$2:$A$1800,$A184,الريسبي!$B$2:$B$1800,"عجين كريب صيامي (بدون لبن)")</f>
        <v>0</v>
      </c>
      <c r="AN184" s="117" t="n">
        <f aca="false">SUMIFS(الريسبي!$C$2:$C$1800,الريسبي!$A$2:$A$1800,$A184,الريسبي!$B$2:$B$1800,AN$1)+0.004166666667*SUMIFS(الريسبي!$C$2:$C$1800,الريسبي!$A$2:$A$1800,$A184,الريسبي!$B$2:$B$1800,"عجين كريب (مصنع بالمطعم)")+0.004166666667*SUMIFS(الريسبي!$C$2:$C$1800,الريسبي!$A$2:$A$1800,$A184,الريسبي!$B$2:$B$1800,"عجين كريب صيامي (بدون لبن)")</f>
        <v>0</v>
      </c>
      <c r="AO184" s="117" t="n">
        <f aca="false">SUMIFS(الريسبي!$C$2:$C$1800,الريسبي!$A$2:$A$1800,$A184,الريسبي!$B$2:$B$1800,AO$1)</f>
        <v>0</v>
      </c>
      <c r="AP184" s="117" t="n">
        <f aca="false">SUMIFS(الريسبي!$C$2:$C$1800,الريسبي!$A$2:$A$1800,$A184,الريسبي!$B$2:$B$1800,AP$1)</f>
        <v>0.01</v>
      </c>
      <c r="AQ184" s="117" t="n">
        <f aca="false">SUMIFS(الريسبي!$C$2:$C$1800,الريسبي!$A$2:$A$1800,$A184,الريسبي!$B$2:$B$1800,AQ$1)+0.004166666667*SUMIFS(الريسبي!$C$2:$C$1800,الريسبي!$A$2:$A$1800,$A184,الريسبي!$B$2:$B$1800,"عجين كريب (مصنع بالمطعم)")+0.004166666667*SUMIFS(الريسبي!$C$2:$C$1800,الريسبي!$A$2:$A$1800,$A184,الريسبي!$B$2:$B$1800,"عجين كريب صيامي (بدون لبن)")</f>
        <v>0</v>
      </c>
      <c r="AR184" s="117" t="n">
        <f aca="false">SUMIFS(الريسبي!$C$2:$C$1800,الريسبي!$A$2:$A$1800,$A184,الريسبي!$B$2:$B$1800,AR$1)</f>
        <v>0</v>
      </c>
      <c r="AS184" s="117" t="n">
        <f aca="false">SUMIFS(الريسبي!$C$2:$C$1800,الريسبي!$A$2:$A$1800,$A184,الريسبي!$B$2:$B$1800,AS$1)</f>
        <v>0</v>
      </c>
      <c r="AT184" s="117" t="n">
        <f aca="false">SUMIFS(الريسبي!$C$2:$C$1800,الريسبي!$A$2:$A$1800,$A184,الريسبي!$B$2:$B$1800,AT$1)</f>
        <v>0</v>
      </c>
      <c r="AU184" s="117" t="n">
        <f aca="false">SUMIFS(الريسبي!$C$2:$C$1800,الريسبي!$A$2:$A$1800,$A184,الريسبي!$B$2:$B$1800,AU$1)</f>
        <v>0</v>
      </c>
      <c r="AV184" s="117" t="n">
        <f aca="false">SUMIFS(الريسبي!$C$2:$C$1800,الريسبي!$A$2:$A$1800,$A184,الريسبي!$B$2:$B$1800,AV$1)</f>
        <v>0</v>
      </c>
      <c r="AW184" s="117" t="n">
        <f aca="false">SUMIFS(الريسبي!$C$2:$C$1800,الريسبي!$A$2:$A$1800,$A184,الريسبي!$B$2:$B$1800,AW$1)</f>
        <v>0</v>
      </c>
      <c r="AX184" s="117" t="n">
        <f aca="false">SUMIFS(الريسبي!$C$2:$C$1800,الريسبي!$A$2:$A$1800,$A184,الريسبي!$B$2:$B$1800,AX$1)</f>
        <v>0.02</v>
      </c>
      <c r="AY184" s="117" t="n">
        <f aca="false">SUMIFS(الريسبي!$C$2:$C$1800,الريسبي!$A$2:$A$1800,$A184,الريسبي!$B$2:$B$1800,AY$1)</f>
        <v>0</v>
      </c>
      <c r="AZ184" s="117" t="n">
        <f aca="false">SUMIFS(الريسبي!$C$2:$C$1800,الريسبي!$A$2:$A$1800,$A184,الريسبي!$B$2:$B$1800,AZ$1)</f>
        <v>0</v>
      </c>
      <c r="BA184" s="117" t="n">
        <f aca="false">SUMIFS(الريسبي!$C$2:$C$1800,الريسبي!$A$2:$A$1800,$A184,الريسبي!$B$2:$B$1800,BA$1)</f>
        <v>0</v>
      </c>
      <c r="BB184" s="117" t="n">
        <f aca="false">SUMIFS(الريسبي!$C$2:$C$1800,الريسبي!$A$2:$A$1800,$A184,الريسبي!$B$2:$B$1800,BB$1)</f>
        <v>0</v>
      </c>
      <c r="BC184" s="117" t="n">
        <f aca="false">SUMIFS(الريسبي!$C$2:$C$1800,الريسبي!$A$2:$A$1800,$A184,الريسبي!$B$2:$B$1800,BC$1)</f>
        <v>0.015</v>
      </c>
      <c r="BD184" s="117" t="n">
        <f aca="false">SUMIFS(الريسبي!$C$2:$C$1800,الريسبي!$A$2:$A$1800,$A184,الريسبي!$B$2:$B$1800,BD$1)</f>
        <v>0.11</v>
      </c>
      <c r="BE184" s="117" t="n">
        <f aca="false">SUMIFS(الريسبي!$C$2:$C$1800,الريسبي!$A$2:$A$1800,$A184,الريسبي!$B$2:$B$1800,BE$1)</f>
        <v>0</v>
      </c>
      <c r="BF184" s="117" t="n">
        <f aca="false">SUMIFS(الريسبي!$C$2:$C$1800,الريسبي!$A$2:$A$1800,$A184,الريسبي!$B$2:$B$1800,BF$1)</f>
        <v>0</v>
      </c>
      <c r="BG184" s="117" t="n">
        <f aca="false">SUMIFS(الريسبي!$C$2:$C$1800,الريسبي!$A$2:$A$1800,$A184,الريسبي!$B$2:$B$1800,BG$1)</f>
        <v>0</v>
      </c>
      <c r="BH184" s="117" t="n">
        <f aca="false">SUMIFS(الريسبي!$C$2:$C$1800,الريسبي!$A$2:$A$1800,$A184,الريسبي!$B$2:$B$1800,BH$1)</f>
        <v>0.5</v>
      </c>
      <c r="BI184" s="117" t="n">
        <f aca="false">SUMIFS(الريسبي!$C$2:$C$1800,الريسبي!$A$2:$A$1800,$A184,الريسبي!$B$2:$B$1800,BI$1)</f>
        <v>0</v>
      </c>
      <c r="BJ184" s="117" t="n">
        <f aca="false">SUMIFS(الريسبي!$C$2:$C$1800,الريسبي!$A$2:$A$1800,$A184,الريسبي!$B$2:$B$1800,BJ$1)</f>
        <v>0</v>
      </c>
      <c r="BK184" s="117" t="n">
        <f aca="false">SUMIFS(الريسبي!$C$2:$C$1800,الريسبي!$A$2:$A$1800,$A184,الريسبي!$B$2:$B$1800,BK$1)</f>
        <v>0</v>
      </c>
      <c r="BL184" s="117" t="n">
        <f aca="false">SUMIFS(الريسبي!$C$2:$C$1800,الريسبي!$A$2:$A$1800,$A184,الريسبي!$B$2:$B$1800,BL$1)</f>
        <v>0</v>
      </c>
      <c r="BM184" s="117" t="n">
        <f aca="false">SUMIFS(الريسبي!$C$2:$C$1800,الريسبي!$A$2:$A$1800,$A184,الريسبي!$B$2:$B$1800,BM$1)</f>
        <v>0</v>
      </c>
      <c r="BN184" s="117" t="n">
        <f aca="false">SUMIFS(الريسبي!$C$2:$C$1800,الريسبي!$A$2:$A$1800,$A184,الريسبي!$B$2:$B$1800,BN$1)</f>
        <v>0.01</v>
      </c>
      <c r="BO184" s="117" t="n">
        <f aca="false">SUMIFS(الريسبي!$C$2:$C$1800,الريسبي!$A$2:$A$1800,$A184,الريسبي!$B$2:$B$1800,BO$1)</f>
        <v>0</v>
      </c>
      <c r="BP184" s="117" t="n">
        <f aca="false">SUMIFS(الريسبي!$C$2:$C$1800,الريسبي!$A$2:$A$1800,$A184,الريسبي!$B$2:$B$1800,BP$1)</f>
        <v>1</v>
      </c>
      <c r="BQ184" s="117" t="n">
        <f aca="false">SUMIFS(الريسبي!$C$2:$C$1800,الريسبي!$A$2:$A$1800,$A184,الريسبي!$B$2:$B$1800,BQ$1)+0.17*SUMIFS(الريسبي!$C$2:$C$1800,الريسبي!$A$2:$A$1800,$A184,الريسبي!$B$2:$B$1800,"كاسترد مصنع (خليط بودر + لبن)")+0.17*SUMIFS(الريسبي!$C$2:$C$1800,الريسبي!$A$2:$A$1800,$A184,الريسبي!$B$2:$B$1800,"كاسترد مصنع صيامي (بدون لبن)")</f>
        <v>0</v>
      </c>
      <c r="BR184" s="117" t="n">
        <f aca="false">SUMIFS(الريسبي!$C$2:$C$1800,الريسبي!$A$2:$A$1800,$A184,الريسبي!$B$2:$B$1800,BR$1)</f>
        <v>0.5</v>
      </c>
      <c r="BS184" s="117" t="n">
        <f aca="false">SUMIFS(الريسبي!$C$2:$C$1800,الريسبي!$A$2:$A$1800,$A184,الريسبي!$B$2:$B$1800,BS$1)</f>
        <v>0</v>
      </c>
      <c r="BT184" s="117" t="n">
        <f aca="false">SUMIFS(الريسبي!$C$2:$C$1800,الريسبي!$A$2:$A$1800,$A184,الريسبي!$B$2:$B$1800,BT$1)</f>
        <v>0</v>
      </c>
      <c r="BU184" s="117" t="n">
        <f aca="false">SUMIFS(الريسبي!$C$2:$C$1800,الريسبي!$A$2:$A$1800,$A184,الريسبي!$B$2:$B$1800,BU$1)+0.4*SUMIFS(الريسبي!$C$2:$C$1800,الريسبي!$A$2:$A$1800,$A184,الريسبي!$B$2:$B$1800,"كاسترد مصنع (خليط بودر + لبن)")+0.03333333333*SUMIFS(الريسبي!$C$2:$C$1800,الريسبي!$A$2:$A$1800,$A184,الريسبي!$B$2:$B$1800,"عجين كريب (مصنع بالمطعم)")</f>
        <v>0</v>
      </c>
      <c r="BV184" s="117" t="n">
        <f aca="false">SUMIFS(الريسبي!$C$2:$C$1800,الريسبي!$A$2:$A$1800,$A184,الريسبي!$B$2:$B$1800,BV$1)</f>
        <v>1</v>
      </c>
      <c r="BW184" s="117" t="n">
        <f aca="false">SUMIFS(الريسبي!$C$2:$C$1800,الريسبي!$A$2:$A$1800,$A184,الريسبي!$B$2:$B$1800,BW$1)</f>
        <v>0</v>
      </c>
      <c r="BX184" s="117" t="n">
        <f aca="false">SUMIFS(الريسبي!$C$2:$C$1800,الريسبي!$A$2:$A$1800,$A184,الريسبي!$B$2:$B$1800,BX$1)</f>
        <v>0</v>
      </c>
      <c r="BY184" s="117" t="n">
        <f aca="false">SUMIFS(الريسبي!$C$2:$C$1800,الريسبي!$A$2:$A$1800,$A184,الريسبي!$B$2:$B$1800,BY$1)</f>
        <v>0</v>
      </c>
      <c r="BZ184" s="117" t="n">
        <f aca="false">SUMIFS(الريسبي!$C$2:$C$1800,الريسبي!$A$2:$A$1800,$A184,الريسبي!$B$2:$B$1800,BZ$1)</f>
        <v>0</v>
      </c>
      <c r="CA184" s="117" t="n">
        <f aca="false">SUMIFS(الريسبي!$C$2:$C$1800,الريسبي!$A$2:$A$1800,$A184,الريسبي!$B$2:$B$1800,CA$1)</f>
        <v>0.5</v>
      </c>
      <c r="CB184" s="117" t="n">
        <f aca="false">SUMIFS(الريسبي!$C$2:$C$1800,الريسبي!$A$2:$A$1800,$A184,الريسبي!$B$2:$B$1800,CB$1)</f>
        <v>0.5</v>
      </c>
      <c r="CC184" s="117" t="n">
        <f aca="false">SUMIFS(الريسبي!$C$2:$C$1800,الريسبي!$A$2:$A$1800,$A184,الريسبي!$B$2:$B$1800,CC$1)</f>
        <v>0</v>
      </c>
      <c r="CD184" s="117" t="n">
        <f aca="false">SUMIFS(الريسبي!$C$2:$C$1800,الريسبي!$A$2:$A$1800,$A184,الريسبي!$B$2:$B$1800,CD$1)</f>
        <v>0</v>
      </c>
      <c r="CE184" s="117" t="n">
        <f aca="false">SUMIFS(الريسبي!$C$2:$C$1800,الريسبي!$A$2:$A$1800,$A184,الريسبي!$B$2:$B$1800,CE$1)</f>
        <v>0</v>
      </c>
      <c r="CF184" s="117" t="n">
        <f aca="false">SUMIFS(الريسبي!$C$2:$C$1800,الريسبي!$A$2:$A$1800,$A184,الريسبي!$B$2:$B$1800,CF$1)</f>
        <v>0</v>
      </c>
      <c r="CG184" s="117" t="n">
        <f aca="false">SUMIFS(الريسبي!$C$2:$C$1800,الريسبي!$A$2:$A$1800,$A184,الريسبي!$B$2:$B$1800,CG$1)</f>
        <v>0</v>
      </c>
      <c r="CH184" s="117" t="n">
        <f aca="false">SUMIFS(الريسبي!$C$2:$C$1800,الريسبي!$A$2:$A$1800,$A184,الريسبي!$B$2:$B$1800,CH$1)</f>
        <v>0</v>
      </c>
      <c r="CI184" s="117" t="n">
        <f aca="false">SUMIFS(الريسبي!$C$2:$C$1800,الريسبي!$A$2:$A$1800,$A184,الريسبي!$B$2:$B$1800,CI$1)</f>
        <v>0</v>
      </c>
      <c r="CJ184" s="117" t="n">
        <f aca="false">SUMIFS(الريسبي!$C$2:$C$1800,الريسبي!$A$2:$A$1800,$A184,الريسبي!$B$2:$B$1800,CJ$1)</f>
        <v>1</v>
      </c>
      <c r="CK184" s="117" t="n">
        <f aca="false">SUMIFS(الريسبي!$C$2:$C$1800,الريسبي!$A$2:$A$1800,$A184,الريسبي!$B$2:$B$1800,CK$1)</f>
        <v>0</v>
      </c>
      <c r="CL184" s="117" t="n">
        <f aca="false">SUMIFS(الريسبي!$C$2:$C$1800,الريسبي!$A$2:$A$1800,$A184,الريسبي!$B$2:$B$1800,CL$1)</f>
        <v>0</v>
      </c>
    </row>
    <row r="185" customFormat="false" ht="15" hidden="false" customHeight="false" outlineLevel="0" collapsed="false">
      <c r="A185" s="116" t="str">
        <f aca="false">المنيو!B185</f>
        <v>وجبة أطفال استربس + بطاطس</v>
      </c>
      <c r="B185" s="117" t="n">
        <f aca="false">SUMIFS(الريسبي!$C$2:$C$1800,الريسبي!$A$2:$A$1800,$A185,الريسبي!$B$2:$B$1800,B$1)</f>
        <v>0</v>
      </c>
      <c r="C185" s="117" t="n">
        <f aca="false">SUMIFS(الريسبي!$C$2:$C$1800,الريسبي!$A$2:$A$1800,$A185,الريسبي!$B$2:$B$1800,C$1)</f>
        <v>0</v>
      </c>
      <c r="D185" s="117" t="n">
        <f aca="false">SUMIFS(الريسبي!$C$2:$C$1800,الريسبي!$A$2:$A$1800,$A185,الريسبي!$B$2:$B$1800,D$1)</f>
        <v>0</v>
      </c>
      <c r="E185" s="117" t="n">
        <f aca="false">SUMIFS(الريسبي!$C$2:$C$1800,الريسبي!$A$2:$A$1800,$A185,الريسبي!$B$2:$B$1800,E$1)</f>
        <v>0</v>
      </c>
      <c r="F185" s="117" t="n">
        <f aca="false">SUMIFS(الريسبي!$C$2:$C$1800,الريسبي!$A$2:$A$1800,$A185,الريسبي!$B$2:$B$1800,F$1)</f>
        <v>0</v>
      </c>
      <c r="G185" s="117" t="n">
        <f aca="false">SUMIFS(الريسبي!$C$2:$C$1800,الريسبي!$A$2:$A$1800,$A185,الريسبي!$B$2:$B$1800,G$1)</f>
        <v>0</v>
      </c>
      <c r="H185" s="117" t="n">
        <f aca="false">SUMIFS(الريسبي!$C$2:$C$1800,الريسبي!$A$2:$A$1800,$A185,الريسبي!$B$2:$B$1800,H$1)</f>
        <v>0</v>
      </c>
      <c r="I185" s="117" t="n">
        <f aca="false">SUMIFS(الريسبي!$C$2:$C$1800,الريسبي!$A$2:$A$1800,$A185,الريسبي!$B$2:$B$1800,I$1)</f>
        <v>1</v>
      </c>
      <c r="J185" s="117" t="n">
        <f aca="false">SUMIFS(الريسبي!$C$2:$C$1800,الريسبي!$A$2:$A$1800,$A185,الريسبي!$B$2:$B$1800,J$1)</f>
        <v>0</v>
      </c>
      <c r="K185" s="117" t="n">
        <f aca="false">SUMIFS(الريسبي!$C$2:$C$1800,الريسبي!$A$2:$A$1800,$A185,الريسبي!$B$2:$B$1800,K$1)</f>
        <v>0</v>
      </c>
      <c r="L185" s="117" t="n">
        <f aca="false">SUMIFS(الريسبي!$C$2:$C$1800,الريسبي!$A$2:$A$1800,$A185,الريسبي!$B$2:$B$1800,L$1)</f>
        <v>0</v>
      </c>
      <c r="M185" s="117" t="n">
        <f aca="false">SUMIFS(الريسبي!$C$2:$C$1800,الريسبي!$A$2:$A$1800,$A185,الريسبي!$B$2:$B$1800,M$1)</f>
        <v>0</v>
      </c>
      <c r="N185" s="117" t="n">
        <f aca="false">SUMIFS(الريسبي!$C$2:$C$1800,الريسبي!$A$2:$A$1800,$A185,الريسبي!$B$2:$B$1800,N$1)</f>
        <v>0</v>
      </c>
      <c r="O185" s="117" t="n">
        <f aca="false">SUMIFS(الريسبي!$C$2:$C$1800,الريسبي!$A$2:$A$1800,$A185,الريسبي!$B$2:$B$1800,O$1)</f>
        <v>0</v>
      </c>
      <c r="P185" s="117" t="n">
        <f aca="false">SUMIFS(الريسبي!$C$2:$C$1800,الريسبي!$A$2:$A$1800,$A185,الريسبي!$B$2:$B$1800,P$1)</f>
        <v>0</v>
      </c>
      <c r="Q185" s="117" t="n">
        <f aca="false">SUMIFS(الريسبي!$C$2:$C$1800,الريسبي!$A$2:$A$1800,$A185,الريسبي!$B$2:$B$1800,Q$1)</f>
        <v>1</v>
      </c>
      <c r="R185" s="117" t="n">
        <f aca="false">SUMIFS(الريسبي!$C$2:$C$1800,الريسبي!$A$2:$A$1800,$A185,الريسبي!$B$2:$B$1800,R$1)</f>
        <v>0</v>
      </c>
      <c r="S185" s="117" t="n">
        <f aca="false">SUMIFS(الريسبي!$C$2:$C$1800,الريسبي!$A$2:$A$1800,$A185,الريسبي!$B$2:$B$1800,S$1)</f>
        <v>0</v>
      </c>
      <c r="T185" s="117" t="n">
        <f aca="false">SUMIFS(الريسبي!$C$2:$C$1800,الريسبي!$A$2:$A$1800,$A185,الريسبي!$B$2:$B$1800,T$1)</f>
        <v>0</v>
      </c>
      <c r="U185" s="117" t="n">
        <f aca="false">SUMIFS(الريسبي!$C$2:$C$1800,الريسبي!$A$2:$A$1800,$A185,الريسبي!$B$2:$B$1800,U$1)</f>
        <v>0</v>
      </c>
      <c r="V185" s="117" t="n">
        <f aca="false">SUMIFS(الريسبي!$C$2:$C$1800,الريسبي!$A$2:$A$1800,$A185,الريسبي!$B$2:$B$1800,V$1)+1.5*(SUMIFS(الريسبي!$C$2:$C$1800,الريسبي!$A$2:$A$1800,$A185,الريسبي!$B$2:$B$1800,"برسيون موتزريلا بيتزا كبير"))</f>
        <v>0</v>
      </c>
      <c r="W185" s="117" t="n">
        <f aca="false">0</f>
        <v>0</v>
      </c>
      <c r="X185" s="117" t="n">
        <f aca="false">SUMIFS(الريسبي!$C$2:$C$1800,الريسبي!$A$2:$A$1800,$A185,الريسبي!$B$2:$B$1800,X$1)+1.5*(SUMIFS(الريسبي!$C$2:$C$1800,الريسبي!$A$2:$A$1800,$A185,الريسبي!$B$2:$B$1800,"برسيون موتزريلا فطير كبير"))</f>
        <v>0</v>
      </c>
      <c r="Y185" s="117" t="n">
        <f aca="false">0</f>
        <v>0</v>
      </c>
      <c r="Z185" s="117" t="n">
        <f aca="false">SUMIFS(الريسبي!$C$2:$C$1800,الريسبي!$A$2:$A$1800,$A185,الريسبي!$B$2:$B$1800,Z$1)</f>
        <v>0</v>
      </c>
      <c r="AA185" s="117" t="n">
        <f aca="false">SUMIFS(الريسبي!$C$2:$C$1800,الريسبي!$A$2:$A$1800,$A185,الريسبي!$B$2:$B$1800,AA$1)</f>
        <v>0</v>
      </c>
      <c r="AB185" s="117" t="n">
        <f aca="false">SUMIFS(الريسبي!$C$2:$C$1800,الريسبي!$A$2:$A$1800,$A185,الريسبي!$B$2:$B$1800,AB$1)</f>
        <v>0</v>
      </c>
      <c r="AC185" s="117" t="n">
        <f aca="false">SUMIFS(الريسبي!$C$2:$C$1800,الريسبي!$A$2:$A$1800,$A185,الريسبي!$B$2:$B$1800,AC$1)</f>
        <v>0</v>
      </c>
      <c r="AD185" s="117" t="n">
        <f aca="false">SUMIFS(الريسبي!$C$2:$C$1800,الريسبي!$A$2:$A$1800,$A185,الريسبي!$B$2:$B$1800,AD$1)</f>
        <v>0</v>
      </c>
      <c r="AE185" s="117" t="n">
        <f aca="false">SUMIFS(الريسبي!$C$2:$C$1800,الريسبي!$A$2:$A$1800,$A185,الريسبي!$B$2:$B$1800,AE$1)</f>
        <v>0</v>
      </c>
      <c r="AF185" s="117" t="n">
        <f aca="false">SUMIFS(الريسبي!$C$2:$C$1800,الريسبي!$A$2:$A$1800,$A185,الريسبي!$B$2:$B$1800,AF$1)</f>
        <v>0</v>
      </c>
      <c r="AG185" s="117" t="n">
        <f aca="false">SUMIFS(الريسبي!$C$2:$C$1800,الريسبي!$A$2:$A$1800,$A185,الريسبي!$B$2:$B$1800,AG$1)</f>
        <v>0</v>
      </c>
      <c r="AH185" s="117" t="n">
        <f aca="false">SUMIFS(الريسبي!$C$2:$C$1800,الريسبي!$A$2:$A$1800,$A185,الريسبي!$B$2:$B$1800,AH$1)</f>
        <v>0</v>
      </c>
      <c r="AI185" s="117" t="n">
        <f aca="false">SUMIFS(الريسبي!$C$2:$C$1800,الريسبي!$A$2:$A$1800,$A185,الريسبي!$B$2:$B$1800,AI$1)</f>
        <v>0</v>
      </c>
      <c r="AJ185" s="117" t="n">
        <f aca="false">SUMIFS(الريسبي!$C$2:$C$1800,الريسبي!$A$2:$A$1800,$A185,الريسبي!$B$2:$B$1800,AJ$1)</f>
        <v>0</v>
      </c>
      <c r="AK185" s="117" t="n">
        <f aca="false">SUMIFS(الريسبي!$C$2:$C$1800,الريسبي!$A$2:$A$1800,$A185,الريسبي!$B$2:$B$1800,AK$1)</f>
        <v>0</v>
      </c>
      <c r="AL185" s="117" t="n">
        <f aca="false">SUMIFS(الريسبي!$C$2:$C$1800,الريسبي!$A$2:$A$1800,$A185,الريسبي!$B$2:$B$1800,AL$1)</f>
        <v>0</v>
      </c>
      <c r="AM185" s="117" t="n">
        <f aca="false">SUMIFS(الريسبي!$C$2:$C$1800,الريسبي!$A$2:$A$1800,$A185,الريسبي!$B$2:$B$1800,AM$1)+0.08333333333*SUMIFS(الريسبي!$C$2:$C$1800,الريسبي!$A$2:$A$1800,$A185,الريسبي!$B$2:$B$1800,"عجين كريب (مصنع بالمطعم)")+0.08333333333*SUMIFS(الريسبي!$C$2:$C$1800,الريسبي!$A$2:$A$1800,$A185,الريسبي!$B$2:$B$1800,"عجين كريب صيامي (بدون لبن)")</f>
        <v>0</v>
      </c>
      <c r="AN185" s="117" t="n">
        <f aca="false">SUMIFS(الريسبي!$C$2:$C$1800,الريسبي!$A$2:$A$1800,$A185,الريسبي!$B$2:$B$1800,AN$1)+0.004166666667*SUMIFS(الريسبي!$C$2:$C$1800,الريسبي!$A$2:$A$1800,$A185,الريسبي!$B$2:$B$1800,"عجين كريب (مصنع بالمطعم)")+0.004166666667*SUMIFS(الريسبي!$C$2:$C$1800,الريسبي!$A$2:$A$1800,$A185,الريسبي!$B$2:$B$1800,"عجين كريب صيامي (بدون لبن)")</f>
        <v>0</v>
      </c>
      <c r="AO185" s="117" t="n">
        <f aca="false">SUMIFS(الريسبي!$C$2:$C$1800,الريسبي!$A$2:$A$1800,$A185,الريسبي!$B$2:$B$1800,AO$1)</f>
        <v>0</v>
      </c>
      <c r="AP185" s="117" t="n">
        <f aca="false">SUMIFS(الريسبي!$C$2:$C$1800,الريسبي!$A$2:$A$1800,$A185,الريسبي!$B$2:$B$1800,AP$1)</f>
        <v>0</v>
      </c>
      <c r="AQ185" s="117" t="n">
        <f aca="false">SUMIFS(الريسبي!$C$2:$C$1800,الريسبي!$A$2:$A$1800,$A185,الريسبي!$B$2:$B$1800,AQ$1)+0.004166666667*SUMIFS(الريسبي!$C$2:$C$1800,الريسبي!$A$2:$A$1800,$A185,الريسبي!$B$2:$B$1800,"عجين كريب (مصنع بالمطعم)")+0.004166666667*SUMIFS(الريسبي!$C$2:$C$1800,الريسبي!$A$2:$A$1800,$A185,الريسبي!$B$2:$B$1800,"عجين كريب صيامي (بدون لبن)")</f>
        <v>0</v>
      </c>
      <c r="AR185" s="117" t="n">
        <f aca="false">SUMIFS(الريسبي!$C$2:$C$1800,الريسبي!$A$2:$A$1800,$A185,الريسبي!$B$2:$B$1800,AR$1)</f>
        <v>0</v>
      </c>
      <c r="AS185" s="117" t="n">
        <f aca="false">SUMIFS(الريسبي!$C$2:$C$1800,الريسبي!$A$2:$A$1800,$A185,الريسبي!$B$2:$B$1800,AS$1)</f>
        <v>0</v>
      </c>
      <c r="AT185" s="117" t="n">
        <f aca="false">SUMIFS(الريسبي!$C$2:$C$1800,الريسبي!$A$2:$A$1800,$A185,الريسبي!$B$2:$B$1800,AT$1)</f>
        <v>0</v>
      </c>
      <c r="AU185" s="117" t="n">
        <f aca="false">SUMIFS(الريسبي!$C$2:$C$1800,الريسبي!$A$2:$A$1800,$A185,الريسبي!$B$2:$B$1800,AU$1)</f>
        <v>0</v>
      </c>
      <c r="AV185" s="117" t="n">
        <f aca="false">SUMIFS(الريسبي!$C$2:$C$1800,الريسبي!$A$2:$A$1800,$A185,الريسبي!$B$2:$B$1800,AV$1)</f>
        <v>0</v>
      </c>
      <c r="AW185" s="117" t="n">
        <f aca="false">SUMIFS(الريسبي!$C$2:$C$1800,الريسبي!$A$2:$A$1800,$A185,الريسبي!$B$2:$B$1800,AW$1)</f>
        <v>0</v>
      </c>
      <c r="AX185" s="117" t="n">
        <f aca="false">SUMIFS(الريسبي!$C$2:$C$1800,الريسبي!$A$2:$A$1800,$A185,الريسبي!$B$2:$B$1800,AX$1)</f>
        <v>0</v>
      </c>
      <c r="AY185" s="117" t="n">
        <f aca="false">SUMIFS(الريسبي!$C$2:$C$1800,الريسبي!$A$2:$A$1800,$A185,الريسبي!$B$2:$B$1800,AY$1)</f>
        <v>0</v>
      </c>
      <c r="AZ185" s="117" t="n">
        <f aca="false">SUMIFS(الريسبي!$C$2:$C$1800,الريسبي!$A$2:$A$1800,$A185,الريسبي!$B$2:$B$1800,AZ$1)</f>
        <v>0</v>
      </c>
      <c r="BA185" s="117" t="n">
        <f aca="false">SUMIFS(الريسبي!$C$2:$C$1800,الريسبي!$A$2:$A$1800,$A185,الريسبي!$B$2:$B$1800,BA$1)</f>
        <v>0</v>
      </c>
      <c r="BB185" s="117" t="n">
        <f aca="false">SUMIFS(الريسبي!$C$2:$C$1800,الريسبي!$A$2:$A$1800,$A185,الريسبي!$B$2:$B$1800,BB$1)</f>
        <v>0</v>
      </c>
      <c r="BC185" s="117" t="n">
        <f aca="false">SUMIFS(الريسبي!$C$2:$C$1800,الريسبي!$A$2:$A$1800,$A185,الريسبي!$B$2:$B$1800,BC$1)</f>
        <v>0</v>
      </c>
      <c r="BD185" s="117" t="n">
        <f aca="false">SUMIFS(الريسبي!$C$2:$C$1800,الريسبي!$A$2:$A$1800,$A185,الريسبي!$B$2:$B$1800,BD$1)</f>
        <v>0</v>
      </c>
      <c r="BE185" s="117" t="n">
        <f aca="false">SUMIFS(الريسبي!$C$2:$C$1800,الريسبي!$A$2:$A$1800,$A185,الريسبي!$B$2:$B$1800,BE$1)</f>
        <v>0</v>
      </c>
      <c r="BF185" s="117" t="n">
        <f aca="false">SUMIFS(الريسبي!$C$2:$C$1800,الريسبي!$A$2:$A$1800,$A185,الريسبي!$B$2:$B$1800,BF$1)</f>
        <v>0</v>
      </c>
      <c r="BG185" s="117" t="n">
        <f aca="false">SUMIFS(الريسبي!$C$2:$C$1800,الريسبي!$A$2:$A$1800,$A185,الريسبي!$B$2:$B$1800,BG$1)</f>
        <v>0</v>
      </c>
      <c r="BH185" s="117" t="n">
        <f aca="false">SUMIFS(الريسبي!$C$2:$C$1800,الريسبي!$A$2:$A$1800,$A185,الريسبي!$B$2:$B$1800,BH$1)</f>
        <v>0</v>
      </c>
      <c r="BI185" s="117" t="n">
        <f aca="false">SUMIFS(الريسبي!$C$2:$C$1800,الريسبي!$A$2:$A$1800,$A185,الريسبي!$B$2:$B$1800,BI$1)</f>
        <v>0</v>
      </c>
      <c r="BJ185" s="117" t="n">
        <f aca="false">SUMIFS(الريسبي!$C$2:$C$1800,الريسبي!$A$2:$A$1800,$A185,الريسبي!$B$2:$B$1800,BJ$1)</f>
        <v>0</v>
      </c>
      <c r="BK185" s="117" t="n">
        <f aca="false">SUMIFS(الريسبي!$C$2:$C$1800,الريسبي!$A$2:$A$1800,$A185,الريسبي!$B$2:$B$1800,BK$1)</f>
        <v>0</v>
      </c>
      <c r="BL185" s="117" t="n">
        <f aca="false">SUMIFS(الريسبي!$C$2:$C$1800,الريسبي!$A$2:$A$1800,$A185,الريسبي!$B$2:$B$1800,BL$1)</f>
        <v>0</v>
      </c>
      <c r="BM185" s="117" t="n">
        <f aca="false">SUMIFS(الريسبي!$C$2:$C$1800,الريسبي!$A$2:$A$1800,$A185,الريسبي!$B$2:$B$1800,BM$1)</f>
        <v>0</v>
      </c>
      <c r="BN185" s="117" t="n">
        <f aca="false">SUMIFS(الريسبي!$C$2:$C$1800,الريسبي!$A$2:$A$1800,$A185,الريسبي!$B$2:$B$1800,BN$1)</f>
        <v>0</v>
      </c>
      <c r="BO185" s="117" t="n">
        <f aca="false">SUMIFS(الريسبي!$C$2:$C$1800,الريسبي!$A$2:$A$1800,$A185,الريسبي!$B$2:$B$1800,BO$1)</f>
        <v>0</v>
      </c>
      <c r="BP185" s="117" t="n">
        <f aca="false">SUMIFS(الريسبي!$C$2:$C$1800,الريسبي!$A$2:$A$1800,$A185,الريسبي!$B$2:$B$1800,BP$1)</f>
        <v>0</v>
      </c>
      <c r="BQ185" s="117" t="n">
        <f aca="false">SUMIFS(الريسبي!$C$2:$C$1800,الريسبي!$A$2:$A$1800,$A185,الريسبي!$B$2:$B$1800,BQ$1)+0.17*SUMIFS(الريسبي!$C$2:$C$1800,الريسبي!$A$2:$A$1800,$A185,الريسبي!$B$2:$B$1800,"كاسترد مصنع (خليط بودر + لبن)")+0.17*SUMIFS(الريسبي!$C$2:$C$1800,الريسبي!$A$2:$A$1800,$A185,الريسبي!$B$2:$B$1800,"كاسترد مصنع صيامي (بدون لبن)")</f>
        <v>0</v>
      </c>
      <c r="BR185" s="117" t="n">
        <f aca="false">SUMIFS(الريسبي!$C$2:$C$1800,الريسبي!$A$2:$A$1800,$A185,الريسبي!$B$2:$B$1800,BR$1)</f>
        <v>0</v>
      </c>
      <c r="BS185" s="117" t="n">
        <f aca="false">SUMIFS(الريسبي!$C$2:$C$1800,الريسبي!$A$2:$A$1800,$A185,الريسبي!$B$2:$B$1800,BS$1)</f>
        <v>0</v>
      </c>
      <c r="BT185" s="117" t="n">
        <f aca="false">SUMIFS(الريسبي!$C$2:$C$1800,الريسبي!$A$2:$A$1800,$A185,الريسبي!$B$2:$B$1800,BT$1)</f>
        <v>0</v>
      </c>
      <c r="BU185" s="117" t="n">
        <f aca="false">SUMIFS(الريسبي!$C$2:$C$1800,الريسبي!$A$2:$A$1800,$A185,الريسبي!$B$2:$B$1800,BU$1)+0.4*SUMIFS(الريسبي!$C$2:$C$1800,الريسبي!$A$2:$A$1800,$A185,الريسبي!$B$2:$B$1800,"كاسترد مصنع (خليط بودر + لبن)")+0.03333333333*SUMIFS(الريسبي!$C$2:$C$1800,الريسبي!$A$2:$A$1800,$A185,الريسبي!$B$2:$B$1800,"عجين كريب (مصنع بالمطعم)")</f>
        <v>0</v>
      </c>
      <c r="BV185" s="117" t="n">
        <f aca="false">SUMIFS(الريسبي!$C$2:$C$1800,الريسبي!$A$2:$A$1800,$A185,الريسبي!$B$2:$B$1800,BV$1)</f>
        <v>1</v>
      </c>
      <c r="BW185" s="117" t="n">
        <f aca="false">SUMIFS(الريسبي!$C$2:$C$1800,الريسبي!$A$2:$A$1800,$A185,الريسبي!$B$2:$B$1800,BW$1)</f>
        <v>0</v>
      </c>
      <c r="BX185" s="117" t="n">
        <f aca="false">SUMIFS(الريسبي!$C$2:$C$1800,الريسبي!$A$2:$A$1800,$A185,الريسبي!$B$2:$B$1800,BX$1)</f>
        <v>0</v>
      </c>
      <c r="BY185" s="117" t="n">
        <f aca="false">SUMIFS(الريسبي!$C$2:$C$1800,الريسبي!$A$2:$A$1800,$A185,الريسبي!$B$2:$B$1800,BY$1)</f>
        <v>0</v>
      </c>
      <c r="BZ185" s="117" t="n">
        <f aca="false">SUMIFS(الريسبي!$C$2:$C$1800,الريسبي!$A$2:$A$1800,$A185,الريسبي!$B$2:$B$1800,BZ$1)</f>
        <v>0</v>
      </c>
      <c r="CA185" s="117" t="n">
        <f aca="false">SUMIFS(الريسبي!$C$2:$C$1800,الريسبي!$A$2:$A$1800,$A185,الريسبي!$B$2:$B$1800,CA$1)</f>
        <v>0</v>
      </c>
      <c r="CB185" s="117" t="n">
        <f aca="false">SUMIFS(الريسبي!$C$2:$C$1800,الريسبي!$A$2:$A$1800,$A185,الريسبي!$B$2:$B$1800,CB$1)</f>
        <v>0</v>
      </c>
      <c r="CC185" s="117" t="n">
        <f aca="false">SUMIFS(الريسبي!$C$2:$C$1800,الريسبي!$A$2:$A$1800,$A185,الريسبي!$B$2:$B$1800,CC$1)</f>
        <v>0</v>
      </c>
      <c r="CD185" s="117" t="n">
        <f aca="false">SUMIFS(الريسبي!$C$2:$C$1800,الريسبي!$A$2:$A$1800,$A185,الريسبي!$B$2:$B$1800,CD$1)</f>
        <v>0</v>
      </c>
      <c r="CE185" s="117" t="n">
        <f aca="false">SUMIFS(الريسبي!$C$2:$C$1800,الريسبي!$A$2:$A$1800,$A185,الريسبي!$B$2:$B$1800,CE$1)</f>
        <v>0</v>
      </c>
      <c r="CF185" s="117" t="n">
        <f aca="false">SUMIFS(الريسبي!$C$2:$C$1800,الريسبي!$A$2:$A$1800,$A185,الريسبي!$B$2:$B$1800,CF$1)</f>
        <v>0</v>
      </c>
      <c r="CG185" s="117" t="n">
        <f aca="false">SUMIFS(الريسبي!$C$2:$C$1800,الريسبي!$A$2:$A$1800,$A185,الريسبي!$B$2:$B$1800,CG$1)</f>
        <v>0</v>
      </c>
      <c r="CH185" s="117" t="n">
        <f aca="false">SUMIFS(الريسبي!$C$2:$C$1800,الريسبي!$A$2:$A$1800,$A185,الريسبي!$B$2:$B$1800,CH$1)</f>
        <v>0</v>
      </c>
      <c r="CI185" s="117" t="n">
        <f aca="false">SUMIFS(الريسبي!$C$2:$C$1800,الريسبي!$A$2:$A$1800,$A185,الريسبي!$B$2:$B$1800,CI$1)</f>
        <v>0</v>
      </c>
      <c r="CJ185" s="117" t="n">
        <f aca="false">SUMIFS(الريسبي!$C$2:$C$1800,الريسبي!$A$2:$A$1800,$A185,الريسبي!$B$2:$B$1800,CJ$1)</f>
        <v>1</v>
      </c>
      <c r="CK185" s="117" t="n">
        <f aca="false">SUMIFS(الريسبي!$C$2:$C$1800,الريسبي!$A$2:$A$1800,$A185,الريسبي!$B$2:$B$1800,CK$1)</f>
        <v>0</v>
      </c>
      <c r="CL185" s="117" t="n">
        <f aca="false">SUMIFS(الريسبي!$C$2:$C$1800,الريسبي!$A$2:$A$1800,$A185,الريسبي!$B$2:$B$1800,CL$1)</f>
        <v>0</v>
      </c>
    </row>
    <row r="186" customFormat="false" ht="15" hidden="false" customHeight="false" outlineLevel="0" collapsed="false">
      <c r="A186" s="116" t="str">
        <f aca="false">المنيو!B186</f>
        <v>وجبة أطفال استربس + مكرونة</v>
      </c>
      <c r="B186" s="117" t="n">
        <f aca="false">SUMIFS(الريسبي!$C$2:$C$1800,الريسبي!$A$2:$A$1800,$A186,الريسبي!$B$2:$B$1800,B$1)</f>
        <v>0</v>
      </c>
      <c r="C186" s="117" t="n">
        <f aca="false">SUMIFS(الريسبي!$C$2:$C$1800,الريسبي!$A$2:$A$1800,$A186,الريسبي!$B$2:$B$1800,C$1)</f>
        <v>0</v>
      </c>
      <c r="D186" s="117" t="n">
        <f aca="false">SUMIFS(الريسبي!$C$2:$C$1800,الريسبي!$A$2:$A$1800,$A186,الريسبي!$B$2:$B$1800,D$1)</f>
        <v>0</v>
      </c>
      <c r="E186" s="117" t="n">
        <f aca="false">SUMIFS(الريسبي!$C$2:$C$1800,الريسبي!$A$2:$A$1800,$A186,الريسبي!$B$2:$B$1800,E$1)</f>
        <v>0</v>
      </c>
      <c r="F186" s="117" t="n">
        <f aca="false">SUMIFS(الريسبي!$C$2:$C$1800,الريسبي!$A$2:$A$1800,$A186,الريسبي!$B$2:$B$1800,F$1)</f>
        <v>0</v>
      </c>
      <c r="G186" s="117" t="n">
        <f aca="false">SUMIFS(الريسبي!$C$2:$C$1800,الريسبي!$A$2:$A$1800,$A186,الريسبي!$B$2:$B$1800,G$1)</f>
        <v>0</v>
      </c>
      <c r="H186" s="117" t="n">
        <f aca="false">SUMIFS(الريسبي!$C$2:$C$1800,الريسبي!$A$2:$A$1800,$A186,الريسبي!$B$2:$B$1800,H$1)</f>
        <v>0</v>
      </c>
      <c r="I186" s="117" t="n">
        <f aca="false">SUMIFS(الريسبي!$C$2:$C$1800,الريسبي!$A$2:$A$1800,$A186,الريسبي!$B$2:$B$1800,I$1)</f>
        <v>0</v>
      </c>
      <c r="J186" s="117" t="n">
        <f aca="false">SUMIFS(الريسبي!$C$2:$C$1800,الريسبي!$A$2:$A$1800,$A186,الريسبي!$B$2:$B$1800,J$1)</f>
        <v>0</v>
      </c>
      <c r="K186" s="117" t="n">
        <f aca="false">SUMIFS(الريسبي!$C$2:$C$1800,الريسبي!$A$2:$A$1800,$A186,الريسبي!$B$2:$B$1800,K$1)</f>
        <v>0</v>
      </c>
      <c r="L186" s="117" t="n">
        <f aca="false">SUMIFS(الريسبي!$C$2:$C$1800,الريسبي!$A$2:$A$1800,$A186,الريسبي!$B$2:$B$1800,L$1)</f>
        <v>0</v>
      </c>
      <c r="M186" s="117" t="n">
        <f aca="false">SUMIFS(الريسبي!$C$2:$C$1800,الريسبي!$A$2:$A$1800,$A186,الريسبي!$B$2:$B$1800,M$1)</f>
        <v>0</v>
      </c>
      <c r="N186" s="117" t="n">
        <f aca="false">SUMIFS(الريسبي!$C$2:$C$1800,الريسبي!$A$2:$A$1800,$A186,الريسبي!$B$2:$B$1800,N$1)</f>
        <v>0</v>
      </c>
      <c r="O186" s="117" t="n">
        <f aca="false">SUMIFS(الريسبي!$C$2:$C$1800,الريسبي!$A$2:$A$1800,$A186,الريسبي!$B$2:$B$1800,O$1)</f>
        <v>0</v>
      </c>
      <c r="P186" s="117" t="n">
        <f aca="false">SUMIFS(الريسبي!$C$2:$C$1800,الريسبي!$A$2:$A$1800,$A186,الريسبي!$B$2:$B$1800,P$1)</f>
        <v>0</v>
      </c>
      <c r="Q186" s="117" t="n">
        <f aca="false">SUMIFS(الريسبي!$C$2:$C$1800,الريسبي!$A$2:$A$1800,$A186,الريسبي!$B$2:$B$1800,Q$1)</f>
        <v>1</v>
      </c>
      <c r="R186" s="117" t="n">
        <f aca="false">SUMIFS(الريسبي!$C$2:$C$1800,الريسبي!$A$2:$A$1800,$A186,الريسبي!$B$2:$B$1800,R$1)</f>
        <v>0</v>
      </c>
      <c r="S186" s="117" t="n">
        <f aca="false">SUMIFS(الريسبي!$C$2:$C$1800,الريسبي!$A$2:$A$1800,$A186,الريسبي!$B$2:$B$1800,S$1)</f>
        <v>0</v>
      </c>
      <c r="T186" s="117" t="n">
        <f aca="false">SUMIFS(الريسبي!$C$2:$C$1800,الريسبي!$A$2:$A$1800,$A186,الريسبي!$B$2:$B$1800,T$1)</f>
        <v>0</v>
      </c>
      <c r="U186" s="117" t="n">
        <f aca="false">SUMIFS(الريسبي!$C$2:$C$1800,الريسبي!$A$2:$A$1800,$A186,الريسبي!$B$2:$B$1800,U$1)</f>
        <v>0</v>
      </c>
      <c r="V186" s="117" t="n">
        <f aca="false">SUMIFS(الريسبي!$C$2:$C$1800,الريسبي!$A$2:$A$1800,$A186,الريسبي!$B$2:$B$1800,V$1)+1.5*(SUMIFS(الريسبي!$C$2:$C$1800,الريسبي!$A$2:$A$1800,$A186,الريسبي!$B$2:$B$1800,"برسيون موتزريلا بيتزا كبير"))</f>
        <v>0</v>
      </c>
      <c r="W186" s="117" t="n">
        <f aca="false">0</f>
        <v>0</v>
      </c>
      <c r="X186" s="117" t="n">
        <f aca="false">SUMIFS(الريسبي!$C$2:$C$1800,الريسبي!$A$2:$A$1800,$A186,الريسبي!$B$2:$B$1800,X$1)+1.5*(SUMIFS(الريسبي!$C$2:$C$1800,الريسبي!$A$2:$A$1800,$A186,الريسبي!$B$2:$B$1800,"برسيون موتزريلا فطير كبير"))</f>
        <v>0</v>
      </c>
      <c r="Y186" s="117" t="n">
        <f aca="false">0</f>
        <v>0</v>
      </c>
      <c r="Z186" s="117" t="n">
        <f aca="false">SUMIFS(الريسبي!$C$2:$C$1800,الريسبي!$A$2:$A$1800,$A186,الريسبي!$B$2:$B$1800,Z$1)</f>
        <v>0</v>
      </c>
      <c r="AA186" s="117" t="n">
        <f aca="false">SUMIFS(الريسبي!$C$2:$C$1800,الريسبي!$A$2:$A$1800,$A186,الريسبي!$B$2:$B$1800,AA$1)</f>
        <v>0</v>
      </c>
      <c r="AB186" s="117" t="n">
        <f aca="false">SUMIFS(الريسبي!$C$2:$C$1800,الريسبي!$A$2:$A$1800,$A186,الريسبي!$B$2:$B$1800,AB$1)</f>
        <v>0</v>
      </c>
      <c r="AC186" s="117" t="n">
        <f aca="false">SUMIFS(الريسبي!$C$2:$C$1800,الريسبي!$A$2:$A$1800,$A186,الريسبي!$B$2:$B$1800,AC$1)</f>
        <v>0.1</v>
      </c>
      <c r="AD186" s="117" t="n">
        <f aca="false">SUMIFS(الريسبي!$C$2:$C$1800,الريسبي!$A$2:$A$1800,$A186,الريسبي!$B$2:$B$1800,AD$1)</f>
        <v>0</v>
      </c>
      <c r="AE186" s="117" t="n">
        <f aca="false">SUMIFS(الريسبي!$C$2:$C$1800,الريسبي!$A$2:$A$1800,$A186,الريسبي!$B$2:$B$1800,AE$1)</f>
        <v>0</v>
      </c>
      <c r="AF186" s="117" t="n">
        <f aca="false">SUMIFS(الريسبي!$C$2:$C$1800,الريسبي!$A$2:$A$1800,$A186,الريسبي!$B$2:$B$1800,AF$1)</f>
        <v>0</v>
      </c>
      <c r="AG186" s="117" t="n">
        <f aca="false">SUMIFS(الريسبي!$C$2:$C$1800,الريسبي!$A$2:$A$1800,$A186,الريسبي!$B$2:$B$1800,AG$1)</f>
        <v>0</v>
      </c>
      <c r="AH186" s="117" t="n">
        <f aca="false">SUMIFS(الريسبي!$C$2:$C$1800,الريسبي!$A$2:$A$1800,$A186,الريسبي!$B$2:$B$1800,AH$1)</f>
        <v>0</v>
      </c>
      <c r="AI186" s="117" t="n">
        <f aca="false">SUMIFS(الريسبي!$C$2:$C$1800,الريسبي!$A$2:$A$1800,$A186,الريسبي!$B$2:$B$1800,AI$1)</f>
        <v>0</v>
      </c>
      <c r="AJ186" s="117" t="n">
        <f aca="false">SUMIFS(الريسبي!$C$2:$C$1800,الريسبي!$A$2:$A$1800,$A186,الريسبي!$B$2:$B$1800,AJ$1)</f>
        <v>0</v>
      </c>
      <c r="AK186" s="117" t="n">
        <f aca="false">SUMIFS(الريسبي!$C$2:$C$1800,الريسبي!$A$2:$A$1800,$A186,الريسبي!$B$2:$B$1800,AK$1)</f>
        <v>0</v>
      </c>
      <c r="AL186" s="117" t="n">
        <f aca="false">SUMIFS(الريسبي!$C$2:$C$1800,الريسبي!$A$2:$A$1800,$A186,الريسبي!$B$2:$B$1800,AL$1)</f>
        <v>0</v>
      </c>
      <c r="AM186" s="117" t="n">
        <f aca="false">SUMIFS(الريسبي!$C$2:$C$1800,الريسبي!$A$2:$A$1800,$A186,الريسبي!$B$2:$B$1800,AM$1)+0.08333333333*SUMIFS(الريسبي!$C$2:$C$1800,الريسبي!$A$2:$A$1800,$A186,الريسبي!$B$2:$B$1800,"عجين كريب (مصنع بالمطعم)")+0.08333333333*SUMIFS(الريسبي!$C$2:$C$1800,الريسبي!$A$2:$A$1800,$A186,الريسبي!$B$2:$B$1800,"عجين كريب صيامي (بدون لبن)")</f>
        <v>0</v>
      </c>
      <c r="AN186" s="117" t="n">
        <f aca="false">SUMIFS(الريسبي!$C$2:$C$1800,الريسبي!$A$2:$A$1800,$A186,الريسبي!$B$2:$B$1800,AN$1)+0.004166666667*SUMIFS(الريسبي!$C$2:$C$1800,الريسبي!$A$2:$A$1800,$A186,الريسبي!$B$2:$B$1800,"عجين كريب (مصنع بالمطعم)")+0.004166666667*SUMIFS(الريسبي!$C$2:$C$1800,الريسبي!$A$2:$A$1800,$A186,الريسبي!$B$2:$B$1800,"عجين كريب صيامي (بدون لبن)")</f>
        <v>0.005</v>
      </c>
      <c r="AO186" s="117" t="n">
        <f aca="false">SUMIFS(الريسبي!$C$2:$C$1800,الريسبي!$A$2:$A$1800,$A186,الريسبي!$B$2:$B$1800,AO$1)</f>
        <v>0</v>
      </c>
      <c r="AP186" s="117" t="n">
        <f aca="false">SUMIFS(الريسبي!$C$2:$C$1800,الريسبي!$A$2:$A$1800,$A186,الريسبي!$B$2:$B$1800,AP$1)</f>
        <v>0</v>
      </c>
      <c r="AQ186" s="117" t="n">
        <f aca="false">SUMIFS(الريسبي!$C$2:$C$1800,الريسبي!$A$2:$A$1800,$A186,الريسبي!$B$2:$B$1800,AQ$1)+0.004166666667*SUMIFS(الريسبي!$C$2:$C$1800,الريسبي!$A$2:$A$1800,$A186,الريسبي!$B$2:$B$1800,"عجين كريب (مصنع بالمطعم)")+0.004166666667*SUMIFS(الريسبي!$C$2:$C$1800,الريسبي!$A$2:$A$1800,$A186,الريسبي!$B$2:$B$1800,"عجين كريب صيامي (بدون لبن)")</f>
        <v>0</v>
      </c>
      <c r="AR186" s="117" t="n">
        <f aca="false">SUMIFS(الريسبي!$C$2:$C$1800,الريسبي!$A$2:$A$1800,$A186,الريسبي!$B$2:$B$1800,AR$1)</f>
        <v>0</v>
      </c>
      <c r="AS186" s="117" t="n">
        <f aca="false">SUMIFS(الريسبي!$C$2:$C$1800,الريسبي!$A$2:$A$1800,$A186,الريسبي!$B$2:$B$1800,AS$1)</f>
        <v>0</v>
      </c>
      <c r="AT186" s="117" t="n">
        <f aca="false">SUMIFS(الريسبي!$C$2:$C$1800,الريسبي!$A$2:$A$1800,$A186,الريسبي!$B$2:$B$1800,AT$1)</f>
        <v>0</v>
      </c>
      <c r="AU186" s="117" t="n">
        <f aca="false">SUMIFS(الريسبي!$C$2:$C$1800,الريسبي!$A$2:$A$1800,$A186,الريسبي!$B$2:$B$1800,AU$1)</f>
        <v>0</v>
      </c>
      <c r="AV186" s="117" t="n">
        <f aca="false">SUMIFS(الريسبي!$C$2:$C$1800,الريسبي!$A$2:$A$1800,$A186,الريسبي!$B$2:$B$1800,AV$1)</f>
        <v>0</v>
      </c>
      <c r="AW186" s="117" t="n">
        <f aca="false">SUMIFS(الريسبي!$C$2:$C$1800,الريسبي!$A$2:$A$1800,$A186,الريسبي!$B$2:$B$1800,AW$1)</f>
        <v>0</v>
      </c>
      <c r="AX186" s="117" t="n">
        <f aca="false">SUMIFS(الريسبي!$C$2:$C$1800,الريسبي!$A$2:$A$1800,$A186,الريسبي!$B$2:$B$1800,AX$1)</f>
        <v>0</v>
      </c>
      <c r="AY186" s="117" t="n">
        <f aca="false">SUMIFS(الريسبي!$C$2:$C$1800,الريسبي!$A$2:$A$1800,$A186,الريسبي!$B$2:$B$1800,AY$1)</f>
        <v>0</v>
      </c>
      <c r="AZ186" s="117" t="n">
        <f aca="false">SUMIFS(الريسبي!$C$2:$C$1800,الريسبي!$A$2:$A$1800,$A186,الريسبي!$B$2:$B$1800,AZ$1)</f>
        <v>0</v>
      </c>
      <c r="BA186" s="117" t="n">
        <f aca="false">SUMIFS(الريسبي!$C$2:$C$1800,الريسبي!$A$2:$A$1800,$A186,الريسبي!$B$2:$B$1800,BA$1)</f>
        <v>0</v>
      </c>
      <c r="BB186" s="117" t="n">
        <f aca="false">SUMIFS(الريسبي!$C$2:$C$1800,الريسبي!$A$2:$A$1800,$A186,الريسبي!$B$2:$B$1800,BB$1)</f>
        <v>0</v>
      </c>
      <c r="BC186" s="117" t="n">
        <f aca="false">SUMIFS(الريسبي!$C$2:$C$1800,الريسبي!$A$2:$A$1800,$A186,الريسبي!$B$2:$B$1800,BC$1)</f>
        <v>0</v>
      </c>
      <c r="BD186" s="117" t="n">
        <f aca="false">SUMIFS(الريسبي!$C$2:$C$1800,الريسبي!$A$2:$A$1800,$A186,الريسبي!$B$2:$B$1800,BD$1)</f>
        <v>0</v>
      </c>
      <c r="BE186" s="117" t="n">
        <f aca="false">SUMIFS(الريسبي!$C$2:$C$1800,الريسبي!$A$2:$A$1800,$A186,الريسبي!$B$2:$B$1800,BE$1)</f>
        <v>0</v>
      </c>
      <c r="BF186" s="117" t="n">
        <f aca="false">SUMIFS(الريسبي!$C$2:$C$1800,الريسبي!$A$2:$A$1800,$A186,الريسبي!$B$2:$B$1800,BF$1)</f>
        <v>0</v>
      </c>
      <c r="BG186" s="117" t="n">
        <f aca="false">SUMIFS(الريسبي!$C$2:$C$1800,الريسبي!$A$2:$A$1800,$A186,الريسبي!$B$2:$B$1800,BG$1)</f>
        <v>0</v>
      </c>
      <c r="BH186" s="117" t="n">
        <f aca="false">SUMIFS(الريسبي!$C$2:$C$1800,الريسبي!$A$2:$A$1800,$A186,الريسبي!$B$2:$B$1800,BH$1)</f>
        <v>0</v>
      </c>
      <c r="BI186" s="117" t="n">
        <f aca="false">SUMIFS(الريسبي!$C$2:$C$1800,الريسبي!$A$2:$A$1800,$A186,الريسبي!$B$2:$B$1800,BI$1)</f>
        <v>0</v>
      </c>
      <c r="BJ186" s="117" t="n">
        <f aca="false">SUMIFS(الريسبي!$C$2:$C$1800,الريسبي!$A$2:$A$1800,$A186,الريسبي!$B$2:$B$1800,BJ$1)</f>
        <v>0</v>
      </c>
      <c r="BK186" s="117" t="n">
        <f aca="false">SUMIFS(الريسبي!$C$2:$C$1800,الريسبي!$A$2:$A$1800,$A186,الريسبي!$B$2:$B$1800,BK$1)</f>
        <v>0</v>
      </c>
      <c r="BL186" s="117" t="n">
        <f aca="false">SUMIFS(الريسبي!$C$2:$C$1800,الريسبي!$A$2:$A$1800,$A186,الريسبي!$B$2:$B$1800,BL$1)</f>
        <v>0</v>
      </c>
      <c r="BM186" s="117" t="n">
        <f aca="false">SUMIFS(الريسبي!$C$2:$C$1800,الريسبي!$A$2:$A$1800,$A186,الريسبي!$B$2:$B$1800,BM$1)</f>
        <v>0</v>
      </c>
      <c r="BN186" s="117" t="n">
        <f aca="false">SUMIFS(الريسبي!$C$2:$C$1800,الريسبي!$A$2:$A$1800,$A186,الريسبي!$B$2:$B$1800,BN$1)</f>
        <v>0</v>
      </c>
      <c r="BO186" s="117" t="n">
        <f aca="false">SUMIFS(الريسبي!$C$2:$C$1800,الريسبي!$A$2:$A$1800,$A186,الريسبي!$B$2:$B$1800,BO$1)</f>
        <v>0</v>
      </c>
      <c r="BP186" s="117" t="n">
        <f aca="false">SUMIFS(الريسبي!$C$2:$C$1800,الريسبي!$A$2:$A$1800,$A186,الريسبي!$B$2:$B$1800,BP$1)</f>
        <v>0</v>
      </c>
      <c r="BQ186" s="117" t="n">
        <f aca="false">SUMIFS(الريسبي!$C$2:$C$1800,الريسبي!$A$2:$A$1800,$A186,الريسبي!$B$2:$B$1800,BQ$1)+0.17*SUMIFS(الريسبي!$C$2:$C$1800,الريسبي!$A$2:$A$1800,$A186,الريسبي!$B$2:$B$1800,"كاسترد مصنع (خليط بودر + لبن)")+0.17*SUMIFS(الريسبي!$C$2:$C$1800,الريسبي!$A$2:$A$1800,$A186,الريسبي!$B$2:$B$1800,"كاسترد مصنع صيامي (بدون لبن)")</f>
        <v>0</v>
      </c>
      <c r="BR186" s="117" t="n">
        <f aca="false">SUMIFS(الريسبي!$C$2:$C$1800,الريسبي!$A$2:$A$1800,$A186,الريسبي!$B$2:$B$1800,BR$1)</f>
        <v>0</v>
      </c>
      <c r="BS186" s="117" t="n">
        <f aca="false">SUMIFS(الريسبي!$C$2:$C$1800,الريسبي!$A$2:$A$1800,$A186,الريسبي!$B$2:$B$1800,BS$1)</f>
        <v>0</v>
      </c>
      <c r="BT186" s="117" t="n">
        <f aca="false">SUMIFS(الريسبي!$C$2:$C$1800,الريسبي!$A$2:$A$1800,$A186,الريسبي!$B$2:$B$1800,BT$1)</f>
        <v>0</v>
      </c>
      <c r="BU186" s="117" t="n">
        <f aca="false">SUMIFS(الريسبي!$C$2:$C$1800,الريسبي!$A$2:$A$1800,$A186,الريسبي!$B$2:$B$1800,BU$1)+0.4*SUMIFS(الريسبي!$C$2:$C$1800,الريسبي!$A$2:$A$1800,$A186,الريسبي!$B$2:$B$1800,"كاسترد مصنع (خليط بودر + لبن)")+0.03333333333*SUMIFS(الريسبي!$C$2:$C$1800,الريسبي!$A$2:$A$1800,$A186,الريسبي!$B$2:$B$1800,"عجين كريب (مصنع بالمطعم)")</f>
        <v>0.025</v>
      </c>
      <c r="BV186" s="117" t="n">
        <f aca="false">SUMIFS(الريسبي!$C$2:$C$1800,الريسبي!$A$2:$A$1800,$A186,الريسبي!$B$2:$B$1800,BV$1)</f>
        <v>1</v>
      </c>
      <c r="BW186" s="117" t="n">
        <f aca="false">SUMIFS(الريسبي!$C$2:$C$1800,الريسبي!$A$2:$A$1800,$A186,الريسبي!$B$2:$B$1800,BW$1)</f>
        <v>0</v>
      </c>
      <c r="BX186" s="117" t="n">
        <f aca="false">SUMIFS(الريسبي!$C$2:$C$1800,الريسبي!$A$2:$A$1800,$A186,الريسبي!$B$2:$B$1800,BX$1)</f>
        <v>0</v>
      </c>
      <c r="BY186" s="117" t="n">
        <f aca="false">SUMIFS(الريسبي!$C$2:$C$1800,الريسبي!$A$2:$A$1800,$A186,الريسبي!$B$2:$B$1800,BY$1)</f>
        <v>0.075</v>
      </c>
      <c r="BZ186" s="117" t="n">
        <f aca="false">SUMIFS(الريسبي!$C$2:$C$1800,الريسبي!$A$2:$A$1800,$A186,الريسبي!$B$2:$B$1800,BZ$1)</f>
        <v>0</v>
      </c>
      <c r="CA186" s="117" t="n">
        <f aca="false">SUMIFS(الريسبي!$C$2:$C$1800,الريسبي!$A$2:$A$1800,$A186,الريسبي!$B$2:$B$1800,CA$1)</f>
        <v>0</v>
      </c>
      <c r="CB186" s="117" t="n">
        <f aca="false">SUMIFS(الريسبي!$C$2:$C$1800,الريسبي!$A$2:$A$1800,$A186,الريسبي!$B$2:$B$1800,CB$1)</f>
        <v>0</v>
      </c>
      <c r="CC186" s="117" t="n">
        <f aca="false">SUMIFS(الريسبي!$C$2:$C$1800,الريسبي!$A$2:$A$1800,$A186,الريسبي!$B$2:$B$1800,CC$1)</f>
        <v>0</v>
      </c>
      <c r="CD186" s="117" t="n">
        <f aca="false">SUMIFS(الريسبي!$C$2:$C$1800,الريسبي!$A$2:$A$1800,$A186,الريسبي!$B$2:$B$1800,CD$1)</f>
        <v>0</v>
      </c>
      <c r="CE186" s="117" t="n">
        <f aca="false">SUMIFS(الريسبي!$C$2:$C$1800,الريسبي!$A$2:$A$1800,$A186,الريسبي!$B$2:$B$1800,CE$1)</f>
        <v>0</v>
      </c>
      <c r="CF186" s="117" t="n">
        <f aca="false">SUMIFS(الريسبي!$C$2:$C$1800,الريسبي!$A$2:$A$1800,$A186,الريسبي!$B$2:$B$1800,CF$1)</f>
        <v>0</v>
      </c>
      <c r="CG186" s="117" t="n">
        <f aca="false">SUMIFS(الريسبي!$C$2:$C$1800,الريسبي!$A$2:$A$1800,$A186,الريسبي!$B$2:$B$1800,CG$1)</f>
        <v>0</v>
      </c>
      <c r="CH186" s="117" t="n">
        <f aca="false">SUMIFS(الريسبي!$C$2:$C$1800,الريسبي!$A$2:$A$1800,$A186,الريسبي!$B$2:$B$1800,CH$1)</f>
        <v>0</v>
      </c>
      <c r="CI186" s="117" t="n">
        <f aca="false">SUMIFS(الريسبي!$C$2:$C$1800,الريسبي!$A$2:$A$1800,$A186,الريسبي!$B$2:$B$1800,CI$1)</f>
        <v>0</v>
      </c>
      <c r="CJ186" s="117" t="n">
        <f aca="false">SUMIFS(الريسبي!$C$2:$C$1800,الريسبي!$A$2:$A$1800,$A186,الريسبي!$B$2:$B$1800,CJ$1)</f>
        <v>1</v>
      </c>
      <c r="CK186" s="117" t="n">
        <f aca="false">SUMIFS(الريسبي!$C$2:$C$1800,الريسبي!$A$2:$A$1800,$A186,الريسبي!$B$2:$B$1800,CK$1)</f>
        <v>0</v>
      </c>
      <c r="CL186" s="117" t="n">
        <f aca="false">SUMIFS(الريسبي!$C$2:$C$1800,الريسبي!$A$2:$A$1800,$A186,الريسبي!$B$2:$B$1800,CL$1)</f>
        <v>0</v>
      </c>
    </row>
    <row r="187" customFormat="false" ht="15" hidden="false" customHeight="false" outlineLevel="0" collapsed="false">
      <c r="A187" s="116" t="str">
        <f aca="false">المنيو!B187</f>
        <v>اضافة برجر</v>
      </c>
      <c r="B187" s="117" t="n">
        <f aca="false">SUMIFS(الريسبي!$C$2:$C$1800,الريسبي!$A$2:$A$1800,$A187,الريسبي!$B$2:$B$1800,B$1)</f>
        <v>0</v>
      </c>
      <c r="C187" s="117" t="n">
        <f aca="false">SUMIFS(الريسبي!$C$2:$C$1800,الريسبي!$A$2:$A$1800,$A187,الريسبي!$B$2:$B$1800,C$1)</f>
        <v>0</v>
      </c>
      <c r="D187" s="117" t="n">
        <f aca="false">SUMIFS(الريسبي!$C$2:$C$1800,الريسبي!$A$2:$A$1800,$A187,الريسبي!$B$2:$B$1800,D$1)</f>
        <v>0</v>
      </c>
      <c r="E187" s="117" t="n">
        <f aca="false">SUMIFS(الريسبي!$C$2:$C$1800,الريسبي!$A$2:$A$1800,$A187,الريسبي!$B$2:$B$1800,E$1)</f>
        <v>0</v>
      </c>
      <c r="F187" s="117" t="n">
        <f aca="false">SUMIFS(الريسبي!$C$2:$C$1800,الريسبي!$A$2:$A$1800,$A187,الريسبي!$B$2:$B$1800,F$1)</f>
        <v>1</v>
      </c>
      <c r="G187" s="117" t="n">
        <f aca="false">SUMIFS(الريسبي!$C$2:$C$1800,الريسبي!$A$2:$A$1800,$A187,الريسبي!$B$2:$B$1800,G$1)</f>
        <v>0</v>
      </c>
      <c r="H187" s="117" t="n">
        <f aca="false">SUMIFS(الريسبي!$C$2:$C$1800,الريسبي!$A$2:$A$1800,$A187,الريسبي!$B$2:$B$1800,H$1)</f>
        <v>0</v>
      </c>
      <c r="I187" s="117" t="n">
        <f aca="false">SUMIFS(الريسبي!$C$2:$C$1800,الريسبي!$A$2:$A$1800,$A187,الريسبي!$B$2:$B$1800,I$1)</f>
        <v>0</v>
      </c>
      <c r="J187" s="117" t="n">
        <f aca="false">SUMIFS(الريسبي!$C$2:$C$1800,الريسبي!$A$2:$A$1800,$A187,الريسبي!$B$2:$B$1800,J$1)</f>
        <v>0</v>
      </c>
      <c r="K187" s="117" t="n">
        <f aca="false">SUMIFS(الريسبي!$C$2:$C$1800,الريسبي!$A$2:$A$1800,$A187,الريسبي!$B$2:$B$1800,K$1)</f>
        <v>0</v>
      </c>
      <c r="L187" s="117" t="n">
        <f aca="false">SUMIFS(الريسبي!$C$2:$C$1800,الريسبي!$A$2:$A$1800,$A187,الريسبي!$B$2:$B$1800,L$1)</f>
        <v>0</v>
      </c>
      <c r="M187" s="117" t="n">
        <f aca="false">SUMIFS(الريسبي!$C$2:$C$1800,الريسبي!$A$2:$A$1800,$A187,الريسبي!$B$2:$B$1800,M$1)</f>
        <v>0</v>
      </c>
      <c r="N187" s="117" t="n">
        <f aca="false">SUMIFS(الريسبي!$C$2:$C$1800,الريسبي!$A$2:$A$1800,$A187,الريسبي!$B$2:$B$1800,N$1)</f>
        <v>0</v>
      </c>
      <c r="O187" s="117" t="n">
        <f aca="false">SUMIFS(الريسبي!$C$2:$C$1800,الريسبي!$A$2:$A$1800,$A187,الريسبي!$B$2:$B$1800,O$1)</f>
        <v>0</v>
      </c>
      <c r="P187" s="117" t="n">
        <f aca="false">SUMIFS(الريسبي!$C$2:$C$1800,الريسبي!$A$2:$A$1800,$A187,الريسبي!$B$2:$B$1800,P$1)</f>
        <v>0</v>
      </c>
      <c r="Q187" s="117" t="n">
        <f aca="false">SUMIFS(الريسبي!$C$2:$C$1800,الريسبي!$A$2:$A$1800,$A187,الريسبي!$B$2:$B$1800,Q$1)</f>
        <v>0</v>
      </c>
      <c r="R187" s="117" t="n">
        <f aca="false">SUMIFS(الريسبي!$C$2:$C$1800,الريسبي!$A$2:$A$1800,$A187,الريسبي!$B$2:$B$1800,R$1)</f>
        <v>0</v>
      </c>
      <c r="S187" s="117" t="n">
        <f aca="false">SUMIFS(الريسبي!$C$2:$C$1800,الريسبي!$A$2:$A$1800,$A187,الريسبي!$B$2:$B$1800,S$1)</f>
        <v>0</v>
      </c>
      <c r="T187" s="117" t="n">
        <f aca="false">SUMIFS(الريسبي!$C$2:$C$1800,الريسبي!$A$2:$A$1800,$A187,الريسبي!$B$2:$B$1800,T$1)</f>
        <v>0</v>
      </c>
      <c r="U187" s="117" t="n">
        <f aca="false">SUMIFS(الريسبي!$C$2:$C$1800,الريسبي!$A$2:$A$1800,$A187,الريسبي!$B$2:$B$1800,U$1)</f>
        <v>0</v>
      </c>
      <c r="V187" s="117" t="n">
        <f aca="false">SUMIFS(الريسبي!$C$2:$C$1800,الريسبي!$A$2:$A$1800,$A187,الريسبي!$B$2:$B$1800,V$1)+1.5*(SUMIFS(الريسبي!$C$2:$C$1800,الريسبي!$A$2:$A$1800,$A187,الريسبي!$B$2:$B$1800,"برسيون موتزريلا بيتزا كبير"))</f>
        <v>0</v>
      </c>
      <c r="W187" s="117" t="n">
        <f aca="false">0</f>
        <v>0</v>
      </c>
      <c r="X187" s="117" t="n">
        <f aca="false">SUMIFS(الريسبي!$C$2:$C$1800,الريسبي!$A$2:$A$1800,$A187,الريسبي!$B$2:$B$1800,X$1)+1.5*(SUMIFS(الريسبي!$C$2:$C$1800,الريسبي!$A$2:$A$1800,$A187,الريسبي!$B$2:$B$1800,"برسيون موتزريلا فطير كبير"))</f>
        <v>0</v>
      </c>
      <c r="Y187" s="117" t="n">
        <f aca="false">0</f>
        <v>0</v>
      </c>
      <c r="Z187" s="117" t="n">
        <f aca="false">SUMIFS(الريسبي!$C$2:$C$1800,الريسبي!$A$2:$A$1800,$A187,الريسبي!$B$2:$B$1800,Z$1)</f>
        <v>0</v>
      </c>
      <c r="AA187" s="117" t="n">
        <f aca="false">SUMIFS(الريسبي!$C$2:$C$1800,الريسبي!$A$2:$A$1800,$A187,الريسبي!$B$2:$B$1800,AA$1)</f>
        <v>0</v>
      </c>
      <c r="AB187" s="117" t="n">
        <f aca="false">SUMIFS(الريسبي!$C$2:$C$1800,الريسبي!$A$2:$A$1800,$A187,الريسبي!$B$2:$B$1800,AB$1)</f>
        <v>0</v>
      </c>
      <c r="AC187" s="117" t="n">
        <f aca="false">SUMIFS(الريسبي!$C$2:$C$1800,الريسبي!$A$2:$A$1800,$A187,الريسبي!$B$2:$B$1800,AC$1)</f>
        <v>0</v>
      </c>
      <c r="AD187" s="117" t="n">
        <f aca="false">SUMIFS(الريسبي!$C$2:$C$1800,الريسبي!$A$2:$A$1800,$A187,الريسبي!$B$2:$B$1800,AD$1)</f>
        <v>0</v>
      </c>
      <c r="AE187" s="117" t="n">
        <f aca="false">SUMIFS(الريسبي!$C$2:$C$1800,الريسبي!$A$2:$A$1800,$A187,الريسبي!$B$2:$B$1800,AE$1)</f>
        <v>0</v>
      </c>
      <c r="AF187" s="117" t="n">
        <f aca="false">SUMIFS(الريسبي!$C$2:$C$1800,الريسبي!$A$2:$A$1800,$A187,الريسبي!$B$2:$B$1800,AF$1)</f>
        <v>0</v>
      </c>
      <c r="AG187" s="117" t="n">
        <f aca="false">SUMIFS(الريسبي!$C$2:$C$1800,الريسبي!$A$2:$A$1800,$A187,الريسبي!$B$2:$B$1800,AG$1)</f>
        <v>0</v>
      </c>
      <c r="AH187" s="117" t="n">
        <f aca="false">SUMIFS(الريسبي!$C$2:$C$1800,الريسبي!$A$2:$A$1800,$A187,الريسبي!$B$2:$B$1800,AH$1)</f>
        <v>0</v>
      </c>
      <c r="AI187" s="117" t="n">
        <f aca="false">SUMIFS(الريسبي!$C$2:$C$1800,الريسبي!$A$2:$A$1800,$A187,الريسبي!$B$2:$B$1800,AI$1)</f>
        <v>0</v>
      </c>
      <c r="AJ187" s="117" t="n">
        <f aca="false">SUMIFS(الريسبي!$C$2:$C$1800,الريسبي!$A$2:$A$1800,$A187,الريسبي!$B$2:$B$1800,AJ$1)</f>
        <v>0</v>
      </c>
      <c r="AK187" s="117" t="n">
        <f aca="false">SUMIFS(الريسبي!$C$2:$C$1800,الريسبي!$A$2:$A$1800,$A187,الريسبي!$B$2:$B$1800,AK$1)</f>
        <v>0</v>
      </c>
      <c r="AL187" s="117" t="n">
        <f aca="false">SUMIFS(الريسبي!$C$2:$C$1800,الريسبي!$A$2:$A$1800,$A187,الريسبي!$B$2:$B$1800,AL$1)</f>
        <v>0</v>
      </c>
      <c r="AM187" s="117" t="n">
        <f aca="false">SUMIFS(الريسبي!$C$2:$C$1800,الريسبي!$A$2:$A$1800,$A187,الريسبي!$B$2:$B$1800,AM$1)+0.08333333333*SUMIFS(الريسبي!$C$2:$C$1800,الريسبي!$A$2:$A$1800,$A187,الريسبي!$B$2:$B$1800,"عجين كريب (مصنع بالمطعم)")+0.08333333333*SUMIFS(الريسبي!$C$2:$C$1800,الريسبي!$A$2:$A$1800,$A187,الريسبي!$B$2:$B$1800,"عجين كريب صيامي (بدون لبن)")</f>
        <v>0</v>
      </c>
      <c r="AN187" s="117" t="n">
        <f aca="false">SUMIFS(الريسبي!$C$2:$C$1800,الريسبي!$A$2:$A$1800,$A187,الريسبي!$B$2:$B$1800,AN$1)+0.004166666667*SUMIFS(الريسبي!$C$2:$C$1800,الريسبي!$A$2:$A$1800,$A187,الريسبي!$B$2:$B$1800,"عجين كريب (مصنع بالمطعم)")+0.004166666667*SUMIFS(الريسبي!$C$2:$C$1800,الريسبي!$A$2:$A$1800,$A187,الريسبي!$B$2:$B$1800,"عجين كريب صيامي (بدون لبن)")</f>
        <v>0</v>
      </c>
      <c r="AO187" s="117" t="n">
        <f aca="false">SUMIFS(الريسبي!$C$2:$C$1800,الريسبي!$A$2:$A$1800,$A187,الريسبي!$B$2:$B$1800,AO$1)</f>
        <v>0</v>
      </c>
      <c r="AP187" s="117" t="n">
        <f aca="false">SUMIFS(الريسبي!$C$2:$C$1800,الريسبي!$A$2:$A$1800,$A187,الريسبي!$B$2:$B$1800,AP$1)</f>
        <v>0</v>
      </c>
      <c r="AQ187" s="117" t="n">
        <f aca="false">SUMIFS(الريسبي!$C$2:$C$1800,الريسبي!$A$2:$A$1800,$A187,الريسبي!$B$2:$B$1800,AQ$1)+0.004166666667*SUMIFS(الريسبي!$C$2:$C$1800,الريسبي!$A$2:$A$1800,$A187,الريسبي!$B$2:$B$1800,"عجين كريب (مصنع بالمطعم)")+0.004166666667*SUMIFS(الريسبي!$C$2:$C$1800,الريسبي!$A$2:$A$1800,$A187,الريسبي!$B$2:$B$1800,"عجين كريب صيامي (بدون لبن)")</f>
        <v>0</v>
      </c>
      <c r="AR187" s="117" t="n">
        <f aca="false">SUMIFS(الريسبي!$C$2:$C$1800,الريسبي!$A$2:$A$1800,$A187,الريسبي!$B$2:$B$1800,AR$1)</f>
        <v>0</v>
      </c>
      <c r="AS187" s="117" t="n">
        <f aca="false">SUMIFS(الريسبي!$C$2:$C$1800,الريسبي!$A$2:$A$1800,$A187,الريسبي!$B$2:$B$1800,AS$1)</f>
        <v>0</v>
      </c>
      <c r="AT187" s="117" t="n">
        <f aca="false">SUMIFS(الريسبي!$C$2:$C$1800,الريسبي!$A$2:$A$1800,$A187,الريسبي!$B$2:$B$1800,AT$1)</f>
        <v>0</v>
      </c>
      <c r="AU187" s="117" t="n">
        <f aca="false">SUMIFS(الريسبي!$C$2:$C$1800,الريسبي!$A$2:$A$1800,$A187,الريسبي!$B$2:$B$1800,AU$1)</f>
        <v>0</v>
      </c>
      <c r="AV187" s="117" t="n">
        <f aca="false">SUMIFS(الريسبي!$C$2:$C$1800,الريسبي!$A$2:$A$1800,$A187,الريسبي!$B$2:$B$1800,AV$1)</f>
        <v>0</v>
      </c>
      <c r="AW187" s="117" t="n">
        <f aca="false">SUMIFS(الريسبي!$C$2:$C$1800,الريسبي!$A$2:$A$1800,$A187,الريسبي!$B$2:$B$1800,AW$1)</f>
        <v>0</v>
      </c>
      <c r="AX187" s="117" t="n">
        <f aca="false">SUMIFS(الريسبي!$C$2:$C$1800,الريسبي!$A$2:$A$1800,$A187,الريسبي!$B$2:$B$1800,AX$1)</f>
        <v>0</v>
      </c>
      <c r="AY187" s="117" t="n">
        <f aca="false">SUMIFS(الريسبي!$C$2:$C$1800,الريسبي!$A$2:$A$1800,$A187,الريسبي!$B$2:$B$1800,AY$1)</f>
        <v>0</v>
      </c>
      <c r="AZ187" s="117" t="n">
        <f aca="false">SUMIFS(الريسبي!$C$2:$C$1800,الريسبي!$A$2:$A$1800,$A187,الريسبي!$B$2:$B$1800,AZ$1)</f>
        <v>0</v>
      </c>
      <c r="BA187" s="117" t="n">
        <f aca="false">SUMIFS(الريسبي!$C$2:$C$1800,الريسبي!$A$2:$A$1800,$A187,الريسبي!$B$2:$B$1800,BA$1)</f>
        <v>0</v>
      </c>
      <c r="BB187" s="117" t="n">
        <f aca="false">SUMIFS(الريسبي!$C$2:$C$1800,الريسبي!$A$2:$A$1800,$A187,الريسبي!$B$2:$B$1800,BB$1)</f>
        <v>0</v>
      </c>
      <c r="BC187" s="117" t="n">
        <f aca="false">SUMIFS(الريسبي!$C$2:$C$1800,الريسبي!$A$2:$A$1800,$A187,الريسبي!$B$2:$B$1800,BC$1)</f>
        <v>0</v>
      </c>
      <c r="BD187" s="117" t="n">
        <f aca="false">SUMIFS(الريسبي!$C$2:$C$1800,الريسبي!$A$2:$A$1800,$A187,الريسبي!$B$2:$B$1800,BD$1)</f>
        <v>0</v>
      </c>
      <c r="BE187" s="117" t="n">
        <f aca="false">SUMIFS(الريسبي!$C$2:$C$1800,الريسبي!$A$2:$A$1800,$A187,الريسبي!$B$2:$B$1800,BE$1)</f>
        <v>0</v>
      </c>
      <c r="BF187" s="117" t="n">
        <f aca="false">SUMIFS(الريسبي!$C$2:$C$1800,الريسبي!$A$2:$A$1800,$A187,الريسبي!$B$2:$B$1800,BF$1)</f>
        <v>0</v>
      </c>
      <c r="BG187" s="117" t="n">
        <f aca="false">SUMIFS(الريسبي!$C$2:$C$1800,الريسبي!$A$2:$A$1800,$A187,الريسبي!$B$2:$B$1800,BG$1)</f>
        <v>0</v>
      </c>
      <c r="BH187" s="117" t="n">
        <f aca="false">SUMIFS(الريسبي!$C$2:$C$1800,الريسبي!$A$2:$A$1800,$A187,الريسبي!$B$2:$B$1800,BH$1)</f>
        <v>0</v>
      </c>
      <c r="BI187" s="117" t="n">
        <f aca="false">SUMIFS(الريسبي!$C$2:$C$1800,الريسبي!$A$2:$A$1800,$A187,الريسبي!$B$2:$B$1800,BI$1)</f>
        <v>0</v>
      </c>
      <c r="BJ187" s="117" t="n">
        <f aca="false">SUMIFS(الريسبي!$C$2:$C$1800,الريسبي!$A$2:$A$1800,$A187,الريسبي!$B$2:$B$1800,BJ$1)</f>
        <v>0</v>
      </c>
      <c r="BK187" s="117" t="n">
        <f aca="false">SUMIFS(الريسبي!$C$2:$C$1800,الريسبي!$A$2:$A$1800,$A187,الريسبي!$B$2:$B$1800,BK$1)</f>
        <v>0</v>
      </c>
      <c r="BL187" s="117" t="n">
        <f aca="false">SUMIFS(الريسبي!$C$2:$C$1800,الريسبي!$A$2:$A$1800,$A187,الريسبي!$B$2:$B$1800,BL$1)</f>
        <v>0</v>
      </c>
      <c r="BM187" s="117" t="n">
        <f aca="false">SUMIFS(الريسبي!$C$2:$C$1800,الريسبي!$A$2:$A$1800,$A187,الريسبي!$B$2:$B$1800,BM$1)</f>
        <v>0</v>
      </c>
      <c r="BN187" s="117" t="n">
        <f aca="false">SUMIFS(الريسبي!$C$2:$C$1800,الريسبي!$A$2:$A$1800,$A187,الريسبي!$B$2:$B$1800,BN$1)</f>
        <v>0</v>
      </c>
      <c r="BO187" s="117" t="n">
        <f aca="false">SUMIFS(الريسبي!$C$2:$C$1800,الريسبي!$A$2:$A$1800,$A187,الريسبي!$B$2:$B$1800,BO$1)</f>
        <v>0</v>
      </c>
      <c r="BP187" s="117" t="n">
        <f aca="false">SUMIFS(الريسبي!$C$2:$C$1800,الريسبي!$A$2:$A$1800,$A187,الريسبي!$B$2:$B$1800,BP$1)</f>
        <v>0</v>
      </c>
      <c r="BQ187" s="117" t="n">
        <f aca="false">SUMIFS(الريسبي!$C$2:$C$1800,الريسبي!$A$2:$A$1800,$A187,الريسبي!$B$2:$B$1800,BQ$1)+0.17*SUMIFS(الريسبي!$C$2:$C$1800,الريسبي!$A$2:$A$1800,$A187,الريسبي!$B$2:$B$1800,"كاسترد مصنع (خليط بودر + لبن)")+0.17*SUMIFS(الريسبي!$C$2:$C$1800,الريسبي!$A$2:$A$1800,$A187,الريسبي!$B$2:$B$1800,"كاسترد مصنع صيامي (بدون لبن)")</f>
        <v>0</v>
      </c>
      <c r="BR187" s="117" t="n">
        <f aca="false">SUMIFS(الريسبي!$C$2:$C$1800,الريسبي!$A$2:$A$1800,$A187,الريسبي!$B$2:$B$1800,BR$1)</f>
        <v>0</v>
      </c>
      <c r="BS187" s="117" t="n">
        <f aca="false">SUMIFS(الريسبي!$C$2:$C$1800,الريسبي!$A$2:$A$1800,$A187,الريسبي!$B$2:$B$1800,BS$1)</f>
        <v>0</v>
      </c>
      <c r="BT187" s="117" t="n">
        <f aca="false">SUMIFS(الريسبي!$C$2:$C$1800,الريسبي!$A$2:$A$1800,$A187,الريسبي!$B$2:$B$1800,BT$1)</f>
        <v>0</v>
      </c>
      <c r="BU187" s="117" t="n">
        <f aca="false">SUMIFS(الريسبي!$C$2:$C$1800,الريسبي!$A$2:$A$1800,$A187,الريسبي!$B$2:$B$1800,BU$1)+0.4*SUMIFS(الريسبي!$C$2:$C$1800,الريسبي!$A$2:$A$1800,$A187,الريسبي!$B$2:$B$1800,"كاسترد مصنع (خليط بودر + لبن)")+0.03333333333*SUMIFS(الريسبي!$C$2:$C$1800,الريسبي!$A$2:$A$1800,$A187,الريسبي!$B$2:$B$1800,"عجين كريب (مصنع بالمطعم)")</f>
        <v>0</v>
      </c>
      <c r="BV187" s="117" t="n">
        <f aca="false">SUMIFS(الريسبي!$C$2:$C$1800,الريسبي!$A$2:$A$1800,$A187,الريسبي!$B$2:$B$1800,BV$1)</f>
        <v>0</v>
      </c>
      <c r="BW187" s="117" t="n">
        <f aca="false">SUMIFS(الريسبي!$C$2:$C$1800,الريسبي!$A$2:$A$1800,$A187,الريسبي!$B$2:$B$1800,BW$1)</f>
        <v>0</v>
      </c>
      <c r="BX187" s="117" t="n">
        <f aca="false">SUMIFS(الريسبي!$C$2:$C$1800,الريسبي!$A$2:$A$1800,$A187,الريسبي!$B$2:$B$1800,BX$1)</f>
        <v>0</v>
      </c>
      <c r="BY187" s="117" t="n">
        <f aca="false">SUMIFS(الريسبي!$C$2:$C$1800,الريسبي!$A$2:$A$1800,$A187,الريسبي!$B$2:$B$1800,BY$1)</f>
        <v>0</v>
      </c>
      <c r="BZ187" s="117" t="n">
        <f aca="false">SUMIFS(الريسبي!$C$2:$C$1800,الريسبي!$A$2:$A$1800,$A187,الريسبي!$B$2:$B$1800,BZ$1)</f>
        <v>0</v>
      </c>
      <c r="CA187" s="117" t="n">
        <f aca="false">SUMIFS(الريسبي!$C$2:$C$1800,الريسبي!$A$2:$A$1800,$A187,الريسبي!$B$2:$B$1800,CA$1)</f>
        <v>0</v>
      </c>
      <c r="CB187" s="117" t="n">
        <f aca="false">SUMIFS(الريسبي!$C$2:$C$1800,الريسبي!$A$2:$A$1800,$A187,الريسبي!$B$2:$B$1800,CB$1)</f>
        <v>0</v>
      </c>
      <c r="CC187" s="117" t="n">
        <f aca="false">SUMIFS(الريسبي!$C$2:$C$1800,الريسبي!$A$2:$A$1800,$A187,الريسبي!$B$2:$B$1800,CC$1)</f>
        <v>0</v>
      </c>
      <c r="CD187" s="117" t="n">
        <f aca="false">SUMIFS(الريسبي!$C$2:$C$1800,الريسبي!$A$2:$A$1800,$A187,الريسبي!$B$2:$B$1800,CD$1)</f>
        <v>0</v>
      </c>
      <c r="CE187" s="117" t="n">
        <f aca="false">SUMIFS(الريسبي!$C$2:$C$1800,الريسبي!$A$2:$A$1800,$A187,الريسبي!$B$2:$B$1800,CE$1)</f>
        <v>0</v>
      </c>
      <c r="CF187" s="117" t="n">
        <f aca="false">SUMIFS(الريسبي!$C$2:$C$1800,الريسبي!$A$2:$A$1800,$A187,الريسبي!$B$2:$B$1800,CF$1)</f>
        <v>0</v>
      </c>
      <c r="CG187" s="117" t="n">
        <f aca="false">SUMIFS(الريسبي!$C$2:$C$1800,الريسبي!$A$2:$A$1800,$A187,الريسبي!$B$2:$B$1800,CG$1)</f>
        <v>0</v>
      </c>
      <c r="CH187" s="117" t="n">
        <f aca="false">SUMIFS(الريسبي!$C$2:$C$1800,الريسبي!$A$2:$A$1800,$A187,الريسبي!$B$2:$B$1800,CH$1)</f>
        <v>0</v>
      </c>
      <c r="CI187" s="117" t="n">
        <f aca="false">SUMIFS(الريسبي!$C$2:$C$1800,الريسبي!$A$2:$A$1800,$A187,الريسبي!$B$2:$B$1800,CI$1)</f>
        <v>0</v>
      </c>
      <c r="CJ187" s="117" t="n">
        <f aca="false">SUMIFS(الريسبي!$C$2:$C$1800,الريسبي!$A$2:$A$1800,$A187,الريسبي!$B$2:$B$1800,CJ$1)</f>
        <v>0</v>
      </c>
      <c r="CK187" s="117" t="n">
        <f aca="false">SUMIFS(الريسبي!$C$2:$C$1800,الريسبي!$A$2:$A$1800,$A187,الريسبي!$B$2:$B$1800,CK$1)</f>
        <v>0</v>
      </c>
      <c r="CL187" s="117" t="n">
        <f aca="false">SUMIFS(الريسبي!$C$2:$C$1800,الريسبي!$A$2:$A$1800,$A187,الريسبي!$B$2:$B$1800,CL$1)</f>
        <v>0</v>
      </c>
    </row>
    <row r="188" customFormat="false" ht="15" hidden="false" customHeight="false" outlineLevel="0" collapsed="false">
      <c r="A188" s="116" t="str">
        <f aca="false">المنيو!B188</f>
        <v>اضافة وش شرقي (بيض وجبنة رومي) كبير</v>
      </c>
      <c r="B188" s="117" t="n">
        <f aca="false">SUMIFS(الريسبي!$C$2:$C$1800,الريسبي!$A$2:$A$1800,$A188,الريسبي!$B$2:$B$1800,B$1)</f>
        <v>0</v>
      </c>
      <c r="C188" s="117" t="n">
        <f aca="false">SUMIFS(الريسبي!$C$2:$C$1800,الريسبي!$A$2:$A$1800,$A188,الريسبي!$B$2:$B$1800,C$1)</f>
        <v>0</v>
      </c>
      <c r="D188" s="117" t="n">
        <f aca="false">SUMIFS(الريسبي!$C$2:$C$1800,الريسبي!$A$2:$A$1800,$A188,الريسبي!$B$2:$B$1800,D$1)</f>
        <v>0</v>
      </c>
      <c r="E188" s="117" t="n">
        <f aca="false">SUMIFS(الريسبي!$C$2:$C$1800,الريسبي!$A$2:$A$1800,$A188,الريسبي!$B$2:$B$1800,E$1)</f>
        <v>0</v>
      </c>
      <c r="F188" s="117" t="n">
        <f aca="false">SUMIFS(الريسبي!$C$2:$C$1800,الريسبي!$A$2:$A$1800,$A188,الريسبي!$B$2:$B$1800,F$1)</f>
        <v>0</v>
      </c>
      <c r="G188" s="117" t="n">
        <f aca="false">SUMIFS(الريسبي!$C$2:$C$1800,الريسبي!$A$2:$A$1800,$A188,الريسبي!$B$2:$B$1800,G$1)</f>
        <v>0</v>
      </c>
      <c r="H188" s="117" t="n">
        <f aca="false">SUMIFS(الريسبي!$C$2:$C$1800,الريسبي!$A$2:$A$1800,$A188,الريسبي!$B$2:$B$1800,H$1)</f>
        <v>0</v>
      </c>
      <c r="I188" s="117" t="n">
        <f aca="false">SUMIFS(الريسبي!$C$2:$C$1800,الريسبي!$A$2:$A$1800,$A188,الريسبي!$B$2:$B$1800,I$1)</f>
        <v>0</v>
      </c>
      <c r="J188" s="117" t="n">
        <f aca="false">SUMIFS(الريسبي!$C$2:$C$1800,الريسبي!$A$2:$A$1800,$A188,الريسبي!$B$2:$B$1800,J$1)</f>
        <v>1.5</v>
      </c>
      <c r="K188" s="117" t="n">
        <f aca="false">SUMIFS(الريسبي!$C$2:$C$1800,الريسبي!$A$2:$A$1800,$A188,الريسبي!$B$2:$B$1800,K$1)</f>
        <v>0</v>
      </c>
      <c r="L188" s="117" t="n">
        <f aca="false">SUMIFS(الريسبي!$C$2:$C$1800,الريسبي!$A$2:$A$1800,$A188,الريسبي!$B$2:$B$1800,L$1)</f>
        <v>0</v>
      </c>
      <c r="M188" s="117" t="n">
        <f aca="false">SUMIFS(الريسبي!$C$2:$C$1800,الريسبي!$A$2:$A$1800,$A188,الريسبي!$B$2:$B$1800,M$1)</f>
        <v>0</v>
      </c>
      <c r="N188" s="117" t="n">
        <f aca="false">SUMIFS(الريسبي!$C$2:$C$1800,الريسبي!$A$2:$A$1800,$A188,الريسبي!$B$2:$B$1800,N$1)</f>
        <v>0</v>
      </c>
      <c r="O188" s="117" t="n">
        <f aca="false">SUMIFS(الريسبي!$C$2:$C$1800,الريسبي!$A$2:$A$1800,$A188,الريسبي!$B$2:$B$1800,O$1)</f>
        <v>0</v>
      </c>
      <c r="P188" s="117" t="n">
        <f aca="false">SUMIFS(الريسبي!$C$2:$C$1800,الريسبي!$A$2:$A$1800,$A188,الريسبي!$B$2:$B$1800,P$1)</f>
        <v>0</v>
      </c>
      <c r="Q188" s="117" t="n">
        <f aca="false">SUMIFS(الريسبي!$C$2:$C$1800,الريسبي!$A$2:$A$1800,$A188,الريسبي!$B$2:$B$1800,Q$1)</f>
        <v>0</v>
      </c>
      <c r="R188" s="117" t="n">
        <f aca="false">SUMIFS(الريسبي!$C$2:$C$1800,الريسبي!$A$2:$A$1800,$A188,الريسبي!$B$2:$B$1800,R$1)</f>
        <v>0</v>
      </c>
      <c r="S188" s="117" t="n">
        <f aca="false">SUMIFS(الريسبي!$C$2:$C$1800,الريسبي!$A$2:$A$1800,$A188,الريسبي!$B$2:$B$1800,S$1)</f>
        <v>0</v>
      </c>
      <c r="T188" s="117" t="n">
        <f aca="false">SUMIFS(الريسبي!$C$2:$C$1800,الريسبي!$A$2:$A$1800,$A188,الريسبي!$B$2:$B$1800,T$1)</f>
        <v>0</v>
      </c>
      <c r="U188" s="117" t="n">
        <f aca="false">SUMIFS(الريسبي!$C$2:$C$1800,الريسبي!$A$2:$A$1800,$A188,الريسبي!$B$2:$B$1800,U$1)</f>
        <v>0</v>
      </c>
      <c r="V188" s="117" t="n">
        <f aca="false">SUMIFS(الريسبي!$C$2:$C$1800,الريسبي!$A$2:$A$1800,$A188,الريسبي!$B$2:$B$1800,V$1)+1.5*(SUMIFS(الريسبي!$C$2:$C$1800,الريسبي!$A$2:$A$1800,$A188,الريسبي!$B$2:$B$1800,"برسيون موتزريلا بيتزا كبير"))</f>
        <v>0</v>
      </c>
      <c r="W188" s="117" t="n">
        <f aca="false">0</f>
        <v>0</v>
      </c>
      <c r="X188" s="117" t="n">
        <f aca="false">SUMIFS(الريسبي!$C$2:$C$1800,الريسبي!$A$2:$A$1800,$A188,الريسبي!$B$2:$B$1800,X$1)+1.5*(SUMIFS(الريسبي!$C$2:$C$1800,الريسبي!$A$2:$A$1800,$A188,الريسبي!$B$2:$B$1800,"برسيون موتزريلا فطير كبير"))</f>
        <v>0</v>
      </c>
      <c r="Y188" s="117" t="n">
        <f aca="false">0</f>
        <v>0</v>
      </c>
      <c r="Z188" s="117" t="n">
        <f aca="false">SUMIFS(الريسبي!$C$2:$C$1800,الريسبي!$A$2:$A$1800,$A188,الريسبي!$B$2:$B$1800,Z$1)</f>
        <v>0</v>
      </c>
      <c r="AA188" s="117" t="n">
        <f aca="false">SUMIFS(الريسبي!$C$2:$C$1800,الريسبي!$A$2:$A$1800,$A188,الريسبي!$B$2:$B$1800,AA$1)</f>
        <v>0</v>
      </c>
      <c r="AB188" s="117" t="n">
        <f aca="false">SUMIFS(الريسبي!$C$2:$C$1800,الريسبي!$A$2:$A$1800,$A188,الريسبي!$B$2:$B$1800,AB$1)</f>
        <v>0</v>
      </c>
      <c r="AC188" s="117" t="n">
        <f aca="false">SUMIFS(الريسبي!$C$2:$C$1800,الريسبي!$A$2:$A$1800,$A188,الريسبي!$B$2:$B$1800,AC$1)</f>
        <v>0</v>
      </c>
      <c r="AD188" s="117" t="n">
        <f aca="false">SUMIFS(الريسبي!$C$2:$C$1800,الريسبي!$A$2:$A$1800,$A188,الريسبي!$B$2:$B$1800,AD$1)</f>
        <v>0</v>
      </c>
      <c r="AE188" s="117" t="n">
        <f aca="false">SUMIFS(الريسبي!$C$2:$C$1800,الريسبي!$A$2:$A$1800,$A188,الريسبي!$B$2:$B$1800,AE$1)</f>
        <v>0</v>
      </c>
      <c r="AF188" s="117" t="n">
        <f aca="false">SUMIFS(الريسبي!$C$2:$C$1800,الريسبي!$A$2:$A$1800,$A188,الريسبي!$B$2:$B$1800,AF$1)</f>
        <v>0</v>
      </c>
      <c r="AG188" s="117" t="n">
        <f aca="false">SUMIFS(الريسبي!$C$2:$C$1800,الريسبي!$A$2:$A$1800,$A188,الريسبي!$B$2:$B$1800,AG$1)</f>
        <v>0</v>
      </c>
      <c r="AH188" s="117" t="n">
        <f aca="false">SUMIFS(الريسبي!$C$2:$C$1800,الريسبي!$A$2:$A$1800,$A188,الريسبي!$B$2:$B$1800,AH$1)</f>
        <v>0</v>
      </c>
      <c r="AI188" s="117" t="n">
        <f aca="false">SUMIFS(الريسبي!$C$2:$C$1800,الريسبي!$A$2:$A$1800,$A188,الريسبي!$B$2:$B$1800,AI$1)</f>
        <v>0</v>
      </c>
      <c r="AJ188" s="117" t="n">
        <f aca="false">SUMIFS(الريسبي!$C$2:$C$1800,الريسبي!$A$2:$A$1800,$A188,الريسبي!$B$2:$B$1800,AJ$1)</f>
        <v>0</v>
      </c>
      <c r="AK188" s="117" t="n">
        <f aca="false">SUMIFS(الريسبي!$C$2:$C$1800,الريسبي!$A$2:$A$1800,$A188,الريسبي!$B$2:$B$1800,AK$1)</f>
        <v>0</v>
      </c>
      <c r="AL188" s="117" t="n">
        <f aca="false">SUMIFS(الريسبي!$C$2:$C$1800,الريسبي!$A$2:$A$1800,$A188,الريسبي!$B$2:$B$1800,AL$1)</f>
        <v>0</v>
      </c>
      <c r="AM188" s="117" t="n">
        <f aca="false">SUMIFS(الريسبي!$C$2:$C$1800,الريسبي!$A$2:$A$1800,$A188,الريسبي!$B$2:$B$1800,AM$1)+0.08333333333*SUMIFS(الريسبي!$C$2:$C$1800,الريسبي!$A$2:$A$1800,$A188,الريسبي!$B$2:$B$1800,"عجين كريب (مصنع بالمطعم)")+0.08333333333*SUMIFS(الريسبي!$C$2:$C$1800,الريسبي!$A$2:$A$1800,$A188,الريسبي!$B$2:$B$1800,"عجين كريب صيامي (بدون لبن)")</f>
        <v>0</v>
      </c>
      <c r="AN188" s="117" t="n">
        <f aca="false">SUMIFS(الريسبي!$C$2:$C$1800,الريسبي!$A$2:$A$1800,$A188,الريسبي!$B$2:$B$1800,AN$1)+0.004166666667*SUMIFS(الريسبي!$C$2:$C$1800,الريسبي!$A$2:$A$1800,$A188,الريسبي!$B$2:$B$1800,"عجين كريب (مصنع بالمطعم)")+0.004166666667*SUMIFS(الريسبي!$C$2:$C$1800,الريسبي!$A$2:$A$1800,$A188,الريسبي!$B$2:$B$1800,"عجين كريب صيامي (بدون لبن)")</f>
        <v>0</v>
      </c>
      <c r="AO188" s="117" t="n">
        <f aca="false">SUMIFS(الريسبي!$C$2:$C$1800,الريسبي!$A$2:$A$1800,$A188,الريسبي!$B$2:$B$1800,AO$1)</f>
        <v>0</v>
      </c>
      <c r="AP188" s="117" t="n">
        <f aca="false">SUMIFS(الريسبي!$C$2:$C$1800,الريسبي!$A$2:$A$1800,$A188,الريسبي!$B$2:$B$1800,AP$1)</f>
        <v>0</v>
      </c>
      <c r="AQ188" s="117" t="n">
        <f aca="false">SUMIFS(الريسبي!$C$2:$C$1800,الريسبي!$A$2:$A$1800,$A188,الريسبي!$B$2:$B$1800,AQ$1)+0.004166666667*SUMIFS(الريسبي!$C$2:$C$1800,الريسبي!$A$2:$A$1800,$A188,الريسبي!$B$2:$B$1800,"عجين كريب (مصنع بالمطعم)")+0.004166666667*SUMIFS(الريسبي!$C$2:$C$1800,الريسبي!$A$2:$A$1800,$A188,الريسبي!$B$2:$B$1800,"عجين كريب صيامي (بدون لبن)")</f>
        <v>0</v>
      </c>
      <c r="AR188" s="117" t="n">
        <f aca="false">SUMIFS(الريسبي!$C$2:$C$1800,الريسبي!$A$2:$A$1800,$A188,الريسبي!$B$2:$B$1800,AR$1)</f>
        <v>0</v>
      </c>
      <c r="AS188" s="117" t="n">
        <f aca="false">SUMIFS(الريسبي!$C$2:$C$1800,الريسبي!$A$2:$A$1800,$A188,الريسبي!$B$2:$B$1800,AS$1)</f>
        <v>0</v>
      </c>
      <c r="AT188" s="117" t="n">
        <f aca="false">SUMIFS(الريسبي!$C$2:$C$1800,الريسبي!$A$2:$A$1800,$A188,الريسبي!$B$2:$B$1800,AT$1)</f>
        <v>0</v>
      </c>
      <c r="AU188" s="117" t="n">
        <f aca="false">SUMIFS(الريسبي!$C$2:$C$1800,الريسبي!$A$2:$A$1800,$A188,الريسبي!$B$2:$B$1800,AU$1)</f>
        <v>0</v>
      </c>
      <c r="AV188" s="117" t="n">
        <f aca="false">SUMIFS(الريسبي!$C$2:$C$1800,الريسبي!$A$2:$A$1800,$A188,الريسبي!$B$2:$B$1800,AV$1)</f>
        <v>0</v>
      </c>
      <c r="AW188" s="117" t="n">
        <f aca="false">SUMIFS(الريسبي!$C$2:$C$1800,الريسبي!$A$2:$A$1800,$A188,الريسبي!$B$2:$B$1800,AW$1)</f>
        <v>0</v>
      </c>
      <c r="AX188" s="117" t="n">
        <f aca="false">SUMIFS(الريسبي!$C$2:$C$1800,الريسبي!$A$2:$A$1800,$A188,الريسبي!$B$2:$B$1800,AX$1)</f>
        <v>0</v>
      </c>
      <c r="AY188" s="117" t="n">
        <f aca="false">SUMIFS(الريسبي!$C$2:$C$1800,الريسبي!$A$2:$A$1800,$A188,الريسبي!$B$2:$B$1800,AY$1)</f>
        <v>0</v>
      </c>
      <c r="AZ188" s="117" t="n">
        <f aca="false">SUMIFS(الريسبي!$C$2:$C$1800,الريسبي!$A$2:$A$1800,$A188,الريسبي!$B$2:$B$1800,AZ$1)</f>
        <v>0</v>
      </c>
      <c r="BA188" s="117" t="n">
        <f aca="false">SUMIFS(الريسبي!$C$2:$C$1800,الريسبي!$A$2:$A$1800,$A188,الريسبي!$B$2:$B$1800,BA$1)</f>
        <v>0</v>
      </c>
      <c r="BB188" s="117" t="n">
        <f aca="false">SUMIFS(الريسبي!$C$2:$C$1800,الريسبي!$A$2:$A$1800,$A188,الريسبي!$B$2:$B$1800,BB$1)</f>
        <v>0</v>
      </c>
      <c r="BC188" s="117" t="n">
        <f aca="false">SUMIFS(الريسبي!$C$2:$C$1800,الريسبي!$A$2:$A$1800,$A188,الريسبي!$B$2:$B$1800,BC$1)</f>
        <v>0</v>
      </c>
      <c r="BD188" s="117" t="n">
        <f aca="false">SUMIFS(الريسبي!$C$2:$C$1800,الريسبي!$A$2:$A$1800,$A188,الريسبي!$B$2:$B$1800,BD$1)</f>
        <v>0</v>
      </c>
      <c r="BE188" s="117" t="n">
        <f aca="false">SUMIFS(الريسبي!$C$2:$C$1800,الريسبي!$A$2:$A$1800,$A188,الريسبي!$B$2:$B$1800,BE$1)</f>
        <v>0</v>
      </c>
      <c r="BF188" s="117" t="n">
        <f aca="false">SUMIFS(الريسبي!$C$2:$C$1800,الريسبي!$A$2:$A$1800,$A188,الريسبي!$B$2:$B$1800,BF$1)</f>
        <v>0</v>
      </c>
      <c r="BG188" s="117" t="n">
        <f aca="false">SUMIFS(الريسبي!$C$2:$C$1800,الريسبي!$A$2:$A$1800,$A188,الريسبي!$B$2:$B$1800,BG$1)</f>
        <v>0</v>
      </c>
      <c r="BH188" s="117" t="n">
        <f aca="false">SUMIFS(الريسبي!$C$2:$C$1800,الريسبي!$A$2:$A$1800,$A188,الريسبي!$B$2:$B$1800,BH$1)</f>
        <v>0</v>
      </c>
      <c r="BI188" s="117" t="n">
        <f aca="false">SUMIFS(الريسبي!$C$2:$C$1800,الريسبي!$A$2:$A$1800,$A188,الريسبي!$B$2:$B$1800,BI$1)</f>
        <v>0</v>
      </c>
      <c r="BJ188" s="117" t="n">
        <f aca="false">SUMIFS(الريسبي!$C$2:$C$1800,الريسبي!$A$2:$A$1800,$A188,الريسبي!$B$2:$B$1800,BJ$1)</f>
        <v>0</v>
      </c>
      <c r="BK188" s="117" t="n">
        <f aca="false">SUMIFS(الريسبي!$C$2:$C$1800,الريسبي!$A$2:$A$1800,$A188,الريسبي!$B$2:$B$1800,BK$1)</f>
        <v>0</v>
      </c>
      <c r="BL188" s="117" t="n">
        <f aca="false">SUMIFS(الريسبي!$C$2:$C$1800,الريسبي!$A$2:$A$1800,$A188,الريسبي!$B$2:$B$1800,BL$1)</f>
        <v>0</v>
      </c>
      <c r="BM188" s="117" t="n">
        <f aca="false">SUMIFS(الريسبي!$C$2:$C$1800,الريسبي!$A$2:$A$1800,$A188,الريسبي!$B$2:$B$1800,BM$1)</f>
        <v>0</v>
      </c>
      <c r="BN188" s="117" t="n">
        <f aca="false">SUMIFS(الريسبي!$C$2:$C$1800,الريسبي!$A$2:$A$1800,$A188,الريسبي!$B$2:$B$1800,BN$1)</f>
        <v>0</v>
      </c>
      <c r="BO188" s="117" t="n">
        <f aca="false">SUMIFS(الريسبي!$C$2:$C$1800,الريسبي!$A$2:$A$1800,$A188,الريسبي!$B$2:$B$1800,BO$1)</f>
        <v>0</v>
      </c>
      <c r="BP188" s="117" t="n">
        <f aca="false">SUMIFS(الريسبي!$C$2:$C$1800,الريسبي!$A$2:$A$1800,$A188,الريسبي!$B$2:$B$1800,BP$1)</f>
        <v>0</v>
      </c>
      <c r="BQ188" s="117" t="n">
        <f aca="false">SUMIFS(الريسبي!$C$2:$C$1800,الريسبي!$A$2:$A$1800,$A188,الريسبي!$B$2:$B$1800,BQ$1)+0.17*SUMIFS(الريسبي!$C$2:$C$1800,الريسبي!$A$2:$A$1800,$A188,الريسبي!$B$2:$B$1800,"كاسترد مصنع (خليط بودر + لبن)")+0.17*SUMIFS(الريسبي!$C$2:$C$1800,الريسبي!$A$2:$A$1800,$A188,الريسبي!$B$2:$B$1800,"كاسترد مصنع صيامي (بدون لبن)")</f>
        <v>0</v>
      </c>
      <c r="BR188" s="117" t="n">
        <f aca="false">SUMIFS(الريسبي!$C$2:$C$1800,الريسبي!$A$2:$A$1800,$A188,الريسبي!$B$2:$B$1800,BR$1)</f>
        <v>0</v>
      </c>
      <c r="BS188" s="117" t="n">
        <f aca="false">SUMIFS(الريسبي!$C$2:$C$1800,الريسبي!$A$2:$A$1800,$A188,الريسبي!$B$2:$B$1800,BS$1)</f>
        <v>0</v>
      </c>
      <c r="BT188" s="117" t="n">
        <f aca="false">SUMIFS(الريسبي!$C$2:$C$1800,الريسبي!$A$2:$A$1800,$A188,الريسبي!$B$2:$B$1800,BT$1)</f>
        <v>0</v>
      </c>
      <c r="BU188" s="117" t="n">
        <f aca="false">SUMIFS(الريسبي!$C$2:$C$1800,الريسبي!$A$2:$A$1800,$A188,الريسبي!$B$2:$B$1800,BU$1)+0.4*SUMIFS(الريسبي!$C$2:$C$1800,الريسبي!$A$2:$A$1800,$A188,الريسبي!$B$2:$B$1800,"كاسترد مصنع (خليط بودر + لبن)")+0.03333333333*SUMIFS(الريسبي!$C$2:$C$1800,الريسبي!$A$2:$A$1800,$A188,الريسبي!$B$2:$B$1800,"عجين كريب (مصنع بالمطعم)")</f>
        <v>0</v>
      </c>
      <c r="BV188" s="117" t="n">
        <f aca="false">SUMIFS(الريسبي!$C$2:$C$1800,الريسبي!$A$2:$A$1800,$A188,الريسبي!$B$2:$B$1800,BV$1)</f>
        <v>0</v>
      </c>
      <c r="BW188" s="117" t="n">
        <f aca="false">SUMIFS(الريسبي!$C$2:$C$1800,الريسبي!$A$2:$A$1800,$A188,الريسبي!$B$2:$B$1800,BW$1)</f>
        <v>0</v>
      </c>
      <c r="BX188" s="117" t="n">
        <f aca="false">SUMIFS(الريسبي!$C$2:$C$1800,الريسبي!$A$2:$A$1800,$A188,الريسبي!$B$2:$B$1800,BX$1)</f>
        <v>0</v>
      </c>
      <c r="BY188" s="117" t="n">
        <f aca="false">SUMIFS(الريسبي!$C$2:$C$1800,الريسبي!$A$2:$A$1800,$A188,الريسبي!$B$2:$B$1800,BY$1)</f>
        <v>0</v>
      </c>
      <c r="BZ188" s="117" t="n">
        <f aca="false">SUMIFS(الريسبي!$C$2:$C$1800,الريسبي!$A$2:$A$1800,$A188,الريسبي!$B$2:$B$1800,BZ$1)</f>
        <v>0</v>
      </c>
      <c r="CA188" s="117" t="n">
        <f aca="false">SUMIFS(الريسبي!$C$2:$C$1800,الريسبي!$A$2:$A$1800,$A188,الريسبي!$B$2:$B$1800,CA$1)</f>
        <v>0</v>
      </c>
      <c r="CB188" s="117" t="n">
        <f aca="false">SUMIFS(الريسبي!$C$2:$C$1800,الريسبي!$A$2:$A$1800,$A188,الريسبي!$B$2:$B$1800,CB$1)</f>
        <v>0</v>
      </c>
      <c r="CC188" s="117" t="n">
        <f aca="false">SUMIFS(الريسبي!$C$2:$C$1800,الريسبي!$A$2:$A$1800,$A188,الريسبي!$B$2:$B$1800,CC$1)</f>
        <v>0</v>
      </c>
      <c r="CD188" s="117" t="n">
        <f aca="false">SUMIFS(الريسبي!$C$2:$C$1800,الريسبي!$A$2:$A$1800,$A188,الريسبي!$B$2:$B$1800,CD$1)</f>
        <v>0</v>
      </c>
      <c r="CE188" s="117" t="n">
        <f aca="false">SUMIFS(الريسبي!$C$2:$C$1800,الريسبي!$A$2:$A$1800,$A188,الريسبي!$B$2:$B$1800,CE$1)</f>
        <v>0</v>
      </c>
      <c r="CF188" s="117" t="n">
        <f aca="false">SUMIFS(الريسبي!$C$2:$C$1800,الريسبي!$A$2:$A$1800,$A188,الريسبي!$B$2:$B$1800,CF$1)</f>
        <v>0</v>
      </c>
      <c r="CG188" s="117" t="n">
        <f aca="false">SUMIFS(الريسبي!$C$2:$C$1800,الريسبي!$A$2:$A$1800,$A188,الريسبي!$B$2:$B$1800,CG$1)</f>
        <v>0</v>
      </c>
      <c r="CH188" s="117" t="n">
        <f aca="false">SUMIFS(الريسبي!$C$2:$C$1800,الريسبي!$A$2:$A$1800,$A188,الريسبي!$B$2:$B$1800,CH$1)</f>
        <v>0</v>
      </c>
      <c r="CI188" s="117" t="n">
        <f aca="false">SUMIFS(الريسبي!$C$2:$C$1800,الريسبي!$A$2:$A$1800,$A188,الريسبي!$B$2:$B$1800,CI$1)</f>
        <v>0</v>
      </c>
      <c r="CJ188" s="117" t="n">
        <f aca="false">SUMIFS(الريسبي!$C$2:$C$1800,الريسبي!$A$2:$A$1800,$A188,الريسبي!$B$2:$B$1800,CJ$1)</f>
        <v>0</v>
      </c>
      <c r="CK188" s="117" t="n">
        <f aca="false">SUMIFS(الريسبي!$C$2:$C$1800,الريسبي!$A$2:$A$1800,$A188,الريسبي!$B$2:$B$1800,CK$1)</f>
        <v>0</v>
      </c>
      <c r="CL188" s="117" t="n">
        <f aca="false">SUMIFS(الريسبي!$C$2:$C$1800,الريسبي!$A$2:$A$1800,$A188,الريسبي!$B$2:$B$1800,CL$1)</f>
        <v>0</v>
      </c>
    </row>
    <row r="189" customFormat="false" ht="15" hidden="false" customHeight="false" outlineLevel="0" collapsed="false">
      <c r="A189" s="116" t="str">
        <f aca="false">المنيو!B189</f>
        <v>بيبسي 2 لتر</v>
      </c>
      <c r="B189" s="117" t="n">
        <f aca="false">SUMIFS(الريسبي!$C$2:$C$1800,الريسبي!$A$2:$A$1800,$A189,الريسبي!$B$2:$B$1800,B$1)</f>
        <v>0</v>
      </c>
      <c r="C189" s="117" t="n">
        <f aca="false">SUMIFS(الريسبي!$C$2:$C$1800,الريسبي!$A$2:$A$1800,$A189,الريسبي!$B$2:$B$1800,C$1)</f>
        <v>0</v>
      </c>
      <c r="D189" s="117" t="n">
        <f aca="false">SUMIFS(الريسبي!$C$2:$C$1800,الريسبي!$A$2:$A$1800,$A189,الريسبي!$B$2:$B$1800,D$1)</f>
        <v>0</v>
      </c>
      <c r="E189" s="117" t="n">
        <f aca="false">SUMIFS(الريسبي!$C$2:$C$1800,الريسبي!$A$2:$A$1800,$A189,الريسبي!$B$2:$B$1800,E$1)</f>
        <v>0</v>
      </c>
      <c r="F189" s="117" t="n">
        <f aca="false">SUMIFS(الريسبي!$C$2:$C$1800,الريسبي!$A$2:$A$1800,$A189,الريسبي!$B$2:$B$1800,F$1)</f>
        <v>0</v>
      </c>
      <c r="G189" s="117" t="n">
        <f aca="false">SUMIFS(الريسبي!$C$2:$C$1800,الريسبي!$A$2:$A$1800,$A189,الريسبي!$B$2:$B$1800,G$1)</f>
        <v>0</v>
      </c>
      <c r="H189" s="117" t="n">
        <f aca="false">SUMIFS(الريسبي!$C$2:$C$1800,الريسبي!$A$2:$A$1800,$A189,الريسبي!$B$2:$B$1800,H$1)</f>
        <v>0</v>
      </c>
      <c r="I189" s="117" t="n">
        <f aca="false">SUMIFS(الريسبي!$C$2:$C$1800,الريسبي!$A$2:$A$1800,$A189,الريسبي!$B$2:$B$1800,I$1)</f>
        <v>0</v>
      </c>
      <c r="J189" s="117" t="n">
        <f aca="false">SUMIFS(الريسبي!$C$2:$C$1800,الريسبي!$A$2:$A$1800,$A189,الريسبي!$B$2:$B$1800,J$1)</f>
        <v>0</v>
      </c>
      <c r="K189" s="117" t="n">
        <f aca="false">SUMIFS(الريسبي!$C$2:$C$1800,الريسبي!$A$2:$A$1800,$A189,الريسبي!$B$2:$B$1800,K$1)</f>
        <v>0</v>
      </c>
      <c r="L189" s="117" t="n">
        <f aca="false">SUMIFS(الريسبي!$C$2:$C$1800,الريسبي!$A$2:$A$1800,$A189,الريسبي!$B$2:$B$1800,L$1)</f>
        <v>0</v>
      </c>
      <c r="M189" s="117" t="n">
        <f aca="false">SUMIFS(الريسبي!$C$2:$C$1800,الريسبي!$A$2:$A$1800,$A189,الريسبي!$B$2:$B$1800,M$1)</f>
        <v>0</v>
      </c>
      <c r="N189" s="117" t="n">
        <f aca="false">SUMIFS(الريسبي!$C$2:$C$1800,الريسبي!$A$2:$A$1800,$A189,الريسبي!$B$2:$B$1800,N$1)</f>
        <v>0</v>
      </c>
      <c r="O189" s="117" t="n">
        <f aca="false">SUMIFS(الريسبي!$C$2:$C$1800,الريسبي!$A$2:$A$1800,$A189,الريسبي!$B$2:$B$1800,O$1)</f>
        <v>0</v>
      </c>
      <c r="P189" s="117" t="n">
        <f aca="false">SUMIFS(الريسبي!$C$2:$C$1800,الريسبي!$A$2:$A$1800,$A189,الريسبي!$B$2:$B$1800,P$1)</f>
        <v>0</v>
      </c>
      <c r="Q189" s="117" t="n">
        <f aca="false">SUMIFS(الريسبي!$C$2:$C$1800,الريسبي!$A$2:$A$1800,$A189,الريسبي!$B$2:$B$1800,Q$1)</f>
        <v>0</v>
      </c>
      <c r="R189" s="117" t="n">
        <f aca="false">SUMIFS(الريسبي!$C$2:$C$1800,الريسبي!$A$2:$A$1800,$A189,الريسبي!$B$2:$B$1800,R$1)</f>
        <v>0</v>
      </c>
      <c r="S189" s="117" t="n">
        <f aca="false">SUMIFS(الريسبي!$C$2:$C$1800,الريسبي!$A$2:$A$1800,$A189,الريسبي!$B$2:$B$1800,S$1)</f>
        <v>0</v>
      </c>
      <c r="T189" s="117" t="n">
        <f aca="false">SUMIFS(الريسبي!$C$2:$C$1800,الريسبي!$A$2:$A$1800,$A189,الريسبي!$B$2:$B$1800,T$1)</f>
        <v>0</v>
      </c>
      <c r="U189" s="117" t="n">
        <f aca="false">SUMIFS(الريسبي!$C$2:$C$1800,الريسبي!$A$2:$A$1800,$A189,الريسبي!$B$2:$B$1800,U$1)</f>
        <v>0</v>
      </c>
      <c r="V189" s="117" t="n">
        <f aca="false">SUMIFS(الريسبي!$C$2:$C$1800,الريسبي!$A$2:$A$1800,$A189,الريسبي!$B$2:$B$1800,V$1)+1.5*(SUMIFS(الريسبي!$C$2:$C$1800,الريسبي!$A$2:$A$1800,$A189,الريسبي!$B$2:$B$1800,"برسيون موتزريلا بيتزا كبير"))</f>
        <v>0</v>
      </c>
      <c r="W189" s="117" t="n">
        <f aca="false">0</f>
        <v>0</v>
      </c>
      <c r="X189" s="117" t="n">
        <f aca="false">SUMIFS(الريسبي!$C$2:$C$1800,الريسبي!$A$2:$A$1800,$A189,الريسبي!$B$2:$B$1800,X$1)+1.5*(SUMIFS(الريسبي!$C$2:$C$1800,الريسبي!$A$2:$A$1800,$A189,الريسبي!$B$2:$B$1800,"برسيون موتزريلا فطير كبير"))</f>
        <v>0</v>
      </c>
      <c r="Y189" s="117" t="n">
        <f aca="false">0</f>
        <v>0</v>
      </c>
      <c r="Z189" s="117" t="n">
        <f aca="false">SUMIFS(الريسبي!$C$2:$C$1800,الريسبي!$A$2:$A$1800,$A189,الريسبي!$B$2:$B$1800,Z$1)</f>
        <v>0</v>
      </c>
      <c r="AA189" s="117" t="n">
        <f aca="false">SUMIFS(الريسبي!$C$2:$C$1800,الريسبي!$A$2:$A$1800,$A189,الريسبي!$B$2:$B$1800,AA$1)</f>
        <v>0</v>
      </c>
      <c r="AB189" s="117" t="n">
        <f aca="false">SUMIFS(الريسبي!$C$2:$C$1800,الريسبي!$A$2:$A$1800,$A189,الريسبي!$B$2:$B$1800,AB$1)</f>
        <v>0</v>
      </c>
      <c r="AC189" s="117" t="n">
        <f aca="false">SUMIFS(الريسبي!$C$2:$C$1800,الريسبي!$A$2:$A$1800,$A189,الريسبي!$B$2:$B$1800,AC$1)</f>
        <v>0</v>
      </c>
      <c r="AD189" s="117" t="n">
        <f aca="false">SUMIFS(الريسبي!$C$2:$C$1800,الريسبي!$A$2:$A$1800,$A189,الريسبي!$B$2:$B$1800,AD$1)</f>
        <v>0</v>
      </c>
      <c r="AE189" s="117" t="n">
        <f aca="false">SUMIFS(الريسبي!$C$2:$C$1800,الريسبي!$A$2:$A$1800,$A189,الريسبي!$B$2:$B$1800,AE$1)</f>
        <v>0</v>
      </c>
      <c r="AF189" s="117" t="n">
        <f aca="false">SUMIFS(الريسبي!$C$2:$C$1800,الريسبي!$A$2:$A$1800,$A189,الريسبي!$B$2:$B$1800,AF$1)</f>
        <v>0</v>
      </c>
      <c r="AG189" s="117" t="n">
        <f aca="false">SUMIFS(الريسبي!$C$2:$C$1800,الريسبي!$A$2:$A$1800,$A189,الريسبي!$B$2:$B$1800,AG$1)</f>
        <v>0</v>
      </c>
      <c r="AH189" s="117" t="n">
        <f aca="false">SUMIFS(الريسبي!$C$2:$C$1800,الريسبي!$A$2:$A$1800,$A189,الريسبي!$B$2:$B$1800,AH$1)</f>
        <v>0</v>
      </c>
      <c r="AI189" s="117" t="n">
        <f aca="false">SUMIFS(الريسبي!$C$2:$C$1800,الريسبي!$A$2:$A$1800,$A189,الريسبي!$B$2:$B$1800,AI$1)</f>
        <v>0</v>
      </c>
      <c r="AJ189" s="117" t="n">
        <f aca="false">SUMIFS(الريسبي!$C$2:$C$1800,الريسبي!$A$2:$A$1800,$A189,الريسبي!$B$2:$B$1800,AJ$1)</f>
        <v>0</v>
      </c>
      <c r="AK189" s="117" t="n">
        <f aca="false">SUMIFS(الريسبي!$C$2:$C$1800,الريسبي!$A$2:$A$1800,$A189,الريسبي!$B$2:$B$1800,AK$1)</f>
        <v>0</v>
      </c>
      <c r="AL189" s="117" t="n">
        <f aca="false">SUMIFS(الريسبي!$C$2:$C$1800,الريسبي!$A$2:$A$1800,$A189,الريسبي!$B$2:$B$1800,AL$1)</f>
        <v>0</v>
      </c>
      <c r="AM189" s="117" t="n">
        <f aca="false">SUMIFS(الريسبي!$C$2:$C$1800,الريسبي!$A$2:$A$1800,$A189,الريسبي!$B$2:$B$1800,AM$1)+0.08333333333*SUMIFS(الريسبي!$C$2:$C$1800,الريسبي!$A$2:$A$1800,$A189,الريسبي!$B$2:$B$1800,"عجين كريب (مصنع بالمطعم)")+0.08333333333*SUMIFS(الريسبي!$C$2:$C$1800,الريسبي!$A$2:$A$1800,$A189,الريسبي!$B$2:$B$1800,"عجين كريب صيامي (بدون لبن)")</f>
        <v>0</v>
      </c>
      <c r="AN189" s="117" t="n">
        <f aca="false">SUMIFS(الريسبي!$C$2:$C$1800,الريسبي!$A$2:$A$1800,$A189,الريسبي!$B$2:$B$1800,AN$1)+0.004166666667*SUMIFS(الريسبي!$C$2:$C$1800,الريسبي!$A$2:$A$1800,$A189,الريسبي!$B$2:$B$1800,"عجين كريب (مصنع بالمطعم)")+0.004166666667*SUMIFS(الريسبي!$C$2:$C$1800,الريسبي!$A$2:$A$1800,$A189,الريسبي!$B$2:$B$1800,"عجين كريب صيامي (بدون لبن)")</f>
        <v>0</v>
      </c>
      <c r="AO189" s="117" t="n">
        <f aca="false">SUMIFS(الريسبي!$C$2:$C$1800,الريسبي!$A$2:$A$1800,$A189,الريسبي!$B$2:$B$1800,AO$1)</f>
        <v>0</v>
      </c>
      <c r="AP189" s="117" t="n">
        <f aca="false">SUMIFS(الريسبي!$C$2:$C$1800,الريسبي!$A$2:$A$1800,$A189,الريسبي!$B$2:$B$1800,AP$1)</f>
        <v>0</v>
      </c>
      <c r="AQ189" s="117" t="n">
        <f aca="false">SUMIFS(الريسبي!$C$2:$C$1800,الريسبي!$A$2:$A$1800,$A189,الريسبي!$B$2:$B$1800,AQ$1)+0.004166666667*SUMIFS(الريسبي!$C$2:$C$1800,الريسبي!$A$2:$A$1800,$A189,الريسبي!$B$2:$B$1800,"عجين كريب (مصنع بالمطعم)")+0.004166666667*SUMIFS(الريسبي!$C$2:$C$1800,الريسبي!$A$2:$A$1800,$A189,الريسبي!$B$2:$B$1800,"عجين كريب صيامي (بدون لبن)")</f>
        <v>0</v>
      </c>
      <c r="AR189" s="117" t="n">
        <f aca="false">SUMIFS(الريسبي!$C$2:$C$1800,الريسبي!$A$2:$A$1800,$A189,الريسبي!$B$2:$B$1800,AR$1)</f>
        <v>0</v>
      </c>
      <c r="AS189" s="117" t="n">
        <f aca="false">SUMIFS(الريسبي!$C$2:$C$1800,الريسبي!$A$2:$A$1800,$A189,الريسبي!$B$2:$B$1800,AS$1)</f>
        <v>0</v>
      </c>
      <c r="AT189" s="117" t="n">
        <f aca="false">SUMIFS(الريسبي!$C$2:$C$1800,الريسبي!$A$2:$A$1800,$A189,الريسبي!$B$2:$B$1800,AT$1)</f>
        <v>0</v>
      </c>
      <c r="AU189" s="117" t="n">
        <f aca="false">SUMIFS(الريسبي!$C$2:$C$1800,الريسبي!$A$2:$A$1800,$A189,الريسبي!$B$2:$B$1800,AU$1)</f>
        <v>0</v>
      </c>
      <c r="AV189" s="117" t="n">
        <f aca="false">SUMIFS(الريسبي!$C$2:$C$1800,الريسبي!$A$2:$A$1800,$A189,الريسبي!$B$2:$B$1800,AV$1)</f>
        <v>0</v>
      </c>
      <c r="AW189" s="117" t="n">
        <f aca="false">SUMIFS(الريسبي!$C$2:$C$1800,الريسبي!$A$2:$A$1800,$A189,الريسبي!$B$2:$B$1800,AW$1)</f>
        <v>0</v>
      </c>
      <c r="AX189" s="117" t="n">
        <f aca="false">SUMIFS(الريسبي!$C$2:$C$1800,الريسبي!$A$2:$A$1800,$A189,الريسبي!$B$2:$B$1800,AX$1)</f>
        <v>0</v>
      </c>
      <c r="AY189" s="117" t="n">
        <f aca="false">SUMIFS(الريسبي!$C$2:$C$1800,الريسبي!$A$2:$A$1800,$A189,الريسبي!$B$2:$B$1800,AY$1)</f>
        <v>0</v>
      </c>
      <c r="AZ189" s="117" t="n">
        <f aca="false">SUMIFS(الريسبي!$C$2:$C$1800,الريسبي!$A$2:$A$1800,$A189,الريسبي!$B$2:$B$1800,AZ$1)</f>
        <v>0</v>
      </c>
      <c r="BA189" s="117" t="n">
        <f aca="false">SUMIFS(الريسبي!$C$2:$C$1800,الريسبي!$A$2:$A$1800,$A189,الريسبي!$B$2:$B$1800,BA$1)</f>
        <v>0</v>
      </c>
      <c r="BB189" s="117" t="n">
        <f aca="false">SUMIFS(الريسبي!$C$2:$C$1800,الريسبي!$A$2:$A$1800,$A189,الريسبي!$B$2:$B$1800,BB$1)</f>
        <v>0</v>
      </c>
      <c r="BC189" s="117" t="n">
        <f aca="false">SUMIFS(الريسبي!$C$2:$C$1800,الريسبي!$A$2:$A$1800,$A189,الريسبي!$B$2:$B$1800,BC$1)</f>
        <v>0</v>
      </c>
      <c r="BD189" s="117" t="n">
        <f aca="false">SUMIFS(الريسبي!$C$2:$C$1800,الريسبي!$A$2:$A$1800,$A189,الريسبي!$B$2:$B$1800,BD$1)</f>
        <v>0</v>
      </c>
      <c r="BE189" s="117" t="n">
        <f aca="false">SUMIFS(الريسبي!$C$2:$C$1800,الريسبي!$A$2:$A$1800,$A189,الريسبي!$B$2:$B$1800,BE$1)</f>
        <v>0</v>
      </c>
      <c r="BF189" s="117" t="n">
        <f aca="false">SUMIFS(الريسبي!$C$2:$C$1800,الريسبي!$A$2:$A$1800,$A189,الريسبي!$B$2:$B$1800,BF$1)</f>
        <v>0</v>
      </c>
      <c r="BG189" s="117" t="n">
        <f aca="false">SUMIFS(الريسبي!$C$2:$C$1800,الريسبي!$A$2:$A$1800,$A189,الريسبي!$B$2:$B$1800,BG$1)</f>
        <v>0</v>
      </c>
      <c r="BH189" s="117" t="n">
        <f aca="false">SUMIFS(الريسبي!$C$2:$C$1800,الريسبي!$A$2:$A$1800,$A189,الريسبي!$B$2:$B$1800,BH$1)</f>
        <v>0</v>
      </c>
      <c r="BI189" s="117" t="n">
        <f aca="false">SUMIFS(الريسبي!$C$2:$C$1800,الريسبي!$A$2:$A$1800,$A189,الريسبي!$B$2:$B$1800,BI$1)</f>
        <v>0</v>
      </c>
      <c r="BJ189" s="117" t="n">
        <f aca="false">SUMIFS(الريسبي!$C$2:$C$1800,الريسبي!$A$2:$A$1800,$A189,الريسبي!$B$2:$B$1800,BJ$1)</f>
        <v>0</v>
      </c>
      <c r="BK189" s="117" t="n">
        <f aca="false">SUMIFS(الريسبي!$C$2:$C$1800,الريسبي!$A$2:$A$1800,$A189,الريسبي!$B$2:$B$1800,BK$1)</f>
        <v>0</v>
      </c>
      <c r="BL189" s="117" t="n">
        <f aca="false">SUMIFS(الريسبي!$C$2:$C$1800,الريسبي!$A$2:$A$1800,$A189,الريسبي!$B$2:$B$1800,BL$1)</f>
        <v>0</v>
      </c>
      <c r="BM189" s="117" t="n">
        <f aca="false">SUMIFS(الريسبي!$C$2:$C$1800,الريسبي!$A$2:$A$1800,$A189,الريسبي!$B$2:$B$1800,BM$1)</f>
        <v>0</v>
      </c>
      <c r="BN189" s="117" t="n">
        <f aca="false">SUMIFS(الريسبي!$C$2:$C$1800,الريسبي!$A$2:$A$1800,$A189,الريسبي!$B$2:$B$1800,BN$1)</f>
        <v>0</v>
      </c>
      <c r="BO189" s="117" t="n">
        <f aca="false">SUMIFS(الريسبي!$C$2:$C$1800,الريسبي!$A$2:$A$1800,$A189,الريسبي!$B$2:$B$1800,BO$1)</f>
        <v>0</v>
      </c>
      <c r="BP189" s="117" t="n">
        <f aca="false">SUMIFS(الريسبي!$C$2:$C$1800,الريسبي!$A$2:$A$1800,$A189,الريسبي!$B$2:$B$1800,BP$1)</f>
        <v>0</v>
      </c>
      <c r="BQ189" s="117" t="n">
        <f aca="false">SUMIFS(الريسبي!$C$2:$C$1800,الريسبي!$A$2:$A$1800,$A189,الريسبي!$B$2:$B$1800,BQ$1)+0.17*SUMIFS(الريسبي!$C$2:$C$1800,الريسبي!$A$2:$A$1800,$A189,الريسبي!$B$2:$B$1800,"كاسترد مصنع (خليط بودر + لبن)")+0.17*SUMIFS(الريسبي!$C$2:$C$1800,الريسبي!$A$2:$A$1800,$A189,الريسبي!$B$2:$B$1800,"كاسترد مصنع صيامي (بدون لبن)")</f>
        <v>0</v>
      </c>
      <c r="BR189" s="117" t="n">
        <f aca="false">SUMIFS(الريسبي!$C$2:$C$1800,الريسبي!$A$2:$A$1800,$A189,الريسبي!$B$2:$B$1800,BR$1)</f>
        <v>0</v>
      </c>
      <c r="BS189" s="117" t="n">
        <f aca="false">SUMIFS(الريسبي!$C$2:$C$1800,الريسبي!$A$2:$A$1800,$A189,الريسبي!$B$2:$B$1800,BS$1)</f>
        <v>0</v>
      </c>
      <c r="BT189" s="117" t="n">
        <f aca="false">SUMIFS(الريسبي!$C$2:$C$1800,الريسبي!$A$2:$A$1800,$A189,الريسبي!$B$2:$B$1800,BT$1)</f>
        <v>0</v>
      </c>
      <c r="BU189" s="117" t="n">
        <f aca="false">SUMIFS(الريسبي!$C$2:$C$1800,الريسبي!$A$2:$A$1800,$A189,الريسبي!$B$2:$B$1800,BU$1)+0.4*SUMIFS(الريسبي!$C$2:$C$1800,الريسبي!$A$2:$A$1800,$A189,الريسبي!$B$2:$B$1800,"كاسترد مصنع (خليط بودر + لبن)")+0.03333333333*SUMIFS(الريسبي!$C$2:$C$1800,الريسبي!$A$2:$A$1800,$A189,الريسبي!$B$2:$B$1800,"عجين كريب (مصنع بالمطعم)")</f>
        <v>0</v>
      </c>
      <c r="BV189" s="117" t="n">
        <f aca="false">SUMIFS(الريسبي!$C$2:$C$1800,الريسبي!$A$2:$A$1800,$A189,الريسبي!$B$2:$B$1800,BV$1)</f>
        <v>0</v>
      </c>
      <c r="BW189" s="117" t="n">
        <f aca="false">SUMIFS(الريسبي!$C$2:$C$1800,الريسبي!$A$2:$A$1800,$A189,الريسبي!$B$2:$B$1800,BW$1)</f>
        <v>0</v>
      </c>
      <c r="BX189" s="117" t="n">
        <f aca="false">SUMIFS(الريسبي!$C$2:$C$1800,الريسبي!$A$2:$A$1800,$A189,الريسبي!$B$2:$B$1800,BX$1)</f>
        <v>0</v>
      </c>
      <c r="BY189" s="117" t="n">
        <f aca="false">SUMIFS(الريسبي!$C$2:$C$1800,الريسبي!$A$2:$A$1800,$A189,الريسبي!$B$2:$B$1800,BY$1)</f>
        <v>0</v>
      </c>
      <c r="BZ189" s="117" t="n">
        <f aca="false">SUMIFS(الريسبي!$C$2:$C$1800,الريسبي!$A$2:$A$1800,$A189,الريسبي!$B$2:$B$1800,BZ$1)</f>
        <v>0</v>
      </c>
      <c r="CA189" s="117" t="n">
        <f aca="false">SUMIFS(الريسبي!$C$2:$C$1800,الريسبي!$A$2:$A$1800,$A189,الريسبي!$B$2:$B$1800,CA$1)</f>
        <v>0</v>
      </c>
      <c r="CB189" s="117" t="n">
        <f aca="false">SUMIFS(الريسبي!$C$2:$C$1800,الريسبي!$A$2:$A$1800,$A189,الريسبي!$B$2:$B$1800,CB$1)</f>
        <v>0</v>
      </c>
      <c r="CC189" s="117" t="n">
        <f aca="false">SUMIFS(الريسبي!$C$2:$C$1800,الريسبي!$A$2:$A$1800,$A189,الريسبي!$B$2:$B$1800,CC$1)</f>
        <v>0</v>
      </c>
      <c r="CD189" s="117" t="n">
        <f aca="false">SUMIFS(الريسبي!$C$2:$C$1800,الريسبي!$A$2:$A$1800,$A189,الريسبي!$B$2:$B$1800,CD$1)</f>
        <v>0</v>
      </c>
      <c r="CE189" s="117" t="n">
        <f aca="false">SUMIFS(الريسبي!$C$2:$C$1800,الريسبي!$A$2:$A$1800,$A189,الريسبي!$B$2:$B$1800,CE$1)</f>
        <v>0</v>
      </c>
      <c r="CF189" s="117" t="n">
        <f aca="false">SUMIFS(الريسبي!$C$2:$C$1800,الريسبي!$A$2:$A$1800,$A189,الريسبي!$B$2:$B$1800,CF$1)</f>
        <v>0</v>
      </c>
      <c r="CG189" s="117" t="n">
        <f aca="false">SUMIFS(الريسبي!$C$2:$C$1800,الريسبي!$A$2:$A$1800,$A189,الريسبي!$B$2:$B$1800,CG$1)</f>
        <v>0</v>
      </c>
      <c r="CH189" s="117" t="n">
        <f aca="false">SUMIFS(الريسبي!$C$2:$C$1800,الريسبي!$A$2:$A$1800,$A189,الريسبي!$B$2:$B$1800,CH$1)</f>
        <v>0</v>
      </c>
      <c r="CI189" s="117" t="n">
        <f aca="false">SUMIFS(الريسبي!$C$2:$C$1800,الريسبي!$A$2:$A$1800,$A189,الريسبي!$B$2:$B$1800,CI$1)</f>
        <v>0</v>
      </c>
      <c r="CJ189" s="117" t="n">
        <f aca="false">SUMIFS(الريسبي!$C$2:$C$1800,الريسبي!$A$2:$A$1800,$A189,الريسبي!$B$2:$B$1800,CJ$1)</f>
        <v>0</v>
      </c>
      <c r="CK189" s="117" t="n">
        <f aca="false">SUMIFS(الريسبي!$C$2:$C$1800,الريسبي!$A$2:$A$1800,$A189,الريسبي!$B$2:$B$1800,CK$1)</f>
        <v>1</v>
      </c>
      <c r="CL189" s="117" t="n">
        <f aca="false">SUMIFS(الريسبي!$C$2:$C$1800,الريسبي!$A$2:$A$1800,$A189,الريسبي!$B$2:$B$1800,CL$1)</f>
        <v>0</v>
      </c>
    </row>
    <row r="190" customFormat="false" ht="15" hidden="false" customHeight="false" outlineLevel="0" collapsed="false">
      <c r="A190" s="116" t="str">
        <f aca="false">المنيو!B190</f>
        <v>مياه معدنية M</v>
      </c>
      <c r="B190" s="117" t="n">
        <f aca="false">SUMIFS(الريسبي!$C$2:$C$1800,الريسبي!$A$2:$A$1800,$A190,الريسبي!$B$2:$B$1800,B$1)</f>
        <v>0</v>
      </c>
      <c r="C190" s="117" t="n">
        <f aca="false">SUMIFS(الريسبي!$C$2:$C$1800,الريسبي!$A$2:$A$1800,$A190,الريسبي!$B$2:$B$1800,C$1)</f>
        <v>0</v>
      </c>
      <c r="D190" s="117" t="n">
        <f aca="false">SUMIFS(الريسبي!$C$2:$C$1800,الريسبي!$A$2:$A$1800,$A190,الريسبي!$B$2:$B$1800,D$1)</f>
        <v>0</v>
      </c>
      <c r="E190" s="117" t="n">
        <f aca="false">SUMIFS(الريسبي!$C$2:$C$1800,الريسبي!$A$2:$A$1800,$A190,الريسبي!$B$2:$B$1800,E$1)</f>
        <v>0</v>
      </c>
      <c r="F190" s="117" t="n">
        <f aca="false">SUMIFS(الريسبي!$C$2:$C$1800,الريسبي!$A$2:$A$1800,$A190,الريسبي!$B$2:$B$1800,F$1)</f>
        <v>0</v>
      </c>
      <c r="G190" s="117" t="n">
        <f aca="false">SUMIFS(الريسبي!$C$2:$C$1800,الريسبي!$A$2:$A$1800,$A190,الريسبي!$B$2:$B$1800,G$1)</f>
        <v>0</v>
      </c>
      <c r="H190" s="117" t="n">
        <f aca="false">SUMIFS(الريسبي!$C$2:$C$1800,الريسبي!$A$2:$A$1800,$A190,الريسبي!$B$2:$B$1800,H$1)</f>
        <v>0</v>
      </c>
      <c r="I190" s="117" t="n">
        <f aca="false">SUMIFS(الريسبي!$C$2:$C$1800,الريسبي!$A$2:$A$1800,$A190,الريسبي!$B$2:$B$1800,I$1)</f>
        <v>0</v>
      </c>
      <c r="J190" s="117" t="n">
        <f aca="false">SUMIFS(الريسبي!$C$2:$C$1800,الريسبي!$A$2:$A$1800,$A190,الريسبي!$B$2:$B$1800,J$1)</f>
        <v>0</v>
      </c>
      <c r="K190" s="117" t="n">
        <f aca="false">SUMIFS(الريسبي!$C$2:$C$1800,الريسبي!$A$2:$A$1800,$A190,الريسبي!$B$2:$B$1800,K$1)</f>
        <v>0</v>
      </c>
      <c r="L190" s="117" t="n">
        <f aca="false">SUMIFS(الريسبي!$C$2:$C$1800,الريسبي!$A$2:$A$1800,$A190,الريسبي!$B$2:$B$1800,L$1)</f>
        <v>0</v>
      </c>
      <c r="M190" s="117" t="n">
        <f aca="false">SUMIFS(الريسبي!$C$2:$C$1800,الريسبي!$A$2:$A$1800,$A190,الريسبي!$B$2:$B$1800,M$1)</f>
        <v>0</v>
      </c>
      <c r="N190" s="117" t="n">
        <f aca="false">SUMIFS(الريسبي!$C$2:$C$1800,الريسبي!$A$2:$A$1800,$A190,الريسبي!$B$2:$B$1800,N$1)</f>
        <v>0</v>
      </c>
      <c r="O190" s="117" t="n">
        <f aca="false">SUMIFS(الريسبي!$C$2:$C$1800,الريسبي!$A$2:$A$1800,$A190,الريسبي!$B$2:$B$1800,O$1)</f>
        <v>0</v>
      </c>
      <c r="P190" s="117" t="n">
        <f aca="false">SUMIFS(الريسبي!$C$2:$C$1800,الريسبي!$A$2:$A$1800,$A190,الريسبي!$B$2:$B$1800,P$1)</f>
        <v>0</v>
      </c>
      <c r="Q190" s="117" t="n">
        <f aca="false">SUMIFS(الريسبي!$C$2:$C$1800,الريسبي!$A$2:$A$1800,$A190,الريسبي!$B$2:$B$1800,Q$1)</f>
        <v>0</v>
      </c>
      <c r="R190" s="117" t="n">
        <f aca="false">SUMIFS(الريسبي!$C$2:$C$1800,الريسبي!$A$2:$A$1800,$A190,الريسبي!$B$2:$B$1800,R$1)</f>
        <v>0</v>
      </c>
      <c r="S190" s="117" t="n">
        <f aca="false">SUMIFS(الريسبي!$C$2:$C$1800,الريسبي!$A$2:$A$1800,$A190,الريسبي!$B$2:$B$1800,S$1)</f>
        <v>0</v>
      </c>
      <c r="T190" s="117" t="n">
        <f aca="false">SUMIFS(الريسبي!$C$2:$C$1800,الريسبي!$A$2:$A$1800,$A190,الريسبي!$B$2:$B$1800,T$1)</f>
        <v>0</v>
      </c>
      <c r="U190" s="117" t="n">
        <f aca="false">SUMIFS(الريسبي!$C$2:$C$1800,الريسبي!$A$2:$A$1800,$A190,الريسبي!$B$2:$B$1800,U$1)</f>
        <v>0</v>
      </c>
      <c r="V190" s="117" t="n">
        <f aca="false">SUMIFS(الريسبي!$C$2:$C$1800,الريسبي!$A$2:$A$1800,$A190,الريسبي!$B$2:$B$1800,V$1)+1.5*(SUMIFS(الريسبي!$C$2:$C$1800,الريسبي!$A$2:$A$1800,$A190,الريسبي!$B$2:$B$1800,"برسيون موتزريلا بيتزا كبير"))</f>
        <v>0</v>
      </c>
      <c r="W190" s="117" t="n">
        <f aca="false">0</f>
        <v>0</v>
      </c>
      <c r="X190" s="117" t="n">
        <f aca="false">SUMIFS(الريسبي!$C$2:$C$1800,الريسبي!$A$2:$A$1800,$A190,الريسبي!$B$2:$B$1800,X$1)+1.5*(SUMIFS(الريسبي!$C$2:$C$1800,الريسبي!$A$2:$A$1800,$A190,الريسبي!$B$2:$B$1800,"برسيون موتزريلا فطير كبير"))</f>
        <v>0</v>
      </c>
      <c r="Y190" s="117" t="n">
        <f aca="false">0</f>
        <v>0</v>
      </c>
      <c r="Z190" s="117" t="n">
        <f aca="false">SUMIFS(الريسبي!$C$2:$C$1800,الريسبي!$A$2:$A$1800,$A190,الريسبي!$B$2:$B$1800,Z$1)</f>
        <v>0</v>
      </c>
      <c r="AA190" s="117" t="n">
        <f aca="false">SUMIFS(الريسبي!$C$2:$C$1800,الريسبي!$A$2:$A$1800,$A190,الريسبي!$B$2:$B$1800,AA$1)</f>
        <v>0</v>
      </c>
      <c r="AB190" s="117" t="n">
        <f aca="false">SUMIFS(الريسبي!$C$2:$C$1800,الريسبي!$A$2:$A$1800,$A190,الريسبي!$B$2:$B$1800,AB$1)</f>
        <v>0</v>
      </c>
      <c r="AC190" s="117" t="n">
        <f aca="false">SUMIFS(الريسبي!$C$2:$C$1800,الريسبي!$A$2:$A$1800,$A190,الريسبي!$B$2:$B$1800,AC$1)</f>
        <v>0</v>
      </c>
      <c r="AD190" s="117" t="n">
        <f aca="false">SUMIFS(الريسبي!$C$2:$C$1800,الريسبي!$A$2:$A$1800,$A190,الريسبي!$B$2:$B$1800,AD$1)</f>
        <v>0</v>
      </c>
      <c r="AE190" s="117" t="n">
        <f aca="false">SUMIFS(الريسبي!$C$2:$C$1800,الريسبي!$A$2:$A$1800,$A190,الريسبي!$B$2:$B$1800,AE$1)</f>
        <v>0</v>
      </c>
      <c r="AF190" s="117" t="n">
        <f aca="false">SUMIFS(الريسبي!$C$2:$C$1800,الريسبي!$A$2:$A$1800,$A190,الريسبي!$B$2:$B$1800,AF$1)</f>
        <v>0</v>
      </c>
      <c r="AG190" s="117" t="n">
        <f aca="false">SUMIFS(الريسبي!$C$2:$C$1800,الريسبي!$A$2:$A$1800,$A190,الريسبي!$B$2:$B$1800,AG$1)</f>
        <v>0</v>
      </c>
      <c r="AH190" s="117" t="n">
        <f aca="false">SUMIFS(الريسبي!$C$2:$C$1800,الريسبي!$A$2:$A$1800,$A190,الريسبي!$B$2:$B$1800,AH$1)</f>
        <v>0</v>
      </c>
      <c r="AI190" s="117" t="n">
        <f aca="false">SUMIFS(الريسبي!$C$2:$C$1800,الريسبي!$A$2:$A$1800,$A190,الريسبي!$B$2:$B$1800,AI$1)</f>
        <v>0</v>
      </c>
      <c r="AJ190" s="117" t="n">
        <f aca="false">SUMIFS(الريسبي!$C$2:$C$1800,الريسبي!$A$2:$A$1800,$A190,الريسبي!$B$2:$B$1800,AJ$1)</f>
        <v>0</v>
      </c>
      <c r="AK190" s="117" t="n">
        <f aca="false">SUMIFS(الريسبي!$C$2:$C$1800,الريسبي!$A$2:$A$1800,$A190,الريسبي!$B$2:$B$1800,AK$1)</f>
        <v>0</v>
      </c>
      <c r="AL190" s="117" t="n">
        <f aca="false">SUMIFS(الريسبي!$C$2:$C$1800,الريسبي!$A$2:$A$1800,$A190,الريسبي!$B$2:$B$1800,AL$1)</f>
        <v>0</v>
      </c>
      <c r="AM190" s="117" t="n">
        <f aca="false">SUMIFS(الريسبي!$C$2:$C$1800,الريسبي!$A$2:$A$1800,$A190,الريسبي!$B$2:$B$1800,AM$1)+0.08333333333*SUMIFS(الريسبي!$C$2:$C$1800,الريسبي!$A$2:$A$1800,$A190,الريسبي!$B$2:$B$1800,"عجين كريب (مصنع بالمطعم)")+0.08333333333*SUMIFS(الريسبي!$C$2:$C$1800,الريسبي!$A$2:$A$1800,$A190,الريسبي!$B$2:$B$1800,"عجين كريب صيامي (بدون لبن)")</f>
        <v>0</v>
      </c>
      <c r="AN190" s="117" t="n">
        <f aca="false">SUMIFS(الريسبي!$C$2:$C$1800,الريسبي!$A$2:$A$1800,$A190,الريسبي!$B$2:$B$1800,AN$1)+0.004166666667*SUMIFS(الريسبي!$C$2:$C$1800,الريسبي!$A$2:$A$1800,$A190,الريسبي!$B$2:$B$1800,"عجين كريب (مصنع بالمطعم)")+0.004166666667*SUMIFS(الريسبي!$C$2:$C$1800,الريسبي!$A$2:$A$1800,$A190,الريسبي!$B$2:$B$1800,"عجين كريب صيامي (بدون لبن)")</f>
        <v>0</v>
      </c>
      <c r="AO190" s="117" t="n">
        <f aca="false">SUMIFS(الريسبي!$C$2:$C$1800,الريسبي!$A$2:$A$1800,$A190,الريسبي!$B$2:$B$1800,AO$1)</f>
        <v>0</v>
      </c>
      <c r="AP190" s="117" t="n">
        <f aca="false">SUMIFS(الريسبي!$C$2:$C$1800,الريسبي!$A$2:$A$1800,$A190,الريسبي!$B$2:$B$1800,AP$1)</f>
        <v>0</v>
      </c>
      <c r="AQ190" s="117" t="n">
        <f aca="false">SUMIFS(الريسبي!$C$2:$C$1800,الريسبي!$A$2:$A$1800,$A190,الريسبي!$B$2:$B$1800,AQ$1)+0.004166666667*SUMIFS(الريسبي!$C$2:$C$1800,الريسبي!$A$2:$A$1800,$A190,الريسبي!$B$2:$B$1800,"عجين كريب (مصنع بالمطعم)")+0.004166666667*SUMIFS(الريسبي!$C$2:$C$1800,الريسبي!$A$2:$A$1800,$A190,الريسبي!$B$2:$B$1800,"عجين كريب صيامي (بدون لبن)")</f>
        <v>0</v>
      </c>
      <c r="AR190" s="117" t="n">
        <f aca="false">SUMIFS(الريسبي!$C$2:$C$1800,الريسبي!$A$2:$A$1800,$A190,الريسبي!$B$2:$B$1800,AR$1)</f>
        <v>0</v>
      </c>
      <c r="AS190" s="117" t="n">
        <f aca="false">SUMIFS(الريسبي!$C$2:$C$1800,الريسبي!$A$2:$A$1800,$A190,الريسبي!$B$2:$B$1800,AS$1)</f>
        <v>0</v>
      </c>
      <c r="AT190" s="117" t="n">
        <f aca="false">SUMIFS(الريسبي!$C$2:$C$1800,الريسبي!$A$2:$A$1800,$A190,الريسبي!$B$2:$B$1800,AT$1)</f>
        <v>0</v>
      </c>
      <c r="AU190" s="117" t="n">
        <f aca="false">SUMIFS(الريسبي!$C$2:$C$1800,الريسبي!$A$2:$A$1800,$A190,الريسبي!$B$2:$B$1800,AU$1)</f>
        <v>0</v>
      </c>
      <c r="AV190" s="117" t="n">
        <f aca="false">SUMIFS(الريسبي!$C$2:$C$1800,الريسبي!$A$2:$A$1800,$A190,الريسبي!$B$2:$B$1800,AV$1)</f>
        <v>0</v>
      </c>
      <c r="AW190" s="117" t="n">
        <f aca="false">SUMIFS(الريسبي!$C$2:$C$1800,الريسبي!$A$2:$A$1800,$A190,الريسبي!$B$2:$B$1800,AW$1)</f>
        <v>0</v>
      </c>
      <c r="AX190" s="117" t="n">
        <f aca="false">SUMIFS(الريسبي!$C$2:$C$1800,الريسبي!$A$2:$A$1800,$A190,الريسبي!$B$2:$B$1800,AX$1)</f>
        <v>0</v>
      </c>
      <c r="AY190" s="117" t="n">
        <f aca="false">SUMIFS(الريسبي!$C$2:$C$1800,الريسبي!$A$2:$A$1800,$A190,الريسبي!$B$2:$B$1800,AY$1)</f>
        <v>0</v>
      </c>
      <c r="AZ190" s="117" t="n">
        <f aca="false">SUMIFS(الريسبي!$C$2:$C$1800,الريسبي!$A$2:$A$1800,$A190,الريسبي!$B$2:$B$1800,AZ$1)</f>
        <v>0</v>
      </c>
      <c r="BA190" s="117" t="n">
        <f aca="false">SUMIFS(الريسبي!$C$2:$C$1800,الريسبي!$A$2:$A$1800,$A190,الريسبي!$B$2:$B$1800,BA$1)</f>
        <v>0</v>
      </c>
      <c r="BB190" s="117" t="n">
        <f aca="false">SUMIFS(الريسبي!$C$2:$C$1800,الريسبي!$A$2:$A$1800,$A190,الريسبي!$B$2:$B$1800,BB$1)</f>
        <v>0</v>
      </c>
      <c r="BC190" s="117" t="n">
        <f aca="false">SUMIFS(الريسبي!$C$2:$C$1800,الريسبي!$A$2:$A$1800,$A190,الريسبي!$B$2:$B$1800,BC$1)</f>
        <v>0</v>
      </c>
      <c r="BD190" s="117" t="n">
        <f aca="false">SUMIFS(الريسبي!$C$2:$C$1800,الريسبي!$A$2:$A$1800,$A190,الريسبي!$B$2:$B$1800,BD$1)</f>
        <v>0</v>
      </c>
      <c r="BE190" s="117" t="n">
        <f aca="false">SUMIFS(الريسبي!$C$2:$C$1800,الريسبي!$A$2:$A$1800,$A190,الريسبي!$B$2:$B$1800,BE$1)</f>
        <v>0</v>
      </c>
      <c r="BF190" s="117" t="n">
        <f aca="false">SUMIFS(الريسبي!$C$2:$C$1800,الريسبي!$A$2:$A$1800,$A190,الريسبي!$B$2:$B$1800,BF$1)</f>
        <v>0</v>
      </c>
      <c r="BG190" s="117" t="n">
        <f aca="false">SUMIFS(الريسبي!$C$2:$C$1800,الريسبي!$A$2:$A$1800,$A190,الريسبي!$B$2:$B$1800,BG$1)</f>
        <v>0</v>
      </c>
      <c r="BH190" s="117" t="n">
        <f aca="false">SUMIFS(الريسبي!$C$2:$C$1800,الريسبي!$A$2:$A$1800,$A190,الريسبي!$B$2:$B$1800,BH$1)</f>
        <v>0</v>
      </c>
      <c r="BI190" s="117" t="n">
        <f aca="false">SUMIFS(الريسبي!$C$2:$C$1800,الريسبي!$A$2:$A$1800,$A190,الريسبي!$B$2:$B$1800,BI$1)</f>
        <v>0</v>
      </c>
      <c r="BJ190" s="117" t="n">
        <f aca="false">SUMIFS(الريسبي!$C$2:$C$1800,الريسبي!$A$2:$A$1800,$A190,الريسبي!$B$2:$B$1800,BJ$1)</f>
        <v>0</v>
      </c>
      <c r="BK190" s="117" t="n">
        <f aca="false">SUMIFS(الريسبي!$C$2:$C$1800,الريسبي!$A$2:$A$1800,$A190,الريسبي!$B$2:$B$1800,BK$1)</f>
        <v>0</v>
      </c>
      <c r="BL190" s="117" t="n">
        <f aca="false">SUMIFS(الريسبي!$C$2:$C$1800,الريسبي!$A$2:$A$1800,$A190,الريسبي!$B$2:$B$1800,BL$1)</f>
        <v>0</v>
      </c>
      <c r="BM190" s="117" t="n">
        <f aca="false">SUMIFS(الريسبي!$C$2:$C$1800,الريسبي!$A$2:$A$1800,$A190,الريسبي!$B$2:$B$1800,BM$1)</f>
        <v>0</v>
      </c>
      <c r="BN190" s="117" t="n">
        <f aca="false">SUMIFS(الريسبي!$C$2:$C$1800,الريسبي!$A$2:$A$1800,$A190,الريسبي!$B$2:$B$1800,BN$1)</f>
        <v>0</v>
      </c>
      <c r="BO190" s="117" t="n">
        <f aca="false">SUMIFS(الريسبي!$C$2:$C$1800,الريسبي!$A$2:$A$1800,$A190,الريسبي!$B$2:$B$1800,BO$1)</f>
        <v>0</v>
      </c>
      <c r="BP190" s="117" t="n">
        <f aca="false">SUMIFS(الريسبي!$C$2:$C$1800,الريسبي!$A$2:$A$1800,$A190,الريسبي!$B$2:$B$1800,BP$1)</f>
        <v>0</v>
      </c>
      <c r="BQ190" s="117" t="n">
        <f aca="false">SUMIFS(الريسبي!$C$2:$C$1800,الريسبي!$A$2:$A$1800,$A190,الريسبي!$B$2:$B$1800,BQ$1)+0.17*SUMIFS(الريسبي!$C$2:$C$1800,الريسبي!$A$2:$A$1800,$A190,الريسبي!$B$2:$B$1800,"كاسترد مصنع (خليط بودر + لبن)")+0.17*SUMIFS(الريسبي!$C$2:$C$1800,الريسبي!$A$2:$A$1800,$A190,الريسبي!$B$2:$B$1800,"كاسترد مصنع صيامي (بدون لبن)")</f>
        <v>0</v>
      </c>
      <c r="BR190" s="117" t="n">
        <f aca="false">SUMIFS(الريسبي!$C$2:$C$1800,الريسبي!$A$2:$A$1800,$A190,الريسبي!$B$2:$B$1800,BR$1)</f>
        <v>0</v>
      </c>
      <c r="BS190" s="117" t="n">
        <f aca="false">SUMIFS(الريسبي!$C$2:$C$1800,الريسبي!$A$2:$A$1800,$A190,الريسبي!$B$2:$B$1800,BS$1)</f>
        <v>0</v>
      </c>
      <c r="BT190" s="117" t="n">
        <f aca="false">SUMIFS(الريسبي!$C$2:$C$1800,الريسبي!$A$2:$A$1800,$A190,الريسبي!$B$2:$B$1800,BT$1)</f>
        <v>0</v>
      </c>
      <c r="BU190" s="117" t="n">
        <f aca="false">SUMIFS(الريسبي!$C$2:$C$1800,الريسبي!$A$2:$A$1800,$A190,الريسبي!$B$2:$B$1800,BU$1)+0.4*SUMIFS(الريسبي!$C$2:$C$1800,الريسبي!$A$2:$A$1800,$A190,الريسبي!$B$2:$B$1800,"كاسترد مصنع (خليط بودر + لبن)")+0.03333333333*SUMIFS(الريسبي!$C$2:$C$1800,الريسبي!$A$2:$A$1800,$A190,الريسبي!$B$2:$B$1800,"عجين كريب (مصنع بالمطعم)")</f>
        <v>0</v>
      </c>
      <c r="BV190" s="117" t="n">
        <f aca="false">SUMIFS(الريسبي!$C$2:$C$1800,الريسبي!$A$2:$A$1800,$A190,الريسبي!$B$2:$B$1800,BV$1)</f>
        <v>0</v>
      </c>
      <c r="BW190" s="117" t="n">
        <f aca="false">SUMIFS(الريسبي!$C$2:$C$1800,الريسبي!$A$2:$A$1800,$A190,الريسبي!$B$2:$B$1800,BW$1)</f>
        <v>0</v>
      </c>
      <c r="BX190" s="117" t="n">
        <f aca="false">SUMIFS(الريسبي!$C$2:$C$1800,الريسبي!$A$2:$A$1800,$A190,الريسبي!$B$2:$B$1800,BX$1)</f>
        <v>0</v>
      </c>
      <c r="BY190" s="117" t="n">
        <f aca="false">SUMIFS(الريسبي!$C$2:$C$1800,الريسبي!$A$2:$A$1800,$A190,الريسبي!$B$2:$B$1800,BY$1)</f>
        <v>0</v>
      </c>
      <c r="BZ190" s="117" t="n">
        <f aca="false">SUMIFS(الريسبي!$C$2:$C$1800,الريسبي!$A$2:$A$1800,$A190,الريسبي!$B$2:$B$1800,BZ$1)</f>
        <v>0</v>
      </c>
      <c r="CA190" s="117" t="n">
        <f aca="false">SUMIFS(الريسبي!$C$2:$C$1800,الريسبي!$A$2:$A$1800,$A190,الريسبي!$B$2:$B$1800,CA$1)</f>
        <v>0</v>
      </c>
      <c r="CB190" s="117" t="n">
        <f aca="false">SUMIFS(الريسبي!$C$2:$C$1800,الريسبي!$A$2:$A$1800,$A190,الريسبي!$B$2:$B$1800,CB$1)</f>
        <v>0</v>
      </c>
      <c r="CC190" s="117" t="n">
        <f aca="false">SUMIFS(الريسبي!$C$2:$C$1800,الريسبي!$A$2:$A$1800,$A190,الريسبي!$B$2:$B$1800,CC$1)</f>
        <v>0</v>
      </c>
      <c r="CD190" s="117" t="n">
        <f aca="false">SUMIFS(الريسبي!$C$2:$C$1800,الريسبي!$A$2:$A$1800,$A190,الريسبي!$B$2:$B$1800,CD$1)</f>
        <v>0</v>
      </c>
      <c r="CE190" s="117" t="n">
        <f aca="false">SUMIFS(الريسبي!$C$2:$C$1800,الريسبي!$A$2:$A$1800,$A190,الريسبي!$B$2:$B$1800,CE$1)</f>
        <v>0</v>
      </c>
      <c r="CF190" s="117" t="n">
        <f aca="false">SUMIFS(الريسبي!$C$2:$C$1800,الريسبي!$A$2:$A$1800,$A190,الريسبي!$B$2:$B$1800,CF$1)</f>
        <v>0</v>
      </c>
      <c r="CG190" s="117" t="n">
        <f aca="false">SUMIFS(الريسبي!$C$2:$C$1800,الريسبي!$A$2:$A$1800,$A190,الريسبي!$B$2:$B$1800,CG$1)</f>
        <v>0</v>
      </c>
      <c r="CH190" s="117" t="n">
        <f aca="false">SUMIFS(الريسبي!$C$2:$C$1800,الريسبي!$A$2:$A$1800,$A190,الريسبي!$B$2:$B$1800,CH$1)</f>
        <v>0</v>
      </c>
      <c r="CI190" s="117" t="n">
        <f aca="false">SUMIFS(الريسبي!$C$2:$C$1800,الريسبي!$A$2:$A$1800,$A190,الريسبي!$B$2:$B$1800,CI$1)</f>
        <v>0</v>
      </c>
      <c r="CJ190" s="117" t="n">
        <f aca="false">SUMIFS(الريسبي!$C$2:$C$1800,الريسبي!$A$2:$A$1800,$A190,الريسبي!$B$2:$B$1800,CJ$1)</f>
        <v>0</v>
      </c>
      <c r="CK190" s="117" t="n">
        <f aca="false">SUMIFS(الريسبي!$C$2:$C$1800,الريسبي!$A$2:$A$1800,$A190,الريسبي!$B$2:$B$1800,CK$1)</f>
        <v>0</v>
      </c>
      <c r="CL190" s="117" t="n">
        <f aca="false">SUMIFS(الريسبي!$C$2:$C$1800,الريسبي!$A$2:$A$1800,$A190,الريسبي!$B$2:$B$1800,CL$1)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s>
  <sheetData>
    <row r="1" customFormat="false" ht="48" hidden="false" customHeight="true" outlineLevel="0" collapsed="false">
      <c r="A1" s="33" t="s">
        <v>849</v>
      </c>
      <c r="B1" s="115" t="s">
        <v>850</v>
      </c>
      <c r="C1" s="115" t="s">
        <v>851</v>
      </c>
      <c r="D1" s="115" t="s">
        <v>852</v>
      </c>
      <c r="E1" s="115" t="s">
        <v>853</v>
      </c>
      <c r="F1" s="115" t="s">
        <v>854</v>
      </c>
      <c r="G1" s="115" t="s">
        <v>855</v>
      </c>
      <c r="H1" s="115" t="s">
        <v>856</v>
      </c>
      <c r="I1" s="115" t="s">
        <v>857</v>
      </c>
      <c r="J1" s="115" t="s">
        <v>858</v>
      </c>
    </row>
    <row r="2" customFormat="false" ht="15" hidden="false" customHeight="false" outlineLevel="0" collapsed="false">
      <c r="A2" s="116" t="str">
        <f aca="false">المنيو!B2</f>
        <v>بيتزا مارجريتا وسط</v>
      </c>
      <c r="B2" s="118" t="n">
        <f aca="false">SUMIFS('مبيعات يومية'!$D$2:$D$14001,'مبيعات يومية'!$C$2:$C$14001,$A2,'مبيعات يومية'!$B$2:$B$14001,'إعدادات المخزون'!$A$15,'مبيعات يومية'!$A$2:$A$14001,'إعدادات المخزون'!$B$4)</f>
        <v>4.5</v>
      </c>
      <c r="C2" s="118" t="n">
        <f aca="false">SUMIFS('مبيعات يومية'!$D$2:$D$14001,'مبيعات يومية'!$C$2:$C$14001,$A2,'مبيعات يومية'!$B$2:$B$14001,'إعدادات المخزون'!$A$15,'مبيعات يومية'!$A$2:$A$14001,"&gt;="&amp;'إعدادات المخزون'!$B$5,'مبيعات يومية'!$A$2:$A$14001,"&lt;="&amp;'إعدادات المخزون'!$B$4)</f>
        <v>54</v>
      </c>
      <c r="D2" s="118" t="n">
        <f aca="false">SUMIFS('مبيعات يومية'!$D$2:$D$14001,'مبيعات يومية'!$C$2:$C$14001,$A2,'مبيعات يومية'!$B$2:$B$14001,'إعدادات المخزون'!$A$15,'مبيعات يومية'!$A$2:$A$14001,"&gt;"&amp;('إعدادات المخزون'!$B$4-'إعدادات المخزون'!$B$11),'مبيعات يومية'!$A$2:$A$14001,"&lt;="&amp;'إعدادات المخزون'!$B$4)</f>
        <v>31.5</v>
      </c>
      <c r="E2" s="118" t="n">
        <f aca="false">SUMIFS('مبيعات يومية'!$D$2:$D$14001,'مبيعات يومية'!$C$2:$C$14001,$A2,'مبيعات يومية'!$B$2:$B$14001,'إعدادات المخزون'!$A$16,'مبيعات يومية'!$A$2:$A$14001,'إعدادات المخزون'!$B$4)</f>
        <v>3.6667</v>
      </c>
      <c r="F2" s="118" t="n">
        <f aca="false">SUMIFS('مبيعات يومية'!$D$2:$D$14001,'مبيعات يومية'!$C$2:$C$14001,$A2,'مبيعات يومية'!$B$2:$B$14001,'إعدادات المخزون'!$A$16,'مبيعات يومية'!$A$2:$A$14001,"&gt;="&amp;'إعدادات المخزون'!$B$5,'مبيعات يومية'!$A$2:$A$14001,"&lt;="&amp;'إعدادات المخزون'!$B$4)</f>
        <v>44.0004</v>
      </c>
      <c r="G2" s="118" t="n">
        <f aca="false">SUMIFS('مبيعات يومية'!$D$2:$D$14001,'مبيعات يومية'!$C$2:$C$14001,$A2,'مبيعات يومية'!$B$2:$B$14001,'إعدادات المخزون'!$A$16,'مبيعات يومية'!$A$2:$A$14001,"&gt;"&amp;('إعدادات المخزون'!$B$4-'إعدادات المخزون'!$B$11),'مبيعات يومية'!$A$2:$A$14001,"&lt;="&amp;'إعدادات المخزون'!$B$4)</f>
        <v>25.6669</v>
      </c>
      <c r="H2" s="118" t="n">
        <f aca="false">SUMIFS('مبيعات يومية'!$D$2:$D$14001,'مبيعات يومية'!$C$2:$C$14001,$A2,'مبيعات يومية'!$B$2:$B$14001,'إعدادات المخزون'!$A$17,'مبيعات يومية'!$A$2:$A$14001,'إعدادات المخزون'!$B$4)</f>
        <v>4.9167</v>
      </c>
      <c r="I2" s="118" t="n">
        <f aca="false">SUMIFS('مبيعات يومية'!$D$2:$D$14001,'مبيعات يومية'!$C$2:$C$14001,$A2,'مبيعات يومية'!$B$2:$B$14001,'إعدادات المخزون'!$A$17,'مبيعات يومية'!$A$2:$A$14001,"&gt;="&amp;'إعدادات المخزون'!$B$5,'مبيعات يومية'!$A$2:$A$14001,"&lt;="&amp;'إعدادات المخزون'!$B$4)</f>
        <v>59.0004</v>
      </c>
      <c r="J2" s="118" t="n">
        <f aca="false">SUMIFS('مبيعات يومية'!$D$2:$D$14001,'مبيعات يومية'!$C$2:$C$14001,$A2,'مبيعات يومية'!$B$2:$B$14001,'إعدادات المخزون'!$A$17,'مبيعات يومية'!$A$2:$A$14001,"&gt;"&amp;('إعدادات المخزون'!$B$4-'إعدادات المخزون'!$B$11),'مبيعات يومية'!$A$2:$A$14001,"&lt;="&amp;'إعدادات المخزون'!$B$4)</f>
        <v>34.4169</v>
      </c>
    </row>
    <row r="3" customFormat="false" ht="15" hidden="false" customHeight="false" outlineLevel="0" collapsed="false">
      <c r="A3" s="116" t="str">
        <f aca="false">المنيو!B3</f>
        <v>بيتزا مارجريتا حجم اكبر</v>
      </c>
      <c r="B3" s="118" t="n">
        <f aca="false">SUMIFS('مبيعات يومية'!$D$2:$D$14001,'مبيعات يومية'!$C$2:$C$14001,$A3,'مبيعات يومية'!$B$2:$B$14001,'إعدادات المخزون'!$A$15,'مبيعات يومية'!$A$2:$A$14001,'إعدادات المخزون'!$B$4)</f>
        <v>2.5833</v>
      </c>
      <c r="C3" s="118" t="n">
        <f aca="false">SUMIFS('مبيعات يومية'!$D$2:$D$14001,'مبيعات يومية'!$C$2:$C$14001,$A3,'مبيعات يومية'!$B$2:$B$14001,'إعدادات المخزون'!$A$15,'مبيعات يومية'!$A$2:$A$14001,"&gt;="&amp;'إعدادات المخزون'!$B$5,'مبيعات يومية'!$A$2:$A$14001,"&lt;="&amp;'إعدادات المخزون'!$B$4)</f>
        <v>30.9996</v>
      </c>
      <c r="D3" s="118" t="n">
        <f aca="false">SUMIFS('مبيعات يومية'!$D$2:$D$14001,'مبيعات يومية'!$C$2:$C$14001,$A3,'مبيعات يومية'!$B$2:$B$14001,'إعدادات المخزون'!$A$15,'مبيعات يومية'!$A$2:$A$14001,"&gt;"&amp;('إعدادات المخزون'!$B$4-'إعدادات المخزون'!$B$11),'مبيعات يومية'!$A$2:$A$14001,"&lt;="&amp;'إعدادات المخزون'!$B$4)</f>
        <v>18.0831</v>
      </c>
      <c r="E3" s="118" t="n">
        <f aca="false">SUMIFS('مبيعات يومية'!$D$2:$D$14001,'مبيعات يومية'!$C$2:$C$14001,$A3,'مبيعات يومية'!$B$2:$B$14001,'إعدادات المخزون'!$A$16,'مبيعات يومية'!$A$2:$A$14001,'إعدادات المخزون'!$B$4)</f>
        <v>3.5</v>
      </c>
      <c r="F3" s="118" t="n">
        <f aca="false">SUMIFS('مبيعات يومية'!$D$2:$D$14001,'مبيعات يومية'!$C$2:$C$14001,$A3,'مبيعات يومية'!$B$2:$B$14001,'إعدادات المخزون'!$A$16,'مبيعات يومية'!$A$2:$A$14001,"&gt;="&amp;'إعدادات المخزون'!$B$5,'مبيعات يومية'!$A$2:$A$14001,"&lt;="&amp;'إعدادات المخزون'!$B$4)</f>
        <v>42</v>
      </c>
      <c r="G3" s="118" t="n">
        <f aca="false">SUMIFS('مبيعات يومية'!$D$2:$D$14001,'مبيعات يومية'!$C$2:$C$14001,$A3,'مبيعات يومية'!$B$2:$B$14001,'إعدادات المخزون'!$A$16,'مبيعات يومية'!$A$2:$A$14001,"&gt;"&amp;('إعدادات المخزون'!$B$4-'إعدادات المخزون'!$B$11),'مبيعات يومية'!$A$2:$A$14001,"&lt;="&amp;'إعدادات المخزون'!$B$4)</f>
        <v>24.5</v>
      </c>
      <c r="H3" s="118" t="n">
        <f aca="false">SUMIFS('مبيعات يومية'!$D$2:$D$14001,'مبيعات يومية'!$C$2:$C$14001,$A3,'مبيعات يومية'!$B$2:$B$14001,'إعدادات المخزون'!$A$17,'مبيعات يومية'!$A$2:$A$14001,'إعدادات المخزون'!$B$4)</f>
        <v>1.6667</v>
      </c>
      <c r="I3" s="118" t="n">
        <f aca="false">SUMIFS('مبيعات يومية'!$D$2:$D$14001,'مبيعات يومية'!$C$2:$C$14001,$A3,'مبيعات يومية'!$B$2:$B$14001,'إعدادات المخزون'!$A$17,'مبيعات يومية'!$A$2:$A$14001,"&gt;="&amp;'إعدادات المخزون'!$B$5,'مبيعات يومية'!$A$2:$A$14001,"&lt;="&amp;'إعدادات المخزون'!$B$4)</f>
        <v>20.0004</v>
      </c>
      <c r="J3" s="118" t="n">
        <f aca="false">SUMIFS('مبيعات يومية'!$D$2:$D$14001,'مبيعات يومية'!$C$2:$C$14001,$A3,'مبيعات يومية'!$B$2:$B$14001,'إعدادات المخزون'!$A$17,'مبيعات يومية'!$A$2:$A$14001,"&gt;"&amp;('إعدادات المخزون'!$B$4-'إعدادات المخزون'!$B$11),'مبيعات يومية'!$A$2:$A$14001,"&lt;="&amp;'إعدادات المخزون'!$B$4)</f>
        <v>11.6669</v>
      </c>
    </row>
    <row r="4" customFormat="false" ht="15" hidden="false" customHeight="false" outlineLevel="0" collapsed="false">
      <c r="A4" s="116" t="str">
        <f aca="false">المنيو!B4</f>
        <v>بيتزا بسطرمة وسط</v>
      </c>
      <c r="B4" s="118" t="n">
        <f aca="false">SUMIFS('مبيعات يومية'!$D$2:$D$14001,'مبيعات يومية'!$C$2:$C$14001,$A4,'مبيعات يومية'!$B$2:$B$14001,'إعدادات المخزون'!$A$15,'مبيعات يومية'!$A$2:$A$14001,'إعدادات المخزون'!$B$4)</f>
        <v>11.8333</v>
      </c>
      <c r="C4" s="118" t="n">
        <f aca="false">SUMIFS('مبيعات يومية'!$D$2:$D$14001,'مبيعات يومية'!$C$2:$C$14001,$A4,'مبيعات يومية'!$B$2:$B$14001,'إعدادات المخزون'!$A$15,'مبيعات يومية'!$A$2:$A$14001,"&gt;="&amp;'إعدادات المخزون'!$B$5,'مبيعات يومية'!$A$2:$A$14001,"&lt;="&amp;'إعدادات المخزون'!$B$4)</f>
        <v>141.9996</v>
      </c>
      <c r="D4" s="118" t="n">
        <f aca="false">SUMIFS('مبيعات يومية'!$D$2:$D$14001,'مبيعات يومية'!$C$2:$C$14001,$A4,'مبيعات يومية'!$B$2:$B$14001,'إعدادات المخزون'!$A$15,'مبيعات يومية'!$A$2:$A$14001,"&gt;"&amp;('إعدادات المخزون'!$B$4-'إعدادات المخزون'!$B$11),'مبيعات يومية'!$A$2:$A$14001,"&lt;="&amp;'إعدادات المخزون'!$B$4)</f>
        <v>82.8331</v>
      </c>
      <c r="E4" s="118" t="n">
        <f aca="false">SUMIFS('مبيعات يومية'!$D$2:$D$14001,'مبيعات يومية'!$C$2:$C$14001,$A4,'مبيعات يومية'!$B$2:$B$14001,'إعدادات المخزون'!$A$16,'مبيعات يومية'!$A$2:$A$14001,'إعدادات المخزون'!$B$4)</f>
        <v>7.25</v>
      </c>
      <c r="F4" s="118" t="n">
        <f aca="false">SUMIFS('مبيعات يومية'!$D$2:$D$14001,'مبيعات يومية'!$C$2:$C$14001,$A4,'مبيعات يومية'!$B$2:$B$14001,'إعدادات المخزون'!$A$16,'مبيعات يومية'!$A$2:$A$14001,"&gt;="&amp;'إعدادات المخزون'!$B$5,'مبيعات يومية'!$A$2:$A$14001,"&lt;="&amp;'إعدادات المخزون'!$B$4)</f>
        <v>87</v>
      </c>
      <c r="G4" s="118" t="n">
        <f aca="false">SUMIFS('مبيعات يومية'!$D$2:$D$14001,'مبيعات يومية'!$C$2:$C$14001,$A4,'مبيعات يومية'!$B$2:$B$14001,'إعدادات المخزون'!$A$16,'مبيعات يومية'!$A$2:$A$14001,"&gt;"&amp;('إعدادات المخزون'!$B$4-'إعدادات المخزون'!$B$11),'مبيعات يومية'!$A$2:$A$14001,"&lt;="&amp;'إعدادات المخزون'!$B$4)</f>
        <v>50.75</v>
      </c>
      <c r="H4" s="118" t="n">
        <f aca="false">SUMIFS('مبيعات يومية'!$D$2:$D$14001,'مبيعات يومية'!$C$2:$C$14001,$A4,'مبيعات يومية'!$B$2:$B$14001,'إعدادات المخزون'!$A$17,'مبيعات يومية'!$A$2:$A$14001,'إعدادات المخزون'!$B$4)</f>
        <v>7.5833</v>
      </c>
      <c r="I4" s="118" t="n">
        <f aca="false">SUMIFS('مبيعات يومية'!$D$2:$D$14001,'مبيعات يومية'!$C$2:$C$14001,$A4,'مبيعات يومية'!$B$2:$B$14001,'إعدادات المخزون'!$A$17,'مبيعات يومية'!$A$2:$A$14001,"&gt;="&amp;'إعدادات المخزون'!$B$5,'مبيعات يومية'!$A$2:$A$14001,"&lt;="&amp;'إعدادات المخزون'!$B$4)</f>
        <v>90.9996</v>
      </c>
      <c r="J4" s="118" t="n">
        <f aca="false">SUMIFS('مبيعات يومية'!$D$2:$D$14001,'مبيعات يومية'!$C$2:$C$14001,$A4,'مبيعات يومية'!$B$2:$B$14001,'إعدادات المخزون'!$A$17,'مبيعات يومية'!$A$2:$A$14001,"&gt;"&amp;('إعدادات المخزون'!$B$4-'إعدادات المخزون'!$B$11),'مبيعات يومية'!$A$2:$A$14001,"&lt;="&amp;'إعدادات المخزون'!$B$4)</f>
        <v>53.0831</v>
      </c>
    </row>
    <row r="5" customFormat="false" ht="15" hidden="false" customHeight="false" outlineLevel="0" collapsed="false">
      <c r="A5" s="116" t="str">
        <f aca="false">المنيو!B5</f>
        <v>بيتزا بسطرمة حجم اكبر</v>
      </c>
      <c r="B5" s="118" t="n">
        <f aca="false">SUMIFS('مبيعات يومية'!$D$2:$D$14001,'مبيعات يومية'!$C$2:$C$14001,$A5,'مبيعات يومية'!$B$2:$B$14001,'إعدادات المخزون'!$A$15,'مبيعات يومية'!$A$2:$A$14001,'إعدادات المخزون'!$B$4)</f>
        <v>1.25</v>
      </c>
      <c r="C5" s="118" t="n">
        <f aca="false">SUMIFS('مبيعات يومية'!$D$2:$D$14001,'مبيعات يومية'!$C$2:$C$14001,$A5,'مبيعات يومية'!$B$2:$B$14001,'إعدادات المخزون'!$A$15,'مبيعات يومية'!$A$2:$A$14001,"&gt;="&amp;'إعدادات المخزون'!$B$5,'مبيعات يومية'!$A$2:$A$14001,"&lt;="&amp;'إعدادات المخزون'!$B$4)</f>
        <v>15</v>
      </c>
      <c r="D5" s="118" t="n">
        <f aca="false">SUMIFS('مبيعات يومية'!$D$2:$D$14001,'مبيعات يومية'!$C$2:$C$14001,$A5,'مبيعات يومية'!$B$2:$B$14001,'إعدادات المخزون'!$A$15,'مبيعات يومية'!$A$2:$A$14001,"&gt;"&amp;('إعدادات المخزون'!$B$4-'إعدادات المخزون'!$B$11),'مبيعات يومية'!$A$2:$A$14001,"&lt;="&amp;'إعدادات المخزون'!$B$4)</f>
        <v>8.75</v>
      </c>
      <c r="E5" s="118" t="n">
        <f aca="false">SUMIFS('مبيعات يومية'!$D$2:$D$14001,'مبيعات يومية'!$C$2:$C$14001,$A5,'مبيعات يومية'!$B$2:$B$14001,'إعدادات المخزون'!$A$16,'مبيعات يومية'!$A$2:$A$14001,'إعدادات المخزون'!$B$4)</f>
        <v>1</v>
      </c>
      <c r="F5" s="118" t="n">
        <f aca="false">SUMIFS('مبيعات يومية'!$D$2:$D$14001,'مبيعات يومية'!$C$2:$C$14001,$A5,'مبيعات يومية'!$B$2:$B$14001,'إعدادات المخزون'!$A$16,'مبيعات يومية'!$A$2:$A$14001,"&gt;="&amp;'إعدادات المخزون'!$B$5,'مبيعات يومية'!$A$2:$A$14001,"&lt;="&amp;'إعدادات المخزون'!$B$4)</f>
        <v>12</v>
      </c>
      <c r="G5" s="118" t="n">
        <f aca="false">SUMIFS('مبيعات يومية'!$D$2:$D$14001,'مبيعات يومية'!$C$2:$C$14001,$A5,'مبيعات يومية'!$B$2:$B$14001,'إعدادات المخزون'!$A$16,'مبيعات يومية'!$A$2:$A$14001,"&gt;"&amp;('إعدادات المخزون'!$B$4-'إعدادات المخزون'!$B$11),'مبيعات يومية'!$A$2:$A$14001,"&lt;="&amp;'إعدادات المخزون'!$B$4)</f>
        <v>7</v>
      </c>
      <c r="H5" s="118" t="n">
        <f aca="false">SUMIFS('مبيعات يومية'!$D$2:$D$14001,'مبيعات يومية'!$C$2:$C$14001,$A5,'مبيعات يومية'!$B$2:$B$14001,'إعدادات المخزون'!$A$17,'مبيعات يومية'!$A$2:$A$14001,'إعدادات المخزون'!$B$4)</f>
        <v>1.5</v>
      </c>
      <c r="I5" s="118" t="n">
        <f aca="false">SUMIFS('مبيعات يومية'!$D$2:$D$14001,'مبيعات يومية'!$C$2:$C$14001,$A5,'مبيعات يومية'!$B$2:$B$14001,'إعدادات المخزون'!$A$17,'مبيعات يومية'!$A$2:$A$14001,"&gt;="&amp;'إعدادات المخزون'!$B$5,'مبيعات يومية'!$A$2:$A$14001,"&lt;="&amp;'إعدادات المخزون'!$B$4)</f>
        <v>18</v>
      </c>
      <c r="J5" s="118" t="n">
        <f aca="false">SUMIFS('مبيعات يومية'!$D$2:$D$14001,'مبيعات يومية'!$C$2:$C$14001,$A5,'مبيعات يومية'!$B$2:$B$14001,'إعدادات المخزون'!$A$17,'مبيعات يومية'!$A$2:$A$14001,"&gt;"&amp;('إعدادات المخزون'!$B$4-'إعدادات المخزون'!$B$11),'مبيعات يومية'!$A$2:$A$14001,"&lt;="&amp;'إعدادات المخزون'!$B$4)</f>
        <v>10.5</v>
      </c>
    </row>
    <row r="6" customFormat="false" ht="15" hidden="false" customHeight="false" outlineLevel="0" collapsed="false">
      <c r="A6" s="116" t="str">
        <f aca="false">المنيو!B6</f>
        <v>بيتزا سدق وسط</v>
      </c>
      <c r="B6" s="118" t="n">
        <f aca="false">SUMIFS('مبيعات يومية'!$D$2:$D$14001,'مبيعات يومية'!$C$2:$C$14001,$A6,'مبيعات يومية'!$B$2:$B$14001,'إعدادات المخزون'!$A$15,'مبيعات يومية'!$A$2:$A$14001,'إعدادات المخزون'!$B$4)</f>
        <v>7.5833</v>
      </c>
      <c r="C6" s="118" t="n">
        <f aca="false">SUMIFS('مبيعات يومية'!$D$2:$D$14001,'مبيعات يومية'!$C$2:$C$14001,$A6,'مبيعات يومية'!$B$2:$B$14001,'إعدادات المخزون'!$A$15,'مبيعات يومية'!$A$2:$A$14001,"&gt;="&amp;'إعدادات المخزون'!$B$5,'مبيعات يومية'!$A$2:$A$14001,"&lt;="&amp;'إعدادات المخزون'!$B$4)</f>
        <v>90.9996</v>
      </c>
      <c r="D6" s="118" t="n">
        <f aca="false">SUMIFS('مبيعات يومية'!$D$2:$D$14001,'مبيعات يومية'!$C$2:$C$14001,$A6,'مبيعات يومية'!$B$2:$B$14001,'إعدادات المخزون'!$A$15,'مبيعات يومية'!$A$2:$A$14001,"&gt;"&amp;('إعدادات المخزون'!$B$4-'إعدادات المخزون'!$B$11),'مبيعات يومية'!$A$2:$A$14001,"&lt;="&amp;'إعدادات المخزون'!$B$4)</f>
        <v>53.0831</v>
      </c>
      <c r="E6" s="118" t="n">
        <f aca="false">SUMIFS('مبيعات يومية'!$D$2:$D$14001,'مبيعات يومية'!$C$2:$C$14001,$A6,'مبيعات يومية'!$B$2:$B$14001,'إعدادات المخزون'!$A$16,'مبيعات يومية'!$A$2:$A$14001,'إعدادات المخزون'!$B$4)</f>
        <v>4.75</v>
      </c>
      <c r="F6" s="118" t="n">
        <f aca="false">SUMIFS('مبيعات يومية'!$D$2:$D$14001,'مبيعات يومية'!$C$2:$C$14001,$A6,'مبيعات يومية'!$B$2:$B$14001,'إعدادات المخزون'!$A$16,'مبيعات يومية'!$A$2:$A$14001,"&gt;="&amp;'إعدادات المخزون'!$B$5,'مبيعات يومية'!$A$2:$A$14001,"&lt;="&amp;'إعدادات المخزون'!$B$4)</f>
        <v>57</v>
      </c>
      <c r="G6" s="118" t="n">
        <f aca="false">SUMIFS('مبيعات يومية'!$D$2:$D$14001,'مبيعات يومية'!$C$2:$C$14001,$A6,'مبيعات يومية'!$B$2:$B$14001,'إعدادات المخزون'!$A$16,'مبيعات يومية'!$A$2:$A$14001,"&gt;"&amp;('إعدادات المخزون'!$B$4-'إعدادات المخزون'!$B$11),'مبيعات يومية'!$A$2:$A$14001,"&lt;="&amp;'إعدادات المخزون'!$B$4)</f>
        <v>33.25</v>
      </c>
      <c r="H6" s="118" t="n">
        <f aca="false">SUMIFS('مبيعات يومية'!$D$2:$D$14001,'مبيعات يومية'!$C$2:$C$14001,$A6,'مبيعات يومية'!$B$2:$B$14001,'إعدادات المخزون'!$A$17,'مبيعات يومية'!$A$2:$A$14001,'إعدادات المخزون'!$B$4)</f>
        <v>7.1667</v>
      </c>
      <c r="I6" s="118" t="n">
        <f aca="false">SUMIFS('مبيعات يومية'!$D$2:$D$14001,'مبيعات يومية'!$C$2:$C$14001,$A6,'مبيعات يومية'!$B$2:$B$14001,'إعدادات المخزون'!$A$17,'مبيعات يومية'!$A$2:$A$14001,"&gt;="&amp;'إعدادات المخزون'!$B$5,'مبيعات يومية'!$A$2:$A$14001,"&lt;="&amp;'إعدادات المخزون'!$B$4)</f>
        <v>86.0004</v>
      </c>
      <c r="J6" s="118" t="n">
        <f aca="false">SUMIFS('مبيعات يومية'!$D$2:$D$14001,'مبيعات يومية'!$C$2:$C$14001,$A6,'مبيعات يومية'!$B$2:$B$14001,'إعدادات المخزون'!$A$17,'مبيعات يومية'!$A$2:$A$14001,"&gt;"&amp;('إعدادات المخزون'!$B$4-'إعدادات المخزون'!$B$11),'مبيعات يومية'!$A$2:$A$14001,"&lt;="&amp;'إعدادات المخزون'!$B$4)</f>
        <v>50.1669</v>
      </c>
    </row>
    <row r="7" customFormat="false" ht="15" hidden="false" customHeight="false" outlineLevel="0" collapsed="false">
      <c r="A7" s="116" t="str">
        <f aca="false">المنيو!B7</f>
        <v>بيتزا سدق حجم اكبر</v>
      </c>
      <c r="B7" s="118" t="n">
        <f aca="false">SUMIFS('مبيعات يومية'!$D$2:$D$14001,'مبيعات يومية'!$C$2:$C$14001,$A7,'مبيعات يومية'!$B$2:$B$14001,'إعدادات المخزون'!$A$15,'مبيعات يومية'!$A$2:$A$14001,'إعدادات المخزون'!$B$4)</f>
        <v>1.3333</v>
      </c>
      <c r="C7" s="118" t="n">
        <f aca="false">SUMIFS('مبيعات يومية'!$D$2:$D$14001,'مبيعات يومية'!$C$2:$C$14001,$A7,'مبيعات يومية'!$B$2:$B$14001,'إعدادات المخزون'!$A$15,'مبيعات يومية'!$A$2:$A$14001,"&gt;="&amp;'إعدادات المخزون'!$B$5,'مبيعات يومية'!$A$2:$A$14001,"&lt;="&amp;'إعدادات المخزون'!$B$4)</f>
        <v>15.9996</v>
      </c>
      <c r="D7" s="118" t="n">
        <f aca="false">SUMIFS('مبيعات يومية'!$D$2:$D$14001,'مبيعات يومية'!$C$2:$C$14001,$A7,'مبيعات يومية'!$B$2:$B$14001,'إعدادات المخزون'!$A$15,'مبيعات يومية'!$A$2:$A$14001,"&gt;"&amp;('إعدادات المخزون'!$B$4-'إعدادات المخزون'!$B$11),'مبيعات يومية'!$A$2:$A$14001,"&lt;="&amp;'إعدادات المخزون'!$B$4)</f>
        <v>9.3331</v>
      </c>
      <c r="E7" s="118" t="n">
        <f aca="false">SUMIFS('مبيعات يومية'!$D$2:$D$14001,'مبيعات يومية'!$C$2:$C$14001,$A7,'مبيعات يومية'!$B$2:$B$14001,'إعدادات المخزون'!$A$16,'مبيعات يومية'!$A$2:$A$14001,'إعدادات المخزون'!$B$4)</f>
        <v>0.75</v>
      </c>
      <c r="F7" s="118" t="n">
        <f aca="false">SUMIFS('مبيعات يومية'!$D$2:$D$14001,'مبيعات يومية'!$C$2:$C$14001,$A7,'مبيعات يومية'!$B$2:$B$14001,'إعدادات المخزون'!$A$16,'مبيعات يومية'!$A$2:$A$14001,"&gt;="&amp;'إعدادات المخزون'!$B$5,'مبيعات يومية'!$A$2:$A$14001,"&lt;="&amp;'إعدادات المخزون'!$B$4)</f>
        <v>9</v>
      </c>
      <c r="G7" s="118" t="n">
        <f aca="false">SUMIFS('مبيعات يومية'!$D$2:$D$14001,'مبيعات يومية'!$C$2:$C$14001,$A7,'مبيعات يومية'!$B$2:$B$14001,'إعدادات المخزون'!$A$16,'مبيعات يومية'!$A$2:$A$14001,"&gt;"&amp;('إعدادات المخزون'!$B$4-'إعدادات المخزون'!$B$11),'مبيعات يومية'!$A$2:$A$14001,"&lt;="&amp;'إعدادات المخزون'!$B$4)</f>
        <v>5.25</v>
      </c>
      <c r="H7" s="118" t="n">
        <f aca="false">SUMIFS('مبيعات يومية'!$D$2:$D$14001,'مبيعات يومية'!$C$2:$C$14001,$A7,'مبيعات يومية'!$B$2:$B$14001,'إعدادات المخزون'!$A$17,'مبيعات يومية'!$A$2:$A$14001,'إعدادات المخزون'!$B$4)</f>
        <v>1.5</v>
      </c>
      <c r="I7" s="118" t="n">
        <f aca="false">SUMIFS('مبيعات يومية'!$D$2:$D$14001,'مبيعات يومية'!$C$2:$C$14001,$A7,'مبيعات يومية'!$B$2:$B$14001,'إعدادات المخزون'!$A$17,'مبيعات يومية'!$A$2:$A$14001,"&gt;="&amp;'إعدادات المخزون'!$B$5,'مبيعات يومية'!$A$2:$A$14001,"&lt;="&amp;'إعدادات المخزون'!$B$4)</f>
        <v>18</v>
      </c>
      <c r="J7" s="118" t="n">
        <f aca="false">SUMIFS('مبيعات يومية'!$D$2:$D$14001,'مبيعات يومية'!$C$2:$C$14001,$A7,'مبيعات يومية'!$B$2:$B$14001,'إعدادات المخزون'!$A$17,'مبيعات يومية'!$A$2:$A$14001,"&gt;"&amp;('إعدادات المخزون'!$B$4-'إعدادات المخزون'!$B$11),'مبيعات يومية'!$A$2:$A$14001,"&lt;="&amp;'إعدادات المخزون'!$B$4)</f>
        <v>10.5</v>
      </c>
    </row>
    <row r="8" customFormat="false" ht="15" hidden="false" customHeight="false" outlineLevel="0" collapsed="false">
      <c r="A8" s="116" t="str">
        <f aca="false">المنيو!B8</f>
        <v>بيتزا دبل سلامي / بيبروني وسط</v>
      </c>
      <c r="B8" s="118" t="n">
        <f aca="false">SUMIFS('مبيعات يومية'!$D$2:$D$14001,'مبيعات يومية'!$C$2:$C$14001,$A8,'مبيعات يومية'!$B$2:$B$14001,'إعدادات المخزون'!$A$15,'مبيعات يومية'!$A$2:$A$14001,'إعدادات المخزون'!$B$4)</f>
        <v>4.0833</v>
      </c>
      <c r="C8" s="118" t="n">
        <f aca="false">SUMIFS('مبيعات يومية'!$D$2:$D$14001,'مبيعات يومية'!$C$2:$C$14001,$A8,'مبيعات يومية'!$B$2:$B$14001,'إعدادات المخزون'!$A$15,'مبيعات يومية'!$A$2:$A$14001,"&gt;="&amp;'إعدادات المخزون'!$B$5,'مبيعات يومية'!$A$2:$A$14001,"&lt;="&amp;'إعدادات المخزون'!$B$4)</f>
        <v>48.9996</v>
      </c>
      <c r="D8" s="118" t="n">
        <f aca="false">SUMIFS('مبيعات يومية'!$D$2:$D$14001,'مبيعات يومية'!$C$2:$C$14001,$A8,'مبيعات يومية'!$B$2:$B$14001,'إعدادات المخزون'!$A$15,'مبيعات يومية'!$A$2:$A$14001,"&gt;"&amp;('إعدادات المخزون'!$B$4-'إعدادات المخزون'!$B$11),'مبيعات يومية'!$A$2:$A$14001,"&lt;="&amp;'إعدادات المخزون'!$B$4)</f>
        <v>28.5831</v>
      </c>
      <c r="E8" s="118" t="n">
        <f aca="false">SUMIFS('مبيعات يومية'!$D$2:$D$14001,'مبيعات يومية'!$C$2:$C$14001,$A8,'مبيعات يومية'!$B$2:$B$14001,'إعدادات المخزون'!$A$16,'مبيعات يومية'!$A$2:$A$14001,'إعدادات المخزون'!$B$4)</f>
        <v>3</v>
      </c>
      <c r="F8" s="118" t="n">
        <f aca="false">SUMIFS('مبيعات يومية'!$D$2:$D$14001,'مبيعات يومية'!$C$2:$C$14001,$A8,'مبيعات يومية'!$B$2:$B$14001,'إعدادات المخزون'!$A$16,'مبيعات يومية'!$A$2:$A$14001,"&gt;="&amp;'إعدادات المخزون'!$B$5,'مبيعات يومية'!$A$2:$A$14001,"&lt;="&amp;'إعدادات المخزون'!$B$4)</f>
        <v>36</v>
      </c>
      <c r="G8" s="118" t="n">
        <f aca="false">SUMIFS('مبيعات يومية'!$D$2:$D$14001,'مبيعات يومية'!$C$2:$C$14001,$A8,'مبيعات يومية'!$B$2:$B$14001,'إعدادات المخزون'!$A$16,'مبيعات يومية'!$A$2:$A$14001,"&gt;"&amp;('إعدادات المخزون'!$B$4-'إعدادات المخزون'!$B$11),'مبيعات يومية'!$A$2:$A$14001,"&lt;="&amp;'إعدادات المخزون'!$B$4)</f>
        <v>21</v>
      </c>
      <c r="H8" s="118" t="n">
        <f aca="false">SUMIFS('مبيعات يومية'!$D$2:$D$14001,'مبيعات يومية'!$C$2:$C$14001,$A8,'مبيعات يومية'!$B$2:$B$14001,'إعدادات المخزون'!$A$17,'مبيعات يومية'!$A$2:$A$14001,'إعدادات المخزون'!$B$4)</f>
        <v>2.5</v>
      </c>
      <c r="I8" s="118" t="n">
        <f aca="false">SUMIFS('مبيعات يومية'!$D$2:$D$14001,'مبيعات يومية'!$C$2:$C$14001,$A8,'مبيعات يومية'!$B$2:$B$14001,'إعدادات المخزون'!$A$17,'مبيعات يومية'!$A$2:$A$14001,"&gt;="&amp;'إعدادات المخزون'!$B$5,'مبيعات يومية'!$A$2:$A$14001,"&lt;="&amp;'إعدادات المخزون'!$B$4)</f>
        <v>30</v>
      </c>
      <c r="J8" s="118" t="n">
        <f aca="false">SUMIFS('مبيعات يومية'!$D$2:$D$14001,'مبيعات يومية'!$C$2:$C$14001,$A8,'مبيعات يومية'!$B$2:$B$14001,'إعدادات المخزون'!$A$17,'مبيعات يومية'!$A$2:$A$14001,"&gt;"&amp;('إعدادات المخزون'!$B$4-'إعدادات المخزون'!$B$11),'مبيعات يومية'!$A$2:$A$14001,"&lt;="&amp;'إعدادات المخزون'!$B$4)</f>
        <v>17.5</v>
      </c>
    </row>
    <row r="9" customFormat="false" ht="15" hidden="false" customHeight="false" outlineLevel="0" collapsed="false">
      <c r="A9" s="116" t="str">
        <f aca="false">المنيو!B9</f>
        <v>بيتزا دبل سلامي / بيبروني حجم اكبر</v>
      </c>
      <c r="B9" s="118" t="n">
        <f aca="false">SUMIFS('مبيعات يومية'!$D$2:$D$14001,'مبيعات يومية'!$C$2:$C$14001,$A9,'مبيعات يومية'!$B$2:$B$14001,'إعدادات المخزون'!$A$15,'مبيعات يومية'!$A$2:$A$14001,'إعدادات المخزون'!$B$4)</f>
        <v>0.25</v>
      </c>
      <c r="C9" s="118" t="n">
        <f aca="false">SUMIFS('مبيعات يومية'!$D$2:$D$14001,'مبيعات يومية'!$C$2:$C$14001,$A9,'مبيعات يومية'!$B$2:$B$14001,'إعدادات المخزون'!$A$15,'مبيعات يومية'!$A$2:$A$14001,"&gt;="&amp;'إعدادات المخزون'!$B$5,'مبيعات يومية'!$A$2:$A$14001,"&lt;="&amp;'إعدادات المخزون'!$B$4)</f>
        <v>3</v>
      </c>
      <c r="D9" s="118" t="n">
        <f aca="false">SUMIFS('مبيعات يومية'!$D$2:$D$14001,'مبيعات يومية'!$C$2:$C$14001,$A9,'مبيعات يومية'!$B$2:$B$14001,'إعدادات المخزون'!$A$15,'مبيعات يومية'!$A$2:$A$14001,"&gt;"&amp;('إعدادات المخزون'!$B$4-'إعدادات المخزون'!$B$11),'مبيعات يومية'!$A$2:$A$14001,"&lt;="&amp;'إعدادات المخزون'!$B$4)</f>
        <v>1.75</v>
      </c>
      <c r="E9" s="118" t="n">
        <f aca="false">SUMIFS('مبيعات يومية'!$D$2:$D$14001,'مبيعات يومية'!$C$2:$C$14001,$A9,'مبيعات يومية'!$B$2:$B$14001,'إعدادات المخزون'!$A$16,'مبيعات يومية'!$A$2:$A$14001,'إعدادات المخزون'!$B$4)</f>
        <v>0.3333</v>
      </c>
      <c r="F9" s="118" t="n">
        <f aca="false">SUMIFS('مبيعات يومية'!$D$2:$D$14001,'مبيعات يومية'!$C$2:$C$14001,$A9,'مبيعات يومية'!$B$2:$B$14001,'إعدادات المخزون'!$A$16,'مبيعات يومية'!$A$2:$A$14001,"&gt;="&amp;'إعدادات المخزون'!$B$5,'مبيعات يومية'!$A$2:$A$14001,"&lt;="&amp;'إعدادات المخزون'!$B$4)</f>
        <v>3.9996</v>
      </c>
      <c r="G9" s="118" t="n">
        <f aca="false">SUMIFS('مبيعات يومية'!$D$2:$D$14001,'مبيعات يومية'!$C$2:$C$14001,$A9,'مبيعات يومية'!$B$2:$B$14001,'إعدادات المخزون'!$A$16,'مبيعات يومية'!$A$2:$A$14001,"&gt;"&amp;('إعدادات المخزون'!$B$4-'إعدادات المخزون'!$B$11),'مبيعات يومية'!$A$2:$A$14001,"&lt;="&amp;'إعدادات المخزون'!$B$4)</f>
        <v>2.3331</v>
      </c>
      <c r="H9" s="118" t="n">
        <f aca="false">SUMIFS('مبيعات يومية'!$D$2:$D$14001,'مبيعات يومية'!$C$2:$C$14001,$A9,'مبيعات يومية'!$B$2:$B$14001,'إعدادات المخزون'!$A$17,'مبيعات يومية'!$A$2:$A$14001,'إعدادات المخزون'!$B$4)</f>
        <v>0.3333</v>
      </c>
      <c r="I9" s="118" t="n">
        <f aca="false">SUMIFS('مبيعات يومية'!$D$2:$D$14001,'مبيعات يومية'!$C$2:$C$14001,$A9,'مبيعات يومية'!$B$2:$B$14001,'إعدادات المخزون'!$A$17,'مبيعات يومية'!$A$2:$A$14001,"&gt;="&amp;'إعدادات المخزون'!$B$5,'مبيعات يومية'!$A$2:$A$14001,"&lt;="&amp;'إعدادات المخزون'!$B$4)</f>
        <v>3.9996</v>
      </c>
      <c r="J9" s="118" t="n">
        <f aca="false">SUMIFS('مبيعات يومية'!$D$2:$D$14001,'مبيعات يومية'!$C$2:$C$14001,$A9,'مبيعات يومية'!$B$2:$B$14001,'إعدادات المخزون'!$A$17,'مبيعات يومية'!$A$2:$A$14001,"&gt;"&amp;('إعدادات المخزون'!$B$4-'إعدادات المخزون'!$B$11),'مبيعات يومية'!$A$2:$A$14001,"&lt;="&amp;'إعدادات المخزون'!$B$4)</f>
        <v>2.3331</v>
      </c>
    </row>
    <row r="10" customFormat="false" ht="15" hidden="false" customHeight="false" outlineLevel="0" collapsed="false">
      <c r="A10" s="116" t="str">
        <f aca="false">المنيو!B10</f>
        <v>بيتزا مشكل جبن وسط</v>
      </c>
      <c r="B10" s="118" t="n">
        <f aca="false">SUMIFS('مبيعات يومية'!$D$2:$D$14001,'مبيعات يومية'!$C$2:$C$14001,$A10,'مبيعات يومية'!$B$2:$B$14001,'إعدادات المخزون'!$A$15,'مبيعات يومية'!$A$2:$A$14001,'إعدادات المخزون'!$B$4)</f>
        <v>4.6667</v>
      </c>
      <c r="C10" s="118" t="n">
        <f aca="false">SUMIFS('مبيعات يومية'!$D$2:$D$14001,'مبيعات يومية'!$C$2:$C$14001,$A10,'مبيعات يومية'!$B$2:$B$14001,'إعدادات المخزون'!$A$15,'مبيعات يومية'!$A$2:$A$14001,"&gt;="&amp;'إعدادات المخزون'!$B$5,'مبيعات يومية'!$A$2:$A$14001,"&lt;="&amp;'إعدادات المخزون'!$B$4)</f>
        <v>56.0004</v>
      </c>
      <c r="D10" s="118" t="n">
        <f aca="false">SUMIFS('مبيعات يومية'!$D$2:$D$14001,'مبيعات يومية'!$C$2:$C$14001,$A10,'مبيعات يومية'!$B$2:$B$14001,'إعدادات المخزون'!$A$15,'مبيعات يومية'!$A$2:$A$14001,"&gt;"&amp;('إعدادات المخزون'!$B$4-'إعدادات المخزون'!$B$11),'مبيعات يومية'!$A$2:$A$14001,"&lt;="&amp;'إعدادات المخزون'!$B$4)</f>
        <v>32.6669</v>
      </c>
      <c r="E10" s="118" t="n">
        <f aca="false">SUMIFS('مبيعات يومية'!$D$2:$D$14001,'مبيعات يومية'!$C$2:$C$14001,$A10,'مبيعات يومية'!$B$2:$B$14001,'إعدادات المخزون'!$A$16,'مبيعات يومية'!$A$2:$A$14001,'إعدادات المخزون'!$B$4)</f>
        <v>2.8333</v>
      </c>
      <c r="F10" s="118" t="n">
        <f aca="false">SUMIFS('مبيعات يومية'!$D$2:$D$14001,'مبيعات يومية'!$C$2:$C$14001,$A10,'مبيعات يومية'!$B$2:$B$14001,'إعدادات المخزون'!$A$16,'مبيعات يومية'!$A$2:$A$14001,"&gt;="&amp;'إعدادات المخزون'!$B$5,'مبيعات يومية'!$A$2:$A$14001,"&lt;="&amp;'إعدادات المخزون'!$B$4)</f>
        <v>33.9996</v>
      </c>
      <c r="G10" s="118" t="n">
        <f aca="false">SUMIFS('مبيعات يومية'!$D$2:$D$14001,'مبيعات يومية'!$C$2:$C$14001,$A10,'مبيعات يومية'!$B$2:$B$14001,'إعدادات المخزون'!$A$16,'مبيعات يومية'!$A$2:$A$14001,"&gt;"&amp;('إعدادات المخزون'!$B$4-'إعدادات المخزون'!$B$11),'مبيعات يومية'!$A$2:$A$14001,"&lt;="&amp;'إعدادات المخزون'!$B$4)</f>
        <v>19.8331</v>
      </c>
      <c r="H10" s="118" t="n">
        <f aca="false">SUMIFS('مبيعات يومية'!$D$2:$D$14001,'مبيعات يومية'!$C$2:$C$14001,$A10,'مبيعات يومية'!$B$2:$B$14001,'إعدادات المخزون'!$A$17,'مبيعات يومية'!$A$2:$A$14001,'إعدادات المخزون'!$B$4)</f>
        <v>3.75</v>
      </c>
      <c r="I10" s="118" t="n">
        <f aca="false">SUMIFS('مبيعات يومية'!$D$2:$D$14001,'مبيعات يومية'!$C$2:$C$14001,$A10,'مبيعات يومية'!$B$2:$B$14001,'إعدادات المخزون'!$A$17,'مبيعات يومية'!$A$2:$A$14001,"&gt;="&amp;'إعدادات المخزون'!$B$5,'مبيعات يومية'!$A$2:$A$14001,"&lt;="&amp;'إعدادات المخزون'!$B$4)</f>
        <v>45</v>
      </c>
      <c r="J10" s="118" t="n">
        <f aca="false">SUMIFS('مبيعات يومية'!$D$2:$D$14001,'مبيعات يومية'!$C$2:$C$14001,$A10,'مبيعات يومية'!$B$2:$B$14001,'إعدادات المخزون'!$A$17,'مبيعات يومية'!$A$2:$A$14001,"&gt;"&amp;('إعدادات المخزون'!$B$4-'إعدادات المخزون'!$B$11),'مبيعات يومية'!$A$2:$A$14001,"&lt;="&amp;'إعدادات المخزون'!$B$4)</f>
        <v>26.25</v>
      </c>
    </row>
    <row r="11" customFormat="false" ht="15" hidden="false" customHeight="false" outlineLevel="0" collapsed="false">
      <c r="A11" s="116" t="str">
        <f aca="false">المنيو!B11</f>
        <v>بيتزا مشكل جبن حجم اكبر</v>
      </c>
      <c r="B11" s="118" t="n">
        <f aca="false">SUMIFS('مبيعات يومية'!$D$2:$D$14001,'مبيعات يومية'!$C$2:$C$14001,$A11,'مبيعات يومية'!$B$2:$B$14001,'إعدادات المخزون'!$A$15,'مبيعات يومية'!$A$2:$A$14001,'إعدادات المخزون'!$B$4)</f>
        <v>0.75</v>
      </c>
      <c r="C11" s="118" t="n">
        <f aca="false">SUMIFS('مبيعات يومية'!$D$2:$D$14001,'مبيعات يومية'!$C$2:$C$14001,$A11,'مبيعات يومية'!$B$2:$B$14001,'إعدادات المخزون'!$A$15,'مبيعات يومية'!$A$2:$A$14001,"&gt;="&amp;'إعدادات المخزون'!$B$5,'مبيعات يومية'!$A$2:$A$14001,"&lt;="&amp;'إعدادات المخزون'!$B$4)</f>
        <v>9</v>
      </c>
      <c r="D11" s="118" t="n">
        <f aca="false">SUMIFS('مبيعات يومية'!$D$2:$D$14001,'مبيعات يومية'!$C$2:$C$14001,$A11,'مبيعات يومية'!$B$2:$B$14001,'إعدادات المخزون'!$A$15,'مبيعات يومية'!$A$2:$A$14001,"&gt;"&amp;('إعدادات المخزون'!$B$4-'إعدادات المخزون'!$B$11),'مبيعات يومية'!$A$2:$A$14001,"&lt;="&amp;'إعدادات المخزون'!$B$4)</f>
        <v>5.25</v>
      </c>
      <c r="E11" s="118" t="n">
        <f aca="false">SUMIFS('مبيعات يومية'!$D$2:$D$14001,'مبيعات يومية'!$C$2:$C$14001,$A11,'مبيعات يومية'!$B$2:$B$14001,'إعدادات المخزون'!$A$16,'مبيعات يومية'!$A$2:$A$14001,'إعدادات المخزون'!$B$4)</f>
        <v>0.6667</v>
      </c>
      <c r="F11" s="118" t="n">
        <f aca="false">SUMIFS('مبيعات يومية'!$D$2:$D$14001,'مبيعات يومية'!$C$2:$C$14001,$A11,'مبيعات يومية'!$B$2:$B$14001,'إعدادات المخزون'!$A$16,'مبيعات يومية'!$A$2:$A$14001,"&gt;="&amp;'إعدادات المخزون'!$B$5,'مبيعات يومية'!$A$2:$A$14001,"&lt;="&amp;'إعدادات المخزون'!$B$4)</f>
        <v>8.0004</v>
      </c>
      <c r="G11" s="118" t="n">
        <f aca="false">SUMIFS('مبيعات يومية'!$D$2:$D$14001,'مبيعات يومية'!$C$2:$C$14001,$A11,'مبيعات يومية'!$B$2:$B$14001,'إعدادات المخزون'!$A$16,'مبيعات يومية'!$A$2:$A$14001,"&gt;"&amp;('إعدادات المخزون'!$B$4-'إعدادات المخزون'!$B$11),'مبيعات يومية'!$A$2:$A$14001,"&lt;="&amp;'إعدادات المخزون'!$B$4)</f>
        <v>4.6669</v>
      </c>
      <c r="H11" s="118" t="n">
        <f aca="false">SUMIFS('مبيعات يومية'!$D$2:$D$14001,'مبيعات يومية'!$C$2:$C$14001,$A11,'مبيعات يومية'!$B$2:$B$14001,'إعدادات المخزون'!$A$17,'مبيعات يومية'!$A$2:$A$14001,'إعدادات المخزون'!$B$4)</f>
        <v>1.1667</v>
      </c>
      <c r="I11" s="118" t="n">
        <f aca="false">SUMIFS('مبيعات يومية'!$D$2:$D$14001,'مبيعات يومية'!$C$2:$C$14001,$A11,'مبيعات يومية'!$B$2:$B$14001,'إعدادات المخزون'!$A$17,'مبيعات يومية'!$A$2:$A$14001,"&gt;="&amp;'إعدادات المخزون'!$B$5,'مبيعات يومية'!$A$2:$A$14001,"&lt;="&amp;'إعدادات المخزون'!$B$4)</f>
        <v>14.0004</v>
      </c>
      <c r="J11" s="118" t="n">
        <f aca="false">SUMIFS('مبيعات يومية'!$D$2:$D$14001,'مبيعات يومية'!$C$2:$C$14001,$A11,'مبيعات يومية'!$B$2:$B$14001,'إعدادات المخزون'!$A$17,'مبيعات يومية'!$A$2:$A$14001,"&gt;"&amp;('إعدادات المخزون'!$B$4-'إعدادات المخزون'!$B$11),'مبيعات يومية'!$A$2:$A$14001,"&lt;="&amp;'إعدادات المخزون'!$B$4)</f>
        <v>8.1669</v>
      </c>
    </row>
    <row r="12" customFormat="false" ht="15" hidden="false" customHeight="false" outlineLevel="0" collapsed="false">
      <c r="A12" s="116" t="str">
        <f aca="false">المنيو!B12</f>
        <v>بيتزا فراخ رانش وسط</v>
      </c>
      <c r="B12" s="118" t="n">
        <f aca="false">SUMIFS('مبيعات يومية'!$D$2:$D$14001,'مبيعات يومية'!$C$2:$C$14001,$A12,'مبيعات يومية'!$B$2:$B$14001,'إعدادات المخزون'!$A$15,'مبيعات يومية'!$A$2:$A$14001,'إعدادات المخزون'!$B$4)</f>
        <v>6.4167</v>
      </c>
      <c r="C12" s="118" t="n">
        <f aca="false">SUMIFS('مبيعات يومية'!$D$2:$D$14001,'مبيعات يومية'!$C$2:$C$14001,$A12,'مبيعات يومية'!$B$2:$B$14001,'إعدادات المخزون'!$A$15,'مبيعات يومية'!$A$2:$A$14001,"&gt;="&amp;'إعدادات المخزون'!$B$5,'مبيعات يومية'!$A$2:$A$14001,"&lt;="&amp;'إعدادات المخزون'!$B$4)</f>
        <v>77.0004</v>
      </c>
      <c r="D12" s="118" t="n">
        <f aca="false">SUMIFS('مبيعات يومية'!$D$2:$D$14001,'مبيعات يومية'!$C$2:$C$14001,$A12,'مبيعات يومية'!$B$2:$B$14001,'إعدادات المخزون'!$A$15,'مبيعات يومية'!$A$2:$A$14001,"&gt;"&amp;('إعدادات المخزون'!$B$4-'إعدادات المخزون'!$B$11),'مبيعات يومية'!$A$2:$A$14001,"&lt;="&amp;'إعدادات المخزون'!$B$4)</f>
        <v>44.9169</v>
      </c>
      <c r="E12" s="118" t="n">
        <f aca="false">SUMIFS('مبيعات يومية'!$D$2:$D$14001,'مبيعات يومية'!$C$2:$C$14001,$A12,'مبيعات يومية'!$B$2:$B$14001,'إعدادات المخزون'!$A$16,'مبيعات يومية'!$A$2:$A$14001,'إعدادات المخزون'!$B$4)</f>
        <v>6</v>
      </c>
      <c r="F12" s="118" t="n">
        <f aca="false">SUMIFS('مبيعات يومية'!$D$2:$D$14001,'مبيعات يومية'!$C$2:$C$14001,$A12,'مبيعات يومية'!$B$2:$B$14001,'إعدادات المخزون'!$A$16,'مبيعات يومية'!$A$2:$A$14001,"&gt;="&amp;'إعدادات المخزون'!$B$5,'مبيعات يومية'!$A$2:$A$14001,"&lt;="&amp;'إعدادات المخزون'!$B$4)</f>
        <v>72</v>
      </c>
      <c r="G12" s="118" t="n">
        <f aca="false">SUMIFS('مبيعات يومية'!$D$2:$D$14001,'مبيعات يومية'!$C$2:$C$14001,$A12,'مبيعات يومية'!$B$2:$B$14001,'إعدادات المخزون'!$A$16,'مبيعات يومية'!$A$2:$A$14001,"&gt;"&amp;('إعدادات المخزون'!$B$4-'إعدادات المخزون'!$B$11),'مبيعات يومية'!$A$2:$A$14001,"&lt;="&amp;'إعدادات المخزون'!$B$4)</f>
        <v>42</v>
      </c>
      <c r="H12" s="118" t="n">
        <f aca="false">SUMIFS('مبيعات يومية'!$D$2:$D$14001,'مبيعات يومية'!$C$2:$C$14001,$A12,'مبيعات يومية'!$B$2:$B$14001,'إعدادات المخزون'!$A$17,'مبيعات يومية'!$A$2:$A$14001,'إعدادات المخزون'!$B$4)</f>
        <v>6.25</v>
      </c>
      <c r="I12" s="118" t="n">
        <f aca="false">SUMIFS('مبيعات يومية'!$D$2:$D$14001,'مبيعات يومية'!$C$2:$C$14001,$A12,'مبيعات يومية'!$B$2:$B$14001,'إعدادات المخزون'!$A$17,'مبيعات يومية'!$A$2:$A$14001,"&gt;="&amp;'إعدادات المخزون'!$B$5,'مبيعات يومية'!$A$2:$A$14001,"&lt;="&amp;'إعدادات المخزون'!$B$4)</f>
        <v>75</v>
      </c>
      <c r="J12" s="118" t="n">
        <f aca="false">SUMIFS('مبيعات يومية'!$D$2:$D$14001,'مبيعات يومية'!$C$2:$C$14001,$A12,'مبيعات يومية'!$B$2:$B$14001,'إعدادات المخزون'!$A$17,'مبيعات يومية'!$A$2:$A$14001,"&gt;"&amp;('إعدادات المخزون'!$B$4-'إعدادات المخزون'!$B$11),'مبيعات يومية'!$A$2:$A$14001,"&lt;="&amp;'إعدادات المخزون'!$B$4)</f>
        <v>43.75</v>
      </c>
    </row>
    <row r="13" customFormat="false" ht="15" hidden="false" customHeight="false" outlineLevel="0" collapsed="false">
      <c r="A13" s="116" t="str">
        <f aca="false">المنيو!B13</f>
        <v>بيتزا فراخ رانش حجم اكبر</v>
      </c>
      <c r="B13" s="118" t="n">
        <f aca="false">SUMIFS('مبيعات يومية'!$D$2:$D$14001,'مبيعات يومية'!$C$2:$C$14001,$A13,'مبيعات يومية'!$B$2:$B$14001,'إعدادات المخزون'!$A$15,'مبيعات يومية'!$A$2:$A$14001,'إعدادات المخزون'!$B$4)</f>
        <v>1.3333</v>
      </c>
      <c r="C13" s="118" t="n">
        <f aca="false">SUMIFS('مبيعات يومية'!$D$2:$D$14001,'مبيعات يومية'!$C$2:$C$14001,$A13,'مبيعات يومية'!$B$2:$B$14001,'إعدادات المخزون'!$A$15,'مبيعات يومية'!$A$2:$A$14001,"&gt;="&amp;'إعدادات المخزون'!$B$5,'مبيعات يومية'!$A$2:$A$14001,"&lt;="&amp;'إعدادات المخزون'!$B$4)</f>
        <v>15.9996</v>
      </c>
      <c r="D13" s="118" t="n">
        <f aca="false">SUMIFS('مبيعات يومية'!$D$2:$D$14001,'مبيعات يومية'!$C$2:$C$14001,$A13,'مبيعات يومية'!$B$2:$B$14001,'إعدادات المخزون'!$A$15,'مبيعات يومية'!$A$2:$A$14001,"&gt;"&amp;('إعدادات المخزون'!$B$4-'إعدادات المخزون'!$B$11),'مبيعات يومية'!$A$2:$A$14001,"&lt;="&amp;'إعدادات المخزون'!$B$4)</f>
        <v>9.3331</v>
      </c>
      <c r="E13" s="118" t="n">
        <f aca="false">SUMIFS('مبيعات يومية'!$D$2:$D$14001,'مبيعات يومية'!$C$2:$C$14001,$A13,'مبيعات يومية'!$B$2:$B$14001,'إعدادات المخزون'!$A$16,'مبيعات يومية'!$A$2:$A$14001,'إعدادات المخزون'!$B$4)</f>
        <v>1.8333</v>
      </c>
      <c r="F13" s="118" t="n">
        <f aca="false">SUMIFS('مبيعات يومية'!$D$2:$D$14001,'مبيعات يومية'!$C$2:$C$14001,$A13,'مبيعات يومية'!$B$2:$B$14001,'إعدادات المخزون'!$A$16,'مبيعات يومية'!$A$2:$A$14001,"&gt;="&amp;'إعدادات المخزون'!$B$5,'مبيعات يومية'!$A$2:$A$14001,"&lt;="&amp;'إعدادات المخزون'!$B$4)</f>
        <v>21.9996</v>
      </c>
      <c r="G13" s="118" t="n">
        <f aca="false">SUMIFS('مبيعات يومية'!$D$2:$D$14001,'مبيعات يومية'!$C$2:$C$14001,$A13,'مبيعات يومية'!$B$2:$B$14001,'إعدادات المخزون'!$A$16,'مبيعات يومية'!$A$2:$A$14001,"&gt;"&amp;('إعدادات المخزون'!$B$4-'إعدادات المخزون'!$B$11),'مبيعات يومية'!$A$2:$A$14001,"&lt;="&amp;'إعدادات المخزون'!$B$4)</f>
        <v>12.8331</v>
      </c>
      <c r="H13" s="118" t="n">
        <f aca="false">SUMIFS('مبيعات يومية'!$D$2:$D$14001,'مبيعات يومية'!$C$2:$C$14001,$A13,'مبيعات يومية'!$B$2:$B$14001,'إعدادات المخزون'!$A$17,'مبيعات يومية'!$A$2:$A$14001,'إعدادات المخزون'!$B$4)</f>
        <v>0.75</v>
      </c>
      <c r="I13" s="118" t="n">
        <f aca="false">SUMIFS('مبيعات يومية'!$D$2:$D$14001,'مبيعات يومية'!$C$2:$C$14001,$A13,'مبيعات يومية'!$B$2:$B$14001,'إعدادات المخزون'!$A$17,'مبيعات يومية'!$A$2:$A$14001,"&gt;="&amp;'إعدادات المخزون'!$B$5,'مبيعات يومية'!$A$2:$A$14001,"&lt;="&amp;'إعدادات المخزون'!$B$4)</f>
        <v>9</v>
      </c>
      <c r="J13" s="118" t="n">
        <f aca="false">SUMIFS('مبيعات يومية'!$D$2:$D$14001,'مبيعات يومية'!$C$2:$C$14001,$A13,'مبيعات يومية'!$B$2:$B$14001,'إعدادات المخزون'!$A$17,'مبيعات يومية'!$A$2:$A$14001,"&gt;"&amp;('إعدادات المخزون'!$B$4-'إعدادات المخزون'!$B$11),'مبيعات يومية'!$A$2:$A$14001,"&lt;="&amp;'إعدادات المخزون'!$B$4)</f>
        <v>5.25</v>
      </c>
    </row>
    <row r="14" customFormat="false" ht="15" hidden="false" customHeight="false" outlineLevel="0" collapsed="false">
      <c r="A14" s="116" t="str">
        <f aca="false">المنيو!B14</f>
        <v>بيتزا فراخ باربيكيو وسط</v>
      </c>
      <c r="B14" s="118" t="n">
        <f aca="false">SUMIFS('مبيعات يومية'!$D$2:$D$14001,'مبيعات يومية'!$C$2:$C$14001,$A14,'مبيعات يومية'!$B$2:$B$14001,'إعدادات المخزون'!$A$15,'مبيعات يومية'!$A$2:$A$14001,'إعدادات المخزون'!$B$4)</f>
        <v>1.4167</v>
      </c>
      <c r="C14" s="118" t="n">
        <f aca="false">SUMIFS('مبيعات يومية'!$D$2:$D$14001,'مبيعات يومية'!$C$2:$C$14001,$A14,'مبيعات يومية'!$B$2:$B$14001,'إعدادات المخزون'!$A$15,'مبيعات يومية'!$A$2:$A$14001,"&gt;="&amp;'إعدادات المخزون'!$B$5,'مبيعات يومية'!$A$2:$A$14001,"&lt;="&amp;'إعدادات المخزون'!$B$4)</f>
        <v>17.0004</v>
      </c>
      <c r="D14" s="118" t="n">
        <f aca="false">SUMIFS('مبيعات يومية'!$D$2:$D$14001,'مبيعات يومية'!$C$2:$C$14001,$A14,'مبيعات يومية'!$B$2:$B$14001,'إعدادات المخزون'!$A$15,'مبيعات يومية'!$A$2:$A$14001,"&gt;"&amp;('إعدادات المخزون'!$B$4-'إعدادات المخزون'!$B$11),'مبيعات يومية'!$A$2:$A$14001,"&lt;="&amp;'إعدادات المخزون'!$B$4)</f>
        <v>9.9169</v>
      </c>
      <c r="E14" s="118" t="n">
        <f aca="false">SUMIFS('مبيعات يومية'!$D$2:$D$14001,'مبيعات يومية'!$C$2:$C$14001,$A14,'مبيعات يومية'!$B$2:$B$14001,'إعدادات المخزون'!$A$16,'مبيعات يومية'!$A$2:$A$14001,'إعدادات المخزون'!$B$4)</f>
        <v>1.4167</v>
      </c>
      <c r="F14" s="118" t="n">
        <f aca="false">SUMIFS('مبيعات يومية'!$D$2:$D$14001,'مبيعات يومية'!$C$2:$C$14001,$A14,'مبيعات يومية'!$B$2:$B$14001,'إعدادات المخزون'!$A$16,'مبيعات يومية'!$A$2:$A$14001,"&gt;="&amp;'إعدادات المخزون'!$B$5,'مبيعات يومية'!$A$2:$A$14001,"&lt;="&amp;'إعدادات المخزون'!$B$4)</f>
        <v>17.0004</v>
      </c>
      <c r="G14" s="118" t="n">
        <f aca="false">SUMIFS('مبيعات يومية'!$D$2:$D$14001,'مبيعات يومية'!$C$2:$C$14001,$A14,'مبيعات يومية'!$B$2:$B$14001,'إعدادات المخزون'!$A$16,'مبيعات يومية'!$A$2:$A$14001,"&gt;"&amp;('إعدادات المخزون'!$B$4-'إعدادات المخزون'!$B$11),'مبيعات يومية'!$A$2:$A$14001,"&lt;="&amp;'إعدادات المخزون'!$B$4)</f>
        <v>9.9169</v>
      </c>
      <c r="H14" s="118" t="n">
        <f aca="false">SUMIFS('مبيعات يومية'!$D$2:$D$14001,'مبيعات يومية'!$C$2:$C$14001,$A14,'مبيعات يومية'!$B$2:$B$14001,'إعدادات المخزون'!$A$17,'مبيعات يومية'!$A$2:$A$14001,'إعدادات المخزون'!$B$4)</f>
        <v>1.5</v>
      </c>
      <c r="I14" s="118" t="n">
        <f aca="false">SUMIFS('مبيعات يومية'!$D$2:$D$14001,'مبيعات يومية'!$C$2:$C$14001,$A14,'مبيعات يومية'!$B$2:$B$14001,'إعدادات المخزون'!$A$17,'مبيعات يومية'!$A$2:$A$14001,"&gt;="&amp;'إعدادات المخزون'!$B$5,'مبيعات يومية'!$A$2:$A$14001,"&lt;="&amp;'إعدادات المخزون'!$B$4)</f>
        <v>18</v>
      </c>
      <c r="J14" s="118" t="n">
        <f aca="false">SUMIFS('مبيعات يومية'!$D$2:$D$14001,'مبيعات يومية'!$C$2:$C$14001,$A14,'مبيعات يومية'!$B$2:$B$14001,'إعدادات المخزون'!$A$17,'مبيعات يومية'!$A$2:$A$14001,"&gt;"&amp;('إعدادات المخزون'!$B$4-'إعدادات المخزون'!$B$11),'مبيعات يومية'!$A$2:$A$14001,"&lt;="&amp;'إعدادات المخزون'!$B$4)</f>
        <v>10.5</v>
      </c>
    </row>
    <row r="15" customFormat="false" ht="15" hidden="false" customHeight="false" outlineLevel="0" collapsed="false">
      <c r="A15" s="116" t="str">
        <f aca="false">المنيو!B15</f>
        <v>بيتزا فراخ باربيكيو حجم اكبر</v>
      </c>
      <c r="B15" s="118" t="n">
        <f aca="false">SUMIFS('مبيعات يومية'!$D$2:$D$14001,'مبيعات يومية'!$C$2:$C$14001,$A15,'مبيعات يومية'!$B$2:$B$14001,'إعدادات المخزون'!$A$15,'مبيعات يومية'!$A$2:$A$14001,'إعدادات المخزون'!$B$4)</f>
        <v>0.3333</v>
      </c>
      <c r="C15" s="118" t="n">
        <f aca="false">SUMIFS('مبيعات يومية'!$D$2:$D$14001,'مبيعات يومية'!$C$2:$C$14001,$A15,'مبيعات يومية'!$B$2:$B$14001,'إعدادات المخزون'!$A$15,'مبيعات يومية'!$A$2:$A$14001,"&gt;="&amp;'إعدادات المخزون'!$B$5,'مبيعات يومية'!$A$2:$A$14001,"&lt;="&amp;'إعدادات المخزون'!$B$4)</f>
        <v>3.9996</v>
      </c>
      <c r="D15" s="118" t="n">
        <f aca="false">SUMIFS('مبيعات يومية'!$D$2:$D$14001,'مبيعات يومية'!$C$2:$C$14001,$A15,'مبيعات يومية'!$B$2:$B$14001,'إعدادات المخزون'!$A$15,'مبيعات يومية'!$A$2:$A$14001,"&gt;"&amp;('إعدادات المخزون'!$B$4-'إعدادات المخزون'!$B$11),'مبيعات يومية'!$A$2:$A$14001,"&lt;="&amp;'إعدادات المخزون'!$B$4)</f>
        <v>2.3331</v>
      </c>
      <c r="E15" s="118" t="n">
        <f aca="false">SUMIFS('مبيعات يومية'!$D$2:$D$14001,'مبيعات يومية'!$C$2:$C$14001,$A15,'مبيعات يومية'!$B$2:$B$14001,'إعدادات المخزون'!$A$16,'مبيعات يومية'!$A$2:$A$14001,'إعدادات المخزون'!$B$4)</f>
        <v>0.4167</v>
      </c>
      <c r="F15" s="118" t="n">
        <f aca="false">SUMIFS('مبيعات يومية'!$D$2:$D$14001,'مبيعات يومية'!$C$2:$C$14001,$A15,'مبيعات يومية'!$B$2:$B$14001,'إعدادات المخزون'!$A$16,'مبيعات يومية'!$A$2:$A$14001,"&gt;="&amp;'إعدادات المخزون'!$B$5,'مبيعات يومية'!$A$2:$A$14001,"&lt;="&amp;'إعدادات المخزون'!$B$4)</f>
        <v>5.0004</v>
      </c>
      <c r="G15" s="118" t="n">
        <f aca="false">SUMIFS('مبيعات يومية'!$D$2:$D$14001,'مبيعات يومية'!$C$2:$C$14001,$A15,'مبيعات يومية'!$B$2:$B$14001,'إعدادات المخزون'!$A$16,'مبيعات يومية'!$A$2:$A$14001,"&gt;"&amp;('إعدادات المخزون'!$B$4-'إعدادات المخزون'!$B$11),'مبيعات يومية'!$A$2:$A$14001,"&lt;="&amp;'إعدادات المخزون'!$B$4)</f>
        <v>2.9169</v>
      </c>
      <c r="H15" s="118" t="n">
        <f aca="false">SUMIFS('مبيعات يومية'!$D$2:$D$14001,'مبيعات يومية'!$C$2:$C$14001,$A15,'مبيعات يومية'!$B$2:$B$14001,'إعدادات المخزون'!$A$17,'مبيعات يومية'!$A$2:$A$14001,'إعدادات المخزون'!$B$4)</f>
        <v>0.25</v>
      </c>
      <c r="I15" s="118" t="n">
        <f aca="false">SUMIFS('مبيعات يومية'!$D$2:$D$14001,'مبيعات يومية'!$C$2:$C$14001,$A15,'مبيعات يومية'!$B$2:$B$14001,'إعدادات المخزون'!$A$17,'مبيعات يومية'!$A$2:$A$14001,"&gt;="&amp;'إعدادات المخزون'!$B$5,'مبيعات يومية'!$A$2:$A$14001,"&lt;="&amp;'إعدادات المخزون'!$B$4)</f>
        <v>3</v>
      </c>
      <c r="J15" s="118" t="n">
        <f aca="false">SUMIFS('مبيعات يومية'!$D$2:$D$14001,'مبيعات يومية'!$C$2:$C$14001,$A15,'مبيعات يومية'!$B$2:$B$14001,'إعدادات المخزون'!$A$17,'مبيعات يومية'!$A$2:$A$14001,"&gt;"&amp;('إعدادات المخزون'!$B$4-'إعدادات المخزون'!$B$11),'مبيعات يومية'!$A$2:$A$14001,"&lt;="&amp;'إعدادات المخزون'!$B$4)</f>
        <v>1.75</v>
      </c>
    </row>
    <row r="16" customFormat="false" ht="15" hidden="false" customHeight="false" outlineLevel="0" collapsed="false">
      <c r="A16" s="116" t="str">
        <f aca="false">المنيو!B16</f>
        <v>بيتزا فراخ كريسبي رانش وسط</v>
      </c>
      <c r="B16" s="118" t="n">
        <f aca="false">SUMIFS('مبيعات يومية'!$D$2:$D$14001,'مبيعات يومية'!$C$2:$C$14001,$A16,'مبيعات يومية'!$B$2:$B$14001,'إعدادات المخزون'!$A$15,'مبيعات يومية'!$A$2:$A$14001,'إعدادات المخزون'!$B$4)</f>
        <v>0.5833</v>
      </c>
      <c r="C16" s="118" t="n">
        <f aca="false">SUMIFS('مبيعات يومية'!$D$2:$D$14001,'مبيعات يومية'!$C$2:$C$14001,$A16,'مبيعات يومية'!$B$2:$B$14001,'إعدادات المخزون'!$A$15,'مبيعات يومية'!$A$2:$A$14001,"&gt;="&amp;'إعدادات المخزون'!$B$5,'مبيعات يومية'!$A$2:$A$14001,"&lt;="&amp;'إعدادات المخزون'!$B$4)</f>
        <v>6.9996</v>
      </c>
      <c r="D16" s="118" t="n">
        <f aca="false">SUMIFS('مبيعات يومية'!$D$2:$D$14001,'مبيعات يومية'!$C$2:$C$14001,$A16,'مبيعات يومية'!$B$2:$B$14001,'إعدادات المخزون'!$A$15,'مبيعات يومية'!$A$2:$A$14001,"&gt;"&amp;('إعدادات المخزون'!$B$4-'إعدادات المخزون'!$B$11),'مبيعات يومية'!$A$2:$A$14001,"&lt;="&amp;'إعدادات المخزون'!$B$4)</f>
        <v>4.0831</v>
      </c>
      <c r="E16" s="118" t="n">
        <f aca="false">SUMIFS('مبيعات يومية'!$D$2:$D$14001,'مبيعات يومية'!$C$2:$C$14001,$A16,'مبيعات يومية'!$B$2:$B$14001,'إعدادات المخزون'!$A$16,'مبيعات يومية'!$A$2:$A$14001,'إعدادات المخزون'!$B$4)</f>
        <v>0.75</v>
      </c>
      <c r="F16" s="118" t="n">
        <f aca="false">SUMIFS('مبيعات يومية'!$D$2:$D$14001,'مبيعات يومية'!$C$2:$C$14001,$A16,'مبيعات يومية'!$B$2:$B$14001,'إعدادات المخزون'!$A$16,'مبيعات يومية'!$A$2:$A$14001,"&gt;="&amp;'إعدادات المخزون'!$B$5,'مبيعات يومية'!$A$2:$A$14001,"&lt;="&amp;'إعدادات المخزون'!$B$4)</f>
        <v>9</v>
      </c>
      <c r="G16" s="118" t="n">
        <f aca="false">SUMIFS('مبيعات يومية'!$D$2:$D$14001,'مبيعات يومية'!$C$2:$C$14001,$A16,'مبيعات يومية'!$B$2:$B$14001,'إعدادات المخزون'!$A$16,'مبيعات يومية'!$A$2:$A$14001,"&gt;"&amp;('إعدادات المخزون'!$B$4-'إعدادات المخزون'!$B$11),'مبيعات يومية'!$A$2:$A$14001,"&lt;="&amp;'إعدادات المخزون'!$B$4)</f>
        <v>5.25</v>
      </c>
      <c r="H16" s="118" t="n">
        <f aca="false">SUMIFS('مبيعات يومية'!$D$2:$D$14001,'مبيعات يومية'!$C$2:$C$14001,$A16,'مبيعات يومية'!$B$2:$B$14001,'إعدادات المخزون'!$A$17,'مبيعات يومية'!$A$2:$A$14001,'إعدادات المخزون'!$B$4)</f>
        <v>0.1667</v>
      </c>
      <c r="I16" s="118" t="n">
        <f aca="false">SUMIFS('مبيعات يومية'!$D$2:$D$14001,'مبيعات يومية'!$C$2:$C$14001,$A16,'مبيعات يومية'!$B$2:$B$14001,'إعدادات المخزون'!$A$17,'مبيعات يومية'!$A$2:$A$14001,"&gt;="&amp;'إعدادات المخزون'!$B$5,'مبيعات يومية'!$A$2:$A$14001,"&lt;="&amp;'إعدادات المخزون'!$B$4)</f>
        <v>2.0004</v>
      </c>
      <c r="J16" s="118" t="n">
        <f aca="false">SUMIFS('مبيعات يومية'!$D$2:$D$14001,'مبيعات يومية'!$C$2:$C$14001,$A16,'مبيعات يومية'!$B$2:$B$14001,'إعدادات المخزون'!$A$17,'مبيعات يومية'!$A$2:$A$14001,"&gt;"&amp;('إعدادات المخزون'!$B$4-'إعدادات المخزون'!$B$11),'مبيعات يومية'!$A$2:$A$14001,"&lt;="&amp;'إعدادات المخزون'!$B$4)</f>
        <v>1.1669</v>
      </c>
    </row>
    <row r="17" customFormat="false" ht="15" hidden="false" customHeight="false" outlineLevel="0" collapsed="false">
      <c r="A17" s="116" t="str">
        <f aca="false">المنيو!B17</f>
        <v>بيتزا فراخ كريسبي رانش حجم اكبر</v>
      </c>
      <c r="B17" s="118" t="n">
        <f aca="false">SUMIFS('مبيعات يومية'!$D$2:$D$14001,'مبيعات يومية'!$C$2:$C$14001,$A17,'مبيعات يومية'!$B$2:$B$14001,'إعدادات المخزون'!$A$15,'مبيعات يومية'!$A$2:$A$14001,'إعدادات المخزون'!$B$4)</f>
        <v>0.0833</v>
      </c>
      <c r="C17" s="118" t="n">
        <f aca="false">SUMIFS('مبيعات يومية'!$D$2:$D$14001,'مبيعات يومية'!$C$2:$C$14001,$A17,'مبيعات يومية'!$B$2:$B$14001,'إعدادات المخزون'!$A$15,'مبيعات يومية'!$A$2:$A$14001,"&gt;="&amp;'إعدادات المخزون'!$B$5,'مبيعات يومية'!$A$2:$A$14001,"&lt;="&amp;'إعدادات المخزون'!$B$4)</f>
        <v>0.9996</v>
      </c>
      <c r="D17" s="118" t="n">
        <f aca="false">SUMIFS('مبيعات يومية'!$D$2:$D$14001,'مبيعات يومية'!$C$2:$C$14001,$A17,'مبيعات يومية'!$B$2:$B$14001,'إعدادات المخزون'!$A$15,'مبيعات يومية'!$A$2:$A$14001,"&gt;"&amp;('إعدادات المخزون'!$B$4-'إعدادات المخزون'!$B$11),'مبيعات يومية'!$A$2:$A$14001,"&lt;="&amp;'إعدادات المخزون'!$B$4)</f>
        <v>0.5831</v>
      </c>
      <c r="E17" s="118" t="n">
        <f aca="false">SUMIFS('مبيعات يومية'!$D$2:$D$14001,'مبيعات يومية'!$C$2:$C$14001,$A17,'مبيعات يومية'!$B$2:$B$14001,'إعدادات المخزون'!$A$16,'مبيعات يومية'!$A$2:$A$14001,'إعدادات المخزون'!$B$4)</f>
        <v>0.0833</v>
      </c>
      <c r="F17" s="118" t="n">
        <f aca="false">SUMIFS('مبيعات يومية'!$D$2:$D$14001,'مبيعات يومية'!$C$2:$C$14001,$A17,'مبيعات يومية'!$B$2:$B$14001,'إعدادات المخزون'!$A$16,'مبيعات يومية'!$A$2:$A$14001,"&gt;="&amp;'إعدادات المخزون'!$B$5,'مبيعات يومية'!$A$2:$A$14001,"&lt;="&amp;'إعدادات المخزون'!$B$4)</f>
        <v>0.9996</v>
      </c>
      <c r="G17" s="118" t="n">
        <f aca="false">SUMIFS('مبيعات يومية'!$D$2:$D$14001,'مبيعات يومية'!$C$2:$C$14001,$A17,'مبيعات يومية'!$B$2:$B$14001,'إعدادات المخزون'!$A$16,'مبيعات يومية'!$A$2:$A$14001,"&gt;"&amp;('إعدادات المخزون'!$B$4-'إعدادات المخزون'!$B$11),'مبيعات يومية'!$A$2:$A$14001,"&lt;="&amp;'إعدادات المخزون'!$B$4)</f>
        <v>0.5831</v>
      </c>
      <c r="H17" s="118" t="n">
        <f aca="false">SUMIFS('مبيعات يومية'!$D$2:$D$14001,'مبيعات يومية'!$C$2:$C$14001,$A17,'مبيعات يومية'!$B$2:$B$14001,'إعدادات المخزون'!$A$17,'مبيعات يومية'!$A$2:$A$14001,'إعدادات المخزون'!$B$4)</f>
        <v>0</v>
      </c>
      <c r="I17" s="118" t="n">
        <f aca="false">SUMIFS('مبيعات يومية'!$D$2:$D$14001,'مبيعات يومية'!$C$2:$C$14001,$A17,'مبيعات يومية'!$B$2:$B$14001,'إعدادات المخزون'!$A$17,'مبيعات يومية'!$A$2:$A$14001,"&gt;="&amp;'إعدادات المخزون'!$B$5,'مبيعات يومية'!$A$2:$A$14001,"&lt;="&amp;'إعدادات المخزون'!$B$4)</f>
        <v>0</v>
      </c>
      <c r="J17" s="118" t="n">
        <f aca="false">SUMIFS('مبيعات يومية'!$D$2:$D$14001,'مبيعات يومية'!$C$2:$C$14001,$A17,'مبيعات يومية'!$B$2:$B$14001,'إعدادات المخزون'!$A$17,'مبيعات يومية'!$A$2:$A$14001,"&gt;"&amp;('إعدادات المخزون'!$B$4-'إعدادات المخزون'!$B$11),'مبيعات يومية'!$A$2:$A$14001,"&lt;="&amp;'إعدادات المخزون'!$B$4)</f>
        <v>0</v>
      </c>
    </row>
    <row r="18" customFormat="false" ht="15" hidden="false" customHeight="false" outlineLevel="0" collapsed="false">
      <c r="A18" s="116" t="str">
        <f aca="false">المنيو!B18</f>
        <v>بيتزا فراخ كريسبي شيدر وسط</v>
      </c>
      <c r="B18" s="118" t="n">
        <f aca="false">SUMIFS('مبيعات يومية'!$D$2:$D$14001,'مبيعات يومية'!$C$2:$C$14001,$A18,'مبيعات يومية'!$B$2:$B$14001,'إعدادات المخزون'!$A$15,'مبيعات يومية'!$A$2:$A$14001,'إعدادات المخزون'!$B$4)</f>
        <v>0.1667</v>
      </c>
      <c r="C18" s="118" t="n">
        <f aca="false">SUMIFS('مبيعات يومية'!$D$2:$D$14001,'مبيعات يومية'!$C$2:$C$14001,$A18,'مبيعات يومية'!$B$2:$B$14001,'إعدادات المخزون'!$A$15,'مبيعات يومية'!$A$2:$A$14001,"&gt;="&amp;'إعدادات المخزون'!$B$5,'مبيعات يومية'!$A$2:$A$14001,"&lt;="&amp;'إعدادات المخزون'!$B$4)</f>
        <v>2.0004</v>
      </c>
      <c r="D18" s="118" t="n">
        <f aca="false">SUMIFS('مبيعات يومية'!$D$2:$D$14001,'مبيعات يومية'!$C$2:$C$14001,$A18,'مبيعات يومية'!$B$2:$B$14001,'إعدادات المخزون'!$A$15,'مبيعات يومية'!$A$2:$A$14001,"&gt;"&amp;('إعدادات المخزون'!$B$4-'إعدادات المخزون'!$B$11),'مبيعات يومية'!$A$2:$A$14001,"&lt;="&amp;'إعدادات المخزون'!$B$4)</f>
        <v>1.1669</v>
      </c>
      <c r="E18" s="118" t="n">
        <f aca="false">SUMIFS('مبيعات يومية'!$D$2:$D$14001,'مبيعات يومية'!$C$2:$C$14001,$A18,'مبيعات يومية'!$B$2:$B$14001,'إعدادات المخزون'!$A$16,'مبيعات يومية'!$A$2:$A$14001,'إعدادات المخزون'!$B$4)</f>
        <v>0.1667</v>
      </c>
      <c r="F18" s="118" t="n">
        <f aca="false">SUMIFS('مبيعات يومية'!$D$2:$D$14001,'مبيعات يومية'!$C$2:$C$14001,$A18,'مبيعات يومية'!$B$2:$B$14001,'إعدادات المخزون'!$A$16,'مبيعات يومية'!$A$2:$A$14001,"&gt;="&amp;'إعدادات المخزون'!$B$5,'مبيعات يومية'!$A$2:$A$14001,"&lt;="&amp;'إعدادات المخزون'!$B$4)</f>
        <v>2.0004</v>
      </c>
      <c r="G18" s="118" t="n">
        <f aca="false">SUMIFS('مبيعات يومية'!$D$2:$D$14001,'مبيعات يومية'!$C$2:$C$14001,$A18,'مبيعات يومية'!$B$2:$B$14001,'إعدادات المخزون'!$A$16,'مبيعات يومية'!$A$2:$A$14001,"&gt;"&amp;('إعدادات المخزون'!$B$4-'إعدادات المخزون'!$B$11),'مبيعات يومية'!$A$2:$A$14001,"&lt;="&amp;'إعدادات المخزون'!$B$4)</f>
        <v>1.1669</v>
      </c>
      <c r="H18" s="118" t="n">
        <f aca="false">SUMIFS('مبيعات يومية'!$D$2:$D$14001,'مبيعات يومية'!$C$2:$C$14001,$A18,'مبيعات يومية'!$B$2:$B$14001,'إعدادات المخزون'!$A$17,'مبيعات يومية'!$A$2:$A$14001,'إعدادات المخزون'!$B$4)</f>
        <v>0.25</v>
      </c>
      <c r="I18" s="118" t="n">
        <f aca="false">SUMIFS('مبيعات يومية'!$D$2:$D$14001,'مبيعات يومية'!$C$2:$C$14001,$A18,'مبيعات يومية'!$B$2:$B$14001,'إعدادات المخزون'!$A$17,'مبيعات يومية'!$A$2:$A$14001,"&gt;="&amp;'إعدادات المخزون'!$B$5,'مبيعات يومية'!$A$2:$A$14001,"&lt;="&amp;'إعدادات المخزون'!$B$4)</f>
        <v>3</v>
      </c>
      <c r="J18" s="118" t="n">
        <f aca="false">SUMIFS('مبيعات يومية'!$D$2:$D$14001,'مبيعات يومية'!$C$2:$C$14001,$A18,'مبيعات يومية'!$B$2:$B$14001,'إعدادات المخزون'!$A$17,'مبيعات يومية'!$A$2:$A$14001,"&gt;"&amp;('إعدادات المخزون'!$B$4-'إعدادات المخزون'!$B$11),'مبيعات يومية'!$A$2:$A$14001,"&lt;="&amp;'إعدادات المخزون'!$B$4)</f>
        <v>1.75</v>
      </c>
    </row>
    <row r="19" customFormat="false" ht="15" hidden="false" customHeight="false" outlineLevel="0" collapsed="false">
      <c r="A19" s="116" t="str">
        <f aca="false">المنيو!B19</f>
        <v>بيتزا فراخ كريسبي شيدر حجم اكبر</v>
      </c>
      <c r="B19" s="118" t="n">
        <f aca="false">SUMIFS('مبيعات يومية'!$D$2:$D$14001,'مبيعات يومية'!$C$2:$C$14001,$A19,'مبيعات يومية'!$B$2:$B$14001,'إعدادات المخزون'!$A$15,'مبيعات يومية'!$A$2:$A$14001,'إعدادات المخزون'!$B$4)</f>
        <v>0.0833</v>
      </c>
      <c r="C19" s="118" t="n">
        <f aca="false">SUMIFS('مبيعات يومية'!$D$2:$D$14001,'مبيعات يومية'!$C$2:$C$14001,$A19,'مبيعات يومية'!$B$2:$B$14001,'إعدادات المخزون'!$A$15,'مبيعات يومية'!$A$2:$A$14001,"&gt;="&amp;'إعدادات المخزون'!$B$5,'مبيعات يومية'!$A$2:$A$14001,"&lt;="&amp;'إعدادات المخزون'!$B$4)</f>
        <v>0.9996</v>
      </c>
      <c r="D19" s="118" t="n">
        <f aca="false">SUMIFS('مبيعات يومية'!$D$2:$D$14001,'مبيعات يومية'!$C$2:$C$14001,$A19,'مبيعات يومية'!$B$2:$B$14001,'إعدادات المخزون'!$A$15,'مبيعات يومية'!$A$2:$A$14001,"&gt;"&amp;('إعدادات المخزون'!$B$4-'إعدادات المخزون'!$B$11),'مبيعات يومية'!$A$2:$A$14001,"&lt;="&amp;'إعدادات المخزون'!$B$4)</f>
        <v>0.5831</v>
      </c>
      <c r="E19" s="118" t="n">
        <f aca="false">SUMIFS('مبيعات يومية'!$D$2:$D$14001,'مبيعات يومية'!$C$2:$C$14001,$A19,'مبيعات يومية'!$B$2:$B$14001,'إعدادات المخزون'!$A$16,'مبيعات يومية'!$A$2:$A$14001,'إعدادات المخزون'!$B$4)</f>
        <v>0</v>
      </c>
      <c r="F19" s="118" t="n">
        <f aca="false">SUMIFS('مبيعات يومية'!$D$2:$D$14001,'مبيعات يومية'!$C$2:$C$14001,$A19,'مبيعات يومية'!$B$2:$B$14001,'إعدادات المخزون'!$A$16,'مبيعات يومية'!$A$2:$A$14001,"&gt;="&amp;'إعدادات المخزون'!$B$5,'مبيعات يومية'!$A$2:$A$14001,"&lt;="&amp;'إعدادات المخزون'!$B$4)</f>
        <v>0</v>
      </c>
      <c r="G19" s="118" t="n">
        <f aca="false">SUMIFS('مبيعات يومية'!$D$2:$D$14001,'مبيعات يومية'!$C$2:$C$14001,$A19,'مبيعات يومية'!$B$2:$B$14001,'إعدادات المخزون'!$A$16,'مبيعات يومية'!$A$2:$A$14001,"&gt;"&amp;('إعدادات المخزون'!$B$4-'إعدادات المخزون'!$B$11),'مبيعات يومية'!$A$2:$A$14001,"&lt;="&amp;'إعدادات المخزون'!$B$4)</f>
        <v>0</v>
      </c>
      <c r="H19" s="118" t="n">
        <f aca="false">SUMIFS('مبيعات يومية'!$D$2:$D$14001,'مبيعات يومية'!$C$2:$C$14001,$A19,'مبيعات يومية'!$B$2:$B$14001,'إعدادات المخزون'!$A$17,'مبيعات يومية'!$A$2:$A$14001,'إعدادات المخزون'!$B$4)</f>
        <v>0</v>
      </c>
      <c r="I19" s="118" t="n">
        <f aca="false">SUMIFS('مبيعات يومية'!$D$2:$D$14001,'مبيعات يومية'!$C$2:$C$14001,$A19,'مبيعات يومية'!$B$2:$B$14001,'إعدادات المخزون'!$A$17,'مبيعات يومية'!$A$2:$A$14001,"&gt;="&amp;'إعدادات المخزون'!$B$5,'مبيعات يومية'!$A$2:$A$14001,"&lt;="&amp;'إعدادات المخزون'!$B$4)</f>
        <v>0</v>
      </c>
      <c r="J19" s="118" t="n">
        <f aca="false">SUMIFS('مبيعات يومية'!$D$2:$D$14001,'مبيعات يومية'!$C$2:$C$14001,$A19,'مبيعات يومية'!$B$2:$B$14001,'إعدادات المخزون'!$A$17,'مبيعات يومية'!$A$2:$A$14001,"&gt;"&amp;('إعدادات المخزون'!$B$4-'إعدادات المخزون'!$B$11),'مبيعات يومية'!$A$2:$A$14001,"&lt;="&amp;'إعدادات المخزون'!$B$4)</f>
        <v>0</v>
      </c>
    </row>
    <row r="20" customFormat="false" ht="15" hidden="false" customHeight="false" outlineLevel="0" collapsed="false">
      <c r="A20" s="116" t="str">
        <f aca="false">المنيو!B20</f>
        <v>بيتزا مشكل لحوم النكش وسط</v>
      </c>
      <c r="B20" s="118" t="n">
        <f aca="false">SUMIFS('مبيعات يومية'!$D$2:$D$14001,'مبيعات يومية'!$C$2:$C$14001,$A20,'مبيعات يومية'!$B$2:$B$14001,'إعدادات المخزون'!$A$15,'مبيعات يومية'!$A$2:$A$14001,'إعدادات المخزون'!$B$4)</f>
        <v>0.0833</v>
      </c>
      <c r="C20" s="118" t="n">
        <f aca="false">SUMIFS('مبيعات يومية'!$D$2:$D$14001,'مبيعات يومية'!$C$2:$C$14001,$A20,'مبيعات يومية'!$B$2:$B$14001,'إعدادات المخزون'!$A$15,'مبيعات يومية'!$A$2:$A$14001,"&gt;="&amp;'إعدادات المخزون'!$B$5,'مبيعات يومية'!$A$2:$A$14001,"&lt;="&amp;'إعدادات المخزون'!$B$4)</f>
        <v>0.9996</v>
      </c>
      <c r="D20" s="118" t="n">
        <f aca="false">SUMIFS('مبيعات يومية'!$D$2:$D$14001,'مبيعات يومية'!$C$2:$C$14001,$A20,'مبيعات يومية'!$B$2:$B$14001,'إعدادات المخزون'!$A$15,'مبيعات يومية'!$A$2:$A$14001,"&gt;"&amp;('إعدادات المخزون'!$B$4-'إعدادات المخزون'!$B$11),'مبيعات يومية'!$A$2:$A$14001,"&lt;="&amp;'إعدادات المخزون'!$B$4)</f>
        <v>0.5831</v>
      </c>
      <c r="E20" s="118" t="n">
        <f aca="false">SUMIFS('مبيعات يومية'!$D$2:$D$14001,'مبيعات يومية'!$C$2:$C$14001,$A20,'مبيعات يومية'!$B$2:$B$14001,'إعدادات المخزون'!$A$16,'مبيعات يومية'!$A$2:$A$14001,'إعدادات المخزون'!$B$4)</f>
        <v>0.25</v>
      </c>
      <c r="F20" s="118" t="n">
        <f aca="false">SUMIFS('مبيعات يومية'!$D$2:$D$14001,'مبيعات يومية'!$C$2:$C$14001,$A20,'مبيعات يومية'!$B$2:$B$14001,'إعدادات المخزون'!$A$16,'مبيعات يومية'!$A$2:$A$14001,"&gt;="&amp;'إعدادات المخزون'!$B$5,'مبيعات يومية'!$A$2:$A$14001,"&lt;="&amp;'إعدادات المخزون'!$B$4)</f>
        <v>3</v>
      </c>
      <c r="G20" s="118" t="n">
        <f aca="false">SUMIFS('مبيعات يومية'!$D$2:$D$14001,'مبيعات يومية'!$C$2:$C$14001,$A20,'مبيعات يومية'!$B$2:$B$14001,'إعدادات المخزون'!$A$16,'مبيعات يومية'!$A$2:$A$14001,"&gt;"&amp;('إعدادات المخزون'!$B$4-'إعدادات المخزون'!$B$11),'مبيعات يومية'!$A$2:$A$14001,"&lt;="&amp;'إعدادات المخزون'!$B$4)</f>
        <v>1.75</v>
      </c>
      <c r="H20" s="118" t="n">
        <f aca="false">SUMIFS('مبيعات يومية'!$D$2:$D$14001,'مبيعات يومية'!$C$2:$C$14001,$A20,'مبيعات يومية'!$B$2:$B$14001,'إعدادات المخزون'!$A$17,'مبيعات يومية'!$A$2:$A$14001,'إعدادات المخزون'!$B$4)</f>
        <v>0.25</v>
      </c>
      <c r="I20" s="118" t="n">
        <f aca="false">SUMIFS('مبيعات يومية'!$D$2:$D$14001,'مبيعات يومية'!$C$2:$C$14001,$A20,'مبيعات يومية'!$B$2:$B$14001,'إعدادات المخزون'!$A$17,'مبيعات يومية'!$A$2:$A$14001,"&gt;="&amp;'إعدادات المخزون'!$B$5,'مبيعات يومية'!$A$2:$A$14001,"&lt;="&amp;'إعدادات المخزون'!$B$4)</f>
        <v>3</v>
      </c>
      <c r="J20" s="118" t="n">
        <f aca="false">SUMIFS('مبيعات يومية'!$D$2:$D$14001,'مبيعات يومية'!$C$2:$C$14001,$A20,'مبيعات يومية'!$B$2:$B$14001,'إعدادات المخزون'!$A$17,'مبيعات يومية'!$A$2:$A$14001,"&gt;"&amp;('إعدادات المخزون'!$B$4-'إعدادات المخزون'!$B$11),'مبيعات يومية'!$A$2:$A$14001,"&lt;="&amp;'إعدادات المخزون'!$B$4)</f>
        <v>1.75</v>
      </c>
    </row>
    <row r="21" customFormat="false" ht="15" hidden="false" customHeight="false" outlineLevel="0" collapsed="false">
      <c r="A21" s="116" t="str">
        <f aca="false">المنيو!B21</f>
        <v>بيتزا مشكل لحوم النكش حجم اكبر</v>
      </c>
      <c r="B21" s="118" t="n">
        <f aca="false">SUMIFS('مبيعات يومية'!$D$2:$D$14001,'مبيعات يومية'!$C$2:$C$14001,$A21,'مبيعات يومية'!$B$2:$B$14001,'إعدادات المخزون'!$A$15,'مبيعات يومية'!$A$2:$A$14001,'إعدادات المخزون'!$B$4)</f>
        <v>0</v>
      </c>
      <c r="C21" s="118" t="n">
        <f aca="false">SUMIFS('مبيعات يومية'!$D$2:$D$14001,'مبيعات يومية'!$C$2:$C$14001,$A21,'مبيعات يومية'!$B$2:$B$14001,'إعدادات المخزون'!$A$15,'مبيعات يومية'!$A$2:$A$14001,"&gt;="&amp;'إعدادات المخزون'!$B$5,'مبيعات يومية'!$A$2:$A$14001,"&lt;="&amp;'إعدادات المخزون'!$B$4)</f>
        <v>0</v>
      </c>
      <c r="D21" s="118" t="n">
        <f aca="false">SUMIFS('مبيعات يومية'!$D$2:$D$14001,'مبيعات يومية'!$C$2:$C$14001,$A21,'مبيعات يومية'!$B$2:$B$14001,'إعدادات المخزون'!$A$15,'مبيعات يومية'!$A$2:$A$14001,"&gt;"&amp;('إعدادات المخزون'!$B$4-'إعدادات المخزون'!$B$11),'مبيعات يومية'!$A$2:$A$14001,"&lt;="&amp;'إعدادات المخزون'!$B$4)</f>
        <v>0</v>
      </c>
      <c r="E21" s="118" t="n">
        <f aca="false">SUMIFS('مبيعات يومية'!$D$2:$D$14001,'مبيعات يومية'!$C$2:$C$14001,$A21,'مبيعات يومية'!$B$2:$B$14001,'إعدادات المخزون'!$A$16,'مبيعات يومية'!$A$2:$A$14001,'إعدادات المخزون'!$B$4)</f>
        <v>0</v>
      </c>
      <c r="F21" s="118" t="n">
        <f aca="false">SUMIFS('مبيعات يومية'!$D$2:$D$14001,'مبيعات يومية'!$C$2:$C$14001,$A21,'مبيعات يومية'!$B$2:$B$14001,'إعدادات المخزون'!$A$16,'مبيعات يومية'!$A$2:$A$14001,"&gt;="&amp;'إعدادات المخزون'!$B$5,'مبيعات يومية'!$A$2:$A$14001,"&lt;="&amp;'إعدادات المخزون'!$B$4)</f>
        <v>0</v>
      </c>
      <c r="G21" s="118" t="n">
        <f aca="false">SUMIFS('مبيعات يومية'!$D$2:$D$14001,'مبيعات يومية'!$C$2:$C$14001,$A21,'مبيعات يومية'!$B$2:$B$14001,'إعدادات المخزون'!$A$16,'مبيعات يومية'!$A$2:$A$14001,"&gt;"&amp;('إعدادات المخزون'!$B$4-'إعدادات المخزون'!$B$11),'مبيعات يومية'!$A$2:$A$14001,"&lt;="&amp;'إعدادات المخزون'!$B$4)</f>
        <v>0</v>
      </c>
      <c r="H21" s="118" t="n">
        <f aca="false">SUMIFS('مبيعات يومية'!$D$2:$D$14001,'مبيعات يومية'!$C$2:$C$14001,$A21,'مبيعات يومية'!$B$2:$B$14001,'إعدادات المخزون'!$A$17,'مبيعات يومية'!$A$2:$A$14001,'إعدادات المخزون'!$B$4)</f>
        <v>0.0833</v>
      </c>
      <c r="I21" s="118" t="n">
        <f aca="false">SUMIFS('مبيعات يومية'!$D$2:$D$14001,'مبيعات يومية'!$C$2:$C$14001,$A21,'مبيعات يومية'!$B$2:$B$14001,'إعدادات المخزون'!$A$17,'مبيعات يومية'!$A$2:$A$14001,"&gt;="&amp;'إعدادات المخزون'!$B$5,'مبيعات يومية'!$A$2:$A$14001,"&lt;="&amp;'إعدادات المخزون'!$B$4)</f>
        <v>0.9996</v>
      </c>
      <c r="J21" s="118" t="n">
        <f aca="false">SUMIFS('مبيعات يومية'!$D$2:$D$14001,'مبيعات يومية'!$C$2:$C$14001,$A21,'مبيعات يومية'!$B$2:$B$14001,'إعدادات المخزون'!$A$17,'مبيعات يومية'!$A$2:$A$14001,"&gt;"&amp;('إعدادات المخزون'!$B$4-'إعدادات المخزون'!$B$11),'مبيعات يومية'!$A$2:$A$14001,"&lt;="&amp;'إعدادات المخزون'!$B$4)</f>
        <v>0.5831</v>
      </c>
    </row>
    <row r="22" customFormat="false" ht="15" hidden="false" customHeight="false" outlineLevel="0" collapsed="false">
      <c r="A22" s="116" t="str">
        <f aca="false">المنيو!B22</f>
        <v>بيتزا جمبري وسط</v>
      </c>
      <c r="B22" s="118" t="n">
        <f aca="false">SUMIFS('مبيعات يومية'!$D$2:$D$14001,'مبيعات يومية'!$C$2:$C$14001,$A22,'مبيعات يومية'!$B$2:$B$14001,'إعدادات المخزون'!$A$15,'مبيعات يومية'!$A$2:$A$14001,'إعدادات المخزون'!$B$4)</f>
        <v>0.0833</v>
      </c>
      <c r="C22" s="118" t="n">
        <f aca="false">SUMIFS('مبيعات يومية'!$D$2:$D$14001,'مبيعات يومية'!$C$2:$C$14001,$A22,'مبيعات يومية'!$B$2:$B$14001,'إعدادات المخزون'!$A$15,'مبيعات يومية'!$A$2:$A$14001,"&gt;="&amp;'إعدادات المخزون'!$B$5,'مبيعات يومية'!$A$2:$A$14001,"&lt;="&amp;'إعدادات المخزون'!$B$4)</f>
        <v>0.9996</v>
      </c>
      <c r="D22" s="118" t="n">
        <f aca="false">SUMIFS('مبيعات يومية'!$D$2:$D$14001,'مبيعات يومية'!$C$2:$C$14001,$A22,'مبيعات يومية'!$B$2:$B$14001,'إعدادات المخزون'!$A$15,'مبيعات يومية'!$A$2:$A$14001,"&gt;"&amp;('إعدادات المخزون'!$B$4-'إعدادات المخزون'!$B$11),'مبيعات يومية'!$A$2:$A$14001,"&lt;="&amp;'إعدادات المخزون'!$B$4)</f>
        <v>0.5831</v>
      </c>
      <c r="E22" s="118" t="n">
        <f aca="false">SUMIFS('مبيعات يومية'!$D$2:$D$14001,'مبيعات يومية'!$C$2:$C$14001,$A22,'مبيعات يومية'!$B$2:$B$14001,'إعدادات المخزون'!$A$16,'مبيعات يومية'!$A$2:$A$14001,'إعدادات المخزون'!$B$4)</f>
        <v>0.3333</v>
      </c>
      <c r="F22" s="118" t="n">
        <f aca="false">SUMIFS('مبيعات يومية'!$D$2:$D$14001,'مبيعات يومية'!$C$2:$C$14001,$A22,'مبيعات يومية'!$B$2:$B$14001,'إعدادات المخزون'!$A$16,'مبيعات يومية'!$A$2:$A$14001,"&gt;="&amp;'إعدادات المخزون'!$B$5,'مبيعات يومية'!$A$2:$A$14001,"&lt;="&amp;'إعدادات المخزون'!$B$4)</f>
        <v>3.9996</v>
      </c>
      <c r="G22" s="118" t="n">
        <f aca="false">SUMIFS('مبيعات يومية'!$D$2:$D$14001,'مبيعات يومية'!$C$2:$C$14001,$A22,'مبيعات يومية'!$B$2:$B$14001,'إعدادات المخزون'!$A$16,'مبيعات يومية'!$A$2:$A$14001,"&gt;"&amp;('إعدادات المخزون'!$B$4-'إعدادات المخزون'!$B$11),'مبيعات يومية'!$A$2:$A$14001,"&lt;="&amp;'إعدادات المخزون'!$B$4)</f>
        <v>2.3331</v>
      </c>
      <c r="H22" s="118" t="n">
        <f aca="false">SUMIFS('مبيعات يومية'!$D$2:$D$14001,'مبيعات يومية'!$C$2:$C$14001,$A22,'مبيعات يومية'!$B$2:$B$14001,'إعدادات المخزون'!$A$17,'مبيعات يومية'!$A$2:$A$14001,'إعدادات المخزون'!$B$4)</f>
        <v>0.25</v>
      </c>
      <c r="I22" s="118" t="n">
        <f aca="false">SUMIFS('مبيعات يومية'!$D$2:$D$14001,'مبيعات يومية'!$C$2:$C$14001,$A22,'مبيعات يومية'!$B$2:$B$14001,'إعدادات المخزون'!$A$17,'مبيعات يومية'!$A$2:$A$14001,"&gt;="&amp;'إعدادات المخزون'!$B$5,'مبيعات يومية'!$A$2:$A$14001,"&lt;="&amp;'إعدادات المخزون'!$B$4)</f>
        <v>3</v>
      </c>
      <c r="J22" s="118" t="n">
        <f aca="false">SUMIFS('مبيعات يومية'!$D$2:$D$14001,'مبيعات يومية'!$C$2:$C$14001,$A22,'مبيعات يومية'!$B$2:$B$14001,'إعدادات المخزون'!$A$17,'مبيعات يومية'!$A$2:$A$14001,"&gt;"&amp;('إعدادات المخزون'!$B$4-'إعدادات المخزون'!$B$11),'مبيعات يومية'!$A$2:$A$14001,"&lt;="&amp;'إعدادات المخزون'!$B$4)</f>
        <v>1.75</v>
      </c>
    </row>
    <row r="23" customFormat="false" ht="15" hidden="false" customHeight="false" outlineLevel="0" collapsed="false">
      <c r="A23" s="116" t="str">
        <f aca="false">المنيو!B23</f>
        <v>بيتزا جمبري حجم اكبر</v>
      </c>
      <c r="B23" s="118" t="n">
        <f aca="false">SUMIFS('مبيعات يومية'!$D$2:$D$14001,'مبيعات يومية'!$C$2:$C$14001,$A23,'مبيعات يومية'!$B$2:$B$14001,'إعدادات المخزون'!$A$15,'مبيعات يومية'!$A$2:$A$14001,'إعدادات المخزون'!$B$4)</f>
        <v>0.4167</v>
      </c>
      <c r="C23" s="118" t="n">
        <f aca="false">SUMIFS('مبيعات يومية'!$D$2:$D$14001,'مبيعات يومية'!$C$2:$C$14001,$A23,'مبيعات يومية'!$B$2:$B$14001,'إعدادات المخزون'!$A$15,'مبيعات يومية'!$A$2:$A$14001,"&gt;="&amp;'إعدادات المخزون'!$B$5,'مبيعات يومية'!$A$2:$A$14001,"&lt;="&amp;'إعدادات المخزون'!$B$4)</f>
        <v>5.0004</v>
      </c>
      <c r="D23" s="118" t="n">
        <f aca="false">SUMIFS('مبيعات يومية'!$D$2:$D$14001,'مبيعات يومية'!$C$2:$C$14001,$A23,'مبيعات يومية'!$B$2:$B$14001,'إعدادات المخزون'!$A$15,'مبيعات يومية'!$A$2:$A$14001,"&gt;"&amp;('إعدادات المخزون'!$B$4-'إعدادات المخزون'!$B$11),'مبيعات يومية'!$A$2:$A$14001,"&lt;="&amp;'إعدادات المخزون'!$B$4)</f>
        <v>2.9169</v>
      </c>
      <c r="E23" s="118" t="n">
        <f aca="false">SUMIFS('مبيعات يومية'!$D$2:$D$14001,'مبيعات يومية'!$C$2:$C$14001,$A23,'مبيعات يومية'!$B$2:$B$14001,'إعدادات المخزون'!$A$16,'مبيعات يومية'!$A$2:$A$14001,'إعدادات المخزون'!$B$4)</f>
        <v>0.0833</v>
      </c>
      <c r="F23" s="118" t="n">
        <f aca="false">SUMIFS('مبيعات يومية'!$D$2:$D$14001,'مبيعات يومية'!$C$2:$C$14001,$A23,'مبيعات يومية'!$B$2:$B$14001,'إعدادات المخزون'!$A$16,'مبيعات يومية'!$A$2:$A$14001,"&gt;="&amp;'إعدادات المخزون'!$B$5,'مبيعات يومية'!$A$2:$A$14001,"&lt;="&amp;'إعدادات المخزون'!$B$4)</f>
        <v>0.9996</v>
      </c>
      <c r="G23" s="118" t="n">
        <f aca="false">SUMIFS('مبيعات يومية'!$D$2:$D$14001,'مبيعات يومية'!$C$2:$C$14001,$A23,'مبيعات يومية'!$B$2:$B$14001,'إعدادات المخزون'!$A$16,'مبيعات يومية'!$A$2:$A$14001,"&gt;"&amp;('إعدادات المخزون'!$B$4-'إعدادات المخزون'!$B$11),'مبيعات يومية'!$A$2:$A$14001,"&lt;="&amp;'إعدادات المخزون'!$B$4)</f>
        <v>0.5831</v>
      </c>
      <c r="H23" s="118" t="n">
        <f aca="false">SUMIFS('مبيعات يومية'!$D$2:$D$14001,'مبيعات يومية'!$C$2:$C$14001,$A23,'مبيعات يومية'!$B$2:$B$14001,'إعدادات المخزون'!$A$17,'مبيعات يومية'!$A$2:$A$14001,'إعدادات المخزون'!$B$4)</f>
        <v>0.25</v>
      </c>
      <c r="I23" s="118" t="n">
        <f aca="false">SUMIFS('مبيعات يومية'!$D$2:$D$14001,'مبيعات يومية'!$C$2:$C$14001,$A23,'مبيعات يومية'!$B$2:$B$14001,'إعدادات المخزون'!$A$17,'مبيعات يومية'!$A$2:$A$14001,"&gt;="&amp;'إعدادات المخزون'!$B$5,'مبيعات يومية'!$A$2:$A$14001,"&lt;="&amp;'إعدادات المخزون'!$B$4)</f>
        <v>3</v>
      </c>
      <c r="J23" s="118" t="n">
        <f aca="false">SUMIFS('مبيعات يومية'!$D$2:$D$14001,'مبيعات يومية'!$C$2:$C$14001,$A23,'مبيعات يومية'!$B$2:$B$14001,'إعدادات المخزون'!$A$17,'مبيعات يومية'!$A$2:$A$14001,"&gt;"&amp;('إعدادات المخزون'!$B$4-'إعدادات المخزون'!$B$11),'مبيعات يومية'!$A$2:$A$14001,"&lt;="&amp;'إعدادات المخزون'!$B$4)</f>
        <v>1.75</v>
      </c>
    </row>
    <row r="24" customFormat="false" ht="15" hidden="false" customHeight="false" outlineLevel="0" collapsed="false">
      <c r="A24" s="116" t="str">
        <f aca="false">المنيو!B24</f>
        <v>فطيرة سدق وسط</v>
      </c>
      <c r="B24" s="118" t="n">
        <f aca="false">SUMIFS('مبيعات يومية'!$D$2:$D$14001,'مبيعات يومية'!$C$2:$C$14001,$A24,'مبيعات يومية'!$B$2:$B$14001,'إعدادات المخزون'!$A$15,'مبيعات يومية'!$A$2:$A$14001,'إعدادات المخزون'!$B$4)</f>
        <v>31.4167</v>
      </c>
      <c r="C24" s="118" t="n">
        <f aca="false">SUMIFS('مبيعات يومية'!$D$2:$D$14001,'مبيعات يومية'!$C$2:$C$14001,$A24,'مبيعات يومية'!$B$2:$B$14001,'إعدادات المخزون'!$A$15,'مبيعات يومية'!$A$2:$A$14001,"&gt;="&amp;'إعدادات المخزون'!$B$5,'مبيعات يومية'!$A$2:$A$14001,"&lt;="&amp;'إعدادات المخزون'!$B$4)</f>
        <v>377.0004</v>
      </c>
      <c r="D24" s="118" t="n">
        <f aca="false">SUMIFS('مبيعات يومية'!$D$2:$D$14001,'مبيعات يومية'!$C$2:$C$14001,$A24,'مبيعات يومية'!$B$2:$B$14001,'إعدادات المخزون'!$A$15,'مبيعات يومية'!$A$2:$A$14001,"&gt;"&amp;('إعدادات المخزون'!$B$4-'إعدادات المخزون'!$B$11),'مبيعات يومية'!$A$2:$A$14001,"&lt;="&amp;'إعدادات المخزون'!$B$4)</f>
        <v>219.9169</v>
      </c>
      <c r="E24" s="118" t="n">
        <f aca="false">SUMIFS('مبيعات يومية'!$D$2:$D$14001,'مبيعات يومية'!$C$2:$C$14001,$A24,'مبيعات يومية'!$B$2:$B$14001,'إعدادات المخزون'!$A$16,'مبيعات يومية'!$A$2:$A$14001,'إعدادات المخزون'!$B$4)</f>
        <v>31.4167</v>
      </c>
      <c r="F24" s="118" t="n">
        <f aca="false">SUMIFS('مبيعات يومية'!$D$2:$D$14001,'مبيعات يومية'!$C$2:$C$14001,$A24,'مبيعات يومية'!$B$2:$B$14001,'إعدادات المخزون'!$A$16,'مبيعات يومية'!$A$2:$A$14001,"&gt;="&amp;'إعدادات المخزون'!$B$5,'مبيعات يومية'!$A$2:$A$14001,"&lt;="&amp;'إعدادات المخزون'!$B$4)</f>
        <v>377.0004</v>
      </c>
      <c r="G24" s="118" t="n">
        <f aca="false">SUMIFS('مبيعات يومية'!$D$2:$D$14001,'مبيعات يومية'!$C$2:$C$14001,$A24,'مبيعات يومية'!$B$2:$B$14001,'إعدادات المخزون'!$A$16,'مبيعات يومية'!$A$2:$A$14001,"&gt;"&amp;('إعدادات المخزون'!$B$4-'إعدادات المخزون'!$B$11),'مبيعات يومية'!$A$2:$A$14001,"&lt;="&amp;'إعدادات المخزون'!$B$4)</f>
        <v>219.9169</v>
      </c>
      <c r="H24" s="118" t="n">
        <f aca="false">SUMIFS('مبيعات يومية'!$D$2:$D$14001,'مبيعات يومية'!$C$2:$C$14001,$A24,'مبيعات يومية'!$B$2:$B$14001,'إعدادات المخزون'!$A$17,'مبيعات يومية'!$A$2:$A$14001,'إعدادات المخزون'!$B$4)</f>
        <v>33.0833</v>
      </c>
      <c r="I24" s="118" t="n">
        <f aca="false">SUMIFS('مبيعات يومية'!$D$2:$D$14001,'مبيعات يومية'!$C$2:$C$14001,$A24,'مبيعات يومية'!$B$2:$B$14001,'إعدادات المخزون'!$A$17,'مبيعات يومية'!$A$2:$A$14001,"&gt;="&amp;'إعدادات المخزون'!$B$5,'مبيعات يومية'!$A$2:$A$14001,"&lt;="&amp;'إعدادات المخزون'!$B$4)</f>
        <v>396.9996</v>
      </c>
      <c r="J24" s="118" t="n">
        <f aca="false">SUMIFS('مبيعات يومية'!$D$2:$D$14001,'مبيعات يومية'!$C$2:$C$14001,$A24,'مبيعات يومية'!$B$2:$B$14001,'إعدادات المخزون'!$A$17,'مبيعات يومية'!$A$2:$A$14001,"&gt;"&amp;('إعدادات المخزون'!$B$4-'إعدادات المخزون'!$B$11),'مبيعات يومية'!$A$2:$A$14001,"&lt;="&amp;'إعدادات المخزون'!$B$4)</f>
        <v>231.5831</v>
      </c>
    </row>
    <row r="25" customFormat="false" ht="15" hidden="false" customHeight="false" outlineLevel="0" collapsed="false">
      <c r="A25" s="116" t="str">
        <f aca="false">المنيو!B25</f>
        <v>فطيرة سدق حجم اكبر</v>
      </c>
      <c r="B25" s="118" t="n">
        <f aca="false">SUMIFS('مبيعات يومية'!$D$2:$D$14001,'مبيعات يومية'!$C$2:$C$14001,$A25,'مبيعات يومية'!$B$2:$B$14001,'إعدادات المخزون'!$A$15,'مبيعات يومية'!$A$2:$A$14001,'إعدادات المخزون'!$B$4)</f>
        <v>2.6667</v>
      </c>
      <c r="C25" s="118" t="n">
        <f aca="false">SUMIFS('مبيعات يومية'!$D$2:$D$14001,'مبيعات يومية'!$C$2:$C$14001,$A25,'مبيعات يومية'!$B$2:$B$14001,'إعدادات المخزون'!$A$15,'مبيعات يومية'!$A$2:$A$14001,"&gt;="&amp;'إعدادات المخزون'!$B$5,'مبيعات يومية'!$A$2:$A$14001,"&lt;="&amp;'إعدادات المخزون'!$B$4)</f>
        <v>32.0004</v>
      </c>
      <c r="D25" s="118" t="n">
        <f aca="false">SUMIFS('مبيعات يومية'!$D$2:$D$14001,'مبيعات يومية'!$C$2:$C$14001,$A25,'مبيعات يومية'!$B$2:$B$14001,'إعدادات المخزون'!$A$15,'مبيعات يومية'!$A$2:$A$14001,"&gt;"&amp;('إعدادات المخزون'!$B$4-'إعدادات المخزون'!$B$11),'مبيعات يومية'!$A$2:$A$14001,"&lt;="&amp;'إعدادات المخزون'!$B$4)</f>
        <v>18.6669</v>
      </c>
      <c r="E25" s="118" t="n">
        <f aca="false">SUMIFS('مبيعات يومية'!$D$2:$D$14001,'مبيعات يومية'!$C$2:$C$14001,$A25,'مبيعات يومية'!$B$2:$B$14001,'إعدادات المخزون'!$A$16,'مبيعات يومية'!$A$2:$A$14001,'إعدادات المخزون'!$B$4)</f>
        <v>3.9167</v>
      </c>
      <c r="F25" s="118" t="n">
        <f aca="false">SUMIFS('مبيعات يومية'!$D$2:$D$14001,'مبيعات يومية'!$C$2:$C$14001,$A25,'مبيعات يومية'!$B$2:$B$14001,'إعدادات المخزون'!$A$16,'مبيعات يومية'!$A$2:$A$14001,"&gt;="&amp;'إعدادات المخزون'!$B$5,'مبيعات يومية'!$A$2:$A$14001,"&lt;="&amp;'إعدادات المخزون'!$B$4)</f>
        <v>47.0004</v>
      </c>
      <c r="G25" s="118" t="n">
        <f aca="false">SUMIFS('مبيعات يومية'!$D$2:$D$14001,'مبيعات يومية'!$C$2:$C$14001,$A25,'مبيعات يومية'!$B$2:$B$14001,'إعدادات المخزون'!$A$16,'مبيعات يومية'!$A$2:$A$14001,"&gt;"&amp;('إعدادات المخزون'!$B$4-'إعدادات المخزون'!$B$11),'مبيعات يومية'!$A$2:$A$14001,"&lt;="&amp;'إعدادات المخزون'!$B$4)</f>
        <v>27.4169</v>
      </c>
      <c r="H25" s="118" t="n">
        <f aca="false">SUMIFS('مبيعات يومية'!$D$2:$D$14001,'مبيعات يومية'!$C$2:$C$14001,$A25,'مبيعات يومية'!$B$2:$B$14001,'إعدادات المخزون'!$A$17,'مبيعات يومية'!$A$2:$A$14001,'إعدادات المخزون'!$B$4)</f>
        <v>3.9167</v>
      </c>
      <c r="I25" s="118" t="n">
        <f aca="false">SUMIFS('مبيعات يومية'!$D$2:$D$14001,'مبيعات يومية'!$C$2:$C$14001,$A25,'مبيعات يومية'!$B$2:$B$14001,'إعدادات المخزون'!$A$17,'مبيعات يومية'!$A$2:$A$14001,"&gt;="&amp;'إعدادات المخزون'!$B$5,'مبيعات يومية'!$A$2:$A$14001,"&lt;="&amp;'إعدادات المخزون'!$B$4)</f>
        <v>47.0004</v>
      </c>
      <c r="J25" s="118" t="n">
        <f aca="false">SUMIFS('مبيعات يومية'!$D$2:$D$14001,'مبيعات يومية'!$C$2:$C$14001,$A25,'مبيعات يومية'!$B$2:$B$14001,'إعدادات المخزون'!$A$17,'مبيعات يومية'!$A$2:$A$14001,"&gt;"&amp;('إعدادات المخزون'!$B$4-'إعدادات المخزون'!$B$11),'مبيعات يومية'!$A$2:$A$14001,"&lt;="&amp;'إعدادات المخزون'!$B$4)</f>
        <v>27.4169</v>
      </c>
    </row>
    <row r="26" customFormat="false" ht="15" hidden="false" customHeight="false" outlineLevel="0" collapsed="false">
      <c r="A26" s="116" t="str">
        <f aca="false">المنيو!B26</f>
        <v>فطيرة بسطرمة وسط</v>
      </c>
      <c r="B26" s="118" t="n">
        <f aca="false">SUMIFS('مبيعات يومية'!$D$2:$D$14001,'مبيعات يومية'!$C$2:$C$14001,$A26,'مبيعات يومية'!$B$2:$B$14001,'إعدادات المخزون'!$A$15,'مبيعات يومية'!$A$2:$A$14001,'إعدادات المخزون'!$B$4)</f>
        <v>24.75</v>
      </c>
      <c r="C26" s="118" t="n">
        <f aca="false">SUMIFS('مبيعات يومية'!$D$2:$D$14001,'مبيعات يومية'!$C$2:$C$14001,$A26,'مبيعات يومية'!$B$2:$B$14001,'إعدادات المخزون'!$A$15,'مبيعات يومية'!$A$2:$A$14001,"&gt;="&amp;'إعدادات المخزون'!$B$5,'مبيعات يومية'!$A$2:$A$14001,"&lt;="&amp;'إعدادات المخزون'!$B$4)</f>
        <v>297</v>
      </c>
      <c r="D26" s="118" t="n">
        <f aca="false">SUMIFS('مبيعات يومية'!$D$2:$D$14001,'مبيعات يومية'!$C$2:$C$14001,$A26,'مبيعات يومية'!$B$2:$B$14001,'إعدادات المخزون'!$A$15,'مبيعات يومية'!$A$2:$A$14001,"&gt;"&amp;('إعدادات المخزون'!$B$4-'إعدادات المخزون'!$B$11),'مبيعات يومية'!$A$2:$A$14001,"&lt;="&amp;'إعدادات المخزون'!$B$4)</f>
        <v>173.25</v>
      </c>
      <c r="E26" s="118" t="n">
        <f aca="false">SUMIFS('مبيعات يومية'!$D$2:$D$14001,'مبيعات يومية'!$C$2:$C$14001,$A26,'مبيعات يومية'!$B$2:$B$14001,'إعدادات المخزون'!$A$16,'مبيعات يومية'!$A$2:$A$14001,'إعدادات المخزون'!$B$4)</f>
        <v>22.0833</v>
      </c>
      <c r="F26" s="118" t="n">
        <f aca="false">SUMIFS('مبيعات يومية'!$D$2:$D$14001,'مبيعات يومية'!$C$2:$C$14001,$A26,'مبيعات يومية'!$B$2:$B$14001,'إعدادات المخزون'!$A$16,'مبيعات يومية'!$A$2:$A$14001,"&gt;="&amp;'إعدادات المخزون'!$B$5,'مبيعات يومية'!$A$2:$A$14001,"&lt;="&amp;'إعدادات المخزون'!$B$4)</f>
        <v>264.9996</v>
      </c>
      <c r="G26" s="118" t="n">
        <f aca="false">SUMIFS('مبيعات يومية'!$D$2:$D$14001,'مبيعات يومية'!$C$2:$C$14001,$A26,'مبيعات يومية'!$B$2:$B$14001,'إعدادات المخزون'!$A$16,'مبيعات يومية'!$A$2:$A$14001,"&gt;"&amp;('إعدادات المخزون'!$B$4-'إعدادات المخزون'!$B$11),'مبيعات يومية'!$A$2:$A$14001,"&lt;="&amp;'إعدادات المخزون'!$B$4)</f>
        <v>154.5831</v>
      </c>
      <c r="H26" s="118" t="n">
        <f aca="false">SUMIFS('مبيعات يومية'!$D$2:$D$14001,'مبيعات يومية'!$C$2:$C$14001,$A26,'مبيعات يومية'!$B$2:$B$14001,'إعدادات المخزون'!$A$17,'مبيعات يومية'!$A$2:$A$14001,'إعدادات المخزون'!$B$4)</f>
        <v>26.4167</v>
      </c>
      <c r="I26" s="118" t="n">
        <f aca="false">SUMIFS('مبيعات يومية'!$D$2:$D$14001,'مبيعات يومية'!$C$2:$C$14001,$A26,'مبيعات يومية'!$B$2:$B$14001,'إعدادات المخزون'!$A$17,'مبيعات يومية'!$A$2:$A$14001,"&gt;="&amp;'إعدادات المخزون'!$B$5,'مبيعات يومية'!$A$2:$A$14001,"&lt;="&amp;'إعدادات المخزون'!$B$4)</f>
        <v>317.0004</v>
      </c>
      <c r="J26" s="118" t="n">
        <f aca="false">SUMIFS('مبيعات يومية'!$D$2:$D$14001,'مبيعات يومية'!$C$2:$C$14001,$A26,'مبيعات يومية'!$B$2:$B$14001,'إعدادات المخزون'!$A$17,'مبيعات يومية'!$A$2:$A$14001,"&gt;"&amp;('إعدادات المخزون'!$B$4-'إعدادات المخزون'!$B$11),'مبيعات يومية'!$A$2:$A$14001,"&lt;="&amp;'إعدادات المخزون'!$B$4)</f>
        <v>184.9169</v>
      </c>
    </row>
    <row r="27" customFormat="false" ht="15" hidden="false" customHeight="false" outlineLevel="0" collapsed="false">
      <c r="A27" s="116" t="str">
        <f aca="false">المنيو!B27</f>
        <v>فطيرة بسطرمة حجم اكبر</v>
      </c>
      <c r="B27" s="118" t="n">
        <f aca="false">SUMIFS('مبيعات يومية'!$D$2:$D$14001,'مبيعات يومية'!$C$2:$C$14001,$A27,'مبيعات يومية'!$B$2:$B$14001,'إعدادات المخزون'!$A$15,'مبيعات يومية'!$A$2:$A$14001,'إعدادات المخزون'!$B$4)</f>
        <v>0.75</v>
      </c>
      <c r="C27" s="118" t="n">
        <f aca="false">SUMIFS('مبيعات يومية'!$D$2:$D$14001,'مبيعات يومية'!$C$2:$C$14001,$A27,'مبيعات يومية'!$B$2:$B$14001,'إعدادات المخزون'!$A$15,'مبيعات يومية'!$A$2:$A$14001,"&gt;="&amp;'إعدادات المخزون'!$B$5,'مبيعات يومية'!$A$2:$A$14001,"&lt;="&amp;'إعدادات المخزون'!$B$4)</f>
        <v>9</v>
      </c>
      <c r="D27" s="118" t="n">
        <f aca="false">SUMIFS('مبيعات يومية'!$D$2:$D$14001,'مبيعات يومية'!$C$2:$C$14001,$A27,'مبيعات يومية'!$B$2:$B$14001,'إعدادات المخزون'!$A$15,'مبيعات يومية'!$A$2:$A$14001,"&gt;"&amp;('إعدادات المخزون'!$B$4-'إعدادات المخزون'!$B$11),'مبيعات يومية'!$A$2:$A$14001,"&lt;="&amp;'إعدادات المخزون'!$B$4)</f>
        <v>5.25</v>
      </c>
      <c r="E27" s="118" t="n">
        <f aca="false">SUMIFS('مبيعات يومية'!$D$2:$D$14001,'مبيعات يومية'!$C$2:$C$14001,$A27,'مبيعات يومية'!$B$2:$B$14001,'إعدادات المخزون'!$A$16,'مبيعات يومية'!$A$2:$A$14001,'إعدادات المخزون'!$B$4)</f>
        <v>1.75</v>
      </c>
      <c r="F27" s="118" t="n">
        <f aca="false">SUMIFS('مبيعات يومية'!$D$2:$D$14001,'مبيعات يومية'!$C$2:$C$14001,$A27,'مبيعات يومية'!$B$2:$B$14001,'إعدادات المخزون'!$A$16,'مبيعات يومية'!$A$2:$A$14001,"&gt;="&amp;'إعدادات المخزون'!$B$5,'مبيعات يومية'!$A$2:$A$14001,"&lt;="&amp;'إعدادات المخزون'!$B$4)</f>
        <v>21</v>
      </c>
      <c r="G27" s="118" t="n">
        <f aca="false">SUMIFS('مبيعات يومية'!$D$2:$D$14001,'مبيعات يومية'!$C$2:$C$14001,$A27,'مبيعات يومية'!$B$2:$B$14001,'إعدادات المخزون'!$A$16,'مبيعات يومية'!$A$2:$A$14001,"&gt;"&amp;('إعدادات المخزون'!$B$4-'إعدادات المخزون'!$B$11),'مبيعات يومية'!$A$2:$A$14001,"&lt;="&amp;'إعدادات المخزون'!$B$4)</f>
        <v>12.25</v>
      </c>
      <c r="H27" s="118" t="n">
        <f aca="false">SUMIFS('مبيعات يومية'!$D$2:$D$14001,'مبيعات يومية'!$C$2:$C$14001,$A27,'مبيعات يومية'!$B$2:$B$14001,'إعدادات المخزون'!$A$17,'مبيعات يومية'!$A$2:$A$14001,'إعدادات المخزون'!$B$4)</f>
        <v>1.8333</v>
      </c>
      <c r="I27" s="118" t="n">
        <f aca="false">SUMIFS('مبيعات يومية'!$D$2:$D$14001,'مبيعات يومية'!$C$2:$C$14001,$A27,'مبيعات يومية'!$B$2:$B$14001,'إعدادات المخزون'!$A$17,'مبيعات يومية'!$A$2:$A$14001,"&gt;="&amp;'إعدادات المخزون'!$B$5,'مبيعات يومية'!$A$2:$A$14001,"&lt;="&amp;'إعدادات المخزون'!$B$4)</f>
        <v>21.9996</v>
      </c>
      <c r="J27" s="118" t="n">
        <f aca="false">SUMIFS('مبيعات يومية'!$D$2:$D$14001,'مبيعات يومية'!$C$2:$C$14001,$A27,'مبيعات يومية'!$B$2:$B$14001,'إعدادات المخزون'!$A$17,'مبيعات يومية'!$A$2:$A$14001,"&gt;"&amp;('إعدادات المخزون'!$B$4-'إعدادات المخزون'!$B$11),'مبيعات يومية'!$A$2:$A$14001,"&lt;="&amp;'إعدادات المخزون'!$B$4)</f>
        <v>12.8331</v>
      </c>
    </row>
    <row r="28" customFormat="false" ht="15" hidden="false" customHeight="false" outlineLevel="0" collapsed="false">
      <c r="A28" s="116" t="str">
        <f aca="false">المنيو!B28</f>
        <v>فطيرة ميكس بسطرمة وسدق بالكيري وسط</v>
      </c>
      <c r="B28" s="118" t="n">
        <f aca="false">SUMIFS('مبيعات يومية'!$D$2:$D$14001,'مبيعات يومية'!$C$2:$C$14001,$A28,'مبيعات يومية'!$B$2:$B$14001,'إعدادات المخزون'!$A$15,'مبيعات يومية'!$A$2:$A$14001,'إعدادات المخزون'!$B$4)</f>
        <v>3</v>
      </c>
      <c r="C28" s="118" t="n">
        <f aca="false">SUMIFS('مبيعات يومية'!$D$2:$D$14001,'مبيعات يومية'!$C$2:$C$14001,$A28,'مبيعات يومية'!$B$2:$B$14001,'إعدادات المخزون'!$A$15,'مبيعات يومية'!$A$2:$A$14001,"&gt;="&amp;'إعدادات المخزون'!$B$5,'مبيعات يومية'!$A$2:$A$14001,"&lt;="&amp;'إعدادات المخزون'!$B$4)</f>
        <v>36</v>
      </c>
      <c r="D28" s="118" t="n">
        <f aca="false">SUMIFS('مبيعات يومية'!$D$2:$D$14001,'مبيعات يومية'!$C$2:$C$14001,$A28,'مبيعات يومية'!$B$2:$B$14001,'إعدادات المخزون'!$A$15,'مبيعات يومية'!$A$2:$A$14001,"&gt;"&amp;('إعدادات المخزون'!$B$4-'إعدادات المخزون'!$B$11),'مبيعات يومية'!$A$2:$A$14001,"&lt;="&amp;'إعدادات المخزون'!$B$4)</f>
        <v>21</v>
      </c>
      <c r="E28" s="118" t="n">
        <f aca="false">SUMIFS('مبيعات يومية'!$D$2:$D$14001,'مبيعات يومية'!$C$2:$C$14001,$A28,'مبيعات يومية'!$B$2:$B$14001,'إعدادات المخزون'!$A$16,'مبيعات يومية'!$A$2:$A$14001,'إعدادات المخزون'!$B$4)</f>
        <v>3.25</v>
      </c>
      <c r="F28" s="118" t="n">
        <f aca="false">SUMIFS('مبيعات يومية'!$D$2:$D$14001,'مبيعات يومية'!$C$2:$C$14001,$A28,'مبيعات يومية'!$B$2:$B$14001,'إعدادات المخزون'!$A$16,'مبيعات يومية'!$A$2:$A$14001,"&gt;="&amp;'إعدادات المخزون'!$B$5,'مبيعات يومية'!$A$2:$A$14001,"&lt;="&amp;'إعدادات المخزون'!$B$4)</f>
        <v>39</v>
      </c>
      <c r="G28" s="118" t="n">
        <f aca="false">SUMIFS('مبيعات يومية'!$D$2:$D$14001,'مبيعات يومية'!$C$2:$C$14001,$A28,'مبيعات يومية'!$B$2:$B$14001,'إعدادات المخزون'!$A$16,'مبيعات يومية'!$A$2:$A$14001,"&gt;"&amp;('إعدادات المخزون'!$B$4-'إعدادات المخزون'!$B$11),'مبيعات يومية'!$A$2:$A$14001,"&lt;="&amp;'إعدادات المخزون'!$B$4)</f>
        <v>22.75</v>
      </c>
      <c r="H28" s="118" t="n">
        <f aca="false">SUMIFS('مبيعات يومية'!$D$2:$D$14001,'مبيعات يومية'!$C$2:$C$14001,$A28,'مبيعات يومية'!$B$2:$B$14001,'إعدادات المخزون'!$A$17,'مبيعات يومية'!$A$2:$A$14001,'إعدادات المخزون'!$B$4)</f>
        <v>3</v>
      </c>
      <c r="I28" s="118" t="n">
        <f aca="false">SUMIFS('مبيعات يومية'!$D$2:$D$14001,'مبيعات يومية'!$C$2:$C$14001,$A28,'مبيعات يومية'!$B$2:$B$14001,'إعدادات المخزون'!$A$17,'مبيعات يومية'!$A$2:$A$14001,"&gt;="&amp;'إعدادات المخزون'!$B$5,'مبيعات يومية'!$A$2:$A$14001,"&lt;="&amp;'إعدادات المخزون'!$B$4)</f>
        <v>36</v>
      </c>
      <c r="J28" s="118" t="n">
        <f aca="false">SUMIFS('مبيعات يومية'!$D$2:$D$14001,'مبيعات يومية'!$C$2:$C$14001,$A28,'مبيعات يومية'!$B$2:$B$14001,'إعدادات المخزون'!$A$17,'مبيعات يومية'!$A$2:$A$14001,"&gt;"&amp;('إعدادات المخزون'!$B$4-'إعدادات المخزون'!$B$11),'مبيعات يومية'!$A$2:$A$14001,"&lt;="&amp;'إعدادات المخزون'!$B$4)</f>
        <v>21</v>
      </c>
    </row>
    <row r="29" customFormat="false" ht="15" hidden="false" customHeight="false" outlineLevel="0" collapsed="false">
      <c r="A29" s="116" t="str">
        <f aca="false">المنيو!B29</f>
        <v>فطيرة ميكس بسطرمة وسدق بالكيري حجم اكبر</v>
      </c>
      <c r="B29" s="118" t="n">
        <f aca="false">SUMIFS('مبيعات يومية'!$D$2:$D$14001,'مبيعات يومية'!$C$2:$C$14001,$A29,'مبيعات يومية'!$B$2:$B$14001,'إعدادات المخزون'!$A$15,'مبيعات يومية'!$A$2:$A$14001,'إعدادات المخزون'!$B$4)</f>
        <v>1</v>
      </c>
      <c r="C29" s="118" t="n">
        <f aca="false">SUMIFS('مبيعات يومية'!$D$2:$D$14001,'مبيعات يومية'!$C$2:$C$14001,$A29,'مبيعات يومية'!$B$2:$B$14001,'إعدادات المخزون'!$A$15,'مبيعات يومية'!$A$2:$A$14001,"&gt;="&amp;'إعدادات المخزون'!$B$5,'مبيعات يومية'!$A$2:$A$14001,"&lt;="&amp;'إعدادات المخزون'!$B$4)</f>
        <v>12</v>
      </c>
      <c r="D29" s="118" t="n">
        <f aca="false">SUMIFS('مبيعات يومية'!$D$2:$D$14001,'مبيعات يومية'!$C$2:$C$14001,$A29,'مبيعات يومية'!$B$2:$B$14001,'إعدادات المخزون'!$A$15,'مبيعات يومية'!$A$2:$A$14001,"&gt;"&amp;('إعدادات المخزون'!$B$4-'إعدادات المخزون'!$B$11),'مبيعات يومية'!$A$2:$A$14001,"&lt;="&amp;'إعدادات المخزون'!$B$4)</f>
        <v>7</v>
      </c>
      <c r="E29" s="118" t="n">
        <f aca="false">SUMIFS('مبيعات يومية'!$D$2:$D$14001,'مبيعات يومية'!$C$2:$C$14001,$A29,'مبيعات يومية'!$B$2:$B$14001,'إعدادات المخزون'!$A$16,'مبيعات يومية'!$A$2:$A$14001,'إعدادات المخزون'!$B$4)</f>
        <v>1</v>
      </c>
      <c r="F29" s="118" t="n">
        <f aca="false">SUMIFS('مبيعات يومية'!$D$2:$D$14001,'مبيعات يومية'!$C$2:$C$14001,$A29,'مبيعات يومية'!$B$2:$B$14001,'إعدادات المخزون'!$A$16,'مبيعات يومية'!$A$2:$A$14001,"&gt;="&amp;'إعدادات المخزون'!$B$5,'مبيعات يومية'!$A$2:$A$14001,"&lt;="&amp;'إعدادات المخزون'!$B$4)</f>
        <v>12</v>
      </c>
      <c r="G29" s="118" t="n">
        <f aca="false">SUMIFS('مبيعات يومية'!$D$2:$D$14001,'مبيعات يومية'!$C$2:$C$14001,$A29,'مبيعات يومية'!$B$2:$B$14001,'إعدادات المخزون'!$A$16,'مبيعات يومية'!$A$2:$A$14001,"&gt;"&amp;('إعدادات المخزون'!$B$4-'إعدادات المخزون'!$B$11),'مبيعات يومية'!$A$2:$A$14001,"&lt;="&amp;'إعدادات المخزون'!$B$4)</f>
        <v>7</v>
      </c>
      <c r="H29" s="118" t="n">
        <f aca="false">SUMIFS('مبيعات يومية'!$D$2:$D$14001,'مبيعات يومية'!$C$2:$C$14001,$A29,'مبيعات يومية'!$B$2:$B$14001,'إعدادات المخزون'!$A$17,'مبيعات يومية'!$A$2:$A$14001,'إعدادات المخزون'!$B$4)</f>
        <v>1.0833</v>
      </c>
      <c r="I29" s="118" t="n">
        <f aca="false">SUMIFS('مبيعات يومية'!$D$2:$D$14001,'مبيعات يومية'!$C$2:$C$14001,$A29,'مبيعات يومية'!$B$2:$B$14001,'إعدادات المخزون'!$A$17,'مبيعات يومية'!$A$2:$A$14001,"&gt;="&amp;'إعدادات المخزون'!$B$5,'مبيعات يومية'!$A$2:$A$14001,"&lt;="&amp;'إعدادات المخزون'!$B$4)</f>
        <v>12.9996</v>
      </c>
      <c r="J29" s="118" t="n">
        <f aca="false">SUMIFS('مبيعات يومية'!$D$2:$D$14001,'مبيعات يومية'!$C$2:$C$14001,$A29,'مبيعات يومية'!$B$2:$B$14001,'إعدادات المخزون'!$A$17,'مبيعات يومية'!$A$2:$A$14001,"&gt;"&amp;('إعدادات المخزون'!$B$4-'إعدادات المخزون'!$B$11),'مبيعات يومية'!$A$2:$A$14001,"&lt;="&amp;'إعدادات المخزون'!$B$4)</f>
        <v>7.5831</v>
      </c>
    </row>
    <row r="30" customFormat="false" ht="15" hidden="false" customHeight="false" outlineLevel="0" collapsed="false">
      <c r="A30" s="116" t="str">
        <f aca="false">المنيو!B30</f>
        <v>فطيرة مشكل جبن وسط</v>
      </c>
      <c r="B30" s="118" t="n">
        <f aca="false">SUMIFS('مبيعات يومية'!$D$2:$D$14001,'مبيعات يومية'!$C$2:$C$14001,$A30,'مبيعات يومية'!$B$2:$B$14001,'إعدادات المخزون'!$A$15,'مبيعات يومية'!$A$2:$A$14001,'إعدادات المخزون'!$B$4)</f>
        <v>6.0833</v>
      </c>
      <c r="C30" s="118" t="n">
        <f aca="false">SUMIFS('مبيعات يومية'!$D$2:$D$14001,'مبيعات يومية'!$C$2:$C$14001,$A30,'مبيعات يومية'!$B$2:$B$14001,'إعدادات المخزون'!$A$15,'مبيعات يومية'!$A$2:$A$14001,"&gt;="&amp;'إعدادات المخزون'!$B$5,'مبيعات يومية'!$A$2:$A$14001,"&lt;="&amp;'إعدادات المخزون'!$B$4)</f>
        <v>72.9996</v>
      </c>
      <c r="D30" s="118" t="n">
        <f aca="false">SUMIFS('مبيعات يومية'!$D$2:$D$14001,'مبيعات يومية'!$C$2:$C$14001,$A30,'مبيعات يومية'!$B$2:$B$14001,'إعدادات المخزون'!$A$15,'مبيعات يومية'!$A$2:$A$14001,"&gt;"&amp;('إعدادات المخزون'!$B$4-'إعدادات المخزون'!$B$11),'مبيعات يومية'!$A$2:$A$14001,"&lt;="&amp;'إعدادات المخزون'!$B$4)</f>
        <v>42.5831</v>
      </c>
      <c r="E30" s="118" t="n">
        <f aca="false">SUMIFS('مبيعات يومية'!$D$2:$D$14001,'مبيعات يومية'!$C$2:$C$14001,$A30,'مبيعات يومية'!$B$2:$B$14001,'إعدادات المخزون'!$A$16,'مبيعات يومية'!$A$2:$A$14001,'إعدادات المخزون'!$B$4)</f>
        <v>7.1667</v>
      </c>
      <c r="F30" s="118" t="n">
        <f aca="false">SUMIFS('مبيعات يومية'!$D$2:$D$14001,'مبيعات يومية'!$C$2:$C$14001,$A30,'مبيعات يومية'!$B$2:$B$14001,'إعدادات المخزون'!$A$16,'مبيعات يومية'!$A$2:$A$14001,"&gt;="&amp;'إعدادات المخزون'!$B$5,'مبيعات يومية'!$A$2:$A$14001,"&lt;="&amp;'إعدادات المخزون'!$B$4)</f>
        <v>86.0004</v>
      </c>
      <c r="G30" s="118" t="n">
        <f aca="false">SUMIFS('مبيعات يومية'!$D$2:$D$14001,'مبيعات يومية'!$C$2:$C$14001,$A30,'مبيعات يومية'!$B$2:$B$14001,'إعدادات المخزون'!$A$16,'مبيعات يومية'!$A$2:$A$14001,"&gt;"&amp;('إعدادات المخزون'!$B$4-'إعدادات المخزون'!$B$11),'مبيعات يومية'!$A$2:$A$14001,"&lt;="&amp;'إعدادات المخزون'!$B$4)</f>
        <v>50.1669</v>
      </c>
      <c r="H30" s="118" t="n">
        <f aca="false">SUMIFS('مبيعات يومية'!$D$2:$D$14001,'مبيعات يومية'!$C$2:$C$14001,$A30,'مبيعات يومية'!$B$2:$B$14001,'إعدادات المخزون'!$A$17,'مبيعات يومية'!$A$2:$A$14001,'إعدادات المخزون'!$B$4)</f>
        <v>6.8333</v>
      </c>
      <c r="I30" s="118" t="n">
        <f aca="false">SUMIFS('مبيعات يومية'!$D$2:$D$14001,'مبيعات يومية'!$C$2:$C$14001,$A30,'مبيعات يومية'!$B$2:$B$14001,'إعدادات المخزون'!$A$17,'مبيعات يومية'!$A$2:$A$14001,"&gt;="&amp;'إعدادات المخزون'!$B$5,'مبيعات يومية'!$A$2:$A$14001,"&lt;="&amp;'إعدادات المخزون'!$B$4)</f>
        <v>81.9996</v>
      </c>
      <c r="J30" s="118" t="n">
        <f aca="false">SUMIFS('مبيعات يومية'!$D$2:$D$14001,'مبيعات يومية'!$C$2:$C$14001,$A30,'مبيعات يومية'!$B$2:$B$14001,'إعدادات المخزون'!$A$17,'مبيعات يومية'!$A$2:$A$14001,"&gt;"&amp;('إعدادات المخزون'!$B$4-'إعدادات المخزون'!$B$11),'مبيعات يومية'!$A$2:$A$14001,"&lt;="&amp;'إعدادات المخزون'!$B$4)</f>
        <v>47.8331</v>
      </c>
    </row>
    <row r="31" customFormat="false" ht="15" hidden="false" customHeight="false" outlineLevel="0" collapsed="false">
      <c r="A31" s="116" t="str">
        <f aca="false">المنيو!B31</f>
        <v>فطيرة مشكل جبن حجم اكبر</v>
      </c>
      <c r="B31" s="118" t="n">
        <f aca="false">SUMIFS('مبيعات يومية'!$D$2:$D$14001,'مبيعات يومية'!$C$2:$C$14001,$A31,'مبيعات يومية'!$B$2:$B$14001,'إعدادات المخزون'!$A$15,'مبيعات يومية'!$A$2:$A$14001,'إعدادات المخزون'!$B$4)</f>
        <v>0.6667</v>
      </c>
      <c r="C31" s="118" t="n">
        <f aca="false">SUMIFS('مبيعات يومية'!$D$2:$D$14001,'مبيعات يومية'!$C$2:$C$14001,$A31,'مبيعات يومية'!$B$2:$B$14001,'إعدادات المخزون'!$A$15,'مبيعات يومية'!$A$2:$A$14001,"&gt;="&amp;'إعدادات المخزون'!$B$5,'مبيعات يومية'!$A$2:$A$14001,"&lt;="&amp;'إعدادات المخزون'!$B$4)</f>
        <v>8.0004</v>
      </c>
      <c r="D31" s="118" t="n">
        <f aca="false">SUMIFS('مبيعات يومية'!$D$2:$D$14001,'مبيعات يومية'!$C$2:$C$14001,$A31,'مبيعات يومية'!$B$2:$B$14001,'إعدادات المخزون'!$A$15,'مبيعات يومية'!$A$2:$A$14001,"&gt;"&amp;('إعدادات المخزون'!$B$4-'إعدادات المخزون'!$B$11),'مبيعات يومية'!$A$2:$A$14001,"&lt;="&amp;'إعدادات المخزون'!$B$4)</f>
        <v>4.6669</v>
      </c>
      <c r="E31" s="118" t="n">
        <f aca="false">SUMIFS('مبيعات يومية'!$D$2:$D$14001,'مبيعات يومية'!$C$2:$C$14001,$A31,'مبيعات يومية'!$B$2:$B$14001,'إعدادات المخزون'!$A$16,'مبيعات يومية'!$A$2:$A$14001,'إعدادات المخزون'!$B$4)</f>
        <v>0.8333</v>
      </c>
      <c r="F31" s="118" t="n">
        <f aca="false">SUMIFS('مبيعات يومية'!$D$2:$D$14001,'مبيعات يومية'!$C$2:$C$14001,$A31,'مبيعات يومية'!$B$2:$B$14001,'إعدادات المخزون'!$A$16,'مبيعات يومية'!$A$2:$A$14001,"&gt;="&amp;'إعدادات المخزون'!$B$5,'مبيعات يومية'!$A$2:$A$14001,"&lt;="&amp;'إعدادات المخزون'!$B$4)</f>
        <v>9.9996</v>
      </c>
      <c r="G31" s="118" t="n">
        <f aca="false">SUMIFS('مبيعات يومية'!$D$2:$D$14001,'مبيعات يومية'!$C$2:$C$14001,$A31,'مبيعات يومية'!$B$2:$B$14001,'إعدادات المخزون'!$A$16,'مبيعات يومية'!$A$2:$A$14001,"&gt;"&amp;('إعدادات المخزون'!$B$4-'إعدادات المخزون'!$B$11),'مبيعات يومية'!$A$2:$A$14001,"&lt;="&amp;'إعدادات المخزون'!$B$4)</f>
        <v>5.8331</v>
      </c>
      <c r="H31" s="118" t="n">
        <f aca="false">SUMIFS('مبيعات يومية'!$D$2:$D$14001,'مبيعات يومية'!$C$2:$C$14001,$A31,'مبيعات يومية'!$B$2:$B$14001,'إعدادات المخزون'!$A$17,'مبيعات يومية'!$A$2:$A$14001,'إعدادات المخزون'!$B$4)</f>
        <v>1.5</v>
      </c>
      <c r="I31" s="118" t="n">
        <f aca="false">SUMIFS('مبيعات يومية'!$D$2:$D$14001,'مبيعات يومية'!$C$2:$C$14001,$A31,'مبيعات يومية'!$B$2:$B$14001,'إعدادات المخزون'!$A$17,'مبيعات يومية'!$A$2:$A$14001,"&gt;="&amp;'إعدادات المخزون'!$B$5,'مبيعات يومية'!$A$2:$A$14001,"&lt;="&amp;'إعدادات المخزون'!$B$4)</f>
        <v>18</v>
      </c>
      <c r="J31" s="118" t="n">
        <f aca="false">SUMIFS('مبيعات يومية'!$D$2:$D$14001,'مبيعات يومية'!$C$2:$C$14001,$A31,'مبيعات يومية'!$B$2:$B$14001,'إعدادات المخزون'!$A$17,'مبيعات يومية'!$A$2:$A$14001,"&gt;"&amp;('إعدادات المخزون'!$B$4-'إعدادات المخزون'!$B$11),'مبيعات يومية'!$A$2:$A$14001,"&lt;="&amp;'إعدادات المخزون'!$B$4)</f>
        <v>10.5</v>
      </c>
    </row>
    <row r="32" customFormat="false" ht="15" hidden="false" customHeight="false" outlineLevel="0" collapsed="false">
      <c r="A32" s="116" t="str">
        <f aca="false">المنيو!B32</f>
        <v>فطيرة فراخ رانش وسط</v>
      </c>
      <c r="B32" s="118" t="n">
        <f aca="false">SUMIFS('مبيعات يومية'!$D$2:$D$14001,'مبيعات يومية'!$C$2:$C$14001,$A32,'مبيعات يومية'!$B$2:$B$14001,'إعدادات المخزون'!$A$15,'مبيعات يومية'!$A$2:$A$14001,'إعدادات المخزون'!$B$4)</f>
        <v>5.25</v>
      </c>
      <c r="C32" s="118" t="n">
        <f aca="false">SUMIFS('مبيعات يومية'!$D$2:$D$14001,'مبيعات يومية'!$C$2:$C$14001,$A32,'مبيعات يومية'!$B$2:$B$14001,'إعدادات المخزون'!$A$15,'مبيعات يومية'!$A$2:$A$14001,"&gt;="&amp;'إعدادات المخزون'!$B$5,'مبيعات يومية'!$A$2:$A$14001,"&lt;="&amp;'إعدادات المخزون'!$B$4)</f>
        <v>63</v>
      </c>
      <c r="D32" s="118" t="n">
        <f aca="false">SUMIFS('مبيعات يومية'!$D$2:$D$14001,'مبيعات يومية'!$C$2:$C$14001,$A32,'مبيعات يومية'!$B$2:$B$14001,'إعدادات المخزون'!$A$15,'مبيعات يومية'!$A$2:$A$14001,"&gt;"&amp;('إعدادات المخزون'!$B$4-'إعدادات المخزون'!$B$11),'مبيعات يومية'!$A$2:$A$14001,"&lt;="&amp;'إعدادات المخزون'!$B$4)</f>
        <v>36.75</v>
      </c>
      <c r="E32" s="118" t="n">
        <f aca="false">SUMIFS('مبيعات يومية'!$D$2:$D$14001,'مبيعات يومية'!$C$2:$C$14001,$A32,'مبيعات يومية'!$B$2:$B$14001,'إعدادات المخزون'!$A$16,'مبيعات يومية'!$A$2:$A$14001,'إعدادات المخزون'!$B$4)</f>
        <v>3.5833</v>
      </c>
      <c r="F32" s="118" t="n">
        <f aca="false">SUMIFS('مبيعات يومية'!$D$2:$D$14001,'مبيعات يومية'!$C$2:$C$14001,$A32,'مبيعات يومية'!$B$2:$B$14001,'إعدادات المخزون'!$A$16,'مبيعات يومية'!$A$2:$A$14001,"&gt;="&amp;'إعدادات المخزون'!$B$5,'مبيعات يومية'!$A$2:$A$14001,"&lt;="&amp;'إعدادات المخزون'!$B$4)</f>
        <v>42.9996</v>
      </c>
      <c r="G32" s="118" t="n">
        <f aca="false">SUMIFS('مبيعات يومية'!$D$2:$D$14001,'مبيعات يومية'!$C$2:$C$14001,$A32,'مبيعات يومية'!$B$2:$B$14001,'إعدادات المخزون'!$A$16,'مبيعات يومية'!$A$2:$A$14001,"&gt;"&amp;('إعدادات المخزون'!$B$4-'إعدادات المخزون'!$B$11),'مبيعات يومية'!$A$2:$A$14001,"&lt;="&amp;'إعدادات المخزون'!$B$4)</f>
        <v>25.0831</v>
      </c>
      <c r="H32" s="118" t="n">
        <f aca="false">SUMIFS('مبيعات يومية'!$D$2:$D$14001,'مبيعات يومية'!$C$2:$C$14001,$A32,'مبيعات يومية'!$B$2:$B$14001,'إعدادات المخزون'!$A$17,'مبيعات يومية'!$A$2:$A$14001,'إعدادات المخزون'!$B$4)</f>
        <v>6.6667</v>
      </c>
      <c r="I32" s="118" t="n">
        <f aca="false">SUMIFS('مبيعات يومية'!$D$2:$D$14001,'مبيعات يومية'!$C$2:$C$14001,$A32,'مبيعات يومية'!$B$2:$B$14001,'إعدادات المخزون'!$A$17,'مبيعات يومية'!$A$2:$A$14001,"&gt;="&amp;'إعدادات المخزون'!$B$5,'مبيعات يومية'!$A$2:$A$14001,"&lt;="&amp;'إعدادات المخزون'!$B$4)</f>
        <v>80.0004</v>
      </c>
      <c r="J32" s="118" t="n">
        <f aca="false">SUMIFS('مبيعات يومية'!$D$2:$D$14001,'مبيعات يومية'!$C$2:$C$14001,$A32,'مبيعات يومية'!$B$2:$B$14001,'إعدادات المخزون'!$A$17,'مبيعات يومية'!$A$2:$A$14001,"&gt;"&amp;('إعدادات المخزون'!$B$4-'إعدادات المخزون'!$B$11),'مبيعات يومية'!$A$2:$A$14001,"&lt;="&amp;'إعدادات المخزون'!$B$4)</f>
        <v>46.6669</v>
      </c>
    </row>
    <row r="33" customFormat="false" ht="15" hidden="false" customHeight="false" outlineLevel="0" collapsed="false">
      <c r="A33" s="116" t="str">
        <f aca="false">المنيو!B33</f>
        <v>فطيرة فراخ رانش حجم اكبر</v>
      </c>
      <c r="B33" s="118" t="n">
        <f aca="false">SUMIFS('مبيعات يومية'!$D$2:$D$14001,'مبيعات يومية'!$C$2:$C$14001,$A33,'مبيعات يومية'!$B$2:$B$14001,'إعدادات المخزون'!$A$15,'مبيعات يومية'!$A$2:$A$14001,'إعدادات المخزون'!$B$4)</f>
        <v>0.6667</v>
      </c>
      <c r="C33" s="118" t="n">
        <f aca="false">SUMIFS('مبيعات يومية'!$D$2:$D$14001,'مبيعات يومية'!$C$2:$C$14001,$A33,'مبيعات يومية'!$B$2:$B$14001,'إعدادات المخزون'!$A$15,'مبيعات يومية'!$A$2:$A$14001,"&gt;="&amp;'إعدادات المخزون'!$B$5,'مبيعات يومية'!$A$2:$A$14001,"&lt;="&amp;'إعدادات المخزون'!$B$4)</f>
        <v>8.0004</v>
      </c>
      <c r="D33" s="118" t="n">
        <f aca="false">SUMIFS('مبيعات يومية'!$D$2:$D$14001,'مبيعات يومية'!$C$2:$C$14001,$A33,'مبيعات يومية'!$B$2:$B$14001,'إعدادات المخزون'!$A$15,'مبيعات يومية'!$A$2:$A$14001,"&gt;"&amp;('إعدادات المخزون'!$B$4-'إعدادات المخزون'!$B$11),'مبيعات يومية'!$A$2:$A$14001,"&lt;="&amp;'إعدادات المخزون'!$B$4)</f>
        <v>4.6669</v>
      </c>
      <c r="E33" s="118" t="n">
        <f aca="false">SUMIFS('مبيعات يومية'!$D$2:$D$14001,'مبيعات يومية'!$C$2:$C$14001,$A33,'مبيعات يومية'!$B$2:$B$14001,'إعدادات المخزون'!$A$16,'مبيعات يومية'!$A$2:$A$14001,'إعدادات المخزون'!$B$4)</f>
        <v>0.75</v>
      </c>
      <c r="F33" s="118" t="n">
        <f aca="false">SUMIFS('مبيعات يومية'!$D$2:$D$14001,'مبيعات يومية'!$C$2:$C$14001,$A33,'مبيعات يومية'!$B$2:$B$14001,'إعدادات المخزون'!$A$16,'مبيعات يومية'!$A$2:$A$14001,"&gt;="&amp;'إعدادات المخزون'!$B$5,'مبيعات يومية'!$A$2:$A$14001,"&lt;="&amp;'إعدادات المخزون'!$B$4)</f>
        <v>9</v>
      </c>
      <c r="G33" s="118" t="n">
        <f aca="false">SUMIFS('مبيعات يومية'!$D$2:$D$14001,'مبيعات يومية'!$C$2:$C$14001,$A33,'مبيعات يومية'!$B$2:$B$14001,'إعدادات المخزون'!$A$16,'مبيعات يومية'!$A$2:$A$14001,"&gt;"&amp;('إعدادات المخزون'!$B$4-'إعدادات المخزون'!$B$11),'مبيعات يومية'!$A$2:$A$14001,"&lt;="&amp;'إعدادات المخزون'!$B$4)</f>
        <v>5.25</v>
      </c>
      <c r="H33" s="118" t="n">
        <f aca="false">SUMIFS('مبيعات يومية'!$D$2:$D$14001,'مبيعات يومية'!$C$2:$C$14001,$A33,'مبيعات يومية'!$B$2:$B$14001,'إعدادات المخزون'!$A$17,'مبيعات يومية'!$A$2:$A$14001,'إعدادات المخزون'!$B$4)</f>
        <v>0.5833</v>
      </c>
      <c r="I33" s="118" t="n">
        <f aca="false">SUMIFS('مبيعات يومية'!$D$2:$D$14001,'مبيعات يومية'!$C$2:$C$14001,$A33,'مبيعات يومية'!$B$2:$B$14001,'إعدادات المخزون'!$A$17,'مبيعات يومية'!$A$2:$A$14001,"&gt;="&amp;'إعدادات المخزون'!$B$5,'مبيعات يومية'!$A$2:$A$14001,"&lt;="&amp;'إعدادات المخزون'!$B$4)</f>
        <v>6.9996</v>
      </c>
      <c r="J33" s="118" t="n">
        <f aca="false">SUMIFS('مبيعات يومية'!$D$2:$D$14001,'مبيعات يومية'!$C$2:$C$14001,$A33,'مبيعات يومية'!$B$2:$B$14001,'إعدادات المخزون'!$A$17,'مبيعات يومية'!$A$2:$A$14001,"&gt;"&amp;('إعدادات المخزون'!$B$4-'إعدادات المخزون'!$B$11),'مبيعات يومية'!$A$2:$A$14001,"&lt;="&amp;'إعدادات المخزون'!$B$4)</f>
        <v>4.0831</v>
      </c>
    </row>
    <row r="34" customFormat="false" ht="15" hidden="false" customHeight="false" outlineLevel="0" collapsed="false">
      <c r="A34" s="116" t="str">
        <f aca="false">المنيو!B34</f>
        <v>فطيرة فراخ باربيكيو وسط</v>
      </c>
      <c r="B34" s="118" t="n">
        <f aca="false">SUMIFS('مبيعات يومية'!$D$2:$D$14001,'مبيعات يومية'!$C$2:$C$14001,$A34,'مبيعات يومية'!$B$2:$B$14001,'إعدادات المخزون'!$A$15,'مبيعات يومية'!$A$2:$A$14001,'إعدادات المخزون'!$B$4)</f>
        <v>0.25</v>
      </c>
      <c r="C34" s="118" t="n">
        <f aca="false">SUMIFS('مبيعات يومية'!$D$2:$D$14001,'مبيعات يومية'!$C$2:$C$14001,$A34,'مبيعات يومية'!$B$2:$B$14001,'إعدادات المخزون'!$A$15,'مبيعات يومية'!$A$2:$A$14001,"&gt;="&amp;'إعدادات المخزون'!$B$5,'مبيعات يومية'!$A$2:$A$14001,"&lt;="&amp;'إعدادات المخزون'!$B$4)</f>
        <v>3</v>
      </c>
      <c r="D34" s="118" t="n">
        <f aca="false">SUMIFS('مبيعات يومية'!$D$2:$D$14001,'مبيعات يومية'!$C$2:$C$14001,$A34,'مبيعات يومية'!$B$2:$B$14001,'إعدادات المخزون'!$A$15,'مبيعات يومية'!$A$2:$A$14001,"&gt;"&amp;('إعدادات المخزون'!$B$4-'إعدادات المخزون'!$B$11),'مبيعات يومية'!$A$2:$A$14001,"&lt;="&amp;'إعدادات المخزون'!$B$4)</f>
        <v>1.75</v>
      </c>
      <c r="E34" s="118" t="n">
        <f aca="false">SUMIFS('مبيعات يومية'!$D$2:$D$14001,'مبيعات يومية'!$C$2:$C$14001,$A34,'مبيعات يومية'!$B$2:$B$14001,'إعدادات المخزون'!$A$16,'مبيعات يومية'!$A$2:$A$14001,'إعدادات المخزون'!$B$4)</f>
        <v>0.5833</v>
      </c>
      <c r="F34" s="118" t="n">
        <f aca="false">SUMIFS('مبيعات يومية'!$D$2:$D$14001,'مبيعات يومية'!$C$2:$C$14001,$A34,'مبيعات يومية'!$B$2:$B$14001,'إعدادات المخزون'!$A$16,'مبيعات يومية'!$A$2:$A$14001,"&gt;="&amp;'إعدادات المخزون'!$B$5,'مبيعات يومية'!$A$2:$A$14001,"&lt;="&amp;'إعدادات المخزون'!$B$4)</f>
        <v>6.9996</v>
      </c>
      <c r="G34" s="118" t="n">
        <f aca="false">SUMIFS('مبيعات يومية'!$D$2:$D$14001,'مبيعات يومية'!$C$2:$C$14001,$A34,'مبيعات يومية'!$B$2:$B$14001,'إعدادات المخزون'!$A$16,'مبيعات يومية'!$A$2:$A$14001,"&gt;"&amp;('إعدادات المخزون'!$B$4-'إعدادات المخزون'!$B$11),'مبيعات يومية'!$A$2:$A$14001,"&lt;="&amp;'إعدادات المخزون'!$B$4)</f>
        <v>4.0831</v>
      </c>
      <c r="H34" s="118" t="n">
        <f aca="false">SUMIFS('مبيعات يومية'!$D$2:$D$14001,'مبيعات يومية'!$C$2:$C$14001,$A34,'مبيعات يومية'!$B$2:$B$14001,'إعدادات المخزون'!$A$17,'مبيعات يومية'!$A$2:$A$14001,'إعدادات المخزون'!$B$4)</f>
        <v>0.1667</v>
      </c>
      <c r="I34" s="118" t="n">
        <f aca="false">SUMIFS('مبيعات يومية'!$D$2:$D$14001,'مبيعات يومية'!$C$2:$C$14001,$A34,'مبيعات يومية'!$B$2:$B$14001,'إعدادات المخزون'!$A$17,'مبيعات يومية'!$A$2:$A$14001,"&gt;="&amp;'إعدادات المخزون'!$B$5,'مبيعات يومية'!$A$2:$A$14001,"&lt;="&amp;'إعدادات المخزون'!$B$4)</f>
        <v>2.0004</v>
      </c>
      <c r="J34" s="118" t="n">
        <f aca="false">SUMIFS('مبيعات يومية'!$D$2:$D$14001,'مبيعات يومية'!$C$2:$C$14001,$A34,'مبيعات يومية'!$B$2:$B$14001,'إعدادات المخزون'!$A$17,'مبيعات يومية'!$A$2:$A$14001,"&gt;"&amp;('إعدادات المخزون'!$B$4-'إعدادات المخزون'!$B$11),'مبيعات يومية'!$A$2:$A$14001,"&lt;="&amp;'إعدادات المخزون'!$B$4)</f>
        <v>1.1669</v>
      </c>
    </row>
    <row r="35" customFormat="false" ht="15" hidden="false" customHeight="false" outlineLevel="0" collapsed="false">
      <c r="A35" s="116" t="str">
        <f aca="false">المنيو!B35</f>
        <v>فطيرة فراخ باربيكيو حجم اكبر</v>
      </c>
      <c r="B35" s="118" t="n">
        <f aca="false">SUMIFS('مبيعات يومية'!$D$2:$D$14001,'مبيعات يومية'!$C$2:$C$14001,$A35,'مبيعات يومية'!$B$2:$B$14001,'إعدادات المخزون'!$A$15,'مبيعات يومية'!$A$2:$A$14001,'إعدادات المخزون'!$B$4)</f>
        <v>0.1667</v>
      </c>
      <c r="C35" s="118" t="n">
        <f aca="false">SUMIFS('مبيعات يومية'!$D$2:$D$14001,'مبيعات يومية'!$C$2:$C$14001,$A35,'مبيعات يومية'!$B$2:$B$14001,'إعدادات المخزون'!$A$15,'مبيعات يومية'!$A$2:$A$14001,"&gt;="&amp;'إعدادات المخزون'!$B$5,'مبيعات يومية'!$A$2:$A$14001,"&lt;="&amp;'إعدادات المخزون'!$B$4)</f>
        <v>2.0004</v>
      </c>
      <c r="D35" s="118" t="n">
        <f aca="false">SUMIFS('مبيعات يومية'!$D$2:$D$14001,'مبيعات يومية'!$C$2:$C$14001,$A35,'مبيعات يومية'!$B$2:$B$14001,'إعدادات المخزون'!$A$15,'مبيعات يومية'!$A$2:$A$14001,"&gt;"&amp;('إعدادات المخزون'!$B$4-'إعدادات المخزون'!$B$11),'مبيعات يومية'!$A$2:$A$14001,"&lt;="&amp;'إعدادات المخزون'!$B$4)</f>
        <v>1.1669</v>
      </c>
      <c r="E35" s="118" t="n">
        <f aca="false">SUMIFS('مبيعات يومية'!$D$2:$D$14001,'مبيعات يومية'!$C$2:$C$14001,$A35,'مبيعات يومية'!$B$2:$B$14001,'إعدادات المخزون'!$A$16,'مبيعات يومية'!$A$2:$A$14001,'إعدادات المخزون'!$B$4)</f>
        <v>0.25</v>
      </c>
      <c r="F35" s="118" t="n">
        <f aca="false">SUMIFS('مبيعات يومية'!$D$2:$D$14001,'مبيعات يومية'!$C$2:$C$14001,$A35,'مبيعات يومية'!$B$2:$B$14001,'إعدادات المخزون'!$A$16,'مبيعات يومية'!$A$2:$A$14001,"&gt;="&amp;'إعدادات المخزون'!$B$5,'مبيعات يومية'!$A$2:$A$14001,"&lt;="&amp;'إعدادات المخزون'!$B$4)</f>
        <v>3</v>
      </c>
      <c r="G35" s="118" t="n">
        <f aca="false">SUMIFS('مبيعات يومية'!$D$2:$D$14001,'مبيعات يومية'!$C$2:$C$14001,$A35,'مبيعات يومية'!$B$2:$B$14001,'إعدادات المخزون'!$A$16,'مبيعات يومية'!$A$2:$A$14001,"&gt;"&amp;('إعدادات المخزون'!$B$4-'إعدادات المخزون'!$B$11),'مبيعات يومية'!$A$2:$A$14001,"&lt;="&amp;'إعدادات المخزون'!$B$4)</f>
        <v>1.75</v>
      </c>
      <c r="H35" s="118" t="n">
        <f aca="false">SUMIFS('مبيعات يومية'!$D$2:$D$14001,'مبيعات يومية'!$C$2:$C$14001,$A35,'مبيعات يومية'!$B$2:$B$14001,'إعدادات المخزون'!$A$17,'مبيعات يومية'!$A$2:$A$14001,'إعدادات المخزون'!$B$4)</f>
        <v>0.25</v>
      </c>
      <c r="I35" s="118" t="n">
        <f aca="false">SUMIFS('مبيعات يومية'!$D$2:$D$14001,'مبيعات يومية'!$C$2:$C$14001,$A35,'مبيعات يومية'!$B$2:$B$14001,'إعدادات المخزون'!$A$17,'مبيعات يومية'!$A$2:$A$14001,"&gt;="&amp;'إعدادات المخزون'!$B$5,'مبيعات يومية'!$A$2:$A$14001,"&lt;="&amp;'إعدادات المخزون'!$B$4)</f>
        <v>3</v>
      </c>
      <c r="J35" s="118" t="n">
        <f aca="false">SUMIFS('مبيعات يومية'!$D$2:$D$14001,'مبيعات يومية'!$C$2:$C$14001,$A35,'مبيعات يومية'!$B$2:$B$14001,'إعدادات المخزون'!$A$17,'مبيعات يومية'!$A$2:$A$14001,"&gt;"&amp;('إعدادات المخزون'!$B$4-'إعدادات المخزون'!$B$11),'مبيعات يومية'!$A$2:$A$14001,"&lt;="&amp;'إعدادات المخزون'!$B$4)</f>
        <v>1.75</v>
      </c>
    </row>
    <row r="36" customFormat="false" ht="15" hidden="false" customHeight="false" outlineLevel="0" collapsed="false">
      <c r="A36" s="116" t="str">
        <f aca="false">المنيو!B36</f>
        <v>فطيرة فراخ كريسبي رانش وسط</v>
      </c>
      <c r="B36" s="118" t="n">
        <f aca="false">SUMIFS('مبيعات يومية'!$D$2:$D$14001,'مبيعات يومية'!$C$2:$C$14001,$A36,'مبيعات يومية'!$B$2:$B$14001,'إعدادات المخزون'!$A$15,'مبيعات يومية'!$A$2:$A$14001,'إعدادات المخزون'!$B$4)</f>
        <v>0.25</v>
      </c>
      <c r="C36" s="118" t="n">
        <f aca="false">SUMIFS('مبيعات يومية'!$D$2:$D$14001,'مبيعات يومية'!$C$2:$C$14001,$A36,'مبيعات يومية'!$B$2:$B$14001,'إعدادات المخزون'!$A$15,'مبيعات يومية'!$A$2:$A$14001,"&gt;="&amp;'إعدادات المخزون'!$B$5,'مبيعات يومية'!$A$2:$A$14001,"&lt;="&amp;'إعدادات المخزون'!$B$4)</f>
        <v>3</v>
      </c>
      <c r="D36" s="118" t="n">
        <f aca="false">SUMIFS('مبيعات يومية'!$D$2:$D$14001,'مبيعات يومية'!$C$2:$C$14001,$A36,'مبيعات يومية'!$B$2:$B$14001,'إعدادات المخزون'!$A$15,'مبيعات يومية'!$A$2:$A$14001,"&gt;"&amp;('إعدادات المخزون'!$B$4-'إعدادات المخزون'!$B$11),'مبيعات يومية'!$A$2:$A$14001,"&lt;="&amp;'إعدادات المخزون'!$B$4)</f>
        <v>1.75</v>
      </c>
      <c r="E36" s="118" t="n">
        <f aca="false">SUMIFS('مبيعات يومية'!$D$2:$D$14001,'مبيعات يومية'!$C$2:$C$14001,$A36,'مبيعات يومية'!$B$2:$B$14001,'إعدادات المخزون'!$A$16,'مبيعات يومية'!$A$2:$A$14001,'إعدادات المخزون'!$B$4)</f>
        <v>0.1667</v>
      </c>
      <c r="F36" s="118" t="n">
        <f aca="false">SUMIFS('مبيعات يومية'!$D$2:$D$14001,'مبيعات يومية'!$C$2:$C$14001,$A36,'مبيعات يومية'!$B$2:$B$14001,'إعدادات المخزون'!$A$16,'مبيعات يومية'!$A$2:$A$14001,"&gt;="&amp;'إعدادات المخزون'!$B$5,'مبيعات يومية'!$A$2:$A$14001,"&lt;="&amp;'إعدادات المخزون'!$B$4)</f>
        <v>2.0004</v>
      </c>
      <c r="G36" s="118" t="n">
        <f aca="false">SUMIFS('مبيعات يومية'!$D$2:$D$14001,'مبيعات يومية'!$C$2:$C$14001,$A36,'مبيعات يومية'!$B$2:$B$14001,'إعدادات المخزون'!$A$16,'مبيعات يومية'!$A$2:$A$14001,"&gt;"&amp;('إعدادات المخزون'!$B$4-'إعدادات المخزون'!$B$11),'مبيعات يومية'!$A$2:$A$14001,"&lt;="&amp;'إعدادات المخزون'!$B$4)</f>
        <v>1.1669</v>
      </c>
      <c r="H36" s="118" t="n">
        <f aca="false">SUMIFS('مبيعات يومية'!$D$2:$D$14001,'مبيعات يومية'!$C$2:$C$14001,$A36,'مبيعات يومية'!$B$2:$B$14001,'إعدادات المخزون'!$A$17,'مبيعات يومية'!$A$2:$A$14001,'إعدادات المخزون'!$B$4)</f>
        <v>0.8333</v>
      </c>
      <c r="I36" s="118" t="n">
        <f aca="false">SUMIFS('مبيعات يومية'!$D$2:$D$14001,'مبيعات يومية'!$C$2:$C$14001,$A36,'مبيعات يومية'!$B$2:$B$14001,'إعدادات المخزون'!$A$17,'مبيعات يومية'!$A$2:$A$14001,"&gt;="&amp;'إعدادات المخزون'!$B$5,'مبيعات يومية'!$A$2:$A$14001,"&lt;="&amp;'إعدادات المخزون'!$B$4)</f>
        <v>9.9996</v>
      </c>
      <c r="J36" s="118" t="n">
        <f aca="false">SUMIFS('مبيعات يومية'!$D$2:$D$14001,'مبيعات يومية'!$C$2:$C$14001,$A36,'مبيعات يومية'!$B$2:$B$14001,'إعدادات المخزون'!$A$17,'مبيعات يومية'!$A$2:$A$14001,"&gt;"&amp;('إعدادات المخزون'!$B$4-'إعدادات المخزون'!$B$11),'مبيعات يومية'!$A$2:$A$14001,"&lt;="&amp;'إعدادات المخزون'!$B$4)</f>
        <v>5.8331</v>
      </c>
    </row>
    <row r="37" customFormat="false" ht="15" hidden="false" customHeight="false" outlineLevel="0" collapsed="false">
      <c r="A37" s="116" t="str">
        <f aca="false">المنيو!B37</f>
        <v>فطيرة فراخ كريسبي رانش حجم اكبر</v>
      </c>
      <c r="B37" s="118" t="n">
        <f aca="false">SUMIFS('مبيعات يومية'!$D$2:$D$14001,'مبيعات يومية'!$C$2:$C$14001,$A37,'مبيعات يومية'!$B$2:$B$14001,'إعدادات المخزون'!$A$15,'مبيعات يومية'!$A$2:$A$14001,'إعدادات المخزون'!$B$4)</f>
        <v>0.0833</v>
      </c>
      <c r="C37" s="118" t="n">
        <f aca="false">SUMIFS('مبيعات يومية'!$D$2:$D$14001,'مبيعات يومية'!$C$2:$C$14001,$A37,'مبيعات يومية'!$B$2:$B$14001,'إعدادات المخزون'!$A$15,'مبيعات يومية'!$A$2:$A$14001,"&gt;="&amp;'إعدادات المخزون'!$B$5,'مبيعات يومية'!$A$2:$A$14001,"&lt;="&amp;'إعدادات المخزون'!$B$4)</f>
        <v>0.9996</v>
      </c>
      <c r="D37" s="118" t="n">
        <f aca="false">SUMIFS('مبيعات يومية'!$D$2:$D$14001,'مبيعات يومية'!$C$2:$C$14001,$A37,'مبيعات يومية'!$B$2:$B$14001,'إعدادات المخزون'!$A$15,'مبيعات يومية'!$A$2:$A$14001,"&gt;"&amp;('إعدادات المخزون'!$B$4-'إعدادات المخزون'!$B$11),'مبيعات يومية'!$A$2:$A$14001,"&lt;="&amp;'إعدادات المخزون'!$B$4)</f>
        <v>0.5831</v>
      </c>
      <c r="E37" s="118" t="n">
        <f aca="false">SUMIFS('مبيعات يومية'!$D$2:$D$14001,'مبيعات يومية'!$C$2:$C$14001,$A37,'مبيعات يومية'!$B$2:$B$14001,'إعدادات المخزون'!$A$16,'مبيعات يومية'!$A$2:$A$14001,'إعدادات المخزون'!$B$4)</f>
        <v>0.1667</v>
      </c>
      <c r="F37" s="118" t="n">
        <f aca="false">SUMIFS('مبيعات يومية'!$D$2:$D$14001,'مبيعات يومية'!$C$2:$C$14001,$A37,'مبيعات يومية'!$B$2:$B$14001,'إعدادات المخزون'!$A$16,'مبيعات يومية'!$A$2:$A$14001,"&gt;="&amp;'إعدادات المخزون'!$B$5,'مبيعات يومية'!$A$2:$A$14001,"&lt;="&amp;'إعدادات المخزون'!$B$4)</f>
        <v>2.0004</v>
      </c>
      <c r="G37" s="118" t="n">
        <f aca="false">SUMIFS('مبيعات يومية'!$D$2:$D$14001,'مبيعات يومية'!$C$2:$C$14001,$A37,'مبيعات يومية'!$B$2:$B$14001,'إعدادات المخزون'!$A$16,'مبيعات يومية'!$A$2:$A$14001,"&gt;"&amp;('إعدادات المخزون'!$B$4-'إعدادات المخزون'!$B$11),'مبيعات يومية'!$A$2:$A$14001,"&lt;="&amp;'إعدادات المخزون'!$B$4)</f>
        <v>1.1669</v>
      </c>
      <c r="H37" s="118" t="n">
        <f aca="false">SUMIFS('مبيعات يومية'!$D$2:$D$14001,'مبيعات يومية'!$C$2:$C$14001,$A37,'مبيعات يومية'!$B$2:$B$14001,'إعدادات المخزون'!$A$17,'مبيعات يومية'!$A$2:$A$14001,'إعدادات المخزون'!$B$4)</f>
        <v>0.0833</v>
      </c>
      <c r="I37" s="118" t="n">
        <f aca="false">SUMIFS('مبيعات يومية'!$D$2:$D$14001,'مبيعات يومية'!$C$2:$C$14001,$A37,'مبيعات يومية'!$B$2:$B$14001,'إعدادات المخزون'!$A$17,'مبيعات يومية'!$A$2:$A$14001,"&gt;="&amp;'إعدادات المخزون'!$B$5,'مبيعات يومية'!$A$2:$A$14001,"&lt;="&amp;'إعدادات المخزون'!$B$4)</f>
        <v>0.9996</v>
      </c>
      <c r="J37" s="118" t="n">
        <f aca="false">SUMIFS('مبيعات يومية'!$D$2:$D$14001,'مبيعات يومية'!$C$2:$C$14001,$A37,'مبيعات يومية'!$B$2:$B$14001,'إعدادات المخزون'!$A$17,'مبيعات يومية'!$A$2:$A$14001,"&gt;"&amp;('إعدادات المخزون'!$B$4-'إعدادات المخزون'!$B$11),'مبيعات يومية'!$A$2:$A$14001,"&lt;="&amp;'إعدادات المخزون'!$B$4)</f>
        <v>0.5831</v>
      </c>
    </row>
    <row r="38" customFormat="false" ht="15" hidden="false" customHeight="false" outlineLevel="0" collapsed="false">
      <c r="A38" s="116" t="str">
        <f aca="false">المنيو!B38</f>
        <v>فطيرة فراخ كريسبي شيدر وسط</v>
      </c>
      <c r="B38" s="118" t="n">
        <f aca="false">SUMIFS('مبيعات يومية'!$D$2:$D$14001,'مبيعات يومية'!$C$2:$C$14001,$A38,'مبيعات يومية'!$B$2:$B$14001,'إعدادات المخزون'!$A$15,'مبيعات يومية'!$A$2:$A$14001,'إعدادات المخزون'!$B$4)</f>
        <v>0</v>
      </c>
      <c r="C38" s="118" t="n">
        <f aca="false">SUMIFS('مبيعات يومية'!$D$2:$D$14001,'مبيعات يومية'!$C$2:$C$14001,$A38,'مبيعات يومية'!$B$2:$B$14001,'إعدادات المخزون'!$A$15,'مبيعات يومية'!$A$2:$A$14001,"&gt;="&amp;'إعدادات المخزون'!$B$5,'مبيعات يومية'!$A$2:$A$14001,"&lt;="&amp;'إعدادات المخزون'!$B$4)</f>
        <v>0</v>
      </c>
      <c r="D38" s="118" t="n">
        <f aca="false">SUMIFS('مبيعات يومية'!$D$2:$D$14001,'مبيعات يومية'!$C$2:$C$14001,$A38,'مبيعات يومية'!$B$2:$B$14001,'إعدادات المخزون'!$A$15,'مبيعات يومية'!$A$2:$A$14001,"&gt;"&amp;('إعدادات المخزون'!$B$4-'إعدادات المخزون'!$B$11),'مبيعات يومية'!$A$2:$A$14001,"&lt;="&amp;'إعدادات المخزون'!$B$4)</f>
        <v>0</v>
      </c>
      <c r="E38" s="118" t="n">
        <f aca="false">SUMIFS('مبيعات يومية'!$D$2:$D$14001,'مبيعات يومية'!$C$2:$C$14001,$A38,'مبيعات يومية'!$B$2:$B$14001,'إعدادات المخزون'!$A$16,'مبيعات يومية'!$A$2:$A$14001,'إعدادات المخزون'!$B$4)</f>
        <v>0.25</v>
      </c>
      <c r="F38" s="118" t="n">
        <f aca="false">SUMIFS('مبيعات يومية'!$D$2:$D$14001,'مبيعات يومية'!$C$2:$C$14001,$A38,'مبيعات يومية'!$B$2:$B$14001,'إعدادات المخزون'!$A$16,'مبيعات يومية'!$A$2:$A$14001,"&gt;="&amp;'إعدادات المخزون'!$B$5,'مبيعات يومية'!$A$2:$A$14001,"&lt;="&amp;'إعدادات المخزون'!$B$4)</f>
        <v>3</v>
      </c>
      <c r="G38" s="118" t="n">
        <f aca="false">SUMIFS('مبيعات يومية'!$D$2:$D$14001,'مبيعات يومية'!$C$2:$C$14001,$A38,'مبيعات يومية'!$B$2:$B$14001,'إعدادات المخزون'!$A$16,'مبيعات يومية'!$A$2:$A$14001,"&gt;"&amp;('إعدادات المخزون'!$B$4-'إعدادات المخزون'!$B$11),'مبيعات يومية'!$A$2:$A$14001,"&lt;="&amp;'إعدادات المخزون'!$B$4)</f>
        <v>1.75</v>
      </c>
      <c r="H38" s="118" t="n">
        <f aca="false">SUMIFS('مبيعات يومية'!$D$2:$D$14001,'مبيعات يومية'!$C$2:$C$14001,$A38,'مبيعات يومية'!$B$2:$B$14001,'إعدادات المخزون'!$A$17,'مبيعات يومية'!$A$2:$A$14001,'إعدادات المخزون'!$B$4)</f>
        <v>0</v>
      </c>
      <c r="I38" s="118" t="n">
        <f aca="false">SUMIFS('مبيعات يومية'!$D$2:$D$14001,'مبيعات يومية'!$C$2:$C$14001,$A38,'مبيعات يومية'!$B$2:$B$14001,'إعدادات المخزون'!$A$17,'مبيعات يومية'!$A$2:$A$14001,"&gt;="&amp;'إعدادات المخزون'!$B$5,'مبيعات يومية'!$A$2:$A$14001,"&lt;="&amp;'إعدادات المخزون'!$B$4)</f>
        <v>0</v>
      </c>
      <c r="J38" s="118" t="n">
        <f aca="false">SUMIFS('مبيعات يومية'!$D$2:$D$14001,'مبيعات يومية'!$C$2:$C$14001,$A38,'مبيعات يومية'!$B$2:$B$14001,'إعدادات المخزون'!$A$17,'مبيعات يومية'!$A$2:$A$14001,"&gt;"&amp;('إعدادات المخزون'!$B$4-'إعدادات المخزون'!$B$11),'مبيعات يومية'!$A$2:$A$14001,"&lt;="&amp;'إعدادات المخزون'!$B$4)</f>
        <v>0</v>
      </c>
    </row>
    <row r="39" customFormat="false" ht="15" hidden="false" customHeight="false" outlineLevel="0" collapsed="false">
      <c r="A39" s="116" t="str">
        <f aca="false">المنيو!B39</f>
        <v>فطيرة فراخ كريسبي شيدر حجم اكبر</v>
      </c>
      <c r="B39" s="118" t="n">
        <f aca="false">SUMIFS('مبيعات يومية'!$D$2:$D$14001,'مبيعات يومية'!$C$2:$C$14001,$A39,'مبيعات يومية'!$B$2:$B$14001,'إعدادات المخزون'!$A$15,'مبيعات يومية'!$A$2:$A$14001,'إعدادات المخزون'!$B$4)</f>
        <v>0</v>
      </c>
      <c r="C39" s="118" t="n">
        <f aca="false">SUMIFS('مبيعات يومية'!$D$2:$D$14001,'مبيعات يومية'!$C$2:$C$14001,$A39,'مبيعات يومية'!$B$2:$B$14001,'إعدادات المخزون'!$A$15,'مبيعات يومية'!$A$2:$A$14001,"&gt;="&amp;'إعدادات المخزون'!$B$5,'مبيعات يومية'!$A$2:$A$14001,"&lt;="&amp;'إعدادات المخزون'!$B$4)</f>
        <v>0</v>
      </c>
      <c r="D39" s="118" t="n">
        <f aca="false">SUMIFS('مبيعات يومية'!$D$2:$D$14001,'مبيعات يومية'!$C$2:$C$14001,$A39,'مبيعات يومية'!$B$2:$B$14001,'إعدادات المخزون'!$A$15,'مبيعات يومية'!$A$2:$A$14001,"&gt;"&amp;('إعدادات المخزون'!$B$4-'إعدادات المخزون'!$B$11),'مبيعات يومية'!$A$2:$A$14001,"&lt;="&amp;'إعدادات المخزون'!$B$4)</f>
        <v>0</v>
      </c>
      <c r="E39" s="118" t="n">
        <f aca="false">SUMIFS('مبيعات يومية'!$D$2:$D$14001,'مبيعات يومية'!$C$2:$C$14001,$A39,'مبيعات يومية'!$B$2:$B$14001,'إعدادات المخزون'!$A$16,'مبيعات يومية'!$A$2:$A$14001,'إعدادات المخزون'!$B$4)</f>
        <v>0</v>
      </c>
      <c r="F39" s="118" t="n">
        <f aca="false">SUMIFS('مبيعات يومية'!$D$2:$D$14001,'مبيعات يومية'!$C$2:$C$14001,$A39,'مبيعات يومية'!$B$2:$B$14001,'إعدادات المخزون'!$A$16,'مبيعات يومية'!$A$2:$A$14001,"&gt;="&amp;'إعدادات المخزون'!$B$5,'مبيعات يومية'!$A$2:$A$14001,"&lt;="&amp;'إعدادات المخزون'!$B$4)</f>
        <v>0</v>
      </c>
      <c r="G39" s="118" t="n">
        <f aca="false">SUMIFS('مبيعات يومية'!$D$2:$D$14001,'مبيعات يومية'!$C$2:$C$14001,$A39,'مبيعات يومية'!$B$2:$B$14001,'إعدادات المخزون'!$A$16,'مبيعات يومية'!$A$2:$A$14001,"&gt;"&amp;('إعدادات المخزون'!$B$4-'إعدادات المخزون'!$B$11),'مبيعات يومية'!$A$2:$A$14001,"&lt;="&amp;'إعدادات المخزون'!$B$4)</f>
        <v>0</v>
      </c>
      <c r="H39" s="118" t="n">
        <f aca="false">SUMIFS('مبيعات يومية'!$D$2:$D$14001,'مبيعات يومية'!$C$2:$C$14001,$A39,'مبيعات يومية'!$B$2:$B$14001,'إعدادات المخزون'!$A$17,'مبيعات يومية'!$A$2:$A$14001,'إعدادات المخزون'!$B$4)</f>
        <v>0.25</v>
      </c>
      <c r="I39" s="118" t="n">
        <f aca="false">SUMIFS('مبيعات يومية'!$D$2:$D$14001,'مبيعات يومية'!$C$2:$C$14001,$A39,'مبيعات يومية'!$B$2:$B$14001,'إعدادات المخزون'!$A$17,'مبيعات يومية'!$A$2:$A$14001,"&gt;="&amp;'إعدادات المخزون'!$B$5,'مبيعات يومية'!$A$2:$A$14001,"&lt;="&amp;'إعدادات المخزون'!$B$4)</f>
        <v>3</v>
      </c>
      <c r="J39" s="118" t="n">
        <f aca="false">SUMIFS('مبيعات يومية'!$D$2:$D$14001,'مبيعات يومية'!$C$2:$C$14001,$A39,'مبيعات يومية'!$B$2:$B$14001,'إعدادات المخزون'!$A$17,'مبيعات يومية'!$A$2:$A$14001,"&gt;"&amp;('إعدادات المخزون'!$B$4-'إعدادات المخزون'!$B$11),'مبيعات يومية'!$A$2:$A$14001,"&lt;="&amp;'إعدادات المخزون'!$B$4)</f>
        <v>1.75</v>
      </c>
    </row>
    <row r="40" customFormat="false" ht="15" hidden="false" customHeight="false" outlineLevel="0" collapsed="false">
      <c r="A40" s="116" t="str">
        <f aca="false">المنيو!B40</f>
        <v>فطيرة مشكل لحوم النكش وسط</v>
      </c>
      <c r="B40" s="118" t="n">
        <f aca="false">SUMIFS('مبيعات يومية'!$D$2:$D$14001,'مبيعات يومية'!$C$2:$C$14001,$A40,'مبيعات يومية'!$B$2:$B$14001,'إعدادات المخزون'!$A$15,'مبيعات يومية'!$A$2:$A$14001,'إعدادات المخزون'!$B$4)</f>
        <v>1</v>
      </c>
      <c r="C40" s="118" t="n">
        <f aca="false">SUMIFS('مبيعات يومية'!$D$2:$D$14001,'مبيعات يومية'!$C$2:$C$14001,$A40,'مبيعات يومية'!$B$2:$B$14001,'إعدادات المخزون'!$A$15,'مبيعات يومية'!$A$2:$A$14001,"&gt;="&amp;'إعدادات المخزون'!$B$5,'مبيعات يومية'!$A$2:$A$14001,"&lt;="&amp;'إعدادات المخزون'!$B$4)</f>
        <v>12</v>
      </c>
      <c r="D40" s="118" t="n">
        <f aca="false">SUMIFS('مبيعات يومية'!$D$2:$D$14001,'مبيعات يومية'!$C$2:$C$14001,$A40,'مبيعات يومية'!$B$2:$B$14001,'إعدادات المخزون'!$A$15,'مبيعات يومية'!$A$2:$A$14001,"&gt;"&amp;('إعدادات المخزون'!$B$4-'إعدادات المخزون'!$B$11),'مبيعات يومية'!$A$2:$A$14001,"&lt;="&amp;'إعدادات المخزون'!$B$4)</f>
        <v>7</v>
      </c>
      <c r="E40" s="118" t="n">
        <f aca="false">SUMIFS('مبيعات يومية'!$D$2:$D$14001,'مبيعات يومية'!$C$2:$C$14001,$A40,'مبيعات يومية'!$B$2:$B$14001,'إعدادات المخزون'!$A$16,'مبيعات يومية'!$A$2:$A$14001,'إعدادات المخزون'!$B$4)</f>
        <v>0.3333</v>
      </c>
      <c r="F40" s="118" t="n">
        <f aca="false">SUMIFS('مبيعات يومية'!$D$2:$D$14001,'مبيعات يومية'!$C$2:$C$14001,$A40,'مبيعات يومية'!$B$2:$B$14001,'إعدادات المخزون'!$A$16,'مبيعات يومية'!$A$2:$A$14001,"&gt;="&amp;'إعدادات المخزون'!$B$5,'مبيعات يومية'!$A$2:$A$14001,"&lt;="&amp;'إعدادات المخزون'!$B$4)</f>
        <v>3.9996</v>
      </c>
      <c r="G40" s="118" t="n">
        <f aca="false">SUMIFS('مبيعات يومية'!$D$2:$D$14001,'مبيعات يومية'!$C$2:$C$14001,$A40,'مبيعات يومية'!$B$2:$B$14001,'إعدادات المخزون'!$A$16,'مبيعات يومية'!$A$2:$A$14001,"&gt;"&amp;('إعدادات المخزون'!$B$4-'إعدادات المخزون'!$B$11),'مبيعات يومية'!$A$2:$A$14001,"&lt;="&amp;'إعدادات المخزون'!$B$4)</f>
        <v>2.3331</v>
      </c>
      <c r="H40" s="118" t="n">
        <f aca="false">SUMIFS('مبيعات يومية'!$D$2:$D$14001,'مبيعات يومية'!$C$2:$C$14001,$A40,'مبيعات يومية'!$B$2:$B$14001,'إعدادات المخزون'!$A$17,'مبيعات يومية'!$A$2:$A$14001,'إعدادات المخزون'!$B$4)</f>
        <v>0.9167</v>
      </c>
      <c r="I40" s="118" t="n">
        <f aca="false">SUMIFS('مبيعات يومية'!$D$2:$D$14001,'مبيعات يومية'!$C$2:$C$14001,$A40,'مبيعات يومية'!$B$2:$B$14001,'إعدادات المخزون'!$A$17,'مبيعات يومية'!$A$2:$A$14001,"&gt;="&amp;'إعدادات المخزون'!$B$5,'مبيعات يومية'!$A$2:$A$14001,"&lt;="&amp;'إعدادات المخزون'!$B$4)</f>
        <v>11.0004</v>
      </c>
      <c r="J40" s="118" t="n">
        <f aca="false">SUMIFS('مبيعات يومية'!$D$2:$D$14001,'مبيعات يومية'!$C$2:$C$14001,$A40,'مبيعات يومية'!$B$2:$B$14001,'إعدادات المخزون'!$A$17,'مبيعات يومية'!$A$2:$A$14001,"&gt;"&amp;('إعدادات المخزون'!$B$4-'إعدادات المخزون'!$B$11),'مبيعات يومية'!$A$2:$A$14001,"&lt;="&amp;'إعدادات المخزون'!$B$4)</f>
        <v>6.4169</v>
      </c>
    </row>
    <row r="41" customFormat="false" ht="15" hidden="false" customHeight="false" outlineLevel="0" collapsed="false">
      <c r="A41" s="116" t="str">
        <f aca="false">المنيو!B41</f>
        <v>فطيرة مشكل لحوم النكش حجم اكبر</v>
      </c>
      <c r="B41" s="118" t="n">
        <f aca="false">SUMIFS('مبيعات يومية'!$D$2:$D$14001,'مبيعات يومية'!$C$2:$C$14001,$A41,'مبيعات يومية'!$B$2:$B$14001,'إعدادات المخزون'!$A$15,'مبيعات يومية'!$A$2:$A$14001,'إعدادات المخزون'!$B$4)</f>
        <v>0.3333</v>
      </c>
      <c r="C41" s="118" t="n">
        <f aca="false">SUMIFS('مبيعات يومية'!$D$2:$D$14001,'مبيعات يومية'!$C$2:$C$14001,$A41,'مبيعات يومية'!$B$2:$B$14001,'إعدادات المخزون'!$A$15,'مبيعات يومية'!$A$2:$A$14001,"&gt;="&amp;'إعدادات المخزون'!$B$5,'مبيعات يومية'!$A$2:$A$14001,"&lt;="&amp;'إعدادات المخزون'!$B$4)</f>
        <v>3.9996</v>
      </c>
      <c r="D41" s="118" t="n">
        <f aca="false">SUMIFS('مبيعات يومية'!$D$2:$D$14001,'مبيعات يومية'!$C$2:$C$14001,$A41,'مبيعات يومية'!$B$2:$B$14001,'إعدادات المخزون'!$A$15,'مبيعات يومية'!$A$2:$A$14001,"&gt;"&amp;('إعدادات المخزون'!$B$4-'إعدادات المخزون'!$B$11),'مبيعات يومية'!$A$2:$A$14001,"&lt;="&amp;'إعدادات المخزون'!$B$4)</f>
        <v>2.3331</v>
      </c>
      <c r="E41" s="118" t="n">
        <f aca="false">SUMIFS('مبيعات يومية'!$D$2:$D$14001,'مبيعات يومية'!$C$2:$C$14001,$A41,'مبيعات يومية'!$B$2:$B$14001,'إعدادات المخزون'!$A$16,'مبيعات يومية'!$A$2:$A$14001,'إعدادات المخزون'!$B$4)</f>
        <v>0.4167</v>
      </c>
      <c r="F41" s="118" t="n">
        <f aca="false">SUMIFS('مبيعات يومية'!$D$2:$D$14001,'مبيعات يومية'!$C$2:$C$14001,$A41,'مبيعات يومية'!$B$2:$B$14001,'إعدادات المخزون'!$A$16,'مبيعات يومية'!$A$2:$A$14001,"&gt;="&amp;'إعدادات المخزون'!$B$5,'مبيعات يومية'!$A$2:$A$14001,"&lt;="&amp;'إعدادات المخزون'!$B$4)</f>
        <v>5.0004</v>
      </c>
      <c r="G41" s="118" t="n">
        <f aca="false">SUMIFS('مبيعات يومية'!$D$2:$D$14001,'مبيعات يومية'!$C$2:$C$14001,$A41,'مبيعات يومية'!$B$2:$B$14001,'إعدادات المخزون'!$A$16,'مبيعات يومية'!$A$2:$A$14001,"&gt;"&amp;('إعدادات المخزون'!$B$4-'إعدادات المخزون'!$B$11),'مبيعات يومية'!$A$2:$A$14001,"&lt;="&amp;'إعدادات المخزون'!$B$4)</f>
        <v>2.9169</v>
      </c>
      <c r="H41" s="118" t="n">
        <f aca="false">SUMIFS('مبيعات يومية'!$D$2:$D$14001,'مبيعات يومية'!$C$2:$C$14001,$A41,'مبيعات يومية'!$B$2:$B$14001,'إعدادات المخزون'!$A$17,'مبيعات يومية'!$A$2:$A$14001,'إعدادات المخزون'!$B$4)</f>
        <v>0.1667</v>
      </c>
      <c r="I41" s="118" t="n">
        <f aca="false">SUMIFS('مبيعات يومية'!$D$2:$D$14001,'مبيعات يومية'!$C$2:$C$14001,$A41,'مبيعات يومية'!$B$2:$B$14001,'إعدادات المخزون'!$A$17,'مبيعات يومية'!$A$2:$A$14001,"&gt;="&amp;'إعدادات المخزون'!$B$5,'مبيعات يومية'!$A$2:$A$14001,"&lt;="&amp;'إعدادات المخزون'!$B$4)</f>
        <v>2.0004</v>
      </c>
      <c r="J41" s="118" t="n">
        <f aca="false">SUMIFS('مبيعات يومية'!$D$2:$D$14001,'مبيعات يومية'!$C$2:$C$14001,$A41,'مبيعات يومية'!$B$2:$B$14001,'إعدادات المخزون'!$A$17,'مبيعات يومية'!$A$2:$A$14001,"&gt;"&amp;('إعدادات المخزون'!$B$4-'إعدادات المخزون'!$B$11),'مبيعات يومية'!$A$2:$A$14001,"&lt;="&amp;'إعدادات المخزون'!$B$4)</f>
        <v>1.1669</v>
      </c>
    </row>
    <row r="42" customFormat="false" ht="15" hidden="false" customHeight="false" outlineLevel="0" collapsed="false">
      <c r="A42" s="116" t="str">
        <f aca="false">المنيو!B42</f>
        <v>فطيرة مشلتت بالسمنة البلدي صغير</v>
      </c>
      <c r="B42" s="118" t="n">
        <f aca="false">SUMIFS('مبيعات يومية'!$D$2:$D$14001,'مبيعات يومية'!$C$2:$C$14001,$A42,'مبيعات يومية'!$B$2:$B$14001,'إعدادات المخزون'!$A$15,'مبيعات يومية'!$A$2:$A$14001,'إعدادات المخزون'!$B$4)</f>
        <v>0.1667</v>
      </c>
      <c r="C42" s="118" t="n">
        <f aca="false">SUMIFS('مبيعات يومية'!$D$2:$D$14001,'مبيعات يومية'!$C$2:$C$14001,$A42,'مبيعات يومية'!$B$2:$B$14001,'إعدادات المخزون'!$A$15,'مبيعات يومية'!$A$2:$A$14001,"&gt;="&amp;'إعدادات المخزون'!$B$5,'مبيعات يومية'!$A$2:$A$14001,"&lt;="&amp;'إعدادات المخزون'!$B$4)</f>
        <v>2.0004</v>
      </c>
      <c r="D42" s="118" t="n">
        <f aca="false">SUMIFS('مبيعات يومية'!$D$2:$D$14001,'مبيعات يومية'!$C$2:$C$14001,$A42,'مبيعات يومية'!$B$2:$B$14001,'إعدادات المخزون'!$A$15,'مبيعات يومية'!$A$2:$A$14001,"&gt;"&amp;('إعدادات المخزون'!$B$4-'إعدادات المخزون'!$B$11),'مبيعات يومية'!$A$2:$A$14001,"&lt;="&amp;'إعدادات المخزون'!$B$4)</f>
        <v>1.1669</v>
      </c>
      <c r="E42" s="118" t="n">
        <f aca="false">SUMIFS('مبيعات يومية'!$D$2:$D$14001,'مبيعات يومية'!$C$2:$C$14001,$A42,'مبيعات يومية'!$B$2:$B$14001,'إعدادات المخزون'!$A$16,'مبيعات يومية'!$A$2:$A$14001,'إعدادات المخزون'!$B$4)</f>
        <v>0.0833</v>
      </c>
      <c r="F42" s="118" t="n">
        <f aca="false">SUMIFS('مبيعات يومية'!$D$2:$D$14001,'مبيعات يومية'!$C$2:$C$14001,$A42,'مبيعات يومية'!$B$2:$B$14001,'إعدادات المخزون'!$A$16,'مبيعات يومية'!$A$2:$A$14001,"&gt;="&amp;'إعدادات المخزون'!$B$5,'مبيعات يومية'!$A$2:$A$14001,"&lt;="&amp;'إعدادات المخزون'!$B$4)</f>
        <v>0.9996</v>
      </c>
      <c r="G42" s="118" t="n">
        <f aca="false">SUMIFS('مبيعات يومية'!$D$2:$D$14001,'مبيعات يومية'!$C$2:$C$14001,$A42,'مبيعات يومية'!$B$2:$B$14001,'إعدادات المخزون'!$A$16,'مبيعات يومية'!$A$2:$A$14001,"&gt;"&amp;('إعدادات المخزون'!$B$4-'إعدادات المخزون'!$B$11),'مبيعات يومية'!$A$2:$A$14001,"&lt;="&amp;'إعدادات المخزون'!$B$4)</f>
        <v>0.5831</v>
      </c>
      <c r="H42" s="118" t="n">
        <f aca="false">SUMIFS('مبيعات يومية'!$D$2:$D$14001,'مبيعات يومية'!$C$2:$C$14001,$A42,'مبيعات يومية'!$B$2:$B$14001,'إعدادات المخزون'!$A$17,'مبيعات يومية'!$A$2:$A$14001,'إعدادات المخزون'!$B$4)</f>
        <v>0.5833</v>
      </c>
      <c r="I42" s="118" t="n">
        <f aca="false">SUMIFS('مبيعات يومية'!$D$2:$D$14001,'مبيعات يومية'!$C$2:$C$14001,$A42,'مبيعات يومية'!$B$2:$B$14001,'إعدادات المخزون'!$A$17,'مبيعات يومية'!$A$2:$A$14001,"&gt;="&amp;'إعدادات المخزون'!$B$5,'مبيعات يومية'!$A$2:$A$14001,"&lt;="&amp;'إعدادات المخزون'!$B$4)</f>
        <v>6.9996</v>
      </c>
      <c r="J42" s="118" t="n">
        <f aca="false">SUMIFS('مبيعات يومية'!$D$2:$D$14001,'مبيعات يومية'!$C$2:$C$14001,$A42,'مبيعات يومية'!$B$2:$B$14001,'إعدادات المخزون'!$A$17,'مبيعات يومية'!$A$2:$A$14001,"&gt;"&amp;('إعدادات المخزون'!$B$4-'إعدادات المخزون'!$B$11),'مبيعات يومية'!$A$2:$A$14001,"&lt;="&amp;'إعدادات المخزون'!$B$4)</f>
        <v>4.0831</v>
      </c>
    </row>
    <row r="43" customFormat="false" ht="15" hidden="false" customHeight="false" outlineLevel="0" collapsed="false">
      <c r="A43" s="116" t="str">
        <f aca="false">المنيو!B43</f>
        <v>فطيرة مشلتت بالسمنة البلدي وسط</v>
      </c>
      <c r="B43" s="118" t="n">
        <f aca="false">SUMIFS('مبيعات يومية'!$D$2:$D$14001,'مبيعات يومية'!$C$2:$C$14001,$A43,'مبيعات يومية'!$B$2:$B$14001,'إعدادات المخزون'!$A$15,'مبيعات يومية'!$A$2:$A$14001,'إعدادات المخزون'!$B$4)</f>
        <v>0.1667</v>
      </c>
      <c r="C43" s="118" t="n">
        <f aca="false">SUMIFS('مبيعات يومية'!$D$2:$D$14001,'مبيعات يومية'!$C$2:$C$14001,$A43,'مبيعات يومية'!$B$2:$B$14001,'إعدادات المخزون'!$A$15,'مبيعات يومية'!$A$2:$A$14001,"&gt;="&amp;'إعدادات المخزون'!$B$5,'مبيعات يومية'!$A$2:$A$14001,"&lt;="&amp;'إعدادات المخزون'!$B$4)</f>
        <v>2.0004</v>
      </c>
      <c r="D43" s="118" t="n">
        <f aca="false">SUMIFS('مبيعات يومية'!$D$2:$D$14001,'مبيعات يومية'!$C$2:$C$14001,$A43,'مبيعات يومية'!$B$2:$B$14001,'إعدادات المخزون'!$A$15,'مبيعات يومية'!$A$2:$A$14001,"&gt;"&amp;('إعدادات المخزون'!$B$4-'إعدادات المخزون'!$B$11),'مبيعات يومية'!$A$2:$A$14001,"&lt;="&amp;'إعدادات المخزون'!$B$4)</f>
        <v>1.1669</v>
      </c>
      <c r="E43" s="118" t="n">
        <f aca="false">SUMIFS('مبيعات يومية'!$D$2:$D$14001,'مبيعات يومية'!$C$2:$C$14001,$A43,'مبيعات يومية'!$B$2:$B$14001,'إعدادات المخزون'!$A$16,'مبيعات يومية'!$A$2:$A$14001,'إعدادات المخزون'!$B$4)</f>
        <v>0.25</v>
      </c>
      <c r="F43" s="118" t="n">
        <f aca="false">SUMIFS('مبيعات يومية'!$D$2:$D$14001,'مبيعات يومية'!$C$2:$C$14001,$A43,'مبيعات يومية'!$B$2:$B$14001,'إعدادات المخزون'!$A$16,'مبيعات يومية'!$A$2:$A$14001,"&gt;="&amp;'إعدادات المخزون'!$B$5,'مبيعات يومية'!$A$2:$A$14001,"&lt;="&amp;'إعدادات المخزون'!$B$4)</f>
        <v>3</v>
      </c>
      <c r="G43" s="118" t="n">
        <f aca="false">SUMIFS('مبيعات يومية'!$D$2:$D$14001,'مبيعات يومية'!$C$2:$C$14001,$A43,'مبيعات يومية'!$B$2:$B$14001,'إعدادات المخزون'!$A$16,'مبيعات يومية'!$A$2:$A$14001,"&gt;"&amp;('إعدادات المخزون'!$B$4-'إعدادات المخزون'!$B$11),'مبيعات يومية'!$A$2:$A$14001,"&lt;="&amp;'إعدادات المخزون'!$B$4)</f>
        <v>1.75</v>
      </c>
      <c r="H43" s="118" t="n">
        <f aca="false">SUMIFS('مبيعات يومية'!$D$2:$D$14001,'مبيعات يومية'!$C$2:$C$14001,$A43,'مبيعات يومية'!$B$2:$B$14001,'إعدادات المخزون'!$A$17,'مبيعات يومية'!$A$2:$A$14001,'إعدادات المخزون'!$B$4)</f>
        <v>0.1667</v>
      </c>
      <c r="I43" s="118" t="n">
        <f aca="false">SUMIFS('مبيعات يومية'!$D$2:$D$14001,'مبيعات يومية'!$C$2:$C$14001,$A43,'مبيعات يومية'!$B$2:$B$14001,'إعدادات المخزون'!$A$17,'مبيعات يومية'!$A$2:$A$14001,"&gt;="&amp;'إعدادات المخزون'!$B$5,'مبيعات يومية'!$A$2:$A$14001,"&lt;="&amp;'إعدادات المخزون'!$B$4)</f>
        <v>2.0004</v>
      </c>
      <c r="J43" s="118" t="n">
        <f aca="false">SUMIFS('مبيعات يومية'!$D$2:$D$14001,'مبيعات يومية'!$C$2:$C$14001,$A43,'مبيعات يومية'!$B$2:$B$14001,'إعدادات المخزون'!$A$17,'مبيعات يومية'!$A$2:$A$14001,"&gt;"&amp;('إعدادات المخزون'!$B$4-'إعدادات المخزون'!$B$11),'مبيعات يومية'!$A$2:$A$14001,"&lt;="&amp;'إعدادات المخزون'!$B$4)</f>
        <v>1.1669</v>
      </c>
    </row>
    <row r="44" customFormat="false" ht="15" hidden="false" customHeight="false" outlineLevel="0" collapsed="false">
      <c r="A44" s="116" t="str">
        <f aca="false">المنيو!B44</f>
        <v>فطيرة مشلتت بالسمنة البلدي كبير</v>
      </c>
      <c r="B44" s="118" t="n">
        <f aca="false">SUMIFS('مبيعات يومية'!$D$2:$D$14001,'مبيعات يومية'!$C$2:$C$14001,$A44,'مبيعات يومية'!$B$2:$B$14001,'إعدادات المخزون'!$A$15,'مبيعات يومية'!$A$2:$A$14001,'إعدادات المخزون'!$B$4)</f>
        <v>0.0833</v>
      </c>
      <c r="C44" s="118" t="n">
        <f aca="false">SUMIFS('مبيعات يومية'!$D$2:$D$14001,'مبيعات يومية'!$C$2:$C$14001,$A44,'مبيعات يومية'!$B$2:$B$14001,'إعدادات المخزون'!$A$15,'مبيعات يومية'!$A$2:$A$14001,"&gt;="&amp;'إعدادات المخزون'!$B$5,'مبيعات يومية'!$A$2:$A$14001,"&lt;="&amp;'إعدادات المخزون'!$B$4)</f>
        <v>0.9996</v>
      </c>
      <c r="D44" s="118" t="n">
        <f aca="false">SUMIFS('مبيعات يومية'!$D$2:$D$14001,'مبيعات يومية'!$C$2:$C$14001,$A44,'مبيعات يومية'!$B$2:$B$14001,'إعدادات المخزون'!$A$15,'مبيعات يومية'!$A$2:$A$14001,"&gt;"&amp;('إعدادات المخزون'!$B$4-'إعدادات المخزون'!$B$11),'مبيعات يومية'!$A$2:$A$14001,"&lt;="&amp;'إعدادات المخزون'!$B$4)</f>
        <v>0.5831</v>
      </c>
      <c r="E44" s="118" t="n">
        <f aca="false">SUMIFS('مبيعات يومية'!$D$2:$D$14001,'مبيعات يومية'!$C$2:$C$14001,$A44,'مبيعات يومية'!$B$2:$B$14001,'إعدادات المخزون'!$A$16,'مبيعات يومية'!$A$2:$A$14001,'إعدادات المخزون'!$B$4)</f>
        <v>0.1667</v>
      </c>
      <c r="F44" s="118" t="n">
        <f aca="false">SUMIFS('مبيعات يومية'!$D$2:$D$14001,'مبيعات يومية'!$C$2:$C$14001,$A44,'مبيعات يومية'!$B$2:$B$14001,'إعدادات المخزون'!$A$16,'مبيعات يومية'!$A$2:$A$14001,"&gt;="&amp;'إعدادات المخزون'!$B$5,'مبيعات يومية'!$A$2:$A$14001,"&lt;="&amp;'إعدادات المخزون'!$B$4)</f>
        <v>2.0004</v>
      </c>
      <c r="G44" s="118" t="n">
        <f aca="false">SUMIFS('مبيعات يومية'!$D$2:$D$14001,'مبيعات يومية'!$C$2:$C$14001,$A44,'مبيعات يومية'!$B$2:$B$14001,'إعدادات المخزون'!$A$16,'مبيعات يومية'!$A$2:$A$14001,"&gt;"&amp;('إعدادات المخزون'!$B$4-'إعدادات المخزون'!$B$11),'مبيعات يومية'!$A$2:$A$14001,"&lt;="&amp;'إعدادات المخزون'!$B$4)</f>
        <v>1.1669</v>
      </c>
      <c r="H44" s="118" t="n">
        <f aca="false">SUMIFS('مبيعات يومية'!$D$2:$D$14001,'مبيعات يومية'!$C$2:$C$14001,$A44,'مبيعات يومية'!$B$2:$B$14001,'إعدادات المخزون'!$A$17,'مبيعات يومية'!$A$2:$A$14001,'إعدادات المخزون'!$B$4)</f>
        <v>0.0833</v>
      </c>
      <c r="I44" s="118" t="n">
        <f aca="false">SUMIFS('مبيعات يومية'!$D$2:$D$14001,'مبيعات يومية'!$C$2:$C$14001,$A44,'مبيعات يومية'!$B$2:$B$14001,'إعدادات المخزون'!$A$17,'مبيعات يومية'!$A$2:$A$14001,"&gt;="&amp;'إعدادات المخزون'!$B$5,'مبيعات يومية'!$A$2:$A$14001,"&lt;="&amp;'إعدادات المخزون'!$B$4)</f>
        <v>0.9996</v>
      </c>
      <c r="J44" s="118" t="n">
        <f aca="false">SUMIFS('مبيعات يومية'!$D$2:$D$14001,'مبيعات يومية'!$C$2:$C$14001,$A44,'مبيعات يومية'!$B$2:$B$14001,'إعدادات المخزون'!$A$17,'مبيعات يومية'!$A$2:$A$14001,"&gt;"&amp;('إعدادات المخزون'!$B$4-'إعدادات المخزون'!$B$11),'مبيعات يومية'!$A$2:$A$14001,"&lt;="&amp;'إعدادات المخزون'!$B$4)</f>
        <v>0.5831</v>
      </c>
    </row>
    <row r="45" customFormat="false" ht="15" hidden="false" customHeight="false" outlineLevel="0" collapsed="false">
      <c r="A45" s="116" t="str">
        <f aca="false">المنيو!B45</f>
        <v>فطيرة جمبري وسط</v>
      </c>
      <c r="B45" s="118" t="n">
        <f aca="false">SUMIFS('مبيعات يومية'!$D$2:$D$14001,'مبيعات يومية'!$C$2:$C$14001,$A45,'مبيعات يومية'!$B$2:$B$14001,'إعدادات المخزون'!$A$15,'مبيعات يومية'!$A$2:$A$14001,'إعدادات المخزون'!$B$4)</f>
        <v>0.3333</v>
      </c>
      <c r="C45" s="118" t="n">
        <f aca="false">SUMIFS('مبيعات يومية'!$D$2:$D$14001,'مبيعات يومية'!$C$2:$C$14001,$A45,'مبيعات يومية'!$B$2:$B$14001,'إعدادات المخزون'!$A$15,'مبيعات يومية'!$A$2:$A$14001,"&gt;="&amp;'إعدادات المخزون'!$B$5,'مبيعات يومية'!$A$2:$A$14001,"&lt;="&amp;'إعدادات المخزون'!$B$4)</f>
        <v>3.9996</v>
      </c>
      <c r="D45" s="118" t="n">
        <f aca="false">SUMIFS('مبيعات يومية'!$D$2:$D$14001,'مبيعات يومية'!$C$2:$C$14001,$A45,'مبيعات يومية'!$B$2:$B$14001,'إعدادات المخزون'!$A$15,'مبيعات يومية'!$A$2:$A$14001,"&gt;"&amp;('إعدادات المخزون'!$B$4-'إعدادات المخزون'!$B$11),'مبيعات يومية'!$A$2:$A$14001,"&lt;="&amp;'إعدادات المخزون'!$B$4)</f>
        <v>2.3331</v>
      </c>
      <c r="E45" s="118" t="n">
        <f aca="false">SUMIFS('مبيعات يومية'!$D$2:$D$14001,'مبيعات يومية'!$C$2:$C$14001,$A45,'مبيعات يومية'!$B$2:$B$14001,'إعدادات المخزون'!$A$16,'مبيعات يومية'!$A$2:$A$14001,'إعدادات المخزون'!$B$4)</f>
        <v>0.4167</v>
      </c>
      <c r="F45" s="118" t="n">
        <f aca="false">SUMIFS('مبيعات يومية'!$D$2:$D$14001,'مبيعات يومية'!$C$2:$C$14001,$A45,'مبيعات يومية'!$B$2:$B$14001,'إعدادات المخزون'!$A$16,'مبيعات يومية'!$A$2:$A$14001,"&gt;="&amp;'إعدادات المخزون'!$B$5,'مبيعات يومية'!$A$2:$A$14001,"&lt;="&amp;'إعدادات المخزون'!$B$4)</f>
        <v>5.0004</v>
      </c>
      <c r="G45" s="118" t="n">
        <f aca="false">SUMIFS('مبيعات يومية'!$D$2:$D$14001,'مبيعات يومية'!$C$2:$C$14001,$A45,'مبيعات يومية'!$B$2:$B$14001,'إعدادات المخزون'!$A$16,'مبيعات يومية'!$A$2:$A$14001,"&gt;"&amp;('إعدادات المخزون'!$B$4-'إعدادات المخزون'!$B$11),'مبيعات يومية'!$A$2:$A$14001,"&lt;="&amp;'إعدادات المخزون'!$B$4)</f>
        <v>2.9169</v>
      </c>
      <c r="H45" s="118" t="n">
        <f aca="false">SUMIFS('مبيعات يومية'!$D$2:$D$14001,'مبيعات يومية'!$C$2:$C$14001,$A45,'مبيعات يومية'!$B$2:$B$14001,'إعدادات المخزون'!$A$17,'مبيعات يومية'!$A$2:$A$14001,'إعدادات المخزون'!$B$4)</f>
        <v>0</v>
      </c>
      <c r="I45" s="118" t="n">
        <f aca="false">SUMIFS('مبيعات يومية'!$D$2:$D$14001,'مبيعات يومية'!$C$2:$C$14001,$A45,'مبيعات يومية'!$B$2:$B$14001,'إعدادات المخزون'!$A$17,'مبيعات يومية'!$A$2:$A$14001,"&gt;="&amp;'إعدادات المخزون'!$B$5,'مبيعات يومية'!$A$2:$A$14001,"&lt;="&amp;'إعدادات المخزون'!$B$4)</f>
        <v>0</v>
      </c>
      <c r="J45" s="118" t="n">
        <f aca="false">SUMIFS('مبيعات يومية'!$D$2:$D$14001,'مبيعات يومية'!$C$2:$C$14001,$A45,'مبيعات يومية'!$B$2:$B$14001,'إعدادات المخزون'!$A$17,'مبيعات يومية'!$A$2:$A$14001,"&gt;"&amp;('إعدادات المخزون'!$B$4-'إعدادات المخزون'!$B$11),'مبيعات يومية'!$A$2:$A$14001,"&lt;="&amp;'إعدادات المخزون'!$B$4)</f>
        <v>0</v>
      </c>
    </row>
    <row r="46" customFormat="false" ht="15" hidden="false" customHeight="false" outlineLevel="0" collapsed="false">
      <c r="A46" s="116" t="str">
        <f aca="false">المنيو!B46</f>
        <v>فطيرة جمبري حجم اكبر</v>
      </c>
      <c r="B46" s="118" t="n">
        <f aca="false">SUMIFS('مبيعات يومية'!$D$2:$D$14001,'مبيعات يومية'!$C$2:$C$14001,$A46,'مبيعات يومية'!$B$2:$B$14001,'إعدادات المخزون'!$A$15,'مبيعات يومية'!$A$2:$A$14001,'إعدادات المخزون'!$B$4)</f>
        <v>0.1667</v>
      </c>
      <c r="C46" s="118" t="n">
        <f aca="false">SUMIFS('مبيعات يومية'!$D$2:$D$14001,'مبيعات يومية'!$C$2:$C$14001,$A46,'مبيعات يومية'!$B$2:$B$14001,'إعدادات المخزون'!$A$15,'مبيعات يومية'!$A$2:$A$14001,"&gt;="&amp;'إعدادات المخزون'!$B$5,'مبيعات يومية'!$A$2:$A$14001,"&lt;="&amp;'إعدادات المخزون'!$B$4)</f>
        <v>2.0004</v>
      </c>
      <c r="D46" s="118" t="n">
        <f aca="false">SUMIFS('مبيعات يومية'!$D$2:$D$14001,'مبيعات يومية'!$C$2:$C$14001,$A46,'مبيعات يومية'!$B$2:$B$14001,'إعدادات المخزون'!$A$15,'مبيعات يومية'!$A$2:$A$14001,"&gt;"&amp;('إعدادات المخزون'!$B$4-'إعدادات المخزون'!$B$11),'مبيعات يومية'!$A$2:$A$14001,"&lt;="&amp;'إعدادات المخزون'!$B$4)</f>
        <v>1.1669</v>
      </c>
      <c r="E46" s="118" t="n">
        <f aca="false">SUMIFS('مبيعات يومية'!$D$2:$D$14001,'مبيعات يومية'!$C$2:$C$14001,$A46,'مبيعات يومية'!$B$2:$B$14001,'إعدادات المخزون'!$A$16,'مبيعات يومية'!$A$2:$A$14001,'إعدادات المخزون'!$B$4)</f>
        <v>0.1667</v>
      </c>
      <c r="F46" s="118" t="n">
        <f aca="false">SUMIFS('مبيعات يومية'!$D$2:$D$14001,'مبيعات يومية'!$C$2:$C$14001,$A46,'مبيعات يومية'!$B$2:$B$14001,'إعدادات المخزون'!$A$16,'مبيعات يومية'!$A$2:$A$14001,"&gt;="&amp;'إعدادات المخزون'!$B$5,'مبيعات يومية'!$A$2:$A$14001,"&lt;="&amp;'إعدادات المخزون'!$B$4)</f>
        <v>2.0004</v>
      </c>
      <c r="G46" s="118" t="n">
        <f aca="false">SUMIFS('مبيعات يومية'!$D$2:$D$14001,'مبيعات يومية'!$C$2:$C$14001,$A46,'مبيعات يومية'!$B$2:$B$14001,'إعدادات المخزون'!$A$16,'مبيعات يومية'!$A$2:$A$14001,"&gt;"&amp;('إعدادات المخزون'!$B$4-'إعدادات المخزون'!$B$11),'مبيعات يومية'!$A$2:$A$14001,"&lt;="&amp;'إعدادات المخزون'!$B$4)</f>
        <v>1.1669</v>
      </c>
      <c r="H46" s="118" t="n">
        <f aca="false">SUMIFS('مبيعات يومية'!$D$2:$D$14001,'مبيعات يومية'!$C$2:$C$14001,$A46,'مبيعات يومية'!$B$2:$B$14001,'إعدادات المخزون'!$A$17,'مبيعات يومية'!$A$2:$A$14001,'إعدادات المخزون'!$B$4)</f>
        <v>0.1667</v>
      </c>
      <c r="I46" s="118" t="n">
        <f aca="false">SUMIFS('مبيعات يومية'!$D$2:$D$14001,'مبيعات يومية'!$C$2:$C$14001,$A46,'مبيعات يومية'!$B$2:$B$14001,'إعدادات المخزون'!$A$17,'مبيعات يومية'!$A$2:$A$14001,"&gt;="&amp;'إعدادات المخزون'!$B$5,'مبيعات يومية'!$A$2:$A$14001,"&lt;="&amp;'إعدادات المخزون'!$B$4)</f>
        <v>2.0004</v>
      </c>
      <c r="J46" s="118" t="n">
        <f aca="false">SUMIFS('مبيعات يومية'!$D$2:$D$14001,'مبيعات يومية'!$C$2:$C$14001,$A46,'مبيعات يومية'!$B$2:$B$14001,'إعدادات المخزون'!$A$17,'مبيعات يومية'!$A$2:$A$14001,"&gt;"&amp;('إعدادات المخزون'!$B$4-'إعدادات المخزون'!$B$11),'مبيعات يومية'!$A$2:$A$14001,"&lt;="&amp;'إعدادات المخزون'!$B$4)</f>
        <v>1.1669</v>
      </c>
    </row>
    <row r="47" customFormat="false" ht="15" hidden="false" customHeight="false" outlineLevel="0" collapsed="false">
      <c r="A47" s="116" t="str">
        <f aca="false">المنيو!B47</f>
        <v>فطيرة سكر / كاستر</v>
      </c>
      <c r="B47" s="118" t="n">
        <f aca="false">SUMIFS('مبيعات يومية'!$D$2:$D$14001,'مبيعات يومية'!$C$2:$C$14001,$A47,'مبيعات يومية'!$B$2:$B$14001,'إعدادات المخزون'!$A$15,'مبيعات يومية'!$A$2:$A$14001,'إعدادات المخزون'!$B$4)</f>
        <v>48.1667</v>
      </c>
      <c r="C47" s="118" t="n">
        <f aca="false">SUMIFS('مبيعات يومية'!$D$2:$D$14001,'مبيعات يومية'!$C$2:$C$14001,$A47,'مبيعات يومية'!$B$2:$B$14001,'إعدادات المخزون'!$A$15,'مبيعات يومية'!$A$2:$A$14001,"&gt;="&amp;'إعدادات المخزون'!$B$5,'مبيعات يومية'!$A$2:$A$14001,"&lt;="&amp;'إعدادات المخزون'!$B$4)</f>
        <v>578.0004</v>
      </c>
      <c r="D47" s="118" t="n">
        <f aca="false">SUMIFS('مبيعات يومية'!$D$2:$D$14001,'مبيعات يومية'!$C$2:$C$14001,$A47,'مبيعات يومية'!$B$2:$B$14001,'إعدادات المخزون'!$A$15,'مبيعات يومية'!$A$2:$A$14001,"&gt;"&amp;('إعدادات المخزون'!$B$4-'إعدادات المخزون'!$B$11),'مبيعات يومية'!$A$2:$A$14001,"&lt;="&amp;'إعدادات المخزون'!$B$4)</f>
        <v>337.1669</v>
      </c>
      <c r="E47" s="118" t="n">
        <f aca="false">SUMIFS('مبيعات يومية'!$D$2:$D$14001,'مبيعات يومية'!$C$2:$C$14001,$A47,'مبيعات يومية'!$B$2:$B$14001,'إعدادات المخزون'!$A$16,'مبيعات يومية'!$A$2:$A$14001,'إعدادات المخزون'!$B$4)</f>
        <v>45</v>
      </c>
      <c r="F47" s="118" t="n">
        <f aca="false">SUMIFS('مبيعات يومية'!$D$2:$D$14001,'مبيعات يومية'!$C$2:$C$14001,$A47,'مبيعات يومية'!$B$2:$B$14001,'إعدادات المخزون'!$A$16,'مبيعات يومية'!$A$2:$A$14001,"&gt;="&amp;'إعدادات المخزون'!$B$5,'مبيعات يومية'!$A$2:$A$14001,"&lt;="&amp;'إعدادات المخزون'!$B$4)</f>
        <v>540</v>
      </c>
      <c r="G47" s="118" t="n">
        <f aca="false">SUMIFS('مبيعات يومية'!$D$2:$D$14001,'مبيعات يومية'!$C$2:$C$14001,$A47,'مبيعات يومية'!$B$2:$B$14001,'إعدادات المخزون'!$A$16,'مبيعات يومية'!$A$2:$A$14001,"&gt;"&amp;('إعدادات المخزون'!$B$4-'إعدادات المخزون'!$B$11),'مبيعات يومية'!$A$2:$A$14001,"&lt;="&amp;'إعدادات المخزون'!$B$4)</f>
        <v>315</v>
      </c>
      <c r="H47" s="118" t="n">
        <f aca="false">SUMIFS('مبيعات يومية'!$D$2:$D$14001,'مبيعات يومية'!$C$2:$C$14001,$A47,'مبيعات يومية'!$B$2:$B$14001,'إعدادات المخزون'!$A$17,'مبيعات يومية'!$A$2:$A$14001,'إعدادات المخزون'!$B$4)</f>
        <v>43.2083</v>
      </c>
      <c r="I47" s="118" t="n">
        <f aca="false">SUMIFS('مبيعات يومية'!$D$2:$D$14001,'مبيعات يومية'!$C$2:$C$14001,$A47,'مبيعات يومية'!$B$2:$B$14001,'إعدادات المخزون'!$A$17,'مبيعات يومية'!$A$2:$A$14001,"&gt;="&amp;'إعدادات المخزون'!$B$5,'مبيعات يومية'!$A$2:$A$14001,"&lt;="&amp;'إعدادات المخزون'!$B$4)</f>
        <v>518.4996</v>
      </c>
      <c r="J47" s="118" t="n">
        <f aca="false">SUMIFS('مبيعات يومية'!$D$2:$D$14001,'مبيعات يومية'!$C$2:$C$14001,$A47,'مبيعات يومية'!$B$2:$B$14001,'إعدادات المخزون'!$A$17,'مبيعات يومية'!$A$2:$A$14001,"&gt;"&amp;('إعدادات المخزون'!$B$4-'إعدادات المخزون'!$B$11),'مبيعات يومية'!$A$2:$A$14001,"&lt;="&amp;'إعدادات المخزون'!$B$4)</f>
        <v>302.4581</v>
      </c>
    </row>
    <row r="48" customFormat="false" ht="15" hidden="false" customHeight="false" outlineLevel="0" collapsed="false">
      <c r="A48" s="116" t="str">
        <f aca="false">المنيو!B48</f>
        <v>فطيرة ملوكي زبيب وجوزهند</v>
      </c>
      <c r="B48" s="118" t="n">
        <f aca="false">SUMIFS('مبيعات يومية'!$D$2:$D$14001,'مبيعات يومية'!$C$2:$C$14001,$A48,'مبيعات يومية'!$B$2:$B$14001,'إعدادات المخزون'!$A$15,'مبيعات يومية'!$A$2:$A$14001,'إعدادات المخزون'!$B$4)</f>
        <v>1.1667</v>
      </c>
      <c r="C48" s="118" t="n">
        <f aca="false">SUMIFS('مبيعات يومية'!$D$2:$D$14001,'مبيعات يومية'!$C$2:$C$14001,$A48,'مبيعات يومية'!$B$2:$B$14001,'إعدادات المخزون'!$A$15,'مبيعات يومية'!$A$2:$A$14001,"&gt;="&amp;'إعدادات المخزون'!$B$5,'مبيعات يومية'!$A$2:$A$14001,"&lt;="&amp;'إعدادات المخزون'!$B$4)</f>
        <v>14.0004</v>
      </c>
      <c r="D48" s="118" t="n">
        <f aca="false">SUMIFS('مبيعات يومية'!$D$2:$D$14001,'مبيعات يومية'!$C$2:$C$14001,$A48,'مبيعات يومية'!$B$2:$B$14001,'إعدادات المخزون'!$A$15,'مبيعات يومية'!$A$2:$A$14001,"&gt;"&amp;('إعدادات المخزون'!$B$4-'إعدادات المخزون'!$B$11),'مبيعات يومية'!$A$2:$A$14001,"&lt;="&amp;'إعدادات المخزون'!$B$4)</f>
        <v>8.1669</v>
      </c>
      <c r="E48" s="118" t="n">
        <f aca="false">SUMIFS('مبيعات يومية'!$D$2:$D$14001,'مبيعات يومية'!$C$2:$C$14001,$A48,'مبيعات يومية'!$B$2:$B$14001,'إعدادات المخزون'!$A$16,'مبيعات يومية'!$A$2:$A$14001,'إعدادات المخزون'!$B$4)</f>
        <v>0.5</v>
      </c>
      <c r="F48" s="118" t="n">
        <f aca="false">SUMIFS('مبيعات يومية'!$D$2:$D$14001,'مبيعات يومية'!$C$2:$C$14001,$A48,'مبيعات يومية'!$B$2:$B$14001,'إعدادات المخزون'!$A$16,'مبيعات يومية'!$A$2:$A$14001,"&gt;="&amp;'إعدادات المخزون'!$B$5,'مبيعات يومية'!$A$2:$A$14001,"&lt;="&amp;'إعدادات المخزون'!$B$4)</f>
        <v>6</v>
      </c>
      <c r="G48" s="118" t="n">
        <f aca="false">SUMIFS('مبيعات يومية'!$D$2:$D$14001,'مبيعات يومية'!$C$2:$C$14001,$A48,'مبيعات يومية'!$B$2:$B$14001,'إعدادات المخزون'!$A$16,'مبيعات يومية'!$A$2:$A$14001,"&gt;"&amp;('إعدادات المخزون'!$B$4-'إعدادات المخزون'!$B$11),'مبيعات يومية'!$A$2:$A$14001,"&lt;="&amp;'إعدادات المخزون'!$B$4)</f>
        <v>3.5</v>
      </c>
      <c r="H48" s="118" t="n">
        <f aca="false">SUMIFS('مبيعات يومية'!$D$2:$D$14001,'مبيعات يومية'!$C$2:$C$14001,$A48,'مبيعات يومية'!$B$2:$B$14001,'إعدادات المخزون'!$A$17,'مبيعات يومية'!$A$2:$A$14001,'إعدادات المخزون'!$B$4)</f>
        <v>2</v>
      </c>
      <c r="I48" s="118" t="n">
        <f aca="false">SUMIFS('مبيعات يومية'!$D$2:$D$14001,'مبيعات يومية'!$C$2:$C$14001,$A48,'مبيعات يومية'!$B$2:$B$14001,'إعدادات المخزون'!$A$17,'مبيعات يومية'!$A$2:$A$14001,"&gt;="&amp;'إعدادات المخزون'!$B$5,'مبيعات يومية'!$A$2:$A$14001,"&lt;="&amp;'إعدادات المخزون'!$B$4)</f>
        <v>24</v>
      </c>
      <c r="J48" s="118" t="n">
        <f aca="false">SUMIFS('مبيعات يومية'!$D$2:$D$14001,'مبيعات يومية'!$C$2:$C$14001,$A48,'مبيعات يومية'!$B$2:$B$14001,'إعدادات المخزون'!$A$17,'مبيعات يومية'!$A$2:$A$14001,"&gt;"&amp;('إعدادات المخزون'!$B$4-'إعدادات المخزون'!$B$11),'مبيعات يومية'!$A$2:$A$14001,"&lt;="&amp;'إعدادات المخزون'!$B$4)</f>
        <v>14</v>
      </c>
    </row>
    <row r="49" customFormat="false" ht="15" hidden="false" customHeight="false" outlineLevel="0" collapsed="false">
      <c r="A49" s="116" t="str">
        <f aca="false">المنيو!B49</f>
        <v>فطيرة قشطة عسل مكسرات</v>
      </c>
      <c r="B49" s="118" t="n">
        <f aca="false">SUMIFS('مبيعات يومية'!$D$2:$D$14001,'مبيعات يومية'!$C$2:$C$14001,$A49,'مبيعات يومية'!$B$2:$B$14001,'إعدادات المخزون'!$A$15,'مبيعات يومية'!$A$2:$A$14001,'إعدادات المخزون'!$B$4)</f>
        <v>1.5833</v>
      </c>
      <c r="C49" s="118" t="n">
        <f aca="false">SUMIFS('مبيعات يومية'!$D$2:$D$14001,'مبيعات يومية'!$C$2:$C$14001,$A49,'مبيعات يومية'!$B$2:$B$14001,'إعدادات المخزون'!$A$15,'مبيعات يومية'!$A$2:$A$14001,"&gt;="&amp;'إعدادات المخزون'!$B$5,'مبيعات يومية'!$A$2:$A$14001,"&lt;="&amp;'إعدادات المخزون'!$B$4)</f>
        <v>18.9996</v>
      </c>
      <c r="D49" s="118" t="n">
        <f aca="false">SUMIFS('مبيعات يومية'!$D$2:$D$14001,'مبيعات يومية'!$C$2:$C$14001,$A49,'مبيعات يومية'!$B$2:$B$14001,'إعدادات المخزون'!$A$15,'مبيعات يومية'!$A$2:$A$14001,"&gt;"&amp;('إعدادات المخزون'!$B$4-'إعدادات المخزون'!$B$11),'مبيعات يومية'!$A$2:$A$14001,"&lt;="&amp;'إعدادات المخزون'!$B$4)</f>
        <v>11.0831</v>
      </c>
      <c r="E49" s="118" t="n">
        <f aca="false">SUMIFS('مبيعات يومية'!$D$2:$D$14001,'مبيعات يومية'!$C$2:$C$14001,$A49,'مبيعات يومية'!$B$2:$B$14001,'إعدادات المخزون'!$A$16,'مبيعات يومية'!$A$2:$A$14001,'إعدادات المخزون'!$B$4)</f>
        <v>0.5833</v>
      </c>
      <c r="F49" s="118" t="n">
        <f aca="false">SUMIFS('مبيعات يومية'!$D$2:$D$14001,'مبيعات يومية'!$C$2:$C$14001,$A49,'مبيعات يومية'!$B$2:$B$14001,'إعدادات المخزون'!$A$16,'مبيعات يومية'!$A$2:$A$14001,"&gt;="&amp;'إعدادات المخزون'!$B$5,'مبيعات يومية'!$A$2:$A$14001,"&lt;="&amp;'إعدادات المخزون'!$B$4)</f>
        <v>6.9996</v>
      </c>
      <c r="G49" s="118" t="n">
        <f aca="false">SUMIFS('مبيعات يومية'!$D$2:$D$14001,'مبيعات يومية'!$C$2:$C$14001,$A49,'مبيعات يومية'!$B$2:$B$14001,'إعدادات المخزون'!$A$16,'مبيعات يومية'!$A$2:$A$14001,"&gt;"&amp;('إعدادات المخزون'!$B$4-'إعدادات المخزون'!$B$11),'مبيعات يومية'!$A$2:$A$14001,"&lt;="&amp;'إعدادات المخزون'!$B$4)</f>
        <v>4.0831</v>
      </c>
      <c r="H49" s="118" t="n">
        <f aca="false">SUMIFS('مبيعات يومية'!$D$2:$D$14001,'مبيعات يومية'!$C$2:$C$14001,$A49,'مبيعات يومية'!$B$2:$B$14001,'إعدادات المخزون'!$A$17,'مبيعات يومية'!$A$2:$A$14001,'إعدادات المخزون'!$B$4)</f>
        <v>0.5</v>
      </c>
      <c r="I49" s="118" t="n">
        <f aca="false">SUMIFS('مبيعات يومية'!$D$2:$D$14001,'مبيعات يومية'!$C$2:$C$14001,$A49,'مبيعات يومية'!$B$2:$B$14001,'إعدادات المخزون'!$A$17,'مبيعات يومية'!$A$2:$A$14001,"&gt;="&amp;'إعدادات المخزون'!$B$5,'مبيعات يومية'!$A$2:$A$14001,"&lt;="&amp;'إعدادات المخزون'!$B$4)</f>
        <v>6</v>
      </c>
      <c r="J49" s="118" t="n">
        <f aca="false">SUMIFS('مبيعات يومية'!$D$2:$D$14001,'مبيعات يومية'!$C$2:$C$14001,$A49,'مبيعات يومية'!$B$2:$B$14001,'إعدادات المخزون'!$A$17,'مبيعات يومية'!$A$2:$A$14001,"&gt;"&amp;('إعدادات المخزون'!$B$4-'إعدادات المخزون'!$B$11),'مبيعات يومية'!$A$2:$A$14001,"&lt;="&amp;'إعدادات المخزون'!$B$4)</f>
        <v>3.5</v>
      </c>
    </row>
    <row r="50" customFormat="false" ht="15" hidden="false" customHeight="false" outlineLevel="0" collapsed="false">
      <c r="A50" s="116" t="str">
        <f aca="false">المنيو!B50</f>
        <v>فطيرة شيكولاتة</v>
      </c>
      <c r="B50" s="118" t="n">
        <f aca="false">SUMIFS('مبيعات يومية'!$D$2:$D$14001,'مبيعات يومية'!$C$2:$C$14001,$A50,'مبيعات يومية'!$B$2:$B$14001,'إعدادات المخزون'!$A$15,'مبيعات يومية'!$A$2:$A$14001,'إعدادات المخزون'!$B$4)</f>
        <v>10.5417</v>
      </c>
      <c r="C50" s="118" t="n">
        <f aca="false">SUMIFS('مبيعات يومية'!$D$2:$D$14001,'مبيعات يومية'!$C$2:$C$14001,$A50,'مبيعات يومية'!$B$2:$B$14001,'إعدادات المخزون'!$A$15,'مبيعات يومية'!$A$2:$A$14001,"&gt;="&amp;'إعدادات المخزون'!$B$5,'مبيعات يومية'!$A$2:$A$14001,"&lt;="&amp;'إعدادات المخزون'!$B$4)</f>
        <v>126.5004</v>
      </c>
      <c r="D50" s="118" t="n">
        <f aca="false">SUMIFS('مبيعات يومية'!$D$2:$D$14001,'مبيعات يومية'!$C$2:$C$14001,$A50,'مبيعات يومية'!$B$2:$B$14001,'إعدادات المخزون'!$A$15,'مبيعات يومية'!$A$2:$A$14001,"&gt;"&amp;('إعدادات المخزون'!$B$4-'إعدادات المخزون'!$B$11),'مبيعات يومية'!$A$2:$A$14001,"&lt;="&amp;'إعدادات المخزون'!$B$4)</f>
        <v>73.7919</v>
      </c>
      <c r="E50" s="118" t="n">
        <f aca="false">SUMIFS('مبيعات يومية'!$D$2:$D$14001,'مبيعات يومية'!$C$2:$C$14001,$A50,'مبيعات يومية'!$B$2:$B$14001,'إعدادات المخزون'!$A$16,'مبيعات يومية'!$A$2:$A$14001,'إعدادات المخزون'!$B$4)</f>
        <v>8.1667</v>
      </c>
      <c r="F50" s="118" t="n">
        <f aca="false">SUMIFS('مبيعات يومية'!$D$2:$D$14001,'مبيعات يومية'!$C$2:$C$14001,$A50,'مبيعات يومية'!$B$2:$B$14001,'إعدادات المخزون'!$A$16,'مبيعات يومية'!$A$2:$A$14001,"&gt;="&amp;'إعدادات المخزون'!$B$5,'مبيعات يومية'!$A$2:$A$14001,"&lt;="&amp;'إعدادات المخزون'!$B$4)</f>
        <v>98.0004</v>
      </c>
      <c r="G50" s="118" t="n">
        <f aca="false">SUMIFS('مبيعات يومية'!$D$2:$D$14001,'مبيعات يومية'!$C$2:$C$14001,$A50,'مبيعات يومية'!$B$2:$B$14001,'إعدادات المخزون'!$A$16,'مبيعات يومية'!$A$2:$A$14001,"&gt;"&amp;('إعدادات المخزون'!$B$4-'إعدادات المخزون'!$B$11),'مبيعات يومية'!$A$2:$A$14001,"&lt;="&amp;'إعدادات المخزون'!$B$4)</f>
        <v>57.1669</v>
      </c>
      <c r="H50" s="118" t="n">
        <f aca="false">SUMIFS('مبيعات يومية'!$D$2:$D$14001,'مبيعات يومية'!$C$2:$C$14001,$A50,'مبيعات يومية'!$B$2:$B$14001,'إعدادات المخزون'!$A$17,'مبيعات يومية'!$A$2:$A$14001,'إعدادات المخزون'!$B$4)</f>
        <v>11.5</v>
      </c>
      <c r="I50" s="118" t="n">
        <f aca="false">SUMIFS('مبيعات يومية'!$D$2:$D$14001,'مبيعات يومية'!$C$2:$C$14001,$A50,'مبيعات يومية'!$B$2:$B$14001,'إعدادات المخزون'!$A$17,'مبيعات يومية'!$A$2:$A$14001,"&gt;="&amp;'إعدادات المخزون'!$B$5,'مبيعات يومية'!$A$2:$A$14001,"&lt;="&amp;'إعدادات المخزون'!$B$4)</f>
        <v>138</v>
      </c>
      <c r="J50" s="118" t="n">
        <f aca="false">SUMIFS('مبيعات يومية'!$D$2:$D$14001,'مبيعات يومية'!$C$2:$C$14001,$A50,'مبيعات يومية'!$B$2:$B$14001,'إعدادات المخزون'!$A$17,'مبيعات يومية'!$A$2:$A$14001,"&gt;"&amp;('إعدادات المخزون'!$B$4-'إعدادات المخزون'!$B$11),'مبيعات يومية'!$A$2:$A$14001,"&lt;="&amp;'إعدادات المخزون'!$B$4)</f>
        <v>80.5</v>
      </c>
    </row>
    <row r="51" customFormat="false" ht="15" hidden="false" customHeight="false" outlineLevel="0" collapsed="false">
      <c r="A51" s="116" t="str">
        <f aca="false">المنيو!B51</f>
        <v>فطيرة نوتيلا قشطة مكسرات</v>
      </c>
      <c r="B51" s="118" t="n">
        <f aca="false">SUMIFS('مبيعات يومية'!$D$2:$D$14001,'مبيعات يومية'!$C$2:$C$14001,$A51,'مبيعات يومية'!$B$2:$B$14001,'إعدادات المخزون'!$A$15,'مبيعات يومية'!$A$2:$A$14001,'إعدادات المخزون'!$B$4)</f>
        <v>0.1667</v>
      </c>
      <c r="C51" s="118" t="n">
        <f aca="false">SUMIFS('مبيعات يومية'!$D$2:$D$14001,'مبيعات يومية'!$C$2:$C$14001,$A51,'مبيعات يومية'!$B$2:$B$14001,'إعدادات المخزون'!$A$15,'مبيعات يومية'!$A$2:$A$14001,"&gt;="&amp;'إعدادات المخزون'!$B$5,'مبيعات يومية'!$A$2:$A$14001,"&lt;="&amp;'إعدادات المخزون'!$B$4)</f>
        <v>2.0004</v>
      </c>
      <c r="D51" s="118" t="n">
        <f aca="false">SUMIFS('مبيعات يومية'!$D$2:$D$14001,'مبيعات يومية'!$C$2:$C$14001,$A51,'مبيعات يومية'!$B$2:$B$14001,'إعدادات المخزون'!$A$15,'مبيعات يومية'!$A$2:$A$14001,"&gt;"&amp;('إعدادات المخزون'!$B$4-'إعدادات المخزون'!$B$11),'مبيعات يومية'!$A$2:$A$14001,"&lt;="&amp;'إعدادات المخزون'!$B$4)</f>
        <v>1.1669</v>
      </c>
      <c r="E51" s="118" t="n">
        <f aca="false">SUMIFS('مبيعات يومية'!$D$2:$D$14001,'مبيعات يومية'!$C$2:$C$14001,$A51,'مبيعات يومية'!$B$2:$B$14001,'إعدادات المخزون'!$A$16,'مبيعات يومية'!$A$2:$A$14001,'إعدادات المخزون'!$B$4)</f>
        <v>0.25</v>
      </c>
      <c r="F51" s="118" t="n">
        <f aca="false">SUMIFS('مبيعات يومية'!$D$2:$D$14001,'مبيعات يومية'!$C$2:$C$14001,$A51,'مبيعات يومية'!$B$2:$B$14001,'إعدادات المخزون'!$A$16,'مبيعات يومية'!$A$2:$A$14001,"&gt;="&amp;'إعدادات المخزون'!$B$5,'مبيعات يومية'!$A$2:$A$14001,"&lt;="&amp;'إعدادات المخزون'!$B$4)</f>
        <v>3</v>
      </c>
      <c r="G51" s="118" t="n">
        <f aca="false">SUMIFS('مبيعات يومية'!$D$2:$D$14001,'مبيعات يومية'!$C$2:$C$14001,$A51,'مبيعات يومية'!$B$2:$B$14001,'إعدادات المخزون'!$A$16,'مبيعات يومية'!$A$2:$A$14001,"&gt;"&amp;('إعدادات المخزون'!$B$4-'إعدادات المخزون'!$B$11),'مبيعات يومية'!$A$2:$A$14001,"&lt;="&amp;'إعدادات المخزون'!$B$4)</f>
        <v>1.75</v>
      </c>
      <c r="H51" s="118" t="n">
        <f aca="false">SUMIFS('مبيعات يومية'!$D$2:$D$14001,'مبيعات يومية'!$C$2:$C$14001,$A51,'مبيعات يومية'!$B$2:$B$14001,'إعدادات المخزون'!$A$17,'مبيعات يومية'!$A$2:$A$14001,'إعدادات المخزون'!$B$4)</f>
        <v>0.0833</v>
      </c>
      <c r="I51" s="118" t="n">
        <f aca="false">SUMIFS('مبيعات يومية'!$D$2:$D$14001,'مبيعات يومية'!$C$2:$C$14001,$A51,'مبيعات يومية'!$B$2:$B$14001,'إعدادات المخزون'!$A$17,'مبيعات يومية'!$A$2:$A$14001,"&gt;="&amp;'إعدادات المخزون'!$B$5,'مبيعات يومية'!$A$2:$A$14001,"&lt;="&amp;'إعدادات المخزون'!$B$4)</f>
        <v>0.9996</v>
      </c>
      <c r="J51" s="118" t="n">
        <f aca="false">SUMIFS('مبيعات يومية'!$D$2:$D$14001,'مبيعات يومية'!$C$2:$C$14001,$A51,'مبيعات يومية'!$B$2:$B$14001,'إعدادات المخزون'!$A$17,'مبيعات يومية'!$A$2:$A$14001,"&gt;"&amp;('إعدادات المخزون'!$B$4-'إعدادات المخزون'!$B$11),'مبيعات يومية'!$A$2:$A$14001,"&lt;="&amp;'إعدادات المخزون'!$B$4)</f>
        <v>0.5831</v>
      </c>
    </row>
    <row r="52" customFormat="false" ht="15" hidden="false" customHeight="false" outlineLevel="0" collapsed="false">
      <c r="A52" s="116" t="str">
        <f aca="false">المنيو!B52</f>
        <v>فطيرة فورسيزون ستاموني</v>
      </c>
      <c r="B52" s="118" t="n">
        <f aca="false">SUMIFS('مبيعات يومية'!$D$2:$D$14001,'مبيعات يومية'!$C$2:$C$14001,$A52,'مبيعات يومية'!$B$2:$B$14001,'إعدادات المخزون'!$A$15,'مبيعات يومية'!$A$2:$A$14001,'إعدادات المخزون'!$B$4)</f>
        <v>1</v>
      </c>
      <c r="C52" s="118" t="n">
        <f aca="false">SUMIFS('مبيعات يومية'!$D$2:$D$14001,'مبيعات يومية'!$C$2:$C$14001,$A52,'مبيعات يومية'!$B$2:$B$14001,'إعدادات المخزون'!$A$15,'مبيعات يومية'!$A$2:$A$14001,"&gt;="&amp;'إعدادات المخزون'!$B$5,'مبيعات يومية'!$A$2:$A$14001,"&lt;="&amp;'إعدادات المخزون'!$B$4)</f>
        <v>12</v>
      </c>
      <c r="D52" s="118" t="n">
        <f aca="false">SUMIFS('مبيعات يومية'!$D$2:$D$14001,'مبيعات يومية'!$C$2:$C$14001,$A52,'مبيعات يومية'!$B$2:$B$14001,'إعدادات المخزون'!$A$15,'مبيعات يومية'!$A$2:$A$14001,"&gt;"&amp;('إعدادات المخزون'!$B$4-'إعدادات المخزون'!$B$11),'مبيعات يومية'!$A$2:$A$14001,"&lt;="&amp;'إعدادات المخزون'!$B$4)</f>
        <v>7</v>
      </c>
      <c r="E52" s="118" t="n">
        <f aca="false">SUMIFS('مبيعات يومية'!$D$2:$D$14001,'مبيعات يومية'!$C$2:$C$14001,$A52,'مبيعات يومية'!$B$2:$B$14001,'إعدادات المخزون'!$A$16,'مبيعات يومية'!$A$2:$A$14001,'إعدادات المخزون'!$B$4)</f>
        <v>0.25</v>
      </c>
      <c r="F52" s="118" t="n">
        <f aca="false">SUMIFS('مبيعات يومية'!$D$2:$D$14001,'مبيعات يومية'!$C$2:$C$14001,$A52,'مبيعات يومية'!$B$2:$B$14001,'إعدادات المخزون'!$A$16,'مبيعات يومية'!$A$2:$A$14001,"&gt;="&amp;'إعدادات المخزون'!$B$5,'مبيعات يومية'!$A$2:$A$14001,"&lt;="&amp;'إعدادات المخزون'!$B$4)</f>
        <v>3</v>
      </c>
      <c r="G52" s="118" t="n">
        <f aca="false">SUMIFS('مبيعات يومية'!$D$2:$D$14001,'مبيعات يومية'!$C$2:$C$14001,$A52,'مبيعات يومية'!$B$2:$B$14001,'إعدادات المخزون'!$A$16,'مبيعات يومية'!$A$2:$A$14001,"&gt;"&amp;('إعدادات المخزون'!$B$4-'إعدادات المخزون'!$B$11),'مبيعات يومية'!$A$2:$A$14001,"&lt;="&amp;'إعدادات المخزون'!$B$4)</f>
        <v>1.75</v>
      </c>
      <c r="H52" s="118" t="n">
        <f aca="false">SUMIFS('مبيعات يومية'!$D$2:$D$14001,'مبيعات يومية'!$C$2:$C$14001,$A52,'مبيعات يومية'!$B$2:$B$14001,'إعدادات المخزون'!$A$17,'مبيعات يومية'!$A$2:$A$14001,'إعدادات المخزون'!$B$4)</f>
        <v>1.4167</v>
      </c>
      <c r="I52" s="118" t="n">
        <f aca="false">SUMIFS('مبيعات يومية'!$D$2:$D$14001,'مبيعات يومية'!$C$2:$C$14001,$A52,'مبيعات يومية'!$B$2:$B$14001,'إعدادات المخزون'!$A$17,'مبيعات يومية'!$A$2:$A$14001,"&gt;="&amp;'إعدادات المخزون'!$B$5,'مبيعات يومية'!$A$2:$A$14001,"&lt;="&amp;'إعدادات المخزون'!$B$4)</f>
        <v>17.0004</v>
      </c>
      <c r="J52" s="118" t="n">
        <f aca="false">SUMIFS('مبيعات يومية'!$D$2:$D$14001,'مبيعات يومية'!$C$2:$C$14001,$A52,'مبيعات يومية'!$B$2:$B$14001,'إعدادات المخزون'!$A$17,'مبيعات يومية'!$A$2:$A$14001,"&gt;"&amp;('إعدادات المخزون'!$B$4-'إعدادات المخزون'!$B$11),'مبيعات يومية'!$A$2:$A$14001,"&lt;="&amp;'إعدادات المخزون'!$B$4)</f>
        <v>9.9169</v>
      </c>
    </row>
    <row r="53" customFormat="false" ht="15" hidden="false" customHeight="false" outlineLevel="0" collapsed="false">
      <c r="A53" s="116" t="str">
        <f aca="false">المنيو!B53</f>
        <v>قنبلة برجر</v>
      </c>
      <c r="B53" s="118" t="n">
        <f aca="false">SUMIFS('مبيعات يومية'!$D$2:$D$14001,'مبيعات يومية'!$C$2:$C$14001,$A53,'مبيعات يومية'!$B$2:$B$14001,'إعدادات المخزون'!$A$15,'مبيعات يومية'!$A$2:$A$14001,'إعدادات المخزون'!$B$4)</f>
        <v>3.75</v>
      </c>
      <c r="C53" s="118" t="n">
        <f aca="false">SUMIFS('مبيعات يومية'!$D$2:$D$14001,'مبيعات يومية'!$C$2:$C$14001,$A53,'مبيعات يومية'!$B$2:$B$14001,'إعدادات المخزون'!$A$15,'مبيعات يومية'!$A$2:$A$14001,"&gt;="&amp;'إعدادات المخزون'!$B$5,'مبيعات يومية'!$A$2:$A$14001,"&lt;="&amp;'إعدادات المخزون'!$B$4)</f>
        <v>45</v>
      </c>
      <c r="D53" s="118" t="n">
        <f aca="false">SUMIFS('مبيعات يومية'!$D$2:$D$14001,'مبيعات يومية'!$C$2:$C$14001,$A53,'مبيعات يومية'!$B$2:$B$14001,'إعدادات المخزون'!$A$15,'مبيعات يومية'!$A$2:$A$14001,"&gt;"&amp;('إعدادات المخزون'!$B$4-'إعدادات المخزون'!$B$11),'مبيعات يومية'!$A$2:$A$14001,"&lt;="&amp;'إعدادات المخزون'!$B$4)</f>
        <v>26.25</v>
      </c>
      <c r="E53" s="118" t="n">
        <f aca="false">SUMIFS('مبيعات يومية'!$D$2:$D$14001,'مبيعات يومية'!$C$2:$C$14001,$A53,'مبيعات يومية'!$B$2:$B$14001,'إعدادات المخزون'!$A$16,'مبيعات يومية'!$A$2:$A$14001,'إعدادات المخزون'!$B$4)</f>
        <v>4.0833</v>
      </c>
      <c r="F53" s="118" t="n">
        <f aca="false">SUMIFS('مبيعات يومية'!$D$2:$D$14001,'مبيعات يومية'!$C$2:$C$14001,$A53,'مبيعات يومية'!$B$2:$B$14001,'إعدادات المخزون'!$A$16,'مبيعات يومية'!$A$2:$A$14001,"&gt;="&amp;'إعدادات المخزون'!$B$5,'مبيعات يومية'!$A$2:$A$14001,"&lt;="&amp;'إعدادات المخزون'!$B$4)</f>
        <v>48.9996</v>
      </c>
      <c r="G53" s="118" t="n">
        <f aca="false">SUMIFS('مبيعات يومية'!$D$2:$D$14001,'مبيعات يومية'!$C$2:$C$14001,$A53,'مبيعات يومية'!$B$2:$B$14001,'إعدادات المخزون'!$A$16,'مبيعات يومية'!$A$2:$A$14001,"&gt;"&amp;('إعدادات المخزون'!$B$4-'إعدادات المخزون'!$B$11),'مبيعات يومية'!$A$2:$A$14001,"&lt;="&amp;'إعدادات المخزون'!$B$4)</f>
        <v>28.5831</v>
      </c>
      <c r="H53" s="118" t="n">
        <f aca="false">SUMIFS('مبيعات يومية'!$D$2:$D$14001,'مبيعات يومية'!$C$2:$C$14001,$A53,'مبيعات يومية'!$B$2:$B$14001,'إعدادات المخزون'!$A$17,'مبيعات يومية'!$A$2:$A$14001,'إعدادات المخزون'!$B$4)</f>
        <v>6.3333</v>
      </c>
      <c r="I53" s="118" t="n">
        <f aca="false">SUMIFS('مبيعات يومية'!$D$2:$D$14001,'مبيعات يومية'!$C$2:$C$14001,$A53,'مبيعات يومية'!$B$2:$B$14001,'إعدادات المخزون'!$A$17,'مبيعات يومية'!$A$2:$A$14001,"&gt;="&amp;'إعدادات المخزون'!$B$5,'مبيعات يومية'!$A$2:$A$14001,"&lt;="&amp;'إعدادات المخزون'!$B$4)</f>
        <v>75.9996</v>
      </c>
      <c r="J53" s="118" t="n">
        <f aca="false">SUMIFS('مبيعات يومية'!$D$2:$D$14001,'مبيعات يومية'!$C$2:$C$14001,$A53,'مبيعات يومية'!$B$2:$B$14001,'إعدادات المخزون'!$A$17,'مبيعات يومية'!$A$2:$A$14001,"&gt;"&amp;('إعدادات المخزون'!$B$4-'إعدادات المخزون'!$B$11),'مبيعات يومية'!$A$2:$A$14001,"&lt;="&amp;'إعدادات المخزون'!$B$4)</f>
        <v>44.3331</v>
      </c>
    </row>
    <row r="54" customFormat="false" ht="15" hidden="false" customHeight="false" outlineLevel="0" collapsed="false">
      <c r="A54" s="116" t="str">
        <f aca="false">المنيو!B54</f>
        <v>قنبلة كريسبي</v>
      </c>
      <c r="B54" s="118" t="n">
        <f aca="false">SUMIFS('مبيعات يومية'!$D$2:$D$14001,'مبيعات يومية'!$C$2:$C$14001,$A54,'مبيعات يومية'!$B$2:$B$14001,'إعدادات المخزون'!$A$15,'مبيعات يومية'!$A$2:$A$14001,'إعدادات المخزون'!$B$4)</f>
        <v>1.0833</v>
      </c>
      <c r="C54" s="118" t="n">
        <f aca="false">SUMIFS('مبيعات يومية'!$D$2:$D$14001,'مبيعات يومية'!$C$2:$C$14001,$A54,'مبيعات يومية'!$B$2:$B$14001,'إعدادات المخزون'!$A$15,'مبيعات يومية'!$A$2:$A$14001,"&gt;="&amp;'إعدادات المخزون'!$B$5,'مبيعات يومية'!$A$2:$A$14001,"&lt;="&amp;'إعدادات المخزون'!$B$4)</f>
        <v>12.9996</v>
      </c>
      <c r="D54" s="118" t="n">
        <f aca="false">SUMIFS('مبيعات يومية'!$D$2:$D$14001,'مبيعات يومية'!$C$2:$C$14001,$A54,'مبيعات يومية'!$B$2:$B$14001,'إعدادات المخزون'!$A$15,'مبيعات يومية'!$A$2:$A$14001,"&gt;"&amp;('إعدادات المخزون'!$B$4-'إعدادات المخزون'!$B$11),'مبيعات يومية'!$A$2:$A$14001,"&lt;="&amp;'إعدادات المخزون'!$B$4)</f>
        <v>7.5831</v>
      </c>
      <c r="E54" s="118" t="n">
        <f aca="false">SUMIFS('مبيعات يومية'!$D$2:$D$14001,'مبيعات يومية'!$C$2:$C$14001,$A54,'مبيعات يومية'!$B$2:$B$14001,'إعدادات المخزون'!$A$16,'مبيعات يومية'!$A$2:$A$14001,'إعدادات المخزون'!$B$4)</f>
        <v>0.75</v>
      </c>
      <c r="F54" s="118" t="n">
        <f aca="false">SUMIFS('مبيعات يومية'!$D$2:$D$14001,'مبيعات يومية'!$C$2:$C$14001,$A54,'مبيعات يومية'!$B$2:$B$14001,'إعدادات المخزون'!$A$16,'مبيعات يومية'!$A$2:$A$14001,"&gt;="&amp;'إعدادات المخزون'!$B$5,'مبيعات يومية'!$A$2:$A$14001,"&lt;="&amp;'إعدادات المخزون'!$B$4)</f>
        <v>9</v>
      </c>
      <c r="G54" s="118" t="n">
        <f aca="false">SUMIFS('مبيعات يومية'!$D$2:$D$14001,'مبيعات يومية'!$C$2:$C$14001,$A54,'مبيعات يومية'!$B$2:$B$14001,'إعدادات المخزون'!$A$16,'مبيعات يومية'!$A$2:$A$14001,"&gt;"&amp;('إعدادات المخزون'!$B$4-'إعدادات المخزون'!$B$11),'مبيعات يومية'!$A$2:$A$14001,"&lt;="&amp;'إعدادات المخزون'!$B$4)</f>
        <v>5.25</v>
      </c>
      <c r="H54" s="118" t="n">
        <f aca="false">SUMIFS('مبيعات يومية'!$D$2:$D$14001,'مبيعات يومية'!$C$2:$C$14001,$A54,'مبيعات يومية'!$B$2:$B$14001,'إعدادات المخزون'!$A$17,'مبيعات يومية'!$A$2:$A$14001,'إعدادات المخزون'!$B$4)</f>
        <v>1.3333</v>
      </c>
      <c r="I54" s="118" t="n">
        <f aca="false">SUMIFS('مبيعات يومية'!$D$2:$D$14001,'مبيعات يومية'!$C$2:$C$14001,$A54,'مبيعات يومية'!$B$2:$B$14001,'إعدادات المخزون'!$A$17,'مبيعات يومية'!$A$2:$A$14001,"&gt;="&amp;'إعدادات المخزون'!$B$5,'مبيعات يومية'!$A$2:$A$14001,"&lt;="&amp;'إعدادات المخزون'!$B$4)</f>
        <v>15.9996</v>
      </c>
      <c r="J54" s="118" t="n">
        <f aca="false">SUMIFS('مبيعات يومية'!$D$2:$D$14001,'مبيعات يومية'!$C$2:$C$14001,$A54,'مبيعات يومية'!$B$2:$B$14001,'إعدادات المخزون'!$A$17,'مبيعات يومية'!$A$2:$A$14001,"&gt;"&amp;('إعدادات المخزون'!$B$4-'إعدادات المخزون'!$B$11),'مبيعات يومية'!$A$2:$A$14001,"&lt;="&amp;'إعدادات المخزون'!$B$4)</f>
        <v>9.3331</v>
      </c>
    </row>
    <row r="55" customFormat="false" ht="15" hidden="false" customHeight="false" outlineLevel="0" collapsed="false">
      <c r="A55" s="116" t="str">
        <f aca="false">المنيو!B55</f>
        <v>بهججة بيتزا برجر</v>
      </c>
      <c r="B55" s="118" t="n">
        <f aca="false">SUMIFS('مبيعات يومية'!$D$2:$D$14001,'مبيعات يومية'!$C$2:$C$14001,$A55,'مبيعات يومية'!$B$2:$B$14001,'إعدادات المخزون'!$A$15,'مبيعات يومية'!$A$2:$A$14001,'إعدادات المخزون'!$B$4)</f>
        <v>2.1667</v>
      </c>
      <c r="C55" s="118" t="n">
        <f aca="false">SUMIFS('مبيعات يومية'!$D$2:$D$14001,'مبيعات يومية'!$C$2:$C$14001,$A55,'مبيعات يومية'!$B$2:$B$14001,'إعدادات المخزون'!$A$15,'مبيعات يومية'!$A$2:$A$14001,"&gt;="&amp;'إعدادات المخزون'!$B$5,'مبيعات يومية'!$A$2:$A$14001,"&lt;="&amp;'إعدادات المخزون'!$B$4)</f>
        <v>26.0004</v>
      </c>
      <c r="D55" s="118" t="n">
        <f aca="false">SUMIFS('مبيعات يومية'!$D$2:$D$14001,'مبيعات يومية'!$C$2:$C$14001,$A55,'مبيعات يومية'!$B$2:$B$14001,'إعدادات المخزون'!$A$15,'مبيعات يومية'!$A$2:$A$14001,"&gt;"&amp;('إعدادات المخزون'!$B$4-'إعدادات المخزون'!$B$11),'مبيعات يومية'!$A$2:$A$14001,"&lt;="&amp;'إعدادات المخزون'!$B$4)</f>
        <v>15.1669</v>
      </c>
      <c r="E55" s="118" t="n">
        <f aca="false">SUMIFS('مبيعات يومية'!$D$2:$D$14001,'مبيعات يومية'!$C$2:$C$14001,$A55,'مبيعات يومية'!$B$2:$B$14001,'إعدادات المخزون'!$A$16,'مبيعات يومية'!$A$2:$A$14001,'إعدادات المخزون'!$B$4)</f>
        <v>4</v>
      </c>
      <c r="F55" s="118" t="n">
        <f aca="false">SUMIFS('مبيعات يومية'!$D$2:$D$14001,'مبيعات يومية'!$C$2:$C$14001,$A55,'مبيعات يومية'!$B$2:$B$14001,'إعدادات المخزون'!$A$16,'مبيعات يومية'!$A$2:$A$14001,"&gt;="&amp;'إعدادات المخزون'!$B$5,'مبيعات يومية'!$A$2:$A$14001,"&lt;="&amp;'إعدادات المخزون'!$B$4)</f>
        <v>48</v>
      </c>
      <c r="G55" s="118" t="n">
        <f aca="false">SUMIFS('مبيعات يومية'!$D$2:$D$14001,'مبيعات يومية'!$C$2:$C$14001,$A55,'مبيعات يومية'!$B$2:$B$14001,'إعدادات المخزون'!$A$16,'مبيعات يومية'!$A$2:$A$14001,"&gt;"&amp;('إعدادات المخزون'!$B$4-'إعدادات المخزون'!$B$11),'مبيعات يومية'!$A$2:$A$14001,"&lt;="&amp;'إعدادات المخزون'!$B$4)</f>
        <v>28</v>
      </c>
      <c r="H55" s="118" t="n">
        <f aca="false">SUMIFS('مبيعات يومية'!$D$2:$D$14001,'مبيعات يومية'!$C$2:$C$14001,$A55,'مبيعات يومية'!$B$2:$B$14001,'إعدادات المخزون'!$A$17,'مبيعات يومية'!$A$2:$A$14001,'إعدادات المخزون'!$B$4)</f>
        <v>2.8333</v>
      </c>
      <c r="I55" s="118" t="n">
        <f aca="false">SUMIFS('مبيعات يومية'!$D$2:$D$14001,'مبيعات يومية'!$C$2:$C$14001,$A55,'مبيعات يومية'!$B$2:$B$14001,'إعدادات المخزون'!$A$17,'مبيعات يومية'!$A$2:$A$14001,"&gt;="&amp;'إعدادات المخزون'!$B$5,'مبيعات يومية'!$A$2:$A$14001,"&lt;="&amp;'إعدادات المخزون'!$B$4)</f>
        <v>33.9996</v>
      </c>
      <c r="J55" s="118" t="n">
        <f aca="false">SUMIFS('مبيعات يومية'!$D$2:$D$14001,'مبيعات يومية'!$C$2:$C$14001,$A55,'مبيعات يومية'!$B$2:$B$14001,'إعدادات المخزون'!$A$17,'مبيعات يومية'!$A$2:$A$14001,"&gt;"&amp;('إعدادات المخزون'!$B$4-'إعدادات المخزون'!$B$11),'مبيعات يومية'!$A$2:$A$14001,"&lt;="&amp;'إعدادات المخزون'!$B$4)</f>
        <v>19.8331</v>
      </c>
    </row>
    <row r="56" customFormat="false" ht="15" hidden="false" customHeight="false" outlineLevel="0" collapsed="false">
      <c r="A56" s="116" t="str">
        <f aca="false">المنيو!B56</f>
        <v>بهججة كريسبي</v>
      </c>
      <c r="B56" s="118" t="n">
        <f aca="false">SUMIFS('مبيعات يومية'!$D$2:$D$14001,'مبيعات يومية'!$C$2:$C$14001,$A56,'مبيعات يومية'!$B$2:$B$14001,'إعدادات المخزون'!$A$15,'مبيعات يومية'!$A$2:$A$14001,'إعدادات المخزون'!$B$4)</f>
        <v>0.5</v>
      </c>
      <c r="C56" s="118" t="n">
        <f aca="false">SUMIFS('مبيعات يومية'!$D$2:$D$14001,'مبيعات يومية'!$C$2:$C$14001,$A56,'مبيعات يومية'!$B$2:$B$14001,'إعدادات المخزون'!$A$15,'مبيعات يومية'!$A$2:$A$14001,"&gt;="&amp;'إعدادات المخزون'!$B$5,'مبيعات يومية'!$A$2:$A$14001,"&lt;="&amp;'إعدادات المخزون'!$B$4)</f>
        <v>6</v>
      </c>
      <c r="D56" s="118" t="n">
        <f aca="false">SUMIFS('مبيعات يومية'!$D$2:$D$14001,'مبيعات يومية'!$C$2:$C$14001,$A56,'مبيعات يومية'!$B$2:$B$14001,'إعدادات المخزون'!$A$15,'مبيعات يومية'!$A$2:$A$14001,"&gt;"&amp;('إعدادات المخزون'!$B$4-'إعدادات المخزون'!$B$11),'مبيعات يومية'!$A$2:$A$14001,"&lt;="&amp;'إعدادات المخزون'!$B$4)</f>
        <v>3.5</v>
      </c>
      <c r="E56" s="118" t="n">
        <f aca="false">SUMIFS('مبيعات يومية'!$D$2:$D$14001,'مبيعات يومية'!$C$2:$C$14001,$A56,'مبيعات يومية'!$B$2:$B$14001,'إعدادات المخزون'!$A$16,'مبيعات يومية'!$A$2:$A$14001,'إعدادات المخزون'!$B$4)</f>
        <v>1.3333</v>
      </c>
      <c r="F56" s="118" t="n">
        <f aca="false">SUMIFS('مبيعات يومية'!$D$2:$D$14001,'مبيعات يومية'!$C$2:$C$14001,$A56,'مبيعات يومية'!$B$2:$B$14001,'إعدادات المخزون'!$A$16,'مبيعات يومية'!$A$2:$A$14001,"&gt;="&amp;'إعدادات المخزون'!$B$5,'مبيعات يومية'!$A$2:$A$14001,"&lt;="&amp;'إعدادات المخزون'!$B$4)</f>
        <v>15.9996</v>
      </c>
      <c r="G56" s="118" t="n">
        <f aca="false">SUMIFS('مبيعات يومية'!$D$2:$D$14001,'مبيعات يومية'!$C$2:$C$14001,$A56,'مبيعات يومية'!$B$2:$B$14001,'إعدادات المخزون'!$A$16,'مبيعات يومية'!$A$2:$A$14001,"&gt;"&amp;('إعدادات المخزون'!$B$4-'إعدادات المخزون'!$B$11),'مبيعات يومية'!$A$2:$A$14001,"&lt;="&amp;'إعدادات المخزون'!$B$4)</f>
        <v>9.3331</v>
      </c>
      <c r="H56" s="118" t="n">
        <f aca="false">SUMIFS('مبيعات يومية'!$D$2:$D$14001,'مبيعات يومية'!$C$2:$C$14001,$A56,'مبيعات يومية'!$B$2:$B$14001,'إعدادات المخزون'!$A$17,'مبيعات يومية'!$A$2:$A$14001,'إعدادات المخزون'!$B$4)</f>
        <v>0.4167</v>
      </c>
      <c r="I56" s="118" t="n">
        <f aca="false">SUMIFS('مبيعات يومية'!$D$2:$D$14001,'مبيعات يومية'!$C$2:$C$14001,$A56,'مبيعات يومية'!$B$2:$B$14001,'إعدادات المخزون'!$A$17,'مبيعات يومية'!$A$2:$A$14001,"&gt;="&amp;'إعدادات المخزون'!$B$5,'مبيعات يومية'!$A$2:$A$14001,"&lt;="&amp;'إعدادات المخزون'!$B$4)</f>
        <v>5.0004</v>
      </c>
      <c r="J56" s="118" t="n">
        <f aca="false">SUMIFS('مبيعات يومية'!$D$2:$D$14001,'مبيعات يومية'!$C$2:$C$14001,$A56,'مبيعات يومية'!$B$2:$B$14001,'إعدادات المخزون'!$A$17,'مبيعات يومية'!$A$2:$A$14001,"&gt;"&amp;('إعدادات المخزون'!$B$4-'إعدادات المخزون'!$B$11),'مبيعات يومية'!$A$2:$A$14001,"&lt;="&amp;'إعدادات المخزون'!$B$4)</f>
        <v>2.9169</v>
      </c>
    </row>
    <row r="57" customFormat="false" ht="15" hidden="false" customHeight="false" outlineLevel="0" collapsed="false">
      <c r="A57" s="116" t="str">
        <f aca="false">المنيو!B57</f>
        <v>شيكاغو بيتزا برجر</v>
      </c>
      <c r="B57" s="118" t="n">
        <f aca="false">SUMIFS('مبيعات يومية'!$D$2:$D$14001,'مبيعات يومية'!$C$2:$C$14001,$A57,'مبيعات يومية'!$B$2:$B$14001,'إعدادات المخزون'!$A$15,'مبيعات يومية'!$A$2:$A$14001,'إعدادات المخزون'!$B$4)</f>
        <v>0.5833</v>
      </c>
      <c r="C57" s="118" t="n">
        <f aca="false">SUMIFS('مبيعات يومية'!$D$2:$D$14001,'مبيعات يومية'!$C$2:$C$14001,$A57,'مبيعات يومية'!$B$2:$B$14001,'إعدادات المخزون'!$A$15,'مبيعات يومية'!$A$2:$A$14001,"&gt;="&amp;'إعدادات المخزون'!$B$5,'مبيعات يومية'!$A$2:$A$14001,"&lt;="&amp;'إعدادات المخزون'!$B$4)</f>
        <v>6.9996</v>
      </c>
      <c r="D57" s="118" t="n">
        <f aca="false">SUMIFS('مبيعات يومية'!$D$2:$D$14001,'مبيعات يومية'!$C$2:$C$14001,$A57,'مبيعات يومية'!$B$2:$B$14001,'إعدادات المخزون'!$A$15,'مبيعات يومية'!$A$2:$A$14001,"&gt;"&amp;('إعدادات المخزون'!$B$4-'إعدادات المخزون'!$B$11),'مبيعات يومية'!$A$2:$A$14001,"&lt;="&amp;'إعدادات المخزون'!$B$4)</f>
        <v>4.0831</v>
      </c>
      <c r="E57" s="118" t="n">
        <f aca="false">SUMIFS('مبيعات يومية'!$D$2:$D$14001,'مبيعات يومية'!$C$2:$C$14001,$A57,'مبيعات يومية'!$B$2:$B$14001,'إعدادات المخزون'!$A$16,'مبيعات يومية'!$A$2:$A$14001,'إعدادات المخزون'!$B$4)</f>
        <v>0.25</v>
      </c>
      <c r="F57" s="118" t="n">
        <f aca="false">SUMIFS('مبيعات يومية'!$D$2:$D$14001,'مبيعات يومية'!$C$2:$C$14001,$A57,'مبيعات يومية'!$B$2:$B$14001,'إعدادات المخزون'!$A$16,'مبيعات يومية'!$A$2:$A$14001,"&gt;="&amp;'إعدادات المخزون'!$B$5,'مبيعات يومية'!$A$2:$A$14001,"&lt;="&amp;'إعدادات المخزون'!$B$4)</f>
        <v>3</v>
      </c>
      <c r="G57" s="118" t="n">
        <f aca="false">SUMIFS('مبيعات يومية'!$D$2:$D$14001,'مبيعات يومية'!$C$2:$C$14001,$A57,'مبيعات يومية'!$B$2:$B$14001,'إعدادات المخزون'!$A$16,'مبيعات يومية'!$A$2:$A$14001,"&gt;"&amp;('إعدادات المخزون'!$B$4-'إعدادات المخزون'!$B$11),'مبيعات يومية'!$A$2:$A$14001,"&lt;="&amp;'إعدادات المخزون'!$B$4)</f>
        <v>1.75</v>
      </c>
      <c r="H57" s="118" t="n">
        <f aca="false">SUMIFS('مبيعات يومية'!$D$2:$D$14001,'مبيعات يومية'!$C$2:$C$14001,$A57,'مبيعات يومية'!$B$2:$B$14001,'إعدادات المخزون'!$A$17,'مبيعات يومية'!$A$2:$A$14001,'إعدادات المخزون'!$B$4)</f>
        <v>0.9167</v>
      </c>
      <c r="I57" s="118" t="n">
        <f aca="false">SUMIFS('مبيعات يومية'!$D$2:$D$14001,'مبيعات يومية'!$C$2:$C$14001,$A57,'مبيعات يومية'!$B$2:$B$14001,'إعدادات المخزون'!$A$17,'مبيعات يومية'!$A$2:$A$14001,"&gt;="&amp;'إعدادات المخزون'!$B$5,'مبيعات يومية'!$A$2:$A$14001,"&lt;="&amp;'إعدادات المخزون'!$B$4)</f>
        <v>11.0004</v>
      </c>
      <c r="J57" s="118" t="n">
        <f aca="false">SUMIFS('مبيعات يومية'!$D$2:$D$14001,'مبيعات يومية'!$C$2:$C$14001,$A57,'مبيعات يومية'!$B$2:$B$14001,'إعدادات المخزون'!$A$17,'مبيعات يومية'!$A$2:$A$14001,"&gt;"&amp;('إعدادات المخزون'!$B$4-'إعدادات المخزون'!$B$11),'مبيعات يومية'!$A$2:$A$14001,"&lt;="&amp;'إعدادات المخزون'!$B$4)</f>
        <v>6.4169</v>
      </c>
    </row>
    <row r="58" customFormat="false" ht="15" hidden="false" customHeight="false" outlineLevel="0" collapsed="false">
      <c r="A58" s="116" t="str">
        <f aca="false">المنيو!B58</f>
        <v>فطيررجر</v>
      </c>
      <c r="B58" s="118" t="n">
        <f aca="false">SUMIFS('مبيعات يومية'!$D$2:$D$14001,'مبيعات يومية'!$C$2:$C$14001,$A58,'مبيعات يومية'!$B$2:$B$14001,'إعدادات المخزون'!$A$15,'مبيعات يومية'!$A$2:$A$14001,'إعدادات المخزون'!$B$4)</f>
        <v>0</v>
      </c>
      <c r="C58" s="118" t="n">
        <f aca="false">SUMIFS('مبيعات يومية'!$D$2:$D$14001,'مبيعات يومية'!$C$2:$C$14001,$A58,'مبيعات يومية'!$B$2:$B$14001,'إعدادات المخزون'!$A$15,'مبيعات يومية'!$A$2:$A$14001,"&gt;="&amp;'إعدادات المخزون'!$B$5,'مبيعات يومية'!$A$2:$A$14001,"&lt;="&amp;'إعدادات المخزون'!$B$4)</f>
        <v>0</v>
      </c>
      <c r="D58" s="118" t="n">
        <f aca="false">SUMIFS('مبيعات يومية'!$D$2:$D$14001,'مبيعات يومية'!$C$2:$C$14001,$A58,'مبيعات يومية'!$B$2:$B$14001,'إعدادات المخزون'!$A$15,'مبيعات يومية'!$A$2:$A$14001,"&gt;"&amp;('إعدادات المخزون'!$B$4-'إعدادات المخزون'!$B$11),'مبيعات يومية'!$A$2:$A$14001,"&lt;="&amp;'إعدادات المخزون'!$B$4)</f>
        <v>0</v>
      </c>
      <c r="E58" s="118" t="n">
        <f aca="false">SUMIFS('مبيعات يومية'!$D$2:$D$14001,'مبيعات يومية'!$C$2:$C$14001,$A58,'مبيعات يومية'!$B$2:$B$14001,'إعدادات المخزون'!$A$16,'مبيعات يومية'!$A$2:$A$14001,'إعدادات المخزون'!$B$4)</f>
        <v>0</v>
      </c>
      <c r="F58" s="118" t="n">
        <f aca="false">SUMIFS('مبيعات يومية'!$D$2:$D$14001,'مبيعات يومية'!$C$2:$C$14001,$A58,'مبيعات يومية'!$B$2:$B$14001,'إعدادات المخزون'!$A$16,'مبيعات يومية'!$A$2:$A$14001,"&gt;="&amp;'إعدادات المخزون'!$B$5,'مبيعات يومية'!$A$2:$A$14001,"&lt;="&amp;'إعدادات المخزون'!$B$4)</f>
        <v>0</v>
      </c>
      <c r="G58" s="118" t="n">
        <f aca="false">SUMIFS('مبيعات يومية'!$D$2:$D$14001,'مبيعات يومية'!$C$2:$C$14001,$A58,'مبيعات يومية'!$B$2:$B$14001,'إعدادات المخزون'!$A$16,'مبيعات يومية'!$A$2:$A$14001,"&gt;"&amp;('إعدادات المخزون'!$B$4-'إعدادات المخزون'!$B$11),'مبيعات يومية'!$A$2:$A$14001,"&lt;="&amp;'إعدادات المخزون'!$B$4)</f>
        <v>0</v>
      </c>
      <c r="H58" s="118" t="n">
        <f aca="false">SUMIFS('مبيعات يومية'!$D$2:$D$14001,'مبيعات يومية'!$C$2:$C$14001,$A58,'مبيعات يومية'!$B$2:$B$14001,'إعدادات المخزون'!$A$17,'مبيعات يومية'!$A$2:$A$14001,'إعدادات المخزون'!$B$4)</f>
        <v>0</v>
      </c>
      <c r="I58" s="118" t="n">
        <f aca="false">SUMIFS('مبيعات يومية'!$D$2:$D$14001,'مبيعات يومية'!$C$2:$C$14001,$A58,'مبيعات يومية'!$B$2:$B$14001,'إعدادات المخزون'!$A$17,'مبيعات يومية'!$A$2:$A$14001,"&gt;="&amp;'إعدادات المخزون'!$B$5,'مبيعات يومية'!$A$2:$A$14001,"&lt;="&amp;'إعدادات المخزون'!$B$4)</f>
        <v>0</v>
      </c>
      <c r="J58" s="118" t="n">
        <f aca="false">SUMIFS('مبيعات يومية'!$D$2:$D$14001,'مبيعات يومية'!$C$2:$C$14001,$A58,'مبيعات يومية'!$B$2:$B$14001,'إعدادات المخزون'!$A$17,'مبيعات يومية'!$A$2:$A$14001,"&gt;"&amp;('إعدادات المخزون'!$B$4-'إعدادات المخزون'!$B$11),'مبيعات يومية'!$A$2:$A$14001,"&lt;="&amp;'إعدادات المخزون'!$B$4)</f>
        <v>0</v>
      </c>
    </row>
    <row r="59" customFormat="false" ht="15" hidden="false" customHeight="false" outlineLevel="0" collapsed="false">
      <c r="A59" s="116" t="str">
        <f aca="false">المنيو!B59</f>
        <v>مكرونة تجرسكو (فراخ ومشروم)</v>
      </c>
      <c r="B59" s="118" t="n">
        <f aca="false">SUMIFS('مبيعات يومية'!$D$2:$D$14001,'مبيعات يومية'!$C$2:$C$14001,$A59,'مبيعات يومية'!$B$2:$B$14001,'إعدادات المخزون'!$A$15,'مبيعات يومية'!$A$2:$A$14001,'إعدادات المخزون'!$B$4)</f>
        <v>2.75</v>
      </c>
      <c r="C59" s="118" t="n">
        <f aca="false">SUMIFS('مبيعات يومية'!$D$2:$D$14001,'مبيعات يومية'!$C$2:$C$14001,$A59,'مبيعات يومية'!$B$2:$B$14001,'إعدادات المخزون'!$A$15,'مبيعات يومية'!$A$2:$A$14001,"&gt;="&amp;'إعدادات المخزون'!$B$5,'مبيعات يومية'!$A$2:$A$14001,"&lt;="&amp;'إعدادات المخزون'!$B$4)</f>
        <v>33</v>
      </c>
      <c r="D59" s="118" t="n">
        <f aca="false">SUMIFS('مبيعات يومية'!$D$2:$D$14001,'مبيعات يومية'!$C$2:$C$14001,$A59,'مبيعات يومية'!$B$2:$B$14001,'إعدادات المخزون'!$A$15,'مبيعات يومية'!$A$2:$A$14001,"&gt;"&amp;('إعدادات المخزون'!$B$4-'إعدادات المخزون'!$B$11),'مبيعات يومية'!$A$2:$A$14001,"&lt;="&amp;'إعدادات المخزون'!$B$4)</f>
        <v>19.25</v>
      </c>
      <c r="E59" s="118" t="n">
        <f aca="false">SUMIFS('مبيعات يومية'!$D$2:$D$14001,'مبيعات يومية'!$C$2:$C$14001,$A59,'مبيعات يومية'!$B$2:$B$14001,'إعدادات المخزون'!$A$16,'مبيعات يومية'!$A$2:$A$14001,'إعدادات المخزون'!$B$4)</f>
        <v>1.8333</v>
      </c>
      <c r="F59" s="118" t="n">
        <f aca="false">SUMIFS('مبيعات يومية'!$D$2:$D$14001,'مبيعات يومية'!$C$2:$C$14001,$A59,'مبيعات يومية'!$B$2:$B$14001,'إعدادات المخزون'!$A$16,'مبيعات يومية'!$A$2:$A$14001,"&gt;="&amp;'إعدادات المخزون'!$B$5,'مبيعات يومية'!$A$2:$A$14001,"&lt;="&amp;'إعدادات المخزون'!$B$4)</f>
        <v>21.9996</v>
      </c>
      <c r="G59" s="118" t="n">
        <f aca="false">SUMIFS('مبيعات يومية'!$D$2:$D$14001,'مبيعات يومية'!$C$2:$C$14001,$A59,'مبيعات يومية'!$B$2:$B$14001,'إعدادات المخزون'!$A$16,'مبيعات يومية'!$A$2:$A$14001,"&gt;"&amp;('إعدادات المخزون'!$B$4-'إعدادات المخزون'!$B$11),'مبيعات يومية'!$A$2:$A$14001,"&lt;="&amp;'إعدادات المخزون'!$B$4)</f>
        <v>12.8331</v>
      </c>
      <c r="H59" s="118" t="n">
        <f aca="false">SUMIFS('مبيعات يومية'!$D$2:$D$14001,'مبيعات يومية'!$C$2:$C$14001,$A59,'مبيعات يومية'!$B$2:$B$14001,'إعدادات المخزون'!$A$17,'مبيعات يومية'!$A$2:$A$14001,'إعدادات المخزون'!$B$4)</f>
        <v>3.4167</v>
      </c>
      <c r="I59" s="118" t="n">
        <f aca="false">SUMIFS('مبيعات يومية'!$D$2:$D$14001,'مبيعات يومية'!$C$2:$C$14001,$A59,'مبيعات يومية'!$B$2:$B$14001,'إعدادات المخزون'!$A$17,'مبيعات يومية'!$A$2:$A$14001,"&gt;="&amp;'إعدادات المخزون'!$B$5,'مبيعات يومية'!$A$2:$A$14001,"&lt;="&amp;'إعدادات المخزون'!$B$4)</f>
        <v>41.0004</v>
      </c>
      <c r="J59" s="118" t="n">
        <f aca="false">SUMIFS('مبيعات يومية'!$D$2:$D$14001,'مبيعات يومية'!$C$2:$C$14001,$A59,'مبيعات يومية'!$B$2:$B$14001,'إعدادات المخزون'!$A$17,'مبيعات يومية'!$A$2:$A$14001,"&gt;"&amp;('إعدادات المخزون'!$B$4-'إعدادات المخزون'!$B$11),'مبيعات يومية'!$A$2:$A$14001,"&lt;="&amp;'إعدادات المخزون'!$B$4)</f>
        <v>23.9169</v>
      </c>
    </row>
    <row r="60" customFormat="false" ht="15" hidden="false" customHeight="false" outlineLevel="0" collapsed="false">
      <c r="A60" s="116" t="str">
        <f aca="false">المنيو!B60</f>
        <v>مكرونة كريسبي شيدر</v>
      </c>
      <c r="B60" s="118" t="n">
        <f aca="false">SUMIFS('مبيعات يومية'!$D$2:$D$14001,'مبيعات يومية'!$C$2:$C$14001,$A60,'مبيعات يومية'!$B$2:$B$14001,'إعدادات المخزون'!$A$15,'مبيعات يومية'!$A$2:$A$14001,'إعدادات المخزون'!$B$4)</f>
        <v>0.5833</v>
      </c>
      <c r="C60" s="118" t="n">
        <f aca="false">SUMIFS('مبيعات يومية'!$D$2:$D$14001,'مبيعات يومية'!$C$2:$C$14001,$A60,'مبيعات يومية'!$B$2:$B$14001,'إعدادات المخزون'!$A$15,'مبيعات يومية'!$A$2:$A$14001,"&gt;="&amp;'إعدادات المخزون'!$B$5,'مبيعات يومية'!$A$2:$A$14001,"&lt;="&amp;'إعدادات المخزون'!$B$4)</f>
        <v>6.9996</v>
      </c>
      <c r="D60" s="118" t="n">
        <f aca="false">SUMIFS('مبيعات يومية'!$D$2:$D$14001,'مبيعات يومية'!$C$2:$C$14001,$A60,'مبيعات يومية'!$B$2:$B$14001,'إعدادات المخزون'!$A$15,'مبيعات يومية'!$A$2:$A$14001,"&gt;"&amp;('إعدادات المخزون'!$B$4-'إعدادات المخزون'!$B$11),'مبيعات يومية'!$A$2:$A$14001,"&lt;="&amp;'إعدادات المخزون'!$B$4)</f>
        <v>4.0831</v>
      </c>
      <c r="E60" s="118" t="n">
        <f aca="false">SUMIFS('مبيعات يومية'!$D$2:$D$14001,'مبيعات يومية'!$C$2:$C$14001,$A60,'مبيعات يومية'!$B$2:$B$14001,'إعدادات المخزون'!$A$16,'مبيعات يومية'!$A$2:$A$14001,'إعدادات المخزون'!$B$4)</f>
        <v>0.1667</v>
      </c>
      <c r="F60" s="118" t="n">
        <f aca="false">SUMIFS('مبيعات يومية'!$D$2:$D$14001,'مبيعات يومية'!$C$2:$C$14001,$A60,'مبيعات يومية'!$B$2:$B$14001,'إعدادات المخزون'!$A$16,'مبيعات يومية'!$A$2:$A$14001,"&gt;="&amp;'إعدادات المخزون'!$B$5,'مبيعات يومية'!$A$2:$A$14001,"&lt;="&amp;'إعدادات المخزون'!$B$4)</f>
        <v>2.0004</v>
      </c>
      <c r="G60" s="118" t="n">
        <f aca="false">SUMIFS('مبيعات يومية'!$D$2:$D$14001,'مبيعات يومية'!$C$2:$C$14001,$A60,'مبيعات يومية'!$B$2:$B$14001,'إعدادات المخزون'!$A$16,'مبيعات يومية'!$A$2:$A$14001,"&gt;"&amp;('إعدادات المخزون'!$B$4-'إعدادات المخزون'!$B$11),'مبيعات يومية'!$A$2:$A$14001,"&lt;="&amp;'إعدادات المخزون'!$B$4)</f>
        <v>1.1669</v>
      </c>
      <c r="H60" s="118" t="n">
        <f aca="false">SUMIFS('مبيعات يومية'!$D$2:$D$14001,'مبيعات يومية'!$C$2:$C$14001,$A60,'مبيعات يومية'!$B$2:$B$14001,'إعدادات المخزون'!$A$17,'مبيعات يومية'!$A$2:$A$14001,'إعدادات المخزون'!$B$4)</f>
        <v>1.1667</v>
      </c>
      <c r="I60" s="118" t="n">
        <f aca="false">SUMIFS('مبيعات يومية'!$D$2:$D$14001,'مبيعات يومية'!$C$2:$C$14001,$A60,'مبيعات يومية'!$B$2:$B$14001,'إعدادات المخزون'!$A$17,'مبيعات يومية'!$A$2:$A$14001,"&gt;="&amp;'إعدادات المخزون'!$B$5,'مبيعات يومية'!$A$2:$A$14001,"&lt;="&amp;'إعدادات المخزون'!$B$4)</f>
        <v>14.0004</v>
      </c>
      <c r="J60" s="118" t="n">
        <f aca="false">SUMIFS('مبيعات يومية'!$D$2:$D$14001,'مبيعات يومية'!$C$2:$C$14001,$A60,'مبيعات يومية'!$B$2:$B$14001,'إعدادات المخزون'!$A$17,'مبيعات يومية'!$A$2:$A$14001,"&gt;"&amp;('إعدادات المخزون'!$B$4-'إعدادات المخزون'!$B$11),'مبيعات يومية'!$A$2:$A$14001,"&lt;="&amp;'إعدادات المخزون'!$B$4)</f>
        <v>8.1669</v>
      </c>
    </row>
    <row r="61" customFormat="false" ht="15" hidden="false" customHeight="false" outlineLevel="0" collapsed="false">
      <c r="A61" s="116" t="str">
        <f aca="false">المنيو!B61</f>
        <v>مكرونة كريسبي رانش</v>
      </c>
      <c r="B61" s="118" t="n">
        <f aca="false">SUMIFS('مبيعات يومية'!$D$2:$D$14001,'مبيعات يومية'!$C$2:$C$14001,$A61,'مبيعات يومية'!$B$2:$B$14001,'إعدادات المخزون'!$A$15,'مبيعات يومية'!$A$2:$A$14001,'إعدادات المخزون'!$B$4)</f>
        <v>0.25</v>
      </c>
      <c r="C61" s="118" t="n">
        <f aca="false">SUMIFS('مبيعات يومية'!$D$2:$D$14001,'مبيعات يومية'!$C$2:$C$14001,$A61,'مبيعات يومية'!$B$2:$B$14001,'إعدادات المخزون'!$A$15,'مبيعات يومية'!$A$2:$A$14001,"&gt;="&amp;'إعدادات المخزون'!$B$5,'مبيعات يومية'!$A$2:$A$14001,"&lt;="&amp;'إعدادات المخزون'!$B$4)</f>
        <v>3</v>
      </c>
      <c r="D61" s="118" t="n">
        <f aca="false">SUMIFS('مبيعات يومية'!$D$2:$D$14001,'مبيعات يومية'!$C$2:$C$14001,$A61,'مبيعات يومية'!$B$2:$B$14001,'إعدادات المخزون'!$A$15,'مبيعات يومية'!$A$2:$A$14001,"&gt;"&amp;('إعدادات المخزون'!$B$4-'إعدادات المخزون'!$B$11),'مبيعات يومية'!$A$2:$A$14001,"&lt;="&amp;'إعدادات المخزون'!$B$4)</f>
        <v>1.75</v>
      </c>
      <c r="E61" s="118" t="n">
        <f aca="false">SUMIFS('مبيعات يومية'!$D$2:$D$14001,'مبيعات يومية'!$C$2:$C$14001,$A61,'مبيعات يومية'!$B$2:$B$14001,'إعدادات المخزون'!$A$16,'مبيعات يومية'!$A$2:$A$14001,'إعدادات المخزون'!$B$4)</f>
        <v>0.1667</v>
      </c>
      <c r="F61" s="118" t="n">
        <f aca="false">SUMIFS('مبيعات يومية'!$D$2:$D$14001,'مبيعات يومية'!$C$2:$C$14001,$A61,'مبيعات يومية'!$B$2:$B$14001,'إعدادات المخزون'!$A$16,'مبيعات يومية'!$A$2:$A$14001,"&gt;="&amp;'إعدادات المخزون'!$B$5,'مبيعات يومية'!$A$2:$A$14001,"&lt;="&amp;'إعدادات المخزون'!$B$4)</f>
        <v>2.0004</v>
      </c>
      <c r="G61" s="118" t="n">
        <f aca="false">SUMIFS('مبيعات يومية'!$D$2:$D$14001,'مبيعات يومية'!$C$2:$C$14001,$A61,'مبيعات يومية'!$B$2:$B$14001,'إعدادات المخزون'!$A$16,'مبيعات يومية'!$A$2:$A$14001,"&gt;"&amp;('إعدادات المخزون'!$B$4-'إعدادات المخزون'!$B$11),'مبيعات يومية'!$A$2:$A$14001,"&lt;="&amp;'إعدادات المخزون'!$B$4)</f>
        <v>1.1669</v>
      </c>
      <c r="H61" s="118" t="n">
        <f aca="false">SUMIFS('مبيعات يومية'!$D$2:$D$14001,'مبيعات يومية'!$C$2:$C$14001,$A61,'مبيعات يومية'!$B$2:$B$14001,'إعدادات المخزون'!$A$17,'مبيعات يومية'!$A$2:$A$14001,'إعدادات المخزون'!$B$4)</f>
        <v>0.6667</v>
      </c>
      <c r="I61" s="118" t="n">
        <f aca="false">SUMIFS('مبيعات يومية'!$D$2:$D$14001,'مبيعات يومية'!$C$2:$C$14001,$A61,'مبيعات يومية'!$B$2:$B$14001,'إعدادات المخزون'!$A$17,'مبيعات يومية'!$A$2:$A$14001,"&gt;="&amp;'إعدادات المخزون'!$B$5,'مبيعات يومية'!$A$2:$A$14001,"&lt;="&amp;'إعدادات المخزون'!$B$4)</f>
        <v>8.0004</v>
      </c>
      <c r="J61" s="118" t="n">
        <f aca="false">SUMIFS('مبيعات يومية'!$D$2:$D$14001,'مبيعات يومية'!$C$2:$C$14001,$A61,'مبيعات يومية'!$B$2:$B$14001,'إعدادات المخزون'!$A$17,'مبيعات يومية'!$A$2:$A$14001,"&gt;"&amp;('إعدادات المخزون'!$B$4-'إعدادات المخزون'!$B$11),'مبيعات يومية'!$A$2:$A$14001,"&lt;="&amp;'إعدادات المخزون'!$B$4)</f>
        <v>4.6669</v>
      </c>
    </row>
    <row r="62" customFormat="false" ht="15" hidden="false" customHeight="false" outlineLevel="0" collapsed="false">
      <c r="A62" s="116" t="str">
        <f aca="false">المنيو!B62</f>
        <v>مكرونة جمبري</v>
      </c>
      <c r="B62" s="118" t="n">
        <f aca="false">SUMIFS('مبيعات يومية'!$D$2:$D$14001,'مبيعات يومية'!$C$2:$C$14001,$A62,'مبيعات يومية'!$B$2:$B$14001,'إعدادات المخزون'!$A$15,'مبيعات يومية'!$A$2:$A$14001,'إعدادات المخزون'!$B$4)</f>
        <v>0.5</v>
      </c>
      <c r="C62" s="118" t="n">
        <f aca="false">SUMIFS('مبيعات يومية'!$D$2:$D$14001,'مبيعات يومية'!$C$2:$C$14001,$A62,'مبيعات يومية'!$B$2:$B$14001,'إعدادات المخزون'!$A$15,'مبيعات يومية'!$A$2:$A$14001,"&gt;="&amp;'إعدادات المخزون'!$B$5,'مبيعات يومية'!$A$2:$A$14001,"&lt;="&amp;'إعدادات المخزون'!$B$4)</f>
        <v>6</v>
      </c>
      <c r="D62" s="118" t="n">
        <f aca="false">SUMIFS('مبيعات يومية'!$D$2:$D$14001,'مبيعات يومية'!$C$2:$C$14001,$A62,'مبيعات يومية'!$B$2:$B$14001,'إعدادات المخزون'!$A$15,'مبيعات يومية'!$A$2:$A$14001,"&gt;"&amp;('إعدادات المخزون'!$B$4-'إعدادات المخزون'!$B$11),'مبيعات يومية'!$A$2:$A$14001,"&lt;="&amp;'إعدادات المخزون'!$B$4)</f>
        <v>3.5</v>
      </c>
      <c r="E62" s="118" t="n">
        <f aca="false">SUMIFS('مبيعات يومية'!$D$2:$D$14001,'مبيعات يومية'!$C$2:$C$14001,$A62,'مبيعات يومية'!$B$2:$B$14001,'إعدادات المخزون'!$A$16,'مبيعات يومية'!$A$2:$A$14001,'إعدادات المخزون'!$B$4)</f>
        <v>0.1667</v>
      </c>
      <c r="F62" s="118" t="n">
        <f aca="false">SUMIFS('مبيعات يومية'!$D$2:$D$14001,'مبيعات يومية'!$C$2:$C$14001,$A62,'مبيعات يومية'!$B$2:$B$14001,'إعدادات المخزون'!$A$16,'مبيعات يومية'!$A$2:$A$14001,"&gt;="&amp;'إعدادات المخزون'!$B$5,'مبيعات يومية'!$A$2:$A$14001,"&lt;="&amp;'إعدادات المخزون'!$B$4)</f>
        <v>2.0004</v>
      </c>
      <c r="G62" s="118" t="n">
        <f aca="false">SUMIFS('مبيعات يومية'!$D$2:$D$14001,'مبيعات يومية'!$C$2:$C$14001,$A62,'مبيعات يومية'!$B$2:$B$14001,'إعدادات المخزون'!$A$16,'مبيعات يومية'!$A$2:$A$14001,"&gt;"&amp;('إعدادات المخزون'!$B$4-'إعدادات المخزون'!$B$11),'مبيعات يومية'!$A$2:$A$14001,"&lt;="&amp;'إعدادات المخزون'!$B$4)</f>
        <v>1.1669</v>
      </c>
      <c r="H62" s="118" t="n">
        <f aca="false">SUMIFS('مبيعات يومية'!$D$2:$D$14001,'مبيعات يومية'!$C$2:$C$14001,$A62,'مبيعات يومية'!$B$2:$B$14001,'إعدادات المخزون'!$A$17,'مبيعات يومية'!$A$2:$A$14001,'إعدادات المخزون'!$B$4)</f>
        <v>0.1667</v>
      </c>
      <c r="I62" s="118" t="n">
        <f aca="false">SUMIFS('مبيعات يومية'!$D$2:$D$14001,'مبيعات يومية'!$C$2:$C$14001,$A62,'مبيعات يومية'!$B$2:$B$14001,'إعدادات المخزون'!$A$17,'مبيعات يومية'!$A$2:$A$14001,"&gt;="&amp;'إعدادات المخزون'!$B$5,'مبيعات يومية'!$A$2:$A$14001,"&lt;="&amp;'إعدادات المخزون'!$B$4)</f>
        <v>2.0004</v>
      </c>
      <c r="J62" s="118" t="n">
        <f aca="false">SUMIFS('مبيعات يومية'!$D$2:$D$14001,'مبيعات يومية'!$C$2:$C$14001,$A62,'مبيعات يومية'!$B$2:$B$14001,'إعدادات المخزون'!$A$17,'مبيعات يومية'!$A$2:$A$14001,"&gt;"&amp;('إعدادات المخزون'!$B$4-'إعدادات المخزون'!$B$11),'مبيعات يومية'!$A$2:$A$14001,"&lt;="&amp;'إعدادات المخزون'!$B$4)</f>
        <v>1.1669</v>
      </c>
    </row>
    <row r="63" customFormat="false" ht="15" hidden="false" customHeight="false" outlineLevel="0" collapsed="false">
      <c r="A63" s="116" t="str">
        <f aca="false">المنيو!B63</f>
        <v>مكرونة صوص ابيض سدق</v>
      </c>
      <c r="B63" s="118" t="n">
        <f aca="false">SUMIFS('مبيعات يومية'!$D$2:$D$14001,'مبيعات يومية'!$C$2:$C$14001,$A63,'مبيعات يومية'!$B$2:$B$14001,'إعدادات المخزون'!$A$15,'مبيعات يومية'!$A$2:$A$14001,'إعدادات المخزون'!$B$4)</f>
        <v>0.9167</v>
      </c>
      <c r="C63" s="118" t="n">
        <f aca="false">SUMIFS('مبيعات يومية'!$D$2:$D$14001,'مبيعات يومية'!$C$2:$C$14001,$A63,'مبيعات يومية'!$B$2:$B$14001,'إعدادات المخزون'!$A$15,'مبيعات يومية'!$A$2:$A$14001,"&gt;="&amp;'إعدادات المخزون'!$B$5,'مبيعات يومية'!$A$2:$A$14001,"&lt;="&amp;'إعدادات المخزون'!$B$4)</f>
        <v>11.0004</v>
      </c>
      <c r="D63" s="118" t="n">
        <f aca="false">SUMIFS('مبيعات يومية'!$D$2:$D$14001,'مبيعات يومية'!$C$2:$C$14001,$A63,'مبيعات يومية'!$B$2:$B$14001,'إعدادات المخزون'!$A$15,'مبيعات يومية'!$A$2:$A$14001,"&gt;"&amp;('إعدادات المخزون'!$B$4-'إعدادات المخزون'!$B$11),'مبيعات يومية'!$A$2:$A$14001,"&lt;="&amp;'إعدادات المخزون'!$B$4)</f>
        <v>6.4169</v>
      </c>
      <c r="E63" s="118" t="n">
        <f aca="false">SUMIFS('مبيعات يومية'!$D$2:$D$14001,'مبيعات يومية'!$C$2:$C$14001,$A63,'مبيعات يومية'!$B$2:$B$14001,'إعدادات المخزون'!$A$16,'مبيعات يومية'!$A$2:$A$14001,'إعدادات المخزون'!$B$4)</f>
        <v>0.5833</v>
      </c>
      <c r="F63" s="118" t="n">
        <f aca="false">SUMIFS('مبيعات يومية'!$D$2:$D$14001,'مبيعات يومية'!$C$2:$C$14001,$A63,'مبيعات يومية'!$B$2:$B$14001,'إعدادات المخزون'!$A$16,'مبيعات يومية'!$A$2:$A$14001,"&gt;="&amp;'إعدادات المخزون'!$B$5,'مبيعات يومية'!$A$2:$A$14001,"&lt;="&amp;'إعدادات المخزون'!$B$4)</f>
        <v>6.9996</v>
      </c>
      <c r="G63" s="118" t="n">
        <f aca="false">SUMIFS('مبيعات يومية'!$D$2:$D$14001,'مبيعات يومية'!$C$2:$C$14001,$A63,'مبيعات يومية'!$B$2:$B$14001,'إعدادات المخزون'!$A$16,'مبيعات يومية'!$A$2:$A$14001,"&gt;"&amp;('إعدادات المخزون'!$B$4-'إعدادات المخزون'!$B$11),'مبيعات يومية'!$A$2:$A$14001,"&lt;="&amp;'إعدادات المخزون'!$B$4)</f>
        <v>4.0831</v>
      </c>
      <c r="H63" s="118" t="n">
        <f aca="false">SUMIFS('مبيعات يومية'!$D$2:$D$14001,'مبيعات يومية'!$C$2:$C$14001,$A63,'مبيعات يومية'!$B$2:$B$14001,'إعدادات المخزون'!$A$17,'مبيعات يومية'!$A$2:$A$14001,'إعدادات المخزون'!$B$4)</f>
        <v>0.25</v>
      </c>
      <c r="I63" s="118" t="n">
        <f aca="false">SUMIFS('مبيعات يومية'!$D$2:$D$14001,'مبيعات يومية'!$C$2:$C$14001,$A63,'مبيعات يومية'!$B$2:$B$14001,'إعدادات المخزون'!$A$17,'مبيعات يومية'!$A$2:$A$14001,"&gt;="&amp;'إعدادات المخزون'!$B$5,'مبيعات يومية'!$A$2:$A$14001,"&lt;="&amp;'إعدادات المخزون'!$B$4)</f>
        <v>3</v>
      </c>
      <c r="J63" s="118" t="n">
        <f aca="false">SUMIFS('مبيعات يومية'!$D$2:$D$14001,'مبيعات يومية'!$C$2:$C$14001,$A63,'مبيعات يومية'!$B$2:$B$14001,'إعدادات المخزون'!$A$17,'مبيعات يومية'!$A$2:$A$14001,"&gt;"&amp;('إعدادات المخزون'!$B$4-'إعدادات المخزون'!$B$11),'مبيعات يومية'!$A$2:$A$14001,"&lt;="&amp;'إعدادات المخزون'!$B$4)</f>
        <v>1.75</v>
      </c>
    </row>
    <row r="64" customFormat="false" ht="15" hidden="false" customHeight="false" outlineLevel="0" collapsed="false">
      <c r="A64" s="116" t="str">
        <f aca="false">المنيو!B64</f>
        <v>مكرونة صوص ابيض بسطرمة</v>
      </c>
      <c r="B64" s="118" t="n">
        <f aca="false">SUMIFS('مبيعات يومية'!$D$2:$D$14001,'مبيعات يومية'!$C$2:$C$14001,$A64,'مبيعات يومية'!$B$2:$B$14001,'إعدادات المخزون'!$A$15,'مبيعات يومية'!$A$2:$A$14001,'إعدادات المخزون'!$B$4)</f>
        <v>0.6667</v>
      </c>
      <c r="C64" s="118" t="n">
        <f aca="false">SUMIFS('مبيعات يومية'!$D$2:$D$14001,'مبيعات يومية'!$C$2:$C$14001,$A64,'مبيعات يومية'!$B$2:$B$14001,'إعدادات المخزون'!$A$15,'مبيعات يومية'!$A$2:$A$14001,"&gt;="&amp;'إعدادات المخزون'!$B$5,'مبيعات يومية'!$A$2:$A$14001,"&lt;="&amp;'إعدادات المخزون'!$B$4)</f>
        <v>8.0004</v>
      </c>
      <c r="D64" s="118" t="n">
        <f aca="false">SUMIFS('مبيعات يومية'!$D$2:$D$14001,'مبيعات يومية'!$C$2:$C$14001,$A64,'مبيعات يومية'!$B$2:$B$14001,'إعدادات المخزون'!$A$15,'مبيعات يومية'!$A$2:$A$14001,"&gt;"&amp;('إعدادات المخزون'!$B$4-'إعدادات المخزون'!$B$11),'مبيعات يومية'!$A$2:$A$14001,"&lt;="&amp;'إعدادات المخزون'!$B$4)</f>
        <v>4.6669</v>
      </c>
      <c r="E64" s="118" t="n">
        <f aca="false">SUMIFS('مبيعات يومية'!$D$2:$D$14001,'مبيعات يومية'!$C$2:$C$14001,$A64,'مبيعات يومية'!$B$2:$B$14001,'إعدادات المخزون'!$A$16,'مبيعات يومية'!$A$2:$A$14001,'إعدادات المخزون'!$B$4)</f>
        <v>0.75</v>
      </c>
      <c r="F64" s="118" t="n">
        <f aca="false">SUMIFS('مبيعات يومية'!$D$2:$D$14001,'مبيعات يومية'!$C$2:$C$14001,$A64,'مبيعات يومية'!$B$2:$B$14001,'إعدادات المخزون'!$A$16,'مبيعات يومية'!$A$2:$A$14001,"&gt;="&amp;'إعدادات المخزون'!$B$5,'مبيعات يومية'!$A$2:$A$14001,"&lt;="&amp;'إعدادات المخزون'!$B$4)</f>
        <v>9</v>
      </c>
      <c r="G64" s="118" t="n">
        <f aca="false">SUMIFS('مبيعات يومية'!$D$2:$D$14001,'مبيعات يومية'!$C$2:$C$14001,$A64,'مبيعات يومية'!$B$2:$B$14001,'إعدادات المخزون'!$A$16,'مبيعات يومية'!$A$2:$A$14001,"&gt;"&amp;('إعدادات المخزون'!$B$4-'إعدادات المخزون'!$B$11),'مبيعات يومية'!$A$2:$A$14001,"&lt;="&amp;'إعدادات المخزون'!$B$4)</f>
        <v>5.25</v>
      </c>
      <c r="H64" s="118" t="n">
        <f aca="false">SUMIFS('مبيعات يومية'!$D$2:$D$14001,'مبيعات يومية'!$C$2:$C$14001,$A64,'مبيعات يومية'!$B$2:$B$14001,'إعدادات المخزون'!$A$17,'مبيعات يومية'!$A$2:$A$14001,'إعدادات المخزون'!$B$4)</f>
        <v>0.1667</v>
      </c>
      <c r="I64" s="118" t="n">
        <f aca="false">SUMIFS('مبيعات يومية'!$D$2:$D$14001,'مبيعات يومية'!$C$2:$C$14001,$A64,'مبيعات يومية'!$B$2:$B$14001,'إعدادات المخزون'!$A$17,'مبيعات يومية'!$A$2:$A$14001,"&gt;="&amp;'إعدادات المخزون'!$B$5,'مبيعات يومية'!$A$2:$A$14001,"&lt;="&amp;'إعدادات المخزون'!$B$4)</f>
        <v>2.0004</v>
      </c>
      <c r="J64" s="118" t="n">
        <f aca="false">SUMIFS('مبيعات يومية'!$D$2:$D$14001,'مبيعات يومية'!$C$2:$C$14001,$A64,'مبيعات يومية'!$B$2:$B$14001,'إعدادات المخزون'!$A$17,'مبيعات يومية'!$A$2:$A$14001,"&gt;"&amp;('إعدادات المخزون'!$B$4-'إعدادات المخزون'!$B$11),'مبيعات يومية'!$A$2:$A$14001,"&lt;="&amp;'إعدادات المخزون'!$B$4)</f>
        <v>1.1669</v>
      </c>
    </row>
    <row r="65" customFormat="false" ht="15" hidden="false" customHeight="false" outlineLevel="0" collapsed="false">
      <c r="A65" s="116" t="str">
        <f aca="false">المنيو!B65</f>
        <v>كريب فراخ كريسبي شيدر</v>
      </c>
      <c r="B65" s="118" t="n">
        <f aca="false">SUMIFS('مبيعات يومية'!$D$2:$D$14001,'مبيعات يومية'!$C$2:$C$14001,$A65,'مبيعات يومية'!$B$2:$B$14001,'إعدادات المخزون'!$A$15,'مبيعات يومية'!$A$2:$A$14001,'إعدادات المخزون'!$B$4)</f>
        <v>5.8333</v>
      </c>
      <c r="C65" s="118" t="n">
        <f aca="false">SUMIFS('مبيعات يومية'!$D$2:$D$14001,'مبيعات يومية'!$C$2:$C$14001,$A65,'مبيعات يومية'!$B$2:$B$14001,'إعدادات المخزون'!$A$15,'مبيعات يومية'!$A$2:$A$14001,"&gt;="&amp;'إعدادات المخزون'!$B$5,'مبيعات يومية'!$A$2:$A$14001,"&lt;="&amp;'إعدادات المخزون'!$B$4)</f>
        <v>69.9996</v>
      </c>
      <c r="D65" s="118" t="n">
        <f aca="false">SUMIFS('مبيعات يومية'!$D$2:$D$14001,'مبيعات يومية'!$C$2:$C$14001,$A65,'مبيعات يومية'!$B$2:$B$14001,'إعدادات المخزون'!$A$15,'مبيعات يومية'!$A$2:$A$14001,"&gt;"&amp;('إعدادات المخزون'!$B$4-'إعدادات المخزون'!$B$11),'مبيعات يومية'!$A$2:$A$14001,"&lt;="&amp;'إعدادات المخزون'!$B$4)</f>
        <v>40.8331</v>
      </c>
      <c r="E65" s="118" t="n">
        <f aca="false">SUMIFS('مبيعات يومية'!$D$2:$D$14001,'مبيعات يومية'!$C$2:$C$14001,$A65,'مبيعات يومية'!$B$2:$B$14001,'إعدادات المخزون'!$A$16,'مبيعات يومية'!$A$2:$A$14001,'إعدادات المخزون'!$B$4)</f>
        <v>1.6667</v>
      </c>
      <c r="F65" s="118" t="n">
        <f aca="false">SUMIFS('مبيعات يومية'!$D$2:$D$14001,'مبيعات يومية'!$C$2:$C$14001,$A65,'مبيعات يومية'!$B$2:$B$14001,'إعدادات المخزون'!$A$16,'مبيعات يومية'!$A$2:$A$14001,"&gt;="&amp;'إعدادات المخزون'!$B$5,'مبيعات يومية'!$A$2:$A$14001,"&lt;="&amp;'إعدادات المخزون'!$B$4)</f>
        <v>20.0004</v>
      </c>
      <c r="G65" s="118" t="n">
        <f aca="false">SUMIFS('مبيعات يومية'!$D$2:$D$14001,'مبيعات يومية'!$C$2:$C$14001,$A65,'مبيعات يومية'!$B$2:$B$14001,'إعدادات المخزون'!$A$16,'مبيعات يومية'!$A$2:$A$14001,"&gt;"&amp;('إعدادات المخزون'!$B$4-'إعدادات المخزون'!$B$11),'مبيعات يومية'!$A$2:$A$14001,"&lt;="&amp;'إعدادات المخزون'!$B$4)</f>
        <v>11.6669</v>
      </c>
      <c r="H65" s="118" t="n">
        <f aca="false">SUMIFS('مبيعات يومية'!$D$2:$D$14001,'مبيعات يومية'!$C$2:$C$14001,$A65,'مبيعات يومية'!$B$2:$B$14001,'إعدادات المخزون'!$A$17,'مبيعات يومية'!$A$2:$A$14001,'إعدادات المخزون'!$B$4)</f>
        <v>3.5</v>
      </c>
      <c r="I65" s="118" t="n">
        <f aca="false">SUMIFS('مبيعات يومية'!$D$2:$D$14001,'مبيعات يومية'!$C$2:$C$14001,$A65,'مبيعات يومية'!$B$2:$B$14001,'إعدادات المخزون'!$A$17,'مبيعات يومية'!$A$2:$A$14001,"&gt;="&amp;'إعدادات المخزون'!$B$5,'مبيعات يومية'!$A$2:$A$14001,"&lt;="&amp;'إعدادات المخزون'!$B$4)</f>
        <v>42</v>
      </c>
      <c r="J65" s="118" t="n">
        <f aca="false">SUMIFS('مبيعات يومية'!$D$2:$D$14001,'مبيعات يومية'!$C$2:$C$14001,$A65,'مبيعات يومية'!$B$2:$B$14001,'إعدادات المخزون'!$A$17,'مبيعات يومية'!$A$2:$A$14001,"&gt;"&amp;('إعدادات المخزون'!$B$4-'إعدادات المخزون'!$B$11),'مبيعات يومية'!$A$2:$A$14001,"&lt;="&amp;'إعدادات المخزون'!$B$4)</f>
        <v>24.5</v>
      </c>
    </row>
    <row r="66" customFormat="false" ht="15" hidden="false" customHeight="false" outlineLevel="0" collapsed="false">
      <c r="A66" s="116" t="str">
        <f aca="false">المنيو!B66</f>
        <v>كريب مشكل فراخ</v>
      </c>
      <c r="B66" s="118" t="n">
        <f aca="false">SUMIFS('مبيعات يومية'!$D$2:$D$14001,'مبيعات يومية'!$C$2:$C$14001,$A66,'مبيعات يومية'!$B$2:$B$14001,'إعدادات المخزون'!$A$15,'مبيعات يومية'!$A$2:$A$14001,'إعدادات المخزون'!$B$4)</f>
        <v>1.5833</v>
      </c>
      <c r="C66" s="118" t="n">
        <f aca="false">SUMIFS('مبيعات يومية'!$D$2:$D$14001,'مبيعات يومية'!$C$2:$C$14001,$A66,'مبيعات يومية'!$B$2:$B$14001,'إعدادات المخزون'!$A$15,'مبيعات يومية'!$A$2:$A$14001,"&gt;="&amp;'إعدادات المخزون'!$B$5,'مبيعات يومية'!$A$2:$A$14001,"&lt;="&amp;'إعدادات المخزون'!$B$4)</f>
        <v>18.9996</v>
      </c>
      <c r="D66" s="118" t="n">
        <f aca="false">SUMIFS('مبيعات يومية'!$D$2:$D$14001,'مبيعات يومية'!$C$2:$C$14001,$A66,'مبيعات يومية'!$B$2:$B$14001,'إعدادات المخزون'!$A$15,'مبيعات يومية'!$A$2:$A$14001,"&gt;"&amp;('إعدادات المخزون'!$B$4-'إعدادات المخزون'!$B$11),'مبيعات يومية'!$A$2:$A$14001,"&lt;="&amp;'إعدادات المخزون'!$B$4)</f>
        <v>11.0831</v>
      </c>
      <c r="E66" s="118" t="n">
        <f aca="false">SUMIFS('مبيعات يومية'!$D$2:$D$14001,'مبيعات يومية'!$C$2:$C$14001,$A66,'مبيعات يومية'!$B$2:$B$14001,'إعدادات المخزون'!$A$16,'مبيعات يومية'!$A$2:$A$14001,'إعدادات المخزون'!$B$4)</f>
        <v>0.5833</v>
      </c>
      <c r="F66" s="118" t="n">
        <f aca="false">SUMIFS('مبيعات يومية'!$D$2:$D$14001,'مبيعات يومية'!$C$2:$C$14001,$A66,'مبيعات يومية'!$B$2:$B$14001,'إعدادات المخزون'!$A$16,'مبيعات يومية'!$A$2:$A$14001,"&gt;="&amp;'إعدادات المخزون'!$B$5,'مبيعات يومية'!$A$2:$A$14001,"&lt;="&amp;'إعدادات المخزون'!$B$4)</f>
        <v>6.9996</v>
      </c>
      <c r="G66" s="118" t="n">
        <f aca="false">SUMIFS('مبيعات يومية'!$D$2:$D$14001,'مبيعات يومية'!$C$2:$C$14001,$A66,'مبيعات يومية'!$B$2:$B$14001,'إعدادات المخزون'!$A$16,'مبيعات يومية'!$A$2:$A$14001,"&gt;"&amp;('إعدادات المخزون'!$B$4-'إعدادات المخزون'!$B$11),'مبيعات يومية'!$A$2:$A$14001,"&lt;="&amp;'إعدادات المخزون'!$B$4)</f>
        <v>4.0831</v>
      </c>
      <c r="H66" s="118" t="n">
        <f aca="false">SUMIFS('مبيعات يومية'!$D$2:$D$14001,'مبيعات يومية'!$C$2:$C$14001,$A66,'مبيعات يومية'!$B$2:$B$14001,'إعدادات المخزون'!$A$17,'مبيعات يومية'!$A$2:$A$14001,'إعدادات المخزون'!$B$4)</f>
        <v>1.6667</v>
      </c>
      <c r="I66" s="118" t="n">
        <f aca="false">SUMIFS('مبيعات يومية'!$D$2:$D$14001,'مبيعات يومية'!$C$2:$C$14001,$A66,'مبيعات يومية'!$B$2:$B$14001,'إعدادات المخزون'!$A$17,'مبيعات يومية'!$A$2:$A$14001,"&gt;="&amp;'إعدادات المخزون'!$B$5,'مبيعات يومية'!$A$2:$A$14001,"&lt;="&amp;'إعدادات المخزون'!$B$4)</f>
        <v>20.0004</v>
      </c>
      <c r="J66" s="118" t="n">
        <f aca="false">SUMIFS('مبيعات يومية'!$D$2:$D$14001,'مبيعات يومية'!$C$2:$C$14001,$A66,'مبيعات يومية'!$B$2:$B$14001,'إعدادات المخزون'!$A$17,'مبيعات يومية'!$A$2:$A$14001,"&gt;"&amp;('إعدادات المخزون'!$B$4-'إعدادات المخزون'!$B$11),'مبيعات يومية'!$A$2:$A$14001,"&lt;="&amp;'إعدادات المخزون'!$B$4)</f>
        <v>11.6669</v>
      </c>
    </row>
    <row r="67" customFormat="false" ht="15" hidden="false" customHeight="false" outlineLevel="0" collapsed="false">
      <c r="A67" s="116" t="str">
        <f aca="false">المنيو!B67</f>
        <v>كريب بسطرمة</v>
      </c>
      <c r="B67" s="118" t="n">
        <f aca="false">SUMIFS('مبيعات يومية'!$D$2:$D$14001,'مبيعات يومية'!$C$2:$C$14001,$A67,'مبيعات يومية'!$B$2:$B$14001,'إعدادات المخزون'!$A$15,'مبيعات يومية'!$A$2:$A$14001,'إعدادات المخزون'!$B$4)</f>
        <v>1.75</v>
      </c>
      <c r="C67" s="118" t="n">
        <f aca="false">SUMIFS('مبيعات يومية'!$D$2:$D$14001,'مبيعات يومية'!$C$2:$C$14001,$A67,'مبيعات يومية'!$B$2:$B$14001,'إعدادات المخزون'!$A$15,'مبيعات يومية'!$A$2:$A$14001,"&gt;="&amp;'إعدادات المخزون'!$B$5,'مبيعات يومية'!$A$2:$A$14001,"&lt;="&amp;'إعدادات المخزون'!$B$4)</f>
        <v>21</v>
      </c>
      <c r="D67" s="118" t="n">
        <f aca="false">SUMIFS('مبيعات يومية'!$D$2:$D$14001,'مبيعات يومية'!$C$2:$C$14001,$A67,'مبيعات يومية'!$B$2:$B$14001,'إعدادات المخزون'!$A$15,'مبيعات يومية'!$A$2:$A$14001,"&gt;"&amp;('إعدادات المخزون'!$B$4-'إعدادات المخزون'!$B$11),'مبيعات يومية'!$A$2:$A$14001,"&lt;="&amp;'إعدادات المخزون'!$B$4)</f>
        <v>12.25</v>
      </c>
      <c r="E67" s="118" t="n">
        <f aca="false">SUMIFS('مبيعات يومية'!$D$2:$D$14001,'مبيعات يومية'!$C$2:$C$14001,$A67,'مبيعات يومية'!$B$2:$B$14001,'إعدادات المخزون'!$A$16,'مبيعات يومية'!$A$2:$A$14001,'إعدادات المخزون'!$B$4)</f>
        <v>1.4167</v>
      </c>
      <c r="F67" s="118" t="n">
        <f aca="false">SUMIFS('مبيعات يومية'!$D$2:$D$14001,'مبيعات يومية'!$C$2:$C$14001,$A67,'مبيعات يومية'!$B$2:$B$14001,'إعدادات المخزون'!$A$16,'مبيعات يومية'!$A$2:$A$14001,"&gt;="&amp;'إعدادات المخزون'!$B$5,'مبيعات يومية'!$A$2:$A$14001,"&lt;="&amp;'إعدادات المخزون'!$B$4)</f>
        <v>17.0004</v>
      </c>
      <c r="G67" s="118" t="n">
        <f aca="false">SUMIFS('مبيعات يومية'!$D$2:$D$14001,'مبيعات يومية'!$C$2:$C$14001,$A67,'مبيعات يومية'!$B$2:$B$14001,'إعدادات المخزون'!$A$16,'مبيعات يومية'!$A$2:$A$14001,"&gt;"&amp;('إعدادات المخزون'!$B$4-'إعدادات المخزون'!$B$11),'مبيعات يومية'!$A$2:$A$14001,"&lt;="&amp;'إعدادات المخزون'!$B$4)</f>
        <v>9.9169</v>
      </c>
      <c r="H67" s="118" t="n">
        <f aca="false">SUMIFS('مبيعات يومية'!$D$2:$D$14001,'مبيعات يومية'!$C$2:$C$14001,$A67,'مبيعات يومية'!$B$2:$B$14001,'إعدادات المخزون'!$A$17,'مبيعات يومية'!$A$2:$A$14001,'إعدادات المخزون'!$B$4)</f>
        <v>1.1667</v>
      </c>
      <c r="I67" s="118" t="n">
        <f aca="false">SUMIFS('مبيعات يومية'!$D$2:$D$14001,'مبيعات يومية'!$C$2:$C$14001,$A67,'مبيعات يومية'!$B$2:$B$14001,'إعدادات المخزون'!$A$17,'مبيعات يومية'!$A$2:$A$14001,"&gt;="&amp;'إعدادات المخزون'!$B$5,'مبيعات يومية'!$A$2:$A$14001,"&lt;="&amp;'إعدادات المخزون'!$B$4)</f>
        <v>14.0004</v>
      </c>
      <c r="J67" s="118" t="n">
        <f aca="false">SUMIFS('مبيعات يومية'!$D$2:$D$14001,'مبيعات يومية'!$C$2:$C$14001,$A67,'مبيعات يومية'!$B$2:$B$14001,'إعدادات المخزون'!$A$17,'مبيعات يومية'!$A$2:$A$14001,"&gt;"&amp;('إعدادات المخزون'!$B$4-'إعدادات المخزون'!$B$11),'مبيعات يومية'!$A$2:$A$14001,"&lt;="&amp;'إعدادات المخزون'!$B$4)</f>
        <v>8.1669</v>
      </c>
    </row>
    <row r="68" customFormat="false" ht="15" hidden="false" customHeight="false" outlineLevel="0" collapsed="false">
      <c r="A68" s="116" t="str">
        <f aca="false">المنيو!B68</f>
        <v>كريب سدق</v>
      </c>
      <c r="B68" s="118" t="n">
        <f aca="false">SUMIFS('مبيعات يومية'!$D$2:$D$14001,'مبيعات يومية'!$C$2:$C$14001,$A68,'مبيعات يومية'!$B$2:$B$14001,'إعدادات المخزون'!$A$15,'مبيعات يومية'!$A$2:$A$14001,'إعدادات المخزون'!$B$4)</f>
        <v>1.75</v>
      </c>
      <c r="C68" s="118" t="n">
        <f aca="false">SUMIFS('مبيعات يومية'!$D$2:$D$14001,'مبيعات يومية'!$C$2:$C$14001,$A68,'مبيعات يومية'!$B$2:$B$14001,'إعدادات المخزون'!$A$15,'مبيعات يومية'!$A$2:$A$14001,"&gt;="&amp;'إعدادات المخزون'!$B$5,'مبيعات يومية'!$A$2:$A$14001,"&lt;="&amp;'إعدادات المخزون'!$B$4)</f>
        <v>21</v>
      </c>
      <c r="D68" s="118" t="n">
        <f aca="false">SUMIFS('مبيعات يومية'!$D$2:$D$14001,'مبيعات يومية'!$C$2:$C$14001,$A68,'مبيعات يومية'!$B$2:$B$14001,'إعدادات المخزون'!$A$15,'مبيعات يومية'!$A$2:$A$14001,"&gt;"&amp;('إعدادات المخزون'!$B$4-'إعدادات المخزون'!$B$11),'مبيعات يومية'!$A$2:$A$14001,"&lt;="&amp;'إعدادات المخزون'!$B$4)</f>
        <v>12.25</v>
      </c>
      <c r="E68" s="118" t="n">
        <f aca="false">SUMIFS('مبيعات يومية'!$D$2:$D$14001,'مبيعات يومية'!$C$2:$C$14001,$A68,'مبيعات يومية'!$B$2:$B$14001,'إعدادات المخزون'!$A$16,'مبيعات يومية'!$A$2:$A$14001,'إعدادات المخزون'!$B$4)</f>
        <v>0.9167</v>
      </c>
      <c r="F68" s="118" t="n">
        <f aca="false">SUMIFS('مبيعات يومية'!$D$2:$D$14001,'مبيعات يومية'!$C$2:$C$14001,$A68,'مبيعات يومية'!$B$2:$B$14001,'إعدادات المخزون'!$A$16,'مبيعات يومية'!$A$2:$A$14001,"&gt;="&amp;'إعدادات المخزون'!$B$5,'مبيعات يومية'!$A$2:$A$14001,"&lt;="&amp;'إعدادات المخزون'!$B$4)</f>
        <v>11.0004</v>
      </c>
      <c r="G68" s="118" t="n">
        <f aca="false">SUMIFS('مبيعات يومية'!$D$2:$D$14001,'مبيعات يومية'!$C$2:$C$14001,$A68,'مبيعات يومية'!$B$2:$B$14001,'إعدادات المخزون'!$A$16,'مبيعات يومية'!$A$2:$A$14001,"&gt;"&amp;('إعدادات المخزون'!$B$4-'إعدادات المخزون'!$B$11),'مبيعات يومية'!$A$2:$A$14001,"&lt;="&amp;'إعدادات المخزون'!$B$4)</f>
        <v>6.4169</v>
      </c>
      <c r="H68" s="118" t="n">
        <f aca="false">SUMIFS('مبيعات يومية'!$D$2:$D$14001,'مبيعات يومية'!$C$2:$C$14001,$A68,'مبيعات يومية'!$B$2:$B$14001,'إعدادات المخزون'!$A$17,'مبيعات يومية'!$A$2:$A$14001,'إعدادات المخزون'!$B$4)</f>
        <v>1.0833</v>
      </c>
      <c r="I68" s="118" t="n">
        <f aca="false">SUMIFS('مبيعات يومية'!$D$2:$D$14001,'مبيعات يومية'!$C$2:$C$14001,$A68,'مبيعات يومية'!$B$2:$B$14001,'إعدادات المخزون'!$A$17,'مبيعات يومية'!$A$2:$A$14001,"&gt;="&amp;'إعدادات المخزون'!$B$5,'مبيعات يومية'!$A$2:$A$14001,"&lt;="&amp;'إعدادات المخزون'!$B$4)</f>
        <v>12.9996</v>
      </c>
      <c r="J68" s="118" t="n">
        <f aca="false">SUMIFS('مبيعات يومية'!$D$2:$D$14001,'مبيعات يومية'!$C$2:$C$14001,$A68,'مبيعات يومية'!$B$2:$B$14001,'إعدادات المخزون'!$A$17,'مبيعات يومية'!$A$2:$A$14001,"&gt;"&amp;('إعدادات المخزون'!$B$4-'إعدادات المخزون'!$B$11),'مبيعات يومية'!$A$2:$A$14001,"&lt;="&amp;'إعدادات المخزون'!$B$4)</f>
        <v>7.5831</v>
      </c>
    </row>
    <row r="69" customFormat="false" ht="15" hidden="false" customHeight="false" outlineLevel="0" collapsed="false">
      <c r="A69" s="116" t="str">
        <f aca="false">المنيو!B69</f>
        <v>كريب فراخ باربيكيو</v>
      </c>
      <c r="B69" s="118" t="n">
        <f aca="false">SUMIFS('مبيعات يومية'!$D$2:$D$14001,'مبيعات يومية'!$C$2:$C$14001,$A69,'مبيعات يومية'!$B$2:$B$14001,'إعدادات المخزون'!$A$15,'مبيعات يومية'!$A$2:$A$14001,'إعدادات المخزون'!$B$4)</f>
        <v>0.5833</v>
      </c>
      <c r="C69" s="118" t="n">
        <f aca="false">SUMIFS('مبيعات يومية'!$D$2:$D$14001,'مبيعات يومية'!$C$2:$C$14001,$A69,'مبيعات يومية'!$B$2:$B$14001,'إعدادات المخزون'!$A$15,'مبيعات يومية'!$A$2:$A$14001,"&gt;="&amp;'إعدادات المخزون'!$B$5,'مبيعات يومية'!$A$2:$A$14001,"&lt;="&amp;'إعدادات المخزون'!$B$4)</f>
        <v>6.9996</v>
      </c>
      <c r="D69" s="118" t="n">
        <f aca="false">SUMIFS('مبيعات يومية'!$D$2:$D$14001,'مبيعات يومية'!$C$2:$C$14001,$A69,'مبيعات يومية'!$B$2:$B$14001,'إعدادات المخزون'!$A$15,'مبيعات يومية'!$A$2:$A$14001,"&gt;"&amp;('إعدادات المخزون'!$B$4-'إعدادات المخزون'!$B$11),'مبيعات يومية'!$A$2:$A$14001,"&lt;="&amp;'إعدادات المخزون'!$B$4)</f>
        <v>4.0831</v>
      </c>
      <c r="E69" s="118" t="n">
        <f aca="false">SUMIFS('مبيعات يومية'!$D$2:$D$14001,'مبيعات يومية'!$C$2:$C$14001,$A69,'مبيعات يومية'!$B$2:$B$14001,'إعدادات المخزون'!$A$16,'مبيعات يومية'!$A$2:$A$14001,'إعدادات المخزون'!$B$4)</f>
        <v>0.1667</v>
      </c>
      <c r="F69" s="118" t="n">
        <f aca="false">SUMIFS('مبيعات يومية'!$D$2:$D$14001,'مبيعات يومية'!$C$2:$C$14001,$A69,'مبيعات يومية'!$B$2:$B$14001,'إعدادات المخزون'!$A$16,'مبيعات يومية'!$A$2:$A$14001,"&gt;="&amp;'إعدادات المخزون'!$B$5,'مبيعات يومية'!$A$2:$A$14001,"&lt;="&amp;'إعدادات المخزون'!$B$4)</f>
        <v>2.0004</v>
      </c>
      <c r="G69" s="118" t="n">
        <f aca="false">SUMIFS('مبيعات يومية'!$D$2:$D$14001,'مبيعات يومية'!$C$2:$C$14001,$A69,'مبيعات يومية'!$B$2:$B$14001,'إعدادات المخزون'!$A$16,'مبيعات يومية'!$A$2:$A$14001,"&gt;"&amp;('إعدادات المخزون'!$B$4-'إعدادات المخزون'!$B$11),'مبيعات يومية'!$A$2:$A$14001,"&lt;="&amp;'إعدادات المخزون'!$B$4)</f>
        <v>1.1669</v>
      </c>
      <c r="H69" s="118" t="n">
        <f aca="false">SUMIFS('مبيعات يومية'!$D$2:$D$14001,'مبيعات يومية'!$C$2:$C$14001,$A69,'مبيعات يومية'!$B$2:$B$14001,'إعدادات المخزون'!$A$17,'مبيعات يومية'!$A$2:$A$14001,'إعدادات المخزون'!$B$4)</f>
        <v>0.3333</v>
      </c>
      <c r="I69" s="118" t="n">
        <f aca="false">SUMIFS('مبيعات يومية'!$D$2:$D$14001,'مبيعات يومية'!$C$2:$C$14001,$A69,'مبيعات يومية'!$B$2:$B$14001,'إعدادات المخزون'!$A$17,'مبيعات يومية'!$A$2:$A$14001,"&gt;="&amp;'إعدادات المخزون'!$B$5,'مبيعات يومية'!$A$2:$A$14001,"&lt;="&amp;'إعدادات المخزون'!$B$4)</f>
        <v>3.9996</v>
      </c>
      <c r="J69" s="118" t="n">
        <f aca="false">SUMIFS('مبيعات يومية'!$D$2:$D$14001,'مبيعات يومية'!$C$2:$C$14001,$A69,'مبيعات يومية'!$B$2:$B$14001,'إعدادات المخزون'!$A$17,'مبيعات يومية'!$A$2:$A$14001,"&gt;"&amp;('إعدادات المخزون'!$B$4-'إعدادات المخزون'!$B$11),'مبيعات يومية'!$A$2:$A$14001,"&lt;="&amp;'إعدادات المخزون'!$B$4)</f>
        <v>2.3331</v>
      </c>
    </row>
    <row r="70" customFormat="false" ht="15" hidden="false" customHeight="false" outlineLevel="0" collapsed="false">
      <c r="A70" s="116" t="str">
        <f aca="false">المنيو!B70</f>
        <v>عيش كريب</v>
      </c>
      <c r="B70" s="118" t="n">
        <f aca="false">SUMIFS('مبيعات يومية'!$D$2:$D$14001,'مبيعات يومية'!$C$2:$C$14001,$A70,'مبيعات يومية'!$B$2:$B$14001,'إعدادات المخزون'!$A$15,'مبيعات يومية'!$A$2:$A$14001,'إعدادات المخزون'!$B$4)</f>
        <v>0</v>
      </c>
      <c r="C70" s="118" t="n">
        <f aca="false">SUMIFS('مبيعات يومية'!$D$2:$D$14001,'مبيعات يومية'!$C$2:$C$14001,$A70,'مبيعات يومية'!$B$2:$B$14001,'إعدادات المخزون'!$A$15,'مبيعات يومية'!$A$2:$A$14001,"&gt;="&amp;'إعدادات المخزون'!$B$5,'مبيعات يومية'!$A$2:$A$14001,"&lt;="&amp;'إعدادات المخزون'!$B$4)</f>
        <v>0</v>
      </c>
      <c r="D70" s="118" t="n">
        <f aca="false">SUMIFS('مبيعات يومية'!$D$2:$D$14001,'مبيعات يومية'!$C$2:$C$14001,$A70,'مبيعات يومية'!$B$2:$B$14001,'إعدادات المخزون'!$A$15,'مبيعات يومية'!$A$2:$A$14001,"&gt;"&amp;('إعدادات المخزون'!$B$4-'إعدادات المخزون'!$B$11),'مبيعات يومية'!$A$2:$A$14001,"&lt;="&amp;'إعدادات المخزون'!$B$4)</f>
        <v>0</v>
      </c>
      <c r="E70" s="118" t="n">
        <f aca="false">SUMIFS('مبيعات يومية'!$D$2:$D$14001,'مبيعات يومية'!$C$2:$C$14001,$A70,'مبيعات يومية'!$B$2:$B$14001,'إعدادات المخزون'!$A$16,'مبيعات يومية'!$A$2:$A$14001,'إعدادات المخزون'!$B$4)</f>
        <v>0.25</v>
      </c>
      <c r="F70" s="118" t="n">
        <f aca="false">SUMIFS('مبيعات يومية'!$D$2:$D$14001,'مبيعات يومية'!$C$2:$C$14001,$A70,'مبيعات يومية'!$B$2:$B$14001,'إعدادات المخزون'!$A$16,'مبيعات يومية'!$A$2:$A$14001,"&gt;="&amp;'إعدادات المخزون'!$B$5,'مبيعات يومية'!$A$2:$A$14001,"&lt;="&amp;'إعدادات المخزون'!$B$4)</f>
        <v>3</v>
      </c>
      <c r="G70" s="118" t="n">
        <f aca="false">SUMIFS('مبيعات يومية'!$D$2:$D$14001,'مبيعات يومية'!$C$2:$C$14001,$A70,'مبيعات يومية'!$B$2:$B$14001,'إعدادات المخزون'!$A$16,'مبيعات يومية'!$A$2:$A$14001,"&gt;"&amp;('إعدادات المخزون'!$B$4-'إعدادات المخزون'!$B$11),'مبيعات يومية'!$A$2:$A$14001,"&lt;="&amp;'إعدادات المخزون'!$B$4)</f>
        <v>1.75</v>
      </c>
      <c r="H70" s="118" t="n">
        <f aca="false">SUMIFS('مبيعات يومية'!$D$2:$D$14001,'مبيعات يومية'!$C$2:$C$14001,$A70,'مبيعات يومية'!$B$2:$B$14001,'إعدادات المخزون'!$A$17,'مبيعات يومية'!$A$2:$A$14001,'إعدادات المخزون'!$B$4)</f>
        <v>0</v>
      </c>
      <c r="I70" s="118" t="n">
        <f aca="false">SUMIFS('مبيعات يومية'!$D$2:$D$14001,'مبيعات يومية'!$C$2:$C$14001,$A70,'مبيعات يومية'!$B$2:$B$14001,'إعدادات المخزون'!$A$17,'مبيعات يومية'!$A$2:$A$14001,"&gt;="&amp;'إعدادات المخزون'!$B$5,'مبيعات يومية'!$A$2:$A$14001,"&lt;="&amp;'إعدادات المخزون'!$B$4)</f>
        <v>0</v>
      </c>
      <c r="J70" s="118" t="n">
        <f aca="false">SUMIFS('مبيعات يومية'!$D$2:$D$14001,'مبيعات يومية'!$C$2:$C$14001,$A70,'مبيعات يومية'!$B$2:$B$14001,'إعدادات المخزون'!$A$17,'مبيعات يومية'!$A$2:$A$14001,"&gt;"&amp;('إعدادات المخزون'!$B$4-'إعدادات المخزون'!$B$11),'مبيعات يومية'!$A$2:$A$14001,"&lt;="&amp;'إعدادات المخزون'!$B$4)</f>
        <v>0</v>
      </c>
    </row>
    <row r="71" customFormat="false" ht="15" hidden="false" customHeight="false" outlineLevel="0" collapsed="false">
      <c r="A71" s="116" t="str">
        <f aca="false">المنيو!B71</f>
        <v>باكت بطاطس وسط</v>
      </c>
      <c r="B71" s="118" t="n">
        <f aca="false">SUMIFS('مبيعات يومية'!$D$2:$D$14001,'مبيعات يومية'!$C$2:$C$14001,$A71,'مبيعات يومية'!$B$2:$B$14001,'إعدادات المخزون'!$A$15,'مبيعات يومية'!$A$2:$A$14001,'إعدادات المخزون'!$B$4)</f>
        <v>0.25</v>
      </c>
      <c r="C71" s="118" t="n">
        <f aca="false">SUMIFS('مبيعات يومية'!$D$2:$D$14001,'مبيعات يومية'!$C$2:$C$14001,$A71,'مبيعات يومية'!$B$2:$B$14001,'إعدادات المخزون'!$A$15,'مبيعات يومية'!$A$2:$A$14001,"&gt;="&amp;'إعدادات المخزون'!$B$5,'مبيعات يومية'!$A$2:$A$14001,"&lt;="&amp;'إعدادات المخزون'!$B$4)</f>
        <v>3</v>
      </c>
      <c r="D71" s="118" t="n">
        <f aca="false">SUMIFS('مبيعات يومية'!$D$2:$D$14001,'مبيعات يومية'!$C$2:$C$14001,$A71,'مبيعات يومية'!$B$2:$B$14001,'إعدادات المخزون'!$A$15,'مبيعات يومية'!$A$2:$A$14001,"&gt;"&amp;('إعدادات المخزون'!$B$4-'إعدادات المخزون'!$B$11),'مبيعات يومية'!$A$2:$A$14001,"&lt;="&amp;'إعدادات المخزون'!$B$4)</f>
        <v>1.75</v>
      </c>
      <c r="E71" s="118" t="n">
        <f aca="false">SUMIFS('مبيعات يومية'!$D$2:$D$14001,'مبيعات يومية'!$C$2:$C$14001,$A71,'مبيعات يومية'!$B$2:$B$14001,'إعدادات المخزون'!$A$16,'مبيعات يومية'!$A$2:$A$14001,'إعدادات المخزون'!$B$4)</f>
        <v>0.4167</v>
      </c>
      <c r="F71" s="118" t="n">
        <f aca="false">SUMIFS('مبيعات يومية'!$D$2:$D$14001,'مبيعات يومية'!$C$2:$C$14001,$A71,'مبيعات يومية'!$B$2:$B$14001,'إعدادات المخزون'!$A$16,'مبيعات يومية'!$A$2:$A$14001,"&gt;="&amp;'إعدادات المخزون'!$B$5,'مبيعات يومية'!$A$2:$A$14001,"&lt;="&amp;'إعدادات المخزون'!$B$4)</f>
        <v>5.0004</v>
      </c>
      <c r="G71" s="118" t="n">
        <f aca="false">SUMIFS('مبيعات يومية'!$D$2:$D$14001,'مبيعات يومية'!$C$2:$C$14001,$A71,'مبيعات يومية'!$B$2:$B$14001,'إعدادات المخزون'!$A$16,'مبيعات يومية'!$A$2:$A$14001,"&gt;"&amp;('إعدادات المخزون'!$B$4-'إعدادات المخزون'!$B$11),'مبيعات يومية'!$A$2:$A$14001,"&lt;="&amp;'إعدادات المخزون'!$B$4)</f>
        <v>2.9169</v>
      </c>
      <c r="H71" s="118" t="n">
        <f aca="false">SUMIFS('مبيعات يومية'!$D$2:$D$14001,'مبيعات يومية'!$C$2:$C$14001,$A71,'مبيعات يومية'!$B$2:$B$14001,'إعدادات المخزون'!$A$17,'مبيعات يومية'!$A$2:$A$14001,'إعدادات المخزون'!$B$4)</f>
        <v>0.9167</v>
      </c>
      <c r="I71" s="118" t="n">
        <f aca="false">SUMIFS('مبيعات يومية'!$D$2:$D$14001,'مبيعات يومية'!$C$2:$C$14001,$A71,'مبيعات يومية'!$B$2:$B$14001,'إعدادات المخزون'!$A$17,'مبيعات يومية'!$A$2:$A$14001,"&gt;="&amp;'إعدادات المخزون'!$B$5,'مبيعات يومية'!$A$2:$A$14001,"&lt;="&amp;'إعدادات المخزون'!$B$4)</f>
        <v>11.0004</v>
      </c>
      <c r="J71" s="118" t="n">
        <f aca="false">SUMIFS('مبيعات يومية'!$D$2:$D$14001,'مبيعات يومية'!$C$2:$C$14001,$A71,'مبيعات يومية'!$B$2:$B$14001,'إعدادات المخزون'!$A$17,'مبيعات يومية'!$A$2:$A$14001,"&gt;"&amp;('إعدادات المخزون'!$B$4-'إعدادات المخزون'!$B$11),'مبيعات يومية'!$A$2:$A$14001,"&lt;="&amp;'إعدادات المخزون'!$B$4)</f>
        <v>6.4169</v>
      </c>
    </row>
    <row r="72" customFormat="false" ht="15" hidden="false" customHeight="false" outlineLevel="0" collapsed="false">
      <c r="A72" s="116" t="str">
        <f aca="false">المنيو!B72</f>
        <v>باكت بطاطس كبير</v>
      </c>
      <c r="B72" s="118" t="n">
        <f aca="false">SUMIFS('مبيعات يومية'!$D$2:$D$14001,'مبيعات يومية'!$C$2:$C$14001,$A72,'مبيعات يومية'!$B$2:$B$14001,'إعدادات المخزون'!$A$15,'مبيعات يومية'!$A$2:$A$14001,'إعدادات المخزون'!$B$4)</f>
        <v>0.5</v>
      </c>
      <c r="C72" s="118" t="n">
        <f aca="false">SUMIFS('مبيعات يومية'!$D$2:$D$14001,'مبيعات يومية'!$C$2:$C$14001,$A72,'مبيعات يومية'!$B$2:$B$14001,'إعدادات المخزون'!$A$15,'مبيعات يومية'!$A$2:$A$14001,"&gt;="&amp;'إعدادات المخزون'!$B$5,'مبيعات يومية'!$A$2:$A$14001,"&lt;="&amp;'إعدادات المخزون'!$B$4)</f>
        <v>6</v>
      </c>
      <c r="D72" s="118" t="n">
        <f aca="false">SUMIFS('مبيعات يومية'!$D$2:$D$14001,'مبيعات يومية'!$C$2:$C$14001,$A72,'مبيعات يومية'!$B$2:$B$14001,'إعدادات المخزون'!$A$15,'مبيعات يومية'!$A$2:$A$14001,"&gt;"&amp;('إعدادات المخزون'!$B$4-'إعدادات المخزون'!$B$11),'مبيعات يومية'!$A$2:$A$14001,"&lt;="&amp;'إعدادات المخزون'!$B$4)</f>
        <v>3.5</v>
      </c>
      <c r="E72" s="118" t="n">
        <f aca="false">SUMIFS('مبيعات يومية'!$D$2:$D$14001,'مبيعات يومية'!$C$2:$C$14001,$A72,'مبيعات يومية'!$B$2:$B$14001,'إعدادات المخزون'!$A$16,'مبيعات يومية'!$A$2:$A$14001,'إعدادات المخزون'!$B$4)</f>
        <v>0.5833</v>
      </c>
      <c r="F72" s="118" t="n">
        <f aca="false">SUMIFS('مبيعات يومية'!$D$2:$D$14001,'مبيعات يومية'!$C$2:$C$14001,$A72,'مبيعات يومية'!$B$2:$B$14001,'إعدادات المخزون'!$A$16,'مبيعات يومية'!$A$2:$A$14001,"&gt;="&amp;'إعدادات المخزون'!$B$5,'مبيعات يومية'!$A$2:$A$14001,"&lt;="&amp;'إعدادات المخزون'!$B$4)</f>
        <v>6.9996</v>
      </c>
      <c r="G72" s="118" t="n">
        <f aca="false">SUMIFS('مبيعات يومية'!$D$2:$D$14001,'مبيعات يومية'!$C$2:$C$14001,$A72,'مبيعات يومية'!$B$2:$B$14001,'إعدادات المخزون'!$A$16,'مبيعات يومية'!$A$2:$A$14001,"&gt;"&amp;('إعدادات المخزون'!$B$4-'إعدادات المخزون'!$B$11),'مبيعات يومية'!$A$2:$A$14001,"&lt;="&amp;'إعدادات المخزون'!$B$4)</f>
        <v>4.0831</v>
      </c>
      <c r="H72" s="118" t="n">
        <f aca="false">SUMIFS('مبيعات يومية'!$D$2:$D$14001,'مبيعات يومية'!$C$2:$C$14001,$A72,'مبيعات يومية'!$B$2:$B$14001,'إعدادات المخزون'!$A$17,'مبيعات يومية'!$A$2:$A$14001,'إعدادات المخزون'!$B$4)</f>
        <v>1.0833</v>
      </c>
      <c r="I72" s="118" t="n">
        <f aca="false">SUMIFS('مبيعات يومية'!$D$2:$D$14001,'مبيعات يومية'!$C$2:$C$14001,$A72,'مبيعات يومية'!$B$2:$B$14001,'إعدادات المخزون'!$A$17,'مبيعات يومية'!$A$2:$A$14001,"&gt;="&amp;'إعدادات المخزون'!$B$5,'مبيعات يومية'!$A$2:$A$14001,"&lt;="&amp;'إعدادات المخزون'!$B$4)</f>
        <v>12.9996</v>
      </c>
      <c r="J72" s="118" t="n">
        <f aca="false">SUMIFS('مبيعات يومية'!$D$2:$D$14001,'مبيعات يومية'!$C$2:$C$14001,$A72,'مبيعات يومية'!$B$2:$B$14001,'إعدادات المخزون'!$A$17,'مبيعات يومية'!$A$2:$A$14001,"&gt;"&amp;('إعدادات المخزون'!$B$4-'إعدادات المخزون'!$B$11),'مبيعات يومية'!$A$2:$A$14001,"&lt;="&amp;'إعدادات المخزون'!$B$4)</f>
        <v>7.5831</v>
      </c>
    </row>
    <row r="73" customFormat="false" ht="15" hidden="false" customHeight="false" outlineLevel="0" collapsed="false">
      <c r="A73" s="116" t="str">
        <f aca="false">المنيو!B73</f>
        <v>باكت بطاطس جبنة (وسط)</v>
      </c>
      <c r="B73" s="118" t="n">
        <f aca="false">SUMIFS('مبيعات يومية'!$D$2:$D$14001,'مبيعات يومية'!$C$2:$C$14001,$A73,'مبيعات يومية'!$B$2:$B$14001,'إعدادات المخزون'!$A$15,'مبيعات يومية'!$A$2:$A$14001,'إعدادات المخزون'!$B$4)</f>
        <v>0.4167</v>
      </c>
      <c r="C73" s="118" t="n">
        <f aca="false">SUMIFS('مبيعات يومية'!$D$2:$D$14001,'مبيعات يومية'!$C$2:$C$14001,$A73,'مبيعات يومية'!$B$2:$B$14001,'إعدادات المخزون'!$A$15,'مبيعات يومية'!$A$2:$A$14001,"&gt;="&amp;'إعدادات المخزون'!$B$5,'مبيعات يومية'!$A$2:$A$14001,"&lt;="&amp;'إعدادات المخزون'!$B$4)</f>
        <v>5.0004</v>
      </c>
      <c r="D73" s="118" t="n">
        <f aca="false">SUMIFS('مبيعات يومية'!$D$2:$D$14001,'مبيعات يومية'!$C$2:$C$14001,$A73,'مبيعات يومية'!$B$2:$B$14001,'إعدادات المخزون'!$A$15,'مبيعات يومية'!$A$2:$A$14001,"&gt;"&amp;('إعدادات المخزون'!$B$4-'إعدادات المخزون'!$B$11),'مبيعات يومية'!$A$2:$A$14001,"&lt;="&amp;'إعدادات المخزون'!$B$4)</f>
        <v>2.9169</v>
      </c>
      <c r="E73" s="118" t="n">
        <f aca="false">SUMIFS('مبيعات يومية'!$D$2:$D$14001,'مبيعات يومية'!$C$2:$C$14001,$A73,'مبيعات يومية'!$B$2:$B$14001,'إعدادات المخزون'!$A$16,'مبيعات يومية'!$A$2:$A$14001,'إعدادات المخزون'!$B$4)</f>
        <v>0.1667</v>
      </c>
      <c r="F73" s="118" t="n">
        <f aca="false">SUMIFS('مبيعات يومية'!$D$2:$D$14001,'مبيعات يومية'!$C$2:$C$14001,$A73,'مبيعات يومية'!$B$2:$B$14001,'إعدادات المخزون'!$A$16,'مبيعات يومية'!$A$2:$A$14001,"&gt;="&amp;'إعدادات المخزون'!$B$5,'مبيعات يومية'!$A$2:$A$14001,"&lt;="&amp;'إعدادات المخزون'!$B$4)</f>
        <v>2.0004</v>
      </c>
      <c r="G73" s="118" t="n">
        <f aca="false">SUMIFS('مبيعات يومية'!$D$2:$D$14001,'مبيعات يومية'!$C$2:$C$14001,$A73,'مبيعات يومية'!$B$2:$B$14001,'إعدادات المخزون'!$A$16,'مبيعات يومية'!$A$2:$A$14001,"&gt;"&amp;('إعدادات المخزون'!$B$4-'إعدادات المخزون'!$B$11),'مبيعات يومية'!$A$2:$A$14001,"&lt;="&amp;'إعدادات المخزون'!$B$4)</f>
        <v>1.1669</v>
      </c>
      <c r="H73" s="118" t="n">
        <f aca="false">SUMIFS('مبيعات يومية'!$D$2:$D$14001,'مبيعات يومية'!$C$2:$C$14001,$A73,'مبيعات يومية'!$B$2:$B$14001,'إعدادات المخزون'!$A$17,'مبيعات يومية'!$A$2:$A$14001,'إعدادات المخزون'!$B$4)</f>
        <v>1.1667</v>
      </c>
      <c r="I73" s="118" t="n">
        <f aca="false">SUMIFS('مبيعات يومية'!$D$2:$D$14001,'مبيعات يومية'!$C$2:$C$14001,$A73,'مبيعات يومية'!$B$2:$B$14001,'إعدادات المخزون'!$A$17,'مبيعات يومية'!$A$2:$A$14001,"&gt;="&amp;'إعدادات المخزون'!$B$5,'مبيعات يومية'!$A$2:$A$14001,"&lt;="&amp;'إعدادات المخزون'!$B$4)</f>
        <v>14.0004</v>
      </c>
      <c r="J73" s="118" t="n">
        <f aca="false">SUMIFS('مبيعات يومية'!$D$2:$D$14001,'مبيعات يومية'!$C$2:$C$14001,$A73,'مبيعات يومية'!$B$2:$B$14001,'إعدادات المخزون'!$A$17,'مبيعات يومية'!$A$2:$A$14001,"&gt;"&amp;('إعدادات المخزون'!$B$4-'إعدادات المخزون'!$B$11),'مبيعات يومية'!$A$2:$A$14001,"&lt;="&amp;'إعدادات المخزون'!$B$4)</f>
        <v>8.1669</v>
      </c>
    </row>
    <row r="74" customFormat="false" ht="15" hidden="false" customHeight="false" outlineLevel="0" collapsed="false">
      <c r="A74" s="116" t="str">
        <f aca="false">المنيو!B74</f>
        <v>باكت بطاطس جبنة (كبير)</v>
      </c>
      <c r="B74" s="118" t="n">
        <f aca="false">SUMIFS('مبيعات يومية'!$D$2:$D$14001,'مبيعات يومية'!$C$2:$C$14001,$A74,'مبيعات يومية'!$B$2:$B$14001,'إعدادات المخزون'!$A$15,'مبيعات يومية'!$A$2:$A$14001,'إعدادات المخزون'!$B$4)</f>
        <v>0.1667</v>
      </c>
      <c r="C74" s="118" t="n">
        <f aca="false">SUMIFS('مبيعات يومية'!$D$2:$D$14001,'مبيعات يومية'!$C$2:$C$14001,$A74,'مبيعات يومية'!$B$2:$B$14001,'إعدادات المخزون'!$A$15,'مبيعات يومية'!$A$2:$A$14001,"&gt;="&amp;'إعدادات المخزون'!$B$5,'مبيعات يومية'!$A$2:$A$14001,"&lt;="&amp;'إعدادات المخزون'!$B$4)</f>
        <v>2.0004</v>
      </c>
      <c r="D74" s="118" t="n">
        <f aca="false">SUMIFS('مبيعات يومية'!$D$2:$D$14001,'مبيعات يومية'!$C$2:$C$14001,$A74,'مبيعات يومية'!$B$2:$B$14001,'إعدادات المخزون'!$A$15,'مبيعات يومية'!$A$2:$A$14001,"&gt;"&amp;('إعدادات المخزون'!$B$4-'إعدادات المخزون'!$B$11),'مبيعات يومية'!$A$2:$A$14001,"&lt;="&amp;'إعدادات المخزون'!$B$4)</f>
        <v>1.1669</v>
      </c>
      <c r="E74" s="118" t="n">
        <f aca="false">SUMIFS('مبيعات يومية'!$D$2:$D$14001,'مبيعات يومية'!$C$2:$C$14001,$A74,'مبيعات يومية'!$B$2:$B$14001,'إعدادات المخزون'!$A$16,'مبيعات يومية'!$A$2:$A$14001,'إعدادات المخزون'!$B$4)</f>
        <v>0.1667</v>
      </c>
      <c r="F74" s="118" t="n">
        <f aca="false">SUMIFS('مبيعات يومية'!$D$2:$D$14001,'مبيعات يومية'!$C$2:$C$14001,$A74,'مبيعات يومية'!$B$2:$B$14001,'إعدادات المخزون'!$A$16,'مبيعات يومية'!$A$2:$A$14001,"&gt;="&amp;'إعدادات المخزون'!$B$5,'مبيعات يومية'!$A$2:$A$14001,"&lt;="&amp;'إعدادات المخزون'!$B$4)</f>
        <v>2.0004</v>
      </c>
      <c r="G74" s="118" t="n">
        <f aca="false">SUMIFS('مبيعات يومية'!$D$2:$D$14001,'مبيعات يومية'!$C$2:$C$14001,$A74,'مبيعات يومية'!$B$2:$B$14001,'إعدادات المخزون'!$A$16,'مبيعات يومية'!$A$2:$A$14001,"&gt;"&amp;('إعدادات المخزون'!$B$4-'إعدادات المخزون'!$B$11),'مبيعات يومية'!$A$2:$A$14001,"&lt;="&amp;'إعدادات المخزون'!$B$4)</f>
        <v>1.1669</v>
      </c>
      <c r="H74" s="118" t="n">
        <f aca="false">SUMIFS('مبيعات يومية'!$D$2:$D$14001,'مبيعات يومية'!$C$2:$C$14001,$A74,'مبيعات يومية'!$B$2:$B$14001,'إعدادات المخزون'!$A$17,'مبيعات يومية'!$A$2:$A$14001,'إعدادات المخزون'!$B$4)</f>
        <v>0.25</v>
      </c>
      <c r="I74" s="118" t="n">
        <f aca="false">SUMIFS('مبيعات يومية'!$D$2:$D$14001,'مبيعات يومية'!$C$2:$C$14001,$A74,'مبيعات يومية'!$B$2:$B$14001,'إعدادات المخزون'!$A$17,'مبيعات يومية'!$A$2:$A$14001,"&gt;="&amp;'إعدادات المخزون'!$B$5,'مبيعات يومية'!$A$2:$A$14001,"&lt;="&amp;'إعدادات المخزون'!$B$4)</f>
        <v>3</v>
      </c>
      <c r="J74" s="118" t="n">
        <f aca="false">SUMIFS('مبيعات يومية'!$D$2:$D$14001,'مبيعات يومية'!$C$2:$C$14001,$A74,'مبيعات يومية'!$B$2:$B$14001,'إعدادات المخزون'!$A$17,'مبيعات يومية'!$A$2:$A$14001,"&gt;"&amp;('إعدادات المخزون'!$B$4-'إعدادات المخزون'!$B$11),'مبيعات يومية'!$A$2:$A$14001,"&lt;="&amp;'إعدادات المخزون'!$B$4)</f>
        <v>1.75</v>
      </c>
    </row>
    <row r="75" customFormat="false" ht="15" hidden="false" customHeight="false" outlineLevel="0" collapsed="false">
      <c r="A75" s="116" t="str">
        <f aca="false">المنيو!B75</f>
        <v>بيبسي كانز</v>
      </c>
      <c r="B75" s="118" t="n">
        <f aca="false">SUMIFS('مبيعات يومية'!$D$2:$D$14001,'مبيعات يومية'!$C$2:$C$14001,$A75,'مبيعات يومية'!$B$2:$B$14001,'إعدادات المخزون'!$A$15,'مبيعات يومية'!$A$2:$A$14001,'إعدادات المخزون'!$B$4)</f>
        <v>0.5</v>
      </c>
      <c r="C75" s="118" t="n">
        <f aca="false">SUMIFS('مبيعات يومية'!$D$2:$D$14001,'مبيعات يومية'!$C$2:$C$14001,$A75,'مبيعات يومية'!$B$2:$B$14001,'إعدادات المخزون'!$A$15,'مبيعات يومية'!$A$2:$A$14001,"&gt;="&amp;'إعدادات المخزون'!$B$5,'مبيعات يومية'!$A$2:$A$14001,"&lt;="&amp;'إعدادات المخزون'!$B$4)</f>
        <v>6</v>
      </c>
      <c r="D75" s="118" t="n">
        <f aca="false">SUMIFS('مبيعات يومية'!$D$2:$D$14001,'مبيعات يومية'!$C$2:$C$14001,$A75,'مبيعات يومية'!$B$2:$B$14001,'إعدادات المخزون'!$A$15,'مبيعات يومية'!$A$2:$A$14001,"&gt;"&amp;('إعدادات المخزون'!$B$4-'إعدادات المخزون'!$B$11),'مبيعات يومية'!$A$2:$A$14001,"&lt;="&amp;'إعدادات المخزون'!$B$4)</f>
        <v>3.5</v>
      </c>
      <c r="E75" s="118" t="n">
        <f aca="false">SUMIFS('مبيعات يومية'!$D$2:$D$14001,'مبيعات يومية'!$C$2:$C$14001,$A75,'مبيعات يومية'!$B$2:$B$14001,'إعدادات المخزون'!$A$16,'مبيعات يومية'!$A$2:$A$14001,'إعدادات المخزون'!$B$4)</f>
        <v>0.6667</v>
      </c>
      <c r="F75" s="118" t="n">
        <f aca="false">SUMIFS('مبيعات يومية'!$D$2:$D$14001,'مبيعات يومية'!$C$2:$C$14001,$A75,'مبيعات يومية'!$B$2:$B$14001,'إعدادات المخزون'!$A$16,'مبيعات يومية'!$A$2:$A$14001,"&gt;="&amp;'إعدادات المخزون'!$B$5,'مبيعات يومية'!$A$2:$A$14001,"&lt;="&amp;'إعدادات المخزون'!$B$4)</f>
        <v>8.0004</v>
      </c>
      <c r="G75" s="118" t="n">
        <f aca="false">SUMIFS('مبيعات يومية'!$D$2:$D$14001,'مبيعات يومية'!$C$2:$C$14001,$A75,'مبيعات يومية'!$B$2:$B$14001,'إعدادات المخزون'!$A$16,'مبيعات يومية'!$A$2:$A$14001,"&gt;"&amp;('إعدادات المخزون'!$B$4-'إعدادات المخزون'!$B$11),'مبيعات يومية'!$A$2:$A$14001,"&lt;="&amp;'إعدادات المخزون'!$B$4)</f>
        <v>4.6669</v>
      </c>
      <c r="H75" s="118" t="n">
        <f aca="false">SUMIFS('مبيعات يومية'!$D$2:$D$14001,'مبيعات يومية'!$C$2:$C$14001,$A75,'مبيعات يومية'!$B$2:$B$14001,'إعدادات المخزون'!$A$17,'مبيعات يومية'!$A$2:$A$14001,'إعدادات المخزون'!$B$4)</f>
        <v>0.3333</v>
      </c>
      <c r="I75" s="118" t="n">
        <f aca="false">SUMIFS('مبيعات يومية'!$D$2:$D$14001,'مبيعات يومية'!$C$2:$C$14001,$A75,'مبيعات يومية'!$B$2:$B$14001,'إعدادات المخزون'!$A$17,'مبيعات يومية'!$A$2:$A$14001,"&gt;="&amp;'إعدادات المخزون'!$B$5,'مبيعات يومية'!$A$2:$A$14001,"&lt;="&amp;'إعدادات المخزون'!$B$4)</f>
        <v>3.9996</v>
      </c>
      <c r="J75" s="118" t="n">
        <f aca="false">SUMIFS('مبيعات يومية'!$D$2:$D$14001,'مبيعات يومية'!$C$2:$C$14001,$A75,'مبيعات يومية'!$B$2:$B$14001,'إعدادات المخزون'!$A$17,'مبيعات يومية'!$A$2:$A$14001,"&gt;"&amp;('إعدادات المخزون'!$B$4-'إعدادات المخزون'!$B$11),'مبيعات يومية'!$A$2:$A$14001,"&lt;="&amp;'إعدادات المخزون'!$B$4)</f>
        <v>2.3331</v>
      </c>
    </row>
    <row r="76" customFormat="false" ht="15" hidden="false" customHeight="false" outlineLevel="0" collapsed="false">
      <c r="A76" s="116" t="str">
        <f aca="false">المنيو!B76</f>
        <v>بيبسي لتر</v>
      </c>
      <c r="B76" s="118" t="n">
        <f aca="false">SUMIFS('مبيعات يومية'!$D$2:$D$14001,'مبيعات يومية'!$C$2:$C$14001,$A76,'مبيعات يومية'!$B$2:$B$14001,'إعدادات المخزون'!$A$15,'مبيعات يومية'!$A$2:$A$14001,'إعدادات المخزون'!$B$4)</f>
        <v>0</v>
      </c>
      <c r="C76" s="118" t="n">
        <f aca="false">SUMIFS('مبيعات يومية'!$D$2:$D$14001,'مبيعات يومية'!$C$2:$C$14001,$A76,'مبيعات يومية'!$B$2:$B$14001,'إعدادات المخزون'!$A$15,'مبيعات يومية'!$A$2:$A$14001,"&gt;="&amp;'إعدادات المخزون'!$B$5,'مبيعات يومية'!$A$2:$A$14001,"&lt;="&amp;'إعدادات المخزون'!$B$4)</f>
        <v>0</v>
      </c>
      <c r="D76" s="118" t="n">
        <f aca="false">SUMIFS('مبيعات يومية'!$D$2:$D$14001,'مبيعات يومية'!$C$2:$C$14001,$A76,'مبيعات يومية'!$B$2:$B$14001,'إعدادات المخزون'!$A$15,'مبيعات يومية'!$A$2:$A$14001,"&gt;"&amp;('إعدادات المخزون'!$B$4-'إعدادات المخزون'!$B$11),'مبيعات يومية'!$A$2:$A$14001,"&lt;="&amp;'إعدادات المخزون'!$B$4)</f>
        <v>0</v>
      </c>
      <c r="E76" s="118" t="n">
        <f aca="false">SUMIFS('مبيعات يومية'!$D$2:$D$14001,'مبيعات يومية'!$C$2:$C$14001,$A76,'مبيعات يومية'!$B$2:$B$14001,'إعدادات المخزون'!$A$16,'مبيعات يومية'!$A$2:$A$14001,'إعدادات المخزون'!$B$4)</f>
        <v>0.0833</v>
      </c>
      <c r="F76" s="118" t="n">
        <f aca="false">SUMIFS('مبيعات يومية'!$D$2:$D$14001,'مبيعات يومية'!$C$2:$C$14001,$A76,'مبيعات يومية'!$B$2:$B$14001,'إعدادات المخزون'!$A$16,'مبيعات يومية'!$A$2:$A$14001,"&gt;="&amp;'إعدادات المخزون'!$B$5,'مبيعات يومية'!$A$2:$A$14001,"&lt;="&amp;'إعدادات المخزون'!$B$4)</f>
        <v>0.9996</v>
      </c>
      <c r="G76" s="118" t="n">
        <f aca="false">SUMIFS('مبيعات يومية'!$D$2:$D$14001,'مبيعات يومية'!$C$2:$C$14001,$A76,'مبيعات يومية'!$B$2:$B$14001,'إعدادات المخزون'!$A$16,'مبيعات يومية'!$A$2:$A$14001,"&gt;"&amp;('إعدادات المخزون'!$B$4-'إعدادات المخزون'!$B$11),'مبيعات يومية'!$A$2:$A$14001,"&lt;="&amp;'إعدادات المخزون'!$B$4)</f>
        <v>0.5831</v>
      </c>
      <c r="H76" s="118" t="n">
        <f aca="false">SUMIFS('مبيعات يومية'!$D$2:$D$14001,'مبيعات يومية'!$C$2:$C$14001,$A76,'مبيعات يومية'!$B$2:$B$14001,'إعدادات المخزون'!$A$17,'مبيعات يومية'!$A$2:$A$14001,'إعدادات المخزون'!$B$4)</f>
        <v>0</v>
      </c>
      <c r="I76" s="118" t="n">
        <f aca="false">SUMIFS('مبيعات يومية'!$D$2:$D$14001,'مبيعات يومية'!$C$2:$C$14001,$A76,'مبيعات يومية'!$B$2:$B$14001,'إعدادات المخزون'!$A$17,'مبيعات يومية'!$A$2:$A$14001,"&gt;="&amp;'إعدادات المخزون'!$B$5,'مبيعات يومية'!$A$2:$A$14001,"&lt;="&amp;'إعدادات المخزون'!$B$4)</f>
        <v>0</v>
      </c>
      <c r="J76" s="118" t="n">
        <f aca="false">SUMIFS('مبيعات يومية'!$D$2:$D$14001,'مبيعات يومية'!$C$2:$C$14001,$A76,'مبيعات يومية'!$B$2:$B$14001,'إعدادات المخزون'!$A$17,'مبيعات يومية'!$A$2:$A$14001,"&gt;"&amp;('إعدادات المخزون'!$B$4-'إعدادات المخزون'!$B$11),'مبيعات يومية'!$A$2:$A$14001,"&lt;="&amp;'إعدادات المخزون'!$B$4)</f>
        <v>0</v>
      </c>
    </row>
    <row r="77" customFormat="false" ht="15" hidden="false" customHeight="false" outlineLevel="0" collapsed="false">
      <c r="A77" s="116" t="str">
        <f aca="false">المنيو!B77</f>
        <v>بيتزا مارجريتا صيامي وسط</v>
      </c>
      <c r="B77" s="118" t="n">
        <f aca="false">SUMIFS('مبيعات يومية'!$D$2:$D$14001,'مبيعات يومية'!$C$2:$C$14001,$A77,'مبيعات يومية'!$B$2:$B$14001,'إعدادات المخزون'!$A$15,'مبيعات يومية'!$A$2:$A$14001,'إعدادات المخزون'!$B$4)</f>
        <v>0</v>
      </c>
      <c r="C77" s="118" t="n">
        <f aca="false">SUMIFS('مبيعات يومية'!$D$2:$D$14001,'مبيعات يومية'!$C$2:$C$14001,$A77,'مبيعات يومية'!$B$2:$B$14001,'إعدادات المخزون'!$A$15,'مبيعات يومية'!$A$2:$A$14001,"&gt;="&amp;'إعدادات المخزون'!$B$5,'مبيعات يومية'!$A$2:$A$14001,"&lt;="&amp;'إعدادات المخزون'!$B$4)</f>
        <v>0</v>
      </c>
      <c r="D77" s="118" t="n">
        <f aca="false">SUMIFS('مبيعات يومية'!$D$2:$D$14001,'مبيعات يومية'!$C$2:$C$14001,$A77,'مبيعات يومية'!$B$2:$B$14001,'إعدادات المخزون'!$A$15,'مبيعات يومية'!$A$2:$A$14001,"&gt;"&amp;('إعدادات المخزون'!$B$4-'إعدادات المخزون'!$B$11),'مبيعات يومية'!$A$2:$A$14001,"&lt;="&amp;'إعدادات المخزون'!$B$4)</f>
        <v>0</v>
      </c>
      <c r="E77" s="118" t="n">
        <f aca="false">SUMIFS('مبيعات يومية'!$D$2:$D$14001,'مبيعات يومية'!$C$2:$C$14001,$A77,'مبيعات يومية'!$B$2:$B$14001,'إعدادات المخزون'!$A$16,'مبيعات يومية'!$A$2:$A$14001,'إعدادات المخزون'!$B$4)</f>
        <v>0.1667</v>
      </c>
      <c r="F77" s="118" t="n">
        <f aca="false">SUMIFS('مبيعات يومية'!$D$2:$D$14001,'مبيعات يومية'!$C$2:$C$14001,$A77,'مبيعات يومية'!$B$2:$B$14001,'إعدادات المخزون'!$A$16,'مبيعات يومية'!$A$2:$A$14001,"&gt;="&amp;'إعدادات المخزون'!$B$5,'مبيعات يومية'!$A$2:$A$14001,"&lt;="&amp;'إعدادات المخزون'!$B$4)</f>
        <v>2.0004</v>
      </c>
      <c r="G77" s="118" t="n">
        <f aca="false">SUMIFS('مبيعات يومية'!$D$2:$D$14001,'مبيعات يومية'!$C$2:$C$14001,$A77,'مبيعات يومية'!$B$2:$B$14001,'إعدادات المخزون'!$A$16,'مبيعات يومية'!$A$2:$A$14001,"&gt;"&amp;('إعدادات المخزون'!$B$4-'إعدادات المخزون'!$B$11),'مبيعات يومية'!$A$2:$A$14001,"&lt;="&amp;'إعدادات المخزون'!$B$4)</f>
        <v>1.1669</v>
      </c>
      <c r="H77" s="118" t="n">
        <f aca="false">SUMIFS('مبيعات يومية'!$D$2:$D$14001,'مبيعات يومية'!$C$2:$C$14001,$A77,'مبيعات يومية'!$B$2:$B$14001,'إعدادات المخزون'!$A$17,'مبيعات يومية'!$A$2:$A$14001,'إعدادات المخزون'!$B$4)</f>
        <v>0.25</v>
      </c>
      <c r="I77" s="118" t="n">
        <f aca="false">SUMIFS('مبيعات يومية'!$D$2:$D$14001,'مبيعات يومية'!$C$2:$C$14001,$A77,'مبيعات يومية'!$B$2:$B$14001,'إعدادات المخزون'!$A$17,'مبيعات يومية'!$A$2:$A$14001,"&gt;="&amp;'إعدادات المخزون'!$B$5,'مبيعات يومية'!$A$2:$A$14001,"&lt;="&amp;'إعدادات المخزون'!$B$4)</f>
        <v>3</v>
      </c>
      <c r="J77" s="118" t="n">
        <f aca="false">SUMIFS('مبيعات يومية'!$D$2:$D$14001,'مبيعات يومية'!$C$2:$C$14001,$A77,'مبيعات يومية'!$B$2:$B$14001,'إعدادات المخزون'!$A$17,'مبيعات يومية'!$A$2:$A$14001,"&gt;"&amp;('إعدادات المخزون'!$B$4-'إعدادات المخزون'!$B$11),'مبيعات يومية'!$A$2:$A$14001,"&lt;="&amp;'إعدادات المخزون'!$B$4)</f>
        <v>1.75</v>
      </c>
    </row>
    <row r="78" customFormat="false" ht="15" hidden="false" customHeight="false" outlineLevel="0" collapsed="false">
      <c r="A78" s="116" t="str">
        <f aca="false">المنيو!B78</f>
        <v>بيتزا مارجريتا صيامي مخصوص</v>
      </c>
      <c r="B78" s="118" t="n">
        <f aca="false">SUMIFS('مبيعات يومية'!$D$2:$D$14001,'مبيعات يومية'!$C$2:$C$14001,$A78,'مبيعات يومية'!$B$2:$B$14001,'إعدادات المخزون'!$A$15,'مبيعات يومية'!$A$2:$A$14001,'إعدادات المخزون'!$B$4)</f>
        <v>0</v>
      </c>
      <c r="C78" s="118" t="n">
        <f aca="false">SUMIFS('مبيعات يومية'!$D$2:$D$14001,'مبيعات يومية'!$C$2:$C$14001,$A78,'مبيعات يومية'!$B$2:$B$14001,'إعدادات المخزون'!$A$15,'مبيعات يومية'!$A$2:$A$14001,"&gt;="&amp;'إعدادات المخزون'!$B$5,'مبيعات يومية'!$A$2:$A$14001,"&lt;="&amp;'إعدادات المخزون'!$B$4)</f>
        <v>0</v>
      </c>
      <c r="D78" s="118" t="n">
        <f aca="false">SUMIFS('مبيعات يومية'!$D$2:$D$14001,'مبيعات يومية'!$C$2:$C$14001,$A78,'مبيعات يومية'!$B$2:$B$14001,'إعدادات المخزون'!$A$15,'مبيعات يومية'!$A$2:$A$14001,"&gt;"&amp;('إعدادات المخزون'!$B$4-'إعدادات المخزون'!$B$11),'مبيعات يومية'!$A$2:$A$14001,"&lt;="&amp;'إعدادات المخزون'!$B$4)</f>
        <v>0</v>
      </c>
      <c r="E78" s="118" t="n">
        <f aca="false">SUMIFS('مبيعات يومية'!$D$2:$D$14001,'مبيعات يومية'!$C$2:$C$14001,$A78,'مبيعات يومية'!$B$2:$B$14001,'إعدادات المخزون'!$A$16,'مبيعات يومية'!$A$2:$A$14001,'إعدادات المخزون'!$B$4)</f>
        <v>0.1667</v>
      </c>
      <c r="F78" s="118" t="n">
        <f aca="false">SUMIFS('مبيعات يومية'!$D$2:$D$14001,'مبيعات يومية'!$C$2:$C$14001,$A78,'مبيعات يومية'!$B$2:$B$14001,'إعدادات المخزون'!$A$16,'مبيعات يومية'!$A$2:$A$14001,"&gt;="&amp;'إعدادات المخزون'!$B$5,'مبيعات يومية'!$A$2:$A$14001,"&lt;="&amp;'إعدادات المخزون'!$B$4)</f>
        <v>2.0004</v>
      </c>
      <c r="G78" s="118" t="n">
        <f aca="false">SUMIFS('مبيعات يومية'!$D$2:$D$14001,'مبيعات يومية'!$C$2:$C$14001,$A78,'مبيعات يومية'!$B$2:$B$14001,'إعدادات المخزون'!$A$16,'مبيعات يومية'!$A$2:$A$14001,"&gt;"&amp;('إعدادات المخزون'!$B$4-'إعدادات المخزون'!$B$11),'مبيعات يومية'!$A$2:$A$14001,"&lt;="&amp;'إعدادات المخزون'!$B$4)</f>
        <v>1.1669</v>
      </c>
      <c r="H78" s="118" t="n">
        <f aca="false">SUMIFS('مبيعات يومية'!$D$2:$D$14001,'مبيعات يومية'!$C$2:$C$14001,$A78,'مبيعات يومية'!$B$2:$B$14001,'إعدادات المخزون'!$A$17,'مبيعات يومية'!$A$2:$A$14001,'إعدادات المخزون'!$B$4)</f>
        <v>0.1667</v>
      </c>
      <c r="I78" s="118" t="n">
        <f aca="false">SUMIFS('مبيعات يومية'!$D$2:$D$14001,'مبيعات يومية'!$C$2:$C$14001,$A78,'مبيعات يومية'!$B$2:$B$14001,'إعدادات المخزون'!$A$17,'مبيعات يومية'!$A$2:$A$14001,"&gt;="&amp;'إعدادات المخزون'!$B$5,'مبيعات يومية'!$A$2:$A$14001,"&lt;="&amp;'إعدادات المخزون'!$B$4)</f>
        <v>2.0004</v>
      </c>
      <c r="J78" s="118" t="n">
        <f aca="false">SUMIFS('مبيعات يومية'!$D$2:$D$14001,'مبيعات يومية'!$C$2:$C$14001,$A78,'مبيعات يومية'!$B$2:$B$14001,'إعدادات المخزون'!$A$17,'مبيعات يومية'!$A$2:$A$14001,"&gt;"&amp;('إعدادات المخزون'!$B$4-'إعدادات المخزون'!$B$11),'مبيعات يومية'!$A$2:$A$14001,"&lt;="&amp;'إعدادات المخزون'!$B$4)</f>
        <v>1.1669</v>
      </c>
    </row>
    <row r="79" customFormat="false" ht="15" hidden="false" customHeight="false" outlineLevel="0" collapsed="false">
      <c r="A79" s="116" t="str">
        <f aca="false">المنيو!B79</f>
        <v>بيتزا مشروم صيامي وسط</v>
      </c>
      <c r="B79" s="118" t="n">
        <f aca="false">SUMIFS('مبيعات يومية'!$D$2:$D$14001,'مبيعات يومية'!$C$2:$C$14001,$A79,'مبيعات يومية'!$B$2:$B$14001,'إعدادات المخزون'!$A$15,'مبيعات يومية'!$A$2:$A$14001,'إعدادات المخزون'!$B$4)</f>
        <v>0</v>
      </c>
      <c r="C79" s="118" t="n">
        <f aca="false">SUMIFS('مبيعات يومية'!$D$2:$D$14001,'مبيعات يومية'!$C$2:$C$14001,$A79,'مبيعات يومية'!$B$2:$B$14001,'إعدادات المخزون'!$A$15,'مبيعات يومية'!$A$2:$A$14001,"&gt;="&amp;'إعدادات المخزون'!$B$5,'مبيعات يومية'!$A$2:$A$14001,"&lt;="&amp;'إعدادات المخزون'!$B$4)</f>
        <v>0</v>
      </c>
      <c r="D79" s="118" t="n">
        <f aca="false">SUMIFS('مبيعات يومية'!$D$2:$D$14001,'مبيعات يومية'!$C$2:$C$14001,$A79,'مبيعات يومية'!$B$2:$B$14001,'إعدادات المخزون'!$A$15,'مبيعات يومية'!$A$2:$A$14001,"&gt;"&amp;('إعدادات المخزون'!$B$4-'إعدادات المخزون'!$B$11),'مبيعات يومية'!$A$2:$A$14001,"&lt;="&amp;'إعدادات المخزون'!$B$4)</f>
        <v>0</v>
      </c>
      <c r="E79" s="118" t="n">
        <f aca="false">SUMIFS('مبيعات يومية'!$D$2:$D$14001,'مبيعات يومية'!$C$2:$C$14001,$A79,'مبيعات يومية'!$B$2:$B$14001,'إعدادات المخزون'!$A$16,'مبيعات يومية'!$A$2:$A$14001,'إعدادات المخزون'!$B$4)</f>
        <v>0.1667</v>
      </c>
      <c r="F79" s="118" t="n">
        <f aca="false">SUMIFS('مبيعات يومية'!$D$2:$D$14001,'مبيعات يومية'!$C$2:$C$14001,$A79,'مبيعات يومية'!$B$2:$B$14001,'إعدادات المخزون'!$A$16,'مبيعات يومية'!$A$2:$A$14001,"&gt;="&amp;'إعدادات المخزون'!$B$5,'مبيعات يومية'!$A$2:$A$14001,"&lt;="&amp;'إعدادات المخزون'!$B$4)</f>
        <v>2.0004</v>
      </c>
      <c r="G79" s="118" t="n">
        <f aca="false">SUMIFS('مبيعات يومية'!$D$2:$D$14001,'مبيعات يومية'!$C$2:$C$14001,$A79,'مبيعات يومية'!$B$2:$B$14001,'إعدادات المخزون'!$A$16,'مبيعات يومية'!$A$2:$A$14001,"&gt;"&amp;('إعدادات المخزون'!$B$4-'إعدادات المخزون'!$B$11),'مبيعات يومية'!$A$2:$A$14001,"&lt;="&amp;'إعدادات المخزون'!$B$4)</f>
        <v>1.1669</v>
      </c>
      <c r="H79" s="118" t="n">
        <f aca="false">SUMIFS('مبيعات يومية'!$D$2:$D$14001,'مبيعات يومية'!$C$2:$C$14001,$A79,'مبيعات يومية'!$B$2:$B$14001,'إعدادات المخزون'!$A$17,'مبيعات يومية'!$A$2:$A$14001,'إعدادات المخزون'!$B$4)</f>
        <v>0.0833</v>
      </c>
      <c r="I79" s="118" t="n">
        <f aca="false">SUMIFS('مبيعات يومية'!$D$2:$D$14001,'مبيعات يومية'!$C$2:$C$14001,$A79,'مبيعات يومية'!$B$2:$B$14001,'إعدادات المخزون'!$A$17,'مبيعات يومية'!$A$2:$A$14001,"&gt;="&amp;'إعدادات المخزون'!$B$5,'مبيعات يومية'!$A$2:$A$14001,"&lt;="&amp;'إعدادات المخزون'!$B$4)</f>
        <v>0.9996</v>
      </c>
      <c r="J79" s="118" t="n">
        <f aca="false">SUMIFS('مبيعات يومية'!$D$2:$D$14001,'مبيعات يومية'!$C$2:$C$14001,$A79,'مبيعات يومية'!$B$2:$B$14001,'إعدادات المخزون'!$A$17,'مبيعات يومية'!$A$2:$A$14001,"&gt;"&amp;('إعدادات المخزون'!$B$4-'إعدادات المخزون'!$B$11),'مبيعات يومية'!$A$2:$A$14001,"&lt;="&amp;'إعدادات المخزون'!$B$4)</f>
        <v>0.5831</v>
      </c>
    </row>
    <row r="80" customFormat="false" ht="15" hidden="false" customHeight="false" outlineLevel="0" collapsed="false">
      <c r="A80" s="116" t="str">
        <f aca="false">المنيو!B80</f>
        <v>بيتزا مشروم صيامي مخصوص</v>
      </c>
      <c r="B80" s="118" t="n">
        <f aca="false">SUMIFS('مبيعات يومية'!$D$2:$D$14001,'مبيعات يومية'!$C$2:$C$14001,$A80,'مبيعات يومية'!$B$2:$B$14001,'إعدادات المخزون'!$A$15,'مبيعات يومية'!$A$2:$A$14001,'إعدادات المخزون'!$B$4)</f>
        <v>0.0833</v>
      </c>
      <c r="C80" s="118" t="n">
        <f aca="false">SUMIFS('مبيعات يومية'!$D$2:$D$14001,'مبيعات يومية'!$C$2:$C$14001,$A80,'مبيعات يومية'!$B$2:$B$14001,'إعدادات المخزون'!$A$15,'مبيعات يومية'!$A$2:$A$14001,"&gt;="&amp;'إعدادات المخزون'!$B$5,'مبيعات يومية'!$A$2:$A$14001,"&lt;="&amp;'إعدادات المخزون'!$B$4)</f>
        <v>0.9996</v>
      </c>
      <c r="D80" s="118" t="n">
        <f aca="false">SUMIFS('مبيعات يومية'!$D$2:$D$14001,'مبيعات يومية'!$C$2:$C$14001,$A80,'مبيعات يومية'!$B$2:$B$14001,'إعدادات المخزون'!$A$15,'مبيعات يومية'!$A$2:$A$14001,"&gt;"&amp;('إعدادات المخزون'!$B$4-'إعدادات المخزون'!$B$11),'مبيعات يومية'!$A$2:$A$14001,"&lt;="&amp;'إعدادات المخزون'!$B$4)</f>
        <v>0.5831</v>
      </c>
      <c r="E80" s="118" t="n">
        <f aca="false">SUMIFS('مبيعات يومية'!$D$2:$D$14001,'مبيعات يومية'!$C$2:$C$14001,$A80,'مبيعات يومية'!$B$2:$B$14001,'إعدادات المخزون'!$A$16,'مبيعات يومية'!$A$2:$A$14001,'إعدادات المخزون'!$B$4)</f>
        <v>0.0833</v>
      </c>
      <c r="F80" s="118" t="n">
        <f aca="false">SUMIFS('مبيعات يومية'!$D$2:$D$14001,'مبيعات يومية'!$C$2:$C$14001,$A80,'مبيعات يومية'!$B$2:$B$14001,'إعدادات المخزون'!$A$16,'مبيعات يومية'!$A$2:$A$14001,"&gt;="&amp;'إعدادات المخزون'!$B$5,'مبيعات يومية'!$A$2:$A$14001,"&lt;="&amp;'إعدادات المخزون'!$B$4)</f>
        <v>0.9996</v>
      </c>
      <c r="G80" s="118" t="n">
        <f aca="false">SUMIFS('مبيعات يومية'!$D$2:$D$14001,'مبيعات يومية'!$C$2:$C$14001,$A80,'مبيعات يومية'!$B$2:$B$14001,'إعدادات المخزون'!$A$16,'مبيعات يومية'!$A$2:$A$14001,"&gt;"&amp;('إعدادات المخزون'!$B$4-'إعدادات المخزون'!$B$11),'مبيعات يومية'!$A$2:$A$14001,"&lt;="&amp;'إعدادات المخزون'!$B$4)</f>
        <v>0.5831</v>
      </c>
      <c r="H80" s="118" t="n">
        <f aca="false">SUMIFS('مبيعات يومية'!$D$2:$D$14001,'مبيعات يومية'!$C$2:$C$14001,$A80,'مبيعات يومية'!$B$2:$B$14001,'إعدادات المخزون'!$A$17,'مبيعات يومية'!$A$2:$A$14001,'إعدادات المخزون'!$B$4)</f>
        <v>0.1667</v>
      </c>
      <c r="I80" s="118" t="n">
        <f aca="false">SUMIFS('مبيعات يومية'!$D$2:$D$14001,'مبيعات يومية'!$C$2:$C$14001,$A80,'مبيعات يومية'!$B$2:$B$14001,'إعدادات المخزون'!$A$17,'مبيعات يومية'!$A$2:$A$14001,"&gt;="&amp;'إعدادات المخزون'!$B$5,'مبيعات يومية'!$A$2:$A$14001,"&lt;="&amp;'إعدادات المخزون'!$B$4)</f>
        <v>2.0004</v>
      </c>
      <c r="J80" s="118" t="n">
        <f aca="false">SUMIFS('مبيعات يومية'!$D$2:$D$14001,'مبيعات يومية'!$C$2:$C$14001,$A80,'مبيعات يومية'!$B$2:$B$14001,'إعدادات المخزون'!$A$17,'مبيعات يومية'!$A$2:$A$14001,"&gt;"&amp;('إعدادات المخزون'!$B$4-'إعدادات المخزون'!$B$11),'مبيعات يومية'!$A$2:$A$14001,"&lt;="&amp;'إعدادات المخزون'!$B$4)</f>
        <v>1.1669</v>
      </c>
    </row>
    <row r="81" customFormat="false" ht="15" hidden="false" customHeight="false" outlineLevel="0" collapsed="false">
      <c r="A81" s="116" t="str">
        <f aca="false">المنيو!B81</f>
        <v>بيتزا سوسيس صيامي وسط</v>
      </c>
      <c r="B81" s="118" t="n">
        <f aca="false">SUMIFS('مبيعات يومية'!$D$2:$D$14001,'مبيعات يومية'!$C$2:$C$14001,$A81,'مبيعات يومية'!$B$2:$B$14001,'إعدادات المخزون'!$A$15,'مبيعات يومية'!$A$2:$A$14001,'إعدادات المخزون'!$B$4)</f>
        <v>0</v>
      </c>
      <c r="C81" s="118" t="n">
        <f aca="false">SUMIFS('مبيعات يومية'!$D$2:$D$14001,'مبيعات يومية'!$C$2:$C$14001,$A81,'مبيعات يومية'!$B$2:$B$14001,'إعدادات المخزون'!$A$15,'مبيعات يومية'!$A$2:$A$14001,"&gt;="&amp;'إعدادات المخزون'!$B$5,'مبيعات يومية'!$A$2:$A$14001,"&lt;="&amp;'إعدادات المخزون'!$B$4)</f>
        <v>0</v>
      </c>
      <c r="D81" s="118" t="n">
        <f aca="false">SUMIFS('مبيعات يومية'!$D$2:$D$14001,'مبيعات يومية'!$C$2:$C$14001,$A81,'مبيعات يومية'!$B$2:$B$14001,'إعدادات المخزون'!$A$15,'مبيعات يومية'!$A$2:$A$14001,"&gt;"&amp;('إعدادات المخزون'!$B$4-'إعدادات المخزون'!$B$11),'مبيعات يومية'!$A$2:$A$14001,"&lt;="&amp;'إعدادات المخزون'!$B$4)</f>
        <v>0</v>
      </c>
      <c r="E81" s="118" t="n">
        <f aca="false">SUMIFS('مبيعات يومية'!$D$2:$D$14001,'مبيعات يومية'!$C$2:$C$14001,$A81,'مبيعات يومية'!$B$2:$B$14001,'إعدادات المخزون'!$A$16,'مبيعات يومية'!$A$2:$A$14001,'إعدادات المخزون'!$B$4)</f>
        <v>0</v>
      </c>
      <c r="F81" s="118" t="n">
        <f aca="false">SUMIFS('مبيعات يومية'!$D$2:$D$14001,'مبيعات يومية'!$C$2:$C$14001,$A81,'مبيعات يومية'!$B$2:$B$14001,'إعدادات المخزون'!$A$16,'مبيعات يومية'!$A$2:$A$14001,"&gt;="&amp;'إعدادات المخزون'!$B$5,'مبيعات يومية'!$A$2:$A$14001,"&lt;="&amp;'إعدادات المخزون'!$B$4)</f>
        <v>0</v>
      </c>
      <c r="G81" s="118" t="n">
        <f aca="false">SUMIFS('مبيعات يومية'!$D$2:$D$14001,'مبيعات يومية'!$C$2:$C$14001,$A81,'مبيعات يومية'!$B$2:$B$14001,'إعدادات المخزون'!$A$16,'مبيعات يومية'!$A$2:$A$14001,"&gt;"&amp;('إعدادات المخزون'!$B$4-'إعدادات المخزون'!$B$11),'مبيعات يومية'!$A$2:$A$14001,"&lt;="&amp;'إعدادات المخزون'!$B$4)</f>
        <v>0</v>
      </c>
      <c r="H81" s="118" t="n">
        <f aca="false">SUMIFS('مبيعات يومية'!$D$2:$D$14001,'مبيعات يومية'!$C$2:$C$14001,$A81,'مبيعات يومية'!$B$2:$B$14001,'إعدادات المخزون'!$A$17,'مبيعات يومية'!$A$2:$A$14001,'إعدادات المخزون'!$B$4)</f>
        <v>0</v>
      </c>
      <c r="I81" s="118" t="n">
        <f aca="false">SUMIFS('مبيعات يومية'!$D$2:$D$14001,'مبيعات يومية'!$C$2:$C$14001,$A81,'مبيعات يومية'!$B$2:$B$14001,'إعدادات المخزون'!$A$17,'مبيعات يومية'!$A$2:$A$14001,"&gt;="&amp;'إعدادات المخزون'!$B$5,'مبيعات يومية'!$A$2:$A$14001,"&lt;="&amp;'إعدادات المخزون'!$B$4)</f>
        <v>0</v>
      </c>
      <c r="J81" s="118" t="n">
        <f aca="false">SUMIFS('مبيعات يومية'!$D$2:$D$14001,'مبيعات يومية'!$C$2:$C$14001,$A81,'مبيعات يومية'!$B$2:$B$14001,'إعدادات المخزون'!$A$17,'مبيعات يومية'!$A$2:$A$14001,"&gt;"&amp;('إعدادات المخزون'!$B$4-'إعدادات المخزون'!$B$11),'مبيعات يومية'!$A$2:$A$14001,"&lt;="&amp;'إعدادات المخزون'!$B$4)</f>
        <v>0</v>
      </c>
    </row>
    <row r="82" customFormat="false" ht="15" hidden="false" customHeight="false" outlineLevel="0" collapsed="false">
      <c r="A82" s="116" t="str">
        <f aca="false">المنيو!B82</f>
        <v>بيتزا سوسيس صيامي مخصوص</v>
      </c>
      <c r="B82" s="118" t="n">
        <f aca="false">SUMIFS('مبيعات يومية'!$D$2:$D$14001,'مبيعات يومية'!$C$2:$C$14001,$A82,'مبيعات يومية'!$B$2:$B$14001,'إعدادات المخزون'!$A$15,'مبيعات يومية'!$A$2:$A$14001,'إعدادات المخزون'!$B$4)</f>
        <v>0</v>
      </c>
      <c r="C82" s="118" t="n">
        <f aca="false">SUMIFS('مبيعات يومية'!$D$2:$D$14001,'مبيعات يومية'!$C$2:$C$14001,$A82,'مبيعات يومية'!$B$2:$B$14001,'إعدادات المخزون'!$A$15,'مبيعات يومية'!$A$2:$A$14001,"&gt;="&amp;'إعدادات المخزون'!$B$5,'مبيعات يومية'!$A$2:$A$14001,"&lt;="&amp;'إعدادات المخزون'!$B$4)</f>
        <v>0</v>
      </c>
      <c r="D82" s="118" t="n">
        <f aca="false">SUMIFS('مبيعات يومية'!$D$2:$D$14001,'مبيعات يومية'!$C$2:$C$14001,$A82,'مبيعات يومية'!$B$2:$B$14001,'إعدادات المخزون'!$A$15,'مبيعات يومية'!$A$2:$A$14001,"&gt;"&amp;('إعدادات المخزون'!$B$4-'إعدادات المخزون'!$B$11),'مبيعات يومية'!$A$2:$A$14001,"&lt;="&amp;'إعدادات المخزون'!$B$4)</f>
        <v>0</v>
      </c>
      <c r="E82" s="118" t="n">
        <f aca="false">SUMIFS('مبيعات يومية'!$D$2:$D$14001,'مبيعات يومية'!$C$2:$C$14001,$A82,'مبيعات يومية'!$B$2:$B$14001,'إعدادات المخزون'!$A$16,'مبيعات يومية'!$A$2:$A$14001,'إعدادات المخزون'!$B$4)</f>
        <v>0</v>
      </c>
      <c r="F82" s="118" t="n">
        <f aca="false">SUMIFS('مبيعات يومية'!$D$2:$D$14001,'مبيعات يومية'!$C$2:$C$14001,$A82,'مبيعات يومية'!$B$2:$B$14001,'إعدادات المخزون'!$A$16,'مبيعات يومية'!$A$2:$A$14001,"&gt;="&amp;'إعدادات المخزون'!$B$5,'مبيعات يومية'!$A$2:$A$14001,"&lt;="&amp;'إعدادات المخزون'!$B$4)</f>
        <v>0</v>
      </c>
      <c r="G82" s="118" t="n">
        <f aca="false">SUMIFS('مبيعات يومية'!$D$2:$D$14001,'مبيعات يومية'!$C$2:$C$14001,$A82,'مبيعات يومية'!$B$2:$B$14001,'إعدادات المخزون'!$A$16,'مبيعات يومية'!$A$2:$A$14001,"&gt;"&amp;('إعدادات المخزون'!$B$4-'إعدادات المخزون'!$B$11),'مبيعات يومية'!$A$2:$A$14001,"&lt;="&amp;'إعدادات المخزون'!$B$4)</f>
        <v>0</v>
      </c>
      <c r="H82" s="118" t="n">
        <f aca="false">SUMIFS('مبيعات يومية'!$D$2:$D$14001,'مبيعات يومية'!$C$2:$C$14001,$A82,'مبيعات يومية'!$B$2:$B$14001,'إعدادات المخزون'!$A$17,'مبيعات يومية'!$A$2:$A$14001,'إعدادات المخزون'!$B$4)</f>
        <v>0</v>
      </c>
      <c r="I82" s="118" t="n">
        <f aca="false">SUMIFS('مبيعات يومية'!$D$2:$D$14001,'مبيعات يومية'!$C$2:$C$14001,$A82,'مبيعات يومية'!$B$2:$B$14001,'إعدادات المخزون'!$A$17,'مبيعات يومية'!$A$2:$A$14001,"&gt;="&amp;'إعدادات المخزون'!$B$5,'مبيعات يومية'!$A$2:$A$14001,"&lt;="&amp;'إعدادات المخزون'!$B$4)</f>
        <v>0</v>
      </c>
      <c r="J82" s="118" t="n">
        <f aca="false">SUMIFS('مبيعات يومية'!$D$2:$D$14001,'مبيعات يومية'!$C$2:$C$14001,$A82,'مبيعات يومية'!$B$2:$B$14001,'إعدادات المخزون'!$A$17,'مبيعات يومية'!$A$2:$A$14001,"&gt;"&amp;('إعدادات المخزون'!$B$4-'إعدادات المخزون'!$B$11),'مبيعات يومية'!$A$2:$A$14001,"&lt;="&amp;'إعدادات المخزون'!$B$4)</f>
        <v>0</v>
      </c>
    </row>
    <row r="83" customFormat="false" ht="15" hidden="false" customHeight="false" outlineLevel="0" collapsed="false">
      <c r="A83" s="116" t="str">
        <f aca="false">المنيو!B83</f>
        <v>بيتزا شاورما لحم / فراخ صيامي وسط</v>
      </c>
      <c r="B83" s="118" t="n">
        <f aca="false">SUMIFS('مبيعات يومية'!$D$2:$D$14001,'مبيعات يومية'!$C$2:$C$14001,$A83,'مبيعات يومية'!$B$2:$B$14001,'إعدادات المخزون'!$A$15,'مبيعات يومية'!$A$2:$A$14001,'إعدادات المخزون'!$B$4)</f>
        <v>0</v>
      </c>
      <c r="C83" s="118" t="n">
        <f aca="false">SUMIFS('مبيعات يومية'!$D$2:$D$14001,'مبيعات يومية'!$C$2:$C$14001,$A83,'مبيعات يومية'!$B$2:$B$14001,'إعدادات المخزون'!$A$15,'مبيعات يومية'!$A$2:$A$14001,"&gt;="&amp;'إعدادات المخزون'!$B$5,'مبيعات يومية'!$A$2:$A$14001,"&lt;="&amp;'إعدادات المخزون'!$B$4)</f>
        <v>0</v>
      </c>
      <c r="D83" s="118" t="n">
        <f aca="false">SUMIFS('مبيعات يومية'!$D$2:$D$14001,'مبيعات يومية'!$C$2:$C$14001,$A83,'مبيعات يومية'!$B$2:$B$14001,'إعدادات المخزون'!$A$15,'مبيعات يومية'!$A$2:$A$14001,"&gt;"&amp;('إعدادات المخزون'!$B$4-'إعدادات المخزون'!$B$11),'مبيعات يومية'!$A$2:$A$14001,"&lt;="&amp;'إعدادات المخزون'!$B$4)</f>
        <v>0</v>
      </c>
      <c r="E83" s="118" t="n">
        <f aca="false">SUMIFS('مبيعات يومية'!$D$2:$D$14001,'مبيعات يومية'!$C$2:$C$14001,$A83,'مبيعات يومية'!$B$2:$B$14001,'إعدادات المخزون'!$A$16,'مبيعات يومية'!$A$2:$A$14001,'إعدادات المخزون'!$B$4)</f>
        <v>0</v>
      </c>
      <c r="F83" s="118" t="n">
        <f aca="false">SUMIFS('مبيعات يومية'!$D$2:$D$14001,'مبيعات يومية'!$C$2:$C$14001,$A83,'مبيعات يومية'!$B$2:$B$14001,'إعدادات المخزون'!$A$16,'مبيعات يومية'!$A$2:$A$14001,"&gt;="&amp;'إعدادات المخزون'!$B$5,'مبيعات يومية'!$A$2:$A$14001,"&lt;="&amp;'إعدادات المخزون'!$B$4)</f>
        <v>0</v>
      </c>
      <c r="G83" s="118" t="n">
        <f aca="false">SUMIFS('مبيعات يومية'!$D$2:$D$14001,'مبيعات يومية'!$C$2:$C$14001,$A83,'مبيعات يومية'!$B$2:$B$14001,'إعدادات المخزون'!$A$16,'مبيعات يومية'!$A$2:$A$14001,"&gt;"&amp;('إعدادات المخزون'!$B$4-'إعدادات المخزون'!$B$11),'مبيعات يومية'!$A$2:$A$14001,"&lt;="&amp;'إعدادات المخزون'!$B$4)</f>
        <v>0</v>
      </c>
      <c r="H83" s="118" t="n">
        <f aca="false">SUMIFS('مبيعات يومية'!$D$2:$D$14001,'مبيعات يومية'!$C$2:$C$14001,$A83,'مبيعات يومية'!$B$2:$B$14001,'إعدادات المخزون'!$A$17,'مبيعات يومية'!$A$2:$A$14001,'إعدادات المخزون'!$B$4)</f>
        <v>0</v>
      </c>
      <c r="I83" s="118" t="n">
        <f aca="false">SUMIFS('مبيعات يومية'!$D$2:$D$14001,'مبيعات يومية'!$C$2:$C$14001,$A83,'مبيعات يومية'!$B$2:$B$14001,'إعدادات المخزون'!$A$17,'مبيعات يومية'!$A$2:$A$14001,"&gt;="&amp;'إعدادات المخزون'!$B$5,'مبيعات يومية'!$A$2:$A$14001,"&lt;="&amp;'إعدادات المخزون'!$B$4)</f>
        <v>0</v>
      </c>
      <c r="J83" s="118" t="n">
        <f aca="false">SUMIFS('مبيعات يومية'!$D$2:$D$14001,'مبيعات يومية'!$C$2:$C$14001,$A83,'مبيعات يومية'!$B$2:$B$14001,'إعدادات المخزون'!$A$17,'مبيعات يومية'!$A$2:$A$14001,"&gt;"&amp;('إعدادات المخزون'!$B$4-'إعدادات المخزون'!$B$11),'مبيعات يومية'!$A$2:$A$14001,"&lt;="&amp;'إعدادات المخزون'!$B$4)</f>
        <v>0</v>
      </c>
    </row>
    <row r="84" customFormat="false" ht="15" hidden="false" customHeight="false" outlineLevel="0" collapsed="false">
      <c r="A84" s="116" t="str">
        <f aca="false">المنيو!B84</f>
        <v>بيتزا شاورما لحم / فراخ صيامي مخصوص</v>
      </c>
      <c r="B84" s="118" t="n">
        <f aca="false">SUMIFS('مبيعات يومية'!$D$2:$D$14001,'مبيعات يومية'!$C$2:$C$14001,$A84,'مبيعات يومية'!$B$2:$B$14001,'إعدادات المخزون'!$A$15,'مبيعات يومية'!$A$2:$A$14001,'إعدادات المخزون'!$B$4)</f>
        <v>0</v>
      </c>
      <c r="C84" s="118" t="n">
        <f aca="false">SUMIFS('مبيعات يومية'!$D$2:$D$14001,'مبيعات يومية'!$C$2:$C$14001,$A84,'مبيعات يومية'!$B$2:$B$14001,'إعدادات المخزون'!$A$15,'مبيعات يومية'!$A$2:$A$14001,"&gt;="&amp;'إعدادات المخزون'!$B$5,'مبيعات يومية'!$A$2:$A$14001,"&lt;="&amp;'إعدادات المخزون'!$B$4)</f>
        <v>0</v>
      </c>
      <c r="D84" s="118" t="n">
        <f aca="false">SUMIFS('مبيعات يومية'!$D$2:$D$14001,'مبيعات يومية'!$C$2:$C$14001,$A84,'مبيعات يومية'!$B$2:$B$14001,'إعدادات المخزون'!$A$15,'مبيعات يومية'!$A$2:$A$14001,"&gt;"&amp;('إعدادات المخزون'!$B$4-'إعدادات المخزون'!$B$11),'مبيعات يومية'!$A$2:$A$14001,"&lt;="&amp;'إعدادات المخزون'!$B$4)</f>
        <v>0</v>
      </c>
      <c r="E84" s="118" t="n">
        <f aca="false">SUMIFS('مبيعات يومية'!$D$2:$D$14001,'مبيعات يومية'!$C$2:$C$14001,$A84,'مبيعات يومية'!$B$2:$B$14001,'إعدادات المخزون'!$A$16,'مبيعات يومية'!$A$2:$A$14001,'إعدادات المخزون'!$B$4)</f>
        <v>0</v>
      </c>
      <c r="F84" s="118" t="n">
        <f aca="false">SUMIFS('مبيعات يومية'!$D$2:$D$14001,'مبيعات يومية'!$C$2:$C$14001,$A84,'مبيعات يومية'!$B$2:$B$14001,'إعدادات المخزون'!$A$16,'مبيعات يومية'!$A$2:$A$14001,"&gt;="&amp;'إعدادات المخزون'!$B$5,'مبيعات يومية'!$A$2:$A$14001,"&lt;="&amp;'إعدادات المخزون'!$B$4)</f>
        <v>0</v>
      </c>
      <c r="G84" s="118" t="n">
        <f aca="false">SUMIFS('مبيعات يومية'!$D$2:$D$14001,'مبيعات يومية'!$C$2:$C$14001,$A84,'مبيعات يومية'!$B$2:$B$14001,'إعدادات المخزون'!$A$16,'مبيعات يومية'!$A$2:$A$14001,"&gt;"&amp;('إعدادات المخزون'!$B$4-'إعدادات المخزون'!$B$11),'مبيعات يومية'!$A$2:$A$14001,"&lt;="&amp;'إعدادات المخزون'!$B$4)</f>
        <v>0</v>
      </c>
      <c r="H84" s="118" t="n">
        <f aca="false">SUMIFS('مبيعات يومية'!$D$2:$D$14001,'مبيعات يومية'!$C$2:$C$14001,$A84,'مبيعات يومية'!$B$2:$B$14001,'إعدادات المخزون'!$A$17,'مبيعات يومية'!$A$2:$A$14001,'إعدادات المخزون'!$B$4)</f>
        <v>0</v>
      </c>
      <c r="I84" s="118" t="n">
        <f aca="false">SUMIFS('مبيعات يومية'!$D$2:$D$14001,'مبيعات يومية'!$C$2:$C$14001,$A84,'مبيعات يومية'!$B$2:$B$14001,'إعدادات المخزون'!$A$17,'مبيعات يومية'!$A$2:$A$14001,"&gt;="&amp;'إعدادات المخزون'!$B$5,'مبيعات يومية'!$A$2:$A$14001,"&lt;="&amp;'إعدادات المخزون'!$B$4)</f>
        <v>0</v>
      </c>
      <c r="J84" s="118" t="n">
        <f aca="false">SUMIFS('مبيعات يومية'!$D$2:$D$14001,'مبيعات يومية'!$C$2:$C$14001,$A84,'مبيعات يومية'!$B$2:$B$14001,'إعدادات المخزون'!$A$17,'مبيعات يومية'!$A$2:$A$14001,"&gt;"&amp;('إعدادات المخزون'!$B$4-'إعدادات المخزون'!$B$11),'مبيعات يومية'!$A$2:$A$14001,"&lt;="&amp;'إعدادات المخزون'!$B$4)</f>
        <v>0</v>
      </c>
    </row>
    <row r="85" customFormat="false" ht="15" hidden="false" customHeight="false" outlineLevel="0" collapsed="false">
      <c r="A85" s="116" t="str">
        <f aca="false">المنيو!B85</f>
        <v>بيتزا مشكل جبن صيامي وسط</v>
      </c>
      <c r="B85" s="118" t="n">
        <f aca="false">SUMIFS('مبيعات يومية'!$D$2:$D$14001,'مبيعات يومية'!$C$2:$C$14001,$A85,'مبيعات يومية'!$B$2:$B$14001,'إعدادات المخزون'!$A$15,'مبيعات يومية'!$A$2:$A$14001,'إعدادات المخزون'!$B$4)</f>
        <v>0</v>
      </c>
      <c r="C85" s="118" t="n">
        <f aca="false">SUMIFS('مبيعات يومية'!$D$2:$D$14001,'مبيعات يومية'!$C$2:$C$14001,$A85,'مبيعات يومية'!$B$2:$B$14001,'إعدادات المخزون'!$A$15,'مبيعات يومية'!$A$2:$A$14001,"&gt;="&amp;'إعدادات المخزون'!$B$5,'مبيعات يومية'!$A$2:$A$14001,"&lt;="&amp;'إعدادات المخزون'!$B$4)</f>
        <v>0</v>
      </c>
      <c r="D85" s="118" t="n">
        <f aca="false">SUMIFS('مبيعات يومية'!$D$2:$D$14001,'مبيعات يومية'!$C$2:$C$14001,$A85,'مبيعات يومية'!$B$2:$B$14001,'إعدادات المخزون'!$A$15,'مبيعات يومية'!$A$2:$A$14001,"&gt;"&amp;('إعدادات المخزون'!$B$4-'إعدادات المخزون'!$B$11),'مبيعات يومية'!$A$2:$A$14001,"&lt;="&amp;'إعدادات المخزون'!$B$4)</f>
        <v>0</v>
      </c>
      <c r="E85" s="118" t="n">
        <f aca="false">SUMIFS('مبيعات يومية'!$D$2:$D$14001,'مبيعات يومية'!$C$2:$C$14001,$A85,'مبيعات يومية'!$B$2:$B$14001,'إعدادات المخزون'!$A$16,'مبيعات يومية'!$A$2:$A$14001,'إعدادات المخزون'!$B$4)</f>
        <v>0</v>
      </c>
      <c r="F85" s="118" t="n">
        <f aca="false">SUMIFS('مبيعات يومية'!$D$2:$D$14001,'مبيعات يومية'!$C$2:$C$14001,$A85,'مبيعات يومية'!$B$2:$B$14001,'إعدادات المخزون'!$A$16,'مبيعات يومية'!$A$2:$A$14001,"&gt;="&amp;'إعدادات المخزون'!$B$5,'مبيعات يومية'!$A$2:$A$14001,"&lt;="&amp;'إعدادات المخزون'!$B$4)</f>
        <v>0</v>
      </c>
      <c r="G85" s="118" t="n">
        <f aca="false">SUMIFS('مبيعات يومية'!$D$2:$D$14001,'مبيعات يومية'!$C$2:$C$14001,$A85,'مبيعات يومية'!$B$2:$B$14001,'إعدادات المخزون'!$A$16,'مبيعات يومية'!$A$2:$A$14001,"&gt;"&amp;('إعدادات المخزون'!$B$4-'إعدادات المخزون'!$B$11),'مبيعات يومية'!$A$2:$A$14001,"&lt;="&amp;'إعدادات المخزون'!$B$4)</f>
        <v>0</v>
      </c>
      <c r="H85" s="118" t="n">
        <f aca="false">SUMIFS('مبيعات يومية'!$D$2:$D$14001,'مبيعات يومية'!$C$2:$C$14001,$A85,'مبيعات يومية'!$B$2:$B$14001,'إعدادات المخزون'!$A$17,'مبيعات يومية'!$A$2:$A$14001,'إعدادات المخزون'!$B$4)</f>
        <v>0</v>
      </c>
      <c r="I85" s="118" t="n">
        <f aca="false">SUMIFS('مبيعات يومية'!$D$2:$D$14001,'مبيعات يومية'!$C$2:$C$14001,$A85,'مبيعات يومية'!$B$2:$B$14001,'إعدادات المخزون'!$A$17,'مبيعات يومية'!$A$2:$A$14001,"&gt;="&amp;'إعدادات المخزون'!$B$5,'مبيعات يومية'!$A$2:$A$14001,"&lt;="&amp;'إعدادات المخزون'!$B$4)</f>
        <v>0</v>
      </c>
      <c r="J85" s="118" t="n">
        <f aca="false">SUMIFS('مبيعات يومية'!$D$2:$D$14001,'مبيعات يومية'!$C$2:$C$14001,$A85,'مبيعات يومية'!$B$2:$B$14001,'إعدادات المخزون'!$A$17,'مبيعات يومية'!$A$2:$A$14001,"&gt;"&amp;('إعدادات المخزون'!$B$4-'إعدادات المخزون'!$B$11),'مبيعات يومية'!$A$2:$A$14001,"&lt;="&amp;'إعدادات المخزون'!$B$4)</f>
        <v>0</v>
      </c>
    </row>
    <row r="86" customFormat="false" ht="15" hidden="false" customHeight="false" outlineLevel="0" collapsed="false">
      <c r="A86" s="116" t="str">
        <f aca="false">المنيو!B86</f>
        <v>بيتزا مشكل جبن صيامي مخصوص</v>
      </c>
      <c r="B86" s="118" t="n">
        <f aca="false">SUMIFS('مبيعات يومية'!$D$2:$D$14001,'مبيعات يومية'!$C$2:$C$14001,$A86,'مبيعات يومية'!$B$2:$B$14001,'إعدادات المخزون'!$A$15,'مبيعات يومية'!$A$2:$A$14001,'إعدادات المخزون'!$B$4)</f>
        <v>0</v>
      </c>
      <c r="C86" s="118" t="n">
        <f aca="false">SUMIFS('مبيعات يومية'!$D$2:$D$14001,'مبيعات يومية'!$C$2:$C$14001,$A86,'مبيعات يومية'!$B$2:$B$14001,'إعدادات المخزون'!$A$15,'مبيعات يومية'!$A$2:$A$14001,"&gt;="&amp;'إعدادات المخزون'!$B$5,'مبيعات يومية'!$A$2:$A$14001,"&lt;="&amp;'إعدادات المخزون'!$B$4)</f>
        <v>0</v>
      </c>
      <c r="D86" s="118" t="n">
        <f aca="false">SUMIFS('مبيعات يومية'!$D$2:$D$14001,'مبيعات يومية'!$C$2:$C$14001,$A86,'مبيعات يومية'!$B$2:$B$14001,'إعدادات المخزون'!$A$15,'مبيعات يومية'!$A$2:$A$14001,"&gt;"&amp;('إعدادات المخزون'!$B$4-'إعدادات المخزون'!$B$11),'مبيعات يومية'!$A$2:$A$14001,"&lt;="&amp;'إعدادات المخزون'!$B$4)</f>
        <v>0</v>
      </c>
      <c r="E86" s="118" t="n">
        <f aca="false">SUMIFS('مبيعات يومية'!$D$2:$D$14001,'مبيعات يومية'!$C$2:$C$14001,$A86,'مبيعات يومية'!$B$2:$B$14001,'إعدادات المخزون'!$A$16,'مبيعات يومية'!$A$2:$A$14001,'إعدادات المخزون'!$B$4)</f>
        <v>0</v>
      </c>
      <c r="F86" s="118" t="n">
        <f aca="false">SUMIFS('مبيعات يومية'!$D$2:$D$14001,'مبيعات يومية'!$C$2:$C$14001,$A86,'مبيعات يومية'!$B$2:$B$14001,'إعدادات المخزون'!$A$16,'مبيعات يومية'!$A$2:$A$14001,"&gt;="&amp;'إعدادات المخزون'!$B$5,'مبيعات يومية'!$A$2:$A$14001,"&lt;="&amp;'إعدادات المخزون'!$B$4)</f>
        <v>0</v>
      </c>
      <c r="G86" s="118" t="n">
        <f aca="false">SUMIFS('مبيعات يومية'!$D$2:$D$14001,'مبيعات يومية'!$C$2:$C$14001,$A86,'مبيعات يومية'!$B$2:$B$14001,'إعدادات المخزون'!$A$16,'مبيعات يومية'!$A$2:$A$14001,"&gt;"&amp;('إعدادات المخزون'!$B$4-'إعدادات المخزون'!$B$11),'مبيعات يومية'!$A$2:$A$14001,"&lt;="&amp;'إعدادات المخزون'!$B$4)</f>
        <v>0</v>
      </c>
      <c r="H86" s="118" t="n">
        <f aca="false">SUMIFS('مبيعات يومية'!$D$2:$D$14001,'مبيعات يومية'!$C$2:$C$14001,$A86,'مبيعات يومية'!$B$2:$B$14001,'إعدادات المخزون'!$A$17,'مبيعات يومية'!$A$2:$A$14001,'إعدادات المخزون'!$B$4)</f>
        <v>0</v>
      </c>
      <c r="I86" s="118" t="n">
        <f aca="false">SUMIFS('مبيعات يومية'!$D$2:$D$14001,'مبيعات يومية'!$C$2:$C$14001,$A86,'مبيعات يومية'!$B$2:$B$14001,'إعدادات المخزون'!$A$17,'مبيعات يومية'!$A$2:$A$14001,"&gt;="&amp;'إعدادات المخزون'!$B$5,'مبيعات يومية'!$A$2:$A$14001,"&lt;="&amp;'إعدادات المخزون'!$B$4)</f>
        <v>0</v>
      </c>
      <c r="J86" s="118" t="n">
        <f aca="false">SUMIFS('مبيعات يومية'!$D$2:$D$14001,'مبيعات يومية'!$C$2:$C$14001,$A86,'مبيعات يومية'!$B$2:$B$14001,'إعدادات المخزون'!$A$17,'مبيعات يومية'!$A$2:$A$14001,"&gt;"&amp;('إعدادات المخزون'!$B$4-'إعدادات المخزون'!$B$11),'مبيعات يومية'!$A$2:$A$14001,"&lt;="&amp;'إعدادات المخزون'!$B$4)</f>
        <v>0</v>
      </c>
    </row>
    <row r="87" customFormat="false" ht="15" hidden="false" customHeight="false" outlineLevel="0" collapsed="false">
      <c r="A87" s="116" t="str">
        <f aca="false">المنيو!B87</f>
        <v>بيتزا فراخ باربيكيو صيامي وسط</v>
      </c>
      <c r="B87" s="118" t="n">
        <f aca="false">SUMIFS('مبيعات يومية'!$D$2:$D$14001,'مبيعات يومية'!$C$2:$C$14001,$A87,'مبيعات يومية'!$B$2:$B$14001,'إعدادات المخزون'!$A$15,'مبيعات يومية'!$A$2:$A$14001,'إعدادات المخزون'!$B$4)</f>
        <v>0</v>
      </c>
      <c r="C87" s="118" t="n">
        <f aca="false">SUMIFS('مبيعات يومية'!$D$2:$D$14001,'مبيعات يومية'!$C$2:$C$14001,$A87,'مبيعات يومية'!$B$2:$B$14001,'إعدادات المخزون'!$A$15,'مبيعات يومية'!$A$2:$A$14001,"&gt;="&amp;'إعدادات المخزون'!$B$5,'مبيعات يومية'!$A$2:$A$14001,"&lt;="&amp;'إعدادات المخزون'!$B$4)</f>
        <v>0</v>
      </c>
      <c r="D87" s="118" t="n">
        <f aca="false">SUMIFS('مبيعات يومية'!$D$2:$D$14001,'مبيعات يومية'!$C$2:$C$14001,$A87,'مبيعات يومية'!$B$2:$B$14001,'إعدادات المخزون'!$A$15,'مبيعات يومية'!$A$2:$A$14001,"&gt;"&amp;('إعدادات المخزون'!$B$4-'إعدادات المخزون'!$B$11),'مبيعات يومية'!$A$2:$A$14001,"&lt;="&amp;'إعدادات المخزون'!$B$4)</f>
        <v>0</v>
      </c>
      <c r="E87" s="118" t="n">
        <f aca="false">SUMIFS('مبيعات يومية'!$D$2:$D$14001,'مبيعات يومية'!$C$2:$C$14001,$A87,'مبيعات يومية'!$B$2:$B$14001,'إعدادات المخزون'!$A$16,'مبيعات يومية'!$A$2:$A$14001,'إعدادات المخزون'!$B$4)</f>
        <v>0</v>
      </c>
      <c r="F87" s="118" t="n">
        <f aca="false">SUMIFS('مبيعات يومية'!$D$2:$D$14001,'مبيعات يومية'!$C$2:$C$14001,$A87,'مبيعات يومية'!$B$2:$B$14001,'إعدادات المخزون'!$A$16,'مبيعات يومية'!$A$2:$A$14001,"&gt;="&amp;'إعدادات المخزون'!$B$5,'مبيعات يومية'!$A$2:$A$14001,"&lt;="&amp;'إعدادات المخزون'!$B$4)</f>
        <v>0</v>
      </c>
      <c r="G87" s="118" t="n">
        <f aca="false">SUMIFS('مبيعات يومية'!$D$2:$D$14001,'مبيعات يومية'!$C$2:$C$14001,$A87,'مبيعات يومية'!$B$2:$B$14001,'إعدادات المخزون'!$A$16,'مبيعات يومية'!$A$2:$A$14001,"&gt;"&amp;('إعدادات المخزون'!$B$4-'إعدادات المخزون'!$B$11),'مبيعات يومية'!$A$2:$A$14001,"&lt;="&amp;'إعدادات المخزون'!$B$4)</f>
        <v>0</v>
      </c>
      <c r="H87" s="118" t="n">
        <f aca="false">SUMIFS('مبيعات يومية'!$D$2:$D$14001,'مبيعات يومية'!$C$2:$C$14001,$A87,'مبيعات يومية'!$B$2:$B$14001,'إعدادات المخزون'!$A$17,'مبيعات يومية'!$A$2:$A$14001,'إعدادات المخزون'!$B$4)</f>
        <v>0</v>
      </c>
      <c r="I87" s="118" t="n">
        <f aca="false">SUMIFS('مبيعات يومية'!$D$2:$D$14001,'مبيعات يومية'!$C$2:$C$14001,$A87,'مبيعات يومية'!$B$2:$B$14001,'إعدادات المخزون'!$A$17,'مبيعات يومية'!$A$2:$A$14001,"&gt;="&amp;'إعدادات المخزون'!$B$5,'مبيعات يومية'!$A$2:$A$14001,"&lt;="&amp;'إعدادات المخزون'!$B$4)</f>
        <v>0</v>
      </c>
      <c r="J87" s="118" t="n">
        <f aca="false">SUMIFS('مبيعات يومية'!$D$2:$D$14001,'مبيعات يومية'!$C$2:$C$14001,$A87,'مبيعات يومية'!$B$2:$B$14001,'إعدادات المخزون'!$A$17,'مبيعات يومية'!$A$2:$A$14001,"&gt;"&amp;('إعدادات المخزون'!$B$4-'إعدادات المخزون'!$B$11),'مبيعات يومية'!$A$2:$A$14001,"&lt;="&amp;'إعدادات المخزون'!$B$4)</f>
        <v>0</v>
      </c>
    </row>
    <row r="88" customFormat="false" ht="15" hidden="false" customHeight="false" outlineLevel="0" collapsed="false">
      <c r="A88" s="116" t="str">
        <f aca="false">المنيو!B88</f>
        <v>بيتزا فراخ باربيكيو صيامي مخصوص</v>
      </c>
      <c r="B88" s="118" t="n">
        <f aca="false">SUMIFS('مبيعات يومية'!$D$2:$D$14001,'مبيعات يومية'!$C$2:$C$14001,$A88,'مبيعات يومية'!$B$2:$B$14001,'إعدادات المخزون'!$A$15,'مبيعات يومية'!$A$2:$A$14001,'إعدادات المخزون'!$B$4)</f>
        <v>0</v>
      </c>
      <c r="C88" s="118" t="n">
        <f aca="false">SUMIFS('مبيعات يومية'!$D$2:$D$14001,'مبيعات يومية'!$C$2:$C$14001,$A88,'مبيعات يومية'!$B$2:$B$14001,'إعدادات المخزون'!$A$15,'مبيعات يومية'!$A$2:$A$14001,"&gt;="&amp;'إعدادات المخزون'!$B$5,'مبيعات يومية'!$A$2:$A$14001,"&lt;="&amp;'إعدادات المخزون'!$B$4)</f>
        <v>0</v>
      </c>
      <c r="D88" s="118" t="n">
        <f aca="false">SUMIFS('مبيعات يومية'!$D$2:$D$14001,'مبيعات يومية'!$C$2:$C$14001,$A88,'مبيعات يومية'!$B$2:$B$14001,'إعدادات المخزون'!$A$15,'مبيعات يومية'!$A$2:$A$14001,"&gt;"&amp;('إعدادات المخزون'!$B$4-'إعدادات المخزون'!$B$11),'مبيعات يومية'!$A$2:$A$14001,"&lt;="&amp;'إعدادات المخزون'!$B$4)</f>
        <v>0</v>
      </c>
      <c r="E88" s="118" t="n">
        <f aca="false">SUMIFS('مبيعات يومية'!$D$2:$D$14001,'مبيعات يومية'!$C$2:$C$14001,$A88,'مبيعات يومية'!$B$2:$B$14001,'إعدادات المخزون'!$A$16,'مبيعات يومية'!$A$2:$A$14001,'إعدادات المخزون'!$B$4)</f>
        <v>0</v>
      </c>
      <c r="F88" s="118" t="n">
        <f aca="false">SUMIFS('مبيعات يومية'!$D$2:$D$14001,'مبيعات يومية'!$C$2:$C$14001,$A88,'مبيعات يومية'!$B$2:$B$14001,'إعدادات المخزون'!$A$16,'مبيعات يومية'!$A$2:$A$14001,"&gt;="&amp;'إعدادات المخزون'!$B$5,'مبيعات يومية'!$A$2:$A$14001,"&lt;="&amp;'إعدادات المخزون'!$B$4)</f>
        <v>0</v>
      </c>
      <c r="G88" s="118" t="n">
        <f aca="false">SUMIFS('مبيعات يومية'!$D$2:$D$14001,'مبيعات يومية'!$C$2:$C$14001,$A88,'مبيعات يومية'!$B$2:$B$14001,'إعدادات المخزون'!$A$16,'مبيعات يومية'!$A$2:$A$14001,"&gt;"&amp;('إعدادات المخزون'!$B$4-'إعدادات المخزون'!$B$11),'مبيعات يومية'!$A$2:$A$14001,"&lt;="&amp;'إعدادات المخزون'!$B$4)</f>
        <v>0</v>
      </c>
      <c r="H88" s="118" t="n">
        <f aca="false">SUMIFS('مبيعات يومية'!$D$2:$D$14001,'مبيعات يومية'!$C$2:$C$14001,$A88,'مبيعات يومية'!$B$2:$B$14001,'إعدادات المخزون'!$A$17,'مبيعات يومية'!$A$2:$A$14001,'إعدادات المخزون'!$B$4)</f>
        <v>0</v>
      </c>
      <c r="I88" s="118" t="n">
        <f aca="false">SUMIFS('مبيعات يومية'!$D$2:$D$14001,'مبيعات يومية'!$C$2:$C$14001,$A88,'مبيعات يومية'!$B$2:$B$14001,'إعدادات المخزون'!$A$17,'مبيعات يومية'!$A$2:$A$14001,"&gt;="&amp;'إعدادات المخزون'!$B$5,'مبيعات يومية'!$A$2:$A$14001,"&lt;="&amp;'إعدادات المخزون'!$B$4)</f>
        <v>0</v>
      </c>
      <c r="J88" s="118" t="n">
        <f aca="false">SUMIFS('مبيعات يومية'!$D$2:$D$14001,'مبيعات يومية'!$C$2:$C$14001,$A88,'مبيعات يومية'!$B$2:$B$14001,'إعدادات المخزون'!$A$17,'مبيعات يومية'!$A$2:$A$14001,"&gt;"&amp;('إعدادات المخزون'!$B$4-'إعدادات المخزون'!$B$11),'مبيعات يومية'!$A$2:$A$14001,"&lt;="&amp;'إعدادات المخزون'!$B$4)</f>
        <v>0</v>
      </c>
    </row>
    <row r="89" customFormat="false" ht="15" hidden="false" customHeight="false" outlineLevel="0" collapsed="false">
      <c r="A89" s="116" t="str">
        <f aca="false">المنيو!B89</f>
        <v>بيتزا جمبري صيامي وسط</v>
      </c>
      <c r="B89" s="118" t="n">
        <f aca="false">SUMIFS('مبيعات يومية'!$D$2:$D$14001,'مبيعات يومية'!$C$2:$C$14001,$A89,'مبيعات يومية'!$B$2:$B$14001,'إعدادات المخزون'!$A$15,'مبيعات يومية'!$A$2:$A$14001,'إعدادات المخزون'!$B$4)</f>
        <v>0</v>
      </c>
      <c r="C89" s="118" t="n">
        <f aca="false">SUMIFS('مبيعات يومية'!$D$2:$D$14001,'مبيعات يومية'!$C$2:$C$14001,$A89,'مبيعات يومية'!$B$2:$B$14001,'إعدادات المخزون'!$A$15,'مبيعات يومية'!$A$2:$A$14001,"&gt;="&amp;'إعدادات المخزون'!$B$5,'مبيعات يومية'!$A$2:$A$14001,"&lt;="&amp;'إعدادات المخزون'!$B$4)</f>
        <v>0</v>
      </c>
      <c r="D89" s="118" t="n">
        <f aca="false">SUMIFS('مبيعات يومية'!$D$2:$D$14001,'مبيعات يومية'!$C$2:$C$14001,$A89,'مبيعات يومية'!$B$2:$B$14001,'إعدادات المخزون'!$A$15,'مبيعات يومية'!$A$2:$A$14001,"&gt;"&amp;('إعدادات المخزون'!$B$4-'إعدادات المخزون'!$B$11),'مبيعات يومية'!$A$2:$A$14001,"&lt;="&amp;'إعدادات المخزون'!$B$4)</f>
        <v>0</v>
      </c>
      <c r="E89" s="118" t="n">
        <f aca="false">SUMIFS('مبيعات يومية'!$D$2:$D$14001,'مبيعات يومية'!$C$2:$C$14001,$A89,'مبيعات يومية'!$B$2:$B$14001,'إعدادات المخزون'!$A$16,'مبيعات يومية'!$A$2:$A$14001,'إعدادات المخزون'!$B$4)</f>
        <v>0</v>
      </c>
      <c r="F89" s="118" t="n">
        <f aca="false">SUMIFS('مبيعات يومية'!$D$2:$D$14001,'مبيعات يومية'!$C$2:$C$14001,$A89,'مبيعات يومية'!$B$2:$B$14001,'إعدادات المخزون'!$A$16,'مبيعات يومية'!$A$2:$A$14001,"&gt;="&amp;'إعدادات المخزون'!$B$5,'مبيعات يومية'!$A$2:$A$14001,"&lt;="&amp;'إعدادات المخزون'!$B$4)</f>
        <v>0</v>
      </c>
      <c r="G89" s="118" t="n">
        <f aca="false">SUMIFS('مبيعات يومية'!$D$2:$D$14001,'مبيعات يومية'!$C$2:$C$14001,$A89,'مبيعات يومية'!$B$2:$B$14001,'إعدادات المخزون'!$A$16,'مبيعات يومية'!$A$2:$A$14001,"&gt;"&amp;('إعدادات المخزون'!$B$4-'إعدادات المخزون'!$B$11),'مبيعات يومية'!$A$2:$A$14001,"&lt;="&amp;'إعدادات المخزون'!$B$4)</f>
        <v>0</v>
      </c>
      <c r="H89" s="118" t="n">
        <f aca="false">SUMIFS('مبيعات يومية'!$D$2:$D$14001,'مبيعات يومية'!$C$2:$C$14001,$A89,'مبيعات يومية'!$B$2:$B$14001,'إعدادات المخزون'!$A$17,'مبيعات يومية'!$A$2:$A$14001,'إعدادات المخزون'!$B$4)</f>
        <v>0</v>
      </c>
      <c r="I89" s="118" t="n">
        <f aca="false">SUMIFS('مبيعات يومية'!$D$2:$D$14001,'مبيعات يومية'!$C$2:$C$14001,$A89,'مبيعات يومية'!$B$2:$B$14001,'إعدادات المخزون'!$A$17,'مبيعات يومية'!$A$2:$A$14001,"&gt;="&amp;'إعدادات المخزون'!$B$5,'مبيعات يومية'!$A$2:$A$14001,"&lt;="&amp;'إعدادات المخزون'!$B$4)</f>
        <v>0</v>
      </c>
      <c r="J89" s="118" t="n">
        <f aca="false">SUMIFS('مبيعات يومية'!$D$2:$D$14001,'مبيعات يومية'!$C$2:$C$14001,$A89,'مبيعات يومية'!$B$2:$B$14001,'إعدادات المخزون'!$A$17,'مبيعات يومية'!$A$2:$A$14001,"&gt;"&amp;('إعدادات المخزون'!$B$4-'إعدادات المخزون'!$B$11),'مبيعات يومية'!$A$2:$A$14001,"&lt;="&amp;'إعدادات المخزون'!$B$4)</f>
        <v>0</v>
      </c>
    </row>
    <row r="90" customFormat="false" ht="15" hidden="false" customHeight="false" outlineLevel="0" collapsed="false">
      <c r="A90" s="116" t="str">
        <f aca="false">المنيو!B90</f>
        <v>بيتزا جمبري صيامي مخصوص</v>
      </c>
      <c r="B90" s="118" t="n">
        <f aca="false">SUMIFS('مبيعات يومية'!$D$2:$D$14001,'مبيعات يومية'!$C$2:$C$14001,$A90,'مبيعات يومية'!$B$2:$B$14001,'إعدادات المخزون'!$A$15,'مبيعات يومية'!$A$2:$A$14001,'إعدادات المخزون'!$B$4)</f>
        <v>0</v>
      </c>
      <c r="C90" s="118" t="n">
        <f aca="false">SUMIFS('مبيعات يومية'!$D$2:$D$14001,'مبيعات يومية'!$C$2:$C$14001,$A90,'مبيعات يومية'!$B$2:$B$14001,'إعدادات المخزون'!$A$15,'مبيعات يومية'!$A$2:$A$14001,"&gt;="&amp;'إعدادات المخزون'!$B$5,'مبيعات يومية'!$A$2:$A$14001,"&lt;="&amp;'إعدادات المخزون'!$B$4)</f>
        <v>0</v>
      </c>
      <c r="D90" s="118" t="n">
        <f aca="false">SUMIFS('مبيعات يومية'!$D$2:$D$14001,'مبيعات يومية'!$C$2:$C$14001,$A90,'مبيعات يومية'!$B$2:$B$14001,'إعدادات المخزون'!$A$15,'مبيعات يومية'!$A$2:$A$14001,"&gt;"&amp;('إعدادات المخزون'!$B$4-'إعدادات المخزون'!$B$11),'مبيعات يومية'!$A$2:$A$14001,"&lt;="&amp;'إعدادات المخزون'!$B$4)</f>
        <v>0</v>
      </c>
      <c r="E90" s="118" t="n">
        <f aca="false">SUMIFS('مبيعات يومية'!$D$2:$D$14001,'مبيعات يومية'!$C$2:$C$14001,$A90,'مبيعات يومية'!$B$2:$B$14001,'إعدادات المخزون'!$A$16,'مبيعات يومية'!$A$2:$A$14001,'إعدادات المخزون'!$B$4)</f>
        <v>0</v>
      </c>
      <c r="F90" s="118" t="n">
        <f aca="false">SUMIFS('مبيعات يومية'!$D$2:$D$14001,'مبيعات يومية'!$C$2:$C$14001,$A90,'مبيعات يومية'!$B$2:$B$14001,'إعدادات المخزون'!$A$16,'مبيعات يومية'!$A$2:$A$14001,"&gt;="&amp;'إعدادات المخزون'!$B$5,'مبيعات يومية'!$A$2:$A$14001,"&lt;="&amp;'إعدادات المخزون'!$B$4)</f>
        <v>0</v>
      </c>
      <c r="G90" s="118" t="n">
        <f aca="false">SUMIFS('مبيعات يومية'!$D$2:$D$14001,'مبيعات يومية'!$C$2:$C$14001,$A90,'مبيعات يومية'!$B$2:$B$14001,'إعدادات المخزون'!$A$16,'مبيعات يومية'!$A$2:$A$14001,"&gt;"&amp;('إعدادات المخزون'!$B$4-'إعدادات المخزون'!$B$11),'مبيعات يومية'!$A$2:$A$14001,"&lt;="&amp;'إعدادات المخزون'!$B$4)</f>
        <v>0</v>
      </c>
      <c r="H90" s="118" t="n">
        <f aca="false">SUMIFS('مبيعات يومية'!$D$2:$D$14001,'مبيعات يومية'!$C$2:$C$14001,$A90,'مبيعات يومية'!$B$2:$B$14001,'إعدادات المخزون'!$A$17,'مبيعات يومية'!$A$2:$A$14001,'إعدادات المخزون'!$B$4)</f>
        <v>0</v>
      </c>
      <c r="I90" s="118" t="n">
        <f aca="false">SUMIFS('مبيعات يومية'!$D$2:$D$14001,'مبيعات يومية'!$C$2:$C$14001,$A90,'مبيعات يومية'!$B$2:$B$14001,'إعدادات المخزون'!$A$17,'مبيعات يومية'!$A$2:$A$14001,"&gt;="&amp;'إعدادات المخزون'!$B$5,'مبيعات يومية'!$A$2:$A$14001,"&lt;="&amp;'إعدادات المخزون'!$B$4)</f>
        <v>0</v>
      </c>
      <c r="J90" s="118" t="n">
        <f aca="false">SUMIFS('مبيعات يومية'!$D$2:$D$14001,'مبيعات يومية'!$C$2:$C$14001,$A90,'مبيعات يومية'!$B$2:$B$14001,'إعدادات المخزون'!$A$17,'مبيعات يومية'!$A$2:$A$14001,"&gt;"&amp;('إعدادات المخزون'!$B$4-'إعدادات المخزون'!$B$11),'مبيعات يومية'!$A$2:$A$14001,"&lt;="&amp;'إعدادات المخزون'!$B$4)</f>
        <v>0</v>
      </c>
    </row>
    <row r="91" customFormat="false" ht="15" hidden="false" customHeight="false" outlineLevel="0" collapsed="false">
      <c r="A91" s="116" t="str">
        <f aca="false">المنيو!B91</f>
        <v>بيتزا تونة صيامي وسط</v>
      </c>
      <c r="B91" s="118" t="n">
        <f aca="false">SUMIFS('مبيعات يومية'!$D$2:$D$14001,'مبيعات يومية'!$C$2:$C$14001,$A91,'مبيعات يومية'!$B$2:$B$14001,'إعدادات المخزون'!$A$15,'مبيعات يومية'!$A$2:$A$14001,'إعدادات المخزون'!$B$4)</f>
        <v>0</v>
      </c>
      <c r="C91" s="118" t="n">
        <f aca="false">SUMIFS('مبيعات يومية'!$D$2:$D$14001,'مبيعات يومية'!$C$2:$C$14001,$A91,'مبيعات يومية'!$B$2:$B$14001,'إعدادات المخزون'!$A$15,'مبيعات يومية'!$A$2:$A$14001,"&gt;="&amp;'إعدادات المخزون'!$B$5,'مبيعات يومية'!$A$2:$A$14001,"&lt;="&amp;'إعدادات المخزون'!$B$4)</f>
        <v>0</v>
      </c>
      <c r="D91" s="118" t="n">
        <f aca="false">SUMIFS('مبيعات يومية'!$D$2:$D$14001,'مبيعات يومية'!$C$2:$C$14001,$A91,'مبيعات يومية'!$B$2:$B$14001,'إعدادات المخزون'!$A$15,'مبيعات يومية'!$A$2:$A$14001,"&gt;"&amp;('إعدادات المخزون'!$B$4-'إعدادات المخزون'!$B$11),'مبيعات يومية'!$A$2:$A$14001,"&lt;="&amp;'إعدادات المخزون'!$B$4)</f>
        <v>0</v>
      </c>
      <c r="E91" s="118" t="n">
        <f aca="false">SUMIFS('مبيعات يومية'!$D$2:$D$14001,'مبيعات يومية'!$C$2:$C$14001,$A91,'مبيعات يومية'!$B$2:$B$14001,'إعدادات المخزون'!$A$16,'مبيعات يومية'!$A$2:$A$14001,'إعدادات المخزون'!$B$4)</f>
        <v>0.0833</v>
      </c>
      <c r="F91" s="118" t="n">
        <f aca="false">SUMIFS('مبيعات يومية'!$D$2:$D$14001,'مبيعات يومية'!$C$2:$C$14001,$A91,'مبيعات يومية'!$B$2:$B$14001,'إعدادات المخزون'!$A$16,'مبيعات يومية'!$A$2:$A$14001,"&gt;="&amp;'إعدادات المخزون'!$B$5,'مبيعات يومية'!$A$2:$A$14001,"&lt;="&amp;'إعدادات المخزون'!$B$4)</f>
        <v>0.9996</v>
      </c>
      <c r="G91" s="118" t="n">
        <f aca="false">SUMIFS('مبيعات يومية'!$D$2:$D$14001,'مبيعات يومية'!$C$2:$C$14001,$A91,'مبيعات يومية'!$B$2:$B$14001,'إعدادات المخزون'!$A$16,'مبيعات يومية'!$A$2:$A$14001,"&gt;"&amp;('إعدادات المخزون'!$B$4-'إعدادات المخزون'!$B$11),'مبيعات يومية'!$A$2:$A$14001,"&lt;="&amp;'إعدادات المخزون'!$B$4)</f>
        <v>0.5831</v>
      </c>
      <c r="H91" s="118" t="n">
        <f aca="false">SUMIFS('مبيعات يومية'!$D$2:$D$14001,'مبيعات يومية'!$C$2:$C$14001,$A91,'مبيعات يومية'!$B$2:$B$14001,'إعدادات المخزون'!$A$17,'مبيعات يومية'!$A$2:$A$14001,'إعدادات المخزون'!$B$4)</f>
        <v>0.0833</v>
      </c>
      <c r="I91" s="118" t="n">
        <f aca="false">SUMIFS('مبيعات يومية'!$D$2:$D$14001,'مبيعات يومية'!$C$2:$C$14001,$A91,'مبيعات يومية'!$B$2:$B$14001,'إعدادات المخزون'!$A$17,'مبيعات يومية'!$A$2:$A$14001,"&gt;="&amp;'إعدادات المخزون'!$B$5,'مبيعات يومية'!$A$2:$A$14001,"&lt;="&amp;'إعدادات المخزون'!$B$4)</f>
        <v>0.9996</v>
      </c>
      <c r="J91" s="118" t="n">
        <f aca="false">SUMIFS('مبيعات يومية'!$D$2:$D$14001,'مبيعات يومية'!$C$2:$C$14001,$A91,'مبيعات يومية'!$B$2:$B$14001,'إعدادات المخزون'!$A$17,'مبيعات يومية'!$A$2:$A$14001,"&gt;"&amp;('إعدادات المخزون'!$B$4-'إعدادات المخزون'!$B$11),'مبيعات يومية'!$A$2:$A$14001,"&lt;="&amp;'إعدادات المخزون'!$B$4)</f>
        <v>0.5831</v>
      </c>
    </row>
    <row r="92" customFormat="false" ht="15" hidden="false" customHeight="false" outlineLevel="0" collapsed="false">
      <c r="A92" s="116" t="str">
        <f aca="false">المنيو!B92</f>
        <v>بيتزا تونة صيامي مخصوص</v>
      </c>
      <c r="B92" s="118" t="n">
        <f aca="false">SUMIFS('مبيعات يومية'!$D$2:$D$14001,'مبيعات يومية'!$C$2:$C$14001,$A92,'مبيعات يومية'!$B$2:$B$14001,'إعدادات المخزون'!$A$15,'مبيعات يومية'!$A$2:$A$14001,'إعدادات المخزون'!$B$4)</f>
        <v>0</v>
      </c>
      <c r="C92" s="118" t="n">
        <f aca="false">SUMIFS('مبيعات يومية'!$D$2:$D$14001,'مبيعات يومية'!$C$2:$C$14001,$A92,'مبيعات يومية'!$B$2:$B$14001,'إعدادات المخزون'!$A$15,'مبيعات يومية'!$A$2:$A$14001,"&gt;="&amp;'إعدادات المخزون'!$B$5,'مبيعات يومية'!$A$2:$A$14001,"&lt;="&amp;'إعدادات المخزون'!$B$4)</f>
        <v>0</v>
      </c>
      <c r="D92" s="118" t="n">
        <f aca="false">SUMIFS('مبيعات يومية'!$D$2:$D$14001,'مبيعات يومية'!$C$2:$C$14001,$A92,'مبيعات يومية'!$B$2:$B$14001,'إعدادات المخزون'!$A$15,'مبيعات يومية'!$A$2:$A$14001,"&gt;"&amp;('إعدادات المخزون'!$B$4-'إعدادات المخزون'!$B$11),'مبيعات يومية'!$A$2:$A$14001,"&lt;="&amp;'إعدادات المخزون'!$B$4)</f>
        <v>0</v>
      </c>
      <c r="E92" s="118" t="n">
        <f aca="false">SUMIFS('مبيعات يومية'!$D$2:$D$14001,'مبيعات يومية'!$C$2:$C$14001,$A92,'مبيعات يومية'!$B$2:$B$14001,'إعدادات المخزون'!$A$16,'مبيعات يومية'!$A$2:$A$14001,'إعدادات المخزون'!$B$4)</f>
        <v>0</v>
      </c>
      <c r="F92" s="118" t="n">
        <f aca="false">SUMIFS('مبيعات يومية'!$D$2:$D$14001,'مبيعات يومية'!$C$2:$C$14001,$A92,'مبيعات يومية'!$B$2:$B$14001,'إعدادات المخزون'!$A$16,'مبيعات يومية'!$A$2:$A$14001,"&gt;="&amp;'إعدادات المخزون'!$B$5,'مبيعات يومية'!$A$2:$A$14001,"&lt;="&amp;'إعدادات المخزون'!$B$4)</f>
        <v>0</v>
      </c>
      <c r="G92" s="118" t="n">
        <f aca="false">SUMIFS('مبيعات يومية'!$D$2:$D$14001,'مبيعات يومية'!$C$2:$C$14001,$A92,'مبيعات يومية'!$B$2:$B$14001,'إعدادات المخزون'!$A$16,'مبيعات يومية'!$A$2:$A$14001,"&gt;"&amp;('إعدادات المخزون'!$B$4-'إعدادات المخزون'!$B$11),'مبيعات يومية'!$A$2:$A$14001,"&lt;="&amp;'إعدادات المخزون'!$B$4)</f>
        <v>0</v>
      </c>
      <c r="H92" s="118" t="n">
        <f aca="false">SUMIFS('مبيعات يومية'!$D$2:$D$14001,'مبيعات يومية'!$C$2:$C$14001,$A92,'مبيعات يومية'!$B$2:$B$14001,'إعدادات المخزون'!$A$17,'مبيعات يومية'!$A$2:$A$14001,'إعدادات المخزون'!$B$4)</f>
        <v>0</v>
      </c>
      <c r="I92" s="118" t="n">
        <f aca="false">SUMIFS('مبيعات يومية'!$D$2:$D$14001,'مبيعات يومية'!$C$2:$C$14001,$A92,'مبيعات يومية'!$B$2:$B$14001,'إعدادات المخزون'!$A$17,'مبيعات يومية'!$A$2:$A$14001,"&gt;="&amp;'إعدادات المخزون'!$B$5,'مبيعات يومية'!$A$2:$A$14001,"&lt;="&amp;'إعدادات المخزون'!$B$4)</f>
        <v>0</v>
      </c>
      <c r="J92" s="118" t="n">
        <f aca="false">SUMIFS('مبيعات يومية'!$D$2:$D$14001,'مبيعات يومية'!$C$2:$C$14001,$A92,'مبيعات يومية'!$B$2:$B$14001,'إعدادات المخزون'!$A$17,'مبيعات يومية'!$A$2:$A$14001,"&gt;"&amp;('إعدادات المخزون'!$B$4-'إعدادات المخزون'!$B$11),'مبيعات يومية'!$A$2:$A$14001,"&lt;="&amp;'إعدادات المخزون'!$B$4)</f>
        <v>0</v>
      </c>
    </row>
    <row r="93" customFormat="false" ht="15" hidden="false" customHeight="false" outlineLevel="0" collapsed="false">
      <c r="A93" s="116" t="str">
        <f aca="false">المنيو!B93</f>
        <v>فطيرة خضروات صيامي وسط</v>
      </c>
      <c r="B93" s="118" t="n">
        <f aca="false">SUMIFS('مبيعات يومية'!$D$2:$D$14001,'مبيعات يومية'!$C$2:$C$14001,$A93,'مبيعات يومية'!$B$2:$B$14001,'إعدادات المخزون'!$A$15,'مبيعات يومية'!$A$2:$A$14001,'إعدادات المخزون'!$B$4)</f>
        <v>0.4167</v>
      </c>
      <c r="C93" s="118" t="n">
        <f aca="false">SUMIFS('مبيعات يومية'!$D$2:$D$14001,'مبيعات يومية'!$C$2:$C$14001,$A93,'مبيعات يومية'!$B$2:$B$14001,'إعدادات المخزون'!$A$15,'مبيعات يومية'!$A$2:$A$14001,"&gt;="&amp;'إعدادات المخزون'!$B$5,'مبيعات يومية'!$A$2:$A$14001,"&lt;="&amp;'إعدادات المخزون'!$B$4)</f>
        <v>5.0004</v>
      </c>
      <c r="D93" s="118" t="n">
        <f aca="false">SUMIFS('مبيعات يومية'!$D$2:$D$14001,'مبيعات يومية'!$C$2:$C$14001,$A93,'مبيعات يومية'!$B$2:$B$14001,'إعدادات المخزون'!$A$15,'مبيعات يومية'!$A$2:$A$14001,"&gt;"&amp;('إعدادات المخزون'!$B$4-'إعدادات المخزون'!$B$11),'مبيعات يومية'!$A$2:$A$14001,"&lt;="&amp;'إعدادات المخزون'!$B$4)</f>
        <v>2.9169</v>
      </c>
      <c r="E93" s="118" t="n">
        <f aca="false">SUMIFS('مبيعات يومية'!$D$2:$D$14001,'مبيعات يومية'!$C$2:$C$14001,$A93,'مبيعات يومية'!$B$2:$B$14001,'إعدادات المخزون'!$A$16,'مبيعات يومية'!$A$2:$A$14001,'إعدادات المخزون'!$B$4)</f>
        <v>0.4167</v>
      </c>
      <c r="F93" s="118" t="n">
        <f aca="false">SUMIFS('مبيعات يومية'!$D$2:$D$14001,'مبيعات يومية'!$C$2:$C$14001,$A93,'مبيعات يومية'!$B$2:$B$14001,'إعدادات المخزون'!$A$16,'مبيعات يومية'!$A$2:$A$14001,"&gt;="&amp;'إعدادات المخزون'!$B$5,'مبيعات يومية'!$A$2:$A$14001,"&lt;="&amp;'إعدادات المخزون'!$B$4)</f>
        <v>5.0004</v>
      </c>
      <c r="G93" s="118" t="n">
        <f aca="false">SUMIFS('مبيعات يومية'!$D$2:$D$14001,'مبيعات يومية'!$C$2:$C$14001,$A93,'مبيعات يومية'!$B$2:$B$14001,'إعدادات المخزون'!$A$16,'مبيعات يومية'!$A$2:$A$14001,"&gt;"&amp;('إعدادات المخزون'!$B$4-'إعدادات المخزون'!$B$11),'مبيعات يومية'!$A$2:$A$14001,"&lt;="&amp;'إعدادات المخزون'!$B$4)</f>
        <v>2.9169</v>
      </c>
      <c r="H93" s="118" t="n">
        <f aca="false">SUMIFS('مبيعات يومية'!$D$2:$D$14001,'مبيعات يومية'!$C$2:$C$14001,$A93,'مبيعات يومية'!$B$2:$B$14001,'إعدادات المخزون'!$A$17,'مبيعات يومية'!$A$2:$A$14001,'إعدادات المخزون'!$B$4)</f>
        <v>0.1667</v>
      </c>
      <c r="I93" s="118" t="n">
        <f aca="false">SUMIFS('مبيعات يومية'!$D$2:$D$14001,'مبيعات يومية'!$C$2:$C$14001,$A93,'مبيعات يومية'!$B$2:$B$14001,'إعدادات المخزون'!$A$17,'مبيعات يومية'!$A$2:$A$14001,"&gt;="&amp;'إعدادات المخزون'!$B$5,'مبيعات يومية'!$A$2:$A$14001,"&lt;="&amp;'إعدادات المخزون'!$B$4)</f>
        <v>2.0004</v>
      </c>
      <c r="J93" s="118" t="n">
        <f aca="false">SUMIFS('مبيعات يومية'!$D$2:$D$14001,'مبيعات يومية'!$C$2:$C$14001,$A93,'مبيعات يومية'!$B$2:$B$14001,'إعدادات المخزون'!$A$17,'مبيعات يومية'!$A$2:$A$14001,"&gt;"&amp;('إعدادات المخزون'!$B$4-'إعدادات المخزون'!$B$11),'مبيعات يومية'!$A$2:$A$14001,"&lt;="&amp;'إعدادات المخزون'!$B$4)</f>
        <v>1.1669</v>
      </c>
    </row>
    <row r="94" customFormat="false" ht="15" hidden="false" customHeight="false" outlineLevel="0" collapsed="false">
      <c r="A94" s="116" t="str">
        <f aca="false">المنيو!B94</f>
        <v>فطيرة خضروات صيامي مخصوص</v>
      </c>
      <c r="B94" s="118" t="n">
        <f aca="false">SUMIFS('مبيعات يومية'!$D$2:$D$14001,'مبيعات يومية'!$C$2:$C$14001,$A94,'مبيعات يومية'!$B$2:$B$14001,'إعدادات المخزون'!$A$15,'مبيعات يومية'!$A$2:$A$14001,'إعدادات المخزون'!$B$4)</f>
        <v>0</v>
      </c>
      <c r="C94" s="118" t="n">
        <f aca="false">SUMIFS('مبيعات يومية'!$D$2:$D$14001,'مبيعات يومية'!$C$2:$C$14001,$A94,'مبيعات يومية'!$B$2:$B$14001,'إعدادات المخزون'!$A$15,'مبيعات يومية'!$A$2:$A$14001,"&gt;="&amp;'إعدادات المخزون'!$B$5,'مبيعات يومية'!$A$2:$A$14001,"&lt;="&amp;'إعدادات المخزون'!$B$4)</f>
        <v>0</v>
      </c>
      <c r="D94" s="118" t="n">
        <f aca="false">SUMIFS('مبيعات يومية'!$D$2:$D$14001,'مبيعات يومية'!$C$2:$C$14001,$A94,'مبيعات يومية'!$B$2:$B$14001,'إعدادات المخزون'!$A$15,'مبيعات يومية'!$A$2:$A$14001,"&gt;"&amp;('إعدادات المخزون'!$B$4-'إعدادات المخزون'!$B$11),'مبيعات يومية'!$A$2:$A$14001,"&lt;="&amp;'إعدادات المخزون'!$B$4)</f>
        <v>0</v>
      </c>
      <c r="E94" s="118" t="n">
        <f aca="false">SUMIFS('مبيعات يومية'!$D$2:$D$14001,'مبيعات يومية'!$C$2:$C$14001,$A94,'مبيعات يومية'!$B$2:$B$14001,'إعدادات المخزون'!$A$16,'مبيعات يومية'!$A$2:$A$14001,'إعدادات المخزون'!$B$4)</f>
        <v>0.3333</v>
      </c>
      <c r="F94" s="118" t="n">
        <f aca="false">SUMIFS('مبيعات يومية'!$D$2:$D$14001,'مبيعات يومية'!$C$2:$C$14001,$A94,'مبيعات يومية'!$B$2:$B$14001,'إعدادات المخزون'!$A$16,'مبيعات يومية'!$A$2:$A$14001,"&gt;="&amp;'إعدادات المخزون'!$B$5,'مبيعات يومية'!$A$2:$A$14001,"&lt;="&amp;'إعدادات المخزون'!$B$4)</f>
        <v>3.9996</v>
      </c>
      <c r="G94" s="118" t="n">
        <f aca="false">SUMIFS('مبيعات يومية'!$D$2:$D$14001,'مبيعات يومية'!$C$2:$C$14001,$A94,'مبيعات يومية'!$B$2:$B$14001,'إعدادات المخزون'!$A$16,'مبيعات يومية'!$A$2:$A$14001,"&gt;"&amp;('إعدادات المخزون'!$B$4-'إعدادات المخزون'!$B$11),'مبيعات يومية'!$A$2:$A$14001,"&lt;="&amp;'إعدادات المخزون'!$B$4)</f>
        <v>2.3331</v>
      </c>
      <c r="H94" s="118" t="n">
        <f aca="false">SUMIFS('مبيعات يومية'!$D$2:$D$14001,'مبيعات يومية'!$C$2:$C$14001,$A94,'مبيعات يومية'!$B$2:$B$14001,'إعدادات المخزون'!$A$17,'مبيعات يومية'!$A$2:$A$14001,'إعدادات المخزون'!$B$4)</f>
        <v>0</v>
      </c>
      <c r="I94" s="118" t="n">
        <f aca="false">SUMIFS('مبيعات يومية'!$D$2:$D$14001,'مبيعات يومية'!$C$2:$C$14001,$A94,'مبيعات يومية'!$B$2:$B$14001,'إعدادات المخزون'!$A$17,'مبيعات يومية'!$A$2:$A$14001,"&gt;="&amp;'إعدادات المخزون'!$B$5,'مبيعات يومية'!$A$2:$A$14001,"&lt;="&amp;'إعدادات المخزون'!$B$4)</f>
        <v>0</v>
      </c>
      <c r="J94" s="118" t="n">
        <f aca="false">SUMIFS('مبيعات يومية'!$D$2:$D$14001,'مبيعات يومية'!$C$2:$C$14001,$A94,'مبيعات يومية'!$B$2:$B$14001,'إعدادات المخزون'!$A$17,'مبيعات يومية'!$A$2:$A$14001,"&gt;"&amp;('إعدادات المخزون'!$B$4-'إعدادات المخزون'!$B$11),'مبيعات يومية'!$A$2:$A$14001,"&lt;="&amp;'إعدادات المخزون'!$B$4)</f>
        <v>0</v>
      </c>
    </row>
    <row r="95" customFormat="false" ht="15" hidden="false" customHeight="false" outlineLevel="0" collapsed="false">
      <c r="A95" s="116" t="str">
        <f aca="false">المنيو!B95</f>
        <v>فطيرة مشروم صيامي وسط</v>
      </c>
      <c r="B95" s="118" t="n">
        <f aca="false">SUMIFS('مبيعات يومية'!$D$2:$D$14001,'مبيعات يومية'!$C$2:$C$14001,$A95,'مبيعات يومية'!$B$2:$B$14001,'إعدادات المخزون'!$A$15,'مبيعات يومية'!$A$2:$A$14001,'إعدادات المخزون'!$B$4)</f>
        <v>0</v>
      </c>
      <c r="C95" s="118" t="n">
        <f aca="false">SUMIFS('مبيعات يومية'!$D$2:$D$14001,'مبيعات يومية'!$C$2:$C$14001,$A95,'مبيعات يومية'!$B$2:$B$14001,'إعدادات المخزون'!$A$15,'مبيعات يومية'!$A$2:$A$14001,"&gt;="&amp;'إعدادات المخزون'!$B$5,'مبيعات يومية'!$A$2:$A$14001,"&lt;="&amp;'إعدادات المخزون'!$B$4)</f>
        <v>0</v>
      </c>
      <c r="D95" s="118" t="n">
        <f aca="false">SUMIFS('مبيعات يومية'!$D$2:$D$14001,'مبيعات يومية'!$C$2:$C$14001,$A95,'مبيعات يومية'!$B$2:$B$14001,'إعدادات المخزون'!$A$15,'مبيعات يومية'!$A$2:$A$14001,"&gt;"&amp;('إعدادات المخزون'!$B$4-'إعدادات المخزون'!$B$11),'مبيعات يومية'!$A$2:$A$14001,"&lt;="&amp;'إعدادات المخزون'!$B$4)</f>
        <v>0</v>
      </c>
      <c r="E95" s="118" t="n">
        <f aca="false">SUMIFS('مبيعات يومية'!$D$2:$D$14001,'مبيعات يومية'!$C$2:$C$14001,$A95,'مبيعات يومية'!$B$2:$B$14001,'إعدادات المخزون'!$A$16,'مبيعات يومية'!$A$2:$A$14001,'إعدادات المخزون'!$B$4)</f>
        <v>0</v>
      </c>
      <c r="F95" s="118" t="n">
        <f aca="false">SUMIFS('مبيعات يومية'!$D$2:$D$14001,'مبيعات يومية'!$C$2:$C$14001,$A95,'مبيعات يومية'!$B$2:$B$14001,'إعدادات المخزون'!$A$16,'مبيعات يومية'!$A$2:$A$14001,"&gt;="&amp;'إعدادات المخزون'!$B$5,'مبيعات يومية'!$A$2:$A$14001,"&lt;="&amp;'إعدادات المخزون'!$B$4)</f>
        <v>0</v>
      </c>
      <c r="G95" s="118" t="n">
        <f aca="false">SUMIFS('مبيعات يومية'!$D$2:$D$14001,'مبيعات يومية'!$C$2:$C$14001,$A95,'مبيعات يومية'!$B$2:$B$14001,'إعدادات المخزون'!$A$16,'مبيعات يومية'!$A$2:$A$14001,"&gt;"&amp;('إعدادات المخزون'!$B$4-'إعدادات المخزون'!$B$11),'مبيعات يومية'!$A$2:$A$14001,"&lt;="&amp;'إعدادات المخزون'!$B$4)</f>
        <v>0</v>
      </c>
      <c r="H95" s="118" t="n">
        <f aca="false">SUMIFS('مبيعات يومية'!$D$2:$D$14001,'مبيعات يومية'!$C$2:$C$14001,$A95,'مبيعات يومية'!$B$2:$B$14001,'إعدادات المخزون'!$A$17,'مبيعات يومية'!$A$2:$A$14001,'إعدادات المخزون'!$B$4)</f>
        <v>0.0833</v>
      </c>
      <c r="I95" s="118" t="n">
        <f aca="false">SUMIFS('مبيعات يومية'!$D$2:$D$14001,'مبيعات يومية'!$C$2:$C$14001,$A95,'مبيعات يومية'!$B$2:$B$14001,'إعدادات المخزون'!$A$17,'مبيعات يومية'!$A$2:$A$14001,"&gt;="&amp;'إعدادات المخزون'!$B$5,'مبيعات يومية'!$A$2:$A$14001,"&lt;="&amp;'إعدادات المخزون'!$B$4)</f>
        <v>0.9996</v>
      </c>
      <c r="J95" s="118" t="n">
        <f aca="false">SUMIFS('مبيعات يومية'!$D$2:$D$14001,'مبيعات يومية'!$C$2:$C$14001,$A95,'مبيعات يومية'!$B$2:$B$14001,'إعدادات المخزون'!$A$17,'مبيعات يومية'!$A$2:$A$14001,"&gt;"&amp;('إعدادات المخزون'!$B$4-'إعدادات المخزون'!$B$11),'مبيعات يومية'!$A$2:$A$14001,"&lt;="&amp;'إعدادات المخزون'!$B$4)</f>
        <v>0.5831</v>
      </c>
    </row>
    <row r="96" customFormat="false" ht="15" hidden="false" customHeight="false" outlineLevel="0" collapsed="false">
      <c r="A96" s="116" t="str">
        <f aca="false">المنيو!B96</f>
        <v>فطيرة مشروم صيامي مخصوص</v>
      </c>
      <c r="B96" s="118" t="n">
        <f aca="false">SUMIFS('مبيعات يومية'!$D$2:$D$14001,'مبيعات يومية'!$C$2:$C$14001,$A96,'مبيعات يومية'!$B$2:$B$14001,'إعدادات المخزون'!$A$15,'مبيعات يومية'!$A$2:$A$14001,'إعدادات المخزون'!$B$4)</f>
        <v>0</v>
      </c>
      <c r="C96" s="118" t="n">
        <f aca="false">SUMIFS('مبيعات يومية'!$D$2:$D$14001,'مبيعات يومية'!$C$2:$C$14001,$A96,'مبيعات يومية'!$B$2:$B$14001,'إعدادات المخزون'!$A$15,'مبيعات يومية'!$A$2:$A$14001,"&gt;="&amp;'إعدادات المخزون'!$B$5,'مبيعات يومية'!$A$2:$A$14001,"&lt;="&amp;'إعدادات المخزون'!$B$4)</f>
        <v>0</v>
      </c>
      <c r="D96" s="118" t="n">
        <f aca="false">SUMIFS('مبيعات يومية'!$D$2:$D$14001,'مبيعات يومية'!$C$2:$C$14001,$A96,'مبيعات يومية'!$B$2:$B$14001,'إعدادات المخزون'!$A$15,'مبيعات يومية'!$A$2:$A$14001,"&gt;"&amp;('إعدادات المخزون'!$B$4-'إعدادات المخزون'!$B$11),'مبيعات يومية'!$A$2:$A$14001,"&lt;="&amp;'إعدادات المخزون'!$B$4)</f>
        <v>0</v>
      </c>
      <c r="E96" s="118" t="n">
        <f aca="false">SUMIFS('مبيعات يومية'!$D$2:$D$14001,'مبيعات يومية'!$C$2:$C$14001,$A96,'مبيعات يومية'!$B$2:$B$14001,'إعدادات المخزون'!$A$16,'مبيعات يومية'!$A$2:$A$14001,'إعدادات المخزون'!$B$4)</f>
        <v>0</v>
      </c>
      <c r="F96" s="118" t="n">
        <f aca="false">SUMIFS('مبيعات يومية'!$D$2:$D$14001,'مبيعات يومية'!$C$2:$C$14001,$A96,'مبيعات يومية'!$B$2:$B$14001,'إعدادات المخزون'!$A$16,'مبيعات يومية'!$A$2:$A$14001,"&gt;="&amp;'إعدادات المخزون'!$B$5,'مبيعات يومية'!$A$2:$A$14001,"&lt;="&amp;'إعدادات المخزون'!$B$4)</f>
        <v>0</v>
      </c>
      <c r="G96" s="118" t="n">
        <f aca="false">SUMIFS('مبيعات يومية'!$D$2:$D$14001,'مبيعات يومية'!$C$2:$C$14001,$A96,'مبيعات يومية'!$B$2:$B$14001,'إعدادات المخزون'!$A$16,'مبيعات يومية'!$A$2:$A$14001,"&gt;"&amp;('إعدادات المخزون'!$B$4-'إعدادات المخزون'!$B$11),'مبيعات يومية'!$A$2:$A$14001,"&lt;="&amp;'إعدادات المخزون'!$B$4)</f>
        <v>0</v>
      </c>
      <c r="H96" s="118" t="n">
        <f aca="false">SUMIFS('مبيعات يومية'!$D$2:$D$14001,'مبيعات يومية'!$C$2:$C$14001,$A96,'مبيعات يومية'!$B$2:$B$14001,'إعدادات المخزون'!$A$17,'مبيعات يومية'!$A$2:$A$14001,'إعدادات المخزون'!$B$4)</f>
        <v>0.0833</v>
      </c>
      <c r="I96" s="118" t="n">
        <f aca="false">SUMIFS('مبيعات يومية'!$D$2:$D$14001,'مبيعات يومية'!$C$2:$C$14001,$A96,'مبيعات يومية'!$B$2:$B$14001,'إعدادات المخزون'!$A$17,'مبيعات يومية'!$A$2:$A$14001,"&gt;="&amp;'إعدادات المخزون'!$B$5,'مبيعات يومية'!$A$2:$A$14001,"&lt;="&amp;'إعدادات المخزون'!$B$4)</f>
        <v>0.9996</v>
      </c>
      <c r="J96" s="118" t="n">
        <f aca="false">SUMIFS('مبيعات يومية'!$D$2:$D$14001,'مبيعات يومية'!$C$2:$C$14001,$A96,'مبيعات يومية'!$B$2:$B$14001,'إعدادات المخزون'!$A$17,'مبيعات يومية'!$A$2:$A$14001,"&gt;"&amp;('إعدادات المخزون'!$B$4-'إعدادات المخزون'!$B$11),'مبيعات يومية'!$A$2:$A$14001,"&lt;="&amp;'إعدادات المخزون'!$B$4)</f>
        <v>0.5831</v>
      </c>
    </row>
    <row r="97" customFormat="false" ht="15" hidden="false" customHeight="false" outlineLevel="0" collapsed="false">
      <c r="A97" s="116" t="str">
        <f aca="false">المنيو!B97</f>
        <v>فطيرة سوسيس صيامي وسط</v>
      </c>
      <c r="B97" s="118" t="n">
        <f aca="false">SUMIFS('مبيعات يومية'!$D$2:$D$14001,'مبيعات يومية'!$C$2:$C$14001,$A97,'مبيعات يومية'!$B$2:$B$14001,'إعدادات المخزون'!$A$15,'مبيعات يومية'!$A$2:$A$14001,'إعدادات المخزون'!$B$4)</f>
        <v>0</v>
      </c>
      <c r="C97" s="118" t="n">
        <f aca="false">SUMIFS('مبيعات يومية'!$D$2:$D$14001,'مبيعات يومية'!$C$2:$C$14001,$A97,'مبيعات يومية'!$B$2:$B$14001,'إعدادات المخزون'!$A$15,'مبيعات يومية'!$A$2:$A$14001,"&gt;="&amp;'إعدادات المخزون'!$B$5,'مبيعات يومية'!$A$2:$A$14001,"&lt;="&amp;'إعدادات المخزون'!$B$4)</f>
        <v>0</v>
      </c>
      <c r="D97" s="118" t="n">
        <f aca="false">SUMIFS('مبيعات يومية'!$D$2:$D$14001,'مبيعات يومية'!$C$2:$C$14001,$A97,'مبيعات يومية'!$B$2:$B$14001,'إعدادات المخزون'!$A$15,'مبيعات يومية'!$A$2:$A$14001,"&gt;"&amp;('إعدادات المخزون'!$B$4-'إعدادات المخزون'!$B$11),'مبيعات يومية'!$A$2:$A$14001,"&lt;="&amp;'إعدادات المخزون'!$B$4)</f>
        <v>0</v>
      </c>
      <c r="E97" s="118" t="n">
        <f aca="false">SUMIFS('مبيعات يومية'!$D$2:$D$14001,'مبيعات يومية'!$C$2:$C$14001,$A97,'مبيعات يومية'!$B$2:$B$14001,'إعدادات المخزون'!$A$16,'مبيعات يومية'!$A$2:$A$14001,'إعدادات المخزون'!$B$4)</f>
        <v>0</v>
      </c>
      <c r="F97" s="118" t="n">
        <f aca="false">SUMIFS('مبيعات يومية'!$D$2:$D$14001,'مبيعات يومية'!$C$2:$C$14001,$A97,'مبيعات يومية'!$B$2:$B$14001,'إعدادات المخزون'!$A$16,'مبيعات يومية'!$A$2:$A$14001,"&gt;="&amp;'إعدادات المخزون'!$B$5,'مبيعات يومية'!$A$2:$A$14001,"&lt;="&amp;'إعدادات المخزون'!$B$4)</f>
        <v>0</v>
      </c>
      <c r="G97" s="118" t="n">
        <f aca="false">SUMIFS('مبيعات يومية'!$D$2:$D$14001,'مبيعات يومية'!$C$2:$C$14001,$A97,'مبيعات يومية'!$B$2:$B$14001,'إعدادات المخزون'!$A$16,'مبيعات يومية'!$A$2:$A$14001,"&gt;"&amp;('إعدادات المخزون'!$B$4-'إعدادات المخزون'!$B$11),'مبيعات يومية'!$A$2:$A$14001,"&lt;="&amp;'إعدادات المخزون'!$B$4)</f>
        <v>0</v>
      </c>
      <c r="H97" s="118" t="n">
        <f aca="false">SUMIFS('مبيعات يومية'!$D$2:$D$14001,'مبيعات يومية'!$C$2:$C$14001,$A97,'مبيعات يومية'!$B$2:$B$14001,'إعدادات المخزون'!$A$17,'مبيعات يومية'!$A$2:$A$14001,'إعدادات المخزون'!$B$4)</f>
        <v>0</v>
      </c>
      <c r="I97" s="118" t="n">
        <f aca="false">SUMIFS('مبيعات يومية'!$D$2:$D$14001,'مبيعات يومية'!$C$2:$C$14001,$A97,'مبيعات يومية'!$B$2:$B$14001,'إعدادات المخزون'!$A$17,'مبيعات يومية'!$A$2:$A$14001,"&gt;="&amp;'إعدادات المخزون'!$B$5,'مبيعات يومية'!$A$2:$A$14001,"&lt;="&amp;'إعدادات المخزون'!$B$4)</f>
        <v>0</v>
      </c>
      <c r="J97" s="118" t="n">
        <f aca="false">SUMIFS('مبيعات يومية'!$D$2:$D$14001,'مبيعات يومية'!$C$2:$C$14001,$A97,'مبيعات يومية'!$B$2:$B$14001,'إعدادات المخزون'!$A$17,'مبيعات يومية'!$A$2:$A$14001,"&gt;"&amp;('إعدادات المخزون'!$B$4-'إعدادات المخزون'!$B$11),'مبيعات يومية'!$A$2:$A$14001,"&lt;="&amp;'إعدادات المخزون'!$B$4)</f>
        <v>0</v>
      </c>
    </row>
    <row r="98" customFormat="false" ht="15" hidden="false" customHeight="false" outlineLevel="0" collapsed="false">
      <c r="A98" s="116" t="str">
        <f aca="false">المنيو!B98</f>
        <v>فطيرة سوسيس صيامي مخصوص</v>
      </c>
      <c r="B98" s="118" t="n">
        <f aca="false">SUMIFS('مبيعات يومية'!$D$2:$D$14001,'مبيعات يومية'!$C$2:$C$14001,$A98,'مبيعات يومية'!$B$2:$B$14001,'إعدادات المخزون'!$A$15,'مبيعات يومية'!$A$2:$A$14001,'إعدادات المخزون'!$B$4)</f>
        <v>0</v>
      </c>
      <c r="C98" s="118" t="n">
        <f aca="false">SUMIFS('مبيعات يومية'!$D$2:$D$14001,'مبيعات يومية'!$C$2:$C$14001,$A98,'مبيعات يومية'!$B$2:$B$14001,'إعدادات المخزون'!$A$15,'مبيعات يومية'!$A$2:$A$14001,"&gt;="&amp;'إعدادات المخزون'!$B$5,'مبيعات يومية'!$A$2:$A$14001,"&lt;="&amp;'إعدادات المخزون'!$B$4)</f>
        <v>0</v>
      </c>
      <c r="D98" s="118" t="n">
        <f aca="false">SUMIFS('مبيعات يومية'!$D$2:$D$14001,'مبيعات يومية'!$C$2:$C$14001,$A98,'مبيعات يومية'!$B$2:$B$14001,'إعدادات المخزون'!$A$15,'مبيعات يومية'!$A$2:$A$14001,"&gt;"&amp;('إعدادات المخزون'!$B$4-'إعدادات المخزون'!$B$11),'مبيعات يومية'!$A$2:$A$14001,"&lt;="&amp;'إعدادات المخزون'!$B$4)</f>
        <v>0</v>
      </c>
      <c r="E98" s="118" t="n">
        <f aca="false">SUMIFS('مبيعات يومية'!$D$2:$D$14001,'مبيعات يومية'!$C$2:$C$14001,$A98,'مبيعات يومية'!$B$2:$B$14001,'إعدادات المخزون'!$A$16,'مبيعات يومية'!$A$2:$A$14001,'إعدادات المخزون'!$B$4)</f>
        <v>0</v>
      </c>
      <c r="F98" s="118" t="n">
        <f aca="false">SUMIFS('مبيعات يومية'!$D$2:$D$14001,'مبيعات يومية'!$C$2:$C$14001,$A98,'مبيعات يومية'!$B$2:$B$14001,'إعدادات المخزون'!$A$16,'مبيعات يومية'!$A$2:$A$14001,"&gt;="&amp;'إعدادات المخزون'!$B$5,'مبيعات يومية'!$A$2:$A$14001,"&lt;="&amp;'إعدادات المخزون'!$B$4)</f>
        <v>0</v>
      </c>
      <c r="G98" s="118" t="n">
        <f aca="false">SUMIFS('مبيعات يومية'!$D$2:$D$14001,'مبيعات يومية'!$C$2:$C$14001,$A98,'مبيعات يومية'!$B$2:$B$14001,'إعدادات المخزون'!$A$16,'مبيعات يومية'!$A$2:$A$14001,"&gt;"&amp;('إعدادات المخزون'!$B$4-'إعدادات المخزون'!$B$11),'مبيعات يومية'!$A$2:$A$14001,"&lt;="&amp;'إعدادات المخزون'!$B$4)</f>
        <v>0</v>
      </c>
      <c r="H98" s="118" t="n">
        <f aca="false">SUMIFS('مبيعات يومية'!$D$2:$D$14001,'مبيعات يومية'!$C$2:$C$14001,$A98,'مبيعات يومية'!$B$2:$B$14001,'إعدادات المخزون'!$A$17,'مبيعات يومية'!$A$2:$A$14001,'إعدادات المخزون'!$B$4)</f>
        <v>0</v>
      </c>
      <c r="I98" s="118" t="n">
        <f aca="false">SUMIFS('مبيعات يومية'!$D$2:$D$14001,'مبيعات يومية'!$C$2:$C$14001,$A98,'مبيعات يومية'!$B$2:$B$14001,'إعدادات المخزون'!$A$17,'مبيعات يومية'!$A$2:$A$14001,"&gt;="&amp;'إعدادات المخزون'!$B$5,'مبيعات يومية'!$A$2:$A$14001,"&lt;="&amp;'إعدادات المخزون'!$B$4)</f>
        <v>0</v>
      </c>
      <c r="J98" s="118" t="n">
        <f aca="false">SUMIFS('مبيعات يومية'!$D$2:$D$14001,'مبيعات يومية'!$C$2:$C$14001,$A98,'مبيعات يومية'!$B$2:$B$14001,'إعدادات المخزون'!$A$17,'مبيعات يومية'!$A$2:$A$14001,"&gt;"&amp;('إعدادات المخزون'!$B$4-'إعدادات المخزون'!$B$11),'مبيعات يومية'!$A$2:$A$14001,"&lt;="&amp;'إعدادات المخزون'!$B$4)</f>
        <v>0</v>
      </c>
    </row>
    <row r="99" customFormat="false" ht="15" hidden="false" customHeight="false" outlineLevel="0" collapsed="false">
      <c r="A99" s="116" t="str">
        <f aca="false">المنيو!B99</f>
        <v>فطيرة شاورما لحم / فراخ صيامي وسط</v>
      </c>
      <c r="B99" s="118" t="n">
        <f aca="false">SUMIFS('مبيعات يومية'!$D$2:$D$14001,'مبيعات يومية'!$C$2:$C$14001,$A99,'مبيعات يومية'!$B$2:$B$14001,'إعدادات المخزون'!$A$15,'مبيعات يومية'!$A$2:$A$14001,'إعدادات المخزون'!$B$4)</f>
        <v>0</v>
      </c>
      <c r="C99" s="118" t="n">
        <f aca="false">SUMIFS('مبيعات يومية'!$D$2:$D$14001,'مبيعات يومية'!$C$2:$C$14001,$A99,'مبيعات يومية'!$B$2:$B$14001,'إعدادات المخزون'!$A$15,'مبيعات يومية'!$A$2:$A$14001,"&gt;="&amp;'إعدادات المخزون'!$B$5,'مبيعات يومية'!$A$2:$A$14001,"&lt;="&amp;'إعدادات المخزون'!$B$4)</f>
        <v>0</v>
      </c>
      <c r="D99" s="118" t="n">
        <f aca="false">SUMIFS('مبيعات يومية'!$D$2:$D$14001,'مبيعات يومية'!$C$2:$C$14001,$A99,'مبيعات يومية'!$B$2:$B$14001,'إعدادات المخزون'!$A$15,'مبيعات يومية'!$A$2:$A$14001,"&gt;"&amp;('إعدادات المخزون'!$B$4-'إعدادات المخزون'!$B$11),'مبيعات يومية'!$A$2:$A$14001,"&lt;="&amp;'إعدادات المخزون'!$B$4)</f>
        <v>0</v>
      </c>
      <c r="E99" s="118" t="n">
        <f aca="false">SUMIFS('مبيعات يومية'!$D$2:$D$14001,'مبيعات يومية'!$C$2:$C$14001,$A99,'مبيعات يومية'!$B$2:$B$14001,'إعدادات المخزون'!$A$16,'مبيعات يومية'!$A$2:$A$14001,'إعدادات المخزون'!$B$4)</f>
        <v>0</v>
      </c>
      <c r="F99" s="118" t="n">
        <f aca="false">SUMIFS('مبيعات يومية'!$D$2:$D$14001,'مبيعات يومية'!$C$2:$C$14001,$A99,'مبيعات يومية'!$B$2:$B$14001,'إعدادات المخزون'!$A$16,'مبيعات يومية'!$A$2:$A$14001,"&gt;="&amp;'إعدادات المخزون'!$B$5,'مبيعات يومية'!$A$2:$A$14001,"&lt;="&amp;'إعدادات المخزون'!$B$4)</f>
        <v>0</v>
      </c>
      <c r="G99" s="118" t="n">
        <f aca="false">SUMIFS('مبيعات يومية'!$D$2:$D$14001,'مبيعات يومية'!$C$2:$C$14001,$A99,'مبيعات يومية'!$B$2:$B$14001,'إعدادات المخزون'!$A$16,'مبيعات يومية'!$A$2:$A$14001,"&gt;"&amp;('إعدادات المخزون'!$B$4-'إعدادات المخزون'!$B$11),'مبيعات يومية'!$A$2:$A$14001,"&lt;="&amp;'إعدادات المخزون'!$B$4)</f>
        <v>0</v>
      </c>
      <c r="H99" s="118" t="n">
        <f aca="false">SUMIFS('مبيعات يومية'!$D$2:$D$14001,'مبيعات يومية'!$C$2:$C$14001,$A99,'مبيعات يومية'!$B$2:$B$14001,'إعدادات المخزون'!$A$17,'مبيعات يومية'!$A$2:$A$14001,'إعدادات المخزون'!$B$4)</f>
        <v>0</v>
      </c>
      <c r="I99" s="118" t="n">
        <f aca="false">SUMIFS('مبيعات يومية'!$D$2:$D$14001,'مبيعات يومية'!$C$2:$C$14001,$A99,'مبيعات يومية'!$B$2:$B$14001,'إعدادات المخزون'!$A$17,'مبيعات يومية'!$A$2:$A$14001,"&gt;="&amp;'إعدادات المخزون'!$B$5,'مبيعات يومية'!$A$2:$A$14001,"&lt;="&amp;'إعدادات المخزون'!$B$4)</f>
        <v>0</v>
      </c>
      <c r="J99" s="118" t="n">
        <f aca="false">SUMIFS('مبيعات يومية'!$D$2:$D$14001,'مبيعات يومية'!$C$2:$C$14001,$A99,'مبيعات يومية'!$B$2:$B$14001,'إعدادات المخزون'!$A$17,'مبيعات يومية'!$A$2:$A$14001,"&gt;"&amp;('إعدادات المخزون'!$B$4-'إعدادات المخزون'!$B$11),'مبيعات يومية'!$A$2:$A$14001,"&lt;="&amp;'إعدادات المخزون'!$B$4)</f>
        <v>0</v>
      </c>
    </row>
    <row r="100" customFormat="false" ht="15" hidden="false" customHeight="false" outlineLevel="0" collapsed="false">
      <c r="A100" s="116" t="str">
        <f aca="false">المنيو!B100</f>
        <v>فطيرة شاورما لحم / فراخ صيامي مخصوص</v>
      </c>
      <c r="B100" s="118" t="n">
        <f aca="false">SUMIFS('مبيعات يومية'!$D$2:$D$14001,'مبيعات يومية'!$C$2:$C$14001,$A100,'مبيعات يومية'!$B$2:$B$14001,'إعدادات المخزون'!$A$15,'مبيعات يومية'!$A$2:$A$14001,'إعدادات المخزون'!$B$4)</f>
        <v>0</v>
      </c>
      <c r="C100" s="118" t="n">
        <f aca="false">SUMIFS('مبيعات يومية'!$D$2:$D$14001,'مبيعات يومية'!$C$2:$C$14001,$A100,'مبيعات يومية'!$B$2:$B$14001,'إعدادات المخزون'!$A$15,'مبيعات يومية'!$A$2:$A$14001,"&gt;="&amp;'إعدادات المخزون'!$B$5,'مبيعات يومية'!$A$2:$A$14001,"&lt;="&amp;'إعدادات المخزون'!$B$4)</f>
        <v>0</v>
      </c>
      <c r="D100" s="118" t="n">
        <f aca="false">SUMIFS('مبيعات يومية'!$D$2:$D$14001,'مبيعات يومية'!$C$2:$C$14001,$A100,'مبيعات يومية'!$B$2:$B$14001,'إعدادات المخزون'!$A$15,'مبيعات يومية'!$A$2:$A$14001,"&gt;"&amp;('إعدادات المخزون'!$B$4-'إعدادات المخزون'!$B$11),'مبيعات يومية'!$A$2:$A$14001,"&lt;="&amp;'إعدادات المخزون'!$B$4)</f>
        <v>0</v>
      </c>
      <c r="E100" s="118" t="n">
        <f aca="false">SUMIFS('مبيعات يومية'!$D$2:$D$14001,'مبيعات يومية'!$C$2:$C$14001,$A100,'مبيعات يومية'!$B$2:$B$14001,'إعدادات المخزون'!$A$16,'مبيعات يومية'!$A$2:$A$14001,'إعدادات المخزون'!$B$4)</f>
        <v>0</v>
      </c>
      <c r="F100" s="118" t="n">
        <f aca="false">SUMIFS('مبيعات يومية'!$D$2:$D$14001,'مبيعات يومية'!$C$2:$C$14001,$A100,'مبيعات يومية'!$B$2:$B$14001,'إعدادات المخزون'!$A$16,'مبيعات يومية'!$A$2:$A$14001,"&gt;="&amp;'إعدادات المخزون'!$B$5,'مبيعات يومية'!$A$2:$A$14001,"&lt;="&amp;'إعدادات المخزون'!$B$4)</f>
        <v>0</v>
      </c>
      <c r="G100" s="118" t="n">
        <f aca="false">SUMIFS('مبيعات يومية'!$D$2:$D$14001,'مبيعات يومية'!$C$2:$C$14001,$A100,'مبيعات يومية'!$B$2:$B$14001,'إعدادات المخزون'!$A$16,'مبيعات يومية'!$A$2:$A$14001,"&gt;"&amp;('إعدادات المخزون'!$B$4-'إعدادات المخزون'!$B$11),'مبيعات يومية'!$A$2:$A$14001,"&lt;="&amp;'إعدادات المخزون'!$B$4)</f>
        <v>0</v>
      </c>
      <c r="H100" s="118" t="n">
        <f aca="false">SUMIFS('مبيعات يومية'!$D$2:$D$14001,'مبيعات يومية'!$C$2:$C$14001,$A100,'مبيعات يومية'!$B$2:$B$14001,'إعدادات المخزون'!$A$17,'مبيعات يومية'!$A$2:$A$14001,'إعدادات المخزون'!$B$4)</f>
        <v>0</v>
      </c>
      <c r="I100" s="118" t="n">
        <f aca="false">SUMIFS('مبيعات يومية'!$D$2:$D$14001,'مبيعات يومية'!$C$2:$C$14001,$A100,'مبيعات يومية'!$B$2:$B$14001,'إعدادات المخزون'!$A$17,'مبيعات يومية'!$A$2:$A$14001,"&gt;="&amp;'إعدادات المخزون'!$B$5,'مبيعات يومية'!$A$2:$A$14001,"&lt;="&amp;'إعدادات المخزون'!$B$4)</f>
        <v>0</v>
      </c>
      <c r="J100" s="118" t="n">
        <f aca="false">SUMIFS('مبيعات يومية'!$D$2:$D$14001,'مبيعات يومية'!$C$2:$C$14001,$A100,'مبيعات يومية'!$B$2:$B$14001,'إعدادات المخزون'!$A$17,'مبيعات يومية'!$A$2:$A$14001,"&gt;"&amp;('إعدادات المخزون'!$B$4-'إعدادات المخزون'!$B$11),'مبيعات يومية'!$A$2:$A$14001,"&lt;="&amp;'إعدادات المخزون'!$B$4)</f>
        <v>0</v>
      </c>
    </row>
    <row r="101" customFormat="false" ht="15" hidden="false" customHeight="false" outlineLevel="0" collapsed="false">
      <c r="A101" s="116" t="str">
        <f aca="false">المنيو!B101</f>
        <v>فطيرة مشكل لحوم صيامي وسط</v>
      </c>
      <c r="B101" s="118" t="n">
        <f aca="false">SUMIFS('مبيعات يومية'!$D$2:$D$14001,'مبيعات يومية'!$C$2:$C$14001,$A101,'مبيعات يومية'!$B$2:$B$14001,'إعدادات المخزون'!$A$15,'مبيعات يومية'!$A$2:$A$14001,'إعدادات المخزون'!$B$4)</f>
        <v>0</v>
      </c>
      <c r="C101" s="118" t="n">
        <f aca="false">SUMIFS('مبيعات يومية'!$D$2:$D$14001,'مبيعات يومية'!$C$2:$C$14001,$A101,'مبيعات يومية'!$B$2:$B$14001,'إعدادات المخزون'!$A$15,'مبيعات يومية'!$A$2:$A$14001,"&gt;="&amp;'إعدادات المخزون'!$B$5,'مبيعات يومية'!$A$2:$A$14001,"&lt;="&amp;'إعدادات المخزون'!$B$4)</f>
        <v>0</v>
      </c>
      <c r="D101" s="118" t="n">
        <f aca="false">SUMIFS('مبيعات يومية'!$D$2:$D$14001,'مبيعات يومية'!$C$2:$C$14001,$A101,'مبيعات يومية'!$B$2:$B$14001,'إعدادات المخزون'!$A$15,'مبيعات يومية'!$A$2:$A$14001,"&gt;"&amp;('إعدادات المخزون'!$B$4-'إعدادات المخزون'!$B$11),'مبيعات يومية'!$A$2:$A$14001,"&lt;="&amp;'إعدادات المخزون'!$B$4)</f>
        <v>0</v>
      </c>
      <c r="E101" s="118" t="n">
        <f aca="false">SUMIFS('مبيعات يومية'!$D$2:$D$14001,'مبيعات يومية'!$C$2:$C$14001,$A101,'مبيعات يومية'!$B$2:$B$14001,'إعدادات المخزون'!$A$16,'مبيعات يومية'!$A$2:$A$14001,'إعدادات المخزون'!$B$4)</f>
        <v>0</v>
      </c>
      <c r="F101" s="118" t="n">
        <f aca="false">SUMIFS('مبيعات يومية'!$D$2:$D$14001,'مبيعات يومية'!$C$2:$C$14001,$A101,'مبيعات يومية'!$B$2:$B$14001,'إعدادات المخزون'!$A$16,'مبيعات يومية'!$A$2:$A$14001,"&gt;="&amp;'إعدادات المخزون'!$B$5,'مبيعات يومية'!$A$2:$A$14001,"&lt;="&amp;'إعدادات المخزون'!$B$4)</f>
        <v>0</v>
      </c>
      <c r="G101" s="118" t="n">
        <f aca="false">SUMIFS('مبيعات يومية'!$D$2:$D$14001,'مبيعات يومية'!$C$2:$C$14001,$A101,'مبيعات يومية'!$B$2:$B$14001,'إعدادات المخزون'!$A$16,'مبيعات يومية'!$A$2:$A$14001,"&gt;"&amp;('إعدادات المخزون'!$B$4-'إعدادات المخزون'!$B$11),'مبيعات يومية'!$A$2:$A$14001,"&lt;="&amp;'إعدادات المخزون'!$B$4)</f>
        <v>0</v>
      </c>
      <c r="H101" s="118" t="n">
        <f aca="false">SUMIFS('مبيعات يومية'!$D$2:$D$14001,'مبيعات يومية'!$C$2:$C$14001,$A101,'مبيعات يومية'!$B$2:$B$14001,'إعدادات المخزون'!$A$17,'مبيعات يومية'!$A$2:$A$14001,'إعدادات المخزون'!$B$4)</f>
        <v>0</v>
      </c>
      <c r="I101" s="118" t="n">
        <f aca="false">SUMIFS('مبيعات يومية'!$D$2:$D$14001,'مبيعات يومية'!$C$2:$C$14001,$A101,'مبيعات يومية'!$B$2:$B$14001,'إعدادات المخزون'!$A$17,'مبيعات يومية'!$A$2:$A$14001,"&gt;="&amp;'إعدادات المخزون'!$B$5,'مبيعات يومية'!$A$2:$A$14001,"&lt;="&amp;'إعدادات المخزون'!$B$4)</f>
        <v>0</v>
      </c>
      <c r="J101" s="118" t="n">
        <f aca="false">SUMIFS('مبيعات يومية'!$D$2:$D$14001,'مبيعات يومية'!$C$2:$C$14001,$A101,'مبيعات يومية'!$B$2:$B$14001,'إعدادات المخزون'!$A$17,'مبيعات يومية'!$A$2:$A$14001,"&gt;"&amp;('إعدادات المخزون'!$B$4-'إعدادات المخزون'!$B$11),'مبيعات يومية'!$A$2:$A$14001,"&lt;="&amp;'إعدادات المخزون'!$B$4)</f>
        <v>0</v>
      </c>
    </row>
    <row r="102" customFormat="false" ht="15" hidden="false" customHeight="false" outlineLevel="0" collapsed="false">
      <c r="A102" s="116" t="str">
        <f aca="false">المنيو!B102</f>
        <v>فطيرة مشكل لحوم صيامي مخصوص</v>
      </c>
      <c r="B102" s="118" t="n">
        <f aca="false">SUMIFS('مبيعات يومية'!$D$2:$D$14001,'مبيعات يومية'!$C$2:$C$14001,$A102,'مبيعات يومية'!$B$2:$B$14001,'إعدادات المخزون'!$A$15,'مبيعات يومية'!$A$2:$A$14001,'إعدادات المخزون'!$B$4)</f>
        <v>0</v>
      </c>
      <c r="C102" s="118" t="n">
        <f aca="false">SUMIFS('مبيعات يومية'!$D$2:$D$14001,'مبيعات يومية'!$C$2:$C$14001,$A102,'مبيعات يومية'!$B$2:$B$14001,'إعدادات المخزون'!$A$15,'مبيعات يومية'!$A$2:$A$14001,"&gt;="&amp;'إعدادات المخزون'!$B$5,'مبيعات يومية'!$A$2:$A$14001,"&lt;="&amp;'إعدادات المخزون'!$B$4)</f>
        <v>0</v>
      </c>
      <c r="D102" s="118" t="n">
        <f aca="false">SUMIFS('مبيعات يومية'!$D$2:$D$14001,'مبيعات يومية'!$C$2:$C$14001,$A102,'مبيعات يومية'!$B$2:$B$14001,'إعدادات المخزون'!$A$15,'مبيعات يومية'!$A$2:$A$14001,"&gt;"&amp;('إعدادات المخزون'!$B$4-'إعدادات المخزون'!$B$11),'مبيعات يومية'!$A$2:$A$14001,"&lt;="&amp;'إعدادات المخزون'!$B$4)</f>
        <v>0</v>
      </c>
      <c r="E102" s="118" t="n">
        <f aca="false">SUMIFS('مبيعات يومية'!$D$2:$D$14001,'مبيعات يومية'!$C$2:$C$14001,$A102,'مبيعات يومية'!$B$2:$B$14001,'إعدادات المخزون'!$A$16,'مبيعات يومية'!$A$2:$A$14001,'إعدادات المخزون'!$B$4)</f>
        <v>0</v>
      </c>
      <c r="F102" s="118" t="n">
        <f aca="false">SUMIFS('مبيعات يومية'!$D$2:$D$14001,'مبيعات يومية'!$C$2:$C$14001,$A102,'مبيعات يومية'!$B$2:$B$14001,'إعدادات المخزون'!$A$16,'مبيعات يومية'!$A$2:$A$14001,"&gt;="&amp;'إعدادات المخزون'!$B$5,'مبيعات يومية'!$A$2:$A$14001,"&lt;="&amp;'إعدادات المخزون'!$B$4)</f>
        <v>0</v>
      </c>
      <c r="G102" s="118" t="n">
        <f aca="false">SUMIFS('مبيعات يومية'!$D$2:$D$14001,'مبيعات يومية'!$C$2:$C$14001,$A102,'مبيعات يومية'!$B$2:$B$14001,'إعدادات المخزون'!$A$16,'مبيعات يومية'!$A$2:$A$14001,"&gt;"&amp;('إعدادات المخزون'!$B$4-'إعدادات المخزون'!$B$11),'مبيعات يومية'!$A$2:$A$14001,"&lt;="&amp;'إعدادات المخزون'!$B$4)</f>
        <v>0</v>
      </c>
      <c r="H102" s="118" t="n">
        <f aca="false">SUMIFS('مبيعات يومية'!$D$2:$D$14001,'مبيعات يومية'!$C$2:$C$14001,$A102,'مبيعات يومية'!$B$2:$B$14001,'إعدادات المخزون'!$A$17,'مبيعات يومية'!$A$2:$A$14001,'إعدادات المخزون'!$B$4)</f>
        <v>0</v>
      </c>
      <c r="I102" s="118" t="n">
        <f aca="false">SUMIFS('مبيعات يومية'!$D$2:$D$14001,'مبيعات يومية'!$C$2:$C$14001,$A102,'مبيعات يومية'!$B$2:$B$14001,'إعدادات المخزون'!$A$17,'مبيعات يومية'!$A$2:$A$14001,"&gt;="&amp;'إعدادات المخزون'!$B$5,'مبيعات يومية'!$A$2:$A$14001,"&lt;="&amp;'إعدادات المخزون'!$B$4)</f>
        <v>0</v>
      </c>
      <c r="J102" s="118" t="n">
        <f aca="false">SUMIFS('مبيعات يومية'!$D$2:$D$14001,'مبيعات يومية'!$C$2:$C$14001,$A102,'مبيعات يومية'!$B$2:$B$14001,'إعدادات المخزون'!$A$17,'مبيعات يومية'!$A$2:$A$14001,"&gt;"&amp;('إعدادات المخزون'!$B$4-'إعدادات المخزون'!$B$11),'مبيعات يومية'!$A$2:$A$14001,"&lt;="&amp;'إعدادات المخزون'!$B$4)</f>
        <v>0</v>
      </c>
    </row>
    <row r="103" customFormat="false" ht="15" hidden="false" customHeight="false" outlineLevel="0" collapsed="false">
      <c r="A103" s="116" t="str">
        <f aca="false">المنيو!B103</f>
        <v>فطيرة مشكل جبن صيامي وسط</v>
      </c>
      <c r="B103" s="118" t="n">
        <f aca="false">SUMIFS('مبيعات يومية'!$D$2:$D$14001,'مبيعات يومية'!$C$2:$C$14001,$A103,'مبيعات يومية'!$B$2:$B$14001,'إعدادات المخزون'!$A$15,'مبيعات يومية'!$A$2:$A$14001,'إعدادات المخزون'!$B$4)</f>
        <v>0</v>
      </c>
      <c r="C103" s="118" t="n">
        <f aca="false">SUMIFS('مبيعات يومية'!$D$2:$D$14001,'مبيعات يومية'!$C$2:$C$14001,$A103,'مبيعات يومية'!$B$2:$B$14001,'إعدادات المخزون'!$A$15,'مبيعات يومية'!$A$2:$A$14001,"&gt;="&amp;'إعدادات المخزون'!$B$5,'مبيعات يومية'!$A$2:$A$14001,"&lt;="&amp;'إعدادات المخزون'!$B$4)</f>
        <v>0</v>
      </c>
      <c r="D103" s="118" t="n">
        <f aca="false">SUMIFS('مبيعات يومية'!$D$2:$D$14001,'مبيعات يومية'!$C$2:$C$14001,$A103,'مبيعات يومية'!$B$2:$B$14001,'إعدادات المخزون'!$A$15,'مبيعات يومية'!$A$2:$A$14001,"&gt;"&amp;('إعدادات المخزون'!$B$4-'إعدادات المخزون'!$B$11),'مبيعات يومية'!$A$2:$A$14001,"&lt;="&amp;'إعدادات المخزون'!$B$4)</f>
        <v>0</v>
      </c>
      <c r="E103" s="118" t="n">
        <f aca="false">SUMIFS('مبيعات يومية'!$D$2:$D$14001,'مبيعات يومية'!$C$2:$C$14001,$A103,'مبيعات يومية'!$B$2:$B$14001,'إعدادات المخزون'!$A$16,'مبيعات يومية'!$A$2:$A$14001,'إعدادات المخزون'!$B$4)</f>
        <v>0</v>
      </c>
      <c r="F103" s="118" t="n">
        <f aca="false">SUMIFS('مبيعات يومية'!$D$2:$D$14001,'مبيعات يومية'!$C$2:$C$14001,$A103,'مبيعات يومية'!$B$2:$B$14001,'إعدادات المخزون'!$A$16,'مبيعات يومية'!$A$2:$A$14001,"&gt;="&amp;'إعدادات المخزون'!$B$5,'مبيعات يومية'!$A$2:$A$14001,"&lt;="&amp;'إعدادات المخزون'!$B$4)</f>
        <v>0</v>
      </c>
      <c r="G103" s="118" t="n">
        <f aca="false">SUMIFS('مبيعات يومية'!$D$2:$D$14001,'مبيعات يومية'!$C$2:$C$14001,$A103,'مبيعات يومية'!$B$2:$B$14001,'إعدادات المخزون'!$A$16,'مبيعات يومية'!$A$2:$A$14001,"&gt;"&amp;('إعدادات المخزون'!$B$4-'إعدادات المخزون'!$B$11),'مبيعات يومية'!$A$2:$A$14001,"&lt;="&amp;'إعدادات المخزون'!$B$4)</f>
        <v>0</v>
      </c>
      <c r="H103" s="118" t="n">
        <f aca="false">SUMIFS('مبيعات يومية'!$D$2:$D$14001,'مبيعات يومية'!$C$2:$C$14001,$A103,'مبيعات يومية'!$B$2:$B$14001,'إعدادات المخزون'!$A$17,'مبيعات يومية'!$A$2:$A$14001,'إعدادات المخزون'!$B$4)</f>
        <v>0</v>
      </c>
      <c r="I103" s="118" t="n">
        <f aca="false">SUMIFS('مبيعات يومية'!$D$2:$D$14001,'مبيعات يومية'!$C$2:$C$14001,$A103,'مبيعات يومية'!$B$2:$B$14001,'إعدادات المخزون'!$A$17,'مبيعات يومية'!$A$2:$A$14001,"&gt;="&amp;'إعدادات المخزون'!$B$5,'مبيعات يومية'!$A$2:$A$14001,"&lt;="&amp;'إعدادات المخزون'!$B$4)</f>
        <v>0</v>
      </c>
      <c r="J103" s="118" t="n">
        <f aca="false">SUMIFS('مبيعات يومية'!$D$2:$D$14001,'مبيعات يومية'!$C$2:$C$14001,$A103,'مبيعات يومية'!$B$2:$B$14001,'إعدادات المخزون'!$A$17,'مبيعات يومية'!$A$2:$A$14001,"&gt;"&amp;('إعدادات المخزون'!$B$4-'إعدادات المخزون'!$B$11),'مبيعات يومية'!$A$2:$A$14001,"&lt;="&amp;'إعدادات المخزون'!$B$4)</f>
        <v>0</v>
      </c>
    </row>
    <row r="104" customFormat="false" ht="15" hidden="false" customHeight="false" outlineLevel="0" collapsed="false">
      <c r="A104" s="116" t="str">
        <f aca="false">المنيو!B104</f>
        <v>فطيرة مشكل جبن صيامي مخصوص</v>
      </c>
      <c r="B104" s="118" t="n">
        <f aca="false">SUMIFS('مبيعات يومية'!$D$2:$D$14001,'مبيعات يومية'!$C$2:$C$14001,$A104,'مبيعات يومية'!$B$2:$B$14001,'إعدادات المخزون'!$A$15,'مبيعات يومية'!$A$2:$A$14001,'إعدادات المخزون'!$B$4)</f>
        <v>0</v>
      </c>
      <c r="C104" s="118" t="n">
        <f aca="false">SUMIFS('مبيعات يومية'!$D$2:$D$14001,'مبيعات يومية'!$C$2:$C$14001,$A104,'مبيعات يومية'!$B$2:$B$14001,'إعدادات المخزون'!$A$15,'مبيعات يومية'!$A$2:$A$14001,"&gt;="&amp;'إعدادات المخزون'!$B$5,'مبيعات يومية'!$A$2:$A$14001,"&lt;="&amp;'إعدادات المخزون'!$B$4)</f>
        <v>0</v>
      </c>
      <c r="D104" s="118" t="n">
        <f aca="false">SUMIFS('مبيعات يومية'!$D$2:$D$14001,'مبيعات يومية'!$C$2:$C$14001,$A104,'مبيعات يومية'!$B$2:$B$14001,'إعدادات المخزون'!$A$15,'مبيعات يومية'!$A$2:$A$14001,"&gt;"&amp;('إعدادات المخزون'!$B$4-'إعدادات المخزون'!$B$11),'مبيعات يومية'!$A$2:$A$14001,"&lt;="&amp;'إعدادات المخزون'!$B$4)</f>
        <v>0</v>
      </c>
      <c r="E104" s="118" t="n">
        <f aca="false">SUMIFS('مبيعات يومية'!$D$2:$D$14001,'مبيعات يومية'!$C$2:$C$14001,$A104,'مبيعات يومية'!$B$2:$B$14001,'إعدادات المخزون'!$A$16,'مبيعات يومية'!$A$2:$A$14001,'إعدادات المخزون'!$B$4)</f>
        <v>0</v>
      </c>
      <c r="F104" s="118" t="n">
        <f aca="false">SUMIFS('مبيعات يومية'!$D$2:$D$14001,'مبيعات يومية'!$C$2:$C$14001,$A104,'مبيعات يومية'!$B$2:$B$14001,'إعدادات المخزون'!$A$16,'مبيعات يومية'!$A$2:$A$14001,"&gt;="&amp;'إعدادات المخزون'!$B$5,'مبيعات يومية'!$A$2:$A$14001,"&lt;="&amp;'إعدادات المخزون'!$B$4)</f>
        <v>0</v>
      </c>
      <c r="G104" s="118" t="n">
        <f aca="false">SUMIFS('مبيعات يومية'!$D$2:$D$14001,'مبيعات يومية'!$C$2:$C$14001,$A104,'مبيعات يومية'!$B$2:$B$14001,'إعدادات المخزون'!$A$16,'مبيعات يومية'!$A$2:$A$14001,"&gt;"&amp;('إعدادات المخزون'!$B$4-'إعدادات المخزون'!$B$11),'مبيعات يومية'!$A$2:$A$14001,"&lt;="&amp;'إعدادات المخزون'!$B$4)</f>
        <v>0</v>
      </c>
      <c r="H104" s="118" t="n">
        <f aca="false">SUMIFS('مبيعات يومية'!$D$2:$D$14001,'مبيعات يومية'!$C$2:$C$14001,$A104,'مبيعات يومية'!$B$2:$B$14001,'إعدادات المخزون'!$A$17,'مبيعات يومية'!$A$2:$A$14001,'إعدادات المخزون'!$B$4)</f>
        <v>0</v>
      </c>
      <c r="I104" s="118" t="n">
        <f aca="false">SUMIFS('مبيعات يومية'!$D$2:$D$14001,'مبيعات يومية'!$C$2:$C$14001,$A104,'مبيعات يومية'!$B$2:$B$14001,'إعدادات المخزون'!$A$17,'مبيعات يومية'!$A$2:$A$14001,"&gt;="&amp;'إعدادات المخزون'!$B$5,'مبيعات يومية'!$A$2:$A$14001,"&lt;="&amp;'إعدادات المخزون'!$B$4)</f>
        <v>0</v>
      </c>
      <c r="J104" s="118" t="n">
        <f aca="false">SUMIFS('مبيعات يومية'!$D$2:$D$14001,'مبيعات يومية'!$C$2:$C$14001,$A104,'مبيعات يومية'!$B$2:$B$14001,'إعدادات المخزون'!$A$17,'مبيعات يومية'!$A$2:$A$14001,"&gt;"&amp;('إعدادات المخزون'!$B$4-'إعدادات المخزون'!$B$11),'مبيعات يومية'!$A$2:$A$14001,"&lt;="&amp;'إعدادات المخزون'!$B$4)</f>
        <v>0</v>
      </c>
    </row>
    <row r="105" customFormat="false" ht="15" hidden="false" customHeight="false" outlineLevel="0" collapsed="false">
      <c r="A105" s="116" t="str">
        <f aca="false">المنيو!B105</f>
        <v>فطيرة فراخ باربيكيو صيامي وسط</v>
      </c>
      <c r="B105" s="118" t="n">
        <f aca="false">SUMIFS('مبيعات يومية'!$D$2:$D$14001,'مبيعات يومية'!$C$2:$C$14001,$A105,'مبيعات يومية'!$B$2:$B$14001,'إعدادات المخزون'!$A$15,'مبيعات يومية'!$A$2:$A$14001,'إعدادات المخزون'!$B$4)</f>
        <v>0</v>
      </c>
      <c r="C105" s="118" t="n">
        <f aca="false">SUMIFS('مبيعات يومية'!$D$2:$D$14001,'مبيعات يومية'!$C$2:$C$14001,$A105,'مبيعات يومية'!$B$2:$B$14001,'إعدادات المخزون'!$A$15,'مبيعات يومية'!$A$2:$A$14001,"&gt;="&amp;'إعدادات المخزون'!$B$5,'مبيعات يومية'!$A$2:$A$14001,"&lt;="&amp;'إعدادات المخزون'!$B$4)</f>
        <v>0</v>
      </c>
      <c r="D105" s="118" t="n">
        <f aca="false">SUMIFS('مبيعات يومية'!$D$2:$D$14001,'مبيعات يومية'!$C$2:$C$14001,$A105,'مبيعات يومية'!$B$2:$B$14001,'إعدادات المخزون'!$A$15,'مبيعات يومية'!$A$2:$A$14001,"&gt;"&amp;('إعدادات المخزون'!$B$4-'إعدادات المخزون'!$B$11),'مبيعات يومية'!$A$2:$A$14001,"&lt;="&amp;'إعدادات المخزون'!$B$4)</f>
        <v>0</v>
      </c>
      <c r="E105" s="118" t="n">
        <f aca="false">SUMIFS('مبيعات يومية'!$D$2:$D$14001,'مبيعات يومية'!$C$2:$C$14001,$A105,'مبيعات يومية'!$B$2:$B$14001,'إعدادات المخزون'!$A$16,'مبيعات يومية'!$A$2:$A$14001,'إعدادات المخزون'!$B$4)</f>
        <v>0</v>
      </c>
      <c r="F105" s="118" t="n">
        <f aca="false">SUMIFS('مبيعات يومية'!$D$2:$D$14001,'مبيعات يومية'!$C$2:$C$14001,$A105,'مبيعات يومية'!$B$2:$B$14001,'إعدادات المخزون'!$A$16,'مبيعات يومية'!$A$2:$A$14001,"&gt;="&amp;'إعدادات المخزون'!$B$5,'مبيعات يومية'!$A$2:$A$14001,"&lt;="&amp;'إعدادات المخزون'!$B$4)</f>
        <v>0</v>
      </c>
      <c r="G105" s="118" t="n">
        <f aca="false">SUMIFS('مبيعات يومية'!$D$2:$D$14001,'مبيعات يومية'!$C$2:$C$14001,$A105,'مبيعات يومية'!$B$2:$B$14001,'إعدادات المخزون'!$A$16,'مبيعات يومية'!$A$2:$A$14001,"&gt;"&amp;('إعدادات المخزون'!$B$4-'إعدادات المخزون'!$B$11),'مبيعات يومية'!$A$2:$A$14001,"&lt;="&amp;'إعدادات المخزون'!$B$4)</f>
        <v>0</v>
      </c>
      <c r="H105" s="118" t="n">
        <f aca="false">SUMIFS('مبيعات يومية'!$D$2:$D$14001,'مبيعات يومية'!$C$2:$C$14001,$A105,'مبيعات يومية'!$B$2:$B$14001,'إعدادات المخزون'!$A$17,'مبيعات يومية'!$A$2:$A$14001,'إعدادات المخزون'!$B$4)</f>
        <v>0</v>
      </c>
      <c r="I105" s="118" t="n">
        <f aca="false">SUMIFS('مبيعات يومية'!$D$2:$D$14001,'مبيعات يومية'!$C$2:$C$14001,$A105,'مبيعات يومية'!$B$2:$B$14001,'إعدادات المخزون'!$A$17,'مبيعات يومية'!$A$2:$A$14001,"&gt;="&amp;'إعدادات المخزون'!$B$5,'مبيعات يومية'!$A$2:$A$14001,"&lt;="&amp;'إعدادات المخزون'!$B$4)</f>
        <v>0</v>
      </c>
      <c r="J105" s="118" t="n">
        <f aca="false">SUMIFS('مبيعات يومية'!$D$2:$D$14001,'مبيعات يومية'!$C$2:$C$14001,$A105,'مبيعات يومية'!$B$2:$B$14001,'إعدادات المخزون'!$A$17,'مبيعات يومية'!$A$2:$A$14001,"&gt;"&amp;('إعدادات المخزون'!$B$4-'إعدادات المخزون'!$B$11),'مبيعات يومية'!$A$2:$A$14001,"&lt;="&amp;'إعدادات المخزون'!$B$4)</f>
        <v>0</v>
      </c>
    </row>
    <row r="106" customFormat="false" ht="15" hidden="false" customHeight="false" outlineLevel="0" collapsed="false">
      <c r="A106" s="116" t="str">
        <f aca="false">المنيو!B106</f>
        <v>فطيرة فراخ باربيكيو صيامي مخصوص</v>
      </c>
      <c r="B106" s="118" t="n">
        <f aca="false">SUMIFS('مبيعات يومية'!$D$2:$D$14001,'مبيعات يومية'!$C$2:$C$14001,$A106,'مبيعات يومية'!$B$2:$B$14001,'إعدادات المخزون'!$A$15,'مبيعات يومية'!$A$2:$A$14001,'إعدادات المخزون'!$B$4)</f>
        <v>0</v>
      </c>
      <c r="C106" s="118" t="n">
        <f aca="false">SUMIFS('مبيعات يومية'!$D$2:$D$14001,'مبيعات يومية'!$C$2:$C$14001,$A106,'مبيعات يومية'!$B$2:$B$14001,'إعدادات المخزون'!$A$15,'مبيعات يومية'!$A$2:$A$14001,"&gt;="&amp;'إعدادات المخزون'!$B$5,'مبيعات يومية'!$A$2:$A$14001,"&lt;="&amp;'إعدادات المخزون'!$B$4)</f>
        <v>0</v>
      </c>
      <c r="D106" s="118" t="n">
        <f aca="false">SUMIFS('مبيعات يومية'!$D$2:$D$14001,'مبيعات يومية'!$C$2:$C$14001,$A106,'مبيعات يومية'!$B$2:$B$14001,'إعدادات المخزون'!$A$15,'مبيعات يومية'!$A$2:$A$14001,"&gt;"&amp;('إعدادات المخزون'!$B$4-'إعدادات المخزون'!$B$11),'مبيعات يومية'!$A$2:$A$14001,"&lt;="&amp;'إعدادات المخزون'!$B$4)</f>
        <v>0</v>
      </c>
      <c r="E106" s="118" t="n">
        <f aca="false">SUMIFS('مبيعات يومية'!$D$2:$D$14001,'مبيعات يومية'!$C$2:$C$14001,$A106,'مبيعات يومية'!$B$2:$B$14001,'إعدادات المخزون'!$A$16,'مبيعات يومية'!$A$2:$A$14001,'إعدادات المخزون'!$B$4)</f>
        <v>0</v>
      </c>
      <c r="F106" s="118" t="n">
        <f aca="false">SUMIFS('مبيعات يومية'!$D$2:$D$14001,'مبيعات يومية'!$C$2:$C$14001,$A106,'مبيعات يومية'!$B$2:$B$14001,'إعدادات المخزون'!$A$16,'مبيعات يومية'!$A$2:$A$14001,"&gt;="&amp;'إعدادات المخزون'!$B$5,'مبيعات يومية'!$A$2:$A$14001,"&lt;="&amp;'إعدادات المخزون'!$B$4)</f>
        <v>0</v>
      </c>
      <c r="G106" s="118" t="n">
        <f aca="false">SUMIFS('مبيعات يومية'!$D$2:$D$14001,'مبيعات يومية'!$C$2:$C$14001,$A106,'مبيعات يومية'!$B$2:$B$14001,'إعدادات المخزون'!$A$16,'مبيعات يومية'!$A$2:$A$14001,"&gt;"&amp;('إعدادات المخزون'!$B$4-'إعدادات المخزون'!$B$11),'مبيعات يومية'!$A$2:$A$14001,"&lt;="&amp;'إعدادات المخزون'!$B$4)</f>
        <v>0</v>
      </c>
      <c r="H106" s="118" t="n">
        <f aca="false">SUMIFS('مبيعات يومية'!$D$2:$D$14001,'مبيعات يومية'!$C$2:$C$14001,$A106,'مبيعات يومية'!$B$2:$B$14001,'إعدادات المخزون'!$A$17,'مبيعات يومية'!$A$2:$A$14001,'إعدادات المخزون'!$B$4)</f>
        <v>0</v>
      </c>
      <c r="I106" s="118" t="n">
        <f aca="false">SUMIFS('مبيعات يومية'!$D$2:$D$14001,'مبيعات يومية'!$C$2:$C$14001,$A106,'مبيعات يومية'!$B$2:$B$14001,'إعدادات المخزون'!$A$17,'مبيعات يومية'!$A$2:$A$14001,"&gt;="&amp;'إعدادات المخزون'!$B$5,'مبيعات يومية'!$A$2:$A$14001,"&lt;="&amp;'إعدادات المخزون'!$B$4)</f>
        <v>0</v>
      </c>
      <c r="J106" s="118" t="n">
        <f aca="false">SUMIFS('مبيعات يومية'!$D$2:$D$14001,'مبيعات يومية'!$C$2:$C$14001,$A106,'مبيعات يومية'!$B$2:$B$14001,'إعدادات المخزون'!$A$17,'مبيعات يومية'!$A$2:$A$14001,"&gt;"&amp;('إعدادات المخزون'!$B$4-'إعدادات المخزون'!$B$11),'مبيعات يومية'!$A$2:$A$14001,"&lt;="&amp;'إعدادات المخزون'!$B$4)</f>
        <v>0</v>
      </c>
    </row>
    <row r="107" customFormat="false" ht="15" hidden="false" customHeight="false" outlineLevel="0" collapsed="false">
      <c r="A107" s="116" t="str">
        <f aca="false">المنيو!B107</f>
        <v>فطيرة جمبري صيامي وسط</v>
      </c>
      <c r="B107" s="118" t="n">
        <f aca="false">SUMIFS('مبيعات يومية'!$D$2:$D$14001,'مبيعات يومية'!$C$2:$C$14001,$A107,'مبيعات يومية'!$B$2:$B$14001,'إعدادات المخزون'!$A$15,'مبيعات يومية'!$A$2:$A$14001,'إعدادات المخزون'!$B$4)</f>
        <v>0</v>
      </c>
      <c r="C107" s="118" t="n">
        <f aca="false">SUMIFS('مبيعات يومية'!$D$2:$D$14001,'مبيعات يومية'!$C$2:$C$14001,$A107,'مبيعات يومية'!$B$2:$B$14001,'إعدادات المخزون'!$A$15,'مبيعات يومية'!$A$2:$A$14001,"&gt;="&amp;'إعدادات المخزون'!$B$5,'مبيعات يومية'!$A$2:$A$14001,"&lt;="&amp;'إعدادات المخزون'!$B$4)</f>
        <v>0</v>
      </c>
      <c r="D107" s="118" t="n">
        <f aca="false">SUMIFS('مبيعات يومية'!$D$2:$D$14001,'مبيعات يومية'!$C$2:$C$14001,$A107,'مبيعات يومية'!$B$2:$B$14001,'إعدادات المخزون'!$A$15,'مبيعات يومية'!$A$2:$A$14001,"&gt;"&amp;('إعدادات المخزون'!$B$4-'إعدادات المخزون'!$B$11),'مبيعات يومية'!$A$2:$A$14001,"&lt;="&amp;'إعدادات المخزون'!$B$4)</f>
        <v>0</v>
      </c>
      <c r="E107" s="118" t="n">
        <f aca="false">SUMIFS('مبيعات يومية'!$D$2:$D$14001,'مبيعات يومية'!$C$2:$C$14001,$A107,'مبيعات يومية'!$B$2:$B$14001,'إعدادات المخزون'!$A$16,'مبيعات يومية'!$A$2:$A$14001,'إعدادات المخزون'!$B$4)</f>
        <v>0</v>
      </c>
      <c r="F107" s="118" t="n">
        <f aca="false">SUMIFS('مبيعات يومية'!$D$2:$D$14001,'مبيعات يومية'!$C$2:$C$14001,$A107,'مبيعات يومية'!$B$2:$B$14001,'إعدادات المخزون'!$A$16,'مبيعات يومية'!$A$2:$A$14001,"&gt;="&amp;'إعدادات المخزون'!$B$5,'مبيعات يومية'!$A$2:$A$14001,"&lt;="&amp;'إعدادات المخزون'!$B$4)</f>
        <v>0</v>
      </c>
      <c r="G107" s="118" t="n">
        <f aca="false">SUMIFS('مبيعات يومية'!$D$2:$D$14001,'مبيعات يومية'!$C$2:$C$14001,$A107,'مبيعات يومية'!$B$2:$B$14001,'إعدادات المخزون'!$A$16,'مبيعات يومية'!$A$2:$A$14001,"&gt;"&amp;('إعدادات المخزون'!$B$4-'إعدادات المخزون'!$B$11),'مبيعات يومية'!$A$2:$A$14001,"&lt;="&amp;'إعدادات المخزون'!$B$4)</f>
        <v>0</v>
      </c>
      <c r="H107" s="118" t="n">
        <f aca="false">SUMIFS('مبيعات يومية'!$D$2:$D$14001,'مبيعات يومية'!$C$2:$C$14001,$A107,'مبيعات يومية'!$B$2:$B$14001,'إعدادات المخزون'!$A$17,'مبيعات يومية'!$A$2:$A$14001,'إعدادات المخزون'!$B$4)</f>
        <v>0</v>
      </c>
      <c r="I107" s="118" t="n">
        <f aca="false">SUMIFS('مبيعات يومية'!$D$2:$D$14001,'مبيعات يومية'!$C$2:$C$14001,$A107,'مبيعات يومية'!$B$2:$B$14001,'إعدادات المخزون'!$A$17,'مبيعات يومية'!$A$2:$A$14001,"&gt;="&amp;'إعدادات المخزون'!$B$5,'مبيعات يومية'!$A$2:$A$14001,"&lt;="&amp;'إعدادات المخزون'!$B$4)</f>
        <v>0</v>
      </c>
      <c r="J107" s="118" t="n">
        <f aca="false">SUMIFS('مبيعات يومية'!$D$2:$D$14001,'مبيعات يومية'!$C$2:$C$14001,$A107,'مبيعات يومية'!$B$2:$B$14001,'إعدادات المخزون'!$A$17,'مبيعات يومية'!$A$2:$A$14001,"&gt;"&amp;('إعدادات المخزون'!$B$4-'إعدادات المخزون'!$B$11),'مبيعات يومية'!$A$2:$A$14001,"&lt;="&amp;'إعدادات المخزون'!$B$4)</f>
        <v>0</v>
      </c>
    </row>
    <row r="108" customFormat="false" ht="15" hidden="false" customHeight="false" outlineLevel="0" collapsed="false">
      <c r="A108" s="116" t="str">
        <f aca="false">المنيو!B108</f>
        <v>فطيرة جمبري صيامي مخصوص</v>
      </c>
      <c r="B108" s="118" t="n">
        <f aca="false">SUMIFS('مبيعات يومية'!$D$2:$D$14001,'مبيعات يومية'!$C$2:$C$14001,$A108,'مبيعات يومية'!$B$2:$B$14001,'إعدادات المخزون'!$A$15,'مبيعات يومية'!$A$2:$A$14001,'إعدادات المخزون'!$B$4)</f>
        <v>0</v>
      </c>
      <c r="C108" s="118" t="n">
        <f aca="false">SUMIFS('مبيعات يومية'!$D$2:$D$14001,'مبيعات يومية'!$C$2:$C$14001,$A108,'مبيعات يومية'!$B$2:$B$14001,'إعدادات المخزون'!$A$15,'مبيعات يومية'!$A$2:$A$14001,"&gt;="&amp;'إعدادات المخزون'!$B$5,'مبيعات يومية'!$A$2:$A$14001,"&lt;="&amp;'إعدادات المخزون'!$B$4)</f>
        <v>0</v>
      </c>
      <c r="D108" s="118" t="n">
        <f aca="false">SUMIFS('مبيعات يومية'!$D$2:$D$14001,'مبيعات يومية'!$C$2:$C$14001,$A108,'مبيعات يومية'!$B$2:$B$14001,'إعدادات المخزون'!$A$15,'مبيعات يومية'!$A$2:$A$14001,"&gt;"&amp;('إعدادات المخزون'!$B$4-'إعدادات المخزون'!$B$11),'مبيعات يومية'!$A$2:$A$14001,"&lt;="&amp;'إعدادات المخزون'!$B$4)</f>
        <v>0</v>
      </c>
      <c r="E108" s="118" t="n">
        <f aca="false">SUMIFS('مبيعات يومية'!$D$2:$D$14001,'مبيعات يومية'!$C$2:$C$14001,$A108,'مبيعات يومية'!$B$2:$B$14001,'إعدادات المخزون'!$A$16,'مبيعات يومية'!$A$2:$A$14001,'إعدادات المخزون'!$B$4)</f>
        <v>0</v>
      </c>
      <c r="F108" s="118" t="n">
        <f aca="false">SUMIFS('مبيعات يومية'!$D$2:$D$14001,'مبيعات يومية'!$C$2:$C$14001,$A108,'مبيعات يومية'!$B$2:$B$14001,'إعدادات المخزون'!$A$16,'مبيعات يومية'!$A$2:$A$14001,"&gt;="&amp;'إعدادات المخزون'!$B$5,'مبيعات يومية'!$A$2:$A$14001,"&lt;="&amp;'إعدادات المخزون'!$B$4)</f>
        <v>0</v>
      </c>
      <c r="G108" s="118" t="n">
        <f aca="false">SUMIFS('مبيعات يومية'!$D$2:$D$14001,'مبيعات يومية'!$C$2:$C$14001,$A108,'مبيعات يومية'!$B$2:$B$14001,'إعدادات المخزون'!$A$16,'مبيعات يومية'!$A$2:$A$14001,"&gt;"&amp;('إعدادات المخزون'!$B$4-'إعدادات المخزون'!$B$11),'مبيعات يومية'!$A$2:$A$14001,"&lt;="&amp;'إعدادات المخزون'!$B$4)</f>
        <v>0</v>
      </c>
      <c r="H108" s="118" t="n">
        <f aca="false">SUMIFS('مبيعات يومية'!$D$2:$D$14001,'مبيعات يومية'!$C$2:$C$14001,$A108,'مبيعات يومية'!$B$2:$B$14001,'إعدادات المخزون'!$A$17,'مبيعات يومية'!$A$2:$A$14001,'إعدادات المخزون'!$B$4)</f>
        <v>0</v>
      </c>
      <c r="I108" s="118" t="n">
        <f aca="false">SUMIFS('مبيعات يومية'!$D$2:$D$14001,'مبيعات يومية'!$C$2:$C$14001,$A108,'مبيعات يومية'!$B$2:$B$14001,'إعدادات المخزون'!$A$17,'مبيعات يومية'!$A$2:$A$14001,"&gt;="&amp;'إعدادات المخزون'!$B$5,'مبيعات يومية'!$A$2:$A$14001,"&lt;="&amp;'إعدادات المخزون'!$B$4)</f>
        <v>0</v>
      </c>
      <c r="J108" s="118" t="n">
        <f aca="false">SUMIFS('مبيعات يومية'!$D$2:$D$14001,'مبيعات يومية'!$C$2:$C$14001,$A108,'مبيعات يومية'!$B$2:$B$14001,'إعدادات المخزون'!$A$17,'مبيعات يومية'!$A$2:$A$14001,"&gt;"&amp;('إعدادات المخزون'!$B$4-'إعدادات المخزون'!$B$11),'مبيعات يومية'!$A$2:$A$14001,"&lt;="&amp;'إعدادات المخزون'!$B$4)</f>
        <v>0</v>
      </c>
    </row>
    <row r="109" customFormat="false" ht="15" hidden="false" customHeight="false" outlineLevel="0" collapsed="false">
      <c r="A109" s="116" t="str">
        <f aca="false">المنيو!B109</f>
        <v>فطيرة تونة صيامي وسط</v>
      </c>
      <c r="B109" s="118" t="n">
        <f aca="false">SUMIFS('مبيعات يومية'!$D$2:$D$14001,'مبيعات يومية'!$C$2:$C$14001,$A109,'مبيعات يومية'!$B$2:$B$14001,'إعدادات المخزون'!$A$15,'مبيعات يومية'!$A$2:$A$14001,'إعدادات المخزون'!$B$4)</f>
        <v>0</v>
      </c>
      <c r="C109" s="118" t="n">
        <f aca="false">SUMIFS('مبيعات يومية'!$D$2:$D$14001,'مبيعات يومية'!$C$2:$C$14001,$A109,'مبيعات يومية'!$B$2:$B$14001,'إعدادات المخزون'!$A$15,'مبيعات يومية'!$A$2:$A$14001,"&gt;="&amp;'إعدادات المخزون'!$B$5,'مبيعات يومية'!$A$2:$A$14001,"&lt;="&amp;'إعدادات المخزون'!$B$4)</f>
        <v>0</v>
      </c>
      <c r="D109" s="118" t="n">
        <f aca="false">SUMIFS('مبيعات يومية'!$D$2:$D$14001,'مبيعات يومية'!$C$2:$C$14001,$A109,'مبيعات يومية'!$B$2:$B$14001,'إعدادات المخزون'!$A$15,'مبيعات يومية'!$A$2:$A$14001,"&gt;"&amp;('إعدادات المخزون'!$B$4-'إعدادات المخزون'!$B$11),'مبيعات يومية'!$A$2:$A$14001,"&lt;="&amp;'إعدادات المخزون'!$B$4)</f>
        <v>0</v>
      </c>
      <c r="E109" s="118" t="n">
        <f aca="false">SUMIFS('مبيعات يومية'!$D$2:$D$14001,'مبيعات يومية'!$C$2:$C$14001,$A109,'مبيعات يومية'!$B$2:$B$14001,'إعدادات المخزون'!$A$16,'مبيعات يومية'!$A$2:$A$14001,'إعدادات المخزون'!$B$4)</f>
        <v>0</v>
      </c>
      <c r="F109" s="118" t="n">
        <f aca="false">SUMIFS('مبيعات يومية'!$D$2:$D$14001,'مبيعات يومية'!$C$2:$C$14001,$A109,'مبيعات يومية'!$B$2:$B$14001,'إعدادات المخزون'!$A$16,'مبيعات يومية'!$A$2:$A$14001,"&gt;="&amp;'إعدادات المخزون'!$B$5,'مبيعات يومية'!$A$2:$A$14001,"&lt;="&amp;'إعدادات المخزون'!$B$4)</f>
        <v>0</v>
      </c>
      <c r="G109" s="118" t="n">
        <f aca="false">SUMIFS('مبيعات يومية'!$D$2:$D$14001,'مبيعات يومية'!$C$2:$C$14001,$A109,'مبيعات يومية'!$B$2:$B$14001,'إعدادات المخزون'!$A$16,'مبيعات يومية'!$A$2:$A$14001,"&gt;"&amp;('إعدادات المخزون'!$B$4-'إعدادات المخزون'!$B$11),'مبيعات يومية'!$A$2:$A$14001,"&lt;="&amp;'إعدادات المخزون'!$B$4)</f>
        <v>0</v>
      </c>
      <c r="H109" s="118" t="n">
        <f aca="false">SUMIFS('مبيعات يومية'!$D$2:$D$14001,'مبيعات يومية'!$C$2:$C$14001,$A109,'مبيعات يومية'!$B$2:$B$14001,'إعدادات المخزون'!$A$17,'مبيعات يومية'!$A$2:$A$14001,'إعدادات المخزون'!$B$4)</f>
        <v>0</v>
      </c>
      <c r="I109" s="118" t="n">
        <f aca="false">SUMIFS('مبيعات يومية'!$D$2:$D$14001,'مبيعات يومية'!$C$2:$C$14001,$A109,'مبيعات يومية'!$B$2:$B$14001,'إعدادات المخزون'!$A$17,'مبيعات يومية'!$A$2:$A$14001,"&gt;="&amp;'إعدادات المخزون'!$B$5,'مبيعات يومية'!$A$2:$A$14001,"&lt;="&amp;'إعدادات المخزون'!$B$4)</f>
        <v>0</v>
      </c>
      <c r="J109" s="118" t="n">
        <f aca="false">SUMIFS('مبيعات يومية'!$D$2:$D$14001,'مبيعات يومية'!$C$2:$C$14001,$A109,'مبيعات يومية'!$B$2:$B$14001,'إعدادات المخزون'!$A$17,'مبيعات يومية'!$A$2:$A$14001,"&gt;"&amp;('إعدادات المخزون'!$B$4-'إعدادات المخزون'!$B$11),'مبيعات يومية'!$A$2:$A$14001,"&lt;="&amp;'إعدادات المخزون'!$B$4)</f>
        <v>0</v>
      </c>
    </row>
    <row r="110" customFormat="false" ht="15" hidden="false" customHeight="false" outlineLevel="0" collapsed="false">
      <c r="A110" s="116" t="str">
        <f aca="false">المنيو!B110</f>
        <v>فطيرة تونة صيامي مخصوص</v>
      </c>
      <c r="B110" s="118" t="n">
        <f aca="false">SUMIFS('مبيعات يومية'!$D$2:$D$14001,'مبيعات يومية'!$C$2:$C$14001,$A110,'مبيعات يومية'!$B$2:$B$14001,'إعدادات المخزون'!$A$15,'مبيعات يومية'!$A$2:$A$14001,'إعدادات المخزون'!$B$4)</f>
        <v>0</v>
      </c>
      <c r="C110" s="118" t="n">
        <f aca="false">SUMIFS('مبيعات يومية'!$D$2:$D$14001,'مبيعات يومية'!$C$2:$C$14001,$A110,'مبيعات يومية'!$B$2:$B$14001,'إعدادات المخزون'!$A$15,'مبيعات يومية'!$A$2:$A$14001,"&gt;="&amp;'إعدادات المخزون'!$B$5,'مبيعات يومية'!$A$2:$A$14001,"&lt;="&amp;'إعدادات المخزون'!$B$4)</f>
        <v>0</v>
      </c>
      <c r="D110" s="118" t="n">
        <f aca="false">SUMIFS('مبيعات يومية'!$D$2:$D$14001,'مبيعات يومية'!$C$2:$C$14001,$A110,'مبيعات يومية'!$B$2:$B$14001,'إعدادات المخزون'!$A$15,'مبيعات يومية'!$A$2:$A$14001,"&gt;"&amp;('إعدادات المخزون'!$B$4-'إعدادات المخزون'!$B$11),'مبيعات يومية'!$A$2:$A$14001,"&lt;="&amp;'إعدادات المخزون'!$B$4)</f>
        <v>0</v>
      </c>
      <c r="E110" s="118" t="n">
        <f aca="false">SUMIFS('مبيعات يومية'!$D$2:$D$14001,'مبيعات يومية'!$C$2:$C$14001,$A110,'مبيعات يومية'!$B$2:$B$14001,'إعدادات المخزون'!$A$16,'مبيعات يومية'!$A$2:$A$14001,'إعدادات المخزون'!$B$4)</f>
        <v>0.0833</v>
      </c>
      <c r="F110" s="118" t="n">
        <f aca="false">SUMIFS('مبيعات يومية'!$D$2:$D$14001,'مبيعات يومية'!$C$2:$C$14001,$A110,'مبيعات يومية'!$B$2:$B$14001,'إعدادات المخزون'!$A$16,'مبيعات يومية'!$A$2:$A$14001,"&gt;="&amp;'إعدادات المخزون'!$B$5,'مبيعات يومية'!$A$2:$A$14001,"&lt;="&amp;'إعدادات المخزون'!$B$4)</f>
        <v>0.9996</v>
      </c>
      <c r="G110" s="118" t="n">
        <f aca="false">SUMIFS('مبيعات يومية'!$D$2:$D$14001,'مبيعات يومية'!$C$2:$C$14001,$A110,'مبيعات يومية'!$B$2:$B$14001,'إعدادات المخزون'!$A$16,'مبيعات يومية'!$A$2:$A$14001,"&gt;"&amp;('إعدادات المخزون'!$B$4-'إعدادات المخزون'!$B$11),'مبيعات يومية'!$A$2:$A$14001,"&lt;="&amp;'إعدادات المخزون'!$B$4)</f>
        <v>0.5831</v>
      </c>
      <c r="H110" s="118" t="n">
        <f aca="false">SUMIFS('مبيعات يومية'!$D$2:$D$14001,'مبيعات يومية'!$C$2:$C$14001,$A110,'مبيعات يومية'!$B$2:$B$14001,'إعدادات المخزون'!$A$17,'مبيعات يومية'!$A$2:$A$14001,'إعدادات المخزون'!$B$4)</f>
        <v>0</v>
      </c>
      <c r="I110" s="118" t="n">
        <f aca="false">SUMIFS('مبيعات يومية'!$D$2:$D$14001,'مبيعات يومية'!$C$2:$C$14001,$A110,'مبيعات يومية'!$B$2:$B$14001,'إعدادات المخزون'!$A$17,'مبيعات يومية'!$A$2:$A$14001,"&gt;="&amp;'إعدادات المخزون'!$B$5,'مبيعات يومية'!$A$2:$A$14001,"&lt;="&amp;'إعدادات المخزون'!$B$4)</f>
        <v>0</v>
      </c>
      <c r="J110" s="118" t="n">
        <f aca="false">SUMIFS('مبيعات يومية'!$D$2:$D$14001,'مبيعات يومية'!$C$2:$C$14001,$A110,'مبيعات يومية'!$B$2:$B$14001,'إعدادات المخزون'!$A$17,'مبيعات يومية'!$A$2:$A$14001,"&gt;"&amp;('إعدادات المخزون'!$B$4-'إعدادات المخزون'!$B$11),'مبيعات يومية'!$A$2:$A$14001,"&lt;="&amp;'إعدادات المخزون'!$B$4)</f>
        <v>0</v>
      </c>
    </row>
    <row r="111" customFormat="false" ht="15" hidden="false" customHeight="false" outlineLevel="0" collapsed="false">
      <c r="A111" s="116" t="str">
        <f aca="false">المنيو!B111</f>
        <v>فطيرة سكر / كاستر صيامي</v>
      </c>
      <c r="B111" s="118" t="n">
        <f aca="false">SUMIFS('مبيعات يومية'!$D$2:$D$14001,'مبيعات يومية'!$C$2:$C$14001,$A111,'مبيعات يومية'!$B$2:$B$14001,'إعدادات المخزون'!$A$15,'مبيعات يومية'!$A$2:$A$14001,'إعدادات المخزون'!$B$4)</f>
        <v>0</v>
      </c>
      <c r="C111" s="118" t="n">
        <f aca="false">SUMIFS('مبيعات يومية'!$D$2:$D$14001,'مبيعات يومية'!$C$2:$C$14001,$A111,'مبيعات يومية'!$B$2:$B$14001,'إعدادات المخزون'!$A$15,'مبيعات يومية'!$A$2:$A$14001,"&gt;="&amp;'إعدادات المخزون'!$B$5,'مبيعات يومية'!$A$2:$A$14001,"&lt;="&amp;'إعدادات المخزون'!$B$4)</f>
        <v>0</v>
      </c>
      <c r="D111" s="118" t="n">
        <f aca="false">SUMIFS('مبيعات يومية'!$D$2:$D$14001,'مبيعات يومية'!$C$2:$C$14001,$A111,'مبيعات يومية'!$B$2:$B$14001,'إعدادات المخزون'!$A$15,'مبيعات يومية'!$A$2:$A$14001,"&gt;"&amp;('إعدادات المخزون'!$B$4-'إعدادات المخزون'!$B$11),'مبيعات يومية'!$A$2:$A$14001,"&lt;="&amp;'إعدادات المخزون'!$B$4)</f>
        <v>0</v>
      </c>
      <c r="E111" s="118" t="n">
        <f aca="false">SUMIFS('مبيعات يومية'!$D$2:$D$14001,'مبيعات يومية'!$C$2:$C$14001,$A111,'مبيعات يومية'!$B$2:$B$14001,'إعدادات المخزون'!$A$16,'مبيعات يومية'!$A$2:$A$14001,'إعدادات المخزون'!$B$4)</f>
        <v>0</v>
      </c>
      <c r="F111" s="118" t="n">
        <f aca="false">SUMIFS('مبيعات يومية'!$D$2:$D$14001,'مبيعات يومية'!$C$2:$C$14001,$A111,'مبيعات يومية'!$B$2:$B$14001,'إعدادات المخزون'!$A$16,'مبيعات يومية'!$A$2:$A$14001,"&gt;="&amp;'إعدادات المخزون'!$B$5,'مبيعات يومية'!$A$2:$A$14001,"&lt;="&amp;'إعدادات المخزون'!$B$4)</f>
        <v>0</v>
      </c>
      <c r="G111" s="118" t="n">
        <f aca="false">SUMIFS('مبيعات يومية'!$D$2:$D$14001,'مبيعات يومية'!$C$2:$C$14001,$A111,'مبيعات يومية'!$B$2:$B$14001,'إعدادات المخزون'!$A$16,'مبيعات يومية'!$A$2:$A$14001,"&gt;"&amp;('إعدادات المخزون'!$B$4-'إعدادات المخزون'!$B$11),'مبيعات يومية'!$A$2:$A$14001,"&lt;="&amp;'إعدادات المخزون'!$B$4)</f>
        <v>0</v>
      </c>
      <c r="H111" s="118" t="n">
        <f aca="false">SUMIFS('مبيعات يومية'!$D$2:$D$14001,'مبيعات يومية'!$C$2:$C$14001,$A111,'مبيعات يومية'!$B$2:$B$14001,'إعدادات المخزون'!$A$17,'مبيعات يومية'!$A$2:$A$14001,'إعدادات المخزون'!$B$4)</f>
        <v>0.0833</v>
      </c>
      <c r="I111" s="118" t="n">
        <f aca="false">SUMIFS('مبيعات يومية'!$D$2:$D$14001,'مبيعات يومية'!$C$2:$C$14001,$A111,'مبيعات يومية'!$B$2:$B$14001,'إعدادات المخزون'!$A$17,'مبيعات يومية'!$A$2:$A$14001,"&gt;="&amp;'إعدادات المخزون'!$B$5,'مبيعات يومية'!$A$2:$A$14001,"&lt;="&amp;'إعدادات المخزون'!$B$4)</f>
        <v>0.9996</v>
      </c>
      <c r="J111" s="118" t="n">
        <f aca="false">SUMIFS('مبيعات يومية'!$D$2:$D$14001,'مبيعات يومية'!$C$2:$C$14001,$A111,'مبيعات يومية'!$B$2:$B$14001,'إعدادات المخزون'!$A$17,'مبيعات يومية'!$A$2:$A$14001,"&gt;"&amp;('إعدادات المخزون'!$B$4-'إعدادات المخزون'!$B$11),'مبيعات يومية'!$A$2:$A$14001,"&lt;="&amp;'إعدادات المخزون'!$B$4)</f>
        <v>0.5831</v>
      </c>
    </row>
    <row r="112" customFormat="false" ht="15" hidden="false" customHeight="false" outlineLevel="0" collapsed="false">
      <c r="A112" s="116" t="str">
        <f aca="false">المنيو!B112</f>
        <v>فطيرة ملوكي زبيب وجوزهند صيامي</v>
      </c>
      <c r="B112" s="118" t="n">
        <f aca="false">SUMIFS('مبيعات يومية'!$D$2:$D$14001,'مبيعات يومية'!$C$2:$C$14001,$A112,'مبيعات يومية'!$B$2:$B$14001,'إعدادات المخزون'!$A$15,'مبيعات يومية'!$A$2:$A$14001,'إعدادات المخزون'!$B$4)</f>
        <v>0</v>
      </c>
      <c r="C112" s="118" t="n">
        <f aca="false">SUMIFS('مبيعات يومية'!$D$2:$D$14001,'مبيعات يومية'!$C$2:$C$14001,$A112,'مبيعات يومية'!$B$2:$B$14001,'إعدادات المخزون'!$A$15,'مبيعات يومية'!$A$2:$A$14001,"&gt;="&amp;'إعدادات المخزون'!$B$5,'مبيعات يومية'!$A$2:$A$14001,"&lt;="&amp;'إعدادات المخزون'!$B$4)</f>
        <v>0</v>
      </c>
      <c r="D112" s="118" t="n">
        <f aca="false">SUMIFS('مبيعات يومية'!$D$2:$D$14001,'مبيعات يومية'!$C$2:$C$14001,$A112,'مبيعات يومية'!$B$2:$B$14001,'إعدادات المخزون'!$A$15,'مبيعات يومية'!$A$2:$A$14001,"&gt;"&amp;('إعدادات المخزون'!$B$4-'إعدادات المخزون'!$B$11),'مبيعات يومية'!$A$2:$A$14001,"&lt;="&amp;'إعدادات المخزون'!$B$4)</f>
        <v>0</v>
      </c>
      <c r="E112" s="118" t="n">
        <f aca="false">SUMIFS('مبيعات يومية'!$D$2:$D$14001,'مبيعات يومية'!$C$2:$C$14001,$A112,'مبيعات يومية'!$B$2:$B$14001,'إعدادات المخزون'!$A$16,'مبيعات يومية'!$A$2:$A$14001,'إعدادات المخزون'!$B$4)</f>
        <v>0</v>
      </c>
      <c r="F112" s="118" t="n">
        <f aca="false">SUMIFS('مبيعات يومية'!$D$2:$D$14001,'مبيعات يومية'!$C$2:$C$14001,$A112,'مبيعات يومية'!$B$2:$B$14001,'إعدادات المخزون'!$A$16,'مبيعات يومية'!$A$2:$A$14001,"&gt;="&amp;'إعدادات المخزون'!$B$5,'مبيعات يومية'!$A$2:$A$14001,"&lt;="&amp;'إعدادات المخزون'!$B$4)</f>
        <v>0</v>
      </c>
      <c r="G112" s="118" t="n">
        <f aca="false">SUMIFS('مبيعات يومية'!$D$2:$D$14001,'مبيعات يومية'!$C$2:$C$14001,$A112,'مبيعات يومية'!$B$2:$B$14001,'إعدادات المخزون'!$A$16,'مبيعات يومية'!$A$2:$A$14001,"&gt;"&amp;('إعدادات المخزون'!$B$4-'إعدادات المخزون'!$B$11),'مبيعات يومية'!$A$2:$A$14001,"&lt;="&amp;'إعدادات المخزون'!$B$4)</f>
        <v>0</v>
      </c>
      <c r="H112" s="118" t="n">
        <f aca="false">SUMIFS('مبيعات يومية'!$D$2:$D$14001,'مبيعات يومية'!$C$2:$C$14001,$A112,'مبيعات يومية'!$B$2:$B$14001,'إعدادات المخزون'!$A$17,'مبيعات يومية'!$A$2:$A$14001,'إعدادات المخزون'!$B$4)</f>
        <v>0</v>
      </c>
      <c r="I112" s="118" t="n">
        <f aca="false">SUMIFS('مبيعات يومية'!$D$2:$D$14001,'مبيعات يومية'!$C$2:$C$14001,$A112,'مبيعات يومية'!$B$2:$B$14001,'إعدادات المخزون'!$A$17,'مبيعات يومية'!$A$2:$A$14001,"&gt;="&amp;'إعدادات المخزون'!$B$5,'مبيعات يومية'!$A$2:$A$14001,"&lt;="&amp;'إعدادات المخزون'!$B$4)</f>
        <v>0</v>
      </c>
      <c r="J112" s="118" t="n">
        <f aca="false">SUMIFS('مبيعات يومية'!$D$2:$D$14001,'مبيعات يومية'!$C$2:$C$14001,$A112,'مبيعات يومية'!$B$2:$B$14001,'إعدادات المخزون'!$A$17,'مبيعات يومية'!$A$2:$A$14001,"&gt;"&amp;('إعدادات المخزون'!$B$4-'إعدادات المخزون'!$B$11),'مبيعات يومية'!$A$2:$A$14001,"&lt;="&amp;'إعدادات المخزون'!$B$4)</f>
        <v>0</v>
      </c>
    </row>
    <row r="113" customFormat="false" ht="15" hidden="false" customHeight="false" outlineLevel="0" collapsed="false">
      <c r="A113" s="116" t="str">
        <f aca="false">المنيو!B113</f>
        <v>فطيرة شيكولاتة صيامي</v>
      </c>
      <c r="B113" s="118" t="n">
        <f aca="false">SUMIFS('مبيعات يومية'!$D$2:$D$14001,'مبيعات يومية'!$C$2:$C$14001,$A113,'مبيعات يومية'!$B$2:$B$14001,'إعدادات المخزون'!$A$15,'مبيعات يومية'!$A$2:$A$14001,'إعدادات المخزون'!$B$4)</f>
        <v>0.0833</v>
      </c>
      <c r="C113" s="118" t="n">
        <f aca="false">SUMIFS('مبيعات يومية'!$D$2:$D$14001,'مبيعات يومية'!$C$2:$C$14001,$A113,'مبيعات يومية'!$B$2:$B$14001,'إعدادات المخزون'!$A$15,'مبيعات يومية'!$A$2:$A$14001,"&gt;="&amp;'إعدادات المخزون'!$B$5,'مبيعات يومية'!$A$2:$A$14001,"&lt;="&amp;'إعدادات المخزون'!$B$4)</f>
        <v>0.9996</v>
      </c>
      <c r="D113" s="118" t="n">
        <f aca="false">SUMIFS('مبيعات يومية'!$D$2:$D$14001,'مبيعات يومية'!$C$2:$C$14001,$A113,'مبيعات يومية'!$B$2:$B$14001,'إعدادات المخزون'!$A$15,'مبيعات يومية'!$A$2:$A$14001,"&gt;"&amp;('إعدادات المخزون'!$B$4-'إعدادات المخزون'!$B$11),'مبيعات يومية'!$A$2:$A$14001,"&lt;="&amp;'إعدادات المخزون'!$B$4)</f>
        <v>0.5831</v>
      </c>
      <c r="E113" s="118" t="n">
        <f aca="false">SUMIFS('مبيعات يومية'!$D$2:$D$14001,'مبيعات يومية'!$C$2:$C$14001,$A113,'مبيعات يومية'!$B$2:$B$14001,'إعدادات المخزون'!$A$16,'مبيعات يومية'!$A$2:$A$14001,'إعدادات المخزون'!$B$4)</f>
        <v>0</v>
      </c>
      <c r="F113" s="118" t="n">
        <f aca="false">SUMIFS('مبيعات يومية'!$D$2:$D$14001,'مبيعات يومية'!$C$2:$C$14001,$A113,'مبيعات يومية'!$B$2:$B$14001,'إعدادات المخزون'!$A$16,'مبيعات يومية'!$A$2:$A$14001,"&gt;="&amp;'إعدادات المخزون'!$B$5,'مبيعات يومية'!$A$2:$A$14001,"&lt;="&amp;'إعدادات المخزون'!$B$4)</f>
        <v>0</v>
      </c>
      <c r="G113" s="118" t="n">
        <f aca="false">SUMIFS('مبيعات يومية'!$D$2:$D$14001,'مبيعات يومية'!$C$2:$C$14001,$A113,'مبيعات يومية'!$B$2:$B$14001,'إعدادات المخزون'!$A$16,'مبيعات يومية'!$A$2:$A$14001,"&gt;"&amp;('إعدادات المخزون'!$B$4-'إعدادات المخزون'!$B$11),'مبيعات يومية'!$A$2:$A$14001,"&lt;="&amp;'إعدادات المخزون'!$B$4)</f>
        <v>0</v>
      </c>
      <c r="H113" s="118" t="n">
        <f aca="false">SUMIFS('مبيعات يومية'!$D$2:$D$14001,'مبيعات يومية'!$C$2:$C$14001,$A113,'مبيعات يومية'!$B$2:$B$14001,'إعدادات المخزون'!$A$17,'مبيعات يومية'!$A$2:$A$14001,'إعدادات المخزون'!$B$4)</f>
        <v>0</v>
      </c>
      <c r="I113" s="118" t="n">
        <f aca="false">SUMIFS('مبيعات يومية'!$D$2:$D$14001,'مبيعات يومية'!$C$2:$C$14001,$A113,'مبيعات يومية'!$B$2:$B$14001,'إعدادات المخزون'!$A$17,'مبيعات يومية'!$A$2:$A$14001,"&gt;="&amp;'إعدادات المخزون'!$B$5,'مبيعات يومية'!$A$2:$A$14001,"&lt;="&amp;'إعدادات المخزون'!$B$4)</f>
        <v>0</v>
      </c>
      <c r="J113" s="118" t="n">
        <f aca="false">SUMIFS('مبيعات يومية'!$D$2:$D$14001,'مبيعات يومية'!$C$2:$C$14001,$A113,'مبيعات يومية'!$B$2:$B$14001,'إعدادات المخزون'!$A$17,'مبيعات يومية'!$A$2:$A$14001,"&gt;"&amp;('إعدادات المخزون'!$B$4-'إعدادات المخزون'!$B$11),'مبيعات يومية'!$A$2:$A$14001,"&lt;="&amp;'إعدادات المخزون'!$B$4)</f>
        <v>0</v>
      </c>
    </row>
    <row r="114" customFormat="false" ht="15" hidden="false" customHeight="false" outlineLevel="0" collapsed="false">
      <c r="A114" s="116" t="str">
        <f aca="false">المنيو!B114</f>
        <v>فطيرة لوتس صيامي</v>
      </c>
      <c r="B114" s="118" t="n">
        <f aca="false">SUMIFS('مبيعات يومية'!$D$2:$D$14001,'مبيعات يومية'!$C$2:$C$14001,$A114,'مبيعات يومية'!$B$2:$B$14001,'إعدادات المخزون'!$A$15,'مبيعات يومية'!$A$2:$A$14001,'إعدادات المخزون'!$B$4)</f>
        <v>0</v>
      </c>
      <c r="C114" s="118" t="n">
        <f aca="false">SUMIFS('مبيعات يومية'!$D$2:$D$14001,'مبيعات يومية'!$C$2:$C$14001,$A114,'مبيعات يومية'!$B$2:$B$14001,'إعدادات المخزون'!$A$15,'مبيعات يومية'!$A$2:$A$14001,"&gt;="&amp;'إعدادات المخزون'!$B$5,'مبيعات يومية'!$A$2:$A$14001,"&lt;="&amp;'إعدادات المخزون'!$B$4)</f>
        <v>0</v>
      </c>
      <c r="D114" s="118" t="n">
        <f aca="false">SUMIFS('مبيعات يومية'!$D$2:$D$14001,'مبيعات يومية'!$C$2:$C$14001,$A114,'مبيعات يومية'!$B$2:$B$14001,'إعدادات المخزون'!$A$15,'مبيعات يومية'!$A$2:$A$14001,"&gt;"&amp;('إعدادات المخزون'!$B$4-'إعدادات المخزون'!$B$11),'مبيعات يومية'!$A$2:$A$14001,"&lt;="&amp;'إعدادات المخزون'!$B$4)</f>
        <v>0</v>
      </c>
      <c r="E114" s="118" t="n">
        <f aca="false">SUMIFS('مبيعات يومية'!$D$2:$D$14001,'مبيعات يومية'!$C$2:$C$14001,$A114,'مبيعات يومية'!$B$2:$B$14001,'إعدادات المخزون'!$A$16,'مبيعات يومية'!$A$2:$A$14001,'إعدادات المخزون'!$B$4)</f>
        <v>0</v>
      </c>
      <c r="F114" s="118" t="n">
        <f aca="false">SUMIFS('مبيعات يومية'!$D$2:$D$14001,'مبيعات يومية'!$C$2:$C$14001,$A114,'مبيعات يومية'!$B$2:$B$14001,'إعدادات المخزون'!$A$16,'مبيعات يومية'!$A$2:$A$14001,"&gt;="&amp;'إعدادات المخزون'!$B$5,'مبيعات يومية'!$A$2:$A$14001,"&lt;="&amp;'إعدادات المخزون'!$B$4)</f>
        <v>0</v>
      </c>
      <c r="G114" s="118" t="n">
        <f aca="false">SUMIFS('مبيعات يومية'!$D$2:$D$14001,'مبيعات يومية'!$C$2:$C$14001,$A114,'مبيعات يومية'!$B$2:$B$14001,'إعدادات المخزون'!$A$16,'مبيعات يومية'!$A$2:$A$14001,"&gt;"&amp;('إعدادات المخزون'!$B$4-'إعدادات المخزون'!$B$11),'مبيعات يومية'!$A$2:$A$14001,"&lt;="&amp;'إعدادات المخزون'!$B$4)</f>
        <v>0</v>
      </c>
      <c r="H114" s="118" t="n">
        <f aca="false">SUMIFS('مبيعات يومية'!$D$2:$D$14001,'مبيعات يومية'!$C$2:$C$14001,$A114,'مبيعات يومية'!$B$2:$B$14001,'إعدادات المخزون'!$A$17,'مبيعات يومية'!$A$2:$A$14001,'إعدادات المخزون'!$B$4)</f>
        <v>0</v>
      </c>
      <c r="I114" s="118" t="n">
        <f aca="false">SUMIFS('مبيعات يومية'!$D$2:$D$14001,'مبيعات يومية'!$C$2:$C$14001,$A114,'مبيعات يومية'!$B$2:$B$14001,'إعدادات المخزون'!$A$17,'مبيعات يومية'!$A$2:$A$14001,"&gt;="&amp;'إعدادات المخزون'!$B$5,'مبيعات يومية'!$A$2:$A$14001,"&lt;="&amp;'إعدادات المخزون'!$B$4)</f>
        <v>0</v>
      </c>
      <c r="J114" s="118" t="n">
        <f aca="false">SUMIFS('مبيعات يومية'!$D$2:$D$14001,'مبيعات يومية'!$C$2:$C$14001,$A114,'مبيعات يومية'!$B$2:$B$14001,'إعدادات المخزون'!$A$17,'مبيعات يومية'!$A$2:$A$14001,"&gt;"&amp;('إعدادات المخزون'!$B$4-'إعدادات المخزون'!$B$11),'مبيعات يومية'!$A$2:$A$14001,"&lt;="&amp;'إعدادات المخزون'!$B$4)</f>
        <v>0</v>
      </c>
    </row>
    <row r="115" customFormat="false" ht="15" hidden="false" customHeight="false" outlineLevel="0" collapsed="false">
      <c r="A115" s="116" t="str">
        <f aca="false">المنيو!B115</f>
        <v>قنبلة برجر صيامي</v>
      </c>
      <c r="B115" s="118" t="n">
        <f aca="false">SUMIFS('مبيعات يومية'!$D$2:$D$14001,'مبيعات يومية'!$C$2:$C$14001,$A115,'مبيعات يومية'!$B$2:$B$14001,'إعدادات المخزون'!$A$15,'مبيعات يومية'!$A$2:$A$14001,'إعدادات المخزون'!$B$4)</f>
        <v>0</v>
      </c>
      <c r="C115" s="118" t="n">
        <f aca="false">SUMIFS('مبيعات يومية'!$D$2:$D$14001,'مبيعات يومية'!$C$2:$C$14001,$A115,'مبيعات يومية'!$B$2:$B$14001,'إعدادات المخزون'!$A$15,'مبيعات يومية'!$A$2:$A$14001,"&gt;="&amp;'إعدادات المخزون'!$B$5,'مبيعات يومية'!$A$2:$A$14001,"&lt;="&amp;'إعدادات المخزون'!$B$4)</f>
        <v>0</v>
      </c>
      <c r="D115" s="118" t="n">
        <f aca="false">SUMIFS('مبيعات يومية'!$D$2:$D$14001,'مبيعات يومية'!$C$2:$C$14001,$A115,'مبيعات يومية'!$B$2:$B$14001,'إعدادات المخزون'!$A$15,'مبيعات يومية'!$A$2:$A$14001,"&gt;"&amp;('إعدادات المخزون'!$B$4-'إعدادات المخزون'!$B$11),'مبيعات يومية'!$A$2:$A$14001,"&lt;="&amp;'إعدادات المخزون'!$B$4)</f>
        <v>0</v>
      </c>
      <c r="E115" s="118" t="n">
        <f aca="false">SUMIFS('مبيعات يومية'!$D$2:$D$14001,'مبيعات يومية'!$C$2:$C$14001,$A115,'مبيعات يومية'!$B$2:$B$14001,'إعدادات المخزون'!$A$16,'مبيعات يومية'!$A$2:$A$14001,'إعدادات المخزون'!$B$4)</f>
        <v>0</v>
      </c>
      <c r="F115" s="118" t="n">
        <f aca="false">SUMIFS('مبيعات يومية'!$D$2:$D$14001,'مبيعات يومية'!$C$2:$C$14001,$A115,'مبيعات يومية'!$B$2:$B$14001,'إعدادات المخزون'!$A$16,'مبيعات يومية'!$A$2:$A$14001,"&gt;="&amp;'إعدادات المخزون'!$B$5,'مبيعات يومية'!$A$2:$A$14001,"&lt;="&amp;'إعدادات المخزون'!$B$4)</f>
        <v>0</v>
      </c>
      <c r="G115" s="118" t="n">
        <f aca="false">SUMIFS('مبيعات يومية'!$D$2:$D$14001,'مبيعات يومية'!$C$2:$C$14001,$A115,'مبيعات يومية'!$B$2:$B$14001,'إعدادات المخزون'!$A$16,'مبيعات يومية'!$A$2:$A$14001,"&gt;"&amp;('إعدادات المخزون'!$B$4-'إعدادات المخزون'!$B$11),'مبيعات يومية'!$A$2:$A$14001,"&lt;="&amp;'إعدادات المخزون'!$B$4)</f>
        <v>0</v>
      </c>
      <c r="H115" s="118" t="n">
        <f aca="false">SUMIFS('مبيعات يومية'!$D$2:$D$14001,'مبيعات يومية'!$C$2:$C$14001,$A115,'مبيعات يومية'!$B$2:$B$14001,'إعدادات المخزون'!$A$17,'مبيعات يومية'!$A$2:$A$14001,'إعدادات المخزون'!$B$4)</f>
        <v>0</v>
      </c>
      <c r="I115" s="118" t="n">
        <f aca="false">SUMIFS('مبيعات يومية'!$D$2:$D$14001,'مبيعات يومية'!$C$2:$C$14001,$A115,'مبيعات يومية'!$B$2:$B$14001,'إعدادات المخزون'!$A$17,'مبيعات يومية'!$A$2:$A$14001,"&gt;="&amp;'إعدادات المخزون'!$B$5,'مبيعات يومية'!$A$2:$A$14001,"&lt;="&amp;'إعدادات المخزون'!$B$4)</f>
        <v>0</v>
      </c>
      <c r="J115" s="118" t="n">
        <f aca="false">SUMIFS('مبيعات يومية'!$D$2:$D$14001,'مبيعات يومية'!$C$2:$C$14001,$A115,'مبيعات يومية'!$B$2:$B$14001,'إعدادات المخزون'!$A$17,'مبيعات يومية'!$A$2:$A$14001,"&gt;"&amp;('إعدادات المخزون'!$B$4-'إعدادات المخزون'!$B$11),'مبيعات يومية'!$A$2:$A$14001,"&lt;="&amp;'إعدادات المخزون'!$B$4)</f>
        <v>0</v>
      </c>
    </row>
    <row r="116" customFormat="false" ht="15" hidden="false" customHeight="false" outlineLevel="0" collapsed="false">
      <c r="A116" s="116" t="str">
        <f aca="false">المنيو!B116</f>
        <v>قنبلة كريسبي صيامي</v>
      </c>
      <c r="B116" s="118" t="n">
        <f aca="false">SUMIFS('مبيعات يومية'!$D$2:$D$14001,'مبيعات يومية'!$C$2:$C$14001,$A116,'مبيعات يومية'!$B$2:$B$14001,'إعدادات المخزون'!$A$15,'مبيعات يومية'!$A$2:$A$14001,'إعدادات المخزون'!$B$4)</f>
        <v>0</v>
      </c>
      <c r="C116" s="118" t="n">
        <f aca="false">SUMIFS('مبيعات يومية'!$D$2:$D$14001,'مبيعات يومية'!$C$2:$C$14001,$A116,'مبيعات يومية'!$B$2:$B$14001,'إعدادات المخزون'!$A$15,'مبيعات يومية'!$A$2:$A$14001,"&gt;="&amp;'إعدادات المخزون'!$B$5,'مبيعات يومية'!$A$2:$A$14001,"&lt;="&amp;'إعدادات المخزون'!$B$4)</f>
        <v>0</v>
      </c>
      <c r="D116" s="118" t="n">
        <f aca="false">SUMIFS('مبيعات يومية'!$D$2:$D$14001,'مبيعات يومية'!$C$2:$C$14001,$A116,'مبيعات يومية'!$B$2:$B$14001,'إعدادات المخزون'!$A$15,'مبيعات يومية'!$A$2:$A$14001,"&gt;"&amp;('إعدادات المخزون'!$B$4-'إعدادات المخزون'!$B$11),'مبيعات يومية'!$A$2:$A$14001,"&lt;="&amp;'إعدادات المخزون'!$B$4)</f>
        <v>0</v>
      </c>
      <c r="E116" s="118" t="n">
        <f aca="false">SUMIFS('مبيعات يومية'!$D$2:$D$14001,'مبيعات يومية'!$C$2:$C$14001,$A116,'مبيعات يومية'!$B$2:$B$14001,'إعدادات المخزون'!$A$16,'مبيعات يومية'!$A$2:$A$14001,'إعدادات المخزون'!$B$4)</f>
        <v>0</v>
      </c>
      <c r="F116" s="118" t="n">
        <f aca="false">SUMIFS('مبيعات يومية'!$D$2:$D$14001,'مبيعات يومية'!$C$2:$C$14001,$A116,'مبيعات يومية'!$B$2:$B$14001,'إعدادات المخزون'!$A$16,'مبيعات يومية'!$A$2:$A$14001,"&gt;="&amp;'إعدادات المخزون'!$B$5,'مبيعات يومية'!$A$2:$A$14001,"&lt;="&amp;'إعدادات المخزون'!$B$4)</f>
        <v>0</v>
      </c>
      <c r="G116" s="118" t="n">
        <f aca="false">SUMIFS('مبيعات يومية'!$D$2:$D$14001,'مبيعات يومية'!$C$2:$C$14001,$A116,'مبيعات يومية'!$B$2:$B$14001,'إعدادات المخزون'!$A$16,'مبيعات يومية'!$A$2:$A$14001,"&gt;"&amp;('إعدادات المخزون'!$B$4-'إعدادات المخزون'!$B$11),'مبيعات يومية'!$A$2:$A$14001,"&lt;="&amp;'إعدادات المخزون'!$B$4)</f>
        <v>0</v>
      </c>
      <c r="H116" s="118" t="n">
        <f aca="false">SUMIFS('مبيعات يومية'!$D$2:$D$14001,'مبيعات يومية'!$C$2:$C$14001,$A116,'مبيعات يومية'!$B$2:$B$14001,'إعدادات المخزون'!$A$17,'مبيعات يومية'!$A$2:$A$14001,'إعدادات المخزون'!$B$4)</f>
        <v>0</v>
      </c>
      <c r="I116" s="118" t="n">
        <f aca="false">SUMIFS('مبيعات يومية'!$D$2:$D$14001,'مبيعات يومية'!$C$2:$C$14001,$A116,'مبيعات يومية'!$B$2:$B$14001,'إعدادات المخزون'!$A$17,'مبيعات يومية'!$A$2:$A$14001,"&gt;="&amp;'إعدادات المخزون'!$B$5,'مبيعات يومية'!$A$2:$A$14001,"&lt;="&amp;'إعدادات المخزون'!$B$4)</f>
        <v>0</v>
      </c>
      <c r="J116" s="118" t="n">
        <f aca="false">SUMIFS('مبيعات يومية'!$D$2:$D$14001,'مبيعات يومية'!$C$2:$C$14001,$A116,'مبيعات يومية'!$B$2:$B$14001,'إعدادات المخزون'!$A$17,'مبيعات يومية'!$A$2:$A$14001,"&gt;"&amp;('إعدادات المخزون'!$B$4-'إعدادات المخزون'!$B$11),'مبيعات يومية'!$A$2:$A$14001,"&lt;="&amp;'إعدادات المخزون'!$B$4)</f>
        <v>0</v>
      </c>
    </row>
    <row r="117" customFormat="false" ht="15" hidden="false" customHeight="false" outlineLevel="0" collapsed="false">
      <c r="A117" s="116" t="str">
        <f aca="false">المنيو!B117</f>
        <v>بهججة بيتزا برجر صيامي</v>
      </c>
      <c r="B117" s="118" t="n">
        <f aca="false">SUMIFS('مبيعات يومية'!$D$2:$D$14001,'مبيعات يومية'!$C$2:$C$14001,$A117,'مبيعات يومية'!$B$2:$B$14001,'إعدادات المخزون'!$A$15,'مبيعات يومية'!$A$2:$A$14001,'إعدادات المخزون'!$B$4)</f>
        <v>0</v>
      </c>
      <c r="C117" s="118" t="n">
        <f aca="false">SUMIFS('مبيعات يومية'!$D$2:$D$14001,'مبيعات يومية'!$C$2:$C$14001,$A117,'مبيعات يومية'!$B$2:$B$14001,'إعدادات المخزون'!$A$15,'مبيعات يومية'!$A$2:$A$14001,"&gt;="&amp;'إعدادات المخزون'!$B$5,'مبيعات يومية'!$A$2:$A$14001,"&lt;="&amp;'إعدادات المخزون'!$B$4)</f>
        <v>0</v>
      </c>
      <c r="D117" s="118" t="n">
        <f aca="false">SUMIFS('مبيعات يومية'!$D$2:$D$14001,'مبيعات يومية'!$C$2:$C$14001,$A117,'مبيعات يومية'!$B$2:$B$14001,'إعدادات المخزون'!$A$15,'مبيعات يومية'!$A$2:$A$14001,"&gt;"&amp;('إعدادات المخزون'!$B$4-'إعدادات المخزون'!$B$11),'مبيعات يومية'!$A$2:$A$14001,"&lt;="&amp;'إعدادات المخزون'!$B$4)</f>
        <v>0</v>
      </c>
      <c r="E117" s="118" t="n">
        <f aca="false">SUMIFS('مبيعات يومية'!$D$2:$D$14001,'مبيعات يومية'!$C$2:$C$14001,$A117,'مبيعات يومية'!$B$2:$B$14001,'إعدادات المخزون'!$A$16,'مبيعات يومية'!$A$2:$A$14001,'إعدادات المخزون'!$B$4)</f>
        <v>0</v>
      </c>
      <c r="F117" s="118" t="n">
        <f aca="false">SUMIFS('مبيعات يومية'!$D$2:$D$14001,'مبيعات يومية'!$C$2:$C$14001,$A117,'مبيعات يومية'!$B$2:$B$14001,'إعدادات المخزون'!$A$16,'مبيعات يومية'!$A$2:$A$14001,"&gt;="&amp;'إعدادات المخزون'!$B$5,'مبيعات يومية'!$A$2:$A$14001,"&lt;="&amp;'إعدادات المخزون'!$B$4)</f>
        <v>0</v>
      </c>
      <c r="G117" s="118" t="n">
        <f aca="false">SUMIFS('مبيعات يومية'!$D$2:$D$14001,'مبيعات يومية'!$C$2:$C$14001,$A117,'مبيعات يومية'!$B$2:$B$14001,'إعدادات المخزون'!$A$16,'مبيعات يومية'!$A$2:$A$14001,"&gt;"&amp;('إعدادات المخزون'!$B$4-'إعدادات المخزون'!$B$11),'مبيعات يومية'!$A$2:$A$14001,"&lt;="&amp;'إعدادات المخزون'!$B$4)</f>
        <v>0</v>
      </c>
      <c r="H117" s="118" t="n">
        <f aca="false">SUMIFS('مبيعات يومية'!$D$2:$D$14001,'مبيعات يومية'!$C$2:$C$14001,$A117,'مبيعات يومية'!$B$2:$B$14001,'إعدادات المخزون'!$A$17,'مبيعات يومية'!$A$2:$A$14001,'إعدادات المخزون'!$B$4)</f>
        <v>0</v>
      </c>
      <c r="I117" s="118" t="n">
        <f aca="false">SUMIFS('مبيعات يومية'!$D$2:$D$14001,'مبيعات يومية'!$C$2:$C$14001,$A117,'مبيعات يومية'!$B$2:$B$14001,'إعدادات المخزون'!$A$17,'مبيعات يومية'!$A$2:$A$14001,"&gt;="&amp;'إعدادات المخزون'!$B$5,'مبيعات يومية'!$A$2:$A$14001,"&lt;="&amp;'إعدادات المخزون'!$B$4)</f>
        <v>0</v>
      </c>
      <c r="J117" s="118" t="n">
        <f aca="false">SUMIFS('مبيعات يومية'!$D$2:$D$14001,'مبيعات يومية'!$C$2:$C$14001,$A117,'مبيعات يومية'!$B$2:$B$14001,'إعدادات المخزون'!$A$17,'مبيعات يومية'!$A$2:$A$14001,"&gt;"&amp;('إعدادات المخزون'!$B$4-'إعدادات المخزون'!$B$11),'مبيعات يومية'!$A$2:$A$14001,"&lt;="&amp;'إعدادات المخزون'!$B$4)</f>
        <v>0</v>
      </c>
    </row>
    <row r="118" customFormat="false" ht="15" hidden="false" customHeight="false" outlineLevel="0" collapsed="false">
      <c r="A118" s="116" t="str">
        <f aca="false">المنيو!B118</f>
        <v>بهججة كريسبي صيامي</v>
      </c>
      <c r="B118" s="118" t="n">
        <f aca="false">SUMIFS('مبيعات يومية'!$D$2:$D$14001,'مبيعات يومية'!$C$2:$C$14001,$A118,'مبيعات يومية'!$B$2:$B$14001,'إعدادات المخزون'!$A$15,'مبيعات يومية'!$A$2:$A$14001,'إعدادات المخزون'!$B$4)</f>
        <v>0</v>
      </c>
      <c r="C118" s="118" t="n">
        <f aca="false">SUMIFS('مبيعات يومية'!$D$2:$D$14001,'مبيعات يومية'!$C$2:$C$14001,$A118,'مبيعات يومية'!$B$2:$B$14001,'إعدادات المخزون'!$A$15,'مبيعات يومية'!$A$2:$A$14001,"&gt;="&amp;'إعدادات المخزون'!$B$5,'مبيعات يومية'!$A$2:$A$14001,"&lt;="&amp;'إعدادات المخزون'!$B$4)</f>
        <v>0</v>
      </c>
      <c r="D118" s="118" t="n">
        <f aca="false">SUMIFS('مبيعات يومية'!$D$2:$D$14001,'مبيعات يومية'!$C$2:$C$14001,$A118,'مبيعات يومية'!$B$2:$B$14001,'إعدادات المخزون'!$A$15,'مبيعات يومية'!$A$2:$A$14001,"&gt;"&amp;('إعدادات المخزون'!$B$4-'إعدادات المخزون'!$B$11),'مبيعات يومية'!$A$2:$A$14001,"&lt;="&amp;'إعدادات المخزون'!$B$4)</f>
        <v>0</v>
      </c>
      <c r="E118" s="118" t="n">
        <f aca="false">SUMIFS('مبيعات يومية'!$D$2:$D$14001,'مبيعات يومية'!$C$2:$C$14001,$A118,'مبيعات يومية'!$B$2:$B$14001,'إعدادات المخزون'!$A$16,'مبيعات يومية'!$A$2:$A$14001,'إعدادات المخزون'!$B$4)</f>
        <v>0</v>
      </c>
      <c r="F118" s="118" t="n">
        <f aca="false">SUMIFS('مبيعات يومية'!$D$2:$D$14001,'مبيعات يومية'!$C$2:$C$14001,$A118,'مبيعات يومية'!$B$2:$B$14001,'إعدادات المخزون'!$A$16,'مبيعات يومية'!$A$2:$A$14001,"&gt;="&amp;'إعدادات المخزون'!$B$5,'مبيعات يومية'!$A$2:$A$14001,"&lt;="&amp;'إعدادات المخزون'!$B$4)</f>
        <v>0</v>
      </c>
      <c r="G118" s="118" t="n">
        <f aca="false">SUMIFS('مبيعات يومية'!$D$2:$D$14001,'مبيعات يومية'!$C$2:$C$14001,$A118,'مبيعات يومية'!$B$2:$B$14001,'إعدادات المخزون'!$A$16,'مبيعات يومية'!$A$2:$A$14001,"&gt;"&amp;('إعدادات المخزون'!$B$4-'إعدادات المخزون'!$B$11),'مبيعات يومية'!$A$2:$A$14001,"&lt;="&amp;'إعدادات المخزون'!$B$4)</f>
        <v>0</v>
      </c>
      <c r="H118" s="118" t="n">
        <f aca="false">SUMIFS('مبيعات يومية'!$D$2:$D$14001,'مبيعات يومية'!$C$2:$C$14001,$A118,'مبيعات يومية'!$B$2:$B$14001,'إعدادات المخزون'!$A$17,'مبيعات يومية'!$A$2:$A$14001,'إعدادات المخزون'!$B$4)</f>
        <v>0</v>
      </c>
      <c r="I118" s="118" t="n">
        <f aca="false">SUMIFS('مبيعات يومية'!$D$2:$D$14001,'مبيعات يومية'!$C$2:$C$14001,$A118,'مبيعات يومية'!$B$2:$B$14001,'إعدادات المخزون'!$A$17,'مبيعات يومية'!$A$2:$A$14001,"&gt;="&amp;'إعدادات المخزون'!$B$5,'مبيعات يومية'!$A$2:$A$14001,"&lt;="&amp;'إعدادات المخزون'!$B$4)</f>
        <v>0</v>
      </c>
      <c r="J118" s="118" t="n">
        <f aca="false">SUMIFS('مبيعات يومية'!$D$2:$D$14001,'مبيعات يومية'!$C$2:$C$14001,$A118,'مبيعات يومية'!$B$2:$B$14001,'إعدادات المخزون'!$A$17,'مبيعات يومية'!$A$2:$A$14001,"&gt;"&amp;('إعدادات المخزون'!$B$4-'إعدادات المخزون'!$B$11),'مبيعات يومية'!$A$2:$A$14001,"&lt;="&amp;'إعدادات المخزون'!$B$4)</f>
        <v>0</v>
      </c>
    </row>
    <row r="119" customFormat="false" ht="15" hidden="false" customHeight="false" outlineLevel="0" collapsed="false">
      <c r="A119" s="116" t="str">
        <f aca="false">المنيو!B119</f>
        <v>مكرونة صوص ابيض خضروات صيامي</v>
      </c>
      <c r="B119" s="118" t="n">
        <f aca="false">SUMIFS('مبيعات يومية'!$D$2:$D$14001,'مبيعات يومية'!$C$2:$C$14001,$A119,'مبيعات يومية'!$B$2:$B$14001,'إعدادات المخزون'!$A$15,'مبيعات يومية'!$A$2:$A$14001,'إعدادات المخزون'!$B$4)</f>
        <v>0.1667</v>
      </c>
      <c r="C119" s="118" t="n">
        <f aca="false">SUMIFS('مبيعات يومية'!$D$2:$D$14001,'مبيعات يومية'!$C$2:$C$14001,$A119,'مبيعات يومية'!$B$2:$B$14001,'إعدادات المخزون'!$A$15,'مبيعات يومية'!$A$2:$A$14001,"&gt;="&amp;'إعدادات المخزون'!$B$5,'مبيعات يومية'!$A$2:$A$14001,"&lt;="&amp;'إعدادات المخزون'!$B$4)</f>
        <v>2.0004</v>
      </c>
      <c r="D119" s="118" t="n">
        <f aca="false">SUMIFS('مبيعات يومية'!$D$2:$D$14001,'مبيعات يومية'!$C$2:$C$14001,$A119,'مبيعات يومية'!$B$2:$B$14001,'إعدادات المخزون'!$A$15,'مبيعات يومية'!$A$2:$A$14001,"&gt;"&amp;('إعدادات المخزون'!$B$4-'إعدادات المخزون'!$B$11),'مبيعات يومية'!$A$2:$A$14001,"&lt;="&amp;'إعدادات المخزون'!$B$4)</f>
        <v>1.1669</v>
      </c>
      <c r="E119" s="118" t="n">
        <f aca="false">SUMIFS('مبيعات يومية'!$D$2:$D$14001,'مبيعات يومية'!$C$2:$C$14001,$A119,'مبيعات يومية'!$B$2:$B$14001,'إعدادات المخزون'!$A$16,'مبيعات يومية'!$A$2:$A$14001,'إعدادات المخزون'!$B$4)</f>
        <v>0.0833</v>
      </c>
      <c r="F119" s="118" t="n">
        <f aca="false">SUMIFS('مبيعات يومية'!$D$2:$D$14001,'مبيعات يومية'!$C$2:$C$14001,$A119,'مبيعات يومية'!$B$2:$B$14001,'إعدادات المخزون'!$A$16,'مبيعات يومية'!$A$2:$A$14001,"&gt;="&amp;'إعدادات المخزون'!$B$5,'مبيعات يومية'!$A$2:$A$14001,"&lt;="&amp;'إعدادات المخزون'!$B$4)</f>
        <v>0.9996</v>
      </c>
      <c r="G119" s="118" t="n">
        <f aca="false">SUMIFS('مبيعات يومية'!$D$2:$D$14001,'مبيعات يومية'!$C$2:$C$14001,$A119,'مبيعات يومية'!$B$2:$B$14001,'إعدادات المخزون'!$A$16,'مبيعات يومية'!$A$2:$A$14001,"&gt;"&amp;('إعدادات المخزون'!$B$4-'إعدادات المخزون'!$B$11),'مبيعات يومية'!$A$2:$A$14001,"&lt;="&amp;'إعدادات المخزون'!$B$4)</f>
        <v>0.5831</v>
      </c>
      <c r="H119" s="118" t="n">
        <f aca="false">SUMIFS('مبيعات يومية'!$D$2:$D$14001,'مبيعات يومية'!$C$2:$C$14001,$A119,'مبيعات يومية'!$B$2:$B$14001,'إعدادات المخزون'!$A$17,'مبيعات يومية'!$A$2:$A$14001,'إعدادات المخزون'!$B$4)</f>
        <v>0.25</v>
      </c>
      <c r="I119" s="118" t="n">
        <f aca="false">SUMIFS('مبيعات يومية'!$D$2:$D$14001,'مبيعات يومية'!$C$2:$C$14001,$A119,'مبيعات يومية'!$B$2:$B$14001,'إعدادات المخزون'!$A$17,'مبيعات يومية'!$A$2:$A$14001,"&gt;="&amp;'إعدادات المخزون'!$B$5,'مبيعات يومية'!$A$2:$A$14001,"&lt;="&amp;'إعدادات المخزون'!$B$4)</f>
        <v>3</v>
      </c>
      <c r="J119" s="118" t="n">
        <f aca="false">SUMIFS('مبيعات يومية'!$D$2:$D$14001,'مبيعات يومية'!$C$2:$C$14001,$A119,'مبيعات يومية'!$B$2:$B$14001,'إعدادات المخزون'!$A$17,'مبيعات يومية'!$A$2:$A$14001,"&gt;"&amp;('إعدادات المخزون'!$B$4-'إعدادات المخزون'!$B$11),'مبيعات يومية'!$A$2:$A$14001,"&lt;="&amp;'إعدادات المخزون'!$B$4)</f>
        <v>1.75</v>
      </c>
    </row>
    <row r="120" customFormat="false" ht="15" hidden="false" customHeight="false" outlineLevel="0" collapsed="false">
      <c r="A120" s="116" t="str">
        <f aca="false">المنيو!B120</f>
        <v>مكرونة مشروم صيامي</v>
      </c>
      <c r="B120" s="118" t="n">
        <f aca="false">SUMIFS('مبيعات يومية'!$D$2:$D$14001,'مبيعات يومية'!$C$2:$C$14001,$A120,'مبيعات يومية'!$B$2:$B$14001,'إعدادات المخزون'!$A$15,'مبيعات يومية'!$A$2:$A$14001,'إعدادات المخزون'!$B$4)</f>
        <v>0</v>
      </c>
      <c r="C120" s="118" t="n">
        <f aca="false">SUMIFS('مبيعات يومية'!$D$2:$D$14001,'مبيعات يومية'!$C$2:$C$14001,$A120,'مبيعات يومية'!$B$2:$B$14001,'إعدادات المخزون'!$A$15,'مبيعات يومية'!$A$2:$A$14001,"&gt;="&amp;'إعدادات المخزون'!$B$5,'مبيعات يومية'!$A$2:$A$14001,"&lt;="&amp;'إعدادات المخزون'!$B$4)</f>
        <v>0</v>
      </c>
      <c r="D120" s="118" t="n">
        <f aca="false">SUMIFS('مبيعات يومية'!$D$2:$D$14001,'مبيعات يومية'!$C$2:$C$14001,$A120,'مبيعات يومية'!$B$2:$B$14001,'إعدادات المخزون'!$A$15,'مبيعات يومية'!$A$2:$A$14001,"&gt;"&amp;('إعدادات المخزون'!$B$4-'إعدادات المخزون'!$B$11),'مبيعات يومية'!$A$2:$A$14001,"&lt;="&amp;'إعدادات المخزون'!$B$4)</f>
        <v>0</v>
      </c>
      <c r="E120" s="118" t="n">
        <f aca="false">SUMIFS('مبيعات يومية'!$D$2:$D$14001,'مبيعات يومية'!$C$2:$C$14001,$A120,'مبيعات يومية'!$B$2:$B$14001,'إعدادات المخزون'!$A$16,'مبيعات يومية'!$A$2:$A$14001,'إعدادات المخزون'!$B$4)</f>
        <v>0</v>
      </c>
      <c r="F120" s="118" t="n">
        <f aca="false">SUMIFS('مبيعات يومية'!$D$2:$D$14001,'مبيعات يومية'!$C$2:$C$14001,$A120,'مبيعات يومية'!$B$2:$B$14001,'إعدادات المخزون'!$A$16,'مبيعات يومية'!$A$2:$A$14001,"&gt;="&amp;'إعدادات المخزون'!$B$5,'مبيعات يومية'!$A$2:$A$14001,"&lt;="&amp;'إعدادات المخزون'!$B$4)</f>
        <v>0</v>
      </c>
      <c r="G120" s="118" t="n">
        <f aca="false">SUMIFS('مبيعات يومية'!$D$2:$D$14001,'مبيعات يومية'!$C$2:$C$14001,$A120,'مبيعات يومية'!$B$2:$B$14001,'إعدادات المخزون'!$A$16,'مبيعات يومية'!$A$2:$A$14001,"&gt;"&amp;('إعدادات المخزون'!$B$4-'إعدادات المخزون'!$B$11),'مبيعات يومية'!$A$2:$A$14001,"&lt;="&amp;'إعدادات المخزون'!$B$4)</f>
        <v>0</v>
      </c>
      <c r="H120" s="118" t="n">
        <f aca="false">SUMIFS('مبيعات يومية'!$D$2:$D$14001,'مبيعات يومية'!$C$2:$C$14001,$A120,'مبيعات يومية'!$B$2:$B$14001,'إعدادات المخزون'!$A$17,'مبيعات يومية'!$A$2:$A$14001,'إعدادات المخزون'!$B$4)</f>
        <v>0.0833</v>
      </c>
      <c r="I120" s="118" t="n">
        <f aca="false">SUMIFS('مبيعات يومية'!$D$2:$D$14001,'مبيعات يومية'!$C$2:$C$14001,$A120,'مبيعات يومية'!$B$2:$B$14001,'إعدادات المخزون'!$A$17,'مبيعات يومية'!$A$2:$A$14001,"&gt;="&amp;'إعدادات المخزون'!$B$5,'مبيعات يومية'!$A$2:$A$14001,"&lt;="&amp;'إعدادات المخزون'!$B$4)</f>
        <v>0.9996</v>
      </c>
      <c r="J120" s="118" t="n">
        <f aca="false">SUMIFS('مبيعات يومية'!$D$2:$D$14001,'مبيعات يومية'!$C$2:$C$14001,$A120,'مبيعات يومية'!$B$2:$B$14001,'إعدادات المخزون'!$A$17,'مبيعات يومية'!$A$2:$A$14001,"&gt;"&amp;('إعدادات المخزون'!$B$4-'إعدادات المخزون'!$B$11),'مبيعات يومية'!$A$2:$A$14001,"&lt;="&amp;'إعدادات المخزون'!$B$4)</f>
        <v>0.5831</v>
      </c>
    </row>
    <row r="121" customFormat="false" ht="15" hidden="false" customHeight="false" outlineLevel="0" collapsed="false">
      <c r="A121" s="116" t="str">
        <f aca="false">المنيو!B121</f>
        <v>مكرونة سوسيس صيامي</v>
      </c>
      <c r="B121" s="118" t="n">
        <f aca="false">SUMIFS('مبيعات يومية'!$D$2:$D$14001,'مبيعات يومية'!$C$2:$C$14001,$A121,'مبيعات يومية'!$B$2:$B$14001,'إعدادات المخزون'!$A$15,'مبيعات يومية'!$A$2:$A$14001,'إعدادات المخزون'!$B$4)</f>
        <v>0</v>
      </c>
      <c r="C121" s="118" t="n">
        <f aca="false">SUMIFS('مبيعات يومية'!$D$2:$D$14001,'مبيعات يومية'!$C$2:$C$14001,$A121,'مبيعات يومية'!$B$2:$B$14001,'إعدادات المخزون'!$A$15,'مبيعات يومية'!$A$2:$A$14001,"&gt;="&amp;'إعدادات المخزون'!$B$5,'مبيعات يومية'!$A$2:$A$14001,"&lt;="&amp;'إعدادات المخزون'!$B$4)</f>
        <v>0</v>
      </c>
      <c r="D121" s="118" t="n">
        <f aca="false">SUMIFS('مبيعات يومية'!$D$2:$D$14001,'مبيعات يومية'!$C$2:$C$14001,$A121,'مبيعات يومية'!$B$2:$B$14001,'إعدادات المخزون'!$A$15,'مبيعات يومية'!$A$2:$A$14001,"&gt;"&amp;('إعدادات المخزون'!$B$4-'إعدادات المخزون'!$B$11),'مبيعات يومية'!$A$2:$A$14001,"&lt;="&amp;'إعدادات المخزون'!$B$4)</f>
        <v>0</v>
      </c>
      <c r="E121" s="118" t="n">
        <f aca="false">SUMIFS('مبيعات يومية'!$D$2:$D$14001,'مبيعات يومية'!$C$2:$C$14001,$A121,'مبيعات يومية'!$B$2:$B$14001,'إعدادات المخزون'!$A$16,'مبيعات يومية'!$A$2:$A$14001,'إعدادات المخزون'!$B$4)</f>
        <v>0</v>
      </c>
      <c r="F121" s="118" t="n">
        <f aca="false">SUMIFS('مبيعات يومية'!$D$2:$D$14001,'مبيعات يومية'!$C$2:$C$14001,$A121,'مبيعات يومية'!$B$2:$B$14001,'إعدادات المخزون'!$A$16,'مبيعات يومية'!$A$2:$A$14001,"&gt;="&amp;'إعدادات المخزون'!$B$5,'مبيعات يومية'!$A$2:$A$14001,"&lt;="&amp;'إعدادات المخزون'!$B$4)</f>
        <v>0</v>
      </c>
      <c r="G121" s="118" t="n">
        <f aca="false">SUMIFS('مبيعات يومية'!$D$2:$D$14001,'مبيعات يومية'!$C$2:$C$14001,$A121,'مبيعات يومية'!$B$2:$B$14001,'إعدادات المخزون'!$A$16,'مبيعات يومية'!$A$2:$A$14001,"&gt;"&amp;('إعدادات المخزون'!$B$4-'إعدادات المخزون'!$B$11),'مبيعات يومية'!$A$2:$A$14001,"&lt;="&amp;'إعدادات المخزون'!$B$4)</f>
        <v>0</v>
      </c>
      <c r="H121" s="118" t="n">
        <f aca="false">SUMIFS('مبيعات يومية'!$D$2:$D$14001,'مبيعات يومية'!$C$2:$C$14001,$A121,'مبيعات يومية'!$B$2:$B$14001,'إعدادات المخزون'!$A$17,'مبيعات يومية'!$A$2:$A$14001,'إعدادات المخزون'!$B$4)</f>
        <v>0</v>
      </c>
      <c r="I121" s="118" t="n">
        <f aca="false">SUMIFS('مبيعات يومية'!$D$2:$D$14001,'مبيعات يومية'!$C$2:$C$14001,$A121,'مبيعات يومية'!$B$2:$B$14001,'إعدادات المخزون'!$A$17,'مبيعات يومية'!$A$2:$A$14001,"&gt;="&amp;'إعدادات المخزون'!$B$5,'مبيعات يومية'!$A$2:$A$14001,"&lt;="&amp;'إعدادات المخزون'!$B$4)</f>
        <v>0</v>
      </c>
      <c r="J121" s="118" t="n">
        <f aca="false">SUMIFS('مبيعات يومية'!$D$2:$D$14001,'مبيعات يومية'!$C$2:$C$14001,$A121,'مبيعات يومية'!$B$2:$B$14001,'إعدادات المخزون'!$A$17,'مبيعات يومية'!$A$2:$A$14001,"&gt;"&amp;('إعدادات المخزون'!$B$4-'إعدادات المخزون'!$B$11),'مبيعات يومية'!$A$2:$A$14001,"&lt;="&amp;'إعدادات المخزون'!$B$4)</f>
        <v>0</v>
      </c>
    </row>
    <row r="122" customFormat="false" ht="15" hidden="false" customHeight="false" outlineLevel="0" collapsed="false">
      <c r="A122" s="116" t="str">
        <f aca="false">المنيو!B122</f>
        <v>مكرونة فراخ باربيكيو صيامي</v>
      </c>
      <c r="B122" s="118" t="n">
        <f aca="false">SUMIFS('مبيعات يومية'!$D$2:$D$14001,'مبيعات يومية'!$C$2:$C$14001,$A122,'مبيعات يومية'!$B$2:$B$14001,'إعدادات المخزون'!$A$15,'مبيعات يومية'!$A$2:$A$14001,'إعدادات المخزون'!$B$4)</f>
        <v>0</v>
      </c>
      <c r="C122" s="118" t="n">
        <f aca="false">SUMIFS('مبيعات يومية'!$D$2:$D$14001,'مبيعات يومية'!$C$2:$C$14001,$A122,'مبيعات يومية'!$B$2:$B$14001,'إعدادات المخزون'!$A$15,'مبيعات يومية'!$A$2:$A$14001,"&gt;="&amp;'إعدادات المخزون'!$B$5,'مبيعات يومية'!$A$2:$A$14001,"&lt;="&amp;'إعدادات المخزون'!$B$4)</f>
        <v>0</v>
      </c>
      <c r="D122" s="118" t="n">
        <f aca="false">SUMIFS('مبيعات يومية'!$D$2:$D$14001,'مبيعات يومية'!$C$2:$C$14001,$A122,'مبيعات يومية'!$B$2:$B$14001,'إعدادات المخزون'!$A$15,'مبيعات يومية'!$A$2:$A$14001,"&gt;"&amp;('إعدادات المخزون'!$B$4-'إعدادات المخزون'!$B$11),'مبيعات يومية'!$A$2:$A$14001,"&lt;="&amp;'إعدادات المخزون'!$B$4)</f>
        <v>0</v>
      </c>
      <c r="E122" s="118" t="n">
        <f aca="false">SUMIFS('مبيعات يومية'!$D$2:$D$14001,'مبيعات يومية'!$C$2:$C$14001,$A122,'مبيعات يومية'!$B$2:$B$14001,'إعدادات المخزون'!$A$16,'مبيعات يومية'!$A$2:$A$14001,'إعدادات المخزون'!$B$4)</f>
        <v>0</v>
      </c>
      <c r="F122" s="118" t="n">
        <f aca="false">SUMIFS('مبيعات يومية'!$D$2:$D$14001,'مبيعات يومية'!$C$2:$C$14001,$A122,'مبيعات يومية'!$B$2:$B$14001,'إعدادات المخزون'!$A$16,'مبيعات يومية'!$A$2:$A$14001,"&gt;="&amp;'إعدادات المخزون'!$B$5,'مبيعات يومية'!$A$2:$A$14001,"&lt;="&amp;'إعدادات المخزون'!$B$4)</f>
        <v>0</v>
      </c>
      <c r="G122" s="118" t="n">
        <f aca="false">SUMIFS('مبيعات يومية'!$D$2:$D$14001,'مبيعات يومية'!$C$2:$C$14001,$A122,'مبيعات يومية'!$B$2:$B$14001,'إعدادات المخزون'!$A$16,'مبيعات يومية'!$A$2:$A$14001,"&gt;"&amp;('إعدادات المخزون'!$B$4-'إعدادات المخزون'!$B$11),'مبيعات يومية'!$A$2:$A$14001,"&lt;="&amp;'إعدادات المخزون'!$B$4)</f>
        <v>0</v>
      </c>
      <c r="H122" s="118" t="n">
        <f aca="false">SUMIFS('مبيعات يومية'!$D$2:$D$14001,'مبيعات يومية'!$C$2:$C$14001,$A122,'مبيعات يومية'!$B$2:$B$14001,'إعدادات المخزون'!$A$17,'مبيعات يومية'!$A$2:$A$14001,'إعدادات المخزون'!$B$4)</f>
        <v>0</v>
      </c>
      <c r="I122" s="118" t="n">
        <f aca="false">SUMIFS('مبيعات يومية'!$D$2:$D$14001,'مبيعات يومية'!$C$2:$C$14001,$A122,'مبيعات يومية'!$B$2:$B$14001,'إعدادات المخزون'!$A$17,'مبيعات يومية'!$A$2:$A$14001,"&gt;="&amp;'إعدادات المخزون'!$B$5,'مبيعات يومية'!$A$2:$A$14001,"&lt;="&amp;'إعدادات المخزون'!$B$4)</f>
        <v>0</v>
      </c>
      <c r="J122" s="118" t="n">
        <f aca="false">SUMIFS('مبيعات يومية'!$D$2:$D$14001,'مبيعات يومية'!$C$2:$C$14001,$A122,'مبيعات يومية'!$B$2:$B$14001,'إعدادات المخزون'!$A$17,'مبيعات يومية'!$A$2:$A$14001,"&gt;"&amp;('إعدادات المخزون'!$B$4-'إعدادات المخزون'!$B$11),'مبيعات يومية'!$A$2:$A$14001,"&lt;="&amp;'إعدادات المخزون'!$B$4)</f>
        <v>0</v>
      </c>
    </row>
    <row r="123" customFormat="false" ht="15" hidden="false" customHeight="false" outlineLevel="0" collapsed="false">
      <c r="A123" s="116" t="str">
        <f aca="false">المنيو!B123</f>
        <v>مكرونة جمبري صيامي</v>
      </c>
      <c r="B123" s="118" t="n">
        <f aca="false">SUMIFS('مبيعات يومية'!$D$2:$D$14001,'مبيعات يومية'!$C$2:$C$14001,$A123,'مبيعات يومية'!$B$2:$B$14001,'إعدادات المخزون'!$A$15,'مبيعات يومية'!$A$2:$A$14001,'إعدادات المخزون'!$B$4)</f>
        <v>0</v>
      </c>
      <c r="C123" s="118" t="n">
        <f aca="false">SUMIFS('مبيعات يومية'!$D$2:$D$14001,'مبيعات يومية'!$C$2:$C$14001,$A123,'مبيعات يومية'!$B$2:$B$14001,'إعدادات المخزون'!$A$15,'مبيعات يومية'!$A$2:$A$14001,"&gt;="&amp;'إعدادات المخزون'!$B$5,'مبيعات يومية'!$A$2:$A$14001,"&lt;="&amp;'إعدادات المخزون'!$B$4)</f>
        <v>0</v>
      </c>
      <c r="D123" s="118" t="n">
        <f aca="false">SUMIFS('مبيعات يومية'!$D$2:$D$14001,'مبيعات يومية'!$C$2:$C$14001,$A123,'مبيعات يومية'!$B$2:$B$14001,'إعدادات المخزون'!$A$15,'مبيعات يومية'!$A$2:$A$14001,"&gt;"&amp;('إعدادات المخزون'!$B$4-'إعدادات المخزون'!$B$11),'مبيعات يومية'!$A$2:$A$14001,"&lt;="&amp;'إعدادات المخزون'!$B$4)</f>
        <v>0</v>
      </c>
      <c r="E123" s="118" t="n">
        <f aca="false">SUMIFS('مبيعات يومية'!$D$2:$D$14001,'مبيعات يومية'!$C$2:$C$14001,$A123,'مبيعات يومية'!$B$2:$B$14001,'إعدادات المخزون'!$A$16,'مبيعات يومية'!$A$2:$A$14001,'إعدادات المخزون'!$B$4)</f>
        <v>0</v>
      </c>
      <c r="F123" s="118" t="n">
        <f aca="false">SUMIFS('مبيعات يومية'!$D$2:$D$14001,'مبيعات يومية'!$C$2:$C$14001,$A123,'مبيعات يومية'!$B$2:$B$14001,'إعدادات المخزون'!$A$16,'مبيعات يومية'!$A$2:$A$14001,"&gt;="&amp;'إعدادات المخزون'!$B$5,'مبيعات يومية'!$A$2:$A$14001,"&lt;="&amp;'إعدادات المخزون'!$B$4)</f>
        <v>0</v>
      </c>
      <c r="G123" s="118" t="n">
        <f aca="false">SUMIFS('مبيعات يومية'!$D$2:$D$14001,'مبيعات يومية'!$C$2:$C$14001,$A123,'مبيعات يومية'!$B$2:$B$14001,'إعدادات المخزون'!$A$16,'مبيعات يومية'!$A$2:$A$14001,"&gt;"&amp;('إعدادات المخزون'!$B$4-'إعدادات المخزون'!$B$11),'مبيعات يومية'!$A$2:$A$14001,"&lt;="&amp;'إعدادات المخزون'!$B$4)</f>
        <v>0</v>
      </c>
      <c r="H123" s="118" t="n">
        <f aca="false">SUMIFS('مبيعات يومية'!$D$2:$D$14001,'مبيعات يومية'!$C$2:$C$14001,$A123,'مبيعات يومية'!$B$2:$B$14001,'إعدادات المخزون'!$A$17,'مبيعات يومية'!$A$2:$A$14001,'إعدادات المخزون'!$B$4)</f>
        <v>0</v>
      </c>
      <c r="I123" s="118" t="n">
        <f aca="false">SUMIFS('مبيعات يومية'!$D$2:$D$14001,'مبيعات يومية'!$C$2:$C$14001,$A123,'مبيعات يومية'!$B$2:$B$14001,'إعدادات المخزون'!$A$17,'مبيعات يومية'!$A$2:$A$14001,"&gt;="&amp;'إعدادات المخزون'!$B$5,'مبيعات يومية'!$A$2:$A$14001,"&lt;="&amp;'إعدادات المخزون'!$B$4)</f>
        <v>0</v>
      </c>
      <c r="J123" s="118" t="n">
        <f aca="false">SUMIFS('مبيعات يومية'!$D$2:$D$14001,'مبيعات يومية'!$C$2:$C$14001,$A123,'مبيعات يومية'!$B$2:$B$14001,'إعدادات المخزون'!$A$17,'مبيعات يومية'!$A$2:$A$14001,"&gt;"&amp;('إعدادات المخزون'!$B$4-'إعدادات المخزون'!$B$11),'مبيعات يومية'!$A$2:$A$14001,"&lt;="&amp;'إعدادات المخزون'!$B$4)</f>
        <v>0</v>
      </c>
    </row>
    <row r="124" customFormat="false" ht="15" hidden="false" customHeight="false" outlineLevel="0" collapsed="false">
      <c r="A124" s="116" t="str">
        <f aca="false">المنيو!B124</f>
        <v>كريب بطاطس صيامي</v>
      </c>
      <c r="B124" s="118" t="n">
        <f aca="false">SUMIFS('مبيعات يومية'!$D$2:$D$14001,'مبيعات يومية'!$C$2:$C$14001,$A124,'مبيعات يومية'!$B$2:$B$14001,'إعدادات المخزون'!$A$15,'مبيعات يومية'!$A$2:$A$14001,'إعدادات المخزون'!$B$4)</f>
        <v>0.1667</v>
      </c>
      <c r="C124" s="118" t="n">
        <f aca="false">SUMIFS('مبيعات يومية'!$D$2:$D$14001,'مبيعات يومية'!$C$2:$C$14001,$A124,'مبيعات يومية'!$B$2:$B$14001,'إعدادات المخزون'!$A$15,'مبيعات يومية'!$A$2:$A$14001,"&gt;="&amp;'إعدادات المخزون'!$B$5,'مبيعات يومية'!$A$2:$A$14001,"&lt;="&amp;'إعدادات المخزون'!$B$4)</f>
        <v>2.0004</v>
      </c>
      <c r="D124" s="118" t="n">
        <f aca="false">SUMIFS('مبيعات يومية'!$D$2:$D$14001,'مبيعات يومية'!$C$2:$C$14001,$A124,'مبيعات يومية'!$B$2:$B$14001,'إعدادات المخزون'!$A$15,'مبيعات يومية'!$A$2:$A$14001,"&gt;"&amp;('إعدادات المخزون'!$B$4-'إعدادات المخزون'!$B$11),'مبيعات يومية'!$A$2:$A$14001,"&lt;="&amp;'إعدادات المخزون'!$B$4)</f>
        <v>1.1669</v>
      </c>
      <c r="E124" s="118" t="n">
        <f aca="false">SUMIFS('مبيعات يومية'!$D$2:$D$14001,'مبيعات يومية'!$C$2:$C$14001,$A124,'مبيعات يومية'!$B$2:$B$14001,'إعدادات المخزون'!$A$16,'مبيعات يومية'!$A$2:$A$14001,'إعدادات المخزون'!$B$4)</f>
        <v>0</v>
      </c>
      <c r="F124" s="118" t="n">
        <f aca="false">SUMIFS('مبيعات يومية'!$D$2:$D$14001,'مبيعات يومية'!$C$2:$C$14001,$A124,'مبيعات يومية'!$B$2:$B$14001,'إعدادات المخزون'!$A$16,'مبيعات يومية'!$A$2:$A$14001,"&gt;="&amp;'إعدادات المخزون'!$B$5,'مبيعات يومية'!$A$2:$A$14001,"&lt;="&amp;'إعدادات المخزون'!$B$4)</f>
        <v>0</v>
      </c>
      <c r="G124" s="118" t="n">
        <f aca="false">SUMIFS('مبيعات يومية'!$D$2:$D$14001,'مبيعات يومية'!$C$2:$C$14001,$A124,'مبيعات يومية'!$B$2:$B$14001,'إعدادات المخزون'!$A$16,'مبيعات يومية'!$A$2:$A$14001,"&gt;"&amp;('إعدادات المخزون'!$B$4-'إعدادات المخزون'!$B$11),'مبيعات يومية'!$A$2:$A$14001,"&lt;="&amp;'إعدادات المخزون'!$B$4)</f>
        <v>0</v>
      </c>
      <c r="H124" s="118" t="n">
        <f aca="false">SUMIFS('مبيعات يومية'!$D$2:$D$14001,'مبيعات يومية'!$C$2:$C$14001,$A124,'مبيعات يومية'!$B$2:$B$14001,'إعدادات المخزون'!$A$17,'مبيعات يومية'!$A$2:$A$14001,'إعدادات المخزون'!$B$4)</f>
        <v>0</v>
      </c>
      <c r="I124" s="118" t="n">
        <f aca="false">SUMIFS('مبيعات يومية'!$D$2:$D$14001,'مبيعات يومية'!$C$2:$C$14001,$A124,'مبيعات يومية'!$B$2:$B$14001,'إعدادات المخزون'!$A$17,'مبيعات يومية'!$A$2:$A$14001,"&gt;="&amp;'إعدادات المخزون'!$B$5,'مبيعات يومية'!$A$2:$A$14001,"&lt;="&amp;'إعدادات المخزون'!$B$4)</f>
        <v>0</v>
      </c>
      <c r="J124" s="118" t="n">
        <f aca="false">SUMIFS('مبيعات يومية'!$D$2:$D$14001,'مبيعات يومية'!$C$2:$C$14001,$A124,'مبيعات يومية'!$B$2:$B$14001,'إعدادات المخزون'!$A$17,'مبيعات يومية'!$A$2:$A$14001,"&gt;"&amp;('إعدادات المخزون'!$B$4-'إعدادات المخزون'!$B$11),'مبيعات يومية'!$A$2:$A$14001,"&lt;="&amp;'إعدادات المخزون'!$B$4)</f>
        <v>0</v>
      </c>
    </row>
    <row r="125" customFormat="false" ht="15" hidden="false" customHeight="false" outlineLevel="0" collapsed="false">
      <c r="A125" s="116" t="str">
        <f aca="false">المنيو!B125</f>
        <v>كريب فراخ باربيكيو صيامي</v>
      </c>
      <c r="B125" s="118" t="n">
        <f aca="false">SUMIFS('مبيعات يومية'!$D$2:$D$14001,'مبيعات يومية'!$C$2:$C$14001,$A125,'مبيعات يومية'!$B$2:$B$14001,'إعدادات المخزون'!$A$15,'مبيعات يومية'!$A$2:$A$14001,'إعدادات المخزون'!$B$4)</f>
        <v>0</v>
      </c>
      <c r="C125" s="118" t="n">
        <f aca="false">SUMIFS('مبيعات يومية'!$D$2:$D$14001,'مبيعات يومية'!$C$2:$C$14001,$A125,'مبيعات يومية'!$B$2:$B$14001,'إعدادات المخزون'!$A$15,'مبيعات يومية'!$A$2:$A$14001,"&gt;="&amp;'إعدادات المخزون'!$B$5,'مبيعات يومية'!$A$2:$A$14001,"&lt;="&amp;'إعدادات المخزون'!$B$4)</f>
        <v>0</v>
      </c>
      <c r="D125" s="118" t="n">
        <f aca="false">SUMIFS('مبيعات يومية'!$D$2:$D$14001,'مبيعات يومية'!$C$2:$C$14001,$A125,'مبيعات يومية'!$B$2:$B$14001,'إعدادات المخزون'!$A$15,'مبيعات يومية'!$A$2:$A$14001,"&gt;"&amp;('إعدادات المخزون'!$B$4-'إعدادات المخزون'!$B$11),'مبيعات يومية'!$A$2:$A$14001,"&lt;="&amp;'إعدادات المخزون'!$B$4)</f>
        <v>0</v>
      </c>
      <c r="E125" s="118" t="n">
        <f aca="false">SUMIFS('مبيعات يومية'!$D$2:$D$14001,'مبيعات يومية'!$C$2:$C$14001,$A125,'مبيعات يومية'!$B$2:$B$14001,'إعدادات المخزون'!$A$16,'مبيعات يومية'!$A$2:$A$14001,'إعدادات المخزون'!$B$4)</f>
        <v>0</v>
      </c>
      <c r="F125" s="118" t="n">
        <f aca="false">SUMIFS('مبيعات يومية'!$D$2:$D$14001,'مبيعات يومية'!$C$2:$C$14001,$A125,'مبيعات يومية'!$B$2:$B$14001,'إعدادات المخزون'!$A$16,'مبيعات يومية'!$A$2:$A$14001,"&gt;="&amp;'إعدادات المخزون'!$B$5,'مبيعات يومية'!$A$2:$A$14001,"&lt;="&amp;'إعدادات المخزون'!$B$4)</f>
        <v>0</v>
      </c>
      <c r="G125" s="118" t="n">
        <f aca="false">SUMIFS('مبيعات يومية'!$D$2:$D$14001,'مبيعات يومية'!$C$2:$C$14001,$A125,'مبيعات يومية'!$B$2:$B$14001,'إعدادات المخزون'!$A$16,'مبيعات يومية'!$A$2:$A$14001,"&gt;"&amp;('إعدادات المخزون'!$B$4-'إعدادات المخزون'!$B$11),'مبيعات يومية'!$A$2:$A$14001,"&lt;="&amp;'إعدادات المخزون'!$B$4)</f>
        <v>0</v>
      </c>
      <c r="H125" s="118" t="n">
        <f aca="false">SUMIFS('مبيعات يومية'!$D$2:$D$14001,'مبيعات يومية'!$C$2:$C$14001,$A125,'مبيعات يومية'!$B$2:$B$14001,'إعدادات المخزون'!$A$17,'مبيعات يومية'!$A$2:$A$14001,'إعدادات المخزون'!$B$4)</f>
        <v>0</v>
      </c>
      <c r="I125" s="118" t="n">
        <f aca="false">SUMIFS('مبيعات يومية'!$D$2:$D$14001,'مبيعات يومية'!$C$2:$C$14001,$A125,'مبيعات يومية'!$B$2:$B$14001,'إعدادات المخزون'!$A$17,'مبيعات يومية'!$A$2:$A$14001,"&gt;="&amp;'إعدادات المخزون'!$B$5,'مبيعات يومية'!$A$2:$A$14001,"&lt;="&amp;'إعدادات المخزون'!$B$4)</f>
        <v>0</v>
      </c>
      <c r="J125" s="118" t="n">
        <f aca="false">SUMIFS('مبيعات يومية'!$D$2:$D$14001,'مبيعات يومية'!$C$2:$C$14001,$A125,'مبيعات يومية'!$B$2:$B$14001,'إعدادات المخزون'!$A$17,'مبيعات يومية'!$A$2:$A$14001,"&gt;"&amp;('إعدادات المخزون'!$B$4-'إعدادات المخزون'!$B$11),'مبيعات يومية'!$A$2:$A$14001,"&lt;="&amp;'إعدادات المخزون'!$B$4)</f>
        <v>0</v>
      </c>
    </row>
    <row r="126" customFormat="false" ht="15" hidden="false" customHeight="false" outlineLevel="0" collapsed="false">
      <c r="A126" s="116" t="str">
        <f aca="false">المنيو!B126</f>
        <v>كريب سوسيس / شاورما لحم فراخ صيامي</v>
      </c>
      <c r="B126" s="118" t="n">
        <f aca="false">SUMIFS('مبيعات يومية'!$D$2:$D$14001,'مبيعات يومية'!$C$2:$C$14001,$A126,'مبيعات يومية'!$B$2:$B$14001,'إعدادات المخزون'!$A$15,'مبيعات يومية'!$A$2:$A$14001,'إعدادات المخزون'!$B$4)</f>
        <v>0</v>
      </c>
      <c r="C126" s="118" t="n">
        <f aca="false">SUMIFS('مبيعات يومية'!$D$2:$D$14001,'مبيعات يومية'!$C$2:$C$14001,$A126,'مبيعات يومية'!$B$2:$B$14001,'إعدادات المخزون'!$A$15,'مبيعات يومية'!$A$2:$A$14001,"&gt;="&amp;'إعدادات المخزون'!$B$5,'مبيعات يومية'!$A$2:$A$14001,"&lt;="&amp;'إعدادات المخزون'!$B$4)</f>
        <v>0</v>
      </c>
      <c r="D126" s="118" t="n">
        <f aca="false">SUMIFS('مبيعات يومية'!$D$2:$D$14001,'مبيعات يومية'!$C$2:$C$14001,$A126,'مبيعات يومية'!$B$2:$B$14001,'إعدادات المخزون'!$A$15,'مبيعات يومية'!$A$2:$A$14001,"&gt;"&amp;('إعدادات المخزون'!$B$4-'إعدادات المخزون'!$B$11),'مبيعات يومية'!$A$2:$A$14001,"&lt;="&amp;'إعدادات المخزون'!$B$4)</f>
        <v>0</v>
      </c>
      <c r="E126" s="118" t="n">
        <f aca="false">SUMIFS('مبيعات يومية'!$D$2:$D$14001,'مبيعات يومية'!$C$2:$C$14001,$A126,'مبيعات يومية'!$B$2:$B$14001,'إعدادات المخزون'!$A$16,'مبيعات يومية'!$A$2:$A$14001,'إعدادات المخزون'!$B$4)</f>
        <v>0</v>
      </c>
      <c r="F126" s="118" t="n">
        <f aca="false">SUMIFS('مبيعات يومية'!$D$2:$D$14001,'مبيعات يومية'!$C$2:$C$14001,$A126,'مبيعات يومية'!$B$2:$B$14001,'إعدادات المخزون'!$A$16,'مبيعات يومية'!$A$2:$A$14001,"&gt;="&amp;'إعدادات المخزون'!$B$5,'مبيعات يومية'!$A$2:$A$14001,"&lt;="&amp;'إعدادات المخزون'!$B$4)</f>
        <v>0</v>
      </c>
      <c r="G126" s="118" t="n">
        <f aca="false">SUMIFS('مبيعات يومية'!$D$2:$D$14001,'مبيعات يومية'!$C$2:$C$14001,$A126,'مبيعات يومية'!$B$2:$B$14001,'إعدادات المخزون'!$A$16,'مبيعات يومية'!$A$2:$A$14001,"&gt;"&amp;('إعدادات المخزون'!$B$4-'إعدادات المخزون'!$B$11),'مبيعات يومية'!$A$2:$A$14001,"&lt;="&amp;'إعدادات المخزون'!$B$4)</f>
        <v>0</v>
      </c>
      <c r="H126" s="118" t="n">
        <f aca="false">SUMIFS('مبيعات يومية'!$D$2:$D$14001,'مبيعات يومية'!$C$2:$C$14001,$A126,'مبيعات يومية'!$B$2:$B$14001,'إعدادات المخزون'!$A$17,'مبيعات يومية'!$A$2:$A$14001,'إعدادات المخزون'!$B$4)</f>
        <v>0</v>
      </c>
      <c r="I126" s="118" t="n">
        <f aca="false">SUMIFS('مبيعات يومية'!$D$2:$D$14001,'مبيعات يومية'!$C$2:$C$14001,$A126,'مبيعات يومية'!$B$2:$B$14001,'إعدادات المخزون'!$A$17,'مبيعات يومية'!$A$2:$A$14001,"&gt;="&amp;'إعدادات المخزون'!$B$5,'مبيعات يومية'!$A$2:$A$14001,"&lt;="&amp;'إعدادات المخزون'!$B$4)</f>
        <v>0</v>
      </c>
      <c r="J126" s="118" t="n">
        <f aca="false">SUMIFS('مبيعات يومية'!$D$2:$D$14001,'مبيعات يومية'!$C$2:$C$14001,$A126,'مبيعات يومية'!$B$2:$B$14001,'إعدادات المخزون'!$A$17,'مبيعات يومية'!$A$2:$A$14001,"&gt;"&amp;('إعدادات المخزون'!$B$4-'إعدادات المخزون'!$B$11),'مبيعات يومية'!$A$2:$A$14001,"&lt;="&amp;'إعدادات المخزون'!$B$4)</f>
        <v>0</v>
      </c>
    </row>
    <row r="127" customFormat="false" ht="15" hidden="false" customHeight="false" outlineLevel="0" collapsed="false">
      <c r="A127" s="116" t="str">
        <f aca="false">المنيو!B127</f>
        <v>كريب جمبري صيامي</v>
      </c>
      <c r="B127" s="118" t="n">
        <f aca="false">SUMIFS('مبيعات يومية'!$D$2:$D$14001,'مبيعات يومية'!$C$2:$C$14001,$A127,'مبيعات يومية'!$B$2:$B$14001,'إعدادات المخزون'!$A$15,'مبيعات يومية'!$A$2:$A$14001,'إعدادات المخزون'!$B$4)</f>
        <v>0</v>
      </c>
      <c r="C127" s="118" t="n">
        <f aca="false">SUMIFS('مبيعات يومية'!$D$2:$D$14001,'مبيعات يومية'!$C$2:$C$14001,$A127,'مبيعات يومية'!$B$2:$B$14001,'إعدادات المخزون'!$A$15,'مبيعات يومية'!$A$2:$A$14001,"&gt;="&amp;'إعدادات المخزون'!$B$5,'مبيعات يومية'!$A$2:$A$14001,"&lt;="&amp;'إعدادات المخزون'!$B$4)</f>
        <v>0</v>
      </c>
      <c r="D127" s="118" t="n">
        <f aca="false">SUMIFS('مبيعات يومية'!$D$2:$D$14001,'مبيعات يومية'!$C$2:$C$14001,$A127,'مبيعات يومية'!$B$2:$B$14001,'إعدادات المخزون'!$A$15,'مبيعات يومية'!$A$2:$A$14001,"&gt;"&amp;('إعدادات المخزون'!$B$4-'إعدادات المخزون'!$B$11),'مبيعات يومية'!$A$2:$A$14001,"&lt;="&amp;'إعدادات المخزون'!$B$4)</f>
        <v>0</v>
      </c>
      <c r="E127" s="118" t="n">
        <f aca="false">SUMIFS('مبيعات يومية'!$D$2:$D$14001,'مبيعات يومية'!$C$2:$C$14001,$A127,'مبيعات يومية'!$B$2:$B$14001,'إعدادات المخزون'!$A$16,'مبيعات يومية'!$A$2:$A$14001,'إعدادات المخزون'!$B$4)</f>
        <v>0</v>
      </c>
      <c r="F127" s="118" t="n">
        <f aca="false">SUMIFS('مبيعات يومية'!$D$2:$D$14001,'مبيعات يومية'!$C$2:$C$14001,$A127,'مبيعات يومية'!$B$2:$B$14001,'إعدادات المخزون'!$A$16,'مبيعات يومية'!$A$2:$A$14001,"&gt;="&amp;'إعدادات المخزون'!$B$5,'مبيعات يومية'!$A$2:$A$14001,"&lt;="&amp;'إعدادات المخزون'!$B$4)</f>
        <v>0</v>
      </c>
      <c r="G127" s="118" t="n">
        <f aca="false">SUMIFS('مبيعات يومية'!$D$2:$D$14001,'مبيعات يومية'!$C$2:$C$14001,$A127,'مبيعات يومية'!$B$2:$B$14001,'إعدادات المخزون'!$A$16,'مبيعات يومية'!$A$2:$A$14001,"&gt;"&amp;('إعدادات المخزون'!$B$4-'إعدادات المخزون'!$B$11),'مبيعات يومية'!$A$2:$A$14001,"&lt;="&amp;'إعدادات المخزون'!$B$4)</f>
        <v>0</v>
      </c>
      <c r="H127" s="118" t="n">
        <f aca="false">SUMIFS('مبيعات يومية'!$D$2:$D$14001,'مبيعات يومية'!$C$2:$C$14001,$A127,'مبيعات يومية'!$B$2:$B$14001,'إعدادات المخزون'!$A$17,'مبيعات يومية'!$A$2:$A$14001,'إعدادات المخزون'!$B$4)</f>
        <v>0</v>
      </c>
      <c r="I127" s="118" t="n">
        <f aca="false">SUMIFS('مبيعات يومية'!$D$2:$D$14001,'مبيعات يومية'!$C$2:$C$14001,$A127,'مبيعات يومية'!$B$2:$B$14001,'إعدادات المخزون'!$A$17,'مبيعات يومية'!$A$2:$A$14001,"&gt;="&amp;'إعدادات المخزون'!$B$5,'مبيعات يومية'!$A$2:$A$14001,"&lt;="&amp;'إعدادات المخزون'!$B$4)</f>
        <v>0</v>
      </c>
      <c r="J127" s="118" t="n">
        <f aca="false">SUMIFS('مبيعات يومية'!$D$2:$D$14001,'مبيعات يومية'!$C$2:$C$14001,$A127,'مبيعات يومية'!$B$2:$B$14001,'إعدادات المخزون'!$A$17,'مبيعات يومية'!$A$2:$A$14001,"&gt;"&amp;('إعدادات المخزون'!$B$4-'إعدادات المخزون'!$B$11),'مبيعات يومية'!$A$2:$A$14001,"&lt;="&amp;'إعدادات المخزون'!$B$4)</f>
        <v>0</v>
      </c>
    </row>
    <row r="128" customFormat="false" ht="15" hidden="false" customHeight="false" outlineLevel="0" collapsed="false">
      <c r="A128" s="116" t="str">
        <f aca="false">المنيو!B128</f>
        <v>اضافة جبنة كيري (فطير M)</v>
      </c>
      <c r="B128" s="118" t="n">
        <f aca="false">SUMIFS('مبيعات يومية'!$D$2:$D$14001,'مبيعات يومية'!$C$2:$C$14001,$A128,'مبيعات يومية'!$B$2:$B$14001,'إعدادات المخزون'!$A$15,'مبيعات يومية'!$A$2:$A$14001,'إعدادات المخزون'!$B$4)</f>
        <v>2.4167</v>
      </c>
      <c r="C128" s="118" t="n">
        <f aca="false">SUMIFS('مبيعات يومية'!$D$2:$D$14001,'مبيعات يومية'!$C$2:$C$14001,$A128,'مبيعات يومية'!$B$2:$B$14001,'إعدادات المخزون'!$A$15,'مبيعات يومية'!$A$2:$A$14001,"&gt;="&amp;'إعدادات المخزون'!$B$5,'مبيعات يومية'!$A$2:$A$14001,"&lt;="&amp;'إعدادات المخزون'!$B$4)</f>
        <v>29.0004</v>
      </c>
      <c r="D128" s="118" t="n">
        <f aca="false">SUMIFS('مبيعات يومية'!$D$2:$D$14001,'مبيعات يومية'!$C$2:$C$14001,$A128,'مبيعات يومية'!$B$2:$B$14001,'إعدادات المخزون'!$A$15,'مبيعات يومية'!$A$2:$A$14001,"&gt;"&amp;('إعدادات المخزون'!$B$4-'إعدادات المخزون'!$B$11),'مبيعات يومية'!$A$2:$A$14001,"&lt;="&amp;'إعدادات المخزون'!$B$4)</f>
        <v>16.9169</v>
      </c>
      <c r="E128" s="118" t="n">
        <f aca="false">SUMIFS('مبيعات يومية'!$D$2:$D$14001,'مبيعات يومية'!$C$2:$C$14001,$A128,'مبيعات يومية'!$B$2:$B$14001,'إعدادات المخزون'!$A$16,'مبيعات يومية'!$A$2:$A$14001,'إعدادات المخزون'!$B$4)</f>
        <v>3.9167</v>
      </c>
      <c r="F128" s="118" t="n">
        <f aca="false">SUMIFS('مبيعات يومية'!$D$2:$D$14001,'مبيعات يومية'!$C$2:$C$14001,$A128,'مبيعات يومية'!$B$2:$B$14001,'إعدادات المخزون'!$A$16,'مبيعات يومية'!$A$2:$A$14001,"&gt;="&amp;'إعدادات المخزون'!$B$5,'مبيعات يومية'!$A$2:$A$14001,"&lt;="&amp;'إعدادات المخزون'!$B$4)</f>
        <v>47.0004</v>
      </c>
      <c r="G128" s="118" t="n">
        <f aca="false">SUMIFS('مبيعات يومية'!$D$2:$D$14001,'مبيعات يومية'!$C$2:$C$14001,$A128,'مبيعات يومية'!$B$2:$B$14001,'إعدادات المخزون'!$A$16,'مبيعات يومية'!$A$2:$A$14001,"&gt;"&amp;('إعدادات المخزون'!$B$4-'إعدادات المخزون'!$B$11),'مبيعات يومية'!$A$2:$A$14001,"&lt;="&amp;'إعدادات المخزون'!$B$4)</f>
        <v>27.4169</v>
      </c>
      <c r="H128" s="118" t="n">
        <f aca="false">SUMIFS('مبيعات يومية'!$D$2:$D$14001,'مبيعات يومية'!$C$2:$C$14001,$A128,'مبيعات يومية'!$B$2:$B$14001,'إعدادات المخزون'!$A$17,'مبيعات يومية'!$A$2:$A$14001,'إعدادات المخزون'!$B$4)</f>
        <v>2.6667</v>
      </c>
      <c r="I128" s="118" t="n">
        <f aca="false">SUMIFS('مبيعات يومية'!$D$2:$D$14001,'مبيعات يومية'!$C$2:$C$14001,$A128,'مبيعات يومية'!$B$2:$B$14001,'إعدادات المخزون'!$A$17,'مبيعات يومية'!$A$2:$A$14001,"&gt;="&amp;'إعدادات المخزون'!$B$5,'مبيعات يومية'!$A$2:$A$14001,"&lt;="&amp;'إعدادات المخزون'!$B$4)</f>
        <v>32.0004</v>
      </c>
      <c r="J128" s="118" t="n">
        <f aca="false">SUMIFS('مبيعات يومية'!$D$2:$D$14001,'مبيعات يومية'!$C$2:$C$14001,$A128,'مبيعات يومية'!$B$2:$B$14001,'إعدادات المخزون'!$A$17,'مبيعات يومية'!$A$2:$A$14001,"&gt;"&amp;('إعدادات المخزون'!$B$4-'إعدادات المخزون'!$B$11),'مبيعات يومية'!$A$2:$A$14001,"&lt;="&amp;'إعدادات المخزون'!$B$4)</f>
        <v>18.6669</v>
      </c>
    </row>
    <row r="129" customFormat="false" ht="15" hidden="false" customHeight="false" outlineLevel="0" collapsed="false">
      <c r="A129" s="116" t="str">
        <f aca="false">المنيو!B129</f>
        <v>اضافة جبنة كيري (فطير L)</v>
      </c>
      <c r="B129" s="118" t="n">
        <f aca="false">SUMIFS('مبيعات يومية'!$D$2:$D$14001,'مبيعات يومية'!$C$2:$C$14001,$A129,'مبيعات يومية'!$B$2:$B$14001,'إعدادات المخزون'!$A$15,'مبيعات يومية'!$A$2:$A$14001,'إعدادات المخزون'!$B$4)</f>
        <v>0.9167</v>
      </c>
      <c r="C129" s="118" t="n">
        <f aca="false">SUMIFS('مبيعات يومية'!$D$2:$D$14001,'مبيعات يومية'!$C$2:$C$14001,$A129,'مبيعات يومية'!$B$2:$B$14001,'إعدادات المخزون'!$A$15,'مبيعات يومية'!$A$2:$A$14001,"&gt;="&amp;'إعدادات المخزون'!$B$5,'مبيعات يومية'!$A$2:$A$14001,"&lt;="&amp;'إعدادات المخزون'!$B$4)</f>
        <v>11.0004</v>
      </c>
      <c r="D129" s="118" t="n">
        <f aca="false">SUMIFS('مبيعات يومية'!$D$2:$D$14001,'مبيعات يومية'!$C$2:$C$14001,$A129,'مبيعات يومية'!$B$2:$B$14001,'إعدادات المخزون'!$A$15,'مبيعات يومية'!$A$2:$A$14001,"&gt;"&amp;('إعدادات المخزون'!$B$4-'إعدادات المخزون'!$B$11),'مبيعات يومية'!$A$2:$A$14001,"&lt;="&amp;'إعدادات المخزون'!$B$4)</f>
        <v>6.4169</v>
      </c>
      <c r="E129" s="118" t="n">
        <f aca="false">SUMIFS('مبيعات يومية'!$D$2:$D$14001,'مبيعات يومية'!$C$2:$C$14001,$A129,'مبيعات يومية'!$B$2:$B$14001,'إعدادات المخزون'!$A$16,'مبيعات يومية'!$A$2:$A$14001,'إعدادات المخزون'!$B$4)</f>
        <v>1</v>
      </c>
      <c r="F129" s="118" t="n">
        <f aca="false">SUMIFS('مبيعات يومية'!$D$2:$D$14001,'مبيعات يومية'!$C$2:$C$14001,$A129,'مبيعات يومية'!$B$2:$B$14001,'إعدادات المخزون'!$A$16,'مبيعات يومية'!$A$2:$A$14001,"&gt;="&amp;'إعدادات المخزون'!$B$5,'مبيعات يومية'!$A$2:$A$14001,"&lt;="&amp;'إعدادات المخزون'!$B$4)</f>
        <v>12</v>
      </c>
      <c r="G129" s="118" t="n">
        <f aca="false">SUMIFS('مبيعات يومية'!$D$2:$D$14001,'مبيعات يومية'!$C$2:$C$14001,$A129,'مبيعات يومية'!$B$2:$B$14001,'إعدادات المخزون'!$A$16,'مبيعات يومية'!$A$2:$A$14001,"&gt;"&amp;('إعدادات المخزون'!$B$4-'إعدادات المخزون'!$B$11),'مبيعات يومية'!$A$2:$A$14001,"&lt;="&amp;'إعدادات المخزون'!$B$4)</f>
        <v>7</v>
      </c>
      <c r="H129" s="118" t="n">
        <f aca="false">SUMIFS('مبيعات يومية'!$D$2:$D$14001,'مبيعات يومية'!$C$2:$C$14001,$A129,'مبيعات يومية'!$B$2:$B$14001,'إعدادات المخزون'!$A$17,'مبيعات يومية'!$A$2:$A$14001,'إعدادات المخزون'!$B$4)</f>
        <v>0.6667</v>
      </c>
      <c r="I129" s="118" t="n">
        <f aca="false">SUMIFS('مبيعات يومية'!$D$2:$D$14001,'مبيعات يومية'!$C$2:$C$14001,$A129,'مبيعات يومية'!$B$2:$B$14001,'إعدادات المخزون'!$A$17,'مبيعات يومية'!$A$2:$A$14001,"&gt;="&amp;'إعدادات المخزون'!$B$5,'مبيعات يومية'!$A$2:$A$14001,"&lt;="&amp;'إعدادات المخزون'!$B$4)</f>
        <v>8.0004</v>
      </c>
      <c r="J129" s="118" t="n">
        <f aca="false">SUMIFS('مبيعات يومية'!$D$2:$D$14001,'مبيعات يومية'!$C$2:$C$14001,$A129,'مبيعات يومية'!$B$2:$B$14001,'إعدادات المخزون'!$A$17,'مبيعات يومية'!$A$2:$A$14001,"&gt;"&amp;('إعدادات المخزون'!$B$4-'إعدادات المخزون'!$B$11),'مبيعات يومية'!$A$2:$A$14001,"&lt;="&amp;'إعدادات المخزون'!$B$4)</f>
        <v>4.6669</v>
      </c>
    </row>
    <row r="130" customFormat="false" ht="15" hidden="false" customHeight="false" outlineLevel="0" collapsed="false">
      <c r="A130" s="116" t="str">
        <f aca="false">المنيو!B130</f>
        <v>اضافة جبنة كيري (بيتزا وسط)</v>
      </c>
      <c r="B130" s="118" t="n">
        <f aca="false">SUMIFS('مبيعات يومية'!$D$2:$D$14001,'مبيعات يومية'!$C$2:$C$14001,$A130,'مبيعات يومية'!$B$2:$B$14001,'إعدادات المخزون'!$A$15,'مبيعات يومية'!$A$2:$A$14001,'إعدادات المخزون'!$B$4)</f>
        <v>0.1667</v>
      </c>
      <c r="C130" s="118" t="n">
        <f aca="false">SUMIFS('مبيعات يومية'!$D$2:$D$14001,'مبيعات يومية'!$C$2:$C$14001,$A130,'مبيعات يومية'!$B$2:$B$14001,'إعدادات المخزون'!$A$15,'مبيعات يومية'!$A$2:$A$14001,"&gt;="&amp;'إعدادات المخزون'!$B$5,'مبيعات يومية'!$A$2:$A$14001,"&lt;="&amp;'إعدادات المخزون'!$B$4)</f>
        <v>2.0004</v>
      </c>
      <c r="D130" s="118" t="n">
        <f aca="false">SUMIFS('مبيعات يومية'!$D$2:$D$14001,'مبيعات يومية'!$C$2:$C$14001,$A130,'مبيعات يومية'!$B$2:$B$14001,'إعدادات المخزون'!$A$15,'مبيعات يومية'!$A$2:$A$14001,"&gt;"&amp;('إعدادات المخزون'!$B$4-'إعدادات المخزون'!$B$11),'مبيعات يومية'!$A$2:$A$14001,"&lt;="&amp;'إعدادات المخزون'!$B$4)</f>
        <v>1.1669</v>
      </c>
      <c r="E130" s="118" t="n">
        <f aca="false">SUMIFS('مبيعات يومية'!$D$2:$D$14001,'مبيعات يومية'!$C$2:$C$14001,$A130,'مبيعات يومية'!$B$2:$B$14001,'إعدادات المخزون'!$A$16,'مبيعات يومية'!$A$2:$A$14001,'إعدادات المخزون'!$B$4)</f>
        <v>0.5833</v>
      </c>
      <c r="F130" s="118" t="n">
        <f aca="false">SUMIFS('مبيعات يومية'!$D$2:$D$14001,'مبيعات يومية'!$C$2:$C$14001,$A130,'مبيعات يومية'!$B$2:$B$14001,'إعدادات المخزون'!$A$16,'مبيعات يومية'!$A$2:$A$14001,"&gt;="&amp;'إعدادات المخزون'!$B$5,'مبيعات يومية'!$A$2:$A$14001,"&lt;="&amp;'إعدادات المخزون'!$B$4)</f>
        <v>6.9996</v>
      </c>
      <c r="G130" s="118" t="n">
        <f aca="false">SUMIFS('مبيعات يومية'!$D$2:$D$14001,'مبيعات يومية'!$C$2:$C$14001,$A130,'مبيعات يومية'!$B$2:$B$14001,'إعدادات المخزون'!$A$16,'مبيعات يومية'!$A$2:$A$14001,"&gt;"&amp;('إعدادات المخزون'!$B$4-'إعدادات المخزون'!$B$11),'مبيعات يومية'!$A$2:$A$14001,"&lt;="&amp;'إعدادات المخزون'!$B$4)</f>
        <v>4.0831</v>
      </c>
      <c r="H130" s="118" t="n">
        <f aca="false">SUMIFS('مبيعات يومية'!$D$2:$D$14001,'مبيعات يومية'!$C$2:$C$14001,$A130,'مبيعات يومية'!$B$2:$B$14001,'إعدادات المخزون'!$A$17,'مبيعات يومية'!$A$2:$A$14001,'إعدادات المخزون'!$B$4)</f>
        <v>0</v>
      </c>
      <c r="I130" s="118" t="n">
        <f aca="false">SUMIFS('مبيعات يومية'!$D$2:$D$14001,'مبيعات يومية'!$C$2:$C$14001,$A130,'مبيعات يومية'!$B$2:$B$14001,'إعدادات المخزون'!$A$17,'مبيعات يومية'!$A$2:$A$14001,"&gt;="&amp;'إعدادات المخزون'!$B$5,'مبيعات يومية'!$A$2:$A$14001,"&lt;="&amp;'إعدادات المخزون'!$B$4)</f>
        <v>0</v>
      </c>
      <c r="J130" s="118" t="n">
        <f aca="false">SUMIFS('مبيعات يومية'!$D$2:$D$14001,'مبيعات يومية'!$C$2:$C$14001,$A130,'مبيعات يومية'!$B$2:$B$14001,'إعدادات المخزون'!$A$17,'مبيعات يومية'!$A$2:$A$14001,"&gt;"&amp;('إعدادات المخزون'!$B$4-'إعدادات المخزون'!$B$11),'مبيعات يومية'!$A$2:$A$14001,"&lt;="&amp;'إعدادات المخزون'!$B$4)</f>
        <v>0</v>
      </c>
    </row>
    <row r="131" customFormat="false" ht="15" hidden="false" customHeight="false" outlineLevel="0" collapsed="false">
      <c r="A131" s="116" t="str">
        <f aca="false">المنيو!B131</f>
        <v>اضافة جبنة موتزريلا (فطير M)</v>
      </c>
      <c r="B131" s="118" t="n">
        <f aca="false">SUMIFS('مبيعات يومية'!$D$2:$D$14001,'مبيعات يومية'!$C$2:$C$14001,$A131,'مبيعات يومية'!$B$2:$B$14001,'إعدادات المخزون'!$A$15,'مبيعات يومية'!$A$2:$A$14001,'إعدادات المخزون'!$B$4)</f>
        <v>0.8333</v>
      </c>
      <c r="C131" s="118" t="n">
        <f aca="false">SUMIFS('مبيعات يومية'!$D$2:$D$14001,'مبيعات يومية'!$C$2:$C$14001,$A131,'مبيعات يومية'!$B$2:$B$14001,'إعدادات المخزون'!$A$15,'مبيعات يومية'!$A$2:$A$14001,"&gt;="&amp;'إعدادات المخزون'!$B$5,'مبيعات يومية'!$A$2:$A$14001,"&lt;="&amp;'إعدادات المخزون'!$B$4)</f>
        <v>9.9996</v>
      </c>
      <c r="D131" s="118" t="n">
        <f aca="false">SUMIFS('مبيعات يومية'!$D$2:$D$14001,'مبيعات يومية'!$C$2:$C$14001,$A131,'مبيعات يومية'!$B$2:$B$14001,'إعدادات المخزون'!$A$15,'مبيعات يومية'!$A$2:$A$14001,"&gt;"&amp;('إعدادات المخزون'!$B$4-'إعدادات المخزون'!$B$11),'مبيعات يومية'!$A$2:$A$14001,"&lt;="&amp;'إعدادات المخزون'!$B$4)</f>
        <v>5.8331</v>
      </c>
      <c r="E131" s="118" t="n">
        <f aca="false">SUMIFS('مبيعات يومية'!$D$2:$D$14001,'مبيعات يومية'!$C$2:$C$14001,$A131,'مبيعات يومية'!$B$2:$B$14001,'إعدادات المخزون'!$A$16,'مبيعات يومية'!$A$2:$A$14001,'إعدادات المخزون'!$B$4)</f>
        <v>0.0833</v>
      </c>
      <c r="F131" s="118" t="n">
        <f aca="false">SUMIFS('مبيعات يومية'!$D$2:$D$14001,'مبيعات يومية'!$C$2:$C$14001,$A131,'مبيعات يومية'!$B$2:$B$14001,'إعدادات المخزون'!$A$16,'مبيعات يومية'!$A$2:$A$14001,"&gt;="&amp;'إعدادات المخزون'!$B$5,'مبيعات يومية'!$A$2:$A$14001,"&lt;="&amp;'إعدادات المخزون'!$B$4)</f>
        <v>0.9996</v>
      </c>
      <c r="G131" s="118" t="n">
        <f aca="false">SUMIFS('مبيعات يومية'!$D$2:$D$14001,'مبيعات يومية'!$C$2:$C$14001,$A131,'مبيعات يومية'!$B$2:$B$14001,'إعدادات المخزون'!$A$16,'مبيعات يومية'!$A$2:$A$14001,"&gt;"&amp;('إعدادات المخزون'!$B$4-'إعدادات المخزون'!$B$11),'مبيعات يومية'!$A$2:$A$14001,"&lt;="&amp;'إعدادات المخزون'!$B$4)</f>
        <v>0.5831</v>
      </c>
      <c r="H131" s="118" t="n">
        <f aca="false">SUMIFS('مبيعات يومية'!$D$2:$D$14001,'مبيعات يومية'!$C$2:$C$14001,$A131,'مبيعات يومية'!$B$2:$B$14001,'إعدادات المخزون'!$A$17,'مبيعات يومية'!$A$2:$A$14001,'إعدادات المخزون'!$B$4)</f>
        <v>0.1667</v>
      </c>
      <c r="I131" s="118" t="n">
        <f aca="false">SUMIFS('مبيعات يومية'!$D$2:$D$14001,'مبيعات يومية'!$C$2:$C$14001,$A131,'مبيعات يومية'!$B$2:$B$14001,'إعدادات المخزون'!$A$17,'مبيعات يومية'!$A$2:$A$14001,"&gt;="&amp;'إعدادات المخزون'!$B$5,'مبيعات يومية'!$A$2:$A$14001,"&lt;="&amp;'إعدادات المخزون'!$B$4)</f>
        <v>2.0004</v>
      </c>
      <c r="J131" s="118" t="n">
        <f aca="false">SUMIFS('مبيعات يومية'!$D$2:$D$14001,'مبيعات يومية'!$C$2:$C$14001,$A131,'مبيعات يومية'!$B$2:$B$14001,'إعدادات المخزون'!$A$17,'مبيعات يومية'!$A$2:$A$14001,"&gt;"&amp;('إعدادات المخزون'!$B$4-'إعدادات المخزون'!$B$11),'مبيعات يومية'!$A$2:$A$14001,"&lt;="&amp;'إعدادات المخزون'!$B$4)</f>
        <v>1.1669</v>
      </c>
    </row>
    <row r="132" customFormat="false" ht="15" hidden="false" customHeight="false" outlineLevel="0" collapsed="false">
      <c r="A132" s="116" t="str">
        <f aca="false">المنيو!B132</f>
        <v>اضافة جبنة موتزريلا (فطير L)</v>
      </c>
      <c r="B132" s="118" t="n">
        <f aca="false">SUMIFS('مبيعات يومية'!$D$2:$D$14001,'مبيعات يومية'!$C$2:$C$14001,$A132,'مبيعات يومية'!$B$2:$B$14001,'إعدادات المخزون'!$A$15,'مبيعات يومية'!$A$2:$A$14001,'إعدادات المخزون'!$B$4)</f>
        <v>0.1667</v>
      </c>
      <c r="C132" s="118" t="n">
        <f aca="false">SUMIFS('مبيعات يومية'!$D$2:$D$14001,'مبيعات يومية'!$C$2:$C$14001,$A132,'مبيعات يومية'!$B$2:$B$14001,'إعدادات المخزون'!$A$15,'مبيعات يومية'!$A$2:$A$14001,"&gt;="&amp;'إعدادات المخزون'!$B$5,'مبيعات يومية'!$A$2:$A$14001,"&lt;="&amp;'إعدادات المخزون'!$B$4)</f>
        <v>2.0004</v>
      </c>
      <c r="D132" s="118" t="n">
        <f aca="false">SUMIFS('مبيعات يومية'!$D$2:$D$14001,'مبيعات يومية'!$C$2:$C$14001,$A132,'مبيعات يومية'!$B$2:$B$14001,'إعدادات المخزون'!$A$15,'مبيعات يومية'!$A$2:$A$14001,"&gt;"&amp;('إعدادات المخزون'!$B$4-'إعدادات المخزون'!$B$11),'مبيعات يومية'!$A$2:$A$14001,"&lt;="&amp;'إعدادات المخزون'!$B$4)</f>
        <v>1.1669</v>
      </c>
      <c r="E132" s="118" t="n">
        <f aca="false">SUMIFS('مبيعات يومية'!$D$2:$D$14001,'مبيعات يومية'!$C$2:$C$14001,$A132,'مبيعات يومية'!$B$2:$B$14001,'إعدادات المخزون'!$A$16,'مبيعات يومية'!$A$2:$A$14001,'إعدادات المخزون'!$B$4)</f>
        <v>0.0833</v>
      </c>
      <c r="F132" s="118" t="n">
        <f aca="false">SUMIFS('مبيعات يومية'!$D$2:$D$14001,'مبيعات يومية'!$C$2:$C$14001,$A132,'مبيعات يومية'!$B$2:$B$14001,'إعدادات المخزون'!$A$16,'مبيعات يومية'!$A$2:$A$14001,"&gt;="&amp;'إعدادات المخزون'!$B$5,'مبيعات يومية'!$A$2:$A$14001,"&lt;="&amp;'إعدادات المخزون'!$B$4)</f>
        <v>0.9996</v>
      </c>
      <c r="G132" s="118" t="n">
        <f aca="false">SUMIFS('مبيعات يومية'!$D$2:$D$14001,'مبيعات يومية'!$C$2:$C$14001,$A132,'مبيعات يومية'!$B$2:$B$14001,'إعدادات المخزون'!$A$16,'مبيعات يومية'!$A$2:$A$14001,"&gt;"&amp;('إعدادات المخزون'!$B$4-'إعدادات المخزون'!$B$11),'مبيعات يومية'!$A$2:$A$14001,"&lt;="&amp;'إعدادات المخزون'!$B$4)</f>
        <v>0.5831</v>
      </c>
      <c r="H132" s="118" t="n">
        <f aca="false">SUMIFS('مبيعات يومية'!$D$2:$D$14001,'مبيعات يومية'!$C$2:$C$14001,$A132,'مبيعات يومية'!$B$2:$B$14001,'إعدادات المخزون'!$A$17,'مبيعات يومية'!$A$2:$A$14001,'إعدادات المخزون'!$B$4)</f>
        <v>0</v>
      </c>
      <c r="I132" s="118" t="n">
        <f aca="false">SUMIFS('مبيعات يومية'!$D$2:$D$14001,'مبيعات يومية'!$C$2:$C$14001,$A132,'مبيعات يومية'!$B$2:$B$14001,'إعدادات المخزون'!$A$17,'مبيعات يومية'!$A$2:$A$14001,"&gt;="&amp;'إعدادات المخزون'!$B$5,'مبيعات يومية'!$A$2:$A$14001,"&lt;="&amp;'إعدادات المخزون'!$B$4)</f>
        <v>0</v>
      </c>
      <c r="J132" s="118" t="n">
        <f aca="false">SUMIFS('مبيعات يومية'!$D$2:$D$14001,'مبيعات يومية'!$C$2:$C$14001,$A132,'مبيعات يومية'!$B$2:$B$14001,'إعدادات المخزون'!$A$17,'مبيعات يومية'!$A$2:$A$14001,"&gt;"&amp;('إعدادات المخزون'!$B$4-'إعدادات المخزون'!$B$11),'مبيعات يومية'!$A$2:$A$14001,"&lt;="&amp;'إعدادات المخزون'!$B$4)</f>
        <v>0</v>
      </c>
    </row>
    <row r="133" customFormat="false" ht="15" hidden="false" customHeight="false" outlineLevel="0" collapsed="false">
      <c r="A133" s="116" t="str">
        <f aca="false">المنيو!B133</f>
        <v>اضافة جبنة موتزريلا (بيتزا وسط)</v>
      </c>
      <c r="B133" s="118" t="n">
        <f aca="false">SUMIFS('مبيعات يومية'!$D$2:$D$14001,'مبيعات يومية'!$C$2:$C$14001,$A133,'مبيعات يومية'!$B$2:$B$14001,'إعدادات المخزون'!$A$15,'مبيعات يومية'!$A$2:$A$14001,'إعدادات المخزون'!$B$4)</f>
        <v>0.3333</v>
      </c>
      <c r="C133" s="118" t="n">
        <f aca="false">SUMIFS('مبيعات يومية'!$D$2:$D$14001,'مبيعات يومية'!$C$2:$C$14001,$A133,'مبيعات يومية'!$B$2:$B$14001,'إعدادات المخزون'!$A$15,'مبيعات يومية'!$A$2:$A$14001,"&gt;="&amp;'إعدادات المخزون'!$B$5,'مبيعات يومية'!$A$2:$A$14001,"&lt;="&amp;'إعدادات المخزون'!$B$4)</f>
        <v>3.9996</v>
      </c>
      <c r="D133" s="118" t="n">
        <f aca="false">SUMIFS('مبيعات يومية'!$D$2:$D$14001,'مبيعات يومية'!$C$2:$C$14001,$A133,'مبيعات يومية'!$B$2:$B$14001,'إعدادات المخزون'!$A$15,'مبيعات يومية'!$A$2:$A$14001,"&gt;"&amp;('إعدادات المخزون'!$B$4-'إعدادات المخزون'!$B$11),'مبيعات يومية'!$A$2:$A$14001,"&lt;="&amp;'إعدادات المخزون'!$B$4)</f>
        <v>2.3331</v>
      </c>
      <c r="E133" s="118" t="n">
        <f aca="false">SUMIFS('مبيعات يومية'!$D$2:$D$14001,'مبيعات يومية'!$C$2:$C$14001,$A133,'مبيعات يومية'!$B$2:$B$14001,'إعدادات المخزون'!$A$16,'مبيعات يومية'!$A$2:$A$14001,'إعدادات المخزون'!$B$4)</f>
        <v>0.5</v>
      </c>
      <c r="F133" s="118" t="n">
        <f aca="false">SUMIFS('مبيعات يومية'!$D$2:$D$14001,'مبيعات يومية'!$C$2:$C$14001,$A133,'مبيعات يومية'!$B$2:$B$14001,'إعدادات المخزون'!$A$16,'مبيعات يومية'!$A$2:$A$14001,"&gt;="&amp;'إعدادات المخزون'!$B$5,'مبيعات يومية'!$A$2:$A$14001,"&lt;="&amp;'إعدادات المخزون'!$B$4)</f>
        <v>6</v>
      </c>
      <c r="G133" s="118" t="n">
        <f aca="false">SUMIFS('مبيعات يومية'!$D$2:$D$14001,'مبيعات يومية'!$C$2:$C$14001,$A133,'مبيعات يومية'!$B$2:$B$14001,'إعدادات المخزون'!$A$16,'مبيعات يومية'!$A$2:$A$14001,"&gt;"&amp;('إعدادات المخزون'!$B$4-'إعدادات المخزون'!$B$11),'مبيعات يومية'!$A$2:$A$14001,"&lt;="&amp;'إعدادات المخزون'!$B$4)</f>
        <v>3.5</v>
      </c>
      <c r="H133" s="118" t="n">
        <f aca="false">SUMIFS('مبيعات يومية'!$D$2:$D$14001,'مبيعات يومية'!$C$2:$C$14001,$A133,'مبيعات يومية'!$B$2:$B$14001,'إعدادات المخزون'!$A$17,'مبيعات يومية'!$A$2:$A$14001,'إعدادات المخزون'!$B$4)</f>
        <v>0.4167</v>
      </c>
      <c r="I133" s="118" t="n">
        <f aca="false">SUMIFS('مبيعات يومية'!$D$2:$D$14001,'مبيعات يومية'!$C$2:$C$14001,$A133,'مبيعات يومية'!$B$2:$B$14001,'إعدادات المخزون'!$A$17,'مبيعات يومية'!$A$2:$A$14001,"&gt;="&amp;'إعدادات المخزون'!$B$5,'مبيعات يومية'!$A$2:$A$14001,"&lt;="&amp;'إعدادات المخزون'!$B$4)</f>
        <v>5.0004</v>
      </c>
      <c r="J133" s="118" t="n">
        <f aca="false">SUMIFS('مبيعات يومية'!$D$2:$D$14001,'مبيعات يومية'!$C$2:$C$14001,$A133,'مبيعات يومية'!$B$2:$B$14001,'إعدادات المخزون'!$A$17,'مبيعات يومية'!$A$2:$A$14001,"&gt;"&amp;('إعدادات المخزون'!$B$4-'إعدادات المخزون'!$B$11),'مبيعات يومية'!$A$2:$A$14001,"&lt;="&amp;'إعدادات المخزون'!$B$4)</f>
        <v>2.9169</v>
      </c>
    </row>
    <row r="134" customFormat="false" ht="15" hidden="false" customHeight="false" outlineLevel="0" collapsed="false">
      <c r="A134" s="116" t="str">
        <f aca="false">المنيو!B134</f>
        <v>اضافة جبنة موتزريلا (بيتزا كبير)</v>
      </c>
      <c r="B134" s="118" t="n">
        <f aca="false">SUMIFS('مبيعات يومية'!$D$2:$D$14001,'مبيعات يومية'!$C$2:$C$14001,$A134,'مبيعات يومية'!$B$2:$B$14001,'إعدادات المخزون'!$A$15,'مبيعات يومية'!$A$2:$A$14001,'إعدادات المخزون'!$B$4)</f>
        <v>0</v>
      </c>
      <c r="C134" s="118" t="n">
        <f aca="false">SUMIFS('مبيعات يومية'!$D$2:$D$14001,'مبيعات يومية'!$C$2:$C$14001,$A134,'مبيعات يومية'!$B$2:$B$14001,'إعدادات المخزون'!$A$15,'مبيعات يومية'!$A$2:$A$14001,"&gt;="&amp;'إعدادات المخزون'!$B$5,'مبيعات يومية'!$A$2:$A$14001,"&lt;="&amp;'إعدادات المخزون'!$B$4)</f>
        <v>0</v>
      </c>
      <c r="D134" s="118" t="n">
        <f aca="false">SUMIFS('مبيعات يومية'!$D$2:$D$14001,'مبيعات يومية'!$C$2:$C$14001,$A134,'مبيعات يومية'!$B$2:$B$14001,'إعدادات المخزون'!$A$15,'مبيعات يومية'!$A$2:$A$14001,"&gt;"&amp;('إعدادات المخزون'!$B$4-'إعدادات المخزون'!$B$11),'مبيعات يومية'!$A$2:$A$14001,"&lt;="&amp;'إعدادات المخزون'!$B$4)</f>
        <v>0</v>
      </c>
      <c r="E134" s="118" t="n">
        <f aca="false">SUMIFS('مبيعات يومية'!$D$2:$D$14001,'مبيعات يومية'!$C$2:$C$14001,$A134,'مبيعات يومية'!$B$2:$B$14001,'إعدادات المخزون'!$A$16,'مبيعات يومية'!$A$2:$A$14001,'إعدادات المخزون'!$B$4)</f>
        <v>0.1667</v>
      </c>
      <c r="F134" s="118" t="n">
        <f aca="false">SUMIFS('مبيعات يومية'!$D$2:$D$14001,'مبيعات يومية'!$C$2:$C$14001,$A134,'مبيعات يومية'!$B$2:$B$14001,'إعدادات المخزون'!$A$16,'مبيعات يومية'!$A$2:$A$14001,"&gt;="&amp;'إعدادات المخزون'!$B$5,'مبيعات يومية'!$A$2:$A$14001,"&lt;="&amp;'إعدادات المخزون'!$B$4)</f>
        <v>2.0004</v>
      </c>
      <c r="G134" s="118" t="n">
        <f aca="false">SUMIFS('مبيعات يومية'!$D$2:$D$14001,'مبيعات يومية'!$C$2:$C$14001,$A134,'مبيعات يومية'!$B$2:$B$14001,'إعدادات المخزون'!$A$16,'مبيعات يومية'!$A$2:$A$14001,"&gt;"&amp;('إعدادات المخزون'!$B$4-'إعدادات المخزون'!$B$11),'مبيعات يومية'!$A$2:$A$14001,"&lt;="&amp;'إعدادات المخزون'!$B$4)</f>
        <v>1.1669</v>
      </c>
      <c r="H134" s="118" t="n">
        <f aca="false">SUMIFS('مبيعات يومية'!$D$2:$D$14001,'مبيعات يومية'!$C$2:$C$14001,$A134,'مبيعات يومية'!$B$2:$B$14001,'إعدادات المخزون'!$A$17,'مبيعات يومية'!$A$2:$A$14001,'إعدادات المخزون'!$B$4)</f>
        <v>0</v>
      </c>
      <c r="I134" s="118" t="n">
        <f aca="false">SUMIFS('مبيعات يومية'!$D$2:$D$14001,'مبيعات يومية'!$C$2:$C$14001,$A134,'مبيعات يومية'!$B$2:$B$14001,'إعدادات المخزون'!$A$17,'مبيعات يومية'!$A$2:$A$14001,"&gt;="&amp;'إعدادات المخزون'!$B$5,'مبيعات يومية'!$A$2:$A$14001,"&lt;="&amp;'إعدادات المخزون'!$B$4)</f>
        <v>0</v>
      </c>
      <c r="J134" s="118" t="n">
        <f aca="false">SUMIFS('مبيعات يومية'!$D$2:$D$14001,'مبيعات يومية'!$C$2:$C$14001,$A134,'مبيعات يومية'!$B$2:$B$14001,'إعدادات المخزون'!$A$17,'مبيعات يومية'!$A$2:$A$14001,"&gt;"&amp;('إعدادات المخزون'!$B$4-'إعدادات المخزون'!$B$11),'مبيعات يومية'!$A$2:$A$14001,"&lt;="&amp;'إعدادات المخزون'!$B$4)</f>
        <v>0</v>
      </c>
    </row>
    <row r="135" customFormat="false" ht="15" hidden="false" customHeight="false" outlineLevel="0" collapsed="false">
      <c r="A135" s="116" t="str">
        <f aca="false">المنيو!B135</f>
        <v>اضافة جبنة رومي (بيتزا وسط)</v>
      </c>
      <c r="B135" s="118" t="n">
        <f aca="false">SUMIFS('مبيعات يومية'!$D$2:$D$14001,'مبيعات يومية'!$C$2:$C$14001,$A135,'مبيعات يومية'!$B$2:$B$14001,'إعدادات المخزون'!$A$15,'مبيعات يومية'!$A$2:$A$14001,'إعدادات المخزون'!$B$4)</f>
        <v>0.1667</v>
      </c>
      <c r="C135" s="118" t="n">
        <f aca="false">SUMIFS('مبيعات يومية'!$D$2:$D$14001,'مبيعات يومية'!$C$2:$C$14001,$A135,'مبيعات يومية'!$B$2:$B$14001,'إعدادات المخزون'!$A$15,'مبيعات يومية'!$A$2:$A$14001,"&gt;="&amp;'إعدادات المخزون'!$B$5,'مبيعات يومية'!$A$2:$A$14001,"&lt;="&amp;'إعدادات المخزون'!$B$4)</f>
        <v>2.0004</v>
      </c>
      <c r="D135" s="118" t="n">
        <f aca="false">SUMIFS('مبيعات يومية'!$D$2:$D$14001,'مبيعات يومية'!$C$2:$C$14001,$A135,'مبيعات يومية'!$B$2:$B$14001,'إعدادات المخزون'!$A$15,'مبيعات يومية'!$A$2:$A$14001,"&gt;"&amp;('إعدادات المخزون'!$B$4-'إعدادات المخزون'!$B$11),'مبيعات يومية'!$A$2:$A$14001,"&lt;="&amp;'إعدادات المخزون'!$B$4)</f>
        <v>1.1669</v>
      </c>
      <c r="E135" s="118" t="n">
        <f aca="false">SUMIFS('مبيعات يومية'!$D$2:$D$14001,'مبيعات يومية'!$C$2:$C$14001,$A135,'مبيعات يومية'!$B$2:$B$14001,'إعدادات المخزون'!$A$16,'مبيعات يومية'!$A$2:$A$14001,'إعدادات المخزون'!$B$4)</f>
        <v>0</v>
      </c>
      <c r="F135" s="118" t="n">
        <f aca="false">SUMIFS('مبيعات يومية'!$D$2:$D$14001,'مبيعات يومية'!$C$2:$C$14001,$A135,'مبيعات يومية'!$B$2:$B$14001,'إعدادات المخزون'!$A$16,'مبيعات يومية'!$A$2:$A$14001,"&gt;="&amp;'إعدادات المخزون'!$B$5,'مبيعات يومية'!$A$2:$A$14001,"&lt;="&amp;'إعدادات المخزون'!$B$4)</f>
        <v>0</v>
      </c>
      <c r="G135" s="118" t="n">
        <f aca="false">SUMIFS('مبيعات يومية'!$D$2:$D$14001,'مبيعات يومية'!$C$2:$C$14001,$A135,'مبيعات يومية'!$B$2:$B$14001,'إعدادات المخزون'!$A$16,'مبيعات يومية'!$A$2:$A$14001,"&gt;"&amp;('إعدادات المخزون'!$B$4-'إعدادات المخزون'!$B$11),'مبيعات يومية'!$A$2:$A$14001,"&lt;="&amp;'إعدادات المخزون'!$B$4)</f>
        <v>0</v>
      </c>
      <c r="H135" s="118" t="n">
        <f aca="false">SUMIFS('مبيعات يومية'!$D$2:$D$14001,'مبيعات يومية'!$C$2:$C$14001,$A135,'مبيعات يومية'!$B$2:$B$14001,'إعدادات المخزون'!$A$17,'مبيعات يومية'!$A$2:$A$14001,'إعدادات المخزون'!$B$4)</f>
        <v>0</v>
      </c>
      <c r="I135" s="118" t="n">
        <f aca="false">SUMIFS('مبيعات يومية'!$D$2:$D$14001,'مبيعات يومية'!$C$2:$C$14001,$A135,'مبيعات يومية'!$B$2:$B$14001,'إعدادات المخزون'!$A$17,'مبيعات يومية'!$A$2:$A$14001,"&gt;="&amp;'إعدادات المخزون'!$B$5,'مبيعات يومية'!$A$2:$A$14001,"&lt;="&amp;'إعدادات المخزون'!$B$4)</f>
        <v>0</v>
      </c>
      <c r="J135" s="118" t="n">
        <f aca="false">SUMIFS('مبيعات يومية'!$D$2:$D$14001,'مبيعات يومية'!$C$2:$C$14001,$A135,'مبيعات يومية'!$B$2:$B$14001,'إعدادات المخزون'!$A$17,'مبيعات يومية'!$A$2:$A$14001,"&gt;"&amp;('إعدادات المخزون'!$B$4-'إعدادات المخزون'!$B$11),'مبيعات يومية'!$A$2:$A$14001,"&lt;="&amp;'إعدادات المخزون'!$B$4)</f>
        <v>0</v>
      </c>
    </row>
    <row r="136" customFormat="false" ht="15" hidden="false" customHeight="false" outlineLevel="0" collapsed="false">
      <c r="A136" s="116" t="str">
        <f aca="false">المنيو!B136</f>
        <v>اضافة جبنة رومي (فطير وسط)</v>
      </c>
      <c r="B136" s="118" t="n">
        <f aca="false">SUMIFS('مبيعات يومية'!$D$2:$D$14001,'مبيعات يومية'!$C$2:$C$14001,$A136,'مبيعات يومية'!$B$2:$B$14001,'إعدادات المخزون'!$A$15,'مبيعات يومية'!$A$2:$A$14001,'إعدادات المخزون'!$B$4)</f>
        <v>0</v>
      </c>
      <c r="C136" s="118" t="n">
        <f aca="false">SUMIFS('مبيعات يومية'!$D$2:$D$14001,'مبيعات يومية'!$C$2:$C$14001,$A136,'مبيعات يومية'!$B$2:$B$14001,'إعدادات المخزون'!$A$15,'مبيعات يومية'!$A$2:$A$14001,"&gt;="&amp;'إعدادات المخزون'!$B$5,'مبيعات يومية'!$A$2:$A$14001,"&lt;="&amp;'إعدادات المخزون'!$B$4)</f>
        <v>0</v>
      </c>
      <c r="D136" s="118" t="n">
        <f aca="false">SUMIFS('مبيعات يومية'!$D$2:$D$14001,'مبيعات يومية'!$C$2:$C$14001,$A136,'مبيعات يومية'!$B$2:$B$14001,'إعدادات المخزون'!$A$15,'مبيعات يومية'!$A$2:$A$14001,"&gt;"&amp;('إعدادات المخزون'!$B$4-'إعدادات المخزون'!$B$11),'مبيعات يومية'!$A$2:$A$14001,"&lt;="&amp;'إعدادات المخزون'!$B$4)</f>
        <v>0</v>
      </c>
      <c r="E136" s="118" t="n">
        <f aca="false">SUMIFS('مبيعات يومية'!$D$2:$D$14001,'مبيعات يومية'!$C$2:$C$14001,$A136,'مبيعات يومية'!$B$2:$B$14001,'إعدادات المخزون'!$A$16,'مبيعات يومية'!$A$2:$A$14001,'إعدادات المخزون'!$B$4)</f>
        <v>0</v>
      </c>
      <c r="F136" s="118" t="n">
        <f aca="false">SUMIFS('مبيعات يومية'!$D$2:$D$14001,'مبيعات يومية'!$C$2:$C$14001,$A136,'مبيعات يومية'!$B$2:$B$14001,'إعدادات المخزون'!$A$16,'مبيعات يومية'!$A$2:$A$14001,"&gt;="&amp;'إعدادات المخزون'!$B$5,'مبيعات يومية'!$A$2:$A$14001,"&lt;="&amp;'إعدادات المخزون'!$B$4)</f>
        <v>0</v>
      </c>
      <c r="G136" s="118" t="n">
        <f aca="false">SUMIFS('مبيعات يومية'!$D$2:$D$14001,'مبيعات يومية'!$C$2:$C$14001,$A136,'مبيعات يومية'!$B$2:$B$14001,'إعدادات المخزون'!$A$16,'مبيعات يومية'!$A$2:$A$14001,"&gt;"&amp;('إعدادات المخزون'!$B$4-'إعدادات المخزون'!$B$11),'مبيعات يومية'!$A$2:$A$14001,"&lt;="&amp;'إعدادات المخزون'!$B$4)</f>
        <v>0</v>
      </c>
      <c r="H136" s="118" t="n">
        <f aca="false">SUMIFS('مبيعات يومية'!$D$2:$D$14001,'مبيعات يومية'!$C$2:$C$14001,$A136,'مبيعات يومية'!$B$2:$B$14001,'إعدادات المخزون'!$A$17,'مبيعات يومية'!$A$2:$A$14001,'إعدادات المخزون'!$B$4)</f>
        <v>0</v>
      </c>
      <c r="I136" s="118" t="n">
        <f aca="false">SUMIFS('مبيعات يومية'!$D$2:$D$14001,'مبيعات يومية'!$C$2:$C$14001,$A136,'مبيعات يومية'!$B$2:$B$14001,'إعدادات المخزون'!$A$17,'مبيعات يومية'!$A$2:$A$14001,"&gt;="&amp;'إعدادات المخزون'!$B$5,'مبيعات يومية'!$A$2:$A$14001,"&lt;="&amp;'إعدادات المخزون'!$B$4)</f>
        <v>0</v>
      </c>
      <c r="J136" s="118" t="n">
        <f aca="false">SUMIFS('مبيعات يومية'!$D$2:$D$14001,'مبيعات يومية'!$C$2:$C$14001,$A136,'مبيعات يومية'!$B$2:$B$14001,'إعدادات المخزون'!$A$17,'مبيعات يومية'!$A$2:$A$14001,"&gt;"&amp;('إعدادات المخزون'!$B$4-'إعدادات المخزون'!$B$11),'مبيعات يومية'!$A$2:$A$14001,"&lt;="&amp;'إعدادات المخزون'!$B$4)</f>
        <v>0</v>
      </c>
    </row>
    <row r="137" customFormat="false" ht="15" hidden="false" customHeight="false" outlineLevel="0" collapsed="false">
      <c r="A137" s="116" t="str">
        <f aca="false">المنيو!B137</f>
        <v>اضافة جبنة رومي (فطير كبير)</v>
      </c>
      <c r="B137" s="118" t="n">
        <f aca="false">SUMIFS('مبيعات يومية'!$D$2:$D$14001,'مبيعات يومية'!$C$2:$C$14001,$A137,'مبيعات يومية'!$B$2:$B$14001,'إعدادات المخزون'!$A$15,'مبيعات يومية'!$A$2:$A$14001,'إعدادات المخزون'!$B$4)</f>
        <v>0</v>
      </c>
      <c r="C137" s="118" t="n">
        <f aca="false">SUMIFS('مبيعات يومية'!$D$2:$D$14001,'مبيعات يومية'!$C$2:$C$14001,$A137,'مبيعات يومية'!$B$2:$B$14001,'إعدادات المخزون'!$A$15,'مبيعات يومية'!$A$2:$A$14001,"&gt;="&amp;'إعدادات المخزون'!$B$5,'مبيعات يومية'!$A$2:$A$14001,"&lt;="&amp;'إعدادات المخزون'!$B$4)</f>
        <v>0</v>
      </c>
      <c r="D137" s="118" t="n">
        <f aca="false">SUMIFS('مبيعات يومية'!$D$2:$D$14001,'مبيعات يومية'!$C$2:$C$14001,$A137,'مبيعات يومية'!$B$2:$B$14001,'إعدادات المخزون'!$A$15,'مبيعات يومية'!$A$2:$A$14001,"&gt;"&amp;('إعدادات المخزون'!$B$4-'إعدادات المخزون'!$B$11),'مبيعات يومية'!$A$2:$A$14001,"&lt;="&amp;'إعدادات المخزون'!$B$4)</f>
        <v>0</v>
      </c>
      <c r="E137" s="118" t="n">
        <f aca="false">SUMIFS('مبيعات يومية'!$D$2:$D$14001,'مبيعات يومية'!$C$2:$C$14001,$A137,'مبيعات يومية'!$B$2:$B$14001,'إعدادات المخزون'!$A$16,'مبيعات يومية'!$A$2:$A$14001,'إعدادات المخزون'!$B$4)</f>
        <v>0</v>
      </c>
      <c r="F137" s="118" t="n">
        <f aca="false">SUMIFS('مبيعات يومية'!$D$2:$D$14001,'مبيعات يومية'!$C$2:$C$14001,$A137,'مبيعات يومية'!$B$2:$B$14001,'إعدادات المخزون'!$A$16,'مبيعات يومية'!$A$2:$A$14001,"&gt;="&amp;'إعدادات المخزون'!$B$5,'مبيعات يومية'!$A$2:$A$14001,"&lt;="&amp;'إعدادات المخزون'!$B$4)</f>
        <v>0</v>
      </c>
      <c r="G137" s="118" t="n">
        <f aca="false">SUMIFS('مبيعات يومية'!$D$2:$D$14001,'مبيعات يومية'!$C$2:$C$14001,$A137,'مبيعات يومية'!$B$2:$B$14001,'إعدادات المخزون'!$A$16,'مبيعات يومية'!$A$2:$A$14001,"&gt;"&amp;('إعدادات المخزون'!$B$4-'إعدادات المخزون'!$B$11),'مبيعات يومية'!$A$2:$A$14001,"&lt;="&amp;'إعدادات المخزون'!$B$4)</f>
        <v>0</v>
      </c>
      <c r="H137" s="118" t="n">
        <f aca="false">SUMIFS('مبيعات يومية'!$D$2:$D$14001,'مبيعات يومية'!$C$2:$C$14001,$A137,'مبيعات يومية'!$B$2:$B$14001,'إعدادات المخزون'!$A$17,'مبيعات يومية'!$A$2:$A$14001,'إعدادات المخزون'!$B$4)</f>
        <v>0</v>
      </c>
      <c r="I137" s="118" t="n">
        <f aca="false">SUMIFS('مبيعات يومية'!$D$2:$D$14001,'مبيعات يومية'!$C$2:$C$14001,$A137,'مبيعات يومية'!$B$2:$B$14001,'إعدادات المخزون'!$A$17,'مبيعات يومية'!$A$2:$A$14001,"&gt;="&amp;'إعدادات المخزون'!$B$5,'مبيعات يومية'!$A$2:$A$14001,"&lt;="&amp;'إعدادات المخزون'!$B$4)</f>
        <v>0</v>
      </c>
      <c r="J137" s="118" t="n">
        <f aca="false">SUMIFS('مبيعات يومية'!$D$2:$D$14001,'مبيعات يومية'!$C$2:$C$14001,$A137,'مبيعات يومية'!$B$2:$B$14001,'إعدادات المخزون'!$A$17,'مبيعات يومية'!$A$2:$A$14001,"&gt;"&amp;('إعدادات المخزون'!$B$4-'إعدادات المخزون'!$B$11),'مبيعات يومية'!$A$2:$A$14001,"&lt;="&amp;'إعدادات المخزون'!$B$4)</f>
        <v>0</v>
      </c>
    </row>
    <row r="138" customFormat="false" ht="15" hidden="false" customHeight="false" outlineLevel="0" collapsed="false">
      <c r="A138" s="116" t="str">
        <f aca="false">المنيو!B138</f>
        <v>اضافة مكسرات (وسط)</v>
      </c>
      <c r="B138" s="118" t="n">
        <f aca="false">SUMIFS('مبيعات يومية'!$D$2:$D$14001,'مبيعات يومية'!$C$2:$C$14001,$A138,'مبيعات يومية'!$B$2:$B$14001,'إعدادات المخزون'!$A$15,'مبيعات يومية'!$A$2:$A$14001,'إعدادات المخزون'!$B$4)</f>
        <v>0.1667</v>
      </c>
      <c r="C138" s="118" t="n">
        <f aca="false">SUMIFS('مبيعات يومية'!$D$2:$D$14001,'مبيعات يومية'!$C$2:$C$14001,$A138,'مبيعات يومية'!$B$2:$B$14001,'إعدادات المخزون'!$A$15,'مبيعات يومية'!$A$2:$A$14001,"&gt;="&amp;'إعدادات المخزون'!$B$5,'مبيعات يومية'!$A$2:$A$14001,"&lt;="&amp;'إعدادات المخزون'!$B$4)</f>
        <v>2.0004</v>
      </c>
      <c r="D138" s="118" t="n">
        <f aca="false">SUMIFS('مبيعات يومية'!$D$2:$D$14001,'مبيعات يومية'!$C$2:$C$14001,$A138,'مبيعات يومية'!$B$2:$B$14001,'إعدادات المخزون'!$A$15,'مبيعات يومية'!$A$2:$A$14001,"&gt;"&amp;('إعدادات المخزون'!$B$4-'إعدادات المخزون'!$B$11),'مبيعات يومية'!$A$2:$A$14001,"&lt;="&amp;'إعدادات المخزون'!$B$4)</f>
        <v>1.1669</v>
      </c>
      <c r="E138" s="118" t="n">
        <f aca="false">SUMIFS('مبيعات يومية'!$D$2:$D$14001,'مبيعات يومية'!$C$2:$C$14001,$A138,'مبيعات يومية'!$B$2:$B$14001,'إعدادات المخزون'!$A$16,'مبيعات يومية'!$A$2:$A$14001,'إعدادات المخزون'!$B$4)</f>
        <v>0</v>
      </c>
      <c r="F138" s="118" t="n">
        <f aca="false">SUMIFS('مبيعات يومية'!$D$2:$D$14001,'مبيعات يومية'!$C$2:$C$14001,$A138,'مبيعات يومية'!$B$2:$B$14001,'إعدادات المخزون'!$A$16,'مبيعات يومية'!$A$2:$A$14001,"&gt;="&amp;'إعدادات المخزون'!$B$5,'مبيعات يومية'!$A$2:$A$14001,"&lt;="&amp;'إعدادات المخزون'!$B$4)</f>
        <v>0</v>
      </c>
      <c r="G138" s="118" t="n">
        <f aca="false">SUMIFS('مبيعات يومية'!$D$2:$D$14001,'مبيعات يومية'!$C$2:$C$14001,$A138,'مبيعات يومية'!$B$2:$B$14001,'إعدادات المخزون'!$A$16,'مبيعات يومية'!$A$2:$A$14001,"&gt;"&amp;('إعدادات المخزون'!$B$4-'إعدادات المخزون'!$B$11),'مبيعات يومية'!$A$2:$A$14001,"&lt;="&amp;'إعدادات المخزون'!$B$4)</f>
        <v>0</v>
      </c>
      <c r="H138" s="118" t="n">
        <f aca="false">SUMIFS('مبيعات يومية'!$D$2:$D$14001,'مبيعات يومية'!$C$2:$C$14001,$A138,'مبيعات يومية'!$B$2:$B$14001,'إعدادات المخزون'!$A$17,'مبيعات يومية'!$A$2:$A$14001,'إعدادات المخزون'!$B$4)</f>
        <v>0.0833</v>
      </c>
      <c r="I138" s="118" t="n">
        <f aca="false">SUMIFS('مبيعات يومية'!$D$2:$D$14001,'مبيعات يومية'!$C$2:$C$14001,$A138,'مبيعات يومية'!$B$2:$B$14001,'إعدادات المخزون'!$A$17,'مبيعات يومية'!$A$2:$A$14001,"&gt;="&amp;'إعدادات المخزون'!$B$5,'مبيعات يومية'!$A$2:$A$14001,"&lt;="&amp;'إعدادات المخزون'!$B$4)</f>
        <v>0.9996</v>
      </c>
      <c r="J138" s="118" t="n">
        <f aca="false">SUMIFS('مبيعات يومية'!$D$2:$D$14001,'مبيعات يومية'!$C$2:$C$14001,$A138,'مبيعات يومية'!$B$2:$B$14001,'إعدادات المخزون'!$A$17,'مبيعات يومية'!$A$2:$A$14001,"&gt;"&amp;('إعدادات المخزون'!$B$4-'إعدادات المخزون'!$B$11),'مبيعات يومية'!$A$2:$A$14001,"&lt;="&amp;'إعدادات المخزون'!$B$4)</f>
        <v>0.5831</v>
      </c>
    </row>
    <row r="139" customFormat="false" ht="15" hidden="false" customHeight="false" outlineLevel="0" collapsed="false">
      <c r="A139" s="116" t="str">
        <f aca="false">المنيو!B139</f>
        <v>اضافة مكسرات (كبير)</v>
      </c>
      <c r="B139" s="118" t="n">
        <f aca="false">SUMIFS('مبيعات يومية'!$D$2:$D$14001,'مبيعات يومية'!$C$2:$C$14001,$A139,'مبيعات يومية'!$B$2:$B$14001,'إعدادات المخزون'!$A$15,'مبيعات يومية'!$A$2:$A$14001,'إعدادات المخزون'!$B$4)</f>
        <v>0</v>
      </c>
      <c r="C139" s="118" t="n">
        <f aca="false">SUMIFS('مبيعات يومية'!$D$2:$D$14001,'مبيعات يومية'!$C$2:$C$14001,$A139,'مبيعات يومية'!$B$2:$B$14001,'إعدادات المخزون'!$A$15,'مبيعات يومية'!$A$2:$A$14001,"&gt;="&amp;'إعدادات المخزون'!$B$5,'مبيعات يومية'!$A$2:$A$14001,"&lt;="&amp;'إعدادات المخزون'!$B$4)</f>
        <v>0</v>
      </c>
      <c r="D139" s="118" t="n">
        <f aca="false">SUMIFS('مبيعات يومية'!$D$2:$D$14001,'مبيعات يومية'!$C$2:$C$14001,$A139,'مبيعات يومية'!$B$2:$B$14001,'إعدادات المخزون'!$A$15,'مبيعات يومية'!$A$2:$A$14001,"&gt;"&amp;('إعدادات المخزون'!$B$4-'إعدادات المخزون'!$B$11),'مبيعات يومية'!$A$2:$A$14001,"&lt;="&amp;'إعدادات المخزون'!$B$4)</f>
        <v>0</v>
      </c>
      <c r="E139" s="118" t="n">
        <f aca="false">SUMIFS('مبيعات يومية'!$D$2:$D$14001,'مبيعات يومية'!$C$2:$C$14001,$A139,'مبيعات يومية'!$B$2:$B$14001,'إعدادات المخزون'!$A$16,'مبيعات يومية'!$A$2:$A$14001,'إعدادات المخزون'!$B$4)</f>
        <v>0</v>
      </c>
      <c r="F139" s="118" t="n">
        <f aca="false">SUMIFS('مبيعات يومية'!$D$2:$D$14001,'مبيعات يومية'!$C$2:$C$14001,$A139,'مبيعات يومية'!$B$2:$B$14001,'إعدادات المخزون'!$A$16,'مبيعات يومية'!$A$2:$A$14001,"&gt;="&amp;'إعدادات المخزون'!$B$5,'مبيعات يومية'!$A$2:$A$14001,"&lt;="&amp;'إعدادات المخزون'!$B$4)</f>
        <v>0</v>
      </c>
      <c r="G139" s="118" t="n">
        <f aca="false">SUMIFS('مبيعات يومية'!$D$2:$D$14001,'مبيعات يومية'!$C$2:$C$14001,$A139,'مبيعات يومية'!$B$2:$B$14001,'إعدادات المخزون'!$A$16,'مبيعات يومية'!$A$2:$A$14001,"&gt;"&amp;('إعدادات المخزون'!$B$4-'إعدادات المخزون'!$B$11),'مبيعات يومية'!$A$2:$A$14001,"&lt;="&amp;'إعدادات المخزون'!$B$4)</f>
        <v>0</v>
      </c>
      <c r="H139" s="118" t="n">
        <f aca="false">SUMIFS('مبيعات يومية'!$D$2:$D$14001,'مبيعات يومية'!$C$2:$C$14001,$A139,'مبيعات يومية'!$B$2:$B$14001,'إعدادات المخزون'!$A$17,'مبيعات يومية'!$A$2:$A$14001,'إعدادات المخزون'!$B$4)</f>
        <v>0</v>
      </c>
      <c r="I139" s="118" t="n">
        <f aca="false">SUMIFS('مبيعات يومية'!$D$2:$D$14001,'مبيعات يومية'!$C$2:$C$14001,$A139,'مبيعات يومية'!$B$2:$B$14001,'إعدادات المخزون'!$A$17,'مبيعات يومية'!$A$2:$A$14001,"&gt;="&amp;'إعدادات المخزون'!$B$5,'مبيعات يومية'!$A$2:$A$14001,"&lt;="&amp;'إعدادات المخزون'!$B$4)</f>
        <v>0</v>
      </c>
      <c r="J139" s="118" t="n">
        <f aca="false">SUMIFS('مبيعات يومية'!$D$2:$D$14001,'مبيعات يومية'!$C$2:$C$14001,$A139,'مبيعات يومية'!$B$2:$B$14001,'إعدادات المخزون'!$A$17,'مبيعات يومية'!$A$2:$A$14001,"&gt;"&amp;('إعدادات المخزون'!$B$4-'إعدادات المخزون'!$B$11),'مبيعات يومية'!$A$2:$A$14001,"&lt;="&amp;'إعدادات المخزون'!$B$4)</f>
        <v>0</v>
      </c>
    </row>
    <row r="140" customFormat="false" ht="15" hidden="false" customHeight="false" outlineLevel="0" collapsed="false">
      <c r="A140" s="116" t="str">
        <f aca="false">المنيو!B140</f>
        <v>اضافة شيكولاتة (عام)</v>
      </c>
      <c r="B140" s="118" t="n">
        <f aca="false">SUMIFS('مبيعات يومية'!$D$2:$D$14001,'مبيعات يومية'!$C$2:$C$14001,$A140,'مبيعات يومية'!$B$2:$B$14001,'إعدادات المخزون'!$A$15,'مبيعات يومية'!$A$2:$A$14001,'إعدادات المخزون'!$B$4)</f>
        <v>0.5</v>
      </c>
      <c r="C140" s="118" t="n">
        <f aca="false">SUMIFS('مبيعات يومية'!$D$2:$D$14001,'مبيعات يومية'!$C$2:$C$14001,$A140,'مبيعات يومية'!$B$2:$B$14001,'إعدادات المخزون'!$A$15,'مبيعات يومية'!$A$2:$A$14001,"&gt;="&amp;'إعدادات المخزون'!$B$5,'مبيعات يومية'!$A$2:$A$14001,"&lt;="&amp;'إعدادات المخزون'!$B$4)</f>
        <v>6</v>
      </c>
      <c r="D140" s="118" t="n">
        <f aca="false">SUMIFS('مبيعات يومية'!$D$2:$D$14001,'مبيعات يومية'!$C$2:$C$14001,$A140,'مبيعات يومية'!$B$2:$B$14001,'إعدادات المخزون'!$A$15,'مبيعات يومية'!$A$2:$A$14001,"&gt;"&amp;('إعدادات المخزون'!$B$4-'إعدادات المخزون'!$B$11),'مبيعات يومية'!$A$2:$A$14001,"&lt;="&amp;'إعدادات المخزون'!$B$4)</f>
        <v>3.5</v>
      </c>
      <c r="E140" s="118" t="n">
        <f aca="false">SUMIFS('مبيعات يومية'!$D$2:$D$14001,'مبيعات يومية'!$C$2:$C$14001,$A140,'مبيعات يومية'!$B$2:$B$14001,'إعدادات المخزون'!$A$16,'مبيعات يومية'!$A$2:$A$14001,'إعدادات المخزون'!$B$4)</f>
        <v>0.3333</v>
      </c>
      <c r="F140" s="118" t="n">
        <f aca="false">SUMIFS('مبيعات يومية'!$D$2:$D$14001,'مبيعات يومية'!$C$2:$C$14001,$A140,'مبيعات يومية'!$B$2:$B$14001,'إعدادات المخزون'!$A$16,'مبيعات يومية'!$A$2:$A$14001,"&gt;="&amp;'إعدادات المخزون'!$B$5,'مبيعات يومية'!$A$2:$A$14001,"&lt;="&amp;'إعدادات المخزون'!$B$4)</f>
        <v>3.9996</v>
      </c>
      <c r="G140" s="118" t="n">
        <f aca="false">SUMIFS('مبيعات يومية'!$D$2:$D$14001,'مبيعات يومية'!$C$2:$C$14001,$A140,'مبيعات يومية'!$B$2:$B$14001,'إعدادات المخزون'!$A$16,'مبيعات يومية'!$A$2:$A$14001,"&gt;"&amp;('إعدادات المخزون'!$B$4-'إعدادات المخزون'!$B$11),'مبيعات يومية'!$A$2:$A$14001,"&lt;="&amp;'إعدادات المخزون'!$B$4)</f>
        <v>2.3331</v>
      </c>
      <c r="H140" s="118" t="n">
        <f aca="false">SUMIFS('مبيعات يومية'!$D$2:$D$14001,'مبيعات يومية'!$C$2:$C$14001,$A140,'مبيعات يومية'!$B$2:$B$14001,'إعدادات المخزون'!$A$17,'مبيعات يومية'!$A$2:$A$14001,'إعدادات المخزون'!$B$4)</f>
        <v>0.1667</v>
      </c>
      <c r="I140" s="118" t="n">
        <f aca="false">SUMIFS('مبيعات يومية'!$D$2:$D$14001,'مبيعات يومية'!$C$2:$C$14001,$A140,'مبيعات يومية'!$B$2:$B$14001,'إعدادات المخزون'!$A$17,'مبيعات يومية'!$A$2:$A$14001,"&gt;="&amp;'إعدادات المخزون'!$B$5,'مبيعات يومية'!$A$2:$A$14001,"&lt;="&amp;'إعدادات المخزون'!$B$4)</f>
        <v>2.0004</v>
      </c>
      <c r="J140" s="118" t="n">
        <f aca="false">SUMIFS('مبيعات يومية'!$D$2:$D$14001,'مبيعات يومية'!$C$2:$C$14001,$A140,'مبيعات يومية'!$B$2:$B$14001,'إعدادات المخزون'!$A$17,'مبيعات يومية'!$A$2:$A$14001,"&gt;"&amp;('إعدادات المخزون'!$B$4-'إعدادات المخزون'!$B$11),'مبيعات يومية'!$A$2:$A$14001,"&lt;="&amp;'إعدادات المخزون'!$B$4)</f>
        <v>1.1669</v>
      </c>
    </row>
    <row r="141" customFormat="false" ht="15" hidden="false" customHeight="false" outlineLevel="0" collapsed="false">
      <c r="A141" s="116" t="str">
        <f aca="false">المنيو!B141</f>
        <v>اضافة قشطة (عام)</v>
      </c>
      <c r="B141" s="118" t="n">
        <f aca="false">SUMIFS('مبيعات يومية'!$D$2:$D$14001,'مبيعات يومية'!$C$2:$C$14001,$A141,'مبيعات يومية'!$B$2:$B$14001,'إعدادات المخزون'!$A$15,'مبيعات يومية'!$A$2:$A$14001,'إعدادات المخزون'!$B$4)</f>
        <v>0.0833</v>
      </c>
      <c r="C141" s="118" t="n">
        <f aca="false">SUMIFS('مبيعات يومية'!$D$2:$D$14001,'مبيعات يومية'!$C$2:$C$14001,$A141,'مبيعات يومية'!$B$2:$B$14001,'إعدادات المخزون'!$A$15,'مبيعات يومية'!$A$2:$A$14001,"&gt;="&amp;'إعدادات المخزون'!$B$5,'مبيعات يومية'!$A$2:$A$14001,"&lt;="&amp;'إعدادات المخزون'!$B$4)</f>
        <v>0.9996</v>
      </c>
      <c r="D141" s="118" t="n">
        <f aca="false">SUMIFS('مبيعات يومية'!$D$2:$D$14001,'مبيعات يومية'!$C$2:$C$14001,$A141,'مبيعات يومية'!$B$2:$B$14001,'إعدادات المخزون'!$A$15,'مبيعات يومية'!$A$2:$A$14001,"&gt;"&amp;('إعدادات المخزون'!$B$4-'إعدادات المخزون'!$B$11),'مبيعات يومية'!$A$2:$A$14001,"&lt;="&amp;'إعدادات المخزون'!$B$4)</f>
        <v>0.5831</v>
      </c>
      <c r="E141" s="118" t="n">
        <f aca="false">SUMIFS('مبيعات يومية'!$D$2:$D$14001,'مبيعات يومية'!$C$2:$C$14001,$A141,'مبيعات يومية'!$B$2:$B$14001,'إعدادات المخزون'!$A$16,'مبيعات يومية'!$A$2:$A$14001,'إعدادات المخزون'!$B$4)</f>
        <v>0.1667</v>
      </c>
      <c r="F141" s="118" t="n">
        <f aca="false">SUMIFS('مبيعات يومية'!$D$2:$D$14001,'مبيعات يومية'!$C$2:$C$14001,$A141,'مبيعات يومية'!$B$2:$B$14001,'إعدادات المخزون'!$A$16,'مبيعات يومية'!$A$2:$A$14001,"&gt;="&amp;'إعدادات المخزون'!$B$5,'مبيعات يومية'!$A$2:$A$14001,"&lt;="&amp;'إعدادات المخزون'!$B$4)</f>
        <v>2.0004</v>
      </c>
      <c r="G141" s="118" t="n">
        <f aca="false">SUMIFS('مبيعات يومية'!$D$2:$D$14001,'مبيعات يومية'!$C$2:$C$14001,$A141,'مبيعات يومية'!$B$2:$B$14001,'إعدادات المخزون'!$A$16,'مبيعات يومية'!$A$2:$A$14001,"&gt;"&amp;('إعدادات المخزون'!$B$4-'إعدادات المخزون'!$B$11),'مبيعات يومية'!$A$2:$A$14001,"&lt;="&amp;'إعدادات المخزون'!$B$4)</f>
        <v>1.1669</v>
      </c>
      <c r="H141" s="118" t="n">
        <f aca="false">SUMIFS('مبيعات يومية'!$D$2:$D$14001,'مبيعات يومية'!$C$2:$C$14001,$A141,'مبيعات يومية'!$B$2:$B$14001,'إعدادات المخزون'!$A$17,'مبيعات يومية'!$A$2:$A$14001,'إعدادات المخزون'!$B$4)</f>
        <v>0</v>
      </c>
      <c r="I141" s="118" t="n">
        <f aca="false">SUMIFS('مبيعات يومية'!$D$2:$D$14001,'مبيعات يومية'!$C$2:$C$14001,$A141,'مبيعات يومية'!$B$2:$B$14001,'إعدادات المخزون'!$A$17,'مبيعات يومية'!$A$2:$A$14001,"&gt;="&amp;'إعدادات المخزون'!$B$5,'مبيعات يومية'!$A$2:$A$14001,"&lt;="&amp;'إعدادات المخزون'!$B$4)</f>
        <v>0</v>
      </c>
      <c r="J141" s="118" t="n">
        <f aca="false">SUMIFS('مبيعات يومية'!$D$2:$D$14001,'مبيعات يومية'!$C$2:$C$14001,$A141,'مبيعات يومية'!$B$2:$B$14001,'إعدادات المخزون'!$A$17,'مبيعات يومية'!$A$2:$A$14001,"&gt;"&amp;('إعدادات المخزون'!$B$4-'إعدادات المخزون'!$B$11),'مبيعات يومية'!$A$2:$A$14001,"&lt;="&amp;'إعدادات المخزون'!$B$4)</f>
        <v>0</v>
      </c>
    </row>
    <row r="142" customFormat="false" ht="15" hidden="false" customHeight="false" outlineLevel="0" collapsed="false">
      <c r="A142" s="116" t="str">
        <f aca="false">المنيو!B142</f>
        <v>اضافة مفروم (بيتزا وسط)</v>
      </c>
      <c r="B142" s="118" t="n">
        <f aca="false">SUMIFS('مبيعات يومية'!$D$2:$D$14001,'مبيعات يومية'!$C$2:$C$14001,$A142,'مبيعات يومية'!$B$2:$B$14001,'إعدادات المخزون'!$A$15,'مبيعات يومية'!$A$2:$A$14001,'إعدادات المخزون'!$B$4)</f>
        <v>0.1667</v>
      </c>
      <c r="C142" s="118" t="n">
        <f aca="false">SUMIFS('مبيعات يومية'!$D$2:$D$14001,'مبيعات يومية'!$C$2:$C$14001,$A142,'مبيعات يومية'!$B$2:$B$14001,'إعدادات المخزون'!$A$15,'مبيعات يومية'!$A$2:$A$14001,"&gt;="&amp;'إعدادات المخزون'!$B$5,'مبيعات يومية'!$A$2:$A$14001,"&lt;="&amp;'إعدادات المخزون'!$B$4)</f>
        <v>2.0004</v>
      </c>
      <c r="D142" s="118" t="n">
        <f aca="false">SUMIFS('مبيعات يومية'!$D$2:$D$14001,'مبيعات يومية'!$C$2:$C$14001,$A142,'مبيعات يومية'!$B$2:$B$14001,'إعدادات المخزون'!$A$15,'مبيعات يومية'!$A$2:$A$14001,"&gt;"&amp;('إعدادات المخزون'!$B$4-'إعدادات المخزون'!$B$11),'مبيعات يومية'!$A$2:$A$14001,"&lt;="&amp;'إعدادات المخزون'!$B$4)</f>
        <v>1.1669</v>
      </c>
      <c r="E142" s="118" t="n">
        <f aca="false">SUMIFS('مبيعات يومية'!$D$2:$D$14001,'مبيعات يومية'!$C$2:$C$14001,$A142,'مبيعات يومية'!$B$2:$B$14001,'إعدادات المخزون'!$A$16,'مبيعات يومية'!$A$2:$A$14001,'إعدادات المخزون'!$B$4)</f>
        <v>0.1667</v>
      </c>
      <c r="F142" s="118" t="n">
        <f aca="false">SUMIFS('مبيعات يومية'!$D$2:$D$14001,'مبيعات يومية'!$C$2:$C$14001,$A142,'مبيعات يومية'!$B$2:$B$14001,'إعدادات المخزون'!$A$16,'مبيعات يومية'!$A$2:$A$14001,"&gt;="&amp;'إعدادات المخزون'!$B$5,'مبيعات يومية'!$A$2:$A$14001,"&lt;="&amp;'إعدادات المخزون'!$B$4)</f>
        <v>2.0004</v>
      </c>
      <c r="G142" s="118" t="n">
        <f aca="false">SUMIFS('مبيعات يومية'!$D$2:$D$14001,'مبيعات يومية'!$C$2:$C$14001,$A142,'مبيعات يومية'!$B$2:$B$14001,'إعدادات المخزون'!$A$16,'مبيعات يومية'!$A$2:$A$14001,"&gt;"&amp;('إعدادات المخزون'!$B$4-'إعدادات المخزون'!$B$11),'مبيعات يومية'!$A$2:$A$14001,"&lt;="&amp;'إعدادات المخزون'!$B$4)</f>
        <v>1.1669</v>
      </c>
      <c r="H142" s="118" t="n">
        <f aca="false">SUMIFS('مبيعات يومية'!$D$2:$D$14001,'مبيعات يومية'!$C$2:$C$14001,$A142,'مبيعات يومية'!$B$2:$B$14001,'إعدادات المخزون'!$A$17,'مبيعات يومية'!$A$2:$A$14001,'إعدادات المخزون'!$B$4)</f>
        <v>0</v>
      </c>
      <c r="I142" s="118" t="n">
        <f aca="false">SUMIFS('مبيعات يومية'!$D$2:$D$14001,'مبيعات يومية'!$C$2:$C$14001,$A142,'مبيعات يومية'!$B$2:$B$14001,'إعدادات المخزون'!$A$17,'مبيعات يومية'!$A$2:$A$14001,"&gt;="&amp;'إعدادات المخزون'!$B$5,'مبيعات يومية'!$A$2:$A$14001,"&lt;="&amp;'إعدادات المخزون'!$B$4)</f>
        <v>0</v>
      </c>
      <c r="J142" s="118" t="n">
        <f aca="false">SUMIFS('مبيعات يومية'!$D$2:$D$14001,'مبيعات يومية'!$C$2:$C$14001,$A142,'مبيعات يومية'!$B$2:$B$14001,'إعدادات المخزون'!$A$17,'مبيعات يومية'!$A$2:$A$14001,"&gt;"&amp;('إعدادات المخزون'!$B$4-'إعدادات المخزون'!$B$11),'مبيعات يومية'!$A$2:$A$14001,"&lt;="&amp;'إعدادات المخزون'!$B$4)</f>
        <v>0</v>
      </c>
    </row>
    <row r="143" customFormat="false" ht="15" hidden="false" customHeight="false" outlineLevel="0" collapsed="false">
      <c r="A143" s="116" t="str">
        <f aca="false">المنيو!B143</f>
        <v>اضافة مفروم (فطير وسط)</v>
      </c>
      <c r="B143" s="118" t="n">
        <f aca="false">SUMIFS('مبيعات يومية'!$D$2:$D$14001,'مبيعات يومية'!$C$2:$C$14001,$A143,'مبيعات يومية'!$B$2:$B$14001,'إعدادات المخزون'!$A$15,'مبيعات يومية'!$A$2:$A$14001,'إعدادات المخزون'!$B$4)</f>
        <v>0.1667</v>
      </c>
      <c r="C143" s="118" t="n">
        <f aca="false">SUMIFS('مبيعات يومية'!$D$2:$D$14001,'مبيعات يومية'!$C$2:$C$14001,$A143,'مبيعات يومية'!$B$2:$B$14001,'إعدادات المخزون'!$A$15,'مبيعات يومية'!$A$2:$A$14001,"&gt;="&amp;'إعدادات المخزون'!$B$5,'مبيعات يومية'!$A$2:$A$14001,"&lt;="&amp;'إعدادات المخزون'!$B$4)</f>
        <v>2.0004</v>
      </c>
      <c r="D143" s="118" t="n">
        <f aca="false">SUMIFS('مبيعات يومية'!$D$2:$D$14001,'مبيعات يومية'!$C$2:$C$14001,$A143,'مبيعات يومية'!$B$2:$B$14001,'إعدادات المخزون'!$A$15,'مبيعات يومية'!$A$2:$A$14001,"&gt;"&amp;('إعدادات المخزون'!$B$4-'إعدادات المخزون'!$B$11),'مبيعات يومية'!$A$2:$A$14001,"&lt;="&amp;'إعدادات المخزون'!$B$4)</f>
        <v>1.1669</v>
      </c>
      <c r="E143" s="118" t="n">
        <f aca="false">SUMIFS('مبيعات يومية'!$D$2:$D$14001,'مبيعات يومية'!$C$2:$C$14001,$A143,'مبيعات يومية'!$B$2:$B$14001,'إعدادات المخزون'!$A$16,'مبيعات يومية'!$A$2:$A$14001,'إعدادات المخزون'!$B$4)</f>
        <v>0</v>
      </c>
      <c r="F143" s="118" t="n">
        <f aca="false">SUMIFS('مبيعات يومية'!$D$2:$D$14001,'مبيعات يومية'!$C$2:$C$14001,$A143,'مبيعات يومية'!$B$2:$B$14001,'إعدادات المخزون'!$A$16,'مبيعات يومية'!$A$2:$A$14001,"&gt;="&amp;'إعدادات المخزون'!$B$5,'مبيعات يومية'!$A$2:$A$14001,"&lt;="&amp;'إعدادات المخزون'!$B$4)</f>
        <v>0</v>
      </c>
      <c r="G143" s="118" t="n">
        <f aca="false">SUMIFS('مبيعات يومية'!$D$2:$D$14001,'مبيعات يومية'!$C$2:$C$14001,$A143,'مبيعات يومية'!$B$2:$B$14001,'إعدادات المخزون'!$A$16,'مبيعات يومية'!$A$2:$A$14001,"&gt;"&amp;('إعدادات المخزون'!$B$4-'إعدادات المخزون'!$B$11),'مبيعات يومية'!$A$2:$A$14001,"&lt;="&amp;'إعدادات المخزون'!$B$4)</f>
        <v>0</v>
      </c>
      <c r="H143" s="118" t="n">
        <f aca="false">SUMIFS('مبيعات يومية'!$D$2:$D$14001,'مبيعات يومية'!$C$2:$C$14001,$A143,'مبيعات يومية'!$B$2:$B$14001,'إعدادات المخزون'!$A$17,'مبيعات يومية'!$A$2:$A$14001,'إعدادات المخزون'!$B$4)</f>
        <v>0.0833</v>
      </c>
      <c r="I143" s="118" t="n">
        <f aca="false">SUMIFS('مبيعات يومية'!$D$2:$D$14001,'مبيعات يومية'!$C$2:$C$14001,$A143,'مبيعات يومية'!$B$2:$B$14001,'إعدادات المخزون'!$A$17,'مبيعات يومية'!$A$2:$A$14001,"&gt;="&amp;'إعدادات المخزون'!$B$5,'مبيعات يومية'!$A$2:$A$14001,"&lt;="&amp;'إعدادات المخزون'!$B$4)</f>
        <v>0.9996</v>
      </c>
      <c r="J143" s="118" t="n">
        <f aca="false">SUMIFS('مبيعات يومية'!$D$2:$D$14001,'مبيعات يومية'!$C$2:$C$14001,$A143,'مبيعات يومية'!$B$2:$B$14001,'إعدادات المخزون'!$A$17,'مبيعات يومية'!$A$2:$A$14001,"&gt;"&amp;('إعدادات المخزون'!$B$4-'إعدادات المخزون'!$B$11),'مبيعات يومية'!$A$2:$A$14001,"&lt;="&amp;'إعدادات المخزون'!$B$4)</f>
        <v>0.5831</v>
      </c>
    </row>
    <row r="144" customFormat="false" ht="15" hidden="false" customHeight="false" outlineLevel="0" collapsed="false">
      <c r="A144" s="116" t="str">
        <f aca="false">المنيو!B144</f>
        <v>اضافة سدق (بيتزا وسط)</v>
      </c>
      <c r="B144" s="118" t="n">
        <f aca="false">SUMIFS('مبيعات يومية'!$D$2:$D$14001,'مبيعات يومية'!$C$2:$C$14001,$A144,'مبيعات يومية'!$B$2:$B$14001,'إعدادات المخزون'!$A$15,'مبيعات يومية'!$A$2:$A$14001,'إعدادات المخزون'!$B$4)</f>
        <v>0.0833</v>
      </c>
      <c r="C144" s="118" t="n">
        <f aca="false">SUMIFS('مبيعات يومية'!$D$2:$D$14001,'مبيعات يومية'!$C$2:$C$14001,$A144,'مبيعات يومية'!$B$2:$B$14001,'إعدادات المخزون'!$A$15,'مبيعات يومية'!$A$2:$A$14001,"&gt;="&amp;'إعدادات المخزون'!$B$5,'مبيعات يومية'!$A$2:$A$14001,"&lt;="&amp;'إعدادات المخزون'!$B$4)</f>
        <v>0.9996</v>
      </c>
      <c r="D144" s="118" t="n">
        <f aca="false">SUMIFS('مبيعات يومية'!$D$2:$D$14001,'مبيعات يومية'!$C$2:$C$14001,$A144,'مبيعات يومية'!$B$2:$B$14001,'إعدادات المخزون'!$A$15,'مبيعات يومية'!$A$2:$A$14001,"&gt;"&amp;('إعدادات المخزون'!$B$4-'إعدادات المخزون'!$B$11),'مبيعات يومية'!$A$2:$A$14001,"&lt;="&amp;'إعدادات المخزون'!$B$4)</f>
        <v>0.5831</v>
      </c>
      <c r="E144" s="118" t="n">
        <f aca="false">SUMIFS('مبيعات يومية'!$D$2:$D$14001,'مبيعات يومية'!$C$2:$C$14001,$A144,'مبيعات يومية'!$B$2:$B$14001,'إعدادات المخزون'!$A$16,'مبيعات يومية'!$A$2:$A$14001,'إعدادات المخزون'!$B$4)</f>
        <v>0</v>
      </c>
      <c r="F144" s="118" t="n">
        <f aca="false">SUMIFS('مبيعات يومية'!$D$2:$D$14001,'مبيعات يومية'!$C$2:$C$14001,$A144,'مبيعات يومية'!$B$2:$B$14001,'إعدادات المخزون'!$A$16,'مبيعات يومية'!$A$2:$A$14001,"&gt;="&amp;'إعدادات المخزون'!$B$5,'مبيعات يومية'!$A$2:$A$14001,"&lt;="&amp;'إعدادات المخزون'!$B$4)</f>
        <v>0</v>
      </c>
      <c r="G144" s="118" t="n">
        <f aca="false">SUMIFS('مبيعات يومية'!$D$2:$D$14001,'مبيعات يومية'!$C$2:$C$14001,$A144,'مبيعات يومية'!$B$2:$B$14001,'إعدادات المخزون'!$A$16,'مبيعات يومية'!$A$2:$A$14001,"&gt;"&amp;('إعدادات المخزون'!$B$4-'إعدادات المخزون'!$B$11),'مبيعات يومية'!$A$2:$A$14001,"&lt;="&amp;'إعدادات المخزون'!$B$4)</f>
        <v>0</v>
      </c>
      <c r="H144" s="118" t="n">
        <f aca="false">SUMIFS('مبيعات يومية'!$D$2:$D$14001,'مبيعات يومية'!$C$2:$C$14001,$A144,'مبيعات يومية'!$B$2:$B$14001,'إعدادات المخزون'!$A$17,'مبيعات يومية'!$A$2:$A$14001,'إعدادات المخزون'!$B$4)</f>
        <v>0</v>
      </c>
      <c r="I144" s="118" t="n">
        <f aca="false">SUMIFS('مبيعات يومية'!$D$2:$D$14001,'مبيعات يومية'!$C$2:$C$14001,$A144,'مبيعات يومية'!$B$2:$B$14001,'إعدادات المخزون'!$A$17,'مبيعات يومية'!$A$2:$A$14001,"&gt;="&amp;'إعدادات المخزون'!$B$5,'مبيعات يومية'!$A$2:$A$14001,"&lt;="&amp;'إعدادات المخزون'!$B$4)</f>
        <v>0</v>
      </c>
      <c r="J144" s="118" t="n">
        <f aca="false">SUMIFS('مبيعات يومية'!$D$2:$D$14001,'مبيعات يومية'!$C$2:$C$14001,$A144,'مبيعات يومية'!$B$2:$B$14001,'إعدادات المخزون'!$A$17,'مبيعات يومية'!$A$2:$A$14001,"&gt;"&amp;('إعدادات المخزون'!$B$4-'إعدادات المخزون'!$B$11),'مبيعات يومية'!$A$2:$A$14001,"&lt;="&amp;'إعدادات المخزون'!$B$4)</f>
        <v>0</v>
      </c>
    </row>
    <row r="145" customFormat="false" ht="15" hidden="false" customHeight="false" outlineLevel="0" collapsed="false">
      <c r="A145" s="116" t="str">
        <f aca="false">المنيو!B145</f>
        <v>اضافة سدق (فطير وسط)</v>
      </c>
      <c r="B145" s="118" t="n">
        <f aca="false">SUMIFS('مبيعات يومية'!$D$2:$D$14001,'مبيعات يومية'!$C$2:$C$14001,$A145,'مبيعات يومية'!$B$2:$B$14001,'إعدادات المخزون'!$A$15,'مبيعات يومية'!$A$2:$A$14001,'إعدادات المخزون'!$B$4)</f>
        <v>0</v>
      </c>
      <c r="C145" s="118" t="n">
        <f aca="false">SUMIFS('مبيعات يومية'!$D$2:$D$14001,'مبيعات يومية'!$C$2:$C$14001,$A145,'مبيعات يومية'!$B$2:$B$14001,'إعدادات المخزون'!$A$15,'مبيعات يومية'!$A$2:$A$14001,"&gt;="&amp;'إعدادات المخزون'!$B$5,'مبيعات يومية'!$A$2:$A$14001,"&lt;="&amp;'إعدادات المخزون'!$B$4)</f>
        <v>0</v>
      </c>
      <c r="D145" s="118" t="n">
        <f aca="false">SUMIFS('مبيعات يومية'!$D$2:$D$14001,'مبيعات يومية'!$C$2:$C$14001,$A145,'مبيعات يومية'!$B$2:$B$14001,'إعدادات المخزون'!$A$15,'مبيعات يومية'!$A$2:$A$14001,"&gt;"&amp;('إعدادات المخزون'!$B$4-'إعدادات المخزون'!$B$11),'مبيعات يومية'!$A$2:$A$14001,"&lt;="&amp;'إعدادات المخزون'!$B$4)</f>
        <v>0</v>
      </c>
      <c r="E145" s="118" t="n">
        <f aca="false">SUMIFS('مبيعات يومية'!$D$2:$D$14001,'مبيعات يومية'!$C$2:$C$14001,$A145,'مبيعات يومية'!$B$2:$B$14001,'إعدادات المخزون'!$A$16,'مبيعات يومية'!$A$2:$A$14001,'إعدادات المخزون'!$B$4)</f>
        <v>0</v>
      </c>
      <c r="F145" s="118" t="n">
        <f aca="false">SUMIFS('مبيعات يومية'!$D$2:$D$14001,'مبيعات يومية'!$C$2:$C$14001,$A145,'مبيعات يومية'!$B$2:$B$14001,'إعدادات المخزون'!$A$16,'مبيعات يومية'!$A$2:$A$14001,"&gt;="&amp;'إعدادات المخزون'!$B$5,'مبيعات يومية'!$A$2:$A$14001,"&lt;="&amp;'إعدادات المخزون'!$B$4)</f>
        <v>0</v>
      </c>
      <c r="G145" s="118" t="n">
        <f aca="false">SUMIFS('مبيعات يومية'!$D$2:$D$14001,'مبيعات يومية'!$C$2:$C$14001,$A145,'مبيعات يومية'!$B$2:$B$14001,'إعدادات المخزون'!$A$16,'مبيعات يومية'!$A$2:$A$14001,"&gt;"&amp;('إعدادات المخزون'!$B$4-'إعدادات المخزون'!$B$11),'مبيعات يومية'!$A$2:$A$14001,"&lt;="&amp;'إعدادات المخزون'!$B$4)</f>
        <v>0</v>
      </c>
      <c r="H145" s="118" t="n">
        <f aca="false">SUMIFS('مبيعات يومية'!$D$2:$D$14001,'مبيعات يومية'!$C$2:$C$14001,$A145,'مبيعات يومية'!$B$2:$B$14001,'إعدادات المخزون'!$A$17,'مبيعات يومية'!$A$2:$A$14001,'إعدادات المخزون'!$B$4)</f>
        <v>0.0833</v>
      </c>
      <c r="I145" s="118" t="n">
        <f aca="false">SUMIFS('مبيعات يومية'!$D$2:$D$14001,'مبيعات يومية'!$C$2:$C$14001,$A145,'مبيعات يومية'!$B$2:$B$14001,'إعدادات المخزون'!$A$17,'مبيعات يومية'!$A$2:$A$14001,"&gt;="&amp;'إعدادات المخزون'!$B$5,'مبيعات يومية'!$A$2:$A$14001,"&lt;="&amp;'إعدادات المخزون'!$B$4)</f>
        <v>0.9996</v>
      </c>
      <c r="J145" s="118" t="n">
        <f aca="false">SUMIFS('مبيعات يومية'!$D$2:$D$14001,'مبيعات يومية'!$C$2:$C$14001,$A145,'مبيعات يومية'!$B$2:$B$14001,'إعدادات المخزون'!$A$17,'مبيعات يومية'!$A$2:$A$14001,"&gt;"&amp;('إعدادات المخزون'!$B$4-'إعدادات المخزون'!$B$11),'مبيعات يومية'!$A$2:$A$14001,"&lt;="&amp;'إعدادات المخزون'!$B$4)</f>
        <v>0.5831</v>
      </c>
    </row>
    <row r="146" customFormat="false" ht="15" hidden="false" customHeight="false" outlineLevel="0" collapsed="false">
      <c r="A146" s="116" t="str">
        <f aca="false">المنيو!B146</f>
        <v>اضافة سدق (فطير كبير)</v>
      </c>
      <c r="B146" s="118" t="n">
        <f aca="false">SUMIFS('مبيعات يومية'!$D$2:$D$14001,'مبيعات يومية'!$C$2:$C$14001,$A146,'مبيعات يومية'!$B$2:$B$14001,'إعدادات المخزون'!$A$15,'مبيعات يومية'!$A$2:$A$14001,'إعدادات المخزون'!$B$4)</f>
        <v>0.0833</v>
      </c>
      <c r="C146" s="118" t="n">
        <f aca="false">SUMIFS('مبيعات يومية'!$D$2:$D$14001,'مبيعات يومية'!$C$2:$C$14001,$A146,'مبيعات يومية'!$B$2:$B$14001,'إعدادات المخزون'!$A$15,'مبيعات يومية'!$A$2:$A$14001,"&gt;="&amp;'إعدادات المخزون'!$B$5,'مبيعات يومية'!$A$2:$A$14001,"&lt;="&amp;'إعدادات المخزون'!$B$4)</f>
        <v>0.9996</v>
      </c>
      <c r="D146" s="118" t="n">
        <f aca="false">SUMIFS('مبيعات يومية'!$D$2:$D$14001,'مبيعات يومية'!$C$2:$C$14001,$A146,'مبيعات يومية'!$B$2:$B$14001,'إعدادات المخزون'!$A$15,'مبيعات يومية'!$A$2:$A$14001,"&gt;"&amp;('إعدادات المخزون'!$B$4-'إعدادات المخزون'!$B$11),'مبيعات يومية'!$A$2:$A$14001,"&lt;="&amp;'إعدادات المخزون'!$B$4)</f>
        <v>0.5831</v>
      </c>
      <c r="E146" s="118" t="n">
        <f aca="false">SUMIFS('مبيعات يومية'!$D$2:$D$14001,'مبيعات يومية'!$C$2:$C$14001,$A146,'مبيعات يومية'!$B$2:$B$14001,'إعدادات المخزون'!$A$16,'مبيعات يومية'!$A$2:$A$14001,'إعدادات المخزون'!$B$4)</f>
        <v>0.0833</v>
      </c>
      <c r="F146" s="118" t="n">
        <f aca="false">SUMIFS('مبيعات يومية'!$D$2:$D$14001,'مبيعات يومية'!$C$2:$C$14001,$A146,'مبيعات يومية'!$B$2:$B$14001,'إعدادات المخزون'!$A$16,'مبيعات يومية'!$A$2:$A$14001,"&gt;="&amp;'إعدادات المخزون'!$B$5,'مبيعات يومية'!$A$2:$A$14001,"&lt;="&amp;'إعدادات المخزون'!$B$4)</f>
        <v>0.9996</v>
      </c>
      <c r="G146" s="118" t="n">
        <f aca="false">SUMIFS('مبيعات يومية'!$D$2:$D$14001,'مبيعات يومية'!$C$2:$C$14001,$A146,'مبيعات يومية'!$B$2:$B$14001,'إعدادات المخزون'!$A$16,'مبيعات يومية'!$A$2:$A$14001,"&gt;"&amp;('إعدادات المخزون'!$B$4-'إعدادات المخزون'!$B$11),'مبيعات يومية'!$A$2:$A$14001,"&lt;="&amp;'إعدادات المخزون'!$B$4)</f>
        <v>0.5831</v>
      </c>
      <c r="H146" s="118" t="n">
        <f aca="false">SUMIFS('مبيعات يومية'!$D$2:$D$14001,'مبيعات يومية'!$C$2:$C$14001,$A146,'مبيعات يومية'!$B$2:$B$14001,'إعدادات المخزون'!$A$17,'مبيعات يومية'!$A$2:$A$14001,'إعدادات المخزون'!$B$4)</f>
        <v>0.0833</v>
      </c>
      <c r="I146" s="118" t="n">
        <f aca="false">SUMIFS('مبيعات يومية'!$D$2:$D$14001,'مبيعات يومية'!$C$2:$C$14001,$A146,'مبيعات يومية'!$B$2:$B$14001,'إعدادات المخزون'!$A$17,'مبيعات يومية'!$A$2:$A$14001,"&gt;="&amp;'إعدادات المخزون'!$B$5,'مبيعات يومية'!$A$2:$A$14001,"&lt;="&amp;'إعدادات المخزون'!$B$4)</f>
        <v>0.9996</v>
      </c>
      <c r="J146" s="118" t="n">
        <f aca="false">SUMIFS('مبيعات يومية'!$D$2:$D$14001,'مبيعات يومية'!$C$2:$C$14001,$A146,'مبيعات يومية'!$B$2:$B$14001,'إعدادات المخزون'!$A$17,'مبيعات يومية'!$A$2:$A$14001,"&gt;"&amp;('إعدادات المخزون'!$B$4-'إعدادات المخزون'!$B$11),'مبيعات يومية'!$A$2:$A$14001,"&lt;="&amp;'إعدادات المخزون'!$B$4)</f>
        <v>0.5831</v>
      </c>
    </row>
    <row r="147" customFormat="false" ht="15" hidden="false" customHeight="false" outlineLevel="0" collapsed="false">
      <c r="A147" s="116" t="str">
        <f aca="false">المنيو!B147</f>
        <v>اضافة بسطرمة (بيتزا وسط)</v>
      </c>
      <c r="B147" s="118" t="n">
        <f aca="false">SUMIFS('مبيعات يومية'!$D$2:$D$14001,'مبيعات يومية'!$C$2:$C$14001,$A147,'مبيعات يومية'!$B$2:$B$14001,'إعدادات المخزون'!$A$15,'مبيعات يومية'!$A$2:$A$14001,'إعدادات المخزون'!$B$4)</f>
        <v>0.5833</v>
      </c>
      <c r="C147" s="118" t="n">
        <f aca="false">SUMIFS('مبيعات يومية'!$D$2:$D$14001,'مبيعات يومية'!$C$2:$C$14001,$A147,'مبيعات يومية'!$B$2:$B$14001,'إعدادات المخزون'!$A$15,'مبيعات يومية'!$A$2:$A$14001,"&gt;="&amp;'إعدادات المخزون'!$B$5,'مبيعات يومية'!$A$2:$A$14001,"&lt;="&amp;'إعدادات المخزون'!$B$4)</f>
        <v>6.9996</v>
      </c>
      <c r="D147" s="118" t="n">
        <f aca="false">SUMIFS('مبيعات يومية'!$D$2:$D$14001,'مبيعات يومية'!$C$2:$C$14001,$A147,'مبيعات يومية'!$B$2:$B$14001,'إعدادات المخزون'!$A$15,'مبيعات يومية'!$A$2:$A$14001,"&gt;"&amp;('إعدادات المخزون'!$B$4-'إعدادات المخزون'!$B$11),'مبيعات يومية'!$A$2:$A$14001,"&lt;="&amp;'إعدادات المخزون'!$B$4)</f>
        <v>4.0831</v>
      </c>
      <c r="E147" s="118" t="n">
        <f aca="false">SUMIFS('مبيعات يومية'!$D$2:$D$14001,'مبيعات يومية'!$C$2:$C$14001,$A147,'مبيعات يومية'!$B$2:$B$14001,'إعدادات المخزون'!$A$16,'مبيعات يومية'!$A$2:$A$14001,'إعدادات المخزون'!$B$4)</f>
        <v>0</v>
      </c>
      <c r="F147" s="118" t="n">
        <f aca="false">SUMIFS('مبيعات يومية'!$D$2:$D$14001,'مبيعات يومية'!$C$2:$C$14001,$A147,'مبيعات يومية'!$B$2:$B$14001,'إعدادات المخزون'!$A$16,'مبيعات يومية'!$A$2:$A$14001,"&gt;="&amp;'إعدادات المخزون'!$B$5,'مبيعات يومية'!$A$2:$A$14001,"&lt;="&amp;'إعدادات المخزون'!$B$4)</f>
        <v>0</v>
      </c>
      <c r="G147" s="118" t="n">
        <f aca="false">SUMIFS('مبيعات يومية'!$D$2:$D$14001,'مبيعات يومية'!$C$2:$C$14001,$A147,'مبيعات يومية'!$B$2:$B$14001,'إعدادات المخزون'!$A$16,'مبيعات يومية'!$A$2:$A$14001,"&gt;"&amp;('إعدادات المخزون'!$B$4-'إعدادات المخزون'!$B$11),'مبيعات يومية'!$A$2:$A$14001,"&lt;="&amp;'إعدادات المخزون'!$B$4)</f>
        <v>0</v>
      </c>
      <c r="H147" s="118" t="n">
        <f aca="false">SUMIFS('مبيعات يومية'!$D$2:$D$14001,'مبيعات يومية'!$C$2:$C$14001,$A147,'مبيعات يومية'!$B$2:$B$14001,'إعدادات المخزون'!$A$17,'مبيعات يومية'!$A$2:$A$14001,'إعدادات المخزون'!$B$4)</f>
        <v>0</v>
      </c>
      <c r="I147" s="118" t="n">
        <f aca="false">SUMIFS('مبيعات يومية'!$D$2:$D$14001,'مبيعات يومية'!$C$2:$C$14001,$A147,'مبيعات يومية'!$B$2:$B$14001,'إعدادات المخزون'!$A$17,'مبيعات يومية'!$A$2:$A$14001,"&gt;="&amp;'إعدادات المخزون'!$B$5,'مبيعات يومية'!$A$2:$A$14001,"&lt;="&amp;'إعدادات المخزون'!$B$4)</f>
        <v>0</v>
      </c>
      <c r="J147" s="118" t="n">
        <f aca="false">SUMIFS('مبيعات يومية'!$D$2:$D$14001,'مبيعات يومية'!$C$2:$C$14001,$A147,'مبيعات يومية'!$B$2:$B$14001,'إعدادات المخزون'!$A$17,'مبيعات يومية'!$A$2:$A$14001,"&gt;"&amp;('إعدادات المخزون'!$B$4-'إعدادات المخزون'!$B$11),'مبيعات يومية'!$A$2:$A$14001,"&lt;="&amp;'إعدادات المخزون'!$B$4)</f>
        <v>0</v>
      </c>
    </row>
    <row r="148" customFormat="false" ht="15" hidden="false" customHeight="false" outlineLevel="0" collapsed="false">
      <c r="A148" s="116" t="str">
        <f aca="false">المنيو!B148</f>
        <v>اضافة بسطرمة (فطير وسط)</v>
      </c>
      <c r="B148" s="118" t="n">
        <f aca="false">SUMIFS('مبيعات يومية'!$D$2:$D$14001,'مبيعات يومية'!$C$2:$C$14001,$A148,'مبيعات يومية'!$B$2:$B$14001,'إعدادات المخزون'!$A$15,'مبيعات يومية'!$A$2:$A$14001,'إعدادات المخزون'!$B$4)</f>
        <v>0.1667</v>
      </c>
      <c r="C148" s="118" t="n">
        <f aca="false">SUMIFS('مبيعات يومية'!$D$2:$D$14001,'مبيعات يومية'!$C$2:$C$14001,$A148,'مبيعات يومية'!$B$2:$B$14001,'إعدادات المخزون'!$A$15,'مبيعات يومية'!$A$2:$A$14001,"&gt;="&amp;'إعدادات المخزون'!$B$5,'مبيعات يومية'!$A$2:$A$14001,"&lt;="&amp;'إعدادات المخزون'!$B$4)</f>
        <v>2.0004</v>
      </c>
      <c r="D148" s="118" t="n">
        <f aca="false">SUMIFS('مبيعات يومية'!$D$2:$D$14001,'مبيعات يومية'!$C$2:$C$14001,$A148,'مبيعات يومية'!$B$2:$B$14001,'إعدادات المخزون'!$A$15,'مبيعات يومية'!$A$2:$A$14001,"&gt;"&amp;('إعدادات المخزون'!$B$4-'إعدادات المخزون'!$B$11),'مبيعات يومية'!$A$2:$A$14001,"&lt;="&amp;'إعدادات المخزون'!$B$4)</f>
        <v>1.1669</v>
      </c>
      <c r="E148" s="118" t="n">
        <f aca="false">SUMIFS('مبيعات يومية'!$D$2:$D$14001,'مبيعات يومية'!$C$2:$C$14001,$A148,'مبيعات يومية'!$B$2:$B$14001,'إعدادات المخزون'!$A$16,'مبيعات يومية'!$A$2:$A$14001,'إعدادات المخزون'!$B$4)</f>
        <v>0.1667</v>
      </c>
      <c r="F148" s="118" t="n">
        <f aca="false">SUMIFS('مبيعات يومية'!$D$2:$D$14001,'مبيعات يومية'!$C$2:$C$14001,$A148,'مبيعات يومية'!$B$2:$B$14001,'إعدادات المخزون'!$A$16,'مبيعات يومية'!$A$2:$A$14001,"&gt;="&amp;'إعدادات المخزون'!$B$5,'مبيعات يومية'!$A$2:$A$14001,"&lt;="&amp;'إعدادات المخزون'!$B$4)</f>
        <v>2.0004</v>
      </c>
      <c r="G148" s="118" t="n">
        <f aca="false">SUMIFS('مبيعات يومية'!$D$2:$D$14001,'مبيعات يومية'!$C$2:$C$14001,$A148,'مبيعات يومية'!$B$2:$B$14001,'إعدادات المخزون'!$A$16,'مبيعات يومية'!$A$2:$A$14001,"&gt;"&amp;('إعدادات المخزون'!$B$4-'إعدادات المخزون'!$B$11),'مبيعات يومية'!$A$2:$A$14001,"&lt;="&amp;'إعدادات المخزون'!$B$4)</f>
        <v>1.1669</v>
      </c>
      <c r="H148" s="118" t="n">
        <f aca="false">SUMIFS('مبيعات يومية'!$D$2:$D$14001,'مبيعات يومية'!$C$2:$C$14001,$A148,'مبيعات يومية'!$B$2:$B$14001,'إعدادات المخزون'!$A$17,'مبيعات يومية'!$A$2:$A$14001,'إعدادات المخزون'!$B$4)</f>
        <v>0</v>
      </c>
      <c r="I148" s="118" t="n">
        <f aca="false">SUMIFS('مبيعات يومية'!$D$2:$D$14001,'مبيعات يومية'!$C$2:$C$14001,$A148,'مبيعات يومية'!$B$2:$B$14001,'إعدادات المخزون'!$A$17,'مبيعات يومية'!$A$2:$A$14001,"&gt;="&amp;'إعدادات المخزون'!$B$5,'مبيعات يومية'!$A$2:$A$14001,"&lt;="&amp;'إعدادات المخزون'!$B$4)</f>
        <v>0</v>
      </c>
      <c r="J148" s="118" t="n">
        <f aca="false">SUMIFS('مبيعات يومية'!$D$2:$D$14001,'مبيعات يومية'!$C$2:$C$14001,$A148,'مبيعات يومية'!$B$2:$B$14001,'إعدادات المخزون'!$A$17,'مبيعات يومية'!$A$2:$A$14001,"&gt;"&amp;('إعدادات المخزون'!$B$4-'إعدادات المخزون'!$B$11),'مبيعات يومية'!$A$2:$A$14001,"&lt;="&amp;'إعدادات المخزون'!$B$4)</f>
        <v>0</v>
      </c>
    </row>
    <row r="149" customFormat="false" ht="15" hidden="false" customHeight="false" outlineLevel="0" collapsed="false">
      <c r="A149" s="116" t="str">
        <f aca="false">المنيو!B149</f>
        <v>اضافة بسطرمة (فطير كبير)</v>
      </c>
      <c r="B149" s="118" t="n">
        <f aca="false">SUMIFS('مبيعات يومية'!$D$2:$D$14001,'مبيعات يومية'!$C$2:$C$14001,$A149,'مبيعات يومية'!$B$2:$B$14001,'إعدادات المخزون'!$A$15,'مبيعات يومية'!$A$2:$A$14001,'إعدادات المخزون'!$B$4)</f>
        <v>0.0833</v>
      </c>
      <c r="C149" s="118" t="n">
        <f aca="false">SUMIFS('مبيعات يومية'!$D$2:$D$14001,'مبيعات يومية'!$C$2:$C$14001,$A149,'مبيعات يومية'!$B$2:$B$14001,'إعدادات المخزون'!$A$15,'مبيعات يومية'!$A$2:$A$14001,"&gt;="&amp;'إعدادات المخزون'!$B$5,'مبيعات يومية'!$A$2:$A$14001,"&lt;="&amp;'إعدادات المخزون'!$B$4)</f>
        <v>0.9996</v>
      </c>
      <c r="D149" s="118" t="n">
        <f aca="false">SUMIFS('مبيعات يومية'!$D$2:$D$14001,'مبيعات يومية'!$C$2:$C$14001,$A149,'مبيعات يومية'!$B$2:$B$14001,'إعدادات المخزون'!$A$15,'مبيعات يومية'!$A$2:$A$14001,"&gt;"&amp;('إعدادات المخزون'!$B$4-'إعدادات المخزون'!$B$11),'مبيعات يومية'!$A$2:$A$14001,"&lt;="&amp;'إعدادات المخزون'!$B$4)</f>
        <v>0.5831</v>
      </c>
      <c r="E149" s="118" t="n">
        <f aca="false">SUMIFS('مبيعات يومية'!$D$2:$D$14001,'مبيعات يومية'!$C$2:$C$14001,$A149,'مبيعات يومية'!$B$2:$B$14001,'إعدادات المخزون'!$A$16,'مبيعات يومية'!$A$2:$A$14001,'إعدادات المخزون'!$B$4)</f>
        <v>0</v>
      </c>
      <c r="F149" s="118" t="n">
        <f aca="false">SUMIFS('مبيعات يومية'!$D$2:$D$14001,'مبيعات يومية'!$C$2:$C$14001,$A149,'مبيعات يومية'!$B$2:$B$14001,'إعدادات المخزون'!$A$16,'مبيعات يومية'!$A$2:$A$14001,"&gt;="&amp;'إعدادات المخزون'!$B$5,'مبيعات يومية'!$A$2:$A$14001,"&lt;="&amp;'إعدادات المخزون'!$B$4)</f>
        <v>0</v>
      </c>
      <c r="G149" s="118" t="n">
        <f aca="false">SUMIFS('مبيعات يومية'!$D$2:$D$14001,'مبيعات يومية'!$C$2:$C$14001,$A149,'مبيعات يومية'!$B$2:$B$14001,'إعدادات المخزون'!$A$16,'مبيعات يومية'!$A$2:$A$14001,"&gt;"&amp;('إعدادات المخزون'!$B$4-'إعدادات المخزون'!$B$11),'مبيعات يومية'!$A$2:$A$14001,"&lt;="&amp;'إعدادات المخزون'!$B$4)</f>
        <v>0</v>
      </c>
      <c r="H149" s="118" t="n">
        <f aca="false">SUMIFS('مبيعات يومية'!$D$2:$D$14001,'مبيعات يومية'!$C$2:$C$14001,$A149,'مبيعات يومية'!$B$2:$B$14001,'إعدادات المخزون'!$A$17,'مبيعات يومية'!$A$2:$A$14001,'إعدادات المخزون'!$B$4)</f>
        <v>0</v>
      </c>
      <c r="I149" s="118" t="n">
        <f aca="false">SUMIFS('مبيعات يومية'!$D$2:$D$14001,'مبيعات يومية'!$C$2:$C$14001,$A149,'مبيعات يومية'!$B$2:$B$14001,'إعدادات المخزون'!$A$17,'مبيعات يومية'!$A$2:$A$14001,"&gt;="&amp;'إعدادات المخزون'!$B$5,'مبيعات يومية'!$A$2:$A$14001,"&lt;="&amp;'إعدادات المخزون'!$B$4)</f>
        <v>0</v>
      </c>
      <c r="J149" s="118" t="n">
        <f aca="false">SUMIFS('مبيعات يومية'!$D$2:$D$14001,'مبيعات يومية'!$C$2:$C$14001,$A149,'مبيعات يومية'!$B$2:$B$14001,'إعدادات المخزون'!$A$17,'مبيعات يومية'!$A$2:$A$14001,"&gt;"&amp;('إعدادات المخزون'!$B$4-'إعدادات المخزون'!$B$11),'مبيعات يومية'!$A$2:$A$14001,"&lt;="&amp;'إعدادات المخزون'!$B$4)</f>
        <v>0</v>
      </c>
    </row>
    <row r="150" customFormat="false" ht="15" hidden="false" customHeight="false" outlineLevel="0" collapsed="false">
      <c r="A150" s="116" t="str">
        <f aca="false">المنيو!B150</f>
        <v>اضافة سلامي (بيتزا وسط)</v>
      </c>
      <c r="B150" s="118" t="n">
        <f aca="false">SUMIFS('مبيعات يومية'!$D$2:$D$14001,'مبيعات يومية'!$C$2:$C$14001,$A150,'مبيعات يومية'!$B$2:$B$14001,'إعدادات المخزون'!$A$15,'مبيعات يومية'!$A$2:$A$14001,'إعدادات المخزون'!$B$4)</f>
        <v>0</v>
      </c>
      <c r="C150" s="118" t="n">
        <f aca="false">SUMIFS('مبيعات يومية'!$D$2:$D$14001,'مبيعات يومية'!$C$2:$C$14001,$A150,'مبيعات يومية'!$B$2:$B$14001,'إعدادات المخزون'!$A$15,'مبيعات يومية'!$A$2:$A$14001,"&gt;="&amp;'إعدادات المخزون'!$B$5,'مبيعات يومية'!$A$2:$A$14001,"&lt;="&amp;'إعدادات المخزون'!$B$4)</f>
        <v>0</v>
      </c>
      <c r="D150" s="118" t="n">
        <f aca="false">SUMIFS('مبيعات يومية'!$D$2:$D$14001,'مبيعات يومية'!$C$2:$C$14001,$A150,'مبيعات يومية'!$B$2:$B$14001,'إعدادات المخزون'!$A$15,'مبيعات يومية'!$A$2:$A$14001,"&gt;"&amp;('إعدادات المخزون'!$B$4-'إعدادات المخزون'!$B$11),'مبيعات يومية'!$A$2:$A$14001,"&lt;="&amp;'إعدادات المخزون'!$B$4)</f>
        <v>0</v>
      </c>
      <c r="E150" s="118" t="n">
        <f aca="false">SUMIFS('مبيعات يومية'!$D$2:$D$14001,'مبيعات يومية'!$C$2:$C$14001,$A150,'مبيعات يومية'!$B$2:$B$14001,'إعدادات المخزون'!$A$16,'مبيعات يومية'!$A$2:$A$14001,'إعدادات المخزون'!$B$4)</f>
        <v>0</v>
      </c>
      <c r="F150" s="118" t="n">
        <f aca="false">SUMIFS('مبيعات يومية'!$D$2:$D$14001,'مبيعات يومية'!$C$2:$C$14001,$A150,'مبيعات يومية'!$B$2:$B$14001,'إعدادات المخزون'!$A$16,'مبيعات يومية'!$A$2:$A$14001,"&gt;="&amp;'إعدادات المخزون'!$B$5,'مبيعات يومية'!$A$2:$A$14001,"&lt;="&amp;'إعدادات المخزون'!$B$4)</f>
        <v>0</v>
      </c>
      <c r="G150" s="118" t="n">
        <f aca="false">SUMIFS('مبيعات يومية'!$D$2:$D$14001,'مبيعات يومية'!$C$2:$C$14001,$A150,'مبيعات يومية'!$B$2:$B$14001,'إعدادات المخزون'!$A$16,'مبيعات يومية'!$A$2:$A$14001,"&gt;"&amp;('إعدادات المخزون'!$B$4-'إعدادات المخزون'!$B$11),'مبيعات يومية'!$A$2:$A$14001,"&lt;="&amp;'إعدادات المخزون'!$B$4)</f>
        <v>0</v>
      </c>
      <c r="H150" s="118" t="n">
        <f aca="false">SUMIFS('مبيعات يومية'!$D$2:$D$14001,'مبيعات يومية'!$C$2:$C$14001,$A150,'مبيعات يومية'!$B$2:$B$14001,'إعدادات المخزون'!$A$17,'مبيعات يومية'!$A$2:$A$14001,'إعدادات المخزون'!$B$4)</f>
        <v>0</v>
      </c>
      <c r="I150" s="118" t="n">
        <f aca="false">SUMIFS('مبيعات يومية'!$D$2:$D$14001,'مبيعات يومية'!$C$2:$C$14001,$A150,'مبيعات يومية'!$B$2:$B$14001,'إعدادات المخزون'!$A$17,'مبيعات يومية'!$A$2:$A$14001,"&gt;="&amp;'إعدادات المخزون'!$B$5,'مبيعات يومية'!$A$2:$A$14001,"&lt;="&amp;'إعدادات المخزون'!$B$4)</f>
        <v>0</v>
      </c>
      <c r="J150" s="118" t="n">
        <f aca="false">SUMIFS('مبيعات يومية'!$D$2:$D$14001,'مبيعات يومية'!$C$2:$C$14001,$A150,'مبيعات يومية'!$B$2:$B$14001,'إعدادات المخزون'!$A$17,'مبيعات يومية'!$A$2:$A$14001,"&gt;"&amp;('إعدادات المخزون'!$B$4-'إعدادات المخزون'!$B$11),'مبيعات يومية'!$A$2:$A$14001,"&lt;="&amp;'إعدادات المخزون'!$B$4)</f>
        <v>0</v>
      </c>
    </row>
    <row r="151" customFormat="false" ht="15" hidden="false" customHeight="false" outlineLevel="0" collapsed="false">
      <c r="A151" s="116" t="str">
        <f aca="false">المنيو!B151</f>
        <v>اضافة تونة (بيتزا وسط)</v>
      </c>
      <c r="B151" s="118" t="n">
        <f aca="false">SUMIFS('مبيعات يومية'!$D$2:$D$14001,'مبيعات يومية'!$C$2:$C$14001,$A151,'مبيعات يومية'!$B$2:$B$14001,'إعدادات المخزون'!$A$15,'مبيعات يومية'!$A$2:$A$14001,'إعدادات المخزون'!$B$4)</f>
        <v>0</v>
      </c>
      <c r="C151" s="118" t="n">
        <f aca="false">SUMIFS('مبيعات يومية'!$D$2:$D$14001,'مبيعات يومية'!$C$2:$C$14001,$A151,'مبيعات يومية'!$B$2:$B$14001,'إعدادات المخزون'!$A$15,'مبيعات يومية'!$A$2:$A$14001,"&gt;="&amp;'إعدادات المخزون'!$B$5,'مبيعات يومية'!$A$2:$A$14001,"&lt;="&amp;'إعدادات المخزون'!$B$4)</f>
        <v>0</v>
      </c>
      <c r="D151" s="118" t="n">
        <f aca="false">SUMIFS('مبيعات يومية'!$D$2:$D$14001,'مبيعات يومية'!$C$2:$C$14001,$A151,'مبيعات يومية'!$B$2:$B$14001,'إعدادات المخزون'!$A$15,'مبيعات يومية'!$A$2:$A$14001,"&gt;"&amp;('إعدادات المخزون'!$B$4-'إعدادات المخزون'!$B$11),'مبيعات يومية'!$A$2:$A$14001,"&lt;="&amp;'إعدادات المخزون'!$B$4)</f>
        <v>0</v>
      </c>
      <c r="E151" s="118" t="n">
        <f aca="false">SUMIFS('مبيعات يومية'!$D$2:$D$14001,'مبيعات يومية'!$C$2:$C$14001,$A151,'مبيعات يومية'!$B$2:$B$14001,'إعدادات المخزون'!$A$16,'مبيعات يومية'!$A$2:$A$14001,'إعدادات المخزون'!$B$4)</f>
        <v>0</v>
      </c>
      <c r="F151" s="118" t="n">
        <f aca="false">SUMIFS('مبيعات يومية'!$D$2:$D$14001,'مبيعات يومية'!$C$2:$C$14001,$A151,'مبيعات يومية'!$B$2:$B$14001,'إعدادات المخزون'!$A$16,'مبيعات يومية'!$A$2:$A$14001,"&gt;="&amp;'إعدادات المخزون'!$B$5,'مبيعات يومية'!$A$2:$A$14001,"&lt;="&amp;'إعدادات المخزون'!$B$4)</f>
        <v>0</v>
      </c>
      <c r="G151" s="118" t="n">
        <f aca="false">SUMIFS('مبيعات يومية'!$D$2:$D$14001,'مبيعات يومية'!$C$2:$C$14001,$A151,'مبيعات يومية'!$B$2:$B$14001,'إعدادات المخزون'!$A$16,'مبيعات يومية'!$A$2:$A$14001,"&gt;"&amp;('إعدادات المخزون'!$B$4-'إعدادات المخزون'!$B$11),'مبيعات يومية'!$A$2:$A$14001,"&lt;="&amp;'إعدادات المخزون'!$B$4)</f>
        <v>0</v>
      </c>
      <c r="H151" s="118" t="n">
        <f aca="false">SUMIFS('مبيعات يومية'!$D$2:$D$14001,'مبيعات يومية'!$C$2:$C$14001,$A151,'مبيعات يومية'!$B$2:$B$14001,'إعدادات المخزون'!$A$17,'مبيعات يومية'!$A$2:$A$14001,'إعدادات المخزون'!$B$4)</f>
        <v>0</v>
      </c>
      <c r="I151" s="118" t="n">
        <f aca="false">SUMIFS('مبيعات يومية'!$D$2:$D$14001,'مبيعات يومية'!$C$2:$C$14001,$A151,'مبيعات يومية'!$B$2:$B$14001,'إعدادات المخزون'!$A$17,'مبيعات يومية'!$A$2:$A$14001,"&gt;="&amp;'إعدادات المخزون'!$B$5,'مبيعات يومية'!$A$2:$A$14001,"&lt;="&amp;'إعدادات المخزون'!$B$4)</f>
        <v>0</v>
      </c>
      <c r="J151" s="118" t="n">
        <f aca="false">SUMIFS('مبيعات يومية'!$D$2:$D$14001,'مبيعات يومية'!$C$2:$C$14001,$A151,'مبيعات يومية'!$B$2:$B$14001,'إعدادات المخزون'!$A$17,'مبيعات يومية'!$A$2:$A$14001,"&gt;"&amp;('إعدادات المخزون'!$B$4-'إعدادات المخزون'!$B$11),'مبيعات يومية'!$A$2:$A$14001,"&lt;="&amp;'إعدادات المخزون'!$B$4)</f>
        <v>0</v>
      </c>
    </row>
    <row r="152" customFormat="false" ht="15" hidden="false" customHeight="false" outlineLevel="0" collapsed="false">
      <c r="A152" s="116" t="str">
        <f aca="false">المنيو!B152</f>
        <v>اضافة جمبري (بيتزا وسط)</v>
      </c>
      <c r="B152" s="118" t="n">
        <f aca="false">SUMIFS('مبيعات يومية'!$D$2:$D$14001,'مبيعات يومية'!$C$2:$C$14001,$A152,'مبيعات يومية'!$B$2:$B$14001,'إعدادات المخزون'!$A$15,'مبيعات يومية'!$A$2:$A$14001,'إعدادات المخزون'!$B$4)</f>
        <v>0</v>
      </c>
      <c r="C152" s="118" t="n">
        <f aca="false">SUMIFS('مبيعات يومية'!$D$2:$D$14001,'مبيعات يومية'!$C$2:$C$14001,$A152,'مبيعات يومية'!$B$2:$B$14001,'إعدادات المخزون'!$A$15,'مبيعات يومية'!$A$2:$A$14001,"&gt;="&amp;'إعدادات المخزون'!$B$5,'مبيعات يومية'!$A$2:$A$14001,"&lt;="&amp;'إعدادات المخزون'!$B$4)</f>
        <v>0</v>
      </c>
      <c r="D152" s="118" t="n">
        <f aca="false">SUMIFS('مبيعات يومية'!$D$2:$D$14001,'مبيعات يومية'!$C$2:$C$14001,$A152,'مبيعات يومية'!$B$2:$B$14001,'إعدادات المخزون'!$A$15,'مبيعات يومية'!$A$2:$A$14001,"&gt;"&amp;('إعدادات المخزون'!$B$4-'إعدادات المخزون'!$B$11),'مبيعات يومية'!$A$2:$A$14001,"&lt;="&amp;'إعدادات المخزون'!$B$4)</f>
        <v>0</v>
      </c>
      <c r="E152" s="118" t="n">
        <f aca="false">SUMIFS('مبيعات يومية'!$D$2:$D$14001,'مبيعات يومية'!$C$2:$C$14001,$A152,'مبيعات يومية'!$B$2:$B$14001,'إعدادات المخزون'!$A$16,'مبيعات يومية'!$A$2:$A$14001,'إعدادات المخزون'!$B$4)</f>
        <v>0</v>
      </c>
      <c r="F152" s="118" t="n">
        <f aca="false">SUMIFS('مبيعات يومية'!$D$2:$D$14001,'مبيعات يومية'!$C$2:$C$14001,$A152,'مبيعات يومية'!$B$2:$B$14001,'إعدادات المخزون'!$A$16,'مبيعات يومية'!$A$2:$A$14001,"&gt;="&amp;'إعدادات المخزون'!$B$5,'مبيعات يومية'!$A$2:$A$14001,"&lt;="&amp;'إعدادات المخزون'!$B$4)</f>
        <v>0</v>
      </c>
      <c r="G152" s="118" t="n">
        <f aca="false">SUMIFS('مبيعات يومية'!$D$2:$D$14001,'مبيعات يومية'!$C$2:$C$14001,$A152,'مبيعات يومية'!$B$2:$B$14001,'إعدادات المخزون'!$A$16,'مبيعات يومية'!$A$2:$A$14001,"&gt;"&amp;('إعدادات المخزون'!$B$4-'إعدادات المخزون'!$B$11),'مبيعات يومية'!$A$2:$A$14001,"&lt;="&amp;'إعدادات المخزون'!$B$4)</f>
        <v>0</v>
      </c>
      <c r="H152" s="118" t="n">
        <f aca="false">SUMIFS('مبيعات يومية'!$D$2:$D$14001,'مبيعات يومية'!$C$2:$C$14001,$A152,'مبيعات يومية'!$B$2:$B$14001,'إعدادات المخزون'!$A$17,'مبيعات يومية'!$A$2:$A$14001,'إعدادات المخزون'!$B$4)</f>
        <v>0</v>
      </c>
      <c r="I152" s="118" t="n">
        <f aca="false">SUMIFS('مبيعات يومية'!$D$2:$D$14001,'مبيعات يومية'!$C$2:$C$14001,$A152,'مبيعات يومية'!$B$2:$B$14001,'إعدادات المخزون'!$A$17,'مبيعات يومية'!$A$2:$A$14001,"&gt;="&amp;'إعدادات المخزون'!$B$5,'مبيعات يومية'!$A$2:$A$14001,"&lt;="&amp;'إعدادات المخزون'!$B$4)</f>
        <v>0</v>
      </c>
      <c r="J152" s="118" t="n">
        <f aca="false">SUMIFS('مبيعات يومية'!$D$2:$D$14001,'مبيعات يومية'!$C$2:$C$14001,$A152,'مبيعات يومية'!$B$2:$B$14001,'إعدادات المخزون'!$A$17,'مبيعات يومية'!$A$2:$A$14001,"&gt;"&amp;('إعدادات المخزون'!$B$4-'إعدادات المخزون'!$B$11),'مبيعات يومية'!$A$2:$A$14001,"&lt;="&amp;'إعدادات المخزون'!$B$4)</f>
        <v>0</v>
      </c>
    </row>
    <row r="153" customFormat="false" ht="15" hidden="false" customHeight="false" outlineLevel="0" collapsed="false">
      <c r="A153" s="116" t="str">
        <f aca="false">المنيو!B153</f>
        <v>اضافة فراخ جريل (بيتزا وسط)</v>
      </c>
      <c r="B153" s="118" t="n">
        <f aca="false">SUMIFS('مبيعات يومية'!$D$2:$D$14001,'مبيعات يومية'!$C$2:$C$14001,$A153,'مبيعات يومية'!$B$2:$B$14001,'إعدادات المخزون'!$A$15,'مبيعات يومية'!$A$2:$A$14001,'إعدادات المخزون'!$B$4)</f>
        <v>0</v>
      </c>
      <c r="C153" s="118" t="n">
        <f aca="false">SUMIFS('مبيعات يومية'!$D$2:$D$14001,'مبيعات يومية'!$C$2:$C$14001,$A153,'مبيعات يومية'!$B$2:$B$14001,'إعدادات المخزون'!$A$15,'مبيعات يومية'!$A$2:$A$14001,"&gt;="&amp;'إعدادات المخزون'!$B$5,'مبيعات يومية'!$A$2:$A$14001,"&lt;="&amp;'إعدادات المخزون'!$B$4)</f>
        <v>0</v>
      </c>
      <c r="D153" s="118" t="n">
        <f aca="false">SUMIFS('مبيعات يومية'!$D$2:$D$14001,'مبيعات يومية'!$C$2:$C$14001,$A153,'مبيعات يومية'!$B$2:$B$14001,'إعدادات المخزون'!$A$15,'مبيعات يومية'!$A$2:$A$14001,"&gt;"&amp;('إعدادات المخزون'!$B$4-'إعدادات المخزون'!$B$11),'مبيعات يومية'!$A$2:$A$14001,"&lt;="&amp;'إعدادات المخزون'!$B$4)</f>
        <v>0</v>
      </c>
      <c r="E153" s="118" t="n">
        <f aca="false">SUMIFS('مبيعات يومية'!$D$2:$D$14001,'مبيعات يومية'!$C$2:$C$14001,$A153,'مبيعات يومية'!$B$2:$B$14001,'إعدادات المخزون'!$A$16,'مبيعات يومية'!$A$2:$A$14001,'إعدادات المخزون'!$B$4)</f>
        <v>0.0833</v>
      </c>
      <c r="F153" s="118" t="n">
        <f aca="false">SUMIFS('مبيعات يومية'!$D$2:$D$14001,'مبيعات يومية'!$C$2:$C$14001,$A153,'مبيعات يومية'!$B$2:$B$14001,'إعدادات المخزون'!$A$16,'مبيعات يومية'!$A$2:$A$14001,"&gt;="&amp;'إعدادات المخزون'!$B$5,'مبيعات يومية'!$A$2:$A$14001,"&lt;="&amp;'إعدادات المخزون'!$B$4)</f>
        <v>0.9996</v>
      </c>
      <c r="G153" s="118" t="n">
        <f aca="false">SUMIFS('مبيعات يومية'!$D$2:$D$14001,'مبيعات يومية'!$C$2:$C$14001,$A153,'مبيعات يومية'!$B$2:$B$14001,'إعدادات المخزون'!$A$16,'مبيعات يومية'!$A$2:$A$14001,"&gt;"&amp;('إعدادات المخزون'!$B$4-'إعدادات المخزون'!$B$11),'مبيعات يومية'!$A$2:$A$14001,"&lt;="&amp;'إعدادات المخزون'!$B$4)</f>
        <v>0.5831</v>
      </c>
      <c r="H153" s="118" t="n">
        <f aca="false">SUMIFS('مبيعات يومية'!$D$2:$D$14001,'مبيعات يومية'!$C$2:$C$14001,$A153,'مبيعات يومية'!$B$2:$B$14001,'إعدادات المخزون'!$A$17,'مبيعات يومية'!$A$2:$A$14001,'إعدادات المخزون'!$B$4)</f>
        <v>0</v>
      </c>
      <c r="I153" s="118" t="n">
        <f aca="false">SUMIFS('مبيعات يومية'!$D$2:$D$14001,'مبيعات يومية'!$C$2:$C$14001,$A153,'مبيعات يومية'!$B$2:$B$14001,'إعدادات المخزون'!$A$17,'مبيعات يومية'!$A$2:$A$14001,"&gt;="&amp;'إعدادات المخزون'!$B$5,'مبيعات يومية'!$A$2:$A$14001,"&lt;="&amp;'إعدادات المخزون'!$B$4)</f>
        <v>0</v>
      </c>
      <c r="J153" s="118" t="n">
        <f aca="false">SUMIFS('مبيعات يومية'!$D$2:$D$14001,'مبيعات يومية'!$C$2:$C$14001,$A153,'مبيعات يومية'!$B$2:$B$14001,'إعدادات المخزون'!$A$17,'مبيعات يومية'!$A$2:$A$14001,"&gt;"&amp;('إعدادات المخزون'!$B$4-'إعدادات المخزون'!$B$11),'مبيعات يومية'!$A$2:$A$14001,"&lt;="&amp;'إعدادات المخزون'!$B$4)</f>
        <v>0</v>
      </c>
    </row>
    <row r="154" customFormat="false" ht="15" hidden="false" customHeight="false" outlineLevel="0" collapsed="false">
      <c r="A154" s="116" t="str">
        <f aca="false">المنيو!B154</f>
        <v>اضافة فراخ جريل (بيتزا كبير)</v>
      </c>
      <c r="B154" s="118" t="n">
        <f aca="false">SUMIFS('مبيعات يومية'!$D$2:$D$14001,'مبيعات يومية'!$C$2:$C$14001,$A154,'مبيعات يومية'!$B$2:$B$14001,'إعدادات المخزون'!$A$15,'مبيعات يومية'!$A$2:$A$14001,'إعدادات المخزون'!$B$4)</f>
        <v>0.0833</v>
      </c>
      <c r="C154" s="118" t="n">
        <f aca="false">SUMIFS('مبيعات يومية'!$D$2:$D$14001,'مبيعات يومية'!$C$2:$C$14001,$A154,'مبيعات يومية'!$B$2:$B$14001,'إعدادات المخزون'!$A$15,'مبيعات يومية'!$A$2:$A$14001,"&gt;="&amp;'إعدادات المخزون'!$B$5,'مبيعات يومية'!$A$2:$A$14001,"&lt;="&amp;'إعدادات المخزون'!$B$4)</f>
        <v>0.9996</v>
      </c>
      <c r="D154" s="118" t="n">
        <f aca="false">SUMIFS('مبيعات يومية'!$D$2:$D$14001,'مبيعات يومية'!$C$2:$C$14001,$A154,'مبيعات يومية'!$B$2:$B$14001,'إعدادات المخزون'!$A$15,'مبيعات يومية'!$A$2:$A$14001,"&gt;"&amp;('إعدادات المخزون'!$B$4-'إعدادات المخزون'!$B$11),'مبيعات يومية'!$A$2:$A$14001,"&lt;="&amp;'إعدادات المخزون'!$B$4)</f>
        <v>0.5831</v>
      </c>
      <c r="E154" s="118" t="n">
        <f aca="false">SUMIFS('مبيعات يومية'!$D$2:$D$14001,'مبيعات يومية'!$C$2:$C$14001,$A154,'مبيعات يومية'!$B$2:$B$14001,'إعدادات المخزون'!$A$16,'مبيعات يومية'!$A$2:$A$14001,'إعدادات المخزون'!$B$4)</f>
        <v>0</v>
      </c>
      <c r="F154" s="118" t="n">
        <f aca="false">SUMIFS('مبيعات يومية'!$D$2:$D$14001,'مبيعات يومية'!$C$2:$C$14001,$A154,'مبيعات يومية'!$B$2:$B$14001,'إعدادات المخزون'!$A$16,'مبيعات يومية'!$A$2:$A$14001,"&gt;="&amp;'إعدادات المخزون'!$B$5,'مبيعات يومية'!$A$2:$A$14001,"&lt;="&amp;'إعدادات المخزون'!$B$4)</f>
        <v>0</v>
      </c>
      <c r="G154" s="118" t="n">
        <f aca="false">SUMIFS('مبيعات يومية'!$D$2:$D$14001,'مبيعات يومية'!$C$2:$C$14001,$A154,'مبيعات يومية'!$B$2:$B$14001,'إعدادات المخزون'!$A$16,'مبيعات يومية'!$A$2:$A$14001,"&gt;"&amp;('إعدادات المخزون'!$B$4-'إعدادات المخزون'!$B$11),'مبيعات يومية'!$A$2:$A$14001,"&lt;="&amp;'إعدادات المخزون'!$B$4)</f>
        <v>0</v>
      </c>
      <c r="H154" s="118" t="n">
        <f aca="false">SUMIFS('مبيعات يومية'!$D$2:$D$14001,'مبيعات يومية'!$C$2:$C$14001,$A154,'مبيعات يومية'!$B$2:$B$14001,'إعدادات المخزون'!$A$17,'مبيعات يومية'!$A$2:$A$14001,'إعدادات المخزون'!$B$4)</f>
        <v>0</v>
      </c>
      <c r="I154" s="118" t="n">
        <f aca="false">SUMIFS('مبيعات يومية'!$D$2:$D$14001,'مبيعات يومية'!$C$2:$C$14001,$A154,'مبيعات يومية'!$B$2:$B$14001,'إعدادات المخزون'!$A$17,'مبيعات يومية'!$A$2:$A$14001,"&gt;="&amp;'إعدادات المخزون'!$B$5,'مبيعات يومية'!$A$2:$A$14001,"&lt;="&amp;'إعدادات المخزون'!$B$4)</f>
        <v>0</v>
      </c>
      <c r="J154" s="118" t="n">
        <f aca="false">SUMIFS('مبيعات يومية'!$D$2:$D$14001,'مبيعات يومية'!$C$2:$C$14001,$A154,'مبيعات يومية'!$B$2:$B$14001,'إعدادات المخزون'!$A$17,'مبيعات يومية'!$A$2:$A$14001,"&gt;"&amp;('إعدادات المخزون'!$B$4-'إعدادات المخزون'!$B$11),'مبيعات يومية'!$A$2:$A$14001,"&lt;="&amp;'إعدادات المخزون'!$B$4)</f>
        <v>0</v>
      </c>
    </row>
    <row r="155" customFormat="false" ht="15" hidden="false" customHeight="false" outlineLevel="0" collapsed="false">
      <c r="A155" s="116" t="str">
        <f aca="false">المنيو!B155</f>
        <v>اضافة فراخ جريل (فطير كبير)</v>
      </c>
      <c r="B155" s="118" t="n">
        <f aca="false">SUMIFS('مبيعات يومية'!$D$2:$D$14001,'مبيعات يومية'!$C$2:$C$14001,$A155,'مبيعات يومية'!$B$2:$B$14001,'إعدادات المخزون'!$A$15,'مبيعات يومية'!$A$2:$A$14001,'إعدادات المخزون'!$B$4)</f>
        <v>0</v>
      </c>
      <c r="C155" s="118" t="n">
        <f aca="false">SUMIFS('مبيعات يومية'!$D$2:$D$14001,'مبيعات يومية'!$C$2:$C$14001,$A155,'مبيعات يومية'!$B$2:$B$14001,'إعدادات المخزون'!$A$15,'مبيعات يومية'!$A$2:$A$14001,"&gt;="&amp;'إعدادات المخزون'!$B$5,'مبيعات يومية'!$A$2:$A$14001,"&lt;="&amp;'إعدادات المخزون'!$B$4)</f>
        <v>0</v>
      </c>
      <c r="D155" s="118" t="n">
        <f aca="false">SUMIFS('مبيعات يومية'!$D$2:$D$14001,'مبيعات يومية'!$C$2:$C$14001,$A155,'مبيعات يومية'!$B$2:$B$14001,'إعدادات المخزون'!$A$15,'مبيعات يومية'!$A$2:$A$14001,"&gt;"&amp;('إعدادات المخزون'!$B$4-'إعدادات المخزون'!$B$11),'مبيعات يومية'!$A$2:$A$14001,"&lt;="&amp;'إعدادات المخزون'!$B$4)</f>
        <v>0</v>
      </c>
      <c r="E155" s="118" t="n">
        <f aca="false">SUMIFS('مبيعات يومية'!$D$2:$D$14001,'مبيعات يومية'!$C$2:$C$14001,$A155,'مبيعات يومية'!$B$2:$B$14001,'إعدادات المخزون'!$A$16,'مبيعات يومية'!$A$2:$A$14001,'إعدادات المخزون'!$B$4)</f>
        <v>0</v>
      </c>
      <c r="F155" s="118" t="n">
        <f aca="false">SUMIFS('مبيعات يومية'!$D$2:$D$14001,'مبيعات يومية'!$C$2:$C$14001,$A155,'مبيعات يومية'!$B$2:$B$14001,'إعدادات المخزون'!$A$16,'مبيعات يومية'!$A$2:$A$14001,"&gt;="&amp;'إعدادات المخزون'!$B$5,'مبيعات يومية'!$A$2:$A$14001,"&lt;="&amp;'إعدادات المخزون'!$B$4)</f>
        <v>0</v>
      </c>
      <c r="G155" s="118" t="n">
        <f aca="false">SUMIFS('مبيعات يومية'!$D$2:$D$14001,'مبيعات يومية'!$C$2:$C$14001,$A155,'مبيعات يومية'!$B$2:$B$14001,'إعدادات المخزون'!$A$16,'مبيعات يومية'!$A$2:$A$14001,"&gt;"&amp;('إعدادات المخزون'!$B$4-'إعدادات المخزون'!$B$11),'مبيعات يومية'!$A$2:$A$14001,"&lt;="&amp;'إعدادات المخزون'!$B$4)</f>
        <v>0</v>
      </c>
      <c r="H155" s="118" t="n">
        <f aca="false">SUMIFS('مبيعات يومية'!$D$2:$D$14001,'مبيعات يومية'!$C$2:$C$14001,$A155,'مبيعات يومية'!$B$2:$B$14001,'إعدادات المخزون'!$A$17,'مبيعات يومية'!$A$2:$A$14001,'إعدادات المخزون'!$B$4)</f>
        <v>0</v>
      </c>
      <c r="I155" s="118" t="n">
        <f aca="false">SUMIFS('مبيعات يومية'!$D$2:$D$14001,'مبيعات يومية'!$C$2:$C$14001,$A155,'مبيعات يومية'!$B$2:$B$14001,'إعدادات المخزون'!$A$17,'مبيعات يومية'!$A$2:$A$14001,"&gt;="&amp;'إعدادات المخزون'!$B$5,'مبيعات يومية'!$A$2:$A$14001,"&lt;="&amp;'إعدادات المخزون'!$B$4)</f>
        <v>0</v>
      </c>
      <c r="J155" s="118" t="n">
        <f aca="false">SUMIFS('مبيعات يومية'!$D$2:$D$14001,'مبيعات يومية'!$C$2:$C$14001,$A155,'مبيعات يومية'!$B$2:$B$14001,'إعدادات المخزون'!$A$17,'مبيعات يومية'!$A$2:$A$14001,"&gt;"&amp;('إعدادات المخزون'!$B$4-'إعدادات المخزون'!$B$11),'مبيعات يومية'!$A$2:$A$14001,"&lt;="&amp;'إعدادات المخزون'!$B$4)</f>
        <v>0</v>
      </c>
    </row>
    <row r="156" customFormat="false" ht="15" hidden="false" customHeight="false" outlineLevel="0" collapsed="false">
      <c r="A156" s="116" t="str">
        <f aca="false">المنيو!B156</f>
        <v>اضافة فراخ كريسبي (بيتزا وسط)</v>
      </c>
      <c r="B156" s="118" t="n">
        <f aca="false">SUMIFS('مبيعات يومية'!$D$2:$D$14001,'مبيعات يومية'!$C$2:$C$14001,$A156,'مبيعات يومية'!$B$2:$B$14001,'إعدادات المخزون'!$A$15,'مبيعات يومية'!$A$2:$A$14001,'إعدادات المخزون'!$B$4)</f>
        <v>0</v>
      </c>
      <c r="C156" s="118" t="n">
        <f aca="false">SUMIFS('مبيعات يومية'!$D$2:$D$14001,'مبيعات يومية'!$C$2:$C$14001,$A156,'مبيعات يومية'!$B$2:$B$14001,'إعدادات المخزون'!$A$15,'مبيعات يومية'!$A$2:$A$14001,"&gt;="&amp;'إعدادات المخزون'!$B$5,'مبيعات يومية'!$A$2:$A$14001,"&lt;="&amp;'إعدادات المخزون'!$B$4)</f>
        <v>0</v>
      </c>
      <c r="D156" s="118" t="n">
        <f aca="false">SUMIFS('مبيعات يومية'!$D$2:$D$14001,'مبيعات يومية'!$C$2:$C$14001,$A156,'مبيعات يومية'!$B$2:$B$14001,'إعدادات المخزون'!$A$15,'مبيعات يومية'!$A$2:$A$14001,"&gt;"&amp;('إعدادات المخزون'!$B$4-'إعدادات المخزون'!$B$11),'مبيعات يومية'!$A$2:$A$14001,"&lt;="&amp;'إعدادات المخزون'!$B$4)</f>
        <v>0</v>
      </c>
      <c r="E156" s="118" t="n">
        <f aca="false">SUMIFS('مبيعات يومية'!$D$2:$D$14001,'مبيعات يومية'!$C$2:$C$14001,$A156,'مبيعات يومية'!$B$2:$B$14001,'إعدادات المخزون'!$A$16,'مبيعات يومية'!$A$2:$A$14001,'إعدادات المخزون'!$B$4)</f>
        <v>0</v>
      </c>
      <c r="F156" s="118" t="n">
        <f aca="false">SUMIFS('مبيعات يومية'!$D$2:$D$14001,'مبيعات يومية'!$C$2:$C$14001,$A156,'مبيعات يومية'!$B$2:$B$14001,'إعدادات المخزون'!$A$16,'مبيعات يومية'!$A$2:$A$14001,"&gt;="&amp;'إعدادات المخزون'!$B$5,'مبيعات يومية'!$A$2:$A$14001,"&lt;="&amp;'إعدادات المخزون'!$B$4)</f>
        <v>0</v>
      </c>
      <c r="G156" s="118" t="n">
        <f aca="false">SUMIFS('مبيعات يومية'!$D$2:$D$14001,'مبيعات يومية'!$C$2:$C$14001,$A156,'مبيعات يومية'!$B$2:$B$14001,'إعدادات المخزون'!$A$16,'مبيعات يومية'!$A$2:$A$14001,"&gt;"&amp;('إعدادات المخزون'!$B$4-'إعدادات المخزون'!$B$11),'مبيعات يومية'!$A$2:$A$14001,"&lt;="&amp;'إعدادات المخزون'!$B$4)</f>
        <v>0</v>
      </c>
      <c r="H156" s="118" t="n">
        <f aca="false">SUMIFS('مبيعات يومية'!$D$2:$D$14001,'مبيعات يومية'!$C$2:$C$14001,$A156,'مبيعات يومية'!$B$2:$B$14001,'إعدادات المخزون'!$A$17,'مبيعات يومية'!$A$2:$A$14001,'إعدادات المخزون'!$B$4)</f>
        <v>0</v>
      </c>
      <c r="I156" s="118" t="n">
        <f aca="false">SUMIFS('مبيعات يومية'!$D$2:$D$14001,'مبيعات يومية'!$C$2:$C$14001,$A156,'مبيعات يومية'!$B$2:$B$14001,'إعدادات المخزون'!$A$17,'مبيعات يومية'!$A$2:$A$14001,"&gt;="&amp;'إعدادات المخزون'!$B$5,'مبيعات يومية'!$A$2:$A$14001,"&lt;="&amp;'إعدادات المخزون'!$B$4)</f>
        <v>0</v>
      </c>
      <c r="J156" s="118" t="n">
        <f aca="false">SUMIFS('مبيعات يومية'!$D$2:$D$14001,'مبيعات يومية'!$C$2:$C$14001,$A156,'مبيعات يومية'!$B$2:$B$14001,'إعدادات المخزون'!$A$17,'مبيعات يومية'!$A$2:$A$14001,"&gt;"&amp;('إعدادات المخزون'!$B$4-'إعدادات المخزون'!$B$11),'مبيعات يومية'!$A$2:$A$14001,"&lt;="&amp;'إعدادات المخزون'!$B$4)</f>
        <v>0</v>
      </c>
    </row>
    <row r="157" customFormat="false" ht="15" hidden="false" customHeight="false" outlineLevel="0" collapsed="false">
      <c r="A157" s="116" t="str">
        <f aca="false">المنيو!B157</f>
        <v>اضافة فراخ كريسبي (فطير وسط)</v>
      </c>
      <c r="B157" s="118" t="n">
        <f aca="false">SUMIFS('مبيعات يومية'!$D$2:$D$14001,'مبيعات يومية'!$C$2:$C$14001,$A157,'مبيعات يومية'!$B$2:$B$14001,'إعدادات المخزون'!$A$15,'مبيعات يومية'!$A$2:$A$14001,'إعدادات المخزون'!$B$4)</f>
        <v>0</v>
      </c>
      <c r="C157" s="118" t="n">
        <f aca="false">SUMIFS('مبيعات يومية'!$D$2:$D$14001,'مبيعات يومية'!$C$2:$C$14001,$A157,'مبيعات يومية'!$B$2:$B$14001,'إعدادات المخزون'!$A$15,'مبيعات يومية'!$A$2:$A$14001,"&gt;="&amp;'إعدادات المخزون'!$B$5,'مبيعات يومية'!$A$2:$A$14001,"&lt;="&amp;'إعدادات المخزون'!$B$4)</f>
        <v>0</v>
      </c>
      <c r="D157" s="118" t="n">
        <f aca="false">SUMIFS('مبيعات يومية'!$D$2:$D$14001,'مبيعات يومية'!$C$2:$C$14001,$A157,'مبيعات يومية'!$B$2:$B$14001,'إعدادات المخزون'!$A$15,'مبيعات يومية'!$A$2:$A$14001,"&gt;"&amp;('إعدادات المخزون'!$B$4-'إعدادات المخزون'!$B$11),'مبيعات يومية'!$A$2:$A$14001,"&lt;="&amp;'إعدادات المخزون'!$B$4)</f>
        <v>0</v>
      </c>
      <c r="E157" s="118" t="n">
        <f aca="false">SUMIFS('مبيعات يومية'!$D$2:$D$14001,'مبيعات يومية'!$C$2:$C$14001,$A157,'مبيعات يومية'!$B$2:$B$14001,'إعدادات المخزون'!$A$16,'مبيعات يومية'!$A$2:$A$14001,'إعدادات المخزون'!$B$4)</f>
        <v>0</v>
      </c>
      <c r="F157" s="118" t="n">
        <f aca="false">SUMIFS('مبيعات يومية'!$D$2:$D$14001,'مبيعات يومية'!$C$2:$C$14001,$A157,'مبيعات يومية'!$B$2:$B$14001,'إعدادات المخزون'!$A$16,'مبيعات يومية'!$A$2:$A$14001,"&gt;="&amp;'إعدادات المخزون'!$B$5,'مبيعات يومية'!$A$2:$A$14001,"&lt;="&amp;'إعدادات المخزون'!$B$4)</f>
        <v>0</v>
      </c>
      <c r="G157" s="118" t="n">
        <f aca="false">SUMIFS('مبيعات يومية'!$D$2:$D$14001,'مبيعات يومية'!$C$2:$C$14001,$A157,'مبيعات يومية'!$B$2:$B$14001,'إعدادات المخزون'!$A$16,'مبيعات يومية'!$A$2:$A$14001,"&gt;"&amp;('إعدادات المخزون'!$B$4-'إعدادات المخزون'!$B$11),'مبيعات يومية'!$A$2:$A$14001,"&lt;="&amp;'إعدادات المخزون'!$B$4)</f>
        <v>0</v>
      </c>
      <c r="H157" s="118" t="n">
        <f aca="false">SUMIFS('مبيعات يومية'!$D$2:$D$14001,'مبيعات يومية'!$C$2:$C$14001,$A157,'مبيعات يومية'!$B$2:$B$14001,'إعدادات المخزون'!$A$17,'مبيعات يومية'!$A$2:$A$14001,'إعدادات المخزون'!$B$4)</f>
        <v>0</v>
      </c>
      <c r="I157" s="118" t="n">
        <f aca="false">SUMIFS('مبيعات يومية'!$D$2:$D$14001,'مبيعات يومية'!$C$2:$C$14001,$A157,'مبيعات يومية'!$B$2:$B$14001,'إعدادات المخزون'!$A$17,'مبيعات يومية'!$A$2:$A$14001,"&gt;="&amp;'إعدادات المخزون'!$B$5,'مبيعات يومية'!$A$2:$A$14001,"&lt;="&amp;'إعدادات المخزون'!$B$4)</f>
        <v>0</v>
      </c>
      <c r="J157" s="118" t="n">
        <f aca="false">SUMIFS('مبيعات يومية'!$D$2:$D$14001,'مبيعات يومية'!$C$2:$C$14001,$A157,'مبيعات يومية'!$B$2:$B$14001,'إعدادات المخزون'!$A$17,'مبيعات يومية'!$A$2:$A$14001,"&gt;"&amp;('إعدادات المخزون'!$B$4-'إعدادات المخزون'!$B$11),'مبيعات يومية'!$A$2:$A$14001,"&lt;="&amp;'إعدادات المخزون'!$B$4)</f>
        <v>0</v>
      </c>
    </row>
    <row r="158" customFormat="false" ht="15" hidden="false" customHeight="false" outlineLevel="0" collapsed="false">
      <c r="A158" s="116" t="str">
        <f aca="false">المنيو!B158</f>
        <v>اضافة فراخ كريسبي (فطير كبير)</v>
      </c>
      <c r="B158" s="118" t="n">
        <f aca="false">SUMIFS('مبيعات يومية'!$D$2:$D$14001,'مبيعات يومية'!$C$2:$C$14001,$A158,'مبيعات يومية'!$B$2:$B$14001,'إعدادات المخزون'!$A$15,'مبيعات يومية'!$A$2:$A$14001,'إعدادات المخزون'!$B$4)</f>
        <v>0</v>
      </c>
      <c r="C158" s="118" t="n">
        <f aca="false">SUMIFS('مبيعات يومية'!$D$2:$D$14001,'مبيعات يومية'!$C$2:$C$14001,$A158,'مبيعات يومية'!$B$2:$B$14001,'إعدادات المخزون'!$A$15,'مبيعات يومية'!$A$2:$A$14001,"&gt;="&amp;'إعدادات المخزون'!$B$5,'مبيعات يومية'!$A$2:$A$14001,"&lt;="&amp;'إعدادات المخزون'!$B$4)</f>
        <v>0</v>
      </c>
      <c r="D158" s="118" t="n">
        <f aca="false">SUMIFS('مبيعات يومية'!$D$2:$D$14001,'مبيعات يومية'!$C$2:$C$14001,$A158,'مبيعات يومية'!$B$2:$B$14001,'إعدادات المخزون'!$A$15,'مبيعات يومية'!$A$2:$A$14001,"&gt;"&amp;('إعدادات المخزون'!$B$4-'إعدادات المخزون'!$B$11),'مبيعات يومية'!$A$2:$A$14001,"&lt;="&amp;'إعدادات المخزون'!$B$4)</f>
        <v>0</v>
      </c>
      <c r="E158" s="118" t="n">
        <f aca="false">SUMIFS('مبيعات يومية'!$D$2:$D$14001,'مبيعات يومية'!$C$2:$C$14001,$A158,'مبيعات يومية'!$B$2:$B$14001,'إعدادات المخزون'!$A$16,'مبيعات يومية'!$A$2:$A$14001,'إعدادات المخزون'!$B$4)</f>
        <v>0</v>
      </c>
      <c r="F158" s="118" t="n">
        <f aca="false">SUMIFS('مبيعات يومية'!$D$2:$D$14001,'مبيعات يومية'!$C$2:$C$14001,$A158,'مبيعات يومية'!$B$2:$B$14001,'إعدادات المخزون'!$A$16,'مبيعات يومية'!$A$2:$A$14001,"&gt;="&amp;'إعدادات المخزون'!$B$5,'مبيعات يومية'!$A$2:$A$14001,"&lt;="&amp;'إعدادات المخزون'!$B$4)</f>
        <v>0</v>
      </c>
      <c r="G158" s="118" t="n">
        <f aca="false">SUMIFS('مبيعات يومية'!$D$2:$D$14001,'مبيعات يومية'!$C$2:$C$14001,$A158,'مبيعات يومية'!$B$2:$B$14001,'إعدادات المخزون'!$A$16,'مبيعات يومية'!$A$2:$A$14001,"&gt;"&amp;('إعدادات المخزون'!$B$4-'إعدادات المخزون'!$B$11),'مبيعات يومية'!$A$2:$A$14001,"&lt;="&amp;'إعدادات المخزون'!$B$4)</f>
        <v>0</v>
      </c>
      <c r="H158" s="118" t="n">
        <f aca="false">SUMIFS('مبيعات يومية'!$D$2:$D$14001,'مبيعات يومية'!$C$2:$C$14001,$A158,'مبيعات يومية'!$B$2:$B$14001,'إعدادات المخزون'!$A$17,'مبيعات يومية'!$A$2:$A$14001,'إعدادات المخزون'!$B$4)</f>
        <v>0</v>
      </c>
      <c r="I158" s="118" t="n">
        <f aca="false">SUMIFS('مبيعات يومية'!$D$2:$D$14001,'مبيعات يومية'!$C$2:$C$14001,$A158,'مبيعات يومية'!$B$2:$B$14001,'إعدادات المخزون'!$A$17,'مبيعات يومية'!$A$2:$A$14001,"&gt;="&amp;'إعدادات المخزون'!$B$5,'مبيعات يومية'!$A$2:$A$14001,"&lt;="&amp;'إعدادات المخزون'!$B$4)</f>
        <v>0</v>
      </c>
      <c r="J158" s="118" t="n">
        <f aca="false">SUMIFS('مبيعات يومية'!$D$2:$D$14001,'مبيعات يومية'!$C$2:$C$14001,$A158,'مبيعات يومية'!$B$2:$B$14001,'إعدادات المخزون'!$A$17,'مبيعات يومية'!$A$2:$A$14001,"&gt;"&amp;('إعدادات المخزون'!$B$4-'إعدادات المخزون'!$B$11),'مبيعات يومية'!$A$2:$A$14001,"&lt;="&amp;'إعدادات المخزون'!$B$4)</f>
        <v>0</v>
      </c>
    </row>
    <row r="159" customFormat="false" ht="15" hidden="false" customHeight="false" outlineLevel="0" collapsed="false">
      <c r="A159" s="116" t="str">
        <f aca="false">المنيو!B159</f>
        <v>اضافة مشروم (بيتزا وسط)</v>
      </c>
      <c r="B159" s="118" t="n">
        <f aca="false">SUMIFS('مبيعات يومية'!$D$2:$D$14001,'مبيعات يومية'!$C$2:$C$14001,$A159,'مبيعات يومية'!$B$2:$B$14001,'إعدادات المخزون'!$A$15,'مبيعات يومية'!$A$2:$A$14001,'إعدادات المخزون'!$B$4)</f>
        <v>0</v>
      </c>
      <c r="C159" s="118" t="n">
        <f aca="false">SUMIFS('مبيعات يومية'!$D$2:$D$14001,'مبيعات يومية'!$C$2:$C$14001,$A159,'مبيعات يومية'!$B$2:$B$14001,'إعدادات المخزون'!$A$15,'مبيعات يومية'!$A$2:$A$14001,"&gt;="&amp;'إعدادات المخزون'!$B$5,'مبيعات يومية'!$A$2:$A$14001,"&lt;="&amp;'إعدادات المخزون'!$B$4)</f>
        <v>0</v>
      </c>
      <c r="D159" s="118" t="n">
        <f aca="false">SUMIFS('مبيعات يومية'!$D$2:$D$14001,'مبيعات يومية'!$C$2:$C$14001,$A159,'مبيعات يومية'!$B$2:$B$14001,'إعدادات المخزون'!$A$15,'مبيعات يومية'!$A$2:$A$14001,"&gt;"&amp;('إعدادات المخزون'!$B$4-'إعدادات المخزون'!$B$11),'مبيعات يومية'!$A$2:$A$14001,"&lt;="&amp;'إعدادات المخزون'!$B$4)</f>
        <v>0</v>
      </c>
      <c r="E159" s="118" t="n">
        <f aca="false">SUMIFS('مبيعات يومية'!$D$2:$D$14001,'مبيعات يومية'!$C$2:$C$14001,$A159,'مبيعات يومية'!$B$2:$B$14001,'إعدادات المخزون'!$A$16,'مبيعات يومية'!$A$2:$A$14001,'إعدادات المخزون'!$B$4)</f>
        <v>0</v>
      </c>
      <c r="F159" s="118" t="n">
        <f aca="false">SUMIFS('مبيعات يومية'!$D$2:$D$14001,'مبيعات يومية'!$C$2:$C$14001,$A159,'مبيعات يومية'!$B$2:$B$14001,'إعدادات المخزون'!$A$16,'مبيعات يومية'!$A$2:$A$14001,"&gt;="&amp;'إعدادات المخزون'!$B$5,'مبيعات يومية'!$A$2:$A$14001,"&lt;="&amp;'إعدادات المخزون'!$B$4)</f>
        <v>0</v>
      </c>
      <c r="G159" s="118" t="n">
        <f aca="false">SUMIFS('مبيعات يومية'!$D$2:$D$14001,'مبيعات يومية'!$C$2:$C$14001,$A159,'مبيعات يومية'!$B$2:$B$14001,'إعدادات المخزون'!$A$16,'مبيعات يومية'!$A$2:$A$14001,"&gt;"&amp;('إعدادات المخزون'!$B$4-'إعدادات المخزون'!$B$11),'مبيعات يومية'!$A$2:$A$14001,"&lt;="&amp;'إعدادات المخزون'!$B$4)</f>
        <v>0</v>
      </c>
      <c r="H159" s="118" t="n">
        <f aca="false">SUMIFS('مبيعات يومية'!$D$2:$D$14001,'مبيعات يومية'!$C$2:$C$14001,$A159,'مبيعات يومية'!$B$2:$B$14001,'إعدادات المخزون'!$A$17,'مبيعات يومية'!$A$2:$A$14001,'إعدادات المخزون'!$B$4)</f>
        <v>0</v>
      </c>
      <c r="I159" s="118" t="n">
        <f aca="false">SUMIFS('مبيعات يومية'!$D$2:$D$14001,'مبيعات يومية'!$C$2:$C$14001,$A159,'مبيعات يومية'!$B$2:$B$14001,'إعدادات المخزون'!$A$17,'مبيعات يومية'!$A$2:$A$14001,"&gt;="&amp;'إعدادات المخزون'!$B$5,'مبيعات يومية'!$A$2:$A$14001,"&lt;="&amp;'إعدادات المخزون'!$B$4)</f>
        <v>0</v>
      </c>
      <c r="J159" s="118" t="n">
        <f aca="false">SUMIFS('مبيعات يومية'!$D$2:$D$14001,'مبيعات يومية'!$C$2:$C$14001,$A159,'مبيعات يومية'!$B$2:$B$14001,'إعدادات المخزون'!$A$17,'مبيعات يومية'!$A$2:$A$14001,"&gt;"&amp;('إعدادات المخزون'!$B$4-'إعدادات المخزون'!$B$11),'مبيعات يومية'!$A$2:$A$14001,"&lt;="&amp;'إعدادات المخزون'!$B$4)</f>
        <v>0</v>
      </c>
    </row>
    <row r="160" customFormat="false" ht="15" hidden="false" customHeight="false" outlineLevel="0" collapsed="false">
      <c r="A160" s="116" t="str">
        <f aca="false">المنيو!B160</f>
        <v>اضافة مشروم (بيتزا كبير)</v>
      </c>
      <c r="B160" s="118" t="n">
        <f aca="false">SUMIFS('مبيعات يومية'!$D$2:$D$14001,'مبيعات يومية'!$C$2:$C$14001,$A160,'مبيعات يومية'!$B$2:$B$14001,'إعدادات المخزون'!$A$15,'مبيعات يومية'!$A$2:$A$14001,'إعدادات المخزون'!$B$4)</f>
        <v>0</v>
      </c>
      <c r="C160" s="118" t="n">
        <f aca="false">SUMIFS('مبيعات يومية'!$D$2:$D$14001,'مبيعات يومية'!$C$2:$C$14001,$A160,'مبيعات يومية'!$B$2:$B$14001,'إعدادات المخزون'!$A$15,'مبيعات يومية'!$A$2:$A$14001,"&gt;="&amp;'إعدادات المخزون'!$B$5,'مبيعات يومية'!$A$2:$A$14001,"&lt;="&amp;'إعدادات المخزون'!$B$4)</f>
        <v>0</v>
      </c>
      <c r="D160" s="118" t="n">
        <f aca="false">SUMIFS('مبيعات يومية'!$D$2:$D$14001,'مبيعات يومية'!$C$2:$C$14001,$A160,'مبيعات يومية'!$B$2:$B$14001,'إعدادات المخزون'!$A$15,'مبيعات يومية'!$A$2:$A$14001,"&gt;"&amp;('إعدادات المخزون'!$B$4-'إعدادات المخزون'!$B$11),'مبيعات يومية'!$A$2:$A$14001,"&lt;="&amp;'إعدادات المخزون'!$B$4)</f>
        <v>0</v>
      </c>
      <c r="E160" s="118" t="n">
        <f aca="false">SUMIFS('مبيعات يومية'!$D$2:$D$14001,'مبيعات يومية'!$C$2:$C$14001,$A160,'مبيعات يومية'!$B$2:$B$14001,'إعدادات المخزون'!$A$16,'مبيعات يومية'!$A$2:$A$14001,'إعدادات المخزون'!$B$4)</f>
        <v>0</v>
      </c>
      <c r="F160" s="118" t="n">
        <f aca="false">SUMIFS('مبيعات يومية'!$D$2:$D$14001,'مبيعات يومية'!$C$2:$C$14001,$A160,'مبيعات يومية'!$B$2:$B$14001,'إعدادات المخزون'!$A$16,'مبيعات يومية'!$A$2:$A$14001,"&gt;="&amp;'إعدادات المخزون'!$B$5,'مبيعات يومية'!$A$2:$A$14001,"&lt;="&amp;'إعدادات المخزون'!$B$4)</f>
        <v>0</v>
      </c>
      <c r="G160" s="118" t="n">
        <f aca="false">SUMIFS('مبيعات يومية'!$D$2:$D$14001,'مبيعات يومية'!$C$2:$C$14001,$A160,'مبيعات يومية'!$B$2:$B$14001,'إعدادات المخزون'!$A$16,'مبيعات يومية'!$A$2:$A$14001,"&gt;"&amp;('إعدادات المخزون'!$B$4-'إعدادات المخزون'!$B$11),'مبيعات يومية'!$A$2:$A$14001,"&lt;="&amp;'إعدادات المخزون'!$B$4)</f>
        <v>0</v>
      </c>
      <c r="H160" s="118" t="n">
        <f aca="false">SUMIFS('مبيعات يومية'!$D$2:$D$14001,'مبيعات يومية'!$C$2:$C$14001,$A160,'مبيعات يومية'!$B$2:$B$14001,'إعدادات المخزون'!$A$17,'مبيعات يومية'!$A$2:$A$14001,'إعدادات المخزون'!$B$4)</f>
        <v>0</v>
      </c>
      <c r="I160" s="118" t="n">
        <f aca="false">SUMIFS('مبيعات يومية'!$D$2:$D$14001,'مبيعات يومية'!$C$2:$C$14001,$A160,'مبيعات يومية'!$B$2:$B$14001,'إعدادات المخزون'!$A$17,'مبيعات يومية'!$A$2:$A$14001,"&gt;="&amp;'إعدادات المخزون'!$B$5,'مبيعات يومية'!$A$2:$A$14001,"&lt;="&amp;'إعدادات المخزون'!$B$4)</f>
        <v>0</v>
      </c>
      <c r="J160" s="118" t="n">
        <f aca="false">SUMIFS('مبيعات يومية'!$D$2:$D$14001,'مبيعات يومية'!$C$2:$C$14001,$A160,'مبيعات يومية'!$B$2:$B$14001,'إعدادات المخزون'!$A$17,'مبيعات يومية'!$A$2:$A$14001,"&gt;"&amp;('إعدادات المخزون'!$B$4-'إعدادات المخزون'!$B$11),'مبيعات يومية'!$A$2:$A$14001,"&lt;="&amp;'إعدادات المخزون'!$B$4)</f>
        <v>0</v>
      </c>
    </row>
    <row r="161" customFormat="false" ht="15" hidden="false" customHeight="false" outlineLevel="0" collapsed="false">
      <c r="A161" s="116" t="str">
        <f aca="false">المنيو!B161</f>
        <v>اضافة مشروم (فطير وسط)</v>
      </c>
      <c r="B161" s="118" t="n">
        <f aca="false">SUMIFS('مبيعات يومية'!$D$2:$D$14001,'مبيعات يومية'!$C$2:$C$14001,$A161,'مبيعات يومية'!$B$2:$B$14001,'إعدادات المخزون'!$A$15,'مبيعات يومية'!$A$2:$A$14001,'إعدادات المخزون'!$B$4)</f>
        <v>0</v>
      </c>
      <c r="C161" s="118" t="n">
        <f aca="false">SUMIFS('مبيعات يومية'!$D$2:$D$14001,'مبيعات يومية'!$C$2:$C$14001,$A161,'مبيعات يومية'!$B$2:$B$14001,'إعدادات المخزون'!$A$15,'مبيعات يومية'!$A$2:$A$14001,"&gt;="&amp;'إعدادات المخزون'!$B$5,'مبيعات يومية'!$A$2:$A$14001,"&lt;="&amp;'إعدادات المخزون'!$B$4)</f>
        <v>0</v>
      </c>
      <c r="D161" s="118" t="n">
        <f aca="false">SUMIFS('مبيعات يومية'!$D$2:$D$14001,'مبيعات يومية'!$C$2:$C$14001,$A161,'مبيعات يومية'!$B$2:$B$14001,'إعدادات المخزون'!$A$15,'مبيعات يومية'!$A$2:$A$14001,"&gt;"&amp;('إعدادات المخزون'!$B$4-'إعدادات المخزون'!$B$11),'مبيعات يومية'!$A$2:$A$14001,"&lt;="&amp;'إعدادات المخزون'!$B$4)</f>
        <v>0</v>
      </c>
      <c r="E161" s="118" t="n">
        <f aca="false">SUMIFS('مبيعات يومية'!$D$2:$D$14001,'مبيعات يومية'!$C$2:$C$14001,$A161,'مبيعات يومية'!$B$2:$B$14001,'إعدادات المخزون'!$A$16,'مبيعات يومية'!$A$2:$A$14001,'إعدادات المخزون'!$B$4)</f>
        <v>0</v>
      </c>
      <c r="F161" s="118" t="n">
        <f aca="false">SUMIFS('مبيعات يومية'!$D$2:$D$14001,'مبيعات يومية'!$C$2:$C$14001,$A161,'مبيعات يومية'!$B$2:$B$14001,'إعدادات المخزون'!$A$16,'مبيعات يومية'!$A$2:$A$14001,"&gt;="&amp;'إعدادات المخزون'!$B$5,'مبيعات يومية'!$A$2:$A$14001,"&lt;="&amp;'إعدادات المخزون'!$B$4)</f>
        <v>0</v>
      </c>
      <c r="G161" s="118" t="n">
        <f aca="false">SUMIFS('مبيعات يومية'!$D$2:$D$14001,'مبيعات يومية'!$C$2:$C$14001,$A161,'مبيعات يومية'!$B$2:$B$14001,'إعدادات المخزون'!$A$16,'مبيعات يومية'!$A$2:$A$14001,"&gt;"&amp;('إعدادات المخزون'!$B$4-'إعدادات المخزون'!$B$11),'مبيعات يومية'!$A$2:$A$14001,"&lt;="&amp;'إعدادات المخزون'!$B$4)</f>
        <v>0</v>
      </c>
      <c r="H161" s="118" t="n">
        <f aca="false">SUMIFS('مبيعات يومية'!$D$2:$D$14001,'مبيعات يومية'!$C$2:$C$14001,$A161,'مبيعات يومية'!$B$2:$B$14001,'إعدادات المخزون'!$A$17,'مبيعات يومية'!$A$2:$A$14001,'إعدادات المخزون'!$B$4)</f>
        <v>0.0833</v>
      </c>
      <c r="I161" s="118" t="n">
        <f aca="false">SUMIFS('مبيعات يومية'!$D$2:$D$14001,'مبيعات يومية'!$C$2:$C$14001,$A161,'مبيعات يومية'!$B$2:$B$14001,'إعدادات المخزون'!$A$17,'مبيعات يومية'!$A$2:$A$14001,"&gt;="&amp;'إعدادات المخزون'!$B$5,'مبيعات يومية'!$A$2:$A$14001,"&lt;="&amp;'إعدادات المخزون'!$B$4)</f>
        <v>0.9996</v>
      </c>
      <c r="J161" s="118" t="n">
        <f aca="false">SUMIFS('مبيعات يومية'!$D$2:$D$14001,'مبيعات يومية'!$C$2:$C$14001,$A161,'مبيعات يومية'!$B$2:$B$14001,'إعدادات المخزون'!$A$17,'مبيعات يومية'!$A$2:$A$14001,"&gt;"&amp;('إعدادات المخزون'!$B$4-'إعدادات المخزون'!$B$11),'مبيعات يومية'!$A$2:$A$14001,"&lt;="&amp;'إعدادات المخزون'!$B$4)</f>
        <v>0.5831</v>
      </c>
    </row>
    <row r="162" customFormat="false" ht="15" hidden="false" customHeight="false" outlineLevel="0" collapsed="false">
      <c r="A162" s="116" t="str">
        <f aca="false">المنيو!B162</f>
        <v>اضافة مشروم (فطير كبير)</v>
      </c>
      <c r="B162" s="118" t="n">
        <f aca="false">SUMIFS('مبيعات يومية'!$D$2:$D$14001,'مبيعات يومية'!$C$2:$C$14001,$A162,'مبيعات يومية'!$B$2:$B$14001,'إعدادات المخزون'!$A$15,'مبيعات يومية'!$A$2:$A$14001,'إعدادات المخزون'!$B$4)</f>
        <v>0</v>
      </c>
      <c r="C162" s="118" t="n">
        <f aca="false">SUMIFS('مبيعات يومية'!$D$2:$D$14001,'مبيعات يومية'!$C$2:$C$14001,$A162,'مبيعات يومية'!$B$2:$B$14001,'إعدادات المخزون'!$A$15,'مبيعات يومية'!$A$2:$A$14001,"&gt;="&amp;'إعدادات المخزون'!$B$5,'مبيعات يومية'!$A$2:$A$14001,"&lt;="&amp;'إعدادات المخزون'!$B$4)</f>
        <v>0</v>
      </c>
      <c r="D162" s="118" t="n">
        <f aca="false">SUMIFS('مبيعات يومية'!$D$2:$D$14001,'مبيعات يومية'!$C$2:$C$14001,$A162,'مبيعات يومية'!$B$2:$B$14001,'إعدادات المخزون'!$A$15,'مبيعات يومية'!$A$2:$A$14001,"&gt;"&amp;('إعدادات المخزون'!$B$4-'إعدادات المخزون'!$B$11),'مبيعات يومية'!$A$2:$A$14001,"&lt;="&amp;'إعدادات المخزون'!$B$4)</f>
        <v>0</v>
      </c>
      <c r="E162" s="118" t="n">
        <f aca="false">SUMIFS('مبيعات يومية'!$D$2:$D$14001,'مبيعات يومية'!$C$2:$C$14001,$A162,'مبيعات يومية'!$B$2:$B$14001,'إعدادات المخزون'!$A$16,'مبيعات يومية'!$A$2:$A$14001,'إعدادات المخزون'!$B$4)</f>
        <v>0</v>
      </c>
      <c r="F162" s="118" t="n">
        <f aca="false">SUMIFS('مبيعات يومية'!$D$2:$D$14001,'مبيعات يومية'!$C$2:$C$14001,$A162,'مبيعات يومية'!$B$2:$B$14001,'إعدادات المخزون'!$A$16,'مبيعات يومية'!$A$2:$A$14001,"&gt;="&amp;'إعدادات المخزون'!$B$5,'مبيعات يومية'!$A$2:$A$14001,"&lt;="&amp;'إعدادات المخزون'!$B$4)</f>
        <v>0</v>
      </c>
      <c r="G162" s="118" t="n">
        <f aca="false">SUMIFS('مبيعات يومية'!$D$2:$D$14001,'مبيعات يومية'!$C$2:$C$14001,$A162,'مبيعات يومية'!$B$2:$B$14001,'إعدادات المخزون'!$A$16,'مبيعات يومية'!$A$2:$A$14001,"&gt;"&amp;('إعدادات المخزون'!$B$4-'إعدادات المخزون'!$B$11),'مبيعات يومية'!$A$2:$A$14001,"&lt;="&amp;'إعدادات المخزون'!$B$4)</f>
        <v>0</v>
      </c>
      <c r="H162" s="118" t="n">
        <f aca="false">SUMIFS('مبيعات يومية'!$D$2:$D$14001,'مبيعات يومية'!$C$2:$C$14001,$A162,'مبيعات يومية'!$B$2:$B$14001,'إعدادات المخزون'!$A$17,'مبيعات يومية'!$A$2:$A$14001,'إعدادات المخزون'!$B$4)</f>
        <v>0</v>
      </c>
      <c r="I162" s="118" t="n">
        <f aca="false">SUMIFS('مبيعات يومية'!$D$2:$D$14001,'مبيعات يومية'!$C$2:$C$14001,$A162,'مبيعات يومية'!$B$2:$B$14001,'إعدادات المخزون'!$A$17,'مبيعات يومية'!$A$2:$A$14001,"&gt;="&amp;'إعدادات المخزون'!$B$5,'مبيعات يومية'!$A$2:$A$14001,"&lt;="&amp;'إعدادات المخزون'!$B$4)</f>
        <v>0</v>
      </c>
      <c r="J162" s="118" t="n">
        <f aca="false">SUMIFS('مبيعات يومية'!$D$2:$D$14001,'مبيعات يومية'!$C$2:$C$14001,$A162,'مبيعات يومية'!$B$2:$B$14001,'إعدادات المخزون'!$A$17,'مبيعات يومية'!$A$2:$A$14001,"&gt;"&amp;('إعدادات المخزون'!$B$4-'إعدادات المخزون'!$B$11),'مبيعات يومية'!$A$2:$A$14001,"&lt;="&amp;'إعدادات المخزون'!$B$4)</f>
        <v>0</v>
      </c>
    </row>
    <row r="163" customFormat="false" ht="15" hidden="false" customHeight="false" outlineLevel="0" collapsed="false">
      <c r="A163" s="116" t="str">
        <f aca="false">المنيو!B163</f>
        <v>إضافة وش بيتزا (مخصوص) (وسط)</v>
      </c>
      <c r="B163" s="118" t="n">
        <f aca="false">SUMIFS('مبيعات يومية'!$D$2:$D$14001,'مبيعات يومية'!$C$2:$C$14001,$A163,'مبيعات يومية'!$B$2:$B$14001,'إعدادات المخزون'!$A$15,'مبيعات يومية'!$A$2:$A$14001,'إعدادات المخزون'!$B$4)</f>
        <v>0</v>
      </c>
      <c r="C163" s="118" t="n">
        <f aca="false">SUMIFS('مبيعات يومية'!$D$2:$D$14001,'مبيعات يومية'!$C$2:$C$14001,$A163,'مبيعات يومية'!$B$2:$B$14001,'إعدادات المخزون'!$A$15,'مبيعات يومية'!$A$2:$A$14001,"&gt;="&amp;'إعدادات المخزون'!$B$5,'مبيعات يومية'!$A$2:$A$14001,"&lt;="&amp;'إعدادات المخزون'!$B$4)</f>
        <v>0</v>
      </c>
      <c r="D163" s="118" t="n">
        <f aca="false">SUMIFS('مبيعات يومية'!$D$2:$D$14001,'مبيعات يومية'!$C$2:$C$14001,$A163,'مبيعات يومية'!$B$2:$B$14001,'إعدادات المخزون'!$A$15,'مبيعات يومية'!$A$2:$A$14001,"&gt;"&amp;('إعدادات المخزون'!$B$4-'إعدادات المخزون'!$B$11),'مبيعات يومية'!$A$2:$A$14001,"&lt;="&amp;'إعدادات المخزون'!$B$4)</f>
        <v>0</v>
      </c>
      <c r="E163" s="118" t="n">
        <f aca="false">SUMIFS('مبيعات يومية'!$D$2:$D$14001,'مبيعات يومية'!$C$2:$C$14001,$A163,'مبيعات يومية'!$B$2:$B$14001,'إعدادات المخزون'!$A$16,'مبيعات يومية'!$A$2:$A$14001,'إعدادات المخزون'!$B$4)</f>
        <v>0.4167</v>
      </c>
      <c r="F163" s="118" t="n">
        <f aca="false">SUMIFS('مبيعات يومية'!$D$2:$D$14001,'مبيعات يومية'!$C$2:$C$14001,$A163,'مبيعات يومية'!$B$2:$B$14001,'إعدادات المخزون'!$A$16,'مبيعات يومية'!$A$2:$A$14001,"&gt;="&amp;'إعدادات المخزون'!$B$5,'مبيعات يومية'!$A$2:$A$14001,"&lt;="&amp;'إعدادات المخزون'!$B$4)</f>
        <v>5.0004</v>
      </c>
      <c r="G163" s="118" t="n">
        <f aca="false">SUMIFS('مبيعات يومية'!$D$2:$D$14001,'مبيعات يومية'!$C$2:$C$14001,$A163,'مبيعات يومية'!$B$2:$B$14001,'إعدادات المخزون'!$A$16,'مبيعات يومية'!$A$2:$A$14001,"&gt;"&amp;('إعدادات المخزون'!$B$4-'إعدادات المخزون'!$B$11),'مبيعات يومية'!$A$2:$A$14001,"&lt;="&amp;'إعدادات المخزون'!$B$4)</f>
        <v>2.9169</v>
      </c>
      <c r="H163" s="118" t="n">
        <f aca="false">SUMIFS('مبيعات يومية'!$D$2:$D$14001,'مبيعات يومية'!$C$2:$C$14001,$A163,'مبيعات يومية'!$B$2:$B$14001,'إعدادات المخزون'!$A$17,'مبيعات يومية'!$A$2:$A$14001,'إعدادات المخزون'!$B$4)</f>
        <v>0.1667</v>
      </c>
      <c r="I163" s="118" t="n">
        <f aca="false">SUMIFS('مبيعات يومية'!$D$2:$D$14001,'مبيعات يومية'!$C$2:$C$14001,$A163,'مبيعات يومية'!$B$2:$B$14001,'إعدادات المخزون'!$A$17,'مبيعات يومية'!$A$2:$A$14001,"&gt;="&amp;'إعدادات المخزون'!$B$5,'مبيعات يومية'!$A$2:$A$14001,"&lt;="&amp;'إعدادات المخزون'!$B$4)</f>
        <v>2.0004</v>
      </c>
      <c r="J163" s="118" t="n">
        <f aca="false">SUMIFS('مبيعات يومية'!$D$2:$D$14001,'مبيعات يومية'!$C$2:$C$14001,$A163,'مبيعات يومية'!$B$2:$B$14001,'إعدادات المخزون'!$A$17,'مبيعات يومية'!$A$2:$A$14001,"&gt;"&amp;('إعدادات المخزون'!$B$4-'إعدادات المخزون'!$B$11),'مبيعات يومية'!$A$2:$A$14001,"&lt;="&amp;'إعدادات المخزون'!$B$4)</f>
        <v>1.1669</v>
      </c>
    </row>
    <row r="164" customFormat="false" ht="15" hidden="false" customHeight="false" outlineLevel="0" collapsed="false">
      <c r="A164" s="116" t="str">
        <f aca="false">المنيو!B164</f>
        <v>إضافة وش بيتزا (مخصوص) (كبير)</v>
      </c>
      <c r="B164" s="118" t="n">
        <f aca="false">SUMIFS('مبيعات يومية'!$D$2:$D$14001,'مبيعات يومية'!$C$2:$C$14001,$A164,'مبيعات يومية'!$B$2:$B$14001,'إعدادات المخزون'!$A$15,'مبيعات يومية'!$A$2:$A$14001,'إعدادات المخزون'!$B$4)</f>
        <v>0</v>
      </c>
      <c r="C164" s="118" t="n">
        <f aca="false">SUMIFS('مبيعات يومية'!$D$2:$D$14001,'مبيعات يومية'!$C$2:$C$14001,$A164,'مبيعات يومية'!$B$2:$B$14001,'إعدادات المخزون'!$A$15,'مبيعات يومية'!$A$2:$A$14001,"&gt;="&amp;'إعدادات المخزون'!$B$5,'مبيعات يومية'!$A$2:$A$14001,"&lt;="&amp;'إعدادات المخزون'!$B$4)</f>
        <v>0</v>
      </c>
      <c r="D164" s="118" t="n">
        <f aca="false">SUMIFS('مبيعات يومية'!$D$2:$D$14001,'مبيعات يومية'!$C$2:$C$14001,$A164,'مبيعات يومية'!$B$2:$B$14001,'إعدادات المخزون'!$A$15,'مبيعات يومية'!$A$2:$A$14001,"&gt;"&amp;('إعدادات المخزون'!$B$4-'إعدادات المخزون'!$B$11),'مبيعات يومية'!$A$2:$A$14001,"&lt;="&amp;'إعدادات المخزون'!$B$4)</f>
        <v>0</v>
      </c>
      <c r="E164" s="118" t="n">
        <f aca="false">SUMIFS('مبيعات يومية'!$D$2:$D$14001,'مبيعات يومية'!$C$2:$C$14001,$A164,'مبيعات يومية'!$B$2:$B$14001,'إعدادات المخزون'!$A$16,'مبيعات يومية'!$A$2:$A$14001,'إعدادات المخزون'!$B$4)</f>
        <v>0</v>
      </c>
      <c r="F164" s="118" t="n">
        <f aca="false">SUMIFS('مبيعات يومية'!$D$2:$D$14001,'مبيعات يومية'!$C$2:$C$14001,$A164,'مبيعات يومية'!$B$2:$B$14001,'إعدادات المخزون'!$A$16,'مبيعات يومية'!$A$2:$A$14001,"&gt;="&amp;'إعدادات المخزون'!$B$5,'مبيعات يومية'!$A$2:$A$14001,"&lt;="&amp;'إعدادات المخزون'!$B$4)</f>
        <v>0</v>
      </c>
      <c r="G164" s="118" t="n">
        <f aca="false">SUMIFS('مبيعات يومية'!$D$2:$D$14001,'مبيعات يومية'!$C$2:$C$14001,$A164,'مبيعات يومية'!$B$2:$B$14001,'إعدادات المخزون'!$A$16,'مبيعات يومية'!$A$2:$A$14001,"&gt;"&amp;('إعدادات المخزون'!$B$4-'إعدادات المخزون'!$B$11),'مبيعات يومية'!$A$2:$A$14001,"&lt;="&amp;'إعدادات المخزون'!$B$4)</f>
        <v>0</v>
      </c>
      <c r="H164" s="118" t="n">
        <f aca="false">SUMIFS('مبيعات يومية'!$D$2:$D$14001,'مبيعات يومية'!$C$2:$C$14001,$A164,'مبيعات يومية'!$B$2:$B$14001,'إعدادات المخزون'!$A$17,'مبيعات يومية'!$A$2:$A$14001,'إعدادات المخزون'!$B$4)</f>
        <v>0</v>
      </c>
      <c r="I164" s="118" t="n">
        <f aca="false">SUMIFS('مبيعات يومية'!$D$2:$D$14001,'مبيعات يومية'!$C$2:$C$14001,$A164,'مبيعات يومية'!$B$2:$B$14001,'إعدادات المخزون'!$A$17,'مبيعات يومية'!$A$2:$A$14001,"&gt;="&amp;'إعدادات المخزون'!$B$5,'مبيعات يومية'!$A$2:$A$14001,"&lt;="&amp;'إعدادات المخزون'!$B$4)</f>
        <v>0</v>
      </c>
      <c r="J164" s="118" t="n">
        <f aca="false">SUMIFS('مبيعات يومية'!$D$2:$D$14001,'مبيعات يومية'!$C$2:$C$14001,$A164,'مبيعات يومية'!$B$2:$B$14001,'إعدادات المخزون'!$A$17,'مبيعات يومية'!$A$2:$A$14001,"&gt;"&amp;('إعدادات المخزون'!$B$4-'إعدادات المخزون'!$B$11),'مبيعات يومية'!$A$2:$A$14001,"&lt;="&amp;'إعدادات المخزون'!$B$4)</f>
        <v>0</v>
      </c>
    </row>
    <row r="165" customFormat="false" ht="15" hidden="false" customHeight="false" outlineLevel="0" collapsed="false">
      <c r="A165" s="116" t="str">
        <f aca="false">المنيو!B165</f>
        <v>اضافة حشو للاطراف (Small)</v>
      </c>
      <c r="B165" s="118" t="n">
        <f aca="false">SUMIFS('مبيعات يومية'!$D$2:$D$14001,'مبيعات يومية'!$C$2:$C$14001,$A165,'مبيعات يومية'!$B$2:$B$14001,'إعدادات المخزون'!$A$15,'مبيعات يومية'!$A$2:$A$14001,'إعدادات المخزون'!$B$4)</f>
        <v>0</v>
      </c>
      <c r="C165" s="118" t="n">
        <f aca="false">SUMIFS('مبيعات يومية'!$D$2:$D$14001,'مبيعات يومية'!$C$2:$C$14001,$A165,'مبيعات يومية'!$B$2:$B$14001,'إعدادات المخزون'!$A$15,'مبيعات يومية'!$A$2:$A$14001,"&gt;="&amp;'إعدادات المخزون'!$B$5,'مبيعات يومية'!$A$2:$A$14001,"&lt;="&amp;'إعدادات المخزون'!$B$4)</f>
        <v>0</v>
      </c>
      <c r="D165" s="118" t="n">
        <f aca="false">SUMIFS('مبيعات يومية'!$D$2:$D$14001,'مبيعات يومية'!$C$2:$C$14001,$A165,'مبيعات يومية'!$B$2:$B$14001,'إعدادات المخزون'!$A$15,'مبيعات يومية'!$A$2:$A$14001,"&gt;"&amp;('إعدادات المخزون'!$B$4-'إعدادات المخزون'!$B$11),'مبيعات يومية'!$A$2:$A$14001,"&lt;="&amp;'إعدادات المخزون'!$B$4)</f>
        <v>0</v>
      </c>
      <c r="E165" s="118" t="n">
        <f aca="false">SUMIFS('مبيعات يومية'!$D$2:$D$14001,'مبيعات يومية'!$C$2:$C$14001,$A165,'مبيعات يومية'!$B$2:$B$14001,'إعدادات المخزون'!$A$16,'مبيعات يومية'!$A$2:$A$14001,'إعدادات المخزون'!$B$4)</f>
        <v>0.0833</v>
      </c>
      <c r="F165" s="118" t="n">
        <f aca="false">SUMIFS('مبيعات يومية'!$D$2:$D$14001,'مبيعات يومية'!$C$2:$C$14001,$A165,'مبيعات يومية'!$B$2:$B$14001,'إعدادات المخزون'!$A$16,'مبيعات يومية'!$A$2:$A$14001,"&gt;="&amp;'إعدادات المخزون'!$B$5,'مبيعات يومية'!$A$2:$A$14001,"&lt;="&amp;'إعدادات المخزون'!$B$4)</f>
        <v>0.9996</v>
      </c>
      <c r="G165" s="118" t="n">
        <f aca="false">SUMIFS('مبيعات يومية'!$D$2:$D$14001,'مبيعات يومية'!$C$2:$C$14001,$A165,'مبيعات يومية'!$B$2:$B$14001,'إعدادات المخزون'!$A$16,'مبيعات يومية'!$A$2:$A$14001,"&gt;"&amp;('إعدادات المخزون'!$B$4-'إعدادات المخزون'!$B$11),'مبيعات يومية'!$A$2:$A$14001,"&lt;="&amp;'إعدادات المخزون'!$B$4)</f>
        <v>0.5831</v>
      </c>
      <c r="H165" s="118" t="n">
        <f aca="false">SUMIFS('مبيعات يومية'!$D$2:$D$14001,'مبيعات يومية'!$C$2:$C$14001,$A165,'مبيعات يومية'!$B$2:$B$14001,'إعدادات المخزون'!$A$17,'مبيعات يومية'!$A$2:$A$14001,'إعدادات المخزون'!$B$4)</f>
        <v>0.25</v>
      </c>
      <c r="I165" s="118" t="n">
        <f aca="false">SUMIFS('مبيعات يومية'!$D$2:$D$14001,'مبيعات يومية'!$C$2:$C$14001,$A165,'مبيعات يومية'!$B$2:$B$14001,'إعدادات المخزون'!$A$17,'مبيعات يومية'!$A$2:$A$14001,"&gt;="&amp;'إعدادات المخزون'!$B$5,'مبيعات يومية'!$A$2:$A$14001,"&lt;="&amp;'إعدادات المخزون'!$B$4)</f>
        <v>3</v>
      </c>
      <c r="J165" s="118" t="n">
        <f aca="false">SUMIFS('مبيعات يومية'!$D$2:$D$14001,'مبيعات يومية'!$C$2:$C$14001,$A165,'مبيعات يومية'!$B$2:$B$14001,'إعدادات المخزون'!$A$17,'مبيعات يومية'!$A$2:$A$14001,"&gt;"&amp;('إعدادات المخزون'!$B$4-'إعدادات المخزون'!$B$11),'مبيعات يومية'!$A$2:$A$14001,"&lt;="&amp;'إعدادات المخزون'!$B$4)</f>
        <v>1.75</v>
      </c>
    </row>
    <row r="166" customFormat="false" ht="15" hidden="false" customHeight="false" outlineLevel="0" collapsed="false">
      <c r="A166" s="116" t="str">
        <f aca="false">المنيو!B166</f>
        <v>اضافة حشو للاطراف (Medium)</v>
      </c>
      <c r="B166" s="118" t="n">
        <f aca="false">SUMIFS('مبيعات يومية'!$D$2:$D$14001,'مبيعات يومية'!$C$2:$C$14001,$A166,'مبيعات يومية'!$B$2:$B$14001,'إعدادات المخزون'!$A$15,'مبيعات يومية'!$A$2:$A$14001,'إعدادات المخزون'!$B$4)</f>
        <v>0.1667</v>
      </c>
      <c r="C166" s="118" t="n">
        <f aca="false">SUMIFS('مبيعات يومية'!$D$2:$D$14001,'مبيعات يومية'!$C$2:$C$14001,$A166,'مبيعات يومية'!$B$2:$B$14001,'إعدادات المخزون'!$A$15,'مبيعات يومية'!$A$2:$A$14001,"&gt;="&amp;'إعدادات المخزون'!$B$5,'مبيعات يومية'!$A$2:$A$14001,"&lt;="&amp;'إعدادات المخزون'!$B$4)</f>
        <v>2.0004</v>
      </c>
      <c r="D166" s="118" t="n">
        <f aca="false">SUMIFS('مبيعات يومية'!$D$2:$D$14001,'مبيعات يومية'!$C$2:$C$14001,$A166,'مبيعات يومية'!$B$2:$B$14001,'إعدادات المخزون'!$A$15,'مبيعات يومية'!$A$2:$A$14001,"&gt;"&amp;('إعدادات المخزون'!$B$4-'إعدادات المخزون'!$B$11),'مبيعات يومية'!$A$2:$A$14001,"&lt;="&amp;'إعدادات المخزون'!$B$4)</f>
        <v>1.1669</v>
      </c>
      <c r="E166" s="118" t="n">
        <f aca="false">SUMIFS('مبيعات يومية'!$D$2:$D$14001,'مبيعات يومية'!$C$2:$C$14001,$A166,'مبيعات يومية'!$B$2:$B$14001,'إعدادات المخزون'!$A$16,'مبيعات يومية'!$A$2:$A$14001,'إعدادات المخزون'!$B$4)</f>
        <v>0</v>
      </c>
      <c r="F166" s="118" t="n">
        <f aca="false">SUMIFS('مبيعات يومية'!$D$2:$D$14001,'مبيعات يومية'!$C$2:$C$14001,$A166,'مبيعات يومية'!$B$2:$B$14001,'إعدادات المخزون'!$A$16,'مبيعات يومية'!$A$2:$A$14001,"&gt;="&amp;'إعدادات المخزون'!$B$5,'مبيعات يومية'!$A$2:$A$14001,"&lt;="&amp;'إعدادات المخزون'!$B$4)</f>
        <v>0</v>
      </c>
      <c r="G166" s="118" t="n">
        <f aca="false">SUMIFS('مبيعات يومية'!$D$2:$D$14001,'مبيعات يومية'!$C$2:$C$14001,$A166,'مبيعات يومية'!$B$2:$B$14001,'إعدادات المخزون'!$A$16,'مبيعات يومية'!$A$2:$A$14001,"&gt;"&amp;('إعدادات المخزون'!$B$4-'إعدادات المخزون'!$B$11),'مبيعات يومية'!$A$2:$A$14001,"&lt;="&amp;'إعدادات المخزون'!$B$4)</f>
        <v>0</v>
      </c>
      <c r="H166" s="118" t="n">
        <f aca="false">SUMIFS('مبيعات يومية'!$D$2:$D$14001,'مبيعات يومية'!$C$2:$C$14001,$A166,'مبيعات يومية'!$B$2:$B$14001,'إعدادات المخزون'!$A$17,'مبيعات يومية'!$A$2:$A$14001,'إعدادات المخزون'!$B$4)</f>
        <v>0.0833</v>
      </c>
      <c r="I166" s="118" t="n">
        <f aca="false">SUMIFS('مبيعات يومية'!$D$2:$D$14001,'مبيعات يومية'!$C$2:$C$14001,$A166,'مبيعات يومية'!$B$2:$B$14001,'إعدادات المخزون'!$A$17,'مبيعات يومية'!$A$2:$A$14001,"&gt;="&amp;'إعدادات المخزون'!$B$5,'مبيعات يومية'!$A$2:$A$14001,"&lt;="&amp;'إعدادات المخزون'!$B$4)</f>
        <v>0.9996</v>
      </c>
      <c r="J166" s="118" t="n">
        <f aca="false">SUMIFS('مبيعات يومية'!$D$2:$D$14001,'مبيعات يومية'!$C$2:$C$14001,$A166,'مبيعات يومية'!$B$2:$B$14001,'إعدادات المخزون'!$A$17,'مبيعات يومية'!$A$2:$A$14001,"&gt;"&amp;('إعدادات المخزون'!$B$4-'إعدادات المخزون'!$B$11),'مبيعات يومية'!$A$2:$A$14001,"&lt;="&amp;'إعدادات المخزون'!$B$4)</f>
        <v>0.5831</v>
      </c>
    </row>
    <row r="167" customFormat="false" ht="15" hidden="false" customHeight="false" outlineLevel="0" collapsed="false">
      <c r="A167" s="116" t="str">
        <f aca="false">المنيو!B167</f>
        <v>صوص رانش إضافي (M)</v>
      </c>
      <c r="B167" s="118" t="n">
        <f aca="false">SUMIFS('مبيعات يومية'!$D$2:$D$14001,'مبيعات يومية'!$C$2:$C$14001,$A167,'مبيعات يومية'!$B$2:$B$14001,'إعدادات المخزون'!$A$15,'مبيعات يومية'!$A$2:$A$14001,'إعدادات المخزون'!$B$4)</f>
        <v>0.6667</v>
      </c>
      <c r="C167" s="118" t="n">
        <f aca="false">SUMIFS('مبيعات يومية'!$D$2:$D$14001,'مبيعات يومية'!$C$2:$C$14001,$A167,'مبيعات يومية'!$B$2:$B$14001,'إعدادات المخزون'!$A$15,'مبيعات يومية'!$A$2:$A$14001,"&gt;="&amp;'إعدادات المخزون'!$B$5,'مبيعات يومية'!$A$2:$A$14001,"&lt;="&amp;'إعدادات المخزون'!$B$4)</f>
        <v>8.0004</v>
      </c>
      <c r="D167" s="118" t="n">
        <f aca="false">SUMIFS('مبيعات يومية'!$D$2:$D$14001,'مبيعات يومية'!$C$2:$C$14001,$A167,'مبيعات يومية'!$B$2:$B$14001,'إعدادات المخزون'!$A$15,'مبيعات يومية'!$A$2:$A$14001,"&gt;"&amp;('إعدادات المخزون'!$B$4-'إعدادات المخزون'!$B$11),'مبيعات يومية'!$A$2:$A$14001,"&lt;="&amp;'إعدادات المخزون'!$B$4)</f>
        <v>4.6669</v>
      </c>
      <c r="E167" s="118" t="n">
        <f aca="false">SUMIFS('مبيعات يومية'!$D$2:$D$14001,'مبيعات يومية'!$C$2:$C$14001,$A167,'مبيعات يومية'!$B$2:$B$14001,'إعدادات المخزون'!$A$16,'مبيعات يومية'!$A$2:$A$14001,'إعدادات المخزون'!$B$4)</f>
        <v>0.5</v>
      </c>
      <c r="F167" s="118" t="n">
        <f aca="false">SUMIFS('مبيعات يومية'!$D$2:$D$14001,'مبيعات يومية'!$C$2:$C$14001,$A167,'مبيعات يومية'!$B$2:$B$14001,'إعدادات المخزون'!$A$16,'مبيعات يومية'!$A$2:$A$14001,"&gt;="&amp;'إعدادات المخزون'!$B$5,'مبيعات يومية'!$A$2:$A$14001,"&lt;="&amp;'إعدادات المخزون'!$B$4)</f>
        <v>6</v>
      </c>
      <c r="G167" s="118" t="n">
        <f aca="false">SUMIFS('مبيعات يومية'!$D$2:$D$14001,'مبيعات يومية'!$C$2:$C$14001,$A167,'مبيعات يومية'!$B$2:$B$14001,'إعدادات المخزون'!$A$16,'مبيعات يومية'!$A$2:$A$14001,"&gt;"&amp;('إعدادات المخزون'!$B$4-'إعدادات المخزون'!$B$11),'مبيعات يومية'!$A$2:$A$14001,"&lt;="&amp;'إعدادات المخزون'!$B$4)</f>
        <v>3.5</v>
      </c>
      <c r="H167" s="118" t="n">
        <f aca="false">SUMIFS('مبيعات يومية'!$D$2:$D$14001,'مبيعات يومية'!$C$2:$C$14001,$A167,'مبيعات يومية'!$B$2:$B$14001,'إعدادات المخزون'!$A$17,'مبيعات يومية'!$A$2:$A$14001,'إعدادات المخزون'!$B$4)</f>
        <v>0.5</v>
      </c>
      <c r="I167" s="118" t="n">
        <f aca="false">SUMIFS('مبيعات يومية'!$D$2:$D$14001,'مبيعات يومية'!$C$2:$C$14001,$A167,'مبيعات يومية'!$B$2:$B$14001,'إعدادات المخزون'!$A$17,'مبيعات يومية'!$A$2:$A$14001,"&gt;="&amp;'إعدادات المخزون'!$B$5,'مبيعات يومية'!$A$2:$A$14001,"&lt;="&amp;'إعدادات المخزون'!$B$4)</f>
        <v>6</v>
      </c>
      <c r="J167" s="118" t="n">
        <f aca="false">SUMIFS('مبيعات يومية'!$D$2:$D$14001,'مبيعات يومية'!$C$2:$C$14001,$A167,'مبيعات يومية'!$B$2:$B$14001,'إعدادات المخزون'!$A$17,'مبيعات يومية'!$A$2:$A$14001,"&gt;"&amp;('إعدادات المخزون'!$B$4-'إعدادات المخزون'!$B$11),'مبيعات يومية'!$A$2:$A$14001,"&lt;="&amp;'إعدادات المخزون'!$B$4)</f>
        <v>3.5</v>
      </c>
    </row>
    <row r="168" customFormat="false" ht="15" hidden="false" customHeight="false" outlineLevel="0" collapsed="false">
      <c r="A168" s="116" t="str">
        <f aca="false">المنيو!B168</f>
        <v>صوص رانش إضافي (L)</v>
      </c>
      <c r="B168" s="118" t="n">
        <f aca="false">SUMIFS('مبيعات يومية'!$D$2:$D$14001,'مبيعات يومية'!$C$2:$C$14001,$A168,'مبيعات يومية'!$B$2:$B$14001,'إعدادات المخزون'!$A$15,'مبيعات يومية'!$A$2:$A$14001,'إعدادات المخزون'!$B$4)</f>
        <v>0</v>
      </c>
      <c r="C168" s="118" t="n">
        <f aca="false">SUMIFS('مبيعات يومية'!$D$2:$D$14001,'مبيعات يومية'!$C$2:$C$14001,$A168,'مبيعات يومية'!$B$2:$B$14001,'إعدادات المخزون'!$A$15,'مبيعات يومية'!$A$2:$A$14001,"&gt;="&amp;'إعدادات المخزون'!$B$5,'مبيعات يومية'!$A$2:$A$14001,"&lt;="&amp;'إعدادات المخزون'!$B$4)</f>
        <v>0</v>
      </c>
      <c r="D168" s="118" t="n">
        <f aca="false">SUMIFS('مبيعات يومية'!$D$2:$D$14001,'مبيعات يومية'!$C$2:$C$14001,$A168,'مبيعات يومية'!$B$2:$B$14001,'إعدادات المخزون'!$A$15,'مبيعات يومية'!$A$2:$A$14001,"&gt;"&amp;('إعدادات المخزون'!$B$4-'إعدادات المخزون'!$B$11),'مبيعات يومية'!$A$2:$A$14001,"&lt;="&amp;'إعدادات المخزون'!$B$4)</f>
        <v>0</v>
      </c>
      <c r="E168" s="118" t="n">
        <f aca="false">SUMIFS('مبيعات يومية'!$D$2:$D$14001,'مبيعات يومية'!$C$2:$C$14001,$A168,'مبيعات يومية'!$B$2:$B$14001,'إعدادات المخزون'!$A$16,'مبيعات يومية'!$A$2:$A$14001,'إعدادات المخزون'!$B$4)</f>
        <v>0</v>
      </c>
      <c r="F168" s="118" t="n">
        <f aca="false">SUMIFS('مبيعات يومية'!$D$2:$D$14001,'مبيعات يومية'!$C$2:$C$14001,$A168,'مبيعات يومية'!$B$2:$B$14001,'إعدادات المخزون'!$A$16,'مبيعات يومية'!$A$2:$A$14001,"&gt;="&amp;'إعدادات المخزون'!$B$5,'مبيعات يومية'!$A$2:$A$14001,"&lt;="&amp;'إعدادات المخزون'!$B$4)</f>
        <v>0</v>
      </c>
      <c r="G168" s="118" t="n">
        <f aca="false">SUMIFS('مبيعات يومية'!$D$2:$D$14001,'مبيعات يومية'!$C$2:$C$14001,$A168,'مبيعات يومية'!$B$2:$B$14001,'إعدادات المخزون'!$A$16,'مبيعات يومية'!$A$2:$A$14001,"&gt;"&amp;('إعدادات المخزون'!$B$4-'إعدادات المخزون'!$B$11),'مبيعات يومية'!$A$2:$A$14001,"&lt;="&amp;'إعدادات المخزون'!$B$4)</f>
        <v>0</v>
      </c>
      <c r="H168" s="118" t="n">
        <f aca="false">SUMIFS('مبيعات يومية'!$D$2:$D$14001,'مبيعات يومية'!$C$2:$C$14001,$A168,'مبيعات يومية'!$B$2:$B$14001,'إعدادات المخزون'!$A$17,'مبيعات يومية'!$A$2:$A$14001,'إعدادات المخزون'!$B$4)</f>
        <v>0</v>
      </c>
      <c r="I168" s="118" t="n">
        <f aca="false">SUMIFS('مبيعات يومية'!$D$2:$D$14001,'مبيعات يومية'!$C$2:$C$14001,$A168,'مبيعات يومية'!$B$2:$B$14001,'إعدادات المخزون'!$A$17,'مبيعات يومية'!$A$2:$A$14001,"&gt;="&amp;'إعدادات المخزون'!$B$5,'مبيعات يومية'!$A$2:$A$14001,"&lt;="&amp;'إعدادات المخزون'!$B$4)</f>
        <v>0</v>
      </c>
      <c r="J168" s="118" t="n">
        <f aca="false">SUMIFS('مبيعات يومية'!$D$2:$D$14001,'مبيعات يومية'!$C$2:$C$14001,$A168,'مبيعات يومية'!$B$2:$B$14001,'إعدادات المخزون'!$A$17,'مبيعات يومية'!$A$2:$A$14001,"&gt;"&amp;('إعدادات المخزون'!$B$4-'إعدادات المخزون'!$B$11),'مبيعات يومية'!$A$2:$A$14001,"&lt;="&amp;'إعدادات المخزون'!$B$4)</f>
        <v>0</v>
      </c>
    </row>
    <row r="169" customFormat="false" ht="15" hidden="false" customHeight="false" outlineLevel="0" collapsed="false">
      <c r="A169" s="116" t="str">
        <f aca="false">المنيو!B169</f>
        <v>صوص شيدر إضافي (M)</v>
      </c>
      <c r="B169" s="118" t="n">
        <f aca="false">SUMIFS('مبيعات يومية'!$D$2:$D$14001,'مبيعات يومية'!$C$2:$C$14001,$A169,'مبيعات يومية'!$B$2:$B$14001,'إعدادات المخزون'!$A$15,'مبيعات يومية'!$A$2:$A$14001,'إعدادات المخزون'!$B$4)</f>
        <v>0.25</v>
      </c>
      <c r="C169" s="118" t="n">
        <f aca="false">SUMIFS('مبيعات يومية'!$D$2:$D$14001,'مبيعات يومية'!$C$2:$C$14001,$A169,'مبيعات يومية'!$B$2:$B$14001,'إعدادات المخزون'!$A$15,'مبيعات يومية'!$A$2:$A$14001,"&gt;="&amp;'إعدادات المخزون'!$B$5,'مبيعات يومية'!$A$2:$A$14001,"&lt;="&amp;'إعدادات المخزون'!$B$4)</f>
        <v>3</v>
      </c>
      <c r="D169" s="118" t="n">
        <f aca="false">SUMIFS('مبيعات يومية'!$D$2:$D$14001,'مبيعات يومية'!$C$2:$C$14001,$A169,'مبيعات يومية'!$B$2:$B$14001,'إعدادات المخزون'!$A$15,'مبيعات يومية'!$A$2:$A$14001,"&gt;"&amp;('إعدادات المخزون'!$B$4-'إعدادات المخزون'!$B$11),'مبيعات يومية'!$A$2:$A$14001,"&lt;="&amp;'إعدادات المخزون'!$B$4)</f>
        <v>1.75</v>
      </c>
      <c r="E169" s="118" t="n">
        <f aca="false">SUMIFS('مبيعات يومية'!$D$2:$D$14001,'مبيعات يومية'!$C$2:$C$14001,$A169,'مبيعات يومية'!$B$2:$B$14001,'إعدادات المخزون'!$A$16,'مبيعات يومية'!$A$2:$A$14001,'إعدادات المخزون'!$B$4)</f>
        <v>0.0833</v>
      </c>
      <c r="F169" s="118" t="n">
        <f aca="false">SUMIFS('مبيعات يومية'!$D$2:$D$14001,'مبيعات يومية'!$C$2:$C$14001,$A169,'مبيعات يومية'!$B$2:$B$14001,'إعدادات المخزون'!$A$16,'مبيعات يومية'!$A$2:$A$14001,"&gt;="&amp;'إعدادات المخزون'!$B$5,'مبيعات يومية'!$A$2:$A$14001,"&lt;="&amp;'إعدادات المخزون'!$B$4)</f>
        <v>0.9996</v>
      </c>
      <c r="G169" s="118" t="n">
        <f aca="false">SUMIFS('مبيعات يومية'!$D$2:$D$14001,'مبيعات يومية'!$C$2:$C$14001,$A169,'مبيعات يومية'!$B$2:$B$14001,'إعدادات المخزون'!$A$16,'مبيعات يومية'!$A$2:$A$14001,"&gt;"&amp;('إعدادات المخزون'!$B$4-'إعدادات المخزون'!$B$11),'مبيعات يومية'!$A$2:$A$14001,"&lt;="&amp;'إعدادات المخزون'!$B$4)</f>
        <v>0.5831</v>
      </c>
      <c r="H169" s="118" t="n">
        <f aca="false">SUMIFS('مبيعات يومية'!$D$2:$D$14001,'مبيعات يومية'!$C$2:$C$14001,$A169,'مبيعات يومية'!$B$2:$B$14001,'إعدادات المخزون'!$A$17,'مبيعات يومية'!$A$2:$A$14001,'إعدادات المخزون'!$B$4)</f>
        <v>0.25</v>
      </c>
      <c r="I169" s="118" t="n">
        <f aca="false">SUMIFS('مبيعات يومية'!$D$2:$D$14001,'مبيعات يومية'!$C$2:$C$14001,$A169,'مبيعات يومية'!$B$2:$B$14001,'إعدادات المخزون'!$A$17,'مبيعات يومية'!$A$2:$A$14001,"&gt;="&amp;'إعدادات المخزون'!$B$5,'مبيعات يومية'!$A$2:$A$14001,"&lt;="&amp;'إعدادات المخزون'!$B$4)</f>
        <v>3</v>
      </c>
      <c r="J169" s="118" t="n">
        <f aca="false">SUMIFS('مبيعات يومية'!$D$2:$D$14001,'مبيعات يومية'!$C$2:$C$14001,$A169,'مبيعات يومية'!$B$2:$B$14001,'إعدادات المخزون'!$A$17,'مبيعات يومية'!$A$2:$A$14001,"&gt;"&amp;('إعدادات المخزون'!$B$4-'إعدادات المخزون'!$B$11),'مبيعات يومية'!$A$2:$A$14001,"&lt;="&amp;'إعدادات المخزون'!$B$4)</f>
        <v>1.75</v>
      </c>
    </row>
    <row r="170" customFormat="false" ht="15" hidden="false" customHeight="false" outlineLevel="0" collapsed="false">
      <c r="A170" s="116" t="str">
        <f aca="false">المنيو!B170</f>
        <v>صوص شيدر إضافي (L)</v>
      </c>
      <c r="B170" s="118" t="n">
        <f aca="false">SUMIFS('مبيعات يومية'!$D$2:$D$14001,'مبيعات يومية'!$C$2:$C$14001,$A170,'مبيعات يومية'!$B$2:$B$14001,'إعدادات المخزون'!$A$15,'مبيعات يومية'!$A$2:$A$14001,'إعدادات المخزون'!$B$4)</f>
        <v>0.0833</v>
      </c>
      <c r="C170" s="118" t="n">
        <f aca="false">SUMIFS('مبيعات يومية'!$D$2:$D$14001,'مبيعات يومية'!$C$2:$C$14001,$A170,'مبيعات يومية'!$B$2:$B$14001,'إعدادات المخزون'!$A$15,'مبيعات يومية'!$A$2:$A$14001,"&gt;="&amp;'إعدادات المخزون'!$B$5,'مبيعات يومية'!$A$2:$A$14001,"&lt;="&amp;'إعدادات المخزون'!$B$4)</f>
        <v>0.9996</v>
      </c>
      <c r="D170" s="118" t="n">
        <f aca="false">SUMIFS('مبيعات يومية'!$D$2:$D$14001,'مبيعات يومية'!$C$2:$C$14001,$A170,'مبيعات يومية'!$B$2:$B$14001,'إعدادات المخزون'!$A$15,'مبيعات يومية'!$A$2:$A$14001,"&gt;"&amp;('إعدادات المخزون'!$B$4-'إعدادات المخزون'!$B$11),'مبيعات يومية'!$A$2:$A$14001,"&lt;="&amp;'إعدادات المخزون'!$B$4)</f>
        <v>0.5831</v>
      </c>
      <c r="E170" s="118" t="n">
        <f aca="false">SUMIFS('مبيعات يومية'!$D$2:$D$14001,'مبيعات يومية'!$C$2:$C$14001,$A170,'مبيعات يومية'!$B$2:$B$14001,'إعدادات المخزون'!$A$16,'مبيعات يومية'!$A$2:$A$14001,'إعدادات المخزون'!$B$4)</f>
        <v>0.0833</v>
      </c>
      <c r="F170" s="118" t="n">
        <f aca="false">SUMIFS('مبيعات يومية'!$D$2:$D$14001,'مبيعات يومية'!$C$2:$C$14001,$A170,'مبيعات يومية'!$B$2:$B$14001,'إعدادات المخزون'!$A$16,'مبيعات يومية'!$A$2:$A$14001,"&gt;="&amp;'إعدادات المخزون'!$B$5,'مبيعات يومية'!$A$2:$A$14001,"&lt;="&amp;'إعدادات المخزون'!$B$4)</f>
        <v>0.9996</v>
      </c>
      <c r="G170" s="118" t="n">
        <f aca="false">SUMIFS('مبيعات يومية'!$D$2:$D$14001,'مبيعات يومية'!$C$2:$C$14001,$A170,'مبيعات يومية'!$B$2:$B$14001,'إعدادات المخزون'!$A$16,'مبيعات يومية'!$A$2:$A$14001,"&gt;"&amp;('إعدادات المخزون'!$B$4-'إعدادات المخزون'!$B$11),'مبيعات يومية'!$A$2:$A$14001,"&lt;="&amp;'إعدادات المخزون'!$B$4)</f>
        <v>0.5831</v>
      </c>
      <c r="H170" s="118" t="n">
        <f aca="false">SUMIFS('مبيعات يومية'!$D$2:$D$14001,'مبيعات يومية'!$C$2:$C$14001,$A170,'مبيعات يومية'!$B$2:$B$14001,'إعدادات المخزون'!$A$17,'مبيعات يومية'!$A$2:$A$14001,'إعدادات المخزون'!$B$4)</f>
        <v>0</v>
      </c>
      <c r="I170" s="118" t="n">
        <f aca="false">SUMIFS('مبيعات يومية'!$D$2:$D$14001,'مبيعات يومية'!$C$2:$C$14001,$A170,'مبيعات يومية'!$B$2:$B$14001,'إعدادات المخزون'!$A$17,'مبيعات يومية'!$A$2:$A$14001,"&gt;="&amp;'إعدادات المخزون'!$B$5,'مبيعات يومية'!$A$2:$A$14001,"&lt;="&amp;'إعدادات المخزون'!$B$4)</f>
        <v>0</v>
      </c>
      <c r="J170" s="118" t="n">
        <f aca="false">SUMIFS('مبيعات يومية'!$D$2:$D$14001,'مبيعات يومية'!$C$2:$C$14001,$A170,'مبيعات يومية'!$B$2:$B$14001,'إعدادات المخزون'!$A$17,'مبيعات يومية'!$A$2:$A$14001,"&gt;"&amp;('إعدادات المخزون'!$B$4-'إعدادات المخزون'!$B$11),'مبيعات يومية'!$A$2:$A$14001,"&lt;="&amp;'إعدادات المخزون'!$B$4)</f>
        <v>0</v>
      </c>
    </row>
    <row r="171" customFormat="false" ht="15" hidden="false" customHeight="false" outlineLevel="0" collapsed="false">
      <c r="A171" s="116" t="str">
        <f aca="false">المنيو!B171</f>
        <v>صوص باربيكيو إضافي (M)</v>
      </c>
      <c r="B171" s="118" t="n">
        <f aca="false">SUMIFS('مبيعات يومية'!$D$2:$D$14001,'مبيعات يومية'!$C$2:$C$14001,$A171,'مبيعات يومية'!$B$2:$B$14001,'إعدادات المخزون'!$A$15,'مبيعات يومية'!$A$2:$A$14001,'إعدادات المخزون'!$B$4)</f>
        <v>0.5833</v>
      </c>
      <c r="C171" s="118" t="n">
        <f aca="false">SUMIFS('مبيعات يومية'!$D$2:$D$14001,'مبيعات يومية'!$C$2:$C$14001,$A171,'مبيعات يومية'!$B$2:$B$14001,'إعدادات المخزون'!$A$15,'مبيعات يومية'!$A$2:$A$14001,"&gt;="&amp;'إعدادات المخزون'!$B$5,'مبيعات يومية'!$A$2:$A$14001,"&lt;="&amp;'إعدادات المخزون'!$B$4)</f>
        <v>6.9996</v>
      </c>
      <c r="D171" s="118" t="n">
        <f aca="false">SUMIFS('مبيعات يومية'!$D$2:$D$14001,'مبيعات يومية'!$C$2:$C$14001,$A171,'مبيعات يومية'!$B$2:$B$14001,'إعدادات المخزون'!$A$15,'مبيعات يومية'!$A$2:$A$14001,"&gt;"&amp;('إعدادات المخزون'!$B$4-'إعدادات المخزون'!$B$11),'مبيعات يومية'!$A$2:$A$14001,"&lt;="&amp;'إعدادات المخزون'!$B$4)</f>
        <v>4.0831</v>
      </c>
      <c r="E171" s="118" t="n">
        <f aca="false">SUMIFS('مبيعات يومية'!$D$2:$D$14001,'مبيعات يومية'!$C$2:$C$14001,$A171,'مبيعات يومية'!$B$2:$B$14001,'إعدادات المخزون'!$A$16,'مبيعات يومية'!$A$2:$A$14001,'إعدادات المخزون'!$B$4)</f>
        <v>0.25</v>
      </c>
      <c r="F171" s="118" t="n">
        <f aca="false">SUMIFS('مبيعات يومية'!$D$2:$D$14001,'مبيعات يومية'!$C$2:$C$14001,$A171,'مبيعات يومية'!$B$2:$B$14001,'إعدادات المخزون'!$A$16,'مبيعات يومية'!$A$2:$A$14001,"&gt;="&amp;'إعدادات المخزون'!$B$5,'مبيعات يومية'!$A$2:$A$14001,"&lt;="&amp;'إعدادات المخزون'!$B$4)</f>
        <v>3</v>
      </c>
      <c r="G171" s="118" t="n">
        <f aca="false">SUMIFS('مبيعات يومية'!$D$2:$D$14001,'مبيعات يومية'!$C$2:$C$14001,$A171,'مبيعات يومية'!$B$2:$B$14001,'إعدادات المخزون'!$A$16,'مبيعات يومية'!$A$2:$A$14001,"&gt;"&amp;('إعدادات المخزون'!$B$4-'إعدادات المخزون'!$B$11),'مبيعات يومية'!$A$2:$A$14001,"&lt;="&amp;'إعدادات المخزون'!$B$4)</f>
        <v>1.75</v>
      </c>
      <c r="H171" s="118" t="n">
        <f aca="false">SUMIFS('مبيعات يومية'!$D$2:$D$14001,'مبيعات يومية'!$C$2:$C$14001,$A171,'مبيعات يومية'!$B$2:$B$14001,'إعدادات المخزون'!$A$17,'مبيعات يومية'!$A$2:$A$14001,'إعدادات المخزون'!$B$4)</f>
        <v>0.5</v>
      </c>
      <c r="I171" s="118" t="n">
        <f aca="false">SUMIFS('مبيعات يومية'!$D$2:$D$14001,'مبيعات يومية'!$C$2:$C$14001,$A171,'مبيعات يومية'!$B$2:$B$14001,'إعدادات المخزون'!$A$17,'مبيعات يومية'!$A$2:$A$14001,"&gt;="&amp;'إعدادات المخزون'!$B$5,'مبيعات يومية'!$A$2:$A$14001,"&lt;="&amp;'إعدادات المخزون'!$B$4)</f>
        <v>6</v>
      </c>
      <c r="J171" s="118" t="n">
        <f aca="false">SUMIFS('مبيعات يومية'!$D$2:$D$14001,'مبيعات يومية'!$C$2:$C$14001,$A171,'مبيعات يومية'!$B$2:$B$14001,'إعدادات المخزون'!$A$17,'مبيعات يومية'!$A$2:$A$14001,"&gt;"&amp;('إعدادات المخزون'!$B$4-'إعدادات المخزون'!$B$11),'مبيعات يومية'!$A$2:$A$14001,"&lt;="&amp;'إعدادات المخزون'!$B$4)</f>
        <v>3.5</v>
      </c>
    </row>
    <row r="172" customFormat="false" ht="15" hidden="false" customHeight="false" outlineLevel="0" collapsed="false">
      <c r="A172" s="116" t="str">
        <f aca="false">المنيو!B172</f>
        <v>صوص باربيكيو إضافي (L)</v>
      </c>
      <c r="B172" s="118" t="n">
        <f aca="false">SUMIFS('مبيعات يومية'!$D$2:$D$14001,'مبيعات يومية'!$C$2:$C$14001,$A172,'مبيعات يومية'!$B$2:$B$14001,'إعدادات المخزون'!$A$15,'مبيعات يومية'!$A$2:$A$14001,'إعدادات المخزون'!$B$4)</f>
        <v>0.1667</v>
      </c>
      <c r="C172" s="118" t="n">
        <f aca="false">SUMIFS('مبيعات يومية'!$D$2:$D$14001,'مبيعات يومية'!$C$2:$C$14001,$A172,'مبيعات يومية'!$B$2:$B$14001,'إعدادات المخزون'!$A$15,'مبيعات يومية'!$A$2:$A$14001,"&gt;="&amp;'إعدادات المخزون'!$B$5,'مبيعات يومية'!$A$2:$A$14001,"&lt;="&amp;'إعدادات المخزون'!$B$4)</f>
        <v>2.0004</v>
      </c>
      <c r="D172" s="118" t="n">
        <f aca="false">SUMIFS('مبيعات يومية'!$D$2:$D$14001,'مبيعات يومية'!$C$2:$C$14001,$A172,'مبيعات يومية'!$B$2:$B$14001,'إعدادات المخزون'!$A$15,'مبيعات يومية'!$A$2:$A$14001,"&gt;"&amp;('إعدادات المخزون'!$B$4-'إعدادات المخزون'!$B$11),'مبيعات يومية'!$A$2:$A$14001,"&lt;="&amp;'إعدادات المخزون'!$B$4)</f>
        <v>1.1669</v>
      </c>
      <c r="E172" s="118" t="n">
        <f aca="false">SUMIFS('مبيعات يومية'!$D$2:$D$14001,'مبيعات يومية'!$C$2:$C$14001,$A172,'مبيعات يومية'!$B$2:$B$14001,'إعدادات المخزون'!$A$16,'مبيعات يومية'!$A$2:$A$14001,'إعدادات المخزون'!$B$4)</f>
        <v>0.3333</v>
      </c>
      <c r="F172" s="118" t="n">
        <f aca="false">SUMIFS('مبيعات يومية'!$D$2:$D$14001,'مبيعات يومية'!$C$2:$C$14001,$A172,'مبيعات يومية'!$B$2:$B$14001,'إعدادات المخزون'!$A$16,'مبيعات يومية'!$A$2:$A$14001,"&gt;="&amp;'إعدادات المخزون'!$B$5,'مبيعات يومية'!$A$2:$A$14001,"&lt;="&amp;'إعدادات المخزون'!$B$4)</f>
        <v>3.9996</v>
      </c>
      <c r="G172" s="118" t="n">
        <f aca="false">SUMIFS('مبيعات يومية'!$D$2:$D$14001,'مبيعات يومية'!$C$2:$C$14001,$A172,'مبيعات يومية'!$B$2:$B$14001,'إعدادات المخزون'!$A$16,'مبيعات يومية'!$A$2:$A$14001,"&gt;"&amp;('إعدادات المخزون'!$B$4-'إعدادات المخزون'!$B$11),'مبيعات يومية'!$A$2:$A$14001,"&lt;="&amp;'إعدادات المخزون'!$B$4)</f>
        <v>2.3331</v>
      </c>
      <c r="H172" s="118" t="n">
        <f aca="false">SUMIFS('مبيعات يومية'!$D$2:$D$14001,'مبيعات يومية'!$C$2:$C$14001,$A172,'مبيعات يومية'!$B$2:$B$14001,'إعدادات المخزون'!$A$17,'مبيعات يومية'!$A$2:$A$14001,'إعدادات المخزون'!$B$4)</f>
        <v>0.25</v>
      </c>
      <c r="I172" s="118" t="n">
        <f aca="false">SUMIFS('مبيعات يومية'!$D$2:$D$14001,'مبيعات يومية'!$C$2:$C$14001,$A172,'مبيعات يومية'!$B$2:$B$14001,'إعدادات المخزون'!$A$17,'مبيعات يومية'!$A$2:$A$14001,"&gt;="&amp;'إعدادات المخزون'!$B$5,'مبيعات يومية'!$A$2:$A$14001,"&lt;="&amp;'إعدادات المخزون'!$B$4)</f>
        <v>3</v>
      </c>
      <c r="J172" s="118" t="n">
        <f aca="false">SUMIFS('مبيعات يومية'!$D$2:$D$14001,'مبيعات يومية'!$C$2:$C$14001,$A172,'مبيعات يومية'!$B$2:$B$14001,'إعدادات المخزون'!$A$17,'مبيعات يومية'!$A$2:$A$14001,"&gt;"&amp;('إعدادات المخزون'!$B$4-'إعدادات المخزون'!$B$11),'مبيعات يومية'!$A$2:$A$14001,"&lt;="&amp;'إعدادات المخزون'!$B$4)</f>
        <v>1.75</v>
      </c>
    </row>
    <row r="173" customFormat="false" ht="15" hidden="false" customHeight="false" outlineLevel="0" collapsed="false">
      <c r="A173" s="116" t="str">
        <f aca="false">المنيو!B173</f>
        <v>فطيرة نوتيلا</v>
      </c>
      <c r="B173" s="118" t="n">
        <f aca="false">SUMIFS('مبيعات يومية'!$D$2:$D$14001,'مبيعات يومية'!$C$2:$C$14001,$A173,'مبيعات يومية'!$B$2:$B$14001,'إعدادات المخزون'!$A$15,'مبيعات يومية'!$A$2:$A$14001,'إعدادات المخزون'!$B$4)</f>
        <v>0</v>
      </c>
      <c r="C173" s="118" t="n">
        <f aca="false">SUMIFS('مبيعات يومية'!$D$2:$D$14001,'مبيعات يومية'!$C$2:$C$14001,$A173,'مبيعات يومية'!$B$2:$B$14001,'إعدادات المخزون'!$A$15,'مبيعات يومية'!$A$2:$A$14001,"&gt;="&amp;'إعدادات المخزون'!$B$5,'مبيعات يومية'!$A$2:$A$14001,"&lt;="&amp;'إعدادات المخزون'!$B$4)</f>
        <v>0</v>
      </c>
      <c r="D173" s="118" t="n">
        <f aca="false">SUMIFS('مبيعات يومية'!$D$2:$D$14001,'مبيعات يومية'!$C$2:$C$14001,$A173,'مبيعات يومية'!$B$2:$B$14001,'إعدادات المخزون'!$A$15,'مبيعات يومية'!$A$2:$A$14001,"&gt;"&amp;('إعدادات المخزون'!$B$4-'إعدادات المخزون'!$B$11),'مبيعات يومية'!$A$2:$A$14001,"&lt;="&amp;'إعدادات المخزون'!$B$4)</f>
        <v>0</v>
      </c>
      <c r="E173" s="118" t="n">
        <f aca="false">SUMIFS('مبيعات يومية'!$D$2:$D$14001,'مبيعات يومية'!$C$2:$C$14001,$A173,'مبيعات يومية'!$B$2:$B$14001,'إعدادات المخزون'!$A$16,'مبيعات يومية'!$A$2:$A$14001,'إعدادات المخزون'!$B$4)</f>
        <v>0.3333</v>
      </c>
      <c r="F173" s="118" t="n">
        <f aca="false">SUMIFS('مبيعات يومية'!$D$2:$D$14001,'مبيعات يومية'!$C$2:$C$14001,$A173,'مبيعات يومية'!$B$2:$B$14001,'إعدادات المخزون'!$A$16,'مبيعات يومية'!$A$2:$A$14001,"&gt;="&amp;'إعدادات المخزون'!$B$5,'مبيعات يومية'!$A$2:$A$14001,"&lt;="&amp;'إعدادات المخزون'!$B$4)</f>
        <v>3.9996</v>
      </c>
      <c r="G173" s="118" t="n">
        <f aca="false">SUMIFS('مبيعات يومية'!$D$2:$D$14001,'مبيعات يومية'!$C$2:$C$14001,$A173,'مبيعات يومية'!$B$2:$B$14001,'إعدادات المخزون'!$A$16,'مبيعات يومية'!$A$2:$A$14001,"&gt;"&amp;('إعدادات المخزون'!$B$4-'إعدادات المخزون'!$B$11),'مبيعات يومية'!$A$2:$A$14001,"&lt;="&amp;'إعدادات المخزون'!$B$4)</f>
        <v>2.3331</v>
      </c>
      <c r="H173" s="118" t="n">
        <f aca="false">SUMIFS('مبيعات يومية'!$D$2:$D$14001,'مبيعات يومية'!$C$2:$C$14001,$A173,'مبيعات يومية'!$B$2:$B$14001,'إعدادات المخزون'!$A$17,'مبيعات يومية'!$A$2:$A$14001,'إعدادات المخزون'!$B$4)</f>
        <v>0.5</v>
      </c>
      <c r="I173" s="118" t="n">
        <f aca="false">SUMIFS('مبيعات يومية'!$D$2:$D$14001,'مبيعات يومية'!$C$2:$C$14001,$A173,'مبيعات يومية'!$B$2:$B$14001,'إعدادات المخزون'!$A$17,'مبيعات يومية'!$A$2:$A$14001,"&gt;="&amp;'إعدادات المخزون'!$B$5,'مبيعات يومية'!$A$2:$A$14001,"&lt;="&amp;'إعدادات المخزون'!$B$4)</f>
        <v>6</v>
      </c>
      <c r="J173" s="118" t="n">
        <f aca="false">SUMIFS('مبيعات يومية'!$D$2:$D$14001,'مبيعات يومية'!$C$2:$C$14001,$A173,'مبيعات يومية'!$B$2:$B$14001,'إعدادات المخزون'!$A$17,'مبيعات يومية'!$A$2:$A$14001,"&gt;"&amp;('إعدادات المخزون'!$B$4-'إعدادات المخزون'!$B$11),'مبيعات يومية'!$A$2:$A$14001,"&lt;="&amp;'إعدادات المخزون'!$B$4)</f>
        <v>3.5</v>
      </c>
    </row>
    <row r="174" customFormat="false" ht="15" hidden="false" customHeight="false" outlineLevel="0" collapsed="false">
      <c r="A174" s="116" t="str">
        <f aca="false">المنيو!B174</f>
        <v>مكرونة صوص ابيض مفروم</v>
      </c>
      <c r="B174" s="118" t="n">
        <f aca="false">SUMIFS('مبيعات يومية'!$D$2:$D$14001,'مبيعات يومية'!$C$2:$C$14001,$A174,'مبيعات يومية'!$B$2:$B$14001,'إعدادات المخزون'!$A$15,'مبيعات يومية'!$A$2:$A$14001,'إعدادات المخزون'!$B$4)</f>
        <v>0.25</v>
      </c>
      <c r="C174" s="118" t="n">
        <f aca="false">SUMIFS('مبيعات يومية'!$D$2:$D$14001,'مبيعات يومية'!$C$2:$C$14001,$A174,'مبيعات يومية'!$B$2:$B$14001,'إعدادات المخزون'!$A$15,'مبيعات يومية'!$A$2:$A$14001,"&gt;="&amp;'إعدادات المخزون'!$B$5,'مبيعات يومية'!$A$2:$A$14001,"&lt;="&amp;'إعدادات المخزون'!$B$4)</f>
        <v>3</v>
      </c>
      <c r="D174" s="118" t="n">
        <f aca="false">SUMIFS('مبيعات يومية'!$D$2:$D$14001,'مبيعات يومية'!$C$2:$C$14001,$A174,'مبيعات يومية'!$B$2:$B$14001,'إعدادات المخزون'!$A$15,'مبيعات يومية'!$A$2:$A$14001,"&gt;"&amp;('إعدادات المخزون'!$B$4-'إعدادات المخزون'!$B$11),'مبيعات يومية'!$A$2:$A$14001,"&lt;="&amp;'إعدادات المخزون'!$B$4)</f>
        <v>1.75</v>
      </c>
      <c r="E174" s="118" t="n">
        <f aca="false">SUMIFS('مبيعات يومية'!$D$2:$D$14001,'مبيعات يومية'!$C$2:$C$14001,$A174,'مبيعات يومية'!$B$2:$B$14001,'إعدادات المخزون'!$A$16,'مبيعات يومية'!$A$2:$A$14001,'إعدادات المخزون'!$B$4)</f>
        <v>0.0833</v>
      </c>
      <c r="F174" s="118" t="n">
        <f aca="false">SUMIFS('مبيعات يومية'!$D$2:$D$14001,'مبيعات يومية'!$C$2:$C$14001,$A174,'مبيعات يومية'!$B$2:$B$14001,'إعدادات المخزون'!$A$16,'مبيعات يومية'!$A$2:$A$14001,"&gt;="&amp;'إعدادات المخزون'!$B$5,'مبيعات يومية'!$A$2:$A$14001,"&lt;="&amp;'إعدادات المخزون'!$B$4)</f>
        <v>0.9996</v>
      </c>
      <c r="G174" s="118" t="n">
        <f aca="false">SUMIFS('مبيعات يومية'!$D$2:$D$14001,'مبيعات يومية'!$C$2:$C$14001,$A174,'مبيعات يومية'!$B$2:$B$14001,'إعدادات المخزون'!$A$16,'مبيعات يومية'!$A$2:$A$14001,"&gt;"&amp;('إعدادات المخزون'!$B$4-'إعدادات المخزون'!$B$11),'مبيعات يومية'!$A$2:$A$14001,"&lt;="&amp;'إعدادات المخزون'!$B$4)</f>
        <v>0.5831</v>
      </c>
      <c r="H174" s="118" t="n">
        <f aca="false">SUMIFS('مبيعات يومية'!$D$2:$D$14001,'مبيعات يومية'!$C$2:$C$14001,$A174,'مبيعات يومية'!$B$2:$B$14001,'إعدادات المخزون'!$A$17,'مبيعات يومية'!$A$2:$A$14001,'إعدادات المخزون'!$B$4)</f>
        <v>0.1667</v>
      </c>
      <c r="I174" s="118" t="n">
        <f aca="false">SUMIFS('مبيعات يومية'!$D$2:$D$14001,'مبيعات يومية'!$C$2:$C$14001,$A174,'مبيعات يومية'!$B$2:$B$14001,'إعدادات المخزون'!$A$17,'مبيعات يومية'!$A$2:$A$14001,"&gt;="&amp;'إعدادات المخزون'!$B$5,'مبيعات يومية'!$A$2:$A$14001,"&lt;="&amp;'إعدادات المخزون'!$B$4)</f>
        <v>2.0004</v>
      </c>
      <c r="J174" s="118" t="n">
        <f aca="false">SUMIFS('مبيعات يومية'!$D$2:$D$14001,'مبيعات يومية'!$C$2:$C$14001,$A174,'مبيعات يومية'!$B$2:$B$14001,'إعدادات المخزون'!$A$17,'مبيعات يومية'!$A$2:$A$14001,"&gt;"&amp;('إعدادات المخزون'!$B$4-'إعدادات المخزون'!$B$11),'مبيعات يومية'!$A$2:$A$14001,"&lt;="&amp;'إعدادات المخزون'!$B$4)</f>
        <v>1.1669</v>
      </c>
    </row>
    <row r="175" customFormat="false" ht="15" hidden="false" customHeight="false" outlineLevel="0" collapsed="false">
      <c r="A175" s="116" t="str">
        <f aca="false">المنيو!B175</f>
        <v>كريب جمبري</v>
      </c>
      <c r="B175" s="118" t="n">
        <f aca="false">SUMIFS('مبيعات يومية'!$D$2:$D$14001,'مبيعات يومية'!$C$2:$C$14001,$A175,'مبيعات يومية'!$B$2:$B$14001,'إعدادات المخزون'!$A$15,'مبيعات يومية'!$A$2:$A$14001,'إعدادات المخزون'!$B$4)</f>
        <v>0.1667</v>
      </c>
      <c r="C175" s="118" t="n">
        <f aca="false">SUMIFS('مبيعات يومية'!$D$2:$D$14001,'مبيعات يومية'!$C$2:$C$14001,$A175,'مبيعات يومية'!$B$2:$B$14001,'إعدادات المخزون'!$A$15,'مبيعات يومية'!$A$2:$A$14001,"&gt;="&amp;'إعدادات المخزون'!$B$5,'مبيعات يومية'!$A$2:$A$14001,"&lt;="&amp;'إعدادات المخزون'!$B$4)</f>
        <v>2.0004</v>
      </c>
      <c r="D175" s="118" t="n">
        <f aca="false">SUMIFS('مبيعات يومية'!$D$2:$D$14001,'مبيعات يومية'!$C$2:$C$14001,$A175,'مبيعات يومية'!$B$2:$B$14001,'إعدادات المخزون'!$A$15,'مبيعات يومية'!$A$2:$A$14001,"&gt;"&amp;('إعدادات المخزون'!$B$4-'إعدادات المخزون'!$B$11),'مبيعات يومية'!$A$2:$A$14001,"&lt;="&amp;'إعدادات المخزون'!$B$4)</f>
        <v>1.1669</v>
      </c>
      <c r="E175" s="118" t="n">
        <f aca="false">SUMIFS('مبيعات يومية'!$D$2:$D$14001,'مبيعات يومية'!$C$2:$C$14001,$A175,'مبيعات يومية'!$B$2:$B$14001,'إعدادات المخزون'!$A$16,'مبيعات يومية'!$A$2:$A$14001,'إعدادات المخزون'!$B$4)</f>
        <v>0</v>
      </c>
      <c r="F175" s="118" t="n">
        <f aca="false">SUMIFS('مبيعات يومية'!$D$2:$D$14001,'مبيعات يومية'!$C$2:$C$14001,$A175,'مبيعات يومية'!$B$2:$B$14001,'إعدادات المخزون'!$A$16,'مبيعات يومية'!$A$2:$A$14001,"&gt;="&amp;'إعدادات المخزون'!$B$5,'مبيعات يومية'!$A$2:$A$14001,"&lt;="&amp;'إعدادات المخزون'!$B$4)</f>
        <v>0</v>
      </c>
      <c r="G175" s="118" t="n">
        <f aca="false">SUMIFS('مبيعات يومية'!$D$2:$D$14001,'مبيعات يومية'!$C$2:$C$14001,$A175,'مبيعات يومية'!$B$2:$B$14001,'إعدادات المخزون'!$A$16,'مبيعات يومية'!$A$2:$A$14001,"&gt;"&amp;('إعدادات المخزون'!$B$4-'إعدادات المخزون'!$B$11),'مبيعات يومية'!$A$2:$A$14001,"&lt;="&amp;'إعدادات المخزون'!$B$4)</f>
        <v>0</v>
      </c>
      <c r="H175" s="118" t="n">
        <f aca="false">SUMIFS('مبيعات يومية'!$D$2:$D$14001,'مبيعات يومية'!$C$2:$C$14001,$A175,'مبيعات يومية'!$B$2:$B$14001,'إعدادات المخزون'!$A$17,'مبيعات يومية'!$A$2:$A$14001,'إعدادات المخزون'!$B$4)</f>
        <v>0.1667</v>
      </c>
      <c r="I175" s="118" t="n">
        <f aca="false">SUMIFS('مبيعات يومية'!$D$2:$D$14001,'مبيعات يومية'!$C$2:$C$14001,$A175,'مبيعات يومية'!$B$2:$B$14001,'إعدادات المخزون'!$A$17,'مبيعات يومية'!$A$2:$A$14001,"&gt;="&amp;'إعدادات المخزون'!$B$5,'مبيعات يومية'!$A$2:$A$14001,"&lt;="&amp;'إعدادات المخزون'!$B$4)</f>
        <v>2.0004</v>
      </c>
      <c r="J175" s="118" t="n">
        <f aca="false">SUMIFS('مبيعات يومية'!$D$2:$D$14001,'مبيعات يومية'!$C$2:$C$14001,$A175,'مبيعات يومية'!$B$2:$B$14001,'إعدادات المخزون'!$A$17,'مبيعات يومية'!$A$2:$A$14001,"&gt;"&amp;('إعدادات المخزون'!$B$4-'إعدادات المخزون'!$B$11),'مبيعات يومية'!$A$2:$A$14001,"&lt;="&amp;'إعدادات المخزون'!$B$4)</f>
        <v>1.1669</v>
      </c>
    </row>
    <row r="176" customFormat="false" ht="15" hidden="false" customHeight="false" outlineLevel="0" collapsed="false">
      <c r="A176" s="116" t="str">
        <f aca="false">المنيو!B176</f>
        <v>كريب فراخ جريل</v>
      </c>
      <c r="B176" s="118" t="n">
        <f aca="false">SUMIFS('مبيعات يومية'!$D$2:$D$14001,'مبيعات يومية'!$C$2:$C$14001,$A176,'مبيعات يومية'!$B$2:$B$14001,'إعدادات المخزون'!$A$15,'مبيعات يومية'!$A$2:$A$14001,'إعدادات المخزون'!$B$4)</f>
        <v>0.25</v>
      </c>
      <c r="C176" s="118" t="n">
        <f aca="false">SUMIFS('مبيعات يومية'!$D$2:$D$14001,'مبيعات يومية'!$C$2:$C$14001,$A176,'مبيعات يومية'!$B$2:$B$14001,'إعدادات المخزون'!$A$15,'مبيعات يومية'!$A$2:$A$14001,"&gt;="&amp;'إعدادات المخزون'!$B$5,'مبيعات يومية'!$A$2:$A$14001,"&lt;="&amp;'إعدادات المخزون'!$B$4)</f>
        <v>3</v>
      </c>
      <c r="D176" s="118" t="n">
        <f aca="false">SUMIFS('مبيعات يومية'!$D$2:$D$14001,'مبيعات يومية'!$C$2:$C$14001,$A176,'مبيعات يومية'!$B$2:$B$14001,'إعدادات المخزون'!$A$15,'مبيعات يومية'!$A$2:$A$14001,"&gt;"&amp;('إعدادات المخزون'!$B$4-'إعدادات المخزون'!$B$11),'مبيعات يومية'!$A$2:$A$14001,"&lt;="&amp;'إعدادات المخزون'!$B$4)</f>
        <v>1.75</v>
      </c>
      <c r="E176" s="118" t="n">
        <f aca="false">SUMIFS('مبيعات يومية'!$D$2:$D$14001,'مبيعات يومية'!$C$2:$C$14001,$A176,'مبيعات يومية'!$B$2:$B$14001,'إعدادات المخزون'!$A$16,'مبيعات يومية'!$A$2:$A$14001,'إعدادات المخزون'!$B$4)</f>
        <v>0</v>
      </c>
      <c r="F176" s="118" t="n">
        <f aca="false">SUMIFS('مبيعات يومية'!$D$2:$D$14001,'مبيعات يومية'!$C$2:$C$14001,$A176,'مبيعات يومية'!$B$2:$B$14001,'إعدادات المخزون'!$A$16,'مبيعات يومية'!$A$2:$A$14001,"&gt;="&amp;'إعدادات المخزون'!$B$5,'مبيعات يومية'!$A$2:$A$14001,"&lt;="&amp;'إعدادات المخزون'!$B$4)</f>
        <v>0</v>
      </c>
      <c r="G176" s="118" t="n">
        <f aca="false">SUMIFS('مبيعات يومية'!$D$2:$D$14001,'مبيعات يومية'!$C$2:$C$14001,$A176,'مبيعات يومية'!$B$2:$B$14001,'إعدادات المخزون'!$A$16,'مبيعات يومية'!$A$2:$A$14001,"&gt;"&amp;('إعدادات المخزون'!$B$4-'إعدادات المخزون'!$B$11),'مبيعات يومية'!$A$2:$A$14001,"&lt;="&amp;'إعدادات المخزون'!$B$4)</f>
        <v>0</v>
      </c>
      <c r="H176" s="118" t="n">
        <f aca="false">SUMIFS('مبيعات يومية'!$D$2:$D$14001,'مبيعات يومية'!$C$2:$C$14001,$A176,'مبيعات يومية'!$B$2:$B$14001,'إعدادات المخزون'!$A$17,'مبيعات يومية'!$A$2:$A$14001,'إعدادات المخزون'!$B$4)</f>
        <v>0</v>
      </c>
      <c r="I176" s="118" t="n">
        <f aca="false">SUMIFS('مبيعات يومية'!$D$2:$D$14001,'مبيعات يومية'!$C$2:$C$14001,$A176,'مبيعات يومية'!$B$2:$B$14001,'إعدادات المخزون'!$A$17,'مبيعات يومية'!$A$2:$A$14001,"&gt;="&amp;'إعدادات المخزون'!$B$5,'مبيعات يومية'!$A$2:$A$14001,"&lt;="&amp;'إعدادات المخزون'!$B$4)</f>
        <v>0</v>
      </c>
      <c r="J176" s="118" t="n">
        <f aca="false">SUMIFS('مبيعات يومية'!$D$2:$D$14001,'مبيعات يومية'!$C$2:$C$14001,$A176,'مبيعات يومية'!$B$2:$B$14001,'إعدادات المخزون'!$A$17,'مبيعات يومية'!$A$2:$A$14001,"&gt;"&amp;('إعدادات المخزون'!$B$4-'إعدادات المخزون'!$B$11),'مبيعات يومية'!$A$2:$A$14001,"&lt;="&amp;'إعدادات المخزون'!$B$4)</f>
        <v>0</v>
      </c>
    </row>
    <row r="177" customFormat="false" ht="15" hidden="false" customHeight="false" outlineLevel="0" collapsed="false">
      <c r="A177" s="116" t="str">
        <f aca="false">المنيو!B177</f>
        <v>اضافة بسطرمة (بيتزا كبير)</v>
      </c>
      <c r="B177" s="118" t="n">
        <f aca="false">SUMIFS('مبيعات يومية'!$D$2:$D$14001,'مبيعات يومية'!$C$2:$C$14001,$A177,'مبيعات يومية'!$B$2:$B$14001,'إعدادات المخزون'!$A$15,'مبيعات يومية'!$A$2:$A$14001,'إعدادات المخزون'!$B$4)</f>
        <v>0.1667</v>
      </c>
      <c r="C177" s="118" t="n">
        <f aca="false">SUMIFS('مبيعات يومية'!$D$2:$D$14001,'مبيعات يومية'!$C$2:$C$14001,$A177,'مبيعات يومية'!$B$2:$B$14001,'إعدادات المخزون'!$A$15,'مبيعات يومية'!$A$2:$A$14001,"&gt;="&amp;'إعدادات المخزون'!$B$5,'مبيعات يومية'!$A$2:$A$14001,"&lt;="&amp;'إعدادات المخزون'!$B$4)</f>
        <v>2.0004</v>
      </c>
      <c r="D177" s="118" t="n">
        <f aca="false">SUMIFS('مبيعات يومية'!$D$2:$D$14001,'مبيعات يومية'!$C$2:$C$14001,$A177,'مبيعات يومية'!$B$2:$B$14001,'إعدادات المخزون'!$A$15,'مبيعات يومية'!$A$2:$A$14001,"&gt;"&amp;('إعدادات المخزون'!$B$4-'إعدادات المخزون'!$B$11),'مبيعات يومية'!$A$2:$A$14001,"&lt;="&amp;'إعدادات المخزون'!$B$4)</f>
        <v>1.1669</v>
      </c>
      <c r="E177" s="118" t="n">
        <f aca="false">SUMIFS('مبيعات يومية'!$D$2:$D$14001,'مبيعات يومية'!$C$2:$C$14001,$A177,'مبيعات يومية'!$B$2:$B$14001,'إعدادات المخزون'!$A$16,'مبيعات يومية'!$A$2:$A$14001,'إعدادات المخزون'!$B$4)</f>
        <v>0.25</v>
      </c>
      <c r="F177" s="118" t="n">
        <f aca="false">SUMIFS('مبيعات يومية'!$D$2:$D$14001,'مبيعات يومية'!$C$2:$C$14001,$A177,'مبيعات يومية'!$B$2:$B$14001,'إعدادات المخزون'!$A$16,'مبيعات يومية'!$A$2:$A$14001,"&gt;="&amp;'إعدادات المخزون'!$B$5,'مبيعات يومية'!$A$2:$A$14001,"&lt;="&amp;'إعدادات المخزون'!$B$4)</f>
        <v>3</v>
      </c>
      <c r="G177" s="118" t="n">
        <f aca="false">SUMIFS('مبيعات يومية'!$D$2:$D$14001,'مبيعات يومية'!$C$2:$C$14001,$A177,'مبيعات يومية'!$B$2:$B$14001,'إعدادات المخزون'!$A$16,'مبيعات يومية'!$A$2:$A$14001,"&gt;"&amp;('إعدادات المخزون'!$B$4-'إعدادات المخزون'!$B$11),'مبيعات يومية'!$A$2:$A$14001,"&lt;="&amp;'إعدادات المخزون'!$B$4)</f>
        <v>1.75</v>
      </c>
      <c r="H177" s="118" t="n">
        <f aca="false">SUMIFS('مبيعات يومية'!$D$2:$D$14001,'مبيعات يومية'!$C$2:$C$14001,$A177,'مبيعات يومية'!$B$2:$B$14001,'إعدادات المخزون'!$A$17,'مبيعات يومية'!$A$2:$A$14001,'إعدادات المخزون'!$B$4)</f>
        <v>0</v>
      </c>
      <c r="I177" s="118" t="n">
        <f aca="false">SUMIFS('مبيعات يومية'!$D$2:$D$14001,'مبيعات يومية'!$C$2:$C$14001,$A177,'مبيعات يومية'!$B$2:$B$14001,'إعدادات المخزون'!$A$17,'مبيعات يومية'!$A$2:$A$14001,"&gt;="&amp;'إعدادات المخزون'!$B$5,'مبيعات يومية'!$A$2:$A$14001,"&lt;="&amp;'إعدادات المخزون'!$B$4)</f>
        <v>0</v>
      </c>
      <c r="J177" s="118" t="n">
        <f aca="false">SUMIFS('مبيعات يومية'!$D$2:$D$14001,'مبيعات يومية'!$C$2:$C$14001,$A177,'مبيعات يومية'!$B$2:$B$14001,'إعدادات المخزون'!$A$17,'مبيعات يومية'!$A$2:$A$14001,"&gt;"&amp;('إعدادات المخزون'!$B$4-'إعدادات المخزون'!$B$11),'مبيعات يومية'!$A$2:$A$14001,"&lt;="&amp;'إعدادات المخزون'!$B$4)</f>
        <v>0</v>
      </c>
    </row>
    <row r="178" customFormat="false" ht="15" hidden="false" customHeight="false" outlineLevel="0" collapsed="false">
      <c r="A178" s="116" t="str">
        <f aca="false">المنيو!B178</f>
        <v>اضافة جبنة كيري (بيتزا كبير)</v>
      </c>
      <c r="B178" s="118" t="n">
        <f aca="false">SUMIFS('مبيعات يومية'!$D$2:$D$14001,'مبيعات يومية'!$C$2:$C$14001,$A178,'مبيعات يومية'!$B$2:$B$14001,'إعدادات المخزون'!$A$15,'مبيعات يومية'!$A$2:$A$14001,'إعدادات المخزون'!$B$4)</f>
        <v>0.0833</v>
      </c>
      <c r="C178" s="118" t="n">
        <f aca="false">SUMIFS('مبيعات يومية'!$D$2:$D$14001,'مبيعات يومية'!$C$2:$C$14001,$A178,'مبيعات يومية'!$B$2:$B$14001,'إعدادات المخزون'!$A$15,'مبيعات يومية'!$A$2:$A$14001,"&gt;="&amp;'إعدادات المخزون'!$B$5,'مبيعات يومية'!$A$2:$A$14001,"&lt;="&amp;'إعدادات المخزون'!$B$4)</f>
        <v>0.9996</v>
      </c>
      <c r="D178" s="118" t="n">
        <f aca="false">SUMIFS('مبيعات يومية'!$D$2:$D$14001,'مبيعات يومية'!$C$2:$C$14001,$A178,'مبيعات يومية'!$B$2:$B$14001,'إعدادات المخزون'!$A$15,'مبيعات يومية'!$A$2:$A$14001,"&gt;"&amp;('إعدادات المخزون'!$B$4-'إعدادات المخزون'!$B$11),'مبيعات يومية'!$A$2:$A$14001,"&lt;="&amp;'إعدادات المخزون'!$B$4)</f>
        <v>0.5831</v>
      </c>
      <c r="E178" s="118" t="n">
        <f aca="false">SUMIFS('مبيعات يومية'!$D$2:$D$14001,'مبيعات يومية'!$C$2:$C$14001,$A178,'مبيعات يومية'!$B$2:$B$14001,'إعدادات المخزون'!$A$16,'مبيعات يومية'!$A$2:$A$14001,'إعدادات المخزون'!$B$4)</f>
        <v>0.0833</v>
      </c>
      <c r="F178" s="118" t="n">
        <f aca="false">SUMIFS('مبيعات يومية'!$D$2:$D$14001,'مبيعات يومية'!$C$2:$C$14001,$A178,'مبيعات يومية'!$B$2:$B$14001,'إعدادات المخزون'!$A$16,'مبيعات يومية'!$A$2:$A$14001,"&gt;="&amp;'إعدادات المخزون'!$B$5,'مبيعات يومية'!$A$2:$A$14001,"&lt;="&amp;'إعدادات المخزون'!$B$4)</f>
        <v>0.9996</v>
      </c>
      <c r="G178" s="118" t="n">
        <f aca="false">SUMIFS('مبيعات يومية'!$D$2:$D$14001,'مبيعات يومية'!$C$2:$C$14001,$A178,'مبيعات يومية'!$B$2:$B$14001,'إعدادات المخزون'!$A$16,'مبيعات يومية'!$A$2:$A$14001,"&gt;"&amp;('إعدادات المخزون'!$B$4-'إعدادات المخزون'!$B$11),'مبيعات يومية'!$A$2:$A$14001,"&lt;="&amp;'إعدادات المخزون'!$B$4)</f>
        <v>0.5831</v>
      </c>
      <c r="H178" s="118" t="n">
        <f aca="false">SUMIFS('مبيعات يومية'!$D$2:$D$14001,'مبيعات يومية'!$C$2:$C$14001,$A178,'مبيعات يومية'!$B$2:$B$14001,'إعدادات المخزون'!$A$17,'مبيعات يومية'!$A$2:$A$14001,'إعدادات المخزون'!$B$4)</f>
        <v>0</v>
      </c>
      <c r="I178" s="118" t="n">
        <f aca="false">SUMIFS('مبيعات يومية'!$D$2:$D$14001,'مبيعات يومية'!$C$2:$C$14001,$A178,'مبيعات يومية'!$B$2:$B$14001,'إعدادات المخزون'!$A$17,'مبيعات يومية'!$A$2:$A$14001,"&gt;="&amp;'إعدادات المخزون'!$B$5,'مبيعات يومية'!$A$2:$A$14001,"&lt;="&amp;'إعدادات المخزون'!$B$4)</f>
        <v>0</v>
      </c>
      <c r="J178" s="118" t="n">
        <f aca="false">SUMIFS('مبيعات يومية'!$D$2:$D$14001,'مبيعات يومية'!$C$2:$C$14001,$A178,'مبيعات يومية'!$B$2:$B$14001,'إعدادات المخزون'!$A$17,'مبيعات يومية'!$A$2:$A$14001,"&gt;"&amp;('إعدادات المخزون'!$B$4-'إعدادات المخزون'!$B$11),'مبيعات يومية'!$A$2:$A$14001,"&lt;="&amp;'إعدادات المخزون'!$B$4)</f>
        <v>0</v>
      </c>
    </row>
    <row r="179" customFormat="false" ht="15" hidden="false" customHeight="false" outlineLevel="0" collapsed="false">
      <c r="A179" s="116" t="str">
        <f aca="false">المنيو!B179</f>
        <v>اضافة سدق (بيتزا كبير)</v>
      </c>
      <c r="B179" s="118" t="n">
        <f aca="false">SUMIFS('مبيعات يومية'!$D$2:$D$14001,'مبيعات يومية'!$C$2:$C$14001,$A179,'مبيعات يومية'!$B$2:$B$14001,'إعدادات المخزون'!$A$15,'مبيعات يومية'!$A$2:$A$14001,'إعدادات المخزون'!$B$4)</f>
        <v>0.0833</v>
      </c>
      <c r="C179" s="118" t="n">
        <f aca="false">SUMIFS('مبيعات يومية'!$D$2:$D$14001,'مبيعات يومية'!$C$2:$C$14001,$A179,'مبيعات يومية'!$B$2:$B$14001,'إعدادات المخزون'!$A$15,'مبيعات يومية'!$A$2:$A$14001,"&gt;="&amp;'إعدادات المخزون'!$B$5,'مبيعات يومية'!$A$2:$A$14001,"&lt;="&amp;'إعدادات المخزون'!$B$4)</f>
        <v>0.9996</v>
      </c>
      <c r="D179" s="118" t="n">
        <f aca="false">SUMIFS('مبيعات يومية'!$D$2:$D$14001,'مبيعات يومية'!$C$2:$C$14001,$A179,'مبيعات يومية'!$B$2:$B$14001,'إعدادات المخزون'!$A$15,'مبيعات يومية'!$A$2:$A$14001,"&gt;"&amp;('إعدادات المخزون'!$B$4-'إعدادات المخزون'!$B$11),'مبيعات يومية'!$A$2:$A$14001,"&lt;="&amp;'إعدادات المخزون'!$B$4)</f>
        <v>0.5831</v>
      </c>
      <c r="E179" s="118" t="n">
        <f aca="false">SUMIFS('مبيعات يومية'!$D$2:$D$14001,'مبيعات يومية'!$C$2:$C$14001,$A179,'مبيعات يومية'!$B$2:$B$14001,'إعدادات المخزون'!$A$16,'مبيعات يومية'!$A$2:$A$14001,'إعدادات المخزون'!$B$4)</f>
        <v>0.0833</v>
      </c>
      <c r="F179" s="118" t="n">
        <f aca="false">SUMIFS('مبيعات يومية'!$D$2:$D$14001,'مبيعات يومية'!$C$2:$C$14001,$A179,'مبيعات يومية'!$B$2:$B$14001,'إعدادات المخزون'!$A$16,'مبيعات يومية'!$A$2:$A$14001,"&gt;="&amp;'إعدادات المخزون'!$B$5,'مبيعات يومية'!$A$2:$A$14001,"&lt;="&amp;'إعدادات المخزون'!$B$4)</f>
        <v>0.9996</v>
      </c>
      <c r="G179" s="118" t="n">
        <f aca="false">SUMIFS('مبيعات يومية'!$D$2:$D$14001,'مبيعات يومية'!$C$2:$C$14001,$A179,'مبيعات يومية'!$B$2:$B$14001,'إعدادات المخزون'!$A$16,'مبيعات يومية'!$A$2:$A$14001,"&gt;"&amp;('إعدادات المخزون'!$B$4-'إعدادات المخزون'!$B$11),'مبيعات يومية'!$A$2:$A$14001,"&lt;="&amp;'إعدادات المخزون'!$B$4)</f>
        <v>0.5831</v>
      </c>
      <c r="H179" s="118" t="n">
        <f aca="false">SUMIFS('مبيعات يومية'!$D$2:$D$14001,'مبيعات يومية'!$C$2:$C$14001,$A179,'مبيعات يومية'!$B$2:$B$14001,'إعدادات المخزون'!$A$17,'مبيعات يومية'!$A$2:$A$14001,'إعدادات المخزون'!$B$4)</f>
        <v>0</v>
      </c>
      <c r="I179" s="118" t="n">
        <f aca="false">SUMIFS('مبيعات يومية'!$D$2:$D$14001,'مبيعات يومية'!$C$2:$C$14001,$A179,'مبيعات يومية'!$B$2:$B$14001,'إعدادات المخزون'!$A$17,'مبيعات يومية'!$A$2:$A$14001,"&gt;="&amp;'إعدادات المخزون'!$B$5,'مبيعات يومية'!$A$2:$A$14001,"&lt;="&amp;'إعدادات المخزون'!$B$4)</f>
        <v>0</v>
      </c>
      <c r="J179" s="118" t="n">
        <f aca="false">SUMIFS('مبيعات يومية'!$D$2:$D$14001,'مبيعات يومية'!$C$2:$C$14001,$A179,'مبيعات يومية'!$B$2:$B$14001,'إعدادات المخزون'!$A$17,'مبيعات يومية'!$A$2:$A$14001,"&gt;"&amp;('إعدادات المخزون'!$B$4-'إعدادات المخزون'!$B$11),'مبيعات يومية'!$A$2:$A$14001,"&lt;="&amp;'إعدادات المخزون'!$B$4)</f>
        <v>0</v>
      </c>
    </row>
    <row r="180" customFormat="false" ht="15" hidden="false" customHeight="false" outlineLevel="0" collapsed="false">
      <c r="A180" s="116" t="str">
        <f aca="false">المنيو!B180</f>
        <v>اضافة فراخ كريسبي (بيتزا كبير)</v>
      </c>
      <c r="B180" s="118" t="n">
        <f aca="false">SUMIFS('مبيعات يومية'!$D$2:$D$14001,'مبيعات يومية'!$C$2:$C$14001,$A180,'مبيعات يومية'!$B$2:$B$14001,'إعدادات المخزون'!$A$15,'مبيعات يومية'!$A$2:$A$14001,'إعدادات المخزون'!$B$4)</f>
        <v>0</v>
      </c>
      <c r="C180" s="118" t="n">
        <f aca="false">SUMIFS('مبيعات يومية'!$D$2:$D$14001,'مبيعات يومية'!$C$2:$C$14001,$A180,'مبيعات يومية'!$B$2:$B$14001,'إعدادات المخزون'!$A$15,'مبيعات يومية'!$A$2:$A$14001,"&gt;="&amp;'إعدادات المخزون'!$B$5,'مبيعات يومية'!$A$2:$A$14001,"&lt;="&amp;'إعدادات المخزون'!$B$4)</f>
        <v>0</v>
      </c>
      <c r="D180" s="118" t="n">
        <f aca="false">SUMIFS('مبيعات يومية'!$D$2:$D$14001,'مبيعات يومية'!$C$2:$C$14001,$A180,'مبيعات يومية'!$B$2:$B$14001,'إعدادات المخزون'!$A$15,'مبيعات يومية'!$A$2:$A$14001,"&gt;"&amp;('إعدادات المخزون'!$B$4-'إعدادات المخزون'!$B$11),'مبيعات يومية'!$A$2:$A$14001,"&lt;="&amp;'إعدادات المخزون'!$B$4)</f>
        <v>0</v>
      </c>
      <c r="E180" s="118" t="n">
        <f aca="false">SUMIFS('مبيعات يومية'!$D$2:$D$14001,'مبيعات يومية'!$C$2:$C$14001,$A180,'مبيعات يومية'!$B$2:$B$14001,'إعدادات المخزون'!$A$16,'مبيعات يومية'!$A$2:$A$14001,'إعدادات المخزون'!$B$4)</f>
        <v>0.1667</v>
      </c>
      <c r="F180" s="118" t="n">
        <f aca="false">SUMIFS('مبيعات يومية'!$D$2:$D$14001,'مبيعات يومية'!$C$2:$C$14001,$A180,'مبيعات يومية'!$B$2:$B$14001,'إعدادات المخزون'!$A$16,'مبيعات يومية'!$A$2:$A$14001,"&gt;="&amp;'إعدادات المخزون'!$B$5,'مبيعات يومية'!$A$2:$A$14001,"&lt;="&amp;'إعدادات المخزون'!$B$4)</f>
        <v>2.0004</v>
      </c>
      <c r="G180" s="118" t="n">
        <f aca="false">SUMIFS('مبيعات يومية'!$D$2:$D$14001,'مبيعات يومية'!$C$2:$C$14001,$A180,'مبيعات يومية'!$B$2:$B$14001,'إعدادات المخزون'!$A$16,'مبيعات يومية'!$A$2:$A$14001,"&gt;"&amp;('إعدادات المخزون'!$B$4-'إعدادات المخزون'!$B$11),'مبيعات يومية'!$A$2:$A$14001,"&lt;="&amp;'إعدادات المخزون'!$B$4)</f>
        <v>1.1669</v>
      </c>
      <c r="H180" s="118" t="n">
        <f aca="false">SUMIFS('مبيعات يومية'!$D$2:$D$14001,'مبيعات يومية'!$C$2:$C$14001,$A180,'مبيعات يومية'!$B$2:$B$14001,'إعدادات المخزون'!$A$17,'مبيعات يومية'!$A$2:$A$14001,'إعدادات المخزون'!$B$4)</f>
        <v>0</v>
      </c>
      <c r="I180" s="118" t="n">
        <f aca="false">SUMIFS('مبيعات يومية'!$D$2:$D$14001,'مبيعات يومية'!$C$2:$C$14001,$A180,'مبيعات يومية'!$B$2:$B$14001,'إعدادات المخزون'!$A$17,'مبيعات يومية'!$A$2:$A$14001,"&gt;="&amp;'إعدادات المخزون'!$B$5,'مبيعات يومية'!$A$2:$A$14001,"&lt;="&amp;'إعدادات المخزون'!$B$4)</f>
        <v>0</v>
      </c>
      <c r="J180" s="118" t="n">
        <f aca="false">SUMIFS('مبيعات يومية'!$D$2:$D$14001,'مبيعات يومية'!$C$2:$C$14001,$A180,'مبيعات يومية'!$B$2:$B$14001,'إعدادات المخزون'!$A$17,'مبيعات يومية'!$A$2:$A$14001,"&gt;"&amp;('إعدادات المخزون'!$B$4-'إعدادات المخزون'!$B$11),'مبيعات يومية'!$A$2:$A$14001,"&lt;="&amp;'إعدادات المخزون'!$B$4)</f>
        <v>0</v>
      </c>
    </row>
    <row r="181" customFormat="false" ht="15" hidden="false" customHeight="false" outlineLevel="0" collapsed="false">
      <c r="A181" s="116" t="str">
        <f aca="false">المنيو!B181</f>
        <v>اضافة فراخ جريل (فطير وسط)</v>
      </c>
      <c r="B181" s="118" t="n">
        <f aca="false">SUMIFS('مبيعات يومية'!$D$2:$D$14001,'مبيعات يومية'!$C$2:$C$14001,$A181,'مبيعات يومية'!$B$2:$B$14001,'إعدادات المخزون'!$A$15,'مبيعات يومية'!$A$2:$A$14001,'إعدادات المخزون'!$B$4)</f>
        <v>0</v>
      </c>
      <c r="C181" s="118" t="n">
        <f aca="false">SUMIFS('مبيعات يومية'!$D$2:$D$14001,'مبيعات يومية'!$C$2:$C$14001,$A181,'مبيعات يومية'!$B$2:$B$14001,'إعدادات المخزون'!$A$15,'مبيعات يومية'!$A$2:$A$14001,"&gt;="&amp;'إعدادات المخزون'!$B$5,'مبيعات يومية'!$A$2:$A$14001,"&lt;="&amp;'إعدادات المخزون'!$B$4)</f>
        <v>0</v>
      </c>
      <c r="D181" s="118" t="n">
        <f aca="false">SUMIFS('مبيعات يومية'!$D$2:$D$14001,'مبيعات يومية'!$C$2:$C$14001,$A181,'مبيعات يومية'!$B$2:$B$14001,'إعدادات المخزون'!$A$15,'مبيعات يومية'!$A$2:$A$14001,"&gt;"&amp;('إعدادات المخزون'!$B$4-'إعدادات المخزون'!$B$11),'مبيعات يومية'!$A$2:$A$14001,"&lt;="&amp;'إعدادات المخزون'!$B$4)</f>
        <v>0</v>
      </c>
      <c r="E181" s="118" t="n">
        <f aca="false">SUMIFS('مبيعات يومية'!$D$2:$D$14001,'مبيعات يومية'!$C$2:$C$14001,$A181,'مبيعات يومية'!$B$2:$B$14001,'إعدادات المخزون'!$A$16,'مبيعات يومية'!$A$2:$A$14001,'إعدادات المخزون'!$B$4)</f>
        <v>0.1667</v>
      </c>
      <c r="F181" s="118" t="n">
        <f aca="false">SUMIFS('مبيعات يومية'!$D$2:$D$14001,'مبيعات يومية'!$C$2:$C$14001,$A181,'مبيعات يومية'!$B$2:$B$14001,'إعدادات المخزون'!$A$16,'مبيعات يومية'!$A$2:$A$14001,"&gt;="&amp;'إعدادات المخزون'!$B$5,'مبيعات يومية'!$A$2:$A$14001,"&lt;="&amp;'إعدادات المخزون'!$B$4)</f>
        <v>2.0004</v>
      </c>
      <c r="G181" s="118" t="n">
        <f aca="false">SUMIFS('مبيعات يومية'!$D$2:$D$14001,'مبيعات يومية'!$C$2:$C$14001,$A181,'مبيعات يومية'!$B$2:$B$14001,'إعدادات المخزون'!$A$16,'مبيعات يومية'!$A$2:$A$14001,"&gt;"&amp;('إعدادات المخزون'!$B$4-'إعدادات المخزون'!$B$11),'مبيعات يومية'!$A$2:$A$14001,"&lt;="&amp;'إعدادات المخزون'!$B$4)</f>
        <v>1.1669</v>
      </c>
      <c r="H181" s="118" t="n">
        <f aca="false">SUMIFS('مبيعات يومية'!$D$2:$D$14001,'مبيعات يومية'!$C$2:$C$14001,$A181,'مبيعات يومية'!$B$2:$B$14001,'إعدادات المخزون'!$A$17,'مبيعات يومية'!$A$2:$A$14001,'إعدادات المخزون'!$B$4)</f>
        <v>0</v>
      </c>
      <c r="I181" s="118" t="n">
        <f aca="false">SUMIFS('مبيعات يومية'!$D$2:$D$14001,'مبيعات يومية'!$C$2:$C$14001,$A181,'مبيعات يومية'!$B$2:$B$14001,'إعدادات المخزون'!$A$17,'مبيعات يومية'!$A$2:$A$14001,"&gt;="&amp;'إعدادات المخزون'!$B$5,'مبيعات يومية'!$A$2:$A$14001,"&lt;="&amp;'إعدادات المخزون'!$B$4)</f>
        <v>0</v>
      </c>
      <c r="J181" s="118" t="n">
        <f aca="false">SUMIFS('مبيعات يومية'!$D$2:$D$14001,'مبيعات يومية'!$C$2:$C$14001,$A181,'مبيعات يومية'!$B$2:$B$14001,'إعدادات المخزون'!$A$17,'مبيعات يومية'!$A$2:$A$14001,"&gt;"&amp;('إعدادات المخزون'!$B$4-'إعدادات المخزون'!$B$11),'مبيعات يومية'!$A$2:$A$14001,"&lt;="&amp;'إعدادات المخزون'!$B$4)</f>
        <v>0</v>
      </c>
    </row>
    <row r="182" customFormat="false" ht="15" hidden="false" customHeight="false" outlineLevel="0" collapsed="false">
      <c r="A182" s="116" t="str">
        <f aca="false">المنيو!B182</f>
        <v>اضافة سلامي (فطير وسط)</v>
      </c>
      <c r="B182" s="118" t="n">
        <f aca="false">SUMIFS('مبيعات يومية'!$D$2:$D$14001,'مبيعات يومية'!$C$2:$C$14001,$A182,'مبيعات يومية'!$B$2:$B$14001,'إعدادات المخزون'!$A$15,'مبيعات يومية'!$A$2:$A$14001,'إعدادات المخزون'!$B$4)</f>
        <v>0.0833</v>
      </c>
      <c r="C182" s="118" t="n">
        <f aca="false">SUMIFS('مبيعات يومية'!$D$2:$D$14001,'مبيعات يومية'!$C$2:$C$14001,$A182,'مبيعات يومية'!$B$2:$B$14001,'إعدادات المخزون'!$A$15,'مبيعات يومية'!$A$2:$A$14001,"&gt;="&amp;'إعدادات المخزون'!$B$5,'مبيعات يومية'!$A$2:$A$14001,"&lt;="&amp;'إعدادات المخزون'!$B$4)</f>
        <v>0.9996</v>
      </c>
      <c r="D182" s="118" t="n">
        <f aca="false">SUMIFS('مبيعات يومية'!$D$2:$D$14001,'مبيعات يومية'!$C$2:$C$14001,$A182,'مبيعات يومية'!$B$2:$B$14001,'إعدادات المخزون'!$A$15,'مبيعات يومية'!$A$2:$A$14001,"&gt;"&amp;('إعدادات المخزون'!$B$4-'إعدادات المخزون'!$B$11),'مبيعات يومية'!$A$2:$A$14001,"&lt;="&amp;'إعدادات المخزون'!$B$4)</f>
        <v>0.5831</v>
      </c>
      <c r="E182" s="118" t="n">
        <f aca="false">SUMIFS('مبيعات يومية'!$D$2:$D$14001,'مبيعات يومية'!$C$2:$C$14001,$A182,'مبيعات يومية'!$B$2:$B$14001,'إعدادات المخزون'!$A$16,'مبيعات يومية'!$A$2:$A$14001,'إعدادات المخزون'!$B$4)</f>
        <v>0</v>
      </c>
      <c r="F182" s="118" t="n">
        <f aca="false">SUMIFS('مبيعات يومية'!$D$2:$D$14001,'مبيعات يومية'!$C$2:$C$14001,$A182,'مبيعات يومية'!$B$2:$B$14001,'إعدادات المخزون'!$A$16,'مبيعات يومية'!$A$2:$A$14001,"&gt;="&amp;'إعدادات المخزون'!$B$5,'مبيعات يومية'!$A$2:$A$14001,"&lt;="&amp;'إعدادات المخزون'!$B$4)</f>
        <v>0</v>
      </c>
      <c r="G182" s="118" t="n">
        <f aca="false">SUMIFS('مبيعات يومية'!$D$2:$D$14001,'مبيعات يومية'!$C$2:$C$14001,$A182,'مبيعات يومية'!$B$2:$B$14001,'إعدادات المخزون'!$A$16,'مبيعات يومية'!$A$2:$A$14001,"&gt;"&amp;('إعدادات المخزون'!$B$4-'إعدادات المخزون'!$B$11),'مبيعات يومية'!$A$2:$A$14001,"&lt;="&amp;'إعدادات المخزون'!$B$4)</f>
        <v>0</v>
      </c>
      <c r="H182" s="118" t="n">
        <f aca="false">SUMIFS('مبيعات يومية'!$D$2:$D$14001,'مبيعات يومية'!$C$2:$C$14001,$A182,'مبيعات يومية'!$B$2:$B$14001,'إعدادات المخزون'!$A$17,'مبيعات يومية'!$A$2:$A$14001,'إعدادات المخزون'!$B$4)</f>
        <v>0</v>
      </c>
      <c r="I182" s="118" t="n">
        <f aca="false">SUMIFS('مبيعات يومية'!$D$2:$D$14001,'مبيعات يومية'!$C$2:$C$14001,$A182,'مبيعات يومية'!$B$2:$B$14001,'إعدادات المخزون'!$A$17,'مبيعات يومية'!$A$2:$A$14001,"&gt;="&amp;'إعدادات المخزون'!$B$5,'مبيعات يومية'!$A$2:$A$14001,"&lt;="&amp;'إعدادات المخزون'!$B$4)</f>
        <v>0</v>
      </c>
      <c r="J182" s="118" t="n">
        <f aca="false">SUMIFS('مبيعات يومية'!$D$2:$D$14001,'مبيعات يومية'!$C$2:$C$14001,$A182,'مبيعات يومية'!$B$2:$B$14001,'إعدادات المخزون'!$A$17,'مبيعات يومية'!$A$2:$A$14001,"&gt;"&amp;('إعدادات المخزون'!$B$4-'إعدادات المخزون'!$B$11),'مبيعات يومية'!$A$2:$A$14001,"&lt;="&amp;'إعدادات المخزون'!$B$4)</f>
        <v>0</v>
      </c>
    </row>
    <row r="183" customFormat="false" ht="15" hidden="false" customHeight="false" outlineLevel="0" collapsed="false">
      <c r="A183" s="116" t="str">
        <f aca="false">المنيو!B183</f>
        <v>وجبة أطفال بيتزا مارجريتا</v>
      </c>
      <c r="B183" s="118" t="n">
        <f aca="false">SUMIFS('مبيعات يومية'!$D$2:$D$14001,'مبيعات يومية'!$C$2:$C$14001,$A183,'مبيعات يومية'!$B$2:$B$14001,'إعدادات المخزون'!$A$15,'مبيعات يومية'!$A$2:$A$14001,'إعدادات المخزون'!$B$4)</f>
        <v>0.0833</v>
      </c>
      <c r="C183" s="118" t="n">
        <f aca="false">SUMIFS('مبيعات يومية'!$D$2:$D$14001,'مبيعات يومية'!$C$2:$C$14001,$A183,'مبيعات يومية'!$B$2:$B$14001,'إعدادات المخزون'!$A$15,'مبيعات يومية'!$A$2:$A$14001,"&gt;="&amp;'إعدادات المخزون'!$B$5,'مبيعات يومية'!$A$2:$A$14001,"&lt;="&amp;'إعدادات المخزون'!$B$4)</f>
        <v>0.9996</v>
      </c>
      <c r="D183" s="118" t="n">
        <f aca="false">SUMIFS('مبيعات يومية'!$D$2:$D$14001,'مبيعات يومية'!$C$2:$C$14001,$A183,'مبيعات يومية'!$B$2:$B$14001,'إعدادات المخزون'!$A$15,'مبيعات يومية'!$A$2:$A$14001,"&gt;"&amp;('إعدادات المخزون'!$B$4-'إعدادات المخزون'!$B$11),'مبيعات يومية'!$A$2:$A$14001,"&lt;="&amp;'إعدادات المخزون'!$B$4)</f>
        <v>0.5831</v>
      </c>
      <c r="E183" s="118" t="n">
        <f aca="false">SUMIFS('مبيعات يومية'!$D$2:$D$14001,'مبيعات يومية'!$C$2:$C$14001,$A183,'مبيعات يومية'!$B$2:$B$14001,'إعدادات المخزون'!$A$16,'مبيعات يومية'!$A$2:$A$14001,'إعدادات المخزون'!$B$4)</f>
        <v>0.1667</v>
      </c>
      <c r="F183" s="118" t="n">
        <f aca="false">SUMIFS('مبيعات يومية'!$D$2:$D$14001,'مبيعات يومية'!$C$2:$C$14001,$A183,'مبيعات يومية'!$B$2:$B$14001,'إعدادات المخزون'!$A$16,'مبيعات يومية'!$A$2:$A$14001,"&gt;="&amp;'إعدادات المخزون'!$B$5,'مبيعات يومية'!$A$2:$A$14001,"&lt;="&amp;'إعدادات المخزون'!$B$4)</f>
        <v>2.0004</v>
      </c>
      <c r="G183" s="118" t="n">
        <f aca="false">SUMIFS('مبيعات يومية'!$D$2:$D$14001,'مبيعات يومية'!$C$2:$C$14001,$A183,'مبيعات يومية'!$B$2:$B$14001,'إعدادات المخزون'!$A$16,'مبيعات يومية'!$A$2:$A$14001,"&gt;"&amp;('إعدادات المخزون'!$B$4-'إعدادات المخزون'!$B$11),'مبيعات يومية'!$A$2:$A$14001,"&lt;="&amp;'إعدادات المخزون'!$B$4)</f>
        <v>1.1669</v>
      </c>
      <c r="H183" s="118" t="n">
        <f aca="false">SUMIFS('مبيعات يومية'!$D$2:$D$14001,'مبيعات يومية'!$C$2:$C$14001,$A183,'مبيعات يومية'!$B$2:$B$14001,'إعدادات المخزون'!$A$17,'مبيعات يومية'!$A$2:$A$14001,'إعدادات المخزون'!$B$4)</f>
        <v>0.0833</v>
      </c>
      <c r="I183" s="118" t="n">
        <f aca="false">SUMIFS('مبيعات يومية'!$D$2:$D$14001,'مبيعات يومية'!$C$2:$C$14001,$A183,'مبيعات يومية'!$B$2:$B$14001,'إعدادات المخزون'!$A$17,'مبيعات يومية'!$A$2:$A$14001,"&gt;="&amp;'إعدادات المخزون'!$B$5,'مبيعات يومية'!$A$2:$A$14001,"&lt;="&amp;'إعدادات المخزون'!$B$4)</f>
        <v>0.9996</v>
      </c>
      <c r="J183" s="118" t="n">
        <f aca="false">SUMIFS('مبيعات يومية'!$D$2:$D$14001,'مبيعات يومية'!$C$2:$C$14001,$A183,'مبيعات يومية'!$B$2:$B$14001,'إعدادات المخزون'!$A$17,'مبيعات يومية'!$A$2:$A$14001,"&gt;"&amp;('إعدادات المخزون'!$B$4-'إعدادات المخزون'!$B$11),'مبيعات يومية'!$A$2:$A$14001,"&lt;="&amp;'إعدادات المخزون'!$B$4)</f>
        <v>0.5831</v>
      </c>
    </row>
    <row r="184" customFormat="false" ht="15" hidden="false" customHeight="false" outlineLevel="0" collapsed="false">
      <c r="A184" s="116" t="str">
        <f aca="false">المنيو!B184</f>
        <v>وجبة أطفال بيتزا سلامي</v>
      </c>
      <c r="B184" s="118" t="n">
        <f aca="false">SUMIFS('مبيعات يومية'!$D$2:$D$14001,'مبيعات يومية'!$C$2:$C$14001,$A184,'مبيعات يومية'!$B$2:$B$14001,'إعدادات المخزون'!$A$15,'مبيعات يومية'!$A$2:$A$14001,'إعدادات المخزون'!$B$4)</f>
        <v>0.0833</v>
      </c>
      <c r="C184" s="118" t="n">
        <f aca="false">SUMIFS('مبيعات يومية'!$D$2:$D$14001,'مبيعات يومية'!$C$2:$C$14001,$A184,'مبيعات يومية'!$B$2:$B$14001,'إعدادات المخزون'!$A$15,'مبيعات يومية'!$A$2:$A$14001,"&gt;="&amp;'إعدادات المخزون'!$B$5,'مبيعات يومية'!$A$2:$A$14001,"&lt;="&amp;'إعدادات المخزون'!$B$4)</f>
        <v>0.9996</v>
      </c>
      <c r="D184" s="118" t="n">
        <f aca="false">SUMIFS('مبيعات يومية'!$D$2:$D$14001,'مبيعات يومية'!$C$2:$C$14001,$A184,'مبيعات يومية'!$B$2:$B$14001,'إعدادات المخزون'!$A$15,'مبيعات يومية'!$A$2:$A$14001,"&gt;"&amp;('إعدادات المخزون'!$B$4-'إعدادات المخزون'!$B$11),'مبيعات يومية'!$A$2:$A$14001,"&lt;="&amp;'إعدادات المخزون'!$B$4)</f>
        <v>0.5831</v>
      </c>
      <c r="E184" s="118" t="n">
        <f aca="false">SUMIFS('مبيعات يومية'!$D$2:$D$14001,'مبيعات يومية'!$C$2:$C$14001,$A184,'مبيعات يومية'!$B$2:$B$14001,'إعدادات المخزون'!$A$16,'مبيعات يومية'!$A$2:$A$14001,'إعدادات المخزون'!$B$4)</f>
        <v>0</v>
      </c>
      <c r="F184" s="118" t="n">
        <f aca="false">SUMIFS('مبيعات يومية'!$D$2:$D$14001,'مبيعات يومية'!$C$2:$C$14001,$A184,'مبيعات يومية'!$B$2:$B$14001,'إعدادات المخزون'!$A$16,'مبيعات يومية'!$A$2:$A$14001,"&gt;="&amp;'إعدادات المخزون'!$B$5,'مبيعات يومية'!$A$2:$A$14001,"&lt;="&amp;'إعدادات المخزون'!$B$4)</f>
        <v>0</v>
      </c>
      <c r="G184" s="118" t="n">
        <f aca="false">SUMIFS('مبيعات يومية'!$D$2:$D$14001,'مبيعات يومية'!$C$2:$C$14001,$A184,'مبيعات يومية'!$B$2:$B$14001,'إعدادات المخزون'!$A$16,'مبيعات يومية'!$A$2:$A$14001,"&gt;"&amp;('إعدادات المخزون'!$B$4-'إعدادات المخزون'!$B$11),'مبيعات يومية'!$A$2:$A$14001,"&lt;="&amp;'إعدادات المخزون'!$B$4)</f>
        <v>0</v>
      </c>
      <c r="H184" s="118" t="n">
        <f aca="false">SUMIFS('مبيعات يومية'!$D$2:$D$14001,'مبيعات يومية'!$C$2:$C$14001,$A184,'مبيعات يومية'!$B$2:$B$14001,'إعدادات المخزون'!$A$17,'مبيعات يومية'!$A$2:$A$14001,'إعدادات المخزون'!$B$4)</f>
        <v>0.0833</v>
      </c>
      <c r="I184" s="118" t="n">
        <f aca="false">SUMIFS('مبيعات يومية'!$D$2:$D$14001,'مبيعات يومية'!$C$2:$C$14001,$A184,'مبيعات يومية'!$B$2:$B$14001,'إعدادات المخزون'!$A$17,'مبيعات يومية'!$A$2:$A$14001,"&gt;="&amp;'إعدادات المخزون'!$B$5,'مبيعات يومية'!$A$2:$A$14001,"&lt;="&amp;'إعدادات المخزون'!$B$4)</f>
        <v>0.9996</v>
      </c>
      <c r="J184" s="118" t="n">
        <f aca="false">SUMIFS('مبيعات يومية'!$D$2:$D$14001,'مبيعات يومية'!$C$2:$C$14001,$A184,'مبيعات يومية'!$B$2:$B$14001,'إعدادات المخزون'!$A$17,'مبيعات يومية'!$A$2:$A$14001,"&gt;"&amp;('إعدادات المخزون'!$B$4-'إعدادات المخزون'!$B$11),'مبيعات يومية'!$A$2:$A$14001,"&lt;="&amp;'إعدادات المخزون'!$B$4)</f>
        <v>0.5831</v>
      </c>
    </row>
    <row r="185" customFormat="false" ht="15" hidden="false" customHeight="false" outlineLevel="0" collapsed="false">
      <c r="A185" s="116" t="str">
        <f aca="false">المنيو!B185</f>
        <v>وجبة أطفال استربس + بطاطس</v>
      </c>
      <c r="B185" s="118" t="n">
        <f aca="false">SUMIFS('مبيعات يومية'!$D$2:$D$14001,'مبيعات يومية'!$C$2:$C$14001,$A185,'مبيعات يومية'!$B$2:$B$14001,'إعدادات المخزون'!$A$15,'مبيعات يومية'!$A$2:$A$14001,'إعدادات المخزون'!$B$4)</f>
        <v>0</v>
      </c>
      <c r="C185" s="118" t="n">
        <f aca="false">SUMIFS('مبيعات يومية'!$D$2:$D$14001,'مبيعات يومية'!$C$2:$C$14001,$A185,'مبيعات يومية'!$B$2:$B$14001,'إعدادات المخزون'!$A$15,'مبيعات يومية'!$A$2:$A$14001,"&gt;="&amp;'إعدادات المخزون'!$B$5,'مبيعات يومية'!$A$2:$A$14001,"&lt;="&amp;'إعدادات المخزون'!$B$4)</f>
        <v>0</v>
      </c>
      <c r="D185" s="118" t="n">
        <f aca="false">SUMIFS('مبيعات يومية'!$D$2:$D$14001,'مبيعات يومية'!$C$2:$C$14001,$A185,'مبيعات يومية'!$B$2:$B$14001,'إعدادات المخزون'!$A$15,'مبيعات يومية'!$A$2:$A$14001,"&gt;"&amp;('إعدادات المخزون'!$B$4-'إعدادات المخزون'!$B$11),'مبيعات يومية'!$A$2:$A$14001,"&lt;="&amp;'إعدادات المخزون'!$B$4)</f>
        <v>0</v>
      </c>
      <c r="E185" s="118" t="n">
        <f aca="false">SUMIFS('مبيعات يومية'!$D$2:$D$14001,'مبيعات يومية'!$C$2:$C$14001,$A185,'مبيعات يومية'!$B$2:$B$14001,'إعدادات المخزون'!$A$16,'مبيعات يومية'!$A$2:$A$14001,'إعدادات المخزون'!$B$4)</f>
        <v>0</v>
      </c>
      <c r="F185" s="118" t="n">
        <f aca="false">SUMIFS('مبيعات يومية'!$D$2:$D$14001,'مبيعات يومية'!$C$2:$C$14001,$A185,'مبيعات يومية'!$B$2:$B$14001,'إعدادات المخزون'!$A$16,'مبيعات يومية'!$A$2:$A$14001,"&gt;="&amp;'إعدادات المخزون'!$B$5,'مبيعات يومية'!$A$2:$A$14001,"&lt;="&amp;'إعدادات المخزون'!$B$4)</f>
        <v>0</v>
      </c>
      <c r="G185" s="118" t="n">
        <f aca="false">SUMIFS('مبيعات يومية'!$D$2:$D$14001,'مبيعات يومية'!$C$2:$C$14001,$A185,'مبيعات يومية'!$B$2:$B$14001,'إعدادات المخزون'!$A$16,'مبيعات يومية'!$A$2:$A$14001,"&gt;"&amp;('إعدادات المخزون'!$B$4-'إعدادات المخزون'!$B$11),'مبيعات يومية'!$A$2:$A$14001,"&lt;="&amp;'إعدادات المخزون'!$B$4)</f>
        <v>0</v>
      </c>
      <c r="H185" s="118" t="n">
        <f aca="false">SUMIFS('مبيعات يومية'!$D$2:$D$14001,'مبيعات يومية'!$C$2:$C$14001,$A185,'مبيعات يومية'!$B$2:$B$14001,'إعدادات المخزون'!$A$17,'مبيعات يومية'!$A$2:$A$14001,'إعدادات المخزون'!$B$4)</f>
        <v>0.0833</v>
      </c>
      <c r="I185" s="118" t="n">
        <f aca="false">SUMIFS('مبيعات يومية'!$D$2:$D$14001,'مبيعات يومية'!$C$2:$C$14001,$A185,'مبيعات يومية'!$B$2:$B$14001,'إعدادات المخزون'!$A$17,'مبيعات يومية'!$A$2:$A$14001,"&gt;="&amp;'إعدادات المخزون'!$B$5,'مبيعات يومية'!$A$2:$A$14001,"&lt;="&amp;'إعدادات المخزون'!$B$4)</f>
        <v>0.9996</v>
      </c>
      <c r="J185" s="118" t="n">
        <f aca="false">SUMIFS('مبيعات يومية'!$D$2:$D$14001,'مبيعات يومية'!$C$2:$C$14001,$A185,'مبيعات يومية'!$B$2:$B$14001,'إعدادات المخزون'!$A$17,'مبيعات يومية'!$A$2:$A$14001,"&gt;"&amp;('إعدادات المخزون'!$B$4-'إعدادات المخزون'!$B$11),'مبيعات يومية'!$A$2:$A$14001,"&lt;="&amp;'إعدادات المخزون'!$B$4)</f>
        <v>0.5831</v>
      </c>
    </row>
    <row r="186" customFormat="false" ht="15" hidden="false" customHeight="false" outlineLevel="0" collapsed="false">
      <c r="A186" s="116" t="str">
        <f aca="false">المنيو!B186</f>
        <v>وجبة أطفال استربس + مكرونة</v>
      </c>
      <c r="B186" s="118" t="n">
        <f aca="false">SUMIFS('مبيعات يومية'!$D$2:$D$14001,'مبيعات يومية'!$C$2:$C$14001,$A186,'مبيعات يومية'!$B$2:$B$14001,'إعدادات المخزون'!$A$15,'مبيعات يومية'!$A$2:$A$14001,'إعدادات المخزون'!$B$4)</f>
        <v>0</v>
      </c>
      <c r="C186" s="118" t="n">
        <f aca="false">SUMIFS('مبيعات يومية'!$D$2:$D$14001,'مبيعات يومية'!$C$2:$C$14001,$A186,'مبيعات يومية'!$B$2:$B$14001,'إعدادات المخزون'!$A$15,'مبيعات يومية'!$A$2:$A$14001,"&gt;="&amp;'إعدادات المخزون'!$B$5,'مبيعات يومية'!$A$2:$A$14001,"&lt;="&amp;'إعدادات المخزون'!$B$4)</f>
        <v>0</v>
      </c>
      <c r="D186" s="118" t="n">
        <f aca="false">SUMIFS('مبيعات يومية'!$D$2:$D$14001,'مبيعات يومية'!$C$2:$C$14001,$A186,'مبيعات يومية'!$B$2:$B$14001,'إعدادات المخزون'!$A$15,'مبيعات يومية'!$A$2:$A$14001,"&gt;"&amp;('إعدادات المخزون'!$B$4-'إعدادات المخزون'!$B$11),'مبيعات يومية'!$A$2:$A$14001,"&lt;="&amp;'إعدادات المخزون'!$B$4)</f>
        <v>0</v>
      </c>
      <c r="E186" s="118" t="n">
        <f aca="false">SUMIFS('مبيعات يومية'!$D$2:$D$14001,'مبيعات يومية'!$C$2:$C$14001,$A186,'مبيعات يومية'!$B$2:$B$14001,'إعدادات المخزون'!$A$16,'مبيعات يومية'!$A$2:$A$14001,'إعدادات المخزون'!$B$4)</f>
        <v>0</v>
      </c>
      <c r="F186" s="118" t="n">
        <f aca="false">SUMIFS('مبيعات يومية'!$D$2:$D$14001,'مبيعات يومية'!$C$2:$C$14001,$A186,'مبيعات يومية'!$B$2:$B$14001,'إعدادات المخزون'!$A$16,'مبيعات يومية'!$A$2:$A$14001,"&gt;="&amp;'إعدادات المخزون'!$B$5,'مبيعات يومية'!$A$2:$A$14001,"&lt;="&amp;'إعدادات المخزون'!$B$4)</f>
        <v>0</v>
      </c>
      <c r="G186" s="118" t="n">
        <f aca="false">SUMIFS('مبيعات يومية'!$D$2:$D$14001,'مبيعات يومية'!$C$2:$C$14001,$A186,'مبيعات يومية'!$B$2:$B$14001,'إعدادات المخزون'!$A$16,'مبيعات يومية'!$A$2:$A$14001,"&gt;"&amp;('إعدادات المخزون'!$B$4-'إعدادات المخزون'!$B$11),'مبيعات يومية'!$A$2:$A$14001,"&lt;="&amp;'إعدادات المخزون'!$B$4)</f>
        <v>0</v>
      </c>
      <c r="H186" s="118" t="n">
        <f aca="false">SUMIFS('مبيعات يومية'!$D$2:$D$14001,'مبيعات يومية'!$C$2:$C$14001,$A186,'مبيعات يومية'!$B$2:$B$14001,'إعدادات المخزون'!$A$17,'مبيعات يومية'!$A$2:$A$14001,'إعدادات المخزون'!$B$4)</f>
        <v>0.0833</v>
      </c>
      <c r="I186" s="118" t="n">
        <f aca="false">SUMIFS('مبيعات يومية'!$D$2:$D$14001,'مبيعات يومية'!$C$2:$C$14001,$A186,'مبيعات يومية'!$B$2:$B$14001,'إعدادات المخزون'!$A$17,'مبيعات يومية'!$A$2:$A$14001,"&gt;="&amp;'إعدادات المخزون'!$B$5,'مبيعات يومية'!$A$2:$A$14001,"&lt;="&amp;'إعدادات المخزون'!$B$4)</f>
        <v>0.9996</v>
      </c>
      <c r="J186" s="118" t="n">
        <f aca="false">SUMIFS('مبيعات يومية'!$D$2:$D$14001,'مبيعات يومية'!$C$2:$C$14001,$A186,'مبيعات يومية'!$B$2:$B$14001,'إعدادات المخزون'!$A$17,'مبيعات يومية'!$A$2:$A$14001,"&gt;"&amp;('إعدادات المخزون'!$B$4-'إعدادات المخزون'!$B$11),'مبيعات يومية'!$A$2:$A$14001,"&lt;="&amp;'إعدادات المخزون'!$B$4)</f>
        <v>0.5831</v>
      </c>
    </row>
    <row r="187" customFormat="false" ht="15" hidden="false" customHeight="false" outlineLevel="0" collapsed="false">
      <c r="A187" s="116" t="str">
        <f aca="false">المنيو!B187</f>
        <v>اضافة برجر</v>
      </c>
      <c r="B187" s="118" t="n">
        <f aca="false">SUMIFS('مبيعات يومية'!$D$2:$D$14001,'مبيعات يومية'!$C$2:$C$14001,$A187,'مبيعات يومية'!$B$2:$B$14001,'إعدادات المخزون'!$A$15,'مبيعات يومية'!$A$2:$A$14001,'إعدادات المخزون'!$B$4)</f>
        <v>0</v>
      </c>
      <c r="C187" s="118" t="n">
        <f aca="false">SUMIFS('مبيعات يومية'!$D$2:$D$14001,'مبيعات يومية'!$C$2:$C$14001,$A187,'مبيعات يومية'!$B$2:$B$14001,'إعدادات المخزون'!$A$15,'مبيعات يومية'!$A$2:$A$14001,"&gt;="&amp;'إعدادات المخزون'!$B$5,'مبيعات يومية'!$A$2:$A$14001,"&lt;="&amp;'إعدادات المخزون'!$B$4)</f>
        <v>0</v>
      </c>
      <c r="D187" s="118" t="n">
        <f aca="false">SUMIFS('مبيعات يومية'!$D$2:$D$14001,'مبيعات يومية'!$C$2:$C$14001,$A187,'مبيعات يومية'!$B$2:$B$14001,'إعدادات المخزون'!$A$15,'مبيعات يومية'!$A$2:$A$14001,"&gt;"&amp;('إعدادات المخزون'!$B$4-'إعدادات المخزون'!$B$11),'مبيعات يومية'!$A$2:$A$14001,"&lt;="&amp;'إعدادات المخزون'!$B$4)</f>
        <v>0</v>
      </c>
      <c r="E187" s="118" t="n">
        <f aca="false">SUMIFS('مبيعات يومية'!$D$2:$D$14001,'مبيعات يومية'!$C$2:$C$14001,$A187,'مبيعات يومية'!$B$2:$B$14001,'إعدادات المخزون'!$A$16,'مبيعات يومية'!$A$2:$A$14001,'إعدادات المخزون'!$B$4)</f>
        <v>0.1667</v>
      </c>
      <c r="F187" s="118" t="n">
        <f aca="false">SUMIFS('مبيعات يومية'!$D$2:$D$14001,'مبيعات يومية'!$C$2:$C$14001,$A187,'مبيعات يومية'!$B$2:$B$14001,'إعدادات المخزون'!$A$16,'مبيعات يومية'!$A$2:$A$14001,"&gt;="&amp;'إعدادات المخزون'!$B$5,'مبيعات يومية'!$A$2:$A$14001,"&lt;="&amp;'إعدادات المخزون'!$B$4)</f>
        <v>2.0004</v>
      </c>
      <c r="G187" s="118" t="n">
        <f aca="false">SUMIFS('مبيعات يومية'!$D$2:$D$14001,'مبيعات يومية'!$C$2:$C$14001,$A187,'مبيعات يومية'!$B$2:$B$14001,'إعدادات المخزون'!$A$16,'مبيعات يومية'!$A$2:$A$14001,"&gt;"&amp;('إعدادات المخزون'!$B$4-'إعدادات المخزون'!$B$11),'مبيعات يومية'!$A$2:$A$14001,"&lt;="&amp;'إعدادات المخزون'!$B$4)</f>
        <v>1.1669</v>
      </c>
      <c r="H187" s="118" t="n">
        <f aca="false">SUMIFS('مبيعات يومية'!$D$2:$D$14001,'مبيعات يومية'!$C$2:$C$14001,$A187,'مبيعات يومية'!$B$2:$B$14001,'إعدادات المخزون'!$A$17,'مبيعات يومية'!$A$2:$A$14001,'إعدادات المخزون'!$B$4)</f>
        <v>0</v>
      </c>
      <c r="I187" s="118" t="n">
        <f aca="false">SUMIFS('مبيعات يومية'!$D$2:$D$14001,'مبيعات يومية'!$C$2:$C$14001,$A187,'مبيعات يومية'!$B$2:$B$14001,'إعدادات المخزون'!$A$17,'مبيعات يومية'!$A$2:$A$14001,"&gt;="&amp;'إعدادات المخزون'!$B$5,'مبيعات يومية'!$A$2:$A$14001,"&lt;="&amp;'إعدادات المخزون'!$B$4)</f>
        <v>0</v>
      </c>
      <c r="J187" s="118" t="n">
        <f aca="false">SUMIFS('مبيعات يومية'!$D$2:$D$14001,'مبيعات يومية'!$C$2:$C$14001,$A187,'مبيعات يومية'!$B$2:$B$14001,'إعدادات المخزون'!$A$17,'مبيعات يومية'!$A$2:$A$14001,"&gt;"&amp;('إعدادات المخزون'!$B$4-'إعدادات المخزون'!$B$11),'مبيعات يومية'!$A$2:$A$14001,"&lt;="&amp;'إعدادات المخزون'!$B$4)</f>
        <v>0</v>
      </c>
    </row>
    <row r="188" customFormat="false" ht="15" hidden="false" customHeight="false" outlineLevel="0" collapsed="false">
      <c r="A188" s="116" t="str">
        <f aca="false">المنيو!B188</f>
        <v>اضافة وش شرقي (بيض وجبنة رومي) كبير</v>
      </c>
      <c r="B188" s="118" t="n">
        <f aca="false">SUMIFS('مبيعات يومية'!$D$2:$D$14001,'مبيعات يومية'!$C$2:$C$14001,$A188,'مبيعات يومية'!$B$2:$B$14001,'إعدادات المخزون'!$A$15,'مبيعات يومية'!$A$2:$A$14001,'إعدادات المخزون'!$B$4)</f>
        <v>0</v>
      </c>
      <c r="C188" s="118" t="n">
        <f aca="false">SUMIFS('مبيعات يومية'!$D$2:$D$14001,'مبيعات يومية'!$C$2:$C$14001,$A188,'مبيعات يومية'!$B$2:$B$14001,'إعدادات المخزون'!$A$15,'مبيعات يومية'!$A$2:$A$14001,"&gt;="&amp;'إعدادات المخزون'!$B$5,'مبيعات يومية'!$A$2:$A$14001,"&lt;="&amp;'إعدادات المخزون'!$B$4)</f>
        <v>0</v>
      </c>
      <c r="D188" s="118" t="n">
        <f aca="false">SUMIFS('مبيعات يومية'!$D$2:$D$14001,'مبيعات يومية'!$C$2:$C$14001,$A188,'مبيعات يومية'!$B$2:$B$14001,'إعدادات المخزون'!$A$15,'مبيعات يومية'!$A$2:$A$14001,"&gt;"&amp;('إعدادات المخزون'!$B$4-'إعدادات المخزون'!$B$11),'مبيعات يومية'!$A$2:$A$14001,"&lt;="&amp;'إعدادات المخزون'!$B$4)</f>
        <v>0</v>
      </c>
      <c r="E188" s="118" t="n">
        <f aca="false">SUMIFS('مبيعات يومية'!$D$2:$D$14001,'مبيعات يومية'!$C$2:$C$14001,$A188,'مبيعات يومية'!$B$2:$B$14001,'إعدادات المخزون'!$A$16,'مبيعات يومية'!$A$2:$A$14001,'إعدادات المخزون'!$B$4)</f>
        <v>0.1667</v>
      </c>
      <c r="F188" s="118" t="n">
        <f aca="false">SUMIFS('مبيعات يومية'!$D$2:$D$14001,'مبيعات يومية'!$C$2:$C$14001,$A188,'مبيعات يومية'!$B$2:$B$14001,'إعدادات المخزون'!$A$16,'مبيعات يومية'!$A$2:$A$14001,"&gt;="&amp;'إعدادات المخزون'!$B$5,'مبيعات يومية'!$A$2:$A$14001,"&lt;="&amp;'إعدادات المخزون'!$B$4)</f>
        <v>2.0004</v>
      </c>
      <c r="G188" s="118" t="n">
        <f aca="false">SUMIFS('مبيعات يومية'!$D$2:$D$14001,'مبيعات يومية'!$C$2:$C$14001,$A188,'مبيعات يومية'!$B$2:$B$14001,'إعدادات المخزون'!$A$16,'مبيعات يومية'!$A$2:$A$14001,"&gt;"&amp;('إعدادات المخزون'!$B$4-'إعدادات المخزون'!$B$11),'مبيعات يومية'!$A$2:$A$14001,"&lt;="&amp;'إعدادات المخزون'!$B$4)</f>
        <v>1.1669</v>
      </c>
      <c r="H188" s="118" t="n">
        <f aca="false">SUMIFS('مبيعات يومية'!$D$2:$D$14001,'مبيعات يومية'!$C$2:$C$14001,$A188,'مبيعات يومية'!$B$2:$B$14001,'إعدادات المخزون'!$A$17,'مبيعات يومية'!$A$2:$A$14001,'إعدادات المخزون'!$B$4)</f>
        <v>0</v>
      </c>
      <c r="I188" s="118" t="n">
        <f aca="false">SUMIFS('مبيعات يومية'!$D$2:$D$14001,'مبيعات يومية'!$C$2:$C$14001,$A188,'مبيعات يومية'!$B$2:$B$14001,'إعدادات المخزون'!$A$17,'مبيعات يومية'!$A$2:$A$14001,"&gt;="&amp;'إعدادات المخزون'!$B$5,'مبيعات يومية'!$A$2:$A$14001,"&lt;="&amp;'إعدادات المخزون'!$B$4)</f>
        <v>0</v>
      </c>
      <c r="J188" s="118" t="n">
        <f aca="false">SUMIFS('مبيعات يومية'!$D$2:$D$14001,'مبيعات يومية'!$C$2:$C$14001,$A188,'مبيعات يومية'!$B$2:$B$14001,'إعدادات المخزون'!$A$17,'مبيعات يومية'!$A$2:$A$14001,"&gt;"&amp;('إعدادات المخزون'!$B$4-'إعدادات المخزون'!$B$11),'مبيعات يومية'!$A$2:$A$14001,"&lt;="&amp;'إعدادات المخزون'!$B$4)</f>
        <v>0</v>
      </c>
    </row>
    <row r="189" customFormat="false" ht="15" hidden="false" customHeight="false" outlineLevel="0" collapsed="false">
      <c r="A189" s="116" t="str">
        <f aca="false">المنيو!B189</f>
        <v>بيبسي 2 لتر</v>
      </c>
      <c r="B189" s="118" t="n">
        <f aca="false">SUMIFS('مبيعات يومية'!$D$2:$D$14001,'مبيعات يومية'!$C$2:$C$14001,$A189,'مبيعات يومية'!$B$2:$B$14001,'إعدادات المخزون'!$A$15,'مبيعات يومية'!$A$2:$A$14001,'إعدادات المخزون'!$B$4)</f>
        <v>0.0833</v>
      </c>
      <c r="C189" s="118" t="n">
        <f aca="false">SUMIFS('مبيعات يومية'!$D$2:$D$14001,'مبيعات يومية'!$C$2:$C$14001,$A189,'مبيعات يومية'!$B$2:$B$14001,'إعدادات المخزون'!$A$15,'مبيعات يومية'!$A$2:$A$14001,"&gt;="&amp;'إعدادات المخزون'!$B$5,'مبيعات يومية'!$A$2:$A$14001,"&lt;="&amp;'إعدادات المخزون'!$B$4)</f>
        <v>0.9996</v>
      </c>
      <c r="D189" s="118" t="n">
        <f aca="false">SUMIFS('مبيعات يومية'!$D$2:$D$14001,'مبيعات يومية'!$C$2:$C$14001,$A189,'مبيعات يومية'!$B$2:$B$14001,'إعدادات المخزون'!$A$15,'مبيعات يومية'!$A$2:$A$14001,"&gt;"&amp;('إعدادات المخزون'!$B$4-'إعدادات المخزون'!$B$11),'مبيعات يومية'!$A$2:$A$14001,"&lt;="&amp;'إعدادات المخزون'!$B$4)</f>
        <v>0.5831</v>
      </c>
      <c r="E189" s="118" t="n">
        <f aca="false">SUMIFS('مبيعات يومية'!$D$2:$D$14001,'مبيعات يومية'!$C$2:$C$14001,$A189,'مبيعات يومية'!$B$2:$B$14001,'إعدادات المخزون'!$A$16,'مبيعات يومية'!$A$2:$A$14001,'إعدادات المخزون'!$B$4)</f>
        <v>0.0833</v>
      </c>
      <c r="F189" s="118" t="n">
        <f aca="false">SUMIFS('مبيعات يومية'!$D$2:$D$14001,'مبيعات يومية'!$C$2:$C$14001,$A189,'مبيعات يومية'!$B$2:$B$14001,'إعدادات المخزون'!$A$16,'مبيعات يومية'!$A$2:$A$14001,"&gt;="&amp;'إعدادات المخزون'!$B$5,'مبيعات يومية'!$A$2:$A$14001,"&lt;="&amp;'إعدادات المخزون'!$B$4)</f>
        <v>0.9996</v>
      </c>
      <c r="G189" s="118" t="n">
        <f aca="false">SUMIFS('مبيعات يومية'!$D$2:$D$14001,'مبيعات يومية'!$C$2:$C$14001,$A189,'مبيعات يومية'!$B$2:$B$14001,'إعدادات المخزون'!$A$16,'مبيعات يومية'!$A$2:$A$14001,"&gt;"&amp;('إعدادات المخزون'!$B$4-'إعدادات المخزون'!$B$11),'مبيعات يومية'!$A$2:$A$14001,"&lt;="&amp;'إعدادات المخزون'!$B$4)</f>
        <v>0.5831</v>
      </c>
      <c r="H189" s="118" t="n">
        <f aca="false">SUMIFS('مبيعات يومية'!$D$2:$D$14001,'مبيعات يومية'!$C$2:$C$14001,$A189,'مبيعات يومية'!$B$2:$B$14001,'إعدادات المخزون'!$A$17,'مبيعات يومية'!$A$2:$A$14001,'إعدادات المخزون'!$B$4)</f>
        <v>0</v>
      </c>
      <c r="I189" s="118" t="n">
        <f aca="false">SUMIFS('مبيعات يومية'!$D$2:$D$14001,'مبيعات يومية'!$C$2:$C$14001,$A189,'مبيعات يومية'!$B$2:$B$14001,'إعدادات المخزون'!$A$17,'مبيعات يومية'!$A$2:$A$14001,"&gt;="&amp;'إعدادات المخزون'!$B$5,'مبيعات يومية'!$A$2:$A$14001,"&lt;="&amp;'إعدادات المخزون'!$B$4)</f>
        <v>0</v>
      </c>
      <c r="J189" s="118" t="n">
        <f aca="false">SUMIFS('مبيعات يومية'!$D$2:$D$14001,'مبيعات يومية'!$C$2:$C$14001,$A189,'مبيعات يومية'!$B$2:$B$14001,'إعدادات المخزون'!$A$17,'مبيعات يومية'!$A$2:$A$14001,"&gt;"&amp;('إعدادات المخزون'!$B$4-'إعدادات المخزون'!$B$11),'مبيعات يومية'!$A$2:$A$14001,"&lt;="&amp;'إعدادات المخزون'!$B$4)</f>
        <v>0</v>
      </c>
    </row>
    <row r="190" customFormat="false" ht="15" hidden="false" customHeight="false" outlineLevel="0" collapsed="false">
      <c r="A190" s="116" t="str">
        <f aca="false">المنيو!B190</f>
        <v>مياه معدنية M</v>
      </c>
      <c r="B190" s="118" t="n">
        <f aca="false">SUMIFS('مبيعات يومية'!$D$2:$D$14001,'مبيعات يومية'!$C$2:$C$14001,$A190,'مبيعات يومية'!$B$2:$B$14001,'إعدادات المخزون'!$A$15,'مبيعات يومية'!$A$2:$A$14001,'إعدادات المخزون'!$B$4)</f>
        <v>0</v>
      </c>
      <c r="C190" s="118" t="n">
        <f aca="false">SUMIFS('مبيعات يومية'!$D$2:$D$14001,'مبيعات يومية'!$C$2:$C$14001,$A190,'مبيعات يومية'!$B$2:$B$14001,'إعدادات المخزون'!$A$15,'مبيعات يومية'!$A$2:$A$14001,"&gt;="&amp;'إعدادات المخزون'!$B$5,'مبيعات يومية'!$A$2:$A$14001,"&lt;="&amp;'إعدادات المخزون'!$B$4)</f>
        <v>0</v>
      </c>
      <c r="D190" s="118" t="n">
        <f aca="false">SUMIFS('مبيعات يومية'!$D$2:$D$14001,'مبيعات يومية'!$C$2:$C$14001,$A190,'مبيعات يومية'!$B$2:$B$14001,'إعدادات المخزون'!$A$15,'مبيعات يومية'!$A$2:$A$14001,"&gt;"&amp;('إعدادات المخزون'!$B$4-'إعدادات المخزون'!$B$11),'مبيعات يومية'!$A$2:$A$14001,"&lt;="&amp;'إعدادات المخزون'!$B$4)</f>
        <v>0</v>
      </c>
      <c r="E190" s="118" t="n">
        <f aca="false">SUMIFS('مبيعات يومية'!$D$2:$D$14001,'مبيعات يومية'!$C$2:$C$14001,$A190,'مبيعات يومية'!$B$2:$B$14001,'إعدادات المخزون'!$A$16,'مبيعات يومية'!$A$2:$A$14001,'إعدادات المخزون'!$B$4)</f>
        <v>0.0833</v>
      </c>
      <c r="F190" s="118" t="n">
        <f aca="false">SUMIFS('مبيعات يومية'!$D$2:$D$14001,'مبيعات يومية'!$C$2:$C$14001,$A190,'مبيعات يومية'!$B$2:$B$14001,'إعدادات المخزون'!$A$16,'مبيعات يومية'!$A$2:$A$14001,"&gt;="&amp;'إعدادات المخزون'!$B$5,'مبيعات يومية'!$A$2:$A$14001,"&lt;="&amp;'إعدادات المخزون'!$B$4)</f>
        <v>0.9996</v>
      </c>
      <c r="G190" s="118" t="n">
        <f aca="false">SUMIFS('مبيعات يومية'!$D$2:$D$14001,'مبيعات يومية'!$C$2:$C$14001,$A190,'مبيعات يومية'!$B$2:$B$14001,'إعدادات المخزون'!$A$16,'مبيعات يومية'!$A$2:$A$14001,"&gt;"&amp;('إعدادات المخزون'!$B$4-'إعدادات المخزون'!$B$11),'مبيعات يومية'!$A$2:$A$14001,"&lt;="&amp;'إعدادات المخزون'!$B$4)</f>
        <v>0.5831</v>
      </c>
      <c r="H190" s="118" t="n">
        <f aca="false">SUMIFS('مبيعات يومية'!$D$2:$D$14001,'مبيعات يومية'!$C$2:$C$14001,$A190,'مبيعات يومية'!$B$2:$B$14001,'إعدادات المخزون'!$A$17,'مبيعات يومية'!$A$2:$A$14001,'إعدادات المخزون'!$B$4)</f>
        <v>0</v>
      </c>
      <c r="I190" s="118" t="n">
        <f aca="false">SUMIFS('مبيعات يومية'!$D$2:$D$14001,'مبيعات يومية'!$C$2:$C$14001,$A190,'مبيعات يومية'!$B$2:$B$14001,'إعدادات المخزون'!$A$17,'مبيعات يومية'!$A$2:$A$14001,"&gt;="&amp;'إعدادات المخزون'!$B$5,'مبيعات يومية'!$A$2:$A$14001,"&lt;="&amp;'إعدادات المخزون'!$B$4)</f>
        <v>0</v>
      </c>
      <c r="J190" s="118" t="n">
        <f aca="false">SUMIFS('مبيعات يومية'!$D$2:$D$14001,'مبيعات يومية'!$C$2:$C$14001,$A190,'مبيعات يومية'!$B$2:$B$14001,'إعدادات المخزون'!$A$17,'مبيعات يومية'!$A$2:$A$14001,"&gt;"&amp;('إعدادات المخزون'!$B$4-'إعدادات المخزون'!$B$11),'مبيعات يومية'!$A$2:$A$14001,"&lt;="&amp;'إعدادات المخزون'!$B$4)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2026-08-01T06:16:44Z</dcterms:created>
  <dc:creator>openpyxl</dc:creator>
  <dc:description/>
  <dc:language>en-US</dc:language>
  <cp:lastModifiedBy/>
  <dcterms:modified xsi:type="dcterms:W3CDTF">2026-10-13T01:55:33Z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